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34.xml" ContentType="application/vnd.openxmlformats-officedocument.spreadsheetml.comments+xml"/>
  <Override PartName="/xl/comments33.xml" ContentType="application/vnd.openxmlformats-officedocument.spreadsheetml.comments+xml"/>
  <Override PartName="/xl/comments32.xml" ContentType="application/vnd.openxmlformats-officedocument.spreadsheetml.comments+xml"/>
  <Override PartName="/xl/comments31.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35.xml" ContentType="application/vnd.openxmlformats-officedocument.spreadsheetml.comments+xml"/>
  <Override PartName="/xl/comments36.xml" ContentType="application/vnd.openxmlformats-officedocument.spreadsheetml.comments+xml"/>
  <Override PartName="/xl/comments13.xml" ContentType="application/vnd.openxmlformats-officedocument.spreadsheetml.comments+xml"/>
  <Override PartName="/xl/comments37.xml" ContentType="application/vnd.openxmlformats-officedocument.spreadsheetml.comments+xml"/>
  <Override PartName="/xl/comments14.xml" ContentType="application/vnd.openxmlformats-officedocument.spreadsheetml.comments+xml"/>
  <Override PartName="/xl/_rels/workbook.xml.rels" ContentType="application/vnd.openxmlformats-package.relationships+xml"/>
  <Override PartName="/xl/comments38.xml" ContentType="application/vnd.openxmlformats-officedocument.spreadsheetml.comments+xml"/>
  <Override PartName="/xl/comments39.xml" ContentType="application/vnd.openxmlformats-officedocument.spreadsheetml.comments+xml"/>
  <Override PartName="/xl/sharedStrings.xml" ContentType="application/vnd.openxmlformats-officedocument.spreadsheetml.sharedStrings+xml"/>
  <Override PartName="/xl/comments45.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comments12.xml" ContentType="application/vnd.openxmlformats-officedocument.spreadsheetml.comments+xml"/>
  <Override PartName="/xl/worksheets/_rels/sheet30.xml.rels" ContentType="application/vnd.openxmlformats-package.relationships+xml"/>
  <Override PartName="/xl/worksheets/_rels/sheet28.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32.xml.rels" ContentType="application/vnd.openxmlformats-package.relationships+xml"/>
  <Override PartName="/xl/worksheets/_rels/sheet34.xml.rels" ContentType="application/vnd.openxmlformats-package.relationships+xml"/>
  <Override PartName="/xl/worksheets/_rels/sheet35.xml.rels" ContentType="application/vnd.openxmlformats-package.relationships+xml"/>
  <Override PartName="/xl/worksheets/_rels/sheet36.xml.rels" ContentType="application/vnd.openxmlformats-package.relationships+xml"/>
  <Override PartName="/xl/worksheets/_rels/sheet13.xml.rels" ContentType="application/vnd.openxmlformats-package.relationships+xml"/>
  <Override PartName="/xl/worksheets/_rels/sheet37.xml.rels" ContentType="application/vnd.openxmlformats-package.relationships+xml"/>
  <Override PartName="/xl/worksheets/_rels/sheet14.xml.rels" ContentType="application/vnd.openxmlformats-package.relationships+xml"/>
  <Override PartName="/xl/worksheets/_rels/sheet38.xml.rels" ContentType="application/vnd.openxmlformats-package.relationships+xml"/>
  <Override PartName="/xl/worksheets/_rels/sheet39.xml.rels" ContentType="application/vnd.openxmlformats-package.relationships+xml"/>
  <Override PartName="/xl/worksheets/_rels/sheet33.xml.rels" ContentType="application/vnd.openxmlformats-package.relationships+xml"/>
  <Override PartName="/xl/worksheets/_rels/sheet45.xml.rels" ContentType="application/vnd.openxmlformats-package.relationships+xml"/>
  <Override PartName="/xl/worksheets/_rels/sheet12.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5.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ample walkthrough" sheetId="2" state="visible" r:id="rId4"/>
    <sheet name="Tax" sheetId="3" state="visible" r:id="rId5"/>
    <sheet name="Plan inputs" sheetId="4" state="visible" r:id="rId6"/>
    <sheet name="Plan pay &amp; tax" sheetId="5" state="visible" r:id="rId7"/>
    <sheet name="Plan goals" sheetId="6" state="visible" r:id="rId8"/>
    <sheet name="Plan cashflow" sheetId="7" state="visible" r:id="rId9"/>
    <sheet name="Plan holdings" sheetId="8" state="visible" r:id="rId10"/>
    <sheet name="Plan results" sheetId="9" state="visible" r:id="rId11"/>
    <sheet name="Plan profile" sheetId="10" state="visible" r:id="rId12"/>
    <sheet name="Plan debt months" sheetId="11" state="visible" r:id="rId13"/>
    <sheet name="C01 Borrowing" sheetId="12" state="visible" r:id="rId14"/>
    <sheet name="C02 Mortgage repayment" sheetId="13" state="visible" r:id="rId15"/>
    <sheet name="C03 Deposit" sheetId="14" state="visible" r:id="rId16"/>
    <sheet name="C04 Mortgage overpayment" sheetId="15" state="visible" r:id="rId17"/>
    <sheet name="C05 Interest rate impact" sheetId="16" state="visible" r:id="rId18"/>
    <sheet name="C06 Term comparison" sheetId="17" state="visible" r:id="rId19"/>
    <sheet name="C07 Rent vs buy" sheetId="18" state="visible" r:id="rId20"/>
    <sheet name="C08 Goal planner" sheetId="19" state="visible" r:id="rId21"/>
    <sheet name="C09 Compound growth" sheetId="20" state="visible" r:id="rId22"/>
    <sheet name="C10 Lump sum growth" sheetId="21" state="visible" r:id="rId23"/>
    <sheet name="C11 Emergency fund" sheetId="22" state="visible" r:id="rId24"/>
    <sheet name="C12 Retirement projection" sheetId="23" state="visible" r:id="rId25"/>
    <sheet name="C13 Contribution impact" sheetId="24" state="visible" r:id="rId26"/>
    <sheet name="C14 AVC impact" sheetId="25" state="visible" r:id="rId27"/>
    <sheet name="C15 Will my money last" sheetId="26" state="visible" r:id="rId28"/>
    <sheet name="C16 Drawdown scenarios" sheetId="27" state="visible" r:id="rId29"/>
    <sheet name="C17 Inflation adjusted return" sheetId="28" state="visible" r:id="rId30"/>
    <sheet name="C18 Regular investing" sheetId="29" state="visible" r:id="rId31"/>
    <sheet name="C19 Fees impact" sheetId="30" state="visible" r:id="rId32"/>
    <sheet name="C20 Risk and return" sheetId="31" state="visible" r:id="rId33"/>
    <sheet name="C21 Life cover" sheetId="32" state="visible" r:id="rId34"/>
    <sheet name="C22 Income protection gap" sheetId="33" state="visible" r:id="rId35"/>
    <sheet name="C23 Mortgage protection" sheetId="34" state="visible" r:id="rId36"/>
    <sheet name="C24 Net worth" sheetId="35" state="visible" r:id="rId37"/>
    <sheet name="C25 Monthly surplus" sheetId="36" state="visible" r:id="rId38"/>
    <sheet name="C26 Budget 50 30 20" sheetId="37" state="visible" r:id="rId39"/>
    <sheet name="C27 Debt repayment" sheetId="38" state="visible" r:id="rId40"/>
    <sheet name="C28 Loan repayment" sheetId="39" state="visible" r:id="rId41"/>
    <sheet name="C29 Investment tax" sheetId="40" state="visible" r:id="rId42"/>
    <sheet name="C30 Sale gift inheritance" sheetId="41" state="visible" r:id="rId43"/>
    <sheet name="Settings" sheetId="42" state="hidden" r:id="rId44"/>
    <sheet name="Assumptions" sheetId="43" state="hidden" r:id="rId45"/>
    <sheet name="Your lists" sheetId="44" state="hidden" r:id="rId46"/>
    <sheet name="Tax engine" sheetId="45" state="hidden" r:id="rId47"/>
    <sheet name="Report spec" sheetId="46" state="hidden" r:id="rId48"/>
    <sheet name="README" sheetId="47" state="hidden" r:id="rId49"/>
  </sheets>
  <definedNames>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AutoSafety_On" vbProcedure="false">'Plan inputs'!$G$163</definedName>
    <definedName function="false" hidden="false" name="AutoSafety_Row" vbProcedure="false">'Plan inputs'!$G$162</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 ME'!$B$3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ltCost" vbProcedure="false">'Plan inputs'!$H$142</definedName>
    <definedName function="false" hidden="false" name="Has_altInv" vbProcedure="false">'Plan inputs'!$H$138</definedName>
    <definedName function="false" hidden="false" name="Has_assetsJoint" vbProcedure="false">'Plan inputs'!$H$144</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cgtGain" vbProcedure="false">'Plan inputs'!$H$159</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invWrapper" vbProcedure="false">'Plan inputs'!$H$158</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pLoss" vbProcedure="false">'Plan inputs'!$H$143</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downAge" vbProcedure="false">'Plan inputs'!$H$148</definedName>
    <definedName function="false" hidden="false" name="Has_downValue" vbProcedure="false">'Plan inputs'!$H$149</definedName>
    <definedName function="false" hidden="false" name="Has_health" vbProcedure="false">'Plan inputs'!$H$65</definedName>
    <definedName function="false" hidden="false" name="Has_home" vbProcedure="false">'Plan inputs'!$H$37</definedName>
    <definedName function="false" hidden="false" name="Has_homeUse" vbProcedure="false">'Plan inputs'!$H$147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Cost" vbProcedure="false">'Plan inputs'!$H$139</definedName>
    <definedName function="false" hidden="false" name="Has_invest" vbProcedure="false">'Plan inputs'!$H$40</definedName>
    <definedName function="false" hidden="false" name="Has_invYears" vbProcedure="false">'Plan inputs'!$H$140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Cost" vbProcedure="false">'Plan inputs'!$H$141</definedName>
    <definedName function="false" hidden="false" name="Has_otherAssets" vbProcedure="false">'Plan inputs'!$H$137</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olInc" vbProcedure="false">'Plan inputs'!$H$152</definedName>
    <definedName function="false" hidden="false" name="Has_polIncAge" vbProcedure="false">'Plan inputs'!$H$153</definedName>
    <definedName function="false" hidden="false" name="Has_polLump" vbProcedure="false">'Plan inputs'!$H$150</definedName>
    <definedName function="false" hidden="false" name="Has_polLumpAge" vbProcedure="false">'Plan inputs'!$H$151</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fetyOff" vbProcedure="false">'Plan inputs'!$H$157</definedName>
    <definedName function="false" hidden="false" name="Has_safetyWanted" vbProcedure="false">'Plan inputs'!$H$156</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avings" vbProcedure="false">'Plan inputs'!$H$136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H_Alt0" vbProcedure="false">'Plan holdings'!$C$119</definedName>
    <definedName function="false" hidden="false" name="H_AltB0" vbProcedure="false">'Plan holdings'!$C$120</definedName>
    <definedName function="false" hidden="false" name="H_CapLoss" vbProcedure="false">'Plan holdings'!$C$121</definedName>
    <definedName function="false" hidden="false" name="H_CGT0" vbProcedure="false">'Plan holdings'!$C$104</definedName>
    <definedName function="false" hidden="false" name="H_CGT1" vbProcedure="false">'Plan holdings'!$C$105</definedName>
    <definedName function="false" hidden="false" name="H_CGTfrom" vbProcedure="false">'Plan holdings'!$C$106</definedName>
    <definedName function="false" hidden="false" name="H_Deemed" vbProcedure="false">'Plan holdings'!$C$102</definedName>
    <definedName function="false" hidden="false" name="H_Direct" vbProcedure="false">'Plan holdings'!$C$109</definedName>
    <definedName function="false" hidden="false" name="H_DIRT" vbProcedure="false">'Plan holdings'!$C$103</definedName>
    <definedName function="false" hidden="false" name="H_Exempt" vbProcedure="false">'Plan holdings'!$C$107</definedName>
    <definedName function="false" hidden="false" name="H_Exit" vbProcedure="false">'Plan holdings'!$C$101</definedName>
    <definedName function="false" hidden="false" name="H_GainSh" vbProcedure="false">'Plan holdings'!$C$108</definedName>
    <definedName function="false" hidden="false" name="H_Inv0" vbProcedure="false">'Plan holdings'!$C$114</definedName>
    <definedName function="false" hidden="false" name="H_InvA0" vbProcedure="false">'Plan holdings'!$C$116</definedName>
    <definedName function="false" hidden="false" name="H_InvB0" vbProcedure="false">'Plan holdings'!$C$115</definedName>
    <definedName function="false" hidden="false" name="H_InvG" vbProcedure="false">'Plan holdings'!$C$111</definedName>
    <definedName function="false" hidden="false" name="H_Oth0" vbProcedure="false">'Plan holdings'!$C$117</definedName>
    <definedName function="false" hidden="false" name="H_OthB0" vbProcedure="false">'Plan holdings'!$C$118</definedName>
    <definedName function="false" hidden="false" name="H_Persons" vbProcedure="false">'Plan holdings'!$C$112</definedName>
    <definedName function="false" hidden="false" name="H_Sav0" vbProcedure="false">'Plan holdings'!$C$122</definedName>
    <definedName function="false" hidden="false" name="H_Sh" vbProcedure="false">'Plan holdings'!$C$113</definedName>
    <definedName function="false" hidden="false" name="H_TaxEvt" vbProcedure="false">'Plan holdings'!$C$110</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ltCost" vbProcedure="false">'Plan inputs'!$G$142</definedName>
    <definedName function="false" hidden="false" name="In_altInv" vbProcedure="false">'Plan inputs'!$G$138</definedName>
    <definedName function="false" hidden="false" name="In_assetsJoint" vbProcedure="false">'Plan inputs'!$G$144</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cgtGain" vbProcedure="false">'Plan inputs'!$G$159</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invWrapper" vbProcedure="false">'Plan inputs'!$G$158</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pLoss" vbProcedure="false">'Plan inputs'!$G$143</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downAge" vbProcedure="false">'Plan inputs'!$G$148</definedName>
    <definedName function="false" hidden="false" name="In_downValue" vbProcedure="false">'Plan inputs'!$G$149</definedName>
    <definedName function="false" hidden="false" name="In_health" vbProcedure="false">'Plan inputs'!$G$65</definedName>
    <definedName function="false" hidden="false" name="In_home" vbProcedure="false">'Plan inputs'!$G$37</definedName>
    <definedName function="false" hidden="false" name="In_homeUse" vbProcedure="false">'Plan inputs'!$G$147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Cost" vbProcedure="false">'Plan inputs'!$G$139</definedName>
    <definedName function="false" hidden="false" name="In_invest" vbProcedure="false">'Plan inputs'!$G$40</definedName>
    <definedName function="false" hidden="false" name="In_invYears" vbProcedure="false">'Plan inputs'!$G$140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Cost" vbProcedure="false">'Plan inputs'!$G$141</definedName>
    <definedName function="false" hidden="false" name="In_otherAssets" vbProcedure="false">'Plan inputs'!$G$137</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olInc" vbProcedure="false">'Plan inputs'!$G$152</definedName>
    <definedName function="false" hidden="false" name="In_polIncAge" vbProcedure="false">'Plan inputs'!$G$153</definedName>
    <definedName function="false" hidden="false" name="In_polLump" vbProcedure="false">'Plan inputs'!$G$150</definedName>
    <definedName function="false" hidden="false" name="In_polLumpAge" vbProcedure="false">'Plan inputs'!$G$151</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fetyOff" vbProcedure="false">'Plan inputs'!$G$157</definedName>
    <definedName function="false" hidden="false" name="In_safetyWanted" vbProcedure="false">'Plan inputs'!$G$156</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avings" vbProcedure="false">'Plan inputs'!$G$136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G_CashAfterBuf" vbProcedure="false">'Plan goals'!$J$75</definedName>
    <definedName function="false" hidden="false" name="PG_Easy0" vbProcedure="false">'Plan goals'!$J$76</definedName>
    <definedName function="false" hidden="false" name="PG_PreTakeE" vbProcedure="false">'Plan goals'!$J$78</definedName>
    <definedName function="false" hidden="false" name="PG_PreTakeR" vbProcedure="false">'Plan goals'!$J$79</definedName>
    <definedName function="false" hidden="false" name="PG_Rest0" vbProcedure="false">'Plan goals'!$J$77</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Fig" vbProcedure="false">'Plan profile'!$C$138</definedName>
    <definedName function="false" hidden="false" name="Prof_CuLevel" vbProcedure="false">'Plan profile'!$C$140</definedName>
    <definedName function="false" hidden="false" name="Prof_CuM" vbProcedure="false">'Plan profile'!$C$139</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ermsSafety" vbProcedure="false">'Plan profile'!$C$137</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ARF_Applies" vbProcedure="false">Assumptions!$C$136</definedName>
    <definedName function="false" hidden="false" name="PRSI_ARF_ToAge" vbProcedure="false">Assumptions!$C$137</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1" name="Borrow_By_Income" vbProcedure="false">'C01 Borrowing'!$C$21</definedName>
    <definedName function="false" hidden="false" localSheetId="11" name="Buying_Fees" vbProcedure="false">'C01 Borrowing'!$G$12</definedName>
    <definedName function="false" hidden="false" localSheetId="11" name="Buying_Fees_Entry" vbProcedure="false">'C01 Borrowing'!$C$12</definedName>
    <definedName function="false" hidden="false" localSheetId="11" name="Cash_At_Band_1" vbProcedure="false">'C01 Borrowing'!$C$25</definedName>
    <definedName function="false" hidden="false" localSheetId="11" name="Cash_At_Band_2" vbProcedure="false">'C01 Borrowing'!$C$26</definedName>
    <definedName function="false" hidden="false" localSheetId="11" name="Cash_For_Price" vbProcedure="false">'C01 Borrowing'!$C$24</definedName>
    <definedName function="false" hidden="false" localSheetId="11" name="Deposit" vbProcedure="false">'C01 Borrowing'!$G$8</definedName>
    <definedName function="false" hidden="false" localSheetId="11" name="Deposit_Entry" vbProcedure="false">'C01 Borrowing'!$C$8</definedName>
    <definedName function="false" hidden="false" localSheetId="11" name="Extra_Deposit" vbProcedure="false">'C01 Borrowing'!$G$14</definedName>
    <definedName function="false" hidden="false" localSheetId="11" name="Extra_Deposit_Entry" vbProcedure="false">'C01 Borrowing'!$C$14</definedName>
    <definedName function="false" hidden="false" localSheetId="11" name="First_Time_Buyer" vbProcedure="false">'C01 Borrowing'!$G$9</definedName>
    <definedName function="false" hidden="false" localSheetId="11" name="First_Time_Buyer_Entry" vbProcedure="false">'C01 Borrowing'!$C$9</definedName>
    <definedName function="false" hidden="false" localSheetId="11" name="Home_Goal_Years" vbProcedure="false">'C01 Borrowing'!$G$13</definedName>
    <definedName function="false" hidden="false" localSheetId="11" name="Home_Goal_Years_Entry" vbProcedure="false">'C01 Borrowing'!$C$13</definedName>
    <definedName function="false" hidden="false" localSheetId="11" name="Home_Price" vbProcedure="false">'C01 Borrowing'!$C$17</definedName>
    <definedName function="false" hidden="false" localSheetId="11" name="Income" vbProcedure="false">'C01 Borrowing'!$G$6</definedName>
    <definedName function="false" hidden="false" localSheetId="11" name="Income_Cash" vbProcedure="false">'C01 Borrowing'!$C$28</definedName>
    <definedName function="false" hidden="false" localSheetId="11" name="Income_Entry" vbProcedure="false">'C01 Borrowing'!$C$6</definedName>
    <definedName function="false" hidden="false" localSheetId="11" name="Income_Multiple" vbProcedure="false">'C01 Borrowing'!$C$22</definedName>
    <definedName function="false" hidden="false" localSheetId="11" name="Interest_Rate" vbProcedure="false">'C01 Borrowing'!$G$10</definedName>
    <definedName function="false" hidden="false" localSheetId="11" name="Interest_Rate_Entry" vbProcedure="false">'C01 Borrowing'!$C$10</definedName>
    <definedName function="false" hidden="false" localSheetId="11" name="Limit_Set_By" vbProcedure="false">'C01 Borrowing'!$C$30</definedName>
    <definedName function="false" hidden="false" localSheetId="11" name="Max_Loan" vbProcedure="false">'C01 Borrowing'!$C$18</definedName>
    <definedName function="false" hidden="false" localSheetId="11" name="Monthly_Repayment" vbProcedure="false">'C01 Borrowing'!$C$19</definedName>
    <definedName function="false" hidden="false" localSheetId="11" name="Need_1" vbProcedure="false">'C01 Borrowing'!$C$49</definedName>
    <definedName function="false" hidden="false" localSheetId="11" name="Need_2" vbProcedure="false">'C01 Borrowing'!$C$50</definedName>
    <definedName function="false" hidden="false" localSheetId="11" name="Need_3" vbProcedure="false">'C01 Borrowing'!$C$51</definedName>
    <definedName function="false" hidden="false" localSheetId="11" name="Need_4" vbProcedure="false">'C01 Borrowing'!$C$52</definedName>
    <definedName function="false" hidden="false" localSheetId="11" name="Need_5" vbProcedure="false">'C01 Borrowing'!$C$53</definedName>
    <definedName function="false" hidden="false" localSheetId="11" name="Need_6" vbProcedure="false">'C01 Borrowing'!$C$54</definedName>
    <definedName function="false" hidden="false" localSheetId="11" name="Need_7" vbProcedure="false">'C01 Borrowing'!$C$55</definedName>
    <definedName function="false" hidden="false" localSheetId="11" name="Partner_Income" vbProcedure="false">'C01 Borrowing'!$G$7</definedName>
    <definedName function="false" hidden="false" localSheetId="11" name="Partner_Income_Entry" vbProcedure="false">'C01 Borrowing'!$C$7</definedName>
    <definedName function="false" hidden="false" localSheetId="11" name="Plan_Goal_Amount" vbProcedure="false">'C01 Borrowing'!$C$44</definedName>
    <definedName function="false" hidden="false" localSheetId="11" name="Plan_Goal_Kind" vbProcedure="false">'C01 Borrowing'!$C$43</definedName>
    <definedName function="false" hidden="false" localSheetId="11" name="Plan_Goal_Saved" vbProcedure="false">'C01 Borrowing'!$C$45</definedName>
    <definedName function="false" hidden="false" localSheetId="11" name="Plan_Goal_Years" vbProcedure="false">'C01 Borrowing'!$C$46</definedName>
    <definedName function="false" hidden="false" localSheetId="11" name="Price_By_Deposit" vbProcedure="false">'C01 Borrowing'!$C$27</definedName>
    <definedName function="false" hidden="false" localSheetId="11" name="Price_By_Income" vbProcedure="false">'C01 Borrowing'!$C$29</definedName>
    <definedName function="false" hidden="false" localSheetId="11" name="Stamp_Duty" vbProcedure="false">'C01 Borrowing'!$C$20</definedName>
    <definedName function="false" hidden="false" localSheetId="11" name="Term_Years" vbProcedure="false">'C01 Borrowing'!$G$11</definedName>
    <definedName function="false" hidden="false" localSheetId="11" name="Term_Years_Entry" vbProcedure="false">'C01 Borrowing'!$C$11</definedName>
    <definedName function="false" hidden="false" localSheetId="11" name="Total_Deposit" vbProcedure="false">'C01 Borrowing'!$C$23</definedName>
    <definedName function="false" hidden="false" localSheetId="12" name="Actual_Repayment" vbProcedure="false">'C02 Mortgage repayment'!$G$17</definedName>
    <definedName function="false" hidden="false" localSheetId="12" name="Actual_Repayment_Entry" vbProcedure="false">'C02 Mortgage repayment'!$C$17</definedName>
    <definedName function="false" hidden="false" localSheetId="12" name="Change_Per_Year" vbProcedure="false">'C02 Mortgage repayment'!$C$38</definedName>
    <definedName function="false" hidden="false" localSheetId="12" name="Final_Payment" vbProcedure="false">'C02 Mortgage repayment'!$C$35</definedName>
    <definedName function="false" hidden="false" localSheetId="12" name="Formula_Repayment" vbProcedure="false">'C02 Mortgage repayment'!$C$34</definedName>
    <definedName function="false" hidden="false" localSheetId="12" name="Home_Goal_Years" vbProcedure="false">'C02 Mortgage repayment'!$G$18</definedName>
    <definedName function="false" hidden="false" localSheetId="12" name="Home_Goal_Years_Entry" vbProcedure="false">'C02 Mortgage repayment'!$C$18</definedName>
    <definedName function="false" hidden="false" localSheetId="12" name="Interest_Rate" vbProcedure="false">'C02 Mortgage repayment'!$G$15</definedName>
    <definedName function="false" hidden="false" localSheetId="12" name="Interest_Rate_Entry" vbProcedure="false">'C02 Mortgage repayment'!$C$15</definedName>
    <definedName function="false" hidden="false" localSheetId="12" name="Loan_Amount" vbProcedure="false">'C02 Mortgage repayment'!$G$14</definedName>
    <definedName function="false" hidden="false" localSheetId="12" name="Loan_Amount_Entry" vbProcedure="false">'C02 Mortgage repayment'!$C$14</definedName>
    <definedName function="false" hidden="false" localSheetId="12" name="Monthly_Rate" vbProcedure="false">'C02 Mortgage repayment'!$C$33</definedName>
    <definedName function="false" hidden="false" localSheetId="12" name="Monthly_Repayment" vbProcedure="false">'C02 Mortgage repayment'!$C$29</definedName>
    <definedName function="false" hidden="false" localSheetId="12" name="Months_To_Pay" vbProcedure="false">'C02 Mortgage repayment'!$C$30</definedName>
    <definedName function="false" hidden="false" localSheetId="12" name="Need_1" vbProcedure="false">'C02 Mortgage repayment'!$C$57</definedName>
    <definedName function="false" hidden="false" localSheetId="12" name="Need_2" vbProcedure="false">'C02 Mortgage repayment'!$C$58</definedName>
    <definedName function="false" hidden="false" localSheetId="12" name="Need_3" vbProcedure="false">'C02 Mortgage repayment'!$C$59</definedName>
    <definedName function="false" hidden="false" localSheetId="12" name="Need_4" vbProcedure="false">'C02 Mortgage repayment'!$C$60</definedName>
    <definedName function="false" hidden="false" localSheetId="12" name="Need_5" vbProcedure="false">'C02 Mortgage repayment'!$C$61</definedName>
    <definedName function="false" hidden="false" localSheetId="12" name="New_Rate" vbProcedure="false">'C02 Mortgage repayment'!$C$36</definedName>
    <definedName function="false" hidden="false" localSheetId="12" name="Plan_Goal_Amount" vbProcedure="false">'C02 Mortgage repayment'!$C$52</definedName>
    <definedName function="false" hidden="false" localSheetId="12" name="Plan_Goal_Kind" vbProcedure="false">'C02 Mortgage repayment'!$C$51</definedName>
    <definedName function="false" hidden="false" localSheetId="12" name="Plan_Goal_Years" vbProcedure="false">'C02 Mortgage repayment'!$C$53</definedName>
    <definedName function="false" hidden="false" localSheetId="12" name="Rate_Change" vbProcedure="false">'C02 Mortgage repayment'!$G$19</definedName>
    <definedName function="false" hidden="false" localSheetId="12" name="Rate_Change_Entry" vbProcedure="false">'C02 Mortgage repayment'!$C$19</definedName>
    <definedName function="false" hidden="false" localSheetId="12" name="Repayment_If_Changed" vbProcedure="false">'C02 Mortgage repayment'!$C$37</definedName>
    <definedName function="false" hidden="false" localSheetId="12" name="Statement_Check" vbProcedure="false">'C02 Mortgage repayment'!$C$26</definedName>
    <definedName function="false" hidden="false" localSheetId="12" name="Stmt_Balance" vbProcedure="false">'C02 Mortgage repayment'!$C$7</definedName>
    <definedName function="false" hidden="false" localSheetId="12" name="Stmt_Rate" vbProcedure="false">'C02 Mortgage repayment'!$C$8</definedName>
    <definedName function="false" hidden="false" localSheetId="12" name="Stmt_Repayment" vbProcedure="false">'C02 Mortgage repayment'!$C$10</definedName>
    <definedName function="false" hidden="false" localSheetId="12" name="Stmt_Statement_Date" vbProcedure="false">'C02 Mortgage repayment'!$C$11</definedName>
    <definedName function="false" hidden="false" localSheetId="12" name="Stmt_Term" vbProcedure="false">'C02 Mortgage repayment'!$C$9</definedName>
    <definedName function="false" hidden="false" localSheetId="12" name="Term_Years" vbProcedure="false">'C02 Mortgage repayment'!$G$16</definedName>
    <definedName function="false" hidden="false" localSheetId="12" name="Term_Years_Entry" vbProcedure="false">'C02 Mortgage repayment'!$C$16</definedName>
    <definedName function="false" hidden="false" localSheetId="12" name="Total_Interest" vbProcedure="false">'C02 Mortgage repayment'!$C$31</definedName>
    <definedName function="false" hidden="false" localSheetId="12" name="Total_Repaid" vbProcedure="false">'C02 Mortgage repayment'!$C$32</definedName>
    <definedName function="false" hidden="false" localSheetId="12" name="Used_Actual_Repayment" vbProcedure="false">'C02 Mortgage repayment'!$C$25</definedName>
    <definedName function="false" hidden="false" localSheetId="12" name="Used_Interest_Rate" vbProcedure="false">'C02 Mortgage repayment'!$C$23</definedName>
    <definedName function="false" hidden="false" localSheetId="12" name="Used_Loan_Amount" vbProcedure="false">'C02 Mortgage repayment'!$C$22</definedName>
    <definedName function="false" hidden="false" localSheetId="12" name="Used_Term_Years" vbProcedure="false">'C02 Mortgage repayment'!$C$24</definedName>
    <definedName function="false" hidden="false" localSheetId="13" name="Buying_Fees" vbProcedure="false">'C03 Deposit'!$G$8</definedName>
    <definedName function="false" hidden="false" localSheetId="13" name="Buying_Fees_Entry" vbProcedure="false">'C03 Deposit'!$C$8</definedName>
    <definedName function="false" hidden="false" localSheetId="13" name="Deposit_Needed" vbProcedure="false">'C03 Deposit'!$C$17</definedName>
    <definedName function="false" hidden="false" localSheetId="13" name="Deposit_Pct" vbProcedure="false">'C03 Deposit'!$G$7</definedName>
    <definedName function="false" hidden="false" localSheetId="13" name="Deposit_Pct_Entry" vbProcedure="false">'C03 Deposit'!$C$7</definedName>
    <definedName function="false" hidden="false" localSheetId="13" name="Extra_Saving" vbProcedure="false">'C03 Deposit'!$G$11</definedName>
    <definedName function="false" hidden="false" localSheetId="13" name="Extra_Saving_Entry" vbProcedure="false">'C03 Deposit'!$C$11</definedName>
    <definedName function="false" hidden="false" localSheetId="13" name="Home_Price" vbProcedure="false">'C03 Deposit'!$G$6</definedName>
    <definedName function="false" hidden="false" localSheetId="13" name="Home_Price_Entry" vbProcedure="false">'C03 Deposit'!$C$6</definedName>
    <definedName function="false" hidden="false" localSheetId="13" name="Monthly_Saving" vbProcedure="false">'C03 Deposit'!$G$10</definedName>
    <definedName function="false" hidden="false" localSheetId="13" name="Monthly_Saving_Entry" vbProcedure="false">'C03 Deposit'!$C$10</definedName>
    <definedName function="false" hidden="false" localSheetId="13" name="Months_To_Deposit" vbProcedure="false">'C03 Deposit'!$C$14</definedName>
    <definedName function="false" hidden="false" localSheetId="13" name="Need_1" vbProcedure="false">'C03 Deposit'!$C$35</definedName>
    <definedName function="false" hidden="false" localSheetId="13" name="Need_2" vbProcedure="false">'C03 Deposit'!$C$36</definedName>
    <definedName function="false" hidden="false" localSheetId="13" name="Need_3" vbProcedure="false">'C03 Deposit'!$C$37</definedName>
    <definedName function="false" hidden="false" localSheetId="13" name="Need_4" vbProcedure="false">'C03 Deposit'!$C$38</definedName>
    <definedName function="false" hidden="false" localSheetId="13" name="Need_5" vbProcedure="false">'C03 Deposit'!$C$39</definedName>
    <definedName function="false" hidden="false" localSheetId="13" name="Need_6" vbProcedure="false">'C03 Deposit'!$C$40</definedName>
    <definedName function="false" hidden="false" localSheetId="13" name="Plan_Goal_Amount" vbProcedure="false">'C03 Deposit'!$C$30</definedName>
    <definedName function="false" hidden="false" localSheetId="13" name="Plan_Goal_Kind" vbProcedure="false">'C03 Deposit'!$C$29</definedName>
    <definedName function="false" hidden="false" localSheetId="13" name="Plan_Goal_Saved" vbProcedure="false">'C03 Deposit'!$C$31</definedName>
    <definedName function="false" hidden="false" localSheetId="13" name="Plan_Goal_Years" vbProcedure="false">'C03 Deposit'!$C$32</definedName>
    <definedName function="false" hidden="false" localSheetId="13" name="Saved" vbProcedure="false">'C03 Deposit'!$G$9</definedName>
    <definedName function="false" hidden="false" localSheetId="13" name="Saved_Entry" vbProcedure="false">'C03 Deposit'!$C$9</definedName>
    <definedName function="false" hidden="false" localSheetId="13" name="Stamp_Duty" vbProcedure="false">'C03 Deposit'!$C$18</definedName>
    <definedName function="false" hidden="false" localSheetId="13" name="Still_To_Save" vbProcedure="false">'C03 Deposit'!$C$16</definedName>
    <definedName function="false" hidden="false" localSheetId="13" name="Total_Needed" vbProcedure="false">'C03 Deposit'!$C$15</definedName>
    <definedName function="false" hidden="false" localSheetId="14" name="Actual_Repayment" vbProcedure="false">'C04 Mortgage overpayment'!$G$18</definedName>
    <definedName function="false" hidden="false" localSheetId="14" name="Actual_Repayment_Entry" vbProcedure="false">'C04 Mortgage overpayment'!$C$18</definedName>
    <definedName function="false" hidden="false" localSheetId="14" name="Extra_Payment" vbProcedure="false">'C04 Mortgage overpayment'!$G$17</definedName>
    <definedName function="false" hidden="false" localSheetId="14" name="Extra_Payment_Entry" vbProcedure="false">'C04 Mortgage overpayment'!$C$17</definedName>
    <definedName function="false" hidden="false" localSheetId="14" name="Interest_Now" vbProcedure="false">'C04 Mortgage overpayment'!$C$37</definedName>
    <definedName function="false" hidden="false" localSheetId="14" name="Interest_Rate" vbProcedure="false">'C04 Mortgage overpayment'!$G$15</definedName>
    <definedName function="false" hidden="false" localSheetId="14" name="Interest_Rate_Entry" vbProcedure="false">'C04 Mortgage overpayment'!$C$15</definedName>
    <definedName function="false" hidden="false" localSheetId="14" name="Interest_Saved" vbProcedure="false">'C04 Mortgage overpayment'!$C$29</definedName>
    <definedName function="false" hidden="false" localSheetId="14" name="Interest_With_Extra" vbProcedure="false">'C04 Mortgage overpayment'!$C$38</definedName>
    <definedName function="false" hidden="false" localSheetId="14" name="Last_Payment_Now" vbProcedure="false">'C04 Mortgage overpayment'!$C$35</definedName>
    <definedName function="false" hidden="false" localSheetId="14" name="Last_Payment_With_Extra" vbProcedure="false">'C04 Mortgage overpayment'!$C$36</definedName>
    <definedName function="false" hidden="false" localSheetId="14" name="Monthly_Rate" vbProcedure="false">'C04 Mortgage overpayment'!$C$32</definedName>
    <definedName function="false" hidden="false" localSheetId="14" name="Months_Now" vbProcedure="false">'C04 Mortgage overpayment'!$C$30</definedName>
    <definedName function="false" hidden="false" localSheetId="14" name="Months_Sooner" vbProcedure="false">'C04 Mortgage overpayment'!$C$28</definedName>
    <definedName function="false" hidden="false" localSheetId="14" name="Months_With_Extra" vbProcedure="false">'C04 Mortgage overpayment'!$C$31</definedName>
    <definedName function="false" hidden="false" localSheetId="14" name="Mortgage_Balance" vbProcedure="false">'C04 Mortgage overpayment'!$G$14</definedName>
    <definedName function="false" hidden="false" localSheetId="14" name="Mortgage_Balance_Entry" vbProcedure="false">'C04 Mortgage overpayment'!$C$14</definedName>
    <definedName function="false" hidden="false" localSheetId="14" name="Need_1" vbProcedure="false">'C04 Mortgage overpayment'!$C$56</definedName>
    <definedName function="false" hidden="false" localSheetId="14" name="Need_2" vbProcedure="false">'C04 Mortgage overpayment'!$C$57</definedName>
    <definedName function="false" hidden="false" localSheetId="14" name="Need_3" vbProcedure="false">'C04 Mortgage overpayment'!$C$58</definedName>
    <definedName function="false" hidden="false" localSheetId="14" name="Plan_Goal_Kind" vbProcedure="false">'C04 Mortgage overpayment'!$C$51</definedName>
    <definedName function="false" hidden="false" localSheetId="14" name="Plan_Goal_Years" vbProcedure="false">'C04 Mortgage overpayment'!$C$52</definedName>
    <definedName function="false" hidden="false" localSheetId="14" name="Repayment_Now" vbProcedure="false">'C04 Mortgage overpayment'!$C$33</definedName>
    <definedName function="false" hidden="false" localSheetId="14" name="Repayment_With_Extra" vbProcedure="false">'C04 Mortgage overpayment'!$C$34</definedName>
    <definedName function="false" hidden="false" localSheetId="14" name="Statement_Check" vbProcedure="false">'C04 Mortgage overpayment'!$C$25</definedName>
    <definedName function="false" hidden="false" localSheetId="14" name="Stmt_Balance" vbProcedure="false">'C04 Mortgage overpayment'!$C$7</definedName>
    <definedName function="false" hidden="false" localSheetId="14" name="Stmt_Rate" vbProcedure="false">'C04 Mortgage overpayment'!$C$8</definedName>
    <definedName function="false" hidden="false" localSheetId="14" name="Stmt_Repayment" vbProcedure="false">'C04 Mortgage overpayment'!$C$10</definedName>
    <definedName function="false" hidden="false" localSheetId="14" name="Stmt_Statement_Date" vbProcedure="false">'C04 Mortgage overpayment'!$C$11</definedName>
    <definedName function="false" hidden="false" localSheetId="14" name="Stmt_Term" vbProcedure="false">'C04 Mortgage overpayment'!$C$9</definedName>
    <definedName function="false" hidden="false" localSheetId="14" name="Used_Actual_Repayment" vbProcedure="false">'C04 Mortgage overpayment'!$C$24</definedName>
    <definedName function="false" hidden="false" localSheetId="14" name="Used_Interest_Rate" vbProcedure="false">'C04 Mortgage overpayment'!$C$22</definedName>
    <definedName function="false" hidden="false" localSheetId="14" name="Used_Mortgage_Balance" vbProcedure="false">'C04 Mortgage overpayment'!$C$21</definedName>
    <definedName function="false" hidden="false" localSheetId="14" name="Used_Years_Left" vbProcedure="false">'C04 Mortgage overpayment'!$C$23</definedName>
    <definedName function="false" hidden="false" localSheetId="14" name="Years_Left" vbProcedure="false">'C04 Mortgage overpayment'!$G$16</definedName>
    <definedName function="false" hidden="false" localSheetId="14" name="Years_Left_Entry" vbProcedure="false">'C04 Mortgage overpayment'!$C$16</definedName>
    <definedName function="false" hidden="false" localSheetId="15" name="Actual_Repayment" vbProcedure="false">'C05 Interest rate impact'!$G$18</definedName>
    <definedName function="false" hidden="false" localSheetId="15" name="Actual_Repayment_Entry" vbProcedure="false">'C05 Interest rate impact'!$C$18</definedName>
    <definedName function="false" hidden="false" localSheetId="15" name="Current_Rate" vbProcedure="false">'C05 Interest rate impact'!$G$15</definedName>
    <definedName function="false" hidden="false" localSheetId="15" name="Current_Rate_Entry" vbProcedure="false">'C05 Interest rate impact'!$C$15</definedName>
    <definedName function="false" hidden="false" localSheetId="15" name="Formula_Now" vbProcedure="false">'C05 Interest rate impact'!$C$32</definedName>
    <definedName function="false" hidden="false" localSheetId="15" name="Monthly_Change" vbProcedure="false">'C05 Interest rate impact'!$C$28</definedName>
    <definedName function="false" hidden="false" localSheetId="15" name="Mortgage_Balance" vbProcedure="false">'C05 Interest rate impact'!$G$14</definedName>
    <definedName function="false" hidden="false" localSheetId="15" name="Mortgage_Balance_Entry" vbProcedure="false">'C05 Interest rate impact'!$C$14</definedName>
    <definedName function="false" hidden="false" localSheetId="15" name="Need_1" vbProcedure="false">'C05 Interest rate impact'!$C$46</definedName>
    <definedName function="false" hidden="false" localSheetId="15" name="Need_2" vbProcedure="false">'C05 Interest rate impact'!$C$47</definedName>
    <definedName function="false" hidden="false" localSheetId="15" name="Need_3" vbProcedure="false">'C05 Interest rate impact'!$C$48</definedName>
    <definedName function="false" hidden="false" localSheetId="15" name="Need_4" vbProcedure="false">'C05 Interest rate impact'!$C$49</definedName>
    <definedName function="false" hidden="false" localSheetId="15" name="New_Rate" vbProcedure="false">'C05 Interest rate impact'!$C$33</definedName>
    <definedName function="false" hidden="false" localSheetId="15" name="Plan_Goal_Kind" vbProcedure="false">'C05 Interest rate impact'!$C$43</definedName>
    <definedName function="false" hidden="false" localSheetId="15" name="Rate_Change" vbProcedure="false">'C05 Interest rate impact'!$G$17</definedName>
    <definedName function="false" hidden="false" localSheetId="15" name="Rate_Change_Entry" vbProcedure="false">'C05 Interest rate impact'!$C$17</definedName>
    <definedName function="false" hidden="false" localSheetId="15" name="Repayment_After" vbProcedure="false">'C05 Interest rate impact'!$C$30</definedName>
    <definedName function="false" hidden="false" localSheetId="15" name="Repayment_Now" vbProcedure="false">'C05 Interest rate impact'!$C$29</definedName>
    <definedName function="false" hidden="false" localSheetId="15" name="Statement_Check" vbProcedure="false">'C05 Interest rate impact'!$C$25</definedName>
    <definedName function="false" hidden="false" localSheetId="15" name="Stmt_Balance" vbProcedure="false">'C05 Interest rate impact'!$C$7</definedName>
    <definedName function="false" hidden="false" localSheetId="15" name="Stmt_Rate" vbProcedure="false">'C05 Interest rate impact'!$C$8</definedName>
    <definedName function="false" hidden="false" localSheetId="15" name="Stmt_Repayment" vbProcedure="false">'C05 Interest rate impact'!$C$10</definedName>
    <definedName function="false" hidden="false" localSheetId="15" name="Stmt_Statement_Date" vbProcedure="false">'C05 Interest rate impact'!$C$11</definedName>
    <definedName function="false" hidden="false" localSheetId="15" name="Stmt_Term" vbProcedure="false">'C05 Interest rate impact'!$C$9</definedName>
    <definedName function="false" hidden="false" localSheetId="15" name="Used_Actual_Repayment" vbProcedure="false">'C05 Interest rate impact'!$C$24</definedName>
    <definedName function="false" hidden="false" localSheetId="15" name="Used_Current_Rate" vbProcedure="false">'C05 Interest rate impact'!$C$22</definedName>
    <definedName function="false" hidden="false" localSheetId="15" name="Used_Mortgage_Balance" vbProcedure="false">'C05 Interest rate impact'!$C$21</definedName>
    <definedName function="false" hidden="false" localSheetId="15" name="Used_Years_Left" vbProcedure="false">'C05 Interest rate impact'!$C$23</definedName>
    <definedName function="false" hidden="false" localSheetId="15" name="Yearly_Change" vbProcedure="false">'C05 Interest rate impact'!$C$31</definedName>
    <definedName function="false" hidden="false" localSheetId="15" name="Years_Left" vbProcedure="false">'C05 Interest rate impact'!$G$16</definedName>
    <definedName function="false" hidden="false" localSheetId="15" name="Years_Left_Entry" vbProcedure="false">'C05 Interest rate impact'!$C$16</definedName>
    <definedName function="false" hidden="false" localSheetId="16" name="Interest_A" vbProcedure="false">'C06 Term comparison'!$C$28</definedName>
    <definedName function="false" hidden="false" localSheetId="16" name="Interest_B" vbProcedure="false">'C06 Term comparison'!$C$29</definedName>
    <definedName function="false" hidden="false" localSheetId="16" name="Interest_Difference" vbProcedure="false">'C06 Term comparison'!$C$25</definedName>
    <definedName function="false" hidden="false" localSheetId="16" name="Interest_Rate" vbProcedure="false">'C06 Term comparison'!$G$14</definedName>
    <definedName function="false" hidden="false" localSheetId="16" name="Interest_Rate_Entry" vbProcedure="false">'C06 Term comparison'!$C$14</definedName>
    <definedName function="false" hidden="false" localSheetId="16" name="Loan_Amount" vbProcedure="false">'C06 Term comparison'!$G$13</definedName>
    <definedName function="false" hidden="false" localSheetId="16" name="Loan_Amount_Entry" vbProcedure="false">'C06 Term comparison'!$C$13</definedName>
    <definedName function="false" hidden="false" localSheetId="16" name="Monthly_A" vbProcedure="false">'C06 Term comparison'!$C$26</definedName>
    <definedName function="false" hidden="false" localSheetId="16" name="Monthly_B" vbProcedure="false">'C06 Term comparison'!$C$27</definedName>
    <definedName function="false" hidden="false" localSheetId="16" name="Need_1" vbProcedure="false">'C06 Term comparison'!$C$42</definedName>
    <definedName function="false" hidden="false" localSheetId="16" name="Need_2" vbProcedure="false">'C06 Term comparison'!$C$43</definedName>
    <definedName function="false" hidden="false" localSheetId="16" name="Need_3" vbProcedure="false">'C06 Term comparison'!$C$44</definedName>
    <definedName function="false" hidden="false" localSheetId="16" name="Plan_Goal_Kind" vbProcedure="false">'C06 Term comparison'!$C$39</definedName>
    <definedName function="false" hidden="false" localSheetId="16" name="Statement_Check" vbProcedure="false">'C06 Term comparison'!$C$22</definedName>
    <definedName function="false" hidden="false" localSheetId="16" name="Stmt_Balance" vbProcedure="false">'C06 Term comparison'!$C$7</definedName>
    <definedName function="false" hidden="false" localSheetId="16" name="Stmt_Rate" vbProcedure="false">'C06 Term comparison'!$C$8</definedName>
    <definedName function="false" hidden="false" localSheetId="16" name="Stmt_Statement_Date" vbProcedure="false">'C06 Term comparison'!$C$10</definedName>
    <definedName function="false" hidden="false" localSheetId="16" name="Stmt_Term" vbProcedure="false">'C06 Term comparison'!$C$9</definedName>
    <definedName function="false" hidden="false" localSheetId="16" name="Term_A" vbProcedure="false">'C06 Term comparison'!$G$15</definedName>
    <definedName function="false" hidden="false" localSheetId="16" name="Term_A_Entry" vbProcedure="false">'C06 Term comparison'!$C$15</definedName>
    <definedName function="false" hidden="false" localSheetId="16" name="Term_B" vbProcedure="false">'C06 Term comparison'!$G$16</definedName>
    <definedName function="false" hidden="false" localSheetId="16" name="Term_B_Entry" vbProcedure="false">'C06 Term comparison'!$C$16</definedName>
    <definedName function="false" hidden="false" localSheetId="16" name="Used_Interest_Rate" vbProcedure="false">'C06 Term comparison'!$C$20</definedName>
    <definedName function="false" hidden="false" localSheetId="16" name="Used_Loan_Amount" vbProcedure="false">'C06 Term comparison'!$C$19</definedName>
    <definedName function="false" hidden="false" localSheetId="16" name="Used_Term_A" vbProcedure="false">'C06 Term comparison'!$C$21</definedName>
    <definedName function="false" hidden="false" localSheetId="17" name="Balance_After" vbProcedure="false">'C07 Rent vs buy'!$C$26</definedName>
    <definedName function="false" hidden="false" localSheetId="17" name="Buying_Costs" vbProcedure="false">'C07 Rent vs buy'!$C$22</definedName>
    <definedName function="false" hidden="false" localSheetId="17" name="Buying_Fees" vbProcedure="false">'C07 Rent vs buy'!$G$15</definedName>
    <definedName function="false" hidden="false" localSheetId="17" name="Buying_Fees_Entry" vbProcedure="false">'C07 Rent vs buy'!$C$15</definedName>
    <definedName function="false" hidden="false" localSheetId="17" name="Deposit" vbProcedure="false">'C07 Rent vs buy'!$G$8</definedName>
    <definedName function="false" hidden="false" localSheetId="17" name="Deposit_Entry" vbProcedure="false">'C07 Rent vs buy'!$C$8</definedName>
    <definedName function="false" hidden="false" localSheetId="17" name="Deposit_Used" vbProcedure="false">'C07 Rent vs buy'!$C$18</definedName>
    <definedName function="false" hidden="false" localSheetId="17" name="Home_Equity" vbProcedure="false">'C07 Rent vs buy'!$C$20</definedName>
    <definedName function="false" hidden="false" localSheetId="17" name="Home_Goal_Years" vbProcedure="false">'C07 Rent vs buy'!$G$17</definedName>
    <definedName function="false" hidden="false" localSheetId="17" name="Home_Goal_Years_Entry" vbProcedure="false">'C07 Rent vs buy'!$C$17</definedName>
    <definedName function="false" hidden="false" localSheetId="17" name="Home_Price" vbProcedure="false">'C07 Rent vs buy'!$G$7</definedName>
    <definedName function="false" hidden="false" localSheetId="17" name="Home_Price_Entry" vbProcedure="false">'C07 Rent vs buy'!$C$7</definedName>
    <definedName function="false" hidden="false" localSheetId="17" name="Home_Value" vbProcedure="false">'C07 Rent vs buy'!$C$23</definedName>
    <definedName function="false" hidden="false" localSheetId="17" name="House_Growth" vbProcedure="false">'C07 Rent vs buy'!$G$12</definedName>
    <definedName function="false" hidden="false" localSheetId="17" name="House_Growth_Entry" vbProcedure="false">'C07 Rent vs buy'!$C$12</definedName>
    <definedName function="false" hidden="false" localSheetId="17" name="Interest_Paid" vbProcedure="false">'C07 Rent vs buy'!$C$27</definedName>
    <definedName function="false" hidden="false" localSheetId="17" name="Loan" vbProcedure="false">'C07 Rent vs buy'!$C$24</definedName>
    <definedName function="false" hidden="false" localSheetId="17" name="Monthly_Rent" vbProcedure="false">'C07 Rent vs buy'!$G$6</definedName>
    <definedName function="false" hidden="false" localSheetId="17" name="Monthly_Rent_Entry" vbProcedure="false">'C07 Rent vs buy'!$C$6</definedName>
    <definedName function="false" hidden="false" localSheetId="17" name="Monthly_Repayment" vbProcedure="false">'C07 Rent vs buy'!$C$25</definedName>
    <definedName function="false" hidden="false" localSheetId="17" name="Mortgage_Rate" vbProcedure="false">'C07 Rent vs buy'!$G$9</definedName>
    <definedName function="false" hidden="false" localSheetId="17" name="Mortgage_Rate_Entry" vbProcedure="false">'C07 Rent vs buy'!$C$9</definedName>
    <definedName function="false" hidden="false" localSheetId="17" name="Need_1" vbProcedure="false">'C07 Rent vs buy'!$C$46</definedName>
    <definedName function="false" hidden="false" localSheetId="17" name="Need_10" vbProcedure="false">'C07 Rent vs buy'!$C$55</definedName>
    <definedName function="false" hidden="false" localSheetId="17" name="Need_11" vbProcedure="false">'C07 Rent vs buy'!$C$56</definedName>
    <definedName function="false" hidden="false" localSheetId="17" name="Need_12" vbProcedure="false">'C07 Rent vs buy'!$C$57</definedName>
    <definedName function="false" hidden="false" localSheetId="17" name="Need_2" vbProcedure="false">'C07 Rent vs buy'!$C$47</definedName>
    <definedName function="false" hidden="false" localSheetId="17" name="Need_3" vbProcedure="false">'C07 Rent vs buy'!$C$48</definedName>
    <definedName function="false" hidden="false" localSheetId="17" name="Need_4" vbProcedure="false">'C07 Rent vs buy'!$C$49</definedName>
    <definedName function="false" hidden="false" localSheetId="17" name="Need_5" vbProcedure="false">'C07 Rent vs buy'!$C$50</definedName>
    <definedName function="false" hidden="false" localSheetId="17" name="Need_6" vbProcedure="false">'C07 Rent vs buy'!$C$51</definedName>
    <definedName function="false" hidden="false" localSheetId="17" name="Need_7" vbProcedure="false">'C07 Rent vs buy'!$C$52</definedName>
    <definedName function="false" hidden="false" localSheetId="17" name="Need_8" vbProcedure="false">'C07 Rent vs buy'!$C$53</definedName>
    <definedName function="false" hidden="false" localSheetId="17" name="Need_9" vbProcedure="false">'C07 Rent vs buy'!$C$54</definedName>
    <definedName function="false" hidden="false" localSheetId="17" name="Opportunity_Cost" vbProcedure="false">'C07 Rent vs buy'!$C$30</definedName>
    <definedName function="false" hidden="false" localSheetId="17" name="Opp_Rate" vbProcedure="false">'C07 Rent vs buy'!$G$16</definedName>
    <definedName function="false" hidden="false" localSheetId="17" name="Opp_Rate_Entry" vbProcedure="false">'C07 Rent vs buy'!$C$16</definedName>
    <definedName function="false" hidden="false" localSheetId="17" name="Plan_Goal_Amount" vbProcedure="false">'C07 Rent vs buy'!$C$42</definedName>
    <definedName function="false" hidden="false" localSheetId="17" name="Plan_Goal_Kind" vbProcedure="false">'C07 Rent vs buy'!$C$41</definedName>
    <definedName function="false" hidden="false" localSheetId="17" name="Plan_Goal_Years" vbProcedure="false">'C07 Rent vs buy'!$C$43</definedName>
    <definedName function="false" hidden="false" localSheetId="17" name="RentBuy_Term" vbProcedure="false">'C07 Rent vs buy'!$G$10</definedName>
    <definedName function="false" hidden="false" localSheetId="17" name="RentBuy_Term_Entry" vbProcedure="false">'C07 Rent vs buy'!$C$10</definedName>
    <definedName function="false" hidden="false" localSheetId="17" name="Rent_Growth" vbProcedure="false">'C07 Rent vs buy'!$G$13</definedName>
    <definedName function="false" hidden="false" localSheetId="17" name="Rent_Growth_Entry" vbProcedure="false">'C07 Rent vs buy'!$C$13</definedName>
    <definedName function="false" hidden="false" localSheetId="17" name="Rent_Paid" vbProcedure="false">'C07 Rent vs buy'!$C$21</definedName>
    <definedName function="false" hidden="false" localSheetId="17" name="Stamp_Duty" vbProcedure="false">'C07 Rent vs buy'!$C$29</definedName>
    <definedName function="false" hidden="false" localSheetId="17" name="Upkeep" vbProcedure="false">'C07 Rent vs buy'!$C$28</definedName>
    <definedName function="false" hidden="false" localSheetId="17" name="Upkeep_Rate" vbProcedure="false">'C07 Rent vs buy'!$G$14</definedName>
    <definedName function="false" hidden="false" localSheetId="17" name="Upkeep_Rate_Entry" vbProcedure="false">'C07 Rent vs buy'!$C$14</definedName>
    <definedName function="false" hidden="false" localSheetId="17" name="Years" vbProcedure="false">'C07 Rent vs buy'!$G$11</definedName>
    <definedName function="false" hidden="false" localSheetId="17" name="Years_Entry" vbProcedure="false">'C07 Rent vs buy'!$C$11</definedName>
    <definedName function="false" hidden="false" localSheetId="18" name="Future_Cost" vbProcedure="false">'C08 Goal planner'!$C$17</definedName>
    <definedName function="false" hidden="false" localSheetId="18" name="Goal_Amount" vbProcedure="false">'C08 Goal planner'!$G$10</definedName>
    <definedName function="false" hidden="false" localSheetId="18" name="Goal_Amount_Entry" vbProcedure="false">'C08 Goal planner'!$C$10</definedName>
    <definedName function="false" hidden="false" localSheetId="18" name="Growth_Rate" vbProcedure="false">'C08 Goal planner'!$G$13</definedName>
    <definedName function="false" hidden="false" localSheetId="18" name="Growth_Rate_Entry" vbProcedure="false">'C08 Goal planner'!$C$13</definedName>
    <definedName function="false" hidden="false" localSheetId="18" name="Inflation_Choice" vbProcedure="false">'C08 Goal planner'!$G$6</definedName>
    <definedName function="false" hidden="false" localSheetId="18" name="Inflation_Choice_Entry" vbProcedure="false">'C08 Goal planner'!$C$6</definedName>
    <definedName function="false" hidden="false" localSheetId="18" name="Monthly_Growth" vbProcedure="false">'C08 Goal planner'!$C$20</definedName>
    <definedName function="false" hidden="false" localSheetId="18" name="Monthly_Saving" vbProcedure="false">'C08 Goal planner'!$C$16</definedName>
    <definedName function="false" hidden="false" localSheetId="18" name="Need_1" vbProcedure="false">'C08 Goal planner'!$C$39</definedName>
    <definedName function="false" hidden="false" localSheetId="18" name="Need_2" vbProcedure="false">'C08 Goal planner'!$C$40</definedName>
    <definedName function="false" hidden="false" localSheetId="18" name="Need_3" vbProcedure="false">'C08 Goal planner'!$C$41</definedName>
    <definedName function="false" hidden="false" localSheetId="18" name="Need_4" vbProcedure="false">'C08 Goal planner'!$C$42</definedName>
    <definedName function="false" hidden="false" localSheetId="18" name="Need_5" vbProcedure="false">'C08 Goal planner'!$C$43</definedName>
    <definedName function="false" hidden="false" localSheetId="18" name="Need_6" vbProcedure="false">'C08 Goal planner'!$C$44</definedName>
    <definedName function="false" hidden="false" localSheetId="18" name="Need_7" vbProcedure="false">'C08 Goal planner'!$C$45</definedName>
    <definedName function="false" hidden="false" localSheetId="18" name="Plan_Goal_Amount" vbProcedure="false">'C08 Goal planner'!$C$33</definedName>
    <definedName function="false" hidden="false" localSheetId="18" name="Plan_Goal_Kind" vbProcedure="false">'C08 Goal planner'!$C$32</definedName>
    <definedName function="false" hidden="false" localSheetId="18" name="Plan_Goal_Saved" vbProcedure="false">'C08 Goal planner'!$C$34</definedName>
    <definedName function="false" hidden="false" localSheetId="18" name="Plan_Goal_Years" vbProcedure="false">'C08 Goal planner'!$C$35</definedName>
    <definedName function="false" hidden="false" localSheetId="18" name="Plan_Inflation" vbProcedure="false">'C08 Goal planner'!$C$36</definedName>
    <definedName function="false" hidden="false" localSheetId="18" name="Saved" vbProcedure="false">'C08 Goal planner'!$G$12</definedName>
    <definedName function="false" hidden="false" localSheetId="18" name="Saved_Entry" vbProcedure="false">'C08 Goal planner'!$C$12</definedName>
    <definedName function="false" hidden="false" localSheetId="18" name="Saved_Grows_To" vbProcedure="false">'C08 Goal planner'!$C$18</definedName>
    <definedName function="false" hidden="false" localSheetId="18" name="Still_Needed" vbProcedure="false">'C08 Goal planner'!$C$19</definedName>
    <definedName function="false" hidden="false" localSheetId="18" name="Years" vbProcedure="false">'C08 Goal planner'!$G$11</definedName>
    <definedName function="false" hidden="false" localSheetId="18" name="Years_Entry" vbProcedure="false">'C08 Goal planner'!$C$11</definedName>
    <definedName function="false" hidden="false" localSheetId="19" name="Grows_To" vbProcedure="false">'C09 Compound growth'!$C$16</definedName>
    <definedName function="false" hidden="false" localSheetId="19" name="Growth_Earned" vbProcedure="false">'C09 Compound growth'!$C$19</definedName>
    <definedName function="false" hidden="false" localSheetId="19" name="Growth_Rate" vbProcedure="false">'C09 Compound growth'!$G$12</definedName>
    <definedName function="false" hidden="false" localSheetId="19" name="Growth_Rate_Entry" vbProcedure="false">'C09 Compound growth'!$C$12</definedName>
    <definedName function="false" hidden="false" localSheetId="19" name="Inflation_Choice" vbProcedure="false">'C09 Compound growth'!$G$6</definedName>
    <definedName function="false" hidden="false" localSheetId="19" name="Inflation_Choice_Entry" vbProcedure="false">'C09 Compound growth'!$C$6</definedName>
    <definedName function="false" hidden="false" localSheetId="19" name="Monthly_Addition" vbProcedure="false">'C09 Compound growth'!$G$11</definedName>
    <definedName function="false" hidden="false" localSheetId="19" name="Monthly_Addition_Entry" vbProcedure="false">'C09 Compound growth'!$C$11</definedName>
    <definedName function="false" hidden="false" localSheetId="19" name="Monthly_Growth" vbProcedure="false">'C09 Compound growth'!$C$20</definedName>
    <definedName function="false" hidden="false" localSheetId="19" name="Need_1" vbProcedure="false">'C09 Compound growth'!$C$38</definedName>
    <definedName function="false" hidden="false" localSheetId="19" name="Need_2" vbProcedure="false">'C09 Compound growth'!$C$39</definedName>
    <definedName function="false" hidden="false" localSheetId="19" name="Need_3" vbProcedure="false">'C09 Compound growth'!$C$40</definedName>
    <definedName function="false" hidden="false" localSheetId="19" name="Need_4" vbProcedure="false">'C09 Compound growth'!$C$41</definedName>
    <definedName function="false" hidden="false" localSheetId="19" name="Need_5" vbProcedure="false">'C09 Compound growth'!$C$42</definedName>
    <definedName function="false" hidden="false" localSheetId="19" name="Paid_In" vbProcedure="false">'C09 Compound growth'!$C$18</definedName>
    <definedName function="false" hidden="false" localSheetId="19" name="Plan_Goal_Amount" vbProcedure="false">'C09 Compound growth'!$C$32</definedName>
    <definedName function="false" hidden="false" localSheetId="19" name="Plan_Goal_Kind" vbProcedure="false">'C09 Compound growth'!$C$31</definedName>
    <definedName function="false" hidden="false" localSheetId="19" name="Plan_Goal_Years" vbProcedure="false">'C09 Compound growth'!$C$33</definedName>
    <definedName function="false" hidden="false" localSheetId="19" name="Plan_Inflation" vbProcedure="false">'C09 Compound growth'!$C$34</definedName>
    <definedName function="false" hidden="false" localSheetId="19" name="Starting_Amount" vbProcedure="false">'C09 Compound growth'!$G$10</definedName>
    <definedName function="false" hidden="false" localSheetId="19" name="Starting_Amount_Entry" vbProcedure="false">'C09 Compound growth'!$C$10</definedName>
    <definedName function="false" hidden="false" localSheetId="19" name="Value_Today" vbProcedure="false">'C09 Compound growth'!$C$17</definedName>
    <definedName function="false" hidden="false" localSheetId="19" name="Years" vbProcedure="false">'C09 Compound growth'!$G$13</definedName>
    <definedName function="false" hidden="false" localSheetId="19" name="Years_Entry" vbProcedure="false">'C09 Compound growth'!$C$13</definedName>
    <definedName function="false" hidden="false" localSheetId="20" name="Adjust_For_Inflation" vbProcedure="false">'C10 Lump sum growth'!$G$21</definedName>
    <definedName function="false" hidden="false" localSheetId="20" name="Adjust_For_Inflation_Entry" vbProcedure="false">'C10 Lump sum growth'!$C$21</definedName>
    <definedName function="false" hidden="false" localSheetId="20" name="Amount" vbProcedure="false">'C10 Lump sum growth'!$G$16</definedName>
    <definedName function="false" hidden="false" localSheetId="20" name="Amount_Entry" vbProcedure="false">'C10 Lump sum growth'!$C$16</definedName>
    <definedName function="false" hidden="false" localSheetId="20" name="Cost_Of_Waiting" vbProcedure="false">'C10 Lump sum growth'!$C$34</definedName>
    <definedName function="false" hidden="false" localSheetId="20" name="Fees_Cost" vbProcedure="false">'C10 Lump sum growth'!$C$35</definedName>
    <definedName function="false" hidden="false" localSheetId="20" name="Grows_To" vbProcedure="false">'C10 Lump sum growth'!$C$31</definedName>
    <definedName function="false" hidden="false" localSheetId="20" name="Growth_After_Fees" vbProcedure="false">'C10 Lump sum growth'!$C$36</definedName>
    <definedName function="false" hidden="false" localSheetId="20" name="Growth_Rate" vbProcedure="false">'C10 Lump sum growth'!$G$17</definedName>
    <definedName function="false" hidden="false" localSheetId="20" name="Growth_Rate_Entry" vbProcedure="false">'C10 Lump sum growth'!$C$17</definedName>
    <definedName function="false" hidden="false" localSheetId="20" name="Headline" vbProcedure="false">'C10 Lump sum growth'!$C$30</definedName>
    <definedName function="false" hidden="false" localSheetId="20" name="Inflation_Choice" vbProcedure="false">'C10 Lump sum growth'!$G$6</definedName>
    <definedName function="false" hidden="false" localSheetId="20" name="Inflation_Choice_Entry" vbProcedure="false">'C10 Lump sum growth'!$C$6</definedName>
    <definedName function="false" hidden="false" localSheetId="20" name="Need_1" vbProcedure="false">'C10 Lump sum growth'!$C$56</definedName>
    <definedName function="false" hidden="false" localSheetId="20" name="Need_2" vbProcedure="false">'C10 Lump sum growth'!$C$57</definedName>
    <definedName function="false" hidden="false" localSheetId="20" name="Need_3" vbProcedure="false">'C10 Lump sum growth'!$C$58</definedName>
    <definedName function="false" hidden="false" localSheetId="20" name="Need_4" vbProcedure="false">'C10 Lump sum growth'!$C$59</definedName>
    <definedName function="false" hidden="false" localSheetId="20" name="Need_5" vbProcedure="false">'C10 Lump sum growth'!$C$60</definedName>
    <definedName function="false" hidden="false" localSheetId="20" name="Need_6" vbProcedure="false">'C10 Lump sum growth'!$C$61</definedName>
    <definedName function="false" hidden="false" localSheetId="20" name="Plan_Goal_Amount" vbProcedure="false">'C10 Lump sum growth'!$C$50</definedName>
    <definedName function="false" hidden="false" localSheetId="20" name="Plan_Goal_Kind" vbProcedure="false">'C10 Lump sum growth'!$C$49</definedName>
    <definedName function="false" hidden="false" localSheetId="20" name="Plan_Goal_Years" vbProcedure="false">'C10 Lump sum growth'!$C$51</definedName>
    <definedName function="false" hidden="false" localSheetId="20" name="Plan_Inflation" vbProcedure="false">'C10 Lump sum growth'!$C$52</definedName>
    <definedName function="false" hidden="false" localSheetId="20" name="Real_Return" vbProcedure="false">'C10 Lump sum growth'!$C$37</definedName>
    <definedName function="false" hidden="false" localSheetId="20" name="Statement_Check" vbProcedure="false">'C10 Lump sum growth'!$C$27</definedName>
    <definedName function="false" hidden="false" localSheetId="20" name="Statement_Uploaded" vbProcedure="false">'C10 Lump sum growth'!$C$24</definedName>
    <definedName function="false" hidden="false" localSheetId="20" name="Stmt_Charges" vbProcedure="false">'C10 Lump sum growth'!$C$12</definedName>
    <definedName function="false" hidden="false" localSheetId="20" name="Stmt_Statement_Date" vbProcedure="false">'C10 Lump sum growth'!$C$13</definedName>
    <definedName function="false" hidden="false" localSheetId="20" name="Stmt_Total_Value" vbProcedure="false">'C10 Lump sum growth'!$C$11</definedName>
    <definedName function="false" hidden="false" localSheetId="20" name="Used_Amount" vbProcedure="false">'C10 Lump sum growth'!$C$25</definedName>
    <definedName function="false" hidden="false" localSheetId="20" name="Used_Yearly_Fees" vbProcedure="false">'C10 Lump sum growth'!$C$26</definedName>
    <definedName function="false" hidden="false" localSheetId="20" name="Value_Start_Later" vbProcedure="false">'C10 Lump sum growth'!$C$33</definedName>
    <definedName function="false" hidden="false" localSheetId="20" name="Value_Today" vbProcedure="false">'C10 Lump sum growth'!$C$32</definedName>
    <definedName function="false" hidden="false" localSheetId="20" name="Wait_Years" vbProcedure="false">'C10 Lump sum growth'!$G$20</definedName>
    <definedName function="false" hidden="false" localSheetId="20" name="Wait_Years_Entry" vbProcedure="false">'C10 Lump sum growth'!$C$20</definedName>
    <definedName function="false" hidden="false" localSheetId="20" name="Yearly_Fees" vbProcedure="false">'C10 Lump sum growth'!$G$19</definedName>
    <definedName function="false" hidden="false" localSheetId="20" name="Yearly_Fees_Entry" vbProcedure="false">'C10 Lump sum growth'!$C$19</definedName>
    <definedName function="false" hidden="false" localSheetId="20" name="Years" vbProcedure="false">'C10 Lump sum growth'!$G$18</definedName>
    <definedName function="false" hidden="false" localSheetId="20" name="Years_Entry" vbProcedure="false">'C10 Lump sum growth'!$C$18</definedName>
    <definedName function="false" hidden="false" localSheetId="21" name="Essential_Spending" vbProcedure="false">'C11 Emergency fund'!$G$6</definedName>
    <definedName function="false" hidden="false" localSheetId="21" name="Essential_Spending_Entry" vbProcedure="false">'C11 Emergency fund'!$C$6</definedName>
    <definedName function="false" hidden="false" localSheetId="21" name="Months_Covered" vbProcedure="false">'C11 Emergency fund'!$C$12</definedName>
    <definedName function="false" hidden="false" localSheetId="21" name="Months_Wanted" vbProcedure="false">'C11 Emergency fund'!$G$7</definedName>
    <definedName function="false" hidden="false" localSheetId="21" name="Months_Wanted_Entry" vbProcedure="false">'C11 Emergency fund'!$C$7</definedName>
    <definedName function="false" hidden="false" localSheetId="21" name="Need_1" vbProcedure="false">'C11 Emergency fund'!$C$28</definedName>
    <definedName function="false" hidden="false" localSheetId="21" name="Need_2" vbProcedure="false">'C11 Emergency fund'!$C$29</definedName>
    <definedName function="false" hidden="false" localSheetId="21" name="Need_3" vbProcedure="false">'C11 Emergency fund'!$C$30</definedName>
    <definedName function="false" hidden="false" localSheetId="21" name="Need_4" vbProcedure="false">'C11 Emergency fund'!$C$31</definedName>
    <definedName function="false" hidden="false" localSheetId="21" name="Need_5" vbProcedure="false">'C11 Emergency fund'!$C$32</definedName>
    <definedName function="false" hidden="false" localSheetId="21" name="Plan_Goal_Amount" vbProcedure="false">'C11 Emergency fund'!$C$23</definedName>
    <definedName function="false" hidden="false" localSheetId="21" name="Plan_Goal_Kind" vbProcedure="false">'C11 Emergency fund'!$C$22</definedName>
    <definedName function="false" hidden="false" localSheetId="21" name="Plan_Goal_Saved" vbProcedure="false">'C11 Emergency fund'!$C$24</definedName>
    <definedName function="false" hidden="false" localSheetId="21" name="Plan_Goal_Years" vbProcedure="false">'C11 Emergency fund'!$C$25</definedName>
    <definedName function="false" hidden="false" localSheetId="21" name="Safety_Goal_Years" vbProcedure="false">'C11 Emergency fund'!$G$8</definedName>
    <definedName function="false" hidden="false" localSheetId="21" name="Safety_Goal_Years_Entry" vbProcedure="false">'C11 Emergency fund'!$C$8</definedName>
    <definedName function="false" hidden="false" localSheetId="21" name="Savings" vbProcedure="false">'C11 Emergency fund'!$G$9</definedName>
    <definedName function="false" hidden="false" localSheetId="21" name="Savings_Entry" vbProcedure="false">'C11 Emergency fund'!$C$9</definedName>
    <definedName function="false" hidden="false" localSheetId="21" name="Still_To_Build" vbProcedure="false">'C11 Emergency fund'!$C$14</definedName>
    <definedName function="false" hidden="false" localSheetId="21" name="Target" vbProcedure="false">'C11 Emergency fund'!$C$13</definedName>
    <definedName function="false" hidden="false" localSheetId="22" name="Access_Age" vbProcedure="false">'C12 Retirement projection'!$G$35</definedName>
    <definedName function="false" hidden="false" localSheetId="22" name="Access_Age_Entry" vbProcedure="false">'C12 Retirement projection'!$C$35</definedName>
    <definedName function="false" hidden="false" localSheetId="22" name="Age" vbProcedure="false">'C12 Retirement projection'!$G$21</definedName>
    <definedName function="false" hidden="false" localSheetId="22" name="Age_Entry" vbProcedure="false">'C12 Retirement projection'!$C$21</definedName>
    <definedName function="false" hidden="false" localSheetId="22" name="Bridge_Years" vbProcedure="false">'C12 Retirement projection'!$C$49</definedName>
    <definedName function="false" hidden="false" localSheetId="22" name="Calculated_Fund" vbProcedure="false">'C12 Retirement projection'!$C$47</definedName>
    <definedName function="false" hidden="false" localSheetId="22" name="Contribution" vbProcedure="false">'C12 Retirement projection'!$C$56</definedName>
    <definedName function="false" hidden="false" localSheetId="22" name="Contributions_Grow_To" vbProcedure="false">'C12 Retirement projection'!$C$57</definedName>
    <definedName function="false" hidden="false" localSheetId="22" name="Desired_Income" vbProcedure="false">'C12 Retirement projection'!$G$25</definedName>
    <definedName function="false" hidden="false" localSheetId="22" name="Desired_Income_Entry" vbProcedure="false">'C12 Retirement projection'!$C$25</definedName>
    <definedName function="false" hidden="false" localSheetId="22" name="Early_Warning" vbProcedure="false">'C12 Retirement projection'!$C$53</definedName>
    <definedName function="false" hidden="false" localSheetId="22" name="Fund_Today" vbProcedure="false">'C12 Retirement projection'!$C$46</definedName>
    <definedName function="false" hidden="false" localSheetId="22" name="Gap_Today" vbProcedure="false">'C12 Retirement projection'!$C$44</definedName>
    <definedName function="false" hidden="false" localSheetId="22" name="Growth_Rate" vbProcedure="false">'C12 Retirement projection'!$G$27</definedName>
    <definedName function="false" hidden="false" localSheetId="22" name="Growth_Rate_Entry" vbProcedure="false">'C12 Retirement projection'!$C$27</definedName>
    <definedName function="false" hidden="false" localSheetId="22" name="Inflation_Choice" vbProcedure="false">'C12 Retirement projection'!$G$6</definedName>
    <definedName function="false" hidden="false" localSheetId="22" name="Inflation_Choice_Entry" vbProcedure="false">'C12 Retirement projection'!$C$6</definedName>
    <definedName function="false" hidden="false" localSheetId="22" name="Lump_Sum" vbProcedure="false">'C12 Retirement projection'!$C$50</definedName>
    <definedName function="false" hidden="false" localSheetId="22" name="Lump_Sum_Net" vbProcedure="false">'C12 Retirement projection'!$C$52</definedName>
    <definedName function="false" hidden="false" localSheetId="22" name="Lump_Sum_Pct" vbProcedure="false">'C12 Retirement projection'!$G$31</definedName>
    <definedName function="false" hidden="false" localSheetId="22" name="Lump_Sum_Pct_Entry" vbProcedure="false">'C12 Retirement projection'!$C$31</definedName>
    <definedName function="false" hidden="false" localSheetId="22" name="Lump_Sum_Tax" vbProcedure="false">'C12 Retirement projection'!$C$51</definedName>
    <definedName function="false" hidden="false" localSheetId="22" name="Monthly_Contribution" vbProcedure="false">'C12 Retirement projection'!$G$24</definedName>
    <definedName function="false" hidden="false" localSheetId="22" name="Monthly_Contribution_Entry" vbProcedure="false">'C12 Retirement projection'!$C$24</definedName>
    <definedName function="false" hidden="false" localSheetId="22" name="Need_1" vbProcedure="false">'C12 Retirement projection'!$C$77</definedName>
    <definedName function="false" hidden="false" localSheetId="22" name="Need_2" vbProcedure="false">'C12 Retirement projection'!$C$78</definedName>
    <definedName function="false" hidden="false" localSheetId="22" name="Need_3" vbProcedure="false">'C12 Retirement projection'!$C$79</definedName>
    <definedName function="false" hidden="false" localSheetId="22" name="Need_4" vbProcedure="false">'C12 Retirement projection'!$C$80</definedName>
    <definedName function="false" hidden="false" localSheetId="22" name="Need_5" vbProcedure="false">'C12 Retirement projection'!$C$81</definedName>
    <definedName function="false" hidden="false" localSheetId="22" name="Need_6" vbProcedure="false">'C12 Retirement projection'!$C$82</definedName>
    <definedName function="false" hidden="false" localSheetId="22" name="Need_7" vbProcedure="false">'C12 Retirement projection'!$C$83</definedName>
    <definedName function="false" hidden="false" localSheetId="22" name="Need_8" vbProcedure="false">'C12 Retirement projection'!$C$84</definedName>
    <definedName function="false" hidden="false" localSheetId="22" name="Need_9" vbProcedure="false">'C12 Retirement projection'!$C$85</definedName>
    <definedName function="false" hidden="false" localSheetId="22" name="Other_Income" vbProcedure="false">'C12 Retirement projection'!$G$26</definedName>
    <definedName function="false" hidden="false" localSheetId="22" name="Other_Income_Entry" vbProcedure="false">'C12 Retirement projection'!$C$26</definedName>
    <definedName function="false" hidden="false" localSheetId="22" name="Pension_Today" vbProcedure="false">'C12 Retirement projection'!$G$23</definedName>
    <definedName function="false" hidden="false" localSheetId="22" name="Pension_Today_Entry" vbProcedure="false">'C12 Retirement projection'!$C$23</definedName>
    <definedName function="false" hidden="false" localSheetId="22" name="Plan_Goal_Age" vbProcedure="false">'C12 Retirement projection'!$C$72</definedName>
    <definedName function="false" hidden="false" localSheetId="22" name="Plan_Goal_Income" vbProcedure="false">'C12 Retirement projection'!$C$71</definedName>
    <definedName function="false" hidden="false" localSheetId="22" name="Plan_Goal_Kind" vbProcedure="false">'C12 Retirement projection'!$C$70</definedName>
    <definedName function="false" hidden="false" localSheetId="22" name="Plan_Inflation" vbProcedure="false">'C12 Retirement projection'!$C$73</definedName>
    <definedName function="false" hidden="false" localSheetId="22" name="Projected_Fund" vbProcedure="false">'C12 Retirement projection'!$C$45</definedName>
    <definedName function="false" hidden="false" localSheetId="22" name="Retirement_Age" vbProcedure="false">'C12 Retirement projection'!$G$22</definedName>
    <definedName function="false" hidden="false" localSheetId="22" name="Retirement_Age_Entry" vbProcedure="false">'C12 Retirement projection'!$C$22</definedName>
    <definedName function="false" hidden="false" localSheetId="22" name="Retire_Later" vbProcedure="false">'C12 Retirement projection'!$G$32</definedName>
    <definedName function="false" hidden="false" localSheetId="22" name="Retire_Later_Entry" vbProcedure="false">'C12 Retirement projection'!$C$32</definedName>
    <definedName function="false" hidden="false" localSheetId="22" name="Retire_Multiple" vbProcedure="false">'C12 Retirement projection'!$G$29</definedName>
    <definedName function="false" hidden="false" localSheetId="22" name="Retire_Multiple_Entry" vbProcedure="false">'C12 Retirement projection'!$C$29</definedName>
    <definedName function="false" hidden="false" localSheetId="22" name="Save_More" vbProcedure="false">'C12 Retirement projection'!$G$33</definedName>
    <definedName function="false" hidden="false" localSheetId="22" name="Save_More_Entry" vbProcedure="false">'C12 Retirement projection'!$C$33</definedName>
    <definedName function="false" hidden="false" localSheetId="22" name="SFT_Warning" vbProcedure="false">'C12 Retirement projection'!$C$54</definedName>
    <definedName function="false" hidden="false" localSheetId="22" name="Spend_Less" vbProcedure="false">'C12 Retirement projection'!$G$34</definedName>
    <definedName function="false" hidden="false" localSheetId="22" name="Spend_Less_Entry" vbProcedure="false">'C12 Retirement projection'!$C$34</definedName>
    <definedName function="false" hidden="false" localSheetId="22" name="Statement_Check" vbProcedure="false">'C12 Retirement projection'!$C$41</definedName>
    <definedName function="false" hidden="false" localSheetId="22" name="Stmt_Charges" vbProcedure="false">'C12 Retirement projection'!$C$17</definedName>
    <definedName function="false" hidden="false" localSheetId="22" name="Stmt_Employer_Monthly" vbProcedure="false">'C12 Retirement projection'!$C$13</definedName>
    <definedName function="false" hidden="false" localSheetId="22" name="Stmt_Fund_Value" vbProcedure="false">'C12 Retirement projection'!$C$11</definedName>
    <definedName function="false" hidden="false" localSheetId="22" name="Stmt_NRA" vbProcedure="false">'C12 Retirement projection'!$C$14</definedName>
    <definedName function="false" hidden="false" localSheetId="22" name="Stmt_Projected_Fund" vbProcedure="false">'C12 Retirement projection'!$C$15</definedName>
    <definedName function="false" hidden="false" localSheetId="22" name="Stmt_Projection_Today" vbProcedure="false">'C12 Retirement projection'!$C$16</definedName>
    <definedName function="false" hidden="false" localSheetId="22" name="Stmt_Statement_Date" vbProcedure="false">'C12 Retirement projection'!$C$18</definedName>
    <definedName function="false" hidden="false" localSheetId="22" name="Stmt_You_Monthly" vbProcedure="false">'C12 Retirement projection'!$C$12</definedName>
    <definedName function="false" hidden="false" localSheetId="22" name="Target_Today" vbProcedure="false">'C12 Retirement projection'!$C$48</definedName>
    <definedName function="false" hidden="false" localSheetId="22" name="Typical_Pension_Charges" vbProcedure="false">'C12 Retirement projection'!$G$30</definedName>
    <definedName function="false" hidden="false" localSheetId="22" name="Typical_Pension_Charges_Entry" vbProcedure="false">'C12 Retirement projection'!$C$30</definedName>
    <definedName function="false" hidden="false" localSheetId="22" name="Used_Growth_Rate" vbProcedure="false">'C12 Retirement projection'!$C$39</definedName>
    <definedName function="false" hidden="false" localSheetId="22" name="Used_Monthly_Contribution" vbProcedure="false">'C12 Retirement projection'!$C$38</definedName>
    <definedName function="false" hidden="false" localSheetId="22" name="Used_Pension_Today" vbProcedure="false">'C12 Retirement projection'!$C$37</definedName>
    <definedName function="false" hidden="false" localSheetId="22" name="Use_Statement_Projection" vbProcedure="false">'C12 Retirement projection'!$C$40</definedName>
    <definedName function="false" hidden="false" localSheetId="22" name="Wage" vbProcedure="false">'C12 Retirement projection'!$G$28</definedName>
    <definedName function="false" hidden="false" localSheetId="22" name="Wage_Entry" vbProcedure="false">'C12 Retirement projection'!$C$28</definedName>
    <definedName function="false" hidden="false" localSheetId="22" name="Years_To_Retirement" vbProcedure="false">'C12 Retirement projection'!$C$55</definedName>
    <definedName function="false" hidden="false" localSheetId="23" name="Age" vbProcedure="false">'C13 Contribution impact'!$G$21</definedName>
    <definedName function="false" hidden="false" localSheetId="23" name="Age_Entry" vbProcedure="false">'C13 Contribution impact'!$C$21</definedName>
    <definedName function="false" hidden="false" localSheetId="23" name="Existing_Pension_Year" vbProcedure="false">'C13 Contribution impact'!$G$22</definedName>
    <definedName function="false" hidden="false" localSheetId="23" name="Existing_Pension_Year_Entry" vbProcedure="false">'C13 Contribution impact'!$C$22</definedName>
    <definedName function="false" hidden="false" localSheetId="23" name="Extra_Per_Month" vbProcedure="false">'C13 Contribution impact'!$C$31</definedName>
    <definedName function="false" hidden="false" localSheetId="23" name="Grows_To" vbProcedure="false">'C13 Contribution impact'!$C$29</definedName>
    <definedName function="false" hidden="false" localSheetId="23" name="Growth_Rate" vbProcedure="false">'C13 Contribution impact'!$G$18</definedName>
    <definedName function="false" hidden="false" localSheetId="23" name="Growth_Rate_Entry" vbProcedure="false">'C13 Contribution impact'!$C$18</definedName>
    <definedName function="false" hidden="false" localSheetId="23" name="Increase_Pct" vbProcedure="false">'C13 Contribution impact'!$G$16</definedName>
    <definedName function="false" hidden="false" localSheetId="23" name="Increase_Pct_Entry" vbProcedure="false">'C13 Contribution impact'!$C$16</definedName>
    <definedName function="false" hidden="false" localSheetId="23" name="Inflation_Choice" vbProcedure="false">'C13 Contribution impact'!$G$6</definedName>
    <definedName function="false" hidden="false" localSheetId="23" name="Inflation_Choice_Entry" vbProcedure="false">'C13 Contribution impact'!$C$6</definedName>
    <definedName function="false" hidden="false" localSheetId="23" name="Need_1" vbProcedure="false">'C13 Contribution impact'!$C$51</definedName>
    <definedName function="false" hidden="false" localSheetId="23" name="Need_2" vbProcedure="false">'C13 Contribution impact'!$C$52</definedName>
    <definedName function="false" hidden="false" localSheetId="23" name="Need_3" vbProcedure="false">'C13 Contribution impact'!$C$53</definedName>
    <definedName function="false" hidden="false" localSheetId="23" name="Need_4" vbProcedure="false">'C13 Contribution impact'!$C$54</definedName>
    <definedName function="false" hidden="false" localSheetId="23" name="Need_5" vbProcedure="false">'C13 Contribution impact'!$C$55</definedName>
    <definedName function="false" hidden="false" localSheetId="23" name="Need_6" vbProcedure="false">'C13 Contribution impact'!$C$56</definedName>
    <definedName function="false" hidden="false" localSheetId="23" name="Net_Cost_Per_Month" vbProcedure="false">'C13 Contribution impact'!$C$32</definedName>
    <definedName function="false" hidden="false" localSheetId="23" name="Plan_Goal_Contribution" vbProcedure="false">'C13 Contribution impact'!$C$47</definedName>
    <definedName function="false" hidden="false" localSheetId="23" name="Plan_Goal_Kind" vbProcedure="false">'C13 Contribution impact'!$C$46</definedName>
    <definedName function="false" hidden="false" localSheetId="23" name="Relief_Limit_Year" vbProcedure="false">'C13 Contribution impact'!$C$33</definedName>
    <definedName function="false" hidden="false" localSheetId="23" name="Relief_Per_Month" vbProcedure="false">'C13 Contribution impact'!$C$36</definedName>
    <definedName function="false" hidden="false" localSheetId="23" name="Relief_Room_Year" vbProcedure="false">'C13 Contribution impact'!$C$34</definedName>
    <definedName function="false" hidden="false" localSheetId="23" name="Relieved_Year" vbProcedure="false">'C13 Contribution impact'!$C$35</definedName>
    <definedName function="false" hidden="false" localSheetId="23" name="Salary" vbProcedure="false">'C13 Contribution impact'!$G$15</definedName>
    <definedName function="false" hidden="false" localSheetId="23" name="Salary_Entry" vbProcedure="false">'C13 Contribution impact'!$C$15</definedName>
    <definedName function="false" hidden="false" localSheetId="23" name="Statement_Check" vbProcedure="false">'C13 Contribution impact'!$C$26</definedName>
    <definedName function="false" hidden="false" localSheetId="23" name="Stmt_Charges" vbProcedure="false">'C13 Contribution impact'!$C$11</definedName>
    <definedName function="false" hidden="false" localSheetId="23" name="Stmt_Statement_Date" vbProcedure="false">'C13 Contribution impact'!$C$12</definedName>
    <definedName function="false" hidden="false" localSheetId="23" name="Tax_Rate" vbProcedure="false">'C13 Contribution impact'!$G$20</definedName>
    <definedName function="false" hidden="false" localSheetId="23" name="Tax_Rate_Entry" vbProcedure="false">'C13 Contribution impact'!$C$20</definedName>
    <definedName function="false" hidden="false" localSheetId="23" name="Typical_Pension_Charges" vbProcedure="false">'C13 Contribution impact'!$G$19</definedName>
    <definedName function="false" hidden="false" localSheetId="23" name="Typical_Pension_Charges_Entry" vbProcedure="false">'C13 Contribution impact'!$C$19</definedName>
    <definedName function="false" hidden="false" localSheetId="23" name="Used_Growth_Rate" vbProcedure="false">'C13 Contribution impact'!$C$25</definedName>
    <definedName function="false" hidden="false" localSheetId="23" name="Value_Today" vbProcedure="false">'C13 Contribution impact'!$C$30</definedName>
    <definedName function="false" hidden="false" localSheetId="23" name="Years" vbProcedure="false">'C13 Contribution impact'!$G$17</definedName>
    <definedName function="false" hidden="false" localSheetId="23" name="Years_Entry" vbProcedure="false">'C13 Contribution impact'!$C$17</definedName>
    <definedName function="false" hidden="false" localSheetId="24" name="Age" vbProcedure="false">'C14 AVC impact'!$G$21</definedName>
    <definedName function="false" hidden="false" localSheetId="24" name="Age_Entry" vbProcedure="false">'C14 AVC impact'!$C$21</definedName>
    <definedName function="false" hidden="false" localSheetId="24" name="AVC_Per_Month" vbProcedure="false">'C14 AVC impact'!$G$15</definedName>
    <definedName function="false" hidden="false" localSheetId="24" name="AVC_Per_Month_Entry" vbProcedure="false">'C14 AVC impact'!$C$15</definedName>
    <definedName function="false" hidden="false" localSheetId="24" name="Existing_Pension_Year" vbProcedure="false">'C14 AVC impact'!$G$22</definedName>
    <definedName function="false" hidden="false" localSheetId="24" name="Existing_Pension_Year_Entry" vbProcedure="false">'C14 AVC impact'!$C$22</definedName>
    <definedName function="false" hidden="false" localSheetId="24" name="Grows_To" vbProcedure="false">'C14 AVC impact'!$C$29</definedName>
    <definedName function="false" hidden="false" localSheetId="24" name="Growth_Rate" vbProcedure="false">'C14 AVC impact'!$G$18</definedName>
    <definedName function="false" hidden="false" localSheetId="24" name="Growth_Rate_Entry" vbProcedure="false">'C14 AVC impact'!$C$18</definedName>
    <definedName function="false" hidden="false" localSheetId="24" name="Inflation_Choice" vbProcedure="false">'C14 AVC impact'!$G$6</definedName>
    <definedName function="false" hidden="false" localSheetId="24" name="Inflation_Choice_Entry" vbProcedure="false">'C14 AVC impact'!$C$6</definedName>
    <definedName function="false" hidden="false" localSheetId="24" name="Need_1" vbProcedure="false">'C14 AVC impact'!$C$50</definedName>
    <definedName function="false" hidden="false" localSheetId="24" name="Need_2" vbProcedure="false">'C14 AVC impact'!$C$51</definedName>
    <definedName function="false" hidden="false" localSheetId="24" name="Need_3" vbProcedure="false">'C14 AVC impact'!$C$52</definedName>
    <definedName function="false" hidden="false" localSheetId="24" name="Need_4" vbProcedure="false">'C14 AVC impact'!$C$53</definedName>
    <definedName function="false" hidden="false" localSheetId="24" name="Need_5" vbProcedure="false">'C14 AVC impact'!$C$54</definedName>
    <definedName function="false" hidden="false" localSheetId="24" name="Need_6" vbProcedure="false">'C14 AVC impact'!$C$55</definedName>
    <definedName function="false" hidden="false" localSheetId="24" name="Need_7" vbProcedure="false">'C14 AVC impact'!$C$56</definedName>
    <definedName function="false" hidden="false" localSheetId="24" name="Need_8" vbProcedure="false">'C14 AVC impact'!$C$57</definedName>
    <definedName function="false" hidden="false" localSheetId="24" name="Net_Cost" vbProcedure="false">'C14 AVC impact'!$C$32</definedName>
    <definedName function="false" hidden="false" localSheetId="24" name="Net_Cost_Per_Month" vbProcedure="false">'C14 AVC impact'!$C$33</definedName>
    <definedName function="false" hidden="false" localSheetId="24" name="Paid_In" vbProcedure="false">'C14 AVC impact'!$C$31</definedName>
    <definedName function="false" hidden="false" localSheetId="24" name="Plan_Goal_Contribution" vbProcedure="false">'C14 AVC impact'!$C$47</definedName>
    <definedName function="false" hidden="false" localSheetId="24" name="Plan_Goal_Kind" vbProcedure="false">'C14 AVC impact'!$C$46</definedName>
    <definedName function="false" hidden="false" localSheetId="24" name="Relief_Limit_Year" vbProcedure="false">'C14 AVC impact'!$C$34</definedName>
    <definedName function="false" hidden="false" localSheetId="24" name="Relief_Per_Month" vbProcedure="false">'C14 AVC impact'!$C$37</definedName>
    <definedName function="false" hidden="false" localSheetId="24" name="Relief_Room_Year" vbProcedure="false">'C14 AVC impact'!$C$35</definedName>
    <definedName function="false" hidden="false" localSheetId="24" name="Relieved_Year" vbProcedure="false">'C14 AVC impact'!$C$36</definedName>
    <definedName function="false" hidden="false" localSheetId="24" name="Salary" vbProcedure="false">'C14 AVC impact'!$G$16</definedName>
    <definedName function="false" hidden="false" localSheetId="24" name="Salary_Entry" vbProcedure="false">'C14 AVC impact'!$C$16</definedName>
    <definedName function="false" hidden="false" localSheetId="24" name="Statement_Check" vbProcedure="false">'C14 AVC impact'!$C$26</definedName>
    <definedName function="false" hidden="false" localSheetId="24" name="Stmt_Charges" vbProcedure="false">'C14 AVC impact'!$C$11</definedName>
    <definedName function="false" hidden="false" localSheetId="24" name="Stmt_Statement_Date" vbProcedure="false">'C14 AVC impact'!$C$12</definedName>
    <definedName function="false" hidden="false" localSheetId="24" name="Tax_Rate" vbProcedure="false">'C14 AVC impact'!$G$20</definedName>
    <definedName function="false" hidden="false" localSheetId="24" name="Tax_Rate_Entry" vbProcedure="false">'C14 AVC impact'!$C$20</definedName>
    <definedName function="false" hidden="false" localSheetId="24" name="Typical_Pension_Charges" vbProcedure="false">'C14 AVC impact'!$G$19</definedName>
    <definedName function="false" hidden="false" localSheetId="24" name="Typical_Pension_Charges_Entry" vbProcedure="false">'C14 AVC impact'!$C$19</definedName>
    <definedName function="false" hidden="false" localSheetId="24" name="Used_Growth_Rate" vbProcedure="false">'C14 AVC impact'!$C$25</definedName>
    <definedName function="false" hidden="false" localSheetId="24" name="Value_Today" vbProcedure="false">'C14 AVC impact'!$C$30</definedName>
    <definedName function="false" hidden="false" localSheetId="24" name="Years" vbProcedure="false">'C14 AVC impact'!$G$17</definedName>
    <definedName function="false" hidden="false" localSheetId="24" name="Years_Entry" vbProcedure="false">'C14 AVC impact'!$C$17</definedName>
    <definedName function="false" hidden="false" localSheetId="25" name="Age_At_Start" vbProcedure="false">'C15 Will my money last'!$G$20</definedName>
    <definedName function="false" hidden="false" localSheetId="25" name="Age_At_Start_Entry" vbProcedure="false">'C15 Will my money last'!$C$20</definedName>
    <definedName function="false" hidden="false" localSheetId="25" name="Growth_Rate" vbProcedure="false">'C15 Will my money last'!$G$18</definedName>
    <definedName function="false" hidden="false" localSheetId="25" name="Growth_Rate_Entry" vbProcedure="false">'C15 Will my money last'!$C$18</definedName>
    <definedName function="false" hidden="false" localSheetId="25" name="Inflation_Choice" vbProcedure="false">'C15 Will my money last'!$G$6</definedName>
    <definedName function="false" hidden="false" localSheetId="25" name="Inflation_Choice_Entry" vbProcedure="false">'C15 Will my money last'!$C$6</definedName>
    <definedName function="false" hidden="false" localSheetId="25" name="Lasts_To_Age" vbProcedure="false">'C15 Will my money last'!$C$29</definedName>
    <definedName function="false" hidden="false" localSheetId="25" name="Need_1" vbProcedure="false">'C15 Will my money last'!$C$107</definedName>
    <definedName function="false" hidden="false" localSheetId="25" name="Need_2" vbProcedure="false">'C15 Will my money last'!$C$108</definedName>
    <definedName function="false" hidden="false" localSheetId="25" name="Need_3" vbProcedure="false">'C15 Will my money last'!$C$109</definedName>
    <definedName function="false" hidden="false" localSheetId="25" name="Plan_Goal_Kind" vbProcedure="false">'C15 Will my money last'!$C$104</definedName>
    <definedName function="false" hidden="false" localSheetId="25" name="Plan_To_Age" vbProcedure="false">'C15 Will my money last'!$G$21</definedName>
    <definedName function="false" hidden="false" localSheetId="25" name="Plan_To_Age_Entry" vbProcedure="false">'C15 Will my money last'!$C$21</definedName>
    <definedName function="false" hidden="false" localSheetId="25" name="Retirement_Savings" vbProcedure="false">'C15 Will my money last'!$G$16</definedName>
    <definedName function="false" hidden="false" localSheetId="25" name="Retirement_Savings_Entry" vbProcedure="false">'C15 Will my money last'!$C$16</definedName>
    <definedName function="false" hidden="false" localSheetId="25" name="Statement_Check" vbProcedure="false">'C15 Will my money last'!$C$25</definedName>
    <definedName function="false" hidden="false" localSheetId="25" name="Stmt_Fund_Value" vbProcedure="false">'C15 Will my money last'!$C$12</definedName>
    <definedName function="false" hidden="false" localSheetId="25" name="Stmt_Projected_Fund" vbProcedure="false">'C15 Will my money last'!$C$11</definedName>
    <definedName function="false" hidden="false" localSheetId="25" name="Stmt_Statement_Date" vbProcedure="false">'C15 Will my money last'!$C$13</definedName>
    <definedName function="false" hidden="false" localSheetId="25" name="Used_Retirement_Savings" vbProcedure="false">'C15 Will my money last'!$C$24</definedName>
    <definedName function="false" hidden="false" localSheetId="25" name="Withdrawal_Rate" vbProcedure="false">'C15 Will my money last'!$C$30</definedName>
    <definedName function="false" hidden="false" localSheetId="25" name="Withdrawal_Timing" vbProcedure="false">'C15 Will my money last'!$G$19</definedName>
    <definedName function="false" hidden="false" localSheetId="25" name="Withdrawal_Timing_Entry" vbProcedure="false">'C15 Will my money last'!$C$19</definedName>
    <definedName function="false" hidden="false" localSheetId="25" name="W_end" vbProcedure="false">'C15 Will my money last'!$F$33:$F$92</definedName>
    <definedName function="false" hidden="false" localSheetId="25" name="W_paid" vbProcedure="false">'C15 Will my money last'!$E$33:$E$92</definedName>
    <definedName function="false" hidden="false" localSheetId="25" name="W_start" vbProcedure="false">'C15 Will my money last'!$D$33:$D$92</definedName>
    <definedName function="false" hidden="false" localSheetId="25" name="W_w" vbProcedure="false">'C15 Will my money last'!$C$33:$C$92</definedName>
    <definedName function="false" hidden="false" localSheetId="25" name="W_year" vbProcedure="false">'C15 Will my money last'!$B$33:$B$92</definedName>
    <definedName function="false" hidden="false" localSheetId="25" name="Yearly_Withdrawal" vbProcedure="false">'C15 Will my money last'!$G$17</definedName>
    <definedName function="false" hidden="false" localSheetId="25" name="Yearly_Withdrawal_Entry" vbProcedure="false">'C15 Will my money last'!$C$17</definedName>
    <definedName function="false" hidden="false" localSheetId="25" name="Years_Lasting" vbProcedure="false">'C15 Will my money last'!$C$28</definedName>
    <definedName function="false" hidden="false" localSheetId="26" name="DD_Balanced" vbProcedure="false">'C16 Drawdown scenarios'!$G$19</definedName>
    <definedName function="false" hidden="false" localSheetId="26" name="DD_Balanced_Entry" vbProcedure="false">'C16 Drawdown scenarios'!$C$19</definedName>
    <definedName function="false" hidden="false" localSheetId="26" name="DD_Cautious" vbProcedure="false">'C16 Drawdown scenarios'!$G$18</definedName>
    <definedName function="false" hidden="false" localSheetId="26" name="DD_Cautious_Entry" vbProcedure="false">'C16 Drawdown scenarios'!$C$18</definedName>
    <definedName function="false" hidden="false" localSheetId="26" name="DD_Growth" vbProcedure="false">'C16 Drawdown scenarios'!$G$20</definedName>
    <definedName function="false" hidden="false" localSheetId="26" name="DD_Growth_Entry" vbProcedure="false">'C16 Drawdown scenarios'!$C$20</definedName>
    <definedName function="false" hidden="false" localSheetId="26" name="Inflation_Choice" vbProcedure="false">'C16 Drawdown scenarios'!$G$6</definedName>
    <definedName function="false" hidden="false" localSheetId="26" name="Inflation_Choice_Entry" vbProcedure="false">'C16 Drawdown scenarios'!$C$6</definedName>
    <definedName function="false" hidden="false" localSheetId="26" name="Need_1" vbProcedure="false">'C16 Drawdown scenarios'!$C$106</definedName>
    <definedName function="false" hidden="false" localSheetId="26" name="Plan_Goal_Kind" vbProcedure="false">'C16 Drawdown scenarios'!$C$103</definedName>
    <definedName function="false" hidden="false" localSheetId="26" name="Retirement_Savings" vbProcedure="false">'C16 Drawdown scenarios'!$G$16</definedName>
    <definedName function="false" hidden="false" localSheetId="26" name="Retirement_Savings_Entry" vbProcedure="false">'C16 Drawdown scenarios'!$C$16</definedName>
    <definedName function="false" hidden="false" localSheetId="26" name="Statement_Check" vbProcedure="false">'C16 Drawdown scenarios'!$C$25</definedName>
    <definedName function="false" hidden="false" localSheetId="26" name="Stmt_Fund_Value" vbProcedure="false">'C16 Drawdown scenarios'!$C$12</definedName>
    <definedName function="false" hidden="false" localSheetId="26" name="Stmt_Projected_Fund" vbProcedure="false">'C16 Drawdown scenarios'!$C$11</definedName>
    <definedName function="false" hidden="false" localSheetId="26" name="Stmt_Statement_Date" vbProcedure="false">'C16 Drawdown scenarios'!$C$13</definedName>
    <definedName function="false" hidden="false" localSheetId="26" name="Used_Retirement_Savings" vbProcedure="false">'C16 Drawdown scenarios'!$C$24</definedName>
    <definedName function="false" hidden="false" localSheetId="26" name="Withdrawal_Timing" vbProcedure="false">'C16 Drawdown scenarios'!$G$21</definedName>
    <definedName function="false" hidden="false" localSheetId="26" name="Withdrawal_Timing_Entry" vbProcedure="false">'C16 Drawdown scenarios'!$C$21</definedName>
    <definedName function="false" hidden="false" localSheetId="26" name="W_b_paid" vbProcedure="false">'C16 Drawdown scenarios'!$G$33:$G$92</definedName>
    <definedName function="false" hidden="false" localSheetId="26" name="W_b_start" vbProcedure="false">'C16 Drawdown scenarios'!$F$33:$F$92</definedName>
    <definedName function="false" hidden="false" localSheetId="26" name="W_c_paid" vbProcedure="false">'C16 Drawdown scenarios'!$E$33:$E$92</definedName>
    <definedName function="false" hidden="false" localSheetId="26" name="W_c_start" vbProcedure="false">'C16 Drawdown scenarios'!$D$33:$D$92</definedName>
    <definedName function="false" hidden="false" localSheetId="26" name="W_g_paid" vbProcedure="false">'C16 Drawdown scenarios'!$I$33:$I$92</definedName>
    <definedName function="false" hidden="false" localSheetId="26" name="W_g_start" vbProcedure="false">'C16 Drawdown scenarios'!$H$33:$H$92</definedName>
    <definedName function="false" hidden="false" localSheetId="26" name="W_w" vbProcedure="false">'C16 Drawdown scenarios'!$C$33:$C$92</definedName>
    <definedName function="false" hidden="false" localSheetId="26" name="W_year" vbProcedure="false">'C16 Drawdown scenarios'!$B$33:$B$92</definedName>
    <definedName function="false" hidden="false" localSheetId="26" name="Yearly_Withdrawal" vbProcedure="false">'C16 Drawdown scenarios'!$G$17</definedName>
    <definedName function="false" hidden="false" localSheetId="26" name="Yearly_Withdrawal_Entry" vbProcedure="false">'C16 Drawdown scenarios'!$C$17</definedName>
    <definedName function="false" hidden="false" localSheetId="26" name="Years_Balanced" vbProcedure="false">'C16 Drawdown scenarios'!$C$28</definedName>
    <definedName function="false" hidden="false" localSheetId="26" name="Years_Cautious" vbProcedure="false">'C16 Drawdown scenarios'!$C$29</definedName>
    <definedName function="false" hidden="false" localSheetId="26" name="Years_Growth" vbProcedure="false">'C16 Drawdown scenarios'!$C$30</definedName>
    <definedName function="false" hidden="false" localSheetId="27" name="Amount" vbProcedure="false">'C17 Inflation adjusted return'!$G$15</definedName>
    <definedName function="false" hidden="false" localSheetId="27" name="Amount_Entry" vbProcedure="false">'C17 Inflation adjusted return'!$C$15</definedName>
    <definedName function="false" hidden="false" localSheetId="27" name="Future_Value" vbProcedure="false">'C17 Inflation adjusted return'!$C$25</definedName>
    <definedName function="false" hidden="false" localSheetId="27" name="Inflation_Choice" vbProcedure="false">'C17 Inflation adjusted return'!$G$6</definedName>
    <definedName function="false" hidden="false" localSheetId="27" name="Inflation_Choice_Entry" vbProcedure="false">'C17 Inflation adjusted return'!$C$6</definedName>
    <definedName function="false" hidden="false" localSheetId="27" name="Need_1" vbProcedure="false">'C17 Inflation adjusted return'!$C$39</definedName>
    <definedName function="false" hidden="false" localSheetId="27" name="Need_2" vbProcedure="false">'C17 Inflation adjusted return'!$C$40</definedName>
    <definedName function="false" hidden="false" localSheetId="27" name="Need_3" vbProcedure="false">'C17 Inflation adjusted return'!$C$41</definedName>
    <definedName function="false" hidden="false" localSheetId="27" name="Nominal_Return" vbProcedure="false">'C17 Inflation adjusted return'!$G$16</definedName>
    <definedName function="false" hidden="false" localSheetId="27" name="Nominal_Return_Entry" vbProcedure="false">'C17 Inflation adjusted return'!$C$16</definedName>
    <definedName function="false" hidden="false" localSheetId="27" name="Plan_Goal_Kind" vbProcedure="false">'C17 Inflation adjusted return'!$C$36</definedName>
    <definedName function="false" hidden="false" localSheetId="27" name="Real_Return" vbProcedure="false">'C17 Inflation adjusted return'!$C$26</definedName>
    <definedName function="false" hidden="false" localSheetId="27" name="Statement_Check" vbProcedure="false">'C17 Inflation adjusted return'!$C$21</definedName>
    <definedName function="false" hidden="false" localSheetId="27" name="Stmt_Statement_Date" vbProcedure="false">'C17 Inflation adjusted return'!$C$12</definedName>
    <definedName function="false" hidden="false" localSheetId="27" name="Stmt_Total_Value" vbProcedure="false">'C17 Inflation adjusted return'!$C$11</definedName>
    <definedName function="false" hidden="false" localSheetId="27" name="Used_Amount" vbProcedure="false">'C17 Inflation adjusted return'!$C$20</definedName>
    <definedName function="false" hidden="false" localSheetId="27" name="Value_Today" vbProcedure="false">'C17 Inflation adjusted return'!$C$24</definedName>
    <definedName function="false" hidden="false" localSheetId="27" name="Years" vbProcedure="false">'C17 Inflation adjusted return'!$G$17</definedName>
    <definedName function="false" hidden="false" localSheetId="27" name="Years_Entry" vbProcedure="false">'C17 Inflation adjusted return'!$C$17</definedName>
    <definedName function="false" hidden="false" localSheetId="28" name="Adjust_For_Inflation" vbProcedure="false">'C18 Regular investing'!$G$20</definedName>
    <definedName function="false" hidden="false" localSheetId="28" name="Adjust_For_Inflation_Entry" vbProcedure="false">'C18 Regular investing'!$C$20</definedName>
    <definedName function="false" hidden="false" localSheetId="28" name="Fees_Cost" vbProcedure="false">'C18 Regular investing'!$C$32</definedName>
    <definedName function="false" hidden="false" localSheetId="28" name="Growth_After_Fees" vbProcedure="false">'C18 Regular investing'!$C$35</definedName>
    <definedName function="false" hidden="false" localSheetId="28" name="Growth_Rate" vbProcedure="false">'C18 Regular investing'!$G$18</definedName>
    <definedName function="false" hidden="false" localSheetId="28" name="Growth_Rate_Entry" vbProcedure="false">'C18 Regular investing'!$C$18</definedName>
    <definedName function="false" hidden="false" localSheetId="28" name="Headline" vbProcedure="false">'C18 Regular investing'!$C$29</definedName>
    <definedName function="false" hidden="false" localSheetId="28" name="Inflation_Choice" vbProcedure="false">'C18 Regular investing'!$G$6</definedName>
    <definedName function="false" hidden="false" localSheetId="28" name="Inflation_Choice_Entry" vbProcedure="false">'C18 Regular investing'!$C$6</definedName>
    <definedName function="false" hidden="false" localSheetId="28" name="Monthly_Amount" vbProcedure="false">'C18 Regular investing'!$G$16</definedName>
    <definedName function="false" hidden="false" localSheetId="28" name="Monthly_Amount_Entry" vbProcedure="false">'C18 Regular investing'!$C$16</definedName>
    <definedName function="false" hidden="false" localSheetId="28" name="Need_1" vbProcedure="false">'C18 Regular investing'!$C$53</definedName>
    <definedName function="false" hidden="false" localSheetId="28" name="Need_2" vbProcedure="false">'C18 Regular investing'!$C$54</definedName>
    <definedName function="false" hidden="false" localSheetId="28" name="Need_3" vbProcedure="false">'C18 Regular investing'!$C$55</definedName>
    <definedName function="false" hidden="false" localSheetId="28" name="Need_4" vbProcedure="false">'C18 Regular investing'!$C$56</definedName>
    <definedName function="false" hidden="false" localSheetId="28" name="Need_5" vbProcedure="false">'C18 Regular investing'!$C$57</definedName>
    <definedName function="false" hidden="false" localSheetId="28" name="Need_6" vbProcedure="false">'C18 Regular investing'!$C$58</definedName>
    <definedName function="false" hidden="false" localSheetId="28" name="Need_7" vbProcedure="false">'C18 Regular investing'!$C$59</definedName>
    <definedName function="false" hidden="false" localSheetId="28" name="Paid_In" vbProcedure="false">'C18 Regular investing'!$C$33</definedName>
    <definedName function="false" hidden="false" localSheetId="28" name="Plan_Goal_Amount" vbProcedure="false">'C18 Regular investing'!$C$47</definedName>
    <definedName function="false" hidden="false" localSheetId="28" name="Plan_Goal_Kind" vbProcedure="false">'C18 Regular investing'!$C$46</definedName>
    <definedName function="false" hidden="false" localSheetId="28" name="Plan_Goal_Years" vbProcedure="false">'C18 Regular investing'!$C$48</definedName>
    <definedName function="false" hidden="false" localSheetId="28" name="Plan_Inflation" vbProcedure="false">'C18 Regular investing'!$C$49</definedName>
    <definedName function="false" hidden="false" localSheetId="28" name="Real_Return" vbProcedure="false">'C18 Regular investing'!$C$36</definedName>
    <definedName function="false" hidden="false" localSheetId="28" name="Statement_Check" vbProcedure="false">'C18 Regular investing'!$C$26</definedName>
    <definedName function="false" hidden="false" localSheetId="28" name="Statement_Uploaded" vbProcedure="false">'C18 Regular investing'!$C$23</definedName>
    <definedName function="false" hidden="false" localSheetId="28" name="Stmt_Charges" vbProcedure="false">'C18 Regular investing'!$C$12</definedName>
    <definedName function="false" hidden="false" localSheetId="28" name="Stmt_Monthly_Invested" vbProcedure="false">'C18 Regular investing'!$C$11</definedName>
    <definedName function="false" hidden="false" localSheetId="28" name="Stmt_Statement_Date" vbProcedure="false">'C18 Regular investing'!$C$13</definedName>
    <definedName function="false" hidden="false" localSheetId="28" name="Used_Monthly_Amount" vbProcedure="false">'C18 Regular investing'!$C$24</definedName>
    <definedName function="false" hidden="false" localSheetId="28" name="Used_Yearly_Fees" vbProcedure="false">'C18 Regular investing'!$C$25</definedName>
    <definedName function="false" hidden="false" localSheetId="28" name="Value_After_Fees" vbProcedure="false">'C18 Regular investing'!$C$30</definedName>
    <definedName function="false" hidden="false" localSheetId="28" name="Value_Before_Fees" vbProcedure="false">'C18 Regular investing'!$C$31</definedName>
    <definedName function="false" hidden="false" localSheetId="28" name="Value_Today" vbProcedure="false">'C18 Regular investing'!$C$34</definedName>
    <definedName function="false" hidden="false" localSheetId="28" name="Yearly_Fees" vbProcedure="false">'C18 Regular investing'!$G$19</definedName>
    <definedName function="false" hidden="false" localSheetId="28" name="Yearly_Fees_Entry" vbProcedure="false">'C18 Regular investing'!$C$19</definedName>
    <definedName function="false" hidden="false" localSheetId="28" name="Years" vbProcedure="false">'C18 Regular investing'!$G$17</definedName>
    <definedName function="false" hidden="false" localSheetId="28" name="Years_Entry" vbProcedure="false">'C18 Regular investing'!$C$17</definedName>
    <definedName function="false" hidden="false" localSheetId="29" name="Amount_Invested" vbProcedure="false">'C19 Fees impact'!$G$12</definedName>
    <definedName function="false" hidden="false" localSheetId="29" name="Amount_Invested_Entry" vbProcedure="false">'C19 Fees impact'!$C$12</definedName>
    <definedName function="false" hidden="false" localSheetId="29" name="Difference" vbProcedure="false">'C19 Fees impact'!$C$25</definedName>
    <definedName function="false" hidden="false" localSheetId="29" name="Fee_A" vbProcedure="false">'C19 Fees impact'!$G$15</definedName>
    <definedName function="false" hidden="false" localSheetId="29" name="Fee_A_Entry" vbProcedure="false">'C19 Fees impact'!$C$15</definedName>
    <definedName function="false" hidden="false" localSheetId="29" name="Fee_B" vbProcedure="false">'C19 Fees impact'!$G$16</definedName>
    <definedName function="false" hidden="false" localSheetId="29" name="Fee_B_Entry" vbProcedure="false">'C19 Fees impact'!$C$16</definedName>
    <definedName function="false" hidden="false" localSheetId="29" name="Fee_Gap" vbProcedure="false">'C19 Fees impact'!$C$28</definedName>
    <definedName function="false" hidden="false" localSheetId="29" name="Growth_Rate" vbProcedure="false">'C19 Fees impact'!$G$14</definedName>
    <definedName function="false" hidden="false" localSheetId="29" name="Growth_Rate_Entry" vbProcedure="false">'C19 Fees impact'!$C$14</definedName>
    <definedName function="false" hidden="false" localSheetId="29" name="Need_1" vbProcedure="false">'C19 Fees impact'!$C$39</definedName>
    <definedName function="false" hidden="false" localSheetId="29" name="Need_2" vbProcedure="false">'C19 Fees impact'!$C$40</definedName>
    <definedName function="false" hidden="false" localSheetId="29" name="Need_3" vbProcedure="false">'C19 Fees impact'!$C$41</definedName>
    <definedName function="false" hidden="false" localSheetId="29" name="Need_4" vbProcedure="false">'C19 Fees impact'!$C$42</definedName>
    <definedName function="false" hidden="false" localSheetId="29" name="Plan_Goal_Kind" vbProcedure="false">'C19 Fees impact'!$C$36</definedName>
    <definedName function="false" hidden="false" localSheetId="29" name="Statement_Check" vbProcedure="false">'C19 Fees impact'!$C$22</definedName>
    <definedName function="false" hidden="false" localSheetId="29" name="Statement_Uploaded" vbProcedure="false">'C19 Fees impact'!$C$19</definedName>
    <definedName function="false" hidden="false" localSheetId="29" name="Stmt_Charges" vbProcedure="false">'C19 Fees impact'!$C$8</definedName>
    <definedName function="false" hidden="false" localSheetId="29" name="Stmt_Statement_Date" vbProcedure="false">'C19 Fees impact'!$C$9</definedName>
    <definedName function="false" hidden="false" localSheetId="29" name="Stmt_Total_Value" vbProcedure="false">'C19 Fees impact'!$C$7</definedName>
    <definedName function="false" hidden="false" localSheetId="29" name="Used_Amount_Invested" vbProcedure="false">'C19 Fees impact'!$C$20</definedName>
    <definedName function="false" hidden="false" localSheetId="29" name="Used_Fee_A" vbProcedure="false">'C19 Fees impact'!$C$21</definedName>
    <definedName function="false" hidden="false" localSheetId="29" name="Value_With_Fee_A" vbProcedure="false">'C19 Fees impact'!$C$26</definedName>
    <definedName function="false" hidden="false" localSheetId="29" name="Value_With_Fee_B" vbProcedure="false">'C19 Fees impact'!$C$27</definedName>
    <definedName function="false" hidden="false" localSheetId="29" name="Years" vbProcedure="false">'C19 Fees impact'!$G$13</definedName>
    <definedName function="false" hidden="false" localSheetId="29" name="Years_Entry" vbProcedure="false">'C19 Fees impact'!$C$13</definedName>
    <definedName function="false" hidden="false" localSheetId="30" name="Amount" vbProcedure="false">'C20 Risk and return'!$G$12</definedName>
    <definedName function="false" hidden="false" localSheetId="30" name="Amount_Entry" vbProcedure="false">'C20 Risk and return'!$C$12</definedName>
    <definedName function="false" hidden="false" localSheetId="30" name="Difficult_Year_Fall" vbProcedure="false">'C20 Risk and return'!$C$31</definedName>
    <definedName function="false" hidden="false" localSheetId="30" name="Middle" vbProcedure="false">'C20 Risk and return'!$C$28</definedName>
    <definedName function="false" hidden="false" localSheetId="30" name="Middle_Growth" vbProcedure="false">'C20 Risk and return'!$C$33</definedName>
    <definedName function="false" hidden="false" localSheetId="30" name="Mu_Balanced" vbProcedure="false">'C20 Risk and return'!$G$16</definedName>
    <definedName function="false" hidden="false" localSheetId="30" name="Mu_Balanced_Entry" vbProcedure="false">'C20 Risk and return'!$C$16</definedName>
    <definedName function="false" hidden="false" localSheetId="30" name="Mu_Cautious" vbProcedure="false">'C20 Risk and return'!$G$15</definedName>
    <definedName function="false" hidden="false" localSheetId="30" name="Mu_Cautious_Entry" vbProcedure="false">'C20 Risk and return'!$C$15</definedName>
    <definedName function="false" hidden="false" localSheetId="30" name="Mu_Growth" vbProcedure="false">'C20 Risk and return'!$G$17</definedName>
    <definedName function="false" hidden="false" localSheetId="30" name="Mu_Growth_Entry" vbProcedure="false">'C20 Risk and return'!$C$17</definedName>
    <definedName function="false" hidden="false" localSheetId="30" name="Need_1" vbProcedure="false">'C20 Risk and return'!$C$48</definedName>
    <definedName function="false" hidden="false" localSheetId="30" name="Need_2" vbProcedure="false">'C20 Risk and return'!$C$49</definedName>
    <definedName function="false" hidden="false" localSheetId="30" name="Need_3" vbProcedure="false">'C20 Risk and return'!$C$50</definedName>
    <definedName function="false" hidden="false" localSheetId="30" name="Need_4" vbProcedure="false">'C20 Risk and return'!$C$51</definedName>
    <definedName function="false" hidden="false" localSheetId="30" name="Need_5" vbProcedure="false">'C20 Risk and return'!$C$52</definedName>
    <definedName function="false" hidden="false" localSheetId="30" name="Need_6" vbProcedure="false">'C20 Risk and return'!$C$53</definedName>
    <definedName function="false" hidden="false" localSheetId="30" name="Need_7" vbProcedure="false">'C20 Risk and return'!$C$54</definedName>
    <definedName function="false" hidden="false" localSheetId="30" name="Plan_Goal_Kind" vbProcedure="false">'C20 Risk and return'!$C$45</definedName>
    <definedName function="false" hidden="false" localSheetId="30" name="Spread" vbProcedure="false">'C20 Risk and return'!$C$35</definedName>
    <definedName function="false" hidden="false" localSheetId="30" name="Statement_Check" vbProcedure="false">'C20 Risk and return'!$C$25</definedName>
    <definedName function="false" hidden="false" localSheetId="30" name="Stmt_Shares_Pct" vbProcedure="false">'C20 Risk and return'!$C$8</definedName>
    <definedName function="false" hidden="false" localSheetId="30" name="Stmt_Statement_Date" vbProcedure="false">'C20 Risk and return'!$C$9</definedName>
    <definedName function="false" hidden="false" localSheetId="30" name="Stmt_Total_Value" vbProcedure="false">'C20 Risk and return'!$C$7</definedName>
    <definedName function="false" hidden="false" localSheetId="30" name="Stronger" vbProcedure="false">'C20 Risk and return'!$C$30</definedName>
    <definedName function="false" hidden="false" localSheetId="30" name="Style" vbProcedure="false">'C20 Risk and return'!$G$14</definedName>
    <definedName function="false" hidden="false" localSheetId="30" name="Style_Entry" vbProcedure="false">'C20 Risk and return'!$C$14</definedName>
    <definedName function="false" hidden="false" localSheetId="30" name="Style_Name" vbProcedure="false">'C20 Risk and return'!$C$32</definedName>
    <definedName function="false" hidden="false" localSheetId="30" name="Used_Amount" vbProcedure="false">'C20 Risk and return'!$C$23</definedName>
    <definedName function="false" hidden="false" localSheetId="30" name="Used_Style" vbProcedure="false">'C20 Risk and return'!$C$24</definedName>
    <definedName function="false" hidden="false" localSheetId="30" name="Volatility" vbProcedure="false">'C20 Risk and return'!$C$34</definedName>
    <definedName function="false" hidden="false" localSheetId="30" name="Vol_Balanced" vbProcedure="false">'C20 Risk and return'!$G$19</definedName>
    <definedName function="false" hidden="false" localSheetId="30" name="Vol_Balanced_Entry" vbProcedure="false">'C20 Risk and return'!$C$19</definedName>
    <definedName function="false" hidden="false" localSheetId="30" name="Vol_Cautious" vbProcedure="false">'C20 Risk and return'!$G$18</definedName>
    <definedName function="false" hidden="false" localSheetId="30" name="Vol_Cautious_Entry" vbProcedure="false">'C20 Risk and return'!$C$18</definedName>
    <definedName function="false" hidden="false" localSheetId="30" name="Vol_Growth" vbProcedure="false">'C20 Risk and return'!$G$20</definedName>
    <definedName function="false" hidden="false" localSheetId="30" name="Vol_Growth_Entry" vbProcedure="false">'C20 Risk and return'!$C$20</definedName>
    <definedName function="false" hidden="false" localSheetId="30" name="Weaker" vbProcedure="false">'C20 Risk and return'!$C$29</definedName>
    <definedName function="false" hidden="false" localSheetId="30" name="Years" vbProcedure="false">'C20 Risk and return'!$G$13</definedName>
    <definedName function="false" hidden="false" localSheetId="30" name="Years_Entry" vbProcedure="false">'C20 Risk and return'!$C$13</definedName>
    <definedName function="false" hidden="false" localSheetId="31" name="Already_Have" vbProcedure="false">'C21 Life cover'!$C$29</definedName>
    <definedName function="false" hidden="false" localSheetId="31" name="Cover_Gap" vbProcedure="false">'C21 Life cover'!$C$26</definedName>
    <definedName function="false" hidden="false" localSheetId="31" name="Debts_To_Clear" vbProcedure="false">'C21 Life cover'!$C$28</definedName>
    <definedName function="false" hidden="false" localSheetId="31" name="Existing_Cover" vbProcedure="false">'C21 Life cover'!$G$18</definedName>
    <definedName function="false" hidden="false" localSheetId="31" name="Existing_Cover_Entry" vbProcedure="false">'C21 Life cover'!$C$18</definedName>
    <definedName function="false" hidden="false" localSheetId="31" name="Income_Need" vbProcedure="false">'C21 Life cover'!$C$27</definedName>
    <definedName function="false" hidden="false" localSheetId="31" name="Income_Replacement" vbProcedure="false">'C21 Life cover'!$C$30</definedName>
    <definedName function="false" hidden="false" localSheetId="31" name="Life_Replace" vbProcedure="false">'C21 Life cover'!$G$13</definedName>
    <definedName function="false" hidden="false" localSheetId="31" name="Life_Replace_Entry" vbProcedure="false">'C21 Life cover'!$C$13</definedName>
    <definedName function="false" hidden="false" localSheetId="31" name="Mortgage_Balance" vbProcedure="false">'C21 Life cover'!$G$14</definedName>
    <definedName function="false" hidden="false" localSheetId="31" name="Mortgage_Balance_Entry" vbProcedure="false">'C21 Life cover'!$C$14</definedName>
    <definedName function="false" hidden="false" localSheetId="31" name="Mortgage_Protected" vbProcedure="false">'C21 Life cover'!$G$15</definedName>
    <definedName function="false" hidden="false" localSheetId="31" name="Mortgage_Protected_Entry" vbProcedure="false">'C21 Life cover'!$C$15</definedName>
    <definedName function="false" hidden="false" localSheetId="31" name="Need_1" vbProcedure="false">'C21 Life cover'!$C$46</definedName>
    <definedName function="false" hidden="false" localSheetId="31" name="Need_2" vbProcedure="false">'C21 Life cover'!$C$47</definedName>
    <definedName function="false" hidden="false" localSheetId="31" name="Need_3" vbProcedure="false">'C21 Life cover'!$C$48</definedName>
    <definedName function="false" hidden="false" localSheetId="31" name="Need_4" vbProcedure="false">'C21 Life cover'!$C$49</definedName>
    <definedName function="false" hidden="false" localSheetId="31" name="Need_5" vbProcedure="false">'C21 Life cover'!$C$50</definedName>
    <definedName function="false" hidden="false" localSheetId="31" name="Other_Debts" vbProcedure="false">'C21 Life cover'!$G$16</definedName>
    <definedName function="false" hidden="false" localSheetId="31" name="Other_Debts_Entry" vbProcedure="false">'C21 Life cover'!$C$16</definedName>
    <definedName function="false" hidden="false" localSheetId="31" name="Plan_Goal_Kind" vbProcedure="false">'C21 Life cover'!$C$41</definedName>
    <definedName function="false" hidden="false" localSheetId="31" name="Plan_Goal_Need" vbProcedure="false">'C21 Life cover'!$C$42</definedName>
    <definedName function="false" hidden="false" localSheetId="31" name="Savings" vbProcedure="false">'C21 Life cover'!$G$17</definedName>
    <definedName function="false" hidden="false" localSheetId="31" name="Savings_Entry" vbProcedure="false">'C21 Life cover'!$C$17</definedName>
    <definedName function="false" hidden="false" localSheetId="31" name="Statement_Check" vbProcedure="false">'C21 Life cover'!$C$23</definedName>
    <definedName function="false" hidden="false" localSheetId="31" name="Stmt_Balance" vbProcedure="false">'C21 Life cover'!$C$7</definedName>
    <definedName function="false" hidden="false" localSheetId="31" name="Stmt_Statement_Date" vbProcedure="false">'C21 Life cover'!$C$8</definedName>
    <definedName function="false" hidden="false" localSheetId="31" name="Survivor_Pension" vbProcedure="false">'C21 Life cover'!$G$19</definedName>
    <definedName function="false" hidden="false" localSheetId="31" name="Survivor_Pension_Entry" vbProcedure="false">'C21 Life cover'!$C$19</definedName>
    <definedName function="false" hidden="false" localSheetId="31" name="Used_Mortgage_Balance" vbProcedure="false">'C21 Life cover'!$C$22</definedName>
    <definedName function="false" hidden="false" localSheetId="31" name="Yearly_Income" vbProcedure="false">'C21 Life cover'!$G$11</definedName>
    <definedName function="false" hidden="false" localSheetId="31" name="Yearly_Income_Entry" vbProcedure="false">'C21 Life cover'!$C$11</definedName>
    <definedName function="false" hidden="false" localSheetId="31" name="Years_Support" vbProcedure="false">'C21 Life cover'!$G$12</definedName>
    <definedName function="false" hidden="false" localSheetId="31" name="Years_Support_Entry" vbProcedure="false">'C21 Life cover'!$C$12</definedName>
    <definedName function="false" hidden="false" localSheetId="32" name="Essential_Spending" vbProcedure="false">'C22 Income protection gap'!$G$6</definedName>
    <definedName function="false" hidden="false" localSheetId="32" name="Essential_Spending_Entry" vbProcedure="false">'C22 Income protection gap'!$C$6</definedName>
    <definedName function="false" hidden="false" localSheetId="32" name="Gross_Income" vbProcedure="false">'C22 Income protection gap'!$G$9</definedName>
    <definedName function="false" hidden="false" localSheetId="32" name="Gross_Income_Entry" vbProcedure="false">'C22 Income protection gap'!$C$9</definedName>
    <definedName function="false" hidden="false" localSheetId="32" name="Illness_Benefit" vbProcedure="false">'C22 Income protection gap'!$G$10</definedName>
    <definedName function="false" hidden="false" localSheetId="32" name="Illness_Benefit_Entry" vbProcedure="false">'C22 Income protection gap'!$C$10</definedName>
    <definedName function="false" hidden="false" localSheetId="32" name="Illness_Benefit_Month" vbProcedure="false">'C22 Income protection gap'!$C$16</definedName>
    <definedName function="false" hidden="false" localSheetId="32" name="IP_Max" vbProcedure="false">'C22 Income protection gap'!$C$18</definedName>
    <definedName function="false" hidden="false" localSheetId="32" name="IP_Needed" vbProcedure="false">'C22 Income protection gap'!$C$15</definedName>
    <definedName function="false" hidden="false" localSheetId="32" name="Monthly_Gap" vbProcedure="false">'C22 Income protection gap'!$C$14</definedName>
    <definedName function="false" hidden="false" localSheetId="32" name="Months_Coping" vbProcedure="false">'C22 Income protection gap'!$C$13</definedName>
    <definedName function="false" hidden="false" localSheetId="32" name="Need_1" vbProcedure="false">'C22 Income protection gap'!$C$33</definedName>
    <definedName function="false" hidden="false" localSheetId="32" name="Need_2" vbProcedure="false">'C22 Income protection gap'!$C$34</definedName>
    <definedName function="false" hidden="false" localSheetId="32" name="Need_3" vbProcedure="false">'C22 Income protection gap'!$C$35</definedName>
    <definedName function="false" hidden="false" localSheetId="32" name="Need_4" vbProcedure="false">'C22 Income protection gap'!$C$36</definedName>
    <definedName function="false" hidden="false" localSheetId="32" name="Need_5" vbProcedure="false">'C22 Income protection gap'!$C$37</definedName>
    <definedName function="false" hidden="false" localSheetId="32" name="Need_6" vbProcedure="false">'C22 Income protection gap'!$C$38</definedName>
    <definedName function="false" hidden="false" localSheetId="32" name="Plan_Goal_Kind" vbProcedure="false">'C22 Income protection gap'!$C$29</definedName>
    <definedName function="false" hidden="false" localSheetId="32" name="Plan_Goal_Need" vbProcedure="false">'C22 Income protection gap'!$C$30</definedName>
    <definedName function="false" hidden="false" localSheetId="32" name="Savings" vbProcedure="false">'C22 Income protection gap'!$G$8</definedName>
    <definedName function="false" hidden="false" localSheetId="32" name="Savings_Entry" vbProcedure="false">'C22 Income protection gap'!$C$8</definedName>
    <definedName function="false" hidden="false" localSheetId="32" name="Savings_Months" vbProcedure="false">'C22 Income protection gap'!$C$17</definedName>
    <definedName function="false" hidden="false" localSheetId="32" name="Sick_Pay_Months" vbProcedure="false">'C22 Income protection gap'!$G$7</definedName>
    <definedName function="false" hidden="false" localSheetId="32" name="Sick_Pay_Months_Entry" vbProcedure="false">'C22 Income protection gap'!$C$7</definedName>
    <definedName function="false" hidden="false" localSheetId="33" name="Actual_Repayment" vbProcedure="false">'C23 Mortgage protection'!$G$17</definedName>
    <definedName function="false" hidden="false" localSheetId="33" name="Actual_Repayment_Entry" vbProcedure="false">'C23 Mortgage protection'!$C$17</definedName>
    <definedName function="false" hidden="false" localSheetId="33" name="Balance_Year_1" vbProcedure="false">'C23 Mortgage protection'!$C$29</definedName>
    <definedName function="false" hidden="false" localSheetId="33" name="Balance_Year_2" vbProcedure="false">'C23 Mortgage protection'!$C$30</definedName>
    <definedName function="false" hidden="false" localSheetId="33" name="Balance_Year_3" vbProcedure="false">'C23 Mortgage protection'!$C$31</definedName>
    <definedName function="false" hidden="false" localSheetId="33" name="Cover_Today" vbProcedure="false">'C23 Mortgage protection'!$C$27</definedName>
    <definedName function="false" hidden="false" localSheetId="33" name="Interest_Rate" vbProcedure="false">'C23 Mortgage protection'!$G$15</definedName>
    <definedName function="false" hidden="false" localSheetId="33" name="Interest_Rate_Entry" vbProcedure="false">'C23 Mortgage protection'!$C$15</definedName>
    <definedName function="false" hidden="false" localSheetId="33" name="Monthly_Rate" vbProcedure="false">'C23 Mortgage protection'!$C$32</definedName>
    <definedName function="false" hidden="false" localSheetId="33" name="Mortgage_Balance" vbProcedure="false">'C23 Mortgage protection'!$G$14</definedName>
    <definedName function="false" hidden="false" localSheetId="33" name="Mortgage_Balance_Entry" vbProcedure="false">'C23 Mortgage protection'!$C$14</definedName>
    <definedName function="false" hidden="false" localSheetId="33" name="Need_1" vbProcedure="false">'C23 Mortgage protection'!$C$44</definedName>
    <definedName function="false" hidden="false" localSheetId="33" name="Need_2" vbProcedure="false">'C23 Mortgage protection'!$C$45</definedName>
    <definedName function="false" hidden="false" localSheetId="33" name="Need_3" vbProcedure="false">'C23 Mortgage protection'!$C$46</definedName>
    <definedName function="false" hidden="false" localSheetId="33" name="Plan_Goal_Kind" vbProcedure="false">'C23 Mortgage protection'!$C$41</definedName>
    <definedName function="false" hidden="false" localSheetId="33" name="Repayment" vbProcedure="false">'C23 Mortgage protection'!$C$33</definedName>
    <definedName function="false" hidden="false" localSheetId="33" name="Statement_Check" vbProcedure="false">'C23 Mortgage protection'!$C$24</definedName>
    <definedName function="false" hidden="false" localSheetId="33" name="Stmt_Balance" vbProcedure="false">'C23 Mortgage protection'!$C$7</definedName>
    <definedName function="false" hidden="false" localSheetId="33" name="Stmt_Rate" vbProcedure="false">'C23 Mortgage protection'!$C$8</definedName>
    <definedName function="false" hidden="false" localSheetId="33" name="Stmt_Repayment" vbProcedure="false">'C23 Mortgage protection'!$C$10</definedName>
    <definedName function="false" hidden="false" localSheetId="33" name="Stmt_Statement_Date" vbProcedure="false">'C23 Mortgage protection'!$C$11</definedName>
    <definedName function="false" hidden="false" localSheetId="33" name="Stmt_Term" vbProcedure="false">'C23 Mortgage protection'!$C$9</definedName>
    <definedName function="false" hidden="false" localSheetId="33" name="Used_Actual_Repayment" vbProcedure="false">'C23 Mortgage protection'!$C$23</definedName>
    <definedName function="false" hidden="false" localSheetId="33" name="Used_Interest_Rate" vbProcedure="false">'C23 Mortgage protection'!$C$21</definedName>
    <definedName function="false" hidden="false" localSheetId="33" name="Used_Mortgage_Balance" vbProcedure="false">'C23 Mortgage protection'!$C$20</definedName>
    <definedName function="false" hidden="false" localSheetId="33" name="Used_Years_Left" vbProcedure="false">'C23 Mortgage protection'!$C$22</definedName>
    <definedName function="false" hidden="false" localSheetId="33" name="Warning" vbProcedure="false">'C23 Mortgage protection'!$C$28</definedName>
    <definedName function="false" hidden="false" localSheetId="33" name="Years_Left" vbProcedure="false">'C23 Mortgage protection'!$G$16</definedName>
    <definedName function="false" hidden="false" localSheetId="33" name="Years_Left_Entry" vbProcedure="false">'C23 Mortgage protection'!$C$16</definedName>
    <definedName function="false" hidden="false" localSheetId="34" name="Investments" vbProcedure="false">'C24 Net worth'!$G$14</definedName>
    <definedName function="false" hidden="false" localSheetId="34" name="Investments_Entry" vbProcedure="false">'C24 Net worth'!$C$14</definedName>
    <definedName function="false" hidden="false" localSheetId="34" name="Mortgage" vbProcedure="false">'C24 Net worth'!$G$17</definedName>
    <definedName function="false" hidden="false" localSheetId="34" name="Mortgage_Entry" vbProcedure="false">'C24 Net worth'!$C$17</definedName>
    <definedName function="false" hidden="false" localSheetId="34" name="Need_1" vbProcedure="false">'C24 Net worth'!$C$40</definedName>
    <definedName function="false" hidden="false" localSheetId="34" name="Need_2" vbProcedure="false">'C24 Net worth'!$C$41</definedName>
    <definedName function="false" hidden="false" localSheetId="34" name="Need_3" vbProcedure="false">'C24 Net worth'!$C$42</definedName>
    <definedName function="false" hidden="false" localSheetId="34" name="Net_Worth" vbProcedure="false">'C24 Net worth'!$C$27</definedName>
    <definedName function="false" hidden="false" localSheetId="34" name="Other_Loans" vbProcedure="false">'C24 Net worth'!$G$18</definedName>
    <definedName function="false" hidden="false" localSheetId="34" name="Other_Loans_Entry" vbProcedure="false">'C24 Net worth'!$C$18</definedName>
    <definedName function="false" hidden="false" localSheetId="34" name="Pensions" vbProcedure="false">'C24 Net worth'!$G$15</definedName>
    <definedName function="false" hidden="false" localSheetId="34" name="Pensions_Entry" vbProcedure="false">'C24 Net worth'!$C$15</definedName>
    <definedName function="false" hidden="false" localSheetId="34" name="Plan_Goal_Kind" vbProcedure="false">'C24 Net worth'!$C$37</definedName>
    <definedName function="false" hidden="false" localSheetId="34" name="Property" vbProcedure="false">'C24 Net worth'!$G$16</definedName>
    <definedName function="false" hidden="false" localSheetId="34" name="Property_Entry" vbProcedure="false">'C24 Net worth'!$C$16</definedName>
    <definedName function="false" hidden="false" localSheetId="34" name="Savings" vbProcedure="false">'C24 Net worth'!$G$13</definedName>
    <definedName function="false" hidden="false" localSheetId="34" name="Savings_Entry" vbProcedure="false">'C24 Net worth'!$C$13</definedName>
    <definedName function="false" hidden="false" localSheetId="34" name="Stmt_Investment_Value" vbProcedure="false">'C24 Net worth'!$C$10</definedName>
    <definedName function="false" hidden="false" localSheetId="34" name="Stmt_Mortgage_Balance" vbProcedure="false">'C24 Net worth'!$C$7</definedName>
    <definedName function="false" hidden="false" localSheetId="34" name="Stmt_Pension_Value" vbProcedure="false">'C24 Net worth'!$C$9</definedName>
    <definedName function="false" hidden="false" localSheetId="34" name="Stmt_Property_Value" vbProcedure="false">'C24 Net worth'!$C$8</definedName>
    <definedName function="false" hidden="false" localSheetId="34" name="Used_Investments" vbProcedure="false">'C24 Net worth'!$C$24</definedName>
    <definedName function="false" hidden="false" localSheetId="34" name="Used_Mortgage" vbProcedure="false">'C24 Net worth'!$C$21</definedName>
    <definedName function="false" hidden="false" localSheetId="34" name="Used_Pensions" vbProcedure="false">'C24 Net worth'!$C$23</definedName>
    <definedName function="false" hidden="false" localSheetId="34" name="Used_Property" vbProcedure="false">'C24 Net worth'!$C$22</definedName>
    <definedName function="false" hidden="false" localSheetId="34" name="You_Owe" vbProcedure="false">'C24 Net worth'!$C$29</definedName>
    <definedName function="false" hidden="false" localSheetId="34" name="You_Own" vbProcedure="false">'C24 Net worth'!$C$28</definedName>
    <definedName function="false" hidden="false" localSheetId="35" name="Debt_Repayments" vbProcedure="false">'C25 Monthly surplus'!$G$9</definedName>
    <definedName function="false" hidden="false" localSheetId="35" name="Debt_Repayments_Entry" vbProcedure="false">'C25 Monthly surplus'!$C$9</definedName>
    <definedName function="false" hidden="false" localSheetId="35" name="Essentials" vbProcedure="false">'C25 Monthly surplus'!$G$7</definedName>
    <definedName function="false" hidden="false" localSheetId="35" name="Essentials_Entry" vbProcedure="false">'C25 Monthly surplus'!$C$7</definedName>
    <definedName function="false" hidden="false" localSheetId="35" name="Going_Out" vbProcedure="false">'C25 Monthly surplus'!$C$16</definedName>
    <definedName function="false" hidden="false" localSheetId="35" name="Lifestyle" vbProcedure="false">'C25 Monthly surplus'!$G$8</definedName>
    <definedName function="false" hidden="false" localSheetId="35" name="Lifestyle_Entry" vbProcedure="false">'C25 Monthly surplus'!$C$8</definedName>
    <definedName function="false" hidden="false" localSheetId="35" name="Need_1" vbProcedure="false">'C25 Monthly surplus'!$C$29</definedName>
    <definedName function="false" hidden="false" localSheetId="35" name="Need_2" vbProcedure="false">'C25 Monthly surplus'!$C$30</definedName>
    <definedName function="false" hidden="false" localSheetId="35" name="Plan_Goal_Amount" vbProcedure="false">'C25 Monthly surplus'!$C$25</definedName>
    <definedName function="false" hidden="false" localSheetId="35" name="Plan_Goal_Kind" vbProcedure="false">'C25 Monthly surplus'!$C$24</definedName>
    <definedName function="false" hidden="false" localSheetId="35" name="Plan_Goal_Years" vbProcedure="false">'C25 Monthly surplus'!$C$26</definedName>
    <definedName function="false" hidden="false" localSheetId="35" name="Surplus" vbProcedure="false">'C25 Monthly surplus'!$C$15</definedName>
    <definedName function="false" hidden="false" localSheetId="35" name="Take_Home" vbProcedure="false">'C25 Monthly surplus'!$G$6</definedName>
    <definedName function="false" hidden="false" localSheetId="35" name="Take_Home_Entry" vbProcedure="false">'C25 Monthly surplus'!$C$6</definedName>
    <definedName function="false" hidden="false" localSheetId="35" name="Used_Take_Home" vbProcedure="false">'C25 Monthly surplus'!$C$12</definedName>
    <definedName function="false" hidden="false" localSheetId="36" name="Budget_Needs" vbProcedure="false">'C26 Budget 50 30 20'!$G$7</definedName>
    <definedName function="false" hidden="false" localSheetId="36" name="Budget_Needs_Entry" vbProcedure="false">'C26 Budget 50 30 20'!$C$7</definedName>
    <definedName function="false" hidden="false" localSheetId="36" name="Budget_Save" vbProcedure="false">'C26 Budget 50 30 20'!$G$9</definedName>
    <definedName function="false" hidden="false" localSheetId="36" name="Budget_Save_Entry" vbProcedure="false">'C26 Budget 50 30 20'!$C$9</definedName>
    <definedName function="false" hidden="false" localSheetId="36" name="Budget_Wants" vbProcedure="false">'C26 Budget 50 30 20'!$G$8</definedName>
    <definedName function="false" hidden="false" localSheetId="36" name="Budget_Wants_Entry" vbProcedure="false">'C26 Budget 50 30 20'!$C$8</definedName>
    <definedName function="false" hidden="false" localSheetId="36" name="Needs" vbProcedure="false">'C26 Budget 50 30 20'!$C$17</definedName>
    <definedName function="false" hidden="false" localSheetId="36" name="Need_1" vbProcedure="false">'C26 Budget 50 30 20'!$C$29</definedName>
    <definedName function="false" hidden="false" localSheetId="36" name="Need_2" vbProcedure="false">'C26 Budget 50 30 20'!$C$30</definedName>
    <definedName function="false" hidden="false" localSheetId="36" name="Need_3" vbProcedure="false">'C26 Budget 50 30 20'!$C$31</definedName>
    <definedName function="false" hidden="false" localSheetId="36" name="Need_4" vbProcedure="false">'C26 Budget 50 30 20'!$C$32</definedName>
    <definedName function="false" hidden="false" localSheetId="36" name="Plan_Goal_Kind" vbProcedure="false">'C26 Budget 50 30 20'!$C$26</definedName>
    <definedName function="false" hidden="false" localSheetId="36" name="Save" vbProcedure="false">'C26 Budget 50 30 20'!$C$16</definedName>
    <definedName function="false" hidden="false" localSheetId="36" name="Split_Check" vbProcedure="false">'C26 Budget 50 30 20'!$C$15</definedName>
    <definedName function="false" hidden="false" localSheetId="36" name="Take_Home" vbProcedure="false">'C26 Budget 50 30 20'!$G$6</definedName>
    <definedName function="false" hidden="false" localSheetId="36" name="Take_Home_Entry" vbProcedure="false">'C26 Budget 50 30 20'!$C$6</definedName>
    <definedName function="false" hidden="false" localSheetId="36" name="Used_Take_Home" vbProcedure="false">'C26 Budget 50 30 20'!$C$12</definedName>
    <definedName function="false" hidden="false" localSheetId="36" name="Wants" vbProcedure="false">'C26 Budget 50 30 20'!$C$18</definedName>
    <definedName function="false" hidden="false" localSheetId="37" name="APR" vbProcedure="false">'C27 Debt repayment'!$G$7</definedName>
    <definedName function="false" hidden="false" localSheetId="37" name="APR_Entry" vbProcedure="false">'C27 Debt repayment'!$C$7</definedName>
    <definedName function="false" hidden="false" localSheetId="37" name="Balance" vbProcedure="false">'C27 Debt repayment'!$G$6</definedName>
    <definedName function="false" hidden="false" localSheetId="37" name="Balance_Entry" vbProcedure="false">'C27 Debt repayment'!$C$6</definedName>
    <definedName function="false" hidden="false" localSheetId="37" name="Extra_Payment" vbProcedure="false">'C27 Debt repayment'!$G$9</definedName>
    <definedName function="false" hidden="false" localSheetId="37" name="Extra_Payment_Entry" vbProcedure="false">'C27 Debt repayment'!$C$9</definedName>
    <definedName function="false" hidden="false" localSheetId="37" name="Final_Payment" vbProcedure="false">'C27 Debt repayment'!$C$16</definedName>
    <definedName function="false" hidden="false" localSheetId="37" name="Monthly_Payment" vbProcedure="false">'C27 Debt repayment'!$G$8</definedName>
    <definedName function="false" hidden="false" localSheetId="37" name="Monthly_Payment_Entry" vbProcedure="false">'C27 Debt repayment'!$C$8</definedName>
    <definedName function="false" hidden="false" localSheetId="37" name="Monthly_Rate" vbProcedure="false">'C27 Debt repayment'!$C$14</definedName>
    <definedName function="false" hidden="false" localSheetId="37" name="Months_To_Clear" vbProcedure="false">'C27 Debt repayment'!$C$12</definedName>
    <definedName function="false" hidden="false" localSheetId="37" name="Need_1" vbProcedure="false">'C27 Debt repayment'!$C$32</definedName>
    <definedName function="false" hidden="false" localSheetId="37" name="Need_2" vbProcedure="false">'C27 Debt repayment'!$C$33</definedName>
    <definedName function="false" hidden="false" localSheetId="37" name="Need_3" vbProcedure="false">'C27 Debt repayment'!$C$34</definedName>
    <definedName function="false" hidden="false" localSheetId="37" name="Payment" vbProcedure="false">'C27 Debt repayment'!$C$15</definedName>
    <definedName function="false" hidden="false" localSheetId="37" name="Plan_Goal_Kind" vbProcedure="false">'C27 Debt repayment'!$C$28</definedName>
    <definedName function="false" hidden="false" localSheetId="37" name="Total_Interest" vbProcedure="false">'C27 Debt repayment'!$C$13</definedName>
    <definedName function="false" hidden="false" localSheetId="38" name="APR" vbProcedure="false">'C28 Loan repayment'!$G$7</definedName>
    <definedName function="false" hidden="false" localSheetId="38" name="APR_Entry" vbProcedure="false">'C28 Loan repayment'!$C$7</definedName>
    <definedName function="false" hidden="false" localSheetId="38" name="Loan_Amount" vbProcedure="false">'C28 Loan repayment'!$G$6</definedName>
    <definedName function="false" hidden="false" localSheetId="38" name="Loan_Amount_Entry" vbProcedure="false">'C28 Loan repayment'!$C$6</definedName>
    <definedName function="false" hidden="false" localSheetId="38" name="Monthly_Rate" vbProcedure="false">'C28 Loan repayment'!$C$14</definedName>
    <definedName function="false" hidden="false" localSheetId="38" name="Monthly_Repayment" vbProcedure="false">'C28 Loan repayment'!$C$11</definedName>
    <definedName function="false" hidden="false" localSheetId="38" name="Need_1" vbProcedure="false">'C28 Loan repayment'!$C$26</definedName>
    <definedName function="false" hidden="false" localSheetId="38" name="Need_2" vbProcedure="false">'C28 Loan repayment'!$C$27</definedName>
    <definedName function="false" hidden="false" localSheetId="38" name="Plan_Goal_Kind" vbProcedure="false">'C28 Loan repayment'!$C$23</definedName>
    <definedName function="false" hidden="false" localSheetId="38" name="Total_Interest" vbProcedure="false">'C28 Loan repayment'!$C$12</definedName>
    <definedName function="false" hidden="false" localSheetId="38" name="Total_Repaid" vbProcedure="false">'C28 Loan repayment'!$C$13</definedName>
    <definedName function="false" hidden="false" localSheetId="38" name="Years" vbProcedure="false">'C28 Loan repayment'!$G$8</definedName>
    <definedName function="false" hidden="false" localSheetId="38"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3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3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3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3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3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3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3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3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45.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<sst xmlns="http://schemas.openxmlformats.org/spreadsheetml/2006/main" count="9384" uniqueCount="6354">
  <si>
    <t xml:space="preserve">LifeMap calculators v2.9 (2026 tax rules)</t>
  </si>
  <si>
    <t xml:space="preserve">2026 rules only: the 2027 Budget rules are not in this workbook. Every figure marked "Requires Verification" on the Tax sheet has not yet been checked against Revenue or the Department of Social Protection.</t>
  </si>
  <si>
    <t xml:space="preserve">Fill example values? (Yes / No)</t>
  </si>
  <si>
    <t xml:space="preserve">Yes</t>
  </si>
  <si>
    <t xml:space="preserve">Yes: every blank input on the Plan inputs sheet shows the example customer (Aoife and Cian), so all the plan sheets show a worked example. Anything you type replaces the example. No: start empty.</t>
  </si>
  <si>
    <t xml:space="preserve">THE FLOW OF THIS WORKBOOK (tab order, left to right)</t>
  </si>
  <si>
    <t xml:space="preserve">1. READ ME (this sheet)</t>
  </si>
  <si>
    <t xml:space="preserve">The example switch above, this flow, the known differences, the assumptions list and a list of the calculators.</t>
  </si>
  <si>
    <t xml:space="preserve">2. Sample walkthrough</t>
  </si>
  <si>
    <t xml:space="preserve">A story with live numbers to explain the workbook to your team: investing in an ETF, selling property, gifting, inheriting, and a year of cash flow.</t>
  </si>
  <si>
    <t xml:space="preserve">3. Tax</t>
  </si>
  <si>
    <t xml:space="preserve">One sheet. Top: which tax applies when you hold, sell, buy, give or receive (pick a situation in the yellow cell). Below: every 2026 tax figure with its status, effective date and source.</t>
  </si>
  <si>
    <t xml:space="preserve">4. Plan inputs</t>
  </si>
  <si>
    <t xml:space="preserve">The yellow input block for the plan: about you and your family, goals, income, assets, debts and your assumptions. With "Fill example values" = Yes the blanks show the example customer.</t>
  </si>
  <si>
    <t xml:space="preserve">5. Plan pay &amp; tax</t>
  </si>
  <si>
    <t xml:space="preserve">Turns the inputs into the figures the plan uses (pay, pension, State Pension, mortgage repayment) and works out the tax each year: income tax, USC, PRSI and pension relief.</t>
  </si>
  <si>
    <t xml:space="preserve">6. Plan goals</t>
  </si>
  <si>
    <t xml:space="preserve">Your goals in funding order, and for each goal what it costs, what has been put aside and how much is covered.</t>
  </si>
  <si>
    <t xml:space="preserve">7. Plan cashflow</t>
  </si>
  <si>
    <t xml:space="preserve">THE cash flow. One row per year from today to the plan-until age: money in after tax and pension contributions, living costs, mortgage and loan repayments, goals paid, what is saved and what balances are left. Column E, "TAXES APPLIED THIS YEAR", says which taxes were charged that year and how much (today's money).</t>
  </si>
  <si>
    <t xml:space="preserve">8. Plan holdings</t>
  </si>
  <si>
    <t xml:space="preserve">Where the plan's own money sits, year by year: cash, savings accounts, investments (lot by lot, so each lot has its own 8-year clock and cost), other assets and alternative investments. Money for goals and for short years is taken in the funding order, and the tax on selling (exit tax or capital gains tax, with losses and the yearly exemption) and at each 8-year anniversary is worked out here and flows into Plan cashflow.</t>
  </si>
  <si>
    <t xml:space="preserve">9. Plan results</t>
  </si>
  <si>
    <t xml:space="preserve">What the Results screens in the app show, worked out by formulas: the saving numbers (spare money, what you save a month), the "To see your results we need N things" check, the % of each goal covered, the findings (main strength, main gap, biggest decision), retirement at a glance, the five foundations and the next best step.</t>
  </si>
  <si>
    <t xml:space="preserve">10. Plan profile</t>
  </si>
  <si>
    <t xml:space="preserve">The money personality and the risk profile, scored from the Discover and Understand Me answers exactly as the app scores them (each answer adds weight to a type; the highest wins). The cushion comes from your cash and living costs when you gave them.</t>
  </si>
  <si>
    <t xml:space="preserve">11. Plan debt months</t>
  </si>
  <si>
    <t xml:space="preserve">Each loan, card and the mortgage is paid month by month inside each plan year: interest is added, then the repayment is taken (never more than is owed), until the balance is 50 cent or less. It feeds the debt columns of Plan cashflow.</t>
  </si>
  <si>
    <t xml:space="preserve">12. C01 to C28 (orange tabs)</t>
  </si>
  <si>
    <t xml:space="preserve">The 28 calculators. C10 and C13 now use the app's method (waiting money earns the cash rate; contributions rise with pay). Where a calculator asks for something you already gave on Plan inputs, it fills in by itself.</t>
  </si>
  <si>
    <t xml:space="preserve">13. C29, C30</t>
  </si>
  <si>
    <t xml:space="preserve">New tax calculators: C29 Investment tax (funds with the 8-year rule, shares), C30 Sale, gift and inheritance tax. Sample example switch in cell E2 of each.</t>
  </si>
  <si>
    <t xml:space="preserve">Hidden tabs (right-click, Unhide)</t>
  </si>
  <si>
    <t xml:space="preserve">Settings, Assumptions, Your lists, Tax engine, Report spec and the original README. Formulas depend on them, so they are kept but hidden. Do not delete them.</t>
  </si>
  <si>
    <t xml:space="preserve">Separate file</t>
  </si>
  <si>
    <t xml:space="preserve">LifeGoals-Calculators-Reference.xlsx holds the reference sheets that nothing depends on: Calculation register, Document reader spec and Plan how it works.</t>
  </si>
  <si>
    <t xml:space="preserve">KNOWN DIFFERENCES (please read)</t>
  </si>
  <si>
    <t xml:space="preserve">Plan sheets</t>
  </si>
  <si>
    <t xml:space="preserve">They follow the prototype's engine v3.0 for 2026: emergency fund goal added first when cash is below the months you chose, the funding order (cash, savings accounts, investments, other assets, alternative investments), the 8-year clock per holding, capital gains with losses and the yearly exemption, downsizing the home, policy payouts and policy income. The plan always starts in 2026 here, because only the 2026 rules are in this workbook. Checked: every year of the plan (18 figures, within 1 euro), the amount taken from each pot and the tax events matched the app for 215 customers (random and edge cases), with the app held to the 2026 rules. The two figures the app finds by searching still have to be typed (see Plan goals).</t>
  </si>
  <si>
    <t xml:space="preserve">Not shown on the Plan sheets</t>
  </si>
  <si>
    <t xml:space="preserve">The app's line "where each goal's money comes from" (which pot paid how much for each goal) is not reproduced; the totals taken from each pot are on Plan holdings. A plan can have up to 20 funded goals (the app has no limit). The 2027 Budget rules are not here.</t>
  </si>
  <si>
    <t xml:space="preserve">Growth calculators</t>
  </si>
  <si>
    <t xml:space="preserve">C09, C10, C17, C18, C19 and C20 use ONE net growth rate that already includes exit tax smoothed over 8 years. C29 is the better view of the tax; the Plan sheets use the explicit 8-year events.</t>
  </si>
  <si>
    <t xml:space="preserve">Verification</t>
  </si>
  <si>
    <t xml:space="preserve">Nothing here has been checked against the official Revenue or Department of Social Protection pages. PRSI on pension (ARF) withdrawals is UNRESOLVED.</t>
  </si>
  <si>
    <t xml:space="preserve">Not modelled</t>
  </si>
  <si>
    <t xml:space="preserve">Dividends and fund distributions; tax on a life-policy lump sum; rental costs and mortgage interest relief; the tax-free part of a purchased annuity; Local Property Tax; business and farm reliefs; stamp duty on gifts.</t>
  </si>
  <si>
    <t xml:space="preserve">ASSUMPTIONS LIST 2026 (everything the plan assumes, with its type)</t>
  </si>
  <si>
    <t xml:space="preserve">Law = set by Government (figures on the Tax sheet). Standard = LifeMap suggestion the customer can change. Your choice = entered by the customer. Assumed = a planning figure used because nothing better is known. Values below are for the example customer.</t>
  </si>
  <si>
    <t xml:space="preserve">Item</t>
  </si>
  <si>
    <t xml:space="preserve">What the plan assumes</t>
  </si>
  <si>
    <t xml:space="preserve">Type</t>
  </si>
  <si>
    <t xml:space="preserve">Note</t>
  </si>
  <si>
    <t xml:space="preserve">Rules</t>
  </si>
  <si>
    <t xml:space="preserve">Irish rules 2026 · checked 2 Oct 2026, 2026 values only: the Budget 2027 changes are not in this workbook</t>
  </si>
  <si>
    <t xml:space="preserve">Set by Government · 2026</t>
  </si>
  <si>
    <t xml:space="preserve">Income tax</t>
  </si>
  <si>
    <t xml:space="preserve">20% up to €44,000 (single; €53,000 married, plus up to €35,000 for a second income), 40% above. Personal credit €2,000 (€4,000 married), employee credit €2,000</t>
  </si>
  <si>
    <t xml:space="preserve">USC</t>
  </si>
  <si>
    <t xml:space="preserve">0.5% / 2% / 3% / 8% in bands; none if your income is €13,000 or less. The State Pension is exempt</t>
  </si>
  <si>
    <t xml:space="preserve">PRSI</t>
  </si>
  <si>
    <t xml:space="preserve">4.2% from Oct 2025, 4.35% from Oct 2026, 4.5% from Oct 2027, 4.7% from Oct 2028; none from 66</t>
  </si>
  <si>
    <t xml:space="preserve">Pension tax relief</t>
  </si>
  <si>
    <t xml:space="preserve">15% / 20% / 25% / 30% / 35% / 40% of pay by age, on pay up to €115,000</t>
  </si>
  <si>
    <t xml:space="preserve">Retirement lump sum</t>
  </si>
  <si>
    <t xml:space="preserve">Up to 25% of the fund: €200,000 tax-free, the next €300,000 taxed at 20%, anything above €500,000 taxed at your marginal rate (40% here)</t>
  </si>
  <si>
    <t xml:space="preserve">Standard Fund Threshold</t>
  </si>
  <si>
    <t xml:space="preserve">€2,200,000 in 2026, rising to €2,800,000 by 2029; 40% tax above it</t>
  </si>
  <si>
    <t xml:space="preserve">Pension withdrawals</t>
  </si>
  <si>
    <t xml:space="preserve">From 60 at the earliest (50 for some occupational schemes); at least 4% a year from 61, 5% from 71 (6% over €2,000,000)</t>
  </si>
  <si>
    <t xml:space="preserve">State Pension (full rate)</t>
  </si>
  <si>
    <t xml:space="preserve">€299.30 a week from 66 (€10 more from 80); Qualified Adult €268.40</t>
  </si>
  <si>
    <t xml:space="preserve">Illness Benefit and survivor's pension</t>
  </si>
  <si>
    <t xml:space="preserve">€254 a week; survivor's pension €259.50 under 66, €299.30 at 66+</t>
  </si>
  <si>
    <t xml:space="preserve">Auto-enrolment (My Future Fund)</t>
  </si>
  <si>
    <t xml:space="preserve">1.5% you + 1.5% employer + 0.5% State, on pay up to €80,000</t>
  </si>
  <si>
    <t xml:space="preserve">Savings tax</t>
  </si>
  <si>
    <t xml:space="preserve">DIRT 33% on deposit interest; exit tax 38% on funds and life policies, with a 8-year deemed disposal</t>
  </si>
  <si>
    <t xml:space="preserve">Capital gains tax</t>
  </si>
  <si>
    <t xml:space="preserve">31% on gains above €1,270 a year for each person (33% for disposals before 7 October 2026). Tax is due when you sell, not while you hold. Losses come off first. Development land stays at 33%.</t>
  </si>
  <si>
    <t xml:space="preserve">Gift and inheritance tax (CAT)</t>
  </si>
  <si>
    <t xml:space="preserve">Group A threshold €420,000 (a child from a parent), from 7 October 2026. Not in your plan yet.</t>
  </si>
  <si>
    <t xml:space="preserve">Mortgage limits (Central Bank)</t>
  </si>
  <si>
    <t xml:space="preserve">4× income for first-time buyers, 3.5× for others; at least a 10% deposit</t>
  </si>
  <si>
    <t xml:space="preserve">Stamp duty</t>
  </si>
  <si>
    <t xml:space="preserve">1% up to €1,000,000, 2% to €1,500,000, 6% above</t>
  </si>
  <si>
    <t xml:space="preserve">Prices rise (inflation)</t>
  </si>
  <si>
    <t xml:space="preserve">2% a year (ECB target 2%; Ireland now 3.9%, CSO HICP flash, Sep 2026)</t>
  </si>
  <si>
    <t xml:space="preserve">Your choice</t>
  </si>
  <si>
    <t xml:space="preserve">Pay rises</t>
  </si>
  <si>
    <t xml:space="preserve">3% a year</t>
  </si>
  <si>
    <t xml:space="preserve">Set by LifeMap</t>
  </si>
  <si>
    <t xml:space="preserve">Irish pay has grown about 3%–4% a year recently (CSO). Source: cso.ie (2026).</t>
  </si>
  <si>
    <t xml:space="preserve">Cash savings grow (after DIRT)</t>
  </si>
  <si>
    <t xml:space="preserve">1% a year</t>
  </si>
  <si>
    <t xml:space="preserve">Irish deposit rates after 33% DIRT. Source: centralbank.ie (Jun 2026).</t>
  </si>
  <si>
    <t xml:space="preserve">Investments grow (after charges and exit tax)</t>
  </si>
  <si>
    <t xml:space="preserve">2.6% a year</t>
  </si>
  <si>
    <t xml:space="preserve">a planning assumption, not a prediction: 5% before fees and tax, less about 1% charges, less 38% exit tax taken every 8 years. Source: Derived: the growth before fees and tax (above), the charges (Market rates) and the exit tax and 8-year rule (Tax rules) (2026).</t>
  </si>
  <si>
    <t xml:space="preserve">Pensions grow while you work (after charges)</t>
  </si>
  <si>
    <t xml:space="preserve">4.5% a year</t>
  </si>
  <si>
    <t xml:space="preserve">a planning assumption after charges, not a prediction. Source: LifeMap planning standard, not a prediction. Reference point: Pensions Authority pension-calculator assumptions (2026).</t>
  </si>
  <si>
    <t xml:space="preserve">Pensions grow once retired (after charges)</t>
  </si>
  <si>
    <t xml:space="preserve">3.15% a year</t>
  </si>
  <si>
    <t xml:space="preserve">a lower-risk fund once retired, after charges. Source: LifeMap planning standard, not a prediction. Reference point: Pensions Authority pension-calculator assumptions (2026).</t>
  </si>
  <si>
    <t xml:space="preserve">Your State Pension</t>
  </si>
  <si>
    <t xml:space="preserve">€15,564 a year from 66 (you expect the full rate); taxable, no USC</t>
  </si>
  <si>
    <t xml:space="preserve">Usually €0–€299.30 a week</t>
  </si>
  <si>
    <t xml:space="preserve">Your partner's State Pension</t>
  </si>
  <si>
    <t xml:space="preserve">€239.44 a week (your figure)</t>
  </si>
  <si>
    <t xml:space="preserve">State Pension in future</t>
  </si>
  <si>
    <t xml:space="preserve">Rises with prices</t>
  </si>
  <si>
    <t xml:space="preserve">it has broadly kept pace with prices over time. Source: Department of Social Protection weekly State Pension rate history (2026).</t>
  </si>
  <si>
    <t xml:space="preserve">Tax bands in future</t>
  </si>
  <si>
    <t xml:space="preserve">Rise with prices</t>
  </si>
  <si>
    <t xml:space="preserve">Budgets have broadly kept pace over time. Source: Department of Finance Budget history (tax bands and credits, 2015 to 2026) (2026).</t>
  </si>
  <si>
    <t xml:space="preserve">Retirement age</t>
  </si>
  <si>
    <t xml:space="preserve">Age 63</t>
  </si>
  <si>
    <t xml:space="preserve">Plan until age</t>
  </si>
  <si>
    <t xml:space="preserve">Age 95</t>
  </si>
  <si>
    <t xml:space="preserve">Plan starts</t>
  </si>
  <si>
    <t xml:space="preserve">2026</t>
  </si>
  <si>
    <t xml:space="preserve">Pension access age</t>
  </si>
  <si>
    <t xml:space="preserve">From 60 (most pensions)</t>
  </si>
  <si>
    <t xml:space="preserve">most pensions can be drawn from 60; some occupational schemes allow 50. Source: Revenue Commissioners: pension benefits can usually be taken from age 60 (PRSAs and personal pensions); some occupational schemes allow retirement from 50 (see the law register) (2026).</t>
  </si>
  <si>
    <t xml:space="preserve">Lump sum at retirement</t>
  </si>
  <si>
    <t xml:space="preserve">25% of your pension (tax as set by law, above)</t>
  </si>
  <si>
    <t xml:space="preserve">most people take the full tax-free amount. Source: Revenue Commissioners: tax-free retirement lump sum, up to 25% of the fund (law limit) (Law limit 25%).</t>
  </si>
  <si>
    <t xml:space="preserve">Pension drawdown</t>
  </si>
  <si>
    <t xml:space="preserve">Spread to the end of the plan, at least the legal minimum</t>
  </si>
  <si>
    <t xml:space="preserve">Share of your pension you pay</t>
  </si>
  <si>
    <t xml:space="preserve">50%</t>
  </si>
  <si>
    <t xml:space="preserve">Mortgage rate</t>
  </si>
  <si>
    <t xml:space="preserve">3.85% (from your statement)</t>
  </si>
  <si>
    <t xml:space="preserve">Credit-card rate</t>
  </si>
  <si>
    <t xml:space="preserve">20% (your figure)</t>
  </si>
  <si>
    <t xml:space="preserve">Other loans rate</t>
  </si>
  <si>
    <t xml:space="preserve">8% (your figure)</t>
  </si>
  <si>
    <t xml:space="preserve">What you save</t>
  </si>
  <si>
    <t xml:space="preserve">About €67 a month towards your goals, at most 50% of your spare money (from your answer: €300 to €750)</t>
  </si>
  <si>
    <t xml:space="preserve">Spare money not saved</t>
  </si>
  <si>
    <t xml:space="preserve">Assumed spent</t>
  </si>
  <si>
    <t xml:space="preserve">How the plan works</t>
  </si>
  <si>
    <t xml:space="preserve">Emergency fund</t>
  </si>
  <si>
    <t xml:space="preserve">Your Emergency fund goal covers this</t>
  </si>
  <si>
    <t xml:space="preserve">Money for goals sooner than</t>
  </si>
  <si>
    <t xml:space="preserve">5 years: kept as cash</t>
  </si>
  <si>
    <t xml:space="preserve">Spare savings invested</t>
  </si>
  <si>
    <t xml:space="preserve">40% (the rest in cash)</t>
  </si>
  <si>
    <t xml:space="preserve">Order your savings go to goals</t>
  </si>
  <si>
    <t xml:space="preserve">Your order from Which goal first? (Emergency fund first unless you move it). Until you rank: must-haves, then nice-to-haves, soonest first</t>
  </si>
  <si>
    <t xml:space="preserve">Tax for couples</t>
  </si>
  <si>
    <t xml:space="preserve">Taxed as individuals</t>
  </si>
  <si>
    <t xml:space="preserve">How timing is counted</t>
  </si>
  <si>
    <t xml:space="preserve">Calculators: monthly, end of the month. Pension contributions in your plan and in the Retirement tool: paid at the end of each year (a little lower than monthly). Money you save towards goals: at the start of each year. Mortgage rates are a yearly rate ÷ 12; card, loan and APR figures are effective yearly rates.</t>
  </si>
  <si>
    <t xml:space="preserve">Tax year rules</t>
  </si>
  <si>
    <t xml:space="preserve">This workbook uses the 2026 rules in every year of the plan (tax bands, credits and the State Pension grow with your inflation choice, or stay flat if you chose flat). The Budget 2027 rules are not in this workbook</t>
  </si>
  <si>
    <t xml:space="preserve">Investments held as</t>
  </si>
  <si>
    <t xml:space="preserve">Funds or ETFs: growth first; exit tax when sold, and when the 8-year rule treats them as sold (the tax is taken from the fund and the cost resets)</t>
  </si>
  <si>
    <t xml:space="preserve">Capital gains tax on sold assets</t>
  </si>
  <si>
    <t xml:space="preserve">31% on the gain when something is sold (33% for sales before 7 Oct 2026), after losses and the €1,270 a year exemption (€2,540 if you own them with your partner). The gain is the sale value less what you paid. Nothing is taxed while you hold it.</t>
  </si>
  <si>
    <t xml:space="preserve">What you paid for assets</t>
  </si>
  <si>
    <t xml:space="preserve">Your figures where you entered them. Where you did not: funds and shares you hold directly are assumed bought at today's value (no gain yet); other assets and alternative investments assume 40% of their value is gain</t>
  </si>
  <si>
    <t xml:space="preserve">PRSI on pension (ARF) withdrawals</t>
  </si>
  <si>
    <t xml:space="preserve">UNRESOLVED. The plan charges 4.24% PRSI on ARF / PRSA withdrawals before 66, and from 66 to 70 if you do not get the contributory State Pension, because provider guidance says so. Revenue and Social Protection have not been checked, so this may change</t>
  </si>
  <si>
    <t xml:space="preserve">Assumed: add yours</t>
  </si>
  <si>
    <t xml:space="preserve">State Pension entitlement</t>
  </si>
  <si>
    <t xml:space="preserve">Total Contributions Approach: your years of PRSI divided by 40 (nothing under 10 years). The 2025 to 2033 transition (the higher of the Yearly Average blend and the Total Contributions Approach) is not modelled: enter the weekly amount from your MyWelfare statement to use your own figure</t>
  </si>
  <si>
    <t xml:space="preserve">Known limits</t>
  </si>
  <si>
    <t xml:space="preserve">Living costs stay the same through the plan. Your partner's pay is counted until the retirement age you choose for them, then only their State Pension; their own pension isn't modelled. We assume drawdown from an ARF or vested PRSA. The reduced USC rate for medical-card holders under 70 isn't applied. Auto-enrolment rates after 2028 stay at the 2026 rates. Where you have not entered what you paid, capital gains tax uses a share-of-value assumption and funds are assumed bought at today's value. Dividends and fund distributions, tax on a life-policy lump sum, rental costs, the tax-free part of a bought annuity and gift or inheritance tax are not modelled yet.</t>
  </si>
  <si>
    <t xml:space="preserve">LifeMap standards (the customer can change each one)</t>
  </si>
  <si>
    <t xml:space="preserve">Standard</t>
  </si>
  <si>
    <t xml:space="preserve">Value and basis</t>
  </si>
  <si>
    <t xml:space="preserve">As at</t>
  </si>
  <si>
    <t xml:space="preserve">Source</t>
  </si>
  <si>
    <t xml:space="preserve">Prices &amp; growth: Inflation: prices rise (a year)</t>
  </si>
  <si>
    <t xml:space="preserve">0.02  (the ECB target for the long term)</t>
  </si>
  <si>
    <t xml:space="preserve">2025 strategy</t>
  </si>
  <si>
    <t xml:space="preserve">https://www.bundesbank.de/en/tasks/topics/european-central-bank-updates-monetary-policy-strategy-970824</t>
  </si>
  <si>
    <t xml:space="preserve">Prices &amp; growth: Pay rises (a year)</t>
  </si>
  <si>
    <t xml:space="preserve">0.03  (Irish pay has grown about 3%–4% a year recently (CSO))</t>
  </si>
  <si>
    <t xml:space="preserve">https://www.cso.ie/en/statistics/earnings/</t>
  </si>
  <si>
    <t xml:space="preserve">Prices &amp; growth: Cash savings earn (a year, after DIRT)</t>
  </si>
  <si>
    <t xml:space="preserve">0.01  (Irish deposit rates after 33% DIRT)</t>
  </si>
  <si>
    <t xml:space="preserve">Jun 2026</t>
  </si>
  <si>
    <t xml:space="preserve">https://centralbank.ie/statistics/data-and-analysis/credit-and-banking-statistics/retail-interest-rates</t>
  </si>
  <si>
    <t xml:space="preserve">Prices &amp; growth: Investments grow (a year, after charges and tax)</t>
  </si>
  <si>
    <t xml:space="preserve">0.026  (a planning assumption, not a prediction: 5% before fees and tax, less about 1% charges, less 38% exit tax taken every 8 years)</t>
  </si>
  <si>
    <t xml:space="preserve">Derived: the growth before fees and tax (above), the charges (Market rates) and the exit tax and 8-year rule (Tax rules)</t>
  </si>
  <si>
    <t xml:space="preserve">Prices &amp; growth: Investments grow before fees and tax (a year; growth and fees tools)</t>
  </si>
  <si>
    <t xml:space="preserve">0.05  (LifeMap standard, not a forecast)</t>
  </si>
  <si>
    <t xml:space="preserve">LifeMap planning standard, not a prediction. Reference points: Pensions Authority pension-calculator growth assumption; Central Bank of Ireland guidance that returns are not guaranteed</t>
  </si>
  <si>
    <t xml:space="preserve">Prices &amp; growth: Pension grows while you work (a year, after charges)</t>
  </si>
  <si>
    <t xml:space="preserve">0.045  (a planning assumption after charges, not a prediction)</t>
  </si>
  <si>
    <t xml:space="preserve">LifeMap planning standard, not a prediction. Reference point: Pensions Authority pension-calculator assumptions</t>
  </si>
  <si>
    <t xml:space="preserve">Prices &amp; growth: Pension grows once retired (a year, after charges)</t>
  </si>
  <si>
    <t xml:space="preserve">0.0315  (a lower-risk fund once retired, after charges)</t>
  </si>
  <si>
    <t xml:space="preserve">Home: Rent vs buy: rent rises (a year)</t>
  </si>
  <si>
    <t xml:space="preserve">0.03  (a long-run planning figure)</t>
  </si>
  <si>
    <t xml:space="preserve">LifeMap long-run planning figure. Reference points: Residential Tenancies Board Rent Index; CSO Consumer Price Index (rent)</t>
  </si>
  <si>
    <t xml:space="preserve">Home: Rent vs buy: house prices rise (a year)</t>
  </si>
  <si>
    <t xml:space="preserve">0.02  (a long-run planning figure; prices can fall)</t>
  </si>
  <si>
    <t xml:space="preserve">LifeMap long-run planning figure. Reference point: CSO Residential Property Price Index</t>
  </si>
  <si>
    <t xml:space="preserve">Home: Rent vs buy: upkeep a year (share of home value)</t>
  </si>
  <si>
    <t xml:space="preserve">0.01  (repairs, insurance and maintenance)</t>
  </si>
  <si>
    <t xml:space="preserve">LifeMap planning standard (no official figure exists)</t>
  </si>
  <si>
    <t xml:space="preserve">Retirement: Share of pension contributions you pay yourself</t>
  </si>
  <si>
    <t xml:space="preserve">0.5  (a common 5% + 5% split with your employer; 100% if self-employed)</t>
  </si>
  <si>
    <t xml:space="preserve">Pensions Authority and My Future Fund (auto-enrolment) contribution split, 2026</t>
  </si>
  <si>
    <t xml:space="preserve">Retirement: Retirement savings target: times the yearly income needed</t>
  </si>
  <si>
    <t xml:space="preserve">25  (a common rule of thumb, about 4% a year)</t>
  </si>
  <si>
    <t xml:space="preserve">Widely used 4% sustainable-withdrawal rule of thumb (W. Bengen, Journal of Financial Planning, 1994)</t>
  </si>
  <si>
    <t xml:space="preserve">Retirement: Retirement spending if no goal (share of today's spending)</t>
  </si>
  <si>
    <t xml:space="preserve">0.8  (most people spend a bit less once work costs and the mortgage stop)</t>
  </si>
  <si>
    <t xml:space="preserve">LifeMap planning standard. Reference points: Pensions Authority and Society of Actuaries in Ireland retirement-income guidance</t>
  </si>
  <si>
    <t xml:space="preserve">Retirement: Pension access age (the earliest age you can draw your pension)</t>
  </si>
  <si>
    <t xml:space="preserve">60  (most pensions can be drawn from 60; some occupational schemes allow 50)</t>
  </si>
  <si>
    <t xml:space="preserve">Revenue Commissioners: pension benefits can usually be taken from age 60 (PRSAs and personal pensions); some occupational schemes allow retirement from 50 (see the law register)</t>
  </si>
  <si>
    <t xml:space="preserve">Retirement: Tax-free lump sum to take (share of pension; law limit 25%)</t>
  </si>
  <si>
    <t xml:space="preserve">0.25  (most people take the full tax-free amount)</t>
  </si>
  <si>
    <t xml:space="preserve">Law limit 25%</t>
  </si>
  <si>
    <t xml:space="preserve">Revenue Commissioners: tax-free retirement lump sum, up to 25% of the fund (law limit)</t>
  </si>
  <si>
    <t xml:space="preserve">Emergency fund &amp; saving: Emergency fund: months of essential spending</t>
  </si>
  <si>
    <t xml:space="preserve">6  (6 months for a single income or self-employed, 3 for two secure incomes)</t>
  </si>
  <si>
    <t xml:space="preserve">LifeMap planning standard. Reference points: MABS and CCPC (ccpc.ie) guidance on keeping 3 to 6 months of essential spending as an emergency fund</t>
  </si>
  <si>
    <t xml:space="preserve">Emergency fund &amp; saving: Emergency fund: months with two secure incomes</t>
  </si>
  <si>
    <t xml:space="preserve">3  (two secure incomes)</t>
  </si>
  <si>
    <t xml:space="preserve">LifeMap planning standard. Reference points: MABS and CCPC guidance</t>
  </si>
  <si>
    <t xml:space="preserve">Emergency fund &amp; saving: Money for goals sooner than this is kept as cash (years)</t>
  </si>
  <si>
    <t xml:space="preserve">5  (money needed within 5 years is usually kept as cash)</t>
  </si>
  <si>
    <t xml:space="preserve">LifeMap planning standard (common planning practice: money needed within about 5 years is not invested)</t>
  </si>
  <si>
    <t xml:space="preserve">Emergency fund &amp; saving: Spare savings: share invested</t>
  </si>
  <si>
    <t xml:space="preserve">0.4  (a balanced cash and invested mix)</t>
  </si>
  <si>
    <t xml:space="preserve">LifeMap planning standard (a balanced cash and invested mix)</t>
  </si>
  <si>
    <t xml:space="preserve">Choices: How your investments are held</t>
  </si>
  <si>
    <t xml:space="preserve">fund  (most people hold funds or ETFs)</t>
  </si>
  <si>
    <t xml:space="preserve">LifeMap planning standard. Funds and ETFs pay exit tax (with the 8-year rule); shares held directly pay capital gains tax when sold.</t>
  </si>
  <si>
    <t xml:space="preserve">Emergency fund &amp; saving: Other assets and alternative investments: share of the value that is a gain</t>
  </si>
  <si>
    <t xml:space="preserve">0.4  (a planning figure, because we do not know what you paid)</t>
  </si>
  <si>
    <t xml:space="preserve">LifeMap planning standard. Capital gains tax applies to the gain only, not the whole value.</t>
  </si>
  <si>
    <t xml:space="preserve">Emergency fund &amp; saving: Share of spare money saved, at most</t>
  </si>
  <si>
    <t xml:space="preserve">0.5  (half of your spare money)</t>
  </si>
  <si>
    <t xml:space="preserve">LifeMap planning standard</t>
  </si>
  <si>
    <t xml:space="preserve">Emergency fund &amp; saving: Monthly saving if not answered</t>
  </si>
  <si>
    <t xml:space="preserve">300  (a modest regular amount)</t>
  </si>
  <si>
    <t xml:space="preserve">Protection: Life cover: share of income the family needs</t>
  </si>
  <si>
    <t xml:space="preserve">0.6  (families usually need less than full pay)</t>
  </si>
  <si>
    <t xml:space="preserve">LifeMap planning standard. Reference point: Irish life-insurer needs calculators</t>
  </si>
  <si>
    <t xml:space="preserve">Protection: Life cover: years of support</t>
  </si>
  <si>
    <t xml:space="preserve">15  (often until your youngest child is 23)</t>
  </si>
  <si>
    <t xml:space="preserve">Risk and budget: Risk and return: growth a year, Cautious / Balanced / Growth</t>
  </si>
  <si>
    <t xml:space="preserve">[0.02,0.04,0.06]  (illustrations, not forecasts)</t>
  </si>
  <si>
    <t xml:space="preserve">LifeMap illustrations, not forecasts</t>
  </si>
  <si>
    <t xml:space="preserve">Risk and budget: Risk and return: ups and downs (volatility), Cautious / Balanced / Growth</t>
  </si>
  <si>
    <t xml:space="preserve">[0.05,0.1,0.16]  (illustrations, not forecasts)</t>
  </si>
  <si>
    <t xml:space="preserve">Risk and budget: Budget split: needs / wants / savings and debt</t>
  </si>
  <si>
    <t xml:space="preserve">[0.5,0.3,0.2]  (the 50/30/20 rule)</t>
  </si>
  <si>
    <t xml:space="preserve">The 50/30/20 budgeting rule (E. Warren and A. Warren Tyagi, All Your Worth, 2005)</t>
  </si>
  <si>
    <t xml:space="preserve">Choices: Tax bands in future</t>
  </si>
  <si>
    <t xml:space="preserve">prices  (Budgets have broadly kept pace over time)</t>
  </si>
  <si>
    <t xml:space="preserve">Department of Finance Budget history (tax bands and credits, 2015 to 2026)</t>
  </si>
  <si>
    <t xml:space="preserve">Choices: State Pension in future</t>
  </si>
  <si>
    <t xml:space="preserve">prices  (it has broadly kept pace with prices over time)</t>
  </si>
  <si>
    <t xml:space="preserve">Department of Social Protection weekly State Pension rate history</t>
  </si>
  <si>
    <t xml:space="preserve">Choices: How you draw your pension</t>
  </si>
  <si>
    <t xml:space="preserve">spread  (spread over your plan, at least the legal minimum)</t>
  </si>
  <si>
    <t xml:space="preserve">Revenue Commissioners: ARF and vested PRSA minimum annual distribution (4% from 61, 5% from 71; 6% over €2m)</t>
  </si>
  <si>
    <t xml:space="preserve">Choices: Drawdown tools: withdrawals taken at the</t>
  </si>
  <si>
    <t xml:space="preserve">start  (the prudent choice: the money has less time to grow before you take it)</t>
  </si>
  <si>
    <t xml:space="preserve">LifeMap tool setting</t>
  </si>
  <si>
    <t xml:space="preserve">Choices: Lump sum tool: years you might wait before investing</t>
  </si>
  <si>
    <t xml:space="preserve">5  (an illustration of the cost of waiting)</t>
  </si>
  <si>
    <t xml:space="preserve">LifeMap tool setting (an illustration of the cost of waiting)</t>
  </si>
  <si>
    <t xml:space="preserve">Choices: Risk and return tool: investment style (1 Cautious, 2 Balanced, 3 Growth)</t>
  </si>
  <si>
    <t xml:space="preserve">2  (Balanced; an adviser checks your attitude to risk)</t>
  </si>
  <si>
    <t xml:space="preserve">LifeMap tool setting (Balanced; an adviser checks attitude to risk)</t>
  </si>
  <si>
    <t xml:space="preserve">Market rates: Suggested mortgage rate</t>
  </si>
  <si>
    <t xml:space="preserve">0.0348  (Central Bank of Ireland: average rate on new mortgages, Jul 2026)</t>
  </si>
  <si>
    <t xml:space="preserve">Jul 2026</t>
  </si>
  <si>
    <t xml:space="preserve">https://www.centralbank.ie/statistics/data-and-analysis/credit-and-banking-statistics/retail-interest-rates</t>
  </si>
  <si>
    <t xml:space="preserve">Market rates: Suggested personal and car loan rate (APR)</t>
  </si>
  <si>
    <t xml:space="preserve">0.0672  (Central Bank of Ireland: average rate on new consumer loans, Jul 2026)</t>
  </si>
  <si>
    <t xml:space="preserve">Market rates: Suggested credit card rate (APR)</t>
  </si>
  <si>
    <t xml:space="preserve">null  (No published average)</t>
  </si>
  <si>
    <t xml:space="preserve">—</t>
  </si>
  <si>
    <t xml:space="preserve">Market rates: Suggested deposit rate (fixed term, before 33% DIRT)</t>
  </si>
  <si>
    <t xml:space="preserve">0.0192  (Central Bank of Ireland: average rate on new fixed-term household deposits, Jul 2026)</t>
  </si>
  <si>
    <t xml:space="preserve">Market rates: Suggested buying fees (legal and survey)</t>
  </si>
  <si>
    <t xml:space="preserve">null  (No published figure)</t>
  </si>
  <si>
    <t xml:space="preserve">No published figure</t>
  </si>
  <si>
    <t xml:space="preserve">Market rates: Suggested fund and pension charges (a year)</t>
  </si>
  <si>
    <t xml:space="preserve">0.01  (Pensions Authority pension calculator assumption)</t>
  </si>
  <si>
    <t xml:space="preserve">https://pensionsauthority.ie/scheme-members-and-prsa-contributors/pension-calculator/assumptions/ · https://www.ccpc.ie/consumers/money/pensions/fees-and-charges/</t>
  </si>
  <si>
    <t xml:space="preserve">CALCULATORS (click to open)</t>
  </si>
  <si>
    <t xml:space="preserve">C01</t>
  </si>
  <si>
    <t xml:space="preserve">C02</t>
  </si>
  <si>
    <t xml:space="preserve">C03</t>
  </si>
  <si>
    <t xml:space="preserve">C04</t>
  </si>
  <si>
    <t xml:space="preserve">C05</t>
  </si>
  <si>
    <t xml:space="preserve">C06</t>
  </si>
  <si>
    <t xml:space="preserve">C07</t>
  </si>
  <si>
    <t xml:space="preserve">C08</t>
  </si>
  <si>
    <t xml:space="preserve">C09</t>
  </si>
  <si>
    <t xml:space="preserve">C10</t>
  </si>
  <si>
    <t xml:space="preserve">C11</t>
  </si>
  <si>
    <t xml:space="preserve">C12</t>
  </si>
  <si>
    <t xml:space="preserve">C13</t>
  </si>
  <si>
    <t xml:space="preserve">C14</t>
  </si>
  <si>
    <t xml:space="preserve">C15</t>
  </si>
  <si>
    <t xml:space="preserve">C16</t>
  </si>
  <si>
    <t xml:space="preserve">C17</t>
  </si>
  <si>
    <t xml:space="preserve">C18</t>
  </si>
  <si>
    <t xml:space="preserve">C19</t>
  </si>
  <si>
    <t xml:space="preserve">C20</t>
  </si>
  <si>
    <t xml:space="preserve">C21</t>
  </si>
  <si>
    <t xml:space="preserve">C22</t>
  </si>
  <si>
    <t xml:space="preserve">C23</t>
  </si>
  <si>
    <t xml:space="preserve">C24</t>
  </si>
  <si>
    <t xml:space="preserve">C25</t>
  </si>
  <si>
    <t xml:space="preserve">C26</t>
  </si>
  <si>
    <t xml:space="preserve">C27</t>
  </si>
  <si>
    <t xml:space="preserve">C28</t>
  </si>
  <si>
    <t xml:space="preserve">C29</t>
  </si>
  <si>
    <t xml:space="preserve">C30</t>
  </si>
  <si>
    <t xml:space="preserve">Sample walkthrough: Aoife and Cian explained step by step</t>
  </si>
  <si>
    <t xml:space="preserve">A story you can read out to your team. Every number is a live formula linked to the calculators. Both calculators (C29, C30) must be on "Sample example" (cell E2 on each sheet): the box below turns green when they are.</t>
  </si>
  <si>
    <t xml:space="preserve">Are both calculators on the sample?</t>
  </si>
  <si>
    <t xml:space="preserve">Step</t>
  </si>
  <si>
    <t xml:space="preserve">What happens (say this)</t>
  </si>
  <si>
    <t xml:space="preserve">Result</t>
  </si>
  <si>
    <t xml:space="preserve">Where to look</t>
  </si>
  <si>
    <t xml:space="preserve">1. Invest €100,000 in an ETF</t>
  </si>
  <si>
    <t xml:space="preserve">Aoife puts €100,000 in an ETF for 20 years. It grows 5% a year, less 1% charges. If there were no tax it would reach this value:</t>
  </si>
  <si>
    <t xml:space="preserve">C29, "Value if nothing were taxed"</t>
  </si>
  <si>
    <t xml:space="preserve">But a fund pays exit tax every 8 years even if she does not sell (the "8-year rule"). Tax taken from the fund at those events:</t>
  </si>
  <si>
    <t xml:space="preserve">C29, table columns G to I</t>
  </si>
  <si>
    <t xml:space="preserve">When she sells in year 20 she pays exit tax on the gain since the last reset:</t>
  </si>
  <si>
    <t xml:space="preserve">C29, "Tax on the sale"</t>
  </si>
  <si>
    <t xml:space="preserve">What she receives after all tax:</t>
  </si>
  <si>
    <t xml:space="preserve">C29, "Money you receive after all tax"</t>
  </si>
  <si>
    <t xml:space="preserve">So the growth she really gets each year, after tax, is:</t>
  </si>
  <si>
    <t xml:space="preserve">C29 vs 4% before tax</t>
  </si>
  <si>
    <t xml:space="preserve">2. Sell a rental property</t>
  </si>
  <si>
    <t xml:space="preserve">Cian sells a rental property for €400,000. It cost €250,000 and he spent €15,000 on costs. The gain is:</t>
  </si>
  <si>
    <t xml:space="preserve">C30 section A</t>
  </si>
  <si>
    <t xml:space="preserve">Capital gains tax (31% for a sale after 7 Oct 2026) on the gain after the €1,270 yearly exemption:</t>
  </si>
  <si>
    <t xml:space="preserve">C30, "Tax payable"</t>
  </si>
  <si>
    <t xml:space="preserve">What he keeps (before repaying any loan):</t>
  </si>
  <si>
    <t xml:space="preserve">3. Give an asset to a child</t>
  </si>
  <si>
    <t xml:space="preserve">They give a €300,000 property to their daughter. A gift counts as a sale at market value, so the giver can owe capital gains tax. Cian's gain is:</t>
  </si>
  <si>
    <t xml:space="preserve">C30 section B</t>
  </si>
  <si>
    <t xml:space="preserve">The capital gains tax the giver pays:</t>
  </si>
  <si>
    <t xml:space="preserve">4. A child receives money</t>
  </si>
  <si>
    <t xml:space="preserve">The daughter also receives €500,000 from her parents. Tax for the receiver is gift and inheritance tax (CAT), 33% above the threshold for a child from a parent. The threshold is:</t>
  </si>
  <si>
    <t xml:space="preserve">C30 section C</t>
  </si>
  <si>
    <t xml:space="preserve">CAT she pays:</t>
  </si>
  <si>
    <t xml:space="preserve">5. A year of cash flow (Plan cashflow sheet)</t>
  </si>
  <si>
    <t xml:space="preserve">In the first plan year, money in after tax and pension contributions (today's money):</t>
  </si>
  <si>
    <t xml:space="preserve">Plan cashflow, first row (needs "Fill example values" = Yes on the READ ME)</t>
  </si>
  <si>
    <t xml:space="preserve">Of which income tax, USC and PRSI taken (today's money), already deducted from the figure above:</t>
  </si>
  <si>
    <t xml:space="preserve">Plan pay &amp; tax, tax columns; Plan cashflow, column "TAXES APPLIED THIS YEAR"</t>
  </si>
  <si>
    <t xml:space="preserve">Living costs and one-offs:</t>
  </si>
  <si>
    <t xml:space="preserve">Plan cashflow</t>
  </si>
  <si>
    <t xml:space="preserve">Mortgage and loan repayments:</t>
  </si>
  <si>
    <t xml:space="preserve">What is left (surplus), which goes to saving, goals or spending:</t>
  </si>
  <si>
    <t xml:space="preserve">6. The big idea</t>
  </si>
  <si>
    <t xml:space="preserve">Tax depends on WHAT you own and WHAT you do with it: holding, selling, giving or receiving. The "Tax guide 2026" sheet answers that for every case.</t>
  </si>
  <si>
    <t xml:space="preserve">Tax guide 2026 (pick a situation)</t>
  </si>
  <si>
    <t xml:space="preserve">7. Be honest about limits</t>
  </si>
  <si>
    <t xml:space="preserve">Every tax figure marked "Requires Verification" has not yet been checked against Revenue or the Department of Social Protection. PRSI on pension withdrawals is unresolved.</t>
  </si>
  <si>
    <t xml:space="preserve">Tax assumptions 2026</t>
  </si>
  <si>
    <t xml:space="preserve">Tax: which tax applies, on what, and when (2026)</t>
  </si>
  <si>
    <t xml:space="preserve">Pick a situation in the yellow cell to see the tax in plain words. The full list is below. Status Requires Verification means not yet checked against Revenue / Department of Social Protection. LifeMap column: whether the plan or a calculator takes it off.</t>
  </si>
  <si>
    <t xml:space="preserve">Pick a situation (yellow cell)</t>
  </si>
  <si>
    <t xml:space="preserve">What it means</t>
  </si>
  <si>
    <t xml:space="preserve">Selling: other property or land</t>
  </si>
  <si>
    <t xml:space="preserve">Situation</t>
  </si>
  <si>
    <t xml:space="preserve">Asset or income</t>
  </si>
  <si>
    <t xml:space="preserve">Tax or charge</t>
  </si>
  <si>
    <t xml:space="preserve">Who pays</t>
  </si>
  <si>
    <t xml:space="preserve">Rate 2026</t>
  </si>
  <si>
    <t xml:space="preserve">When it arises</t>
  </si>
  <si>
    <t xml:space="preserve">What it is charged on</t>
  </si>
  <si>
    <t xml:space="preserve">Exemptions and reliefs</t>
  </si>
  <si>
    <t xml:space="preserve">In LifeMap?</t>
  </si>
  <si>
    <t xml:space="preserve">Status</t>
  </si>
  <si>
    <t xml:space="preserve">Earning: employee pay</t>
  </si>
  <si>
    <t xml:space="preserve">Salary, bonus</t>
  </si>
  <si>
    <t xml:space="preserve">Income tax, USC, PRSI</t>
  </si>
  <si>
    <t xml:space="preserve">You (the employer deducts it)</t>
  </si>
  <si>
    <t xml:space="preserve">Income tax 20% / 40%; USC 0.5% to 8%; PRSI 4.2% then 4.35% from 1 Oct 2026</t>
  </si>
  <si>
    <t xml:space="preserve">Each pay day</t>
  </si>
  <si>
    <t xml:space="preserve">Gross pay</t>
  </si>
  <si>
    <t xml:space="preserve">Tax credits (personal, employee), standard rate band €44,000</t>
  </si>
  <si>
    <t xml:space="preserve">Yes: Tax engine, plan</t>
  </si>
  <si>
    <t xml:space="preserve">Requires Verification</t>
  </si>
  <si>
    <t xml:space="preserve">Earning: self-employed</t>
  </si>
  <si>
    <t xml:space="preserve">Profits</t>
  </si>
  <si>
    <t xml:space="preserve">Income tax, USC (+3% over €100,000), PRSI Class S (min €650)</t>
  </si>
  <si>
    <t xml:space="preserve">You (self-assessed)</t>
  </si>
  <si>
    <t xml:space="preserve">As employee; USC surcharge 3%</t>
  </si>
  <si>
    <t xml:space="preserve">Each year, by Revenue deadline</t>
  </si>
  <si>
    <t xml:space="preserve">Earned Income credit</t>
  </si>
  <si>
    <t xml:space="preserve">Yes: Tax engine</t>
  </si>
  <si>
    <t xml:space="preserve">Holding: deposit interest</t>
  </si>
  <si>
    <t xml:space="preserve">Savings, deposits, credit union</t>
  </si>
  <si>
    <t xml:space="preserve">DIRT</t>
  </si>
  <si>
    <t xml:space="preserve">The bank (deducted)</t>
  </si>
  <si>
    <t xml:space="preserve">33%</t>
  </si>
  <si>
    <t xml:space="preserve">When interest is paid or credited</t>
  </si>
  <si>
    <t xml:space="preserve">Interest</t>
  </si>
  <si>
    <t xml:space="preserve">None for most people</t>
  </si>
  <si>
    <t xml:space="preserve">Yes: cash growth is after DIRT</t>
  </si>
  <si>
    <t xml:space="preserve">Holding: funds and ETFs</t>
  </si>
  <si>
    <t xml:space="preserve">Irish and EU funds, ETFs</t>
  </si>
  <si>
    <t xml:space="preserve">Exit tax with the 8-year rule (deemed disposal)</t>
  </si>
  <si>
    <t xml:space="preserve">You (the fund or broker reports; paid by 31 Oct of the next year)</t>
  </si>
  <si>
    <t xml:space="preserve">38% (35% from 1 Jan 2027, not in this 2026 sheet)</t>
  </si>
  <si>
    <t xml:space="preserve">On sale, and every 8 years from purchase even if not sold</t>
  </si>
  <si>
    <t xml:space="preserve">Gain over the cost (cost resets after each 8-year event)</t>
  </si>
  <si>
    <t xml:space="preserve">None: no yearly exemption; losses cannot be set against other gains</t>
  </si>
  <si>
    <t xml:space="preserve">Yes: C29 and the plan</t>
  </si>
  <si>
    <t xml:space="preserve">Holding: shares held directly</t>
  </si>
  <si>
    <t xml:space="preserve">Listed shares</t>
  </si>
  <si>
    <t xml:space="preserve">No tax on unrealised gains; income tax on dividends</t>
  </si>
  <si>
    <t xml:space="preserve">You</t>
  </si>
  <si>
    <t xml:space="preserve">Dividends: income tax, USC, PRSI; Irish dividends also 25% withholding tax</t>
  </si>
  <si>
    <t xml:space="preserve">Dividends when paid; gains only when sold</t>
  </si>
  <si>
    <t xml:space="preserve">Dividend income</t>
  </si>
  <si>
    <t xml:space="preserve">Dividend withholding tax is credited against income tax</t>
  </si>
  <si>
    <t xml:space="preserve">Gains: C29, C30. Dividends: not modelled</t>
  </si>
  <si>
    <t xml:space="preserve">Holding: crypto, gold, art</t>
  </si>
  <si>
    <t xml:space="preserve">Crypto, gold, art, collectables</t>
  </si>
  <si>
    <t xml:space="preserve">No tax while held</t>
  </si>
  <si>
    <t xml:space="preserve">None while held</t>
  </si>
  <si>
    <t xml:space="preserve">Only when sold or exchanged</t>
  </si>
  <si>
    <t xml:space="preserve">Nothing while held</t>
  </si>
  <si>
    <t xml:space="preserve">C30 on sale</t>
  </si>
  <si>
    <t xml:space="preserve">Holding: rental property</t>
  </si>
  <si>
    <t xml:space="preserve">Rent received</t>
  </si>
  <si>
    <t xml:space="preserve">Income tax, USC, PRSI on rental profit</t>
  </si>
  <si>
    <t xml:space="preserve">Marginal rates</t>
  </si>
  <si>
    <t xml:space="preserve">Each year</t>
  </si>
  <si>
    <t xml:space="preserve">Rent less allowable costs (and 75% of mortgage interest)</t>
  </si>
  <si>
    <t xml:space="preserve">Allowable costs; Rent a Room relief for a room in your home</t>
  </si>
  <si>
    <t xml:space="preserve">Partly: plan taxes the whole rent (no costs yet)</t>
  </si>
  <si>
    <t xml:space="preserve">Holding: property (any)</t>
  </si>
  <si>
    <t xml:space="preserve">Home or other property</t>
  </si>
  <si>
    <t xml:space="preserve">Local Property Tax (LPT)</t>
  </si>
  <si>
    <t xml:space="preserve">By valuation band, set yearly</t>
  </si>
  <si>
    <t xml:space="preserve">Value band on 1 Nov 2021 (revalued periodically)</t>
  </si>
  <si>
    <t xml:space="preserve">Limited exemptions (new homes, some disabilities)</t>
  </si>
  <si>
    <t xml:space="preserve">No</t>
  </si>
  <si>
    <t xml:space="preserve">Holding: pension fund</t>
  </si>
  <si>
    <t xml:space="preserve">Occupational pension, PRSA, personal pension</t>
  </si>
  <si>
    <t xml:space="preserve">No tax inside the fund</t>
  </si>
  <si>
    <t xml:space="preserve">0% inside the fund</t>
  </si>
  <si>
    <t xml:space="preserve">On benefits only</t>
  </si>
  <si>
    <t xml:space="preserve">Yes: plan (growth after charges)</t>
  </si>
  <si>
    <t xml:space="preserve">Holding: life policy</t>
  </si>
  <si>
    <t xml:space="preserve">Savings or endowment policy</t>
  </si>
  <si>
    <t xml:space="preserve">Exit tax with the 8-year rule</t>
  </si>
  <si>
    <t xml:space="preserve">You (the insurer deducts)</t>
  </si>
  <si>
    <t xml:space="preserve">38%</t>
  </si>
  <si>
    <t xml:space="preserve">On payout, and every 8 years</t>
  </si>
  <si>
    <t xml:space="preserve">Gain over the premiums paid</t>
  </si>
  <si>
    <t xml:space="preserve">Partly: noted, payout added as cash</t>
  </si>
  <si>
    <t xml:space="preserve">Selling: main home</t>
  </si>
  <si>
    <t xml:space="preserve">Your home</t>
  </si>
  <si>
    <t xml:space="preserve">No CGT (principal private residence relief)</t>
  </si>
  <si>
    <t xml:space="preserve">0%</t>
  </si>
  <si>
    <t xml:space="preserve">On sale</t>
  </si>
  <si>
    <t xml:space="preserve">Gain on your only or main home</t>
  </si>
  <si>
    <t xml:space="preserve">Full relief if it was your main home all the time (up to 1 acre)</t>
  </si>
  <si>
    <t xml:space="preserve">Second home, rental property, land</t>
  </si>
  <si>
    <t xml:space="preserve">Capital gains tax (CGT)</t>
  </si>
  <si>
    <t xml:space="preserve">You (file and pay by Revenue deadlines)</t>
  </si>
  <si>
    <t xml:space="preserve">33% before 7 Oct 2026; 31% from 7 Oct 2026</t>
  </si>
  <si>
    <t xml:space="preserve">On the sale date</t>
  </si>
  <si>
    <t xml:space="preserve">Sale price less cost less allowable costs</t>
  </si>
  <si>
    <t xml:space="preserve">Annual exemption €1,270 per person; losses; development land stays at 33%</t>
  </si>
  <si>
    <t xml:space="preserve">C30, plan (other assets)</t>
  </si>
  <si>
    <t xml:space="preserve">Selling: shares held directly</t>
  </si>
  <si>
    <t xml:space="preserve">Shares</t>
  </si>
  <si>
    <t xml:space="preserve">33% before 7 Oct 2026; 31% from then</t>
  </si>
  <si>
    <t xml:space="preserve">Gain over cost</t>
  </si>
  <si>
    <t xml:space="preserve">Annual exemption €1,270 per person; losses</t>
  </si>
  <si>
    <t xml:space="preserve">C29, C30, plan</t>
  </si>
  <si>
    <t xml:space="preserve">Selling: funds and ETFs</t>
  </si>
  <si>
    <t xml:space="preserve">Funds, ETFs</t>
  </si>
  <si>
    <t xml:space="preserve">Exit tax</t>
  </si>
  <si>
    <t xml:space="preserve">You (the fund reports)</t>
  </si>
  <si>
    <t xml:space="preserve">Gain over the cost basis (after 8-year resets)</t>
  </si>
  <si>
    <t xml:space="preserve">None (no exemption, no loss relief)</t>
  </si>
  <si>
    <t xml:space="preserve">Selling: crypto, gold, art</t>
  </si>
  <si>
    <t xml:space="preserve">Crypto, gold, art, other</t>
  </si>
  <si>
    <t xml:space="preserve">On sale or exchange</t>
  </si>
  <si>
    <t xml:space="preserve">Annual exemption €1,270; losses</t>
  </si>
  <si>
    <t xml:space="preserve">C30, plan (alternative investments)</t>
  </si>
  <si>
    <t xml:space="preserve">Selling: development land</t>
  </si>
  <si>
    <t xml:space="preserve">Land with development potential</t>
  </si>
  <si>
    <t xml:space="preserve">CGT at a separate rate</t>
  </si>
  <si>
    <t xml:space="preserve">33% (stays at 33%)</t>
  </si>
  <si>
    <t xml:space="preserve">Gain</t>
  </si>
  <si>
    <t xml:space="preserve">Limited</t>
  </si>
  <si>
    <t xml:space="preserve">Selling: your business</t>
  </si>
  <si>
    <t xml:space="preserve">Shares or assets of a business</t>
  </si>
  <si>
    <t xml:space="preserve">CGT; retirement relief or entrepreneur relief may apply</t>
  </si>
  <si>
    <t xml:space="preserve">33% / 31% unless a relief applies</t>
  </si>
  <si>
    <t xml:space="preserve">Reliefs depend on age, length of ownership and the business</t>
  </si>
  <si>
    <t xml:space="preserve">Drawing: pension lump sum</t>
  </si>
  <si>
    <t xml:space="preserve">Tax-free lump sum at retirement</t>
  </si>
  <si>
    <t xml:space="preserve">Income tax on the part above the tax-free limit</t>
  </si>
  <si>
    <t xml:space="preserve">First €200,000 tax-free (lifetime), next €300,000 at 20%, above that at your marginal rate</t>
  </si>
  <si>
    <t xml:space="preserve">At retirement</t>
  </si>
  <si>
    <t xml:space="preserve">Up to 25% of the fund</t>
  </si>
  <si>
    <t xml:space="preserve">Yes: plan</t>
  </si>
  <si>
    <t xml:space="preserve">Drawing: ARF / PRSA withdrawals</t>
  </si>
  <si>
    <t xml:space="preserve">Pension income after retirement</t>
  </si>
  <si>
    <t xml:space="preserve">Income tax and USC; PRSI is UNRESOLVED</t>
  </si>
  <si>
    <t xml:space="preserve">You (the provider deducts)</t>
  </si>
  <si>
    <t xml:space="preserve">Marginal income tax and USC; PRSI (provider guidance: before 66, and 66 to 70 without the contributory State Pension)</t>
  </si>
  <si>
    <t xml:space="preserve">On each withdrawal</t>
  </si>
  <si>
    <t xml:space="preserve">The amount withdrawn</t>
  </si>
  <si>
    <t xml:space="preserve">Age credit and age exemption from 65</t>
  </si>
  <si>
    <t xml:space="preserve">Yes: plan (PRSI unresolved)</t>
  </si>
  <si>
    <t xml:space="preserve">Drawing: State Pension</t>
  </si>
  <si>
    <t xml:space="preserve">Contributory or non-contributory</t>
  </si>
  <si>
    <t xml:space="preserve">Income tax (taxable); no USC; no PRSI</t>
  </si>
  <si>
    <t xml:space="preserve">Marginal rate on the pension</t>
  </si>
  <si>
    <t xml:space="preserve">Weekly payments</t>
  </si>
  <si>
    <t xml:space="preserve">Pension received</t>
  </si>
  <si>
    <t xml:space="preserve">Age credit; age exemption limits</t>
  </si>
  <si>
    <t xml:space="preserve">Buying: property</t>
  </si>
  <si>
    <t xml:space="preserve">You (the solicitor pays)</t>
  </si>
  <si>
    <t xml:space="preserve">1% to €1m, 2% to €1.5m, 6% above</t>
  </si>
  <si>
    <t xml:space="preserve">On completion</t>
  </si>
  <si>
    <t xml:space="preserve">Purchase price</t>
  </si>
  <si>
    <t xml:space="preserve">Help to Buy may refund income tax for new homes</t>
  </si>
  <si>
    <t xml:space="preserve">Yes: calculators C01, C03</t>
  </si>
  <si>
    <t xml:space="preserve">Buying: shares</t>
  </si>
  <si>
    <t xml:space="preserve">Irish company shares</t>
  </si>
  <si>
    <t xml:space="preserve">1%</t>
  </si>
  <si>
    <t xml:space="preserve">On purchase</t>
  </si>
  <si>
    <t xml:space="preserve">Price</t>
  </si>
  <si>
    <t xml:space="preserve">Gifting: to a spouse or civil partner</t>
  </si>
  <si>
    <t xml:space="preserve">Any asset</t>
  </si>
  <si>
    <t xml:space="preserve">No CGT, no CAT</t>
  </si>
  <si>
    <t xml:space="preserve">On the gift</t>
  </si>
  <si>
    <t xml:space="preserve">Passes at the giver's cost</t>
  </si>
  <si>
    <t xml:space="preserve">Gifting: an asset to a child or other person</t>
  </si>
  <si>
    <t xml:space="preserve">Property, shares, art</t>
  </si>
  <si>
    <t xml:space="preserve">CGT on the GIVER (as if sold at market value) and CAT on the RECEIVER</t>
  </si>
  <si>
    <t xml:space="preserve">Giver pays CGT; receiver pays CAT</t>
  </si>
  <si>
    <t xml:space="preserve">CGT 33% / 31%; CAT 33% above the threshold</t>
  </si>
  <si>
    <t xml:space="preserve">CGT: market value less cost. CAT: value less thresholds</t>
  </si>
  <si>
    <t xml:space="preserve">CGT annual exemption; CAT thresholds (Group A €400,000 before 7 Oct 2026, €420,000 from); small gift exemption €3,000 a year</t>
  </si>
  <si>
    <t xml:space="preserve">C30 B and C</t>
  </si>
  <si>
    <t xml:space="preserve">Gifting: cash</t>
  </si>
  <si>
    <t xml:space="preserve">Cash</t>
  </si>
  <si>
    <t xml:space="preserve">CAT on the RECEIVER only</t>
  </si>
  <si>
    <t xml:space="preserve">Receiver</t>
  </si>
  <si>
    <t xml:space="preserve">33% above the threshold</t>
  </si>
  <si>
    <t xml:space="preserve">Amount received</t>
  </si>
  <si>
    <t xml:space="preserve">Thresholds; small gift exemption €3,000 per giver per year</t>
  </si>
  <si>
    <t xml:space="preserve">C30 C</t>
  </si>
  <si>
    <t xml:space="preserve">Receiving: inheritance</t>
  </si>
  <si>
    <t xml:space="preserve">CAT on the RECEIVER; no CGT on death</t>
  </si>
  <si>
    <t xml:space="preserve">33% above the group threshold</t>
  </si>
  <si>
    <t xml:space="preserve">On death</t>
  </si>
  <si>
    <t xml:space="preserve">Value received</t>
  </si>
  <si>
    <t xml:space="preserve">Spouse exempt; thresholds by group; dwelling house exemption; business and farm reliefs</t>
  </si>
  <si>
    <t xml:space="preserve">Receiving: gift from a parent</t>
  </si>
  <si>
    <t xml:space="preserve">CAT on the RECEIVER</t>
  </si>
  <si>
    <t xml:space="preserve">33% above the Group A threshold</t>
  </si>
  <si>
    <t xml:space="preserve">Value received (lifetime total from parents)</t>
  </si>
  <si>
    <t xml:space="preserve">Group A threshold; small gift exemption</t>
  </si>
  <si>
    <t xml:space="preserve">Receiving: inherited asset later sold</t>
  </si>
  <si>
    <t xml:space="preserve">Property, shares</t>
  </si>
  <si>
    <t xml:space="preserve">CGT on the later gain</t>
  </si>
  <si>
    <t xml:space="preserve">On the later sale</t>
  </si>
  <si>
    <t xml:space="preserve">Sale price less market value on the day it was inherited</t>
  </si>
  <si>
    <t xml:space="preserve">Annual exemption</t>
  </si>
  <si>
    <t xml:space="preserve">C30 A</t>
  </si>
  <si>
    <t xml:space="preserve">Tax figures 2026: every figure the calculators and the plan use</t>
  </si>
  <si>
    <t xml:space="preserve">Every tax figure, in one place. Calculators C29 and C30 read these cells. Status: Verified = confirmed in official guidance · Requires Verification = taken from secondary sources, still to be checked against Revenue / Department of Social Protection. Nothing here has been checked against the official Revenue or DSP pages (they could not be opened when this was built).</t>
  </si>
  <si>
    <t xml:space="preserve">Key</t>
  </si>
  <si>
    <t xml:space="preserve">Category</t>
  </si>
  <si>
    <t xml:space="preserve">Parameter</t>
  </si>
  <si>
    <t xml:space="preserve">2026 value</t>
  </si>
  <si>
    <t xml:space="preserve">Effective</t>
  </si>
  <si>
    <t xml:space="preserve">Used in</t>
  </si>
  <si>
    <t xml:space="preserve">it.band</t>
  </si>
  <si>
    <t xml:space="preserve">Standard-rate band, single (40% starts above)</t>
  </si>
  <si>
    <t xml:space="preserve">1 Jan 2027</t>
  </si>
  <si>
    <t xml:space="preserve">https://www.gov.ie/en/department-of-public-expenditure-infrastructure-public-service-reform-and-digitalisation/publications/your-guide-to-budget-2027/</t>
  </si>
  <si>
    <t xml:space="preserve">Entry point for the 40% rate +€2,500. Dept of Finance summary: the increase is stated; the total is the 2026 figure plus the increase.</t>
  </si>
  <si>
    <t xml:space="preserve">Plan engine / calculators</t>
  </si>
  <si>
    <t xml:space="preserve">it.bandSPCCC</t>
  </si>
  <si>
    <t xml:space="preserve">Standard-rate band, one-parent family</t>
  </si>
  <si>
    <t xml:space="preserve">One-parent band +€2,500. Dept of Finance summary: the increase is stated; the total is the 2026 figure plus the increase.</t>
  </si>
  <si>
    <t xml:space="preserve">it.bandMarried</t>
  </si>
  <si>
    <t xml:space="preserve">Standard-rate band, married one income</t>
  </si>
  <si>
    <t xml:space="preserve">Married, one income, +€2,500. Dept of Finance summary: the increase is stated; the total is the 2026 figure plus the increase.</t>
  </si>
  <si>
    <t xml:space="preserve">it.bandUplift</t>
  </si>
  <si>
    <t xml:space="preserve">Second-income increase to the band (married two incomes)</t>
  </si>
  <si>
    <t xml:space="preserve">Second-income increase: two incomes reach €93,000 (2 x €46,500). Dept of Finance summary: the increase is stated; the total is the 2026 figure plus the increase.</t>
  </si>
  <si>
    <t xml:space="preserve">it.r1</t>
  </si>
  <si>
    <t xml:space="preserve">Standard income tax rate</t>
  </si>
  <si>
    <t xml:space="preserve">https://www.raisin.com/en-ie/taxes/income-tax-rates/</t>
  </si>
  <si>
    <t xml:space="preserve">it.r2</t>
  </si>
  <si>
    <t xml:space="preserve">Higher income tax rate</t>
  </si>
  <si>
    <t xml:space="preserve">it.personal</t>
  </si>
  <si>
    <t xml:space="preserve">Personal tax credit, single</t>
  </si>
  <si>
    <t xml:space="preserve">Personal credit +€125. Dept of Finance summary: the increase is stated; the total is the 2026 figure plus the increase.</t>
  </si>
  <si>
    <t xml:space="preserve">it.personalMarried</t>
  </si>
  <si>
    <t xml:space="preserve">Personal tax credit, married / civil partners</t>
  </si>
  <si>
    <t xml:space="preserve">Married personal credit (twice the single credit). Dept of Finance summary: the increase is stated; the total is the 2026 figure plus the increase.</t>
  </si>
  <si>
    <t xml:space="preserve">it.paye</t>
  </si>
  <si>
    <t xml:space="preserve">Employee (PAYE) tax credit</t>
  </si>
  <si>
    <t xml:space="preserve">Employee credit +€125. Dept of Finance summary: the increase is stated; the total is the 2026 figure plus the increase.</t>
  </si>
  <si>
    <t xml:space="preserve">it.eic</t>
  </si>
  <si>
    <t xml:space="preserve">Earned Income tax credit</t>
  </si>
  <si>
    <t xml:space="preserve">Earned Income credit +€125. Dept of Finance summary: the increase is stated; the total is the 2026 figure plus the increase.</t>
  </si>
  <si>
    <t xml:space="preserve">it.payeCapPct</t>
  </si>
  <si>
    <t xml:space="preserve">Paye Cap Pct</t>
  </si>
  <si>
    <t xml:space="preserve">https://revenue.ie/en/personal-tax-credits-reliefs-and-exemptions/income-and-employment/employee-tax-credit/index.aspx</t>
  </si>
  <si>
    <t xml:space="preserve">it.rent</t>
  </si>
  <si>
    <t xml:space="preserve">Rent Tax Credit, single</t>
  </si>
  <si>
    <t xml:space="preserve">2027 and 2028</t>
  </si>
  <si>
    <t xml:space="preserve">Rent Tax Credit +€150 (stated with the totals in the Budget in Brief).</t>
  </si>
  <si>
    <t xml:space="preserve">it.rentJoint</t>
  </si>
  <si>
    <t xml:space="preserve">Rent Tax Credit, couple</t>
  </si>
  <si>
    <t xml:space="preserve">Rent Tax Credit +€300 for a couple (totals stated in the Budget in Brief).</t>
  </si>
  <si>
    <t xml:space="preserve">it.rentLastYear</t>
  </si>
  <si>
    <t xml:space="preserve">Last year of the Rent Tax Credit</t>
  </si>
  <si>
    <t xml:space="preserve">extended to end-2028</t>
  </si>
  <si>
    <t xml:space="preserve">https://www.noonecasey.ie/irish-budget-2026/</t>
  </si>
  <si>
    <t xml:space="preserve">it.spccc</t>
  </si>
  <si>
    <t xml:space="preserve">Single Person Child Carer credit</t>
  </si>
  <si>
    <t xml:space="preserve">1 Jan 2026</t>
  </si>
  <si>
    <t xml:space="preserve">https://www.irishtaxhub.ie/blog/tax-credits-in-ireland-full-list</t>
  </si>
  <si>
    <t xml:space="preserve">it.homeCarer</t>
  </si>
  <si>
    <t xml:space="preserve">Home Carer tax credit</t>
  </si>
  <si>
    <t xml:space="preserve">Home Carer credit +€100. Dept of Finance summary: the increase is stated; the total is the 2026 figure plus the increase.</t>
  </si>
  <si>
    <t xml:space="preserve">it.homeCarerLimit</t>
  </si>
  <si>
    <t xml:space="preserve">Home Carer Limit</t>
  </si>
  <si>
    <t xml:space="preserve">2026 (verify limit and taper)</t>
  </si>
  <si>
    <t xml:space="preserve">it.ageCreditAge</t>
  </si>
  <si>
    <t xml:space="preserve">Age Credit Age</t>
  </si>
  <si>
    <t xml:space="preserve">https://www.irishtaxhub.ie/blog/retirees-pensioners-what-budget-2026-might-mean-for-you</t>
  </si>
  <si>
    <t xml:space="preserve">it.ageCredit</t>
  </si>
  <si>
    <t xml:space="preserve">Age Credit</t>
  </si>
  <si>
    <t xml:space="preserve">it.ageExempt</t>
  </si>
  <si>
    <t xml:space="preserve">Age Exempt</t>
  </si>
  <si>
    <t xml:space="preserve">it.ageExemptMarried</t>
  </si>
  <si>
    <t xml:space="preserve">Age Exempt Married</t>
  </si>
  <si>
    <t xml:space="preserve">it.ageMarginal</t>
  </si>
  <si>
    <t xml:space="preserve">Age Marginal</t>
  </si>
  <si>
    <t xml:space="preserve">Law</t>
  </si>
  <si>
    <t xml:space="preserve">usc.bands</t>
  </si>
  <si>
    <t xml:space="preserve">USC bands and rates</t>
  </si>
  <si>
    <t xml:space="preserve">[[12012, 0.005], [28700, 0.02], [70044, 0.03], [null, 0.08]]</t>
  </si>
  <si>
    <t xml:space="preserve">The 2% band ceiling rises from €28,700 to €30,300 (stated in the Budget in Brief). Nothing else in USC changes.</t>
  </si>
  <si>
    <t xml:space="preserve">usc.exempt</t>
  </si>
  <si>
    <t xml:space="preserve">USC exemption (income up to)</t>
  </si>
  <si>
    <t xml:space="preserve">usc.reducedAge</t>
  </si>
  <si>
    <t xml:space="preserve">Reduced Age</t>
  </si>
  <si>
    <t xml:space="preserve">usc.reducedMax</t>
  </si>
  <si>
    <t xml:space="preserve">Reduced Max</t>
  </si>
  <si>
    <t xml:space="preserve">usc.reducedBands</t>
  </si>
  <si>
    <t xml:space="preserve">Reduced Bands</t>
  </si>
  <si>
    <t xml:space="preserve">[[12012, 0.005], [null, 0.02]]</t>
  </si>
  <si>
    <t xml:space="preserve">usc.seSurcharge</t>
  </si>
  <si>
    <t xml:space="preserve">Se Surcharge</t>
  </si>
  <si>
    <t xml:space="preserve">usc.seSurchargeOver</t>
  </si>
  <si>
    <t xml:space="preserve">Se Surcharge Over</t>
  </si>
  <si>
    <t xml:space="preserve">prsi.path</t>
  </si>
  <si>
    <t xml:space="preserve">PRSI rate path (Class A / S)</t>
  </si>
  <si>
    <t xml:space="preserve">[{"y": 2025, "m": 10, "r": 0.042}, {"y": 2026, "m": 10, "r": 0.0435}, {"y": 2027, "m": 10, "r": 0.045}, {"y": 2028, "m":</t>
  </si>
  <si>
    <t xml:space="preserve">1 Oct 2026 (4.35%)</t>
  </si>
  <si>
    <t xml:space="preserve">https://www.gov.ie/en/publication/ffa563-prsi-class-a-rates</t>
  </si>
  <si>
    <t xml:space="preserve">prsi.wkFree</t>
  </si>
  <si>
    <t xml:space="preserve">Wk Free</t>
  </si>
  <si>
    <t xml:space="preserve">https://payslipiq.co.uk/ie/methodology/prsi</t>
  </si>
  <si>
    <t xml:space="preserve">prsi.creditMax</t>
  </si>
  <si>
    <t xml:space="preserve">Credit Max</t>
  </si>
  <si>
    <t xml:space="preserve">prsi.creditTo</t>
  </si>
  <si>
    <t xml:space="preserve">Credit To</t>
  </si>
  <si>
    <t xml:space="preserve">prsi.creditTaper</t>
  </si>
  <si>
    <t xml:space="preserve">Credit Taper</t>
  </si>
  <si>
    <t xml:space="preserve">prsi.endAge</t>
  </si>
  <si>
    <t xml:space="preserve">End Age</t>
  </si>
  <si>
    <t xml:space="preserve">https://www.oireachtas.ie/en/debates/question/2018-11-21/241/</t>
  </si>
  <si>
    <t xml:space="preserve">prsi.sMinIncome</t>
  </si>
  <si>
    <t xml:space="preserve">S Min Income</t>
  </si>
  <si>
    <t xml:space="preserve">https://www.gov.ie/en/department-of-social-protection/publications/prsi-class-s-rates/</t>
  </si>
  <si>
    <t xml:space="preserve">prsi.sMin</t>
  </si>
  <si>
    <t xml:space="preserve">S Min</t>
  </si>
  <si>
    <t xml:space="preserve">prsi.arfApplies</t>
  </si>
  <si>
    <t xml:space="preserve">PRSI on ARF / PRSA withdrawals (UNRESOLVED)</t>
  </si>
  <si>
    <t xml:space="preserve">UNRESOLVED: PRSI on ARF / PRSA withdrawals. Provider and adviser sources say it is deducted (Class S) before 66, and from 66 to 70 unless you receive the contributory State Pension (rule from 1 Jan 2024); no Revenue or DSP page confirmed it and the Class K position is unclear. The plan applies it so the figure is prudent, and says so. Nothing here is verified</t>
  </si>
  <si>
    <t xml:space="preserve">https://www.citizensinformation.ie/en/social-welfare/irish-social-welfare-system/social-insurance-prsi/social-insurance-classes/</t>
  </si>
  <si>
    <t xml:space="preserve">prsi.arfToAge</t>
  </si>
  <si>
    <t xml:space="preserve">PRSI on ARF withdrawals continues to this age without a contributory State Pension (UNRESOLVED)</t>
  </si>
  <si>
    <t xml:space="preserve">UNRESOLVED: age to which PRSI on ARF withdrawals continues if you do not receive the contributory State Pension</t>
  </si>
  <si>
    <t xml:space="preserve">prsi.unearnedMin</t>
  </si>
  <si>
    <t xml:space="preserve">Unearned Min</t>
  </si>
  <si>
    <t xml:space="preserve">pen.relief</t>
  </si>
  <si>
    <t xml:space="preserve">Pensions</t>
  </si>
  <si>
    <t xml:space="preserve">Pension tax relief limits by age</t>
  </si>
  <si>
    <t xml:space="preserve">[[30, 0.15], [40, 0.2], [50, 0.25], [55, 0.3], [60, 0.35], [null, 0.4]]</t>
  </si>
  <si>
    <t xml:space="preserve">Unchanged</t>
  </si>
  <si>
    <t xml:space="preserve">https://www.irishtaxhub.ie/blog/pension-contributions-income-tax-maximize-your-relief</t>
  </si>
  <si>
    <t xml:space="preserve">pen.earnCap</t>
  </si>
  <si>
    <t xml:space="preserve">Pension relief earnings cap</t>
  </si>
  <si>
    <t xml:space="preserve">pen.lsMaxPct</t>
  </si>
  <si>
    <t xml:space="preserve">Retirement lump sum: share of the fund</t>
  </si>
  <si>
    <t xml:space="preserve">Finance Act 2024</t>
  </si>
  <si>
    <t xml:space="preserve">https://pwc.ie/services/workforce/insights/finance-act-2024-pensions-pulse.html</t>
  </si>
  <si>
    <t xml:space="preserve">pen.lsTaxFree</t>
  </si>
  <si>
    <t xml:space="preserve">Retirement lump sum: tax-free amount</t>
  </si>
  <si>
    <t xml:space="preserve">Finance Act 2024 (lifetime, not indexed)</t>
  </si>
  <si>
    <t xml:space="preserve">pen.lsCap</t>
  </si>
  <si>
    <t xml:space="preserve">Retirement lump sum: 20% band ends</t>
  </si>
  <si>
    <t xml:space="preserve">Finance Act 2024 (not indexed)</t>
  </si>
  <si>
    <t xml:space="preserve">pen.lsBandRate</t>
  </si>
  <si>
    <t xml:space="preserve">Retirement lump sum: rate in the middle band</t>
  </si>
  <si>
    <t xml:space="preserve">pen.sft</t>
  </si>
  <si>
    <t xml:space="preserve">Standard Fund Threshold by year</t>
  </si>
  <si>
    <t xml:space="preserve">{"2026": 2200000, "2027": 2400000, "2028": 2600000, "2029": 2800000}</t>
  </si>
  <si>
    <t xml:space="preserve">https://wtwco.com/en-ie/insights/2024/10/significant-revisions-announced-to-the-standard-fund-threshold</t>
  </si>
  <si>
    <t xml:space="preserve">pen.sftRate</t>
  </si>
  <si>
    <t xml:space="preserve">Tax above the Standard Fund Threshold</t>
  </si>
  <si>
    <t xml:space="preserve">pen.arfMin61</t>
  </si>
  <si>
    <t xml:space="preserve">ARF minimum withdrawal from 61</t>
  </si>
  <si>
    <t xml:space="preserve">https://cantorfitzgerald.ie/wp-content/uploads/2026/06/ARF-6pp-A4-Brochure-6-26.pdf</t>
  </si>
  <si>
    <t xml:space="preserve">pen.arfMin71</t>
  </si>
  <si>
    <t xml:space="preserve">ARF minimum withdrawal from 71</t>
  </si>
  <si>
    <t xml:space="preserve">pen.arfMinBig</t>
  </si>
  <si>
    <t xml:space="preserve">ARF minimum withdrawal over the large-fund limit</t>
  </si>
  <si>
    <t xml:space="preserve">pen.arfBig</t>
  </si>
  <si>
    <t xml:space="preserve">ARF large-fund limit</t>
  </si>
  <si>
    <t xml:space="preserve">pen.earliestAge</t>
  </si>
  <si>
    <t xml:space="preserve">Earliest Age</t>
  </si>
  <si>
    <t xml:space="preserve">Law (PRSA / personal pensions)</t>
  </si>
  <si>
    <t xml:space="preserve">https://www.revenue.ie/en/tax-professionals/tdm/pensions/index.aspx</t>
  </si>
  <si>
    <t xml:space="preserve">ae.start</t>
  </si>
  <si>
    <t xml:space="preserve">Auto-enrolment</t>
  </si>
  <si>
    <t xml:space="preserve">Start</t>
  </si>
  <si>
    <t xml:space="preserve">https://www.gov.ie/en/publication/12d1c-auto-enrolment-retirement-savings-system-for-employers</t>
  </si>
  <si>
    <t xml:space="preserve">ae.ageMin</t>
  </si>
  <si>
    <t xml:space="preserve">Age Min</t>
  </si>
  <si>
    <t xml:space="preserve">ae.ageMax</t>
  </si>
  <si>
    <t xml:space="preserve">Age Max</t>
  </si>
  <si>
    <t xml:space="preserve">ae.earnMin</t>
  </si>
  <si>
    <t xml:space="preserve">Earn Min</t>
  </si>
  <si>
    <t xml:space="preserve">ae.earnCap</t>
  </si>
  <si>
    <t xml:space="preserve">Earn Cap</t>
  </si>
  <si>
    <t xml:space="preserve">ae.ee</t>
  </si>
  <si>
    <t xml:space="preserve">Ee</t>
  </si>
  <si>
    <t xml:space="preserve">2026–2028</t>
  </si>
  <si>
    <t xml:space="preserve">ae.er</t>
  </si>
  <si>
    <t xml:space="preserve">Er</t>
  </si>
  <si>
    <t xml:space="preserve">ae.state</t>
  </si>
  <si>
    <t xml:space="preserve">State</t>
  </si>
  <si>
    <t xml:space="preserve">sp.week</t>
  </si>
  <si>
    <t xml:space="preserve">Social welfare and State Pension</t>
  </si>
  <si>
    <t xml:space="preserve">State Pension (Contributory), a week</t>
  </si>
  <si>
    <t xml:space="preserve">Jan 2027</t>
  </si>
  <si>
    <t xml:space="preserve">https://www.zurich.ie/blog/pension-changes-2027/</t>
  </si>
  <si>
    <t xml:space="preserve">Weekly social welfare payments +€10 (official). €309.30 is also in adviser tables (Zurich).</t>
  </si>
  <si>
    <t xml:space="preserve">sp.age</t>
  </si>
  <si>
    <t xml:space="preserve">Age</t>
  </si>
  <si>
    <t xml:space="preserve">https://www.gov.ie/en/publication/d8fd8-flexible-pension-options</t>
  </si>
  <si>
    <t xml:space="preserve">sp.over80</t>
  </si>
  <si>
    <t xml:space="preserve">State Pension: extra from 80, a week</t>
  </si>
  <si>
    <t xml:space="preserve">https://www.zurich.ie/blog/pension-changes-2026</t>
  </si>
  <si>
    <t xml:space="preserve">sp.qa66</t>
  </si>
  <si>
    <t xml:space="preserve">Qualified Adult increase, 66 or over, a week</t>
  </si>
  <si>
    <t xml:space="preserve">Not used: Citizens Information and Zurich show €277.40 for 2027 (second-hand; the Department of Social Protection table was not opened). The 2026 amount is carried forward.</t>
  </si>
  <si>
    <t xml:space="preserve">sp.qaUnder66</t>
  </si>
  <si>
    <t xml:space="preserve">Qualified Adult increase, under 66, a week</t>
  </si>
  <si>
    <t xml:space="preserve">https://www.inou.ie/assets/files/pdf/2026_-_inou_budget_factsheet.pdf</t>
  </si>
  <si>
    <t xml:space="preserve">Not used: Citizens Information and Zurich show €206.10 for 2027 (second-hand; the Department of Social Protection table was not opened). The 2026 amount is carried forward.</t>
  </si>
  <si>
    <t xml:space="preserve">sp.fullYears</t>
  </si>
  <si>
    <t xml:space="preserve">Full Years</t>
  </si>
  <si>
    <t xml:space="preserve">https://www.gov.ie/en/publication/b6193-how-to-calculate-your-state-pension-contributory-rate</t>
  </si>
  <si>
    <t xml:space="preserve">sp.minYears</t>
  </si>
  <si>
    <t xml:space="preserve">Min Years</t>
  </si>
  <si>
    <t xml:space="preserve">sp.illness</t>
  </si>
  <si>
    <t xml:space="preserve">Illness Benefit, a week</t>
  </si>
  <si>
    <t xml:space="preserve">Not used: Citizens Information shows the same €264 as Jobseeker's Benefit for 2027 (second-hand; the Department of Social Protection table was not opened). The 2026 amount is carried forward.</t>
  </si>
  <si>
    <t xml:space="preserve">sp.survivor</t>
  </si>
  <si>
    <t xml:space="preserve">Survivor's pension, under 66, a week</t>
  </si>
  <si>
    <t xml:space="preserve">https://www.raisin.com/en-ie/pensions/widow-pensions</t>
  </si>
  <si>
    <t xml:space="preserve">Not used: Citizens Information shows €269.50 for 2027 (second-hand; the Department of Social Protection table was not opened). The 2026 amount is carried forward.</t>
  </si>
  <si>
    <t xml:space="preserve">sp.survivor66</t>
  </si>
  <si>
    <t xml:space="preserve">Survivor's pension, 66 or over, a week</t>
  </si>
  <si>
    <t xml:space="preserve">Not used: Citizens Information shows €309.30 for 2027 (second-hand; the Department of Social Protection table was not opened). The 2026 amount is carried forward.</t>
  </si>
  <si>
    <t xml:space="preserve">sp.weeks</t>
  </si>
  <si>
    <t xml:space="preserve">Weeks</t>
  </si>
  <si>
    <t xml:space="preserve">Verified</t>
  </si>
  <si>
    <t xml:space="preserve">Convention</t>
  </si>
  <si>
    <t xml:space="preserve">sp.iqaLimit</t>
  </si>
  <si>
    <t xml:space="preserve">Qualified Adult: partner's own income limit, a week</t>
  </si>
  <si>
    <t xml:space="preserve">Announced / Provisional</t>
  </si>
  <si>
    <t xml:space="preserve">1 Jul 2027</t>
  </si>
  <si>
    <t xml:space="preserve">https://www.citizensinformation.ie/en/money-and-tax/budgets/budget-2027/</t>
  </si>
  <si>
    <t xml:space="preserve">Qualified Adult income limit €310 to €340 a week from July 2027 (Citizens Information, as quoted in search results; the DSP page was not opened). A change that starts on or before 1 July applies to that whole plan year.</t>
  </si>
  <si>
    <t xml:space="preserve">sp.nonContrib</t>
  </si>
  <si>
    <t xml:space="preserve">State Pension (Non-Contributory), a week</t>
  </si>
  <si>
    <t xml:space="preserve">1 Jan 2026 (reference only: not used by the plan)</t>
  </si>
  <si>
    <t xml:space="preserve">https://www.gov.ie/en/department-of-social-protection/</t>
  </si>
  <si>
    <t xml:space="preserve">Not used: Citizens Information shows €298 for 2027 (second-hand; the Department of Social Protection table was not opened). The 2026 amount is carried forward.</t>
  </si>
  <si>
    <t xml:space="preserve">sp.qaIllness</t>
  </si>
  <si>
    <t xml:space="preserve">Qualified Adult increase, Illness Benefit, a week</t>
  </si>
  <si>
    <t xml:space="preserve">Not used: Citizens Information shows €175.20 (as Jobseeker's Benefit) for 2027 (second-hand; the Department of Social Protection table was not opened). The 2026 amount is carried forward.</t>
  </si>
  <si>
    <t xml:space="preserve">sav.dirt</t>
  </si>
  <si>
    <t xml:space="preserve">Savings, investments and CGT</t>
  </si>
  <si>
    <t xml:space="preserve">DIRT on deposit interest</t>
  </si>
  <si>
    <t xml:space="preserve">https://cantorfitzgerald.ie/budget-2026-key-updates-for-investors-and-savers</t>
  </si>
  <si>
    <t xml:space="preserve">Cash growth in the plan (rates are after DIRT)</t>
  </si>
  <si>
    <t xml:space="preserve">sav.exit</t>
  </si>
  <si>
    <t xml:space="preserve">Exit tax: funds and life policies</t>
  </si>
  <si>
    <t xml:space="preserve">Investment Undertaking Tax, life assurance exit tax, equivalent offshore funds and certain foreign policies 38% to 35% (official). 1 Jan 2027 is from press coverage. The 8-year deemed disposal stays.</t>
  </si>
  <si>
    <t xml:space="preserve">sav.deemed</t>
  </si>
  <si>
    <t xml:space="preserve">Deemed disposal period (years)</t>
  </si>
  <si>
    <t xml:space="preserve">https://etf.ie/blog/budget-2026-etf/</t>
  </si>
  <si>
    <t xml:space="preserve">C29, plan</t>
  </si>
  <si>
    <t xml:space="preserve">sav.cgt</t>
  </si>
  <si>
    <t xml:space="preserve">Capital gains tax: standard rate from 7 Oct 2026</t>
  </si>
  <si>
    <t xml:space="preserve">standard rate on disposals from 7 Oct 2026 (Revenue eBrief 142/26, seen in search results; page not opened)</t>
  </si>
  <si>
    <t xml:space="preserve">https://www.revenue.ie/en/tax-professionals/ebrief/2026/no-1422026.aspx</t>
  </si>
  <si>
    <t xml:space="preserve">sav.cgtBefore</t>
  </si>
  <si>
    <t xml:space="preserve">Capital gains tax: standard rate before 7 Oct 2026</t>
  </si>
  <si>
    <t xml:space="preserve">standard rate on disposals before 7 Oct 2026</t>
  </si>
  <si>
    <t xml:space="preserve">sav.cgtFrom</t>
  </si>
  <si>
    <t xml:space="preserve">Capital gains tax: new rate starts</t>
  </si>
  <si>
    <t xml:space="preserve">2026-10-07</t>
  </si>
  <si>
    <t xml:space="preserve">date the 31% rate starts</t>
  </si>
  <si>
    <t xml:space="preserve">sav.cgtDev</t>
  </si>
  <si>
    <t xml:space="preserve">Capital gains tax: development land</t>
  </si>
  <si>
    <t xml:space="preserve">development land stays at 33% (not modelled)</t>
  </si>
  <si>
    <t xml:space="preserve">sav.cgtExempt</t>
  </si>
  <si>
    <t xml:space="preserve">Capital gains tax: yearly exemption per person</t>
  </si>
  <si>
    <t xml:space="preserve">annual exemption per person each tax year: stated in Revenue TDM 19-07-01 and Revenue's CGT pages as quoted in search results (losses come off first, not transferable between spouses, unused amount lost). The page you named could not be opened, so this stays Requires Verification</t>
  </si>
  <si>
    <t xml:space="preserve">https://www.revenue.ie/en/tax-professionals/tdm/income-tax-capital-gains-tax-corporation-tax/part-19/19-07-01.pdf</t>
  </si>
  <si>
    <t xml:space="preserve">sav.cat</t>
  </si>
  <si>
    <t xml:space="preserve">Gift and inheritance tax: Group A threshold (not in the plan)</t>
  </si>
  <si>
    <t xml:space="preserve">gifts and inheritances from 7 Oct 2026 (Group A up 5%, from €400,000)</t>
  </si>
  <si>
    <t xml:space="preserve">home.ltiFTB</t>
  </si>
  <si>
    <t xml:space="preserve">Home</t>
  </si>
  <si>
    <t xml:space="preserve">Lti F T B</t>
  </si>
  <si>
    <t xml:space="preserve">1 Jan 2023</t>
  </si>
  <si>
    <t xml:space="preserve">https://www.centralbank.ie/news/article/central-bank-announces-targeted-changes-to-mortgage-measures-framework</t>
  </si>
  <si>
    <t xml:space="preserve">home.ltiSSB</t>
  </si>
  <si>
    <t xml:space="preserve">Lti S S B</t>
  </si>
  <si>
    <t xml:space="preserve">home.ltv</t>
  </si>
  <si>
    <t xml:space="preserve">Ltv</t>
  </si>
  <si>
    <t xml:space="preserve">home.stamp</t>
  </si>
  <si>
    <t xml:space="preserve">Stamp duty rates</t>
  </si>
  <si>
    <t xml:space="preserve">[[1000000, 0.01], [1500000, 0.02], [null, 0.06]]</t>
  </si>
  <si>
    <t xml:space="preserve">Budget 2025</t>
  </si>
  <si>
    <t xml:space="preserve">https://www.raisin.com/en-ie/taxes/stamp-duty-ireland/</t>
  </si>
  <si>
    <t xml:space="preserve">home.htbMax</t>
  </si>
  <si>
    <t xml:space="preserve">Help to Buy: maximum relief</t>
  </si>
  <si>
    <t xml:space="preserve">immediate effect, Budget 2027 (scheme to 31 Dec 2029)</t>
  </si>
  <si>
    <t xml:space="preserve">infl.ie</t>
  </si>
  <si>
    <t xml:space="preserve">Inflation</t>
  </si>
  <si>
    <t xml:space="preserve">Ie</t>
  </si>
  <si>
    <t xml:space="preserve">CSO HICP flash, Sep 2026 (published 1 Oct 2026)</t>
  </si>
  <si>
    <t xml:space="preserve">https://www.cso.ie/en/csolatestnews/pressreleases/2026pressreleases/pressstatementflashestimatefortheharmonisedindexofconsumerpricesseptember2026/</t>
  </si>
  <si>
    <t xml:space="preserve">infl.ieSrc</t>
  </si>
  <si>
    <t xml:space="preserve">Ie Src</t>
  </si>
  <si>
    <t xml:space="preserve">CSO HICP flash, Sep 2026</t>
  </si>
  <si>
    <t xml:space="preserve">1 Oct 2026</t>
  </si>
  <si>
    <t xml:space="preserve">https://www.cso.ie</t>
  </si>
  <si>
    <t xml:space="preserve">guide.cardCap</t>
  </si>
  <si>
    <t xml:space="preserve">Guidance</t>
  </si>
  <si>
    <t xml:space="preserve">Card Cap</t>
  </si>
  <si>
    <t xml:space="preserve">2022</t>
  </si>
  <si>
    <t xml:space="preserve">https://www.centralbank.ie/news/article/central-bank-review-finds-over-400-000-credit-cards-are-on-historic-high-interest-rates</t>
  </si>
  <si>
    <t xml:space="preserve">guide.schemeEarliest</t>
  </si>
  <si>
    <t xml:space="preserve">Scheme Earliest</t>
  </si>
  <si>
    <t xml:space="preserve">cat.a.before</t>
  </si>
  <si>
    <t xml:space="preserve">Group A threshold (child from parent): gifts and inheritances before 7 Oct 2026</t>
  </si>
  <si>
    <t xml:space="preserve">before 7 Oct 2026</t>
  </si>
  <si>
    <t xml:space="preserve">https://www.revenue.ie/en/gains-gifts-and-inheritance/</t>
  </si>
  <si>
    <t xml:space="preserve">Lifetime total received from parents, since 5 Dec 1991</t>
  </si>
  <si>
    <t xml:space="preserve">cat.a.after</t>
  </si>
  <si>
    <t xml:space="preserve">Group A threshold: from 7 Oct 2026 (Budget 2027, up 5%)</t>
  </si>
  <si>
    <t xml:space="preserve">from 7 Oct 2026</t>
  </si>
  <si>
    <t xml:space="preserve">Official guide: Group A up 5%; the euro figure is 400,000 x 1.05</t>
  </si>
  <si>
    <t xml:space="preserve">cat.b.before</t>
  </si>
  <si>
    <t xml:space="preserve">Group B threshold (parent, sibling, niece, nephew, grandchild): before 7 Oct 2026</t>
  </si>
  <si>
    <t xml:space="preserve">From memory of the 2025 rules: not checked</t>
  </si>
  <si>
    <t xml:space="preserve">cat.b.after</t>
  </si>
  <si>
    <t xml:space="preserve">Group B threshold: from 7 Oct 2026 (up 10%)</t>
  </si>
  <si>
    <t xml:space="preserve">Official guide: Group B up 10%; the euro figure is 40,000 x 1.10</t>
  </si>
  <si>
    <t xml:space="preserve">cat.c.before</t>
  </si>
  <si>
    <t xml:space="preserve">Group C threshold (everyone else): before 7 Oct 2026</t>
  </si>
  <si>
    <t xml:space="preserve">cat.c.after</t>
  </si>
  <si>
    <t xml:space="preserve">Group C threshold: from 7 Oct 2026 (up 10%)</t>
  </si>
  <si>
    <t xml:space="preserve">Official guide: Group C up 10%; the euro figure is 20,000 x 1.10</t>
  </si>
  <si>
    <t xml:space="preserve">cat.rate</t>
  </si>
  <si>
    <t xml:space="preserve">CAT rate on the amount above the threshold</t>
  </si>
  <si>
    <t xml:space="preserve">long-standing</t>
  </si>
  <si>
    <t xml:space="preserve">cat.small</t>
  </si>
  <si>
    <t xml:space="preserve">Small gift exemption: per giver, per year</t>
  </si>
  <si>
    <t xml:space="preserve">Gifts up to this from one giver in a year are not counted</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</si>
  <si>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</si>
  <si>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</si>
  <si>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</si>
  <si>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Your figure</t>
  </si>
  <si>
    <t xml:space="preserve">Unit</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</si>
  <si>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</si>
  <si>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</si>
  <si>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</si>
  <si>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</si>
  <si>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</si>
  <si>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</si>
  <si>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</si>
  <si>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</si>
  <si>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date</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</si>
  <si>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</si>
  <si>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</si>
  <si>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</si>
  <si>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</si>
  <si>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</si>
  <si>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</si>
  <si>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</si>
  <si>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</si>
  <si>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</si>
  <si>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age</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</si>
  <si>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</si>
  <si>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</si>
  <si>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</si>
  <si>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</si>
  <si>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</si>
  <si>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</si>
  <si>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</si>
  <si>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</si>
  <si>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</si>
  <si>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</si>
  <si>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</si>
  <si>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</si>
  <si>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</si>
  <si>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</si>
  <si>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</si>
  <si>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</si>
  <si>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</si>
  <si>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</si>
  <si>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</si>
  <si>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</si>
  <si>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</si>
  <si>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</si>
  <si>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</si>
  <si>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</si>
  <si>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</si>
  <si>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</si>
  <si>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</si>
  <si>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</si>
  <si>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</si>
  <si>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</si>
  <si>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</si>
  <si>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t>
  </si>
  <si>
    <t xml:space="preserve">S.wi.l</t>
  </si>
  <si>
    <t xml:space="preserve">YOUR FINANCES</t>
  </si>
  <si>
    <t xml:space="preserve">Your work (Employed / Self-employed / Not working)</t>
  </si>
  <si>
    <t xml:space="preserve">S.fin.work</t>
  </si>
  <si>
    <t xml:space="preserve">Employed</t>
  </si>
  <si>
    <t xml:space="preserve">Your gross yearly income</t>
  </si>
  <si>
    <t xml:space="preserve">S.fin.income</t>
  </si>
  <si>
    <t xml:space="preserve">Partner's gross yearly 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</si>
  <si>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</si>
  <si>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</si>
  <si>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</si>
  <si>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</si>
  <si>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</si>
  <si>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</si>
  <si>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</si>
  <si>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</si>
  <si>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</si>
  <si>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</si>
  <si>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</si>
  <si>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</si>
  <si>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</si>
  <si>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</si>
  <si>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</si>
  <si>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</si>
  <si>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Home value</t>
  </si>
  <si>
    <t xml:space="preserve">S.fin.homeValue (only counted as a missing detail)</t>
  </si>
  <si>
    <t xml:space="preserve">Cash savings</t>
  </si>
  <si>
    <t xml:space="preserve">S.fin.cash</t>
  </si>
  <si>
    <t xml:space="preserve">Investments</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</si>
  <si>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</si>
  <si>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</si>
  <si>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</si>
  <si>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</si>
  <si>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</si>
  <si>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</si>
  <si>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</si>
  <si>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</si>
  <si>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years</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</si>
  <si>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</si>
  <si>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</si>
  <si>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</si>
  <si>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</si>
  <si>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</si>
  <si>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</si>
  <si>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</si>
  <si>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</si>
  <si>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</si>
  <si>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</si>
  <si>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</si>
  <si>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</si>
  <si>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</si>
  <si>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</si>
  <si>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</si>
  <si>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</si>
  <si>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</si>
  <si>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</si>
  <si>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</si>
  <si>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</si>
  <si>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</si>
  <si>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</si>
  <si>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</si>
  <si>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</si>
  <si>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</si>
  <si>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</si>
  <si>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</si>
  <si>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</si>
  <si>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</si>
  <si>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</si>
  <si>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</si>
  <si>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</si>
  <si>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</si>
  <si>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</si>
  <si>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</si>
  <si>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</si>
  <si>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</si>
  <si>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</si>
  <si>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</si>
  <si>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</si>
  <si>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</si>
  <si>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</si>
  <si>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</si>
  <si>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</si>
  <si>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</si>
  <si>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</si>
  <si>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</si>
  <si>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</si>
  <si>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</si>
  <si>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</si>
  <si>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</si>
  <si>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</si>
  <si>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</si>
  <si>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</si>
  <si>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</si>
  <si>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</si>
  <si>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</si>
  <si>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</si>
  <si>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</si>
  <si>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</si>
  <si>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</si>
  <si>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</si>
  <si>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</si>
  <si>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</si>
  <si>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</si>
  <si>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</si>
  <si>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</si>
  <si>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</si>
  <si>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</si>
  <si>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</si>
  <si>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</si>
  <si>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</si>
  <si>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</si>
  <si>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</si>
  <si>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</si>
  <si>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</si>
  <si>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</si>
  <si>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</si>
  <si>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</si>
  <si>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</si>
  <si>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</si>
  <si>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</si>
  <si>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</si>
  <si>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</si>
  <si>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</si>
  <si>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</si>
  <si>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</si>
  <si>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</si>
  <si>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</si>
  <si>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</si>
  <si>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</si>
  <si>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</si>
  <si>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</si>
  <si>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</si>
  <si>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</si>
  <si>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</si>
  <si>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</si>
  <si>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</si>
  <si>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</si>
  <si>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</si>
  <si>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</si>
  <si>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</si>
  <si>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</si>
  <si>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</si>
  <si>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</si>
  <si>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</si>
  <si>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</si>
  <si>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</si>
  <si>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</si>
  <si>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</si>
  <si>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</si>
  <si>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</si>
  <si>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</si>
  <si>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 (this workbook holds the 2026 rules only, so the plan starts in 2026)</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</si>
  <si>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</si>
  <si>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</si>
  <si>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</si>
  <si>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</si>
  <si>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</si>
  <si>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</si>
  <si>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</si>
  <si>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 a week</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</si>
  <si>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</si>
  <si>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</si>
  <si>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</si>
  <si>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</si>
  <si>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</si>
  <si>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</si>
  <si>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</si>
  <si>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</si>
  <si>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</si>
  <si>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</si>
  <si>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</si>
  <si>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</si>
  <si>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Saved so far</t>
  </si>
  <si>
    <t xml:space="preserve">Priority</t>
  </si>
  <si>
    <t xml:space="preserve">Rank (1 = first; blank = not ranked)</t>
  </si>
  <si>
    <t xml:space="preserve">Emergency fund amount follows months x spending? (Yes/No)</t>
  </si>
  <si>
    <t xml:space="preserve">Typed or example key (before the automatic Emergency fund goal)</t>
  </si>
  <si>
    <t xml:space="preserve">Auto goal here (1/0)</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</si>
  <si>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</si>
  <si>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</si>
  <si>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</si>
  <si>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</si>
  <si>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</si>
  <si>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</si>
  <si>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</si>
  <si>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</si>
  <si>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</si>
  <si>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</si>
  <si>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</si>
  <si>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</si>
  <si>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</si>
  <si>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</si>
  <si>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</si>
  <si>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</si>
  <si>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</si>
  <si>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</si>
  <si>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</si>
  <si>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</si>
  <si>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</si>
  <si>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</si>
  <si>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</si>
  <si>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</si>
  <si>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</si>
  <si>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</si>
  <si>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</si>
  <si>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</si>
  <si>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</si>
  <si>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</si>
  <si>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MORE ABOUT YOUR ASSETS, HOME AND POLICIES (engine v3.0, all optional: blank = none, or "not known" for what you paid)</t>
  </si>
  <si>
    <t xml:space="preserve">YOUR ASSETS</t>
  </si>
  <si>
    <t xml:space="preserve">Savings accounts (deposit, notice, fixed-term, State Savings)</t>
  </si>
  <si>
    <t xml:space="preserve">S.fin.savings</t>
  </si>
  <si>
    <t xml:space="preserve">Other assets you would sell if needed (land, a business share; not your home, not rented property)</t>
  </si>
  <si>
    <t xml:space="preserve">S.fin.otherAssets</t>
  </si>
  <si>
    <t xml:space="preserve">Alternative investments (crypto, gold, art, collectables)</t>
  </si>
  <si>
    <t xml:space="preserve">S.fin.altInv</t>
  </si>
  <si>
    <t xml:space="preserve">What you paid for your investments in total (blank = assumed bought at today's value)</t>
  </si>
  <si>
    <t xml:space="preserve">S.fin.invCost (blank stays unknown)</t>
  </si>
  <si>
    <t xml:space="preserve">Years you have held your investments (blank = the 8 years start today)</t>
  </si>
  <si>
    <t xml:space="preserve">S.fin.invYears</t>
  </si>
  <si>
    <t xml:space="preserve">What you paid for your other assets (blank = a share of the value is assumed to be gain)</t>
  </si>
  <si>
    <t xml:space="preserve">S.fin.othCost</t>
  </si>
  <si>
    <t xml:space="preserve">What you paid for your alternative investments (blank = a share of the value is assumed to be gain)</t>
  </si>
  <si>
    <t xml:space="preserve">S.fin.altCost</t>
  </si>
  <si>
    <t xml:space="preserve">Capital losses you can use against gains (reported to Revenue, not yet used)</t>
  </si>
  <si>
    <t xml:space="preserve">S.fin.capLoss</t>
  </si>
  <si>
    <t xml:space="preserve">Do you own these assets together with your partner? (Yes/No/Not sure; Yes = two yearly CGT exemptions)</t>
  </si>
  <si>
    <t xml:space="preserve">S.fin.assetsJoint</t>
  </si>
  <si>
    <t xml:space="preserve">YOUR HOME AND POLICIES</t>
  </si>
  <si>
    <t xml:space="preserve">Would you ever use your home to fund your plan? (No, never / Yes, I'd downsize / Only as a last resort)</t>
  </si>
  <si>
    <t xml:space="preserve">S.fin.homeUse (only counted if you own your home)</t>
  </si>
  <si>
    <t xml:space="preserve">Age you would downsize</t>
  </si>
  <si>
    <t xml:space="preserve">S.fin.downAge</t>
  </si>
  <si>
    <t xml:space="preserve">Value of the smaller home (today's money)</t>
  </si>
  <si>
    <t xml:space="preserve">S.fin.downValue</t>
  </si>
  <si>
    <t xml:space="preserve">Savings or endowment policy: amount it pays out, after any tax</t>
  </si>
  <si>
    <t xml:space="preserve">S.fin.polLump</t>
  </si>
  <si>
    <t xml:space="preserve">Your age when it pays out</t>
  </si>
  <si>
    <t xml:space="preserve">S.fin.polLumpAge</t>
  </si>
  <si>
    <t xml:space="preserve">Policy or annuity paying a regular income: € a year, before tax</t>
  </si>
  <si>
    <t xml:space="preserve">€ a year</t>
  </si>
  <si>
    <t xml:space="preserve">S.fin.polInc</t>
  </si>
  <si>
    <t xml:space="preserve">Your age when it starts</t>
  </si>
  <si>
    <t xml:space="preserve">S.fin.polIncAge</t>
  </si>
  <si>
    <t xml:space="preserve">EMERGENCY FUND GOAL AND INVESTMENT CHOICES</t>
  </si>
  <si>
    <t xml:space="preserve">You asked for an Emergency fund goal to be added (Yes/No)</t>
  </si>
  <si>
    <t xml:space="preserve">S.safetyWanted ("Add an Emergency fund goal")</t>
  </si>
  <si>
    <t xml:space="preserve">You removed the Emergency fund goal and do not want it added again (Yes/No)</t>
  </si>
  <si>
    <t xml:space="preserve">S.safetyOff</t>
  </si>
  <si>
    <t xml:space="preserve">Your investments are held as (fund = funds/ETFs with exit tax and the 8-year rule; shares = held directly, CGT when sold)</t>
  </si>
  <si>
    <t xml:space="preserve">S.asm.invWrapper (blank = fund)</t>
  </si>
  <si>
    <t xml:space="preserve">Other assets, crypto, gold, art: share of their value that is a gain, when you did not enter a cost (a rate, 0.4 = 40%)</t>
  </si>
  <si>
    <t xml:space="preserve">rate: 0.4 = 40%</t>
  </si>
  <si>
    <t xml:space="preserve">S.asm.cgtGain (blank = the standard, 40%)</t>
  </si>
  <si>
    <t xml:space="preserve">EMERGENCY FUND GOAL ADDED AUTOMATICALLY (worked out; not typed)</t>
  </si>
  <si>
    <t xml:space="preserve">Row of the Emergency fund goal if one is added (the first goal row after your last goal; 0 = none)</t>
  </si>
  <si>
    <t xml:space="preserve">An Emergency fund goal is added (1/0): none typed, not removed, and cash is below the months you chose (or you asked for it)</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</si>
  <si>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</si>
  <si>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</si>
  <si>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</si>
  <si>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</si>
  <si>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</si>
  <si>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</si>
  <si>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</si>
  <si>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</si>
  <si>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</si>
  <si>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</si>
  <si>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</si>
  <si>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</si>
  <si>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</si>
  <si>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</si>
  <si>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</si>
  <si>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</si>
  <si>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</si>
  <si>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</si>
  <si>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</si>
  <si>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</si>
  <si>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</si>
  <si>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</si>
  <si>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</si>
  <si>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</si>
  <si>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Assumptions: Credit_Rent_Single</t>
  </si>
  <si>
    <t xml:space="preserve">Rent Tax Credit, joint</t>
  </si>
  <si>
    <t xml:space="preserve">Assumptions: Credit_Rent_Joint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</si>
  <si>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</si>
  <si>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</si>
  <si>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</si>
  <si>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</si>
  <si>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</si>
  <si>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</si>
  <si>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</si>
  <si>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</si>
  <si>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</si>
  <si>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</si>
  <si>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</si>
  <si>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</si>
  <si>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</si>
  <si>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</si>
  <si>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</si>
  <si>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</si>
  <si>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</si>
  <si>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</si>
  <si>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</si>
  <si>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</si>
  <si>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</si>
  <si>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</si>
  <si>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</si>
  <si>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</si>
  <si>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</si>
  <si>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</si>
  <si>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</si>
  <si>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</si>
  <si>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</si>
  <si>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</si>
  <si>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</si>
  <si>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</si>
  <si>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</si>
  <si>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</si>
  <si>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</si>
  <si>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</si>
  <si>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</si>
  <si>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</si>
  <si>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</si>
  <si>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</si>
  <si>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</si>
  <si>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</si>
  <si>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</si>
  <si>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</si>
  <si>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</si>
  <si>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</si>
  <si>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</si>
  <si>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</si>
  <si>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</si>
  <si>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</si>
  <si>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</si>
  <si>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</si>
  <si>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</si>
  <si>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</si>
  <si>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</si>
  <si>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</si>
  <si>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</si>
  <si>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</si>
  <si>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</si>
  <si>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</si>
  <si>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</si>
  <si>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</si>
  <si>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</si>
  <si>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</si>
  <si>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</si>
  <si>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</si>
  <si>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</si>
  <si>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</si>
  <si>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</si>
  <si>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</si>
  <si>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</si>
  <si>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</si>
  <si>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</si>
  <si>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</si>
  <si>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</si>
  <si>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</si>
  <si>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</si>
  <si>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</si>
  <si>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</si>
  <si>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</si>
  <si>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</si>
  <si>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</si>
  <si>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</si>
  <si>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</si>
  <si>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</si>
  <si>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</si>
  <si>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</si>
  <si>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</si>
  <si>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</si>
  <si>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</si>
  <si>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</si>
  <si>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</si>
  <si>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</si>
  <si>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</si>
  <si>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</si>
  <si>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</si>
  <si>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</si>
  <si>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</si>
  <si>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</si>
  <si>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</si>
  <si>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</si>
  <si>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</si>
  <si>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</si>
  <si>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</si>
  <si>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</si>
  <si>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</si>
  <si>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</si>
  <si>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</si>
  <si>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</si>
  <si>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</si>
  <si>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</si>
  <si>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</si>
  <si>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</si>
  <si>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</si>
  <si>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</si>
  <si>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</si>
  <si>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</si>
  <si>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</si>
  <si>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</si>
  <si>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</si>
  <si>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</si>
  <si>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</si>
  <si>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</si>
  <si>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</si>
  <si>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</si>
  <si>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</si>
  <si>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</si>
  <si>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</si>
  <si>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</si>
  <si>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</si>
  <si>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</si>
  <si>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</si>
  <si>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</si>
  <si>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</si>
  <si>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</si>
  <si>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</si>
  <si>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</si>
  <si>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</si>
  <si>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</si>
  <si>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</si>
  <si>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</si>
  <si>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</si>
  <si>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</si>
  <si>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</si>
  <si>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</si>
  <si>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</si>
  <si>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</si>
  <si>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</si>
  <si>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</si>
  <si>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</si>
  <si>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</si>
  <si>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</si>
  <si>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</si>
  <si>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</si>
  <si>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</si>
  <si>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</si>
  <si>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</si>
  <si>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</si>
  <si>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</si>
  <si>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</si>
  <si>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</si>
  <si>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</si>
  <si>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</si>
  <si>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</si>
  <si>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</si>
  <si>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</si>
  <si>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</si>
  <si>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</si>
  <si>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</si>
  <si>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</si>
  <si>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</si>
  <si>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</si>
  <si>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</si>
  <si>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</si>
  <si>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</si>
  <si>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</si>
  <si>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</si>
  <si>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</si>
  <si>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</si>
  <si>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</si>
  <si>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</si>
  <si>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</si>
  <si>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</si>
  <si>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</si>
  <si>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</si>
  <si>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</si>
  <si>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</si>
  <si>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</si>
  <si>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</si>
  <si>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</si>
  <si>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</si>
  <si>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</si>
  <si>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</si>
  <si>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</si>
  <si>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</si>
  <si>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</si>
  <si>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</si>
  <si>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</si>
  <si>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</si>
  <si>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</si>
  <si>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</si>
  <si>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</si>
  <si>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</si>
  <si>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</si>
  <si>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</si>
  <si>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</si>
  <si>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</si>
  <si>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</si>
  <si>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</si>
  <si>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</si>
  <si>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</si>
  <si>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</si>
  <si>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</si>
  <si>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</si>
  <si>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</si>
  <si>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</si>
  <si>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</si>
  <si>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</si>
  <si>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</si>
  <si>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</si>
  <si>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</si>
  <si>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</si>
  <si>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</si>
  <si>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</si>
  <si>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</si>
  <si>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</si>
  <si>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</si>
  <si>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</si>
  <si>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</si>
  <si>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</si>
  <si>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fallback 90 (95 with a partner), never shown</t>
  </si>
  <si>
    <t xml:space="preserve">First plan year</t>
  </si>
  <si>
    <t xml:space="preserve">Two secure incomes (1/0)</t>
  </si>
  <si>
    <t xml:space="preserve">Years kept as cash</t>
  </si>
  <si>
    <t xml:space="preserve">Spare savings invested (share)</t>
  </si>
  <si>
    <t xml:space="preserve">Lump sum share</t>
  </si>
  <si>
    <t xml:space="preserve">Drawdown rule</t>
  </si>
  <si>
    <t xml:space="preserve">Fixed draw a year (today's money)</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</si>
  <si>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</si>
  <si>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</si>
  <si>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</si>
  <si>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</si>
  <si>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</si>
  <si>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</si>
  <si>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</si>
  <si>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</si>
  <si>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</si>
  <si>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</si>
  <si>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Your age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</si>
  <si>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</si>
  <si>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</si>
  <si>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</si>
  <si>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</si>
  <si>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</si>
  <si>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</si>
  <si>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</si>
  <si>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</si>
  <si>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</si>
  <si>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</si>
  <si>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</si>
  <si>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</si>
  <si>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</si>
  <si>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</si>
  <si>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</si>
  <si>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</si>
  <si>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</si>
  <si>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</si>
  <si>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</si>
  <si>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</si>
  <si>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</si>
  <si>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</si>
  <si>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</si>
  <si>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</si>
  <si>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</si>
  <si>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</si>
  <si>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</si>
  <si>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</si>
  <si>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</si>
  <si>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</si>
  <si>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</si>
  <si>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</si>
  <si>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</si>
  <si>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</si>
  <si>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</si>
  <si>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</si>
  <si>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</si>
  <si>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</si>
  <si>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</si>
  <si>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</si>
  <si>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</si>
  <si>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</si>
  <si>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</si>
  <si>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</si>
  <si>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</si>
  <si>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</si>
  <si>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</si>
  <si>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</si>
  <si>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</si>
  <si>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</si>
  <si>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</si>
  <si>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</si>
  <si>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</si>
  <si>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</si>
  <si>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</si>
  <si>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</si>
  <si>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</si>
  <si>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</si>
  <si>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</si>
  <si>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</si>
  <si>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</si>
  <si>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Year</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</si>
  <si>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</si>
  <si>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</si>
  <si>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</si>
  <si>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</si>
  <si>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</si>
  <si>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</si>
  <si>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</si>
  <si>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</si>
  <si>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</si>
  <si>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</si>
  <si>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</si>
  <si>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</si>
  <si>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</si>
  <si>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</si>
  <si>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</si>
  <si>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</si>
  <si>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</si>
  <si>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</si>
  <si>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</si>
  <si>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</si>
  <si>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</si>
  <si>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</si>
  <si>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</si>
  <si>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</si>
  <si>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</si>
  <si>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</si>
  <si>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</si>
  <si>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</si>
  <si>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</si>
  <si>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</si>
  <si>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</si>
  <si>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</si>
  <si>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</si>
  <si>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</si>
  <si>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</si>
  <si>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</si>
  <si>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</si>
  <si>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</si>
  <si>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</si>
  <si>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</si>
  <si>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</si>
  <si>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</si>
  <si>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</si>
  <si>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</si>
  <si>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</si>
  <si>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</si>
  <si>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</si>
  <si>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</si>
  <si>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</si>
  <si>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</si>
  <si>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</si>
  <si>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</si>
  <si>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</si>
  <si>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</si>
  <si>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</si>
  <si>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</si>
  <si>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</si>
  <si>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</si>
  <si>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</si>
  <si>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</si>
  <si>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</si>
  <si>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</si>
  <si>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</si>
  <si>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</si>
  <si>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</si>
  <si>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</si>
  <si>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</si>
  <si>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</si>
  <si>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</si>
  <si>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</si>
  <si>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</si>
  <si>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</si>
  <si>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</si>
  <si>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</si>
  <si>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</si>
  <si>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</si>
  <si>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</si>
  <si>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</si>
  <si>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</si>
  <si>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</si>
  <si>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</si>
  <si>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</si>
  <si>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</si>
  <si>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</si>
  <si>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</si>
  <si>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</si>
  <si>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</si>
  <si>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</si>
  <si>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</si>
  <si>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</si>
  <si>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</si>
  <si>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</si>
  <si>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</si>
  <si>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</si>
  <si>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</si>
  <si>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</si>
  <si>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</si>
  <si>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</si>
  <si>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</si>
  <si>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</si>
  <si>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</si>
  <si>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</si>
  <si>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</si>
  <si>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</si>
  <si>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</si>
  <si>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</si>
  <si>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</si>
  <si>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</si>
  <si>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</si>
  <si>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</si>
  <si>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</si>
  <si>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Goal</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</si>
  <si>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</si>
  <si>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</si>
  <si>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</si>
  <si>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</si>
  <si>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</si>
  <si>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</si>
  <si>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</si>
  <si>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</si>
  <si>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</si>
  <si>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</si>
  <si>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</si>
  <si>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</si>
  <si>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</si>
  <si>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</si>
  <si>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</si>
  <si>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</si>
  <si>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</si>
  <si>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</si>
  <si>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</si>
  <si>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</si>
  <si>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</si>
  <si>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</si>
  <si>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</si>
  <si>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</si>
  <si>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</si>
  <si>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</si>
  <si>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</si>
  <si>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</si>
  <si>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</si>
  <si>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</si>
  <si>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</si>
  <si>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</si>
  <si>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savings</t>
  </si>
  <si>
    <t xml:space="preserve">Taken from savings (cash, savings accounts, investments, other assets)</t>
  </si>
  <si>
    <t xml:space="preserve">Savings left (after tax)</t>
  </si>
  <si>
    <t xml:space="preserve">Pot at the start</t>
  </si>
  <si>
    <t xml:space="preserve">Taken from cash and savings accounts</t>
  </si>
  <si>
    <t xml:space="preserve">Taken from investments and assets</t>
  </si>
  <si>
    <t xml:space="preserve">Cash and savings left</t>
  </si>
  <si>
    <t xml:space="preserve">Investments and assets left (after tax)</t>
  </si>
  <si>
    <t xml:space="preserve">There is an Emergency fund goal (1/0)</t>
  </si>
  <si>
    <t xml:space="preserve">Cash left after the buffer</t>
  </si>
  <si>
    <t xml:space="preserve">Buffer held back from cash (months x essential spending, if no Emergency fund goal)</t>
  </si>
  <si>
    <t xml:space="preserve">Cash and savings accounts available for goals today</t>
  </si>
  <si>
    <t xml:space="preserve">Savings available for goals today (cash after the buffer, savings accounts, investments and assets after tax)</t>
  </si>
  <si>
    <t xml:space="preserve">Investments and assets available for goals today (after tax on selling)</t>
  </si>
  <si>
    <t xml:space="preserve">Holdings after the goals are topped up today (all pots)</t>
  </si>
  <si>
    <t xml:space="preserve">Taken for goals today from cash and savings accounts</t>
  </si>
  <si>
    <t xml:space="preserve">Growth of spare money (cash / invested mix)</t>
  </si>
  <si>
    <t xml:space="preserve">Taken for goals today from investments and assets</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</si>
  <si>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</si>
  <si>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</si>
  <si>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</si>
  <si>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</si>
  <si>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</si>
  <si>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</si>
  <si>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</si>
  <si>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</si>
  <si>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</si>
  <si>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</si>
  <si>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</si>
  <si>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</si>
  <si>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</si>
  <si>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</si>
  <si>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</si>
  <si>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</si>
  <si>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</si>
  <si>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</si>
  <si>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</si>
  <si>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</si>
  <si>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</si>
  <si>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</si>
  <si>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</si>
  <si>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</si>
  <si>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</si>
  <si>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</si>
  <si>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</si>
  <si>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</si>
  <si>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</si>
  <si>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</si>
  <si>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</si>
  <si>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</si>
  <si>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</si>
  <si>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</si>
  <si>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</si>
  <si>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</si>
  <si>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</si>
  <si>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</si>
  <si>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</si>
  <si>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TAXES APPLIED THIS YEAR (today's money)</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</si>
  <si>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</si>
  <si>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</si>
  <si>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</si>
  <si>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</si>
  <si>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</si>
  <si>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</si>
  <si>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</si>
  <si>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</si>
  <si>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</si>
  <si>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</si>
  <si>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</si>
  <si>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</si>
  <si>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Savings available at the start (cash, savings, investments and assets after tax, plus any lump sum, policy or downsizing money)</t>
  </si>
  <si>
    <t xml:space="preserve">All holdings, previous year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</si>
  <si>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</si>
  <si>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</si>
  <si>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</si>
  <si>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</si>
  <si>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</si>
  <si>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</si>
  <si>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</si>
  <si>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</si>
  <si>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</si>
  <si>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</si>
  <si>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</si>
  <si>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</si>
  <si>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</si>
  <si>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</si>
  <si>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</si>
  <si>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</si>
  <si>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</si>
  <si>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</si>
  <si>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</si>
  <si>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</si>
  <si>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</si>
  <si>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</si>
  <si>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</si>
  <si>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</si>
  <si>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</si>
  <si>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</si>
  <si>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</si>
  <si>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</si>
  <si>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</si>
  <si>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</si>
  <si>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</si>
  <si>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</si>
  <si>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</si>
  <si>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</si>
  <si>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</si>
  <si>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</si>
  <si>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</si>
  <si>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</si>
  <si>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</si>
  <si>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</si>
  <si>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</si>
  <si>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</si>
  <si>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</si>
  <si>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</si>
  <si>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</si>
  <si>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</si>
  <si>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</si>
  <si>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</si>
  <si>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</si>
  <si>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</si>
  <si>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</si>
  <si>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</si>
  <si>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</si>
  <si>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</si>
  <si>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</si>
  <si>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</si>
  <si>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</si>
  <si>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</si>
  <si>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</si>
  <si>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</si>
  <si>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</si>
  <si>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</si>
  <si>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</si>
  <si>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</si>
  <si>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</si>
  <si>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</si>
  <si>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</si>
  <si>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</si>
  <si>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</si>
  <si>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</si>
  <si>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</si>
  <si>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</si>
  <si>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</si>
  <si>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</si>
  <si>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</si>
  <si>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</si>
  <si>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</si>
  <si>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</si>
  <si>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</si>
  <si>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</si>
  <si>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</si>
  <si>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</si>
  <si>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</si>
  <si>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</si>
  <si>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</si>
  <si>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</si>
  <si>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</si>
  <si>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</si>
  <si>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</si>
  <si>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</si>
  <si>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</si>
  <si>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</si>
  <si>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</si>
  <si>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</si>
  <si>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</si>
  <si>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</si>
  <si>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</si>
  <si>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</si>
  <si>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</si>
  <si>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</si>
  <si>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</si>
  <si>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</si>
  <si>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</si>
  <si>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</si>
  <si>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</si>
  <si>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</si>
  <si>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</si>
  <si>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</si>
  <si>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</si>
  <si>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</si>
  <si>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</si>
  <si>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</si>
  <si>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</si>
  <si>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</si>
  <si>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</si>
  <si>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</si>
  <si>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</si>
  <si>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</si>
  <si>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</si>
  <si>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</si>
  <si>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</si>
  <si>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</si>
  <si>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</si>
  <si>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</si>
  <si>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</si>
  <si>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</si>
  <si>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</si>
  <si>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</si>
  <si>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</si>
  <si>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</si>
  <si>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</si>
  <si>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</si>
  <si>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</si>
  <si>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</si>
  <si>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</si>
  <si>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</si>
  <si>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</si>
  <si>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</si>
  <si>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</si>
  <si>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</si>
  <si>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</si>
  <si>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</si>
  <si>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</si>
  <si>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</si>
  <si>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</si>
  <si>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</si>
  <si>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</si>
  <si>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</si>
  <si>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</si>
  <si>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</si>
  <si>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</si>
  <si>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</si>
  <si>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</si>
  <si>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</si>
  <si>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</si>
  <si>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</si>
  <si>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</si>
  <si>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</si>
  <si>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</si>
  <si>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</si>
  <si>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</si>
  <si>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</si>
  <si>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</si>
  <si>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</si>
  <si>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</si>
  <si>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</si>
  <si>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</si>
  <si>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</si>
  <si>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</si>
  <si>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</si>
  <si>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</si>
  <si>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</si>
  <si>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</si>
  <si>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</si>
  <si>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</si>
  <si>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</si>
  <si>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</si>
  <si>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</si>
  <si>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</si>
  <si>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</si>
  <si>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</si>
  <si>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</si>
  <si>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</si>
  <si>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</si>
  <si>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</si>
  <si>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</si>
  <si>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</si>
  <si>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</si>
  <si>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</si>
  <si>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</si>
  <si>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</si>
  <si>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</si>
  <si>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</si>
  <si>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</si>
  <si>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</si>
  <si>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</si>
  <si>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</si>
  <si>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</si>
  <si>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</si>
  <si>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</si>
  <si>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</si>
  <si>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</si>
  <si>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</si>
  <si>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</si>
  <si>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</si>
  <si>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</si>
  <si>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</si>
  <si>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</si>
  <si>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</si>
  <si>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</si>
  <si>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</si>
  <si>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</si>
  <si>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</si>
  <si>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</si>
  <si>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</si>
  <si>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</si>
  <si>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</si>
  <si>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</si>
  <si>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</si>
  <si>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</si>
  <si>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</si>
  <si>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</si>
  <si>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</si>
  <si>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</si>
  <si>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</si>
  <si>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</si>
  <si>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</si>
  <si>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</si>
  <si>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</si>
  <si>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</si>
  <si>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</si>
  <si>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</si>
  <si>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</si>
  <si>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</si>
  <si>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</si>
  <si>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</si>
  <si>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</si>
  <si>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</si>
  <si>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</si>
  <si>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</si>
  <si>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</si>
  <si>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</si>
  <si>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</si>
  <si>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</si>
  <si>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</si>
  <si>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</si>
  <si>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</si>
  <si>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</si>
  <si>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</si>
  <si>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</si>
  <si>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</si>
  <si>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</si>
  <si>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</si>
  <si>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</si>
  <si>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</si>
  <si>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</si>
  <si>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</si>
  <si>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</si>
  <si>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</si>
  <si>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</si>
  <si>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</si>
  <si>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</si>
  <si>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</si>
  <si>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</si>
  <si>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</si>
  <si>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</si>
  <si>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</si>
  <si>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</si>
  <si>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</si>
  <si>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</si>
  <si>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</si>
  <si>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</si>
  <si>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</si>
  <si>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</si>
  <si>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</si>
  <si>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</si>
  <si>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</si>
  <si>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</si>
  <si>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</si>
  <si>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</si>
  <si>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</si>
  <si>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</si>
  <si>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</si>
  <si>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</si>
  <si>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</si>
  <si>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</si>
  <si>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</si>
  <si>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</si>
  <si>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</si>
  <si>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</si>
  <si>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</si>
  <si>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</si>
  <si>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</si>
  <si>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</si>
  <si>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</si>
  <si>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</si>
  <si>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</si>
  <si>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</si>
  <si>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</si>
  <si>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</si>
  <si>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</si>
  <si>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</si>
  <si>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</si>
  <si>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</si>
  <si>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</si>
  <si>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</si>
  <si>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</si>
  <si>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</si>
  <si>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</si>
  <si>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</si>
  <si>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</si>
  <si>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</si>
  <si>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</si>
  <si>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</si>
  <si>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</si>
  <si>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</si>
  <si>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</si>
  <si>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</si>
  <si>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</si>
  <si>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</si>
  <si>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</si>
  <si>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</si>
  <si>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</si>
  <si>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</si>
  <si>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</si>
  <si>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</si>
  <si>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</si>
  <si>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</si>
  <si>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</si>
  <si>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</si>
  <si>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</si>
  <si>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</si>
  <si>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</si>
  <si>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</si>
  <si>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</si>
  <si>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</si>
  <si>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</si>
  <si>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</si>
  <si>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</si>
  <si>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</si>
  <si>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</si>
  <si>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</si>
  <si>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</si>
  <si>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</si>
  <si>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</si>
  <si>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</si>
  <si>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</si>
  <si>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</si>
  <si>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</si>
  <si>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</si>
  <si>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</si>
  <si>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</si>
  <si>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</si>
  <si>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</si>
  <si>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</si>
  <si>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</si>
  <si>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</si>
  <si>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</si>
  <si>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</si>
  <si>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</si>
  <si>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</si>
  <si>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</si>
  <si>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</si>
  <si>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</si>
  <si>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</si>
  <si>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</si>
  <si>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</si>
  <si>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</si>
  <si>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</si>
  <si>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</si>
  <si>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</si>
  <si>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</si>
  <si>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</si>
  <si>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</si>
  <si>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</si>
  <si>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</si>
  <si>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</si>
  <si>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</si>
  <si>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</si>
  <si>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</si>
  <si>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</si>
  <si>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</si>
  <si>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</si>
  <si>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</si>
  <si>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</si>
  <si>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</si>
  <si>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</si>
  <si>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</si>
  <si>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</si>
  <si>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</si>
  <si>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</si>
  <si>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</si>
  <si>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</si>
  <si>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</si>
  <si>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</si>
  <si>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</si>
  <si>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</si>
  <si>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</si>
  <si>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</si>
  <si>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</si>
  <si>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</si>
  <si>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</si>
  <si>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</si>
  <si>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</si>
  <si>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</si>
  <si>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</si>
  <si>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</si>
  <si>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</si>
  <si>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</si>
  <si>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</si>
  <si>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</si>
  <si>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</si>
  <si>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</si>
  <si>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</si>
  <si>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</si>
  <si>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</si>
  <si>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</si>
  <si>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</si>
  <si>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</si>
  <si>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</si>
  <si>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</si>
  <si>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</si>
  <si>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</si>
  <si>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</si>
  <si>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</si>
  <si>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</si>
  <si>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</si>
  <si>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</si>
  <si>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</si>
  <si>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</si>
  <si>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</si>
  <si>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All holdings at the end of the year (Plan holdings)</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</si>
  <si>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</si>
  <si>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</si>
  <si>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</si>
  <si>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</si>
  <si>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</si>
  <si>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</si>
  <si>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</si>
  <si>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</si>
  <si>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</si>
  <si>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</si>
  <si>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</si>
  <si>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</si>
  <si>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</si>
  <si>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</si>
  <si>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</si>
  <si>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</si>
  <si>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</si>
  <si>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</si>
  <si>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</si>
  <si>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</si>
  <si>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</si>
  <si>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</si>
  <si>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</si>
  <si>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</si>
  <si>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</si>
  <si>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</si>
  <si>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</si>
  <si>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</si>
  <si>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</si>
  <si>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</si>
  <si>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</si>
  <si>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</si>
  <si>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</si>
  <si>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</si>
  <si>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</si>
  <si>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</si>
  <si>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</si>
  <si>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</si>
  <si>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</si>
  <si>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</si>
  <si>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</si>
  <si>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</si>
  <si>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</si>
  <si>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</si>
  <si>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</si>
  <si>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</si>
  <si>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</si>
  <si>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</si>
  <si>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</si>
  <si>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</si>
  <si>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</si>
  <si>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</si>
  <si>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</si>
  <si>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</si>
  <si>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</si>
  <si>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</si>
  <si>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</si>
  <si>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</si>
  <si>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</si>
  <si>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</si>
  <si>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</si>
  <si>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</si>
  <si>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</si>
  <si>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</si>
  <si>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</si>
  <si>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</si>
  <si>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</si>
  <si>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</si>
  <si>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</si>
  <si>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</si>
  <si>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</si>
  <si>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</si>
  <si>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</si>
  <si>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</si>
  <si>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</si>
  <si>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</si>
  <si>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</si>
  <si>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</si>
  <si>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</si>
  <si>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</si>
  <si>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</si>
  <si>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</si>
  <si>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</si>
  <si>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</si>
  <si>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</si>
  <si>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</si>
  <si>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</si>
  <si>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</si>
  <si>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</si>
  <si>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</si>
  <si>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</si>
  <si>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</si>
  <si>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</si>
  <si>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</si>
  <si>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</si>
  <si>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</si>
  <si>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</si>
  <si>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</si>
  <si>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</si>
  <si>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</si>
  <si>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</si>
  <si>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</si>
  <si>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Money taken from savings this year (goals paid from spare money + short year)</t>
  </si>
  <si>
    <t xml:space="preserve">Goal pots freed this year, added to savings before later goals are paid</t>
  </si>
  <si>
    <t xml:space="preserve">New money added to savings after the goals this year (saving not needed by a goal, a retired year's leftover)</t>
  </si>
  <si>
    <t xml:space="preserve">Home downsized this year or before (1/0)</t>
  </si>
  <si>
    <t xml:space="preserve">Plan holdings: cash, savings accounts, investments (lot by lot), other assets and alternative investments, year by year</t>
  </si>
  <si>
    <t xml:space="preserve">Where the plan's own money sits. Each year the money needed for goals and for short years is taken in the funding order: cash, savings accounts, investments, other assets, alternative investments. Investments are kept as lots (the holding you have today, then the new money put in each year). Funds and ETFs pay exit tax when sold and at each 8-year anniversary of a lot (the cost resets); shares held directly, other assets and alternative investments pay capital gains tax when sold (losses first, then the yearly exemption). Nothing is taxed because it rises in value. Row 7 is the funding of goals from savings today (before year 0); rows 8 on are plan years 0, 1, 2, ... (same rows as Plan cashflow). Parameters are below the table (row 101 on).</t>
  </si>
  <si>
    <t xml:space="preserve">Year (t); -1 = today</t>
  </si>
  <si>
    <t xml:space="preserve">Calendar year</t>
  </si>
  <si>
    <t xml:space="preserve">CGT rate on sales this year</t>
  </si>
  <si>
    <t xml:space="preserve">Yearly CGT exemption available this year</t>
  </si>
  <si>
    <t xml:space="preserve">Capital losses carried in</t>
  </si>
  <si>
    <t xml:space="preserve">Cash at the start</t>
  </si>
  <si>
    <t xml:space="preserve">Savings accounts at the start</t>
  </si>
  <si>
    <t xml:space="preserve">Policy lump sum paid out</t>
  </si>
  <si>
    <t xml:space="preserve">Money freed by downsizing</t>
  </si>
  <si>
    <t xml:space="preserve">Pension lump sum, net</t>
  </si>
  <si>
    <t xml:space="preserve">Added to cash before goals</t>
  </si>
  <si>
    <t xml:space="preserve">Added to investments before goals</t>
  </si>
  <si>
    <t xml:space="preserve">Goal pots freed this year (added before later goals are paid)</t>
  </si>
  <si>
    <t xml:space="preserve">... to cash</t>
  </si>
  <si>
    <t xml:space="preserve">... to investments</t>
  </si>
  <si>
    <t xml:space="preserve">Cash and savings available at the start</t>
  </si>
  <si>
    <t xml:space="preserve">Cash and savings available when goals are paid</t>
  </si>
  <si>
    <t xml:space="preserve">Investments: money you would receive if all were sold</t>
  </si>
  <si>
    <t xml:space="preserve">Other assets: money if sold</t>
  </si>
  <si>
    <t xml:space="preserve">Alternative investments: money if sold</t>
  </si>
  <si>
    <t xml:space="preserve">Money available in total (after tax on sales)</t>
  </si>
  <si>
    <t xml:space="preserve">Money taken this year (goals and short years)</t>
  </si>
  <si>
    <t xml:space="preserve">Taken from cash and savings</t>
  </si>
  <si>
    <t xml:space="preserve">Taken from cash</t>
  </si>
  <si>
    <t xml:space="preserve">Taken from savings accounts</t>
  </si>
  <si>
    <t xml:space="preserve">Cash after taking</t>
  </si>
  <si>
    <t xml:space="preserve">Savings accounts after taking</t>
  </si>
  <si>
    <t xml:space="preserve">Received from investments</t>
  </si>
  <si>
    <t xml:space="preserve">Investments sold (value)</t>
  </si>
  <si>
    <t xml:space="preserve">Still needed from other assets</t>
  </si>
  <si>
    <t xml:space="preserve">Other assets: value at the start</t>
  </si>
  <si>
    <t xml:space="preserve">Other assets: cost at the start</t>
  </si>
  <si>
    <t xml:space="preserve">Other assets: gain share</t>
  </si>
  <si>
    <t xml:space="preserve">Received from other assets</t>
  </si>
  <si>
    <t xml:space="preserve">Other assets sold (value)</t>
  </si>
  <si>
    <t xml:space="preserve">CGT exemption left after other assets</t>
  </si>
  <si>
    <t xml:space="preserve">Losses after other assets</t>
  </si>
  <si>
    <t xml:space="preserve">Still needed from alternative investments</t>
  </si>
  <si>
    <t xml:space="preserve">Alternative investments: value at the start</t>
  </si>
  <si>
    <t xml:space="preserve">Alternative investments: cost at the start</t>
  </si>
  <si>
    <t xml:space="preserve">Alt: gain share</t>
  </si>
  <si>
    <t xml:space="preserve">Received from alternative investments</t>
  </si>
  <si>
    <t xml:space="preserve">Alternative investments sold (value)</t>
  </si>
  <si>
    <t xml:space="preserve">CGT exemption left at the end</t>
  </si>
  <si>
    <t xml:space="preserve">Losses carried out</t>
  </si>
  <si>
    <t xml:space="preserve">Capacity pass: exemption after investments</t>
  </si>
  <si>
    <t xml:space="preserve">Capacity pass: losses after investments</t>
  </si>
  <si>
    <t xml:space="preserve">Capacity pass: exemption after other assets</t>
  </si>
  <si>
    <t xml:space="preserve">Capacity pass: losses after other assets</t>
  </si>
  <si>
    <t xml:space="preserve">New money added after goals</t>
  </si>
  <si>
    <t xml:space="preserve">Cash at the end of the year</t>
  </si>
  <si>
    <t xml:space="preserve">Savings accounts at the end</t>
  </si>
  <si>
    <t xml:space="preserve">Investments at the end</t>
  </si>
  <si>
    <t xml:space="preserve">Other assets at the end</t>
  </si>
  <si>
    <t xml:space="preserve">Other assets: cost at the end</t>
  </si>
  <si>
    <t xml:space="preserve">Alternative investments at the end</t>
  </si>
  <si>
    <t xml:space="preserve">Alt: cost at the end</t>
  </si>
  <si>
    <t xml:space="preserve">All holdings at the end of the year</t>
  </si>
  <si>
    <t xml:space="preserve">Tax on sales (exit tax or CGT)</t>
  </si>
  <si>
    <t xml:space="preserve">DIRT taken from interest this year (already inside the cash growth rate)</t>
  </si>
  <si>
    <t xml:space="preserve">Exit tax at the 8-year anniversaries</t>
  </si>
  <si>
    <t xml:space="preserve">Investment growth used</t>
  </si>
  <si>
    <t xml:space="preserve">Gain share (lot 0)</t>
  </si>
  <si>
    <t xml:space="preserve">Gain share (lot 1)</t>
  </si>
  <si>
    <t xml:space="preserve">Gain share (lot 2)</t>
  </si>
  <si>
    <t xml:space="preserve">Gain share (lot 3)</t>
  </si>
  <si>
    <t xml:space="preserve">Gain share (lot 4)</t>
  </si>
  <si>
    <t xml:space="preserve">Gain share (lot 5)</t>
  </si>
  <si>
    <t xml:space="preserve">Gain share (lot 6)</t>
  </si>
  <si>
    <t xml:space="preserve">Gain share (lot 7)</t>
  </si>
  <si>
    <t xml:space="preserve">Gain share (lot 8)</t>
  </si>
  <si>
    <t xml:space="preserve">Gain share (lot 9)</t>
  </si>
  <si>
    <t xml:space="preserve">Gain share (lot 10)</t>
  </si>
  <si>
    <t xml:space="preserve">Gain share (lot 11)</t>
  </si>
  <si>
    <t xml:space="preserve">Gain share (lot 12)</t>
  </si>
  <si>
    <t xml:space="preserve">Gain share (lot 13)</t>
  </si>
  <si>
    <t xml:space="preserve">Gain share (lot 14)</t>
  </si>
  <si>
    <t xml:space="preserve">Gain share (lot 15)</t>
  </si>
  <si>
    <t xml:space="preserve">Gain share (lot 16)</t>
  </si>
  <si>
    <t xml:space="preserve">Gain share (lot 17)</t>
  </si>
  <si>
    <t xml:space="preserve">Gain share (lot 18)</t>
  </si>
  <si>
    <t xml:space="preserve">Gain share (lot 19)</t>
  </si>
  <si>
    <t xml:space="preserve">Gain share (lot 20)</t>
  </si>
  <si>
    <t xml:space="preserve">Gain share (lot 21)</t>
  </si>
  <si>
    <t xml:space="preserve">Gain share (lot 22)</t>
  </si>
  <si>
    <t xml:space="preserve">Gain share (lot 23)</t>
  </si>
  <si>
    <t xml:space="preserve">Gain share (lot 24)</t>
  </si>
  <si>
    <t xml:space="preserve">Gain share (lot 25)</t>
  </si>
  <si>
    <t xml:space="preserve">Gain share (lot 26)</t>
  </si>
  <si>
    <t xml:space="preserve">Gain share (lot 27)</t>
  </si>
  <si>
    <t xml:space="preserve">Gain share (lot 28)</t>
  </si>
  <si>
    <t xml:space="preserve">Gain share (lot 29)</t>
  </si>
  <si>
    <t xml:space="preserve">Gain share (lot 30)</t>
  </si>
  <si>
    <t xml:space="preserve">Gain share (lot 31)</t>
  </si>
  <si>
    <t xml:space="preserve">Gain share (lot 32)</t>
  </si>
  <si>
    <t xml:space="preserve">Gain share (lot 33)</t>
  </si>
  <si>
    <t xml:space="preserve">Gain share (lot 34)</t>
  </si>
  <si>
    <t xml:space="preserve">Gain share (lot 35)</t>
  </si>
  <si>
    <t xml:space="preserve">Gain share (lot 36)</t>
  </si>
  <si>
    <t xml:space="preserve">Gain share (lot 37)</t>
  </si>
  <si>
    <t xml:space="preserve">Gain share (lot 38)</t>
  </si>
  <si>
    <t xml:space="preserve">Gain share (lot 39)</t>
  </si>
  <si>
    <t xml:space="preserve">Gain share (lot 40)</t>
  </si>
  <si>
    <t xml:space="preserve">Gain share (lot 41)</t>
  </si>
  <si>
    <t xml:space="preserve">Gain share (lot 42)</t>
  </si>
  <si>
    <t xml:space="preserve">Gain share (lot 43)</t>
  </si>
  <si>
    <t xml:space="preserve">Gain share (lot 44)</t>
  </si>
  <si>
    <t xml:space="preserve">Gain share (lot 45)</t>
  </si>
  <si>
    <t xml:space="preserve">Gain share (lot 46)</t>
  </si>
  <si>
    <t xml:space="preserve">Gain share (lot 47)</t>
  </si>
  <si>
    <t xml:space="preserve">Gain share (lot 48)</t>
  </si>
  <si>
    <t xml:space="preserve">Gain share (lot 49)</t>
  </si>
  <si>
    <t xml:space="preserve">Gain share (lot 50)</t>
  </si>
  <si>
    <t xml:space="preserve">Gain share (lot 51)</t>
  </si>
  <si>
    <t xml:space="preserve">Gain share (lot 52)</t>
  </si>
  <si>
    <t xml:space="preserve">Gain share (lot 53)</t>
  </si>
  <si>
    <t xml:space="preserve">Gain share (lot 54)</t>
  </si>
  <si>
    <t xml:space="preserve">Gain share (lot 55)</t>
  </si>
  <si>
    <t xml:space="preserve">Gain share (lot 56)</t>
  </si>
  <si>
    <t xml:space="preserve">Gain share (lot 57)</t>
  </si>
  <si>
    <t xml:space="preserve">Gain share (lot 58)</t>
  </si>
  <si>
    <t xml:space="preserve">Gain share (lot 59)</t>
  </si>
  <si>
    <t xml:space="preserve">Gain share (lot 60)</t>
  </si>
  <si>
    <t xml:space="preserve">Gain share (lot 61)</t>
  </si>
  <si>
    <t xml:space="preserve">Gain share (lot 62)</t>
  </si>
  <si>
    <t xml:space="preserve">Gain share (lot 63)</t>
  </si>
  <si>
    <t xml:space="preserve">Gain share (lot 64)</t>
  </si>
  <si>
    <t xml:space="preserve">Gain share (lot 65)</t>
  </si>
  <si>
    <t xml:space="preserve">Gain share (lot 66)</t>
  </si>
  <si>
    <t xml:space="preserve">Gain share (lot 67)</t>
  </si>
  <si>
    <t xml:space="preserve">Gain share (lot 68)</t>
  </si>
  <si>
    <t xml:space="preserve">Gain share (lot 69)</t>
  </si>
  <si>
    <t xml:space="preserve">Gain share (lot 70)</t>
  </si>
  <si>
    <t xml:space="preserve">Gain share (lot 71)</t>
  </si>
  <si>
    <t xml:space="preserve">Gain share (lot 72)</t>
  </si>
  <si>
    <t xml:space="preserve">Gain share (lot 73)</t>
  </si>
  <si>
    <t xml:space="preserve">Gain share (lot 74)</t>
  </si>
  <si>
    <t xml:space="preserve">Gain share (lot 75)</t>
  </si>
  <si>
    <t xml:space="preserve">Gain share (lot 76)</t>
  </si>
  <si>
    <t xml:space="preserve">Gain share (lot 77)</t>
  </si>
  <si>
    <t xml:space="preserve">Gain share (lot 78)</t>
  </si>
  <si>
    <t xml:space="preserve">Gain share (lot 79)</t>
  </si>
  <si>
    <t xml:space="preserve">Gain share (lot 80)</t>
  </si>
  <si>
    <t xml:space="preserve">Gain share (lot 81)</t>
  </si>
  <si>
    <t xml:space="preserve">Gain share (lot 82)</t>
  </si>
  <si>
    <t xml:space="preserve">Gain share (lot 83)</t>
  </si>
  <si>
    <t xml:space="preserve">Gain share (lot 84)</t>
  </si>
  <si>
    <t xml:space="preserve">Gain share (lot 85)</t>
  </si>
  <si>
    <t xml:space="preserve">Gain share (lot 86)</t>
  </si>
  <si>
    <t xml:space="preserve">Gain share (lot 87)</t>
  </si>
  <si>
    <t xml:space="preserve">Gain share (lot 88)</t>
  </si>
  <si>
    <t xml:space="preserve">Gain share (lot 89)</t>
  </si>
  <si>
    <t xml:space="preserve">Gain share (lot 90)</t>
  </si>
  <si>
    <t xml:space="preserve">Money if all sold (lot 0)</t>
  </si>
  <si>
    <t xml:space="preserve">Money if all sold (lot 1)</t>
  </si>
  <si>
    <t xml:space="preserve">Money if all sold (lot 2)</t>
  </si>
  <si>
    <t xml:space="preserve">Money if all sold (lot 3)</t>
  </si>
  <si>
    <t xml:space="preserve">Money if all sold (lot 4)</t>
  </si>
  <si>
    <t xml:space="preserve">Money if all sold (lot 5)</t>
  </si>
  <si>
    <t xml:space="preserve">Money if all sold (lot 6)</t>
  </si>
  <si>
    <t xml:space="preserve">Money if all sold (lot 7)</t>
  </si>
  <si>
    <t xml:space="preserve">Money if all sold (lot 8)</t>
  </si>
  <si>
    <t xml:space="preserve">Money if all sold (lot 9)</t>
  </si>
  <si>
    <t xml:space="preserve">Money if all sold (lot 10)</t>
  </si>
  <si>
    <t xml:space="preserve">Money if all sold (lot 11)</t>
  </si>
  <si>
    <t xml:space="preserve">Money if all sold (lot 12)</t>
  </si>
  <si>
    <t xml:space="preserve">Money if all sold (lot 13)</t>
  </si>
  <si>
    <t xml:space="preserve">Money if all sold (lot 14)</t>
  </si>
  <si>
    <t xml:space="preserve">Money if all sold (lot 15)</t>
  </si>
  <si>
    <t xml:space="preserve">Money if all sold (lot 16)</t>
  </si>
  <si>
    <t xml:space="preserve">Money if all sold (lot 17)</t>
  </si>
  <si>
    <t xml:space="preserve">Money if all sold (lot 18)</t>
  </si>
  <si>
    <t xml:space="preserve">Money if all sold (lot 19)</t>
  </si>
  <si>
    <t xml:space="preserve">Money if all sold (lot 20)</t>
  </si>
  <si>
    <t xml:space="preserve">Money if all sold (lot 21)</t>
  </si>
  <si>
    <t xml:space="preserve">Money if all sold (lot 22)</t>
  </si>
  <si>
    <t xml:space="preserve">Money if all sold (lot 23)</t>
  </si>
  <si>
    <t xml:space="preserve">Money if all sold (lot 24)</t>
  </si>
  <si>
    <t xml:space="preserve">Money if all sold (lot 25)</t>
  </si>
  <si>
    <t xml:space="preserve">Money if all sold (lot 26)</t>
  </si>
  <si>
    <t xml:space="preserve">Money if all sold (lot 27)</t>
  </si>
  <si>
    <t xml:space="preserve">Money if all sold (lot 28)</t>
  </si>
  <si>
    <t xml:space="preserve">Money if all sold (lot 29)</t>
  </si>
  <si>
    <t xml:space="preserve">Money if all sold (lot 30)</t>
  </si>
  <si>
    <t xml:space="preserve">Money if all sold (lot 31)</t>
  </si>
  <si>
    <t xml:space="preserve">Money if all sold (lot 32)</t>
  </si>
  <si>
    <t xml:space="preserve">Money if all sold (lot 33)</t>
  </si>
  <si>
    <t xml:space="preserve">Money if all sold (lot 34)</t>
  </si>
  <si>
    <t xml:space="preserve">Money if all sold (lot 35)</t>
  </si>
  <si>
    <t xml:space="preserve">Money if all sold (lot 36)</t>
  </si>
  <si>
    <t xml:space="preserve">Money if all sold (lot 37)</t>
  </si>
  <si>
    <t xml:space="preserve">Money if all sold (lot 38)</t>
  </si>
  <si>
    <t xml:space="preserve">Money if all sold (lot 39)</t>
  </si>
  <si>
    <t xml:space="preserve">Money if all sold (lot 40)</t>
  </si>
  <si>
    <t xml:space="preserve">Money if all sold (lot 41)</t>
  </si>
  <si>
    <t xml:space="preserve">Money if all sold (lot 42)</t>
  </si>
  <si>
    <t xml:space="preserve">Money if all sold (lot 43)</t>
  </si>
  <si>
    <t xml:space="preserve">Money if all sold (lot 44)</t>
  </si>
  <si>
    <t xml:space="preserve">Money if all sold (lot 45)</t>
  </si>
  <si>
    <t xml:space="preserve">Money if all sold (lot 46)</t>
  </si>
  <si>
    <t xml:space="preserve">Money if all sold (lot 47)</t>
  </si>
  <si>
    <t xml:space="preserve">Money if all sold (lot 48)</t>
  </si>
  <si>
    <t xml:space="preserve">Money if all sold (lot 49)</t>
  </si>
  <si>
    <t xml:space="preserve">Money if all sold (lot 50)</t>
  </si>
  <si>
    <t xml:space="preserve">Money if all sold (lot 51)</t>
  </si>
  <si>
    <t xml:space="preserve">Money if all sold (lot 52)</t>
  </si>
  <si>
    <t xml:space="preserve">Money if all sold (lot 53)</t>
  </si>
  <si>
    <t xml:space="preserve">Money if all sold (lot 54)</t>
  </si>
  <si>
    <t xml:space="preserve">Money if all sold (lot 55)</t>
  </si>
  <si>
    <t xml:space="preserve">Money if all sold (lot 56)</t>
  </si>
  <si>
    <t xml:space="preserve">Money if all sold (lot 57)</t>
  </si>
  <si>
    <t xml:space="preserve">Money if all sold (lot 58)</t>
  </si>
  <si>
    <t xml:space="preserve">Money if all sold (lot 59)</t>
  </si>
  <si>
    <t xml:space="preserve">Money if all sold (lot 60)</t>
  </si>
  <si>
    <t xml:space="preserve">Money if all sold (lot 61)</t>
  </si>
  <si>
    <t xml:space="preserve">Money if all sold (lot 62)</t>
  </si>
  <si>
    <t xml:space="preserve">Money if all sold (lot 63)</t>
  </si>
  <si>
    <t xml:space="preserve">Money if all sold (lot 64)</t>
  </si>
  <si>
    <t xml:space="preserve">Money if all sold (lot 65)</t>
  </si>
  <si>
    <t xml:space="preserve">Money if all sold (lot 66)</t>
  </si>
  <si>
    <t xml:space="preserve">Money if all sold (lot 67)</t>
  </si>
  <si>
    <t xml:space="preserve">Money if all sold (lot 68)</t>
  </si>
  <si>
    <t xml:space="preserve">Money if all sold (lot 69)</t>
  </si>
  <si>
    <t xml:space="preserve">Money if all sold (lot 70)</t>
  </si>
  <si>
    <t xml:space="preserve">Money if all sold (lot 71)</t>
  </si>
  <si>
    <t xml:space="preserve">Money if all sold (lot 72)</t>
  </si>
  <si>
    <t xml:space="preserve">Money if all sold (lot 73)</t>
  </si>
  <si>
    <t xml:space="preserve">Money if all sold (lot 74)</t>
  </si>
  <si>
    <t xml:space="preserve">Money if all sold (lot 75)</t>
  </si>
  <si>
    <t xml:space="preserve">Money if all sold (lot 76)</t>
  </si>
  <si>
    <t xml:space="preserve">Money if all sold (lot 77)</t>
  </si>
  <si>
    <t xml:space="preserve">Money if all sold (lot 78)</t>
  </si>
  <si>
    <t xml:space="preserve">Money if all sold (lot 79)</t>
  </si>
  <si>
    <t xml:space="preserve">Money if all sold (lot 80)</t>
  </si>
  <si>
    <t xml:space="preserve">Money if all sold (lot 81)</t>
  </si>
  <si>
    <t xml:space="preserve">Money if all sold (lot 82)</t>
  </si>
  <si>
    <t xml:space="preserve">Money if all sold (lot 83)</t>
  </si>
  <si>
    <t xml:space="preserve">Money if all sold (lot 84)</t>
  </si>
  <si>
    <t xml:space="preserve">Money if all sold (lot 85)</t>
  </si>
  <si>
    <t xml:space="preserve">Money if all sold (lot 86)</t>
  </si>
  <si>
    <t xml:space="preserve">Money if all sold (lot 87)</t>
  </si>
  <si>
    <t xml:space="preserve">Money if all sold (lot 88)</t>
  </si>
  <si>
    <t xml:space="preserve">Money if all sold (lot 89)</t>
  </si>
  <si>
    <t xml:space="preserve">Money if all sold (lot 90)</t>
  </si>
  <si>
    <t xml:space="preserve">Cap pass: exemption left (lot 0)</t>
  </si>
  <si>
    <t xml:space="preserve">Cap pass: exemption left (lot 1)</t>
  </si>
  <si>
    <t xml:space="preserve">Cap pass: exemption left (lot 2)</t>
  </si>
  <si>
    <t xml:space="preserve">Cap pass: exemption left (lot 3)</t>
  </si>
  <si>
    <t xml:space="preserve">Cap pass: exemption left (lot 4)</t>
  </si>
  <si>
    <t xml:space="preserve">Cap pass: exemption left (lot 5)</t>
  </si>
  <si>
    <t xml:space="preserve">Cap pass: exemption left (lot 6)</t>
  </si>
  <si>
    <t xml:space="preserve">Cap pass: exemption left (lot 7)</t>
  </si>
  <si>
    <t xml:space="preserve">Cap pass: exemption left (lot 8)</t>
  </si>
  <si>
    <t xml:space="preserve">Cap pass: exemption left (lot 9)</t>
  </si>
  <si>
    <t xml:space="preserve">Cap pass: exemption left (lot 10)</t>
  </si>
  <si>
    <t xml:space="preserve">Cap pass: exemption left (lot 11)</t>
  </si>
  <si>
    <t xml:space="preserve">Cap pass: exemption left (lot 12)</t>
  </si>
  <si>
    <t xml:space="preserve">Cap pass: exemption left (lot 13)</t>
  </si>
  <si>
    <t xml:space="preserve">Cap pass: exemption left (lot 14)</t>
  </si>
  <si>
    <t xml:space="preserve">Cap pass: exemption left (lot 15)</t>
  </si>
  <si>
    <t xml:space="preserve">Cap pass: exemption left (lot 16)</t>
  </si>
  <si>
    <t xml:space="preserve">Cap pass: exemption left (lot 17)</t>
  </si>
  <si>
    <t xml:space="preserve">Cap pass: exemption left (lot 18)</t>
  </si>
  <si>
    <t xml:space="preserve">Cap pass: exemption left (lot 19)</t>
  </si>
  <si>
    <t xml:space="preserve">Cap pass: exemption left (lot 20)</t>
  </si>
  <si>
    <t xml:space="preserve">Cap pass: exemption left (lot 21)</t>
  </si>
  <si>
    <t xml:space="preserve">Cap pass: exemption left (lot 22)</t>
  </si>
  <si>
    <t xml:space="preserve">Cap pass: exemption left (lot 23)</t>
  </si>
  <si>
    <t xml:space="preserve">Cap pass: exemption left (lot 24)</t>
  </si>
  <si>
    <t xml:space="preserve">Cap pass: exemption left (lot 25)</t>
  </si>
  <si>
    <t xml:space="preserve">Cap pass: exemption left (lot 26)</t>
  </si>
  <si>
    <t xml:space="preserve">Cap pass: exemption left (lot 27)</t>
  </si>
  <si>
    <t xml:space="preserve">Cap pass: exemption left (lot 28)</t>
  </si>
  <si>
    <t xml:space="preserve">Cap pass: exemption left (lot 29)</t>
  </si>
  <si>
    <t xml:space="preserve">Cap pass: exemption left (lot 30)</t>
  </si>
  <si>
    <t xml:space="preserve">Cap pass: exemption left (lot 31)</t>
  </si>
  <si>
    <t xml:space="preserve">Cap pass: exemption left (lot 32)</t>
  </si>
  <si>
    <t xml:space="preserve">Cap pass: exemption left (lot 33)</t>
  </si>
  <si>
    <t xml:space="preserve">Cap pass: exemption left (lot 34)</t>
  </si>
  <si>
    <t xml:space="preserve">Cap pass: exemption left (lot 35)</t>
  </si>
  <si>
    <t xml:space="preserve">Cap pass: exemption left (lot 36)</t>
  </si>
  <si>
    <t xml:space="preserve">Cap pass: exemption left (lot 37)</t>
  </si>
  <si>
    <t xml:space="preserve">Cap pass: exemption left (lot 38)</t>
  </si>
  <si>
    <t xml:space="preserve">Cap pass: exemption left (lot 39)</t>
  </si>
  <si>
    <t xml:space="preserve">Cap pass: exemption left (lot 40)</t>
  </si>
  <si>
    <t xml:space="preserve">Cap pass: exemption left (lot 41)</t>
  </si>
  <si>
    <t xml:space="preserve">Cap pass: exemption left (lot 42)</t>
  </si>
  <si>
    <t xml:space="preserve">Cap pass: exemption left (lot 43)</t>
  </si>
  <si>
    <t xml:space="preserve">Cap pass: exemption left (lot 44)</t>
  </si>
  <si>
    <t xml:space="preserve">Cap pass: exemption left (lot 45)</t>
  </si>
  <si>
    <t xml:space="preserve">Cap pass: exemption left (lot 46)</t>
  </si>
  <si>
    <t xml:space="preserve">Cap pass: exemption left (lot 47)</t>
  </si>
  <si>
    <t xml:space="preserve">Cap pass: exemption left (lot 48)</t>
  </si>
  <si>
    <t xml:space="preserve">Cap pass: exemption left (lot 49)</t>
  </si>
  <si>
    <t xml:space="preserve">Cap pass: exemption left (lot 50)</t>
  </si>
  <si>
    <t xml:space="preserve">Cap pass: exemption left (lot 51)</t>
  </si>
  <si>
    <t xml:space="preserve">Cap pass: exemption left (lot 52)</t>
  </si>
  <si>
    <t xml:space="preserve">Cap pass: exemption left (lot 53)</t>
  </si>
  <si>
    <t xml:space="preserve">Cap pass: exemption left (lot 54)</t>
  </si>
  <si>
    <t xml:space="preserve">Cap pass: exemption left (lot 55)</t>
  </si>
  <si>
    <t xml:space="preserve">Cap pass: exemption left (lot 56)</t>
  </si>
  <si>
    <t xml:space="preserve">Cap pass: exemption left (lot 57)</t>
  </si>
  <si>
    <t xml:space="preserve">Cap pass: exemption left (lot 58)</t>
  </si>
  <si>
    <t xml:space="preserve">Cap pass: exemption left (lot 59)</t>
  </si>
  <si>
    <t xml:space="preserve">Cap pass: exemption left (lot 60)</t>
  </si>
  <si>
    <t xml:space="preserve">Cap pass: exemption left (lot 61)</t>
  </si>
  <si>
    <t xml:space="preserve">Cap pass: exemption left (lot 62)</t>
  </si>
  <si>
    <t xml:space="preserve">Cap pass: exemption left (lot 63)</t>
  </si>
  <si>
    <t xml:space="preserve">Cap pass: exemption left (lot 64)</t>
  </si>
  <si>
    <t xml:space="preserve">Cap pass: exemption left (lot 65)</t>
  </si>
  <si>
    <t xml:space="preserve">Cap pass: exemption left (lot 66)</t>
  </si>
  <si>
    <t xml:space="preserve">Cap pass: exemption left (lot 67)</t>
  </si>
  <si>
    <t xml:space="preserve">Cap pass: exemption left (lot 68)</t>
  </si>
  <si>
    <t xml:space="preserve">Cap pass: exemption left (lot 69)</t>
  </si>
  <si>
    <t xml:space="preserve">Cap pass: exemption left (lot 70)</t>
  </si>
  <si>
    <t xml:space="preserve">Cap pass: exemption left (lot 71)</t>
  </si>
  <si>
    <t xml:space="preserve">Cap pass: exemption left (lot 72)</t>
  </si>
  <si>
    <t xml:space="preserve">Cap pass: exemption left (lot 73)</t>
  </si>
  <si>
    <t xml:space="preserve">Cap pass: exemption left (lot 74)</t>
  </si>
  <si>
    <t xml:space="preserve">Cap pass: exemption left (lot 75)</t>
  </si>
  <si>
    <t xml:space="preserve">Cap pass: exemption left (lot 76)</t>
  </si>
  <si>
    <t xml:space="preserve">Cap pass: exemption left (lot 77)</t>
  </si>
  <si>
    <t xml:space="preserve">Cap pass: exemption left (lot 78)</t>
  </si>
  <si>
    <t xml:space="preserve">Cap pass: exemption left (lot 79)</t>
  </si>
  <si>
    <t xml:space="preserve">Cap pass: exemption left (lot 80)</t>
  </si>
  <si>
    <t xml:space="preserve">Cap pass: exemption left (lot 81)</t>
  </si>
  <si>
    <t xml:space="preserve">Cap pass: exemption left (lot 82)</t>
  </si>
  <si>
    <t xml:space="preserve">Cap pass: exemption left (lot 83)</t>
  </si>
  <si>
    <t xml:space="preserve">Cap pass: exemption left (lot 84)</t>
  </si>
  <si>
    <t xml:space="preserve">Cap pass: exemption left (lot 85)</t>
  </si>
  <si>
    <t xml:space="preserve">Cap pass: exemption left (lot 86)</t>
  </si>
  <si>
    <t xml:space="preserve">Cap pass: exemption left (lot 87)</t>
  </si>
  <si>
    <t xml:space="preserve">Cap pass: exemption left (lot 88)</t>
  </si>
  <si>
    <t xml:space="preserve">Cap pass: exemption left (lot 89)</t>
  </si>
  <si>
    <t xml:space="preserve">Cap pass: exemption left (lot 90)</t>
  </si>
  <si>
    <t xml:space="preserve">Cap pass: losses (lot 0)</t>
  </si>
  <si>
    <t xml:space="preserve">Cap pass: losses (lot 1)</t>
  </si>
  <si>
    <t xml:space="preserve">Cap pass: losses (lot 2)</t>
  </si>
  <si>
    <t xml:space="preserve">Cap pass: losses (lot 3)</t>
  </si>
  <si>
    <t xml:space="preserve">Cap pass: losses (lot 4)</t>
  </si>
  <si>
    <t xml:space="preserve">Cap pass: losses (lot 5)</t>
  </si>
  <si>
    <t xml:space="preserve">Cap pass: losses (lot 6)</t>
  </si>
  <si>
    <t xml:space="preserve">Cap pass: losses (lot 7)</t>
  </si>
  <si>
    <t xml:space="preserve">Cap pass: losses (lot 8)</t>
  </si>
  <si>
    <t xml:space="preserve">Cap pass: losses (lot 9)</t>
  </si>
  <si>
    <t xml:space="preserve">Cap pass: losses (lot 10)</t>
  </si>
  <si>
    <t xml:space="preserve">Cap pass: losses (lot 11)</t>
  </si>
  <si>
    <t xml:space="preserve">Cap pass: losses (lot 12)</t>
  </si>
  <si>
    <t xml:space="preserve">Cap pass: losses (lot 13)</t>
  </si>
  <si>
    <t xml:space="preserve">Cap pass: losses (lot 14)</t>
  </si>
  <si>
    <t xml:space="preserve">Cap pass: losses (lot 15)</t>
  </si>
  <si>
    <t xml:space="preserve">Cap pass: losses (lot 16)</t>
  </si>
  <si>
    <t xml:space="preserve">Cap pass: losses (lot 17)</t>
  </si>
  <si>
    <t xml:space="preserve">Cap pass: losses (lot 18)</t>
  </si>
  <si>
    <t xml:space="preserve">Cap pass: losses (lot 19)</t>
  </si>
  <si>
    <t xml:space="preserve">Cap pass: losses (lot 20)</t>
  </si>
  <si>
    <t xml:space="preserve">Cap pass: losses (lot 21)</t>
  </si>
  <si>
    <t xml:space="preserve">Cap pass: losses (lot 22)</t>
  </si>
  <si>
    <t xml:space="preserve">Cap pass: losses (lot 23)</t>
  </si>
  <si>
    <t xml:space="preserve">Cap pass: losses (lot 24)</t>
  </si>
  <si>
    <t xml:space="preserve">Cap pass: losses (lot 25)</t>
  </si>
  <si>
    <t xml:space="preserve">Cap pass: losses (lot 26)</t>
  </si>
  <si>
    <t xml:space="preserve">Cap pass: losses (lot 27)</t>
  </si>
  <si>
    <t xml:space="preserve">Cap pass: losses (lot 28)</t>
  </si>
  <si>
    <t xml:space="preserve">Cap pass: losses (lot 29)</t>
  </si>
  <si>
    <t xml:space="preserve">Cap pass: losses (lot 30)</t>
  </si>
  <si>
    <t xml:space="preserve">Cap pass: losses (lot 31)</t>
  </si>
  <si>
    <t xml:space="preserve">Cap pass: losses (lot 32)</t>
  </si>
  <si>
    <t xml:space="preserve">Cap pass: losses (lot 33)</t>
  </si>
  <si>
    <t xml:space="preserve">Cap pass: losses (lot 34)</t>
  </si>
  <si>
    <t xml:space="preserve">Cap pass: losses (lot 35)</t>
  </si>
  <si>
    <t xml:space="preserve">Cap pass: losses (lot 36)</t>
  </si>
  <si>
    <t xml:space="preserve">Cap pass: losses (lot 37)</t>
  </si>
  <si>
    <t xml:space="preserve">Cap pass: losses (lot 38)</t>
  </si>
  <si>
    <t xml:space="preserve">Cap pass: losses (lot 39)</t>
  </si>
  <si>
    <t xml:space="preserve">Cap pass: losses (lot 40)</t>
  </si>
  <si>
    <t xml:space="preserve">Cap pass: losses (lot 41)</t>
  </si>
  <si>
    <t xml:space="preserve">Cap pass: losses (lot 42)</t>
  </si>
  <si>
    <t xml:space="preserve">Cap pass: losses (lot 43)</t>
  </si>
  <si>
    <t xml:space="preserve">Cap pass: losses (lot 44)</t>
  </si>
  <si>
    <t xml:space="preserve">Cap pass: losses (lot 45)</t>
  </si>
  <si>
    <t xml:space="preserve">Cap pass: losses (lot 46)</t>
  </si>
  <si>
    <t xml:space="preserve">Cap pass: losses (lot 47)</t>
  </si>
  <si>
    <t xml:space="preserve">Cap pass: losses (lot 48)</t>
  </si>
  <si>
    <t xml:space="preserve">Cap pass: losses (lot 49)</t>
  </si>
  <si>
    <t xml:space="preserve">Cap pass: losses (lot 50)</t>
  </si>
  <si>
    <t xml:space="preserve">Cap pass: losses (lot 51)</t>
  </si>
  <si>
    <t xml:space="preserve">Cap pass: losses (lot 52)</t>
  </si>
  <si>
    <t xml:space="preserve">Cap pass: losses (lot 53)</t>
  </si>
  <si>
    <t xml:space="preserve">Cap pass: losses (lot 54)</t>
  </si>
  <si>
    <t xml:space="preserve">Cap pass: losses (lot 55)</t>
  </si>
  <si>
    <t xml:space="preserve">Cap pass: losses (lot 56)</t>
  </si>
  <si>
    <t xml:space="preserve">Cap pass: losses (lot 57)</t>
  </si>
  <si>
    <t xml:space="preserve">Cap pass: losses (lot 58)</t>
  </si>
  <si>
    <t xml:space="preserve">Cap pass: losses (lot 59)</t>
  </si>
  <si>
    <t xml:space="preserve">Cap pass: losses (lot 60)</t>
  </si>
  <si>
    <t xml:space="preserve">Cap pass: losses (lot 61)</t>
  </si>
  <si>
    <t xml:space="preserve">Cap pass: losses (lot 62)</t>
  </si>
  <si>
    <t xml:space="preserve">Cap pass: losses (lot 63)</t>
  </si>
  <si>
    <t xml:space="preserve">Cap pass: losses (lot 64)</t>
  </si>
  <si>
    <t xml:space="preserve">Cap pass: losses (lot 65)</t>
  </si>
  <si>
    <t xml:space="preserve">Cap pass: losses (lot 66)</t>
  </si>
  <si>
    <t xml:space="preserve">Cap pass: losses (lot 67)</t>
  </si>
  <si>
    <t xml:space="preserve">Cap pass: losses (lot 68)</t>
  </si>
  <si>
    <t xml:space="preserve">Cap pass: losses (lot 69)</t>
  </si>
  <si>
    <t xml:space="preserve">Cap pass: losses (lot 70)</t>
  </si>
  <si>
    <t xml:space="preserve">Cap pass: losses (lot 71)</t>
  </si>
  <si>
    <t xml:space="preserve">Cap pass: losses (lot 72)</t>
  </si>
  <si>
    <t xml:space="preserve">Cap pass: losses (lot 73)</t>
  </si>
  <si>
    <t xml:space="preserve">Cap pass: losses (lot 74)</t>
  </si>
  <si>
    <t xml:space="preserve">Cap pass: losses (lot 75)</t>
  </si>
  <si>
    <t xml:space="preserve">Cap pass: losses (lot 76)</t>
  </si>
  <si>
    <t xml:space="preserve">Cap pass: losses (lot 77)</t>
  </si>
  <si>
    <t xml:space="preserve">Cap pass: losses (lot 78)</t>
  </si>
  <si>
    <t xml:space="preserve">Cap pass: losses (lot 79)</t>
  </si>
  <si>
    <t xml:space="preserve">Cap pass: losses (lot 80)</t>
  </si>
  <si>
    <t xml:space="preserve">Cap pass: losses (lot 81)</t>
  </si>
  <si>
    <t xml:space="preserve">Cap pass: losses (lot 82)</t>
  </si>
  <si>
    <t xml:space="preserve">Cap pass: losses (lot 83)</t>
  </si>
  <si>
    <t xml:space="preserve">Cap pass: losses (lot 84)</t>
  </si>
  <si>
    <t xml:space="preserve">Cap pass: losses (lot 85)</t>
  </si>
  <si>
    <t xml:space="preserve">Cap pass: losses (lot 86)</t>
  </si>
  <si>
    <t xml:space="preserve">Cap pass: losses (lot 87)</t>
  </si>
  <si>
    <t xml:space="preserve">Cap pass: losses (lot 88)</t>
  </si>
  <si>
    <t xml:space="preserve">Cap pass: losses (lot 89)</t>
  </si>
  <si>
    <t xml:space="preserve">Cap pass: losses (lot 90)</t>
  </si>
  <si>
    <t xml:space="preserve">Received (lot 0)</t>
  </si>
  <si>
    <t xml:space="preserve">Received (lot 1)</t>
  </si>
  <si>
    <t xml:space="preserve">Received (lot 2)</t>
  </si>
  <si>
    <t xml:space="preserve">Received (lot 3)</t>
  </si>
  <si>
    <t xml:space="preserve">Received (lot 4)</t>
  </si>
  <si>
    <t xml:space="preserve">Received (lot 5)</t>
  </si>
  <si>
    <t xml:space="preserve">Received (lot 6)</t>
  </si>
  <si>
    <t xml:space="preserve">Received (lot 7)</t>
  </si>
  <si>
    <t xml:space="preserve">Received (lot 8)</t>
  </si>
  <si>
    <t xml:space="preserve">Received (lot 9)</t>
  </si>
  <si>
    <t xml:space="preserve">Received (lot 10)</t>
  </si>
  <si>
    <t xml:space="preserve">Received (lot 11)</t>
  </si>
  <si>
    <t xml:space="preserve">Received (lot 12)</t>
  </si>
  <si>
    <t xml:space="preserve">Received (lot 13)</t>
  </si>
  <si>
    <t xml:space="preserve">Received (lot 14)</t>
  </si>
  <si>
    <t xml:space="preserve">Received (lot 15)</t>
  </si>
  <si>
    <t xml:space="preserve">Received (lot 16)</t>
  </si>
  <si>
    <t xml:space="preserve">Received (lot 17)</t>
  </si>
  <si>
    <t xml:space="preserve">Received (lot 18)</t>
  </si>
  <si>
    <t xml:space="preserve">Received (lot 19)</t>
  </si>
  <si>
    <t xml:space="preserve">Received (lot 20)</t>
  </si>
  <si>
    <t xml:space="preserve">Received (lot 21)</t>
  </si>
  <si>
    <t xml:space="preserve">Received (lot 22)</t>
  </si>
  <si>
    <t xml:space="preserve">Received (lot 23)</t>
  </si>
  <si>
    <t xml:space="preserve">Received (lot 24)</t>
  </si>
  <si>
    <t xml:space="preserve">Received (lot 25)</t>
  </si>
  <si>
    <t xml:space="preserve">Received (lot 26)</t>
  </si>
  <si>
    <t xml:space="preserve">Received (lot 27)</t>
  </si>
  <si>
    <t xml:space="preserve">Received (lot 28)</t>
  </si>
  <si>
    <t xml:space="preserve">Received (lot 29)</t>
  </si>
  <si>
    <t xml:space="preserve">Received (lot 30)</t>
  </si>
  <si>
    <t xml:space="preserve">Received (lot 31)</t>
  </si>
  <si>
    <t xml:space="preserve">Received (lot 32)</t>
  </si>
  <si>
    <t xml:space="preserve">Received (lot 33)</t>
  </si>
  <si>
    <t xml:space="preserve">Received (lot 34)</t>
  </si>
  <si>
    <t xml:space="preserve">Received (lot 35)</t>
  </si>
  <si>
    <t xml:space="preserve">Received (lot 36)</t>
  </si>
  <si>
    <t xml:space="preserve">Received (lot 37)</t>
  </si>
  <si>
    <t xml:space="preserve">Received (lot 38)</t>
  </si>
  <si>
    <t xml:space="preserve">Received (lot 39)</t>
  </si>
  <si>
    <t xml:space="preserve">Received (lot 40)</t>
  </si>
  <si>
    <t xml:space="preserve">Received (lot 41)</t>
  </si>
  <si>
    <t xml:space="preserve">Received (lot 42)</t>
  </si>
  <si>
    <t xml:space="preserve">Received (lot 43)</t>
  </si>
  <si>
    <t xml:space="preserve">Received (lot 44)</t>
  </si>
  <si>
    <t xml:space="preserve">Received (lot 45)</t>
  </si>
  <si>
    <t xml:space="preserve">Received (lot 46)</t>
  </si>
  <si>
    <t xml:space="preserve">Received (lot 47)</t>
  </si>
  <si>
    <t xml:space="preserve">Received (lot 48)</t>
  </si>
  <si>
    <t xml:space="preserve">Received (lot 49)</t>
  </si>
  <si>
    <t xml:space="preserve">Received (lot 50)</t>
  </si>
  <si>
    <t xml:space="preserve">Received (lot 51)</t>
  </si>
  <si>
    <t xml:space="preserve">Received (lot 52)</t>
  </si>
  <si>
    <t xml:space="preserve">Received (lot 53)</t>
  </si>
  <si>
    <t xml:space="preserve">Received (lot 54)</t>
  </si>
  <si>
    <t xml:space="preserve">Received (lot 55)</t>
  </si>
  <si>
    <t xml:space="preserve">Received (lot 56)</t>
  </si>
  <si>
    <t xml:space="preserve">Received (lot 57)</t>
  </si>
  <si>
    <t xml:space="preserve">Received (lot 58)</t>
  </si>
  <si>
    <t xml:space="preserve">Received (lot 59)</t>
  </si>
  <si>
    <t xml:space="preserve">Received (lot 60)</t>
  </si>
  <si>
    <t xml:space="preserve">Received (lot 61)</t>
  </si>
  <si>
    <t xml:space="preserve">Received (lot 62)</t>
  </si>
  <si>
    <t xml:space="preserve">Received (lot 63)</t>
  </si>
  <si>
    <t xml:space="preserve">Received (lot 64)</t>
  </si>
  <si>
    <t xml:space="preserve">Received (lot 65)</t>
  </si>
  <si>
    <t xml:space="preserve">Received (lot 66)</t>
  </si>
  <si>
    <t xml:space="preserve">Received (lot 67)</t>
  </si>
  <si>
    <t xml:space="preserve">Received (lot 68)</t>
  </si>
  <si>
    <t xml:space="preserve">Received (lot 69)</t>
  </si>
  <si>
    <t xml:space="preserve">Received (lot 70)</t>
  </si>
  <si>
    <t xml:space="preserve">Received (lot 71)</t>
  </si>
  <si>
    <t xml:space="preserve">Received (lot 72)</t>
  </si>
  <si>
    <t xml:space="preserve">Received (lot 73)</t>
  </si>
  <si>
    <t xml:space="preserve">Received (lot 74)</t>
  </si>
  <si>
    <t xml:space="preserve">Received (lot 75)</t>
  </si>
  <si>
    <t xml:space="preserve">Received (lot 76)</t>
  </si>
  <si>
    <t xml:space="preserve">Received (lot 77)</t>
  </si>
  <si>
    <t xml:space="preserve">Received (lot 78)</t>
  </si>
  <si>
    <t xml:space="preserve">Received (lot 79)</t>
  </si>
  <si>
    <t xml:space="preserve">Received (lot 80)</t>
  </si>
  <si>
    <t xml:space="preserve">Received (lot 81)</t>
  </si>
  <si>
    <t xml:space="preserve">Received (lot 82)</t>
  </si>
  <si>
    <t xml:space="preserve">Received (lot 83)</t>
  </si>
  <si>
    <t xml:space="preserve">Received (lot 84)</t>
  </si>
  <si>
    <t xml:space="preserve">Received (lot 85)</t>
  </si>
  <si>
    <t xml:space="preserve">Received (lot 86)</t>
  </si>
  <si>
    <t xml:space="preserve">Received (lot 87)</t>
  </si>
  <si>
    <t xml:space="preserve">Received (lot 88)</t>
  </si>
  <si>
    <t xml:space="preserve">Received (lot 89)</t>
  </si>
  <si>
    <t xml:space="preserve">Received (lot 90)</t>
  </si>
  <si>
    <t xml:space="preserve">Sold (value) (lot 0)</t>
  </si>
  <si>
    <t xml:space="preserve">Sold (value) (lot 1)</t>
  </si>
  <si>
    <t xml:space="preserve">Sold (value) (lot 2)</t>
  </si>
  <si>
    <t xml:space="preserve">Sold (value) (lot 3)</t>
  </si>
  <si>
    <t xml:space="preserve">Sold (value) (lot 4)</t>
  </si>
  <si>
    <t xml:space="preserve">Sold (value) (lot 5)</t>
  </si>
  <si>
    <t xml:space="preserve">Sold (value) (lot 6)</t>
  </si>
  <si>
    <t xml:space="preserve">Sold (value) (lot 7)</t>
  </si>
  <si>
    <t xml:space="preserve">Sold (value) (lot 8)</t>
  </si>
  <si>
    <t xml:space="preserve">Sold (value) (lot 9)</t>
  </si>
  <si>
    <t xml:space="preserve">Sold (value) (lot 10)</t>
  </si>
  <si>
    <t xml:space="preserve">Sold (value) (lot 11)</t>
  </si>
  <si>
    <t xml:space="preserve">Sold (value) (lot 12)</t>
  </si>
  <si>
    <t xml:space="preserve">Sold (value) (lot 13)</t>
  </si>
  <si>
    <t xml:space="preserve">Sold (value) (lot 14)</t>
  </si>
  <si>
    <t xml:space="preserve">Sold (value) (lot 15)</t>
  </si>
  <si>
    <t xml:space="preserve">Sold (value) (lot 16)</t>
  </si>
  <si>
    <t xml:space="preserve">Sold (value) (lot 17)</t>
  </si>
  <si>
    <t xml:space="preserve">Sold (value) (lot 18)</t>
  </si>
  <si>
    <t xml:space="preserve">Sold (value) (lot 19)</t>
  </si>
  <si>
    <t xml:space="preserve">Sold (value) (lot 20)</t>
  </si>
  <si>
    <t xml:space="preserve">Sold (value) (lot 21)</t>
  </si>
  <si>
    <t xml:space="preserve">Sold (value) (lot 22)</t>
  </si>
  <si>
    <t xml:space="preserve">Sold (value) (lot 23)</t>
  </si>
  <si>
    <t xml:space="preserve">Sold (value) (lot 24)</t>
  </si>
  <si>
    <t xml:space="preserve">Sold (value) (lot 25)</t>
  </si>
  <si>
    <t xml:space="preserve">Sold (value) (lot 26)</t>
  </si>
  <si>
    <t xml:space="preserve">Sold (value) (lot 27)</t>
  </si>
  <si>
    <t xml:space="preserve">Sold (value) (lot 28)</t>
  </si>
  <si>
    <t xml:space="preserve">Sold (value) (lot 29)</t>
  </si>
  <si>
    <t xml:space="preserve">Sold (value) (lot 30)</t>
  </si>
  <si>
    <t xml:space="preserve">Sold (value) (lot 31)</t>
  </si>
  <si>
    <t xml:space="preserve">Sold (value) (lot 32)</t>
  </si>
  <si>
    <t xml:space="preserve">Sold (value) (lot 33)</t>
  </si>
  <si>
    <t xml:space="preserve">Sold (value) (lot 34)</t>
  </si>
  <si>
    <t xml:space="preserve">Sold (value) (lot 35)</t>
  </si>
  <si>
    <t xml:space="preserve">Sold (value) (lot 36)</t>
  </si>
  <si>
    <t xml:space="preserve">Sold (value) (lot 37)</t>
  </si>
  <si>
    <t xml:space="preserve">Sold (value) (lot 38)</t>
  </si>
  <si>
    <t xml:space="preserve">Sold (value) (lot 39)</t>
  </si>
  <si>
    <t xml:space="preserve">Sold (value) (lot 40)</t>
  </si>
  <si>
    <t xml:space="preserve">Sold (value) (lot 41)</t>
  </si>
  <si>
    <t xml:space="preserve">Sold (value) (lot 42)</t>
  </si>
  <si>
    <t xml:space="preserve">Sold (value) (lot 43)</t>
  </si>
  <si>
    <t xml:space="preserve">Sold (value) (lot 44)</t>
  </si>
  <si>
    <t xml:space="preserve">Sold (value) (lot 45)</t>
  </si>
  <si>
    <t xml:space="preserve">Sold (value) (lot 46)</t>
  </si>
  <si>
    <t xml:space="preserve">Sold (value) (lot 47)</t>
  </si>
  <si>
    <t xml:space="preserve">Sold (value) (lot 48)</t>
  </si>
  <si>
    <t xml:space="preserve">Sold (value) (lot 49)</t>
  </si>
  <si>
    <t xml:space="preserve">Sold (value) (lot 50)</t>
  </si>
  <si>
    <t xml:space="preserve">Sold (value) (lot 51)</t>
  </si>
  <si>
    <t xml:space="preserve">Sold (value) (lot 52)</t>
  </si>
  <si>
    <t xml:space="preserve">Sold (value) (lot 53)</t>
  </si>
  <si>
    <t xml:space="preserve">Sold (value) (lot 54)</t>
  </si>
  <si>
    <t xml:space="preserve">Sold (value) (lot 55)</t>
  </si>
  <si>
    <t xml:space="preserve">Sold (value) (lot 56)</t>
  </si>
  <si>
    <t xml:space="preserve">Sold (value) (lot 57)</t>
  </si>
  <si>
    <t xml:space="preserve">Sold (value) (lot 58)</t>
  </si>
  <si>
    <t xml:space="preserve">Sold (value) (lot 59)</t>
  </si>
  <si>
    <t xml:space="preserve">Sold (value) (lot 60)</t>
  </si>
  <si>
    <t xml:space="preserve">Sold (value) (lot 61)</t>
  </si>
  <si>
    <t xml:space="preserve">Sold (value) (lot 62)</t>
  </si>
  <si>
    <t xml:space="preserve">Sold (value) (lot 63)</t>
  </si>
  <si>
    <t xml:space="preserve">Sold (value) (lot 64)</t>
  </si>
  <si>
    <t xml:space="preserve">Sold (value) (lot 65)</t>
  </si>
  <si>
    <t xml:space="preserve">Sold (value) (lot 66)</t>
  </si>
  <si>
    <t xml:space="preserve">Sold (value) (lot 67)</t>
  </si>
  <si>
    <t xml:space="preserve">Sold (value) (lot 68)</t>
  </si>
  <si>
    <t xml:space="preserve">Sold (value) (lot 69)</t>
  </si>
  <si>
    <t xml:space="preserve">Sold (value) (lot 70)</t>
  </si>
  <si>
    <t xml:space="preserve">Sold (value) (lot 71)</t>
  </si>
  <si>
    <t xml:space="preserve">Sold (value) (lot 72)</t>
  </si>
  <si>
    <t xml:space="preserve">Sold (value) (lot 73)</t>
  </si>
  <si>
    <t xml:space="preserve">Sold (value) (lot 74)</t>
  </si>
  <si>
    <t xml:space="preserve">Sold (value) (lot 75)</t>
  </si>
  <si>
    <t xml:space="preserve">Sold (value) (lot 76)</t>
  </si>
  <si>
    <t xml:space="preserve">Sold (value) (lot 77)</t>
  </si>
  <si>
    <t xml:space="preserve">Sold (value) (lot 78)</t>
  </si>
  <si>
    <t xml:space="preserve">Sold (value) (lot 79)</t>
  </si>
  <si>
    <t xml:space="preserve">Sold (value) (lot 80)</t>
  </si>
  <si>
    <t xml:space="preserve">Sold (value) (lot 81)</t>
  </si>
  <si>
    <t xml:space="preserve">Sold (value) (lot 82)</t>
  </si>
  <si>
    <t xml:space="preserve">Sold (value) (lot 83)</t>
  </si>
  <si>
    <t xml:space="preserve">Sold (value) (lot 84)</t>
  </si>
  <si>
    <t xml:space="preserve">Sold (value) (lot 85)</t>
  </si>
  <si>
    <t xml:space="preserve">Sold (value) (lot 86)</t>
  </si>
  <si>
    <t xml:space="preserve">Sold (value) (lot 87)</t>
  </si>
  <si>
    <t xml:space="preserve">Sold (value) (lot 88)</t>
  </si>
  <si>
    <t xml:space="preserve">Sold (value) (lot 89)</t>
  </si>
  <si>
    <t xml:space="preserve">Sold (value) (lot 90)</t>
  </si>
  <si>
    <t xml:space="preserve">Exemption left (lot 0)</t>
  </si>
  <si>
    <t xml:space="preserve">Exemption left (lot 1)</t>
  </si>
  <si>
    <t xml:space="preserve">Exemption left (lot 2)</t>
  </si>
  <si>
    <t xml:space="preserve">Exemption left (lot 3)</t>
  </si>
  <si>
    <t xml:space="preserve">Exemption left (lot 4)</t>
  </si>
  <si>
    <t xml:space="preserve">Exemption left (lot 5)</t>
  </si>
  <si>
    <t xml:space="preserve">Exemption left (lot 6)</t>
  </si>
  <si>
    <t xml:space="preserve">Exemption left (lot 7)</t>
  </si>
  <si>
    <t xml:space="preserve">Exemption left (lot 8)</t>
  </si>
  <si>
    <t xml:space="preserve">Exemption left (lot 9)</t>
  </si>
  <si>
    <t xml:space="preserve">Exemption left (lot 10)</t>
  </si>
  <si>
    <t xml:space="preserve">Exemption left (lot 11)</t>
  </si>
  <si>
    <t xml:space="preserve">Exemption left (lot 12)</t>
  </si>
  <si>
    <t xml:space="preserve">Exemption left (lot 13)</t>
  </si>
  <si>
    <t xml:space="preserve">Exemption left (lot 14)</t>
  </si>
  <si>
    <t xml:space="preserve">Exemption left (lot 15)</t>
  </si>
  <si>
    <t xml:space="preserve">Exemption left (lot 16)</t>
  </si>
  <si>
    <t xml:space="preserve">Exemption left (lot 17)</t>
  </si>
  <si>
    <t xml:space="preserve">Exemption left (lot 18)</t>
  </si>
  <si>
    <t xml:space="preserve">Exemption left (lot 19)</t>
  </si>
  <si>
    <t xml:space="preserve">Exemption left (lot 20)</t>
  </si>
  <si>
    <t xml:space="preserve">Exemption left (lot 21)</t>
  </si>
  <si>
    <t xml:space="preserve">Exemption left (lot 22)</t>
  </si>
  <si>
    <t xml:space="preserve">Exemption left (lot 23)</t>
  </si>
  <si>
    <t xml:space="preserve">Exemption left (lot 24)</t>
  </si>
  <si>
    <t xml:space="preserve">Exemption left (lot 25)</t>
  </si>
  <si>
    <t xml:space="preserve">Exemption left (lot 26)</t>
  </si>
  <si>
    <t xml:space="preserve">Exemption left (lot 27)</t>
  </si>
  <si>
    <t xml:space="preserve">Exemption left (lot 28)</t>
  </si>
  <si>
    <t xml:space="preserve">Exemption left (lot 29)</t>
  </si>
  <si>
    <t xml:space="preserve">Exemption left (lot 30)</t>
  </si>
  <si>
    <t xml:space="preserve">Exemption left (lot 31)</t>
  </si>
  <si>
    <t xml:space="preserve">Exemption left (lot 32)</t>
  </si>
  <si>
    <t xml:space="preserve">Exemption left (lot 33)</t>
  </si>
  <si>
    <t xml:space="preserve">Exemption left (lot 34)</t>
  </si>
  <si>
    <t xml:space="preserve">Exemption left (lot 35)</t>
  </si>
  <si>
    <t xml:space="preserve">Exemption left (lot 36)</t>
  </si>
  <si>
    <t xml:space="preserve">Exemption left (lot 37)</t>
  </si>
  <si>
    <t xml:space="preserve">Exemption left (lot 38)</t>
  </si>
  <si>
    <t xml:space="preserve">Exemption left (lot 39)</t>
  </si>
  <si>
    <t xml:space="preserve">Exemption left (lot 40)</t>
  </si>
  <si>
    <t xml:space="preserve">Exemption left (lot 41)</t>
  </si>
  <si>
    <t xml:space="preserve">Exemption left (lot 42)</t>
  </si>
  <si>
    <t xml:space="preserve">Exemption left (lot 43)</t>
  </si>
  <si>
    <t xml:space="preserve">Exemption left (lot 44)</t>
  </si>
  <si>
    <t xml:space="preserve">Exemption left (lot 45)</t>
  </si>
  <si>
    <t xml:space="preserve">Exemption left (lot 46)</t>
  </si>
  <si>
    <t xml:space="preserve">Exemption left (lot 47)</t>
  </si>
  <si>
    <t xml:space="preserve">Exemption left (lot 48)</t>
  </si>
  <si>
    <t xml:space="preserve">Exemption left (lot 49)</t>
  </si>
  <si>
    <t xml:space="preserve">Exemption left (lot 50)</t>
  </si>
  <si>
    <t xml:space="preserve">Exemption left (lot 51)</t>
  </si>
  <si>
    <t xml:space="preserve">Exemption left (lot 52)</t>
  </si>
  <si>
    <t xml:space="preserve">Exemption left (lot 53)</t>
  </si>
  <si>
    <t xml:space="preserve">Exemption left (lot 54)</t>
  </si>
  <si>
    <t xml:space="preserve">Exemption left (lot 55)</t>
  </si>
  <si>
    <t xml:space="preserve">Exemption left (lot 56)</t>
  </si>
  <si>
    <t xml:space="preserve">Exemption left (lot 57)</t>
  </si>
  <si>
    <t xml:space="preserve">Exemption left (lot 58)</t>
  </si>
  <si>
    <t xml:space="preserve">Exemption left (lot 59)</t>
  </si>
  <si>
    <t xml:space="preserve">Exemption left (lot 60)</t>
  </si>
  <si>
    <t xml:space="preserve">Exemption left (lot 61)</t>
  </si>
  <si>
    <t xml:space="preserve">Exemption left (lot 62)</t>
  </si>
  <si>
    <t xml:space="preserve">Exemption left (lot 63)</t>
  </si>
  <si>
    <t xml:space="preserve">Exemption left (lot 64)</t>
  </si>
  <si>
    <t xml:space="preserve">Exemption left (lot 65)</t>
  </si>
  <si>
    <t xml:space="preserve">Exemption left (lot 66)</t>
  </si>
  <si>
    <t xml:space="preserve">Exemption left (lot 67)</t>
  </si>
  <si>
    <t xml:space="preserve">Exemption left (lot 68)</t>
  </si>
  <si>
    <t xml:space="preserve">Exemption left (lot 69)</t>
  </si>
  <si>
    <t xml:space="preserve">Exemption left (lot 70)</t>
  </si>
  <si>
    <t xml:space="preserve">Exemption left (lot 71)</t>
  </si>
  <si>
    <t xml:space="preserve">Exemption left (lot 72)</t>
  </si>
  <si>
    <t xml:space="preserve">Exemption left (lot 73)</t>
  </si>
  <si>
    <t xml:space="preserve">Exemption left (lot 74)</t>
  </si>
  <si>
    <t xml:space="preserve">Exemption left (lot 75)</t>
  </si>
  <si>
    <t xml:space="preserve">Exemption left (lot 76)</t>
  </si>
  <si>
    <t xml:space="preserve">Exemption left (lot 77)</t>
  </si>
  <si>
    <t xml:space="preserve">Exemption left (lot 78)</t>
  </si>
  <si>
    <t xml:space="preserve">Exemption left (lot 79)</t>
  </si>
  <si>
    <t xml:space="preserve">Exemption left (lot 80)</t>
  </si>
  <si>
    <t xml:space="preserve">Exemption left (lot 81)</t>
  </si>
  <si>
    <t xml:space="preserve">Exemption left (lot 82)</t>
  </si>
  <si>
    <t xml:space="preserve">Exemption left (lot 83)</t>
  </si>
  <si>
    <t xml:space="preserve">Exemption left (lot 84)</t>
  </si>
  <si>
    <t xml:space="preserve">Exemption left (lot 85)</t>
  </si>
  <si>
    <t xml:space="preserve">Exemption left (lot 86)</t>
  </si>
  <si>
    <t xml:space="preserve">Exemption left (lot 87)</t>
  </si>
  <si>
    <t xml:space="preserve">Exemption left (lot 88)</t>
  </si>
  <si>
    <t xml:space="preserve">Exemption left (lot 89)</t>
  </si>
  <si>
    <t xml:space="preserve">Exemption left (lot 90)</t>
  </si>
  <si>
    <t xml:space="preserve">Losses (lot 0)</t>
  </si>
  <si>
    <t xml:space="preserve">Losses (lot 1)</t>
  </si>
  <si>
    <t xml:space="preserve">Losses (lot 2)</t>
  </si>
  <si>
    <t xml:space="preserve">Losses (lot 3)</t>
  </si>
  <si>
    <t xml:space="preserve">Losses (lot 4)</t>
  </si>
  <si>
    <t xml:space="preserve">Losses (lot 5)</t>
  </si>
  <si>
    <t xml:space="preserve">Losses (lot 6)</t>
  </si>
  <si>
    <t xml:space="preserve">Losses (lot 7)</t>
  </si>
  <si>
    <t xml:space="preserve">Losses (lot 8)</t>
  </si>
  <si>
    <t xml:space="preserve">Losses (lot 9)</t>
  </si>
  <si>
    <t xml:space="preserve">Losses (lot 10)</t>
  </si>
  <si>
    <t xml:space="preserve">Losses (lot 11)</t>
  </si>
  <si>
    <t xml:space="preserve">Losses (lot 12)</t>
  </si>
  <si>
    <t xml:space="preserve">Losses (lot 13)</t>
  </si>
  <si>
    <t xml:space="preserve">Losses (lot 14)</t>
  </si>
  <si>
    <t xml:space="preserve">Losses (lot 15)</t>
  </si>
  <si>
    <t xml:space="preserve">Losses (lot 16)</t>
  </si>
  <si>
    <t xml:space="preserve">Losses (lot 17)</t>
  </si>
  <si>
    <t xml:space="preserve">Losses (lot 18)</t>
  </si>
  <si>
    <t xml:space="preserve">Losses (lot 19)</t>
  </si>
  <si>
    <t xml:space="preserve">Losses (lot 20)</t>
  </si>
  <si>
    <t xml:space="preserve">Losses (lot 21)</t>
  </si>
  <si>
    <t xml:space="preserve">Losses (lot 22)</t>
  </si>
  <si>
    <t xml:space="preserve">Losses (lot 23)</t>
  </si>
  <si>
    <t xml:space="preserve">Losses (lot 24)</t>
  </si>
  <si>
    <t xml:space="preserve">Losses (lot 25)</t>
  </si>
  <si>
    <t xml:space="preserve">Losses (lot 26)</t>
  </si>
  <si>
    <t xml:space="preserve">Losses (lot 27)</t>
  </si>
  <si>
    <t xml:space="preserve">Losses (lot 28)</t>
  </si>
  <si>
    <t xml:space="preserve">Losses (lot 29)</t>
  </si>
  <si>
    <t xml:space="preserve">Losses (lot 30)</t>
  </si>
  <si>
    <t xml:space="preserve">Losses (lot 31)</t>
  </si>
  <si>
    <t xml:space="preserve">Losses (lot 32)</t>
  </si>
  <si>
    <t xml:space="preserve">Losses (lot 33)</t>
  </si>
  <si>
    <t xml:space="preserve">Losses (lot 34)</t>
  </si>
  <si>
    <t xml:space="preserve">Losses (lot 35)</t>
  </si>
  <si>
    <t xml:space="preserve">Losses (lot 36)</t>
  </si>
  <si>
    <t xml:space="preserve">Losses (lot 37)</t>
  </si>
  <si>
    <t xml:space="preserve">Losses (lot 38)</t>
  </si>
  <si>
    <t xml:space="preserve">Losses (lot 39)</t>
  </si>
  <si>
    <t xml:space="preserve">Losses (lot 40)</t>
  </si>
  <si>
    <t xml:space="preserve">Losses (lot 41)</t>
  </si>
  <si>
    <t xml:space="preserve">Losses (lot 42)</t>
  </si>
  <si>
    <t xml:space="preserve">Losses (lot 43)</t>
  </si>
  <si>
    <t xml:space="preserve">Losses (lot 44)</t>
  </si>
  <si>
    <t xml:space="preserve">Losses (lot 45)</t>
  </si>
  <si>
    <t xml:space="preserve">Losses (lot 46)</t>
  </si>
  <si>
    <t xml:space="preserve">Losses (lot 47)</t>
  </si>
  <si>
    <t xml:space="preserve">Losses (lot 48)</t>
  </si>
  <si>
    <t xml:space="preserve">Losses (lot 49)</t>
  </si>
  <si>
    <t xml:space="preserve">Losses (lot 50)</t>
  </si>
  <si>
    <t xml:space="preserve">Losses (lot 51)</t>
  </si>
  <si>
    <t xml:space="preserve">Losses (lot 52)</t>
  </si>
  <si>
    <t xml:space="preserve">Losses (lot 53)</t>
  </si>
  <si>
    <t xml:space="preserve">Losses (lot 54)</t>
  </si>
  <si>
    <t xml:space="preserve">Losses (lot 55)</t>
  </si>
  <si>
    <t xml:space="preserve">Losses (lot 56)</t>
  </si>
  <si>
    <t xml:space="preserve">Losses (lot 57)</t>
  </si>
  <si>
    <t xml:space="preserve">Losses (lot 58)</t>
  </si>
  <si>
    <t xml:space="preserve">Losses (lot 59)</t>
  </si>
  <si>
    <t xml:space="preserve">Losses (lot 60)</t>
  </si>
  <si>
    <t xml:space="preserve">Losses (lot 61)</t>
  </si>
  <si>
    <t xml:space="preserve">Losses (lot 62)</t>
  </si>
  <si>
    <t xml:space="preserve">Losses (lot 63)</t>
  </si>
  <si>
    <t xml:space="preserve">Losses (lot 64)</t>
  </si>
  <si>
    <t xml:space="preserve">Losses (lot 65)</t>
  </si>
  <si>
    <t xml:space="preserve">Losses (lot 66)</t>
  </si>
  <si>
    <t xml:space="preserve">Losses (lot 67)</t>
  </si>
  <si>
    <t xml:space="preserve">Losses (lot 68)</t>
  </si>
  <si>
    <t xml:space="preserve">Losses (lot 69)</t>
  </si>
  <si>
    <t xml:space="preserve">Losses (lot 70)</t>
  </si>
  <si>
    <t xml:space="preserve">Losses (lot 71)</t>
  </si>
  <si>
    <t xml:space="preserve">Losses (lot 72)</t>
  </si>
  <si>
    <t xml:space="preserve">Losses (lot 73)</t>
  </si>
  <si>
    <t xml:space="preserve">Losses (lot 74)</t>
  </si>
  <si>
    <t xml:space="preserve">Losses (lot 75)</t>
  </si>
  <si>
    <t xml:space="preserve">Losses (lot 76)</t>
  </si>
  <si>
    <t xml:space="preserve">Losses (lot 77)</t>
  </si>
  <si>
    <t xml:space="preserve">Losses (lot 78)</t>
  </si>
  <si>
    <t xml:space="preserve">Losses (lot 79)</t>
  </si>
  <si>
    <t xml:space="preserve">Losses (lot 80)</t>
  </si>
  <si>
    <t xml:space="preserve">Losses (lot 81)</t>
  </si>
  <si>
    <t xml:space="preserve">Losses (lot 82)</t>
  </si>
  <si>
    <t xml:space="preserve">Losses (lot 83)</t>
  </si>
  <si>
    <t xml:space="preserve">Losses (lot 84)</t>
  </si>
  <si>
    <t xml:space="preserve">Losses (lot 85)</t>
  </si>
  <si>
    <t xml:space="preserve">Losses (lot 86)</t>
  </si>
  <si>
    <t xml:space="preserve">Losses (lot 87)</t>
  </si>
  <si>
    <t xml:space="preserve">Losses (lot 88)</t>
  </si>
  <si>
    <t xml:space="preserve">Losses (lot 89)</t>
  </si>
  <si>
    <t xml:space="preserve">Losses (lot 90)</t>
  </si>
  <si>
    <t xml:space="preserve">Value after growth (lot 0)</t>
  </si>
  <si>
    <t xml:space="preserve">Value after growth (lot 1)</t>
  </si>
  <si>
    <t xml:space="preserve">Value after growth (lot 2)</t>
  </si>
  <si>
    <t xml:space="preserve">Value after growth (lot 3)</t>
  </si>
  <si>
    <t xml:space="preserve">Value after growth (lot 4)</t>
  </si>
  <si>
    <t xml:space="preserve">Value after growth (lot 5)</t>
  </si>
  <si>
    <t xml:space="preserve">Value after growth (lot 6)</t>
  </si>
  <si>
    <t xml:space="preserve">Value after growth (lot 7)</t>
  </si>
  <si>
    <t xml:space="preserve">Value after growth (lot 8)</t>
  </si>
  <si>
    <t xml:space="preserve">Value after growth (lot 9)</t>
  </si>
  <si>
    <t xml:space="preserve">Value after growth (lot 10)</t>
  </si>
  <si>
    <t xml:space="preserve">Value after growth (lot 11)</t>
  </si>
  <si>
    <t xml:space="preserve">Value after growth (lot 12)</t>
  </si>
  <si>
    <t xml:space="preserve">Value after growth (lot 13)</t>
  </si>
  <si>
    <t xml:space="preserve">Value after growth (lot 14)</t>
  </si>
  <si>
    <t xml:space="preserve">Value after growth (lot 15)</t>
  </si>
  <si>
    <t xml:space="preserve">Value after growth (lot 16)</t>
  </si>
  <si>
    <t xml:space="preserve">Value after growth (lot 17)</t>
  </si>
  <si>
    <t xml:space="preserve">Value after growth (lot 18)</t>
  </si>
  <si>
    <t xml:space="preserve">Value after growth (lot 19)</t>
  </si>
  <si>
    <t xml:space="preserve">Value after growth (lot 20)</t>
  </si>
  <si>
    <t xml:space="preserve">Value after growth (lot 21)</t>
  </si>
  <si>
    <t xml:space="preserve">Value after growth (lot 22)</t>
  </si>
  <si>
    <t xml:space="preserve">Value after growth (lot 23)</t>
  </si>
  <si>
    <t xml:space="preserve">Value after growth (lot 24)</t>
  </si>
  <si>
    <t xml:space="preserve">Value after growth (lot 25)</t>
  </si>
  <si>
    <t xml:space="preserve">Value after growth (lot 26)</t>
  </si>
  <si>
    <t xml:space="preserve">Value after growth (lot 27)</t>
  </si>
  <si>
    <t xml:space="preserve">Value after growth (lot 28)</t>
  </si>
  <si>
    <t xml:space="preserve">Value after growth (lot 29)</t>
  </si>
  <si>
    <t xml:space="preserve">Value after growth (lot 30)</t>
  </si>
  <si>
    <t xml:space="preserve">Value after growth (lot 31)</t>
  </si>
  <si>
    <t xml:space="preserve">Value after growth (lot 32)</t>
  </si>
  <si>
    <t xml:space="preserve">Value after growth (lot 33)</t>
  </si>
  <si>
    <t xml:space="preserve">Value after growth (lot 34)</t>
  </si>
  <si>
    <t xml:space="preserve">Value after growth (lot 35)</t>
  </si>
  <si>
    <t xml:space="preserve">Value after growth (lot 36)</t>
  </si>
  <si>
    <t xml:space="preserve">Value after growth (lot 37)</t>
  </si>
  <si>
    <t xml:space="preserve">Value after growth (lot 38)</t>
  </si>
  <si>
    <t xml:space="preserve">Value after growth (lot 39)</t>
  </si>
  <si>
    <t xml:space="preserve">Value after growth (lot 40)</t>
  </si>
  <si>
    <t xml:space="preserve">Value after growth (lot 41)</t>
  </si>
  <si>
    <t xml:space="preserve">Value after growth (lot 42)</t>
  </si>
  <si>
    <t xml:space="preserve">Value after growth (lot 43)</t>
  </si>
  <si>
    <t xml:space="preserve">Value after growth (lot 44)</t>
  </si>
  <si>
    <t xml:space="preserve">Value after growth (lot 45)</t>
  </si>
  <si>
    <t xml:space="preserve">Value after growth (lot 46)</t>
  </si>
  <si>
    <t xml:space="preserve">Value after growth (lot 47)</t>
  </si>
  <si>
    <t xml:space="preserve">Value after growth (lot 48)</t>
  </si>
  <si>
    <t xml:space="preserve">Value after growth (lot 49)</t>
  </si>
  <si>
    <t xml:space="preserve">Value after growth (lot 50)</t>
  </si>
  <si>
    <t xml:space="preserve">Value after growth (lot 51)</t>
  </si>
  <si>
    <t xml:space="preserve">Value after growth (lot 52)</t>
  </si>
  <si>
    <t xml:space="preserve">Value after growth (lot 53)</t>
  </si>
  <si>
    <t xml:space="preserve">Value after growth (lot 54)</t>
  </si>
  <si>
    <t xml:space="preserve">Value after growth (lot 55)</t>
  </si>
  <si>
    <t xml:space="preserve">Value after growth (lot 56)</t>
  </si>
  <si>
    <t xml:space="preserve">Value after growth (lot 57)</t>
  </si>
  <si>
    <t xml:space="preserve">Value after growth (lot 58)</t>
  </si>
  <si>
    <t xml:space="preserve">Value after growth (lot 59)</t>
  </si>
  <si>
    <t xml:space="preserve">Value after growth (lot 60)</t>
  </si>
  <si>
    <t xml:space="preserve">Value after growth (lot 61)</t>
  </si>
  <si>
    <t xml:space="preserve">Value after growth (lot 62)</t>
  </si>
  <si>
    <t xml:space="preserve">Value after growth (lot 63)</t>
  </si>
  <si>
    <t xml:space="preserve">Value after growth (lot 64)</t>
  </si>
  <si>
    <t xml:space="preserve">Value after growth (lot 65)</t>
  </si>
  <si>
    <t xml:space="preserve">Value after growth (lot 66)</t>
  </si>
  <si>
    <t xml:space="preserve">Value after growth (lot 67)</t>
  </si>
  <si>
    <t xml:space="preserve">Value after growth (lot 68)</t>
  </si>
  <si>
    <t xml:space="preserve">Value after growth (lot 69)</t>
  </si>
  <si>
    <t xml:space="preserve">Value after growth (lot 70)</t>
  </si>
  <si>
    <t xml:space="preserve">Value after growth (lot 71)</t>
  </si>
  <si>
    <t xml:space="preserve">Value after growth (lot 72)</t>
  </si>
  <si>
    <t xml:space="preserve">Value after growth (lot 73)</t>
  </si>
  <si>
    <t xml:space="preserve">Value after growth (lot 74)</t>
  </si>
  <si>
    <t xml:space="preserve">Value after growth (lot 75)</t>
  </si>
  <si>
    <t xml:space="preserve">Value after growth (lot 76)</t>
  </si>
  <si>
    <t xml:space="preserve">Value after growth (lot 77)</t>
  </si>
  <si>
    <t xml:space="preserve">Value after growth (lot 78)</t>
  </si>
  <si>
    <t xml:space="preserve">Value after growth (lot 79)</t>
  </si>
  <si>
    <t xml:space="preserve">Value after growth (lot 80)</t>
  </si>
  <si>
    <t xml:space="preserve">Value after growth (lot 81)</t>
  </si>
  <si>
    <t xml:space="preserve">Value after growth (lot 82)</t>
  </si>
  <si>
    <t xml:space="preserve">Value after growth (lot 83)</t>
  </si>
  <si>
    <t xml:space="preserve">Value after growth (lot 84)</t>
  </si>
  <si>
    <t xml:space="preserve">Value after growth (lot 85)</t>
  </si>
  <si>
    <t xml:space="preserve">Value after growth (lot 86)</t>
  </si>
  <si>
    <t xml:space="preserve">Value after growth (lot 87)</t>
  </si>
  <si>
    <t xml:space="preserve">Value after growth (lot 88)</t>
  </si>
  <si>
    <t xml:space="preserve">Value after growth (lot 89)</t>
  </si>
  <si>
    <t xml:space="preserve">Value after growth (lot 90)</t>
  </si>
  <si>
    <t xml:space="preserve">Cost after sale and additions (lot 0)</t>
  </si>
  <si>
    <t xml:space="preserve">Cost after sale and additions (lot 1)</t>
  </si>
  <si>
    <t xml:space="preserve">Cost after sale and additions (lot 2)</t>
  </si>
  <si>
    <t xml:space="preserve">Cost after sale and additions (lot 3)</t>
  </si>
  <si>
    <t xml:space="preserve">Cost after sale and additions (lot 4)</t>
  </si>
  <si>
    <t xml:space="preserve">Cost after sale and additions (lot 5)</t>
  </si>
  <si>
    <t xml:space="preserve">Cost after sale and additions (lot 6)</t>
  </si>
  <si>
    <t xml:space="preserve">Cost after sale and additions (lot 7)</t>
  </si>
  <si>
    <t xml:space="preserve">Cost after sale and additions (lot 8)</t>
  </si>
  <si>
    <t xml:space="preserve">Cost after sale and additions (lot 9)</t>
  </si>
  <si>
    <t xml:space="preserve">Cost after sale and additions (lot 10)</t>
  </si>
  <si>
    <t xml:space="preserve">Cost after sale and additions (lot 11)</t>
  </si>
  <si>
    <t xml:space="preserve">Cost after sale and additions (lot 12)</t>
  </si>
  <si>
    <t xml:space="preserve">Cost after sale and additions (lot 13)</t>
  </si>
  <si>
    <t xml:space="preserve">Cost after sale and additions (lot 14)</t>
  </si>
  <si>
    <t xml:space="preserve">Cost after sale and additions (lot 15)</t>
  </si>
  <si>
    <t xml:space="preserve">Cost after sale and additions (lot 16)</t>
  </si>
  <si>
    <t xml:space="preserve">Cost after sale and additions (lot 17)</t>
  </si>
  <si>
    <t xml:space="preserve">Cost after sale and additions (lot 18)</t>
  </si>
  <si>
    <t xml:space="preserve">Cost after sale and additions (lot 19)</t>
  </si>
  <si>
    <t xml:space="preserve">Cost after sale and additions (lot 20)</t>
  </si>
  <si>
    <t xml:space="preserve">Cost after sale and additions (lot 21)</t>
  </si>
  <si>
    <t xml:space="preserve">Cost after sale and additions (lot 22)</t>
  </si>
  <si>
    <t xml:space="preserve">Cost after sale and additions (lot 23)</t>
  </si>
  <si>
    <t xml:space="preserve">Cost after sale and additions (lot 24)</t>
  </si>
  <si>
    <t xml:space="preserve">Cost after sale and additions (lot 25)</t>
  </si>
  <si>
    <t xml:space="preserve">Cost after sale and additions (lot 26)</t>
  </si>
  <si>
    <t xml:space="preserve">Cost after sale and additions (lot 27)</t>
  </si>
  <si>
    <t xml:space="preserve">Cost after sale and additions (lot 28)</t>
  </si>
  <si>
    <t xml:space="preserve">Cost after sale and additions (lot 29)</t>
  </si>
  <si>
    <t xml:space="preserve">Cost after sale and additions (lot 30)</t>
  </si>
  <si>
    <t xml:space="preserve">Cost after sale and additions (lot 31)</t>
  </si>
  <si>
    <t xml:space="preserve">Cost after sale and additions (lot 32)</t>
  </si>
  <si>
    <t xml:space="preserve">Cost after sale and additions (lot 33)</t>
  </si>
  <si>
    <t xml:space="preserve">Cost after sale and additions (lot 34)</t>
  </si>
  <si>
    <t xml:space="preserve">Cost after sale and additions (lot 35)</t>
  </si>
  <si>
    <t xml:space="preserve">Cost after sale and additions (lot 36)</t>
  </si>
  <si>
    <t xml:space="preserve">Cost after sale and additions (lot 37)</t>
  </si>
  <si>
    <t xml:space="preserve">Cost after sale and additions (lot 38)</t>
  </si>
  <si>
    <t xml:space="preserve">Cost after sale and additions (lot 39)</t>
  </si>
  <si>
    <t xml:space="preserve">Cost after sale and additions (lot 40)</t>
  </si>
  <si>
    <t xml:space="preserve">Cost after sale and additions (lot 41)</t>
  </si>
  <si>
    <t xml:space="preserve">Cost after sale and additions (lot 42)</t>
  </si>
  <si>
    <t xml:space="preserve">Cost after sale and additions (lot 43)</t>
  </si>
  <si>
    <t xml:space="preserve">Cost after sale and additions (lot 44)</t>
  </si>
  <si>
    <t xml:space="preserve">Cost after sale and additions (lot 45)</t>
  </si>
  <si>
    <t xml:space="preserve">Cost after sale and additions (lot 46)</t>
  </si>
  <si>
    <t xml:space="preserve">Cost after sale and additions (lot 47)</t>
  </si>
  <si>
    <t xml:space="preserve">Cost after sale and additions (lot 48)</t>
  </si>
  <si>
    <t xml:space="preserve">Cost after sale and additions (lot 49)</t>
  </si>
  <si>
    <t xml:space="preserve">Cost after sale and additions (lot 50)</t>
  </si>
  <si>
    <t xml:space="preserve">Cost after sale and additions (lot 51)</t>
  </si>
  <si>
    <t xml:space="preserve">Cost after sale and additions (lot 52)</t>
  </si>
  <si>
    <t xml:space="preserve">Cost after sale and additions (lot 53)</t>
  </si>
  <si>
    <t xml:space="preserve">Cost after sale and additions (lot 54)</t>
  </si>
  <si>
    <t xml:space="preserve">Cost after sale and additions (lot 55)</t>
  </si>
  <si>
    <t xml:space="preserve">Cost after sale and additions (lot 56)</t>
  </si>
  <si>
    <t xml:space="preserve">Cost after sale and additions (lot 57)</t>
  </si>
  <si>
    <t xml:space="preserve">Cost after sale and additions (lot 58)</t>
  </si>
  <si>
    <t xml:space="preserve">Cost after sale and additions (lot 59)</t>
  </si>
  <si>
    <t xml:space="preserve">Cost after sale and additions (lot 60)</t>
  </si>
  <si>
    <t xml:space="preserve">Cost after sale and additions (lot 61)</t>
  </si>
  <si>
    <t xml:space="preserve">Cost after sale and additions (lot 62)</t>
  </si>
  <si>
    <t xml:space="preserve">Cost after sale and additions (lot 63)</t>
  </si>
  <si>
    <t xml:space="preserve">Cost after sale and additions (lot 64)</t>
  </si>
  <si>
    <t xml:space="preserve">Cost after sale and additions (lot 65)</t>
  </si>
  <si>
    <t xml:space="preserve">Cost after sale and additions (lot 66)</t>
  </si>
  <si>
    <t xml:space="preserve">Cost after sale and additions (lot 67)</t>
  </si>
  <si>
    <t xml:space="preserve">Cost after sale and additions (lot 68)</t>
  </si>
  <si>
    <t xml:space="preserve">Cost after sale and additions (lot 69)</t>
  </si>
  <si>
    <t xml:space="preserve">Cost after sale and additions (lot 70)</t>
  </si>
  <si>
    <t xml:space="preserve">Cost after sale and additions (lot 71)</t>
  </si>
  <si>
    <t xml:space="preserve">Cost after sale and additions (lot 72)</t>
  </si>
  <si>
    <t xml:space="preserve">Cost after sale and additions (lot 73)</t>
  </si>
  <si>
    <t xml:space="preserve">Cost after sale and additions (lot 74)</t>
  </si>
  <si>
    <t xml:space="preserve">Cost after sale and additions (lot 75)</t>
  </si>
  <si>
    <t xml:space="preserve">Cost after sale and additions (lot 76)</t>
  </si>
  <si>
    <t xml:space="preserve">Cost after sale and additions (lot 77)</t>
  </si>
  <si>
    <t xml:space="preserve">Cost after sale and additions (lot 78)</t>
  </si>
  <si>
    <t xml:space="preserve">Cost after sale and additions (lot 79)</t>
  </si>
  <si>
    <t xml:space="preserve">Cost after sale and additions (lot 80)</t>
  </si>
  <si>
    <t xml:space="preserve">Cost after sale and additions (lot 81)</t>
  </si>
  <si>
    <t xml:space="preserve">Cost after sale and additions (lot 82)</t>
  </si>
  <si>
    <t xml:space="preserve">Cost after sale and additions (lot 83)</t>
  </si>
  <si>
    <t xml:space="preserve">Cost after sale and additions (lot 84)</t>
  </si>
  <si>
    <t xml:space="preserve">Cost after sale and additions (lot 85)</t>
  </si>
  <si>
    <t xml:space="preserve">Cost after sale and additions (lot 86)</t>
  </si>
  <si>
    <t xml:space="preserve">Cost after sale and additions (lot 87)</t>
  </si>
  <si>
    <t xml:space="preserve">Cost after sale and additions (lot 88)</t>
  </si>
  <si>
    <t xml:space="preserve">Cost after sale and additions (lot 89)</t>
  </si>
  <si>
    <t xml:space="preserve">Cost after sale and additions (lot 90)</t>
  </si>
  <si>
    <t xml:space="preserve">Value at the end (lot 0)</t>
  </si>
  <si>
    <t xml:space="preserve">Value at the end (lot 1)</t>
  </si>
  <si>
    <t xml:space="preserve">Value at the end (lot 2)</t>
  </si>
  <si>
    <t xml:space="preserve">Value at the end (lot 3)</t>
  </si>
  <si>
    <t xml:space="preserve">Value at the end (lot 4)</t>
  </si>
  <si>
    <t xml:space="preserve">Value at the end (lot 5)</t>
  </si>
  <si>
    <t xml:space="preserve">Value at the end (lot 6)</t>
  </si>
  <si>
    <t xml:space="preserve">Value at the end (lot 7)</t>
  </si>
  <si>
    <t xml:space="preserve">Value at the end (lot 8)</t>
  </si>
  <si>
    <t xml:space="preserve">Value at the end (lot 9)</t>
  </si>
  <si>
    <t xml:space="preserve">Value at the end (lot 10)</t>
  </si>
  <si>
    <t xml:space="preserve">Value at the end (lot 11)</t>
  </si>
  <si>
    <t xml:space="preserve">Value at the end (lot 12)</t>
  </si>
  <si>
    <t xml:space="preserve">Value at the end (lot 13)</t>
  </si>
  <si>
    <t xml:space="preserve">Value at the end (lot 14)</t>
  </si>
  <si>
    <t xml:space="preserve">Value at the end (lot 15)</t>
  </si>
  <si>
    <t xml:space="preserve">Value at the end (lot 16)</t>
  </si>
  <si>
    <t xml:space="preserve">Value at the end (lot 17)</t>
  </si>
  <si>
    <t xml:space="preserve">Value at the end (lot 18)</t>
  </si>
  <si>
    <t xml:space="preserve">Value at the end (lot 19)</t>
  </si>
  <si>
    <t xml:space="preserve">Value at the end (lot 20)</t>
  </si>
  <si>
    <t xml:space="preserve">Value at the end (lot 21)</t>
  </si>
  <si>
    <t xml:space="preserve">Value at the end (lot 22)</t>
  </si>
  <si>
    <t xml:space="preserve">Value at the end (lot 23)</t>
  </si>
  <si>
    <t xml:space="preserve">Value at the end (lot 24)</t>
  </si>
  <si>
    <t xml:space="preserve">Value at the end (lot 25)</t>
  </si>
  <si>
    <t xml:space="preserve">Value at the end (lot 26)</t>
  </si>
  <si>
    <t xml:space="preserve">Value at the end (lot 27)</t>
  </si>
  <si>
    <t xml:space="preserve">Value at the end (lot 28)</t>
  </si>
  <si>
    <t xml:space="preserve">Value at the end (lot 29)</t>
  </si>
  <si>
    <t xml:space="preserve">Value at the end (lot 30)</t>
  </si>
  <si>
    <t xml:space="preserve">Value at the end (lot 31)</t>
  </si>
  <si>
    <t xml:space="preserve">Value at the end (lot 32)</t>
  </si>
  <si>
    <t xml:space="preserve">Value at the end (lot 33)</t>
  </si>
  <si>
    <t xml:space="preserve">Value at the end (lot 34)</t>
  </si>
  <si>
    <t xml:space="preserve">Value at the end (lot 35)</t>
  </si>
  <si>
    <t xml:space="preserve">Value at the end (lot 36)</t>
  </si>
  <si>
    <t xml:space="preserve">Value at the end (lot 37)</t>
  </si>
  <si>
    <t xml:space="preserve">Value at the end (lot 38)</t>
  </si>
  <si>
    <t xml:space="preserve">Value at the end (lot 39)</t>
  </si>
  <si>
    <t xml:space="preserve">Value at the end (lot 40)</t>
  </si>
  <si>
    <t xml:space="preserve">Value at the end (lot 41)</t>
  </si>
  <si>
    <t xml:space="preserve">Value at the end (lot 42)</t>
  </si>
  <si>
    <t xml:space="preserve">Value at the end (lot 43)</t>
  </si>
  <si>
    <t xml:space="preserve">Value at the end (lot 44)</t>
  </si>
  <si>
    <t xml:space="preserve">Value at the end (lot 45)</t>
  </si>
  <si>
    <t xml:space="preserve">Value at the end (lot 46)</t>
  </si>
  <si>
    <t xml:space="preserve">Value at the end (lot 47)</t>
  </si>
  <si>
    <t xml:space="preserve">Value at the end (lot 48)</t>
  </si>
  <si>
    <t xml:space="preserve">Value at the end (lot 49)</t>
  </si>
  <si>
    <t xml:space="preserve">Value at the end (lot 50)</t>
  </si>
  <si>
    <t xml:space="preserve">Value at the end (lot 51)</t>
  </si>
  <si>
    <t xml:space="preserve">Value at the end (lot 52)</t>
  </si>
  <si>
    <t xml:space="preserve">Value at the end (lot 53)</t>
  </si>
  <si>
    <t xml:space="preserve">Value at the end (lot 54)</t>
  </si>
  <si>
    <t xml:space="preserve">Value at the end (lot 55)</t>
  </si>
  <si>
    <t xml:space="preserve">Value at the end (lot 56)</t>
  </si>
  <si>
    <t xml:space="preserve">Value at the end (lot 57)</t>
  </si>
  <si>
    <t xml:space="preserve">Value at the end (lot 58)</t>
  </si>
  <si>
    <t xml:space="preserve">Value at the end (lot 59)</t>
  </si>
  <si>
    <t xml:space="preserve">Value at the end (lot 60)</t>
  </si>
  <si>
    <t xml:space="preserve">Value at the end (lot 61)</t>
  </si>
  <si>
    <t xml:space="preserve">Value at the end (lot 62)</t>
  </si>
  <si>
    <t xml:space="preserve">Value at the end (lot 63)</t>
  </si>
  <si>
    <t xml:space="preserve">Value at the end (lot 64)</t>
  </si>
  <si>
    <t xml:space="preserve">Value at the end (lot 65)</t>
  </si>
  <si>
    <t xml:space="preserve">Value at the end (lot 66)</t>
  </si>
  <si>
    <t xml:space="preserve">Value at the end (lot 67)</t>
  </si>
  <si>
    <t xml:space="preserve">Value at the end (lot 68)</t>
  </si>
  <si>
    <t xml:space="preserve">Value at the end (lot 69)</t>
  </si>
  <si>
    <t xml:space="preserve">Value at the end (lot 70)</t>
  </si>
  <si>
    <t xml:space="preserve">Value at the end (lot 71)</t>
  </si>
  <si>
    <t xml:space="preserve">Value at the end (lot 72)</t>
  </si>
  <si>
    <t xml:space="preserve">Value at the end (lot 73)</t>
  </si>
  <si>
    <t xml:space="preserve">Value at the end (lot 74)</t>
  </si>
  <si>
    <t xml:space="preserve">Value at the end (lot 75)</t>
  </si>
  <si>
    <t xml:space="preserve">Value at the end (lot 76)</t>
  </si>
  <si>
    <t xml:space="preserve">Value at the end (lot 77)</t>
  </si>
  <si>
    <t xml:space="preserve">Value at the end (lot 78)</t>
  </si>
  <si>
    <t xml:space="preserve">Value at the end (lot 79)</t>
  </si>
  <si>
    <t xml:space="preserve">Value at the end (lot 80)</t>
  </si>
  <si>
    <t xml:space="preserve">Value at the end (lot 81)</t>
  </si>
  <si>
    <t xml:space="preserve">Value at the end (lot 82)</t>
  </si>
  <si>
    <t xml:space="preserve">Value at the end (lot 83)</t>
  </si>
  <si>
    <t xml:space="preserve">Value at the end (lot 84)</t>
  </si>
  <si>
    <t xml:space="preserve">Value at the end (lot 85)</t>
  </si>
  <si>
    <t xml:space="preserve">Value at the end (lot 86)</t>
  </si>
  <si>
    <t xml:space="preserve">Value at the end (lot 87)</t>
  </si>
  <si>
    <t xml:space="preserve">Value at the end (lot 88)</t>
  </si>
  <si>
    <t xml:space="preserve">Value at the end (lot 89)</t>
  </si>
  <si>
    <t xml:space="preserve">Value at the end (lot 90)</t>
  </si>
  <si>
    <t xml:space="preserve">Cost at the end (lot 0)</t>
  </si>
  <si>
    <t xml:space="preserve">Cost at the end (lot 1)</t>
  </si>
  <si>
    <t xml:space="preserve">Cost at the end (lot 2)</t>
  </si>
  <si>
    <t xml:space="preserve">Cost at the end (lot 3)</t>
  </si>
  <si>
    <t xml:space="preserve">Cost at the end (lot 4)</t>
  </si>
  <si>
    <t xml:space="preserve">Cost at the end (lot 5)</t>
  </si>
  <si>
    <t xml:space="preserve">Cost at the end (lot 6)</t>
  </si>
  <si>
    <t xml:space="preserve">Cost at the end (lot 7)</t>
  </si>
  <si>
    <t xml:space="preserve">Cost at the end (lot 8)</t>
  </si>
  <si>
    <t xml:space="preserve">Cost at the end (lot 9)</t>
  </si>
  <si>
    <t xml:space="preserve">Cost at the end (lot 10)</t>
  </si>
  <si>
    <t xml:space="preserve">Cost at the end (lot 11)</t>
  </si>
  <si>
    <t xml:space="preserve">Cost at the end (lot 12)</t>
  </si>
  <si>
    <t xml:space="preserve">Cost at the end (lot 13)</t>
  </si>
  <si>
    <t xml:space="preserve">Cost at the end (lot 14)</t>
  </si>
  <si>
    <t xml:space="preserve">Cost at the end (lot 15)</t>
  </si>
  <si>
    <t xml:space="preserve">Cost at the end (lot 16)</t>
  </si>
  <si>
    <t xml:space="preserve">Cost at the end (lot 17)</t>
  </si>
  <si>
    <t xml:space="preserve">Cost at the end (lot 18)</t>
  </si>
  <si>
    <t xml:space="preserve">Cost at the end (lot 19)</t>
  </si>
  <si>
    <t xml:space="preserve">Cost at the end (lot 20)</t>
  </si>
  <si>
    <t xml:space="preserve">Cost at the end (lot 21)</t>
  </si>
  <si>
    <t xml:space="preserve">Cost at the end (lot 22)</t>
  </si>
  <si>
    <t xml:space="preserve">Cost at the end (lot 23)</t>
  </si>
  <si>
    <t xml:space="preserve">Cost at the end (lot 24)</t>
  </si>
  <si>
    <t xml:space="preserve">Cost at the end (lot 25)</t>
  </si>
  <si>
    <t xml:space="preserve">Cost at the end (lot 26)</t>
  </si>
  <si>
    <t xml:space="preserve">Cost at the end (lot 27)</t>
  </si>
  <si>
    <t xml:space="preserve">Cost at the end (lot 28)</t>
  </si>
  <si>
    <t xml:space="preserve">Cost at the end (lot 29)</t>
  </si>
  <si>
    <t xml:space="preserve">Cost at the end (lot 30)</t>
  </si>
  <si>
    <t xml:space="preserve">Cost at the end (lot 31)</t>
  </si>
  <si>
    <t xml:space="preserve">Cost at the end (lot 32)</t>
  </si>
  <si>
    <t xml:space="preserve">Cost at the end (lot 33)</t>
  </si>
  <si>
    <t xml:space="preserve">Cost at the end (lot 34)</t>
  </si>
  <si>
    <t xml:space="preserve">Cost at the end (lot 35)</t>
  </si>
  <si>
    <t xml:space="preserve">Cost at the end (lot 36)</t>
  </si>
  <si>
    <t xml:space="preserve">Cost at the end (lot 37)</t>
  </si>
  <si>
    <t xml:space="preserve">Cost at the end (lot 38)</t>
  </si>
  <si>
    <t xml:space="preserve">Cost at the end (lot 39)</t>
  </si>
  <si>
    <t xml:space="preserve">Cost at the end (lot 40)</t>
  </si>
  <si>
    <t xml:space="preserve">Cost at the end (lot 41)</t>
  </si>
  <si>
    <t xml:space="preserve">Cost at the end (lot 42)</t>
  </si>
  <si>
    <t xml:space="preserve">Cost at the end (lot 43)</t>
  </si>
  <si>
    <t xml:space="preserve">Cost at the end (lot 44)</t>
  </si>
  <si>
    <t xml:space="preserve">Cost at the end (lot 45)</t>
  </si>
  <si>
    <t xml:space="preserve">Cost at the end (lot 46)</t>
  </si>
  <si>
    <t xml:space="preserve">Cost at the end (lot 47)</t>
  </si>
  <si>
    <t xml:space="preserve">Cost at the end (lot 48)</t>
  </si>
  <si>
    <t xml:space="preserve">Cost at the end (lot 49)</t>
  </si>
  <si>
    <t xml:space="preserve">Cost at the end (lot 50)</t>
  </si>
  <si>
    <t xml:space="preserve">Cost at the end (lot 51)</t>
  </si>
  <si>
    <t xml:space="preserve">Cost at the end (lot 52)</t>
  </si>
  <si>
    <t xml:space="preserve">Cost at the end (lot 53)</t>
  </si>
  <si>
    <t xml:space="preserve">Cost at the end (lot 54)</t>
  </si>
  <si>
    <t xml:space="preserve">Cost at the end (lot 55)</t>
  </si>
  <si>
    <t xml:space="preserve">Cost at the end (lot 56)</t>
  </si>
  <si>
    <t xml:space="preserve">Cost at the end (lot 57)</t>
  </si>
  <si>
    <t xml:space="preserve">Cost at the end (lot 58)</t>
  </si>
  <si>
    <t xml:space="preserve">Cost at the end (lot 59)</t>
  </si>
  <si>
    <t xml:space="preserve">Cost at the end (lot 60)</t>
  </si>
  <si>
    <t xml:space="preserve">Cost at the end (lot 61)</t>
  </si>
  <si>
    <t xml:space="preserve">Cost at the end (lot 62)</t>
  </si>
  <si>
    <t xml:space="preserve">Cost at the end (lot 63)</t>
  </si>
  <si>
    <t xml:space="preserve">Cost at the end (lot 64)</t>
  </si>
  <si>
    <t xml:space="preserve">Cost at the end (lot 65)</t>
  </si>
  <si>
    <t xml:space="preserve">Cost at the end (lot 66)</t>
  </si>
  <si>
    <t xml:space="preserve">Cost at the end (lot 67)</t>
  </si>
  <si>
    <t xml:space="preserve">Cost at the end (lot 68)</t>
  </si>
  <si>
    <t xml:space="preserve">Cost at the end (lot 69)</t>
  </si>
  <si>
    <t xml:space="preserve">Cost at the end (lot 70)</t>
  </si>
  <si>
    <t xml:space="preserve">Cost at the end (lot 71)</t>
  </si>
  <si>
    <t xml:space="preserve">Cost at the end (lot 72)</t>
  </si>
  <si>
    <t xml:space="preserve">Cost at the end (lot 73)</t>
  </si>
  <si>
    <t xml:space="preserve">Cost at the end (lot 74)</t>
  </si>
  <si>
    <t xml:space="preserve">Cost at the end (lot 75)</t>
  </si>
  <si>
    <t xml:space="preserve">Cost at the end (lot 76)</t>
  </si>
  <si>
    <t xml:space="preserve">Cost at the end (lot 77)</t>
  </si>
  <si>
    <t xml:space="preserve">Cost at the end (lot 78)</t>
  </si>
  <si>
    <t xml:space="preserve">Cost at the end (lot 79)</t>
  </si>
  <si>
    <t xml:space="preserve">Cost at the end (lot 80)</t>
  </si>
  <si>
    <t xml:space="preserve">Cost at the end (lot 81)</t>
  </si>
  <si>
    <t xml:space="preserve">Cost at the end (lot 82)</t>
  </si>
  <si>
    <t xml:space="preserve">Cost at the end (lot 83)</t>
  </si>
  <si>
    <t xml:space="preserve">Cost at the end (lot 84)</t>
  </si>
  <si>
    <t xml:space="preserve">Cost at the end (lot 85)</t>
  </si>
  <si>
    <t xml:space="preserve">Cost at the end (lot 86)</t>
  </si>
  <si>
    <t xml:space="preserve">Cost at the end (lot 87)</t>
  </si>
  <si>
    <t xml:space="preserve">Cost at the end (lot 88)</t>
  </si>
  <si>
    <t xml:space="preserve">Cost at the end (lot 89)</t>
  </si>
  <si>
    <t xml:space="preserve">Cost at the end (lot 90)</t>
  </si>
  <si>
    <t xml:space="preserve">Years on the 8-year clock (lot 0)</t>
  </si>
  <si>
    <t xml:space="preserve">Years on the 8-year clock (lot 1)</t>
  </si>
  <si>
    <t xml:space="preserve">Years on the 8-year clock (lot 2)</t>
  </si>
  <si>
    <t xml:space="preserve">Years on the 8-year clock (lot 3)</t>
  </si>
  <si>
    <t xml:space="preserve">Years on the 8-year clock (lot 4)</t>
  </si>
  <si>
    <t xml:space="preserve">Years on the 8-year clock (lot 5)</t>
  </si>
  <si>
    <t xml:space="preserve">Years on the 8-year clock (lot 6)</t>
  </si>
  <si>
    <t xml:space="preserve">Years on the 8-year clock (lot 7)</t>
  </si>
  <si>
    <t xml:space="preserve">Years on the 8-year clock (lot 8)</t>
  </si>
  <si>
    <t xml:space="preserve">Years on the 8-year clock (lot 9)</t>
  </si>
  <si>
    <t xml:space="preserve">Years on the 8-year clock (lot 10)</t>
  </si>
  <si>
    <t xml:space="preserve">Years on the 8-year clock (lot 11)</t>
  </si>
  <si>
    <t xml:space="preserve">Years on the 8-year clock (lot 12)</t>
  </si>
  <si>
    <t xml:space="preserve">Years on the 8-year clock (lot 13)</t>
  </si>
  <si>
    <t xml:space="preserve">Years on the 8-year clock (lot 14)</t>
  </si>
  <si>
    <t xml:space="preserve">Years on the 8-year clock (lot 15)</t>
  </si>
  <si>
    <t xml:space="preserve">Years on the 8-year clock (lot 16)</t>
  </si>
  <si>
    <t xml:space="preserve">Years on the 8-year clock (lot 17)</t>
  </si>
  <si>
    <t xml:space="preserve">Years on the 8-year clock (lot 18)</t>
  </si>
  <si>
    <t xml:space="preserve">Years on the 8-year clock (lot 19)</t>
  </si>
  <si>
    <t xml:space="preserve">Years on the 8-year clock (lot 20)</t>
  </si>
  <si>
    <t xml:space="preserve">Years on the 8-year clock (lot 21)</t>
  </si>
  <si>
    <t xml:space="preserve">Years on the 8-year clock (lot 22)</t>
  </si>
  <si>
    <t xml:space="preserve">Years on the 8-year clock (lot 23)</t>
  </si>
  <si>
    <t xml:space="preserve">Years on the 8-year clock (lot 24)</t>
  </si>
  <si>
    <t xml:space="preserve">Years on the 8-year clock (lot 25)</t>
  </si>
  <si>
    <t xml:space="preserve">Years on the 8-year clock (lot 26)</t>
  </si>
  <si>
    <t xml:space="preserve">Years on the 8-year clock (lot 27)</t>
  </si>
  <si>
    <t xml:space="preserve">Years on the 8-year clock (lot 28)</t>
  </si>
  <si>
    <t xml:space="preserve">Years on the 8-year clock (lot 29)</t>
  </si>
  <si>
    <t xml:space="preserve">Years on the 8-year clock (lot 30)</t>
  </si>
  <si>
    <t xml:space="preserve">Years on the 8-year clock (lot 31)</t>
  </si>
  <si>
    <t xml:space="preserve">Years on the 8-year clock (lot 32)</t>
  </si>
  <si>
    <t xml:space="preserve">Years on the 8-year clock (lot 33)</t>
  </si>
  <si>
    <t xml:space="preserve">Years on the 8-year clock (lot 34)</t>
  </si>
  <si>
    <t xml:space="preserve">Years on the 8-year clock (lot 35)</t>
  </si>
  <si>
    <t xml:space="preserve">Years on the 8-year clock (lot 36)</t>
  </si>
  <si>
    <t xml:space="preserve">Years on the 8-year clock (lot 37)</t>
  </si>
  <si>
    <t xml:space="preserve">Years on the 8-year clock (lot 38)</t>
  </si>
  <si>
    <t xml:space="preserve">Years on the 8-year clock (lot 39)</t>
  </si>
  <si>
    <t xml:space="preserve">Years on the 8-year clock (lot 40)</t>
  </si>
  <si>
    <t xml:space="preserve">Years on the 8-year clock (lot 41)</t>
  </si>
  <si>
    <t xml:space="preserve">Years on the 8-year clock (lot 42)</t>
  </si>
  <si>
    <t xml:space="preserve">Years on the 8-year clock (lot 43)</t>
  </si>
  <si>
    <t xml:space="preserve">Years on the 8-year clock (lot 44)</t>
  </si>
  <si>
    <t xml:space="preserve">Years on the 8-year clock (lot 45)</t>
  </si>
  <si>
    <t xml:space="preserve">Years on the 8-year clock (lot 46)</t>
  </si>
  <si>
    <t xml:space="preserve">Years on the 8-year clock (lot 47)</t>
  </si>
  <si>
    <t xml:space="preserve">Years on the 8-year clock (lot 48)</t>
  </si>
  <si>
    <t xml:space="preserve">Years on the 8-year clock (lot 49)</t>
  </si>
  <si>
    <t xml:space="preserve">Years on the 8-year clock (lot 50)</t>
  </si>
  <si>
    <t xml:space="preserve">Years on the 8-year clock (lot 51)</t>
  </si>
  <si>
    <t xml:space="preserve">Years on the 8-year clock (lot 52)</t>
  </si>
  <si>
    <t xml:space="preserve">Years on the 8-year clock (lot 53)</t>
  </si>
  <si>
    <t xml:space="preserve">Years on the 8-year clock (lot 54)</t>
  </si>
  <si>
    <t xml:space="preserve">Years on the 8-year clock (lot 55)</t>
  </si>
  <si>
    <t xml:space="preserve">Years on the 8-year clock (lot 56)</t>
  </si>
  <si>
    <t xml:space="preserve">Years on the 8-year clock (lot 57)</t>
  </si>
  <si>
    <t xml:space="preserve">Years on the 8-year clock (lot 58)</t>
  </si>
  <si>
    <t xml:space="preserve">Years on the 8-year clock (lot 59)</t>
  </si>
  <si>
    <t xml:space="preserve">Years on the 8-year clock (lot 60)</t>
  </si>
  <si>
    <t xml:space="preserve">Years on the 8-year clock (lot 61)</t>
  </si>
  <si>
    <t xml:space="preserve">Years on the 8-year clock (lot 62)</t>
  </si>
  <si>
    <t xml:space="preserve">Years on the 8-year clock (lot 63)</t>
  </si>
  <si>
    <t xml:space="preserve">Years on the 8-year clock (lot 64)</t>
  </si>
  <si>
    <t xml:space="preserve">Years on the 8-year clock (lot 65)</t>
  </si>
  <si>
    <t xml:space="preserve">Years on the 8-year clock (lot 66)</t>
  </si>
  <si>
    <t xml:space="preserve">Years on the 8-year clock (lot 67)</t>
  </si>
  <si>
    <t xml:space="preserve">Years on the 8-year clock (lot 68)</t>
  </si>
  <si>
    <t xml:space="preserve">Years on the 8-year clock (lot 69)</t>
  </si>
  <si>
    <t xml:space="preserve">Years on the 8-year clock (lot 70)</t>
  </si>
  <si>
    <t xml:space="preserve">Years on the 8-year clock (lot 71)</t>
  </si>
  <si>
    <t xml:space="preserve">Years on the 8-year clock (lot 72)</t>
  </si>
  <si>
    <t xml:space="preserve">Years on the 8-year clock (lot 73)</t>
  </si>
  <si>
    <t xml:space="preserve">Years on the 8-year clock (lot 74)</t>
  </si>
  <si>
    <t xml:space="preserve">Years on the 8-year clock (lot 75)</t>
  </si>
  <si>
    <t xml:space="preserve">Years on the 8-year clock (lot 76)</t>
  </si>
  <si>
    <t xml:space="preserve">Years on the 8-year clock (lot 77)</t>
  </si>
  <si>
    <t xml:space="preserve">Years on the 8-year clock (lot 78)</t>
  </si>
  <si>
    <t xml:space="preserve">Years on the 8-year clock (lot 79)</t>
  </si>
  <si>
    <t xml:space="preserve">Years on the 8-year clock (lot 80)</t>
  </si>
  <si>
    <t xml:space="preserve">Years on the 8-year clock (lot 81)</t>
  </si>
  <si>
    <t xml:space="preserve">Years on the 8-year clock (lot 82)</t>
  </si>
  <si>
    <t xml:space="preserve">Years on the 8-year clock (lot 83)</t>
  </si>
  <si>
    <t xml:space="preserve">Years on the 8-year clock (lot 84)</t>
  </si>
  <si>
    <t xml:space="preserve">Years on the 8-year clock (lot 85)</t>
  </si>
  <si>
    <t xml:space="preserve">Years on the 8-year clock (lot 86)</t>
  </si>
  <si>
    <t xml:space="preserve">Years on the 8-year clock (lot 87)</t>
  </si>
  <si>
    <t xml:space="preserve">Years on the 8-year clock (lot 88)</t>
  </si>
  <si>
    <t xml:space="preserve">Years on the 8-year clock (lot 89)</t>
  </si>
  <si>
    <t xml:space="preserve">Years on the 8-year clock (lot 90)</t>
  </si>
  <si>
    <t xml:space="preserve">Exit tax at the anniversary (lot 0)</t>
  </si>
  <si>
    <t xml:space="preserve">Exit tax at the anniversary (lot 1)</t>
  </si>
  <si>
    <t xml:space="preserve">Exit tax at the anniversary (lot 2)</t>
  </si>
  <si>
    <t xml:space="preserve">Exit tax at the anniversary (lot 3)</t>
  </si>
  <si>
    <t xml:space="preserve">Exit tax at the anniversary (lot 4)</t>
  </si>
  <si>
    <t xml:space="preserve">Exit tax at the anniversary (lot 5)</t>
  </si>
  <si>
    <t xml:space="preserve">Exit tax at the anniversary (lot 6)</t>
  </si>
  <si>
    <t xml:space="preserve">Exit tax at the anniversary (lot 7)</t>
  </si>
  <si>
    <t xml:space="preserve">Exit tax at the anniversary (lot 8)</t>
  </si>
  <si>
    <t xml:space="preserve">Exit tax at the anniversary (lot 9)</t>
  </si>
  <si>
    <t xml:space="preserve">Exit tax at the anniversary (lot 10)</t>
  </si>
  <si>
    <t xml:space="preserve">Exit tax at the anniversary (lot 11)</t>
  </si>
  <si>
    <t xml:space="preserve">Exit tax at the anniversary (lot 12)</t>
  </si>
  <si>
    <t xml:space="preserve">Exit tax at the anniversary (lot 13)</t>
  </si>
  <si>
    <t xml:space="preserve">Exit tax at the anniversary (lot 14)</t>
  </si>
  <si>
    <t xml:space="preserve">Exit tax at the anniversary (lot 15)</t>
  </si>
  <si>
    <t xml:space="preserve">Exit tax at the anniversary (lot 16)</t>
  </si>
  <si>
    <t xml:space="preserve">Exit tax at the anniversary (lot 17)</t>
  </si>
  <si>
    <t xml:space="preserve">Exit tax at the anniversary (lot 18)</t>
  </si>
  <si>
    <t xml:space="preserve">Exit tax at the anniversary (lot 19)</t>
  </si>
  <si>
    <t xml:space="preserve">Exit tax at the anniversary (lot 20)</t>
  </si>
  <si>
    <t xml:space="preserve">Exit tax at the anniversary (lot 21)</t>
  </si>
  <si>
    <t xml:space="preserve">Exit tax at the anniversary (lot 22)</t>
  </si>
  <si>
    <t xml:space="preserve">Exit tax at the anniversary (lot 23)</t>
  </si>
  <si>
    <t xml:space="preserve">Exit tax at the anniversary (lot 24)</t>
  </si>
  <si>
    <t xml:space="preserve">Exit tax at the anniversary (lot 25)</t>
  </si>
  <si>
    <t xml:space="preserve">Exit tax at the anniversary (lot 26)</t>
  </si>
  <si>
    <t xml:space="preserve">Exit tax at the anniversary (lot 27)</t>
  </si>
  <si>
    <t xml:space="preserve">Exit tax at the anniversary (lot 28)</t>
  </si>
  <si>
    <t xml:space="preserve">Exit tax at the anniversary (lot 29)</t>
  </si>
  <si>
    <t xml:space="preserve">Exit tax at the anniversary (lot 30)</t>
  </si>
  <si>
    <t xml:space="preserve">Exit tax at the anniversary (lot 31)</t>
  </si>
  <si>
    <t xml:space="preserve">Exit tax at the anniversary (lot 32)</t>
  </si>
  <si>
    <t xml:space="preserve">Exit tax at the anniversary (lot 33)</t>
  </si>
  <si>
    <t xml:space="preserve">Exit tax at the anniversary (lot 34)</t>
  </si>
  <si>
    <t xml:space="preserve">Exit tax at the anniversary (lot 35)</t>
  </si>
  <si>
    <t xml:space="preserve">Exit tax at the anniversary (lot 36)</t>
  </si>
  <si>
    <t xml:space="preserve">Exit tax at the anniversary (lot 37)</t>
  </si>
  <si>
    <t xml:space="preserve">Exit tax at the anniversary (lot 38)</t>
  </si>
  <si>
    <t xml:space="preserve">Exit tax at the anniversary (lot 39)</t>
  </si>
  <si>
    <t xml:space="preserve">Exit tax at the anniversary (lot 40)</t>
  </si>
  <si>
    <t xml:space="preserve">Exit tax at the anniversary (lot 41)</t>
  </si>
  <si>
    <t xml:space="preserve">Exit tax at the anniversary (lot 42)</t>
  </si>
  <si>
    <t xml:space="preserve">Exit tax at the anniversary (lot 43)</t>
  </si>
  <si>
    <t xml:space="preserve">Exit tax at the anniversary (lot 44)</t>
  </si>
  <si>
    <t xml:space="preserve">Exit tax at the anniversary (lot 45)</t>
  </si>
  <si>
    <t xml:space="preserve">Exit tax at the anniversary (lot 46)</t>
  </si>
  <si>
    <t xml:space="preserve">Exit tax at the anniversary (lot 47)</t>
  </si>
  <si>
    <t xml:space="preserve">Exit tax at the anniversary (lot 48)</t>
  </si>
  <si>
    <t xml:space="preserve">Exit tax at the anniversary (lot 49)</t>
  </si>
  <si>
    <t xml:space="preserve">Exit tax at the anniversary (lot 50)</t>
  </si>
  <si>
    <t xml:space="preserve">Exit tax at the anniversary (lot 51)</t>
  </si>
  <si>
    <t xml:space="preserve">Exit tax at the anniversary (lot 52)</t>
  </si>
  <si>
    <t xml:space="preserve">Exit tax at the anniversary (lot 53)</t>
  </si>
  <si>
    <t xml:space="preserve">Exit tax at the anniversary (lot 54)</t>
  </si>
  <si>
    <t xml:space="preserve">Exit tax at the anniversary (lot 55)</t>
  </si>
  <si>
    <t xml:space="preserve">Exit tax at the anniversary (lot 56)</t>
  </si>
  <si>
    <t xml:space="preserve">Exit tax at the anniversary (lot 57)</t>
  </si>
  <si>
    <t xml:space="preserve">Exit tax at the anniversary (lot 58)</t>
  </si>
  <si>
    <t xml:space="preserve">Exit tax at the anniversary (lot 59)</t>
  </si>
  <si>
    <t xml:space="preserve">Exit tax at the anniversary (lot 60)</t>
  </si>
  <si>
    <t xml:space="preserve">Exit tax at the anniversary (lot 61)</t>
  </si>
  <si>
    <t xml:space="preserve">Exit tax at the anniversary (lot 62)</t>
  </si>
  <si>
    <t xml:space="preserve">Exit tax at the anniversary (lot 63)</t>
  </si>
  <si>
    <t xml:space="preserve">Exit tax at the anniversary (lot 64)</t>
  </si>
  <si>
    <t xml:space="preserve">Exit tax at the anniversary (lot 65)</t>
  </si>
  <si>
    <t xml:space="preserve">Exit tax at the anniversary (lot 66)</t>
  </si>
  <si>
    <t xml:space="preserve">Exit tax at the anniversary (lot 67)</t>
  </si>
  <si>
    <t xml:space="preserve">Exit tax at the anniversary (lot 68)</t>
  </si>
  <si>
    <t xml:space="preserve">Exit tax at the anniversary (lot 69)</t>
  </si>
  <si>
    <t xml:space="preserve">Exit tax at the anniversary (lot 70)</t>
  </si>
  <si>
    <t xml:space="preserve">Exit tax at the anniversary (lot 71)</t>
  </si>
  <si>
    <t xml:space="preserve">Exit tax at the anniversary (lot 72)</t>
  </si>
  <si>
    <t xml:space="preserve">Exit tax at the anniversary (lot 73)</t>
  </si>
  <si>
    <t xml:space="preserve">Exit tax at the anniversary (lot 74)</t>
  </si>
  <si>
    <t xml:space="preserve">Exit tax at the anniversary (lot 75)</t>
  </si>
  <si>
    <t xml:space="preserve">Exit tax at the anniversary (lot 76)</t>
  </si>
  <si>
    <t xml:space="preserve">Exit tax at the anniversary (lot 77)</t>
  </si>
  <si>
    <t xml:space="preserve">Exit tax at the anniversary (lot 78)</t>
  </si>
  <si>
    <t xml:space="preserve">Exit tax at the anniversary (lot 79)</t>
  </si>
  <si>
    <t xml:space="preserve">Exit tax at the anniversary (lot 80)</t>
  </si>
  <si>
    <t xml:space="preserve">Exit tax at the anniversary (lot 81)</t>
  </si>
  <si>
    <t xml:space="preserve">Exit tax at the anniversary (lot 82)</t>
  </si>
  <si>
    <t xml:space="preserve">Exit tax at the anniversary (lot 83)</t>
  </si>
  <si>
    <t xml:space="preserve">Exit tax at the anniversary (lot 84)</t>
  </si>
  <si>
    <t xml:space="preserve">Exit tax at the anniversary (lot 85)</t>
  </si>
  <si>
    <t xml:space="preserve">Exit tax at the anniversary (lot 86)</t>
  </si>
  <si>
    <t xml:space="preserve">Exit tax at the anniversary (lot 87)</t>
  </si>
  <si>
    <t xml:space="preserve">Exit tax at the anniversary (lot 88)</t>
  </si>
  <si>
    <t xml:space="preserve">Exit tax at the anniversary (lot 89)</t>
  </si>
  <si>
    <t xml:space="preserve">Exit tax at the anniversary (lot 90)</t>
  </si>
  <si>
    <t xml:space="preserve">today</t>
  </si>
  <si>
    <t xml:space="preserve">PARAMETERS</t>
  </si>
  <si>
    <t xml:space="preserve">Exit tax on funds</t>
  </si>
  <si>
    <t xml:space="preserve">Assumptions: 38% in 2026</t>
  </si>
  <si>
    <t xml:space="preserve">Deemed disposal every (years)</t>
  </si>
  <si>
    <t xml:space="preserve">Assumptions: 8</t>
  </si>
  <si>
    <t xml:space="preserve">Assumptions: 33%</t>
  </si>
  <si>
    <t xml:space="preserve">CGT rate before the change</t>
  </si>
  <si>
    <t xml:space="preserve">33% (until 6 Oct 2026)</t>
  </si>
  <si>
    <t xml:space="preserve">CGT rate from the change</t>
  </si>
  <si>
    <t xml:space="preserve">31% from 7 Oct 2026 (Revenue eBrief 142/26, seen in search results only)</t>
  </si>
  <si>
    <t xml:space="preserve">Date the lower CGT rate starts</t>
  </si>
  <si>
    <t xml:space="preserve">Yearly CGT exemption per person (€)</t>
  </si>
  <si>
    <t xml:space="preserve">Requires Verification: the Revenue page could not be opened</t>
  </si>
  <si>
    <t xml:space="preserve">Share of other assets and alternative investments treated as gain when no cost is given</t>
  </si>
  <si>
    <t xml:space="preserve">Your choice, else the 40% standard</t>
  </si>
  <si>
    <t xml:space="preserve">Investments held as shares directly (1) or funds / ETFs (0)</t>
  </si>
  <si>
    <t xml:space="preserve">Tax taken as events (1); 0 if you chose your own investment growth rate</t>
  </si>
  <si>
    <t xml:space="preserve">The prototype: !asmMine("inv")</t>
  </si>
  <si>
    <t xml:space="preserve">Investment growth after charges, before tax</t>
  </si>
  <si>
    <t xml:space="preserve">Settings: growth before fees less charges</t>
  </si>
  <si>
    <t xml:space="preserve">People who own the assets (CGT exemptions)</t>
  </si>
  <si>
    <t xml:space="preserve">Share of new spare money that is invested</t>
  </si>
  <si>
    <t xml:space="preserve">Investments today</t>
  </si>
  <si>
    <t xml:space="preserve">What you paid for the investments</t>
  </si>
  <si>
    <t xml:space="preserve">Blank cost: bought at today's value (a share of it is gain for shares held directly)</t>
  </si>
  <si>
    <t xml:space="preserve">Years already on the 8-year clock</t>
  </si>
  <si>
    <t xml:space="preserve">Other assets today</t>
  </si>
  <si>
    <t xml:space="preserve">What you paid for other assets</t>
  </si>
  <si>
    <t xml:space="preserve">Alternative investments today</t>
  </si>
  <si>
    <t xml:space="preserve">What you paid for alternative investments</t>
  </si>
  <si>
    <t xml:space="preserve">Capital losses you can use</t>
  </si>
  <si>
    <t xml:space="preserve">Savings accounts today</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</si>
  <si>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</si>
  <si>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</si>
  <si>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</si>
  <si>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</si>
  <si>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</si>
  <si>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</si>
  <si>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</si>
  <si>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</si>
  <si>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</si>
  <si>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</si>
  <si>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</si>
  <si>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</si>
  <si>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</si>
  <si>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</si>
  <si>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</si>
  <si>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</si>
  <si>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</si>
  <si>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</si>
  <si>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</si>
  <si>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</si>
  <si>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</si>
  <si>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</si>
  <si>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</si>
  <si>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</si>
  <si>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</si>
  <si>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</si>
  <si>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</si>
  <si>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</si>
  <si>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</si>
  <si>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</si>
  <si>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</si>
  <si>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</si>
  <si>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</si>
  <si>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</si>
  <si>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</si>
  <si>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</si>
  <si>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</si>
  <si>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</si>
  <si>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</si>
  <si>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</si>
  <si>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</si>
  <si>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</si>
  <si>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</si>
  <si>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</si>
  <si>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</si>
  <si>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</si>
  <si>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</si>
  <si>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</si>
  <si>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</si>
  <si>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</si>
  <si>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</si>
  <si>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</si>
  <si>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</si>
  <si>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</si>
  <si>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</si>
  <si>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</si>
  <si>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</si>
  <si>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</si>
  <si>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</si>
  <si>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</si>
  <si>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</si>
  <si>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</si>
  <si>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</si>
  <si>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</si>
  <si>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</si>
  <si>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</si>
  <si>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</si>
  <si>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</si>
  <si>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</si>
  <si>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</si>
  <si>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</si>
  <si>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</si>
  <si>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</si>
  <si>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</si>
  <si>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</si>
  <si>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</si>
  <si>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</si>
  <si>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</si>
  <si>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</si>
  <si>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</si>
  <si>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</si>
  <si>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</si>
  <si>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</si>
  <si>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</si>
  <si>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</si>
  <si>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</si>
  <si>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</si>
  <si>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</si>
  <si>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</si>
  <si>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</si>
  <si>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</si>
  <si>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</si>
  <si>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</si>
  <si>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</si>
  <si>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</si>
  <si>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</si>
  <si>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</si>
  <si>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</si>
  <si>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</si>
  <si>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</si>
  <si>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</si>
  <si>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</si>
  <si>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</si>
  <si>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</si>
  <si>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</si>
  <si>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</si>
  <si>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</si>
  <si>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</si>
  <si>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</si>
  <si>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</si>
  <si>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</si>
  <si>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</si>
  <si>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</si>
  <si>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</si>
  <si>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</si>
  <si>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</si>
  <si>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</si>
  <si>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</si>
  <si>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</si>
  <si>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</si>
  <si>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</si>
  <si>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</si>
  <si>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</si>
  <si>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</si>
  <si>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</si>
  <si>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</si>
  <si>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</si>
  <si>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</si>
  <si>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</si>
  <si>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</si>
  <si>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</si>
  <si>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</si>
  <si>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</si>
  <si>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</si>
  <si>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</si>
  <si>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</si>
  <si>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</si>
  <si>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</si>
  <si>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Monthly repayment</t>
  </si>
  <si>
    <t xml:space="preserve">mortPayM</t>
  </si>
  <si>
    <t xml:space="preserve">Years left</t>
  </si>
  <si>
    <t xml:space="preserve">mortYears</t>
  </si>
  <si>
    <t xml:space="preserve">Interest rate</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</si>
  <si>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</si>
  <si>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</si>
  <si>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</si>
  <si>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</si>
  <si>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</si>
  <si>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</si>
  <si>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</si>
  <si>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</si>
  <si>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</si>
  <si>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</si>
  <si>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</si>
  <si>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</si>
  <si>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</si>
  <si>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</si>
  <si>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</si>
  <si>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</si>
  <si>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</si>
  <si>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</si>
  <si>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</si>
  <si>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</si>
  <si>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</si>
  <si>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Pension value today</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</si>
  <si>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</si>
  <si>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</si>
  <si>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</si>
  <si>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</si>
  <si>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</si>
  <si>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</si>
  <si>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</si>
  <si>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</si>
  <si>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</si>
  <si>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</si>
  <si>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</si>
  <si>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</si>
  <si>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</si>
  <si>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</si>
  <si>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</si>
  <si>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</si>
  <si>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</si>
  <si>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</si>
  <si>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</si>
  <si>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</si>
  <si>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</si>
  <si>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</si>
  <si>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</si>
  <si>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</si>
  <si>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</si>
  <si>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</si>
  <si>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</si>
  <si>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</si>
  <si>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</si>
  <si>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</si>
  <si>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</si>
  <si>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</si>
  <si>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</si>
  <si>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</si>
  <si>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</si>
  <si>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</si>
  <si>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</si>
  <si>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</si>
  <si>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</si>
  <si>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</si>
  <si>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</si>
  <si>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</si>
  <si>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</si>
  <si>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</si>
  <si>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</si>
  <si>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</si>
  <si>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</si>
  <si>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</si>
  <si>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</si>
  <si>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</si>
  <si>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</si>
  <si>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</si>
  <si>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</si>
  <si>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</si>
  <si>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</si>
  <si>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</si>
  <si>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</si>
  <si>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</si>
  <si>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</si>
  <si>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</si>
  <si>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</si>
  <si>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</si>
  <si>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</si>
  <si>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</si>
  <si>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</si>
  <si>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</si>
  <si>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</si>
  <si>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</si>
  <si>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</si>
  <si>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</si>
  <si>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</si>
  <si>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</si>
  <si>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Years</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</si>
  <si>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</si>
  <si>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</si>
  <si>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</si>
  <si>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</si>
  <si>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</si>
  <si>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</si>
  <si>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</si>
  <si>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</si>
  <si>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</si>
  <si>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</si>
  <si>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</si>
  <si>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</si>
  <si>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</si>
  <si>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</si>
  <si>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</si>
  <si>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</si>
  <si>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</si>
  <si>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</si>
  <si>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</si>
  <si>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</si>
  <si>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</si>
  <si>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</si>
  <si>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</si>
  <si>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</si>
  <si>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</si>
  <si>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</si>
  <si>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</si>
  <si>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</si>
  <si>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</si>
  <si>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</si>
  <si>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</si>
  <si>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MY MONEY: the optional figures added in engine v3.0 (same columns as the table above, rows 101 to 139)</t>
  </si>
  <si>
    <t xml:space="preserve">Would you use your home to fund your plan?</t>
  </si>
  <si>
    <t xml:space="preserve">homeUse</t>
  </si>
  <si>
    <t xml:space="preserve">downAge</t>
  </si>
  <si>
    <t xml:space="preserve">Value of the smaller home</t>
  </si>
  <si>
    <t xml:space="preserve">downValue</t>
  </si>
  <si>
    <t xml:space="preserve">Savings accounts</t>
  </si>
  <si>
    <t xml:space="preserve">savings</t>
  </si>
  <si>
    <t xml:space="preserve">What you paid for your investments</t>
  </si>
  <si>
    <t xml:space="preserve">invCost</t>
  </si>
  <si>
    <t xml:space="preserve">Years you have held your investments</t>
  </si>
  <si>
    <t xml:space="preserve">invYears</t>
  </si>
  <si>
    <t xml:space="preserve">Other assets you would sell if needed</t>
  </si>
  <si>
    <t xml:space="preserve">otherAssets</t>
  </si>
  <si>
    <t xml:space="preserve">What you paid for your other assets</t>
  </si>
  <si>
    <t xml:space="preserve">othCost</t>
  </si>
  <si>
    <t xml:space="preserve">Alternative investments</t>
  </si>
  <si>
    <t xml:space="preserve">altInv</t>
  </si>
  <si>
    <t xml:space="preserve">What you paid for your alternative investments</t>
  </si>
  <si>
    <t xml:space="preserve">altCost</t>
  </si>
  <si>
    <t xml:space="preserve">capLoss</t>
  </si>
  <si>
    <t xml:space="preserve">Assets owned together with your partner</t>
  </si>
  <si>
    <t xml:space="preserve">assetsJoint</t>
  </si>
  <si>
    <t xml:space="preserve">Policy lump sum</t>
  </si>
  <si>
    <t xml:space="preserve">polLump</t>
  </si>
  <si>
    <t xml:space="preserve">Age the policy pays out</t>
  </si>
  <si>
    <t xml:space="preserve">polLumpAge</t>
  </si>
  <si>
    <t xml:space="preserve">Policy or annuity income</t>
  </si>
  <si>
    <t xml:space="preserve">polInc</t>
  </si>
  <si>
    <t xml:space="preserve">Age the policy income starts</t>
  </si>
  <si>
    <t xml:space="preserve">polIncAge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</si>
  <si>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</si>
  <si>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</si>
  <si>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</si>
  <si>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</si>
  <si>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</si>
  <si>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</si>
  <si>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</si>
  <si>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</si>
  <si>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</si>
  <si>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</si>
  <si>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</si>
  <si>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</si>
  <si>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</si>
  <si>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</si>
  <si>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</si>
  <si>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</si>
  <si>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</si>
  <si>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</si>
  <si>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</si>
  <si>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</si>
  <si>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</si>
  <si>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</si>
  <si>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</si>
  <si>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</si>
  <si>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</si>
  <si>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</si>
  <si>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</si>
  <si>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</si>
  <si>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</si>
  <si>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</si>
  <si>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</si>
  <si>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</si>
  <si>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</si>
  <si>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</si>
  <si>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</si>
  <si>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</si>
  <si>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</si>
  <si>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</si>
  <si>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</si>
  <si>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</si>
  <si>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</si>
  <si>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</si>
  <si>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</si>
  <si>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</si>
  <si>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</si>
  <si>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</si>
  <si>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</si>
  <si>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</si>
  <si>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</si>
  <si>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</si>
  <si>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</si>
  <si>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</si>
  <si>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</si>
  <si>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</si>
  <si>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</si>
  <si>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Liquidity reserve</t>
  </si>
  <si>
    <t xml:space="preserve">7|2</t>
  </si>
  <si>
    <t xml:space="preserve">Goal leakage</t>
  </si>
  <si>
    <t xml:space="preserve">7|3</t>
  </si>
  <si>
    <t xml:space="preserve">Credit-funded</t>
  </si>
  <si>
    <t xml:space="preserve">7|4</t>
  </si>
  <si>
    <t xml:space="preserve">Not planned yet</t>
  </si>
  <si>
    <t xml:space="preserve">8|1</t>
  </si>
  <si>
    <t xml:space="preserve">Low risk</t>
  </si>
  <si>
    <t xml:space="preserve">8|2</t>
  </si>
  <si>
    <t xml:space="preserve">Cautious</t>
  </si>
  <si>
    <t xml:space="preserve">8|3</t>
  </si>
  <si>
    <t xml:space="preserve">Balanced</t>
  </si>
  <si>
    <t xml:space="preserve">8|4</t>
  </si>
  <si>
    <t xml:space="preserve">Adventurous</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</si>
  <si>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</si>
  <si>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</si>
  <si>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</si>
  <si>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</si>
  <si>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</si>
  <si>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</si>
  <si>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</si>
  <si>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</si>
  <si>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</si>
  <si>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</si>
  <si>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</si>
  <si>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</si>
  <si>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</si>
  <si>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</si>
  <si>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</si>
  <si>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</si>
  <si>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</si>
  <si>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</si>
  <si>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</si>
  <si>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</si>
  <si>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</si>
  <si>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</si>
  <si>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</si>
  <si>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</si>
  <si>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</si>
  <si>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</si>
  <si>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</si>
  <si>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</si>
  <si>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</si>
  <si>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</si>
  <si>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</si>
  <si>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</si>
  <si>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</si>
  <si>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</si>
  <si>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</si>
  <si>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</si>
  <si>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</si>
  <si>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</si>
  <si>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</si>
  <si>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</si>
  <si>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</si>
  <si>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</si>
  <si>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RESULTS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</si>
  <si>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</si>
  <si>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</si>
  <si>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</si>
  <si>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</si>
  <si>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</si>
  <si>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</si>
  <si>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</si>
  <si>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</si>
  <si>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</si>
  <si>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</si>
  <si>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</si>
  <si>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</si>
  <si>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</si>
  <si>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</si>
  <si>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</si>
  <si>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</si>
  <si>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</si>
  <si>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</si>
  <si>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</si>
  <si>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</si>
  <si>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</si>
  <si>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</si>
  <si>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</si>
  <si>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</si>
  <si>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</si>
  <si>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</si>
  <si>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</si>
  <si>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</si>
  <si>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</si>
  <si>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</si>
  <si>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</si>
  <si>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</si>
  <si>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</si>
  <si>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</si>
  <si>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</si>
  <si>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</si>
  <si>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</si>
  <si>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</si>
  <si>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</si>
  <si>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</si>
  <si>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</si>
  <si>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</si>
  <si>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</si>
  <si>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</si>
  <si>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</si>
  <si>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</si>
  <si>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</si>
  <si>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</si>
  <si>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</si>
  <si>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</si>
  <si>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</si>
  <si>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</si>
  <si>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</si>
  <si>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</si>
  <si>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</si>
  <si>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</si>
  <si>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</si>
  <si>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</si>
  <si>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Money terms: safety net (Q7)</t>
  </si>
  <si>
    <t xml:space="preserve">Cushion figures given (cash and living costs both given) (1/0)</t>
  </si>
  <si>
    <t xml:space="preserve">Months of essential spending held in cash (rounded down to 0.1)</t>
  </si>
  <si>
    <t xml:space="preserve">Cushion level (v3.0: from the figures, else from the Q7 answer)</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</si>
  <si>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</si>
  <si>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</si>
  <si>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</si>
  <si>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</si>
  <si>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</si>
  <si>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</si>
  <si>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</si>
  <si>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</si>
  <si>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</si>
  <si>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</si>
  <si>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</si>
  <si>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</si>
  <si>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</si>
  <si>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</si>
  <si>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</si>
  <si>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</si>
  <si>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</si>
  <si>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</si>
  <si>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</si>
  <si>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</si>
  <si>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</si>
  <si>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</si>
  <si>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</si>
  <si>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</si>
  <si>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</si>
  <si>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</si>
  <si>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</si>
  <si>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</si>
  <si>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</si>
  <si>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</si>
  <si>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</si>
  <si>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</si>
  <si>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</si>
  <si>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</si>
  <si>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</si>
  <si>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</si>
  <si>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</si>
  <si>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</si>
  <si>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</si>
  <si>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</si>
  <si>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</si>
  <si>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</si>
  <si>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</si>
  <si>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</si>
  <si>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</si>
  <si>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</si>
  <si>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</si>
  <si>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</si>
  <si>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</si>
  <si>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</si>
  <si>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</si>
  <si>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</si>
  <si>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</si>
  <si>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</si>
  <si>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</si>
  <si>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</si>
  <si>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</si>
  <si>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</si>
  <si>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</si>
  <si>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</si>
  <si>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</si>
  <si>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</si>
  <si>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</si>
  <si>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</si>
  <si>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</si>
  <si>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</si>
  <si>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</si>
  <si>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</si>
  <si>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</si>
  <si>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</si>
  <si>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</si>
  <si>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</si>
  <si>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</si>
  <si>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</si>
  <si>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</si>
  <si>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</si>
  <si>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</si>
  <si>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</si>
  <si>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</si>
  <si>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</si>
  <si>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</si>
  <si>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</si>
  <si>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</si>
  <si>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</si>
  <si>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</si>
  <si>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</si>
  <si>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</si>
  <si>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</si>
  <si>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</si>
  <si>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</si>
  <si>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</si>
  <si>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</si>
  <si>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</si>
  <si>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</si>
  <si>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</si>
  <si>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</si>
  <si>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</si>
  <si>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</si>
  <si>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</si>
  <si>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</si>
  <si>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</si>
  <si>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</si>
  <si>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</si>
  <si>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</si>
  <si>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</si>
  <si>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</si>
  <si>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</si>
  <si>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</si>
  <si>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</si>
  <si>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</si>
  <si>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</si>
  <si>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C01 · How much could I borrow?</t>
  </si>
  <si>
    <t xml:space="preserve">Category: Home &amp; Mortgage · prototype id: borrow</t>
  </si>
  <si>
    <t xml:space="preserve">Question it answers: What home price could be within reach?</t>
  </si>
  <si>
    <t xml:space="preserve">INPUTS</t>
  </si>
  <si>
    <t xml:space="preserve">Allowed</t>
  </si>
  <si>
    <t xml:space="preserve">Example only (grey; used only when "Fill example values" is Yes)</t>
  </si>
  <si>
    <t xml:space="preserve">Type 3 · your figure · Your own figure. In the app it is pre-filled from Your finances: income. Allowed: €15,000 to €2,500,000 · steps of €1,000</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</si>
  <si>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</si>
  <si>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</si>
  <si>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</si>
  <si>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</si>
  <si>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</si>
  <si>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</si>
  <si>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Mortgage interest rate</t>
  </si>
  <si>
    <t xml:space="preserve">%</t>
  </si>
  <si>
    <t xml:space="preserve">Mortgage term (years to repay)</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</si>
  <si>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</si>
  <si>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</si>
  <si>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</si>
  <si>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</si>
  <si>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</si>
  <si>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</si>
  <si>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</si>
  <si>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</si>
  <si>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</si>
  <si>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</si>
  <si>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</si>
  <si>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</si>
  <si>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</si>
  <si>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</si>
  <si>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</si>
  <si>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</si>
  <si>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</si>
  <si>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</si>
  <si>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</si>
  <si>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</si>
  <si>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</si>
  <si>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</si>
  <si>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</si>
  <si>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</si>
  <si>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</si>
  <si>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</si>
  <si>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</si>
  <si>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</si>
  <si>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</si>
  <si>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</si>
  <si>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</si>
  <si>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</si>
  <si>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</si>
  <si>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</si>
  <si>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</si>
  <si>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</si>
  <si>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</si>
  <si>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</si>
  <si>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</si>
  <si>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</si>
  <si>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</si>
  <si>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</si>
  <si>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</si>
  <si>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</si>
  <si>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</si>
  <si>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</si>
  <si>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</si>
  <si>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</si>
  <si>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</si>
  <si>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</si>
  <si>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</si>
  <si>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</si>
  <si>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</si>
  <si>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</si>
  <si>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</si>
  <si>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</si>
  <si>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</si>
  <si>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</si>
  <si>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</si>
  <si>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</si>
  <si>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</si>
  <si>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</si>
  <si>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</si>
  <si>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</si>
  <si>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</si>
  <si>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</si>
  <si>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</si>
  <si>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</si>
  <si>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</si>
  <si>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</si>
  <si>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</si>
  <si>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Allowed: 0% to 15%</t>
  </si>
  <si>
    <t xml:space="preserve">Term remaining</t>
  </si>
  <si>
    <t xml:space="preserve">Allowed: 0 to 40</t>
  </si>
  <si>
    <t xml:space="preserve">Allowed: €0 to €100,000</t>
  </si>
  <si>
    <t xml:space="preserve">Statement 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</si>
  <si>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</si>
  <si>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</si>
  <si>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</si>
  <si>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</si>
  <si>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</si>
  <si>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</si>
  <si>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</si>
  <si>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</si>
  <si>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</si>
  <si>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</si>
  <si>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</si>
  <si>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</si>
  <si>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</si>
  <si>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</si>
  <si>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</si>
  <si>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</si>
  <si>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</si>
  <si>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</si>
  <si>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</si>
  <si>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</si>
  <si>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</si>
  <si>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</si>
  <si>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</si>
  <si>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</si>
  <si>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</si>
  <si>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</si>
  <si>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</si>
  <si>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</si>
  <si>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</si>
  <si>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</si>
  <si>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</si>
  <si>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</si>
  <si>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</si>
  <si>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</si>
  <si>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</si>
  <si>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</si>
  <si>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</si>
  <si>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</si>
  <si>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</si>
  <si>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</si>
  <si>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</si>
  <si>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</si>
  <si>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</si>
  <si>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</si>
  <si>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</si>
  <si>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</si>
  <si>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</si>
  <si>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</si>
  <si>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</si>
  <si>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</si>
  <si>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</si>
  <si>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</si>
  <si>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</si>
  <si>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</si>
  <si>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</si>
  <si>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</si>
  <si>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</si>
  <si>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</si>
  <si>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</si>
  <si>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</si>
  <si>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</si>
  <si>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</si>
  <si>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</si>
  <si>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</si>
  <si>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</si>
  <si>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</si>
  <si>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</si>
  <si>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</si>
  <si>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</si>
  <si>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</si>
  <si>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</si>
  <si>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</si>
  <si>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</si>
  <si>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</si>
  <si>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</si>
  <si>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</si>
  <si>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</si>
  <si>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</si>
  <si>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</si>
  <si>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</si>
  <si>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</si>
  <si>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</si>
  <si>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</si>
  <si>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</si>
  <si>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</si>
  <si>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</si>
  <si>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</si>
  <si>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</si>
  <si>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</si>
  <si>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</si>
  <si>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</si>
  <si>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</si>
  <si>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</si>
  <si>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</si>
  <si>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</si>
  <si>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</si>
  <si>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</si>
  <si>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</si>
  <si>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</si>
  <si>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</si>
  <si>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</si>
  <si>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</si>
  <si>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</si>
  <si>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</si>
  <si>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</si>
  <si>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</si>
  <si>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</si>
  <si>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</si>
  <si>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</si>
  <si>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</si>
  <si>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</si>
  <si>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</si>
  <si>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</si>
  <si>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</si>
  <si>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</si>
  <si>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</si>
  <si>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</si>
  <si>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</si>
  <si>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</si>
  <si>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</si>
  <si>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</si>
  <si>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</si>
  <si>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</si>
  <si>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</si>
  <si>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</si>
  <si>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</si>
  <si>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</si>
  <si>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</si>
  <si>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</si>
  <si>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</si>
  <si>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</si>
  <si>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</si>
  <si>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</si>
  <si>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</si>
  <si>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</si>
  <si>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</si>
  <si>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</si>
  <si>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</si>
  <si>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</si>
  <si>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</si>
  <si>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</si>
  <si>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</si>
  <si>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</si>
  <si>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</si>
  <si>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</si>
  <si>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</si>
  <si>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</si>
  <si>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</si>
  <si>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</si>
  <si>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</si>
  <si>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</si>
  <si>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</si>
  <si>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</si>
  <si>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</si>
  <si>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</si>
  <si>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</si>
  <si>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</si>
  <si>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</si>
  <si>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</si>
  <si>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</si>
  <si>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</si>
  <si>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</si>
  <si>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</si>
  <si>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</si>
  <si>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</si>
  <si>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</si>
  <si>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</si>
  <si>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</si>
  <si>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</si>
  <si>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</si>
  <si>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</si>
  <si>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</si>
  <si>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</si>
  <si>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</si>
  <si>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</si>
  <si>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</si>
  <si>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</si>
  <si>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</si>
  <si>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</si>
  <si>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</si>
  <si>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</si>
  <si>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</si>
  <si>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</si>
  <si>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</si>
  <si>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</si>
  <si>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</si>
  <si>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</si>
  <si>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</si>
  <si>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</si>
  <si>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</si>
  <si>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</si>
  <si>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</si>
  <si>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</si>
  <si>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</si>
  <si>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</si>
  <si>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</si>
  <si>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</si>
  <si>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</si>
  <si>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</si>
  <si>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</si>
  <si>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</si>
  <si>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</si>
  <si>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</si>
  <si>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</si>
  <si>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</si>
  <si>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</si>
  <si>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</si>
  <si>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</si>
  <si>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</si>
  <si>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</si>
  <si>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</si>
  <si>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</si>
  <si>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</si>
  <si>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</si>
  <si>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</si>
  <si>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</si>
  <si>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</si>
  <si>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</si>
  <si>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</si>
  <si>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</si>
  <si>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</si>
  <si>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</si>
  <si>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</si>
  <si>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</si>
  <si>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</si>
  <si>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</si>
  <si>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</si>
  <si>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</si>
  <si>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</si>
  <si>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</si>
  <si>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</si>
  <si>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</si>
  <si>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</si>
  <si>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</si>
  <si>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</si>
  <si>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</si>
  <si>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</si>
  <si>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</si>
  <si>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</si>
  <si>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</si>
  <si>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</si>
  <si>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</si>
  <si>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</si>
  <si>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</si>
  <si>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</si>
  <si>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</si>
  <si>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</si>
  <si>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</si>
  <si>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</si>
  <si>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</si>
  <si>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</si>
  <si>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</si>
  <si>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</si>
  <si>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</si>
  <si>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</si>
  <si>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</si>
  <si>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</si>
  <si>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</si>
  <si>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</si>
  <si>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</si>
  <si>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</si>
  <si>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</si>
  <si>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</si>
  <si>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</si>
  <si>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</si>
  <si>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</si>
  <si>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</si>
  <si>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</si>
  <si>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</si>
  <si>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</si>
  <si>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</si>
  <si>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</si>
  <si>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</si>
  <si>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</si>
  <si>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</si>
  <si>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</si>
  <si>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</si>
  <si>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</si>
  <si>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</si>
  <si>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</si>
  <si>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</si>
  <si>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</si>
  <si>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</si>
  <si>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</si>
  <si>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</si>
  <si>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</si>
  <si>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</si>
  <si>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</si>
  <si>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</si>
  <si>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</si>
  <si>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</si>
  <si>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</si>
  <si>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</si>
  <si>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</si>
  <si>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</si>
  <si>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</si>
  <si>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</si>
  <si>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</si>
  <si>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</si>
  <si>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</si>
  <si>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</si>
  <si>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</si>
  <si>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</si>
  <si>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</si>
  <si>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</si>
  <si>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</si>
  <si>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</si>
  <si>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</si>
  <si>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</si>
  <si>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</si>
  <si>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</si>
  <si>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</si>
  <si>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</si>
  <si>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</si>
  <si>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</si>
  <si>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</si>
  <si>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</si>
  <si>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</si>
  <si>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</si>
  <si>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</si>
  <si>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</si>
  <si>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</si>
  <si>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</si>
  <si>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</si>
  <si>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</si>
  <si>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</si>
  <si>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</si>
  <si>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</si>
  <si>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</si>
  <si>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</si>
  <si>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</si>
  <si>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</si>
  <si>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</si>
  <si>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</si>
  <si>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</si>
  <si>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</si>
  <si>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</si>
  <si>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</si>
  <si>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If you start after waiting, the money earns the cash savings rate while it waits (before DIRT), then grows at the fund rate for the years left.</t>
  </si>
  <si>
    <t xml:space="preserve">• Today's money = value ÷ (1 + inflation)^years; real return = (1 + growth after fees) ÷ (1 + inflation) − 1 (exact, not growth − inflation).</t>
  </si>
  <si>
    <t xml:space="preserve">• With the wait as long as or longer than the years, the money only earns the cash rate.</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</si>
  <si>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</si>
  <si>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</si>
  <si>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</si>
  <si>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</si>
  <si>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</si>
  <si>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</si>
  <si>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</si>
  <si>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while it waits, the money earns the cash savings rate (your Plan assumption "Cash savings earn"), as in the app. If growth after fees is no more than the cash rate, waiting costs nothing or less.</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</si>
  <si>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</si>
  <si>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</si>
  <si>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</si>
  <si>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</si>
  <si>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</si>
  <si>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</si>
  <si>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</si>
  <si>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</si>
  <si>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</si>
  <si>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</si>
  <si>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</si>
  <si>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</si>
  <si>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</si>
  <si>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</si>
  <si>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</si>
  <si>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</si>
  <si>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</si>
  <si>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</si>
  <si>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</si>
  <si>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</si>
  <si>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</si>
  <si>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</si>
  <si>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</si>
  <si>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</si>
  <si>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</si>
  <si>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</si>
  <si>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</si>
  <si>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</si>
  <si>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</si>
  <si>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</si>
  <si>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</si>
  <si>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</si>
  <si>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</si>
  <si>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</si>
  <si>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</si>
  <si>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</si>
  <si>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</si>
  <si>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</si>
  <si>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</si>
  <si>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Allowed: 50 to 75</t>
  </si>
  <si>
    <t xml:space="preserve">Projected fund at retirement (if shown)</t>
  </si>
  <si>
    <t xml:space="preserve">Projection is in today's money? (if shown)</t>
  </si>
  <si>
    <t xml:space="preserve">Allowed: Yes or No</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</si>
  <si>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</si>
  <si>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</si>
  <si>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</si>
  <si>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</si>
  <si>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</si>
  <si>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</si>
  <si>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</si>
  <si>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</si>
  <si>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</si>
  <si>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</si>
  <si>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</si>
  <si>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</si>
  <si>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</si>
  <si>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</si>
  <si>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</si>
  <si>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</si>
  <si>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</si>
  <si>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</si>
  <si>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</si>
  <si>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</si>
  <si>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</si>
  <si>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</si>
  <si>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</si>
  <si>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</si>
  <si>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</si>
  <si>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</si>
  <si>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</si>
  <si>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</si>
  <si>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</si>
  <si>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</si>
  <si>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</si>
  <si>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</si>
  <si>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</si>
  <si>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</si>
  <si>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</si>
  <si>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</si>
  <si>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</si>
  <si>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</si>
  <si>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</si>
  <si>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</si>
  <si>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</si>
  <si>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</si>
  <si>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</si>
  <si>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</si>
  <si>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</si>
  <si>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</si>
  <si>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</si>
  <si>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</si>
  <si>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</si>
  <si>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</si>
  <si>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</si>
  <si>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</si>
  <si>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</si>
  <si>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</si>
  <si>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</si>
  <si>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</si>
  <si>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</si>
  <si>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</si>
  <si>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</si>
  <si>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</si>
  <si>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</si>
  <si>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</si>
  <si>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</si>
  <si>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</si>
  <si>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</si>
  <si>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</si>
  <si>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</si>
  <si>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</si>
  <si>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</si>
  <si>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</si>
  <si>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</si>
  <si>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</si>
  <si>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</si>
  <si>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</si>
  <si>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</si>
  <si>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</si>
  <si>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</si>
  <si>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</si>
  <si>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</si>
  <si>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</si>
  <si>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</si>
  <si>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</si>
  <si>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</si>
  <si>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</si>
  <si>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</si>
  <si>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</si>
  <si>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</si>
  <si>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</si>
  <si>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</si>
  <si>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</si>
  <si>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</si>
  <si>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</si>
  <si>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</si>
  <si>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</si>
  <si>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</si>
  <si>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</si>
  <si>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</si>
  <si>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</si>
  <si>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</si>
  <si>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</si>
  <si>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</si>
  <si>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</si>
  <si>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</si>
  <si>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</si>
  <si>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in the first year. The extra rises with pay each year (Plan assumption "Pay rises"), so Value = 12 × extra × ((1+growth)^years − (1+pay rise)^years) ÷ (growth − pay rise).</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</si>
  <si>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</si>
  <si>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</si>
  <si>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</si>
  <si>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</si>
  <si>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</si>
  <si>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</si>
  <si>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</si>
  <si>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</si>
  <si>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</si>
  <si>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</si>
  <si>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</si>
  <si>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</si>
  <si>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rises with pay each year, as in the app and your plan. Tax relief shown is for the first year.</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</si>
  <si>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</si>
  <si>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</si>
  <si>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</si>
  <si>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</si>
  <si>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</si>
  <si>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</si>
  <si>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</si>
  <si>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</si>
  <si>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</si>
  <si>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</si>
  <si>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</si>
  <si>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</si>
  <si>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</si>
  <si>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</si>
  <si>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</si>
  <si>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</si>
  <si>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</si>
  <si>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</si>
  <si>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</si>
  <si>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</si>
  <si>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</si>
  <si>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</si>
  <si>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</si>
  <si>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</si>
  <si>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</si>
  <si>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</si>
  <si>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</si>
  <si>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</si>
  <si>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</si>
  <si>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</si>
  <si>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</si>
  <si>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</si>
  <si>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</si>
  <si>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</si>
  <si>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</si>
  <si>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</si>
  <si>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</si>
  <si>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</si>
  <si>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</si>
  <si>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</si>
  <si>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</si>
  <si>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</si>
  <si>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</si>
  <si>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</si>
  <si>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</si>
  <si>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</si>
  <si>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</si>
  <si>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</si>
  <si>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</si>
  <si>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</si>
  <si>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</si>
  <si>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</si>
  <si>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</si>
  <si>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</si>
  <si>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</si>
  <si>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</si>
  <si>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</si>
  <si>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</si>
  <si>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</si>
  <si>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</si>
  <si>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</si>
  <si>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</si>
  <si>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</si>
  <si>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</si>
  <si>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</si>
  <si>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</si>
  <si>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</si>
  <si>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</si>
  <si>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</si>
  <si>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</si>
  <si>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</si>
  <si>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</si>
  <si>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</si>
  <si>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</si>
  <si>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</si>
  <si>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</si>
  <si>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</si>
  <si>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</si>
  <si>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</si>
  <si>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</si>
  <si>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</si>
  <si>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</si>
  <si>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</si>
  <si>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</si>
  <si>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</si>
  <si>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</si>
  <si>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</si>
  <si>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</si>
  <si>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</si>
  <si>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</si>
  <si>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</si>
  <si>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</si>
  <si>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</si>
  <si>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</si>
  <si>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</si>
  <si>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</si>
  <si>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</si>
  <si>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</si>
  <si>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</si>
  <si>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</si>
  <si>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</si>
  <si>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</si>
  <si>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</si>
  <si>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</si>
  <si>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</si>
  <si>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</si>
  <si>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</si>
  <si>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</si>
  <si>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</si>
  <si>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</si>
  <si>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</si>
  <si>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</si>
  <si>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</si>
  <si>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</si>
  <si>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</si>
  <si>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</si>
  <si>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</si>
  <si>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</si>
  <si>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</si>
  <si>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</si>
  <si>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</si>
  <si>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</si>
  <si>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</si>
  <si>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</si>
  <si>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</si>
  <si>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</si>
  <si>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</si>
  <si>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</si>
  <si>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</si>
  <si>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</si>
  <si>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</si>
  <si>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</si>
  <si>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</si>
  <si>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</si>
  <si>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</si>
  <si>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</si>
  <si>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</si>
  <si>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</si>
  <si>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</si>
  <si>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</si>
  <si>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</si>
  <si>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</si>
  <si>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</si>
  <si>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</si>
  <si>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</si>
  <si>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</si>
  <si>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</si>
  <si>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</si>
  <si>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</si>
  <si>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</si>
  <si>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</si>
  <si>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</si>
  <si>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</si>
  <si>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</si>
  <si>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</si>
  <si>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</si>
  <si>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</si>
  <si>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</si>
  <si>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</si>
  <si>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</si>
  <si>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</si>
  <si>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</si>
  <si>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</si>
  <si>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</si>
  <si>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</si>
  <si>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</si>
  <si>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</si>
  <si>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</si>
  <si>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</si>
  <si>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</si>
  <si>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</si>
  <si>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</si>
  <si>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</si>
  <si>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</si>
  <si>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</si>
  <si>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</si>
  <si>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</si>
  <si>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</si>
  <si>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</si>
  <si>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</si>
  <si>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</si>
  <si>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</si>
  <si>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</si>
  <si>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</si>
  <si>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</si>
  <si>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</si>
  <si>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</si>
  <si>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</si>
  <si>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</si>
  <si>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</si>
  <si>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</si>
  <si>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</si>
  <si>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</si>
  <si>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</si>
  <si>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</si>
  <si>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</si>
  <si>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</si>
  <si>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</si>
  <si>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</si>
  <si>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</si>
  <si>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</si>
  <si>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</si>
  <si>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</si>
  <si>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</si>
  <si>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</si>
  <si>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</si>
  <si>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</si>
  <si>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</si>
  <si>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</si>
  <si>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</si>
  <si>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</si>
  <si>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</si>
  <si>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</si>
  <si>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</si>
  <si>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</si>
  <si>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</si>
  <si>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</si>
  <si>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</si>
  <si>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</si>
  <si>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</si>
  <si>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</si>
  <si>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</si>
  <si>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</si>
  <si>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</si>
  <si>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</si>
  <si>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</si>
  <si>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</si>
  <si>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</si>
  <si>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</si>
  <si>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</si>
  <si>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</si>
  <si>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</si>
  <si>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</si>
  <si>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</si>
  <si>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</si>
  <si>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</si>
  <si>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</si>
  <si>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</si>
  <si>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</si>
  <si>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</si>
  <si>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</si>
  <si>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</si>
  <si>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</si>
  <si>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</si>
  <si>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</si>
  <si>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</si>
  <si>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</si>
  <si>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</si>
  <si>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</si>
  <si>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</si>
  <si>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</si>
  <si>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</si>
  <si>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</si>
  <si>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</si>
  <si>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</si>
  <si>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</si>
  <si>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</si>
  <si>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</si>
  <si>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</si>
  <si>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</si>
  <si>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</si>
  <si>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</si>
  <si>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</si>
  <si>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</si>
  <si>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</si>
  <si>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</si>
  <si>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</si>
  <si>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</si>
  <si>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</si>
  <si>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</si>
  <si>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</si>
  <si>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</si>
  <si>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</si>
  <si>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</si>
  <si>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</si>
  <si>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</si>
  <si>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</si>
  <si>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</si>
  <si>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</si>
  <si>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</si>
  <si>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</si>
  <si>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</si>
  <si>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</si>
  <si>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</si>
  <si>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</si>
  <si>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</si>
  <si>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</si>
  <si>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</si>
  <si>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</si>
  <si>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</si>
  <si>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</si>
  <si>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</si>
  <si>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</si>
  <si>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</si>
  <si>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</si>
  <si>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</si>
  <si>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</si>
  <si>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</si>
  <si>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</si>
  <si>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</si>
  <si>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</si>
  <si>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</si>
  <si>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</si>
  <si>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</si>
  <si>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</si>
  <si>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</si>
  <si>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</si>
  <si>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</si>
  <si>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</si>
  <si>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</si>
  <si>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</si>
  <si>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</si>
  <si>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</si>
  <si>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</si>
  <si>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</si>
  <si>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</si>
  <si>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</si>
  <si>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</si>
  <si>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</si>
  <si>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</si>
  <si>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</si>
  <si>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</si>
  <si>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</si>
  <si>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</si>
  <si>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</si>
  <si>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</si>
  <si>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</si>
  <si>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</si>
  <si>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</si>
  <si>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</si>
  <si>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</si>
  <si>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</si>
  <si>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</si>
  <si>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</si>
  <si>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</si>
  <si>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</si>
  <si>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</si>
  <si>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</si>
  <si>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</si>
  <si>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</si>
  <si>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</si>
  <si>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</si>
  <si>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</si>
  <si>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</si>
  <si>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</si>
  <si>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</si>
  <si>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</si>
  <si>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</si>
  <si>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</si>
  <si>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</si>
  <si>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</si>
  <si>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</si>
  <si>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</si>
  <si>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</si>
  <si>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</si>
  <si>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</si>
  <si>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</si>
  <si>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</si>
  <si>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</si>
  <si>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</si>
  <si>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</si>
  <si>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</si>
  <si>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</si>
  <si>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</si>
  <si>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</si>
  <si>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</si>
  <si>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</si>
  <si>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</si>
  <si>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</si>
  <si>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</si>
  <si>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</si>
  <si>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</si>
  <si>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</si>
  <si>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</si>
  <si>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</si>
  <si>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</si>
  <si>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</si>
  <si>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</si>
  <si>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</si>
  <si>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</si>
  <si>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</si>
  <si>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</si>
  <si>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</si>
  <si>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</si>
  <si>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</si>
  <si>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</si>
  <si>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</si>
  <si>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</si>
  <si>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</si>
  <si>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</si>
  <si>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</si>
  <si>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</si>
  <si>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</si>
  <si>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</si>
  <si>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</si>
  <si>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</si>
  <si>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</si>
  <si>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</si>
  <si>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</si>
  <si>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</si>
  <si>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</si>
  <si>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</si>
  <si>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</si>
  <si>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</si>
  <si>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</si>
  <si>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</si>
  <si>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</si>
  <si>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</si>
  <si>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</si>
  <si>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</si>
  <si>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</si>
  <si>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</si>
  <si>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</si>
  <si>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</si>
  <si>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</si>
  <si>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</si>
  <si>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</si>
  <si>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</si>
  <si>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</si>
  <si>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</si>
  <si>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</si>
  <si>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</si>
  <si>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</si>
  <si>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</si>
  <si>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</si>
  <si>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C29 Investment tax: growth first, tax on the events</t>
  </si>
  <si>
    <t xml:space="preserve">Shows what tax a fund, ETF or share holding pays, and when. Growth is kept separate from tax. Funds and ETFs: exit tax is charged when you sell AND every 8 years (deemed disposal), whether or not you sell; the tax is taken from the fund and the cost resets. Shares held directly: no tax while you hold; capital gains tax (CGT) when you sell, on the gain after your yearly exemption. Yellow cells are inputs. All tax rates come from the "Tax" sheet (Tax figures 2026).</t>
  </si>
  <si>
    <t xml:space="preserve">Choose here →</t>
  </si>
  <si>
    <t xml:space="preserve">Sample example</t>
  </si>
  <si>
    <t xml:space="preserve">Input</t>
  </si>
  <si>
    <t xml:space="preserve">Used in the sums</t>
  </si>
  <si>
    <t xml:space="preserve">My own numbers (yellow)</t>
  </si>
  <si>
    <t xml:space="preserve">Amount invested today (€)</t>
  </si>
  <si>
    <t xml:space="preserve">What the holding is worth today. In "My own numbers" it comes from Plan inputs (Investments) when given; you can type over it.</t>
  </si>
  <si>
    <t xml:space="preserve">What you paid in total, incl. fees (€)</t>
  </si>
  <si>
    <t xml:space="preserve">Your cost. In "My own numbers" it starts equal to the amount; type over it with what you paid.</t>
  </si>
  <si>
    <t xml:space="preserve">Growth a year before charges</t>
  </si>
  <si>
    <t xml:space="preserve">A planning figure, not a prediction</t>
  </si>
  <si>
    <t xml:space="preserve">Charges a year</t>
  </si>
  <si>
    <t xml:space="preserve">Fund or platform charges</t>
  </si>
  <si>
    <t xml:space="preserve">Years already held</t>
  </si>
  <si>
    <t xml:space="preserve">Sets where you are on the 8-year clock for a fund</t>
  </si>
  <si>
    <t xml:space="preserve">Type of holding</t>
  </si>
  <si>
    <t xml:space="preserve">Fund or ETF = exit tax; Shares held directly = CGT</t>
  </si>
  <si>
    <t xml:space="preserve">Fund or ETF</t>
  </si>
  <si>
    <t xml:space="preserve">Years until you sell (1 to 30)</t>
  </si>
  <si>
    <t xml:space="preserve">The table below runs 30 years; results are read at this year</t>
  </si>
  <si>
    <t xml:space="preserve">Today's date</t>
  </si>
  <si>
    <t xml:space="preserve">Sale date = today + years. CGT is 33% before 7 Oct 2026 and 31% from then</t>
  </si>
  <si>
    <t xml:space="preserve">Number of people who own it (1 or 2)</t>
  </si>
  <si>
    <t xml:space="preserve">Each person has the yearly CGT exemption, on what they own</t>
  </si>
  <si>
    <t xml:space="preserve">Capital losses brought forward (€)</t>
  </si>
  <si>
    <t xml:space="preserve">Losses already reported to Revenue, used before the exemption</t>
  </si>
  <si>
    <t xml:space="preserve">Rates used (from the Tax sheet)</t>
  </si>
  <si>
    <t xml:space="preserve">Where it comes from</t>
  </si>
  <si>
    <t xml:space="preserve">Exit tax rate (funds, ETFs, life policies)</t>
  </si>
  <si>
    <t xml:space="preserve">CGT rate before the change date</t>
  </si>
  <si>
    <t xml:space="preserve">CGT rate from the change date (7 Oct 2026)</t>
  </si>
  <si>
    <t xml:space="preserve">CGT rate that applies to your sale date</t>
  </si>
  <si>
    <t xml:space="preserve">by sale date</t>
  </si>
  <si>
    <t xml:space="preserve">CGT yearly exemption per person (€)</t>
  </si>
  <si>
    <t xml:space="preserve">sav.cgtExempt (Requires Verification)</t>
  </si>
  <si>
    <t xml:space="preserve">Result at your sale year</t>
  </si>
  <si>
    <t xml:space="preserve">Value if nothing were taxed (€)</t>
  </si>
  <si>
    <t xml:space="preserve">Amount x (1 + growth - charges) ^ years</t>
  </si>
  <si>
    <t xml:space="preserve">Value in the holding at the sale, after any 8-year tax (€)</t>
  </si>
  <si>
    <t xml:space="preserve">Table column J at the sale year</t>
  </si>
  <si>
    <t xml:space="preserve">Cost basis at the sale (€)</t>
  </si>
  <si>
    <t xml:space="preserve">Resets to the value at each 8-year event for a fund</t>
  </si>
  <si>
    <t xml:space="preserve">Gain on the sale (€)</t>
  </si>
  <si>
    <t xml:space="preserve">Value less cost basis; a loss gives 0</t>
  </si>
  <si>
    <t xml:space="preserve">Exit tax already paid at 8-year events (€)</t>
  </si>
  <si>
    <t xml:space="preserve">Sum of column I up to the sale year</t>
  </si>
  <si>
    <t xml:space="preserve">Tax on the sale (€)</t>
  </si>
  <si>
    <t xml:space="preserve">Fund: gain x exit tax. Shares: CGT rate x (gain - losses - exemption x owners)</t>
  </si>
  <si>
    <t xml:space="preserve">Money you receive after all tax (€)</t>
  </si>
  <si>
    <t xml:space="preserve">Value less tax on the sale</t>
  </si>
  <si>
    <t xml:space="preserve">Total tax paid over the years (€)</t>
  </si>
  <si>
    <t xml:space="preserve">8-year events plus the sale</t>
  </si>
  <si>
    <t xml:space="preserve">Growth a year before tax</t>
  </si>
  <si>
    <t xml:space="preserve">Growth less charges</t>
  </si>
  <si>
    <t xml:space="preserve">Growth a year after tax</t>
  </si>
  <si>
    <t xml:space="preserve">(Money received / amount today) ^ (1/years) - 1</t>
  </si>
  <si>
    <t xml:space="preserve">Value at start (€)</t>
  </si>
  <si>
    <t xml:space="preserve">Cost basis at start (€)</t>
  </si>
  <si>
    <t xml:space="preserve">Years on 8-year clock at start</t>
  </si>
  <si>
    <t xml:space="preserve">Growth after charges (€)</t>
  </si>
  <si>
    <t xml:space="preserve">Value after growth (€)</t>
  </si>
  <si>
    <t xml:space="preserve">8-year event this year?</t>
  </si>
  <si>
    <t xml:space="preserve">Gain taxed (€)</t>
  </si>
  <si>
    <t xml:space="preserve">Exit tax paid (€)</t>
  </si>
  <si>
    <t xml:space="preserve">Value at end (€)</t>
  </si>
  <si>
    <t xml:space="preserve">Cost basis at end (€)</t>
  </si>
  <si>
    <t xml:space="preserve">Years on clock at end</t>
  </si>
  <si>
    <t xml:space="preserve">Exit tax paid so far (€)</t>
  </si>
  <si>
    <t xml:space="preserve">How to read this: growth happens first (column E). Then, only for a fund in its 8th year on the clock, the gain over the cost basis is taxed (columns H, I) and the tax is taken out of the fund. The cost basis then resets to the new value and the clock restarts.</t>
  </si>
  <si>
    <t xml:space="preserve">Funds and ETFs: no loss relief (a fall in value cannot be set against other gains). The tax paid at an 8-year event is credited against the later tax: this is why the basis resets (only growth since the reset is taxed again).</t>
  </si>
  <si>
    <t xml:space="preserve">Shares held directly: no 8-year rule and no tax while held. CGT arises on the sale only. Dividends (income tax, USC, PRSI) are not modelled here.</t>
  </si>
  <si>
    <t xml:space="preserve">Simplifications: one holding, one purchase date, growth the same every year, no further contributions. The plan engine in the prototype handles several purchases (each with its own 8-year clock).</t>
  </si>
  <si>
    <t xml:space="preserve">C30 Tax when you sell, give away or inherit</t>
  </si>
  <si>
    <t xml:space="preserve">Three small calculators on one sheet. A: tax when you SELL an asset. B: tax the GIVER pays when they give an asset away (CGT). C: tax the RECEIVER pays on a gift or inheritance (CAT). Yellow cells are inputs. Rates and thresholds come from the "Tax" sheet (Tax figures 2026). Requires Verification items are marked there.</t>
  </si>
  <si>
    <t xml:space="preserve">A. You SELL an asset</t>
  </si>
  <si>
    <t xml:space="preserve">Type of asset</t>
  </si>
  <si>
    <t xml:space="preserve">Choose the type: the tax is different for each</t>
  </si>
  <si>
    <t xml:space="preserve">Other property or land</t>
  </si>
  <si>
    <t xml:space="preserve">Sale price (€)</t>
  </si>
  <si>
    <t xml:space="preserve">What you receive</t>
  </si>
  <si>
    <t xml:space="preserve">What you paid (€)</t>
  </si>
  <si>
    <t xml:space="preserve">Original cost</t>
  </si>
  <si>
    <t xml:space="preserve">Allowable costs (€)</t>
  </si>
  <si>
    <t xml:space="preserve">Buying and selling costs (solicitor, agent, stamp duty) and improvements (not repairs)</t>
  </si>
  <si>
    <t xml:space="preserve">Losses brought forward (€)</t>
  </si>
  <si>
    <t xml:space="preserve">Capital losses already reported and unused</t>
  </si>
  <si>
    <t xml:space="preserve">Number of owners (1 or 2)</t>
  </si>
  <si>
    <t xml:space="preserve">Each owner has a yearly exemption on their share</t>
  </si>
  <si>
    <t xml:space="preserve">Date of sale</t>
  </si>
  <si>
    <t xml:space="preserve">CGT rate depends on the sale date (33% before 7 Oct 2026, 31% from then)</t>
  </si>
  <si>
    <t xml:space="preserve">Gain or loss (€)</t>
  </si>
  <si>
    <t xml:space="preserve">Tax rate that applies</t>
  </si>
  <si>
    <t xml:space="preserve">Main home 0% (relief, see note); fund 38% exit tax; development land 33%; other CGT 33% / 31% by date</t>
  </si>
  <si>
    <t xml:space="preserve">Yearly exemption available (€)</t>
  </si>
  <si>
    <t xml:space="preserve">Not available for funds or the main home. Per person x owners</t>
  </si>
  <si>
    <t xml:space="preserve">Tax payable (€)</t>
  </si>
  <si>
    <t xml:space="preserve">Fund: gain x rate (no losses or exemption). Others: rate x (gain - losses - exemption)</t>
  </si>
  <si>
    <t xml:space="preserve">Money you keep after tax (€)</t>
  </si>
  <si>
    <t xml:space="preserve">Sale price less tax (before repaying any loan)</t>
  </si>
  <si>
    <t xml:space="preserve">B. You GIVE an asset away (tax on the GIVER)</t>
  </si>
  <si>
    <t xml:space="preserve">Is the receiver your spouse or civil partner?</t>
  </si>
  <si>
    <t xml:space="preserve">Yes: no CGT (the asset passes at your cost: no gain, no loss). No: treated as a sale at market value</t>
  </si>
  <si>
    <t xml:space="preserve">Market value on the day (€)</t>
  </si>
  <si>
    <t xml:space="preserve">Gifts count as a sale at market value</t>
  </si>
  <si>
    <t xml:space="preserve">As above</t>
  </si>
  <si>
    <t xml:space="preserve">Date of the gift</t>
  </si>
  <si>
    <t xml:space="preserve">Gain (€)</t>
  </si>
  <si>
    <t xml:space="preserve">Market value less cost less allowable costs</t>
  </si>
  <si>
    <t xml:space="preserve">CGT rate that applies</t>
  </si>
  <si>
    <t xml:space="preserve">33% before 7 Oct 2026, 31% from then</t>
  </si>
  <si>
    <t xml:space="preserve">CGT the giver pays (€)</t>
  </si>
  <si>
    <t xml:space="preserve">Rate x (gain - losses - one yearly exemption)</t>
  </si>
  <si>
    <t xml:space="preserve">C. You RECEIVE a gift or inheritance (tax on the RECEIVER: CAT)</t>
  </si>
  <si>
    <t xml:space="preserve">Relationship to the giver</t>
  </si>
  <si>
    <t xml:space="preserve">Spouse or civil partner: exempt. Group A: child from parent. Group B: parent, brother, sister, niece, nephew, grandchild. Group C: everyone else</t>
  </si>
  <si>
    <t xml:space="preserve">Group A: child receiving from a parent</t>
  </si>
  <si>
    <t xml:space="preserve">Value of the gift or inheritance (€)</t>
  </si>
  <si>
    <t xml:space="preserve">Market value less any debt taken on</t>
  </si>
  <si>
    <t xml:space="preserve">Small gift exemption claimed? (Yes or No)</t>
  </si>
  <si>
    <t xml:space="preserve">Up to €3,000 a year from one giver is ignored. Only one claim per giver per year</t>
  </si>
  <si>
    <t xml:space="preserve">Earlier gifts and inheritances in the same group since 5 Dec 1991 (€)</t>
  </si>
  <si>
    <t xml:space="preserve">Thresholds are lifetime totals, not yearly</t>
  </si>
  <si>
    <t xml:space="preserve">Date received</t>
  </si>
  <si>
    <t xml:space="preserve">Thresholds changed on 7 Oct 2026</t>
  </si>
  <si>
    <t xml:space="preserve">Threshold for the group (€)</t>
  </si>
  <si>
    <t xml:space="preserve">From the Tax sheet. Group B and C amounts are Requires Verification</t>
  </si>
  <si>
    <t xml:space="preserve">Taxable amount after the small gift exemption (€)</t>
  </si>
  <si>
    <t xml:space="preserve">Threshold still available (€)</t>
  </si>
  <si>
    <t xml:space="preserve">Threshold less earlier benefits in the group</t>
  </si>
  <si>
    <t xml:space="preserve">CAT payable (€)</t>
  </si>
  <si>
    <t xml:space="preserve">33% x the amount above the threshold still available</t>
  </si>
  <si>
    <t xml:space="preserve">You keep (€)</t>
  </si>
  <si>
    <t xml:space="preserve">Value less CAT</t>
  </si>
  <si>
    <t xml:space="preserve">Notes (all Requires Verification against Revenue):</t>
  </si>
  <si>
    <t xml:space="preserve">Main home: CGT relief applies when it was your only or main home for the whole time you owned it (the garden up to 1 acre is included). Part-relief if you did not live there all the time or let it. This sheet treats the main home as 0%.</t>
  </si>
  <si>
    <t xml:space="preserve">Selling at a loss: no tax, and the loss can be set against later gains of the same type of tax (CGT losses). Fund / ETF losses cannot be set against other gains.</t>
  </si>
  <si>
    <t xml:space="preserve">Giving an asset away: the giver may owe CGT (as if sold at market value) AND the receiver may owe CAT. Gifts between spouses or civil partners pay neither. A parent giving a home to a child may have the "dwelling house" CAT exemption if strict conditions are met (not modelled).</t>
  </si>
  <si>
    <t xml:space="preserve">Inheriting: no CGT on death. The receiver may owe CAT above the threshold. The asset's cost for a later sale is its market value on the day it is inherited.</t>
  </si>
  <si>
    <t xml:space="preserve">Business and farm reliefs (CGT retirement relief, agricultural and business CAT relief) are not modelled.</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</si>
  <si>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</si>
  <si>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</si>
  <si>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</si>
  <si>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</si>
  <si>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</si>
  <si>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</si>
  <si>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</si>
  <si>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</si>
  <si>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</si>
  <si>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</si>
  <si>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</si>
  <si>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</si>
  <si>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</si>
  <si>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</si>
  <si>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</si>
  <si>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</si>
  <si>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</si>
  <si>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Prices &amp; growth · pct</t>
  </si>
  <si>
    <t xml:space="preserve">Pay rises (a year)  [Set_wage]</t>
  </si>
  <si>
    <t xml:space="preserve">Irish pay has grown about 3%–4% a year recently (CSO)</t>
  </si>
  <si>
    <t xml:space="preserve">Pick lower if your pay is fixed or you expect to work part-time.</t>
  </si>
  <si>
    <t xml:space="preserve">Cash savings earn (a year, after DIRT)  [Set_cash]</t>
  </si>
  <si>
    <t xml:space="preserve">Irish deposit rates after 33% DIRT</t>
  </si>
  <si>
    <t xml:space="preserve">Investments grow (a year, after charges and tax)  [Set_inv]</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</si>
  <si>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</si>
  <si>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</si>
  <si>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</si>
  <si>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</si>
  <si>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</si>
  <si>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</si>
  <si>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</si>
  <si>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</si>
  <si>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</si>
  <si>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</si>
  <si>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</si>
  <si>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</si>
  <si>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</si>
  <si>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</si>
  <si>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</si>
  <si>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</si>
  <si>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House prices can fall as well as rise.</t>
  </si>
  <si>
    <t xml:space="preserve">Rent vs buy: upkeep a year (share of home value)  [Set_upkeep]</t>
  </si>
  <si>
    <t xml:space="preserve">repairs, insurance and maintenance</t>
  </si>
  <si>
    <t xml:space="preserve">Retirement</t>
  </si>
  <si>
    <t xml:space="preserve">Share of pension contributions you pay yourself  [Set_ownShare]</t>
  </si>
  <si>
    <t xml:space="preserve">a common 5% + 5% split with your employer; 100% if self-employed</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</si>
  <si>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</si>
  <si>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</si>
  <si>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</si>
  <si>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</si>
  <si>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</si>
  <si>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</si>
  <si>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</si>
  <si>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</si>
  <si>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Tax-free lump sum to take (share of pension; law limit 25%)  [Set_lumpSum]</t>
  </si>
  <si>
    <t xml:space="preserve">most people take the full tax-free amount</t>
  </si>
  <si>
    <t xml:space="preserve">Emergency fund &amp; saving</t>
  </si>
  <si>
    <t xml:space="preserve">Emergency fund: months of essential spending  [Set_safetyMonths]</t>
  </si>
  <si>
    <t xml:space="preserve">6 months for a single income or self-employed, 3 for two secure incomes</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</si>
  <si>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</si>
  <si>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</si>
  <si>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</si>
  <si>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</si>
  <si>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Money for goals sooner than this is kept as cash (years)  [Set_cashYears]</t>
  </si>
  <si>
    <t xml:space="preserve">money needed within 5 years is usually kept as cash</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</si>
  <si>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</si>
  <si>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</si>
  <si>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</si>
  <si>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</si>
  <si>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Emergency fund &amp; saving · pct</t>
  </si>
  <si>
    <t xml:space="preserve">Share of spare money saved, at most  [Set_saveShare]</t>
  </si>
  <si>
    <t xml:space="preserve">half of your spare money</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</si>
  <si>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</si>
  <si>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</si>
  <si>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</si>
  <si>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</si>
  <si>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</si>
  <si>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Protection</t>
  </si>
  <si>
    <t xml:space="preserve">Life cover: share of income the family needs  [Set_lifeShare]</t>
  </si>
  <si>
    <t xml:space="preserve">families usually need less than full pay</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</si>
  <si>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</si>
  <si>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</si>
  <si>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</si>
  <si>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</si>
  <si>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</si>
  <si>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</si>
  <si>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</si>
  <si>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</si>
  <si>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</si>
  <si>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</si>
  <si>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</si>
  <si>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</si>
  <si>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</si>
  <si>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Choices</t>
  </si>
  <si>
    <t xml:space="preserve">Tax bands in future  [Set_bands]</t>
  </si>
  <si>
    <t xml:space="preserve">prices</t>
  </si>
  <si>
    <t xml:space="preserve">Budgets have broadly kept pace over time</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</si>
  <si>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</si>
  <si>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</si>
  <si>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</si>
  <si>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</si>
  <si>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The State Pension is set each Budget.</t>
  </si>
  <si>
    <t xml:space="preserve">How you draw your pension  [Set_drawRule]</t>
  </si>
  <si>
    <t xml:space="preserve">spread</t>
  </si>
  <si>
    <t xml:space="preserve">spread over your plan, at least the legal minimum</t>
  </si>
  <si>
    <t xml:space="preserve">Drawdown tools: withdrawals taken at the  [Set_ddTiming]</t>
  </si>
  <si>
    <t xml:space="preserve">the prudent choice: the money has less time to grow before you take it</t>
  </si>
  <si>
    <t xml:space="preserve">Lump sum tool: years you might wait before investing  [Set_waitYears]</t>
  </si>
  <si>
    <t xml:space="preserve">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</si>
  <si>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</si>
  <si>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</si>
  <si>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</si>
  <si>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Choices · num</t>
  </si>
  <si>
    <t xml:space="preserve">Market rates</t>
  </si>
  <si>
    <t xml:space="preserve">Suggested mortgage rate  [Set_mortRate]</t>
  </si>
  <si>
    <t xml:space="preserve">Central Bank of Ireland: average rate on new mortgages, 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</si>
  <si>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</si>
  <si>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</si>
  <si>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</si>
  <si>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</si>
  <si>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</si>
  <si>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</si>
  <si>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</si>
  <si>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</si>
  <si>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</si>
  <si>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</si>
  <si>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</si>
  <si>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</si>
  <si>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Market rates · eur</t>
  </si>
  <si>
    <t xml:space="preserve">Suggested fund and pension charges (a year)  [Set_fundChg]</t>
  </si>
  <si>
    <t xml:space="preserve">Pensions Authority pension calculator assumption</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</si>
  <si>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</si>
  <si>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</si>
  <si>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</si>
  <si>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</si>
  <si>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</si>
  <si>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</si>
  <si>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</si>
  <si>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</si>
  <si>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</si>
  <si>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</si>
  <si>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</si>
  <si>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New credit cards: maximum APR (Central Bank; a legal cap, not a suggestion)  [Card_APR_Cap]</t>
  </si>
  <si>
    <t xml:space="preserve">Central Bank of Ireland: new credit cards cannot charge more than 23% APR (2022); about 400,000 older accounts are higher</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</si>
  <si>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</si>
  <si>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</si>
  <si>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</si>
  <si>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</si>
  <si>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</si>
  <si>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</si>
  <si>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</si>
  <si>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</si>
  <si>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</si>
  <si>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</si>
  <si>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</si>
  <si>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</si>
  <si>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</si>
  <si>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</si>
  <si>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</si>
  <si>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</si>
  <si>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</si>
  <si>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</si>
  <si>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</si>
  <si>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</si>
  <si>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</si>
  <si>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</si>
  <si>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</si>
  <si>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</si>
  <si>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</si>
  <si>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</si>
  <si>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</si>
  <si>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</si>
  <si>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</si>
  <si>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</si>
  <si>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</si>
  <si>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</si>
  <si>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</si>
  <si>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</si>
  <si>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</si>
  <si>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</si>
  <si>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</si>
  <si>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</si>
  <si>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</si>
  <si>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</si>
  <si>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#7</t>
  </si>
  <si>
    <t xml:space="preserve">PAYE credit cap, % of PAYE income  [Credit_PAYE_Cap_Pct]</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</si>
  <si>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</si>
  <si>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</si>
  <si>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</si>
  <si>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</si>
  <si>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</si>
  <si>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</si>
  <si>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</si>
  <si>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</si>
  <si>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</si>
  <si>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</si>
  <si>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</si>
  <si>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</si>
  <si>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</si>
  <si>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</si>
  <si>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</si>
  <si>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</si>
  <si>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</si>
  <si>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</si>
  <si>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</si>
  <si>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</si>
  <si>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</si>
  <si>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</si>
  <si>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</si>
  <si>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</si>
  <si>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</si>
  <si>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</si>
  <si>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</si>
  <si>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</si>
  <si>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</si>
  <si>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</si>
  <si>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</si>
  <si>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</si>
  <si>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</si>
  <si>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</si>
  <si>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</si>
  <si>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</si>
  <si>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</si>
  <si>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</si>
  <si>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</si>
  <si>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</si>
  <si>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</si>
  <si>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</si>
  <si>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</si>
  <si>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</si>
  <si>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</si>
  <si>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C13, C14</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</si>
  <si>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</si>
  <si>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</si>
  <si>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</si>
  <si>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</si>
  <si>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</si>
  <si>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</si>
  <si>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</si>
  <si>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</si>
  <si>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</si>
  <si>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</si>
  <si>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</si>
  <si>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</si>
  <si>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</si>
  <si>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</si>
  <si>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</si>
  <si>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</si>
  <si>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</si>
  <si>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</si>
  <si>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</si>
  <si>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</si>
  <si>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</si>
  <si>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</si>
  <si>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</si>
  <si>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</si>
  <si>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</si>
  <si>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</si>
  <si>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</si>
  <si>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</si>
  <si>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</si>
  <si>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</si>
  <si>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</si>
  <si>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</si>
  <si>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</si>
  <si>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</si>
  <si>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</si>
  <si>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</si>
  <si>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</si>
  <si>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</si>
  <si>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</si>
  <si>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</si>
  <si>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</si>
  <si>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SAVINGS AND INVESTMENT TAX (notes on the growth tools)  ·  Set by Government · 2026 (type 1, not an input)</t>
  </si>
  <si>
    <t xml:space="preserve">DIRT on deposit interest  [DIRT]</t>
  </si>
  <si>
    <t xml:space="preserve">C08–C10, C17, C18 notes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</si>
  <si>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</si>
  <si>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</si>
  <si>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</si>
  <si>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</si>
  <si>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</si>
  <si>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</si>
  <si>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</si>
  <si>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</si>
  <si>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</si>
  <si>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</si>
  <si>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</si>
  <si>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</si>
  <si>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</si>
  <si>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</si>
  <si>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</si>
  <si>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</si>
  <si>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</si>
  <si>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</si>
  <si>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</si>
  <si>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</si>
  <si>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</si>
  <si>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</si>
  <si>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</si>
  <si>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</si>
  <si>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</si>
  <si>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</si>
  <si>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</si>
  <si>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</si>
  <si>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</si>
  <si>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</si>
  <si>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</si>
  <si>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</si>
  <si>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</si>
  <si>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</si>
  <si>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</si>
  <si>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</si>
  <si>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</si>
  <si>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</si>
  <si>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</si>
  <si>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</si>
  <si>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</si>
  <si>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</si>
  <si>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</si>
  <si>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</si>
  <si>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</si>
  <si>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</si>
  <si>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</si>
  <si>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</si>
  <si>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C15, C16</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</si>
  <si>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</si>
  <si>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</si>
  <si>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</si>
  <si>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</si>
  <si>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</si>
  <si>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</si>
  <si>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</si>
  <si>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</si>
  <si>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</si>
  <si>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</si>
  <si>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</si>
  <si>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</si>
  <si>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</si>
  <si>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</si>
  <si>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</si>
  <si>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</si>
  <si>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</si>
  <si>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</si>
  <si>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</si>
  <si>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</si>
  <si>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</si>
  <si>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</si>
  <si>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</si>
  <si>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</si>
  <si>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</si>
  <si>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</si>
  <si>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</si>
  <si>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</si>
  <si>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</si>
  <si>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</si>
  <si>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</si>
  <si>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</si>
  <si>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</si>
  <si>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</si>
  <si>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</si>
  <si>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</si>
  <si>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</si>
  <si>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</si>
  <si>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Guidance text shows the latest CSO figure</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</si>
  <si>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</si>
  <si>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</si>
  <si>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</si>
  <si>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</si>
  <si>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</si>
  <si>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</si>
  <si>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</si>
  <si>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PRSI ON ARF / PRSA WITHDRAWALS  ·  UNRESOLVED: sources conflict (type 1, not an input; Requires Verification)</t>
  </si>
  <si>
    <t xml:space="preserve">PRSI applies to ARF / PRSA withdrawals before 66, and 66 to the age below if there is no contributory State Pension (1 = yes)  [PRSI_ARF_Applies]</t>
  </si>
  <si>
    <t xml:space="preserve">Plan pay &amp; tax (PRSI)</t>
  </si>
  <si>
    <t xml:space="preserve">Provider and adviser sources say yes; the Revenue / Social Protection wording was not reachable. UNRESOLVED.</t>
  </si>
  <si>
    <t xml:space="preserve">Age to which PRSI on ARF withdrawals continues when there is no contributory State Pension  [PRSI_ARF_ToAge]</t>
  </si>
  <si>
    <t xml:space="preserve">As above. UNRESOLVED.</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</si>
  <si>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</si>
  <si>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</si>
  <si>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</si>
  <si>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</si>
  <si>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</si>
  <si>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</si>
  <si>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</si>
  <si>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</si>
  <si>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</si>
  <si>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</si>
  <si>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</si>
  <si>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</si>
  <si>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</si>
  <si>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</si>
  <si>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</si>
  <si>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</si>
  <si>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</si>
  <si>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</si>
  <si>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</si>
  <si>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</si>
  <si>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</si>
  <si>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</si>
  <si>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</si>
  <si>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</si>
  <si>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</si>
  <si>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</si>
  <si>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</si>
  <si>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</si>
  <si>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</si>
  <si>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</si>
  <si>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</si>
  <si>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</si>
  <si>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</si>
  <si>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</si>
  <si>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</si>
  <si>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</si>
  <si>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</si>
  <si>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</si>
  <si>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</si>
  <si>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</si>
  <si>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</si>
  <si>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</si>
  <si>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</si>
  <si>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</si>
  <si>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</si>
  <si>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</si>
  <si>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</si>
  <si>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</si>
  <si>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</si>
  <si>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</si>
  <si>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</si>
  <si>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</si>
  <si>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</si>
  <si>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</si>
  <si>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</si>
  <si>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</si>
  <si>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</si>
  <si>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</si>
  <si>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</si>
  <si>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</si>
  <si>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</si>
  <si>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</si>
  <si>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</si>
  <si>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</si>
  <si>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</si>
  <si>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</si>
  <si>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</si>
  <si>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</si>
  <si>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</si>
  <si>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</si>
  <si>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</si>
  <si>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</si>
  <si>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</si>
  <si>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</si>
  <si>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</si>
  <si>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</si>
  <si>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</si>
  <si>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</si>
  <si>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</si>
  <si>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</si>
  <si>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Plan</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</si>
  <si>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</si>
  <si>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</si>
  <si>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</si>
  <si>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</si>
  <si>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</si>
  <si>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</si>
  <si>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</si>
  <si>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</si>
  <si>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</si>
  <si>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</si>
  <si>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</si>
  <si>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</si>
  <si>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</si>
  <si>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</si>
  <si>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</si>
  <si>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</si>
  <si>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</si>
  <si>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</si>
  <si>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</si>
  <si>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</si>
  <si>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</si>
  <si>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</si>
  <si>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</si>
  <si>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</si>
  <si>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</si>
  <si>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</si>
  <si>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</si>
  <si>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</si>
  <si>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</si>
  <si>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</si>
  <si>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</si>
  <si>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</si>
  <si>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</si>
  <si>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</si>
  <si>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</si>
  <si>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</si>
  <si>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</si>
  <si>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</si>
  <si>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</si>
  <si>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</si>
  <si>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</si>
  <si>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</si>
  <si>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</si>
  <si>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</si>
  <si>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</si>
  <si>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</si>
  <si>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</si>
  <si>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</si>
  <si>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</si>
  <si>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</si>
  <si>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</si>
  <si>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</si>
  <si>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</si>
  <si>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</si>
  <si>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</si>
  <si>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</si>
  <si>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</si>
  <si>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</si>
  <si>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</si>
  <si>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</si>
  <si>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</si>
  <si>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</si>
  <si>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</si>
  <si>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</si>
  <si>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</si>
  <si>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</si>
  <si>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</si>
  <si>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</si>
  <si>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</si>
  <si>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</si>
  <si>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</si>
  <si>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</si>
  <si>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</si>
  <si>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</si>
  <si>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</si>
  <si>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</si>
  <si>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</si>
  <si>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</si>
  <si>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</si>
  <si>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</si>
  <si>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</si>
  <si>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</si>
  <si>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</si>
  <si>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</si>
  <si>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</si>
  <si>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</si>
  <si>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</si>
  <si>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</si>
  <si>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</si>
  <si>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</si>
  <si>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</si>
  <si>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</si>
  <si>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</si>
  <si>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</si>
  <si>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</si>
  <si>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</si>
  <si>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</si>
  <si>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</si>
  <si>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</si>
  <si>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</si>
  <si>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</si>
  <si>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</si>
  <si>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</si>
  <si>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</si>
  <si>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</si>
  <si>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</si>
  <si>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</si>
  <si>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</si>
  <si>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</si>
  <si>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</si>
  <si>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</si>
  <si>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</si>
  <si>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</si>
  <si>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</si>
  <si>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</si>
  <si>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</si>
  <si>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</si>
  <si>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</si>
  <si>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</si>
  <si>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</si>
  <si>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</si>
  <si>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</si>
  <si>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</si>
  <si>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</si>
  <si>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</si>
  <si>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</si>
  <si>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</si>
  <si>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</si>
  <si>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</si>
  <si>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</si>
  <si>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</si>
  <si>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</si>
  <si>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</si>
  <si>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</si>
  <si>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</si>
  <si>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</si>
  <si>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</si>
  <si>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</si>
  <si>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</si>
  <si>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</si>
  <si>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</si>
  <si>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</si>
  <si>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</si>
  <si>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</si>
  <si>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</si>
  <si>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</si>
  <si>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</si>
  <si>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</si>
  <si>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</si>
  <si>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</si>
  <si>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</si>
  <si>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</si>
  <si>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</si>
  <si>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</si>
  <si>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</si>
  <si>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</si>
  <si>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</si>
  <si>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</si>
  <si>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</si>
  <si>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</si>
  <si>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</si>
  <si>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</si>
  <si>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</si>
  <si>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</si>
  <si>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</si>
  <si>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</si>
  <si>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</si>
  <si>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</si>
  <si>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</si>
  <si>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</si>
  <si>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</si>
  <si>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</si>
  <si>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</si>
  <si>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</si>
  <si>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</si>
  <si>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</si>
  <si>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</si>
  <si>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</si>
  <si>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</si>
  <si>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</si>
  <si>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</si>
  <si>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</si>
  <si>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</si>
  <si>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</si>
  <si>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</si>
  <si>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</si>
  <si>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</si>
  <si>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</si>
  <si>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</si>
  <si>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</si>
  <si>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</si>
  <si>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</si>
  <si>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</si>
  <si>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</si>
  <si>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</si>
  <si>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</si>
  <si>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</si>
  <si>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</si>
  <si>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</si>
  <si>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</si>
  <si>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</si>
  <si>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</si>
  <si>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</si>
  <si>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</si>
  <si>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</si>
  <si>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</si>
  <si>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</si>
  <si>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</si>
  <si>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</si>
  <si>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</si>
  <si>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</si>
  <si>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</si>
  <si>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</si>
  <si>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</si>
  <si>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</si>
  <si>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</si>
  <si>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</si>
  <si>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</si>
  <si>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</si>
  <si>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</si>
  <si>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</si>
  <si>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</si>
  <si>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</si>
  <si>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</si>
  <si>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</si>
  <si>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</si>
  <si>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</si>
  <si>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</si>
  <si>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</si>
  <si>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</si>
  <si>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</si>
  <si>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</si>
  <si>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</si>
  <si>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</si>
  <si>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</si>
  <si>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</si>
  <si>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</si>
  <si>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</si>
  <si>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</si>
  <si>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</si>
  <si>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</si>
  <si>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</si>
  <si>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</si>
  <si>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</si>
  <si>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</si>
  <si>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</si>
  <si>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</si>
  <si>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</si>
  <si>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</si>
  <si>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</si>
  <si>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</si>
  <si>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</si>
  <si>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</si>
  <si>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</si>
  <si>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</si>
  <si>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</si>
  <si>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</si>
  <si>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</si>
  <si>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</si>
  <si>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</si>
  <si>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</si>
  <si>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</si>
  <si>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</si>
  <si>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</si>
  <si>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</si>
  <si>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</si>
  <si>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</si>
  <si>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</si>
  <si>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</si>
  <si>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</si>
  <si>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</si>
  <si>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</si>
  <si>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</si>
  <si>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</si>
  <si>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</si>
  <si>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</si>
  <si>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</si>
  <si>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</si>
  <si>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</si>
  <si>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</si>
  <si>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</si>
  <si>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</si>
  <si>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</si>
  <si>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</si>
  <si>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</si>
  <si>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</si>
  <si>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</si>
  <si>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</si>
  <si>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</si>
  <si>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</si>
  <si>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</si>
  <si>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</si>
  <si>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</si>
  <si>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</si>
  <si>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</si>
  <si>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</si>
  <si>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</si>
  <si>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</si>
  <si>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</si>
  <si>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</si>
  <si>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</si>
  <si>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</si>
  <si>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</si>
  <si>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</si>
  <si>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</si>
  <si>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</si>
  <si>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</si>
  <si>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</si>
  <si>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</si>
  <si>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</si>
  <si>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</si>
  <si>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</si>
  <si>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</si>
  <si>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</si>
  <si>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</si>
  <si>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</si>
  <si>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</si>
  <si>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</si>
  <si>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</si>
  <si>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</si>
  <si>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</si>
  <si>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</si>
  <si>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</si>
  <si>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</si>
  <si>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</si>
  <si>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What home price could be within reach?</t>
  </si>
  <si>
    <t xml:space="preserve">Home &amp; Mortgage</t>
  </si>
  <si>
    <t xml:space="preserve">What would my monthly repayment be?</t>
  </si>
  <si>
    <t xml:space="preserve">How long until I have my deposit?</t>
  </si>
  <si>
    <t xml:space="preserve">What if I paid a little extra each month?</t>
  </si>
  <si>
    <t xml:space="preserve">What if my mortgage rate changed?</t>
  </si>
  <si>
    <t xml:space="preserve">Shorter or longer term: what is the trade-off?</t>
  </si>
  <si>
    <t xml:space="preserve">How do renting and buying compare over time?</t>
  </si>
  <si>
    <t xml:space="preserve">How much a month to reach my goal?</t>
  </si>
  <si>
    <t xml:space="preserve">Savings &amp; Goals</t>
  </si>
  <si>
    <t xml:space="preserve">What could regular saving grow into?</t>
  </si>
  <si>
    <t xml:space="preserve">What could a one-off amount become?</t>
  </si>
  <si>
    <t xml:space="preserve">How strong is my emergency fund?</t>
  </si>
  <si>
    <t xml:space="preserve">Could your current path fund the retirement you want?</t>
  </si>
  <si>
    <t xml:space="preserve">Pensions &amp; Retirement</t>
  </si>
  <si>
    <t xml:space="preserve">What difference would a small increase make?</t>
  </si>
  <si>
    <t xml:space="preserve">What could extra voluntary contributions add?</t>
  </si>
  <si>
    <t xml:space="preserve">How long could my retirement savings last?</t>
  </si>
  <si>
    <t xml:space="preserve">How do different growth rates change things?</t>
  </si>
  <si>
    <t xml:space="preserve">What is my money really worth in future?</t>
  </si>
  <si>
    <t xml:space="preserve">What could investing monthly build?</t>
  </si>
  <si>
    <t xml:space="preserve">How much do fees really cost over time?</t>
  </si>
  <si>
    <t xml:space="preserve">What range of outcomes might each style have?</t>
  </si>
  <si>
    <t xml:space="preserve">How much cover might my family need?</t>
  </si>
  <si>
    <t xml:space="preserve">How long could I cope if I couldn't work?</t>
  </si>
  <si>
    <t xml:space="preserve">What cover would clear my mortgage?</t>
  </si>
  <si>
    <t xml:space="preserve">What am I worth, all in?</t>
  </si>
  <si>
    <t xml:space="preserve">Everyday Money</t>
  </si>
  <si>
    <t xml:space="preserve">What is left at the end of the month?</t>
  </si>
  <si>
    <t xml:space="preserve">A simple way to split your pay</t>
  </si>
  <si>
    <t xml:space="preserve">How fast can I clear my debt?</t>
  </si>
  <si>
    <t xml:space="preserve">What would a loan cost me?</t>
  </si>
  <si>
    <t xml:space="preserve">Document reader spec (in the reference file)</t>
  </si>
  <si>
    <t xml:space="preserve">Audit fixes applied</t>
  </si>
  <si>
    <t xml:space="preserve">Where</t>
  </si>
  <si>
    <t xml:space="preserve">Audit class</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</si>
  <si>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</si>
  <si>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</si>
  <si>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</si>
  <si>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</si>
  <si>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</si>
  <si>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</si>
  <si>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</si>
  <si>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</si>
  <si>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</si>
  <si>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</si>
  <si>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</si>
  <si>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</si>
  <si>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</si>
  <si>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</si>
  <si>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</si>
  <si>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</si>
  <si>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</si>
  <si>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</si>
  <si>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</si>
  <si>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</si>
  <si>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</si>
  <si>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</si>
  <si>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</si>
  <si>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</si>
  <si>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</si>
  <si>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</si>
  <si>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</si>
  <si>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</si>
  <si>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</si>
  <si>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</si>
  <si>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</si>
  <si>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</si>
  <si>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</si>
  <si>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</si>
  <si>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</si>
  <si>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</si>
  <si>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</si>
  <si>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</si>
  <si>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</si>
  <si>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</si>
  <si>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</si>
  <si>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</si>
  <si>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</si>
  <si>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</si>
  <si>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</si>
  <si>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</si>
  <si>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</si>
  <si>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</si>
  <si>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</si>
  <si>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</si>
  <si>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</si>
  <si>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</si>
  <si>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</si>
  <si>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</si>
  <si>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</si>
  <si>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</si>
  <si>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</si>
  <si>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</si>
  <si>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</si>
  <si>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</si>
  <si>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</si>
  <si>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</si>
  <si>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</si>
  <si>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</si>
  <si>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</si>
  <si>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</si>
  <si>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</si>
  <si>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</si>
  <si>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</si>
  <si>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</si>
  <si>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</si>
  <si>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</si>
  <si>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</si>
  <si>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</si>
  <si>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</si>
  <si>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</si>
  <si>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</si>
  <si>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</si>
  <si>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Plan how it works (in the reference file)</t>
  </si>
  <si>
    <t xml:space="preserve">One paragraph per sheet, and which prototype value each Plan input is.</t>
  </si>
  <si>
    <t xml:space="preserve">Calculation register (in the reference file)</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</si>
  <si>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</si>
  <si>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</si>
  <si>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</si>
  <si>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</si>
  <si>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</si>
  <si>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UI Guide (in the reference file)</t>
  </si>
  <si>
    <t xml:space="preserve">The UI layer (teal tabs), sheet 1: how to read the other three. Appended by tools/build_ui_sheets.py.</t>
  </si>
  <si>
    <t xml:space="preserve">UI Calculators (in the reference file)</t>
  </si>
  <si>
    <t xml:space="preserve">Every calculator screen as the app shows it: labels, ranges, chips and results. Appended by tools/build_ui_sheets.py.</t>
  </si>
  <si>
    <t xml:space="preserve">UI Screens (in the reference file)</t>
  </si>
  <si>
    <t xml:space="preserve">The app screens, in the app's words. Appended by tools/build_ui_sheets.py.</t>
  </si>
  <si>
    <t xml:space="preserve">UI Make my plan (in the reference file)</t>
  </si>
  <si>
    <t xml:space="preserve">The Make my plan screens, step by step. Appended by tools/build_ui_sheets.py.</t>
  </si>
</sst>
</file>

<file path=xl/styles.xml><?xml version="1.0" encoding="utf-8"?>
<styleSheet xmlns="http://schemas.openxmlformats.org/spreadsheetml/2006/main">
  <numFmts count="20">
    <numFmt numFmtId="164" formatCode="General"/>
    <numFmt numFmtId="165" formatCode="#,##0;[RED]\-#,##0"/>
    <numFmt numFmtId="166" formatCode="0.00%"/>
    <numFmt numFmtId="167" formatCode="#,##0"/>
    <numFmt numFmtId="168" formatCode="#,##0.00"/>
    <numFmt numFmtId="169" formatCode="dd/mm/yyyy"/>
    <numFmt numFmtId="170" formatCode="0.0%"/>
    <numFmt numFmtId="171" formatCode="General"/>
    <numFmt numFmtId="172" formatCode="\€#,##0"/>
    <numFmt numFmtId="173" formatCode="0%"/>
    <numFmt numFmtId="174" formatCode="0"/>
    <numFmt numFmtId="175" formatCode="\€#,##0.00"/>
    <numFmt numFmtId="176" formatCode="0.0000"/>
    <numFmt numFmtId="177" formatCode="0.00"/>
    <numFmt numFmtId="178" formatCode="0.0\×"/>
    <numFmt numFmtId="179" formatCode="dd\ mmm\ yyyy"/>
    <numFmt numFmtId="180" formatCode="0.0000%"/>
    <numFmt numFmtId="181" formatCode="0.0"/>
    <numFmt numFmtId="182" formatCode="@"/>
    <numFmt numFmtId="183" formatCode="0.000"/>
  </numFmts>
  <fonts count="50">
    <font>
      <sz val="11"/>
      <color theme="1"/>
      <name val="Calibri"/>
      <family val="2"/>
      <charset val="1"/>
    </font>
    <font>
      <sz val="10"/>
      <name val="Arial"/>
      <family val="0"/>
    </font>
    <font>
      <sz val="10"/>
      <name val="Arial"/>
      <family val="0"/>
    </font>
    <font>
      <sz val="10"/>
      <name val="Arial"/>
      <family val="0"/>
    </font>
    <font>
      <b val="true"/>
      <sz val="16"/>
      <color rgb="FF0B2545"/>
      <name val="Cambria"/>
      <family val="0"/>
      <charset val="1"/>
    </font>
    <font>
      <b val="true"/>
      <sz val="11"/>
      <name val="Cambria"/>
      <family val="0"/>
      <charset val="1"/>
    </font>
    <font>
      <b val="true"/>
      <sz val="11"/>
      <color rgb="FFFFFFFF"/>
      <name val="Cambria"/>
      <family val="0"/>
      <charset val="1"/>
    </font>
    <font>
      <u val="single"/>
      <sz val="11"/>
      <color rgb="FF0563C1"/>
      <name val="Cambria"/>
      <family val="0"/>
      <charset val="1"/>
    </font>
    <font>
      <b val="true"/>
      <sz val="14"/>
      <name val="Cambria"/>
      <family val="0"/>
      <charset val="1"/>
    </font>
    <font>
      <b val="true"/>
      <sz val="11"/>
      <color rgb="FF9C0006"/>
      <name val="Cambria"/>
      <family val="0"/>
      <charset val="1"/>
    </font>
    <font>
      <sz val="11"/>
      <color rgb="FF0000FF"/>
      <name val="Cambria"/>
      <family val="0"/>
      <charset val="1"/>
    </font>
    <font>
      <sz val="11"/>
      <color rgb="FF7F7F7F"/>
      <name val="Cambria"/>
      <family val="0"/>
      <charset val="1"/>
    </font>
    <font>
      <b val="true"/>
      <sz val="16"/>
      <color rgb="FF1F3864"/>
      <name val="Arial"/>
      <family val="0"/>
      <charset val="1"/>
    </font>
    <font>
      <sz val="9"/>
      <color rgb="FF808080"/>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11"/>
      <color rgb="FFFFFFFF"/>
      <name val="Arial"/>
      <family val="0"/>
      <charset val="1"/>
    </font>
    <font>
      <b val="true"/>
      <sz val="9"/>
      <color rgb="FFFFFFFF"/>
      <name val="Arial"/>
      <family val="0"/>
      <charset val="1"/>
    </font>
    <font>
      <i val="true"/>
      <sz val="11"/>
      <color rgb="FF7F7F7F"/>
      <name val="Cambria"/>
      <family val="0"/>
      <charset val="1"/>
    </font>
    <font>
      <sz val="10"/>
      <color rgb="FF000000"/>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9"/>
      <color rgb="FF00000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b val="true"/>
      <sz val="9"/>
      <color rgb="FF000000"/>
      <name val="Arial"/>
      <family val="0"/>
      <charset val="1"/>
    </font>
    <font>
      <b val="true"/>
      <sz val="10"/>
      <color rgb="FF000000"/>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11"/>
      <color rgb="FF000000"/>
      <name val="Cambria"/>
      <family val="0"/>
      <charset val="1"/>
    </font>
    <font>
      <b val="true"/>
      <sz val="11"/>
      <color rgb="FFC00000"/>
      <name val="Arial"/>
      <family val="0"/>
      <charset val="1"/>
    </font>
    <font>
      <i val="true"/>
      <sz val="9"/>
      <color rgb="FF000000"/>
      <name val="Arial"/>
      <family val="0"/>
      <charset val="1"/>
    </font>
    <font>
      <sz val="8"/>
      <color rgb="FF000000"/>
      <name val="Arial"/>
      <family val="0"/>
      <charset val="1"/>
    </font>
    <font>
      <sz val="8"/>
      <color rgb="FFC00000"/>
      <name val="Arial"/>
      <family val="0"/>
      <charset val="1"/>
    </font>
    <font>
      <sz val="8"/>
      <color rgb="FF595959"/>
      <name val="Arial"/>
      <family val="0"/>
      <charset val="1"/>
    </font>
    <font>
      <b val="true"/>
      <sz val="12"/>
      <color rgb="FF000000"/>
      <name val="Arial"/>
      <family val="0"/>
      <charset val="1"/>
    </font>
    <font>
      <b val="true"/>
      <sz val="8"/>
      <color rgb="FF000000"/>
      <name val="Arial"/>
      <family val="0"/>
      <charset val="1"/>
    </font>
    <font>
      <b val="true"/>
      <sz val="10"/>
      <color rgb="FF1F6E43"/>
      <name val="Arial"/>
      <family val="0"/>
      <charset val="1"/>
    </font>
    <font>
      <b val="true"/>
      <sz val="18"/>
      <color rgb="FF1F3864"/>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b val="true"/>
      <sz val="10"/>
      <color rgb="FFFFFFFF"/>
      <name val="Arial"/>
      <family val="0"/>
      <charset val="1"/>
    </font>
    <font>
      <u val="single"/>
      <sz val="10"/>
      <color rgb="FF0563C1"/>
      <name val="Arial"/>
      <family val="0"/>
      <charset val="1"/>
    </font>
  </fonts>
  <fills count="14">
    <fill>
      <patternFill patternType="none"/>
    </fill>
    <fill>
      <patternFill patternType="gray125"/>
    </fill>
    <fill>
      <patternFill patternType="solid">
        <fgColor rgb="FFD9F2EE"/>
        <bgColor rgb="FFDDEBF7"/>
      </patternFill>
    </fill>
    <fill>
      <patternFill patternType="solid">
        <fgColor rgb="FFFFF2CC"/>
        <bgColor rgb="FFFDE9D9"/>
      </patternFill>
    </fill>
    <fill>
      <patternFill patternType="solid">
        <fgColor rgb="FF0B2545"/>
        <bgColor rgb="FF1F3864"/>
      </patternFill>
    </fill>
    <fill>
      <patternFill patternType="solid">
        <fgColor rgb="FFFDE9D9"/>
        <bgColor rgb="FFFCE4D6"/>
      </patternFill>
    </fill>
    <fill>
      <patternFill patternType="solid">
        <fgColor rgb="FF1F4E79"/>
        <bgColor rgb="FF1F3864"/>
      </patternFill>
    </fill>
    <fill>
      <patternFill patternType="solid">
        <fgColor rgb="FFE2EFDA"/>
        <bgColor rgb="FFD9F2EE"/>
      </patternFill>
    </fill>
    <fill>
      <patternFill patternType="solid">
        <fgColor rgb="FFDDEBF7"/>
        <bgColor rgb="FFD9F2EE"/>
      </patternFill>
    </fill>
    <fill>
      <patternFill patternType="solid">
        <fgColor rgb="FFEDEDED"/>
        <bgColor rgb="FFEEF2F6"/>
      </patternFill>
    </fill>
    <fill>
      <patternFill patternType="solid">
        <fgColor rgb="FF1F3864"/>
        <bgColor rgb="FF1F4E79"/>
      </patternFill>
    </fill>
    <fill>
      <patternFill patternType="solid">
        <fgColor rgb="FFF2F2F2"/>
        <bgColor rgb="FFEEF2F6"/>
      </patternFill>
    </fill>
    <fill>
      <patternFill patternType="solid">
        <fgColor rgb="FFFCE4D6"/>
        <bgColor rgb="FFFDE9D9"/>
      </patternFill>
    </fill>
    <fill>
      <patternFill patternType="solid">
        <fgColor rgb="FFEEF2F6"/>
        <bgColor rgb="FFF2F2F2"/>
      </patternFill>
    </fill>
  </fills>
  <borders count="3">
    <border diagonalUp="false" diagonalDown="false">
      <left/>
      <right/>
      <top/>
      <bottom/>
      <diagonal/>
    </border>
    <border diagonalUp="false" diagonalDown="false">
      <left style="thin">
        <color rgb="FFC9D3DD"/>
      </left>
      <right style="thin">
        <color rgb="FFC9D3DD"/>
      </right>
      <top style="thin">
        <color rgb="FFC9D3DD"/>
      </top>
      <bottom style="thin">
        <color rgb="FFC9D3DD"/>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9" fontId="10" fillId="3"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0" fontId="0" fillId="7"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7" fontId="0" fillId="7" borderId="0" xfId="0" applyFont="fals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1" fontId="0" fillId="7" borderId="0" xfId="0" applyFont="false" applyBorder="false" applyAlignment="false" applyProtection="false">
      <alignment horizontal="general" vertical="bottom" textRotation="0" wrapText="false" indent="0" shrinkToFit="false"/>
      <protection locked="true" hidden="false"/>
    </xf>
    <xf numFmtId="172" fontId="0" fillId="8" borderId="0" xfId="0" applyFont="false" applyBorder="false" applyAlignment="true" applyProtection="false">
      <alignment horizontal="general" vertical="bottom" textRotation="0" wrapText="false" indent="0" shrinkToFit="false"/>
      <protection locked="true" hidden="false"/>
    </xf>
    <xf numFmtId="173" fontId="0" fillId="8"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70" fontId="0" fillId="8" borderId="0" xfId="0" applyFont="false" applyBorder="false" applyAlignment="true" applyProtection="false">
      <alignment horizontal="general" vertical="bottom" textRotation="0" wrapText="false" indent="0" shrinkToFit="false"/>
      <protection locked="true" hidden="false"/>
    </xf>
    <xf numFmtId="174" fontId="0" fillId="8" borderId="0" xfId="0" applyFont="false" applyBorder="false" applyAlignment="true" applyProtection="false">
      <alignment horizontal="general" vertical="bottom" textRotation="0" wrapText="false" indent="0" shrinkToFit="false"/>
      <protection locked="true" hidden="false"/>
    </xf>
    <xf numFmtId="175" fontId="0" fillId="8" borderId="0" xfId="0" applyFont="false" applyBorder="false" applyAlignment="true" applyProtection="false">
      <alignment horizontal="general" vertical="bottom" textRotation="0" wrapText="false" indent="0" shrinkToFit="false"/>
      <protection locked="true" hidden="false"/>
    </xf>
    <xf numFmtId="169" fontId="0" fillId="8" borderId="0" xfId="0" applyFont="false" applyBorder="false" applyAlignment="true" applyProtection="false">
      <alignment horizontal="general" vertical="bottom" textRotation="0" wrapText="false" indent="0" shrinkToFit="false"/>
      <protection locked="true" hidden="false"/>
    </xf>
    <xf numFmtId="167" fontId="0" fillId="8" borderId="0" xfId="0" applyFont="false" applyBorder="false" applyAlignment="true" applyProtection="false">
      <alignment horizontal="general" vertical="bottom" textRotation="0" wrapText="false" indent="0" shrinkToFit="false"/>
      <protection locked="true" hidden="false"/>
    </xf>
    <xf numFmtId="166" fontId="0" fillId="8" borderId="0" xfId="0" applyFont="false" applyBorder="false" applyAlignment="true" applyProtection="false">
      <alignment horizontal="general" vertical="bottom" textRotation="0" wrapText="false" indent="0" shrinkToFit="false"/>
      <protection locked="true" hidden="false"/>
    </xf>
    <xf numFmtId="171" fontId="0" fillId="9"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71" fontId="0" fillId="8" borderId="0" xfId="0" applyFont="false" applyBorder="false" applyAlignment="false" applyProtection="false">
      <alignment horizontal="general" vertical="bottom" textRotation="0" wrapText="false" indent="0" shrinkToFit="false"/>
      <protection locked="true" hidden="false"/>
    </xf>
    <xf numFmtId="167" fontId="0" fillId="9"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3" fontId="0" fillId="8" borderId="0" xfId="0" applyFont="false" applyBorder="false" applyAlignment="false" applyProtection="false">
      <alignment horizontal="general" vertical="bottom" textRotation="0" wrapText="false" indent="0" shrinkToFit="false"/>
      <protection locked="true" hidden="false"/>
    </xf>
    <xf numFmtId="174" fontId="0" fillId="8" borderId="0" xfId="0" applyFont="false" applyBorder="false" applyAlignment="false" applyProtection="false">
      <alignment horizontal="general" vertical="bottom" textRotation="0" wrapText="false" indent="0" shrinkToFit="false"/>
      <protection locked="true" hidden="false"/>
    </xf>
    <xf numFmtId="169" fontId="0" fillId="8" borderId="0" xfId="0" applyFont="false" applyBorder="false" applyAlignment="false" applyProtection="false">
      <alignment horizontal="general" vertical="bottom" textRotation="0" wrapText="false" indent="0" shrinkToFit="false"/>
      <protection locked="true" hidden="false"/>
    </xf>
    <xf numFmtId="167" fontId="0" fillId="8" borderId="0" xfId="0" applyFont="false" applyBorder="false" applyAlignment="false" applyProtection="false">
      <alignment horizontal="general" vertical="bottom" textRotation="0" wrapText="false" indent="0" shrinkToFit="false"/>
      <protection locked="true" hidden="false"/>
    </xf>
    <xf numFmtId="170" fontId="0" fillId="8" borderId="0" xfId="0" applyFont="false" applyBorder="false" applyAlignment="false" applyProtection="false">
      <alignment horizontal="general" vertical="bottom" textRotation="0" wrapText="false" indent="0" shrinkToFit="false"/>
      <protection locked="true" hidden="false"/>
    </xf>
    <xf numFmtId="164" fontId="10" fillId="9"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10" borderId="0" xfId="0" applyFont="true" applyBorder="false" applyAlignment="true" applyProtection="false">
      <alignment horizontal="general" vertical="bottom" textRotation="0" wrapText="false" indent="0" shrinkToFit="false"/>
      <protection locked="true" hidden="false"/>
    </xf>
    <xf numFmtId="164" fontId="18" fillId="10" borderId="0" xfId="0" applyFont="true" applyBorder="false" applyAlignment="true" applyProtection="false">
      <alignment horizontal="general" vertical="bottom" textRotation="0" wrapText="false" indent="0" shrinkToFit="false"/>
      <protection locked="true" hidden="false"/>
    </xf>
    <xf numFmtId="164" fontId="19" fillId="10" borderId="0" xfId="0" applyFont="true" applyBorder="fals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2" fontId="21" fillId="3" borderId="2"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72" fontId="24" fillId="11" borderId="0" xfId="0" applyFont="true" applyBorder="false" applyAlignment="true" applyProtection="false">
      <alignment horizontal="right" vertical="bottom" textRotation="0" wrapText="false" indent="0" shrinkToFit="false"/>
      <protection locked="true" hidden="false"/>
    </xf>
    <xf numFmtId="172" fontId="25" fillId="0" borderId="0" xfId="0" applyFont="true" applyBorder="false" applyAlignment="true" applyProtection="false">
      <alignment horizontal="right" vertical="bottom" textRotation="0" wrapText="false" indent="0" shrinkToFit="false"/>
      <protection locked="true" hidden="false"/>
    </xf>
    <xf numFmtId="164" fontId="21" fillId="3" borderId="2" xfId="0" applyFont="true" applyBorder="true" applyAlignment="true" applyProtection="false">
      <alignment horizontal="right" vertical="bottom" textRotation="0" wrapText="false" indent="0" shrinkToFit="false"/>
      <protection locked="true" hidden="false"/>
    </xf>
    <xf numFmtId="164" fontId="24" fillId="11" borderId="0" xfId="0" applyFont="true" applyBorder="false" applyAlignment="true" applyProtection="false">
      <alignment horizontal="right" vertical="bottom" textRotation="0" wrapText="false" indent="0" shrinkToFit="false"/>
      <protection locked="true" hidden="false"/>
    </xf>
    <xf numFmtId="164" fontId="25" fillId="0" borderId="0" xfId="0" applyFont="true" applyBorder="false" applyAlignment="true" applyProtection="false">
      <alignment horizontal="right" vertical="bottom" textRotation="0" wrapText="false" indent="0" shrinkToFit="false"/>
      <protection locked="true" hidden="false"/>
    </xf>
    <xf numFmtId="166" fontId="21" fillId="3" borderId="2" xfId="0" applyFont="true" applyBorder="true" applyAlignment="true" applyProtection="false">
      <alignment horizontal="right"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6" fontId="24" fillId="11" borderId="0" xfId="0" applyFont="true" applyBorder="false" applyAlignment="true" applyProtection="false">
      <alignment horizontal="right" vertical="bottom" textRotation="0" wrapText="false" indent="0" shrinkToFit="false"/>
      <protection locked="true" hidden="false"/>
    </xf>
    <xf numFmtId="166" fontId="25" fillId="0" borderId="0" xfId="0" applyFont="true" applyBorder="false" applyAlignment="true" applyProtection="false">
      <alignment horizontal="right" vertical="bottom" textRotation="0" wrapText="false" indent="0" shrinkToFit="false"/>
      <protection locked="true" hidden="false"/>
    </xf>
    <xf numFmtId="174" fontId="21" fillId="3" borderId="2" xfId="0" applyFont="true" applyBorder="true" applyAlignment="true" applyProtection="false">
      <alignment horizontal="right" vertical="bottom" textRotation="0" wrapText="false" indent="0" shrinkToFit="false"/>
      <protection locked="true" hidden="false"/>
    </xf>
    <xf numFmtId="174" fontId="24" fillId="11" borderId="0" xfId="0" applyFont="true" applyBorder="false" applyAlignment="true" applyProtection="false">
      <alignment horizontal="right" vertical="bottom" textRotation="0" wrapText="false" indent="0" shrinkToFit="false"/>
      <protection locked="true" hidden="false"/>
    </xf>
    <xf numFmtId="174" fontId="25" fillId="0" borderId="0" xfId="0" applyFont="true" applyBorder="false" applyAlignment="true" applyProtection="false">
      <alignment horizontal="right" vertical="bottom" textRotation="0" wrapText="false" indent="0" shrinkToFit="false"/>
      <protection locked="true" hidden="false"/>
    </xf>
    <xf numFmtId="172" fontId="27" fillId="7" borderId="2" xfId="0" applyFont="true" applyBorder="true" applyAlignment="true" applyProtection="false">
      <alignment horizontal="right" vertical="bottom" textRotation="0" wrapText="false" indent="0" shrinkToFit="tru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72" fontId="20" fillId="11" borderId="2" xfId="0" applyFont="true" applyBorder="true" applyAlignment="true" applyProtection="false">
      <alignment horizontal="right" vertical="bottom" textRotation="0" wrapText="false" indent="0" shrinkToFit="true"/>
      <protection locked="true" hidden="false"/>
    </xf>
    <xf numFmtId="178" fontId="20" fillId="11" borderId="2" xfId="0" applyFont="true" applyBorder="true" applyAlignment="true" applyProtection="false">
      <alignment horizontal="right" vertical="bottom" textRotation="0" wrapText="false" indent="0" shrinkToFit="true"/>
      <protection locked="true" hidden="false"/>
    </xf>
    <xf numFmtId="164" fontId="20" fillId="11" borderId="2" xfId="0" applyFont="true" applyBorder="true" applyAlignment="true" applyProtection="false">
      <alignment horizontal="right" vertical="bottom" textRotation="0" wrapText="false" indent="0" shrinkToFit="tru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9" fillId="0" borderId="0" xfId="0" applyFont="true" applyBorder="true" applyAlignment="true" applyProtection="false">
      <alignment horizontal="general" vertical="top" textRotation="0" wrapText="true" indent="0" shrinkToFit="false"/>
      <protection locked="true" hidden="false"/>
    </xf>
    <xf numFmtId="164" fontId="30" fillId="11" borderId="2" xfId="0" applyFont="true" applyBorder="true" applyAlignment="true" applyProtection="false">
      <alignment horizontal="right" vertical="bottom" textRotation="0" wrapText="false" indent="0" shrinkToFit="tru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72" fontId="30" fillId="11" borderId="2" xfId="0" applyFont="true" applyBorder="true" applyAlignment="true" applyProtection="false">
      <alignment horizontal="right" vertical="bottom" textRotation="0" wrapText="false" indent="0" shrinkToFit="true"/>
      <protection locked="true" hidden="false"/>
    </xf>
    <xf numFmtId="174" fontId="30" fillId="11" borderId="2" xfId="0" applyFont="true" applyBorder="true" applyAlignment="true" applyProtection="false">
      <alignment horizontal="right" vertical="bottom" textRotation="0" wrapText="false" indent="0" shrinkToFit="tru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72" fontId="21" fillId="8" borderId="2" xfId="0" applyFont="true" applyBorder="true" applyAlignment="true" applyProtection="false">
      <alignment horizontal="right" vertical="bottom" textRotation="0" wrapText="false" indent="0" shrinkToFit="false"/>
      <protection locked="true" hidden="false"/>
    </xf>
    <xf numFmtId="166" fontId="21" fillId="8" borderId="2" xfId="0" applyFont="true" applyBorder="true" applyAlignment="true" applyProtection="false">
      <alignment horizontal="right" vertical="bottom" textRotation="0" wrapText="false" indent="0" shrinkToFit="false"/>
      <protection locked="true" hidden="false"/>
    </xf>
    <xf numFmtId="174" fontId="21" fillId="8" borderId="2" xfId="0" applyFont="true" applyBorder="true" applyAlignment="true" applyProtection="false">
      <alignment horizontal="right" vertical="bottom" textRotation="0" wrapText="false" indent="0" shrinkToFit="false"/>
      <protection locked="true" hidden="false"/>
    </xf>
    <xf numFmtId="179" fontId="21" fillId="8" borderId="2" xfId="0" applyFont="true" applyBorder="true" applyAlignment="true" applyProtection="false">
      <alignment horizontal="right" vertical="bottom" textRotation="0" wrapText="false" indent="0" shrinkToFit="false"/>
      <protection locked="true" hidden="false"/>
    </xf>
    <xf numFmtId="172" fontId="30" fillId="11" borderId="2"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6" fontId="30" fillId="11" borderId="2" xfId="0" applyFont="true" applyBorder="true" applyAlignment="true" applyProtection="false">
      <alignment horizontal="right" vertical="bottom" textRotation="0" wrapText="false" indent="0" shrinkToFit="false"/>
      <protection locked="true" hidden="false"/>
    </xf>
    <xf numFmtId="174" fontId="30" fillId="11" borderId="2" xfId="0" applyFont="true" applyBorder="true" applyAlignment="true" applyProtection="false">
      <alignment horizontal="right" vertical="bottom" textRotation="0" wrapText="false" indent="0" shrinkToFit="false"/>
      <protection locked="true" hidden="false"/>
    </xf>
    <xf numFmtId="174" fontId="27" fillId="7" borderId="2" xfId="0" applyFont="true" applyBorder="true" applyAlignment="true" applyProtection="false">
      <alignment horizontal="right" vertical="bottom" textRotation="0" wrapText="false" indent="0" shrinkToFit="tru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80" fontId="20" fillId="11" borderId="2" xfId="0" applyFont="true" applyBorder="true" applyAlignment="true" applyProtection="false">
      <alignment horizontal="right" vertical="bottom" textRotation="0" wrapText="false" indent="0" shrinkToFit="true"/>
      <protection locked="true" hidden="false"/>
    </xf>
    <xf numFmtId="166" fontId="20" fillId="11" borderId="2" xfId="0" applyFont="true" applyBorder="true" applyAlignment="true" applyProtection="false">
      <alignment horizontal="right" vertical="bottom" textRotation="0" wrapText="false" indent="0" shrinkToFit="true"/>
      <protection locked="true" hidden="false"/>
    </xf>
    <xf numFmtId="174" fontId="20" fillId="11" borderId="2" xfId="0" applyFont="true" applyBorder="true" applyAlignment="true" applyProtection="false">
      <alignment horizontal="right" vertical="bottom" textRotation="0" wrapText="false" indent="0" shrinkToFit="tru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32" fillId="0" borderId="0" xfId="0" applyFont="true" applyBorder="true" applyAlignment="true" applyProtection="false">
      <alignment horizontal="general" vertical="bottom" textRotation="0" wrapText="false" indent="0" shrinkToFit="false"/>
      <protection locked="true" hidden="false"/>
    </xf>
    <xf numFmtId="166" fontId="30" fillId="11" borderId="2" xfId="0" applyFont="true" applyBorder="true" applyAlignment="true" applyProtection="false">
      <alignment horizontal="right" vertical="bottom" textRotation="0" wrapText="false" indent="0" shrinkToFit="true"/>
      <protection locked="true" hidden="false"/>
    </xf>
    <xf numFmtId="181" fontId="27" fillId="7" borderId="2" xfId="0" applyFont="true" applyBorder="true" applyAlignment="true" applyProtection="false">
      <alignment horizontal="right" vertical="bottom" textRotation="0" wrapText="false" indent="0" shrinkToFit="true"/>
      <protection locked="true" hidden="false"/>
    </xf>
    <xf numFmtId="164" fontId="21" fillId="8" borderId="2"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4" fillId="12" borderId="0" xfId="0" applyFont="true" applyBorder="true" applyAlignment="true" applyProtection="false">
      <alignment horizontal="general" vertical="bottom" textRotation="0" wrapText="false" indent="0" shrinkToFit="false"/>
      <protection locked="true" hidden="false"/>
    </xf>
    <xf numFmtId="173" fontId="21" fillId="3" borderId="2" xfId="0" applyFont="true" applyBorder="true" applyAlignment="true" applyProtection="false">
      <alignment horizontal="right" vertical="bottom" textRotation="0" wrapText="false" indent="0" shrinkToFit="false"/>
      <protection locked="true" hidden="false"/>
    </xf>
    <xf numFmtId="173" fontId="24" fillId="11" borderId="0" xfId="0" applyFont="true" applyBorder="false" applyAlignment="true" applyProtection="false">
      <alignment horizontal="right"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0" fontId="20" fillId="11" borderId="2" xfId="0" applyFont="true" applyBorder="true" applyAlignment="true" applyProtection="false">
      <alignment horizontal="right" vertical="bottom" textRotation="0" wrapText="false" indent="0" shrinkToFit="true"/>
      <protection locked="true" hidden="false"/>
    </xf>
    <xf numFmtId="164" fontId="29" fillId="11" borderId="0" xfId="0" applyFont="true" applyBorder="false" applyAlignment="true" applyProtection="false">
      <alignment horizontal="general" vertical="bottom" textRotation="0" wrapText="true" indent="0" shrinkToFit="false"/>
      <protection locked="true" hidden="false"/>
    </xf>
    <xf numFmtId="174" fontId="25" fillId="0" borderId="0" xfId="0" applyFont="true" applyBorder="false" applyAlignment="true" applyProtection="false">
      <alignment horizontal="general" vertical="bottom" textRotation="0" wrapText="false" indent="0" shrinkToFit="false"/>
      <protection locked="true" hidden="false"/>
    </xf>
    <xf numFmtId="172" fontId="25" fillId="0" borderId="0" xfId="0" applyFont="true" applyBorder="false" applyAlignment="true" applyProtection="false">
      <alignment horizontal="general" vertical="bottom" textRotation="0" wrapText="false" indent="0" shrinkToFit="false"/>
      <protection locked="true" hidden="false"/>
    </xf>
    <xf numFmtId="180" fontId="27" fillId="7" borderId="2" xfId="0" applyFont="true" applyBorder="true" applyAlignment="true" applyProtection="false">
      <alignment horizontal="right" vertical="bottom" textRotation="0" wrapText="false" indent="0" shrinkToFit="true"/>
      <protection locked="true" hidden="false"/>
    </xf>
    <xf numFmtId="175" fontId="21" fillId="3" borderId="2" xfId="0" applyFont="true" applyBorder="true" applyAlignment="true" applyProtection="false">
      <alignment horizontal="right" vertical="bottom" textRotation="0" wrapText="false" indent="0" shrinkToFit="false"/>
      <protection locked="true" hidden="false"/>
    </xf>
    <xf numFmtId="175" fontId="24" fillId="11" borderId="0" xfId="0" applyFont="true" applyBorder="false" applyAlignment="true" applyProtection="false">
      <alignment horizontal="right" vertical="bottom" textRotation="0" wrapText="false" indent="0" shrinkToFit="false"/>
      <protection locked="true" hidden="false"/>
    </xf>
    <xf numFmtId="175" fontId="25" fillId="0" borderId="0" xfId="0" applyFont="true" applyBorder="false" applyAlignment="true" applyProtection="false">
      <alignment horizontal="right" vertical="bottom" textRotation="0" wrapText="false" indent="0" shrinkToFit="false"/>
      <protection locked="true" hidden="false"/>
    </xf>
    <xf numFmtId="181" fontId="20" fillId="11" borderId="2" xfId="0" applyFont="true" applyBorder="true" applyAlignment="true" applyProtection="false">
      <alignment horizontal="right" vertical="bottom" textRotation="0" wrapText="false" indent="0" shrinkToFit="true"/>
      <protection locked="true" hidden="false"/>
    </xf>
    <xf numFmtId="165" fontId="0" fillId="13"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0" fillId="3" borderId="1" xfId="0" applyFont="false" applyBorder="true" applyAlignment="false" applyProtection="false">
      <alignment horizontal="general" vertical="bottom" textRotation="0" wrapText="false" indent="0" shrinkToFit="false"/>
      <protection locked="true" hidden="false"/>
    </xf>
    <xf numFmtId="170" fontId="0" fillId="13" borderId="1" xfId="0" applyFont="fals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70" fontId="0" fillId="3" borderId="1" xfId="0" applyFont="false" applyBorder="true" applyAlignment="false" applyProtection="false">
      <alignment horizontal="general" vertical="bottom" textRotation="0" wrapText="false" indent="0" shrinkToFit="false"/>
      <protection locked="true" hidden="false"/>
    </xf>
    <xf numFmtId="174" fontId="0" fillId="13"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74" fontId="0" fillId="3" borderId="1" xfId="0" applyFont="false" applyBorder="true" applyAlignment="false" applyProtection="false">
      <alignment horizontal="general" vertical="bottom" textRotation="0" wrapText="false" indent="0" shrinkToFit="false"/>
      <protection locked="true" hidden="false"/>
    </xf>
    <xf numFmtId="182" fontId="0" fillId="13" borderId="1" xfId="0" applyFont="false" applyBorder="true" applyAlignment="false" applyProtection="false">
      <alignment horizontal="general" vertical="bottom" textRotation="0" wrapText="false" indent="0" shrinkToFit="false"/>
      <protection locked="true" hidden="false"/>
    </xf>
    <xf numFmtId="182" fontId="0" fillId="0" borderId="1" xfId="0" applyFont="true" applyBorder="true" applyAlignment="false" applyProtection="false">
      <alignment horizontal="general" vertical="bottom" textRotation="0" wrapText="false" indent="0" shrinkToFit="false"/>
      <protection locked="true" hidden="false"/>
    </xf>
    <xf numFmtId="182" fontId="0" fillId="3" borderId="1" xfId="0" applyFont="true" applyBorder="true" applyAlignment="false" applyProtection="false">
      <alignment horizontal="general" vertical="bottom" textRotation="0" wrapText="false" indent="0" shrinkToFit="false"/>
      <protection locked="true" hidden="false"/>
    </xf>
    <xf numFmtId="179" fontId="0" fillId="13" borderId="1" xfId="0" applyFont="false" applyBorder="true" applyAlignment="false" applyProtection="false">
      <alignment horizontal="general" vertical="bottom" textRotation="0" wrapText="false" indent="0" shrinkToFit="false"/>
      <protection locked="true" hidden="false"/>
    </xf>
    <xf numFmtId="179" fontId="0" fillId="0" borderId="1" xfId="0" applyFont="false" applyBorder="true" applyAlignment="false" applyProtection="false">
      <alignment horizontal="general" vertical="bottom" textRotation="0" wrapText="false" indent="0" shrinkToFit="false"/>
      <protection locked="true" hidden="false"/>
    </xf>
    <xf numFmtId="179" fontId="0" fillId="3"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bottom" textRotation="0" wrapText="false" indent="0" shrinkToFit="false"/>
      <protection locked="true" hidden="false"/>
    </xf>
    <xf numFmtId="170" fontId="10" fillId="3" borderId="0" xfId="0" applyFont="true" applyBorder="false" applyAlignment="true" applyProtection="false">
      <alignment horizontal="general" vertical="bottom" textRotation="0" wrapText="false" indent="0" shrinkToFit="false"/>
      <protection locked="true" hidden="false"/>
    </xf>
    <xf numFmtId="170" fontId="35" fillId="9" borderId="0" xfId="0" applyFont="true" applyBorder="false" applyAlignment="true" applyProtection="false">
      <alignment horizontal="general"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73" fontId="10" fillId="3"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bottom" textRotation="0" wrapText="true" indent="0" shrinkToFit="false"/>
      <protection locked="true" hidden="false"/>
    </xf>
    <xf numFmtId="164" fontId="29" fillId="11"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top" textRotation="0" wrapText="true" indent="0" shrinkToFit="false"/>
      <protection locked="true" hidden="false"/>
    </xf>
    <xf numFmtId="164" fontId="38" fillId="0" borderId="0" xfId="0" applyFont="true" applyBorder="false" applyAlignment="true" applyProtection="false">
      <alignment horizontal="general" vertical="top" textRotation="0" wrapText="true" indent="0" shrinkToFit="false"/>
      <protection locked="true" hidden="false"/>
    </xf>
    <xf numFmtId="172" fontId="30" fillId="11" borderId="2" xfId="0" applyFont="true" applyBorder="tru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73" fontId="30" fillId="11" borderId="2" xfId="0" applyFont="true" applyBorder="true" applyAlignment="true" applyProtection="false">
      <alignment horizontal="general" vertical="bottom" textRotation="0" wrapText="false" indent="0" shrinkToFit="false"/>
      <protection locked="true" hidden="false"/>
    </xf>
    <xf numFmtId="170" fontId="30" fillId="11" borderId="2" xfId="0" applyFont="true" applyBorder="true" applyAlignment="true" applyProtection="false">
      <alignment horizontal="general" vertical="bottom" textRotation="0" wrapText="false" indent="0" shrinkToFit="false"/>
      <protection locked="true" hidden="false"/>
    </xf>
    <xf numFmtId="166" fontId="30" fillId="11" borderId="2" xfId="0" applyFont="true" applyBorder="true" applyAlignment="true" applyProtection="false">
      <alignment horizontal="general" vertical="bottom" textRotation="0" wrapText="false" indent="0" shrinkToFit="false"/>
      <protection locked="true" hidden="false"/>
    </xf>
    <xf numFmtId="180" fontId="30" fillId="11" borderId="2" xfId="0" applyFont="true" applyBorder="true" applyAlignment="true" applyProtection="false">
      <alignment horizontal="general" vertical="bottom" textRotation="0" wrapText="false" indent="0" shrinkToFit="false"/>
      <protection locked="true" hidden="false"/>
    </xf>
    <xf numFmtId="174" fontId="30" fillId="11" borderId="2" xfId="0" applyFont="true" applyBorder="true" applyAlignment="true" applyProtection="false">
      <alignment horizontal="general" vertical="bottom" textRotation="0" wrapText="false" indent="0" shrinkToFit="false"/>
      <protection locked="true" hidden="false"/>
    </xf>
    <xf numFmtId="164" fontId="30" fillId="11" borderId="2" xfId="0" applyFont="true" applyBorder="tru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5" fontId="30" fillId="11" borderId="2" xfId="0" applyFont="true" applyBorder="true" applyAlignment="true" applyProtection="false">
      <alignment horizontal="general" vertical="bottom" textRotation="0" wrapText="false" indent="0" shrinkToFit="false"/>
      <protection locked="true" hidden="false"/>
    </xf>
    <xf numFmtId="178" fontId="30" fillId="11" borderId="2" xfId="0" applyFont="true" applyBorder="true" applyAlignment="true" applyProtection="false">
      <alignment horizontal="general" vertical="bottom" textRotation="0" wrapText="false" indent="0" shrinkToFit="false"/>
      <protection locked="true" hidden="false"/>
    </xf>
    <xf numFmtId="183" fontId="30" fillId="11"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7" fontId="30" fillId="11" borderId="2" xfId="0" applyFont="true" applyBorder="true" applyAlignment="true" applyProtection="false">
      <alignment horizontal="general" vertical="bottom" textRotation="0" wrapText="false" indent="0" shrinkToFit="false"/>
      <protection locked="true" hidden="false"/>
    </xf>
    <xf numFmtId="166" fontId="0" fillId="3" borderId="0" xfId="0" applyFont="false" applyBorder="false" applyAlignment="true" applyProtection="false">
      <alignment horizontal="general" vertical="bottom" textRotation="0" wrapText="false" indent="0" shrinkToFit="false"/>
      <protection locked="true" hidden="false"/>
    </xf>
    <xf numFmtId="172" fontId="0" fillId="3" borderId="0" xfId="0" applyFont="false" applyBorder="false" applyAlignment="true" applyProtection="false">
      <alignment horizontal="general" vertical="bottom" textRotation="0" wrapText="false" indent="0" shrinkToFit="false"/>
      <protection locked="true" hidden="false"/>
    </xf>
    <xf numFmtId="170" fontId="0" fillId="9" borderId="0" xfId="0" applyFont="false" applyBorder="false" applyAlignment="true" applyProtection="false">
      <alignment horizontal="general" vertical="bottom" textRotation="0" wrapText="false" indent="0" shrinkToFit="false"/>
      <protection locked="true" hidden="false"/>
    </xf>
    <xf numFmtId="166" fontId="0" fillId="7" borderId="0" xfId="0" applyFont="fals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80" fontId="20" fillId="11" borderId="2" xfId="0" applyFont="true" applyBorder="tru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true" indent="0" shrinkToFit="false"/>
      <protection locked="true" hidden="false"/>
    </xf>
    <xf numFmtId="172" fontId="20" fillId="11" borderId="2" xfId="0" applyFont="true" applyBorder="true" applyAlignment="true" applyProtection="false">
      <alignment horizontal="general" vertical="bottom" textRotation="0" wrapText="false" indent="0" shrinkToFit="false"/>
      <protection locked="true" hidden="false"/>
    </xf>
    <xf numFmtId="175" fontId="20" fillId="11" borderId="2" xfId="0" applyFont="true" applyBorder="tru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5" fontId="41" fillId="7" borderId="2" xfId="0" applyFont="true" applyBorder="true" applyAlignment="true" applyProtection="false">
      <alignment horizontal="general" vertical="bottom" textRotation="0" wrapText="false" indent="0" shrinkToFit="false"/>
      <protection locked="true" hidden="false"/>
    </xf>
    <xf numFmtId="173" fontId="41" fillId="7" borderId="2" xfId="0" applyFont="true" applyBorder="true" applyAlignment="tru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general" vertical="bottom" textRotation="0" wrapText="false" indent="0" shrinkToFit="false"/>
      <protection locked="true" hidden="false"/>
    </xf>
    <xf numFmtId="164" fontId="42" fillId="11" borderId="0" xfId="0" applyFont="true" applyBorder="false" applyAlignment="true" applyProtection="false">
      <alignment horizontal="general" vertical="bottom" textRotation="0" wrapText="true" indent="0" shrinkToFit="false"/>
      <protection locked="true" hidden="false"/>
    </xf>
    <xf numFmtId="175"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5" fillId="3" borderId="2" xfId="0" applyFont="true" applyBorder="tru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48" fillId="10"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b val="1"/>
        <color rgb="FF9C0006"/>
      </font>
      <fill>
        <patternFill>
          <bgColor rgb="FFFFC7CE"/>
        </patternFill>
      </fill>
    </dxf>
  </dxfs>
  <colors>
    <indexedColors>
      <rgbColor rgb="FF000000"/>
      <rgbColor rgb="FFFFFFFF"/>
      <rgbColor rgb="FFC00000"/>
      <rgbColor rgb="FF00FF00"/>
      <rgbColor rgb="FF0000FF"/>
      <rgbColor rgb="FFF2F2F2"/>
      <rgbColor rgb="FFFF00FF"/>
      <rgbColor rgb="FF00FFFF"/>
      <rgbColor rgb="FF9C0006"/>
      <rgbColor rgb="FF008000"/>
      <rgbColor rgb="FF000080"/>
      <rgbColor rgb="FF7F6000"/>
      <rgbColor rgb="FF800080"/>
      <rgbColor rgb="FF0F9D8F"/>
      <rgbColor rgb="FFBFBFBF"/>
      <rgbColor rgb="FF808080"/>
      <rgbColor rgb="FF5B9BD5"/>
      <rgbColor rgb="FF993366"/>
      <rgbColor rgb="FFFFF2CC"/>
      <rgbColor rgb="FFD9F2EE"/>
      <rgbColor rgb="FF660066"/>
      <rgbColor rgb="FFFF8080"/>
      <rgbColor rgb="FF0563C1"/>
      <rgbColor rgb="FFC9D3DD"/>
      <rgbColor rgb="FF000080"/>
      <rgbColor rgb="FFFF00FF"/>
      <rgbColor rgb="FFFFFF00"/>
      <rgbColor rgb="FF00FFFF"/>
      <rgbColor rgb="FF800080"/>
      <rgbColor rgb="FF800000"/>
      <rgbColor rgb="FF1F6E43"/>
      <rgbColor rgb="FF0000FF"/>
      <rgbColor rgb="FF00CCFF"/>
      <rgbColor rgb="FFDDEBF7"/>
      <rgbColor rgb="FFE2EFDA"/>
      <rgbColor rgb="FFFDE9D9"/>
      <rgbColor rgb="FFEDEDED"/>
      <rgbColor rgb="FFFCE4D6"/>
      <rgbColor rgb="FFEEF2F6"/>
      <rgbColor rgb="FFFFC7CE"/>
      <rgbColor rgb="FF2E75B6"/>
      <rgbColor rgb="FF33CCCC"/>
      <rgbColor rgb="FF99CC00"/>
      <rgbColor rgb="FFFFCC00"/>
      <rgbColor rgb="FFF2B134"/>
      <rgbColor rgb="FFFF6600"/>
      <rgbColor rgb="FF595959"/>
      <rgbColor rgb="FF7F7F7F"/>
      <rgbColor rgb="FF0B2545"/>
      <rgbColor rgb="FF2E8B57"/>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1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1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1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19.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0.vml"/>
</Relationships>
</file>

<file path=xl/worksheets/_rels/sheet32.xml.rels><?xml version="1.0" encoding="UTF-8"?>
<Relationships xmlns="http://schemas.openxmlformats.org/package/2006/relationships"><Relationship Id="rId1" Type="http://schemas.openxmlformats.org/officeDocument/2006/relationships/comments" Target="../comments32.xml"/><Relationship Id="rId2" Type="http://schemas.openxmlformats.org/officeDocument/2006/relationships/vmlDrawing" Target="../drawings/vmlDrawing21.vml"/>
</Relationships>
</file>

<file path=xl/worksheets/_rels/sheet33.xml.rels><?xml version="1.0" encoding="UTF-8"?>
<Relationships xmlns="http://schemas.openxmlformats.org/package/2006/relationships"><Relationship Id="rId1" Type="http://schemas.openxmlformats.org/officeDocument/2006/relationships/comments" Target="../comments33.xml"/><Relationship Id="rId2" Type="http://schemas.openxmlformats.org/officeDocument/2006/relationships/vmlDrawing" Target="../drawings/vmlDrawing22.vml"/>
</Relationships>
</file>

<file path=xl/worksheets/_rels/sheet34.xml.rels><?xml version="1.0" encoding="UTF-8"?>
<Relationships xmlns="http://schemas.openxmlformats.org/package/2006/relationships"><Relationship Id="rId1" Type="http://schemas.openxmlformats.org/officeDocument/2006/relationships/comments" Target="../comments34.xml"/><Relationship Id="rId2" Type="http://schemas.openxmlformats.org/officeDocument/2006/relationships/vmlDrawing" Target="../drawings/vmlDrawing23.vml"/>
</Relationships>
</file>

<file path=xl/worksheets/_rels/sheet35.xml.rels><?xml version="1.0" encoding="UTF-8"?>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24.vml"/>
</Relationships>
</file>

<file path=xl/worksheets/_rels/sheet36.xml.rels><?xml version="1.0" encoding="UTF-8"?>
<Relationships xmlns="http://schemas.openxmlformats.org/package/2006/relationships"><Relationship Id="rId1" Type="http://schemas.openxmlformats.org/officeDocument/2006/relationships/comments" Target="../comments36.xml"/><Relationship Id="rId2" Type="http://schemas.openxmlformats.org/officeDocument/2006/relationships/vmlDrawing" Target="../drawings/vmlDrawing25.vml"/>
</Relationships>
</file>

<file path=xl/worksheets/_rels/sheet37.xml.rels><?xml version="1.0" encoding="UTF-8"?>
<Relationships xmlns="http://schemas.openxmlformats.org/package/2006/relationships"><Relationship Id="rId1" Type="http://schemas.openxmlformats.org/officeDocument/2006/relationships/comments" Target="../comments37.xml"/><Relationship Id="rId2" Type="http://schemas.openxmlformats.org/officeDocument/2006/relationships/vmlDrawing" Target="../drawings/vmlDrawing26.vml"/>
</Relationships>
</file>

<file path=xl/worksheets/_rels/sheet38.xml.rels><?xml version="1.0" encoding="UTF-8"?>
<Relationships xmlns="http://schemas.openxmlformats.org/package/2006/relationships"><Relationship Id="rId1" Type="http://schemas.openxmlformats.org/officeDocument/2006/relationships/comments" Target="../comments38.xml"/><Relationship Id="rId2" Type="http://schemas.openxmlformats.org/officeDocument/2006/relationships/vmlDrawing" Target="../drawings/vmlDrawing27.v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8.vml"/>
</Relationships>
</file>

<file path=xl/worksheets/_rels/sheet45.xml.rels><?xml version="1.0" encoding="UTF-8"?>
<Relationships xmlns="http://schemas.openxmlformats.org/package/2006/relationships"><Relationship Id="rId1" Type="http://schemas.openxmlformats.org/officeDocument/2006/relationships/comments" Target="../comments45.xml"/><Relationship Id="rId2"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D1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00"/>
    <col collapsed="false" customWidth="true" hidden="false" outlineLevel="0" max="3" min="3" style="0" width="22"/>
    <col collapsed="false" customWidth="true" hidden="false" outlineLevel="0" max="4" min="4" style="0" width="50"/>
  </cols>
  <sheetData>
    <row r="1" customFormat="false" ht="19.7" hidden="false" customHeight="false" outlineLevel="0" collapsed="false">
      <c r="A1" s="1" t="s">
        <v>0</v>
      </c>
    </row>
    <row r="2" customFormat="false" ht="33.75" hidden="false" customHeight="true" outlineLevel="0" collapsed="false">
      <c r="A2" s="2" t="s">
        <v>1</v>
      </c>
      <c r="B2" s="2"/>
      <c r="C2" s="2"/>
      <c r="D2" s="2"/>
    </row>
    <row r="3" customFormat="false" ht="48" hidden="false" customHeight="true" outlineLevel="0" collapsed="false">
      <c r="A3" s="3" t="s">
        <v>2</v>
      </c>
      <c r="B3" s="4" t="s">
        <v>3</v>
      </c>
      <c r="C3" s="2" t="s">
        <v>4</v>
      </c>
      <c r="D3" s="2"/>
    </row>
    <row r="5" customFormat="false" ht="28.35" hidden="false" customHeight="false" outlineLevel="0" collapsed="false">
      <c r="A5" s="5" t="s">
        <v>5</v>
      </c>
      <c r="B5" s="5"/>
      <c r="C5" s="5"/>
      <c r="D5" s="5"/>
    </row>
    <row r="6" customFormat="false" ht="31.5" hidden="false" customHeight="true" outlineLevel="0" collapsed="false">
      <c r="A6" s="3" t="s">
        <v>6</v>
      </c>
      <c r="B6" s="6" t="s">
        <v>7</v>
      </c>
      <c r="C6" s="6"/>
      <c r="D6" s="6"/>
    </row>
    <row r="7" customFormat="false" ht="31.5" hidden="false" customHeight="true" outlineLevel="0" collapsed="false">
      <c r="A7" s="3" t="s">
        <v>8</v>
      </c>
      <c r="B7" s="6" t="s">
        <v>9</v>
      </c>
      <c r="C7" s="6"/>
      <c r="D7" s="6"/>
    </row>
    <row r="8" customFormat="false" ht="31.5" hidden="false" customHeight="true" outlineLevel="0" collapsed="false">
      <c r="A8" s="3" t="s">
        <v>10</v>
      </c>
      <c r="B8" s="6" t="s">
        <v>11</v>
      </c>
      <c r="C8" s="6"/>
      <c r="D8" s="6"/>
    </row>
    <row r="9" customFormat="false" ht="31.5" hidden="false" customHeight="true" outlineLevel="0" collapsed="false">
      <c r="A9" s="3" t="s">
        <v>12</v>
      </c>
      <c r="B9" s="6" t="s">
        <v>13</v>
      </c>
      <c r="C9" s="6"/>
      <c r="D9" s="6"/>
    </row>
    <row r="10" customFormat="false" ht="31.5" hidden="false" customHeight="true" outlineLevel="0" collapsed="false">
      <c r="A10" s="3" t="s">
        <v>14</v>
      </c>
      <c r="B10" s="6" t="s">
        <v>15</v>
      </c>
      <c r="C10" s="6"/>
      <c r="D10" s="6"/>
    </row>
    <row r="11" customFormat="false" ht="31.5" hidden="false" customHeight="true" outlineLevel="0" collapsed="false">
      <c r="A11" s="3" t="s">
        <v>16</v>
      </c>
      <c r="B11" s="6" t="s">
        <v>17</v>
      </c>
      <c r="C11" s="6"/>
      <c r="D11" s="6"/>
    </row>
    <row r="12" customFormat="false" ht="45" hidden="false" customHeight="true" outlineLevel="0" collapsed="false">
      <c r="A12" s="3" t="s">
        <v>18</v>
      </c>
      <c r="B12" s="6" t="s">
        <v>19</v>
      </c>
      <c r="C12" s="6"/>
      <c r="D12" s="6"/>
    </row>
    <row r="13" customFormat="false" ht="60" hidden="false" customHeight="true" outlineLevel="0" collapsed="false">
      <c r="A13" s="3" t="s">
        <v>20</v>
      </c>
      <c r="B13" s="6" t="s">
        <v>21</v>
      </c>
      <c r="C13" s="6"/>
      <c r="D13" s="6"/>
    </row>
    <row r="14" customFormat="false" ht="45" hidden="false" customHeight="true" outlineLevel="0" collapsed="false">
      <c r="A14" s="3" t="s">
        <v>22</v>
      </c>
      <c r="B14" s="6" t="s">
        <v>23</v>
      </c>
      <c r="C14" s="6"/>
      <c r="D14" s="6"/>
    </row>
    <row r="15" customFormat="false" ht="45" hidden="false" customHeight="true" outlineLevel="0" collapsed="false">
      <c r="A15" s="3" t="s">
        <v>24</v>
      </c>
      <c r="B15" s="6" t="s">
        <v>25</v>
      </c>
      <c r="C15" s="6"/>
      <c r="D15" s="6"/>
    </row>
    <row r="16" customFormat="false" ht="45" hidden="false" customHeight="true" outlineLevel="0" collapsed="false">
      <c r="A16" s="3" t="s">
        <v>26</v>
      </c>
      <c r="B16" s="6" t="s">
        <v>27</v>
      </c>
      <c r="C16" s="6"/>
      <c r="D16" s="6"/>
    </row>
    <row r="17" customFormat="false" ht="31.5" hidden="false" customHeight="true" outlineLevel="0" collapsed="false">
      <c r="A17" s="3" t="s">
        <v>28</v>
      </c>
      <c r="B17" s="6" t="s">
        <v>29</v>
      </c>
      <c r="C17" s="6"/>
      <c r="D17" s="6"/>
    </row>
    <row r="18" customFormat="false" ht="31.5" hidden="false" customHeight="true" outlineLevel="0" collapsed="false">
      <c r="A18" s="3" t="s">
        <v>30</v>
      </c>
      <c r="B18" s="6" t="s">
        <v>31</v>
      </c>
      <c r="C18" s="6"/>
      <c r="D18" s="6"/>
    </row>
    <row r="19" customFormat="false" ht="31.5" hidden="false" customHeight="true" outlineLevel="0" collapsed="false">
      <c r="A19" s="3" t="s">
        <v>32</v>
      </c>
      <c r="B19" s="6" t="s">
        <v>33</v>
      </c>
      <c r="C19" s="6"/>
      <c r="D19" s="6"/>
    </row>
    <row r="20" customFormat="false" ht="31.5" hidden="false" customHeight="true" outlineLevel="0" collapsed="false">
      <c r="A20" s="3" t="s">
        <v>34</v>
      </c>
      <c r="B20" s="6" t="s">
        <v>35</v>
      </c>
      <c r="C20" s="6"/>
      <c r="D20" s="6"/>
    </row>
    <row r="22" customFormat="false" ht="15" hidden="false" customHeight="false" outlineLevel="0" collapsed="false">
      <c r="A22" s="5" t="s">
        <v>36</v>
      </c>
      <c r="B22" s="5"/>
      <c r="C22" s="5"/>
      <c r="D22" s="5"/>
    </row>
    <row r="23" customFormat="false" ht="105" hidden="false" customHeight="true" outlineLevel="0" collapsed="false">
      <c r="A23" s="3" t="s">
        <v>37</v>
      </c>
      <c r="B23" s="6" t="s">
        <v>38</v>
      </c>
      <c r="C23" s="6"/>
      <c r="D23" s="6"/>
    </row>
    <row r="24" customFormat="false" ht="45" hidden="false" customHeight="true" outlineLevel="0" collapsed="false">
      <c r="A24" s="3" t="s">
        <v>39</v>
      </c>
      <c r="B24" s="6" t="s">
        <v>40</v>
      </c>
      <c r="C24" s="6"/>
      <c r="D24" s="6"/>
    </row>
    <row r="25" customFormat="false" ht="31.5" hidden="false" customHeight="true" outlineLevel="0" collapsed="false">
      <c r="A25" s="3" t="s">
        <v>41</v>
      </c>
      <c r="B25" s="6" t="s">
        <v>42</v>
      </c>
      <c r="C25" s="6"/>
      <c r="D25" s="6"/>
    </row>
    <row r="26" customFormat="false" ht="31.5" hidden="false" customHeight="true" outlineLevel="0" collapsed="false">
      <c r="A26" s="3" t="s">
        <v>43</v>
      </c>
      <c r="B26" s="6" t="s">
        <v>44</v>
      </c>
      <c r="C26" s="6"/>
      <c r="D26" s="6"/>
    </row>
    <row r="27" customFormat="false" ht="31.5" hidden="false" customHeight="true" outlineLevel="0" collapsed="false">
      <c r="A27" s="3" t="s">
        <v>45</v>
      </c>
      <c r="B27" s="6" t="s">
        <v>46</v>
      </c>
      <c r="C27" s="6"/>
      <c r="D27" s="6"/>
    </row>
    <row r="29" customFormat="false" ht="28.35" hidden="false" customHeight="false" outlineLevel="0" collapsed="false">
      <c r="A29" s="5" t="s">
        <v>47</v>
      </c>
      <c r="B29" s="5"/>
      <c r="C29" s="5"/>
      <c r="D29" s="5"/>
    </row>
    <row r="30" customFormat="false" ht="33.75" hidden="false" customHeight="true" outlineLevel="0" collapsed="false">
      <c r="A30" s="2" t="s">
        <v>48</v>
      </c>
      <c r="B30" s="2"/>
      <c r="C30" s="2"/>
      <c r="D30" s="2"/>
    </row>
    <row r="31" customFormat="false" ht="15" hidden="false" customHeight="false" outlineLevel="0" collapsed="false">
      <c r="A31" s="7" t="s">
        <v>49</v>
      </c>
      <c r="B31" s="7" t="s">
        <v>50</v>
      </c>
      <c r="C31" s="7" t="s">
        <v>51</v>
      </c>
      <c r="D31" s="7" t="s">
        <v>52</v>
      </c>
    </row>
    <row r="32" customFormat="false" ht="28.35" hidden="false" customHeight="false" outlineLevel="0" collapsed="false">
      <c r="A32" s="6" t="s">
        <v>53</v>
      </c>
      <c r="B32" s="6" t="s">
        <v>54</v>
      </c>
      <c r="C32" s="6" t="s">
        <v>55</v>
      </c>
      <c r="D32" s="6"/>
    </row>
    <row r="33" customFormat="false" ht="28.35" hidden="false" customHeight="false" outlineLevel="0" collapsed="false">
      <c r="A33" s="6" t="s">
        <v>56</v>
      </c>
      <c r="B33" s="6" t="s">
        <v>57</v>
      </c>
      <c r="C33" s="6" t="s">
        <v>55</v>
      </c>
      <c r="D33" s="6"/>
    </row>
    <row r="34" customFormat="false" ht="28.35" hidden="false" customHeight="false" outlineLevel="0" collapsed="false">
      <c r="A34" s="6" t="s">
        <v>58</v>
      </c>
      <c r="B34" s="6" t="s">
        <v>59</v>
      </c>
      <c r="C34" s="6" t="s">
        <v>55</v>
      </c>
      <c r="D34" s="6"/>
    </row>
    <row r="35" customFormat="false" ht="28.35" hidden="false" customHeight="false" outlineLevel="0" collapsed="false">
      <c r="A35" s="6" t="s">
        <v>60</v>
      </c>
      <c r="B35" s="6" t="s">
        <v>61</v>
      </c>
      <c r="C35" s="6" t="s">
        <v>55</v>
      </c>
      <c r="D35" s="6"/>
    </row>
    <row r="36" customFormat="false" ht="28.35" hidden="false" customHeight="false" outlineLevel="0" collapsed="false">
      <c r="A36" s="6" t="s">
        <v>62</v>
      </c>
      <c r="B36" s="6" t="s">
        <v>63</v>
      </c>
      <c r="C36" s="6" t="s">
        <v>55</v>
      </c>
      <c r="D36" s="6"/>
    </row>
    <row r="37" customFormat="false" ht="28.35" hidden="false" customHeight="false" outlineLevel="0" collapsed="false">
      <c r="A37" s="6" t="s">
        <v>64</v>
      </c>
      <c r="B37" s="6" t="s">
        <v>65</v>
      </c>
      <c r="C37" s="6" t="s">
        <v>55</v>
      </c>
      <c r="D37" s="6"/>
    </row>
    <row r="38" customFormat="false" ht="28.35" hidden="false" customHeight="false" outlineLevel="0" collapsed="false">
      <c r="A38" s="6" t="s">
        <v>66</v>
      </c>
      <c r="B38" s="6" t="s">
        <v>67</v>
      </c>
      <c r="C38" s="6" t="s">
        <v>55</v>
      </c>
      <c r="D38" s="6"/>
    </row>
    <row r="39" customFormat="false" ht="28.35" hidden="false" customHeight="false" outlineLevel="0" collapsed="false">
      <c r="A39" s="6" t="s">
        <v>68</v>
      </c>
      <c r="B39" s="6" t="s">
        <v>69</v>
      </c>
      <c r="C39" s="6" t="s">
        <v>55</v>
      </c>
      <c r="D39" s="6"/>
    </row>
    <row r="40" customFormat="false" ht="28.35" hidden="false" customHeight="false" outlineLevel="0" collapsed="false">
      <c r="A40" s="6" t="s">
        <v>70</v>
      </c>
      <c r="B40" s="6" t="s">
        <v>71</v>
      </c>
      <c r="C40" s="6" t="s">
        <v>55</v>
      </c>
      <c r="D40" s="6"/>
    </row>
    <row r="41" customFormat="false" ht="28.35" hidden="false" customHeight="false" outlineLevel="0" collapsed="false">
      <c r="A41" s="6" t="s">
        <v>72</v>
      </c>
      <c r="B41" s="6" t="s">
        <v>73</v>
      </c>
      <c r="C41" s="6" t="s">
        <v>55</v>
      </c>
      <c r="D41" s="6"/>
    </row>
    <row r="42" customFormat="false" ht="28.35" hidden="false" customHeight="false" outlineLevel="0" collapsed="false">
      <c r="A42" s="6" t="s">
        <v>74</v>
      </c>
      <c r="B42" s="6" t="s">
        <v>75</v>
      </c>
      <c r="C42" s="6" t="s">
        <v>55</v>
      </c>
      <c r="D42" s="6"/>
    </row>
    <row r="43" customFormat="false" ht="28.35" hidden="false" customHeight="false" outlineLevel="0" collapsed="false">
      <c r="A43" s="6" t="s">
        <v>76</v>
      </c>
      <c r="B43" s="6" t="s">
        <v>77</v>
      </c>
      <c r="C43" s="6" t="s">
        <v>55</v>
      </c>
      <c r="D43" s="6"/>
    </row>
    <row r="44" customFormat="false" ht="28.35" hidden="false" customHeight="false" outlineLevel="0" collapsed="false">
      <c r="A44" s="6" t="s">
        <v>78</v>
      </c>
      <c r="B44" s="6" t="s">
        <v>79</v>
      </c>
      <c r="C44" s="6" t="s">
        <v>55</v>
      </c>
      <c r="D44" s="6"/>
    </row>
    <row r="45" customFormat="false" ht="28.35" hidden="false" customHeight="false" outlineLevel="0" collapsed="false">
      <c r="A45" s="6" t="s">
        <v>80</v>
      </c>
      <c r="B45" s="6" t="s">
        <v>81</v>
      </c>
      <c r="C45" s="6" t="s">
        <v>55</v>
      </c>
      <c r="D45" s="6"/>
    </row>
    <row r="46" customFormat="false" ht="28.35" hidden="false" customHeight="false" outlineLevel="0" collapsed="false">
      <c r="A46" s="6" t="s">
        <v>82</v>
      </c>
      <c r="B46" s="6" t="s">
        <v>83</v>
      </c>
      <c r="C46" s="6" t="s">
        <v>55</v>
      </c>
      <c r="D46" s="6"/>
    </row>
    <row r="47" customFormat="false" ht="28.35" hidden="false" customHeight="false" outlineLevel="0" collapsed="false">
      <c r="A47" s="6" t="s">
        <v>84</v>
      </c>
      <c r="B47" s="6" t="s">
        <v>85</v>
      </c>
      <c r="C47" s="6" t="s">
        <v>55</v>
      </c>
      <c r="D47" s="6"/>
    </row>
    <row r="48" customFormat="false" ht="15" hidden="false" customHeight="false" outlineLevel="0" collapsed="false">
      <c r="A48" s="6" t="s">
        <v>86</v>
      </c>
      <c r="B48" s="6" t="s">
        <v>87</v>
      </c>
      <c r="C48" s="6" t="s">
        <v>88</v>
      </c>
      <c r="D48" s="6"/>
    </row>
    <row r="49" customFormat="false" ht="28.35" hidden="false" customHeight="false" outlineLevel="0" collapsed="false">
      <c r="A49" s="6" t="s">
        <v>89</v>
      </c>
      <c r="B49" s="6" t="s">
        <v>90</v>
      </c>
      <c r="C49" s="6" t="s">
        <v>91</v>
      </c>
      <c r="D49" s="6" t="s">
        <v>92</v>
      </c>
    </row>
    <row r="50" customFormat="false" ht="28.35" hidden="false" customHeight="false" outlineLevel="0" collapsed="false">
      <c r="A50" s="6" t="s">
        <v>93</v>
      </c>
      <c r="B50" s="6" t="s">
        <v>94</v>
      </c>
      <c r="C50" s="6" t="s">
        <v>91</v>
      </c>
      <c r="D50" s="6" t="s">
        <v>95</v>
      </c>
    </row>
    <row r="51" customFormat="false" ht="68.65" hidden="false" customHeight="false" outlineLevel="0" collapsed="false">
      <c r="A51" s="6" t="s">
        <v>96</v>
      </c>
      <c r="B51" s="6" t="s">
        <v>97</v>
      </c>
      <c r="C51" s="6" t="s">
        <v>91</v>
      </c>
      <c r="D51" s="6" t="s">
        <v>98</v>
      </c>
    </row>
    <row r="52" customFormat="false" ht="55.2" hidden="false" customHeight="false" outlineLevel="0" collapsed="false">
      <c r="A52" s="6" t="s">
        <v>99</v>
      </c>
      <c r="B52" s="6" t="s">
        <v>100</v>
      </c>
      <c r="C52" s="6" t="s">
        <v>91</v>
      </c>
      <c r="D52" s="6" t="s">
        <v>101</v>
      </c>
    </row>
    <row r="53" customFormat="false" ht="55.2" hidden="false" customHeight="false" outlineLevel="0" collapsed="false">
      <c r="A53" s="6" t="s">
        <v>102</v>
      </c>
      <c r="B53" s="6" t="s">
        <v>103</v>
      </c>
      <c r="C53" s="6" t="s">
        <v>91</v>
      </c>
      <c r="D53" s="6" t="s">
        <v>104</v>
      </c>
    </row>
    <row r="54" customFormat="false" ht="28.35" hidden="false" customHeight="false" outlineLevel="0" collapsed="false">
      <c r="A54" s="6" t="s">
        <v>105</v>
      </c>
      <c r="B54" s="6" t="s">
        <v>106</v>
      </c>
      <c r="C54" s="6" t="s">
        <v>107</v>
      </c>
      <c r="D54" s="6"/>
    </row>
    <row r="55" customFormat="false" ht="28.35" hidden="false" customHeight="false" outlineLevel="0" collapsed="false">
      <c r="A55" s="6" t="s">
        <v>108</v>
      </c>
      <c r="B55" s="6" t="s">
        <v>109</v>
      </c>
      <c r="C55" s="6" t="s">
        <v>107</v>
      </c>
      <c r="D55" s="6"/>
    </row>
    <row r="56" customFormat="false" ht="41.75" hidden="false" customHeight="false" outlineLevel="0" collapsed="false">
      <c r="A56" s="6" t="s">
        <v>110</v>
      </c>
      <c r="B56" s="6" t="s">
        <v>111</v>
      </c>
      <c r="C56" s="6" t="s">
        <v>91</v>
      </c>
      <c r="D56" s="6" t="s">
        <v>112</v>
      </c>
    </row>
    <row r="57" customFormat="false" ht="41.75" hidden="false" customHeight="false" outlineLevel="0" collapsed="false">
      <c r="A57" s="6" t="s">
        <v>113</v>
      </c>
      <c r="B57" s="6" t="s">
        <v>114</v>
      </c>
      <c r="C57" s="6" t="s">
        <v>91</v>
      </c>
      <c r="D57" s="6" t="s">
        <v>115</v>
      </c>
    </row>
    <row r="58" customFormat="false" ht="15" hidden="false" customHeight="false" outlineLevel="0" collapsed="false">
      <c r="A58" s="6" t="s">
        <v>116</v>
      </c>
      <c r="B58" s="6" t="s">
        <v>117</v>
      </c>
      <c r="C58" s="6" t="s">
        <v>88</v>
      </c>
      <c r="D58" s="6"/>
    </row>
    <row r="59" customFormat="false" ht="15" hidden="false" customHeight="false" outlineLevel="0" collapsed="false">
      <c r="A59" s="6" t="s">
        <v>118</v>
      </c>
      <c r="B59" s="6" t="s">
        <v>119</v>
      </c>
      <c r="C59" s="6" t="s">
        <v>88</v>
      </c>
      <c r="D59" s="6"/>
    </row>
    <row r="60" customFormat="false" ht="15" hidden="false" customHeight="false" outlineLevel="0" collapsed="false">
      <c r="A60" s="6" t="s">
        <v>120</v>
      </c>
      <c r="B60" s="6" t="s">
        <v>121</v>
      </c>
      <c r="C60" s="6" t="s">
        <v>88</v>
      </c>
      <c r="D60" s="6"/>
    </row>
    <row r="61" customFormat="false" ht="68.65" hidden="false" customHeight="false" outlineLevel="0" collapsed="false">
      <c r="A61" s="6" t="s">
        <v>122</v>
      </c>
      <c r="B61" s="6" t="s">
        <v>123</v>
      </c>
      <c r="C61" s="6" t="s">
        <v>91</v>
      </c>
      <c r="D61" s="6" t="s">
        <v>124</v>
      </c>
    </row>
    <row r="62" customFormat="false" ht="41.75" hidden="false" customHeight="false" outlineLevel="0" collapsed="false">
      <c r="A62" s="6" t="s">
        <v>125</v>
      </c>
      <c r="B62" s="6" t="s">
        <v>126</v>
      </c>
      <c r="C62" s="6" t="s">
        <v>91</v>
      </c>
      <c r="D62" s="6" t="s">
        <v>127</v>
      </c>
    </row>
    <row r="63" customFormat="false" ht="15" hidden="false" customHeight="false" outlineLevel="0" collapsed="false">
      <c r="A63" s="6" t="s">
        <v>128</v>
      </c>
      <c r="B63" s="6" t="s">
        <v>129</v>
      </c>
      <c r="C63" s="6" t="s">
        <v>91</v>
      </c>
      <c r="D63" s="6"/>
    </row>
    <row r="64" customFormat="false" ht="15" hidden="false" customHeight="false" outlineLevel="0" collapsed="false">
      <c r="A64" s="6" t="s">
        <v>130</v>
      </c>
      <c r="B64" s="6" t="s">
        <v>131</v>
      </c>
      <c r="C64" s="6" t="s">
        <v>91</v>
      </c>
      <c r="D64" s="6"/>
    </row>
    <row r="65" customFormat="false" ht="15" hidden="false" customHeight="false" outlineLevel="0" collapsed="false">
      <c r="A65" s="6" t="s">
        <v>132</v>
      </c>
      <c r="B65" s="6" t="s">
        <v>133</v>
      </c>
      <c r="C65" s="6" t="s">
        <v>88</v>
      </c>
      <c r="D65" s="6"/>
    </row>
    <row r="66" customFormat="false" ht="15" hidden="false" customHeight="false" outlineLevel="0" collapsed="false">
      <c r="A66" s="6" t="s">
        <v>134</v>
      </c>
      <c r="B66" s="6" t="s">
        <v>135</v>
      </c>
      <c r="C66" s="6" t="s">
        <v>88</v>
      </c>
      <c r="D66" s="6"/>
    </row>
    <row r="67" customFormat="false" ht="15" hidden="false" customHeight="false" outlineLevel="0" collapsed="false">
      <c r="A67" s="6" t="s">
        <v>136</v>
      </c>
      <c r="B67" s="6" t="s">
        <v>137</v>
      </c>
      <c r="C67" s="6" t="s">
        <v>88</v>
      </c>
      <c r="D67" s="6"/>
    </row>
    <row r="68" customFormat="false" ht="15" hidden="false" customHeight="false" outlineLevel="0" collapsed="false">
      <c r="A68" s="6" t="s">
        <v>138</v>
      </c>
      <c r="B68" s="6" t="s">
        <v>139</v>
      </c>
      <c r="C68" s="6" t="s">
        <v>91</v>
      </c>
      <c r="D68" s="6"/>
    </row>
    <row r="69" customFormat="false" ht="15" hidden="false" customHeight="false" outlineLevel="0" collapsed="false">
      <c r="A69" s="6" t="s">
        <v>140</v>
      </c>
      <c r="B69" s="6" t="s">
        <v>141</v>
      </c>
      <c r="C69" s="6" t="s">
        <v>142</v>
      </c>
      <c r="D69" s="6"/>
    </row>
    <row r="70" customFormat="false" ht="15" hidden="false" customHeight="false" outlineLevel="0" collapsed="false">
      <c r="A70" s="6" t="s">
        <v>143</v>
      </c>
      <c r="B70" s="6" t="s">
        <v>144</v>
      </c>
      <c r="C70" s="6" t="s">
        <v>88</v>
      </c>
      <c r="D70" s="6"/>
    </row>
    <row r="71" customFormat="false" ht="15" hidden="false" customHeight="false" outlineLevel="0" collapsed="false">
      <c r="A71" s="6" t="s">
        <v>145</v>
      </c>
      <c r="B71" s="6" t="s">
        <v>146</v>
      </c>
      <c r="C71" s="6" t="s">
        <v>91</v>
      </c>
      <c r="D71" s="6"/>
    </row>
    <row r="72" customFormat="false" ht="15" hidden="false" customHeight="false" outlineLevel="0" collapsed="false">
      <c r="A72" s="6" t="s">
        <v>147</v>
      </c>
      <c r="B72" s="6" t="s">
        <v>148</v>
      </c>
      <c r="C72" s="6" t="s">
        <v>91</v>
      </c>
      <c r="D72" s="6"/>
    </row>
    <row r="73" customFormat="false" ht="28.35" hidden="false" customHeight="false" outlineLevel="0" collapsed="false">
      <c r="A73" s="6" t="s">
        <v>149</v>
      </c>
      <c r="B73" s="6" t="s">
        <v>150</v>
      </c>
      <c r="C73" s="6" t="s">
        <v>142</v>
      </c>
      <c r="D73" s="6"/>
    </row>
    <row r="74" customFormat="false" ht="28.35" hidden="false" customHeight="false" outlineLevel="0" collapsed="false">
      <c r="A74" s="6" t="s">
        <v>151</v>
      </c>
      <c r="B74" s="6" t="s">
        <v>152</v>
      </c>
      <c r="C74" s="6" t="s">
        <v>55</v>
      </c>
      <c r="D74" s="6"/>
    </row>
    <row r="75" customFormat="false" ht="41.75" hidden="false" customHeight="false" outlineLevel="0" collapsed="false">
      <c r="A75" s="6" t="s">
        <v>153</v>
      </c>
      <c r="B75" s="6" t="s">
        <v>154</v>
      </c>
      <c r="C75" s="6" t="s">
        <v>142</v>
      </c>
      <c r="D75" s="6"/>
    </row>
    <row r="76" customFormat="false" ht="28.35" hidden="false" customHeight="false" outlineLevel="0" collapsed="false">
      <c r="A76" s="6" t="s">
        <v>155</v>
      </c>
      <c r="B76" s="6" t="s">
        <v>156</v>
      </c>
      <c r="C76" s="6" t="s">
        <v>55</v>
      </c>
      <c r="D76" s="6"/>
    </row>
    <row r="77" customFormat="false" ht="28.35" hidden="false" customHeight="false" outlineLevel="0" collapsed="false">
      <c r="A77" s="6" t="s">
        <v>157</v>
      </c>
      <c r="B77" s="6" t="s">
        <v>158</v>
      </c>
      <c r="C77" s="6" t="s">
        <v>91</v>
      </c>
      <c r="D77" s="6"/>
    </row>
    <row r="78" customFormat="false" ht="41.75" hidden="false" customHeight="false" outlineLevel="0" collapsed="false">
      <c r="A78" s="6" t="s">
        <v>159</v>
      </c>
      <c r="B78" s="6" t="s">
        <v>160</v>
      </c>
      <c r="C78" s="6" t="s">
        <v>55</v>
      </c>
      <c r="D78" s="6"/>
    </row>
    <row r="79" customFormat="false" ht="28.35" hidden="false" customHeight="false" outlineLevel="0" collapsed="false">
      <c r="A79" s="6" t="s">
        <v>161</v>
      </c>
      <c r="B79" s="6" t="s">
        <v>162</v>
      </c>
      <c r="C79" s="6" t="s">
        <v>91</v>
      </c>
      <c r="D79" s="6"/>
    </row>
    <row r="80" customFormat="false" ht="41.75" hidden="false" customHeight="false" outlineLevel="0" collapsed="false">
      <c r="A80" s="6" t="s">
        <v>163</v>
      </c>
      <c r="B80" s="6" t="s">
        <v>164</v>
      </c>
      <c r="C80" s="6" t="s">
        <v>165</v>
      </c>
      <c r="D80" s="6"/>
    </row>
    <row r="81" customFormat="false" ht="41.75" hidden="false" customHeight="false" outlineLevel="0" collapsed="false">
      <c r="A81" s="6" t="s">
        <v>166</v>
      </c>
      <c r="B81" s="6" t="s">
        <v>167</v>
      </c>
      <c r="C81" s="6" t="s">
        <v>142</v>
      </c>
      <c r="D81" s="6"/>
    </row>
    <row r="82" customFormat="false" ht="82.05" hidden="false" customHeight="false" outlineLevel="0" collapsed="false">
      <c r="A82" s="6" t="s">
        <v>168</v>
      </c>
      <c r="B82" s="6" t="s">
        <v>169</v>
      </c>
      <c r="C82" s="6" t="s">
        <v>142</v>
      </c>
      <c r="D82" s="6"/>
    </row>
    <row r="84" customFormat="false" ht="28.35" hidden="false" customHeight="false" outlineLevel="0" collapsed="false">
      <c r="A84" s="8" t="s">
        <v>170</v>
      </c>
    </row>
    <row r="85" customFormat="false" ht="15" hidden="false" customHeight="false" outlineLevel="0" collapsed="false">
      <c r="A85" s="7" t="s">
        <v>171</v>
      </c>
      <c r="B85" s="7" t="s">
        <v>172</v>
      </c>
      <c r="C85" s="7" t="s">
        <v>173</v>
      </c>
      <c r="D85" s="7" t="s">
        <v>174</v>
      </c>
    </row>
    <row r="86" customFormat="false" ht="28.35" hidden="false" customHeight="false" outlineLevel="0" collapsed="false">
      <c r="A86" s="6" t="s">
        <v>175</v>
      </c>
      <c r="B86" s="6" t="s">
        <v>176</v>
      </c>
      <c r="C86" s="6" t="s">
        <v>177</v>
      </c>
      <c r="D86" s="6" t="s">
        <v>178</v>
      </c>
    </row>
    <row r="87" customFormat="false" ht="15" hidden="false" customHeight="false" outlineLevel="0" collapsed="false">
      <c r="A87" s="6" t="s">
        <v>179</v>
      </c>
      <c r="B87" s="6" t="s">
        <v>180</v>
      </c>
      <c r="C87" s="6" t="s">
        <v>121</v>
      </c>
      <c r="D87" s="6" t="s">
        <v>181</v>
      </c>
    </row>
    <row r="88" customFormat="false" ht="28.35" hidden="false" customHeight="false" outlineLevel="0" collapsed="false">
      <c r="A88" s="6" t="s">
        <v>182</v>
      </c>
      <c r="B88" s="6" t="s">
        <v>183</v>
      </c>
      <c r="C88" s="6" t="s">
        <v>184</v>
      </c>
      <c r="D88" s="6" t="s">
        <v>185</v>
      </c>
    </row>
    <row r="89" customFormat="false" ht="41.75" hidden="false" customHeight="false" outlineLevel="0" collapsed="false">
      <c r="A89" s="6" t="s">
        <v>186</v>
      </c>
      <c r="B89" s="6" t="s">
        <v>187</v>
      </c>
      <c r="C89" s="6" t="s">
        <v>121</v>
      </c>
      <c r="D89" s="6" t="s">
        <v>188</v>
      </c>
    </row>
    <row r="90" customFormat="false" ht="55.2" hidden="false" customHeight="false" outlineLevel="0" collapsed="false">
      <c r="A90" s="6" t="s">
        <v>189</v>
      </c>
      <c r="B90" s="6" t="s">
        <v>190</v>
      </c>
      <c r="C90" s="6" t="s">
        <v>121</v>
      </c>
      <c r="D90" s="6" t="s">
        <v>191</v>
      </c>
    </row>
    <row r="91" customFormat="false" ht="28.35" hidden="false" customHeight="false" outlineLevel="0" collapsed="false">
      <c r="A91" s="6" t="s">
        <v>192</v>
      </c>
      <c r="B91" s="6" t="s">
        <v>193</v>
      </c>
      <c r="C91" s="6" t="s">
        <v>121</v>
      </c>
      <c r="D91" s="6" t="s">
        <v>194</v>
      </c>
    </row>
    <row r="92" customFormat="false" ht="28.35" hidden="false" customHeight="false" outlineLevel="0" collapsed="false">
      <c r="A92" s="6" t="s">
        <v>195</v>
      </c>
      <c r="B92" s="6" t="s">
        <v>196</v>
      </c>
      <c r="C92" s="6" t="s">
        <v>121</v>
      </c>
      <c r="D92" s="6" t="s">
        <v>194</v>
      </c>
    </row>
    <row r="93" customFormat="false" ht="41.75" hidden="false" customHeight="false" outlineLevel="0" collapsed="false">
      <c r="A93" s="6" t="s">
        <v>197</v>
      </c>
      <c r="B93" s="6" t="s">
        <v>198</v>
      </c>
      <c r="C93" s="6" t="s">
        <v>121</v>
      </c>
      <c r="D93" s="6" t="s">
        <v>199</v>
      </c>
    </row>
    <row r="94" customFormat="false" ht="28.35" hidden="false" customHeight="false" outlineLevel="0" collapsed="false">
      <c r="A94" s="6" t="s">
        <v>200</v>
      </c>
      <c r="B94" s="6" t="s">
        <v>201</v>
      </c>
      <c r="C94" s="6" t="s">
        <v>121</v>
      </c>
      <c r="D94" s="6" t="s">
        <v>202</v>
      </c>
    </row>
    <row r="95" customFormat="false" ht="28.35" hidden="false" customHeight="false" outlineLevel="0" collapsed="false">
      <c r="A95" s="6" t="s">
        <v>203</v>
      </c>
      <c r="B95" s="6" t="s">
        <v>204</v>
      </c>
      <c r="C95" s="6" t="s">
        <v>121</v>
      </c>
      <c r="D95" s="6" t="s">
        <v>205</v>
      </c>
    </row>
    <row r="96" customFormat="false" ht="28.35" hidden="false" customHeight="false" outlineLevel="0" collapsed="false">
      <c r="A96" s="6" t="s">
        <v>206</v>
      </c>
      <c r="B96" s="6" t="s">
        <v>207</v>
      </c>
      <c r="C96" s="6" t="s">
        <v>121</v>
      </c>
      <c r="D96" s="6" t="s">
        <v>208</v>
      </c>
    </row>
    <row r="97" customFormat="false" ht="28.35" hidden="false" customHeight="false" outlineLevel="0" collapsed="false">
      <c r="A97" s="6" t="s">
        <v>209</v>
      </c>
      <c r="B97" s="6" t="s">
        <v>210</v>
      </c>
      <c r="C97" s="6" t="s">
        <v>121</v>
      </c>
      <c r="D97" s="6" t="s">
        <v>211</v>
      </c>
    </row>
    <row r="98" customFormat="false" ht="41.75" hidden="false" customHeight="false" outlineLevel="0" collapsed="false">
      <c r="A98" s="6" t="s">
        <v>212</v>
      </c>
      <c r="B98" s="6" t="s">
        <v>213</v>
      </c>
      <c r="C98" s="6" t="s">
        <v>121</v>
      </c>
      <c r="D98" s="6" t="s">
        <v>214</v>
      </c>
    </row>
    <row r="99" customFormat="false" ht="55.2" hidden="false" customHeight="false" outlineLevel="0" collapsed="false">
      <c r="A99" s="6" t="s">
        <v>215</v>
      </c>
      <c r="B99" s="6" t="s">
        <v>216</v>
      </c>
      <c r="C99" s="6" t="s">
        <v>121</v>
      </c>
      <c r="D99" s="6" t="s">
        <v>217</v>
      </c>
    </row>
    <row r="100" customFormat="false" ht="28.35" hidden="false" customHeight="false" outlineLevel="0" collapsed="false">
      <c r="A100" s="6" t="s">
        <v>218</v>
      </c>
      <c r="B100" s="6" t="s">
        <v>219</v>
      </c>
      <c r="C100" s="6" t="s">
        <v>220</v>
      </c>
      <c r="D100" s="6" t="s">
        <v>221</v>
      </c>
    </row>
    <row r="101" customFormat="false" ht="41.75" hidden="false" customHeight="false" outlineLevel="0" collapsed="false">
      <c r="A101" s="6" t="s">
        <v>222</v>
      </c>
      <c r="B101" s="6" t="s">
        <v>223</v>
      </c>
      <c r="C101" s="6" t="s">
        <v>121</v>
      </c>
      <c r="D101" s="6" t="s">
        <v>224</v>
      </c>
    </row>
    <row r="102" customFormat="false" ht="28.35" hidden="false" customHeight="false" outlineLevel="0" collapsed="false">
      <c r="A102" s="6" t="s">
        <v>225</v>
      </c>
      <c r="B102" s="6" t="s">
        <v>226</v>
      </c>
      <c r="C102" s="6" t="s">
        <v>121</v>
      </c>
      <c r="D102" s="6" t="s">
        <v>227</v>
      </c>
    </row>
    <row r="103" customFormat="false" ht="28.35" hidden="false" customHeight="false" outlineLevel="0" collapsed="false">
      <c r="A103" s="6" t="s">
        <v>228</v>
      </c>
      <c r="B103" s="6" t="s">
        <v>229</v>
      </c>
      <c r="C103" s="6" t="s">
        <v>121</v>
      </c>
      <c r="D103" s="6" t="s">
        <v>230</v>
      </c>
    </row>
    <row r="104" customFormat="false" ht="28.35" hidden="false" customHeight="false" outlineLevel="0" collapsed="false">
      <c r="A104" s="6" t="s">
        <v>231</v>
      </c>
      <c r="B104" s="6" t="s">
        <v>232</v>
      </c>
      <c r="C104" s="6" t="s">
        <v>121</v>
      </c>
      <c r="D104" s="6" t="s">
        <v>233</v>
      </c>
    </row>
    <row r="105" customFormat="false" ht="41.75" hidden="false" customHeight="false" outlineLevel="0" collapsed="false">
      <c r="A105" s="6" t="s">
        <v>234</v>
      </c>
      <c r="B105" s="6" t="s">
        <v>235</v>
      </c>
      <c r="C105" s="6" t="s">
        <v>121</v>
      </c>
      <c r="D105" s="6" t="s">
        <v>236</v>
      </c>
    </row>
    <row r="106" customFormat="false" ht="41.75" hidden="false" customHeight="false" outlineLevel="0" collapsed="false">
      <c r="A106" s="6" t="s">
        <v>237</v>
      </c>
      <c r="B106" s="6" t="s">
        <v>238</v>
      </c>
      <c r="C106" s="6" t="s">
        <v>121</v>
      </c>
      <c r="D106" s="6" t="s">
        <v>239</v>
      </c>
    </row>
    <row r="107" customFormat="false" ht="28.35" hidden="false" customHeight="false" outlineLevel="0" collapsed="false">
      <c r="A107" s="6" t="s">
        <v>240</v>
      </c>
      <c r="B107" s="6" t="s">
        <v>241</v>
      </c>
      <c r="C107" s="6" t="s">
        <v>121</v>
      </c>
      <c r="D107" s="6" t="s">
        <v>242</v>
      </c>
    </row>
    <row r="108" customFormat="false" ht="28.35" hidden="false" customHeight="false" outlineLevel="0" collapsed="false">
      <c r="A108" s="6" t="s">
        <v>243</v>
      </c>
      <c r="B108" s="6" t="s">
        <v>244</v>
      </c>
      <c r="C108" s="6" t="s">
        <v>121</v>
      </c>
      <c r="D108" s="6" t="s">
        <v>242</v>
      </c>
    </row>
    <row r="109" customFormat="false" ht="28.35" hidden="false" customHeight="false" outlineLevel="0" collapsed="false">
      <c r="A109" s="6" t="s">
        <v>245</v>
      </c>
      <c r="B109" s="6" t="s">
        <v>246</v>
      </c>
      <c r="C109" s="6" t="s">
        <v>121</v>
      </c>
      <c r="D109" s="6" t="s">
        <v>247</v>
      </c>
    </row>
    <row r="110" customFormat="false" ht="28.35" hidden="false" customHeight="false" outlineLevel="0" collapsed="false">
      <c r="A110" s="6" t="s">
        <v>248</v>
      </c>
      <c r="B110" s="6" t="s">
        <v>249</v>
      </c>
      <c r="C110" s="6" t="s">
        <v>121</v>
      </c>
      <c r="D110" s="6" t="s">
        <v>247</v>
      </c>
    </row>
    <row r="111" customFormat="false" ht="28.35" hidden="false" customHeight="false" outlineLevel="0" collapsed="false">
      <c r="A111" s="6" t="s">
        <v>250</v>
      </c>
      <c r="B111" s="6" t="s">
        <v>251</v>
      </c>
      <c r="C111" s="6" t="s">
        <v>121</v>
      </c>
      <c r="D111" s="6" t="s">
        <v>252</v>
      </c>
    </row>
    <row r="112" customFormat="false" ht="28.35" hidden="false" customHeight="false" outlineLevel="0" collapsed="false">
      <c r="A112" s="6" t="s">
        <v>253</v>
      </c>
      <c r="B112" s="6" t="s">
        <v>254</v>
      </c>
      <c r="C112" s="6" t="s">
        <v>121</v>
      </c>
      <c r="D112" s="6" t="s">
        <v>252</v>
      </c>
    </row>
    <row r="113" customFormat="false" ht="28.35" hidden="false" customHeight="false" outlineLevel="0" collapsed="false">
      <c r="A113" s="6" t="s">
        <v>255</v>
      </c>
      <c r="B113" s="6" t="s">
        <v>256</v>
      </c>
      <c r="C113" s="6" t="s">
        <v>121</v>
      </c>
      <c r="D113" s="6" t="s">
        <v>257</v>
      </c>
    </row>
    <row r="114" customFormat="false" ht="28.35" hidden="false" customHeight="false" outlineLevel="0" collapsed="false">
      <c r="A114" s="6" t="s">
        <v>258</v>
      </c>
      <c r="B114" s="6" t="s">
        <v>259</v>
      </c>
      <c r="C114" s="6" t="s">
        <v>121</v>
      </c>
      <c r="D114" s="6" t="s">
        <v>260</v>
      </c>
    </row>
    <row r="115" customFormat="false" ht="28.35" hidden="false" customHeight="false" outlineLevel="0" collapsed="false">
      <c r="A115" s="6" t="s">
        <v>261</v>
      </c>
      <c r="B115" s="6" t="s">
        <v>262</v>
      </c>
      <c r="C115" s="6" t="s">
        <v>121</v>
      </c>
      <c r="D115" s="6" t="s">
        <v>263</v>
      </c>
    </row>
    <row r="116" customFormat="false" ht="41.75" hidden="false" customHeight="false" outlineLevel="0" collapsed="false">
      <c r="A116" s="6" t="s">
        <v>264</v>
      </c>
      <c r="B116" s="6" t="s">
        <v>265</v>
      </c>
      <c r="C116" s="6" t="s">
        <v>121</v>
      </c>
      <c r="D116" s="6" t="s">
        <v>266</v>
      </c>
    </row>
    <row r="117" customFormat="false" ht="15" hidden="false" customHeight="false" outlineLevel="0" collapsed="false">
      <c r="A117" s="6" t="s">
        <v>267</v>
      </c>
      <c r="B117" s="6" t="s">
        <v>268</v>
      </c>
      <c r="C117" s="6" t="s">
        <v>121</v>
      </c>
      <c r="D117" s="6" t="s">
        <v>269</v>
      </c>
    </row>
    <row r="118" customFormat="false" ht="28.35" hidden="false" customHeight="false" outlineLevel="0" collapsed="false">
      <c r="A118" s="6" t="s">
        <v>270</v>
      </c>
      <c r="B118" s="6" t="s">
        <v>271</v>
      </c>
      <c r="C118" s="6" t="s">
        <v>121</v>
      </c>
      <c r="D118" s="6" t="s">
        <v>272</v>
      </c>
    </row>
    <row r="119" customFormat="false" ht="28.35" hidden="false" customHeight="false" outlineLevel="0" collapsed="false">
      <c r="A119" s="6" t="s">
        <v>273</v>
      </c>
      <c r="B119" s="6" t="s">
        <v>274</v>
      </c>
      <c r="C119" s="6" t="s">
        <v>121</v>
      </c>
      <c r="D119" s="6" t="s">
        <v>275</v>
      </c>
    </row>
    <row r="120" customFormat="false" ht="28.35" hidden="false" customHeight="false" outlineLevel="0" collapsed="false">
      <c r="A120" s="6" t="s">
        <v>276</v>
      </c>
      <c r="B120" s="6" t="s">
        <v>277</v>
      </c>
      <c r="C120" s="6" t="s">
        <v>278</v>
      </c>
      <c r="D120" s="6" t="s">
        <v>279</v>
      </c>
    </row>
    <row r="121" customFormat="false" ht="28.35" hidden="false" customHeight="false" outlineLevel="0" collapsed="false">
      <c r="A121" s="6" t="s">
        <v>280</v>
      </c>
      <c r="B121" s="6" t="s">
        <v>281</v>
      </c>
      <c r="C121" s="6" t="s">
        <v>278</v>
      </c>
      <c r="D121" s="6" t="s">
        <v>279</v>
      </c>
    </row>
    <row r="122" customFormat="false" ht="28.35" hidden="false" customHeight="false" outlineLevel="0" collapsed="false">
      <c r="A122" s="6" t="s">
        <v>282</v>
      </c>
      <c r="B122" s="6" t="s">
        <v>283</v>
      </c>
      <c r="C122" s="6" t="s">
        <v>284</v>
      </c>
      <c r="D122" s="6" t="s">
        <v>279</v>
      </c>
    </row>
    <row r="123" customFormat="false" ht="28.35" hidden="false" customHeight="false" outlineLevel="0" collapsed="false">
      <c r="A123" s="6" t="s">
        <v>285</v>
      </c>
      <c r="B123" s="6" t="s">
        <v>286</v>
      </c>
      <c r="C123" s="6" t="s">
        <v>278</v>
      </c>
      <c r="D123" s="6" t="s">
        <v>279</v>
      </c>
    </row>
    <row r="124" customFormat="false" ht="28.35" hidden="false" customHeight="false" outlineLevel="0" collapsed="false">
      <c r="A124" s="6" t="s">
        <v>287</v>
      </c>
      <c r="B124" s="6" t="s">
        <v>288</v>
      </c>
      <c r="C124" s="6" t="s">
        <v>284</v>
      </c>
      <c r="D124" s="6" t="s">
        <v>289</v>
      </c>
    </row>
    <row r="125" customFormat="false" ht="55.2" hidden="false" customHeight="false" outlineLevel="0" collapsed="false">
      <c r="A125" s="6" t="s">
        <v>290</v>
      </c>
      <c r="B125" s="6" t="s">
        <v>291</v>
      </c>
      <c r="C125" s="6" t="s">
        <v>121</v>
      </c>
      <c r="D125" s="6" t="s">
        <v>292</v>
      </c>
    </row>
    <row r="127" customFormat="false" ht="15" hidden="false" customHeight="false" outlineLevel="0" collapsed="false">
      <c r="A127" s="5" t="s">
        <v>293</v>
      </c>
      <c r="B127" s="5"/>
      <c r="C127" s="5"/>
      <c r="D127" s="5"/>
    </row>
    <row r="128" customFormat="false" ht="15" hidden="false" customHeight="false" outlineLevel="0" collapsed="false">
      <c r="A128" s="9" t="s">
        <v>294</v>
      </c>
      <c r="B128" s="10" t="str">
        <f aca="false">HYPERLINK("#'C01 Borrowing'!A1","Borrowing")</f>
        <v>Borrowing</v>
      </c>
    </row>
    <row r="129" customFormat="false" ht="15" hidden="false" customHeight="false" outlineLevel="0" collapsed="false">
      <c r="A129" s="9" t="s">
        <v>295</v>
      </c>
      <c r="B129" s="10" t="str">
        <f aca="false">HYPERLINK("#'C02 Mortgage repayment'!A1","Mortgage repayment")</f>
        <v>Mortgage repayment</v>
      </c>
    </row>
    <row r="130" customFormat="false" ht="15" hidden="false" customHeight="false" outlineLevel="0" collapsed="false">
      <c r="A130" s="9" t="s">
        <v>296</v>
      </c>
      <c r="B130" s="10" t="str">
        <f aca="false">HYPERLINK("#'C03 Deposit'!A1","Deposit")</f>
        <v>Deposit</v>
      </c>
    </row>
    <row r="131" customFormat="false" ht="15" hidden="false" customHeight="false" outlineLevel="0" collapsed="false">
      <c r="A131" s="9" t="s">
        <v>297</v>
      </c>
      <c r="B131" s="10" t="str">
        <f aca="false">HYPERLINK("#'C04 Mortgage overpayment'!A1","Mortgage overpayment")</f>
        <v>Mortgage overpayment</v>
      </c>
    </row>
    <row r="132" customFormat="false" ht="15" hidden="false" customHeight="false" outlineLevel="0" collapsed="false">
      <c r="A132" s="9" t="s">
        <v>298</v>
      </c>
      <c r="B132" s="10" t="str">
        <f aca="false">HYPERLINK("#'C05 Interest rate impact'!A1","Interest rate impact")</f>
        <v>Interest rate impact</v>
      </c>
    </row>
    <row r="133" customFormat="false" ht="15" hidden="false" customHeight="false" outlineLevel="0" collapsed="false">
      <c r="A133" s="9" t="s">
        <v>299</v>
      </c>
      <c r="B133" s="10" t="str">
        <f aca="false">HYPERLINK("#'C06 Term comparison'!A1","Term comparison")</f>
        <v>Term comparison</v>
      </c>
    </row>
    <row r="134" customFormat="false" ht="15" hidden="false" customHeight="false" outlineLevel="0" collapsed="false">
      <c r="A134" s="9" t="s">
        <v>300</v>
      </c>
      <c r="B134" s="10" t="str">
        <f aca="false">HYPERLINK("#'C07 Rent vs buy'!A1","Rent vs buy")</f>
        <v>Rent vs buy</v>
      </c>
    </row>
    <row r="135" customFormat="false" ht="15" hidden="false" customHeight="false" outlineLevel="0" collapsed="false">
      <c r="A135" s="9" t="s">
        <v>301</v>
      </c>
      <c r="B135" s="10" t="str">
        <f aca="false">HYPERLINK("#'C08 Goal planner'!A1","Goal planner")</f>
        <v>Goal planner</v>
      </c>
    </row>
    <row r="136" customFormat="false" ht="15" hidden="false" customHeight="false" outlineLevel="0" collapsed="false">
      <c r="A136" s="9" t="s">
        <v>302</v>
      </c>
      <c r="B136" s="10" t="str">
        <f aca="false">HYPERLINK("#'C09 Compound growth'!A1","Compound growth")</f>
        <v>Compound growth</v>
      </c>
    </row>
    <row r="137" customFormat="false" ht="15" hidden="false" customHeight="false" outlineLevel="0" collapsed="false">
      <c r="A137" s="9" t="s">
        <v>303</v>
      </c>
      <c r="B137" s="10" t="str">
        <f aca="false">HYPERLINK("#'C10 Lump sum growth'!A1","Lump sum growth")</f>
        <v>Lump sum growth</v>
      </c>
    </row>
    <row r="138" customFormat="false" ht="15" hidden="false" customHeight="false" outlineLevel="0" collapsed="false">
      <c r="A138" s="9" t="s">
        <v>304</v>
      </c>
      <c r="B138" s="10" t="str">
        <f aca="false">HYPERLINK("#'C11 Emergency fund'!A1","Emergency fund")</f>
        <v>Emergency fund</v>
      </c>
    </row>
    <row r="139" customFormat="false" ht="15" hidden="false" customHeight="false" outlineLevel="0" collapsed="false">
      <c r="A139" s="9" t="s">
        <v>305</v>
      </c>
      <c r="B139" s="10" t="str">
        <f aca="false">HYPERLINK("#'C12 Retirement projection'!A1","Retirement projection")</f>
        <v>Retirement projection</v>
      </c>
    </row>
    <row r="140" customFormat="false" ht="15" hidden="false" customHeight="false" outlineLevel="0" collapsed="false">
      <c r="A140" s="9" t="s">
        <v>306</v>
      </c>
      <c r="B140" s="10" t="str">
        <f aca="false">HYPERLINK("#'C13 Contribution impact'!A1","Contribution impact")</f>
        <v>Contribution impact</v>
      </c>
    </row>
    <row r="141" customFormat="false" ht="15" hidden="false" customHeight="false" outlineLevel="0" collapsed="false">
      <c r="A141" s="9" t="s">
        <v>307</v>
      </c>
      <c r="B141" s="10" t="str">
        <f aca="false">HYPERLINK("#'C14 AVC impact'!A1","AVC impact")</f>
        <v>AVC impact</v>
      </c>
    </row>
    <row r="142" customFormat="false" ht="15" hidden="false" customHeight="false" outlineLevel="0" collapsed="false">
      <c r="A142" s="9" t="s">
        <v>308</v>
      </c>
      <c r="B142" s="10" t="str">
        <f aca="false">HYPERLINK("#'C15 Will my money last'!A1","Will my money last")</f>
        <v>Will my money last</v>
      </c>
    </row>
    <row r="143" customFormat="false" ht="15" hidden="false" customHeight="false" outlineLevel="0" collapsed="false">
      <c r="A143" s="9" t="s">
        <v>309</v>
      </c>
      <c r="B143" s="10" t="str">
        <f aca="false">HYPERLINK("#'C16 Drawdown scenarios'!A1","Drawdown scenarios")</f>
        <v>Drawdown scenarios</v>
      </c>
    </row>
    <row r="144" customFormat="false" ht="15" hidden="false" customHeight="false" outlineLevel="0" collapsed="false">
      <c r="A144" s="9" t="s">
        <v>310</v>
      </c>
      <c r="B144" s="10" t="str">
        <f aca="false">HYPERLINK("#'C17 Inflation adjusted return'!A1","Inflation adjusted return")</f>
        <v>Inflation adjusted return</v>
      </c>
    </row>
    <row r="145" customFormat="false" ht="15" hidden="false" customHeight="false" outlineLevel="0" collapsed="false">
      <c r="A145" s="9" t="s">
        <v>311</v>
      </c>
      <c r="B145" s="10" t="str">
        <f aca="false">HYPERLINK("#'C18 Regular investing'!A1","Regular investing")</f>
        <v>Regular investing</v>
      </c>
    </row>
    <row r="146" customFormat="false" ht="15" hidden="false" customHeight="false" outlineLevel="0" collapsed="false">
      <c r="A146" s="9" t="s">
        <v>312</v>
      </c>
      <c r="B146" s="10" t="str">
        <f aca="false">HYPERLINK("#'C19 Fees impact'!A1","Fees impact")</f>
        <v>Fees impact</v>
      </c>
    </row>
    <row r="147" customFormat="false" ht="15" hidden="false" customHeight="false" outlineLevel="0" collapsed="false">
      <c r="A147" s="9" t="s">
        <v>313</v>
      </c>
      <c r="B147" s="10" t="str">
        <f aca="false">HYPERLINK("#'C20 Risk and return'!A1","Risk and return")</f>
        <v>Risk and return</v>
      </c>
    </row>
    <row r="148" customFormat="false" ht="15" hidden="false" customHeight="false" outlineLevel="0" collapsed="false">
      <c r="A148" s="9" t="s">
        <v>314</v>
      </c>
      <c r="B148" s="10" t="str">
        <f aca="false">HYPERLINK("#'C21 Life cover'!A1","Life cover")</f>
        <v>Life cover</v>
      </c>
    </row>
    <row r="149" customFormat="false" ht="15" hidden="false" customHeight="false" outlineLevel="0" collapsed="false">
      <c r="A149" s="9" t="s">
        <v>315</v>
      </c>
      <c r="B149" s="10" t="str">
        <f aca="false">HYPERLINK("#'C22 Income protection gap'!A1","Income protection gap")</f>
        <v>Income protection gap</v>
      </c>
    </row>
    <row r="150" customFormat="false" ht="15" hidden="false" customHeight="false" outlineLevel="0" collapsed="false">
      <c r="A150" s="9" t="s">
        <v>316</v>
      </c>
      <c r="B150" s="10" t="str">
        <f aca="false">HYPERLINK("#'C23 Mortgage protection'!A1","Mortgage protection")</f>
        <v>Mortgage protection</v>
      </c>
    </row>
    <row r="151" customFormat="false" ht="15" hidden="false" customHeight="false" outlineLevel="0" collapsed="false">
      <c r="A151" s="9" t="s">
        <v>317</v>
      </c>
      <c r="B151" s="10" t="str">
        <f aca="false">HYPERLINK("#'C24 Net worth'!A1","Net worth")</f>
        <v>Net worth</v>
      </c>
    </row>
    <row r="152" customFormat="false" ht="15" hidden="false" customHeight="false" outlineLevel="0" collapsed="false">
      <c r="A152" s="9" t="s">
        <v>318</v>
      </c>
      <c r="B152" s="10" t="str">
        <f aca="false">HYPERLINK("#'C25 Monthly surplus'!A1","Monthly surplus")</f>
        <v>Monthly surplus</v>
      </c>
    </row>
    <row r="153" customFormat="false" ht="15" hidden="false" customHeight="false" outlineLevel="0" collapsed="false">
      <c r="A153" s="9" t="s">
        <v>319</v>
      </c>
      <c r="B153" s="10" t="str">
        <f aca="false">HYPERLINK("#'C26 Budget 50 30 20'!A1","Budget 50 30 20")</f>
        <v>Budget 50 30 20</v>
      </c>
    </row>
    <row r="154" customFormat="false" ht="15" hidden="false" customHeight="false" outlineLevel="0" collapsed="false">
      <c r="A154" s="9" t="s">
        <v>320</v>
      </c>
      <c r="B154" s="10" t="str">
        <f aca="false">HYPERLINK("#'C27 Debt repayment'!A1","Debt repayment")</f>
        <v>Debt repayment</v>
      </c>
    </row>
    <row r="155" customFormat="false" ht="15" hidden="false" customHeight="false" outlineLevel="0" collapsed="false">
      <c r="A155" s="9" t="s">
        <v>321</v>
      </c>
      <c r="B155" s="10" t="str">
        <f aca="false">HYPERLINK("#'C28 Loan repayment'!A1","Loan repayment")</f>
        <v>Loan repayment</v>
      </c>
    </row>
    <row r="156" customFormat="false" ht="15" hidden="false" customHeight="false" outlineLevel="0" collapsed="false">
      <c r="A156" s="9" t="s">
        <v>322</v>
      </c>
      <c r="B156" s="10" t="str">
        <f aca="false">HYPERLINK("#'C29 Investment tax'!A1","Investment tax")</f>
        <v>Investment tax</v>
      </c>
    </row>
    <row r="157" customFormat="false" ht="15" hidden="false" customHeight="false" outlineLevel="0" collapsed="false">
      <c r="A157" s="9" t="s">
        <v>323</v>
      </c>
      <c r="B157" s="10" t="str">
        <f aca="false">HYPERLINK("#'C30 Sale gift inheritance'!A1","Sale gift inheritance")</f>
        <v>Sale gift inheritance</v>
      </c>
    </row>
  </sheetData>
  <mergeCells count="23">
    <mergeCell ref="A2:D2"/>
    <mergeCell ref="C3:D3"/>
    <mergeCell ref="B6:D6"/>
    <mergeCell ref="B7:D7"/>
    <mergeCell ref="B8:D8"/>
    <mergeCell ref="B9:D9"/>
    <mergeCell ref="B10:D10"/>
    <mergeCell ref="B11:D11"/>
    <mergeCell ref="B12:D12"/>
    <mergeCell ref="B13:D13"/>
    <mergeCell ref="B14:D14"/>
    <mergeCell ref="B15:D15"/>
    <mergeCell ref="B16:D16"/>
    <mergeCell ref="B17:D17"/>
    <mergeCell ref="B18:D18"/>
    <mergeCell ref="B19:D19"/>
    <mergeCell ref="B20:D20"/>
    <mergeCell ref="B23:D23"/>
    <mergeCell ref="B24:D24"/>
    <mergeCell ref="B25:D25"/>
    <mergeCell ref="B26:D26"/>
    <mergeCell ref="B27:D27"/>
    <mergeCell ref="A30:D30"/>
  </mergeCells>
  <dataValidations count="1">
    <dataValidation allowBlank="false" errorStyle="stop" operator="between" showDropDown="false" showErrorMessage="false" showInputMessage="false" sqref="B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0"/>
    <col collapsed="false" customWidth="true" hidden="false" outlineLevel="0" max="3" min="3" style="0" width="18"/>
    <col collapsed="false" customWidth="true" hidden="false" outlineLevel="0" max="4" min="4" style="0" width="40"/>
  </cols>
  <sheetData>
    <row r="1" customFormat="false" ht="19.7" hidden="false" customHeight="false" outlineLevel="0" collapsed="false">
      <c r="A1" s="1" t="s">
        <v>324</v>
      </c>
    </row>
    <row r="2" customFormat="false" ht="43.5" hidden="false" customHeight="true" outlineLevel="0" collapsed="false">
      <c r="A2" s="2" t="s">
        <v>325</v>
      </c>
      <c r="B2" s="2"/>
      <c r="C2" s="2"/>
      <c r="D2" s="2"/>
    </row>
    <row r="3" customFormat="false" ht="28.35" hidden="false" customHeight="false" outlineLevel="0" collapsed="false">
      <c r="A3" s="3" t="s">
        <v>326</v>
      </c>
      <c r="B3" s="11" t="str">
        <f aca="false">IF(AND('C29 Investment tax'!E2="Sample example",'C30 Sale gift inheritance'!E2="Sample example"),"Yes: the numbers below are the sample","No: set E2 to Sample example on C29 and C30")</f>
        <v>Yes: the numbers below are the sample</v>
      </c>
    </row>
    <row r="5" customFormat="false" ht="15" hidden="false" customHeight="false" outlineLevel="0" collapsed="false">
      <c r="A5" s="7" t="s">
        <v>327</v>
      </c>
      <c r="B5" s="7" t="s">
        <v>328</v>
      </c>
      <c r="C5" s="7" t="s">
        <v>329</v>
      </c>
      <c r="D5" s="7" t="s">
        <v>330</v>
      </c>
    </row>
    <row r="6" customFormat="false" ht="31.5" hidden="false" customHeight="true" outlineLevel="0" collapsed="false">
      <c r="A6" s="3" t="s">
        <v>331</v>
      </c>
      <c r="B6" s="6" t="s">
        <v>332</v>
      </c>
      <c r="C6" s="12" t="n">
        <f aca="false">'C29 Investment tax'!B24</f>
        <v>219112.314303342</v>
      </c>
      <c r="D6" s="6" t="s">
        <v>333</v>
      </c>
    </row>
    <row r="7" customFormat="false" ht="31.5" hidden="false" customHeight="true" outlineLevel="0" collapsed="false">
      <c r="A7" s="9"/>
      <c r="B7" s="6" t="s">
        <v>334</v>
      </c>
      <c r="C7" s="12" t="n">
        <f aca="false">'C29 Investment tax'!B28</f>
        <v>31211.712325037</v>
      </c>
      <c r="D7" s="6" t="s">
        <v>335</v>
      </c>
    </row>
    <row r="8" customFormat="false" ht="31.5" hidden="false" customHeight="true" outlineLevel="0" collapsed="false">
      <c r="A8" s="9"/>
      <c r="B8" s="6" t="s">
        <v>336</v>
      </c>
      <c r="C8" s="12" t="n">
        <f aca="false">'C29 Investment tax'!B29</f>
        <v>9741.60271661232</v>
      </c>
      <c r="D8" s="6" t="s">
        <v>337</v>
      </c>
    </row>
    <row r="9" customFormat="false" ht="31.5" hidden="false" customHeight="true" outlineLevel="0" collapsed="false">
      <c r="A9" s="9"/>
      <c r="B9" s="6" t="s">
        <v>338</v>
      </c>
      <c r="C9" s="12" t="n">
        <f aca="false">'C29 Investment tax'!B30</f>
        <v>166818.566646901</v>
      </c>
      <c r="D9" s="6" t="s">
        <v>339</v>
      </c>
    </row>
    <row r="10" customFormat="false" ht="31.5" hidden="false" customHeight="true" outlineLevel="0" collapsed="false">
      <c r="A10" s="9"/>
      <c r="B10" s="6" t="s">
        <v>340</v>
      </c>
      <c r="C10" s="13" t="n">
        <f aca="false">'C29 Investment tax'!B33</f>
        <v>0.0259169832145933</v>
      </c>
      <c r="D10" s="6" t="s">
        <v>341</v>
      </c>
    </row>
    <row r="11" customFormat="false" ht="31.5" hidden="false" customHeight="true" outlineLevel="0" collapsed="false">
      <c r="A11" s="3" t="s">
        <v>342</v>
      </c>
      <c r="B11" s="6" t="s">
        <v>343</v>
      </c>
      <c r="C11" s="12" t="n">
        <f aca="false">'C30 Sale gift inheritance'!B12</f>
        <v>135000</v>
      </c>
      <c r="D11" s="6" t="s">
        <v>344</v>
      </c>
    </row>
    <row r="12" customFormat="false" ht="31.5" hidden="false" customHeight="true" outlineLevel="0" collapsed="false">
      <c r="A12" s="9"/>
      <c r="B12" s="6" t="s">
        <v>345</v>
      </c>
      <c r="C12" s="12" t="n">
        <f aca="false">'C30 Sale gift inheritance'!B15</f>
        <v>41456.3</v>
      </c>
      <c r="D12" s="6" t="s">
        <v>346</v>
      </c>
    </row>
    <row r="13" customFormat="false" ht="31.5" hidden="false" customHeight="true" outlineLevel="0" collapsed="false">
      <c r="A13" s="9"/>
      <c r="B13" s="6" t="s">
        <v>347</v>
      </c>
      <c r="C13" s="12" t="n">
        <f aca="false">'C30 Sale gift inheritance'!B16</f>
        <v>358543.7</v>
      </c>
      <c r="D13" s="6" t="s">
        <v>323</v>
      </c>
    </row>
    <row r="14" customFormat="false" ht="31.5" hidden="false" customHeight="true" outlineLevel="0" collapsed="false">
      <c r="A14" s="3" t="s">
        <v>348</v>
      </c>
      <c r="B14" s="6" t="s">
        <v>349</v>
      </c>
      <c r="C14" s="12" t="n">
        <f aca="false">'C30 Sale gift inheritance'!B26</f>
        <v>140000</v>
      </c>
      <c r="D14" s="6" t="s">
        <v>350</v>
      </c>
    </row>
    <row r="15" customFormat="false" ht="31.5" hidden="false" customHeight="true" outlineLevel="0" collapsed="false">
      <c r="A15" s="9"/>
      <c r="B15" s="6" t="s">
        <v>351</v>
      </c>
      <c r="C15" s="12" t="n">
        <f aca="false">'C30 Sale gift inheritance'!B28</f>
        <v>43006.3</v>
      </c>
      <c r="D15" s="6" t="s">
        <v>350</v>
      </c>
    </row>
    <row r="16" customFormat="false" ht="48" hidden="false" customHeight="true" outlineLevel="0" collapsed="false">
      <c r="A16" s="3" t="s">
        <v>352</v>
      </c>
      <c r="B16" s="6" t="s">
        <v>353</v>
      </c>
      <c r="C16" s="12" t="n">
        <f aca="false">'C30 Sale gift inheritance'!B36</f>
        <v>420000</v>
      </c>
      <c r="D16" s="6" t="s">
        <v>354</v>
      </c>
    </row>
    <row r="17" customFormat="false" ht="31.5" hidden="false" customHeight="true" outlineLevel="0" collapsed="false">
      <c r="A17" s="9"/>
      <c r="B17" s="6" t="s">
        <v>355</v>
      </c>
      <c r="C17" s="12" t="n">
        <f aca="false">'C30 Sale gift inheritance'!B39</f>
        <v>26400</v>
      </c>
      <c r="D17" s="6" t="s">
        <v>354</v>
      </c>
    </row>
    <row r="18" customFormat="false" ht="31.5" hidden="false" customHeight="true" outlineLevel="0" collapsed="false">
      <c r="A18" s="3" t="s">
        <v>356</v>
      </c>
      <c r="B18" s="6" t="s">
        <v>357</v>
      </c>
      <c r="C18" s="12" t="n">
        <f aca="false">'Plan cashflow'!H8</f>
        <v>62413.4466666667</v>
      </c>
      <c r="D18" s="6" t="s">
        <v>358</v>
      </c>
    </row>
    <row r="19" customFormat="false" ht="31.5" hidden="false" customHeight="true" outlineLevel="0" collapsed="false">
      <c r="A19" s="9"/>
      <c r="B19" s="6" t="s">
        <v>359</v>
      </c>
      <c r="C19" s="12" t="n">
        <f aca="false">'Plan pay &amp; tax'!BR234</f>
        <v>14466.5533333333</v>
      </c>
      <c r="D19" s="6" t="s">
        <v>360</v>
      </c>
    </row>
    <row r="20" customFormat="false" ht="31.5" hidden="false" customHeight="true" outlineLevel="0" collapsed="false">
      <c r="A20" s="9"/>
      <c r="B20" s="6" t="s">
        <v>361</v>
      </c>
      <c r="C20" s="12" t="n">
        <f aca="false">'Plan cashflow'!I8</f>
        <v>45000</v>
      </c>
      <c r="D20" s="6" t="s">
        <v>362</v>
      </c>
    </row>
    <row r="21" customFormat="false" ht="31.5" hidden="false" customHeight="true" outlineLevel="0" collapsed="false">
      <c r="A21" s="9"/>
      <c r="B21" s="6" t="s">
        <v>363</v>
      </c>
      <c r="C21" s="12" t="n">
        <f aca="false">'Plan cashflow'!S8</f>
        <v>15797.4861222176</v>
      </c>
      <c r="D21" s="6" t="s">
        <v>362</v>
      </c>
    </row>
    <row r="22" customFormat="false" ht="31.5" hidden="false" customHeight="true" outlineLevel="0" collapsed="false">
      <c r="A22" s="9"/>
      <c r="B22" s="6" t="s">
        <v>364</v>
      </c>
      <c r="C22" s="12" t="n">
        <f aca="false">'Plan cashflow'!H8-'Plan cashflow'!I8-'Plan cashflow'!S8</f>
        <v>1615.96054444905</v>
      </c>
      <c r="D22" s="6" t="s">
        <v>362</v>
      </c>
    </row>
    <row r="23" customFormat="false" ht="31.5" hidden="false" customHeight="true" outlineLevel="0" collapsed="false">
      <c r="A23" s="3" t="s">
        <v>365</v>
      </c>
      <c r="B23" s="6" t="s">
        <v>366</v>
      </c>
      <c r="C23" s="14"/>
      <c r="D23" s="6" t="s">
        <v>367</v>
      </c>
    </row>
    <row r="24" customFormat="false" ht="48" hidden="false" customHeight="true" outlineLevel="0" collapsed="false">
      <c r="A24" s="3" t="s">
        <v>368</v>
      </c>
      <c r="B24" s="6" t="s">
        <v>369</v>
      </c>
      <c r="C24" s="14"/>
      <c r="D24" s="6" t="s">
        <v>370</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J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6"/>
    <col collapsed="false" customWidth="true" hidden="false" outlineLevel="0" max="3" min="3" style="0" width="46"/>
    <col collapsed="false" customWidth="true" hidden="false" outlineLevel="0" max="4" min="4" style="0" width="30"/>
    <col collapsed="false" customWidth="true" hidden="false" outlineLevel="0" max="5" min="5" style="0" width="40"/>
    <col collapsed="false" customWidth="true" hidden="false" outlineLevel="0" max="6" min="6" style="0" width="30"/>
    <col collapsed="false" customWidth="true" hidden="false" outlineLevel="0" max="7" min="7" style="0" width="40"/>
    <col collapsed="false" customWidth="true" hidden="false" outlineLevel="0" max="8" min="8" style="0" width="46"/>
    <col collapsed="false" customWidth="true" hidden="false" outlineLevel="0" max="9" min="9" style="0" width="26"/>
    <col collapsed="false" customWidth="true" hidden="false" outlineLevel="0" max="10" min="10" style="0" width="20"/>
  </cols>
  <sheetData>
    <row r="1" customFormat="false" ht="19.7" hidden="false" customHeight="false" outlineLevel="0" collapsed="false">
      <c r="A1" s="1" t="s">
        <v>371</v>
      </c>
    </row>
    <row r="2" customFormat="false" ht="33.75" hidden="false" customHeight="true" outlineLevel="0" collapsed="false">
      <c r="A2" s="2" t="s">
        <v>372</v>
      </c>
      <c r="B2" s="2"/>
      <c r="C2" s="2"/>
      <c r="D2" s="2"/>
      <c r="E2" s="2"/>
      <c r="F2" s="2"/>
      <c r="G2" s="2"/>
      <c r="H2" s="2"/>
      <c r="I2" s="2"/>
      <c r="J2" s="2"/>
    </row>
    <row r="4" customFormat="false" ht="15" hidden="false" customHeight="false" outlineLevel="0" collapsed="false">
      <c r="A4" s="5" t="s">
        <v>373</v>
      </c>
      <c r="B4" s="5" t="s">
        <v>374</v>
      </c>
    </row>
    <row r="5" customFormat="false" ht="15" hidden="false" customHeight="false" outlineLevel="0" collapsed="false">
      <c r="A5" s="15" t="s">
        <v>375</v>
      </c>
    </row>
    <row r="6" customFormat="false" ht="15" hidden="false" customHeight="false" outlineLevel="0" collapsed="false">
      <c r="A6" s="3" t="s">
        <v>376</v>
      </c>
      <c r="B6" s="6" t="str">
        <f aca="false">INDEX(A$20:A$47,MATCH($A$5,$A$20:$A$47,0))</f>
        <v>Selling: other property or land</v>
      </c>
    </row>
    <row r="7" customFormat="false" ht="15" hidden="false" customHeight="false" outlineLevel="0" collapsed="false">
      <c r="A7" s="3" t="s">
        <v>377</v>
      </c>
      <c r="B7" s="6" t="str">
        <f aca="false">INDEX(B$20:B$47,MATCH($A$5,$A$20:$A$47,0))</f>
        <v>Second home, rental property, land</v>
      </c>
    </row>
    <row r="8" customFormat="false" ht="15" hidden="false" customHeight="false" outlineLevel="0" collapsed="false">
      <c r="A8" s="3" t="s">
        <v>378</v>
      </c>
      <c r="B8" s="6" t="str">
        <f aca="false">INDEX(C$20:C$47,MATCH($A$5,$A$20:$A$47,0))</f>
        <v>Capital gains tax (CGT)</v>
      </c>
    </row>
    <row r="9" customFormat="false" ht="15" hidden="false" customHeight="false" outlineLevel="0" collapsed="false">
      <c r="A9" s="3" t="s">
        <v>379</v>
      </c>
      <c r="B9" s="6" t="str">
        <f aca="false">INDEX(D$20:D$47,MATCH($A$5,$A$20:$A$47,0))</f>
        <v>You (file and pay by Revenue deadlines)</v>
      </c>
    </row>
    <row r="10" customFormat="false" ht="15" hidden="false" customHeight="false" outlineLevel="0" collapsed="false">
      <c r="A10" s="3" t="s">
        <v>380</v>
      </c>
      <c r="B10" s="6" t="str">
        <f aca="false">INDEX(E$20:E$47,MATCH($A$5,$A$20:$A$47,0))</f>
        <v>33% before 7 Oct 2026; 31% from 7 Oct 2026</v>
      </c>
    </row>
    <row r="11" customFormat="false" ht="15" hidden="false" customHeight="false" outlineLevel="0" collapsed="false">
      <c r="A11" s="3" t="s">
        <v>381</v>
      </c>
      <c r="B11" s="6" t="str">
        <f aca="false">INDEX(F$20:F$47,MATCH($A$5,$A$20:$A$47,0))</f>
        <v>On the sale date</v>
      </c>
    </row>
    <row r="12" customFormat="false" ht="15" hidden="false" customHeight="false" outlineLevel="0" collapsed="false">
      <c r="A12" s="3" t="s">
        <v>382</v>
      </c>
      <c r="B12" s="6" t="str">
        <f aca="false">INDEX(G$20:G$47,MATCH($A$5,$A$20:$A$47,0))</f>
        <v>Sale price less cost less allowable costs</v>
      </c>
    </row>
    <row r="13" customFormat="false" ht="28.35" hidden="false" customHeight="false" outlineLevel="0" collapsed="false">
      <c r="A13" s="3" t="s">
        <v>383</v>
      </c>
      <c r="B13" s="6" t="str">
        <f aca="false">INDEX(H$20:H$47,MATCH($A$5,$A$20:$A$47,0))</f>
        <v>Annual exemption €1,270 per person; losses; development land stays at 33%</v>
      </c>
    </row>
    <row r="14" customFormat="false" ht="15" hidden="false" customHeight="false" outlineLevel="0" collapsed="false">
      <c r="A14" s="3" t="s">
        <v>384</v>
      </c>
      <c r="B14" s="6" t="str">
        <f aca="false">INDEX(I$20:I$47,MATCH($A$5,$A$20:$A$47,0))</f>
        <v>C30, plan (other assets)</v>
      </c>
    </row>
    <row r="15" customFormat="false" ht="15" hidden="false" customHeight="false" outlineLevel="0" collapsed="false">
      <c r="A15" s="3" t="s">
        <v>385</v>
      </c>
      <c r="B15" s="6" t="str">
        <f aca="false">INDEX(J$20:J$47,MATCH($A$5,$A$20:$A$47,0))</f>
        <v>Requires Verification</v>
      </c>
    </row>
    <row r="19" customFormat="false" ht="15" hidden="false" customHeight="false" outlineLevel="0" collapsed="false">
      <c r="A19" s="7" t="s">
        <v>376</v>
      </c>
      <c r="B19" s="7" t="s">
        <v>377</v>
      </c>
      <c r="C19" s="7" t="s">
        <v>378</v>
      </c>
      <c r="D19" s="7" t="s">
        <v>379</v>
      </c>
      <c r="E19" s="7" t="s">
        <v>380</v>
      </c>
      <c r="F19" s="7" t="s">
        <v>381</v>
      </c>
      <c r="G19" s="7" t="s">
        <v>382</v>
      </c>
      <c r="H19" s="7" t="s">
        <v>383</v>
      </c>
      <c r="I19" s="7" t="s">
        <v>384</v>
      </c>
      <c r="J19" s="7" t="s">
        <v>385</v>
      </c>
    </row>
    <row r="20" customFormat="false" ht="28.35" hidden="false" customHeight="false" outlineLevel="0" collapsed="false">
      <c r="A20" s="6" t="s">
        <v>386</v>
      </c>
      <c r="B20" s="6" t="s">
        <v>387</v>
      </c>
      <c r="C20" s="6" t="s">
        <v>388</v>
      </c>
      <c r="D20" s="6" t="s">
        <v>389</v>
      </c>
      <c r="E20" s="6" t="s">
        <v>390</v>
      </c>
      <c r="F20" s="6" t="s">
        <v>391</v>
      </c>
      <c r="G20" s="6" t="s">
        <v>392</v>
      </c>
      <c r="H20" s="6" t="s">
        <v>393</v>
      </c>
      <c r="I20" s="6" t="s">
        <v>394</v>
      </c>
      <c r="J20" s="16" t="s">
        <v>395</v>
      </c>
    </row>
    <row r="21" customFormat="false" ht="28.35" hidden="false" customHeight="false" outlineLevel="0" collapsed="false">
      <c r="A21" s="6" t="s">
        <v>396</v>
      </c>
      <c r="B21" s="6" t="s">
        <v>397</v>
      </c>
      <c r="C21" s="6" t="s">
        <v>398</v>
      </c>
      <c r="D21" s="6" t="s">
        <v>399</v>
      </c>
      <c r="E21" s="6" t="s">
        <v>400</v>
      </c>
      <c r="F21" s="6" t="s">
        <v>401</v>
      </c>
      <c r="G21" s="6" t="s">
        <v>397</v>
      </c>
      <c r="H21" s="6" t="s">
        <v>402</v>
      </c>
      <c r="I21" s="6" t="s">
        <v>403</v>
      </c>
      <c r="J21" s="16" t="s">
        <v>395</v>
      </c>
    </row>
    <row r="22" customFormat="false" ht="15" hidden="false" customHeight="false" outlineLevel="0" collapsed="false">
      <c r="A22" s="6" t="s">
        <v>404</v>
      </c>
      <c r="B22" s="6" t="s">
        <v>405</v>
      </c>
      <c r="C22" s="6" t="s">
        <v>406</v>
      </c>
      <c r="D22" s="6" t="s">
        <v>407</v>
      </c>
      <c r="E22" s="6" t="s">
        <v>408</v>
      </c>
      <c r="F22" s="6" t="s">
        <v>409</v>
      </c>
      <c r="G22" s="6" t="s">
        <v>410</v>
      </c>
      <c r="H22" s="6" t="s">
        <v>411</v>
      </c>
      <c r="I22" s="6" t="s">
        <v>412</v>
      </c>
      <c r="J22" s="16" t="s">
        <v>395</v>
      </c>
    </row>
    <row r="23" customFormat="false" ht="28.35" hidden="false" customHeight="false" outlineLevel="0" collapsed="false">
      <c r="A23" s="6" t="s">
        <v>413</v>
      </c>
      <c r="B23" s="6" t="s">
        <v>414</v>
      </c>
      <c r="C23" s="6" t="s">
        <v>415</v>
      </c>
      <c r="D23" s="6" t="s">
        <v>416</v>
      </c>
      <c r="E23" s="6" t="s">
        <v>417</v>
      </c>
      <c r="F23" s="6" t="s">
        <v>418</v>
      </c>
      <c r="G23" s="6" t="s">
        <v>419</v>
      </c>
      <c r="H23" s="6" t="s">
        <v>420</v>
      </c>
      <c r="I23" s="6" t="s">
        <v>421</v>
      </c>
      <c r="J23" s="16" t="s">
        <v>395</v>
      </c>
    </row>
    <row r="24" customFormat="false" ht="28.35" hidden="false" customHeight="false" outlineLevel="0" collapsed="false">
      <c r="A24" s="6" t="s">
        <v>422</v>
      </c>
      <c r="B24" s="6" t="s">
        <v>423</v>
      </c>
      <c r="C24" s="6" t="s">
        <v>424</v>
      </c>
      <c r="D24" s="6" t="s">
        <v>425</v>
      </c>
      <c r="E24" s="6" t="s">
        <v>426</v>
      </c>
      <c r="F24" s="6" t="s">
        <v>427</v>
      </c>
      <c r="G24" s="6" t="s">
        <v>428</v>
      </c>
      <c r="H24" s="6" t="s">
        <v>429</v>
      </c>
      <c r="I24" s="6" t="s">
        <v>430</v>
      </c>
      <c r="J24" s="16" t="s">
        <v>395</v>
      </c>
    </row>
    <row r="25" customFormat="false" ht="15" hidden="false" customHeight="false" outlineLevel="0" collapsed="false">
      <c r="A25" s="6" t="s">
        <v>431</v>
      </c>
      <c r="B25" s="6" t="s">
        <v>432</v>
      </c>
      <c r="C25" s="6" t="s">
        <v>433</v>
      </c>
      <c r="D25" s="6" t="s">
        <v>425</v>
      </c>
      <c r="E25" s="6" t="s">
        <v>434</v>
      </c>
      <c r="F25" s="6" t="s">
        <v>435</v>
      </c>
      <c r="G25" s="6" t="s">
        <v>436</v>
      </c>
      <c r="H25" s="6"/>
      <c r="I25" s="6" t="s">
        <v>437</v>
      </c>
      <c r="J25" s="16" t="s">
        <v>395</v>
      </c>
    </row>
    <row r="26" customFormat="false" ht="28.35" hidden="false" customHeight="false" outlineLevel="0" collapsed="false">
      <c r="A26" s="6" t="s">
        <v>438</v>
      </c>
      <c r="B26" s="6" t="s">
        <v>439</v>
      </c>
      <c r="C26" s="6" t="s">
        <v>440</v>
      </c>
      <c r="D26" s="6" t="s">
        <v>425</v>
      </c>
      <c r="E26" s="6" t="s">
        <v>441</v>
      </c>
      <c r="F26" s="6" t="s">
        <v>442</v>
      </c>
      <c r="G26" s="6" t="s">
        <v>443</v>
      </c>
      <c r="H26" s="6" t="s">
        <v>444</v>
      </c>
      <c r="I26" s="6" t="s">
        <v>445</v>
      </c>
      <c r="J26" s="16" t="s">
        <v>395</v>
      </c>
    </row>
    <row r="27" customFormat="false" ht="28.35" hidden="false" customHeight="false" outlineLevel="0" collapsed="false">
      <c r="A27" s="6" t="s">
        <v>446</v>
      </c>
      <c r="B27" s="6" t="s">
        <v>447</v>
      </c>
      <c r="C27" s="6" t="s">
        <v>448</v>
      </c>
      <c r="D27" s="6" t="s">
        <v>425</v>
      </c>
      <c r="E27" s="6" t="s">
        <v>449</v>
      </c>
      <c r="F27" s="6" t="s">
        <v>442</v>
      </c>
      <c r="G27" s="6" t="s">
        <v>450</v>
      </c>
      <c r="H27" s="6" t="s">
        <v>451</v>
      </c>
      <c r="I27" s="6" t="s">
        <v>452</v>
      </c>
      <c r="J27" s="16" t="s">
        <v>395</v>
      </c>
    </row>
    <row r="28" customFormat="false" ht="28.35" hidden="false" customHeight="false" outlineLevel="0" collapsed="false">
      <c r="A28" s="6" t="s">
        <v>453</v>
      </c>
      <c r="B28" s="6" t="s">
        <v>454</v>
      </c>
      <c r="C28" s="6" t="s">
        <v>455</v>
      </c>
      <c r="D28" s="6"/>
      <c r="E28" s="6" t="s">
        <v>456</v>
      </c>
      <c r="F28" s="6" t="s">
        <v>457</v>
      </c>
      <c r="G28" s="6"/>
      <c r="H28" s="6"/>
      <c r="I28" s="6" t="s">
        <v>458</v>
      </c>
      <c r="J28" s="16" t="s">
        <v>395</v>
      </c>
    </row>
    <row r="29" customFormat="false" ht="28.35" hidden="false" customHeight="false" outlineLevel="0" collapsed="false">
      <c r="A29" s="6" t="s">
        <v>459</v>
      </c>
      <c r="B29" s="6" t="s">
        <v>460</v>
      </c>
      <c r="C29" s="6" t="s">
        <v>461</v>
      </c>
      <c r="D29" s="6" t="s">
        <v>462</v>
      </c>
      <c r="E29" s="6" t="s">
        <v>463</v>
      </c>
      <c r="F29" s="6" t="s">
        <v>464</v>
      </c>
      <c r="G29" s="6" t="s">
        <v>465</v>
      </c>
      <c r="H29" s="6"/>
      <c r="I29" s="6" t="s">
        <v>466</v>
      </c>
      <c r="J29" s="16" t="s">
        <v>395</v>
      </c>
    </row>
    <row r="30" customFormat="false" ht="28.35" hidden="false" customHeight="false" outlineLevel="0" collapsed="false">
      <c r="A30" s="6" t="s">
        <v>467</v>
      </c>
      <c r="B30" s="6" t="s">
        <v>468</v>
      </c>
      <c r="C30" s="6" t="s">
        <v>469</v>
      </c>
      <c r="D30" s="6" t="s">
        <v>425</v>
      </c>
      <c r="E30" s="6" t="s">
        <v>470</v>
      </c>
      <c r="F30" s="6" t="s">
        <v>471</v>
      </c>
      <c r="G30" s="6" t="s">
        <v>472</v>
      </c>
      <c r="H30" s="6" t="s">
        <v>473</v>
      </c>
      <c r="I30" s="6" t="s">
        <v>323</v>
      </c>
      <c r="J30" s="16" t="s">
        <v>395</v>
      </c>
    </row>
    <row r="31" customFormat="false" ht="28.35" hidden="false" customHeight="false" outlineLevel="0" collapsed="false">
      <c r="A31" s="6" t="s">
        <v>375</v>
      </c>
      <c r="B31" s="6" t="s">
        <v>474</v>
      </c>
      <c r="C31" s="6" t="s">
        <v>475</v>
      </c>
      <c r="D31" s="6" t="s">
        <v>476</v>
      </c>
      <c r="E31" s="6" t="s">
        <v>477</v>
      </c>
      <c r="F31" s="6" t="s">
        <v>478</v>
      </c>
      <c r="G31" s="6" t="s">
        <v>479</v>
      </c>
      <c r="H31" s="6" t="s">
        <v>480</v>
      </c>
      <c r="I31" s="6" t="s">
        <v>481</v>
      </c>
      <c r="J31" s="16" t="s">
        <v>395</v>
      </c>
    </row>
    <row r="32" customFormat="false" ht="15" hidden="false" customHeight="false" outlineLevel="0" collapsed="false">
      <c r="A32" s="6" t="s">
        <v>482</v>
      </c>
      <c r="B32" s="6" t="s">
        <v>483</v>
      </c>
      <c r="C32" s="6" t="s">
        <v>475</v>
      </c>
      <c r="D32" s="6" t="s">
        <v>425</v>
      </c>
      <c r="E32" s="6" t="s">
        <v>484</v>
      </c>
      <c r="F32" s="6" t="s">
        <v>478</v>
      </c>
      <c r="G32" s="6" t="s">
        <v>485</v>
      </c>
      <c r="H32" s="6" t="s">
        <v>486</v>
      </c>
      <c r="I32" s="6" t="s">
        <v>487</v>
      </c>
      <c r="J32" s="16" t="s">
        <v>395</v>
      </c>
    </row>
    <row r="33" customFormat="false" ht="15" hidden="false" customHeight="false" outlineLevel="0" collapsed="false">
      <c r="A33" s="6" t="s">
        <v>488</v>
      </c>
      <c r="B33" s="6" t="s">
        <v>489</v>
      </c>
      <c r="C33" s="6" t="s">
        <v>490</v>
      </c>
      <c r="D33" s="6" t="s">
        <v>491</v>
      </c>
      <c r="E33" s="6" t="s">
        <v>463</v>
      </c>
      <c r="F33" s="6" t="s">
        <v>471</v>
      </c>
      <c r="G33" s="6" t="s">
        <v>492</v>
      </c>
      <c r="H33" s="6" t="s">
        <v>493</v>
      </c>
      <c r="I33" s="6" t="s">
        <v>487</v>
      </c>
      <c r="J33" s="16" t="s">
        <v>395</v>
      </c>
    </row>
    <row r="34" customFormat="false" ht="28.35" hidden="false" customHeight="false" outlineLevel="0" collapsed="false">
      <c r="A34" s="6" t="s">
        <v>494</v>
      </c>
      <c r="B34" s="6" t="s">
        <v>495</v>
      </c>
      <c r="C34" s="6" t="s">
        <v>475</v>
      </c>
      <c r="D34" s="6" t="s">
        <v>425</v>
      </c>
      <c r="E34" s="6" t="s">
        <v>484</v>
      </c>
      <c r="F34" s="6" t="s">
        <v>496</v>
      </c>
      <c r="G34" s="6" t="s">
        <v>485</v>
      </c>
      <c r="H34" s="6" t="s">
        <v>497</v>
      </c>
      <c r="I34" s="6" t="s">
        <v>498</v>
      </c>
      <c r="J34" s="16" t="s">
        <v>395</v>
      </c>
    </row>
    <row r="35" customFormat="false" ht="15" hidden="false" customHeight="false" outlineLevel="0" collapsed="false">
      <c r="A35" s="6" t="s">
        <v>499</v>
      </c>
      <c r="B35" s="6" t="s">
        <v>500</v>
      </c>
      <c r="C35" s="6" t="s">
        <v>501</v>
      </c>
      <c r="D35" s="6" t="s">
        <v>425</v>
      </c>
      <c r="E35" s="6" t="s">
        <v>502</v>
      </c>
      <c r="F35" s="6" t="s">
        <v>471</v>
      </c>
      <c r="G35" s="6" t="s">
        <v>503</v>
      </c>
      <c r="H35" s="6" t="s">
        <v>504</v>
      </c>
      <c r="I35" s="6" t="s">
        <v>323</v>
      </c>
      <c r="J35" s="16" t="s">
        <v>395</v>
      </c>
    </row>
    <row r="36" customFormat="false" ht="28.35" hidden="false" customHeight="false" outlineLevel="0" collapsed="false">
      <c r="A36" s="6" t="s">
        <v>505</v>
      </c>
      <c r="B36" s="6" t="s">
        <v>506</v>
      </c>
      <c r="C36" s="6" t="s">
        <v>507</v>
      </c>
      <c r="D36" s="6" t="s">
        <v>425</v>
      </c>
      <c r="E36" s="6" t="s">
        <v>508</v>
      </c>
      <c r="F36" s="6" t="s">
        <v>471</v>
      </c>
      <c r="G36" s="6" t="s">
        <v>503</v>
      </c>
      <c r="H36" s="6" t="s">
        <v>509</v>
      </c>
      <c r="I36" s="6" t="s">
        <v>452</v>
      </c>
      <c r="J36" s="16" t="s">
        <v>395</v>
      </c>
    </row>
    <row r="37" customFormat="false" ht="41.75" hidden="false" customHeight="false" outlineLevel="0" collapsed="false">
      <c r="A37" s="6" t="s">
        <v>510</v>
      </c>
      <c r="B37" s="6" t="s">
        <v>511</v>
      </c>
      <c r="C37" s="6" t="s">
        <v>512</v>
      </c>
      <c r="D37" s="6" t="s">
        <v>425</v>
      </c>
      <c r="E37" s="6" t="s">
        <v>513</v>
      </c>
      <c r="F37" s="6" t="s">
        <v>514</v>
      </c>
      <c r="G37" s="6" t="s">
        <v>515</v>
      </c>
      <c r="H37" s="6"/>
      <c r="I37" s="6" t="s">
        <v>516</v>
      </c>
      <c r="J37" s="16" t="s">
        <v>395</v>
      </c>
    </row>
    <row r="38" customFormat="false" ht="41.75" hidden="false" customHeight="false" outlineLevel="0" collapsed="false">
      <c r="A38" s="6" t="s">
        <v>517</v>
      </c>
      <c r="B38" s="6" t="s">
        <v>518</v>
      </c>
      <c r="C38" s="6" t="s">
        <v>519</v>
      </c>
      <c r="D38" s="6" t="s">
        <v>520</v>
      </c>
      <c r="E38" s="6" t="s">
        <v>521</v>
      </c>
      <c r="F38" s="6" t="s">
        <v>522</v>
      </c>
      <c r="G38" s="6" t="s">
        <v>523</v>
      </c>
      <c r="H38" s="6" t="s">
        <v>524</v>
      </c>
      <c r="I38" s="6" t="s">
        <v>525</v>
      </c>
      <c r="J38" s="16" t="s">
        <v>395</v>
      </c>
    </row>
    <row r="39" customFormat="false" ht="15" hidden="false" customHeight="false" outlineLevel="0" collapsed="false">
      <c r="A39" s="6" t="s">
        <v>526</v>
      </c>
      <c r="B39" s="6" t="s">
        <v>527</v>
      </c>
      <c r="C39" s="6" t="s">
        <v>528</v>
      </c>
      <c r="D39" s="6" t="s">
        <v>425</v>
      </c>
      <c r="E39" s="6" t="s">
        <v>529</v>
      </c>
      <c r="F39" s="6" t="s">
        <v>530</v>
      </c>
      <c r="G39" s="6" t="s">
        <v>531</v>
      </c>
      <c r="H39" s="6" t="s">
        <v>532</v>
      </c>
      <c r="I39" s="6" t="s">
        <v>516</v>
      </c>
      <c r="J39" s="16" t="s">
        <v>395</v>
      </c>
    </row>
    <row r="40" customFormat="false" ht="15" hidden="false" customHeight="false" outlineLevel="0" collapsed="false">
      <c r="A40" s="6" t="s">
        <v>533</v>
      </c>
      <c r="B40" s="6" t="s">
        <v>447</v>
      </c>
      <c r="C40" s="6" t="s">
        <v>84</v>
      </c>
      <c r="D40" s="6" t="s">
        <v>534</v>
      </c>
      <c r="E40" s="6" t="s">
        <v>535</v>
      </c>
      <c r="F40" s="6" t="s">
        <v>536</v>
      </c>
      <c r="G40" s="6" t="s">
        <v>537</v>
      </c>
      <c r="H40" s="6" t="s">
        <v>538</v>
      </c>
      <c r="I40" s="6" t="s">
        <v>539</v>
      </c>
      <c r="J40" s="16" t="s">
        <v>395</v>
      </c>
    </row>
    <row r="41" customFormat="false" ht="15" hidden="false" customHeight="false" outlineLevel="0" collapsed="false">
      <c r="A41" s="6" t="s">
        <v>540</v>
      </c>
      <c r="B41" s="6" t="s">
        <v>541</v>
      </c>
      <c r="C41" s="6" t="s">
        <v>84</v>
      </c>
      <c r="D41" s="6" t="s">
        <v>425</v>
      </c>
      <c r="E41" s="6" t="s">
        <v>542</v>
      </c>
      <c r="F41" s="6" t="s">
        <v>543</v>
      </c>
      <c r="G41" s="6" t="s">
        <v>544</v>
      </c>
      <c r="H41" s="6"/>
      <c r="I41" s="6" t="s">
        <v>452</v>
      </c>
      <c r="J41" s="16" t="s">
        <v>395</v>
      </c>
    </row>
    <row r="42" customFormat="false" ht="15" hidden="false" customHeight="false" outlineLevel="0" collapsed="false">
      <c r="A42" s="6" t="s">
        <v>545</v>
      </c>
      <c r="B42" s="6" t="s">
        <v>546</v>
      </c>
      <c r="C42" s="6" t="s">
        <v>547</v>
      </c>
      <c r="D42" s="6"/>
      <c r="E42" s="6" t="s">
        <v>470</v>
      </c>
      <c r="F42" s="6" t="s">
        <v>548</v>
      </c>
      <c r="G42" s="6"/>
      <c r="H42" s="6" t="s">
        <v>549</v>
      </c>
      <c r="I42" s="6" t="s">
        <v>323</v>
      </c>
      <c r="J42" s="16" t="s">
        <v>395</v>
      </c>
    </row>
    <row r="43" customFormat="false" ht="41.75" hidden="false" customHeight="false" outlineLevel="0" collapsed="false">
      <c r="A43" s="6" t="s">
        <v>550</v>
      </c>
      <c r="B43" s="6" t="s">
        <v>551</v>
      </c>
      <c r="C43" s="6" t="s">
        <v>552</v>
      </c>
      <c r="D43" s="6" t="s">
        <v>553</v>
      </c>
      <c r="E43" s="6" t="s">
        <v>554</v>
      </c>
      <c r="F43" s="6" t="s">
        <v>548</v>
      </c>
      <c r="G43" s="6" t="s">
        <v>555</v>
      </c>
      <c r="H43" s="6" t="s">
        <v>556</v>
      </c>
      <c r="I43" s="6" t="s">
        <v>557</v>
      </c>
      <c r="J43" s="16" t="s">
        <v>395</v>
      </c>
    </row>
    <row r="44" customFormat="false" ht="28.35" hidden="false" customHeight="false" outlineLevel="0" collapsed="false">
      <c r="A44" s="6" t="s">
        <v>558</v>
      </c>
      <c r="B44" s="6" t="s">
        <v>559</v>
      </c>
      <c r="C44" s="6" t="s">
        <v>560</v>
      </c>
      <c r="D44" s="6" t="s">
        <v>561</v>
      </c>
      <c r="E44" s="6" t="s">
        <v>562</v>
      </c>
      <c r="F44" s="6" t="s">
        <v>548</v>
      </c>
      <c r="G44" s="6" t="s">
        <v>563</v>
      </c>
      <c r="H44" s="6" t="s">
        <v>564</v>
      </c>
      <c r="I44" s="6" t="s">
        <v>565</v>
      </c>
      <c r="J44" s="16" t="s">
        <v>395</v>
      </c>
    </row>
    <row r="45" customFormat="false" ht="28.35" hidden="false" customHeight="false" outlineLevel="0" collapsed="false">
      <c r="A45" s="6" t="s">
        <v>566</v>
      </c>
      <c r="B45" s="6" t="s">
        <v>546</v>
      </c>
      <c r="C45" s="6" t="s">
        <v>567</v>
      </c>
      <c r="D45" s="6" t="s">
        <v>561</v>
      </c>
      <c r="E45" s="6" t="s">
        <v>568</v>
      </c>
      <c r="F45" s="6" t="s">
        <v>569</v>
      </c>
      <c r="G45" s="6" t="s">
        <v>570</v>
      </c>
      <c r="H45" s="6" t="s">
        <v>571</v>
      </c>
      <c r="I45" s="6" t="s">
        <v>565</v>
      </c>
      <c r="J45" s="16" t="s">
        <v>395</v>
      </c>
    </row>
    <row r="46" customFormat="false" ht="15" hidden="false" customHeight="false" outlineLevel="0" collapsed="false">
      <c r="A46" s="6" t="s">
        <v>572</v>
      </c>
      <c r="B46" s="6" t="s">
        <v>546</v>
      </c>
      <c r="C46" s="6" t="s">
        <v>573</v>
      </c>
      <c r="D46" s="6" t="s">
        <v>561</v>
      </c>
      <c r="E46" s="6" t="s">
        <v>574</v>
      </c>
      <c r="F46" s="6" t="s">
        <v>548</v>
      </c>
      <c r="G46" s="6" t="s">
        <v>575</v>
      </c>
      <c r="H46" s="6" t="s">
        <v>576</v>
      </c>
      <c r="I46" s="6" t="s">
        <v>565</v>
      </c>
      <c r="J46" s="16" t="s">
        <v>395</v>
      </c>
    </row>
    <row r="47" customFormat="false" ht="28.35" hidden="false" customHeight="false" outlineLevel="0" collapsed="false">
      <c r="A47" s="6" t="s">
        <v>577</v>
      </c>
      <c r="B47" s="6" t="s">
        <v>578</v>
      </c>
      <c r="C47" s="6" t="s">
        <v>579</v>
      </c>
      <c r="D47" s="6" t="s">
        <v>561</v>
      </c>
      <c r="E47" s="6" t="s">
        <v>484</v>
      </c>
      <c r="F47" s="6" t="s">
        <v>580</v>
      </c>
      <c r="G47" s="6" t="s">
        <v>581</v>
      </c>
      <c r="H47" s="6" t="s">
        <v>582</v>
      </c>
      <c r="I47" s="6" t="s">
        <v>583</v>
      </c>
      <c r="J47" s="16" t="s">
        <v>395</v>
      </c>
    </row>
    <row r="52" customFormat="false" ht="19.7" hidden="false" customHeight="false" outlineLevel="0" collapsed="false">
      <c r="A52" s="1" t="s">
        <v>584</v>
      </c>
    </row>
    <row r="53" customFormat="false" ht="48" hidden="false" customHeight="true" outlineLevel="0" collapsed="false">
      <c r="A53" s="2" t="s">
        <v>585</v>
      </c>
      <c r="B53" s="2"/>
      <c r="C53" s="2"/>
      <c r="D53" s="2"/>
      <c r="E53" s="2"/>
      <c r="F53" s="2"/>
      <c r="G53" s="2"/>
      <c r="H53" s="2"/>
      <c r="I53" s="2"/>
    </row>
    <row r="54" customFormat="false" ht="15" hidden="false" customHeight="false" outlineLevel="0" collapsed="false">
      <c r="A54" s="7" t="s">
        <v>586</v>
      </c>
      <c r="B54" s="7" t="s">
        <v>587</v>
      </c>
      <c r="C54" s="7" t="s">
        <v>588</v>
      </c>
      <c r="D54" s="7" t="s">
        <v>589</v>
      </c>
      <c r="E54" s="7" t="s">
        <v>385</v>
      </c>
      <c r="F54" s="7" t="s">
        <v>590</v>
      </c>
      <c r="G54" s="7" t="s">
        <v>174</v>
      </c>
      <c r="H54" s="7" t="s">
        <v>52</v>
      </c>
      <c r="I54" s="7" t="s">
        <v>591</v>
      </c>
    </row>
    <row r="55" customFormat="false" ht="55.2" hidden="false" customHeight="false" outlineLevel="0" collapsed="false">
      <c r="A55" s="6" t="s">
        <v>592</v>
      </c>
      <c r="B55" s="6" t="s">
        <v>56</v>
      </c>
      <c r="C55" s="6" t="s">
        <v>593</v>
      </c>
      <c r="D55" s="17" t="n">
        <v>44000</v>
      </c>
      <c r="E55" s="16" t="s">
        <v>395</v>
      </c>
      <c r="F55" s="6" t="s">
        <v>594</v>
      </c>
      <c r="G55" s="6" t="s">
        <v>595</v>
      </c>
      <c r="H55" s="6" t="s">
        <v>596</v>
      </c>
      <c r="I55" s="6" t="s">
        <v>597</v>
      </c>
    </row>
    <row r="56" customFormat="false" ht="55.2" hidden="false" customHeight="false" outlineLevel="0" collapsed="false">
      <c r="A56" s="6" t="s">
        <v>598</v>
      </c>
      <c r="B56" s="6" t="s">
        <v>56</v>
      </c>
      <c r="C56" s="6" t="s">
        <v>599</v>
      </c>
      <c r="D56" s="17" t="n">
        <v>48000</v>
      </c>
      <c r="E56" s="16" t="s">
        <v>395</v>
      </c>
      <c r="F56" s="6" t="s">
        <v>594</v>
      </c>
      <c r="G56" s="6" t="s">
        <v>595</v>
      </c>
      <c r="H56" s="6" t="s">
        <v>600</v>
      </c>
      <c r="I56" s="6" t="s">
        <v>597</v>
      </c>
    </row>
    <row r="57" customFormat="false" ht="55.2" hidden="false" customHeight="false" outlineLevel="0" collapsed="false">
      <c r="A57" s="6" t="s">
        <v>601</v>
      </c>
      <c r="B57" s="6" t="s">
        <v>56</v>
      </c>
      <c r="C57" s="6" t="s">
        <v>602</v>
      </c>
      <c r="D57" s="17" t="n">
        <v>53000</v>
      </c>
      <c r="E57" s="16" t="s">
        <v>395</v>
      </c>
      <c r="F57" s="6" t="s">
        <v>594</v>
      </c>
      <c r="G57" s="6" t="s">
        <v>595</v>
      </c>
      <c r="H57" s="6" t="s">
        <v>603</v>
      </c>
      <c r="I57" s="6" t="s">
        <v>597</v>
      </c>
    </row>
    <row r="58" customFormat="false" ht="55.2" hidden="false" customHeight="false" outlineLevel="0" collapsed="false">
      <c r="A58" s="6" t="s">
        <v>604</v>
      </c>
      <c r="B58" s="6" t="s">
        <v>56</v>
      </c>
      <c r="C58" s="6" t="s">
        <v>605</v>
      </c>
      <c r="D58" s="17" t="n">
        <v>35000</v>
      </c>
      <c r="E58" s="16" t="s">
        <v>395</v>
      </c>
      <c r="F58" s="6" t="s">
        <v>594</v>
      </c>
      <c r="G58" s="6" t="s">
        <v>595</v>
      </c>
      <c r="H58" s="6" t="s">
        <v>606</v>
      </c>
      <c r="I58" s="6" t="s">
        <v>597</v>
      </c>
    </row>
    <row r="59" customFormat="false" ht="28.35" hidden="false" customHeight="false" outlineLevel="0" collapsed="false">
      <c r="A59" s="6" t="s">
        <v>607</v>
      </c>
      <c r="B59" s="6" t="s">
        <v>56</v>
      </c>
      <c r="C59" s="6" t="s">
        <v>608</v>
      </c>
      <c r="D59" s="18" t="n">
        <v>0.2</v>
      </c>
      <c r="E59" s="16" t="s">
        <v>395</v>
      </c>
      <c r="F59" s="6" t="s">
        <v>121</v>
      </c>
      <c r="G59" s="6" t="s">
        <v>609</v>
      </c>
      <c r="H59" s="6"/>
      <c r="I59" s="6" t="s">
        <v>597</v>
      </c>
    </row>
    <row r="60" customFormat="false" ht="28.35" hidden="false" customHeight="false" outlineLevel="0" collapsed="false">
      <c r="A60" s="6" t="s">
        <v>610</v>
      </c>
      <c r="B60" s="6" t="s">
        <v>56</v>
      </c>
      <c r="C60" s="6" t="s">
        <v>611</v>
      </c>
      <c r="D60" s="18" t="n">
        <v>0.4</v>
      </c>
      <c r="E60" s="16" t="s">
        <v>395</v>
      </c>
      <c r="F60" s="6" t="s">
        <v>121</v>
      </c>
      <c r="G60" s="6" t="s">
        <v>609</v>
      </c>
      <c r="H60" s="6"/>
      <c r="I60" s="6" t="s">
        <v>597</v>
      </c>
    </row>
    <row r="61" customFormat="false" ht="55.2" hidden="false" customHeight="false" outlineLevel="0" collapsed="false">
      <c r="A61" s="6" t="s">
        <v>612</v>
      </c>
      <c r="B61" s="6" t="s">
        <v>56</v>
      </c>
      <c r="C61" s="6" t="s">
        <v>613</v>
      </c>
      <c r="D61" s="17" t="n">
        <v>2000</v>
      </c>
      <c r="E61" s="16" t="s">
        <v>395</v>
      </c>
      <c r="F61" s="6" t="s">
        <v>594</v>
      </c>
      <c r="G61" s="6" t="s">
        <v>595</v>
      </c>
      <c r="H61" s="6" t="s">
        <v>614</v>
      </c>
      <c r="I61" s="6" t="s">
        <v>597</v>
      </c>
    </row>
    <row r="62" customFormat="false" ht="55.2" hidden="false" customHeight="false" outlineLevel="0" collapsed="false">
      <c r="A62" s="6" t="s">
        <v>615</v>
      </c>
      <c r="B62" s="6" t="s">
        <v>56</v>
      </c>
      <c r="C62" s="6" t="s">
        <v>616</v>
      </c>
      <c r="D62" s="17" t="n">
        <v>4000</v>
      </c>
      <c r="E62" s="16" t="s">
        <v>395</v>
      </c>
      <c r="F62" s="6" t="s">
        <v>594</v>
      </c>
      <c r="G62" s="6" t="s">
        <v>595</v>
      </c>
      <c r="H62" s="6" t="s">
        <v>617</v>
      </c>
      <c r="I62" s="6" t="s">
        <v>597</v>
      </c>
    </row>
    <row r="63" customFormat="false" ht="55.2" hidden="false" customHeight="false" outlineLevel="0" collapsed="false">
      <c r="A63" s="6" t="s">
        <v>618</v>
      </c>
      <c r="B63" s="6" t="s">
        <v>56</v>
      </c>
      <c r="C63" s="6" t="s">
        <v>619</v>
      </c>
      <c r="D63" s="17" t="n">
        <v>2000</v>
      </c>
      <c r="E63" s="16" t="s">
        <v>395</v>
      </c>
      <c r="F63" s="6" t="s">
        <v>594</v>
      </c>
      <c r="G63" s="6" t="s">
        <v>595</v>
      </c>
      <c r="H63" s="6" t="s">
        <v>620</v>
      </c>
      <c r="I63" s="6" t="s">
        <v>597</v>
      </c>
    </row>
    <row r="64" customFormat="false" ht="55.2" hidden="false" customHeight="false" outlineLevel="0" collapsed="false">
      <c r="A64" s="6" t="s">
        <v>621</v>
      </c>
      <c r="B64" s="6" t="s">
        <v>56</v>
      </c>
      <c r="C64" s="6" t="s">
        <v>622</v>
      </c>
      <c r="D64" s="17" t="n">
        <v>2000</v>
      </c>
      <c r="E64" s="16" t="s">
        <v>395</v>
      </c>
      <c r="F64" s="6" t="s">
        <v>594</v>
      </c>
      <c r="G64" s="6" t="s">
        <v>595</v>
      </c>
      <c r="H64" s="6" t="s">
        <v>623</v>
      </c>
      <c r="I64" s="6" t="s">
        <v>597</v>
      </c>
    </row>
    <row r="65" customFormat="false" ht="41.75" hidden="false" customHeight="false" outlineLevel="0" collapsed="false">
      <c r="A65" s="6" t="s">
        <v>624</v>
      </c>
      <c r="B65" s="6" t="s">
        <v>56</v>
      </c>
      <c r="C65" s="6" t="s">
        <v>625</v>
      </c>
      <c r="D65" s="18" t="n">
        <v>0.2</v>
      </c>
      <c r="E65" s="16" t="s">
        <v>395</v>
      </c>
      <c r="F65" s="6" t="s">
        <v>121</v>
      </c>
      <c r="G65" s="6" t="s">
        <v>626</v>
      </c>
      <c r="H65" s="6"/>
      <c r="I65" s="6" t="s">
        <v>597</v>
      </c>
    </row>
    <row r="66" customFormat="false" ht="55.2" hidden="false" customHeight="false" outlineLevel="0" collapsed="false">
      <c r="A66" s="6" t="s">
        <v>627</v>
      </c>
      <c r="B66" s="6" t="s">
        <v>56</v>
      </c>
      <c r="C66" s="6" t="s">
        <v>628</v>
      </c>
      <c r="D66" s="17" t="n">
        <v>1000</v>
      </c>
      <c r="E66" s="16" t="s">
        <v>395</v>
      </c>
      <c r="F66" s="6" t="s">
        <v>629</v>
      </c>
      <c r="G66" s="6" t="s">
        <v>595</v>
      </c>
      <c r="H66" s="6" t="s">
        <v>630</v>
      </c>
      <c r="I66" s="6" t="s">
        <v>597</v>
      </c>
    </row>
    <row r="67" customFormat="false" ht="55.2" hidden="false" customHeight="false" outlineLevel="0" collapsed="false">
      <c r="A67" s="6" t="s">
        <v>631</v>
      </c>
      <c r="B67" s="6" t="s">
        <v>56</v>
      </c>
      <c r="C67" s="6" t="s">
        <v>632</v>
      </c>
      <c r="D67" s="17" t="n">
        <v>2000</v>
      </c>
      <c r="E67" s="16" t="s">
        <v>395</v>
      </c>
      <c r="F67" s="6" t="s">
        <v>629</v>
      </c>
      <c r="G67" s="6" t="s">
        <v>595</v>
      </c>
      <c r="H67" s="6" t="s">
        <v>633</v>
      </c>
      <c r="I67" s="6" t="s">
        <v>597</v>
      </c>
    </row>
    <row r="68" customFormat="false" ht="15" hidden="false" customHeight="false" outlineLevel="0" collapsed="false">
      <c r="A68" s="6" t="s">
        <v>634</v>
      </c>
      <c r="B68" s="6" t="s">
        <v>56</v>
      </c>
      <c r="C68" s="6" t="s">
        <v>635</v>
      </c>
      <c r="D68" s="17" t="n">
        <v>2028</v>
      </c>
      <c r="E68" s="16" t="s">
        <v>395</v>
      </c>
      <c r="F68" s="6" t="s">
        <v>636</v>
      </c>
      <c r="G68" s="6" t="s">
        <v>637</v>
      </c>
      <c r="H68" s="6"/>
      <c r="I68" s="6" t="s">
        <v>597</v>
      </c>
    </row>
    <row r="69" customFormat="false" ht="28.35" hidden="false" customHeight="false" outlineLevel="0" collapsed="false">
      <c r="A69" s="6" t="s">
        <v>638</v>
      </c>
      <c r="B69" s="6" t="s">
        <v>56</v>
      </c>
      <c r="C69" s="6" t="s">
        <v>639</v>
      </c>
      <c r="D69" s="17" t="n">
        <v>1900</v>
      </c>
      <c r="E69" s="16" t="s">
        <v>395</v>
      </c>
      <c r="F69" s="6" t="s">
        <v>640</v>
      </c>
      <c r="G69" s="6" t="s">
        <v>641</v>
      </c>
      <c r="H69" s="6"/>
      <c r="I69" s="6" t="s">
        <v>597</v>
      </c>
    </row>
    <row r="70" customFormat="false" ht="55.2" hidden="false" customHeight="false" outlineLevel="0" collapsed="false">
      <c r="A70" s="6" t="s">
        <v>642</v>
      </c>
      <c r="B70" s="6" t="s">
        <v>56</v>
      </c>
      <c r="C70" s="6" t="s">
        <v>643</v>
      </c>
      <c r="D70" s="17" t="n">
        <v>1950</v>
      </c>
      <c r="E70" s="16" t="s">
        <v>395</v>
      </c>
      <c r="F70" s="6" t="s">
        <v>594</v>
      </c>
      <c r="G70" s="6" t="s">
        <v>595</v>
      </c>
      <c r="H70" s="6" t="s">
        <v>644</v>
      </c>
      <c r="I70" s="6" t="s">
        <v>597</v>
      </c>
    </row>
    <row r="71" customFormat="false" ht="15" hidden="false" customHeight="false" outlineLevel="0" collapsed="false">
      <c r="A71" s="6" t="s">
        <v>645</v>
      </c>
      <c r="B71" s="6" t="s">
        <v>56</v>
      </c>
      <c r="C71" s="6" t="s">
        <v>646</v>
      </c>
      <c r="D71" s="17" t="n">
        <v>7200</v>
      </c>
      <c r="E71" s="16" t="s">
        <v>395</v>
      </c>
      <c r="F71" s="6" t="s">
        <v>647</v>
      </c>
      <c r="G71" s="6" t="s">
        <v>637</v>
      </c>
      <c r="H71" s="6"/>
      <c r="I71" s="6" t="s">
        <v>597</v>
      </c>
    </row>
    <row r="72" customFormat="false" ht="41.75" hidden="false" customHeight="false" outlineLevel="0" collapsed="false">
      <c r="A72" s="6" t="s">
        <v>648</v>
      </c>
      <c r="B72" s="6" t="s">
        <v>56</v>
      </c>
      <c r="C72" s="6" t="s">
        <v>649</v>
      </c>
      <c r="D72" s="17" t="n">
        <v>65</v>
      </c>
      <c r="E72" s="16" t="s">
        <v>395</v>
      </c>
      <c r="F72" s="6" t="s">
        <v>121</v>
      </c>
      <c r="G72" s="6" t="s">
        <v>650</v>
      </c>
      <c r="H72" s="6"/>
      <c r="I72" s="6" t="s">
        <v>597</v>
      </c>
    </row>
    <row r="73" customFormat="false" ht="41.75" hidden="false" customHeight="false" outlineLevel="0" collapsed="false">
      <c r="A73" s="6" t="s">
        <v>651</v>
      </c>
      <c r="B73" s="6" t="s">
        <v>56</v>
      </c>
      <c r="C73" s="6" t="s">
        <v>652</v>
      </c>
      <c r="D73" s="17" t="n">
        <v>245</v>
      </c>
      <c r="E73" s="16" t="s">
        <v>395</v>
      </c>
      <c r="F73" s="6" t="s">
        <v>121</v>
      </c>
      <c r="G73" s="6" t="s">
        <v>650</v>
      </c>
      <c r="H73" s="6"/>
      <c r="I73" s="6" t="s">
        <v>597</v>
      </c>
    </row>
    <row r="74" customFormat="false" ht="41.75" hidden="false" customHeight="false" outlineLevel="0" collapsed="false">
      <c r="A74" s="6" t="s">
        <v>653</v>
      </c>
      <c r="B74" s="6" t="s">
        <v>56</v>
      </c>
      <c r="C74" s="6" t="s">
        <v>654</v>
      </c>
      <c r="D74" s="17" t="n">
        <v>18000</v>
      </c>
      <c r="E74" s="16" t="s">
        <v>395</v>
      </c>
      <c r="F74" s="6" t="s">
        <v>121</v>
      </c>
      <c r="G74" s="6" t="s">
        <v>650</v>
      </c>
      <c r="H74" s="6"/>
      <c r="I74" s="6" t="s">
        <v>597</v>
      </c>
    </row>
    <row r="75" customFormat="false" ht="41.75" hidden="false" customHeight="false" outlineLevel="0" collapsed="false">
      <c r="A75" s="6" t="s">
        <v>655</v>
      </c>
      <c r="B75" s="6" t="s">
        <v>56</v>
      </c>
      <c r="C75" s="6" t="s">
        <v>656</v>
      </c>
      <c r="D75" s="17" t="n">
        <v>36000</v>
      </c>
      <c r="E75" s="16" t="s">
        <v>395</v>
      </c>
      <c r="F75" s="6" t="s">
        <v>121</v>
      </c>
      <c r="G75" s="6" t="s">
        <v>650</v>
      </c>
      <c r="H75" s="6"/>
      <c r="I75" s="6" t="s">
        <v>597</v>
      </c>
    </row>
    <row r="76" customFormat="false" ht="41.75" hidden="false" customHeight="false" outlineLevel="0" collapsed="false">
      <c r="A76" s="6" t="s">
        <v>657</v>
      </c>
      <c r="B76" s="6" t="s">
        <v>56</v>
      </c>
      <c r="C76" s="6" t="s">
        <v>658</v>
      </c>
      <c r="D76" s="18" t="n">
        <v>0.4</v>
      </c>
      <c r="E76" s="16" t="s">
        <v>395</v>
      </c>
      <c r="F76" s="6" t="s">
        <v>659</v>
      </c>
      <c r="G76" s="6" t="s">
        <v>650</v>
      </c>
      <c r="H76" s="6"/>
      <c r="I76" s="6" t="s">
        <v>597</v>
      </c>
    </row>
    <row r="77" customFormat="false" ht="55.2" hidden="false" customHeight="false" outlineLevel="0" collapsed="false">
      <c r="A77" s="6" t="s">
        <v>660</v>
      </c>
      <c r="B77" s="6" t="s">
        <v>58</v>
      </c>
      <c r="C77" s="6" t="s">
        <v>661</v>
      </c>
      <c r="D77" s="6" t="s">
        <v>662</v>
      </c>
      <c r="E77" s="16" t="s">
        <v>395</v>
      </c>
      <c r="F77" s="6" t="s">
        <v>594</v>
      </c>
      <c r="G77" s="6" t="s">
        <v>595</v>
      </c>
      <c r="H77" s="6" t="s">
        <v>663</v>
      </c>
      <c r="I77" s="6" t="s">
        <v>597</v>
      </c>
    </row>
    <row r="78" customFormat="false" ht="28.35" hidden="false" customHeight="false" outlineLevel="0" collapsed="false">
      <c r="A78" s="6" t="s">
        <v>664</v>
      </c>
      <c r="B78" s="6" t="s">
        <v>58</v>
      </c>
      <c r="C78" s="6" t="s">
        <v>665</v>
      </c>
      <c r="D78" s="17" t="n">
        <v>13000</v>
      </c>
      <c r="E78" s="16" t="s">
        <v>395</v>
      </c>
      <c r="F78" s="6" t="s">
        <v>121</v>
      </c>
      <c r="G78" s="6" t="s">
        <v>609</v>
      </c>
      <c r="H78" s="6"/>
      <c r="I78" s="6" t="s">
        <v>597</v>
      </c>
    </row>
    <row r="79" customFormat="false" ht="41.75" hidden="false" customHeight="false" outlineLevel="0" collapsed="false">
      <c r="A79" s="6" t="s">
        <v>666</v>
      </c>
      <c r="B79" s="6" t="s">
        <v>58</v>
      </c>
      <c r="C79" s="6" t="s">
        <v>667</v>
      </c>
      <c r="D79" s="17" t="n">
        <v>70</v>
      </c>
      <c r="E79" s="16" t="s">
        <v>395</v>
      </c>
      <c r="F79" s="6" t="s">
        <v>121</v>
      </c>
      <c r="G79" s="6" t="s">
        <v>650</v>
      </c>
      <c r="H79" s="6"/>
      <c r="I79" s="6" t="s">
        <v>597</v>
      </c>
    </row>
    <row r="80" customFormat="false" ht="41.75" hidden="false" customHeight="false" outlineLevel="0" collapsed="false">
      <c r="A80" s="6" t="s">
        <v>668</v>
      </c>
      <c r="B80" s="6" t="s">
        <v>58</v>
      </c>
      <c r="C80" s="6" t="s">
        <v>669</v>
      </c>
      <c r="D80" s="17" t="n">
        <v>60000</v>
      </c>
      <c r="E80" s="16" t="s">
        <v>395</v>
      </c>
      <c r="F80" s="6" t="s">
        <v>121</v>
      </c>
      <c r="G80" s="6" t="s">
        <v>650</v>
      </c>
      <c r="H80" s="6"/>
      <c r="I80" s="6" t="s">
        <v>597</v>
      </c>
    </row>
    <row r="81" customFormat="false" ht="41.75" hidden="false" customHeight="false" outlineLevel="0" collapsed="false">
      <c r="A81" s="6" t="s">
        <v>670</v>
      </c>
      <c r="B81" s="6" t="s">
        <v>58</v>
      </c>
      <c r="C81" s="6" t="s">
        <v>671</v>
      </c>
      <c r="D81" s="6" t="s">
        <v>672</v>
      </c>
      <c r="E81" s="16" t="s">
        <v>395</v>
      </c>
      <c r="F81" s="6" t="s">
        <v>121</v>
      </c>
      <c r="G81" s="6" t="s">
        <v>650</v>
      </c>
      <c r="H81" s="6"/>
      <c r="I81" s="6" t="s">
        <v>597</v>
      </c>
    </row>
    <row r="82" customFormat="false" ht="28.35" hidden="false" customHeight="false" outlineLevel="0" collapsed="false">
      <c r="A82" s="6" t="s">
        <v>673</v>
      </c>
      <c r="B82" s="6" t="s">
        <v>58</v>
      </c>
      <c r="C82" s="6" t="s">
        <v>674</v>
      </c>
      <c r="D82" s="18" t="n">
        <v>0.03</v>
      </c>
      <c r="E82" s="16" t="s">
        <v>395</v>
      </c>
      <c r="F82" s="6" t="s">
        <v>121</v>
      </c>
      <c r="G82" s="6" t="s">
        <v>609</v>
      </c>
      <c r="H82" s="6"/>
      <c r="I82" s="6" t="s">
        <v>597</v>
      </c>
    </row>
    <row r="83" customFormat="false" ht="28.35" hidden="false" customHeight="false" outlineLevel="0" collapsed="false">
      <c r="A83" s="6" t="s">
        <v>675</v>
      </c>
      <c r="B83" s="6" t="s">
        <v>58</v>
      </c>
      <c r="C83" s="6" t="s">
        <v>676</v>
      </c>
      <c r="D83" s="17" t="n">
        <v>100000</v>
      </c>
      <c r="E83" s="16" t="s">
        <v>395</v>
      </c>
      <c r="F83" s="6" t="s">
        <v>121</v>
      </c>
      <c r="G83" s="6" t="s">
        <v>609</v>
      </c>
      <c r="H83" s="6"/>
      <c r="I83" s="6" t="s">
        <v>597</v>
      </c>
    </row>
    <row r="84" customFormat="false" ht="55.2" hidden="false" customHeight="false" outlineLevel="0" collapsed="false">
      <c r="A84" s="6" t="s">
        <v>677</v>
      </c>
      <c r="B84" s="6" t="s">
        <v>60</v>
      </c>
      <c r="C84" s="6" t="s">
        <v>678</v>
      </c>
      <c r="D84" s="6" t="s">
        <v>679</v>
      </c>
      <c r="E84" s="16" t="s">
        <v>395</v>
      </c>
      <c r="F84" s="6" t="s">
        <v>680</v>
      </c>
      <c r="G84" s="6" t="s">
        <v>681</v>
      </c>
      <c r="H84" s="6"/>
      <c r="I84" s="6" t="s">
        <v>597</v>
      </c>
    </row>
    <row r="85" customFormat="false" ht="15" hidden="false" customHeight="false" outlineLevel="0" collapsed="false">
      <c r="A85" s="6" t="s">
        <v>682</v>
      </c>
      <c r="B85" s="6" t="s">
        <v>60</v>
      </c>
      <c r="C85" s="6" t="s">
        <v>683</v>
      </c>
      <c r="D85" s="17" t="n">
        <v>352</v>
      </c>
      <c r="E85" s="16" t="s">
        <v>395</v>
      </c>
      <c r="F85" s="6" t="s">
        <v>121</v>
      </c>
      <c r="G85" s="6" t="s">
        <v>684</v>
      </c>
      <c r="H85" s="6"/>
      <c r="I85" s="6" t="s">
        <v>597</v>
      </c>
    </row>
    <row r="86" customFormat="false" ht="15" hidden="false" customHeight="false" outlineLevel="0" collapsed="false">
      <c r="A86" s="6" t="s">
        <v>685</v>
      </c>
      <c r="B86" s="6" t="s">
        <v>60</v>
      </c>
      <c r="C86" s="6" t="s">
        <v>686</v>
      </c>
      <c r="D86" s="17" t="n">
        <v>12</v>
      </c>
      <c r="E86" s="16" t="s">
        <v>395</v>
      </c>
      <c r="F86" s="6" t="s">
        <v>121</v>
      </c>
      <c r="G86" s="6" t="s">
        <v>684</v>
      </c>
      <c r="H86" s="6"/>
      <c r="I86" s="6" t="s">
        <v>597</v>
      </c>
    </row>
    <row r="87" customFormat="false" ht="15" hidden="false" customHeight="false" outlineLevel="0" collapsed="false">
      <c r="A87" s="6" t="s">
        <v>687</v>
      </c>
      <c r="B87" s="6" t="s">
        <v>60</v>
      </c>
      <c r="C87" s="6" t="s">
        <v>688</v>
      </c>
      <c r="D87" s="17" t="n">
        <v>424</v>
      </c>
      <c r="E87" s="16" t="s">
        <v>395</v>
      </c>
      <c r="F87" s="6" t="s">
        <v>121</v>
      </c>
      <c r="G87" s="6" t="s">
        <v>684</v>
      </c>
      <c r="H87" s="6"/>
      <c r="I87" s="6" t="s">
        <v>597</v>
      </c>
    </row>
    <row r="88" customFormat="false" ht="15" hidden="false" customHeight="false" outlineLevel="0" collapsed="false">
      <c r="A88" s="6" t="s">
        <v>689</v>
      </c>
      <c r="B88" s="6" t="s">
        <v>60</v>
      </c>
      <c r="C88" s="6" t="s">
        <v>690</v>
      </c>
      <c r="D88" s="17" t="n">
        <v>6</v>
      </c>
      <c r="E88" s="16" t="s">
        <v>395</v>
      </c>
      <c r="F88" s="6" t="s">
        <v>121</v>
      </c>
      <c r="G88" s="6" t="s">
        <v>684</v>
      </c>
      <c r="H88" s="6"/>
      <c r="I88" s="6" t="s">
        <v>597</v>
      </c>
    </row>
    <row r="89" customFormat="false" ht="28.35" hidden="false" customHeight="false" outlineLevel="0" collapsed="false">
      <c r="A89" s="6" t="s">
        <v>691</v>
      </c>
      <c r="B89" s="6" t="s">
        <v>60</v>
      </c>
      <c r="C89" s="6" t="s">
        <v>692</v>
      </c>
      <c r="D89" s="17" t="n">
        <v>66</v>
      </c>
      <c r="E89" s="16" t="s">
        <v>395</v>
      </c>
      <c r="F89" s="6" t="s">
        <v>659</v>
      </c>
      <c r="G89" s="6" t="s">
        <v>693</v>
      </c>
      <c r="H89" s="6"/>
      <c r="I89" s="6" t="s">
        <v>597</v>
      </c>
    </row>
    <row r="90" customFormat="false" ht="28.35" hidden="false" customHeight="false" outlineLevel="0" collapsed="false">
      <c r="A90" s="6" t="s">
        <v>694</v>
      </c>
      <c r="B90" s="6" t="s">
        <v>60</v>
      </c>
      <c r="C90" s="6" t="s">
        <v>695</v>
      </c>
      <c r="D90" s="17" t="n">
        <v>5000</v>
      </c>
      <c r="E90" s="16" t="s">
        <v>395</v>
      </c>
      <c r="F90" s="6" t="s">
        <v>121</v>
      </c>
      <c r="G90" s="6" t="s">
        <v>696</v>
      </c>
      <c r="H90" s="6"/>
      <c r="I90" s="6" t="s">
        <v>597</v>
      </c>
    </row>
    <row r="91" customFormat="false" ht="28.35" hidden="false" customHeight="false" outlineLevel="0" collapsed="false">
      <c r="A91" s="6" t="s">
        <v>697</v>
      </c>
      <c r="B91" s="6" t="s">
        <v>60</v>
      </c>
      <c r="C91" s="6" t="s">
        <v>698</v>
      </c>
      <c r="D91" s="17" t="n">
        <v>650</v>
      </c>
      <c r="E91" s="16" t="s">
        <v>395</v>
      </c>
      <c r="F91" s="6" t="s">
        <v>121</v>
      </c>
      <c r="G91" s="6" t="s">
        <v>696</v>
      </c>
      <c r="H91" s="6"/>
      <c r="I91" s="6" t="s">
        <v>597</v>
      </c>
    </row>
    <row r="92" customFormat="false" ht="162.65" hidden="false" customHeight="false" outlineLevel="0" collapsed="false">
      <c r="A92" s="6" t="s">
        <v>699</v>
      </c>
      <c r="B92" s="6" t="s">
        <v>60</v>
      </c>
      <c r="C92" s="6" t="s">
        <v>700</v>
      </c>
      <c r="D92" s="17" t="n">
        <f aca="false">TRUE()</f>
        <v>1</v>
      </c>
      <c r="E92" s="16" t="s">
        <v>395</v>
      </c>
      <c r="F92" s="6" t="s">
        <v>701</v>
      </c>
      <c r="G92" s="6" t="s">
        <v>702</v>
      </c>
      <c r="H92" s="6" t="s">
        <v>701</v>
      </c>
      <c r="I92" s="6" t="s">
        <v>597</v>
      </c>
    </row>
    <row r="93" customFormat="false" ht="55.2" hidden="false" customHeight="false" outlineLevel="0" collapsed="false">
      <c r="A93" s="6" t="s">
        <v>703</v>
      </c>
      <c r="B93" s="6" t="s">
        <v>60</v>
      </c>
      <c r="C93" s="6" t="s">
        <v>704</v>
      </c>
      <c r="D93" s="17" t="n">
        <v>70</v>
      </c>
      <c r="E93" s="16" t="s">
        <v>395</v>
      </c>
      <c r="F93" s="6" t="s">
        <v>705</v>
      </c>
      <c r="G93" s="6" t="s">
        <v>702</v>
      </c>
      <c r="H93" s="6" t="s">
        <v>705</v>
      </c>
      <c r="I93" s="6" t="s">
        <v>597</v>
      </c>
    </row>
    <row r="94" customFormat="false" ht="28.35" hidden="false" customHeight="false" outlineLevel="0" collapsed="false">
      <c r="A94" s="6" t="s">
        <v>706</v>
      </c>
      <c r="B94" s="6" t="s">
        <v>60</v>
      </c>
      <c r="C94" s="6" t="s">
        <v>707</v>
      </c>
      <c r="D94" s="17" t="n">
        <v>5000</v>
      </c>
      <c r="E94" s="16" t="s">
        <v>395</v>
      </c>
      <c r="F94" s="6" t="s">
        <v>121</v>
      </c>
      <c r="G94" s="6" t="s">
        <v>696</v>
      </c>
      <c r="H94" s="6"/>
      <c r="I94" s="6" t="s">
        <v>597</v>
      </c>
    </row>
    <row r="95" customFormat="false" ht="28.35" hidden="false" customHeight="false" outlineLevel="0" collapsed="false">
      <c r="A95" s="6" t="s">
        <v>708</v>
      </c>
      <c r="B95" s="6" t="s">
        <v>709</v>
      </c>
      <c r="C95" s="6" t="s">
        <v>710</v>
      </c>
      <c r="D95" s="6" t="s">
        <v>711</v>
      </c>
      <c r="E95" s="16" t="s">
        <v>395</v>
      </c>
      <c r="F95" s="6" t="s">
        <v>712</v>
      </c>
      <c r="G95" s="6" t="s">
        <v>713</v>
      </c>
      <c r="H95" s="6"/>
      <c r="I95" s="6" t="s">
        <v>597</v>
      </c>
    </row>
    <row r="96" customFormat="false" ht="28.35" hidden="false" customHeight="false" outlineLevel="0" collapsed="false">
      <c r="A96" s="6" t="s">
        <v>714</v>
      </c>
      <c r="B96" s="6" t="s">
        <v>709</v>
      </c>
      <c r="C96" s="6" t="s">
        <v>715</v>
      </c>
      <c r="D96" s="17" t="n">
        <v>115000</v>
      </c>
      <c r="E96" s="16" t="s">
        <v>395</v>
      </c>
      <c r="F96" s="6" t="s">
        <v>712</v>
      </c>
      <c r="G96" s="6" t="s">
        <v>713</v>
      </c>
      <c r="H96" s="6"/>
      <c r="I96" s="6" t="s">
        <v>597</v>
      </c>
    </row>
    <row r="97" customFormat="false" ht="28.35" hidden="false" customHeight="false" outlineLevel="0" collapsed="false">
      <c r="A97" s="6" t="s">
        <v>716</v>
      </c>
      <c r="B97" s="6" t="s">
        <v>709</v>
      </c>
      <c r="C97" s="6" t="s">
        <v>717</v>
      </c>
      <c r="D97" s="18" t="n">
        <v>0.25</v>
      </c>
      <c r="E97" s="16" t="s">
        <v>395</v>
      </c>
      <c r="F97" s="6" t="s">
        <v>718</v>
      </c>
      <c r="G97" s="6" t="s">
        <v>719</v>
      </c>
      <c r="H97" s="6"/>
      <c r="I97" s="6" t="s">
        <v>597</v>
      </c>
    </row>
    <row r="98" customFormat="false" ht="28.35" hidden="false" customHeight="false" outlineLevel="0" collapsed="false">
      <c r="A98" s="6" t="s">
        <v>720</v>
      </c>
      <c r="B98" s="6" t="s">
        <v>709</v>
      </c>
      <c r="C98" s="6" t="s">
        <v>721</v>
      </c>
      <c r="D98" s="17" t="n">
        <v>200000</v>
      </c>
      <c r="E98" s="16" t="s">
        <v>395</v>
      </c>
      <c r="F98" s="6" t="s">
        <v>722</v>
      </c>
      <c r="G98" s="6" t="s">
        <v>719</v>
      </c>
      <c r="H98" s="6"/>
      <c r="I98" s="6" t="s">
        <v>597</v>
      </c>
    </row>
    <row r="99" customFormat="false" ht="28.35" hidden="false" customHeight="false" outlineLevel="0" collapsed="false">
      <c r="A99" s="6" t="s">
        <v>723</v>
      </c>
      <c r="B99" s="6" t="s">
        <v>709</v>
      </c>
      <c r="C99" s="6" t="s">
        <v>724</v>
      </c>
      <c r="D99" s="17" t="n">
        <v>500000</v>
      </c>
      <c r="E99" s="16" t="s">
        <v>395</v>
      </c>
      <c r="F99" s="6" t="s">
        <v>725</v>
      </c>
      <c r="G99" s="6" t="s">
        <v>719</v>
      </c>
      <c r="H99" s="6"/>
      <c r="I99" s="6" t="s">
        <v>597</v>
      </c>
    </row>
    <row r="100" customFormat="false" ht="28.35" hidden="false" customHeight="false" outlineLevel="0" collapsed="false">
      <c r="A100" s="6" t="s">
        <v>726</v>
      </c>
      <c r="B100" s="6" t="s">
        <v>709</v>
      </c>
      <c r="C100" s="6" t="s">
        <v>727</v>
      </c>
      <c r="D100" s="18" t="n">
        <v>0.2</v>
      </c>
      <c r="E100" s="16" t="s">
        <v>395</v>
      </c>
      <c r="F100" s="6" t="s">
        <v>718</v>
      </c>
      <c r="G100" s="6" t="s">
        <v>719</v>
      </c>
      <c r="H100" s="6"/>
      <c r="I100" s="6" t="s">
        <v>597</v>
      </c>
    </row>
    <row r="101" customFormat="false" ht="41.75" hidden="false" customHeight="false" outlineLevel="0" collapsed="false">
      <c r="A101" s="6" t="s">
        <v>728</v>
      </c>
      <c r="B101" s="6" t="s">
        <v>709</v>
      </c>
      <c r="C101" s="6" t="s">
        <v>729</v>
      </c>
      <c r="D101" s="6" t="s">
        <v>730</v>
      </c>
      <c r="E101" s="16" t="s">
        <v>395</v>
      </c>
      <c r="F101" s="6" t="s">
        <v>640</v>
      </c>
      <c r="G101" s="6" t="s">
        <v>731</v>
      </c>
      <c r="H101" s="6"/>
      <c r="I101" s="6" t="s">
        <v>597</v>
      </c>
    </row>
    <row r="102" customFormat="false" ht="41.75" hidden="false" customHeight="false" outlineLevel="0" collapsed="false">
      <c r="A102" s="6" t="s">
        <v>732</v>
      </c>
      <c r="B102" s="6" t="s">
        <v>709</v>
      </c>
      <c r="C102" s="6" t="s">
        <v>733</v>
      </c>
      <c r="D102" s="18" t="n">
        <v>0.4</v>
      </c>
      <c r="E102" s="16" t="s">
        <v>395</v>
      </c>
      <c r="F102" s="6" t="s">
        <v>659</v>
      </c>
      <c r="G102" s="6" t="s">
        <v>731</v>
      </c>
      <c r="H102" s="6"/>
      <c r="I102" s="6" t="s">
        <v>597</v>
      </c>
    </row>
    <row r="103" customFormat="false" ht="41.75" hidden="false" customHeight="false" outlineLevel="0" collapsed="false">
      <c r="A103" s="6" t="s">
        <v>734</v>
      </c>
      <c r="B103" s="6" t="s">
        <v>709</v>
      </c>
      <c r="C103" s="6" t="s">
        <v>735</v>
      </c>
      <c r="D103" s="18" t="n">
        <v>0.04</v>
      </c>
      <c r="E103" s="16" t="s">
        <v>395</v>
      </c>
      <c r="F103" s="6" t="s">
        <v>659</v>
      </c>
      <c r="G103" s="6" t="s">
        <v>736</v>
      </c>
      <c r="H103" s="6"/>
      <c r="I103" s="6" t="s">
        <v>597</v>
      </c>
    </row>
    <row r="104" customFormat="false" ht="41.75" hidden="false" customHeight="false" outlineLevel="0" collapsed="false">
      <c r="A104" s="6" t="s">
        <v>737</v>
      </c>
      <c r="B104" s="6" t="s">
        <v>709</v>
      </c>
      <c r="C104" s="6" t="s">
        <v>738</v>
      </c>
      <c r="D104" s="18" t="n">
        <v>0.05</v>
      </c>
      <c r="E104" s="16" t="s">
        <v>395</v>
      </c>
      <c r="F104" s="6" t="s">
        <v>659</v>
      </c>
      <c r="G104" s="6" t="s">
        <v>736</v>
      </c>
      <c r="H104" s="6"/>
      <c r="I104" s="6" t="s">
        <v>597</v>
      </c>
    </row>
    <row r="105" customFormat="false" ht="41.75" hidden="false" customHeight="false" outlineLevel="0" collapsed="false">
      <c r="A105" s="6" t="s">
        <v>739</v>
      </c>
      <c r="B105" s="6" t="s">
        <v>709</v>
      </c>
      <c r="C105" s="6" t="s">
        <v>740</v>
      </c>
      <c r="D105" s="18" t="n">
        <v>0.06</v>
      </c>
      <c r="E105" s="16" t="s">
        <v>395</v>
      </c>
      <c r="F105" s="6" t="s">
        <v>659</v>
      </c>
      <c r="G105" s="6" t="s">
        <v>736</v>
      </c>
      <c r="H105" s="6"/>
      <c r="I105" s="6" t="s">
        <v>597</v>
      </c>
    </row>
    <row r="106" customFormat="false" ht="41.75" hidden="false" customHeight="false" outlineLevel="0" collapsed="false">
      <c r="A106" s="6" t="s">
        <v>741</v>
      </c>
      <c r="B106" s="6" t="s">
        <v>709</v>
      </c>
      <c r="C106" s="6" t="s">
        <v>742</v>
      </c>
      <c r="D106" s="17" t="n">
        <v>2000000</v>
      </c>
      <c r="E106" s="16" t="s">
        <v>395</v>
      </c>
      <c r="F106" s="6" t="s">
        <v>659</v>
      </c>
      <c r="G106" s="6" t="s">
        <v>736</v>
      </c>
      <c r="H106" s="6"/>
      <c r="I106" s="6" t="s">
        <v>597</v>
      </c>
    </row>
    <row r="107" customFormat="false" ht="28.35" hidden="false" customHeight="false" outlineLevel="0" collapsed="false">
      <c r="A107" s="6" t="s">
        <v>743</v>
      </c>
      <c r="B107" s="6" t="s">
        <v>709</v>
      </c>
      <c r="C107" s="6" t="s">
        <v>744</v>
      </c>
      <c r="D107" s="17" t="n">
        <v>60</v>
      </c>
      <c r="E107" s="16" t="s">
        <v>395</v>
      </c>
      <c r="F107" s="6" t="s">
        <v>745</v>
      </c>
      <c r="G107" s="6" t="s">
        <v>746</v>
      </c>
      <c r="H107" s="6"/>
      <c r="I107" s="6" t="s">
        <v>597</v>
      </c>
    </row>
    <row r="108" customFormat="false" ht="41.75" hidden="false" customHeight="false" outlineLevel="0" collapsed="false">
      <c r="A108" s="6" t="s">
        <v>747</v>
      </c>
      <c r="B108" s="6" t="s">
        <v>748</v>
      </c>
      <c r="C108" s="6" t="s">
        <v>749</v>
      </c>
      <c r="D108" s="17" t="n">
        <v>2026</v>
      </c>
      <c r="E108" s="16" t="s">
        <v>395</v>
      </c>
      <c r="F108" s="6" t="s">
        <v>640</v>
      </c>
      <c r="G108" s="6" t="s">
        <v>750</v>
      </c>
      <c r="H108" s="6"/>
      <c r="I108" s="6" t="s">
        <v>597</v>
      </c>
    </row>
    <row r="109" customFormat="false" ht="41.75" hidden="false" customHeight="false" outlineLevel="0" collapsed="false">
      <c r="A109" s="6" t="s">
        <v>751</v>
      </c>
      <c r="B109" s="6" t="s">
        <v>748</v>
      </c>
      <c r="C109" s="6" t="s">
        <v>752</v>
      </c>
      <c r="D109" s="17" t="n">
        <v>23</v>
      </c>
      <c r="E109" s="16" t="s">
        <v>395</v>
      </c>
      <c r="F109" s="6" t="s">
        <v>640</v>
      </c>
      <c r="G109" s="6" t="s">
        <v>750</v>
      </c>
      <c r="H109" s="6"/>
      <c r="I109" s="6" t="s">
        <v>597</v>
      </c>
    </row>
    <row r="110" customFormat="false" ht="41.75" hidden="false" customHeight="false" outlineLevel="0" collapsed="false">
      <c r="A110" s="6" t="s">
        <v>753</v>
      </c>
      <c r="B110" s="6" t="s">
        <v>748</v>
      </c>
      <c r="C110" s="6" t="s">
        <v>754</v>
      </c>
      <c r="D110" s="17" t="n">
        <v>60</v>
      </c>
      <c r="E110" s="16" t="s">
        <v>395</v>
      </c>
      <c r="F110" s="6" t="s">
        <v>640</v>
      </c>
      <c r="G110" s="6" t="s">
        <v>750</v>
      </c>
      <c r="H110" s="6"/>
      <c r="I110" s="6" t="s">
        <v>597</v>
      </c>
    </row>
    <row r="111" customFormat="false" ht="41.75" hidden="false" customHeight="false" outlineLevel="0" collapsed="false">
      <c r="A111" s="6" t="s">
        <v>755</v>
      </c>
      <c r="B111" s="6" t="s">
        <v>748</v>
      </c>
      <c r="C111" s="6" t="s">
        <v>756</v>
      </c>
      <c r="D111" s="17" t="n">
        <v>20000</v>
      </c>
      <c r="E111" s="16" t="s">
        <v>395</v>
      </c>
      <c r="F111" s="6" t="s">
        <v>640</v>
      </c>
      <c r="G111" s="6" t="s">
        <v>750</v>
      </c>
      <c r="H111" s="6"/>
      <c r="I111" s="6" t="s">
        <v>597</v>
      </c>
    </row>
    <row r="112" customFormat="false" ht="41.75" hidden="false" customHeight="false" outlineLevel="0" collapsed="false">
      <c r="A112" s="6" t="s">
        <v>757</v>
      </c>
      <c r="B112" s="6" t="s">
        <v>748</v>
      </c>
      <c r="C112" s="6" t="s">
        <v>758</v>
      </c>
      <c r="D112" s="17" t="n">
        <v>80000</v>
      </c>
      <c r="E112" s="16" t="s">
        <v>395</v>
      </c>
      <c r="F112" s="6" t="s">
        <v>640</v>
      </c>
      <c r="G112" s="6" t="s">
        <v>750</v>
      </c>
      <c r="H112" s="6"/>
      <c r="I112" s="6" t="s">
        <v>597</v>
      </c>
    </row>
    <row r="113" customFormat="false" ht="41.75" hidden="false" customHeight="false" outlineLevel="0" collapsed="false">
      <c r="A113" s="6" t="s">
        <v>759</v>
      </c>
      <c r="B113" s="6" t="s">
        <v>748</v>
      </c>
      <c r="C113" s="6" t="s">
        <v>760</v>
      </c>
      <c r="D113" s="18" t="n">
        <v>0.015</v>
      </c>
      <c r="E113" s="16" t="s">
        <v>395</v>
      </c>
      <c r="F113" s="6" t="s">
        <v>761</v>
      </c>
      <c r="G113" s="6" t="s">
        <v>750</v>
      </c>
      <c r="H113" s="6"/>
      <c r="I113" s="6" t="s">
        <v>597</v>
      </c>
    </row>
    <row r="114" customFormat="false" ht="41.75" hidden="false" customHeight="false" outlineLevel="0" collapsed="false">
      <c r="A114" s="6" t="s">
        <v>762</v>
      </c>
      <c r="B114" s="6" t="s">
        <v>748</v>
      </c>
      <c r="C114" s="6" t="s">
        <v>763</v>
      </c>
      <c r="D114" s="18" t="n">
        <v>0.015</v>
      </c>
      <c r="E114" s="16" t="s">
        <v>395</v>
      </c>
      <c r="F114" s="6" t="s">
        <v>761</v>
      </c>
      <c r="G114" s="6" t="s">
        <v>750</v>
      </c>
      <c r="H114" s="6"/>
      <c r="I114" s="6" t="s">
        <v>597</v>
      </c>
    </row>
    <row r="115" customFormat="false" ht="41.75" hidden="false" customHeight="false" outlineLevel="0" collapsed="false">
      <c r="A115" s="6" t="s">
        <v>764</v>
      </c>
      <c r="B115" s="6" t="s">
        <v>748</v>
      </c>
      <c r="C115" s="6" t="s">
        <v>765</v>
      </c>
      <c r="D115" s="18" t="n">
        <v>0.005</v>
      </c>
      <c r="E115" s="16" t="s">
        <v>395</v>
      </c>
      <c r="F115" s="6" t="s">
        <v>761</v>
      </c>
      <c r="G115" s="6" t="s">
        <v>750</v>
      </c>
      <c r="H115" s="6"/>
      <c r="I115" s="6" t="s">
        <v>597</v>
      </c>
    </row>
    <row r="116" customFormat="false" ht="28.35" hidden="false" customHeight="false" outlineLevel="0" collapsed="false">
      <c r="A116" s="6" t="s">
        <v>766</v>
      </c>
      <c r="B116" s="6" t="s">
        <v>767</v>
      </c>
      <c r="C116" s="6" t="s">
        <v>768</v>
      </c>
      <c r="D116" s="19" t="n">
        <v>299.3</v>
      </c>
      <c r="E116" s="16" t="s">
        <v>395</v>
      </c>
      <c r="F116" s="6" t="s">
        <v>769</v>
      </c>
      <c r="G116" s="6" t="s">
        <v>770</v>
      </c>
      <c r="H116" s="6" t="s">
        <v>771</v>
      </c>
      <c r="I116" s="6" t="s">
        <v>597</v>
      </c>
    </row>
    <row r="117" customFormat="false" ht="28.35" hidden="false" customHeight="false" outlineLevel="0" collapsed="false">
      <c r="A117" s="6" t="s">
        <v>772</v>
      </c>
      <c r="B117" s="6" t="s">
        <v>767</v>
      </c>
      <c r="C117" s="6" t="s">
        <v>773</v>
      </c>
      <c r="D117" s="17" t="n">
        <v>66</v>
      </c>
      <c r="E117" s="16" t="s">
        <v>395</v>
      </c>
      <c r="F117" s="6" t="s">
        <v>659</v>
      </c>
      <c r="G117" s="6" t="s">
        <v>774</v>
      </c>
      <c r="H117" s="6"/>
      <c r="I117" s="6" t="s">
        <v>597</v>
      </c>
    </row>
    <row r="118" customFormat="false" ht="28.35" hidden="false" customHeight="false" outlineLevel="0" collapsed="false">
      <c r="A118" s="6" t="s">
        <v>775</v>
      </c>
      <c r="B118" s="6" t="s">
        <v>767</v>
      </c>
      <c r="C118" s="6" t="s">
        <v>776</v>
      </c>
      <c r="D118" s="17" t="n">
        <v>10</v>
      </c>
      <c r="E118" s="16" t="s">
        <v>395</v>
      </c>
      <c r="F118" s="6" t="s">
        <v>121</v>
      </c>
      <c r="G118" s="6" t="s">
        <v>777</v>
      </c>
      <c r="H118" s="6"/>
      <c r="I118" s="6" t="s">
        <v>597</v>
      </c>
    </row>
    <row r="119" customFormat="false" ht="55.2" hidden="false" customHeight="false" outlineLevel="0" collapsed="false">
      <c r="A119" s="6" t="s">
        <v>778</v>
      </c>
      <c r="B119" s="6" t="s">
        <v>767</v>
      </c>
      <c r="C119" s="6" t="s">
        <v>779</v>
      </c>
      <c r="D119" s="19" t="n">
        <v>268.4</v>
      </c>
      <c r="E119" s="16" t="s">
        <v>395</v>
      </c>
      <c r="F119" s="6" t="s">
        <v>640</v>
      </c>
      <c r="G119" s="6" t="s">
        <v>777</v>
      </c>
      <c r="H119" s="6" t="s">
        <v>780</v>
      </c>
      <c r="I119" s="6" t="s">
        <v>597</v>
      </c>
    </row>
    <row r="120" customFormat="false" ht="55.2" hidden="false" customHeight="false" outlineLevel="0" collapsed="false">
      <c r="A120" s="6" t="s">
        <v>781</v>
      </c>
      <c r="B120" s="6" t="s">
        <v>767</v>
      </c>
      <c r="C120" s="6" t="s">
        <v>782</v>
      </c>
      <c r="D120" s="19" t="n">
        <v>199.4</v>
      </c>
      <c r="E120" s="16" t="s">
        <v>395</v>
      </c>
      <c r="F120" s="6" t="s">
        <v>640</v>
      </c>
      <c r="G120" s="6" t="s">
        <v>783</v>
      </c>
      <c r="H120" s="6" t="s">
        <v>784</v>
      </c>
      <c r="I120" s="6" t="s">
        <v>597</v>
      </c>
    </row>
    <row r="121" customFormat="false" ht="41.75" hidden="false" customHeight="false" outlineLevel="0" collapsed="false">
      <c r="A121" s="6" t="s">
        <v>785</v>
      </c>
      <c r="B121" s="6" t="s">
        <v>767</v>
      </c>
      <c r="C121" s="6" t="s">
        <v>786</v>
      </c>
      <c r="D121" s="17" t="n">
        <v>40</v>
      </c>
      <c r="E121" s="16" t="s">
        <v>395</v>
      </c>
      <c r="F121" s="6" t="s">
        <v>659</v>
      </c>
      <c r="G121" s="6" t="s">
        <v>787</v>
      </c>
      <c r="H121" s="6"/>
      <c r="I121" s="6" t="s">
        <v>597</v>
      </c>
    </row>
    <row r="122" customFormat="false" ht="41.75" hidden="false" customHeight="false" outlineLevel="0" collapsed="false">
      <c r="A122" s="6" t="s">
        <v>788</v>
      </c>
      <c r="B122" s="6" t="s">
        <v>767</v>
      </c>
      <c r="C122" s="6" t="s">
        <v>789</v>
      </c>
      <c r="D122" s="17" t="n">
        <v>10</v>
      </c>
      <c r="E122" s="16" t="s">
        <v>395</v>
      </c>
      <c r="F122" s="6" t="s">
        <v>659</v>
      </c>
      <c r="G122" s="6" t="s">
        <v>787</v>
      </c>
      <c r="H122" s="6"/>
      <c r="I122" s="6" t="s">
        <v>597</v>
      </c>
    </row>
    <row r="123" customFormat="false" ht="55.2" hidden="false" customHeight="false" outlineLevel="0" collapsed="false">
      <c r="A123" s="6" t="s">
        <v>790</v>
      </c>
      <c r="B123" s="6" t="s">
        <v>767</v>
      </c>
      <c r="C123" s="6" t="s">
        <v>791</v>
      </c>
      <c r="D123" s="17" t="n">
        <v>254</v>
      </c>
      <c r="E123" s="16" t="s">
        <v>395</v>
      </c>
      <c r="F123" s="6" t="s">
        <v>640</v>
      </c>
      <c r="G123" s="6" t="s">
        <v>783</v>
      </c>
      <c r="H123" s="6" t="s">
        <v>792</v>
      </c>
      <c r="I123" s="6" t="s">
        <v>597</v>
      </c>
    </row>
    <row r="124" customFormat="false" ht="55.2" hidden="false" customHeight="false" outlineLevel="0" collapsed="false">
      <c r="A124" s="6" t="s">
        <v>793</v>
      </c>
      <c r="B124" s="6" t="s">
        <v>767</v>
      </c>
      <c r="C124" s="6" t="s">
        <v>794</v>
      </c>
      <c r="D124" s="19" t="n">
        <v>259.5</v>
      </c>
      <c r="E124" s="16" t="s">
        <v>395</v>
      </c>
      <c r="F124" s="6" t="s">
        <v>640</v>
      </c>
      <c r="G124" s="6" t="s">
        <v>795</v>
      </c>
      <c r="H124" s="6" t="s">
        <v>796</v>
      </c>
      <c r="I124" s="6" t="s">
        <v>597</v>
      </c>
    </row>
    <row r="125" customFormat="false" ht="55.2" hidden="false" customHeight="false" outlineLevel="0" collapsed="false">
      <c r="A125" s="6" t="s">
        <v>797</v>
      </c>
      <c r="B125" s="6" t="s">
        <v>767</v>
      </c>
      <c r="C125" s="6" t="s">
        <v>798</v>
      </c>
      <c r="D125" s="19" t="n">
        <v>299.3</v>
      </c>
      <c r="E125" s="16" t="s">
        <v>395</v>
      </c>
      <c r="F125" s="6" t="s">
        <v>640</v>
      </c>
      <c r="G125" s="6" t="s">
        <v>795</v>
      </c>
      <c r="H125" s="6" t="s">
        <v>799</v>
      </c>
      <c r="I125" s="6" t="s">
        <v>597</v>
      </c>
    </row>
    <row r="126" customFormat="false" ht="15" hidden="false" customHeight="false" outlineLevel="0" collapsed="false">
      <c r="A126" s="6" t="s">
        <v>800</v>
      </c>
      <c r="B126" s="6" t="s">
        <v>767</v>
      </c>
      <c r="C126" s="6" t="s">
        <v>801</v>
      </c>
      <c r="D126" s="17" t="n">
        <v>52</v>
      </c>
      <c r="E126" s="6" t="s">
        <v>802</v>
      </c>
      <c r="F126" s="6" t="s">
        <v>284</v>
      </c>
      <c r="G126" s="6" t="s">
        <v>803</v>
      </c>
      <c r="H126" s="6"/>
      <c r="I126" s="6" t="s">
        <v>597</v>
      </c>
    </row>
    <row r="127" customFormat="false" ht="68.65" hidden="false" customHeight="false" outlineLevel="0" collapsed="false">
      <c r="A127" s="6" t="s">
        <v>804</v>
      </c>
      <c r="B127" s="6" t="s">
        <v>767</v>
      </c>
      <c r="C127" s="6" t="s">
        <v>805</v>
      </c>
      <c r="D127" s="17" t="n">
        <v>310</v>
      </c>
      <c r="E127" s="6" t="s">
        <v>806</v>
      </c>
      <c r="F127" s="6" t="s">
        <v>807</v>
      </c>
      <c r="G127" s="6" t="s">
        <v>808</v>
      </c>
      <c r="H127" s="6" t="s">
        <v>809</v>
      </c>
      <c r="I127" s="6" t="s">
        <v>597</v>
      </c>
    </row>
    <row r="128" customFormat="false" ht="55.2" hidden="false" customHeight="false" outlineLevel="0" collapsed="false">
      <c r="A128" s="6" t="s">
        <v>810</v>
      </c>
      <c r="B128" s="6" t="s">
        <v>767</v>
      </c>
      <c r="C128" s="6" t="s">
        <v>811</v>
      </c>
      <c r="D128" s="17" t="n">
        <v>288</v>
      </c>
      <c r="E128" s="16" t="s">
        <v>395</v>
      </c>
      <c r="F128" s="6" t="s">
        <v>812</v>
      </c>
      <c r="G128" s="6" t="s">
        <v>813</v>
      </c>
      <c r="H128" s="6" t="s">
        <v>814</v>
      </c>
      <c r="I128" s="6" t="s">
        <v>597</v>
      </c>
    </row>
    <row r="129" customFormat="false" ht="55.2" hidden="false" customHeight="false" outlineLevel="0" collapsed="false">
      <c r="A129" s="6" t="s">
        <v>815</v>
      </c>
      <c r="B129" s="6" t="s">
        <v>767</v>
      </c>
      <c r="C129" s="6" t="s">
        <v>816</v>
      </c>
      <c r="D129" s="19" t="n">
        <v>168.6</v>
      </c>
      <c r="E129" s="16" t="s">
        <v>395</v>
      </c>
      <c r="F129" s="6" t="s">
        <v>812</v>
      </c>
      <c r="G129" s="6" t="s">
        <v>813</v>
      </c>
      <c r="H129" s="6" t="s">
        <v>817</v>
      </c>
      <c r="I129" s="6" t="s">
        <v>597</v>
      </c>
    </row>
    <row r="130" customFormat="false" ht="28.35" hidden="false" customHeight="false" outlineLevel="0" collapsed="false">
      <c r="A130" s="6" t="s">
        <v>818</v>
      </c>
      <c r="B130" s="6" t="s">
        <v>819</v>
      </c>
      <c r="C130" s="6" t="s">
        <v>820</v>
      </c>
      <c r="D130" s="18" t="n">
        <v>0.33</v>
      </c>
      <c r="E130" s="16" t="s">
        <v>395</v>
      </c>
      <c r="F130" s="6" t="s">
        <v>121</v>
      </c>
      <c r="G130" s="6" t="s">
        <v>821</v>
      </c>
      <c r="H130" s="6"/>
      <c r="I130" s="6" t="s">
        <v>822</v>
      </c>
    </row>
    <row r="131" customFormat="false" ht="55.2" hidden="false" customHeight="false" outlineLevel="0" collapsed="false">
      <c r="A131" s="6" t="s">
        <v>823</v>
      </c>
      <c r="B131" s="6" t="s">
        <v>819</v>
      </c>
      <c r="C131" s="6" t="s">
        <v>824</v>
      </c>
      <c r="D131" s="18" t="n">
        <v>0.38</v>
      </c>
      <c r="E131" s="16" t="s">
        <v>395</v>
      </c>
      <c r="F131" s="6" t="s">
        <v>594</v>
      </c>
      <c r="G131" s="6" t="s">
        <v>595</v>
      </c>
      <c r="H131" s="6" t="s">
        <v>825</v>
      </c>
      <c r="I131" s="6" t="s">
        <v>487</v>
      </c>
    </row>
    <row r="132" customFormat="false" ht="15" hidden="false" customHeight="false" outlineLevel="0" collapsed="false">
      <c r="A132" s="6" t="s">
        <v>826</v>
      </c>
      <c r="B132" s="6" t="s">
        <v>819</v>
      </c>
      <c r="C132" s="6" t="s">
        <v>827</v>
      </c>
      <c r="D132" s="17" t="n">
        <v>8</v>
      </c>
      <c r="E132" s="16" t="s">
        <v>395</v>
      </c>
      <c r="F132" s="6" t="s">
        <v>121</v>
      </c>
      <c r="G132" s="6" t="s">
        <v>828</v>
      </c>
      <c r="H132" s="6"/>
      <c r="I132" s="6" t="s">
        <v>829</v>
      </c>
    </row>
    <row r="133" customFormat="false" ht="55.2" hidden="false" customHeight="false" outlineLevel="0" collapsed="false">
      <c r="A133" s="6" t="s">
        <v>830</v>
      </c>
      <c r="B133" s="6" t="s">
        <v>819</v>
      </c>
      <c r="C133" s="6" t="s">
        <v>831</v>
      </c>
      <c r="D133" s="18" t="n">
        <v>0.31</v>
      </c>
      <c r="E133" s="6" t="s">
        <v>806</v>
      </c>
      <c r="F133" s="6" t="s">
        <v>832</v>
      </c>
      <c r="G133" s="6" t="s">
        <v>833</v>
      </c>
      <c r="H133" s="6"/>
      <c r="I133" s="6" t="s">
        <v>487</v>
      </c>
    </row>
    <row r="134" customFormat="false" ht="28.35" hidden="false" customHeight="false" outlineLevel="0" collapsed="false">
      <c r="A134" s="6" t="s">
        <v>834</v>
      </c>
      <c r="B134" s="6" t="s">
        <v>819</v>
      </c>
      <c r="C134" s="6" t="s">
        <v>835</v>
      </c>
      <c r="D134" s="18" t="n">
        <v>0.33</v>
      </c>
      <c r="E134" s="6" t="s">
        <v>806</v>
      </c>
      <c r="F134" s="6" t="s">
        <v>836</v>
      </c>
      <c r="G134" s="6" t="s">
        <v>833</v>
      </c>
      <c r="H134" s="6"/>
      <c r="I134" s="6" t="s">
        <v>487</v>
      </c>
    </row>
    <row r="135" customFormat="false" ht="28.35" hidden="false" customHeight="false" outlineLevel="0" collapsed="false">
      <c r="A135" s="6" t="s">
        <v>837</v>
      </c>
      <c r="B135" s="6" t="s">
        <v>819</v>
      </c>
      <c r="C135" s="6" t="s">
        <v>838</v>
      </c>
      <c r="D135" s="6" t="s">
        <v>839</v>
      </c>
      <c r="E135" s="6" t="s">
        <v>806</v>
      </c>
      <c r="F135" s="6" t="s">
        <v>840</v>
      </c>
      <c r="G135" s="6" t="s">
        <v>833</v>
      </c>
      <c r="H135" s="6"/>
      <c r="I135" s="6" t="s">
        <v>487</v>
      </c>
    </row>
    <row r="136" customFormat="false" ht="28.35" hidden="false" customHeight="false" outlineLevel="0" collapsed="false">
      <c r="A136" s="6" t="s">
        <v>841</v>
      </c>
      <c r="B136" s="6" t="s">
        <v>819</v>
      </c>
      <c r="C136" s="6" t="s">
        <v>842</v>
      </c>
      <c r="D136" s="18" t="n">
        <v>0.33</v>
      </c>
      <c r="E136" s="16" t="s">
        <v>395</v>
      </c>
      <c r="F136" s="6" t="s">
        <v>843</v>
      </c>
      <c r="G136" s="6" t="s">
        <v>833</v>
      </c>
      <c r="H136" s="6"/>
      <c r="I136" s="6" t="s">
        <v>597</v>
      </c>
    </row>
    <row r="137" customFormat="false" ht="122.35" hidden="false" customHeight="false" outlineLevel="0" collapsed="false">
      <c r="A137" s="6" t="s">
        <v>844</v>
      </c>
      <c r="B137" s="6" t="s">
        <v>819</v>
      </c>
      <c r="C137" s="6" t="s">
        <v>845</v>
      </c>
      <c r="D137" s="17" t="n">
        <v>1270</v>
      </c>
      <c r="E137" s="16" t="s">
        <v>395</v>
      </c>
      <c r="F137" s="6" t="s">
        <v>846</v>
      </c>
      <c r="G137" s="6" t="s">
        <v>847</v>
      </c>
      <c r="H137" s="6"/>
      <c r="I137" s="6" t="s">
        <v>487</v>
      </c>
    </row>
    <row r="138" customFormat="false" ht="55.2" hidden="false" customHeight="false" outlineLevel="0" collapsed="false">
      <c r="A138" s="6" t="s">
        <v>848</v>
      </c>
      <c r="B138" s="6" t="s">
        <v>819</v>
      </c>
      <c r="C138" s="6" t="s">
        <v>849</v>
      </c>
      <c r="D138" s="17" t="n">
        <v>420000</v>
      </c>
      <c r="E138" s="16" t="s">
        <v>395</v>
      </c>
      <c r="F138" s="6" t="s">
        <v>850</v>
      </c>
      <c r="G138" s="6" t="s">
        <v>595</v>
      </c>
      <c r="H138" s="6"/>
      <c r="I138" s="6" t="s">
        <v>597</v>
      </c>
    </row>
    <row r="139" customFormat="false" ht="41.75" hidden="false" customHeight="false" outlineLevel="0" collapsed="false">
      <c r="A139" s="6" t="s">
        <v>851</v>
      </c>
      <c r="B139" s="6" t="s">
        <v>852</v>
      </c>
      <c r="C139" s="6" t="s">
        <v>853</v>
      </c>
      <c r="D139" s="17" t="n">
        <v>4</v>
      </c>
      <c r="E139" s="16" t="s">
        <v>395</v>
      </c>
      <c r="F139" s="6" t="s">
        <v>854</v>
      </c>
      <c r="G139" s="6" t="s">
        <v>855</v>
      </c>
      <c r="H139" s="6"/>
      <c r="I139" s="6" t="s">
        <v>597</v>
      </c>
    </row>
    <row r="140" customFormat="false" ht="41.75" hidden="false" customHeight="false" outlineLevel="0" collapsed="false">
      <c r="A140" s="6" t="s">
        <v>856</v>
      </c>
      <c r="B140" s="6" t="s">
        <v>852</v>
      </c>
      <c r="C140" s="6" t="s">
        <v>857</v>
      </c>
      <c r="D140" s="19" t="n">
        <v>3.5</v>
      </c>
      <c r="E140" s="16" t="s">
        <v>395</v>
      </c>
      <c r="F140" s="6" t="s">
        <v>854</v>
      </c>
      <c r="G140" s="6" t="s">
        <v>855</v>
      </c>
      <c r="H140" s="6"/>
      <c r="I140" s="6" t="s">
        <v>597</v>
      </c>
    </row>
    <row r="141" customFormat="false" ht="41.75" hidden="false" customHeight="false" outlineLevel="0" collapsed="false">
      <c r="A141" s="6" t="s">
        <v>858</v>
      </c>
      <c r="B141" s="6" t="s">
        <v>852</v>
      </c>
      <c r="C141" s="6" t="s">
        <v>859</v>
      </c>
      <c r="D141" s="18" t="n">
        <v>0.9</v>
      </c>
      <c r="E141" s="16" t="s">
        <v>395</v>
      </c>
      <c r="F141" s="6" t="s">
        <v>854</v>
      </c>
      <c r="G141" s="6" t="s">
        <v>855</v>
      </c>
      <c r="H141" s="6"/>
      <c r="I141" s="6" t="s">
        <v>597</v>
      </c>
    </row>
    <row r="142" customFormat="false" ht="28.35" hidden="false" customHeight="false" outlineLevel="0" collapsed="false">
      <c r="A142" s="6" t="s">
        <v>860</v>
      </c>
      <c r="B142" s="6" t="s">
        <v>852</v>
      </c>
      <c r="C142" s="6" t="s">
        <v>861</v>
      </c>
      <c r="D142" s="6" t="s">
        <v>862</v>
      </c>
      <c r="E142" s="16" t="s">
        <v>395</v>
      </c>
      <c r="F142" s="6" t="s">
        <v>863</v>
      </c>
      <c r="G142" s="6" t="s">
        <v>864</v>
      </c>
      <c r="H142" s="6"/>
      <c r="I142" s="6" t="s">
        <v>597</v>
      </c>
    </row>
    <row r="143" customFormat="false" ht="55.2" hidden="false" customHeight="false" outlineLevel="0" collapsed="false">
      <c r="A143" s="6" t="s">
        <v>865</v>
      </c>
      <c r="B143" s="6" t="s">
        <v>852</v>
      </c>
      <c r="C143" s="6" t="s">
        <v>866</v>
      </c>
      <c r="D143" s="17" t="n">
        <v>35000</v>
      </c>
      <c r="E143" s="6" t="s">
        <v>802</v>
      </c>
      <c r="F143" s="6" t="s">
        <v>867</v>
      </c>
      <c r="G143" s="6" t="s">
        <v>595</v>
      </c>
      <c r="H143" s="6"/>
      <c r="I143" s="6" t="s">
        <v>597</v>
      </c>
    </row>
    <row r="144" customFormat="false" ht="55.2" hidden="false" customHeight="false" outlineLevel="0" collapsed="false">
      <c r="A144" s="6" t="s">
        <v>868</v>
      </c>
      <c r="B144" s="6" t="s">
        <v>869</v>
      </c>
      <c r="C144" s="6" t="s">
        <v>870</v>
      </c>
      <c r="D144" s="18" t="n">
        <v>0.039</v>
      </c>
      <c r="E144" s="16" t="s">
        <v>395</v>
      </c>
      <c r="F144" s="6" t="s">
        <v>871</v>
      </c>
      <c r="G144" s="6" t="s">
        <v>872</v>
      </c>
      <c r="H144" s="6"/>
      <c r="I144" s="6" t="s">
        <v>597</v>
      </c>
    </row>
    <row r="145" customFormat="false" ht="15" hidden="false" customHeight="false" outlineLevel="0" collapsed="false">
      <c r="A145" s="6" t="s">
        <v>873</v>
      </c>
      <c r="B145" s="6" t="s">
        <v>869</v>
      </c>
      <c r="C145" s="6" t="s">
        <v>874</v>
      </c>
      <c r="D145" s="6" t="s">
        <v>875</v>
      </c>
      <c r="E145" s="16" t="s">
        <v>395</v>
      </c>
      <c r="F145" s="6" t="s">
        <v>876</v>
      </c>
      <c r="G145" s="6" t="s">
        <v>877</v>
      </c>
      <c r="H145" s="6"/>
      <c r="I145" s="6" t="s">
        <v>597</v>
      </c>
    </row>
    <row r="146" customFormat="false" ht="41.75" hidden="false" customHeight="false" outlineLevel="0" collapsed="false">
      <c r="A146" s="6" t="s">
        <v>878</v>
      </c>
      <c r="B146" s="6" t="s">
        <v>879</v>
      </c>
      <c r="C146" s="6" t="s">
        <v>880</v>
      </c>
      <c r="D146" s="18" t="n">
        <v>0.23</v>
      </c>
      <c r="E146" s="16" t="s">
        <v>395</v>
      </c>
      <c r="F146" s="6" t="s">
        <v>881</v>
      </c>
      <c r="G146" s="6" t="s">
        <v>882</v>
      </c>
      <c r="H146" s="6"/>
      <c r="I146" s="6" t="s">
        <v>597</v>
      </c>
    </row>
    <row r="147" customFormat="false" ht="28.35" hidden="false" customHeight="false" outlineLevel="0" collapsed="false">
      <c r="A147" s="6" t="s">
        <v>883</v>
      </c>
      <c r="B147" s="6" t="s">
        <v>879</v>
      </c>
      <c r="C147" s="6" t="s">
        <v>884</v>
      </c>
      <c r="D147" s="17" t="n">
        <v>50</v>
      </c>
      <c r="E147" s="16" t="s">
        <v>395</v>
      </c>
      <c r="F147" s="6" t="s">
        <v>659</v>
      </c>
      <c r="G147" s="6" t="s">
        <v>746</v>
      </c>
      <c r="H147" s="6"/>
      <c r="I147" s="6" t="s">
        <v>597</v>
      </c>
    </row>
    <row r="148" customFormat="false" ht="28.35" hidden="false" customHeight="false" outlineLevel="0" collapsed="false">
      <c r="A148" s="6" t="s">
        <v>885</v>
      </c>
      <c r="B148" s="6" t="s">
        <v>80</v>
      </c>
      <c r="C148" s="6" t="s">
        <v>886</v>
      </c>
      <c r="D148" s="17" t="n">
        <v>400000</v>
      </c>
      <c r="E148" s="16" t="s">
        <v>395</v>
      </c>
      <c r="F148" s="6" t="s">
        <v>887</v>
      </c>
      <c r="G148" s="6" t="s">
        <v>888</v>
      </c>
      <c r="H148" s="6" t="s">
        <v>889</v>
      </c>
      <c r="I148" s="6" t="s">
        <v>323</v>
      </c>
    </row>
    <row r="149" customFormat="false" ht="55.2" hidden="false" customHeight="false" outlineLevel="0" collapsed="false">
      <c r="A149" s="6" t="s">
        <v>890</v>
      </c>
      <c r="B149" s="6" t="s">
        <v>80</v>
      </c>
      <c r="C149" s="6" t="s">
        <v>891</v>
      </c>
      <c r="D149" s="17" t="n">
        <v>420000</v>
      </c>
      <c r="E149" s="16" t="s">
        <v>395</v>
      </c>
      <c r="F149" s="6" t="s">
        <v>892</v>
      </c>
      <c r="G149" s="6" t="s">
        <v>595</v>
      </c>
      <c r="H149" s="6" t="s">
        <v>893</v>
      </c>
      <c r="I149" s="6" t="s">
        <v>323</v>
      </c>
    </row>
    <row r="150" customFormat="false" ht="28.35" hidden="false" customHeight="false" outlineLevel="0" collapsed="false">
      <c r="A150" s="6" t="s">
        <v>894</v>
      </c>
      <c r="B150" s="6" t="s">
        <v>80</v>
      </c>
      <c r="C150" s="6" t="s">
        <v>895</v>
      </c>
      <c r="D150" s="17" t="n">
        <v>40000</v>
      </c>
      <c r="E150" s="16" t="s">
        <v>395</v>
      </c>
      <c r="F150" s="6" t="s">
        <v>887</v>
      </c>
      <c r="G150" s="6" t="s">
        <v>888</v>
      </c>
      <c r="H150" s="6" t="s">
        <v>896</v>
      </c>
      <c r="I150" s="6" t="s">
        <v>323</v>
      </c>
    </row>
    <row r="151" customFormat="false" ht="55.2" hidden="false" customHeight="false" outlineLevel="0" collapsed="false">
      <c r="A151" s="6" t="s">
        <v>897</v>
      </c>
      <c r="B151" s="6" t="s">
        <v>80</v>
      </c>
      <c r="C151" s="6" t="s">
        <v>898</v>
      </c>
      <c r="D151" s="17" t="n">
        <v>44000</v>
      </c>
      <c r="E151" s="16" t="s">
        <v>395</v>
      </c>
      <c r="F151" s="6" t="s">
        <v>892</v>
      </c>
      <c r="G151" s="6" t="s">
        <v>595</v>
      </c>
      <c r="H151" s="6" t="s">
        <v>899</v>
      </c>
      <c r="I151" s="6" t="s">
        <v>323</v>
      </c>
    </row>
    <row r="152" customFormat="false" ht="28.35" hidden="false" customHeight="false" outlineLevel="0" collapsed="false">
      <c r="A152" s="6" t="s">
        <v>900</v>
      </c>
      <c r="B152" s="6" t="s">
        <v>80</v>
      </c>
      <c r="C152" s="6" t="s">
        <v>901</v>
      </c>
      <c r="D152" s="17" t="n">
        <v>20000</v>
      </c>
      <c r="E152" s="16" t="s">
        <v>395</v>
      </c>
      <c r="F152" s="6" t="s">
        <v>887</v>
      </c>
      <c r="G152" s="6" t="s">
        <v>888</v>
      </c>
      <c r="H152" s="6" t="s">
        <v>896</v>
      </c>
      <c r="I152" s="6" t="s">
        <v>323</v>
      </c>
    </row>
    <row r="153" customFormat="false" ht="55.2" hidden="false" customHeight="false" outlineLevel="0" collapsed="false">
      <c r="A153" s="6" t="s">
        <v>902</v>
      </c>
      <c r="B153" s="6" t="s">
        <v>80</v>
      </c>
      <c r="C153" s="6" t="s">
        <v>903</v>
      </c>
      <c r="D153" s="17" t="n">
        <v>22000</v>
      </c>
      <c r="E153" s="16" t="s">
        <v>395</v>
      </c>
      <c r="F153" s="6" t="s">
        <v>892</v>
      </c>
      <c r="G153" s="6" t="s">
        <v>595</v>
      </c>
      <c r="H153" s="6" t="s">
        <v>904</v>
      </c>
      <c r="I153" s="6" t="s">
        <v>323</v>
      </c>
    </row>
    <row r="154" customFormat="false" ht="28.35" hidden="false" customHeight="false" outlineLevel="0" collapsed="false">
      <c r="A154" s="6" t="s">
        <v>905</v>
      </c>
      <c r="B154" s="6" t="s">
        <v>80</v>
      </c>
      <c r="C154" s="6" t="s">
        <v>906</v>
      </c>
      <c r="D154" s="18" t="n">
        <v>0.33</v>
      </c>
      <c r="E154" s="16" t="s">
        <v>395</v>
      </c>
      <c r="F154" s="6" t="s">
        <v>907</v>
      </c>
      <c r="G154" s="6" t="s">
        <v>888</v>
      </c>
      <c r="H154" s="6"/>
      <c r="I154" s="6" t="s">
        <v>323</v>
      </c>
    </row>
    <row r="155" customFormat="false" ht="28.35" hidden="false" customHeight="false" outlineLevel="0" collapsed="false">
      <c r="A155" s="6" t="s">
        <v>908</v>
      </c>
      <c r="B155" s="6" t="s">
        <v>80</v>
      </c>
      <c r="C155" s="6" t="s">
        <v>909</v>
      </c>
      <c r="D155" s="17" t="n">
        <v>3000</v>
      </c>
      <c r="E155" s="16" t="s">
        <v>395</v>
      </c>
      <c r="F155" s="6" t="s">
        <v>907</v>
      </c>
      <c r="G155" s="6" t="s">
        <v>888</v>
      </c>
      <c r="H155" s="6" t="s">
        <v>910</v>
      </c>
      <c r="I155" s="6" t="s">
        <v>323</v>
      </c>
    </row>
  </sheetData>
  <mergeCells count="2">
    <mergeCell ref="A2:J2"/>
    <mergeCell ref="A53:I53"/>
  </mergeCells>
  <dataValidations count="1">
    <dataValidation allowBlank="false" errorStyle="stop" operator="between" showDropDown="false" showErrorMessage="false" showInputMessage="false" sqref="A5" type="list">
      <formula1>$A$20:$A$47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U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6"/>
    <col collapsed="false" customWidth="true" hidden="false" outlineLevel="0" max="3" min="3" style="20" width="16"/>
    <col collapsed="false" customWidth="true" hidden="false" outlineLevel="0" max="4" min="4" style="20" width="12"/>
    <col collapsed="false" customWidth="true" hidden="false" outlineLevel="0" max="5" min="5" style="20" width="38"/>
    <col collapsed="false" customWidth="true" hidden="false" outlineLevel="0" max="7" min="6" style="20" width="16"/>
    <col collapsed="false" customWidth="true" hidden="false" outlineLevel="0" max="8" min="8" style="20" width="8"/>
    <col collapsed="false" customWidth="true" hidden="false" outlineLevel="0" max="9" min="9" style="20" width="40"/>
    <col collapsed="false" customWidth="true" hidden="false" outlineLevel="0" max="12" min="10" style="20" width="14"/>
  </cols>
  <sheetData>
    <row r="1" customFormat="false" ht="17.25" hidden="false" customHeight="true" outlineLevel="0" collapsed="false">
      <c r="B1" s="21" t="s">
        <v>911</v>
      </c>
    </row>
    <row r="2" customFormat="false" ht="61.5" hidden="false" customHeight="true" outlineLevel="0" collapsed="false">
      <c r="B2" s="2" t="s">
        <v>912</v>
      </c>
      <c r="C2" s="2"/>
      <c r="D2" s="2"/>
      <c r="E2" s="2"/>
      <c r="F2" s="2"/>
      <c r="G2" s="2"/>
      <c r="H2" s="2"/>
      <c r="I2" s="2"/>
    </row>
    <row r="3" customFormat="false" ht="30" hidden="false" customHeight="true" outlineLevel="0" collapsed="false">
      <c r="B3" s="22" t="str">
        <f aca="false">Warn_Goals</f>
        <v/>
      </c>
      <c r="C3" s="22"/>
      <c r="D3" s="22"/>
      <c r="E3" s="22"/>
      <c r="F3" s="22"/>
      <c r="G3" s="22"/>
      <c r="H3" s="22"/>
      <c r="I3" s="22"/>
    </row>
    <row r="4" customFormat="false" ht="15" hidden="false" customHeight="true" outlineLevel="0" collapsed="false">
      <c r="B4" s="23" t="s">
        <v>913</v>
      </c>
      <c r="C4" s="23" t="s">
        <v>914</v>
      </c>
      <c r="D4" s="23" t="s">
        <v>915</v>
      </c>
      <c r="E4" s="23" t="s">
        <v>916</v>
      </c>
      <c r="F4" s="23" t="s">
        <v>917</v>
      </c>
      <c r="G4" s="23" t="s">
        <v>918</v>
      </c>
      <c r="H4" s="23" t="s">
        <v>919</v>
      </c>
    </row>
    <row r="5" customFormat="false" ht="15" hidden="false" customHeight="true" outlineLevel="0" collapsed="false">
      <c r="B5" s="20" t="s">
        <v>920</v>
      </c>
      <c r="C5" s="24"/>
      <c r="E5" s="25" t="s">
        <v>921</v>
      </c>
      <c r="F5" s="25" t="s">
        <v>922</v>
      </c>
      <c r="G5" s="26" t="str">
        <f aca="false">IF(ISBLANK(C5),IF(Fill_Example="Yes",F5,""),IF(TRUE(),C5,""))</f>
        <v>Aoife</v>
      </c>
      <c r="H5" s="26" t="n">
        <f aca="false">IF(G5="",0,1)</f>
        <v>1</v>
      </c>
    </row>
    <row r="6" customFormat="false" ht="15" hidden="false" customHeight="true" outlineLevel="0" collapsed="false">
      <c r="B6" s="20" t="s">
        <v>923</v>
      </c>
      <c r="C6" s="27"/>
      <c r="D6" s="20" t="s">
        <v>924</v>
      </c>
      <c r="E6" s="25" t="s">
        <v>925</v>
      </c>
      <c r="F6" s="28" t="n">
        <f aca="false">DATE(AS_Year0-38,8,21)</f>
        <v>32376</v>
      </c>
      <c r="G6" s="26" t="n">
        <f aca="true">IF(ISBLANK(C6),IF(AND(Fill_Example="Yes",F6&lt;&gt;""),AS_Year0-YEAR(F6),0),IF(IF(ISNUMBER(C6),IF(C6&lt;=TODAY(),AND(DATEDIF(C6,TODAY(),"Y")&gt;=18,DATEDIF(C6,TODAY(),"Y")&lt;=80),FALSE()),FALSE()),AS_Year0-YEAR(C6),0))</f>
        <v>38</v>
      </c>
      <c r="H6" s="26" t="n">
        <f aca="true">IF(ISBLANK(C6),IF(AND(Fill_Example="Yes",F6&lt;&gt;""),1,0),IF(IF(ISNUMBER(C6),IF(C6&lt;=TODAY(),AND(DATEDIF(C6,TODAY(),"Y")&gt;=18,DATEDIF(C6,TODAY(),"Y")&lt;=80),FALSE()),FALSE()),1,0))</f>
        <v>1</v>
      </c>
    </row>
    <row r="7" customFormat="false" ht="15" hidden="false" customHeight="true" outlineLevel="0" collapsed="false">
      <c r="B7" s="20" t="s">
        <v>926</v>
      </c>
      <c r="C7" s="24"/>
      <c r="E7" s="25" t="s">
        <v>927</v>
      </c>
      <c r="F7" s="25" t="s">
        <v>3</v>
      </c>
      <c r="G7" s="26" t="str">
        <f aca="false">IF(ISBLANK(C7),IF(Fill_Example="Yes",F7,""),IF(ISNUMBER(MATCH(C7,{"Yes","No"},0)),C7,""))</f>
        <v>Yes</v>
      </c>
      <c r="H7" s="26" t="n">
        <f aca="false">IF(G7="",0,1)</f>
        <v>1</v>
      </c>
    </row>
    <row r="8" customFormat="false" ht="15" hidden="false" customHeight="true" outlineLevel="0" collapsed="false">
      <c r="B8" s="20" t="s">
        <v>928</v>
      </c>
      <c r="C8" s="24"/>
      <c r="E8" s="25" t="s">
        <v>929</v>
      </c>
      <c r="F8" s="25"/>
      <c r="G8" s="26" t="n">
        <f aca="false">IF(ISBLANK(C8),IF(Fill_Example="Yes",F8,""),IF(ISNUMBER(MATCH(C8,{"Yes","No"},0)),C8,""))</f>
        <v>0</v>
      </c>
      <c r="H8" s="26" t="n">
        <f aca="false">IF(G8="",0,1)</f>
        <v>0</v>
      </c>
    </row>
    <row r="9" customFormat="false" ht="15" hidden="false" customHeight="true" outlineLevel="0" collapsed="false">
      <c r="B9" s="20" t="s">
        <v>930</v>
      </c>
      <c r="C9" s="24"/>
      <c r="D9" s="20" t="s">
        <v>931</v>
      </c>
      <c r="E9" s="25" t="s">
        <v>932</v>
      </c>
      <c r="F9" s="25" t="n">
        <v>2</v>
      </c>
      <c r="G9" s="26" t="n">
        <f aca="false">IF(ISBLANK(C9),IF(AND(Fill_Example="Yes",F9&lt;&gt;""),F9,0),IF(IF(ISNUMBER(C9),AND(C9&gt;=0,C9&lt;=20,C9=INT(C9)),FALSE()),C9,0))</f>
        <v>2</v>
      </c>
      <c r="H9" s="26" t="n">
        <f aca="false">IF(ISBLANK(C9),IF(AND(Fill_Example="Yes",F9&lt;&gt;""),1,0),IF(IF(ISNUMBER(C9),AND(C9&gt;=0,C9&lt;=20,C9=INT(C9)),FALSE()),1,0))</f>
        <v>1</v>
      </c>
    </row>
    <row r="10" customFormat="false" ht="15" hidden="false" customHeight="true" outlineLevel="0" collapsed="false">
      <c r="B10" s="20" t="s">
        <v>933</v>
      </c>
      <c r="C10" s="24"/>
      <c r="D10" s="20" t="s">
        <v>934</v>
      </c>
      <c r="E10" s="25" t="s">
        <v>935</v>
      </c>
      <c r="F10" s="25" t="n">
        <v>63</v>
      </c>
      <c r="G10" s="26" t="n">
        <f aca="false">IF(ISBLANK(C10),IF(AND(Fill_Example="Yes",F10&lt;&gt;""),F10,0),IF(IF(ISNUMBER(C10),AND(C10&gt;=18,C10&lt;=105,C10=INT(C10)),FALSE()),C10,0))</f>
        <v>63</v>
      </c>
      <c r="H10" s="26" t="n">
        <f aca="false">IF(ISBLANK(C10),IF(AND(Fill_Example="Yes",F10&lt;&gt;""),1,0),IF(IF(ISNUMBER(C10),AND(C10&gt;=18,C10&lt;=105,C10=INT(C10)),FALSE()),1,0))</f>
        <v>1</v>
      </c>
    </row>
    <row r="11" customFormat="false" ht="15" hidden="false" customHeight="true" outlineLevel="0" collapsed="false">
      <c r="B11" s="20" t="s">
        <v>936</v>
      </c>
      <c r="C11" s="24"/>
      <c r="D11" s="20" t="s">
        <v>934</v>
      </c>
      <c r="E11" s="25" t="s">
        <v>937</v>
      </c>
      <c r="F11" s="25" t="n">
        <v>66</v>
      </c>
      <c r="G11" s="26" t="n">
        <f aca="false">IF(ISBLANK(C11),IF(AND(Fill_Example="Yes",F11&lt;&gt;""),F11,0),IF(IF(ISNUMBER(C11),AND(C11&gt;=18,C11&lt;=105,C11=INT(C11)),FALSE()),C11,0))</f>
        <v>66</v>
      </c>
      <c r="H11" s="26" t="n">
        <f aca="false">IF(ISBLANK(C11),IF(AND(Fill_Example="Yes",F11&lt;&gt;""),1,0),IF(IF(ISNUMBER(C11),AND(C11&gt;=18,C11&lt;=105,C11=INT(C11)),FALSE()),1,0))</f>
        <v>1</v>
      </c>
    </row>
    <row r="12" customFormat="false" ht="15" hidden="false" customHeight="true" outlineLevel="0" collapsed="false">
      <c r="B12" s="20" t="s">
        <v>938</v>
      </c>
      <c r="C12" s="24"/>
      <c r="D12" s="20" t="s">
        <v>939</v>
      </c>
      <c r="E12" s="25" t="s">
        <v>940</v>
      </c>
      <c r="F12" s="29" t="n">
        <f aca="false">Set_infl</f>
        <v>0.02</v>
      </c>
      <c r="G12" s="30" t="n">
        <f aca="false">IF(ISBLANK(C12),IF(AND(Fill_Example="Yes",F12&lt;&gt;""),F12,0),IF(IF(ISNUMBER(C12),AND(C12&gt;=0,C12&lt;=0.1),FALSE()),C12,0))</f>
        <v>0.02</v>
      </c>
      <c r="H12" s="26" t="n">
        <f aca="false">IF(ISBLANK(C12),IF(AND(Fill_Example="Yes",F12&lt;&gt;""),1,0),IF(IF(ISNUMBER(C12),AND(C12&gt;=0,C12&lt;=0.1),FALSE()),1,0))</f>
        <v>1</v>
      </c>
    </row>
    <row r="13" customFormat="false" ht="15" hidden="false" customHeight="true" outlineLevel="0" collapsed="false">
      <c r="B13" s="20" t="s">
        <v>941</v>
      </c>
      <c r="C13" s="24"/>
      <c r="E13" s="25" t="s">
        <v>942</v>
      </c>
      <c r="F13" s="25" t="s">
        <v>171</v>
      </c>
      <c r="G13" s="26" t="str">
        <f aca="false">IF(ISBLANK(C13),IF(Fill_Example="Yes",F13,""),IF(ISNUMBER(MATCH(C13,{"Standard","Cautious"},0)),C13,""))</f>
        <v>Standard</v>
      </c>
      <c r="H13" s="26" t="n">
        <f aca="false">IF(G13="",0,1)</f>
        <v>1</v>
      </c>
    </row>
    <row r="14" customFormat="false" ht="15" hidden="false" customHeight="true" outlineLevel="0" collapsed="false">
      <c r="B14" s="20" t="s">
        <v>943</v>
      </c>
      <c r="C14" s="24"/>
      <c r="D14" s="20" t="s">
        <v>944</v>
      </c>
      <c r="E14" s="25" t="s">
        <v>945</v>
      </c>
      <c r="F14" s="25" t="n">
        <v>2</v>
      </c>
      <c r="G14" s="26" t="n">
        <f aca="false">IF(ISBLANK(C14),IF(AND(Fill_Example="Yes",F14&lt;&gt;""),F14,0),IF(IF(ISNUMBER(C14),AND(C14&gt;=0,C14&lt;=4,C14=INT(C14)),FALSE()),C14,0))</f>
        <v>2</v>
      </c>
      <c r="H14" s="26" t="n">
        <f aca="false">IF(ISBLANK(C14),IF(AND(Fill_Example="Yes",F14&lt;&gt;""),1,0),IF(IF(ISNUMBER(C14),AND(C14&gt;=0,C14&lt;=4,C14=INT(C14)),FALSE()),1,0))</f>
        <v>1</v>
      </c>
    </row>
    <row r="15" customFormat="false" ht="15" hidden="false" customHeight="true" outlineLevel="0" collapsed="false">
      <c r="B15" s="20" t="s">
        <v>946</v>
      </c>
      <c r="C15" s="24"/>
      <c r="D15" s="20" t="s">
        <v>947</v>
      </c>
      <c r="E15" s="25" t="s">
        <v>948</v>
      </c>
      <c r="F15" s="25"/>
      <c r="G15" s="26" t="n">
        <f aca="false">IF(ISBLANK(C15),IF(AND(Fill_Example="Yes",F15&lt;&gt;""),F15,0),IF(IF(ISNUMBER(C15),AND(C15&gt;=0,C15&lt;=1000000),FALSE()),C15,0))</f>
        <v>0</v>
      </c>
      <c r="H15" s="26" t="n">
        <f aca="false">IF(ISBLANK(C15),IF(AND(Fill_Example="Yes",F15&lt;&gt;""),1,0),IF(IF(ISNUMBER(C15),AND(C15&gt;=0,C15&lt;=1000000),FALSE()),1,0))</f>
        <v>0</v>
      </c>
    </row>
    <row r="16" customFormat="false" ht="15" hidden="false" customHeight="true" outlineLevel="0" collapsed="false">
      <c r="B16" s="20" t="s">
        <v>949</v>
      </c>
      <c r="C16" s="24"/>
      <c r="E16" s="25" t="s">
        <v>950</v>
      </c>
      <c r="F16" s="25"/>
      <c r="G16" s="26" t="n">
        <f aca="false">IF(ISBLANK(C16),IF(Fill_Example="Yes",F16,""),IF(ISNUMBER(MATCH(C16,{"Yes","No"},0)),C16,""))</f>
        <v>0</v>
      </c>
      <c r="H16" s="26" t="n">
        <f aca="false">IF(G16="",0,1)</f>
        <v>0</v>
      </c>
    </row>
    <row r="17" customFormat="false" ht="15" hidden="false" customHeight="true" outlineLevel="0" collapsed="false">
      <c r="B17" s="20" t="s">
        <v>951</v>
      </c>
      <c r="C17" s="24"/>
      <c r="D17" s="20" t="s">
        <v>947</v>
      </c>
      <c r="E17" s="25" t="s">
        <v>952</v>
      </c>
      <c r="F17" s="25" t="n">
        <v>0</v>
      </c>
      <c r="G17" s="26" t="n">
        <f aca="false">IF(ISBLANK(C17),IF(AND(Fill_Example="Yes",F17&lt;&gt;""),F17,0),IF(IF(ISNUMBER(C17),AND(C17&gt;=0,C17&lt;=100000),FALSE()),C17,0))</f>
        <v>0</v>
      </c>
      <c r="H17" s="26" t="n">
        <f aca="false">IF(ISBLANK(C17),IF(AND(Fill_Example="Yes",F17&lt;&gt;""),1,0),IF(IF(ISNUMBER(C17),AND(C17&gt;=0,C17&lt;=100000),FALSE()),1,0))</f>
        <v>1</v>
      </c>
    </row>
    <row r="18" customFormat="false" ht="15" hidden="false" customHeight="true" outlineLevel="0" collapsed="false">
      <c r="B18" s="20" t="s">
        <v>953</v>
      </c>
      <c r="C18" s="24"/>
      <c r="E18" s="25" t="s">
        <v>954</v>
      </c>
      <c r="F18" s="25" t="s">
        <v>452</v>
      </c>
      <c r="G18" s="26" t="str">
        <f aca="false">IF(ISBLANK(C18),IF(Fill_Example="Yes",F18,""),IF(ISNUMBER(MATCH(C18,{"Yes","No"},0)),C18,""))</f>
        <v>No</v>
      </c>
      <c r="H18" s="26" t="n">
        <f aca="false">IF(G18="",0,1)</f>
        <v>1</v>
      </c>
    </row>
    <row r="19" customFormat="false" ht="15" hidden="false" customHeight="true" outlineLevel="0" collapsed="false">
      <c r="B19" s="20" t="s">
        <v>955</v>
      </c>
      <c r="C19" s="24"/>
      <c r="E19" s="25" t="s">
        <v>956</v>
      </c>
      <c r="F19" s="25" t="s">
        <v>452</v>
      </c>
      <c r="G19" s="26" t="str">
        <f aca="false">IF(ISBLANK(C19),IF(Fill_Example="Yes",F19,""),IF(ISNUMBER(MATCH(C19,{"Yes","No"},0)),C19,""))</f>
        <v>No</v>
      </c>
      <c r="H19" s="26" t="n">
        <f aca="false">IF(G19="",0,1)</f>
        <v>1</v>
      </c>
    </row>
    <row r="20" customFormat="false" ht="15" hidden="false" customHeight="true" outlineLevel="0" collapsed="false">
      <c r="B20" s="20" t="s">
        <v>957</v>
      </c>
      <c r="C20" s="24"/>
      <c r="E20" s="25" t="s">
        <v>958</v>
      </c>
      <c r="F20" s="25" t="s">
        <v>452</v>
      </c>
      <c r="G20" s="26" t="str">
        <f aca="false">IF(ISBLANK(C20),IF(Fill_Example="Yes",F20,""),IF(ISNUMBER(MATCH(C20,{"Yes","No"},0)),C20,""))</f>
        <v>No</v>
      </c>
      <c r="H20" s="26" t="n">
        <f aca="false">IF(G20="",0,1)</f>
        <v>1</v>
      </c>
    </row>
    <row r="22" customFormat="false" ht="15" hidden="false" customHeight="true" outlineLevel="0" collapsed="false">
      <c r="B22" s="23" t="s">
        <v>959</v>
      </c>
      <c r="C22" s="23" t="s">
        <v>914</v>
      </c>
      <c r="D22" s="23" t="s">
        <v>915</v>
      </c>
      <c r="E22" s="23" t="s">
        <v>916</v>
      </c>
      <c r="F22" s="23" t="s">
        <v>917</v>
      </c>
      <c r="G22" s="23" t="s">
        <v>918</v>
      </c>
      <c r="H22" s="23" t="s">
        <v>919</v>
      </c>
    </row>
    <row r="23" customFormat="false" ht="15" hidden="false" customHeight="true" outlineLevel="0" collapsed="false">
      <c r="B23" s="20" t="s">
        <v>960</v>
      </c>
      <c r="C23" s="24"/>
      <c r="D23" s="20" t="s">
        <v>961</v>
      </c>
      <c r="E23" s="25" t="s">
        <v>962</v>
      </c>
      <c r="F23" s="25"/>
      <c r="G23" s="26" t="n">
        <f aca="false">IF(ISBLANK(C23),IF(AND(Fill_Example="Yes",F23&lt;&gt;""),F23,0),IF(IF(ISNUMBER(C23),AND(C23&gt;=1,C23&lt;=22,C23=INT(C23)),FALSE()),C23,0))</f>
        <v>0</v>
      </c>
      <c r="H23" s="26" t="n">
        <f aca="false">IF(ISBLANK(C23),IF(AND(Fill_Example="Yes",F23&lt;&gt;""),1,0),IF(IF(ISNUMBER(C23),AND(C23&gt;=1,C23&lt;=22,C23=INT(C23)),FALSE()),1,0))</f>
        <v>0</v>
      </c>
    </row>
    <row r="24" customFormat="false" ht="15" hidden="false" customHeight="true" outlineLevel="0" collapsed="false">
      <c r="B24" s="20" t="s">
        <v>963</v>
      </c>
      <c r="C24" s="24"/>
      <c r="D24" s="20" t="s">
        <v>947</v>
      </c>
      <c r="E24" s="25" t="s">
        <v>964</v>
      </c>
      <c r="F24" s="25" t="n">
        <v>0</v>
      </c>
      <c r="G24" s="26" t="n">
        <f aca="false">IF(ISBLANK(C24),IF(AND(Fill_Example="Yes",F24&lt;&gt;""),F24,0),IF(IF(ISNUMBER(C24),AND(C24&gt;=-5000,C24&lt;=10000),FALSE()),C24,0))</f>
        <v>0</v>
      </c>
      <c r="H24" s="26" t="n">
        <f aca="false">IF(ISBLANK(C24),IF(AND(Fill_Example="Yes",F24&lt;&gt;""),1,0),IF(IF(ISNUMBER(C24),AND(C24&gt;=-5000,C24&lt;=10000),FALSE()),1,0))</f>
        <v>1</v>
      </c>
    </row>
    <row r="25" customFormat="false" ht="15" hidden="false" customHeight="true" outlineLevel="0" collapsed="false">
      <c r="B25" s="20" t="s">
        <v>965</v>
      </c>
      <c r="C25" s="24"/>
      <c r="D25" s="20" t="s">
        <v>966</v>
      </c>
      <c r="E25" s="25" t="s">
        <v>967</v>
      </c>
      <c r="F25" s="25" t="n">
        <v>0</v>
      </c>
      <c r="G25" s="26" t="n">
        <f aca="false">IF(ISBLANK(C25),IF(AND(Fill_Example="Yes",F25&lt;&gt;""),F25,0),IF(IF(ISNUMBER(C25),AND(C25&gt;=0,C25&lt;=2000000),FALSE()),C25,0))</f>
        <v>0</v>
      </c>
      <c r="H25" s="26" t="n">
        <f aca="false">IF(ISBLANK(C25),IF(AND(Fill_Example="Yes",F25&lt;&gt;""),1,0),IF(IF(ISNUMBER(C25),AND(C25&gt;=0,C25&lt;=2000000),FALSE()),1,0))</f>
        <v>1</v>
      </c>
    </row>
    <row r="27" customFormat="false" ht="15" hidden="false" customHeight="true" outlineLevel="0" collapsed="false">
      <c r="B27" s="23" t="s">
        <v>968</v>
      </c>
      <c r="C27" s="23" t="s">
        <v>914</v>
      </c>
      <c r="D27" s="23" t="s">
        <v>915</v>
      </c>
      <c r="E27" s="23" t="s">
        <v>916</v>
      </c>
      <c r="F27" s="23" t="s">
        <v>917</v>
      </c>
      <c r="G27" s="23" t="s">
        <v>918</v>
      </c>
      <c r="H27" s="23" t="s">
        <v>919</v>
      </c>
    </row>
    <row r="28" customFormat="false" ht="15" hidden="false" customHeight="true" outlineLevel="0" collapsed="false">
      <c r="B28" s="20" t="s">
        <v>969</v>
      </c>
      <c r="C28" s="24"/>
      <c r="E28" s="25" t="s">
        <v>970</v>
      </c>
      <c r="F28" s="25" t="s">
        <v>971</v>
      </c>
      <c r="G28" s="26" t="str">
        <f aca="false">IF(ISBLANK(C28),IF(Fill_Example="Yes",F28,""),IF(ISNUMBER(MATCH(C28,{"Employed","Self-employed","Not working"},0)),C28,""))</f>
        <v>Employed</v>
      </c>
      <c r="H28" s="26" t="n">
        <f aca="false">IF(G28="",0,1)</f>
        <v>1</v>
      </c>
    </row>
    <row r="29" customFormat="false" ht="15" hidden="false" customHeight="true" outlineLevel="0" collapsed="false">
      <c r="B29" s="20" t="s">
        <v>972</v>
      </c>
      <c r="C29" s="24"/>
      <c r="D29" s="20" t="s">
        <v>966</v>
      </c>
      <c r="E29" s="25" t="s">
        <v>973</v>
      </c>
      <c r="F29" s="25" t="n">
        <v>58000</v>
      </c>
      <c r="G29" s="26" t="n">
        <f aca="false">IF(ISBLANK(C29),IF(AND(Fill_Example="Yes",F29&lt;&gt;""),F29,0),IF(IF(ISNUMBER(C29),AND(C29&gt;=0,C29&lt;=100000000),FALSE()),C29,0))</f>
        <v>58000</v>
      </c>
      <c r="H29" s="26" t="n">
        <f aca="false">IF(ISBLANK(C29),IF(AND(Fill_Example="Yes",F29&lt;&gt;""),1,0),IF(IF(ISNUMBER(C29),AND(C29&gt;=0,C29&lt;=100000000),FALSE()),1,0))</f>
        <v>1</v>
      </c>
    </row>
    <row r="30" customFormat="false" ht="15" hidden="false" customHeight="true" outlineLevel="0" collapsed="false">
      <c r="B30" s="20" t="s">
        <v>974</v>
      </c>
      <c r="C30" s="24"/>
      <c r="D30" s="20" t="s">
        <v>966</v>
      </c>
      <c r="E30" s="25" t="s">
        <v>975</v>
      </c>
      <c r="F30" s="25" t="n">
        <v>22000</v>
      </c>
      <c r="G30" s="26" t="n">
        <f aca="false">IF(ISBLANK(C30),IF(AND(Fill_Example="Yes",F30&lt;&gt;""),F30,0),IF(IF(ISNUMBER(C30),AND(C30&gt;=0,C30&lt;=100000000),FALSE()),C30,0))</f>
        <v>22000</v>
      </c>
      <c r="H30" s="26" t="n">
        <f aca="false">IF(ISBLANK(C30),IF(AND(Fill_Example="Yes",F30&lt;&gt;""),1,0),IF(IF(ISNUMBER(C30),AND(C30&gt;=0,C30&lt;=100000000),FALSE()),1,0))</f>
        <v>1</v>
      </c>
    </row>
    <row r="31" customFormat="false" ht="15" hidden="false" customHeight="true" outlineLevel="0" collapsed="false">
      <c r="B31" s="20" t="s">
        <v>976</v>
      </c>
      <c r="C31" s="27"/>
      <c r="D31" s="20" t="s">
        <v>924</v>
      </c>
      <c r="E31" s="25" t="s">
        <v>977</v>
      </c>
      <c r="F31" s="28" t="n">
        <f aca="false">DATE(AS_Year0-37,3,3)</f>
        <v>32570</v>
      </c>
      <c r="G31" s="26" t="n">
        <f aca="true">IF(ISBLANK(C31),IF(AND(Fill_Example="Yes",F31&lt;&gt;""),AS_Year0-YEAR(F31),0),IF(IF(ISNUMBER(C31),IF(C31&lt;=TODAY(),AND(DATEDIF(C31,TODAY(),"Y")&gt;=18,DATEDIF(C31,TODAY(),"Y")&lt;=85),FALSE()),FALSE()),AS_Year0-YEAR(C31),0))</f>
        <v>37</v>
      </c>
      <c r="H31" s="26" t="n">
        <f aca="true">IF(ISBLANK(C31),IF(AND(Fill_Example="Yes",F31&lt;&gt;""),1,0),IF(IF(ISNUMBER(C31),IF(C31&lt;=TODAY(),AND(DATEDIF(C31,TODAY(),"Y")&gt;=18,DATEDIF(C31,TODAY(),"Y")&lt;=85),FALSE()),FALSE()),1,0))</f>
        <v>1</v>
      </c>
    </row>
    <row r="32" customFormat="false" ht="15" hidden="false" customHeight="true" outlineLevel="0" collapsed="false">
      <c r="B32" s="20" t="s">
        <v>978</v>
      </c>
      <c r="C32" s="24"/>
      <c r="D32" s="20" t="s">
        <v>947</v>
      </c>
      <c r="E32" s="25" t="s">
        <v>979</v>
      </c>
      <c r="F32" s="25" t="n">
        <v>0</v>
      </c>
      <c r="G32" s="26" t="n">
        <f aca="false">IF(ISBLANK(C32),IF(AND(Fill_Example="Yes",F32&lt;&gt;""),F32,0),IF(IF(ISNUMBER(C32),AND(C32&gt;=0,C32&lt;=100000000),FALSE()),C32,0))</f>
        <v>0</v>
      </c>
      <c r="H32" s="26" t="n">
        <f aca="false">IF(ISBLANK(C32),IF(AND(Fill_Example="Yes",F32&lt;&gt;""),1,0),IF(IF(ISNUMBER(C32),AND(C32&gt;=0,C32&lt;=100000000),FALSE()),1,0))</f>
        <v>1</v>
      </c>
    </row>
    <row r="33" customFormat="false" ht="15" hidden="false" customHeight="true" outlineLevel="0" collapsed="false">
      <c r="B33" s="20" t="s">
        <v>980</v>
      </c>
      <c r="C33" s="24"/>
      <c r="D33" s="20" t="s">
        <v>947</v>
      </c>
      <c r="E33" s="25" t="s">
        <v>981</v>
      </c>
      <c r="F33" s="25" t="n">
        <v>3600</v>
      </c>
      <c r="G33" s="26" t="n">
        <f aca="false">IF(ISBLANK(C33),IF(AND(Fill_Example="Yes",F33&lt;&gt;""),F33,0),IF(IF(ISNUMBER(C33),AND(C33&gt;=0,C33&lt;=100000000),FALSE()),C33,0))</f>
        <v>3600</v>
      </c>
      <c r="H33" s="26" t="n">
        <f aca="false">IF(ISBLANK(C33),IF(AND(Fill_Example="Yes",F33&lt;&gt;""),1,0),IF(IF(ISNUMBER(C33),AND(C33&gt;=0,C33&lt;=100000000),FALSE()),1,0))</f>
        <v>1</v>
      </c>
    </row>
    <row r="34" customFormat="false" ht="15" hidden="false" customHeight="true" outlineLevel="0" collapsed="false">
      <c r="B34" s="20" t="s">
        <v>982</v>
      </c>
      <c r="C34" s="24"/>
      <c r="D34" s="20" t="s">
        <v>966</v>
      </c>
      <c r="E34" s="25" t="s">
        <v>983</v>
      </c>
      <c r="F34" s="25" t="n">
        <v>1800</v>
      </c>
      <c r="G34" s="26" t="n">
        <f aca="false">IF(ISBLANK(C34),IF(AND(Fill_Example="Yes",F34&lt;&gt;""),F34,0),IF(IF(ISNUMBER(C34),AND(C34&gt;=0,C34&lt;=100000000),FALSE()),C34,0))</f>
        <v>1800</v>
      </c>
      <c r="H34" s="26" t="n">
        <f aca="false">IF(ISBLANK(C34),IF(AND(Fill_Example="Yes",F34&lt;&gt;""),1,0),IF(IF(ISNUMBER(C34),AND(C34&gt;=0,C34&lt;=100000000),FALSE()),1,0))</f>
        <v>1</v>
      </c>
    </row>
    <row r="35" customFormat="false" ht="15" hidden="false" customHeight="true" outlineLevel="0" collapsed="false">
      <c r="B35" s="20" t="s">
        <v>984</v>
      </c>
      <c r="C35" s="24"/>
      <c r="D35" s="20" t="s">
        <v>966</v>
      </c>
      <c r="E35" s="25" t="s">
        <v>985</v>
      </c>
      <c r="F35" s="25"/>
      <c r="G35" s="26" t="n">
        <f aca="false">IF(ISBLANK(C35),IF(AND(Fill_Example="Yes",F35&lt;&gt;""),F35,0),IF(IF(ISNUMBER(C35),AND(C35&gt;=0,C35&lt;=100000000),FALSE()),C35,0))</f>
        <v>0</v>
      </c>
      <c r="H35" s="26" t="n">
        <f aca="false">IF(ISBLANK(C35),IF(AND(Fill_Example="Yes",F35&lt;&gt;""),1,0),IF(IF(ISNUMBER(C35),AND(C35&gt;=0,C35&lt;=100000000),FALSE()),1,0))</f>
        <v>0</v>
      </c>
    </row>
    <row r="36" customFormat="false" ht="15" hidden="false" customHeight="true" outlineLevel="0" collapsed="false">
      <c r="B36" s="20" t="s">
        <v>986</v>
      </c>
      <c r="C36" s="24"/>
      <c r="D36" s="20" t="s">
        <v>947</v>
      </c>
      <c r="E36" s="25" t="s">
        <v>987</v>
      </c>
      <c r="F36" s="25"/>
      <c r="G36" s="26" t="n">
        <f aca="false">IF(ISBLANK(C36),IF(AND(Fill_Example="Yes",F36&lt;&gt;""),F36,0),IF(IF(ISNUMBER(C36),AND(C36&gt;=0,C36&lt;=100000000),FALSE()),C36,0))</f>
        <v>0</v>
      </c>
      <c r="H36" s="26" t="n">
        <f aca="false">IF(ISBLANK(C36),IF(AND(Fill_Example="Yes",F36&lt;&gt;""),1,0),IF(IF(ISNUMBER(C36),AND(C36&gt;=0,C36&lt;=100000000),FALSE()),1,0))</f>
        <v>0</v>
      </c>
    </row>
    <row r="37" customFormat="false" ht="15" hidden="false" customHeight="true" outlineLevel="0" collapsed="false">
      <c r="B37" s="20" t="s">
        <v>988</v>
      </c>
      <c r="C37" s="24"/>
      <c r="E37" s="25" t="s">
        <v>989</v>
      </c>
      <c r="F37" s="25" t="s">
        <v>990</v>
      </c>
      <c r="G37" s="26" t="str">
        <f aca="false">IF(ISBLANK(C37),IF(Fill_Example="Yes",F37,""),IF(ISNUMBER(MATCH(C37,{"Own outright","Own with mortgage","Rent","Live with family"},0)),C37,""))</f>
        <v>Own with mortgage</v>
      </c>
      <c r="H37" s="26" t="n">
        <f aca="false">IF(G37="",0,1)</f>
        <v>1</v>
      </c>
    </row>
    <row r="38" customFormat="false" ht="15" hidden="false" customHeight="true" outlineLevel="0" collapsed="false">
      <c r="B38" s="20" t="s">
        <v>991</v>
      </c>
      <c r="C38" s="24"/>
      <c r="D38" s="20" t="s">
        <v>966</v>
      </c>
      <c r="E38" s="25" t="s">
        <v>992</v>
      </c>
      <c r="F38" s="25" t="n">
        <v>420000</v>
      </c>
      <c r="G38" s="26" t="n">
        <f aca="false">IF(ISBLANK(C38),IF(AND(Fill_Example="Yes",F38&lt;&gt;""),F38,0),IF(IF(ISNUMBER(C38),AND(C38&gt;=0,C38&lt;=100000000),FALSE()),C38,0))</f>
        <v>420000</v>
      </c>
      <c r="H38" s="26" t="n">
        <f aca="false">IF(ISBLANK(C38),IF(AND(Fill_Example="Yes",F38&lt;&gt;""),1,0),IF(IF(ISNUMBER(C38),AND(C38&gt;=0,C38&lt;=100000000),FALSE()),1,0))</f>
        <v>1</v>
      </c>
    </row>
    <row r="39" customFormat="false" ht="15" hidden="false" customHeight="true" outlineLevel="0" collapsed="false">
      <c r="B39" s="20" t="s">
        <v>993</v>
      </c>
      <c r="C39" s="24"/>
      <c r="D39" s="20" t="s">
        <v>966</v>
      </c>
      <c r="E39" s="25" t="s">
        <v>994</v>
      </c>
      <c r="F39" s="25" t="n">
        <v>9000</v>
      </c>
      <c r="G39" s="26" t="n">
        <f aca="false">IF(ISBLANK(C39),IF(AND(Fill_Example="Yes",F39&lt;&gt;""),F39,0),IF(IF(ISNUMBER(C39),AND(C39&gt;=0,C39&lt;=100000000),FALSE()),C39,0))</f>
        <v>9000</v>
      </c>
      <c r="H39" s="26" t="n">
        <f aca="false">IF(ISBLANK(C39),IF(AND(Fill_Example="Yes",F39&lt;&gt;""),1,0),IF(IF(ISNUMBER(C39),AND(C39&gt;=0,C39&lt;=100000000),FALSE()),1,0))</f>
        <v>1</v>
      </c>
    </row>
    <row r="40" customFormat="false" ht="15" hidden="false" customHeight="true" outlineLevel="0" collapsed="false">
      <c r="B40" s="20" t="s">
        <v>995</v>
      </c>
      <c r="C40" s="24"/>
      <c r="D40" s="20" t="s">
        <v>966</v>
      </c>
      <c r="E40" s="25" t="s">
        <v>996</v>
      </c>
      <c r="F40" s="25" t="n">
        <v>6200</v>
      </c>
      <c r="G40" s="26" t="n">
        <f aca="false">IF(ISBLANK(C40),IF(AND(Fill_Example="Yes",F40&lt;&gt;""),F40,0),IF(IF(ISNUMBER(C40),AND(C40&gt;=0,C40&lt;=100000000),FALSE()),C40,0))</f>
        <v>6200</v>
      </c>
      <c r="H40" s="26" t="n">
        <f aca="false">IF(ISBLANK(C40),IF(AND(Fill_Example="Yes",F40&lt;&gt;""),1,0),IF(IF(ISNUMBER(C40),AND(C40&gt;=0,C40&lt;=100000000),FALSE()),1,0))</f>
        <v>1</v>
      </c>
    </row>
    <row r="41" customFormat="false" ht="15" hidden="false" customHeight="true" outlineLevel="0" collapsed="false">
      <c r="B41" s="20" t="s">
        <v>997</v>
      </c>
      <c r="C41" s="24"/>
      <c r="D41" s="20" t="s">
        <v>966</v>
      </c>
      <c r="E41" s="25" t="s">
        <v>998</v>
      </c>
      <c r="F41" s="25" t="n">
        <v>203700</v>
      </c>
      <c r="G41" s="26" t="n">
        <f aca="false">IF(ISBLANK(C41),IF(AND(Fill_Example="Yes",F41&lt;&gt;""),F41,0),IF(IF(ISNUMBER(C41),AND(C41&gt;=0,C41&lt;=100000000),FALSE()),C41,0))</f>
        <v>203700</v>
      </c>
      <c r="H41" s="26" t="n">
        <f aca="false">IF(ISBLANK(C41),IF(AND(Fill_Example="Yes",F41&lt;&gt;""),1,0),IF(IF(ISNUMBER(C41),AND(C41&gt;=0,C41&lt;=100000000),FALSE()),1,0))</f>
        <v>1</v>
      </c>
    </row>
    <row r="42" customFormat="false" ht="15" hidden="false" customHeight="true" outlineLevel="0" collapsed="false">
      <c r="B42" s="20" t="s">
        <v>999</v>
      </c>
      <c r="C42" s="24"/>
      <c r="D42" s="20" t="s">
        <v>939</v>
      </c>
      <c r="E42" s="25" t="s">
        <v>1000</v>
      </c>
      <c r="F42" s="25" t="n">
        <v>0.0385</v>
      </c>
      <c r="G42" s="26" t="n">
        <f aca="false">IF(ISBLANK(C42),IF(AND(Fill_Example="Yes",F42&lt;&gt;""),F42,0),IF(IF(ISNUMBER(C42),AND(C42&gt;=0,C42&lt;=0.3),FALSE()),C42,0))</f>
        <v>0.0385</v>
      </c>
      <c r="H42" s="26" t="n">
        <f aca="false">IF(ISBLANK(C42),IF(AND(Fill_Example="Yes",F42&lt;&gt;""),1,0),IF(IF(ISNUMBER(C42),AND(C42&gt;=0,C42&lt;=0.3),FALSE()),1,0))</f>
        <v>1</v>
      </c>
    </row>
    <row r="43" customFormat="false" ht="15" hidden="false" customHeight="true" outlineLevel="0" collapsed="false">
      <c r="B43" s="20" t="s">
        <v>1001</v>
      </c>
      <c r="C43" s="24"/>
      <c r="D43" s="20" t="s">
        <v>947</v>
      </c>
      <c r="E43" s="25" t="s">
        <v>1002</v>
      </c>
      <c r="F43" s="25" t="n">
        <v>1180</v>
      </c>
      <c r="G43" s="26" t="n">
        <f aca="false">IF(ISBLANK(C43),IF(AND(Fill_Example="Yes",F43&lt;&gt;""),F43,0),IF(IF(ISNUMBER(C43),AND(C43&gt;=0,C43&lt;=100000000),FALSE()),C43,0))</f>
        <v>1180</v>
      </c>
      <c r="H43" s="26" t="n">
        <f aca="false">IF(ISBLANK(C43),IF(AND(Fill_Example="Yes",F43&lt;&gt;""),1,0),IF(IF(ISNUMBER(C43),AND(C43&gt;=0,C43&lt;=100000000),FALSE()),1,0))</f>
        <v>1</v>
      </c>
    </row>
    <row r="44" customFormat="false" ht="15" hidden="false" customHeight="true" outlineLevel="0" collapsed="false">
      <c r="B44" s="20" t="s">
        <v>1003</v>
      </c>
      <c r="C44" s="24"/>
      <c r="D44" s="20" t="s">
        <v>1004</v>
      </c>
      <c r="E44" s="25" t="s">
        <v>1005</v>
      </c>
      <c r="F44" s="25" t="n">
        <v>21</v>
      </c>
      <c r="G44" s="26" t="n">
        <f aca="false">IF(ISBLANK(C44),IF(AND(Fill_Example="Yes",F44&lt;&gt;""),F44,0),IF(IF(ISNUMBER(C44),AND(C44&gt;=1,C44&lt;=40,C44=INT(C44)),FALSE()),C44,0))</f>
        <v>21</v>
      </c>
      <c r="H44" s="26" t="n">
        <f aca="false">IF(ISBLANK(C44),IF(AND(Fill_Example="Yes",F44&lt;&gt;""),1,0),IF(IF(ISNUMBER(C44),AND(C44&gt;=1,C44&lt;=40,C44=INT(C44)),FALSE()),1,0))</f>
        <v>1</v>
      </c>
    </row>
    <row r="45" customFormat="false" ht="15" hidden="false" customHeight="true" outlineLevel="0" collapsed="false">
      <c r="B45" s="20" t="s">
        <v>1006</v>
      </c>
      <c r="C45" s="24"/>
      <c r="D45" s="20" t="s">
        <v>966</v>
      </c>
      <c r="E45" s="25" t="s">
        <v>1007</v>
      </c>
      <c r="F45" s="25" t="n">
        <v>400</v>
      </c>
      <c r="G45" s="26" t="n">
        <f aca="false">IF(COUNT(Cards_Owed_Rng)&gt;0,SUM(Cards_Owed_Rng),IF(ISBLANK(C45),IF(AND(Fill_Example="Yes",F45&lt;&gt;""),F45,0),IF(IF(ISNUMBER(C45),AND(C45&gt;=0,C45&lt;=100000000),FALSE()),C45,0)))</f>
        <v>400</v>
      </c>
      <c r="H45" s="26" t="n">
        <f aca="false">IF(COUNT(Cards_Owed_Rng)&gt;0,1,IF(ISBLANK(C45),IF(AND(Fill_Example="Yes",F45&lt;&gt;""),1,0),IF(IF(ISNUMBER(C45),AND(C45&gt;=0,C45&lt;=100000000),FALSE()),1,0)))</f>
        <v>1</v>
      </c>
    </row>
    <row r="46" customFormat="false" ht="15" hidden="false" customHeight="true" outlineLevel="0" collapsed="false">
      <c r="B46" s="20" t="s">
        <v>1008</v>
      </c>
      <c r="C46" s="24"/>
      <c r="D46" s="20" t="s">
        <v>947</v>
      </c>
      <c r="E46" s="25" t="s">
        <v>1009</v>
      </c>
      <c r="F46" s="25" t="n">
        <v>40</v>
      </c>
      <c r="G46" s="26" t="n">
        <f aca="false">IF(COUNT(Cards_Pay_Rng)&gt;0,SUM(Cards_Pay_Rng),IF(ISBLANK(C46),IF(AND(Fill_Example="Yes",F46&lt;&gt;""),F46,0),IF(IF(ISNUMBER(C46),AND(C46&gt;=0,C46&lt;=100000000),FALSE()),C46,0)))</f>
        <v>40</v>
      </c>
      <c r="H46" s="26" t="n">
        <f aca="false">IF(COUNT(Cards_Pay_Rng)&gt;0,1,IF(ISBLANK(C46),IF(AND(Fill_Example="Yes",F46&lt;&gt;""),1,0),IF(IF(ISNUMBER(C46),AND(C46&gt;=0,C46&lt;=100000000),FALSE()),1,0)))</f>
        <v>1</v>
      </c>
    </row>
    <row r="47" customFormat="false" ht="15" hidden="false" customHeight="true" outlineLevel="0" collapsed="false">
      <c r="B47" s="20" t="s">
        <v>1010</v>
      </c>
      <c r="C47" s="24"/>
      <c r="D47" s="20" t="s">
        <v>939</v>
      </c>
      <c r="E47" s="25" t="s">
        <v>1011</v>
      </c>
      <c r="F47" s="25"/>
      <c r="G47" s="26" t="n">
        <f aca="false">IF(ISNUMBER(Cards_Rate_Avg),ROUND(Cards_Rate_Avg,6),IF(ISBLANK(C47),IF(AND(Fill_Example="Yes",F47&lt;&gt;""),F47,0),IF(IF(ISNUMBER(C47),AND(C47&gt;=0,C47&lt;=0.3),FALSE()),C47,0)))</f>
        <v>0</v>
      </c>
      <c r="H47" s="26" t="n">
        <f aca="false">IF(ISBLANK(C47),IF(AND(Fill_Example="Yes",F47&lt;&gt;""),1,0),IF(IF(ISNUMBER(C47),AND(C47&gt;=0,C47&lt;=0.3),FALSE()),1,0))</f>
        <v>0</v>
      </c>
    </row>
    <row r="48" customFormat="false" ht="15" hidden="false" customHeight="true" outlineLevel="0" collapsed="false">
      <c r="B48" s="20" t="s">
        <v>1012</v>
      </c>
      <c r="C48" s="24"/>
      <c r="D48" s="20" t="s">
        <v>966</v>
      </c>
      <c r="E48" s="25" t="s">
        <v>1013</v>
      </c>
      <c r="F48" s="25" t="n">
        <v>3500</v>
      </c>
      <c r="G48" s="26" t="n">
        <f aca="false">IF(COUNT(Loans_Owed_Rng)&gt;0,SUM(Loans_Owed_Rng),IF(ISBLANK(C48),IF(AND(Fill_Example="Yes",F48&lt;&gt;""),F48,0),IF(IF(ISNUMBER(C48),AND(C48&gt;=0,C48&lt;=100000000),FALSE()),C48,0)))</f>
        <v>3500</v>
      </c>
      <c r="H48" s="26" t="n">
        <f aca="false">IF(COUNT(Loans_Owed_Rng)&gt;0,1,IF(ISBLANK(C48),IF(AND(Fill_Example="Yes",F48&lt;&gt;""),1,0),IF(IF(ISNUMBER(C48),AND(C48&gt;=0,C48&lt;=100000000),FALSE()),1,0)))</f>
        <v>1</v>
      </c>
    </row>
    <row r="49" customFormat="false" ht="15" hidden="false" customHeight="true" outlineLevel="0" collapsed="false">
      <c r="B49" s="20" t="s">
        <v>1014</v>
      </c>
      <c r="C49" s="24"/>
      <c r="D49" s="20" t="s">
        <v>947</v>
      </c>
      <c r="E49" s="25" t="s">
        <v>1015</v>
      </c>
      <c r="F49" s="25" t="n">
        <v>100</v>
      </c>
      <c r="G49" s="26" t="n">
        <f aca="false">IF(COUNT(Loans_Pay_Rng)&gt;0,SUM(Loans_Pay_Rng),IF(ISBLANK(C49),IF(AND(Fill_Example="Yes",F49&lt;&gt;""),F49,0),IF(IF(ISNUMBER(C49),AND(C49&gt;=0,C49&lt;=100000000),FALSE()),C49,0)))</f>
        <v>100</v>
      </c>
      <c r="H49" s="26" t="n">
        <f aca="false">IF(COUNT(Loans_Pay_Rng)&gt;0,1,IF(ISBLANK(C49),IF(AND(Fill_Example="Yes",F49&lt;&gt;""),1,0),IF(IF(ISNUMBER(C49),AND(C49&gt;=0,C49&lt;=100000000),FALSE()),1,0)))</f>
        <v>1</v>
      </c>
    </row>
    <row r="50" customFormat="false" ht="15" hidden="false" customHeight="true" outlineLevel="0" collapsed="false">
      <c r="B50" s="20" t="s">
        <v>1016</v>
      </c>
      <c r="C50" s="24"/>
      <c r="D50" s="20" t="s">
        <v>939</v>
      </c>
      <c r="E50" s="25" t="s">
        <v>1017</v>
      </c>
      <c r="F50" s="25"/>
      <c r="G50" s="26" t="n">
        <f aca="false">IF(ISNUMBER(Loans_Rate_Avg),ROUND(Loans_Rate_Avg,6),IF(ISBLANK(C50),IF(AND(Fill_Example="Yes",F50&lt;&gt;""),F50,0),IF(IF(ISNUMBER(C50),AND(C50&gt;=0,C50&lt;=0.3),FALSE()),C50,0)))</f>
        <v>0</v>
      </c>
      <c r="H50" s="26" t="n">
        <f aca="false">IF(ISBLANK(C50),IF(AND(Fill_Example="Yes",F50&lt;&gt;""),1,0),IF(IF(ISNUMBER(C50),AND(C50&gt;=0,C50&lt;=0.3),FALSE()),1,0))</f>
        <v>0</v>
      </c>
    </row>
    <row r="51" customFormat="false" ht="15" hidden="false" customHeight="true" outlineLevel="0" collapsed="false">
      <c r="B51" s="20" t="s">
        <v>1018</v>
      </c>
      <c r="C51" s="24"/>
      <c r="D51" s="20" t="s">
        <v>966</v>
      </c>
      <c r="E51" s="25" t="s">
        <v>1019</v>
      </c>
      <c r="F51" s="25" t="n">
        <v>0</v>
      </c>
      <c r="G51" s="26" t="n">
        <f aca="false">IF(ISBLANK(C51),IF(AND(Fill_Example="Yes",F51&lt;&gt;""),F51,0),IF(IF(ISNUMBER(C51),AND(C51&gt;=0,C51&lt;=100000000),FALSE()),C51,0))</f>
        <v>0</v>
      </c>
      <c r="H51" s="26" t="n">
        <f aca="false">IF(ISBLANK(C51),IF(AND(Fill_Example="Yes",F51&lt;&gt;""),1,0),IF(IF(ISNUMBER(C51),AND(C51&gt;=0,C51&lt;=100000000),FALSE()),1,0))</f>
        <v>1</v>
      </c>
    </row>
    <row r="52" customFormat="false" ht="15" hidden="false" customHeight="true" outlineLevel="0" collapsed="false">
      <c r="B52" s="20" t="s">
        <v>1020</v>
      </c>
      <c r="C52" s="24"/>
      <c r="D52" s="20" t="s">
        <v>947</v>
      </c>
      <c r="E52" s="25" t="s">
        <v>1021</v>
      </c>
      <c r="F52" s="25" t="n">
        <v>0</v>
      </c>
      <c r="G52" s="26" t="n">
        <f aca="false">IF(ISBLANK(C52),IF(AND(Fill_Example="Yes",F52&lt;&gt;""),F52,0),IF(IF(ISNUMBER(C52),AND(C52&gt;=0,C52&lt;=100000000),FALSE()),C52,0))</f>
        <v>0</v>
      </c>
      <c r="H52" s="26" t="n">
        <f aca="false">IF(ISBLANK(C52),IF(AND(Fill_Example="Yes",F52&lt;&gt;""),1,0),IF(IF(ISNUMBER(C52),AND(C52&gt;=0,C52&lt;=100000000),FALSE()),1,0))</f>
        <v>1</v>
      </c>
    </row>
    <row r="53" customFormat="false" ht="15" hidden="false" customHeight="true" outlineLevel="0" collapsed="false">
      <c r="B53" s="20" t="s">
        <v>1022</v>
      </c>
      <c r="C53" s="24"/>
      <c r="D53" s="20" t="s">
        <v>966</v>
      </c>
      <c r="E53" s="25" t="s">
        <v>1023</v>
      </c>
      <c r="F53" s="25" t="n">
        <v>72000</v>
      </c>
      <c r="G53" s="26" t="n">
        <f aca="false">IF(COUNT(Pens_Value_Rng)&gt;0,SUM(Pens_Value_Rng),IF(ISBLANK(C53),IF(AND(Fill_Example="Yes",F53&lt;&gt;""),F53,0),IF(IF(ISNUMBER(C53),AND(C53&gt;=0,C53&lt;=100000000),FALSE()),C53,0)))</f>
        <v>72000</v>
      </c>
      <c r="H53" s="26" t="n">
        <f aca="false">IF(COUNT(Pens_Value_Rng)&gt;0,1,IF(ISBLANK(C53),IF(AND(Fill_Example="Yes",F53&lt;&gt;""),1,0),IF(IF(ISNUMBER(C53),AND(C53&gt;=0,C53&lt;=100000000),FALSE()),1,0)))</f>
        <v>1</v>
      </c>
    </row>
    <row r="54" customFormat="false" ht="15" hidden="false" customHeight="true" outlineLevel="0" collapsed="false">
      <c r="B54" s="20" t="s">
        <v>1024</v>
      </c>
      <c r="C54" s="24"/>
      <c r="D54" s="20" t="s">
        <v>947</v>
      </c>
      <c r="E54" s="25" t="s">
        <v>1025</v>
      </c>
      <c r="F54" s="25" t="n">
        <v>520</v>
      </c>
      <c r="G54" s="26" t="n">
        <f aca="false">IF(COUNT(Pens_Monthly_Rng)&gt;0,SUM(Pens_Monthly_Rng),IF(ISBLANK(C54),IF(AND(Fill_Example="Yes",F54&lt;&gt;""),F54,0),IF(IF(ISNUMBER(C54),AND(C54&gt;=0,C54&lt;=100000000),FALSE()),C54,0)))</f>
        <v>520</v>
      </c>
      <c r="H54" s="26" t="n">
        <f aca="false">IF(COUNT(Pens_Monthly_Rng)&gt;0,1,IF(ISBLANK(C54),IF(AND(Fill_Example="Yes",F54&lt;&gt;""),1,0),IF(IF(ISNUMBER(C54),AND(C54&gt;=0,C54&lt;=100000000),FALSE()),1,0)))</f>
        <v>1</v>
      </c>
    </row>
    <row r="55" customFormat="false" ht="15" hidden="false" customHeight="true" outlineLevel="0" collapsed="false">
      <c r="B55" s="20" t="s">
        <v>1026</v>
      </c>
      <c r="C55" s="24"/>
      <c r="D55" s="20" t="s">
        <v>947</v>
      </c>
      <c r="E55" s="25" t="s">
        <v>1027</v>
      </c>
      <c r="F55" s="25"/>
      <c r="G55" s="26" t="n">
        <f aca="false">IF(COUNT(Pens_Monthly_Rng)&gt;0,IF(Pens_OwnGiven=1,Pens_Own_Total,0),IF(ISBLANK(C55),IF(AND(Fill_Example="Yes",F55&lt;&gt;""),F55,0),IF(IF(ISNUMBER(C55),AND(C55&gt;=0,C55&lt;=100000000),FALSE()),C55,0)))</f>
        <v>0</v>
      </c>
      <c r="H55" s="26" t="n">
        <f aca="false">IF(COUNT(Pens_Monthly_Rng)&gt;0,Pens_OwnGiven,IF(ISBLANK(C55),IF(AND(Fill_Example="Yes",F55&lt;&gt;""),1,0),IF(IF(ISNUMBER(C55),AND(C55&gt;=0,C55&lt;=100000000),FALSE()),1,0)))</f>
        <v>0</v>
      </c>
    </row>
    <row r="56" customFormat="false" ht="15" hidden="false" customHeight="true" outlineLevel="0" collapsed="false">
      <c r="B56" s="20" t="s">
        <v>1028</v>
      </c>
      <c r="C56" s="24"/>
      <c r="D56" s="20" t="s">
        <v>939</v>
      </c>
      <c r="E56" s="25" t="s">
        <v>1029</v>
      </c>
      <c r="F56" s="25"/>
      <c r="G56" s="26" t="n">
        <f aca="false">IF(ISBLANK(C56),IF(AND(Fill_Example="Yes",F56&lt;&gt;""),F56,0),IF(IF(ISNUMBER(C56),AND(C56&gt;=0,C56&lt;=0.05),FALSE()),C56,0))</f>
        <v>0</v>
      </c>
      <c r="H56" s="26" t="n">
        <f aca="false">IF(ISBLANK(C56),IF(AND(Fill_Example="Yes",F56&lt;&gt;""),1,0),IF(IF(ISNUMBER(C56),AND(C56&gt;=0,C56&lt;=0.05),FALSE()),1,0))</f>
        <v>0</v>
      </c>
    </row>
    <row r="57" customFormat="false" ht="15" hidden="false" customHeight="true" outlineLevel="0" collapsed="false">
      <c r="B57" s="20" t="s">
        <v>1030</v>
      </c>
      <c r="C57" s="24"/>
      <c r="E57" s="25" t="s">
        <v>1031</v>
      </c>
      <c r="F57" s="25"/>
      <c r="G57" s="26" t="n">
        <f aca="false">IF(ISBLANK(C57),IF(Fill_Example="Yes",F57,""),IF(ISNUMBER(MATCH(C57,{"Yes","No","Not sure"},0)),C57,""))</f>
        <v>0</v>
      </c>
      <c r="H57" s="26" t="n">
        <f aca="false">IF(G57="",0,1)</f>
        <v>0</v>
      </c>
    </row>
    <row r="58" customFormat="false" ht="15" hidden="false" customHeight="true" outlineLevel="0" collapsed="false">
      <c r="B58" s="20" t="s">
        <v>1032</v>
      </c>
      <c r="C58" s="24"/>
      <c r="E58" s="25" t="s">
        <v>1033</v>
      </c>
      <c r="F58" s="25" t="s">
        <v>1034</v>
      </c>
      <c r="G58" s="26" t="str">
        <f aca="false">IF(ISBLANK(C58),IF(Fill_Example="Yes",F58,""),IF(ISNUMBER(MATCH(C58,{"Expect full","Partly","Not sure"},0)),C58,""))</f>
        <v>Expect full</v>
      </c>
      <c r="H58" s="26" t="n">
        <f aca="false">IF(G58="",0,1)</f>
        <v>1</v>
      </c>
    </row>
    <row r="59" customFormat="false" ht="15" hidden="false" customHeight="true" outlineLevel="0" collapsed="false">
      <c r="B59" s="20" t="s">
        <v>1035</v>
      </c>
      <c r="C59" s="24"/>
      <c r="D59" s="20" t="s">
        <v>1004</v>
      </c>
      <c r="E59" s="25" t="s">
        <v>1036</v>
      </c>
      <c r="F59" s="25"/>
      <c r="G59" s="26" t="n">
        <f aca="false">IF(ISBLANK(C59),IF(AND(Fill_Example="Yes",F59&lt;&gt;""),F59,0),IF(IF(ISNUMBER(C59),AND(C59&gt;=0,C59&lt;=45,C59=INT(C59)),FALSE()),C59,0))</f>
        <v>0</v>
      </c>
      <c r="H59" s="26" t="n">
        <f aca="false">IF(ISBLANK(C59),IF(AND(Fill_Example="Yes",F59&lt;&gt;""),1,0),IF(IF(ISNUMBER(C59),AND(C59&gt;=0,C59&lt;=45,C59=INT(C59)),FALSE()),1,0))</f>
        <v>0</v>
      </c>
    </row>
    <row r="60" customFormat="false" ht="15" hidden="false" customHeight="true" outlineLevel="0" collapsed="false">
      <c r="B60" s="20" t="s">
        <v>1037</v>
      </c>
      <c r="C60" s="24"/>
      <c r="E60" s="25" t="s">
        <v>1038</v>
      </c>
      <c r="F60" s="25"/>
      <c r="G60" s="26" t="n">
        <f aca="false">IF(ISBLANK(C60),IF(Fill_Example="Yes",F60,""),IF(ISNUMBER(MATCH(C60,{"Own full","Own partial","Qualified adult increase","None","Not sure"},0)),C60,""))</f>
        <v>0</v>
      </c>
      <c r="H60" s="26" t="n">
        <f aca="false">IF(G60="",0,1)</f>
        <v>0</v>
      </c>
    </row>
    <row r="61" customFormat="false" ht="15" hidden="false" customHeight="true" outlineLevel="0" collapsed="false">
      <c r="B61" s="20" t="s">
        <v>1039</v>
      </c>
      <c r="C61" s="24"/>
      <c r="E61" s="25" t="s">
        <v>1040</v>
      </c>
      <c r="F61" s="25" t="s">
        <v>3</v>
      </c>
      <c r="G61" s="26" t="str">
        <f aca="false">IF(ISBLANK(C61),IF(Fill_Example="Yes",F61,""),IF(ISNUMBER(MATCH(C61,{"Yes","No","Not sure"},0)),C61,""))</f>
        <v>Yes</v>
      </c>
      <c r="H61" s="26" t="n">
        <f aca="false">IF(G61="",0,1)</f>
        <v>1</v>
      </c>
    </row>
    <row r="62" customFormat="false" ht="15" hidden="false" customHeight="true" outlineLevel="0" collapsed="false">
      <c r="B62" s="20" t="s">
        <v>1041</v>
      </c>
      <c r="C62" s="24"/>
      <c r="E62" s="25" t="s">
        <v>1042</v>
      </c>
      <c r="F62" s="25" t="s">
        <v>452</v>
      </c>
      <c r="G62" s="26" t="str">
        <f aca="false">IF(ISBLANK(C62),IF(Fill_Example="Yes",F62,""),IF(ISNUMBER(MATCH(C62,{"Yes","No","Not sure"},0)),C62,""))</f>
        <v>No</v>
      </c>
      <c r="H62" s="26" t="n">
        <f aca="false">IF(G62="",0,1)</f>
        <v>1</v>
      </c>
    </row>
    <row r="63" customFormat="false" ht="15" hidden="false" customHeight="true" outlineLevel="0" collapsed="false">
      <c r="B63" s="20" t="s">
        <v>1043</v>
      </c>
      <c r="C63" s="24"/>
      <c r="E63" s="25" t="s">
        <v>1044</v>
      </c>
      <c r="F63" s="25" t="s">
        <v>1045</v>
      </c>
      <c r="G63" s="26" t="str">
        <f aca="false">IF(ISBLANK(C63),IF(Fill_Example="Yes",F63,""),IF(ISNUMBER(MATCH(C63,{"Yes","No","Not sure"},0)),C63,""))</f>
        <v>Not sure</v>
      </c>
      <c r="H63" s="26" t="n">
        <f aca="false">IF(G63="",0,1)</f>
        <v>1</v>
      </c>
    </row>
    <row r="64" customFormat="false" ht="15" hidden="false" customHeight="true" outlineLevel="0" collapsed="false">
      <c r="B64" s="20" t="s">
        <v>1046</v>
      </c>
      <c r="C64" s="24"/>
      <c r="E64" s="25" t="s">
        <v>1047</v>
      </c>
      <c r="F64" s="25" t="s">
        <v>3</v>
      </c>
      <c r="G64" s="26" t="str">
        <f aca="false">IF(ISBLANK(C64),IF(Fill_Example="Yes",F64,""),IF(ISNUMBER(MATCH(C64,{"Yes","No","Not sure"},0)),C64,""))</f>
        <v>Yes</v>
      </c>
      <c r="H64" s="26" t="n">
        <f aca="false">IF(G64="",0,1)</f>
        <v>1</v>
      </c>
    </row>
    <row r="65" customFormat="false" ht="15" hidden="false" customHeight="true" outlineLevel="0" collapsed="false">
      <c r="B65" s="20" t="s">
        <v>1048</v>
      </c>
      <c r="C65" s="24"/>
      <c r="E65" s="25" t="s">
        <v>1049</v>
      </c>
      <c r="F65" s="25" t="s">
        <v>3</v>
      </c>
      <c r="G65" s="26" t="str">
        <f aca="false">IF(ISBLANK(C65),IF(Fill_Example="Yes",F65,""),IF(ISNUMBER(MATCH(C65,{"Yes","No","Not sure"},0)),C65,""))</f>
        <v>Yes</v>
      </c>
      <c r="H65" s="26" t="n">
        <f aca="false">IF(G65="",0,1)</f>
        <v>1</v>
      </c>
    </row>
    <row r="67" customFormat="false" ht="15" hidden="false" customHeight="true" outlineLevel="0" collapsed="false">
      <c r="B67" s="23" t="s">
        <v>1050</v>
      </c>
      <c r="C67" s="23" t="s">
        <v>914</v>
      </c>
      <c r="D67" s="23" t="s">
        <v>915</v>
      </c>
      <c r="E67" s="23" t="s">
        <v>916</v>
      </c>
      <c r="F67" s="23" t="s">
        <v>917</v>
      </c>
      <c r="G67" s="23" t="s">
        <v>918</v>
      </c>
      <c r="H67" s="23" t="s">
        <v>919</v>
      </c>
    </row>
    <row r="68" customFormat="false" ht="15" hidden="false" customHeight="true" outlineLevel="0" collapsed="false">
      <c r="B68" s="20" t="s">
        <v>1051</v>
      </c>
      <c r="C68" s="24"/>
      <c r="E68" s="25" t="s">
        <v>1052</v>
      </c>
      <c r="F68" s="25"/>
      <c r="G68" s="26" t="n">
        <f aca="false">IF(ISBLANK(C68),IF(Fill_Example="Yes",F68,""),IF(ISNUMBER(MATCH(C68,{"Yes","No"},0)),C68,""))</f>
        <v>0</v>
      </c>
      <c r="H68" s="26" t="n">
        <f aca="false">IF(G68="",0,1)</f>
        <v>0</v>
      </c>
    </row>
    <row r="69" customFormat="false" ht="15" hidden="false" customHeight="true" outlineLevel="0" collapsed="false">
      <c r="B69" s="20" t="s">
        <v>1053</v>
      </c>
      <c r="C69" s="24"/>
      <c r="E69" s="25" t="s">
        <v>1054</v>
      </c>
      <c r="F69" s="25"/>
      <c r="G69" s="26" t="n">
        <f aca="false">IF(ISBLANK(C69),IF(Fill_Example="Yes",F69,""),IF(TRUE(),C69,""))</f>
        <v>0</v>
      </c>
      <c r="H69" s="26" t="n">
        <f aca="false">IF(G69="",0,1)</f>
        <v>0</v>
      </c>
    </row>
    <row r="70" customFormat="false" ht="15" hidden="false" customHeight="true" outlineLevel="0" collapsed="false">
      <c r="B70" s="20" t="s">
        <v>1055</v>
      </c>
      <c r="C70" s="24"/>
      <c r="E70" s="25" t="s">
        <v>1056</v>
      </c>
      <c r="F70" s="25"/>
      <c r="G70" s="26" t="n">
        <f aca="false">IF(ISBLANK(C70),IF(Fill_Example="Yes",F70,""),IF(ISNUMBER(MATCH(C70,{"Yes","No"},0)),C70,""))</f>
        <v>0</v>
      </c>
      <c r="H70" s="26" t="n">
        <f aca="false">IF(G70="",0,1)</f>
        <v>0</v>
      </c>
    </row>
    <row r="71" customFormat="false" ht="15" hidden="false" customHeight="true" outlineLevel="0" collapsed="false">
      <c r="B71" s="20" t="s">
        <v>1057</v>
      </c>
      <c r="C71" s="24"/>
      <c r="E71" s="25" t="s">
        <v>1058</v>
      </c>
      <c r="F71" s="25"/>
      <c r="G71" s="26" t="n">
        <f aca="false">IF(ISBLANK(C71),IF(Fill_Example="Yes",F71,""),IF(ISNUMBER(MATCH(C71,{"Yes","No"},0)),C71,""))</f>
        <v>0</v>
      </c>
      <c r="H71" s="26" t="n">
        <f aca="false">IF(G71="",0,1)</f>
        <v>0</v>
      </c>
    </row>
    <row r="72" customFormat="false" ht="15" hidden="false" customHeight="true" outlineLevel="0" collapsed="false">
      <c r="B72" s="20" t="s">
        <v>1059</v>
      </c>
      <c r="C72" s="24"/>
      <c r="E72" s="25" t="s">
        <v>1060</v>
      </c>
      <c r="F72" s="25"/>
      <c r="G72" s="26" t="n">
        <f aca="false">IF(ISBLANK(C72),IF(Fill_Example="Yes",F72,""),IF(ISNUMBER(MATCH(C72,{"Yes","No"},0)),C72,""))</f>
        <v>0</v>
      </c>
      <c r="H72" s="26" t="n">
        <f aca="false">IF(G72="",0,1)</f>
        <v>0</v>
      </c>
    </row>
    <row r="73" customFormat="false" ht="15" hidden="false" customHeight="true" outlineLevel="0" collapsed="false">
      <c r="B73" s="20" t="s">
        <v>1061</v>
      </c>
      <c r="C73" s="24"/>
      <c r="E73" s="25" t="s">
        <v>1062</v>
      </c>
      <c r="F73" s="25"/>
      <c r="G73" s="26" t="n">
        <f aca="false">IF(ISBLANK(C73),IF(Fill_Example="Yes",F73,""),IF(ISNUMBER(MATCH(C73,{"Yes","No"},0)),C73,""))</f>
        <v>0</v>
      </c>
      <c r="H73" s="26" t="n">
        <f aca="false">IF(G73="",0,1)</f>
        <v>0</v>
      </c>
    </row>
    <row r="74" customFormat="false" ht="15" hidden="false" customHeight="true" outlineLevel="0" collapsed="false">
      <c r="B74" s="20" t="s">
        <v>1063</v>
      </c>
      <c r="C74" s="24"/>
      <c r="E74" s="25" t="s">
        <v>1064</v>
      </c>
      <c r="F74" s="25"/>
      <c r="G74" s="26" t="n">
        <f aca="false">IF(ISBLANK(C74),IF(Fill_Example="Yes",F74,""),IF(ISNUMBER(MATCH(C74,{"Yes","No"},0)),C74,""))</f>
        <v>0</v>
      </c>
      <c r="H74" s="26" t="n">
        <f aca="false">IF(G74="",0,1)</f>
        <v>0</v>
      </c>
    </row>
    <row r="75" customFormat="false" ht="15" hidden="false" customHeight="true" outlineLevel="0" collapsed="false">
      <c r="B75" s="20" t="s">
        <v>1065</v>
      </c>
      <c r="C75" s="24"/>
      <c r="E75" s="25" t="s">
        <v>1066</v>
      </c>
      <c r="F75" s="25"/>
      <c r="G75" s="26" t="n">
        <f aca="false">IF(ISBLANK(C75),IF(Fill_Example="Yes",F75,""),IF(ISNUMBER(MATCH(C75,{"Yes","No"},0)),C75,""))</f>
        <v>0</v>
      </c>
      <c r="H75" s="26" t="n">
        <f aca="false">IF(G75="",0,1)</f>
        <v>0</v>
      </c>
    </row>
    <row r="76" customFormat="false" ht="15" hidden="false" customHeight="true" outlineLevel="0" collapsed="false">
      <c r="B76" s="20" t="s">
        <v>1067</v>
      </c>
      <c r="C76" s="24"/>
      <c r="E76" s="25" t="s">
        <v>1068</v>
      </c>
      <c r="F76" s="25"/>
      <c r="G76" s="26" t="n">
        <f aca="false">IF(ISBLANK(C76),IF(Fill_Example="Yes",F76,""),IF(ISNUMBER(MATCH(C76,{"Yes","No"},0)),C76,""))</f>
        <v>0</v>
      </c>
      <c r="H76" s="26" t="n">
        <f aca="false">IF(G76="",0,1)</f>
        <v>0</v>
      </c>
    </row>
    <row r="77" customFormat="false" ht="15" hidden="false" customHeight="true" outlineLevel="0" collapsed="false">
      <c r="B77" s="20" t="s">
        <v>1069</v>
      </c>
      <c r="C77" s="24"/>
      <c r="E77" s="25" t="s">
        <v>1070</v>
      </c>
      <c r="F77" s="25"/>
      <c r="G77" s="26" t="n">
        <f aca="false">IF(ISBLANK(C77),IF(Fill_Example="Yes",F77,""),IF(ISNUMBER(MATCH(C77,{"Yes","No"},0)),C77,""))</f>
        <v>0</v>
      </c>
      <c r="H77" s="26" t="n">
        <f aca="false">IF(G77="",0,1)</f>
        <v>0</v>
      </c>
    </row>
    <row r="78" customFormat="false" ht="15" hidden="false" customHeight="true" outlineLevel="0" collapsed="false">
      <c r="B78" s="20" t="s">
        <v>1071</v>
      </c>
      <c r="C78" s="24"/>
      <c r="E78" s="25" t="s">
        <v>1072</v>
      </c>
      <c r="F78" s="25" t="s">
        <v>1073</v>
      </c>
      <c r="G78" s="26" t="str">
        <f aca="false">IF(ISBLANK(C78),IF(Fill_Example="Yes",F78,""),IF(TRUE(),C78,""))</f>
        <v>pension</v>
      </c>
      <c r="H78" s="26" t="n">
        <f aca="false">IF(G78="",0,1)</f>
        <v>1</v>
      </c>
    </row>
    <row r="79" customFormat="false" ht="15" hidden="false" customHeight="true" outlineLevel="0" collapsed="false">
      <c r="B79" s="20" t="s">
        <v>1074</v>
      </c>
      <c r="C79" s="24"/>
      <c r="E79" s="25" t="s">
        <v>1075</v>
      </c>
      <c r="F79" s="25"/>
      <c r="G79" s="26" t="n">
        <f aca="false">IF(ISBLANK(C79),IF(Fill_Example="Yes",F79,""),IF(TRUE(),C79,""))</f>
        <v>0</v>
      </c>
      <c r="H79" s="26" t="n">
        <f aca="false">IF(G79="",0,1)</f>
        <v>0</v>
      </c>
    </row>
    <row r="81" customFormat="false" ht="15" hidden="false" customHeight="true" outlineLevel="0" collapsed="false">
      <c r="B81" s="23" t="s">
        <v>1076</v>
      </c>
      <c r="C81" s="23" t="s">
        <v>914</v>
      </c>
      <c r="D81" s="23" t="s">
        <v>915</v>
      </c>
      <c r="E81" s="23" t="s">
        <v>916</v>
      </c>
      <c r="F81" s="23" t="s">
        <v>917</v>
      </c>
      <c r="G81" s="23" t="s">
        <v>918</v>
      </c>
      <c r="H81" s="23" t="s">
        <v>919</v>
      </c>
    </row>
    <row r="82" customFormat="false" ht="15" hidden="false" customHeight="true" outlineLevel="0" collapsed="false">
      <c r="B82" s="20" t="s">
        <v>1077</v>
      </c>
      <c r="C82" s="24"/>
      <c r="D82" s="20" t="s">
        <v>939</v>
      </c>
      <c r="E82" s="25" t="s">
        <v>1078</v>
      </c>
      <c r="F82" s="29" t="n">
        <f aca="false">Set_inv</f>
        <v>0.026</v>
      </c>
      <c r="G82" s="30" t="n">
        <f aca="false">IF(ISBLANK(C82),IF(AND(Fill_Example="Yes",F82&lt;&gt;""),F82,""),IF(IF(ISNUMBER(C82),AND(C82&gt;=0,C82&lt;=0.07),FALSE()),C82,""))</f>
        <v>0.026</v>
      </c>
      <c r="H82" s="26" t="n">
        <f aca="false">IF(G82="",0,1)</f>
        <v>1</v>
      </c>
    </row>
    <row r="83" customFormat="false" ht="15" hidden="false" customHeight="true" outlineLevel="0" collapsed="false">
      <c r="B83" s="20" t="s">
        <v>1079</v>
      </c>
      <c r="C83" s="24"/>
      <c r="D83" s="20" t="s">
        <v>939</v>
      </c>
      <c r="E83" s="25" t="s">
        <v>1080</v>
      </c>
      <c r="F83" s="29" t="n">
        <f aca="false">Set_cash</f>
        <v>0.01</v>
      </c>
      <c r="G83" s="30" t="n">
        <f aca="false">IF(ISBLANK(C83),IF(AND(Fill_Example="Yes",F83&lt;&gt;""),F83,""),IF(IF(ISNUMBER(C83),AND(C83&gt;=0,C83&lt;=0.04),FALSE()),C83,""))</f>
        <v>0.01</v>
      </c>
      <c r="H83" s="26" t="n">
        <f aca="false">IF(G83="",0,1)</f>
        <v>1</v>
      </c>
    </row>
    <row r="84" customFormat="false" ht="15" hidden="false" customHeight="true" outlineLevel="0" collapsed="false">
      <c r="B84" s="20" t="s">
        <v>1081</v>
      </c>
      <c r="C84" s="24"/>
      <c r="D84" s="20" t="s">
        <v>939</v>
      </c>
      <c r="E84" s="25" t="s">
        <v>1082</v>
      </c>
      <c r="F84" s="29" t="n">
        <f aca="false">Set_pen</f>
        <v>0.045</v>
      </c>
      <c r="G84" s="30" t="n">
        <f aca="false">IF(ISBLANK(C84),IF(AND(Fill_Example="Yes",F84&lt;&gt;""),F84,""),IF(IF(ISNUMBER(C84),AND(C84&gt;=0,C84&lt;=0.07),FALSE()),C84,""))</f>
        <v>0.045</v>
      </c>
      <c r="H84" s="26" t="n">
        <f aca="false">IF(G84="",0,1)</f>
        <v>1</v>
      </c>
    </row>
    <row r="85" customFormat="false" ht="15" hidden="false" customHeight="true" outlineLevel="0" collapsed="false">
      <c r="B85" s="20" t="s">
        <v>1083</v>
      </c>
      <c r="C85" s="24"/>
      <c r="D85" s="20" t="s">
        <v>939</v>
      </c>
      <c r="E85" s="25" t="s">
        <v>1084</v>
      </c>
      <c r="F85" s="29" t="n">
        <f aca="false">Set_penRet</f>
        <v>0.0315</v>
      </c>
      <c r="G85" s="30" t="n">
        <f aca="false">IF(ISBLANK(C85),IF(AND(Fill_Example="Yes",F85&lt;&gt;""),F85,""),IF(IF(ISNUMBER(C85),AND(C85&gt;=0,C85&lt;=0.07),FALSE()),C85,""))</f>
        <v>0.0315</v>
      </c>
      <c r="H85" s="26" t="n">
        <f aca="false">IF(G85="",0,1)</f>
        <v>1</v>
      </c>
    </row>
    <row r="86" customFormat="false" ht="15" hidden="false" customHeight="true" outlineLevel="0" collapsed="false">
      <c r="B86" s="20" t="s">
        <v>1085</v>
      </c>
      <c r="C86" s="24"/>
      <c r="D86" s="20" t="s">
        <v>939</v>
      </c>
      <c r="E86" s="25" t="s">
        <v>1086</v>
      </c>
      <c r="F86" s="29" t="n">
        <f aca="false">Set_wage</f>
        <v>0.03</v>
      </c>
      <c r="G86" s="30" t="n">
        <f aca="false">IF(ISBLANK(C86),IF(AND(Fill_Example="Yes",F86&lt;&gt;""),F86,""),IF(IF(ISNUMBER(C86),AND(C86&gt;=0,C86&lt;=0.06),FALSE()),C86,""))</f>
        <v>0.03</v>
      </c>
      <c r="H86" s="26" t="n">
        <f aca="false">IF(G86="",0,1)</f>
        <v>1</v>
      </c>
    </row>
    <row r="87" customFormat="false" ht="15" hidden="false" customHeight="true" outlineLevel="0" collapsed="false">
      <c r="B87" s="20" t="s">
        <v>1087</v>
      </c>
      <c r="C87" s="24"/>
      <c r="E87" s="25" t="s">
        <v>1088</v>
      </c>
      <c r="F87" s="25" t="str">
        <f aca="false">Set_bands</f>
        <v>prices</v>
      </c>
      <c r="G87" s="26" t="str">
        <f aca="false">IF(ISBLANK(C87),IF(AND(Fill_Example="Yes",F87&lt;&gt;""),F87,""),IF(ISNUMBER(MATCH(C87,{"prices","flat"},0)),C87,""))</f>
        <v>prices</v>
      </c>
      <c r="H87" s="26" t="n">
        <f aca="false">IF(G87="",0,1)</f>
        <v>1</v>
      </c>
    </row>
    <row r="88" customFormat="false" ht="15" hidden="false" customHeight="true" outlineLevel="0" collapsed="false">
      <c r="B88" s="20" t="s">
        <v>1089</v>
      </c>
      <c r="C88" s="24"/>
      <c r="E88" s="25" t="s">
        <v>1090</v>
      </c>
      <c r="F88" s="25" t="str">
        <f aca="false">Set_spGrow</f>
        <v>prices</v>
      </c>
      <c r="G88" s="26" t="str">
        <f aca="false">IF(ISBLANK(C88),IF(AND(Fill_Example="Yes",F88&lt;&gt;""),F88,""),IF(ISNUMBER(MATCH(C88,{"prices","pay","flat"},0)),C88,""))</f>
        <v>prices</v>
      </c>
      <c r="H88" s="26" t="n">
        <f aca="false">IF(G88="",0,1)</f>
        <v>1</v>
      </c>
    </row>
    <row r="89" customFormat="false" ht="15" hidden="false" customHeight="true" outlineLevel="0" collapsed="false">
      <c r="B89" s="20" t="s">
        <v>1091</v>
      </c>
      <c r="C89" s="24"/>
      <c r="D89" s="20" t="s">
        <v>939</v>
      </c>
      <c r="E89" s="25" t="s">
        <v>1092</v>
      </c>
      <c r="F89" s="29" t="n">
        <f aca="false">IF(In_work="Self-employed",1,Set_ownShare)</f>
        <v>0.5</v>
      </c>
      <c r="G89" s="30" t="n">
        <f aca="false">IF(ISBLANK(C89),IF(AND(Fill_Example="Yes",F89&lt;&gt;""),F89,""),IF(IF(ISNUMBER(C89),AND(C89&gt;=0,C89&lt;=1),FALSE()),C89,""))</f>
        <v>0.5</v>
      </c>
      <c r="H89" s="26" t="n">
        <f aca="false">IF(G89="",0,1)</f>
        <v>1</v>
      </c>
    </row>
    <row r="90" customFormat="false" ht="15" hidden="false" customHeight="true" outlineLevel="0" collapsed="false">
      <c r="B90" s="20" t="s">
        <v>1093</v>
      </c>
      <c r="C90" s="24"/>
      <c r="D90" s="20" t="s">
        <v>934</v>
      </c>
      <c r="E90" s="25" t="s">
        <v>1094</v>
      </c>
      <c r="F90" s="25" t="n">
        <f aca="false">Set_accessAge</f>
        <v>60</v>
      </c>
      <c r="G90" s="26" t="n">
        <f aca="false">IF(ISBLANK(C90),IF(AND(Fill_Example="Yes",F90&lt;&gt;""),F90,""),IF(ISNUMBER(MATCH(C90,{50,60},0)),C90,""))</f>
        <v>60</v>
      </c>
      <c r="H90" s="26" t="n">
        <f aca="false">IF(G90="",0,1)</f>
        <v>1</v>
      </c>
    </row>
    <row r="91" customFormat="false" ht="15" hidden="false" customHeight="true" outlineLevel="0" collapsed="false">
      <c r="B91" s="20" t="s">
        <v>1095</v>
      </c>
      <c r="C91" s="24"/>
      <c r="D91" s="20" t="s">
        <v>939</v>
      </c>
      <c r="E91" s="25" t="s">
        <v>1096</v>
      </c>
      <c r="F91" s="29" t="n">
        <f aca="false">Set_retireSpend</f>
        <v>0.8</v>
      </c>
      <c r="G91" s="30" t="n">
        <f aca="false">IF(ISBLANK(C91),IF(AND(Fill_Example="Yes",F91&lt;&gt;""),F91,""),IF(IF(ISNUMBER(C91),AND(C91&gt;=0.5,C91&lt;=1.2),FALSE()),C91,""))</f>
        <v>0.8</v>
      </c>
      <c r="H91" s="26" t="n">
        <f aca="false">IF(G91="",0,1)</f>
        <v>1</v>
      </c>
    </row>
    <row r="92" customFormat="false" ht="15" hidden="false" customHeight="true" outlineLevel="0" collapsed="false">
      <c r="B92" s="20" t="s">
        <v>1097</v>
      </c>
      <c r="C92" s="24"/>
      <c r="D92" s="20" t="s">
        <v>939</v>
      </c>
      <c r="E92" s="25" t="s">
        <v>1098</v>
      </c>
      <c r="F92" s="29" t="n">
        <f aca="false">Set_lumpSum</f>
        <v>0.25</v>
      </c>
      <c r="G92" s="30" t="n">
        <f aca="false">IF(ISBLANK(C92),IF(AND(Fill_Example="Yes",F92&lt;&gt;""),F92,""),IF(IF(ISNUMBER(C92),AND(C92&gt;=0,C92&lt;=0.25),FALSE()),C92,""))</f>
        <v>0.25</v>
      </c>
      <c r="H92" s="26" t="n">
        <f aca="false">IF(G92="",0,1)</f>
        <v>1</v>
      </c>
    </row>
    <row r="93" customFormat="false" ht="15" hidden="false" customHeight="true" outlineLevel="0" collapsed="false">
      <c r="B93" s="20" t="s">
        <v>1099</v>
      </c>
      <c r="C93" s="24"/>
      <c r="E93" s="25" t="s">
        <v>1100</v>
      </c>
      <c r="F93" s="25" t="str">
        <f aca="false">Set_drawRule</f>
        <v>spread</v>
      </c>
      <c r="G93" s="26" t="str">
        <f aca="false">IF(ISBLANK(C93),IF(AND(Fill_Example="Yes",F93&lt;&gt;""),F93,""),IF(ISNUMBER(MATCH(C93,{"spread","min","fixed"},0)),C93,""))</f>
        <v>spread</v>
      </c>
      <c r="H93" s="26" t="n">
        <f aca="false">IF(G93="",0,1)</f>
        <v>1</v>
      </c>
    </row>
    <row r="94" customFormat="false" ht="15" hidden="false" customHeight="true" outlineLevel="0" collapsed="false">
      <c r="B94" s="20" t="s">
        <v>1101</v>
      </c>
      <c r="C94" s="24"/>
      <c r="D94" s="20" t="s">
        <v>966</v>
      </c>
      <c r="E94" s="25" t="s">
        <v>1102</v>
      </c>
      <c r="F94" s="25"/>
      <c r="G94" s="26" t="str">
        <f aca="false">IF(ISBLANK(C94),IF(AND(Fill_Example="Yes",F94&lt;&gt;""),F94,""),IF(IF(ISNUMBER(C94),AND(C94&gt;=0,C94&lt;=200000),FALSE()),C94,""))</f>
        <v/>
      </c>
      <c r="H94" s="26" t="n">
        <f aca="false">IF(G94="",0,1)</f>
        <v>0</v>
      </c>
    </row>
    <row r="95" customFormat="false" ht="15" hidden="false" customHeight="true" outlineLevel="0" collapsed="false">
      <c r="B95" s="20" t="s">
        <v>1103</v>
      </c>
      <c r="C95" s="24"/>
      <c r="D95" s="20" t="s">
        <v>1104</v>
      </c>
      <c r="E95" s="25" t="s">
        <v>1105</v>
      </c>
      <c r="F95" s="25" t="n">
        <f aca="false">IF(AS_TwoSecure=1,Set_safetyMonthsTwo,Set_safetyMonths)</f>
        <v>3</v>
      </c>
      <c r="G95" s="26" t="n">
        <f aca="false">IF(ISBLANK(C95),IF(AND(Fill_Example="Yes",F95&lt;&gt;""),F95,""),IF(IF(ISNUMBER(C95),AND(C95&gt;=1,C95&lt;=12,C95=INT(C95)),FALSE()),C95,""))</f>
        <v>3</v>
      </c>
      <c r="H95" s="26" t="n">
        <f aca="false">IF(G95="",0,1)</f>
        <v>1</v>
      </c>
    </row>
    <row r="96" customFormat="false" ht="15" hidden="false" customHeight="true" outlineLevel="0" collapsed="false">
      <c r="B96" s="20" t="s">
        <v>1106</v>
      </c>
      <c r="C96" s="24"/>
      <c r="D96" s="20" t="s">
        <v>1004</v>
      </c>
      <c r="E96" s="25" t="s">
        <v>1107</v>
      </c>
      <c r="F96" s="25" t="n">
        <f aca="false">Set_cashYears</f>
        <v>5</v>
      </c>
      <c r="G96" s="26" t="n">
        <f aca="false">IF(ISBLANK(C96),IF(AND(Fill_Example="Yes",F96&lt;&gt;""),F96,""),IF(IF(ISNUMBER(C96),AND(C96&gt;=1,C96&lt;=10,C96=INT(C96)),FALSE()),C96,""))</f>
        <v>5</v>
      </c>
      <c r="H96" s="26" t="n">
        <f aca="false">IF(G96="",0,1)</f>
        <v>1</v>
      </c>
    </row>
    <row r="97" customFormat="false" ht="15" hidden="false" customHeight="true" outlineLevel="0" collapsed="false">
      <c r="B97" s="20" t="s">
        <v>1108</v>
      </c>
      <c r="C97" s="24"/>
      <c r="D97" s="20" t="s">
        <v>939</v>
      </c>
      <c r="E97" s="25" t="s">
        <v>1109</v>
      </c>
      <c r="F97" s="29" t="n">
        <f aca="false">Set_investShare</f>
        <v>0.4</v>
      </c>
      <c r="G97" s="30" t="n">
        <f aca="false">IF(ISBLANK(C97),IF(AND(Fill_Example="Yes",F97&lt;&gt;""),F97,""),IF(IF(ISNUMBER(C97),AND(C97&gt;=0,C97&lt;=1),FALSE()),C97,""))</f>
        <v>0.4</v>
      </c>
      <c r="H97" s="26" t="n">
        <f aca="false">IF(G97="",0,1)</f>
        <v>1</v>
      </c>
    </row>
    <row r="98" customFormat="false" ht="15" hidden="false" customHeight="true" outlineLevel="0" collapsed="false">
      <c r="B98" s="20" t="s">
        <v>1110</v>
      </c>
      <c r="C98" s="24"/>
      <c r="D98" s="20" t="s">
        <v>939</v>
      </c>
      <c r="E98" s="25" t="s">
        <v>1111</v>
      </c>
      <c r="F98" s="29" t="n">
        <f aca="false">Set_saveShare</f>
        <v>0.5</v>
      </c>
      <c r="G98" s="30" t="n">
        <f aca="false">IF(ISBLANK(C98),IF(AND(Fill_Example="Yes",F98&lt;&gt;""),F98,""),IF(IF(ISNUMBER(C98),AND(C98&gt;=0,C98&lt;=1),FALSE()),C98,""))</f>
        <v>0.5</v>
      </c>
      <c r="H98" s="26" t="n">
        <f aca="false">IF(G98="",0,1)</f>
        <v>1</v>
      </c>
    </row>
    <row r="99" customFormat="false" ht="15" hidden="false" customHeight="true" outlineLevel="0" collapsed="false">
      <c r="B99" s="20" t="s">
        <v>1112</v>
      </c>
      <c r="C99" s="24"/>
      <c r="D99" s="20" t="s">
        <v>947</v>
      </c>
      <c r="E99" s="25" t="s">
        <v>1113</v>
      </c>
      <c r="F99" s="31" t="n">
        <f aca="false">Set_noAnswer</f>
        <v>300</v>
      </c>
      <c r="G99" s="32" t="n">
        <f aca="false">IF(ISBLANK(C99),IF(AND(Fill_Example="Yes",F99&lt;&gt;""),F99,""),IF(IF(ISNUMBER(C99),AND(C99&gt;=0,C99&lt;=5000),FALSE()),C99,""))</f>
        <v>300</v>
      </c>
      <c r="H99" s="26" t="n">
        <f aca="false">IF(G99="",0,1)</f>
        <v>1</v>
      </c>
    </row>
    <row r="100" customFormat="false" ht="15" hidden="false" customHeight="true" outlineLevel="0" collapsed="false">
      <c r="B100" s="20" t="s">
        <v>1114</v>
      </c>
      <c r="C100" s="24"/>
      <c r="D100" s="20" t="s">
        <v>934</v>
      </c>
      <c r="E100" s="25" t="s">
        <v>1115</v>
      </c>
      <c r="F100" s="25" t="n">
        <v>95</v>
      </c>
      <c r="G100" s="26" t="n">
        <f aca="false">IF(ISBLANK(C100),IF(AND(Fill_Example="Yes",F100&lt;&gt;""),F100,""),IF(IF(ISNUMBER(C100),AND(C100&gt;=50,C100&lt;=100,C100=INT(C100)),FALSE()),C100,""))</f>
        <v>95</v>
      </c>
      <c r="H100" s="26" t="n">
        <f aca="false">IF(G100="",0,1)</f>
        <v>1</v>
      </c>
    </row>
    <row r="101" customFormat="false" ht="15" hidden="false" customHeight="true" outlineLevel="0" collapsed="false">
      <c r="B101" s="20" t="s">
        <v>1116</v>
      </c>
      <c r="C101" s="24"/>
      <c r="D101" s="20" t="s">
        <v>1117</v>
      </c>
      <c r="E101" s="25" t="s">
        <v>1118</v>
      </c>
      <c r="F101" s="25" t="n">
        <f aca="false">Rules_Year</f>
        <v>2026</v>
      </c>
      <c r="G101" s="26" t="n">
        <f aca="false">IF(ISBLANK(C101),IF(AND(Fill_Example="Yes",F101&lt;&gt;""),F101,""),IF(C101=Rules_Year,C101,""))</f>
        <v>2026</v>
      </c>
      <c r="H101" s="26" t="n">
        <f aca="false">IF(G101="",0,1)</f>
        <v>1</v>
      </c>
    </row>
    <row r="102" customFormat="false" ht="15" hidden="false" customHeight="true" outlineLevel="0" collapsed="false">
      <c r="B102" s="20" t="s">
        <v>1119</v>
      </c>
      <c r="C102" s="24"/>
      <c r="D102" s="20" t="s">
        <v>939</v>
      </c>
      <c r="E102" s="25" t="s">
        <v>1120</v>
      </c>
      <c r="F102" s="25" t="n">
        <v>0.0375</v>
      </c>
      <c r="G102" s="26" t="n">
        <f aca="false">IF(ISBLANK(C102),IF(AND(Fill_Example="Yes",F102&lt;&gt;""),F102,""),IF(IF(ISNUMBER(C102),AND(C102&gt;=0.01,C102&lt;=0.08),FALSE()),C102,""))</f>
        <v>0.0375</v>
      </c>
      <c r="H102" s="26" t="n">
        <f aca="false">IF(G102="",0,1)</f>
        <v>1</v>
      </c>
    </row>
    <row r="103" customFormat="false" ht="15" hidden="false" customHeight="true" outlineLevel="0" collapsed="false">
      <c r="B103" s="20" t="s">
        <v>1121</v>
      </c>
      <c r="C103" s="24"/>
      <c r="D103" s="20" t="s">
        <v>939</v>
      </c>
      <c r="E103" s="25" t="s">
        <v>1122</v>
      </c>
      <c r="F103" s="25" t="n">
        <v>0.2</v>
      </c>
      <c r="G103" s="26" t="n">
        <f aca="false">IF(ISBLANK(C103),IF(AND(Fill_Example="Yes",F103&lt;&gt;""),F103,""),IF(IF(ISNUMBER(C103),AND(C103&gt;=0,C103&lt;=0.35),FALSE()),C103,""))</f>
        <v>0.2</v>
      </c>
      <c r="H103" s="26" t="n">
        <f aca="false">IF(G103="",0,1)</f>
        <v>1</v>
      </c>
    </row>
    <row r="104" customFormat="false" ht="15" hidden="false" customHeight="true" outlineLevel="0" collapsed="false">
      <c r="B104" s="20" t="s">
        <v>1123</v>
      </c>
      <c r="C104" s="24"/>
      <c r="D104" s="20" t="s">
        <v>939</v>
      </c>
      <c r="E104" s="25" t="s">
        <v>1124</v>
      </c>
      <c r="F104" s="25" t="n">
        <v>0.08</v>
      </c>
      <c r="G104" s="26" t="n">
        <f aca="false">IF(ISBLANK(C104),IF(AND(Fill_Example="Yes",F104&lt;&gt;""),F104,""),IF(IF(ISNUMBER(C104),AND(C104&gt;=0,C104&lt;=0.25),FALSE()),C104,""))</f>
        <v>0.08</v>
      </c>
      <c r="H104" s="26" t="n">
        <f aca="false">IF(G104="",0,1)</f>
        <v>1</v>
      </c>
    </row>
    <row r="105" customFormat="false" ht="15" hidden="false" customHeight="true" outlineLevel="0" collapsed="false">
      <c r="B105" s="20" t="s">
        <v>1125</v>
      </c>
      <c r="C105" s="24"/>
      <c r="D105" s="20" t="s">
        <v>1126</v>
      </c>
      <c r="E105" s="25" t="s">
        <v>1127</v>
      </c>
      <c r="F105" s="25"/>
      <c r="G105" s="26" t="str">
        <f aca="false">IF(ISBLANK(C105),IF(AND(Fill_Example="Yes",F105&lt;&gt;""),F105,""),IF(IF(ISNUMBER(C105),AND(C105&gt;=0,C105&lt;=299.3),FALSE()),C105,""))</f>
        <v/>
      </c>
      <c r="H105" s="26" t="n">
        <f aca="false">IF(G105="",0,1)</f>
        <v>0</v>
      </c>
    </row>
    <row r="106" customFormat="false" ht="15" hidden="false" customHeight="true" outlineLevel="0" collapsed="false">
      <c r="B106" s="20" t="s">
        <v>1128</v>
      </c>
      <c r="C106" s="24"/>
      <c r="D106" s="20" t="s">
        <v>1126</v>
      </c>
      <c r="E106" s="25" t="s">
        <v>1129</v>
      </c>
      <c r="F106" s="25" t="n">
        <v>239.44</v>
      </c>
      <c r="G106" s="26" t="n">
        <f aca="false">IF(ISBLANK(C106),IF(AND(Fill_Example="Yes",F106&lt;&gt;""),F106,""),IF(IF(ISNUMBER(C106),AND(C106&gt;=0,C106&lt;=299.3),FALSE()),C106,""))</f>
        <v>239.44</v>
      </c>
      <c r="H106" s="26" t="n">
        <f aca="false">IF(G106="",0,1)</f>
        <v>1</v>
      </c>
    </row>
    <row r="107" customFormat="false" ht="15" hidden="false" customHeight="true" outlineLevel="0" collapsed="false">
      <c r="B107" s="20" t="s">
        <v>1130</v>
      </c>
      <c r="C107" s="24"/>
      <c r="D107" s="20" t="s">
        <v>1004</v>
      </c>
      <c r="E107" s="25" t="s">
        <v>1131</v>
      </c>
      <c r="F107" s="25"/>
      <c r="G107" s="26" t="str">
        <f aca="false">IF(ISBLANK(C107),IF(AND(Fill_Example="Yes",F107&lt;&gt;""),F107,""),IF(IF(ISNUMBER(C107),AND(C107&gt;=0,C107&lt;=45,C107=INT(C107)),FALSE()),C107,""))</f>
        <v/>
      </c>
      <c r="H107" s="26" t="n">
        <f aca="false">IF(G107="",0,1)</f>
        <v>0</v>
      </c>
    </row>
    <row r="108" customFormat="false" ht="15" hidden="false" customHeight="true" outlineLevel="0" collapsed="false">
      <c r="B108" s="20" t="s">
        <v>1132</v>
      </c>
      <c r="C108" s="24"/>
      <c r="D108" s="20" t="s">
        <v>939</v>
      </c>
      <c r="E108" s="25" t="s">
        <v>1133</v>
      </c>
      <c r="F108" s="25"/>
      <c r="G108" s="26" t="str">
        <f aca="false">IF(ISBLANK(C108),IF(AND(Fill_Example="Yes",F108&lt;&gt;""),F108,""),IF(IF(ISNUMBER(C108),AND(C108&gt;=0,C108&lt;=0.025),FALSE()),C108,""))</f>
        <v/>
      </c>
      <c r="H108" s="26" t="n">
        <f aca="false">IF(G108="",0,1)</f>
        <v>0</v>
      </c>
    </row>
    <row r="110" customFormat="false" ht="61.5" hidden="false" customHeight="true" outlineLevel="0" collapsed="false">
      <c r="B110" s="33" t="s">
        <v>1134</v>
      </c>
      <c r="C110" s="33" t="s">
        <v>1135</v>
      </c>
      <c r="D110" s="33" t="s">
        <v>1136</v>
      </c>
      <c r="E110" s="33" t="s">
        <v>1137</v>
      </c>
      <c r="F110" s="33" t="s">
        <v>1138</v>
      </c>
      <c r="G110" s="33" t="s">
        <v>1139</v>
      </c>
      <c r="H110" s="33" t="s">
        <v>1140</v>
      </c>
      <c r="I110" s="33" t="s">
        <v>1141</v>
      </c>
      <c r="J110" s="33" t="s">
        <v>1142</v>
      </c>
      <c r="K110" s="34" t="s">
        <v>1143</v>
      </c>
      <c r="L110" s="34" t="s">
        <v>1144</v>
      </c>
      <c r="N110" s="23" t="s">
        <v>1145</v>
      </c>
      <c r="O110" s="23" t="s">
        <v>1146</v>
      </c>
      <c r="P110" s="23" t="s">
        <v>1147</v>
      </c>
      <c r="Q110" s="23" t="s">
        <v>1148</v>
      </c>
      <c r="R110" s="23" t="s">
        <v>1149</v>
      </c>
      <c r="S110" s="23" t="s">
        <v>1150</v>
      </c>
      <c r="T110" s="23" t="s">
        <v>1151</v>
      </c>
      <c r="U110" s="23" t="s">
        <v>1152</v>
      </c>
    </row>
    <row r="111" customFormat="false" ht="15" hidden="false" customHeight="true" outlineLevel="0" collapsed="false">
      <c r="B111" s="20" t="s">
        <v>1153</v>
      </c>
      <c r="C111" s="24"/>
      <c r="D111" s="24"/>
      <c r="E111" s="24"/>
      <c r="F111" s="24"/>
      <c r="G111" s="24"/>
      <c r="H111" s="24"/>
      <c r="I111" s="24"/>
      <c r="J111" s="24"/>
      <c r="K111" s="20" t="str">
        <f aca="false">IF(ISBLANK(C111),IF(Fill_Example="Yes","edu",""),IF(ISNUMBER(MATCH(C111,Goal_Keys,0)),C111,""))</f>
        <v>edu</v>
      </c>
      <c r="L111" s="20" t="n">
        <f aca="false">IF(AND(K111="",AutoSafety_On=1,AutoSafety_Row=1),1,0)</f>
        <v>0</v>
      </c>
      <c r="N111" s="26" t="str">
        <f aca="false">IF(K111&lt;&gt;"",K111,IF(L111=1,"safety",""))</f>
        <v>edu</v>
      </c>
      <c r="O111" s="26" t="str">
        <f aca="false">IF(ISBLANK(D111),IFERROR(INDEX(Goal_Titles,MATCH(N111,Goal_Keys,0)),""),D111)</f>
        <v>Kids' education</v>
      </c>
      <c r="P111" s="26" t="n">
        <f aca="false">IF(L111=1,MIN(PR_GoalMaxAge,In_age+IFERROR(INDEX(Goal_DefYrs,MATCH("safety",Goal_Keys,0)),0)),IF(ISBLANK(E111),IF(AND(ISBLANK(C111),Fill_Example="Yes"),48,MIN(PR_GoalMaxAge,In_age+IFERROR(INDEX(Goal_DefYrs,MATCH(N111,Goal_Keys,0)),0))),IF(IF(ISNUMBER(E111),AND(E111&gt;=0,E111&lt;=105,E111=INT(E111)),FALSE()),E111,MIN(PR_GoalMaxAge,In_age+IFERROR(INDEX(Goal_DefYrs,MATCH(N111,Goal_Keys,0)),0)))))</f>
        <v>48</v>
      </c>
      <c r="Q111" s="26" t="n">
        <f aca="false">IF(L111=1,IF(AND(Has_costsM=1,F_EssM&gt;0),ROUND(F_EssM*AS_Months,0),IFERROR(INDEX(Goal_DefAmt,MATCH("safety",Goal_Keys,0)),0)),IF(ISBLANK(F111),IF(AND(ISBLANK(C111),Fill_Example="Yes"),50000,IFERROR(INDEX(Goal_DefAmt,MATCH(N111,Goal_Keys,0)),0)),IF(IF(ISNUMBER(F111),AND(F111&gt;=0,F111&lt;=100000000),FALSE()),F111,IFERROR(INDEX(Goal_DefAmt,MATCH(N111,Goal_Keys,0)),0))))</f>
        <v>50000</v>
      </c>
      <c r="R111" s="26" t="n">
        <f aca="false">IF(L111=1,0,IF(ISBLANK(G111),IF(AND(ISBLANK(C111),Fill_Example="Yes"),0,0),IF(IF(ISNUMBER(G111),AND(G111&gt;=0,G111&lt;=100000000),FALSE()),G111,0)))</f>
        <v>0</v>
      </c>
      <c r="S111" s="26" t="str">
        <f aca="false">IF(L111=1,"Must have",IF(ISBLANK(H111),IF(AND(ISBLANK(C111),Fill_Example="Yes"),"Must have","Must have"),IF(ISNUMBER(MATCH(H111,{"Must have","Nice to have"},0)),H111,"Must have")))</f>
        <v>Must have</v>
      </c>
      <c r="T111" s="26" t="str">
        <f aca="false">IF(L111=1,"",IF(ISBLANK(I111),"",IF(IF(ISNUMBER(I111),AND(I111&gt;=1,I111&lt;=22,I111=INT(I111)),FALSE()),I111,"")))</f>
        <v/>
      </c>
      <c r="U111" s="26" t="str">
        <f aca="false">IF(L111=1,"Yes",IF(ISBLANK(J111),IF(AND(ISBLANK(C111),Fill_Example="Yes"),"No","No"),IF(ISNUMBER(MATCH(J111,{"Yes","No"},0)),J111,"No")))</f>
        <v>No</v>
      </c>
    </row>
    <row r="112" customFormat="false" ht="15" hidden="false" customHeight="true" outlineLevel="0" collapsed="false">
      <c r="B112" s="20" t="s">
        <v>1154</v>
      </c>
      <c r="C112" s="24"/>
      <c r="D112" s="24"/>
      <c r="E112" s="24"/>
      <c r="F112" s="24"/>
      <c r="G112" s="24"/>
      <c r="H112" s="24"/>
      <c r="I112" s="24"/>
      <c r="J112" s="24"/>
      <c r="K112" s="20" t="str">
        <f aca="false">IF(ISBLANK(C112),IF(Fill_Example="Yes","travel",""),IF(ISNUMBER(MATCH(C112,Goal_Keys,0)),C112,""))</f>
        <v>travel</v>
      </c>
      <c r="L112" s="20" t="n">
        <f aca="false">IF(AND(K112="",AutoSafety_On=1,AutoSafety_Row=2),1,0)</f>
        <v>0</v>
      </c>
      <c r="N112" s="26" t="str">
        <f aca="false">IF(K112&lt;&gt;"",K112,IF(L112=1,"safety",""))</f>
        <v>travel</v>
      </c>
      <c r="O112" s="26" t="str">
        <f aca="false">IF(ISBLANK(D112),IFERROR(INDEX(Goal_Titles,MATCH(N112,Goal_Keys,0)),""),D112)</f>
        <v>Travel</v>
      </c>
      <c r="P112" s="26" t="n">
        <f aca="false">IF(L112=1,MIN(PR_GoalMaxAge,In_age+IFERROR(INDEX(Goal_DefYrs,MATCH("safety",Goal_Keys,0)),0)),IF(ISBLANK(E112),IF(AND(ISBLANK(C112),Fill_Example="Yes"),41,MIN(PR_GoalMaxAge,In_age+IFERROR(INDEX(Goal_DefYrs,MATCH(N112,Goal_Keys,0)),0))),IF(IF(ISNUMBER(E112),AND(E112&gt;=0,E112&lt;=105,E112=INT(E112)),FALSE()),E112,MIN(PR_GoalMaxAge,In_age+IFERROR(INDEX(Goal_DefYrs,MATCH(N112,Goal_Keys,0)),0)))))</f>
        <v>41</v>
      </c>
      <c r="Q112" s="26" t="n">
        <f aca="false">IF(L112=1,IF(AND(Has_costsM=1,F_EssM&gt;0),ROUND(F_EssM*AS_Months,0),IFERROR(INDEX(Goal_DefAmt,MATCH("safety",Goal_Keys,0)),0)),IF(ISBLANK(F112),IF(AND(ISBLANK(C112),Fill_Example="Yes"),12000,IFERROR(INDEX(Goal_DefAmt,MATCH(N112,Goal_Keys,0)),0)),IF(IF(ISNUMBER(F112),AND(F112&gt;=0,F112&lt;=100000000),FALSE()),F112,IFERROR(INDEX(Goal_DefAmt,MATCH(N112,Goal_Keys,0)),0))))</f>
        <v>12000</v>
      </c>
      <c r="R112" s="26" t="n">
        <f aca="false">IF(L112=1,0,IF(ISBLANK(G112),IF(AND(ISBLANK(C112),Fill_Example="Yes"),0,0),IF(IF(ISNUMBER(G112),AND(G112&gt;=0,G112&lt;=100000000),FALSE()),G112,0)))</f>
        <v>0</v>
      </c>
      <c r="S112" s="26" t="str">
        <f aca="false">IF(L112=1,"Must have",IF(ISBLANK(H112),IF(AND(ISBLANK(C112),Fill_Example="Yes"),"Must have","Must have"),IF(ISNUMBER(MATCH(H112,{"Must have","Nice to have"},0)),H112,"Must have")))</f>
        <v>Must have</v>
      </c>
      <c r="T112" s="26" t="str">
        <f aca="false">IF(L112=1,"",IF(ISBLANK(I112),"",IF(IF(ISNUMBER(I112),AND(I112&gt;=1,I112&lt;=22,I112=INT(I112)),FALSE()),I112,"")))</f>
        <v/>
      </c>
      <c r="U112" s="26" t="str">
        <f aca="false">IF(L112=1,"Yes",IF(ISBLANK(J112),IF(AND(ISBLANK(C112),Fill_Example="Yes"),"No","No"),IF(ISNUMBER(MATCH(J112,{"Yes","No"},0)),J112,"No")))</f>
        <v>No</v>
      </c>
    </row>
    <row r="113" customFormat="false" ht="15" hidden="false" customHeight="true" outlineLevel="0" collapsed="false">
      <c r="B113" s="20" t="s">
        <v>1155</v>
      </c>
      <c r="C113" s="24"/>
      <c r="D113" s="24"/>
      <c r="E113" s="24"/>
      <c r="F113" s="24"/>
      <c r="G113" s="24"/>
      <c r="H113" s="24"/>
      <c r="I113" s="24"/>
      <c r="J113" s="24"/>
      <c r="K113" s="20" t="str">
        <f aca="false">IF(ISBLANK(C113),IF(Fill_Example="Yes","mfree",""),IF(ISNUMBER(MATCH(C113,Goal_Keys,0)),C113,""))</f>
        <v>mfree</v>
      </c>
      <c r="L113" s="20" t="n">
        <f aca="false">IF(AND(K113="",AutoSafety_On=1,AutoSafety_Row=3),1,0)</f>
        <v>0</v>
      </c>
      <c r="N113" s="26" t="str">
        <f aca="false">IF(K113&lt;&gt;"",K113,IF(L113=1,"safety",""))</f>
        <v>mfree</v>
      </c>
      <c r="O113" s="26" t="str">
        <f aca="false">IF(ISBLANK(D113),IFERROR(INDEX(Goal_Titles,MATCH(N113,Goal_Keys,0)),""),D113)</f>
        <v>Be mortgage-free</v>
      </c>
      <c r="P113" s="26" t="n">
        <f aca="false">IF(L113=1,MIN(PR_GoalMaxAge,In_age+IFERROR(INDEX(Goal_DefYrs,MATCH("safety",Goal_Keys,0)),0)),IF(ISBLANK(E113),IF(AND(ISBLANK(C113),Fill_Example="Yes"),55,MIN(PR_GoalMaxAge,In_age+IFERROR(INDEX(Goal_DefYrs,MATCH(N113,Goal_Keys,0)),0))),IF(IF(ISNUMBER(E113),AND(E113&gt;=0,E113&lt;=105,E113=INT(E113)),FALSE()),E113,MIN(PR_GoalMaxAge,In_age+IFERROR(INDEX(Goal_DefYrs,MATCH(N113,Goal_Keys,0)),0)))))</f>
        <v>55</v>
      </c>
      <c r="Q113" s="26" t="n">
        <f aca="false">IF(L113=1,IF(AND(Has_costsM=1,F_EssM&gt;0),ROUND(F_EssM*AS_Months,0),IFERROR(INDEX(Goal_DefAmt,MATCH("safety",Goal_Keys,0)),0)),IF(ISBLANK(F113),IF(AND(ISBLANK(C113),Fill_Example="Yes"),150000,IFERROR(INDEX(Goal_DefAmt,MATCH(N113,Goal_Keys,0)),0)),IF(IF(ISNUMBER(F113),AND(F113&gt;=0,F113&lt;=100000000),FALSE()),F113,IFERROR(INDEX(Goal_DefAmt,MATCH(N113,Goal_Keys,0)),0))))</f>
        <v>150000</v>
      </c>
      <c r="R113" s="26" t="n">
        <f aca="false">IF(L113=1,0,IF(ISBLANK(G113),IF(AND(ISBLANK(C113),Fill_Example="Yes"),0,0),IF(IF(ISNUMBER(G113),AND(G113&gt;=0,G113&lt;=100000000),FALSE()),G113,0)))</f>
        <v>0</v>
      </c>
      <c r="S113" s="26" t="str">
        <f aca="false">IF(L113=1,"Must have",IF(ISBLANK(H113),IF(AND(ISBLANK(C113),Fill_Example="Yes"),"Must have","Must have"),IF(ISNUMBER(MATCH(H113,{"Must have","Nice to have"},0)),H113,"Must have")))</f>
        <v>Must have</v>
      </c>
      <c r="T113" s="26" t="str">
        <f aca="false">IF(L113=1,"",IF(ISBLANK(I113),"",IF(IF(ISNUMBER(I113),AND(I113&gt;=1,I113&lt;=22,I113=INT(I113)),FALSE()),I113,"")))</f>
        <v/>
      </c>
      <c r="U113" s="26" t="str">
        <f aca="false">IF(L113=1,"Yes",IF(ISBLANK(J113),IF(AND(ISBLANK(C113),Fill_Example="Yes"),"No","No"),IF(ISNUMBER(MATCH(J113,{"Yes","No"},0)),J113,"No")))</f>
        <v>No</v>
      </c>
    </row>
    <row r="114" customFormat="false" ht="15" hidden="false" customHeight="true" outlineLevel="0" collapsed="false">
      <c r="B114" s="20" t="s">
        <v>1156</v>
      </c>
      <c r="C114" s="24"/>
      <c r="D114" s="24"/>
      <c r="E114" s="24"/>
      <c r="F114" s="24"/>
      <c r="G114" s="24"/>
      <c r="H114" s="24"/>
      <c r="I114" s="24"/>
      <c r="J114" s="24"/>
      <c r="K114" s="20" t="str">
        <f aca="false">IF(ISBLANK(C114),IF(Fill_Example="Yes","safety",""),IF(ISNUMBER(MATCH(C114,Goal_Keys,0)),C114,""))</f>
        <v>safety</v>
      </c>
      <c r="L114" s="20" t="n">
        <f aca="false">IF(AND(K114="",AutoSafety_On=1,AutoSafety_Row=4),1,0)</f>
        <v>0</v>
      </c>
      <c r="N114" s="26" t="str">
        <f aca="false">IF(K114&lt;&gt;"",K114,IF(L114=1,"safety",""))</f>
        <v>safety</v>
      </c>
      <c r="O114" s="26" t="str">
        <f aca="false">IF(ISBLANK(D114),IFERROR(INDEX(Goal_Titles,MATCH(N114,Goal_Keys,0)),""),D114)</f>
        <v>Emergency fund</v>
      </c>
      <c r="P114" s="26" t="n">
        <f aca="false">IF(L114=1,MIN(PR_GoalMaxAge,In_age+IFERROR(INDEX(Goal_DefYrs,MATCH("safety",Goal_Keys,0)),0)),IF(ISBLANK(E114),IF(AND(ISBLANK(C114),Fill_Example="Yes"),40,MIN(PR_GoalMaxAge,In_age+IFERROR(INDEX(Goal_DefYrs,MATCH(N114,Goal_Keys,0)),0))),IF(IF(ISNUMBER(E114),AND(E114&gt;=0,E114&lt;=105,E114=INT(E114)),FALSE()),E114,MIN(PR_GoalMaxAge,In_age+IFERROR(INDEX(Goal_DefYrs,MATCH(N114,Goal_Keys,0)),0)))))</f>
        <v>40</v>
      </c>
      <c r="Q114" s="26" t="n">
        <f aca="false">IF(L114=1,IF(AND(Has_costsM=1,F_EssM&gt;0),ROUND(F_EssM*AS_Months,0),IFERROR(INDEX(Goal_DefAmt,MATCH("safety",Goal_Keys,0)),0)),IF(ISBLANK(F114),IF(AND(ISBLANK(C114),Fill_Example="Yes"),15000,IFERROR(INDEX(Goal_DefAmt,MATCH(N114,Goal_Keys,0)),0)),IF(IF(ISNUMBER(F114),AND(F114&gt;=0,F114&lt;=100000000),FALSE()),F114,IFERROR(INDEX(Goal_DefAmt,MATCH(N114,Goal_Keys,0)),0))))</f>
        <v>15000</v>
      </c>
      <c r="R114" s="26" t="n">
        <f aca="false">IF(L114=1,0,IF(ISBLANK(G114),IF(AND(ISBLANK(C114),Fill_Example="Yes"),5000,0),IF(IF(ISNUMBER(G114),AND(G114&gt;=0,G114&lt;=100000000),FALSE()),G114,0)))</f>
        <v>5000</v>
      </c>
      <c r="S114" s="26" t="str">
        <f aca="false">IF(L114=1,"Must have",IF(ISBLANK(H114),IF(AND(ISBLANK(C114),Fill_Example="Yes"),"Must have","Must have"),IF(ISNUMBER(MATCH(H114,{"Must have","Nice to have"},0)),H114,"Must have")))</f>
        <v>Must have</v>
      </c>
      <c r="T114" s="26" t="str">
        <f aca="false">IF(L114=1,"",IF(ISBLANK(I114),"",IF(IF(ISNUMBER(I114),AND(I114&gt;=1,I114&lt;=22,I114=INT(I114)),FALSE()),I114,"")))</f>
        <v/>
      </c>
      <c r="U114" s="26" t="str">
        <f aca="false">IF(L114=1,"Yes",IF(ISBLANK(J114),IF(AND(ISBLANK(C114),Fill_Example="Yes"),"No","No"),IF(ISNUMBER(MATCH(J114,{"Yes","No"},0)),J114,"No")))</f>
        <v>No</v>
      </c>
    </row>
    <row r="115" customFormat="false" ht="15" hidden="false" customHeight="true" outlineLevel="0" collapsed="false">
      <c r="B115" s="20" t="s">
        <v>1157</v>
      </c>
      <c r="C115" s="24"/>
      <c r="D115" s="24"/>
      <c r="E115" s="24"/>
      <c r="F115" s="24"/>
      <c r="G115" s="24"/>
      <c r="H115" s="24"/>
      <c r="I115" s="24"/>
      <c r="J115" s="24"/>
      <c r="K115" s="20" t="str">
        <f aca="false">IF(ISBLANK(C115),IF(Fill_Example="Yes","retire",""),IF(ISNUMBER(MATCH(C115,Goal_Keys,0)),C115,""))</f>
        <v>retire</v>
      </c>
      <c r="L115" s="20" t="n">
        <f aca="false">IF(AND(K115="",AutoSafety_On=1,AutoSafety_Row=5),1,0)</f>
        <v>0</v>
      </c>
      <c r="N115" s="26" t="str">
        <f aca="false">IF(K115&lt;&gt;"",K115,IF(L115=1,"safety",""))</f>
        <v>retire</v>
      </c>
      <c r="O115" s="26" t="str">
        <f aca="false">IF(ISBLANK(D115),IFERROR(INDEX(Goal_Titles,MATCH(N115,Goal_Keys,0)),""),D115)</f>
        <v>Retire comfortably</v>
      </c>
      <c r="P115" s="26" t="n">
        <f aca="false">IF(L115=1,MIN(PR_GoalMaxAge,In_age+IFERROR(INDEX(Goal_DefYrs,MATCH("safety",Goal_Keys,0)),0)),IF(ISBLANK(E115),IF(AND(ISBLANK(C115),Fill_Example="Yes"),63,MIN(PR_GoalMaxAge,In_age+IFERROR(INDEX(Goal_DefYrs,MATCH(N115,Goal_Keys,0)),0))),IF(IF(ISNUMBER(E115),AND(E115&gt;=0,E115&lt;=105,E115=INT(E115)),FALSE()),E115,MIN(PR_GoalMaxAge,In_age+IFERROR(INDEX(Goal_DefYrs,MATCH(N115,Goal_Keys,0)),0)))))</f>
        <v>63</v>
      </c>
      <c r="Q115" s="26" t="n">
        <f aca="false">IF(L115=1,IF(AND(Has_costsM=1,F_EssM&gt;0),ROUND(F_EssM*AS_Months,0),IFERROR(INDEX(Goal_DefAmt,MATCH("safety",Goal_Keys,0)),0)),IF(ISBLANK(F115),IF(AND(ISBLANK(C115),Fill_Example="Yes"),46000,IFERROR(INDEX(Goal_DefAmt,MATCH(N115,Goal_Keys,0)),0)),IF(IF(ISNUMBER(F115),AND(F115&gt;=0,F115&lt;=100000000),FALSE()),F115,IFERROR(INDEX(Goal_DefAmt,MATCH(N115,Goal_Keys,0)),0))))</f>
        <v>46000</v>
      </c>
      <c r="R115" s="26" t="n">
        <f aca="false">IF(L115=1,0,IF(ISBLANK(G115),IF(AND(ISBLANK(C115),Fill_Example="Yes"),0,0),IF(IF(ISNUMBER(G115),AND(G115&gt;=0,G115&lt;=100000000),FALSE()),G115,0)))</f>
        <v>0</v>
      </c>
      <c r="S115" s="26" t="str">
        <f aca="false">IF(L115=1,"Must have",IF(ISBLANK(H115),IF(AND(ISBLANK(C115),Fill_Example="Yes"),"Must have","Must have"),IF(ISNUMBER(MATCH(H115,{"Must have","Nice to have"},0)),H115,"Must have")))</f>
        <v>Must have</v>
      </c>
      <c r="T115" s="26" t="str">
        <f aca="false">IF(L115=1,"",IF(ISBLANK(I115),"",IF(IF(ISNUMBER(I115),AND(I115&gt;=1,I115&lt;=22,I115=INT(I115)),FALSE()),I115,"")))</f>
        <v/>
      </c>
      <c r="U115" s="26" t="str">
        <f aca="false">IF(L115=1,"Yes",IF(ISBLANK(J115),IF(AND(ISBLANK(C115),Fill_Example="Yes"),"No","No"),IF(ISNUMBER(MATCH(J115,{"Yes","No"},0)),J115,"No")))</f>
        <v>No</v>
      </c>
    </row>
    <row r="116" customFormat="false" ht="15" hidden="false" customHeight="true" outlineLevel="0" collapsed="false">
      <c r="B116" s="20" t="s">
        <v>1158</v>
      </c>
      <c r="C116" s="24"/>
      <c r="D116" s="24"/>
      <c r="E116" s="24"/>
      <c r="F116" s="24"/>
      <c r="G116" s="24"/>
      <c r="H116" s="24"/>
      <c r="I116" s="24"/>
      <c r="J116" s="24"/>
      <c r="K116" s="20" t="str">
        <f aca="false">IF(ISBLANK(C116),IF(Fill_Example="Yes","",""),IF(ISNUMBER(MATCH(C116,Goal_Keys,0)),C116,""))</f>
        <v/>
      </c>
      <c r="L116" s="20" t="n">
        <f aca="false">IF(AND(K116="",AutoSafety_On=1,AutoSafety_Row=6),1,0)</f>
        <v>0</v>
      </c>
      <c r="N116" s="26" t="str">
        <f aca="false">IF(K116&lt;&gt;"",K116,IF(L116=1,"safety",""))</f>
        <v/>
      </c>
      <c r="O116" s="26" t="str">
        <f aca="false">IF(ISBLANK(D116),IFERROR(INDEX(Goal_Titles,MATCH(N116,Goal_Keys,0)),""),D116)</f>
        <v/>
      </c>
      <c r="P116" s="26" t="n">
        <f aca="false">IF(L116=1,MIN(PR_GoalMaxAge,In_age+IFERROR(INDEX(Goal_DefYrs,MATCH("safety",Goal_Keys,0)),0)),IF(ISBLANK(E116),IF(AND(ISBLANK(C116),Fill_Example="Yes"),0,MIN(PR_GoalMaxAge,In_age+IFERROR(INDEX(Goal_DefYrs,MATCH(N116,Goal_Keys,0)),0))),IF(IF(ISNUMBER(E116),AND(E116&gt;=0,E116&lt;=105,E116=INT(E116)),FALSE()),E116,MIN(PR_GoalMaxAge,In_age+IFERROR(INDEX(Goal_DefYrs,MATCH(N116,Goal_Keys,0)),0)))))</f>
        <v>0</v>
      </c>
      <c r="Q116" s="26" t="n">
        <f aca="false">IF(L116=1,IF(AND(Has_costsM=1,F_EssM&gt;0),ROUND(F_EssM*AS_Months,0),IFERROR(INDEX(Goal_DefAmt,MATCH("safety",Goal_Keys,0)),0)),IF(ISBLANK(F116),IF(AND(ISBLANK(C116),Fill_Example="Yes"),0,IFERROR(INDEX(Goal_DefAmt,MATCH(N116,Goal_Keys,0)),0)),IF(IF(ISNUMBER(F116),AND(F116&gt;=0,F116&lt;=100000000),FALSE()),F116,IFERROR(INDEX(Goal_DefAmt,MATCH(N116,Goal_Keys,0)),0))))</f>
        <v>0</v>
      </c>
      <c r="R116" s="26" t="n">
        <f aca="false">IF(L116=1,0,IF(ISBLANK(G116),IF(AND(ISBLANK(C116),Fill_Example="Yes"),0,0),IF(IF(ISNUMBER(G116),AND(G116&gt;=0,G116&lt;=100000000),FALSE()),G116,0)))</f>
        <v>0</v>
      </c>
      <c r="S116" s="26" t="str">
        <f aca="false">IF(L116=1,"Must have",IF(ISBLANK(H116),IF(AND(ISBLANK(C116),Fill_Example="Yes"),"Must have","Must have"),IF(ISNUMBER(MATCH(H116,{"Must have","Nice to have"},0)),H116,"Must have")))</f>
        <v>Must have</v>
      </c>
      <c r="T116" s="26" t="str">
        <f aca="false">IF(L116=1,"",IF(ISBLANK(I116),"",IF(IF(ISNUMBER(I116),AND(I116&gt;=1,I116&lt;=22,I116=INT(I116)),FALSE()),I116,"")))</f>
        <v/>
      </c>
      <c r="U116" s="26" t="str">
        <f aca="false">IF(L116=1,"Yes",IF(ISBLANK(J116),IF(AND(ISBLANK(C116),Fill_Example="Yes"),"No","No"),IF(ISNUMBER(MATCH(J116,{"Yes","No"},0)),J116,"No")))</f>
        <v>No</v>
      </c>
    </row>
    <row r="117" customFormat="false" ht="15" hidden="false" customHeight="true" outlineLevel="0" collapsed="false">
      <c r="B117" s="20" t="s">
        <v>1159</v>
      </c>
      <c r="C117" s="24"/>
      <c r="D117" s="24"/>
      <c r="E117" s="24"/>
      <c r="F117" s="24"/>
      <c r="G117" s="24"/>
      <c r="H117" s="24"/>
      <c r="I117" s="24"/>
      <c r="J117" s="24"/>
      <c r="K117" s="20" t="str">
        <f aca="false">IF(ISBLANK(C117),IF(Fill_Example="Yes","",""),IF(ISNUMBER(MATCH(C117,Goal_Keys,0)),C117,""))</f>
        <v/>
      </c>
      <c r="L117" s="20" t="n">
        <f aca="false">IF(AND(K117="",AutoSafety_On=1,AutoSafety_Row=7),1,0)</f>
        <v>0</v>
      </c>
      <c r="N117" s="26" t="str">
        <f aca="false">IF(K117&lt;&gt;"",K117,IF(L117=1,"safety",""))</f>
        <v/>
      </c>
      <c r="O117" s="26" t="str">
        <f aca="false">IF(ISBLANK(D117),IFERROR(INDEX(Goal_Titles,MATCH(N117,Goal_Keys,0)),""),D117)</f>
        <v/>
      </c>
      <c r="P117" s="26" t="n">
        <f aca="false">IF(L117=1,MIN(PR_GoalMaxAge,In_age+IFERROR(INDEX(Goal_DefYrs,MATCH("safety",Goal_Keys,0)),0)),IF(ISBLANK(E117),IF(AND(ISBLANK(C117),Fill_Example="Yes"),0,MIN(PR_GoalMaxAge,In_age+IFERROR(INDEX(Goal_DefYrs,MATCH(N117,Goal_Keys,0)),0))),IF(IF(ISNUMBER(E117),AND(E117&gt;=0,E117&lt;=105,E117=INT(E117)),FALSE()),E117,MIN(PR_GoalMaxAge,In_age+IFERROR(INDEX(Goal_DefYrs,MATCH(N117,Goal_Keys,0)),0)))))</f>
        <v>0</v>
      </c>
      <c r="Q117" s="26" t="n">
        <f aca="false">IF(L117=1,IF(AND(Has_costsM=1,F_EssM&gt;0),ROUND(F_EssM*AS_Months,0),IFERROR(INDEX(Goal_DefAmt,MATCH("safety",Goal_Keys,0)),0)),IF(ISBLANK(F117),IF(AND(ISBLANK(C117),Fill_Example="Yes"),0,IFERROR(INDEX(Goal_DefAmt,MATCH(N117,Goal_Keys,0)),0)),IF(IF(ISNUMBER(F117),AND(F117&gt;=0,F117&lt;=100000000),FALSE()),F117,IFERROR(INDEX(Goal_DefAmt,MATCH(N117,Goal_Keys,0)),0))))</f>
        <v>0</v>
      </c>
      <c r="R117" s="26" t="n">
        <f aca="false">IF(L117=1,0,IF(ISBLANK(G117),IF(AND(ISBLANK(C117),Fill_Example="Yes"),0,0),IF(IF(ISNUMBER(G117),AND(G117&gt;=0,G117&lt;=100000000),FALSE()),G117,0)))</f>
        <v>0</v>
      </c>
      <c r="S117" s="26" t="str">
        <f aca="false">IF(L117=1,"Must have",IF(ISBLANK(H117),IF(AND(ISBLANK(C117),Fill_Example="Yes"),"Must have","Must have"),IF(ISNUMBER(MATCH(H117,{"Must have","Nice to have"},0)),H117,"Must have")))</f>
        <v>Must have</v>
      </c>
      <c r="T117" s="26" t="str">
        <f aca="false">IF(L117=1,"",IF(ISBLANK(I117),"",IF(IF(ISNUMBER(I117),AND(I117&gt;=1,I117&lt;=22,I117=INT(I117)),FALSE()),I117,"")))</f>
        <v/>
      </c>
      <c r="U117" s="26" t="str">
        <f aca="false">IF(L117=1,"Yes",IF(ISBLANK(J117),IF(AND(ISBLANK(C117),Fill_Example="Yes"),"No","No"),IF(ISNUMBER(MATCH(J117,{"Yes","No"},0)),J117,"No")))</f>
        <v>No</v>
      </c>
    </row>
    <row r="118" customFormat="false" ht="15" hidden="false" customHeight="true" outlineLevel="0" collapsed="false">
      <c r="B118" s="20" t="s">
        <v>1160</v>
      </c>
      <c r="C118" s="24"/>
      <c r="D118" s="24"/>
      <c r="E118" s="24"/>
      <c r="F118" s="24"/>
      <c r="G118" s="24"/>
      <c r="H118" s="24"/>
      <c r="I118" s="24"/>
      <c r="J118" s="24"/>
      <c r="K118" s="20" t="str">
        <f aca="false">IF(ISBLANK(C118),IF(Fill_Example="Yes","",""),IF(ISNUMBER(MATCH(C118,Goal_Keys,0)),C118,""))</f>
        <v/>
      </c>
      <c r="L118" s="20" t="n">
        <f aca="false">IF(AND(K118="",AutoSafety_On=1,AutoSafety_Row=8),1,0)</f>
        <v>0</v>
      </c>
      <c r="N118" s="26" t="str">
        <f aca="false">IF(K118&lt;&gt;"",K118,IF(L118=1,"safety",""))</f>
        <v/>
      </c>
      <c r="O118" s="26" t="str">
        <f aca="false">IF(ISBLANK(D118),IFERROR(INDEX(Goal_Titles,MATCH(N118,Goal_Keys,0)),""),D118)</f>
        <v/>
      </c>
      <c r="P118" s="26" t="n">
        <f aca="false">IF(L118=1,MIN(PR_GoalMaxAge,In_age+IFERROR(INDEX(Goal_DefYrs,MATCH("safety",Goal_Keys,0)),0)),IF(ISBLANK(E118),IF(AND(ISBLANK(C118),Fill_Example="Yes"),0,MIN(PR_GoalMaxAge,In_age+IFERROR(INDEX(Goal_DefYrs,MATCH(N118,Goal_Keys,0)),0))),IF(IF(ISNUMBER(E118),AND(E118&gt;=0,E118&lt;=105,E118=INT(E118)),FALSE()),E118,MIN(PR_GoalMaxAge,In_age+IFERROR(INDEX(Goal_DefYrs,MATCH(N118,Goal_Keys,0)),0)))))</f>
        <v>0</v>
      </c>
      <c r="Q118" s="26" t="n">
        <f aca="false">IF(L118=1,IF(AND(Has_costsM=1,F_EssM&gt;0),ROUND(F_EssM*AS_Months,0),IFERROR(INDEX(Goal_DefAmt,MATCH("safety",Goal_Keys,0)),0)),IF(ISBLANK(F118),IF(AND(ISBLANK(C118),Fill_Example="Yes"),0,IFERROR(INDEX(Goal_DefAmt,MATCH(N118,Goal_Keys,0)),0)),IF(IF(ISNUMBER(F118),AND(F118&gt;=0,F118&lt;=100000000),FALSE()),F118,IFERROR(INDEX(Goal_DefAmt,MATCH(N118,Goal_Keys,0)),0))))</f>
        <v>0</v>
      </c>
      <c r="R118" s="26" t="n">
        <f aca="false">IF(L118=1,0,IF(ISBLANK(G118),IF(AND(ISBLANK(C118),Fill_Example="Yes"),0,0),IF(IF(ISNUMBER(G118),AND(G118&gt;=0,G118&lt;=100000000),FALSE()),G118,0)))</f>
        <v>0</v>
      </c>
      <c r="S118" s="26" t="str">
        <f aca="false">IF(L118=1,"Must have",IF(ISBLANK(H118),IF(AND(ISBLANK(C118),Fill_Example="Yes"),"Must have","Must have"),IF(ISNUMBER(MATCH(H118,{"Must have","Nice to have"},0)),H118,"Must have")))</f>
        <v>Must have</v>
      </c>
      <c r="T118" s="26" t="str">
        <f aca="false">IF(L118=1,"",IF(ISBLANK(I118),"",IF(IF(ISNUMBER(I118),AND(I118&gt;=1,I118&lt;=22,I118=INT(I118)),FALSE()),I118,"")))</f>
        <v/>
      </c>
      <c r="U118" s="26" t="str">
        <f aca="false">IF(L118=1,"Yes",IF(ISBLANK(J118),IF(AND(ISBLANK(C118),Fill_Example="Yes"),"No","No"),IF(ISNUMBER(MATCH(J118,{"Yes","No"},0)),J118,"No")))</f>
        <v>No</v>
      </c>
    </row>
    <row r="119" customFormat="false" ht="15" hidden="false" customHeight="true" outlineLevel="0" collapsed="false">
      <c r="B119" s="20" t="s">
        <v>1161</v>
      </c>
      <c r="C119" s="24"/>
      <c r="D119" s="24"/>
      <c r="E119" s="24"/>
      <c r="F119" s="24"/>
      <c r="G119" s="24"/>
      <c r="H119" s="24"/>
      <c r="I119" s="24"/>
      <c r="J119" s="24"/>
      <c r="K119" s="20" t="str">
        <f aca="false">IF(ISBLANK(C119),IF(Fill_Example="Yes","",""),IF(ISNUMBER(MATCH(C119,Goal_Keys,0)),C119,""))</f>
        <v/>
      </c>
      <c r="L119" s="20" t="n">
        <f aca="false">IF(AND(K119="",AutoSafety_On=1,AutoSafety_Row=9),1,0)</f>
        <v>0</v>
      </c>
      <c r="N119" s="26" t="str">
        <f aca="false">IF(K119&lt;&gt;"",K119,IF(L119=1,"safety",""))</f>
        <v/>
      </c>
      <c r="O119" s="26" t="str">
        <f aca="false">IF(ISBLANK(D119),IFERROR(INDEX(Goal_Titles,MATCH(N119,Goal_Keys,0)),""),D119)</f>
        <v/>
      </c>
      <c r="P119" s="26" t="n">
        <f aca="false">IF(L119=1,MIN(PR_GoalMaxAge,In_age+IFERROR(INDEX(Goal_DefYrs,MATCH("safety",Goal_Keys,0)),0)),IF(ISBLANK(E119),IF(AND(ISBLANK(C119),Fill_Example="Yes"),0,MIN(PR_GoalMaxAge,In_age+IFERROR(INDEX(Goal_DefYrs,MATCH(N119,Goal_Keys,0)),0))),IF(IF(ISNUMBER(E119),AND(E119&gt;=0,E119&lt;=105,E119=INT(E119)),FALSE()),E119,MIN(PR_GoalMaxAge,In_age+IFERROR(INDEX(Goal_DefYrs,MATCH(N119,Goal_Keys,0)),0)))))</f>
        <v>0</v>
      </c>
      <c r="Q119" s="26" t="n">
        <f aca="false">IF(L119=1,IF(AND(Has_costsM=1,F_EssM&gt;0),ROUND(F_EssM*AS_Months,0),IFERROR(INDEX(Goal_DefAmt,MATCH("safety",Goal_Keys,0)),0)),IF(ISBLANK(F119),IF(AND(ISBLANK(C119),Fill_Example="Yes"),0,IFERROR(INDEX(Goal_DefAmt,MATCH(N119,Goal_Keys,0)),0)),IF(IF(ISNUMBER(F119),AND(F119&gt;=0,F119&lt;=100000000),FALSE()),F119,IFERROR(INDEX(Goal_DefAmt,MATCH(N119,Goal_Keys,0)),0))))</f>
        <v>0</v>
      </c>
      <c r="R119" s="26" t="n">
        <f aca="false">IF(L119=1,0,IF(ISBLANK(G119),IF(AND(ISBLANK(C119),Fill_Example="Yes"),0,0),IF(IF(ISNUMBER(G119),AND(G119&gt;=0,G119&lt;=100000000),FALSE()),G119,0)))</f>
        <v>0</v>
      </c>
      <c r="S119" s="26" t="str">
        <f aca="false">IF(L119=1,"Must have",IF(ISBLANK(H119),IF(AND(ISBLANK(C119),Fill_Example="Yes"),"Must have","Must have"),IF(ISNUMBER(MATCH(H119,{"Must have","Nice to have"},0)),H119,"Must have")))</f>
        <v>Must have</v>
      </c>
      <c r="T119" s="26" t="str">
        <f aca="false">IF(L119=1,"",IF(ISBLANK(I119),"",IF(IF(ISNUMBER(I119),AND(I119&gt;=1,I119&lt;=22,I119=INT(I119)),FALSE()),I119,"")))</f>
        <v/>
      </c>
      <c r="U119" s="26" t="str">
        <f aca="false">IF(L119=1,"Yes",IF(ISBLANK(J119),IF(AND(ISBLANK(C119),Fill_Example="Yes"),"No","No"),IF(ISNUMBER(MATCH(J119,{"Yes","No"},0)),J119,"No")))</f>
        <v>No</v>
      </c>
    </row>
    <row r="120" customFormat="false" ht="15" hidden="false" customHeight="true" outlineLevel="0" collapsed="false">
      <c r="B120" s="20" t="s">
        <v>1162</v>
      </c>
      <c r="C120" s="24"/>
      <c r="D120" s="24"/>
      <c r="E120" s="24"/>
      <c r="F120" s="24"/>
      <c r="G120" s="24"/>
      <c r="H120" s="24"/>
      <c r="I120" s="24"/>
      <c r="J120" s="24"/>
      <c r="K120" s="20" t="str">
        <f aca="false">IF(ISBLANK(C120),IF(Fill_Example="Yes","",""),IF(ISNUMBER(MATCH(C120,Goal_Keys,0)),C120,""))</f>
        <v/>
      </c>
      <c r="L120" s="20" t="n">
        <f aca="false">IF(AND(K120="",AutoSafety_On=1,AutoSafety_Row=10),1,0)</f>
        <v>0</v>
      </c>
      <c r="N120" s="26" t="str">
        <f aca="false">IF(K120&lt;&gt;"",K120,IF(L120=1,"safety",""))</f>
        <v/>
      </c>
      <c r="O120" s="26" t="str">
        <f aca="false">IF(ISBLANK(D120),IFERROR(INDEX(Goal_Titles,MATCH(N120,Goal_Keys,0)),""),D120)</f>
        <v/>
      </c>
      <c r="P120" s="26" t="n">
        <f aca="false">IF(L120=1,MIN(PR_GoalMaxAge,In_age+IFERROR(INDEX(Goal_DefYrs,MATCH("safety",Goal_Keys,0)),0)),IF(ISBLANK(E120),IF(AND(ISBLANK(C120),Fill_Example="Yes"),0,MIN(PR_GoalMaxAge,In_age+IFERROR(INDEX(Goal_DefYrs,MATCH(N120,Goal_Keys,0)),0))),IF(IF(ISNUMBER(E120),AND(E120&gt;=0,E120&lt;=105,E120=INT(E120)),FALSE()),E120,MIN(PR_GoalMaxAge,In_age+IFERROR(INDEX(Goal_DefYrs,MATCH(N120,Goal_Keys,0)),0)))))</f>
        <v>0</v>
      </c>
      <c r="Q120" s="26" t="n">
        <f aca="false">IF(L120=1,IF(AND(Has_costsM=1,F_EssM&gt;0),ROUND(F_EssM*AS_Months,0),IFERROR(INDEX(Goal_DefAmt,MATCH("safety",Goal_Keys,0)),0)),IF(ISBLANK(F120),IF(AND(ISBLANK(C120),Fill_Example="Yes"),0,IFERROR(INDEX(Goal_DefAmt,MATCH(N120,Goal_Keys,0)),0)),IF(IF(ISNUMBER(F120),AND(F120&gt;=0,F120&lt;=100000000),FALSE()),F120,IFERROR(INDEX(Goal_DefAmt,MATCH(N120,Goal_Keys,0)),0))))</f>
        <v>0</v>
      </c>
      <c r="R120" s="26" t="n">
        <f aca="false">IF(L120=1,0,IF(ISBLANK(G120),IF(AND(ISBLANK(C120),Fill_Example="Yes"),0,0),IF(IF(ISNUMBER(G120),AND(G120&gt;=0,G120&lt;=100000000),FALSE()),G120,0)))</f>
        <v>0</v>
      </c>
      <c r="S120" s="26" t="str">
        <f aca="false">IF(L120=1,"Must have",IF(ISBLANK(H120),IF(AND(ISBLANK(C120),Fill_Example="Yes"),"Must have","Must have"),IF(ISNUMBER(MATCH(H120,{"Must have","Nice to have"},0)),H120,"Must have")))</f>
        <v>Must have</v>
      </c>
      <c r="T120" s="26" t="str">
        <f aca="false">IF(L120=1,"",IF(ISBLANK(I120),"",IF(IF(ISNUMBER(I120),AND(I120&gt;=1,I120&lt;=22,I120=INT(I120)),FALSE()),I120,"")))</f>
        <v/>
      </c>
      <c r="U120" s="26" t="str">
        <f aca="false">IF(L120=1,"Yes",IF(ISBLANK(J120),IF(AND(ISBLANK(C120),Fill_Example="Yes"),"No","No"),IF(ISNUMBER(MATCH(J120,{"Yes","No"},0)),J120,"No")))</f>
        <v>No</v>
      </c>
    </row>
    <row r="121" customFormat="false" ht="15" hidden="false" customHeight="true" outlineLevel="0" collapsed="false">
      <c r="B121" s="20" t="s">
        <v>1163</v>
      </c>
      <c r="C121" s="24"/>
      <c r="D121" s="24"/>
      <c r="E121" s="24"/>
      <c r="F121" s="24"/>
      <c r="G121" s="24"/>
      <c r="H121" s="24"/>
      <c r="I121" s="24"/>
      <c r="J121" s="24"/>
      <c r="K121" s="20" t="str">
        <f aca="false">IF(ISBLANK(C121),IF(Fill_Example="Yes","",""),IF(ISNUMBER(MATCH(C121,Goal_Keys,0)),C121,""))</f>
        <v/>
      </c>
      <c r="L121" s="20" t="n">
        <f aca="false">IF(AND(K121="",AutoSafety_On=1,AutoSafety_Row=11),1,0)</f>
        <v>0</v>
      </c>
      <c r="N121" s="26" t="str">
        <f aca="false">IF(K121&lt;&gt;"",K121,IF(L121=1,"safety",""))</f>
        <v/>
      </c>
      <c r="O121" s="26" t="str">
        <f aca="false">IF(ISBLANK(D121),IFERROR(INDEX(Goal_Titles,MATCH(N121,Goal_Keys,0)),""),D121)</f>
        <v/>
      </c>
      <c r="P121" s="26" t="n">
        <f aca="false">IF(L121=1,MIN(PR_GoalMaxAge,In_age+IFERROR(INDEX(Goal_DefYrs,MATCH("safety",Goal_Keys,0)),0)),IF(ISBLANK(E121),IF(AND(ISBLANK(C121),Fill_Example="Yes"),0,MIN(PR_GoalMaxAge,In_age+IFERROR(INDEX(Goal_DefYrs,MATCH(N121,Goal_Keys,0)),0))),IF(IF(ISNUMBER(E121),AND(E121&gt;=0,E121&lt;=105,E121=INT(E121)),FALSE()),E121,MIN(PR_GoalMaxAge,In_age+IFERROR(INDEX(Goal_DefYrs,MATCH(N121,Goal_Keys,0)),0)))))</f>
        <v>0</v>
      </c>
      <c r="Q121" s="26" t="n">
        <f aca="false">IF(L121=1,IF(AND(Has_costsM=1,F_EssM&gt;0),ROUND(F_EssM*AS_Months,0),IFERROR(INDEX(Goal_DefAmt,MATCH("safety",Goal_Keys,0)),0)),IF(ISBLANK(F121),IF(AND(ISBLANK(C121),Fill_Example="Yes"),0,IFERROR(INDEX(Goal_DefAmt,MATCH(N121,Goal_Keys,0)),0)),IF(IF(ISNUMBER(F121),AND(F121&gt;=0,F121&lt;=100000000),FALSE()),F121,IFERROR(INDEX(Goal_DefAmt,MATCH(N121,Goal_Keys,0)),0))))</f>
        <v>0</v>
      </c>
      <c r="R121" s="26" t="n">
        <f aca="false">IF(L121=1,0,IF(ISBLANK(G121),IF(AND(ISBLANK(C121),Fill_Example="Yes"),0,0),IF(IF(ISNUMBER(G121),AND(G121&gt;=0,G121&lt;=100000000),FALSE()),G121,0)))</f>
        <v>0</v>
      </c>
      <c r="S121" s="26" t="str">
        <f aca="false">IF(L121=1,"Must have",IF(ISBLANK(H121),IF(AND(ISBLANK(C121),Fill_Example="Yes"),"Must have","Must have"),IF(ISNUMBER(MATCH(H121,{"Must have","Nice to have"},0)),H121,"Must have")))</f>
        <v>Must have</v>
      </c>
      <c r="T121" s="26" t="str">
        <f aca="false">IF(L121=1,"",IF(ISBLANK(I121),"",IF(IF(ISNUMBER(I121),AND(I121&gt;=1,I121&lt;=22,I121=INT(I121)),FALSE()),I121,"")))</f>
        <v/>
      </c>
      <c r="U121" s="26" t="str">
        <f aca="false">IF(L121=1,"Yes",IF(ISBLANK(J121),IF(AND(ISBLANK(C121),Fill_Example="Yes"),"No","No"),IF(ISNUMBER(MATCH(J121,{"Yes","No"},0)),J121,"No")))</f>
        <v>No</v>
      </c>
    </row>
    <row r="122" customFormat="false" ht="15" hidden="false" customHeight="true" outlineLevel="0" collapsed="false">
      <c r="B122" s="20" t="s">
        <v>1164</v>
      </c>
      <c r="C122" s="24"/>
      <c r="D122" s="24"/>
      <c r="E122" s="24"/>
      <c r="F122" s="24"/>
      <c r="G122" s="24"/>
      <c r="H122" s="24"/>
      <c r="I122" s="24"/>
      <c r="J122" s="24"/>
      <c r="K122" s="20" t="str">
        <f aca="false">IF(ISBLANK(C122),IF(Fill_Example="Yes","",""),IF(ISNUMBER(MATCH(C122,Goal_Keys,0)),C122,""))</f>
        <v/>
      </c>
      <c r="L122" s="20" t="n">
        <f aca="false">IF(AND(K122="",AutoSafety_On=1,AutoSafety_Row=12),1,0)</f>
        <v>0</v>
      </c>
      <c r="N122" s="26" t="str">
        <f aca="false">IF(K122&lt;&gt;"",K122,IF(L122=1,"safety",""))</f>
        <v/>
      </c>
      <c r="O122" s="26" t="str">
        <f aca="false">IF(ISBLANK(D122),IFERROR(INDEX(Goal_Titles,MATCH(N122,Goal_Keys,0)),""),D122)</f>
        <v/>
      </c>
      <c r="P122" s="26" t="n">
        <f aca="false">IF(L122=1,MIN(PR_GoalMaxAge,In_age+IFERROR(INDEX(Goal_DefYrs,MATCH("safety",Goal_Keys,0)),0)),IF(ISBLANK(E122),IF(AND(ISBLANK(C122),Fill_Example="Yes"),0,MIN(PR_GoalMaxAge,In_age+IFERROR(INDEX(Goal_DefYrs,MATCH(N122,Goal_Keys,0)),0))),IF(IF(ISNUMBER(E122),AND(E122&gt;=0,E122&lt;=105,E122=INT(E122)),FALSE()),E122,MIN(PR_GoalMaxAge,In_age+IFERROR(INDEX(Goal_DefYrs,MATCH(N122,Goal_Keys,0)),0)))))</f>
        <v>0</v>
      </c>
      <c r="Q122" s="26" t="n">
        <f aca="false">IF(L122=1,IF(AND(Has_costsM=1,F_EssM&gt;0),ROUND(F_EssM*AS_Months,0),IFERROR(INDEX(Goal_DefAmt,MATCH("safety",Goal_Keys,0)),0)),IF(ISBLANK(F122),IF(AND(ISBLANK(C122),Fill_Example="Yes"),0,IFERROR(INDEX(Goal_DefAmt,MATCH(N122,Goal_Keys,0)),0)),IF(IF(ISNUMBER(F122),AND(F122&gt;=0,F122&lt;=100000000),FALSE()),F122,IFERROR(INDEX(Goal_DefAmt,MATCH(N122,Goal_Keys,0)),0))))</f>
        <v>0</v>
      </c>
      <c r="R122" s="26" t="n">
        <f aca="false">IF(L122=1,0,IF(ISBLANK(G122),IF(AND(ISBLANK(C122),Fill_Example="Yes"),0,0),IF(IF(ISNUMBER(G122),AND(G122&gt;=0,G122&lt;=100000000),FALSE()),G122,0)))</f>
        <v>0</v>
      </c>
      <c r="S122" s="26" t="str">
        <f aca="false">IF(L122=1,"Must have",IF(ISBLANK(H122),IF(AND(ISBLANK(C122),Fill_Example="Yes"),"Must have","Must have"),IF(ISNUMBER(MATCH(H122,{"Must have","Nice to have"},0)),H122,"Must have")))</f>
        <v>Must have</v>
      </c>
      <c r="T122" s="26" t="str">
        <f aca="false">IF(L122=1,"",IF(ISBLANK(I122),"",IF(IF(ISNUMBER(I122),AND(I122&gt;=1,I122&lt;=22,I122=INT(I122)),FALSE()),I122,"")))</f>
        <v/>
      </c>
      <c r="U122" s="26" t="str">
        <f aca="false">IF(L122=1,"Yes",IF(ISBLANK(J122),IF(AND(ISBLANK(C122),Fill_Example="Yes"),"No","No"),IF(ISNUMBER(MATCH(J122,{"Yes","No"},0)),J122,"No")))</f>
        <v>No</v>
      </c>
    </row>
    <row r="123" customFormat="false" ht="15" hidden="false" customHeight="true" outlineLevel="0" collapsed="false">
      <c r="B123" s="20" t="s">
        <v>1165</v>
      </c>
      <c r="C123" s="24"/>
      <c r="D123" s="24"/>
      <c r="E123" s="24"/>
      <c r="F123" s="24"/>
      <c r="G123" s="24"/>
      <c r="H123" s="24"/>
      <c r="I123" s="24"/>
      <c r="J123" s="24"/>
      <c r="K123" s="20" t="str">
        <f aca="false">IF(ISBLANK(C123),IF(Fill_Example="Yes","",""),IF(ISNUMBER(MATCH(C123,Goal_Keys,0)),C123,""))</f>
        <v/>
      </c>
      <c r="L123" s="20" t="n">
        <f aca="false">IF(AND(K123="",AutoSafety_On=1,AutoSafety_Row=13),1,0)</f>
        <v>0</v>
      </c>
      <c r="N123" s="26" t="str">
        <f aca="false">IF(K123&lt;&gt;"",K123,IF(L123=1,"safety",""))</f>
        <v/>
      </c>
      <c r="O123" s="26" t="str">
        <f aca="false">IF(ISBLANK(D123),IFERROR(INDEX(Goal_Titles,MATCH(N123,Goal_Keys,0)),""),D123)</f>
        <v/>
      </c>
      <c r="P123" s="26" t="n">
        <f aca="false">IF(L123=1,MIN(PR_GoalMaxAge,In_age+IFERROR(INDEX(Goal_DefYrs,MATCH("safety",Goal_Keys,0)),0)),IF(ISBLANK(E123),IF(AND(ISBLANK(C123),Fill_Example="Yes"),0,MIN(PR_GoalMaxAge,In_age+IFERROR(INDEX(Goal_DefYrs,MATCH(N123,Goal_Keys,0)),0))),IF(IF(ISNUMBER(E123),AND(E123&gt;=0,E123&lt;=105,E123=INT(E123)),FALSE()),E123,MIN(PR_GoalMaxAge,In_age+IFERROR(INDEX(Goal_DefYrs,MATCH(N123,Goal_Keys,0)),0)))))</f>
        <v>0</v>
      </c>
      <c r="Q123" s="26" t="n">
        <f aca="false">IF(L123=1,IF(AND(Has_costsM=1,F_EssM&gt;0),ROUND(F_EssM*AS_Months,0),IFERROR(INDEX(Goal_DefAmt,MATCH("safety",Goal_Keys,0)),0)),IF(ISBLANK(F123),IF(AND(ISBLANK(C123),Fill_Example="Yes"),0,IFERROR(INDEX(Goal_DefAmt,MATCH(N123,Goal_Keys,0)),0)),IF(IF(ISNUMBER(F123),AND(F123&gt;=0,F123&lt;=100000000),FALSE()),F123,IFERROR(INDEX(Goal_DefAmt,MATCH(N123,Goal_Keys,0)),0))))</f>
        <v>0</v>
      </c>
      <c r="R123" s="26" t="n">
        <f aca="false">IF(L123=1,0,IF(ISBLANK(G123),IF(AND(ISBLANK(C123),Fill_Example="Yes"),0,0),IF(IF(ISNUMBER(G123),AND(G123&gt;=0,G123&lt;=100000000),FALSE()),G123,0)))</f>
        <v>0</v>
      </c>
      <c r="S123" s="26" t="str">
        <f aca="false">IF(L123=1,"Must have",IF(ISBLANK(H123),IF(AND(ISBLANK(C123),Fill_Example="Yes"),"Must have","Must have"),IF(ISNUMBER(MATCH(H123,{"Must have","Nice to have"},0)),H123,"Must have")))</f>
        <v>Must have</v>
      </c>
      <c r="T123" s="26" t="str">
        <f aca="false">IF(L123=1,"",IF(ISBLANK(I123),"",IF(IF(ISNUMBER(I123),AND(I123&gt;=1,I123&lt;=22,I123=INT(I123)),FALSE()),I123,"")))</f>
        <v/>
      </c>
      <c r="U123" s="26" t="str">
        <f aca="false">IF(L123=1,"Yes",IF(ISBLANK(J123),IF(AND(ISBLANK(C123),Fill_Example="Yes"),"No","No"),IF(ISNUMBER(MATCH(J123,{"Yes","No"},0)),J123,"No")))</f>
        <v>No</v>
      </c>
    </row>
    <row r="124" customFormat="false" ht="15" hidden="false" customHeight="true" outlineLevel="0" collapsed="false">
      <c r="B124" s="20" t="s">
        <v>1166</v>
      </c>
      <c r="C124" s="24"/>
      <c r="D124" s="24"/>
      <c r="E124" s="24"/>
      <c r="F124" s="24"/>
      <c r="G124" s="24"/>
      <c r="H124" s="24"/>
      <c r="I124" s="24"/>
      <c r="J124" s="24"/>
      <c r="K124" s="20" t="str">
        <f aca="false">IF(ISBLANK(C124),IF(Fill_Example="Yes","",""),IF(ISNUMBER(MATCH(C124,Goal_Keys,0)),C124,""))</f>
        <v/>
      </c>
      <c r="L124" s="20" t="n">
        <f aca="false">IF(AND(K124="",AutoSafety_On=1,AutoSafety_Row=14),1,0)</f>
        <v>0</v>
      </c>
      <c r="N124" s="26" t="str">
        <f aca="false">IF(K124&lt;&gt;"",K124,IF(L124=1,"safety",""))</f>
        <v/>
      </c>
      <c r="O124" s="26" t="str">
        <f aca="false">IF(ISBLANK(D124),IFERROR(INDEX(Goal_Titles,MATCH(N124,Goal_Keys,0)),""),D124)</f>
        <v/>
      </c>
      <c r="P124" s="26" t="n">
        <f aca="false">IF(L124=1,MIN(PR_GoalMaxAge,In_age+IFERROR(INDEX(Goal_DefYrs,MATCH("safety",Goal_Keys,0)),0)),IF(ISBLANK(E124),IF(AND(ISBLANK(C124),Fill_Example="Yes"),0,MIN(PR_GoalMaxAge,In_age+IFERROR(INDEX(Goal_DefYrs,MATCH(N124,Goal_Keys,0)),0))),IF(IF(ISNUMBER(E124),AND(E124&gt;=0,E124&lt;=105,E124=INT(E124)),FALSE()),E124,MIN(PR_GoalMaxAge,In_age+IFERROR(INDEX(Goal_DefYrs,MATCH(N124,Goal_Keys,0)),0)))))</f>
        <v>0</v>
      </c>
      <c r="Q124" s="26" t="n">
        <f aca="false">IF(L124=1,IF(AND(Has_costsM=1,F_EssM&gt;0),ROUND(F_EssM*AS_Months,0),IFERROR(INDEX(Goal_DefAmt,MATCH("safety",Goal_Keys,0)),0)),IF(ISBLANK(F124),IF(AND(ISBLANK(C124),Fill_Example="Yes"),0,IFERROR(INDEX(Goal_DefAmt,MATCH(N124,Goal_Keys,0)),0)),IF(IF(ISNUMBER(F124),AND(F124&gt;=0,F124&lt;=100000000),FALSE()),F124,IFERROR(INDEX(Goal_DefAmt,MATCH(N124,Goal_Keys,0)),0))))</f>
        <v>0</v>
      </c>
      <c r="R124" s="26" t="n">
        <f aca="false">IF(L124=1,0,IF(ISBLANK(G124),IF(AND(ISBLANK(C124),Fill_Example="Yes"),0,0),IF(IF(ISNUMBER(G124),AND(G124&gt;=0,G124&lt;=100000000),FALSE()),G124,0)))</f>
        <v>0</v>
      </c>
      <c r="S124" s="26" t="str">
        <f aca="false">IF(L124=1,"Must have",IF(ISBLANK(H124),IF(AND(ISBLANK(C124),Fill_Example="Yes"),"Must have","Must have"),IF(ISNUMBER(MATCH(H124,{"Must have","Nice to have"},0)),H124,"Must have")))</f>
        <v>Must have</v>
      </c>
      <c r="T124" s="26" t="str">
        <f aca="false">IF(L124=1,"",IF(ISBLANK(I124),"",IF(IF(ISNUMBER(I124),AND(I124&gt;=1,I124&lt;=22,I124=INT(I124)),FALSE()),I124,"")))</f>
        <v/>
      </c>
      <c r="U124" s="26" t="str">
        <f aca="false">IF(L124=1,"Yes",IF(ISBLANK(J124),IF(AND(ISBLANK(C124),Fill_Example="Yes"),"No","No"),IF(ISNUMBER(MATCH(J124,{"Yes","No"},0)),J124,"No")))</f>
        <v>No</v>
      </c>
    </row>
    <row r="125" customFormat="false" ht="15" hidden="false" customHeight="true" outlineLevel="0" collapsed="false">
      <c r="B125" s="20" t="s">
        <v>1167</v>
      </c>
      <c r="C125" s="24"/>
      <c r="D125" s="24"/>
      <c r="E125" s="24"/>
      <c r="F125" s="24"/>
      <c r="G125" s="24"/>
      <c r="H125" s="24"/>
      <c r="I125" s="24"/>
      <c r="J125" s="24"/>
      <c r="K125" s="20" t="str">
        <f aca="false">IF(ISBLANK(C125),IF(Fill_Example="Yes","",""),IF(ISNUMBER(MATCH(C125,Goal_Keys,0)),C125,""))</f>
        <v/>
      </c>
      <c r="L125" s="20" t="n">
        <f aca="false">IF(AND(K125="",AutoSafety_On=1,AutoSafety_Row=15),1,0)</f>
        <v>0</v>
      </c>
      <c r="N125" s="26" t="str">
        <f aca="false">IF(K125&lt;&gt;"",K125,IF(L125=1,"safety",""))</f>
        <v/>
      </c>
      <c r="O125" s="26" t="str">
        <f aca="false">IF(ISBLANK(D125),IFERROR(INDEX(Goal_Titles,MATCH(N125,Goal_Keys,0)),""),D125)</f>
        <v/>
      </c>
      <c r="P125" s="26" t="n">
        <f aca="false">IF(L125=1,MIN(PR_GoalMaxAge,In_age+IFERROR(INDEX(Goal_DefYrs,MATCH("safety",Goal_Keys,0)),0)),IF(ISBLANK(E125),IF(AND(ISBLANK(C125),Fill_Example="Yes"),0,MIN(PR_GoalMaxAge,In_age+IFERROR(INDEX(Goal_DefYrs,MATCH(N125,Goal_Keys,0)),0))),IF(IF(ISNUMBER(E125),AND(E125&gt;=0,E125&lt;=105,E125=INT(E125)),FALSE()),E125,MIN(PR_GoalMaxAge,In_age+IFERROR(INDEX(Goal_DefYrs,MATCH(N125,Goal_Keys,0)),0)))))</f>
        <v>0</v>
      </c>
      <c r="Q125" s="26" t="n">
        <f aca="false">IF(L125=1,IF(AND(Has_costsM=1,F_EssM&gt;0),ROUND(F_EssM*AS_Months,0),IFERROR(INDEX(Goal_DefAmt,MATCH("safety",Goal_Keys,0)),0)),IF(ISBLANK(F125),IF(AND(ISBLANK(C125),Fill_Example="Yes"),0,IFERROR(INDEX(Goal_DefAmt,MATCH(N125,Goal_Keys,0)),0)),IF(IF(ISNUMBER(F125),AND(F125&gt;=0,F125&lt;=100000000),FALSE()),F125,IFERROR(INDEX(Goal_DefAmt,MATCH(N125,Goal_Keys,0)),0))))</f>
        <v>0</v>
      </c>
      <c r="R125" s="26" t="n">
        <f aca="false">IF(L125=1,0,IF(ISBLANK(G125),IF(AND(ISBLANK(C125),Fill_Example="Yes"),0,0),IF(IF(ISNUMBER(G125),AND(G125&gt;=0,G125&lt;=100000000),FALSE()),G125,0)))</f>
        <v>0</v>
      </c>
      <c r="S125" s="26" t="str">
        <f aca="false">IF(L125=1,"Must have",IF(ISBLANK(H125),IF(AND(ISBLANK(C125),Fill_Example="Yes"),"Must have","Must have"),IF(ISNUMBER(MATCH(H125,{"Must have","Nice to have"},0)),H125,"Must have")))</f>
        <v>Must have</v>
      </c>
      <c r="T125" s="26" t="str">
        <f aca="false">IF(L125=1,"",IF(ISBLANK(I125),"",IF(IF(ISNUMBER(I125),AND(I125&gt;=1,I125&lt;=22,I125=INT(I125)),FALSE()),I125,"")))</f>
        <v/>
      </c>
      <c r="U125" s="26" t="str">
        <f aca="false">IF(L125=1,"Yes",IF(ISBLANK(J125),IF(AND(ISBLANK(C125),Fill_Example="Yes"),"No","No"),IF(ISNUMBER(MATCH(J125,{"Yes","No"},0)),J125,"No")))</f>
        <v>No</v>
      </c>
    </row>
    <row r="126" customFormat="false" ht="15" hidden="false" customHeight="true" outlineLevel="0" collapsed="false">
      <c r="B126" s="20" t="s">
        <v>1168</v>
      </c>
      <c r="C126" s="24"/>
      <c r="D126" s="24"/>
      <c r="E126" s="24"/>
      <c r="F126" s="24"/>
      <c r="G126" s="24"/>
      <c r="H126" s="24"/>
      <c r="I126" s="24"/>
      <c r="J126" s="24"/>
      <c r="K126" s="20" t="str">
        <f aca="false">IF(ISBLANK(C126),IF(Fill_Example="Yes","",""),IF(ISNUMBER(MATCH(C126,Goal_Keys,0)),C126,""))</f>
        <v/>
      </c>
      <c r="L126" s="20" t="n">
        <f aca="false">IF(AND(K126="",AutoSafety_On=1,AutoSafety_Row=16),1,0)</f>
        <v>0</v>
      </c>
      <c r="N126" s="26" t="str">
        <f aca="false">IF(K126&lt;&gt;"",K126,IF(L126=1,"safety",""))</f>
        <v/>
      </c>
      <c r="O126" s="26" t="str">
        <f aca="false">IF(ISBLANK(D126),IFERROR(INDEX(Goal_Titles,MATCH(N126,Goal_Keys,0)),""),D126)</f>
        <v/>
      </c>
      <c r="P126" s="26" t="n">
        <f aca="false">IF(L126=1,MIN(PR_GoalMaxAge,In_age+IFERROR(INDEX(Goal_DefYrs,MATCH("safety",Goal_Keys,0)),0)),IF(ISBLANK(E126),IF(AND(ISBLANK(C126),Fill_Example="Yes"),0,MIN(PR_GoalMaxAge,In_age+IFERROR(INDEX(Goal_DefYrs,MATCH(N126,Goal_Keys,0)),0))),IF(IF(ISNUMBER(E126),AND(E126&gt;=0,E126&lt;=105,E126=INT(E126)),FALSE()),E126,MIN(PR_GoalMaxAge,In_age+IFERROR(INDEX(Goal_DefYrs,MATCH(N126,Goal_Keys,0)),0)))))</f>
        <v>0</v>
      </c>
      <c r="Q126" s="26" t="n">
        <f aca="false">IF(L126=1,IF(AND(Has_costsM=1,F_EssM&gt;0),ROUND(F_EssM*AS_Months,0),IFERROR(INDEX(Goal_DefAmt,MATCH("safety",Goal_Keys,0)),0)),IF(ISBLANK(F126),IF(AND(ISBLANK(C126),Fill_Example="Yes"),0,IFERROR(INDEX(Goal_DefAmt,MATCH(N126,Goal_Keys,0)),0)),IF(IF(ISNUMBER(F126),AND(F126&gt;=0,F126&lt;=100000000),FALSE()),F126,IFERROR(INDEX(Goal_DefAmt,MATCH(N126,Goal_Keys,0)),0))))</f>
        <v>0</v>
      </c>
      <c r="R126" s="26" t="n">
        <f aca="false">IF(L126=1,0,IF(ISBLANK(G126),IF(AND(ISBLANK(C126),Fill_Example="Yes"),0,0),IF(IF(ISNUMBER(G126),AND(G126&gt;=0,G126&lt;=100000000),FALSE()),G126,0)))</f>
        <v>0</v>
      </c>
      <c r="S126" s="26" t="str">
        <f aca="false">IF(L126=1,"Must have",IF(ISBLANK(H126),IF(AND(ISBLANK(C126),Fill_Example="Yes"),"Must have","Must have"),IF(ISNUMBER(MATCH(H126,{"Must have","Nice to have"},0)),H126,"Must have")))</f>
        <v>Must have</v>
      </c>
      <c r="T126" s="26" t="str">
        <f aca="false">IF(L126=1,"",IF(ISBLANK(I126),"",IF(IF(ISNUMBER(I126),AND(I126&gt;=1,I126&lt;=22,I126=INT(I126)),FALSE()),I126,"")))</f>
        <v/>
      </c>
      <c r="U126" s="26" t="str">
        <f aca="false">IF(L126=1,"Yes",IF(ISBLANK(J126),IF(AND(ISBLANK(C126),Fill_Example="Yes"),"No","No"),IF(ISNUMBER(MATCH(J126,{"Yes","No"},0)),J126,"No")))</f>
        <v>No</v>
      </c>
    </row>
    <row r="127" customFormat="false" ht="15" hidden="false" customHeight="true" outlineLevel="0" collapsed="false">
      <c r="B127" s="20" t="s">
        <v>1169</v>
      </c>
      <c r="C127" s="24"/>
      <c r="D127" s="24"/>
      <c r="E127" s="24"/>
      <c r="F127" s="24"/>
      <c r="G127" s="24"/>
      <c r="H127" s="24"/>
      <c r="I127" s="24"/>
      <c r="J127" s="24"/>
      <c r="K127" s="20" t="str">
        <f aca="false">IF(ISBLANK(C127),IF(Fill_Example="Yes","",""),IF(ISNUMBER(MATCH(C127,Goal_Keys,0)),C127,""))</f>
        <v/>
      </c>
      <c r="L127" s="20" t="n">
        <f aca="false">IF(AND(K127="",AutoSafety_On=1,AutoSafety_Row=17),1,0)</f>
        <v>0</v>
      </c>
      <c r="N127" s="26" t="str">
        <f aca="false">IF(K127&lt;&gt;"",K127,IF(L127=1,"safety",""))</f>
        <v/>
      </c>
      <c r="O127" s="26" t="str">
        <f aca="false">IF(ISBLANK(D127),IFERROR(INDEX(Goal_Titles,MATCH(N127,Goal_Keys,0)),""),D127)</f>
        <v/>
      </c>
      <c r="P127" s="26" t="n">
        <f aca="false">IF(L127=1,MIN(PR_GoalMaxAge,In_age+IFERROR(INDEX(Goal_DefYrs,MATCH("safety",Goal_Keys,0)),0)),IF(ISBLANK(E127),IF(AND(ISBLANK(C127),Fill_Example="Yes"),0,MIN(PR_GoalMaxAge,In_age+IFERROR(INDEX(Goal_DefYrs,MATCH(N127,Goal_Keys,0)),0))),IF(IF(ISNUMBER(E127),AND(E127&gt;=0,E127&lt;=105,E127=INT(E127)),FALSE()),E127,MIN(PR_GoalMaxAge,In_age+IFERROR(INDEX(Goal_DefYrs,MATCH(N127,Goal_Keys,0)),0)))))</f>
        <v>0</v>
      </c>
      <c r="Q127" s="26" t="n">
        <f aca="false">IF(L127=1,IF(AND(Has_costsM=1,F_EssM&gt;0),ROUND(F_EssM*AS_Months,0),IFERROR(INDEX(Goal_DefAmt,MATCH("safety",Goal_Keys,0)),0)),IF(ISBLANK(F127),IF(AND(ISBLANK(C127),Fill_Example="Yes"),0,IFERROR(INDEX(Goal_DefAmt,MATCH(N127,Goal_Keys,0)),0)),IF(IF(ISNUMBER(F127),AND(F127&gt;=0,F127&lt;=100000000),FALSE()),F127,IFERROR(INDEX(Goal_DefAmt,MATCH(N127,Goal_Keys,0)),0))))</f>
        <v>0</v>
      </c>
      <c r="R127" s="26" t="n">
        <f aca="false">IF(L127=1,0,IF(ISBLANK(G127),IF(AND(ISBLANK(C127),Fill_Example="Yes"),0,0),IF(IF(ISNUMBER(G127),AND(G127&gt;=0,G127&lt;=100000000),FALSE()),G127,0)))</f>
        <v>0</v>
      </c>
      <c r="S127" s="26" t="str">
        <f aca="false">IF(L127=1,"Must have",IF(ISBLANK(H127),IF(AND(ISBLANK(C127),Fill_Example="Yes"),"Must have","Must have"),IF(ISNUMBER(MATCH(H127,{"Must have","Nice to have"},0)),H127,"Must have")))</f>
        <v>Must have</v>
      </c>
      <c r="T127" s="26" t="str">
        <f aca="false">IF(L127=1,"",IF(ISBLANK(I127),"",IF(IF(ISNUMBER(I127),AND(I127&gt;=1,I127&lt;=22,I127=INT(I127)),FALSE()),I127,"")))</f>
        <v/>
      </c>
      <c r="U127" s="26" t="str">
        <f aca="false">IF(L127=1,"Yes",IF(ISBLANK(J127),IF(AND(ISBLANK(C127),Fill_Example="Yes"),"No","No"),IF(ISNUMBER(MATCH(J127,{"Yes","No"},0)),J127,"No")))</f>
        <v>No</v>
      </c>
    </row>
    <row r="128" customFormat="false" ht="15" hidden="false" customHeight="true" outlineLevel="0" collapsed="false">
      <c r="B128" s="20" t="s">
        <v>1170</v>
      </c>
      <c r="C128" s="24"/>
      <c r="D128" s="24"/>
      <c r="E128" s="24"/>
      <c r="F128" s="24"/>
      <c r="G128" s="24"/>
      <c r="H128" s="24"/>
      <c r="I128" s="24"/>
      <c r="J128" s="24"/>
      <c r="K128" s="20" t="str">
        <f aca="false">IF(ISBLANK(C128),IF(Fill_Example="Yes","",""),IF(ISNUMBER(MATCH(C128,Goal_Keys,0)),C128,""))</f>
        <v/>
      </c>
      <c r="L128" s="20" t="n">
        <f aca="false">IF(AND(K128="",AutoSafety_On=1,AutoSafety_Row=18),1,0)</f>
        <v>0</v>
      </c>
      <c r="N128" s="26" t="str">
        <f aca="false">IF(K128&lt;&gt;"",K128,IF(L128=1,"safety",""))</f>
        <v/>
      </c>
      <c r="O128" s="26" t="str">
        <f aca="false">IF(ISBLANK(D128),IFERROR(INDEX(Goal_Titles,MATCH(N128,Goal_Keys,0)),""),D128)</f>
        <v/>
      </c>
      <c r="P128" s="26" t="n">
        <f aca="false">IF(L128=1,MIN(PR_GoalMaxAge,In_age+IFERROR(INDEX(Goal_DefYrs,MATCH("safety",Goal_Keys,0)),0)),IF(ISBLANK(E128),IF(AND(ISBLANK(C128),Fill_Example="Yes"),0,MIN(PR_GoalMaxAge,In_age+IFERROR(INDEX(Goal_DefYrs,MATCH(N128,Goal_Keys,0)),0))),IF(IF(ISNUMBER(E128),AND(E128&gt;=0,E128&lt;=105,E128=INT(E128)),FALSE()),E128,MIN(PR_GoalMaxAge,In_age+IFERROR(INDEX(Goal_DefYrs,MATCH(N128,Goal_Keys,0)),0)))))</f>
        <v>0</v>
      </c>
      <c r="Q128" s="26" t="n">
        <f aca="false">IF(L128=1,IF(AND(Has_costsM=1,F_EssM&gt;0),ROUND(F_EssM*AS_Months,0),IFERROR(INDEX(Goal_DefAmt,MATCH("safety",Goal_Keys,0)),0)),IF(ISBLANK(F128),IF(AND(ISBLANK(C128),Fill_Example="Yes"),0,IFERROR(INDEX(Goal_DefAmt,MATCH(N128,Goal_Keys,0)),0)),IF(IF(ISNUMBER(F128),AND(F128&gt;=0,F128&lt;=100000000),FALSE()),F128,IFERROR(INDEX(Goal_DefAmt,MATCH(N128,Goal_Keys,0)),0))))</f>
        <v>0</v>
      </c>
      <c r="R128" s="26" t="n">
        <f aca="false">IF(L128=1,0,IF(ISBLANK(G128),IF(AND(ISBLANK(C128),Fill_Example="Yes"),0,0),IF(IF(ISNUMBER(G128),AND(G128&gt;=0,G128&lt;=100000000),FALSE()),G128,0)))</f>
        <v>0</v>
      </c>
      <c r="S128" s="26" t="str">
        <f aca="false">IF(L128=1,"Must have",IF(ISBLANK(H128),IF(AND(ISBLANK(C128),Fill_Example="Yes"),"Must have","Must have"),IF(ISNUMBER(MATCH(H128,{"Must have","Nice to have"},0)),H128,"Must have")))</f>
        <v>Must have</v>
      </c>
      <c r="T128" s="26" t="str">
        <f aca="false">IF(L128=1,"",IF(ISBLANK(I128),"",IF(IF(ISNUMBER(I128),AND(I128&gt;=1,I128&lt;=22,I128=INT(I128)),FALSE()),I128,"")))</f>
        <v/>
      </c>
      <c r="U128" s="26" t="str">
        <f aca="false">IF(L128=1,"Yes",IF(ISBLANK(J128),IF(AND(ISBLANK(C128),Fill_Example="Yes"),"No","No"),IF(ISNUMBER(MATCH(J128,{"Yes","No"},0)),J128,"No")))</f>
        <v>No</v>
      </c>
    </row>
    <row r="129" customFormat="false" ht="15" hidden="false" customHeight="true" outlineLevel="0" collapsed="false">
      <c r="B129" s="20" t="s">
        <v>1171</v>
      </c>
      <c r="C129" s="24"/>
      <c r="D129" s="24"/>
      <c r="E129" s="24"/>
      <c r="F129" s="24"/>
      <c r="G129" s="24"/>
      <c r="H129" s="24"/>
      <c r="I129" s="24"/>
      <c r="J129" s="24"/>
      <c r="K129" s="20" t="str">
        <f aca="false">IF(ISBLANK(C129),IF(Fill_Example="Yes","",""),IF(ISNUMBER(MATCH(C129,Goal_Keys,0)),C129,""))</f>
        <v/>
      </c>
      <c r="L129" s="20" t="n">
        <f aca="false">IF(AND(K129="",AutoSafety_On=1,AutoSafety_Row=19),1,0)</f>
        <v>0</v>
      </c>
      <c r="N129" s="26" t="str">
        <f aca="false">IF(K129&lt;&gt;"",K129,IF(L129=1,"safety",""))</f>
        <v/>
      </c>
      <c r="O129" s="26" t="str">
        <f aca="false">IF(ISBLANK(D129),IFERROR(INDEX(Goal_Titles,MATCH(N129,Goal_Keys,0)),""),D129)</f>
        <v/>
      </c>
      <c r="P129" s="26" t="n">
        <f aca="false">IF(L129=1,MIN(PR_GoalMaxAge,In_age+IFERROR(INDEX(Goal_DefYrs,MATCH("safety",Goal_Keys,0)),0)),IF(ISBLANK(E129),IF(AND(ISBLANK(C129),Fill_Example="Yes"),0,MIN(PR_GoalMaxAge,In_age+IFERROR(INDEX(Goal_DefYrs,MATCH(N129,Goal_Keys,0)),0))),IF(IF(ISNUMBER(E129),AND(E129&gt;=0,E129&lt;=105,E129=INT(E129)),FALSE()),E129,MIN(PR_GoalMaxAge,In_age+IFERROR(INDEX(Goal_DefYrs,MATCH(N129,Goal_Keys,0)),0)))))</f>
        <v>0</v>
      </c>
      <c r="Q129" s="26" t="n">
        <f aca="false">IF(L129=1,IF(AND(Has_costsM=1,F_EssM&gt;0),ROUND(F_EssM*AS_Months,0),IFERROR(INDEX(Goal_DefAmt,MATCH("safety",Goal_Keys,0)),0)),IF(ISBLANK(F129),IF(AND(ISBLANK(C129),Fill_Example="Yes"),0,IFERROR(INDEX(Goal_DefAmt,MATCH(N129,Goal_Keys,0)),0)),IF(IF(ISNUMBER(F129),AND(F129&gt;=0,F129&lt;=100000000),FALSE()),F129,IFERROR(INDEX(Goal_DefAmt,MATCH(N129,Goal_Keys,0)),0))))</f>
        <v>0</v>
      </c>
      <c r="R129" s="26" t="n">
        <f aca="false">IF(L129=1,0,IF(ISBLANK(G129),IF(AND(ISBLANK(C129),Fill_Example="Yes"),0,0),IF(IF(ISNUMBER(G129),AND(G129&gt;=0,G129&lt;=100000000),FALSE()),G129,0)))</f>
        <v>0</v>
      </c>
      <c r="S129" s="26" t="str">
        <f aca="false">IF(L129=1,"Must have",IF(ISBLANK(H129),IF(AND(ISBLANK(C129),Fill_Example="Yes"),"Must have","Must have"),IF(ISNUMBER(MATCH(H129,{"Must have","Nice to have"},0)),H129,"Must have")))</f>
        <v>Must have</v>
      </c>
      <c r="T129" s="26" t="str">
        <f aca="false">IF(L129=1,"",IF(ISBLANK(I129),"",IF(IF(ISNUMBER(I129),AND(I129&gt;=1,I129&lt;=22,I129=INT(I129)),FALSE()),I129,"")))</f>
        <v/>
      </c>
      <c r="U129" s="26" t="str">
        <f aca="false">IF(L129=1,"Yes",IF(ISBLANK(J129),IF(AND(ISBLANK(C129),Fill_Example="Yes"),"No","No"),IF(ISNUMBER(MATCH(J129,{"Yes","No"},0)),J129,"No")))</f>
        <v>No</v>
      </c>
    </row>
    <row r="130" customFormat="false" ht="15" hidden="false" customHeight="true" outlineLevel="0" collapsed="false">
      <c r="B130" s="20" t="s">
        <v>1172</v>
      </c>
      <c r="C130" s="24"/>
      <c r="D130" s="24"/>
      <c r="E130" s="24"/>
      <c r="F130" s="24"/>
      <c r="G130" s="24"/>
      <c r="H130" s="24"/>
      <c r="I130" s="24"/>
      <c r="J130" s="24"/>
      <c r="K130" s="20" t="str">
        <f aca="false">IF(ISBLANK(C130),IF(Fill_Example="Yes","",""),IF(ISNUMBER(MATCH(C130,Goal_Keys,0)),C130,""))</f>
        <v/>
      </c>
      <c r="L130" s="20" t="n">
        <f aca="false">IF(AND(K130="",AutoSafety_On=1,AutoSafety_Row=20),1,0)</f>
        <v>0</v>
      </c>
      <c r="N130" s="26" t="str">
        <f aca="false">IF(K130&lt;&gt;"",K130,IF(L130=1,"safety",""))</f>
        <v/>
      </c>
      <c r="O130" s="26" t="str">
        <f aca="false">IF(ISBLANK(D130),IFERROR(INDEX(Goal_Titles,MATCH(N130,Goal_Keys,0)),""),D130)</f>
        <v/>
      </c>
      <c r="P130" s="26" t="n">
        <f aca="false">IF(L130=1,MIN(PR_GoalMaxAge,In_age+IFERROR(INDEX(Goal_DefYrs,MATCH("safety",Goal_Keys,0)),0)),IF(ISBLANK(E130),IF(AND(ISBLANK(C130),Fill_Example="Yes"),0,MIN(PR_GoalMaxAge,In_age+IFERROR(INDEX(Goal_DefYrs,MATCH(N130,Goal_Keys,0)),0))),IF(IF(ISNUMBER(E130),AND(E130&gt;=0,E130&lt;=105,E130=INT(E130)),FALSE()),E130,MIN(PR_GoalMaxAge,In_age+IFERROR(INDEX(Goal_DefYrs,MATCH(N130,Goal_Keys,0)),0)))))</f>
        <v>0</v>
      </c>
      <c r="Q130" s="26" t="n">
        <f aca="false">IF(L130=1,IF(AND(Has_costsM=1,F_EssM&gt;0),ROUND(F_EssM*AS_Months,0),IFERROR(INDEX(Goal_DefAmt,MATCH("safety",Goal_Keys,0)),0)),IF(ISBLANK(F130),IF(AND(ISBLANK(C130),Fill_Example="Yes"),0,IFERROR(INDEX(Goal_DefAmt,MATCH(N130,Goal_Keys,0)),0)),IF(IF(ISNUMBER(F130),AND(F130&gt;=0,F130&lt;=100000000),FALSE()),F130,IFERROR(INDEX(Goal_DefAmt,MATCH(N130,Goal_Keys,0)),0))))</f>
        <v>0</v>
      </c>
      <c r="R130" s="26" t="n">
        <f aca="false">IF(L130=1,0,IF(ISBLANK(G130),IF(AND(ISBLANK(C130),Fill_Example="Yes"),0,0),IF(IF(ISNUMBER(G130),AND(G130&gt;=0,G130&lt;=100000000),FALSE()),G130,0)))</f>
        <v>0</v>
      </c>
      <c r="S130" s="26" t="str">
        <f aca="false">IF(L130=1,"Must have",IF(ISBLANK(H130),IF(AND(ISBLANK(C130),Fill_Example="Yes"),"Must have","Must have"),IF(ISNUMBER(MATCH(H130,{"Must have","Nice to have"},0)),H130,"Must have")))</f>
        <v>Must have</v>
      </c>
      <c r="T130" s="26" t="str">
        <f aca="false">IF(L130=1,"",IF(ISBLANK(I130),"",IF(IF(ISNUMBER(I130),AND(I130&gt;=1,I130&lt;=22,I130=INT(I130)),FALSE()),I130,"")))</f>
        <v/>
      </c>
      <c r="U130" s="26" t="str">
        <f aca="false">IF(L130=1,"Yes",IF(ISBLANK(J130),IF(AND(ISBLANK(C130),Fill_Example="Yes"),"No","No"),IF(ISNUMBER(MATCH(J130,{"Yes","No"},0)),J130,"No")))</f>
        <v>No</v>
      </c>
    </row>
    <row r="131" customFormat="false" ht="15" hidden="false" customHeight="true" outlineLevel="0" collapsed="false">
      <c r="B131" s="20" t="s">
        <v>1173</v>
      </c>
      <c r="C131" s="24"/>
      <c r="D131" s="24"/>
      <c r="E131" s="24"/>
      <c r="F131" s="24"/>
      <c r="G131" s="24"/>
      <c r="H131" s="24"/>
      <c r="I131" s="24"/>
      <c r="J131" s="24"/>
      <c r="K131" s="20" t="str">
        <f aca="false">IF(ISBLANK(C131),IF(Fill_Example="Yes","",""),IF(ISNUMBER(MATCH(C131,Goal_Keys,0)),C131,""))</f>
        <v/>
      </c>
      <c r="L131" s="20" t="n">
        <f aca="false">IF(AND(K131="",AutoSafety_On=1,AutoSafety_Row=21),1,0)</f>
        <v>0</v>
      </c>
      <c r="N131" s="26" t="str">
        <f aca="false">IF(K131&lt;&gt;"",K131,IF(L131=1,"safety",""))</f>
        <v/>
      </c>
      <c r="O131" s="26" t="str">
        <f aca="false">IF(ISBLANK(D131),IFERROR(INDEX(Goal_Titles,MATCH(N131,Goal_Keys,0)),""),D131)</f>
        <v/>
      </c>
      <c r="P131" s="26" t="n">
        <f aca="false">IF(L131=1,MIN(PR_GoalMaxAge,In_age+IFERROR(INDEX(Goal_DefYrs,MATCH("safety",Goal_Keys,0)),0)),IF(ISBLANK(E131),IF(AND(ISBLANK(C131),Fill_Example="Yes"),0,MIN(PR_GoalMaxAge,In_age+IFERROR(INDEX(Goal_DefYrs,MATCH(N131,Goal_Keys,0)),0))),IF(IF(ISNUMBER(E131),AND(E131&gt;=0,E131&lt;=105,E131=INT(E131)),FALSE()),E131,MIN(PR_GoalMaxAge,In_age+IFERROR(INDEX(Goal_DefYrs,MATCH(N131,Goal_Keys,0)),0)))))</f>
        <v>0</v>
      </c>
      <c r="Q131" s="26" t="n">
        <f aca="false">IF(L131=1,IF(AND(Has_costsM=1,F_EssM&gt;0),ROUND(F_EssM*AS_Months,0),IFERROR(INDEX(Goal_DefAmt,MATCH("safety",Goal_Keys,0)),0)),IF(ISBLANK(F131),IF(AND(ISBLANK(C131),Fill_Example="Yes"),0,IFERROR(INDEX(Goal_DefAmt,MATCH(N131,Goal_Keys,0)),0)),IF(IF(ISNUMBER(F131),AND(F131&gt;=0,F131&lt;=100000000),FALSE()),F131,IFERROR(INDEX(Goal_DefAmt,MATCH(N131,Goal_Keys,0)),0))))</f>
        <v>0</v>
      </c>
      <c r="R131" s="26" t="n">
        <f aca="false">IF(L131=1,0,IF(ISBLANK(G131),IF(AND(ISBLANK(C131),Fill_Example="Yes"),0,0),IF(IF(ISNUMBER(G131),AND(G131&gt;=0,G131&lt;=100000000),FALSE()),G131,0)))</f>
        <v>0</v>
      </c>
      <c r="S131" s="26" t="str">
        <f aca="false">IF(L131=1,"Must have",IF(ISBLANK(H131),IF(AND(ISBLANK(C131),Fill_Example="Yes"),"Must have","Must have"),IF(ISNUMBER(MATCH(H131,{"Must have","Nice to have"},0)),H131,"Must have")))</f>
        <v>Must have</v>
      </c>
      <c r="T131" s="26" t="str">
        <f aca="false">IF(L131=1,"",IF(ISBLANK(I131),"",IF(IF(ISNUMBER(I131),AND(I131&gt;=1,I131&lt;=22,I131=INT(I131)),FALSE()),I131,"")))</f>
        <v/>
      </c>
      <c r="U131" s="26" t="str">
        <f aca="false">IF(L131=1,"Yes",IF(ISBLANK(J131),IF(AND(ISBLANK(C131),Fill_Example="Yes"),"No","No"),IF(ISNUMBER(MATCH(J131,{"Yes","No"},0)),J131,"No")))</f>
        <v>No</v>
      </c>
    </row>
    <row r="132" customFormat="false" ht="15" hidden="false" customHeight="true" outlineLevel="0" collapsed="false">
      <c r="B132" s="20" t="s">
        <v>1174</v>
      </c>
      <c r="C132" s="24"/>
      <c r="D132" s="24"/>
      <c r="E132" s="24"/>
      <c r="F132" s="24"/>
      <c r="G132" s="24"/>
      <c r="H132" s="24"/>
      <c r="I132" s="24"/>
      <c r="J132" s="24"/>
      <c r="K132" s="20" t="str">
        <f aca="false">IF(ISBLANK(C132),IF(Fill_Example="Yes","",""),IF(ISNUMBER(MATCH(C132,Goal_Keys,0)),C132,""))</f>
        <v/>
      </c>
      <c r="L132" s="20" t="n">
        <f aca="false">IF(AND(K132="",AutoSafety_On=1,AutoSafety_Row=22),1,0)</f>
        <v>0</v>
      </c>
      <c r="N132" s="26" t="str">
        <f aca="false">IF(K132&lt;&gt;"",K132,IF(L132=1,"safety",""))</f>
        <v/>
      </c>
      <c r="O132" s="26" t="str">
        <f aca="false">IF(ISBLANK(D132),IFERROR(INDEX(Goal_Titles,MATCH(N132,Goal_Keys,0)),""),D132)</f>
        <v/>
      </c>
      <c r="P132" s="26" t="n">
        <f aca="false">IF(L132=1,MIN(PR_GoalMaxAge,In_age+IFERROR(INDEX(Goal_DefYrs,MATCH("safety",Goal_Keys,0)),0)),IF(ISBLANK(E132),IF(AND(ISBLANK(C132),Fill_Example="Yes"),0,MIN(PR_GoalMaxAge,In_age+IFERROR(INDEX(Goal_DefYrs,MATCH(N132,Goal_Keys,0)),0))),IF(IF(ISNUMBER(E132),AND(E132&gt;=0,E132&lt;=105,E132=INT(E132)),FALSE()),E132,MIN(PR_GoalMaxAge,In_age+IFERROR(INDEX(Goal_DefYrs,MATCH(N132,Goal_Keys,0)),0)))))</f>
        <v>0</v>
      </c>
      <c r="Q132" s="26" t="n">
        <f aca="false">IF(L132=1,IF(AND(Has_costsM=1,F_EssM&gt;0),ROUND(F_EssM*AS_Months,0),IFERROR(INDEX(Goal_DefAmt,MATCH("safety",Goal_Keys,0)),0)),IF(ISBLANK(F132),IF(AND(ISBLANK(C132),Fill_Example="Yes"),0,IFERROR(INDEX(Goal_DefAmt,MATCH(N132,Goal_Keys,0)),0)),IF(IF(ISNUMBER(F132),AND(F132&gt;=0,F132&lt;=100000000),FALSE()),F132,IFERROR(INDEX(Goal_DefAmt,MATCH(N132,Goal_Keys,0)),0))))</f>
        <v>0</v>
      </c>
      <c r="R132" s="26" t="n">
        <f aca="false">IF(L132=1,0,IF(ISBLANK(G132),IF(AND(ISBLANK(C132),Fill_Example="Yes"),0,0),IF(IF(ISNUMBER(G132),AND(G132&gt;=0,G132&lt;=100000000),FALSE()),G132,0)))</f>
        <v>0</v>
      </c>
      <c r="S132" s="26" t="str">
        <f aca="false">IF(L132=1,"Must have",IF(ISBLANK(H132),IF(AND(ISBLANK(C132),Fill_Example="Yes"),"Must have","Must have"),IF(ISNUMBER(MATCH(H132,{"Must have","Nice to have"},0)),H132,"Must have")))</f>
        <v>Must have</v>
      </c>
      <c r="T132" s="26" t="str">
        <f aca="false">IF(L132=1,"",IF(ISBLANK(I132),"",IF(IF(ISNUMBER(I132),AND(I132&gt;=1,I132&lt;=22,I132=INT(I132)),FALSE()),I132,"")))</f>
        <v/>
      </c>
      <c r="U132" s="26" t="str">
        <f aca="false">IF(L132=1,"Yes",IF(ISBLANK(J132),IF(AND(ISBLANK(C132),Fill_Example="Yes"),"No","No"),IF(ISNUMBER(MATCH(J132,{"Yes","No"},0)),J132,"No")))</f>
        <v>No</v>
      </c>
    </row>
    <row r="134" customFormat="false" ht="15" hidden="false" customHeight="false" outlineLevel="0" collapsed="false">
      <c r="B134" s="35" t="s">
        <v>1175</v>
      </c>
    </row>
    <row r="135" customFormat="false" ht="15" hidden="false" customHeight="false" outlineLevel="0" collapsed="false">
      <c r="B135" s="36" t="s">
        <v>1176</v>
      </c>
      <c r="C135" s="36" t="s">
        <v>914</v>
      </c>
      <c r="D135" s="36" t="s">
        <v>915</v>
      </c>
      <c r="E135" s="36" t="s">
        <v>916</v>
      </c>
      <c r="F135" s="36" t="s">
        <v>917</v>
      </c>
      <c r="G135" s="36" t="s">
        <v>918</v>
      </c>
      <c r="H135" s="36" t="s">
        <v>919</v>
      </c>
    </row>
    <row r="136" customFormat="false" ht="15" hidden="false" customHeight="false" outlineLevel="0" collapsed="false">
      <c r="B136" s="20" t="s">
        <v>1177</v>
      </c>
      <c r="C136" s="37"/>
      <c r="D136" s="20" t="s">
        <v>966</v>
      </c>
      <c r="E136" s="38" t="s">
        <v>1178</v>
      </c>
      <c r="G136" s="39" t="n">
        <f aca="false">IF(ISBLANK(C136),IF(AND(Fill_Example="Yes",F136&lt;&gt;""),F136,0),IF(IF(ISNUMBER(C136),AND(C136&gt;=0,C136&lt;=100000000),FALSE()),C136,0))</f>
        <v>0</v>
      </c>
      <c r="H136" s="39" t="n">
        <f aca="false">IF(ISBLANK(C136),IF(AND(Fill_Example="Yes",F136&lt;&gt;""),1,0),IF(IF(ISNUMBER(C136),AND(C136&gt;=0,C136&lt;=100000000),FALSE()),1,0))</f>
        <v>0</v>
      </c>
    </row>
    <row r="137" customFormat="false" ht="15" hidden="false" customHeight="false" outlineLevel="0" collapsed="false">
      <c r="B137" s="20" t="s">
        <v>1179</v>
      </c>
      <c r="C137" s="37"/>
      <c r="D137" s="20" t="s">
        <v>966</v>
      </c>
      <c r="E137" s="38" t="s">
        <v>1180</v>
      </c>
      <c r="G137" s="39" t="n">
        <f aca="false">IF(ISBLANK(C137),IF(AND(Fill_Example="Yes",F137&lt;&gt;""),F137,0),IF(IF(ISNUMBER(C137),AND(C137&gt;=0,C137&lt;=100000000),FALSE()),C137,0))</f>
        <v>0</v>
      </c>
      <c r="H137" s="39" t="n">
        <f aca="false">IF(ISBLANK(C137),IF(AND(Fill_Example="Yes",F137&lt;&gt;""),1,0),IF(IF(ISNUMBER(C137),AND(C137&gt;=0,C137&lt;=100000000),FALSE()),1,0))</f>
        <v>0</v>
      </c>
    </row>
    <row r="138" customFormat="false" ht="15" hidden="false" customHeight="false" outlineLevel="0" collapsed="false">
      <c r="B138" s="20" t="s">
        <v>1181</v>
      </c>
      <c r="C138" s="37"/>
      <c r="D138" s="20" t="s">
        <v>966</v>
      </c>
      <c r="E138" s="38" t="s">
        <v>1182</v>
      </c>
      <c r="G138" s="39" t="n">
        <f aca="false">IF(ISBLANK(C138),IF(AND(Fill_Example="Yes",F138&lt;&gt;""),F138,0),IF(IF(ISNUMBER(C138),AND(C138&gt;=0,C138&lt;=100000000),FALSE()),C138,0))</f>
        <v>0</v>
      </c>
      <c r="H138" s="39" t="n">
        <f aca="false">IF(ISBLANK(C138),IF(AND(Fill_Example="Yes",F138&lt;&gt;""),1,0),IF(IF(ISNUMBER(C138),AND(C138&gt;=0,C138&lt;=100000000),FALSE()),1,0))</f>
        <v>0</v>
      </c>
    </row>
    <row r="139" customFormat="false" ht="15" hidden="false" customHeight="false" outlineLevel="0" collapsed="false">
      <c r="B139" s="20" t="s">
        <v>1183</v>
      </c>
      <c r="C139" s="37"/>
      <c r="D139" s="20" t="s">
        <v>966</v>
      </c>
      <c r="E139" s="38" t="s">
        <v>1184</v>
      </c>
      <c r="G139" s="39" t="n">
        <f aca="false">IF(ISBLANK(C139),IF(AND(Fill_Example="Yes",F139&lt;&gt;""),F139,0),IF(IF(ISNUMBER(C139),AND(C139&gt;=0,C139&lt;=100000000),FALSE()),C139,0))</f>
        <v>0</v>
      </c>
      <c r="H139" s="39" t="n">
        <f aca="false">IF(ISBLANK(C139),IF(AND(Fill_Example="Yes",F139&lt;&gt;""),1,0),IF(IF(ISNUMBER(C139),AND(C139&gt;=0,C139&lt;=100000000),FALSE()),1,0))</f>
        <v>0</v>
      </c>
    </row>
    <row r="140" customFormat="false" ht="15" hidden="false" customHeight="false" outlineLevel="0" collapsed="false">
      <c r="B140" s="20" t="s">
        <v>1185</v>
      </c>
      <c r="C140" s="37"/>
      <c r="D140" s="20" t="s">
        <v>1004</v>
      </c>
      <c r="E140" s="38" t="s">
        <v>1186</v>
      </c>
      <c r="G140" s="39" t="n">
        <f aca="false">IF(ISBLANK(C140),IF(AND(Fill_Example="Yes",F140&lt;&gt;""),F140,0),IF(IF(ISNUMBER(C140),AND(C140&gt;=0,C140&lt;=60),FALSE()),C140,0))</f>
        <v>0</v>
      </c>
      <c r="H140" s="39" t="n">
        <f aca="false">IF(ISBLANK(C140),IF(AND(Fill_Example="Yes",F140&lt;&gt;""),1,0),IF(IF(ISNUMBER(C140),AND(C140&gt;=0,C140&lt;=60),FALSE()),1,0))</f>
        <v>0</v>
      </c>
    </row>
    <row r="141" customFormat="false" ht="15" hidden="false" customHeight="false" outlineLevel="0" collapsed="false">
      <c r="B141" s="20" t="s">
        <v>1187</v>
      </c>
      <c r="C141" s="37"/>
      <c r="D141" s="20" t="s">
        <v>966</v>
      </c>
      <c r="E141" s="38" t="s">
        <v>1188</v>
      </c>
      <c r="G141" s="39" t="n">
        <f aca="false">IF(ISBLANK(C141),IF(AND(Fill_Example="Yes",F141&lt;&gt;""),F141,0),IF(IF(ISNUMBER(C141),AND(C141&gt;=0,C141&lt;=100000000),FALSE()),C141,0))</f>
        <v>0</v>
      </c>
      <c r="H141" s="39" t="n">
        <f aca="false">IF(ISBLANK(C141),IF(AND(Fill_Example="Yes",F141&lt;&gt;""),1,0),IF(IF(ISNUMBER(C141),AND(C141&gt;=0,C141&lt;=100000000),FALSE()),1,0))</f>
        <v>0</v>
      </c>
    </row>
    <row r="142" customFormat="false" ht="15" hidden="false" customHeight="false" outlineLevel="0" collapsed="false">
      <c r="B142" s="20" t="s">
        <v>1189</v>
      </c>
      <c r="C142" s="37"/>
      <c r="D142" s="20" t="s">
        <v>966</v>
      </c>
      <c r="E142" s="38" t="s">
        <v>1190</v>
      </c>
      <c r="G142" s="39" t="n">
        <f aca="false">IF(ISBLANK(C142),IF(AND(Fill_Example="Yes",F142&lt;&gt;""),F142,0),IF(IF(ISNUMBER(C142),AND(C142&gt;=0,C142&lt;=100000000),FALSE()),C142,0))</f>
        <v>0</v>
      </c>
      <c r="H142" s="39" t="n">
        <f aca="false">IF(ISBLANK(C142),IF(AND(Fill_Example="Yes",F142&lt;&gt;""),1,0),IF(IF(ISNUMBER(C142),AND(C142&gt;=0,C142&lt;=100000000),FALSE()),1,0))</f>
        <v>0</v>
      </c>
    </row>
    <row r="143" customFormat="false" ht="15" hidden="false" customHeight="false" outlineLevel="0" collapsed="false">
      <c r="B143" s="20" t="s">
        <v>1191</v>
      </c>
      <c r="C143" s="37"/>
      <c r="D143" s="20" t="s">
        <v>966</v>
      </c>
      <c r="E143" s="38" t="s">
        <v>1192</v>
      </c>
      <c r="G143" s="39" t="n">
        <f aca="false">IF(ISBLANK(C143),IF(AND(Fill_Example="Yes",F143&lt;&gt;""),F143,0),IF(IF(ISNUMBER(C143),AND(C143&gt;=0,C143&lt;=100000000),FALSE()),C143,0))</f>
        <v>0</v>
      </c>
      <c r="H143" s="39" t="n">
        <f aca="false">IF(ISBLANK(C143),IF(AND(Fill_Example="Yes",F143&lt;&gt;""),1,0),IF(IF(ISNUMBER(C143),AND(C143&gt;=0,C143&lt;=100000000),FALSE()),1,0))</f>
        <v>0</v>
      </c>
    </row>
    <row r="144" customFormat="false" ht="15" hidden="false" customHeight="false" outlineLevel="0" collapsed="false">
      <c r="B144" s="20" t="s">
        <v>1193</v>
      </c>
      <c r="C144" s="37"/>
      <c r="E144" s="38" t="s">
        <v>1194</v>
      </c>
      <c r="G144" s="39" t="n">
        <f aca="false">IF(ISBLANK(C144),IF(Fill_Example="Yes",F144,""),IF(ISNUMBER(MATCH(C144,{"Yes","No","Not sure"},0)),C144,""))</f>
        <v>0</v>
      </c>
      <c r="H144" s="39" t="n">
        <f aca="false">IF(G144="",0,1)</f>
        <v>0</v>
      </c>
    </row>
    <row r="146" customFormat="false" ht="15" hidden="false" customHeight="false" outlineLevel="0" collapsed="false">
      <c r="B146" s="36" t="s">
        <v>1195</v>
      </c>
      <c r="C146" s="36" t="s">
        <v>914</v>
      </c>
      <c r="D146" s="36" t="s">
        <v>915</v>
      </c>
      <c r="E146" s="36" t="s">
        <v>916</v>
      </c>
      <c r="F146" s="36" t="s">
        <v>917</v>
      </c>
      <c r="G146" s="36" t="s">
        <v>918</v>
      </c>
      <c r="H146" s="36" t="s">
        <v>919</v>
      </c>
    </row>
    <row r="147" customFormat="false" ht="15" hidden="false" customHeight="false" outlineLevel="0" collapsed="false">
      <c r="B147" s="20" t="s">
        <v>1196</v>
      </c>
      <c r="C147" s="37"/>
      <c r="E147" s="38" t="s">
        <v>1197</v>
      </c>
      <c r="G147" s="39" t="n">
        <f aca="false">IF(ISBLANK(C147),IF(Fill_Example="Yes",F147,""),IF(ISNUMBER(MATCH(C147,{"No, never","Yes, I'd downsize","Only as a last resort"},0)),C147,""))</f>
        <v>0</v>
      </c>
      <c r="H147" s="39" t="n">
        <f aca="false">IF(G147="",0,1)</f>
        <v>0</v>
      </c>
    </row>
    <row r="148" customFormat="false" ht="15" hidden="false" customHeight="false" outlineLevel="0" collapsed="false">
      <c r="B148" s="20" t="s">
        <v>1198</v>
      </c>
      <c r="C148" s="37"/>
      <c r="D148" s="20" t="s">
        <v>934</v>
      </c>
      <c r="E148" s="38" t="s">
        <v>1199</v>
      </c>
      <c r="G148" s="39" t="n">
        <f aca="false">IF(ISBLANK(C148),IF(AND(Fill_Example="Yes",F148&lt;&gt;""),F148,0),IF(IF(ISNUMBER(C148),AND(C148&gt;=50,C148&lt;=95),FALSE()),C148,0))</f>
        <v>0</v>
      </c>
      <c r="H148" s="39" t="n">
        <f aca="false">IF(ISBLANK(C148),IF(AND(Fill_Example="Yes",F148&lt;&gt;""),1,0),IF(IF(ISNUMBER(C148),AND(C148&gt;=50,C148&lt;=95),FALSE()),1,0))</f>
        <v>0</v>
      </c>
    </row>
    <row r="149" customFormat="false" ht="15" hidden="false" customHeight="false" outlineLevel="0" collapsed="false">
      <c r="B149" s="20" t="s">
        <v>1200</v>
      </c>
      <c r="C149" s="37"/>
      <c r="D149" s="20" t="s">
        <v>966</v>
      </c>
      <c r="E149" s="38" t="s">
        <v>1201</v>
      </c>
      <c r="G149" s="39" t="n">
        <f aca="false">IF(ISBLANK(C149),IF(AND(Fill_Example="Yes",F149&lt;&gt;""),F149,0),IF(IF(ISNUMBER(C149),AND(C149&gt;=0,C149&lt;=100000000),FALSE()),C149,0))</f>
        <v>0</v>
      </c>
      <c r="H149" s="39" t="n">
        <f aca="false">IF(ISBLANK(C149),IF(AND(Fill_Example="Yes",F149&lt;&gt;""),1,0),IF(IF(ISNUMBER(C149),AND(C149&gt;=0,C149&lt;=100000000),FALSE()),1,0))</f>
        <v>0</v>
      </c>
    </row>
    <row r="150" customFormat="false" ht="15" hidden="false" customHeight="false" outlineLevel="0" collapsed="false">
      <c r="B150" s="20" t="s">
        <v>1202</v>
      </c>
      <c r="C150" s="37"/>
      <c r="D150" s="20" t="s">
        <v>966</v>
      </c>
      <c r="E150" s="38" t="s">
        <v>1203</v>
      </c>
      <c r="G150" s="39" t="n">
        <f aca="false">IF(ISBLANK(C150),IF(AND(Fill_Example="Yes",F150&lt;&gt;""),F150,0),IF(IF(ISNUMBER(C150),AND(C150&gt;=0,C150&lt;=100000000),FALSE()),C150,0))</f>
        <v>0</v>
      </c>
      <c r="H150" s="39" t="n">
        <f aca="false">IF(ISBLANK(C150),IF(AND(Fill_Example="Yes",F150&lt;&gt;""),1,0),IF(IF(ISNUMBER(C150),AND(C150&gt;=0,C150&lt;=100000000),FALSE()),1,0))</f>
        <v>0</v>
      </c>
    </row>
    <row r="151" customFormat="false" ht="15" hidden="false" customHeight="false" outlineLevel="0" collapsed="false">
      <c r="B151" s="20" t="s">
        <v>1204</v>
      </c>
      <c r="C151" s="37"/>
      <c r="D151" s="20" t="s">
        <v>934</v>
      </c>
      <c r="E151" s="38" t="s">
        <v>1205</v>
      </c>
      <c r="G151" s="39" t="n">
        <f aca="false">IF(ISBLANK(C151),IF(AND(Fill_Example="Yes",F151&lt;&gt;""),F151,0),IF(IF(ISNUMBER(C151),AND(C151&gt;=18,C151&lt;=100),FALSE()),C151,0))</f>
        <v>0</v>
      </c>
      <c r="H151" s="39" t="n">
        <f aca="false">IF(ISBLANK(C151),IF(AND(Fill_Example="Yes",F151&lt;&gt;""),1,0),IF(IF(ISNUMBER(C151),AND(C151&gt;=18,C151&lt;=100),FALSE()),1,0))</f>
        <v>0</v>
      </c>
    </row>
    <row r="152" customFormat="false" ht="15" hidden="false" customHeight="false" outlineLevel="0" collapsed="false">
      <c r="B152" s="20" t="s">
        <v>1206</v>
      </c>
      <c r="C152" s="37"/>
      <c r="D152" s="20" t="s">
        <v>1207</v>
      </c>
      <c r="E152" s="38" t="s">
        <v>1208</v>
      </c>
      <c r="G152" s="39" t="n">
        <f aca="false">IF(ISBLANK(C152),IF(AND(Fill_Example="Yes",F152&lt;&gt;""),F152,0),IF(IF(ISNUMBER(C152),AND(C152&gt;=0,C152&lt;=100000000),FALSE()),C152,0))</f>
        <v>0</v>
      </c>
      <c r="H152" s="39" t="n">
        <f aca="false">IF(ISBLANK(C152),IF(AND(Fill_Example="Yes",F152&lt;&gt;""),1,0),IF(IF(ISNUMBER(C152),AND(C152&gt;=0,C152&lt;=100000000),FALSE()),1,0))</f>
        <v>0</v>
      </c>
    </row>
    <row r="153" customFormat="false" ht="15" hidden="false" customHeight="false" outlineLevel="0" collapsed="false">
      <c r="B153" s="20" t="s">
        <v>1209</v>
      </c>
      <c r="C153" s="37"/>
      <c r="D153" s="20" t="s">
        <v>934</v>
      </c>
      <c r="E153" s="38" t="s">
        <v>1210</v>
      </c>
      <c r="G153" s="39" t="n">
        <f aca="false">IF(ISBLANK(C153),IF(AND(Fill_Example="Yes",F153&lt;&gt;""),F153,0),IF(IF(ISNUMBER(C153),AND(C153&gt;=18,C153&lt;=100),FALSE()),C153,0))</f>
        <v>0</v>
      </c>
      <c r="H153" s="39" t="n">
        <f aca="false">IF(ISBLANK(C153),IF(AND(Fill_Example="Yes",F153&lt;&gt;""),1,0),IF(IF(ISNUMBER(C153),AND(C153&gt;=18,C153&lt;=100),FALSE()),1,0))</f>
        <v>0</v>
      </c>
    </row>
    <row r="155" customFormat="false" ht="15" hidden="false" customHeight="false" outlineLevel="0" collapsed="false">
      <c r="B155" s="36" t="s">
        <v>1211</v>
      </c>
      <c r="C155" s="36" t="s">
        <v>914</v>
      </c>
      <c r="D155" s="36" t="s">
        <v>915</v>
      </c>
      <c r="E155" s="36" t="s">
        <v>916</v>
      </c>
      <c r="F155" s="36" t="s">
        <v>917</v>
      </c>
      <c r="G155" s="36" t="s">
        <v>918</v>
      </c>
      <c r="H155" s="36" t="s">
        <v>919</v>
      </c>
    </row>
    <row r="156" customFormat="false" ht="15" hidden="false" customHeight="false" outlineLevel="0" collapsed="false">
      <c r="B156" s="20" t="s">
        <v>1212</v>
      </c>
      <c r="C156" s="37"/>
      <c r="E156" s="38" t="s">
        <v>1213</v>
      </c>
      <c r="G156" s="39" t="n">
        <f aca="false">IF(ISBLANK(C156),IF(Fill_Example="Yes",F156,""),IF(ISNUMBER(MATCH(C156,{"Yes","No"},0)),C156,""))</f>
        <v>0</v>
      </c>
      <c r="H156" s="39" t="n">
        <f aca="false">IF(G156="",0,1)</f>
        <v>0</v>
      </c>
    </row>
    <row r="157" customFormat="false" ht="15" hidden="false" customHeight="false" outlineLevel="0" collapsed="false">
      <c r="B157" s="20" t="s">
        <v>1214</v>
      </c>
      <c r="C157" s="37"/>
      <c r="E157" s="38" t="s">
        <v>1215</v>
      </c>
      <c r="G157" s="39" t="n">
        <f aca="false">IF(ISBLANK(C157),IF(Fill_Example="Yes",F157,""),IF(ISNUMBER(MATCH(C157,{"Yes","No"},0)),C157,""))</f>
        <v>0</v>
      </c>
      <c r="H157" s="39" t="n">
        <f aca="false">IF(G157="",0,1)</f>
        <v>0</v>
      </c>
    </row>
    <row r="158" customFormat="false" ht="15" hidden="false" customHeight="false" outlineLevel="0" collapsed="false">
      <c r="B158" s="20" t="s">
        <v>1216</v>
      </c>
      <c r="C158" s="37"/>
      <c r="E158" s="38" t="s">
        <v>1217</v>
      </c>
      <c r="G158" s="39" t="n">
        <f aca="false">IF(ISBLANK(C158),IF(Fill_Example="Yes",F158,""),IF(ISNUMBER(MATCH(C158,{"fund","shares"},0)),C158,""))</f>
        <v>0</v>
      </c>
      <c r="H158" s="39" t="n">
        <f aca="false">IF(G158="",0,1)</f>
        <v>0</v>
      </c>
    </row>
    <row r="159" customFormat="false" ht="15" hidden="false" customHeight="false" outlineLevel="0" collapsed="false">
      <c r="B159" s="20" t="s">
        <v>1218</v>
      </c>
      <c r="C159" s="37"/>
      <c r="D159" s="20" t="s">
        <v>1219</v>
      </c>
      <c r="E159" s="38" t="s">
        <v>1220</v>
      </c>
      <c r="G159" s="39" t="n">
        <f aca="false">IF(ISBLANK(C159),IF(AND(Fill_Example="Yes",F159&lt;&gt;""),F159,0),IF(IF(ISNUMBER(C159),AND(C159&gt;=0,C159&lt;=1),FALSE()),C159,0))</f>
        <v>0</v>
      </c>
      <c r="H159" s="39" t="n">
        <f aca="false">IF(ISBLANK(C159),IF(AND(Fill_Example="Yes",F159&lt;&gt;""),1,0),IF(IF(ISNUMBER(C159),AND(C159&gt;=0,C159&lt;=1),FALSE()),1,0))</f>
        <v>0</v>
      </c>
    </row>
    <row r="161" customFormat="false" ht="15" hidden="false" customHeight="false" outlineLevel="0" collapsed="false">
      <c r="B161" s="35" t="s">
        <v>1221</v>
      </c>
    </row>
    <row r="162" customFormat="false" ht="15" hidden="false" customHeight="false" outlineLevel="0" collapsed="false">
      <c r="B162" s="20" t="s">
        <v>1222</v>
      </c>
      <c r="G162" s="39" t="n">
        <f aca="false">IF(AutoSafety_On=1,SUMPRODUCT(MAX((K111:K132&lt;&gt;"")*(ROW(K111:K132)-110)))+1,0)</f>
        <v>0</v>
      </c>
    </row>
    <row r="163" customFormat="false" ht="15" hidden="false" customHeight="false" outlineLevel="0" collapsed="false">
      <c r="B163" s="20" t="s">
        <v>1223</v>
      </c>
      <c r="G163" s="39" t="n">
        <f aca="false">IF(AND(In_safetyOff&lt;&gt;"Yes",COUNTIF(K111:K132,"safety")=0,OR(In_safetyWanted="Yes",AND(Has_cash=1,IF(Has_costsM=1,F_EssM,0)&gt;0,F_Cash&lt;AS_Months*F_EssM-0.5)),SUMPRODUCT(MAX((K111:K132&lt;&gt;"")*(ROW(K111:K132)-110)))+1&lt;=22),1,0)</f>
        <v>0</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7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 allowBlank="true" error="Enter a number from 0 to 100000000, or leave it blank." errorStyle="stop" errorTitle="Not allowed" operator="between" showDropDown="false" showErrorMessage="true" showInputMessage="false" sqref="C136:C139 C141:C143 C149:C150 C152" type="decimal">
      <formula1>0</formula1>
      <formula2>100000000</formula2>
    </dataValidation>
    <dataValidation allowBlank="true" error="Enter a number from 0 to 60, or leave it blank." errorStyle="stop" errorTitle="Not allowed" operator="between" showDropDown="false" showErrorMessage="true" showInputMessage="false" sqref="C140" type="decimal">
      <formula1>0</formula1>
      <formula2>60</formula2>
    </dataValidation>
    <dataValidation allowBlank="true" error="Pick one from the list, or leave it blank." errorStyle="stop" errorTitle="Not in the list" operator="between" showDropDown="false" showErrorMessage="true" showInputMessage="false" sqref="C144" type="list">
      <formula1>"Yes,No,Not sure"</formula1>
      <formula2>0</formula2>
    </dataValidation>
    <dataValidation allowBlank="true" error="Pick one from the list, or leave it blank." errorStyle="stop" errorTitle="Not in the list" operator="between" showDropDown="false" showErrorMessage="true" showInputMessage="false" sqref="C147" type="list">
      <formula1>"No,never,Yes,I'd downsize,Only as a last resort"</formula1>
      <formula2>0</formula2>
    </dataValidation>
    <dataValidation allowBlank="true" error="Enter a number from 50 to 95, or leave it blank." errorStyle="stop" errorTitle="Not allowed" operator="between" showDropDown="false" showErrorMessage="true" showInputMessage="false" sqref="C148" type="decimal">
      <formula1>50</formula1>
      <formula2>95</formula2>
    </dataValidation>
    <dataValidation allowBlank="true" error="Enter a number from 18 to 100, or leave it blank." errorStyle="stop" errorTitle="Not allowed" operator="between" showDropDown="false" showErrorMessage="true" showInputMessage="false" sqref="C151 C153" type="decimal">
      <formula1>18</formula1>
      <formula2>100</formula2>
    </dataValidation>
    <dataValidation allowBlank="true" error="Pick one from the list, or leave it blank." errorStyle="stop" errorTitle="Not in the list" operator="between" showDropDown="false" showErrorMessage="true" showInputMessage="false" sqref="C156" type="list">
      <formula1>"Yes,No"</formula1>
      <formula2>0</formula2>
    </dataValidation>
    <dataValidation allowBlank="true" error="Pick one from the list, or leave it blank." errorStyle="stop" errorTitle="Not in the list" operator="between" showDropDown="false" showErrorMessage="true" showInputMessage="false" sqref="C157" type="list">
      <formula1>"Yes,No"</formula1>
      <formula2>0</formula2>
    </dataValidation>
    <dataValidation allowBlank="true" error="Pick one from the list, or leave it blank." errorStyle="stop" errorTitle="Not in the list" operator="between" showDropDown="false" showErrorMessage="true" showInputMessage="false" sqref="C158" type="list">
      <formula1>"fund,shares"</formula1>
      <formula2>0</formula2>
    </dataValidation>
    <dataValidation allowBlank="true" error="Enter a number from 0 to 1, or leave it blank." errorStyle="stop" errorTitle="Not allowed" operator="between" showDropDown="false" showErrorMessage="true" showInputMessage="false" sqref="C15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20" width="6"/>
    <col collapsed="false" customWidth="true" hidden="false" outlineLevel="0" max="4" min="3" style="20" width="7"/>
    <col collapsed="false" customWidth="true" hidden="false" outlineLevel="0" max="6" min="5" style="20" width="11"/>
    <col collapsed="false" customWidth="true" hidden="false" outlineLevel="0" max="7" min="7" style="20" width="7"/>
    <col collapsed="false" customWidth="true" hidden="false" outlineLevel="0" max="20" min="8" style="20" width="11"/>
    <col collapsed="false" customWidth="true" hidden="false" outlineLevel="0" max="21" min="21" style="20" width="7"/>
    <col collapsed="false" customWidth="true" hidden="false" outlineLevel="0" max="32" min="22" style="20" width="11"/>
    <col collapsed="false" customWidth="true" hidden="false" outlineLevel="0" max="33" min="33" style="20" width="7"/>
    <col collapsed="false" customWidth="true" hidden="false" outlineLevel="0" max="50" min="34" style="20" width="11"/>
    <col collapsed="false" customWidth="true" hidden="false" outlineLevel="0" max="51" min="51" style="20" width="7"/>
    <col collapsed="false" customWidth="true" hidden="false" outlineLevel="0" max="72" min="52" style="20" width="11"/>
  </cols>
  <sheetData>
    <row r="1" customFormat="false" ht="17.25" hidden="false" customHeight="true" outlineLevel="0" collapsed="false">
      <c r="B1" s="21" t="s">
        <v>1224</v>
      </c>
    </row>
    <row r="3" customFormat="false" ht="15" hidden="false" customHeight="true" outlineLevel="0" collapsed="false">
      <c r="B3" s="23" t="s">
        <v>1225</v>
      </c>
      <c r="C3" s="23" t="s">
        <v>1226</v>
      </c>
      <c r="D3" s="23" t="s">
        <v>1227</v>
      </c>
    </row>
    <row r="4" customFormat="false" ht="15" hidden="false" customHeight="true" outlineLevel="0" collapsed="false">
      <c r="B4" s="20" t="s">
        <v>1228</v>
      </c>
      <c r="C4" s="40" t="n">
        <f aca="false">Band_Single</f>
        <v>44000</v>
      </c>
      <c r="D4" s="25" t="s">
        <v>1229</v>
      </c>
    </row>
    <row r="5" customFormat="false" ht="15" hidden="false" customHeight="true" outlineLevel="0" collapsed="false">
      <c r="B5" s="20" t="s">
        <v>1230</v>
      </c>
      <c r="C5" s="40" t="n">
        <f aca="false">Band_Single_Parent</f>
        <v>48000</v>
      </c>
      <c r="D5" s="25" t="s">
        <v>1231</v>
      </c>
    </row>
    <row r="6" customFormat="false" ht="15" hidden="false" customHeight="true" outlineLevel="0" collapsed="false">
      <c r="B6" s="20" t="s">
        <v>1232</v>
      </c>
      <c r="C6" s="40" t="n">
        <f aca="false">Band_Married</f>
        <v>53000</v>
      </c>
      <c r="D6" s="25" t="s">
        <v>1233</v>
      </c>
    </row>
    <row r="7" customFormat="false" ht="15" hidden="false" customHeight="true" outlineLevel="0" collapsed="false">
      <c r="B7" s="20" t="s">
        <v>1234</v>
      </c>
      <c r="C7" s="40" t="n">
        <f aca="false">Band_Second_Earner_Max</f>
        <v>35000</v>
      </c>
      <c r="D7" s="25" t="s">
        <v>1235</v>
      </c>
    </row>
    <row r="8" customFormat="false" ht="15" hidden="false" customHeight="true" outlineLevel="0" collapsed="false">
      <c r="B8" s="20" t="s">
        <v>1236</v>
      </c>
      <c r="C8" s="41" t="n">
        <f aca="false">Rate_Standard</f>
        <v>0.2</v>
      </c>
      <c r="D8" s="25" t="s">
        <v>1237</v>
      </c>
    </row>
    <row r="9" customFormat="false" ht="15" hidden="false" customHeight="true" outlineLevel="0" collapsed="false">
      <c r="B9" s="20" t="s">
        <v>1238</v>
      </c>
      <c r="C9" s="41" t="n">
        <f aca="false">Rate_Higher</f>
        <v>0.4</v>
      </c>
      <c r="D9" s="25" t="s">
        <v>1239</v>
      </c>
    </row>
    <row r="10" customFormat="false" ht="15" hidden="false" customHeight="true" outlineLevel="0" collapsed="false">
      <c r="B10" s="20" t="s">
        <v>1240</v>
      </c>
      <c r="C10" s="40" t="n">
        <f aca="false">Credit_Personal_Single</f>
        <v>2000</v>
      </c>
      <c r="D10" s="25" t="s">
        <v>1241</v>
      </c>
    </row>
    <row r="11" customFormat="false" ht="15" hidden="false" customHeight="true" outlineLevel="0" collapsed="false">
      <c r="B11" s="20" t="s">
        <v>1242</v>
      </c>
      <c r="C11" s="40" t="n">
        <f aca="false">Credit_Personal_Married</f>
        <v>4000</v>
      </c>
      <c r="D11" s="25" t="s">
        <v>1243</v>
      </c>
    </row>
    <row r="12" customFormat="false" ht="15" hidden="false" customHeight="true" outlineLevel="0" collapsed="false">
      <c r="B12" s="20" t="s">
        <v>1244</v>
      </c>
      <c r="C12" s="40" t="n">
        <f aca="false">Credit_PAYE</f>
        <v>2000</v>
      </c>
      <c r="D12" s="25" t="s">
        <v>1245</v>
      </c>
    </row>
    <row r="13" customFormat="false" ht="15" hidden="false" customHeight="true" outlineLevel="0" collapsed="false">
      <c r="B13" s="20" t="s">
        <v>1246</v>
      </c>
      <c r="C13" s="42" t="n">
        <v>0.2</v>
      </c>
      <c r="D13" s="25" t="s">
        <v>1247</v>
      </c>
    </row>
    <row r="14" customFormat="false" ht="15" hidden="false" customHeight="true" outlineLevel="0" collapsed="false">
      <c r="B14" s="20" t="s">
        <v>628</v>
      </c>
      <c r="C14" s="40" t="n">
        <f aca="false">Credit_Rent_Single</f>
        <v>1000</v>
      </c>
      <c r="D14" s="25" t="s">
        <v>1248</v>
      </c>
    </row>
    <row r="15" customFormat="false" ht="15" hidden="false" customHeight="true" outlineLevel="0" collapsed="false">
      <c r="B15" s="20" t="s">
        <v>1249</v>
      </c>
      <c r="C15" s="40" t="n">
        <f aca="false">Credit_Rent_Joint</f>
        <v>2000</v>
      </c>
      <c r="D15" s="25" t="s">
        <v>1250</v>
      </c>
    </row>
    <row r="16" customFormat="false" ht="15" hidden="false" customHeight="true" outlineLevel="0" collapsed="false">
      <c r="B16" s="20" t="s">
        <v>635</v>
      </c>
      <c r="C16" s="42" t="n">
        <v>2028</v>
      </c>
      <c r="D16" s="25" t="s">
        <v>1251</v>
      </c>
    </row>
    <row r="17" customFormat="false" ht="15" hidden="false" customHeight="true" outlineLevel="0" collapsed="false">
      <c r="B17" s="20" t="s">
        <v>1252</v>
      </c>
      <c r="C17" s="40" t="n">
        <f aca="false">Credit_SPCCC</f>
        <v>1900</v>
      </c>
      <c r="D17" s="25" t="s">
        <v>1253</v>
      </c>
    </row>
    <row r="18" customFormat="false" ht="15" hidden="false" customHeight="true" outlineLevel="0" collapsed="false">
      <c r="B18" s="20" t="s">
        <v>1254</v>
      </c>
      <c r="C18" s="40" t="n">
        <f aca="false">Credit_Home_Carer</f>
        <v>1950</v>
      </c>
      <c r="D18" s="25" t="s">
        <v>1255</v>
      </c>
    </row>
    <row r="19" customFormat="false" ht="15" hidden="false" customHeight="true" outlineLevel="0" collapsed="false">
      <c r="B19" s="20" t="s">
        <v>1256</v>
      </c>
      <c r="C19" s="42" t="n">
        <v>7200</v>
      </c>
      <c r="D19" s="25" t="s">
        <v>1257</v>
      </c>
    </row>
    <row r="20" customFormat="false" ht="15" hidden="false" customHeight="true" outlineLevel="0" collapsed="false">
      <c r="B20" s="20" t="s">
        <v>1258</v>
      </c>
      <c r="C20" s="42" t="n">
        <v>65</v>
      </c>
      <c r="D20" s="25" t="s">
        <v>1259</v>
      </c>
    </row>
    <row r="21" customFormat="false" ht="15" hidden="false" customHeight="true" outlineLevel="0" collapsed="false">
      <c r="B21" s="20" t="s">
        <v>1260</v>
      </c>
      <c r="C21" s="42" t="n">
        <v>245</v>
      </c>
      <c r="D21" s="25" t="s">
        <v>1261</v>
      </c>
    </row>
    <row r="22" customFormat="false" ht="15" hidden="false" customHeight="true" outlineLevel="0" collapsed="false">
      <c r="B22" s="20" t="s">
        <v>1262</v>
      </c>
      <c r="C22" s="42" t="n">
        <v>18000</v>
      </c>
      <c r="D22" s="25" t="s">
        <v>1263</v>
      </c>
    </row>
    <row r="23" customFormat="false" ht="15" hidden="false" customHeight="true" outlineLevel="0" collapsed="false">
      <c r="B23" s="20" t="s">
        <v>1264</v>
      </c>
      <c r="C23" s="42" t="n">
        <v>36000</v>
      </c>
      <c r="D23" s="25" t="s">
        <v>1265</v>
      </c>
    </row>
    <row r="24" customFormat="false" ht="15" hidden="false" customHeight="true" outlineLevel="0" collapsed="false">
      <c r="B24" s="20" t="s">
        <v>1266</v>
      </c>
      <c r="C24" s="42" t="n">
        <v>0.4</v>
      </c>
      <c r="D24" s="25" t="s">
        <v>1267</v>
      </c>
    </row>
    <row r="25" customFormat="false" ht="15" hidden="false" customHeight="true" outlineLevel="0" collapsed="false">
      <c r="B25" s="20" t="s">
        <v>1268</v>
      </c>
      <c r="C25" s="40" t="n">
        <f aca="false">USC_Exempt</f>
        <v>13000</v>
      </c>
      <c r="D25" s="25" t="s">
        <v>1269</v>
      </c>
    </row>
    <row r="26" customFormat="false" ht="15" hidden="false" customHeight="true" outlineLevel="0" collapsed="false">
      <c r="B26" s="20" t="s">
        <v>1270</v>
      </c>
      <c r="C26" s="40" t="n">
        <f aca="false">USC_Band_1</f>
        <v>12012</v>
      </c>
      <c r="D26" s="25" t="s">
        <v>1271</v>
      </c>
    </row>
    <row r="27" customFormat="false" ht="15" hidden="false" customHeight="true" outlineLevel="0" collapsed="false">
      <c r="B27" s="20" t="s">
        <v>1272</v>
      </c>
      <c r="C27" s="40" t="n">
        <f aca="false">USC_Band_2</f>
        <v>28700</v>
      </c>
      <c r="D27" s="25" t="s">
        <v>1273</v>
      </c>
    </row>
    <row r="28" customFormat="false" ht="15" hidden="false" customHeight="true" outlineLevel="0" collapsed="false">
      <c r="B28" s="20" t="s">
        <v>1274</v>
      </c>
      <c r="C28" s="40" t="n">
        <f aca="false">USC_Band_3</f>
        <v>70044</v>
      </c>
      <c r="D28" s="25" t="s">
        <v>1275</v>
      </c>
    </row>
    <row r="29" customFormat="false" ht="15" hidden="false" customHeight="true" outlineLevel="0" collapsed="false">
      <c r="B29" s="20" t="s">
        <v>1276</v>
      </c>
      <c r="C29" s="43" t="n">
        <f aca="false">USC_Rate_1</f>
        <v>0.005</v>
      </c>
      <c r="D29" s="25" t="s">
        <v>1277</v>
      </c>
    </row>
    <row r="30" customFormat="false" ht="15" hidden="false" customHeight="true" outlineLevel="0" collapsed="false">
      <c r="B30" s="20" t="s">
        <v>1278</v>
      </c>
      <c r="C30" s="43" t="n">
        <f aca="false">USC_Rate_2</f>
        <v>0.02</v>
      </c>
      <c r="D30" s="25" t="s">
        <v>1279</v>
      </c>
    </row>
    <row r="31" customFormat="false" ht="15" hidden="false" customHeight="true" outlineLevel="0" collapsed="false">
      <c r="B31" s="20" t="s">
        <v>1280</v>
      </c>
      <c r="C31" s="43" t="n">
        <f aca="false">USC_Rate_3</f>
        <v>0.03</v>
      </c>
      <c r="D31" s="25" t="s">
        <v>1281</v>
      </c>
    </row>
    <row r="32" customFormat="false" ht="15" hidden="false" customHeight="true" outlineLevel="0" collapsed="false">
      <c r="B32" s="20" t="s">
        <v>1282</v>
      </c>
      <c r="C32" s="43" t="n">
        <f aca="false">USC_Rate_4</f>
        <v>0.08</v>
      </c>
      <c r="D32" s="25" t="s">
        <v>1283</v>
      </c>
    </row>
    <row r="33" customFormat="false" ht="15" hidden="false" customHeight="true" outlineLevel="0" collapsed="false">
      <c r="B33" s="20" t="s">
        <v>1284</v>
      </c>
      <c r="C33" s="42" t="n">
        <v>70</v>
      </c>
      <c r="D33" s="25" t="s">
        <v>1285</v>
      </c>
    </row>
    <row r="34" customFormat="false" ht="15" hidden="false" customHeight="true" outlineLevel="0" collapsed="false">
      <c r="B34" s="20" t="s">
        <v>1286</v>
      </c>
      <c r="C34" s="42" t="n">
        <v>60000</v>
      </c>
      <c r="D34" s="25" t="s">
        <v>1287</v>
      </c>
    </row>
    <row r="35" customFormat="false" ht="15" hidden="false" customHeight="true" outlineLevel="0" collapsed="false">
      <c r="B35" s="20" t="s">
        <v>1288</v>
      </c>
      <c r="C35" s="42" t="n">
        <v>12012</v>
      </c>
      <c r="D35" s="25" t="s">
        <v>1289</v>
      </c>
    </row>
    <row r="36" customFormat="false" ht="15" hidden="false" customHeight="true" outlineLevel="0" collapsed="false">
      <c r="B36" s="20" t="s">
        <v>1290</v>
      </c>
      <c r="C36" s="42" t="n">
        <v>0.005</v>
      </c>
      <c r="D36" s="25" t="s">
        <v>1291</v>
      </c>
    </row>
    <row r="37" customFormat="false" ht="15" hidden="false" customHeight="true" outlineLevel="0" collapsed="false">
      <c r="B37" s="20" t="s">
        <v>1292</v>
      </c>
      <c r="C37" s="42" t="n">
        <v>0.02</v>
      </c>
      <c r="D37" s="25" t="s">
        <v>1293</v>
      </c>
    </row>
    <row r="38" customFormat="false" ht="15" hidden="false" customHeight="true" outlineLevel="0" collapsed="false">
      <c r="B38" s="20" t="s">
        <v>1294</v>
      </c>
      <c r="C38" s="42" t="n">
        <v>0.03</v>
      </c>
      <c r="D38" s="25" t="s">
        <v>1295</v>
      </c>
    </row>
    <row r="39" customFormat="false" ht="15" hidden="false" customHeight="true" outlineLevel="0" collapsed="false">
      <c r="B39" s="20" t="s">
        <v>1296</v>
      </c>
      <c r="C39" s="42" t="n">
        <v>100000</v>
      </c>
      <c r="D39" s="25" t="s">
        <v>1297</v>
      </c>
    </row>
    <row r="40" customFormat="false" ht="15" hidden="false" customHeight="true" outlineLevel="0" collapsed="false">
      <c r="B40" s="20" t="s">
        <v>1298</v>
      </c>
      <c r="C40" s="42" t="n">
        <v>0.042</v>
      </c>
      <c r="D40" s="25" t="s">
        <v>1299</v>
      </c>
    </row>
    <row r="41" customFormat="false" ht="15" hidden="false" customHeight="true" outlineLevel="0" collapsed="false">
      <c r="B41" s="20" t="s">
        <v>1300</v>
      </c>
      <c r="C41" s="42" t="n">
        <v>0.0435</v>
      </c>
      <c r="D41" s="25" t="s">
        <v>1301</v>
      </c>
    </row>
    <row r="42" customFormat="false" ht="15" hidden="false" customHeight="true" outlineLevel="0" collapsed="false">
      <c r="B42" s="20" t="s">
        <v>1302</v>
      </c>
      <c r="C42" s="42" t="n">
        <v>0.045</v>
      </c>
      <c r="D42" s="25" t="s">
        <v>1303</v>
      </c>
    </row>
    <row r="43" customFormat="false" ht="15" hidden="false" customHeight="true" outlineLevel="0" collapsed="false">
      <c r="B43" s="20" t="s">
        <v>1304</v>
      </c>
      <c r="C43" s="42" t="n">
        <v>0.047</v>
      </c>
      <c r="D43" s="25" t="s">
        <v>1305</v>
      </c>
    </row>
    <row r="44" customFormat="false" ht="15" hidden="false" customHeight="true" outlineLevel="0" collapsed="false">
      <c r="B44" s="20" t="s">
        <v>1306</v>
      </c>
      <c r="C44" s="42" t="n">
        <v>24321</v>
      </c>
      <c r="D44" s="25" t="s">
        <v>1307</v>
      </c>
    </row>
    <row r="45" customFormat="false" ht="15" hidden="false" customHeight="true" outlineLevel="0" collapsed="false">
      <c r="B45" s="20" t="s">
        <v>1308</v>
      </c>
      <c r="C45" s="42" t="n">
        <v>24333</v>
      </c>
      <c r="D45" s="25" t="s">
        <v>1309</v>
      </c>
    </row>
    <row r="46" customFormat="false" ht="15" hidden="false" customHeight="true" outlineLevel="0" collapsed="false">
      <c r="B46" s="20" t="s">
        <v>1310</v>
      </c>
      <c r="C46" s="42" t="n">
        <v>24345</v>
      </c>
      <c r="D46" s="25" t="s">
        <v>1311</v>
      </c>
    </row>
    <row r="47" customFormat="false" ht="15" hidden="false" customHeight="true" outlineLevel="0" collapsed="false">
      <c r="B47" s="20" t="s">
        <v>1312</v>
      </c>
      <c r="C47" s="40" t="n">
        <f aca="false">PRSI_Free_Week</f>
        <v>352</v>
      </c>
      <c r="D47" s="25" t="s">
        <v>1313</v>
      </c>
    </row>
    <row r="48" customFormat="false" ht="15" hidden="false" customHeight="true" outlineLevel="0" collapsed="false">
      <c r="B48" s="20" t="s">
        <v>1314</v>
      </c>
      <c r="C48" s="40" t="n">
        <f aca="false">PRSI_Credit_Max</f>
        <v>12</v>
      </c>
      <c r="D48" s="25" t="s">
        <v>1315</v>
      </c>
    </row>
    <row r="49" customFormat="false" ht="15" hidden="false" customHeight="true" outlineLevel="0" collapsed="false">
      <c r="B49" s="20" t="s">
        <v>1316</v>
      </c>
      <c r="C49" s="40" t="n">
        <f aca="false">PRSI_Credit_Top</f>
        <v>424</v>
      </c>
      <c r="D49" s="25" t="s">
        <v>1317</v>
      </c>
    </row>
    <row r="50" customFormat="false" ht="15" hidden="false" customHeight="true" outlineLevel="0" collapsed="false">
      <c r="B50" s="20" t="s">
        <v>1318</v>
      </c>
      <c r="C50" s="44" t="n">
        <f aca="false">PRSI_Credit_Taper</f>
        <v>6</v>
      </c>
      <c r="D50" s="25" t="s">
        <v>1319</v>
      </c>
    </row>
    <row r="51" customFormat="false" ht="15" hidden="false" customHeight="true" outlineLevel="0" collapsed="false">
      <c r="B51" s="20" t="s">
        <v>1320</v>
      </c>
      <c r="C51" s="42" t="n">
        <v>66</v>
      </c>
      <c r="D51" s="25" t="s">
        <v>1321</v>
      </c>
    </row>
    <row r="52" customFormat="false" ht="15" hidden="false" customHeight="true" outlineLevel="0" collapsed="false">
      <c r="B52" s="20" t="s">
        <v>1322</v>
      </c>
      <c r="C52" s="42" t="n">
        <v>5000</v>
      </c>
      <c r="D52" s="25" t="s">
        <v>1323</v>
      </c>
    </row>
    <row r="53" customFormat="false" ht="15" hidden="false" customHeight="true" outlineLevel="0" collapsed="false">
      <c r="B53" s="20" t="s">
        <v>1324</v>
      </c>
      <c r="C53" s="42" t="n">
        <v>650</v>
      </c>
      <c r="D53" s="25" t="s">
        <v>1325</v>
      </c>
    </row>
    <row r="54" customFormat="false" ht="15" hidden="false" customHeight="true" outlineLevel="0" collapsed="false">
      <c r="B54" s="20" t="s">
        <v>1326</v>
      </c>
      <c r="C54" s="42" t="n">
        <v>5000</v>
      </c>
      <c r="D54" s="25" t="s">
        <v>1327</v>
      </c>
    </row>
    <row r="55" customFormat="false" ht="15" hidden="false" customHeight="true" outlineLevel="0" collapsed="false">
      <c r="B55" s="20" t="s">
        <v>1328</v>
      </c>
      <c r="C55" s="42" t="n">
        <v>30</v>
      </c>
      <c r="D55" s="25" t="s">
        <v>1329</v>
      </c>
    </row>
    <row r="56" customFormat="false" ht="15" hidden="false" customHeight="true" outlineLevel="0" collapsed="false">
      <c r="C56" s="42" t="n">
        <v>0.15</v>
      </c>
      <c r="D56" s="25" t="s">
        <v>1330</v>
      </c>
    </row>
    <row r="57" customFormat="false" ht="15" hidden="false" customHeight="true" outlineLevel="0" collapsed="false">
      <c r="B57" s="20" t="s">
        <v>1331</v>
      </c>
      <c r="C57" s="42" t="n">
        <v>40</v>
      </c>
      <c r="D57" s="25" t="s">
        <v>1332</v>
      </c>
    </row>
    <row r="58" customFormat="false" ht="15" hidden="false" customHeight="true" outlineLevel="0" collapsed="false">
      <c r="C58" s="42" t="n">
        <v>0.2</v>
      </c>
      <c r="D58" s="25" t="s">
        <v>1333</v>
      </c>
    </row>
    <row r="59" customFormat="false" ht="15" hidden="false" customHeight="true" outlineLevel="0" collapsed="false">
      <c r="B59" s="20" t="s">
        <v>1334</v>
      </c>
      <c r="C59" s="42" t="n">
        <v>50</v>
      </c>
      <c r="D59" s="25" t="s">
        <v>1335</v>
      </c>
    </row>
    <row r="60" customFormat="false" ht="15" hidden="false" customHeight="true" outlineLevel="0" collapsed="false">
      <c r="C60" s="42" t="n">
        <v>0.25</v>
      </c>
      <c r="D60" s="25" t="s">
        <v>1336</v>
      </c>
    </row>
    <row r="61" customFormat="false" ht="15" hidden="false" customHeight="true" outlineLevel="0" collapsed="false">
      <c r="B61" s="20" t="s">
        <v>1337</v>
      </c>
      <c r="C61" s="42" t="n">
        <v>55</v>
      </c>
      <c r="D61" s="25" t="s">
        <v>1338</v>
      </c>
    </row>
    <row r="62" customFormat="false" ht="15" hidden="false" customHeight="true" outlineLevel="0" collapsed="false">
      <c r="C62" s="42" t="n">
        <v>0.3</v>
      </c>
      <c r="D62" s="25" t="s">
        <v>1339</v>
      </c>
    </row>
    <row r="63" customFormat="false" ht="15" hidden="false" customHeight="true" outlineLevel="0" collapsed="false">
      <c r="B63" s="20" t="s">
        <v>1340</v>
      </c>
      <c r="C63" s="42" t="n">
        <v>60</v>
      </c>
      <c r="D63" s="25" t="s">
        <v>1341</v>
      </c>
    </row>
    <row r="64" customFormat="false" ht="15" hidden="false" customHeight="true" outlineLevel="0" collapsed="false">
      <c r="C64" s="42" t="n">
        <v>0.35</v>
      </c>
      <c r="D64" s="25" t="s">
        <v>1342</v>
      </c>
    </row>
    <row r="65" customFormat="false" ht="15" hidden="false" customHeight="true" outlineLevel="0" collapsed="false">
      <c r="B65" s="20" t="s">
        <v>1343</v>
      </c>
      <c r="C65" s="42" t="n">
        <v>0.4</v>
      </c>
      <c r="D65" s="25" t="s">
        <v>1344</v>
      </c>
    </row>
    <row r="66" customFormat="false" ht="15" hidden="false" customHeight="true" outlineLevel="0" collapsed="false">
      <c r="B66" s="20" t="s">
        <v>715</v>
      </c>
      <c r="C66" s="40" t="n">
        <f aca="false">Relief_Earnings_Cap</f>
        <v>115000</v>
      </c>
      <c r="D66" s="25" t="s">
        <v>1345</v>
      </c>
    </row>
    <row r="67" customFormat="false" ht="15" hidden="false" customHeight="true" outlineLevel="0" collapsed="false">
      <c r="B67" s="20" t="s">
        <v>1346</v>
      </c>
      <c r="C67" s="41" t="n">
        <f aca="false">Lump_Sum_Max_Pct</f>
        <v>0.25</v>
      </c>
      <c r="D67" s="25" t="s">
        <v>1347</v>
      </c>
    </row>
    <row r="68" customFormat="false" ht="15" hidden="false" customHeight="true" outlineLevel="0" collapsed="false">
      <c r="B68" s="20" t="s">
        <v>1348</v>
      </c>
      <c r="C68" s="40" t="n">
        <f aca="false">Lump_Sum_Tax_Free</f>
        <v>200000</v>
      </c>
      <c r="D68" s="25" t="s">
        <v>1349</v>
      </c>
    </row>
    <row r="69" customFormat="false" ht="15" hidden="false" customHeight="true" outlineLevel="0" collapsed="false">
      <c r="B69" s="20" t="s">
        <v>1350</v>
      </c>
      <c r="C69" s="40" t="n">
        <f aca="false">Lump_Sum_Cap</f>
        <v>500000</v>
      </c>
      <c r="D69" s="25" t="s">
        <v>1351</v>
      </c>
    </row>
    <row r="70" customFormat="false" ht="15" hidden="false" customHeight="true" outlineLevel="0" collapsed="false">
      <c r="B70" s="20" t="s">
        <v>1352</v>
      </c>
      <c r="C70" s="41" t="n">
        <f aca="false">Lump_Sum_Rate</f>
        <v>0.2</v>
      </c>
      <c r="D70" s="25" t="s">
        <v>1353</v>
      </c>
    </row>
    <row r="71" customFormat="false" ht="15" hidden="false" customHeight="true" outlineLevel="0" collapsed="false">
      <c r="B71" s="20" t="s">
        <v>1354</v>
      </c>
      <c r="C71" s="40" t="n">
        <f aca="false">SFT_2026</f>
        <v>2200000</v>
      </c>
      <c r="D71" s="25" t="s">
        <v>1355</v>
      </c>
    </row>
    <row r="72" customFormat="false" ht="15" hidden="false" customHeight="true" outlineLevel="0" collapsed="false">
      <c r="B72" s="20" t="s">
        <v>1356</v>
      </c>
      <c r="C72" s="42" t="n">
        <v>2400000</v>
      </c>
      <c r="D72" s="25" t="s">
        <v>1357</v>
      </c>
    </row>
    <row r="73" customFormat="false" ht="15" hidden="false" customHeight="true" outlineLevel="0" collapsed="false">
      <c r="B73" s="20" t="s">
        <v>1358</v>
      </c>
      <c r="C73" s="42" t="n">
        <v>2600000</v>
      </c>
      <c r="D73" s="25" t="s">
        <v>1359</v>
      </c>
    </row>
    <row r="74" customFormat="false" ht="15" hidden="false" customHeight="true" outlineLevel="0" collapsed="false">
      <c r="B74" s="20" t="s">
        <v>1360</v>
      </c>
      <c r="C74" s="42" t="n">
        <v>2800000</v>
      </c>
      <c r="D74" s="25" t="s">
        <v>1361</v>
      </c>
    </row>
    <row r="75" customFormat="false" ht="15" hidden="false" customHeight="true" outlineLevel="0" collapsed="false">
      <c r="B75" s="20" t="s">
        <v>1362</v>
      </c>
      <c r="C75" s="41" t="n">
        <f aca="false">SFT_Tax</f>
        <v>0.4</v>
      </c>
      <c r="D75" s="25" t="s">
        <v>1363</v>
      </c>
    </row>
    <row r="76" customFormat="false" ht="15" hidden="false" customHeight="true" outlineLevel="0" collapsed="false">
      <c r="B76" s="20" t="s">
        <v>1364</v>
      </c>
      <c r="C76" s="42" t="n">
        <v>0.04</v>
      </c>
      <c r="D76" s="25" t="s">
        <v>1365</v>
      </c>
    </row>
    <row r="77" customFormat="false" ht="15" hidden="false" customHeight="true" outlineLevel="0" collapsed="false">
      <c r="B77" s="20" t="s">
        <v>1366</v>
      </c>
      <c r="C77" s="42" t="n">
        <v>0.05</v>
      </c>
      <c r="D77" s="25" t="s">
        <v>1367</v>
      </c>
    </row>
    <row r="78" customFormat="false" ht="15" hidden="false" customHeight="true" outlineLevel="0" collapsed="false">
      <c r="B78" s="20" t="s">
        <v>1368</v>
      </c>
      <c r="C78" s="42" t="n">
        <v>0.06</v>
      </c>
      <c r="D78" s="25" t="s">
        <v>1369</v>
      </c>
    </row>
    <row r="79" customFormat="false" ht="15" hidden="false" customHeight="true" outlineLevel="0" collapsed="false">
      <c r="B79" s="20" t="s">
        <v>1370</v>
      </c>
      <c r="C79" s="42" t="n">
        <v>2000000</v>
      </c>
      <c r="D79" s="25" t="s">
        <v>1371</v>
      </c>
    </row>
    <row r="80" customFormat="false" ht="15" hidden="false" customHeight="true" outlineLevel="0" collapsed="false">
      <c r="B80" s="20" t="s">
        <v>1372</v>
      </c>
      <c r="C80" s="42" t="n">
        <v>60</v>
      </c>
      <c r="D80" s="25" t="s">
        <v>1373</v>
      </c>
    </row>
    <row r="81" customFormat="false" ht="15" hidden="false" customHeight="true" outlineLevel="0" collapsed="false">
      <c r="B81" s="20" t="s">
        <v>1374</v>
      </c>
      <c r="C81" s="45" t="n">
        <f aca="false">State_Pension_Week</f>
        <v>299.3</v>
      </c>
      <c r="D81" s="25" t="s">
        <v>1375</v>
      </c>
    </row>
    <row r="82" customFormat="false" ht="15" hidden="false" customHeight="true" outlineLevel="0" collapsed="false">
      <c r="B82" s="20" t="s">
        <v>1376</v>
      </c>
      <c r="C82" s="42" t="n">
        <v>52</v>
      </c>
      <c r="D82" s="25" t="s">
        <v>1377</v>
      </c>
    </row>
    <row r="83" customFormat="false" ht="15" hidden="false" customHeight="true" outlineLevel="0" collapsed="false">
      <c r="B83" s="20" t="s">
        <v>1378</v>
      </c>
      <c r="C83" s="44" t="n">
        <f aca="false">State_Pension_Age</f>
        <v>66</v>
      </c>
      <c r="D83" s="25" t="s">
        <v>1379</v>
      </c>
    </row>
    <row r="84" customFormat="false" ht="15" hidden="false" customHeight="true" outlineLevel="0" collapsed="false">
      <c r="B84" s="20" t="s">
        <v>1380</v>
      </c>
      <c r="C84" s="42" t="n">
        <v>10</v>
      </c>
      <c r="D84" s="25" t="s">
        <v>1381</v>
      </c>
    </row>
    <row r="85" customFormat="false" ht="15" hidden="false" customHeight="true" outlineLevel="0" collapsed="false">
      <c r="B85" s="20" t="s">
        <v>1382</v>
      </c>
      <c r="C85" s="42" t="n">
        <v>268.4</v>
      </c>
      <c r="D85" s="25" t="s">
        <v>1383</v>
      </c>
    </row>
    <row r="86" customFormat="false" ht="15" hidden="false" customHeight="true" outlineLevel="0" collapsed="false">
      <c r="B86" s="20" t="s">
        <v>1384</v>
      </c>
      <c r="C86" s="42" t="n">
        <v>199.4</v>
      </c>
      <c r="D86" s="25" t="s">
        <v>1385</v>
      </c>
    </row>
    <row r="87" customFormat="false" ht="15" hidden="false" customHeight="true" outlineLevel="0" collapsed="false">
      <c r="B87" s="20" t="s">
        <v>1386</v>
      </c>
      <c r="C87" s="42" t="n">
        <v>40</v>
      </c>
      <c r="D87" s="25" t="s">
        <v>1387</v>
      </c>
    </row>
    <row r="88" customFormat="false" ht="15" hidden="false" customHeight="true" outlineLevel="0" collapsed="false">
      <c r="B88" s="20" t="s">
        <v>1388</v>
      </c>
      <c r="C88" s="42" t="n">
        <v>10</v>
      </c>
      <c r="D88" s="25" t="s">
        <v>1389</v>
      </c>
    </row>
    <row r="89" customFormat="false" ht="15" hidden="false" customHeight="true" outlineLevel="0" collapsed="false">
      <c r="B89" s="20" t="s">
        <v>1390</v>
      </c>
      <c r="C89" s="42" t="n">
        <v>23</v>
      </c>
      <c r="D89" s="25" t="s">
        <v>1391</v>
      </c>
    </row>
    <row r="90" customFormat="false" ht="15" hidden="false" customHeight="true" outlineLevel="0" collapsed="false">
      <c r="B90" s="20" t="s">
        <v>1392</v>
      </c>
      <c r="C90" s="42" t="n">
        <v>60</v>
      </c>
      <c r="D90" s="25" t="s">
        <v>1393</v>
      </c>
    </row>
    <row r="91" customFormat="false" ht="15" hidden="false" customHeight="true" outlineLevel="0" collapsed="false">
      <c r="B91" s="20" t="s">
        <v>1394</v>
      </c>
      <c r="C91" s="42" t="n">
        <v>20000</v>
      </c>
      <c r="D91" s="25" t="s">
        <v>1395</v>
      </c>
    </row>
    <row r="92" customFormat="false" ht="15" hidden="false" customHeight="true" outlineLevel="0" collapsed="false">
      <c r="B92" s="20" t="s">
        <v>1396</v>
      </c>
      <c r="C92" s="42" t="n">
        <v>80000</v>
      </c>
      <c r="D92" s="25" t="s">
        <v>1397</v>
      </c>
    </row>
    <row r="93" customFormat="false" ht="15" hidden="false" customHeight="true" outlineLevel="0" collapsed="false">
      <c r="B93" s="20" t="s">
        <v>1398</v>
      </c>
      <c r="C93" s="42" t="n">
        <v>0.015</v>
      </c>
      <c r="D93" s="25" t="s">
        <v>1399</v>
      </c>
    </row>
    <row r="94" customFormat="false" ht="15" hidden="false" customHeight="true" outlineLevel="0" collapsed="false">
      <c r="B94" s="20" t="s">
        <v>1400</v>
      </c>
      <c r="C94" s="42" t="n">
        <v>0.015</v>
      </c>
      <c r="D94" s="25" t="s">
        <v>1401</v>
      </c>
    </row>
    <row r="95" customFormat="false" ht="15" hidden="false" customHeight="true" outlineLevel="0" collapsed="false">
      <c r="B95" s="20" t="s">
        <v>1402</v>
      </c>
      <c r="C95" s="42" t="n">
        <v>0.005</v>
      </c>
      <c r="D95" s="25" t="s">
        <v>1403</v>
      </c>
    </row>
    <row r="96" customFormat="false" ht="15" hidden="false" customHeight="true" outlineLevel="0" collapsed="false">
      <c r="B96" s="20" t="s">
        <v>1404</v>
      </c>
      <c r="C96" s="42" t="n">
        <v>50</v>
      </c>
      <c r="D96" s="25" t="s">
        <v>1405</v>
      </c>
    </row>
    <row r="97" customFormat="false" ht="15" hidden="false" customHeight="true" outlineLevel="0" collapsed="false">
      <c r="B97" s="20" t="s">
        <v>1406</v>
      </c>
      <c r="C97" s="42" t="n">
        <v>200</v>
      </c>
      <c r="D97" s="25" t="s">
        <v>1407</v>
      </c>
    </row>
    <row r="98" customFormat="false" ht="15" hidden="false" customHeight="true" outlineLevel="0" collapsed="false">
      <c r="B98" s="20" t="s">
        <v>1408</v>
      </c>
      <c r="C98" s="42" t="n">
        <v>500</v>
      </c>
      <c r="D98" s="25" t="s">
        <v>1409</v>
      </c>
    </row>
    <row r="99" customFormat="false" ht="15" hidden="false" customHeight="true" outlineLevel="0" collapsed="false">
      <c r="B99" s="20" t="s">
        <v>1410</v>
      </c>
      <c r="C99" s="42" t="n">
        <v>1000</v>
      </c>
      <c r="D99" s="25" t="s">
        <v>1411</v>
      </c>
    </row>
    <row r="100" customFormat="false" ht="15" hidden="false" customHeight="true" outlineLevel="0" collapsed="false">
      <c r="B100" s="20" t="s">
        <v>1412</v>
      </c>
      <c r="C100" s="42" t="n">
        <v>0.33</v>
      </c>
      <c r="D100" s="25" t="s">
        <v>1413</v>
      </c>
    </row>
    <row r="101" customFormat="false" ht="15" hidden="false" customHeight="true" outlineLevel="0" collapsed="false">
      <c r="B101" s="20" t="s">
        <v>1414</v>
      </c>
      <c r="C101" s="42" t="n">
        <v>61</v>
      </c>
      <c r="D101" s="25" t="s">
        <v>1415</v>
      </c>
    </row>
    <row r="102" customFormat="false" ht="15" hidden="false" customHeight="true" outlineLevel="0" collapsed="false">
      <c r="B102" s="20" t="s">
        <v>1416</v>
      </c>
      <c r="C102" s="42" t="n">
        <v>71</v>
      </c>
      <c r="D102" s="25" t="s">
        <v>1417</v>
      </c>
    </row>
    <row r="103" customFormat="false" ht="15" hidden="false" customHeight="true" outlineLevel="0" collapsed="false">
      <c r="B103" s="20" t="s">
        <v>1418</v>
      </c>
      <c r="C103" s="42" t="n">
        <v>80</v>
      </c>
      <c r="D103" s="25" t="s">
        <v>1419</v>
      </c>
    </row>
    <row r="104" customFormat="false" ht="15" hidden="false" customHeight="true" outlineLevel="0" collapsed="false">
      <c r="B104" s="20" t="s">
        <v>1420</v>
      </c>
      <c r="C104" s="42" t="n">
        <v>2026</v>
      </c>
      <c r="D104" s="25" t="s">
        <v>1421</v>
      </c>
    </row>
    <row r="105" customFormat="false" ht="15" hidden="false" customHeight="true" outlineLevel="0" collapsed="false">
      <c r="B105" s="20" t="s">
        <v>1422</v>
      </c>
      <c r="C105" s="42" t="n">
        <v>2029</v>
      </c>
      <c r="D105" s="25" t="s">
        <v>1423</v>
      </c>
    </row>
    <row r="106" customFormat="false" ht="15" hidden="false" customHeight="true" outlineLevel="0" collapsed="false">
      <c r="B106" s="20" t="s">
        <v>1424</v>
      </c>
      <c r="C106" s="42" t="n">
        <v>89</v>
      </c>
      <c r="D106" s="25" t="s">
        <v>1425</v>
      </c>
    </row>
    <row r="107" customFormat="false" ht="15" hidden="false" customHeight="true" outlineLevel="0" collapsed="false">
      <c r="B107" s="20" t="s">
        <v>1426</v>
      </c>
      <c r="C107" s="42" t="n">
        <v>99</v>
      </c>
      <c r="D107" s="25" t="s">
        <v>1427</v>
      </c>
    </row>
    <row r="108" customFormat="false" ht="15" hidden="false" customHeight="true" outlineLevel="0" collapsed="false">
      <c r="B108" s="20" t="s">
        <v>1428</v>
      </c>
      <c r="C108" s="42" t="n">
        <v>50</v>
      </c>
      <c r="D108" s="25" t="s">
        <v>1429</v>
      </c>
    </row>
    <row r="109" customFormat="false" ht="15" hidden="false" customHeight="true" outlineLevel="0" collapsed="false">
      <c r="B109" s="20" t="s">
        <v>1430</v>
      </c>
      <c r="C109" s="42" t="n">
        <v>50</v>
      </c>
      <c r="D109" s="25" t="s">
        <v>1431</v>
      </c>
    </row>
    <row r="110" customFormat="false" ht="15" hidden="false" customHeight="true" outlineLevel="0" collapsed="false">
      <c r="B110" s="20" t="s">
        <v>1432</v>
      </c>
      <c r="C110" s="42" t="n">
        <v>0.5</v>
      </c>
      <c r="D110" s="25" t="s">
        <v>1433</v>
      </c>
    </row>
    <row r="111" customFormat="false" ht="15" hidden="false" customHeight="true" outlineLevel="0" collapsed="false">
      <c r="B111" s="20" t="s">
        <v>1434</v>
      </c>
      <c r="C111" s="42" t="n">
        <v>0.5</v>
      </c>
      <c r="D111" s="25" t="s">
        <v>1435</v>
      </c>
    </row>
    <row r="112" customFormat="false" ht="15" hidden="false" customHeight="true" outlineLevel="0" collapsed="false">
      <c r="B112" s="20" t="s">
        <v>1436</v>
      </c>
      <c r="C112" s="42" t="n">
        <v>1000000</v>
      </c>
      <c r="D112" s="25" t="s">
        <v>1437</v>
      </c>
    </row>
    <row r="113" customFormat="false" ht="15" hidden="false" customHeight="true" outlineLevel="0" collapsed="false">
      <c r="B113" s="20" t="s">
        <v>1438</v>
      </c>
      <c r="C113" s="42" t="n">
        <v>0.2</v>
      </c>
      <c r="D113" s="25" t="s">
        <v>1439</v>
      </c>
    </row>
    <row r="114" customFormat="false" ht="15" hidden="false" customHeight="true" outlineLevel="0" collapsed="false">
      <c r="B114" s="20" t="s">
        <v>1440</v>
      </c>
      <c r="C114" s="42" t="n">
        <v>20000</v>
      </c>
      <c r="D114" s="25" t="s">
        <v>1441</v>
      </c>
    </row>
    <row r="115" customFormat="false" ht="15" hidden="false" customHeight="true" outlineLevel="0" collapsed="false">
      <c r="B115" s="20" t="s">
        <v>1442</v>
      </c>
      <c r="C115" s="42" t="n">
        <v>66</v>
      </c>
      <c r="D115" s="25" t="s">
        <v>1443</v>
      </c>
    </row>
    <row r="116" customFormat="false" ht="15" hidden="false" customHeight="true" outlineLevel="0" collapsed="false">
      <c r="B116" s="20" t="s">
        <v>1444</v>
      </c>
      <c r="C116" s="42" t="n">
        <v>25</v>
      </c>
      <c r="D116" s="25" t="s">
        <v>1445</v>
      </c>
    </row>
    <row r="117" customFormat="false" ht="15" hidden="false" customHeight="true" outlineLevel="0" collapsed="false">
      <c r="B117" s="20" t="s">
        <v>1446</v>
      </c>
      <c r="C117" s="42" t="n">
        <v>0.01</v>
      </c>
      <c r="D117" s="25" t="s">
        <v>1447</v>
      </c>
    </row>
    <row r="118" customFormat="false" ht="15" hidden="false" customHeight="true" outlineLevel="0" collapsed="false">
      <c r="B118" s="20" t="s">
        <v>1448</v>
      </c>
      <c r="C118" s="42" t="n">
        <v>0.6</v>
      </c>
      <c r="D118" s="25" t="s">
        <v>1449</v>
      </c>
    </row>
    <row r="119" customFormat="false" ht="15" hidden="false" customHeight="true" outlineLevel="0" collapsed="false">
      <c r="B119" s="20" t="s">
        <v>1450</v>
      </c>
      <c r="C119" s="42" t="n">
        <v>0.8</v>
      </c>
      <c r="D119" s="25" t="s">
        <v>1451</v>
      </c>
    </row>
    <row r="120" customFormat="false" ht="15" hidden="false" customHeight="true" outlineLevel="0" collapsed="false">
      <c r="B120" s="20" t="s">
        <v>1452</v>
      </c>
      <c r="C120" s="42" t="n">
        <v>90</v>
      </c>
      <c r="D120" s="25" t="s">
        <v>1453</v>
      </c>
    </row>
    <row r="121" customFormat="false" ht="15" hidden="false" customHeight="true" outlineLevel="0" collapsed="false">
      <c r="B121" s="20" t="s">
        <v>1454</v>
      </c>
      <c r="C121" s="42" t="n">
        <v>95</v>
      </c>
      <c r="D121" s="25" t="s">
        <v>1455</v>
      </c>
    </row>
    <row r="122" customFormat="false" ht="15" hidden="false" customHeight="true" outlineLevel="0" collapsed="false">
      <c r="B122" s="20" t="s">
        <v>1456</v>
      </c>
      <c r="C122" s="42" t="n">
        <v>500</v>
      </c>
      <c r="D122" s="25" t="s">
        <v>1457</v>
      </c>
    </row>
    <row r="123" customFormat="false" ht="15" hidden="false" customHeight="true" outlineLevel="0" collapsed="false">
      <c r="B123" s="20" t="s">
        <v>1458</v>
      </c>
      <c r="C123" s="42" t="n">
        <v>0.02</v>
      </c>
      <c r="D123" s="25" t="s">
        <v>1459</v>
      </c>
    </row>
    <row r="124" customFormat="false" ht="15" hidden="false" customHeight="true" outlineLevel="0" collapsed="false">
      <c r="B124" s="20" t="s">
        <v>1460</v>
      </c>
      <c r="C124" s="42" t="n">
        <v>95</v>
      </c>
      <c r="D124" s="25" t="s">
        <v>1461</v>
      </c>
    </row>
    <row r="125" customFormat="false" ht="15" hidden="false" customHeight="true" outlineLevel="0" collapsed="false">
      <c r="B125" s="20" t="s">
        <v>1462</v>
      </c>
      <c r="C125" s="42" t="n">
        <v>70</v>
      </c>
      <c r="D125" s="25" t="s">
        <v>1463</v>
      </c>
    </row>
    <row r="126" customFormat="false" ht="15" hidden="false" customHeight="true" outlineLevel="0" collapsed="false">
      <c r="B126" s="20" t="s">
        <v>1464</v>
      </c>
      <c r="C126" s="46" t="n">
        <f aca="false">DATE(2026,9,30)</f>
        <v>46295</v>
      </c>
      <c r="D126" s="25" t="s">
        <v>1465</v>
      </c>
    </row>
    <row r="128" customFormat="false" ht="15" hidden="false" customHeight="true" outlineLevel="0" collapsed="false">
      <c r="B128" s="23" t="s">
        <v>1466</v>
      </c>
      <c r="C128" s="23" t="s">
        <v>1226</v>
      </c>
      <c r="D128" s="23" t="s">
        <v>1227</v>
      </c>
    </row>
    <row r="129" customFormat="false" ht="15" hidden="false" customHeight="true" outlineLevel="0" collapsed="false">
      <c r="B129" s="20" t="s">
        <v>1467</v>
      </c>
      <c r="C129" s="42" t="n">
        <f aca="false">IF(In_assumeSet="Cautious",1,0)</f>
        <v>0</v>
      </c>
      <c r="D129" s="25"/>
    </row>
    <row r="130" customFormat="false" ht="15" hidden="false" customHeight="true" outlineLevel="0" collapsed="false">
      <c r="B130" s="20" t="s">
        <v>1468</v>
      </c>
      <c r="C130" s="43" t="n">
        <f aca="false">IF(Has_infl=1,In_infl,Set_infl)</f>
        <v>0.02</v>
      </c>
      <c r="D130" s="25" t="s">
        <v>1469</v>
      </c>
    </row>
    <row r="131" customFormat="false" ht="15" hidden="false" customHeight="true" outlineLevel="0" collapsed="false">
      <c r="B131" s="20" t="s">
        <v>1470</v>
      </c>
      <c r="C131" s="43" t="n">
        <f aca="false">IF(Has_a_wage=1,In_a_wage,IF(AS_Cautious=1,Set_wage_Cautious,Set_wage))</f>
        <v>0.03</v>
      </c>
      <c r="D131" s="25"/>
    </row>
    <row r="132" customFormat="false" ht="15" hidden="false" customHeight="true" outlineLevel="0" collapsed="false">
      <c r="B132" s="20" t="s">
        <v>1471</v>
      </c>
      <c r="C132" s="43" t="n">
        <f aca="false">IF(Has_a_cash=1,In_a_cash,IF(AS_Cautious=1,Set_cash_Cautious,Set_cash))</f>
        <v>0.01</v>
      </c>
      <c r="D132" s="25"/>
    </row>
    <row r="133" customFormat="false" ht="15" hidden="false" customHeight="true" outlineLevel="0" collapsed="false">
      <c r="B133" s="20" t="s">
        <v>1472</v>
      </c>
      <c r="C133" s="43" t="n">
        <f aca="false">IF(Has_a_inv=1,In_a_inv,IF(AS_Cautious=1,Set_inv_Cautious,Set_inv))</f>
        <v>0.026</v>
      </c>
      <c r="D133" s="25"/>
    </row>
    <row r="134" customFormat="false" ht="15" hidden="false" customHeight="true" outlineLevel="0" collapsed="false">
      <c r="B134" s="20" t="s">
        <v>1473</v>
      </c>
      <c r="C134" s="43" t="n">
        <f aca="false">IF(Has_a_pen=1,In_a_pen,IF(AS_Cautious=1,Set_pen_Cautious,Set_pen))</f>
        <v>0.045</v>
      </c>
      <c r="D134" s="25"/>
    </row>
    <row r="135" customFormat="false" ht="15" hidden="false" customHeight="true" outlineLevel="0" collapsed="false">
      <c r="B135" s="20" t="s">
        <v>1474</v>
      </c>
      <c r="C135" s="43" t="n">
        <f aca="false">IF(Has_a_penRet=1,In_a_penRet,IF(AS_Cautious=1,Set_penRet_Cautious,Set_penRet))</f>
        <v>0.0315</v>
      </c>
      <c r="D135" s="25"/>
    </row>
    <row r="136" customFormat="false" ht="15" hidden="false" customHeight="true" outlineLevel="0" collapsed="false">
      <c r="B136" s="20" t="s">
        <v>1475</v>
      </c>
      <c r="C136" s="43" t="n">
        <f aca="false">IF(Has_a_mortRate=1,In_a_mortRate,Set_mortRate)</f>
        <v>0.0375</v>
      </c>
      <c r="D136" s="25" t="s">
        <v>1476</v>
      </c>
    </row>
    <row r="137" customFormat="false" ht="15" hidden="false" customHeight="true" outlineLevel="0" collapsed="false">
      <c r="B137" s="20" t="s">
        <v>1477</v>
      </c>
      <c r="C137" s="42" t="n">
        <f aca="false">IF(Has_a_cardRate=1,In_a_cardRate,PR_FbCard)</f>
        <v>0.2</v>
      </c>
      <c r="D137" s="25" t="s">
        <v>1478</v>
      </c>
    </row>
    <row r="138" customFormat="false" ht="15" hidden="false" customHeight="true" outlineLevel="0" collapsed="false">
      <c r="B138" s="20" t="s">
        <v>1479</v>
      </c>
      <c r="C138" s="43" t="n">
        <f aca="false">IF(Has_a_loanRate=1,In_a_loanRate,Set_loanRate)</f>
        <v>0.08</v>
      </c>
      <c r="D138" s="25" t="s">
        <v>1480</v>
      </c>
    </row>
    <row r="139" customFormat="false" ht="15" hidden="false" customHeight="true" outlineLevel="0" collapsed="false">
      <c r="B139" s="20" t="s">
        <v>118</v>
      </c>
      <c r="C139" s="42" t="n">
        <f aca="false">IF(Has_a_planEnd=1,In_a_planEnd,IF(In_partner="Yes",PR_FbPlanEnd2,PR_FbPlanEnd1))</f>
        <v>95</v>
      </c>
      <c r="D139" s="25" t="s">
        <v>1481</v>
      </c>
    </row>
    <row r="140" customFormat="false" ht="15" hidden="false" customHeight="true" outlineLevel="0" collapsed="false">
      <c r="B140" s="20" t="s">
        <v>1482</v>
      </c>
      <c r="C140" s="42" t="n">
        <f aca="false">Rules_Year</f>
        <v>2026</v>
      </c>
      <c r="D140" s="25"/>
    </row>
    <row r="141" customFormat="false" ht="15" hidden="false" customHeight="true" outlineLevel="0" collapsed="false">
      <c r="B141" s="20" t="s">
        <v>1483</v>
      </c>
      <c r="C141" s="42" t="n">
        <f aca="false">IF(AND(In_partner="Yes",In_income&gt;0,In_pIncome&gt;0,In_work="Employed"),1,0)</f>
        <v>1</v>
      </c>
      <c r="D141" s="25"/>
    </row>
    <row r="142" customFormat="false" ht="15" hidden="false" customHeight="true" outlineLevel="0" collapsed="false">
      <c r="B142" s="20" t="s">
        <v>1103</v>
      </c>
      <c r="C142" s="42" t="n">
        <f aca="false">IF(Has_a_safetyMonths=1,In_a_safetyMonths,IF(AS_TwoSecure=1,Set_safetyMonthsTwo,Set_safetyMonths))</f>
        <v>3</v>
      </c>
      <c r="D142" s="25"/>
    </row>
    <row r="143" customFormat="false" ht="15" hidden="false" customHeight="true" outlineLevel="0" collapsed="false">
      <c r="B143" s="20" t="s">
        <v>1484</v>
      </c>
      <c r="C143" s="42" t="n">
        <f aca="false">IF(Has_a_cashYears=1,In_a_cashYears,Set_cashYears)</f>
        <v>5</v>
      </c>
      <c r="D143" s="25"/>
    </row>
    <row r="144" customFormat="false" ht="15" hidden="false" customHeight="true" outlineLevel="0" collapsed="false">
      <c r="B144" s="20" t="s">
        <v>1110</v>
      </c>
      <c r="C144" s="43" t="n">
        <f aca="false">IF(Has_a_saveShare=1,In_a_saveShare,Set_saveShare)</f>
        <v>0.5</v>
      </c>
      <c r="D144" s="25"/>
    </row>
    <row r="145" customFormat="false" ht="15" hidden="false" customHeight="true" outlineLevel="0" collapsed="false">
      <c r="B145" s="20" t="s">
        <v>1112</v>
      </c>
      <c r="C145" s="47" t="n">
        <f aca="false">IF(Has_a_noAnswer=1,In_a_noAnswer,Set_noAnswer)</f>
        <v>300</v>
      </c>
      <c r="D145" s="25"/>
    </row>
    <row r="146" customFormat="false" ht="15" hidden="false" customHeight="true" outlineLevel="0" collapsed="false">
      <c r="B146" s="20" t="s">
        <v>1485</v>
      </c>
      <c r="C146" s="43" t="n">
        <f aca="false">IF(Has_a_investShare=1,In_a_investShare,Set_investShare)</f>
        <v>0.4</v>
      </c>
      <c r="D146" s="25"/>
    </row>
    <row r="147" customFormat="false" ht="15" hidden="false" customHeight="true" outlineLevel="0" collapsed="false">
      <c r="B147" s="20" t="s">
        <v>122</v>
      </c>
      <c r="C147" s="42" t="n">
        <f aca="false">IF(Has_a_accessAge=1,In_a_accessAge,Set_accessAge)</f>
        <v>60</v>
      </c>
      <c r="D147" s="25"/>
    </row>
    <row r="148" customFormat="false" ht="15" hidden="false" customHeight="true" outlineLevel="0" collapsed="false">
      <c r="B148" s="20" t="s">
        <v>1486</v>
      </c>
      <c r="C148" s="43" t="n">
        <f aca="false">IF(Has_a_lumpSum=1,In_a_lumpSum,Set_lumpSum)</f>
        <v>0.25</v>
      </c>
      <c r="D148" s="25"/>
    </row>
    <row r="149" customFormat="false" ht="15" hidden="false" customHeight="true" outlineLevel="0" collapsed="false">
      <c r="B149" s="20" t="s">
        <v>1487</v>
      </c>
      <c r="C149" s="42" t="str">
        <f aca="false">IF(Has_a_drawRule=1,In_a_drawRule,Set_drawRule)</f>
        <v>spread</v>
      </c>
      <c r="D149" s="25"/>
    </row>
    <row r="150" customFormat="false" ht="15" hidden="false" customHeight="true" outlineLevel="0" collapsed="false">
      <c r="B150" s="20" t="s">
        <v>1488</v>
      </c>
      <c r="C150" s="42" t="n">
        <f aca="false">IF(Has_a_drawFixed=1,In_a_drawFixed,PR_FbDrawFixed)</f>
        <v>20000</v>
      </c>
      <c r="D150" s="25"/>
    </row>
    <row r="151" customFormat="false" ht="15" hidden="false" customHeight="true" outlineLevel="0" collapsed="false">
      <c r="B151" s="20" t="s">
        <v>113</v>
      </c>
      <c r="C151" s="42" t="str">
        <f aca="false">IF(Has_a_bands=1,In_a_bands,Set_bands)</f>
        <v>prices</v>
      </c>
      <c r="D151" s="25"/>
    </row>
    <row r="152" customFormat="false" ht="15" hidden="false" customHeight="true" outlineLevel="0" collapsed="false">
      <c r="B152" s="20" t="s">
        <v>110</v>
      </c>
      <c r="C152" s="42" t="str">
        <f aca="false">IF(Has_a_spGrow=1,In_a_spGrow,Set_spGrow)</f>
        <v>prices</v>
      </c>
      <c r="D152" s="25"/>
    </row>
    <row r="153" customFormat="false" ht="15" hidden="false" customHeight="true" outlineLevel="0" collapsed="false">
      <c r="B153" s="20" t="s">
        <v>1489</v>
      </c>
      <c r="C153" s="43" t="n">
        <f aca="false">IF(Has_a_retireSpend=1,In_a_retireSpend,Set_retireSpend)</f>
        <v>0.8</v>
      </c>
      <c r="D153" s="25"/>
    </row>
    <row r="154" customFormat="false" ht="15" hidden="false" customHeight="true" outlineLevel="0" collapsed="false">
      <c r="B154" s="20" t="s">
        <v>1490</v>
      </c>
      <c r="C154" s="43" t="n">
        <f aca="false">IF(Has_a_ownShare=1,In_a_ownShare,IF(In_work="Self-employed",1,Set_ownShare))</f>
        <v>0.5</v>
      </c>
      <c r="D154" s="25"/>
    </row>
    <row r="155" customFormat="false" ht="15" hidden="false" customHeight="true" outlineLevel="0" collapsed="false">
      <c r="B155" s="20" t="s">
        <v>1491</v>
      </c>
      <c r="C155" s="42" t="n">
        <f aca="false">IF(Has_a_penChg=1,In_a_penChg,PR_FbPenChg)</f>
        <v>0.01</v>
      </c>
      <c r="D155" s="25"/>
    </row>
    <row r="156" customFormat="false" ht="15" hidden="false" customHeight="true" outlineLevel="0" collapsed="false">
      <c r="B156" s="20" t="s">
        <v>1492</v>
      </c>
      <c r="C156" s="42" t="str">
        <f aca="false">IF(In_sp="","Not sure",In_sp)</f>
        <v>Expect full</v>
      </c>
      <c r="D156" s="25"/>
    </row>
    <row r="157" customFormat="false" ht="15" hidden="false" customHeight="true" outlineLevel="0" collapsed="false">
      <c r="B157" s="20" t="s">
        <v>1493</v>
      </c>
      <c r="C157" s="42" t="n">
        <f aca="false">IF(Has_a_spWeek=1,In_a_spWeek,PR_SPweek*IF(AS_SpOwn="Partly",PR_FbSpPartly,PR_FbSpOther))</f>
        <v>239.44</v>
      </c>
      <c r="D157" s="25"/>
    </row>
    <row r="158" customFormat="false" ht="15" hidden="false" customHeight="true" outlineLevel="0" collapsed="false">
      <c r="B158" s="20" t="s">
        <v>1494</v>
      </c>
      <c r="C158" s="42" t="str">
        <f aca="false">IF(In_pSp="","Not sure",In_pSp)</f>
        <v>Not sure</v>
      </c>
      <c r="D158" s="25"/>
    </row>
    <row r="159" customFormat="false" ht="15" hidden="false" customHeight="true" outlineLevel="0" collapsed="false">
      <c r="B159" s="20" t="s">
        <v>1495</v>
      </c>
      <c r="C159" s="42" t="n">
        <f aca="false">IF(Has_a_pSpWeek=1,In_a_pSpWeek,PR_SPweek*IF(AS_PSpOwn="Own partial",PR_FbSpPartly,PR_FbSpOther))</f>
        <v>239.44</v>
      </c>
      <c r="D159" s="25"/>
    </row>
    <row r="160" customFormat="false" ht="15" hidden="false" customHeight="true" outlineLevel="0" collapsed="false">
      <c r="B160" s="20" t="s">
        <v>1496</v>
      </c>
      <c r="C160" s="42" t="n">
        <f aca="false">PR_SPweek*PR_Weeks</f>
        <v>15563.6</v>
      </c>
      <c r="D160" s="25"/>
    </row>
    <row r="162" customFormat="false" ht="15" hidden="false" customHeight="true" outlineLevel="0" collapsed="false">
      <c r="B162" s="23" t="s">
        <v>1497</v>
      </c>
      <c r="C162" s="23" t="s">
        <v>1226</v>
      </c>
      <c r="D162" s="23" t="s">
        <v>1227</v>
      </c>
    </row>
    <row r="163" customFormat="false" ht="15" hidden="false" customHeight="true" outlineLevel="0" collapsed="false">
      <c r="B163" s="20" t="s">
        <v>1498</v>
      </c>
      <c r="C163" s="42" t="str">
        <f aca="false">IF(In_work&lt;&gt;"",In_work,IF(In_income&gt;0,"Employed",""))</f>
        <v>Employed</v>
      </c>
      <c r="D163" s="25"/>
    </row>
    <row r="164" customFormat="false" ht="15" hidden="false" customHeight="true" outlineLevel="0" collapsed="false">
      <c r="B164" s="20" t="s">
        <v>1499</v>
      </c>
      <c r="C164" s="42" t="n">
        <f aca="false">In_age</f>
        <v>38</v>
      </c>
      <c r="D164" s="25"/>
    </row>
    <row r="165" customFormat="false" ht="15" hidden="false" customHeight="true" outlineLevel="0" collapsed="false">
      <c r="B165" s="20" t="s">
        <v>116</v>
      </c>
      <c r="C165" s="42" t="n">
        <f aca="false">IF(Has_retireAge=1,In_retireAge,PR_FbRetireAge)</f>
        <v>63</v>
      </c>
      <c r="D165" s="25"/>
    </row>
    <row r="166" customFormat="false" ht="15" hidden="false" customHeight="true" outlineLevel="0" collapsed="false">
      <c r="B166" s="20" t="s">
        <v>1500</v>
      </c>
      <c r="C166" s="42" t="n">
        <f aca="false">IF(In_partner="Yes",1,0)</f>
        <v>1</v>
      </c>
      <c r="D166" s="25"/>
    </row>
    <row r="167" customFormat="false" ht="15" hidden="false" customHeight="true" outlineLevel="0" collapsed="false">
      <c r="B167" s="20" t="s">
        <v>1501</v>
      </c>
      <c r="C167" s="42" t="n">
        <f aca="false">IF(AND(F_Partner=1,In_married="Yes"),1,0)</f>
        <v>0</v>
      </c>
      <c r="D167" s="25"/>
    </row>
    <row r="168" customFormat="false" ht="15" hidden="false" customHeight="true" outlineLevel="0" collapsed="false">
      <c r="B168" s="20" t="s">
        <v>1502</v>
      </c>
      <c r="C168" s="42" t="n">
        <f aca="false">IF(In_work="Not working",0,In_income)</f>
        <v>58000</v>
      </c>
      <c r="D168" s="25"/>
    </row>
    <row r="169" customFormat="false" ht="15" hidden="false" customHeight="true" outlineLevel="0" collapsed="false">
      <c r="B169" s="20" t="s">
        <v>1503</v>
      </c>
      <c r="C169" s="42" t="n">
        <f aca="false">IF(F_Partner=1,In_pIncome,0)</f>
        <v>22000</v>
      </c>
      <c r="D169" s="25"/>
    </row>
    <row r="170" customFormat="false" ht="15" hidden="false" customHeight="true" outlineLevel="0" collapsed="false">
      <c r="B170" s="20" t="s">
        <v>1504</v>
      </c>
      <c r="C170" s="42" t="n">
        <f aca="false">IF(F_Partner=1,IF(In_pAge&gt;0,In_pAge,In_age),0)</f>
        <v>37</v>
      </c>
      <c r="D170" s="25"/>
    </row>
    <row r="171" customFormat="false" ht="15" hidden="false" customHeight="true" outlineLevel="0" collapsed="false">
      <c r="B171" s="20" t="s">
        <v>1505</v>
      </c>
      <c r="C171" s="42" t="n">
        <f aca="false">IF(Has_pRet=1,In_pRet,0)</f>
        <v>66</v>
      </c>
      <c r="D171" s="25"/>
    </row>
    <row r="172" customFormat="false" ht="15" hidden="false" customHeight="true" outlineLevel="0" collapsed="false">
      <c r="B172" s="20" t="s">
        <v>1506</v>
      </c>
      <c r="C172" s="42" t="n">
        <f aca="false">In_otherM</f>
        <v>0</v>
      </c>
      <c r="D172" s="25"/>
    </row>
    <row r="173" customFormat="false" ht="15" hidden="false" customHeight="true" outlineLevel="0" collapsed="false">
      <c r="B173" s="20" t="s">
        <v>1507</v>
      </c>
      <c r="C173" s="42" t="n">
        <f aca="false">In_costsM</f>
        <v>3600</v>
      </c>
      <c r="D173" s="25"/>
    </row>
    <row r="174" customFormat="false" ht="15" hidden="false" customHeight="true" outlineLevel="0" collapsed="false">
      <c r="B174" s="20" t="s">
        <v>1508</v>
      </c>
      <c r="C174" s="42" t="n">
        <f aca="false">In_oneOffY</f>
        <v>1800</v>
      </c>
      <c r="D174" s="25"/>
    </row>
    <row r="175" customFormat="false" ht="15" hidden="false" customHeight="true" outlineLevel="0" collapsed="false">
      <c r="B175" s="20" t="s">
        <v>559</v>
      </c>
      <c r="C175" s="42" t="n">
        <f aca="false">In_cash</f>
        <v>9000</v>
      </c>
      <c r="D175" s="25"/>
    </row>
    <row r="176" customFormat="false" ht="15" hidden="false" customHeight="true" outlineLevel="0" collapsed="false">
      <c r="B176" s="20" t="s">
        <v>995</v>
      </c>
      <c r="C176" s="42" t="n">
        <f aca="false">In_invest</f>
        <v>6200</v>
      </c>
      <c r="D176" s="25"/>
    </row>
    <row r="177" customFormat="false" ht="15" hidden="false" customHeight="true" outlineLevel="0" collapsed="false">
      <c r="B177" s="20" t="s">
        <v>1509</v>
      </c>
      <c r="C177" s="42" t="n">
        <f aca="false">In_rentM</f>
        <v>0</v>
      </c>
      <c r="D177" s="25"/>
    </row>
    <row r="178" customFormat="false" ht="15" hidden="false" customHeight="true" outlineLevel="0" collapsed="false">
      <c r="B178" s="20" t="s">
        <v>1510</v>
      </c>
      <c r="C178" s="42" t="n">
        <f aca="false">IF(In_home="Own with mortgage",1,0)</f>
        <v>1</v>
      </c>
      <c r="D178" s="25"/>
    </row>
    <row r="179" customFormat="false" ht="15" hidden="false" customHeight="true" outlineLevel="0" collapsed="false">
      <c r="B179" s="20" t="s">
        <v>1511</v>
      </c>
      <c r="C179" s="43" t="n">
        <f aca="false">IF(In_mortRate&gt;0,In_mortRate,AS_MortRate)</f>
        <v>0.0385</v>
      </c>
      <c r="D179" s="25"/>
    </row>
    <row r="180" customFormat="false" ht="15" hidden="false" customHeight="true" outlineLevel="0" collapsed="false">
      <c r="B180" s="20" t="s">
        <v>1512</v>
      </c>
      <c r="C180" s="42" t="n">
        <f aca="false">IF(F_MortOn=1,In_mortPayM,0)</f>
        <v>1180</v>
      </c>
      <c r="D180" s="25"/>
    </row>
    <row r="181" customFormat="false" ht="15" hidden="false" customHeight="true" outlineLevel="0" collapsed="false">
      <c r="B181" s="20" t="s">
        <v>997</v>
      </c>
      <c r="C181" s="42" t="n">
        <f aca="false">IF(F_MortOn=1,In_mortBal,0)</f>
        <v>203700</v>
      </c>
      <c r="D181" s="25"/>
    </row>
    <row r="182" customFormat="false" ht="15" hidden="false" customHeight="true" outlineLevel="0" collapsed="false">
      <c r="B182" s="20" t="s">
        <v>1513</v>
      </c>
      <c r="C182" s="42" t="n">
        <f aca="false">IF(F_MortOn=1,IF(F_MStated&lt;&gt;0,F_MStated,IF(F_MortBal&gt;0,IF(F_MR/12&lt;&gt;0,F_MortBal*(F_MR/12)/(1-(1+F_MR/12)^-MAX(1,ROUND(IF(In_mortYears&lt;&gt;0,In_mortYears,PR_FbMortYears)*12,0))),F_MortBal/MAX(1,ROUND(IF(In_mortYears&lt;&gt;0,In_mortYears,PR_FbMortYears)*12,0))),0)),0)</f>
        <v>1180</v>
      </c>
      <c r="D182" s="25"/>
    </row>
    <row r="183" customFormat="false" ht="15" hidden="false" customHeight="true" outlineLevel="0" collapsed="false">
      <c r="B183" s="20" t="s">
        <v>1514</v>
      </c>
      <c r="C183" s="42" t="n">
        <f aca="false">IF(AND(F_MortOn=1,F_MStated=0),1,0)</f>
        <v>0</v>
      </c>
      <c r="D183" s="25"/>
    </row>
    <row r="184" customFormat="false" ht="15" hidden="false" customHeight="true" outlineLevel="0" collapsed="false">
      <c r="B184" s="20" t="s">
        <v>1515</v>
      </c>
      <c r="C184" s="42" t="n">
        <f aca="false">IF(AND(F_MortOn=1,F_MStated&gt;0,F_MortBal&gt;0,In_mortYears&gt;0,F_MStated&lt;IF(F_MR/12&lt;&gt;0,F_MortBal*(F_MR/12)/(1-(1+F_MR/12)^-MAX(1,ROUND(In_mortYears*12,0))),F_MortBal/MAX(1,ROUND(In_mortYears*12,0)))-1),1,0)</f>
        <v>0</v>
      </c>
      <c r="D184" s="25"/>
    </row>
    <row r="186" customFormat="false" ht="15" hidden="false" customHeight="true" outlineLevel="0" collapsed="false">
      <c r="B186" s="23" t="s">
        <v>1516</v>
      </c>
      <c r="C186" s="23" t="s">
        <v>1226</v>
      </c>
      <c r="D186" s="23" t="s">
        <v>1227</v>
      </c>
    </row>
    <row r="187" customFormat="false" ht="15" hidden="false" customHeight="true" outlineLevel="0" collapsed="false">
      <c r="B187" s="20" t="s">
        <v>1517</v>
      </c>
      <c r="C187" s="42" t="n">
        <f aca="false">Mort2_Bal</f>
        <v>0</v>
      </c>
      <c r="D187" s="25"/>
    </row>
    <row r="188" customFormat="false" ht="15" hidden="false" customHeight="true" outlineLevel="0" collapsed="false">
      <c r="B188" s="20" t="s">
        <v>1518</v>
      </c>
      <c r="C188" s="42" t="n">
        <f aca="false">Mort2_Pay</f>
        <v>0</v>
      </c>
      <c r="D188" s="25"/>
    </row>
    <row r="189" customFormat="false" ht="15" hidden="false" customHeight="true" outlineLevel="0" collapsed="false">
      <c r="B189" s="20" t="s">
        <v>1519</v>
      </c>
      <c r="C189" s="48" t="n">
        <f aca="false">Mort2_Rate</f>
        <v>0</v>
      </c>
      <c r="D189" s="25"/>
    </row>
    <row r="190" customFormat="false" ht="15" hidden="false" customHeight="true" outlineLevel="0" collapsed="false">
      <c r="B190" s="20" t="s">
        <v>1520</v>
      </c>
      <c r="C190" s="42" t="n">
        <f aca="false">IF(In_cardRate&gt;0,In_cardRate,AS_CardRate)</f>
        <v>0.2</v>
      </c>
      <c r="D190" s="25"/>
    </row>
    <row r="191" customFormat="false" ht="15" hidden="false" customHeight="true" outlineLevel="0" collapsed="false">
      <c r="B191" s="20" t="s">
        <v>1521</v>
      </c>
      <c r="C191" s="43" t="n">
        <f aca="false">IF(In_loanRate&gt;0,In_loanRate,AS_LoanRate)</f>
        <v>0.08</v>
      </c>
      <c r="D191" s="25"/>
    </row>
    <row r="192" customFormat="false" ht="15" hidden="false" customHeight="true" outlineLevel="0" collapsed="false">
      <c r="B192" s="20" t="s">
        <v>1522</v>
      </c>
      <c r="C192" s="42" t="n">
        <f aca="false">In_loanBal+In_debt</f>
        <v>3500</v>
      </c>
      <c r="D192" s="25"/>
    </row>
    <row r="193" customFormat="false" ht="15" hidden="false" customHeight="true" outlineLevel="0" collapsed="false">
      <c r="B193" s="20" t="s">
        <v>1523</v>
      </c>
      <c r="C193" s="43" t="n">
        <f aca="false">IF(M2_Bal&gt;0,IF(D_lB0&gt;0,(D_lB0*D_lR0+M2_Bal*M2_Rate)/(D_lB0+M2_Bal),M2_Rate),D_lR0)</f>
        <v>0.08</v>
      </c>
      <c r="D193" s="25"/>
    </row>
    <row r="194" customFormat="false" ht="15" hidden="false" customHeight="true" outlineLevel="0" collapsed="false">
      <c r="B194" s="20" t="s">
        <v>1524</v>
      </c>
      <c r="C194" s="42" t="n">
        <f aca="false">In_cardBal</f>
        <v>400</v>
      </c>
      <c r="D194" s="25"/>
    </row>
    <row r="195" customFormat="false" ht="15" hidden="false" customHeight="true" outlineLevel="0" collapsed="false">
      <c r="B195" s="20" t="s">
        <v>1525</v>
      </c>
      <c r="C195" s="42" t="n">
        <f aca="false">D_lB0+M2_Bal</f>
        <v>3500</v>
      </c>
      <c r="D195" s="25"/>
    </row>
    <row r="196" customFormat="false" ht="15" hidden="false" customHeight="true" outlineLevel="0" collapsed="false">
      <c r="B196" s="20" t="s">
        <v>1526</v>
      </c>
      <c r="C196" s="42" t="n">
        <f aca="false">In_loanPayM+In_debtPayM+M2_Pay</f>
        <v>100</v>
      </c>
      <c r="D196" s="25"/>
    </row>
    <row r="197" customFormat="false" ht="15" hidden="false" customHeight="true" outlineLevel="0" collapsed="false">
      <c r="B197" s="20" t="s">
        <v>1527</v>
      </c>
      <c r="C197" s="42" t="n">
        <f aca="false">(1+D_cR)^(1/12)-1</f>
        <v>0.0153094704997312</v>
      </c>
      <c r="D197" s="25"/>
    </row>
    <row r="198" customFormat="false" ht="15" hidden="false" customHeight="true" outlineLevel="0" collapsed="false">
      <c r="B198" s="20" t="s">
        <v>1528</v>
      </c>
      <c r="C198" s="42" t="n">
        <f aca="false">(1+D_lR)^(1/12)-1</f>
        <v>0.00643403011000343</v>
      </c>
      <c r="D198" s="25"/>
    </row>
    <row r="199" customFormat="false" ht="15" hidden="false" customHeight="true" outlineLevel="0" collapsed="false">
      <c r="B199" s="20" t="s">
        <v>1529</v>
      </c>
      <c r="C199" s="42" t="n">
        <f aca="false">IF(AND(F_CardBal&gt;0,In_cardPayM&gt;F_CardBal*D_iC),1,0)</f>
        <v>1</v>
      </c>
      <c r="D199" s="25"/>
    </row>
    <row r="200" customFormat="false" ht="15" hidden="false" customHeight="true" outlineLevel="0" collapsed="false">
      <c r="B200" s="20" t="s">
        <v>1530</v>
      </c>
      <c r="C200" s="42" t="n">
        <f aca="false">IF(AND(F_LoanBal&gt;0,D_lp&gt;F_LoanBal*D_iL),1,0)</f>
        <v>1</v>
      </c>
      <c r="D200" s="25"/>
    </row>
    <row r="201" customFormat="false" ht="15" hidden="false" customHeight="true" outlineLevel="0" collapsed="false">
      <c r="B201" s="20" t="s">
        <v>1531</v>
      </c>
      <c r="C201" s="42" t="n">
        <f aca="false">IF(F_CardBal&gt;0,IF(D_okC=1,In_cardPayM,IF(D_iC&lt;&gt;0,F_CardBal*D_iC/(1-(1+D_iC)^-60),F_CardBal/60)),0)</f>
        <v>40</v>
      </c>
      <c r="D201" s="25"/>
    </row>
    <row r="202" customFormat="false" ht="15" hidden="false" customHeight="true" outlineLevel="0" collapsed="false">
      <c r="B202" s="20" t="s">
        <v>1532</v>
      </c>
      <c r="C202" s="42" t="n">
        <f aca="false">IF(F_LoanBal&gt;0,IF(D_okL=1,D_lp,IF(D_iL&lt;&gt;0,F_LoanBal*D_iL/(1-(1+D_iL)^-60),F_LoanBal/60)),0)</f>
        <v>100</v>
      </c>
      <c r="D202" s="25"/>
    </row>
    <row r="203" customFormat="false" ht="15" hidden="false" customHeight="true" outlineLevel="0" collapsed="false">
      <c r="B203" s="20" t="s">
        <v>1533</v>
      </c>
      <c r="C203" s="42" t="n">
        <f aca="false">IF(AND(F_CardBal&gt;0,D_okC=0),1,0)</f>
        <v>0</v>
      </c>
      <c r="D203" s="25"/>
    </row>
    <row r="204" customFormat="false" ht="15" hidden="false" customHeight="true" outlineLevel="0" collapsed="false">
      <c r="B204" s="20" t="s">
        <v>1534</v>
      </c>
      <c r="C204" s="42" t="n">
        <f aca="false">IF(AND(F_LoanBal&gt;0,D_okL=0),1,0)</f>
        <v>0</v>
      </c>
      <c r="D204" s="25"/>
    </row>
    <row r="205" customFormat="false" ht="15" hidden="false" customHeight="true" outlineLevel="0" collapsed="false">
      <c r="B205" s="20" t="s">
        <v>1535</v>
      </c>
      <c r="C205" s="42" t="n">
        <f aca="false">F_CardBal+F_LoanBal</f>
        <v>3900</v>
      </c>
      <c r="D205" s="25"/>
    </row>
    <row r="206" customFormat="false" ht="15" hidden="false" customHeight="true" outlineLevel="0" collapsed="false">
      <c r="B206" s="20" t="s">
        <v>1536</v>
      </c>
      <c r="C206" s="42" t="n">
        <f aca="false">F_CardPayM+F_LoanPayM</f>
        <v>140</v>
      </c>
      <c r="D206" s="25"/>
    </row>
    <row r="207" customFormat="false" ht="15" hidden="false" customHeight="true" outlineLevel="0" collapsed="false">
      <c r="B207" s="20" t="s">
        <v>1537</v>
      </c>
      <c r="C207" s="42" t="n">
        <f aca="false">F_CostsM+F_MortPayM+IF(F_Debt&gt;0,F_DebtPayM,0)</f>
        <v>4920</v>
      </c>
      <c r="D207" s="25"/>
    </row>
    <row r="209" customFormat="false" ht="15" hidden="false" customHeight="true" outlineLevel="0" collapsed="false">
      <c r="B209" s="23" t="s">
        <v>1538</v>
      </c>
      <c r="C209" s="23" t="s">
        <v>1226</v>
      </c>
      <c r="D209" s="23" t="s">
        <v>1227</v>
      </c>
    </row>
    <row r="210" customFormat="false" ht="15" hidden="false" customHeight="true" outlineLevel="0" collapsed="false">
      <c r="B210" s="20" t="s">
        <v>1539</v>
      </c>
      <c r="C210" s="42" t="n">
        <f aca="false">IF(AND(In_work&lt;&gt;"Not working",F_Income&gt;0),In_pensionM,0)</f>
        <v>520</v>
      </c>
      <c r="D210" s="25"/>
    </row>
    <row r="211" customFormat="false" ht="15" hidden="false" customHeight="true" outlineLevel="0" collapsed="false">
      <c r="B211" s="20" t="s">
        <v>1540</v>
      </c>
      <c r="C211" s="42" t="n">
        <f aca="false">IF(Has_pensionOwnM=1,MIN(F_PenM,In_pensionOwnM),F_PenM*AS_OwnShare)</f>
        <v>260</v>
      </c>
      <c r="D211" s="25"/>
    </row>
    <row r="212" customFormat="false" ht="15" hidden="false" customHeight="true" outlineLevel="0" collapsed="false">
      <c r="B212" s="20" t="s">
        <v>1541</v>
      </c>
      <c r="C212" s="48" t="n">
        <f aca="false">AS_Pen+IF(Has_penChg=1,AS_PenChgTyp-In_penChg,0)</f>
        <v>0.045</v>
      </c>
      <c r="D212" s="25"/>
    </row>
    <row r="213" customFormat="false" ht="15" hidden="false" customHeight="true" outlineLevel="0" collapsed="false">
      <c r="B213" s="20" t="s">
        <v>1542</v>
      </c>
      <c r="C213" s="42" t="str">
        <f aca="false">IF(Has_spYears=1,In_spYears,IF(Has_a_spYears=1,In_a_spYears,""))</f>
        <v/>
      </c>
      <c r="D213" s="25"/>
    </row>
    <row r="214" customFormat="false" ht="15" hidden="false" customHeight="true" outlineLevel="0" collapsed="false">
      <c r="B214" s="20" t="s">
        <v>1543</v>
      </c>
      <c r="C214" s="42" t="n">
        <f aca="false">IF(F_YrsSP&lt;&gt;"",IF(F_YrsSP&lt;PR_SPmin,0,MIN(1,F_YrsSP/PR_SPfull)),IF(In_sp="Expect full",1,MIN(1,AS_SpWeek/PR_SPweek)))</f>
        <v>1</v>
      </c>
      <c r="D214" s="25"/>
    </row>
    <row r="215" customFormat="false" ht="15" hidden="false" customHeight="true" outlineLevel="0" collapsed="false">
      <c r="B215" s="20" t="s">
        <v>1544</v>
      </c>
      <c r="C215" s="42" t="str">
        <f aca="false">IF(F_Partner=1,AS_PSpOwn,"None")</f>
        <v>Not sure</v>
      </c>
      <c r="D215" s="25"/>
    </row>
    <row r="216" customFormat="false" ht="15" hidden="false" customHeight="true" outlineLevel="0" collapsed="false">
      <c r="B216" s="20" t="s">
        <v>1545</v>
      </c>
      <c r="C216" s="42" t="n">
        <f aca="false">IF(F_PSpO="Qualified adult increase",1,0)</f>
        <v>0</v>
      </c>
      <c r="D216" s="25"/>
    </row>
    <row r="217" customFormat="false" ht="15" hidden="false" customHeight="true" outlineLevel="0" collapsed="false">
      <c r="B217" s="20" t="s">
        <v>1546</v>
      </c>
      <c r="C217" s="42" t="n">
        <f aca="false">IF(F_PSpO="Own full",1,IF(OR(F_PSpO="Own partial",F_PSpO="Not sure"),MIN(1,AS_PSpWeek/PR_SPweek),0))</f>
        <v>0.8</v>
      </c>
      <c r="D217" s="25"/>
    </row>
    <row r="218" customFormat="false" ht="15" hidden="false" customHeight="true" outlineLevel="0" collapsed="false">
      <c r="B218" s="20" t="s">
        <v>1547</v>
      </c>
      <c r="C218" s="42" t="n">
        <f aca="false">IF(AND(F_Work="Employed",In_age&gt;=PR_AEageMin,In_age&lt;=PR_AEageMax,F_Income&gt;PR_AEearnMin,F_PenM=0,In_ae&lt;&gt;"No"),1,0)</f>
        <v>0</v>
      </c>
      <c r="D218" s="25"/>
    </row>
    <row r="219" customFormat="false" ht="15" hidden="false" customHeight="true" outlineLevel="0" collapsed="false">
      <c r="B219" s="20" t="s">
        <v>1548</v>
      </c>
      <c r="C219" s="42" t="n">
        <f aca="false">IF(AND(In_credRent="Yes",In_home="Rent"),1,0)</f>
        <v>0</v>
      </c>
      <c r="D219" s="25"/>
    </row>
    <row r="220" customFormat="false" ht="15" hidden="false" customHeight="true" outlineLevel="0" collapsed="false">
      <c r="B220" s="20" t="s">
        <v>1549</v>
      </c>
      <c r="C220" s="42" t="n">
        <f aca="false">IF(AND(In_credLone="Yes",In_deps&gt;0,F_Partner=0),1,0)</f>
        <v>0</v>
      </c>
      <c r="D220" s="25"/>
    </row>
    <row r="221" customFormat="false" ht="15" hidden="false" customHeight="true" outlineLevel="0" collapsed="false">
      <c r="B221" s="20" t="s">
        <v>1550</v>
      </c>
      <c r="C221" s="42" t="n">
        <f aca="false">IF(AND(In_credCarer="Yes",F_Partner=1,In_married="Yes"),1,0)</f>
        <v>0</v>
      </c>
      <c r="D221" s="25"/>
    </row>
    <row r="222" customFormat="false" ht="15" hidden="false" customHeight="true" outlineLevel="0" collapsed="false">
      <c r="B222" s="20" t="s">
        <v>1551</v>
      </c>
      <c r="C222" s="42" t="n">
        <f aca="false">In_pension+IF(WI_Retire=1,In_wiL,0)</f>
        <v>72000</v>
      </c>
      <c r="D222" s="25"/>
    </row>
    <row r="223" customFormat="false" ht="15" hidden="false" customHeight="true" outlineLevel="0" collapsed="false">
      <c r="B223" s="20" t="s">
        <v>1552</v>
      </c>
      <c r="C223" s="42" t="n">
        <f aca="false">MAX(F_R,AS_AccessAge)</f>
        <v>63</v>
      </c>
      <c r="D223" s="25"/>
    </row>
    <row r="224" customFormat="false" ht="15" hidden="false" customHeight="true" outlineLevel="0" collapsed="false">
      <c r="B224" s="20" t="s">
        <v>1553</v>
      </c>
      <c r="C224" s="42" t="n">
        <f aca="false">AS_End-F_Age</f>
        <v>57</v>
      </c>
      <c r="D224" s="25"/>
    </row>
    <row r="225" customFormat="false" ht="15" hidden="false" customHeight="true" outlineLevel="0" collapsed="false">
      <c r="B225" s="20" t="s">
        <v>1554</v>
      </c>
      <c r="C225" s="42" t="n">
        <f aca="false">IF(In_work="Self-employed",1,0)</f>
        <v>0</v>
      </c>
      <c r="D225" s="25"/>
    </row>
    <row r="226" customFormat="false" ht="15" hidden="false" customHeight="true" outlineLevel="0" collapsed="false">
      <c r="B226" s="20" t="s">
        <v>1555</v>
      </c>
      <c r="C226" s="42" t="n">
        <f aca="false">IF(AND(In_wiGoal&gt;0,INDEX(Goal_Kind_List,MAX(1,In_wiGoal))="retire"),1,0)</f>
        <v>0</v>
      </c>
      <c r="D226" s="25" t="s">
        <v>1556</v>
      </c>
    </row>
    <row r="227" customFormat="false" ht="15" hidden="false" customHeight="true" outlineLevel="0" collapsed="false">
      <c r="B227" s="20" t="s">
        <v>1557</v>
      </c>
      <c r="C227" s="42" t="n">
        <f aca="false">In_wiM</f>
        <v>0</v>
      </c>
      <c r="D227" s="25"/>
    </row>
    <row r="228" customFormat="false" ht="15" hidden="false" customHeight="true" outlineLevel="0" collapsed="false">
      <c r="B228" s="20" t="s">
        <v>1558</v>
      </c>
      <c r="C228" s="42" t="n">
        <f aca="false">In_wiL</f>
        <v>0</v>
      </c>
      <c r="D228" s="25"/>
    </row>
    <row r="232" customFormat="false" ht="108.75" hidden="false" customHeight="true" outlineLevel="0" collapsed="false">
      <c r="A232" s="23" t="s">
        <v>1559</v>
      </c>
      <c r="B232" s="33" t="s">
        <v>1560</v>
      </c>
      <c r="C232" s="33" t="s">
        <v>1499</v>
      </c>
      <c r="D232" s="33" t="s">
        <v>1561</v>
      </c>
      <c r="E232" s="33" t="s">
        <v>1562</v>
      </c>
      <c r="F232" s="33" t="s">
        <v>1563</v>
      </c>
      <c r="G232" s="33" t="s">
        <v>1564</v>
      </c>
      <c r="H232" s="33" t="s">
        <v>1565</v>
      </c>
      <c r="I232" s="33" t="s">
        <v>1566</v>
      </c>
      <c r="J232" s="33" t="s">
        <v>1567</v>
      </c>
      <c r="K232" s="33" t="s">
        <v>1568</v>
      </c>
      <c r="L232" s="33" t="s">
        <v>1569</v>
      </c>
      <c r="M232" s="33" t="s">
        <v>1570</v>
      </c>
      <c r="N232" s="33" t="s">
        <v>1571</v>
      </c>
      <c r="O232" s="33" t="s">
        <v>1572</v>
      </c>
      <c r="P232" s="33" t="s">
        <v>1573</v>
      </c>
      <c r="Q232" s="33" t="s">
        <v>1574</v>
      </c>
      <c r="R232" s="33" t="s">
        <v>1575</v>
      </c>
      <c r="S232" s="33" t="s">
        <v>1576</v>
      </c>
      <c r="T232" s="33" t="s">
        <v>1577</v>
      </c>
      <c r="U232" s="33" t="s">
        <v>1578</v>
      </c>
      <c r="V232" s="33" t="s">
        <v>733</v>
      </c>
      <c r="W232" s="33" t="s">
        <v>1579</v>
      </c>
      <c r="X232" s="33" t="s">
        <v>1580</v>
      </c>
      <c r="Y232" s="33" t="s">
        <v>1581</v>
      </c>
      <c r="Z232" s="33" t="s">
        <v>1582</v>
      </c>
      <c r="AA232" s="33" t="s">
        <v>1583</v>
      </c>
      <c r="AB232" s="33" t="s">
        <v>1584</v>
      </c>
      <c r="AC232" s="33" t="s">
        <v>1585</v>
      </c>
      <c r="AD232" s="33" t="s">
        <v>1586</v>
      </c>
      <c r="AE232" s="33" t="s">
        <v>105</v>
      </c>
      <c r="AF232" s="33" t="s">
        <v>1587</v>
      </c>
      <c r="AG232" s="33" t="s">
        <v>1588</v>
      </c>
      <c r="AH232" s="33" t="s">
        <v>1589</v>
      </c>
      <c r="AI232" s="33" t="s">
        <v>1590</v>
      </c>
      <c r="AJ232" s="33" t="s">
        <v>1591</v>
      </c>
      <c r="AK232" s="33" t="s">
        <v>1592</v>
      </c>
      <c r="AL232" s="33" t="s">
        <v>1593</v>
      </c>
      <c r="AM232" s="33" t="s">
        <v>1594</v>
      </c>
      <c r="AN232" s="33" t="s">
        <v>1595</v>
      </c>
      <c r="AO232" s="33" t="s">
        <v>1596</v>
      </c>
      <c r="AP232" s="33" t="s">
        <v>1597</v>
      </c>
      <c r="AQ232" s="33" t="s">
        <v>1598</v>
      </c>
      <c r="AR232" s="33" t="s">
        <v>1599</v>
      </c>
      <c r="AS232" s="33" t="s">
        <v>1600</v>
      </c>
      <c r="AT232" s="33" t="s">
        <v>1601</v>
      </c>
      <c r="AU232" s="33" t="s">
        <v>1602</v>
      </c>
      <c r="AV232" s="33" t="s">
        <v>1603</v>
      </c>
      <c r="AW232" s="33" t="s">
        <v>1604</v>
      </c>
      <c r="AX232" s="33" t="s">
        <v>1605</v>
      </c>
      <c r="AY232" s="33" t="s">
        <v>1606</v>
      </c>
      <c r="AZ232" s="33" t="s">
        <v>1607</v>
      </c>
      <c r="BA232" s="33" t="s">
        <v>1608</v>
      </c>
      <c r="BB232" s="33" t="s">
        <v>1609</v>
      </c>
      <c r="BC232" s="33" t="s">
        <v>1610</v>
      </c>
      <c r="BD232" s="33" t="s">
        <v>1611</v>
      </c>
      <c r="BE232" s="33" t="s">
        <v>1612</v>
      </c>
      <c r="BF232" s="33" t="s">
        <v>1613</v>
      </c>
      <c r="BG232" s="33" t="s">
        <v>1614</v>
      </c>
      <c r="BH232" s="33" t="s">
        <v>1615</v>
      </c>
      <c r="BI232" s="33" t="s">
        <v>1616</v>
      </c>
      <c r="BJ232" s="33" t="s">
        <v>1617</v>
      </c>
      <c r="BK232" s="33" t="s">
        <v>1618</v>
      </c>
      <c r="BL232" s="33" t="s">
        <v>1619</v>
      </c>
      <c r="BM232" s="33" t="s">
        <v>1620</v>
      </c>
      <c r="BN232" s="33" t="s">
        <v>1621</v>
      </c>
      <c r="BO232" s="33" t="s">
        <v>1622</v>
      </c>
      <c r="BP232" s="33" t="s">
        <v>1623</v>
      </c>
      <c r="BQ232" s="33" t="s">
        <v>1624</v>
      </c>
      <c r="BR232" s="33" t="s">
        <v>1625</v>
      </c>
      <c r="BS232" s="33" t="s">
        <v>1626</v>
      </c>
      <c r="BT232" s="33" t="s">
        <v>1627</v>
      </c>
    </row>
    <row r="233" customFormat="false" ht="15" hidden="false" customHeight="true" outlineLevel="0" collapsed="false">
      <c r="A233" s="20" t="s">
        <v>1628</v>
      </c>
      <c r="AD233" s="49" t="n">
        <f aca="false">F_Pension0</f>
        <v>72000</v>
      </c>
    </row>
    <row r="234" customFormat="false" ht="15" hidden="false" customHeight="true" outlineLevel="0" collapsed="false">
      <c r="B234" s="20" t="n">
        <v>0</v>
      </c>
      <c r="C234" s="20" t="n">
        <f aca="false">F_Age+B234</f>
        <v>38</v>
      </c>
      <c r="D234" s="20" t="n">
        <f aca="false">AS_Year0+B234</f>
        <v>2026</v>
      </c>
      <c r="E234" s="50" t="n">
        <f aca="false">(1+AS_Infl)^B234</f>
        <v>1</v>
      </c>
      <c r="F234" s="50" t="n">
        <f aca="false">(1+AS_Wage)^B234</f>
        <v>1</v>
      </c>
      <c r="G234" s="20" t="n">
        <f aca="false">IF(C234&lt;F_R,1,0)</f>
        <v>1</v>
      </c>
      <c r="H234" s="50" t="n">
        <f aca="false">IF(AS_Bands="flat",1,E234)</f>
        <v>1</v>
      </c>
      <c r="I234" s="50" t="n">
        <f aca="false">IF(AS_SpGrow="pay",F234,IF(AS_SpGrow="flat",1,E234))</f>
        <v>1</v>
      </c>
      <c r="J234" s="50" t="n">
        <f aca="false">(12*PR_PRSIr0+(PR_PRSIr1-PR_PRSIr0)*MAX(0,MIN(12,D234*12+12-PR_PRSIt1))+(PR_PRSIr2-PR_PRSIr1)*MAX(0,MIN(12,D234*12+12-PR_PRSIt2))+(PR_PRSIr3-PR_PRSIr2)*MAX(0,MIN(12,D234*12+12-PR_PRSIt3)))/12</f>
        <v>0.042375</v>
      </c>
      <c r="K234" s="20" t="n">
        <f aca="false">IF(G234=1,F_Income*F234,0)</f>
        <v>58000</v>
      </c>
      <c r="L234" s="20" t="n">
        <f aca="false">IF(G234=1,(F_Own+In_penExtra)*12*F234,0)</f>
        <v>3120</v>
      </c>
      <c r="M234" s="20" t="n">
        <f aca="false">IF(G234=1,(F_PenM+In_penExtra)*12*F234,0)</f>
        <v>6240</v>
      </c>
      <c r="N234" s="51" t="n">
        <f aca="false">IF(C234&lt;PR_RelA1,PR_RelP1,IF(C234&lt;PR_RelA2,PR_RelP2,IF(C234&lt;PR_RelA3,PR_RelP3,IF(C234&lt;PR_RelA4,PR_RelP4,IF(C234&lt;PR_RelA5,PR_RelP5,PR_RelP6)))))</f>
        <v>0.2</v>
      </c>
      <c r="O234" s="20" t="n">
        <f aca="false">IF(G234=1,MIN(L234/H234,N234*MIN(K234/H234,PR_EarnCap))*H234,0)</f>
        <v>3120</v>
      </c>
      <c r="P234" s="20" t="n">
        <f aca="false">IF(AND(G234=1,F_AE=1),MIN(K234/H234,PR_AEcap)*H234,0)</f>
        <v>0</v>
      </c>
      <c r="Q234" s="20" t="n">
        <f aca="false">IF(G234=1,IF(WI_Retire=1,MAX(0,M234+WI_M*12),M234)+(PR_AEee+PR_AEer+PR_AEst)*P234,0)</f>
        <v>6240</v>
      </c>
      <c r="R234" s="20" t="n">
        <f aca="false">L234+PR_AEee*P234</f>
        <v>3120</v>
      </c>
      <c r="S234" s="20" t="n">
        <f aca="false">AD233</f>
        <v>72000</v>
      </c>
      <c r="T234" s="52" t="n">
        <f aca="false">IF(D234&lt;=PR_SFTfrom,PR_SFT2026,IF(D234=PR_SFTfrom+1,PR_SFT2027,IF(D234=PR_SFTfrom+2,PR_SFT2028,IF(D234&lt;=PR_SFTto,PR_SFT2029,PR_SFT2029*(1+AS_Infl)^(D234-PR_SFTto)))))</f>
        <v>2200000</v>
      </c>
      <c r="U234" s="20" t="n">
        <f aca="false">IF(AND(G234=0,C234=F_V),1,0)</f>
        <v>0</v>
      </c>
      <c r="V234" s="20" t="n">
        <f aca="false">IF(U234=1,PR_SFTrate*MAX(0,S234-T234),0)</f>
        <v>0</v>
      </c>
      <c r="W234" s="20" t="n">
        <f aca="false">S234-V234</f>
        <v>72000</v>
      </c>
      <c r="X234" s="20" t="n">
        <f aca="false">IF(AND(U234=1,AS_LumpPct&gt;0),W234*MIN(AS_LumpPct,PR_LSmax),0)</f>
        <v>0</v>
      </c>
      <c r="Y234" s="20" t="n">
        <f aca="false">X234-(PR_LSrate*MAX(0,MIN(X234,PR_LScap)-PR_LSfree)+PR_r2*MAX(0,X234-PR_LScap))</f>
        <v>0</v>
      </c>
      <c r="Z234" s="20" t="n">
        <f aca="false">W234-X234</f>
        <v>72000</v>
      </c>
      <c r="AA234" s="51" t="n">
        <f aca="false">IF(C234&gt;=PR_ARFage1,IF(Z234&gt;PR_ARFbig,PR_ARFbigRate,IF(C234&gt;=PR_ARFage2,PR_ARF71,PR_ARF61)),0)</f>
        <v>0</v>
      </c>
      <c r="AB234" s="20" t="n">
        <f aca="false">IF(AS_DrawRule="min",Z234*AA234,IF(AS_DrawRule="fixed",MAX(AS_DrawFixed*E234,Z234*AA234),Z234*MAX(1/MAX(1,AS_End-C234+1),AA234)))</f>
        <v>1241.37931034483</v>
      </c>
      <c r="AC234" s="20" t="n">
        <f aca="false">IF(AND(G234=0,C234&gt;=F_V),MIN(Z234,AB234),0)</f>
        <v>0</v>
      </c>
      <c r="AD234" s="20" t="n">
        <f aca="false">IF(G234=1,S234*(1+F_PenG)+Q234,IF(C234&lt;F_V,S234*(1+F_PenG),(Z234-AC234)*(1+AS_PenRet)))</f>
        <v>81480</v>
      </c>
      <c r="AE234" s="20" t="n">
        <f aca="false">IF(C234&gt;=PR_SPage,AS_SP*F_SpF*I234+IF(AND(C234&gt;=PR_Over80Age,F_SpF&gt;0),PR_Over80*PR_Weeks*I234,0),0)</f>
        <v>0</v>
      </c>
      <c r="AF234" s="20" t="n">
        <f aca="false">(F_OtherM+F_RentM)*12*E234+IF(AND(In_polInc&gt;0,In_polIncAge&gt;0,C234&gt;=In_polIncAge),In_polInc,0)</f>
        <v>0</v>
      </c>
      <c r="AG234" s="20" t="n">
        <f aca="false">F_PAge+B234</f>
        <v>37</v>
      </c>
      <c r="AH234" s="20" t="n">
        <f aca="false">IF(AND(F_Partner=1,F_PAge&gt;0,AG234&lt;IF(F_PRet&gt;0,F_PRet,PR_SPage)),F_PIncome*F234,0)</f>
        <v>22000</v>
      </c>
      <c r="AI234" s="20" t="n">
        <f aca="false">IF(AND(F_Partner=1,AG234&gt;=PR_SPage,F_PSpQA=0),AS_SP*F_PSpF*I234,0)</f>
        <v>0</v>
      </c>
      <c r="AJ234" s="20" t="n">
        <f aca="false">IF(AND(F_Partner=1,F_PSpQA=1,C234&gt;=PR_SPage,AH234=0),IF(AG234&gt;=PR_SPage,PR_QA66,PR_QAunder)*PR_Weeks*I234,0)</f>
        <v>0</v>
      </c>
      <c r="AK234" s="20" t="n">
        <f aca="false">AE234+AJ234</f>
        <v>0</v>
      </c>
      <c r="AL234" s="20" t="n">
        <f aca="false">K234/H234</f>
        <v>58000</v>
      </c>
      <c r="AM234" s="20" t="n">
        <f aca="false">AK234/H234</f>
        <v>0</v>
      </c>
      <c r="AN234" s="20" t="n">
        <f aca="false">AC234/H234</f>
        <v>0</v>
      </c>
      <c r="AO234" s="20" t="n">
        <f aca="false">AF234/H234</f>
        <v>0</v>
      </c>
      <c r="AP234" s="20" t="n">
        <f aca="false">O234/H234</f>
        <v>3120</v>
      </c>
      <c r="AQ234" s="20" t="n">
        <f aca="false">AH234/H234</f>
        <v>22000</v>
      </c>
      <c r="AR234" s="20" t="n">
        <f aca="false">AI234/H234</f>
        <v>0</v>
      </c>
      <c r="AS234" s="20" t="n">
        <f aca="false">MAX(0,AL234+AN234+AO234+AM234-AP234)</f>
        <v>54880</v>
      </c>
      <c r="AT234" s="20" t="n">
        <f aca="false">MAX(0,AQ234+AR234)</f>
        <v>22000</v>
      </c>
      <c r="AU234" s="20" t="n">
        <f aca="false">MIN(PR_PAYE,PR_PAYEcap*(AL234+AN234+AM234))</f>
        <v>2000</v>
      </c>
      <c r="AV234" s="20" t="n">
        <f aca="false">MIN(PR_PAYE,PR_PAYEcap*(AQ234+AR234))</f>
        <v>2000</v>
      </c>
      <c r="AW234" s="20" t="n">
        <f aca="false">IF(C234&gt;=PR_AgeCrAge,PR_AgeCr,0)</f>
        <v>0</v>
      </c>
      <c r="AX234" s="20" t="n">
        <f aca="false">IF(AG234&gt;=PR_AgeCrAge,PR_AgeCr,0)</f>
        <v>0</v>
      </c>
      <c r="AY234" s="20" t="n">
        <f aca="false">IF(AND(F_RentCred=1,D234&lt;=PR_RentLast),1,0)</f>
        <v>0</v>
      </c>
      <c r="AZ234" s="20" t="n">
        <f aca="false">AS234+AT234</f>
        <v>76880</v>
      </c>
      <c r="BA234" s="20" t="n">
        <f aca="false">PR_PersonalM+AU234+AV234+AW234+AX234+IF(AY234=1,PR_RentJoint,0)</f>
        <v>8000</v>
      </c>
      <c r="BB234" s="20" t="n">
        <f aca="false">PR_BandM+MIN(MIN(AS234,AT234),PR_Uplift)</f>
        <v>75000</v>
      </c>
      <c r="BC234" s="20" t="n">
        <f aca="false">MAX(0,PR_r1*MIN(AZ234,BB234)+PR_r2*MAX(0,AZ234-BB234)-BA234)</f>
        <v>7752</v>
      </c>
      <c r="BD234" s="20" t="n">
        <f aca="false">MAX(0,PR_HomeCarer-MAX(0,MIN(AS234,AT234)-PR_HCLimit)/2)</f>
        <v>0</v>
      </c>
      <c r="BE234" s="20" t="n">
        <f aca="false">IF(F_Carer=1,MIN(BC234,MAX(0,PR_r1*MIN(AZ234,PR_BandM)+PR_r2*MAX(0,AZ234-PR_BandM)-BA234-BD234)),BC234)</f>
        <v>7752</v>
      </c>
      <c r="BF234" s="20" t="n">
        <f aca="false">IF(OR(C234&gt;=PR_AgeCrAge,AG234&gt;=PR_AgeCrAge),IF(AZ234&lt;=PR_AgeExM,0,MIN(BE234,PR_AgeMarg*(AZ234-PR_AgeExM))),BE234)</f>
        <v>7752</v>
      </c>
      <c r="BG234" s="20" t="n">
        <f aca="false">MAX(0,PR_r1*MIN(AS234,IF(F_Spccc=1,PR_BandSPCCC,PR_Band))+PR_r2*MAX(0,AS234-IF(F_Spccc=1,PR_BandSPCCC,PR_Band))-(PR_Personal+AU234+AW234+IF(F_Spccc=1,PR_SPCCC,0)+IF(AY234=1,PR_Rent,0)))</f>
        <v>9152</v>
      </c>
      <c r="BH234" s="20" t="n">
        <f aca="false">IF(C234&gt;=PR_AgeCrAge,IF(AS234&lt;=PR_AgeEx,0,MIN(BG234,PR_AgeMarg*(AS234-PR_AgeEx))),BG234)</f>
        <v>9152</v>
      </c>
      <c r="BI234" s="20" t="n">
        <f aca="false">IF(F_Partner=1,MAX(0,PR_r1*MIN(AT234,PR_Band)+PR_r2*MAX(0,AT234-PR_Band)-(PR_Personal+AV234+AX234+IF(AND(AY234=1,AT234&gt;0),PR_Rent,0))),0)</f>
        <v>400</v>
      </c>
      <c r="BJ234" s="20" t="n">
        <f aca="false">IF(AG234&gt;=PR_AgeCrAge,IF(AT234&lt;=PR_AgeEx,0,MIN(BI234,PR_AgeMarg*(AT234-PR_AgeEx))),BI234)</f>
        <v>400</v>
      </c>
      <c r="BK234" s="20" t="n">
        <f aca="false">IF(F_Partner=1,IF(F_Married=1,BF234,BH234+BJ234),BH234)</f>
        <v>9552</v>
      </c>
      <c r="BL234" s="20" t="n">
        <f aca="false">AL234+AN234+AO234</f>
        <v>58000</v>
      </c>
      <c r="BM234" s="20"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1272.82</v>
      </c>
      <c r="BN234" s="20" t="n">
        <f aca="false">AQ234</f>
        <v>22000</v>
      </c>
      <c r="BO234" s="20" t="n">
        <f aca="false">IF(F_Partner=1,IF(BN234&lt;=PR_USCex,0,IF(IF(AND(AG234&gt;=PR_USCredAge,BN234&lt;=PR_USCredMax),1,0)=1,PR_USCr1*MIN(BN234,PR_USCredB1)+PR_USCredR2*MAX(0,BN234-PR_USCredB1),PR_USCr1*MIN(BN234,PR_USCb1)+PR_USCr2*MAX(0,MIN(BN234,PR_USCb2)-PR_USCb1)+PR_USCr3*MAX(0,MIN(BN234,PR_USCb3)-PR_USCb2)+PR_USCr4*MAX(0,BN234-PR_USCb3))),0)</f>
        <v>259.82</v>
      </c>
      <c r="BP234" s="20" t="n">
        <f aca="false">IF(C234&lt;PR_PRSIend,IF(F_SelfEmp=1,IF(AL234&gt;PR_PRSIsMinInc,MAX(PR_PRSIsMin,AL234*J234),0),IF(AL234/52&lt;=PR_PRSIfree,0,MAX(0,(AL234/52*J234-IF(AL234/52&lt;=PR_PRSIcreditTo,MAX(0,PR_PRSIcreditMax-(AL234/52-(PR_PRSIfree+0.01))/PR_PRSItaper),0))*52)))+J234*AN234+IF(AO234&gt;PR_PRSIunearned,J234*AO234,0),0)+IF(AND(PRSI_ARF_Applies=1,AN234&gt;0,C234&gt;=PR_PRSIend,C234&lt;PRSI_ARF_ToAge,NOT(AK234&gt;0)),J234*AN234,0)</f>
        <v>2457.75</v>
      </c>
      <c r="BQ234" s="20" t="n">
        <f aca="false">IF(AND(F_Partner=1,AG234&lt;PR_PRSIend),IF(AQ234/52&lt;=PR_PRSIfree,0,MAX(0,(AQ234/52*J234-IF(AQ234/52&lt;=PR_PRSIcreditTo,MAX(0,PR_PRSIcreditMax-(AQ234/52-(PR_PRSIfree+0.01))/PR_PRSItaper),0))*52)),0)</f>
        <v>924.163333333333</v>
      </c>
      <c r="BR234" s="20" t="n">
        <f aca="false">BK234+BM234+BO234+BP234+BQ234</f>
        <v>14466.5533333333</v>
      </c>
      <c r="BS234" s="20" t="n">
        <f aca="false">BR234*H234</f>
        <v>14466.5533333333</v>
      </c>
      <c r="BT234" s="20" t="n">
        <f aca="false">K234+AK234+AC234+AF234+AH234+AI234</f>
        <v>80000</v>
      </c>
    </row>
    <row r="235" customFormat="false" ht="15" hidden="false" customHeight="true" outlineLevel="0" collapsed="false">
      <c r="B235" s="20" t="n">
        <v>1</v>
      </c>
      <c r="C235" s="20" t="n">
        <f aca="false">F_Age+B235</f>
        <v>39</v>
      </c>
      <c r="D235" s="20" t="n">
        <f aca="false">AS_Year0+B235</f>
        <v>2027</v>
      </c>
      <c r="E235" s="50" t="n">
        <f aca="false">(1+AS_Infl)^B235</f>
        <v>1.02</v>
      </c>
      <c r="F235" s="50" t="n">
        <f aca="false">(1+AS_Wage)^B235</f>
        <v>1.03</v>
      </c>
      <c r="G235" s="20" t="n">
        <f aca="false">IF(C235&lt;F_R,1,0)</f>
        <v>1</v>
      </c>
      <c r="H235" s="50" t="n">
        <f aca="false">IF(AS_Bands="flat",1,E235)</f>
        <v>1.02</v>
      </c>
      <c r="I235" s="50" t="n">
        <f aca="false">IF(AS_SpGrow="pay",F235,IF(AS_SpGrow="flat",1,E235))</f>
        <v>1.02</v>
      </c>
      <c r="J235" s="50" t="n">
        <f aca="false">(12*PR_PRSIr0+(PR_PRSIr1-PR_PRSIr0)*MAX(0,MIN(12,D235*12+12-PR_PRSIt1))+(PR_PRSIr2-PR_PRSIr1)*MAX(0,MIN(12,D235*12+12-PR_PRSIt2))+(PR_PRSIr3-PR_PRSIr2)*MAX(0,MIN(12,D235*12+12-PR_PRSIt3)))/12</f>
        <v>0.043875</v>
      </c>
      <c r="K235" s="20" t="n">
        <f aca="false">IF(G235=1,F_Income*F235,0)</f>
        <v>59740</v>
      </c>
      <c r="L235" s="20" t="n">
        <f aca="false">IF(G235=1,(F_Own+In_penExtra)*12*F235,0)</f>
        <v>3213.6</v>
      </c>
      <c r="M235" s="20" t="n">
        <f aca="false">IF(G235=1,(F_PenM+In_penExtra)*12*F235,0)</f>
        <v>6427.2</v>
      </c>
      <c r="N235" s="51" t="n">
        <f aca="false">IF(C235&lt;PR_RelA1,PR_RelP1,IF(C235&lt;PR_RelA2,PR_RelP2,IF(C235&lt;PR_RelA3,PR_RelP3,IF(C235&lt;PR_RelA4,PR_RelP4,IF(C235&lt;PR_RelA5,PR_RelP5,PR_RelP6)))))</f>
        <v>0.2</v>
      </c>
      <c r="O235" s="20" t="n">
        <f aca="false">IF(G235=1,MIN(L235/H235,N235*MIN(K235/H235,PR_EarnCap))*H235,0)</f>
        <v>3213.6</v>
      </c>
      <c r="P235" s="20" t="n">
        <f aca="false">IF(AND(G235=1,F_AE=1),MIN(K235/H235,PR_AEcap)*H235,0)</f>
        <v>0</v>
      </c>
      <c r="Q235" s="20" t="n">
        <f aca="false">IF(G235=1,IF(WI_Retire=1,MAX(0,M235+WI_M*12),M235)+(PR_AEee+PR_AEer+PR_AEst)*P235,0)</f>
        <v>6427.2</v>
      </c>
      <c r="R235" s="20" t="n">
        <f aca="false">L235+PR_AEee*P235</f>
        <v>3213.6</v>
      </c>
      <c r="S235" s="20" t="n">
        <f aca="false">AD234</f>
        <v>81480</v>
      </c>
      <c r="T235" s="20" t="n">
        <f aca="false">IF(D235&lt;=PR_SFTfrom,PR_SFT2026,IF(D235=PR_SFTfrom+1,PR_SFT2027,IF(D235=PR_SFTfrom+2,PR_SFT2028,IF(D235&lt;=PR_SFTto,PR_SFT2029,PR_SFT2029*(1+AS_Infl)^(D235-PR_SFTto)))))</f>
        <v>2400000</v>
      </c>
      <c r="U235" s="20" t="n">
        <f aca="false">IF(AND(G235=0,C235=F_V),1,0)</f>
        <v>0</v>
      </c>
      <c r="V235" s="20" t="n">
        <f aca="false">IF(U235=1,PR_SFTrate*MAX(0,S235-T235),0)</f>
        <v>0</v>
      </c>
      <c r="W235" s="20" t="n">
        <f aca="false">S235-V235</f>
        <v>81480</v>
      </c>
      <c r="X235" s="20" t="n">
        <f aca="false">IF(AND(U235=1,AS_LumpPct&gt;0),W235*MIN(AS_LumpPct,PR_LSmax),0)</f>
        <v>0</v>
      </c>
      <c r="Y235" s="20" t="n">
        <f aca="false">X235-(PR_LSrate*MAX(0,MIN(X235,PR_LScap)-PR_LSfree)+PR_r2*MAX(0,X235-PR_LScap))</f>
        <v>0</v>
      </c>
      <c r="Z235" s="20" t="n">
        <f aca="false">W235-X235</f>
        <v>81480</v>
      </c>
      <c r="AA235" s="51" t="n">
        <f aca="false">IF(C235&gt;=PR_ARFage1,IF(Z235&gt;PR_ARFbig,PR_ARFbigRate,IF(C235&gt;=PR_ARFage2,PR_ARF71,PR_ARF61)),0)</f>
        <v>0</v>
      </c>
      <c r="AB235" s="20" t="n">
        <f aca="false">IF(AS_DrawRule="min",Z235*AA235,IF(AS_DrawRule="fixed",MAX(AS_DrawFixed*E235,Z235*AA235),Z235*MAX(1/MAX(1,AS_End-C235+1),AA235)))</f>
        <v>1429.47368421053</v>
      </c>
      <c r="AC235" s="20" t="n">
        <f aca="false">IF(AND(G235=0,C235&gt;=F_V),MIN(Z235,AB235),0)</f>
        <v>0</v>
      </c>
      <c r="AD235" s="20" t="n">
        <f aca="false">IF(G235=1,S235*(1+F_PenG)+Q235,IF(C235&lt;F_V,S235*(1+F_PenG),(Z235-AC235)*(1+AS_PenRet)))</f>
        <v>91573.8</v>
      </c>
      <c r="AE235" s="20" t="n">
        <f aca="false">IF(C235&gt;=PR_SPage,AS_SP*F_SpF*I235+IF(AND(C235&gt;=PR_Over80Age,F_SpF&gt;0),PR_Over80*PR_Weeks*I235,0),0)</f>
        <v>0</v>
      </c>
      <c r="AF235" s="20" t="n">
        <f aca="false">(F_OtherM+F_RentM)*12*E235+IF(AND(In_polInc&gt;0,In_polIncAge&gt;0,C235&gt;=In_polIncAge),In_polInc,0)</f>
        <v>0</v>
      </c>
      <c r="AG235" s="20" t="n">
        <f aca="false">F_PAge+B235</f>
        <v>38</v>
      </c>
      <c r="AH235" s="20" t="n">
        <f aca="false">IF(AND(F_Partner=1,F_PAge&gt;0,AG235&lt;IF(F_PRet&gt;0,F_PRet,PR_SPage)),F_PIncome*F235,0)</f>
        <v>22660</v>
      </c>
      <c r="AI235" s="20" t="n">
        <f aca="false">IF(AND(F_Partner=1,AG235&gt;=PR_SPage,F_PSpQA=0),AS_SP*F_PSpF*I235,0)</f>
        <v>0</v>
      </c>
      <c r="AJ235" s="20" t="n">
        <f aca="false">IF(AND(F_Partner=1,F_PSpQA=1,C235&gt;=PR_SPage,AH235=0),IF(AG235&gt;=PR_SPage,PR_QA66,PR_QAunder)*PR_Weeks*I235,0)</f>
        <v>0</v>
      </c>
      <c r="AK235" s="20" t="n">
        <f aca="false">AE235+AJ235</f>
        <v>0</v>
      </c>
      <c r="AL235" s="20" t="n">
        <f aca="false">K235/H235</f>
        <v>58568.6274509804</v>
      </c>
      <c r="AM235" s="20" t="n">
        <f aca="false">AK235/H235</f>
        <v>0</v>
      </c>
      <c r="AN235" s="20" t="n">
        <f aca="false">AC235/H235</f>
        <v>0</v>
      </c>
      <c r="AO235" s="20" t="n">
        <f aca="false">AF235/H235</f>
        <v>0</v>
      </c>
      <c r="AP235" s="20" t="n">
        <f aca="false">O235/H235</f>
        <v>3150.58823529412</v>
      </c>
      <c r="AQ235" s="20" t="n">
        <f aca="false">AH235/H235</f>
        <v>22215.6862745098</v>
      </c>
      <c r="AR235" s="20" t="n">
        <f aca="false">AI235/H235</f>
        <v>0</v>
      </c>
      <c r="AS235" s="20" t="n">
        <f aca="false">MAX(0,AL235+AN235+AO235+AM235-AP235)</f>
        <v>55418.0392156863</v>
      </c>
      <c r="AT235" s="20" t="n">
        <f aca="false">MAX(0,AQ235+AR235)</f>
        <v>22215.6862745098</v>
      </c>
      <c r="AU235" s="20" t="n">
        <f aca="false">MIN(PR_PAYE,PR_PAYEcap*(AL235+AN235+AM235))</f>
        <v>2000</v>
      </c>
      <c r="AV235" s="20" t="n">
        <f aca="false">MIN(PR_PAYE,PR_PAYEcap*(AQ235+AR235))</f>
        <v>2000</v>
      </c>
      <c r="AW235" s="20" t="n">
        <f aca="false">IF(C235&gt;=PR_AgeCrAge,PR_AgeCr,0)</f>
        <v>0</v>
      </c>
      <c r="AX235" s="20" t="n">
        <f aca="false">IF(AG235&gt;=PR_AgeCrAge,PR_AgeCr,0)</f>
        <v>0</v>
      </c>
      <c r="AY235" s="20" t="n">
        <f aca="false">IF(AND(F_RentCred=1,D235&lt;=PR_RentLast),1,0)</f>
        <v>0</v>
      </c>
      <c r="AZ235" s="20" t="n">
        <f aca="false">AS235+AT235</f>
        <v>77633.7254901961</v>
      </c>
      <c r="BA235" s="20" t="n">
        <f aca="false">PR_PersonalM+AU235+AV235+AW235+AX235+IF(AY235=1,PR_RentJoint,0)</f>
        <v>8000</v>
      </c>
      <c r="BB235" s="20" t="n">
        <f aca="false">PR_BandM+MIN(MIN(AS235,AT235),PR_Uplift)</f>
        <v>75215.6862745098</v>
      </c>
      <c r="BC235" s="20" t="n">
        <f aca="false">MAX(0,PR_r1*MIN(AZ235,BB235)+PR_r2*MAX(0,AZ235-BB235)-BA235)</f>
        <v>8010.35294117647</v>
      </c>
      <c r="BD235" s="20" t="n">
        <f aca="false">MAX(0,PR_HomeCarer-MAX(0,MIN(AS235,AT235)-PR_HCLimit)/2)</f>
        <v>0</v>
      </c>
      <c r="BE235" s="20" t="n">
        <f aca="false">IF(F_Carer=1,MIN(BC235,MAX(0,PR_r1*MIN(AZ235,PR_BandM)+PR_r2*MAX(0,AZ235-PR_BandM)-BA235-BD235)),BC235)</f>
        <v>8010.35294117647</v>
      </c>
      <c r="BF235" s="20" t="n">
        <f aca="false">IF(OR(C235&gt;=PR_AgeCrAge,AG235&gt;=PR_AgeCrAge),IF(AZ235&lt;=PR_AgeExM,0,MIN(BE235,PR_AgeMarg*(AZ235-PR_AgeExM))),BE235)</f>
        <v>8010.35294117647</v>
      </c>
      <c r="BG235" s="20" t="n">
        <f aca="false">MAX(0,PR_r1*MIN(AS235,IF(F_Spccc=1,PR_BandSPCCC,PR_Band))+PR_r2*MAX(0,AS235-IF(F_Spccc=1,PR_BandSPCCC,PR_Band))-(PR_Personal+AU235+AW235+IF(F_Spccc=1,PR_SPCCC,0)+IF(AY235=1,PR_Rent,0)))</f>
        <v>9367.21568627451</v>
      </c>
      <c r="BH235" s="20" t="n">
        <f aca="false">IF(C235&gt;=PR_AgeCrAge,IF(AS235&lt;=PR_AgeEx,0,MIN(BG235,PR_AgeMarg*(AS235-PR_AgeEx))),BG235)</f>
        <v>9367.21568627451</v>
      </c>
      <c r="BI235" s="20" t="n">
        <f aca="false">IF(F_Partner=1,MAX(0,PR_r1*MIN(AT235,PR_Band)+PR_r2*MAX(0,AT235-PR_Band)-(PR_Personal+AV235+AX235+IF(AND(AY235=1,AT235&gt;0),PR_Rent,0))),0)</f>
        <v>443.137254901961</v>
      </c>
      <c r="BJ235" s="20" t="n">
        <f aca="false">IF(AG235&gt;=PR_AgeCrAge,IF(AT235&lt;=PR_AgeEx,0,MIN(BI235,PR_AgeMarg*(AT235-PR_AgeEx))),BI235)</f>
        <v>443.137254901961</v>
      </c>
      <c r="BK235" s="20" t="n">
        <f aca="false">IF(F_Partner=1,IF(F_Married=1,BF235,BH235+BJ235),BH235)</f>
        <v>9810.35294117647</v>
      </c>
      <c r="BL235" s="20" t="n">
        <f aca="false">AL235+AN235+AO235</f>
        <v>58568.6274509804</v>
      </c>
      <c r="BM235" s="20"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1289.87882352941</v>
      </c>
      <c r="BN235" s="20" t="n">
        <f aca="false">AQ235</f>
        <v>22215.6862745098</v>
      </c>
      <c r="BO235" s="20" t="n">
        <f aca="false">IF(F_Partner=1,IF(BN235&lt;=PR_USCex,0,IF(IF(AND(AG235&gt;=PR_USCredAge,BN235&lt;=PR_USCredMax),1,0)=1,PR_USCr1*MIN(BN235,PR_USCredB1)+PR_USCredR2*MAX(0,BN235-PR_USCredB1),PR_USCr1*MIN(BN235,PR_USCb1)+PR_USCr2*MAX(0,MIN(BN235,PR_USCb2)-PR_USCb1)+PR_USCr3*MAX(0,MIN(BN235,PR_USCb3)-PR_USCb2)+PR_USCr4*MAX(0,BN235-PR_USCb3))),0)</f>
        <v>264.133725490196</v>
      </c>
      <c r="BP235" s="20" t="n">
        <f aca="false">IF(C235&lt;PR_PRSIend,IF(F_SelfEmp=1,IF(AL235&gt;PR_PRSIsMinInc,MAX(PR_PRSIsMin,AL235*J235),0),IF(AL235/52&lt;=PR_PRSIfree,0,MAX(0,(AL235/52*J235-IF(AL235/52&lt;=PR_PRSIcreditTo,MAX(0,PR_PRSIcreditMax-(AL235/52-(PR_PRSIfree+0.01))/PR_PRSItaper),0))*52)))+J235*AN235+IF(AO235&gt;PR_PRSIunearned,J235*AO235,0),0)+IF(AND(PRSI_ARF_Applies=1,AN235&gt;0,C235&gt;=PR_PRSIend,C235&lt;PRSI_ARF_ToAge,NOT(AK235&gt;0)),J235*AN235,0)</f>
        <v>2569.69852941176</v>
      </c>
      <c r="BQ235" s="20" t="n">
        <f aca="false">IF(AND(F_Partner=1,AG235&lt;PR_PRSIend),IF(AQ235/52&lt;=PR_PRSIfree,0,MAX(0,(AQ235/52*J235-IF(AQ235/52&lt;=PR_PRSIcreditTo,MAX(0,PR_PRSIcreditMax-(AQ235/52-(PR_PRSIfree+0.01))/PR_PRSItaper),0))*52)),0)</f>
        <v>974.713235294118</v>
      </c>
      <c r="BR235" s="20" t="n">
        <f aca="false">BK235+BM235+BO235+BP235+BQ235</f>
        <v>14908.777254902</v>
      </c>
      <c r="BS235" s="20" t="n">
        <f aca="false">BR235*H235</f>
        <v>15206.9528</v>
      </c>
      <c r="BT235" s="20" t="n">
        <f aca="false">K235+AK235+AC235+AF235+AH235+AI235</f>
        <v>82400</v>
      </c>
    </row>
    <row r="236" customFormat="false" ht="15" hidden="false" customHeight="true" outlineLevel="0" collapsed="false">
      <c r="B236" s="20" t="n">
        <v>2</v>
      </c>
      <c r="C236" s="20" t="n">
        <f aca="false">F_Age+B236</f>
        <v>40</v>
      </c>
      <c r="D236" s="20" t="n">
        <f aca="false">AS_Year0+B236</f>
        <v>2028</v>
      </c>
      <c r="E236" s="50" t="n">
        <f aca="false">(1+AS_Infl)^B236</f>
        <v>1.0404</v>
      </c>
      <c r="F236" s="50" t="n">
        <f aca="false">(1+AS_Wage)^B236</f>
        <v>1.0609</v>
      </c>
      <c r="G236" s="20" t="n">
        <f aca="false">IF(C236&lt;F_R,1,0)</f>
        <v>1</v>
      </c>
      <c r="H236" s="50" t="n">
        <f aca="false">IF(AS_Bands="flat",1,E236)</f>
        <v>1.0404</v>
      </c>
      <c r="I236" s="50" t="n">
        <f aca="false">IF(AS_SpGrow="pay",F236,IF(AS_SpGrow="flat",1,E236))</f>
        <v>1.0404</v>
      </c>
      <c r="J236" s="50" t="n">
        <f aca="false">(12*PR_PRSIr0+(PR_PRSIr1-PR_PRSIr0)*MAX(0,MIN(12,D236*12+12-PR_PRSIt1))+(PR_PRSIr2-PR_PRSIr1)*MAX(0,MIN(12,D236*12+12-PR_PRSIt2))+(PR_PRSIr3-PR_PRSIr2)*MAX(0,MIN(12,D236*12+12-PR_PRSIt3)))/12</f>
        <v>0.0455</v>
      </c>
      <c r="K236" s="20" t="n">
        <f aca="false">IF(G236=1,F_Income*F236,0)</f>
        <v>61532.2</v>
      </c>
      <c r="L236" s="20" t="n">
        <f aca="false">IF(G236=1,(F_Own+In_penExtra)*12*F236,0)</f>
        <v>3310.008</v>
      </c>
      <c r="M236" s="20" t="n">
        <f aca="false">IF(G236=1,(F_PenM+In_penExtra)*12*F236,0)</f>
        <v>6620.016</v>
      </c>
      <c r="N236" s="51" t="n">
        <f aca="false">IF(C236&lt;PR_RelA1,PR_RelP1,IF(C236&lt;PR_RelA2,PR_RelP2,IF(C236&lt;PR_RelA3,PR_RelP3,IF(C236&lt;PR_RelA4,PR_RelP4,IF(C236&lt;PR_RelA5,PR_RelP5,PR_RelP6)))))</f>
        <v>0.25</v>
      </c>
      <c r="O236" s="20" t="n">
        <f aca="false">IF(G236=1,MIN(L236/H236,N236*MIN(K236/H236,PR_EarnCap))*H236,0)</f>
        <v>3310.008</v>
      </c>
      <c r="P236" s="20" t="n">
        <f aca="false">IF(AND(G236=1,F_AE=1),MIN(K236/H236,PR_AEcap)*H236,0)</f>
        <v>0</v>
      </c>
      <c r="Q236" s="20" t="n">
        <f aca="false">IF(G236=1,IF(WI_Retire=1,MAX(0,M236+WI_M*12),M236)+(PR_AEee+PR_AEer+PR_AEst)*P236,0)</f>
        <v>6620.016</v>
      </c>
      <c r="R236" s="20" t="n">
        <f aca="false">L236+PR_AEee*P236</f>
        <v>3310.008</v>
      </c>
      <c r="S236" s="20" t="n">
        <f aca="false">AD235</f>
        <v>91573.8</v>
      </c>
      <c r="T236" s="20" t="n">
        <f aca="false">IF(D236&lt;=PR_SFTfrom,PR_SFT2026,IF(D236=PR_SFTfrom+1,PR_SFT2027,IF(D236=PR_SFTfrom+2,PR_SFT2028,IF(D236&lt;=PR_SFTto,PR_SFT2029,PR_SFT2029*(1+AS_Infl)^(D236-PR_SFTto)))))</f>
        <v>2600000</v>
      </c>
      <c r="U236" s="20" t="n">
        <f aca="false">IF(AND(G236=0,C236=F_V),1,0)</f>
        <v>0</v>
      </c>
      <c r="V236" s="20" t="n">
        <f aca="false">IF(U236=1,PR_SFTrate*MAX(0,S236-T236),0)</f>
        <v>0</v>
      </c>
      <c r="W236" s="20" t="n">
        <f aca="false">S236-V236</f>
        <v>91573.8</v>
      </c>
      <c r="X236" s="20" t="n">
        <f aca="false">IF(AND(U236=1,AS_LumpPct&gt;0),W236*MIN(AS_LumpPct,PR_LSmax),0)</f>
        <v>0</v>
      </c>
      <c r="Y236" s="20" t="n">
        <f aca="false">X236-(PR_LSrate*MAX(0,MIN(X236,PR_LScap)-PR_LSfree)+PR_r2*MAX(0,X236-PR_LScap))</f>
        <v>0</v>
      </c>
      <c r="Z236" s="20" t="n">
        <f aca="false">W236-X236</f>
        <v>91573.8</v>
      </c>
      <c r="AA236" s="51" t="n">
        <f aca="false">IF(C236&gt;=PR_ARFage1,IF(Z236&gt;PR_ARFbig,PR_ARFbigRate,IF(C236&gt;=PR_ARFage2,PR_ARF71,PR_ARF61)),0)</f>
        <v>0</v>
      </c>
      <c r="AB236" s="20" t="n">
        <f aca="false">IF(AS_DrawRule="min",Z236*AA236,IF(AS_DrawRule="fixed",MAX(AS_DrawFixed*E236,Z236*AA236),Z236*MAX(1/MAX(1,AS_End-C236+1),AA236)))</f>
        <v>1635.24642857143</v>
      </c>
      <c r="AC236" s="20" t="n">
        <f aca="false">IF(AND(G236=0,C236&gt;=F_V),MIN(Z236,AB236),0)</f>
        <v>0</v>
      </c>
      <c r="AD236" s="20" t="n">
        <f aca="false">IF(G236=1,S236*(1+F_PenG)+Q236,IF(C236&lt;F_V,S236*(1+F_PenG),(Z236-AC236)*(1+AS_PenRet)))</f>
        <v>102314.637</v>
      </c>
      <c r="AE236" s="20" t="n">
        <f aca="false">IF(C236&gt;=PR_SPage,AS_SP*F_SpF*I236+IF(AND(C236&gt;=PR_Over80Age,F_SpF&gt;0),PR_Over80*PR_Weeks*I236,0),0)</f>
        <v>0</v>
      </c>
      <c r="AF236" s="20" t="n">
        <f aca="false">(F_OtherM+F_RentM)*12*E236+IF(AND(In_polInc&gt;0,In_polIncAge&gt;0,C236&gt;=In_polIncAge),In_polInc,0)</f>
        <v>0</v>
      </c>
      <c r="AG236" s="20" t="n">
        <f aca="false">F_PAge+B236</f>
        <v>39</v>
      </c>
      <c r="AH236" s="20" t="n">
        <f aca="false">IF(AND(F_Partner=1,F_PAge&gt;0,AG236&lt;IF(F_PRet&gt;0,F_PRet,PR_SPage)),F_PIncome*F236,0)</f>
        <v>23339.8</v>
      </c>
      <c r="AI236" s="20" t="n">
        <f aca="false">IF(AND(F_Partner=1,AG236&gt;=PR_SPage,F_PSpQA=0),AS_SP*F_PSpF*I236,0)</f>
        <v>0</v>
      </c>
      <c r="AJ236" s="20" t="n">
        <f aca="false">IF(AND(F_Partner=1,F_PSpQA=1,C236&gt;=PR_SPage,AH236=0),IF(AG236&gt;=PR_SPage,PR_QA66,PR_QAunder)*PR_Weeks*I236,0)</f>
        <v>0</v>
      </c>
      <c r="AK236" s="20" t="n">
        <f aca="false">AE236+AJ236</f>
        <v>0</v>
      </c>
      <c r="AL236" s="20" t="n">
        <f aca="false">K236/H236</f>
        <v>59142.829680892</v>
      </c>
      <c r="AM236" s="20" t="n">
        <f aca="false">AK236/H236</f>
        <v>0</v>
      </c>
      <c r="AN236" s="20" t="n">
        <f aca="false">AC236/H236</f>
        <v>0</v>
      </c>
      <c r="AO236" s="20" t="n">
        <f aca="false">AF236/H236</f>
        <v>0</v>
      </c>
      <c r="AP236" s="20" t="n">
        <f aca="false">O236/H236</f>
        <v>3181.47635524798</v>
      </c>
      <c r="AQ236" s="20" t="n">
        <f aca="false">AH236/H236</f>
        <v>22433.4871203383</v>
      </c>
      <c r="AR236" s="20" t="n">
        <f aca="false">AI236/H236</f>
        <v>0</v>
      </c>
      <c r="AS236" s="20" t="n">
        <f aca="false">MAX(0,AL236+AN236+AO236+AM236-AP236)</f>
        <v>55961.353325644</v>
      </c>
      <c r="AT236" s="20" t="n">
        <f aca="false">MAX(0,AQ236+AR236)</f>
        <v>22433.4871203383</v>
      </c>
      <c r="AU236" s="20" t="n">
        <f aca="false">MIN(PR_PAYE,PR_PAYEcap*(AL236+AN236+AM236))</f>
        <v>2000</v>
      </c>
      <c r="AV236" s="20" t="n">
        <f aca="false">MIN(PR_PAYE,PR_PAYEcap*(AQ236+AR236))</f>
        <v>2000</v>
      </c>
      <c r="AW236" s="20" t="n">
        <f aca="false">IF(C236&gt;=PR_AgeCrAge,PR_AgeCr,0)</f>
        <v>0</v>
      </c>
      <c r="AX236" s="20" t="n">
        <f aca="false">IF(AG236&gt;=PR_AgeCrAge,PR_AgeCr,0)</f>
        <v>0</v>
      </c>
      <c r="AY236" s="20" t="n">
        <f aca="false">IF(AND(F_RentCred=1,D236&lt;=PR_RentLast),1,0)</f>
        <v>0</v>
      </c>
      <c r="AZ236" s="20" t="n">
        <f aca="false">AS236+AT236</f>
        <v>78394.8404459823</v>
      </c>
      <c r="BA236" s="20" t="n">
        <f aca="false">PR_PersonalM+AU236+AV236+AW236+AX236+IF(AY236=1,PR_RentJoint,0)</f>
        <v>8000</v>
      </c>
      <c r="BB236" s="20" t="n">
        <f aca="false">PR_BandM+MIN(MIN(AS236,AT236),PR_Uplift)</f>
        <v>75433.4871203383</v>
      </c>
      <c r="BC236" s="20" t="n">
        <f aca="false">MAX(0,PR_r1*MIN(AZ236,BB236)+PR_r2*MAX(0,AZ236-BB236)-BA236)</f>
        <v>8271.23875432526</v>
      </c>
      <c r="BD236" s="20" t="n">
        <f aca="false">MAX(0,PR_HomeCarer-MAX(0,MIN(AS236,AT236)-PR_HCLimit)/2)</f>
        <v>0</v>
      </c>
      <c r="BE236" s="20" t="n">
        <f aca="false">IF(F_Carer=1,MIN(BC236,MAX(0,PR_r1*MIN(AZ236,PR_BandM)+PR_r2*MAX(0,AZ236-PR_BandM)-BA236-BD236)),BC236)</f>
        <v>8271.23875432526</v>
      </c>
      <c r="BF236" s="20" t="n">
        <f aca="false">IF(OR(C236&gt;=PR_AgeCrAge,AG236&gt;=PR_AgeCrAge),IF(AZ236&lt;=PR_AgeExM,0,MIN(BE236,PR_AgeMarg*(AZ236-PR_AgeExM))),BE236)</f>
        <v>8271.23875432526</v>
      </c>
      <c r="BG236" s="20" t="n">
        <f aca="false">MAX(0,PR_r1*MIN(AS236,IF(F_Spccc=1,PR_BandSPCCC,PR_Band))+PR_r2*MAX(0,AS236-IF(F_Spccc=1,PR_BandSPCCC,PR_Band))-(PR_Personal+AU236+AW236+IF(F_Spccc=1,PR_SPCCC,0)+IF(AY236=1,PR_Rent,0)))</f>
        <v>9584.54133025759</v>
      </c>
      <c r="BH236" s="20" t="n">
        <f aca="false">IF(C236&gt;=PR_AgeCrAge,IF(AS236&lt;=PR_AgeEx,0,MIN(BG236,PR_AgeMarg*(AS236-PR_AgeEx))),BG236)</f>
        <v>9584.54133025759</v>
      </c>
      <c r="BI236" s="20" t="n">
        <f aca="false">IF(F_Partner=1,MAX(0,PR_r1*MIN(AT236,PR_Band)+PR_r2*MAX(0,AT236-PR_Band)-(PR_Personal+AV236+AX236+IF(AND(AY236=1,AT236&gt;0),PR_Rent,0))),0)</f>
        <v>486.697424067666</v>
      </c>
      <c r="BJ236" s="20" t="n">
        <f aca="false">IF(AG236&gt;=PR_AgeCrAge,IF(AT236&lt;=PR_AgeEx,0,MIN(BI236,PR_AgeMarg*(AT236-PR_AgeEx))),BI236)</f>
        <v>486.697424067666</v>
      </c>
      <c r="BK236" s="20" t="n">
        <f aca="false">IF(F_Partner=1,IF(F_Married=1,BF236,BH236+BJ236),BH236)</f>
        <v>10071.2387543253</v>
      </c>
      <c r="BL236" s="20" t="n">
        <f aca="false">AL236+AN236+AO236</f>
        <v>59142.829680892</v>
      </c>
      <c r="BM236" s="20"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1307.10489042676</v>
      </c>
      <c r="BN236" s="20" t="n">
        <f aca="false">AQ236</f>
        <v>22433.4871203383</v>
      </c>
      <c r="BO236" s="20" t="n">
        <f aca="false">IF(F_Partner=1,IF(BN236&lt;=PR_USCex,0,IF(IF(AND(AG236&gt;=PR_USCredAge,BN236&lt;=PR_USCredMax),1,0)=1,PR_USCr1*MIN(BN236,PR_USCredB1)+PR_USCredR2*MAX(0,BN236-PR_USCredB1),PR_USCr1*MIN(BN236,PR_USCb1)+PR_USCr2*MAX(0,MIN(BN236,PR_USCb2)-PR_USCb1)+PR_USCr3*MAX(0,MIN(BN236,PR_USCb3)-PR_USCb2)+PR_USCr4*MAX(0,BN236-PR_USCb3))),0)</f>
        <v>268.489742406767</v>
      </c>
      <c r="BP236" s="20" t="n">
        <f aca="false">IF(C236&lt;PR_PRSIend,IF(F_SelfEmp=1,IF(AL236&gt;PR_PRSIsMinInc,MAX(PR_PRSIsMin,AL236*J236),0),IF(AL236/52&lt;=PR_PRSIfree,0,MAX(0,(AL236/52*J236-IF(AL236/52&lt;=PR_PRSIcreditTo,MAX(0,PR_PRSIcreditMax-(AL236/52-(PR_PRSIfree+0.01))/PR_PRSItaper),0))*52)))+J236*AN236+IF(AO236&gt;PR_PRSIunearned,J236*AO236,0),0)+IF(AND(PRSI_ARF_Applies=1,AN236&gt;0,C236&gt;=PR_PRSIend,C236&lt;PRSI_ARF_ToAge,NOT(AK236&gt;0)),J236*AN236,0)</f>
        <v>2690.99875048058</v>
      </c>
      <c r="BQ236" s="20" t="n">
        <f aca="false">IF(AND(F_Partner=1,AG236&lt;PR_PRSIend),IF(AQ236/52&lt;=PR_PRSIfree,0,MAX(0,(AQ236/52*J236-IF(AQ236/52&lt;=PR_PRSIcreditTo,MAX(0,PR_PRSIcreditMax-(AQ236/52-(PR_PRSIfree+0.01))/PR_PRSItaper),0))*52)),0)</f>
        <v>1020.72366397539</v>
      </c>
      <c r="BR236" s="20" t="n">
        <f aca="false">BK236+BM236+BO236+BP236+BQ236</f>
        <v>15358.5558016148</v>
      </c>
      <c r="BS236" s="20" t="n">
        <f aca="false">BR236*H236</f>
        <v>15979.041456</v>
      </c>
      <c r="BT236" s="20" t="n">
        <f aca="false">K236+AK236+AC236+AF236+AH236+AI236</f>
        <v>84872</v>
      </c>
    </row>
    <row r="237" customFormat="false" ht="15" hidden="false" customHeight="true" outlineLevel="0" collapsed="false">
      <c r="B237" s="20" t="n">
        <v>3</v>
      </c>
      <c r="C237" s="20" t="n">
        <f aca="false">F_Age+B237</f>
        <v>41</v>
      </c>
      <c r="D237" s="20" t="n">
        <f aca="false">AS_Year0+B237</f>
        <v>2029</v>
      </c>
      <c r="E237" s="50" t="n">
        <f aca="false">(1+AS_Infl)^B237</f>
        <v>1.061208</v>
      </c>
      <c r="F237" s="50" t="n">
        <f aca="false">(1+AS_Wage)^B237</f>
        <v>1.092727</v>
      </c>
      <c r="G237" s="20" t="n">
        <f aca="false">IF(C237&lt;F_R,1,0)</f>
        <v>1</v>
      </c>
      <c r="H237" s="50" t="n">
        <f aca="false">IF(AS_Bands="flat",1,E237)</f>
        <v>1.061208</v>
      </c>
      <c r="I237" s="50" t="n">
        <f aca="false">IF(AS_SpGrow="pay",F237,IF(AS_SpGrow="flat",1,E237))</f>
        <v>1.061208</v>
      </c>
      <c r="J237" s="50" t="n">
        <f aca="false">(12*PR_PRSIr0+(PR_PRSIr1-PR_PRSIr0)*MAX(0,MIN(12,D237*12+12-PR_PRSIt1))+(PR_PRSIr2-PR_PRSIr1)*MAX(0,MIN(12,D237*12+12-PR_PRSIt2))+(PR_PRSIr3-PR_PRSIr2)*MAX(0,MIN(12,D237*12+12-PR_PRSIt3)))/12</f>
        <v>0.047</v>
      </c>
      <c r="K237" s="20" t="n">
        <f aca="false">IF(G237=1,F_Income*F237,0)</f>
        <v>63378.166</v>
      </c>
      <c r="L237" s="20" t="n">
        <f aca="false">IF(G237=1,(F_Own+In_penExtra)*12*F237,0)</f>
        <v>3409.30824</v>
      </c>
      <c r="M237" s="20" t="n">
        <f aca="false">IF(G237=1,(F_PenM+In_penExtra)*12*F237,0)</f>
        <v>6818.61648</v>
      </c>
      <c r="N237" s="51" t="n">
        <f aca="false">IF(C237&lt;PR_RelA1,PR_RelP1,IF(C237&lt;PR_RelA2,PR_RelP2,IF(C237&lt;PR_RelA3,PR_RelP3,IF(C237&lt;PR_RelA4,PR_RelP4,IF(C237&lt;PR_RelA5,PR_RelP5,PR_RelP6)))))</f>
        <v>0.25</v>
      </c>
      <c r="O237" s="20" t="n">
        <f aca="false">IF(G237=1,MIN(L237/H237,N237*MIN(K237/H237,PR_EarnCap))*H237,0)</f>
        <v>3409.30824</v>
      </c>
      <c r="P237" s="20" t="n">
        <f aca="false">IF(AND(G237=1,F_AE=1),MIN(K237/H237,PR_AEcap)*H237,0)</f>
        <v>0</v>
      </c>
      <c r="Q237" s="20" t="n">
        <f aca="false">IF(G237=1,IF(WI_Retire=1,MAX(0,M237+WI_M*12),M237)+(PR_AEee+PR_AEer+PR_AEst)*P237,0)</f>
        <v>6818.61648</v>
      </c>
      <c r="R237" s="20" t="n">
        <f aca="false">L237+PR_AEee*P237</f>
        <v>3409.30824</v>
      </c>
      <c r="S237" s="20" t="n">
        <f aca="false">AD236</f>
        <v>102314.637</v>
      </c>
      <c r="T237" s="20" t="n">
        <f aca="false">IF(D237&lt;=PR_SFTfrom,PR_SFT2026,IF(D237=PR_SFTfrom+1,PR_SFT2027,IF(D237=PR_SFTfrom+2,PR_SFT2028,IF(D237&lt;=PR_SFTto,PR_SFT2029,PR_SFT2029*(1+AS_Infl)^(D237-PR_SFTto)))))</f>
        <v>2800000</v>
      </c>
      <c r="U237" s="20" t="n">
        <f aca="false">IF(AND(G237=0,C237=F_V),1,0)</f>
        <v>0</v>
      </c>
      <c r="V237" s="20" t="n">
        <f aca="false">IF(U237=1,PR_SFTrate*MAX(0,S237-T237),0)</f>
        <v>0</v>
      </c>
      <c r="W237" s="20" t="n">
        <f aca="false">S237-V237</f>
        <v>102314.637</v>
      </c>
      <c r="X237" s="20" t="n">
        <f aca="false">IF(AND(U237=1,AS_LumpPct&gt;0),W237*MIN(AS_LumpPct,PR_LSmax),0)</f>
        <v>0</v>
      </c>
      <c r="Y237" s="20" t="n">
        <f aca="false">X237-(PR_LSrate*MAX(0,MIN(X237,PR_LScap)-PR_LSfree)+PR_r2*MAX(0,X237-PR_LScap))</f>
        <v>0</v>
      </c>
      <c r="Z237" s="20" t="n">
        <f aca="false">W237-X237</f>
        <v>102314.637</v>
      </c>
      <c r="AA237" s="51" t="n">
        <f aca="false">IF(C237&gt;=PR_ARFage1,IF(Z237&gt;PR_ARFbig,PR_ARFbigRate,IF(C237&gt;=PR_ARFage2,PR_ARF71,PR_ARF61)),0)</f>
        <v>0</v>
      </c>
      <c r="AB237" s="20" t="n">
        <f aca="false">IF(AS_DrawRule="min",Z237*AA237,IF(AS_DrawRule="fixed",MAX(AS_DrawFixed*E237,Z237*AA237),Z237*MAX(1/MAX(1,AS_End-C237+1),AA237)))</f>
        <v>1860.26612727273</v>
      </c>
      <c r="AC237" s="20" t="n">
        <f aca="false">IF(AND(G237=0,C237&gt;=F_V),MIN(Z237,AB237),0)</f>
        <v>0</v>
      </c>
      <c r="AD237" s="20" t="n">
        <f aca="false">IF(G237=1,S237*(1+F_PenG)+Q237,IF(C237&lt;F_V,S237*(1+F_PenG),(Z237-AC237)*(1+AS_PenRet)))</f>
        <v>113737.412145</v>
      </c>
      <c r="AE237" s="20" t="n">
        <f aca="false">IF(C237&gt;=PR_SPage,AS_SP*F_SpF*I237+IF(AND(C237&gt;=PR_Over80Age,F_SpF&gt;0),PR_Over80*PR_Weeks*I237,0),0)</f>
        <v>0</v>
      </c>
      <c r="AF237" s="20" t="n">
        <f aca="false">(F_OtherM+F_RentM)*12*E237+IF(AND(In_polInc&gt;0,In_polIncAge&gt;0,C237&gt;=In_polIncAge),In_polInc,0)</f>
        <v>0</v>
      </c>
      <c r="AG237" s="20" t="n">
        <f aca="false">F_PAge+B237</f>
        <v>40</v>
      </c>
      <c r="AH237" s="20" t="n">
        <f aca="false">IF(AND(F_Partner=1,F_PAge&gt;0,AG237&lt;IF(F_PRet&gt;0,F_PRet,PR_SPage)),F_PIncome*F237,0)</f>
        <v>24039.994</v>
      </c>
      <c r="AI237" s="20" t="n">
        <f aca="false">IF(AND(F_Partner=1,AG237&gt;=PR_SPage,F_PSpQA=0),AS_SP*F_PSpF*I237,0)</f>
        <v>0</v>
      </c>
      <c r="AJ237" s="20" t="n">
        <f aca="false">IF(AND(F_Partner=1,F_PSpQA=1,C237&gt;=PR_SPage,AH237=0),IF(AG237&gt;=PR_SPage,PR_QA66,PR_QAunder)*PR_Weeks*I237,0)</f>
        <v>0</v>
      </c>
      <c r="AK237" s="20" t="n">
        <f aca="false">AE237+AJ237</f>
        <v>0</v>
      </c>
      <c r="AL237" s="20" t="n">
        <f aca="false">K237/H237</f>
        <v>59722.6613444301</v>
      </c>
      <c r="AM237" s="20" t="n">
        <f aca="false">AK237/H237</f>
        <v>0</v>
      </c>
      <c r="AN237" s="20" t="n">
        <f aca="false">AC237/H237</f>
        <v>0</v>
      </c>
      <c r="AO237" s="20" t="n">
        <f aca="false">AF237/H237</f>
        <v>0</v>
      </c>
      <c r="AP237" s="20" t="n">
        <f aca="false">O237/H237</f>
        <v>3212.66729990728</v>
      </c>
      <c r="AQ237" s="20" t="n">
        <f aca="false">AH237/H237</f>
        <v>22653.4232685769</v>
      </c>
      <c r="AR237" s="20" t="n">
        <f aca="false">AI237/H237</f>
        <v>0</v>
      </c>
      <c r="AS237" s="20" t="n">
        <f aca="false">MAX(0,AL237+AN237+AO237+AM237-AP237)</f>
        <v>56509.9940445228</v>
      </c>
      <c r="AT237" s="20" t="n">
        <f aca="false">MAX(0,AQ237+AR237)</f>
        <v>22653.4232685769</v>
      </c>
      <c r="AU237" s="20" t="n">
        <f aca="false">MIN(PR_PAYE,PR_PAYEcap*(AL237+AN237+AM237))</f>
        <v>2000</v>
      </c>
      <c r="AV237" s="20" t="n">
        <f aca="false">MIN(PR_PAYE,PR_PAYEcap*(AQ237+AR237))</f>
        <v>2000</v>
      </c>
      <c r="AW237" s="20" t="n">
        <f aca="false">IF(C237&gt;=PR_AgeCrAge,PR_AgeCr,0)</f>
        <v>0</v>
      </c>
      <c r="AX237" s="20" t="n">
        <f aca="false">IF(AG237&gt;=PR_AgeCrAge,PR_AgeCr,0)</f>
        <v>0</v>
      </c>
      <c r="AY237" s="20" t="n">
        <f aca="false">IF(AND(F_RentCred=1,D237&lt;=PR_RentLast),1,0)</f>
        <v>0</v>
      </c>
      <c r="AZ237" s="20" t="n">
        <f aca="false">AS237+AT237</f>
        <v>79163.4173130998</v>
      </c>
      <c r="BA237" s="20" t="n">
        <f aca="false">PR_PersonalM+AU237+AV237+AW237+AX237+IF(AY237=1,PR_RentJoint,0)</f>
        <v>8000</v>
      </c>
      <c r="BB237" s="20" t="n">
        <f aca="false">PR_BandM+MIN(MIN(AS237,AT237),PR_Uplift)</f>
        <v>75653.4232685769</v>
      </c>
      <c r="BC237" s="20" t="n">
        <f aca="false">MAX(0,PR_r1*MIN(AZ237,BB237)+PR_r2*MAX(0,AZ237-BB237)-BA237)</f>
        <v>8534.68227152453</v>
      </c>
      <c r="BD237" s="20" t="n">
        <f aca="false">MAX(0,PR_HomeCarer-MAX(0,MIN(AS237,AT237)-PR_HCLimit)/2)</f>
        <v>0</v>
      </c>
      <c r="BE237" s="20" t="n">
        <f aca="false">IF(F_Carer=1,MIN(BC237,MAX(0,PR_r1*MIN(AZ237,PR_BandM)+PR_r2*MAX(0,AZ237-PR_BandM)-BA237-BD237)),BC237)</f>
        <v>8534.68227152453</v>
      </c>
      <c r="BF237" s="20" t="n">
        <f aca="false">IF(OR(C237&gt;=PR_AgeCrAge,AG237&gt;=PR_AgeCrAge),IF(AZ237&lt;=PR_AgeExM,0,MIN(BE237,PR_AgeMarg*(AZ237-PR_AgeExM))),BE237)</f>
        <v>8534.68227152453</v>
      </c>
      <c r="BG237" s="20" t="n">
        <f aca="false">MAX(0,PR_r1*MIN(AS237,IF(F_Spccc=1,PR_BandSPCCC,PR_Band))+PR_r2*MAX(0,AS237-IF(F_Spccc=1,PR_BandSPCCC,PR_Band))-(PR_Personal+AU237+AW237+IF(F_Spccc=1,PR_SPCCC,0)+IF(AY237=1,PR_Rent,0)))</f>
        <v>9803.99761780914</v>
      </c>
      <c r="BH237" s="20" t="n">
        <f aca="false">IF(C237&gt;=PR_AgeCrAge,IF(AS237&lt;=PR_AgeEx,0,MIN(BG237,PR_AgeMarg*(AS237-PR_AgeEx))),BG237)</f>
        <v>9803.99761780914</v>
      </c>
      <c r="BI237" s="20" t="n">
        <f aca="false">IF(F_Partner=1,MAX(0,PR_r1*MIN(AT237,PR_Band)+PR_r2*MAX(0,AT237-PR_Band)-(PR_Personal+AV237+AX237+IF(AND(AY237=1,AT237&gt;0),PR_Rent,0))),0)</f>
        <v>530.684653715388</v>
      </c>
      <c r="BJ237" s="20" t="n">
        <f aca="false">IF(AG237&gt;=PR_AgeCrAge,IF(AT237&lt;=PR_AgeEx,0,MIN(BI237,PR_AgeMarg*(AT237-PR_AgeEx))),BI237)</f>
        <v>530.684653715388</v>
      </c>
      <c r="BK237" s="20" t="n">
        <f aca="false">IF(F_Partner=1,IF(F_Married=1,BF237,BH237+BJ237),BH237)</f>
        <v>10334.6822715245</v>
      </c>
      <c r="BL237" s="20" t="n">
        <f aca="false">AL237+AN237+AO237</f>
        <v>59722.6613444301</v>
      </c>
      <c r="BM237" s="20"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1324.4998403329</v>
      </c>
      <c r="BN237" s="20" t="n">
        <f aca="false">AQ237</f>
        <v>22653.4232685769</v>
      </c>
      <c r="BO237" s="20" t="n">
        <f aca="false">IF(F_Partner=1,IF(BN237&lt;=PR_USCex,0,IF(IF(AND(AG237&gt;=PR_USCredAge,BN237&lt;=PR_USCredMax),1,0)=1,PR_USCr1*MIN(BN237,PR_USCredB1)+PR_USCredR2*MAX(0,BN237-PR_USCredB1),PR_USCr1*MIN(BN237,PR_USCb1)+PR_USCr2*MAX(0,MIN(BN237,PR_USCb2)-PR_USCb1)+PR_USCr3*MAX(0,MIN(BN237,PR_USCb3)-PR_USCb2)+PR_USCr4*MAX(0,BN237-PR_USCb3))),0)</f>
        <v>272.888465371539</v>
      </c>
      <c r="BP237" s="20" t="n">
        <f aca="false">IF(C237&lt;PR_PRSIend,IF(F_SelfEmp=1,IF(AL237&gt;PR_PRSIsMinInc,MAX(PR_PRSIsMin,AL237*J237),0),IF(AL237/52&lt;=PR_PRSIfree,0,MAX(0,(AL237/52*J237-IF(AL237/52&lt;=PR_PRSIcreditTo,MAX(0,PR_PRSIcreditMax-(AL237/52-(PR_PRSIfree+0.01))/PR_PRSItaper),0))*52)))+J237*AN237+IF(AO237&gt;PR_PRSIunearned,J237*AO237,0),0)+IF(AND(PRSI_ARF_Applies=1,AN237&gt;0,C237&gt;=PR_PRSIend,C237&lt;PRSI_ARF_ToAge,NOT(AK237&gt;0)),J237*AN237,0)</f>
        <v>2806.96508318822</v>
      </c>
      <c r="BQ237" s="20" t="n">
        <f aca="false">IF(AND(F_Partner=1,AG237&lt;PR_PRSIend),IF(AQ237/52&lt;=PR_PRSIfree,0,MAX(0,(AQ237/52*J237-IF(AQ237/52&lt;=PR_PRSIcreditTo,MAX(0,PR_PRSIcreditMax-(AQ237/52-(PR_PRSIfree+0.01))/PR_PRSItaper),0))*52)),0)</f>
        <v>1064.71089362312</v>
      </c>
      <c r="BR237" s="20" t="n">
        <f aca="false">BK237+BM237+BO237+BP237+BQ237</f>
        <v>15803.7465540403</v>
      </c>
      <c r="BS237" s="20" t="n">
        <f aca="false">BR237*H237</f>
        <v>16771.06227312</v>
      </c>
      <c r="BT237" s="20" t="n">
        <f aca="false">K237+AK237+AC237+AF237+AH237+AI237</f>
        <v>87418.16</v>
      </c>
    </row>
    <row r="238" customFormat="false" ht="15" hidden="false" customHeight="true" outlineLevel="0" collapsed="false">
      <c r="B238" s="20" t="n">
        <v>4</v>
      </c>
      <c r="C238" s="20" t="n">
        <f aca="false">F_Age+B238</f>
        <v>42</v>
      </c>
      <c r="D238" s="20" t="n">
        <f aca="false">AS_Year0+B238</f>
        <v>2030</v>
      </c>
      <c r="E238" s="50" t="n">
        <f aca="false">(1+AS_Infl)^B238</f>
        <v>1.08243216</v>
      </c>
      <c r="F238" s="50" t="n">
        <f aca="false">(1+AS_Wage)^B238</f>
        <v>1.12550881</v>
      </c>
      <c r="G238" s="20" t="n">
        <f aca="false">IF(C238&lt;F_R,1,0)</f>
        <v>1</v>
      </c>
      <c r="H238" s="50" t="n">
        <f aca="false">IF(AS_Bands="flat",1,E238)</f>
        <v>1.08243216</v>
      </c>
      <c r="I238" s="50" t="n">
        <f aca="false">IF(AS_SpGrow="pay",F238,IF(AS_SpGrow="flat",1,E238))</f>
        <v>1.08243216</v>
      </c>
      <c r="J238" s="50" t="n">
        <f aca="false">(12*PR_PRSIr0+(PR_PRSIr1-PR_PRSIr0)*MAX(0,MIN(12,D238*12+12-PR_PRSIt1))+(PR_PRSIr2-PR_PRSIr1)*MAX(0,MIN(12,D238*12+12-PR_PRSIt2))+(PR_PRSIr3-PR_PRSIr2)*MAX(0,MIN(12,D238*12+12-PR_PRSIt3)))/12</f>
        <v>0.047</v>
      </c>
      <c r="K238" s="20" t="n">
        <f aca="false">IF(G238=1,F_Income*F238,0)</f>
        <v>65279.51098</v>
      </c>
      <c r="L238" s="20" t="n">
        <f aca="false">IF(G238=1,(F_Own+In_penExtra)*12*F238,0)</f>
        <v>3511.5874872</v>
      </c>
      <c r="M238" s="20" t="n">
        <f aca="false">IF(G238=1,(F_PenM+In_penExtra)*12*F238,0)</f>
        <v>7023.1749744</v>
      </c>
      <c r="N238" s="51" t="n">
        <f aca="false">IF(C238&lt;PR_RelA1,PR_RelP1,IF(C238&lt;PR_RelA2,PR_RelP2,IF(C238&lt;PR_RelA3,PR_RelP3,IF(C238&lt;PR_RelA4,PR_RelP4,IF(C238&lt;PR_RelA5,PR_RelP5,PR_RelP6)))))</f>
        <v>0.25</v>
      </c>
      <c r="O238" s="20" t="n">
        <f aca="false">IF(G238=1,MIN(L238/H238,N238*MIN(K238/H238,PR_EarnCap))*H238,0)</f>
        <v>3511.5874872</v>
      </c>
      <c r="P238" s="20" t="n">
        <f aca="false">IF(AND(G238=1,F_AE=1),MIN(K238/H238,PR_AEcap)*H238,0)</f>
        <v>0</v>
      </c>
      <c r="Q238" s="20" t="n">
        <f aca="false">IF(G238=1,IF(WI_Retire=1,MAX(0,M238+WI_M*12),M238)+(PR_AEee+PR_AEer+PR_AEst)*P238,0)</f>
        <v>7023.1749744</v>
      </c>
      <c r="R238" s="20" t="n">
        <f aca="false">L238+PR_AEee*P238</f>
        <v>3511.5874872</v>
      </c>
      <c r="S238" s="20" t="n">
        <f aca="false">AD237</f>
        <v>113737.412145</v>
      </c>
      <c r="T238" s="20" t="n">
        <f aca="false">IF(D238&lt;=PR_SFTfrom,PR_SFT2026,IF(D238=PR_SFTfrom+1,PR_SFT2027,IF(D238=PR_SFTfrom+2,PR_SFT2028,IF(D238&lt;=PR_SFTto,PR_SFT2029,PR_SFT2029*(1+AS_Infl)^(D238-PR_SFTto)))))</f>
        <v>2856000</v>
      </c>
      <c r="U238" s="20" t="n">
        <f aca="false">IF(AND(G238=0,C238=F_V),1,0)</f>
        <v>0</v>
      </c>
      <c r="V238" s="20" t="n">
        <f aca="false">IF(U238=1,PR_SFTrate*MAX(0,S238-T238),0)</f>
        <v>0</v>
      </c>
      <c r="W238" s="20" t="n">
        <f aca="false">S238-V238</f>
        <v>113737.412145</v>
      </c>
      <c r="X238" s="20" t="n">
        <f aca="false">IF(AND(U238=1,AS_LumpPct&gt;0),W238*MIN(AS_LumpPct,PR_LSmax),0)</f>
        <v>0</v>
      </c>
      <c r="Y238" s="20" t="n">
        <f aca="false">X238-(PR_LSrate*MAX(0,MIN(X238,PR_LScap)-PR_LSfree)+PR_r2*MAX(0,X238-PR_LScap))</f>
        <v>0</v>
      </c>
      <c r="Z238" s="20" t="n">
        <f aca="false">W238-X238</f>
        <v>113737.412145</v>
      </c>
      <c r="AA238" s="51" t="n">
        <f aca="false">IF(C238&gt;=PR_ARFage1,IF(Z238&gt;PR_ARFbig,PR_ARFbigRate,IF(C238&gt;=PR_ARFage2,PR_ARF71,PR_ARF61)),0)</f>
        <v>0</v>
      </c>
      <c r="AB238" s="20" t="n">
        <f aca="false">IF(AS_DrawRule="min",Z238*AA238,IF(AS_DrawRule="fixed",MAX(AS_DrawFixed*E238,Z238*AA238),Z238*MAX(1/MAX(1,AS_End-C238+1),AA238)))</f>
        <v>2106.24837305556</v>
      </c>
      <c r="AC238" s="20" t="n">
        <f aca="false">IF(AND(G238=0,C238&gt;=F_V),MIN(Z238,AB238),0)</f>
        <v>0</v>
      </c>
      <c r="AD238" s="20" t="n">
        <f aca="false">IF(G238=1,S238*(1+F_PenG)+Q238,IF(C238&lt;F_V,S238*(1+F_PenG),(Z238-AC238)*(1+AS_PenRet)))</f>
        <v>125878.770665925</v>
      </c>
      <c r="AE238" s="20" t="n">
        <f aca="false">IF(C238&gt;=PR_SPage,AS_SP*F_SpF*I238+IF(AND(C238&gt;=PR_Over80Age,F_SpF&gt;0),PR_Over80*PR_Weeks*I238,0),0)</f>
        <v>0</v>
      </c>
      <c r="AF238" s="20" t="n">
        <f aca="false">(F_OtherM+F_RentM)*12*E238+IF(AND(In_polInc&gt;0,In_polIncAge&gt;0,C238&gt;=In_polIncAge),In_polInc,0)</f>
        <v>0</v>
      </c>
      <c r="AG238" s="20" t="n">
        <f aca="false">F_PAge+B238</f>
        <v>41</v>
      </c>
      <c r="AH238" s="20" t="n">
        <f aca="false">IF(AND(F_Partner=1,F_PAge&gt;0,AG238&lt;IF(F_PRet&gt;0,F_PRet,PR_SPage)),F_PIncome*F238,0)</f>
        <v>24761.19382</v>
      </c>
      <c r="AI238" s="20" t="n">
        <f aca="false">IF(AND(F_Partner=1,AG238&gt;=PR_SPage,F_PSpQA=0),AS_SP*F_PSpF*I238,0)</f>
        <v>0</v>
      </c>
      <c r="AJ238" s="20" t="n">
        <f aca="false">IF(AND(F_Partner=1,F_PSpQA=1,C238&gt;=PR_SPage,AH238=0),IF(AG238&gt;=PR_SPage,PR_QA66,PR_QAunder)*PR_Weeks*I238,0)</f>
        <v>0</v>
      </c>
      <c r="AK238" s="20" t="n">
        <f aca="false">AE238+AJ238</f>
        <v>0</v>
      </c>
      <c r="AL238" s="20" t="n">
        <f aca="false">K238/H238</f>
        <v>60308.1776321206</v>
      </c>
      <c r="AM238" s="20" t="n">
        <f aca="false">AK238/H238</f>
        <v>0</v>
      </c>
      <c r="AN238" s="20" t="n">
        <f aca="false">AC238/H238</f>
        <v>0</v>
      </c>
      <c r="AO238" s="20" t="n">
        <f aca="false">AF238/H238</f>
        <v>0</v>
      </c>
      <c r="AP238" s="20" t="n">
        <f aca="false">O238/H238</f>
        <v>3244.16403814166</v>
      </c>
      <c r="AQ238" s="20" t="n">
        <f aca="false">AH238/H238</f>
        <v>22875.515653563</v>
      </c>
      <c r="AR238" s="20" t="n">
        <f aca="false">AI238/H238</f>
        <v>0</v>
      </c>
      <c r="AS238" s="20" t="n">
        <f aca="false">MAX(0,AL238+AN238+AO238+AM238-AP238)</f>
        <v>57064.013593979</v>
      </c>
      <c r="AT238" s="20" t="n">
        <f aca="false">MAX(0,AQ238+AR238)</f>
        <v>22875.515653563</v>
      </c>
      <c r="AU238" s="20" t="n">
        <f aca="false">MIN(PR_PAYE,PR_PAYEcap*(AL238+AN238+AM238))</f>
        <v>2000</v>
      </c>
      <c r="AV238" s="20" t="n">
        <f aca="false">MIN(PR_PAYE,PR_PAYEcap*(AQ238+AR238))</f>
        <v>2000</v>
      </c>
      <c r="AW238" s="20" t="n">
        <f aca="false">IF(C238&gt;=PR_AgeCrAge,PR_AgeCr,0)</f>
        <v>0</v>
      </c>
      <c r="AX238" s="20" t="n">
        <f aca="false">IF(AG238&gt;=PR_AgeCrAge,PR_AgeCr,0)</f>
        <v>0</v>
      </c>
      <c r="AY238" s="20" t="n">
        <f aca="false">IF(AND(F_RentCred=1,D238&lt;=PR_RentLast),1,0)</f>
        <v>0</v>
      </c>
      <c r="AZ238" s="20" t="n">
        <f aca="false">AS238+AT238</f>
        <v>79939.529247542</v>
      </c>
      <c r="BA238" s="20" t="n">
        <f aca="false">PR_PersonalM+AU238+AV238+AW238+AX238+IF(AY238=1,PR_RentJoint,0)</f>
        <v>8000</v>
      </c>
      <c r="BB238" s="20" t="n">
        <f aca="false">PR_BandM+MIN(MIN(AS238,AT238),PR_Uplift)</f>
        <v>75875.515653563</v>
      </c>
      <c r="BC238" s="20" t="n">
        <f aca="false">MAX(0,PR_r1*MIN(AZ238,BB238)+PR_r2*MAX(0,AZ238-BB238)-BA238)</f>
        <v>8800.70856830418</v>
      </c>
      <c r="BD238" s="20" t="n">
        <f aca="false">MAX(0,PR_HomeCarer-MAX(0,MIN(AS238,AT238)-PR_HCLimit)/2)</f>
        <v>0</v>
      </c>
      <c r="BE238" s="20" t="n">
        <f aca="false">IF(F_Carer=1,MIN(BC238,MAX(0,PR_r1*MIN(AZ238,PR_BandM)+PR_r2*MAX(0,AZ238-PR_BandM)-BA238-BD238)),BC238)</f>
        <v>8800.70856830418</v>
      </c>
      <c r="BF238" s="20" t="n">
        <f aca="false">IF(OR(C238&gt;=PR_AgeCrAge,AG238&gt;=PR_AgeCrAge),IF(AZ238&lt;=PR_AgeExM,0,MIN(BE238,PR_AgeMarg*(AZ238-PR_AgeExM))),BE238)</f>
        <v>8800.70856830418</v>
      </c>
      <c r="BG238" s="20" t="n">
        <f aca="false">MAX(0,PR_r1*MIN(AS238,IF(F_Spccc=1,PR_BandSPCCC,PR_Band))+PR_r2*MAX(0,AS238-IF(F_Spccc=1,PR_BandSPCCC,PR_Band))-(PR_Personal+AU238+AW238+IF(F_Spccc=1,PR_SPCCC,0)+IF(AY238=1,PR_Rent,0)))</f>
        <v>10025.6054375916</v>
      </c>
      <c r="BH238" s="20" t="n">
        <f aca="false">IF(C238&gt;=PR_AgeCrAge,IF(AS238&lt;=PR_AgeEx,0,MIN(BG238,PR_AgeMarg*(AS238-PR_AgeEx))),BG238)</f>
        <v>10025.6054375916</v>
      </c>
      <c r="BI238" s="20" t="n">
        <f aca="false">IF(F_Partner=1,MAX(0,PR_r1*MIN(AT238,PR_Band)+PR_r2*MAX(0,AT238-PR_Band)-(PR_Personal+AV238+AX238+IF(AND(AY238=1,AT238&gt;0),PR_Rent,0))),0)</f>
        <v>575.103130712599</v>
      </c>
      <c r="BJ238" s="20" t="n">
        <f aca="false">IF(AG238&gt;=PR_AgeCrAge,IF(AT238&lt;=PR_AgeEx,0,MIN(BI238,PR_AgeMarg*(AT238-PR_AgeEx))),BI238)</f>
        <v>575.103130712599</v>
      </c>
      <c r="BK238" s="20" t="n">
        <f aca="false">IF(F_Partner=1,IF(F_Married=1,BF238,BH238+BJ238),BH238)</f>
        <v>10600.7085683042</v>
      </c>
      <c r="BL238" s="20" t="n">
        <f aca="false">AL238+AN238+AO238</f>
        <v>60308.1776321206</v>
      </c>
      <c r="BM238" s="20"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1342.06532896362</v>
      </c>
      <c r="BN238" s="20" t="n">
        <f aca="false">AQ238</f>
        <v>22875.515653563</v>
      </c>
      <c r="BO238" s="20" t="n">
        <f aca="false">IF(F_Partner=1,IF(BN238&lt;=PR_USCex,0,IF(IF(AND(AG238&gt;=PR_USCredAge,BN238&lt;=PR_USCredMax),1,0)=1,PR_USCr1*MIN(BN238,PR_USCredB1)+PR_USCredR2*MAX(0,BN238-PR_USCredB1),PR_USCr1*MIN(BN238,PR_USCb1)+PR_USCr2*MAX(0,MIN(BN238,PR_USCb2)-PR_USCb1)+PR_USCr3*MAX(0,MIN(BN238,PR_USCb3)-PR_USCb2)+PR_USCr4*MAX(0,BN238-PR_USCb3))),0)</f>
        <v>277.33031307126</v>
      </c>
      <c r="BP238" s="20" t="n">
        <f aca="false">IF(C238&lt;PR_PRSIend,IF(F_SelfEmp=1,IF(AL238&gt;PR_PRSIsMinInc,MAX(PR_PRSIsMin,AL238*J238),0),IF(AL238/52&lt;=PR_PRSIfree,0,MAX(0,(AL238/52*J238-IF(AL238/52&lt;=PR_PRSIcreditTo,MAX(0,PR_PRSIcreditMax-(AL238/52-(PR_PRSIfree+0.01))/PR_PRSItaper),0))*52)))+J238*AN238+IF(AO238&gt;PR_PRSIunearned,J238*AO238,0),0)+IF(AND(PRSI_ARF_Applies=1,AN238&gt;0,C238&gt;=PR_PRSIend,C238&lt;PRSI_ARF_ToAge,NOT(AK238&gt;0)),J238*AN238,0)</f>
        <v>2834.48434870967</v>
      </c>
      <c r="BQ238" s="20" t="n">
        <f aca="false">IF(AND(F_Partner=1,AG238&lt;PR_PRSIend),IF(AQ238/52&lt;=PR_PRSIfree,0,MAX(0,(AQ238/52*J238-IF(AQ238/52&lt;=PR_PRSIcreditTo,MAX(0,PR_PRSIcreditMax-(AQ238/52-(PR_PRSIfree+0.01))/PR_PRSItaper),0))*52)),0)</f>
        <v>1075.14923571746</v>
      </c>
      <c r="BR238" s="20" t="n">
        <f aca="false">BK238+BM238+BO238+BP238+BQ238</f>
        <v>16129.7377947662</v>
      </c>
      <c r="BS238" s="20" t="n">
        <f aca="false">BR238*H238</f>
        <v>17459.3469214224</v>
      </c>
      <c r="BT238" s="20" t="n">
        <f aca="false">K238+AK238+AC238+AF238+AH238+AI238</f>
        <v>90040.7048</v>
      </c>
    </row>
    <row r="239" customFormat="false" ht="15" hidden="false" customHeight="true" outlineLevel="0" collapsed="false">
      <c r="B239" s="20" t="n">
        <v>5</v>
      </c>
      <c r="C239" s="20" t="n">
        <f aca="false">F_Age+B239</f>
        <v>43</v>
      </c>
      <c r="D239" s="20" t="n">
        <f aca="false">AS_Year0+B239</f>
        <v>2031</v>
      </c>
      <c r="E239" s="50" t="n">
        <f aca="false">(1+AS_Infl)^B239</f>
        <v>1.1040808032</v>
      </c>
      <c r="F239" s="50" t="n">
        <f aca="false">(1+AS_Wage)^B239</f>
        <v>1.1592740743</v>
      </c>
      <c r="G239" s="20" t="n">
        <f aca="false">IF(C239&lt;F_R,1,0)</f>
        <v>1</v>
      </c>
      <c r="H239" s="50" t="n">
        <f aca="false">IF(AS_Bands="flat",1,E239)</f>
        <v>1.1040808032</v>
      </c>
      <c r="I239" s="50" t="n">
        <f aca="false">IF(AS_SpGrow="pay",F239,IF(AS_SpGrow="flat",1,E239))</f>
        <v>1.1040808032</v>
      </c>
      <c r="J239" s="50" t="n">
        <f aca="false">(12*PR_PRSIr0+(PR_PRSIr1-PR_PRSIr0)*MAX(0,MIN(12,D239*12+12-PR_PRSIt1))+(PR_PRSIr2-PR_PRSIr1)*MAX(0,MIN(12,D239*12+12-PR_PRSIt2))+(PR_PRSIr3-PR_PRSIr2)*MAX(0,MIN(12,D239*12+12-PR_PRSIt3)))/12</f>
        <v>0.047</v>
      </c>
      <c r="K239" s="20" t="n">
        <f aca="false">IF(G239=1,F_Income*F239,0)</f>
        <v>67237.8963094</v>
      </c>
      <c r="L239" s="20" t="n">
        <f aca="false">IF(G239=1,(F_Own+In_penExtra)*12*F239,0)</f>
        <v>3616.935111816</v>
      </c>
      <c r="M239" s="20" t="n">
        <f aca="false">IF(G239=1,(F_PenM+In_penExtra)*12*F239,0)</f>
        <v>7233.870223632</v>
      </c>
      <c r="N239" s="51" t="n">
        <f aca="false">IF(C239&lt;PR_RelA1,PR_RelP1,IF(C239&lt;PR_RelA2,PR_RelP2,IF(C239&lt;PR_RelA3,PR_RelP3,IF(C239&lt;PR_RelA4,PR_RelP4,IF(C239&lt;PR_RelA5,PR_RelP5,PR_RelP6)))))</f>
        <v>0.25</v>
      </c>
      <c r="O239" s="20" t="n">
        <f aca="false">IF(G239=1,MIN(L239/H239,N239*MIN(K239/H239,PR_EarnCap))*H239,0)</f>
        <v>3616.935111816</v>
      </c>
      <c r="P239" s="20" t="n">
        <f aca="false">IF(AND(G239=1,F_AE=1),MIN(K239/H239,PR_AEcap)*H239,0)</f>
        <v>0</v>
      </c>
      <c r="Q239" s="20" t="n">
        <f aca="false">IF(G239=1,IF(WI_Retire=1,MAX(0,M239+WI_M*12),M239)+(PR_AEee+PR_AEer+PR_AEst)*P239,0)</f>
        <v>7233.870223632</v>
      </c>
      <c r="R239" s="20" t="n">
        <f aca="false">L239+PR_AEee*P239</f>
        <v>3616.935111816</v>
      </c>
      <c r="S239" s="20" t="n">
        <f aca="false">AD238</f>
        <v>125878.770665925</v>
      </c>
      <c r="T239" s="20" t="n">
        <f aca="false">IF(D239&lt;=PR_SFTfrom,PR_SFT2026,IF(D239=PR_SFTfrom+1,PR_SFT2027,IF(D239=PR_SFTfrom+2,PR_SFT2028,IF(D239&lt;=PR_SFTto,PR_SFT2029,PR_SFT2029*(1+AS_Infl)^(D239-PR_SFTto)))))</f>
        <v>2913120</v>
      </c>
      <c r="U239" s="20" t="n">
        <f aca="false">IF(AND(G239=0,C239=F_V),1,0)</f>
        <v>0</v>
      </c>
      <c r="V239" s="20" t="n">
        <f aca="false">IF(U239=1,PR_SFTrate*MAX(0,S239-T239),0)</f>
        <v>0</v>
      </c>
      <c r="W239" s="20" t="n">
        <f aca="false">S239-V239</f>
        <v>125878.770665925</v>
      </c>
      <c r="X239" s="20" t="n">
        <f aca="false">IF(AND(U239=1,AS_LumpPct&gt;0),W239*MIN(AS_LumpPct,PR_LSmax),0)</f>
        <v>0</v>
      </c>
      <c r="Y239" s="20" t="n">
        <f aca="false">X239-(PR_LSrate*MAX(0,MIN(X239,PR_LScap)-PR_LSfree)+PR_r2*MAX(0,X239-PR_LScap))</f>
        <v>0</v>
      </c>
      <c r="Z239" s="20" t="n">
        <f aca="false">W239-X239</f>
        <v>125878.770665925</v>
      </c>
      <c r="AA239" s="51" t="n">
        <f aca="false">IF(C239&gt;=PR_ARFage1,IF(Z239&gt;PR_ARFbig,PR_ARFbigRate,IF(C239&gt;=PR_ARFage2,PR_ARF71,PR_ARF61)),0)</f>
        <v>0</v>
      </c>
      <c r="AB239" s="20" t="n">
        <f aca="false">IF(AS_DrawRule="min",Z239*AA239,IF(AS_DrawRule="fixed",MAX(AS_DrawFixed*E239,Z239*AA239),Z239*MAX(1/MAX(1,AS_End-C239+1),AA239)))</f>
        <v>2375.07114464009</v>
      </c>
      <c r="AC239" s="20" t="n">
        <f aca="false">IF(AND(G239=0,C239&gt;=F_V),MIN(Z239,AB239),0)</f>
        <v>0</v>
      </c>
      <c r="AD239" s="20" t="n">
        <f aca="false">IF(G239=1,S239*(1+F_PenG)+Q239,IF(C239&lt;F_V,S239*(1+F_PenG),(Z239-AC239)*(1+AS_PenRet)))</f>
        <v>138777.185569524</v>
      </c>
      <c r="AE239" s="20" t="n">
        <f aca="false">IF(C239&gt;=PR_SPage,AS_SP*F_SpF*I239+IF(AND(C239&gt;=PR_Over80Age,F_SpF&gt;0),PR_Over80*PR_Weeks*I239,0),0)</f>
        <v>0</v>
      </c>
      <c r="AF239" s="20" t="n">
        <f aca="false">(F_OtherM+F_RentM)*12*E239+IF(AND(In_polInc&gt;0,In_polIncAge&gt;0,C239&gt;=In_polIncAge),In_polInc,0)</f>
        <v>0</v>
      </c>
      <c r="AG239" s="20" t="n">
        <f aca="false">F_PAge+B239</f>
        <v>42</v>
      </c>
      <c r="AH239" s="20" t="n">
        <f aca="false">IF(AND(F_Partner=1,F_PAge&gt;0,AG239&lt;IF(F_PRet&gt;0,F_PRet,PR_SPage)),F_PIncome*F239,0)</f>
        <v>25504.0296346</v>
      </c>
      <c r="AI239" s="20" t="n">
        <f aca="false">IF(AND(F_Partner=1,AG239&gt;=PR_SPage,F_PSpQA=0),AS_SP*F_PSpF*I239,0)</f>
        <v>0</v>
      </c>
      <c r="AJ239" s="20" t="n">
        <f aca="false">IF(AND(F_Partner=1,F_PSpQA=1,C239&gt;=PR_SPage,AH239=0),IF(AG239&gt;=PR_SPage,PR_QA66,PR_QAunder)*PR_Weeks*I239,0)</f>
        <v>0</v>
      </c>
      <c r="AK239" s="20" t="n">
        <f aca="false">AE239+AJ239</f>
        <v>0</v>
      </c>
      <c r="AL239" s="20" t="n">
        <f aca="false">K239/H239</f>
        <v>60899.4342755728</v>
      </c>
      <c r="AM239" s="20" t="n">
        <f aca="false">AK239/H239</f>
        <v>0</v>
      </c>
      <c r="AN239" s="20" t="n">
        <f aca="false">AC239/H239</f>
        <v>0</v>
      </c>
      <c r="AO239" s="20" t="n">
        <f aca="false">AF239/H239</f>
        <v>0</v>
      </c>
      <c r="AP239" s="20" t="n">
        <f aca="false">O239/H239</f>
        <v>3275.96956792736</v>
      </c>
      <c r="AQ239" s="20" t="n">
        <f aca="false">AH239/H239</f>
        <v>23099.7854148724</v>
      </c>
      <c r="AR239" s="20" t="n">
        <f aca="false">AI239/H239</f>
        <v>0</v>
      </c>
      <c r="AS239" s="20" t="n">
        <f aca="false">MAX(0,AL239+AN239+AO239+AM239-AP239)</f>
        <v>57623.4647076454</v>
      </c>
      <c r="AT239" s="20" t="n">
        <f aca="false">MAX(0,AQ239+AR239)</f>
        <v>23099.7854148724</v>
      </c>
      <c r="AU239" s="20" t="n">
        <f aca="false">MIN(PR_PAYE,PR_PAYEcap*(AL239+AN239+AM239))</f>
        <v>2000</v>
      </c>
      <c r="AV239" s="20" t="n">
        <f aca="false">MIN(PR_PAYE,PR_PAYEcap*(AQ239+AR239))</f>
        <v>2000</v>
      </c>
      <c r="AW239" s="20" t="n">
        <f aca="false">IF(C239&gt;=PR_AgeCrAge,PR_AgeCr,0)</f>
        <v>0</v>
      </c>
      <c r="AX239" s="20" t="n">
        <f aca="false">IF(AG239&gt;=PR_AgeCrAge,PR_AgeCr,0)</f>
        <v>0</v>
      </c>
      <c r="AY239" s="20" t="n">
        <f aca="false">IF(AND(F_RentCred=1,D239&lt;=PR_RentLast),1,0)</f>
        <v>0</v>
      </c>
      <c r="AZ239" s="20" t="n">
        <f aca="false">AS239+AT239</f>
        <v>80723.2501225178</v>
      </c>
      <c r="BA239" s="20" t="n">
        <f aca="false">PR_PersonalM+AU239+AV239+AW239+AX239+IF(AY239=1,PR_RentJoint,0)</f>
        <v>8000</v>
      </c>
      <c r="BB239" s="20" t="n">
        <f aca="false">PR_BandM+MIN(MIN(AS239,AT239),PR_Uplift)</f>
        <v>76099.7854148724</v>
      </c>
      <c r="BC239" s="20" t="n">
        <f aca="false">MAX(0,PR_r1*MIN(AZ239,BB239)+PR_r2*MAX(0,AZ239-BB239)-BA239)</f>
        <v>9069.34296603265</v>
      </c>
      <c r="BD239" s="20" t="n">
        <f aca="false">MAX(0,PR_HomeCarer-MAX(0,MIN(AS239,AT239)-PR_HCLimit)/2)</f>
        <v>0</v>
      </c>
      <c r="BE239" s="20" t="n">
        <f aca="false">IF(F_Carer=1,MIN(BC239,MAX(0,PR_r1*MIN(AZ239,PR_BandM)+PR_r2*MAX(0,AZ239-PR_BandM)-BA239-BD239)),BC239)</f>
        <v>9069.34296603265</v>
      </c>
      <c r="BF239" s="20" t="n">
        <f aca="false">IF(OR(C239&gt;=PR_AgeCrAge,AG239&gt;=PR_AgeCrAge),IF(AZ239&lt;=PR_AgeExM,0,MIN(BE239,PR_AgeMarg*(AZ239-PR_AgeExM))),BE239)</f>
        <v>9069.34296603265</v>
      </c>
      <c r="BG239" s="20" t="n">
        <f aca="false">MAX(0,PR_r1*MIN(AS239,IF(F_Spccc=1,PR_BandSPCCC,PR_Band))+PR_r2*MAX(0,AS239-IF(F_Spccc=1,PR_BandSPCCC,PR_Band))-(PR_Personal+AU239+AW239+IF(F_Spccc=1,PR_SPCCC,0)+IF(AY239=1,PR_Rent,0)))</f>
        <v>10249.3858830582</v>
      </c>
      <c r="BH239" s="20" t="n">
        <f aca="false">IF(C239&gt;=PR_AgeCrAge,IF(AS239&lt;=PR_AgeEx,0,MIN(BG239,PR_AgeMarg*(AS239-PR_AgeEx))),BG239)</f>
        <v>10249.3858830582</v>
      </c>
      <c r="BI239" s="20" t="n">
        <f aca="false">IF(F_Partner=1,MAX(0,PR_r1*MIN(AT239,PR_Band)+PR_r2*MAX(0,AT239-PR_Band)-(PR_Personal+AV239+AX239+IF(AND(AY239=1,AT239&gt;0),PR_Rent,0))),0)</f>
        <v>619.957082974487</v>
      </c>
      <c r="BJ239" s="20" t="n">
        <f aca="false">IF(AG239&gt;=PR_AgeCrAge,IF(AT239&lt;=PR_AgeEx,0,MIN(BI239,PR_AgeMarg*(AT239-PR_AgeEx))),BI239)</f>
        <v>619.957082974487</v>
      </c>
      <c r="BK239" s="20" t="n">
        <f aca="false">IF(F_Partner=1,IF(F_Married=1,BF239,BH239+BJ239),BH239)</f>
        <v>10869.3429660327</v>
      </c>
      <c r="BL239" s="20" t="n">
        <f aca="false">AL239+AN239+AO239</f>
        <v>60899.4342755728</v>
      </c>
      <c r="BM239" s="20"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1359.80302826718</v>
      </c>
      <c r="BN239" s="20" t="n">
        <f aca="false">AQ239</f>
        <v>23099.7854148724</v>
      </c>
      <c r="BO239" s="20" t="n">
        <f aca="false">IF(F_Partner=1,IF(BN239&lt;=PR_USCex,0,IF(IF(AND(AG239&gt;=PR_USCredAge,BN239&lt;=PR_USCredMax),1,0)=1,PR_USCr1*MIN(BN239,PR_USCredB1)+PR_USCredR2*MAX(0,BN239-PR_USCredB1),PR_USCr1*MIN(BN239,PR_USCb1)+PR_USCr2*MAX(0,MIN(BN239,PR_USCb2)-PR_USCb1)+PR_USCr3*MAX(0,MIN(BN239,PR_USCb3)-PR_USCb2)+PR_USCr4*MAX(0,BN239-PR_USCb3))),0)</f>
        <v>281.815708297449</v>
      </c>
      <c r="BP239" s="20" t="n">
        <f aca="false">IF(C239&lt;PR_PRSIend,IF(F_SelfEmp=1,IF(AL239&gt;PR_PRSIsMinInc,MAX(PR_PRSIsMin,AL239*J239),0),IF(AL239/52&lt;=PR_PRSIfree,0,MAX(0,(AL239/52*J239-IF(AL239/52&lt;=PR_PRSIcreditTo,MAX(0,PR_PRSIcreditMax-(AL239/52-(PR_PRSIfree+0.01))/PR_PRSItaper),0))*52)))+J239*AN239+IF(AO239&gt;PR_PRSIunearned,J239*AO239,0),0)+IF(AND(PRSI_ARF_Applies=1,AN239&gt;0,C239&gt;=PR_PRSIend,C239&lt;PRSI_ARF_ToAge,NOT(AK239&gt;0)),J239*AN239,0)</f>
        <v>2862.27341095192</v>
      </c>
      <c r="BQ239" s="20" t="n">
        <f aca="false">IF(AND(F_Partner=1,AG239&lt;PR_PRSIend),IF(AQ239/52&lt;=PR_PRSIfree,0,MAX(0,(AQ239/52*J239-IF(AQ239/52&lt;=PR_PRSIcreditTo,MAX(0,PR_PRSIcreditMax-(AQ239/52-(PR_PRSIfree+0.01))/PR_PRSItaper),0))*52)),0)</f>
        <v>1085.689914499</v>
      </c>
      <c r="BR239" s="20" t="n">
        <f aca="false">BK239+BM239+BO239+BP239+BQ239</f>
        <v>16458.9250280482</v>
      </c>
      <c r="BS239" s="20" t="n">
        <f aca="false">BR239*H239</f>
        <v>18171.9831647761</v>
      </c>
      <c r="BT239" s="20" t="n">
        <f aca="false">K239+AK239+AC239+AF239+AH239+AI239</f>
        <v>92741.925944</v>
      </c>
    </row>
    <row r="240" customFormat="false" ht="15" hidden="false" customHeight="true" outlineLevel="0" collapsed="false">
      <c r="B240" s="20" t="n">
        <v>6</v>
      </c>
      <c r="C240" s="20" t="n">
        <f aca="false">F_Age+B240</f>
        <v>44</v>
      </c>
      <c r="D240" s="20" t="n">
        <f aca="false">AS_Year0+B240</f>
        <v>2032</v>
      </c>
      <c r="E240" s="50" t="n">
        <f aca="false">(1+AS_Infl)^B240</f>
        <v>1.126162419264</v>
      </c>
      <c r="F240" s="50" t="n">
        <f aca="false">(1+AS_Wage)^B240</f>
        <v>1.194052296529</v>
      </c>
      <c r="G240" s="20" t="n">
        <f aca="false">IF(C240&lt;F_R,1,0)</f>
        <v>1</v>
      </c>
      <c r="H240" s="50" t="n">
        <f aca="false">IF(AS_Bands="flat",1,E240)</f>
        <v>1.126162419264</v>
      </c>
      <c r="I240" s="50" t="n">
        <f aca="false">IF(AS_SpGrow="pay",F240,IF(AS_SpGrow="flat",1,E240))</f>
        <v>1.126162419264</v>
      </c>
      <c r="J240" s="50" t="n">
        <f aca="false">(12*PR_PRSIr0+(PR_PRSIr1-PR_PRSIr0)*MAX(0,MIN(12,D240*12+12-PR_PRSIt1))+(PR_PRSIr2-PR_PRSIr1)*MAX(0,MIN(12,D240*12+12-PR_PRSIt2))+(PR_PRSIr3-PR_PRSIr2)*MAX(0,MIN(12,D240*12+12-PR_PRSIt3)))/12</f>
        <v>0.047</v>
      </c>
      <c r="K240" s="20" t="n">
        <f aca="false">IF(G240=1,F_Income*F240,0)</f>
        <v>69255.033198682</v>
      </c>
      <c r="L240" s="20" t="n">
        <f aca="false">IF(G240=1,(F_Own+In_penExtra)*12*F240,0)</f>
        <v>3725.44316517048</v>
      </c>
      <c r="M240" s="20" t="n">
        <f aca="false">IF(G240=1,(F_PenM+In_penExtra)*12*F240,0)</f>
        <v>7450.88633034096</v>
      </c>
      <c r="N240" s="51" t="n">
        <f aca="false">IF(C240&lt;PR_RelA1,PR_RelP1,IF(C240&lt;PR_RelA2,PR_RelP2,IF(C240&lt;PR_RelA3,PR_RelP3,IF(C240&lt;PR_RelA4,PR_RelP4,IF(C240&lt;PR_RelA5,PR_RelP5,PR_RelP6)))))</f>
        <v>0.25</v>
      </c>
      <c r="O240" s="20" t="n">
        <f aca="false">IF(G240=1,MIN(L240/H240,N240*MIN(K240/H240,PR_EarnCap))*H240,0)</f>
        <v>3725.44316517048</v>
      </c>
      <c r="P240" s="20" t="n">
        <f aca="false">IF(AND(G240=1,F_AE=1),MIN(K240/H240,PR_AEcap)*H240,0)</f>
        <v>0</v>
      </c>
      <c r="Q240" s="20" t="n">
        <f aca="false">IF(G240=1,IF(WI_Retire=1,MAX(0,M240+WI_M*12),M240)+(PR_AEee+PR_AEer+PR_AEst)*P240,0)</f>
        <v>7450.88633034096</v>
      </c>
      <c r="R240" s="20" t="n">
        <f aca="false">L240+PR_AEee*P240</f>
        <v>3725.44316517048</v>
      </c>
      <c r="S240" s="20" t="n">
        <f aca="false">AD239</f>
        <v>138777.185569524</v>
      </c>
      <c r="T240" s="20" t="n">
        <f aca="false">IF(D240&lt;=PR_SFTfrom,PR_SFT2026,IF(D240=PR_SFTfrom+1,PR_SFT2027,IF(D240=PR_SFTfrom+2,PR_SFT2028,IF(D240&lt;=PR_SFTto,PR_SFT2029,PR_SFT2029*(1+AS_Infl)^(D240-PR_SFTto)))))</f>
        <v>2971382.4</v>
      </c>
      <c r="U240" s="20" t="n">
        <f aca="false">IF(AND(G240=0,C240=F_V),1,0)</f>
        <v>0</v>
      </c>
      <c r="V240" s="20" t="n">
        <f aca="false">IF(U240=1,PR_SFTrate*MAX(0,S240-T240),0)</f>
        <v>0</v>
      </c>
      <c r="W240" s="20" t="n">
        <f aca="false">S240-V240</f>
        <v>138777.185569524</v>
      </c>
      <c r="X240" s="20" t="n">
        <f aca="false">IF(AND(U240=1,AS_LumpPct&gt;0),W240*MIN(AS_LumpPct,PR_LSmax),0)</f>
        <v>0</v>
      </c>
      <c r="Y240" s="20" t="n">
        <f aca="false">X240-(PR_LSrate*MAX(0,MIN(X240,PR_LScap)-PR_LSfree)+PR_r2*MAX(0,X240-PR_LScap))</f>
        <v>0</v>
      </c>
      <c r="Z240" s="20" t="n">
        <f aca="false">W240-X240</f>
        <v>138777.185569524</v>
      </c>
      <c r="AA240" s="51" t="n">
        <f aca="false">IF(C240&gt;=PR_ARFage1,IF(Z240&gt;PR_ARFbig,PR_ARFbigRate,IF(C240&gt;=PR_ARFage2,PR_ARF71,PR_ARF61)),0)</f>
        <v>0</v>
      </c>
      <c r="AB240" s="20" t="n">
        <f aca="false">IF(AS_DrawRule="min",Z240*AA240,IF(AS_DrawRule="fixed",MAX(AS_DrawFixed*E240,Z240*AA240),Z240*MAX(1/MAX(1,AS_End-C240+1),AA240)))</f>
        <v>2668.79203018315</v>
      </c>
      <c r="AC240" s="20" t="n">
        <f aca="false">IF(AND(G240=0,C240&gt;=F_V),MIN(Z240,AB240),0)</f>
        <v>0</v>
      </c>
      <c r="AD240" s="20" t="n">
        <f aca="false">IF(G240=1,S240*(1+F_PenG)+Q240,IF(C240&lt;F_V,S240*(1+F_PenG),(Z240-AC240)*(1+AS_PenRet)))</f>
        <v>152473.045250493</v>
      </c>
      <c r="AE240" s="20" t="n">
        <f aca="false">IF(C240&gt;=PR_SPage,AS_SP*F_SpF*I240+IF(AND(C240&gt;=PR_Over80Age,F_SpF&gt;0),PR_Over80*PR_Weeks*I240,0),0)</f>
        <v>0</v>
      </c>
      <c r="AF240" s="20" t="n">
        <f aca="false">(F_OtherM+F_RentM)*12*E240+IF(AND(In_polInc&gt;0,In_polIncAge&gt;0,C240&gt;=In_polIncAge),In_polInc,0)</f>
        <v>0</v>
      </c>
      <c r="AG240" s="20" t="n">
        <f aca="false">F_PAge+B240</f>
        <v>43</v>
      </c>
      <c r="AH240" s="20" t="n">
        <f aca="false">IF(AND(F_Partner=1,F_PAge&gt;0,AG240&lt;IF(F_PRet&gt;0,F_PRet,PR_SPage)),F_PIncome*F240,0)</f>
        <v>26269.150523638</v>
      </c>
      <c r="AI240" s="20" t="n">
        <f aca="false">IF(AND(F_Partner=1,AG240&gt;=PR_SPage,F_PSpQA=0),AS_SP*F_PSpF*I240,0)</f>
        <v>0</v>
      </c>
      <c r="AJ240" s="20" t="n">
        <f aca="false">IF(AND(F_Partner=1,F_PSpQA=1,C240&gt;=PR_SPage,AH240=0),IF(AG240&gt;=PR_SPage,PR_QA66,PR_QAunder)*PR_Weeks*I240,0)</f>
        <v>0</v>
      </c>
      <c r="AK240" s="20" t="n">
        <f aca="false">AE240+AJ240</f>
        <v>0</v>
      </c>
      <c r="AL240" s="20" t="n">
        <f aca="false">K240/H240</f>
        <v>61496.4875527843</v>
      </c>
      <c r="AM240" s="20" t="n">
        <f aca="false">AK240/H240</f>
        <v>0</v>
      </c>
      <c r="AN240" s="20" t="n">
        <f aca="false">AC240/H240</f>
        <v>0</v>
      </c>
      <c r="AO240" s="20" t="n">
        <f aca="false">AF240/H240</f>
        <v>0</v>
      </c>
      <c r="AP240" s="20" t="n">
        <f aca="false">O240/H240</f>
        <v>3308.08691663253</v>
      </c>
      <c r="AQ240" s="20" t="n">
        <f aca="false">AH240/H240</f>
        <v>23326.253899332</v>
      </c>
      <c r="AR240" s="20" t="n">
        <f aca="false">AI240/H240</f>
        <v>0</v>
      </c>
      <c r="AS240" s="20" t="n">
        <f aca="false">MAX(0,AL240+AN240+AO240+AM240-AP240)</f>
        <v>58188.4006361517</v>
      </c>
      <c r="AT240" s="20" t="n">
        <f aca="false">MAX(0,AQ240+AR240)</f>
        <v>23326.253899332</v>
      </c>
      <c r="AU240" s="20" t="n">
        <f aca="false">MIN(PR_PAYE,PR_PAYEcap*(AL240+AN240+AM240))</f>
        <v>2000</v>
      </c>
      <c r="AV240" s="20" t="n">
        <f aca="false">MIN(PR_PAYE,PR_PAYEcap*(AQ240+AR240))</f>
        <v>2000</v>
      </c>
      <c r="AW240" s="20" t="n">
        <f aca="false">IF(C240&gt;=PR_AgeCrAge,PR_AgeCr,0)</f>
        <v>0</v>
      </c>
      <c r="AX240" s="20" t="n">
        <f aca="false">IF(AG240&gt;=PR_AgeCrAge,PR_AgeCr,0)</f>
        <v>0</v>
      </c>
      <c r="AY240" s="20" t="n">
        <f aca="false">IF(AND(F_RentCred=1,D240&lt;=PR_RentLast),1,0)</f>
        <v>0</v>
      </c>
      <c r="AZ240" s="20" t="n">
        <f aca="false">AS240+AT240</f>
        <v>81514.6545354837</v>
      </c>
      <c r="BA240" s="20" t="n">
        <f aca="false">PR_PersonalM+AU240+AV240+AW240+AX240+IF(AY240=1,PR_RentJoint,0)</f>
        <v>8000</v>
      </c>
      <c r="BB240" s="20" t="n">
        <f aca="false">PR_BandM+MIN(MIN(AS240,AT240),PR_Uplift)</f>
        <v>76326.253899332</v>
      </c>
      <c r="BC240" s="20" t="n">
        <f aca="false">MAX(0,PR_r1*MIN(AZ240,BB240)+PR_r2*MAX(0,AZ240-BB240)-BA240)</f>
        <v>9340.6110343271</v>
      </c>
      <c r="BD240" s="20" t="n">
        <f aca="false">MAX(0,PR_HomeCarer-MAX(0,MIN(AS240,AT240)-PR_HCLimit)/2)</f>
        <v>0</v>
      </c>
      <c r="BE240" s="20" t="n">
        <f aca="false">IF(F_Carer=1,MIN(BC240,MAX(0,PR_r1*MIN(AZ240,PR_BandM)+PR_r2*MAX(0,AZ240-PR_BandM)-BA240-BD240)),BC240)</f>
        <v>9340.6110343271</v>
      </c>
      <c r="BF240" s="20" t="n">
        <f aca="false">IF(OR(C240&gt;=PR_AgeCrAge,AG240&gt;=PR_AgeCrAge),IF(AZ240&lt;=PR_AgeExM,0,MIN(BE240,PR_AgeMarg*(AZ240-PR_AgeExM))),BE240)</f>
        <v>9340.6110343271</v>
      </c>
      <c r="BG240" s="20" t="n">
        <f aca="false">MAX(0,PR_r1*MIN(AS240,IF(F_Spccc=1,PR_BandSPCCC,PR_Band))+PR_r2*MAX(0,AS240-IF(F_Spccc=1,PR_BandSPCCC,PR_Band))-(PR_Personal+AU240+AW240+IF(F_Spccc=1,PR_SPCCC,0)+IF(AY240=1,PR_Rent,0)))</f>
        <v>10475.3602544607</v>
      </c>
      <c r="BH240" s="20" t="n">
        <f aca="false">IF(C240&gt;=PR_AgeCrAge,IF(AS240&lt;=PR_AgeEx,0,MIN(BG240,PR_AgeMarg*(AS240-PR_AgeEx))),BG240)</f>
        <v>10475.3602544607</v>
      </c>
      <c r="BI240" s="20" t="n">
        <f aca="false">IF(F_Partner=1,MAX(0,PR_r1*MIN(AT240,PR_Band)+PR_r2*MAX(0,AT240-PR_Band)-(PR_Personal+AV240+AX240+IF(AND(AY240=1,AT240&gt;0),PR_Rent,0))),0)</f>
        <v>665.250779866394</v>
      </c>
      <c r="BJ240" s="20" t="n">
        <f aca="false">IF(AG240&gt;=PR_AgeCrAge,IF(AT240&lt;=PR_AgeEx,0,MIN(BI240,PR_AgeMarg*(AT240-PR_AgeEx))),BI240)</f>
        <v>665.250779866394</v>
      </c>
      <c r="BK240" s="20" t="n">
        <f aca="false">IF(F_Partner=1,IF(F_Married=1,BF240,BH240+BJ240),BH240)</f>
        <v>11140.6110343271</v>
      </c>
      <c r="BL240" s="20" t="n">
        <f aca="false">AL240+AN240+AO240</f>
        <v>61496.4875527843</v>
      </c>
      <c r="BM240" s="20"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1377.71462658353</v>
      </c>
      <c r="BN240" s="20" t="n">
        <f aca="false">AQ240</f>
        <v>23326.253899332</v>
      </c>
      <c r="BO240" s="20" t="n">
        <f aca="false">IF(F_Partner=1,IF(BN240&lt;=PR_USCex,0,IF(IF(AND(AG240&gt;=PR_USCredAge,BN240&lt;=PR_USCredMax),1,0)=1,PR_USCr1*MIN(BN240,PR_USCredB1)+PR_USCredR2*MAX(0,BN240-PR_USCredB1),PR_USCr1*MIN(BN240,PR_USCb1)+PR_USCr2*MAX(0,MIN(BN240,PR_USCb2)-PR_USCb1)+PR_USCr3*MAX(0,MIN(BN240,PR_USCb3)-PR_USCb2)+PR_USCr4*MAX(0,BN240-PR_USCb3))),0)</f>
        <v>286.345077986639</v>
      </c>
      <c r="BP240" s="20" t="n">
        <f aca="false">IF(C240&lt;PR_PRSIend,IF(F_SelfEmp=1,IF(AL240&gt;PR_PRSIsMinInc,MAX(PR_PRSIsMin,AL240*J240),0),IF(AL240/52&lt;=PR_PRSIfree,0,MAX(0,(AL240/52*J240-IF(AL240/52&lt;=PR_PRSIcreditTo,MAX(0,PR_PRSIcreditMax-(AL240/52-(PR_PRSIfree+0.01))/PR_PRSItaper),0))*52)))+J240*AN240+IF(AO240&gt;PR_PRSIunearned,J240*AO240,0),0)+IF(AND(PRSI_ARF_Applies=1,AN240&gt;0,C240&gt;=PR_PRSIend,C240&lt;PRSI_ARF_ToAge,NOT(AK240&gt;0)),J240*AN240,0)</f>
        <v>2890.33491498086</v>
      </c>
      <c r="BQ240" s="20" t="n">
        <f aca="false">IF(AND(F_Partner=1,AG240&lt;PR_PRSIend),IF(AQ240/52&lt;=PR_PRSIfree,0,MAX(0,(AQ240/52*J240-IF(AQ240/52&lt;=PR_PRSIcreditTo,MAX(0,PR_PRSIcreditMax-(AQ240/52-(PR_PRSIfree+0.01))/PR_PRSItaper),0))*52)),0)</f>
        <v>1096.3339332686</v>
      </c>
      <c r="BR240" s="20" t="n">
        <f aca="false">BK240+BM240+BO240+BP240+BQ240</f>
        <v>16791.3395871467</v>
      </c>
      <c r="BS240" s="20" t="n">
        <f aca="false">BR240*H240</f>
        <v>18909.7756121445</v>
      </c>
      <c r="BT240" s="20" t="n">
        <f aca="false">K240+AK240+AC240+AF240+AH240+AI240</f>
        <v>95524.18372232</v>
      </c>
    </row>
    <row r="241" customFormat="false" ht="15" hidden="false" customHeight="true" outlineLevel="0" collapsed="false">
      <c r="B241" s="20" t="n">
        <v>7</v>
      </c>
      <c r="C241" s="20" t="n">
        <f aca="false">F_Age+B241</f>
        <v>45</v>
      </c>
      <c r="D241" s="20" t="n">
        <f aca="false">AS_Year0+B241</f>
        <v>2033</v>
      </c>
      <c r="E241" s="50" t="n">
        <f aca="false">(1+AS_Infl)^B241</f>
        <v>1.14868566764928</v>
      </c>
      <c r="F241" s="50" t="n">
        <f aca="false">(1+AS_Wage)^B241</f>
        <v>1.22987386542487</v>
      </c>
      <c r="G241" s="20" t="n">
        <f aca="false">IF(C241&lt;F_R,1,0)</f>
        <v>1</v>
      </c>
      <c r="H241" s="50" t="n">
        <f aca="false">IF(AS_Bands="flat",1,E241)</f>
        <v>1.14868566764928</v>
      </c>
      <c r="I241" s="50" t="n">
        <f aca="false">IF(AS_SpGrow="pay",F241,IF(AS_SpGrow="flat",1,E241))</f>
        <v>1.14868566764928</v>
      </c>
      <c r="J241" s="50" t="n">
        <f aca="false">(12*PR_PRSIr0+(PR_PRSIr1-PR_PRSIr0)*MAX(0,MIN(12,D241*12+12-PR_PRSIt1))+(PR_PRSIr2-PR_PRSIr1)*MAX(0,MIN(12,D241*12+12-PR_PRSIt2))+(PR_PRSIr3-PR_PRSIr2)*MAX(0,MIN(12,D241*12+12-PR_PRSIt3)))/12</f>
        <v>0.047</v>
      </c>
      <c r="K241" s="20" t="n">
        <f aca="false">IF(G241=1,F_Income*F241,0)</f>
        <v>71332.6841946425</v>
      </c>
      <c r="L241" s="20" t="n">
        <f aca="false">IF(G241=1,(F_Own+In_penExtra)*12*F241,0)</f>
        <v>3837.2064601256</v>
      </c>
      <c r="M241" s="20" t="n">
        <f aca="false">IF(G241=1,(F_PenM+In_penExtra)*12*F241,0)</f>
        <v>7674.41292025119</v>
      </c>
      <c r="N241" s="51" t="n">
        <f aca="false">IF(C241&lt;PR_RelA1,PR_RelP1,IF(C241&lt;PR_RelA2,PR_RelP2,IF(C241&lt;PR_RelA3,PR_RelP3,IF(C241&lt;PR_RelA4,PR_RelP4,IF(C241&lt;PR_RelA5,PR_RelP5,PR_RelP6)))))</f>
        <v>0.25</v>
      </c>
      <c r="O241" s="20" t="n">
        <f aca="false">IF(G241=1,MIN(L241/H241,N241*MIN(K241/H241,PR_EarnCap))*H241,0)</f>
        <v>3837.2064601256</v>
      </c>
      <c r="P241" s="20" t="n">
        <f aca="false">IF(AND(G241=1,F_AE=1),MIN(K241/H241,PR_AEcap)*H241,0)</f>
        <v>0</v>
      </c>
      <c r="Q241" s="20" t="n">
        <f aca="false">IF(G241=1,IF(WI_Retire=1,MAX(0,M241+WI_M*12),M241)+(PR_AEee+PR_AEer+PR_AEst)*P241,0)</f>
        <v>7674.41292025119</v>
      </c>
      <c r="R241" s="20" t="n">
        <f aca="false">L241+PR_AEee*P241</f>
        <v>3837.2064601256</v>
      </c>
      <c r="S241" s="20" t="n">
        <f aca="false">AD240</f>
        <v>152473.045250493</v>
      </c>
      <c r="T241" s="20" t="n">
        <f aca="false">IF(D241&lt;=PR_SFTfrom,PR_SFT2026,IF(D241=PR_SFTfrom+1,PR_SFT2027,IF(D241=PR_SFTfrom+2,PR_SFT2028,IF(D241&lt;=PR_SFTto,PR_SFT2029,PR_SFT2029*(1+AS_Infl)^(D241-PR_SFTto)))))</f>
        <v>3030810.048</v>
      </c>
      <c r="U241" s="20" t="n">
        <f aca="false">IF(AND(G241=0,C241=F_V),1,0)</f>
        <v>0</v>
      </c>
      <c r="V241" s="20" t="n">
        <f aca="false">IF(U241=1,PR_SFTrate*MAX(0,S241-T241),0)</f>
        <v>0</v>
      </c>
      <c r="W241" s="20" t="n">
        <f aca="false">S241-V241</f>
        <v>152473.045250493</v>
      </c>
      <c r="X241" s="20" t="n">
        <f aca="false">IF(AND(U241=1,AS_LumpPct&gt;0),W241*MIN(AS_LumpPct,PR_LSmax),0)</f>
        <v>0</v>
      </c>
      <c r="Y241" s="20" t="n">
        <f aca="false">X241-(PR_LSrate*MAX(0,MIN(X241,PR_LScap)-PR_LSfree)+PR_r2*MAX(0,X241-PR_LScap))</f>
        <v>0</v>
      </c>
      <c r="Z241" s="20" t="n">
        <f aca="false">W241-X241</f>
        <v>152473.045250493</v>
      </c>
      <c r="AA241" s="51" t="n">
        <f aca="false">IF(C241&gt;=PR_ARFage1,IF(Z241&gt;PR_ARFbig,PR_ARFbigRate,IF(C241&gt;=PR_ARFage2,PR_ARF71,PR_ARF61)),0)</f>
        <v>0</v>
      </c>
      <c r="AB241" s="20" t="n">
        <f aca="false">IF(AS_DrawRule="min",Z241*AA241,IF(AS_DrawRule="fixed",MAX(AS_DrawFixed*E241,Z241*AA241),Z241*MAX(1/MAX(1,AS_End-C241+1),AA241)))</f>
        <v>2989.66755393124</v>
      </c>
      <c r="AC241" s="20" t="n">
        <f aca="false">IF(AND(G241=0,C241&gt;=F_V),MIN(Z241,AB241),0)</f>
        <v>0</v>
      </c>
      <c r="AD241" s="20" t="n">
        <f aca="false">IF(G241=1,S241*(1+F_PenG)+Q241,IF(C241&lt;F_V,S241*(1+F_PenG),(Z241-AC241)*(1+AS_PenRet)))</f>
        <v>167008.745207016</v>
      </c>
      <c r="AE241" s="20" t="n">
        <f aca="false">IF(C241&gt;=PR_SPage,AS_SP*F_SpF*I241+IF(AND(C241&gt;=PR_Over80Age,F_SpF&gt;0),PR_Over80*PR_Weeks*I241,0),0)</f>
        <v>0</v>
      </c>
      <c r="AF241" s="20" t="n">
        <f aca="false">(F_OtherM+F_RentM)*12*E241+IF(AND(In_polInc&gt;0,In_polIncAge&gt;0,C241&gt;=In_polIncAge),In_polInc,0)</f>
        <v>0</v>
      </c>
      <c r="AG241" s="20" t="n">
        <f aca="false">F_PAge+B241</f>
        <v>44</v>
      </c>
      <c r="AH241" s="20" t="n">
        <f aca="false">IF(AND(F_Partner=1,F_PAge&gt;0,AG241&lt;IF(F_PRet&gt;0,F_PRet,PR_SPage)),F_PIncome*F241,0)</f>
        <v>27057.2250393471</v>
      </c>
      <c r="AI241" s="20" t="n">
        <f aca="false">IF(AND(F_Partner=1,AG241&gt;=PR_SPage,F_PSpQA=0),AS_SP*F_PSpF*I241,0)</f>
        <v>0</v>
      </c>
      <c r="AJ241" s="20" t="n">
        <f aca="false">IF(AND(F_Partner=1,F_PSpQA=1,C241&gt;=PR_SPage,AH241=0),IF(AG241&gt;=PR_SPage,PR_QA66,PR_QAunder)*PR_Weeks*I241,0)</f>
        <v>0</v>
      </c>
      <c r="AK241" s="20" t="n">
        <f aca="false">AE241+AJ241</f>
        <v>0</v>
      </c>
      <c r="AL241" s="20" t="n">
        <f aca="false">K241/H241</f>
        <v>62099.3942934979</v>
      </c>
      <c r="AM241" s="20" t="n">
        <f aca="false">AK241/H241</f>
        <v>0</v>
      </c>
      <c r="AN241" s="20" t="n">
        <f aca="false">AC241/H241</f>
        <v>0</v>
      </c>
      <c r="AO241" s="20" t="n">
        <f aca="false">AF241/H241</f>
        <v>0</v>
      </c>
      <c r="AP241" s="20" t="n">
        <f aca="false">O241/H241</f>
        <v>3340.5191413054</v>
      </c>
      <c r="AQ241" s="20" t="n">
        <f aca="false">AH241/H241</f>
        <v>23554.9426630509</v>
      </c>
      <c r="AR241" s="20" t="n">
        <f aca="false">AI241/H241</f>
        <v>0</v>
      </c>
      <c r="AS241" s="20" t="n">
        <f aca="false">MAX(0,AL241+AN241+AO241+AM241-AP241)</f>
        <v>58758.8751521924</v>
      </c>
      <c r="AT241" s="20" t="n">
        <f aca="false">MAX(0,AQ241+AR241)</f>
        <v>23554.9426630509</v>
      </c>
      <c r="AU241" s="20" t="n">
        <f aca="false">MIN(PR_PAYE,PR_PAYEcap*(AL241+AN241+AM241))</f>
        <v>2000</v>
      </c>
      <c r="AV241" s="20" t="n">
        <f aca="false">MIN(PR_PAYE,PR_PAYEcap*(AQ241+AR241))</f>
        <v>2000</v>
      </c>
      <c r="AW241" s="20" t="n">
        <f aca="false">IF(C241&gt;=PR_AgeCrAge,PR_AgeCr,0)</f>
        <v>0</v>
      </c>
      <c r="AX241" s="20" t="n">
        <f aca="false">IF(AG241&gt;=PR_AgeCrAge,PR_AgeCr,0)</f>
        <v>0</v>
      </c>
      <c r="AY241" s="20" t="n">
        <f aca="false">IF(AND(F_RentCred=1,D241&lt;=PR_RentLast),1,0)</f>
        <v>0</v>
      </c>
      <c r="AZ241" s="20" t="n">
        <f aca="false">AS241+AT241</f>
        <v>82313.8178152434</v>
      </c>
      <c r="BA241" s="20" t="n">
        <f aca="false">PR_PersonalM+AU241+AV241+AW241+AX241+IF(AY241=1,PR_RentJoint,0)</f>
        <v>8000</v>
      </c>
      <c r="BB241" s="20" t="n">
        <f aca="false">PR_BandM+MIN(MIN(AS241,AT241),PR_Uplift)</f>
        <v>76554.9426630509</v>
      </c>
      <c r="BC241" s="20" t="n">
        <f aca="false">MAX(0,PR_r1*MIN(AZ241,BB241)+PR_r2*MAX(0,AZ241-BB241)-BA241)</f>
        <v>9614.53859348716</v>
      </c>
      <c r="BD241" s="20" t="n">
        <f aca="false">MAX(0,PR_HomeCarer-MAX(0,MIN(AS241,AT241)-PR_HCLimit)/2)</f>
        <v>0</v>
      </c>
      <c r="BE241" s="20" t="n">
        <f aca="false">IF(F_Carer=1,MIN(BC241,MAX(0,PR_r1*MIN(AZ241,PR_BandM)+PR_r2*MAX(0,AZ241-PR_BandM)-BA241-BD241)),BC241)</f>
        <v>9614.53859348716</v>
      </c>
      <c r="BF241" s="20" t="n">
        <f aca="false">IF(OR(C241&gt;=PR_AgeCrAge,AG241&gt;=PR_AgeCrAge),IF(AZ241&lt;=PR_AgeExM,0,MIN(BE241,PR_AgeMarg*(AZ241-PR_AgeExM))),BE241)</f>
        <v>9614.53859348716</v>
      </c>
      <c r="BG241" s="20" t="n">
        <f aca="false">MAX(0,PR_r1*MIN(AS241,IF(F_Spccc=1,PR_BandSPCCC,PR_Band))+PR_r2*MAX(0,AS241-IF(F_Spccc=1,PR_BandSPCCC,PR_Band))-(PR_Personal+AU241+AW241+IF(F_Spccc=1,PR_SPCCC,0)+IF(AY241=1,PR_Rent,0)))</f>
        <v>10703.550060877</v>
      </c>
      <c r="BH241" s="20" t="n">
        <f aca="false">IF(C241&gt;=PR_AgeCrAge,IF(AS241&lt;=PR_AgeEx,0,MIN(BG241,PR_AgeMarg*(AS241-PR_AgeEx))),BG241)</f>
        <v>10703.550060877</v>
      </c>
      <c r="BI241" s="20" t="n">
        <f aca="false">IF(F_Partner=1,MAX(0,PR_r1*MIN(AT241,PR_Band)+PR_r2*MAX(0,AT241-PR_Band)-(PR_Personal+AV241+AX241+IF(AND(AY241=1,AT241&gt;0),PR_Rent,0))),0)</f>
        <v>710.988532610182</v>
      </c>
      <c r="BJ241" s="20" t="n">
        <f aca="false">IF(AG241&gt;=PR_AgeCrAge,IF(AT241&lt;=PR_AgeEx,0,MIN(BI241,PR_AgeMarg*(AT241-PR_AgeEx))),BI241)</f>
        <v>710.988532610182</v>
      </c>
      <c r="BK241" s="20" t="n">
        <f aca="false">IF(F_Partner=1,IF(F_Married=1,BF241,BH241+BJ241),BH241)</f>
        <v>11414.5385934872</v>
      </c>
      <c r="BL241" s="20" t="n">
        <f aca="false">AL241+AN241+AO241</f>
        <v>62099.3942934979</v>
      </c>
      <c r="BM241" s="20"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1395.80182880494</v>
      </c>
      <c r="BN241" s="20" t="n">
        <f aca="false">AQ241</f>
        <v>23554.9426630509</v>
      </c>
      <c r="BO241" s="20" t="n">
        <f aca="false">IF(F_Partner=1,IF(BN241&lt;=PR_USCex,0,IF(IF(AND(AG241&gt;=PR_USCredAge,BN241&lt;=PR_USCredMax),1,0)=1,PR_USCr1*MIN(BN241,PR_USCredB1)+PR_USCredR2*MAX(0,BN241-PR_USCredB1),PR_USCr1*MIN(BN241,PR_USCb1)+PR_USCr2*MAX(0,MIN(BN241,PR_USCb2)-PR_USCb1)+PR_USCr3*MAX(0,MIN(BN241,PR_USCb3)-PR_USCb2)+PR_USCr4*MAX(0,BN241-PR_USCb3))),0)</f>
        <v>290.918853261018</v>
      </c>
      <c r="BP241" s="20" t="n">
        <f aca="false">IF(C241&lt;PR_PRSIend,IF(F_SelfEmp=1,IF(AL241&gt;PR_PRSIsMinInc,MAX(PR_PRSIsMin,AL241*J241),0),IF(AL241/52&lt;=PR_PRSIfree,0,MAX(0,(AL241/52*J241-IF(AL241/52&lt;=PR_PRSIcreditTo,MAX(0,PR_PRSIcreditMax-(AL241/52-(PR_PRSIfree+0.01))/PR_PRSItaper),0))*52)))+J241*AN241+IF(AO241&gt;PR_PRSIunearned,J241*AO241,0),0)+IF(AND(PRSI_ARF_Applies=1,AN241&gt;0,C241&gt;=PR_PRSIend,C241&lt;PRSI_ARF_ToAge,NOT(AK241&gt;0)),J241*AN241,0)</f>
        <v>2918.6715317944</v>
      </c>
      <c r="BQ241" s="20" t="n">
        <f aca="false">IF(AND(F_Partner=1,AG241&lt;PR_PRSIend),IF(AQ241/52&lt;=PR_PRSIfree,0,MAX(0,(AQ241/52*J241-IF(AQ241/52&lt;=PR_PRSIcreditTo,MAX(0,PR_PRSIcreditMax-(AQ241/52-(PR_PRSIfree+0.01))/PR_PRSItaper),0))*52)),0)</f>
        <v>1107.08230516339</v>
      </c>
      <c r="BR241" s="20" t="n">
        <f aca="false">BK241+BM241+BO241+BP241+BQ241</f>
        <v>17127.0131125109</v>
      </c>
      <c r="BS241" s="20" t="n">
        <f aca="false">BR241*H241</f>
        <v>19673.5544919826</v>
      </c>
      <c r="BT241" s="20" t="n">
        <f aca="false">K241+AK241+AC241+AF241+AH241+AI241</f>
        <v>98389.9092339896</v>
      </c>
    </row>
    <row r="242" customFormat="false" ht="15" hidden="false" customHeight="true" outlineLevel="0" collapsed="false">
      <c r="B242" s="20" t="n">
        <v>8</v>
      </c>
      <c r="C242" s="20" t="n">
        <f aca="false">F_Age+B242</f>
        <v>46</v>
      </c>
      <c r="D242" s="20" t="n">
        <f aca="false">AS_Year0+B242</f>
        <v>2034</v>
      </c>
      <c r="E242" s="50" t="n">
        <f aca="false">(1+AS_Infl)^B242</f>
        <v>1.17165938100227</v>
      </c>
      <c r="F242" s="50" t="n">
        <f aca="false">(1+AS_Wage)^B242</f>
        <v>1.26677008138762</v>
      </c>
      <c r="G242" s="20" t="n">
        <f aca="false">IF(C242&lt;F_R,1,0)</f>
        <v>1</v>
      </c>
      <c r="H242" s="50" t="n">
        <f aca="false">IF(AS_Bands="flat",1,E242)</f>
        <v>1.17165938100227</v>
      </c>
      <c r="I242" s="50" t="n">
        <f aca="false">IF(AS_SpGrow="pay",F242,IF(AS_SpGrow="flat",1,E242))</f>
        <v>1.17165938100227</v>
      </c>
      <c r="J242" s="50" t="n">
        <f aca="false">(12*PR_PRSIr0+(PR_PRSIr1-PR_PRSIr0)*MAX(0,MIN(12,D242*12+12-PR_PRSIt1))+(PR_PRSIr2-PR_PRSIr1)*MAX(0,MIN(12,D242*12+12-PR_PRSIt2))+(PR_PRSIr3-PR_PRSIr2)*MAX(0,MIN(12,D242*12+12-PR_PRSIt3)))/12</f>
        <v>0.047</v>
      </c>
      <c r="K242" s="20" t="n">
        <f aca="false">IF(G242=1,F_Income*F242,0)</f>
        <v>73472.6647204818</v>
      </c>
      <c r="L242" s="20" t="n">
        <f aca="false">IF(G242=1,(F_Own+In_penExtra)*12*F242,0)</f>
        <v>3952.32265392936</v>
      </c>
      <c r="M242" s="20" t="n">
        <f aca="false">IF(G242=1,(F_PenM+In_penExtra)*12*F242,0)</f>
        <v>7904.64530785873</v>
      </c>
      <c r="N242" s="51" t="n">
        <f aca="false">IF(C242&lt;PR_RelA1,PR_RelP1,IF(C242&lt;PR_RelA2,PR_RelP2,IF(C242&lt;PR_RelA3,PR_RelP3,IF(C242&lt;PR_RelA4,PR_RelP4,IF(C242&lt;PR_RelA5,PR_RelP5,PR_RelP6)))))</f>
        <v>0.25</v>
      </c>
      <c r="O242" s="20" t="n">
        <f aca="false">IF(G242=1,MIN(L242/H242,N242*MIN(K242/H242,PR_EarnCap))*H242,0)</f>
        <v>3952.32265392936</v>
      </c>
      <c r="P242" s="20" t="n">
        <f aca="false">IF(AND(G242=1,F_AE=1),MIN(K242/H242,PR_AEcap)*H242,0)</f>
        <v>0</v>
      </c>
      <c r="Q242" s="20" t="n">
        <f aca="false">IF(G242=1,IF(WI_Retire=1,MAX(0,M242+WI_M*12),M242)+(PR_AEee+PR_AEer+PR_AEst)*P242,0)</f>
        <v>7904.64530785873</v>
      </c>
      <c r="R242" s="20" t="n">
        <f aca="false">L242+PR_AEee*P242</f>
        <v>3952.32265392936</v>
      </c>
      <c r="S242" s="20" t="n">
        <f aca="false">AD241</f>
        <v>167008.745207016</v>
      </c>
      <c r="T242" s="20" t="n">
        <f aca="false">IF(D242&lt;=PR_SFTfrom,PR_SFT2026,IF(D242=PR_SFTfrom+1,PR_SFT2027,IF(D242=PR_SFTfrom+2,PR_SFT2028,IF(D242&lt;=PR_SFTto,PR_SFT2029,PR_SFT2029*(1+AS_Infl)^(D242-PR_SFTto)))))</f>
        <v>3091426.24896</v>
      </c>
      <c r="U242" s="20" t="n">
        <f aca="false">IF(AND(G242=0,C242=F_V),1,0)</f>
        <v>0</v>
      </c>
      <c r="V242" s="20" t="n">
        <f aca="false">IF(U242=1,PR_SFTrate*MAX(0,S242-T242),0)</f>
        <v>0</v>
      </c>
      <c r="W242" s="20" t="n">
        <f aca="false">S242-V242</f>
        <v>167008.745207016</v>
      </c>
      <c r="X242" s="20" t="n">
        <f aca="false">IF(AND(U242=1,AS_LumpPct&gt;0),W242*MIN(AS_LumpPct,PR_LSmax),0)</f>
        <v>0</v>
      </c>
      <c r="Y242" s="20" t="n">
        <f aca="false">X242-(PR_LSrate*MAX(0,MIN(X242,PR_LScap)-PR_LSfree)+PR_r2*MAX(0,X242-PR_LScap))</f>
        <v>0</v>
      </c>
      <c r="Z242" s="20" t="n">
        <f aca="false">W242-X242</f>
        <v>167008.745207016</v>
      </c>
      <c r="AA242" s="51" t="n">
        <f aca="false">IF(C242&gt;=PR_ARFage1,IF(Z242&gt;PR_ARFbig,PR_ARFbigRate,IF(C242&gt;=PR_ARFage2,PR_ARF71,PR_ARF61)),0)</f>
        <v>0</v>
      </c>
      <c r="AB242" s="20" t="n">
        <f aca="false">IF(AS_DrawRule="min",Z242*AA242,IF(AS_DrawRule="fixed",MAX(AS_DrawFixed*E242,Z242*AA242),Z242*MAX(1/MAX(1,AS_End-C242+1),AA242)))</f>
        <v>3340.17490414033</v>
      </c>
      <c r="AC242" s="20" t="n">
        <f aca="false">IF(AND(G242=0,C242&gt;=F_V),MIN(Z242,AB242),0)</f>
        <v>0</v>
      </c>
      <c r="AD242" s="20" t="n">
        <f aca="false">IF(G242=1,S242*(1+F_PenG)+Q242,IF(C242&lt;F_V,S242*(1+F_PenG),(Z242-AC242)*(1+AS_PenRet)))</f>
        <v>182428.784049191</v>
      </c>
      <c r="AE242" s="20" t="n">
        <f aca="false">IF(C242&gt;=PR_SPage,AS_SP*F_SpF*I242+IF(AND(C242&gt;=PR_Over80Age,F_SpF&gt;0),PR_Over80*PR_Weeks*I242,0),0)</f>
        <v>0</v>
      </c>
      <c r="AF242" s="20" t="n">
        <f aca="false">(F_OtherM+F_RentM)*12*E242+IF(AND(In_polInc&gt;0,In_polIncAge&gt;0,C242&gt;=In_polIncAge),In_polInc,0)</f>
        <v>0</v>
      </c>
      <c r="AG242" s="20" t="n">
        <f aca="false">F_PAge+B242</f>
        <v>45</v>
      </c>
      <c r="AH242" s="20" t="n">
        <f aca="false">IF(AND(F_Partner=1,F_PAge&gt;0,AG242&lt;IF(F_PRet&gt;0,F_PRet,PR_SPage)),F_PIncome*F242,0)</f>
        <v>27868.9417905276</v>
      </c>
      <c r="AI242" s="20" t="n">
        <f aca="false">IF(AND(F_Partner=1,AG242&gt;=PR_SPage,F_PSpQA=0),AS_SP*F_PSpF*I242,0)</f>
        <v>0</v>
      </c>
      <c r="AJ242" s="20" t="n">
        <f aca="false">IF(AND(F_Partner=1,F_PSpQA=1,C242&gt;=PR_SPage,AH242=0),IF(AG242&gt;=PR_SPage,PR_QA66,PR_QAunder)*PR_Weeks*I242,0)</f>
        <v>0</v>
      </c>
      <c r="AK242" s="20" t="n">
        <f aca="false">AE242+AJ242</f>
        <v>0</v>
      </c>
      <c r="AL242" s="20" t="n">
        <f aca="false">K242/H242</f>
        <v>62708.2118846106</v>
      </c>
      <c r="AM242" s="20" t="n">
        <f aca="false">AK242/H242</f>
        <v>0</v>
      </c>
      <c r="AN242" s="20" t="n">
        <f aca="false">AC242/H242</f>
        <v>0</v>
      </c>
      <c r="AO242" s="20" t="n">
        <f aca="false">AF242/H242</f>
        <v>0</v>
      </c>
      <c r="AP242" s="20" t="n">
        <f aca="false">O242/H242</f>
        <v>3373.26932896526</v>
      </c>
      <c r="AQ242" s="20" t="n">
        <f aca="false">AH242/H242</f>
        <v>23785.873473473</v>
      </c>
      <c r="AR242" s="20" t="n">
        <f aca="false">AI242/H242</f>
        <v>0</v>
      </c>
      <c r="AS242" s="20" t="n">
        <f aca="false">MAX(0,AL242+AN242+AO242+AM242-AP242)</f>
        <v>59334.9425556453</v>
      </c>
      <c r="AT242" s="20" t="n">
        <f aca="false">MAX(0,AQ242+AR242)</f>
        <v>23785.873473473</v>
      </c>
      <c r="AU242" s="20" t="n">
        <f aca="false">MIN(PR_PAYE,PR_PAYEcap*(AL242+AN242+AM242))</f>
        <v>2000</v>
      </c>
      <c r="AV242" s="20" t="n">
        <f aca="false">MIN(PR_PAYE,PR_PAYEcap*(AQ242+AR242))</f>
        <v>2000</v>
      </c>
      <c r="AW242" s="20" t="n">
        <f aca="false">IF(C242&gt;=PR_AgeCrAge,PR_AgeCr,0)</f>
        <v>0</v>
      </c>
      <c r="AX242" s="20" t="n">
        <f aca="false">IF(AG242&gt;=PR_AgeCrAge,PR_AgeCr,0)</f>
        <v>0</v>
      </c>
      <c r="AY242" s="20" t="n">
        <f aca="false">IF(AND(F_RentCred=1,D242&lt;=PR_RentLast),1,0)</f>
        <v>0</v>
      </c>
      <c r="AZ242" s="20" t="n">
        <f aca="false">AS242+AT242</f>
        <v>83120.8160291183</v>
      </c>
      <c r="BA242" s="20" t="n">
        <f aca="false">PR_PersonalM+AU242+AV242+AW242+AX242+IF(AY242=1,PR_RentJoint,0)</f>
        <v>8000</v>
      </c>
      <c r="BB242" s="20" t="n">
        <f aca="false">PR_BandM+MIN(MIN(AS242,AT242),PR_Uplift)</f>
        <v>76785.873473473</v>
      </c>
      <c r="BC242" s="20" t="n">
        <f aca="false">MAX(0,PR_r1*MIN(AZ242,BB242)+PR_r2*MAX(0,AZ242-BB242)-BA242)</f>
        <v>9891.15171695273</v>
      </c>
      <c r="BD242" s="20" t="n">
        <f aca="false">MAX(0,PR_HomeCarer-MAX(0,MIN(AS242,AT242)-PR_HCLimit)/2)</f>
        <v>0</v>
      </c>
      <c r="BE242" s="20" t="n">
        <f aca="false">IF(F_Carer=1,MIN(BC242,MAX(0,PR_r1*MIN(AZ242,PR_BandM)+PR_r2*MAX(0,AZ242-PR_BandM)-BA242-BD242)),BC242)</f>
        <v>9891.15171695273</v>
      </c>
      <c r="BF242" s="20" t="n">
        <f aca="false">IF(OR(C242&gt;=PR_AgeCrAge,AG242&gt;=PR_AgeCrAge),IF(AZ242&lt;=PR_AgeExM,0,MIN(BE242,PR_AgeMarg*(AZ242-PR_AgeExM))),BE242)</f>
        <v>9891.15171695273</v>
      </c>
      <c r="BG242" s="20" t="n">
        <f aca="false">MAX(0,PR_r1*MIN(AS242,IF(F_Spccc=1,PR_BandSPCCC,PR_Band))+PR_r2*MAX(0,AS242-IF(F_Spccc=1,PR_BandSPCCC,PR_Band))-(PR_Personal+AU242+AW242+IF(F_Spccc=1,PR_SPCCC,0)+IF(AY242=1,PR_Rent,0)))</f>
        <v>10933.9770222581</v>
      </c>
      <c r="BH242" s="20" t="n">
        <f aca="false">IF(C242&gt;=PR_AgeCrAge,IF(AS242&lt;=PR_AgeEx,0,MIN(BG242,PR_AgeMarg*(AS242-PR_AgeEx))),BG242)</f>
        <v>10933.9770222581</v>
      </c>
      <c r="BI242" s="20" t="n">
        <f aca="false">IF(F_Partner=1,MAX(0,PR_r1*MIN(AT242,PR_Band)+PR_r2*MAX(0,AT242-PR_Band)-(PR_Personal+AV242+AX242+IF(AND(AY242=1,AT242&gt;0),PR_Rent,0))),0)</f>
        <v>757.174694694596</v>
      </c>
      <c r="BJ242" s="20" t="n">
        <f aca="false">IF(AG242&gt;=PR_AgeCrAge,IF(AT242&lt;=PR_AgeEx,0,MIN(BI242,PR_AgeMarg*(AT242-PR_AgeEx))),BI242)</f>
        <v>757.174694694596</v>
      </c>
      <c r="BK242" s="20" t="n">
        <f aca="false">IF(F_Partner=1,IF(F_Married=1,BF242,BH242+BJ242),BH242)</f>
        <v>11691.1517169527</v>
      </c>
      <c r="BL242" s="20" t="n">
        <f aca="false">AL242+AN242+AO242</f>
        <v>62708.2118846106</v>
      </c>
      <c r="BM242" s="20"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1414.06635653832</v>
      </c>
      <c r="BN242" s="20" t="n">
        <f aca="false">AQ242</f>
        <v>23785.873473473</v>
      </c>
      <c r="BO242" s="20" t="n">
        <f aca="false">IF(F_Partner=1,IF(BN242&lt;=PR_USCex,0,IF(IF(AND(AG242&gt;=PR_USCredAge,BN242&lt;=PR_USCredMax),1,0)=1,PR_USCr1*MIN(BN242,PR_USCredB1)+PR_USCredR2*MAX(0,BN242-PR_USCredB1),PR_USCr1*MIN(BN242,PR_USCb1)+PR_USCr2*MAX(0,MIN(BN242,PR_USCb2)-PR_USCb1)+PR_USCr3*MAX(0,MIN(BN242,PR_USCb3)-PR_USCb2)+PR_USCr4*MAX(0,BN242-PR_USCb3))),0)</f>
        <v>295.53746946946</v>
      </c>
      <c r="BP242" s="20" t="n">
        <f aca="false">IF(C242&lt;PR_PRSIend,IF(F_SelfEmp=1,IF(AL242&gt;PR_PRSIsMinInc,MAX(PR_PRSIsMin,AL242*J242),0),IF(AL242/52&lt;=PR_PRSIfree,0,MAX(0,(AL242/52*J242-IF(AL242/52&lt;=PR_PRSIcreditTo,MAX(0,PR_PRSIcreditMax-(AL242/52-(PR_PRSIfree+0.01))/PR_PRSItaper),0))*52)))+J242*AN242+IF(AO242&gt;PR_PRSIunearned,J242*AO242,0),0)+IF(AND(PRSI_ARF_Applies=1,AN242&gt;0,C242&gt;=PR_PRSIend,C242&lt;PRSI_ARF_ToAge,NOT(AK242&gt;0)),J242*AN242,0)</f>
        <v>2947.2859585767</v>
      </c>
      <c r="BQ242" s="20" t="n">
        <f aca="false">IF(AND(F_Partner=1,AG242&lt;PR_PRSIend),IF(AQ242/52&lt;=PR_PRSIfree,0,MAX(0,(AQ242/52*J242-IF(AQ242/52&lt;=PR_PRSIcreditTo,MAX(0,PR_PRSIcreditMax-(AQ242/52-(PR_PRSIfree+0.01))/PR_PRSItaper),0))*52)),0)</f>
        <v>1117.93605325323</v>
      </c>
      <c r="BR242" s="20" t="n">
        <f aca="false">BK242+BM242+BO242+BP242+BQ242</f>
        <v>17465.9775547904</v>
      </c>
      <c r="BS242" s="20" t="n">
        <f aca="false">BR242*H242</f>
        <v>20464.1764504452</v>
      </c>
      <c r="BT242" s="20" t="n">
        <f aca="false">K242+AK242+AC242+AF242+AH242+AI242</f>
        <v>101341.606511009</v>
      </c>
    </row>
    <row r="243" customFormat="false" ht="15" hidden="false" customHeight="true" outlineLevel="0" collapsed="false">
      <c r="B243" s="20" t="n">
        <v>9</v>
      </c>
      <c r="C243" s="20" t="n">
        <f aca="false">F_Age+B243</f>
        <v>47</v>
      </c>
      <c r="D243" s="20" t="n">
        <f aca="false">AS_Year0+B243</f>
        <v>2035</v>
      </c>
      <c r="E243" s="50" t="n">
        <f aca="false">(1+AS_Infl)^B243</f>
        <v>1.19509256862231</v>
      </c>
      <c r="F243" s="50" t="n">
        <f aca="false">(1+AS_Wage)^B243</f>
        <v>1.30477318382925</v>
      </c>
      <c r="G243" s="20" t="n">
        <f aca="false">IF(C243&lt;F_R,1,0)</f>
        <v>1</v>
      </c>
      <c r="H243" s="50" t="n">
        <f aca="false">IF(AS_Bands="flat",1,E243)</f>
        <v>1.19509256862231</v>
      </c>
      <c r="I243" s="50" t="n">
        <f aca="false">IF(AS_SpGrow="pay",F243,IF(AS_SpGrow="flat",1,E243))</f>
        <v>1.19509256862231</v>
      </c>
      <c r="J243" s="50" t="n">
        <f aca="false">(12*PR_PRSIr0+(PR_PRSIr1-PR_PRSIr0)*MAX(0,MIN(12,D243*12+12-PR_PRSIt1))+(PR_PRSIr2-PR_PRSIr1)*MAX(0,MIN(12,D243*12+12-PR_PRSIt2))+(PR_PRSIr3-PR_PRSIr2)*MAX(0,MIN(12,D243*12+12-PR_PRSIt3)))/12</f>
        <v>0.047</v>
      </c>
      <c r="K243" s="20" t="n">
        <f aca="false">IF(G243=1,F_Income*F243,0)</f>
        <v>75676.8446620962</v>
      </c>
      <c r="L243" s="20" t="n">
        <f aca="false">IF(G243=1,(F_Own+In_penExtra)*12*F243,0)</f>
        <v>4070.89233354724</v>
      </c>
      <c r="M243" s="20" t="n">
        <f aca="false">IF(G243=1,(F_PenM+In_penExtra)*12*F243,0)</f>
        <v>8141.78466709449</v>
      </c>
      <c r="N243" s="51" t="n">
        <f aca="false">IF(C243&lt;PR_RelA1,PR_RelP1,IF(C243&lt;PR_RelA2,PR_RelP2,IF(C243&lt;PR_RelA3,PR_RelP3,IF(C243&lt;PR_RelA4,PR_RelP4,IF(C243&lt;PR_RelA5,PR_RelP5,PR_RelP6)))))</f>
        <v>0.25</v>
      </c>
      <c r="O243" s="20" t="n">
        <f aca="false">IF(G243=1,MIN(L243/H243,N243*MIN(K243/H243,PR_EarnCap))*H243,0)</f>
        <v>4070.89233354724</v>
      </c>
      <c r="P243" s="20" t="n">
        <f aca="false">IF(AND(G243=1,F_AE=1),MIN(K243/H243,PR_AEcap)*H243,0)</f>
        <v>0</v>
      </c>
      <c r="Q243" s="20" t="n">
        <f aca="false">IF(G243=1,IF(WI_Retire=1,MAX(0,M243+WI_M*12),M243)+(PR_AEee+PR_AEer+PR_AEst)*P243,0)</f>
        <v>8141.78466709449</v>
      </c>
      <c r="R243" s="20" t="n">
        <f aca="false">L243+PR_AEee*P243</f>
        <v>4070.89233354724</v>
      </c>
      <c r="S243" s="20" t="n">
        <f aca="false">AD242</f>
        <v>182428.784049191</v>
      </c>
      <c r="T243" s="20" t="n">
        <f aca="false">IF(D243&lt;=PR_SFTfrom,PR_SFT2026,IF(D243=PR_SFTfrom+1,PR_SFT2027,IF(D243=PR_SFTfrom+2,PR_SFT2028,IF(D243&lt;=PR_SFTto,PR_SFT2029,PR_SFT2029*(1+AS_Infl)^(D243-PR_SFTto)))))</f>
        <v>3153254.7739392</v>
      </c>
      <c r="U243" s="20" t="n">
        <f aca="false">IF(AND(G243=0,C243=F_V),1,0)</f>
        <v>0</v>
      </c>
      <c r="V243" s="20" t="n">
        <f aca="false">IF(U243=1,PR_SFTrate*MAX(0,S243-T243),0)</f>
        <v>0</v>
      </c>
      <c r="W243" s="20" t="n">
        <f aca="false">S243-V243</f>
        <v>182428.784049191</v>
      </c>
      <c r="X243" s="20" t="n">
        <f aca="false">IF(AND(U243=1,AS_LumpPct&gt;0),W243*MIN(AS_LumpPct,PR_LSmax),0)</f>
        <v>0</v>
      </c>
      <c r="Y243" s="20" t="n">
        <f aca="false">X243-(PR_LSrate*MAX(0,MIN(X243,PR_LScap)-PR_LSfree)+PR_r2*MAX(0,X243-PR_LScap))</f>
        <v>0</v>
      </c>
      <c r="Z243" s="20" t="n">
        <f aca="false">W243-X243</f>
        <v>182428.784049191</v>
      </c>
      <c r="AA243" s="51" t="n">
        <f aca="false">IF(C243&gt;=PR_ARFage1,IF(Z243&gt;PR_ARFbig,PR_ARFbigRate,IF(C243&gt;=PR_ARFage2,PR_ARF71,PR_ARF61)),0)</f>
        <v>0</v>
      </c>
      <c r="AB243" s="20" t="n">
        <f aca="false">IF(AS_DrawRule="min",Z243*AA243,IF(AS_DrawRule="fixed",MAX(AS_DrawFixed*E243,Z243*AA243),Z243*MAX(1/MAX(1,AS_End-C243+1),AA243)))</f>
        <v>3723.03640916716</v>
      </c>
      <c r="AC243" s="20" t="n">
        <f aca="false">IF(AND(G243=0,C243&gt;=F_V),MIN(Z243,AB243),0)</f>
        <v>0</v>
      </c>
      <c r="AD243" s="20" t="n">
        <f aca="false">IF(G243=1,S243*(1+F_PenG)+Q243,IF(C243&lt;F_V,S243*(1+F_PenG),(Z243-AC243)*(1+AS_PenRet)))</f>
        <v>198779.863998499</v>
      </c>
      <c r="AE243" s="20" t="n">
        <f aca="false">IF(C243&gt;=PR_SPage,AS_SP*F_SpF*I243+IF(AND(C243&gt;=PR_Over80Age,F_SpF&gt;0),PR_Over80*PR_Weeks*I243,0),0)</f>
        <v>0</v>
      </c>
      <c r="AF243" s="20" t="n">
        <f aca="false">(F_OtherM+F_RentM)*12*E243+IF(AND(In_polInc&gt;0,In_polIncAge&gt;0,C243&gt;=In_polIncAge),In_polInc,0)</f>
        <v>0</v>
      </c>
      <c r="AG243" s="20" t="n">
        <f aca="false">F_PAge+B243</f>
        <v>46</v>
      </c>
      <c r="AH243" s="20" t="n">
        <f aca="false">IF(AND(F_Partner=1,F_PAge&gt;0,AG243&lt;IF(F_PRet&gt;0,F_PRet,PR_SPage)),F_PIncome*F243,0)</f>
        <v>28705.0100442434</v>
      </c>
      <c r="AI243" s="20" t="n">
        <f aca="false">IF(AND(F_Partner=1,AG243&gt;=PR_SPage,F_PSpQA=0),AS_SP*F_PSpF*I243,0)</f>
        <v>0</v>
      </c>
      <c r="AJ243" s="20" t="n">
        <f aca="false">IF(AND(F_Partner=1,F_PSpQA=1,C243&gt;=PR_SPage,AH243=0),IF(AG243&gt;=PR_SPage,PR_QA66,PR_QAunder)*PR_Weeks*I243,0)</f>
        <v>0</v>
      </c>
      <c r="AK243" s="20" t="n">
        <f aca="false">AE243+AJ243</f>
        <v>0</v>
      </c>
      <c r="AL243" s="20" t="n">
        <f aca="false">K243/H243</f>
        <v>63322.9982756362</v>
      </c>
      <c r="AM243" s="20" t="n">
        <f aca="false">AK243/H243</f>
        <v>0</v>
      </c>
      <c r="AN243" s="20" t="n">
        <f aca="false">AC243/H243</f>
        <v>0</v>
      </c>
      <c r="AO243" s="20" t="n">
        <f aca="false">AF243/H243</f>
        <v>0</v>
      </c>
      <c r="AP243" s="20" t="n">
        <f aca="false">O243/H243</f>
        <v>3406.34059689629</v>
      </c>
      <c r="AQ243" s="20" t="n">
        <f aca="false">AH243/H243</f>
        <v>24019.0683114482</v>
      </c>
      <c r="AR243" s="20" t="n">
        <f aca="false">AI243/H243</f>
        <v>0</v>
      </c>
      <c r="AS243" s="20" t="n">
        <f aca="false">MAX(0,AL243+AN243+AO243+AM243-AP243)</f>
        <v>59916.6576787399</v>
      </c>
      <c r="AT243" s="20" t="n">
        <f aca="false">MAX(0,AQ243+AR243)</f>
        <v>24019.0683114482</v>
      </c>
      <c r="AU243" s="20" t="n">
        <f aca="false">MIN(PR_PAYE,PR_PAYEcap*(AL243+AN243+AM243))</f>
        <v>2000</v>
      </c>
      <c r="AV243" s="20" t="n">
        <f aca="false">MIN(PR_PAYE,PR_PAYEcap*(AQ243+AR243))</f>
        <v>2000</v>
      </c>
      <c r="AW243" s="20" t="n">
        <f aca="false">IF(C243&gt;=PR_AgeCrAge,PR_AgeCr,0)</f>
        <v>0</v>
      </c>
      <c r="AX243" s="20" t="n">
        <f aca="false">IF(AG243&gt;=PR_AgeCrAge,PR_AgeCr,0)</f>
        <v>0</v>
      </c>
      <c r="AY243" s="20" t="n">
        <f aca="false">IF(AND(F_RentCred=1,D243&lt;=PR_RentLast),1,0)</f>
        <v>0</v>
      </c>
      <c r="AZ243" s="20" t="n">
        <f aca="false">AS243+AT243</f>
        <v>83935.7259901881</v>
      </c>
      <c r="BA243" s="20" t="n">
        <f aca="false">PR_PersonalM+AU243+AV243+AW243+AX243+IF(AY243=1,PR_RentJoint,0)</f>
        <v>8000</v>
      </c>
      <c r="BB243" s="20" t="n">
        <f aca="false">PR_BandM+MIN(MIN(AS243,AT243),PR_Uplift)</f>
        <v>77019.0683114482</v>
      </c>
      <c r="BC243" s="20" t="n">
        <f aca="false">MAX(0,PR_r1*MIN(AZ243,BB243)+PR_r2*MAX(0,AZ243-BB243)-BA243)</f>
        <v>10170.4767337856</v>
      </c>
      <c r="BD243" s="20" t="n">
        <f aca="false">MAX(0,PR_HomeCarer-MAX(0,MIN(AS243,AT243)-PR_HCLimit)/2)</f>
        <v>0</v>
      </c>
      <c r="BE243" s="20" t="n">
        <f aca="false">IF(F_Carer=1,MIN(BC243,MAX(0,PR_r1*MIN(AZ243,PR_BandM)+PR_r2*MAX(0,AZ243-PR_BandM)-BA243-BD243)),BC243)</f>
        <v>10170.4767337856</v>
      </c>
      <c r="BF243" s="20" t="n">
        <f aca="false">IF(OR(C243&gt;=PR_AgeCrAge,AG243&gt;=PR_AgeCrAge),IF(AZ243&lt;=PR_AgeExM,0,MIN(BE243,PR_AgeMarg*(AZ243-PR_AgeExM))),BE243)</f>
        <v>10170.4767337856</v>
      </c>
      <c r="BG243" s="20" t="n">
        <f aca="false">MAX(0,PR_r1*MIN(AS243,IF(F_Spccc=1,PR_BandSPCCC,PR_Band))+PR_r2*MAX(0,AS243-IF(F_Spccc=1,PR_BandSPCCC,PR_Band))-(PR_Personal+AU243+AW243+IF(F_Spccc=1,PR_SPCCC,0)+IF(AY243=1,PR_Rent,0)))</f>
        <v>11166.663071496</v>
      </c>
      <c r="BH243" s="20" t="n">
        <f aca="false">IF(C243&gt;=PR_AgeCrAge,IF(AS243&lt;=PR_AgeEx,0,MIN(BG243,PR_AgeMarg*(AS243-PR_AgeEx))),BG243)</f>
        <v>11166.663071496</v>
      </c>
      <c r="BI243" s="20" t="n">
        <f aca="false">IF(F_Partner=1,MAX(0,PR_r1*MIN(AT243,PR_Band)+PR_r2*MAX(0,AT243-PR_Band)-(PR_Personal+AV243+AX243+IF(AND(AY243=1,AT243&gt;0),PR_Rent,0))),0)</f>
        <v>803.813662289641</v>
      </c>
      <c r="BJ243" s="20" t="n">
        <f aca="false">IF(AG243&gt;=PR_AgeCrAge,IF(AT243&lt;=PR_AgeEx,0,MIN(BI243,PR_AgeMarg*(AT243-PR_AgeEx))),BI243)</f>
        <v>803.813662289641</v>
      </c>
      <c r="BK243" s="20" t="n">
        <f aca="false">IF(F_Partner=1,IF(F_Married=1,BF243,BH243+BJ243),BH243)</f>
        <v>11970.4767337856</v>
      </c>
      <c r="BL243" s="20" t="n">
        <f aca="false">AL243+AN243+AO243</f>
        <v>63322.9982756362</v>
      </c>
      <c r="BM243" s="20"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1432.50994826909</v>
      </c>
      <c r="BN243" s="20" t="n">
        <f aca="false">AQ243</f>
        <v>24019.0683114482</v>
      </c>
      <c r="BO243" s="20" t="n">
        <f aca="false">IF(F_Partner=1,IF(BN243&lt;=PR_USCex,0,IF(IF(AND(AG243&gt;=PR_USCredAge,BN243&lt;=PR_USCredMax),1,0)=1,PR_USCr1*MIN(BN243,PR_USCredB1)+PR_USCredR2*MAX(0,BN243-PR_USCredB1),PR_USCr1*MIN(BN243,PR_USCb1)+PR_USCr2*MAX(0,MIN(BN243,PR_USCb2)-PR_USCb1)+PR_USCr3*MAX(0,MIN(BN243,PR_USCb3)-PR_USCb2)+PR_USCr4*MAX(0,BN243-PR_USCb3))),0)</f>
        <v>300.201366228964</v>
      </c>
      <c r="BP243" s="20" t="n">
        <f aca="false">IF(C243&lt;PR_PRSIend,IF(F_SelfEmp=1,IF(AL243&gt;PR_PRSIsMinInc,MAX(PR_PRSIsMin,AL243*J243),0),IF(AL243/52&lt;=PR_PRSIfree,0,MAX(0,(AL243/52*J243-IF(AL243/52&lt;=PR_PRSIcreditTo,MAX(0,PR_PRSIcreditMax-(AL243/52-(PR_PRSIfree+0.01))/PR_PRSItaper),0))*52)))+J243*AN243+IF(AO243&gt;PR_PRSIunearned,J243*AO243,0),0)+IF(AND(PRSI_ARF_Applies=1,AN243&gt;0,C243&gt;=PR_PRSIend,C243&lt;PRSI_ARF_ToAge,NOT(AK243&gt;0)),J243*AN243,0)</f>
        <v>2976.1809189549</v>
      </c>
      <c r="BQ243" s="20" t="n">
        <f aca="false">IF(AND(F_Partner=1,AG243&lt;PR_PRSIend),IF(AQ243/52&lt;=PR_PRSIfree,0,MAX(0,(AQ243/52*J243-IF(AQ243/52&lt;=PR_PRSIcreditTo,MAX(0,PR_PRSIcreditMax-(AQ243/52-(PR_PRSIfree+0.01))/PR_PRSItaper),0))*52)),0)</f>
        <v>1128.89621063807</v>
      </c>
      <c r="BR243" s="20" t="n">
        <f aca="false">BK243+BM243+BO243+BP243+BQ243</f>
        <v>17808.2651778766</v>
      </c>
      <c r="BS243" s="20" t="n">
        <f aca="false">BR243*H243</f>
        <v>21282.5253741358</v>
      </c>
      <c r="BT243" s="20" t="n">
        <f aca="false">K243+AK243+AC243+AF243+AH243+AI243</f>
        <v>104381.85470634</v>
      </c>
    </row>
    <row r="244" customFormat="false" ht="15" hidden="false" customHeight="true" outlineLevel="0" collapsed="false">
      <c r="B244" s="20" t="n">
        <v>10</v>
      </c>
      <c r="C244" s="20" t="n">
        <f aca="false">F_Age+B244</f>
        <v>48</v>
      </c>
      <c r="D244" s="20" t="n">
        <f aca="false">AS_Year0+B244</f>
        <v>2036</v>
      </c>
      <c r="E244" s="50" t="n">
        <f aca="false">(1+AS_Infl)^B244</f>
        <v>1.21899441999476</v>
      </c>
      <c r="F244" s="50" t="n">
        <f aca="false">(1+AS_Wage)^B244</f>
        <v>1.34391637934412</v>
      </c>
      <c r="G244" s="20" t="n">
        <f aca="false">IF(C244&lt;F_R,1,0)</f>
        <v>1</v>
      </c>
      <c r="H244" s="50" t="n">
        <f aca="false">IF(AS_Bands="flat",1,E244)</f>
        <v>1.21899441999476</v>
      </c>
      <c r="I244" s="50" t="n">
        <f aca="false">IF(AS_SpGrow="pay",F244,IF(AS_SpGrow="flat",1,E244))</f>
        <v>1.21899441999476</v>
      </c>
      <c r="J244" s="50" t="n">
        <f aca="false">(12*PR_PRSIr0+(PR_PRSIr1-PR_PRSIr0)*MAX(0,MIN(12,D244*12+12-PR_PRSIt1))+(PR_PRSIr2-PR_PRSIr1)*MAX(0,MIN(12,D244*12+12-PR_PRSIt2))+(PR_PRSIr3-PR_PRSIr2)*MAX(0,MIN(12,D244*12+12-PR_PRSIt3)))/12</f>
        <v>0.047</v>
      </c>
      <c r="K244" s="20" t="n">
        <f aca="false">IF(G244=1,F_Income*F244,0)</f>
        <v>77947.1500019591</v>
      </c>
      <c r="L244" s="20" t="n">
        <f aca="false">IF(G244=1,(F_Own+In_penExtra)*12*F244,0)</f>
        <v>4193.01910355366</v>
      </c>
      <c r="M244" s="20" t="n">
        <f aca="false">IF(G244=1,(F_PenM+In_penExtra)*12*F244,0)</f>
        <v>8386.03820710732</v>
      </c>
      <c r="N244" s="51" t="n">
        <f aca="false">IF(C244&lt;PR_RelA1,PR_RelP1,IF(C244&lt;PR_RelA2,PR_RelP2,IF(C244&lt;PR_RelA3,PR_RelP3,IF(C244&lt;PR_RelA4,PR_RelP4,IF(C244&lt;PR_RelA5,PR_RelP5,PR_RelP6)))))</f>
        <v>0.25</v>
      </c>
      <c r="O244" s="20" t="n">
        <f aca="false">IF(G244=1,MIN(L244/H244,N244*MIN(K244/H244,PR_EarnCap))*H244,0)</f>
        <v>4193.01910355366</v>
      </c>
      <c r="P244" s="20" t="n">
        <f aca="false">IF(AND(G244=1,F_AE=1),MIN(K244/H244,PR_AEcap)*H244,0)</f>
        <v>0</v>
      </c>
      <c r="Q244" s="20" t="n">
        <f aca="false">IF(G244=1,IF(WI_Retire=1,MAX(0,M244+WI_M*12),M244)+(PR_AEee+PR_AEer+PR_AEst)*P244,0)</f>
        <v>8386.03820710732</v>
      </c>
      <c r="R244" s="20" t="n">
        <f aca="false">L244+PR_AEee*P244</f>
        <v>4193.01910355366</v>
      </c>
      <c r="S244" s="20" t="n">
        <f aca="false">AD243</f>
        <v>198779.863998499</v>
      </c>
      <c r="T244" s="20" t="n">
        <f aca="false">IF(D244&lt;=PR_SFTfrom,PR_SFT2026,IF(D244=PR_SFTfrom+1,PR_SFT2027,IF(D244=PR_SFTfrom+2,PR_SFT2028,IF(D244&lt;=PR_SFTto,PR_SFT2029,PR_SFT2029*(1+AS_Infl)^(D244-PR_SFTto)))))</f>
        <v>3216319.86941798</v>
      </c>
      <c r="U244" s="20" t="n">
        <f aca="false">IF(AND(G244=0,C244=F_V),1,0)</f>
        <v>0</v>
      </c>
      <c r="V244" s="20" t="n">
        <f aca="false">IF(U244=1,PR_SFTrate*MAX(0,S244-T244),0)</f>
        <v>0</v>
      </c>
      <c r="W244" s="20" t="n">
        <f aca="false">S244-V244</f>
        <v>198779.863998499</v>
      </c>
      <c r="X244" s="20" t="n">
        <f aca="false">IF(AND(U244=1,AS_LumpPct&gt;0),W244*MIN(AS_LumpPct,PR_LSmax),0)</f>
        <v>0</v>
      </c>
      <c r="Y244" s="20" t="n">
        <f aca="false">X244-(PR_LSrate*MAX(0,MIN(X244,PR_LScap)-PR_LSfree)+PR_r2*MAX(0,X244-PR_LScap))</f>
        <v>0</v>
      </c>
      <c r="Z244" s="20" t="n">
        <f aca="false">W244-X244</f>
        <v>198779.863998499</v>
      </c>
      <c r="AA244" s="51" t="n">
        <f aca="false">IF(C244&gt;=PR_ARFage1,IF(Z244&gt;PR_ARFbig,PR_ARFbigRate,IF(C244&gt;=PR_ARFage2,PR_ARF71,PR_ARF61)),0)</f>
        <v>0</v>
      </c>
      <c r="AB244" s="20" t="n">
        <f aca="false">IF(AS_DrawRule="min",Z244*AA244,IF(AS_DrawRule="fixed",MAX(AS_DrawFixed*E244,Z244*AA244),Z244*MAX(1/MAX(1,AS_End-C244+1),AA244)))</f>
        <v>4141.2471666354</v>
      </c>
      <c r="AC244" s="20" t="n">
        <f aca="false">IF(AND(G244=0,C244&gt;=F_V),MIN(Z244,AB244),0)</f>
        <v>0</v>
      </c>
      <c r="AD244" s="20" t="n">
        <f aca="false">IF(G244=1,S244*(1+F_PenG)+Q244,IF(C244&lt;F_V,S244*(1+F_PenG),(Z244-AC244)*(1+AS_PenRet)))</f>
        <v>216110.996085539</v>
      </c>
      <c r="AE244" s="20" t="n">
        <f aca="false">IF(C244&gt;=PR_SPage,AS_SP*F_SpF*I244+IF(AND(C244&gt;=PR_Over80Age,F_SpF&gt;0),PR_Over80*PR_Weeks*I244,0),0)</f>
        <v>0</v>
      </c>
      <c r="AF244" s="20" t="n">
        <f aca="false">(F_OtherM+F_RentM)*12*E244+IF(AND(In_polInc&gt;0,In_polIncAge&gt;0,C244&gt;=In_polIncAge),In_polInc,0)</f>
        <v>0</v>
      </c>
      <c r="AG244" s="20" t="n">
        <f aca="false">F_PAge+B244</f>
        <v>47</v>
      </c>
      <c r="AH244" s="20" t="n">
        <f aca="false">IF(AND(F_Partner=1,F_PAge&gt;0,AG244&lt;IF(F_PRet&gt;0,F_PRet,PR_SPage)),F_PIncome*F244,0)</f>
        <v>29566.1603455707</v>
      </c>
      <c r="AI244" s="20" t="n">
        <f aca="false">IF(AND(F_Partner=1,AG244&gt;=PR_SPage,F_PSpQA=0),AS_SP*F_PSpF*I244,0)</f>
        <v>0</v>
      </c>
      <c r="AJ244" s="20" t="n">
        <f aca="false">IF(AND(F_Partner=1,F_PSpQA=1,C244&gt;=PR_SPage,AH244=0),IF(AG244&gt;=PR_SPage,PR_QA66,PR_QAunder)*PR_Weeks*I244,0)</f>
        <v>0</v>
      </c>
      <c r="AK244" s="20" t="n">
        <f aca="false">AE244+AJ244</f>
        <v>0</v>
      </c>
      <c r="AL244" s="20" t="n">
        <f aca="false">K244/H244</f>
        <v>63943.8119842208</v>
      </c>
      <c r="AM244" s="20" t="n">
        <f aca="false">AK244/H244</f>
        <v>0</v>
      </c>
      <c r="AN244" s="20" t="n">
        <f aca="false">AC244/H244</f>
        <v>0</v>
      </c>
      <c r="AO244" s="20" t="n">
        <f aca="false">AF244/H244</f>
        <v>0</v>
      </c>
      <c r="AP244" s="20" t="n">
        <f aca="false">O244/H244</f>
        <v>3439.73609294429</v>
      </c>
      <c r="AQ244" s="20" t="n">
        <f aca="false">AH244/H244</f>
        <v>24254.5493733251</v>
      </c>
      <c r="AR244" s="20" t="n">
        <f aca="false">AI244/H244</f>
        <v>0</v>
      </c>
      <c r="AS244" s="20" t="n">
        <f aca="false">MAX(0,AL244+AN244+AO244+AM244-AP244)</f>
        <v>60504.0758912765</v>
      </c>
      <c r="AT244" s="20" t="n">
        <f aca="false">MAX(0,AQ244+AR244)</f>
        <v>24254.5493733251</v>
      </c>
      <c r="AU244" s="20" t="n">
        <f aca="false">MIN(PR_PAYE,PR_PAYEcap*(AL244+AN244+AM244))</f>
        <v>2000</v>
      </c>
      <c r="AV244" s="20" t="n">
        <f aca="false">MIN(PR_PAYE,PR_PAYEcap*(AQ244+AR244))</f>
        <v>2000</v>
      </c>
      <c r="AW244" s="20" t="n">
        <f aca="false">IF(C244&gt;=PR_AgeCrAge,PR_AgeCr,0)</f>
        <v>0</v>
      </c>
      <c r="AX244" s="20" t="n">
        <f aca="false">IF(AG244&gt;=PR_AgeCrAge,PR_AgeCr,0)</f>
        <v>0</v>
      </c>
      <c r="AY244" s="20" t="n">
        <f aca="false">IF(AND(F_RentCred=1,D244&lt;=PR_RentLast),1,0)</f>
        <v>0</v>
      </c>
      <c r="AZ244" s="20" t="n">
        <f aca="false">AS244+AT244</f>
        <v>84758.6252646017</v>
      </c>
      <c r="BA244" s="20" t="n">
        <f aca="false">PR_PersonalM+AU244+AV244+AW244+AX244+IF(AY244=1,PR_RentJoint,0)</f>
        <v>8000</v>
      </c>
      <c r="BB244" s="20" t="n">
        <f aca="false">PR_BandM+MIN(MIN(AS244,AT244),PR_Uplift)</f>
        <v>77254.5493733252</v>
      </c>
      <c r="BC244" s="20" t="n">
        <f aca="false">MAX(0,PR_r1*MIN(AZ244,BB244)+PR_r2*MAX(0,AZ244-BB244)-BA244)</f>
        <v>10452.5402311756</v>
      </c>
      <c r="BD244" s="20" t="n">
        <f aca="false">MAX(0,PR_HomeCarer-MAX(0,MIN(AS244,AT244)-PR_HCLimit)/2)</f>
        <v>0</v>
      </c>
      <c r="BE244" s="20" t="n">
        <f aca="false">IF(F_Carer=1,MIN(BC244,MAX(0,PR_r1*MIN(AZ244,PR_BandM)+PR_r2*MAX(0,AZ244-PR_BandM)-BA244-BD244)),BC244)</f>
        <v>10452.5402311756</v>
      </c>
      <c r="BF244" s="20" t="n">
        <f aca="false">IF(OR(C244&gt;=PR_AgeCrAge,AG244&gt;=PR_AgeCrAge),IF(AZ244&lt;=PR_AgeExM,0,MIN(BE244,PR_AgeMarg*(AZ244-PR_AgeExM))),BE244)</f>
        <v>10452.5402311756</v>
      </c>
      <c r="BG244" s="20" t="n">
        <f aca="false">MAX(0,PR_r1*MIN(AS244,IF(F_Spccc=1,PR_BandSPCCC,PR_Band))+PR_r2*MAX(0,AS244-IF(F_Spccc=1,PR_BandSPCCC,PR_Band))-(PR_Personal+AU244+AW244+IF(F_Spccc=1,PR_SPCCC,0)+IF(AY244=1,PR_Rent,0)))</f>
        <v>11401.6303565106</v>
      </c>
      <c r="BH244" s="20" t="n">
        <f aca="false">IF(C244&gt;=PR_AgeCrAge,IF(AS244&lt;=PR_AgeEx,0,MIN(BG244,PR_AgeMarg*(AS244-PR_AgeEx))),BG244)</f>
        <v>11401.6303565106</v>
      </c>
      <c r="BI244" s="20" t="n">
        <f aca="false">IF(F_Partner=1,MAX(0,PR_r1*MIN(AT244,PR_Band)+PR_r2*MAX(0,AT244-PR_Band)-(PR_Personal+AV244+AX244+IF(AND(AY244=1,AT244&gt;0),PR_Rent,0))),0)</f>
        <v>850.90987466503</v>
      </c>
      <c r="BJ244" s="20" t="n">
        <f aca="false">IF(AG244&gt;=PR_AgeCrAge,IF(AT244&lt;=PR_AgeEx,0,MIN(BI244,PR_AgeMarg*(AT244-PR_AgeEx))),BI244)</f>
        <v>850.90987466503</v>
      </c>
      <c r="BK244" s="20" t="n">
        <f aca="false">IF(F_Partner=1,IF(F_Married=1,BF244,BH244+BJ244),BH244)</f>
        <v>12252.5402311756</v>
      </c>
      <c r="BL244" s="20" t="n">
        <f aca="false">AL244+AN244+AO244</f>
        <v>63943.8119842208</v>
      </c>
      <c r="BM244" s="20"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1451.13435952662</v>
      </c>
      <c r="BN244" s="20" t="n">
        <f aca="false">AQ244</f>
        <v>24254.5493733251</v>
      </c>
      <c r="BO244" s="20" t="n">
        <f aca="false">IF(F_Partner=1,IF(BN244&lt;=PR_USCex,0,IF(IF(AND(AG244&gt;=PR_USCredAge,BN244&lt;=PR_USCredMax),1,0)=1,PR_USCr1*MIN(BN244,PR_USCredB1)+PR_USCredR2*MAX(0,BN244-PR_USCredB1),PR_USCr1*MIN(BN244,PR_USCb1)+PR_USCr2*MAX(0,MIN(BN244,PR_USCb2)-PR_USCb1)+PR_USCr3*MAX(0,MIN(BN244,PR_USCb3)-PR_USCb2)+PR_USCr4*MAX(0,BN244-PR_USCb3))),0)</f>
        <v>304.910987466503</v>
      </c>
      <c r="BP244" s="20" t="n">
        <f aca="false">IF(C244&lt;PR_PRSIend,IF(F_SelfEmp=1,IF(AL244&gt;PR_PRSIsMinInc,MAX(PR_PRSIsMin,AL244*J244),0),IF(AL244/52&lt;=PR_PRSIfree,0,MAX(0,(AL244/52*J244-IF(AL244/52&lt;=PR_PRSIcreditTo,MAX(0,PR_PRSIcreditMax-(AL244/52-(PR_PRSIfree+0.01))/PR_PRSItaper),0))*52)))+J244*AN244+IF(AO244&gt;PR_PRSIunearned,J244*AO244,0),0)+IF(AND(PRSI_ARF_Applies=1,AN244&gt;0,C244&gt;=PR_PRSIend,C244&lt;PRSI_ARF_ToAge,NOT(AK244&gt;0)),J244*AN244,0)</f>
        <v>3005.35916325838</v>
      </c>
      <c r="BQ244" s="20" t="n">
        <f aca="false">IF(AND(F_Partner=1,AG244&lt;PR_PRSIend),IF(AQ244/52&lt;=PR_PRSIfree,0,MAX(0,(AQ244/52*J244-IF(AQ244/52&lt;=PR_PRSIcreditTo,MAX(0,PR_PRSIcreditMax-(AQ244/52-(PR_PRSIfree+0.01))/PR_PRSItaper),0))*52)),0)</f>
        <v>1139.96382054628</v>
      </c>
      <c r="BR244" s="20" t="n">
        <f aca="false">BK244+BM244+BO244+BP244+BQ244</f>
        <v>18153.9085619734</v>
      </c>
      <c r="BS244" s="20" t="n">
        <f aca="false">BR244*H244</f>
        <v>22129.5132381407</v>
      </c>
      <c r="BT244" s="20" t="n">
        <f aca="false">K244+AK244+AC244+AF244+AH244+AI244</f>
        <v>107513.31034753</v>
      </c>
    </row>
    <row r="245" customFormat="false" ht="15" hidden="false" customHeight="true" outlineLevel="0" collapsed="false">
      <c r="B245" s="20" t="n">
        <v>11</v>
      </c>
      <c r="C245" s="20" t="n">
        <f aca="false">F_Age+B245</f>
        <v>49</v>
      </c>
      <c r="D245" s="20" t="n">
        <f aca="false">AS_Year0+B245</f>
        <v>2037</v>
      </c>
      <c r="E245" s="50" t="n">
        <f aca="false">(1+AS_Infl)^B245</f>
        <v>1.24337430839465</v>
      </c>
      <c r="F245" s="50" t="n">
        <f aca="false">(1+AS_Wage)^B245</f>
        <v>1.38423387072445</v>
      </c>
      <c r="G245" s="20" t="n">
        <f aca="false">IF(C245&lt;F_R,1,0)</f>
        <v>1</v>
      </c>
      <c r="H245" s="50" t="n">
        <f aca="false">IF(AS_Bands="flat",1,E245)</f>
        <v>1.24337430839465</v>
      </c>
      <c r="I245" s="50" t="n">
        <f aca="false">IF(AS_SpGrow="pay",F245,IF(AS_SpGrow="flat",1,E245))</f>
        <v>1.24337430839465</v>
      </c>
      <c r="J245" s="50" t="n">
        <f aca="false">(12*PR_PRSIr0+(PR_PRSIr1-PR_PRSIr0)*MAX(0,MIN(12,D245*12+12-PR_PRSIt1))+(PR_PRSIr2-PR_PRSIr1)*MAX(0,MIN(12,D245*12+12-PR_PRSIt2))+(PR_PRSIr3-PR_PRSIr2)*MAX(0,MIN(12,D245*12+12-PR_PRSIt3)))/12</f>
        <v>0.047</v>
      </c>
      <c r="K245" s="20" t="n">
        <f aca="false">IF(G245=1,F_Income*F245,0)</f>
        <v>80285.5645020179</v>
      </c>
      <c r="L245" s="20" t="n">
        <f aca="false">IF(G245=1,(F_Own+In_penExtra)*12*F245,0)</f>
        <v>4318.80967666027</v>
      </c>
      <c r="M245" s="20" t="n">
        <f aca="false">IF(G245=1,(F_PenM+In_penExtra)*12*F245,0)</f>
        <v>8637.61935332054</v>
      </c>
      <c r="N245" s="51" t="n">
        <f aca="false">IF(C245&lt;PR_RelA1,PR_RelP1,IF(C245&lt;PR_RelA2,PR_RelP2,IF(C245&lt;PR_RelA3,PR_RelP3,IF(C245&lt;PR_RelA4,PR_RelP4,IF(C245&lt;PR_RelA5,PR_RelP5,PR_RelP6)))))</f>
        <v>0.25</v>
      </c>
      <c r="O245" s="20" t="n">
        <f aca="false">IF(G245=1,MIN(L245/H245,N245*MIN(K245/H245,PR_EarnCap))*H245,0)</f>
        <v>4318.80967666027</v>
      </c>
      <c r="P245" s="20" t="n">
        <f aca="false">IF(AND(G245=1,F_AE=1),MIN(K245/H245,PR_AEcap)*H245,0)</f>
        <v>0</v>
      </c>
      <c r="Q245" s="20" t="n">
        <f aca="false">IF(G245=1,IF(WI_Retire=1,MAX(0,M245+WI_M*12),M245)+(PR_AEee+PR_AEer+PR_AEst)*P245,0)</f>
        <v>8637.61935332054</v>
      </c>
      <c r="R245" s="20" t="n">
        <f aca="false">L245+PR_AEee*P245</f>
        <v>4318.80967666027</v>
      </c>
      <c r="S245" s="20" t="n">
        <f aca="false">AD244</f>
        <v>216110.996085539</v>
      </c>
      <c r="T245" s="20" t="n">
        <f aca="false">IF(D245&lt;=PR_SFTfrom,PR_SFT2026,IF(D245=PR_SFTfrom+1,PR_SFT2027,IF(D245=PR_SFTfrom+2,PR_SFT2028,IF(D245&lt;=PR_SFTto,PR_SFT2029,PR_SFT2029*(1+AS_Infl)^(D245-PR_SFTto)))))</f>
        <v>3280646.26680634</v>
      </c>
      <c r="U245" s="20" t="n">
        <f aca="false">IF(AND(G245=0,C245=F_V),1,0)</f>
        <v>0</v>
      </c>
      <c r="V245" s="20" t="n">
        <f aca="false">IF(U245=1,PR_SFTrate*MAX(0,S245-T245),0)</f>
        <v>0</v>
      </c>
      <c r="W245" s="20" t="n">
        <f aca="false">S245-V245</f>
        <v>216110.996085539</v>
      </c>
      <c r="X245" s="20" t="n">
        <f aca="false">IF(AND(U245=1,AS_LumpPct&gt;0),W245*MIN(AS_LumpPct,PR_LSmax),0)</f>
        <v>0</v>
      </c>
      <c r="Y245" s="20" t="n">
        <f aca="false">X245-(PR_LSrate*MAX(0,MIN(X245,PR_LScap)-PR_LSfree)+PR_r2*MAX(0,X245-PR_LScap))</f>
        <v>0</v>
      </c>
      <c r="Z245" s="20" t="n">
        <f aca="false">W245-X245</f>
        <v>216110.996085539</v>
      </c>
      <c r="AA245" s="51" t="n">
        <f aca="false">IF(C245&gt;=PR_ARFage1,IF(Z245&gt;PR_ARFbig,PR_ARFbigRate,IF(C245&gt;=PR_ARFage2,PR_ARF71,PR_ARF61)),0)</f>
        <v>0</v>
      </c>
      <c r="AB245" s="20" t="n">
        <f aca="false">IF(AS_DrawRule="min",Z245*AA245,IF(AS_DrawRule="fixed",MAX(AS_DrawFixed*E245,Z245*AA245),Z245*MAX(1/MAX(1,AS_End-C245+1),AA245)))</f>
        <v>4598.10629969231</v>
      </c>
      <c r="AC245" s="20" t="n">
        <f aca="false">IF(AND(G245=0,C245&gt;=F_V),MIN(Z245,AB245),0)</f>
        <v>0</v>
      </c>
      <c r="AD245" s="20" t="n">
        <f aca="false">IF(G245=1,S245*(1+F_PenG)+Q245,IF(C245&lt;F_V,S245*(1+F_PenG),(Z245-AC245)*(1+AS_PenRet)))</f>
        <v>234473.610262709</v>
      </c>
      <c r="AE245" s="20" t="n">
        <f aca="false">IF(C245&gt;=PR_SPage,AS_SP*F_SpF*I245+IF(AND(C245&gt;=PR_Over80Age,F_SpF&gt;0),PR_Over80*PR_Weeks*I245,0),0)</f>
        <v>0</v>
      </c>
      <c r="AF245" s="20" t="n">
        <f aca="false">(F_OtherM+F_RentM)*12*E245+IF(AND(In_polInc&gt;0,In_polIncAge&gt;0,C245&gt;=In_polIncAge),In_polInc,0)</f>
        <v>0</v>
      </c>
      <c r="AG245" s="20" t="n">
        <f aca="false">F_PAge+B245</f>
        <v>48</v>
      </c>
      <c r="AH245" s="20" t="n">
        <f aca="false">IF(AND(F_Partner=1,F_PAge&gt;0,AG245&lt;IF(F_PRet&gt;0,F_PRet,PR_SPage)),F_PIncome*F245,0)</f>
        <v>30453.1451559378</v>
      </c>
      <c r="AI245" s="20" t="n">
        <f aca="false">IF(AND(F_Partner=1,AG245&gt;=PR_SPage,F_PSpQA=0),AS_SP*F_PSpF*I245,0)</f>
        <v>0</v>
      </c>
      <c r="AJ245" s="20" t="n">
        <f aca="false">IF(AND(F_Partner=1,F_PSpQA=1,C245&gt;=PR_SPage,AH245=0),IF(AG245&gt;=PR_SPage,PR_QA66,PR_QAunder)*PR_Weeks*I245,0)</f>
        <v>0</v>
      </c>
      <c r="AK245" s="20" t="n">
        <f aca="false">AE245+AJ245</f>
        <v>0</v>
      </c>
      <c r="AL245" s="20" t="n">
        <f aca="false">K245/H245</f>
        <v>64570.7121017132</v>
      </c>
      <c r="AM245" s="20" t="n">
        <f aca="false">AK245/H245</f>
        <v>0</v>
      </c>
      <c r="AN245" s="20" t="n">
        <f aca="false">AC245/H245</f>
        <v>0</v>
      </c>
      <c r="AO245" s="20" t="n">
        <f aca="false">AF245/H245</f>
        <v>0</v>
      </c>
      <c r="AP245" s="20" t="n">
        <f aca="false">O245/H245</f>
        <v>3473.4589958163</v>
      </c>
      <c r="AQ245" s="20" t="n">
        <f aca="false">AH245/H245</f>
        <v>24492.3390730636</v>
      </c>
      <c r="AR245" s="20" t="n">
        <f aca="false">AI245/H245</f>
        <v>0</v>
      </c>
      <c r="AS245" s="20" t="n">
        <f aca="false">MAX(0,AL245+AN245+AO245+AM245-AP245)</f>
        <v>61097.2531058969</v>
      </c>
      <c r="AT245" s="20" t="n">
        <f aca="false">MAX(0,AQ245+AR245)</f>
        <v>24492.3390730636</v>
      </c>
      <c r="AU245" s="20" t="n">
        <f aca="false">MIN(PR_PAYE,PR_PAYEcap*(AL245+AN245+AM245))</f>
        <v>2000</v>
      </c>
      <c r="AV245" s="20" t="n">
        <f aca="false">MIN(PR_PAYE,PR_PAYEcap*(AQ245+AR245))</f>
        <v>2000</v>
      </c>
      <c r="AW245" s="20" t="n">
        <f aca="false">IF(C245&gt;=PR_AgeCrAge,PR_AgeCr,0)</f>
        <v>0</v>
      </c>
      <c r="AX245" s="20" t="n">
        <f aca="false">IF(AG245&gt;=PR_AgeCrAge,PR_AgeCr,0)</f>
        <v>0</v>
      </c>
      <c r="AY245" s="20" t="n">
        <f aca="false">IF(AND(F_RentCred=1,D245&lt;=PR_RentLast),1,0)</f>
        <v>0</v>
      </c>
      <c r="AZ245" s="20" t="n">
        <f aca="false">AS245+AT245</f>
        <v>85589.5921789605</v>
      </c>
      <c r="BA245" s="20" t="n">
        <f aca="false">PR_PersonalM+AU245+AV245+AW245+AX245+IF(AY245=1,PR_RentJoint,0)</f>
        <v>8000</v>
      </c>
      <c r="BB245" s="20" t="n">
        <f aca="false">PR_BandM+MIN(MIN(AS245,AT245),PR_Uplift)</f>
        <v>77492.3390730636</v>
      </c>
      <c r="BC245" s="20" t="n">
        <f aca="false">MAX(0,PR_r1*MIN(AZ245,BB245)+PR_r2*MAX(0,AZ245-BB245)-BA245)</f>
        <v>10737.3690569715</v>
      </c>
      <c r="BD245" s="20" t="n">
        <f aca="false">MAX(0,PR_HomeCarer-MAX(0,MIN(AS245,AT245)-PR_HCLimit)/2)</f>
        <v>0</v>
      </c>
      <c r="BE245" s="20" t="n">
        <f aca="false">IF(F_Carer=1,MIN(BC245,MAX(0,PR_r1*MIN(AZ245,PR_BandM)+PR_r2*MAX(0,AZ245-PR_BandM)-BA245-BD245)),BC245)</f>
        <v>10737.3690569715</v>
      </c>
      <c r="BF245" s="20" t="n">
        <f aca="false">IF(OR(C245&gt;=PR_AgeCrAge,AG245&gt;=PR_AgeCrAge),IF(AZ245&lt;=PR_AgeExM,0,MIN(BE245,PR_AgeMarg*(AZ245-PR_AgeExM))),BE245)</f>
        <v>10737.3690569715</v>
      </c>
      <c r="BG245" s="20" t="n">
        <f aca="false">MAX(0,PR_r1*MIN(AS245,IF(F_Spccc=1,PR_BandSPCCC,PR_Band))+PR_r2*MAX(0,AS245-IF(F_Spccc=1,PR_BandSPCCC,PR_Band))-(PR_Personal+AU245+AW245+IF(F_Spccc=1,PR_SPCCC,0)+IF(AY245=1,PR_Rent,0)))</f>
        <v>11638.9012423588</v>
      </c>
      <c r="BH245" s="20" t="n">
        <f aca="false">IF(C245&gt;=PR_AgeCrAge,IF(AS245&lt;=PR_AgeEx,0,MIN(BG245,PR_AgeMarg*(AS245-PR_AgeEx))),BG245)</f>
        <v>11638.9012423588</v>
      </c>
      <c r="BI245" s="20" t="n">
        <f aca="false">IF(F_Partner=1,MAX(0,PR_r1*MIN(AT245,PR_Band)+PR_r2*MAX(0,AT245-PR_Band)-(PR_Personal+AV245+AX245+IF(AND(AY245=1,AT245&gt;0),PR_Rent,0))),0)</f>
        <v>898.467814612725</v>
      </c>
      <c r="BJ245" s="20" t="n">
        <f aca="false">IF(AG245&gt;=PR_AgeCrAge,IF(AT245&lt;=PR_AgeEx,0,MIN(BI245,PR_AgeMarg*(AT245-PR_AgeEx))),BI245)</f>
        <v>898.467814612725</v>
      </c>
      <c r="BK245" s="20" t="n">
        <f aca="false">IF(F_Partner=1,IF(F_Married=1,BF245,BH245+BJ245),BH245)</f>
        <v>12537.3690569715</v>
      </c>
      <c r="BL245" s="20" t="n">
        <f aca="false">AL245+AN245+AO245</f>
        <v>64570.7121017132</v>
      </c>
      <c r="BM245" s="20"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1469.9413630514</v>
      </c>
      <c r="BN245" s="20" t="n">
        <f aca="false">AQ245</f>
        <v>24492.3390730636</v>
      </c>
      <c r="BO245" s="20" t="n">
        <f aca="false">IF(F_Partner=1,IF(BN245&lt;=PR_USCex,0,IF(IF(AND(AG245&gt;=PR_USCredAge,BN245&lt;=PR_USCredMax),1,0)=1,PR_USCr1*MIN(BN245,PR_USCredB1)+PR_USCredR2*MAX(0,BN245-PR_USCredB1),PR_USCr1*MIN(BN245,PR_USCb1)+PR_USCr2*MAX(0,MIN(BN245,PR_USCb2)-PR_USCb1)+PR_USCr3*MAX(0,MIN(BN245,PR_USCb3)-PR_USCb2)+PR_USCr4*MAX(0,BN245-PR_USCb3))),0)</f>
        <v>309.666781461273</v>
      </c>
      <c r="BP245" s="20" t="n">
        <f aca="false">IF(C245&lt;PR_PRSIend,IF(F_SelfEmp=1,IF(AL245&gt;PR_PRSIsMinInc,MAX(PR_PRSIsMin,AL245*J245),0),IF(AL245/52&lt;=PR_PRSIfree,0,MAX(0,(AL245/52*J245-IF(AL245/52&lt;=PR_PRSIcreditTo,MAX(0,PR_PRSIcreditMax-(AL245/52-(PR_PRSIfree+0.01))/PR_PRSItaper),0))*52)))+J245*AN245+IF(AO245&gt;PR_PRSIunearned,J245*AO245,0),0)+IF(AND(PRSI_ARF_Applies=1,AN245&gt;0,C245&gt;=PR_PRSIend,C245&lt;PRSI_ARF_ToAge,NOT(AK245&gt;0)),J245*AN245,0)</f>
        <v>3034.82346878052</v>
      </c>
      <c r="BQ245" s="20" t="n">
        <f aca="false">IF(AND(F_Partner=1,AG245&lt;PR_PRSIend),IF(AQ245/52&lt;=PR_PRSIfree,0,MAX(0,(AQ245/52*J245-IF(AQ245/52&lt;=PR_PRSIcreditTo,MAX(0,PR_PRSIcreditMax-(AQ245/52-(PR_PRSIfree+0.01))/PR_PRSItaper),0))*52)),0)</f>
        <v>1151.13993643399</v>
      </c>
      <c r="BR245" s="20" t="n">
        <f aca="false">BK245+BM245+BO245+BP245+BQ245</f>
        <v>18502.9406066987</v>
      </c>
      <c r="BS245" s="20" t="n">
        <f aca="false">BR245*H245</f>
        <v>23006.0809801213</v>
      </c>
      <c r="BT245" s="20" t="n">
        <f aca="false">K245+AK245+AC245+AF245+AH245+AI245</f>
        <v>110738.709657956</v>
      </c>
    </row>
    <row r="246" customFormat="false" ht="15" hidden="false" customHeight="true" outlineLevel="0" collapsed="false">
      <c r="B246" s="20" t="n">
        <v>12</v>
      </c>
      <c r="C246" s="20" t="n">
        <f aca="false">F_Age+B246</f>
        <v>50</v>
      </c>
      <c r="D246" s="20" t="n">
        <f aca="false">AS_Year0+B246</f>
        <v>2038</v>
      </c>
      <c r="E246" s="50" t="n">
        <f aca="false">(1+AS_Infl)^B246</f>
        <v>1.26824179456255</v>
      </c>
      <c r="F246" s="50" t="n">
        <f aca="false">(1+AS_Wage)^B246</f>
        <v>1.42576088684618</v>
      </c>
      <c r="G246" s="20" t="n">
        <f aca="false">IF(C246&lt;F_R,1,0)</f>
        <v>1</v>
      </c>
      <c r="H246" s="50" t="n">
        <f aca="false">IF(AS_Bands="flat",1,E246)</f>
        <v>1.26824179456255</v>
      </c>
      <c r="I246" s="50" t="n">
        <f aca="false">IF(AS_SpGrow="pay",F246,IF(AS_SpGrow="flat",1,E246))</f>
        <v>1.26824179456255</v>
      </c>
      <c r="J246" s="50" t="n">
        <f aca="false">(12*PR_PRSIr0+(PR_PRSIr1-PR_PRSIr0)*MAX(0,MIN(12,D246*12+12-PR_PRSIt1))+(PR_PRSIr2-PR_PRSIr1)*MAX(0,MIN(12,D246*12+12-PR_PRSIt2))+(PR_PRSIr3-PR_PRSIr2)*MAX(0,MIN(12,D246*12+12-PR_PRSIt3)))/12</f>
        <v>0.047</v>
      </c>
      <c r="K246" s="20" t="n">
        <f aca="false">IF(G246=1,F_Income*F246,0)</f>
        <v>82694.1314370784</v>
      </c>
      <c r="L246" s="20" t="n">
        <f aca="false">IF(G246=1,(F_Own+In_penExtra)*12*F246,0)</f>
        <v>4448.37396696008</v>
      </c>
      <c r="M246" s="20" t="n">
        <f aca="false">IF(G246=1,(F_PenM+In_penExtra)*12*F246,0)</f>
        <v>8896.74793392016</v>
      </c>
      <c r="N246" s="51" t="n">
        <f aca="false">IF(C246&lt;PR_RelA1,PR_RelP1,IF(C246&lt;PR_RelA2,PR_RelP2,IF(C246&lt;PR_RelA3,PR_RelP3,IF(C246&lt;PR_RelA4,PR_RelP4,IF(C246&lt;PR_RelA5,PR_RelP5,PR_RelP6)))))</f>
        <v>0.3</v>
      </c>
      <c r="O246" s="20" t="n">
        <f aca="false">IF(G246=1,MIN(L246/H246,N246*MIN(K246/H246,PR_EarnCap))*H246,0)</f>
        <v>4448.37396696008</v>
      </c>
      <c r="P246" s="20" t="n">
        <f aca="false">IF(AND(G246=1,F_AE=1),MIN(K246/H246,PR_AEcap)*H246,0)</f>
        <v>0</v>
      </c>
      <c r="Q246" s="20" t="n">
        <f aca="false">IF(G246=1,IF(WI_Retire=1,MAX(0,M246+WI_M*12),M246)+(PR_AEee+PR_AEer+PR_AEst)*P246,0)</f>
        <v>8896.74793392016</v>
      </c>
      <c r="R246" s="20" t="n">
        <f aca="false">L246+PR_AEee*P246</f>
        <v>4448.37396696008</v>
      </c>
      <c r="S246" s="20" t="n">
        <f aca="false">AD245</f>
        <v>234473.610262709</v>
      </c>
      <c r="T246" s="20" t="n">
        <f aca="false">IF(D246&lt;=PR_SFTfrom,PR_SFT2026,IF(D246=PR_SFTfrom+1,PR_SFT2027,IF(D246=PR_SFTfrom+2,PR_SFT2028,IF(D246&lt;=PR_SFTto,PR_SFT2029,PR_SFT2029*(1+AS_Infl)^(D246-PR_SFTto)))))</f>
        <v>3346259.19214247</v>
      </c>
      <c r="U246" s="20" t="n">
        <f aca="false">IF(AND(G246=0,C246=F_V),1,0)</f>
        <v>0</v>
      </c>
      <c r="V246" s="20" t="n">
        <f aca="false">IF(U246=1,PR_SFTrate*MAX(0,S246-T246),0)</f>
        <v>0</v>
      </c>
      <c r="W246" s="20" t="n">
        <f aca="false">S246-V246</f>
        <v>234473.610262709</v>
      </c>
      <c r="X246" s="20" t="n">
        <f aca="false">IF(AND(U246=1,AS_LumpPct&gt;0),W246*MIN(AS_LumpPct,PR_LSmax),0)</f>
        <v>0</v>
      </c>
      <c r="Y246" s="20" t="n">
        <f aca="false">X246-(PR_LSrate*MAX(0,MIN(X246,PR_LScap)-PR_LSfree)+PR_r2*MAX(0,X246-PR_LScap))</f>
        <v>0</v>
      </c>
      <c r="Z246" s="20" t="n">
        <f aca="false">W246-X246</f>
        <v>234473.610262709</v>
      </c>
      <c r="AA246" s="51" t="n">
        <f aca="false">IF(C246&gt;=PR_ARFage1,IF(Z246&gt;PR_ARFbig,PR_ARFbigRate,IF(C246&gt;=PR_ARFage2,PR_ARF71,PR_ARF61)),0)</f>
        <v>0</v>
      </c>
      <c r="AB246" s="20" t="n">
        <f aca="false">IF(AS_DrawRule="min",Z246*AA246,IF(AS_DrawRule="fixed",MAX(AS_DrawFixed*E246,Z246*AA246),Z246*MAX(1/MAX(1,AS_End-C246+1),AA246)))</f>
        <v>5097.2523970154</v>
      </c>
      <c r="AC246" s="20" t="n">
        <f aca="false">IF(AND(G246=0,C246&gt;=F_V),MIN(Z246,AB246),0)</f>
        <v>0</v>
      </c>
      <c r="AD246" s="20" t="n">
        <f aca="false">IF(G246=1,S246*(1+F_PenG)+Q246,IF(C246&lt;F_V,S246*(1+F_PenG),(Z246-AC246)*(1+AS_PenRet)))</f>
        <v>253921.670658451</v>
      </c>
      <c r="AE246" s="20" t="n">
        <f aca="false">IF(C246&gt;=PR_SPage,AS_SP*F_SpF*I246+IF(AND(C246&gt;=PR_Over80Age,F_SpF&gt;0),PR_Over80*PR_Weeks*I246,0),0)</f>
        <v>0</v>
      </c>
      <c r="AF246" s="20" t="n">
        <f aca="false">(F_OtherM+F_RentM)*12*E246+IF(AND(In_polInc&gt;0,In_polIncAge&gt;0,C246&gt;=In_polIncAge),In_polInc,0)</f>
        <v>0</v>
      </c>
      <c r="AG246" s="20" t="n">
        <f aca="false">F_PAge+B246</f>
        <v>49</v>
      </c>
      <c r="AH246" s="20" t="n">
        <f aca="false">IF(AND(F_Partner=1,F_PAge&gt;0,AG246&lt;IF(F_PRet&gt;0,F_PRet,PR_SPage)),F_PIncome*F246,0)</f>
        <v>31366.7395106159</v>
      </c>
      <c r="AI246" s="20" t="n">
        <f aca="false">IF(AND(F_Partner=1,AG246&gt;=PR_SPage,F_PSpQA=0),AS_SP*F_PSpF*I246,0)</f>
        <v>0</v>
      </c>
      <c r="AJ246" s="20" t="n">
        <f aca="false">IF(AND(F_Partner=1,F_PSpQA=1,C246&gt;=PR_SPage,AH246=0),IF(AG246&gt;=PR_SPage,PR_QA66,PR_QAunder)*PR_Weeks*I246,0)</f>
        <v>0</v>
      </c>
      <c r="AK246" s="20" t="n">
        <f aca="false">AE246+AJ246</f>
        <v>0</v>
      </c>
      <c r="AL246" s="20" t="n">
        <f aca="false">K246/H246</f>
        <v>65203.7582987888</v>
      </c>
      <c r="AM246" s="20" t="n">
        <f aca="false">AK246/H246</f>
        <v>0</v>
      </c>
      <c r="AN246" s="20" t="n">
        <f aca="false">AC246/H246</f>
        <v>0</v>
      </c>
      <c r="AO246" s="20" t="n">
        <f aca="false">AF246/H246</f>
        <v>0</v>
      </c>
      <c r="AP246" s="20" t="n">
        <f aca="false">O246/H246</f>
        <v>3507.51251538312</v>
      </c>
      <c r="AQ246" s="20" t="n">
        <f aca="false">AH246/H246</f>
        <v>24732.4600443682</v>
      </c>
      <c r="AR246" s="20" t="n">
        <f aca="false">AI246/H246</f>
        <v>0</v>
      </c>
      <c r="AS246" s="20" t="n">
        <f aca="false">MAX(0,AL246+AN246+AO246+AM246-AP246)</f>
        <v>61696.2457834057</v>
      </c>
      <c r="AT246" s="20" t="n">
        <f aca="false">MAX(0,AQ246+AR246)</f>
        <v>24732.4600443682</v>
      </c>
      <c r="AU246" s="20" t="n">
        <f aca="false">MIN(PR_PAYE,PR_PAYEcap*(AL246+AN246+AM246))</f>
        <v>2000</v>
      </c>
      <c r="AV246" s="20" t="n">
        <f aca="false">MIN(PR_PAYE,PR_PAYEcap*(AQ246+AR246))</f>
        <v>2000</v>
      </c>
      <c r="AW246" s="20" t="n">
        <f aca="false">IF(C246&gt;=PR_AgeCrAge,PR_AgeCr,0)</f>
        <v>0</v>
      </c>
      <c r="AX246" s="20" t="n">
        <f aca="false">IF(AG246&gt;=PR_AgeCrAge,PR_AgeCr,0)</f>
        <v>0</v>
      </c>
      <c r="AY246" s="20" t="n">
        <f aca="false">IF(AND(F_RentCred=1,D246&lt;=PR_RentLast),1,0)</f>
        <v>0</v>
      </c>
      <c r="AZ246" s="20" t="n">
        <f aca="false">AS246+AT246</f>
        <v>86428.7058277739</v>
      </c>
      <c r="BA246" s="20" t="n">
        <f aca="false">PR_PersonalM+AU246+AV246+AW246+AX246+IF(AY246=1,PR_RentJoint,0)</f>
        <v>8000</v>
      </c>
      <c r="BB246" s="20" t="n">
        <f aca="false">PR_BandM+MIN(MIN(AS246,AT246),PR_Uplift)</f>
        <v>77732.4600443682</v>
      </c>
      <c r="BC246" s="20" t="n">
        <f aca="false">MAX(0,PR_r1*MIN(AZ246,BB246)+PR_r2*MAX(0,AZ246-BB246)-BA246)</f>
        <v>11024.9903222359</v>
      </c>
      <c r="BD246" s="20" t="n">
        <f aca="false">MAX(0,PR_HomeCarer-MAX(0,MIN(AS246,AT246)-PR_HCLimit)/2)</f>
        <v>0</v>
      </c>
      <c r="BE246" s="20" t="n">
        <f aca="false">IF(F_Carer=1,MIN(BC246,MAX(0,PR_r1*MIN(AZ246,PR_BandM)+PR_r2*MAX(0,AZ246-PR_BandM)-BA246-BD246)),BC246)</f>
        <v>11024.9903222359</v>
      </c>
      <c r="BF246" s="20" t="n">
        <f aca="false">IF(OR(C246&gt;=PR_AgeCrAge,AG246&gt;=PR_AgeCrAge),IF(AZ246&lt;=PR_AgeExM,0,MIN(BE246,PR_AgeMarg*(AZ246-PR_AgeExM))),BE246)</f>
        <v>11024.9903222359</v>
      </c>
      <c r="BG246" s="20" t="n">
        <f aca="false">MAX(0,PR_r1*MIN(AS246,IF(F_Spccc=1,PR_BandSPCCC,PR_Band))+PR_r2*MAX(0,AS246-IF(F_Spccc=1,PR_BandSPCCC,PR_Band))-(PR_Personal+AU246+AW246+IF(F_Spccc=1,PR_SPCCC,0)+IF(AY246=1,PR_Rent,0)))</f>
        <v>11878.4983133623</v>
      </c>
      <c r="BH246" s="20" t="n">
        <f aca="false">IF(C246&gt;=PR_AgeCrAge,IF(AS246&lt;=PR_AgeEx,0,MIN(BG246,PR_AgeMarg*(AS246-PR_AgeEx))),BG246)</f>
        <v>11878.4983133623</v>
      </c>
      <c r="BI246" s="20" t="n">
        <f aca="false">IF(F_Partner=1,MAX(0,PR_r1*MIN(AT246,PR_Band)+PR_r2*MAX(0,AT246-PR_Band)-(PR_Personal+AV246+AX246+IF(AND(AY246=1,AT246&gt;0),PR_Rent,0))),0)</f>
        <v>946.492008873635</v>
      </c>
      <c r="BJ246" s="20" t="n">
        <f aca="false">IF(AG246&gt;=PR_AgeCrAge,IF(AT246&lt;=PR_AgeEx,0,MIN(BI246,PR_AgeMarg*(AT246-PR_AgeEx))),BI246)</f>
        <v>946.492008873635</v>
      </c>
      <c r="BK246" s="20" t="n">
        <f aca="false">IF(F_Partner=1,IF(F_Married=1,BF246,BH246+BJ246),BH246)</f>
        <v>12824.9903222359</v>
      </c>
      <c r="BL246" s="20" t="n">
        <f aca="false">AL246+AN246+AO246</f>
        <v>65203.7582987888</v>
      </c>
      <c r="BM246" s="20"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1488.93274896366</v>
      </c>
      <c r="BN246" s="20" t="n">
        <f aca="false">AQ246</f>
        <v>24732.4600443682</v>
      </c>
      <c r="BO246" s="20" t="n">
        <f aca="false">IF(F_Partner=1,IF(BN246&lt;=PR_USCex,0,IF(IF(AND(AG246&gt;=PR_USCredAge,BN246&lt;=PR_USCredMax),1,0)=1,PR_USCr1*MIN(BN246,PR_USCredB1)+PR_USCredR2*MAX(0,BN246-PR_USCredB1),PR_USCr1*MIN(BN246,PR_USCb1)+PR_USCr2*MAX(0,MIN(BN246,PR_USCb2)-PR_USCb1)+PR_USCr3*MAX(0,MIN(BN246,PR_USCb3)-PR_USCb2)+PR_USCr4*MAX(0,BN246-PR_USCb3))),0)</f>
        <v>314.469200887364</v>
      </c>
      <c r="BP246" s="20" t="n">
        <f aca="false">IF(C246&lt;PR_PRSIend,IF(F_SelfEmp=1,IF(AL246&gt;PR_PRSIsMinInc,MAX(PR_PRSIsMin,AL246*J246),0),IF(AL246/52&lt;=PR_PRSIfree,0,MAX(0,(AL246/52*J246-IF(AL246/52&lt;=PR_PRSIcreditTo,MAX(0,PR_PRSIcreditMax-(AL246/52-(PR_PRSIfree+0.01))/PR_PRSItaper),0))*52)))+J246*AN246+IF(AO246&gt;PR_PRSIunearned,J246*AO246,0),0)+IF(AND(PRSI_ARF_Applies=1,AN246&gt;0,C246&gt;=PR_PRSIend,C246&lt;PRSI_ARF_ToAge,NOT(AK246&gt;0)),J246*AN246,0)</f>
        <v>3064.57664004307</v>
      </c>
      <c r="BQ246" s="20" t="n">
        <f aca="false">IF(AND(F_Partner=1,AG246&lt;PR_PRSIend),IF(AQ246/52&lt;=PR_PRSIfree,0,MAX(0,(AQ246/52*J246-IF(AQ246/52&lt;=PR_PRSIcreditTo,MAX(0,PR_PRSIcreditMax-(AQ246/52-(PR_PRSIfree+0.01))/PR_PRSItaper),0))*52)),0)</f>
        <v>1162.4256220853</v>
      </c>
      <c r="BR246" s="20" t="n">
        <f aca="false">BK246+BM246+BO246+BP246+BQ246</f>
        <v>18855.3945342153</v>
      </c>
      <c r="BS246" s="20" t="n">
        <f aca="false">BR246*H246</f>
        <v>23913.199401258</v>
      </c>
      <c r="BT246" s="20" t="n">
        <f aca="false">K246+AK246+AC246+AF246+AH246+AI246</f>
        <v>114060.870947694</v>
      </c>
    </row>
    <row r="247" customFormat="false" ht="15" hidden="false" customHeight="true" outlineLevel="0" collapsed="false">
      <c r="B247" s="20" t="n">
        <v>13</v>
      </c>
      <c r="C247" s="20" t="n">
        <f aca="false">F_Age+B247</f>
        <v>51</v>
      </c>
      <c r="D247" s="20" t="n">
        <f aca="false">AS_Year0+B247</f>
        <v>2039</v>
      </c>
      <c r="E247" s="50" t="n">
        <f aca="false">(1+AS_Infl)^B247</f>
        <v>1.2936066304538</v>
      </c>
      <c r="F247" s="50" t="n">
        <f aca="false">(1+AS_Wage)^B247</f>
        <v>1.46853371345156</v>
      </c>
      <c r="G247" s="20" t="n">
        <f aca="false">IF(C247&lt;F_R,1,0)</f>
        <v>1</v>
      </c>
      <c r="H247" s="50" t="n">
        <f aca="false">IF(AS_Bands="flat",1,E247)</f>
        <v>1.2936066304538</v>
      </c>
      <c r="I247" s="50" t="n">
        <f aca="false">IF(AS_SpGrow="pay",F247,IF(AS_SpGrow="flat",1,E247))</f>
        <v>1.2936066304538</v>
      </c>
      <c r="J247" s="50" t="n">
        <f aca="false">(12*PR_PRSIr0+(PR_PRSIr1-PR_PRSIr0)*MAX(0,MIN(12,D247*12+12-PR_PRSIt1))+(PR_PRSIr2-PR_PRSIr1)*MAX(0,MIN(12,D247*12+12-PR_PRSIt2))+(PR_PRSIr3-PR_PRSIr2)*MAX(0,MIN(12,D247*12+12-PR_PRSIt3)))/12</f>
        <v>0.047</v>
      </c>
      <c r="K247" s="20" t="n">
        <f aca="false">IF(G247=1,F_Income*F247,0)</f>
        <v>85174.9553801908</v>
      </c>
      <c r="L247" s="20" t="n">
        <f aca="false">IF(G247=1,(F_Own+In_penExtra)*12*F247,0)</f>
        <v>4581.82518596888</v>
      </c>
      <c r="M247" s="20" t="n">
        <f aca="false">IF(G247=1,(F_PenM+In_penExtra)*12*F247,0)</f>
        <v>9163.65037193777</v>
      </c>
      <c r="N247" s="51" t="n">
        <f aca="false">IF(C247&lt;PR_RelA1,PR_RelP1,IF(C247&lt;PR_RelA2,PR_RelP2,IF(C247&lt;PR_RelA3,PR_RelP3,IF(C247&lt;PR_RelA4,PR_RelP4,IF(C247&lt;PR_RelA5,PR_RelP5,PR_RelP6)))))</f>
        <v>0.3</v>
      </c>
      <c r="O247" s="20" t="n">
        <f aca="false">IF(G247=1,MIN(L247/H247,N247*MIN(K247/H247,PR_EarnCap))*H247,0)</f>
        <v>4581.82518596888</v>
      </c>
      <c r="P247" s="20" t="n">
        <f aca="false">IF(AND(G247=1,F_AE=1),MIN(K247/H247,PR_AEcap)*H247,0)</f>
        <v>0</v>
      </c>
      <c r="Q247" s="20" t="n">
        <f aca="false">IF(G247=1,IF(WI_Retire=1,MAX(0,M247+WI_M*12),M247)+(PR_AEee+PR_AEer+PR_AEst)*P247,0)</f>
        <v>9163.65037193777</v>
      </c>
      <c r="R247" s="20" t="n">
        <f aca="false">L247+PR_AEee*P247</f>
        <v>4581.82518596888</v>
      </c>
      <c r="S247" s="20" t="n">
        <f aca="false">AD246</f>
        <v>253921.670658451</v>
      </c>
      <c r="T247" s="20" t="n">
        <f aca="false">IF(D247&lt;=PR_SFTfrom,PR_SFT2026,IF(D247=PR_SFTfrom+1,PR_SFT2027,IF(D247=PR_SFTfrom+2,PR_SFT2028,IF(D247&lt;=PR_SFTto,PR_SFT2029,PR_SFT2029*(1+AS_Infl)^(D247-PR_SFTto)))))</f>
        <v>3413184.37598532</v>
      </c>
      <c r="U247" s="20" t="n">
        <f aca="false">IF(AND(G247=0,C247=F_V),1,0)</f>
        <v>0</v>
      </c>
      <c r="V247" s="20" t="n">
        <f aca="false">IF(U247=1,PR_SFTrate*MAX(0,S247-T247),0)</f>
        <v>0</v>
      </c>
      <c r="W247" s="20" t="n">
        <f aca="false">S247-V247</f>
        <v>253921.670658451</v>
      </c>
      <c r="X247" s="20" t="n">
        <f aca="false">IF(AND(U247=1,AS_LumpPct&gt;0),W247*MIN(AS_LumpPct,PR_LSmax),0)</f>
        <v>0</v>
      </c>
      <c r="Y247" s="20" t="n">
        <f aca="false">X247-(PR_LSrate*MAX(0,MIN(X247,PR_LScap)-PR_LSfree)+PR_r2*MAX(0,X247-PR_LScap))</f>
        <v>0</v>
      </c>
      <c r="Z247" s="20" t="n">
        <f aca="false">W247-X247</f>
        <v>253921.670658451</v>
      </c>
      <c r="AA247" s="51" t="n">
        <f aca="false">IF(C247&gt;=PR_ARFage1,IF(Z247&gt;PR_ARFbig,PR_ARFbigRate,IF(C247&gt;=PR_ARFage2,PR_ARF71,PR_ARF61)),0)</f>
        <v>0</v>
      </c>
      <c r="AB247" s="20" t="n">
        <f aca="false">IF(AS_DrawRule="min",Z247*AA247,IF(AS_DrawRule="fixed",MAX(AS_DrawFixed*E247,Z247*AA247),Z247*MAX(1/MAX(1,AS_End-C247+1),AA247)))</f>
        <v>5642.70379241001</v>
      </c>
      <c r="AC247" s="20" t="n">
        <f aca="false">IF(AND(G247=0,C247&gt;=F_V),MIN(Z247,AB247),0)</f>
        <v>0</v>
      </c>
      <c r="AD247" s="20" t="n">
        <f aca="false">IF(G247=1,S247*(1+F_PenG)+Q247,IF(C247&lt;F_V,S247*(1+F_PenG),(Z247-AC247)*(1+AS_PenRet)))</f>
        <v>274511.796210019</v>
      </c>
      <c r="AE247" s="20" t="n">
        <f aca="false">IF(C247&gt;=PR_SPage,AS_SP*F_SpF*I247+IF(AND(C247&gt;=PR_Over80Age,F_SpF&gt;0),PR_Over80*PR_Weeks*I247,0),0)</f>
        <v>0</v>
      </c>
      <c r="AF247" s="20" t="n">
        <f aca="false">(F_OtherM+F_RentM)*12*E247+IF(AND(In_polInc&gt;0,In_polIncAge&gt;0,C247&gt;=In_polIncAge),In_polInc,0)</f>
        <v>0</v>
      </c>
      <c r="AG247" s="20" t="n">
        <f aca="false">F_PAge+B247</f>
        <v>50</v>
      </c>
      <c r="AH247" s="20" t="n">
        <f aca="false">IF(AND(F_Partner=1,F_PAge&gt;0,AG247&lt;IF(F_PRet&gt;0,F_PRet,PR_SPage)),F_PIncome*F247,0)</f>
        <v>32307.7416959344</v>
      </c>
      <c r="AI247" s="20" t="n">
        <f aca="false">IF(AND(F_Partner=1,AG247&gt;=PR_SPage,F_PSpQA=0),AS_SP*F_PSpF*I247,0)</f>
        <v>0</v>
      </c>
      <c r="AJ247" s="20" t="n">
        <f aca="false">IF(AND(F_Partner=1,F_PSpQA=1,C247&gt;=PR_SPage,AH247=0),IF(AG247&gt;=PR_SPage,PR_QA66,PR_QAunder)*PR_Weeks*I247,0)</f>
        <v>0</v>
      </c>
      <c r="AK247" s="20" t="n">
        <f aca="false">AE247+AJ247</f>
        <v>0</v>
      </c>
      <c r="AL247" s="20" t="n">
        <f aca="false">K247/H247</f>
        <v>65843.0108311299</v>
      </c>
      <c r="AM247" s="20" t="n">
        <f aca="false">AK247/H247</f>
        <v>0</v>
      </c>
      <c r="AN247" s="20" t="n">
        <f aca="false">AC247/H247</f>
        <v>0</v>
      </c>
      <c r="AO247" s="20" t="n">
        <f aca="false">AF247/H247</f>
        <v>0</v>
      </c>
      <c r="AP247" s="20" t="n">
        <f aca="false">O247/H247</f>
        <v>3541.89989298492</v>
      </c>
      <c r="AQ247" s="20" t="n">
        <f aca="false">AH247/H247</f>
        <v>24974.9351428424</v>
      </c>
      <c r="AR247" s="20" t="n">
        <f aca="false">AI247/H247</f>
        <v>0</v>
      </c>
      <c r="AS247" s="20" t="n">
        <f aca="false">MAX(0,AL247+AN247+AO247+AM247-AP247)</f>
        <v>62301.110938145</v>
      </c>
      <c r="AT247" s="20" t="n">
        <f aca="false">MAX(0,AQ247+AR247)</f>
        <v>24974.9351428424</v>
      </c>
      <c r="AU247" s="20" t="n">
        <f aca="false">MIN(PR_PAYE,PR_PAYEcap*(AL247+AN247+AM247))</f>
        <v>2000</v>
      </c>
      <c r="AV247" s="20" t="n">
        <f aca="false">MIN(PR_PAYE,PR_PAYEcap*(AQ247+AR247))</f>
        <v>2000</v>
      </c>
      <c r="AW247" s="20" t="n">
        <f aca="false">IF(C247&gt;=PR_AgeCrAge,PR_AgeCr,0)</f>
        <v>0</v>
      </c>
      <c r="AX247" s="20" t="n">
        <f aca="false">IF(AG247&gt;=PR_AgeCrAge,PR_AgeCr,0)</f>
        <v>0</v>
      </c>
      <c r="AY247" s="20" t="n">
        <f aca="false">IF(AND(F_RentCred=1,D247&lt;=PR_RentLast),1,0)</f>
        <v>0</v>
      </c>
      <c r="AZ247" s="20" t="n">
        <f aca="false">AS247+AT247</f>
        <v>87276.0460809873</v>
      </c>
      <c r="BA247" s="20" t="n">
        <f aca="false">PR_PersonalM+AU247+AV247+AW247+AX247+IF(AY247=1,PR_RentJoint,0)</f>
        <v>8000</v>
      </c>
      <c r="BB247" s="20" t="n">
        <f aca="false">PR_BandM+MIN(MIN(AS247,AT247),PR_Uplift)</f>
        <v>77974.9351428424</v>
      </c>
      <c r="BC247" s="20" t="n">
        <f aca="false">MAX(0,PR_r1*MIN(AZ247,BB247)+PR_r2*MAX(0,AZ247-BB247)-BA247)</f>
        <v>11315.4314038265</v>
      </c>
      <c r="BD247" s="20" t="n">
        <f aca="false">MAX(0,PR_HomeCarer-MAX(0,MIN(AS247,AT247)-PR_HCLimit)/2)</f>
        <v>0</v>
      </c>
      <c r="BE247" s="20" t="n">
        <f aca="false">IF(F_Carer=1,MIN(BC247,MAX(0,PR_r1*MIN(AZ247,PR_BandM)+PR_r2*MAX(0,AZ247-PR_BandM)-BA247-BD247)),BC247)</f>
        <v>11315.4314038265</v>
      </c>
      <c r="BF247" s="20" t="n">
        <f aca="false">IF(OR(C247&gt;=PR_AgeCrAge,AG247&gt;=PR_AgeCrAge),IF(AZ247&lt;=PR_AgeExM,0,MIN(BE247,PR_AgeMarg*(AZ247-PR_AgeExM))),BE247)</f>
        <v>11315.4314038265</v>
      </c>
      <c r="BG247" s="20" t="n">
        <f aca="false">MAX(0,PR_r1*MIN(AS247,IF(F_Spccc=1,PR_BandSPCCC,PR_Band))+PR_r2*MAX(0,AS247-IF(F_Spccc=1,PR_BandSPCCC,PR_Band))-(PR_Personal+AU247+AW247+IF(F_Spccc=1,PR_SPCCC,0)+IF(AY247=1,PR_Rent,0)))</f>
        <v>12120.444375258</v>
      </c>
      <c r="BH247" s="20" t="n">
        <f aca="false">IF(C247&gt;=PR_AgeCrAge,IF(AS247&lt;=PR_AgeEx,0,MIN(BG247,PR_AgeMarg*(AS247-PR_AgeEx))),BG247)</f>
        <v>12120.444375258</v>
      </c>
      <c r="BI247" s="20" t="n">
        <f aca="false">IF(F_Partner=1,MAX(0,PR_r1*MIN(AT247,PR_Band)+PR_r2*MAX(0,AT247-PR_Band)-(PR_Personal+AV247+AX247+IF(AND(AY247=1,AT247&gt;0),PR_Rent,0))),0)</f>
        <v>994.987028568474</v>
      </c>
      <c r="BJ247" s="20" t="n">
        <f aca="false">IF(AG247&gt;=PR_AgeCrAge,IF(AT247&lt;=PR_AgeEx,0,MIN(BI247,PR_AgeMarg*(AT247-PR_AgeEx))),BI247)</f>
        <v>994.987028568474</v>
      </c>
      <c r="BK247" s="20" t="n">
        <f aca="false">IF(F_Partner=1,IF(F_Married=1,BF247,BH247+BJ247),BH247)</f>
        <v>13115.4314038265</v>
      </c>
      <c r="BL247" s="20" t="n">
        <f aca="false">AL247+AN247+AO247</f>
        <v>65843.0108311299</v>
      </c>
      <c r="BM247" s="20"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1508.1103249339</v>
      </c>
      <c r="BN247" s="20" t="n">
        <f aca="false">AQ247</f>
        <v>24974.9351428424</v>
      </c>
      <c r="BO247" s="20" t="n">
        <f aca="false">IF(F_Partner=1,IF(BN247&lt;=PR_USCex,0,IF(IF(AND(AG247&gt;=PR_USCredAge,BN247&lt;=PR_USCredMax),1,0)=1,PR_USCr1*MIN(BN247,PR_USCredB1)+PR_USCredR2*MAX(0,BN247-PR_USCredB1),PR_USCr1*MIN(BN247,PR_USCb1)+PR_USCr2*MAX(0,MIN(BN247,PR_USCb2)-PR_USCb1)+PR_USCr3*MAX(0,MIN(BN247,PR_USCb3)-PR_USCb2)+PR_USCr4*MAX(0,BN247-PR_USCb3))),0)</f>
        <v>319.318702856847</v>
      </c>
      <c r="BP247" s="20" t="n">
        <f aca="false">IF(C247&lt;PR_PRSIend,IF(F_SelfEmp=1,IF(AL247&gt;PR_PRSIsMinInc,MAX(PR_PRSIsMin,AL247*J247),0),IF(AL247/52&lt;=PR_PRSIfree,0,MAX(0,(AL247/52*J247-IF(AL247/52&lt;=PR_PRSIcreditTo,MAX(0,PR_PRSIcreditMax-(AL247/52-(PR_PRSIfree+0.01))/PR_PRSItaper),0))*52)))+J247*AN247+IF(AO247&gt;PR_PRSIunearned,J247*AO247,0),0)+IF(AND(PRSI_ARF_Applies=1,AN247&gt;0,C247&gt;=PR_PRSIend,C247&lt;PRSI_ARF_ToAge,NOT(AK247&gt;0)),J247*AN247,0)</f>
        <v>3094.6215090631</v>
      </c>
      <c r="BQ247" s="20" t="n">
        <f aca="false">IF(AND(F_Partner=1,AG247&lt;PR_PRSIend),IF(AQ247/52&lt;=PR_PRSIfree,0,MAX(0,(AQ247/52*J247-IF(AQ247/52&lt;=PR_PRSIcreditTo,MAX(0,PR_PRSIcreditMax-(AQ247/52-(PR_PRSIfree+0.01))/PR_PRSItaper),0))*52)),0)</f>
        <v>1173.82195171359</v>
      </c>
      <c r="BR247" s="20" t="n">
        <f aca="false">BK247+BM247+BO247+BP247+BQ247</f>
        <v>19211.3038923939</v>
      </c>
      <c r="BS247" s="20" t="n">
        <f aca="false">BR247*H247</f>
        <v>24851.8700948636</v>
      </c>
      <c r="BT247" s="20" t="n">
        <f aca="false">K247+AK247+AC247+AF247+AH247+AI247</f>
        <v>117482.697076125</v>
      </c>
    </row>
    <row r="248" customFormat="false" ht="15" hidden="false" customHeight="true" outlineLevel="0" collapsed="false">
      <c r="B248" s="20" t="n">
        <v>14</v>
      </c>
      <c r="C248" s="20" t="n">
        <f aca="false">F_Age+B248</f>
        <v>52</v>
      </c>
      <c r="D248" s="20" t="n">
        <f aca="false">AS_Year0+B248</f>
        <v>2040</v>
      </c>
      <c r="E248" s="50" t="n">
        <f aca="false">(1+AS_Infl)^B248</f>
        <v>1.31947876306287</v>
      </c>
      <c r="F248" s="50" t="n">
        <f aca="false">(1+AS_Wage)^B248</f>
        <v>1.51258972485511</v>
      </c>
      <c r="G248" s="20" t="n">
        <f aca="false">IF(C248&lt;F_R,1,0)</f>
        <v>1</v>
      </c>
      <c r="H248" s="50" t="n">
        <f aca="false">IF(AS_Bands="flat",1,E248)</f>
        <v>1.31947876306287</v>
      </c>
      <c r="I248" s="50" t="n">
        <f aca="false">IF(AS_SpGrow="pay",F248,IF(AS_SpGrow="flat",1,E248))</f>
        <v>1.31947876306287</v>
      </c>
      <c r="J248" s="50" t="n">
        <f aca="false">(12*PR_PRSIr0+(PR_PRSIr1-PR_PRSIr0)*MAX(0,MIN(12,D248*12+12-PR_PRSIt1))+(PR_PRSIr2-PR_PRSIr1)*MAX(0,MIN(12,D248*12+12-PR_PRSIt2))+(PR_PRSIr3-PR_PRSIr2)*MAX(0,MIN(12,D248*12+12-PR_PRSIt3)))/12</f>
        <v>0.047</v>
      </c>
      <c r="K248" s="20" t="n">
        <f aca="false">IF(G248=1,F_Income*F248,0)</f>
        <v>87730.2040415965</v>
      </c>
      <c r="L248" s="20" t="n">
        <f aca="false">IF(G248=1,(F_Own+In_penExtra)*12*F248,0)</f>
        <v>4719.27994154795</v>
      </c>
      <c r="M248" s="20" t="n">
        <f aca="false">IF(G248=1,(F_PenM+In_penExtra)*12*F248,0)</f>
        <v>9438.5598830959</v>
      </c>
      <c r="N248" s="51" t="n">
        <f aca="false">IF(C248&lt;PR_RelA1,PR_RelP1,IF(C248&lt;PR_RelA2,PR_RelP2,IF(C248&lt;PR_RelA3,PR_RelP3,IF(C248&lt;PR_RelA4,PR_RelP4,IF(C248&lt;PR_RelA5,PR_RelP5,PR_RelP6)))))</f>
        <v>0.3</v>
      </c>
      <c r="O248" s="20" t="n">
        <f aca="false">IF(G248=1,MIN(L248/H248,N248*MIN(K248/H248,PR_EarnCap))*H248,0)</f>
        <v>4719.27994154795</v>
      </c>
      <c r="P248" s="20" t="n">
        <f aca="false">IF(AND(G248=1,F_AE=1),MIN(K248/H248,PR_AEcap)*H248,0)</f>
        <v>0</v>
      </c>
      <c r="Q248" s="20" t="n">
        <f aca="false">IF(G248=1,IF(WI_Retire=1,MAX(0,M248+WI_M*12),M248)+(PR_AEee+PR_AEer+PR_AEst)*P248,0)</f>
        <v>9438.5598830959</v>
      </c>
      <c r="R248" s="20" t="n">
        <f aca="false">L248+PR_AEee*P248</f>
        <v>4719.27994154795</v>
      </c>
      <c r="S248" s="20" t="n">
        <f aca="false">AD247</f>
        <v>274511.796210019</v>
      </c>
      <c r="T248" s="20" t="n">
        <f aca="false">IF(D248&lt;=PR_SFTfrom,PR_SFT2026,IF(D248=PR_SFTfrom+1,PR_SFT2027,IF(D248=PR_SFTfrom+2,PR_SFT2028,IF(D248&lt;=PR_SFTto,PR_SFT2029,PR_SFT2029*(1+AS_Infl)^(D248-PR_SFTto)))))</f>
        <v>3481448.06350503</v>
      </c>
      <c r="U248" s="20" t="n">
        <f aca="false">IF(AND(G248=0,C248=F_V),1,0)</f>
        <v>0</v>
      </c>
      <c r="V248" s="20" t="n">
        <f aca="false">IF(U248=1,PR_SFTrate*MAX(0,S248-T248),0)</f>
        <v>0</v>
      </c>
      <c r="W248" s="20" t="n">
        <f aca="false">S248-V248</f>
        <v>274511.796210019</v>
      </c>
      <c r="X248" s="20" t="n">
        <f aca="false">IF(AND(U248=1,AS_LumpPct&gt;0),W248*MIN(AS_LumpPct,PR_LSmax),0)</f>
        <v>0</v>
      </c>
      <c r="Y248" s="20" t="n">
        <f aca="false">X248-(PR_LSrate*MAX(0,MIN(X248,PR_LScap)-PR_LSfree)+PR_r2*MAX(0,X248-PR_LScap))</f>
        <v>0</v>
      </c>
      <c r="Z248" s="20" t="n">
        <f aca="false">W248-X248</f>
        <v>274511.796210019</v>
      </c>
      <c r="AA248" s="51" t="n">
        <f aca="false">IF(C248&gt;=PR_ARFage1,IF(Z248&gt;PR_ARFbig,PR_ARFbigRate,IF(C248&gt;=PR_ARFage2,PR_ARF71,PR_ARF61)),0)</f>
        <v>0</v>
      </c>
      <c r="AB248" s="20" t="n">
        <f aca="false">IF(AS_DrawRule="min",Z248*AA248,IF(AS_DrawRule="fixed",MAX(AS_DrawFixed*E248,Z248*AA248),Z248*MAX(1/MAX(1,AS_End-C248+1),AA248)))</f>
        <v>6238.9044593186</v>
      </c>
      <c r="AC248" s="20" t="n">
        <f aca="false">IF(AND(G248=0,C248&gt;=F_V),MIN(Z248,AB248),0)</f>
        <v>0</v>
      </c>
      <c r="AD248" s="20" t="n">
        <f aca="false">IF(G248=1,S248*(1+F_PenG)+Q248,IF(C248&lt;F_V,S248*(1+F_PenG),(Z248-AC248)*(1+AS_PenRet)))</f>
        <v>296303.386922565</v>
      </c>
      <c r="AE248" s="20" t="n">
        <f aca="false">IF(C248&gt;=PR_SPage,AS_SP*F_SpF*I248+IF(AND(C248&gt;=PR_Over80Age,F_SpF&gt;0),PR_Over80*PR_Weeks*I248,0),0)</f>
        <v>0</v>
      </c>
      <c r="AF248" s="20" t="n">
        <f aca="false">(F_OtherM+F_RentM)*12*E248+IF(AND(In_polInc&gt;0,In_polIncAge&gt;0,C248&gt;=In_polIncAge),In_polInc,0)</f>
        <v>0</v>
      </c>
      <c r="AG248" s="20" t="n">
        <f aca="false">F_PAge+B248</f>
        <v>51</v>
      </c>
      <c r="AH248" s="20" t="n">
        <f aca="false">IF(AND(F_Partner=1,F_PAge&gt;0,AG248&lt;IF(F_PRet&gt;0,F_PRet,PR_SPage)),F_PIncome*F248,0)</f>
        <v>33276.9739468125</v>
      </c>
      <c r="AI248" s="20" t="n">
        <f aca="false">IF(AND(F_Partner=1,AG248&gt;=PR_SPage,F_PSpQA=0),AS_SP*F_PSpF*I248,0)</f>
        <v>0</v>
      </c>
      <c r="AJ248" s="20" t="n">
        <f aca="false">IF(AND(F_Partner=1,F_PSpQA=1,C248&gt;=PR_SPage,AH248=0),IF(AG248&gt;=PR_SPage,PR_QA66,PR_QAunder)*PR_Weeks*I248,0)</f>
        <v>0</v>
      </c>
      <c r="AK248" s="20" t="n">
        <f aca="false">AE248+AJ248</f>
        <v>0</v>
      </c>
      <c r="AL248" s="20" t="n">
        <f aca="false">K248/H248</f>
        <v>66488.5305451606</v>
      </c>
      <c r="AM248" s="20" t="n">
        <f aca="false">AK248/H248</f>
        <v>0</v>
      </c>
      <c r="AN248" s="20" t="n">
        <f aca="false">AC248/H248</f>
        <v>0</v>
      </c>
      <c r="AO248" s="20" t="n">
        <f aca="false">AF248/H248</f>
        <v>0</v>
      </c>
      <c r="AP248" s="20" t="n">
        <f aca="false">O248/H248</f>
        <v>3576.62440173967</v>
      </c>
      <c r="AQ248" s="20" t="n">
        <f aca="false">AH248/H248</f>
        <v>25219.7874481644</v>
      </c>
      <c r="AR248" s="20" t="n">
        <f aca="false">AI248/H248</f>
        <v>0</v>
      </c>
      <c r="AS248" s="20" t="n">
        <f aca="false">MAX(0,AL248+AN248+AO248+AM248-AP248)</f>
        <v>62911.9061434209</v>
      </c>
      <c r="AT248" s="20" t="n">
        <f aca="false">MAX(0,AQ248+AR248)</f>
        <v>25219.7874481644</v>
      </c>
      <c r="AU248" s="20" t="n">
        <f aca="false">MIN(PR_PAYE,PR_PAYEcap*(AL248+AN248+AM248))</f>
        <v>2000</v>
      </c>
      <c r="AV248" s="20" t="n">
        <f aca="false">MIN(PR_PAYE,PR_PAYEcap*(AQ248+AR248))</f>
        <v>2000</v>
      </c>
      <c r="AW248" s="20" t="n">
        <f aca="false">IF(C248&gt;=PR_AgeCrAge,PR_AgeCr,0)</f>
        <v>0</v>
      </c>
      <c r="AX248" s="20" t="n">
        <f aca="false">IF(AG248&gt;=PR_AgeCrAge,PR_AgeCr,0)</f>
        <v>0</v>
      </c>
      <c r="AY248" s="20" t="n">
        <f aca="false">IF(AND(F_RentCred=1,D248&lt;=PR_RentLast),1,0)</f>
        <v>0</v>
      </c>
      <c r="AZ248" s="20" t="n">
        <f aca="false">AS248+AT248</f>
        <v>88131.6935915853</v>
      </c>
      <c r="BA248" s="20" t="n">
        <f aca="false">PR_PersonalM+AU248+AV248+AW248+AX248+IF(AY248=1,PR_RentJoint,0)</f>
        <v>8000</v>
      </c>
      <c r="BB248" s="20" t="n">
        <f aca="false">PR_BandM+MIN(MIN(AS248,AT248),PR_Uplift)</f>
        <v>78219.7874481644</v>
      </c>
      <c r="BC248" s="20" t="n">
        <f aca="false">MAX(0,PR_r1*MIN(AZ248,BB248)+PR_r2*MAX(0,AZ248-BB248)-BA248)</f>
        <v>11608.7199470012</v>
      </c>
      <c r="BD248" s="20" t="n">
        <f aca="false">MAX(0,PR_HomeCarer-MAX(0,MIN(AS248,AT248)-PR_HCLimit)/2)</f>
        <v>0</v>
      </c>
      <c r="BE248" s="20" t="n">
        <f aca="false">IF(F_Carer=1,MIN(BC248,MAX(0,PR_r1*MIN(AZ248,PR_BandM)+PR_r2*MAX(0,AZ248-PR_BandM)-BA248-BD248)),BC248)</f>
        <v>11608.7199470012</v>
      </c>
      <c r="BF248" s="20" t="n">
        <f aca="false">IF(OR(C248&gt;=PR_AgeCrAge,AG248&gt;=PR_AgeCrAge),IF(AZ248&lt;=PR_AgeExM,0,MIN(BE248,PR_AgeMarg*(AZ248-PR_AgeExM))),BE248)</f>
        <v>11608.7199470012</v>
      </c>
      <c r="BG248" s="20" t="n">
        <f aca="false">MAX(0,PR_r1*MIN(AS248,IF(F_Spccc=1,PR_BandSPCCC,PR_Band))+PR_r2*MAX(0,AS248-IF(F_Spccc=1,PR_BandSPCCC,PR_Band))-(PR_Personal+AU248+AW248+IF(F_Spccc=1,PR_SPCCC,0)+IF(AY248=1,PR_Rent,0)))</f>
        <v>12364.7624573684</v>
      </c>
      <c r="BH248" s="20" t="n">
        <f aca="false">IF(C248&gt;=PR_AgeCrAge,IF(AS248&lt;=PR_AgeEx,0,MIN(BG248,PR_AgeMarg*(AS248-PR_AgeEx))),BG248)</f>
        <v>12364.7624573684</v>
      </c>
      <c r="BI248" s="20" t="n">
        <f aca="false">IF(F_Partner=1,MAX(0,PR_r1*MIN(AT248,PR_Band)+PR_r2*MAX(0,AT248-PR_Band)-(PR_Personal+AV248+AX248+IF(AND(AY248=1,AT248&gt;0),PR_Rent,0))),0)</f>
        <v>1043.95748963287</v>
      </c>
      <c r="BJ248" s="20" t="n">
        <f aca="false">IF(AG248&gt;=PR_AgeCrAge,IF(AT248&lt;=PR_AgeEx,0,MIN(BI248,PR_AgeMarg*(AT248-PR_AgeEx))),BI248)</f>
        <v>1043.95748963287</v>
      </c>
      <c r="BK248" s="20" t="n">
        <f aca="false">IF(F_Partner=1,IF(F_Married=1,BF248,BH248+BJ248),BH248)</f>
        <v>13408.7199470012</v>
      </c>
      <c r="BL248" s="20" t="n">
        <f aca="false">AL248+AN248+AO248</f>
        <v>66488.5305451606</v>
      </c>
      <c r="BM248" s="20"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1527.47591635482</v>
      </c>
      <c r="BN248" s="20" t="n">
        <f aca="false">AQ248</f>
        <v>25219.7874481644</v>
      </c>
      <c r="BO248" s="20" t="n">
        <f aca="false">IF(F_Partner=1,IF(BN248&lt;=PR_USCex,0,IF(IF(AND(AG248&gt;=PR_USCredAge,BN248&lt;=PR_USCredMax),1,0)=1,PR_USCr1*MIN(BN248,PR_USCredB1)+PR_USCredR2*MAX(0,BN248-PR_USCredB1),PR_USCr1*MIN(BN248,PR_USCb1)+PR_USCr2*MAX(0,MIN(BN248,PR_USCb2)-PR_USCb1)+PR_USCr3*MAX(0,MIN(BN248,PR_USCb3)-PR_USCb2)+PR_USCr4*MAX(0,BN248-PR_USCb3))),0)</f>
        <v>324.215748963287</v>
      </c>
      <c r="BP248" s="20" t="n">
        <f aca="false">IF(C248&lt;PR_PRSIend,IF(F_SelfEmp=1,IF(AL248&gt;PR_PRSIsMinInc,MAX(PR_PRSIsMin,AL248*J248),0),IF(AL248/52&lt;=PR_PRSIfree,0,MAX(0,(AL248/52*J248-IF(AL248/52&lt;=PR_PRSIcreditTo,MAX(0,PR_PRSIcreditMax-(AL248/52-(PR_PRSIfree+0.01))/PR_PRSItaper),0))*52)))+J248*AN248+IF(AO248&gt;PR_PRSIunearned,J248*AO248,0),0)+IF(AND(PRSI_ARF_Applies=1,AN248&gt;0,C248&gt;=PR_PRSIend,C248&lt;PRSI_ARF_ToAge,NOT(AK248&gt;0)),J248*AN248,0)</f>
        <v>3124.96093562255</v>
      </c>
      <c r="BQ248" s="20" t="n">
        <f aca="false">IF(AND(F_Partner=1,AG248&lt;PR_PRSIend),IF(AQ248/52&lt;=PR_PRSIfree,0,MAX(0,(AQ248/52*J248-IF(AQ248/52&lt;=PR_PRSIcreditTo,MAX(0,PR_PRSIcreditMax-(AQ248/52-(PR_PRSIfree+0.01))/PR_PRSItaper),0))*52)),0)</f>
        <v>1185.33001006372</v>
      </c>
      <c r="BR248" s="20" t="n">
        <f aca="false">BK248+BM248+BO248+BP248+BQ248</f>
        <v>19570.7025580056</v>
      </c>
      <c r="BS248" s="20" t="n">
        <f aca="false">BR248*H248</f>
        <v>25823.1264035086</v>
      </c>
      <c r="BT248" s="20" t="n">
        <f aca="false">K248+AK248+AC248+AF248+AH248+AI248</f>
        <v>121007.177988409</v>
      </c>
    </row>
    <row r="249" customFormat="false" ht="15" hidden="false" customHeight="true" outlineLevel="0" collapsed="false">
      <c r="B249" s="20" t="n">
        <v>15</v>
      </c>
      <c r="C249" s="20" t="n">
        <f aca="false">F_Age+B249</f>
        <v>53</v>
      </c>
      <c r="D249" s="20" t="n">
        <f aca="false">AS_Year0+B249</f>
        <v>2041</v>
      </c>
      <c r="E249" s="50" t="n">
        <f aca="false">(1+AS_Infl)^B249</f>
        <v>1.34586833832413</v>
      </c>
      <c r="F249" s="50" t="n">
        <f aca="false">(1+AS_Wage)^B249</f>
        <v>1.55796741660077</v>
      </c>
      <c r="G249" s="20" t="n">
        <f aca="false">IF(C249&lt;F_R,1,0)</f>
        <v>1</v>
      </c>
      <c r="H249" s="50" t="n">
        <f aca="false">IF(AS_Bands="flat",1,E249)</f>
        <v>1.34586833832413</v>
      </c>
      <c r="I249" s="50" t="n">
        <f aca="false">IF(AS_SpGrow="pay",F249,IF(AS_SpGrow="flat",1,E249))</f>
        <v>1.34586833832413</v>
      </c>
      <c r="J249" s="50" t="n">
        <f aca="false">(12*PR_PRSIr0+(PR_PRSIr1-PR_PRSIr0)*MAX(0,MIN(12,D249*12+12-PR_PRSIt1))+(PR_PRSIr2-PR_PRSIr1)*MAX(0,MIN(12,D249*12+12-PR_PRSIt2))+(PR_PRSIr3-PR_PRSIr2)*MAX(0,MIN(12,D249*12+12-PR_PRSIt3)))/12</f>
        <v>0.047</v>
      </c>
      <c r="K249" s="20" t="n">
        <f aca="false">IF(G249=1,F_Income*F249,0)</f>
        <v>90362.1101628444</v>
      </c>
      <c r="L249" s="20" t="n">
        <f aca="false">IF(G249=1,(F_Own+In_penExtra)*12*F249,0)</f>
        <v>4860.85833979439</v>
      </c>
      <c r="M249" s="20" t="n">
        <f aca="false">IF(G249=1,(F_PenM+In_penExtra)*12*F249,0)</f>
        <v>9721.71667958877</v>
      </c>
      <c r="N249" s="51" t="n">
        <f aca="false">IF(C249&lt;PR_RelA1,PR_RelP1,IF(C249&lt;PR_RelA2,PR_RelP2,IF(C249&lt;PR_RelA3,PR_RelP3,IF(C249&lt;PR_RelA4,PR_RelP4,IF(C249&lt;PR_RelA5,PR_RelP5,PR_RelP6)))))</f>
        <v>0.3</v>
      </c>
      <c r="O249" s="20" t="n">
        <f aca="false">IF(G249=1,MIN(L249/H249,N249*MIN(K249/H249,PR_EarnCap))*H249,0)</f>
        <v>4860.85833979439</v>
      </c>
      <c r="P249" s="20" t="n">
        <f aca="false">IF(AND(G249=1,F_AE=1),MIN(K249/H249,PR_AEcap)*H249,0)</f>
        <v>0</v>
      </c>
      <c r="Q249" s="20" t="n">
        <f aca="false">IF(G249=1,IF(WI_Retire=1,MAX(0,M249+WI_M*12),M249)+(PR_AEee+PR_AEer+PR_AEst)*P249,0)</f>
        <v>9721.71667958877</v>
      </c>
      <c r="R249" s="20" t="n">
        <f aca="false">L249+PR_AEee*P249</f>
        <v>4860.85833979439</v>
      </c>
      <c r="S249" s="20" t="n">
        <f aca="false">AD248</f>
        <v>296303.386922565</v>
      </c>
      <c r="T249" s="20" t="n">
        <f aca="false">IF(D249&lt;=PR_SFTfrom,PR_SFT2026,IF(D249=PR_SFTfrom+1,PR_SFT2027,IF(D249=PR_SFTfrom+2,PR_SFT2028,IF(D249&lt;=PR_SFTto,PR_SFT2029,PR_SFT2029*(1+AS_Infl)^(D249-PR_SFTto)))))</f>
        <v>3551077.02477513</v>
      </c>
      <c r="U249" s="20" t="n">
        <f aca="false">IF(AND(G249=0,C249=F_V),1,0)</f>
        <v>0</v>
      </c>
      <c r="V249" s="20" t="n">
        <f aca="false">IF(U249=1,PR_SFTrate*MAX(0,S249-T249),0)</f>
        <v>0</v>
      </c>
      <c r="W249" s="20" t="n">
        <f aca="false">S249-V249</f>
        <v>296303.386922565</v>
      </c>
      <c r="X249" s="20" t="n">
        <f aca="false">IF(AND(U249=1,AS_LumpPct&gt;0),W249*MIN(AS_LumpPct,PR_LSmax),0)</f>
        <v>0</v>
      </c>
      <c r="Y249" s="20" t="n">
        <f aca="false">X249-(PR_LSrate*MAX(0,MIN(X249,PR_LScap)-PR_LSfree)+PR_r2*MAX(0,X249-PR_LScap))</f>
        <v>0</v>
      </c>
      <c r="Z249" s="20" t="n">
        <f aca="false">W249-X249</f>
        <v>296303.386922565</v>
      </c>
      <c r="AA249" s="51" t="n">
        <f aca="false">IF(C249&gt;=PR_ARFage1,IF(Z249&gt;PR_ARFbig,PR_ARFbigRate,IF(C249&gt;=PR_ARFage2,PR_ARF71,PR_ARF61)),0)</f>
        <v>0</v>
      </c>
      <c r="AB249" s="20" t="n">
        <f aca="false">IF(AS_DrawRule="min",Z249*AA249,IF(AS_DrawRule="fixed",MAX(AS_DrawFixed*E249,Z249*AA249),Z249*MAX(1/MAX(1,AS_End-C249+1),AA249)))</f>
        <v>6890.77644005966</v>
      </c>
      <c r="AC249" s="20" t="n">
        <f aca="false">IF(AND(G249=0,C249&gt;=F_V),MIN(Z249,AB249),0)</f>
        <v>0</v>
      </c>
      <c r="AD249" s="20" t="n">
        <f aca="false">IF(G249=1,S249*(1+F_PenG)+Q249,IF(C249&lt;F_V,S249*(1+F_PenG),(Z249-AC249)*(1+AS_PenRet)))</f>
        <v>319358.75601367</v>
      </c>
      <c r="AE249" s="20" t="n">
        <f aca="false">IF(C249&gt;=PR_SPage,AS_SP*F_SpF*I249+IF(AND(C249&gt;=PR_Over80Age,F_SpF&gt;0),PR_Over80*PR_Weeks*I249,0),0)</f>
        <v>0</v>
      </c>
      <c r="AF249" s="20" t="n">
        <f aca="false">(F_OtherM+F_RentM)*12*E249+IF(AND(In_polInc&gt;0,In_polIncAge&gt;0,C249&gt;=In_polIncAge),In_polInc,0)</f>
        <v>0</v>
      </c>
      <c r="AG249" s="20" t="n">
        <f aca="false">F_PAge+B249</f>
        <v>52</v>
      </c>
      <c r="AH249" s="20" t="n">
        <f aca="false">IF(AND(F_Partner=1,F_PAge&gt;0,AG249&lt;IF(F_PRet&gt;0,F_PRet,PR_SPage)),F_PIncome*F249,0)</f>
        <v>34275.2831652168</v>
      </c>
      <c r="AI249" s="20" t="n">
        <f aca="false">IF(AND(F_Partner=1,AG249&gt;=PR_SPage,F_PSpQA=0),AS_SP*F_PSpF*I249,0)</f>
        <v>0</v>
      </c>
      <c r="AJ249" s="20" t="n">
        <f aca="false">IF(AND(F_Partner=1,F_PSpQA=1,C249&gt;=PR_SPage,AH249=0),IF(AG249&gt;=PR_SPage,PR_QA66,PR_QAunder)*PR_Weeks*I249,0)</f>
        <v>0</v>
      </c>
      <c r="AK249" s="20" t="n">
        <f aca="false">AE249+AJ249</f>
        <v>0</v>
      </c>
      <c r="AL249" s="20" t="n">
        <f aca="false">K249/H249</f>
        <v>67140.3788838386</v>
      </c>
      <c r="AM249" s="20" t="n">
        <f aca="false">AK249/H249</f>
        <v>0</v>
      </c>
      <c r="AN249" s="20" t="n">
        <f aca="false">AC249/H249</f>
        <v>0</v>
      </c>
      <c r="AO249" s="20" t="n">
        <f aca="false">AF249/H249</f>
        <v>0</v>
      </c>
      <c r="AP249" s="20" t="n">
        <f aca="false">O249/H249</f>
        <v>3611.68934685477</v>
      </c>
      <c r="AQ249" s="20" t="n">
        <f aca="false">AH249/H249</f>
        <v>25467.0402662836</v>
      </c>
      <c r="AR249" s="20" t="n">
        <f aca="false">AI249/H249</f>
        <v>0</v>
      </c>
      <c r="AS249" s="20" t="n">
        <f aca="false">MAX(0,AL249+AN249+AO249+AM249-AP249)</f>
        <v>63528.6895369838</v>
      </c>
      <c r="AT249" s="20" t="n">
        <f aca="false">MAX(0,AQ249+AR249)</f>
        <v>25467.0402662836</v>
      </c>
      <c r="AU249" s="20" t="n">
        <f aca="false">MIN(PR_PAYE,PR_PAYEcap*(AL249+AN249+AM249))</f>
        <v>2000</v>
      </c>
      <c r="AV249" s="20" t="n">
        <f aca="false">MIN(PR_PAYE,PR_PAYEcap*(AQ249+AR249))</f>
        <v>2000</v>
      </c>
      <c r="AW249" s="20" t="n">
        <f aca="false">IF(C249&gt;=PR_AgeCrAge,PR_AgeCr,0)</f>
        <v>0</v>
      </c>
      <c r="AX249" s="20" t="n">
        <f aca="false">IF(AG249&gt;=PR_AgeCrAge,PR_AgeCr,0)</f>
        <v>0</v>
      </c>
      <c r="AY249" s="20" t="n">
        <f aca="false">IF(AND(F_RentCred=1,D249&lt;=PR_RentLast),1,0)</f>
        <v>0</v>
      </c>
      <c r="AZ249" s="20" t="n">
        <f aca="false">AS249+AT249</f>
        <v>88995.7298032675</v>
      </c>
      <c r="BA249" s="20" t="n">
        <f aca="false">PR_PersonalM+AU249+AV249+AW249+AX249+IF(AY249=1,PR_RentJoint,0)</f>
        <v>8000</v>
      </c>
      <c r="BB249" s="20" t="n">
        <f aca="false">PR_BandM+MIN(MIN(AS249,AT249),PR_Uplift)</f>
        <v>78467.0402662836</v>
      </c>
      <c r="BC249" s="20" t="n">
        <f aca="false">MAX(0,PR_r1*MIN(AZ249,BB249)+PR_r2*MAX(0,AZ249-BB249)-BA249)</f>
        <v>11904.8838680503</v>
      </c>
      <c r="BD249" s="20" t="n">
        <f aca="false">MAX(0,PR_HomeCarer-MAX(0,MIN(AS249,AT249)-PR_HCLimit)/2)</f>
        <v>0</v>
      </c>
      <c r="BE249" s="20" t="n">
        <f aca="false">IF(F_Carer=1,MIN(BC249,MAX(0,PR_r1*MIN(AZ249,PR_BandM)+PR_r2*MAX(0,AZ249-PR_BandM)-BA249-BD249)),BC249)</f>
        <v>11904.8838680503</v>
      </c>
      <c r="BF249" s="20" t="n">
        <f aca="false">IF(OR(C249&gt;=PR_AgeCrAge,AG249&gt;=PR_AgeCrAge),IF(AZ249&lt;=PR_AgeExM,0,MIN(BE249,PR_AgeMarg*(AZ249-PR_AgeExM))),BE249)</f>
        <v>11904.8838680503</v>
      </c>
      <c r="BG249" s="20" t="n">
        <f aca="false">MAX(0,PR_r1*MIN(AS249,IF(F_Spccc=1,PR_BandSPCCC,PR_Band))+PR_r2*MAX(0,AS249-IF(F_Spccc=1,PR_BandSPCCC,PR_Band))-(PR_Personal+AU249+AW249+IF(F_Spccc=1,PR_SPCCC,0)+IF(AY249=1,PR_Rent,0)))</f>
        <v>12611.4758147935</v>
      </c>
      <c r="BH249" s="20" t="n">
        <f aca="false">IF(C249&gt;=PR_AgeCrAge,IF(AS249&lt;=PR_AgeEx,0,MIN(BG249,PR_AgeMarg*(AS249-PR_AgeEx))),BG249)</f>
        <v>12611.4758147935</v>
      </c>
      <c r="BI249" s="20" t="n">
        <f aca="false">IF(F_Partner=1,MAX(0,PR_r1*MIN(AT249,PR_Band)+PR_r2*MAX(0,AT249-PR_Band)-(PR_Personal+AV249+AX249+IF(AND(AY249=1,AT249&gt;0),PR_Rent,0))),0)</f>
        <v>1093.40805325672</v>
      </c>
      <c r="BJ249" s="20" t="n">
        <f aca="false">IF(AG249&gt;=PR_AgeCrAge,IF(AT249&lt;=PR_AgeEx,0,MIN(BI249,PR_AgeMarg*(AT249-PR_AgeEx))),BI249)</f>
        <v>1093.40805325672</v>
      </c>
      <c r="BK249" s="20" t="n">
        <f aca="false">IF(F_Partner=1,IF(F_Married=1,BF249,BH249+BJ249),BH249)</f>
        <v>13704.8838680503</v>
      </c>
      <c r="BL249" s="20" t="n">
        <f aca="false">AL249+AN249+AO249</f>
        <v>67140.3788838386</v>
      </c>
      <c r="BM249" s="20"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1547.03136651516</v>
      </c>
      <c r="BN249" s="20" t="n">
        <f aca="false">AQ249</f>
        <v>25467.0402662836</v>
      </c>
      <c r="BO249" s="20" t="n">
        <f aca="false">IF(F_Partner=1,IF(BN249&lt;=PR_USCex,0,IF(IF(AND(AG249&gt;=PR_USCredAge,BN249&lt;=PR_USCredMax),1,0)=1,PR_USCr1*MIN(BN249,PR_USCredB1)+PR_USCredR2*MAX(0,BN249-PR_USCredB1),PR_USCr1*MIN(BN249,PR_USCb1)+PR_USCr2*MAX(0,MIN(BN249,PR_USCb2)-PR_USCb1)+PR_USCr3*MAX(0,MIN(BN249,PR_USCb3)-PR_USCb2)+PR_USCr4*MAX(0,BN249-PR_USCb3))),0)</f>
        <v>329.160805325672</v>
      </c>
      <c r="BP249" s="20" t="n">
        <f aca="false">IF(C249&lt;PR_PRSIend,IF(F_SelfEmp=1,IF(AL249&gt;PR_PRSIsMinInc,MAX(PR_PRSIsMin,AL249*J249),0),IF(AL249/52&lt;=PR_PRSIfree,0,MAX(0,(AL249/52*J249-IF(AL249/52&lt;=PR_PRSIcreditTo,MAX(0,PR_PRSIcreditMax-(AL249/52-(PR_PRSIfree+0.01))/PR_PRSItaper),0))*52)))+J249*AN249+IF(AO249&gt;PR_PRSIunearned,J249*AO249,0),0)+IF(AND(PRSI_ARF_Applies=1,AN249&gt;0,C249&gt;=PR_PRSIend,C249&lt;PRSI_ARF_ToAge,NOT(AK249&gt;0)),J249*AN249,0)</f>
        <v>3155.59780754041</v>
      </c>
      <c r="BQ249" s="20" t="n">
        <f aca="false">IF(AND(F_Partner=1,AG249&lt;PR_PRSIend),IF(AQ249/52&lt;=PR_PRSIfree,0,MAX(0,(AQ249/52*J249-IF(AQ249/52&lt;=PR_PRSIcreditTo,MAX(0,PR_PRSIcreditMax-(AQ249/52-(PR_PRSIfree+0.01))/PR_PRSItaper),0))*52)),0)</f>
        <v>1196.95089251533</v>
      </c>
      <c r="BR249" s="20" t="n">
        <f aca="false">BK249+BM249+BO249+BP249+BQ249</f>
        <v>19933.6247399468</v>
      </c>
      <c r="BS249" s="20" t="n">
        <f aca="false">BR249*H249</f>
        <v>26828.034405529</v>
      </c>
      <c r="BT249" s="20" t="n">
        <f aca="false">K249+AK249+AC249+AF249+AH249+AI249</f>
        <v>124637.393328061</v>
      </c>
    </row>
    <row r="250" customFormat="false" ht="15" hidden="false" customHeight="true" outlineLevel="0" collapsed="false">
      <c r="B250" s="20" t="n">
        <v>16</v>
      </c>
      <c r="C250" s="20" t="n">
        <f aca="false">F_Age+B250</f>
        <v>54</v>
      </c>
      <c r="D250" s="20" t="n">
        <f aca="false">AS_Year0+B250</f>
        <v>2042</v>
      </c>
      <c r="E250" s="50" t="n">
        <f aca="false">(1+AS_Infl)^B250</f>
        <v>1.37278570509061</v>
      </c>
      <c r="F250" s="50" t="n">
        <f aca="false">(1+AS_Wage)^B250</f>
        <v>1.60470643909879</v>
      </c>
      <c r="G250" s="20" t="n">
        <f aca="false">IF(C250&lt;F_R,1,0)</f>
        <v>1</v>
      </c>
      <c r="H250" s="50" t="n">
        <f aca="false">IF(AS_Bands="flat",1,E250)</f>
        <v>1.37278570509061</v>
      </c>
      <c r="I250" s="50" t="n">
        <f aca="false">IF(AS_SpGrow="pay",F250,IF(AS_SpGrow="flat",1,E250))</f>
        <v>1.37278570509061</v>
      </c>
      <c r="J250" s="50" t="n">
        <f aca="false">(12*PR_PRSIr0+(PR_PRSIr1-PR_PRSIr0)*MAX(0,MIN(12,D250*12+12-PR_PRSIt1))+(PR_PRSIr2-PR_PRSIr1)*MAX(0,MIN(12,D250*12+12-PR_PRSIt2))+(PR_PRSIr3-PR_PRSIr2)*MAX(0,MIN(12,D250*12+12-PR_PRSIt3)))/12</f>
        <v>0.047</v>
      </c>
      <c r="K250" s="20" t="n">
        <f aca="false">IF(G250=1,F_Income*F250,0)</f>
        <v>93072.9734677297</v>
      </c>
      <c r="L250" s="20" t="n">
        <f aca="false">IF(G250=1,(F_Own+In_penExtra)*12*F250,0)</f>
        <v>5006.68408998822</v>
      </c>
      <c r="M250" s="20" t="n">
        <f aca="false">IF(G250=1,(F_PenM+In_penExtra)*12*F250,0)</f>
        <v>10013.3681799764</v>
      </c>
      <c r="N250" s="51" t="n">
        <f aca="false">IF(C250&lt;PR_RelA1,PR_RelP1,IF(C250&lt;PR_RelA2,PR_RelP2,IF(C250&lt;PR_RelA3,PR_RelP3,IF(C250&lt;PR_RelA4,PR_RelP4,IF(C250&lt;PR_RelA5,PR_RelP5,PR_RelP6)))))</f>
        <v>0.3</v>
      </c>
      <c r="O250" s="20" t="n">
        <f aca="false">IF(G250=1,MIN(L250/H250,N250*MIN(K250/H250,PR_EarnCap))*H250,0)</f>
        <v>5006.68408998822</v>
      </c>
      <c r="P250" s="20" t="n">
        <f aca="false">IF(AND(G250=1,F_AE=1),MIN(K250/H250,PR_AEcap)*H250,0)</f>
        <v>0</v>
      </c>
      <c r="Q250" s="20" t="n">
        <f aca="false">IF(G250=1,IF(WI_Retire=1,MAX(0,M250+WI_M*12),M250)+(PR_AEee+PR_AEer+PR_AEst)*P250,0)</f>
        <v>10013.3681799764</v>
      </c>
      <c r="R250" s="20" t="n">
        <f aca="false">L250+PR_AEee*P250</f>
        <v>5006.68408998822</v>
      </c>
      <c r="S250" s="20" t="n">
        <f aca="false">AD249</f>
        <v>319358.75601367</v>
      </c>
      <c r="T250" s="20" t="n">
        <f aca="false">IF(D250&lt;=PR_SFTfrom,PR_SFT2026,IF(D250=PR_SFTfrom+1,PR_SFT2027,IF(D250=PR_SFTfrom+2,PR_SFT2028,IF(D250&lt;=PR_SFTto,PR_SFT2029,PR_SFT2029*(1+AS_Infl)^(D250-PR_SFTto)))))</f>
        <v>3622098.56527063</v>
      </c>
      <c r="U250" s="20" t="n">
        <f aca="false">IF(AND(G250=0,C250=F_V),1,0)</f>
        <v>0</v>
      </c>
      <c r="V250" s="20" t="n">
        <f aca="false">IF(U250=1,PR_SFTrate*MAX(0,S250-T250),0)</f>
        <v>0</v>
      </c>
      <c r="W250" s="20" t="n">
        <f aca="false">S250-V250</f>
        <v>319358.75601367</v>
      </c>
      <c r="X250" s="20" t="n">
        <f aca="false">IF(AND(U250=1,AS_LumpPct&gt;0),W250*MIN(AS_LumpPct,PR_LSmax),0)</f>
        <v>0</v>
      </c>
      <c r="Y250" s="20" t="n">
        <f aca="false">X250-(PR_LSrate*MAX(0,MIN(X250,PR_LScap)-PR_LSfree)+PR_r2*MAX(0,X250-PR_LScap))</f>
        <v>0</v>
      </c>
      <c r="Z250" s="20" t="n">
        <f aca="false">W250-X250</f>
        <v>319358.75601367</v>
      </c>
      <c r="AA250" s="51" t="n">
        <f aca="false">IF(C250&gt;=PR_ARFage1,IF(Z250&gt;PR_ARFbig,PR_ARFbigRate,IF(C250&gt;=PR_ARFage2,PR_ARF71,PR_ARF61)),0)</f>
        <v>0</v>
      </c>
      <c r="AB250" s="20" t="n">
        <f aca="false">IF(AS_DrawRule="min",Z250*AA250,IF(AS_DrawRule="fixed",MAX(AS_DrawFixed*E250,Z250*AA250),Z250*MAX(1/MAX(1,AS_End-C250+1),AA250)))</f>
        <v>7603.77990508737</v>
      </c>
      <c r="AC250" s="20" t="n">
        <f aca="false">IF(AND(G250=0,C250&gt;=F_V),MIN(Z250,AB250),0)</f>
        <v>0</v>
      </c>
      <c r="AD250" s="20" t="n">
        <f aca="false">IF(G250=1,S250*(1+F_PenG)+Q250,IF(C250&lt;F_V,S250*(1+F_PenG),(Z250-AC250)*(1+AS_PenRet)))</f>
        <v>343743.268214261</v>
      </c>
      <c r="AE250" s="20" t="n">
        <f aca="false">IF(C250&gt;=PR_SPage,AS_SP*F_SpF*I250+IF(AND(C250&gt;=PR_Over80Age,F_SpF&gt;0),PR_Over80*PR_Weeks*I250,0),0)</f>
        <v>0</v>
      </c>
      <c r="AF250" s="20" t="n">
        <f aca="false">(F_OtherM+F_RentM)*12*E250+IF(AND(In_polInc&gt;0,In_polIncAge&gt;0,C250&gt;=In_polIncAge),In_polInc,0)</f>
        <v>0</v>
      </c>
      <c r="AG250" s="20" t="n">
        <f aca="false">F_PAge+B250</f>
        <v>53</v>
      </c>
      <c r="AH250" s="20" t="n">
        <f aca="false">IF(AND(F_Partner=1,F_PAge&gt;0,AG250&lt;IF(F_PRet&gt;0,F_PRet,PR_SPage)),F_PIncome*F250,0)</f>
        <v>35303.5416601733</v>
      </c>
      <c r="AI250" s="20" t="n">
        <f aca="false">IF(AND(F_Partner=1,AG250&gt;=PR_SPage,F_PSpQA=0),AS_SP*F_PSpF*I250,0)</f>
        <v>0</v>
      </c>
      <c r="AJ250" s="20" t="n">
        <f aca="false">IF(AND(F_Partner=1,F_PSpQA=1,C250&gt;=PR_SPage,AH250=0),IF(AG250&gt;=PR_SPage,PR_QA66,PR_QAunder)*PR_Weeks*I250,0)</f>
        <v>0</v>
      </c>
      <c r="AK250" s="20" t="n">
        <f aca="false">AE250+AJ250</f>
        <v>0</v>
      </c>
      <c r="AL250" s="20" t="n">
        <f aca="false">K250/H250</f>
        <v>67798.6178925037</v>
      </c>
      <c r="AM250" s="20" t="n">
        <f aca="false">AK250/H250</f>
        <v>0</v>
      </c>
      <c r="AN250" s="20" t="n">
        <f aca="false">AC250/H250</f>
        <v>0</v>
      </c>
      <c r="AO250" s="20" t="n">
        <f aca="false">AF250/H250</f>
        <v>0</v>
      </c>
      <c r="AP250" s="20" t="n">
        <f aca="false">O250/H250</f>
        <v>3647.09806594158</v>
      </c>
      <c r="AQ250" s="20" t="n">
        <f aca="false">AH250/H250</f>
        <v>25716.7171316393</v>
      </c>
      <c r="AR250" s="20" t="n">
        <f aca="false">AI250/H250</f>
        <v>0</v>
      </c>
      <c r="AS250" s="20" t="n">
        <f aca="false">MAX(0,AL250+AN250+AO250+AM250-AP250)</f>
        <v>64151.5198265621</v>
      </c>
      <c r="AT250" s="20" t="n">
        <f aca="false">MAX(0,AQ250+AR250)</f>
        <v>25716.7171316393</v>
      </c>
      <c r="AU250" s="20" t="n">
        <f aca="false">MIN(PR_PAYE,PR_PAYEcap*(AL250+AN250+AM250))</f>
        <v>2000</v>
      </c>
      <c r="AV250" s="20" t="n">
        <f aca="false">MIN(PR_PAYE,PR_PAYEcap*(AQ250+AR250))</f>
        <v>2000</v>
      </c>
      <c r="AW250" s="20" t="n">
        <f aca="false">IF(C250&gt;=PR_AgeCrAge,PR_AgeCr,0)</f>
        <v>0</v>
      </c>
      <c r="AX250" s="20" t="n">
        <f aca="false">IF(AG250&gt;=PR_AgeCrAge,PR_AgeCr,0)</f>
        <v>0</v>
      </c>
      <c r="AY250" s="20" t="n">
        <f aca="false">IF(AND(F_RentCred=1,D250&lt;=PR_RentLast),1,0)</f>
        <v>0</v>
      </c>
      <c r="AZ250" s="20" t="n">
        <f aca="false">AS250+AT250</f>
        <v>89868.2369582015</v>
      </c>
      <c r="BA250" s="20" t="n">
        <f aca="false">PR_PersonalM+AU250+AV250+AW250+AX250+IF(AY250=1,PR_RentJoint,0)</f>
        <v>8000</v>
      </c>
      <c r="BB250" s="20" t="n">
        <f aca="false">PR_BandM+MIN(MIN(AS250,AT250),PR_Uplift)</f>
        <v>78716.7171316393</v>
      </c>
      <c r="BC250" s="20" t="n">
        <f aca="false">MAX(0,PR_r1*MIN(AZ250,BB250)+PR_r2*MAX(0,AZ250-BB250)-BA250)</f>
        <v>12203.9513569527</v>
      </c>
      <c r="BD250" s="20" t="n">
        <f aca="false">MAX(0,PR_HomeCarer-MAX(0,MIN(AS250,AT250)-PR_HCLimit)/2)</f>
        <v>0</v>
      </c>
      <c r="BE250" s="20" t="n">
        <f aca="false">IF(F_Carer=1,MIN(BC250,MAX(0,PR_r1*MIN(AZ250,PR_BandM)+PR_r2*MAX(0,AZ250-PR_BandM)-BA250-BD250)),BC250)</f>
        <v>12203.9513569527</v>
      </c>
      <c r="BF250" s="20" t="n">
        <f aca="false">IF(OR(C250&gt;=PR_AgeCrAge,AG250&gt;=PR_AgeCrAge),IF(AZ250&lt;=PR_AgeExM,0,MIN(BE250,PR_AgeMarg*(AZ250-PR_AgeExM))),BE250)</f>
        <v>12203.9513569527</v>
      </c>
      <c r="BG250" s="20" t="n">
        <f aca="false">MAX(0,PR_r1*MIN(AS250,IF(F_Spccc=1,PR_BandSPCCC,PR_Band))+PR_r2*MAX(0,AS250-IF(F_Spccc=1,PR_BandSPCCC,PR_Band))-(PR_Personal+AU250+AW250+IF(F_Spccc=1,PR_SPCCC,0)+IF(AY250=1,PR_Rent,0)))</f>
        <v>12860.6079306248</v>
      </c>
      <c r="BH250" s="20" t="n">
        <f aca="false">IF(C250&gt;=PR_AgeCrAge,IF(AS250&lt;=PR_AgeEx,0,MIN(BG250,PR_AgeMarg*(AS250-PR_AgeEx))),BG250)</f>
        <v>12860.6079306248</v>
      </c>
      <c r="BI250" s="20" t="n">
        <f aca="false">IF(F_Partner=1,MAX(0,PR_r1*MIN(AT250,PR_Band)+PR_r2*MAX(0,AT250-PR_Band)-(PR_Personal+AV250+AX250+IF(AND(AY250=1,AT250&gt;0),PR_Rent,0))),0)</f>
        <v>1143.34342632787</v>
      </c>
      <c r="BJ250" s="20" t="n">
        <f aca="false">IF(AG250&gt;=PR_AgeCrAge,IF(AT250&lt;=PR_AgeEx,0,MIN(BI250,PR_AgeMarg*(AT250-PR_AgeEx))),BI250)</f>
        <v>1143.34342632787</v>
      </c>
      <c r="BK250" s="20" t="n">
        <f aca="false">IF(F_Partner=1,IF(F_Married=1,BF250,BH250+BJ250),BH250)</f>
        <v>14003.9513569527</v>
      </c>
      <c r="BL250" s="20" t="n">
        <f aca="false">AL250+AN250+AO250</f>
        <v>67798.6178925037</v>
      </c>
      <c r="BM250" s="20"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1566.77853677511</v>
      </c>
      <c r="BN250" s="20" t="n">
        <f aca="false">AQ250</f>
        <v>25716.7171316393</v>
      </c>
      <c r="BO250" s="20" t="n">
        <f aca="false">IF(F_Partner=1,IF(BN250&lt;=PR_USCex,0,IF(IF(AND(AG250&gt;=PR_USCredAge,BN250&lt;=PR_USCredMax),1,0)=1,PR_USCr1*MIN(BN250,PR_USCredB1)+PR_USCredR2*MAX(0,BN250-PR_USCredB1),PR_USCr1*MIN(BN250,PR_USCb1)+PR_USCr2*MAX(0,MIN(BN250,PR_USCb2)-PR_USCb1)+PR_USCr3*MAX(0,MIN(BN250,PR_USCb3)-PR_USCb2)+PR_USCr4*MAX(0,BN250-PR_USCb3))),0)</f>
        <v>334.154342632787</v>
      </c>
      <c r="BP250" s="20" t="n">
        <f aca="false">IF(C250&lt;PR_PRSIend,IF(F_SelfEmp=1,IF(AL250&gt;PR_PRSIsMinInc,MAX(PR_PRSIsMin,AL250*J250),0),IF(AL250/52&lt;=PR_PRSIfree,0,MAX(0,(AL250/52*J250-IF(AL250/52&lt;=PR_PRSIcreditTo,MAX(0,PR_PRSIcreditMax-(AL250/52-(PR_PRSIfree+0.01))/PR_PRSItaper),0))*52)))+J250*AN250+IF(AO250&gt;PR_PRSIunearned,J250*AO250,0),0)+IF(AND(PRSI_ARF_Applies=1,AN250&gt;0,C250&gt;=PR_PRSIend,C250&lt;PRSI_ARF_ToAge,NOT(AK250&gt;0)),J250*AN250,0)</f>
        <v>3186.53504094767</v>
      </c>
      <c r="BQ250" s="20" t="n">
        <f aca="false">IF(AND(F_Partner=1,AG250&lt;PR_PRSIend),IF(AQ250/52&lt;=PR_PRSIfree,0,MAX(0,(AQ250/52*J250-IF(AQ250/52&lt;=PR_PRSIcreditTo,MAX(0,PR_PRSIcreditMax-(AQ250/52-(PR_PRSIfree+0.01))/PR_PRSItaper),0))*52)),0)</f>
        <v>1208.68570518705</v>
      </c>
      <c r="BR250" s="20" t="n">
        <f aca="false">BK250+BM250+BO250+BP250+BQ250</f>
        <v>20300.1049824953</v>
      </c>
      <c r="BS250" s="20" t="n">
        <f aca="false">BR250*H250</f>
        <v>27867.6939318083</v>
      </c>
      <c r="BT250" s="20" t="n">
        <f aca="false">K250+AK250+AC250+AF250+AH250+AI250</f>
        <v>128376.515127903</v>
      </c>
    </row>
    <row r="251" customFormat="false" ht="15" hidden="false" customHeight="true" outlineLevel="0" collapsed="false">
      <c r="B251" s="20" t="n">
        <v>17</v>
      </c>
      <c r="C251" s="20" t="n">
        <f aca="false">F_Age+B251</f>
        <v>55</v>
      </c>
      <c r="D251" s="20" t="n">
        <f aca="false">AS_Year0+B251</f>
        <v>2043</v>
      </c>
      <c r="E251" s="50" t="n">
        <f aca="false">(1+AS_Infl)^B251</f>
        <v>1.40024141919242</v>
      </c>
      <c r="F251" s="50" t="n">
        <f aca="false">(1+AS_Wage)^B251</f>
        <v>1.65284763227175</v>
      </c>
      <c r="G251" s="20" t="n">
        <f aca="false">IF(C251&lt;F_R,1,0)</f>
        <v>1</v>
      </c>
      <c r="H251" s="50" t="n">
        <f aca="false">IF(AS_Bands="flat",1,E251)</f>
        <v>1.40024141919242</v>
      </c>
      <c r="I251" s="50" t="n">
        <f aca="false">IF(AS_SpGrow="pay",F251,IF(AS_SpGrow="flat",1,E251))</f>
        <v>1.40024141919242</v>
      </c>
      <c r="J251" s="50" t="n">
        <f aca="false">(12*PR_PRSIr0+(PR_PRSIr1-PR_PRSIr0)*MAX(0,MIN(12,D251*12+12-PR_PRSIt1))+(PR_PRSIr2-PR_PRSIr1)*MAX(0,MIN(12,D251*12+12-PR_PRSIt2))+(PR_PRSIr3-PR_PRSIr2)*MAX(0,MIN(12,D251*12+12-PR_PRSIt3)))/12</f>
        <v>0.047</v>
      </c>
      <c r="K251" s="20" t="n">
        <f aca="false">IF(G251=1,F_Income*F251,0)</f>
        <v>95865.1626717616</v>
      </c>
      <c r="L251" s="20" t="n">
        <f aca="false">IF(G251=1,(F_Own+In_penExtra)*12*F251,0)</f>
        <v>5156.88461268787</v>
      </c>
      <c r="M251" s="20" t="n">
        <f aca="false">IF(G251=1,(F_PenM+In_penExtra)*12*F251,0)</f>
        <v>10313.7692253757</v>
      </c>
      <c r="N251" s="51" t="n">
        <f aca="false">IF(C251&lt;PR_RelA1,PR_RelP1,IF(C251&lt;PR_RelA2,PR_RelP2,IF(C251&lt;PR_RelA3,PR_RelP3,IF(C251&lt;PR_RelA4,PR_RelP4,IF(C251&lt;PR_RelA5,PR_RelP5,PR_RelP6)))))</f>
        <v>0.35</v>
      </c>
      <c r="O251" s="20" t="n">
        <f aca="false">IF(G251=1,MIN(L251/H251,N251*MIN(K251/H251,PR_EarnCap))*H251,0)</f>
        <v>5156.88461268787</v>
      </c>
      <c r="P251" s="20" t="n">
        <f aca="false">IF(AND(G251=1,F_AE=1),MIN(K251/H251,PR_AEcap)*H251,0)</f>
        <v>0</v>
      </c>
      <c r="Q251" s="20" t="n">
        <f aca="false">IF(G251=1,IF(WI_Retire=1,MAX(0,M251+WI_M*12),M251)+(PR_AEee+PR_AEer+PR_AEst)*P251,0)</f>
        <v>10313.7692253757</v>
      </c>
      <c r="R251" s="20" t="n">
        <f aca="false">L251+PR_AEee*P251</f>
        <v>5156.88461268787</v>
      </c>
      <c r="S251" s="20" t="n">
        <f aca="false">AD250</f>
        <v>343743.268214261</v>
      </c>
      <c r="T251" s="20" t="n">
        <f aca="false">IF(D251&lt;=PR_SFTfrom,PR_SFT2026,IF(D251=PR_SFTfrom+1,PR_SFT2027,IF(D251=PR_SFTfrom+2,PR_SFT2028,IF(D251&lt;=PR_SFTto,PR_SFT2029,PR_SFT2029*(1+AS_Infl)^(D251-PR_SFTto)))))</f>
        <v>3694540.53657604</v>
      </c>
      <c r="U251" s="20" t="n">
        <f aca="false">IF(AND(G251=0,C251=F_V),1,0)</f>
        <v>0</v>
      </c>
      <c r="V251" s="20" t="n">
        <f aca="false">IF(U251=1,PR_SFTrate*MAX(0,S251-T251),0)</f>
        <v>0</v>
      </c>
      <c r="W251" s="20" t="n">
        <f aca="false">S251-V251</f>
        <v>343743.268214261</v>
      </c>
      <c r="X251" s="20" t="n">
        <f aca="false">IF(AND(U251=1,AS_LumpPct&gt;0),W251*MIN(AS_LumpPct,PR_LSmax),0)</f>
        <v>0</v>
      </c>
      <c r="Y251" s="20" t="n">
        <f aca="false">X251-(PR_LSrate*MAX(0,MIN(X251,PR_LScap)-PR_LSfree)+PR_r2*MAX(0,X251-PR_LScap))</f>
        <v>0</v>
      </c>
      <c r="Z251" s="20" t="n">
        <f aca="false">W251-X251</f>
        <v>343743.268214261</v>
      </c>
      <c r="AA251" s="51" t="n">
        <f aca="false">IF(C251&gt;=PR_ARFage1,IF(Z251&gt;PR_ARFbig,PR_ARFbigRate,IF(C251&gt;=PR_ARFage2,PR_ARF71,PR_ARF61)),0)</f>
        <v>0</v>
      </c>
      <c r="AB251" s="20" t="n">
        <f aca="false">IF(AS_DrawRule="min",Z251*AA251,IF(AS_DrawRule="fixed",MAX(AS_DrawFixed*E251,Z251*AA251),Z251*MAX(1/MAX(1,AS_End-C251+1),AA251)))</f>
        <v>8383.98215156734</v>
      </c>
      <c r="AC251" s="20" t="n">
        <f aca="false">IF(AND(G251=0,C251&gt;=F_V),MIN(Z251,AB251),0)</f>
        <v>0</v>
      </c>
      <c r="AD251" s="20" t="n">
        <f aca="false">IF(G251=1,S251*(1+F_PenG)+Q251,IF(C251&lt;F_V,S251*(1+F_PenG),(Z251-AC251)*(1+AS_PenRet)))</f>
        <v>369525.484509278</v>
      </c>
      <c r="AE251" s="20" t="n">
        <f aca="false">IF(C251&gt;=PR_SPage,AS_SP*F_SpF*I251+IF(AND(C251&gt;=PR_Over80Age,F_SpF&gt;0),PR_Over80*PR_Weeks*I251,0),0)</f>
        <v>0</v>
      </c>
      <c r="AF251" s="20" t="n">
        <f aca="false">(F_OtherM+F_RentM)*12*E251+IF(AND(In_polInc&gt;0,In_polIncAge&gt;0,C251&gt;=In_polIncAge),In_polInc,0)</f>
        <v>0</v>
      </c>
      <c r="AG251" s="20" t="n">
        <f aca="false">F_PAge+B251</f>
        <v>54</v>
      </c>
      <c r="AH251" s="20" t="n">
        <f aca="false">IF(AND(F_Partner=1,F_PAge&gt;0,AG251&lt;IF(F_PRet&gt;0,F_PRet,PR_SPage)),F_PIncome*F251,0)</f>
        <v>36362.6479099785</v>
      </c>
      <c r="AI251" s="20" t="n">
        <f aca="false">IF(AND(F_Partner=1,AG251&gt;=PR_SPage,F_PSpQA=0),AS_SP*F_PSpF*I251,0)</f>
        <v>0</v>
      </c>
      <c r="AJ251" s="20" t="n">
        <f aca="false">IF(AND(F_Partner=1,F_PSpQA=1,C251&gt;=PR_SPage,AH251=0),IF(AG251&gt;=PR_SPage,PR_QA66,PR_QAunder)*PR_Weeks*I251,0)</f>
        <v>0</v>
      </c>
      <c r="AK251" s="20" t="n">
        <f aca="false">AE251+AJ251</f>
        <v>0</v>
      </c>
      <c r="AL251" s="20" t="n">
        <f aca="false">K251/H251</f>
        <v>68463.3102247831</v>
      </c>
      <c r="AM251" s="20" t="n">
        <f aca="false">AK251/H251</f>
        <v>0</v>
      </c>
      <c r="AN251" s="20" t="n">
        <f aca="false">AC251/H251</f>
        <v>0</v>
      </c>
      <c r="AO251" s="20" t="n">
        <f aca="false">AF251/H251</f>
        <v>0</v>
      </c>
      <c r="AP251" s="20" t="n">
        <f aca="false">O251/H251</f>
        <v>3682.85392933316</v>
      </c>
      <c r="AQ251" s="20" t="n">
        <f aca="false">AH251/H251</f>
        <v>25968.8418094005</v>
      </c>
      <c r="AR251" s="20" t="n">
        <f aca="false">AI251/H251</f>
        <v>0</v>
      </c>
      <c r="AS251" s="20" t="n">
        <f aca="false">MAX(0,AL251+AN251+AO251+AM251-AP251)</f>
        <v>64780.45629545</v>
      </c>
      <c r="AT251" s="20" t="n">
        <f aca="false">MAX(0,AQ251+AR251)</f>
        <v>25968.8418094005</v>
      </c>
      <c r="AU251" s="20" t="n">
        <f aca="false">MIN(PR_PAYE,PR_PAYEcap*(AL251+AN251+AM251))</f>
        <v>2000</v>
      </c>
      <c r="AV251" s="20" t="n">
        <f aca="false">MIN(PR_PAYE,PR_PAYEcap*(AQ251+AR251))</f>
        <v>2000</v>
      </c>
      <c r="AW251" s="20" t="n">
        <f aca="false">IF(C251&gt;=PR_AgeCrAge,PR_AgeCr,0)</f>
        <v>0</v>
      </c>
      <c r="AX251" s="20" t="n">
        <f aca="false">IF(AG251&gt;=PR_AgeCrAge,PR_AgeCr,0)</f>
        <v>0</v>
      </c>
      <c r="AY251" s="20" t="n">
        <f aca="false">IF(AND(F_RentCred=1,D251&lt;=PR_RentLast),1,0)</f>
        <v>0</v>
      </c>
      <c r="AZ251" s="20" t="n">
        <f aca="false">AS251+AT251</f>
        <v>90749.2981048505</v>
      </c>
      <c r="BA251" s="20" t="n">
        <f aca="false">PR_PersonalM+AU251+AV251+AW251+AX251+IF(AY251=1,PR_RentJoint,0)</f>
        <v>8000</v>
      </c>
      <c r="BB251" s="20" t="n">
        <f aca="false">PR_BandM+MIN(MIN(AS251,AT251),PR_Uplift)</f>
        <v>78968.8418094005</v>
      </c>
      <c r="BC251" s="20" t="n">
        <f aca="false">MAX(0,PR_r1*MIN(AZ251,BB251)+PR_r2*MAX(0,AZ251-BB251)-BA251)</f>
        <v>12505.9508800601</v>
      </c>
      <c r="BD251" s="20" t="n">
        <f aca="false">MAX(0,PR_HomeCarer-MAX(0,MIN(AS251,AT251)-PR_HCLimit)/2)</f>
        <v>0</v>
      </c>
      <c r="BE251" s="20" t="n">
        <f aca="false">IF(F_Carer=1,MIN(BC251,MAX(0,PR_r1*MIN(AZ251,PR_BandM)+PR_r2*MAX(0,AZ251-PR_BandM)-BA251-BD251)),BC251)</f>
        <v>12505.9508800601</v>
      </c>
      <c r="BF251" s="20" t="n">
        <f aca="false">IF(OR(C251&gt;=PR_AgeCrAge,AG251&gt;=PR_AgeCrAge),IF(AZ251&lt;=PR_AgeExM,0,MIN(BE251,PR_AgeMarg*(AZ251-PR_AgeExM))),BE251)</f>
        <v>12505.9508800601</v>
      </c>
      <c r="BG251" s="20" t="n">
        <f aca="false">MAX(0,PR_r1*MIN(AS251,IF(F_Spccc=1,PR_BandSPCCC,PR_Band))+PR_r2*MAX(0,AS251-IF(F_Spccc=1,PR_BandSPCCC,PR_Band))-(PR_Personal+AU251+AW251+IF(F_Spccc=1,PR_SPCCC,0)+IF(AY251=1,PR_Rent,0)))</f>
        <v>13112.18251818</v>
      </c>
      <c r="BH251" s="20" t="n">
        <f aca="false">IF(C251&gt;=PR_AgeCrAge,IF(AS251&lt;=PR_AgeEx,0,MIN(BG251,PR_AgeMarg*(AS251-PR_AgeEx))),BG251)</f>
        <v>13112.18251818</v>
      </c>
      <c r="BI251" s="20" t="n">
        <f aca="false">IF(F_Partner=1,MAX(0,PR_r1*MIN(AT251,PR_Band)+PR_r2*MAX(0,AT251-PR_Band)-(PR_Personal+AV251+AX251+IF(AND(AY251=1,AT251&gt;0),PR_Rent,0))),0)</f>
        <v>1193.7683618801</v>
      </c>
      <c r="BJ251" s="20" t="n">
        <f aca="false">IF(AG251&gt;=PR_AgeCrAge,IF(AT251&lt;=PR_AgeEx,0,MIN(BI251,PR_AgeMarg*(AT251-PR_AgeEx))),BI251)</f>
        <v>1193.7683618801</v>
      </c>
      <c r="BK251" s="20" t="n">
        <f aca="false">IF(F_Partner=1,IF(F_Married=1,BF251,BH251+BJ251),BH251)</f>
        <v>14305.9508800601</v>
      </c>
      <c r="BL251" s="20" t="n">
        <f aca="false">AL251+AN251+AO251</f>
        <v>68463.3102247831</v>
      </c>
      <c r="BM251" s="20"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1586.71930674349</v>
      </c>
      <c r="BN251" s="20" t="n">
        <f aca="false">AQ251</f>
        <v>25968.8418094005</v>
      </c>
      <c r="BO251" s="20" t="n">
        <f aca="false">IF(F_Partner=1,IF(BN251&lt;=PR_USCex,0,IF(IF(AND(AG251&gt;=PR_USCredAge,BN251&lt;=PR_USCredMax),1,0)=1,PR_USCr1*MIN(BN251,PR_USCredB1)+PR_USCredR2*MAX(0,BN251-PR_USCredB1),PR_USCr1*MIN(BN251,PR_USCb1)+PR_USCr2*MAX(0,MIN(BN251,PR_USCb2)-PR_USCb1)+PR_USCr3*MAX(0,MIN(BN251,PR_USCb3)-PR_USCb2)+PR_USCr4*MAX(0,BN251-PR_USCb3))),0)</f>
        <v>339.19683618801</v>
      </c>
      <c r="BP251" s="20" t="n">
        <f aca="false">IF(C251&lt;PR_PRSIend,IF(F_SelfEmp=1,IF(AL251&gt;PR_PRSIsMinInc,MAX(PR_PRSIsMin,AL251*J251),0),IF(AL251/52&lt;=PR_PRSIfree,0,MAX(0,(AL251/52*J251-IF(AL251/52&lt;=PR_PRSIcreditTo,MAX(0,PR_PRSIcreditMax-(AL251/52-(PR_PRSIfree+0.01))/PR_PRSItaper),0))*52)))+J251*AN251+IF(AO251&gt;PR_PRSIunearned,J251*AO251,0),0)+IF(AND(PRSI_ARF_Applies=1,AN251&gt;0,C251&gt;=PR_PRSIend,C251&lt;PRSI_ARF_ToAge,NOT(AK251&gt;0)),J251*AN251,0)</f>
        <v>3217.77558056481</v>
      </c>
      <c r="BQ251" s="20" t="n">
        <f aca="false">IF(AND(F_Partner=1,AG251&lt;PR_PRSIend),IF(AQ251/52&lt;=PR_PRSIfree,0,MAX(0,(AQ251/52*J251-IF(AQ251/52&lt;=PR_PRSIcreditTo,MAX(0,PR_PRSIcreditMax-(AQ251/52-(PR_PRSIfree+0.01))/PR_PRSItaper),0))*52)),0)</f>
        <v>1220.53556504182</v>
      </c>
      <c r="BR251" s="20" t="n">
        <f aca="false">BK251+BM251+BO251+BP251+BQ251</f>
        <v>20670.1781685982</v>
      </c>
      <c r="BS251" s="20" t="n">
        <f aca="false">BR251*H251</f>
        <v>28943.2396137583</v>
      </c>
      <c r="BT251" s="20" t="n">
        <f aca="false">K251+AK251+AC251+AF251+AH251+AI251</f>
        <v>132227.81058174</v>
      </c>
    </row>
    <row r="252" customFormat="false" ht="15" hidden="false" customHeight="true" outlineLevel="0" collapsed="false">
      <c r="B252" s="20" t="n">
        <v>18</v>
      </c>
      <c r="C252" s="20" t="n">
        <f aca="false">F_Age+B252</f>
        <v>56</v>
      </c>
      <c r="D252" s="20" t="n">
        <f aca="false">AS_Year0+B252</f>
        <v>2044</v>
      </c>
      <c r="E252" s="50" t="n">
        <f aca="false">(1+AS_Infl)^B252</f>
        <v>1.42824624757627</v>
      </c>
      <c r="F252" s="50" t="n">
        <f aca="false">(1+AS_Wage)^B252</f>
        <v>1.7024330612399</v>
      </c>
      <c r="G252" s="20" t="n">
        <f aca="false">IF(C252&lt;F_R,1,0)</f>
        <v>1</v>
      </c>
      <c r="H252" s="50" t="n">
        <f aca="false">IF(AS_Bands="flat",1,E252)</f>
        <v>1.42824624757627</v>
      </c>
      <c r="I252" s="50" t="n">
        <f aca="false">IF(AS_SpGrow="pay",F252,IF(AS_SpGrow="flat",1,E252))</f>
        <v>1.42824624757627</v>
      </c>
      <c r="J252" s="50" t="n">
        <f aca="false">(12*PR_PRSIr0+(PR_PRSIr1-PR_PRSIr0)*MAX(0,MIN(12,D252*12+12-PR_PRSIt1))+(PR_PRSIr2-PR_PRSIr1)*MAX(0,MIN(12,D252*12+12-PR_PRSIt2))+(PR_PRSIr3-PR_PRSIr2)*MAX(0,MIN(12,D252*12+12-PR_PRSIt3)))/12</f>
        <v>0.047</v>
      </c>
      <c r="K252" s="20" t="n">
        <f aca="false">IF(G252=1,F_Income*F252,0)</f>
        <v>98741.1175519145</v>
      </c>
      <c r="L252" s="20" t="n">
        <f aca="false">IF(G252=1,(F_Own+In_penExtra)*12*F252,0)</f>
        <v>5311.5911510685</v>
      </c>
      <c r="M252" s="20" t="n">
        <f aca="false">IF(G252=1,(F_PenM+In_penExtra)*12*F252,0)</f>
        <v>10623.182302137</v>
      </c>
      <c r="N252" s="51" t="n">
        <f aca="false">IF(C252&lt;PR_RelA1,PR_RelP1,IF(C252&lt;PR_RelA2,PR_RelP2,IF(C252&lt;PR_RelA3,PR_RelP3,IF(C252&lt;PR_RelA4,PR_RelP4,IF(C252&lt;PR_RelA5,PR_RelP5,PR_RelP6)))))</f>
        <v>0.35</v>
      </c>
      <c r="O252" s="20" t="n">
        <f aca="false">IF(G252=1,MIN(L252/H252,N252*MIN(K252/H252,PR_EarnCap))*H252,0)</f>
        <v>5311.5911510685</v>
      </c>
      <c r="P252" s="20" t="n">
        <f aca="false">IF(AND(G252=1,F_AE=1),MIN(K252/H252,PR_AEcap)*H252,0)</f>
        <v>0</v>
      </c>
      <c r="Q252" s="20" t="n">
        <f aca="false">IF(G252=1,IF(WI_Retire=1,MAX(0,M252+WI_M*12),M252)+(PR_AEee+PR_AEer+PR_AEst)*P252,0)</f>
        <v>10623.182302137</v>
      </c>
      <c r="R252" s="20" t="n">
        <f aca="false">L252+PR_AEee*P252</f>
        <v>5311.5911510685</v>
      </c>
      <c r="S252" s="20" t="n">
        <f aca="false">AD251</f>
        <v>369525.484509278</v>
      </c>
      <c r="T252" s="20" t="n">
        <f aca="false">IF(D252&lt;=PR_SFTfrom,PR_SFT2026,IF(D252=PR_SFTfrom+1,PR_SFT2027,IF(D252=PR_SFTfrom+2,PR_SFT2028,IF(D252&lt;=PR_SFTto,PR_SFT2029,PR_SFT2029*(1+AS_Infl)^(D252-PR_SFTto)))))</f>
        <v>3768431.34730756</v>
      </c>
      <c r="U252" s="20" t="n">
        <f aca="false">IF(AND(G252=0,C252=F_V),1,0)</f>
        <v>0</v>
      </c>
      <c r="V252" s="20" t="n">
        <f aca="false">IF(U252=1,PR_SFTrate*MAX(0,S252-T252),0)</f>
        <v>0</v>
      </c>
      <c r="W252" s="20" t="n">
        <f aca="false">S252-V252</f>
        <v>369525.484509278</v>
      </c>
      <c r="X252" s="20" t="n">
        <f aca="false">IF(AND(U252=1,AS_LumpPct&gt;0),W252*MIN(AS_LumpPct,PR_LSmax),0)</f>
        <v>0</v>
      </c>
      <c r="Y252" s="20" t="n">
        <f aca="false">X252-(PR_LSrate*MAX(0,MIN(X252,PR_LScap)-PR_LSfree)+PR_r2*MAX(0,X252-PR_LScap))</f>
        <v>0</v>
      </c>
      <c r="Z252" s="20" t="n">
        <f aca="false">W252-X252</f>
        <v>369525.484509278</v>
      </c>
      <c r="AA252" s="51" t="n">
        <f aca="false">IF(C252&gt;=PR_ARFage1,IF(Z252&gt;PR_ARFbig,PR_ARFbigRate,IF(C252&gt;=PR_ARFage2,PR_ARF71,PR_ARF61)),0)</f>
        <v>0</v>
      </c>
      <c r="AB252" s="20" t="n">
        <f aca="false">IF(AS_DrawRule="min",Z252*AA252,IF(AS_DrawRule="fixed",MAX(AS_DrawFixed*E252,Z252*AA252),Z252*MAX(1/MAX(1,AS_End-C252+1),AA252)))</f>
        <v>9238.13711273196</v>
      </c>
      <c r="AC252" s="20" t="n">
        <f aca="false">IF(AND(G252=0,C252&gt;=F_V),MIN(Z252,AB252),0)</f>
        <v>0</v>
      </c>
      <c r="AD252" s="20" t="n">
        <f aca="false">IF(G252=1,S252*(1+F_PenG)+Q252,IF(C252&lt;F_V,S252*(1+F_PenG),(Z252-AC252)*(1+AS_PenRet)))</f>
        <v>396777.313614333</v>
      </c>
      <c r="AE252" s="20" t="n">
        <f aca="false">IF(C252&gt;=PR_SPage,AS_SP*F_SpF*I252+IF(AND(C252&gt;=PR_Over80Age,F_SpF&gt;0),PR_Over80*PR_Weeks*I252,0),0)</f>
        <v>0</v>
      </c>
      <c r="AF252" s="20" t="n">
        <f aca="false">(F_OtherM+F_RentM)*12*E252+IF(AND(In_polInc&gt;0,In_polIncAge&gt;0,C252&gt;=In_polIncAge),In_polInc,0)</f>
        <v>0</v>
      </c>
      <c r="AG252" s="20" t="n">
        <f aca="false">F_PAge+B252</f>
        <v>55</v>
      </c>
      <c r="AH252" s="20" t="n">
        <f aca="false">IF(AND(F_Partner=1,F_PAge&gt;0,AG252&lt;IF(F_PRet&gt;0,F_PRet,PR_SPage)),F_PIncome*F252,0)</f>
        <v>37453.5273472779</v>
      </c>
      <c r="AI252" s="20" t="n">
        <f aca="false">IF(AND(F_Partner=1,AG252&gt;=PR_SPage,F_PSpQA=0),AS_SP*F_PSpF*I252,0)</f>
        <v>0</v>
      </c>
      <c r="AJ252" s="20" t="n">
        <f aca="false">IF(AND(F_Partner=1,F_PSpQA=1,C252&gt;=PR_SPage,AH252=0),IF(AG252&gt;=PR_SPage,PR_QA66,PR_QAunder)*PR_Weeks*I252,0)</f>
        <v>0</v>
      </c>
      <c r="AK252" s="20" t="n">
        <f aca="false">AE252+AJ252</f>
        <v>0</v>
      </c>
      <c r="AL252" s="20" t="n">
        <f aca="false">K252/H252</f>
        <v>69134.5191485555</v>
      </c>
      <c r="AM252" s="20" t="n">
        <f aca="false">AK252/H252</f>
        <v>0</v>
      </c>
      <c r="AN252" s="20" t="n">
        <f aca="false">AC252/H252</f>
        <v>0</v>
      </c>
      <c r="AO252" s="20" t="n">
        <f aca="false">AF252/H252</f>
        <v>0</v>
      </c>
      <c r="AP252" s="20" t="n">
        <f aca="false">O252/H252</f>
        <v>3718.96034040506</v>
      </c>
      <c r="AQ252" s="20" t="n">
        <f aca="false">AH252/H252</f>
        <v>26223.438297728</v>
      </c>
      <c r="AR252" s="20" t="n">
        <f aca="false">AI252/H252</f>
        <v>0</v>
      </c>
      <c r="AS252" s="20" t="n">
        <f aca="false">MAX(0,AL252+AN252+AO252+AM252-AP252)</f>
        <v>65415.5588081505</v>
      </c>
      <c r="AT252" s="20" t="n">
        <f aca="false">MAX(0,AQ252+AR252)</f>
        <v>26223.438297728</v>
      </c>
      <c r="AU252" s="20" t="n">
        <f aca="false">MIN(PR_PAYE,PR_PAYEcap*(AL252+AN252+AM252))</f>
        <v>2000</v>
      </c>
      <c r="AV252" s="20" t="n">
        <f aca="false">MIN(PR_PAYE,PR_PAYEcap*(AQ252+AR252))</f>
        <v>2000</v>
      </c>
      <c r="AW252" s="20" t="n">
        <f aca="false">IF(C252&gt;=PR_AgeCrAge,PR_AgeCr,0)</f>
        <v>0</v>
      </c>
      <c r="AX252" s="20" t="n">
        <f aca="false">IF(AG252&gt;=PR_AgeCrAge,PR_AgeCr,0)</f>
        <v>0</v>
      </c>
      <c r="AY252" s="20" t="n">
        <f aca="false">IF(AND(F_RentCred=1,D252&lt;=PR_RentLast),1,0)</f>
        <v>0</v>
      </c>
      <c r="AZ252" s="20" t="n">
        <f aca="false">AS252+AT252</f>
        <v>91638.9971058784</v>
      </c>
      <c r="BA252" s="20" t="n">
        <f aca="false">PR_PersonalM+AU252+AV252+AW252+AX252+IF(AY252=1,PR_RentJoint,0)</f>
        <v>8000</v>
      </c>
      <c r="BB252" s="20" t="n">
        <f aca="false">PR_BandM+MIN(MIN(AS252,AT252),PR_Uplift)</f>
        <v>79223.438297728</v>
      </c>
      <c r="BC252" s="20" t="n">
        <f aca="false">MAX(0,PR_r1*MIN(AZ252,BB252)+PR_r2*MAX(0,AZ252-BB252)-BA252)</f>
        <v>12810.9111828058</v>
      </c>
      <c r="BD252" s="20" t="n">
        <f aca="false">MAX(0,PR_HomeCarer-MAX(0,MIN(AS252,AT252)-PR_HCLimit)/2)</f>
        <v>0</v>
      </c>
      <c r="BE252" s="20" t="n">
        <f aca="false">IF(F_Carer=1,MIN(BC252,MAX(0,PR_r1*MIN(AZ252,PR_BandM)+PR_r2*MAX(0,AZ252-PR_BandM)-BA252-BD252)),BC252)</f>
        <v>12810.9111828058</v>
      </c>
      <c r="BF252" s="20" t="n">
        <f aca="false">IF(OR(C252&gt;=PR_AgeCrAge,AG252&gt;=PR_AgeCrAge),IF(AZ252&lt;=PR_AgeExM,0,MIN(BE252,PR_AgeMarg*(AZ252-PR_AgeExM))),BE252)</f>
        <v>12810.9111828058</v>
      </c>
      <c r="BG252" s="20" t="n">
        <f aca="false">MAX(0,PR_r1*MIN(AS252,IF(F_Spccc=1,PR_BandSPCCC,PR_Band))+PR_r2*MAX(0,AS252-IF(F_Spccc=1,PR_BandSPCCC,PR_Band))-(PR_Personal+AU252+AW252+IF(F_Spccc=1,PR_SPCCC,0)+IF(AY252=1,PR_Rent,0)))</f>
        <v>13366.2235232602</v>
      </c>
      <c r="BH252" s="20" t="n">
        <f aca="false">IF(C252&gt;=PR_AgeCrAge,IF(AS252&lt;=PR_AgeEx,0,MIN(BG252,PR_AgeMarg*(AS252-PR_AgeEx))),BG252)</f>
        <v>13366.2235232602</v>
      </c>
      <c r="BI252" s="20" t="n">
        <f aca="false">IF(F_Partner=1,MAX(0,PR_r1*MIN(AT252,PR_Band)+PR_r2*MAX(0,AT252-PR_Band)-(PR_Personal+AV252+AX252+IF(AND(AY252=1,AT252&gt;0),PR_Rent,0))),0)</f>
        <v>1244.68765954559</v>
      </c>
      <c r="BJ252" s="20" t="n">
        <f aca="false">IF(AG252&gt;=PR_AgeCrAge,IF(AT252&lt;=PR_AgeEx,0,MIN(BI252,PR_AgeMarg*(AT252-PR_AgeEx))),BI252)</f>
        <v>1244.68765954559</v>
      </c>
      <c r="BK252" s="20" t="n">
        <f aca="false">IF(F_Partner=1,IF(F_Married=1,BF252,BH252+BJ252),BH252)</f>
        <v>14610.9111828058</v>
      </c>
      <c r="BL252" s="20" t="n">
        <f aca="false">AL252+AN252+AO252</f>
        <v>69134.5191485555</v>
      </c>
      <c r="BM252" s="20"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1606.85557445667</v>
      </c>
      <c r="BN252" s="20" t="n">
        <f aca="false">AQ252</f>
        <v>26223.438297728</v>
      </c>
      <c r="BO252" s="20" t="n">
        <f aca="false">IF(F_Partner=1,IF(BN252&lt;=PR_USCex,0,IF(IF(AND(AG252&gt;=PR_USCredAge,BN252&lt;=PR_USCredMax),1,0)=1,PR_USCr1*MIN(BN252,PR_USCredB1)+PR_USCredR2*MAX(0,BN252-PR_USCredB1),PR_USCr1*MIN(BN252,PR_USCb1)+PR_USCr2*MAX(0,MIN(BN252,PR_USCb2)-PR_USCb1)+PR_USCr3*MAX(0,MIN(BN252,PR_USCb3)-PR_USCb2)+PR_USCr4*MAX(0,BN252-PR_USCb3))),0)</f>
        <v>344.288765954559</v>
      </c>
      <c r="BP252" s="20" t="n">
        <f aca="false">IF(C252&lt;PR_PRSIend,IF(F_SelfEmp=1,IF(AL252&gt;PR_PRSIsMinInc,MAX(PR_PRSIsMin,AL252*J252),0),IF(AL252/52&lt;=PR_PRSIfree,0,MAX(0,(AL252/52*J252-IF(AL252/52&lt;=PR_PRSIcreditTo,MAX(0,PR_PRSIcreditMax-(AL252/52-(PR_PRSIfree+0.01))/PR_PRSItaper),0))*52)))+J252*AN252+IF(AO252&gt;PR_PRSIunearned,J252*AO252,0),0)+IF(AND(PRSI_ARF_Applies=1,AN252&gt;0,C252&gt;=PR_PRSIend,C252&lt;PRSI_ARF_ToAge,NOT(AK252&gt;0)),J252*AN252,0)</f>
        <v>3249.32239998211</v>
      </c>
      <c r="BQ252" s="20" t="n">
        <f aca="false">IF(AND(F_Partner=1,AG252&lt;PR_PRSIend),IF(AQ252/52&lt;=PR_PRSIfree,0,MAX(0,(AQ252/52*J252-IF(AQ252/52&lt;=PR_PRSIcreditTo,MAX(0,PR_PRSIcreditMax-(AQ252/52-(PR_PRSIfree+0.01))/PR_PRSItaper),0))*52)),0)</f>
        <v>1232.50159999321</v>
      </c>
      <c r="BR252" s="20" t="n">
        <f aca="false">BK252+BM252+BO252+BP252+BQ252</f>
        <v>21043.8795231923</v>
      </c>
      <c r="BS252" s="20" t="n">
        <f aca="false">BR252*H252</f>
        <v>30055.8419634466</v>
      </c>
      <c r="BT252" s="20" t="n">
        <f aca="false">K252+AK252+AC252+AF252+AH252+AI252</f>
        <v>136194.644899192</v>
      </c>
    </row>
    <row r="253" customFormat="false" ht="15" hidden="false" customHeight="true" outlineLevel="0" collapsed="false">
      <c r="B253" s="20" t="n">
        <v>19</v>
      </c>
      <c r="C253" s="20" t="n">
        <f aca="false">F_Age+B253</f>
        <v>57</v>
      </c>
      <c r="D253" s="20" t="n">
        <f aca="false">AS_Year0+B253</f>
        <v>2045</v>
      </c>
      <c r="E253" s="50" t="n">
        <f aca="false">(1+AS_Infl)^B253</f>
        <v>1.4568111725278</v>
      </c>
      <c r="F253" s="50" t="n">
        <f aca="false">(1+AS_Wage)^B253</f>
        <v>1.7535060530771</v>
      </c>
      <c r="G253" s="20" t="n">
        <f aca="false">IF(C253&lt;F_R,1,0)</f>
        <v>1</v>
      </c>
      <c r="H253" s="50" t="n">
        <f aca="false">IF(AS_Bands="flat",1,E253)</f>
        <v>1.4568111725278</v>
      </c>
      <c r="I253" s="50" t="n">
        <f aca="false">IF(AS_SpGrow="pay",F253,IF(AS_SpGrow="flat",1,E253))</f>
        <v>1.4568111725278</v>
      </c>
      <c r="J253" s="50" t="n">
        <f aca="false">(12*PR_PRSIr0+(PR_PRSIr1-PR_PRSIr0)*MAX(0,MIN(12,D253*12+12-PR_PRSIt1))+(PR_PRSIr2-PR_PRSIr1)*MAX(0,MIN(12,D253*12+12-PR_PRSIt2))+(PR_PRSIr3-PR_PRSIr2)*MAX(0,MIN(12,D253*12+12-PR_PRSIt3)))/12</f>
        <v>0.047</v>
      </c>
      <c r="K253" s="20" t="n">
        <f aca="false">IF(G253=1,F_Income*F253,0)</f>
        <v>101703.351078472</v>
      </c>
      <c r="L253" s="20" t="n">
        <f aca="false">IF(G253=1,(F_Own+In_penExtra)*12*F253,0)</f>
        <v>5470.93888560056</v>
      </c>
      <c r="M253" s="20" t="n">
        <f aca="false">IF(G253=1,(F_PenM+In_penExtra)*12*F253,0)</f>
        <v>10941.8777712011</v>
      </c>
      <c r="N253" s="51" t="n">
        <f aca="false">IF(C253&lt;PR_RelA1,PR_RelP1,IF(C253&lt;PR_RelA2,PR_RelP2,IF(C253&lt;PR_RelA3,PR_RelP3,IF(C253&lt;PR_RelA4,PR_RelP4,IF(C253&lt;PR_RelA5,PR_RelP5,PR_RelP6)))))</f>
        <v>0.35</v>
      </c>
      <c r="O253" s="20" t="n">
        <f aca="false">IF(G253=1,MIN(L253/H253,N253*MIN(K253/H253,PR_EarnCap))*H253,0)</f>
        <v>5470.93888560056</v>
      </c>
      <c r="P253" s="20" t="n">
        <f aca="false">IF(AND(G253=1,F_AE=1),MIN(K253/H253,PR_AEcap)*H253,0)</f>
        <v>0</v>
      </c>
      <c r="Q253" s="20" t="n">
        <f aca="false">IF(G253=1,IF(WI_Retire=1,MAX(0,M253+WI_M*12),M253)+(PR_AEee+PR_AEer+PR_AEst)*P253,0)</f>
        <v>10941.8777712011</v>
      </c>
      <c r="R253" s="20" t="n">
        <f aca="false">L253+PR_AEee*P253</f>
        <v>5470.93888560056</v>
      </c>
      <c r="S253" s="20" t="n">
        <f aca="false">AD252</f>
        <v>396777.313614333</v>
      </c>
      <c r="T253" s="20" t="n">
        <f aca="false">IF(D253&lt;=PR_SFTfrom,PR_SFT2026,IF(D253=PR_SFTfrom+1,PR_SFT2027,IF(D253=PR_SFTfrom+2,PR_SFT2028,IF(D253&lt;=PR_SFTto,PR_SFT2029,PR_SFT2029*(1+AS_Infl)^(D253-PR_SFTto)))))</f>
        <v>3843799.97425372</v>
      </c>
      <c r="U253" s="20" t="n">
        <f aca="false">IF(AND(G253=0,C253=F_V),1,0)</f>
        <v>0</v>
      </c>
      <c r="V253" s="20" t="n">
        <f aca="false">IF(U253=1,PR_SFTrate*MAX(0,S253-T253),0)</f>
        <v>0</v>
      </c>
      <c r="W253" s="20" t="n">
        <f aca="false">S253-V253</f>
        <v>396777.313614333</v>
      </c>
      <c r="X253" s="20" t="n">
        <f aca="false">IF(AND(U253=1,AS_LumpPct&gt;0),W253*MIN(AS_LumpPct,PR_LSmax),0)</f>
        <v>0</v>
      </c>
      <c r="Y253" s="20" t="n">
        <f aca="false">X253-(PR_LSrate*MAX(0,MIN(X253,PR_LScap)-PR_LSfree)+PR_r2*MAX(0,X253-PR_LScap))</f>
        <v>0</v>
      </c>
      <c r="Z253" s="20" t="n">
        <f aca="false">W253-X253</f>
        <v>396777.313614333</v>
      </c>
      <c r="AA253" s="51" t="n">
        <f aca="false">IF(C253&gt;=PR_ARFage1,IF(Z253&gt;PR_ARFbig,PR_ARFbigRate,IF(C253&gt;=PR_ARFage2,PR_ARF71,PR_ARF61)),0)</f>
        <v>0</v>
      </c>
      <c r="AB253" s="20" t="n">
        <f aca="false">IF(AS_DrawRule="min",Z253*AA253,IF(AS_DrawRule="fixed",MAX(AS_DrawFixed*E253,Z253*AA253),Z253*MAX(1/MAX(1,AS_End-C253+1),AA253)))</f>
        <v>10173.7772721624</v>
      </c>
      <c r="AC253" s="20" t="n">
        <f aca="false">IF(AND(G253=0,C253&gt;=F_V),MIN(Z253,AB253),0)</f>
        <v>0</v>
      </c>
      <c r="AD253" s="20" t="n">
        <f aca="false">IF(G253=1,S253*(1+F_PenG)+Q253,IF(C253&lt;F_V,S253*(1+F_PenG),(Z253-AC253)*(1+AS_PenRet)))</f>
        <v>425574.170498179</v>
      </c>
      <c r="AE253" s="20" t="n">
        <f aca="false">IF(C253&gt;=PR_SPage,AS_SP*F_SpF*I253+IF(AND(C253&gt;=PR_Over80Age,F_SpF&gt;0),PR_Over80*PR_Weeks*I253,0),0)</f>
        <v>0</v>
      </c>
      <c r="AF253" s="20" t="n">
        <f aca="false">(F_OtherM+F_RentM)*12*E253+IF(AND(In_polInc&gt;0,In_polIncAge&gt;0,C253&gt;=In_polIncAge),In_polInc,0)</f>
        <v>0</v>
      </c>
      <c r="AG253" s="20" t="n">
        <f aca="false">F_PAge+B253</f>
        <v>56</v>
      </c>
      <c r="AH253" s="20" t="n">
        <f aca="false">IF(AND(F_Partner=1,F_PAge&gt;0,AG253&lt;IF(F_PRet&gt;0,F_PRet,PR_SPage)),F_PIncome*F253,0)</f>
        <v>38577.1331676962</v>
      </c>
      <c r="AI253" s="20" t="n">
        <f aca="false">IF(AND(F_Partner=1,AG253&gt;=PR_SPage,F_PSpQA=0),AS_SP*F_PSpF*I253,0)</f>
        <v>0</v>
      </c>
      <c r="AJ253" s="20" t="n">
        <f aca="false">IF(AND(F_Partner=1,F_PSpQA=1,C253&gt;=PR_SPage,AH253=0),IF(AG253&gt;=PR_SPage,PR_QA66,PR_QAunder)*PR_Weeks*I253,0)</f>
        <v>0</v>
      </c>
      <c r="AK253" s="20" t="n">
        <f aca="false">AE253+AJ253</f>
        <v>0</v>
      </c>
      <c r="AL253" s="20" t="n">
        <f aca="false">K253/H253</f>
        <v>69812.3085519728</v>
      </c>
      <c r="AM253" s="20" t="n">
        <f aca="false">AK253/H253</f>
        <v>0</v>
      </c>
      <c r="AN253" s="20" t="n">
        <f aca="false">AC253/H253</f>
        <v>0</v>
      </c>
      <c r="AO253" s="20" t="n">
        <f aca="false">AF253/H253</f>
        <v>0</v>
      </c>
      <c r="AP253" s="20" t="n">
        <f aca="false">O253/H253</f>
        <v>3755.42073589922</v>
      </c>
      <c r="AQ253" s="20" t="n">
        <f aca="false">AH253/H253</f>
        <v>26480.5308300586</v>
      </c>
      <c r="AR253" s="20" t="n">
        <f aca="false">AI253/H253</f>
        <v>0</v>
      </c>
      <c r="AS253" s="20" t="n">
        <f aca="false">MAX(0,AL253+AN253+AO253+AM253-AP253)</f>
        <v>66056.8878160735</v>
      </c>
      <c r="AT253" s="20" t="n">
        <f aca="false">MAX(0,AQ253+AR253)</f>
        <v>26480.5308300586</v>
      </c>
      <c r="AU253" s="20" t="n">
        <f aca="false">MIN(PR_PAYE,PR_PAYEcap*(AL253+AN253+AM253))</f>
        <v>2000</v>
      </c>
      <c r="AV253" s="20" t="n">
        <f aca="false">MIN(PR_PAYE,PR_PAYEcap*(AQ253+AR253))</f>
        <v>2000</v>
      </c>
      <c r="AW253" s="20" t="n">
        <f aca="false">IF(C253&gt;=PR_AgeCrAge,PR_AgeCr,0)</f>
        <v>0</v>
      </c>
      <c r="AX253" s="20" t="n">
        <f aca="false">IF(AG253&gt;=PR_AgeCrAge,PR_AgeCr,0)</f>
        <v>0</v>
      </c>
      <c r="AY253" s="20" t="n">
        <f aca="false">IF(AND(F_RentCred=1,D253&lt;=PR_RentLast),1,0)</f>
        <v>0</v>
      </c>
      <c r="AZ253" s="20" t="n">
        <f aca="false">AS253+AT253</f>
        <v>92537.4186461322</v>
      </c>
      <c r="BA253" s="20" t="n">
        <f aca="false">PR_PersonalM+AU253+AV253+AW253+AX253+IF(AY253=1,PR_RentJoint,0)</f>
        <v>8000</v>
      </c>
      <c r="BB253" s="20" t="n">
        <f aca="false">PR_BandM+MIN(MIN(AS253,AT253),PR_Uplift)</f>
        <v>79480.5308300586</v>
      </c>
      <c r="BC253" s="20" t="n">
        <f aca="false">MAX(0,PR_r1*MIN(AZ253,BB253)+PR_r2*MAX(0,AZ253-BB253)-BA253)</f>
        <v>13118.8612924411</v>
      </c>
      <c r="BD253" s="20" t="n">
        <f aca="false">MAX(0,PR_HomeCarer-MAX(0,MIN(AS253,AT253)-PR_HCLimit)/2)</f>
        <v>0</v>
      </c>
      <c r="BE253" s="20" t="n">
        <f aca="false">IF(F_Carer=1,MIN(BC253,MAX(0,PR_r1*MIN(AZ253,PR_BandM)+PR_r2*MAX(0,AZ253-PR_BandM)-BA253-BD253)),BC253)</f>
        <v>13118.8612924411</v>
      </c>
      <c r="BF253" s="20" t="n">
        <f aca="false">IF(OR(C253&gt;=PR_AgeCrAge,AG253&gt;=PR_AgeCrAge),IF(AZ253&lt;=PR_AgeExM,0,MIN(BE253,PR_AgeMarg*(AZ253-PR_AgeExM))),BE253)</f>
        <v>13118.8612924411</v>
      </c>
      <c r="BG253" s="20" t="n">
        <f aca="false">MAX(0,PR_r1*MIN(AS253,IF(F_Spccc=1,PR_BandSPCCC,PR_Band))+PR_r2*MAX(0,AS253-IF(F_Spccc=1,PR_BandSPCCC,PR_Band))-(PR_Personal+AU253+AW253+IF(F_Spccc=1,PR_SPCCC,0)+IF(AY253=1,PR_Rent,0)))</f>
        <v>13622.7551264294</v>
      </c>
      <c r="BH253" s="20" t="n">
        <f aca="false">IF(C253&gt;=PR_AgeCrAge,IF(AS253&lt;=PR_AgeEx,0,MIN(BG253,PR_AgeMarg*(AS253-PR_AgeEx))),BG253)</f>
        <v>13622.7551264294</v>
      </c>
      <c r="BI253" s="20" t="n">
        <f aca="false">IF(F_Partner=1,MAX(0,PR_r1*MIN(AT253,PR_Band)+PR_r2*MAX(0,AT253-PR_Band)-(PR_Personal+AV253+AX253+IF(AND(AY253=1,AT253&gt;0),PR_Rent,0))),0)</f>
        <v>1296.10616601173</v>
      </c>
      <c r="BJ253" s="20" t="n">
        <f aca="false">IF(AG253&gt;=PR_AgeCrAge,IF(AT253&lt;=PR_AgeEx,0,MIN(BI253,PR_AgeMarg*(AT253-PR_AgeEx))),BI253)</f>
        <v>1296.10616601173</v>
      </c>
      <c r="BK253" s="20" t="n">
        <f aca="false">IF(F_Partner=1,IF(F_Married=1,BF253,BH253+BJ253),BH253)</f>
        <v>14918.8612924411</v>
      </c>
      <c r="BL253" s="20" t="n">
        <f aca="false">AL253+AN253+AO253</f>
        <v>69812.3085519728</v>
      </c>
      <c r="BM253" s="20"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1627.18925655918</v>
      </c>
      <c r="BN253" s="20" t="n">
        <f aca="false">AQ253</f>
        <v>26480.5308300586</v>
      </c>
      <c r="BO253" s="20" t="n">
        <f aca="false">IF(F_Partner=1,IF(BN253&lt;=PR_USCex,0,IF(IF(AND(AG253&gt;=PR_USCredAge,BN253&lt;=PR_USCredMax),1,0)=1,PR_USCr1*MIN(BN253,PR_USCredB1)+PR_USCredR2*MAX(0,BN253-PR_USCredB1),PR_USCr1*MIN(BN253,PR_USCb1)+PR_USCr2*MAX(0,MIN(BN253,PR_USCb2)-PR_USCb1)+PR_USCr3*MAX(0,MIN(BN253,PR_USCb3)-PR_USCb2)+PR_USCr4*MAX(0,BN253-PR_USCb3))),0)</f>
        <v>349.430616601173</v>
      </c>
      <c r="BP253" s="20" t="n">
        <f aca="false">IF(C253&lt;PR_PRSIend,IF(F_SelfEmp=1,IF(AL253&gt;PR_PRSIsMinInc,MAX(PR_PRSIsMin,AL253*J253),0),IF(AL253/52&lt;=PR_PRSIfree,0,MAX(0,(AL253/52*J253-IF(AL253/52&lt;=PR_PRSIcreditTo,MAX(0,PR_PRSIcreditMax-(AL253/52-(PR_PRSIfree+0.01))/PR_PRSItaper),0))*52)))+J253*AN253+IF(AO253&gt;PR_PRSIunearned,J253*AO253,0),0)+IF(AND(PRSI_ARF_Applies=1,AN253&gt;0,C253&gt;=PR_PRSIend,C253&lt;PRSI_ARF_ToAge,NOT(AK253&gt;0)),J253*AN253,0)</f>
        <v>3281.17850194272</v>
      </c>
      <c r="BQ253" s="20" t="n">
        <f aca="false">IF(AND(F_Partner=1,AG253&lt;PR_PRSIend),IF(AQ253/52&lt;=PR_PRSIfree,0,MAX(0,(AQ253/52*J253-IF(AQ253/52&lt;=PR_PRSIcreditTo,MAX(0,PR_PRSIcreditMax-(AQ253/52-(PR_PRSIfree+0.01))/PR_PRSItaper),0))*52)),0)</f>
        <v>1244.58494901276</v>
      </c>
      <c r="BR253" s="20" t="n">
        <f aca="false">BK253+BM253+BO253+BP253+BQ253</f>
        <v>21421.244616557</v>
      </c>
      <c r="BS253" s="20" t="n">
        <f aca="false">BR253*H253</f>
        <v>31206.7084868512</v>
      </c>
      <c r="BT253" s="20" t="n">
        <f aca="false">K253+AK253+AC253+AF253+AH253+AI253</f>
        <v>140280.484246168</v>
      </c>
    </row>
    <row r="254" customFormat="false" ht="15" hidden="false" customHeight="true" outlineLevel="0" collapsed="false">
      <c r="B254" s="20" t="n">
        <v>20</v>
      </c>
      <c r="C254" s="20" t="n">
        <f aca="false">F_Age+B254</f>
        <v>58</v>
      </c>
      <c r="D254" s="20" t="n">
        <f aca="false">AS_Year0+B254</f>
        <v>2046</v>
      </c>
      <c r="E254" s="50" t="n">
        <f aca="false">(1+AS_Infl)^B254</f>
        <v>1.48594739597836</v>
      </c>
      <c r="F254" s="50" t="n">
        <f aca="false">(1+AS_Wage)^B254</f>
        <v>1.80611123466941</v>
      </c>
      <c r="G254" s="20" t="n">
        <f aca="false">IF(C254&lt;F_R,1,0)</f>
        <v>1</v>
      </c>
      <c r="H254" s="50" t="n">
        <f aca="false">IF(AS_Bands="flat",1,E254)</f>
        <v>1.48594739597836</v>
      </c>
      <c r="I254" s="50" t="n">
        <f aca="false">IF(AS_SpGrow="pay",F254,IF(AS_SpGrow="flat",1,E254))</f>
        <v>1.48594739597836</v>
      </c>
      <c r="J254" s="50" t="n">
        <f aca="false">(12*PR_PRSIr0+(PR_PRSIr1-PR_PRSIr0)*MAX(0,MIN(12,D254*12+12-PR_PRSIt1))+(PR_PRSIr2-PR_PRSIr1)*MAX(0,MIN(12,D254*12+12-PR_PRSIt2))+(PR_PRSIr3-PR_PRSIr2)*MAX(0,MIN(12,D254*12+12-PR_PRSIt3)))/12</f>
        <v>0.047</v>
      </c>
      <c r="K254" s="20" t="n">
        <f aca="false">IF(G254=1,F_Income*F254,0)</f>
        <v>104754.451610826</v>
      </c>
      <c r="L254" s="20" t="n">
        <f aca="false">IF(G254=1,(F_Own+In_penExtra)*12*F254,0)</f>
        <v>5635.06705216857</v>
      </c>
      <c r="M254" s="20" t="n">
        <f aca="false">IF(G254=1,(F_PenM+In_penExtra)*12*F254,0)</f>
        <v>11270.1341043371</v>
      </c>
      <c r="N254" s="51" t="n">
        <f aca="false">IF(C254&lt;PR_RelA1,PR_RelP1,IF(C254&lt;PR_RelA2,PR_RelP2,IF(C254&lt;PR_RelA3,PR_RelP3,IF(C254&lt;PR_RelA4,PR_RelP4,IF(C254&lt;PR_RelA5,PR_RelP5,PR_RelP6)))))</f>
        <v>0.35</v>
      </c>
      <c r="O254" s="20" t="n">
        <f aca="false">IF(G254=1,MIN(L254/H254,N254*MIN(K254/H254,PR_EarnCap))*H254,0)</f>
        <v>5635.06705216857</v>
      </c>
      <c r="P254" s="20" t="n">
        <f aca="false">IF(AND(G254=1,F_AE=1),MIN(K254/H254,PR_AEcap)*H254,0)</f>
        <v>0</v>
      </c>
      <c r="Q254" s="20" t="n">
        <f aca="false">IF(G254=1,IF(WI_Retire=1,MAX(0,M254+WI_M*12),M254)+(PR_AEee+PR_AEer+PR_AEst)*P254,0)</f>
        <v>11270.1341043371</v>
      </c>
      <c r="R254" s="20" t="n">
        <f aca="false">L254+PR_AEee*P254</f>
        <v>5635.06705216857</v>
      </c>
      <c r="S254" s="20" t="n">
        <f aca="false">AD253</f>
        <v>425574.170498179</v>
      </c>
      <c r="T254" s="20" t="n">
        <f aca="false">IF(D254&lt;=PR_SFTfrom,PR_SFT2026,IF(D254=PR_SFTfrom+1,PR_SFT2027,IF(D254=PR_SFTfrom+2,PR_SFT2028,IF(D254&lt;=PR_SFTto,PR_SFT2029,PR_SFT2029*(1+AS_Infl)^(D254-PR_SFTto)))))</f>
        <v>3920675.97373879</v>
      </c>
      <c r="U254" s="20" t="n">
        <f aca="false">IF(AND(G254=0,C254=F_V),1,0)</f>
        <v>0</v>
      </c>
      <c r="V254" s="20" t="n">
        <f aca="false">IF(U254=1,PR_SFTrate*MAX(0,S254-T254),0)</f>
        <v>0</v>
      </c>
      <c r="W254" s="20" t="n">
        <f aca="false">S254-V254</f>
        <v>425574.170498179</v>
      </c>
      <c r="X254" s="20" t="n">
        <f aca="false">IF(AND(U254=1,AS_LumpPct&gt;0),W254*MIN(AS_LumpPct,PR_LSmax),0)</f>
        <v>0</v>
      </c>
      <c r="Y254" s="20" t="n">
        <f aca="false">X254-(PR_LSrate*MAX(0,MIN(X254,PR_LScap)-PR_LSfree)+PR_r2*MAX(0,X254-PR_LScap))</f>
        <v>0</v>
      </c>
      <c r="Z254" s="20" t="n">
        <f aca="false">W254-X254</f>
        <v>425574.170498179</v>
      </c>
      <c r="AA254" s="51" t="n">
        <f aca="false">IF(C254&gt;=PR_ARFage1,IF(Z254&gt;PR_ARFbig,PR_ARFbigRate,IF(C254&gt;=PR_ARFage2,PR_ARF71,PR_ARF61)),0)</f>
        <v>0</v>
      </c>
      <c r="AB254" s="20" t="n">
        <f aca="false">IF(AS_DrawRule="min",Z254*AA254,IF(AS_DrawRule="fixed",MAX(AS_DrawFixed*E254,Z254*AA254),Z254*MAX(1/MAX(1,AS_End-C254+1),AA254)))</f>
        <v>11199.3202762679</v>
      </c>
      <c r="AC254" s="20" t="n">
        <f aca="false">IF(AND(G254=0,C254&gt;=F_V),MIN(Z254,AB254),0)</f>
        <v>0</v>
      </c>
      <c r="AD254" s="20" t="n">
        <f aca="false">IF(G254=1,S254*(1+F_PenG)+Q254,IF(C254&lt;F_V,S254*(1+F_PenG),(Z254-AC254)*(1+AS_PenRet)))</f>
        <v>455995.142274934</v>
      </c>
      <c r="AE254" s="20" t="n">
        <f aca="false">IF(C254&gt;=PR_SPage,AS_SP*F_SpF*I254+IF(AND(C254&gt;=PR_Over80Age,F_SpF&gt;0),PR_Over80*PR_Weeks*I254,0),0)</f>
        <v>0</v>
      </c>
      <c r="AF254" s="20" t="n">
        <f aca="false">(F_OtherM+F_RentM)*12*E254+IF(AND(In_polInc&gt;0,In_polIncAge&gt;0,C254&gt;=In_polIncAge),In_polInc,0)</f>
        <v>0</v>
      </c>
      <c r="AG254" s="20" t="n">
        <f aca="false">F_PAge+B254</f>
        <v>57</v>
      </c>
      <c r="AH254" s="20" t="n">
        <f aca="false">IF(AND(F_Partner=1,F_PAge&gt;0,AG254&lt;IF(F_PRet&gt;0,F_PRet,PR_SPage)),F_PIncome*F254,0)</f>
        <v>39734.4471627271</v>
      </c>
      <c r="AI254" s="20" t="n">
        <f aca="false">IF(AND(F_Partner=1,AG254&gt;=PR_SPage,F_PSpQA=0),AS_SP*F_PSpF*I254,0)</f>
        <v>0</v>
      </c>
      <c r="AJ254" s="20" t="n">
        <f aca="false">IF(AND(F_Partner=1,F_PSpQA=1,C254&gt;=PR_SPage,AH254=0),IF(AG254&gt;=PR_SPage,PR_QA66,PR_QAunder)*PR_Weeks*I254,0)</f>
        <v>0</v>
      </c>
      <c r="AK254" s="20" t="n">
        <f aca="false">AE254+AJ254</f>
        <v>0</v>
      </c>
      <c r="AL254" s="20" t="n">
        <f aca="false">K254/H254</f>
        <v>70496.7429495411</v>
      </c>
      <c r="AM254" s="20" t="n">
        <f aca="false">AK254/H254</f>
        <v>0</v>
      </c>
      <c r="AN254" s="20" t="n">
        <f aca="false">AC254/H254</f>
        <v>0</v>
      </c>
      <c r="AO254" s="20" t="n">
        <f aca="false">AF254/H254</f>
        <v>0</v>
      </c>
      <c r="AP254" s="20" t="n">
        <f aca="false">O254/H254</f>
        <v>3792.23858625118</v>
      </c>
      <c r="AQ254" s="20" t="n">
        <f aca="false">AH254/H254</f>
        <v>26740.1438774121</v>
      </c>
      <c r="AR254" s="20" t="n">
        <f aca="false">AI254/H254</f>
        <v>0</v>
      </c>
      <c r="AS254" s="20" t="n">
        <f aca="false">MAX(0,AL254+AN254+AO254+AM254-AP254)</f>
        <v>66704.5043632899</v>
      </c>
      <c r="AT254" s="20" t="n">
        <f aca="false">MAX(0,AQ254+AR254)</f>
        <v>26740.1438774121</v>
      </c>
      <c r="AU254" s="20" t="n">
        <f aca="false">MIN(PR_PAYE,PR_PAYEcap*(AL254+AN254+AM254))</f>
        <v>2000</v>
      </c>
      <c r="AV254" s="20" t="n">
        <f aca="false">MIN(PR_PAYE,PR_PAYEcap*(AQ254+AR254))</f>
        <v>2000</v>
      </c>
      <c r="AW254" s="20" t="n">
        <f aca="false">IF(C254&gt;=PR_AgeCrAge,PR_AgeCr,0)</f>
        <v>0</v>
      </c>
      <c r="AX254" s="20" t="n">
        <f aca="false">IF(AG254&gt;=PR_AgeCrAge,PR_AgeCr,0)</f>
        <v>0</v>
      </c>
      <c r="AY254" s="20" t="n">
        <f aca="false">IF(AND(F_RentCred=1,D254&lt;=PR_RentLast),1,0)</f>
        <v>0</v>
      </c>
      <c r="AZ254" s="20" t="n">
        <f aca="false">AS254+AT254</f>
        <v>93444.6482407021</v>
      </c>
      <c r="BA254" s="20" t="n">
        <f aca="false">PR_PersonalM+AU254+AV254+AW254+AX254+IF(AY254=1,PR_RentJoint,0)</f>
        <v>8000</v>
      </c>
      <c r="BB254" s="20" t="n">
        <f aca="false">PR_BandM+MIN(MIN(AS254,AT254),PR_Uplift)</f>
        <v>79740.1438774122</v>
      </c>
      <c r="BC254" s="20" t="n">
        <f aca="false">MAX(0,PR_r1*MIN(AZ254,BB254)+PR_r2*MAX(0,AZ254-BB254)-BA254)</f>
        <v>13429.8305207984</v>
      </c>
      <c r="BD254" s="20" t="n">
        <f aca="false">MAX(0,PR_HomeCarer-MAX(0,MIN(AS254,AT254)-PR_HCLimit)/2)</f>
        <v>0</v>
      </c>
      <c r="BE254" s="20" t="n">
        <f aca="false">IF(F_Carer=1,MIN(BC254,MAX(0,PR_r1*MIN(AZ254,PR_BandM)+PR_r2*MAX(0,AZ254-PR_BandM)-BA254-BD254)),BC254)</f>
        <v>13429.8305207984</v>
      </c>
      <c r="BF254" s="20" t="n">
        <f aca="false">IF(OR(C254&gt;=PR_AgeCrAge,AG254&gt;=PR_AgeCrAge),IF(AZ254&lt;=PR_AgeExM,0,MIN(BE254,PR_AgeMarg*(AZ254-PR_AgeExM))),BE254)</f>
        <v>13429.8305207984</v>
      </c>
      <c r="BG254" s="20" t="n">
        <f aca="false">MAX(0,PR_r1*MIN(AS254,IF(F_Spccc=1,PR_BandSPCCC,PR_Band))+PR_r2*MAX(0,AS254-IF(F_Spccc=1,PR_BandSPCCC,PR_Band))-(PR_Personal+AU254+AW254+IF(F_Spccc=1,PR_SPCCC,0)+IF(AY254=1,PR_Rent,0)))</f>
        <v>13881.801745316</v>
      </c>
      <c r="BH254" s="20" t="n">
        <f aca="false">IF(C254&gt;=PR_AgeCrAge,IF(AS254&lt;=PR_AgeEx,0,MIN(BG254,PR_AgeMarg*(AS254-PR_AgeEx))),BG254)</f>
        <v>13881.801745316</v>
      </c>
      <c r="BI254" s="20" t="n">
        <f aca="false">IF(F_Partner=1,MAX(0,PR_r1*MIN(AT254,PR_Band)+PR_r2*MAX(0,AT254-PR_Band)-(PR_Personal+AV254+AX254+IF(AND(AY254=1,AT254&gt;0),PR_Rent,0))),0)</f>
        <v>1348.02877548243</v>
      </c>
      <c r="BJ254" s="20" t="n">
        <f aca="false">IF(AG254&gt;=PR_AgeCrAge,IF(AT254&lt;=PR_AgeEx,0,MIN(BI254,PR_AgeMarg*(AT254-PR_AgeEx))),BI254)</f>
        <v>1348.02877548243</v>
      </c>
      <c r="BK254" s="20" t="n">
        <f aca="false">IF(F_Partner=1,IF(F_Married=1,BF254,BH254+BJ254),BH254)</f>
        <v>15229.8305207984</v>
      </c>
      <c r="BL254" s="20" t="n">
        <f aca="false">AL254+AN254+AO254</f>
        <v>70496.7429495411</v>
      </c>
      <c r="BM254" s="20"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1670.35943596329</v>
      </c>
      <c r="BN254" s="20" t="n">
        <f aca="false">AQ254</f>
        <v>26740.1438774121</v>
      </c>
      <c r="BO254" s="20" t="n">
        <f aca="false">IF(F_Partner=1,IF(BN254&lt;=PR_USCex,0,IF(IF(AND(AG254&gt;=PR_USCredAge,BN254&lt;=PR_USCredMax),1,0)=1,PR_USCr1*MIN(BN254,PR_USCredB1)+PR_USCredR2*MAX(0,BN254-PR_USCredB1),PR_USCr1*MIN(BN254,PR_USCb1)+PR_USCr2*MAX(0,MIN(BN254,PR_USCb2)-PR_USCb1)+PR_USCr3*MAX(0,MIN(BN254,PR_USCb3)-PR_USCb2)+PR_USCr4*MAX(0,BN254-PR_USCb3))),0)</f>
        <v>354.622877548243</v>
      </c>
      <c r="BP254" s="20" t="n">
        <f aca="false">IF(C254&lt;PR_PRSIend,IF(F_SelfEmp=1,IF(AL254&gt;PR_PRSIsMinInc,MAX(PR_PRSIsMin,AL254*J254),0),IF(AL254/52&lt;=PR_PRSIfree,0,MAX(0,(AL254/52*J254-IF(AL254/52&lt;=PR_PRSIcreditTo,MAX(0,PR_PRSIcreditMax-(AL254/52-(PR_PRSIfree+0.01))/PR_PRSItaper),0))*52)))+J254*AN254+IF(AO254&gt;PR_PRSIunearned,J254*AO254,0),0)+IF(AND(PRSI_ARF_Applies=1,AN254&gt;0,C254&gt;=PR_PRSIend,C254&lt;PRSI_ARF_ToAge,NOT(AK254&gt;0)),J254*AN254,0)</f>
        <v>3313.34691862843</v>
      </c>
      <c r="BQ254" s="20" t="n">
        <f aca="false">IF(AND(F_Partner=1,AG254&lt;PR_PRSIend),IF(AQ254/52&lt;=PR_PRSIfree,0,MAX(0,(AQ254/52*J254-IF(AQ254/52&lt;=PR_PRSIcreditTo,MAX(0,PR_PRSIcreditMax-(AQ254/52-(PR_PRSIfree+0.01))/PR_PRSItaper),0))*52)),0)</f>
        <v>1256.78676223837</v>
      </c>
      <c r="BR254" s="20" t="n">
        <f aca="false">BK254+BM254+BO254+BP254+BQ254</f>
        <v>21824.9465151767</v>
      </c>
      <c r="BS254" s="20" t="n">
        <f aca="false">BR254*H254</f>
        <v>32430.7224415937</v>
      </c>
      <c r="BT254" s="20" t="n">
        <f aca="false">K254+AK254+AC254+AF254+AH254+AI254</f>
        <v>144488.898773553</v>
      </c>
    </row>
    <row r="255" customFormat="false" ht="15" hidden="false" customHeight="true" outlineLevel="0" collapsed="false">
      <c r="B255" s="20" t="n">
        <v>21</v>
      </c>
      <c r="C255" s="20" t="n">
        <f aca="false">F_Age+B255</f>
        <v>59</v>
      </c>
      <c r="D255" s="20" t="n">
        <f aca="false">AS_Year0+B255</f>
        <v>2047</v>
      </c>
      <c r="E255" s="50" t="n">
        <f aca="false">(1+AS_Infl)^B255</f>
        <v>1.51566634389792</v>
      </c>
      <c r="F255" s="50" t="n">
        <f aca="false">(1+AS_Wage)^B255</f>
        <v>1.8602945717095</v>
      </c>
      <c r="G255" s="20" t="n">
        <f aca="false">IF(C255&lt;F_R,1,0)</f>
        <v>1</v>
      </c>
      <c r="H255" s="50" t="n">
        <f aca="false">IF(AS_Bands="flat",1,E255)</f>
        <v>1.51566634389792</v>
      </c>
      <c r="I255" s="50" t="n">
        <f aca="false">IF(AS_SpGrow="pay",F255,IF(AS_SpGrow="flat",1,E255))</f>
        <v>1.51566634389792</v>
      </c>
      <c r="J255" s="50" t="n">
        <f aca="false">(12*PR_PRSIr0+(PR_PRSIr1-PR_PRSIr0)*MAX(0,MIN(12,D255*12+12-PR_PRSIt1))+(PR_PRSIr2-PR_PRSIr1)*MAX(0,MIN(12,D255*12+12-PR_PRSIt2))+(PR_PRSIr3-PR_PRSIr2)*MAX(0,MIN(12,D255*12+12-PR_PRSIt3)))/12</f>
        <v>0.047</v>
      </c>
      <c r="K255" s="20" t="n">
        <f aca="false">IF(G255=1,F_Income*F255,0)</f>
        <v>107897.085159151</v>
      </c>
      <c r="L255" s="20" t="n">
        <f aca="false">IF(G255=1,(F_Own+In_penExtra)*12*F255,0)</f>
        <v>5804.11906373363</v>
      </c>
      <c r="M255" s="20" t="n">
        <f aca="false">IF(G255=1,(F_PenM+In_penExtra)*12*F255,0)</f>
        <v>11608.2381274673</v>
      </c>
      <c r="N255" s="51" t="n">
        <f aca="false">IF(C255&lt;PR_RelA1,PR_RelP1,IF(C255&lt;PR_RelA2,PR_RelP2,IF(C255&lt;PR_RelA3,PR_RelP3,IF(C255&lt;PR_RelA4,PR_RelP4,IF(C255&lt;PR_RelA5,PR_RelP5,PR_RelP6)))))</f>
        <v>0.35</v>
      </c>
      <c r="O255" s="20" t="n">
        <f aca="false">IF(G255=1,MIN(L255/H255,N255*MIN(K255/H255,PR_EarnCap))*H255,0)</f>
        <v>5804.11906373363</v>
      </c>
      <c r="P255" s="20" t="n">
        <f aca="false">IF(AND(G255=1,F_AE=1),MIN(K255/H255,PR_AEcap)*H255,0)</f>
        <v>0</v>
      </c>
      <c r="Q255" s="20" t="n">
        <f aca="false">IF(G255=1,IF(WI_Retire=1,MAX(0,M255+WI_M*12),M255)+(PR_AEee+PR_AEer+PR_AEst)*P255,0)</f>
        <v>11608.2381274673</v>
      </c>
      <c r="R255" s="20" t="n">
        <f aca="false">L255+PR_AEee*P255</f>
        <v>5804.11906373363</v>
      </c>
      <c r="S255" s="20" t="n">
        <f aca="false">AD254</f>
        <v>455995.142274934</v>
      </c>
      <c r="T255" s="20" t="n">
        <f aca="false">IF(D255&lt;=PR_SFTfrom,PR_SFT2026,IF(D255=PR_SFTfrom+1,PR_SFT2027,IF(D255=PR_SFTfrom+2,PR_SFT2028,IF(D255&lt;=PR_SFTto,PR_SFT2029,PR_SFT2029*(1+AS_Infl)^(D255-PR_SFTto)))))</f>
        <v>3999089.49321357</v>
      </c>
      <c r="U255" s="20" t="n">
        <f aca="false">IF(AND(G255=0,C255=F_V),1,0)</f>
        <v>0</v>
      </c>
      <c r="V255" s="20" t="n">
        <f aca="false">IF(U255=1,PR_SFTrate*MAX(0,S255-T255),0)</f>
        <v>0</v>
      </c>
      <c r="W255" s="20" t="n">
        <f aca="false">S255-V255</f>
        <v>455995.142274934</v>
      </c>
      <c r="X255" s="20" t="n">
        <f aca="false">IF(AND(U255=1,AS_LumpPct&gt;0),W255*MIN(AS_LumpPct,PR_LSmax),0)</f>
        <v>0</v>
      </c>
      <c r="Y255" s="20" t="n">
        <f aca="false">X255-(PR_LSrate*MAX(0,MIN(X255,PR_LScap)-PR_LSfree)+PR_r2*MAX(0,X255-PR_LScap))</f>
        <v>0</v>
      </c>
      <c r="Z255" s="20" t="n">
        <f aca="false">W255-X255</f>
        <v>455995.142274934</v>
      </c>
      <c r="AA255" s="51" t="n">
        <f aca="false">IF(C255&gt;=PR_ARFage1,IF(Z255&gt;PR_ARFbig,PR_ARFbigRate,IF(C255&gt;=PR_ARFage2,PR_ARF71,PR_ARF61)),0)</f>
        <v>0</v>
      </c>
      <c r="AB255" s="20" t="n">
        <f aca="false">IF(AS_DrawRule="min",Z255*AA255,IF(AS_DrawRule="fixed",MAX(AS_DrawFixed*E255,Z255*AA255),Z255*MAX(1/MAX(1,AS_End-C255+1),AA255)))</f>
        <v>12324.1930344577</v>
      </c>
      <c r="AC255" s="20" t="n">
        <f aca="false">IF(AND(G255=0,C255&gt;=F_V),MIN(Z255,AB255),0)</f>
        <v>0</v>
      </c>
      <c r="AD255" s="20" t="n">
        <f aca="false">IF(G255=1,S255*(1+F_PenG)+Q255,IF(C255&lt;F_V,S255*(1+F_PenG),(Z255-AC255)*(1+AS_PenRet)))</f>
        <v>488123.161804774</v>
      </c>
      <c r="AE255" s="20" t="n">
        <f aca="false">IF(C255&gt;=PR_SPage,AS_SP*F_SpF*I255+IF(AND(C255&gt;=PR_Over80Age,F_SpF&gt;0),PR_Over80*PR_Weeks*I255,0),0)</f>
        <v>0</v>
      </c>
      <c r="AF255" s="20" t="n">
        <f aca="false">(F_OtherM+F_RentM)*12*E255+IF(AND(In_polInc&gt;0,In_polIncAge&gt;0,C255&gt;=In_polIncAge),In_polInc,0)</f>
        <v>0</v>
      </c>
      <c r="AG255" s="20" t="n">
        <f aca="false">F_PAge+B255</f>
        <v>58</v>
      </c>
      <c r="AH255" s="20" t="n">
        <f aca="false">IF(AND(F_Partner=1,F_PAge&gt;0,AG255&lt;IF(F_PRet&gt;0,F_PRet,PR_SPage)),F_PIncome*F255,0)</f>
        <v>40926.4805776089</v>
      </c>
      <c r="AI255" s="20" t="n">
        <f aca="false">IF(AND(F_Partner=1,AG255&gt;=PR_SPage,F_PSpQA=0),AS_SP*F_PSpF*I255,0)</f>
        <v>0</v>
      </c>
      <c r="AJ255" s="20" t="n">
        <f aca="false">IF(AND(F_Partner=1,F_PSpQA=1,C255&gt;=PR_SPage,AH255=0),IF(AG255&gt;=PR_SPage,PR_QA66,PR_QAunder)*PR_Weeks*I255,0)</f>
        <v>0</v>
      </c>
      <c r="AK255" s="20" t="n">
        <f aca="false">AE255+AJ255</f>
        <v>0</v>
      </c>
      <c r="AL255" s="20" t="n">
        <f aca="false">K255/H255</f>
        <v>71187.8874882621</v>
      </c>
      <c r="AM255" s="20" t="n">
        <f aca="false">AK255/H255</f>
        <v>0</v>
      </c>
      <c r="AN255" s="20" t="n">
        <f aca="false">AC255/H255</f>
        <v>0</v>
      </c>
      <c r="AO255" s="20" t="n">
        <f aca="false">AF255/H255</f>
        <v>0</v>
      </c>
      <c r="AP255" s="20" t="n">
        <f aca="false">O255/H255</f>
        <v>3829.41739592031</v>
      </c>
      <c r="AQ255" s="20" t="n">
        <f aca="false">AH255/H255</f>
        <v>27002.3021507201</v>
      </c>
      <c r="AR255" s="20" t="n">
        <f aca="false">AI255/H255</f>
        <v>0</v>
      </c>
      <c r="AS255" s="20" t="n">
        <f aca="false">MAX(0,AL255+AN255+AO255+AM255-AP255)</f>
        <v>67358.4700923418</v>
      </c>
      <c r="AT255" s="20" t="n">
        <f aca="false">MAX(0,AQ255+AR255)</f>
        <v>27002.3021507201</v>
      </c>
      <c r="AU255" s="20" t="n">
        <f aca="false">MIN(PR_PAYE,PR_PAYEcap*(AL255+AN255+AM255))</f>
        <v>2000</v>
      </c>
      <c r="AV255" s="20" t="n">
        <f aca="false">MIN(PR_PAYE,PR_PAYEcap*(AQ255+AR255))</f>
        <v>2000</v>
      </c>
      <c r="AW255" s="20" t="n">
        <f aca="false">IF(C255&gt;=PR_AgeCrAge,PR_AgeCr,0)</f>
        <v>0</v>
      </c>
      <c r="AX255" s="20" t="n">
        <f aca="false">IF(AG255&gt;=PR_AgeCrAge,PR_AgeCr,0)</f>
        <v>0</v>
      </c>
      <c r="AY255" s="20" t="n">
        <f aca="false">IF(AND(F_RentCred=1,D255&lt;=PR_RentLast),1,0)</f>
        <v>0</v>
      </c>
      <c r="AZ255" s="20" t="n">
        <f aca="false">AS255+AT255</f>
        <v>94360.7722430619</v>
      </c>
      <c r="BA255" s="20" t="n">
        <f aca="false">PR_PersonalM+AU255+AV255+AW255+AX255+IF(AY255=1,PR_RentJoint,0)</f>
        <v>8000</v>
      </c>
      <c r="BB255" s="20" t="n">
        <f aca="false">PR_BandM+MIN(MIN(AS255,AT255),PR_Uplift)</f>
        <v>80002.3021507201</v>
      </c>
      <c r="BC255" s="20" t="n">
        <f aca="false">MAX(0,PR_r1*MIN(AZ255,BB255)+PR_r2*MAX(0,AZ255-BB255)-BA255)</f>
        <v>13743.8484670807</v>
      </c>
      <c r="BD255" s="20" t="n">
        <f aca="false">MAX(0,PR_HomeCarer-MAX(0,MIN(AS255,AT255)-PR_HCLimit)/2)</f>
        <v>0</v>
      </c>
      <c r="BE255" s="20" t="n">
        <f aca="false">IF(F_Carer=1,MIN(BC255,MAX(0,PR_r1*MIN(AZ255,PR_BandM)+PR_r2*MAX(0,AZ255-PR_BandM)-BA255-BD255)),BC255)</f>
        <v>13743.8484670807</v>
      </c>
      <c r="BF255" s="20" t="n">
        <f aca="false">IF(OR(C255&gt;=PR_AgeCrAge,AG255&gt;=PR_AgeCrAge),IF(AZ255&lt;=PR_AgeExM,0,MIN(BE255,PR_AgeMarg*(AZ255-PR_AgeExM))),BE255)</f>
        <v>13743.8484670807</v>
      </c>
      <c r="BG255" s="20" t="n">
        <f aca="false">MAX(0,PR_r1*MIN(AS255,IF(F_Spccc=1,PR_BandSPCCC,PR_Band))+PR_r2*MAX(0,AS255-IF(F_Spccc=1,PR_BandSPCCC,PR_Band))-(PR_Personal+AU255+AW255+IF(F_Spccc=1,PR_SPCCC,0)+IF(AY255=1,PR_Rent,0)))</f>
        <v>14143.3880369367</v>
      </c>
      <c r="BH255" s="20" t="n">
        <f aca="false">IF(C255&gt;=PR_AgeCrAge,IF(AS255&lt;=PR_AgeEx,0,MIN(BG255,PR_AgeMarg*(AS255-PR_AgeEx))),BG255)</f>
        <v>14143.3880369367</v>
      </c>
      <c r="BI255" s="20" t="n">
        <f aca="false">IF(F_Partner=1,MAX(0,PR_r1*MIN(AT255,PR_Band)+PR_r2*MAX(0,AT255-PR_Band)-(PR_Personal+AV255+AX255+IF(AND(AY255=1,AT255&gt;0),PR_Rent,0))),0)</f>
        <v>1400.46043014402</v>
      </c>
      <c r="BJ255" s="20" t="n">
        <f aca="false">IF(AG255&gt;=PR_AgeCrAge,IF(AT255&lt;=PR_AgeEx,0,MIN(BI255,PR_AgeMarg*(AT255-PR_AgeEx))),BI255)</f>
        <v>1400.46043014402</v>
      </c>
      <c r="BK255" s="20" t="n">
        <f aca="false">IF(F_Partner=1,IF(F_Married=1,BF255,BH255+BJ255),BH255)</f>
        <v>15543.8484670807</v>
      </c>
      <c r="BL255" s="20" t="n">
        <f aca="false">AL255+AN255+AO255</f>
        <v>71187.8874882621</v>
      </c>
      <c r="BM255" s="20"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1725.65099906097</v>
      </c>
      <c r="BN255" s="20" t="n">
        <f aca="false">AQ255</f>
        <v>27002.3021507201</v>
      </c>
      <c r="BO255" s="20" t="n">
        <f aca="false">IF(F_Partner=1,IF(BN255&lt;=PR_USCex,0,IF(IF(AND(AG255&gt;=PR_USCredAge,BN255&lt;=PR_USCredMax),1,0)=1,PR_USCr1*MIN(BN255,PR_USCredB1)+PR_USCredR2*MAX(0,BN255-PR_USCredB1),PR_USCr1*MIN(BN255,PR_USCb1)+PR_USCr2*MAX(0,MIN(BN255,PR_USCb2)-PR_USCb1)+PR_USCr3*MAX(0,MIN(BN255,PR_USCb3)-PR_USCb2)+PR_USCr4*MAX(0,BN255-PR_USCb3))),0)</f>
        <v>359.866043014402</v>
      </c>
      <c r="BP255" s="20" t="n">
        <f aca="false">IF(C255&lt;PR_PRSIend,IF(F_SelfEmp=1,IF(AL255&gt;PR_PRSIsMinInc,MAX(PR_PRSIsMin,AL255*J255),0),IF(AL255/52&lt;=PR_PRSIfree,0,MAX(0,(AL255/52*J255-IF(AL255/52&lt;=PR_PRSIcreditTo,MAX(0,PR_PRSIcreditMax-(AL255/52-(PR_PRSIfree+0.01))/PR_PRSItaper),0))*52)))+J255*AN255+IF(AO255&gt;PR_PRSIunearned,J255*AO255,0),0)+IF(AND(PRSI_ARF_Applies=1,AN255&gt;0,C255&gt;=PR_PRSIend,C255&lt;PRSI_ARF_ToAge,NOT(AK255&gt;0)),J255*AN255,0)</f>
        <v>3345.83071194832</v>
      </c>
      <c r="BQ255" s="20" t="n">
        <f aca="false">IF(AND(F_Partner=1,AG255&lt;PR_PRSIend),IF(AQ255/52&lt;=PR_PRSIfree,0,MAX(0,(AQ255/52*J255-IF(AQ255/52&lt;=PR_PRSIcreditTo,MAX(0,PR_PRSIcreditMax-(AQ255/52-(PR_PRSIfree+0.01))/PR_PRSItaper),0))*52)),0)</f>
        <v>1269.10820108385</v>
      </c>
      <c r="BR255" s="20" t="n">
        <f aca="false">BK255+BM255+BO255+BP255+BQ255</f>
        <v>22244.3044221883</v>
      </c>
      <c r="BS255" s="20" t="n">
        <f aca="false">BR255*H255</f>
        <v>33714.9435561305</v>
      </c>
      <c r="BT255" s="20" t="n">
        <f aca="false">K255+AK255+AC255+AF255+AH255+AI255</f>
        <v>148823.56573676</v>
      </c>
    </row>
    <row r="256" customFormat="false" ht="15" hidden="false" customHeight="true" outlineLevel="0" collapsed="false">
      <c r="B256" s="20" t="n">
        <v>22</v>
      </c>
      <c r="C256" s="20" t="n">
        <f aca="false">F_Age+B256</f>
        <v>60</v>
      </c>
      <c r="D256" s="20" t="n">
        <f aca="false">AS_Year0+B256</f>
        <v>2048</v>
      </c>
      <c r="E256" s="50" t="n">
        <f aca="false">(1+AS_Infl)^B256</f>
        <v>1.54597967077588</v>
      </c>
      <c r="F256" s="50" t="n">
        <f aca="false">(1+AS_Wage)^B256</f>
        <v>1.91610340886078</v>
      </c>
      <c r="G256" s="20" t="n">
        <f aca="false">IF(C256&lt;F_R,1,0)</f>
        <v>1</v>
      </c>
      <c r="H256" s="50" t="n">
        <f aca="false">IF(AS_Bands="flat",1,E256)</f>
        <v>1.54597967077588</v>
      </c>
      <c r="I256" s="50" t="n">
        <f aca="false">IF(AS_SpGrow="pay",F256,IF(AS_SpGrow="flat",1,E256))</f>
        <v>1.54597967077588</v>
      </c>
      <c r="J256" s="50" t="n">
        <f aca="false">(12*PR_PRSIr0+(PR_PRSIr1-PR_PRSIr0)*MAX(0,MIN(12,D256*12+12-PR_PRSIt1))+(PR_PRSIr2-PR_PRSIr1)*MAX(0,MIN(12,D256*12+12-PR_PRSIt2))+(PR_PRSIr3-PR_PRSIr2)*MAX(0,MIN(12,D256*12+12-PR_PRSIt3)))/12</f>
        <v>0.047</v>
      </c>
      <c r="K256" s="20" t="n">
        <f aca="false">IF(G256=1,F_Income*F256,0)</f>
        <v>111133.997713925</v>
      </c>
      <c r="L256" s="20" t="n">
        <f aca="false">IF(G256=1,(F_Own+In_penExtra)*12*F256,0)</f>
        <v>5978.24263564564</v>
      </c>
      <c r="M256" s="20" t="n">
        <f aca="false">IF(G256=1,(F_PenM+In_penExtra)*12*F256,0)</f>
        <v>11956.4852712913</v>
      </c>
      <c r="N256" s="51" t="n">
        <f aca="false">IF(C256&lt;PR_RelA1,PR_RelP1,IF(C256&lt;PR_RelA2,PR_RelP2,IF(C256&lt;PR_RelA3,PR_RelP3,IF(C256&lt;PR_RelA4,PR_RelP4,IF(C256&lt;PR_RelA5,PR_RelP5,PR_RelP6)))))</f>
        <v>0.4</v>
      </c>
      <c r="O256" s="20" t="n">
        <f aca="false">IF(G256=1,MIN(L256/H256,N256*MIN(K256/H256,PR_EarnCap))*H256,0)</f>
        <v>5978.24263564564</v>
      </c>
      <c r="P256" s="20" t="n">
        <f aca="false">IF(AND(G256=1,F_AE=1),MIN(K256/H256,PR_AEcap)*H256,0)</f>
        <v>0</v>
      </c>
      <c r="Q256" s="20" t="n">
        <f aca="false">IF(G256=1,IF(WI_Retire=1,MAX(0,M256+WI_M*12),M256)+(PR_AEee+PR_AEer+PR_AEst)*P256,0)</f>
        <v>11956.4852712913</v>
      </c>
      <c r="R256" s="20" t="n">
        <f aca="false">L256+PR_AEee*P256</f>
        <v>5978.24263564564</v>
      </c>
      <c r="S256" s="20" t="n">
        <f aca="false">AD255</f>
        <v>488123.161804774</v>
      </c>
      <c r="T256" s="20" t="n">
        <f aca="false">IF(D256&lt;=PR_SFTfrom,PR_SFT2026,IF(D256=PR_SFTfrom+1,PR_SFT2027,IF(D256=PR_SFTfrom+2,PR_SFT2028,IF(D256&lt;=PR_SFTto,PR_SFT2029,PR_SFT2029*(1+AS_Infl)^(D256-PR_SFTto)))))</f>
        <v>4079071.28307784</v>
      </c>
      <c r="U256" s="20" t="n">
        <f aca="false">IF(AND(G256=0,C256=F_V),1,0)</f>
        <v>0</v>
      </c>
      <c r="V256" s="20" t="n">
        <f aca="false">IF(U256=1,PR_SFTrate*MAX(0,S256-T256),0)</f>
        <v>0</v>
      </c>
      <c r="W256" s="20" t="n">
        <f aca="false">S256-V256</f>
        <v>488123.161804774</v>
      </c>
      <c r="X256" s="20" t="n">
        <f aca="false">IF(AND(U256=1,AS_LumpPct&gt;0),W256*MIN(AS_LumpPct,PR_LSmax),0)</f>
        <v>0</v>
      </c>
      <c r="Y256" s="20" t="n">
        <f aca="false">X256-(PR_LSrate*MAX(0,MIN(X256,PR_LScap)-PR_LSfree)+PR_r2*MAX(0,X256-PR_LScap))</f>
        <v>0</v>
      </c>
      <c r="Z256" s="20" t="n">
        <f aca="false">W256-X256</f>
        <v>488123.161804774</v>
      </c>
      <c r="AA256" s="51" t="n">
        <f aca="false">IF(C256&gt;=PR_ARFage1,IF(Z256&gt;PR_ARFbig,PR_ARFbigRate,IF(C256&gt;=PR_ARFage2,PR_ARF71,PR_ARF61)),0)</f>
        <v>0</v>
      </c>
      <c r="AB256" s="20" t="n">
        <f aca="false">IF(AS_DrawRule="min",Z256*AA256,IF(AS_DrawRule="fixed",MAX(AS_DrawFixed*E256,Z256*AA256),Z256*MAX(1/MAX(1,AS_End-C256+1),AA256)))</f>
        <v>13558.9767167993</v>
      </c>
      <c r="AC256" s="20" t="n">
        <f aca="false">IF(AND(G256=0,C256&gt;=F_V),MIN(Z256,AB256),0)</f>
        <v>0</v>
      </c>
      <c r="AD256" s="20" t="n">
        <f aca="false">IF(G256=1,S256*(1+F_PenG)+Q256,IF(C256&lt;F_V,S256*(1+F_PenG),(Z256-AC256)*(1+AS_PenRet)))</f>
        <v>522045.18935728</v>
      </c>
      <c r="AE256" s="20" t="n">
        <f aca="false">IF(C256&gt;=PR_SPage,AS_SP*F_SpF*I256+IF(AND(C256&gt;=PR_Over80Age,F_SpF&gt;0),PR_Over80*PR_Weeks*I256,0),0)</f>
        <v>0</v>
      </c>
      <c r="AF256" s="20" t="n">
        <f aca="false">(F_OtherM+F_RentM)*12*E256+IF(AND(In_polInc&gt;0,In_polIncAge&gt;0,C256&gt;=In_polIncAge),In_polInc,0)</f>
        <v>0</v>
      </c>
      <c r="AG256" s="20" t="n">
        <f aca="false">F_PAge+B256</f>
        <v>59</v>
      </c>
      <c r="AH256" s="20" t="n">
        <f aca="false">IF(AND(F_Partner=1,F_PAge&gt;0,AG256&lt;IF(F_PRet&gt;0,F_PRet,PR_SPage)),F_PIncome*F256,0)</f>
        <v>42154.2749949372</v>
      </c>
      <c r="AI256" s="20" t="n">
        <f aca="false">IF(AND(F_Partner=1,AG256&gt;=PR_SPage,F_PSpQA=0),AS_SP*F_PSpF*I256,0)</f>
        <v>0</v>
      </c>
      <c r="AJ256" s="20" t="n">
        <f aca="false">IF(AND(F_Partner=1,F_PSpQA=1,C256&gt;=PR_SPage,AH256=0),IF(AG256&gt;=PR_SPage,PR_QA66,PR_QAunder)*PR_Weeks*I256,0)</f>
        <v>0</v>
      </c>
      <c r="AK256" s="20" t="n">
        <f aca="false">AE256+AJ256</f>
        <v>0</v>
      </c>
      <c r="AL256" s="20" t="n">
        <f aca="false">K256/H256</f>
        <v>71885.8079538333</v>
      </c>
      <c r="AM256" s="20" t="n">
        <f aca="false">AK256/H256</f>
        <v>0</v>
      </c>
      <c r="AN256" s="20" t="n">
        <f aca="false">AC256/H256</f>
        <v>0</v>
      </c>
      <c r="AO256" s="20" t="n">
        <f aca="false">AF256/H256</f>
        <v>0</v>
      </c>
      <c r="AP256" s="20" t="n">
        <f aca="false">O256/H256</f>
        <v>3866.96070372345</v>
      </c>
      <c r="AQ256" s="20" t="n">
        <f aca="false">AH256/H256</f>
        <v>27267.0306031781</v>
      </c>
      <c r="AR256" s="20" t="n">
        <f aca="false">AI256/H256</f>
        <v>0</v>
      </c>
      <c r="AS256" s="20" t="n">
        <f aca="false">MAX(0,AL256+AN256+AO256+AM256-AP256)</f>
        <v>68018.8472501098</v>
      </c>
      <c r="AT256" s="20" t="n">
        <f aca="false">MAX(0,AQ256+AR256)</f>
        <v>27267.0306031781</v>
      </c>
      <c r="AU256" s="20" t="n">
        <f aca="false">MIN(PR_PAYE,PR_PAYEcap*(AL256+AN256+AM256))</f>
        <v>2000</v>
      </c>
      <c r="AV256" s="20" t="n">
        <f aca="false">MIN(PR_PAYE,PR_PAYEcap*(AQ256+AR256))</f>
        <v>2000</v>
      </c>
      <c r="AW256" s="20" t="n">
        <f aca="false">IF(C256&gt;=PR_AgeCrAge,PR_AgeCr,0)</f>
        <v>0</v>
      </c>
      <c r="AX256" s="20" t="n">
        <f aca="false">IF(AG256&gt;=PR_AgeCrAge,PR_AgeCr,0)</f>
        <v>0</v>
      </c>
      <c r="AY256" s="20" t="n">
        <f aca="false">IF(AND(F_RentCred=1,D256&lt;=PR_RentLast),1,0)</f>
        <v>0</v>
      </c>
      <c r="AZ256" s="20" t="n">
        <f aca="false">AS256+AT256</f>
        <v>95285.877853288</v>
      </c>
      <c r="BA256" s="20" t="n">
        <f aca="false">PR_PersonalM+AU256+AV256+AW256+AX256+IF(AY256=1,PR_RentJoint,0)</f>
        <v>8000</v>
      </c>
      <c r="BB256" s="20" t="n">
        <f aca="false">PR_BandM+MIN(MIN(AS256,AT256),PR_Uplift)</f>
        <v>80267.0306031782</v>
      </c>
      <c r="BC256" s="20" t="n">
        <f aca="false">MAX(0,PR_r1*MIN(AZ256,BB256)+PR_r2*MAX(0,AZ256-BB256)-BA256)</f>
        <v>14060.9450206796</v>
      </c>
      <c r="BD256" s="20" t="n">
        <f aca="false">MAX(0,PR_HomeCarer-MAX(0,MIN(AS256,AT256)-PR_HCLimit)/2)</f>
        <v>0</v>
      </c>
      <c r="BE256" s="20" t="n">
        <f aca="false">IF(F_Carer=1,MIN(BC256,MAX(0,PR_r1*MIN(AZ256,PR_BandM)+PR_r2*MAX(0,AZ256-PR_BandM)-BA256-BD256)),BC256)</f>
        <v>14060.9450206796</v>
      </c>
      <c r="BF256" s="20" t="n">
        <f aca="false">IF(OR(C256&gt;=PR_AgeCrAge,AG256&gt;=PR_AgeCrAge),IF(AZ256&lt;=PR_AgeExM,0,MIN(BE256,PR_AgeMarg*(AZ256-PR_AgeExM))),BE256)</f>
        <v>14060.9450206796</v>
      </c>
      <c r="BG256" s="20" t="n">
        <f aca="false">MAX(0,PR_r1*MIN(AS256,IF(F_Spccc=1,PR_BandSPCCC,PR_Band))+PR_r2*MAX(0,AS256-IF(F_Spccc=1,PR_BandSPCCC,PR_Band))-(PR_Personal+AU256+AW256+IF(F_Spccc=1,PR_SPCCC,0)+IF(AY256=1,PR_Rent,0)))</f>
        <v>14407.5389000439</v>
      </c>
      <c r="BH256" s="20" t="n">
        <f aca="false">IF(C256&gt;=PR_AgeCrAge,IF(AS256&lt;=PR_AgeEx,0,MIN(BG256,PR_AgeMarg*(AS256-PR_AgeEx))),BG256)</f>
        <v>14407.5389000439</v>
      </c>
      <c r="BI256" s="20" t="n">
        <f aca="false">IF(F_Partner=1,MAX(0,PR_r1*MIN(AT256,PR_Band)+PR_r2*MAX(0,AT256-PR_Band)-(PR_Personal+AV256+AX256+IF(AND(AY256=1,AT256&gt;0),PR_Rent,0))),0)</f>
        <v>1453.40612063563</v>
      </c>
      <c r="BJ256" s="20" t="n">
        <f aca="false">IF(AG256&gt;=PR_AgeCrAge,IF(AT256&lt;=PR_AgeEx,0,MIN(BI256,PR_AgeMarg*(AT256-PR_AgeEx))),BI256)</f>
        <v>1453.40612063563</v>
      </c>
      <c r="BK256" s="20" t="n">
        <f aca="false">IF(F_Partner=1,IF(F_Married=1,BF256,BH256+BJ256),BH256)</f>
        <v>15860.9450206796</v>
      </c>
      <c r="BL256" s="20" t="n">
        <f aca="false">AL256+AN256+AO256</f>
        <v>71885.8079538333</v>
      </c>
      <c r="BM256" s="20"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1781.48463630666</v>
      </c>
      <c r="BN256" s="20" t="n">
        <f aca="false">AQ256</f>
        <v>27267.0306031781</v>
      </c>
      <c r="BO256" s="20" t="n">
        <f aca="false">IF(F_Partner=1,IF(BN256&lt;=PR_USCex,0,IF(IF(AND(AG256&gt;=PR_USCredAge,BN256&lt;=PR_USCredMax),1,0)=1,PR_USCr1*MIN(BN256,PR_USCredB1)+PR_USCredR2*MAX(0,BN256-PR_USCredB1),PR_USCr1*MIN(BN256,PR_USCb1)+PR_USCr2*MAX(0,MIN(BN256,PR_USCb2)-PR_USCb1)+PR_USCr3*MAX(0,MIN(BN256,PR_USCb3)-PR_USCb2)+PR_USCr4*MAX(0,BN256-PR_USCb3))),0)</f>
        <v>365.160612063563</v>
      </c>
      <c r="BP256" s="20" t="n">
        <f aca="false">IF(C256&lt;PR_PRSIend,IF(F_SelfEmp=1,IF(AL256&gt;PR_PRSIsMinInc,MAX(PR_PRSIsMin,AL256*J256),0),IF(AL256/52&lt;=PR_PRSIfree,0,MAX(0,(AL256/52*J256-IF(AL256/52&lt;=PR_PRSIcreditTo,MAX(0,PR_PRSIcreditMax-(AL256/52-(PR_PRSIfree+0.01))/PR_PRSItaper),0))*52)))+J256*AN256+IF(AO256&gt;PR_PRSIunearned,J256*AO256,0),0)+IF(AND(PRSI_ARF_Applies=1,AN256&gt;0,C256&gt;=PR_PRSIend,C256&lt;PRSI_ARF_ToAge,NOT(AK256&gt;0)),J256*AN256,0)</f>
        <v>3378.63297383016</v>
      </c>
      <c r="BQ256" s="20" t="n">
        <f aca="false">IF(AND(F_Partner=1,AG256&lt;PR_PRSIend),IF(AQ256/52&lt;=PR_PRSIfree,0,MAX(0,(AQ256/52*J256-IF(AQ256/52&lt;=PR_PRSIcreditTo,MAX(0,PR_PRSIcreditMax-(AQ256/52-(PR_PRSIfree+0.01))/PR_PRSItaper),0))*52)),0)</f>
        <v>1281.55043834937</v>
      </c>
      <c r="BR256" s="20" t="n">
        <f aca="false">BK256+BM256+BO256+BP256+BQ256</f>
        <v>22667.7736812293</v>
      </c>
      <c r="BS256" s="20" t="n">
        <f aca="false">BR256*H256</f>
        <v>35043.9172929291</v>
      </c>
      <c r="BT256" s="20" t="n">
        <f aca="false">K256+AK256+AC256+AF256+AH256+AI256</f>
        <v>153288.272708863</v>
      </c>
    </row>
    <row r="257" customFormat="false" ht="15" hidden="false" customHeight="true" outlineLevel="0" collapsed="false">
      <c r="B257" s="20" t="n">
        <v>23</v>
      </c>
      <c r="C257" s="20" t="n">
        <f aca="false">F_Age+B257</f>
        <v>61</v>
      </c>
      <c r="D257" s="20" t="n">
        <f aca="false">AS_Year0+B257</f>
        <v>2049</v>
      </c>
      <c r="E257" s="50" t="n">
        <f aca="false">(1+AS_Infl)^B257</f>
        <v>1.5768992641914</v>
      </c>
      <c r="F257" s="50" t="n">
        <f aca="false">(1+AS_Wage)^B257</f>
        <v>1.97358651112661</v>
      </c>
      <c r="G257" s="20" t="n">
        <f aca="false">IF(C257&lt;F_R,1,0)</f>
        <v>1</v>
      </c>
      <c r="H257" s="50" t="n">
        <f aca="false">IF(AS_Bands="flat",1,E257)</f>
        <v>1.5768992641914</v>
      </c>
      <c r="I257" s="50" t="n">
        <f aca="false">IF(AS_SpGrow="pay",F257,IF(AS_SpGrow="flat",1,E257))</f>
        <v>1.5768992641914</v>
      </c>
      <c r="J257" s="50" t="n">
        <f aca="false">(12*PR_PRSIr0+(PR_PRSIr1-PR_PRSIr0)*MAX(0,MIN(12,D257*12+12-PR_PRSIt1))+(PR_PRSIr2-PR_PRSIr1)*MAX(0,MIN(12,D257*12+12-PR_PRSIt2))+(PR_PRSIr3-PR_PRSIr2)*MAX(0,MIN(12,D257*12+12-PR_PRSIt3)))/12</f>
        <v>0.047</v>
      </c>
      <c r="K257" s="20" t="n">
        <f aca="false">IF(G257=1,F_Income*F257,0)</f>
        <v>114468.017645343</v>
      </c>
      <c r="L257" s="20" t="n">
        <f aca="false">IF(G257=1,(F_Own+In_penExtra)*12*F257,0)</f>
        <v>6157.58991471501</v>
      </c>
      <c r="M257" s="20" t="n">
        <f aca="false">IF(G257=1,(F_PenM+In_penExtra)*12*F257,0)</f>
        <v>12315.17982943</v>
      </c>
      <c r="N257" s="51" t="n">
        <f aca="false">IF(C257&lt;PR_RelA1,PR_RelP1,IF(C257&lt;PR_RelA2,PR_RelP2,IF(C257&lt;PR_RelA3,PR_RelP3,IF(C257&lt;PR_RelA4,PR_RelP4,IF(C257&lt;PR_RelA5,PR_RelP5,PR_RelP6)))))</f>
        <v>0.4</v>
      </c>
      <c r="O257" s="20" t="n">
        <f aca="false">IF(G257=1,MIN(L257/H257,N257*MIN(K257/H257,PR_EarnCap))*H257,0)</f>
        <v>6157.58991471501</v>
      </c>
      <c r="P257" s="20" t="n">
        <f aca="false">IF(AND(G257=1,F_AE=1),MIN(K257/H257,PR_AEcap)*H257,0)</f>
        <v>0</v>
      </c>
      <c r="Q257" s="20" t="n">
        <f aca="false">IF(G257=1,IF(WI_Retire=1,MAX(0,M257+WI_M*12),M257)+(PR_AEee+PR_AEer+PR_AEst)*P257,0)</f>
        <v>12315.17982943</v>
      </c>
      <c r="R257" s="20" t="n">
        <f aca="false">L257+PR_AEee*P257</f>
        <v>6157.58991471501</v>
      </c>
      <c r="S257" s="20" t="n">
        <f aca="false">AD256</f>
        <v>522045.18935728</v>
      </c>
      <c r="T257" s="20" t="n">
        <f aca="false">IF(D257&lt;=PR_SFTfrom,PR_SFT2026,IF(D257=PR_SFTfrom+1,PR_SFT2027,IF(D257=PR_SFTfrom+2,PR_SFT2028,IF(D257&lt;=PR_SFTto,PR_SFT2029,PR_SFT2029*(1+AS_Infl)^(D257-PR_SFTto)))))</f>
        <v>4160652.70873939</v>
      </c>
      <c r="U257" s="20" t="n">
        <f aca="false">IF(AND(G257=0,C257=F_V),1,0)</f>
        <v>0</v>
      </c>
      <c r="V257" s="20" t="n">
        <f aca="false">IF(U257=1,PR_SFTrate*MAX(0,S257-T257),0)</f>
        <v>0</v>
      </c>
      <c r="W257" s="20" t="n">
        <f aca="false">S257-V257</f>
        <v>522045.18935728</v>
      </c>
      <c r="X257" s="20" t="n">
        <f aca="false">IF(AND(U257=1,AS_LumpPct&gt;0),W257*MIN(AS_LumpPct,PR_LSmax),0)</f>
        <v>0</v>
      </c>
      <c r="Y257" s="20" t="n">
        <f aca="false">X257-(PR_LSrate*MAX(0,MIN(X257,PR_LScap)-PR_LSfree)+PR_r2*MAX(0,X257-PR_LScap))</f>
        <v>0</v>
      </c>
      <c r="Z257" s="20" t="n">
        <f aca="false">W257-X257</f>
        <v>522045.18935728</v>
      </c>
      <c r="AA257" s="51" t="n">
        <f aca="false">IF(C257&gt;=PR_ARFage1,IF(Z257&gt;PR_ARFbig,PR_ARFbigRate,IF(C257&gt;=PR_ARFage2,PR_ARF71,PR_ARF61)),0)</f>
        <v>0.04</v>
      </c>
      <c r="AB257" s="20" t="n">
        <f aca="false">IF(AS_DrawRule="min",Z257*AA257,IF(AS_DrawRule="fixed",MAX(AS_DrawFixed*E257,Z257*AA257),Z257*MAX(1/MAX(1,AS_End-C257+1),AA257)))</f>
        <v>20881.8075742912</v>
      </c>
      <c r="AC257" s="20" t="n">
        <f aca="false">IF(AND(G257=0,C257&gt;=F_V),MIN(Z257,AB257),0)</f>
        <v>0</v>
      </c>
      <c r="AD257" s="20" t="n">
        <f aca="false">IF(G257=1,S257*(1+F_PenG)+Q257,IF(C257&lt;F_V,S257*(1+F_PenG),(Z257-AC257)*(1+AS_PenRet)))</f>
        <v>557852.402707787</v>
      </c>
      <c r="AE257" s="20" t="n">
        <f aca="false">IF(C257&gt;=PR_SPage,AS_SP*F_SpF*I257+IF(AND(C257&gt;=PR_Over80Age,F_SpF&gt;0),PR_Over80*PR_Weeks*I257,0),0)</f>
        <v>0</v>
      </c>
      <c r="AF257" s="20" t="n">
        <f aca="false">(F_OtherM+F_RentM)*12*E257+IF(AND(In_polInc&gt;0,In_polIncAge&gt;0,C257&gt;=In_polIncAge),In_polInc,0)</f>
        <v>0</v>
      </c>
      <c r="AG257" s="20" t="n">
        <f aca="false">F_PAge+B257</f>
        <v>60</v>
      </c>
      <c r="AH257" s="20" t="n">
        <f aca="false">IF(AND(F_Partner=1,F_PAge&gt;0,AG257&lt;IF(F_PRet&gt;0,F_PRet,PR_SPage)),F_PIncome*F257,0)</f>
        <v>43418.9032447853</v>
      </c>
      <c r="AI257" s="20" t="n">
        <f aca="false">IF(AND(F_Partner=1,AG257&gt;=PR_SPage,F_PSpQA=0),AS_SP*F_PSpF*I257,0)</f>
        <v>0</v>
      </c>
      <c r="AJ257" s="20" t="n">
        <f aca="false">IF(AND(F_Partner=1,F_PSpQA=1,C257&gt;=PR_SPage,AH257=0),IF(AG257&gt;=PR_SPage,PR_QA66,PR_QAunder)*PR_Weeks*I257,0)</f>
        <v>0</v>
      </c>
      <c r="AK257" s="20" t="n">
        <f aca="false">AE257+AJ257</f>
        <v>0</v>
      </c>
      <c r="AL257" s="20" t="n">
        <f aca="false">K257/H257</f>
        <v>72590.5707769101</v>
      </c>
      <c r="AM257" s="20" t="n">
        <f aca="false">AK257/H257</f>
        <v>0</v>
      </c>
      <c r="AN257" s="20" t="n">
        <f aca="false">AC257/H257</f>
        <v>0</v>
      </c>
      <c r="AO257" s="20" t="n">
        <f aca="false">AF257/H257</f>
        <v>0</v>
      </c>
      <c r="AP257" s="20" t="n">
        <f aca="false">O257/H257</f>
        <v>3904.87208317172</v>
      </c>
      <c r="AQ257" s="20" t="n">
        <f aca="false">AH257/H257</f>
        <v>27534.3544326211</v>
      </c>
      <c r="AR257" s="20" t="n">
        <f aca="false">AI257/H257</f>
        <v>0</v>
      </c>
      <c r="AS257" s="20" t="n">
        <f aca="false">MAX(0,AL257+AN257+AO257+AM257-AP257)</f>
        <v>68685.6986937384</v>
      </c>
      <c r="AT257" s="20" t="n">
        <f aca="false">MAX(0,AQ257+AR257)</f>
        <v>27534.3544326211</v>
      </c>
      <c r="AU257" s="20" t="n">
        <f aca="false">MIN(PR_PAYE,PR_PAYEcap*(AL257+AN257+AM257))</f>
        <v>2000</v>
      </c>
      <c r="AV257" s="20" t="n">
        <f aca="false">MIN(PR_PAYE,PR_PAYEcap*(AQ257+AR257))</f>
        <v>2000</v>
      </c>
      <c r="AW257" s="20" t="n">
        <f aca="false">IF(C257&gt;=PR_AgeCrAge,PR_AgeCr,0)</f>
        <v>0</v>
      </c>
      <c r="AX257" s="20" t="n">
        <f aca="false">IF(AG257&gt;=PR_AgeCrAge,PR_AgeCr,0)</f>
        <v>0</v>
      </c>
      <c r="AY257" s="20" t="n">
        <f aca="false">IF(AND(F_RentCred=1,D257&lt;=PR_RentLast),1,0)</f>
        <v>0</v>
      </c>
      <c r="AZ257" s="20" t="n">
        <f aca="false">AS257+AT257</f>
        <v>96220.0531263595</v>
      </c>
      <c r="BA257" s="20" t="n">
        <f aca="false">PR_PersonalM+AU257+AV257+AW257+AX257+IF(AY257=1,PR_RentJoint,0)</f>
        <v>8000</v>
      </c>
      <c r="BB257" s="20" t="n">
        <f aca="false">PR_BandM+MIN(MIN(AS257,AT257),PR_Uplift)</f>
        <v>80534.3544326211</v>
      </c>
      <c r="BC257" s="20" t="n">
        <f aca="false">MAX(0,PR_r1*MIN(AZ257,BB257)+PR_r2*MAX(0,AZ257-BB257)-BA257)</f>
        <v>14381.1503640196</v>
      </c>
      <c r="BD257" s="20" t="n">
        <f aca="false">MAX(0,PR_HomeCarer-MAX(0,MIN(AS257,AT257)-PR_HCLimit)/2)</f>
        <v>0</v>
      </c>
      <c r="BE257" s="20" t="n">
        <f aca="false">IF(F_Carer=1,MIN(BC257,MAX(0,PR_r1*MIN(AZ257,PR_BandM)+PR_r2*MAX(0,AZ257-PR_BandM)-BA257-BD257)),BC257)</f>
        <v>14381.1503640196</v>
      </c>
      <c r="BF257" s="20" t="n">
        <f aca="false">IF(OR(C257&gt;=PR_AgeCrAge,AG257&gt;=PR_AgeCrAge),IF(AZ257&lt;=PR_AgeExM,0,MIN(BE257,PR_AgeMarg*(AZ257-PR_AgeExM))),BE257)</f>
        <v>14381.1503640196</v>
      </c>
      <c r="BG257" s="20" t="n">
        <f aca="false">MAX(0,PR_r1*MIN(AS257,IF(F_Spccc=1,PR_BandSPCCC,PR_Band))+PR_r2*MAX(0,AS257-IF(F_Spccc=1,PR_BandSPCCC,PR_Band))-(PR_Personal+AU257+AW257+IF(F_Spccc=1,PR_SPCCC,0)+IF(AY257=1,PR_Rent,0)))</f>
        <v>14674.2794774954</v>
      </c>
      <c r="BH257" s="20" t="n">
        <f aca="false">IF(C257&gt;=PR_AgeCrAge,IF(AS257&lt;=PR_AgeEx,0,MIN(BG257,PR_AgeMarg*(AS257-PR_AgeEx))),BG257)</f>
        <v>14674.2794774954</v>
      </c>
      <c r="BI257" s="20" t="n">
        <f aca="false">IF(F_Partner=1,MAX(0,PR_r1*MIN(AT257,PR_Band)+PR_r2*MAX(0,AT257-PR_Band)-(PR_Personal+AV257+AX257+IF(AND(AY257=1,AT257&gt;0),PR_Rent,0))),0)</f>
        <v>1506.87088652421</v>
      </c>
      <c r="BJ257" s="20" t="n">
        <f aca="false">IF(AG257&gt;=PR_AgeCrAge,IF(AT257&lt;=PR_AgeEx,0,MIN(BI257,PR_AgeMarg*(AT257-PR_AgeEx))),BI257)</f>
        <v>1506.87088652421</v>
      </c>
      <c r="BK257" s="20" t="n">
        <f aca="false">IF(F_Partner=1,IF(F_Married=1,BF257,BH257+BJ257),BH257)</f>
        <v>16181.1503640196</v>
      </c>
      <c r="BL257" s="20" t="n">
        <f aca="false">AL257+AN257+AO257</f>
        <v>72590.5707769101</v>
      </c>
      <c r="BM257" s="20"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1837.86566215281</v>
      </c>
      <c r="BN257" s="20" t="n">
        <f aca="false">AQ257</f>
        <v>27534.3544326211</v>
      </c>
      <c r="BO257" s="20" t="n">
        <f aca="false">IF(F_Partner=1,IF(BN257&lt;=PR_USCex,0,IF(IF(AND(AG257&gt;=PR_USCredAge,BN257&lt;=PR_USCredMax),1,0)=1,PR_USCr1*MIN(BN257,PR_USCredB1)+PR_USCredR2*MAX(0,BN257-PR_USCredB1),PR_USCr1*MIN(BN257,PR_USCb1)+PR_USCr2*MAX(0,MIN(BN257,PR_USCb2)-PR_USCb1)+PR_USCr3*MAX(0,MIN(BN257,PR_USCb3)-PR_USCb2)+PR_USCr4*MAX(0,BN257-PR_USCb3))),0)</f>
        <v>370.507088652421</v>
      </c>
      <c r="BP257" s="20" t="n">
        <f aca="false">IF(C257&lt;PR_PRSIend,IF(F_SelfEmp=1,IF(AL257&gt;PR_PRSIsMinInc,MAX(PR_PRSIsMin,AL257*J257),0),IF(AL257/52&lt;=PR_PRSIfree,0,MAX(0,(AL257/52*J257-IF(AL257/52&lt;=PR_PRSIcreditTo,MAX(0,PR_PRSIcreditMax-(AL257/52-(PR_PRSIfree+0.01))/PR_PRSItaper),0))*52)))+J257*AN257+IF(AO257&gt;PR_PRSIunearned,J257*AO257,0),0)+IF(AND(PRSI_ARF_Applies=1,AN257&gt;0,C257&gt;=PR_PRSIend,C257&lt;PRSI_ARF_ToAge,NOT(AK257&gt;0)),J257*AN257,0)</f>
        <v>3411.75682651477</v>
      </c>
      <c r="BQ257" s="20" t="n">
        <f aca="false">IF(AND(F_Partner=1,AG257&lt;PR_PRSIend),IF(AQ257/52&lt;=PR_PRSIfree,0,MAX(0,(AQ257/52*J257-IF(AQ257/52&lt;=PR_PRSIcreditTo,MAX(0,PR_PRSIcreditMax-(AQ257/52-(PR_PRSIfree+0.01))/PR_PRSItaper),0))*52)),0)</f>
        <v>1294.11465833319</v>
      </c>
      <c r="BR257" s="20" t="n">
        <f aca="false">BK257+BM257+BO257+BP257+BQ257</f>
        <v>23095.3945996728</v>
      </c>
      <c r="BS257" s="20" t="n">
        <f aca="false">BR257*H257</f>
        <v>36419.110750434</v>
      </c>
      <c r="BT257" s="20" t="n">
        <f aca="false">K257+AK257+AC257+AF257+AH257+AI257</f>
        <v>157886.920890128</v>
      </c>
    </row>
    <row r="258" customFormat="false" ht="15" hidden="false" customHeight="true" outlineLevel="0" collapsed="false">
      <c r="B258" s="20" t="n">
        <v>24</v>
      </c>
      <c r="C258" s="20" t="n">
        <f aca="false">F_Age+B258</f>
        <v>62</v>
      </c>
      <c r="D258" s="20" t="n">
        <f aca="false">AS_Year0+B258</f>
        <v>2050</v>
      </c>
      <c r="E258" s="50" t="n">
        <f aca="false">(1+AS_Infl)^B258</f>
        <v>1.60843724947523</v>
      </c>
      <c r="F258" s="50" t="n">
        <f aca="false">(1+AS_Wage)^B258</f>
        <v>2.0327941064604</v>
      </c>
      <c r="G258" s="20" t="n">
        <f aca="false">IF(C258&lt;F_R,1,0)</f>
        <v>1</v>
      </c>
      <c r="H258" s="50" t="n">
        <f aca="false">IF(AS_Bands="flat",1,E258)</f>
        <v>1.60843724947523</v>
      </c>
      <c r="I258" s="50" t="n">
        <f aca="false">IF(AS_SpGrow="pay",F258,IF(AS_SpGrow="flat",1,E258))</f>
        <v>1.60843724947523</v>
      </c>
      <c r="J258" s="50" t="n">
        <f aca="false">(12*PR_PRSIr0+(PR_PRSIr1-PR_PRSIr0)*MAX(0,MIN(12,D258*12+12-PR_PRSIt1))+(PR_PRSIr2-PR_PRSIr1)*MAX(0,MIN(12,D258*12+12-PR_PRSIt2))+(PR_PRSIr3-PR_PRSIr2)*MAX(0,MIN(12,D258*12+12-PR_PRSIt3)))/12</f>
        <v>0.047</v>
      </c>
      <c r="K258" s="20" t="n">
        <f aca="false">IF(G258=1,F_Income*F258,0)</f>
        <v>117902.058174703</v>
      </c>
      <c r="L258" s="20" t="n">
        <f aca="false">IF(G258=1,(F_Own+In_penExtra)*12*F258,0)</f>
        <v>6342.31761215646</v>
      </c>
      <c r="M258" s="20" t="n">
        <f aca="false">IF(G258=1,(F_PenM+In_penExtra)*12*F258,0)</f>
        <v>12684.6352243129</v>
      </c>
      <c r="N258" s="51" t="n">
        <f aca="false">IF(C258&lt;PR_RelA1,PR_RelP1,IF(C258&lt;PR_RelA2,PR_RelP2,IF(C258&lt;PR_RelA3,PR_RelP3,IF(C258&lt;PR_RelA4,PR_RelP4,IF(C258&lt;PR_RelA5,PR_RelP5,PR_RelP6)))))</f>
        <v>0.4</v>
      </c>
      <c r="O258" s="20" t="n">
        <f aca="false">IF(G258=1,MIN(L258/H258,N258*MIN(K258/H258,PR_EarnCap))*H258,0)</f>
        <v>6342.31761215646</v>
      </c>
      <c r="P258" s="20" t="n">
        <f aca="false">IF(AND(G258=1,F_AE=1),MIN(K258/H258,PR_AEcap)*H258,0)</f>
        <v>0</v>
      </c>
      <c r="Q258" s="20" t="n">
        <f aca="false">IF(G258=1,IF(WI_Retire=1,MAX(0,M258+WI_M*12),M258)+(PR_AEee+PR_AEer+PR_AEst)*P258,0)</f>
        <v>12684.6352243129</v>
      </c>
      <c r="R258" s="20" t="n">
        <f aca="false">L258+PR_AEee*P258</f>
        <v>6342.31761215646</v>
      </c>
      <c r="S258" s="20" t="n">
        <f aca="false">AD257</f>
        <v>557852.402707787</v>
      </c>
      <c r="T258" s="20" t="n">
        <f aca="false">IF(D258&lt;=PR_SFTfrom,PR_SFT2026,IF(D258=PR_SFTfrom+1,PR_SFT2027,IF(D258=PR_SFTfrom+2,PR_SFT2028,IF(D258&lt;=PR_SFTto,PR_SFT2029,PR_SFT2029*(1+AS_Infl)^(D258-PR_SFTto)))))</f>
        <v>4243865.76291418</v>
      </c>
      <c r="U258" s="20" t="n">
        <f aca="false">IF(AND(G258=0,C258=F_V),1,0)</f>
        <v>0</v>
      </c>
      <c r="V258" s="20" t="n">
        <f aca="false">IF(U258=1,PR_SFTrate*MAX(0,S258-T258),0)</f>
        <v>0</v>
      </c>
      <c r="W258" s="20" t="n">
        <f aca="false">S258-V258</f>
        <v>557852.402707787</v>
      </c>
      <c r="X258" s="20" t="n">
        <f aca="false">IF(AND(U258=1,AS_LumpPct&gt;0),W258*MIN(AS_LumpPct,PR_LSmax),0)</f>
        <v>0</v>
      </c>
      <c r="Y258" s="20" t="n">
        <f aca="false">X258-(PR_LSrate*MAX(0,MIN(X258,PR_LScap)-PR_LSfree)+PR_r2*MAX(0,X258-PR_LScap))</f>
        <v>0</v>
      </c>
      <c r="Z258" s="20" t="n">
        <f aca="false">W258-X258</f>
        <v>557852.402707787</v>
      </c>
      <c r="AA258" s="51" t="n">
        <f aca="false">IF(C258&gt;=PR_ARFage1,IF(Z258&gt;PR_ARFbig,PR_ARFbigRate,IF(C258&gt;=PR_ARFage2,PR_ARF71,PR_ARF61)),0)</f>
        <v>0.04</v>
      </c>
      <c r="AB258" s="20" t="n">
        <f aca="false">IF(AS_DrawRule="min",Z258*AA258,IF(AS_DrawRule="fixed",MAX(AS_DrawFixed*E258,Z258*AA258),Z258*MAX(1/MAX(1,AS_End-C258+1),AA258)))</f>
        <v>22314.0961083115</v>
      </c>
      <c r="AC258" s="20" t="n">
        <f aca="false">IF(AND(G258=0,C258&gt;=F_V),MIN(Z258,AB258),0)</f>
        <v>0</v>
      </c>
      <c r="AD258" s="20" t="n">
        <f aca="false">IF(G258=1,S258*(1+F_PenG)+Q258,IF(C258&lt;F_V,S258*(1+F_PenG),(Z258-AC258)*(1+AS_PenRet)))</f>
        <v>595640.396053951</v>
      </c>
      <c r="AE258" s="20" t="n">
        <f aca="false">IF(C258&gt;=PR_SPage,AS_SP*F_SpF*I258+IF(AND(C258&gt;=PR_Over80Age,F_SpF&gt;0),PR_Over80*PR_Weeks*I258,0),0)</f>
        <v>0</v>
      </c>
      <c r="AF258" s="20" t="n">
        <f aca="false">(F_OtherM+F_RentM)*12*E258+IF(AND(In_polInc&gt;0,In_polIncAge&gt;0,C258&gt;=In_polIncAge),In_polInc,0)</f>
        <v>0</v>
      </c>
      <c r="AG258" s="20" t="n">
        <f aca="false">F_PAge+B258</f>
        <v>61</v>
      </c>
      <c r="AH258" s="20" t="n">
        <f aca="false">IF(AND(F_Partner=1,F_PAge&gt;0,AG258&lt;IF(F_PRet&gt;0,F_PRet,PR_SPage)),F_PIncome*F258,0)</f>
        <v>44721.4703421289</v>
      </c>
      <c r="AI258" s="20" t="n">
        <f aca="false">IF(AND(F_Partner=1,AG258&gt;=PR_SPage,F_PSpQA=0),AS_SP*F_PSpF*I258,0)</f>
        <v>0</v>
      </c>
      <c r="AJ258" s="20" t="n">
        <f aca="false">IF(AND(F_Partner=1,F_PSpQA=1,C258&gt;=PR_SPage,AH258=0),IF(AG258&gt;=PR_SPage,PR_QA66,PR_QAunder)*PR_Weeks*I258,0)</f>
        <v>0</v>
      </c>
      <c r="AK258" s="20" t="n">
        <f aca="false">AE258+AJ258</f>
        <v>0</v>
      </c>
      <c r="AL258" s="20" t="n">
        <f aca="false">K258/H258</f>
        <v>73302.2430394288</v>
      </c>
      <c r="AM258" s="20" t="n">
        <f aca="false">AK258/H258</f>
        <v>0</v>
      </c>
      <c r="AN258" s="20" t="n">
        <f aca="false">AC258/H258</f>
        <v>0</v>
      </c>
      <c r="AO258" s="20" t="n">
        <f aca="false">AF258/H258</f>
        <v>0</v>
      </c>
      <c r="AP258" s="20" t="n">
        <f aca="false">O258/H258</f>
        <v>3943.15514281065</v>
      </c>
      <c r="AQ258" s="20" t="n">
        <f aca="false">AH258/H258</f>
        <v>27804.2990839213</v>
      </c>
      <c r="AR258" s="20" t="n">
        <f aca="false">AI258/H258</f>
        <v>0</v>
      </c>
      <c r="AS258" s="20" t="n">
        <f aca="false">MAX(0,AL258+AN258+AO258+AM258-AP258)</f>
        <v>69359.0878966182</v>
      </c>
      <c r="AT258" s="20" t="n">
        <f aca="false">MAX(0,AQ258+AR258)</f>
        <v>27804.2990839213</v>
      </c>
      <c r="AU258" s="20" t="n">
        <f aca="false">MIN(PR_PAYE,PR_PAYEcap*(AL258+AN258+AM258))</f>
        <v>2000</v>
      </c>
      <c r="AV258" s="20" t="n">
        <f aca="false">MIN(PR_PAYE,PR_PAYEcap*(AQ258+AR258))</f>
        <v>2000</v>
      </c>
      <c r="AW258" s="20" t="n">
        <f aca="false">IF(C258&gt;=PR_AgeCrAge,PR_AgeCr,0)</f>
        <v>0</v>
      </c>
      <c r="AX258" s="20" t="n">
        <f aca="false">IF(AG258&gt;=PR_AgeCrAge,PR_AgeCr,0)</f>
        <v>0</v>
      </c>
      <c r="AY258" s="20" t="n">
        <f aca="false">IF(AND(F_RentCred=1,D258&lt;=PR_RentLast),1,0)</f>
        <v>0</v>
      </c>
      <c r="AZ258" s="20" t="n">
        <f aca="false">AS258+AT258</f>
        <v>97163.3869805395</v>
      </c>
      <c r="BA258" s="20" t="n">
        <f aca="false">PR_PersonalM+AU258+AV258+AW258+AX258+IF(AY258=1,PR_RentJoint,0)</f>
        <v>8000</v>
      </c>
      <c r="BB258" s="20" t="n">
        <f aca="false">PR_BandM+MIN(MIN(AS258,AT258),PR_Uplift)</f>
        <v>80804.2990839213</v>
      </c>
      <c r="BC258" s="20" t="n">
        <f aca="false">MAX(0,PR_r1*MIN(AZ258,BB258)+PR_r2*MAX(0,AZ258-BB258)-BA258)</f>
        <v>14704.4949754315</v>
      </c>
      <c r="BD258" s="20" t="n">
        <f aca="false">MAX(0,PR_HomeCarer-MAX(0,MIN(AS258,AT258)-PR_HCLimit)/2)</f>
        <v>0</v>
      </c>
      <c r="BE258" s="20" t="n">
        <f aca="false">IF(F_Carer=1,MIN(BC258,MAX(0,PR_r1*MIN(AZ258,PR_BandM)+PR_r2*MAX(0,AZ258-PR_BandM)-BA258-BD258)),BC258)</f>
        <v>14704.4949754315</v>
      </c>
      <c r="BF258" s="20" t="n">
        <f aca="false">IF(OR(C258&gt;=PR_AgeCrAge,AG258&gt;=PR_AgeCrAge),IF(AZ258&lt;=PR_AgeExM,0,MIN(BE258,PR_AgeMarg*(AZ258-PR_AgeExM))),BE258)</f>
        <v>14704.4949754315</v>
      </c>
      <c r="BG258" s="20" t="n">
        <f aca="false">MAX(0,PR_r1*MIN(AS258,IF(F_Spccc=1,PR_BandSPCCC,PR_Band))+PR_r2*MAX(0,AS258-IF(F_Spccc=1,PR_BandSPCCC,PR_Band))-(PR_Personal+AU258+AW258+IF(F_Spccc=1,PR_SPCCC,0)+IF(AY258=1,PR_Rent,0)))</f>
        <v>14943.6351586473</v>
      </c>
      <c r="BH258" s="20" t="n">
        <f aca="false">IF(C258&gt;=PR_AgeCrAge,IF(AS258&lt;=PR_AgeEx,0,MIN(BG258,PR_AgeMarg*(AS258-PR_AgeEx))),BG258)</f>
        <v>14943.6351586473</v>
      </c>
      <c r="BI258" s="20" t="n">
        <f aca="false">IF(F_Partner=1,MAX(0,PR_r1*MIN(AT258,PR_Band)+PR_r2*MAX(0,AT258-PR_Band)-(PR_Personal+AV258+AX258+IF(AND(AY258=1,AT258&gt;0),PR_Rent,0))),0)</f>
        <v>1560.85981678426</v>
      </c>
      <c r="BJ258" s="20" t="n">
        <f aca="false">IF(AG258&gt;=PR_AgeCrAge,IF(AT258&lt;=PR_AgeEx,0,MIN(BI258,PR_AgeMarg*(AT258-PR_AgeEx))),BI258)</f>
        <v>1560.85981678426</v>
      </c>
      <c r="BK258" s="20" t="n">
        <f aca="false">IF(F_Partner=1,IF(F_Married=1,BF258,BH258+BJ258),BH258)</f>
        <v>16504.4949754315</v>
      </c>
      <c r="BL258" s="20" t="n">
        <f aca="false">AL258+AN258+AO258</f>
        <v>73302.2430394288</v>
      </c>
      <c r="BM258" s="20"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1894.79944315431</v>
      </c>
      <c r="BN258" s="20" t="n">
        <f aca="false">AQ258</f>
        <v>27804.2990839213</v>
      </c>
      <c r="BO258" s="20" t="n">
        <f aca="false">IF(F_Partner=1,IF(BN258&lt;=PR_USCex,0,IF(IF(AND(AG258&gt;=PR_USCredAge,BN258&lt;=PR_USCredMax),1,0)=1,PR_USCr1*MIN(BN258,PR_USCredB1)+PR_USCredR2*MAX(0,BN258-PR_USCredB1),PR_USCr1*MIN(BN258,PR_USCb1)+PR_USCr2*MAX(0,MIN(BN258,PR_USCb2)-PR_USCb1)+PR_USCr3*MAX(0,MIN(BN258,PR_USCb3)-PR_USCb2)+PR_USCr4*MAX(0,BN258-PR_USCb3))),0)</f>
        <v>375.905981678426</v>
      </c>
      <c r="BP258" s="20" t="n">
        <f aca="false">IF(C258&lt;PR_PRSIend,IF(F_SelfEmp=1,IF(AL258&gt;PR_PRSIsMinInc,MAX(PR_PRSIsMin,AL258*J258),0),IF(AL258/52&lt;=PR_PRSIfree,0,MAX(0,(AL258/52*J258-IF(AL258/52&lt;=PR_PRSIcreditTo,MAX(0,PR_PRSIcreditMax-(AL258/52-(PR_PRSIfree+0.01))/PR_PRSItaper),0))*52)))+J258*AN258+IF(AO258&gt;PR_PRSIunearned,J258*AO258,0),0)+IF(AND(PRSI_ARF_Applies=1,AN258&gt;0,C258&gt;=PR_PRSIend,C258&lt;PRSI_ARF_ToAge,NOT(AK258&gt;0)),J258*AN258,0)</f>
        <v>3445.20542285315</v>
      </c>
      <c r="BQ258" s="20" t="n">
        <f aca="false">IF(AND(F_Partner=1,AG258&lt;PR_PRSIend),IF(AQ258/52&lt;=PR_PRSIfree,0,MAX(0,(AQ258/52*J258-IF(AQ258/52&lt;=PR_PRSIcreditTo,MAX(0,PR_PRSIcreditMax-(AQ258/52-(PR_PRSIfree+0.01))/PR_PRSItaper),0))*52)),0)</f>
        <v>1306.8020569443</v>
      </c>
      <c r="BR258" s="20" t="n">
        <f aca="false">BK258+BM258+BO258+BP258+BQ258</f>
        <v>23527.2078800617</v>
      </c>
      <c r="BS258" s="20" t="n">
        <f aca="false">BR258*H258</f>
        <v>37842.0375304383</v>
      </c>
      <c r="BT258" s="20" t="n">
        <f aca="false">K258+AK258+AC258+AF258+AH258+AI258</f>
        <v>162623.528516832</v>
      </c>
    </row>
    <row r="259" customFormat="false" ht="15" hidden="false" customHeight="true" outlineLevel="0" collapsed="false">
      <c r="B259" s="20" t="n">
        <v>25</v>
      </c>
      <c r="C259" s="20" t="n">
        <f aca="false">F_Age+B259</f>
        <v>63</v>
      </c>
      <c r="D259" s="20" t="n">
        <f aca="false">AS_Year0+B259</f>
        <v>2051</v>
      </c>
      <c r="E259" s="50" t="n">
        <f aca="false">(1+AS_Infl)^B259</f>
        <v>1.64060599446473</v>
      </c>
      <c r="F259" s="50" t="n">
        <f aca="false">(1+AS_Wage)^B259</f>
        <v>2.09377792965422</v>
      </c>
      <c r="G259" s="20" t="n">
        <f aca="false">IF(C259&lt;F_R,1,0)</f>
        <v>0</v>
      </c>
      <c r="H259" s="50" t="n">
        <f aca="false">IF(AS_Bands="flat",1,E259)</f>
        <v>1.64060599446473</v>
      </c>
      <c r="I259" s="50" t="n">
        <f aca="false">IF(AS_SpGrow="pay",F259,IF(AS_SpGrow="flat",1,E259))</f>
        <v>1.64060599446473</v>
      </c>
      <c r="J259" s="50" t="n">
        <f aca="false">(12*PR_PRSIr0+(PR_PRSIr1-PR_PRSIr0)*MAX(0,MIN(12,D259*12+12-PR_PRSIt1))+(PR_PRSIr2-PR_PRSIr1)*MAX(0,MIN(12,D259*12+12-PR_PRSIt2))+(PR_PRSIr3-PR_PRSIr2)*MAX(0,MIN(12,D259*12+12-PR_PRSIt3)))/12</f>
        <v>0.047</v>
      </c>
      <c r="K259" s="20" t="n">
        <f aca="false">IF(G259=1,F_Income*F259,0)</f>
        <v>0</v>
      </c>
      <c r="L259" s="20" t="n">
        <f aca="false">IF(G259=1,(F_Own+In_penExtra)*12*F259,0)</f>
        <v>0</v>
      </c>
      <c r="M259" s="20" t="n">
        <f aca="false">IF(G259=1,(F_PenM+In_penExtra)*12*F259,0)</f>
        <v>0</v>
      </c>
      <c r="N259" s="51" t="n">
        <f aca="false">IF(C259&lt;PR_RelA1,PR_RelP1,IF(C259&lt;PR_RelA2,PR_RelP2,IF(C259&lt;PR_RelA3,PR_RelP3,IF(C259&lt;PR_RelA4,PR_RelP4,IF(C259&lt;PR_RelA5,PR_RelP5,PR_RelP6)))))</f>
        <v>0.4</v>
      </c>
      <c r="O259" s="20" t="n">
        <f aca="false">IF(G259=1,MIN(L259/H259,N259*MIN(K259/H259,PR_EarnCap))*H259,0)</f>
        <v>0</v>
      </c>
      <c r="P259" s="20" t="n">
        <f aca="false">IF(AND(G259=1,F_AE=1),MIN(K259/H259,PR_AEcap)*H259,0)</f>
        <v>0</v>
      </c>
      <c r="Q259" s="20" t="n">
        <f aca="false">IF(G259=1,IF(WI_Retire=1,MAX(0,M259+WI_M*12),M259)+(PR_AEee+PR_AEer+PR_AEst)*P259,0)</f>
        <v>0</v>
      </c>
      <c r="R259" s="20" t="n">
        <f aca="false">L259+PR_AEee*P259</f>
        <v>0</v>
      </c>
      <c r="S259" s="20" t="n">
        <f aca="false">AD258</f>
        <v>595640.396053951</v>
      </c>
      <c r="T259" s="20" t="n">
        <f aca="false">IF(D259&lt;=PR_SFTfrom,PR_SFT2026,IF(D259=PR_SFTfrom+1,PR_SFT2027,IF(D259=PR_SFTfrom+2,PR_SFT2028,IF(D259&lt;=PR_SFTto,PR_SFT2029,PR_SFT2029*(1+AS_Infl)^(D259-PR_SFTto)))))</f>
        <v>4328743.07817247</v>
      </c>
      <c r="U259" s="20" t="n">
        <f aca="false">IF(AND(G259=0,C259=F_V),1,0)</f>
        <v>1</v>
      </c>
      <c r="V259" s="20" t="n">
        <f aca="false">IF(U259=1,PR_SFTrate*MAX(0,S259-T259),0)</f>
        <v>0</v>
      </c>
      <c r="W259" s="20" t="n">
        <f aca="false">S259-V259</f>
        <v>595640.396053951</v>
      </c>
      <c r="X259" s="20" t="n">
        <f aca="false">IF(AND(U259=1,AS_LumpPct&gt;0),W259*MIN(AS_LumpPct,PR_LSmax),0)</f>
        <v>148910.099013488</v>
      </c>
      <c r="Y259" s="20" t="n">
        <f aca="false">X259-(PR_LSrate*MAX(0,MIN(X259,PR_LScap)-PR_LSfree)+PR_r2*MAX(0,X259-PR_LScap))</f>
        <v>148910.099013488</v>
      </c>
      <c r="Z259" s="20" t="n">
        <f aca="false">W259-X259</f>
        <v>446730.297040463</v>
      </c>
      <c r="AA259" s="51" t="n">
        <f aca="false">IF(C259&gt;=PR_ARFage1,IF(Z259&gt;PR_ARFbig,PR_ARFbigRate,IF(C259&gt;=PR_ARFage2,PR_ARF71,PR_ARF61)),0)</f>
        <v>0.04</v>
      </c>
      <c r="AB259" s="20" t="n">
        <f aca="false">IF(AS_DrawRule="min",Z259*AA259,IF(AS_DrawRule="fixed",MAX(AS_DrawFixed*E259,Z259*AA259),Z259*MAX(1/MAX(1,AS_End-C259+1),AA259)))</f>
        <v>17869.2118816185</v>
      </c>
      <c r="AC259" s="20" t="n">
        <f aca="false">IF(AND(G259=0,C259&gt;=F_V),MIN(Z259,AB259),0)</f>
        <v>17869.2118816185</v>
      </c>
      <c r="AD259" s="20" t="n">
        <f aca="false">IF(G259=1,S259*(1+F_PenG)+Q259,IF(C259&lt;F_V,S259*(1+F_PenG),(Z259-AC259)*(1+AS_PenRet)))</f>
        <v>442370.209341348</v>
      </c>
      <c r="AE259" s="20" t="n">
        <f aca="false">IF(C259&gt;=PR_SPage,AS_SP*F_SpF*I259+IF(AND(C259&gt;=PR_Over80Age,F_SpF&gt;0),PR_Over80*PR_Weeks*I259,0),0)</f>
        <v>0</v>
      </c>
      <c r="AF259" s="20" t="n">
        <f aca="false">(F_OtherM+F_RentM)*12*E259+IF(AND(In_polInc&gt;0,In_polIncAge&gt;0,C259&gt;=In_polIncAge),In_polInc,0)</f>
        <v>0</v>
      </c>
      <c r="AG259" s="20" t="n">
        <f aca="false">F_PAge+B259</f>
        <v>62</v>
      </c>
      <c r="AH259" s="20" t="n">
        <f aca="false">IF(AND(F_Partner=1,F_PAge&gt;0,AG259&lt;IF(F_PRet&gt;0,F_PRet,PR_SPage)),F_PIncome*F259,0)</f>
        <v>46063.1144523928</v>
      </c>
      <c r="AI259" s="20" t="n">
        <f aca="false">IF(AND(F_Partner=1,AG259&gt;=PR_SPage,F_PSpQA=0),AS_SP*F_PSpF*I259,0)</f>
        <v>0</v>
      </c>
      <c r="AJ259" s="20" t="n">
        <f aca="false">IF(AND(F_Partner=1,F_PSpQA=1,C259&gt;=PR_SPage,AH259=0),IF(AG259&gt;=PR_SPage,PR_QA66,PR_QAunder)*PR_Weeks*I259,0)</f>
        <v>0</v>
      </c>
      <c r="AK259" s="20" t="n">
        <f aca="false">AE259+AJ259</f>
        <v>0</v>
      </c>
      <c r="AL259" s="20" t="n">
        <f aca="false">K259/H259</f>
        <v>0</v>
      </c>
      <c r="AM259" s="20" t="n">
        <f aca="false">AK259/H259</f>
        <v>0</v>
      </c>
      <c r="AN259" s="20" t="n">
        <f aca="false">AC259/H259</f>
        <v>10891.8362738572</v>
      </c>
      <c r="AO259" s="20" t="n">
        <f aca="false">AF259/H259</f>
        <v>0</v>
      </c>
      <c r="AP259" s="20" t="n">
        <f aca="false">O259/H259</f>
        <v>0</v>
      </c>
      <c r="AQ259" s="20" t="n">
        <f aca="false">AH259/H259</f>
        <v>28076.8902514107</v>
      </c>
      <c r="AR259" s="20" t="n">
        <f aca="false">AI259/H259</f>
        <v>0</v>
      </c>
      <c r="AS259" s="20" t="n">
        <f aca="false">MAX(0,AL259+AN259+AO259+AM259-AP259)</f>
        <v>10891.8362738572</v>
      </c>
      <c r="AT259" s="20" t="n">
        <f aca="false">MAX(0,AQ259+AR259)</f>
        <v>28076.8902514107</v>
      </c>
      <c r="AU259" s="20" t="n">
        <f aca="false">MIN(PR_PAYE,PR_PAYEcap*(AL259+AN259+AM259))</f>
        <v>2000</v>
      </c>
      <c r="AV259" s="20" t="n">
        <f aca="false">MIN(PR_PAYE,PR_PAYEcap*(AQ259+AR259))</f>
        <v>2000</v>
      </c>
      <c r="AW259" s="20" t="n">
        <f aca="false">IF(C259&gt;=PR_AgeCrAge,PR_AgeCr,0)</f>
        <v>0</v>
      </c>
      <c r="AX259" s="20" t="n">
        <f aca="false">IF(AG259&gt;=PR_AgeCrAge,PR_AgeCr,0)</f>
        <v>0</v>
      </c>
      <c r="AY259" s="20" t="n">
        <f aca="false">IF(AND(F_RentCred=1,D259&lt;=PR_RentLast),1,0)</f>
        <v>0</v>
      </c>
      <c r="AZ259" s="20" t="n">
        <f aca="false">AS259+AT259</f>
        <v>38968.7265252679</v>
      </c>
      <c r="BA259" s="20" t="n">
        <f aca="false">PR_PersonalM+AU259+AV259+AW259+AX259+IF(AY259=1,PR_RentJoint,0)</f>
        <v>8000</v>
      </c>
      <c r="BB259" s="20" t="n">
        <f aca="false">PR_BandM+MIN(MIN(AS259,AT259),PR_Uplift)</f>
        <v>63891.8362738572</v>
      </c>
      <c r="BC259" s="20" t="n">
        <f aca="false">MAX(0,PR_r1*MIN(AZ259,BB259)+PR_r2*MAX(0,AZ259-BB259)-BA259)</f>
        <v>0</v>
      </c>
      <c r="BD259" s="20" t="n">
        <f aca="false">MAX(0,PR_HomeCarer-MAX(0,MIN(AS259,AT259)-PR_HCLimit)/2)</f>
        <v>104.0818630714</v>
      </c>
      <c r="BE259" s="20" t="n">
        <f aca="false">IF(F_Carer=1,MIN(BC259,MAX(0,PR_r1*MIN(AZ259,PR_BandM)+PR_r2*MAX(0,AZ259-PR_BandM)-BA259-BD259)),BC259)</f>
        <v>0</v>
      </c>
      <c r="BF259" s="20" t="n">
        <f aca="false">IF(OR(C259&gt;=PR_AgeCrAge,AG259&gt;=PR_AgeCrAge),IF(AZ259&lt;=PR_AgeExM,0,MIN(BE259,PR_AgeMarg*(AZ259-PR_AgeExM))),BE259)</f>
        <v>0</v>
      </c>
      <c r="BG259" s="20" t="n">
        <f aca="false">MAX(0,PR_r1*MIN(AS259,IF(F_Spccc=1,PR_BandSPCCC,PR_Band))+PR_r2*MAX(0,AS259-IF(F_Spccc=1,PR_BandSPCCC,PR_Band))-(PR_Personal+AU259+AW259+IF(F_Spccc=1,PR_SPCCC,0)+IF(AY259=1,PR_Rent,0)))</f>
        <v>0</v>
      </c>
      <c r="BH259" s="20" t="n">
        <f aca="false">IF(C259&gt;=PR_AgeCrAge,IF(AS259&lt;=PR_AgeEx,0,MIN(BG259,PR_AgeMarg*(AS259-PR_AgeEx))),BG259)</f>
        <v>0</v>
      </c>
      <c r="BI259" s="20" t="n">
        <f aca="false">IF(F_Partner=1,MAX(0,PR_r1*MIN(AT259,PR_Band)+PR_r2*MAX(0,AT259-PR_Band)-(PR_Personal+AV259+AX259+IF(AND(AY259=1,AT259&gt;0),PR_Rent,0))),0)</f>
        <v>1615.37805028214</v>
      </c>
      <c r="BJ259" s="20" t="n">
        <f aca="false">IF(AG259&gt;=PR_AgeCrAge,IF(AT259&lt;=PR_AgeEx,0,MIN(BI259,PR_AgeMarg*(AT259-PR_AgeEx))),BI259)</f>
        <v>1615.37805028214</v>
      </c>
      <c r="BK259" s="20" t="n">
        <f aca="false">IF(F_Partner=1,IF(F_Married=1,BF259,BH259+BJ259),BH259)</f>
        <v>1615.37805028214</v>
      </c>
      <c r="BL259" s="20" t="n">
        <f aca="false">AL259+AN259+AO259</f>
        <v>10891.8362738572</v>
      </c>
      <c r="BM259" s="20"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20" t="n">
        <f aca="false">AQ259</f>
        <v>28076.8902514107</v>
      </c>
      <c r="BO259" s="20" t="n">
        <f aca="false">IF(F_Partner=1,IF(BN259&lt;=PR_USCex,0,IF(IF(AND(AG259&gt;=PR_USCredAge,BN259&lt;=PR_USCredMax),1,0)=1,PR_USCr1*MIN(BN259,PR_USCredB1)+PR_USCredR2*MAX(0,BN259-PR_USCredB1),PR_USCr1*MIN(BN259,PR_USCb1)+PR_USCr2*MAX(0,MIN(BN259,PR_USCb2)-PR_USCb1)+PR_USCr3*MAX(0,MIN(BN259,PR_USCb3)-PR_USCb2)+PR_USCr4*MAX(0,BN259-PR_USCb3))),0)</f>
        <v>381.357805028214</v>
      </c>
      <c r="BP259" s="20" t="n">
        <f aca="false">IF(C259&lt;PR_PRSIend,IF(F_SelfEmp=1,IF(AL259&gt;PR_PRSIsMinInc,MAX(PR_PRSIsMin,AL259*J259),0),IF(AL259/52&lt;=PR_PRSIfree,0,MAX(0,(AL259/52*J259-IF(AL259/52&lt;=PR_PRSIcreditTo,MAX(0,PR_PRSIcreditMax-(AL259/52-(PR_PRSIfree+0.01))/PR_PRSItaper),0))*52)))+J259*AN259+IF(AO259&gt;PR_PRSIunearned,J259*AO259,0),0)+IF(AND(PRSI_ARF_Applies=1,AN259&gt;0,C259&gt;=PR_PRSIend,C259&lt;PRSI_ARF_ToAge,NOT(AK259&gt;0)),J259*AN259,0)</f>
        <v>511.916304871288</v>
      </c>
      <c r="BQ259" s="20" t="n">
        <f aca="false">IF(AND(F_Partner=1,AG259&lt;PR_PRSIend),IF(AQ259/52&lt;=PR_PRSIfree,0,MAX(0,(AQ259/52*J259-IF(AQ259/52&lt;=PR_PRSIcreditTo,MAX(0,PR_PRSIcreditMax-(AQ259/52-(PR_PRSIfree+0.01))/PR_PRSItaper),0))*52)),0)</f>
        <v>1319.6138418163</v>
      </c>
      <c r="BR259" s="20" t="n">
        <f aca="false">BK259+BM259+BO259+BP259+BQ259</f>
        <v>3828.26600199795</v>
      </c>
      <c r="BS259" s="20" t="n">
        <f aca="false">BR259*H259</f>
        <v>6280.67615128336</v>
      </c>
      <c r="BT259" s="20" t="n">
        <f aca="false">K259+AK259+AC259+AF259+AH259+AI259</f>
        <v>63932.3263340113</v>
      </c>
    </row>
    <row r="260" customFormat="false" ht="15" hidden="false" customHeight="true" outlineLevel="0" collapsed="false">
      <c r="B260" s="20" t="n">
        <v>26</v>
      </c>
      <c r="C260" s="20" t="n">
        <f aca="false">F_Age+B260</f>
        <v>64</v>
      </c>
      <c r="D260" s="20" t="n">
        <f aca="false">AS_Year0+B260</f>
        <v>2052</v>
      </c>
      <c r="E260" s="50" t="n">
        <f aca="false">(1+AS_Infl)^B260</f>
        <v>1.67341811435403</v>
      </c>
      <c r="F260" s="50" t="n">
        <f aca="false">(1+AS_Wage)^B260</f>
        <v>2.15659126754384</v>
      </c>
      <c r="G260" s="20" t="n">
        <f aca="false">IF(C260&lt;F_R,1,0)</f>
        <v>0</v>
      </c>
      <c r="H260" s="50" t="n">
        <f aca="false">IF(AS_Bands="flat",1,E260)</f>
        <v>1.67341811435403</v>
      </c>
      <c r="I260" s="50" t="n">
        <f aca="false">IF(AS_SpGrow="pay",F260,IF(AS_SpGrow="flat",1,E260))</f>
        <v>1.67341811435403</v>
      </c>
      <c r="J260" s="50" t="n">
        <f aca="false">(12*PR_PRSIr0+(PR_PRSIr1-PR_PRSIr0)*MAX(0,MIN(12,D260*12+12-PR_PRSIt1))+(PR_PRSIr2-PR_PRSIr1)*MAX(0,MIN(12,D260*12+12-PR_PRSIt2))+(PR_PRSIr3-PR_PRSIr2)*MAX(0,MIN(12,D260*12+12-PR_PRSIt3)))/12</f>
        <v>0.047</v>
      </c>
      <c r="K260" s="20" t="n">
        <f aca="false">IF(G260=1,F_Income*F260,0)</f>
        <v>0</v>
      </c>
      <c r="L260" s="20" t="n">
        <f aca="false">IF(G260=1,(F_Own+In_penExtra)*12*F260,0)</f>
        <v>0</v>
      </c>
      <c r="M260" s="20" t="n">
        <f aca="false">IF(G260=1,(F_PenM+In_penExtra)*12*F260,0)</f>
        <v>0</v>
      </c>
      <c r="N260" s="51" t="n">
        <f aca="false">IF(C260&lt;PR_RelA1,PR_RelP1,IF(C260&lt;PR_RelA2,PR_RelP2,IF(C260&lt;PR_RelA3,PR_RelP3,IF(C260&lt;PR_RelA4,PR_RelP4,IF(C260&lt;PR_RelA5,PR_RelP5,PR_RelP6)))))</f>
        <v>0.4</v>
      </c>
      <c r="O260" s="20" t="n">
        <f aca="false">IF(G260=1,MIN(L260/H260,N260*MIN(K260/H260,PR_EarnCap))*H260,0)</f>
        <v>0</v>
      </c>
      <c r="P260" s="20" t="n">
        <f aca="false">IF(AND(G260=1,F_AE=1),MIN(K260/H260,PR_AEcap)*H260,0)</f>
        <v>0</v>
      </c>
      <c r="Q260" s="20" t="n">
        <f aca="false">IF(G260=1,IF(WI_Retire=1,MAX(0,M260+WI_M*12),M260)+(PR_AEee+PR_AEer+PR_AEst)*P260,0)</f>
        <v>0</v>
      </c>
      <c r="R260" s="20" t="n">
        <f aca="false">L260+PR_AEee*P260</f>
        <v>0</v>
      </c>
      <c r="S260" s="20" t="n">
        <f aca="false">AD259</f>
        <v>442370.209341348</v>
      </c>
      <c r="T260" s="20" t="n">
        <f aca="false">IF(D260&lt;=PR_SFTfrom,PR_SFT2026,IF(D260=PR_SFTfrom+1,PR_SFT2027,IF(D260=PR_SFTfrom+2,PR_SFT2028,IF(D260&lt;=PR_SFTto,PR_SFT2029,PR_SFT2029*(1+AS_Infl)^(D260-PR_SFTto)))))</f>
        <v>4415317.93973592</v>
      </c>
      <c r="U260" s="20" t="n">
        <f aca="false">IF(AND(G260=0,C260=F_V),1,0)</f>
        <v>0</v>
      </c>
      <c r="V260" s="20" t="n">
        <f aca="false">IF(U260=1,PR_SFTrate*MAX(0,S260-T260),0)</f>
        <v>0</v>
      </c>
      <c r="W260" s="20" t="n">
        <f aca="false">S260-V260</f>
        <v>442370.209341348</v>
      </c>
      <c r="X260" s="20" t="n">
        <f aca="false">IF(AND(U260=1,AS_LumpPct&gt;0),W260*MIN(AS_LumpPct,PR_LSmax),0)</f>
        <v>0</v>
      </c>
      <c r="Y260" s="20" t="n">
        <f aca="false">X260-(PR_LSrate*MAX(0,MIN(X260,PR_LScap)-PR_LSfree)+PR_r2*MAX(0,X260-PR_LScap))</f>
        <v>0</v>
      </c>
      <c r="Z260" s="20" t="n">
        <f aca="false">W260-X260</f>
        <v>442370.209341348</v>
      </c>
      <c r="AA260" s="51" t="n">
        <f aca="false">IF(C260&gt;=PR_ARFage1,IF(Z260&gt;PR_ARFbig,PR_ARFbigRate,IF(C260&gt;=PR_ARFage2,PR_ARF71,PR_ARF61)),0)</f>
        <v>0.04</v>
      </c>
      <c r="AB260" s="20" t="n">
        <f aca="false">IF(AS_DrawRule="min",Z260*AA260,IF(AS_DrawRule="fixed",MAX(AS_DrawFixed*E260,Z260*AA260),Z260*MAX(1/MAX(1,AS_End-C260+1),AA260)))</f>
        <v>17694.8083736539</v>
      </c>
      <c r="AC260" s="20" t="n">
        <f aca="false">IF(AND(G260=0,C260&gt;=F_V),MIN(Z260,AB260),0)</f>
        <v>17694.8083736539</v>
      </c>
      <c r="AD260" s="20" t="n">
        <f aca="false">IF(G260=1,S260*(1+F_PenG)+Q260,IF(C260&lt;F_V,S260*(1+F_PenG),(Z260-AC260)*(1+AS_PenRet)))</f>
        <v>438052.676098176</v>
      </c>
      <c r="AE260" s="20" t="n">
        <f aca="false">IF(C260&gt;=PR_SPage,AS_SP*F_SpF*I260+IF(AND(C260&gt;=PR_Over80Age,F_SpF&gt;0),PR_Over80*PR_Weeks*I260,0),0)</f>
        <v>0</v>
      </c>
      <c r="AF260" s="20" t="n">
        <f aca="false">(F_OtherM+F_RentM)*12*E260+IF(AND(In_polInc&gt;0,In_polIncAge&gt;0,C260&gt;=In_polIncAge),In_polInc,0)</f>
        <v>0</v>
      </c>
      <c r="AG260" s="20" t="n">
        <f aca="false">F_PAge+B260</f>
        <v>63</v>
      </c>
      <c r="AH260" s="20" t="n">
        <f aca="false">IF(AND(F_Partner=1,F_PAge&gt;0,AG260&lt;IF(F_PRet&gt;0,F_PRet,PR_SPage)),F_PIncome*F260,0)</f>
        <v>47445.0078859645</v>
      </c>
      <c r="AI260" s="20" t="n">
        <f aca="false">IF(AND(F_Partner=1,AG260&gt;=PR_SPage,F_PSpQA=0),AS_SP*F_PSpF*I260,0)</f>
        <v>0</v>
      </c>
      <c r="AJ260" s="20" t="n">
        <f aca="false">IF(AND(F_Partner=1,F_PSpQA=1,C260&gt;=PR_SPage,AH260=0),IF(AG260&gt;=PR_SPage,PR_QA66,PR_QAunder)*PR_Weeks*I260,0)</f>
        <v>0</v>
      </c>
      <c r="AK260" s="20" t="n">
        <f aca="false">AE260+AJ260</f>
        <v>0</v>
      </c>
      <c r="AL260" s="20" t="n">
        <f aca="false">K260/H260</f>
        <v>0</v>
      </c>
      <c r="AM260" s="20" t="n">
        <f aca="false">AK260/H260</f>
        <v>0</v>
      </c>
      <c r="AN260" s="20" t="n">
        <f aca="false">AC260/H260</f>
        <v>10574.0509331611</v>
      </c>
      <c r="AO260" s="20" t="n">
        <f aca="false">AF260/H260</f>
        <v>0</v>
      </c>
      <c r="AP260" s="20" t="n">
        <f aca="false">O260/H260</f>
        <v>0</v>
      </c>
      <c r="AQ260" s="20" t="n">
        <f aca="false">AH260/H260</f>
        <v>28352.1538813265</v>
      </c>
      <c r="AR260" s="20" t="n">
        <f aca="false">AI260/H260</f>
        <v>0</v>
      </c>
      <c r="AS260" s="20" t="n">
        <f aca="false">MAX(0,AL260+AN260+AO260+AM260-AP260)</f>
        <v>10574.0509331611</v>
      </c>
      <c r="AT260" s="20" t="n">
        <f aca="false">MAX(0,AQ260+AR260)</f>
        <v>28352.1538813265</v>
      </c>
      <c r="AU260" s="20" t="n">
        <f aca="false">MIN(PR_PAYE,PR_PAYEcap*(AL260+AN260+AM260))</f>
        <v>2000</v>
      </c>
      <c r="AV260" s="20" t="n">
        <f aca="false">MIN(PR_PAYE,PR_PAYEcap*(AQ260+AR260))</f>
        <v>2000</v>
      </c>
      <c r="AW260" s="20" t="n">
        <f aca="false">IF(C260&gt;=PR_AgeCrAge,PR_AgeCr,0)</f>
        <v>0</v>
      </c>
      <c r="AX260" s="20" t="n">
        <f aca="false">IF(AG260&gt;=PR_AgeCrAge,PR_AgeCr,0)</f>
        <v>0</v>
      </c>
      <c r="AY260" s="20" t="n">
        <f aca="false">IF(AND(F_RentCred=1,D260&lt;=PR_RentLast),1,0)</f>
        <v>0</v>
      </c>
      <c r="AZ260" s="20" t="n">
        <f aca="false">AS260+AT260</f>
        <v>38926.2048144876</v>
      </c>
      <c r="BA260" s="20" t="n">
        <f aca="false">PR_PersonalM+AU260+AV260+AW260+AX260+IF(AY260=1,PR_RentJoint,0)</f>
        <v>8000</v>
      </c>
      <c r="BB260" s="20" t="n">
        <f aca="false">PR_BandM+MIN(MIN(AS260,AT260),PR_Uplift)</f>
        <v>63574.0509331611</v>
      </c>
      <c r="BC260" s="20" t="n">
        <f aca="false">MAX(0,PR_r1*MIN(AZ260,BB260)+PR_r2*MAX(0,AZ260-BB260)-BA260)</f>
        <v>0</v>
      </c>
      <c r="BD260" s="20" t="n">
        <f aca="false">MAX(0,PR_HomeCarer-MAX(0,MIN(AS260,AT260)-PR_HCLimit)/2)</f>
        <v>262.974533419435</v>
      </c>
      <c r="BE260" s="20" t="n">
        <f aca="false">IF(F_Carer=1,MIN(BC260,MAX(0,PR_r1*MIN(AZ260,PR_BandM)+PR_r2*MAX(0,AZ260-PR_BandM)-BA260-BD260)),BC260)</f>
        <v>0</v>
      </c>
      <c r="BF260" s="20" t="n">
        <f aca="false">IF(OR(C260&gt;=PR_AgeCrAge,AG260&gt;=PR_AgeCrAge),IF(AZ260&lt;=PR_AgeExM,0,MIN(BE260,PR_AgeMarg*(AZ260-PR_AgeExM))),BE260)</f>
        <v>0</v>
      </c>
      <c r="BG260" s="20" t="n">
        <f aca="false">MAX(0,PR_r1*MIN(AS260,IF(F_Spccc=1,PR_BandSPCCC,PR_Band))+PR_r2*MAX(0,AS260-IF(F_Spccc=1,PR_BandSPCCC,PR_Band))-(PR_Personal+AU260+AW260+IF(F_Spccc=1,PR_SPCCC,0)+IF(AY260=1,PR_Rent,0)))</f>
        <v>0</v>
      </c>
      <c r="BH260" s="20" t="n">
        <f aca="false">IF(C260&gt;=PR_AgeCrAge,IF(AS260&lt;=PR_AgeEx,0,MIN(BG260,PR_AgeMarg*(AS260-PR_AgeEx))),BG260)</f>
        <v>0</v>
      </c>
      <c r="BI260" s="20" t="n">
        <f aca="false">IF(F_Partner=1,MAX(0,PR_r1*MIN(AT260,PR_Band)+PR_r2*MAX(0,AT260-PR_Band)-(PR_Personal+AV260+AX260+IF(AND(AY260=1,AT260&gt;0),PR_Rent,0))),0)</f>
        <v>1670.4307762653</v>
      </c>
      <c r="BJ260" s="20" t="n">
        <f aca="false">IF(AG260&gt;=PR_AgeCrAge,IF(AT260&lt;=PR_AgeEx,0,MIN(BI260,PR_AgeMarg*(AT260-PR_AgeEx))),BI260)</f>
        <v>1670.4307762653</v>
      </c>
      <c r="BK260" s="20" t="n">
        <f aca="false">IF(F_Partner=1,IF(F_Married=1,BF260,BH260+BJ260),BH260)</f>
        <v>1670.4307762653</v>
      </c>
      <c r="BL260" s="20" t="n">
        <f aca="false">AL260+AN260+AO260</f>
        <v>10574.0509331611</v>
      </c>
      <c r="BM260" s="20"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20" t="n">
        <f aca="false">AQ260</f>
        <v>28352.1538813265</v>
      </c>
      <c r="BO260" s="20" t="n">
        <f aca="false">IF(F_Partner=1,IF(BN260&lt;=PR_USCex,0,IF(IF(AND(AG260&gt;=PR_USCredAge,BN260&lt;=PR_USCredMax),1,0)=1,PR_USCr1*MIN(BN260,PR_USCredB1)+PR_USCredR2*MAX(0,BN260-PR_USCredB1),PR_USCr1*MIN(BN260,PR_USCb1)+PR_USCr2*MAX(0,MIN(BN260,PR_USCb2)-PR_USCb1)+PR_USCr3*MAX(0,MIN(BN260,PR_USCb3)-PR_USCb2)+PR_USCr4*MAX(0,BN260-PR_USCb3))),0)</f>
        <v>386.86307762653</v>
      </c>
      <c r="BP260" s="20" t="n">
        <f aca="false">IF(C260&lt;PR_PRSIend,IF(F_SelfEmp=1,IF(AL260&gt;PR_PRSIsMinInc,MAX(PR_PRSIsMin,AL260*J260),0),IF(AL260/52&lt;=PR_PRSIfree,0,MAX(0,(AL260/52*J260-IF(AL260/52&lt;=PR_PRSIcreditTo,MAX(0,PR_PRSIcreditMax-(AL260/52-(PR_PRSIfree+0.01))/PR_PRSItaper),0))*52)))+J260*AN260+IF(AO260&gt;PR_PRSIunearned,J260*AO260,0),0)+IF(AND(PRSI_ARF_Applies=1,AN260&gt;0,C260&gt;=PR_PRSIend,C260&lt;PRSI_ARF_ToAge,NOT(AK260&gt;0)),J260*AN260,0)</f>
        <v>496.980393858573</v>
      </c>
      <c r="BQ260" s="20" t="n">
        <f aca="false">IF(AND(F_Partner=1,AG260&lt;PR_PRSIend),IF(AQ260/52&lt;=PR_PRSIfree,0,MAX(0,(AQ260/52*J260-IF(AQ260/52&lt;=PR_PRSIcreditTo,MAX(0,PR_PRSIcreditMax-(AQ260/52-(PR_PRSIfree+0.01))/PR_PRSItaper),0))*52)),0)</f>
        <v>1332.55123242235</v>
      </c>
      <c r="BR260" s="20" t="n">
        <f aca="false">BK260+BM260+BO260+BP260+BQ260</f>
        <v>3886.82548017275</v>
      </c>
      <c r="BS260" s="20" t="n">
        <f aca="false">BR260*H260</f>
        <v>6504.28416585386</v>
      </c>
      <c r="BT260" s="20" t="n">
        <f aca="false">K260+AK260+AC260+AF260+AH260+AI260</f>
        <v>65139.8162596185</v>
      </c>
    </row>
    <row r="261" customFormat="false" ht="15" hidden="false" customHeight="true" outlineLevel="0" collapsed="false">
      <c r="B261" s="20" t="n">
        <v>27</v>
      </c>
      <c r="C261" s="20" t="n">
        <f aca="false">F_Age+B261</f>
        <v>65</v>
      </c>
      <c r="D261" s="20" t="n">
        <f aca="false">AS_Year0+B261</f>
        <v>2053</v>
      </c>
      <c r="E261" s="50" t="n">
        <f aca="false">(1+AS_Infl)^B261</f>
        <v>1.70688647664111</v>
      </c>
      <c r="F261" s="50" t="n">
        <f aca="false">(1+AS_Wage)^B261</f>
        <v>2.22128900557016</v>
      </c>
      <c r="G261" s="20" t="n">
        <f aca="false">IF(C261&lt;F_R,1,0)</f>
        <v>0</v>
      </c>
      <c r="H261" s="50" t="n">
        <f aca="false">IF(AS_Bands="flat",1,E261)</f>
        <v>1.70688647664111</v>
      </c>
      <c r="I261" s="50" t="n">
        <f aca="false">IF(AS_SpGrow="pay",F261,IF(AS_SpGrow="flat",1,E261))</f>
        <v>1.70688647664111</v>
      </c>
      <c r="J261" s="50" t="n">
        <f aca="false">(12*PR_PRSIr0+(PR_PRSIr1-PR_PRSIr0)*MAX(0,MIN(12,D261*12+12-PR_PRSIt1))+(PR_PRSIr2-PR_PRSIr1)*MAX(0,MIN(12,D261*12+12-PR_PRSIt2))+(PR_PRSIr3-PR_PRSIr2)*MAX(0,MIN(12,D261*12+12-PR_PRSIt3)))/12</f>
        <v>0.047</v>
      </c>
      <c r="K261" s="20" t="n">
        <f aca="false">IF(G261=1,F_Income*F261,0)</f>
        <v>0</v>
      </c>
      <c r="L261" s="20" t="n">
        <f aca="false">IF(G261=1,(F_Own+In_penExtra)*12*F261,0)</f>
        <v>0</v>
      </c>
      <c r="M261" s="20" t="n">
        <f aca="false">IF(G261=1,(F_PenM+In_penExtra)*12*F261,0)</f>
        <v>0</v>
      </c>
      <c r="N261" s="51" t="n">
        <f aca="false">IF(C261&lt;PR_RelA1,PR_RelP1,IF(C261&lt;PR_RelA2,PR_RelP2,IF(C261&lt;PR_RelA3,PR_RelP3,IF(C261&lt;PR_RelA4,PR_RelP4,IF(C261&lt;PR_RelA5,PR_RelP5,PR_RelP6)))))</f>
        <v>0.4</v>
      </c>
      <c r="O261" s="20" t="n">
        <f aca="false">IF(G261=1,MIN(L261/H261,N261*MIN(K261/H261,PR_EarnCap))*H261,0)</f>
        <v>0</v>
      </c>
      <c r="P261" s="20" t="n">
        <f aca="false">IF(AND(G261=1,F_AE=1),MIN(K261/H261,PR_AEcap)*H261,0)</f>
        <v>0</v>
      </c>
      <c r="Q261" s="20" t="n">
        <f aca="false">IF(G261=1,IF(WI_Retire=1,MAX(0,M261+WI_M*12),M261)+(PR_AEee+PR_AEer+PR_AEst)*P261,0)</f>
        <v>0</v>
      </c>
      <c r="R261" s="20" t="n">
        <f aca="false">L261+PR_AEee*P261</f>
        <v>0</v>
      </c>
      <c r="S261" s="20" t="n">
        <f aca="false">AD260</f>
        <v>438052.676098176</v>
      </c>
      <c r="T261" s="20" t="n">
        <f aca="false">IF(D261&lt;=PR_SFTfrom,PR_SFT2026,IF(D261=PR_SFTfrom+1,PR_SFT2027,IF(D261=PR_SFTfrom+2,PR_SFT2028,IF(D261&lt;=PR_SFTto,PR_SFT2029,PR_SFT2029*(1+AS_Infl)^(D261-PR_SFTto)))))</f>
        <v>4503624.29853063</v>
      </c>
      <c r="U261" s="20" t="n">
        <f aca="false">IF(AND(G261=0,C261=F_V),1,0)</f>
        <v>0</v>
      </c>
      <c r="V261" s="20" t="n">
        <f aca="false">IF(U261=1,PR_SFTrate*MAX(0,S261-T261),0)</f>
        <v>0</v>
      </c>
      <c r="W261" s="20" t="n">
        <f aca="false">S261-V261</f>
        <v>438052.676098176</v>
      </c>
      <c r="X261" s="20" t="n">
        <f aca="false">IF(AND(U261=1,AS_LumpPct&gt;0),W261*MIN(AS_LumpPct,PR_LSmax),0)</f>
        <v>0</v>
      </c>
      <c r="Y261" s="20" t="n">
        <f aca="false">X261-(PR_LSrate*MAX(0,MIN(X261,PR_LScap)-PR_LSfree)+PR_r2*MAX(0,X261-PR_LScap))</f>
        <v>0</v>
      </c>
      <c r="Z261" s="20" t="n">
        <f aca="false">W261-X261</f>
        <v>438052.676098176</v>
      </c>
      <c r="AA261" s="51" t="n">
        <f aca="false">IF(C261&gt;=PR_ARFage1,IF(Z261&gt;PR_ARFbig,PR_ARFbigRate,IF(C261&gt;=PR_ARFage2,PR_ARF71,PR_ARF61)),0)</f>
        <v>0.04</v>
      </c>
      <c r="AB261" s="20" t="n">
        <f aca="false">IF(AS_DrawRule="min",Z261*AA261,IF(AS_DrawRule="fixed",MAX(AS_DrawFixed*E261,Z261*AA261),Z261*MAX(1/MAX(1,AS_End-C261+1),AA261)))</f>
        <v>17522.1070439271</v>
      </c>
      <c r="AC261" s="20" t="n">
        <f aca="false">IF(AND(G261=0,C261&gt;=F_V),MIN(Z261,AB261),0)</f>
        <v>17522.1070439271</v>
      </c>
      <c r="AD261" s="20" t="n">
        <f aca="false">IF(G261=1,S261*(1+F_PenG)+Q261,IF(C261&lt;F_V,S261*(1+F_PenG),(Z261-AC261)*(1+AS_PenRet)))</f>
        <v>433777.281979458</v>
      </c>
      <c r="AE261" s="20" t="n">
        <f aca="false">IF(C261&gt;=PR_SPage,AS_SP*F_SpF*I261+IF(AND(C261&gt;=PR_Over80Age,F_SpF&gt;0),PR_Over80*PR_Weeks*I261,0),0)</f>
        <v>0</v>
      </c>
      <c r="AF261" s="20" t="n">
        <f aca="false">(F_OtherM+F_RentM)*12*E261+IF(AND(In_polInc&gt;0,In_polIncAge&gt;0,C261&gt;=In_polIncAge),In_polInc,0)</f>
        <v>0</v>
      </c>
      <c r="AG261" s="20" t="n">
        <f aca="false">F_PAge+B261</f>
        <v>64</v>
      </c>
      <c r="AH261" s="20" t="n">
        <f aca="false">IF(AND(F_Partner=1,F_PAge&gt;0,AG261&lt;IF(F_PRet&gt;0,F_PRet,PR_SPage)),F_PIncome*F261,0)</f>
        <v>48868.3581225435</v>
      </c>
      <c r="AI261" s="20" t="n">
        <f aca="false">IF(AND(F_Partner=1,AG261&gt;=PR_SPage,F_PSpQA=0),AS_SP*F_PSpF*I261,0)</f>
        <v>0</v>
      </c>
      <c r="AJ261" s="20" t="n">
        <f aca="false">IF(AND(F_Partner=1,F_PSpQA=1,C261&gt;=PR_SPage,AH261=0),IF(AG261&gt;=PR_SPage,PR_QA66,PR_QAunder)*PR_Weeks*I261,0)</f>
        <v>0</v>
      </c>
      <c r="AK261" s="20" t="n">
        <f aca="false">AE261+AJ261</f>
        <v>0</v>
      </c>
      <c r="AL261" s="20" t="n">
        <f aca="false">K261/H261</f>
        <v>0</v>
      </c>
      <c r="AM261" s="20" t="n">
        <f aca="false">AK261/H261</f>
        <v>0</v>
      </c>
      <c r="AN261" s="20" t="n">
        <f aca="false">AC261/H261</f>
        <v>10265.5374471113</v>
      </c>
      <c r="AO261" s="20" t="n">
        <f aca="false">AF261/H261</f>
        <v>0</v>
      </c>
      <c r="AP261" s="20" t="n">
        <f aca="false">O261/H261</f>
        <v>0</v>
      </c>
      <c r="AQ261" s="20" t="n">
        <f aca="false">AH261/H261</f>
        <v>28630.1161742807</v>
      </c>
      <c r="AR261" s="20" t="n">
        <f aca="false">AI261/H261</f>
        <v>0</v>
      </c>
      <c r="AS261" s="20" t="n">
        <f aca="false">MAX(0,AL261+AN261+AO261+AM261-AP261)</f>
        <v>10265.5374471113</v>
      </c>
      <c r="AT261" s="20" t="n">
        <f aca="false">MAX(0,AQ261+AR261)</f>
        <v>28630.1161742807</v>
      </c>
      <c r="AU261" s="20" t="n">
        <f aca="false">MIN(PR_PAYE,PR_PAYEcap*(AL261+AN261+AM261))</f>
        <v>2000</v>
      </c>
      <c r="AV261" s="20" t="n">
        <f aca="false">MIN(PR_PAYE,PR_PAYEcap*(AQ261+AR261))</f>
        <v>2000</v>
      </c>
      <c r="AW261" s="20" t="n">
        <f aca="false">IF(C261&gt;=PR_AgeCrAge,PR_AgeCr,0)</f>
        <v>245</v>
      </c>
      <c r="AX261" s="20" t="n">
        <f aca="false">IF(AG261&gt;=PR_AgeCrAge,PR_AgeCr,0)</f>
        <v>0</v>
      </c>
      <c r="AY261" s="20" t="n">
        <f aca="false">IF(AND(F_RentCred=1,D261&lt;=PR_RentLast),1,0)</f>
        <v>0</v>
      </c>
      <c r="AZ261" s="20" t="n">
        <f aca="false">AS261+AT261</f>
        <v>38895.6536213919</v>
      </c>
      <c r="BA261" s="20" t="n">
        <f aca="false">PR_PersonalM+AU261+AV261+AW261+AX261+IF(AY261=1,PR_RentJoint,0)</f>
        <v>8245</v>
      </c>
      <c r="BB261" s="20" t="n">
        <f aca="false">PR_BandM+MIN(MIN(AS261,AT261),PR_Uplift)</f>
        <v>63265.5374471113</v>
      </c>
      <c r="BC261" s="20" t="n">
        <f aca="false">MAX(0,PR_r1*MIN(AZ261,BB261)+PR_r2*MAX(0,AZ261-BB261)-BA261)</f>
        <v>0</v>
      </c>
      <c r="BD261" s="20" t="n">
        <f aca="false">MAX(0,PR_HomeCarer-MAX(0,MIN(AS261,AT261)-PR_HCLimit)/2)</f>
        <v>417.231276444373</v>
      </c>
      <c r="BE261" s="20" t="n">
        <f aca="false">IF(F_Carer=1,MIN(BC261,MAX(0,PR_r1*MIN(AZ261,PR_BandM)+PR_r2*MAX(0,AZ261-PR_BandM)-BA261-BD261)),BC261)</f>
        <v>0</v>
      </c>
      <c r="BF261" s="20" t="n">
        <f aca="false">IF(OR(C261&gt;=PR_AgeCrAge,AG261&gt;=PR_AgeCrAge),IF(AZ261&lt;=PR_AgeExM,0,MIN(BE261,PR_AgeMarg*(AZ261-PR_AgeExM))),BE261)</f>
        <v>0</v>
      </c>
      <c r="BG261" s="20" t="n">
        <f aca="false">MAX(0,PR_r1*MIN(AS261,IF(F_Spccc=1,PR_BandSPCCC,PR_Band))+PR_r2*MAX(0,AS261-IF(F_Spccc=1,PR_BandSPCCC,PR_Band))-(PR_Personal+AU261+AW261+IF(F_Spccc=1,PR_SPCCC,0)+IF(AY261=1,PR_Rent,0)))</f>
        <v>0</v>
      </c>
      <c r="BH261" s="20" t="n">
        <f aca="false">IF(C261&gt;=PR_AgeCrAge,IF(AS261&lt;=PR_AgeEx,0,MIN(BG261,PR_AgeMarg*(AS261-PR_AgeEx))),BG261)</f>
        <v>0</v>
      </c>
      <c r="BI261" s="20" t="n">
        <f aca="false">IF(F_Partner=1,MAX(0,PR_r1*MIN(AT261,PR_Band)+PR_r2*MAX(0,AT261-PR_Band)-(PR_Personal+AV261+AX261+IF(AND(AY261=1,AT261&gt;0),PR_Rent,0))),0)</f>
        <v>1726.02323485614</v>
      </c>
      <c r="BJ261" s="20" t="n">
        <f aca="false">IF(AG261&gt;=PR_AgeCrAge,IF(AT261&lt;=PR_AgeEx,0,MIN(BI261,PR_AgeMarg*(AT261-PR_AgeEx))),BI261)</f>
        <v>1726.02323485614</v>
      </c>
      <c r="BK261" s="20" t="n">
        <f aca="false">IF(F_Partner=1,IF(F_Married=1,BF261,BH261+BJ261),BH261)</f>
        <v>1726.02323485614</v>
      </c>
      <c r="BL261" s="20" t="n">
        <f aca="false">AL261+AN261+AO261</f>
        <v>10265.5374471113</v>
      </c>
      <c r="BM261" s="20"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20" t="n">
        <f aca="false">AQ261</f>
        <v>28630.1161742807</v>
      </c>
      <c r="BO261" s="20" t="n">
        <f aca="false">IF(F_Partner=1,IF(BN261&lt;=PR_USCex,0,IF(IF(AND(AG261&gt;=PR_USCredAge,BN261&lt;=PR_USCredMax),1,0)=1,PR_USCr1*MIN(BN261,PR_USCredB1)+PR_USCredR2*MAX(0,BN261-PR_USCredB1),PR_USCr1*MIN(BN261,PR_USCb1)+PR_USCr2*MAX(0,MIN(BN261,PR_USCb2)-PR_USCb1)+PR_USCr3*MAX(0,MIN(BN261,PR_USCb3)-PR_USCb2)+PR_USCr4*MAX(0,BN261-PR_USCb3))),0)</f>
        <v>392.422323485614</v>
      </c>
      <c r="BP261" s="20" t="n">
        <f aca="false">IF(C261&lt;PR_PRSIend,IF(F_SelfEmp=1,IF(AL261&gt;PR_PRSIsMinInc,MAX(PR_PRSIsMin,AL261*J261),0),IF(AL261/52&lt;=PR_PRSIfree,0,MAX(0,(AL261/52*J261-IF(AL261/52&lt;=PR_PRSIcreditTo,MAX(0,PR_PRSIcreditMax-(AL261/52-(PR_PRSIfree+0.01))/PR_PRSItaper),0))*52)))+J261*AN261+IF(AO261&gt;PR_PRSIunearned,J261*AO261,0),0)+IF(AND(PRSI_ARF_Applies=1,AN261&gt;0,C261&gt;=PR_PRSIend,C261&lt;PRSI_ARF_ToAge,NOT(AK261&gt;0)),J261*AN261,0)</f>
        <v>482.480260014229</v>
      </c>
      <c r="BQ261" s="20" t="n">
        <f aca="false">IF(AND(F_Partner=1,AG261&lt;PR_PRSIend),IF(AQ261/52&lt;=PR_PRSIfree,0,MAX(0,(AQ261/52*J261-IF(AQ261/52&lt;=PR_PRSIcreditTo,MAX(0,PR_PRSIcreditMax-(AQ261/52-(PR_PRSIfree+0.01))/PR_PRSItaper),0))*52)),0)</f>
        <v>1345.61546019119</v>
      </c>
      <c r="BR261" s="20" t="n">
        <f aca="false">BK261+BM261+BO261+BP261+BQ261</f>
        <v>3946.54127854717</v>
      </c>
      <c r="BS261" s="20" t="n">
        <f aca="false">BR261*H261</f>
        <v>6736.29793785807</v>
      </c>
      <c r="BT261" s="20" t="n">
        <f aca="false">K261+AK261+AC261+AF261+AH261+AI261</f>
        <v>66390.4651664706</v>
      </c>
    </row>
    <row r="262" customFormat="false" ht="15" hidden="false" customHeight="true" outlineLevel="0" collapsed="false">
      <c r="B262" s="20" t="n">
        <v>28</v>
      </c>
      <c r="C262" s="20" t="n">
        <f aca="false">F_Age+B262</f>
        <v>66</v>
      </c>
      <c r="D262" s="20" t="n">
        <f aca="false">AS_Year0+B262</f>
        <v>2054</v>
      </c>
      <c r="E262" s="50" t="n">
        <f aca="false">(1+AS_Infl)^B262</f>
        <v>1.74102420617393</v>
      </c>
      <c r="F262" s="50" t="n">
        <f aca="false">(1+AS_Wage)^B262</f>
        <v>2.28792767573726</v>
      </c>
      <c r="G262" s="20" t="n">
        <f aca="false">IF(C262&lt;F_R,1,0)</f>
        <v>0</v>
      </c>
      <c r="H262" s="50" t="n">
        <f aca="false">IF(AS_Bands="flat",1,E262)</f>
        <v>1.74102420617393</v>
      </c>
      <c r="I262" s="50" t="n">
        <f aca="false">IF(AS_SpGrow="pay",F262,IF(AS_SpGrow="flat",1,E262))</f>
        <v>1.74102420617393</v>
      </c>
      <c r="J262" s="50" t="n">
        <f aca="false">(12*PR_PRSIr0+(PR_PRSIr1-PR_PRSIr0)*MAX(0,MIN(12,D262*12+12-PR_PRSIt1))+(PR_PRSIr2-PR_PRSIr1)*MAX(0,MIN(12,D262*12+12-PR_PRSIt2))+(PR_PRSIr3-PR_PRSIr2)*MAX(0,MIN(12,D262*12+12-PR_PRSIt3)))/12</f>
        <v>0.047</v>
      </c>
      <c r="K262" s="20" t="n">
        <f aca="false">IF(G262=1,F_Income*F262,0)</f>
        <v>0</v>
      </c>
      <c r="L262" s="20" t="n">
        <f aca="false">IF(G262=1,(F_Own+In_penExtra)*12*F262,0)</f>
        <v>0</v>
      </c>
      <c r="M262" s="20" t="n">
        <f aca="false">IF(G262=1,(F_PenM+In_penExtra)*12*F262,0)</f>
        <v>0</v>
      </c>
      <c r="N262" s="51" t="n">
        <f aca="false">IF(C262&lt;PR_RelA1,PR_RelP1,IF(C262&lt;PR_RelA2,PR_RelP2,IF(C262&lt;PR_RelA3,PR_RelP3,IF(C262&lt;PR_RelA4,PR_RelP4,IF(C262&lt;PR_RelA5,PR_RelP5,PR_RelP6)))))</f>
        <v>0.4</v>
      </c>
      <c r="O262" s="20" t="n">
        <f aca="false">IF(G262=1,MIN(L262/H262,N262*MIN(K262/H262,PR_EarnCap))*H262,0)</f>
        <v>0</v>
      </c>
      <c r="P262" s="20" t="n">
        <f aca="false">IF(AND(G262=1,F_AE=1),MIN(K262/H262,PR_AEcap)*H262,0)</f>
        <v>0</v>
      </c>
      <c r="Q262" s="20" t="n">
        <f aca="false">IF(G262=1,IF(WI_Retire=1,MAX(0,M262+WI_M*12),M262)+(PR_AEee+PR_AEer+PR_AEst)*P262,0)</f>
        <v>0</v>
      </c>
      <c r="R262" s="20" t="n">
        <f aca="false">L262+PR_AEee*P262</f>
        <v>0</v>
      </c>
      <c r="S262" s="20" t="n">
        <f aca="false">AD261</f>
        <v>433777.281979458</v>
      </c>
      <c r="T262" s="20" t="n">
        <f aca="false">IF(D262&lt;=PR_SFTfrom,PR_SFT2026,IF(D262=PR_SFTfrom+1,PR_SFT2027,IF(D262=PR_SFTfrom+2,PR_SFT2028,IF(D262&lt;=PR_SFTto,PR_SFT2029,PR_SFT2029*(1+AS_Infl)^(D262-PR_SFTto)))))</f>
        <v>4593696.78450125</v>
      </c>
      <c r="U262" s="20" t="n">
        <f aca="false">IF(AND(G262=0,C262=F_V),1,0)</f>
        <v>0</v>
      </c>
      <c r="V262" s="20" t="n">
        <f aca="false">IF(U262=1,PR_SFTrate*MAX(0,S262-T262),0)</f>
        <v>0</v>
      </c>
      <c r="W262" s="20" t="n">
        <f aca="false">S262-V262</f>
        <v>433777.281979458</v>
      </c>
      <c r="X262" s="20" t="n">
        <f aca="false">IF(AND(U262=1,AS_LumpPct&gt;0),W262*MIN(AS_LumpPct,PR_LSmax),0)</f>
        <v>0</v>
      </c>
      <c r="Y262" s="20" t="n">
        <f aca="false">X262-(PR_LSrate*MAX(0,MIN(X262,PR_LScap)-PR_LSfree)+PR_r2*MAX(0,X262-PR_LScap))</f>
        <v>0</v>
      </c>
      <c r="Z262" s="20" t="n">
        <f aca="false">W262-X262</f>
        <v>433777.281979458</v>
      </c>
      <c r="AA262" s="51" t="n">
        <f aca="false">IF(C262&gt;=PR_ARFage1,IF(Z262&gt;PR_ARFbig,PR_ARFbigRate,IF(C262&gt;=PR_ARFage2,PR_ARF71,PR_ARF61)),0)</f>
        <v>0.04</v>
      </c>
      <c r="AB262" s="20" t="n">
        <f aca="false">IF(AS_DrawRule="min",Z262*AA262,IF(AS_DrawRule="fixed",MAX(AS_DrawFixed*E262,Z262*AA262),Z262*MAX(1/MAX(1,AS_End-C262+1),AA262)))</f>
        <v>17351.0912791783</v>
      </c>
      <c r="AC262" s="20" t="n">
        <f aca="false">IF(AND(G262=0,C262&gt;=F_V),MIN(Z262,AB262),0)</f>
        <v>17351.0912791783</v>
      </c>
      <c r="AD262" s="20" t="n">
        <f aca="false">IF(G262=1,S262*(1+F_PenG)+Q262,IF(C262&lt;F_V,S262*(1+F_PenG),(Z262-AC262)*(1+AS_PenRet)))</f>
        <v>429543.615707339</v>
      </c>
      <c r="AE262" s="20" t="n">
        <f aca="false">IF(C262&gt;=PR_SPage,AS_SP*F_SpF*I262+IF(AND(C262&gt;=PR_Over80Age,F_SpF&gt;0),PR_Over80*PR_Weeks*I262,0),0)</f>
        <v>27096.6043352085</v>
      </c>
      <c r="AF262" s="20" t="n">
        <f aca="false">(F_OtherM+F_RentM)*12*E262+IF(AND(In_polInc&gt;0,In_polIncAge&gt;0,C262&gt;=In_polIncAge),In_polInc,0)</f>
        <v>0</v>
      </c>
      <c r="AG262" s="20" t="n">
        <f aca="false">F_PAge+B262</f>
        <v>65</v>
      </c>
      <c r="AH262" s="20" t="n">
        <f aca="false">IF(AND(F_Partner=1,F_PAge&gt;0,AG262&lt;IF(F_PRet&gt;0,F_PRet,PR_SPage)),F_PIncome*F262,0)</f>
        <v>50334.4088662198</v>
      </c>
      <c r="AI262" s="20" t="n">
        <f aca="false">IF(AND(F_Partner=1,AG262&gt;=PR_SPage,F_PSpQA=0),AS_SP*F_PSpF*I262,0)</f>
        <v>0</v>
      </c>
      <c r="AJ262" s="20" t="n">
        <f aca="false">IF(AND(F_Partner=1,F_PSpQA=1,C262&gt;=PR_SPage,AH262=0),IF(AG262&gt;=PR_SPage,PR_QA66,PR_QAunder)*PR_Weeks*I262,0)</f>
        <v>0</v>
      </c>
      <c r="AK262" s="20" t="n">
        <f aca="false">AE262+AJ262</f>
        <v>27096.6043352085</v>
      </c>
      <c r="AL262" s="20" t="n">
        <f aca="false">K262/H262</f>
        <v>0</v>
      </c>
      <c r="AM262" s="20" t="n">
        <f aca="false">AK262/H262</f>
        <v>15563.6</v>
      </c>
      <c r="AN262" s="20" t="n">
        <f aca="false">AC262/H262</f>
        <v>9966.02529571318</v>
      </c>
      <c r="AO262" s="20" t="n">
        <f aca="false">AF262/H262</f>
        <v>0</v>
      </c>
      <c r="AP262" s="20" t="n">
        <f aca="false">O262/H262</f>
        <v>0</v>
      </c>
      <c r="AQ262" s="20" t="n">
        <f aca="false">AH262/H262</f>
        <v>28910.803587754</v>
      </c>
      <c r="AR262" s="20" t="n">
        <f aca="false">AI262/H262</f>
        <v>0</v>
      </c>
      <c r="AS262" s="20" t="n">
        <f aca="false">MAX(0,AL262+AN262+AO262+AM262-AP262)</f>
        <v>25529.6252957132</v>
      </c>
      <c r="AT262" s="20" t="n">
        <f aca="false">MAX(0,AQ262+AR262)</f>
        <v>28910.803587754</v>
      </c>
      <c r="AU262" s="20" t="n">
        <f aca="false">MIN(PR_PAYE,PR_PAYEcap*(AL262+AN262+AM262))</f>
        <v>2000</v>
      </c>
      <c r="AV262" s="20" t="n">
        <f aca="false">MIN(PR_PAYE,PR_PAYEcap*(AQ262+AR262))</f>
        <v>2000</v>
      </c>
      <c r="AW262" s="20" t="n">
        <f aca="false">IF(C262&gt;=PR_AgeCrAge,PR_AgeCr,0)</f>
        <v>245</v>
      </c>
      <c r="AX262" s="20" t="n">
        <f aca="false">IF(AG262&gt;=PR_AgeCrAge,PR_AgeCr,0)</f>
        <v>245</v>
      </c>
      <c r="AY262" s="20" t="n">
        <f aca="false">IF(AND(F_RentCred=1,D262&lt;=PR_RentLast),1,0)</f>
        <v>0</v>
      </c>
      <c r="AZ262" s="20" t="n">
        <f aca="false">AS262+AT262</f>
        <v>54440.4288834672</v>
      </c>
      <c r="BA262" s="20" t="n">
        <f aca="false">PR_PersonalM+AU262+AV262+AW262+AX262+IF(AY262=1,PR_RentJoint,0)</f>
        <v>8490</v>
      </c>
      <c r="BB262" s="20" t="n">
        <f aca="false">PR_BandM+MIN(MIN(AS262,AT262),PR_Uplift)</f>
        <v>78529.6252957132</v>
      </c>
      <c r="BC262" s="20" t="n">
        <f aca="false">MAX(0,PR_r1*MIN(AZ262,BB262)+PR_r2*MAX(0,AZ262-BB262)-BA262)</f>
        <v>2398.08577669344</v>
      </c>
      <c r="BD262" s="20" t="n">
        <f aca="false">MAX(0,PR_HomeCarer-MAX(0,MIN(AS262,AT262)-PR_HCLimit)/2)</f>
        <v>0</v>
      </c>
      <c r="BE262" s="20" t="n">
        <f aca="false">IF(F_Carer=1,MIN(BC262,MAX(0,PR_r1*MIN(AZ262,PR_BandM)+PR_r2*MAX(0,AZ262-PR_BandM)-BA262-BD262)),BC262)</f>
        <v>2398.08577669344</v>
      </c>
      <c r="BF262" s="20" t="n">
        <f aca="false">IF(OR(C262&gt;=PR_AgeCrAge,AG262&gt;=PR_AgeCrAge),IF(AZ262&lt;=PR_AgeExM,0,MIN(BE262,PR_AgeMarg*(AZ262-PR_AgeExM))),BE262)</f>
        <v>2398.08577669344</v>
      </c>
      <c r="BG262" s="20" t="n">
        <f aca="false">MAX(0,PR_r1*MIN(AS262,IF(F_Spccc=1,PR_BandSPCCC,PR_Band))+PR_r2*MAX(0,AS262-IF(F_Spccc=1,PR_BandSPCCC,PR_Band))-(PR_Personal+AU262+AW262+IF(F_Spccc=1,PR_SPCCC,0)+IF(AY262=1,PR_Rent,0)))</f>
        <v>860.925059142637</v>
      </c>
      <c r="BH262" s="20" t="n">
        <f aca="false">IF(C262&gt;=PR_AgeCrAge,IF(AS262&lt;=PR_AgeEx,0,MIN(BG262,PR_AgeMarg*(AS262-PR_AgeEx))),BG262)</f>
        <v>860.925059142637</v>
      </c>
      <c r="BI262" s="20" t="n">
        <f aca="false">IF(F_Partner=1,MAX(0,PR_r1*MIN(AT262,PR_Band)+PR_r2*MAX(0,AT262-PR_Band)-(PR_Personal+AV262+AX262+IF(AND(AY262=1,AT262&gt;0),PR_Rent,0))),0)</f>
        <v>1537.1607175508</v>
      </c>
      <c r="BJ262" s="20" t="n">
        <f aca="false">IF(AG262&gt;=PR_AgeCrAge,IF(AT262&lt;=PR_AgeEx,0,MIN(BI262,PR_AgeMarg*(AT262-PR_AgeEx))),BI262)</f>
        <v>1537.1607175508</v>
      </c>
      <c r="BK262" s="20" t="n">
        <f aca="false">IF(F_Partner=1,IF(F_Married=1,BF262,BH262+BJ262),BH262)</f>
        <v>2398.08577669344</v>
      </c>
      <c r="BL262" s="20" t="n">
        <f aca="false">AL262+AN262+AO262</f>
        <v>9966.02529571318</v>
      </c>
      <c r="BM262" s="20"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20" t="n">
        <f aca="false">AQ262</f>
        <v>28910.803587754</v>
      </c>
      <c r="BO262" s="20" t="n">
        <f aca="false">IF(F_Partner=1,IF(BN262&lt;=PR_USCex,0,IF(IF(AND(AG262&gt;=PR_USCredAge,BN262&lt;=PR_USCredMax),1,0)=1,PR_USCr1*MIN(BN262,PR_USCredB1)+PR_USCredR2*MAX(0,BN262-PR_USCredB1),PR_USCr1*MIN(BN262,PR_USCb1)+PR_USCr2*MAX(0,MIN(BN262,PR_USCb2)-PR_USCb1)+PR_USCr3*MAX(0,MIN(BN262,PR_USCb3)-PR_USCb2)+PR_USCr4*MAX(0,BN262-PR_USCb3))),0)</f>
        <v>400.14410763262</v>
      </c>
      <c r="BP262" s="20" t="n">
        <f aca="false">IF(C262&lt;PR_PRSIend,IF(F_SelfEmp=1,IF(AL262&gt;PR_PRSIsMinInc,MAX(PR_PRSIsMin,AL262*J262),0),IF(AL262/52&lt;=PR_PRSIfree,0,MAX(0,(AL262/52*J262-IF(AL262/52&lt;=PR_PRSIcreditTo,MAX(0,PR_PRSIcreditMax-(AL262/52-(PR_PRSIfree+0.01))/PR_PRSItaper),0))*52)))+J262*AN262+IF(AO262&gt;PR_PRSIunearned,J262*AO262,0),0)+IF(AND(PRSI_ARF_Applies=1,AN262&gt;0,C262&gt;=PR_PRSIend,C262&lt;PRSI_ARF_ToAge,NOT(AK262&gt;0)),J262*AN262,0)</f>
        <v>0</v>
      </c>
      <c r="BQ262" s="20" t="n">
        <f aca="false">IF(AND(F_Partner=1,AG262&lt;PR_PRSIend),IF(AQ262/52&lt;=PR_PRSIfree,0,MAX(0,(AQ262/52*J262-IF(AQ262/52&lt;=PR_PRSIcreditTo,MAX(0,PR_PRSIcreditMax-(AQ262/52-(PR_PRSIfree+0.01))/PR_PRSItaper),0))*52)),0)</f>
        <v>1358.80776862444</v>
      </c>
      <c r="BR262" s="20" t="n">
        <f aca="false">BK262+BM262+BO262+BP262+BQ262</f>
        <v>4157.0376529505</v>
      </c>
      <c r="BS262" s="20" t="n">
        <f aca="false">BR262*H262</f>
        <v>7237.50317976327</v>
      </c>
      <c r="BT262" s="20" t="n">
        <f aca="false">K262+AK262+AC262+AF262+AH262+AI262</f>
        <v>94782.1044806067</v>
      </c>
    </row>
    <row r="263" customFormat="false" ht="15" hidden="false" customHeight="true" outlineLevel="0" collapsed="false">
      <c r="B263" s="20" t="n">
        <v>29</v>
      </c>
      <c r="C263" s="20" t="n">
        <f aca="false">F_Age+B263</f>
        <v>67</v>
      </c>
      <c r="D263" s="20" t="n">
        <f aca="false">AS_Year0+B263</f>
        <v>2055</v>
      </c>
      <c r="E263" s="50" t="n">
        <f aca="false">(1+AS_Infl)^B263</f>
        <v>1.77584469029741</v>
      </c>
      <c r="F263" s="50" t="n">
        <f aca="false">(1+AS_Wage)^B263</f>
        <v>2.35656550600938</v>
      </c>
      <c r="G263" s="20" t="n">
        <f aca="false">IF(C263&lt;F_R,1,0)</f>
        <v>0</v>
      </c>
      <c r="H263" s="50" t="n">
        <f aca="false">IF(AS_Bands="flat",1,E263)</f>
        <v>1.77584469029741</v>
      </c>
      <c r="I263" s="50" t="n">
        <f aca="false">IF(AS_SpGrow="pay",F263,IF(AS_SpGrow="flat",1,E263))</f>
        <v>1.77584469029741</v>
      </c>
      <c r="J263" s="50" t="n">
        <f aca="false">(12*PR_PRSIr0+(PR_PRSIr1-PR_PRSIr0)*MAX(0,MIN(12,D263*12+12-PR_PRSIt1))+(PR_PRSIr2-PR_PRSIr1)*MAX(0,MIN(12,D263*12+12-PR_PRSIt2))+(PR_PRSIr3-PR_PRSIr2)*MAX(0,MIN(12,D263*12+12-PR_PRSIt3)))/12</f>
        <v>0.047</v>
      </c>
      <c r="K263" s="20" t="n">
        <f aca="false">IF(G263=1,F_Income*F263,0)</f>
        <v>0</v>
      </c>
      <c r="L263" s="20" t="n">
        <f aca="false">IF(G263=1,(F_Own+In_penExtra)*12*F263,0)</f>
        <v>0</v>
      </c>
      <c r="M263" s="20" t="n">
        <f aca="false">IF(G263=1,(F_PenM+In_penExtra)*12*F263,0)</f>
        <v>0</v>
      </c>
      <c r="N263" s="51" t="n">
        <f aca="false">IF(C263&lt;PR_RelA1,PR_RelP1,IF(C263&lt;PR_RelA2,PR_RelP2,IF(C263&lt;PR_RelA3,PR_RelP3,IF(C263&lt;PR_RelA4,PR_RelP4,IF(C263&lt;PR_RelA5,PR_RelP5,PR_RelP6)))))</f>
        <v>0.4</v>
      </c>
      <c r="O263" s="20" t="n">
        <f aca="false">IF(G263=1,MIN(L263/H263,N263*MIN(K263/H263,PR_EarnCap))*H263,0)</f>
        <v>0</v>
      </c>
      <c r="P263" s="20" t="n">
        <f aca="false">IF(AND(G263=1,F_AE=1),MIN(K263/H263,PR_AEcap)*H263,0)</f>
        <v>0</v>
      </c>
      <c r="Q263" s="20" t="n">
        <f aca="false">IF(G263=1,IF(WI_Retire=1,MAX(0,M263+WI_M*12),M263)+(PR_AEee+PR_AEer+PR_AEst)*P263,0)</f>
        <v>0</v>
      </c>
      <c r="R263" s="20" t="n">
        <f aca="false">L263+PR_AEee*P263</f>
        <v>0</v>
      </c>
      <c r="S263" s="20" t="n">
        <f aca="false">AD262</f>
        <v>429543.615707339</v>
      </c>
      <c r="T263" s="20" t="n">
        <f aca="false">IF(D263&lt;=PR_SFTfrom,PR_SFT2026,IF(D263=PR_SFTfrom+1,PR_SFT2027,IF(D263=PR_SFTfrom+2,PR_SFT2028,IF(D263&lt;=PR_SFTto,PR_SFT2029,PR_SFT2029*(1+AS_Infl)^(D263-PR_SFTto)))))</f>
        <v>4685570.72019127</v>
      </c>
      <c r="U263" s="20" t="n">
        <f aca="false">IF(AND(G263=0,C263=F_V),1,0)</f>
        <v>0</v>
      </c>
      <c r="V263" s="20" t="n">
        <f aca="false">IF(U263=1,PR_SFTrate*MAX(0,S263-T263),0)</f>
        <v>0</v>
      </c>
      <c r="W263" s="20" t="n">
        <f aca="false">S263-V263</f>
        <v>429543.615707339</v>
      </c>
      <c r="X263" s="20" t="n">
        <f aca="false">IF(AND(U263=1,AS_LumpPct&gt;0),W263*MIN(AS_LumpPct,PR_LSmax),0)</f>
        <v>0</v>
      </c>
      <c r="Y263" s="20" t="n">
        <f aca="false">X263-(PR_LSrate*MAX(0,MIN(X263,PR_LScap)-PR_LSfree)+PR_r2*MAX(0,X263-PR_LScap))</f>
        <v>0</v>
      </c>
      <c r="Z263" s="20" t="n">
        <f aca="false">W263-X263</f>
        <v>429543.615707339</v>
      </c>
      <c r="AA263" s="51" t="n">
        <f aca="false">IF(C263&gt;=PR_ARFage1,IF(Z263&gt;PR_ARFbig,PR_ARFbigRate,IF(C263&gt;=PR_ARFage2,PR_ARF71,PR_ARF61)),0)</f>
        <v>0.04</v>
      </c>
      <c r="AB263" s="20" t="n">
        <f aca="false">IF(AS_DrawRule="min",Z263*AA263,IF(AS_DrawRule="fixed",MAX(AS_DrawFixed*E263,Z263*AA263),Z263*MAX(1/MAX(1,AS_End-C263+1),AA263)))</f>
        <v>17181.7446282936</v>
      </c>
      <c r="AC263" s="20" t="n">
        <f aca="false">IF(AND(G263=0,C263&gt;=F_V),MIN(Z263,AB263),0)</f>
        <v>17181.7446282936</v>
      </c>
      <c r="AD263" s="20" t="n">
        <f aca="false">IF(G263=1,S263*(1+F_PenG)+Q263,IF(C263&lt;F_V,S263*(1+F_PenG),(Z263-AC263)*(1+AS_PenRet)))</f>
        <v>425351.270018035</v>
      </c>
      <c r="AE263" s="20" t="n">
        <f aca="false">IF(C263&gt;=PR_SPage,AS_SP*F_SpF*I263+IF(AND(C263&gt;=PR_Over80Age,F_SpF&gt;0),PR_Over80*PR_Weeks*I263,0),0)</f>
        <v>27638.5364219127</v>
      </c>
      <c r="AF263" s="20" t="n">
        <f aca="false">(F_OtherM+F_RentM)*12*E263+IF(AND(In_polInc&gt;0,In_polIncAge&gt;0,C263&gt;=In_polIncAge),In_polInc,0)</f>
        <v>0</v>
      </c>
      <c r="AG263" s="20" t="n">
        <f aca="false">F_PAge+B263</f>
        <v>66</v>
      </c>
      <c r="AH263" s="20" t="n">
        <f aca="false">IF(AND(F_Partner=1,F_PAge&gt;0,AG263&lt;IF(F_PRet&gt;0,F_PRet,PR_SPage)),F_PIncome*F263,0)</f>
        <v>0</v>
      </c>
      <c r="AI263" s="20" t="n">
        <f aca="false">IF(AND(F_Partner=1,AG263&gt;=PR_SPage,F_PSpQA=0),AS_SP*F_PSpF*I263,0)</f>
        <v>22110.8291375302</v>
      </c>
      <c r="AJ263" s="20" t="n">
        <f aca="false">IF(AND(F_Partner=1,F_PSpQA=1,C263&gt;=PR_SPage,AH263=0),IF(AG263&gt;=PR_SPage,PR_QA66,PR_QAunder)*PR_Weeks*I263,0)</f>
        <v>0</v>
      </c>
      <c r="AK263" s="20" t="n">
        <f aca="false">AE263+AJ263</f>
        <v>27638.5364219127</v>
      </c>
      <c r="AL263" s="20" t="n">
        <f aca="false">K263/H263</f>
        <v>0</v>
      </c>
      <c r="AM263" s="20" t="n">
        <f aca="false">AK263/H263</f>
        <v>15563.6</v>
      </c>
      <c r="AN263" s="20" t="n">
        <f aca="false">AC263/H263</f>
        <v>9675.2518517912</v>
      </c>
      <c r="AO263" s="20" t="n">
        <f aca="false">AF263/H263</f>
        <v>0</v>
      </c>
      <c r="AP263" s="20" t="n">
        <f aca="false">O263/H263</f>
        <v>0</v>
      </c>
      <c r="AQ263" s="20" t="n">
        <f aca="false">AH263/H263</f>
        <v>0</v>
      </c>
      <c r="AR263" s="20" t="n">
        <f aca="false">AI263/H263</f>
        <v>12450.88</v>
      </c>
      <c r="AS263" s="20" t="n">
        <f aca="false">MAX(0,AL263+AN263+AO263+AM263-AP263)</f>
        <v>25238.8518517912</v>
      </c>
      <c r="AT263" s="20" t="n">
        <f aca="false">MAX(0,AQ263+AR263)</f>
        <v>12450.88</v>
      </c>
      <c r="AU263" s="20" t="n">
        <f aca="false">MIN(PR_PAYE,PR_PAYEcap*(AL263+AN263+AM263))</f>
        <v>2000</v>
      </c>
      <c r="AV263" s="20" t="n">
        <f aca="false">MIN(PR_PAYE,PR_PAYEcap*(AQ263+AR263))</f>
        <v>2000</v>
      </c>
      <c r="AW263" s="20" t="n">
        <f aca="false">IF(C263&gt;=PR_AgeCrAge,PR_AgeCr,0)</f>
        <v>245</v>
      </c>
      <c r="AX263" s="20" t="n">
        <f aca="false">IF(AG263&gt;=PR_AgeCrAge,PR_AgeCr,0)</f>
        <v>245</v>
      </c>
      <c r="AY263" s="20" t="n">
        <f aca="false">IF(AND(F_RentCred=1,D263&lt;=PR_RentLast),1,0)</f>
        <v>0</v>
      </c>
      <c r="AZ263" s="20" t="n">
        <f aca="false">AS263+AT263</f>
        <v>37689.7318517912</v>
      </c>
      <c r="BA263" s="20" t="n">
        <f aca="false">PR_PersonalM+AU263+AV263+AW263+AX263+IF(AY263=1,PR_RentJoint,0)</f>
        <v>8490</v>
      </c>
      <c r="BB263" s="20" t="n">
        <f aca="false">PR_BandM+MIN(MIN(AS263,AT263),PR_Uplift)</f>
        <v>65450.88</v>
      </c>
      <c r="BC263" s="20" t="n">
        <f aca="false">MAX(0,PR_r1*MIN(AZ263,BB263)+PR_r2*MAX(0,AZ263-BB263)-BA263)</f>
        <v>0</v>
      </c>
      <c r="BD263" s="20" t="n">
        <f aca="false">MAX(0,PR_HomeCarer-MAX(0,MIN(AS263,AT263)-PR_HCLimit)/2)</f>
        <v>0</v>
      </c>
      <c r="BE263" s="20" t="n">
        <f aca="false">IF(F_Carer=1,MIN(BC263,MAX(0,PR_r1*MIN(AZ263,PR_BandM)+PR_r2*MAX(0,AZ263-PR_BandM)-BA263-BD263)),BC263)</f>
        <v>0</v>
      </c>
      <c r="BF263" s="20" t="n">
        <f aca="false">IF(OR(C263&gt;=PR_AgeCrAge,AG263&gt;=PR_AgeCrAge),IF(AZ263&lt;=PR_AgeExM,0,MIN(BE263,PR_AgeMarg*(AZ263-PR_AgeExM))),BE263)</f>
        <v>0</v>
      </c>
      <c r="BG263" s="20" t="n">
        <f aca="false">MAX(0,PR_r1*MIN(AS263,IF(F_Spccc=1,PR_BandSPCCC,PR_Band))+PR_r2*MAX(0,AS263-IF(F_Spccc=1,PR_BandSPCCC,PR_Band))-(PR_Personal+AU263+AW263+IF(F_Spccc=1,PR_SPCCC,0)+IF(AY263=1,PR_Rent,0)))</f>
        <v>802.770370358241</v>
      </c>
      <c r="BH263" s="20" t="n">
        <f aca="false">IF(C263&gt;=PR_AgeCrAge,IF(AS263&lt;=PR_AgeEx,0,MIN(BG263,PR_AgeMarg*(AS263-PR_AgeEx))),BG263)</f>
        <v>802.770370358241</v>
      </c>
      <c r="BI263" s="20" t="n">
        <f aca="false">IF(F_Partner=1,MAX(0,PR_r1*MIN(AT263,PR_Band)+PR_r2*MAX(0,AT263-PR_Band)-(PR_Personal+AV263+AX263+IF(AND(AY263=1,AT263&gt;0),PR_Rent,0))),0)</f>
        <v>0</v>
      </c>
      <c r="BJ263" s="20" t="n">
        <f aca="false">IF(AG263&gt;=PR_AgeCrAge,IF(AT263&lt;=PR_AgeEx,0,MIN(BI263,PR_AgeMarg*(AT263-PR_AgeEx))),BI263)</f>
        <v>0</v>
      </c>
      <c r="BK263" s="20" t="n">
        <f aca="false">IF(F_Partner=1,IF(F_Married=1,BF263,BH263+BJ263),BH263)</f>
        <v>802.770370358241</v>
      </c>
      <c r="BL263" s="20" t="n">
        <f aca="false">AL263+AN263+AO263</f>
        <v>9675.2518517912</v>
      </c>
      <c r="BM263" s="20"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20" t="n">
        <f aca="false">AQ263</f>
        <v>0</v>
      </c>
      <c r="BO263" s="20"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20" t="n">
        <f aca="false">IF(C263&lt;PR_PRSIend,IF(F_SelfEmp=1,IF(AL263&gt;PR_PRSIsMinInc,MAX(PR_PRSIsMin,AL263*J263),0),IF(AL263/52&lt;=PR_PRSIfree,0,MAX(0,(AL263/52*J263-IF(AL263/52&lt;=PR_PRSIcreditTo,MAX(0,PR_PRSIcreditMax-(AL263/52-(PR_PRSIfree+0.01))/PR_PRSItaper),0))*52)))+J263*AN263+IF(AO263&gt;PR_PRSIunearned,J263*AO263,0),0)+IF(AND(PRSI_ARF_Applies=1,AN263&gt;0,C263&gt;=PR_PRSIend,C263&lt;PRSI_ARF_ToAge,NOT(AK263&gt;0)),J263*AN263,0)</f>
        <v>0</v>
      </c>
      <c r="BQ263" s="20" t="n">
        <f aca="false">IF(AND(F_Partner=1,AG263&lt;PR_PRSIend),IF(AQ263/52&lt;=PR_PRSIfree,0,MAX(0,(AQ263/52*J263-IF(AQ263/52&lt;=PR_PRSIcreditTo,MAX(0,PR_PRSIcreditMax-(AQ263/52-(PR_PRSIfree+0.01))/PR_PRSItaper),0))*52)),0)</f>
        <v>0</v>
      </c>
      <c r="BR263" s="20" t="n">
        <f aca="false">BK263+BM263+BO263+BP263+BQ263</f>
        <v>802.770370358241</v>
      </c>
      <c r="BS263" s="20" t="n">
        <f aca="false">BR263*H263</f>
        <v>1425.59549972877</v>
      </c>
      <c r="BT263" s="20" t="n">
        <f aca="false">K263+AK263+AC263+AF263+AH263+AI263</f>
        <v>66931.1101877364</v>
      </c>
    </row>
    <row r="264" customFormat="false" ht="15" hidden="false" customHeight="true" outlineLevel="0" collapsed="false">
      <c r="B264" s="20" t="n">
        <v>30</v>
      </c>
      <c r="C264" s="20" t="n">
        <f aca="false">F_Age+B264</f>
        <v>68</v>
      </c>
      <c r="D264" s="20" t="n">
        <f aca="false">AS_Year0+B264</f>
        <v>2056</v>
      </c>
      <c r="E264" s="50" t="n">
        <f aca="false">(1+AS_Infl)^B264</f>
        <v>1.81136158410335</v>
      </c>
      <c r="F264" s="50" t="n">
        <f aca="false">(1+AS_Wage)^B264</f>
        <v>2.42726247118966</v>
      </c>
      <c r="G264" s="20" t="n">
        <f aca="false">IF(C264&lt;F_R,1,0)</f>
        <v>0</v>
      </c>
      <c r="H264" s="50" t="n">
        <f aca="false">IF(AS_Bands="flat",1,E264)</f>
        <v>1.81136158410335</v>
      </c>
      <c r="I264" s="50" t="n">
        <f aca="false">IF(AS_SpGrow="pay",F264,IF(AS_SpGrow="flat",1,E264))</f>
        <v>1.81136158410335</v>
      </c>
      <c r="J264" s="50" t="n">
        <f aca="false">(12*PR_PRSIr0+(PR_PRSIr1-PR_PRSIr0)*MAX(0,MIN(12,D264*12+12-PR_PRSIt1))+(PR_PRSIr2-PR_PRSIr1)*MAX(0,MIN(12,D264*12+12-PR_PRSIt2))+(PR_PRSIr3-PR_PRSIr2)*MAX(0,MIN(12,D264*12+12-PR_PRSIt3)))/12</f>
        <v>0.047</v>
      </c>
      <c r="K264" s="20" t="n">
        <f aca="false">IF(G264=1,F_Income*F264,0)</f>
        <v>0</v>
      </c>
      <c r="L264" s="20" t="n">
        <f aca="false">IF(G264=1,(F_Own+In_penExtra)*12*F264,0)</f>
        <v>0</v>
      </c>
      <c r="M264" s="20" t="n">
        <f aca="false">IF(G264=1,(F_PenM+In_penExtra)*12*F264,0)</f>
        <v>0</v>
      </c>
      <c r="N264" s="51" t="n">
        <f aca="false">IF(C264&lt;PR_RelA1,PR_RelP1,IF(C264&lt;PR_RelA2,PR_RelP2,IF(C264&lt;PR_RelA3,PR_RelP3,IF(C264&lt;PR_RelA4,PR_RelP4,IF(C264&lt;PR_RelA5,PR_RelP5,PR_RelP6)))))</f>
        <v>0.4</v>
      </c>
      <c r="O264" s="20" t="n">
        <f aca="false">IF(G264=1,MIN(L264/H264,N264*MIN(K264/H264,PR_EarnCap))*H264,0)</f>
        <v>0</v>
      </c>
      <c r="P264" s="20" t="n">
        <f aca="false">IF(AND(G264=1,F_AE=1),MIN(K264/H264,PR_AEcap)*H264,0)</f>
        <v>0</v>
      </c>
      <c r="Q264" s="20" t="n">
        <f aca="false">IF(G264=1,IF(WI_Retire=1,MAX(0,M264+WI_M*12),M264)+(PR_AEee+PR_AEer+PR_AEst)*P264,0)</f>
        <v>0</v>
      </c>
      <c r="R264" s="20" t="n">
        <f aca="false">L264+PR_AEee*P264</f>
        <v>0</v>
      </c>
      <c r="S264" s="20" t="n">
        <f aca="false">AD263</f>
        <v>425351.270018035</v>
      </c>
      <c r="T264" s="20" t="n">
        <f aca="false">IF(D264&lt;=PR_SFTfrom,PR_SFT2026,IF(D264=PR_SFTfrom+1,PR_SFT2027,IF(D264=PR_SFTfrom+2,PR_SFT2028,IF(D264&lt;=PR_SFTto,PR_SFT2029,PR_SFT2029*(1+AS_Infl)^(D264-PR_SFTto)))))</f>
        <v>4779282.1345951</v>
      </c>
      <c r="U264" s="20" t="n">
        <f aca="false">IF(AND(G264=0,C264=F_V),1,0)</f>
        <v>0</v>
      </c>
      <c r="V264" s="20" t="n">
        <f aca="false">IF(U264=1,PR_SFTrate*MAX(0,S264-T264),0)</f>
        <v>0</v>
      </c>
      <c r="W264" s="20" t="n">
        <f aca="false">S264-V264</f>
        <v>425351.270018035</v>
      </c>
      <c r="X264" s="20" t="n">
        <f aca="false">IF(AND(U264=1,AS_LumpPct&gt;0),W264*MIN(AS_LumpPct,PR_LSmax),0)</f>
        <v>0</v>
      </c>
      <c r="Y264" s="20" t="n">
        <f aca="false">X264-(PR_LSrate*MAX(0,MIN(X264,PR_LScap)-PR_LSfree)+PR_r2*MAX(0,X264-PR_LScap))</f>
        <v>0</v>
      </c>
      <c r="Z264" s="20" t="n">
        <f aca="false">W264-X264</f>
        <v>425351.270018035</v>
      </c>
      <c r="AA264" s="51" t="n">
        <f aca="false">IF(C264&gt;=PR_ARFage1,IF(Z264&gt;PR_ARFbig,PR_ARFbigRate,IF(C264&gt;=PR_ARFage2,PR_ARF71,PR_ARF61)),0)</f>
        <v>0.04</v>
      </c>
      <c r="AB264" s="20" t="n">
        <f aca="false">IF(AS_DrawRule="min",Z264*AA264,IF(AS_DrawRule="fixed",MAX(AS_DrawFixed*E264,Z264*AA264),Z264*MAX(1/MAX(1,AS_End-C264+1),AA264)))</f>
        <v>17014.0508007214</v>
      </c>
      <c r="AC264" s="20" t="n">
        <f aca="false">IF(AND(G264=0,C264&gt;=F_V),MIN(Z264,AB264),0)</f>
        <v>17014.0508007214</v>
      </c>
      <c r="AD264" s="20" t="n">
        <f aca="false">IF(G264=1,S264*(1+F_PenG)+Q264,IF(C264&lt;F_V,S264*(1+F_PenG),(Z264-AC264)*(1+AS_PenRet)))</f>
        <v>421199.841622659</v>
      </c>
      <c r="AE264" s="20" t="n">
        <f aca="false">IF(C264&gt;=PR_SPage,AS_SP*F_SpF*I264+IF(AND(C264&gt;=PR_Over80Age,F_SpF&gt;0),PR_Over80*PR_Weeks*I264,0),0)</f>
        <v>28191.307150351</v>
      </c>
      <c r="AF264" s="20" t="n">
        <f aca="false">(F_OtherM+F_RentM)*12*E264+IF(AND(In_polInc&gt;0,In_polIncAge&gt;0,C264&gt;=In_polIncAge),In_polInc,0)</f>
        <v>0</v>
      </c>
      <c r="AG264" s="20" t="n">
        <f aca="false">F_PAge+B264</f>
        <v>67</v>
      </c>
      <c r="AH264" s="20" t="n">
        <f aca="false">IF(AND(F_Partner=1,F_PAge&gt;0,AG264&lt;IF(F_PRet&gt;0,F_PRet,PR_SPage)),F_PIncome*F264,0)</f>
        <v>0</v>
      </c>
      <c r="AI264" s="20" t="n">
        <f aca="false">IF(AND(F_Partner=1,AG264&gt;=PR_SPage,F_PSpQA=0),AS_SP*F_PSpF*I264,0)</f>
        <v>22553.0457202808</v>
      </c>
      <c r="AJ264" s="20" t="n">
        <f aca="false">IF(AND(F_Partner=1,F_PSpQA=1,C264&gt;=PR_SPage,AH264=0),IF(AG264&gt;=PR_SPage,PR_QA66,PR_QAunder)*PR_Weeks*I264,0)</f>
        <v>0</v>
      </c>
      <c r="AK264" s="20" t="n">
        <f aca="false">AE264+AJ264</f>
        <v>28191.307150351</v>
      </c>
      <c r="AL264" s="20" t="n">
        <f aca="false">K264/H264</f>
        <v>0</v>
      </c>
      <c r="AM264" s="20" t="n">
        <f aca="false">AK264/H264</f>
        <v>15563.6</v>
      </c>
      <c r="AN264" s="20" t="n">
        <f aca="false">AC264/H264</f>
        <v>9392.96215070365</v>
      </c>
      <c r="AO264" s="20" t="n">
        <f aca="false">AF264/H264</f>
        <v>0</v>
      </c>
      <c r="AP264" s="20" t="n">
        <f aca="false">O264/H264</f>
        <v>0</v>
      </c>
      <c r="AQ264" s="20" t="n">
        <f aca="false">AH264/H264</f>
        <v>0</v>
      </c>
      <c r="AR264" s="20" t="n">
        <f aca="false">AI264/H264</f>
        <v>12450.88</v>
      </c>
      <c r="AS264" s="20" t="n">
        <f aca="false">MAX(0,AL264+AN264+AO264+AM264-AP264)</f>
        <v>24956.5621507036</v>
      </c>
      <c r="AT264" s="20" t="n">
        <f aca="false">MAX(0,AQ264+AR264)</f>
        <v>12450.88</v>
      </c>
      <c r="AU264" s="20" t="n">
        <f aca="false">MIN(PR_PAYE,PR_PAYEcap*(AL264+AN264+AM264))</f>
        <v>2000</v>
      </c>
      <c r="AV264" s="20" t="n">
        <f aca="false">MIN(PR_PAYE,PR_PAYEcap*(AQ264+AR264))</f>
        <v>2000</v>
      </c>
      <c r="AW264" s="20" t="n">
        <f aca="false">IF(C264&gt;=PR_AgeCrAge,PR_AgeCr,0)</f>
        <v>245</v>
      </c>
      <c r="AX264" s="20" t="n">
        <f aca="false">IF(AG264&gt;=PR_AgeCrAge,PR_AgeCr,0)</f>
        <v>245</v>
      </c>
      <c r="AY264" s="20" t="n">
        <f aca="false">IF(AND(F_RentCred=1,D264&lt;=PR_RentLast),1,0)</f>
        <v>0</v>
      </c>
      <c r="AZ264" s="20" t="n">
        <f aca="false">AS264+AT264</f>
        <v>37407.4421507036</v>
      </c>
      <c r="BA264" s="20" t="n">
        <f aca="false">PR_PersonalM+AU264+AV264+AW264+AX264+IF(AY264=1,PR_RentJoint,0)</f>
        <v>8490</v>
      </c>
      <c r="BB264" s="20" t="n">
        <f aca="false">PR_BandM+MIN(MIN(AS264,AT264),PR_Uplift)</f>
        <v>65450.88</v>
      </c>
      <c r="BC264" s="20" t="n">
        <f aca="false">MAX(0,PR_r1*MIN(AZ264,BB264)+PR_r2*MAX(0,AZ264-BB264)-BA264)</f>
        <v>0</v>
      </c>
      <c r="BD264" s="20" t="n">
        <f aca="false">MAX(0,PR_HomeCarer-MAX(0,MIN(AS264,AT264)-PR_HCLimit)/2)</f>
        <v>0</v>
      </c>
      <c r="BE264" s="20" t="n">
        <f aca="false">IF(F_Carer=1,MIN(BC264,MAX(0,PR_r1*MIN(AZ264,PR_BandM)+PR_r2*MAX(0,AZ264-PR_BandM)-BA264-BD264)),BC264)</f>
        <v>0</v>
      </c>
      <c r="BF264" s="20" t="n">
        <f aca="false">IF(OR(C264&gt;=PR_AgeCrAge,AG264&gt;=PR_AgeCrAge),IF(AZ264&lt;=PR_AgeExM,0,MIN(BE264,PR_AgeMarg*(AZ264-PR_AgeExM))),BE264)</f>
        <v>0</v>
      </c>
      <c r="BG264" s="20" t="n">
        <f aca="false">MAX(0,PR_r1*MIN(AS264,IF(F_Spccc=1,PR_BandSPCCC,PR_Band))+PR_r2*MAX(0,AS264-IF(F_Spccc=1,PR_BandSPCCC,PR_Band))-(PR_Personal+AU264+AW264+IF(F_Spccc=1,PR_SPCCC,0)+IF(AY264=1,PR_Rent,0)))</f>
        <v>746.31243014073</v>
      </c>
      <c r="BH264" s="20" t="n">
        <f aca="false">IF(C264&gt;=PR_AgeCrAge,IF(AS264&lt;=PR_AgeEx,0,MIN(BG264,PR_AgeMarg*(AS264-PR_AgeEx))),BG264)</f>
        <v>746.31243014073</v>
      </c>
      <c r="BI264" s="20" t="n">
        <f aca="false">IF(F_Partner=1,MAX(0,PR_r1*MIN(AT264,PR_Band)+PR_r2*MAX(0,AT264-PR_Band)-(PR_Personal+AV264+AX264+IF(AND(AY264=1,AT264&gt;0),PR_Rent,0))),0)</f>
        <v>0</v>
      </c>
      <c r="BJ264" s="20" t="n">
        <f aca="false">IF(AG264&gt;=PR_AgeCrAge,IF(AT264&lt;=PR_AgeEx,0,MIN(BI264,PR_AgeMarg*(AT264-PR_AgeEx))),BI264)</f>
        <v>0</v>
      </c>
      <c r="BK264" s="20" t="n">
        <f aca="false">IF(F_Partner=1,IF(F_Married=1,BF264,BH264+BJ264),BH264)</f>
        <v>746.31243014073</v>
      </c>
      <c r="BL264" s="20" t="n">
        <f aca="false">AL264+AN264+AO264</f>
        <v>9392.96215070365</v>
      </c>
      <c r="BM264" s="20"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20" t="n">
        <f aca="false">AQ264</f>
        <v>0</v>
      </c>
      <c r="BO264" s="20"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20" t="n">
        <f aca="false">IF(C264&lt;PR_PRSIend,IF(F_SelfEmp=1,IF(AL264&gt;PR_PRSIsMinInc,MAX(PR_PRSIsMin,AL264*J264),0),IF(AL264/52&lt;=PR_PRSIfree,0,MAX(0,(AL264/52*J264-IF(AL264/52&lt;=PR_PRSIcreditTo,MAX(0,PR_PRSIcreditMax-(AL264/52-(PR_PRSIfree+0.01))/PR_PRSItaper),0))*52)))+J264*AN264+IF(AO264&gt;PR_PRSIunearned,J264*AO264,0),0)+IF(AND(PRSI_ARF_Applies=1,AN264&gt;0,C264&gt;=PR_PRSIend,C264&lt;PRSI_ARF_ToAge,NOT(AK264&gt;0)),J264*AN264,0)</f>
        <v>0</v>
      </c>
      <c r="BQ264" s="20" t="n">
        <f aca="false">IF(AND(F_Partner=1,AG264&lt;PR_PRSIend),IF(AQ264/52&lt;=PR_PRSIfree,0,MAX(0,(AQ264/52*J264-IF(AQ264/52&lt;=PR_PRSIcreditTo,MAX(0,PR_PRSIcreditMax-(AQ264/52-(PR_PRSIfree+0.01))/PR_PRSItaper),0))*52)),0)</f>
        <v>0</v>
      </c>
      <c r="BR264" s="20" t="n">
        <f aca="false">BK264+BM264+BO264+BP264+BQ264</f>
        <v>746.31243014073</v>
      </c>
      <c r="BS264" s="20" t="n">
        <f aca="false">BR264*H264</f>
        <v>1351.84166569574</v>
      </c>
      <c r="BT264" s="20" t="n">
        <f aca="false">K264+AK264+AC264+AF264+AH264+AI264</f>
        <v>67758.4036713532</v>
      </c>
    </row>
    <row r="265" customFormat="false" ht="15" hidden="false" customHeight="true" outlineLevel="0" collapsed="false">
      <c r="B265" s="20" t="n">
        <v>31</v>
      </c>
      <c r="C265" s="20" t="n">
        <f aca="false">F_Age+B265</f>
        <v>69</v>
      </c>
      <c r="D265" s="20" t="n">
        <f aca="false">AS_Year0+B265</f>
        <v>2057</v>
      </c>
      <c r="E265" s="50" t="n">
        <f aca="false">(1+AS_Infl)^B265</f>
        <v>1.84758881578542</v>
      </c>
      <c r="F265" s="50" t="n">
        <f aca="false">(1+AS_Wage)^B265</f>
        <v>2.50008034532535</v>
      </c>
      <c r="G265" s="20" t="n">
        <f aca="false">IF(C265&lt;F_R,1,0)</f>
        <v>0</v>
      </c>
      <c r="H265" s="50" t="n">
        <f aca="false">IF(AS_Bands="flat",1,E265)</f>
        <v>1.84758881578542</v>
      </c>
      <c r="I265" s="50" t="n">
        <f aca="false">IF(AS_SpGrow="pay",F265,IF(AS_SpGrow="flat",1,E265))</f>
        <v>1.84758881578542</v>
      </c>
      <c r="J265" s="50" t="n">
        <f aca="false">(12*PR_PRSIr0+(PR_PRSIr1-PR_PRSIr0)*MAX(0,MIN(12,D265*12+12-PR_PRSIt1))+(PR_PRSIr2-PR_PRSIr1)*MAX(0,MIN(12,D265*12+12-PR_PRSIt2))+(PR_PRSIr3-PR_PRSIr2)*MAX(0,MIN(12,D265*12+12-PR_PRSIt3)))/12</f>
        <v>0.047</v>
      </c>
      <c r="K265" s="20" t="n">
        <f aca="false">IF(G265=1,F_Income*F265,0)</f>
        <v>0</v>
      </c>
      <c r="L265" s="20" t="n">
        <f aca="false">IF(G265=1,(F_Own+In_penExtra)*12*F265,0)</f>
        <v>0</v>
      </c>
      <c r="M265" s="20" t="n">
        <f aca="false">IF(G265=1,(F_PenM+In_penExtra)*12*F265,0)</f>
        <v>0</v>
      </c>
      <c r="N265" s="51" t="n">
        <f aca="false">IF(C265&lt;PR_RelA1,PR_RelP1,IF(C265&lt;PR_RelA2,PR_RelP2,IF(C265&lt;PR_RelA3,PR_RelP3,IF(C265&lt;PR_RelA4,PR_RelP4,IF(C265&lt;PR_RelA5,PR_RelP5,PR_RelP6)))))</f>
        <v>0.4</v>
      </c>
      <c r="O265" s="20" t="n">
        <f aca="false">IF(G265=1,MIN(L265/H265,N265*MIN(K265/H265,PR_EarnCap))*H265,0)</f>
        <v>0</v>
      </c>
      <c r="P265" s="20" t="n">
        <f aca="false">IF(AND(G265=1,F_AE=1),MIN(K265/H265,PR_AEcap)*H265,0)</f>
        <v>0</v>
      </c>
      <c r="Q265" s="20" t="n">
        <f aca="false">IF(G265=1,IF(WI_Retire=1,MAX(0,M265+WI_M*12),M265)+(PR_AEee+PR_AEer+PR_AEst)*P265,0)</f>
        <v>0</v>
      </c>
      <c r="R265" s="20" t="n">
        <f aca="false">L265+PR_AEee*P265</f>
        <v>0</v>
      </c>
      <c r="S265" s="20" t="n">
        <f aca="false">AD264</f>
        <v>421199.841622659</v>
      </c>
      <c r="T265" s="20" t="n">
        <f aca="false">IF(D265&lt;=PR_SFTfrom,PR_SFT2026,IF(D265=PR_SFTfrom+1,PR_SFT2027,IF(D265=PR_SFTfrom+2,PR_SFT2028,IF(D265&lt;=PR_SFTto,PR_SFT2029,PR_SFT2029*(1+AS_Infl)^(D265-PR_SFTto)))))</f>
        <v>4874867.777287</v>
      </c>
      <c r="U265" s="20" t="n">
        <f aca="false">IF(AND(G265=0,C265=F_V),1,0)</f>
        <v>0</v>
      </c>
      <c r="V265" s="20" t="n">
        <f aca="false">IF(U265=1,PR_SFTrate*MAX(0,S265-T265),0)</f>
        <v>0</v>
      </c>
      <c r="W265" s="20" t="n">
        <f aca="false">S265-V265</f>
        <v>421199.841622659</v>
      </c>
      <c r="X265" s="20" t="n">
        <f aca="false">IF(AND(U265=1,AS_LumpPct&gt;0),W265*MIN(AS_LumpPct,PR_LSmax),0)</f>
        <v>0</v>
      </c>
      <c r="Y265" s="20" t="n">
        <f aca="false">X265-(PR_LSrate*MAX(0,MIN(X265,PR_LScap)-PR_LSfree)+PR_r2*MAX(0,X265-PR_LScap))</f>
        <v>0</v>
      </c>
      <c r="Z265" s="20" t="n">
        <f aca="false">W265-X265</f>
        <v>421199.841622659</v>
      </c>
      <c r="AA265" s="51" t="n">
        <f aca="false">IF(C265&gt;=PR_ARFage1,IF(Z265&gt;PR_ARFbig,PR_ARFbigRate,IF(C265&gt;=PR_ARFage2,PR_ARF71,PR_ARF61)),0)</f>
        <v>0.04</v>
      </c>
      <c r="AB265" s="20" t="n">
        <f aca="false">IF(AS_DrawRule="min",Z265*AA265,IF(AS_DrawRule="fixed",MAX(AS_DrawFixed*E265,Z265*AA265),Z265*MAX(1/MAX(1,AS_End-C265+1),AA265)))</f>
        <v>16847.9936649064</v>
      </c>
      <c r="AC265" s="20" t="n">
        <f aca="false">IF(AND(G265=0,C265&gt;=F_V),MIN(Z265,AB265),0)</f>
        <v>16847.9936649064</v>
      </c>
      <c r="AD265" s="20" t="n">
        <f aca="false">IF(G265=1,S265*(1+F_PenG)+Q265,IF(C265&lt;F_V,S265*(1+F_PenG),(Z265-AC265)*(1+AS_PenRet)))</f>
        <v>417088.931168422</v>
      </c>
      <c r="AE265" s="20" t="n">
        <f aca="false">IF(C265&gt;=PR_SPage,AS_SP*F_SpF*I265+IF(AND(C265&gt;=PR_Over80Age,F_SpF&gt;0),PR_Over80*PR_Weeks*I265,0),0)</f>
        <v>28755.133293358</v>
      </c>
      <c r="AF265" s="20" t="n">
        <f aca="false">(F_OtherM+F_RentM)*12*E265+IF(AND(In_polInc&gt;0,In_polIncAge&gt;0,C265&gt;=In_polIncAge),In_polInc,0)</f>
        <v>0</v>
      </c>
      <c r="AG265" s="20" t="n">
        <f aca="false">F_PAge+B265</f>
        <v>68</v>
      </c>
      <c r="AH265" s="20" t="n">
        <f aca="false">IF(AND(F_Partner=1,F_PAge&gt;0,AG265&lt;IF(F_PRet&gt;0,F_PRet,PR_SPage)),F_PIncome*F265,0)</f>
        <v>0</v>
      </c>
      <c r="AI265" s="20" t="n">
        <f aca="false">IF(AND(F_Partner=1,AG265&gt;=PR_SPage,F_PSpQA=0),AS_SP*F_PSpF*I265,0)</f>
        <v>23004.1066346864</v>
      </c>
      <c r="AJ265" s="20" t="n">
        <f aca="false">IF(AND(F_Partner=1,F_PSpQA=1,C265&gt;=PR_SPage,AH265=0),IF(AG265&gt;=PR_SPage,PR_QA66,PR_QAunder)*PR_Weeks*I265,0)</f>
        <v>0</v>
      </c>
      <c r="AK265" s="20" t="n">
        <f aca="false">AE265+AJ265</f>
        <v>28755.133293358</v>
      </c>
      <c r="AL265" s="20" t="n">
        <f aca="false">K265/H265</f>
        <v>0</v>
      </c>
      <c r="AM265" s="20" t="n">
        <f aca="false">AK265/H265</f>
        <v>15563.6</v>
      </c>
      <c r="AN265" s="20" t="n">
        <f aca="false">AC265/H265</f>
        <v>9118.90866677724</v>
      </c>
      <c r="AO265" s="20" t="n">
        <f aca="false">AF265/H265</f>
        <v>0</v>
      </c>
      <c r="AP265" s="20" t="n">
        <f aca="false">O265/H265</f>
        <v>0</v>
      </c>
      <c r="AQ265" s="20" t="n">
        <f aca="false">AH265/H265</f>
        <v>0</v>
      </c>
      <c r="AR265" s="20" t="n">
        <f aca="false">AI265/H265</f>
        <v>12450.88</v>
      </c>
      <c r="AS265" s="20" t="n">
        <f aca="false">MAX(0,AL265+AN265+AO265+AM265-AP265)</f>
        <v>24682.5086667772</v>
      </c>
      <c r="AT265" s="20" t="n">
        <f aca="false">MAX(0,AQ265+AR265)</f>
        <v>12450.88</v>
      </c>
      <c r="AU265" s="20" t="n">
        <f aca="false">MIN(PR_PAYE,PR_PAYEcap*(AL265+AN265+AM265))</f>
        <v>2000</v>
      </c>
      <c r="AV265" s="20" t="n">
        <f aca="false">MIN(PR_PAYE,PR_PAYEcap*(AQ265+AR265))</f>
        <v>2000</v>
      </c>
      <c r="AW265" s="20" t="n">
        <f aca="false">IF(C265&gt;=PR_AgeCrAge,PR_AgeCr,0)</f>
        <v>245</v>
      </c>
      <c r="AX265" s="20" t="n">
        <f aca="false">IF(AG265&gt;=PR_AgeCrAge,PR_AgeCr,0)</f>
        <v>245</v>
      </c>
      <c r="AY265" s="20" t="n">
        <f aca="false">IF(AND(F_RentCred=1,D265&lt;=PR_RentLast),1,0)</f>
        <v>0</v>
      </c>
      <c r="AZ265" s="20" t="n">
        <f aca="false">AS265+AT265</f>
        <v>37133.3886667772</v>
      </c>
      <c r="BA265" s="20" t="n">
        <f aca="false">PR_PersonalM+AU265+AV265+AW265+AX265+IF(AY265=1,PR_RentJoint,0)</f>
        <v>8490</v>
      </c>
      <c r="BB265" s="20" t="n">
        <f aca="false">PR_BandM+MIN(MIN(AS265,AT265),PR_Uplift)</f>
        <v>65450.88</v>
      </c>
      <c r="BC265" s="20" t="n">
        <f aca="false">MAX(0,PR_r1*MIN(AZ265,BB265)+PR_r2*MAX(0,AZ265-BB265)-BA265)</f>
        <v>0</v>
      </c>
      <c r="BD265" s="20" t="n">
        <f aca="false">MAX(0,PR_HomeCarer-MAX(0,MIN(AS265,AT265)-PR_HCLimit)/2)</f>
        <v>0</v>
      </c>
      <c r="BE265" s="20" t="n">
        <f aca="false">IF(F_Carer=1,MIN(BC265,MAX(0,PR_r1*MIN(AZ265,PR_BandM)+PR_r2*MAX(0,AZ265-PR_BandM)-BA265-BD265)),BC265)</f>
        <v>0</v>
      </c>
      <c r="BF265" s="20" t="n">
        <f aca="false">IF(OR(C265&gt;=PR_AgeCrAge,AG265&gt;=PR_AgeCrAge),IF(AZ265&lt;=PR_AgeExM,0,MIN(BE265,PR_AgeMarg*(AZ265-PR_AgeExM))),BE265)</f>
        <v>0</v>
      </c>
      <c r="BG265" s="20" t="n">
        <f aca="false">MAX(0,PR_r1*MIN(AS265,IF(F_Spccc=1,PR_BandSPCCC,PR_Band))+PR_r2*MAX(0,AS265-IF(F_Spccc=1,PR_BandSPCCC,PR_Band))-(PR_Personal+AU265+AW265+IF(F_Spccc=1,PR_SPCCC,0)+IF(AY265=1,PR_Rent,0)))</f>
        <v>691.501733355447</v>
      </c>
      <c r="BH265" s="20" t="n">
        <f aca="false">IF(C265&gt;=PR_AgeCrAge,IF(AS265&lt;=PR_AgeEx,0,MIN(BG265,PR_AgeMarg*(AS265-PR_AgeEx))),BG265)</f>
        <v>691.501733355447</v>
      </c>
      <c r="BI265" s="20" t="n">
        <f aca="false">IF(F_Partner=1,MAX(0,PR_r1*MIN(AT265,PR_Band)+PR_r2*MAX(0,AT265-PR_Band)-(PR_Personal+AV265+AX265+IF(AND(AY265=1,AT265&gt;0),PR_Rent,0))),0)</f>
        <v>0</v>
      </c>
      <c r="BJ265" s="20" t="n">
        <f aca="false">IF(AG265&gt;=PR_AgeCrAge,IF(AT265&lt;=PR_AgeEx,0,MIN(BI265,PR_AgeMarg*(AT265-PR_AgeEx))),BI265)</f>
        <v>0</v>
      </c>
      <c r="BK265" s="20" t="n">
        <f aca="false">IF(F_Partner=1,IF(F_Married=1,BF265,BH265+BJ265),BH265)</f>
        <v>691.501733355447</v>
      </c>
      <c r="BL265" s="20" t="n">
        <f aca="false">AL265+AN265+AO265</f>
        <v>9118.90866677724</v>
      </c>
      <c r="BM265" s="20"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20" t="n">
        <f aca="false">AQ265</f>
        <v>0</v>
      </c>
      <c r="BO265" s="20"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20" t="n">
        <f aca="false">IF(C265&lt;PR_PRSIend,IF(F_SelfEmp=1,IF(AL265&gt;PR_PRSIsMinInc,MAX(PR_PRSIsMin,AL265*J265),0),IF(AL265/52&lt;=PR_PRSIfree,0,MAX(0,(AL265/52*J265-IF(AL265/52&lt;=PR_PRSIcreditTo,MAX(0,PR_PRSIcreditMax-(AL265/52-(PR_PRSIfree+0.01))/PR_PRSItaper),0))*52)))+J265*AN265+IF(AO265&gt;PR_PRSIunearned,J265*AO265,0),0)+IF(AND(PRSI_ARF_Applies=1,AN265&gt;0,C265&gt;=PR_PRSIend,C265&lt;PRSI_ARF_ToAge,NOT(AK265&gt;0)),J265*AN265,0)</f>
        <v>0</v>
      </c>
      <c r="BQ265" s="20" t="n">
        <f aca="false">IF(AND(F_Partner=1,AG265&lt;PR_PRSIend),IF(AQ265/52&lt;=PR_PRSIfree,0,MAX(0,(AQ265/52*J265-IF(AQ265/52&lt;=PR_PRSIcreditTo,MAX(0,PR_PRSIcreditMax-(AQ265/52-(PR_PRSIfree+0.01))/PR_PRSItaper),0))*52)),0)</f>
        <v>0</v>
      </c>
      <c r="BR265" s="20" t="n">
        <f aca="false">BK265+BM265+BO265+BP265+BQ265</f>
        <v>691.501733355447</v>
      </c>
      <c r="BS265" s="20" t="n">
        <f aca="false">BR265*H265</f>
        <v>1277.61086864376</v>
      </c>
      <c r="BT265" s="20" t="n">
        <f aca="false">K265+AK265+AC265+AF265+AH265+AI265</f>
        <v>68607.2335929508</v>
      </c>
    </row>
    <row r="266" customFormat="false" ht="15" hidden="false" customHeight="true" outlineLevel="0" collapsed="false">
      <c r="B266" s="20" t="n">
        <v>32</v>
      </c>
      <c r="C266" s="20" t="n">
        <f aca="false">F_Age+B266</f>
        <v>70</v>
      </c>
      <c r="D266" s="20" t="n">
        <f aca="false">AS_Year0+B266</f>
        <v>2058</v>
      </c>
      <c r="E266" s="50" t="n">
        <f aca="false">(1+AS_Infl)^B266</f>
        <v>1.88454059210113</v>
      </c>
      <c r="F266" s="50" t="n">
        <f aca="false">(1+AS_Wage)^B266</f>
        <v>2.57508275568511</v>
      </c>
      <c r="G266" s="20" t="n">
        <f aca="false">IF(C266&lt;F_R,1,0)</f>
        <v>0</v>
      </c>
      <c r="H266" s="50" t="n">
        <f aca="false">IF(AS_Bands="flat",1,E266)</f>
        <v>1.88454059210113</v>
      </c>
      <c r="I266" s="50" t="n">
        <f aca="false">IF(AS_SpGrow="pay",F266,IF(AS_SpGrow="flat",1,E266))</f>
        <v>1.88454059210113</v>
      </c>
      <c r="J266" s="50" t="n">
        <f aca="false">(12*PR_PRSIr0+(PR_PRSIr1-PR_PRSIr0)*MAX(0,MIN(12,D266*12+12-PR_PRSIt1))+(PR_PRSIr2-PR_PRSIr1)*MAX(0,MIN(12,D266*12+12-PR_PRSIt2))+(PR_PRSIr3-PR_PRSIr2)*MAX(0,MIN(12,D266*12+12-PR_PRSIt3)))/12</f>
        <v>0.047</v>
      </c>
      <c r="K266" s="20" t="n">
        <f aca="false">IF(G266=1,F_Income*F266,0)</f>
        <v>0</v>
      </c>
      <c r="L266" s="20" t="n">
        <f aca="false">IF(G266=1,(F_Own+In_penExtra)*12*F266,0)</f>
        <v>0</v>
      </c>
      <c r="M266" s="20" t="n">
        <f aca="false">IF(G266=1,(F_PenM+In_penExtra)*12*F266,0)</f>
        <v>0</v>
      </c>
      <c r="N266" s="51" t="n">
        <f aca="false">IF(C266&lt;PR_RelA1,PR_RelP1,IF(C266&lt;PR_RelA2,PR_RelP2,IF(C266&lt;PR_RelA3,PR_RelP3,IF(C266&lt;PR_RelA4,PR_RelP4,IF(C266&lt;PR_RelA5,PR_RelP5,PR_RelP6)))))</f>
        <v>0.4</v>
      </c>
      <c r="O266" s="20" t="n">
        <f aca="false">IF(G266=1,MIN(L266/H266,N266*MIN(K266/H266,PR_EarnCap))*H266,0)</f>
        <v>0</v>
      </c>
      <c r="P266" s="20" t="n">
        <f aca="false">IF(AND(G266=1,F_AE=1),MIN(K266/H266,PR_AEcap)*H266,0)</f>
        <v>0</v>
      </c>
      <c r="Q266" s="20" t="n">
        <f aca="false">IF(G266=1,IF(WI_Retire=1,MAX(0,M266+WI_M*12),M266)+(PR_AEee+PR_AEer+PR_AEst)*P266,0)</f>
        <v>0</v>
      </c>
      <c r="R266" s="20" t="n">
        <f aca="false">L266+PR_AEee*P266</f>
        <v>0</v>
      </c>
      <c r="S266" s="20" t="n">
        <f aca="false">AD265</f>
        <v>417088.931168422</v>
      </c>
      <c r="T266" s="20" t="n">
        <f aca="false">IF(D266&lt;=PR_SFTfrom,PR_SFT2026,IF(D266=PR_SFTfrom+1,PR_SFT2027,IF(D266=PR_SFTfrom+2,PR_SFT2028,IF(D266&lt;=PR_SFTto,PR_SFT2029,PR_SFT2029*(1+AS_Infl)^(D266-PR_SFTto)))))</f>
        <v>4972365.13283274</v>
      </c>
      <c r="U266" s="20" t="n">
        <f aca="false">IF(AND(G266=0,C266=F_V),1,0)</f>
        <v>0</v>
      </c>
      <c r="V266" s="20" t="n">
        <f aca="false">IF(U266=1,PR_SFTrate*MAX(0,S266-T266),0)</f>
        <v>0</v>
      </c>
      <c r="W266" s="20" t="n">
        <f aca="false">S266-V266</f>
        <v>417088.931168422</v>
      </c>
      <c r="X266" s="20" t="n">
        <f aca="false">IF(AND(U266=1,AS_LumpPct&gt;0),W266*MIN(AS_LumpPct,PR_LSmax),0)</f>
        <v>0</v>
      </c>
      <c r="Y266" s="20" t="n">
        <f aca="false">X266-(PR_LSrate*MAX(0,MIN(X266,PR_LScap)-PR_LSfree)+PR_r2*MAX(0,X266-PR_LScap))</f>
        <v>0</v>
      </c>
      <c r="Z266" s="20" t="n">
        <f aca="false">W266-X266</f>
        <v>417088.931168422</v>
      </c>
      <c r="AA266" s="51" t="n">
        <f aca="false">IF(C266&gt;=PR_ARFage1,IF(Z266&gt;PR_ARFbig,PR_ARFbigRate,IF(C266&gt;=PR_ARFage2,PR_ARF71,PR_ARF61)),0)</f>
        <v>0.04</v>
      </c>
      <c r="AB266" s="20" t="n">
        <f aca="false">IF(AS_DrawRule="min",Z266*AA266,IF(AS_DrawRule="fixed",MAX(AS_DrawFixed*E266,Z266*AA266),Z266*MAX(1/MAX(1,AS_End-C266+1),AA266)))</f>
        <v>16683.5572467369</v>
      </c>
      <c r="AC266" s="20" t="n">
        <f aca="false">IF(AND(G266=0,C266&gt;=F_V),MIN(Z266,AB266),0)</f>
        <v>16683.5572467369</v>
      </c>
      <c r="AD266" s="20" t="n">
        <f aca="false">IF(G266=1,S266*(1+F_PenG)+Q266,IF(C266&lt;F_V,S266*(1+F_PenG),(Z266-AC266)*(1+AS_PenRet)))</f>
        <v>413018.143200218</v>
      </c>
      <c r="AE266" s="20" t="n">
        <f aca="false">IF(C266&gt;=PR_SPage,AS_SP*F_SpF*I266+IF(AND(C266&gt;=PR_Over80Age,F_SpF&gt;0),PR_Over80*PR_Weeks*I266,0),0)</f>
        <v>29330.2359592252</v>
      </c>
      <c r="AF266" s="20" t="n">
        <f aca="false">(F_OtherM+F_RentM)*12*E266+IF(AND(In_polInc&gt;0,In_polIncAge&gt;0,C266&gt;=In_polIncAge),In_polInc,0)</f>
        <v>0</v>
      </c>
      <c r="AG266" s="20" t="n">
        <f aca="false">F_PAge+B266</f>
        <v>69</v>
      </c>
      <c r="AH266" s="20" t="n">
        <f aca="false">IF(AND(F_Partner=1,F_PAge&gt;0,AG266&lt;IF(F_PRet&gt;0,F_PRet,PR_SPage)),F_PIncome*F266,0)</f>
        <v>0</v>
      </c>
      <c r="AI266" s="20" t="n">
        <f aca="false">IF(AND(F_Partner=1,AG266&gt;=PR_SPage,F_PSpQA=0),AS_SP*F_PSpF*I266,0)</f>
        <v>23464.1887673801</v>
      </c>
      <c r="AJ266" s="20" t="n">
        <f aca="false">IF(AND(F_Partner=1,F_PSpQA=1,C266&gt;=PR_SPage,AH266=0),IF(AG266&gt;=PR_SPage,PR_QA66,PR_QAunder)*PR_Weeks*I266,0)</f>
        <v>0</v>
      </c>
      <c r="AK266" s="20" t="n">
        <f aca="false">AE266+AJ266</f>
        <v>29330.2359592252</v>
      </c>
      <c r="AL266" s="20" t="n">
        <f aca="false">K266/H266</f>
        <v>0</v>
      </c>
      <c r="AM266" s="20" t="n">
        <f aca="false">AK266/H266</f>
        <v>15563.6</v>
      </c>
      <c r="AN266" s="20" t="n">
        <f aca="false">AC266/H266</f>
        <v>8852.85109626421</v>
      </c>
      <c r="AO266" s="20" t="n">
        <f aca="false">AF266/H266</f>
        <v>0</v>
      </c>
      <c r="AP266" s="20" t="n">
        <f aca="false">O266/H266</f>
        <v>0</v>
      </c>
      <c r="AQ266" s="20" t="n">
        <f aca="false">AH266/H266</f>
        <v>0</v>
      </c>
      <c r="AR266" s="20" t="n">
        <f aca="false">AI266/H266</f>
        <v>12450.88</v>
      </c>
      <c r="AS266" s="20" t="n">
        <f aca="false">MAX(0,AL266+AN266+AO266+AM266-AP266)</f>
        <v>24416.4510962642</v>
      </c>
      <c r="AT266" s="20" t="n">
        <f aca="false">MAX(0,AQ266+AR266)</f>
        <v>12450.88</v>
      </c>
      <c r="AU266" s="20" t="n">
        <f aca="false">MIN(PR_PAYE,PR_PAYEcap*(AL266+AN266+AM266))</f>
        <v>2000</v>
      </c>
      <c r="AV266" s="20" t="n">
        <f aca="false">MIN(PR_PAYE,PR_PAYEcap*(AQ266+AR266))</f>
        <v>2000</v>
      </c>
      <c r="AW266" s="20" t="n">
        <f aca="false">IF(C266&gt;=PR_AgeCrAge,PR_AgeCr,0)</f>
        <v>245</v>
      </c>
      <c r="AX266" s="20" t="n">
        <f aca="false">IF(AG266&gt;=PR_AgeCrAge,PR_AgeCr,0)</f>
        <v>245</v>
      </c>
      <c r="AY266" s="20" t="n">
        <f aca="false">IF(AND(F_RentCred=1,D266&lt;=PR_RentLast),1,0)</f>
        <v>0</v>
      </c>
      <c r="AZ266" s="20" t="n">
        <f aca="false">AS266+AT266</f>
        <v>36867.3310962642</v>
      </c>
      <c r="BA266" s="20" t="n">
        <f aca="false">PR_PersonalM+AU266+AV266+AW266+AX266+IF(AY266=1,PR_RentJoint,0)</f>
        <v>8490</v>
      </c>
      <c r="BB266" s="20" t="n">
        <f aca="false">PR_BandM+MIN(MIN(AS266,AT266),PR_Uplift)</f>
        <v>65450.88</v>
      </c>
      <c r="BC266" s="20" t="n">
        <f aca="false">MAX(0,PR_r1*MIN(AZ266,BB266)+PR_r2*MAX(0,AZ266-BB266)-BA266)</f>
        <v>0</v>
      </c>
      <c r="BD266" s="20" t="n">
        <f aca="false">MAX(0,PR_HomeCarer-MAX(0,MIN(AS266,AT266)-PR_HCLimit)/2)</f>
        <v>0</v>
      </c>
      <c r="BE266" s="20" t="n">
        <f aca="false">IF(F_Carer=1,MIN(BC266,MAX(0,PR_r1*MIN(AZ266,PR_BandM)+PR_r2*MAX(0,AZ266-PR_BandM)-BA266-BD266)),BC266)</f>
        <v>0</v>
      </c>
      <c r="BF266" s="20" t="n">
        <f aca="false">IF(OR(C266&gt;=PR_AgeCrAge,AG266&gt;=PR_AgeCrAge),IF(AZ266&lt;=PR_AgeExM,0,MIN(BE266,PR_AgeMarg*(AZ266-PR_AgeExM))),BE266)</f>
        <v>0</v>
      </c>
      <c r="BG266" s="20" t="n">
        <f aca="false">MAX(0,PR_r1*MIN(AS266,IF(F_Spccc=1,PR_BandSPCCC,PR_Band))+PR_r2*MAX(0,AS266-IF(F_Spccc=1,PR_BandSPCCC,PR_Band))-(PR_Personal+AU266+AW266+IF(F_Spccc=1,PR_SPCCC,0)+IF(AY266=1,PR_Rent,0)))</f>
        <v>638.290219252841</v>
      </c>
      <c r="BH266" s="20" t="n">
        <f aca="false">IF(C266&gt;=PR_AgeCrAge,IF(AS266&lt;=PR_AgeEx,0,MIN(BG266,PR_AgeMarg*(AS266-PR_AgeEx))),BG266)</f>
        <v>638.290219252841</v>
      </c>
      <c r="BI266" s="20" t="n">
        <f aca="false">IF(F_Partner=1,MAX(0,PR_r1*MIN(AT266,PR_Band)+PR_r2*MAX(0,AT266-PR_Band)-(PR_Personal+AV266+AX266+IF(AND(AY266=1,AT266&gt;0),PR_Rent,0))),0)</f>
        <v>0</v>
      </c>
      <c r="BJ266" s="20" t="n">
        <f aca="false">IF(AG266&gt;=PR_AgeCrAge,IF(AT266&lt;=PR_AgeEx,0,MIN(BI266,PR_AgeMarg*(AT266-PR_AgeEx))),BI266)</f>
        <v>0</v>
      </c>
      <c r="BK266" s="20" t="n">
        <f aca="false">IF(F_Partner=1,IF(F_Married=1,BF266,BH266+BJ266),BH266)</f>
        <v>638.290219252841</v>
      </c>
      <c r="BL266" s="20" t="n">
        <f aca="false">AL266+AN266+AO266</f>
        <v>8852.85109626421</v>
      </c>
      <c r="BM266" s="20"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20" t="n">
        <f aca="false">AQ266</f>
        <v>0</v>
      </c>
      <c r="BO266" s="20"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20" t="n">
        <f aca="false">IF(C266&lt;PR_PRSIend,IF(F_SelfEmp=1,IF(AL266&gt;PR_PRSIsMinInc,MAX(PR_PRSIsMin,AL266*J266),0),IF(AL266/52&lt;=PR_PRSIfree,0,MAX(0,(AL266/52*J266-IF(AL266/52&lt;=PR_PRSIcreditTo,MAX(0,PR_PRSIcreditMax-(AL266/52-(PR_PRSIfree+0.01))/PR_PRSItaper),0))*52)))+J266*AN266+IF(AO266&gt;PR_PRSIunearned,J266*AO266,0),0)+IF(AND(PRSI_ARF_Applies=1,AN266&gt;0,C266&gt;=PR_PRSIend,C266&lt;PRSI_ARF_ToAge,NOT(AK266&gt;0)),J266*AN266,0)</f>
        <v>0</v>
      </c>
      <c r="BQ266" s="20" t="n">
        <f aca="false">IF(AND(F_Partner=1,AG266&lt;PR_PRSIend),IF(AQ266/52&lt;=PR_PRSIfree,0,MAX(0,(AQ266/52*J266-IF(AQ266/52&lt;=PR_PRSIcreditTo,MAX(0,PR_PRSIcreditMax-(AQ266/52-(PR_PRSIfree+0.01))/PR_PRSItaper),0))*52)),0)</f>
        <v>0</v>
      </c>
      <c r="BR266" s="20" t="n">
        <f aca="false">BK266+BM266+BO266+BP266+BQ266</f>
        <v>638.290219252841</v>
      </c>
      <c r="BS266" s="20" t="n">
        <f aca="false">BR266*H266</f>
        <v>1202.88382772311</v>
      </c>
      <c r="BT266" s="20" t="n">
        <f aca="false">K266+AK266+AC266+AF266+AH266+AI266</f>
        <v>69477.9819733422</v>
      </c>
    </row>
    <row r="267" customFormat="false" ht="15" hidden="false" customHeight="true" outlineLevel="0" collapsed="false">
      <c r="B267" s="20" t="n">
        <v>33</v>
      </c>
      <c r="C267" s="20" t="n">
        <f aca="false">F_Age+B267</f>
        <v>71</v>
      </c>
      <c r="D267" s="20" t="n">
        <f aca="false">AS_Year0+B267</f>
        <v>2059</v>
      </c>
      <c r="E267" s="50" t="n">
        <f aca="false">(1+AS_Infl)^B267</f>
        <v>1.92223140394315</v>
      </c>
      <c r="F267" s="50" t="n">
        <f aca="false">(1+AS_Wage)^B267</f>
        <v>2.65233523835567</v>
      </c>
      <c r="G267" s="20" t="n">
        <f aca="false">IF(C267&lt;F_R,1,0)</f>
        <v>0</v>
      </c>
      <c r="H267" s="50" t="n">
        <f aca="false">IF(AS_Bands="flat",1,E267)</f>
        <v>1.92223140394315</v>
      </c>
      <c r="I267" s="50" t="n">
        <f aca="false">IF(AS_SpGrow="pay",F267,IF(AS_SpGrow="flat",1,E267))</f>
        <v>1.92223140394315</v>
      </c>
      <c r="J267" s="50" t="n">
        <f aca="false">(12*PR_PRSIr0+(PR_PRSIr1-PR_PRSIr0)*MAX(0,MIN(12,D267*12+12-PR_PRSIt1))+(PR_PRSIr2-PR_PRSIr1)*MAX(0,MIN(12,D267*12+12-PR_PRSIt2))+(PR_PRSIr3-PR_PRSIr2)*MAX(0,MIN(12,D267*12+12-PR_PRSIt3)))/12</f>
        <v>0.047</v>
      </c>
      <c r="K267" s="20" t="n">
        <f aca="false">IF(G267=1,F_Income*F267,0)</f>
        <v>0</v>
      </c>
      <c r="L267" s="20" t="n">
        <f aca="false">IF(G267=1,(F_Own+In_penExtra)*12*F267,0)</f>
        <v>0</v>
      </c>
      <c r="M267" s="20" t="n">
        <f aca="false">IF(G267=1,(F_PenM+In_penExtra)*12*F267,0)</f>
        <v>0</v>
      </c>
      <c r="N267" s="51" t="n">
        <f aca="false">IF(C267&lt;PR_RelA1,PR_RelP1,IF(C267&lt;PR_RelA2,PR_RelP2,IF(C267&lt;PR_RelA3,PR_RelP3,IF(C267&lt;PR_RelA4,PR_RelP4,IF(C267&lt;PR_RelA5,PR_RelP5,PR_RelP6)))))</f>
        <v>0.4</v>
      </c>
      <c r="O267" s="20" t="n">
        <f aca="false">IF(G267=1,MIN(L267/H267,N267*MIN(K267/H267,PR_EarnCap))*H267,0)</f>
        <v>0</v>
      </c>
      <c r="P267" s="20" t="n">
        <f aca="false">IF(AND(G267=1,F_AE=1),MIN(K267/H267,PR_AEcap)*H267,0)</f>
        <v>0</v>
      </c>
      <c r="Q267" s="20" t="n">
        <f aca="false">IF(G267=1,IF(WI_Retire=1,MAX(0,M267+WI_M*12),M267)+(PR_AEee+PR_AEer+PR_AEst)*P267,0)</f>
        <v>0</v>
      </c>
      <c r="R267" s="20" t="n">
        <f aca="false">L267+PR_AEee*P267</f>
        <v>0</v>
      </c>
      <c r="S267" s="20" t="n">
        <f aca="false">AD266</f>
        <v>413018.143200218</v>
      </c>
      <c r="T267" s="20" t="n">
        <f aca="false">IF(D267&lt;=PR_SFTfrom,PR_SFT2026,IF(D267=PR_SFTfrom+1,PR_SFT2027,IF(D267=PR_SFTfrom+2,PR_SFT2028,IF(D267&lt;=PR_SFTto,PR_SFT2029,PR_SFT2029*(1+AS_Infl)^(D267-PR_SFTto)))))</f>
        <v>5071812.43548939</v>
      </c>
      <c r="U267" s="20" t="n">
        <f aca="false">IF(AND(G267=0,C267=F_V),1,0)</f>
        <v>0</v>
      </c>
      <c r="V267" s="20" t="n">
        <f aca="false">IF(U267=1,PR_SFTrate*MAX(0,S267-T267),0)</f>
        <v>0</v>
      </c>
      <c r="W267" s="20" t="n">
        <f aca="false">S267-V267</f>
        <v>413018.143200218</v>
      </c>
      <c r="X267" s="20" t="n">
        <f aca="false">IF(AND(U267=1,AS_LumpPct&gt;0),W267*MIN(AS_LumpPct,PR_LSmax),0)</f>
        <v>0</v>
      </c>
      <c r="Y267" s="20" t="n">
        <f aca="false">X267-(PR_LSrate*MAX(0,MIN(X267,PR_LScap)-PR_LSfree)+PR_r2*MAX(0,X267-PR_LScap))</f>
        <v>0</v>
      </c>
      <c r="Z267" s="20" t="n">
        <f aca="false">W267-X267</f>
        <v>413018.143200218</v>
      </c>
      <c r="AA267" s="51" t="n">
        <f aca="false">IF(C267&gt;=PR_ARFage1,IF(Z267&gt;PR_ARFbig,PR_ARFbigRate,IF(C267&gt;=PR_ARFage2,PR_ARF71,PR_ARF61)),0)</f>
        <v>0.05</v>
      </c>
      <c r="AB267" s="20" t="n">
        <f aca="false">IF(AS_DrawRule="min",Z267*AA267,IF(AS_DrawRule="fixed",MAX(AS_DrawFixed*E267,Z267*AA267),Z267*MAX(1/MAX(1,AS_End-C267+1),AA267)))</f>
        <v>20650.9071600109</v>
      </c>
      <c r="AC267" s="20" t="n">
        <f aca="false">IF(AND(G267=0,C267&gt;=F_V),MIN(Z267,AB267),0)</f>
        <v>20650.9071600109</v>
      </c>
      <c r="AD267" s="20" t="n">
        <f aca="false">IF(G267=1,S267*(1+F_PenG)+Q267,IF(C267&lt;F_V,S267*(1+F_PenG),(Z267-AC267)*(1+AS_PenRet)))</f>
        <v>404726.803975474</v>
      </c>
      <c r="AE267" s="20" t="n">
        <f aca="false">IF(C267&gt;=PR_SPage,AS_SP*F_SpF*I267+IF(AND(C267&gt;=PR_Over80Age,F_SpF&gt;0),PR_Over80*PR_Weeks*I267,0),0)</f>
        <v>29916.8406784097</v>
      </c>
      <c r="AF267" s="20" t="n">
        <f aca="false">(F_OtherM+F_RentM)*12*E267+IF(AND(In_polInc&gt;0,In_polIncAge&gt;0,C267&gt;=In_polIncAge),In_polInc,0)</f>
        <v>0</v>
      </c>
      <c r="AG267" s="20" t="n">
        <f aca="false">F_PAge+B267</f>
        <v>70</v>
      </c>
      <c r="AH267" s="20" t="n">
        <f aca="false">IF(AND(F_Partner=1,F_PAge&gt;0,AG267&lt;IF(F_PRet&gt;0,F_PRet,PR_SPage)),F_PIncome*F267,0)</f>
        <v>0</v>
      </c>
      <c r="AI267" s="20" t="n">
        <f aca="false">IF(AND(F_Partner=1,AG267&gt;=PR_SPage,F_PSpQA=0),AS_SP*F_PSpF*I267,0)</f>
        <v>23933.4725427277</v>
      </c>
      <c r="AJ267" s="20" t="n">
        <f aca="false">IF(AND(F_Partner=1,F_PSpQA=1,C267&gt;=PR_SPage,AH267=0),IF(AG267&gt;=PR_SPage,PR_QA66,PR_QAunder)*PR_Weeks*I267,0)</f>
        <v>0</v>
      </c>
      <c r="AK267" s="20" t="n">
        <f aca="false">AE267+AJ267</f>
        <v>29916.8406784097</v>
      </c>
      <c r="AL267" s="20" t="n">
        <f aca="false">K267/H267</f>
        <v>0</v>
      </c>
      <c r="AM267" s="20" t="n">
        <f aca="false">AK267/H267</f>
        <v>15563.6</v>
      </c>
      <c r="AN267" s="20" t="n">
        <f aca="false">AC267/H267</f>
        <v>10743.19518329</v>
      </c>
      <c r="AO267" s="20" t="n">
        <f aca="false">AF267/H267</f>
        <v>0</v>
      </c>
      <c r="AP267" s="20" t="n">
        <f aca="false">O267/H267</f>
        <v>0</v>
      </c>
      <c r="AQ267" s="20" t="n">
        <f aca="false">AH267/H267</f>
        <v>0</v>
      </c>
      <c r="AR267" s="20" t="n">
        <f aca="false">AI267/H267</f>
        <v>12450.88</v>
      </c>
      <c r="AS267" s="20" t="n">
        <f aca="false">MAX(0,AL267+AN267+AO267+AM267-AP267)</f>
        <v>26306.79518329</v>
      </c>
      <c r="AT267" s="20" t="n">
        <f aca="false">MAX(0,AQ267+AR267)</f>
        <v>12450.88</v>
      </c>
      <c r="AU267" s="20" t="n">
        <f aca="false">MIN(PR_PAYE,PR_PAYEcap*(AL267+AN267+AM267))</f>
        <v>2000</v>
      </c>
      <c r="AV267" s="20" t="n">
        <f aca="false">MIN(PR_PAYE,PR_PAYEcap*(AQ267+AR267))</f>
        <v>2000</v>
      </c>
      <c r="AW267" s="20" t="n">
        <f aca="false">IF(C267&gt;=PR_AgeCrAge,PR_AgeCr,0)</f>
        <v>245</v>
      </c>
      <c r="AX267" s="20" t="n">
        <f aca="false">IF(AG267&gt;=PR_AgeCrAge,PR_AgeCr,0)</f>
        <v>245</v>
      </c>
      <c r="AY267" s="20" t="n">
        <f aca="false">IF(AND(F_RentCred=1,D267&lt;=PR_RentLast),1,0)</f>
        <v>0</v>
      </c>
      <c r="AZ267" s="20" t="n">
        <f aca="false">AS267+AT267</f>
        <v>38757.67518329</v>
      </c>
      <c r="BA267" s="20" t="n">
        <f aca="false">PR_PersonalM+AU267+AV267+AW267+AX267+IF(AY267=1,PR_RentJoint,0)</f>
        <v>8490</v>
      </c>
      <c r="BB267" s="20" t="n">
        <f aca="false">PR_BandM+MIN(MIN(AS267,AT267),PR_Uplift)</f>
        <v>65450.88</v>
      </c>
      <c r="BC267" s="20" t="n">
        <f aca="false">MAX(0,PR_r1*MIN(AZ267,BB267)+PR_r2*MAX(0,AZ267-BB267)-BA267)</f>
        <v>0</v>
      </c>
      <c r="BD267" s="20" t="n">
        <f aca="false">MAX(0,PR_HomeCarer-MAX(0,MIN(AS267,AT267)-PR_HCLimit)/2)</f>
        <v>0</v>
      </c>
      <c r="BE267" s="20" t="n">
        <f aca="false">IF(F_Carer=1,MIN(BC267,MAX(0,PR_r1*MIN(AZ267,PR_BandM)+PR_r2*MAX(0,AZ267-PR_BandM)-BA267-BD267)),BC267)</f>
        <v>0</v>
      </c>
      <c r="BF267" s="20" t="n">
        <f aca="false">IF(OR(C267&gt;=PR_AgeCrAge,AG267&gt;=PR_AgeCrAge),IF(AZ267&lt;=PR_AgeExM,0,MIN(BE267,PR_AgeMarg*(AZ267-PR_AgeExM))),BE267)</f>
        <v>0</v>
      </c>
      <c r="BG267" s="20" t="n">
        <f aca="false">MAX(0,PR_r1*MIN(AS267,IF(F_Spccc=1,PR_BandSPCCC,PR_Band))+PR_r2*MAX(0,AS267-IF(F_Spccc=1,PR_BandSPCCC,PR_Band))-(PR_Personal+AU267+AW267+IF(F_Spccc=1,PR_SPCCC,0)+IF(AY267=1,PR_Rent,0)))</f>
        <v>1016.35903665801</v>
      </c>
      <c r="BH267" s="20" t="n">
        <f aca="false">IF(C267&gt;=PR_AgeCrAge,IF(AS267&lt;=PR_AgeEx,0,MIN(BG267,PR_AgeMarg*(AS267-PR_AgeEx))),BG267)</f>
        <v>1016.35903665801</v>
      </c>
      <c r="BI267" s="20" t="n">
        <f aca="false">IF(F_Partner=1,MAX(0,PR_r1*MIN(AT267,PR_Band)+PR_r2*MAX(0,AT267-PR_Band)-(PR_Personal+AV267+AX267+IF(AND(AY267=1,AT267&gt;0),PR_Rent,0))),0)</f>
        <v>0</v>
      </c>
      <c r="BJ267" s="20" t="n">
        <f aca="false">IF(AG267&gt;=PR_AgeCrAge,IF(AT267&lt;=PR_AgeEx,0,MIN(BI267,PR_AgeMarg*(AT267-PR_AgeEx))),BI267)</f>
        <v>0</v>
      </c>
      <c r="BK267" s="20" t="n">
        <f aca="false">IF(F_Partner=1,IF(F_Married=1,BF267,BH267+BJ267),BH267)</f>
        <v>1016.35903665801</v>
      </c>
      <c r="BL267" s="20" t="n">
        <f aca="false">AL267+AN267+AO267</f>
        <v>10743.19518329</v>
      </c>
      <c r="BM267" s="20"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20" t="n">
        <f aca="false">AQ267</f>
        <v>0</v>
      </c>
      <c r="BO267" s="20"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20" t="n">
        <f aca="false">IF(C267&lt;PR_PRSIend,IF(F_SelfEmp=1,IF(AL267&gt;PR_PRSIsMinInc,MAX(PR_PRSIsMin,AL267*J267),0),IF(AL267/52&lt;=PR_PRSIfree,0,MAX(0,(AL267/52*J267-IF(AL267/52&lt;=PR_PRSIcreditTo,MAX(0,PR_PRSIcreditMax-(AL267/52-(PR_PRSIfree+0.01))/PR_PRSItaper),0))*52)))+J267*AN267+IF(AO267&gt;PR_PRSIunearned,J267*AO267,0),0)+IF(AND(PRSI_ARF_Applies=1,AN267&gt;0,C267&gt;=PR_PRSIend,C267&lt;PRSI_ARF_ToAge,NOT(AK267&gt;0)),J267*AN267,0)</f>
        <v>0</v>
      </c>
      <c r="BQ267" s="20" t="n">
        <f aca="false">IF(AND(F_Partner=1,AG267&lt;PR_PRSIend),IF(AQ267/52&lt;=PR_PRSIfree,0,MAX(0,(AQ267/52*J267-IF(AQ267/52&lt;=PR_PRSIcreditTo,MAX(0,PR_PRSIcreditMax-(AQ267/52-(PR_PRSIfree+0.01))/PR_PRSItaper),0))*52)),0)</f>
        <v>0</v>
      </c>
      <c r="BR267" s="20" t="n">
        <f aca="false">BK267+BM267+BO267+BP267+BQ267</f>
        <v>1016.35903665801</v>
      </c>
      <c r="BS267" s="20" t="n">
        <f aca="false">BR267*H267</f>
        <v>1953.67725794543</v>
      </c>
      <c r="BT267" s="20" t="n">
        <f aca="false">K267+AK267+AC267+AF267+AH267+AI267</f>
        <v>74501.2203811483</v>
      </c>
    </row>
    <row r="268" customFormat="false" ht="15" hidden="false" customHeight="true" outlineLevel="0" collapsed="false">
      <c r="B268" s="20" t="n">
        <v>34</v>
      </c>
      <c r="C268" s="20" t="n">
        <f aca="false">F_Age+B268</f>
        <v>72</v>
      </c>
      <c r="D268" s="20" t="n">
        <f aca="false">AS_Year0+B268</f>
        <v>2060</v>
      </c>
      <c r="E268" s="50" t="n">
        <f aca="false">(1+AS_Infl)^B268</f>
        <v>1.96067603202202</v>
      </c>
      <c r="F268" s="50" t="n">
        <f aca="false">(1+AS_Wage)^B268</f>
        <v>2.73190529550634</v>
      </c>
      <c r="G268" s="20" t="n">
        <f aca="false">IF(C268&lt;F_R,1,0)</f>
        <v>0</v>
      </c>
      <c r="H268" s="50" t="n">
        <f aca="false">IF(AS_Bands="flat",1,E268)</f>
        <v>1.96067603202202</v>
      </c>
      <c r="I268" s="50" t="n">
        <f aca="false">IF(AS_SpGrow="pay",F268,IF(AS_SpGrow="flat",1,E268))</f>
        <v>1.96067603202202</v>
      </c>
      <c r="J268" s="50" t="n">
        <f aca="false">(12*PR_PRSIr0+(PR_PRSIr1-PR_PRSIr0)*MAX(0,MIN(12,D268*12+12-PR_PRSIt1))+(PR_PRSIr2-PR_PRSIr1)*MAX(0,MIN(12,D268*12+12-PR_PRSIt2))+(PR_PRSIr3-PR_PRSIr2)*MAX(0,MIN(12,D268*12+12-PR_PRSIt3)))/12</f>
        <v>0.047</v>
      </c>
      <c r="K268" s="20" t="n">
        <f aca="false">IF(G268=1,F_Income*F268,0)</f>
        <v>0</v>
      </c>
      <c r="L268" s="20" t="n">
        <f aca="false">IF(G268=1,(F_Own+In_penExtra)*12*F268,0)</f>
        <v>0</v>
      </c>
      <c r="M268" s="20" t="n">
        <f aca="false">IF(G268=1,(F_PenM+In_penExtra)*12*F268,0)</f>
        <v>0</v>
      </c>
      <c r="N268" s="51" t="n">
        <f aca="false">IF(C268&lt;PR_RelA1,PR_RelP1,IF(C268&lt;PR_RelA2,PR_RelP2,IF(C268&lt;PR_RelA3,PR_RelP3,IF(C268&lt;PR_RelA4,PR_RelP4,IF(C268&lt;PR_RelA5,PR_RelP5,PR_RelP6)))))</f>
        <v>0.4</v>
      </c>
      <c r="O268" s="20" t="n">
        <f aca="false">IF(G268=1,MIN(L268/H268,N268*MIN(K268/H268,PR_EarnCap))*H268,0)</f>
        <v>0</v>
      </c>
      <c r="P268" s="20" t="n">
        <f aca="false">IF(AND(G268=1,F_AE=1),MIN(K268/H268,PR_AEcap)*H268,0)</f>
        <v>0</v>
      </c>
      <c r="Q268" s="20" t="n">
        <f aca="false">IF(G268=1,IF(WI_Retire=1,MAX(0,M268+WI_M*12),M268)+(PR_AEee+PR_AEer+PR_AEst)*P268,0)</f>
        <v>0</v>
      </c>
      <c r="R268" s="20" t="n">
        <f aca="false">L268+PR_AEee*P268</f>
        <v>0</v>
      </c>
      <c r="S268" s="20" t="n">
        <f aca="false">AD267</f>
        <v>404726.803975474</v>
      </c>
      <c r="T268" s="20" t="n">
        <f aca="false">IF(D268&lt;=PR_SFTfrom,PR_SFT2026,IF(D268=PR_SFTfrom+1,PR_SFT2027,IF(D268=PR_SFTfrom+2,PR_SFT2028,IF(D268&lt;=PR_SFTto,PR_SFT2029,PR_SFT2029*(1+AS_Infl)^(D268-PR_SFTto)))))</f>
        <v>5173248.68419918</v>
      </c>
      <c r="U268" s="20" t="n">
        <f aca="false">IF(AND(G268=0,C268=F_V),1,0)</f>
        <v>0</v>
      </c>
      <c r="V268" s="20" t="n">
        <f aca="false">IF(U268=1,PR_SFTrate*MAX(0,S268-T268),0)</f>
        <v>0</v>
      </c>
      <c r="W268" s="20" t="n">
        <f aca="false">S268-V268</f>
        <v>404726.803975474</v>
      </c>
      <c r="X268" s="20" t="n">
        <f aca="false">IF(AND(U268=1,AS_LumpPct&gt;0),W268*MIN(AS_LumpPct,PR_LSmax),0)</f>
        <v>0</v>
      </c>
      <c r="Y268" s="20" t="n">
        <f aca="false">X268-(PR_LSrate*MAX(0,MIN(X268,PR_LScap)-PR_LSfree)+PR_r2*MAX(0,X268-PR_LScap))</f>
        <v>0</v>
      </c>
      <c r="Z268" s="20" t="n">
        <f aca="false">W268-X268</f>
        <v>404726.803975474</v>
      </c>
      <c r="AA268" s="51" t="n">
        <f aca="false">IF(C268&gt;=PR_ARFage1,IF(Z268&gt;PR_ARFbig,PR_ARFbigRate,IF(C268&gt;=PR_ARFage2,PR_ARF71,PR_ARF61)),0)</f>
        <v>0.05</v>
      </c>
      <c r="AB268" s="20" t="n">
        <f aca="false">IF(AS_DrawRule="min",Z268*AA268,IF(AS_DrawRule="fixed",MAX(AS_DrawFixed*E268,Z268*AA268),Z268*MAX(1/MAX(1,AS_End-C268+1),AA268)))</f>
        <v>20236.3401987737</v>
      </c>
      <c r="AC268" s="20" t="n">
        <f aca="false">IF(AND(G268=0,C268&gt;=F_V),MIN(Z268,AB268),0)</f>
        <v>20236.3401987737</v>
      </c>
      <c r="AD268" s="20" t="n">
        <f aca="false">IF(G268=1,S268*(1+F_PenG)+Q268,IF(C268&lt;F_V,S268*(1+F_PenG),(Z268-AC268)*(1+AS_PenRet)))</f>
        <v>396601.913385666</v>
      </c>
      <c r="AE268" s="20" t="n">
        <f aca="false">IF(C268&gt;=PR_SPage,AS_SP*F_SpF*I268+IF(AND(C268&gt;=PR_Over80Age,F_SpF&gt;0),PR_Over80*PR_Weeks*I268,0),0)</f>
        <v>30515.1774919779</v>
      </c>
      <c r="AF268" s="20" t="n">
        <f aca="false">(F_OtherM+F_RentM)*12*E268+IF(AND(In_polInc&gt;0,In_polIncAge&gt;0,C268&gt;=In_polIncAge),In_polInc,0)</f>
        <v>0</v>
      </c>
      <c r="AG268" s="20" t="n">
        <f aca="false">F_PAge+B268</f>
        <v>71</v>
      </c>
      <c r="AH268" s="20" t="n">
        <f aca="false">IF(AND(F_Partner=1,F_PAge&gt;0,AG268&lt;IF(F_PRet&gt;0,F_PRet,PR_SPage)),F_PIncome*F268,0)</f>
        <v>0</v>
      </c>
      <c r="AI268" s="20" t="n">
        <f aca="false">IF(AND(F_Partner=1,AG268&gt;=PR_SPage,F_PSpQA=0),AS_SP*F_PSpF*I268,0)</f>
        <v>24412.1419935823</v>
      </c>
      <c r="AJ268" s="20" t="n">
        <f aca="false">IF(AND(F_Partner=1,F_PSpQA=1,C268&gt;=PR_SPage,AH268=0),IF(AG268&gt;=PR_SPage,PR_QA66,PR_QAunder)*PR_Weeks*I268,0)</f>
        <v>0</v>
      </c>
      <c r="AK268" s="20" t="n">
        <f aca="false">AE268+AJ268</f>
        <v>30515.1774919779</v>
      </c>
      <c r="AL268" s="20" t="n">
        <f aca="false">K268/H268</f>
        <v>0</v>
      </c>
      <c r="AM268" s="20" t="n">
        <f aca="false">AK268/H268</f>
        <v>15563.6</v>
      </c>
      <c r="AN268" s="20" t="n">
        <f aca="false">AC268/H268</f>
        <v>10321.103470574</v>
      </c>
      <c r="AO268" s="20" t="n">
        <f aca="false">AF268/H268</f>
        <v>0</v>
      </c>
      <c r="AP268" s="20" t="n">
        <f aca="false">O268/H268</f>
        <v>0</v>
      </c>
      <c r="AQ268" s="20" t="n">
        <f aca="false">AH268/H268</f>
        <v>0</v>
      </c>
      <c r="AR268" s="20" t="n">
        <f aca="false">AI268/H268</f>
        <v>12450.88</v>
      </c>
      <c r="AS268" s="20" t="n">
        <f aca="false">MAX(0,AL268+AN268+AO268+AM268-AP268)</f>
        <v>25884.703470574</v>
      </c>
      <c r="AT268" s="20" t="n">
        <f aca="false">MAX(0,AQ268+AR268)</f>
        <v>12450.88</v>
      </c>
      <c r="AU268" s="20" t="n">
        <f aca="false">MIN(PR_PAYE,PR_PAYEcap*(AL268+AN268+AM268))</f>
        <v>2000</v>
      </c>
      <c r="AV268" s="20" t="n">
        <f aca="false">MIN(PR_PAYE,PR_PAYEcap*(AQ268+AR268))</f>
        <v>2000</v>
      </c>
      <c r="AW268" s="20" t="n">
        <f aca="false">IF(C268&gt;=PR_AgeCrAge,PR_AgeCr,0)</f>
        <v>245</v>
      </c>
      <c r="AX268" s="20" t="n">
        <f aca="false">IF(AG268&gt;=PR_AgeCrAge,PR_AgeCr,0)</f>
        <v>245</v>
      </c>
      <c r="AY268" s="20" t="n">
        <f aca="false">IF(AND(F_RentCred=1,D268&lt;=PR_RentLast),1,0)</f>
        <v>0</v>
      </c>
      <c r="AZ268" s="20" t="n">
        <f aca="false">AS268+AT268</f>
        <v>38335.583470574</v>
      </c>
      <c r="BA268" s="20" t="n">
        <f aca="false">PR_PersonalM+AU268+AV268+AW268+AX268+IF(AY268=1,PR_RentJoint,0)</f>
        <v>8490</v>
      </c>
      <c r="BB268" s="20" t="n">
        <f aca="false">PR_BandM+MIN(MIN(AS268,AT268),PR_Uplift)</f>
        <v>65450.88</v>
      </c>
      <c r="BC268" s="20" t="n">
        <f aca="false">MAX(0,PR_r1*MIN(AZ268,BB268)+PR_r2*MAX(0,AZ268-BB268)-BA268)</f>
        <v>0</v>
      </c>
      <c r="BD268" s="20" t="n">
        <f aca="false">MAX(0,PR_HomeCarer-MAX(0,MIN(AS268,AT268)-PR_HCLimit)/2)</f>
        <v>0</v>
      </c>
      <c r="BE268" s="20" t="n">
        <f aca="false">IF(F_Carer=1,MIN(BC268,MAX(0,PR_r1*MIN(AZ268,PR_BandM)+PR_r2*MAX(0,AZ268-PR_BandM)-BA268-BD268)),BC268)</f>
        <v>0</v>
      </c>
      <c r="BF268" s="20" t="n">
        <f aca="false">IF(OR(C268&gt;=PR_AgeCrAge,AG268&gt;=PR_AgeCrAge),IF(AZ268&lt;=PR_AgeExM,0,MIN(BE268,PR_AgeMarg*(AZ268-PR_AgeExM))),BE268)</f>
        <v>0</v>
      </c>
      <c r="BG268" s="20" t="n">
        <f aca="false">MAX(0,PR_r1*MIN(AS268,IF(F_Spccc=1,PR_BandSPCCC,PR_Band))+PR_r2*MAX(0,AS268-IF(F_Spccc=1,PR_BandSPCCC,PR_Band))-(PR_Personal+AU268+AW268+IF(F_Spccc=1,PR_SPCCC,0)+IF(AY268=1,PR_Rent,0)))</f>
        <v>931.940694114802</v>
      </c>
      <c r="BH268" s="20" t="n">
        <f aca="false">IF(C268&gt;=PR_AgeCrAge,IF(AS268&lt;=PR_AgeEx,0,MIN(BG268,PR_AgeMarg*(AS268-PR_AgeEx))),BG268)</f>
        <v>931.940694114802</v>
      </c>
      <c r="BI268" s="20" t="n">
        <f aca="false">IF(F_Partner=1,MAX(0,PR_r1*MIN(AT268,PR_Band)+PR_r2*MAX(0,AT268-PR_Band)-(PR_Personal+AV268+AX268+IF(AND(AY268=1,AT268&gt;0),PR_Rent,0))),0)</f>
        <v>0</v>
      </c>
      <c r="BJ268" s="20" t="n">
        <f aca="false">IF(AG268&gt;=PR_AgeCrAge,IF(AT268&lt;=PR_AgeEx,0,MIN(BI268,PR_AgeMarg*(AT268-PR_AgeEx))),BI268)</f>
        <v>0</v>
      </c>
      <c r="BK268" s="20" t="n">
        <f aca="false">IF(F_Partner=1,IF(F_Married=1,BF268,BH268+BJ268),BH268)</f>
        <v>931.940694114802</v>
      </c>
      <c r="BL268" s="20" t="n">
        <f aca="false">AL268+AN268+AO268</f>
        <v>10321.103470574</v>
      </c>
      <c r="BM268" s="20"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20" t="n">
        <f aca="false">AQ268</f>
        <v>0</v>
      </c>
      <c r="BO268" s="20"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20" t="n">
        <f aca="false">IF(C268&lt;PR_PRSIend,IF(F_SelfEmp=1,IF(AL268&gt;PR_PRSIsMinInc,MAX(PR_PRSIsMin,AL268*J268),0),IF(AL268/52&lt;=PR_PRSIfree,0,MAX(0,(AL268/52*J268-IF(AL268/52&lt;=PR_PRSIcreditTo,MAX(0,PR_PRSIcreditMax-(AL268/52-(PR_PRSIfree+0.01))/PR_PRSItaper),0))*52)))+J268*AN268+IF(AO268&gt;PR_PRSIunearned,J268*AO268,0),0)+IF(AND(PRSI_ARF_Applies=1,AN268&gt;0,C268&gt;=PR_PRSIend,C268&lt;PRSI_ARF_ToAge,NOT(AK268&gt;0)),J268*AN268,0)</f>
        <v>0</v>
      </c>
      <c r="BQ268" s="20" t="n">
        <f aca="false">IF(AND(F_Partner=1,AG268&lt;PR_PRSIend),IF(AQ268/52&lt;=PR_PRSIfree,0,MAX(0,(AQ268/52*J268-IF(AQ268/52&lt;=PR_PRSIcreditTo,MAX(0,PR_PRSIcreditMax-(AQ268/52-(PR_PRSIfree+0.01))/PR_PRSItaper),0))*52)),0)</f>
        <v>0</v>
      </c>
      <c r="BR268" s="20" t="n">
        <f aca="false">BK268+BM268+BO268+BP268+BQ268</f>
        <v>931.940694114802</v>
      </c>
      <c r="BS268" s="20" t="n">
        <f aca="false">BR268*H268</f>
        <v>1827.23378221685</v>
      </c>
      <c r="BT268" s="20" t="n">
        <f aca="false">K268+AK268+AC268+AF268+AH268+AI268</f>
        <v>75163.6596843338</v>
      </c>
    </row>
    <row r="269" customFormat="false" ht="15" hidden="false" customHeight="true" outlineLevel="0" collapsed="false">
      <c r="B269" s="20" t="n">
        <v>35</v>
      </c>
      <c r="C269" s="20" t="n">
        <f aca="false">F_Age+B269</f>
        <v>73</v>
      </c>
      <c r="D269" s="20" t="n">
        <f aca="false">AS_Year0+B269</f>
        <v>2061</v>
      </c>
      <c r="E269" s="50" t="n">
        <f aca="false">(1+AS_Infl)^B269</f>
        <v>1.99988955266246</v>
      </c>
      <c r="F269" s="50" t="n">
        <f aca="false">(1+AS_Wage)^B269</f>
        <v>2.81386245437153</v>
      </c>
      <c r="G269" s="20" t="n">
        <f aca="false">IF(C269&lt;F_R,1,0)</f>
        <v>0</v>
      </c>
      <c r="H269" s="50" t="n">
        <f aca="false">IF(AS_Bands="flat",1,E269)</f>
        <v>1.99988955266246</v>
      </c>
      <c r="I269" s="50" t="n">
        <f aca="false">IF(AS_SpGrow="pay",F269,IF(AS_SpGrow="flat",1,E269))</f>
        <v>1.99988955266246</v>
      </c>
      <c r="J269" s="50" t="n">
        <f aca="false">(12*PR_PRSIr0+(PR_PRSIr1-PR_PRSIr0)*MAX(0,MIN(12,D269*12+12-PR_PRSIt1))+(PR_PRSIr2-PR_PRSIr1)*MAX(0,MIN(12,D269*12+12-PR_PRSIt2))+(PR_PRSIr3-PR_PRSIr2)*MAX(0,MIN(12,D269*12+12-PR_PRSIt3)))/12</f>
        <v>0.047</v>
      </c>
      <c r="K269" s="20" t="n">
        <f aca="false">IF(G269=1,F_Income*F269,0)</f>
        <v>0</v>
      </c>
      <c r="L269" s="20" t="n">
        <f aca="false">IF(G269=1,(F_Own+In_penExtra)*12*F269,0)</f>
        <v>0</v>
      </c>
      <c r="M269" s="20" t="n">
        <f aca="false">IF(G269=1,(F_PenM+In_penExtra)*12*F269,0)</f>
        <v>0</v>
      </c>
      <c r="N269" s="51" t="n">
        <f aca="false">IF(C269&lt;PR_RelA1,PR_RelP1,IF(C269&lt;PR_RelA2,PR_RelP2,IF(C269&lt;PR_RelA3,PR_RelP3,IF(C269&lt;PR_RelA4,PR_RelP4,IF(C269&lt;PR_RelA5,PR_RelP5,PR_RelP6)))))</f>
        <v>0.4</v>
      </c>
      <c r="O269" s="20" t="n">
        <f aca="false">IF(G269=1,MIN(L269/H269,N269*MIN(K269/H269,PR_EarnCap))*H269,0)</f>
        <v>0</v>
      </c>
      <c r="P269" s="20" t="n">
        <f aca="false">IF(AND(G269=1,F_AE=1),MIN(K269/H269,PR_AEcap)*H269,0)</f>
        <v>0</v>
      </c>
      <c r="Q269" s="20" t="n">
        <f aca="false">IF(G269=1,IF(WI_Retire=1,MAX(0,M269+WI_M*12),M269)+(PR_AEee+PR_AEer+PR_AEst)*P269,0)</f>
        <v>0</v>
      </c>
      <c r="R269" s="20" t="n">
        <f aca="false">L269+PR_AEee*P269</f>
        <v>0</v>
      </c>
      <c r="S269" s="20" t="n">
        <f aca="false">AD268</f>
        <v>396601.913385666</v>
      </c>
      <c r="T269" s="20" t="n">
        <f aca="false">IF(D269&lt;=PR_SFTfrom,PR_SFT2026,IF(D269=PR_SFTfrom+1,PR_SFT2027,IF(D269=PR_SFTfrom+2,PR_SFT2028,IF(D269&lt;=PR_SFTto,PR_SFT2029,PR_SFT2029*(1+AS_Infl)^(D269-PR_SFTto)))))</f>
        <v>5276713.65788316</v>
      </c>
      <c r="U269" s="20" t="n">
        <f aca="false">IF(AND(G269=0,C269=F_V),1,0)</f>
        <v>0</v>
      </c>
      <c r="V269" s="20" t="n">
        <f aca="false">IF(U269=1,PR_SFTrate*MAX(0,S269-T269),0)</f>
        <v>0</v>
      </c>
      <c r="W269" s="20" t="n">
        <f aca="false">S269-V269</f>
        <v>396601.913385666</v>
      </c>
      <c r="X269" s="20" t="n">
        <f aca="false">IF(AND(U269=1,AS_LumpPct&gt;0),W269*MIN(AS_LumpPct,PR_LSmax),0)</f>
        <v>0</v>
      </c>
      <c r="Y269" s="20" t="n">
        <f aca="false">X269-(PR_LSrate*MAX(0,MIN(X269,PR_LScap)-PR_LSfree)+PR_r2*MAX(0,X269-PR_LScap))</f>
        <v>0</v>
      </c>
      <c r="Z269" s="20" t="n">
        <f aca="false">W269-X269</f>
        <v>396601.913385666</v>
      </c>
      <c r="AA269" s="51" t="n">
        <f aca="false">IF(C269&gt;=PR_ARFage1,IF(Z269&gt;PR_ARFbig,PR_ARFbigRate,IF(C269&gt;=PR_ARFage2,PR_ARF71,PR_ARF61)),0)</f>
        <v>0.05</v>
      </c>
      <c r="AB269" s="20" t="n">
        <f aca="false">IF(AS_DrawRule="min",Z269*AA269,IF(AS_DrawRule="fixed",MAX(AS_DrawFixed*E269,Z269*AA269),Z269*MAX(1/MAX(1,AS_End-C269+1),AA269)))</f>
        <v>19830.0956692833</v>
      </c>
      <c r="AC269" s="20" t="n">
        <f aca="false">IF(AND(G269=0,C269&gt;=F_V),MIN(Z269,AB269),0)</f>
        <v>19830.0956692833</v>
      </c>
      <c r="AD269" s="20" t="n">
        <f aca="false">IF(G269=1,S269*(1+F_PenG)+Q269,IF(C269&lt;F_V,S269*(1+F_PenG),(Z269-AC269)*(1+AS_PenRet)))</f>
        <v>388640.129974449</v>
      </c>
      <c r="AE269" s="20" t="n">
        <f aca="false">IF(C269&gt;=PR_SPage,AS_SP*F_SpF*I269+IF(AND(C269&gt;=PR_Over80Age,F_SpF&gt;0),PR_Over80*PR_Weeks*I269,0),0)</f>
        <v>31125.4810418174</v>
      </c>
      <c r="AF269" s="20" t="n">
        <f aca="false">(F_OtherM+F_RentM)*12*E269+IF(AND(In_polInc&gt;0,In_polIncAge&gt;0,C269&gt;=In_polIncAge),In_polInc,0)</f>
        <v>0</v>
      </c>
      <c r="AG269" s="20" t="n">
        <f aca="false">F_PAge+B269</f>
        <v>72</v>
      </c>
      <c r="AH269" s="20" t="n">
        <f aca="false">IF(AND(F_Partner=1,F_PAge&gt;0,AG269&lt;IF(F_PRet&gt;0,F_PRet,PR_SPage)),F_PIncome*F269,0)</f>
        <v>0</v>
      </c>
      <c r="AI269" s="20" t="n">
        <f aca="false">IF(AND(F_Partner=1,AG269&gt;=PR_SPage,F_PSpQA=0),AS_SP*F_PSpF*I269,0)</f>
        <v>24900.3848334539</v>
      </c>
      <c r="AJ269" s="20" t="n">
        <f aca="false">IF(AND(F_Partner=1,F_PSpQA=1,C269&gt;=PR_SPage,AH269=0),IF(AG269&gt;=PR_SPage,PR_QA66,PR_QAunder)*PR_Weeks*I269,0)</f>
        <v>0</v>
      </c>
      <c r="AK269" s="20" t="n">
        <f aca="false">AE269+AJ269</f>
        <v>31125.4810418174</v>
      </c>
      <c r="AL269" s="20" t="n">
        <f aca="false">K269/H269</f>
        <v>0</v>
      </c>
      <c r="AM269" s="20" t="n">
        <f aca="false">AK269/H269</f>
        <v>15563.6</v>
      </c>
      <c r="AN269" s="20" t="n">
        <f aca="false">AC269/H269</f>
        <v>9915.59541019827</v>
      </c>
      <c r="AO269" s="20" t="n">
        <f aca="false">AF269/H269</f>
        <v>0</v>
      </c>
      <c r="AP269" s="20" t="n">
        <f aca="false">O269/H269</f>
        <v>0</v>
      </c>
      <c r="AQ269" s="20" t="n">
        <f aca="false">AH269/H269</f>
        <v>0</v>
      </c>
      <c r="AR269" s="20" t="n">
        <f aca="false">AI269/H269</f>
        <v>12450.88</v>
      </c>
      <c r="AS269" s="20" t="n">
        <f aca="false">MAX(0,AL269+AN269+AO269+AM269-AP269)</f>
        <v>25479.1954101983</v>
      </c>
      <c r="AT269" s="20" t="n">
        <f aca="false">MAX(0,AQ269+AR269)</f>
        <v>12450.88</v>
      </c>
      <c r="AU269" s="20" t="n">
        <f aca="false">MIN(PR_PAYE,PR_PAYEcap*(AL269+AN269+AM269))</f>
        <v>2000</v>
      </c>
      <c r="AV269" s="20" t="n">
        <f aca="false">MIN(PR_PAYE,PR_PAYEcap*(AQ269+AR269))</f>
        <v>2000</v>
      </c>
      <c r="AW269" s="20" t="n">
        <f aca="false">IF(C269&gt;=PR_AgeCrAge,PR_AgeCr,0)</f>
        <v>245</v>
      </c>
      <c r="AX269" s="20" t="n">
        <f aca="false">IF(AG269&gt;=PR_AgeCrAge,PR_AgeCr,0)</f>
        <v>245</v>
      </c>
      <c r="AY269" s="20" t="n">
        <f aca="false">IF(AND(F_RentCred=1,D269&lt;=PR_RentLast),1,0)</f>
        <v>0</v>
      </c>
      <c r="AZ269" s="20" t="n">
        <f aca="false">AS269+AT269</f>
        <v>37930.0754101983</v>
      </c>
      <c r="BA269" s="20" t="n">
        <f aca="false">PR_PersonalM+AU269+AV269+AW269+AX269+IF(AY269=1,PR_RentJoint,0)</f>
        <v>8490</v>
      </c>
      <c r="BB269" s="20" t="n">
        <f aca="false">PR_BandM+MIN(MIN(AS269,AT269),PR_Uplift)</f>
        <v>65450.88</v>
      </c>
      <c r="BC269" s="20" t="n">
        <f aca="false">MAX(0,PR_r1*MIN(AZ269,BB269)+PR_r2*MAX(0,AZ269-BB269)-BA269)</f>
        <v>0</v>
      </c>
      <c r="BD269" s="20" t="n">
        <f aca="false">MAX(0,PR_HomeCarer-MAX(0,MIN(AS269,AT269)-PR_HCLimit)/2)</f>
        <v>0</v>
      </c>
      <c r="BE269" s="20" t="n">
        <f aca="false">IF(F_Carer=1,MIN(BC269,MAX(0,PR_r1*MIN(AZ269,PR_BandM)+PR_r2*MAX(0,AZ269-PR_BandM)-BA269-BD269)),BC269)</f>
        <v>0</v>
      </c>
      <c r="BF269" s="20" t="n">
        <f aca="false">IF(OR(C269&gt;=PR_AgeCrAge,AG269&gt;=PR_AgeCrAge),IF(AZ269&lt;=PR_AgeExM,0,MIN(BE269,PR_AgeMarg*(AZ269-PR_AgeExM))),BE269)</f>
        <v>0</v>
      </c>
      <c r="BG269" s="20" t="n">
        <f aca="false">MAX(0,PR_r1*MIN(AS269,IF(F_Spccc=1,PR_BandSPCCC,PR_Band))+PR_r2*MAX(0,AS269-IF(F_Spccc=1,PR_BandSPCCC,PR_Band))-(PR_Personal+AU269+AW269+IF(F_Spccc=1,PR_SPCCC,0)+IF(AY269=1,PR_Rent,0)))</f>
        <v>850.839082039654</v>
      </c>
      <c r="BH269" s="20" t="n">
        <f aca="false">IF(C269&gt;=PR_AgeCrAge,IF(AS269&lt;=PR_AgeEx,0,MIN(BG269,PR_AgeMarg*(AS269-PR_AgeEx))),BG269)</f>
        <v>850.839082039654</v>
      </c>
      <c r="BI269" s="20" t="n">
        <f aca="false">IF(F_Partner=1,MAX(0,PR_r1*MIN(AT269,PR_Band)+PR_r2*MAX(0,AT269-PR_Band)-(PR_Personal+AV269+AX269+IF(AND(AY269=1,AT269&gt;0),PR_Rent,0))),0)</f>
        <v>0</v>
      </c>
      <c r="BJ269" s="20" t="n">
        <f aca="false">IF(AG269&gt;=PR_AgeCrAge,IF(AT269&lt;=PR_AgeEx,0,MIN(BI269,PR_AgeMarg*(AT269-PR_AgeEx))),BI269)</f>
        <v>0</v>
      </c>
      <c r="BK269" s="20" t="n">
        <f aca="false">IF(F_Partner=1,IF(F_Married=1,BF269,BH269+BJ269),BH269)</f>
        <v>850.839082039654</v>
      </c>
      <c r="BL269" s="20" t="n">
        <f aca="false">AL269+AN269+AO269</f>
        <v>9915.59541019827</v>
      </c>
      <c r="BM269" s="20"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20" t="n">
        <f aca="false">AQ269</f>
        <v>0</v>
      </c>
      <c r="BO269" s="20"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20" t="n">
        <f aca="false">IF(C269&lt;PR_PRSIend,IF(F_SelfEmp=1,IF(AL269&gt;PR_PRSIsMinInc,MAX(PR_PRSIsMin,AL269*J269),0),IF(AL269/52&lt;=PR_PRSIfree,0,MAX(0,(AL269/52*J269-IF(AL269/52&lt;=PR_PRSIcreditTo,MAX(0,PR_PRSIcreditMax-(AL269/52-(PR_PRSIfree+0.01))/PR_PRSItaper),0))*52)))+J269*AN269+IF(AO269&gt;PR_PRSIunearned,J269*AO269,0),0)+IF(AND(PRSI_ARF_Applies=1,AN269&gt;0,C269&gt;=PR_PRSIend,C269&lt;PRSI_ARF_ToAge,NOT(AK269&gt;0)),J269*AN269,0)</f>
        <v>0</v>
      </c>
      <c r="BQ269" s="20" t="n">
        <f aca="false">IF(AND(F_Partner=1,AG269&lt;PR_PRSIend),IF(AQ269/52&lt;=PR_PRSIfree,0,MAX(0,(AQ269/52*J269-IF(AQ269/52&lt;=PR_PRSIcreditTo,MAX(0,PR_PRSIcreditMax-(AQ269/52-(PR_PRSIfree+0.01))/PR_PRSItaper),0))*52)),0)</f>
        <v>0</v>
      </c>
      <c r="BR269" s="20" t="n">
        <f aca="false">BK269+BM269+BO269+BP269+BQ269</f>
        <v>850.839082039654</v>
      </c>
      <c r="BS269" s="20" t="n">
        <f aca="false">BR269*H269</f>
        <v>1701.58419116802</v>
      </c>
      <c r="BT269" s="20" t="n">
        <f aca="false">K269+AK269+AC269+AF269+AH269+AI269</f>
        <v>75855.9615445547</v>
      </c>
    </row>
    <row r="270" customFormat="false" ht="15" hidden="false" customHeight="true" outlineLevel="0" collapsed="false">
      <c r="B270" s="20" t="n">
        <v>36</v>
      </c>
      <c r="C270" s="20" t="n">
        <f aca="false">F_Age+B270</f>
        <v>74</v>
      </c>
      <c r="D270" s="20" t="n">
        <f aca="false">AS_Year0+B270</f>
        <v>2062</v>
      </c>
      <c r="E270" s="50" t="n">
        <f aca="false">(1+AS_Infl)^B270</f>
        <v>2.03988734371571</v>
      </c>
      <c r="F270" s="50" t="n">
        <f aca="false">(1+AS_Wage)^B270</f>
        <v>2.89827832800267</v>
      </c>
      <c r="G270" s="20" t="n">
        <f aca="false">IF(C270&lt;F_R,1,0)</f>
        <v>0</v>
      </c>
      <c r="H270" s="50" t="n">
        <f aca="false">IF(AS_Bands="flat",1,E270)</f>
        <v>2.03988734371571</v>
      </c>
      <c r="I270" s="50" t="n">
        <f aca="false">IF(AS_SpGrow="pay",F270,IF(AS_SpGrow="flat",1,E270))</f>
        <v>2.03988734371571</v>
      </c>
      <c r="J270" s="50" t="n">
        <f aca="false">(12*PR_PRSIr0+(PR_PRSIr1-PR_PRSIr0)*MAX(0,MIN(12,D270*12+12-PR_PRSIt1))+(PR_PRSIr2-PR_PRSIr1)*MAX(0,MIN(12,D270*12+12-PR_PRSIt2))+(PR_PRSIr3-PR_PRSIr2)*MAX(0,MIN(12,D270*12+12-PR_PRSIt3)))/12</f>
        <v>0.047</v>
      </c>
      <c r="K270" s="20" t="n">
        <f aca="false">IF(G270=1,F_Income*F270,0)</f>
        <v>0</v>
      </c>
      <c r="L270" s="20" t="n">
        <f aca="false">IF(G270=1,(F_Own+In_penExtra)*12*F270,0)</f>
        <v>0</v>
      </c>
      <c r="M270" s="20" t="n">
        <f aca="false">IF(G270=1,(F_PenM+In_penExtra)*12*F270,0)</f>
        <v>0</v>
      </c>
      <c r="N270" s="51" t="n">
        <f aca="false">IF(C270&lt;PR_RelA1,PR_RelP1,IF(C270&lt;PR_RelA2,PR_RelP2,IF(C270&lt;PR_RelA3,PR_RelP3,IF(C270&lt;PR_RelA4,PR_RelP4,IF(C270&lt;PR_RelA5,PR_RelP5,PR_RelP6)))))</f>
        <v>0.4</v>
      </c>
      <c r="O270" s="20" t="n">
        <f aca="false">IF(G270=1,MIN(L270/H270,N270*MIN(K270/H270,PR_EarnCap))*H270,0)</f>
        <v>0</v>
      </c>
      <c r="P270" s="20" t="n">
        <f aca="false">IF(AND(G270=1,F_AE=1),MIN(K270/H270,PR_AEcap)*H270,0)</f>
        <v>0</v>
      </c>
      <c r="Q270" s="20" t="n">
        <f aca="false">IF(G270=1,IF(WI_Retire=1,MAX(0,M270+WI_M*12),M270)+(PR_AEee+PR_AEer+PR_AEst)*P270,0)</f>
        <v>0</v>
      </c>
      <c r="R270" s="20" t="n">
        <f aca="false">L270+PR_AEee*P270</f>
        <v>0</v>
      </c>
      <c r="S270" s="20" t="n">
        <f aca="false">AD269</f>
        <v>388640.129974449</v>
      </c>
      <c r="T270" s="20" t="n">
        <f aca="false">IF(D270&lt;=PR_SFTfrom,PR_SFT2026,IF(D270=PR_SFTfrom+1,PR_SFT2027,IF(D270=PR_SFTfrom+2,PR_SFT2028,IF(D270&lt;=PR_SFTto,PR_SFT2029,PR_SFT2029*(1+AS_Infl)^(D270-PR_SFTto)))))</f>
        <v>5382247.93104083</v>
      </c>
      <c r="U270" s="20" t="n">
        <f aca="false">IF(AND(G270=0,C270=F_V),1,0)</f>
        <v>0</v>
      </c>
      <c r="V270" s="20" t="n">
        <f aca="false">IF(U270=1,PR_SFTrate*MAX(0,S270-T270),0)</f>
        <v>0</v>
      </c>
      <c r="W270" s="20" t="n">
        <f aca="false">S270-V270</f>
        <v>388640.129974449</v>
      </c>
      <c r="X270" s="20" t="n">
        <f aca="false">IF(AND(U270=1,AS_LumpPct&gt;0),W270*MIN(AS_LumpPct,PR_LSmax),0)</f>
        <v>0</v>
      </c>
      <c r="Y270" s="20" t="n">
        <f aca="false">X270-(PR_LSrate*MAX(0,MIN(X270,PR_LScap)-PR_LSfree)+PR_r2*MAX(0,X270-PR_LScap))</f>
        <v>0</v>
      </c>
      <c r="Z270" s="20" t="n">
        <f aca="false">W270-X270</f>
        <v>388640.129974449</v>
      </c>
      <c r="AA270" s="51" t="n">
        <f aca="false">IF(C270&gt;=PR_ARFage1,IF(Z270&gt;PR_ARFbig,PR_ARFbigRate,IF(C270&gt;=PR_ARFage2,PR_ARF71,PR_ARF61)),0)</f>
        <v>0.05</v>
      </c>
      <c r="AB270" s="20" t="n">
        <f aca="false">IF(AS_DrawRule="min",Z270*AA270,IF(AS_DrawRule="fixed",MAX(AS_DrawFixed*E270,Z270*AA270),Z270*MAX(1/MAX(1,AS_End-C270+1),AA270)))</f>
        <v>19432.0064987225</v>
      </c>
      <c r="AC270" s="20" t="n">
        <f aca="false">IF(AND(G270=0,C270&gt;=F_V),MIN(Z270,AB270),0)</f>
        <v>19432.0064987225</v>
      </c>
      <c r="AD270" s="20" t="n">
        <f aca="false">IF(G270=1,S270*(1+F_PenG)+Q270,IF(C270&lt;F_V,S270*(1+F_PenG),(Z270-AC270)*(1+AS_PenRet)))</f>
        <v>380838.179365212</v>
      </c>
      <c r="AE270" s="20" t="n">
        <f aca="false">IF(C270&gt;=PR_SPage,AS_SP*F_SpF*I270+IF(AND(C270&gt;=PR_Over80Age,F_SpF&gt;0),PR_Over80*PR_Weeks*I270,0),0)</f>
        <v>31747.9906626538</v>
      </c>
      <c r="AF270" s="20" t="n">
        <f aca="false">(F_OtherM+F_RentM)*12*E270+IF(AND(In_polInc&gt;0,In_polIncAge&gt;0,C270&gt;=In_polIncAge),In_polInc,0)</f>
        <v>0</v>
      </c>
      <c r="AG270" s="20" t="n">
        <f aca="false">F_PAge+B270</f>
        <v>73</v>
      </c>
      <c r="AH270" s="20" t="n">
        <f aca="false">IF(AND(F_Partner=1,F_PAge&gt;0,AG270&lt;IF(F_PRet&gt;0,F_PRet,PR_SPage)),F_PIncome*F270,0)</f>
        <v>0</v>
      </c>
      <c r="AI270" s="20" t="n">
        <f aca="false">IF(AND(F_Partner=1,AG270&gt;=PR_SPage,F_PSpQA=0),AS_SP*F_PSpF*I270,0)</f>
        <v>25398.392530123</v>
      </c>
      <c r="AJ270" s="20" t="n">
        <f aca="false">IF(AND(F_Partner=1,F_PSpQA=1,C270&gt;=PR_SPage,AH270=0),IF(AG270&gt;=PR_SPage,PR_QA66,PR_QAunder)*PR_Weeks*I270,0)</f>
        <v>0</v>
      </c>
      <c r="AK270" s="20" t="n">
        <f aca="false">AE270+AJ270</f>
        <v>31747.9906626538</v>
      </c>
      <c r="AL270" s="20" t="n">
        <f aca="false">K270/H270</f>
        <v>0</v>
      </c>
      <c r="AM270" s="20" t="n">
        <f aca="false">AK270/H270</f>
        <v>15563.6</v>
      </c>
      <c r="AN270" s="20" t="n">
        <f aca="false">AC270/H270</f>
        <v>9526.01944346916</v>
      </c>
      <c r="AO270" s="20" t="n">
        <f aca="false">AF270/H270</f>
        <v>0</v>
      </c>
      <c r="AP270" s="20" t="n">
        <f aca="false">O270/H270</f>
        <v>0</v>
      </c>
      <c r="AQ270" s="20" t="n">
        <f aca="false">AH270/H270</f>
        <v>0</v>
      </c>
      <c r="AR270" s="20" t="n">
        <f aca="false">AI270/H270</f>
        <v>12450.88</v>
      </c>
      <c r="AS270" s="20" t="n">
        <f aca="false">MAX(0,AL270+AN270+AO270+AM270-AP270)</f>
        <v>25089.6194434692</v>
      </c>
      <c r="AT270" s="20" t="n">
        <f aca="false">MAX(0,AQ270+AR270)</f>
        <v>12450.88</v>
      </c>
      <c r="AU270" s="20" t="n">
        <f aca="false">MIN(PR_PAYE,PR_PAYEcap*(AL270+AN270+AM270))</f>
        <v>2000</v>
      </c>
      <c r="AV270" s="20" t="n">
        <f aca="false">MIN(PR_PAYE,PR_PAYEcap*(AQ270+AR270))</f>
        <v>2000</v>
      </c>
      <c r="AW270" s="20" t="n">
        <f aca="false">IF(C270&gt;=PR_AgeCrAge,PR_AgeCr,0)</f>
        <v>245</v>
      </c>
      <c r="AX270" s="20" t="n">
        <f aca="false">IF(AG270&gt;=PR_AgeCrAge,PR_AgeCr,0)</f>
        <v>245</v>
      </c>
      <c r="AY270" s="20" t="n">
        <f aca="false">IF(AND(F_RentCred=1,D270&lt;=PR_RentLast),1,0)</f>
        <v>0</v>
      </c>
      <c r="AZ270" s="20" t="n">
        <f aca="false">AS270+AT270</f>
        <v>37540.4994434692</v>
      </c>
      <c r="BA270" s="20" t="n">
        <f aca="false">PR_PersonalM+AU270+AV270+AW270+AX270+IF(AY270=1,PR_RentJoint,0)</f>
        <v>8490</v>
      </c>
      <c r="BB270" s="20" t="n">
        <f aca="false">PR_BandM+MIN(MIN(AS270,AT270),PR_Uplift)</f>
        <v>65450.88</v>
      </c>
      <c r="BC270" s="20" t="n">
        <f aca="false">MAX(0,PR_r1*MIN(AZ270,BB270)+PR_r2*MAX(0,AZ270-BB270)-BA270)</f>
        <v>0</v>
      </c>
      <c r="BD270" s="20" t="n">
        <f aca="false">MAX(0,PR_HomeCarer-MAX(0,MIN(AS270,AT270)-PR_HCLimit)/2)</f>
        <v>0</v>
      </c>
      <c r="BE270" s="20" t="n">
        <f aca="false">IF(F_Carer=1,MIN(BC270,MAX(0,PR_r1*MIN(AZ270,PR_BandM)+PR_r2*MAX(0,AZ270-PR_BandM)-BA270-BD270)),BC270)</f>
        <v>0</v>
      </c>
      <c r="BF270" s="20" t="n">
        <f aca="false">IF(OR(C270&gt;=PR_AgeCrAge,AG270&gt;=PR_AgeCrAge),IF(AZ270&lt;=PR_AgeExM,0,MIN(BE270,PR_AgeMarg*(AZ270-PR_AgeExM))),BE270)</f>
        <v>0</v>
      </c>
      <c r="BG270" s="20" t="n">
        <f aca="false">MAX(0,PR_r1*MIN(AS270,IF(F_Spccc=1,PR_BandSPCCC,PR_Band))+PR_r2*MAX(0,AS270-IF(F_Spccc=1,PR_BandSPCCC,PR_Band))-(PR_Personal+AU270+AW270+IF(F_Spccc=1,PR_SPCCC,0)+IF(AY270=1,PR_Rent,0)))</f>
        <v>772.923888693832</v>
      </c>
      <c r="BH270" s="20" t="n">
        <f aca="false">IF(C270&gt;=PR_AgeCrAge,IF(AS270&lt;=PR_AgeEx,0,MIN(BG270,PR_AgeMarg*(AS270-PR_AgeEx))),BG270)</f>
        <v>772.923888693832</v>
      </c>
      <c r="BI270" s="20" t="n">
        <f aca="false">IF(F_Partner=1,MAX(0,PR_r1*MIN(AT270,PR_Band)+PR_r2*MAX(0,AT270-PR_Band)-(PR_Personal+AV270+AX270+IF(AND(AY270=1,AT270&gt;0),PR_Rent,0))),0)</f>
        <v>0</v>
      </c>
      <c r="BJ270" s="20" t="n">
        <f aca="false">IF(AG270&gt;=PR_AgeCrAge,IF(AT270&lt;=PR_AgeEx,0,MIN(BI270,PR_AgeMarg*(AT270-PR_AgeEx))),BI270)</f>
        <v>0</v>
      </c>
      <c r="BK270" s="20" t="n">
        <f aca="false">IF(F_Partner=1,IF(F_Married=1,BF270,BH270+BJ270),BH270)</f>
        <v>772.923888693832</v>
      </c>
      <c r="BL270" s="20" t="n">
        <f aca="false">AL270+AN270+AO270</f>
        <v>9526.01944346916</v>
      </c>
      <c r="BM270" s="20"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20" t="n">
        <f aca="false">AQ270</f>
        <v>0</v>
      </c>
      <c r="BO270" s="20"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20" t="n">
        <f aca="false">IF(C270&lt;PR_PRSIend,IF(F_SelfEmp=1,IF(AL270&gt;PR_PRSIsMinInc,MAX(PR_PRSIsMin,AL270*J270),0),IF(AL270/52&lt;=PR_PRSIfree,0,MAX(0,(AL270/52*J270-IF(AL270/52&lt;=PR_PRSIcreditTo,MAX(0,PR_PRSIcreditMax-(AL270/52-(PR_PRSIfree+0.01))/PR_PRSItaper),0))*52)))+J270*AN270+IF(AO270&gt;PR_PRSIunearned,J270*AO270,0),0)+IF(AND(PRSI_ARF_Applies=1,AN270&gt;0,C270&gt;=PR_PRSIend,C270&lt;PRSI_ARF_ToAge,NOT(AK270&gt;0)),J270*AN270,0)</f>
        <v>0</v>
      </c>
      <c r="BQ270" s="20" t="n">
        <f aca="false">IF(AND(F_Partner=1,AG270&lt;PR_PRSIend),IF(AQ270/52&lt;=PR_PRSIfree,0,MAX(0,(AQ270/52*J270-IF(AQ270/52&lt;=PR_PRSIcreditTo,MAX(0,PR_PRSIcreditMax-(AQ270/52-(PR_PRSIfree+0.01))/PR_PRSItaper),0))*52)),0)</f>
        <v>0</v>
      </c>
      <c r="BR270" s="20" t="n">
        <f aca="false">BK270+BM270+BO270+BP270+BQ270</f>
        <v>772.923888693832</v>
      </c>
      <c r="BS270" s="20" t="n">
        <f aca="false">BR270*H270</f>
        <v>1576.67765820207</v>
      </c>
      <c r="BT270" s="20" t="n">
        <f aca="false">K270+AK270+AC270+AF270+AH270+AI270</f>
        <v>76578.3896914992</v>
      </c>
    </row>
    <row r="271" customFormat="false" ht="15" hidden="false" customHeight="true" outlineLevel="0" collapsed="false">
      <c r="B271" s="20" t="n">
        <v>37</v>
      </c>
      <c r="C271" s="20" t="n">
        <f aca="false">F_Age+B271</f>
        <v>75</v>
      </c>
      <c r="D271" s="20" t="n">
        <f aca="false">AS_Year0+B271</f>
        <v>2063</v>
      </c>
      <c r="E271" s="50" t="n">
        <f aca="false">(1+AS_Infl)^B271</f>
        <v>2.08068509059002</v>
      </c>
      <c r="F271" s="50" t="n">
        <f aca="false">(1+AS_Wage)^B271</f>
        <v>2.98522667784275</v>
      </c>
      <c r="G271" s="20" t="n">
        <f aca="false">IF(C271&lt;F_R,1,0)</f>
        <v>0</v>
      </c>
      <c r="H271" s="50" t="n">
        <f aca="false">IF(AS_Bands="flat",1,E271)</f>
        <v>2.08068509059002</v>
      </c>
      <c r="I271" s="50" t="n">
        <f aca="false">IF(AS_SpGrow="pay",F271,IF(AS_SpGrow="flat",1,E271))</f>
        <v>2.08068509059002</v>
      </c>
      <c r="J271" s="50" t="n">
        <f aca="false">(12*PR_PRSIr0+(PR_PRSIr1-PR_PRSIr0)*MAX(0,MIN(12,D271*12+12-PR_PRSIt1))+(PR_PRSIr2-PR_PRSIr1)*MAX(0,MIN(12,D271*12+12-PR_PRSIt2))+(PR_PRSIr3-PR_PRSIr2)*MAX(0,MIN(12,D271*12+12-PR_PRSIt3)))/12</f>
        <v>0.047</v>
      </c>
      <c r="K271" s="20" t="n">
        <f aca="false">IF(G271=1,F_Income*F271,0)</f>
        <v>0</v>
      </c>
      <c r="L271" s="20" t="n">
        <f aca="false">IF(G271=1,(F_Own+In_penExtra)*12*F271,0)</f>
        <v>0</v>
      </c>
      <c r="M271" s="20" t="n">
        <f aca="false">IF(G271=1,(F_PenM+In_penExtra)*12*F271,0)</f>
        <v>0</v>
      </c>
      <c r="N271" s="51" t="n">
        <f aca="false">IF(C271&lt;PR_RelA1,PR_RelP1,IF(C271&lt;PR_RelA2,PR_RelP2,IF(C271&lt;PR_RelA3,PR_RelP3,IF(C271&lt;PR_RelA4,PR_RelP4,IF(C271&lt;PR_RelA5,PR_RelP5,PR_RelP6)))))</f>
        <v>0.4</v>
      </c>
      <c r="O271" s="20" t="n">
        <f aca="false">IF(G271=1,MIN(L271/H271,N271*MIN(K271/H271,PR_EarnCap))*H271,0)</f>
        <v>0</v>
      </c>
      <c r="P271" s="20" t="n">
        <f aca="false">IF(AND(G271=1,F_AE=1),MIN(K271/H271,PR_AEcap)*H271,0)</f>
        <v>0</v>
      </c>
      <c r="Q271" s="20" t="n">
        <f aca="false">IF(G271=1,IF(WI_Retire=1,MAX(0,M271+WI_M*12),M271)+(PR_AEee+PR_AEer+PR_AEst)*P271,0)</f>
        <v>0</v>
      </c>
      <c r="R271" s="20" t="n">
        <f aca="false">L271+PR_AEee*P271</f>
        <v>0</v>
      </c>
      <c r="S271" s="20" t="n">
        <f aca="false">AD270</f>
        <v>380838.179365212</v>
      </c>
      <c r="T271" s="20" t="n">
        <f aca="false">IF(D271&lt;=PR_SFTfrom,PR_SFT2026,IF(D271=PR_SFTfrom+1,PR_SFT2027,IF(D271=PR_SFTfrom+2,PR_SFT2028,IF(D271&lt;=PR_SFTto,PR_SFT2029,PR_SFT2029*(1+AS_Infl)^(D271-PR_SFTto)))))</f>
        <v>5489892.88966165</v>
      </c>
      <c r="U271" s="20" t="n">
        <f aca="false">IF(AND(G271=0,C271=F_V),1,0)</f>
        <v>0</v>
      </c>
      <c r="V271" s="20" t="n">
        <f aca="false">IF(U271=1,PR_SFTrate*MAX(0,S271-T271),0)</f>
        <v>0</v>
      </c>
      <c r="W271" s="20" t="n">
        <f aca="false">S271-V271</f>
        <v>380838.179365212</v>
      </c>
      <c r="X271" s="20" t="n">
        <f aca="false">IF(AND(U271=1,AS_LumpPct&gt;0),W271*MIN(AS_LumpPct,PR_LSmax),0)</f>
        <v>0</v>
      </c>
      <c r="Y271" s="20" t="n">
        <f aca="false">X271-(PR_LSrate*MAX(0,MIN(X271,PR_LScap)-PR_LSfree)+PR_r2*MAX(0,X271-PR_LScap))</f>
        <v>0</v>
      </c>
      <c r="Z271" s="20" t="n">
        <f aca="false">W271-X271</f>
        <v>380838.179365212</v>
      </c>
      <c r="AA271" s="51" t="n">
        <f aca="false">IF(C271&gt;=PR_ARFage1,IF(Z271&gt;PR_ARFbig,PR_ARFbigRate,IF(C271&gt;=PR_ARFage2,PR_ARF71,PR_ARF61)),0)</f>
        <v>0.05</v>
      </c>
      <c r="AB271" s="20" t="n">
        <f aca="false">IF(AS_DrawRule="min",Z271*AA271,IF(AS_DrawRule="fixed",MAX(AS_DrawFixed*E271,Z271*AA271),Z271*MAX(1/MAX(1,AS_End-C271+1),AA271)))</f>
        <v>19041.9089682606</v>
      </c>
      <c r="AC271" s="20" t="n">
        <f aca="false">IF(AND(G271=0,C271&gt;=F_V),MIN(Z271,AB271),0)</f>
        <v>19041.9089682606</v>
      </c>
      <c r="AD271" s="20" t="n">
        <f aca="false">IF(G271=1,S271*(1+F_PenG)+Q271,IF(C271&lt;F_V,S271*(1+F_PenG),(Z271-AC271)*(1+AS_PenRet)))</f>
        <v>373192.852914455</v>
      </c>
      <c r="AE271" s="20" t="n">
        <f aca="false">IF(C271&gt;=PR_SPage,AS_SP*F_SpF*I271+IF(AND(C271&gt;=PR_Over80Age,F_SpF&gt;0),PR_Over80*PR_Weeks*I271,0),0)</f>
        <v>32382.9504759068</v>
      </c>
      <c r="AF271" s="20" t="n">
        <f aca="false">(F_OtherM+F_RentM)*12*E271+IF(AND(In_polInc&gt;0,In_polIncAge&gt;0,C271&gt;=In_polIncAge),In_polInc,0)</f>
        <v>0</v>
      </c>
      <c r="AG271" s="20" t="n">
        <f aca="false">F_PAge+B271</f>
        <v>74</v>
      </c>
      <c r="AH271" s="20" t="n">
        <f aca="false">IF(AND(F_Partner=1,F_PAge&gt;0,AG271&lt;IF(F_PRet&gt;0,F_PRet,PR_SPage)),F_PIncome*F271,0)</f>
        <v>0</v>
      </c>
      <c r="AI271" s="20" t="n">
        <f aca="false">IF(AND(F_Partner=1,AG271&gt;=PR_SPage,F_PSpQA=0),AS_SP*F_PSpF*I271,0)</f>
        <v>25906.3603807255</v>
      </c>
      <c r="AJ271" s="20" t="n">
        <f aca="false">IF(AND(F_Partner=1,F_PSpQA=1,C271&gt;=PR_SPage,AH271=0),IF(AG271&gt;=PR_SPage,PR_QA66,PR_QAunder)*PR_Weeks*I271,0)</f>
        <v>0</v>
      </c>
      <c r="AK271" s="20" t="n">
        <f aca="false">AE271+AJ271</f>
        <v>32382.9504759068</v>
      </c>
      <c r="AL271" s="20" t="n">
        <f aca="false">K271/H271</f>
        <v>0</v>
      </c>
      <c r="AM271" s="20" t="n">
        <f aca="false">AK271/H271</f>
        <v>15563.6</v>
      </c>
      <c r="AN271" s="20" t="n">
        <f aca="false">AC271/H271</f>
        <v>9151.74961092305</v>
      </c>
      <c r="AO271" s="20" t="n">
        <f aca="false">AF271/H271</f>
        <v>0</v>
      </c>
      <c r="AP271" s="20" t="n">
        <f aca="false">O271/H271</f>
        <v>0</v>
      </c>
      <c r="AQ271" s="20" t="n">
        <f aca="false">AH271/H271</f>
        <v>0</v>
      </c>
      <c r="AR271" s="20" t="n">
        <f aca="false">AI271/H271</f>
        <v>12450.88</v>
      </c>
      <c r="AS271" s="20" t="n">
        <f aca="false">MAX(0,AL271+AN271+AO271+AM271-AP271)</f>
        <v>24715.3496109231</v>
      </c>
      <c r="AT271" s="20" t="n">
        <f aca="false">MAX(0,AQ271+AR271)</f>
        <v>12450.88</v>
      </c>
      <c r="AU271" s="20" t="n">
        <f aca="false">MIN(PR_PAYE,PR_PAYEcap*(AL271+AN271+AM271))</f>
        <v>2000</v>
      </c>
      <c r="AV271" s="20" t="n">
        <f aca="false">MIN(PR_PAYE,PR_PAYEcap*(AQ271+AR271))</f>
        <v>2000</v>
      </c>
      <c r="AW271" s="20" t="n">
        <f aca="false">IF(C271&gt;=PR_AgeCrAge,PR_AgeCr,0)</f>
        <v>245</v>
      </c>
      <c r="AX271" s="20" t="n">
        <f aca="false">IF(AG271&gt;=PR_AgeCrAge,PR_AgeCr,0)</f>
        <v>245</v>
      </c>
      <c r="AY271" s="20" t="n">
        <f aca="false">IF(AND(F_RentCred=1,D271&lt;=PR_RentLast),1,0)</f>
        <v>0</v>
      </c>
      <c r="AZ271" s="20" t="n">
        <f aca="false">AS271+AT271</f>
        <v>37166.2296109231</v>
      </c>
      <c r="BA271" s="20" t="n">
        <f aca="false">PR_PersonalM+AU271+AV271+AW271+AX271+IF(AY271=1,PR_RentJoint,0)</f>
        <v>8490</v>
      </c>
      <c r="BB271" s="20" t="n">
        <f aca="false">PR_BandM+MIN(MIN(AS271,AT271),PR_Uplift)</f>
        <v>65450.88</v>
      </c>
      <c r="BC271" s="20" t="n">
        <f aca="false">MAX(0,PR_r1*MIN(AZ271,BB271)+PR_r2*MAX(0,AZ271-BB271)-BA271)</f>
        <v>0</v>
      </c>
      <c r="BD271" s="20" t="n">
        <f aca="false">MAX(0,PR_HomeCarer-MAX(0,MIN(AS271,AT271)-PR_HCLimit)/2)</f>
        <v>0</v>
      </c>
      <c r="BE271" s="20" t="n">
        <f aca="false">IF(F_Carer=1,MIN(BC271,MAX(0,PR_r1*MIN(AZ271,PR_BandM)+PR_r2*MAX(0,AZ271-PR_BandM)-BA271-BD271)),BC271)</f>
        <v>0</v>
      </c>
      <c r="BF271" s="20" t="n">
        <f aca="false">IF(OR(C271&gt;=PR_AgeCrAge,AG271&gt;=PR_AgeCrAge),IF(AZ271&lt;=PR_AgeExM,0,MIN(BE271,PR_AgeMarg*(AZ271-PR_AgeExM))),BE271)</f>
        <v>0</v>
      </c>
      <c r="BG271" s="20" t="n">
        <f aca="false">MAX(0,PR_r1*MIN(AS271,IF(F_Spccc=1,PR_BandSPCCC,PR_Band))+PR_r2*MAX(0,AS271-IF(F_Spccc=1,PR_BandSPCCC,PR_Band))-(PR_Personal+AU271+AW271+IF(F_Spccc=1,PR_SPCCC,0)+IF(AY271=1,PR_Rent,0)))</f>
        <v>698.069922184611</v>
      </c>
      <c r="BH271" s="20" t="n">
        <f aca="false">IF(C271&gt;=PR_AgeCrAge,IF(AS271&lt;=PR_AgeEx,0,MIN(BG271,PR_AgeMarg*(AS271-PR_AgeEx))),BG271)</f>
        <v>698.069922184611</v>
      </c>
      <c r="BI271" s="20" t="n">
        <f aca="false">IF(F_Partner=1,MAX(0,PR_r1*MIN(AT271,PR_Band)+PR_r2*MAX(0,AT271-PR_Band)-(PR_Personal+AV271+AX271+IF(AND(AY271=1,AT271&gt;0),PR_Rent,0))),0)</f>
        <v>0</v>
      </c>
      <c r="BJ271" s="20" t="n">
        <f aca="false">IF(AG271&gt;=PR_AgeCrAge,IF(AT271&lt;=PR_AgeEx,0,MIN(BI271,PR_AgeMarg*(AT271-PR_AgeEx))),BI271)</f>
        <v>0</v>
      </c>
      <c r="BK271" s="20" t="n">
        <f aca="false">IF(F_Partner=1,IF(F_Married=1,BF271,BH271+BJ271),BH271)</f>
        <v>698.069922184611</v>
      </c>
      <c r="BL271" s="20" t="n">
        <f aca="false">AL271+AN271+AO271</f>
        <v>9151.74961092305</v>
      </c>
      <c r="BM271" s="20"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20" t="n">
        <f aca="false">AQ271</f>
        <v>0</v>
      </c>
      <c r="BO271" s="20"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20" t="n">
        <f aca="false">IF(C271&lt;PR_PRSIend,IF(F_SelfEmp=1,IF(AL271&gt;PR_PRSIsMinInc,MAX(PR_PRSIsMin,AL271*J271),0),IF(AL271/52&lt;=PR_PRSIfree,0,MAX(0,(AL271/52*J271-IF(AL271/52&lt;=PR_PRSIcreditTo,MAX(0,PR_PRSIcreditMax-(AL271/52-(PR_PRSIfree+0.01))/PR_PRSItaper),0))*52)))+J271*AN271+IF(AO271&gt;PR_PRSIunearned,J271*AO271,0),0)+IF(AND(PRSI_ARF_Applies=1,AN271&gt;0,C271&gt;=PR_PRSIend,C271&lt;PRSI_ARF_ToAge,NOT(AK271&gt;0)),J271*AN271,0)</f>
        <v>0</v>
      </c>
      <c r="BQ271" s="20" t="n">
        <f aca="false">IF(AND(F_Partner=1,AG271&lt;PR_PRSIend),IF(AQ271/52&lt;=PR_PRSIfree,0,MAX(0,(AQ271/52*J271-IF(AQ271/52&lt;=PR_PRSIcreditTo,MAX(0,PR_PRSIcreditMax-(AQ271/52-(PR_PRSIfree+0.01))/PR_PRSItaper),0))*52)),0)</f>
        <v>0</v>
      </c>
      <c r="BR271" s="20" t="n">
        <f aca="false">BK271+BM271+BO271+BP271+BQ271</f>
        <v>698.069922184611</v>
      </c>
      <c r="BS271" s="20" t="n">
        <f aca="false">BR271*H271</f>
        <v>1452.46367927886</v>
      </c>
      <c r="BT271" s="20" t="n">
        <f aca="false">K271+AK271+AC271+AF271+AH271+AI271</f>
        <v>77331.2198248929</v>
      </c>
    </row>
    <row r="272" customFormat="false" ht="15" hidden="false" customHeight="true" outlineLevel="0" collapsed="false">
      <c r="B272" s="20" t="n">
        <v>38</v>
      </c>
      <c r="C272" s="20" t="n">
        <f aca="false">F_Age+B272</f>
        <v>76</v>
      </c>
      <c r="D272" s="20" t="n">
        <f aca="false">AS_Year0+B272</f>
        <v>2064</v>
      </c>
      <c r="E272" s="50" t="n">
        <f aca="false">(1+AS_Infl)^B272</f>
        <v>2.12229879240182</v>
      </c>
      <c r="F272" s="50" t="n">
        <f aca="false">(1+AS_Wage)^B272</f>
        <v>3.07478347817804</v>
      </c>
      <c r="G272" s="20" t="n">
        <f aca="false">IF(C272&lt;F_R,1,0)</f>
        <v>0</v>
      </c>
      <c r="H272" s="50" t="n">
        <f aca="false">IF(AS_Bands="flat",1,E272)</f>
        <v>2.12229879240182</v>
      </c>
      <c r="I272" s="50" t="n">
        <f aca="false">IF(AS_SpGrow="pay",F272,IF(AS_SpGrow="flat",1,E272))</f>
        <v>2.12229879240182</v>
      </c>
      <c r="J272" s="50" t="n">
        <f aca="false">(12*PR_PRSIr0+(PR_PRSIr1-PR_PRSIr0)*MAX(0,MIN(12,D272*12+12-PR_PRSIt1))+(PR_PRSIr2-PR_PRSIr1)*MAX(0,MIN(12,D272*12+12-PR_PRSIt2))+(PR_PRSIr3-PR_PRSIr2)*MAX(0,MIN(12,D272*12+12-PR_PRSIt3)))/12</f>
        <v>0.047</v>
      </c>
      <c r="K272" s="20" t="n">
        <f aca="false">IF(G272=1,F_Income*F272,0)</f>
        <v>0</v>
      </c>
      <c r="L272" s="20" t="n">
        <f aca="false">IF(G272=1,(F_Own+In_penExtra)*12*F272,0)</f>
        <v>0</v>
      </c>
      <c r="M272" s="20" t="n">
        <f aca="false">IF(G272=1,(F_PenM+In_penExtra)*12*F272,0)</f>
        <v>0</v>
      </c>
      <c r="N272" s="51" t="n">
        <f aca="false">IF(C272&lt;PR_RelA1,PR_RelP1,IF(C272&lt;PR_RelA2,PR_RelP2,IF(C272&lt;PR_RelA3,PR_RelP3,IF(C272&lt;PR_RelA4,PR_RelP4,IF(C272&lt;PR_RelA5,PR_RelP5,PR_RelP6)))))</f>
        <v>0.4</v>
      </c>
      <c r="O272" s="20" t="n">
        <f aca="false">IF(G272=1,MIN(L272/H272,N272*MIN(K272/H272,PR_EarnCap))*H272,0)</f>
        <v>0</v>
      </c>
      <c r="P272" s="20" t="n">
        <f aca="false">IF(AND(G272=1,F_AE=1),MIN(K272/H272,PR_AEcap)*H272,0)</f>
        <v>0</v>
      </c>
      <c r="Q272" s="20" t="n">
        <f aca="false">IF(G272=1,IF(WI_Retire=1,MAX(0,M272+WI_M*12),M272)+(PR_AEee+PR_AEer+PR_AEst)*P272,0)</f>
        <v>0</v>
      </c>
      <c r="R272" s="20" t="n">
        <f aca="false">L272+PR_AEee*P272</f>
        <v>0</v>
      </c>
      <c r="S272" s="20" t="n">
        <f aca="false">AD271</f>
        <v>373192.852914455</v>
      </c>
      <c r="T272" s="20" t="n">
        <f aca="false">IF(D272&lt;=PR_SFTfrom,PR_SFT2026,IF(D272=PR_SFTfrom+1,PR_SFT2027,IF(D272=PR_SFTfrom+2,PR_SFT2028,IF(D272&lt;=PR_SFTto,PR_SFT2029,PR_SFT2029*(1+AS_Infl)^(D272-PR_SFTto)))))</f>
        <v>5599690.74745488</v>
      </c>
      <c r="U272" s="20" t="n">
        <f aca="false">IF(AND(G272=0,C272=F_V),1,0)</f>
        <v>0</v>
      </c>
      <c r="V272" s="20" t="n">
        <f aca="false">IF(U272=1,PR_SFTrate*MAX(0,S272-T272),0)</f>
        <v>0</v>
      </c>
      <c r="W272" s="20" t="n">
        <f aca="false">S272-V272</f>
        <v>373192.852914455</v>
      </c>
      <c r="X272" s="20" t="n">
        <f aca="false">IF(AND(U272=1,AS_LumpPct&gt;0),W272*MIN(AS_LumpPct,PR_LSmax),0)</f>
        <v>0</v>
      </c>
      <c r="Y272" s="20" t="n">
        <f aca="false">X272-(PR_LSrate*MAX(0,MIN(X272,PR_LScap)-PR_LSfree)+PR_r2*MAX(0,X272-PR_LScap))</f>
        <v>0</v>
      </c>
      <c r="Z272" s="20" t="n">
        <f aca="false">W272-X272</f>
        <v>373192.852914455</v>
      </c>
      <c r="AA272" s="51" t="n">
        <f aca="false">IF(C272&gt;=PR_ARFage1,IF(Z272&gt;PR_ARFbig,PR_ARFbigRate,IF(C272&gt;=PR_ARFage2,PR_ARF71,PR_ARF61)),0)</f>
        <v>0.05</v>
      </c>
      <c r="AB272" s="20" t="n">
        <f aca="false">IF(AS_DrawRule="min",Z272*AA272,IF(AS_DrawRule="fixed",MAX(AS_DrawFixed*E272,Z272*AA272),Z272*MAX(1/MAX(1,AS_End-C272+1),AA272)))</f>
        <v>18659.6426457228</v>
      </c>
      <c r="AC272" s="20" t="n">
        <f aca="false">IF(AND(G272=0,C272&gt;=F_V),MIN(Z272,AB272),0)</f>
        <v>18659.6426457228</v>
      </c>
      <c r="AD272" s="20" t="n">
        <f aca="false">IF(G272=1,S272*(1+F_PenG)+Q272,IF(C272&lt;F_V,S272*(1+F_PenG),(Z272-AC272)*(1+AS_PenRet)))</f>
        <v>365701.006392198</v>
      </c>
      <c r="AE272" s="20" t="n">
        <f aca="false">IF(C272&gt;=PR_SPage,AS_SP*F_SpF*I272+IF(AND(C272&gt;=PR_Over80Age,F_SpF&gt;0),PR_Over80*PR_Weeks*I272,0),0)</f>
        <v>33030.609485425</v>
      </c>
      <c r="AF272" s="20" t="n">
        <f aca="false">(F_OtherM+F_RentM)*12*E272+IF(AND(In_polInc&gt;0,In_polIncAge&gt;0,C272&gt;=In_polIncAge),In_polInc,0)</f>
        <v>0</v>
      </c>
      <c r="AG272" s="20" t="n">
        <f aca="false">F_PAge+B272</f>
        <v>75</v>
      </c>
      <c r="AH272" s="20" t="n">
        <f aca="false">IF(AND(F_Partner=1,F_PAge&gt;0,AG272&lt;IF(F_PRet&gt;0,F_PRet,PR_SPage)),F_PIncome*F272,0)</f>
        <v>0</v>
      </c>
      <c r="AI272" s="20" t="n">
        <f aca="false">IF(AND(F_Partner=1,AG272&gt;=PR_SPage,F_PSpQA=0),AS_SP*F_PSpF*I272,0)</f>
        <v>26424.48758834</v>
      </c>
      <c r="AJ272" s="20" t="n">
        <f aca="false">IF(AND(F_Partner=1,F_PSpQA=1,C272&gt;=PR_SPage,AH272=0),IF(AG272&gt;=PR_SPage,PR_QA66,PR_QAunder)*PR_Weeks*I272,0)</f>
        <v>0</v>
      </c>
      <c r="AK272" s="20" t="n">
        <f aca="false">AE272+AJ272</f>
        <v>33030.609485425</v>
      </c>
      <c r="AL272" s="20" t="n">
        <f aca="false">K272/H272</f>
        <v>0</v>
      </c>
      <c r="AM272" s="20" t="n">
        <f aca="false">AK272/H272</f>
        <v>15563.6</v>
      </c>
      <c r="AN272" s="20" t="n">
        <f aca="false">AC272/H272</f>
        <v>8792.18454655272</v>
      </c>
      <c r="AO272" s="20" t="n">
        <f aca="false">AF272/H272</f>
        <v>0</v>
      </c>
      <c r="AP272" s="20" t="n">
        <f aca="false">O272/H272</f>
        <v>0</v>
      </c>
      <c r="AQ272" s="20" t="n">
        <f aca="false">AH272/H272</f>
        <v>0</v>
      </c>
      <c r="AR272" s="20" t="n">
        <f aca="false">AI272/H272</f>
        <v>12450.88</v>
      </c>
      <c r="AS272" s="20" t="n">
        <f aca="false">MAX(0,AL272+AN272+AO272+AM272-AP272)</f>
        <v>24355.7845465527</v>
      </c>
      <c r="AT272" s="20" t="n">
        <f aca="false">MAX(0,AQ272+AR272)</f>
        <v>12450.88</v>
      </c>
      <c r="AU272" s="20" t="n">
        <f aca="false">MIN(PR_PAYE,PR_PAYEcap*(AL272+AN272+AM272))</f>
        <v>2000</v>
      </c>
      <c r="AV272" s="20" t="n">
        <f aca="false">MIN(PR_PAYE,PR_PAYEcap*(AQ272+AR272))</f>
        <v>2000</v>
      </c>
      <c r="AW272" s="20" t="n">
        <f aca="false">IF(C272&gt;=PR_AgeCrAge,PR_AgeCr,0)</f>
        <v>245</v>
      </c>
      <c r="AX272" s="20" t="n">
        <f aca="false">IF(AG272&gt;=PR_AgeCrAge,PR_AgeCr,0)</f>
        <v>245</v>
      </c>
      <c r="AY272" s="20" t="n">
        <f aca="false">IF(AND(F_RentCred=1,D272&lt;=PR_RentLast),1,0)</f>
        <v>0</v>
      </c>
      <c r="AZ272" s="20" t="n">
        <f aca="false">AS272+AT272</f>
        <v>36806.6645465527</v>
      </c>
      <c r="BA272" s="20" t="n">
        <f aca="false">PR_PersonalM+AU272+AV272+AW272+AX272+IF(AY272=1,PR_RentJoint,0)</f>
        <v>8490</v>
      </c>
      <c r="BB272" s="20" t="n">
        <f aca="false">PR_BandM+MIN(MIN(AS272,AT272),PR_Uplift)</f>
        <v>65450.88</v>
      </c>
      <c r="BC272" s="20" t="n">
        <f aca="false">MAX(0,PR_r1*MIN(AZ272,BB272)+PR_r2*MAX(0,AZ272-BB272)-BA272)</f>
        <v>0</v>
      </c>
      <c r="BD272" s="20" t="n">
        <f aca="false">MAX(0,PR_HomeCarer-MAX(0,MIN(AS272,AT272)-PR_HCLimit)/2)</f>
        <v>0</v>
      </c>
      <c r="BE272" s="20" t="n">
        <f aca="false">IF(F_Carer=1,MIN(BC272,MAX(0,PR_r1*MIN(AZ272,PR_BandM)+PR_r2*MAX(0,AZ272-PR_BandM)-BA272-BD272)),BC272)</f>
        <v>0</v>
      </c>
      <c r="BF272" s="20" t="n">
        <f aca="false">IF(OR(C272&gt;=PR_AgeCrAge,AG272&gt;=PR_AgeCrAge),IF(AZ272&lt;=PR_AgeExM,0,MIN(BE272,PR_AgeMarg*(AZ272-PR_AgeExM))),BE272)</f>
        <v>0</v>
      </c>
      <c r="BG272" s="20" t="n">
        <f aca="false">MAX(0,PR_r1*MIN(AS272,IF(F_Spccc=1,PR_BandSPCCC,PR_Band))+PR_r2*MAX(0,AS272-IF(F_Spccc=1,PR_BandSPCCC,PR_Band))-(PR_Personal+AU272+AW272+IF(F_Spccc=1,PR_SPCCC,0)+IF(AY272=1,PR_Rent,0)))</f>
        <v>626.156909310544</v>
      </c>
      <c r="BH272" s="20" t="n">
        <f aca="false">IF(C272&gt;=PR_AgeCrAge,IF(AS272&lt;=PR_AgeEx,0,MIN(BG272,PR_AgeMarg*(AS272-PR_AgeEx))),BG272)</f>
        <v>626.156909310544</v>
      </c>
      <c r="BI272" s="20" t="n">
        <f aca="false">IF(F_Partner=1,MAX(0,PR_r1*MIN(AT272,PR_Band)+PR_r2*MAX(0,AT272-PR_Band)-(PR_Personal+AV272+AX272+IF(AND(AY272=1,AT272&gt;0),PR_Rent,0))),0)</f>
        <v>0</v>
      </c>
      <c r="BJ272" s="20" t="n">
        <f aca="false">IF(AG272&gt;=PR_AgeCrAge,IF(AT272&lt;=PR_AgeEx,0,MIN(BI272,PR_AgeMarg*(AT272-PR_AgeEx))),BI272)</f>
        <v>0</v>
      </c>
      <c r="BK272" s="20" t="n">
        <f aca="false">IF(F_Partner=1,IF(F_Married=1,BF272,BH272+BJ272),BH272)</f>
        <v>626.156909310544</v>
      </c>
      <c r="BL272" s="20" t="n">
        <f aca="false">AL272+AN272+AO272</f>
        <v>8792.18454655272</v>
      </c>
      <c r="BM272" s="20"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20" t="n">
        <f aca="false">AQ272</f>
        <v>0</v>
      </c>
      <c r="BO272" s="20"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20" t="n">
        <f aca="false">IF(C272&lt;PR_PRSIend,IF(F_SelfEmp=1,IF(AL272&gt;PR_PRSIsMinInc,MAX(PR_PRSIsMin,AL272*J272),0),IF(AL272/52&lt;=PR_PRSIfree,0,MAX(0,(AL272/52*J272-IF(AL272/52&lt;=PR_PRSIcreditTo,MAX(0,PR_PRSIcreditMax-(AL272/52-(PR_PRSIfree+0.01))/PR_PRSItaper),0))*52)))+J272*AN272+IF(AO272&gt;PR_PRSIunearned,J272*AO272,0),0)+IF(AND(PRSI_ARF_Applies=1,AN272&gt;0,C272&gt;=PR_PRSIend,C272&lt;PRSI_ARF_ToAge,NOT(AK272&gt;0)),J272*AN272,0)</f>
        <v>0</v>
      </c>
      <c r="BQ272" s="20" t="n">
        <f aca="false">IF(AND(F_Partner=1,AG272&lt;PR_PRSIend),IF(AQ272/52&lt;=PR_PRSIfree,0,MAX(0,(AQ272/52*J272-IF(AQ272/52&lt;=PR_PRSIcreditTo,MAX(0,PR_PRSIcreditMax-(AQ272/52-(PR_PRSIfree+0.01))/PR_PRSItaper),0))*52)),0)</f>
        <v>0</v>
      </c>
      <c r="BR272" s="20" t="n">
        <f aca="false">BK272+BM272+BO272+BP272+BQ272</f>
        <v>626.156909310544</v>
      </c>
      <c r="BS272" s="20" t="n">
        <f aca="false">BR272*H272</f>
        <v>1328.89205248382</v>
      </c>
      <c r="BT272" s="20" t="n">
        <f aca="false">K272+AK272+AC272+AF272+AH272+AI272</f>
        <v>78114.7397194877</v>
      </c>
    </row>
    <row r="273" customFormat="false" ht="15" hidden="false" customHeight="true" outlineLevel="0" collapsed="false">
      <c r="B273" s="20" t="n">
        <v>39</v>
      </c>
      <c r="C273" s="20" t="n">
        <f aca="false">F_Age+B273</f>
        <v>77</v>
      </c>
      <c r="D273" s="20" t="n">
        <f aca="false">AS_Year0+B273</f>
        <v>2065</v>
      </c>
      <c r="E273" s="50" t="n">
        <f aca="false">(1+AS_Infl)^B273</f>
        <v>2.16474476824986</v>
      </c>
      <c r="F273" s="50" t="n">
        <f aca="false">(1+AS_Wage)^B273</f>
        <v>3.16702698252338</v>
      </c>
      <c r="G273" s="20" t="n">
        <f aca="false">IF(C273&lt;F_R,1,0)</f>
        <v>0</v>
      </c>
      <c r="H273" s="50" t="n">
        <f aca="false">IF(AS_Bands="flat",1,E273)</f>
        <v>2.16474476824986</v>
      </c>
      <c r="I273" s="50" t="n">
        <f aca="false">IF(AS_SpGrow="pay",F273,IF(AS_SpGrow="flat",1,E273))</f>
        <v>2.16474476824986</v>
      </c>
      <c r="J273" s="50" t="n">
        <f aca="false">(12*PR_PRSIr0+(PR_PRSIr1-PR_PRSIr0)*MAX(0,MIN(12,D273*12+12-PR_PRSIt1))+(PR_PRSIr2-PR_PRSIr1)*MAX(0,MIN(12,D273*12+12-PR_PRSIt2))+(PR_PRSIr3-PR_PRSIr2)*MAX(0,MIN(12,D273*12+12-PR_PRSIt3)))/12</f>
        <v>0.047</v>
      </c>
      <c r="K273" s="20" t="n">
        <f aca="false">IF(G273=1,F_Income*F273,0)</f>
        <v>0</v>
      </c>
      <c r="L273" s="20" t="n">
        <f aca="false">IF(G273=1,(F_Own+In_penExtra)*12*F273,0)</f>
        <v>0</v>
      </c>
      <c r="M273" s="20" t="n">
        <f aca="false">IF(G273=1,(F_PenM+In_penExtra)*12*F273,0)</f>
        <v>0</v>
      </c>
      <c r="N273" s="51" t="n">
        <f aca="false">IF(C273&lt;PR_RelA1,PR_RelP1,IF(C273&lt;PR_RelA2,PR_RelP2,IF(C273&lt;PR_RelA3,PR_RelP3,IF(C273&lt;PR_RelA4,PR_RelP4,IF(C273&lt;PR_RelA5,PR_RelP5,PR_RelP6)))))</f>
        <v>0.4</v>
      </c>
      <c r="O273" s="20" t="n">
        <f aca="false">IF(G273=1,MIN(L273/H273,N273*MIN(K273/H273,PR_EarnCap))*H273,0)</f>
        <v>0</v>
      </c>
      <c r="P273" s="20" t="n">
        <f aca="false">IF(AND(G273=1,F_AE=1),MIN(K273/H273,PR_AEcap)*H273,0)</f>
        <v>0</v>
      </c>
      <c r="Q273" s="20" t="n">
        <f aca="false">IF(G273=1,IF(WI_Retire=1,MAX(0,M273+WI_M*12),M273)+(PR_AEee+PR_AEer+PR_AEst)*P273,0)</f>
        <v>0</v>
      </c>
      <c r="R273" s="20" t="n">
        <f aca="false">L273+PR_AEee*P273</f>
        <v>0</v>
      </c>
      <c r="S273" s="20" t="n">
        <f aca="false">AD272</f>
        <v>365701.006392198</v>
      </c>
      <c r="T273" s="20" t="n">
        <f aca="false">IF(D273&lt;=PR_SFTfrom,PR_SFT2026,IF(D273=PR_SFTfrom+1,PR_SFT2027,IF(D273=PR_SFTfrom+2,PR_SFT2028,IF(D273&lt;=PR_SFTto,PR_SFT2029,PR_SFT2029*(1+AS_Infl)^(D273-PR_SFTto)))))</f>
        <v>5711684.56240398</v>
      </c>
      <c r="U273" s="20" t="n">
        <f aca="false">IF(AND(G273=0,C273=F_V),1,0)</f>
        <v>0</v>
      </c>
      <c r="V273" s="20" t="n">
        <f aca="false">IF(U273=1,PR_SFTrate*MAX(0,S273-T273),0)</f>
        <v>0</v>
      </c>
      <c r="W273" s="20" t="n">
        <f aca="false">S273-V273</f>
        <v>365701.006392198</v>
      </c>
      <c r="X273" s="20" t="n">
        <f aca="false">IF(AND(U273=1,AS_LumpPct&gt;0),W273*MIN(AS_LumpPct,PR_LSmax),0)</f>
        <v>0</v>
      </c>
      <c r="Y273" s="20" t="n">
        <f aca="false">X273-(PR_LSrate*MAX(0,MIN(X273,PR_LScap)-PR_LSfree)+PR_r2*MAX(0,X273-PR_LScap))</f>
        <v>0</v>
      </c>
      <c r="Z273" s="20" t="n">
        <f aca="false">W273-X273</f>
        <v>365701.006392198</v>
      </c>
      <c r="AA273" s="51" t="n">
        <f aca="false">IF(C273&gt;=PR_ARFage1,IF(Z273&gt;PR_ARFbig,PR_ARFbigRate,IF(C273&gt;=PR_ARFage2,PR_ARF71,PR_ARF61)),0)</f>
        <v>0.05</v>
      </c>
      <c r="AB273" s="20" t="n">
        <f aca="false">IF(AS_DrawRule="min",Z273*AA273,IF(AS_DrawRule="fixed",MAX(AS_DrawFixed*E273,Z273*AA273),Z273*MAX(1/MAX(1,AS_End-C273+1),AA273)))</f>
        <v>19247.421389063</v>
      </c>
      <c r="AC273" s="20" t="n">
        <f aca="false">IF(AND(G273=0,C273&gt;=F_V),MIN(Z273,AB273),0)</f>
        <v>19247.421389063</v>
      </c>
      <c r="AD273" s="20" t="n">
        <f aca="false">IF(G273=1,S273*(1+F_PenG)+Q273,IF(C273&lt;F_V,S273*(1+F_PenG),(Z273-AC273)*(1+AS_PenRet)))</f>
        <v>357366.872930734</v>
      </c>
      <c r="AE273" s="20" t="n">
        <f aca="false">IF(C273&gt;=PR_SPage,AS_SP*F_SpF*I273+IF(AND(C273&gt;=PR_Over80Age,F_SpF&gt;0),PR_Over80*PR_Weeks*I273,0),0)</f>
        <v>33691.2216751335</v>
      </c>
      <c r="AF273" s="20" t="n">
        <f aca="false">(F_OtherM+F_RentM)*12*E273+IF(AND(In_polInc&gt;0,In_polIncAge&gt;0,C273&gt;=In_polIncAge),In_polInc,0)</f>
        <v>0</v>
      </c>
      <c r="AG273" s="20" t="n">
        <f aca="false">F_PAge+B273</f>
        <v>76</v>
      </c>
      <c r="AH273" s="20" t="n">
        <f aca="false">IF(AND(F_Partner=1,F_PAge&gt;0,AG273&lt;IF(F_PRet&gt;0,F_PRet,PR_SPage)),F_PIncome*F273,0)</f>
        <v>0</v>
      </c>
      <c r="AI273" s="20" t="n">
        <f aca="false">IF(AND(F_Partner=1,AG273&gt;=PR_SPage,F_PSpQA=0),AS_SP*F_PSpF*I273,0)</f>
        <v>26952.9773401068</v>
      </c>
      <c r="AJ273" s="20" t="n">
        <f aca="false">IF(AND(F_Partner=1,F_PSpQA=1,C273&gt;=PR_SPage,AH273=0),IF(AG273&gt;=PR_SPage,PR_QA66,PR_QAunder)*PR_Weeks*I273,0)</f>
        <v>0</v>
      </c>
      <c r="AK273" s="20" t="n">
        <f aca="false">AE273+AJ273</f>
        <v>33691.2216751335</v>
      </c>
      <c r="AL273" s="20" t="n">
        <f aca="false">K273/H273</f>
        <v>0</v>
      </c>
      <c r="AM273" s="20" t="n">
        <f aca="false">AK273/H273</f>
        <v>15563.6</v>
      </c>
      <c r="AN273" s="20" t="n">
        <f aca="false">AC273/H273</f>
        <v>8891.31211742071</v>
      </c>
      <c r="AO273" s="20" t="n">
        <f aca="false">AF273/H273</f>
        <v>0</v>
      </c>
      <c r="AP273" s="20" t="n">
        <f aca="false">O273/H273</f>
        <v>0</v>
      </c>
      <c r="AQ273" s="20" t="n">
        <f aca="false">AH273/H273</f>
        <v>0</v>
      </c>
      <c r="AR273" s="20" t="n">
        <f aca="false">AI273/H273</f>
        <v>12450.88</v>
      </c>
      <c r="AS273" s="20" t="n">
        <f aca="false">MAX(0,AL273+AN273+AO273+AM273-AP273)</f>
        <v>24454.9121174207</v>
      </c>
      <c r="AT273" s="20" t="n">
        <f aca="false">MAX(0,AQ273+AR273)</f>
        <v>12450.88</v>
      </c>
      <c r="AU273" s="20" t="n">
        <f aca="false">MIN(PR_PAYE,PR_PAYEcap*(AL273+AN273+AM273))</f>
        <v>2000</v>
      </c>
      <c r="AV273" s="20" t="n">
        <f aca="false">MIN(PR_PAYE,PR_PAYEcap*(AQ273+AR273))</f>
        <v>2000</v>
      </c>
      <c r="AW273" s="20" t="n">
        <f aca="false">IF(C273&gt;=PR_AgeCrAge,PR_AgeCr,0)</f>
        <v>245</v>
      </c>
      <c r="AX273" s="20" t="n">
        <f aca="false">IF(AG273&gt;=PR_AgeCrAge,PR_AgeCr,0)</f>
        <v>245</v>
      </c>
      <c r="AY273" s="20" t="n">
        <f aca="false">IF(AND(F_RentCred=1,D273&lt;=PR_RentLast),1,0)</f>
        <v>0</v>
      </c>
      <c r="AZ273" s="20" t="n">
        <f aca="false">AS273+AT273</f>
        <v>36905.7921174207</v>
      </c>
      <c r="BA273" s="20" t="n">
        <f aca="false">PR_PersonalM+AU273+AV273+AW273+AX273+IF(AY273=1,PR_RentJoint,0)</f>
        <v>8490</v>
      </c>
      <c r="BB273" s="20" t="n">
        <f aca="false">PR_BandM+MIN(MIN(AS273,AT273),PR_Uplift)</f>
        <v>65450.88</v>
      </c>
      <c r="BC273" s="20" t="n">
        <f aca="false">MAX(0,PR_r1*MIN(AZ273,BB273)+PR_r2*MAX(0,AZ273-BB273)-BA273)</f>
        <v>0</v>
      </c>
      <c r="BD273" s="20" t="n">
        <f aca="false">MAX(0,PR_HomeCarer-MAX(0,MIN(AS273,AT273)-PR_HCLimit)/2)</f>
        <v>0</v>
      </c>
      <c r="BE273" s="20" t="n">
        <f aca="false">IF(F_Carer=1,MIN(BC273,MAX(0,PR_r1*MIN(AZ273,PR_BandM)+PR_r2*MAX(0,AZ273-PR_BandM)-BA273-BD273)),BC273)</f>
        <v>0</v>
      </c>
      <c r="BF273" s="20" t="n">
        <f aca="false">IF(OR(C273&gt;=PR_AgeCrAge,AG273&gt;=PR_AgeCrAge),IF(AZ273&lt;=PR_AgeExM,0,MIN(BE273,PR_AgeMarg*(AZ273-PR_AgeExM))),BE273)</f>
        <v>0</v>
      </c>
      <c r="BG273" s="20" t="n">
        <f aca="false">MAX(0,PR_r1*MIN(AS273,IF(F_Spccc=1,PR_BandSPCCC,PR_Band))+PR_r2*MAX(0,AS273-IF(F_Spccc=1,PR_BandSPCCC,PR_Band))-(PR_Personal+AU273+AW273+IF(F_Spccc=1,PR_SPCCC,0)+IF(AY273=1,PR_Rent,0)))</f>
        <v>645.982423484143</v>
      </c>
      <c r="BH273" s="20" t="n">
        <f aca="false">IF(C273&gt;=PR_AgeCrAge,IF(AS273&lt;=PR_AgeEx,0,MIN(BG273,PR_AgeMarg*(AS273-PR_AgeEx))),BG273)</f>
        <v>645.982423484143</v>
      </c>
      <c r="BI273" s="20" t="n">
        <f aca="false">IF(F_Partner=1,MAX(0,PR_r1*MIN(AT273,PR_Band)+PR_r2*MAX(0,AT273-PR_Band)-(PR_Personal+AV273+AX273+IF(AND(AY273=1,AT273&gt;0),PR_Rent,0))),0)</f>
        <v>0</v>
      </c>
      <c r="BJ273" s="20" t="n">
        <f aca="false">IF(AG273&gt;=PR_AgeCrAge,IF(AT273&lt;=PR_AgeEx,0,MIN(BI273,PR_AgeMarg*(AT273-PR_AgeEx))),BI273)</f>
        <v>0</v>
      </c>
      <c r="BK273" s="20" t="n">
        <f aca="false">IF(F_Partner=1,IF(F_Married=1,BF273,BH273+BJ273),BH273)</f>
        <v>645.982423484143</v>
      </c>
      <c r="BL273" s="20" t="n">
        <f aca="false">AL273+AN273+AO273</f>
        <v>8891.31211742071</v>
      </c>
      <c r="BM273" s="20"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20" t="n">
        <f aca="false">AQ273</f>
        <v>0</v>
      </c>
      <c r="BO273" s="20"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20" t="n">
        <f aca="false">IF(C273&lt;PR_PRSIend,IF(F_SelfEmp=1,IF(AL273&gt;PR_PRSIsMinInc,MAX(PR_PRSIsMin,AL273*J273),0),IF(AL273/52&lt;=PR_PRSIfree,0,MAX(0,(AL273/52*J273-IF(AL273/52&lt;=PR_PRSIcreditTo,MAX(0,PR_PRSIcreditMax-(AL273/52-(PR_PRSIfree+0.01))/PR_PRSItaper),0))*52)))+J273*AN273+IF(AO273&gt;PR_PRSIunearned,J273*AO273,0),0)+IF(AND(PRSI_ARF_Applies=1,AN273&gt;0,C273&gt;=PR_PRSIend,C273&lt;PRSI_ARF_ToAge,NOT(AK273&gt;0)),J273*AN273,0)</f>
        <v>0</v>
      </c>
      <c r="BQ273" s="20" t="n">
        <f aca="false">IF(AND(F_Partner=1,AG273&lt;PR_PRSIend),IF(AQ273/52&lt;=PR_PRSIfree,0,MAX(0,(AQ273/52*J273-IF(AQ273/52&lt;=PR_PRSIcreditTo,MAX(0,PR_PRSIcreditMax-(AQ273/52-(PR_PRSIfree+0.01))/PR_PRSItaper),0))*52)),0)</f>
        <v>0</v>
      </c>
      <c r="BR273" s="20" t="n">
        <f aca="false">BK273+BM273+BO273+BP273+BQ273</f>
        <v>645.982423484143</v>
      </c>
      <c r="BS273" s="20" t="n">
        <f aca="false">BR273*H273</f>
        <v>1398.38707161866</v>
      </c>
      <c r="BT273" s="20" t="n">
        <f aca="false">K273+AK273+AC273+AF273+AH273+AI273</f>
        <v>79891.6204043033</v>
      </c>
    </row>
    <row r="274" customFormat="false" ht="15" hidden="false" customHeight="true" outlineLevel="0" collapsed="false">
      <c r="B274" s="20" t="n">
        <v>40</v>
      </c>
      <c r="C274" s="20" t="n">
        <f aca="false">F_Age+B274</f>
        <v>78</v>
      </c>
      <c r="D274" s="20" t="n">
        <f aca="false">AS_Year0+B274</f>
        <v>2066</v>
      </c>
      <c r="E274" s="50" t="n">
        <f aca="false">(1+AS_Infl)^B274</f>
        <v>2.20803966361485</v>
      </c>
      <c r="F274" s="50" t="n">
        <f aca="false">(1+AS_Wage)^B274</f>
        <v>3.26203779199908</v>
      </c>
      <c r="G274" s="20" t="n">
        <f aca="false">IF(C274&lt;F_R,1,0)</f>
        <v>0</v>
      </c>
      <c r="H274" s="50" t="n">
        <f aca="false">IF(AS_Bands="flat",1,E274)</f>
        <v>2.20803966361485</v>
      </c>
      <c r="I274" s="50" t="n">
        <f aca="false">IF(AS_SpGrow="pay",F274,IF(AS_SpGrow="flat",1,E274))</f>
        <v>2.20803966361485</v>
      </c>
      <c r="J274" s="50" t="n">
        <f aca="false">(12*PR_PRSIr0+(PR_PRSIr1-PR_PRSIr0)*MAX(0,MIN(12,D274*12+12-PR_PRSIt1))+(PR_PRSIr2-PR_PRSIr1)*MAX(0,MIN(12,D274*12+12-PR_PRSIt2))+(PR_PRSIr3-PR_PRSIr2)*MAX(0,MIN(12,D274*12+12-PR_PRSIt3)))/12</f>
        <v>0.047</v>
      </c>
      <c r="K274" s="20" t="n">
        <f aca="false">IF(G274=1,F_Income*F274,0)</f>
        <v>0</v>
      </c>
      <c r="L274" s="20" t="n">
        <f aca="false">IF(G274=1,(F_Own+In_penExtra)*12*F274,0)</f>
        <v>0</v>
      </c>
      <c r="M274" s="20" t="n">
        <f aca="false">IF(G274=1,(F_PenM+In_penExtra)*12*F274,0)</f>
        <v>0</v>
      </c>
      <c r="N274" s="51" t="n">
        <f aca="false">IF(C274&lt;PR_RelA1,PR_RelP1,IF(C274&lt;PR_RelA2,PR_RelP2,IF(C274&lt;PR_RelA3,PR_RelP3,IF(C274&lt;PR_RelA4,PR_RelP4,IF(C274&lt;PR_RelA5,PR_RelP5,PR_RelP6)))))</f>
        <v>0.4</v>
      </c>
      <c r="O274" s="20" t="n">
        <f aca="false">IF(G274=1,MIN(L274/H274,N274*MIN(K274/H274,PR_EarnCap))*H274,0)</f>
        <v>0</v>
      </c>
      <c r="P274" s="20" t="n">
        <f aca="false">IF(AND(G274=1,F_AE=1),MIN(K274/H274,PR_AEcap)*H274,0)</f>
        <v>0</v>
      </c>
      <c r="Q274" s="20" t="n">
        <f aca="false">IF(G274=1,IF(WI_Retire=1,MAX(0,M274+WI_M*12),M274)+(PR_AEee+PR_AEer+PR_AEst)*P274,0)</f>
        <v>0</v>
      </c>
      <c r="R274" s="20" t="n">
        <f aca="false">L274+PR_AEee*P274</f>
        <v>0</v>
      </c>
      <c r="S274" s="20" t="n">
        <f aca="false">AD273</f>
        <v>357366.872930734</v>
      </c>
      <c r="T274" s="20" t="n">
        <f aca="false">IF(D274&lt;=PR_SFTfrom,PR_SFT2026,IF(D274=PR_SFTfrom+1,PR_SFT2027,IF(D274=PR_SFTfrom+2,PR_SFT2028,IF(D274&lt;=PR_SFTto,PR_SFT2029,PR_SFT2029*(1+AS_Infl)^(D274-PR_SFTto)))))</f>
        <v>5825918.25365206</v>
      </c>
      <c r="U274" s="20" t="n">
        <f aca="false">IF(AND(G274=0,C274=F_V),1,0)</f>
        <v>0</v>
      </c>
      <c r="V274" s="20" t="n">
        <f aca="false">IF(U274=1,PR_SFTrate*MAX(0,S274-T274),0)</f>
        <v>0</v>
      </c>
      <c r="W274" s="20" t="n">
        <f aca="false">S274-V274</f>
        <v>357366.872930734</v>
      </c>
      <c r="X274" s="20" t="n">
        <f aca="false">IF(AND(U274=1,AS_LumpPct&gt;0),W274*MIN(AS_LumpPct,PR_LSmax),0)</f>
        <v>0</v>
      </c>
      <c r="Y274" s="20" t="n">
        <f aca="false">X274-(PR_LSrate*MAX(0,MIN(X274,PR_LScap)-PR_LSfree)+PR_r2*MAX(0,X274-PR_LScap))</f>
        <v>0</v>
      </c>
      <c r="Z274" s="20" t="n">
        <f aca="false">W274-X274</f>
        <v>357366.872930734</v>
      </c>
      <c r="AA274" s="51" t="n">
        <f aca="false">IF(C274&gt;=PR_ARFage1,IF(Z274&gt;PR_ARFbig,PR_ARFbigRate,IF(C274&gt;=PR_ARFage2,PR_ARF71,PR_ARF61)),0)</f>
        <v>0.05</v>
      </c>
      <c r="AB274" s="20" t="n">
        <f aca="false">IF(AS_DrawRule="min",Z274*AA274,IF(AS_DrawRule="fixed",MAX(AS_DrawFixed*E274,Z274*AA274),Z274*MAX(1/MAX(1,AS_End-C274+1),AA274)))</f>
        <v>19853.7151628185</v>
      </c>
      <c r="AC274" s="20" t="n">
        <f aca="false">IF(AND(G274=0,C274&gt;=F_V),MIN(Z274,AB274),0)</f>
        <v>19853.7151628185</v>
      </c>
      <c r="AD274" s="20" t="n">
        <f aca="false">IF(G274=1,S274*(1+F_PenG)+Q274,IF(C274&lt;F_V,S274*(1+F_PenG),(Z274-AC274)*(1+AS_PenRet)))</f>
        <v>348144.822237604</v>
      </c>
      <c r="AE274" s="20" t="n">
        <f aca="false">IF(C274&gt;=PR_SPage,AS_SP*F_SpF*I274+IF(AND(C274&gt;=PR_Over80Age,F_SpF&gt;0),PR_Over80*PR_Weeks*I274,0),0)</f>
        <v>34365.0461086361</v>
      </c>
      <c r="AF274" s="20" t="n">
        <f aca="false">(F_OtherM+F_RentM)*12*E274+IF(AND(In_polInc&gt;0,In_polIncAge&gt;0,C274&gt;=In_polIncAge),In_polInc,0)</f>
        <v>0</v>
      </c>
      <c r="AG274" s="20" t="n">
        <f aca="false">F_PAge+B274</f>
        <v>77</v>
      </c>
      <c r="AH274" s="20" t="n">
        <f aca="false">IF(AND(F_Partner=1,F_PAge&gt;0,AG274&lt;IF(F_PRet&gt;0,F_PRet,PR_SPage)),F_PIncome*F274,0)</f>
        <v>0</v>
      </c>
      <c r="AI274" s="20" t="n">
        <f aca="false">IF(AND(F_Partner=1,AG274&gt;=PR_SPage,F_PSpQA=0),AS_SP*F_PSpF*I274,0)</f>
        <v>27492.0368869089</v>
      </c>
      <c r="AJ274" s="20" t="n">
        <f aca="false">IF(AND(F_Partner=1,F_PSpQA=1,C274&gt;=PR_SPage,AH274=0),IF(AG274&gt;=PR_SPage,PR_QA66,PR_QAunder)*PR_Weeks*I274,0)</f>
        <v>0</v>
      </c>
      <c r="AK274" s="20" t="n">
        <f aca="false">AE274+AJ274</f>
        <v>34365.0461086361</v>
      </c>
      <c r="AL274" s="20" t="n">
        <f aca="false">K274/H274</f>
        <v>0</v>
      </c>
      <c r="AM274" s="20" t="n">
        <f aca="false">AK274/H274</f>
        <v>15563.6</v>
      </c>
      <c r="AN274" s="20" t="n">
        <f aca="false">AC274/H274</f>
        <v>8991.5573030583</v>
      </c>
      <c r="AO274" s="20" t="n">
        <f aca="false">AF274/H274</f>
        <v>0</v>
      </c>
      <c r="AP274" s="20" t="n">
        <f aca="false">O274/H274</f>
        <v>0</v>
      </c>
      <c r="AQ274" s="20" t="n">
        <f aca="false">AH274/H274</f>
        <v>0</v>
      </c>
      <c r="AR274" s="20" t="n">
        <f aca="false">AI274/H274</f>
        <v>12450.88</v>
      </c>
      <c r="AS274" s="20" t="n">
        <f aca="false">MAX(0,AL274+AN274+AO274+AM274-AP274)</f>
        <v>24555.1573030583</v>
      </c>
      <c r="AT274" s="20" t="n">
        <f aca="false">MAX(0,AQ274+AR274)</f>
        <v>12450.88</v>
      </c>
      <c r="AU274" s="20" t="n">
        <f aca="false">MIN(PR_PAYE,PR_PAYEcap*(AL274+AN274+AM274))</f>
        <v>2000</v>
      </c>
      <c r="AV274" s="20" t="n">
        <f aca="false">MIN(PR_PAYE,PR_PAYEcap*(AQ274+AR274))</f>
        <v>2000</v>
      </c>
      <c r="AW274" s="20" t="n">
        <f aca="false">IF(C274&gt;=PR_AgeCrAge,PR_AgeCr,0)</f>
        <v>245</v>
      </c>
      <c r="AX274" s="20" t="n">
        <f aca="false">IF(AG274&gt;=PR_AgeCrAge,PR_AgeCr,0)</f>
        <v>245</v>
      </c>
      <c r="AY274" s="20" t="n">
        <f aca="false">IF(AND(F_RentCred=1,D274&lt;=PR_RentLast),1,0)</f>
        <v>0</v>
      </c>
      <c r="AZ274" s="20" t="n">
        <f aca="false">AS274+AT274</f>
        <v>37006.0373030583</v>
      </c>
      <c r="BA274" s="20" t="n">
        <f aca="false">PR_PersonalM+AU274+AV274+AW274+AX274+IF(AY274=1,PR_RentJoint,0)</f>
        <v>8490</v>
      </c>
      <c r="BB274" s="20" t="n">
        <f aca="false">PR_BandM+MIN(MIN(AS274,AT274),PR_Uplift)</f>
        <v>65450.88</v>
      </c>
      <c r="BC274" s="20" t="n">
        <f aca="false">MAX(0,PR_r1*MIN(AZ274,BB274)+PR_r2*MAX(0,AZ274-BB274)-BA274)</f>
        <v>0</v>
      </c>
      <c r="BD274" s="20" t="n">
        <f aca="false">MAX(0,PR_HomeCarer-MAX(0,MIN(AS274,AT274)-PR_HCLimit)/2)</f>
        <v>0</v>
      </c>
      <c r="BE274" s="20" t="n">
        <f aca="false">IF(F_Carer=1,MIN(BC274,MAX(0,PR_r1*MIN(AZ274,PR_BandM)+PR_r2*MAX(0,AZ274-PR_BandM)-BA274-BD274)),BC274)</f>
        <v>0</v>
      </c>
      <c r="BF274" s="20" t="n">
        <f aca="false">IF(OR(C274&gt;=PR_AgeCrAge,AG274&gt;=PR_AgeCrAge),IF(AZ274&lt;=PR_AgeExM,0,MIN(BE274,PR_AgeMarg*(AZ274-PR_AgeExM))),BE274)</f>
        <v>0</v>
      </c>
      <c r="BG274" s="20" t="n">
        <f aca="false">MAX(0,PR_r1*MIN(AS274,IF(F_Spccc=1,PR_BandSPCCC,PR_Band))+PR_r2*MAX(0,AS274-IF(F_Spccc=1,PR_BandSPCCC,PR_Band))-(PR_Personal+AU274+AW274+IF(F_Spccc=1,PR_SPCCC,0)+IF(AY274=1,PR_Rent,0)))</f>
        <v>666.031460611661</v>
      </c>
      <c r="BH274" s="20" t="n">
        <f aca="false">IF(C274&gt;=PR_AgeCrAge,IF(AS274&lt;=PR_AgeEx,0,MIN(BG274,PR_AgeMarg*(AS274-PR_AgeEx))),BG274)</f>
        <v>666.031460611661</v>
      </c>
      <c r="BI274" s="20" t="n">
        <f aca="false">IF(F_Partner=1,MAX(0,PR_r1*MIN(AT274,PR_Band)+PR_r2*MAX(0,AT274-PR_Band)-(PR_Personal+AV274+AX274+IF(AND(AY274=1,AT274&gt;0),PR_Rent,0))),0)</f>
        <v>0</v>
      </c>
      <c r="BJ274" s="20" t="n">
        <f aca="false">IF(AG274&gt;=PR_AgeCrAge,IF(AT274&lt;=PR_AgeEx,0,MIN(BI274,PR_AgeMarg*(AT274-PR_AgeEx))),BI274)</f>
        <v>0</v>
      </c>
      <c r="BK274" s="20" t="n">
        <f aca="false">IF(F_Partner=1,IF(F_Married=1,BF274,BH274+BJ274),BH274)</f>
        <v>666.031460611661</v>
      </c>
      <c r="BL274" s="20" t="n">
        <f aca="false">AL274+AN274+AO274</f>
        <v>8991.5573030583</v>
      </c>
      <c r="BM274" s="20"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20" t="n">
        <f aca="false">AQ274</f>
        <v>0</v>
      </c>
      <c r="BO274" s="20"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20" t="n">
        <f aca="false">IF(C274&lt;PR_PRSIend,IF(F_SelfEmp=1,IF(AL274&gt;PR_PRSIsMinInc,MAX(PR_PRSIsMin,AL274*J274),0),IF(AL274/52&lt;=PR_PRSIfree,0,MAX(0,(AL274/52*J274-IF(AL274/52&lt;=PR_PRSIcreditTo,MAX(0,PR_PRSIcreditMax-(AL274/52-(PR_PRSIfree+0.01))/PR_PRSItaper),0))*52)))+J274*AN274+IF(AO274&gt;PR_PRSIunearned,J274*AO274,0),0)+IF(AND(PRSI_ARF_Applies=1,AN274&gt;0,C274&gt;=PR_PRSIend,C274&lt;PRSI_ARF_ToAge,NOT(AK274&gt;0)),J274*AN274,0)</f>
        <v>0</v>
      </c>
      <c r="BQ274" s="20" t="n">
        <f aca="false">IF(AND(F_Partner=1,AG274&lt;PR_PRSIend),IF(AQ274/52&lt;=PR_PRSIfree,0,MAX(0,(AQ274/52*J274-IF(AQ274/52&lt;=PR_PRSIcreditTo,MAX(0,PR_PRSIcreditMax-(AQ274/52-(PR_PRSIfree+0.01))/PR_PRSItaper),0))*52)),0)</f>
        <v>0</v>
      </c>
      <c r="BR274" s="20" t="n">
        <f aca="false">BK274+BM274+BO274+BP274+BQ274</f>
        <v>666.031460611661</v>
      </c>
      <c r="BS274" s="20" t="n">
        <f aca="false">BR274*H274</f>
        <v>1470.62388224588</v>
      </c>
      <c r="BT274" s="20" t="n">
        <f aca="false">K274+AK274+AC274+AF274+AH274+AI274</f>
        <v>81710.7981583636</v>
      </c>
    </row>
    <row r="275" customFormat="false" ht="15" hidden="false" customHeight="true" outlineLevel="0" collapsed="false">
      <c r="B275" s="20" t="n">
        <v>41</v>
      </c>
      <c r="C275" s="20" t="n">
        <f aca="false">F_Age+B275</f>
        <v>79</v>
      </c>
      <c r="D275" s="20" t="n">
        <f aca="false">AS_Year0+B275</f>
        <v>2067</v>
      </c>
      <c r="E275" s="50" t="n">
        <f aca="false">(1+AS_Infl)^B275</f>
        <v>2.25220045688715</v>
      </c>
      <c r="F275" s="50" t="n">
        <f aca="false">(1+AS_Wage)^B275</f>
        <v>3.35989892575905</v>
      </c>
      <c r="G275" s="20" t="n">
        <f aca="false">IF(C275&lt;F_R,1,0)</f>
        <v>0</v>
      </c>
      <c r="H275" s="50" t="n">
        <f aca="false">IF(AS_Bands="flat",1,E275)</f>
        <v>2.25220045688715</v>
      </c>
      <c r="I275" s="50" t="n">
        <f aca="false">IF(AS_SpGrow="pay",F275,IF(AS_SpGrow="flat",1,E275))</f>
        <v>2.25220045688715</v>
      </c>
      <c r="J275" s="50" t="n">
        <f aca="false">(12*PR_PRSIr0+(PR_PRSIr1-PR_PRSIr0)*MAX(0,MIN(12,D275*12+12-PR_PRSIt1))+(PR_PRSIr2-PR_PRSIr1)*MAX(0,MIN(12,D275*12+12-PR_PRSIt2))+(PR_PRSIr3-PR_PRSIr2)*MAX(0,MIN(12,D275*12+12-PR_PRSIt3)))/12</f>
        <v>0.047</v>
      </c>
      <c r="K275" s="20" t="n">
        <f aca="false">IF(G275=1,F_Income*F275,0)</f>
        <v>0</v>
      </c>
      <c r="L275" s="20" t="n">
        <f aca="false">IF(G275=1,(F_Own+In_penExtra)*12*F275,0)</f>
        <v>0</v>
      </c>
      <c r="M275" s="20" t="n">
        <f aca="false">IF(G275=1,(F_PenM+In_penExtra)*12*F275,0)</f>
        <v>0</v>
      </c>
      <c r="N275" s="51" t="n">
        <f aca="false">IF(C275&lt;PR_RelA1,PR_RelP1,IF(C275&lt;PR_RelA2,PR_RelP2,IF(C275&lt;PR_RelA3,PR_RelP3,IF(C275&lt;PR_RelA4,PR_RelP4,IF(C275&lt;PR_RelA5,PR_RelP5,PR_RelP6)))))</f>
        <v>0.4</v>
      </c>
      <c r="O275" s="20" t="n">
        <f aca="false">IF(G275=1,MIN(L275/H275,N275*MIN(K275/H275,PR_EarnCap))*H275,0)</f>
        <v>0</v>
      </c>
      <c r="P275" s="20" t="n">
        <f aca="false">IF(AND(G275=1,F_AE=1),MIN(K275/H275,PR_AEcap)*H275,0)</f>
        <v>0</v>
      </c>
      <c r="Q275" s="20" t="n">
        <f aca="false">IF(G275=1,IF(WI_Retire=1,MAX(0,M275+WI_M*12),M275)+(PR_AEee+PR_AEer+PR_AEst)*P275,0)</f>
        <v>0</v>
      </c>
      <c r="R275" s="20" t="n">
        <f aca="false">L275+PR_AEee*P275</f>
        <v>0</v>
      </c>
      <c r="S275" s="20" t="n">
        <f aca="false">AD274</f>
        <v>348144.822237604</v>
      </c>
      <c r="T275" s="20" t="n">
        <f aca="false">IF(D275&lt;=PR_SFTfrom,PR_SFT2026,IF(D275=PR_SFTfrom+1,PR_SFT2027,IF(D275=PR_SFTfrom+2,PR_SFT2028,IF(D275&lt;=PR_SFTto,PR_SFT2029,PR_SFT2029*(1+AS_Infl)^(D275-PR_SFTto)))))</f>
        <v>5942436.6187251</v>
      </c>
      <c r="U275" s="20" t="n">
        <f aca="false">IF(AND(G275=0,C275=F_V),1,0)</f>
        <v>0</v>
      </c>
      <c r="V275" s="20" t="n">
        <f aca="false">IF(U275=1,PR_SFTrate*MAX(0,S275-T275),0)</f>
        <v>0</v>
      </c>
      <c r="W275" s="20" t="n">
        <f aca="false">S275-V275</f>
        <v>348144.822237604</v>
      </c>
      <c r="X275" s="20" t="n">
        <f aca="false">IF(AND(U275=1,AS_LumpPct&gt;0),W275*MIN(AS_LumpPct,PR_LSmax),0)</f>
        <v>0</v>
      </c>
      <c r="Y275" s="20" t="n">
        <f aca="false">X275-(PR_LSrate*MAX(0,MIN(X275,PR_LScap)-PR_LSfree)+PR_r2*MAX(0,X275-PR_LScap))</f>
        <v>0</v>
      </c>
      <c r="Z275" s="20" t="n">
        <f aca="false">W275-X275</f>
        <v>348144.822237604</v>
      </c>
      <c r="AA275" s="51" t="n">
        <f aca="false">IF(C275&gt;=PR_ARFage1,IF(Z275&gt;PR_ARFbig,PR_ARFbigRate,IF(C275&gt;=PR_ARFage2,PR_ARF71,PR_ARF61)),0)</f>
        <v>0.05</v>
      </c>
      <c r="AB275" s="20" t="n">
        <f aca="false">IF(AS_DrawRule="min",Z275*AA275,IF(AS_DrawRule="fixed",MAX(AS_DrawFixed*E275,Z275*AA275),Z275*MAX(1/MAX(1,AS_End-C275+1),AA275)))</f>
        <v>20479.1071904473</v>
      </c>
      <c r="AC275" s="20" t="n">
        <f aca="false">IF(AND(G275=0,C275&gt;=F_V),MIN(Z275,AB275),0)</f>
        <v>20479.1071904473</v>
      </c>
      <c r="AD275" s="20" t="n">
        <f aca="false">IF(G275=1,S275*(1+F_PenG)+Q275,IF(C275&lt;F_V,S275*(1+F_PenG),(Z275-AC275)*(1+AS_PenRet)))</f>
        <v>337987.185071142</v>
      </c>
      <c r="AE275" s="20" t="n">
        <f aca="false">IF(C275&gt;=PR_SPage,AS_SP*F_SpF*I275+IF(AND(C275&gt;=PR_Over80Age,F_SpF&gt;0),PR_Over80*PR_Weeks*I275,0),0)</f>
        <v>35052.3470308089</v>
      </c>
      <c r="AF275" s="20" t="n">
        <f aca="false">(F_OtherM+F_RentM)*12*E275+IF(AND(In_polInc&gt;0,In_polIncAge&gt;0,C275&gt;=In_polIncAge),In_polInc,0)</f>
        <v>0</v>
      </c>
      <c r="AG275" s="20" t="n">
        <f aca="false">F_PAge+B275</f>
        <v>78</v>
      </c>
      <c r="AH275" s="20" t="n">
        <f aca="false">IF(AND(F_Partner=1,F_PAge&gt;0,AG275&lt;IF(F_PRet&gt;0,F_PRet,PR_SPage)),F_PIncome*F275,0)</f>
        <v>0</v>
      </c>
      <c r="AI275" s="20" t="n">
        <f aca="false">IF(AND(F_Partner=1,AG275&gt;=PR_SPage,F_PSpQA=0),AS_SP*F_PSpF*I275,0)</f>
        <v>28041.8776246471</v>
      </c>
      <c r="AJ275" s="20" t="n">
        <f aca="false">IF(AND(F_Partner=1,F_PSpQA=1,C275&gt;=PR_SPage,AH275=0),IF(AG275&gt;=PR_SPage,PR_QA66,PR_QAunder)*PR_Weeks*I275,0)</f>
        <v>0</v>
      </c>
      <c r="AK275" s="20" t="n">
        <f aca="false">AE275+AJ275</f>
        <v>35052.3470308089</v>
      </c>
      <c r="AL275" s="20" t="n">
        <f aca="false">K275/H275</f>
        <v>0</v>
      </c>
      <c r="AM275" s="20" t="n">
        <f aca="false">AK275/H275</f>
        <v>15563.6</v>
      </c>
      <c r="AN275" s="20" t="n">
        <f aca="false">AC275/H275</f>
        <v>9092.93270402415</v>
      </c>
      <c r="AO275" s="20" t="n">
        <f aca="false">AF275/H275</f>
        <v>0</v>
      </c>
      <c r="AP275" s="20" t="n">
        <f aca="false">O275/H275</f>
        <v>0</v>
      </c>
      <c r="AQ275" s="20" t="n">
        <f aca="false">AH275/H275</f>
        <v>0</v>
      </c>
      <c r="AR275" s="20" t="n">
        <f aca="false">AI275/H275</f>
        <v>12450.88</v>
      </c>
      <c r="AS275" s="20" t="n">
        <f aca="false">MAX(0,AL275+AN275+AO275+AM275-AP275)</f>
        <v>24656.5327040242</v>
      </c>
      <c r="AT275" s="20" t="n">
        <f aca="false">MAX(0,AQ275+AR275)</f>
        <v>12450.88</v>
      </c>
      <c r="AU275" s="20" t="n">
        <f aca="false">MIN(PR_PAYE,PR_PAYEcap*(AL275+AN275+AM275))</f>
        <v>2000</v>
      </c>
      <c r="AV275" s="20" t="n">
        <f aca="false">MIN(PR_PAYE,PR_PAYEcap*(AQ275+AR275))</f>
        <v>2000</v>
      </c>
      <c r="AW275" s="20" t="n">
        <f aca="false">IF(C275&gt;=PR_AgeCrAge,PR_AgeCr,0)</f>
        <v>245</v>
      </c>
      <c r="AX275" s="20" t="n">
        <f aca="false">IF(AG275&gt;=PR_AgeCrAge,PR_AgeCr,0)</f>
        <v>245</v>
      </c>
      <c r="AY275" s="20" t="n">
        <f aca="false">IF(AND(F_RentCred=1,D275&lt;=PR_RentLast),1,0)</f>
        <v>0</v>
      </c>
      <c r="AZ275" s="20" t="n">
        <f aca="false">AS275+AT275</f>
        <v>37107.4127040242</v>
      </c>
      <c r="BA275" s="20" t="n">
        <f aca="false">PR_PersonalM+AU275+AV275+AW275+AX275+IF(AY275=1,PR_RentJoint,0)</f>
        <v>8490</v>
      </c>
      <c r="BB275" s="20" t="n">
        <f aca="false">PR_BandM+MIN(MIN(AS275,AT275),PR_Uplift)</f>
        <v>65450.88</v>
      </c>
      <c r="BC275" s="20" t="n">
        <f aca="false">MAX(0,PR_r1*MIN(AZ275,BB275)+PR_r2*MAX(0,AZ275-BB275)-BA275)</f>
        <v>0</v>
      </c>
      <c r="BD275" s="20" t="n">
        <f aca="false">MAX(0,PR_HomeCarer-MAX(0,MIN(AS275,AT275)-PR_HCLimit)/2)</f>
        <v>0</v>
      </c>
      <c r="BE275" s="20" t="n">
        <f aca="false">IF(F_Carer=1,MIN(BC275,MAX(0,PR_r1*MIN(AZ275,PR_BandM)+PR_r2*MAX(0,AZ275-PR_BandM)-BA275-BD275)),BC275)</f>
        <v>0</v>
      </c>
      <c r="BF275" s="20" t="n">
        <f aca="false">IF(OR(C275&gt;=PR_AgeCrAge,AG275&gt;=PR_AgeCrAge),IF(AZ275&lt;=PR_AgeExM,0,MIN(BE275,PR_AgeMarg*(AZ275-PR_AgeExM))),BE275)</f>
        <v>0</v>
      </c>
      <c r="BG275" s="20" t="n">
        <f aca="false">MAX(0,PR_r1*MIN(AS275,IF(F_Spccc=1,PR_BandSPCCC,PR_Band))+PR_r2*MAX(0,AS275-IF(F_Spccc=1,PR_BandSPCCC,PR_Band))-(PR_Personal+AU275+AW275+IF(F_Spccc=1,PR_SPCCC,0)+IF(AY275=1,PR_Rent,0)))</f>
        <v>686.306540804832</v>
      </c>
      <c r="BH275" s="20" t="n">
        <f aca="false">IF(C275&gt;=PR_AgeCrAge,IF(AS275&lt;=PR_AgeEx,0,MIN(BG275,PR_AgeMarg*(AS275-PR_AgeEx))),BG275)</f>
        <v>686.306540804832</v>
      </c>
      <c r="BI275" s="20" t="n">
        <f aca="false">IF(F_Partner=1,MAX(0,PR_r1*MIN(AT275,PR_Band)+PR_r2*MAX(0,AT275-PR_Band)-(PR_Personal+AV275+AX275+IF(AND(AY275=1,AT275&gt;0),PR_Rent,0))),0)</f>
        <v>0</v>
      </c>
      <c r="BJ275" s="20" t="n">
        <f aca="false">IF(AG275&gt;=PR_AgeCrAge,IF(AT275&lt;=PR_AgeEx,0,MIN(BI275,PR_AgeMarg*(AT275-PR_AgeEx))),BI275)</f>
        <v>0</v>
      </c>
      <c r="BK275" s="20" t="n">
        <f aca="false">IF(F_Partner=1,IF(F_Married=1,BF275,BH275+BJ275),BH275)</f>
        <v>686.306540804832</v>
      </c>
      <c r="BL275" s="20" t="n">
        <f aca="false">AL275+AN275+AO275</f>
        <v>9092.93270402415</v>
      </c>
      <c r="BM275" s="20"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20" t="n">
        <f aca="false">AQ275</f>
        <v>0</v>
      </c>
      <c r="BO275" s="20"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20" t="n">
        <f aca="false">IF(C275&lt;PR_PRSIend,IF(F_SelfEmp=1,IF(AL275&gt;PR_PRSIsMinInc,MAX(PR_PRSIsMin,AL275*J275),0),IF(AL275/52&lt;=PR_PRSIfree,0,MAX(0,(AL275/52*J275-IF(AL275/52&lt;=PR_PRSIcreditTo,MAX(0,PR_PRSIcreditMax-(AL275/52-(PR_PRSIfree+0.01))/PR_PRSItaper),0))*52)))+J275*AN275+IF(AO275&gt;PR_PRSIunearned,J275*AO275,0),0)+IF(AND(PRSI_ARF_Applies=1,AN275&gt;0,C275&gt;=PR_PRSIend,C275&lt;PRSI_ARF_ToAge,NOT(AK275&gt;0)),J275*AN275,0)</f>
        <v>0</v>
      </c>
      <c r="BQ275" s="20" t="n">
        <f aca="false">IF(AND(F_Partner=1,AG275&lt;PR_PRSIend),IF(AQ275/52&lt;=PR_PRSIfree,0,MAX(0,(AQ275/52*J275-IF(AQ275/52&lt;=PR_PRSIcreditTo,MAX(0,PR_PRSIcreditMax-(AQ275/52-(PR_PRSIfree+0.01))/PR_PRSItaper),0))*52)),0)</f>
        <v>0</v>
      </c>
      <c r="BR275" s="20" t="n">
        <f aca="false">BK275+BM275+BO275+BP275+BQ275</f>
        <v>686.306540804832</v>
      </c>
      <c r="BS275" s="20" t="n">
        <f aca="false">BR275*H275</f>
        <v>1545.69990476528</v>
      </c>
      <c r="BT275" s="20" t="n">
        <f aca="false">K275+AK275+AC275+AF275+AH275+AI275</f>
        <v>83573.3318459033</v>
      </c>
    </row>
    <row r="276" customFormat="false" ht="15" hidden="false" customHeight="true" outlineLevel="0" collapsed="false">
      <c r="B276" s="20" t="n">
        <v>42</v>
      </c>
      <c r="C276" s="20" t="n">
        <f aca="false">F_Age+B276</f>
        <v>80</v>
      </c>
      <c r="D276" s="20" t="n">
        <f aca="false">AS_Year0+B276</f>
        <v>2068</v>
      </c>
      <c r="E276" s="50" t="n">
        <f aca="false">(1+AS_Infl)^B276</f>
        <v>2.29724446602489</v>
      </c>
      <c r="F276" s="50" t="n">
        <f aca="false">(1+AS_Wage)^B276</f>
        <v>3.46069589353182</v>
      </c>
      <c r="G276" s="20" t="n">
        <f aca="false">IF(C276&lt;F_R,1,0)</f>
        <v>0</v>
      </c>
      <c r="H276" s="50" t="n">
        <f aca="false">IF(AS_Bands="flat",1,E276)</f>
        <v>2.29724446602489</v>
      </c>
      <c r="I276" s="50" t="n">
        <f aca="false">IF(AS_SpGrow="pay",F276,IF(AS_SpGrow="flat",1,E276))</f>
        <v>2.29724446602489</v>
      </c>
      <c r="J276" s="50" t="n">
        <f aca="false">(12*PR_PRSIr0+(PR_PRSIr1-PR_PRSIr0)*MAX(0,MIN(12,D276*12+12-PR_PRSIt1))+(PR_PRSIr2-PR_PRSIr1)*MAX(0,MIN(12,D276*12+12-PR_PRSIt2))+(PR_PRSIr3-PR_PRSIr2)*MAX(0,MIN(12,D276*12+12-PR_PRSIt3)))/12</f>
        <v>0.047</v>
      </c>
      <c r="K276" s="20" t="n">
        <f aca="false">IF(G276=1,F_Income*F276,0)</f>
        <v>0</v>
      </c>
      <c r="L276" s="20" t="n">
        <f aca="false">IF(G276=1,(F_Own+In_penExtra)*12*F276,0)</f>
        <v>0</v>
      </c>
      <c r="M276" s="20" t="n">
        <f aca="false">IF(G276=1,(F_PenM+In_penExtra)*12*F276,0)</f>
        <v>0</v>
      </c>
      <c r="N276" s="51" t="n">
        <f aca="false">IF(C276&lt;PR_RelA1,PR_RelP1,IF(C276&lt;PR_RelA2,PR_RelP2,IF(C276&lt;PR_RelA3,PR_RelP3,IF(C276&lt;PR_RelA4,PR_RelP4,IF(C276&lt;PR_RelA5,PR_RelP5,PR_RelP6)))))</f>
        <v>0.4</v>
      </c>
      <c r="O276" s="20" t="n">
        <f aca="false">IF(G276=1,MIN(L276/H276,N276*MIN(K276/H276,PR_EarnCap))*H276,0)</f>
        <v>0</v>
      </c>
      <c r="P276" s="20" t="n">
        <f aca="false">IF(AND(G276=1,F_AE=1),MIN(K276/H276,PR_AEcap)*H276,0)</f>
        <v>0</v>
      </c>
      <c r="Q276" s="20" t="n">
        <f aca="false">IF(G276=1,IF(WI_Retire=1,MAX(0,M276+WI_M*12),M276)+(PR_AEee+PR_AEer+PR_AEst)*P276,0)</f>
        <v>0</v>
      </c>
      <c r="R276" s="20" t="n">
        <f aca="false">L276+PR_AEee*P276</f>
        <v>0</v>
      </c>
      <c r="S276" s="20" t="n">
        <f aca="false">AD275</f>
        <v>337987.185071142</v>
      </c>
      <c r="T276" s="20" t="n">
        <f aca="false">IF(D276&lt;=PR_SFTfrom,PR_SFT2026,IF(D276=PR_SFTfrom+1,PR_SFT2027,IF(D276=PR_SFTfrom+2,PR_SFT2028,IF(D276&lt;=PR_SFTto,PR_SFT2029,PR_SFT2029*(1+AS_Infl)^(D276-PR_SFTto)))))</f>
        <v>6061285.3510996</v>
      </c>
      <c r="U276" s="20" t="n">
        <f aca="false">IF(AND(G276=0,C276=F_V),1,0)</f>
        <v>0</v>
      </c>
      <c r="V276" s="20" t="n">
        <f aca="false">IF(U276=1,PR_SFTrate*MAX(0,S276-T276),0)</f>
        <v>0</v>
      </c>
      <c r="W276" s="20" t="n">
        <f aca="false">S276-V276</f>
        <v>337987.185071142</v>
      </c>
      <c r="X276" s="20" t="n">
        <f aca="false">IF(AND(U276=1,AS_LumpPct&gt;0),W276*MIN(AS_LumpPct,PR_LSmax),0)</f>
        <v>0</v>
      </c>
      <c r="Y276" s="20" t="n">
        <f aca="false">X276-(PR_LSrate*MAX(0,MIN(X276,PR_LScap)-PR_LSfree)+PR_r2*MAX(0,X276-PR_LScap))</f>
        <v>0</v>
      </c>
      <c r="Z276" s="20" t="n">
        <f aca="false">W276-X276</f>
        <v>337987.185071142</v>
      </c>
      <c r="AA276" s="51" t="n">
        <f aca="false">IF(C276&gt;=PR_ARFage1,IF(Z276&gt;PR_ARFbig,PR_ARFbigRate,IF(C276&gt;=PR_ARFage2,PR_ARF71,PR_ARF61)),0)</f>
        <v>0.05</v>
      </c>
      <c r="AB276" s="20" t="n">
        <f aca="false">IF(AS_DrawRule="min",Z276*AA276,IF(AS_DrawRule="fixed",MAX(AS_DrawFixed*E276,Z276*AA276),Z276*MAX(1/MAX(1,AS_End-C276+1),AA276)))</f>
        <v>21124.1990669464</v>
      </c>
      <c r="AC276" s="20" t="n">
        <f aca="false">IF(AND(G276=0,C276&gt;=F_V),MIN(Z276,AB276),0)</f>
        <v>21124.1990669464</v>
      </c>
      <c r="AD276" s="20" t="n">
        <f aca="false">IF(G276=1,S276*(1+F_PenG)+Q276,IF(C276&lt;F_V,S276*(1+F_PenG),(Z276-AC276)*(1+AS_PenRet)))</f>
        <v>326844.170063328</v>
      </c>
      <c r="AE276" s="20" t="n">
        <f aca="false">IF(C276&gt;=PR_SPage,AS_SP*F_SpF*I276+IF(AND(C276&gt;=PR_Over80Age,F_SpF&gt;0),PR_Over80*PR_Weeks*I276,0),0)</f>
        <v>36947.961093758</v>
      </c>
      <c r="AF276" s="20" t="n">
        <f aca="false">(F_OtherM+F_RentM)*12*E276+IF(AND(In_polInc&gt;0,In_polIncAge&gt;0,C276&gt;=In_polIncAge),In_polInc,0)</f>
        <v>0</v>
      </c>
      <c r="AG276" s="20" t="n">
        <f aca="false">F_PAge+B276</f>
        <v>79</v>
      </c>
      <c r="AH276" s="20" t="n">
        <f aca="false">IF(AND(F_Partner=1,F_PAge&gt;0,AG276&lt;IF(F_PRet&gt;0,F_PRet,PR_SPage)),F_PIncome*F276,0)</f>
        <v>0</v>
      </c>
      <c r="AI276" s="20" t="n">
        <f aca="false">IF(AND(F_Partner=1,AG276&gt;=PR_SPage,F_PSpQA=0),AS_SP*F_PSpF*I276,0)</f>
        <v>28602.71517714</v>
      </c>
      <c r="AJ276" s="20" t="n">
        <f aca="false">IF(AND(F_Partner=1,F_PSpQA=1,C276&gt;=PR_SPage,AH276=0),IF(AG276&gt;=PR_SPage,PR_QA66,PR_QAunder)*PR_Weeks*I276,0)</f>
        <v>0</v>
      </c>
      <c r="AK276" s="20" t="n">
        <f aca="false">AE276+AJ276</f>
        <v>36947.961093758</v>
      </c>
      <c r="AL276" s="20" t="n">
        <f aca="false">K276/H276</f>
        <v>0</v>
      </c>
      <c r="AM276" s="20" t="n">
        <f aca="false">AK276/H276</f>
        <v>16083.6</v>
      </c>
      <c r="AN276" s="20" t="n">
        <f aca="false">AC276/H276</f>
        <v>9195.45106294207</v>
      </c>
      <c r="AO276" s="20" t="n">
        <f aca="false">AF276/H276</f>
        <v>0</v>
      </c>
      <c r="AP276" s="20" t="n">
        <f aca="false">O276/H276</f>
        <v>0</v>
      </c>
      <c r="AQ276" s="20" t="n">
        <f aca="false">AH276/H276</f>
        <v>0</v>
      </c>
      <c r="AR276" s="20" t="n">
        <f aca="false">AI276/H276</f>
        <v>12450.88</v>
      </c>
      <c r="AS276" s="20" t="n">
        <f aca="false">MAX(0,AL276+AN276+AO276+AM276-AP276)</f>
        <v>25279.0510629421</v>
      </c>
      <c r="AT276" s="20" t="n">
        <f aca="false">MAX(0,AQ276+AR276)</f>
        <v>12450.88</v>
      </c>
      <c r="AU276" s="20" t="n">
        <f aca="false">MIN(PR_PAYE,PR_PAYEcap*(AL276+AN276+AM276))</f>
        <v>2000</v>
      </c>
      <c r="AV276" s="20" t="n">
        <f aca="false">MIN(PR_PAYE,PR_PAYEcap*(AQ276+AR276))</f>
        <v>2000</v>
      </c>
      <c r="AW276" s="20" t="n">
        <f aca="false">IF(C276&gt;=PR_AgeCrAge,PR_AgeCr,0)</f>
        <v>245</v>
      </c>
      <c r="AX276" s="20" t="n">
        <f aca="false">IF(AG276&gt;=PR_AgeCrAge,PR_AgeCr,0)</f>
        <v>245</v>
      </c>
      <c r="AY276" s="20" t="n">
        <f aca="false">IF(AND(F_RentCred=1,D276&lt;=PR_RentLast),1,0)</f>
        <v>0</v>
      </c>
      <c r="AZ276" s="20" t="n">
        <f aca="false">AS276+AT276</f>
        <v>37729.9310629421</v>
      </c>
      <c r="BA276" s="20" t="n">
        <f aca="false">PR_PersonalM+AU276+AV276+AW276+AX276+IF(AY276=1,PR_RentJoint,0)</f>
        <v>8490</v>
      </c>
      <c r="BB276" s="20" t="n">
        <f aca="false">PR_BandM+MIN(MIN(AS276,AT276),PR_Uplift)</f>
        <v>65450.88</v>
      </c>
      <c r="BC276" s="20" t="n">
        <f aca="false">MAX(0,PR_r1*MIN(AZ276,BB276)+PR_r2*MAX(0,AZ276-BB276)-BA276)</f>
        <v>0</v>
      </c>
      <c r="BD276" s="20" t="n">
        <f aca="false">MAX(0,PR_HomeCarer-MAX(0,MIN(AS276,AT276)-PR_HCLimit)/2)</f>
        <v>0</v>
      </c>
      <c r="BE276" s="20" t="n">
        <f aca="false">IF(F_Carer=1,MIN(BC276,MAX(0,PR_r1*MIN(AZ276,PR_BandM)+PR_r2*MAX(0,AZ276-PR_BandM)-BA276-BD276)),BC276)</f>
        <v>0</v>
      </c>
      <c r="BF276" s="20" t="n">
        <f aca="false">IF(OR(C276&gt;=PR_AgeCrAge,AG276&gt;=PR_AgeCrAge),IF(AZ276&lt;=PR_AgeExM,0,MIN(BE276,PR_AgeMarg*(AZ276-PR_AgeExM))),BE276)</f>
        <v>0</v>
      </c>
      <c r="BG276" s="20" t="n">
        <f aca="false">MAX(0,PR_r1*MIN(AS276,IF(F_Spccc=1,PR_BandSPCCC,PR_Band))+PR_r2*MAX(0,AS276-IF(F_Spccc=1,PR_BandSPCCC,PR_Band))-(PR_Personal+AU276+AW276+IF(F_Spccc=1,PR_SPCCC,0)+IF(AY276=1,PR_Rent,0)))</f>
        <v>810.810212588415</v>
      </c>
      <c r="BH276" s="20" t="n">
        <f aca="false">IF(C276&gt;=PR_AgeCrAge,IF(AS276&lt;=PR_AgeEx,0,MIN(BG276,PR_AgeMarg*(AS276-PR_AgeEx))),BG276)</f>
        <v>810.810212588415</v>
      </c>
      <c r="BI276" s="20" t="n">
        <f aca="false">IF(F_Partner=1,MAX(0,PR_r1*MIN(AT276,PR_Band)+PR_r2*MAX(0,AT276-PR_Band)-(PR_Personal+AV276+AX276+IF(AND(AY276=1,AT276&gt;0),PR_Rent,0))),0)</f>
        <v>0</v>
      </c>
      <c r="BJ276" s="20" t="n">
        <f aca="false">IF(AG276&gt;=PR_AgeCrAge,IF(AT276&lt;=PR_AgeEx,0,MIN(BI276,PR_AgeMarg*(AT276-PR_AgeEx))),BI276)</f>
        <v>0</v>
      </c>
      <c r="BK276" s="20" t="n">
        <f aca="false">IF(F_Partner=1,IF(F_Married=1,BF276,BH276+BJ276),BH276)</f>
        <v>810.810212588415</v>
      </c>
      <c r="BL276" s="20" t="n">
        <f aca="false">AL276+AN276+AO276</f>
        <v>9195.45106294207</v>
      </c>
      <c r="BM276" s="20"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20" t="n">
        <f aca="false">AQ276</f>
        <v>0</v>
      </c>
      <c r="BO276" s="20"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20" t="n">
        <f aca="false">IF(C276&lt;PR_PRSIend,IF(F_SelfEmp=1,IF(AL276&gt;PR_PRSIsMinInc,MAX(PR_PRSIsMin,AL276*J276),0),IF(AL276/52&lt;=PR_PRSIfree,0,MAX(0,(AL276/52*J276-IF(AL276/52&lt;=PR_PRSIcreditTo,MAX(0,PR_PRSIcreditMax-(AL276/52-(PR_PRSIfree+0.01))/PR_PRSItaper),0))*52)))+J276*AN276+IF(AO276&gt;PR_PRSIunearned,J276*AO276,0),0)+IF(AND(PRSI_ARF_Applies=1,AN276&gt;0,C276&gt;=PR_PRSIend,C276&lt;PRSI_ARF_ToAge,NOT(AK276&gt;0)),J276*AN276,0)</f>
        <v>0</v>
      </c>
      <c r="BQ276" s="20" t="n">
        <f aca="false">IF(AND(F_Partner=1,AG276&lt;PR_PRSIend),IF(AQ276/52&lt;=PR_PRSIfree,0,MAX(0,(AQ276/52*J276-IF(AQ276/52&lt;=PR_PRSIcreditTo,MAX(0,PR_PRSIcreditMax-(AQ276/52-(PR_PRSIfree+0.01))/PR_PRSItaper),0))*52)),0)</f>
        <v>0</v>
      </c>
      <c r="BR276" s="20" t="n">
        <f aca="false">BK276+BM276+BO276+BP276+BQ276</f>
        <v>810.810212588415</v>
      </c>
      <c r="BS276" s="20" t="n">
        <f aca="false">BR276*H276</f>
        <v>1862.6292738652</v>
      </c>
      <c r="BT276" s="20" t="n">
        <f aca="false">K276+AK276+AC276+AF276+AH276+AI276</f>
        <v>86674.8753378444</v>
      </c>
    </row>
    <row r="277" customFormat="false" ht="15" hidden="false" customHeight="true" outlineLevel="0" collapsed="false">
      <c r="B277" s="20" t="n">
        <v>43</v>
      </c>
      <c r="C277" s="20" t="n">
        <f aca="false">F_Age+B277</f>
        <v>81</v>
      </c>
      <c r="D277" s="20" t="n">
        <f aca="false">AS_Year0+B277</f>
        <v>2069</v>
      </c>
      <c r="E277" s="50" t="n">
        <f aca="false">(1+AS_Infl)^B277</f>
        <v>2.34318935534539</v>
      </c>
      <c r="F277" s="50" t="n">
        <f aca="false">(1+AS_Wage)^B277</f>
        <v>3.56451677033778</v>
      </c>
      <c r="G277" s="20" t="n">
        <f aca="false">IF(C277&lt;F_R,1,0)</f>
        <v>0</v>
      </c>
      <c r="H277" s="50" t="n">
        <f aca="false">IF(AS_Bands="flat",1,E277)</f>
        <v>2.34318935534539</v>
      </c>
      <c r="I277" s="50" t="n">
        <f aca="false">IF(AS_SpGrow="pay",F277,IF(AS_SpGrow="flat",1,E277))</f>
        <v>2.34318935534539</v>
      </c>
      <c r="J277" s="50" t="n">
        <f aca="false">(12*PR_PRSIr0+(PR_PRSIr1-PR_PRSIr0)*MAX(0,MIN(12,D277*12+12-PR_PRSIt1))+(PR_PRSIr2-PR_PRSIr1)*MAX(0,MIN(12,D277*12+12-PR_PRSIt2))+(PR_PRSIr3-PR_PRSIr2)*MAX(0,MIN(12,D277*12+12-PR_PRSIt3)))/12</f>
        <v>0.047</v>
      </c>
      <c r="K277" s="20" t="n">
        <f aca="false">IF(G277=1,F_Income*F277,0)</f>
        <v>0</v>
      </c>
      <c r="L277" s="20" t="n">
        <f aca="false">IF(G277=1,(F_Own+In_penExtra)*12*F277,0)</f>
        <v>0</v>
      </c>
      <c r="M277" s="20" t="n">
        <f aca="false">IF(G277=1,(F_PenM+In_penExtra)*12*F277,0)</f>
        <v>0</v>
      </c>
      <c r="N277" s="51" t="n">
        <f aca="false">IF(C277&lt;PR_RelA1,PR_RelP1,IF(C277&lt;PR_RelA2,PR_RelP2,IF(C277&lt;PR_RelA3,PR_RelP3,IF(C277&lt;PR_RelA4,PR_RelP4,IF(C277&lt;PR_RelA5,PR_RelP5,PR_RelP6)))))</f>
        <v>0.4</v>
      </c>
      <c r="O277" s="20" t="n">
        <f aca="false">IF(G277=1,MIN(L277/H277,N277*MIN(K277/H277,PR_EarnCap))*H277,0)</f>
        <v>0</v>
      </c>
      <c r="P277" s="20" t="n">
        <f aca="false">IF(AND(G277=1,F_AE=1),MIN(K277/H277,PR_AEcap)*H277,0)</f>
        <v>0</v>
      </c>
      <c r="Q277" s="20" t="n">
        <f aca="false">IF(G277=1,IF(WI_Retire=1,MAX(0,M277+WI_M*12),M277)+(PR_AEee+PR_AEer+PR_AEst)*P277,0)</f>
        <v>0</v>
      </c>
      <c r="R277" s="20" t="n">
        <f aca="false">L277+PR_AEee*P277</f>
        <v>0</v>
      </c>
      <c r="S277" s="20" t="n">
        <f aca="false">AD276</f>
        <v>326844.170063328</v>
      </c>
      <c r="T277" s="20" t="n">
        <f aca="false">IF(D277&lt;=PR_SFTfrom,PR_SFT2026,IF(D277=PR_SFTfrom+1,PR_SFT2027,IF(D277=PR_SFTfrom+2,PR_SFT2028,IF(D277&lt;=PR_SFTto,PR_SFT2029,PR_SFT2029*(1+AS_Infl)^(D277-PR_SFTto)))))</f>
        <v>6182511.05812159</v>
      </c>
      <c r="U277" s="20" t="n">
        <f aca="false">IF(AND(G277=0,C277=F_V),1,0)</f>
        <v>0</v>
      </c>
      <c r="V277" s="20" t="n">
        <f aca="false">IF(U277=1,PR_SFTrate*MAX(0,S277-T277),0)</f>
        <v>0</v>
      </c>
      <c r="W277" s="20" t="n">
        <f aca="false">S277-V277</f>
        <v>326844.170063328</v>
      </c>
      <c r="X277" s="20" t="n">
        <f aca="false">IF(AND(U277=1,AS_LumpPct&gt;0),W277*MIN(AS_LumpPct,PR_LSmax),0)</f>
        <v>0</v>
      </c>
      <c r="Y277" s="20" t="n">
        <f aca="false">X277-(PR_LSrate*MAX(0,MIN(X277,PR_LScap)-PR_LSfree)+PR_r2*MAX(0,X277-PR_LScap))</f>
        <v>0</v>
      </c>
      <c r="Z277" s="20" t="n">
        <f aca="false">W277-X277</f>
        <v>326844.170063328</v>
      </c>
      <c r="AA277" s="51" t="n">
        <f aca="false">IF(C277&gt;=PR_ARFage1,IF(Z277&gt;PR_ARFbig,PR_ARFbigRate,IF(C277&gt;=PR_ARFage2,PR_ARF71,PR_ARF61)),0)</f>
        <v>0.05</v>
      </c>
      <c r="AB277" s="20" t="n">
        <f aca="false">IF(AS_DrawRule="min",Z277*AA277,IF(AS_DrawRule="fixed",MAX(AS_DrawFixed*E277,Z277*AA277),Z277*MAX(1/MAX(1,AS_End-C277+1),AA277)))</f>
        <v>21789.6113375552</v>
      </c>
      <c r="AC277" s="20" t="n">
        <f aca="false">IF(AND(G277=0,C277&gt;=F_V),MIN(Z277,AB277),0)</f>
        <v>21789.6113375552</v>
      </c>
      <c r="AD277" s="20" t="n">
        <f aca="false">IF(G277=1,S277*(1+F_PenG)+Q277,IF(C277&lt;F_V,S277*(1+F_PenG),(Z277-AC277)*(1+AS_PenRet)))</f>
        <v>314663.777325635</v>
      </c>
      <c r="AE277" s="20" t="n">
        <f aca="false">IF(C277&gt;=PR_SPage,AS_SP*F_SpF*I277+IF(AND(C277&gt;=PR_Over80Age,F_SpF&gt;0),PR_Over80*PR_Weeks*I277,0),0)</f>
        <v>37686.9203156332</v>
      </c>
      <c r="AF277" s="20" t="n">
        <f aca="false">(F_OtherM+F_RentM)*12*E277+IF(AND(In_polInc&gt;0,In_polIncAge&gt;0,C277&gt;=In_polIncAge),In_polInc,0)</f>
        <v>0</v>
      </c>
      <c r="AG277" s="20" t="n">
        <f aca="false">F_PAge+B277</f>
        <v>80</v>
      </c>
      <c r="AH277" s="20" t="n">
        <f aca="false">IF(AND(F_Partner=1,F_PAge&gt;0,AG277&lt;IF(F_PRet&gt;0,F_PRet,PR_SPage)),F_PIncome*F277,0)</f>
        <v>0</v>
      </c>
      <c r="AI277" s="20" t="n">
        <f aca="false">IF(AND(F_Partner=1,AG277&gt;=PR_SPage,F_PSpQA=0),AS_SP*F_PSpF*I277,0)</f>
        <v>29174.7694806828</v>
      </c>
      <c r="AJ277" s="20" t="n">
        <f aca="false">IF(AND(F_Partner=1,F_PSpQA=1,C277&gt;=PR_SPage,AH277=0),IF(AG277&gt;=PR_SPage,PR_QA66,PR_QAunder)*PR_Weeks*I277,0)</f>
        <v>0</v>
      </c>
      <c r="AK277" s="20" t="n">
        <f aca="false">AE277+AJ277</f>
        <v>37686.9203156332</v>
      </c>
      <c r="AL277" s="20" t="n">
        <f aca="false">K277/H277</f>
        <v>0</v>
      </c>
      <c r="AM277" s="20" t="n">
        <f aca="false">AK277/H277</f>
        <v>16083.6</v>
      </c>
      <c r="AN277" s="20" t="n">
        <f aca="false">AC277/H277</f>
        <v>9299.12526610269</v>
      </c>
      <c r="AO277" s="20" t="n">
        <f aca="false">AF277/H277</f>
        <v>0</v>
      </c>
      <c r="AP277" s="20" t="n">
        <f aca="false">O277/H277</f>
        <v>0</v>
      </c>
      <c r="AQ277" s="20" t="n">
        <f aca="false">AH277/H277</f>
        <v>0</v>
      </c>
      <c r="AR277" s="20" t="n">
        <f aca="false">AI277/H277</f>
        <v>12450.88</v>
      </c>
      <c r="AS277" s="20" t="n">
        <f aca="false">MAX(0,AL277+AN277+AO277+AM277-AP277)</f>
        <v>25382.7252661027</v>
      </c>
      <c r="AT277" s="20" t="n">
        <f aca="false">MAX(0,AQ277+AR277)</f>
        <v>12450.88</v>
      </c>
      <c r="AU277" s="20" t="n">
        <f aca="false">MIN(PR_PAYE,PR_PAYEcap*(AL277+AN277+AM277))</f>
        <v>2000</v>
      </c>
      <c r="AV277" s="20" t="n">
        <f aca="false">MIN(PR_PAYE,PR_PAYEcap*(AQ277+AR277))</f>
        <v>2000</v>
      </c>
      <c r="AW277" s="20" t="n">
        <f aca="false">IF(C277&gt;=PR_AgeCrAge,PR_AgeCr,0)</f>
        <v>245</v>
      </c>
      <c r="AX277" s="20" t="n">
        <f aca="false">IF(AG277&gt;=PR_AgeCrAge,PR_AgeCr,0)</f>
        <v>245</v>
      </c>
      <c r="AY277" s="20" t="n">
        <f aca="false">IF(AND(F_RentCred=1,D277&lt;=PR_RentLast),1,0)</f>
        <v>0</v>
      </c>
      <c r="AZ277" s="20" t="n">
        <f aca="false">AS277+AT277</f>
        <v>37833.6052661027</v>
      </c>
      <c r="BA277" s="20" t="n">
        <f aca="false">PR_PersonalM+AU277+AV277+AW277+AX277+IF(AY277=1,PR_RentJoint,0)</f>
        <v>8490</v>
      </c>
      <c r="BB277" s="20" t="n">
        <f aca="false">PR_BandM+MIN(MIN(AS277,AT277),PR_Uplift)</f>
        <v>65450.88</v>
      </c>
      <c r="BC277" s="20" t="n">
        <f aca="false">MAX(0,PR_r1*MIN(AZ277,BB277)+PR_r2*MAX(0,AZ277-BB277)-BA277)</f>
        <v>0</v>
      </c>
      <c r="BD277" s="20" t="n">
        <f aca="false">MAX(0,PR_HomeCarer-MAX(0,MIN(AS277,AT277)-PR_HCLimit)/2)</f>
        <v>0</v>
      </c>
      <c r="BE277" s="20" t="n">
        <f aca="false">IF(F_Carer=1,MIN(BC277,MAX(0,PR_r1*MIN(AZ277,PR_BandM)+PR_r2*MAX(0,AZ277-PR_BandM)-BA277-BD277)),BC277)</f>
        <v>0</v>
      </c>
      <c r="BF277" s="20" t="n">
        <f aca="false">IF(OR(C277&gt;=PR_AgeCrAge,AG277&gt;=PR_AgeCrAge),IF(AZ277&lt;=PR_AgeExM,0,MIN(BE277,PR_AgeMarg*(AZ277-PR_AgeExM))),BE277)</f>
        <v>0</v>
      </c>
      <c r="BG277" s="20" t="n">
        <f aca="false">MAX(0,PR_r1*MIN(AS277,IF(F_Spccc=1,PR_BandSPCCC,PR_Band))+PR_r2*MAX(0,AS277-IF(F_Spccc=1,PR_BandSPCCC,PR_Band))-(PR_Personal+AU277+AW277+IF(F_Spccc=1,PR_SPCCC,0)+IF(AY277=1,PR_Rent,0)))</f>
        <v>831.54505322054</v>
      </c>
      <c r="BH277" s="20" t="n">
        <f aca="false">IF(C277&gt;=PR_AgeCrAge,IF(AS277&lt;=PR_AgeEx,0,MIN(BG277,PR_AgeMarg*(AS277-PR_AgeEx))),BG277)</f>
        <v>831.54505322054</v>
      </c>
      <c r="BI277" s="20" t="n">
        <f aca="false">IF(F_Partner=1,MAX(0,PR_r1*MIN(AT277,PR_Band)+PR_r2*MAX(0,AT277-PR_Band)-(PR_Personal+AV277+AX277+IF(AND(AY277=1,AT277&gt;0),PR_Rent,0))),0)</f>
        <v>0</v>
      </c>
      <c r="BJ277" s="20" t="n">
        <f aca="false">IF(AG277&gt;=PR_AgeCrAge,IF(AT277&lt;=PR_AgeEx,0,MIN(BI277,PR_AgeMarg*(AT277-PR_AgeEx))),BI277)</f>
        <v>0</v>
      </c>
      <c r="BK277" s="20" t="n">
        <f aca="false">IF(F_Partner=1,IF(F_Married=1,BF277,BH277+BJ277),BH277)</f>
        <v>831.54505322054</v>
      </c>
      <c r="BL277" s="20" t="n">
        <f aca="false">AL277+AN277+AO277</f>
        <v>9299.12526610269</v>
      </c>
      <c r="BM277" s="20"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20" t="n">
        <f aca="false">AQ277</f>
        <v>0</v>
      </c>
      <c r="BO277" s="20"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20" t="n">
        <f aca="false">IF(C277&lt;PR_PRSIend,IF(F_SelfEmp=1,IF(AL277&gt;PR_PRSIsMinInc,MAX(PR_PRSIsMin,AL277*J277),0),IF(AL277/52&lt;=PR_PRSIfree,0,MAX(0,(AL277/52*J277-IF(AL277/52&lt;=PR_PRSIcreditTo,MAX(0,PR_PRSIcreditMax-(AL277/52-(PR_PRSIfree+0.01))/PR_PRSItaper),0))*52)))+J277*AN277+IF(AO277&gt;PR_PRSIunearned,J277*AO277,0),0)+IF(AND(PRSI_ARF_Applies=1,AN277&gt;0,C277&gt;=PR_PRSIend,C277&lt;PRSI_ARF_ToAge,NOT(AK277&gt;0)),J277*AN277,0)</f>
        <v>0</v>
      </c>
      <c r="BQ277" s="20" t="n">
        <f aca="false">IF(AND(F_Partner=1,AG277&lt;PR_PRSIend),IF(AQ277/52&lt;=PR_PRSIfree,0,MAX(0,(AQ277/52*J277-IF(AQ277/52&lt;=PR_PRSIcreditTo,MAX(0,PR_PRSIcreditMax-(AQ277/52-(PR_PRSIfree+0.01))/PR_PRSItaper),0))*52)),0)</f>
        <v>0</v>
      </c>
      <c r="BR277" s="20" t="n">
        <f aca="false">BK277+BM277+BO277+BP277+BQ277</f>
        <v>831.54505322054</v>
      </c>
      <c r="BS277" s="20" t="n">
        <f aca="false">BR277*H277</f>
        <v>1948.46751719649</v>
      </c>
      <c r="BT277" s="20" t="n">
        <f aca="false">K277+AK277+AC277+AF277+AH277+AI277</f>
        <v>88651.3011338712</v>
      </c>
    </row>
    <row r="278" customFormat="false" ht="15" hidden="false" customHeight="true" outlineLevel="0" collapsed="false">
      <c r="B278" s="20" t="n">
        <v>44</v>
      </c>
      <c r="C278" s="20" t="n">
        <f aca="false">F_Age+B278</f>
        <v>82</v>
      </c>
      <c r="D278" s="20" t="n">
        <f aca="false">AS_Year0+B278</f>
        <v>2070</v>
      </c>
      <c r="E278" s="50" t="n">
        <f aca="false">(1+AS_Infl)^B278</f>
        <v>2.3900531424523</v>
      </c>
      <c r="F278" s="50" t="n">
        <f aca="false">(1+AS_Wage)^B278</f>
        <v>3.67145227344791</v>
      </c>
      <c r="G278" s="20" t="n">
        <f aca="false">IF(C278&lt;F_R,1,0)</f>
        <v>0</v>
      </c>
      <c r="H278" s="50" t="n">
        <f aca="false">IF(AS_Bands="flat",1,E278)</f>
        <v>2.3900531424523</v>
      </c>
      <c r="I278" s="50" t="n">
        <f aca="false">IF(AS_SpGrow="pay",F278,IF(AS_SpGrow="flat",1,E278))</f>
        <v>2.3900531424523</v>
      </c>
      <c r="J278" s="50" t="n">
        <f aca="false">(12*PR_PRSIr0+(PR_PRSIr1-PR_PRSIr0)*MAX(0,MIN(12,D278*12+12-PR_PRSIt1))+(PR_PRSIr2-PR_PRSIr1)*MAX(0,MIN(12,D278*12+12-PR_PRSIt2))+(PR_PRSIr3-PR_PRSIr2)*MAX(0,MIN(12,D278*12+12-PR_PRSIt3)))/12</f>
        <v>0.047</v>
      </c>
      <c r="K278" s="20" t="n">
        <f aca="false">IF(G278=1,F_Income*F278,0)</f>
        <v>0</v>
      </c>
      <c r="L278" s="20" t="n">
        <f aca="false">IF(G278=1,(F_Own+In_penExtra)*12*F278,0)</f>
        <v>0</v>
      </c>
      <c r="M278" s="20" t="n">
        <f aca="false">IF(G278=1,(F_PenM+In_penExtra)*12*F278,0)</f>
        <v>0</v>
      </c>
      <c r="N278" s="51" t="n">
        <f aca="false">IF(C278&lt;PR_RelA1,PR_RelP1,IF(C278&lt;PR_RelA2,PR_RelP2,IF(C278&lt;PR_RelA3,PR_RelP3,IF(C278&lt;PR_RelA4,PR_RelP4,IF(C278&lt;PR_RelA5,PR_RelP5,PR_RelP6)))))</f>
        <v>0.4</v>
      </c>
      <c r="O278" s="20" t="n">
        <f aca="false">IF(G278=1,MIN(L278/H278,N278*MIN(K278/H278,PR_EarnCap))*H278,0)</f>
        <v>0</v>
      </c>
      <c r="P278" s="20" t="n">
        <f aca="false">IF(AND(G278=1,F_AE=1),MIN(K278/H278,PR_AEcap)*H278,0)</f>
        <v>0</v>
      </c>
      <c r="Q278" s="20" t="n">
        <f aca="false">IF(G278=1,IF(WI_Retire=1,MAX(0,M278+WI_M*12),M278)+(PR_AEee+PR_AEer+PR_AEst)*P278,0)</f>
        <v>0</v>
      </c>
      <c r="R278" s="20" t="n">
        <f aca="false">L278+PR_AEee*P278</f>
        <v>0</v>
      </c>
      <c r="S278" s="20" t="n">
        <f aca="false">AD277</f>
        <v>314663.777325635</v>
      </c>
      <c r="T278" s="20" t="n">
        <f aca="false">IF(D278&lt;=PR_SFTfrom,PR_SFT2026,IF(D278=PR_SFTfrom+1,PR_SFT2027,IF(D278=PR_SFTfrom+2,PR_SFT2028,IF(D278&lt;=PR_SFTto,PR_SFT2029,PR_SFT2029*(1+AS_Infl)^(D278-PR_SFTto)))))</f>
        <v>6306161.27928402</v>
      </c>
      <c r="U278" s="20" t="n">
        <f aca="false">IF(AND(G278=0,C278=F_V),1,0)</f>
        <v>0</v>
      </c>
      <c r="V278" s="20" t="n">
        <f aca="false">IF(U278=1,PR_SFTrate*MAX(0,S278-T278),0)</f>
        <v>0</v>
      </c>
      <c r="W278" s="20" t="n">
        <f aca="false">S278-V278</f>
        <v>314663.777325635</v>
      </c>
      <c r="X278" s="20" t="n">
        <f aca="false">IF(AND(U278=1,AS_LumpPct&gt;0),W278*MIN(AS_LumpPct,PR_LSmax),0)</f>
        <v>0</v>
      </c>
      <c r="Y278" s="20" t="n">
        <f aca="false">X278-(PR_LSrate*MAX(0,MIN(X278,PR_LScap)-PR_LSfree)+PR_r2*MAX(0,X278-PR_LScap))</f>
        <v>0</v>
      </c>
      <c r="Z278" s="20" t="n">
        <f aca="false">W278-X278</f>
        <v>314663.777325635</v>
      </c>
      <c r="AA278" s="51" t="n">
        <f aca="false">IF(C278&gt;=PR_ARFage1,IF(Z278&gt;PR_ARFbig,PR_ARFbigRate,IF(C278&gt;=PR_ARFage2,PR_ARF71,PR_ARF61)),0)</f>
        <v>0.05</v>
      </c>
      <c r="AB278" s="20" t="n">
        <f aca="false">IF(AS_DrawRule="min",Z278*AA278,IF(AS_DrawRule="fixed",MAX(AS_DrawFixed*E278,Z278*AA278),Z278*MAX(1/MAX(1,AS_End-C278+1),AA278)))</f>
        <v>22475.9840946882</v>
      </c>
      <c r="AC278" s="20" t="n">
        <f aca="false">IF(AND(G278=0,C278&gt;=F_V),MIN(Z278,AB278),0)</f>
        <v>22475.9840946882</v>
      </c>
      <c r="AD278" s="20" t="n">
        <f aca="false">IF(G278=1,S278*(1+F_PenG)+Q278,IF(C278&lt;F_V,S278*(1+F_PenG),(Z278-AC278)*(1+AS_PenRet)))</f>
        <v>301391.708717722</v>
      </c>
      <c r="AE278" s="20" t="n">
        <f aca="false">IF(C278&gt;=PR_SPage,AS_SP*F_SpF*I278+IF(AND(C278&gt;=PR_Over80Age,F_SpF&gt;0),PR_Over80*PR_Weeks*I278,0),0)</f>
        <v>38440.6587219458</v>
      </c>
      <c r="AF278" s="20" t="n">
        <f aca="false">(F_OtherM+F_RentM)*12*E278+IF(AND(In_polInc&gt;0,In_polIncAge&gt;0,C278&gt;=In_polIncAge),In_polInc,0)</f>
        <v>0</v>
      </c>
      <c r="AG278" s="20" t="n">
        <f aca="false">F_PAge+B278</f>
        <v>81</v>
      </c>
      <c r="AH278" s="20" t="n">
        <f aca="false">IF(AND(F_Partner=1,F_PAge&gt;0,AG278&lt;IF(F_PRet&gt;0,F_PRet,PR_SPage)),F_PIncome*F278,0)</f>
        <v>0</v>
      </c>
      <c r="AI278" s="20" t="n">
        <f aca="false">IF(AND(F_Partner=1,AG278&gt;=PR_SPage,F_PSpQA=0),AS_SP*F_PSpF*I278,0)</f>
        <v>29758.2648702965</v>
      </c>
      <c r="AJ278" s="20" t="n">
        <f aca="false">IF(AND(F_Partner=1,F_PSpQA=1,C278&gt;=PR_SPage,AH278=0),IF(AG278&gt;=PR_SPage,PR_QA66,PR_QAunder)*PR_Weeks*I278,0)</f>
        <v>0</v>
      </c>
      <c r="AK278" s="20" t="n">
        <f aca="false">AE278+AJ278</f>
        <v>38440.6587219458</v>
      </c>
      <c r="AL278" s="20" t="n">
        <f aca="false">K278/H278</f>
        <v>0</v>
      </c>
      <c r="AM278" s="20" t="n">
        <f aca="false">AK278/H278</f>
        <v>16083.6</v>
      </c>
      <c r="AN278" s="20" t="n">
        <f aca="false">AC278/H278</f>
        <v>9403.96834508326</v>
      </c>
      <c r="AO278" s="20" t="n">
        <f aca="false">AF278/H278</f>
        <v>0</v>
      </c>
      <c r="AP278" s="20" t="n">
        <f aca="false">O278/H278</f>
        <v>0</v>
      </c>
      <c r="AQ278" s="20" t="n">
        <f aca="false">AH278/H278</f>
        <v>0</v>
      </c>
      <c r="AR278" s="20" t="n">
        <f aca="false">AI278/H278</f>
        <v>12450.88</v>
      </c>
      <c r="AS278" s="20" t="n">
        <f aca="false">MAX(0,AL278+AN278+AO278+AM278-AP278)</f>
        <v>25487.5683450833</v>
      </c>
      <c r="AT278" s="20" t="n">
        <f aca="false">MAX(0,AQ278+AR278)</f>
        <v>12450.88</v>
      </c>
      <c r="AU278" s="20" t="n">
        <f aca="false">MIN(PR_PAYE,PR_PAYEcap*(AL278+AN278+AM278))</f>
        <v>2000</v>
      </c>
      <c r="AV278" s="20" t="n">
        <f aca="false">MIN(PR_PAYE,PR_PAYEcap*(AQ278+AR278))</f>
        <v>2000</v>
      </c>
      <c r="AW278" s="20" t="n">
        <f aca="false">IF(C278&gt;=PR_AgeCrAge,PR_AgeCr,0)</f>
        <v>245</v>
      </c>
      <c r="AX278" s="20" t="n">
        <f aca="false">IF(AG278&gt;=PR_AgeCrAge,PR_AgeCr,0)</f>
        <v>245</v>
      </c>
      <c r="AY278" s="20" t="n">
        <f aca="false">IF(AND(F_RentCred=1,D278&lt;=PR_RentLast),1,0)</f>
        <v>0</v>
      </c>
      <c r="AZ278" s="20" t="n">
        <f aca="false">AS278+AT278</f>
        <v>37938.4483450833</v>
      </c>
      <c r="BA278" s="20" t="n">
        <f aca="false">PR_PersonalM+AU278+AV278+AW278+AX278+IF(AY278=1,PR_RentJoint,0)</f>
        <v>8490</v>
      </c>
      <c r="BB278" s="20" t="n">
        <f aca="false">PR_BandM+MIN(MIN(AS278,AT278),PR_Uplift)</f>
        <v>65450.88</v>
      </c>
      <c r="BC278" s="20" t="n">
        <f aca="false">MAX(0,PR_r1*MIN(AZ278,BB278)+PR_r2*MAX(0,AZ278-BB278)-BA278)</f>
        <v>0</v>
      </c>
      <c r="BD278" s="20" t="n">
        <f aca="false">MAX(0,PR_HomeCarer-MAX(0,MIN(AS278,AT278)-PR_HCLimit)/2)</f>
        <v>0</v>
      </c>
      <c r="BE278" s="20" t="n">
        <f aca="false">IF(F_Carer=1,MIN(BC278,MAX(0,PR_r1*MIN(AZ278,PR_BandM)+PR_r2*MAX(0,AZ278-PR_BandM)-BA278-BD278)),BC278)</f>
        <v>0</v>
      </c>
      <c r="BF278" s="20" t="n">
        <f aca="false">IF(OR(C278&gt;=PR_AgeCrAge,AG278&gt;=PR_AgeCrAge),IF(AZ278&lt;=PR_AgeExM,0,MIN(BE278,PR_AgeMarg*(AZ278-PR_AgeExM))),BE278)</f>
        <v>0</v>
      </c>
      <c r="BG278" s="20" t="n">
        <f aca="false">MAX(0,PR_r1*MIN(AS278,IF(F_Spccc=1,PR_BandSPCCC,PR_Band))+PR_r2*MAX(0,AS278-IF(F_Spccc=1,PR_BandSPCCC,PR_Band))-(PR_Personal+AU278+AW278+IF(F_Spccc=1,PR_SPCCC,0)+IF(AY278=1,PR_Rent,0)))</f>
        <v>852.513669016654</v>
      </c>
      <c r="BH278" s="20" t="n">
        <f aca="false">IF(C278&gt;=PR_AgeCrAge,IF(AS278&lt;=PR_AgeEx,0,MIN(BG278,PR_AgeMarg*(AS278-PR_AgeEx))),BG278)</f>
        <v>852.513669016654</v>
      </c>
      <c r="BI278" s="20" t="n">
        <f aca="false">IF(F_Partner=1,MAX(0,PR_r1*MIN(AT278,PR_Band)+PR_r2*MAX(0,AT278-PR_Band)-(PR_Personal+AV278+AX278+IF(AND(AY278=1,AT278&gt;0),PR_Rent,0))),0)</f>
        <v>0</v>
      </c>
      <c r="BJ278" s="20" t="n">
        <f aca="false">IF(AG278&gt;=PR_AgeCrAge,IF(AT278&lt;=PR_AgeEx,0,MIN(BI278,PR_AgeMarg*(AT278-PR_AgeEx))),BI278)</f>
        <v>0</v>
      </c>
      <c r="BK278" s="20" t="n">
        <f aca="false">IF(F_Partner=1,IF(F_Married=1,BF278,BH278+BJ278),BH278)</f>
        <v>852.513669016654</v>
      </c>
      <c r="BL278" s="20" t="n">
        <f aca="false">AL278+AN278+AO278</f>
        <v>9403.96834508326</v>
      </c>
      <c r="BM278" s="20"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20" t="n">
        <f aca="false">AQ278</f>
        <v>0</v>
      </c>
      <c r="BO278" s="20"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20" t="n">
        <f aca="false">IF(C278&lt;PR_PRSIend,IF(F_SelfEmp=1,IF(AL278&gt;PR_PRSIsMinInc,MAX(PR_PRSIsMin,AL278*J278),0),IF(AL278/52&lt;=PR_PRSIfree,0,MAX(0,(AL278/52*J278-IF(AL278/52&lt;=PR_PRSIcreditTo,MAX(0,PR_PRSIcreditMax-(AL278/52-(PR_PRSIfree+0.01))/PR_PRSItaper),0))*52)))+J278*AN278+IF(AO278&gt;PR_PRSIunearned,J278*AO278,0),0)+IF(AND(PRSI_ARF_Applies=1,AN278&gt;0,C278&gt;=PR_PRSIend,C278&lt;PRSI_ARF_ToAge,NOT(AK278&gt;0)),J278*AN278,0)</f>
        <v>0</v>
      </c>
      <c r="BQ278" s="20" t="n">
        <f aca="false">IF(AND(F_Partner=1,AG278&lt;PR_PRSIend),IF(AQ278/52&lt;=PR_PRSIfree,0,MAX(0,(AQ278/52*J278-IF(AQ278/52&lt;=PR_PRSIcreditTo,MAX(0,PR_PRSIcreditMax-(AQ278/52-(PR_PRSIfree+0.01))/PR_PRSItaper),0))*52)),0)</f>
        <v>0</v>
      </c>
      <c r="BR278" s="20" t="n">
        <f aca="false">BK278+BM278+BO278+BP278+BQ278</f>
        <v>852.513669016654</v>
      </c>
      <c r="BS278" s="20" t="n">
        <f aca="false">BR278*H278</f>
        <v>2037.55297361679</v>
      </c>
      <c r="BT278" s="20" t="n">
        <f aca="false">K278+AK278+AC278+AF278+AH278+AI278</f>
        <v>90674.9076869305</v>
      </c>
    </row>
    <row r="279" customFormat="false" ht="15" hidden="false" customHeight="true" outlineLevel="0" collapsed="false">
      <c r="B279" s="20" t="n">
        <v>45</v>
      </c>
      <c r="C279" s="20" t="n">
        <f aca="false">F_Age+B279</f>
        <v>83</v>
      </c>
      <c r="D279" s="20" t="n">
        <f aca="false">AS_Year0+B279</f>
        <v>2071</v>
      </c>
      <c r="E279" s="50" t="n">
        <f aca="false">(1+AS_Infl)^B279</f>
        <v>2.43785420530135</v>
      </c>
      <c r="F279" s="50" t="n">
        <f aca="false">(1+AS_Wage)^B279</f>
        <v>3.78159584165135</v>
      </c>
      <c r="G279" s="20" t="n">
        <f aca="false">IF(C279&lt;F_R,1,0)</f>
        <v>0</v>
      </c>
      <c r="H279" s="50" t="n">
        <f aca="false">IF(AS_Bands="flat",1,E279)</f>
        <v>2.43785420530135</v>
      </c>
      <c r="I279" s="50" t="n">
        <f aca="false">IF(AS_SpGrow="pay",F279,IF(AS_SpGrow="flat",1,E279))</f>
        <v>2.43785420530135</v>
      </c>
      <c r="J279" s="50" t="n">
        <f aca="false">(12*PR_PRSIr0+(PR_PRSIr1-PR_PRSIr0)*MAX(0,MIN(12,D279*12+12-PR_PRSIt1))+(PR_PRSIr2-PR_PRSIr1)*MAX(0,MIN(12,D279*12+12-PR_PRSIt2))+(PR_PRSIr3-PR_PRSIr2)*MAX(0,MIN(12,D279*12+12-PR_PRSIt3)))/12</f>
        <v>0.047</v>
      </c>
      <c r="K279" s="20" t="n">
        <f aca="false">IF(G279=1,F_Income*F279,0)</f>
        <v>0</v>
      </c>
      <c r="L279" s="20" t="n">
        <f aca="false">IF(G279=1,(F_Own+In_penExtra)*12*F279,0)</f>
        <v>0</v>
      </c>
      <c r="M279" s="20" t="n">
        <f aca="false">IF(G279=1,(F_PenM+In_penExtra)*12*F279,0)</f>
        <v>0</v>
      </c>
      <c r="N279" s="51" t="n">
        <f aca="false">IF(C279&lt;PR_RelA1,PR_RelP1,IF(C279&lt;PR_RelA2,PR_RelP2,IF(C279&lt;PR_RelA3,PR_RelP3,IF(C279&lt;PR_RelA4,PR_RelP4,IF(C279&lt;PR_RelA5,PR_RelP5,PR_RelP6)))))</f>
        <v>0.4</v>
      </c>
      <c r="O279" s="20" t="n">
        <f aca="false">IF(G279=1,MIN(L279/H279,N279*MIN(K279/H279,PR_EarnCap))*H279,0)</f>
        <v>0</v>
      </c>
      <c r="P279" s="20" t="n">
        <f aca="false">IF(AND(G279=1,F_AE=1),MIN(K279/H279,PR_AEcap)*H279,0)</f>
        <v>0</v>
      </c>
      <c r="Q279" s="20" t="n">
        <f aca="false">IF(G279=1,IF(WI_Retire=1,MAX(0,M279+WI_M*12),M279)+(PR_AEee+PR_AEer+PR_AEst)*P279,0)</f>
        <v>0</v>
      </c>
      <c r="R279" s="20" t="n">
        <f aca="false">L279+PR_AEee*P279</f>
        <v>0</v>
      </c>
      <c r="S279" s="20" t="n">
        <f aca="false">AD278</f>
        <v>301391.708717722</v>
      </c>
      <c r="T279" s="20" t="n">
        <f aca="false">IF(D279&lt;=PR_SFTfrom,PR_SFT2026,IF(D279=PR_SFTfrom+1,PR_SFT2027,IF(D279=PR_SFTfrom+2,PR_SFT2028,IF(D279&lt;=PR_SFTto,PR_SFT2029,PR_SFT2029*(1+AS_Infl)^(D279-PR_SFTto)))))</f>
        <v>6432284.5048697</v>
      </c>
      <c r="U279" s="20" t="n">
        <f aca="false">IF(AND(G279=0,C279=F_V),1,0)</f>
        <v>0</v>
      </c>
      <c r="V279" s="20" t="n">
        <f aca="false">IF(U279=1,PR_SFTrate*MAX(0,S279-T279),0)</f>
        <v>0</v>
      </c>
      <c r="W279" s="20" t="n">
        <f aca="false">S279-V279</f>
        <v>301391.708717722</v>
      </c>
      <c r="X279" s="20" t="n">
        <f aca="false">IF(AND(U279=1,AS_LumpPct&gt;0),W279*MIN(AS_LumpPct,PR_LSmax),0)</f>
        <v>0</v>
      </c>
      <c r="Y279" s="20" t="n">
        <f aca="false">X279-(PR_LSrate*MAX(0,MIN(X279,PR_LScap)-PR_LSfree)+PR_r2*MAX(0,X279-PR_LScap))</f>
        <v>0</v>
      </c>
      <c r="Z279" s="20" t="n">
        <f aca="false">W279-X279</f>
        <v>301391.708717722</v>
      </c>
      <c r="AA279" s="51" t="n">
        <f aca="false">IF(C279&gt;=PR_ARFage1,IF(Z279&gt;PR_ARFbig,PR_ARFbigRate,IF(C279&gt;=PR_ARFage2,PR_ARF71,PR_ARF61)),0)</f>
        <v>0.05</v>
      </c>
      <c r="AB279" s="20" t="n">
        <f aca="false">IF(AS_DrawRule="min",Z279*AA279,IF(AS_DrawRule="fixed",MAX(AS_DrawFixed*E279,Z279*AA279),Z279*MAX(1/MAX(1,AS_End-C279+1),AA279)))</f>
        <v>23183.9775936709</v>
      </c>
      <c r="AC279" s="20" t="n">
        <f aca="false">IF(AND(G279=0,C279&gt;=F_V),MIN(Z279,AB279),0)</f>
        <v>23183.9775936709</v>
      </c>
      <c r="AD279" s="20" t="n">
        <f aca="false">IF(G279=1,S279*(1+F_PenG)+Q279,IF(C279&lt;F_V,S279*(1+F_PenG),(Z279-AC279)*(1+AS_PenRet)))</f>
        <v>286971.274654458</v>
      </c>
      <c r="AE279" s="20" t="n">
        <f aca="false">IF(C279&gt;=PR_SPage,AS_SP*F_SpF*I279+IF(AND(C279&gt;=PR_Over80Age,F_SpF&gt;0),PR_Over80*PR_Weeks*I279,0),0)</f>
        <v>39209.4718963847</v>
      </c>
      <c r="AF279" s="20" t="n">
        <f aca="false">(F_OtherM+F_RentM)*12*E279+IF(AND(In_polInc&gt;0,In_polIncAge&gt;0,C279&gt;=In_polIncAge),In_polInc,0)</f>
        <v>0</v>
      </c>
      <c r="AG279" s="20" t="n">
        <f aca="false">F_PAge+B279</f>
        <v>82</v>
      </c>
      <c r="AH279" s="20" t="n">
        <f aca="false">IF(AND(F_Partner=1,F_PAge&gt;0,AG279&lt;IF(F_PRet&gt;0,F_PRet,PR_SPage)),F_PIncome*F279,0)</f>
        <v>0</v>
      </c>
      <c r="AI279" s="20" t="n">
        <f aca="false">IF(AND(F_Partner=1,AG279&gt;=PR_SPage,F_PSpQA=0),AS_SP*F_PSpF*I279,0)</f>
        <v>30353.4301677024</v>
      </c>
      <c r="AJ279" s="20" t="n">
        <f aca="false">IF(AND(F_Partner=1,F_PSpQA=1,C279&gt;=PR_SPage,AH279=0),IF(AG279&gt;=PR_SPage,PR_QA66,PR_QAunder)*PR_Weeks*I279,0)</f>
        <v>0</v>
      </c>
      <c r="AK279" s="20" t="n">
        <f aca="false">AE279+AJ279</f>
        <v>39209.4718963847</v>
      </c>
      <c r="AL279" s="20" t="n">
        <f aca="false">K279/H279</f>
        <v>0</v>
      </c>
      <c r="AM279" s="20" t="n">
        <f aca="false">AK279/H279</f>
        <v>16083.6</v>
      </c>
      <c r="AN279" s="20" t="n">
        <f aca="false">AC279/H279</f>
        <v>9509.99347838568</v>
      </c>
      <c r="AO279" s="20" t="n">
        <f aca="false">AF279/H279</f>
        <v>0</v>
      </c>
      <c r="AP279" s="20" t="n">
        <f aca="false">O279/H279</f>
        <v>0</v>
      </c>
      <c r="AQ279" s="20" t="n">
        <f aca="false">AH279/H279</f>
        <v>0</v>
      </c>
      <c r="AR279" s="20" t="n">
        <f aca="false">AI279/H279</f>
        <v>12450.88</v>
      </c>
      <c r="AS279" s="20" t="n">
        <f aca="false">MAX(0,AL279+AN279+AO279+AM279-AP279)</f>
        <v>25593.5934783857</v>
      </c>
      <c r="AT279" s="20" t="n">
        <f aca="false">MAX(0,AQ279+AR279)</f>
        <v>12450.88</v>
      </c>
      <c r="AU279" s="20" t="n">
        <f aca="false">MIN(PR_PAYE,PR_PAYEcap*(AL279+AN279+AM279))</f>
        <v>2000</v>
      </c>
      <c r="AV279" s="20" t="n">
        <f aca="false">MIN(PR_PAYE,PR_PAYEcap*(AQ279+AR279))</f>
        <v>2000</v>
      </c>
      <c r="AW279" s="20" t="n">
        <f aca="false">IF(C279&gt;=PR_AgeCrAge,PR_AgeCr,0)</f>
        <v>245</v>
      </c>
      <c r="AX279" s="20" t="n">
        <f aca="false">IF(AG279&gt;=PR_AgeCrAge,PR_AgeCr,0)</f>
        <v>245</v>
      </c>
      <c r="AY279" s="20" t="n">
        <f aca="false">IF(AND(F_RentCred=1,D279&lt;=PR_RentLast),1,0)</f>
        <v>0</v>
      </c>
      <c r="AZ279" s="20" t="n">
        <f aca="false">AS279+AT279</f>
        <v>38044.4734783857</v>
      </c>
      <c r="BA279" s="20" t="n">
        <f aca="false">PR_PersonalM+AU279+AV279+AW279+AX279+IF(AY279=1,PR_RentJoint,0)</f>
        <v>8490</v>
      </c>
      <c r="BB279" s="20" t="n">
        <f aca="false">PR_BandM+MIN(MIN(AS279,AT279),PR_Uplift)</f>
        <v>65450.88</v>
      </c>
      <c r="BC279" s="20" t="n">
        <f aca="false">MAX(0,PR_r1*MIN(AZ279,BB279)+PR_r2*MAX(0,AZ279-BB279)-BA279)</f>
        <v>0</v>
      </c>
      <c r="BD279" s="20" t="n">
        <f aca="false">MAX(0,PR_HomeCarer-MAX(0,MIN(AS279,AT279)-PR_HCLimit)/2)</f>
        <v>0</v>
      </c>
      <c r="BE279" s="20" t="n">
        <f aca="false">IF(F_Carer=1,MIN(BC279,MAX(0,PR_r1*MIN(AZ279,PR_BandM)+PR_r2*MAX(0,AZ279-PR_BandM)-BA279-BD279)),BC279)</f>
        <v>0</v>
      </c>
      <c r="BF279" s="20" t="n">
        <f aca="false">IF(OR(C279&gt;=PR_AgeCrAge,AG279&gt;=PR_AgeCrAge),IF(AZ279&lt;=PR_AgeExM,0,MIN(BE279,PR_AgeMarg*(AZ279-PR_AgeExM))),BE279)</f>
        <v>0</v>
      </c>
      <c r="BG279" s="20" t="n">
        <f aca="false">MAX(0,PR_r1*MIN(AS279,IF(F_Spccc=1,PR_BandSPCCC,PR_Band))+PR_r2*MAX(0,AS279-IF(F_Spccc=1,PR_BandSPCCC,PR_Band))-(PR_Personal+AU279+AW279+IF(F_Spccc=1,PR_SPCCC,0)+IF(AY279=1,PR_Rent,0)))</f>
        <v>873.718695677136</v>
      </c>
      <c r="BH279" s="20" t="n">
        <f aca="false">IF(C279&gt;=PR_AgeCrAge,IF(AS279&lt;=PR_AgeEx,0,MIN(BG279,PR_AgeMarg*(AS279-PR_AgeEx))),BG279)</f>
        <v>873.718695677136</v>
      </c>
      <c r="BI279" s="20" t="n">
        <f aca="false">IF(F_Partner=1,MAX(0,PR_r1*MIN(AT279,PR_Band)+PR_r2*MAX(0,AT279-PR_Band)-(PR_Personal+AV279+AX279+IF(AND(AY279=1,AT279&gt;0),PR_Rent,0))),0)</f>
        <v>0</v>
      </c>
      <c r="BJ279" s="20" t="n">
        <f aca="false">IF(AG279&gt;=PR_AgeCrAge,IF(AT279&lt;=PR_AgeEx,0,MIN(BI279,PR_AgeMarg*(AT279-PR_AgeEx))),BI279)</f>
        <v>0</v>
      </c>
      <c r="BK279" s="20" t="n">
        <f aca="false">IF(F_Partner=1,IF(F_Married=1,BF279,BH279+BJ279),BH279)</f>
        <v>873.718695677136</v>
      </c>
      <c r="BL279" s="20" t="n">
        <f aca="false">AL279+AN279+AO279</f>
        <v>9509.99347838568</v>
      </c>
      <c r="BM279" s="20"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20" t="n">
        <f aca="false">AQ279</f>
        <v>0</v>
      </c>
      <c r="BO279" s="20"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20" t="n">
        <f aca="false">IF(C279&lt;PR_PRSIend,IF(F_SelfEmp=1,IF(AL279&gt;PR_PRSIsMinInc,MAX(PR_PRSIsMin,AL279*J279),0),IF(AL279/52&lt;=PR_PRSIfree,0,MAX(0,(AL279/52*J279-IF(AL279/52&lt;=PR_PRSIcreditTo,MAX(0,PR_PRSIcreditMax-(AL279/52-(PR_PRSIfree+0.01))/PR_PRSItaper),0))*52)))+J279*AN279+IF(AO279&gt;PR_PRSIunearned,J279*AO279,0),0)+IF(AND(PRSI_ARF_Applies=1,AN279&gt;0,C279&gt;=PR_PRSIend,C279&lt;PRSI_ARF_ToAge,NOT(AK279&gt;0)),J279*AN279,0)</f>
        <v>0</v>
      </c>
      <c r="BQ279" s="20" t="n">
        <f aca="false">IF(AND(F_Partner=1,AG279&lt;PR_PRSIend),IF(AQ279/52&lt;=PR_PRSIfree,0,MAX(0,(AQ279/52*J279-IF(AQ279/52&lt;=PR_PRSIcreditTo,MAX(0,PR_PRSIcreditMax-(AQ279/52-(PR_PRSIfree+0.01))/PR_PRSItaper),0))*52)),0)</f>
        <v>0</v>
      </c>
      <c r="BR279" s="20" t="n">
        <f aca="false">BK279+BM279+BO279+BP279+BQ279</f>
        <v>873.718695677136</v>
      </c>
      <c r="BS279" s="20" t="n">
        <f aca="false">BR279*H279</f>
        <v>2129.99879650691</v>
      </c>
      <c r="BT279" s="20" t="n">
        <f aca="false">K279+AK279+AC279+AF279+AH279+AI279</f>
        <v>92746.879657758</v>
      </c>
    </row>
    <row r="280" customFormat="false" ht="15" hidden="false" customHeight="true" outlineLevel="0" collapsed="false">
      <c r="B280" s="20" t="n">
        <v>46</v>
      </c>
      <c r="C280" s="20" t="n">
        <f aca="false">F_Age+B280</f>
        <v>84</v>
      </c>
      <c r="D280" s="20" t="n">
        <f aca="false">AS_Year0+B280</f>
        <v>2072</v>
      </c>
      <c r="E280" s="50" t="n">
        <f aca="false">(1+AS_Infl)^B280</f>
        <v>2.48661128940737</v>
      </c>
      <c r="F280" s="50" t="n">
        <f aca="false">(1+AS_Wage)^B280</f>
        <v>3.89504371690089</v>
      </c>
      <c r="G280" s="20" t="n">
        <f aca="false">IF(C280&lt;F_R,1,0)</f>
        <v>0</v>
      </c>
      <c r="H280" s="50" t="n">
        <f aca="false">IF(AS_Bands="flat",1,E280)</f>
        <v>2.48661128940737</v>
      </c>
      <c r="I280" s="50" t="n">
        <f aca="false">IF(AS_SpGrow="pay",F280,IF(AS_SpGrow="flat",1,E280))</f>
        <v>2.48661128940737</v>
      </c>
      <c r="J280" s="50" t="n">
        <f aca="false">(12*PR_PRSIr0+(PR_PRSIr1-PR_PRSIr0)*MAX(0,MIN(12,D280*12+12-PR_PRSIt1))+(PR_PRSIr2-PR_PRSIr1)*MAX(0,MIN(12,D280*12+12-PR_PRSIt2))+(PR_PRSIr3-PR_PRSIr2)*MAX(0,MIN(12,D280*12+12-PR_PRSIt3)))/12</f>
        <v>0.047</v>
      </c>
      <c r="K280" s="20" t="n">
        <f aca="false">IF(G280=1,F_Income*F280,0)</f>
        <v>0</v>
      </c>
      <c r="L280" s="20" t="n">
        <f aca="false">IF(G280=1,(F_Own+In_penExtra)*12*F280,0)</f>
        <v>0</v>
      </c>
      <c r="M280" s="20" t="n">
        <f aca="false">IF(G280=1,(F_PenM+In_penExtra)*12*F280,0)</f>
        <v>0</v>
      </c>
      <c r="N280" s="51" t="n">
        <f aca="false">IF(C280&lt;PR_RelA1,PR_RelP1,IF(C280&lt;PR_RelA2,PR_RelP2,IF(C280&lt;PR_RelA3,PR_RelP3,IF(C280&lt;PR_RelA4,PR_RelP4,IF(C280&lt;PR_RelA5,PR_RelP5,PR_RelP6)))))</f>
        <v>0.4</v>
      </c>
      <c r="O280" s="20" t="n">
        <f aca="false">IF(G280=1,MIN(L280/H280,N280*MIN(K280/H280,PR_EarnCap))*H280,0)</f>
        <v>0</v>
      </c>
      <c r="P280" s="20" t="n">
        <f aca="false">IF(AND(G280=1,F_AE=1),MIN(K280/H280,PR_AEcap)*H280,0)</f>
        <v>0</v>
      </c>
      <c r="Q280" s="20" t="n">
        <f aca="false">IF(G280=1,IF(WI_Retire=1,MAX(0,M280+WI_M*12),M280)+(PR_AEee+PR_AEer+PR_AEst)*P280,0)</f>
        <v>0</v>
      </c>
      <c r="R280" s="20" t="n">
        <f aca="false">L280+PR_AEee*P280</f>
        <v>0</v>
      </c>
      <c r="S280" s="20" t="n">
        <f aca="false">AD279</f>
        <v>286971.274654458</v>
      </c>
      <c r="T280" s="20" t="n">
        <f aca="false">IF(D280&lt;=PR_SFTfrom,PR_SFT2026,IF(D280=PR_SFTfrom+1,PR_SFT2027,IF(D280=PR_SFTfrom+2,PR_SFT2028,IF(D280&lt;=PR_SFTto,PR_SFT2029,PR_SFT2029*(1+AS_Infl)^(D280-PR_SFTto)))))</f>
        <v>6560930.1949671</v>
      </c>
      <c r="U280" s="20" t="n">
        <f aca="false">IF(AND(G280=0,C280=F_V),1,0)</f>
        <v>0</v>
      </c>
      <c r="V280" s="20" t="n">
        <f aca="false">IF(U280=1,PR_SFTrate*MAX(0,S280-T280),0)</f>
        <v>0</v>
      </c>
      <c r="W280" s="20" t="n">
        <f aca="false">S280-V280</f>
        <v>286971.274654458</v>
      </c>
      <c r="X280" s="20" t="n">
        <f aca="false">IF(AND(U280=1,AS_LumpPct&gt;0),W280*MIN(AS_LumpPct,PR_LSmax),0)</f>
        <v>0</v>
      </c>
      <c r="Y280" s="20" t="n">
        <f aca="false">X280-(PR_LSrate*MAX(0,MIN(X280,PR_LScap)-PR_LSfree)+PR_r2*MAX(0,X280-PR_LScap))</f>
        <v>0</v>
      </c>
      <c r="Z280" s="20" t="n">
        <f aca="false">W280-X280</f>
        <v>286971.274654458</v>
      </c>
      <c r="AA280" s="51" t="n">
        <f aca="false">IF(C280&gt;=PR_ARFage1,IF(Z280&gt;PR_ARFbig,PR_ARFbigRate,IF(C280&gt;=PR_ARFage2,PR_ARF71,PR_ARF61)),0)</f>
        <v>0.05</v>
      </c>
      <c r="AB280" s="20" t="n">
        <f aca="false">IF(AS_DrawRule="min",Z280*AA280,IF(AS_DrawRule="fixed",MAX(AS_DrawFixed*E280,Z280*AA280),Z280*MAX(1/MAX(1,AS_End-C280+1),AA280)))</f>
        <v>23914.2728878715</v>
      </c>
      <c r="AC280" s="20" t="n">
        <f aca="false">IF(AND(G280=0,C280&gt;=F_V),MIN(Z280,AB280),0)</f>
        <v>23914.2728878715</v>
      </c>
      <c r="AD280" s="20" t="n">
        <f aca="false">IF(G280=1,S280*(1+F_PenG)+Q280,IF(C280&lt;F_V,S280*(1+F_PenG),(Z280-AC280)*(1+AS_PenRet)))</f>
        <v>271343.297322234</v>
      </c>
      <c r="AE280" s="20" t="n">
        <f aca="false">IF(C280&gt;=PR_SPage,AS_SP*F_SpF*I280+IF(AND(C280&gt;=PR_Over80Age,F_SpF&gt;0),PR_Over80*PR_Weeks*I280,0),0)</f>
        <v>39993.6613343124</v>
      </c>
      <c r="AF280" s="20" t="n">
        <f aca="false">(F_OtherM+F_RentM)*12*E280+IF(AND(In_polInc&gt;0,In_polIncAge&gt;0,C280&gt;=In_polIncAge),In_polInc,0)</f>
        <v>0</v>
      </c>
      <c r="AG280" s="20" t="n">
        <f aca="false">F_PAge+B280</f>
        <v>83</v>
      </c>
      <c r="AH280" s="20" t="n">
        <f aca="false">IF(AND(F_Partner=1,F_PAge&gt;0,AG280&lt;IF(F_PRet&gt;0,F_PRet,PR_SPage)),F_PIncome*F280,0)</f>
        <v>0</v>
      </c>
      <c r="AI280" s="20" t="n">
        <f aca="false">IF(AND(F_Partner=1,AG280&gt;=PR_SPage,F_PSpQA=0),AS_SP*F_PSpF*I280,0)</f>
        <v>30960.4987710565</v>
      </c>
      <c r="AJ280" s="20" t="n">
        <f aca="false">IF(AND(F_Partner=1,F_PSpQA=1,C280&gt;=PR_SPage,AH280=0),IF(AG280&gt;=PR_SPage,PR_QA66,PR_QAunder)*PR_Weeks*I280,0)</f>
        <v>0</v>
      </c>
      <c r="AK280" s="20" t="n">
        <f aca="false">AE280+AJ280</f>
        <v>39993.6613343124</v>
      </c>
      <c r="AL280" s="20" t="n">
        <f aca="false">K280/H280</f>
        <v>0</v>
      </c>
      <c r="AM280" s="20" t="n">
        <f aca="false">AK280/H280</f>
        <v>16083.6</v>
      </c>
      <c r="AN280" s="20" t="n">
        <f aca="false">AC280/H280</f>
        <v>9617.21399309296</v>
      </c>
      <c r="AO280" s="20" t="n">
        <f aca="false">AF280/H280</f>
        <v>0</v>
      </c>
      <c r="AP280" s="20" t="n">
        <f aca="false">O280/H280</f>
        <v>0</v>
      </c>
      <c r="AQ280" s="20" t="n">
        <f aca="false">AH280/H280</f>
        <v>0</v>
      </c>
      <c r="AR280" s="20" t="n">
        <f aca="false">AI280/H280</f>
        <v>12450.88</v>
      </c>
      <c r="AS280" s="20" t="n">
        <f aca="false">MAX(0,AL280+AN280+AO280+AM280-AP280)</f>
        <v>25700.813993093</v>
      </c>
      <c r="AT280" s="20" t="n">
        <f aca="false">MAX(0,AQ280+AR280)</f>
        <v>12450.88</v>
      </c>
      <c r="AU280" s="20" t="n">
        <f aca="false">MIN(PR_PAYE,PR_PAYEcap*(AL280+AN280+AM280))</f>
        <v>2000</v>
      </c>
      <c r="AV280" s="20" t="n">
        <f aca="false">MIN(PR_PAYE,PR_PAYEcap*(AQ280+AR280))</f>
        <v>2000</v>
      </c>
      <c r="AW280" s="20" t="n">
        <f aca="false">IF(C280&gt;=PR_AgeCrAge,PR_AgeCr,0)</f>
        <v>245</v>
      </c>
      <c r="AX280" s="20" t="n">
        <f aca="false">IF(AG280&gt;=PR_AgeCrAge,PR_AgeCr,0)</f>
        <v>245</v>
      </c>
      <c r="AY280" s="20" t="n">
        <f aca="false">IF(AND(F_RentCred=1,D280&lt;=PR_RentLast),1,0)</f>
        <v>0</v>
      </c>
      <c r="AZ280" s="20" t="n">
        <f aca="false">AS280+AT280</f>
        <v>38151.693993093</v>
      </c>
      <c r="BA280" s="20" t="n">
        <f aca="false">PR_PersonalM+AU280+AV280+AW280+AX280+IF(AY280=1,PR_RentJoint,0)</f>
        <v>8490</v>
      </c>
      <c r="BB280" s="20" t="n">
        <f aca="false">PR_BandM+MIN(MIN(AS280,AT280),PR_Uplift)</f>
        <v>65450.88</v>
      </c>
      <c r="BC280" s="20" t="n">
        <f aca="false">MAX(0,PR_r1*MIN(AZ280,BB280)+PR_r2*MAX(0,AZ280-BB280)-BA280)</f>
        <v>0</v>
      </c>
      <c r="BD280" s="20" t="n">
        <f aca="false">MAX(0,PR_HomeCarer-MAX(0,MIN(AS280,AT280)-PR_HCLimit)/2)</f>
        <v>0</v>
      </c>
      <c r="BE280" s="20" t="n">
        <f aca="false">IF(F_Carer=1,MIN(BC280,MAX(0,PR_r1*MIN(AZ280,PR_BandM)+PR_r2*MAX(0,AZ280-PR_BandM)-BA280-BD280)),BC280)</f>
        <v>0</v>
      </c>
      <c r="BF280" s="20" t="n">
        <f aca="false">IF(OR(C280&gt;=PR_AgeCrAge,AG280&gt;=PR_AgeCrAge),IF(AZ280&lt;=PR_AgeExM,0,MIN(BE280,PR_AgeMarg*(AZ280-PR_AgeExM))),BE280)</f>
        <v>0</v>
      </c>
      <c r="BG280" s="20" t="n">
        <f aca="false">MAX(0,PR_r1*MIN(AS280,IF(F_Spccc=1,PR_BandSPCCC,PR_Band))+PR_r2*MAX(0,AS280-IF(F_Spccc=1,PR_BandSPCCC,PR_Band))-(PR_Personal+AU280+AW280+IF(F_Spccc=1,PR_SPCCC,0)+IF(AY280=1,PR_Rent,0)))</f>
        <v>895.162798618593</v>
      </c>
      <c r="BH280" s="20" t="n">
        <f aca="false">IF(C280&gt;=PR_AgeCrAge,IF(AS280&lt;=PR_AgeEx,0,MIN(BG280,PR_AgeMarg*(AS280-PR_AgeEx))),BG280)</f>
        <v>895.162798618593</v>
      </c>
      <c r="BI280" s="20" t="n">
        <f aca="false">IF(F_Partner=1,MAX(0,PR_r1*MIN(AT280,PR_Band)+PR_r2*MAX(0,AT280-PR_Band)-(PR_Personal+AV280+AX280+IF(AND(AY280=1,AT280&gt;0),PR_Rent,0))),0)</f>
        <v>0</v>
      </c>
      <c r="BJ280" s="20" t="n">
        <f aca="false">IF(AG280&gt;=PR_AgeCrAge,IF(AT280&lt;=PR_AgeEx,0,MIN(BI280,PR_AgeMarg*(AT280-PR_AgeEx))),BI280)</f>
        <v>0</v>
      </c>
      <c r="BK280" s="20" t="n">
        <f aca="false">IF(F_Partner=1,IF(F_Married=1,BF280,BH280+BJ280),BH280)</f>
        <v>895.162798618593</v>
      </c>
      <c r="BL280" s="20" t="n">
        <f aca="false">AL280+AN280+AO280</f>
        <v>9617.21399309296</v>
      </c>
      <c r="BM280" s="20"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20" t="n">
        <f aca="false">AQ280</f>
        <v>0</v>
      </c>
      <c r="BO280" s="20"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20" t="n">
        <f aca="false">IF(C280&lt;PR_PRSIend,IF(F_SelfEmp=1,IF(AL280&gt;PR_PRSIsMinInc,MAX(PR_PRSIsMin,AL280*J280),0),IF(AL280/52&lt;=PR_PRSIfree,0,MAX(0,(AL280/52*J280-IF(AL280/52&lt;=PR_PRSIcreditTo,MAX(0,PR_PRSIcreditMax-(AL280/52-(PR_PRSIfree+0.01))/PR_PRSItaper),0))*52)))+J280*AN280+IF(AO280&gt;PR_PRSIunearned,J280*AO280,0),0)+IF(AND(PRSI_ARF_Applies=1,AN280&gt;0,C280&gt;=PR_PRSIend,C280&lt;PRSI_ARF_ToAge,NOT(AK280&gt;0)),J280*AN280,0)</f>
        <v>0</v>
      </c>
      <c r="BQ280" s="20" t="n">
        <f aca="false">IF(AND(F_Partner=1,AG280&lt;PR_PRSIend),IF(AQ280/52&lt;=PR_PRSIfree,0,MAX(0,(AQ280/52*J280-IF(AQ280/52&lt;=PR_PRSIcreditTo,MAX(0,PR_PRSIcreditMax-(AQ280/52-(PR_PRSIfree+0.01))/PR_PRSItaper),0))*52)),0)</f>
        <v>0</v>
      </c>
      <c r="BR280" s="20" t="n">
        <f aca="false">BK280+BM280+BO280+BP280+BQ280</f>
        <v>895.162798618593</v>
      </c>
      <c r="BS280" s="20" t="n">
        <f aca="false">BR280*H280</f>
        <v>2225.92192090249</v>
      </c>
      <c r="BT280" s="20" t="n">
        <f aca="false">K280+AK280+AC280+AF280+AH280+AI280</f>
        <v>94868.4329932404</v>
      </c>
    </row>
    <row r="281" customFormat="false" ht="15" hidden="false" customHeight="true" outlineLevel="0" collapsed="false">
      <c r="B281" s="20" t="n">
        <v>47</v>
      </c>
      <c r="C281" s="20" t="n">
        <f aca="false">F_Age+B281</f>
        <v>85</v>
      </c>
      <c r="D281" s="20" t="n">
        <f aca="false">AS_Year0+B281</f>
        <v>2073</v>
      </c>
      <c r="E281" s="50" t="n">
        <f aca="false">(1+AS_Infl)^B281</f>
        <v>2.53634351519552</v>
      </c>
      <c r="F281" s="50" t="n">
        <f aca="false">(1+AS_Wage)^B281</f>
        <v>4.01189502840791</v>
      </c>
      <c r="G281" s="20" t="n">
        <f aca="false">IF(C281&lt;F_R,1,0)</f>
        <v>0</v>
      </c>
      <c r="H281" s="50" t="n">
        <f aca="false">IF(AS_Bands="flat",1,E281)</f>
        <v>2.53634351519552</v>
      </c>
      <c r="I281" s="50" t="n">
        <f aca="false">IF(AS_SpGrow="pay",F281,IF(AS_SpGrow="flat",1,E281))</f>
        <v>2.53634351519552</v>
      </c>
      <c r="J281" s="50" t="n">
        <f aca="false">(12*PR_PRSIr0+(PR_PRSIr1-PR_PRSIr0)*MAX(0,MIN(12,D281*12+12-PR_PRSIt1))+(PR_PRSIr2-PR_PRSIr1)*MAX(0,MIN(12,D281*12+12-PR_PRSIt2))+(PR_PRSIr3-PR_PRSIr2)*MAX(0,MIN(12,D281*12+12-PR_PRSIt3)))/12</f>
        <v>0.047</v>
      </c>
      <c r="K281" s="20" t="n">
        <f aca="false">IF(G281=1,F_Income*F281,0)</f>
        <v>0</v>
      </c>
      <c r="L281" s="20" t="n">
        <f aca="false">IF(G281=1,(F_Own+In_penExtra)*12*F281,0)</f>
        <v>0</v>
      </c>
      <c r="M281" s="20" t="n">
        <f aca="false">IF(G281=1,(F_PenM+In_penExtra)*12*F281,0)</f>
        <v>0</v>
      </c>
      <c r="N281" s="51" t="n">
        <f aca="false">IF(C281&lt;PR_RelA1,PR_RelP1,IF(C281&lt;PR_RelA2,PR_RelP2,IF(C281&lt;PR_RelA3,PR_RelP3,IF(C281&lt;PR_RelA4,PR_RelP4,IF(C281&lt;PR_RelA5,PR_RelP5,PR_RelP6)))))</f>
        <v>0.4</v>
      </c>
      <c r="O281" s="20" t="n">
        <f aca="false">IF(G281=1,MIN(L281/H281,N281*MIN(K281/H281,PR_EarnCap))*H281,0)</f>
        <v>0</v>
      </c>
      <c r="P281" s="20" t="n">
        <f aca="false">IF(AND(G281=1,F_AE=1),MIN(K281/H281,PR_AEcap)*H281,0)</f>
        <v>0</v>
      </c>
      <c r="Q281" s="20" t="n">
        <f aca="false">IF(G281=1,IF(WI_Retire=1,MAX(0,M281+WI_M*12),M281)+(PR_AEee+PR_AEer+PR_AEst)*P281,0)</f>
        <v>0</v>
      </c>
      <c r="R281" s="20" t="n">
        <f aca="false">L281+PR_AEee*P281</f>
        <v>0</v>
      </c>
      <c r="S281" s="20" t="n">
        <f aca="false">AD280</f>
        <v>271343.297322234</v>
      </c>
      <c r="T281" s="20" t="n">
        <f aca="false">IF(D281&lt;=PR_SFTfrom,PR_SFT2026,IF(D281=PR_SFTfrom+1,PR_SFT2027,IF(D281=PR_SFTfrom+2,PR_SFT2028,IF(D281&lt;=PR_SFTto,PR_SFT2029,PR_SFT2029*(1+AS_Infl)^(D281-PR_SFTto)))))</f>
        <v>6692148.79886644</v>
      </c>
      <c r="U281" s="20" t="n">
        <f aca="false">IF(AND(G281=0,C281=F_V),1,0)</f>
        <v>0</v>
      </c>
      <c r="V281" s="20" t="n">
        <f aca="false">IF(U281=1,PR_SFTrate*MAX(0,S281-T281),0)</f>
        <v>0</v>
      </c>
      <c r="W281" s="20" t="n">
        <f aca="false">S281-V281</f>
        <v>271343.297322234</v>
      </c>
      <c r="X281" s="20" t="n">
        <f aca="false">IF(AND(U281=1,AS_LumpPct&gt;0),W281*MIN(AS_LumpPct,PR_LSmax),0)</f>
        <v>0</v>
      </c>
      <c r="Y281" s="20" t="n">
        <f aca="false">X281-(PR_LSrate*MAX(0,MIN(X281,PR_LScap)-PR_LSfree)+PR_r2*MAX(0,X281-PR_LScap))</f>
        <v>0</v>
      </c>
      <c r="Z281" s="20" t="n">
        <f aca="false">W281-X281</f>
        <v>271343.297322234</v>
      </c>
      <c r="AA281" s="51" t="n">
        <f aca="false">IF(C281&gt;=PR_ARFage1,IF(Z281&gt;PR_ARFbig,PR_ARFbigRate,IF(C281&gt;=PR_ARFage2,PR_ARF71,PR_ARF61)),0)</f>
        <v>0.05</v>
      </c>
      <c r="AB281" s="20" t="n">
        <f aca="false">IF(AS_DrawRule="min",Z281*AA281,IF(AS_DrawRule="fixed",MAX(AS_DrawFixed*E281,Z281*AA281),Z281*MAX(1/MAX(1,AS_End-C281+1),AA281)))</f>
        <v>24667.5724838395</v>
      </c>
      <c r="AC281" s="20" t="n">
        <f aca="false">IF(AND(G281=0,C281&gt;=F_V),MIN(Z281,AB281),0)</f>
        <v>24667.5724838395</v>
      </c>
      <c r="AD281" s="20" t="n">
        <f aca="false">IF(G281=1,S281*(1+F_PenG)+Q281,IF(C281&lt;F_V,S281*(1+F_PenG),(Z281-AC281)*(1+AS_PenRet)))</f>
        <v>254446.010170804</v>
      </c>
      <c r="AE281" s="20" t="n">
        <f aca="false">IF(C281&gt;=PR_SPage,AS_SP*F_SpF*I281+IF(AND(C281&gt;=PR_Over80Age,F_SpF&gt;0),PR_Over80*PR_Weeks*I281,0),0)</f>
        <v>40793.5345609987</v>
      </c>
      <c r="AF281" s="20" t="n">
        <f aca="false">(F_OtherM+F_RentM)*12*E281+IF(AND(In_polInc&gt;0,In_polIncAge&gt;0,C281&gt;=In_polIncAge),In_polInc,0)</f>
        <v>0</v>
      </c>
      <c r="AG281" s="20" t="n">
        <f aca="false">F_PAge+B281</f>
        <v>84</v>
      </c>
      <c r="AH281" s="20" t="n">
        <f aca="false">IF(AND(F_Partner=1,F_PAge&gt;0,AG281&lt;IF(F_PRet&gt;0,F_PRet,PR_SPage)),F_PIncome*F281,0)</f>
        <v>0</v>
      </c>
      <c r="AI281" s="20" t="n">
        <f aca="false">IF(AND(F_Partner=1,AG281&gt;=PR_SPage,F_PSpQA=0),AS_SP*F_PSpF*I281,0)</f>
        <v>31579.7087464776</v>
      </c>
      <c r="AJ281" s="20" t="n">
        <f aca="false">IF(AND(F_Partner=1,F_PSpQA=1,C281&gt;=PR_SPage,AH281=0),IF(AG281&gt;=PR_SPage,PR_QA66,PR_QAunder)*PR_Weeks*I281,0)</f>
        <v>0</v>
      </c>
      <c r="AK281" s="20" t="n">
        <f aca="false">AE281+AJ281</f>
        <v>40793.5345609987</v>
      </c>
      <c r="AL281" s="20" t="n">
        <f aca="false">K281/H281</f>
        <v>0</v>
      </c>
      <c r="AM281" s="20" t="n">
        <f aca="false">AK281/H281</f>
        <v>16083.6</v>
      </c>
      <c r="AN281" s="20" t="n">
        <f aca="false">AC281/H281</f>
        <v>9725.6433665445</v>
      </c>
      <c r="AO281" s="20" t="n">
        <f aca="false">AF281/H281</f>
        <v>0</v>
      </c>
      <c r="AP281" s="20" t="n">
        <f aca="false">O281/H281</f>
        <v>0</v>
      </c>
      <c r="AQ281" s="20" t="n">
        <f aca="false">AH281/H281</f>
        <v>0</v>
      </c>
      <c r="AR281" s="20" t="n">
        <f aca="false">AI281/H281</f>
        <v>12450.88</v>
      </c>
      <c r="AS281" s="20" t="n">
        <f aca="false">MAX(0,AL281+AN281+AO281+AM281-AP281)</f>
        <v>25809.2433665445</v>
      </c>
      <c r="AT281" s="20" t="n">
        <f aca="false">MAX(0,AQ281+AR281)</f>
        <v>12450.88</v>
      </c>
      <c r="AU281" s="20" t="n">
        <f aca="false">MIN(PR_PAYE,PR_PAYEcap*(AL281+AN281+AM281))</f>
        <v>2000</v>
      </c>
      <c r="AV281" s="20" t="n">
        <f aca="false">MIN(PR_PAYE,PR_PAYEcap*(AQ281+AR281))</f>
        <v>2000</v>
      </c>
      <c r="AW281" s="20" t="n">
        <f aca="false">IF(C281&gt;=PR_AgeCrAge,PR_AgeCr,0)</f>
        <v>245</v>
      </c>
      <c r="AX281" s="20" t="n">
        <f aca="false">IF(AG281&gt;=PR_AgeCrAge,PR_AgeCr,0)</f>
        <v>245</v>
      </c>
      <c r="AY281" s="20" t="n">
        <f aca="false">IF(AND(F_RentCred=1,D281&lt;=PR_RentLast),1,0)</f>
        <v>0</v>
      </c>
      <c r="AZ281" s="20" t="n">
        <f aca="false">AS281+AT281</f>
        <v>38260.1233665445</v>
      </c>
      <c r="BA281" s="20" t="n">
        <f aca="false">PR_PersonalM+AU281+AV281+AW281+AX281+IF(AY281=1,PR_RentJoint,0)</f>
        <v>8490</v>
      </c>
      <c r="BB281" s="20" t="n">
        <f aca="false">PR_BandM+MIN(MIN(AS281,AT281),PR_Uplift)</f>
        <v>65450.88</v>
      </c>
      <c r="BC281" s="20" t="n">
        <f aca="false">MAX(0,PR_r1*MIN(AZ281,BB281)+PR_r2*MAX(0,AZ281-BB281)-BA281)</f>
        <v>0</v>
      </c>
      <c r="BD281" s="20" t="n">
        <f aca="false">MAX(0,PR_HomeCarer-MAX(0,MIN(AS281,AT281)-PR_HCLimit)/2)</f>
        <v>0</v>
      </c>
      <c r="BE281" s="20" t="n">
        <f aca="false">IF(F_Carer=1,MIN(BC281,MAX(0,PR_r1*MIN(AZ281,PR_BandM)+PR_r2*MAX(0,AZ281-PR_BandM)-BA281-BD281)),BC281)</f>
        <v>0</v>
      </c>
      <c r="BF281" s="20" t="n">
        <f aca="false">IF(OR(C281&gt;=PR_AgeCrAge,AG281&gt;=PR_AgeCrAge),IF(AZ281&lt;=PR_AgeExM,0,MIN(BE281,PR_AgeMarg*(AZ281-PR_AgeExM))),BE281)</f>
        <v>0</v>
      </c>
      <c r="BG281" s="20" t="n">
        <f aca="false">MAX(0,PR_r1*MIN(AS281,IF(F_Spccc=1,PR_BandSPCCC,PR_Band))+PR_r2*MAX(0,AS281-IF(F_Spccc=1,PR_BandSPCCC,PR_Band))-(PR_Personal+AU281+AW281+IF(F_Spccc=1,PR_SPCCC,0)+IF(AY281=1,PR_Rent,0)))</f>
        <v>916.848673308901</v>
      </c>
      <c r="BH281" s="20" t="n">
        <f aca="false">IF(C281&gt;=PR_AgeCrAge,IF(AS281&lt;=PR_AgeEx,0,MIN(BG281,PR_AgeMarg*(AS281-PR_AgeEx))),BG281)</f>
        <v>916.848673308901</v>
      </c>
      <c r="BI281" s="20" t="n">
        <f aca="false">IF(F_Partner=1,MAX(0,PR_r1*MIN(AT281,PR_Band)+PR_r2*MAX(0,AT281-PR_Band)-(PR_Personal+AV281+AX281+IF(AND(AY281=1,AT281&gt;0),PR_Rent,0))),0)</f>
        <v>0</v>
      </c>
      <c r="BJ281" s="20" t="n">
        <f aca="false">IF(AG281&gt;=PR_AgeCrAge,IF(AT281&lt;=PR_AgeEx,0,MIN(BI281,PR_AgeMarg*(AT281-PR_AgeEx))),BI281)</f>
        <v>0</v>
      </c>
      <c r="BK281" s="20" t="n">
        <f aca="false">IF(F_Partner=1,IF(F_Married=1,BF281,BH281+BJ281),BH281)</f>
        <v>916.848673308901</v>
      </c>
      <c r="BL281" s="20" t="n">
        <f aca="false">AL281+AN281+AO281</f>
        <v>9725.6433665445</v>
      </c>
      <c r="BM281" s="20"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20" t="n">
        <f aca="false">AQ281</f>
        <v>0</v>
      </c>
      <c r="BO281" s="20"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20" t="n">
        <f aca="false">IF(C281&lt;PR_PRSIend,IF(F_SelfEmp=1,IF(AL281&gt;PR_PRSIsMinInc,MAX(PR_PRSIsMin,AL281*J281),0),IF(AL281/52&lt;=PR_PRSIfree,0,MAX(0,(AL281/52*J281-IF(AL281/52&lt;=PR_PRSIcreditTo,MAX(0,PR_PRSIcreditMax-(AL281/52-(PR_PRSIfree+0.01))/PR_PRSItaper),0))*52)))+J281*AN281+IF(AO281&gt;PR_PRSIunearned,J281*AO281,0),0)+IF(AND(PRSI_ARF_Applies=1,AN281&gt;0,C281&gt;=PR_PRSIend,C281&lt;PRSI_ARF_ToAge,NOT(AK281&gt;0)),J281*AN281,0)</f>
        <v>0</v>
      </c>
      <c r="BQ281" s="20" t="n">
        <f aca="false">IF(AND(F_Partner=1,AG281&lt;PR_PRSIend),IF(AQ281/52&lt;=PR_PRSIfree,0,MAX(0,(AQ281/52*J281-IF(AQ281/52&lt;=PR_PRSIcreditTo,MAX(0,PR_PRSIcreditMax-(AQ281/52-(PR_PRSIfree+0.01))/PR_PRSItaper),0))*52)),0)</f>
        <v>0</v>
      </c>
      <c r="BR281" s="20" t="n">
        <f aca="false">BK281+BM281+BO281+BP281+BQ281</f>
        <v>916.848673308901</v>
      </c>
      <c r="BS281" s="20" t="n">
        <f aca="false">BR281*H281</f>
        <v>2325.44318696265</v>
      </c>
      <c r="BT281" s="20" t="n">
        <f aca="false">K281+AK281+AC281+AF281+AH281+AI281</f>
        <v>97040.8157913157</v>
      </c>
    </row>
    <row r="282" customFormat="false" ht="15" hidden="false" customHeight="true" outlineLevel="0" collapsed="false">
      <c r="B282" s="20" t="n">
        <v>48</v>
      </c>
      <c r="C282" s="20" t="n">
        <f aca="false">F_Age+B282</f>
        <v>86</v>
      </c>
      <c r="D282" s="20" t="n">
        <f aca="false">AS_Year0+B282</f>
        <v>2074</v>
      </c>
      <c r="E282" s="50" t="n">
        <f aca="false">(1+AS_Infl)^B282</f>
        <v>2.58707038549943</v>
      </c>
      <c r="F282" s="50" t="n">
        <f aca="false">(1+AS_Wage)^B282</f>
        <v>4.13225187926015</v>
      </c>
      <c r="G282" s="20" t="n">
        <f aca="false">IF(C282&lt;F_R,1,0)</f>
        <v>0</v>
      </c>
      <c r="H282" s="50" t="n">
        <f aca="false">IF(AS_Bands="flat",1,E282)</f>
        <v>2.58707038549943</v>
      </c>
      <c r="I282" s="50" t="n">
        <f aca="false">IF(AS_SpGrow="pay",F282,IF(AS_SpGrow="flat",1,E282))</f>
        <v>2.58707038549943</v>
      </c>
      <c r="J282" s="50" t="n">
        <f aca="false">(12*PR_PRSIr0+(PR_PRSIr1-PR_PRSIr0)*MAX(0,MIN(12,D282*12+12-PR_PRSIt1))+(PR_PRSIr2-PR_PRSIr1)*MAX(0,MIN(12,D282*12+12-PR_PRSIt2))+(PR_PRSIr3-PR_PRSIr2)*MAX(0,MIN(12,D282*12+12-PR_PRSIt3)))/12</f>
        <v>0.047</v>
      </c>
      <c r="K282" s="20" t="n">
        <f aca="false">IF(G282=1,F_Income*F282,0)</f>
        <v>0</v>
      </c>
      <c r="L282" s="20" t="n">
        <f aca="false">IF(G282=1,(F_Own+In_penExtra)*12*F282,0)</f>
        <v>0</v>
      </c>
      <c r="M282" s="20" t="n">
        <f aca="false">IF(G282=1,(F_PenM+In_penExtra)*12*F282,0)</f>
        <v>0</v>
      </c>
      <c r="N282" s="51" t="n">
        <f aca="false">IF(C282&lt;PR_RelA1,PR_RelP1,IF(C282&lt;PR_RelA2,PR_RelP2,IF(C282&lt;PR_RelA3,PR_RelP3,IF(C282&lt;PR_RelA4,PR_RelP4,IF(C282&lt;PR_RelA5,PR_RelP5,PR_RelP6)))))</f>
        <v>0.4</v>
      </c>
      <c r="O282" s="20" t="n">
        <f aca="false">IF(G282=1,MIN(L282/H282,N282*MIN(K282/H282,PR_EarnCap))*H282,0)</f>
        <v>0</v>
      </c>
      <c r="P282" s="20" t="n">
        <f aca="false">IF(AND(G282=1,F_AE=1),MIN(K282/H282,PR_AEcap)*H282,0)</f>
        <v>0</v>
      </c>
      <c r="Q282" s="20" t="n">
        <f aca="false">IF(G282=1,IF(WI_Retire=1,MAX(0,M282+WI_M*12),M282)+(PR_AEee+PR_AEer+PR_AEst)*P282,0)</f>
        <v>0</v>
      </c>
      <c r="R282" s="20" t="n">
        <f aca="false">L282+PR_AEee*P282</f>
        <v>0</v>
      </c>
      <c r="S282" s="20" t="n">
        <f aca="false">AD281</f>
        <v>254446.010170804</v>
      </c>
      <c r="T282" s="20" t="n">
        <f aca="false">IF(D282&lt;=PR_SFTfrom,PR_SFT2026,IF(D282=PR_SFTfrom+1,PR_SFT2027,IF(D282=PR_SFTfrom+2,PR_SFT2028,IF(D282&lt;=PR_SFTto,PR_SFT2029,PR_SFT2029*(1+AS_Infl)^(D282-PR_SFTto)))))</f>
        <v>6825991.77484377</v>
      </c>
      <c r="U282" s="20" t="n">
        <f aca="false">IF(AND(G282=0,C282=F_V),1,0)</f>
        <v>0</v>
      </c>
      <c r="V282" s="20" t="n">
        <f aca="false">IF(U282=1,PR_SFTrate*MAX(0,S282-T282),0)</f>
        <v>0</v>
      </c>
      <c r="W282" s="20" t="n">
        <f aca="false">S282-V282</f>
        <v>254446.010170804</v>
      </c>
      <c r="X282" s="20" t="n">
        <f aca="false">IF(AND(U282=1,AS_LumpPct&gt;0),W282*MIN(AS_LumpPct,PR_LSmax),0)</f>
        <v>0</v>
      </c>
      <c r="Y282" s="20" t="n">
        <f aca="false">X282-(PR_LSrate*MAX(0,MIN(X282,PR_LScap)-PR_LSfree)+PR_r2*MAX(0,X282-PR_LScap))</f>
        <v>0</v>
      </c>
      <c r="Z282" s="20" t="n">
        <f aca="false">W282-X282</f>
        <v>254446.010170804</v>
      </c>
      <c r="AA282" s="51" t="n">
        <f aca="false">IF(C282&gt;=PR_ARFage1,IF(Z282&gt;PR_ARFbig,PR_ARFbigRate,IF(C282&gt;=PR_ARFage2,PR_ARF71,PR_ARF61)),0)</f>
        <v>0.05</v>
      </c>
      <c r="AB282" s="20" t="n">
        <f aca="false">IF(AS_DrawRule="min",Z282*AA282,IF(AS_DrawRule="fixed",MAX(AS_DrawFixed*E282,Z282*AA282),Z282*MAX(1/MAX(1,AS_End-C282+1),AA282)))</f>
        <v>25444.6010170804</v>
      </c>
      <c r="AC282" s="20" t="n">
        <f aca="false">IF(AND(G282=0,C282&gt;=F_V),MIN(Z282,AB282),0)</f>
        <v>25444.6010170804</v>
      </c>
      <c r="AD282" s="20" t="n">
        <f aca="false">IF(G282=1,S282*(1+F_PenG)+Q282,IF(C282&lt;F_V,S282*(1+F_PenG),(Z282-AC282)*(1+AS_PenRet)))</f>
        <v>236214.953542066</v>
      </c>
      <c r="AE282" s="20" t="n">
        <f aca="false">IF(C282&gt;=PR_SPage,AS_SP*F_SpF*I282+IF(AND(C282&gt;=PR_Over80Age,F_SpF&gt;0),PR_Over80*PR_Weeks*I282,0),0)</f>
        <v>41609.4052522187</v>
      </c>
      <c r="AF282" s="20" t="n">
        <f aca="false">(F_OtherM+F_RentM)*12*E282+IF(AND(In_polInc&gt;0,In_polIncAge&gt;0,C282&gt;=In_polIncAge),In_polInc,0)</f>
        <v>0</v>
      </c>
      <c r="AG282" s="20" t="n">
        <f aca="false">F_PAge+B282</f>
        <v>85</v>
      </c>
      <c r="AH282" s="20" t="n">
        <f aca="false">IF(AND(F_Partner=1,F_PAge&gt;0,AG282&lt;IF(F_PRet&gt;0,F_PRet,PR_SPage)),F_PIncome*F282,0)</f>
        <v>0</v>
      </c>
      <c r="AI282" s="20" t="n">
        <f aca="false">IF(AND(F_Partner=1,AG282&gt;=PR_SPage,F_PSpQA=0),AS_SP*F_PSpF*I282,0)</f>
        <v>32211.3029214072</v>
      </c>
      <c r="AJ282" s="20" t="n">
        <f aca="false">IF(AND(F_Partner=1,F_PSpQA=1,C282&gt;=PR_SPage,AH282=0),IF(AG282&gt;=PR_SPage,PR_QA66,PR_QAunder)*PR_Weeks*I282,0)</f>
        <v>0</v>
      </c>
      <c r="AK282" s="20" t="n">
        <f aca="false">AE282+AJ282</f>
        <v>41609.4052522187</v>
      </c>
      <c r="AL282" s="20" t="n">
        <f aca="false">K282/H282</f>
        <v>0</v>
      </c>
      <c r="AM282" s="20" t="n">
        <f aca="false">AK282/H282</f>
        <v>16083.6</v>
      </c>
      <c r="AN282" s="20" t="n">
        <f aca="false">AC282/H282</f>
        <v>9835.29522803005</v>
      </c>
      <c r="AO282" s="20" t="n">
        <f aca="false">AF282/H282</f>
        <v>0</v>
      </c>
      <c r="AP282" s="20" t="n">
        <f aca="false">O282/H282</f>
        <v>0</v>
      </c>
      <c r="AQ282" s="20" t="n">
        <f aca="false">AH282/H282</f>
        <v>0</v>
      </c>
      <c r="AR282" s="20" t="n">
        <f aca="false">AI282/H282</f>
        <v>12450.88</v>
      </c>
      <c r="AS282" s="20" t="n">
        <f aca="false">MAX(0,AL282+AN282+AO282+AM282-AP282)</f>
        <v>25918.8952280301</v>
      </c>
      <c r="AT282" s="20" t="n">
        <f aca="false">MAX(0,AQ282+AR282)</f>
        <v>12450.88</v>
      </c>
      <c r="AU282" s="20" t="n">
        <f aca="false">MIN(PR_PAYE,PR_PAYEcap*(AL282+AN282+AM282))</f>
        <v>2000</v>
      </c>
      <c r="AV282" s="20" t="n">
        <f aca="false">MIN(PR_PAYE,PR_PAYEcap*(AQ282+AR282))</f>
        <v>2000</v>
      </c>
      <c r="AW282" s="20" t="n">
        <f aca="false">IF(C282&gt;=PR_AgeCrAge,PR_AgeCr,0)</f>
        <v>245</v>
      </c>
      <c r="AX282" s="20" t="n">
        <f aca="false">IF(AG282&gt;=PR_AgeCrAge,PR_AgeCr,0)</f>
        <v>245</v>
      </c>
      <c r="AY282" s="20" t="n">
        <f aca="false">IF(AND(F_RentCred=1,D282&lt;=PR_RentLast),1,0)</f>
        <v>0</v>
      </c>
      <c r="AZ282" s="20" t="n">
        <f aca="false">AS282+AT282</f>
        <v>38369.7752280301</v>
      </c>
      <c r="BA282" s="20" t="n">
        <f aca="false">PR_PersonalM+AU282+AV282+AW282+AX282+IF(AY282=1,PR_RentJoint,0)</f>
        <v>8490</v>
      </c>
      <c r="BB282" s="20" t="n">
        <f aca="false">PR_BandM+MIN(MIN(AS282,AT282),PR_Uplift)</f>
        <v>65450.88</v>
      </c>
      <c r="BC282" s="20" t="n">
        <f aca="false">MAX(0,PR_r1*MIN(AZ282,BB282)+PR_r2*MAX(0,AZ282-BB282)-BA282)</f>
        <v>0</v>
      </c>
      <c r="BD282" s="20" t="n">
        <f aca="false">MAX(0,PR_HomeCarer-MAX(0,MIN(AS282,AT282)-PR_HCLimit)/2)</f>
        <v>0</v>
      </c>
      <c r="BE282" s="20" t="n">
        <f aca="false">IF(F_Carer=1,MIN(BC282,MAX(0,PR_r1*MIN(AZ282,PR_BandM)+PR_r2*MAX(0,AZ282-PR_BandM)-BA282-BD282)),BC282)</f>
        <v>0</v>
      </c>
      <c r="BF282" s="20" t="n">
        <f aca="false">IF(OR(C282&gt;=PR_AgeCrAge,AG282&gt;=PR_AgeCrAge),IF(AZ282&lt;=PR_AgeExM,0,MIN(BE282,PR_AgeMarg*(AZ282-PR_AgeExM))),BE282)</f>
        <v>0</v>
      </c>
      <c r="BG282" s="20" t="n">
        <f aca="false">MAX(0,PR_r1*MIN(AS282,IF(F_Spccc=1,PR_BandSPCCC,PR_Band))+PR_r2*MAX(0,AS282-IF(F_Spccc=1,PR_BandSPCCC,PR_Band))-(PR_Personal+AU282+AW282+IF(F_Spccc=1,PR_SPCCC,0)+IF(AY282=1,PR_Rent,0)))</f>
        <v>938.779045606011</v>
      </c>
      <c r="BH282" s="20" t="n">
        <f aca="false">IF(C282&gt;=PR_AgeCrAge,IF(AS282&lt;=PR_AgeEx,0,MIN(BG282,PR_AgeMarg*(AS282-PR_AgeEx))),BG282)</f>
        <v>938.779045606011</v>
      </c>
      <c r="BI282" s="20" t="n">
        <f aca="false">IF(F_Partner=1,MAX(0,PR_r1*MIN(AT282,PR_Band)+PR_r2*MAX(0,AT282-PR_Band)-(PR_Personal+AV282+AX282+IF(AND(AY282=1,AT282&gt;0),PR_Rent,0))),0)</f>
        <v>0</v>
      </c>
      <c r="BJ282" s="20" t="n">
        <f aca="false">IF(AG282&gt;=PR_AgeCrAge,IF(AT282&lt;=PR_AgeEx,0,MIN(BI282,PR_AgeMarg*(AT282-PR_AgeEx))),BI282)</f>
        <v>0</v>
      </c>
      <c r="BK282" s="20" t="n">
        <f aca="false">IF(F_Partner=1,IF(F_Married=1,BF282,BH282+BJ282),BH282)</f>
        <v>938.779045606011</v>
      </c>
      <c r="BL282" s="20" t="n">
        <f aca="false">AL282+AN282+AO282</f>
        <v>9835.29522803005</v>
      </c>
      <c r="BM282" s="20"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20" t="n">
        <f aca="false">AQ282</f>
        <v>0</v>
      </c>
      <c r="BO282" s="20"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20" t="n">
        <f aca="false">IF(C282&lt;PR_PRSIend,IF(F_SelfEmp=1,IF(AL282&gt;PR_PRSIsMinInc,MAX(PR_PRSIsMin,AL282*J282),0),IF(AL282/52&lt;=PR_PRSIfree,0,MAX(0,(AL282/52*J282-IF(AL282/52&lt;=PR_PRSIcreditTo,MAX(0,PR_PRSIcreditMax-(AL282/52-(PR_PRSIfree+0.01))/PR_PRSItaper),0))*52)))+J282*AN282+IF(AO282&gt;PR_PRSIunearned,J282*AO282,0),0)+IF(AND(PRSI_ARF_Applies=1,AN282&gt;0,C282&gt;=PR_PRSIend,C282&lt;PRSI_ARF_ToAge,NOT(AK282&gt;0)),J282*AN282,0)</f>
        <v>0</v>
      </c>
      <c r="BQ282" s="20" t="n">
        <f aca="false">IF(AND(F_Partner=1,AG282&lt;PR_PRSIend),IF(AQ282/52&lt;=PR_PRSIfree,0,MAX(0,(AQ282/52*J282-IF(AQ282/52&lt;=PR_PRSIcreditTo,MAX(0,PR_PRSIcreditMax-(AQ282/52-(PR_PRSIfree+0.01))/PR_PRSItaper),0))*52)),0)</f>
        <v>0</v>
      </c>
      <c r="BR282" s="20" t="n">
        <f aca="false">BK282+BM282+BO282+BP282+BQ282</f>
        <v>938.779045606011</v>
      </c>
      <c r="BS282" s="20" t="n">
        <f aca="false">BR282*H282</f>
        <v>2428.68746741473</v>
      </c>
      <c r="BT282" s="20" t="n">
        <f aca="false">K282+AK282+AC282+AF282+AH282+AI282</f>
        <v>99265.3091907062</v>
      </c>
    </row>
    <row r="283" customFormat="false" ht="15" hidden="false" customHeight="true" outlineLevel="0" collapsed="false">
      <c r="B283" s="20" t="n">
        <v>49</v>
      </c>
      <c r="C283" s="20" t="n">
        <f aca="false">F_Age+B283</f>
        <v>87</v>
      </c>
      <c r="D283" s="20" t="n">
        <f aca="false">AS_Year0+B283</f>
        <v>2075</v>
      </c>
      <c r="E283" s="50" t="n">
        <f aca="false">(1+AS_Infl)^B283</f>
        <v>2.63881179320942</v>
      </c>
      <c r="F283" s="50" t="n">
        <f aca="false">(1+AS_Wage)^B283</f>
        <v>4.25621943563796</v>
      </c>
      <c r="G283" s="20" t="n">
        <f aca="false">IF(C283&lt;F_R,1,0)</f>
        <v>0</v>
      </c>
      <c r="H283" s="50" t="n">
        <f aca="false">IF(AS_Bands="flat",1,E283)</f>
        <v>2.63881179320942</v>
      </c>
      <c r="I283" s="50" t="n">
        <f aca="false">IF(AS_SpGrow="pay",F283,IF(AS_SpGrow="flat",1,E283))</f>
        <v>2.63881179320942</v>
      </c>
      <c r="J283" s="50" t="n">
        <f aca="false">(12*PR_PRSIr0+(PR_PRSIr1-PR_PRSIr0)*MAX(0,MIN(12,D283*12+12-PR_PRSIt1))+(PR_PRSIr2-PR_PRSIr1)*MAX(0,MIN(12,D283*12+12-PR_PRSIt2))+(PR_PRSIr3-PR_PRSIr2)*MAX(0,MIN(12,D283*12+12-PR_PRSIt3)))/12</f>
        <v>0.047</v>
      </c>
      <c r="K283" s="20" t="n">
        <f aca="false">IF(G283=1,F_Income*F283,0)</f>
        <v>0</v>
      </c>
      <c r="L283" s="20" t="n">
        <f aca="false">IF(G283=1,(F_Own+In_penExtra)*12*F283,0)</f>
        <v>0</v>
      </c>
      <c r="M283" s="20" t="n">
        <f aca="false">IF(G283=1,(F_PenM+In_penExtra)*12*F283,0)</f>
        <v>0</v>
      </c>
      <c r="N283" s="51" t="n">
        <f aca="false">IF(C283&lt;PR_RelA1,PR_RelP1,IF(C283&lt;PR_RelA2,PR_RelP2,IF(C283&lt;PR_RelA3,PR_RelP3,IF(C283&lt;PR_RelA4,PR_RelP4,IF(C283&lt;PR_RelA5,PR_RelP5,PR_RelP6)))))</f>
        <v>0.4</v>
      </c>
      <c r="O283" s="20" t="n">
        <f aca="false">IF(G283=1,MIN(L283/H283,N283*MIN(K283/H283,PR_EarnCap))*H283,0)</f>
        <v>0</v>
      </c>
      <c r="P283" s="20" t="n">
        <f aca="false">IF(AND(G283=1,F_AE=1),MIN(K283/H283,PR_AEcap)*H283,0)</f>
        <v>0</v>
      </c>
      <c r="Q283" s="20" t="n">
        <f aca="false">IF(G283=1,IF(WI_Retire=1,MAX(0,M283+WI_M*12),M283)+(PR_AEee+PR_AEer+PR_AEst)*P283,0)</f>
        <v>0</v>
      </c>
      <c r="R283" s="20" t="n">
        <f aca="false">L283+PR_AEee*P283</f>
        <v>0</v>
      </c>
      <c r="S283" s="20" t="n">
        <f aca="false">AD282</f>
        <v>236214.953542066</v>
      </c>
      <c r="T283" s="20" t="n">
        <f aca="false">IF(D283&lt;=PR_SFTfrom,PR_SFT2026,IF(D283=PR_SFTfrom+1,PR_SFT2027,IF(D283=PR_SFTfrom+2,PR_SFT2028,IF(D283&lt;=PR_SFTto,PR_SFT2029,PR_SFT2029*(1+AS_Infl)^(D283-PR_SFTto)))))</f>
        <v>6962511.61034064</v>
      </c>
      <c r="U283" s="20" t="n">
        <f aca="false">IF(AND(G283=0,C283=F_V),1,0)</f>
        <v>0</v>
      </c>
      <c r="V283" s="20" t="n">
        <f aca="false">IF(U283=1,PR_SFTrate*MAX(0,S283-T283),0)</f>
        <v>0</v>
      </c>
      <c r="W283" s="20" t="n">
        <f aca="false">S283-V283</f>
        <v>236214.953542066</v>
      </c>
      <c r="X283" s="20" t="n">
        <f aca="false">IF(AND(U283=1,AS_LumpPct&gt;0),W283*MIN(AS_LumpPct,PR_LSmax),0)</f>
        <v>0</v>
      </c>
      <c r="Y283" s="20" t="n">
        <f aca="false">X283-(PR_LSrate*MAX(0,MIN(X283,PR_LScap)-PR_LSfree)+PR_r2*MAX(0,X283-PR_LScap))</f>
        <v>0</v>
      </c>
      <c r="Z283" s="20" t="n">
        <f aca="false">W283-X283</f>
        <v>236214.953542066</v>
      </c>
      <c r="AA283" s="51" t="n">
        <f aca="false">IF(C283&gt;=PR_ARFage1,IF(Z283&gt;PR_ARFbig,PR_ARFbigRate,IF(C283&gt;=PR_ARFage2,PR_ARF71,PR_ARF61)),0)</f>
        <v>0.05</v>
      </c>
      <c r="AB283" s="20" t="n">
        <f aca="false">IF(AS_DrawRule="min",Z283*AA283,IF(AS_DrawRule="fixed",MAX(AS_DrawFixed*E283,Z283*AA283),Z283*MAX(1/MAX(1,AS_End-C283+1),AA283)))</f>
        <v>26246.1059491185</v>
      </c>
      <c r="AC283" s="20" t="n">
        <f aca="false">IF(AND(G283=0,C283&gt;=F_V),MIN(Z283,AB283),0)</f>
        <v>26246.1059491185</v>
      </c>
      <c r="AD283" s="20" t="n">
        <f aca="false">IF(G283=1,S283*(1+F_PenG)+Q283,IF(C283&lt;F_V,S283*(1+F_PenG),(Z283-AC283)*(1+AS_PenRet)))</f>
        <v>216582.866292126</v>
      </c>
      <c r="AE283" s="20" t="n">
        <f aca="false">IF(C283&gt;=PR_SPage,AS_SP*F_SpF*I283+IF(AND(C283&gt;=PR_Over80Age,F_SpF&gt;0),PR_Over80*PR_Weeks*I283,0),0)</f>
        <v>42441.593357263</v>
      </c>
      <c r="AF283" s="20" t="n">
        <f aca="false">(F_OtherM+F_RentM)*12*E283+IF(AND(In_polInc&gt;0,In_polIncAge&gt;0,C283&gt;=In_polIncAge),In_polInc,0)</f>
        <v>0</v>
      </c>
      <c r="AG283" s="20" t="n">
        <f aca="false">F_PAge+B283</f>
        <v>86</v>
      </c>
      <c r="AH283" s="20" t="n">
        <f aca="false">IF(AND(F_Partner=1,F_PAge&gt;0,AG283&lt;IF(F_PRet&gt;0,F_PRet,PR_SPage)),F_PIncome*F283,0)</f>
        <v>0</v>
      </c>
      <c r="AI283" s="20" t="n">
        <f aca="false">IF(AND(F_Partner=1,AG283&gt;=PR_SPage,F_PSpQA=0),AS_SP*F_PSpF*I283,0)</f>
        <v>32855.5289798353</v>
      </c>
      <c r="AJ283" s="20" t="n">
        <f aca="false">IF(AND(F_Partner=1,F_PSpQA=1,C283&gt;=PR_SPage,AH283=0),IF(AG283&gt;=PR_SPage,PR_QA66,PR_QAunder)*PR_Weeks*I283,0)</f>
        <v>0</v>
      </c>
      <c r="AK283" s="20" t="n">
        <f aca="false">AE283+AJ283</f>
        <v>42441.593357263</v>
      </c>
      <c r="AL283" s="20" t="n">
        <f aca="false">K283/H283</f>
        <v>0</v>
      </c>
      <c r="AM283" s="20" t="n">
        <f aca="false">AK283/H283</f>
        <v>16083.6</v>
      </c>
      <c r="AN283" s="20" t="n">
        <f aca="false">AC283/H283</f>
        <v>9946.18336050294</v>
      </c>
      <c r="AO283" s="20" t="n">
        <f aca="false">AF283/H283</f>
        <v>0</v>
      </c>
      <c r="AP283" s="20" t="n">
        <f aca="false">O283/H283</f>
        <v>0</v>
      </c>
      <c r="AQ283" s="20" t="n">
        <f aca="false">AH283/H283</f>
        <v>0</v>
      </c>
      <c r="AR283" s="20" t="n">
        <f aca="false">AI283/H283</f>
        <v>12450.88</v>
      </c>
      <c r="AS283" s="20" t="n">
        <f aca="false">MAX(0,AL283+AN283+AO283+AM283-AP283)</f>
        <v>26029.7833605029</v>
      </c>
      <c r="AT283" s="20" t="n">
        <f aca="false">MAX(0,AQ283+AR283)</f>
        <v>12450.88</v>
      </c>
      <c r="AU283" s="20" t="n">
        <f aca="false">MIN(PR_PAYE,PR_PAYEcap*(AL283+AN283+AM283))</f>
        <v>2000</v>
      </c>
      <c r="AV283" s="20" t="n">
        <f aca="false">MIN(PR_PAYE,PR_PAYEcap*(AQ283+AR283))</f>
        <v>2000</v>
      </c>
      <c r="AW283" s="20" t="n">
        <f aca="false">IF(C283&gt;=PR_AgeCrAge,PR_AgeCr,0)</f>
        <v>245</v>
      </c>
      <c r="AX283" s="20" t="n">
        <f aca="false">IF(AG283&gt;=PR_AgeCrAge,PR_AgeCr,0)</f>
        <v>245</v>
      </c>
      <c r="AY283" s="20" t="n">
        <f aca="false">IF(AND(F_RentCred=1,D283&lt;=PR_RentLast),1,0)</f>
        <v>0</v>
      </c>
      <c r="AZ283" s="20" t="n">
        <f aca="false">AS283+AT283</f>
        <v>38480.6633605029</v>
      </c>
      <c r="BA283" s="20" t="n">
        <f aca="false">PR_PersonalM+AU283+AV283+AW283+AX283+IF(AY283=1,PR_RentJoint,0)</f>
        <v>8490</v>
      </c>
      <c r="BB283" s="20" t="n">
        <f aca="false">PR_BandM+MIN(MIN(AS283,AT283),PR_Uplift)</f>
        <v>65450.88</v>
      </c>
      <c r="BC283" s="20" t="n">
        <f aca="false">MAX(0,PR_r1*MIN(AZ283,BB283)+PR_r2*MAX(0,AZ283-BB283)-BA283)</f>
        <v>0</v>
      </c>
      <c r="BD283" s="20" t="n">
        <f aca="false">MAX(0,PR_HomeCarer-MAX(0,MIN(AS283,AT283)-PR_HCLimit)/2)</f>
        <v>0</v>
      </c>
      <c r="BE283" s="20" t="n">
        <f aca="false">IF(F_Carer=1,MIN(BC283,MAX(0,PR_r1*MIN(AZ283,PR_BandM)+PR_r2*MAX(0,AZ283-PR_BandM)-BA283-BD283)),BC283)</f>
        <v>0</v>
      </c>
      <c r="BF283" s="20" t="n">
        <f aca="false">IF(OR(C283&gt;=PR_AgeCrAge,AG283&gt;=PR_AgeCrAge),IF(AZ283&lt;=PR_AgeExM,0,MIN(BE283,PR_AgeMarg*(AZ283-PR_AgeExM))),BE283)</f>
        <v>0</v>
      </c>
      <c r="BG283" s="20" t="n">
        <f aca="false">MAX(0,PR_r1*MIN(AS283,IF(F_Spccc=1,PR_BandSPCCC,PR_Band))+PR_r2*MAX(0,AS283-IF(F_Spccc=1,PR_BandSPCCC,PR_Band))-(PR_Personal+AU283+AW283+IF(F_Spccc=1,PR_SPCCC,0)+IF(AY283=1,PR_Rent,0)))</f>
        <v>960.95667210059</v>
      </c>
      <c r="BH283" s="20" t="n">
        <f aca="false">IF(C283&gt;=PR_AgeCrAge,IF(AS283&lt;=PR_AgeEx,0,MIN(BG283,PR_AgeMarg*(AS283-PR_AgeEx))),BG283)</f>
        <v>960.95667210059</v>
      </c>
      <c r="BI283" s="20" t="n">
        <f aca="false">IF(F_Partner=1,MAX(0,PR_r1*MIN(AT283,PR_Band)+PR_r2*MAX(0,AT283-PR_Band)-(PR_Personal+AV283+AX283+IF(AND(AY283=1,AT283&gt;0),PR_Rent,0))),0)</f>
        <v>0</v>
      </c>
      <c r="BJ283" s="20" t="n">
        <f aca="false">IF(AG283&gt;=PR_AgeCrAge,IF(AT283&lt;=PR_AgeEx,0,MIN(BI283,PR_AgeMarg*(AT283-PR_AgeEx))),BI283)</f>
        <v>0</v>
      </c>
      <c r="BK283" s="20" t="n">
        <f aca="false">IF(F_Partner=1,IF(F_Married=1,BF283,BH283+BJ283),BH283)</f>
        <v>960.95667210059</v>
      </c>
      <c r="BL283" s="20" t="n">
        <f aca="false">AL283+AN283+AO283</f>
        <v>9946.18336050294</v>
      </c>
      <c r="BM283" s="20"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20" t="n">
        <f aca="false">AQ283</f>
        <v>0</v>
      </c>
      <c r="BO283" s="20"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20" t="n">
        <f aca="false">IF(C283&lt;PR_PRSIend,IF(F_SelfEmp=1,IF(AL283&gt;PR_PRSIsMinInc,MAX(PR_PRSIsMin,AL283*J283),0),IF(AL283/52&lt;=PR_PRSIfree,0,MAX(0,(AL283/52*J283-IF(AL283/52&lt;=PR_PRSIcreditTo,MAX(0,PR_PRSIcreditMax-(AL283/52-(PR_PRSIfree+0.01))/PR_PRSItaper),0))*52)))+J283*AN283+IF(AO283&gt;PR_PRSIunearned,J283*AO283,0),0)+IF(AND(PRSI_ARF_Applies=1,AN283&gt;0,C283&gt;=PR_PRSIend,C283&lt;PRSI_ARF_ToAge,NOT(AK283&gt;0)),J283*AN283,0)</f>
        <v>0</v>
      </c>
      <c r="BQ283" s="20" t="n">
        <f aca="false">IF(AND(F_Partner=1,AG283&lt;PR_PRSIend),IF(AQ283/52&lt;=PR_PRSIfree,0,MAX(0,(AQ283/52*J283-IF(AQ283/52&lt;=PR_PRSIcreditTo,MAX(0,PR_PRSIcreditMax-(AQ283/52-(PR_PRSIfree+0.01))/PR_PRSItaper),0))*52)),0)</f>
        <v>0</v>
      </c>
      <c r="BR283" s="20" t="n">
        <f aca="false">BK283+BM283+BO283+BP283+BQ283</f>
        <v>960.95667210059</v>
      </c>
      <c r="BS283" s="20" t="n">
        <f aca="false">BR283*H283</f>
        <v>2535.78379910231</v>
      </c>
      <c r="BT283" s="20" t="n">
        <f aca="false">K283+AK283+AC283+AF283+AH283+AI283</f>
        <v>101543.228286217</v>
      </c>
    </row>
    <row r="284" customFormat="false" ht="15" hidden="false" customHeight="true" outlineLevel="0" collapsed="false">
      <c r="B284" s="20" t="n">
        <v>50</v>
      </c>
      <c r="C284" s="20" t="n">
        <f aca="false">F_Age+B284</f>
        <v>88</v>
      </c>
      <c r="D284" s="20" t="n">
        <f aca="false">AS_Year0+B284</f>
        <v>2076</v>
      </c>
      <c r="E284" s="50" t="n">
        <f aca="false">(1+AS_Infl)^B284</f>
        <v>2.69158802907361</v>
      </c>
      <c r="F284" s="50" t="n">
        <f aca="false">(1+AS_Wage)^B284</f>
        <v>4.3839060187071</v>
      </c>
      <c r="G284" s="20" t="n">
        <f aca="false">IF(C284&lt;F_R,1,0)</f>
        <v>0</v>
      </c>
      <c r="H284" s="50" t="n">
        <f aca="false">IF(AS_Bands="flat",1,E284)</f>
        <v>2.69158802907361</v>
      </c>
      <c r="I284" s="50" t="n">
        <f aca="false">IF(AS_SpGrow="pay",F284,IF(AS_SpGrow="flat",1,E284))</f>
        <v>2.69158802907361</v>
      </c>
      <c r="J284" s="50" t="n">
        <f aca="false">(12*PR_PRSIr0+(PR_PRSIr1-PR_PRSIr0)*MAX(0,MIN(12,D284*12+12-PR_PRSIt1))+(PR_PRSIr2-PR_PRSIr1)*MAX(0,MIN(12,D284*12+12-PR_PRSIt2))+(PR_PRSIr3-PR_PRSIr2)*MAX(0,MIN(12,D284*12+12-PR_PRSIt3)))/12</f>
        <v>0.047</v>
      </c>
      <c r="K284" s="20" t="n">
        <f aca="false">IF(G284=1,F_Income*F284,0)</f>
        <v>0</v>
      </c>
      <c r="L284" s="20" t="n">
        <f aca="false">IF(G284=1,(F_Own+In_penExtra)*12*F284,0)</f>
        <v>0</v>
      </c>
      <c r="M284" s="20" t="n">
        <f aca="false">IF(G284=1,(F_PenM+In_penExtra)*12*F284,0)</f>
        <v>0</v>
      </c>
      <c r="N284" s="51" t="n">
        <f aca="false">IF(C284&lt;PR_RelA1,PR_RelP1,IF(C284&lt;PR_RelA2,PR_RelP2,IF(C284&lt;PR_RelA3,PR_RelP3,IF(C284&lt;PR_RelA4,PR_RelP4,IF(C284&lt;PR_RelA5,PR_RelP5,PR_RelP6)))))</f>
        <v>0.4</v>
      </c>
      <c r="O284" s="20" t="n">
        <f aca="false">IF(G284=1,MIN(L284/H284,N284*MIN(K284/H284,PR_EarnCap))*H284,0)</f>
        <v>0</v>
      </c>
      <c r="P284" s="20" t="n">
        <f aca="false">IF(AND(G284=1,F_AE=1),MIN(K284/H284,PR_AEcap)*H284,0)</f>
        <v>0</v>
      </c>
      <c r="Q284" s="20" t="n">
        <f aca="false">IF(G284=1,IF(WI_Retire=1,MAX(0,M284+WI_M*12),M284)+(PR_AEee+PR_AEer+PR_AEst)*P284,0)</f>
        <v>0</v>
      </c>
      <c r="R284" s="20" t="n">
        <f aca="false">L284+PR_AEee*P284</f>
        <v>0</v>
      </c>
      <c r="S284" s="20" t="n">
        <f aca="false">AD283</f>
        <v>216582.866292126</v>
      </c>
      <c r="T284" s="20" t="n">
        <f aca="false">IF(D284&lt;=PR_SFTfrom,PR_SFT2026,IF(D284=PR_SFTfrom+1,PR_SFT2027,IF(D284=PR_SFTfrom+2,PR_SFT2028,IF(D284&lt;=PR_SFTto,PR_SFT2029,PR_SFT2029*(1+AS_Infl)^(D284-PR_SFTto)))))</f>
        <v>7101761.84254746</v>
      </c>
      <c r="U284" s="20" t="n">
        <f aca="false">IF(AND(G284=0,C284=F_V),1,0)</f>
        <v>0</v>
      </c>
      <c r="V284" s="20" t="n">
        <f aca="false">IF(U284=1,PR_SFTrate*MAX(0,S284-T284),0)</f>
        <v>0</v>
      </c>
      <c r="W284" s="20" t="n">
        <f aca="false">S284-V284</f>
        <v>216582.866292126</v>
      </c>
      <c r="X284" s="20" t="n">
        <f aca="false">IF(AND(U284=1,AS_LumpPct&gt;0),W284*MIN(AS_LumpPct,PR_LSmax),0)</f>
        <v>0</v>
      </c>
      <c r="Y284" s="20" t="n">
        <f aca="false">X284-(PR_LSrate*MAX(0,MIN(X284,PR_LScap)-PR_LSfree)+PR_r2*MAX(0,X284-PR_LScap))</f>
        <v>0</v>
      </c>
      <c r="Z284" s="20" t="n">
        <f aca="false">W284-X284</f>
        <v>216582.866292126</v>
      </c>
      <c r="AA284" s="51" t="n">
        <f aca="false">IF(C284&gt;=PR_ARFage1,IF(Z284&gt;PR_ARFbig,PR_ARFbigRate,IF(C284&gt;=PR_ARFage2,PR_ARF71,PR_ARF61)),0)</f>
        <v>0.05</v>
      </c>
      <c r="AB284" s="20" t="n">
        <f aca="false">IF(AS_DrawRule="min",Z284*AA284,IF(AS_DrawRule="fixed",MAX(AS_DrawFixed*E284,Z284*AA284),Z284*MAX(1/MAX(1,AS_End-C284+1),AA284)))</f>
        <v>27072.8582865157</v>
      </c>
      <c r="AC284" s="20" t="n">
        <f aca="false">IF(AND(G284=0,C284&gt;=F_V),MIN(Z284,AB284),0)</f>
        <v>27072.8582865157</v>
      </c>
      <c r="AD284" s="20" t="n">
        <f aca="false">IF(G284=1,S284*(1+F_PenG)+Q284,IF(C284&lt;F_V,S284*(1+F_PenG),(Z284-AC284)*(1+AS_PenRet)))</f>
        <v>195479.573257787</v>
      </c>
      <c r="AE284" s="20" t="n">
        <f aca="false">IF(C284&gt;=PR_SPage,AS_SP*F_SpF*I284+IF(AND(C284&gt;=PR_Over80Age,F_SpF&gt;0),PR_Over80*PR_Weeks*I284,0),0)</f>
        <v>43290.4252244083</v>
      </c>
      <c r="AF284" s="20" t="n">
        <f aca="false">(F_OtherM+F_RentM)*12*E284+IF(AND(In_polInc&gt;0,In_polIncAge&gt;0,C284&gt;=In_polIncAge),In_polInc,0)</f>
        <v>0</v>
      </c>
      <c r="AG284" s="20" t="n">
        <f aca="false">F_PAge+B284</f>
        <v>87</v>
      </c>
      <c r="AH284" s="20" t="n">
        <f aca="false">IF(AND(F_Partner=1,F_PAge&gt;0,AG284&lt;IF(F_PRet&gt;0,F_PRet,PR_SPage)),F_PIncome*F284,0)</f>
        <v>0</v>
      </c>
      <c r="AI284" s="20" t="n">
        <f aca="false">IF(AND(F_Partner=1,AG284&gt;=PR_SPage,F_PSpQA=0),AS_SP*F_PSpF*I284,0)</f>
        <v>33512.639559432</v>
      </c>
      <c r="AJ284" s="20" t="n">
        <f aca="false">IF(AND(F_Partner=1,F_PSpQA=1,C284&gt;=PR_SPage,AH284=0),IF(AG284&gt;=PR_SPage,PR_QA66,PR_QAunder)*PR_Weeks*I284,0)</f>
        <v>0</v>
      </c>
      <c r="AK284" s="20" t="n">
        <f aca="false">AE284+AJ284</f>
        <v>43290.4252244083</v>
      </c>
      <c r="AL284" s="20" t="n">
        <f aca="false">K284/H284</f>
        <v>0</v>
      </c>
      <c r="AM284" s="20" t="n">
        <f aca="false">AK284/H284</f>
        <v>16083.6</v>
      </c>
      <c r="AN284" s="20" t="n">
        <f aca="false">AC284/H284</f>
        <v>10058.3217023125</v>
      </c>
      <c r="AO284" s="20" t="n">
        <f aca="false">AF284/H284</f>
        <v>0</v>
      </c>
      <c r="AP284" s="20" t="n">
        <f aca="false">O284/H284</f>
        <v>0</v>
      </c>
      <c r="AQ284" s="20" t="n">
        <f aca="false">AH284/H284</f>
        <v>0</v>
      </c>
      <c r="AR284" s="20" t="n">
        <f aca="false">AI284/H284</f>
        <v>12450.88</v>
      </c>
      <c r="AS284" s="20" t="n">
        <f aca="false">MAX(0,AL284+AN284+AO284+AM284-AP284)</f>
        <v>26141.9217023125</v>
      </c>
      <c r="AT284" s="20" t="n">
        <f aca="false">MAX(0,AQ284+AR284)</f>
        <v>12450.88</v>
      </c>
      <c r="AU284" s="20" t="n">
        <f aca="false">MIN(PR_PAYE,PR_PAYEcap*(AL284+AN284+AM284))</f>
        <v>2000</v>
      </c>
      <c r="AV284" s="20" t="n">
        <f aca="false">MIN(PR_PAYE,PR_PAYEcap*(AQ284+AR284))</f>
        <v>2000</v>
      </c>
      <c r="AW284" s="20" t="n">
        <f aca="false">IF(C284&gt;=PR_AgeCrAge,PR_AgeCr,0)</f>
        <v>245</v>
      </c>
      <c r="AX284" s="20" t="n">
        <f aca="false">IF(AG284&gt;=PR_AgeCrAge,PR_AgeCr,0)</f>
        <v>245</v>
      </c>
      <c r="AY284" s="20" t="n">
        <f aca="false">IF(AND(F_RentCred=1,D284&lt;=PR_RentLast),1,0)</f>
        <v>0</v>
      </c>
      <c r="AZ284" s="20" t="n">
        <f aca="false">AS284+AT284</f>
        <v>38592.8017023125</v>
      </c>
      <c r="BA284" s="20" t="n">
        <f aca="false">PR_PersonalM+AU284+AV284+AW284+AX284+IF(AY284=1,PR_RentJoint,0)</f>
        <v>8490</v>
      </c>
      <c r="BB284" s="20" t="n">
        <f aca="false">PR_BandM+MIN(MIN(AS284,AT284),PR_Uplift)</f>
        <v>65450.88</v>
      </c>
      <c r="BC284" s="20" t="n">
        <f aca="false">MAX(0,PR_r1*MIN(AZ284,BB284)+PR_r2*MAX(0,AZ284-BB284)-BA284)</f>
        <v>0</v>
      </c>
      <c r="BD284" s="20" t="n">
        <f aca="false">MAX(0,PR_HomeCarer-MAX(0,MIN(AS284,AT284)-PR_HCLimit)/2)</f>
        <v>0</v>
      </c>
      <c r="BE284" s="20" t="n">
        <f aca="false">IF(F_Carer=1,MIN(BC284,MAX(0,PR_r1*MIN(AZ284,PR_BandM)+PR_r2*MAX(0,AZ284-PR_BandM)-BA284-BD284)),BC284)</f>
        <v>0</v>
      </c>
      <c r="BF284" s="20" t="n">
        <f aca="false">IF(OR(C284&gt;=PR_AgeCrAge,AG284&gt;=PR_AgeCrAge),IF(AZ284&lt;=PR_AgeExM,0,MIN(BE284,PR_AgeMarg*(AZ284-PR_AgeExM))),BE284)</f>
        <v>0</v>
      </c>
      <c r="BG284" s="20" t="n">
        <f aca="false">MAX(0,PR_r1*MIN(AS284,IF(F_Spccc=1,PR_BandSPCCC,PR_Band))+PR_r2*MAX(0,AS284-IF(F_Spccc=1,PR_BandSPCCC,PR_Band))-(PR_Personal+AU284+AW284+IF(F_Spccc=1,PR_SPCCC,0)+IF(AY284=1,PR_Rent,0)))</f>
        <v>983.384340462508</v>
      </c>
      <c r="BH284" s="20" t="n">
        <f aca="false">IF(C284&gt;=PR_AgeCrAge,IF(AS284&lt;=PR_AgeEx,0,MIN(BG284,PR_AgeMarg*(AS284-PR_AgeEx))),BG284)</f>
        <v>983.384340462508</v>
      </c>
      <c r="BI284" s="20" t="n">
        <f aca="false">IF(F_Partner=1,MAX(0,PR_r1*MIN(AT284,PR_Band)+PR_r2*MAX(0,AT284-PR_Band)-(PR_Personal+AV284+AX284+IF(AND(AY284=1,AT284&gt;0),PR_Rent,0))),0)</f>
        <v>0</v>
      </c>
      <c r="BJ284" s="20" t="n">
        <f aca="false">IF(AG284&gt;=PR_AgeCrAge,IF(AT284&lt;=PR_AgeEx,0,MIN(BI284,PR_AgeMarg*(AT284-PR_AgeEx))),BI284)</f>
        <v>0</v>
      </c>
      <c r="BK284" s="20" t="n">
        <f aca="false">IF(F_Partner=1,IF(F_Married=1,BF284,BH284+BJ284),BH284)</f>
        <v>983.384340462508</v>
      </c>
      <c r="BL284" s="20" t="n">
        <f aca="false">AL284+AN284+AO284</f>
        <v>10058.3217023125</v>
      </c>
      <c r="BM284" s="20"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20" t="n">
        <f aca="false">AQ284</f>
        <v>0</v>
      </c>
      <c r="BO284" s="20"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20" t="n">
        <f aca="false">IF(C284&lt;PR_PRSIend,IF(F_SelfEmp=1,IF(AL284&gt;PR_PRSIsMinInc,MAX(PR_PRSIsMin,AL284*J284),0),IF(AL284/52&lt;=PR_PRSIfree,0,MAX(0,(AL284/52*J284-IF(AL284/52&lt;=PR_PRSIcreditTo,MAX(0,PR_PRSIcreditMax-(AL284/52-(PR_PRSIfree+0.01))/PR_PRSItaper),0))*52)))+J284*AN284+IF(AO284&gt;PR_PRSIunearned,J284*AO284,0),0)+IF(AND(PRSI_ARF_Applies=1,AN284&gt;0,C284&gt;=PR_PRSIend,C284&lt;PRSI_ARF_ToAge,NOT(AK284&gt;0)),J284*AN284,0)</f>
        <v>0</v>
      </c>
      <c r="BQ284" s="20" t="n">
        <f aca="false">IF(AND(F_Partner=1,AG284&lt;PR_PRSIend),IF(AQ284/52&lt;=PR_PRSIfree,0,MAX(0,(AQ284/52*J284-IF(AQ284/52&lt;=PR_PRSIcreditTo,MAX(0,PR_PRSIcreditMax-(AQ284/52-(PR_PRSIfree+0.01))/PR_PRSItaper),0))*52)),0)</f>
        <v>0</v>
      </c>
      <c r="BR284" s="20" t="n">
        <f aca="false">BK284+BM284+BO284+BP284+BQ284</f>
        <v>983.384340462508</v>
      </c>
      <c r="BS284" s="20" t="n">
        <f aca="false">BR284*H284</f>
        <v>2646.86551876733</v>
      </c>
      <c r="BT284" s="20" t="n">
        <f aca="false">K284+AK284+AC284+AF284+AH284+AI284</f>
        <v>103875.923070356</v>
      </c>
    </row>
    <row r="285" customFormat="false" ht="15" hidden="false" customHeight="true" outlineLevel="0" collapsed="false">
      <c r="B285" s="20" t="n">
        <v>51</v>
      </c>
      <c r="C285" s="20" t="n">
        <f aca="false">F_Age+B285</f>
        <v>89</v>
      </c>
      <c r="D285" s="20" t="n">
        <f aca="false">AS_Year0+B285</f>
        <v>2077</v>
      </c>
      <c r="E285" s="50" t="n">
        <f aca="false">(1+AS_Infl)^B285</f>
        <v>2.74541978965508</v>
      </c>
      <c r="F285" s="50" t="n">
        <f aca="false">(1+AS_Wage)^B285</f>
        <v>4.51542319926831</v>
      </c>
      <c r="G285" s="20" t="n">
        <f aca="false">IF(C285&lt;F_R,1,0)</f>
        <v>0</v>
      </c>
      <c r="H285" s="50" t="n">
        <f aca="false">IF(AS_Bands="flat",1,E285)</f>
        <v>2.74541978965508</v>
      </c>
      <c r="I285" s="50" t="n">
        <f aca="false">IF(AS_SpGrow="pay",F285,IF(AS_SpGrow="flat",1,E285))</f>
        <v>2.74541978965508</v>
      </c>
      <c r="J285" s="50" t="n">
        <f aca="false">(12*PR_PRSIr0+(PR_PRSIr1-PR_PRSIr0)*MAX(0,MIN(12,D285*12+12-PR_PRSIt1))+(PR_PRSIr2-PR_PRSIr1)*MAX(0,MIN(12,D285*12+12-PR_PRSIt2))+(PR_PRSIr3-PR_PRSIr2)*MAX(0,MIN(12,D285*12+12-PR_PRSIt3)))/12</f>
        <v>0.047</v>
      </c>
      <c r="K285" s="20" t="n">
        <f aca="false">IF(G285=1,F_Income*F285,0)</f>
        <v>0</v>
      </c>
      <c r="L285" s="20" t="n">
        <f aca="false">IF(G285=1,(F_Own+In_penExtra)*12*F285,0)</f>
        <v>0</v>
      </c>
      <c r="M285" s="20" t="n">
        <f aca="false">IF(G285=1,(F_PenM+In_penExtra)*12*F285,0)</f>
        <v>0</v>
      </c>
      <c r="N285" s="51" t="n">
        <f aca="false">IF(C285&lt;PR_RelA1,PR_RelP1,IF(C285&lt;PR_RelA2,PR_RelP2,IF(C285&lt;PR_RelA3,PR_RelP3,IF(C285&lt;PR_RelA4,PR_RelP4,IF(C285&lt;PR_RelA5,PR_RelP5,PR_RelP6)))))</f>
        <v>0.4</v>
      </c>
      <c r="O285" s="20" t="n">
        <f aca="false">IF(G285=1,MIN(L285/H285,N285*MIN(K285/H285,PR_EarnCap))*H285,0)</f>
        <v>0</v>
      </c>
      <c r="P285" s="20" t="n">
        <f aca="false">IF(AND(G285=1,F_AE=1),MIN(K285/H285,PR_AEcap)*H285,0)</f>
        <v>0</v>
      </c>
      <c r="Q285" s="20" t="n">
        <f aca="false">IF(G285=1,IF(WI_Retire=1,MAX(0,M285+WI_M*12),M285)+(PR_AEee+PR_AEer+PR_AEst)*P285,0)</f>
        <v>0</v>
      </c>
      <c r="R285" s="20" t="n">
        <f aca="false">L285+PR_AEee*P285</f>
        <v>0</v>
      </c>
      <c r="S285" s="20" t="n">
        <f aca="false">AD284</f>
        <v>195479.573257787</v>
      </c>
      <c r="T285" s="20" t="n">
        <f aca="false">IF(D285&lt;=PR_SFTfrom,PR_SFT2026,IF(D285=PR_SFTfrom+1,PR_SFT2027,IF(D285=PR_SFTfrom+2,PR_SFT2028,IF(D285&lt;=PR_SFTto,PR_SFT2029,PR_SFT2029*(1+AS_Infl)^(D285-PR_SFTto)))))</f>
        <v>7243797.07939841</v>
      </c>
      <c r="U285" s="20" t="n">
        <f aca="false">IF(AND(G285=0,C285=F_V),1,0)</f>
        <v>0</v>
      </c>
      <c r="V285" s="20" t="n">
        <f aca="false">IF(U285=1,PR_SFTrate*MAX(0,S285-T285),0)</f>
        <v>0</v>
      </c>
      <c r="W285" s="20" t="n">
        <f aca="false">S285-V285</f>
        <v>195479.573257787</v>
      </c>
      <c r="X285" s="20" t="n">
        <f aca="false">IF(AND(U285=1,AS_LumpPct&gt;0),W285*MIN(AS_LumpPct,PR_LSmax),0)</f>
        <v>0</v>
      </c>
      <c r="Y285" s="20" t="n">
        <f aca="false">X285-(PR_LSrate*MAX(0,MIN(X285,PR_LScap)-PR_LSfree)+PR_r2*MAX(0,X285-PR_LScap))</f>
        <v>0</v>
      </c>
      <c r="Z285" s="20" t="n">
        <f aca="false">W285-X285</f>
        <v>195479.573257787</v>
      </c>
      <c r="AA285" s="51" t="n">
        <f aca="false">IF(C285&gt;=PR_ARFage1,IF(Z285&gt;PR_ARFbig,PR_ARFbigRate,IF(C285&gt;=PR_ARFage2,PR_ARF71,PR_ARF61)),0)</f>
        <v>0.05</v>
      </c>
      <c r="AB285" s="20" t="n">
        <f aca="false">IF(AS_DrawRule="min",Z285*AA285,IF(AS_DrawRule="fixed",MAX(AS_DrawFixed*E285,Z285*AA285),Z285*MAX(1/MAX(1,AS_End-C285+1),AA285)))</f>
        <v>27925.6533225409</v>
      </c>
      <c r="AC285" s="20" t="n">
        <f aca="false">IF(AND(G285=0,C285&gt;=F_V),MIN(Z285,AB285),0)</f>
        <v>27925.6533225409</v>
      </c>
      <c r="AD285" s="20" t="n">
        <f aca="false">IF(G285=1,S285*(1+F_PenG)+Q285,IF(C285&lt;F_V,S285*(1+F_PenG),(Z285-AC285)*(1+AS_PenRet)))</f>
        <v>172831.868413206</v>
      </c>
      <c r="AE285" s="20" t="n">
        <f aca="false">IF(C285&gt;=PR_SPage,AS_SP*F_SpF*I285+IF(AND(C285&gt;=PR_Over80Age,F_SpF&gt;0),PR_Over80*PR_Weeks*I285,0),0)</f>
        <v>44156.2337288965</v>
      </c>
      <c r="AF285" s="20" t="n">
        <f aca="false">(F_OtherM+F_RentM)*12*E285+IF(AND(In_polInc&gt;0,In_polIncAge&gt;0,C285&gt;=In_polIncAge),In_polInc,0)</f>
        <v>0</v>
      </c>
      <c r="AG285" s="20" t="n">
        <f aca="false">F_PAge+B285</f>
        <v>88</v>
      </c>
      <c r="AH285" s="20" t="n">
        <f aca="false">IF(AND(F_Partner=1,F_PAge&gt;0,AG285&lt;IF(F_PRet&gt;0,F_PRet,PR_SPage)),F_PIncome*F285,0)</f>
        <v>0</v>
      </c>
      <c r="AI285" s="20" t="n">
        <f aca="false">IF(AND(F_Partner=1,AG285&gt;=PR_SPage,F_PSpQA=0),AS_SP*F_PSpF*I285,0)</f>
        <v>34182.8923506206</v>
      </c>
      <c r="AJ285" s="20" t="n">
        <f aca="false">IF(AND(F_Partner=1,F_PSpQA=1,C285&gt;=PR_SPage,AH285=0),IF(AG285&gt;=PR_SPage,PR_QA66,PR_QAunder)*PR_Weeks*I285,0)</f>
        <v>0</v>
      </c>
      <c r="AK285" s="20" t="n">
        <f aca="false">AE285+AJ285</f>
        <v>44156.2337288965</v>
      </c>
      <c r="AL285" s="20" t="n">
        <f aca="false">K285/H285</f>
        <v>0</v>
      </c>
      <c r="AM285" s="20" t="n">
        <f aca="false">AK285/H285</f>
        <v>16083.6</v>
      </c>
      <c r="AN285" s="20" t="n">
        <f aca="false">AC285/H285</f>
        <v>10171.7243489563</v>
      </c>
      <c r="AO285" s="20" t="n">
        <f aca="false">AF285/H285</f>
        <v>0</v>
      </c>
      <c r="AP285" s="20" t="n">
        <f aca="false">O285/H285</f>
        <v>0</v>
      </c>
      <c r="AQ285" s="20" t="n">
        <f aca="false">AH285/H285</f>
        <v>0</v>
      </c>
      <c r="AR285" s="20" t="n">
        <f aca="false">AI285/H285</f>
        <v>12450.88</v>
      </c>
      <c r="AS285" s="20" t="n">
        <f aca="false">MAX(0,AL285+AN285+AO285+AM285-AP285)</f>
        <v>26255.3243489563</v>
      </c>
      <c r="AT285" s="20" t="n">
        <f aca="false">MAX(0,AQ285+AR285)</f>
        <v>12450.88</v>
      </c>
      <c r="AU285" s="20" t="n">
        <f aca="false">MIN(PR_PAYE,PR_PAYEcap*(AL285+AN285+AM285))</f>
        <v>2000</v>
      </c>
      <c r="AV285" s="20" t="n">
        <f aca="false">MIN(PR_PAYE,PR_PAYEcap*(AQ285+AR285))</f>
        <v>2000</v>
      </c>
      <c r="AW285" s="20" t="n">
        <f aca="false">IF(C285&gt;=PR_AgeCrAge,PR_AgeCr,0)</f>
        <v>245</v>
      </c>
      <c r="AX285" s="20" t="n">
        <f aca="false">IF(AG285&gt;=PR_AgeCrAge,PR_AgeCr,0)</f>
        <v>245</v>
      </c>
      <c r="AY285" s="20" t="n">
        <f aca="false">IF(AND(F_RentCred=1,D285&lt;=PR_RentLast),1,0)</f>
        <v>0</v>
      </c>
      <c r="AZ285" s="20" t="n">
        <f aca="false">AS285+AT285</f>
        <v>38706.2043489563</v>
      </c>
      <c r="BA285" s="20" t="n">
        <f aca="false">PR_PersonalM+AU285+AV285+AW285+AX285+IF(AY285=1,PR_RentJoint,0)</f>
        <v>8490</v>
      </c>
      <c r="BB285" s="20" t="n">
        <f aca="false">PR_BandM+MIN(MIN(AS285,AT285),PR_Uplift)</f>
        <v>65450.88</v>
      </c>
      <c r="BC285" s="20" t="n">
        <f aca="false">MAX(0,PR_r1*MIN(AZ285,BB285)+PR_r2*MAX(0,AZ285-BB285)-BA285)</f>
        <v>0</v>
      </c>
      <c r="BD285" s="20" t="n">
        <f aca="false">MAX(0,PR_HomeCarer-MAX(0,MIN(AS285,AT285)-PR_HCLimit)/2)</f>
        <v>0</v>
      </c>
      <c r="BE285" s="20" t="n">
        <f aca="false">IF(F_Carer=1,MIN(BC285,MAX(0,PR_r1*MIN(AZ285,PR_BandM)+PR_r2*MAX(0,AZ285-PR_BandM)-BA285-BD285)),BC285)</f>
        <v>0</v>
      </c>
      <c r="BF285" s="20" t="n">
        <f aca="false">IF(OR(C285&gt;=PR_AgeCrAge,AG285&gt;=PR_AgeCrAge),IF(AZ285&lt;=PR_AgeExM,0,MIN(BE285,PR_AgeMarg*(AZ285-PR_AgeExM))),BE285)</f>
        <v>0</v>
      </c>
      <c r="BG285" s="20" t="n">
        <f aca="false">MAX(0,PR_r1*MIN(AS285,IF(F_Spccc=1,PR_BandSPCCC,PR_Band))+PR_r2*MAX(0,AS285-IF(F_Spccc=1,PR_BandSPCCC,PR_Band))-(PR_Personal+AU285+AW285+IF(F_Spccc=1,PR_SPCCC,0)+IF(AY285=1,PR_Rent,0)))</f>
        <v>1006.06486979125</v>
      </c>
      <c r="BH285" s="20" t="n">
        <f aca="false">IF(C285&gt;=PR_AgeCrAge,IF(AS285&lt;=PR_AgeEx,0,MIN(BG285,PR_AgeMarg*(AS285-PR_AgeEx))),BG285)</f>
        <v>1006.06486979125</v>
      </c>
      <c r="BI285" s="20" t="n">
        <f aca="false">IF(F_Partner=1,MAX(0,PR_r1*MIN(AT285,PR_Band)+PR_r2*MAX(0,AT285-PR_Band)-(PR_Personal+AV285+AX285+IF(AND(AY285=1,AT285&gt;0),PR_Rent,0))),0)</f>
        <v>0</v>
      </c>
      <c r="BJ285" s="20" t="n">
        <f aca="false">IF(AG285&gt;=PR_AgeCrAge,IF(AT285&lt;=PR_AgeEx,0,MIN(BI285,PR_AgeMarg*(AT285-PR_AgeEx))),BI285)</f>
        <v>0</v>
      </c>
      <c r="BK285" s="20" t="n">
        <f aca="false">IF(F_Partner=1,IF(F_Married=1,BF285,BH285+BJ285),BH285)</f>
        <v>1006.06486979125</v>
      </c>
      <c r="BL285" s="20" t="n">
        <f aca="false">AL285+AN285+AO285</f>
        <v>10171.7243489563</v>
      </c>
      <c r="BM285" s="20"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20" t="n">
        <f aca="false">AQ285</f>
        <v>0</v>
      </c>
      <c r="BO285" s="20"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20" t="n">
        <f aca="false">IF(C285&lt;PR_PRSIend,IF(F_SelfEmp=1,IF(AL285&gt;PR_PRSIsMinInc,MAX(PR_PRSIsMin,AL285*J285),0),IF(AL285/52&lt;=PR_PRSIfree,0,MAX(0,(AL285/52*J285-IF(AL285/52&lt;=PR_PRSIcreditTo,MAX(0,PR_PRSIcreditMax-(AL285/52-(PR_PRSIfree+0.01))/PR_PRSItaper),0))*52)))+J285*AN285+IF(AO285&gt;PR_PRSIunearned,J285*AO285,0),0)+IF(AND(PRSI_ARF_Applies=1,AN285&gt;0,C285&gt;=PR_PRSIend,C285&lt;PRSI_ARF_ToAge,NOT(AK285&gt;0)),J285*AN285,0)</f>
        <v>0</v>
      </c>
      <c r="BQ285" s="20" t="n">
        <f aca="false">IF(AND(F_Partner=1,AG285&lt;PR_PRSIend),IF(AQ285/52&lt;=PR_PRSIfree,0,MAX(0,(AQ285/52*J285-IF(AQ285/52&lt;=PR_PRSIcreditTo,MAX(0,PR_PRSIcreditMax-(AQ285/52-(PR_PRSIfree+0.01))/PR_PRSItaper),0))*52)),0)</f>
        <v>0</v>
      </c>
      <c r="BR285" s="20" t="n">
        <f aca="false">BK285+BM285+BO285+BP285+BQ285</f>
        <v>1006.06486979125</v>
      </c>
      <c r="BS285" s="20" t="n">
        <f aca="false">BR285*H285</f>
        <v>2762.07040320166</v>
      </c>
      <c r="BT285" s="20" t="n">
        <f aca="false">K285+AK285+AC285+AF285+AH285+AI285</f>
        <v>106264.779402058</v>
      </c>
    </row>
    <row r="286" customFormat="false" ht="15" hidden="false" customHeight="true" outlineLevel="0" collapsed="false">
      <c r="B286" s="20" t="n">
        <v>52</v>
      </c>
      <c r="C286" s="20" t="n">
        <f aca="false">F_Age+B286</f>
        <v>90</v>
      </c>
      <c r="D286" s="20" t="n">
        <f aca="false">AS_Year0+B286</f>
        <v>2078</v>
      </c>
      <c r="E286" s="50" t="n">
        <f aca="false">(1+AS_Infl)^B286</f>
        <v>2.80032818544818</v>
      </c>
      <c r="F286" s="50" t="n">
        <f aca="false">(1+AS_Wage)^B286</f>
        <v>4.65088589524636</v>
      </c>
      <c r="G286" s="20" t="n">
        <f aca="false">IF(C286&lt;F_R,1,0)</f>
        <v>0</v>
      </c>
      <c r="H286" s="50" t="n">
        <f aca="false">IF(AS_Bands="flat",1,E286)</f>
        <v>2.80032818544818</v>
      </c>
      <c r="I286" s="50" t="n">
        <f aca="false">IF(AS_SpGrow="pay",F286,IF(AS_SpGrow="flat",1,E286))</f>
        <v>2.80032818544818</v>
      </c>
      <c r="J286" s="50" t="n">
        <f aca="false">(12*PR_PRSIr0+(PR_PRSIr1-PR_PRSIr0)*MAX(0,MIN(12,D286*12+12-PR_PRSIt1))+(PR_PRSIr2-PR_PRSIr1)*MAX(0,MIN(12,D286*12+12-PR_PRSIt2))+(PR_PRSIr3-PR_PRSIr2)*MAX(0,MIN(12,D286*12+12-PR_PRSIt3)))/12</f>
        <v>0.047</v>
      </c>
      <c r="K286" s="20" t="n">
        <f aca="false">IF(G286=1,F_Income*F286,0)</f>
        <v>0</v>
      </c>
      <c r="L286" s="20" t="n">
        <f aca="false">IF(G286=1,(F_Own+In_penExtra)*12*F286,0)</f>
        <v>0</v>
      </c>
      <c r="M286" s="20" t="n">
        <f aca="false">IF(G286=1,(F_PenM+In_penExtra)*12*F286,0)</f>
        <v>0</v>
      </c>
      <c r="N286" s="51" t="n">
        <f aca="false">IF(C286&lt;PR_RelA1,PR_RelP1,IF(C286&lt;PR_RelA2,PR_RelP2,IF(C286&lt;PR_RelA3,PR_RelP3,IF(C286&lt;PR_RelA4,PR_RelP4,IF(C286&lt;PR_RelA5,PR_RelP5,PR_RelP6)))))</f>
        <v>0.4</v>
      </c>
      <c r="O286" s="20" t="n">
        <f aca="false">IF(G286=1,MIN(L286/H286,N286*MIN(K286/H286,PR_EarnCap))*H286,0)</f>
        <v>0</v>
      </c>
      <c r="P286" s="20" t="n">
        <f aca="false">IF(AND(G286=1,F_AE=1),MIN(K286/H286,PR_AEcap)*H286,0)</f>
        <v>0</v>
      </c>
      <c r="Q286" s="20" t="n">
        <f aca="false">IF(G286=1,IF(WI_Retire=1,MAX(0,M286+WI_M*12),M286)+(PR_AEee+PR_AEer+PR_AEst)*P286,0)</f>
        <v>0</v>
      </c>
      <c r="R286" s="20" t="n">
        <f aca="false">L286+PR_AEee*P286</f>
        <v>0</v>
      </c>
      <c r="S286" s="20" t="n">
        <f aca="false">AD285</f>
        <v>172831.868413206</v>
      </c>
      <c r="T286" s="20" t="n">
        <f aca="false">IF(D286&lt;=PR_SFTfrom,PR_SFT2026,IF(D286=PR_SFTfrom+1,PR_SFT2027,IF(D286=PR_SFTfrom+2,PR_SFT2028,IF(D286&lt;=PR_SFTto,PR_SFT2029,PR_SFT2029*(1+AS_Infl)^(D286-PR_SFTto)))))</f>
        <v>7388673.02098637</v>
      </c>
      <c r="U286" s="20" t="n">
        <f aca="false">IF(AND(G286=0,C286=F_V),1,0)</f>
        <v>0</v>
      </c>
      <c r="V286" s="20" t="n">
        <f aca="false">IF(U286=1,PR_SFTrate*MAX(0,S286-T286),0)</f>
        <v>0</v>
      </c>
      <c r="W286" s="20" t="n">
        <f aca="false">S286-V286</f>
        <v>172831.868413206</v>
      </c>
      <c r="X286" s="20" t="n">
        <f aca="false">IF(AND(U286=1,AS_LumpPct&gt;0),W286*MIN(AS_LumpPct,PR_LSmax),0)</f>
        <v>0</v>
      </c>
      <c r="Y286" s="20" t="n">
        <f aca="false">X286-(PR_LSrate*MAX(0,MIN(X286,PR_LScap)-PR_LSfree)+PR_r2*MAX(0,X286-PR_LScap))</f>
        <v>0</v>
      </c>
      <c r="Z286" s="20" t="n">
        <f aca="false">W286-X286</f>
        <v>172831.868413206</v>
      </c>
      <c r="AA286" s="51" t="n">
        <f aca="false">IF(C286&gt;=PR_ARFage1,IF(Z286&gt;PR_ARFbig,PR_ARFbigRate,IF(C286&gt;=PR_ARFage2,PR_ARF71,PR_ARF61)),0)</f>
        <v>0.05</v>
      </c>
      <c r="AB286" s="20" t="n">
        <f aca="false">IF(AS_DrawRule="min",Z286*AA286,IF(AS_DrawRule="fixed",MAX(AS_DrawFixed*E286,Z286*AA286),Z286*MAX(1/MAX(1,AS_End-C286+1),AA286)))</f>
        <v>28805.311402201</v>
      </c>
      <c r="AC286" s="20" t="n">
        <f aca="false">IF(AND(G286=0,C286&gt;=F_V),MIN(Z286,AB286),0)</f>
        <v>28805.311402201</v>
      </c>
      <c r="AD286" s="20" t="n">
        <f aca="false">IF(G286=1,S286*(1+F_PenG)+Q286,IF(C286&lt;F_V,S286*(1+F_PenG),(Z286-AC286)*(1+AS_PenRet)))</f>
        <v>148563.393556852</v>
      </c>
      <c r="AE286" s="20" t="n">
        <f aca="false">IF(C286&gt;=PR_SPage,AS_SP*F_SpF*I286+IF(AND(C286&gt;=PR_Over80Age,F_SpF&gt;0),PR_Over80*PR_Weeks*I286,0),0)</f>
        <v>45039.3584034744</v>
      </c>
      <c r="AF286" s="20" t="n">
        <f aca="false">(F_OtherM+F_RentM)*12*E286+IF(AND(In_polInc&gt;0,In_polIncAge&gt;0,C286&gt;=In_polIncAge),In_polInc,0)</f>
        <v>0</v>
      </c>
      <c r="AG286" s="20" t="n">
        <f aca="false">F_PAge+B286</f>
        <v>89</v>
      </c>
      <c r="AH286" s="20" t="n">
        <f aca="false">IF(AND(F_Partner=1,F_PAge&gt;0,AG286&lt;IF(F_PRet&gt;0,F_PRet,PR_SPage)),F_PIncome*F286,0)</f>
        <v>0</v>
      </c>
      <c r="AI286" s="20" t="n">
        <f aca="false">IF(AND(F_Partner=1,AG286&gt;=PR_SPage,F_PSpQA=0),AS_SP*F_PSpF*I286,0)</f>
        <v>34866.5501976331</v>
      </c>
      <c r="AJ286" s="20" t="n">
        <f aca="false">IF(AND(F_Partner=1,F_PSpQA=1,C286&gt;=PR_SPage,AH286=0),IF(AG286&gt;=PR_SPage,PR_QA66,PR_QAunder)*PR_Weeks*I286,0)</f>
        <v>0</v>
      </c>
      <c r="AK286" s="20" t="n">
        <f aca="false">AE286+AJ286</f>
        <v>45039.3584034744</v>
      </c>
      <c r="AL286" s="20" t="n">
        <f aca="false">K286/H286</f>
        <v>0</v>
      </c>
      <c r="AM286" s="20" t="n">
        <f aca="false">AK286/H286</f>
        <v>16083.6</v>
      </c>
      <c r="AN286" s="20" t="n">
        <f aca="false">AC286/H286</f>
        <v>10286.4055548514</v>
      </c>
      <c r="AO286" s="20" t="n">
        <f aca="false">AF286/H286</f>
        <v>0</v>
      </c>
      <c r="AP286" s="20" t="n">
        <f aca="false">O286/H286</f>
        <v>0</v>
      </c>
      <c r="AQ286" s="20" t="n">
        <f aca="false">AH286/H286</f>
        <v>0</v>
      </c>
      <c r="AR286" s="20" t="n">
        <f aca="false">AI286/H286</f>
        <v>12450.88</v>
      </c>
      <c r="AS286" s="20" t="n">
        <f aca="false">MAX(0,AL286+AN286+AO286+AM286-AP286)</f>
        <v>26370.0055548514</v>
      </c>
      <c r="AT286" s="20" t="n">
        <f aca="false">MAX(0,AQ286+AR286)</f>
        <v>12450.88</v>
      </c>
      <c r="AU286" s="20" t="n">
        <f aca="false">MIN(PR_PAYE,PR_PAYEcap*(AL286+AN286+AM286))</f>
        <v>2000</v>
      </c>
      <c r="AV286" s="20" t="n">
        <f aca="false">MIN(PR_PAYE,PR_PAYEcap*(AQ286+AR286))</f>
        <v>2000</v>
      </c>
      <c r="AW286" s="20" t="n">
        <f aca="false">IF(C286&gt;=PR_AgeCrAge,PR_AgeCr,0)</f>
        <v>245</v>
      </c>
      <c r="AX286" s="20" t="n">
        <f aca="false">IF(AG286&gt;=PR_AgeCrAge,PR_AgeCr,0)</f>
        <v>245</v>
      </c>
      <c r="AY286" s="20" t="n">
        <f aca="false">IF(AND(F_RentCred=1,D286&lt;=PR_RentLast),1,0)</f>
        <v>0</v>
      </c>
      <c r="AZ286" s="20" t="n">
        <f aca="false">AS286+AT286</f>
        <v>38820.8855548514</v>
      </c>
      <c r="BA286" s="20" t="n">
        <f aca="false">PR_PersonalM+AU286+AV286+AW286+AX286+IF(AY286=1,PR_RentJoint,0)</f>
        <v>8490</v>
      </c>
      <c r="BB286" s="20" t="n">
        <f aca="false">PR_BandM+MIN(MIN(AS286,AT286),PR_Uplift)</f>
        <v>65450.88</v>
      </c>
      <c r="BC286" s="20" t="n">
        <f aca="false">MAX(0,PR_r1*MIN(AZ286,BB286)+PR_r2*MAX(0,AZ286-BB286)-BA286)</f>
        <v>0</v>
      </c>
      <c r="BD286" s="20" t="n">
        <f aca="false">MAX(0,PR_HomeCarer-MAX(0,MIN(AS286,AT286)-PR_HCLimit)/2)</f>
        <v>0</v>
      </c>
      <c r="BE286" s="20" t="n">
        <f aca="false">IF(F_Carer=1,MIN(BC286,MAX(0,PR_r1*MIN(AZ286,PR_BandM)+PR_r2*MAX(0,AZ286-PR_BandM)-BA286-BD286)),BC286)</f>
        <v>0</v>
      </c>
      <c r="BF286" s="20" t="n">
        <f aca="false">IF(OR(C286&gt;=PR_AgeCrAge,AG286&gt;=PR_AgeCrAge),IF(AZ286&lt;=PR_AgeExM,0,MIN(BE286,PR_AgeMarg*(AZ286-PR_AgeExM))),BE286)</f>
        <v>0</v>
      </c>
      <c r="BG286" s="20" t="n">
        <f aca="false">MAX(0,PR_r1*MIN(AS286,IF(F_Spccc=1,PR_BandSPCCC,PR_Band))+PR_r2*MAX(0,AS286-IF(F_Spccc=1,PR_BandSPCCC,PR_Band))-(PR_Personal+AU286+AW286+IF(F_Spccc=1,PR_SPCCC,0)+IF(AY286=1,PR_Rent,0)))</f>
        <v>1029.00111097027</v>
      </c>
      <c r="BH286" s="20" t="n">
        <f aca="false">IF(C286&gt;=PR_AgeCrAge,IF(AS286&lt;=PR_AgeEx,0,MIN(BG286,PR_AgeMarg*(AS286-PR_AgeEx))),BG286)</f>
        <v>1029.00111097027</v>
      </c>
      <c r="BI286" s="20" t="n">
        <f aca="false">IF(F_Partner=1,MAX(0,PR_r1*MIN(AT286,PR_Band)+PR_r2*MAX(0,AT286-PR_Band)-(PR_Personal+AV286+AX286+IF(AND(AY286=1,AT286&gt;0),PR_Rent,0))),0)</f>
        <v>0</v>
      </c>
      <c r="BJ286" s="20" t="n">
        <f aca="false">IF(AG286&gt;=PR_AgeCrAge,IF(AT286&lt;=PR_AgeEx,0,MIN(BI286,PR_AgeMarg*(AT286-PR_AgeEx))),BI286)</f>
        <v>0</v>
      </c>
      <c r="BK286" s="20" t="n">
        <f aca="false">IF(F_Partner=1,IF(F_Married=1,BF286,BH286+BJ286),BH286)</f>
        <v>1029.00111097027</v>
      </c>
      <c r="BL286" s="20" t="n">
        <f aca="false">AL286+AN286+AO286</f>
        <v>10286.4055548514</v>
      </c>
      <c r="BM286" s="20"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20" t="n">
        <f aca="false">AQ286</f>
        <v>0</v>
      </c>
      <c r="BO286" s="20"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20" t="n">
        <f aca="false">IF(C286&lt;PR_PRSIend,IF(F_SelfEmp=1,IF(AL286&gt;PR_PRSIsMinInc,MAX(PR_PRSIsMin,AL286*J286),0),IF(AL286/52&lt;=PR_PRSIfree,0,MAX(0,(AL286/52*J286-IF(AL286/52&lt;=PR_PRSIcreditTo,MAX(0,PR_PRSIcreditMax-(AL286/52-(PR_PRSIfree+0.01))/PR_PRSItaper),0))*52)))+J286*AN286+IF(AO286&gt;PR_PRSIunearned,J286*AO286,0),0)+IF(AND(PRSI_ARF_Applies=1,AN286&gt;0,C286&gt;=PR_PRSIend,C286&lt;PRSI_ARF_ToAge,NOT(AK286&gt;0)),J286*AN286,0)</f>
        <v>0</v>
      </c>
      <c r="BQ286" s="20" t="n">
        <f aca="false">IF(AND(F_Partner=1,AG286&lt;PR_PRSIend),IF(AQ286/52&lt;=PR_PRSIfree,0,MAX(0,(AQ286/52*J286-IF(AQ286/52&lt;=PR_PRSIcreditTo,MAX(0,PR_PRSIcreditMax-(AQ286/52-(PR_PRSIfree+0.01))/PR_PRSItaper),0))*52)),0)</f>
        <v>0</v>
      </c>
      <c r="BR286" s="20" t="n">
        <f aca="false">BK286+BM286+BO286+BP286+BQ286</f>
        <v>1029.00111097027</v>
      </c>
      <c r="BS286" s="20" t="n">
        <f aca="false">BR286*H286</f>
        <v>2881.54081390754</v>
      </c>
      <c r="BT286" s="20" t="n">
        <f aca="false">K286+AK286+AC286+AF286+AH286+AI286</f>
        <v>108711.220003308</v>
      </c>
    </row>
    <row r="287" customFormat="false" ht="15" hidden="false" customHeight="true" outlineLevel="0" collapsed="false">
      <c r="B287" s="20" t="n">
        <v>53</v>
      </c>
      <c r="C287" s="20" t="n">
        <f aca="false">F_Age+B287</f>
        <v>91</v>
      </c>
      <c r="D287" s="20" t="n">
        <f aca="false">AS_Year0+B287</f>
        <v>2079</v>
      </c>
      <c r="E287" s="50" t="n">
        <f aca="false">(1+AS_Infl)^B287</f>
        <v>2.85633474915715</v>
      </c>
      <c r="F287" s="50" t="n">
        <f aca="false">(1+AS_Wage)^B287</f>
        <v>4.79041247210375</v>
      </c>
      <c r="G287" s="20" t="n">
        <f aca="false">IF(C287&lt;F_R,1,0)</f>
        <v>0</v>
      </c>
      <c r="H287" s="50" t="n">
        <f aca="false">IF(AS_Bands="flat",1,E287)</f>
        <v>2.85633474915715</v>
      </c>
      <c r="I287" s="50" t="n">
        <f aca="false">IF(AS_SpGrow="pay",F287,IF(AS_SpGrow="flat",1,E287))</f>
        <v>2.85633474915715</v>
      </c>
      <c r="J287" s="50" t="n">
        <f aca="false">(12*PR_PRSIr0+(PR_PRSIr1-PR_PRSIr0)*MAX(0,MIN(12,D287*12+12-PR_PRSIt1))+(PR_PRSIr2-PR_PRSIr1)*MAX(0,MIN(12,D287*12+12-PR_PRSIt2))+(PR_PRSIr3-PR_PRSIr2)*MAX(0,MIN(12,D287*12+12-PR_PRSIt3)))/12</f>
        <v>0.047</v>
      </c>
      <c r="K287" s="20" t="n">
        <f aca="false">IF(G287=1,F_Income*F287,0)</f>
        <v>0</v>
      </c>
      <c r="L287" s="20" t="n">
        <f aca="false">IF(G287=1,(F_Own+In_penExtra)*12*F287,0)</f>
        <v>0</v>
      </c>
      <c r="M287" s="20" t="n">
        <f aca="false">IF(G287=1,(F_PenM+In_penExtra)*12*F287,0)</f>
        <v>0</v>
      </c>
      <c r="N287" s="51" t="n">
        <f aca="false">IF(C287&lt;PR_RelA1,PR_RelP1,IF(C287&lt;PR_RelA2,PR_RelP2,IF(C287&lt;PR_RelA3,PR_RelP3,IF(C287&lt;PR_RelA4,PR_RelP4,IF(C287&lt;PR_RelA5,PR_RelP5,PR_RelP6)))))</f>
        <v>0.4</v>
      </c>
      <c r="O287" s="20" t="n">
        <f aca="false">IF(G287=1,MIN(L287/H287,N287*MIN(K287/H287,PR_EarnCap))*H287,0)</f>
        <v>0</v>
      </c>
      <c r="P287" s="20" t="n">
        <f aca="false">IF(AND(G287=1,F_AE=1),MIN(K287/H287,PR_AEcap)*H287,0)</f>
        <v>0</v>
      </c>
      <c r="Q287" s="20" t="n">
        <f aca="false">IF(G287=1,IF(WI_Retire=1,MAX(0,M287+WI_M*12),M287)+(PR_AEee+PR_AEer+PR_AEst)*P287,0)</f>
        <v>0</v>
      </c>
      <c r="R287" s="20" t="n">
        <f aca="false">L287+PR_AEee*P287</f>
        <v>0</v>
      </c>
      <c r="S287" s="20" t="n">
        <f aca="false">AD286</f>
        <v>148563.393556852</v>
      </c>
      <c r="T287" s="20" t="n">
        <f aca="false">IF(D287&lt;=PR_SFTfrom,PR_SFT2026,IF(D287=PR_SFTfrom+1,PR_SFT2027,IF(D287=PR_SFTfrom+2,PR_SFT2028,IF(D287&lt;=PR_SFTto,PR_SFT2029,PR_SFT2029*(1+AS_Infl)^(D287-PR_SFTto)))))</f>
        <v>7536446.4814061</v>
      </c>
      <c r="U287" s="20" t="n">
        <f aca="false">IF(AND(G287=0,C287=F_V),1,0)</f>
        <v>0</v>
      </c>
      <c r="V287" s="20" t="n">
        <f aca="false">IF(U287=1,PR_SFTrate*MAX(0,S287-T287),0)</f>
        <v>0</v>
      </c>
      <c r="W287" s="20" t="n">
        <f aca="false">S287-V287</f>
        <v>148563.393556852</v>
      </c>
      <c r="X287" s="20" t="n">
        <f aca="false">IF(AND(U287=1,AS_LumpPct&gt;0),W287*MIN(AS_LumpPct,PR_LSmax),0)</f>
        <v>0</v>
      </c>
      <c r="Y287" s="20" t="n">
        <f aca="false">X287-(PR_LSrate*MAX(0,MIN(X287,PR_LScap)-PR_LSfree)+PR_r2*MAX(0,X287-PR_LScap))</f>
        <v>0</v>
      </c>
      <c r="Z287" s="20" t="n">
        <f aca="false">W287-X287</f>
        <v>148563.393556852</v>
      </c>
      <c r="AA287" s="51" t="n">
        <f aca="false">IF(C287&gt;=PR_ARFage1,IF(Z287&gt;PR_ARFbig,PR_ARFbigRate,IF(C287&gt;=PR_ARFage2,PR_ARF71,PR_ARF61)),0)</f>
        <v>0.05</v>
      </c>
      <c r="AB287" s="20" t="n">
        <f aca="false">IF(AS_DrawRule="min",Z287*AA287,IF(AS_DrawRule="fixed",MAX(AS_DrawFixed*E287,Z287*AA287),Z287*MAX(1/MAX(1,AS_End-C287+1),AA287)))</f>
        <v>29712.6787113703</v>
      </c>
      <c r="AC287" s="20" t="n">
        <f aca="false">IF(AND(G287=0,C287&gt;=F_V),MIN(Z287,AB287),0)</f>
        <v>29712.6787113703</v>
      </c>
      <c r="AD287" s="20" t="n">
        <f aca="false">IF(G287=1,S287*(1+F_PenG)+Q287,IF(C287&lt;F_V,S287*(1+F_PenG),(Z287-AC287)*(1+AS_PenRet)))</f>
        <v>122594.512363114</v>
      </c>
      <c r="AE287" s="20" t="n">
        <f aca="false">IF(C287&gt;=PR_SPage,AS_SP*F_SpF*I287+IF(AND(C287&gt;=PR_Over80Age,F_SpF&gt;0),PR_Over80*PR_Weeks*I287,0),0)</f>
        <v>45940.1455715439</v>
      </c>
      <c r="AF287" s="20" t="n">
        <f aca="false">(F_OtherM+F_RentM)*12*E287+IF(AND(In_polInc&gt;0,In_polIncAge&gt;0,C287&gt;=In_polIncAge),In_polInc,0)</f>
        <v>0</v>
      </c>
      <c r="AG287" s="20" t="n">
        <f aca="false">F_PAge+B287</f>
        <v>90</v>
      </c>
      <c r="AH287" s="20" t="n">
        <f aca="false">IF(AND(F_Partner=1,F_PAge&gt;0,AG287&lt;IF(F_PRet&gt;0,F_PRet,PR_SPage)),F_PIncome*F287,0)</f>
        <v>0</v>
      </c>
      <c r="AI287" s="20" t="n">
        <f aca="false">IF(AND(F_Partner=1,AG287&gt;=PR_SPage,F_PSpQA=0),AS_SP*F_PSpF*I287,0)</f>
        <v>35563.8812015857</v>
      </c>
      <c r="AJ287" s="20" t="n">
        <f aca="false">IF(AND(F_Partner=1,F_PSpQA=1,C287&gt;=PR_SPage,AH287=0),IF(AG287&gt;=PR_SPage,PR_QA66,PR_QAunder)*PR_Weeks*I287,0)</f>
        <v>0</v>
      </c>
      <c r="AK287" s="20" t="n">
        <f aca="false">AE287+AJ287</f>
        <v>45940.1455715439</v>
      </c>
      <c r="AL287" s="20" t="n">
        <f aca="false">K287/H287</f>
        <v>0</v>
      </c>
      <c r="AM287" s="20" t="n">
        <f aca="false">AK287/H287</f>
        <v>16083.6</v>
      </c>
      <c r="AN287" s="20" t="n">
        <f aca="false">AC287/H287</f>
        <v>10402.3797351266</v>
      </c>
      <c r="AO287" s="20" t="n">
        <f aca="false">AF287/H287</f>
        <v>0</v>
      </c>
      <c r="AP287" s="20" t="n">
        <f aca="false">O287/H287</f>
        <v>0</v>
      </c>
      <c r="AQ287" s="20" t="n">
        <f aca="false">AH287/H287</f>
        <v>0</v>
      </c>
      <c r="AR287" s="20" t="n">
        <f aca="false">AI287/H287</f>
        <v>12450.88</v>
      </c>
      <c r="AS287" s="20" t="n">
        <f aca="false">MAX(0,AL287+AN287+AO287+AM287-AP287)</f>
        <v>26485.9797351266</v>
      </c>
      <c r="AT287" s="20" t="n">
        <f aca="false">MAX(0,AQ287+AR287)</f>
        <v>12450.88</v>
      </c>
      <c r="AU287" s="20" t="n">
        <f aca="false">MIN(PR_PAYE,PR_PAYEcap*(AL287+AN287+AM287))</f>
        <v>2000</v>
      </c>
      <c r="AV287" s="20" t="n">
        <f aca="false">MIN(PR_PAYE,PR_PAYEcap*(AQ287+AR287))</f>
        <v>2000</v>
      </c>
      <c r="AW287" s="20" t="n">
        <f aca="false">IF(C287&gt;=PR_AgeCrAge,PR_AgeCr,0)</f>
        <v>245</v>
      </c>
      <c r="AX287" s="20" t="n">
        <f aca="false">IF(AG287&gt;=PR_AgeCrAge,PR_AgeCr,0)</f>
        <v>245</v>
      </c>
      <c r="AY287" s="20" t="n">
        <f aca="false">IF(AND(F_RentCred=1,D287&lt;=PR_RentLast),1,0)</f>
        <v>0</v>
      </c>
      <c r="AZ287" s="20" t="n">
        <f aca="false">AS287+AT287</f>
        <v>38936.8597351266</v>
      </c>
      <c r="BA287" s="20" t="n">
        <f aca="false">PR_PersonalM+AU287+AV287+AW287+AX287+IF(AY287=1,PR_RentJoint,0)</f>
        <v>8490</v>
      </c>
      <c r="BB287" s="20" t="n">
        <f aca="false">PR_BandM+MIN(MIN(AS287,AT287),PR_Uplift)</f>
        <v>65450.88</v>
      </c>
      <c r="BC287" s="20" t="n">
        <f aca="false">MAX(0,PR_r1*MIN(AZ287,BB287)+PR_r2*MAX(0,AZ287-BB287)-BA287)</f>
        <v>0</v>
      </c>
      <c r="BD287" s="20" t="n">
        <f aca="false">MAX(0,PR_HomeCarer-MAX(0,MIN(AS287,AT287)-PR_HCLimit)/2)</f>
        <v>0</v>
      </c>
      <c r="BE287" s="20" t="n">
        <f aca="false">IF(F_Carer=1,MIN(BC287,MAX(0,PR_r1*MIN(AZ287,PR_BandM)+PR_r2*MAX(0,AZ287-PR_BandM)-BA287-BD287)),BC287)</f>
        <v>0</v>
      </c>
      <c r="BF287" s="20" t="n">
        <f aca="false">IF(OR(C287&gt;=PR_AgeCrAge,AG287&gt;=PR_AgeCrAge),IF(AZ287&lt;=PR_AgeExM,0,MIN(BE287,PR_AgeMarg*(AZ287-PR_AgeExM))),BE287)</f>
        <v>0</v>
      </c>
      <c r="BG287" s="20" t="n">
        <f aca="false">MAX(0,PR_r1*MIN(AS287,IF(F_Spccc=1,PR_BandSPCCC,PR_Band))+PR_r2*MAX(0,AS287-IF(F_Spccc=1,PR_BandSPCCC,PR_Band))-(PR_Personal+AU287+AW287+IF(F_Spccc=1,PR_SPCCC,0)+IF(AY287=1,PR_Rent,0)))</f>
        <v>1052.19594702533</v>
      </c>
      <c r="BH287" s="20" t="n">
        <f aca="false">IF(C287&gt;=PR_AgeCrAge,IF(AS287&lt;=PR_AgeEx,0,MIN(BG287,PR_AgeMarg*(AS287-PR_AgeEx))),BG287)</f>
        <v>1052.19594702533</v>
      </c>
      <c r="BI287" s="20" t="n">
        <f aca="false">IF(F_Partner=1,MAX(0,PR_r1*MIN(AT287,PR_Band)+PR_r2*MAX(0,AT287-PR_Band)-(PR_Personal+AV287+AX287+IF(AND(AY287=1,AT287&gt;0),PR_Rent,0))),0)</f>
        <v>0</v>
      </c>
      <c r="BJ287" s="20" t="n">
        <f aca="false">IF(AG287&gt;=PR_AgeCrAge,IF(AT287&lt;=PR_AgeEx,0,MIN(BI287,PR_AgeMarg*(AT287-PR_AgeEx))),BI287)</f>
        <v>0</v>
      </c>
      <c r="BK287" s="20" t="n">
        <f aca="false">IF(F_Partner=1,IF(F_Married=1,BF287,BH287+BJ287),BH287)</f>
        <v>1052.19594702533</v>
      </c>
      <c r="BL287" s="20" t="n">
        <f aca="false">AL287+AN287+AO287</f>
        <v>10402.3797351266</v>
      </c>
      <c r="BM287" s="20"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20" t="n">
        <f aca="false">AQ287</f>
        <v>0</v>
      </c>
      <c r="BO287" s="20"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20" t="n">
        <f aca="false">IF(C287&lt;PR_PRSIend,IF(F_SelfEmp=1,IF(AL287&gt;PR_PRSIsMinInc,MAX(PR_PRSIsMin,AL287*J287),0),IF(AL287/52&lt;=PR_PRSIfree,0,MAX(0,(AL287/52*J287-IF(AL287/52&lt;=PR_PRSIcreditTo,MAX(0,PR_PRSIcreditMax-(AL287/52-(PR_PRSIfree+0.01))/PR_PRSItaper),0))*52)))+J287*AN287+IF(AO287&gt;PR_PRSIunearned,J287*AO287,0),0)+IF(AND(PRSI_ARF_Applies=1,AN287&gt;0,C287&gt;=PR_PRSIend,C287&lt;PRSI_ARF_ToAge,NOT(AK287&gt;0)),J287*AN287,0)</f>
        <v>0</v>
      </c>
      <c r="BQ287" s="20" t="n">
        <f aca="false">IF(AND(F_Partner=1,AG287&lt;PR_PRSIend),IF(AQ287/52&lt;=PR_PRSIfree,0,MAX(0,(AQ287/52*J287-IF(AQ287/52&lt;=PR_PRSIcreditTo,MAX(0,PR_PRSIcreditMax-(AQ287/52-(PR_PRSIfree+0.01))/PR_PRSItaper),0))*52)),0)</f>
        <v>0</v>
      </c>
      <c r="BR287" s="20" t="n">
        <f aca="false">BK287+BM287+BO287+BP287+BQ287</f>
        <v>1052.19594702533</v>
      </c>
      <c r="BS287" s="20" t="n">
        <f aca="false">BR287*H287</f>
        <v>3005.42384641075</v>
      </c>
      <c r="BT287" s="20" t="n">
        <f aca="false">K287+AK287+AC287+AF287+AH287+AI287</f>
        <v>111216.7054845</v>
      </c>
    </row>
    <row r="288" customFormat="false" ht="15" hidden="false" customHeight="true" outlineLevel="0" collapsed="false">
      <c r="B288" s="20" t="n">
        <v>54</v>
      </c>
      <c r="C288" s="20" t="n">
        <f aca="false">F_Age+B288</f>
        <v>92</v>
      </c>
      <c r="D288" s="20" t="n">
        <f aca="false">AS_Year0+B288</f>
        <v>2080</v>
      </c>
      <c r="E288" s="50" t="n">
        <f aca="false">(1+AS_Infl)^B288</f>
        <v>2.91346144414029</v>
      </c>
      <c r="F288" s="50" t="n">
        <f aca="false">(1+AS_Wage)^B288</f>
        <v>4.93412484626686</v>
      </c>
      <c r="G288" s="20" t="n">
        <f aca="false">IF(C288&lt;F_R,1,0)</f>
        <v>0</v>
      </c>
      <c r="H288" s="50" t="n">
        <f aca="false">IF(AS_Bands="flat",1,E288)</f>
        <v>2.91346144414029</v>
      </c>
      <c r="I288" s="50" t="n">
        <f aca="false">IF(AS_SpGrow="pay",F288,IF(AS_SpGrow="flat",1,E288))</f>
        <v>2.91346144414029</v>
      </c>
      <c r="J288" s="50" t="n">
        <f aca="false">(12*PR_PRSIr0+(PR_PRSIr1-PR_PRSIr0)*MAX(0,MIN(12,D288*12+12-PR_PRSIt1))+(PR_PRSIr2-PR_PRSIr1)*MAX(0,MIN(12,D288*12+12-PR_PRSIt2))+(PR_PRSIr3-PR_PRSIr2)*MAX(0,MIN(12,D288*12+12-PR_PRSIt3)))/12</f>
        <v>0.047</v>
      </c>
      <c r="K288" s="20" t="n">
        <f aca="false">IF(G288=1,F_Income*F288,0)</f>
        <v>0</v>
      </c>
      <c r="L288" s="20" t="n">
        <f aca="false">IF(G288=1,(F_Own+In_penExtra)*12*F288,0)</f>
        <v>0</v>
      </c>
      <c r="M288" s="20" t="n">
        <f aca="false">IF(G288=1,(F_PenM+In_penExtra)*12*F288,0)</f>
        <v>0</v>
      </c>
      <c r="N288" s="51" t="n">
        <f aca="false">IF(C288&lt;PR_RelA1,PR_RelP1,IF(C288&lt;PR_RelA2,PR_RelP2,IF(C288&lt;PR_RelA3,PR_RelP3,IF(C288&lt;PR_RelA4,PR_RelP4,IF(C288&lt;PR_RelA5,PR_RelP5,PR_RelP6)))))</f>
        <v>0.4</v>
      </c>
      <c r="O288" s="20" t="n">
        <f aca="false">IF(G288=1,MIN(L288/H288,N288*MIN(K288/H288,PR_EarnCap))*H288,0)</f>
        <v>0</v>
      </c>
      <c r="P288" s="20" t="n">
        <f aca="false">IF(AND(G288=1,F_AE=1),MIN(K288/H288,PR_AEcap)*H288,0)</f>
        <v>0</v>
      </c>
      <c r="Q288" s="20" t="n">
        <f aca="false">IF(G288=1,IF(WI_Retire=1,MAX(0,M288+WI_M*12),M288)+(PR_AEee+PR_AEer+PR_AEst)*P288,0)</f>
        <v>0</v>
      </c>
      <c r="R288" s="20" t="n">
        <f aca="false">L288+PR_AEee*P288</f>
        <v>0</v>
      </c>
      <c r="S288" s="20" t="n">
        <f aca="false">AD287</f>
        <v>122594.512363114</v>
      </c>
      <c r="T288" s="20" t="n">
        <f aca="false">IF(D288&lt;=PR_SFTfrom,PR_SFT2026,IF(D288=PR_SFTfrom+1,PR_SFT2027,IF(D288=PR_SFTfrom+2,PR_SFT2028,IF(D288&lt;=PR_SFTto,PR_SFT2029,PR_SFT2029*(1+AS_Infl)^(D288-PR_SFTto)))))</f>
        <v>7687175.41103423</v>
      </c>
      <c r="U288" s="20" t="n">
        <f aca="false">IF(AND(G288=0,C288=F_V),1,0)</f>
        <v>0</v>
      </c>
      <c r="V288" s="20" t="n">
        <f aca="false">IF(U288=1,PR_SFTrate*MAX(0,S288-T288),0)</f>
        <v>0</v>
      </c>
      <c r="W288" s="20" t="n">
        <f aca="false">S288-V288</f>
        <v>122594.512363114</v>
      </c>
      <c r="X288" s="20" t="n">
        <f aca="false">IF(AND(U288=1,AS_LumpPct&gt;0),W288*MIN(AS_LumpPct,PR_LSmax),0)</f>
        <v>0</v>
      </c>
      <c r="Y288" s="20" t="n">
        <f aca="false">X288-(PR_LSrate*MAX(0,MIN(X288,PR_LScap)-PR_LSfree)+PR_r2*MAX(0,X288-PR_LScap))</f>
        <v>0</v>
      </c>
      <c r="Z288" s="20" t="n">
        <f aca="false">W288-X288</f>
        <v>122594.512363114</v>
      </c>
      <c r="AA288" s="51" t="n">
        <f aca="false">IF(C288&gt;=PR_ARFage1,IF(Z288&gt;PR_ARFbig,PR_ARFbigRate,IF(C288&gt;=PR_ARFage2,PR_ARF71,PR_ARF61)),0)</f>
        <v>0.05</v>
      </c>
      <c r="AB288" s="20" t="n">
        <f aca="false">IF(AS_DrawRule="min",Z288*AA288,IF(AS_DrawRule="fixed",MAX(AS_DrawFixed*E288,Z288*AA288),Z288*MAX(1/MAX(1,AS_End-C288+1),AA288)))</f>
        <v>30648.6280907785</v>
      </c>
      <c r="AC288" s="20" t="n">
        <f aca="false">IF(AND(G288=0,C288&gt;=F_V),MIN(Z288,AB288),0)</f>
        <v>30648.6280907785</v>
      </c>
      <c r="AD288" s="20" t="n">
        <f aca="false">IF(G288=1,S288*(1+F_PenG)+Q288,IF(C288&lt;F_V,S288*(1+F_PenG),(Z288-AC288)*(1+AS_PenRet)))</f>
        <v>94842.179626914</v>
      </c>
      <c r="AE288" s="20" t="n">
        <f aca="false">IF(C288&gt;=PR_SPage,AS_SP*F_SpF*I288+IF(AND(C288&gt;=PR_Over80Age,F_SpF&gt;0),PR_Over80*PR_Weeks*I288,0),0)</f>
        <v>46858.9484829747</v>
      </c>
      <c r="AF288" s="20" t="n">
        <f aca="false">(F_OtherM+F_RentM)*12*E288+IF(AND(In_polInc&gt;0,In_polIncAge&gt;0,C288&gt;=In_polIncAge),In_polInc,0)</f>
        <v>0</v>
      </c>
      <c r="AG288" s="20" t="n">
        <f aca="false">F_PAge+B288</f>
        <v>91</v>
      </c>
      <c r="AH288" s="20" t="n">
        <f aca="false">IF(AND(F_Partner=1,F_PAge&gt;0,AG288&lt;IF(F_PRet&gt;0,F_PRet,PR_SPage)),F_PIncome*F288,0)</f>
        <v>0</v>
      </c>
      <c r="AI288" s="20" t="n">
        <f aca="false">IF(AND(F_Partner=1,AG288&gt;=PR_SPage,F_PSpQA=0),AS_SP*F_PSpF*I288,0)</f>
        <v>36275.1588256174</v>
      </c>
      <c r="AJ288" s="20" t="n">
        <f aca="false">IF(AND(F_Partner=1,F_PSpQA=1,C288&gt;=PR_SPage,AH288=0),IF(AG288&gt;=PR_SPage,PR_QA66,PR_QAunder)*PR_Weeks*I288,0)</f>
        <v>0</v>
      </c>
      <c r="AK288" s="20" t="n">
        <f aca="false">AE288+AJ288</f>
        <v>46858.9484829747</v>
      </c>
      <c r="AL288" s="20" t="n">
        <f aca="false">K288/H288</f>
        <v>0</v>
      </c>
      <c r="AM288" s="20" t="n">
        <f aca="false">AK288/H288</f>
        <v>16083.6</v>
      </c>
      <c r="AN288" s="20" t="n">
        <f aca="false">AC288/H288</f>
        <v>10519.6614674344</v>
      </c>
      <c r="AO288" s="20" t="n">
        <f aca="false">AF288/H288</f>
        <v>0</v>
      </c>
      <c r="AP288" s="20" t="n">
        <f aca="false">O288/H288</f>
        <v>0</v>
      </c>
      <c r="AQ288" s="20" t="n">
        <f aca="false">AH288/H288</f>
        <v>0</v>
      </c>
      <c r="AR288" s="20" t="n">
        <f aca="false">AI288/H288</f>
        <v>12450.88</v>
      </c>
      <c r="AS288" s="20" t="n">
        <f aca="false">MAX(0,AL288+AN288+AO288+AM288-AP288)</f>
        <v>26603.2614674344</v>
      </c>
      <c r="AT288" s="20" t="n">
        <f aca="false">MAX(0,AQ288+AR288)</f>
        <v>12450.88</v>
      </c>
      <c r="AU288" s="20" t="n">
        <f aca="false">MIN(PR_PAYE,PR_PAYEcap*(AL288+AN288+AM288))</f>
        <v>2000</v>
      </c>
      <c r="AV288" s="20" t="n">
        <f aca="false">MIN(PR_PAYE,PR_PAYEcap*(AQ288+AR288))</f>
        <v>2000</v>
      </c>
      <c r="AW288" s="20" t="n">
        <f aca="false">IF(C288&gt;=PR_AgeCrAge,PR_AgeCr,0)</f>
        <v>245</v>
      </c>
      <c r="AX288" s="20" t="n">
        <f aca="false">IF(AG288&gt;=PR_AgeCrAge,PR_AgeCr,0)</f>
        <v>245</v>
      </c>
      <c r="AY288" s="20" t="n">
        <f aca="false">IF(AND(F_RentCred=1,D288&lt;=PR_RentLast),1,0)</f>
        <v>0</v>
      </c>
      <c r="AZ288" s="20" t="n">
        <f aca="false">AS288+AT288</f>
        <v>39054.1414674344</v>
      </c>
      <c r="BA288" s="20" t="n">
        <f aca="false">PR_PersonalM+AU288+AV288+AW288+AX288+IF(AY288=1,PR_RentJoint,0)</f>
        <v>8490</v>
      </c>
      <c r="BB288" s="20" t="n">
        <f aca="false">PR_BandM+MIN(MIN(AS288,AT288),PR_Uplift)</f>
        <v>65450.88</v>
      </c>
      <c r="BC288" s="20" t="n">
        <f aca="false">MAX(0,PR_r1*MIN(AZ288,BB288)+PR_r2*MAX(0,AZ288-BB288)-BA288)</f>
        <v>0</v>
      </c>
      <c r="BD288" s="20" t="n">
        <f aca="false">MAX(0,PR_HomeCarer-MAX(0,MIN(AS288,AT288)-PR_HCLimit)/2)</f>
        <v>0</v>
      </c>
      <c r="BE288" s="20" t="n">
        <f aca="false">IF(F_Carer=1,MIN(BC288,MAX(0,PR_r1*MIN(AZ288,PR_BandM)+PR_r2*MAX(0,AZ288-PR_BandM)-BA288-BD288)),BC288)</f>
        <v>0</v>
      </c>
      <c r="BF288" s="20" t="n">
        <f aca="false">IF(OR(C288&gt;=PR_AgeCrAge,AG288&gt;=PR_AgeCrAge),IF(AZ288&lt;=PR_AgeExM,0,MIN(BE288,PR_AgeMarg*(AZ288-PR_AgeExM))),BE288)</f>
        <v>0</v>
      </c>
      <c r="BG288" s="20" t="n">
        <f aca="false">MAX(0,PR_r1*MIN(AS288,IF(F_Spccc=1,PR_BandSPCCC,PR_Band))+PR_r2*MAX(0,AS288-IF(F_Spccc=1,PR_BandSPCCC,PR_Band))-(PR_Personal+AU288+AW288+IF(F_Spccc=1,PR_SPCCC,0)+IF(AY288=1,PR_Rent,0)))</f>
        <v>1075.65229348689</v>
      </c>
      <c r="BH288" s="20" t="n">
        <f aca="false">IF(C288&gt;=PR_AgeCrAge,IF(AS288&lt;=PR_AgeEx,0,MIN(BG288,PR_AgeMarg*(AS288-PR_AgeEx))),BG288)</f>
        <v>1075.65229348689</v>
      </c>
      <c r="BI288" s="20" t="n">
        <f aca="false">IF(F_Partner=1,MAX(0,PR_r1*MIN(AT288,PR_Band)+PR_r2*MAX(0,AT288-PR_Band)-(PR_Personal+AV288+AX288+IF(AND(AY288=1,AT288&gt;0),PR_Rent,0))),0)</f>
        <v>0</v>
      </c>
      <c r="BJ288" s="20" t="n">
        <f aca="false">IF(AG288&gt;=PR_AgeCrAge,IF(AT288&lt;=PR_AgeEx,0,MIN(BI288,PR_AgeMarg*(AT288-PR_AgeEx))),BI288)</f>
        <v>0</v>
      </c>
      <c r="BK288" s="20" t="n">
        <f aca="false">IF(F_Partner=1,IF(F_Married=1,BF288,BH288+BJ288),BH288)</f>
        <v>1075.65229348689</v>
      </c>
      <c r="BL288" s="20" t="n">
        <f aca="false">AL288+AN288+AO288</f>
        <v>10519.6614674344</v>
      </c>
      <c r="BM288" s="20"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20" t="n">
        <f aca="false">AQ288</f>
        <v>0</v>
      </c>
      <c r="BO288" s="20"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20" t="n">
        <f aca="false">IF(C288&lt;PR_PRSIend,IF(F_SelfEmp=1,IF(AL288&gt;PR_PRSIsMinInc,MAX(PR_PRSIsMin,AL288*J288),0),IF(AL288/52&lt;=PR_PRSIfree,0,MAX(0,(AL288/52*J288-IF(AL288/52&lt;=PR_PRSIcreditTo,MAX(0,PR_PRSIcreditMax-(AL288/52-(PR_PRSIfree+0.01))/PR_PRSItaper),0))*52)))+J288*AN288+IF(AO288&gt;PR_PRSIunearned,J288*AO288,0),0)+IF(AND(PRSI_ARF_Applies=1,AN288&gt;0,C288&gt;=PR_PRSIend,C288&lt;PRSI_ARF_ToAge,NOT(AK288&gt;0)),J288*AN288,0)</f>
        <v>0</v>
      </c>
      <c r="BQ288" s="20" t="n">
        <f aca="false">IF(AND(F_Partner=1,AG288&lt;PR_PRSIend),IF(AQ288/52&lt;=PR_PRSIfree,0,MAX(0,(AQ288/52*J288-IF(AQ288/52&lt;=PR_PRSIcreditTo,MAX(0,PR_PRSIcreditMax-(AQ288/52-(PR_PRSIfree+0.01))/PR_PRSItaper),0))*52)),0)</f>
        <v>0</v>
      </c>
      <c r="BR288" s="20" t="n">
        <f aca="false">BK288+BM288+BO288+BP288+BQ288</f>
        <v>1075.65229348689</v>
      </c>
      <c r="BS288" s="20" t="n">
        <f aca="false">BR288*H288</f>
        <v>3133.87148437512</v>
      </c>
      <c r="BT288" s="20" t="n">
        <f aca="false">K288+AK288+AC288+AF288+AH288+AI288</f>
        <v>113782.735399371</v>
      </c>
    </row>
    <row r="289" customFormat="false" ht="15" hidden="false" customHeight="true" outlineLevel="0" collapsed="false">
      <c r="B289" s="20" t="n">
        <v>55</v>
      </c>
      <c r="C289" s="20" t="n">
        <f aca="false">F_Age+B289</f>
        <v>93</v>
      </c>
      <c r="D289" s="20" t="n">
        <f aca="false">AS_Year0+B289</f>
        <v>2081</v>
      </c>
      <c r="E289" s="50" t="n">
        <f aca="false">(1+AS_Infl)^B289</f>
        <v>2.97173067302309</v>
      </c>
      <c r="F289" s="50" t="n">
        <f aca="false">(1+AS_Wage)^B289</f>
        <v>5.08214859165487</v>
      </c>
      <c r="G289" s="20" t="n">
        <f aca="false">IF(C289&lt;F_R,1,0)</f>
        <v>0</v>
      </c>
      <c r="H289" s="50" t="n">
        <f aca="false">IF(AS_Bands="flat",1,E289)</f>
        <v>2.97173067302309</v>
      </c>
      <c r="I289" s="50" t="n">
        <f aca="false">IF(AS_SpGrow="pay",F289,IF(AS_SpGrow="flat",1,E289))</f>
        <v>2.97173067302309</v>
      </c>
      <c r="J289" s="50" t="n">
        <f aca="false">(12*PR_PRSIr0+(PR_PRSIr1-PR_PRSIr0)*MAX(0,MIN(12,D289*12+12-PR_PRSIt1))+(PR_PRSIr2-PR_PRSIr1)*MAX(0,MIN(12,D289*12+12-PR_PRSIt2))+(PR_PRSIr3-PR_PRSIr2)*MAX(0,MIN(12,D289*12+12-PR_PRSIt3)))/12</f>
        <v>0.047</v>
      </c>
      <c r="K289" s="20" t="n">
        <f aca="false">IF(G289=1,F_Income*F289,0)</f>
        <v>0</v>
      </c>
      <c r="L289" s="20" t="n">
        <f aca="false">IF(G289=1,(F_Own+In_penExtra)*12*F289,0)</f>
        <v>0</v>
      </c>
      <c r="M289" s="20" t="n">
        <f aca="false">IF(G289=1,(F_PenM+In_penExtra)*12*F289,0)</f>
        <v>0</v>
      </c>
      <c r="N289" s="51" t="n">
        <f aca="false">IF(C289&lt;PR_RelA1,PR_RelP1,IF(C289&lt;PR_RelA2,PR_RelP2,IF(C289&lt;PR_RelA3,PR_RelP3,IF(C289&lt;PR_RelA4,PR_RelP4,IF(C289&lt;PR_RelA5,PR_RelP5,PR_RelP6)))))</f>
        <v>0.4</v>
      </c>
      <c r="O289" s="20" t="n">
        <f aca="false">IF(G289=1,MIN(L289/H289,N289*MIN(K289/H289,PR_EarnCap))*H289,0)</f>
        <v>0</v>
      </c>
      <c r="P289" s="20" t="n">
        <f aca="false">IF(AND(G289=1,F_AE=1),MIN(K289/H289,PR_AEcap)*H289,0)</f>
        <v>0</v>
      </c>
      <c r="Q289" s="20" t="n">
        <f aca="false">IF(G289=1,IF(WI_Retire=1,MAX(0,M289+WI_M*12),M289)+(PR_AEee+PR_AEer+PR_AEst)*P289,0)</f>
        <v>0</v>
      </c>
      <c r="R289" s="20" t="n">
        <f aca="false">L289+PR_AEee*P289</f>
        <v>0</v>
      </c>
      <c r="S289" s="20" t="n">
        <f aca="false">AD288</f>
        <v>94842.179626914</v>
      </c>
      <c r="T289" s="20" t="n">
        <f aca="false">IF(D289&lt;=PR_SFTfrom,PR_SFT2026,IF(D289=PR_SFTfrom+1,PR_SFT2027,IF(D289=PR_SFTfrom+2,PR_SFT2028,IF(D289&lt;=PR_SFTto,PR_SFT2029,PR_SFT2029*(1+AS_Infl)^(D289-PR_SFTto)))))</f>
        <v>7840918.91925491</v>
      </c>
      <c r="U289" s="20" t="n">
        <f aca="false">IF(AND(G289=0,C289=F_V),1,0)</f>
        <v>0</v>
      </c>
      <c r="V289" s="20" t="n">
        <f aca="false">IF(U289=1,PR_SFTrate*MAX(0,S289-T289),0)</f>
        <v>0</v>
      </c>
      <c r="W289" s="20" t="n">
        <f aca="false">S289-V289</f>
        <v>94842.179626914</v>
      </c>
      <c r="X289" s="20" t="n">
        <f aca="false">IF(AND(U289=1,AS_LumpPct&gt;0),W289*MIN(AS_LumpPct,PR_LSmax),0)</f>
        <v>0</v>
      </c>
      <c r="Y289" s="20" t="n">
        <f aca="false">X289-(PR_LSrate*MAX(0,MIN(X289,PR_LScap)-PR_LSfree)+PR_r2*MAX(0,X289-PR_LScap))</f>
        <v>0</v>
      </c>
      <c r="Z289" s="20" t="n">
        <f aca="false">W289-X289</f>
        <v>94842.179626914</v>
      </c>
      <c r="AA289" s="51" t="n">
        <f aca="false">IF(C289&gt;=PR_ARFage1,IF(Z289&gt;PR_ARFbig,PR_ARFbigRate,IF(C289&gt;=PR_ARFage2,PR_ARF71,PR_ARF61)),0)</f>
        <v>0.05</v>
      </c>
      <c r="AB289" s="20" t="n">
        <f aca="false">IF(AS_DrawRule="min",Z289*AA289,IF(AS_DrawRule="fixed",MAX(AS_DrawFixed*E289,Z289*AA289),Z289*MAX(1/MAX(1,AS_End-C289+1),AA289)))</f>
        <v>31614.059875638</v>
      </c>
      <c r="AC289" s="20" t="n">
        <f aca="false">IF(AND(G289=0,C289&gt;=F_V),MIN(Z289,AB289),0)</f>
        <v>31614.059875638</v>
      </c>
      <c r="AD289" s="20" t="n">
        <f aca="false">IF(G289=1,S289*(1+F_PenG)+Q289,IF(C289&lt;F_V,S289*(1+F_PenG),(Z289-AC289)*(1+AS_PenRet)))</f>
        <v>65219.8055234412</v>
      </c>
      <c r="AE289" s="20" t="n">
        <f aca="false">IF(C289&gt;=PR_SPage,AS_SP*F_SpF*I289+IF(AND(C289&gt;=PR_Over80Age,F_SpF&gt;0),PR_Over80*PR_Weeks*I289,0),0)</f>
        <v>47796.1274526342</v>
      </c>
      <c r="AF289" s="20" t="n">
        <f aca="false">(F_OtherM+F_RentM)*12*E289+IF(AND(In_polInc&gt;0,In_polIncAge&gt;0,C289&gt;=In_polIncAge),In_polInc,0)</f>
        <v>0</v>
      </c>
      <c r="AG289" s="20" t="n">
        <f aca="false">F_PAge+B289</f>
        <v>92</v>
      </c>
      <c r="AH289" s="20" t="n">
        <f aca="false">IF(AND(F_Partner=1,F_PAge&gt;0,AG289&lt;IF(F_PRet&gt;0,F_PRet,PR_SPage)),F_PIncome*F289,0)</f>
        <v>0</v>
      </c>
      <c r="AI289" s="20" t="n">
        <f aca="false">IF(AND(F_Partner=1,AG289&gt;=PR_SPage,F_PSpQA=0),AS_SP*F_PSpF*I289,0)</f>
        <v>37000.6620021298</v>
      </c>
      <c r="AJ289" s="20" t="n">
        <f aca="false">IF(AND(F_Partner=1,F_PSpQA=1,C289&gt;=PR_SPage,AH289=0),IF(AG289&gt;=PR_SPage,PR_QA66,PR_QAunder)*PR_Weeks*I289,0)</f>
        <v>0</v>
      </c>
      <c r="AK289" s="20" t="n">
        <f aca="false">AE289+AJ289</f>
        <v>47796.1274526342</v>
      </c>
      <c r="AL289" s="20" t="n">
        <f aca="false">K289/H289</f>
        <v>0</v>
      </c>
      <c r="AM289" s="20" t="n">
        <f aca="false">AK289/H289</f>
        <v>16083.6</v>
      </c>
      <c r="AN289" s="20" t="n">
        <f aca="false">AC289/H289</f>
        <v>10638.265493783</v>
      </c>
      <c r="AO289" s="20" t="n">
        <f aca="false">AF289/H289</f>
        <v>0</v>
      </c>
      <c r="AP289" s="20" t="n">
        <f aca="false">O289/H289</f>
        <v>0</v>
      </c>
      <c r="AQ289" s="20" t="n">
        <f aca="false">AH289/H289</f>
        <v>0</v>
      </c>
      <c r="AR289" s="20" t="n">
        <f aca="false">AI289/H289</f>
        <v>12450.88</v>
      </c>
      <c r="AS289" s="20" t="n">
        <f aca="false">MAX(0,AL289+AN289+AO289+AM289-AP289)</f>
        <v>26721.865493783</v>
      </c>
      <c r="AT289" s="20" t="n">
        <f aca="false">MAX(0,AQ289+AR289)</f>
        <v>12450.88</v>
      </c>
      <c r="AU289" s="20" t="n">
        <f aca="false">MIN(PR_PAYE,PR_PAYEcap*(AL289+AN289+AM289))</f>
        <v>2000</v>
      </c>
      <c r="AV289" s="20" t="n">
        <f aca="false">MIN(PR_PAYE,PR_PAYEcap*(AQ289+AR289))</f>
        <v>2000</v>
      </c>
      <c r="AW289" s="20" t="n">
        <f aca="false">IF(C289&gt;=PR_AgeCrAge,PR_AgeCr,0)</f>
        <v>245</v>
      </c>
      <c r="AX289" s="20" t="n">
        <f aca="false">IF(AG289&gt;=PR_AgeCrAge,PR_AgeCr,0)</f>
        <v>245</v>
      </c>
      <c r="AY289" s="20" t="n">
        <f aca="false">IF(AND(F_RentCred=1,D289&lt;=PR_RentLast),1,0)</f>
        <v>0</v>
      </c>
      <c r="AZ289" s="20" t="n">
        <f aca="false">AS289+AT289</f>
        <v>39172.745493783</v>
      </c>
      <c r="BA289" s="20" t="n">
        <f aca="false">PR_PersonalM+AU289+AV289+AW289+AX289+IF(AY289=1,PR_RentJoint,0)</f>
        <v>8490</v>
      </c>
      <c r="BB289" s="20" t="n">
        <f aca="false">PR_BandM+MIN(MIN(AS289,AT289),PR_Uplift)</f>
        <v>65450.88</v>
      </c>
      <c r="BC289" s="20" t="n">
        <f aca="false">MAX(0,PR_r1*MIN(AZ289,BB289)+PR_r2*MAX(0,AZ289-BB289)-BA289)</f>
        <v>0</v>
      </c>
      <c r="BD289" s="20" t="n">
        <f aca="false">MAX(0,PR_HomeCarer-MAX(0,MIN(AS289,AT289)-PR_HCLimit)/2)</f>
        <v>0</v>
      </c>
      <c r="BE289" s="20" t="n">
        <f aca="false">IF(F_Carer=1,MIN(BC289,MAX(0,PR_r1*MIN(AZ289,PR_BandM)+PR_r2*MAX(0,AZ289-PR_BandM)-BA289-BD289)),BC289)</f>
        <v>0</v>
      </c>
      <c r="BF289" s="20" t="n">
        <f aca="false">IF(OR(C289&gt;=PR_AgeCrAge,AG289&gt;=PR_AgeCrAge),IF(AZ289&lt;=PR_AgeExM,0,MIN(BE289,PR_AgeMarg*(AZ289-PR_AgeExM))),BE289)</f>
        <v>0</v>
      </c>
      <c r="BG289" s="20" t="n">
        <f aca="false">MAX(0,PR_r1*MIN(AS289,IF(F_Spccc=1,PR_BandSPCCC,PR_Band))+PR_r2*MAX(0,AS289-IF(F_Spccc=1,PR_BandSPCCC,PR_Band))-(PR_Personal+AU289+AW289+IF(F_Spccc=1,PR_SPCCC,0)+IF(AY289=1,PR_Rent,0)))</f>
        <v>1099.37309875659</v>
      </c>
      <c r="BH289" s="20" t="n">
        <f aca="false">IF(C289&gt;=PR_AgeCrAge,IF(AS289&lt;=PR_AgeEx,0,MIN(BG289,PR_AgeMarg*(AS289-PR_AgeEx))),BG289)</f>
        <v>1099.37309875659</v>
      </c>
      <c r="BI289" s="20" t="n">
        <f aca="false">IF(F_Partner=1,MAX(0,PR_r1*MIN(AT289,PR_Band)+PR_r2*MAX(0,AT289-PR_Band)-(PR_Personal+AV289+AX289+IF(AND(AY289=1,AT289&gt;0),PR_Rent,0))),0)</f>
        <v>0</v>
      </c>
      <c r="BJ289" s="20" t="n">
        <f aca="false">IF(AG289&gt;=PR_AgeCrAge,IF(AT289&lt;=PR_AgeEx,0,MIN(BI289,PR_AgeMarg*(AT289-PR_AgeEx))),BI289)</f>
        <v>0</v>
      </c>
      <c r="BK289" s="20" t="n">
        <f aca="false">IF(F_Partner=1,IF(F_Married=1,BF289,BH289+BJ289),BH289)</f>
        <v>1099.37309875659</v>
      </c>
      <c r="BL289" s="20" t="n">
        <f aca="false">AL289+AN289+AO289</f>
        <v>10638.265493783</v>
      </c>
      <c r="BM289" s="20"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20" t="n">
        <f aca="false">AQ289</f>
        <v>0</v>
      </c>
      <c r="BO289" s="20"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20" t="n">
        <f aca="false">IF(C289&lt;PR_PRSIend,IF(F_SelfEmp=1,IF(AL289&gt;PR_PRSIsMinInc,MAX(PR_PRSIsMin,AL289*J289),0),IF(AL289/52&lt;=PR_PRSIfree,0,MAX(0,(AL289/52*J289-IF(AL289/52&lt;=PR_PRSIcreditTo,MAX(0,PR_PRSIcreditMax-(AL289/52-(PR_PRSIfree+0.01))/PR_PRSItaper),0))*52)))+J289*AN289+IF(AO289&gt;PR_PRSIunearned,J289*AO289,0),0)+IF(AND(PRSI_ARF_Applies=1,AN289&gt;0,C289&gt;=PR_PRSIend,C289&lt;PRSI_ARF_ToAge,NOT(AK289&gt;0)),J289*AN289,0)</f>
        <v>0</v>
      </c>
      <c r="BQ289" s="20" t="n">
        <f aca="false">IF(AND(F_Partner=1,AG289&lt;PR_PRSIend),IF(AQ289/52&lt;=PR_PRSIfree,0,MAX(0,(AQ289/52*J289-IF(AQ289/52&lt;=PR_PRSIcreditTo,MAX(0,PR_PRSIcreditMax-(AQ289/52-(PR_PRSIfree+0.01))/PR_PRSItaper),0))*52)),0)</f>
        <v>0</v>
      </c>
      <c r="BR289" s="20" t="n">
        <f aca="false">BK289+BM289+BO289+BP289+BQ289</f>
        <v>1099.37309875659</v>
      </c>
      <c r="BS289" s="20" t="n">
        <f aca="false">BR289*H289</f>
        <v>3267.04075867142</v>
      </c>
      <c r="BT289" s="20" t="n">
        <f aca="false">K289+AK289+AC289+AF289+AH289+AI289</f>
        <v>116410.849330402</v>
      </c>
    </row>
    <row r="290" customFormat="false" ht="15" hidden="false" customHeight="true" outlineLevel="0" collapsed="false">
      <c r="B290" s="20" t="n">
        <v>56</v>
      </c>
      <c r="C290" s="20" t="n">
        <f aca="false">F_Age+B290</f>
        <v>94</v>
      </c>
      <c r="D290" s="20" t="n">
        <f aca="false">AS_Year0+B290</f>
        <v>2082</v>
      </c>
      <c r="E290" s="50" t="n">
        <f aca="false">(1+AS_Infl)^B290</f>
        <v>3.03116528648356</v>
      </c>
      <c r="F290" s="50" t="n">
        <f aca="false">(1+AS_Wage)^B290</f>
        <v>5.23461304940451</v>
      </c>
      <c r="G290" s="20" t="n">
        <f aca="false">IF(C290&lt;F_R,1,0)</f>
        <v>0</v>
      </c>
      <c r="H290" s="50" t="n">
        <f aca="false">IF(AS_Bands="flat",1,E290)</f>
        <v>3.03116528648356</v>
      </c>
      <c r="I290" s="50" t="n">
        <f aca="false">IF(AS_SpGrow="pay",F290,IF(AS_SpGrow="flat",1,E290))</f>
        <v>3.03116528648356</v>
      </c>
      <c r="J290" s="50" t="n">
        <f aca="false">(12*PR_PRSIr0+(PR_PRSIr1-PR_PRSIr0)*MAX(0,MIN(12,D290*12+12-PR_PRSIt1))+(PR_PRSIr2-PR_PRSIr1)*MAX(0,MIN(12,D290*12+12-PR_PRSIt2))+(PR_PRSIr3-PR_PRSIr2)*MAX(0,MIN(12,D290*12+12-PR_PRSIt3)))/12</f>
        <v>0.047</v>
      </c>
      <c r="K290" s="20" t="n">
        <f aca="false">IF(G290=1,F_Income*F290,0)</f>
        <v>0</v>
      </c>
      <c r="L290" s="20" t="n">
        <f aca="false">IF(G290=1,(F_Own+In_penExtra)*12*F290,0)</f>
        <v>0</v>
      </c>
      <c r="M290" s="20" t="n">
        <f aca="false">IF(G290=1,(F_PenM+In_penExtra)*12*F290,0)</f>
        <v>0</v>
      </c>
      <c r="N290" s="51" t="n">
        <f aca="false">IF(C290&lt;PR_RelA1,PR_RelP1,IF(C290&lt;PR_RelA2,PR_RelP2,IF(C290&lt;PR_RelA3,PR_RelP3,IF(C290&lt;PR_RelA4,PR_RelP4,IF(C290&lt;PR_RelA5,PR_RelP5,PR_RelP6)))))</f>
        <v>0.4</v>
      </c>
      <c r="O290" s="20" t="n">
        <f aca="false">IF(G290=1,MIN(L290/H290,N290*MIN(K290/H290,PR_EarnCap))*H290,0)</f>
        <v>0</v>
      </c>
      <c r="P290" s="20" t="n">
        <f aca="false">IF(AND(G290=1,F_AE=1),MIN(K290/H290,PR_AEcap)*H290,0)</f>
        <v>0</v>
      </c>
      <c r="Q290" s="20" t="n">
        <f aca="false">IF(G290=1,IF(WI_Retire=1,MAX(0,M290+WI_M*12),M290)+(PR_AEee+PR_AEer+PR_AEst)*P290,0)</f>
        <v>0</v>
      </c>
      <c r="R290" s="20" t="n">
        <f aca="false">L290+PR_AEee*P290</f>
        <v>0</v>
      </c>
      <c r="S290" s="20" t="n">
        <f aca="false">AD289</f>
        <v>65219.8055234412</v>
      </c>
      <c r="T290" s="20" t="n">
        <f aca="false">IF(D290&lt;=PR_SFTfrom,PR_SFT2026,IF(D290=PR_SFTfrom+1,PR_SFT2027,IF(D290=PR_SFTfrom+2,PR_SFT2028,IF(D290&lt;=PR_SFTto,PR_SFT2029,PR_SFT2029*(1+AS_Infl)^(D290-PR_SFTto)))))</f>
        <v>7997737.29764001</v>
      </c>
      <c r="U290" s="20" t="n">
        <f aca="false">IF(AND(G290=0,C290=F_V),1,0)</f>
        <v>0</v>
      </c>
      <c r="V290" s="20" t="n">
        <f aca="false">IF(U290=1,PR_SFTrate*MAX(0,S290-T290),0)</f>
        <v>0</v>
      </c>
      <c r="W290" s="20" t="n">
        <f aca="false">S290-V290</f>
        <v>65219.8055234412</v>
      </c>
      <c r="X290" s="20" t="n">
        <f aca="false">IF(AND(U290=1,AS_LumpPct&gt;0),W290*MIN(AS_LumpPct,PR_LSmax),0)</f>
        <v>0</v>
      </c>
      <c r="Y290" s="20" t="n">
        <f aca="false">X290-(PR_LSrate*MAX(0,MIN(X290,PR_LScap)-PR_LSfree)+PR_r2*MAX(0,X290-PR_LScap))</f>
        <v>0</v>
      </c>
      <c r="Z290" s="20" t="n">
        <f aca="false">W290-X290</f>
        <v>65219.8055234412</v>
      </c>
      <c r="AA290" s="51" t="n">
        <f aca="false">IF(C290&gt;=PR_ARFage1,IF(Z290&gt;PR_ARFbig,PR_ARFbigRate,IF(C290&gt;=PR_ARFage2,PR_ARF71,PR_ARF61)),0)</f>
        <v>0.05</v>
      </c>
      <c r="AB290" s="20" t="n">
        <f aca="false">IF(AS_DrawRule="min",Z290*AA290,IF(AS_DrawRule="fixed",MAX(AS_DrawFixed*E290,Z290*AA290),Z290*MAX(1/MAX(1,AS_End-C290+1),AA290)))</f>
        <v>32609.9027617206</v>
      </c>
      <c r="AC290" s="20" t="n">
        <f aca="false">IF(AND(G290=0,C290&gt;=F_V),MIN(Z290,AB290),0)</f>
        <v>32609.9027617206</v>
      </c>
      <c r="AD290" s="20" t="n">
        <f aca="false">IF(G290=1,S290*(1+F_PenG)+Q290,IF(C290&lt;F_V,S290*(1+F_PenG),(Z290-AC290)*(1+AS_PenRet)))</f>
        <v>33637.1146987148</v>
      </c>
      <c r="AE290" s="20" t="n">
        <f aca="false">IF(C290&gt;=PR_SPage,AS_SP*F_SpF*I290+IF(AND(C290&gt;=PR_Over80Age,F_SpF&gt;0),PR_Over80*PR_Weeks*I290,0),0)</f>
        <v>48752.0500016869</v>
      </c>
      <c r="AF290" s="20" t="n">
        <f aca="false">(F_OtherM+F_RentM)*12*E290+IF(AND(In_polInc&gt;0,In_polIncAge&gt;0,C290&gt;=In_polIncAge),In_polInc,0)</f>
        <v>0</v>
      </c>
      <c r="AG290" s="20" t="n">
        <f aca="false">F_PAge+B290</f>
        <v>93</v>
      </c>
      <c r="AH290" s="20" t="n">
        <f aca="false">IF(AND(F_Partner=1,F_PAge&gt;0,AG290&lt;IF(F_PRet&gt;0,F_PRet,PR_SPage)),F_PIncome*F290,0)</f>
        <v>0</v>
      </c>
      <c r="AI290" s="20" t="n">
        <f aca="false">IF(AND(F_Partner=1,AG290&gt;=PR_SPage,F_PSpQA=0),AS_SP*F_PSpF*I290,0)</f>
        <v>37740.6752421724</v>
      </c>
      <c r="AJ290" s="20" t="n">
        <f aca="false">IF(AND(F_Partner=1,F_PSpQA=1,C290&gt;=PR_SPage,AH290=0),IF(AG290&gt;=PR_SPage,PR_QA66,PR_QAunder)*PR_Weeks*I290,0)</f>
        <v>0</v>
      </c>
      <c r="AK290" s="20" t="n">
        <f aca="false">AE290+AJ290</f>
        <v>48752.0500016869</v>
      </c>
      <c r="AL290" s="20" t="n">
        <f aca="false">K290/H290</f>
        <v>0</v>
      </c>
      <c r="AM290" s="20" t="n">
        <f aca="false">AK290/H290</f>
        <v>16083.6</v>
      </c>
      <c r="AN290" s="20" t="n">
        <f aca="false">AC290/H290</f>
        <v>10758.2067223893</v>
      </c>
      <c r="AO290" s="20" t="n">
        <f aca="false">AF290/H290</f>
        <v>0</v>
      </c>
      <c r="AP290" s="20" t="n">
        <f aca="false">O290/H290</f>
        <v>0</v>
      </c>
      <c r="AQ290" s="20" t="n">
        <f aca="false">AH290/H290</f>
        <v>0</v>
      </c>
      <c r="AR290" s="20" t="n">
        <f aca="false">AI290/H290</f>
        <v>12450.88</v>
      </c>
      <c r="AS290" s="20" t="n">
        <f aca="false">MAX(0,AL290+AN290+AO290+AM290-AP290)</f>
        <v>26841.8067223893</v>
      </c>
      <c r="AT290" s="20" t="n">
        <f aca="false">MAX(0,AQ290+AR290)</f>
        <v>12450.88</v>
      </c>
      <c r="AU290" s="20" t="n">
        <f aca="false">MIN(PR_PAYE,PR_PAYEcap*(AL290+AN290+AM290))</f>
        <v>2000</v>
      </c>
      <c r="AV290" s="20" t="n">
        <f aca="false">MIN(PR_PAYE,PR_PAYEcap*(AQ290+AR290))</f>
        <v>2000</v>
      </c>
      <c r="AW290" s="20" t="n">
        <f aca="false">IF(C290&gt;=PR_AgeCrAge,PR_AgeCr,0)</f>
        <v>245</v>
      </c>
      <c r="AX290" s="20" t="n">
        <f aca="false">IF(AG290&gt;=PR_AgeCrAge,PR_AgeCr,0)</f>
        <v>245</v>
      </c>
      <c r="AY290" s="20" t="n">
        <f aca="false">IF(AND(F_RentCred=1,D290&lt;=PR_RentLast),1,0)</f>
        <v>0</v>
      </c>
      <c r="AZ290" s="20" t="n">
        <f aca="false">AS290+AT290</f>
        <v>39292.6867223893</v>
      </c>
      <c r="BA290" s="20" t="n">
        <f aca="false">PR_PersonalM+AU290+AV290+AW290+AX290+IF(AY290=1,PR_RentJoint,0)</f>
        <v>8490</v>
      </c>
      <c r="BB290" s="20" t="n">
        <f aca="false">PR_BandM+MIN(MIN(AS290,AT290),PR_Uplift)</f>
        <v>65450.88</v>
      </c>
      <c r="BC290" s="20" t="n">
        <f aca="false">MAX(0,PR_r1*MIN(AZ290,BB290)+PR_r2*MAX(0,AZ290-BB290)-BA290)</f>
        <v>0</v>
      </c>
      <c r="BD290" s="20" t="n">
        <f aca="false">MAX(0,PR_HomeCarer-MAX(0,MIN(AS290,AT290)-PR_HCLimit)/2)</f>
        <v>0</v>
      </c>
      <c r="BE290" s="20" t="n">
        <f aca="false">IF(F_Carer=1,MIN(BC290,MAX(0,PR_r1*MIN(AZ290,PR_BandM)+PR_r2*MAX(0,AZ290-PR_BandM)-BA290-BD290)),BC290)</f>
        <v>0</v>
      </c>
      <c r="BF290" s="20" t="n">
        <f aca="false">IF(OR(C290&gt;=PR_AgeCrAge,AG290&gt;=PR_AgeCrAge),IF(AZ290&lt;=PR_AgeExM,0,MIN(BE290,PR_AgeMarg*(AZ290-PR_AgeExM))),BE290)</f>
        <v>0</v>
      </c>
      <c r="BG290" s="20" t="n">
        <f aca="false">MAX(0,PR_r1*MIN(AS290,IF(F_Spccc=1,PR_BandSPCCC,PR_Band))+PR_r2*MAX(0,AS290-IF(F_Spccc=1,PR_BandSPCCC,PR_Band))-(PR_Personal+AU290+AW290+IF(F_Spccc=1,PR_SPCCC,0)+IF(AY290=1,PR_Rent,0)))</f>
        <v>1123.36134447787</v>
      </c>
      <c r="BH290" s="20" t="n">
        <f aca="false">IF(C290&gt;=PR_AgeCrAge,IF(AS290&lt;=PR_AgeEx,0,MIN(BG290,PR_AgeMarg*(AS290-PR_AgeEx))),BG290)</f>
        <v>1123.36134447787</v>
      </c>
      <c r="BI290" s="20" t="n">
        <f aca="false">IF(F_Partner=1,MAX(0,PR_r1*MIN(AT290,PR_Band)+PR_r2*MAX(0,AT290-PR_Band)-(PR_Personal+AV290+AX290+IF(AND(AY290=1,AT290&gt;0),PR_Rent,0))),0)</f>
        <v>0</v>
      </c>
      <c r="BJ290" s="20" t="n">
        <f aca="false">IF(AG290&gt;=PR_AgeCrAge,IF(AT290&lt;=PR_AgeEx,0,MIN(BI290,PR_AgeMarg*(AT290-PR_AgeEx))),BI290)</f>
        <v>0</v>
      </c>
      <c r="BK290" s="20" t="n">
        <f aca="false">IF(F_Partner=1,IF(F_Married=1,BF290,BH290+BJ290),BH290)</f>
        <v>1123.36134447787</v>
      </c>
      <c r="BL290" s="20" t="n">
        <f aca="false">AL290+AN290+AO290</f>
        <v>10758.2067223893</v>
      </c>
      <c r="BM290" s="20"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20" t="n">
        <f aca="false">AQ290</f>
        <v>0</v>
      </c>
      <c r="BO290" s="20"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20" t="n">
        <f aca="false">IF(C290&lt;PR_PRSIend,IF(F_SelfEmp=1,IF(AL290&gt;PR_PRSIsMinInc,MAX(PR_PRSIsMin,AL290*J290),0),IF(AL290/52&lt;=PR_PRSIfree,0,MAX(0,(AL290/52*J290-IF(AL290/52&lt;=PR_PRSIcreditTo,MAX(0,PR_PRSIcreditMax-(AL290/52-(PR_PRSIfree+0.01))/PR_PRSItaper),0))*52)))+J290*AN290+IF(AO290&gt;PR_PRSIunearned,J290*AO290,0),0)+IF(AND(PRSI_ARF_Applies=1,AN290&gt;0,C290&gt;=PR_PRSIend,C290&lt;PRSI_ARF_ToAge,NOT(AK290&gt;0)),J290*AN290,0)</f>
        <v>0</v>
      </c>
      <c r="BQ290" s="20" t="n">
        <f aca="false">IF(AND(F_Partner=1,AG290&lt;PR_PRSIend),IF(AQ290/52&lt;=PR_PRSIfree,0,MAX(0,(AQ290/52*J290-IF(AQ290/52&lt;=PR_PRSIcreditTo,MAX(0,PR_PRSIcreditMax-(AQ290/52-(PR_PRSIfree+0.01))/PR_PRSItaper),0))*52)),0)</f>
        <v>0</v>
      </c>
      <c r="BR290" s="20" t="n">
        <f aca="false">BK290+BM290+BO290+BP290+BQ290</f>
        <v>1123.36134447787</v>
      </c>
      <c r="BS290" s="20" t="n">
        <f aca="false">BR290*H290</f>
        <v>3405.09391155881</v>
      </c>
      <c r="BT290" s="20" t="n">
        <f aca="false">K290+AK290+AC290+AF290+AH290+AI290</f>
        <v>119102.62800558</v>
      </c>
    </row>
    <row r="291" customFormat="false" ht="15" hidden="false" customHeight="true" outlineLevel="0" collapsed="false">
      <c r="B291" s="20" t="n">
        <v>57</v>
      </c>
      <c r="C291" s="20" t="n">
        <f aca="false">F_Age+B291</f>
        <v>95</v>
      </c>
      <c r="D291" s="20" t="n">
        <f aca="false">AS_Year0+B291</f>
        <v>2083</v>
      </c>
      <c r="E291" s="50" t="n">
        <f aca="false">(1+AS_Infl)^B291</f>
        <v>3.09178859221323</v>
      </c>
      <c r="F291" s="50" t="n">
        <f aca="false">(1+AS_Wage)^B291</f>
        <v>5.39165144088665</v>
      </c>
      <c r="G291" s="20" t="n">
        <f aca="false">IF(C291&lt;F_R,1,0)</f>
        <v>0</v>
      </c>
      <c r="H291" s="50" t="n">
        <f aca="false">IF(AS_Bands="flat",1,E291)</f>
        <v>3.09178859221323</v>
      </c>
      <c r="I291" s="50" t="n">
        <f aca="false">IF(AS_SpGrow="pay",F291,IF(AS_SpGrow="flat",1,E291))</f>
        <v>3.09178859221323</v>
      </c>
      <c r="J291" s="50" t="n">
        <f aca="false">(12*PR_PRSIr0+(PR_PRSIr1-PR_PRSIr0)*MAX(0,MIN(12,D291*12+12-PR_PRSIt1))+(PR_PRSIr2-PR_PRSIr1)*MAX(0,MIN(12,D291*12+12-PR_PRSIt2))+(PR_PRSIr3-PR_PRSIr2)*MAX(0,MIN(12,D291*12+12-PR_PRSIt3)))/12</f>
        <v>0.047</v>
      </c>
      <c r="K291" s="20" t="n">
        <f aca="false">IF(G291=1,F_Income*F291,0)</f>
        <v>0</v>
      </c>
      <c r="L291" s="20" t="n">
        <f aca="false">IF(G291=1,(F_Own+In_penExtra)*12*F291,0)</f>
        <v>0</v>
      </c>
      <c r="M291" s="20" t="n">
        <f aca="false">IF(G291=1,(F_PenM+In_penExtra)*12*F291,0)</f>
        <v>0</v>
      </c>
      <c r="N291" s="51" t="n">
        <f aca="false">IF(C291&lt;PR_RelA1,PR_RelP1,IF(C291&lt;PR_RelA2,PR_RelP2,IF(C291&lt;PR_RelA3,PR_RelP3,IF(C291&lt;PR_RelA4,PR_RelP4,IF(C291&lt;PR_RelA5,PR_RelP5,PR_RelP6)))))</f>
        <v>0.4</v>
      </c>
      <c r="O291" s="20" t="n">
        <f aca="false">IF(G291=1,MIN(L291/H291,N291*MIN(K291/H291,PR_EarnCap))*H291,0)</f>
        <v>0</v>
      </c>
      <c r="P291" s="20" t="n">
        <f aca="false">IF(AND(G291=1,F_AE=1),MIN(K291/H291,PR_AEcap)*H291,0)</f>
        <v>0</v>
      </c>
      <c r="Q291" s="20" t="n">
        <f aca="false">IF(G291=1,IF(WI_Retire=1,MAX(0,M291+WI_M*12),M291)+(PR_AEee+PR_AEer+PR_AEst)*P291,0)</f>
        <v>0</v>
      </c>
      <c r="R291" s="20" t="n">
        <f aca="false">L291+PR_AEee*P291</f>
        <v>0</v>
      </c>
      <c r="S291" s="20" t="n">
        <f aca="false">AD290</f>
        <v>33637.1146987148</v>
      </c>
      <c r="T291" s="20" t="n">
        <f aca="false">IF(D291&lt;=PR_SFTfrom,PR_SFT2026,IF(D291=PR_SFTfrom+1,PR_SFT2027,IF(D291=PR_SFTfrom+2,PR_SFT2028,IF(D291&lt;=PR_SFTto,PR_SFT2029,PR_SFT2029*(1+AS_Infl)^(D291-PR_SFTto)))))</f>
        <v>8157692.04359281</v>
      </c>
      <c r="U291" s="20" t="n">
        <f aca="false">IF(AND(G291=0,C291=F_V),1,0)</f>
        <v>0</v>
      </c>
      <c r="V291" s="20" t="n">
        <f aca="false">IF(U291=1,PR_SFTrate*MAX(0,S291-T291),0)</f>
        <v>0</v>
      </c>
      <c r="W291" s="20" t="n">
        <f aca="false">S291-V291</f>
        <v>33637.1146987148</v>
      </c>
      <c r="X291" s="20" t="n">
        <f aca="false">IF(AND(U291=1,AS_LumpPct&gt;0),W291*MIN(AS_LumpPct,PR_LSmax),0)</f>
        <v>0</v>
      </c>
      <c r="Y291" s="20" t="n">
        <f aca="false">X291-(PR_LSrate*MAX(0,MIN(X291,PR_LScap)-PR_LSfree)+PR_r2*MAX(0,X291-PR_LScap))</f>
        <v>0</v>
      </c>
      <c r="Z291" s="20" t="n">
        <f aca="false">W291-X291</f>
        <v>33637.1146987148</v>
      </c>
      <c r="AA291" s="51" t="n">
        <f aca="false">IF(C291&gt;=PR_ARFage1,IF(Z291&gt;PR_ARFbig,PR_ARFbigRate,IF(C291&gt;=PR_ARFage2,PR_ARF71,PR_ARF61)),0)</f>
        <v>0.05</v>
      </c>
      <c r="AB291" s="20" t="n">
        <f aca="false">IF(AS_DrawRule="min",Z291*AA291,IF(AS_DrawRule="fixed",MAX(AS_DrawFixed*E291,Z291*AA291),Z291*MAX(1/MAX(1,AS_End-C291+1),AA291)))</f>
        <v>33637.1146987148</v>
      </c>
      <c r="AC291" s="20" t="n">
        <f aca="false">IF(AND(G291=0,C291&gt;=F_V),MIN(Z291,AB291),0)</f>
        <v>33637.1146987148</v>
      </c>
      <c r="AD291" s="20" t="n">
        <f aca="false">IF(G291=1,S291*(1+F_PenG)+Q291,IF(C291&lt;F_V,S291*(1+F_PenG),(Z291-AC291)*(1+AS_PenRet)))</f>
        <v>0</v>
      </c>
      <c r="AE291" s="20" t="n">
        <f aca="false">IF(C291&gt;=PR_SPage,AS_SP*F_SpF*I291+IF(AND(C291&gt;=PR_Over80Age,F_SpF&gt;0),PR_Over80*PR_Weeks*I291,0),0)</f>
        <v>49727.0910017207</v>
      </c>
      <c r="AF291" s="20" t="n">
        <f aca="false">(F_OtherM+F_RentM)*12*E291+IF(AND(In_polInc&gt;0,In_polIncAge&gt;0,C291&gt;=In_polIncAge),In_polInc,0)</f>
        <v>0</v>
      </c>
      <c r="AG291" s="20" t="n">
        <f aca="false">F_PAge+B291</f>
        <v>94</v>
      </c>
      <c r="AH291" s="20" t="n">
        <f aca="false">IF(AND(F_Partner=1,F_PAge&gt;0,AG291&lt;IF(F_PRet&gt;0,F_PRet,PR_SPage)),F_PIncome*F291,0)</f>
        <v>0</v>
      </c>
      <c r="AI291" s="20" t="n">
        <f aca="false">IF(AND(F_Partner=1,AG291&gt;=PR_SPage,F_PSpQA=0),AS_SP*F_PSpF*I291,0)</f>
        <v>38495.4887470158</v>
      </c>
      <c r="AJ291" s="20" t="n">
        <f aca="false">IF(AND(F_Partner=1,F_PSpQA=1,C291&gt;=PR_SPage,AH291=0),IF(AG291&gt;=PR_SPage,PR_QA66,PR_QAunder)*PR_Weeks*I291,0)</f>
        <v>0</v>
      </c>
      <c r="AK291" s="20" t="n">
        <f aca="false">AE291+AJ291</f>
        <v>49727.0910017207</v>
      </c>
      <c r="AL291" s="20" t="n">
        <f aca="false">K291/H291</f>
        <v>0</v>
      </c>
      <c r="AM291" s="20" t="n">
        <f aca="false">AK291/H291</f>
        <v>16083.6</v>
      </c>
      <c r="AN291" s="20" t="n">
        <f aca="false">AC291/H291</f>
        <v>10879.5002295535</v>
      </c>
      <c r="AO291" s="20" t="n">
        <f aca="false">AF291/H291</f>
        <v>0</v>
      </c>
      <c r="AP291" s="20" t="n">
        <f aca="false">O291/H291</f>
        <v>0</v>
      </c>
      <c r="AQ291" s="20" t="n">
        <f aca="false">AH291/H291</f>
        <v>0</v>
      </c>
      <c r="AR291" s="20" t="n">
        <f aca="false">AI291/H291</f>
        <v>12450.88</v>
      </c>
      <c r="AS291" s="20" t="n">
        <f aca="false">MAX(0,AL291+AN291+AO291+AM291-AP291)</f>
        <v>26963.1002295535</v>
      </c>
      <c r="AT291" s="20" t="n">
        <f aca="false">MAX(0,AQ291+AR291)</f>
        <v>12450.88</v>
      </c>
      <c r="AU291" s="20" t="n">
        <f aca="false">MIN(PR_PAYE,PR_PAYEcap*(AL291+AN291+AM291))</f>
        <v>2000</v>
      </c>
      <c r="AV291" s="20" t="n">
        <f aca="false">MIN(PR_PAYE,PR_PAYEcap*(AQ291+AR291))</f>
        <v>2000</v>
      </c>
      <c r="AW291" s="20" t="n">
        <f aca="false">IF(C291&gt;=PR_AgeCrAge,PR_AgeCr,0)</f>
        <v>245</v>
      </c>
      <c r="AX291" s="20" t="n">
        <f aca="false">IF(AG291&gt;=PR_AgeCrAge,PR_AgeCr,0)</f>
        <v>245</v>
      </c>
      <c r="AY291" s="20" t="n">
        <f aca="false">IF(AND(F_RentCred=1,D291&lt;=PR_RentLast),1,0)</f>
        <v>0</v>
      </c>
      <c r="AZ291" s="20" t="n">
        <f aca="false">AS291+AT291</f>
        <v>39413.9802295535</v>
      </c>
      <c r="BA291" s="20" t="n">
        <f aca="false">PR_PersonalM+AU291+AV291+AW291+AX291+IF(AY291=1,PR_RentJoint,0)</f>
        <v>8490</v>
      </c>
      <c r="BB291" s="20" t="n">
        <f aca="false">PR_BandM+MIN(MIN(AS291,AT291),PR_Uplift)</f>
        <v>65450.88</v>
      </c>
      <c r="BC291" s="20" t="n">
        <f aca="false">MAX(0,PR_r1*MIN(AZ291,BB291)+PR_r2*MAX(0,AZ291-BB291)-BA291)</f>
        <v>0</v>
      </c>
      <c r="BD291" s="20" t="n">
        <f aca="false">MAX(0,PR_HomeCarer-MAX(0,MIN(AS291,AT291)-PR_HCLimit)/2)</f>
        <v>0</v>
      </c>
      <c r="BE291" s="20" t="n">
        <f aca="false">IF(F_Carer=1,MIN(BC291,MAX(0,PR_r1*MIN(AZ291,PR_BandM)+PR_r2*MAX(0,AZ291-PR_BandM)-BA291-BD291)),BC291)</f>
        <v>0</v>
      </c>
      <c r="BF291" s="20" t="n">
        <f aca="false">IF(OR(C291&gt;=PR_AgeCrAge,AG291&gt;=PR_AgeCrAge),IF(AZ291&lt;=PR_AgeExM,0,MIN(BE291,PR_AgeMarg*(AZ291-PR_AgeExM))),BE291)</f>
        <v>0</v>
      </c>
      <c r="BG291" s="20" t="n">
        <f aca="false">MAX(0,PR_r1*MIN(AS291,IF(F_Spccc=1,PR_BandSPCCC,PR_Band))+PR_r2*MAX(0,AS291-IF(F_Spccc=1,PR_BandSPCCC,PR_Band))-(PR_Personal+AU291+AW291+IF(F_Spccc=1,PR_SPCCC,0)+IF(AY291=1,PR_Rent,0)))</f>
        <v>1147.62004591071</v>
      </c>
      <c r="BH291" s="20" t="n">
        <f aca="false">IF(C291&gt;=PR_AgeCrAge,IF(AS291&lt;=PR_AgeEx,0,MIN(BG291,PR_AgeMarg*(AS291-PR_AgeEx))),BG291)</f>
        <v>1147.62004591071</v>
      </c>
      <c r="BI291" s="20" t="n">
        <f aca="false">IF(F_Partner=1,MAX(0,PR_r1*MIN(AT291,PR_Band)+PR_r2*MAX(0,AT291-PR_Band)-(PR_Personal+AV291+AX291+IF(AND(AY291=1,AT291&gt;0),PR_Rent,0))),0)</f>
        <v>0</v>
      </c>
      <c r="BJ291" s="20" t="n">
        <f aca="false">IF(AG291&gt;=PR_AgeCrAge,IF(AT291&lt;=PR_AgeEx,0,MIN(BI291,PR_AgeMarg*(AT291-PR_AgeEx))),BI291)</f>
        <v>0</v>
      </c>
      <c r="BK291" s="20" t="n">
        <f aca="false">IF(F_Partner=1,IF(F_Married=1,BF291,BH291+BJ291),BH291)</f>
        <v>1147.62004591071</v>
      </c>
      <c r="BL291" s="20" t="n">
        <f aca="false">AL291+AN291+AO291</f>
        <v>10879.5002295535</v>
      </c>
      <c r="BM291" s="20"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20" t="n">
        <f aca="false">AQ291</f>
        <v>0</v>
      </c>
      <c r="BO291" s="20"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20" t="n">
        <f aca="false">IF(C291&lt;PR_PRSIend,IF(F_SelfEmp=1,IF(AL291&gt;PR_PRSIsMinInc,MAX(PR_PRSIsMin,AL291*J291),0),IF(AL291/52&lt;=PR_PRSIfree,0,MAX(0,(AL291/52*J291-IF(AL291/52&lt;=PR_PRSIcreditTo,MAX(0,PR_PRSIcreditMax-(AL291/52-(PR_PRSIfree+0.01))/PR_PRSItaper),0))*52)))+J291*AN291+IF(AO291&gt;PR_PRSIunearned,J291*AO291,0),0)+IF(AND(PRSI_ARF_Applies=1,AN291&gt;0,C291&gt;=PR_PRSIend,C291&lt;PRSI_ARF_ToAge,NOT(AK291&gt;0)),J291*AN291,0)</f>
        <v>0</v>
      </c>
      <c r="BQ291" s="20" t="n">
        <f aca="false">IF(AND(F_Partner=1,AG291&lt;PR_PRSIend),IF(AQ291/52&lt;=PR_PRSIfree,0,MAX(0,(AQ291/52*J291-IF(AQ291/52&lt;=PR_PRSIcreditTo,MAX(0,PR_PRSIcreditMax-(AQ291/52-(PR_PRSIfree+0.01))/PR_PRSItaper),0))*52)),0)</f>
        <v>0</v>
      </c>
      <c r="BR291" s="20" t="n">
        <f aca="false">BK291+BM291+BO291+BP291+BQ291</f>
        <v>1147.62004591071</v>
      </c>
      <c r="BS291" s="20" t="n">
        <f aca="false">BR291*H291</f>
        <v>3548.19856614195</v>
      </c>
      <c r="BT291" s="20" t="n">
        <f aca="false">K291+AK291+AC291+AF291+AH291+AI291</f>
        <v>121859.694447451</v>
      </c>
    </row>
    <row r="292" customFormat="false" ht="15" hidden="false" customHeight="true" outlineLevel="0" collapsed="false">
      <c r="B292" s="20" t="n">
        <v>58</v>
      </c>
      <c r="C292" s="20" t="n">
        <f aca="false">F_Age+B292</f>
        <v>96</v>
      </c>
      <c r="D292" s="20" t="n">
        <f aca="false">AS_Year0+B292</f>
        <v>2084</v>
      </c>
      <c r="E292" s="50" t="n">
        <f aca="false">(1+AS_Infl)^B292</f>
        <v>3.15362436405749</v>
      </c>
      <c r="F292" s="50" t="n">
        <f aca="false">(1+AS_Wage)^B292</f>
        <v>5.55340098411325</v>
      </c>
      <c r="G292" s="20" t="n">
        <f aca="false">IF(C292&lt;F_R,1,0)</f>
        <v>0</v>
      </c>
      <c r="H292" s="50" t="n">
        <f aca="false">IF(AS_Bands="flat",1,E292)</f>
        <v>3.15362436405749</v>
      </c>
      <c r="I292" s="50" t="n">
        <f aca="false">IF(AS_SpGrow="pay",F292,IF(AS_SpGrow="flat",1,E292))</f>
        <v>3.15362436405749</v>
      </c>
      <c r="J292" s="50" t="n">
        <f aca="false">(12*PR_PRSIr0+(PR_PRSIr1-PR_PRSIr0)*MAX(0,MIN(12,D292*12+12-PR_PRSIt1))+(PR_PRSIr2-PR_PRSIr1)*MAX(0,MIN(12,D292*12+12-PR_PRSIt2))+(PR_PRSIr3-PR_PRSIr2)*MAX(0,MIN(12,D292*12+12-PR_PRSIt3)))/12</f>
        <v>0.047</v>
      </c>
      <c r="K292" s="20" t="n">
        <f aca="false">IF(G292=1,F_Income*F292,0)</f>
        <v>0</v>
      </c>
      <c r="L292" s="20" t="n">
        <f aca="false">IF(G292=1,(F_Own+In_penExtra)*12*F292,0)</f>
        <v>0</v>
      </c>
      <c r="M292" s="20" t="n">
        <f aca="false">IF(G292=1,(F_PenM+In_penExtra)*12*F292,0)</f>
        <v>0</v>
      </c>
      <c r="N292" s="51" t="n">
        <f aca="false">IF(C292&lt;PR_RelA1,PR_RelP1,IF(C292&lt;PR_RelA2,PR_RelP2,IF(C292&lt;PR_RelA3,PR_RelP3,IF(C292&lt;PR_RelA4,PR_RelP4,IF(C292&lt;PR_RelA5,PR_RelP5,PR_RelP6)))))</f>
        <v>0.4</v>
      </c>
      <c r="O292" s="20" t="n">
        <f aca="false">IF(G292=1,MIN(L292/H292,N292*MIN(K292/H292,PR_EarnCap))*H292,0)</f>
        <v>0</v>
      </c>
      <c r="P292" s="20" t="n">
        <f aca="false">IF(AND(G292=1,F_AE=1),MIN(K292/H292,PR_AEcap)*H292,0)</f>
        <v>0</v>
      </c>
      <c r="Q292" s="20" t="n">
        <f aca="false">IF(G292=1,IF(WI_Retire=1,MAX(0,M292+WI_M*12),M292)+(PR_AEee+PR_AEer+PR_AEst)*P292,0)</f>
        <v>0</v>
      </c>
      <c r="R292" s="20" t="n">
        <f aca="false">L292+PR_AEee*P292</f>
        <v>0</v>
      </c>
      <c r="S292" s="20" t="n">
        <f aca="false">AD291</f>
        <v>0</v>
      </c>
      <c r="T292" s="20" t="n">
        <f aca="false">IF(D292&lt;=PR_SFTfrom,PR_SFT2026,IF(D292=PR_SFTfrom+1,PR_SFT2027,IF(D292=PR_SFTfrom+2,PR_SFT2028,IF(D292&lt;=PR_SFTto,PR_SFT2029,PR_SFT2029*(1+AS_Infl)^(D292-PR_SFTto)))))</f>
        <v>8320845.88446466</v>
      </c>
      <c r="U292" s="20" t="n">
        <f aca="false">IF(AND(G292=0,C292=F_V),1,0)</f>
        <v>0</v>
      </c>
      <c r="V292" s="20" t="n">
        <f aca="false">IF(U292=1,PR_SFTrate*MAX(0,S292-T292),0)</f>
        <v>0</v>
      </c>
      <c r="W292" s="20" t="n">
        <f aca="false">S292-V292</f>
        <v>0</v>
      </c>
      <c r="X292" s="20" t="n">
        <f aca="false">IF(AND(U292=1,AS_LumpPct&gt;0),W292*MIN(AS_LumpPct,PR_LSmax),0)</f>
        <v>0</v>
      </c>
      <c r="Y292" s="20" t="n">
        <f aca="false">X292-(PR_LSrate*MAX(0,MIN(X292,PR_LScap)-PR_LSfree)+PR_r2*MAX(0,X292-PR_LScap))</f>
        <v>0</v>
      </c>
      <c r="Z292" s="20" t="n">
        <f aca="false">W292-X292</f>
        <v>0</v>
      </c>
      <c r="AA292" s="51" t="n">
        <f aca="false">IF(C292&gt;=PR_ARFage1,IF(Z292&gt;PR_ARFbig,PR_ARFbigRate,IF(C292&gt;=PR_ARFage2,PR_ARF71,PR_ARF61)),0)</f>
        <v>0.05</v>
      </c>
      <c r="AB292" s="20" t="n">
        <f aca="false">IF(AS_DrawRule="min",Z292*AA292,IF(AS_DrawRule="fixed",MAX(AS_DrawFixed*E292,Z292*AA292),Z292*MAX(1/MAX(1,AS_End-C292+1),AA292)))</f>
        <v>0</v>
      </c>
      <c r="AC292" s="20" t="n">
        <f aca="false">IF(AND(G292=0,C292&gt;=F_V),MIN(Z292,AB292),0)</f>
        <v>0</v>
      </c>
      <c r="AD292" s="20" t="n">
        <f aca="false">IF(G292=1,S292*(1+F_PenG)+Q292,IF(C292&lt;F_V,S292*(1+F_PenG),(Z292-AC292)*(1+AS_PenRet)))</f>
        <v>0</v>
      </c>
      <c r="AE292" s="20" t="n">
        <f aca="false">IF(C292&gt;=PR_SPage,AS_SP*F_SpF*I292+IF(AND(C292&gt;=PR_Over80Age,F_SpF&gt;0),PR_Over80*PR_Weeks*I292,0),0)</f>
        <v>50721.6328217551</v>
      </c>
      <c r="AF292" s="20" t="n">
        <f aca="false">(F_OtherM+F_RentM)*12*E292+IF(AND(In_polInc&gt;0,In_polIncAge&gt;0,C292&gt;=In_polIncAge),In_polInc,0)</f>
        <v>0</v>
      </c>
      <c r="AG292" s="20" t="n">
        <f aca="false">F_PAge+B292</f>
        <v>95</v>
      </c>
      <c r="AH292" s="20" t="n">
        <f aca="false">IF(AND(F_Partner=1,F_PAge&gt;0,AG292&lt;IF(F_PRet&gt;0,F_PRet,PR_SPage)),F_PIncome*F292,0)</f>
        <v>0</v>
      </c>
      <c r="AI292" s="20" t="n">
        <f aca="false">IF(AND(F_Partner=1,AG292&gt;=PR_SPage,F_PSpQA=0),AS_SP*F_PSpF*I292,0)</f>
        <v>39265.3985219561</v>
      </c>
      <c r="AJ292" s="20" t="n">
        <f aca="false">IF(AND(F_Partner=1,F_PSpQA=1,C292&gt;=PR_SPage,AH292=0),IF(AG292&gt;=PR_SPage,PR_QA66,PR_QAunder)*PR_Weeks*I292,0)</f>
        <v>0</v>
      </c>
      <c r="AK292" s="20" t="n">
        <f aca="false">AE292+AJ292</f>
        <v>50721.6328217551</v>
      </c>
      <c r="AL292" s="20" t="n">
        <f aca="false">K292/H292</f>
        <v>0</v>
      </c>
      <c r="AM292" s="20" t="n">
        <f aca="false">AK292/H292</f>
        <v>16083.6</v>
      </c>
      <c r="AN292" s="20" t="n">
        <f aca="false">AC292/H292</f>
        <v>0</v>
      </c>
      <c r="AO292" s="20" t="n">
        <f aca="false">AF292/H292</f>
        <v>0</v>
      </c>
      <c r="AP292" s="20" t="n">
        <f aca="false">O292/H292</f>
        <v>0</v>
      </c>
      <c r="AQ292" s="20" t="n">
        <f aca="false">AH292/H292</f>
        <v>0</v>
      </c>
      <c r="AR292" s="20" t="n">
        <f aca="false">AI292/H292</f>
        <v>12450.88</v>
      </c>
      <c r="AS292" s="20" t="n">
        <f aca="false">MAX(0,AL292+AN292+AO292+AM292-AP292)</f>
        <v>16083.6</v>
      </c>
      <c r="AT292" s="20" t="n">
        <f aca="false">MAX(0,AQ292+AR292)</f>
        <v>12450.88</v>
      </c>
      <c r="AU292" s="20" t="n">
        <f aca="false">MIN(PR_PAYE,PR_PAYEcap*(AL292+AN292+AM292))</f>
        <v>2000</v>
      </c>
      <c r="AV292" s="20" t="n">
        <f aca="false">MIN(PR_PAYE,PR_PAYEcap*(AQ292+AR292))</f>
        <v>2000</v>
      </c>
      <c r="AW292" s="20" t="n">
        <f aca="false">IF(C292&gt;=PR_AgeCrAge,PR_AgeCr,0)</f>
        <v>245</v>
      </c>
      <c r="AX292" s="20" t="n">
        <f aca="false">IF(AG292&gt;=PR_AgeCrAge,PR_AgeCr,0)</f>
        <v>245</v>
      </c>
      <c r="AY292" s="20" t="n">
        <f aca="false">IF(AND(F_RentCred=1,D292&lt;=PR_RentLast),1,0)</f>
        <v>0</v>
      </c>
      <c r="AZ292" s="20" t="n">
        <f aca="false">AS292+AT292</f>
        <v>28534.48</v>
      </c>
      <c r="BA292" s="20" t="n">
        <f aca="false">PR_PersonalM+AU292+AV292+AW292+AX292+IF(AY292=1,PR_RentJoint,0)</f>
        <v>8490</v>
      </c>
      <c r="BB292" s="20" t="n">
        <f aca="false">PR_BandM+MIN(MIN(AS292,AT292),PR_Uplift)</f>
        <v>65450.88</v>
      </c>
      <c r="BC292" s="20" t="n">
        <f aca="false">MAX(0,PR_r1*MIN(AZ292,BB292)+PR_r2*MAX(0,AZ292-BB292)-BA292)</f>
        <v>0</v>
      </c>
      <c r="BD292" s="20" t="n">
        <f aca="false">MAX(0,PR_HomeCarer-MAX(0,MIN(AS292,AT292)-PR_HCLimit)/2)</f>
        <v>0</v>
      </c>
      <c r="BE292" s="20" t="n">
        <f aca="false">IF(F_Carer=1,MIN(BC292,MAX(0,PR_r1*MIN(AZ292,PR_BandM)+PR_r2*MAX(0,AZ292-PR_BandM)-BA292-BD292)),BC292)</f>
        <v>0</v>
      </c>
      <c r="BF292" s="20" t="n">
        <f aca="false">IF(OR(C292&gt;=PR_AgeCrAge,AG292&gt;=PR_AgeCrAge),IF(AZ292&lt;=PR_AgeExM,0,MIN(BE292,PR_AgeMarg*(AZ292-PR_AgeExM))),BE292)</f>
        <v>0</v>
      </c>
      <c r="BG292" s="20" t="n">
        <f aca="false">MAX(0,PR_r1*MIN(AS292,IF(F_Spccc=1,PR_BandSPCCC,PR_Band))+PR_r2*MAX(0,AS292-IF(F_Spccc=1,PR_BandSPCCC,PR_Band))-(PR_Personal+AU292+AW292+IF(F_Spccc=1,PR_SPCCC,0)+IF(AY292=1,PR_Rent,0)))</f>
        <v>0</v>
      </c>
      <c r="BH292" s="20" t="n">
        <f aca="false">IF(C292&gt;=PR_AgeCrAge,IF(AS292&lt;=PR_AgeEx,0,MIN(BG292,PR_AgeMarg*(AS292-PR_AgeEx))),BG292)</f>
        <v>0</v>
      </c>
      <c r="BI292" s="20" t="n">
        <f aca="false">IF(F_Partner=1,MAX(0,PR_r1*MIN(AT292,PR_Band)+PR_r2*MAX(0,AT292-PR_Band)-(PR_Personal+AV292+AX292+IF(AND(AY292=1,AT292&gt;0),PR_Rent,0))),0)</f>
        <v>0</v>
      </c>
      <c r="BJ292" s="20" t="n">
        <f aca="false">IF(AG292&gt;=PR_AgeCrAge,IF(AT292&lt;=PR_AgeEx,0,MIN(BI292,PR_AgeMarg*(AT292-PR_AgeEx))),BI292)</f>
        <v>0</v>
      </c>
      <c r="BK292" s="20" t="n">
        <f aca="false">IF(F_Partner=1,IF(F_Married=1,BF292,BH292+BJ292),BH292)</f>
        <v>0</v>
      </c>
      <c r="BL292" s="20" t="n">
        <f aca="false">AL292+AN292+AO292</f>
        <v>0</v>
      </c>
      <c r="BM292" s="20"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20" t="n">
        <f aca="false">AQ292</f>
        <v>0</v>
      </c>
      <c r="BO292" s="20"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20" t="n">
        <f aca="false">IF(C292&lt;PR_PRSIend,IF(F_SelfEmp=1,IF(AL292&gt;PR_PRSIsMinInc,MAX(PR_PRSIsMin,AL292*J292),0),IF(AL292/52&lt;=PR_PRSIfree,0,MAX(0,(AL292/52*J292-IF(AL292/52&lt;=PR_PRSIcreditTo,MAX(0,PR_PRSIcreditMax-(AL292/52-(PR_PRSIfree+0.01))/PR_PRSItaper),0))*52)))+J292*AN292+IF(AO292&gt;PR_PRSIunearned,J292*AO292,0),0)+IF(AND(PRSI_ARF_Applies=1,AN292&gt;0,C292&gt;=PR_PRSIend,C292&lt;PRSI_ARF_ToAge,NOT(AK292&gt;0)),J292*AN292,0)</f>
        <v>0</v>
      </c>
      <c r="BQ292" s="20" t="n">
        <f aca="false">IF(AND(F_Partner=1,AG292&lt;PR_PRSIend),IF(AQ292/52&lt;=PR_PRSIfree,0,MAX(0,(AQ292/52*J292-IF(AQ292/52&lt;=PR_PRSIcreditTo,MAX(0,PR_PRSIcreditMax-(AQ292/52-(PR_PRSIfree+0.01))/PR_PRSItaper),0))*52)),0)</f>
        <v>0</v>
      </c>
      <c r="BR292" s="20" t="n">
        <f aca="false">BK292+BM292+BO292+BP292+BQ292</f>
        <v>0</v>
      </c>
      <c r="BS292" s="20" t="n">
        <f aca="false">BR292*H292</f>
        <v>0</v>
      </c>
      <c r="BT292" s="20" t="n">
        <f aca="false">K292+AK292+AC292+AF292+AH292+AI292</f>
        <v>89987.0313437112</v>
      </c>
    </row>
    <row r="293" customFormat="false" ht="15" hidden="false" customHeight="true" outlineLevel="0" collapsed="false">
      <c r="B293" s="20" t="n">
        <v>59</v>
      </c>
      <c r="C293" s="20" t="n">
        <f aca="false">F_Age+B293</f>
        <v>97</v>
      </c>
      <c r="D293" s="20" t="n">
        <f aca="false">AS_Year0+B293</f>
        <v>2085</v>
      </c>
      <c r="E293" s="50" t="n">
        <f aca="false">(1+AS_Infl)^B293</f>
        <v>3.21669685133864</v>
      </c>
      <c r="F293" s="50" t="n">
        <f aca="false">(1+AS_Wage)^B293</f>
        <v>5.72000301363665</v>
      </c>
      <c r="G293" s="20" t="n">
        <f aca="false">IF(C293&lt;F_R,1,0)</f>
        <v>0</v>
      </c>
      <c r="H293" s="50" t="n">
        <f aca="false">IF(AS_Bands="flat",1,E293)</f>
        <v>3.21669685133864</v>
      </c>
      <c r="I293" s="50" t="n">
        <f aca="false">IF(AS_SpGrow="pay",F293,IF(AS_SpGrow="flat",1,E293))</f>
        <v>3.21669685133864</v>
      </c>
      <c r="J293" s="50" t="n">
        <f aca="false">(12*PR_PRSIr0+(PR_PRSIr1-PR_PRSIr0)*MAX(0,MIN(12,D293*12+12-PR_PRSIt1))+(PR_PRSIr2-PR_PRSIr1)*MAX(0,MIN(12,D293*12+12-PR_PRSIt2))+(PR_PRSIr3-PR_PRSIr2)*MAX(0,MIN(12,D293*12+12-PR_PRSIt3)))/12</f>
        <v>0.047</v>
      </c>
      <c r="K293" s="20" t="n">
        <f aca="false">IF(G293=1,F_Income*F293,0)</f>
        <v>0</v>
      </c>
      <c r="L293" s="20" t="n">
        <f aca="false">IF(G293=1,(F_Own+In_penExtra)*12*F293,0)</f>
        <v>0</v>
      </c>
      <c r="M293" s="20" t="n">
        <f aca="false">IF(G293=1,(F_PenM+In_penExtra)*12*F293,0)</f>
        <v>0</v>
      </c>
      <c r="N293" s="51" t="n">
        <f aca="false">IF(C293&lt;PR_RelA1,PR_RelP1,IF(C293&lt;PR_RelA2,PR_RelP2,IF(C293&lt;PR_RelA3,PR_RelP3,IF(C293&lt;PR_RelA4,PR_RelP4,IF(C293&lt;PR_RelA5,PR_RelP5,PR_RelP6)))))</f>
        <v>0.4</v>
      </c>
      <c r="O293" s="20" t="n">
        <f aca="false">IF(G293=1,MIN(L293/H293,N293*MIN(K293/H293,PR_EarnCap))*H293,0)</f>
        <v>0</v>
      </c>
      <c r="P293" s="20" t="n">
        <f aca="false">IF(AND(G293=1,F_AE=1),MIN(K293/H293,PR_AEcap)*H293,0)</f>
        <v>0</v>
      </c>
      <c r="Q293" s="20" t="n">
        <f aca="false">IF(G293=1,IF(WI_Retire=1,MAX(0,M293+WI_M*12),M293)+(PR_AEee+PR_AEer+PR_AEst)*P293,0)</f>
        <v>0</v>
      </c>
      <c r="R293" s="20" t="n">
        <f aca="false">L293+PR_AEee*P293</f>
        <v>0</v>
      </c>
      <c r="S293" s="20" t="n">
        <f aca="false">AD292</f>
        <v>0</v>
      </c>
      <c r="T293" s="20" t="n">
        <f aca="false">IF(D293&lt;=PR_SFTfrom,PR_SFT2026,IF(D293=PR_SFTfrom+1,PR_SFT2027,IF(D293=PR_SFTfrom+2,PR_SFT2028,IF(D293&lt;=PR_SFTto,PR_SFT2029,PR_SFT2029*(1+AS_Infl)^(D293-PR_SFTto)))))</f>
        <v>8487262.80215396</v>
      </c>
      <c r="U293" s="20" t="n">
        <f aca="false">IF(AND(G293=0,C293=F_V),1,0)</f>
        <v>0</v>
      </c>
      <c r="V293" s="20" t="n">
        <f aca="false">IF(U293=1,PR_SFTrate*MAX(0,S293-T293),0)</f>
        <v>0</v>
      </c>
      <c r="W293" s="20" t="n">
        <f aca="false">S293-V293</f>
        <v>0</v>
      </c>
      <c r="X293" s="20" t="n">
        <f aca="false">IF(AND(U293=1,AS_LumpPct&gt;0),W293*MIN(AS_LumpPct,PR_LSmax),0)</f>
        <v>0</v>
      </c>
      <c r="Y293" s="20" t="n">
        <f aca="false">X293-(PR_LSrate*MAX(0,MIN(X293,PR_LScap)-PR_LSfree)+PR_r2*MAX(0,X293-PR_LScap))</f>
        <v>0</v>
      </c>
      <c r="Z293" s="20" t="n">
        <f aca="false">W293-X293</f>
        <v>0</v>
      </c>
      <c r="AA293" s="51" t="n">
        <f aca="false">IF(C293&gt;=PR_ARFage1,IF(Z293&gt;PR_ARFbig,PR_ARFbigRate,IF(C293&gt;=PR_ARFage2,PR_ARF71,PR_ARF61)),0)</f>
        <v>0.05</v>
      </c>
      <c r="AB293" s="20" t="n">
        <f aca="false">IF(AS_DrawRule="min",Z293*AA293,IF(AS_DrawRule="fixed",MAX(AS_DrawFixed*E293,Z293*AA293),Z293*MAX(1/MAX(1,AS_End-C293+1),AA293)))</f>
        <v>0</v>
      </c>
      <c r="AC293" s="20" t="n">
        <f aca="false">IF(AND(G293=0,C293&gt;=F_V),MIN(Z293,AB293),0)</f>
        <v>0</v>
      </c>
      <c r="AD293" s="20" t="n">
        <f aca="false">IF(G293=1,S293*(1+F_PenG)+Q293,IF(C293&lt;F_V,S293*(1+F_PenG),(Z293-AC293)*(1+AS_PenRet)))</f>
        <v>0</v>
      </c>
      <c r="AE293" s="20" t="n">
        <f aca="false">IF(C293&gt;=PR_SPage,AS_SP*F_SpF*I293+IF(AND(C293&gt;=PR_Over80Age,F_SpF&gt;0),PR_Over80*PR_Weeks*I293,0),0)</f>
        <v>51736.0654781902</v>
      </c>
      <c r="AF293" s="20" t="n">
        <f aca="false">(F_OtherM+F_RentM)*12*E293+IF(AND(In_polInc&gt;0,In_polIncAge&gt;0,C293&gt;=In_polIncAge),In_polInc,0)</f>
        <v>0</v>
      </c>
      <c r="AG293" s="20" t="n">
        <f aca="false">F_PAge+B293</f>
        <v>96</v>
      </c>
      <c r="AH293" s="20" t="n">
        <f aca="false">IF(AND(F_Partner=1,F_PAge&gt;0,AG293&lt;IF(F_PRet&gt;0,F_PRet,PR_SPage)),F_PIncome*F293,0)</f>
        <v>0</v>
      </c>
      <c r="AI293" s="20" t="n">
        <f aca="false">IF(AND(F_Partner=1,AG293&gt;=PR_SPage,F_PSpQA=0),AS_SP*F_PSpF*I293,0)</f>
        <v>40050.7064923953</v>
      </c>
      <c r="AJ293" s="20" t="n">
        <f aca="false">IF(AND(F_Partner=1,F_PSpQA=1,C293&gt;=PR_SPage,AH293=0),IF(AG293&gt;=PR_SPage,PR_QA66,PR_QAunder)*PR_Weeks*I293,0)</f>
        <v>0</v>
      </c>
      <c r="AK293" s="20" t="n">
        <f aca="false">AE293+AJ293</f>
        <v>51736.0654781902</v>
      </c>
      <c r="AL293" s="20" t="n">
        <f aca="false">K293/H293</f>
        <v>0</v>
      </c>
      <c r="AM293" s="20" t="n">
        <f aca="false">AK293/H293</f>
        <v>16083.6</v>
      </c>
      <c r="AN293" s="20" t="n">
        <f aca="false">AC293/H293</f>
        <v>0</v>
      </c>
      <c r="AO293" s="20" t="n">
        <f aca="false">AF293/H293</f>
        <v>0</v>
      </c>
      <c r="AP293" s="20" t="n">
        <f aca="false">O293/H293</f>
        <v>0</v>
      </c>
      <c r="AQ293" s="20" t="n">
        <f aca="false">AH293/H293</f>
        <v>0</v>
      </c>
      <c r="AR293" s="20" t="n">
        <f aca="false">AI293/H293</f>
        <v>12450.88</v>
      </c>
      <c r="AS293" s="20" t="n">
        <f aca="false">MAX(0,AL293+AN293+AO293+AM293-AP293)</f>
        <v>16083.6</v>
      </c>
      <c r="AT293" s="20" t="n">
        <f aca="false">MAX(0,AQ293+AR293)</f>
        <v>12450.88</v>
      </c>
      <c r="AU293" s="20" t="n">
        <f aca="false">MIN(PR_PAYE,PR_PAYEcap*(AL293+AN293+AM293))</f>
        <v>2000</v>
      </c>
      <c r="AV293" s="20" t="n">
        <f aca="false">MIN(PR_PAYE,PR_PAYEcap*(AQ293+AR293))</f>
        <v>2000</v>
      </c>
      <c r="AW293" s="20" t="n">
        <f aca="false">IF(C293&gt;=PR_AgeCrAge,PR_AgeCr,0)</f>
        <v>245</v>
      </c>
      <c r="AX293" s="20" t="n">
        <f aca="false">IF(AG293&gt;=PR_AgeCrAge,PR_AgeCr,0)</f>
        <v>245</v>
      </c>
      <c r="AY293" s="20" t="n">
        <f aca="false">IF(AND(F_RentCred=1,D293&lt;=PR_RentLast),1,0)</f>
        <v>0</v>
      </c>
      <c r="AZ293" s="20" t="n">
        <f aca="false">AS293+AT293</f>
        <v>28534.48</v>
      </c>
      <c r="BA293" s="20" t="n">
        <f aca="false">PR_PersonalM+AU293+AV293+AW293+AX293+IF(AY293=1,PR_RentJoint,0)</f>
        <v>8490</v>
      </c>
      <c r="BB293" s="20" t="n">
        <f aca="false">PR_BandM+MIN(MIN(AS293,AT293),PR_Uplift)</f>
        <v>65450.88</v>
      </c>
      <c r="BC293" s="20" t="n">
        <f aca="false">MAX(0,PR_r1*MIN(AZ293,BB293)+PR_r2*MAX(0,AZ293-BB293)-BA293)</f>
        <v>0</v>
      </c>
      <c r="BD293" s="20" t="n">
        <f aca="false">MAX(0,PR_HomeCarer-MAX(0,MIN(AS293,AT293)-PR_HCLimit)/2)</f>
        <v>0</v>
      </c>
      <c r="BE293" s="20" t="n">
        <f aca="false">IF(F_Carer=1,MIN(BC293,MAX(0,PR_r1*MIN(AZ293,PR_BandM)+PR_r2*MAX(0,AZ293-PR_BandM)-BA293-BD293)),BC293)</f>
        <v>0</v>
      </c>
      <c r="BF293" s="20" t="n">
        <f aca="false">IF(OR(C293&gt;=PR_AgeCrAge,AG293&gt;=PR_AgeCrAge),IF(AZ293&lt;=PR_AgeExM,0,MIN(BE293,PR_AgeMarg*(AZ293-PR_AgeExM))),BE293)</f>
        <v>0</v>
      </c>
      <c r="BG293" s="20" t="n">
        <f aca="false">MAX(0,PR_r1*MIN(AS293,IF(F_Spccc=1,PR_BandSPCCC,PR_Band))+PR_r2*MAX(0,AS293-IF(F_Spccc=1,PR_BandSPCCC,PR_Band))-(PR_Personal+AU293+AW293+IF(F_Spccc=1,PR_SPCCC,0)+IF(AY293=1,PR_Rent,0)))</f>
        <v>0</v>
      </c>
      <c r="BH293" s="20" t="n">
        <f aca="false">IF(C293&gt;=PR_AgeCrAge,IF(AS293&lt;=PR_AgeEx,0,MIN(BG293,PR_AgeMarg*(AS293-PR_AgeEx))),BG293)</f>
        <v>0</v>
      </c>
      <c r="BI293" s="20" t="n">
        <f aca="false">IF(F_Partner=1,MAX(0,PR_r1*MIN(AT293,PR_Band)+PR_r2*MAX(0,AT293-PR_Band)-(PR_Personal+AV293+AX293+IF(AND(AY293=1,AT293&gt;0),PR_Rent,0))),0)</f>
        <v>0</v>
      </c>
      <c r="BJ293" s="20" t="n">
        <f aca="false">IF(AG293&gt;=PR_AgeCrAge,IF(AT293&lt;=PR_AgeEx,0,MIN(BI293,PR_AgeMarg*(AT293-PR_AgeEx))),BI293)</f>
        <v>0</v>
      </c>
      <c r="BK293" s="20" t="n">
        <f aca="false">IF(F_Partner=1,IF(F_Married=1,BF293,BH293+BJ293),BH293)</f>
        <v>0</v>
      </c>
      <c r="BL293" s="20" t="n">
        <f aca="false">AL293+AN293+AO293</f>
        <v>0</v>
      </c>
      <c r="BM293" s="20"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20" t="n">
        <f aca="false">AQ293</f>
        <v>0</v>
      </c>
      <c r="BO293" s="20"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20" t="n">
        <f aca="false">IF(C293&lt;PR_PRSIend,IF(F_SelfEmp=1,IF(AL293&gt;PR_PRSIsMinInc,MAX(PR_PRSIsMin,AL293*J293),0),IF(AL293/52&lt;=PR_PRSIfree,0,MAX(0,(AL293/52*J293-IF(AL293/52&lt;=PR_PRSIcreditTo,MAX(0,PR_PRSIcreditMax-(AL293/52-(PR_PRSIfree+0.01))/PR_PRSItaper),0))*52)))+J293*AN293+IF(AO293&gt;PR_PRSIunearned,J293*AO293,0),0)+IF(AND(PRSI_ARF_Applies=1,AN293&gt;0,C293&gt;=PR_PRSIend,C293&lt;PRSI_ARF_ToAge,NOT(AK293&gt;0)),J293*AN293,0)</f>
        <v>0</v>
      </c>
      <c r="BQ293" s="20" t="n">
        <f aca="false">IF(AND(F_Partner=1,AG293&lt;PR_PRSIend),IF(AQ293/52&lt;=PR_PRSIfree,0,MAX(0,(AQ293/52*J293-IF(AQ293/52&lt;=PR_PRSIcreditTo,MAX(0,PR_PRSIcreditMax-(AQ293/52-(PR_PRSIfree+0.01))/PR_PRSItaper),0))*52)),0)</f>
        <v>0</v>
      </c>
      <c r="BR293" s="20" t="n">
        <f aca="false">BK293+BM293+BO293+BP293+BQ293</f>
        <v>0</v>
      </c>
      <c r="BS293" s="20" t="n">
        <f aca="false">BR293*H293</f>
        <v>0</v>
      </c>
      <c r="BT293" s="20" t="n">
        <f aca="false">K293+AK293+AC293+AF293+AH293+AI293</f>
        <v>91786.7719705854</v>
      </c>
    </row>
    <row r="294" customFormat="false" ht="15" hidden="false" customHeight="true" outlineLevel="0" collapsed="false">
      <c r="B294" s="20" t="n">
        <v>60</v>
      </c>
      <c r="C294" s="20" t="n">
        <f aca="false">F_Age+B294</f>
        <v>98</v>
      </c>
      <c r="D294" s="20" t="n">
        <f aca="false">AS_Year0+B294</f>
        <v>2086</v>
      </c>
      <c r="E294" s="50" t="n">
        <f aca="false">(1+AS_Infl)^B294</f>
        <v>3.28103078836541</v>
      </c>
      <c r="F294" s="50" t="n">
        <f aca="false">(1+AS_Wage)^B294</f>
        <v>5.89160310404575</v>
      </c>
      <c r="G294" s="20" t="n">
        <f aca="false">IF(C294&lt;F_R,1,0)</f>
        <v>0</v>
      </c>
      <c r="H294" s="50" t="n">
        <f aca="false">IF(AS_Bands="flat",1,E294)</f>
        <v>3.28103078836541</v>
      </c>
      <c r="I294" s="50" t="n">
        <f aca="false">IF(AS_SpGrow="pay",F294,IF(AS_SpGrow="flat",1,E294))</f>
        <v>3.28103078836541</v>
      </c>
      <c r="J294" s="50" t="n">
        <f aca="false">(12*PR_PRSIr0+(PR_PRSIr1-PR_PRSIr0)*MAX(0,MIN(12,D294*12+12-PR_PRSIt1))+(PR_PRSIr2-PR_PRSIr1)*MAX(0,MIN(12,D294*12+12-PR_PRSIt2))+(PR_PRSIr3-PR_PRSIr2)*MAX(0,MIN(12,D294*12+12-PR_PRSIt3)))/12</f>
        <v>0.047</v>
      </c>
      <c r="K294" s="20" t="n">
        <f aca="false">IF(G294=1,F_Income*F294,0)</f>
        <v>0</v>
      </c>
      <c r="L294" s="20" t="n">
        <f aca="false">IF(G294=1,(F_Own+In_penExtra)*12*F294,0)</f>
        <v>0</v>
      </c>
      <c r="M294" s="20" t="n">
        <f aca="false">IF(G294=1,(F_PenM+In_penExtra)*12*F294,0)</f>
        <v>0</v>
      </c>
      <c r="N294" s="51" t="n">
        <f aca="false">IF(C294&lt;PR_RelA1,PR_RelP1,IF(C294&lt;PR_RelA2,PR_RelP2,IF(C294&lt;PR_RelA3,PR_RelP3,IF(C294&lt;PR_RelA4,PR_RelP4,IF(C294&lt;PR_RelA5,PR_RelP5,PR_RelP6)))))</f>
        <v>0.4</v>
      </c>
      <c r="O294" s="20" t="n">
        <f aca="false">IF(G294=1,MIN(L294/H294,N294*MIN(K294/H294,PR_EarnCap))*H294,0)</f>
        <v>0</v>
      </c>
      <c r="P294" s="20" t="n">
        <f aca="false">IF(AND(G294=1,F_AE=1),MIN(K294/H294,PR_AEcap)*H294,0)</f>
        <v>0</v>
      </c>
      <c r="Q294" s="20" t="n">
        <f aca="false">IF(G294=1,IF(WI_Retire=1,MAX(0,M294+WI_M*12),M294)+(PR_AEee+PR_AEer+PR_AEst)*P294,0)</f>
        <v>0</v>
      </c>
      <c r="R294" s="20" t="n">
        <f aca="false">L294+PR_AEee*P294</f>
        <v>0</v>
      </c>
      <c r="S294" s="20" t="n">
        <f aca="false">AD293</f>
        <v>0</v>
      </c>
      <c r="T294" s="20" t="n">
        <f aca="false">IF(D294&lt;=PR_SFTfrom,PR_SFT2026,IF(D294=PR_SFTfrom+1,PR_SFT2027,IF(D294=PR_SFTfrom+2,PR_SFT2028,IF(D294&lt;=PR_SFTto,PR_SFT2029,PR_SFT2029*(1+AS_Infl)^(D294-PR_SFTto)))))</f>
        <v>8657008.05819704</v>
      </c>
      <c r="U294" s="20" t="n">
        <f aca="false">IF(AND(G294=0,C294=F_V),1,0)</f>
        <v>0</v>
      </c>
      <c r="V294" s="20" t="n">
        <f aca="false">IF(U294=1,PR_SFTrate*MAX(0,S294-T294),0)</f>
        <v>0</v>
      </c>
      <c r="W294" s="20" t="n">
        <f aca="false">S294-V294</f>
        <v>0</v>
      </c>
      <c r="X294" s="20" t="n">
        <f aca="false">IF(AND(U294=1,AS_LumpPct&gt;0),W294*MIN(AS_LumpPct,PR_LSmax),0)</f>
        <v>0</v>
      </c>
      <c r="Y294" s="20" t="n">
        <f aca="false">X294-(PR_LSrate*MAX(0,MIN(X294,PR_LScap)-PR_LSfree)+PR_r2*MAX(0,X294-PR_LScap))</f>
        <v>0</v>
      </c>
      <c r="Z294" s="20" t="n">
        <f aca="false">W294-X294</f>
        <v>0</v>
      </c>
      <c r="AA294" s="51" t="n">
        <f aca="false">IF(C294&gt;=PR_ARFage1,IF(Z294&gt;PR_ARFbig,PR_ARFbigRate,IF(C294&gt;=PR_ARFage2,PR_ARF71,PR_ARF61)),0)</f>
        <v>0.05</v>
      </c>
      <c r="AB294" s="20" t="n">
        <f aca="false">IF(AS_DrawRule="min",Z294*AA294,IF(AS_DrawRule="fixed",MAX(AS_DrawFixed*E294,Z294*AA294),Z294*MAX(1/MAX(1,AS_End-C294+1),AA294)))</f>
        <v>0</v>
      </c>
      <c r="AC294" s="20" t="n">
        <f aca="false">IF(AND(G294=0,C294&gt;=F_V),MIN(Z294,AB294),0)</f>
        <v>0</v>
      </c>
      <c r="AD294" s="20" t="n">
        <f aca="false">IF(G294=1,S294*(1+F_PenG)+Q294,IF(C294&lt;F_V,S294*(1+F_PenG),(Z294-AC294)*(1+AS_PenRet)))</f>
        <v>0</v>
      </c>
      <c r="AE294" s="20" t="n">
        <f aca="false">IF(C294&gt;=PR_SPage,AS_SP*F_SpF*I294+IF(AND(C294&gt;=PR_Over80Age,F_SpF&gt;0),PR_Over80*PR_Weeks*I294,0),0)</f>
        <v>52770.786787754</v>
      </c>
      <c r="AF294" s="20" t="n">
        <f aca="false">(F_OtherM+F_RentM)*12*E294+IF(AND(In_polInc&gt;0,In_polIncAge&gt;0,C294&gt;=In_polIncAge),In_polInc,0)</f>
        <v>0</v>
      </c>
      <c r="AG294" s="20" t="n">
        <f aca="false">F_PAge+B294</f>
        <v>97</v>
      </c>
      <c r="AH294" s="20" t="n">
        <f aca="false">IF(AND(F_Partner=1,F_PAge&gt;0,AG294&lt;IF(F_PRet&gt;0,F_PRet,PR_SPage)),F_PIncome*F294,0)</f>
        <v>0</v>
      </c>
      <c r="AI294" s="20" t="n">
        <f aca="false">IF(AND(F_Partner=1,AG294&gt;=PR_SPage,F_PSpQA=0),AS_SP*F_PSpF*I294,0)</f>
        <v>40851.7206222432</v>
      </c>
      <c r="AJ294" s="20" t="n">
        <f aca="false">IF(AND(F_Partner=1,F_PSpQA=1,C294&gt;=PR_SPage,AH294=0),IF(AG294&gt;=PR_SPage,PR_QA66,PR_QAunder)*PR_Weeks*I294,0)</f>
        <v>0</v>
      </c>
      <c r="AK294" s="20" t="n">
        <f aca="false">AE294+AJ294</f>
        <v>52770.786787754</v>
      </c>
      <c r="AL294" s="20" t="n">
        <f aca="false">K294/H294</f>
        <v>0</v>
      </c>
      <c r="AM294" s="20" t="n">
        <f aca="false">AK294/H294</f>
        <v>16083.6</v>
      </c>
      <c r="AN294" s="20" t="n">
        <f aca="false">AC294/H294</f>
        <v>0</v>
      </c>
      <c r="AO294" s="20" t="n">
        <f aca="false">AF294/H294</f>
        <v>0</v>
      </c>
      <c r="AP294" s="20" t="n">
        <f aca="false">O294/H294</f>
        <v>0</v>
      </c>
      <c r="AQ294" s="20" t="n">
        <f aca="false">AH294/H294</f>
        <v>0</v>
      </c>
      <c r="AR294" s="20" t="n">
        <f aca="false">AI294/H294</f>
        <v>12450.88</v>
      </c>
      <c r="AS294" s="20" t="n">
        <f aca="false">MAX(0,AL294+AN294+AO294+AM294-AP294)</f>
        <v>16083.6</v>
      </c>
      <c r="AT294" s="20" t="n">
        <f aca="false">MAX(0,AQ294+AR294)</f>
        <v>12450.88</v>
      </c>
      <c r="AU294" s="20" t="n">
        <f aca="false">MIN(PR_PAYE,PR_PAYEcap*(AL294+AN294+AM294))</f>
        <v>2000</v>
      </c>
      <c r="AV294" s="20" t="n">
        <f aca="false">MIN(PR_PAYE,PR_PAYEcap*(AQ294+AR294))</f>
        <v>2000</v>
      </c>
      <c r="AW294" s="20" t="n">
        <f aca="false">IF(C294&gt;=PR_AgeCrAge,PR_AgeCr,0)</f>
        <v>245</v>
      </c>
      <c r="AX294" s="20" t="n">
        <f aca="false">IF(AG294&gt;=PR_AgeCrAge,PR_AgeCr,0)</f>
        <v>245</v>
      </c>
      <c r="AY294" s="20" t="n">
        <f aca="false">IF(AND(F_RentCred=1,D294&lt;=PR_RentLast),1,0)</f>
        <v>0</v>
      </c>
      <c r="AZ294" s="20" t="n">
        <f aca="false">AS294+AT294</f>
        <v>28534.48</v>
      </c>
      <c r="BA294" s="20" t="n">
        <f aca="false">PR_PersonalM+AU294+AV294+AW294+AX294+IF(AY294=1,PR_RentJoint,0)</f>
        <v>8490</v>
      </c>
      <c r="BB294" s="20" t="n">
        <f aca="false">PR_BandM+MIN(MIN(AS294,AT294),PR_Uplift)</f>
        <v>65450.88</v>
      </c>
      <c r="BC294" s="20" t="n">
        <f aca="false">MAX(0,PR_r1*MIN(AZ294,BB294)+PR_r2*MAX(0,AZ294-BB294)-BA294)</f>
        <v>0</v>
      </c>
      <c r="BD294" s="20" t="n">
        <f aca="false">MAX(0,PR_HomeCarer-MAX(0,MIN(AS294,AT294)-PR_HCLimit)/2)</f>
        <v>0</v>
      </c>
      <c r="BE294" s="20" t="n">
        <f aca="false">IF(F_Carer=1,MIN(BC294,MAX(0,PR_r1*MIN(AZ294,PR_BandM)+PR_r2*MAX(0,AZ294-PR_BandM)-BA294-BD294)),BC294)</f>
        <v>0</v>
      </c>
      <c r="BF294" s="20" t="n">
        <f aca="false">IF(OR(C294&gt;=PR_AgeCrAge,AG294&gt;=PR_AgeCrAge),IF(AZ294&lt;=PR_AgeExM,0,MIN(BE294,PR_AgeMarg*(AZ294-PR_AgeExM))),BE294)</f>
        <v>0</v>
      </c>
      <c r="BG294" s="20" t="n">
        <f aca="false">MAX(0,PR_r1*MIN(AS294,IF(F_Spccc=1,PR_BandSPCCC,PR_Band))+PR_r2*MAX(0,AS294-IF(F_Spccc=1,PR_BandSPCCC,PR_Band))-(PR_Personal+AU294+AW294+IF(F_Spccc=1,PR_SPCCC,0)+IF(AY294=1,PR_Rent,0)))</f>
        <v>0</v>
      </c>
      <c r="BH294" s="20" t="n">
        <f aca="false">IF(C294&gt;=PR_AgeCrAge,IF(AS294&lt;=PR_AgeEx,0,MIN(BG294,PR_AgeMarg*(AS294-PR_AgeEx))),BG294)</f>
        <v>0</v>
      </c>
      <c r="BI294" s="20" t="n">
        <f aca="false">IF(F_Partner=1,MAX(0,PR_r1*MIN(AT294,PR_Band)+PR_r2*MAX(0,AT294-PR_Band)-(PR_Personal+AV294+AX294+IF(AND(AY294=1,AT294&gt;0),PR_Rent,0))),0)</f>
        <v>0</v>
      </c>
      <c r="BJ294" s="20" t="n">
        <f aca="false">IF(AG294&gt;=PR_AgeCrAge,IF(AT294&lt;=PR_AgeEx,0,MIN(BI294,PR_AgeMarg*(AT294-PR_AgeEx))),BI294)</f>
        <v>0</v>
      </c>
      <c r="BK294" s="20" t="n">
        <f aca="false">IF(F_Partner=1,IF(F_Married=1,BF294,BH294+BJ294),BH294)</f>
        <v>0</v>
      </c>
      <c r="BL294" s="20" t="n">
        <f aca="false">AL294+AN294+AO294</f>
        <v>0</v>
      </c>
      <c r="BM294" s="20"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20" t="n">
        <f aca="false">AQ294</f>
        <v>0</v>
      </c>
      <c r="BO294" s="20"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20" t="n">
        <f aca="false">IF(C294&lt;PR_PRSIend,IF(F_SelfEmp=1,IF(AL294&gt;PR_PRSIsMinInc,MAX(PR_PRSIsMin,AL294*J294),0),IF(AL294/52&lt;=PR_PRSIfree,0,MAX(0,(AL294/52*J294-IF(AL294/52&lt;=PR_PRSIcreditTo,MAX(0,PR_PRSIcreditMax-(AL294/52-(PR_PRSIfree+0.01))/PR_PRSItaper),0))*52)))+J294*AN294+IF(AO294&gt;PR_PRSIunearned,J294*AO294,0),0)+IF(AND(PRSI_ARF_Applies=1,AN294&gt;0,C294&gt;=PR_PRSIend,C294&lt;PRSI_ARF_ToAge,NOT(AK294&gt;0)),J294*AN294,0)</f>
        <v>0</v>
      </c>
      <c r="BQ294" s="20" t="n">
        <f aca="false">IF(AND(F_Partner=1,AG294&lt;PR_PRSIend),IF(AQ294/52&lt;=PR_PRSIfree,0,MAX(0,(AQ294/52*J294-IF(AQ294/52&lt;=PR_PRSIcreditTo,MAX(0,PR_PRSIcreditMax-(AQ294/52-(PR_PRSIfree+0.01))/PR_PRSItaper),0))*52)),0)</f>
        <v>0</v>
      </c>
      <c r="BR294" s="20" t="n">
        <f aca="false">BK294+BM294+BO294+BP294+BQ294</f>
        <v>0</v>
      </c>
      <c r="BS294" s="20" t="n">
        <f aca="false">BR294*H294</f>
        <v>0</v>
      </c>
      <c r="BT294" s="20" t="n">
        <f aca="false">K294+AK294+AC294+AF294+AH294+AI294</f>
        <v>93622.5074099972</v>
      </c>
    </row>
    <row r="295" customFormat="false" ht="15" hidden="false" customHeight="true" outlineLevel="0" collapsed="false">
      <c r="B295" s="20" t="n">
        <v>61</v>
      </c>
      <c r="C295" s="20" t="n">
        <f aca="false">F_Age+B295</f>
        <v>99</v>
      </c>
      <c r="D295" s="20" t="n">
        <f aca="false">AS_Year0+B295</f>
        <v>2087</v>
      </c>
      <c r="E295" s="50" t="n">
        <f aca="false">(1+AS_Infl)^B295</f>
        <v>3.34665140413272</v>
      </c>
      <c r="F295" s="50" t="n">
        <f aca="false">(1+AS_Wage)^B295</f>
        <v>6.06835119716712</v>
      </c>
      <c r="G295" s="20" t="n">
        <f aca="false">IF(C295&lt;F_R,1,0)</f>
        <v>0</v>
      </c>
      <c r="H295" s="50" t="n">
        <f aca="false">IF(AS_Bands="flat",1,E295)</f>
        <v>3.34665140413272</v>
      </c>
      <c r="I295" s="50" t="n">
        <f aca="false">IF(AS_SpGrow="pay",F295,IF(AS_SpGrow="flat",1,E295))</f>
        <v>3.34665140413272</v>
      </c>
      <c r="J295" s="50" t="n">
        <f aca="false">(12*PR_PRSIr0+(PR_PRSIr1-PR_PRSIr0)*MAX(0,MIN(12,D295*12+12-PR_PRSIt1))+(PR_PRSIr2-PR_PRSIr1)*MAX(0,MIN(12,D295*12+12-PR_PRSIt2))+(PR_PRSIr3-PR_PRSIr2)*MAX(0,MIN(12,D295*12+12-PR_PRSIt3)))/12</f>
        <v>0.047</v>
      </c>
      <c r="K295" s="20" t="n">
        <f aca="false">IF(G295=1,F_Income*F295,0)</f>
        <v>0</v>
      </c>
      <c r="L295" s="20" t="n">
        <f aca="false">IF(G295=1,(F_Own+In_penExtra)*12*F295,0)</f>
        <v>0</v>
      </c>
      <c r="M295" s="20" t="n">
        <f aca="false">IF(G295=1,(F_PenM+In_penExtra)*12*F295,0)</f>
        <v>0</v>
      </c>
      <c r="N295" s="51" t="n">
        <f aca="false">IF(C295&lt;PR_RelA1,PR_RelP1,IF(C295&lt;PR_RelA2,PR_RelP2,IF(C295&lt;PR_RelA3,PR_RelP3,IF(C295&lt;PR_RelA4,PR_RelP4,IF(C295&lt;PR_RelA5,PR_RelP5,PR_RelP6)))))</f>
        <v>0.4</v>
      </c>
      <c r="O295" s="20" t="n">
        <f aca="false">IF(G295=1,MIN(L295/H295,N295*MIN(K295/H295,PR_EarnCap))*H295,0)</f>
        <v>0</v>
      </c>
      <c r="P295" s="20" t="n">
        <f aca="false">IF(AND(G295=1,F_AE=1),MIN(K295/H295,PR_AEcap)*H295,0)</f>
        <v>0</v>
      </c>
      <c r="Q295" s="20" t="n">
        <f aca="false">IF(G295=1,IF(WI_Retire=1,MAX(0,M295+WI_M*12),M295)+(PR_AEee+PR_AEer+PR_AEst)*P295,0)</f>
        <v>0</v>
      </c>
      <c r="R295" s="20" t="n">
        <f aca="false">L295+PR_AEee*P295</f>
        <v>0</v>
      </c>
      <c r="S295" s="20" t="n">
        <f aca="false">AD294</f>
        <v>0</v>
      </c>
      <c r="T295" s="20" t="n">
        <f aca="false">IF(D295&lt;=PR_SFTfrom,PR_SFT2026,IF(D295=PR_SFTfrom+1,PR_SFT2027,IF(D295=PR_SFTfrom+2,PR_SFT2028,IF(D295&lt;=PR_SFTto,PR_SFT2029,PR_SFT2029*(1+AS_Infl)^(D295-PR_SFTto)))))</f>
        <v>8830148.21936098</v>
      </c>
      <c r="U295" s="20" t="n">
        <f aca="false">IF(AND(G295=0,C295=F_V),1,0)</f>
        <v>0</v>
      </c>
      <c r="V295" s="20" t="n">
        <f aca="false">IF(U295=1,PR_SFTrate*MAX(0,S295-T295),0)</f>
        <v>0</v>
      </c>
      <c r="W295" s="20" t="n">
        <f aca="false">S295-V295</f>
        <v>0</v>
      </c>
      <c r="X295" s="20" t="n">
        <f aca="false">IF(AND(U295=1,AS_LumpPct&gt;0),W295*MIN(AS_LumpPct,PR_LSmax),0)</f>
        <v>0</v>
      </c>
      <c r="Y295" s="20" t="n">
        <f aca="false">X295-(PR_LSrate*MAX(0,MIN(X295,PR_LScap)-PR_LSfree)+PR_r2*MAX(0,X295-PR_LScap))</f>
        <v>0</v>
      </c>
      <c r="Z295" s="20" t="n">
        <f aca="false">W295-X295</f>
        <v>0</v>
      </c>
      <c r="AA295" s="51" t="n">
        <f aca="false">IF(C295&gt;=PR_ARFage1,IF(Z295&gt;PR_ARFbig,PR_ARFbigRate,IF(C295&gt;=PR_ARFage2,PR_ARF71,PR_ARF61)),0)</f>
        <v>0.05</v>
      </c>
      <c r="AB295" s="20" t="n">
        <f aca="false">IF(AS_DrawRule="min",Z295*AA295,IF(AS_DrawRule="fixed",MAX(AS_DrawFixed*E295,Z295*AA295),Z295*MAX(1/MAX(1,AS_End-C295+1),AA295)))</f>
        <v>0</v>
      </c>
      <c r="AC295" s="20" t="n">
        <f aca="false">IF(AND(G295=0,C295&gt;=F_V),MIN(Z295,AB295),0)</f>
        <v>0</v>
      </c>
      <c r="AD295" s="20" t="n">
        <f aca="false">IF(G295=1,S295*(1+F_PenG)+Q295,IF(C295&lt;F_V,S295*(1+F_PenG),(Z295-AC295)*(1+AS_PenRet)))</f>
        <v>0</v>
      </c>
      <c r="AE295" s="20" t="n">
        <f aca="false">IF(C295&gt;=PR_SPage,AS_SP*F_SpF*I295+IF(AND(C295&gt;=PR_Over80Age,F_SpF&gt;0),PR_Over80*PR_Weeks*I295,0),0)</f>
        <v>53826.2025235091</v>
      </c>
      <c r="AF295" s="20" t="n">
        <f aca="false">(F_OtherM+F_RentM)*12*E295+IF(AND(In_polInc&gt;0,In_polIncAge&gt;0,C295&gt;=In_polIncAge),In_polInc,0)</f>
        <v>0</v>
      </c>
      <c r="AG295" s="20" t="n">
        <f aca="false">F_PAge+B295</f>
        <v>98</v>
      </c>
      <c r="AH295" s="20" t="n">
        <f aca="false">IF(AND(F_Partner=1,F_PAge&gt;0,AG295&lt;IF(F_PRet&gt;0,F_PRet,PR_SPage)),F_PIncome*F295,0)</f>
        <v>0</v>
      </c>
      <c r="AI295" s="20" t="n">
        <f aca="false">IF(AND(F_Partner=1,AG295&gt;=PR_SPage,F_PSpQA=0),AS_SP*F_PSpF*I295,0)</f>
        <v>41668.755034688</v>
      </c>
      <c r="AJ295" s="20" t="n">
        <f aca="false">IF(AND(F_Partner=1,F_PSpQA=1,C295&gt;=PR_SPage,AH295=0),IF(AG295&gt;=PR_SPage,PR_QA66,PR_QAunder)*PR_Weeks*I295,0)</f>
        <v>0</v>
      </c>
      <c r="AK295" s="20" t="n">
        <f aca="false">AE295+AJ295</f>
        <v>53826.2025235091</v>
      </c>
      <c r="AL295" s="20" t="n">
        <f aca="false">K295/H295</f>
        <v>0</v>
      </c>
      <c r="AM295" s="20" t="n">
        <f aca="false">AK295/H295</f>
        <v>16083.6</v>
      </c>
      <c r="AN295" s="20" t="n">
        <f aca="false">AC295/H295</f>
        <v>0</v>
      </c>
      <c r="AO295" s="20" t="n">
        <f aca="false">AF295/H295</f>
        <v>0</v>
      </c>
      <c r="AP295" s="20" t="n">
        <f aca="false">O295/H295</f>
        <v>0</v>
      </c>
      <c r="AQ295" s="20" t="n">
        <f aca="false">AH295/H295</f>
        <v>0</v>
      </c>
      <c r="AR295" s="20" t="n">
        <f aca="false">AI295/H295</f>
        <v>12450.88</v>
      </c>
      <c r="AS295" s="20" t="n">
        <f aca="false">MAX(0,AL295+AN295+AO295+AM295-AP295)</f>
        <v>16083.6</v>
      </c>
      <c r="AT295" s="20" t="n">
        <f aca="false">MAX(0,AQ295+AR295)</f>
        <v>12450.88</v>
      </c>
      <c r="AU295" s="20" t="n">
        <f aca="false">MIN(PR_PAYE,PR_PAYEcap*(AL295+AN295+AM295))</f>
        <v>2000</v>
      </c>
      <c r="AV295" s="20" t="n">
        <f aca="false">MIN(PR_PAYE,PR_PAYEcap*(AQ295+AR295))</f>
        <v>2000</v>
      </c>
      <c r="AW295" s="20" t="n">
        <f aca="false">IF(C295&gt;=PR_AgeCrAge,PR_AgeCr,0)</f>
        <v>245</v>
      </c>
      <c r="AX295" s="20" t="n">
        <f aca="false">IF(AG295&gt;=PR_AgeCrAge,PR_AgeCr,0)</f>
        <v>245</v>
      </c>
      <c r="AY295" s="20" t="n">
        <f aca="false">IF(AND(F_RentCred=1,D295&lt;=PR_RentLast),1,0)</f>
        <v>0</v>
      </c>
      <c r="AZ295" s="20" t="n">
        <f aca="false">AS295+AT295</f>
        <v>28534.48</v>
      </c>
      <c r="BA295" s="20" t="n">
        <f aca="false">PR_PersonalM+AU295+AV295+AW295+AX295+IF(AY295=1,PR_RentJoint,0)</f>
        <v>8490</v>
      </c>
      <c r="BB295" s="20" t="n">
        <f aca="false">PR_BandM+MIN(MIN(AS295,AT295),PR_Uplift)</f>
        <v>65450.88</v>
      </c>
      <c r="BC295" s="20" t="n">
        <f aca="false">MAX(0,PR_r1*MIN(AZ295,BB295)+PR_r2*MAX(0,AZ295-BB295)-BA295)</f>
        <v>0</v>
      </c>
      <c r="BD295" s="20" t="n">
        <f aca="false">MAX(0,PR_HomeCarer-MAX(0,MIN(AS295,AT295)-PR_HCLimit)/2)</f>
        <v>0</v>
      </c>
      <c r="BE295" s="20" t="n">
        <f aca="false">IF(F_Carer=1,MIN(BC295,MAX(0,PR_r1*MIN(AZ295,PR_BandM)+PR_r2*MAX(0,AZ295-PR_BandM)-BA295-BD295)),BC295)</f>
        <v>0</v>
      </c>
      <c r="BF295" s="20" t="n">
        <f aca="false">IF(OR(C295&gt;=PR_AgeCrAge,AG295&gt;=PR_AgeCrAge),IF(AZ295&lt;=PR_AgeExM,0,MIN(BE295,PR_AgeMarg*(AZ295-PR_AgeExM))),BE295)</f>
        <v>0</v>
      </c>
      <c r="BG295" s="20" t="n">
        <f aca="false">MAX(0,PR_r1*MIN(AS295,IF(F_Spccc=1,PR_BandSPCCC,PR_Band))+PR_r2*MAX(0,AS295-IF(F_Spccc=1,PR_BandSPCCC,PR_Band))-(PR_Personal+AU295+AW295+IF(F_Spccc=1,PR_SPCCC,0)+IF(AY295=1,PR_Rent,0)))</f>
        <v>0</v>
      </c>
      <c r="BH295" s="20" t="n">
        <f aca="false">IF(C295&gt;=PR_AgeCrAge,IF(AS295&lt;=PR_AgeEx,0,MIN(BG295,PR_AgeMarg*(AS295-PR_AgeEx))),BG295)</f>
        <v>0</v>
      </c>
      <c r="BI295" s="20" t="n">
        <f aca="false">IF(F_Partner=1,MAX(0,PR_r1*MIN(AT295,PR_Band)+PR_r2*MAX(0,AT295-PR_Band)-(PR_Personal+AV295+AX295+IF(AND(AY295=1,AT295&gt;0),PR_Rent,0))),0)</f>
        <v>0</v>
      </c>
      <c r="BJ295" s="20" t="n">
        <f aca="false">IF(AG295&gt;=PR_AgeCrAge,IF(AT295&lt;=PR_AgeEx,0,MIN(BI295,PR_AgeMarg*(AT295-PR_AgeEx))),BI295)</f>
        <v>0</v>
      </c>
      <c r="BK295" s="20" t="n">
        <f aca="false">IF(F_Partner=1,IF(F_Married=1,BF295,BH295+BJ295),BH295)</f>
        <v>0</v>
      </c>
      <c r="BL295" s="20" t="n">
        <f aca="false">AL295+AN295+AO295</f>
        <v>0</v>
      </c>
      <c r="BM295" s="20"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20" t="n">
        <f aca="false">AQ295</f>
        <v>0</v>
      </c>
      <c r="BO295" s="20"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20" t="n">
        <f aca="false">IF(C295&lt;PR_PRSIend,IF(F_SelfEmp=1,IF(AL295&gt;PR_PRSIsMinInc,MAX(PR_PRSIsMin,AL295*J295),0),IF(AL295/52&lt;=PR_PRSIfree,0,MAX(0,(AL295/52*J295-IF(AL295/52&lt;=PR_PRSIcreditTo,MAX(0,PR_PRSIcreditMax-(AL295/52-(PR_PRSIfree+0.01))/PR_PRSItaper),0))*52)))+J295*AN295+IF(AO295&gt;PR_PRSIunearned,J295*AO295,0),0)+IF(AND(PRSI_ARF_Applies=1,AN295&gt;0,C295&gt;=PR_PRSIend,C295&lt;PRSI_ARF_ToAge,NOT(AK295&gt;0)),J295*AN295,0)</f>
        <v>0</v>
      </c>
      <c r="BQ295" s="20" t="n">
        <f aca="false">IF(AND(F_Partner=1,AG295&lt;PR_PRSIend),IF(AQ295/52&lt;=PR_PRSIfree,0,MAX(0,(AQ295/52*J295-IF(AQ295/52&lt;=PR_PRSIcreditTo,MAX(0,PR_PRSIcreditMax-(AQ295/52-(PR_PRSIfree+0.01))/PR_PRSItaper),0))*52)),0)</f>
        <v>0</v>
      </c>
      <c r="BR295" s="20" t="n">
        <f aca="false">BK295+BM295+BO295+BP295+BQ295</f>
        <v>0</v>
      </c>
      <c r="BS295" s="20" t="n">
        <f aca="false">BR295*H295</f>
        <v>0</v>
      </c>
      <c r="BT295" s="20" t="n">
        <f aca="false">K295+AK295+AC295+AF295+AH295+AI295</f>
        <v>95494.9575581971</v>
      </c>
    </row>
    <row r="296" customFormat="false" ht="15" hidden="false" customHeight="true" outlineLevel="0" collapsed="false">
      <c r="B296" s="20" t="n">
        <v>62</v>
      </c>
      <c r="C296" s="20" t="n">
        <f aca="false">F_Age+B296</f>
        <v>100</v>
      </c>
      <c r="D296" s="20" t="n">
        <f aca="false">AS_Year0+B296</f>
        <v>2088</v>
      </c>
      <c r="E296" s="50" t="n">
        <f aca="false">(1+AS_Infl)^B296</f>
        <v>3.41358443221538</v>
      </c>
      <c r="F296" s="50" t="n">
        <f aca="false">(1+AS_Wage)^B296</f>
        <v>6.25040173308213</v>
      </c>
      <c r="G296" s="20" t="n">
        <f aca="false">IF(C296&lt;F_R,1,0)</f>
        <v>0</v>
      </c>
      <c r="H296" s="50" t="n">
        <f aca="false">IF(AS_Bands="flat",1,E296)</f>
        <v>3.41358443221538</v>
      </c>
      <c r="I296" s="50" t="n">
        <f aca="false">IF(AS_SpGrow="pay",F296,IF(AS_SpGrow="flat",1,E296))</f>
        <v>3.41358443221538</v>
      </c>
      <c r="J296" s="50" t="n">
        <f aca="false">(12*PR_PRSIr0+(PR_PRSIr1-PR_PRSIr0)*MAX(0,MIN(12,D296*12+12-PR_PRSIt1))+(PR_PRSIr2-PR_PRSIr1)*MAX(0,MIN(12,D296*12+12-PR_PRSIt2))+(PR_PRSIr3-PR_PRSIr2)*MAX(0,MIN(12,D296*12+12-PR_PRSIt3)))/12</f>
        <v>0.047</v>
      </c>
      <c r="K296" s="20" t="n">
        <f aca="false">IF(G296=1,F_Income*F296,0)</f>
        <v>0</v>
      </c>
      <c r="L296" s="20" t="n">
        <f aca="false">IF(G296=1,(F_Own+In_penExtra)*12*F296,0)</f>
        <v>0</v>
      </c>
      <c r="M296" s="20" t="n">
        <f aca="false">IF(G296=1,(F_PenM+In_penExtra)*12*F296,0)</f>
        <v>0</v>
      </c>
      <c r="N296" s="51" t="n">
        <f aca="false">IF(C296&lt;PR_RelA1,PR_RelP1,IF(C296&lt;PR_RelA2,PR_RelP2,IF(C296&lt;PR_RelA3,PR_RelP3,IF(C296&lt;PR_RelA4,PR_RelP4,IF(C296&lt;PR_RelA5,PR_RelP5,PR_RelP6)))))</f>
        <v>0.4</v>
      </c>
      <c r="O296" s="20" t="n">
        <f aca="false">IF(G296=1,MIN(L296/H296,N296*MIN(K296/H296,PR_EarnCap))*H296,0)</f>
        <v>0</v>
      </c>
      <c r="P296" s="20" t="n">
        <f aca="false">IF(AND(G296=1,F_AE=1),MIN(K296/H296,PR_AEcap)*H296,0)</f>
        <v>0</v>
      </c>
      <c r="Q296" s="20" t="n">
        <f aca="false">IF(G296=1,IF(WI_Retire=1,MAX(0,M296+WI_M*12),M296)+(PR_AEee+PR_AEer+PR_AEst)*P296,0)</f>
        <v>0</v>
      </c>
      <c r="R296" s="20" t="n">
        <f aca="false">L296+PR_AEee*P296</f>
        <v>0</v>
      </c>
      <c r="S296" s="20" t="n">
        <f aca="false">AD295</f>
        <v>0</v>
      </c>
      <c r="T296" s="20" t="n">
        <f aca="false">IF(D296&lt;=PR_SFTfrom,PR_SFT2026,IF(D296=PR_SFTfrom+1,PR_SFT2027,IF(D296=PR_SFTfrom+2,PR_SFT2028,IF(D296&lt;=PR_SFTto,PR_SFT2029,PR_SFT2029*(1+AS_Infl)^(D296-PR_SFTto)))))</f>
        <v>9006751.1837482</v>
      </c>
      <c r="U296" s="20" t="n">
        <f aca="false">IF(AND(G296=0,C296=F_V),1,0)</f>
        <v>0</v>
      </c>
      <c r="V296" s="20" t="n">
        <f aca="false">IF(U296=1,PR_SFTrate*MAX(0,S296-T296),0)</f>
        <v>0</v>
      </c>
      <c r="W296" s="20" t="n">
        <f aca="false">S296-V296</f>
        <v>0</v>
      </c>
      <c r="X296" s="20" t="n">
        <f aca="false">IF(AND(U296=1,AS_LumpPct&gt;0),W296*MIN(AS_LumpPct,PR_LSmax),0)</f>
        <v>0</v>
      </c>
      <c r="Y296" s="20" t="n">
        <f aca="false">X296-(PR_LSrate*MAX(0,MIN(X296,PR_LScap)-PR_LSfree)+PR_r2*MAX(0,X296-PR_LScap))</f>
        <v>0</v>
      </c>
      <c r="Z296" s="20" t="n">
        <f aca="false">W296-X296</f>
        <v>0</v>
      </c>
      <c r="AA296" s="51" t="n">
        <f aca="false">IF(C296&gt;=PR_ARFage1,IF(Z296&gt;PR_ARFbig,PR_ARFbigRate,IF(C296&gt;=PR_ARFage2,PR_ARF71,PR_ARF61)),0)</f>
        <v>0.05</v>
      </c>
      <c r="AB296" s="20" t="n">
        <f aca="false">IF(AS_DrawRule="min",Z296*AA296,IF(AS_DrawRule="fixed",MAX(AS_DrawFixed*E296,Z296*AA296),Z296*MAX(1/MAX(1,AS_End-C296+1),AA296)))</f>
        <v>0</v>
      </c>
      <c r="AC296" s="20" t="n">
        <f aca="false">IF(AND(G296=0,C296&gt;=F_V),MIN(Z296,AB296),0)</f>
        <v>0</v>
      </c>
      <c r="AD296" s="20" t="n">
        <f aca="false">IF(G296=1,S296*(1+F_PenG)+Q296,IF(C296&lt;F_V,S296*(1+F_PenG),(Z296-AC296)*(1+AS_PenRet)))</f>
        <v>0</v>
      </c>
      <c r="AE296" s="20" t="n">
        <f aca="false">IF(C296&gt;=PR_SPage,AS_SP*F_SpF*I296+IF(AND(C296&gt;=PR_Over80Age,F_SpF&gt;0),PR_Over80*PR_Weeks*I296,0),0)</f>
        <v>54902.7265739792</v>
      </c>
      <c r="AF296" s="20" t="n">
        <f aca="false">(F_OtherM+F_RentM)*12*E296+IF(AND(In_polInc&gt;0,In_polIncAge&gt;0,C296&gt;=In_polIncAge),In_polInc,0)</f>
        <v>0</v>
      </c>
      <c r="AG296" s="20" t="n">
        <f aca="false">F_PAge+B296</f>
        <v>99</v>
      </c>
      <c r="AH296" s="20" t="n">
        <f aca="false">IF(AND(F_Partner=1,F_PAge&gt;0,AG296&lt;IF(F_PRet&gt;0,F_PRet,PR_SPage)),F_PIncome*F296,0)</f>
        <v>0</v>
      </c>
      <c r="AI296" s="20" t="n">
        <f aca="false">IF(AND(F_Partner=1,AG296&gt;=PR_SPage,F_PSpQA=0),AS_SP*F_PSpF*I296,0)</f>
        <v>42502.1301353818</v>
      </c>
      <c r="AJ296" s="20" t="n">
        <f aca="false">IF(AND(F_Partner=1,F_PSpQA=1,C296&gt;=PR_SPage,AH296=0),IF(AG296&gt;=PR_SPage,PR_QA66,PR_QAunder)*PR_Weeks*I296,0)</f>
        <v>0</v>
      </c>
      <c r="AK296" s="20" t="n">
        <f aca="false">AE296+AJ296</f>
        <v>54902.7265739792</v>
      </c>
      <c r="AL296" s="20" t="n">
        <f aca="false">K296/H296</f>
        <v>0</v>
      </c>
      <c r="AM296" s="20" t="n">
        <f aca="false">AK296/H296</f>
        <v>16083.6</v>
      </c>
      <c r="AN296" s="20" t="n">
        <f aca="false">AC296/H296</f>
        <v>0</v>
      </c>
      <c r="AO296" s="20" t="n">
        <f aca="false">AF296/H296</f>
        <v>0</v>
      </c>
      <c r="AP296" s="20" t="n">
        <f aca="false">O296/H296</f>
        <v>0</v>
      </c>
      <c r="AQ296" s="20" t="n">
        <f aca="false">AH296/H296</f>
        <v>0</v>
      </c>
      <c r="AR296" s="20" t="n">
        <f aca="false">AI296/H296</f>
        <v>12450.88</v>
      </c>
      <c r="AS296" s="20" t="n">
        <f aca="false">MAX(0,AL296+AN296+AO296+AM296-AP296)</f>
        <v>16083.6</v>
      </c>
      <c r="AT296" s="20" t="n">
        <f aca="false">MAX(0,AQ296+AR296)</f>
        <v>12450.88</v>
      </c>
      <c r="AU296" s="20" t="n">
        <f aca="false">MIN(PR_PAYE,PR_PAYEcap*(AL296+AN296+AM296))</f>
        <v>2000</v>
      </c>
      <c r="AV296" s="20" t="n">
        <f aca="false">MIN(PR_PAYE,PR_PAYEcap*(AQ296+AR296))</f>
        <v>2000</v>
      </c>
      <c r="AW296" s="20" t="n">
        <f aca="false">IF(C296&gt;=PR_AgeCrAge,PR_AgeCr,0)</f>
        <v>245</v>
      </c>
      <c r="AX296" s="20" t="n">
        <f aca="false">IF(AG296&gt;=PR_AgeCrAge,PR_AgeCr,0)</f>
        <v>245</v>
      </c>
      <c r="AY296" s="20" t="n">
        <f aca="false">IF(AND(F_RentCred=1,D296&lt;=PR_RentLast),1,0)</f>
        <v>0</v>
      </c>
      <c r="AZ296" s="20" t="n">
        <f aca="false">AS296+AT296</f>
        <v>28534.48</v>
      </c>
      <c r="BA296" s="20" t="n">
        <f aca="false">PR_PersonalM+AU296+AV296+AW296+AX296+IF(AY296=1,PR_RentJoint,0)</f>
        <v>8490</v>
      </c>
      <c r="BB296" s="20" t="n">
        <f aca="false">PR_BandM+MIN(MIN(AS296,AT296),PR_Uplift)</f>
        <v>65450.88</v>
      </c>
      <c r="BC296" s="20" t="n">
        <f aca="false">MAX(0,PR_r1*MIN(AZ296,BB296)+PR_r2*MAX(0,AZ296-BB296)-BA296)</f>
        <v>0</v>
      </c>
      <c r="BD296" s="20" t="n">
        <f aca="false">MAX(0,PR_HomeCarer-MAX(0,MIN(AS296,AT296)-PR_HCLimit)/2)</f>
        <v>0</v>
      </c>
      <c r="BE296" s="20" t="n">
        <f aca="false">IF(F_Carer=1,MIN(BC296,MAX(0,PR_r1*MIN(AZ296,PR_BandM)+PR_r2*MAX(0,AZ296-PR_BandM)-BA296-BD296)),BC296)</f>
        <v>0</v>
      </c>
      <c r="BF296" s="20" t="n">
        <f aca="false">IF(OR(C296&gt;=PR_AgeCrAge,AG296&gt;=PR_AgeCrAge),IF(AZ296&lt;=PR_AgeExM,0,MIN(BE296,PR_AgeMarg*(AZ296-PR_AgeExM))),BE296)</f>
        <v>0</v>
      </c>
      <c r="BG296" s="20" t="n">
        <f aca="false">MAX(0,PR_r1*MIN(AS296,IF(F_Spccc=1,PR_BandSPCCC,PR_Band))+PR_r2*MAX(0,AS296-IF(F_Spccc=1,PR_BandSPCCC,PR_Band))-(PR_Personal+AU296+AW296+IF(F_Spccc=1,PR_SPCCC,0)+IF(AY296=1,PR_Rent,0)))</f>
        <v>0</v>
      </c>
      <c r="BH296" s="20" t="n">
        <f aca="false">IF(C296&gt;=PR_AgeCrAge,IF(AS296&lt;=PR_AgeEx,0,MIN(BG296,PR_AgeMarg*(AS296-PR_AgeEx))),BG296)</f>
        <v>0</v>
      </c>
      <c r="BI296" s="20" t="n">
        <f aca="false">IF(F_Partner=1,MAX(0,PR_r1*MIN(AT296,PR_Band)+PR_r2*MAX(0,AT296-PR_Band)-(PR_Personal+AV296+AX296+IF(AND(AY296=1,AT296&gt;0),PR_Rent,0))),0)</f>
        <v>0</v>
      </c>
      <c r="BJ296" s="20" t="n">
        <f aca="false">IF(AG296&gt;=PR_AgeCrAge,IF(AT296&lt;=PR_AgeEx,0,MIN(BI296,PR_AgeMarg*(AT296-PR_AgeEx))),BI296)</f>
        <v>0</v>
      </c>
      <c r="BK296" s="20" t="n">
        <f aca="false">IF(F_Partner=1,IF(F_Married=1,BF296,BH296+BJ296),BH296)</f>
        <v>0</v>
      </c>
      <c r="BL296" s="20" t="n">
        <f aca="false">AL296+AN296+AO296</f>
        <v>0</v>
      </c>
      <c r="BM296" s="20"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20" t="n">
        <f aca="false">AQ296</f>
        <v>0</v>
      </c>
      <c r="BO296" s="20"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20" t="n">
        <f aca="false">IF(C296&lt;PR_PRSIend,IF(F_SelfEmp=1,IF(AL296&gt;PR_PRSIsMinInc,MAX(PR_PRSIsMin,AL296*J296),0),IF(AL296/52&lt;=PR_PRSIfree,0,MAX(0,(AL296/52*J296-IF(AL296/52&lt;=PR_PRSIcreditTo,MAX(0,PR_PRSIcreditMax-(AL296/52-(PR_PRSIfree+0.01))/PR_PRSItaper),0))*52)))+J296*AN296+IF(AO296&gt;PR_PRSIunearned,J296*AO296,0),0)+IF(AND(PRSI_ARF_Applies=1,AN296&gt;0,C296&gt;=PR_PRSIend,C296&lt;PRSI_ARF_ToAge,NOT(AK296&gt;0)),J296*AN296,0)</f>
        <v>0</v>
      </c>
      <c r="BQ296" s="20" t="n">
        <f aca="false">IF(AND(F_Partner=1,AG296&lt;PR_PRSIend),IF(AQ296/52&lt;=PR_PRSIfree,0,MAX(0,(AQ296/52*J296-IF(AQ296/52&lt;=PR_PRSIcreditTo,MAX(0,PR_PRSIcreditMax-(AQ296/52-(PR_PRSIfree+0.01))/PR_PRSItaper),0))*52)),0)</f>
        <v>0</v>
      </c>
      <c r="BR296" s="20" t="n">
        <f aca="false">BK296+BM296+BO296+BP296+BQ296</f>
        <v>0</v>
      </c>
      <c r="BS296" s="20" t="n">
        <f aca="false">BR296*H296</f>
        <v>0</v>
      </c>
      <c r="BT296" s="20" t="n">
        <f aca="false">K296+AK296+AC296+AF296+AH296+AI296</f>
        <v>97404.8567093611</v>
      </c>
    </row>
    <row r="297" customFormat="false" ht="15" hidden="false" customHeight="true" outlineLevel="0" collapsed="false">
      <c r="B297" s="20" t="n">
        <v>63</v>
      </c>
      <c r="C297" s="20" t="n">
        <f aca="false">F_Age+B297</f>
        <v>101</v>
      </c>
      <c r="D297" s="20" t="n">
        <f aca="false">AS_Year0+B297</f>
        <v>2089</v>
      </c>
      <c r="E297" s="50" t="n">
        <f aca="false">(1+AS_Infl)^B297</f>
        <v>3.48185612085969</v>
      </c>
      <c r="F297" s="50" t="n">
        <f aca="false">(1+AS_Wage)^B297</f>
        <v>6.4379137850746</v>
      </c>
      <c r="G297" s="20" t="n">
        <f aca="false">IF(C297&lt;F_R,1,0)</f>
        <v>0</v>
      </c>
      <c r="H297" s="50" t="n">
        <f aca="false">IF(AS_Bands="flat",1,E297)</f>
        <v>3.48185612085969</v>
      </c>
      <c r="I297" s="50" t="n">
        <f aca="false">IF(AS_SpGrow="pay",F297,IF(AS_SpGrow="flat",1,E297))</f>
        <v>3.48185612085969</v>
      </c>
      <c r="J297" s="50" t="n">
        <f aca="false">(12*PR_PRSIr0+(PR_PRSIr1-PR_PRSIr0)*MAX(0,MIN(12,D297*12+12-PR_PRSIt1))+(PR_PRSIr2-PR_PRSIr1)*MAX(0,MIN(12,D297*12+12-PR_PRSIt2))+(PR_PRSIr3-PR_PRSIr2)*MAX(0,MIN(12,D297*12+12-PR_PRSIt3)))/12</f>
        <v>0.047</v>
      </c>
      <c r="K297" s="20" t="n">
        <f aca="false">IF(G297=1,F_Income*F297,0)</f>
        <v>0</v>
      </c>
      <c r="L297" s="20" t="n">
        <f aca="false">IF(G297=1,(F_Own+In_penExtra)*12*F297,0)</f>
        <v>0</v>
      </c>
      <c r="M297" s="20" t="n">
        <f aca="false">IF(G297=1,(F_PenM+In_penExtra)*12*F297,0)</f>
        <v>0</v>
      </c>
      <c r="N297" s="51" t="n">
        <f aca="false">IF(C297&lt;PR_RelA1,PR_RelP1,IF(C297&lt;PR_RelA2,PR_RelP2,IF(C297&lt;PR_RelA3,PR_RelP3,IF(C297&lt;PR_RelA4,PR_RelP4,IF(C297&lt;PR_RelA5,PR_RelP5,PR_RelP6)))))</f>
        <v>0.4</v>
      </c>
      <c r="O297" s="20" t="n">
        <f aca="false">IF(G297=1,MIN(L297/H297,N297*MIN(K297/H297,PR_EarnCap))*H297,0)</f>
        <v>0</v>
      </c>
      <c r="P297" s="20" t="n">
        <f aca="false">IF(AND(G297=1,F_AE=1),MIN(K297/H297,PR_AEcap)*H297,0)</f>
        <v>0</v>
      </c>
      <c r="Q297" s="20" t="n">
        <f aca="false">IF(G297=1,IF(WI_Retire=1,MAX(0,M297+WI_M*12),M297)+(PR_AEee+PR_AEer+PR_AEst)*P297,0)</f>
        <v>0</v>
      </c>
      <c r="R297" s="20" t="n">
        <f aca="false">L297+PR_AEee*P297</f>
        <v>0</v>
      </c>
      <c r="S297" s="20" t="n">
        <f aca="false">AD296</f>
        <v>0</v>
      </c>
      <c r="T297" s="20" t="n">
        <f aca="false">IF(D297&lt;=PR_SFTfrom,PR_SFT2026,IF(D297=PR_SFTfrom+1,PR_SFT2027,IF(D297=PR_SFTfrom+2,PR_SFT2028,IF(D297&lt;=PR_SFTto,PR_SFT2029,PR_SFT2029*(1+AS_Infl)^(D297-PR_SFTto)))))</f>
        <v>9186886.20742316</v>
      </c>
      <c r="U297" s="20" t="n">
        <f aca="false">IF(AND(G297=0,C297=F_V),1,0)</f>
        <v>0</v>
      </c>
      <c r="V297" s="20" t="n">
        <f aca="false">IF(U297=1,PR_SFTrate*MAX(0,S297-T297),0)</f>
        <v>0</v>
      </c>
      <c r="W297" s="20" t="n">
        <f aca="false">S297-V297</f>
        <v>0</v>
      </c>
      <c r="X297" s="20" t="n">
        <f aca="false">IF(AND(U297=1,AS_LumpPct&gt;0),W297*MIN(AS_LumpPct,PR_LSmax),0)</f>
        <v>0</v>
      </c>
      <c r="Y297" s="20" t="n">
        <f aca="false">X297-(PR_LSrate*MAX(0,MIN(X297,PR_LScap)-PR_LSfree)+PR_r2*MAX(0,X297-PR_LScap))</f>
        <v>0</v>
      </c>
      <c r="Z297" s="20" t="n">
        <f aca="false">W297-X297</f>
        <v>0</v>
      </c>
      <c r="AA297" s="51" t="n">
        <f aca="false">IF(C297&gt;=PR_ARFage1,IF(Z297&gt;PR_ARFbig,PR_ARFbigRate,IF(C297&gt;=PR_ARFage2,PR_ARF71,PR_ARF61)),0)</f>
        <v>0.05</v>
      </c>
      <c r="AB297" s="20" t="n">
        <f aca="false">IF(AS_DrawRule="min",Z297*AA297,IF(AS_DrawRule="fixed",MAX(AS_DrawFixed*E297,Z297*AA297),Z297*MAX(1/MAX(1,AS_End-C297+1),AA297)))</f>
        <v>0</v>
      </c>
      <c r="AC297" s="20" t="n">
        <f aca="false">IF(AND(G297=0,C297&gt;=F_V),MIN(Z297,AB297),0)</f>
        <v>0</v>
      </c>
      <c r="AD297" s="20" t="n">
        <f aca="false">IF(G297=1,S297*(1+F_PenG)+Q297,IF(C297&lt;F_V,S297*(1+F_PenG),(Z297-AC297)*(1+AS_PenRet)))</f>
        <v>0</v>
      </c>
      <c r="AE297" s="20" t="n">
        <f aca="false">IF(C297&gt;=PR_SPage,AS_SP*F_SpF*I297+IF(AND(C297&gt;=PR_Over80Age,F_SpF&gt;0),PR_Over80*PR_Weeks*I297,0),0)</f>
        <v>56000.7811054588</v>
      </c>
      <c r="AF297" s="20" t="n">
        <f aca="false">(F_OtherM+F_RentM)*12*E297+IF(AND(In_polInc&gt;0,In_polIncAge&gt;0,C297&gt;=In_polIncAge),In_polInc,0)</f>
        <v>0</v>
      </c>
      <c r="AG297" s="20" t="n">
        <f aca="false">F_PAge+B297</f>
        <v>100</v>
      </c>
      <c r="AH297" s="20" t="n">
        <f aca="false">IF(AND(F_Partner=1,F_PAge&gt;0,AG297&lt;IF(F_PRet&gt;0,F_PRet,PR_SPage)),F_PIncome*F297,0)</f>
        <v>0</v>
      </c>
      <c r="AI297" s="20" t="n">
        <f aca="false">IF(AND(F_Partner=1,AG297&gt;=PR_SPage,F_PSpQA=0),AS_SP*F_PSpF*I297,0)</f>
        <v>43352.1727380894</v>
      </c>
      <c r="AJ297" s="20" t="n">
        <f aca="false">IF(AND(F_Partner=1,F_PSpQA=1,C297&gt;=PR_SPage,AH297=0),IF(AG297&gt;=PR_SPage,PR_QA66,PR_QAunder)*PR_Weeks*I297,0)</f>
        <v>0</v>
      </c>
      <c r="AK297" s="20" t="n">
        <f aca="false">AE297+AJ297</f>
        <v>56000.7811054588</v>
      </c>
      <c r="AL297" s="20" t="n">
        <f aca="false">K297/H297</f>
        <v>0</v>
      </c>
      <c r="AM297" s="20" t="n">
        <f aca="false">AK297/H297</f>
        <v>16083.6</v>
      </c>
      <c r="AN297" s="20" t="n">
        <f aca="false">AC297/H297</f>
        <v>0</v>
      </c>
      <c r="AO297" s="20" t="n">
        <f aca="false">AF297/H297</f>
        <v>0</v>
      </c>
      <c r="AP297" s="20" t="n">
        <f aca="false">O297/H297</f>
        <v>0</v>
      </c>
      <c r="AQ297" s="20" t="n">
        <f aca="false">AH297/H297</f>
        <v>0</v>
      </c>
      <c r="AR297" s="20" t="n">
        <f aca="false">AI297/H297</f>
        <v>12450.88</v>
      </c>
      <c r="AS297" s="20" t="n">
        <f aca="false">MAX(0,AL297+AN297+AO297+AM297-AP297)</f>
        <v>16083.6</v>
      </c>
      <c r="AT297" s="20" t="n">
        <f aca="false">MAX(0,AQ297+AR297)</f>
        <v>12450.88</v>
      </c>
      <c r="AU297" s="20" t="n">
        <f aca="false">MIN(PR_PAYE,PR_PAYEcap*(AL297+AN297+AM297))</f>
        <v>2000</v>
      </c>
      <c r="AV297" s="20" t="n">
        <f aca="false">MIN(PR_PAYE,PR_PAYEcap*(AQ297+AR297))</f>
        <v>2000</v>
      </c>
      <c r="AW297" s="20" t="n">
        <f aca="false">IF(C297&gt;=PR_AgeCrAge,PR_AgeCr,0)</f>
        <v>245</v>
      </c>
      <c r="AX297" s="20" t="n">
        <f aca="false">IF(AG297&gt;=PR_AgeCrAge,PR_AgeCr,0)</f>
        <v>245</v>
      </c>
      <c r="AY297" s="20" t="n">
        <f aca="false">IF(AND(F_RentCred=1,D297&lt;=PR_RentLast),1,0)</f>
        <v>0</v>
      </c>
      <c r="AZ297" s="20" t="n">
        <f aca="false">AS297+AT297</f>
        <v>28534.48</v>
      </c>
      <c r="BA297" s="20" t="n">
        <f aca="false">PR_PersonalM+AU297+AV297+AW297+AX297+IF(AY297=1,PR_RentJoint,0)</f>
        <v>8490</v>
      </c>
      <c r="BB297" s="20" t="n">
        <f aca="false">PR_BandM+MIN(MIN(AS297,AT297),PR_Uplift)</f>
        <v>65450.88</v>
      </c>
      <c r="BC297" s="20" t="n">
        <f aca="false">MAX(0,PR_r1*MIN(AZ297,BB297)+PR_r2*MAX(0,AZ297-BB297)-BA297)</f>
        <v>0</v>
      </c>
      <c r="BD297" s="20" t="n">
        <f aca="false">MAX(0,PR_HomeCarer-MAX(0,MIN(AS297,AT297)-PR_HCLimit)/2)</f>
        <v>0</v>
      </c>
      <c r="BE297" s="20" t="n">
        <f aca="false">IF(F_Carer=1,MIN(BC297,MAX(0,PR_r1*MIN(AZ297,PR_BandM)+PR_r2*MAX(0,AZ297-PR_BandM)-BA297-BD297)),BC297)</f>
        <v>0</v>
      </c>
      <c r="BF297" s="20" t="n">
        <f aca="false">IF(OR(C297&gt;=PR_AgeCrAge,AG297&gt;=PR_AgeCrAge),IF(AZ297&lt;=PR_AgeExM,0,MIN(BE297,PR_AgeMarg*(AZ297-PR_AgeExM))),BE297)</f>
        <v>0</v>
      </c>
      <c r="BG297" s="20" t="n">
        <f aca="false">MAX(0,PR_r1*MIN(AS297,IF(F_Spccc=1,PR_BandSPCCC,PR_Band))+PR_r2*MAX(0,AS297-IF(F_Spccc=1,PR_BandSPCCC,PR_Band))-(PR_Personal+AU297+AW297+IF(F_Spccc=1,PR_SPCCC,0)+IF(AY297=1,PR_Rent,0)))</f>
        <v>0</v>
      </c>
      <c r="BH297" s="20" t="n">
        <f aca="false">IF(C297&gt;=PR_AgeCrAge,IF(AS297&lt;=PR_AgeEx,0,MIN(BG297,PR_AgeMarg*(AS297-PR_AgeEx))),BG297)</f>
        <v>0</v>
      </c>
      <c r="BI297" s="20" t="n">
        <f aca="false">IF(F_Partner=1,MAX(0,PR_r1*MIN(AT297,PR_Band)+PR_r2*MAX(0,AT297-PR_Band)-(PR_Personal+AV297+AX297+IF(AND(AY297=1,AT297&gt;0),PR_Rent,0))),0)</f>
        <v>0</v>
      </c>
      <c r="BJ297" s="20" t="n">
        <f aca="false">IF(AG297&gt;=PR_AgeCrAge,IF(AT297&lt;=PR_AgeEx,0,MIN(BI297,PR_AgeMarg*(AT297-PR_AgeEx))),BI297)</f>
        <v>0</v>
      </c>
      <c r="BK297" s="20" t="n">
        <f aca="false">IF(F_Partner=1,IF(F_Married=1,BF297,BH297+BJ297),BH297)</f>
        <v>0</v>
      </c>
      <c r="BL297" s="20" t="n">
        <f aca="false">AL297+AN297+AO297</f>
        <v>0</v>
      </c>
      <c r="BM297" s="20"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20" t="n">
        <f aca="false">AQ297</f>
        <v>0</v>
      </c>
      <c r="BO297" s="20"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20" t="n">
        <f aca="false">IF(C297&lt;PR_PRSIend,IF(F_SelfEmp=1,IF(AL297&gt;PR_PRSIsMinInc,MAX(PR_PRSIsMin,AL297*J297),0),IF(AL297/52&lt;=PR_PRSIfree,0,MAX(0,(AL297/52*J297-IF(AL297/52&lt;=PR_PRSIcreditTo,MAX(0,PR_PRSIcreditMax-(AL297/52-(PR_PRSIfree+0.01))/PR_PRSItaper),0))*52)))+J297*AN297+IF(AO297&gt;PR_PRSIunearned,J297*AO297,0),0)+IF(AND(PRSI_ARF_Applies=1,AN297&gt;0,C297&gt;=PR_PRSIend,C297&lt;PRSI_ARF_ToAge,NOT(AK297&gt;0)),J297*AN297,0)</f>
        <v>0</v>
      </c>
      <c r="BQ297" s="20" t="n">
        <f aca="false">IF(AND(F_Partner=1,AG297&lt;PR_PRSIend),IF(AQ297/52&lt;=PR_PRSIfree,0,MAX(0,(AQ297/52*J297-IF(AQ297/52&lt;=PR_PRSIcreditTo,MAX(0,PR_PRSIcreditMax-(AQ297/52-(PR_PRSIfree+0.01))/PR_PRSItaper),0))*52)),0)</f>
        <v>0</v>
      </c>
      <c r="BR297" s="20" t="n">
        <f aca="false">BK297+BM297+BO297+BP297+BQ297</f>
        <v>0</v>
      </c>
      <c r="BS297" s="20" t="n">
        <f aca="false">BR297*H297</f>
        <v>0</v>
      </c>
      <c r="BT297" s="20" t="n">
        <f aca="false">K297+AK297+AC297+AF297+AH297+AI297</f>
        <v>99352.9538435483</v>
      </c>
    </row>
    <row r="298" customFormat="false" ht="15" hidden="false" customHeight="true" outlineLevel="0" collapsed="false">
      <c r="B298" s="20" t="n">
        <v>64</v>
      </c>
      <c r="C298" s="20" t="n">
        <f aca="false">F_Age+B298</f>
        <v>102</v>
      </c>
      <c r="D298" s="20" t="n">
        <f aca="false">AS_Year0+B298</f>
        <v>2090</v>
      </c>
      <c r="E298" s="50" t="n">
        <f aca="false">(1+AS_Infl)^B298</f>
        <v>3.55149324327688</v>
      </c>
      <c r="F298" s="50" t="n">
        <f aca="false">(1+AS_Wage)^B298</f>
        <v>6.63105119862683</v>
      </c>
      <c r="G298" s="20" t="n">
        <f aca="false">IF(C298&lt;F_R,1,0)</f>
        <v>0</v>
      </c>
      <c r="H298" s="50" t="n">
        <f aca="false">IF(AS_Bands="flat",1,E298)</f>
        <v>3.55149324327688</v>
      </c>
      <c r="I298" s="50" t="n">
        <f aca="false">IF(AS_SpGrow="pay",F298,IF(AS_SpGrow="flat",1,E298))</f>
        <v>3.55149324327688</v>
      </c>
      <c r="J298" s="50" t="n">
        <f aca="false">(12*PR_PRSIr0+(PR_PRSIr1-PR_PRSIr0)*MAX(0,MIN(12,D298*12+12-PR_PRSIt1))+(PR_PRSIr2-PR_PRSIr1)*MAX(0,MIN(12,D298*12+12-PR_PRSIt2))+(PR_PRSIr3-PR_PRSIr2)*MAX(0,MIN(12,D298*12+12-PR_PRSIt3)))/12</f>
        <v>0.047</v>
      </c>
      <c r="K298" s="20" t="n">
        <f aca="false">IF(G298=1,F_Income*F298,0)</f>
        <v>0</v>
      </c>
      <c r="L298" s="20" t="n">
        <f aca="false">IF(G298=1,(F_Own+In_penExtra)*12*F298,0)</f>
        <v>0</v>
      </c>
      <c r="M298" s="20" t="n">
        <f aca="false">IF(G298=1,(F_PenM+In_penExtra)*12*F298,0)</f>
        <v>0</v>
      </c>
      <c r="N298" s="51" t="n">
        <f aca="false">IF(C298&lt;PR_RelA1,PR_RelP1,IF(C298&lt;PR_RelA2,PR_RelP2,IF(C298&lt;PR_RelA3,PR_RelP3,IF(C298&lt;PR_RelA4,PR_RelP4,IF(C298&lt;PR_RelA5,PR_RelP5,PR_RelP6)))))</f>
        <v>0.4</v>
      </c>
      <c r="O298" s="20" t="n">
        <f aca="false">IF(G298=1,MIN(L298/H298,N298*MIN(K298/H298,PR_EarnCap))*H298,0)</f>
        <v>0</v>
      </c>
      <c r="P298" s="20" t="n">
        <f aca="false">IF(AND(G298=1,F_AE=1),MIN(K298/H298,PR_AEcap)*H298,0)</f>
        <v>0</v>
      </c>
      <c r="Q298" s="20" t="n">
        <f aca="false">IF(G298=1,IF(WI_Retire=1,MAX(0,M298+WI_M*12),M298)+(PR_AEee+PR_AEer+PR_AEst)*P298,0)</f>
        <v>0</v>
      </c>
      <c r="R298" s="20" t="n">
        <f aca="false">L298+PR_AEee*P298</f>
        <v>0</v>
      </c>
      <c r="S298" s="20" t="n">
        <f aca="false">AD297</f>
        <v>0</v>
      </c>
      <c r="T298" s="20" t="n">
        <f aca="false">IF(D298&lt;=PR_SFTfrom,PR_SFT2026,IF(D298=PR_SFTfrom+1,PR_SFT2027,IF(D298=PR_SFTfrom+2,PR_SFT2028,IF(D298&lt;=PR_SFTto,PR_SFT2029,PR_SFT2029*(1+AS_Infl)^(D298-PR_SFTto)))))</f>
        <v>9370623.93157162</v>
      </c>
      <c r="U298" s="20" t="n">
        <f aca="false">IF(AND(G298=0,C298=F_V),1,0)</f>
        <v>0</v>
      </c>
      <c r="V298" s="20" t="n">
        <f aca="false">IF(U298=1,PR_SFTrate*MAX(0,S298-T298),0)</f>
        <v>0</v>
      </c>
      <c r="W298" s="20" t="n">
        <f aca="false">S298-V298</f>
        <v>0</v>
      </c>
      <c r="X298" s="20" t="n">
        <f aca="false">IF(AND(U298=1,AS_LumpPct&gt;0),W298*MIN(AS_LumpPct,PR_LSmax),0)</f>
        <v>0</v>
      </c>
      <c r="Y298" s="20" t="n">
        <f aca="false">X298-(PR_LSrate*MAX(0,MIN(X298,PR_LScap)-PR_LSfree)+PR_r2*MAX(0,X298-PR_LScap))</f>
        <v>0</v>
      </c>
      <c r="Z298" s="20" t="n">
        <f aca="false">W298-X298</f>
        <v>0</v>
      </c>
      <c r="AA298" s="51" t="n">
        <f aca="false">IF(C298&gt;=PR_ARFage1,IF(Z298&gt;PR_ARFbig,PR_ARFbigRate,IF(C298&gt;=PR_ARFage2,PR_ARF71,PR_ARF61)),0)</f>
        <v>0.05</v>
      </c>
      <c r="AB298" s="20" t="n">
        <f aca="false">IF(AS_DrawRule="min",Z298*AA298,IF(AS_DrawRule="fixed",MAX(AS_DrawFixed*E298,Z298*AA298),Z298*MAX(1/MAX(1,AS_End-C298+1),AA298)))</f>
        <v>0</v>
      </c>
      <c r="AC298" s="20" t="n">
        <f aca="false">IF(AND(G298=0,C298&gt;=F_V),MIN(Z298,AB298),0)</f>
        <v>0</v>
      </c>
      <c r="AD298" s="20" t="n">
        <f aca="false">IF(G298=1,S298*(1+F_PenG)+Q298,IF(C298&lt;F_V,S298*(1+F_PenG),(Z298-AC298)*(1+AS_PenRet)))</f>
        <v>0</v>
      </c>
      <c r="AE298" s="20" t="n">
        <f aca="false">IF(C298&gt;=PR_SPage,AS_SP*F_SpF*I298+IF(AND(C298&gt;=PR_Over80Age,F_SpF&gt;0),PR_Over80*PR_Weeks*I298,0),0)</f>
        <v>57120.796727568</v>
      </c>
      <c r="AF298" s="20" t="n">
        <f aca="false">(F_OtherM+F_RentM)*12*E298+IF(AND(In_polInc&gt;0,In_polIncAge&gt;0,C298&gt;=In_polIncAge),In_polInc,0)</f>
        <v>0</v>
      </c>
      <c r="AG298" s="20" t="n">
        <f aca="false">F_PAge+B298</f>
        <v>101</v>
      </c>
      <c r="AH298" s="20" t="n">
        <f aca="false">IF(AND(F_Partner=1,F_PAge&gt;0,AG298&lt;IF(F_PRet&gt;0,F_PRet,PR_SPage)),F_PIncome*F298,0)</f>
        <v>0</v>
      </c>
      <c r="AI298" s="20" t="n">
        <f aca="false">IF(AND(F_Partner=1,AG298&gt;=PR_SPage,F_PSpQA=0),AS_SP*F_PSpF*I298,0)</f>
        <v>44219.2161928512</v>
      </c>
      <c r="AJ298" s="20" t="n">
        <f aca="false">IF(AND(F_Partner=1,F_PSpQA=1,C298&gt;=PR_SPage,AH298=0),IF(AG298&gt;=PR_SPage,PR_QA66,PR_QAunder)*PR_Weeks*I298,0)</f>
        <v>0</v>
      </c>
      <c r="AK298" s="20" t="n">
        <f aca="false">AE298+AJ298</f>
        <v>57120.796727568</v>
      </c>
      <c r="AL298" s="20" t="n">
        <f aca="false">K298/H298</f>
        <v>0</v>
      </c>
      <c r="AM298" s="20" t="n">
        <f aca="false">AK298/H298</f>
        <v>16083.6</v>
      </c>
      <c r="AN298" s="20" t="n">
        <f aca="false">AC298/H298</f>
        <v>0</v>
      </c>
      <c r="AO298" s="20" t="n">
        <f aca="false">AF298/H298</f>
        <v>0</v>
      </c>
      <c r="AP298" s="20" t="n">
        <f aca="false">O298/H298</f>
        <v>0</v>
      </c>
      <c r="AQ298" s="20" t="n">
        <f aca="false">AH298/H298</f>
        <v>0</v>
      </c>
      <c r="AR298" s="20" t="n">
        <f aca="false">AI298/H298</f>
        <v>12450.88</v>
      </c>
      <c r="AS298" s="20" t="n">
        <f aca="false">MAX(0,AL298+AN298+AO298+AM298-AP298)</f>
        <v>16083.6</v>
      </c>
      <c r="AT298" s="20" t="n">
        <f aca="false">MAX(0,AQ298+AR298)</f>
        <v>12450.88</v>
      </c>
      <c r="AU298" s="20" t="n">
        <f aca="false">MIN(PR_PAYE,PR_PAYEcap*(AL298+AN298+AM298))</f>
        <v>2000</v>
      </c>
      <c r="AV298" s="20" t="n">
        <f aca="false">MIN(PR_PAYE,PR_PAYEcap*(AQ298+AR298))</f>
        <v>2000</v>
      </c>
      <c r="AW298" s="20" t="n">
        <f aca="false">IF(C298&gt;=PR_AgeCrAge,PR_AgeCr,0)</f>
        <v>245</v>
      </c>
      <c r="AX298" s="20" t="n">
        <f aca="false">IF(AG298&gt;=PR_AgeCrAge,PR_AgeCr,0)</f>
        <v>245</v>
      </c>
      <c r="AY298" s="20" t="n">
        <f aca="false">IF(AND(F_RentCred=1,D298&lt;=PR_RentLast),1,0)</f>
        <v>0</v>
      </c>
      <c r="AZ298" s="20" t="n">
        <f aca="false">AS298+AT298</f>
        <v>28534.48</v>
      </c>
      <c r="BA298" s="20" t="n">
        <f aca="false">PR_PersonalM+AU298+AV298+AW298+AX298+IF(AY298=1,PR_RentJoint,0)</f>
        <v>8490</v>
      </c>
      <c r="BB298" s="20" t="n">
        <f aca="false">PR_BandM+MIN(MIN(AS298,AT298),PR_Uplift)</f>
        <v>65450.88</v>
      </c>
      <c r="BC298" s="20" t="n">
        <f aca="false">MAX(0,PR_r1*MIN(AZ298,BB298)+PR_r2*MAX(0,AZ298-BB298)-BA298)</f>
        <v>0</v>
      </c>
      <c r="BD298" s="20" t="n">
        <f aca="false">MAX(0,PR_HomeCarer-MAX(0,MIN(AS298,AT298)-PR_HCLimit)/2)</f>
        <v>0</v>
      </c>
      <c r="BE298" s="20" t="n">
        <f aca="false">IF(F_Carer=1,MIN(BC298,MAX(0,PR_r1*MIN(AZ298,PR_BandM)+PR_r2*MAX(0,AZ298-PR_BandM)-BA298-BD298)),BC298)</f>
        <v>0</v>
      </c>
      <c r="BF298" s="20" t="n">
        <f aca="false">IF(OR(C298&gt;=PR_AgeCrAge,AG298&gt;=PR_AgeCrAge),IF(AZ298&lt;=PR_AgeExM,0,MIN(BE298,PR_AgeMarg*(AZ298-PR_AgeExM))),BE298)</f>
        <v>0</v>
      </c>
      <c r="BG298" s="20" t="n">
        <f aca="false">MAX(0,PR_r1*MIN(AS298,IF(F_Spccc=1,PR_BandSPCCC,PR_Band))+PR_r2*MAX(0,AS298-IF(F_Spccc=1,PR_BandSPCCC,PR_Band))-(PR_Personal+AU298+AW298+IF(F_Spccc=1,PR_SPCCC,0)+IF(AY298=1,PR_Rent,0)))</f>
        <v>0</v>
      </c>
      <c r="BH298" s="20" t="n">
        <f aca="false">IF(C298&gt;=PR_AgeCrAge,IF(AS298&lt;=PR_AgeEx,0,MIN(BG298,PR_AgeMarg*(AS298-PR_AgeEx))),BG298)</f>
        <v>0</v>
      </c>
      <c r="BI298" s="20" t="n">
        <f aca="false">IF(F_Partner=1,MAX(0,PR_r1*MIN(AT298,PR_Band)+PR_r2*MAX(0,AT298-PR_Band)-(PR_Personal+AV298+AX298+IF(AND(AY298=1,AT298&gt;0),PR_Rent,0))),0)</f>
        <v>0</v>
      </c>
      <c r="BJ298" s="20" t="n">
        <f aca="false">IF(AG298&gt;=PR_AgeCrAge,IF(AT298&lt;=PR_AgeEx,0,MIN(BI298,PR_AgeMarg*(AT298-PR_AgeEx))),BI298)</f>
        <v>0</v>
      </c>
      <c r="BK298" s="20" t="n">
        <f aca="false">IF(F_Partner=1,IF(F_Married=1,BF298,BH298+BJ298),BH298)</f>
        <v>0</v>
      </c>
      <c r="BL298" s="20" t="n">
        <f aca="false">AL298+AN298+AO298</f>
        <v>0</v>
      </c>
      <c r="BM298" s="20"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20" t="n">
        <f aca="false">AQ298</f>
        <v>0</v>
      </c>
      <c r="BO298" s="20"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20" t="n">
        <f aca="false">IF(C298&lt;PR_PRSIend,IF(F_SelfEmp=1,IF(AL298&gt;PR_PRSIsMinInc,MAX(PR_PRSIsMin,AL298*J298),0),IF(AL298/52&lt;=PR_PRSIfree,0,MAX(0,(AL298/52*J298-IF(AL298/52&lt;=PR_PRSIcreditTo,MAX(0,PR_PRSIcreditMax-(AL298/52-(PR_PRSIfree+0.01))/PR_PRSItaper),0))*52)))+J298*AN298+IF(AO298&gt;PR_PRSIunearned,J298*AO298,0),0)+IF(AND(PRSI_ARF_Applies=1,AN298&gt;0,C298&gt;=PR_PRSIend,C298&lt;PRSI_ARF_ToAge,NOT(AK298&gt;0)),J298*AN298,0)</f>
        <v>0</v>
      </c>
      <c r="BQ298" s="20" t="n">
        <f aca="false">IF(AND(F_Partner=1,AG298&lt;PR_PRSIend),IF(AQ298/52&lt;=PR_PRSIfree,0,MAX(0,(AQ298/52*J298-IF(AQ298/52&lt;=PR_PRSIcreditTo,MAX(0,PR_PRSIcreditMax-(AQ298/52-(PR_PRSIfree+0.01))/PR_PRSItaper),0))*52)),0)</f>
        <v>0</v>
      </c>
      <c r="BR298" s="20" t="n">
        <f aca="false">BK298+BM298+BO298+BP298+BQ298</f>
        <v>0</v>
      </c>
      <c r="BS298" s="20" t="n">
        <f aca="false">BR298*H298</f>
        <v>0</v>
      </c>
      <c r="BT298" s="20" t="n">
        <f aca="false">K298+AK298+AC298+AF298+AH298+AI298</f>
        <v>101340.012920419</v>
      </c>
    </row>
    <row r="299" customFormat="false" ht="15" hidden="false" customHeight="true" outlineLevel="0" collapsed="false">
      <c r="B299" s="20" t="n">
        <v>65</v>
      </c>
      <c r="C299" s="20" t="n">
        <f aca="false">F_Age+B299</f>
        <v>103</v>
      </c>
      <c r="D299" s="20" t="n">
        <f aca="false">AS_Year0+B299</f>
        <v>2091</v>
      </c>
      <c r="E299" s="50" t="n">
        <f aca="false">(1+AS_Infl)^B299</f>
        <v>3.62252310814242</v>
      </c>
      <c r="F299" s="50" t="n">
        <f aca="false">(1+AS_Wage)^B299</f>
        <v>6.82998273458564</v>
      </c>
      <c r="G299" s="20" t="n">
        <f aca="false">IF(C299&lt;F_R,1,0)</f>
        <v>0</v>
      </c>
      <c r="H299" s="50" t="n">
        <f aca="false">IF(AS_Bands="flat",1,E299)</f>
        <v>3.62252310814242</v>
      </c>
      <c r="I299" s="50" t="n">
        <f aca="false">IF(AS_SpGrow="pay",F299,IF(AS_SpGrow="flat",1,E299))</f>
        <v>3.62252310814242</v>
      </c>
      <c r="J299" s="50" t="n">
        <f aca="false">(12*PR_PRSIr0+(PR_PRSIr1-PR_PRSIr0)*MAX(0,MIN(12,D299*12+12-PR_PRSIt1))+(PR_PRSIr2-PR_PRSIr1)*MAX(0,MIN(12,D299*12+12-PR_PRSIt2))+(PR_PRSIr3-PR_PRSIr2)*MAX(0,MIN(12,D299*12+12-PR_PRSIt3)))/12</f>
        <v>0.047</v>
      </c>
      <c r="K299" s="20" t="n">
        <f aca="false">IF(G299=1,F_Income*F299,0)</f>
        <v>0</v>
      </c>
      <c r="L299" s="20" t="n">
        <f aca="false">IF(G299=1,(F_Own+In_penExtra)*12*F299,0)</f>
        <v>0</v>
      </c>
      <c r="M299" s="20" t="n">
        <f aca="false">IF(G299=1,(F_PenM+In_penExtra)*12*F299,0)</f>
        <v>0</v>
      </c>
      <c r="N299" s="51" t="n">
        <f aca="false">IF(C299&lt;PR_RelA1,PR_RelP1,IF(C299&lt;PR_RelA2,PR_RelP2,IF(C299&lt;PR_RelA3,PR_RelP3,IF(C299&lt;PR_RelA4,PR_RelP4,IF(C299&lt;PR_RelA5,PR_RelP5,PR_RelP6)))))</f>
        <v>0.4</v>
      </c>
      <c r="O299" s="20" t="n">
        <f aca="false">IF(G299=1,MIN(L299/H299,N299*MIN(K299/H299,PR_EarnCap))*H299,0)</f>
        <v>0</v>
      </c>
      <c r="P299" s="20" t="n">
        <f aca="false">IF(AND(G299=1,F_AE=1),MIN(K299/H299,PR_AEcap)*H299,0)</f>
        <v>0</v>
      </c>
      <c r="Q299" s="20" t="n">
        <f aca="false">IF(G299=1,IF(WI_Retire=1,MAX(0,M299+WI_M*12),M299)+(PR_AEee+PR_AEer+PR_AEst)*P299,0)</f>
        <v>0</v>
      </c>
      <c r="R299" s="20" t="n">
        <f aca="false">L299+PR_AEee*P299</f>
        <v>0</v>
      </c>
      <c r="S299" s="20" t="n">
        <f aca="false">AD298</f>
        <v>0</v>
      </c>
      <c r="T299" s="20" t="n">
        <f aca="false">IF(D299&lt;=PR_SFTfrom,PR_SFT2026,IF(D299=PR_SFTfrom+1,PR_SFT2027,IF(D299=PR_SFTfrom+2,PR_SFT2028,IF(D299&lt;=PR_SFTto,PR_SFT2029,PR_SFT2029*(1+AS_Infl)^(D299-PR_SFTto)))))</f>
        <v>9558036.41020306</v>
      </c>
      <c r="U299" s="20" t="n">
        <f aca="false">IF(AND(G299=0,C299=F_V),1,0)</f>
        <v>0</v>
      </c>
      <c r="V299" s="20" t="n">
        <f aca="false">IF(U299=1,PR_SFTrate*MAX(0,S299-T299),0)</f>
        <v>0</v>
      </c>
      <c r="W299" s="20" t="n">
        <f aca="false">S299-V299</f>
        <v>0</v>
      </c>
      <c r="X299" s="20" t="n">
        <f aca="false">IF(AND(U299=1,AS_LumpPct&gt;0),W299*MIN(AS_LumpPct,PR_LSmax),0)</f>
        <v>0</v>
      </c>
      <c r="Y299" s="20" t="n">
        <f aca="false">X299-(PR_LSrate*MAX(0,MIN(X299,PR_LScap)-PR_LSfree)+PR_r2*MAX(0,X299-PR_LScap))</f>
        <v>0</v>
      </c>
      <c r="Z299" s="20" t="n">
        <f aca="false">W299-X299</f>
        <v>0</v>
      </c>
      <c r="AA299" s="51" t="n">
        <f aca="false">IF(C299&gt;=PR_ARFage1,IF(Z299&gt;PR_ARFbig,PR_ARFbigRate,IF(C299&gt;=PR_ARFage2,PR_ARF71,PR_ARF61)),0)</f>
        <v>0.05</v>
      </c>
      <c r="AB299" s="20" t="n">
        <f aca="false">IF(AS_DrawRule="min",Z299*AA299,IF(AS_DrawRule="fixed",MAX(AS_DrawFixed*E299,Z299*AA299),Z299*MAX(1/MAX(1,AS_End-C299+1),AA299)))</f>
        <v>0</v>
      </c>
      <c r="AC299" s="20" t="n">
        <f aca="false">IF(AND(G299=0,C299&gt;=F_V),MIN(Z299,AB299),0)</f>
        <v>0</v>
      </c>
      <c r="AD299" s="20" t="n">
        <f aca="false">IF(G299=1,S299*(1+F_PenG)+Q299,IF(C299&lt;F_V,S299*(1+F_PenG),(Z299-AC299)*(1+AS_PenRet)))</f>
        <v>0</v>
      </c>
      <c r="AE299" s="20" t="n">
        <f aca="false">IF(C299&gt;=PR_SPage,AS_SP*F_SpF*I299+IF(AND(C299&gt;=PR_Over80Age,F_SpF&gt;0),PR_Over80*PR_Weeks*I299,0),0)</f>
        <v>58263.2126621194</v>
      </c>
      <c r="AF299" s="20" t="n">
        <f aca="false">(F_OtherM+F_RentM)*12*E299+IF(AND(In_polInc&gt;0,In_polIncAge&gt;0,C299&gt;=In_polIncAge),In_polInc,0)</f>
        <v>0</v>
      </c>
      <c r="AG299" s="20" t="n">
        <f aca="false">F_PAge+B299</f>
        <v>102</v>
      </c>
      <c r="AH299" s="20" t="n">
        <f aca="false">IF(AND(F_Partner=1,F_PAge&gt;0,AG299&lt;IF(F_PRet&gt;0,F_PRet,PR_SPage)),F_PIncome*F299,0)</f>
        <v>0</v>
      </c>
      <c r="AI299" s="20" t="n">
        <f aca="false">IF(AND(F_Partner=1,AG299&gt;=PR_SPage,F_PSpQA=0),AS_SP*F_PSpF*I299,0)</f>
        <v>45103.6005167083</v>
      </c>
      <c r="AJ299" s="20" t="n">
        <f aca="false">IF(AND(F_Partner=1,F_PSpQA=1,C299&gt;=PR_SPage,AH299=0),IF(AG299&gt;=PR_SPage,PR_QA66,PR_QAunder)*PR_Weeks*I299,0)</f>
        <v>0</v>
      </c>
      <c r="AK299" s="20" t="n">
        <f aca="false">AE299+AJ299</f>
        <v>58263.2126621194</v>
      </c>
      <c r="AL299" s="20" t="n">
        <f aca="false">K299/H299</f>
        <v>0</v>
      </c>
      <c r="AM299" s="20" t="n">
        <f aca="false">AK299/H299</f>
        <v>16083.6</v>
      </c>
      <c r="AN299" s="20" t="n">
        <f aca="false">AC299/H299</f>
        <v>0</v>
      </c>
      <c r="AO299" s="20" t="n">
        <f aca="false">AF299/H299</f>
        <v>0</v>
      </c>
      <c r="AP299" s="20" t="n">
        <f aca="false">O299/H299</f>
        <v>0</v>
      </c>
      <c r="AQ299" s="20" t="n">
        <f aca="false">AH299/H299</f>
        <v>0</v>
      </c>
      <c r="AR299" s="20" t="n">
        <f aca="false">AI299/H299</f>
        <v>12450.88</v>
      </c>
      <c r="AS299" s="20" t="n">
        <f aca="false">MAX(0,AL299+AN299+AO299+AM299-AP299)</f>
        <v>16083.6</v>
      </c>
      <c r="AT299" s="20" t="n">
        <f aca="false">MAX(0,AQ299+AR299)</f>
        <v>12450.88</v>
      </c>
      <c r="AU299" s="20" t="n">
        <f aca="false">MIN(PR_PAYE,PR_PAYEcap*(AL299+AN299+AM299))</f>
        <v>2000</v>
      </c>
      <c r="AV299" s="20" t="n">
        <f aca="false">MIN(PR_PAYE,PR_PAYEcap*(AQ299+AR299))</f>
        <v>2000</v>
      </c>
      <c r="AW299" s="20" t="n">
        <f aca="false">IF(C299&gt;=PR_AgeCrAge,PR_AgeCr,0)</f>
        <v>245</v>
      </c>
      <c r="AX299" s="20" t="n">
        <f aca="false">IF(AG299&gt;=PR_AgeCrAge,PR_AgeCr,0)</f>
        <v>245</v>
      </c>
      <c r="AY299" s="20" t="n">
        <f aca="false">IF(AND(F_RentCred=1,D299&lt;=PR_RentLast),1,0)</f>
        <v>0</v>
      </c>
      <c r="AZ299" s="20" t="n">
        <f aca="false">AS299+AT299</f>
        <v>28534.48</v>
      </c>
      <c r="BA299" s="20" t="n">
        <f aca="false">PR_PersonalM+AU299+AV299+AW299+AX299+IF(AY299=1,PR_RentJoint,0)</f>
        <v>8490</v>
      </c>
      <c r="BB299" s="20" t="n">
        <f aca="false">PR_BandM+MIN(MIN(AS299,AT299),PR_Uplift)</f>
        <v>65450.88</v>
      </c>
      <c r="BC299" s="20" t="n">
        <f aca="false">MAX(0,PR_r1*MIN(AZ299,BB299)+PR_r2*MAX(0,AZ299-BB299)-BA299)</f>
        <v>0</v>
      </c>
      <c r="BD299" s="20" t="n">
        <f aca="false">MAX(0,PR_HomeCarer-MAX(0,MIN(AS299,AT299)-PR_HCLimit)/2)</f>
        <v>0</v>
      </c>
      <c r="BE299" s="20" t="n">
        <f aca="false">IF(F_Carer=1,MIN(BC299,MAX(0,PR_r1*MIN(AZ299,PR_BandM)+PR_r2*MAX(0,AZ299-PR_BandM)-BA299-BD299)),BC299)</f>
        <v>0</v>
      </c>
      <c r="BF299" s="20" t="n">
        <f aca="false">IF(OR(C299&gt;=PR_AgeCrAge,AG299&gt;=PR_AgeCrAge),IF(AZ299&lt;=PR_AgeExM,0,MIN(BE299,PR_AgeMarg*(AZ299-PR_AgeExM))),BE299)</f>
        <v>0</v>
      </c>
      <c r="BG299" s="20" t="n">
        <f aca="false">MAX(0,PR_r1*MIN(AS299,IF(F_Spccc=1,PR_BandSPCCC,PR_Band))+PR_r2*MAX(0,AS299-IF(F_Spccc=1,PR_BandSPCCC,PR_Band))-(PR_Personal+AU299+AW299+IF(F_Spccc=1,PR_SPCCC,0)+IF(AY299=1,PR_Rent,0)))</f>
        <v>0</v>
      </c>
      <c r="BH299" s="20" t="n">
        <f aca="false">IF(C299&gt;=PR_AgeCrAge,IF(AS299&lt;=PR_AgeEx,0,MIN(BG299,PR_AgeMarg*(AS299-PR_AgeEx))),BG299)</f>
        <v>0</v>
      </c>
      <c r="BI299" s="20" t="n">
        <f aca="false">IF(F_Partner=1,MAX(0,PR_r1*MIN(AT299,PR_Band)+PR_r2*MAX(0,AT299-PR_Band)-(PR_Personal+AV299+AX299+IF(AND(AY299=1,AT299&gt;0),PR_Rent,0))),0)</f>
        <v>0</v>
      </c>
      <c r="BJ299" s="20" t="n">
        <f aca="false">IF(AG299&gt;=PR_AgeCrAge,IF(AT299&lt;=PR_AgeEx,0,MIN(BI299,PR_AgeMarg*(AT299-PR_AgeEx))),BI299)</f>
        <v>0</v>
      </c>
      <c r="BK299" s="20" t="n">
        <f aca="false">IF(F_Partner=1,IF(F_Married=1,BF299,BH299+BJ299),BH299)</f>
        <v>0</v>
      </c>
      <c r="BL299" s="20" t="n">
        <f aca="false">AL299+AN299+AO299</f>
        <v>0</v>
      </c>
      <c r="BM299" s="20"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20" t="n">
        <f aca="false">AQ299</f>
        <v>0</v>
      </c>
      <c r="BO299" s="20"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20" t="n">
        <f aca="false">IF(C299&lt;PR_PRSIend,IF(F_SelfEmp=1,IF(AL299&gt;PR_PRSIsMinInc,MAX(PR_PRSIsMin,AL299*J299),0),IF(AL299/52&lt;=PR_PRSIfree,0,MAX(0,(AL299/52*J299-IF(AL299/52&lt;=PR_PRSIcreditTo,MAX(0,PR_PRSIcreditMax-(AL299/52-(PR_PRSIfree+0.01))/PR_PRSItaper),0))*52)))+J299*AN299+IF(AO299&gt;PR_PRSIunearned,J299*AO299,0),0)+IF(AND(PRSI_ARF_Applies=1,AN299&gt;0,C299&gt;=PR_PRSIend,C299&lt;PRSI_ARF_ToAge,NOT(AK299&gt;0)),J299*AN299,0)</f>
        <v>0</v>
      </c>
      <c r="BQ299" s="20" t="n">
        <f aca="false">IF(AND(F_Partner=1,AG299&lt;PR_PRSIend),IF(AQ299/52&lt;=PR_PRSIfree,0,MAX(0,(AQ299/52*J299-IF(AQ299/52&lt;=PR_PRSIcreditTo,MAX(0,PR_PRSIcreditMax-(AQ299/52-(PR_PRSIfree+0.01))/PR_PRSItaper),0))*52)),0)</f>
        <v>0</v>
      </c>
      <c r="BR299" s="20" t="n">
        <f aca="false">BK299+BM299+BO299+BP299+BQ299</f>
        <v>0</v>
      </c>
      <c r="BS299" s="20" t="n">
        <f aca="false">BR299*H299</f>
        <v>0</v>
      </c>
      <c r="BT299" s="20" t="n">
        <f aca="false">K299+AK299+AC299+AF299+AH299+AI299</f>
        <v>103366.813178828</v>
      </c>
    </row>
    <row r="300" customFormat="false" ht="15" hidden="false" customHeight="true" outlineLevel="0" collapsed="false">
      <c r="B300" s="20" t="n">
        <v>66</v>
      </c>
      <c r="C300" s="20" t="n">
        <f aca="false">F_Age+B300</f>
        <v>104</v>
      </c>
      <c r="D300" s="20" t="n">
        <f aca="false">AS_Year0+B300</f>
        <v>2092</v>
      </c>
      <c r="E300" s="50" t="n">
        <f aca="false">(1+AS_Infl)^B300</f>
        <v>3.69497357030527</v>
      </c>
      <c r="F300" s="50" t="n">
        <f aca="false">(1+AS_Wage)^B300</f>
        <v>7.03488221662321</v>
      </c>
      <c r="G300" s="20" t="n">
        <f aca="false">IF(C300&lt;F_R,1,0)</f>
        <v>0</v>
      </c>
      <c r="H300" s="50" t="n">
        <f aca="false">IF(AS_Bands="flat",1,E300)</f>
        <v>3.69497357030527</v>
      </c>
      <c r="I300" s="50" t="n">
        <f aca="false">IF(AS_SpGrow="pay",F300,IF(AS_SpGrow="flat",1,E300))</f>
        <v>3.69497357030527</v>
      </c>
      <c r="J300" s="50" t="n">
        <f aca="false">(12*PR_PRSIr0+(PR_PRSIr1-PR_PRSIr0)*MAX(0,MIN(12,D300*12+12-PR_PRSIt1))+(PR_PRSIr2-PR_PRSIr1)*MAX(0,MIN(12,D300*12+12-PR_PRSIt2))+(PR_PRSIr3-PR_PRSIr2)*MAX(0,MIN(12,D300*12+12-PR_PRSIt3)))/12</f>
        <v>0.047</v>
      </c>
      <c r="K300" s="20" t="n">
        <f aca="false">IF(G300=1,F_Income*F300,0)</f>
        <v>0</v>
      </c>
      <c r="L300" s="20" t="n">
        <f aca="false">IF(G300=1,(F_Own+In_penExtra)*12*F300,0)</f>
        <v>0</v>
      </c>
      <c r="M300" s="20" t="n">
        <f aca="false">IF(G300=1,(F_PenM+In_penExtra)*12*F300,0)</f>
        <v>0</v>
      </c>
      <c r="N300" s="51" t="n">
        <f aca="false">IF(C300&lt;PR_RelA1,PR_RelP1,IF(C300&lt;PR_RelA2,PR_RelP2,IF(C300&lt;PR_RelA3,PR_RelP3,IF(C300&lt;PR_RelA4,PR_RelP4,IF(C300&lt;PR_RelA5,PR_RelP5,PR_RelP6)))))</f>
        <v>0.4</v>
      </c>
      <c r="O300" s="20" t="n">
        <f aca="false">IF(G300=1,MIN(L300/H300,N300*MIN(K300/H300,PR_EarnCap))*H300,0)</f>
        <v>0</v>
      </c>
      <c r="P300" s="20" t="n">
        <f aca="false">IF(AND(G300=1,F_AE=1),MIN(K300/H300,PR_AEcap)*H300,0)</f>
        <v>0</v>
      </c>
      <c r="Q300" s="20" t="n">
        <f aca="false">IF(G300=1,IF(WI_Retire=1,MAX(0,M300+WI_M*12),M300)+(PR_AEee+PR_AEer+PR_AEst)*P300,0)</f>
        <v>0</v>
      </c>
      <c r="R300" s="20" t="n">
        <f aca="false">L300+PR_AEee*P300</f>
        <v>0</v>
      </c>
      <c r="S300" s="20" t="n">
        <f aca="false">AD299</f>
        <v>0</v>
      </c>
      <c r="T300" s="20" t="n">
        <f aca="false">IF(D300&lt;=PR_SFTfrom,PR_SFT2026,IF(D300=PR_SFTfrom+1,PR_SFT2027,IF(D300=PR_SFTfrom+2,PR_SFT2028,IF(D300&lt;=PR_SFTto,PR_SFT2029,PR_SFT2029*(1+AS_Infl)^(D300-PR_SFTto)))))</f>
        <v>9749197.13840712</v>
      </c>
      <c r="U300" s="20" t="n">
        <f aca="false">IF(AND(G300=0,C300=F_V),1,0)</f>
        <v>0</v>
      </c>
      <c r="V300" s="20" t="n">
        <f aca="false">IF(U300=1,PR_SFTrate*MAX(0,S300-T300),0)</f>
        <v>0</v>
      </c>
      <c r="W300" s="20" t="n">
        <f aca="false">S300-V300</f>
        <v>0</v>
      </c>
      <c r="X300" s="20" t="n">
        <f aca="false">IF(AND(U300=1,AS_LumpPct&gt;0),W300*MIN(AS_LumpPct,PR_LSmax),0)</f>
        <v>0</v>
      </c>
      <c r="Y300" s="20" t="n">
        <f aca="false">X300-(PR_LSrate*MAX(0,MIN(X300,PR_LScap)-PR_LSfree)+PR_r2*MAX(0,X300-PR_LScap))</f>
        <v>0</v>
      </c>
      <c r="Z300" s="20" t="n">
        <f aca="false">W300-X300</f>
        <v>0</v>
      </c>
      <c r="AA300" s="51" t="n">
        <f aca="false">IF(C300&gt;=PR_ARFage1,IF(Z300&gt;PR_ARFbig,PR_ARFbigRate,IF(C300&gt;=PR_ARFage2,PR_ARF71,PR_ARF61)),0)</f>
        <v>0.05</v>
      </c>
      <c r="AB300" s="20" t="n">
        <f aca="false">IF(AS_DrawRule="min",Z300*AA300,IF(AS_DrawRule="fixed",MAX(AS_DrawFixed*E300,Z300*AA300),Z300*MAX(1/MAX(1,AS_End-C300+1),AA300)))</f>
        <v>0</v>
      </c>
      <c r="AC300" s="20" t="n">
        <f aca="false">IF(AND(G300=0,C300&gt;=F_V),MIN(Z300,AB300),0)</f>
        <v>0</v>
      </c>
      <c r="AD300" s="20" t="n">
        <f aca="false">IF(G300=1,S300*(1+F_PenG)+Q300,IF(C300&lt;F_V,S300*(1+F_PenG),(Z300-AC300)*(1+AS_PenRet)))</f>
        <v>0</v>
      </c>
      <c r="AE300" s="20" t="n">
        <f aca="false">IF(C300&gt;=PR_SPage,AS_SP*F_SpF*I300+IF(AND(C300&gt;=PR_Over80Age,F_SpF&gt;0),PR_Over80*PR_Weeks*I300,0),0)</f>
        <v>59428.4769153618</v>
      </c>
      <c r="AF300" s="20" t="n">
        <f aca="false">(F_OtherM+F_RentM)*12*E300+IF(AND(In_polInc&gt;0,In_polIncAge&gt;0,C300&gt;=In_polIncAge),In_polInc,0)</f>
        <v>0</v>
      </c>
      <c r="AG300" s="20" t="n">
        <f aca="false">F_PAge+B300</f>
        <v>103</v>
      </c>
      <c r="AH300" s="20" t="n">
        <f aca="false">IF(AND(F_Partner=1,F_PAge&gt;0,AG300&lt;IF(F_PRet&gt;0,F_PRet,PR_SPage)),F_PIncome*F300,0)</f>
        <v>0</v>
      </c>
      <c r="AI300" s="20" t="n">
        <f aca="false">IF(AND(F_Partner=1,AG300&gt;=PR_SPage,F_PSpQA=0),AS_SP*F_PSpF*I300,0)</f>
        <v>46005.6725270424</v>
      </c>
      <c r="AJ300" s="20" t="n">
        <f aca="false">IF(AND(F_Partner=1,F_PSpQA=1,C300&gt;=PR_SPage,AH300=0),IF(AG300&gt;=PR_SPage,PR_QA66,PR_QAunder)*PR_Weeks*I300,0)</f>
        <v>0</v>
      </c>
      <c r="AK300" s="20" t="n">
        <f aca="false">AE300+AJ300</f>
        <v>59428.4769153618</v>
      </c>
      <c r="AL300" s="20" t="n">
        <f aca="false">K300/H300</f>
        <v>0</v>
      </c>
      <c r="AM300" s="20" t="n">
        <f aca="false">AK300/H300</f>
        <v>16083.6</v>
      </c>
      <c r="AN300" s="20" t="n">
        <f aca="false">AC300/H300</f>
        <v>0</v>
      </c>
      <c r="AO300" s="20" t="n">
        <f aca="false">AF300/H300</f>
        <v>0</v>
      </c>
      <c r="AP300" s="20" t="n">
        <f aca="false">O300/H300</f>
        <v>0</v>
      </c>
      <c r="AQ300" s="20" t="n">
        <f aca="false">AH300/H300</f>
        <v>0</v>
      </c>
      <c r="AR300" s="20" t="n">
        <f aca="false">AI300/H300</f>
        <v>12450.88</v>
      </c>
      <c r="AS300" s="20" t="n">
        <f aca="false">MAX(0,AL300+AN300+AO300+AM300-AP300)</f>
        <v>16083.6</v>
      </c>
      <c r="AT300" s="20" t="n">
        <f aca="false">MAX(0,AQ300+AR300)</f>
        <v>12450.88</v>
      </c>
      <c r="AU300" s="20" t="n">
        <f aca="false">MIN(PR_PAYE,PR_PAYEcap*(AL300+AN300+AM300))</f>
        <v>2000</v>
      </c>
      <c r="AV300" s="20" t="n">
        <f aca="false">MIN(PR_PAYE,PR_PAYEcap*(AQ300+AR300))</f>
        <v>2000</v>
      </c>
      <c r="AW300" s="20" t="n">
        <f aca="false">IF(C300&gt;=PR_AgeCrAge,PR_AgeCr,0)</f>
        <v>245</v>
      </c>
      <c r="AX300" s="20" t="n">
        <f aca="false">IF(AG300&gt;=PR_AgeCrAge,PR_AgeCr,0)</f>
        <v>245</v>
      </c>
      <c r="AY300" s="20" t="n">
        <f aca="false">IF(AND(F_RentCred=1,D300&lt;=PR_RentLast),1,0)</f>
        <v>0</v>
      </c>
      <c r="AZ300" s="20" t="n">
        <f aca="false">AS300+AT300</f>
        <v>28534.48</v>
      </c>
      <c r="BA300" s="20" t="n">
        <f aca="false">PR_PersonalM+AU300+AV300+AW300+AX300+IF(AY300=1,PR_RentJoint,0)</f>
        <v>8490</v>
      </c>
      <c r="BB300" s="20" t="n">
        <f aca="false">PR_BandM+MIN(MIN(AS300,AT300),PR_Uplift)</f>
        <v>65450.88</v>
      </c>
      <c r="BC300" s="20" t="n">
        <f aca="false">MAX(0,PR_r1*MIN(AZ300,BB300)+PR_r2*MAX(0,AZ300-BB300)-BA300)</f>
        <v>0</v>
      </c>
      <c r="BD300" s="20" t="n">
        <f aca="false">MAX(0,PR_HomeCarer-MAX(0,MIN(AS300,AT300)-PR_HCLimit)/2)</f>
        <v>0</v>
      </c>
      <c r="BE300" s="20" t="n">
        <f aca="false">IF(F_Carer=1,MIN(BC300,MAX(0,PR_r1*MIN(AZ300,PR_BandM)+PR_r2*MAX(0,AZ300-PR_BandM)-BA300-BD300)),BC300)</f>
        <v>0</v>
      </c>
      <c r="BF300" s="20" t="n">
        <f aca="false">IF(OR(C300&gt;=PR_AgeCrAge,AG300&gt;=PR_AgeCrAge),IF(AZ300&lt;=PR_AgeExM,0,MIN(BE300,PR_AgeMarg*(AZ300-PR_AgeExM))),BE300)</f>
        <v>0</v>
      </c>
      <c r="BG300" s="20" t="n">
        <f aca="false">MAX(0,PR_r1*MIN(AS300,IF(F_Spccc=1,PR_BandSPCCC,PR_Band))+PR_r2*MAX(0,AS300-IF(F_Spccc=1,PR_BandSPCCC,PR_Band))-(PR_Personal+AU300+AW300+IF(F_Spccc=1,PR_SPCCC,0)+IF(AY300=1,PR_Rent,0)))</f>
        <v>0</v>
      </c>
      <c r="BH300" s="20" t="n">
        <f aca="false">IF(C300&gt;=PR_AgeCrAge,IF(AS300&lt;=PR_AgeEx,0,MIN(BG300,PR_AgeMarg*(AS300-PR_AgeEx))),BG300)</f>
        <v>0</v>
      </c>
      <c r="BI300" s="20" t="n">
        <f aca="false">IF(F_Partner=1,MAX(0,PR_r1*MIN(AT300,PR_Band)+PR_r2*MAX(0,AT300-PR_Band)-(PR_Personal+AV300+AX300+IF(AND(AY300=1,AT300&gt;0),PR_Rent,0))),0)</f>
        <v>0</v>
      </c>
      <c r="BJ300" s="20" t="n">
        <f aca="false">IF(AG300&gt;=PR_AgeCrAge,IF(AT300&lt;=PR_AgeEx,0,MIN(BI300,PR_AgeMarg*(AT300-PR_AgeEx))),BI300)</f>
        <v>0</v>
      </c>
      <c r="BK300" s="20" t="n">
        <f aca="false">IF(F_Partner=1,IF(F_Married=1,BF300,BH300+BJ300),BH300)</f>
        <v>0</v>
      </c>
      <c r="BL300" s="20" t="n">
        <f aca="false">AL300+AN300+AO300</f>
        <v>0</v>
      </c>
      <c r="BM300" s="20"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20" t="n">
        <f aca="false">AQ300</f>
        <v>0</v>
      </c>
      <c r="BO300" s="20"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20" t="n">
        <f aca="false">IF(C300&lt;PR_PRSIend,IF(F_SelfEmp=1,IF(AL300&gt;PR_PRSIsMinInc,MAX(PR_PRSIsMin,AL300*J300),0),IF(AL300/52&lt;=PR_PRSIfree,0,MAX(0,(AL300/52*J300-IF(AL300/52&lt;=PR_PRSIcreditTo,MAX(0,PR_PRSIcreditMax-(AL300/52-(PR_PRSIfree+0.01))/PR_PRSItaper),0))*52)))+J300*AN300+IF(AO300&gt;PR_PRSIunearned,J300*AO300,0),0)+IF(AND(PRSI_ARF_Applies=1,AN300&gt;0,C300&gt;=PR_PRSIend,C300&lt;PRSI_ARF_ToAge,NOT(AK300&gt;0)),J300*AN300,0)</f>
        <v>0</v>
      </c>
      <c r="BQ300" s="20" t="n">
        <f aca="false">IF(AND(F_Partner=1,AG300&lt;PR_PRSIend),IF(AQ300/52&lt;=PR_PRSIfree,0,MAX(0,(AQ300/52*J300-IF(AQ300/52&lt;=PR_PRSIcreditTo,MAX(0,PR_PRSIcreditMax-(AQ300/52-(PR_PRSIfree+0.01))/PR_PRSItaper),0))*52)),0)</f>
        <v>0</v>
      </c>
      <c r="BR300" s="20" t="n">
        <f aca="false">BK300+BM300+BO300+BP300+BQ300</f>
        <v>0</v>
      </c>
      <c r="BS300" s="20" t="n">
        <f aca="false">BR300*H300</f>
        <v>0</v>
      </c>
      <c r="BT300" s="20" t="n">
        <f aca="false">K300+AK300+AC300+AF300+AH300+AI300</f>
        <v>105434.149442404</v>
      </c>
    </row>
    <row r="301" customFormat="false" ht="15" hidden="false" customHeight="true" outlineLevel="0" collapsed="false">
      <c r="B301" s="20" t="n">
        <v>67</v>
      </c>
      <c r="C301" s="20" t="n">
        <f aca="false">F_Age+B301</f>
        <v>105</v>
      </c>
      <c r="D301" s="20" t="n">
        <f aca="false">AS_Year0+B301</f>
        <v>2093</v>
      </c>
      <c r="E301" s="50" t="n">
        <f aca="false">(1+AS_Infl)^B301</f>
        <v>3.76887304171137</v>
      </c>
      <c r="F301" s="50" t="n">
        <f aca="false">(1+AS_Wage)^B301</f>
        <v>7.24592868312191</v>
      </c>
      <c r="G301" s="20" t="n">
        <f aca="false">IF(C301&lt;F_R,1,0)</f>
        <v>0</v>
      </c>
      <c r="H301" s="50" t="n">
        <f aca="false">IF(AS_Bands="flat",1,E301)</f>
        <v>3.76887304171137</v>
      </c>
      <c r="I301" s="50" t="n">
        <f aca="false">IF(AS_SpGrow="pay",F301,IF(AS_SpGrow="flat",1,E301))</f>
        <v>3.76887304171137</v>
      </c>
      <c r="J301" s="50" t="n">
        <f aca="false">(12*PR_PRSIr0+(PR_PRSIr1-PR_PRSIr0)*MAX(0,MIN(12,D301*12+12-PR_PRSIt1))+(PR_PRSIr2-PR_PRSIr1)*MAX(0,MIN(12,D301*12+12-PR_PRSIt2))+(PR_PRSIr3-PR_PRSIr2)*MAX(0,MIN(12,D301*12+12-PR_PRSIt3)))/12</f>
        <v>0.047</v>
      </c>
      <c r="K301" s="20" t="n">
        <f aca="false">IF(G301=1,F_Income*F301,0)</f>
        <v>0</v>
      </c>
      <c r="L301" s="20" t="n">
        <f aca="false">IF(G301=1,(F_Own+In_penExtra)*12*F301,0)</f>
        <v>0</v>
      </c>
      <c r="M301" s="20" t="n">
        <f aca="false">IF(G301=1,(F_PenM+In_penExtra)*12*F301,0)</f>
        <v>0</v>
      </c>
      <c r="N301" s="51" t="n">
        <f aca="false">IF(C301&lt;PR_RelA1,PR_RelP1,IF(C301&lt;PR_RelA2,PR_RelP2,IF(C301&lt;PR_RelA3,PR_RelP3,IF(C301&lt;PR_RelA4,PR_RelP4,IF(C301&lt;PR_RelA5,PR_RelP5,PR_RelP6)))))</f>
        <v>0.4</v>
      </c>
      <c r="O301" s="20" t="n">
        <f aca="false">IF(G301=1,MIN(L301/H301,N301*MIN(K301/H301,PR_EarnCap))*H301,0)</f>
        <v>0</v>
      </c>
      <c r="P301" s="20" t="n">
        <f aca="false">IF(AND(G301=1,F_AE=1),MIN(K301/H301,PR_AEcap)*H301,0)</f>
        <v>0</v>
      </c>
      <c r="Q301" s="20" t="n">
        <f aca="false">IF(G301=1,IF(WI_Retire=1,MAX(0,M301+WI_M*12),M301)+(PR_AEee+PR_AEer+PR_AEst)*P301,0)</f>
        <v>0</v>
      </c>
      <c r="R301" s="20" t="n">
        <f aca="false">L301+PR_AEee*P301</f>
        <v>0</v>
      </c>
      <c r="S301" s="20" t="n">
        <f aca="false">AD300</f>
        <v>0</v>
      </c>
      <c r="T301" s="20" t="n">
        <f aca="false">IF(D301&lt;=PR_SFTfrom,PR_SFT2026,IF(D301=PR_SFTfrom+1,PR_SFT2027,IF(D301=PR_SFTfrom+2,PR_SFT2028,IF(D301&lt;=PR_SFTto,PR_SFT2029,PR_SFT2029*(1+AS_Infl)^(D301-PR_SFTto)))))</f>
        <v>9944181.08117526</v>
      </c>
      <c r="U301" s="20" t="n">
        <f aca="false">IF(AND(G301=0,C301=F_V),1,0)</f>
        <v>0</v>
      </c>
      <c r="V301" s="20" t="n">
        <f aca="false">IF(U301=1,PR_SFTrate*MAX(0,S301-T301),0)</f>
        <v>0</v>
      </c>
      <c r="W301" s="20" t="n">
        <f aca="false">S301-V301</f>
        <v>0</v>
      </c>
      <c r="X301" s="20" t="n">
        <f aca="false">IF(AND(U301=1,AS_LumpPct&gt;0),W301*MIN(AS_LumpPct,PR_LSmax),0)</f>
        <v>0</v>
      </c>
      <c r="Y301" s="20" t="n">
        <f aca="false">X301-(PR_LSrate*MAX(0,MIN(X301,PR_LScap)-PR_LSfree)+PR_r2*MAX(0,X301-PR_LScap))</f>
        <v>0</v>
      </c>
      <c r="Z301" s="20" t="n">
        <f aca="false">W301-X301</f>
        <v>0</v>
      </c>
      <c r="AA301" s="51" t="n">
        <f aca="false">IF(C301&gt;=PR_ARFage1,IF(Z301&gt;PR_ARFbig,PR_ARFbigRate,IF(C301&gt;=PR_ARFage2,PR_ARF71,PR_ARF61)),0)</f>
        <v>0.05</v>
      </c>
      <c r="AB301" s="20" t="n">
        <f aca="false">IF(AS_DrawRule="min",Z301*AA301,IF(AS_DrawRule="fixed",MAX(AS_DrawFixed*E301,Z301*AA301),Z301*MAX(1/MAX(1,AS_End-C301+1),AA301)))</f>
        <v>0</v>
      </c>
      <c r="AC301" s="20" t="n">
        <f aca="false">IF(AND(G301=0,C301&gt;=F_V),MIN(Z301,AB301),0)</f>
        <v>0</v>
      </c>
      <c r="AD301" s="20" t="n">
        <f aca="false">IF(G301=1,S301*(1+F_PenG)+Q301,IF(C301&lt;F_V,S301*(1+F_PenG),(Z301-AC301)*(1+AS_PenRet)))</f>
        <v>0</v>
      </c>
      <c r="AE301" s="20" t="n">
        <f aca="false">IF(C301&gt;=PR_SPage,AS_SP*F_SpF*I301+IF(AND(C301&gt;=PR_Over80Age,F_SpF&gt;0),PR_Over80*PR_Weeks*I301,0),0)</f>
        <v>60617.046453669</v>
      </c>
      <c r="AF301" s="20" t="n">
        <f aca="false">(F_OtherM+F_RentM)*12*E301+IF(AND(In_polInc&gt;0,In_polIncAge&gt;0,C301&gt;=In_polIncAge),In_polInc,0)</f>
        <v>0</v>
      </c>
      <c r="AG301" s="20" t="n">
        <f aca="false">F_PAge+B301</f>
        <v>104</v>
      </c>
      <c r="AH301" s="20" t="n">
        <f aca="false">IF(AND(F_Partner=1,F_PAge&gt;0,AG301&lt;IF(F_PRet&gt;0,F_PRet,PR_SPage)),F_PIncome*F301,0)</f>
        <v>0</v>
      </c>
      <c r="AI301" s="20" t="n">
        <f aca="false">IF(AND(F_Partner=1,AG301&gt;=PR_SPage,F_PSpQA=0),AS_SP*F_PSpF*I301,0)</f>
        <v>46925.7859775833</v>
      </c>
      <c r="AJ301" s="20" t="n">
        <f aca="false">IF(AND(F_Partner=1,F_PSpQA=1,C301&gt;=PR_SPage,AH301=0),IF(AG301&gt;=PR_SPage,PR_QA66,PR_QAunder)*PR_Weeks*I301,0)</f>
        <v>0</v>
      </c>
      <c r="AK301" s="20" t="n">
        <f aca="false">AE301+AJ301</f>
        <v>60617.046453669</v>
      </c>
      <c r="AL301" s="20" t="n">
        <f aca="false">K301/H301</f>
        <v>0</v>
      </c>
      <c r="AM301" s="20" t="n">
        <f aca="false">AK301/H301</f>
        <v>16083.6</v>
      </c>
      <c r="AN301" s="20" t="n">
        <f aca="false">AC301/H301</f>
        <v>0</v>
      </c>
      <c r="AO301" s="20" t="n">
        <f aca="false">AF301/H301</f>
        <v>0</v>
      </c>
      <c r="AP301" s="20" t="n">
        <f aca="false">O301/H301</f>
        <v>0</v>
      </c>
      <c r="AQ301" s="20" t="n">
        <f aca="false">AH301/H301</f>
        <v>0</v>
      </c>
      <c r="AR301" s="20" t="n">
        <f aca="false">AI301/H301</f>
        <v>12450.88</v>
      </c>
      <c r="AS301" s="20" t="n">
        <f aca="false">MAX(0,AL301+AN301+AO301+AM301-AP301)</f>
        <v>16083.6</v>
      </c>
      <c r="AT301" s="20" t="n">
        <f aca="false">MAX(0,AQ301+AR301)</f>
        <v>12450.88</v>
      </c>
      <c r="AU301" s="20" t="n">
        <f aca="false">MIN(PR_PAYE,PR_PAYEcap*(AL301+AN301+AM301))</f>
        <v>2000</v>
      </c>
      <c r="AV301" s="20" t="n">
        <f aca="false">MIN(PR_PAYE,PR_PAYEcap*(AQ301+AR301))</f>
        <v>2000</v>
      </c>
      <c r="AW301" s="20" t="n">
        <f aca="false">IF(C301&gt;=PR_AgeCrAge,PR_AgeCr,0)</f>
        <v>245</v>
      </c>
      <c r="AX301" s="20" t="n">
        <f aca="false">IF(AG301&gt;=PR_AgeCrAge,PR_AgeCr,0)</f>
        <v>245</v>
      </c>
      <c r="AY301" s="20" t="n">
        <f aca="false">IF(AND(F_RentCred=1,D301&lt;=PR_RentLast),1,0)</f>
        <v>0</v>
      </c>
      <c r="AZ301" s="20" t="n">
        <f aca="false">AS301+AT301</f>
        <v>28534.48</v>
      </c>
      <c r="BA301" s="20" t="n">
        <f aca="false">PR_PersonalM+AU301+AV301+AW301+AX301+IF(AY301=1,PR_RentJoint,0)</f>
        <v>8490</v>
      </c>
      <c r="BB301" s="20" t="n">
        <f aca="false">PR_BandM+MIN(MIN(AS301,AT301),PR_Uplift)</f>
        <v>65450.88</v>
      </c>
      <c r="BC301" s="20" t="n">
        <f aca="false">MAX(0,PR_r1*MIN(AZ301,BB301)+PR_r2*MAX(0,AZ301-BB301)-BA301)</f>
        <v>0</v>
      </c>
      <c r="BD301" s="20" t="n">
        <f aca="false">MAX(0,PR_HomeCarer-MAX(0,MIN(AS301,AT301)-PR_HCLimit)/2)</f>
        <v>0</v>
      </c>
      <c r="BE301" s="20" t="n">
        <f aca="false">IF(F_Carer=1,MIN(BC301,MAX(0,PR_r1*MIN(AZ301,PR_BandM)+PR_r2*MAX(0,AZ301-PR_BandM)-BA301-BD301)),BC301)</f>
        <v>0</v>
      </c>
      <c r="BF301" s="20" t="n">
        <f aca="false">IF(OR(C301&gt;=PR_AgeCrAge,AG301&gt;=PR_AgeCrAge),IF(AZ301&lt;=PR_AgeExM,0,MIN(BE301,PR_AgeMarg*(AZ301-PR_AgeExM))),BE301)</f>
        <v>0</v>
      </c>
      <c r="BG301" s="20" t="n">
        <f aca="false">MAX(0,PR_r1*MIN(AS301,IF(F_Spccc=1,PR_BandSPCCC,PR_Band))+PR_r2*MAX(0,AS301-IF(F_Spccc=1,PR_BandSPCCC,PR_Band))-(PR_Personal+AU301+AW301+IF(F_Spccc=1,PR_SPCCC,0)+IF(AY301=1,PR_Rent,0)))</f>
        <v>0</v>
      </c>
      <c r="BH301" s="20" t="n">
        <f aca="false">IF(C301&gt;=PR_AgeCrAge,IF(AS301&lt;=PR_AgeEx,0,MIN(BG301,PR_AgeMarg*(AS301-PR_AgeEx))),BG301)</f>
        <v>0</v>
      </c>
      <c r="BI301" s="20" t="n">
        <f aca="false">IF(F_Partner=1,MAX(0,PR_r1*MIN(AT301,PR_Band)+PR_r2*MAX(0,AT301-PR_Band)-(PR_Personal+AV301+AX301+IF(AND(AY301=1,AT301&gt;0),PR_Rent,0))),0)</f>
        <v>0</v>
      </c>
      <c r="BJ301" s="20" t="n">
        <f aca="false">IF(AG301&gt;=PR_AgeCrAge,IF(AT301&lt;=PR_AgeEx,0,MIN(BI301,PR_AgeMarg*(AT301-PR_AgeEx))),BI301)</f>
        <v>0</v>
      </c>
      <c r="BK301" s="20" t="n">
        <f aca="false">IF(F_Partner=1,IF(F_Married=1,BF301,BH301+BJ301),BH301)</f>
        <v>0</v>
      </c>
      <c r="BL301" s="20" t="n">
        <f aca="false">AL301+AN301+AO301</f>
        <v>0</v>
      </c>
      <c r="BM301" s="20"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20" t="n">
        <f aca="false">AQ301</f>
        <v>0</v>
      </c>
      <c r="BO301" s="20"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20" t="n">
        <f aca="false">IF(C301&lt;PR_PRSIend,IF(F_SelfEmp=1,IF(AL301&gt;PR_PRSIsMinInc,MAX(PR_PRSIsMin,AL301*J301),0),IF(AL301/52&lt;=PR_PRSIfree,0,MAX(0,(AL301/52*J301-IF(AL301/52&lt;=PR_PRSIcreditTo,MAX(0,PR_PRSIcreditMax-(AL301/52-(PR_PRSIfree+0.01))/PR_PRSItaper),0))*52)))+J301*AN301+IF(AO301&gt;PR_PRSIunearned,J301*AO301,0),0)+IF(AND(PRSI_ARF_Applies=1,AN301&gt;0,C301&gt;=PR_PRSIend,C301&lt;PRSI_ARF_ToAge,NOT(AK301&gt;0)),J301*AN301,0)</f>
        <v>0</v>
      </c>
      <c r="BQ301" s="20" t="n">
        <f aca="false">IF(AND(F_Partner=1,AG301&lt;PR_PRSIend),IF(AQ301/52&lt;=PR_PRSIfree,0,MAX(0,(AQ301/52*J301-IF(AQ301/52&lt;=PR_PRSIcreditTo,MAX(0,PR_PRSIcreditMax-(AQ301/52-(PR_PRSIfree+0.01))/PR_PRSItaper),0))*52)),0)</f>
        <v>0</v>
      </c>
      <c r="BR301" s="20" t="n">
        <f aca="false">BK301+BM301+BO301+BP301+BQ301</f>
        <v>0</v>
      </c>
      <c r="BS301" s="20" t="n">
        <f aca="false">BR301*H301</f>
        <v>0</v>
      </c>
      <c r="BT301" s="20" t="n">
        <f aca="false">K301+AK301+AC301+AF301+AH301+AI301</f>
        <v>107542.832431252</v>
      </c>
    </row>
    <row r="302" customFormat="false" ht="15" hidden="false" customHeight="true" outlineLevel="0" collapsed="false">
      <c r="B302" s="20" t="n">
        <v>68</v>
      </c>
      <c r="C302" s="20" t="n">
        <f aca="false">F_Age+B302</f>
        <v>106</v>
      </c>
      <c r="D302" s="20" t="n">
        <f aca="false">AS_Year0+B302</f>
        <v>2094</v>
      </c>
      <c r="E302" s="50" t="n">
        <f aca="false">(1+AS_Infl)^B302</f>
        <v>3.8442505025456</v>
      </c>
      <c r="F302" s="50" t="n">
        <f aca="false">(1+AS_Wage)^B302</f>
        <v>7.46330654361556</v>
      </c>
      <c r="G302" s="20" t="n">
        <f aca="false">IF(C302&lt;F_R,1,0)</f>
        <v>0</v>
      </c>
      <c r="H302" s="50" t="n">
        <f aca="false">IF(AS_Bands="flat",1,E302)</f>
        <v>3.8442505025456</v>
      </c>
      <c r="I302" s="50" t="n">
        <f aca="false">IF(AS_SpGrow="pay",F302,IF(AS_SpGrow="flat",1,E302))</f>
        <v>3.8442505025456</v>
      </c>
      <c r="J302" s="50" t="n">
        <f aca="false">(12*PR_PRSIr0+(PR_PRSIr1-PR_PRSIr0)*MAX(0,MIN(12,D302*12+12-PR_PRSIt1))+(PR_PRSIr2-PR_PRSIr1)*MAX(0,MIN(12,D302*12+12-PR_PRSIt2))+(PR_PRSIr3-PR_PRSIr2)*MAX(0,MIN(12,D302*12+12-PR_PRSIt3)))/12</f>
        <v>0.047</v>
      </c>
      <c r="K302" s="20" t="n">
        <f aca="false">IF(G302=1,F_Income*F302,0)</f>
        <v>0</v>
      </c>
      <c r="L302" s="20" t="n">
        <f aca="false">IF(G302=1,(F_Own+In_penExtra)*12*F302,0)</f>
        <v>0</v>
      </c>
      <c r="M302" s="20" t="n">
        <f aca="false">IF(G302=1,(F_PenM+In_penExtra)*12*F302,0)</f>
        <v>0</v>
      </c>
      <c r="N302" s="51" t="n">
        <f aca="false">IF(C302&lt;PR_RelA1,PR_RelP1,IF(C302&lt;PR_RelA2,PR_RelP2,IF(C302&lt;PR_RelA3,PR_RelP3,IF(C302&lt;PR_RelA4,PR_RelP4,IF(C302&lt;PR_RelA5,PR_RelP5,PR_RelP6)))))</f>
        <v>0.4</v>
      </c>
      <c r="O302" s="20" t="n">
        <f aca="false">IF(G302=1,MIN(L302/H302,N302*MIN(K302/H302,PR_EarnCap))*H302,0)</f>
        <v>0</v>
      </c>
      <c r="P302" s="20" t="n">
        <f aca="false">IF(AND(G302=1,F_AE=1),MIN(K302/H302,PR_AEcap)*H302,0)</f>
        <v>0</v>
      </c>
      <c r="Q302" s="20" t="n">
        <f aca="false">IF(G302=1,IF(WI_Retire=1,MAX(0,M302+WI_M*12),M302)+(PR_AEee+PR_AEer+PR_AEst)*P302,0)</f>
        <v>0</v>
      </c>
      <c r="R302" s="20" t="n">
        <f aca="false">L302+PR_AEee*P302</f>
        <v>0</v>
      </c>
      <c r="S302" s="20" t="n">
        <f aca="false">AD301</f>
        <v>0</v>
      </c>
      <c r="T302" s="20" t="n">
        <f aca="false">IF(D302&lt;=PR_SFTfrom,PR_SFT2026,IF(D302=PR_SFTfrom+1,PR_SFT2027,IF(D302=PR_SFTfrom+2,PR_SFT2028,IF(D302&lt;=PR_SFTto,PR_SFT2029,PR_SFT2029*(1+AS_Infl)^(D302-PR_SFTto)))))</f>
        <v>10143064.7027988</v>
      </c>
      <c r="U302" s="20" t="n">
        <f aca="false">IF(AND(G302=0,C302=F_V),1,0)</f>
        <v>0</v>
      </c>
      <c r="V302" s="20" t="n">
        <f aca="false">IF(U302=1,PR_SFTrate*MAX(0,S302-T302),0)</f>
        <v>0</v>
      </c>
      <c r="W302" s="20" t="n">
        <f aca="false">S302-V302</f>
        <v>0</v>
      </c>
      <c r="X302" s="20" t="n">
        <f aca="false">IF(AND(U302=1,AS_LumpPct&gt;0),W302*MIN(AS_LumpPct,PR_LSmax),0)</f>
        <v>0</v>
      </c>
      <c r="Y302" s="20" t="n">
        <f aca="false">X302-(PR_LSrate*MAX(0,MIN(X302,PR_LScap)-PR_LSfree)+PR_r2*MAX(0,X302-PR_LScap))</f>
        <v>0</v>
      </c>
      <c r="Z302" s="20" t="n">
        <f aca="false">W302-X302</f>
        <v>0</v>
      </c>
      <c r="AA302" s="51" t="n">
        <f aca="false">IF(C302&gt;=PR_ARFage1,IF(Z302&gt;PR_ARFbig,PR_ARFbigRate,IF(C302&gt;=PR_ARFage2,PR_ARF71,PR_ARF61)),0)</f>
        <v>0.05</v>
      </c>
      <c r="AB302" s="20" t="n">
        <f aca="false">IF(AS_DrawRule="min",Z302*AA302,IF(AS_DrawRule="fixed",MAX(AS_DrawFixed*E302,Z302*AA302),Z302*MAX(1/MAX(1,AS_End-C302+1),AA302)))</f>
        <v>0</v>
      </c>
      <c r="AC302" s="20" t="n">
        <f aca="false">IF(AND(G302=0,C302&gt;=F_V),MIN(Z302,AB302),0)</f>
        <v>0</v>
      </c>
      <c r="AD302" s="20" t="n">
        <f aca="false">IF(G302=1,S302*(1+F_PenG)+Q302,IF(C302&lt;F_V,S302*(1+F_PenG),(Z302-AC302)*(1+AS_PenRet)))</f>
        <v>0</v>
      </c>
      <c r="AE302" s="20" t="n">
        <f aca="false">IF(C302&gt;=PR_SPage,AS_SP*F_SpF*I302+IF(AND(C302&gt;=PR_Over80Age,F_SpF&gt;0),PR_Over80*PR_Weeks*I302,0),0)</f>
        <v>61829.3873827424</v>
      </c>
      <c r="AF302" s="20" t="n">
        <f aca="false">(F_OtherM+F_RentM)*12*E302+IF(AND(In_polInc&gt;0,In_polIncAge&gt;0,C302&gt;=In_polIncAge),In_polInc,0)</f>
        <v>0</v>
      </c>
      <c r="AG302" s="20" t="n">
        <f aca="false">F_PAge+B302</f>
        <v>105</v>
      </c>
      <c r="AH302" s="20" t="n">
        <f aca="false">IF(AND(F_Partner=1,F_PAge&gt;0,AG302&lt;IF(F_PRet&gt;0,F_PRet,PR_SPage)),F_PIncome*F302,0)</f>
        <v>0</v>
      </c>
      <c r="AI302" s="20" t="n">
        <f aca="false">IF(AND(F_Partner=1,AG302&gt;=PR_SPage,F_PSpQA=0),AS_SP*F_PSpF*I302,0)</f>
        <v>47864.3016971349</v>
      </c>
      <c r="AJ302" s="20" t="n">
        <f aca="false">IF(AND(F_Partner=1,F_PSpQA=1,C302&gt;=PR_SPage,AH302=0),IF(AG302&gt;=PR_SPage,PR_QA66,PR_QAunder)*PR_Weeks*I302,0)</f>
        <v>0</v>
      </c>
      <c r="AK302" s="20" t="n">
        <f aca="false">AE302+AJ302</f>
        <v>61829.3873827424</v>
      </c>
      <c r="AL302" s="20" t="n">
        <f aca="false">K302/H302</f>
        <v>0</v>
      </c>
      <c r="AM302" s="20" t="n">
        <f aca="false">AK302/H302</f>
        <v>16083.6</v>
      </c>
      <c r="AN302" s="20" t="n">
        <f aca="false">AC302/H302</f>
        <v>0</v>
      </c>
      <c r="AO302" s="20" t="n">
        <f aca="false">AF302/H302</f>
        <v>0</v>
      </c>
      <c r="AP302" s="20" t="n">
        <f aca="false">O302/H302</f>
        <v>0</v>
      </c>
      <c r="AQ302" s="20" t="n">
        <f aca="false">AH302/H302</f>
        <v>0</v>
      </c>
      <c r="AR302" s="20" t="n">
        <f aca="false">AI302/H302</f>
        <v>12450.88</v>
      </c>
      <c r="AS302" s="20" t="n">
        <f aca="false">MAX(0,AL302+AN302+AO302+AM302-AP302)</f>
        <v>16083.6</v>
      </c>
      <c r="AT302" s="20" t="n">
        <f aca="false">MAX(0,AQ302+AR302)</f>
        <v>12450.88</v>
      </c>
      <c r="AU302" s="20" t="n">
        <f aca="false">MIN(PR_PAYE,PR_PAYEcap*(AL302+AN302+AM302))</f>
        <v>2000</v>
      </c>
      <c r="AV302" s="20" t="n">
        <f aca="false">MIN(PR_PAYE,PR_PAYEcap*(AQ302+AR302))</f>
        <v>2000</v>
      </c>
      <c r="AW302" s="20" t="n">
        <f aca="false">IF(C302&gt;=PR_AgeCrAge,PR_AgeCr,0)</f>
        <v>245</v>
      </c>
      <c r="AX302" s="20" t="n">
        <f aca="false">IF(AG302&gt;=PR_AgeCrAge,PR_AgeCr,0)</f>
        <v>245</v>
      </c>
      <c r="AY302" s="20" t="n">
        <f aca="false">IF(AND(F_RentCred=1,D302&lt;=PR_RentLast),1,0)</f>
        <v>0</v>
      </c>
      <c r="AZ302" s="20" t="n">
        <f aca="false">AS302+AT302</f>
        <v>28534.48</v>
      </c>
      <c r="BA302" s="20" t="n">
        <f aca="false">PR_PersonalM+AU302+AV302+AW302+AX302+IF(AY302=1,PR_RentJoint,0)</f>
        <v>8490</v>
      </c>
      <c r="BB302" s="20" t="n">
        <f aca="false">PR_BandM+MIN(MIN(AS302,AT302),PR_Uplift)</f>
        <v>65450.88</v>
      </c>
      <c r="BC302" s="20" t="n">
        <f aca="false">MAX(0,PR_r1*MIN(AZ302,BB302)+PR_r2*MAX(0,AZ302-BB302)-BA302)</f>
        <v>0</v>
      </c>
      <c r="BD302" s="20" t="n">
        <f aca="false">MAX(0,PR_HomeCarer-MAX(0,MIN(AS302,AT302)-PR_HCLimit)/2)</f>
        <v>0</v>
      </c>
      <c r="BE302" s="20" t="n">
        <f aca="false">IF(F_Carer=1,MIN(BC302,MAX(0,PR_r1*MIN(AZ302,PR_BandM)+PR_r2*MAX(0,AZ302-PR_BandM)-BA302-BD302)),BC302)</f>
        <v>0</v>
      </c>
      <c r="BF302" s="20" t="n">
        <f aca="false">IF(OR(C302&gt;=PR_AgeCrAge,AG302&gt;=PR_AgeCrAge),IF(AZ302&lt;=PR_AgeExM,0,MIN(BE302,PR_AgeMarg*(AZ302-PR_AgeExM))),BE302)</f>
        <v>0</v>
      </c>
      <c r="BG302" s="20" t="n">
        <f aca="false">MAX(0,PR_r1*MIN(AS302,IF(F_Spccc=1,PR_BandSPCCC,PR_Band))+PR_r2*MAX(0,AS302-IF(F_Spccc=1,PR_BandSPCCC,PR_Band))-(PR_Personal+AU302+AW302+IF(F_Spccc=1,PR_SPCCC,0)+IF(AY302=1,PR_Rent,0)))</f>
        <v>0</v>
      </c>
      <c r="BH302" s="20" t="n">
        <f aca="false">IF(C302&gt;=PR_AgeCrAge,IF(AS302&lt;=PR_AgeEx,0,MIN(BG302,PR_AgeMarg*(AS302-PR_AgeEx))),BG302)</f>
        <v>0</v>
      </c>
      <c r="BI302" s="20" t="n">
        <f aca="false">IF(F_Partner=1,MAX(0,PR_r1*MIN(AT302,PR_Band)+PR_r2*MAX(0,AT302-PR_Band)-(PR_Personal+AV302+AX302+IF(AND(AY302=1,AT302&gt;0),PR_Rent,0))),0)</f>
        <v>0</v>
      </c>
      <c r="BJ302" s="20" t="n">
        <f aca="false">IF(AG302&gt;=PR_AgeCrAge,IF(AT302&lt;=PR_AgeEx,0,MIN(BI302,PR_AgeMarg*(AT302-PR_AgeEx))),BI302)</f>
        <v>0</v>
      </c>
      <c r="BK302" s="20" t="n">
        <f aca="false">IF(F_Partner=1,IF(F_Married=1,BF302,BH302+BJ302),BH302)</f>
        <v>0</v>
      </c>
      <c r="BL302" s="20" t="n">
        <f aca="false">AL302+AN302+AO302</f>
        <v>0</v>
      </c>
      <c r="BM302" s="20"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20" t="n">
        <f aca="false">AQ302</f>
        <v>0</v>
      </c>
      <c r="BO302" s="20"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20" t="n">
        <f aca="false">IF(C302&lt;PR_PRSIend,IF(F_SelfEmp=1,IF(AL302&gt;PR_PRSIsMinInc,MAX(PR_PRSIsMin,AL302*J302),0),IF(AL302/52&lt;=PR_PRSIfree,0,MAX(0,(AL302/52*J302-IF(AL302/52&lt;=PR_PRSIcreditTo,MAX(0,PR_PRSIcreditMax-(AL302/52-(PR_PRSIfree+0.01))/PR_PRSItaper),0))*52)))+J302*AN302+IF(AO302&gt;PR_PRSIunearned,J302*AO302,0),0)+IF(AND(PRSI_ARF_Applies=1,AN302&gt;0,C302&gt;=PR_PRSIend,C302&lt;PRSI_ARF_ToAge,NOT(AK302&gt;0)),J302*AN302,0)</f>
        <v>0</v>
      </c>
      <c r="BQ302" s="20" t="n">
        <f aca="false">IF(AND(F_Partner=1,AG302&lt;PR_PRSIend),IF(AQ302/52&lt;=PR_PRSIfree,0,MAX(0,(AQ302/52*J302-IF(AQ302/52&lt;=PR_PRSIcreditTo,MAX(0,PR_PRSIcreditMax-(AQ302/52-(PR_PRSIfree+0.01))/PR_PRSItaper),0))*52)),0)</f>
        <v>0</v>
      </c>
      <c r="BR302" s="20" t="n">
        <f aca="false">BK302+BM302+BO302+BP302+BQ302</f>
        <v>0</v>
      </c>
      <c r="BS302" s="20" t="n">
        <f aca="false">BR302*H302</f>
        <v>0</v>
      </c>
      <c r="BT302" s="20" t="n">
        <f aca="false">K302+AK302+AC302+AF302+AH302+AI302</f>
        <v>109693.689079877</v>
      </c>
    </row>
    <row r="303" customFormat="false" ht="15" hidden="false" customHeight="true" outlineLevel="0" collapsed="false">
      <c r="B303" s="20" t="n">
        <v>69</v>
      </c>
      <c r="C303" s="20" t="n">
        <f aca="false">F_Age+B303</f>
        <v>107</v>
      </c>
      <c r="D303" s="20" t="n">
        <f aca="false">AS_Year0+B303</f>
        <v>2095</v>
      </c>
      <c r="E303" s="50" t="n">
        <f aca="false">(1+AS_Infl)^B303</f>
        <v>3.92113551259651</v>
      </c>
      <c r="F303" s="50" t="n">
        <f aca="false">(1+AS_Wage)^B303</f>
        <v>7.68720573992403</v>
      </c>
      <c r="G303" s="20" t="n">
        <f aca="false">IF(C303&lt;F_R,1,0)</f>
        <v>0</v>
      </c>
      <c r="H303" s="50" t="n">
        <f aca="false">IF(AS_Bands="flat",1,E303)</f>
        <v>3.92113551259651</v>
      </c>
      <c r="I303" s="50" t="n">
        <f aca="false">IF(AS_SpGrow="pay",F303,IF(AS_SpGrow="flat",1,E303))</f>
        <v>3.92113551259651</v>
      </c>
      <c r="J303" s="50" t="n">
        <f aca="false">(12*PR_PRSIr0+(PR_PRSIr1-PR_PRSIr0)*MAX(0,MIN(12,D303*12+12-PR_PRSIt1))+(PR_PRSIr2-PR_PRSIr1)*MAX(0,MIN(12,D303*12+12-PR_PRSIt2))+(PR_PRSIr3-PR_PRSIr2)*MAX(0,MIN(12,D303*12+12-PR_PRSIt3)))/12</f>
        <v>0.047</v>
      </c>
      <c r="K303" s="20" t="n">
        <f aca="false">IF(G303=1,F_Income*F303,0)</f>
        <v>0</v>
      </c>
      <c r="L303" s="20" t="n">
        <f aca="false">IF(G303=1,(F_Own+In_penExtra)*12*F303,0)</f>
        <v>0</v>
      </c>
      <c r="M303" s="20" t="n">
        <f aca="false">IF(G303=1,(F_PenM+In_penExtra)*12*F303,0)</f>
        <v>0</v>
      </c>
      <c r="N303" s="51" t="n">
        <f aca="false">IF(C303&lt;PR_RelA1,PR_RelP1,IF(C303&lt;PR_RelA2,PR_RelP2,IF(C303&lt;PR_RelA3,PR_RelP3,IF(C303&lt;PR_RelA4,PR_RelP4,IF(C303&lt;PR_RelA5,PR_RelP5,PR_RelP6)))))</f>
        <v>0.4</v>
      </c>
      <c r="O303" s="20" t="n">
        <f aca="false">IF(G303=1,MIN(L303/H303,N303*MIN(K303/H303,PR_EarnCap))*H303,0)</f>
        <v>0</v>
      </c>
      <c r="P303" s="20" t="n">
        <f aca="false">IF(AND(G303=1,F_AE=1),MIN(K303/H303,PR_AEcap)*H303,0)</f>
        <v>0</v>
      </c>
      <c r="Q303" s="20" t="n">
        <f aca="false">IF(G303=1,IF(WI_Retire=1,MAX(0,M303+WI_M*12),M303)+(PR_AEee+PR_AEer+PR_AEst)*P303,0)</f>
        <v>0</v>
      </c>
      <c r="R303" s="20" t="n">
        <f aca="false">L303+PR_AEee*P303</f>
        <v>0</v>
      </c>
      <c r="S303" s="20" t="n">
        <f aca="false">AD302</f>
        <v>0</v>
      </c>
      <c r="T303" s="20" t="n">
        <f aca="false">IF(D303&lt;=PR_SFTfrom,PR_SFT2026,IF(D303=PR_SFTfrom+1,PR_SFT2027,IF(D303=PR_SFTfrom+2,PR_SFT2028,IF(D303&lt;=PR_SFTto,PR_SFT2029,PR_SFT2029*(1+AS_Infl)^(D303-PR_SFTto)))))</f>
        <v>10345925.9968547</v>
      </c>
      <c r="U303" s="20" t="n">
        <f aca="false">IF(AND(G303=0,C303=F_V),1,0)</f>
        <v>0</v>
      </c>
      <c r="V303" s="20" t="n">
        <f aca="false">IF(U303=1,PR_SFTrate*MAX(0,S303-T303),0)</f>
        <v>0</v>
      </c>
      <c r="W303" s="20" t="n">
        <f aca="false">S303-V303</f>
        <v>0</v>
      </c>
      <c r="X303" s="20" t="n">
        <f aca="false">IF(AND(U303=1,AS_LumpPct&gt;0),W303*MIN(AS_LumpPct,PR_LSmax),0)</f>
        <v>0</v>
      </c>
      <c r="Y303" s="20" t="n">
        <f aca="false">X303-(PR_LSrate*MAX(0,MIN(X303,PR_LScap)-PR_LSfree)+PR_r2*MAX(0,X303-PR_LScap))</f>
        <v>0</v>
      </c>
      <c r="Z303" s="20" t="n">
        <f aca="false">W303-X303</f>
        <v>0</v>
      </c>
      <c r="AA303" s="51" t="n">
        <f aca="false">IF(C303&gt;=PR_ARFage1,IF(Z303&gt;PR_ARFbig,PR_ARFbigRate,IF(C303&gt;=PR_ARFage2,PR_ARF71,PR_ARF61)),0)</f>
        <v>0.05</v>
      </c>
      <c r="AB303" s="20" t="n">
        <f aca="false">IF(AS_DrawRule="min",Z303*AA303,IF(AS_DrawRule="fixed",MAX(AS_DrawFixed*E303,Z303*AA303),Z303*MAX(1/MAX(1,AS_End-C303+1),AA303)))</f>
        <v>0</v>
      </c>
      <c r="AC303" s="20" t="n">
        <f aca="false">IF(AND(G303=0,C303&gt;=F_V),MIN(Z303,AB303),0)</f>
        <v>0</v>
      </c>
      <c r="AD303" s="20" t="n">
        <f aca="false">IF(G303=1,S303*(1+F_PenG)+Q303,IF(C303&lt;F_V,S303*(1+F_PenG),(Z303-AC303)*(1+AS_PenRet)))</f>
        <v>0</v>
      </c>
      <c r="AE303" s="20" t="n">
        <f aca="false">IF(C303&gt;=PR_SPage,AS_SP*F_SpF*I303+IF(AND(C303&gt;=PR_Over80Age,F_SpF&gt;0),PR_Over80*PR_Weeks*I303,0),0)</f>
        <v>63065.9751303972</v>
      </c>
      <c r="AF303" s="20" t="n">
        <f aca="false">(F_OtherM+F_RentM)*12*E303+IF(AND(In_polInc&gt;0,In_polIncAge&gt;0,C303&gt;=In_polIncAge),In_polInc,0)</f>
        <v>0</v>
      </c>
      <c r="AG303" s="20" t="n">
        <f aca="false">F_PAge+B303</f>
        <v>106</v>
      </c>
      <c r="AH303" s="20" t="n">
        <f aca="false">IF(AND(F_Partner=1,F_PAge&gt;0,AG303&lt;IF(F_PRet&gt;0,F_PRet,PR_SPage)),F_PIncome*F303,0)</f>
        <v>0</v>
      </c>
      <c r="AI303" s="20" t="n">
        <f aca="false">IF(AND(F_Partner=1,AG303&gt;=PR_SPage,F_PSpQA=0),AS_SP*F_PSpF*I303,0)</f>
        <v>48821.5877310776</v>
      </c>
      <c r="AJ303" s="20" t="n">
        <f aca="false">IF(AND(F_Partner=1,F_PSpQA=1,C303&gt;=PR_SPage,AH303=0),IF(AG303&gt;=PR_SPage,PR_QA66,PR_QAunder)*PR_Weeks*I303,0)</f>
        <v>0</v>
      </c>
      <c r="AK303" s="20" t="n">
        <f aca="false">AE303+AJ303</f>
        <v>63065.9751303972</v>
      </c>
      <c r="AL303" s="20" t="n">
        <f aca="false">K303/H303</f>
        <v>0</v>
      </c>
      <c r="AM303" s="20" t="n">
        <f aca="false">AK303/H303</f>
        <v>16083.6</v>
      </c>
      <c r="AN303" s="20" t="n">
        <f aca="false">AC303/H303</f>
        <v>0</v>
      </c>
      <c r="AO303" s="20" t="n">
        <f aca="false">AF303/H303</f>
        <v>0</v>
      </c>
      <c r="AP303" s="20" t="n">
        <f aca="false">O303/H303</f>
        <v>0</v>
      </c>
      <c r="AQ303" s="20" t="n">
        <f aca="false">AH303/H303</f>
        <v>0</v>
      </c>
      <c r="AR303" s="20" t="n">
        <f aca="false">AI303/H303</f>
        <v>12450.88</v>
      </c>
      <c r="AS303" s="20" t="n">
        <f aca="false">MAX(0,AL303+AN303+AO303+AM303-AP303)</f>
        <v>16083.6</v>
      </c>
      <c r="AT303" s="20" t="n">
        <f aca="false">MAX(0,AQ303+AR303)</f>
        <v>12450.88</v>
      </c>
      <c r="AU303" s="20" t="n">
        <f aca="false">MIN(PR_PAYE,PR_PAYEcap*(AL303+AN303+AM303))</f>
        <v>2000</v>
      </c>
      <c r="AV303" s="20" t="n">
        <f aca="false">MIN(PR_PAYE,PR_PAYEcap*(AQ303+AR303))</f>
        <v>2000</v>
      </c>
      <c r="AW303" s="20" t="n">
        <f aca="false">IF(C303&gt;=PR_AgeCrAge,PR_AgeCr,0)</f>
        <v>245</v>
      </c>
      <c r="AX303" s="20" t="n">
        <f aca="false">IF(AG303&gt;=PR_AgeCrAge,PR_AgeCr,0)</f>
        <v>245</v>
      </c>
      <c r="AY303" s="20" t="n">
        <f aca="false">IF(AND(F_RentCred=1,D303&lt;=PR_RentLast),1,0)</f>
        <v>0</v>
      </c>
      <c r="AZ303" s="20" t="n">
        <f aca="false">AS303+AT303</f>
        <v>28534.48</v>
      </c>
      <c r="BA303" s="20" t="n">
        <f aca="false">PR_PersonalM+AU303+AV303+AW303+AX303+IF(AY303=1,PR_RentJoint,0)</f>
        <v>8490</v>
      </c>
      <c r="BB303" s="20" t="n">
        <f aca="false">PR_BandM+MIN(MIN(AS303,AT303),PR_Uplift)</f>
        <v>65450.88</v>
      </c>
      <c r="BC303" s="20" t="n">
        <f aca="false">MAX(0,PR_r1*MIN(AZ303,BB303)+PR_r2*MAX(0,AZ303-BB303)-BA303)</f>
        <v>0</v>
      </c>
      <c r="BD303" s="20" t="n">
        <f aca="false">MAX(0,PR_HomeCarer-MAX(0,MIN(AS303,AT303)-PR_HCLimit)/2)</f>
        <v>0</v>
      </c>
      <c r="BE303" s="20" t="n">
        <f aca="false">IF(F_Carer=1,MIN(BC303,MAX(0,PR_r1*MIN(AZ303,PR_BandM)+PR_r2*MAX(0,AZ303-PR_BandM)-BA303-BD303)),BC303)</f>
        <v>0</v>
      </c>
      <c r="BF303" s="20" t="n">
        <f aca="false">IF(OR(C303&gt;=PR_AgeCrAge,AG303&gt;=PR_AgeCrAge),IF(AZ303&lt;=PR_AgeExM,0,MIN(BE303,PR_AgeMarg*(AZ303-PR_AgeExM))),BE303)</f>
        <v>0</v>
      </c>
      <c r="BG303" s="20" t="n">
        <f aca="false">MAX(0,PR_r1*MIN(AS303,IF(F_Spccc=1,PR_BandSPCCC,PR_Band))+PR_r2*MAX(0,AS303-IF(F_Spccc=1,PR_BandSPCCC,PR_Band))-(PR_Personal+AU303+AW303+IF(F_Spccc=1,PR_SPCCC,0)+IF(AY303=1,PR_Rent,0)))</f>
        <v>0</v>
      </c>
      <c r="BH303" s="20" t="n">
        <f aca="false">IF(C303&gt;=PR_AgeCrAge,IF(AS303&lt;=PR_AgeEx,0,MIN(BG303,PR_AgeMarg*(AS303-PR_AgeEx))),BG303)</f>
        <v>0</v>
      </c>
      <c r="BI303" s="20" t="n">
        <f aca="false">IF(F_Partner=1,MAX(0,PR_r1*MIN(AT303,PR_Band)+PR_r2*MAX(0,AT303-PR_Band)-(PR_Personal+AV303+AX303+IF(AND(AY303=1,AT303&gt;0),PR_Rent,0))),0)</f>
        <v>0</v>
      </c>
      <c r="BJ303" s="20" t="n">
        <f aca="false">IF(AG303&gt;=PR_AgeCrAge,IF(AT303&lt;=PR_AgeEx,0,MIN(BI303,PR_AgeMarg*(AT303-PR_AgeEx))),BI303)</f>
        <v>0</v>
      </c>
      <c r="BK303" s="20" t="n">
        <f aca="false">IF(F_Partner=1,IF(F_Married=1,BF303,BH303+BJ303),BH303)</f>
        <v>0</v>
      </c>
      <c r="BL303" s="20" t="n">
        <f aca="false">AL303+AN303+AO303</f>
        <v>0</v>
      </c>
      <c r="BM303" s="20"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20" t="n">
        <f aca="false">AQ303</f>
        <v>0</v>
      </c>
      <c r="BO303" s="20"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20" t="n">
        <f aca="false">IF(C303&lt;PR_PRSIend,IF(F_SelfEmp=1,IF(AL303&gt;PR_PRSIsMinInc,MAX(PR_PRSIsMin,AL303*J303),0),IF(AL303/52&lt;=PR_PRSIfree,0,MAX(0,(AL303/52*J303-IF(AL303/52&lt;=PR_PRSIcreditTo,MAX(0,PR_PRSIcreditMax-(AL303/52-(PR_PRSIfree+0.01))/PR_PRSItaper),0))*52)))+J303*AN303+IF(AO303&gt;PR_PRSIunearned,J303*AO303,0),0)+IF(AND(PRSI_ARF_Applies=1,AN303&gt;0,C303&gt;=PR_PRSIend,C303&lt;PRSI_ARF_ToAge,NOT(AK303&gt;0)),J303*AN303,0)</f>
        <v>0</v>
      </c>
      <c r="BQ303" s="20" t="n">
        <f aca="false">IF(AND(F_Partner=1,AG303&lt;PR_PRSIend),IF(AQ303/52&lt;=PR_PRSIfree,0,MAX(0,(AQ303/52*J303-IF(AQ303/52&lt;=PR_PRSIcreditTo,MAX(0,PR_PRSIcreditMax-(AQ303/52-(PR_PRSIfree+0.01))/PR_PRSItaper),0))*52)),0)</f>
        <v>0</v>
      </c>
      <c r="BR303" s="20" t="n">
        <f aca="false">BK303+BM303+BO303+BP303+BQ303</f>
        <v>0</v>
      </c>
      <c r="BS303" s="20" t="n">
        <f aca="false">BR303*H303</f>
        <v>0</v>
      </c>
      <c r="BT303" s="20" t="n">
        <f aca="false">K303+AK303+AC303+AF303+AH303+AI303</f>
        <v>111887.562861475</v>
      </c>
    </row>
    <row r="304" customFormat="false" ht="15" hidden="false" customHeight="true" outlineLevel="0" collapsed="false">
      <c r="B304" s="20" t="n">
        <v>70</v>
      </c>
      <c r="C304" s="20" t="n">
        <f aca="false">F_Age+B304</f>
        <v>108</v>
      </c>
      <c r="D304" s="20" t="n">
        <f aca="false">AS_Year0+B304</f>
        <v>2096</v>
      </c>
      <c r="E304" s="50" t="n">
        <f aca="false">(1+AS_Infl)^B304</f>
        <v>3.99955822284844</v>
      </c>
      <c r="F304" s="50" t="n">
        <f aca="false">(1+AS_Wage)^B304</f>
        <v>7.91782191212175</v>
      </c>
      <c r="G304" s="20" t="n">
        <f aca="false">IF(C304&lt;F_R,1,0)</f>
        <v>0</v>
      </c>
      <c r="H304" s="50" t="n">
        <f aca="false">IF(AS_Bands="flat",1,E304)</f>
        <v>3.99955822284844</v>
      </c>
      <c r="I304" s="50" t="n">
        <f aca="false">IF(AS_SpGrow="pay",F304,IF(AS_SpGrow="flat",1,E304))</f>
        <v>3.99955822284844</v>
      </c>
      <c r="J304" s="50" t="n">
        <f aca="false">(12*PR_PRSIr0+(PR_PRSIr1-PR_PRSIr0)*MAX(0,MIN(12,D304*12+12-PR_PRSIt1))+(PR_PRSIr2-PR_PRSIr1)*MAX(0,MIN(12,D304*12+12-PR_PRSIt2))+(PR_PRSIr3-PR_PRSIr2)*MAX(0,MIN(12,D304*12+12-PR_PRSIt3)))/12</f>
        <v>0.047</v>
      </c>
      <c r="K304" s="20" t="n">
        <f aca="false">IF(G304=1,F_Income*F304,0)</f>
        <v>0</v>
      </c>
      <c r="L304" s="20" t="n">
        <f aca="false">IF(G304=1,(F_Own+In_penExtra)*12*F304,0)</f>
        <v>0</v>
      </c>
      <c r="M304" s="20" t="n">
        <f aca="false">IF(G304=1,(F_PenM+In_penExtra)*12*F304,0)</f>
        <v>0</v>
      </c>
      <c r="N304" s="51" t="n">
        <f aca="false">IF(C304&lt;PR_RelA1,PR_RelP1,IF(C304&lt;PR_RelA2,PR_RelP2,IF(C304&lt;PR_RelA3,PR_RelP3,IF(C304&lt;PR_RelA4,PR_RelP4,IF(C304&lt;PR_RelA5,PR_RelP5,PR_RelP6)))))</f>
        <v>0.4</v>
      </c>
      <c r="O304" s="20" t="n">
        <f aca="false">IF(G304=1,MIN(L304/H304,N304*MIN(K304/H304,PR_EarnCap))*H304,0)</f>
        <v>0</v>
      </c>
      <c r="P304" s="20" t="n">
        <f aca="false">IF(AND(G304=1,F_AE=1),MIN(K304/H304,PR_AEcap)*H304,0)</f>
        <v>0</v>
      </c>
      <c r="Q304" s="20" t="n">
        <f aca="false">IF(G304=1,IF(WI_Retire=1,MAX(0,M304+WI_M*12),M304)+(PR_AEee+PR_AEer+PR_AEst)*P304,0)</f>
        <v>0</v>
      </c>
      <c r="R304" s="20" t="n">
        <f aca="false">L304+PR_AEee*P304</f>
        <v>0</v>
      </c>
      <c r="S304" s="20" t="n">
        <f aca="false">AD303</f>
        <v>0</v>
      </c>
      <c r="T304" s="20" t="n">
        <f aca="false">IF(D304&lt;=PR_SFTfrom,PR_SFT2026,IF(D304=PR_SFTfrom+1,PR_SFT2027,IF(D304=PR_SFTfrom+2,PR_SFT2028,IF(D304&lt;=PR_SFTto,PR_SFT2029,PR_SFT2029*(1+AS_Infl)^(D304-PR_SFTto)))))</f>
        <v>10552844.5167918</v>
      </c>
      <c r="U304" s="20" t="n">
        <f aca="false">IF(AND(G304=0,C304=F_V),1,0)</f>
        <v>0</v>
      </c>
      <c r="V304" s="20" t="n">
        <f aca="false">IF(U304=1,PR_SFTrate*MAX(0,S304-T304),0)</f>
        <v>0</v>
      </c>
      <c r="W304" s="20" t="n">
        <f aca="false">S304-V304</f>
        <v>0</v>
      </c>
      <c r="X304" s="20" t="n">
        <f aca="false">IF(AND(U304=1,AS_LumpPct&gt;0),W304*MIN(AS_LumpPct,PR_LSmax),0)</f>
        <v>0</v>
      </c>
      <c r="Y304" s="20" t="n">
        <f aca="false">X304-(PR_LSrate*MAX(0,MIN(X304,PR_LScap)-PR_LSfree)+PR_r2*MAX(0,X304-PR_LScap))</f>
        <v>0</v>
      </c>
      <c r="Z304" s="20" t="n">
        <f aca="false">W304-X304</f>
        <v>0</v>
      </c>
      <c r="AA304" s="51" t="n">
        <f aca="false">IF(C304&gt;=PR_ARFage1,IF(Z304&gt;PR_ARFbig,PR_ARFbigRate,IF(C304&gt;=PR_ARFage2,PR_ARF71,PR_ARF61)),0)</f>
        <v>0.05</v>
      </c>
      <c r="AB304" s="20" t="n">
        <f aca="false">IF(AS_DrawRule="min",Z304*AA304,IF(AS_DrawRule="fixed",MAX(AS_DrawFixed*E304,Z304*AA304),Z304*MAX(1/MAX(1,AS_End-C304+1),AA304)))</f>
        <v>0</v>
      </c>
      <c r="AC304" s="20" t="n">
        <f aca="false">IF(AND(G304=0,C304&gt;=F_V),MIN(Z304,AB304),0)</f>
        <v>0</v>
      </c>
      <c r="AD304" s="20" t="n">
        <f aca="false">IF(G304=1,S304*(1+F_PenG)+Q304,IF(C304&lt;F_V,S304*(1+F_PenG),(Z304-AC304)*(1+AS_PenRet)))</f>
        <v>0</v>
      </c>
      <c r="AE304" s="20" t="n">
        <f aca="false">IF(C304&gt;=PR_SPage,AS_SP*F_SpF*I304+IF(AND(C304&gt;=PR_Over80Age,F_SpF&gt;0),PR_Over80*PR_Weeks*I304,0),0)</f>
        <v>64327.2946330052</v>
      </c>
      <c r="AF304" s="20" t="n">
        <f aca="false">(F_OtherM+F_RentM)*12*E304+IF(AND(In_polInc&gt;0,In_polIncAge&gt;0,C304&gt;=In_polIncAge),In_polInc,0)</f>
        <v>0</v>
      </c>
      <c r="AG304" s="20" t="n">
        <f aca="false">F_PAge+B304</f>
        <v>107</v>
      </c>
      <c r="AH304" s="20" t="n">
        <f aca="false">IF(AND(F_Partner=1,F_PAge&gt;0,AG304&lt;IF(F_PRet&gt;0,F_PRet,PR_SPage)),F_PIncome*F304,0)</f>
        <v>0</v>
      </c>
      <c r="AI304" s="20" t="n">
        <f aca="false">IF(AND(F_Partner=1,AG304&gt;=PR_SPage,F_PSpQA=0),AS_SP*F_PSpF*I304,0)</f>
        <v>49798.0194856992</v>
      </c>
      <c r="AJ304" s="20" t="n">
        <f aca="false">IF(AND(F_Partner=1,F_PSpQA=1,C304&gt;=PR_SPage,AH304=0),IF(AG304&gt;=PR_SPage,PR_QA66,PR_QAunder)*PR_Weeks*I304,0)</f>
        <v>0</v>
      </c>
      <c r="AK304" s="20" t="n">
        <f aca="false">AE304+AJ304</f>
        <v>64327.2946330052</v>
      </c>
      <c r="AL304" s="20" t="n">
        <f aca="false">K304/H304</f>
        <v>0</v>
      </c>
      <c r="AM304" s="20" t="n">
        <f aca="false">AK304/H304</f>
        <v>16083.6</v>
      </c>
      <c r="AN304" s="20" t="n">
        <f aca="false">AC304/H304</f>
        <v>0</v>
      </c>
      <c r="AO304" s="20" t="n">
        <f aca="false">AF304/H304</f>
        <v>0</v>
      </c>
      <c r="AP304" s="20" t="n">
        <f aca="false">O304/H304</f>
        <v>0</v>
      </c>
      <c r="AQ304" s="20" t="n">
        <f aca="false">AH304/H304</f>
        <v>0</v>
      </c>
      <c r="AR304" s="20" t="n">
        <f aca="false">AI304/H304</f>
        <v>12450.88</v>
      </c>
      <c r="AS304" s="20" t="n">
        <f aca="false">MAX(0,AL304+AN304+AO304+AM304-AP304)</f>
        <v>16083.6</v>
      </c>
      <c r="AT304" s="20" t="n">
        <f aca="false">MAX(0,AQ304+AR304)</f>
        <v>12450.88</v>
      </c>
      <c r="AU304" s="20" t="n">
        <f aca="false">MIN(PR_PAYE,PR_PAYEcap*(AL304+AN304+AM304))</f>
        <v>2000</v>
      </c>
      <c r="AV304" s="20" t="n">
        <f aca="false">MIN(PR_PAYE,PR_PAYEcap*(AQ304+AR304))</f>
        <v>2000</v>
      </c>
      <c r="AW304" s="20" t="n">
        <f aca="false">IF(C304&gt;=PR_AgeCrAge,PR_AgeCr,0)</f>
        <v>245</v>
      </c>
      <c r="AX304" s="20" t="n">
        <f aca="false">IF(AG304&gt;=PR_AgeCrAge,PR_AgeCr,0)</f>
        <v>245</v>
      </c>
      <c r="AY304" s="20" t="n">
        <f aca="false">IF(AND(F_RentCred=1,D304&lt;=PR_RentLast),1,0)</f>
        <v>0</v>
      </c>
      <c r="AZ304" s="20" t="n">
        <f aca="false">AS304+AT304</f>
        <v>28534.48</v>
      </c>
      <c r="BA304" s="20" t="n">
        <f aca="false">PR_PersonalM+AU304+AV304+AW304+AX304+IF(AY304=1,PR_RentJoint,0)</f>
        <v>8490</v>
      </c>
      <c r="BB304" s="20" t="n">
        <f aca="false">PR_BandM+MIN(MIN(AS304,AT304),PR_Uplift)</f>
        <v>65450.88</v>
      </c>
      <c r="BC304" s="20" t="n">
        <f aca="false">MAX(0,PR_r1*MIN(AZ304,BB304)+PR_r2*MAX(0,AZ304-BB304)-BA304)</f>
        <v>0</v>
      </c>
      <c r="BD304" s="20" t="n">
        <f aca="false">MAX(0,PR_HomeCarer-MAX(0,MIN(AS304,AT304)-PR_HCLimit)/2)</f>
        <v>0</v>
      </c>
      <c r="BE304" s="20" t="n">
        <f aca="false">IF(F_Carer=1,MIN(BC304,MAX(0,PR_r1*MIN(AZ304,PR_BandM)+PR_r2*MAX(0,AZ304-PR_BandM)-BA304-BD304)),BC304)</f>
        <v>0</v>
      </c>
      <c r="BF304" s="20" t="n">
        <f aca="false">IF(OR(C304&gt;=PR_AgeCrAge,AG304&gt;=PR_AgeCrAge),IF(AZ304&lt;=PR_AgeExM,0,MIN(BE304,PR_AgeMarg*(AZ304-PR_AgeExM))),BE304)</f>
        <v>0</v>
      </c>
      <c r="BG304" s="20" t="n">
        <f aca="false">MAX(0,PR_r1*MIN(AS304,IF(F_Spccc=1,PR_BandSPCCC,PR_Band))+PR_r2*MAX(0,AS304-IF(F_Spccc=1,PR_BandSPCCC,PR_Band))-(PR_Personal+AU304+AW304+IF(F_Spccc=1,PR_SPCCC,0)+IF(AY304=1,PR_Rent,0)))</f>
        <v>0</v>
      </c>
      <c r="BH304" s="20" t="n">
        <f aca="false">IF(C304&gt;=PR_AgeCrAge,IF(AS304&lt;=PR_AgeEx,0,MIN(BG304,PR_AgeMarg*(AS304-PR_AgeEx))),BG304)</f>
        <v>0</v>
      </c>
      <c r="BI304" s="20" t="n">
        <f aca="false">IF(F_Partner=1,MAX(0,PR_r1*MIN(AT304,PR_Band)+PR_r2*MAX(0,AT304-PR_Band)-(PR_Personal+AV304+AX304+IF(AND(AY304=1,AT304&gt;0),PR_Rent,0))),0)</f>
        <v>0</v>
      </c>
      <c r="BJ304" s="20" t="n">
        <f aca="false">IF(AG304&gt;=PR_AgeCrAge,IF(AT304&lt;=PR_AgeEx,0,MIN(BI304,PR_AgeMarg*(AT304-PR_AgeEx))),BI304)</f>
        <v>0</v>
      </c>
      <c r="BK304" s="20" t="n">
        <f aca="false">IF(F_Partner=1,IF(F_Married=1,BF304,BH304+BJ304),BH304)</f>
        <v>0</v>
      </c>
      <c r="BL304" s="20" t="n">
        <f aca="false">AL304+AN304+AO304</f>
        <v>0</v>
      </c>
      <c r="BM304" s="20"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20" t="n">
        <f aca="false">AQ304</f>
        <v>0</v>
      </c>
      <c r="BO304" s="20"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20" t="n">
        <f aca="false">IF(C304&lt;PR_PRSIend,IF(F_SelfEmp=1,IF(AL304&gt;PR_PRSIsMinInc,MAX(PR_PRSIsMin,AL304*J304),0),IF(AL304/52&lt;=PR_PRSIfree,0,MAX(0,(AL304/52*J304-IF(AL304/52&lt;=PR_PRSIcreditTo,MAX(0,PR_PRSIcreditMax-(AL304/52-(PR_PRSIfree+0.01))/PR_PRSItaper),0))*52)))+J304*AN304+IF(AO304&gt;PR_PRSIunearned,J304*AO304,0),0)+IF(AND(PRSI_ARF_Applies=1,AN304&gt;0,C304&gt;=PR_PRSIend,C304&lt;PRSI_ARF_ToAge,NOT(AK304&gt;0)),J304*AN304,0)</f>
        <v>0</v>
      </c>
      <c r="BQ304" s="20" t="n">
        <f aca="false">IF(AND(F_Partner=1,AG304&lt;PR_PRSIend),IF(AQ304/52&lt;=PR_PRSIfree,0,MAX(0,(AQ304/52*J304-IF(AQ304/52&lt;=PR_PRSIcreditTo,MAX(0,PR_PRSIcreditMax-(AQ304/52-(PR_PRSIfree+0.01))/PR_PRSItaper),0))*52)),0)</f>
        <v>0</v>
      </c>
      <c r="BR304" s="20" t="n">
        <f aca="false">BK304+BM304+BO304+BP304+BQ304</f>
        <v>0</v>
      </c>
      <c r="BS304" s="20" t="n">
        <f aca="false">BR304*H304</f>
        <v>0</v>
      </c>
      <c r="BT304" s="20" t="n">
        <f aca="false">K304+AK304+AC304+AF304+AH304+AI304</f>
        <v>114125.314118704</v>
      </c>
    </row>
    <row r="305" customFormat="false" ht="15" hidden="false" customHeight="true" outlineLevel="0" collapsed="false">
      <c r="B305" s="20" t="n">
        <v>71</v>
      </c>
      <c r="C305" s="20" t="n">
        <f aca="false">F_Age+B305</f>
        <v>109</v>
      </c>
      <c r="D305" s="20" t="n">
        <f aca="false">AS_Year0+B305</f>
        <v>2097</v>
      </c>
      <c r="E305" s="50" t="n">
        <f aca="false">(1+AS_Infl)^B305</f>
        <v>4.07954938730541</v>
      </c>
      <c r="F305" s="50" t="n">
        <f aca="false">(1+AS_Wage)^B305</f>
        <v>8.1553565694854</v>
      </c>
      <c r="G305" s="20" t="n">
        <f aca="false">IF(C305&lt;F_R,1,0)</f>
        <v>0</v>
      </c>
      <c r="H305" s="50" t="n">
        <f aca="false">IF(AS_Bands="flat",1,E305)</f>
        <v>4.07954938730541</v>
      </c>
      <c r="I305" s="50" t="n">
        <f aca="false">IF(AS_SpGrow="pay",F305,IF(AS_SpGrow="flat",1,E305))</f>
        <v>4.07954938730541</v>
      </c>
      <c r="J305" s="50" t="n">
        <f aca="false">(12*PR_PRSIr0+(PR_PRSIr1-PR_PRSIr0)*MAX(0,MIN(12,D305*12+12-PR_PRSIt1))+(PR_PRSIr2-PR_PRSIr1)*MAX(0,MIN(12,D305*12+12-PR_PRSIt2))+(PR_PRSIr3-PR_PRSIr2)*MAX(0,MIN(12,D305*12+12-PR_PRSIt3)))/12</f>
        <v>0.047</v>
      </c>
      <c r="K305" s="20" t="n">
        <f aca="false">IF(G305=1,F_Income*F305,0)</f>
        <v>0</v>
      </c>
      <c r="L305" s="20" t="n">
        <f aca="false">IF(G305=1,(F_Own+In_penExtra)*12*F305,0)</f>
        <v>0</v>
      </c>
      <c r="M305" s="20" t="n">
        <f aca="false">IF(G305=1,(F_PenM+In_penExtra)*12*F305,0)</f>
        <v>0</v>
      </c>
      <c r="N305" s="51" t="n">
        <f aca="false">IF(C305&lt;PR_RelA1,PR_RelP1,IF(C305&lt;PR_RelA2,PR_RelP2,IF(C305&lt;PR_RelA3,PR_RelP3,IF(C305&lt;PR_RelA4,PR_RelP4,IF(C305&lt;PR_RelA5,PR_RelP5,PR_RelP6)))))</f>
        <v>0.4</v>
      </c>
      <c r="O305" s="20" t="n">
        <f aca="false">IF(G305=1,MIN(L305/H305,N305*MIN(K305/H305,PR_EarnCap))*H305,0)</f>
        <v>0</v>
      </c>
      <c r="P305" s="20" t="n">
        <f aca="false">IF(AND(G305=1,F_AE=1),MIN(K305/H305,PR_AEcap)*H305,0)</f>
        <v>0</v>
      </c>
      <c r="Q305" s="20" t="n">
        <f aca="false">IF(G305=1,IF(WI_Retire=1,MAX(0,M305+WI_M*12),M305)+(PR_AEee+PR_AEer+PR_AEst)*P305,0)</f>
        <v>0</v>
      </c>
      <c r="R305" s="20" t="n">
        <f aca="false">L305+PR_AEee*P305</f>
        <v>0</v>
      </c>
      <c r="S305" s="20" t="n">
        <f aca="false">AD304</f>
        <v>0</v>
      </c>
      <c r="T305" s="20" t="n">
        <f aca="false">IF(D305&lt;=PR_SFTfrom,PR_SFT2026,IF(D305=PR_SFTfrom+1,PR_SFT2027,IF(D305=PR_SFTfrom+2,PR_SFT2028,IF(D305&lt;=PR_SFTto,PR_SFT2029,PR_SFT2029*(1+AS_Infl)^(D305-PR_SFTto)))))</f>
        <v>10763901.4071277</v>
      </c>
      <c r="U305" s="20" t="n">
        <f aca="false">IF(AND(G305=0,C305=F_V),1,0)</f>
        <v>0</v>
      </c>
      <c r="V305" s="20" t="n">
        <f aca="false">IF(U305=1,PR_SFTrate*MAX(0,S305-T305),0)</f>
        <v>0</v>
      </c>
      <c r="W305" s="20" t="n">
        <f aca="false">S305-V305</f>
        <v>0</v>
      </c>
      <c r="X305" s="20" t="n">
        <f aca="false">IF(AND(U305=1,AS_LumpPct&gt;0),W305*MIN(AS_LumpPct,PR_LSmax),0)</f>
        <v>0</v>
      </c>
      <c r="Y305" s="20" t="n">
        <f aca="false">X305-(PR_LSrate*MAX(0,MIN(X305,PR_LScap)-PR_LSfree)+PR_r2*MAX(0,X305-PR_LScap))</f>
        <v>0</v>
      </c>
      <c r="Z305" s="20" t="n">
        <f aca="false">W305-X305</f>
        <v>0</v>
      </c>
      <c r="AA305" s="51" t="n">
        <f aca="false">IF(C305&gt;=PR_ARFage1,IF(Z305&gt;PR_ARFbig,PR_ARFbigRate,IF(C305&gt;=PR_ARFage2,PR_ARF71,PR_ARF61)),0)</f>
        <v>0.05</v>
      </c>
      <c r="AB305" s="20" t="n">
        <f aca="false">IF(AS_DrawRule="min",Z305*AA305,IF(AS_DrawRule="fixed",MAX(AS_DrawFixed*E305,Z305*AA305),Z305*MAX(1/MAX(1,AS_End-C305+1),AA305)))</f>
        <v>0</v>
      </c>
      <c r="AC305" s="20" t="n">
        <f aca="false">IF(AND(G305=0,C305&gt;=F_V),MIN(Z305,AB305),0)</f>
        <v>0</v>
      </c>
      <c r="AD305" s="20" t="n">
        <f aca="false">IF(G305=1,S305*(1+F_PenG)+Q305,IF(C305&lt;F_V,S305*(1+F_PenG),(Z305-AC305)*(1+AS_PenRet)))</f>
        <v>0</v>
      </c>
      <c r="AE305" s="20" t="n">
        <f aca="false">IF(C305&gt;=PR_SPage,AS_SP*F_SpF*I305+IF(AND(C305&gt;=PR_Over80Age,F_SpF&gt;0),PR_Over80*PR_Weeks*I305,0),0)</f>
        <v>65613.8405256653</v>
      </c>
      <c r="AF305" s="20" t="n">
        <f aca="false">(F_OtherM+F_RentM)*12*E305+IF(AND(In_polInc&gt;0,In_polIncAge&gt;0,C305&gt;=In_polIncAge),In_polInc,0)</f>
        <v>0</v>
      </c>
      <c r="AG305" s="20" t="n">
        <f aca="false">F_PAge+B305</f>
        <v>108</v>
      </c>
      <c r="AH305" s="20" t="n">
        <f aca="false">IF(AND(F_Partner=1,F_PAge&gt;0,AG305&lt;IF(F_PRet&gt;0,F_PRet,PR_SPage)),F_PIncome*F305,0)</f>
        <v>0</v>
      </c>
      <c r="AI305" s="20" t="n">
        <f aca="false">IF(AND(F_Partner=1,AG305&gt;=PR_SPage,F_PSpQA=0),AS_SP*F_PSpF*I305,0)</f>
        <v>50793.9798754132</v>
      </c>
      <c r="AJ305" s="20" t="n">
        <f aca="false">IF(AND(F_Partner=1,F_PSpQA=1,C305&gt;=PR_SPage,AH305=0),IF(AG305&gt;=PR_SPage,PR_QA66,PR_QAunder)*PR_Weeks*I305,0)</f>
        <v>0</v>
      </c>
      <c r="AK305" s="20" t="n">
        <f aca="false">AE305+AJ305</f>
        <v>65613.8405256653</v>
      </c>
      <c r="AL305" s="20" t="n">
        <f aca="false">K305/H305</f>
        <v>0</v>
      </c>
      <c r="AM305" s="20" t="n">
        <f aca="false">AK305/H305</f>
        <v>16083.6</v>
      </c>
      <c r="AN305" s="20" t="n">
        <f aca="false">AC305/H305</f>
        <v>0</v>
      </c>
      <c r="AO305" s="20" t="n">
        <f aca="false">AF305/H305</f>
        <v>0</v>
      </c>
      <c r="AP305" s="20" t="n">
        <f aca="false">O305/H305</f>
        <v>0</v>
      </c>
      <c r="AQ305" s="20" t="n">
        <f aca="false">AH305/H305</f>
        <v>0</v>
      </c>
      <c r="AR305" s="20" t="n">
        <f aca="false">AI305/H305</f>
        <v>12450.88</v>
      </c>
      <c r="AS305" s="20" t="n">
        <f aca="false">MAX(0,AL305+AN305+AO305+AM305-AP305)</f>
        <v>16083.6</v>
      </c>
      <c r="AT305" s="20" t="n">
        <f aca="false">MAX(0,AQ305+AR305)</f>
        <v>12450.88</v>
      </c>
      <c r="AU305" s="20" t="n">
        <f aca="false">MIN(PR_PAYE,PR_PAYEcap*(AL305+AN305+AM305))</f>
        <v>2000</v>
      </c>
      <c r="AV305" s="20" t="n">
        <f aca="false">MIN(PR_PAYE,PR_PAYEcap*(AQ305+AR305))</f>
        <v>2000</v>
      </c>
      <c r="AW305" s="20" t="n">
        <f aca="false">IF(C305&gt;=PR_AgeCrAge,PR_AgeCr,0)</f>
        <v>245</v>
      </c>
      <c r="AX305" s="20" t="n">
        <f aca="false">IF(AG305&gt;=PR_AgeCrAge,PR_AgeCr,0)</f>
        <v>245</v>
      </c>
      <c r="AY305" s="20" t="n">
        <f aca="false">IF(AND(F_RentCred=1,D305&lt;=PR_RentLast),1,0)</f>
        <v>0</v>
      </c>
      <c r="AZ305" s="20" t="n">
        <f aca="false">AS305+AT305</f>
        <v>28534.48</v>
      </c>
      <c r="BA305" s="20" t="n">
        <f aca="false">PR_PersonalM+AU305+AV305+AW305+AX305+IF(AY305=1,PR_RentJoint,0)</f>
        <v>8490</v>
      </c>
      <c r="BB305" s="20" t="n">
        <f aca="false">PR_BandM+MIN(MIN(AS305,AT305),PR_Uplift)</f>
        <v>65450.88</v>
      </c>
      <c r="BC305" s="20" t="n">
        <f aca="false">MAX(0,PR_r1*MIN(AZ305,BB305)+PR_r2*MAX(0,AZ305-BB305)-BA305)</f>
        <v>0</v>
      </c>
      <c r="BD305" s="20" t="n">
        <f aca="false">MAX(0,PR_HomeCarer-MAX(0,MIN(AS305,AT305)-PR_HCLimit)/2)</f>
        <v>0</v>
      </c>
      <c r="BE305" s="20" t="n">
        <f aca="false">IF(F_Carer=1,MIN(BC305,MAX(0,PR_r1*MIN(AZ305,PR_BandM)+PR_r2*MAX(0,AZ305-PR_BandM)-BA305-BD305)),BC305)</f>
        <v>0</v>
      </c>
      <c r="BF305" s="20" t="n">
        <f aca="false">IF(OR(C305&gt;=PR_AgeCrAge,AG305&gt;=PR_AgeCrAge),IF(AZ305&lt;=PR_AgeExM,0,MIN(BE305,PR_AgeMarg*(AZ305-PR_AgeExM))),BE305)</f>
        <v>0</v>
      </c>
      <c r="BG305" s="20" t="n">
        <f aca="false">MAX(0,PR_r1*MIN(AS305,IF(F_Spccc=1,PR_BandSPCCC,PR_Band))+PR_r2*MAX(0,AS305-IF(F_Spccc=1,PR_BandSPCCC,PR_Band))-(PR_Personal+AU305+AW305+IF(F_Spccc=1,PR_SPCCC,0)+IF(AY305=1,PR_Rent,0)))</f>
        <v>0</v>
      </c>
      <c r="BH305" s="20" t="n">
        <f aca="false">IF(C305&gt;=PR_AgeCrAge,IF(AS305&lt;=PR_AgeEx,0,MIN(BG305,PR_AgeMarg*(AS305-PR_AgeEx))),BG305)</f>
        <v>0</v>
      </c>
      <c r="BI305" s="20" t="n">
        <f aca="false">IF(F_Partner=1,MAX(0,PR_r1*MIN(AT305,PR_Band)+PR_r2*MAX(0,AT305-PR_Band)-(PR_Personal+AV305+AX305+IF(AND(AY305=1,AT305&gt;0),PR_Rent,0))),0)</f>
        <v>0</v>
      </c>
      <c r="BJ305" s="20" t="n">
        <f aca="false">IF(AG305&gt;=PR_AgeCrAge,IF(AT305&lt;=PR_AgeEx,0,MIN(BI305,PR_AgeMarg*(AT305-PR_AgeEx))),BI305)</f>
        <v>0</v>
      </c>
      <c r="BK305" s="20" t="n">
        <f aca="false">IF(F_Partner=1,IF(F_Married=1,BF305,BH305+BJ305),BH305)</f>
        <v>0</v>
      </c>
      <c r="BL305" s="20" t="n">
        <f aca="false">AL305+AN305+AO305</f>
        <v>0</v>
      </c>
      <c r="BM305" s="20"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20" t="n">
        <f aca="false">AQ305</f>
        <v>0</v>
      </c>
      <c r="BO305" s="20"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20" t="n">
        <f aca="false">IF(C305&lt;PR_PRSIend,IF(F_SelfEmp=1,IF(AL305&gt;PR_PRSIsMinInc,MAX(PR_PRSIsMin,AL305*J305),0),IF(AL305/52&lt;=PR_PRSIfree,0,MAX(0,(AL305/52*J305-IF(AL305/52&lt;=PR_PRSIcreditTo,MAX(0,PR_PRSIcreditMax-(AL305/52-(PR_PRSIfree+0.01))/PR_PRSItaper),0))*52)))+J305*AN305+IF(AO305&gt;PR_PRSIunearned,J305*AO305,0),0)+IF(AND(PRSI_ARF_Applies=1,AN305&gt;0,C305&gt;=PR_PRSIend,C305&lt;PRSI_ARF_ToAge,NOT(AK305&gt;0)),J305*AN305,0)</f>
        <v>0</v>
      </c>
      <c r="BQ305" s="20" t="n">
        <f aca="false">IF(AND(F_Partner=1,AG305&lt;PR_PRSIend),IF(AQ305/52&lt;=PR_PRSIfree,0,MAX(0,(AQ305/52*J305-IF(AQ305/52&lt;=PR_PRSIcreditTo,MAX(0,PR_PRSIcreditMax-(AQ305/52-(PR_PRSIfree+0.01))/PR_PRSItaper),0))*52)),0)</f>
        <v>0</v>
      </c>
      <c r="BR305" s="20" t="n">
        <f aca="false">BK305+BM305+BO305+BP305+BQ305</f>
        <v>0</v>
      </c>
      <c r="BS305" s="20" t="n">
        <f aca="false">BR305*H305</f>
        <v>0</v>
      </c>
      <c r="BT305" s="20" t="n">
        <f aca="false">K305+AK305+AC305+AF305+AH305+AI305</f>
        <v>116407.820401078</v>
      </c>
    </row>
    <row r="306" customFormat="false" ht="15" hidden="false" customHeight="true" outlineLevel="0" collapsed="false">
      <c r="B306" s="20" t="n">
        <v>72</v>
      </c>
      <c r="C306" s="20" t="n">
        <f aca="false">F_Age+B306</f>
        <v>110</v>
      </c>
      <c r="D306" s="20" t="n">
        <f aca="false">AS_Year0+B306</f>
        <v>2098</v>
      </c>
      <c r="E306" s="50" t="n">
        <f aca="false">(1+AS_Infl)^B306</f>
        <v>4.16114037505152</v>
      </c>
      <c r="F306" s="50" t="n">
        <f aca="false">(1+AS_Wage)^B306</f>
        <v>8.40001726656997</v>
      </c>
      <c r="G306" s="20" t="n">
        <f aca="false">IF(C306&lt;F_R,1,0)</f>
        <v>0</v>
      </c>
      <c r="H306" s="50" t="n">
        <f aca="false">IF(AS_Bands="flat",1,E306)</f>
        <v>4.16114037505152</v>
      </c>
      <c r="I306" s="50" t="n">
        <f aca="false">IF(AS_SpGrow="pay",F306,IF(AS_SpGrow="flat",1,E306))</f>
        <v>4.16114037505152</v>
      </c>
      <c r="J306" s="50" t="n">
        <f aca="false">(12*PR_PRSIr0+(PR_PRSIr1-PR_PRSIr0)*MAX(0,MIN(12,D306*12+12-PR_PRSIt1))+(PR_PRSIr2-PR_PRSIr1)*MAX(0,MIN(12,D306*12+12-PR_PRSIt2))+(PR_PRSIr3-PR_PRSIr2)*MAX(0,MIN(12,D306*12+12-PR_PRSIt3)))/12</f>
        <v>0.047</v>
      </c>
      <c r="K306" s="20" t="n">
        <f aca="false">IF(G306=1,F_Income*F306,0)</f>
        <v>0</v>
      </c>
      <c r="L306" s="20" t="n">
        <f aca="false">IF(G306=1,(F_Own+In_penExtra)*12*F306,0)</f>
        <v>0</v>
      </c>
      <c r="M306" s="20" t="n">
        <f aca="false">IF(G306=1,(F_PenM+In_penExtra)*12*F306,0)</f>
        <v>0</v>
      </c>
      <c r="N306" s="51" t="n">
        <f aca="false">IF(C306&lt;PR_RelA1,PR_RelP1,IF(C306&lt;PR_RelA2,PR_RelP2,IF(C306&lt;PR_RelA3,PR_RelP3,IF(C306&lt;PR_RelA4,PR_RelP4,IF(C306&lt;PR_RelA5,PR_RelP5,PR_RelP6)))))</f>
        <v>0.4</v>
      </c>
      <c r="O306" s="20" t="n">
        <f aca="false">IF(G306=1,MIN(L306/H306,N306*MIN(K306/H306,PR_EarnCap))*H306,0)</f>
        <v>0</v>
      </c>
      <c r="P306" s="20" t="n">
        <f aca="false">IF(AND(G306=1,F_AE=1),MIN(K306/H306,PR_AEcap)*H306,0)</f>
        <v>0</v>
      </c>
      <c r="Q306" s="20" t="n">
        <f aca="false">IF(G306=1,IF(WI_Retire=1,MAX(0,M306+WI_M*12),M306)+(PR_AEee+PR_AEer+PR_AEst)*P306,0)</f>
        <v>0</v>
      </c>
      <c r="R306" s="20" t="n">
        <f aca="false">L306+PR_AEee*P306</f>
        <v>0</v>
      </c>
      <c r="S306" s="20" t="n">
        <f aca="false">AD305</f>
        <v>0</v>
      </c>
      <c r="T306" s="20" t="n">
        <f aca="false">IF(D306&lt;=PR_SFTfrom,PR_SFT2026,IF(D306=PR_SFTfrom+1,PR_SFT2027,IF(D306=PR_SFTfrom+2,PR_SFT2028,IF(D306&lt;=PR_SFTto,PR_SFT2029,PR_SFT2029*(1+AS_Infl)^(D306-PR_SFTto)))))</f>
        <v>10979179.4352702</v>
      </c>
      <c r="U306" s="20" t="n">
        <f aca="false">IF(AND(G306=0,C306=F_V),1,0)</f>
        <v>0</v>
      </c>
      <c r="V306" s="20" t="n">
        <f aca="false">IF(U306=1,PR_SFTrate*MAX(0,S306-T306),0)</f>
        <v>0</v>
      </c>
      <c r="W306" s="20" t="n">
        <f aca="false">S306-V306</f>
        <v>0</v>
      </c>
      <c r="X306" s="20" t="n">
        <f aca="false">IF(AND(U306=1,AS_LumpPct&gt;0),W306*MIN(AS_LumpPct,PR_LSmax),0)</f>
        <v>0</v>
      </c>
      <c r="Y306" s="20" t="n">
        <f aca="false">X306-(PR_LSrate*MAX(0,MIN(X306,PR_LScap)-PR_LSfree)+PR_r2*MAX(0,X306-PR_LScap))</f>
        <v>0</v>
      </c>
      <c r="Z306" s="20" t="n">
        <f aca="false">W306-X306</f>
        <v>0</v>
      </c>
      <c r="AA306" s="51" t="n">
        <f aca="false">IF(C306&gt;=PR_ARFage1,IF(Z306&gt;PR_ARFbig,PR_ARFbigRate,IF(C306&gt;=PR_ARFage2,PR_ARF71,PR_ARF61)),0)</f>
        <v>0.05</v>
      </c>
      <c r="AB306" s="20" t="n">
        <f aca="false">IF(AS_DrawRule="min",Z306*AA306,IF(AS_DrawRule="fixed",MAX(AS_DrawFixed*E306,Z306*AA306),Z306*MAX(1/MAX(1,AS_End-C306+1),AA306)))</f>
        <v>0</v>
      </c>
      <c r="AC306" s="20" t="n">
        <f aca="false">IF(AND(G306=0,C306&gt;=F_V),MIN(Z306,AB306),0)</f>
        <v>0</v>
      </c>
      <c r="AD306" s="20" t="n">
        <f aca="false">IF(G306=1,S306*(1+F_PenG)+Q306,IF(C306&lt;F_V,S306*(1+F_PenG),(Z306-AC306)*(1+AS_PenRet)))</f>
        <v>0</v>
      </c>
      <c r="AE306" s="20" t="n">
        <f aca="false">IF(C306&gt;=PR_SPage,AS_SP*F_SpF*I306+IF(AND(C306&gt;=PR_Over80Age,F_SpF&gt;0),PR_Over80*PR_Weeks*I306,0),0)</f>
        <v>66926.1173361786</v>
      </c>
      <c r="AF306" s="20" t="n">
        <f aca="false">(F_OtherM+F_RentM)*12*E306+IF(AND(In_polInc&gt;0,In_polIncAge&gt;0,C306&gt;=In_polIncAge),In_polInc,0)</f>
        <v>0</v>
      </c>
      <c r="AG306" s="20" t="n">
        <f aca="false">F_PAge+B306</f>
        <v>109</v>
      </c>
      <c r="AH306" s="20" t="n">
        <f aca="false">IF(AND(F_Partner=1,F_PAge&gt;0,AG306&lt;IF(F_PRet&gt;0,F_PRet,PR_SPage)),F_PIncome*F306,0)</f>
        <v>0</v>
      </c>
      <c r="AI306" s="20" t="n">
        <f aca="false">IF(AND(F_Partner=1,AG306&gt;=PR_SPage,F_PSpQA=0),AS_SP*F_PSpF*I306,0)</f>
        <v>51809.8594729214</v>
      </c>
      <c r="AJ306" s="20" t="n">
        <f aca="false">IF(AND(F_Partner=1,F_PSpQA=1,C306&gt;=PR_SPage,AH306=0),IF(AG306&gt;=PR_SPage,PR_QA66,PR_QAunder)*PR_Weeks*I306,0)</f>
        <v>0</v>
      </c>
      <c r="AK306" s="20" t="n">
        <f aca="false">AE306+AJ306</f>
        <v>66926.1173361786</v>
      </c>
      <c r="AL306" s="20" t="n">
        <f aca="false">K306/H306</f>
        <v>0</v>
      </c>
      <c r="AM306" s="20" t="n">
        <f aca="false">AK306/H306</f>
        <v>16083.6</v>
      </c>
      <c r="AN306" s="20" t="n">
        <f aca="false">AC306/H306</f>
        <v>0</v>
      </c>
      <c r="AO306" s="20" t="n">
        <f aca="false">AF306/H306</f>
        <v>0</v>
      </c>
      <c r="AP306" s="20" t="n">
        <f aca="false">O306/H306</f>
        <v>0</v>
      </c>
      <c r="AQ306" s="20" t="n">
        <f aca="false">AH306/H306</f>
        <v>0</v>
      </c>
      <c r="AR306" s="20" t="n">
        <f aca="false">AI306/H306</f>
        <v>12450.88</v>
      </c>
      <c r="AS306" s="20" t="n">
        <f aca="false">MAX(0,AL306+AN306+AO306+AM306-AP306)</f>
        <v>16083.6</v>
      </c>
      <c r="AT306" s="20" t="n">
        <f aca="false">MAX(0,AQ306+AR306)</f>
        <v>12450.88</v>
      </c>
      <c r="AU306" s="20" t="n">
        <f aca="false">MIN(PR_PAYE,PR_PAYEcap*(AL306+AN306+AM306))</f>
        <v>2000</v>
      </c>
      <c r="AV306" s="20" t="n">
        <f aca="false">MIN(PR_PAYE,PR_PAYEcap*(AQ306+AR306))</f>
        <v>2000</v>
      </c>
      <c r="AW306" s="20" t="n">
        <f aca="false">IF(C306&gt;=PR_AgeCrAge,PR_AgeCr,0)</f>
        <v>245</v>
      </c>
      <c r="AX306" s="20" t="n">
        <f aca="false">IF(AG306&gt;=PR_AgeCrAge,PR_AgeCr,0)</f>
        <v>245</v>
      </c>
      <c r="AY306" s="20" t="n">
        <f aca="false">IF(AND(F_RentCred=1,D306&lt;=PR_RentLast),1,0)</f>
        <v>0</v>
      </c>
      <c r="AZ306" s="20" t="n">
        <f aca="false">AS306+AT306</f>
        <v>28534.48</v>
      </c>
      <c r="BA306" s="20" t="n">
        <f aca="false">PR_PersonalM+AU306+AV306+AW306+AX306+IF(AY306=1,PR_RentJoint,0)</f>
        <v>8490</v>
      </c>
      <c r="BB306" s="20" t="n">
        <f aca="false">PR_BandM+MIN(MIN(AS306,AT306),PR_Uplift)</f>
        <v>65450.88</v>
      </c>
      <c r="BC306" s="20" t="n">
        <f aca="false">MAX(0,PR_r1*MIN(AZ306,BB306)+PR_r2*MAX(0,AZ306-BB306)-BA306)</f>
        <v>0</v>
      </c>
      <c r="BD306" s="20" t="n">
        <f aca="false">MAX(0,PR_HomeCarer-MAX(0,MIN(AS306,AT306)-PR_HCLimit)/2)</f>
        <v>0</v>
      </c>
      <c r="BE306" s="20" t="n">
        <f aca="false">IF(F_Carer=1,MIN(BC306,MAX(0,PR_r1*MIN(AZ306,PR_BandM)+PR_r2*MAX(0,AZ306-PR_BandM)-BA306-BD306)),BC306)</f>
        <v>0</v>
      </c>
      <c r="BF306" s="20" t="n">
        <f aca="false">IF(OR(C306&gt;=PR_AgeCrAge,AG306&gt;=PR_AgeCrAge),IF(AZ306&lt;=PR_AgeExM,0,MIN(BE306,PR_AgeMarg*(AZ306-PR_AgeExM))),BE306)</f>
        <v>0</v>
      </c>
      <c r="BG306" s="20" t="n">
        <f aca="false">MAX(0,PR_r1*MIN(AS306,IF(F_Spccc=1,PR_BandSPCCC,PR_Band))+PR_r2*MAX(0,AS306-IF(F_Spccc=1,PR_BandSPCCC,PR_Band))-(PR_Personal+AU306+AW306+IF(F_Spccc=1,PR_SPCCC,0)+IF(AY306=1,PR_Rent,0)))</f>
        <v>0</v>
      </c>
      <c r="BH306" s="20" t="n">
        <f aca="false">IF(C306&gt;=PR_AgeCrAge,IF(AS306&lt;=PR_AgeEx,0,MIN(BG306,PR_AgeMarg*(AS306-PR_AgeEx))),BG306)</f>
        <v>0</v>
      </c>
      <c r="BI306" s="20" t="n">
        <f aca="false">IF(F_Partner=1,MAX(0,PR_r1*MIN(AT306,PR_Band)+PR_r2*MAX(0,AT306-PR_Band)-(PR_Personal+AV306+AX306+IF(AND(AY306=1,AT306&gt;0),PR_Rent,0))),0)</f>
        <v>0</v>
      </c>
      <c r="BJ306" s="20" t="n">
        <f aca="false">IF(AG306&gt;=PR_AgeCrAge,IF(AT306&lt;=PR_AgeEx,0,MIN(BI306,PR_AgeMarg*(AT306-PR_AgeEx))),BI306)</f>
        <v>0</v>
      </c>
      <c r="BK306" s="20" t="n">
        <f aca="false">IF(F_Partner=1,IF(F_Married=1,BF306,BH306+BJ306),BH306)</f>
        <v>0</v>
      </c>
      <c r="BL306" s="20" t="n">
        <f aca="false">AL306+AN306+AO306</f>
        <v>0</v>
      </c>
      <c r="BM306" s="20"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20" t="n">
        <f aca="false">AQ306</f>
        <v>0</v>
      </c>
      <c r="BO306" s="20"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20" t="n">
        <f aca="false">IF(C306&lt;PR_PRSIend,IF(F_SelfEmp=1,IF(AL306&gt;PR_PRSIsMinInc,MAX(PR_PRSIsMin,AL306*J306),0),IF(AL306/52&lt;=PR_PRSIfree,0,MAX(0,(AL306/52*J306-IF(AL306/52&lt;=PR_PRSIcreditTo,MAX(0,PR_PRSIcreditMax-(AL306/52-(PR_PRSIfree+0.01))/PR_PRSItaper),0))*52)))+J306*AN306+IF(AO306&gt;PR_PRSIunearned,J306*AO306,0),0)+IF(AND(PRSI_ARF_Applies=1,AN306&gt;0,C306&gt;=PR_PRSIend,C306&lt;PRSI_ARF_ToAge,NOT(AK306&gt;0)),J306*AN306,0)</f>
        <v>0</v>
      </c>
      <c r="BQ306" s="20" t="n">
        <f aca="false">IF(AND(F_Partner=1,AG306&lt;PR_PRSIend),IF(AQ306/52&lt;=PR_PRSIfree,0,MAX(0,(AQ306/52*J306-IF(AQ306/52&lt;=PR_PRSIcreditTo,MAX(0,PR_PRSIcreditMax-(AQ306/52-(PR_PRSIfree+0.01))/PR_PRSItaper),0))*52)),0)</f>
        <v>0</v>
      </c>
      <c r="BR306" s="20" t="n">
        <f aca="false">BK306+BM306+BO306+BP306+BQ306</f>
        <v>0</v>
      </c>
      <c r="BS306" s="20" t="n">
        <f aca="false">BR306*H306</f>
        <v>0</v>
      </c>
      <c r="BT306" s="20" t="n">
        <f aca="false">K306+AK306+AC306+AF306+AH306+AI306</f>
        <v>118735.9768091</v>
      </c>
    </row>
    <row r="307" customFormat="false" ht="15" hidden="false" customHeight="true" outlineLevel="0" collapsed="false">
      <c r="B307" s="20" t="n">
        <v>73</v>
      </c>
      <c r="C307" s="20" t="n">
        <f aca="false">F_Age+B307</f>
        <v>111</v>
      </c>
      <c r="D307" s="20" t="n">
        <f aca="false">AS_Year0+B307</f>
        <v>2099</v>
      </c>
      <c r="E307" s="50" t="n">
        <f aca="false">(1+AS_Infl)^B307</f>
        <v>4.24436318255255</v>
      </c>
      <c r="F307" s="50" t="n">
        <f aca="false">(1+AS_Wage)^B307</f>
        <v>8.65201778456706</v>
      </c>
      <c r="G307" s="20" t="n">
        <f aca="false">IF(C307&lt;F_R,1,0)</f>
        <v>0</v>
      </c>
      <c r="H307" s="50" t="n">
        <f aca="false">IF(AS_Bands="flat",1,E307)</f>
        <v>4.24436318255255</v>
      </c>
      <c r="I307" s="50" t="n">
        <f aca="false">IF(AS_SpGrow="pay",F307,IF(AS_SpGrow="flat",1,E307))</f>
        <v>4.24436318255255</v>
      </c>
      <c r="J307" s="50" t="n">
        <f aca="false">(12*PR_PRSIr0+(PR_PRSIr1-PR_PRSIr0)*MAX(0,MIN(12,D307*12+12-PR_PRSIt1))+(PR_PRSIr2-PR_PRSIr1)*MAX(0,MIN(12,D307*12+12-PR_PRSIt2))+(PR_PRSIr3-PR_PRSIr2)*MAX(0,MIN(12,D307*12+12-PR_PRSIt3)))/12</f>
        <v>0.047</v>
      </c>
      <c r="K307" s="20" t="n">
        <f aca="false">IF(G307=1,F_Income*F307,0)</f>
        <v>0</v>
      </c>
      <c r="L307" s="20" t="n">
        <f aca="false">IF(G307=1,(F_Own+In_penExtra)*12*F307,0)</f>
        <v>0</v>
      </c>
      <c r="M307" s="20" t="n">
        <f aca="false">IF(G307=1,(F_PenM+In_penExtra)*12*F307,0)</f>
        <v>0</v>
      </c>
      <c r="N307" s="51" t="n">
        <f aca="false">IF(C307&lt;PR_RelA1,PR_RelP1,IF(C307&lt;PR_RelA2,PR_RelP2,IF(C307&lt;PR_RelA3,PR_RelP3,IF(C307&lt;PR_RelA4,PR_RelP4,IF(C307&lt;PR_RelA5,PR_RelP5,PR_RelP6)))))</f>
        <v>0.4</v>
      </c>
      <c r="O307" s="20" t="n">
        <f aca="false">IF(G307=1,MIN(L307/H307,N307*MIN(K307/H307,PR_EarnCap))*H307,0)</f>
        <v>0</v>
      </c>
      <c r="P307" s="20" t="n">
        <f aca="false">IF(AND(G307=1,F_AE=1),MIN(K307/H307,PR_AEcap)*H307,0)</f>
        <v>0</v>
      </c>
      <c r="Q307" s="20" t="n">
        <f aca="false">IF(G307=1,IF(WI_Retire=1,MAX(0,M307+WI_M*12),M307)+(PR_AEee+PR_AEer+PR_AEst)*P307,0)</f>
        <v>0</v>
      </c>
      <c r="R307" s="20" t="n">
        <f aca="false">L307+PR_AEee*P307</f>
        <v>0</v>
      </c>
      <c r="S307" s="20" t="n">
        <f aca="false">AD306</f>
        <v>0</v>
      </c>
      <c r="T307" s="20" t="n">
        <f aca="false">IF(D307&lt;=PR_SFTfrom,PR_SFT2026,IF(D307=PR_SFTfrom+1,PR_SFT2027,IF(D307=PR_SFTfrom+2,PR_SFT2028,IF(D307&lt;=PR_SFTto,PR_SFT2029,PR_SFT2029*(1+AS_Infl)^(D307-PR_SFTto)))))</f>
        <v>11198763.0239756</v>
      </c>
      <c r="U307" s="20" t="n">
        <f aca="false">IF(AND(G307=0,C307=F_V),1,0)</f>
        <v>0</v>
      </c>
      <c r="V307" s="20" t="n">
        <f aca="false">IF(U307=1,PR_SFTrate*MAX(0,S307-T307),0)</f>
        <v>0</v>
      </c>
      <c r="W307" s="20" t="n">
        <f aca="false">S307-V307</f>
        <v>0</v>
      </c>
      <c r="X307" s="20" t="n">
        <f aca="false">IF(AND(U307=1,AS_LumpPct&gt;0),W307*MIN(AS_LumpPct,PR_LSmax),0)</f>
        <v>0</v>
      </c>
      <c r="Y307" s="20" t="n">
        <f aca="false">X307-(PR_LSrate*MAX(0,MIN(X307,PR_LScap)-PR_LSfree)+PR_r2*MAX(0,X307-PR_LScap))</f>
        <v>0</v>
      </c>
      <c r="Z307" s="20" t="n">
        <f aca="false">W307-X307</f>
        <v>0</v>
      </c>
      <c r="AA307" s="51" t="n">
        <f aca="false">IF(C307&gt;=PR_ARFage1,IF(Z307&gt;PR_ARFbig,PR_ARFbigRate,IF(C307&gt;=PR_ARFage2,PR_ARF71,PR_ARF61)),0)</f>
        <v>0.05</v>
      </c>
      <c r="AB307" s="20" t="n">
        <f aca="false">IF(AS_DrawRule="min",Z307*AA307,IF(AS_DrawRule="fixed",MAX(AS_DrawFixed*E307,Z307*AA307),Z307*MAX(1/MAX(1,AS_End-C307+1),AA307)))</f>
        <v>0</v>
      </c>
      <c r="AC307" s="20" t="n">
        <f aca="false">IF(AND(G307=0,C307&gt;=F_V),MIN(Z307,AB307),0)</f>
        <v>0</v>
      </c>
      <c r="AD307" s="20" t="n">
        <f aca="false">IF(G307=1,S307*(1+F_PenG)+Q307,IF(C307&lt;F_V,S307*(1+F_PenG),(Z307-AC307)*(1+AS_PenRet)))</f>
        <v>0</v>
      </c>
      <c r="AE307" s="20" t="n">
        <f aca="false">IF(C307&gt;=PR_SPage,AS_SP*F_SpF*I307+IF(AND(C307&gt;=PR_Over80Age,F_SpF&gt;0),PR_Over80*PR_Weeks*I307,0),0)</f>
        <v>68264.6396829021</v>
      </c>
      <c r="AF307" s="20" t="n">
        <f aca="false">(F_OtherM+F_RentM)*12*E307+IF(AND(In_polInc&gt;0,In_polIncAge&gt;0,C307&gt;=In_polIncAge),In_polInc,0)</f>
        <v>0</v>
      </c>
      <c r="AG307" s="20" t="n">
        <f aca="false">F_PAge+B307</f>
        <v>110</v>
      </c>
      <c r="AH307" s="20" t="n">
        <f aca="false">IF(AND(F_Partner=1,F_PAge&gt;0,AG307&lt;IF(F_PRet&gt;0,F_PRet,PR_SPage)),F_PIncome*F307,0)</f>
        <v>0</v>
      </c>
      <c r="AI307" s="20" t="n">
        <f aca="false">IF(AND(F_Partner=1,AG307&gt;=PR_SPage,F_PSpQA=0),AS_SP*F_PSpF*I307,0)</f>
        <v>52846.0566623799</v>
      </c>
      <c r="AJ307" s="20" t="n">
        <f aca="false">IF(AND(F_Partner=1,F_PSpQA=1,C307&gt;=PR_SPage,AH307=0),IF(AG307&gt;=PR_SPage,PR_QA66,PR_QAunder)*PR_Weeks*I307,0)</f>
        <v>0</v>
      </c>
      <c r="AK307" s="20" t="n">
        <f aca="false">AE307+AJ307</f>
        <v>68264.6396829021</v>
      </c>
      <c r="AL307" s="20" t="n">
        <f aca="false">K307/H307</f>
        <v>0</v>
      </c>
      <c r="AM307" s="20" t="n">
        <f aca="false">AK307/H307</f>
        <v>16083.6</v>
      </c>
      <c r="AN307" s="20" t="n">
        <f aca="false">AC307/H307</f>
        <v>0</v>
      </c>
      <c r="AO307" s="20" t="n">
        <f aca="false">AF307/H307</f>
        <v>0</v>
      </c>
      <c r="AP307" s="20" t="n">
        <f aca="false">O307/H307</f>
        <v>0</v>
      </c>
      <c r="AQ307" s="20" t="n">
        <f aca="false">AH307/H307</f>
        <v>0</v>
      </c>
      <c r="AR307" s="20" t="n">
        <f aca="false">AI307/H307</f>
        <v>12450.88</v>
      </c>
      <c r="AS307" s="20" t="n">
        <f aca="false">MAX(0,AL307+AN307+AO307+AM307-AP307)</f>
        <v>16083.6</v>
      </c>
      <c r="AT307" s="20" t="n">
        <f aca="false">MAX(0,AQ307+AR307)</f>
        <v>12450.88</v>
      </c>
      <c r="AU307" s="20" t="n">
        <f aca="false">MIN(PR_PAYE,PR_PAYEcap*(AL307+AN307+AM307))</f>
        <v>2000</v>
      </c>
      <c r="AV307" s="20" t="n">
        <f aca="false">MIN(PR_PAYE,PR_PAYEcap*(AQ307+AR307))</f>
        <v>2000</v>
      </c>
      <c r="AW307" s="20" t="n">
        <f aca="false">IF(C307&gt;=PR_AgeCrAge,PR_AgeCr,0)</f>
        <v>245</v>
      </c>
      <c r="AX307" s="20" t="n">
        <f aca="false">IF(AG307&gt;=PR_AgeCrAge,PR_AgeCr,0)</f>
        <v>245</v>
      </c>
      <c r="AY307" s="20" t="n">
        <f aca="false">IF(AND(F_RentCred=1,D307&lt;=PR_RentLast),1,0)</f>
        <v>0</v>
      </c>
      <c r="AZ307" s="20" t="n">
        <f aca="false">AS307+AT307</f>
        <v>28534.48</v>
      </c>
      <c r="BA307" s="20" t="n">
        <f aca="false">PR_PersonalM+AU307+AV307+AW307+AX307+IF(AY307=1,PR_RentJoint,0)</f>
        <v>8490</v>
      </c>
      <c r="BB307" s="20" t="n">
        <f aca="false">PR_BandM+MIN(MIN(AS307,AT307),PR_Uplift)</f>
        <v>65450.88</v>
      </c>
      <c r="BC307" s="20" t="n">
        <f aca="false">MAX(0,PR_r1*MIN(AZ307,BB307)+PR_r2*MAX(0,AZ307-BB307)-BA307)</f>
        <v>0</v>
      </c>
      <c r="BD307" s="20" t="n">
        <f aca="false">MAX(0,PR_HomeCarer-MAX(0,MIN(AS307,AT307)-PR_HCLimit)/2)</f>
        <v>0</v>
      </c>
      <c r="BE307" s="20" t="n">
        <f aca="false">IF(F_Carer=1,MIN(BC307,MAX(0,PR_r1*MIN(AZ307,PR_BandM)+PR_r2*MAX(0,AZ307-PR_BandM)-BA307-BD307)),BC307)</f>
        <v>0</v>
      </c>
      <c r="BF307" s="20" t="n">
        <f aca="false">IF(OR(C307&gt;=PR_AgeCrAge,AG307&gt;=PR_AgeCrAge),IF(AZ307&lt;=PR_AgeExM,0,MIN(BE307,PR_AgeMarg*(AZ307-PR_AgeExM))),BE307)</f>
        <v>0</v>
      </c>
      <c r="BG307" s="20" t="n">
        <f aca="false">MAX(0,PR_r1*MIN(AS307,IF(F_Spccc=1,PR_BandSPCCC,PR_Band))+PR_r2*MAX(0,AS307-IF(F_Spccc=1,PR_BandSPCCC,PR_Band))-(PR_Personal+AU307+AW307+IF(F_Spccc=1,PR_SPCCC,0)+IF(AY307=1,PR_Rent,0)))</f>
        <v>0</v>
      </c>
      <c r="BH307" s="20" t="n">
        <f aca="false">IF(C307&gt;=PR_AgeCrAge,IF(AS307&lt;=PR_AgeEx,0,MIN(BG307,PR_AgeMarg*(AS307-PR_AgeEx))),BG307)</f>
        <v>0</v>
      </c>
      <c r="BI307" s="20" t="n">
        <f aca="false">IF(F_Partner=1,MAX(0,PR_r1*MIN(AT307,PR_Band)+PR_r2*MAX(0,AT307-PR_Band)-(PR_Personal+AV307+AX307+IF(AND(AY307=1,AT307&gt;0),PR_Rent,0))),0)</f>
        <v>0</v>
      </c>
      <c r="BJ307" s="20" t="n">
        <f aca="false">IF(AG307&gt;=PR_AgeCrAge,IF(AT307&lt;=PR_AgeEx,0,MIN(BI307,PR_AgeMarg*(AT307-PR_AgeEx))),BI307)</f>
        <v>0</v>
      </c>
      <c r="BK307" s="20" t="n">
        <f aca="false">IF(F_Partner=1,IF(F_Married=1,BF307,BH307+BJ307),BH307)</f>
        <v>0</v>
      </c>
      <c r="BL307" s="20" t="n">
        <f aca="false">AL307+AN307+AO307</f>
        <v>0</v>
      </c>
      <c r="BM307" s="20"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20" t="n">
        <f aca="false">AQ307</f>
        <v>0</v>
      </c>
      <c r="BO307" s="20"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20" t="n">
        <f aca="false">IF(C307&lt;PR_PRSIend,IF(F_SelfEmp=1,IF(AL307&gt;PR_PRSIsMinInc,MAX(PR_PRSIsMin,AL307*J307),0),IF(AL307/52&lt;=PR_PRSIfree,0,MAX(0,(AL307/52*J307-IF(AL307/52&lt;=PR_PRSIcreditTo,MAX(0,PR_PRSIcreditMax-(AL307/52-(PR_PRSIfree+0.01))/PR_PRSItaper),0))*52)))+J307*AN307+IF(AO307&gt;PR_PRSIunearned,J307*AO307,0),0)+IF(AND(PRSI_ARF_Applies=1,AN307&gt;0,C307&gt;=PR_PRSIend,C307&lt;PRSI_ARF_ToAge,NOT(AK307&gt;0)),J307*AN307,0)</f>
        <v>0</v>
      </c>
      <c r="BQ307" s="20" t="n">
        <f aca="false">IF(AND(F_Partner=1,AG307&lt;PR_PRSIend),IF(AQ307/52&lt;=PR_PRSIfree,0,MAX(0,(AQ307/52*J307-IF(AQ307/52&lt;=PR_PRSIcreditTo,MAX(0,PR_PRSIcreditMax-(AQ307/52-(PR_PRSIfree+0.01))/PR_PRSItaper),0))*52)),0)</f>
        <v>0</v>
      </c>
      <c r="BR307" s="20" t="n">
        <f aca="false">BK307+BM307+BO307+BP307+BQ307</f>
        <v>0</v>
      </c>
      <c r="BS307" s="20" t="n">
        <f aca="false">BR307*H307</f>
        <v>0</v>
      </c>
      <c r="BT307" s="20" t="n">
        <f aca="false">K307+AK307+AC307+AF307+AH307+AI307</f>
        <v>121110.696345282</v>
      </c>
    </row>
    <row r="308" customFormat="false" ht="15" hidden="false" customHeight="true" outlineLevel="0" collapsed="false">
      <c r="B308" s="20" t="n">
        <v>74</v>
      </c>
      <c r="C308" s="20" t="n">
        <f aca="false">F_Age+B308</f>
        <v>112</v>
      </c>
      <c r="D308" s="20" t="n">
        <f aca="false">AS_Year0+B308</f>
        <v>2100</v>
      </c>
      <c r="E308" s="50" t="n">
        <f aca="false">(1+AS_Infl)^B308</f>
        <v>4.3292504462036</v>
      </c>
      <c r="F308" s="50" t="n">
        <f aca="false">(1+AS_Wage)^B308</f>
        <v>8.91157831810408</v>
      </c>
      <c r="G308" s="20" t="n">
        <f aca="false">IF(C308&lt;F_R,1,0)</f>
        <v>0</v>
      </c>
      <c r="H308" s="50" t="n">
        <f aca="false">IF(AS_Bands="flat",1,E308)</f>
        <v>4.3292504462036</v>
      </c>
      <c r="I308" s="50" t="n">
        <f aca="false">IF(AS_SpGrow="pay",F308,IF(AS_SpGrow="flat",1,E308))</f>
        <v>4.3292504462036</v>
      </c>
      <c r="J308" s="50" t="n">
        <f aca="false">(12*PR_PRSIr0+(PR_PRSIr1-PR_PRSIr0)*MAX(0,MIN(12,D308*12+12-PR_PRSIt1))+(PR_PRSIr2-PR_PRSIr1)*MAX(0,MIN(12,D308*12+12-PR_PRSIt2))+(PR_PRSIr3-PR_PRSIr2)*MAX(0,MIN(12,D308*12+12-PR_PRSIt3)))/12</f>
        <v>0.047</v>
      </c>
      <c r="K308" s="20" t="n">
        <f aca="false">IF(G308=1,F_Income*F308,0)</f>
        <v>0</v>
      </c>
      <c r="L308" s="20" t="n">
        <f aca="false">IF(G308=1,(F_Own+In_penExtra)*12*F308,0)</f>
        <v>0</v>
      </c>
      <c r="M308" s="20" t="n">
        <f aca="false">IF(G308=1,(F_PenM+In_penExtra)*12*F308,0)</f>
        <v>0</v>
      </c>
      <c r="N308" s="51" t="n">
        <f aca="false">IF(C308&lt;PR_RelA1,PR_RelP1,IF(C308&lt;PR_RelA2,PR_RelP2,IF(C308&lt;PR_RelA3,PR_RelP3,IF(C308&lt;PR_RelA4,PR_RelP4,IF(C308&lt;PR_RelA5,PR_RelP5,PR_RelP6)))))</f>
        <v>0.4</v>
      </c>
      <c r="O308" s="20" t="n">
        <f aca="false">IF(G308=1,MIN(L308/H308,N308*MIN(K308/H308,PR_EarnCap))*H308,0)</f>
        <v>0</v>
      </c>
      <c r="P308" s="20" t="n">
        <f aca="false">IF(AND(G308=1,F_AE=1),MIN(K308/H308,PR_AEcap)*H308,0)</f>
        <v>0</v>
      </c>
      <c r="Q308" s="20" t="n">
        <f aca="false">IF(G308=1,IF(WI_Retire=1,MAX(0,M308+WI_M*12),M308)+(PR_AEee+PR_AEer+PR_AEst)*P308,0)</f>
        <v>0</v>
      </c>
      <c r="R308" s="20" t="n">
        <f aca="false">L308+PR_AEee*P308</f>
        <v>0</v>
      </c>
      <c r="S308" s="20" t="n">
        <f aca="false">AD307</f>
        <v>0</v>
      </c>
      <c r="T308" s="20" t="n">
        <f aca="false">IF(D308&lt;=PR_SFTfrom,PR_SFT2026,IF(D308=PR_SFTfrom+1,PR_SFT2027,IF(D308=PR_SFTfrom+2,PR_SFT2028,IF(D308&lt;=PR_SFTto,PR_SFT2029,PR_SFT2029*(1+AS_Infl)^(D308-PR_SFTto)))))</f>
        <v>11422738.2844551</v>
      </c>
      <c r="U308" s="20" t="n">
        <f aca="false">IF(AND(G308=0,C308=F_V),1,0)</f>
        <v>0</v>
      </c>
      <c r="V308" s="20" t="n">
        <f aca="false">IF(U308=1,PR_SFTrate*MAX(0,S308-T308),0)</f>
        <v>0</v>
      </c>
      <c r="W308" s="20" t="n">
        <f aca="false">S308-V308</f>
        <v>0</v>
      </c>
      <c r="X308" s="20" t="n">
        <f aca="false">IF(AND(U308=1,AS_LumpPct&gt;0),W308*MIN(AS_LumpPct,PR_LSmax),0)</f>
        <v>0</v>
      </c>
      <c r="Y308" s="20" t="n">
        <f aca="false">X308-(PR_LSrate*MAX(0,MIN(X308,PR_LScap)-PR_LSfree)+PR_r2*MAX(0,X308-PR_LScap))</f>
        <v>0</v>
      </c>
      <c r="Z308" s="20" t="n">
        <f aca="false">W308-X308</f>
        <v>0</v>
      </c>
      <c r="AA308" s="51" t="n">
        <f aca="false">IF(C308&gt;=PR_ARFage1,IF(Z308&gt;PR_ARFbig,PR_ARFbigRate,IF(C308&gt;=PR_ARFage2,PR_ARF71,PR_ARF61)),0)</f>
        <v>0.05</v>
      </c>
      <c r="AB308" s="20" t="n">
        <f aca="false">IF(AS_DrawRule="min",Z308*AA308,IF(AS_DrawRule="fixed",MAX(AS_DrawFixed*E308,Z308*AA308),Z308*MAX(1/MAX(1,AS_End-C308+1),AA308)))</f>
        <v>0</v>
      </c>
      <c r="AC308" s="20" t="n">
        <f aca="false">IF(AND(G308=0,C308&gt;=F_V),MIN(Z308,AB308),0)</f>
        <v>0</v>
      </c>
      <c r="AD308" s="20" t="n">
        <f aca="false">IF(G308=1,S308*(1+F_PenG)+Q308,IF(C308&lt;F_V,S308*(1+F_PenG),(Z308-AC308)*(1+AS_PenRet)))</f>
        <v>0</v>
      </c>
      <c r="AE308" s="20" t="n">
        <f aca="false">IF(C308&gt;=PR_SPage,AS_SP*F_SpF*I308+IF(AND(C308&gt;=PR_Over80Age,F_SpF&gt;0),PR_Over80*PR_Weeks*I308,0),0)</f>
        <v>69629.9324765602</v>
      </c>
      <c r="AF308" s="20" t="n">
        <f aca="false">(F_OtherM+F_RentM)*12*E308+IF(AND(In_polInc&gt;0,In_polIncAge&gt;0,C308&gt;=In_polIncAge),In_polInc,0)</f>
        <v>0</v>
      </c>
      <c r="AG308" s="20" t="n">
        <f aca="false">F_PAge+B308</f>
        <v>111</v>
      </c>
      <c r="AH308" s="20" t="n">
        <f aca="false">IF(AND(F_Partner=1,F_PAge&gt;0,AG308&lt;IF(F_PRet&gt;0,F_PRet,PR_SPage)),F_PIncome*F308,0)</f>
        <v>0</v>
      </c>
      <c r="AI308" s="20" t="n">
        <f aca="false">IF(AND(F_Partner=1,AG308&gt;=PR_SPage,F_PSpQA=0),AS_SP*F_PSpF*I308,0)</f>
        <v>53902.9777956275</v>
      </c>
      <c r="AJ308" s="20" t="n">
        <f aca="false">IF(AND(F_Partner=1,F_PSpQA=1,C308&gt;=PR_SPage,AH308=0),IF(AG308&gt;=PR_SPage,PR_QA66,PR_QAunder)*PR_Weeks*I308,0)</f>
        <v>0</v>
      </c>
      <c r="AK308" s="20" t="n">
        <f aca="false">AE308+AJ308</f>
        <v>69629.9324765602</v>
      </c>
      <c r="AL308" s="20" t="n">
        <f aca="false">K308/H308</f>
        <v>0</v>
      </c>
      <c r="AM308" s="20" t="n">
        <f aca="false">AK308/H308</f>
        <v>16083.6</v>
      </c>
      <c r="AN308" s="20" t="n">
        <f aca="false">AC308/H308</f>
        <v>0</v>
      </c>
      <c r="AO308" s="20" t="n">
        <f aca="false">AF308/H308</f>
        <v>0</v>
      </c>
      <c r="AP308" s="20" t="n">
        <f aca="false">O308/H308</f>
        <v>0</v>
      </c>
      <c r="AQ308" s="20" t="n">
        <f aca="false">AH308/H308</f>
        <v>0</v>
      </c>
      <c r="AR308" s="20" t="n">
        <f aca="false">AI308/H308</f>
        <v>12450.88</v>
      </c>
      <c r="AS308" s="20" t="n">
        <f aca="false">MAX(0,AL308+AN308+AO308+AM308-AP308)</f>
        <v>16083.6</v>
      </c>
      <c r="AT308" s="20" t="n">
        <f aca="false">MAX(0,AQ308+AR308)</f>
        <v>12450.88</v>
      </c>
      <c r="AU308" s="20" t="n">
        <f aca="false">MIN(PR_PAYE,PR_PAYEcap*(AL308+AN308+AM308))</f>
        <v>2000</v>
      </c>
      <c r="AV308" s="20" t="n">
        <f aca="false">MIN(PR_PAYE,PR_PAYEcap*(AQ308+AR308))</f>
        <v>2000</v>
      </c>
      <c r="AW308" s="20" t="n">
        <f aca="false">IF(C308&gt;=PR_AgeCrAge,PR_AgeCr,0)</f>
        <v>245</v>
      </c>
      <c r="AX308" s="20" t="n">
        <f aca="false">IF(AG308&gt;=PR_AgeCrAge,PR_AgeCr,0)</f>
        <v>245</v>
      </c>
      <c r="AY308" s="20" t="n">
        <f aca="false">IF(AND(F_RentCred=1,D308&lt;=PR_RentLast),1,0)</f>
        <v>0</v>
      </c>
      <c r="AZ308" s="20" t="n">
        <f aca="false">AS308+AT308</f>
        <v>28534.48</v>
      </c>
      <c r="BA308" s="20" t="n">
        <f aca="false">PR_PersonalM+AU308+AV308+AW308+AX308+IF(AY308=1,PR_RentJoint,0)</f>
        <v>8490</v>
      </c>
      <c r="BB308" s="20" t="n">
        <f aca="false">PR_BandM+MIN(MIN(AS308,AT308),PR_Uplift)</f>
        <v>65450.88</v>
      </c>
      <c r="BC308" s="20" t="n">
        <f aca="false">MAX(0,PR_r1*MIN(AZ308,BB308)+PR_r2*MAX(0,AZ308-BB308)-BA308)</f>
        <v>0</v>
      </c>
      <c r="BD308" s="20" t="n">
        <f aca="false">MAX(0,PR_HomeCarer-MAX(0,MIN(AS308,AT308)-PR_HCLimit)/2)</f>
        <v>0</v>
      </c>
      <c r="BE308" s="20" t="n">
        <f aca="false">IF(F_Carer=1,MIN(BC308,MAX(0,PR_r1*MIN(AZ308,PR_BandM)+PR_r2*MAX(0,AZ308-PR_BandM)-BA308-BD308)),BC308)</f>
        <v>0</v>
      </c>
      <c r="BF308" s="20" t="n">
        <f aca="false">IF(OR(C308&gt;=PR_AgeCrAge,AG308&gt;=PR_AgeCrAge),IF(AZ308&lt;=PR_AgeExM,0,MIN(BE308,PR_AgeMarg*(AZ308-PR_AgeExM))),BE308)</f>
        <v>0</v>
      </c>
      <c r="BG308" s="20" t="n">
        <f aca="false">MAX(0,PR_r1*MIN(AS308,IF(F_Spccc=1,PR_BandSPCCC,PR_Band))+PR_r2*MAX(0,AS308-IF(F_Spccc=1,PR_BandSPCCC,PR_Band))-(PR_Personal+AU308+AW308+IF(F_Spccc=1,PR_SPCCC,0)+IF(AY308=1,PR_Rent,0)))</f>
        <v>0</v>
      </c>
      <c r="BH308" s="20" t="n">
        <f aca="false">IF(C308&gt;=PR_AgeCrAge,IF(AS308&lt;=PR_AgeEx,0,MIN(BG308,PR_AgeMarg*(AS308-PR_AgeEx))),BG308)</f>
        <v>0</v>
      </c>
      <c r="BI308" s="20" t="n">
        <f aca="false">IF(F_Partner=1,MAX(0,PR_r1*MIN(AT308,PR_Band)+PR_r2*MAX(0,AT308-PR_Band)-(PR_Personal+AV308+AX308+IF(AND(AY308=1,AT308&gt;0),PR_Rent,0))),0)</f>
        <v>0</v>
      </c>
      <c r="BJ308" s="20" t="n">
        <f aca="false">IF(AG308&gt;=PR_AgeCrAge,IF(AT308&lt;=PR_AgeEx,0,MIN(BI308,PR_AgeMarg*(AT308-PR_AgeEx))),BI308)</f>
        <v>0</v>
      </c>
      <c r="BK308" s="20" t="n">
        <f aca="false">IF(F_Partner=1,IF(F_Married=1,BF308,BH308+BJ308),BH308)</f>
        <v>0</v>
      </c>
      <c r="BL308" s="20" t="n">
        <f aca="false">AL308+AN308+AO308</f>
        <v>0</v>
      </c>
      <c r="BM308" s="20"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20" t="n">
        <f aca="false">AQ308</f>
        <v>0</v>
      </c>
      <c r="BO308" s="20"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20" t="n">
        <f aca="false">IF(C308&lt;PR_PRSIend,IF(F_SelfEmp=1,IF(AL308&gt;PR_PRSIsMinInc,MAX(PR_PRSIsMin,AL308*J308),0),IF(AL308/52&lt;=PR_PRSIfree,0,MAX(0,(AL308/52*J308-IF(AL308/52&lt;=PR_PRSIcreditTo,MAX(0,PR_PRSIcreditMax-(AL308/52-(PR_PRSIfree+0.01))/PR_PRSItaper),0))*52)))+J308*AN308+IF(AO308&gt;PR_PRSIunearned,J308*AO308,0),0)+IF(AND(PRSI_ARF_Applies=1,AN308&gt;0,C308&gt;=PR_PRSIend,C308&lt;PRSI_ARF_ToAge,NOT(AK308&gt;0)),J308*AN308,0)</f>
        <v>0</v>
      </c>
      <c r="BQ308" s="20" t="n">
        <f aca="false">IF(AND(F_Partner=1,AG308&lt;PR_PRSIend),IF(AQ308/52&lt;=PR_PRSIfree,0,MAX(0,(AQ308/52*J308-IF(AQ308/52&lt;=PR_PRSIcreditTo,MAX(0,PR_PRSIcreditMax-(AQ308/52-(PR_PRSIfree+0.01))/PR_PRSItaper),0))*52)),0)</f>
        <v>0</v>
      </c>
      <c r="BR308" s="20" t="n">
        <f aca="false">BK308+BM308+BO308+BP308+BQ308</f>
        <v>0</v>
      </c>
      <c r="BS308" s="20" t="n">
        <f aca="false">BR308*H308</f>
        <v>0</v>
      </c>
      <c r="BT308" s="20" t="n">
        <f aca="false">K308+AK308+AC308+AF308+AH308+AI308</f>
        <v>123532.910272188</v>
      </c>
    </row>
    <row r="309" customFormat="false" ht="15" hidden="false" customHeight="true" outlineLevel="0" collapsed="false">
      <c r="B309" s="20" t="n">
        <v>75</v>
      </c>
      <c r="C309" s="20" t="n">
        <f aca="false">F_Age+B309</f>
        <v>113</v>
      </c>
      <c r="D309" s="20" t="n">
        <f aca="false">AS_Year0+B309</f>
        <v>2101</v>
      </c>
      <c r="E309" s="50" t="n">
        <f aca="false">(1+AS_Infl)^B309</f>
        <v>4.41583545512767</v>
      </c>
      <c r="F309" s="50" t="n">
        <f aca="false">(1+AS_Wage)^B309</f>
        <v>9.1789256676472</v>
      </c>
      <c r="G309" s="20" t="n">
        <f aca="false">IF(C309&lt;F_R,1,0)</f>
        <v>0</v>
      </c>
      <c r="H309" s="50" t="n">
        <f aca="false">IF(AS_Bands="flat",1,E309)</f>
        <v>4.41583545512767</v>
      </c>
      <c r="I309" s="50" t="n">
        <f aca="false">IF(AS_SpGrow="pay",F309,IF(AS_SpGrow="flat",1,E309))</f>
        <v>4.41583545512767</v>
      </c>
      <c r="J309" s="50" t="n">
        <f aca="false">(12*PR_PRSIr0+(PR_PRSIr1-PR_PRSIr0)*MAX(0,MIN(12,D309*12+12-PR_PRSIt1))+(PR_PRSIr2-PR_PRSIr1)*MAX(0,MIN(12,D309*12+12-PR_PRSIt2))+(PR_PRSIr3-PR_PRSIr2)*MAX(0,MIN(12,D309*12+12-PR_PRSIt3)))/12</f>
        <v>0.047</v>
      </c>
      <c r="K309" s="20" t="n">
        <f aca="false">IF(G309=1,F_Income*F309,0)</f>
        <v>0</v>
      </c>
      <c r="L309" s="20" t="n">
        <f aca="false">IF(G309=1,(F_Own+In_penExtra)*12*F309,0)</f>
        <v>0</v>
      </c>
      <c r="M309" s="20" t="n">
        <f aca="false">IF(G309=1,(F_PenM+In_penExtra)*12*F309,0)</f>
        <v>0</v>
      </c>
      <c r="N309" s="51" t="n">
        <f aca="false">IF(C309&lt;PR_RelA1,PR_RelP1,IF(C309&lt;PR_RelA2,PR_RelP2,IF(C309&lt;PR_RelA3,PR_RelP3,IF(C309&lt;PR_RelA4,PR_RelP4,IF(C309&lt;PR_RelA5,PR_RelP5,PR_RelP6)))))</f>
        <v>0.4</v>
      </c>
      <c r="O309" s="20" t="n">
        <f aca="false">IF(G309=1,MIN(L309/H309,N309*MIN(K309/H309,PR_EarnCap))*H309,0)</f>
        <v>0</v>
      </c>
      <c r="P309" s="20" t="n">
        <f aca="false">IF(AND(G309=1,F_AE=1),MIN(K309/H309,PR_AEcap)*H309,0)</f>
        <v>0</v>
      </c>
      <c r="Q309" s="20" t="n">
        <f aca="false">IF(G309=1,IF(WI_Retire=1,MAX(0,M309+WI_M*12),M309)+(PR_AEee+PR_AEer+PR_AEst)*P309,0)</f>
        <v>0</v>
      </c>
      <c r="R309" s="20" t="n">
        <f aca="false">L309+PR_AEee*P309</f>
        <v>0</v>
      </c>
      <c r="S309" s="20" t="n">
        <f aca="false">AD308</f>
        <v>0</v>
      </c>
      <c r="T309" s="20" t="n">
        <f aca="false">IF(D309&lt;=PR_SFTfrom,PR_SFT2026,IF(D309=PR_SFTfrom+1,PR_SFT2027,IF(D309=PR_SFTfrom+2,PR_SFT2028,IF(D309&lt;=PR_SFTto,PR_SFT2029,PR_SFT2029*(1+AS_Infl)^(D309-PR_SFTto)))))</f>
        <v>11651193.0501443</v>
      </c>
      <c r="U309" s="20" t="n">
        <f aca="false">IF(AND(G309=0,C309=F_V),1,0)</f>
        <v>0</v>
      </c>
      <c r="V309" s="20" t="n">
        <f aca="false">IF(U309=1,PR_SFTrate*MAX(0,S309-T309),0)</f>
        <v>0</v>
      </c>
      <c r="W309" s="20" t="n">
        <f aca="false">S309-V309</f>
        <v>0</v>
      </c>
      <c r="X309" s="20" t="n">
        <f aca="false">IF(AND(U309=1,AS_LumpPct&gt;0),W309*MIN(AS_LumpPct,PR_LSmax),0)</f>
        <v>0</v>
      </c>
      <c r="Y309" s="20" t="n">
        <f aca="false">X309-(PR_LSrate*MAX(0,MIN(X309,PR_LScap)-PR_LSfree)+PR_r2*MAX(0,X309-PR_LScap))</f>
        <v>0</v>
      </c>
      <c r="Z309" s="20" t="n">
        <f aca="false">W309-X309</f>
        <v>0</v>
      </c>
      <c r="AA309" s="51" t="n">
        <f aca="false">IF(C309&gt;=PR_ARFage1,IF(Z309&gt;PR_ARFbig,PR_ARFbigRate,IF(C309&gt;=PR_ARFage2,PR_ARF71,PR_ARF61)),0)</f>
        <v>0.05</v>
      </c>
      <c r="AB309" s="20" t="n">
        <f aca="false">IF(AS_DrawRule="min",Z309*AA309,IF(AS_DrawRule="fixed",MAX(AS_DrawFixed*E309,Z309*AA309),Z309*MAX(1/MAX(1,AS_End-C309+1),AA309)))</f>
        <v>0</v>
      </c>
      <c r="AC309" s="20" t="n">
        <f aca="false">IF(AND(G309=0,C309&gt;=F_V),MIN(Z309,AB309),0)</f>
        <v>0</v>
      </c>
      <c r="AD309" s="20" t="n">
        <f aca="false">IF(G309=1,S309*(1+F_PenG)+Q309,IF(C309&lt;F_V,S309*(1+F_PenG),(Z309-AC309)*(1+AS_PenRet)))</f>
        <v>0</v>
      </c>
      <c r="AE309" s="20" t="n">
        <f aca="false">IF(C309&gt;=PR_SPage,AS_SP*F_SpF*I309+IF(AND(C309&gt;=PR_Over80Age,F_SpF&gt;0),PR_Over80*PR_Weeks*I309,0),0)</f>
        <v>71022.5311260914</v>
      </c>
      <c r="AF309" s="20" t="n">
        <f aca="false">(F_OtherM+F_RentM)*12*E309+IF(AND(In_polInc&gt;0,In_polIncAge&gt;0,C309&gt;=In_polIncAge),In_polInc,0)</f>
        <v>0</v>
      </c>
      <c r="AG309" s="20" t="n">
        <f aca="false">F_PAge+B309</f>
        <v>112</v>
      </c>
      <c r="AH309" s="20" t="n">
        <f aca="false">IF(AND(F_Partner=1,F_PAge&gt;0,AG309&lt;IF(F_PRet&gt;0,F_PRet,PR_SPage)),F_PIncome*F309,0)</f>
        <v>0</v>
      </c>
      <c r="AI309" s="20" t="n">
        <f aca="false">IF(AND(F_Partner=1,AG309&gt;=PR_SPage,F_PSpQA=0),AS_SP*F_PSpF*I309,0)</f>
        <v>54981.03735154</v>
      </c>
      <c r="AJ309" s="20" t="n">
        <f aca="false">IF(AND(F_Partner=1,F_PSpQA=1,C309&gt;=PR_SPage,AH309=0),IF(AG309&gt;=PR_SPage,PR_QA66,PR_QAunder)*PR_Weeks*I309,0)</f>
        <v>0</v>
      </c>
      <c r="AK309" s="20" t="n">
        <f aca="false">AE309+AJ309</f>
        <v>71022.5311260914</v>
      </c>
      <c r="AL309" s="20" t="n">
        <f aca="false">K309/H309</f>
        <v>0</v>
      </c>
      <c r="AM309" s="20" t="n">
        <f aca="false">AK309/H309</f>
        <v>16083.6</v>
      </c>
      <c r="AN309" s="20" t="n">
        <f aca="false">AC309/H309</f>
        <v>0</v>
      </c>
      <c r="AO309" s="20" t="n">
        <f aca="false">AF309/H309</f>
        <v>0</v>
      </c>
      <c r="AP309" s="20" t="n">
        <f aca="false">O309/H309</f>
        <v>0</v>
      </c>
      <c r="AQ309" s="20" t="n">
        <f aca="false">AH309/H309</f>
        <v>0</v>
      </c>
      <c r="AR309" s="20" t="n">
        <f aca="false">AI309/H309</f>
        <v>12450.88</v>
      </c>
      <c r="AS309" s="20" t="n">
        <f aca="false">MAX(0,AL309+AN309+AO309+AM309-AP309)</f>
        <v>16083.6</v>
      </c>
      <c r="AT309" s="20" t="n">
        <f aca="false">MAX(0,AQ309+AR309)</f>
        <v>12450.88</v>
      </c>
      <c r="AU309" s="20" t="n">
        <f aca="false">MIN(PR_PAYE,PR_PAYEcap*(AL309+AN309+AM309))</f>
        <v>2000</v>
      </c>
      <c r="AV309" s="20" t="n">
        <f aca="false">MIN(PR_PAYE,PR_PAYEcap*(AQ309+AR309))</f>
        <v>2000</v>
      </c>
      <c r="AW309" s="20" t="n">
        <f aca="false">IF(C309&gt;=PR_AgeCrAge,PR_AgeCr,0)</f>
        <v>245</v>
      </c>
      <c r="AX309" s="20" t="n">
        <f aca="false">IF(AG309&gt;=PR_AgeCrAge,PR_AgeCr,0)</f>
        <v>245</v>
      </c>
      <c r="AY309" s="20" t="n">
        <f aca="false">IF(AND(F_RentCred=1,D309&lt;=PR_RentLast),1,0)</f>
        <v>0</v>
      </c>
      <c r="AZ309" s="20" t="n">
        <f aca="false">AS309+AT309</f>
        <v>28534.48</v>
      </c>
      <c r="BA309" s="20" t="n">
        <f aca="false">PR_PersonalM+AU309+AV309+AW309+AX309+IF(AY309=1,PR_RentJoint,0)</f>
        <v>8490</v>
      </c>
      <c r="BB309" s="20" t="n">
        <f aca="false">PR_BandM+MIN(MIN(AS309,AT309),PR_Uplift)</f>
        <v>65450.88</v>
      </c>
      <c r="BC309" s="20" t="n">
        <f aca="false">MAX(0,PR_r1*MIN(AZ309,BB309)+PR_r2*MAX(0,AZ309-BB309)-BA309)</f>
        <v>0</v>
      </c>
      <c r="BD309" s="20" t="n">
        <f aca="false">MAX(0,PR_HomeCarer-MAX(0,MIN(AS309,AT309)-PR_HCLimit)/2)</f>
        <v>0</v>
      </c>
      <c r="BE309" s="20" t="n">
        <f aca="false">IF(F_Carer=1,MIN(BC309,MAX(0,PR_r1*MIN(AZ309,PR_BandM)+PR_r2*MAX(0,AZ309-PR_BandM)-BA309-BD309)),BC309)</f>
        <v>0</v>
      </c>
      <c r="BF309" s="20" t="n">
        <f aca="false">IF(OR(C309&gt;=PR_AgeCrAge,AG309&gt;=PR_AgeCrAge),IF(AZ309&lt;=PR_AgeExM,0,MIN(BE309,PR_AgeMarg*(AZ309-PR_AgeExM))),BE309)</f>
        <v>0</v>
      </c>
      <c r="BG309" s="20" t="n">
        <f aca="false">MAX(0,PR_r1*MIN(AS309,IF(F_Spccc=1,PR_BandSPCCC,PR_Band))+PR_r2*MAX(0,AS309-IF(F_Spccc=1,PR_BandSPCCC,PR_Band))-(PR_Personal+AU309+AW309+IF(F_Spccc=1,PR_SPCCC,0)+IF(AY309=1,PR_Rent,0)))</f>
        <v>0</v>
      </c>
      <c r="BH309" s="20" t="n">
        <f aca="false">IF(C309&gt;=PR_AgeCrAge,IF(AS309&lt;=PR_AgeEx,0,MIN(BG309,PR_AgeMarg*(AS309-PR_AgeEx))),BG309)</f>
        <v>0</v>
      </c>
      <c r="BI309" s="20" t="n">
        <f aca="false">IF(F_Partner=1,MAX(0,PR_r1*MIN(AT309,PR_Band)+PR_r2*MAX(0,AT309-PR_Band)-(PR_Personal+AV309+AX309+IF(AND(AY309=1,AT309&gt;0),PR_Rent,0))),0)</f>
        <v>0</v>
      </c>
      <c r="BJ309" s="20" t="n">
        <f aca="false">IF(AG309&gt;=PR_AgeCrAge,IF(AT309&lt;=PR_AgeEx,0,MIN(BI309,PR_AgeMarg*(AT309-PR_AgeEx))),BI309)</f>
        <v>0</v>
      </c>
      <c r="BK309" s="20" t="n">
        <f aca="false">IF(F_Partner=1,IF(F_Married=1,BF309,BH309+BJ309),BH309)</f>
        <v>0</v>
      </c>
      <c r="BL309" s="20" t="n">
        <f aca="false">AL309+AN309+AO309</f>
        <v>0</v>
      </c>
      <c r="BM309" s="20"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20" t="n">
        <f aca="false">AQ309</f>
        <v>0</v>
      </c>
      <c r="BO309" s="20"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20" t="n">
        <f aca="false">IF(C309&lt;PR_PRSIend,IF(F_SelfEmp=1,IF(AL309&gt;PR_PRSIsMinInc,MAX(PR_PRSIsMin,AL309*J309),0),IF(AL309/52&lt;=PR_PRSIfree,0,MAX(0,(AL309/52*J309-IF(AL309/52&lt;=PR_PRSIcreditTo,MAX(0,PR_PRSIcreditMax-(AL309/52-(PR_PRSIfree+0.01))/PR_PRSItaper),0))*52)))+J309*AN309+IF(AO309&gt;PR_PRSIunearned,J309*AO309,0),0)+IF(AND(PRSI_ARF_Applies=1,AN309&gt;0,C309&gt;=PR_PRSIend,C309&lt;PRSI_ARF_ToAge,NOT(AK309&gt;0)),J309*AN309,0)</f>
        <v>0</v>
      </c>
      <c r="BQ309" s="20" t="n">
        <f aca="false">IF(AND(F_Partner=1,AG309&lt;PR_PRSIend),IF(AQ309/52&lt;=PR_PRSIfree,0,MAX(0,(AQ309/52*J309-IF(AQ309/52&lt;=PR_PRSIcreditTo,MAX(0,PR_PRSIcreditMax-(AQ309/52-(PR_PRSIfree+0.01))/PR_PRSItaper),0))*52)),0)</f>
        <v>0</v>
      </c>
      <c r="BR309" s="20" t="n">
        <f aca="false">BK309+BM309+BO309+BP309+BQ309</f>
        <v>0</v>
      </c>
      <c r="BS309" s="20" t="n">
        <f aca="false">BR309*H309</f>
        <v>0</v>
      </c>
      <c r="BT309" s="20" t="n">
        <f aca="false">K309+AK309+AC309+AF309+AH309+AI309</f>
        <v>126003.568477631</v>
      </c>
    </row>
    <row r="310" customFormat="false" ht="15" hidden="false" customHeight="true" outlineLevel="0" collapsed="false">
      <c r="B310" s="20" t="n">
        <v>76</v>
      </c>
      <c r="C310" s="20" t="n">
        <f aca="false">F_Age+B310</f>
        <v>114</v>
      </c>
      <c r="D310" s="20" t="n">
        <f aca="false">AS_Year0+B310</f>
        <v>2102</v>
      </c>
      <c r="E310" s="50" t="n">
        <f aca="false">(1+AS_Infl)^B310</f>
        <v>4.50415216423022</v>
      </c>
      <c r="F310" s="50" t="n">
        <f aca="false">(1+AS_Wage)^B310</f>
        <v>9.45429343767662</v>
      </c>
      <c r="G310" s="20" t="n">
        <f aca="false">IF(C310&lt;F_R,1,0)</f>
        <v>0</v>
      </c>
      <c r="H310" s="50" t="n">
        <f aca="false">IF(AS_Bands="flat",1,E310)</f>
        <v>4.50415216423022</v>
      </c>
      <c r="I310" s="50" t="n">
        <f aca="false">IF(AS_SpGrow="pay",F310,IF(AS_SpGrow="flat",1,E310))</f>
        <v>4.50415216423022</v>
      </c>
      <c r="J310" s="50" t="n">
        <f aca="false">(12*PR_PRSIr0+(PR_PRSIr1-PR_PRSIr0)*MAX(0,MIN(12,D310*12+12-PR_PRSIt1))+(PR_PRSIr2-PR_PRSIr1)*MAX(0,MIN(12,D310*12+12-PR_PRSIt2))+(PR_PRSIr3-PR_PRSIr2)*MAX(0,MIN(12,D310*12+12-PR_PRSIt3)))/12</f>
        <v>0.047</v>
      </c>
      <c r="K310" s="20" t="n">
        <f aca="false">IF(G310=1,F_Income*F310,0)</f>
        <v>0</v>
      </c>
      <c r="L310" s="20" t="n">
        <f aca="false">IF(G310=1,(F_Own+In_penExtra)*12*F310,0)</f>
        <v>0</v>
      </c>
      <c r="M310" s="20" t="n">
        <f aca="false">IF(G310=1,(F_PenM+In_penExtra)*12*F310,0)</f>
        <v>0</v>
      </c>
      <c r="N310" s="51" t="n">
        <f aca="false">IF(C310&lt;PR_RelA1,PR_RelP1,IF(C310&lt;PR_RelA2,PR_RelP2,IF(C310&lt;PR_RelA3,PR_RelP3,IF(C310&lt;PR_RelA4,PR_RelP4,IF(C310&lt;PR_RelA5,PR_RelP5,PR_RelP6)))))</f>
        <v>0.4</v>
      </c>
      <c r="O310" s="20" t="n">
        <f aca="false">IF(G310=1,MIN(L310/H310,N310*MIN(K310/H310,PR_EarnCap))*H310,0)</f>
        <v>0</v>
      </c>
      <c r="P310" s="20" t="n">
        <f aca="false">IF(AND(G310=1,F_AE=1),MIN(K310/H310,PR_AEcap)*H310,0)</f>
        <v>0</v>
      </c>
      <c r="Q310" s="20" t="n">
        <f aca="false">IF(G310=1,IF(WI_Retire=1,MAX(0,M310+WI_M*12),M310)+(PR_AEee+PR_AEer+PR_AEst)*P310,0)</f>
        <v>0</v>
      </c>
      <c r="R310" s="20" t="n">
        <f aca="false">L310+PR_AEee*P310</f>
        <v>0</v>
      </c>
      <c r="S310" s="20" t="n">
        <f aca="false">AD309</f>
        <v>0</v>
      </c>
      <c r="T310" s="20" t="n">
        <f aca="false">IF(D310&lt;=PR_SFTfrom,PR_SFT2026,IF(D310=PR_SFTfrom+1,PR_SFT2027,IF(D310=PR_SFTfrom+2,PR_SFT2028,IF(D310&lt;=PR_SFTto,PR_SFT2029,PR_SFT2029*(1+AS_Infl)^(D310-PR_SFTto)))))</f>
        <v>11884216.9111471</v>
      </c>
      <c r="U310" s="20" t="n">
        <f aca="false">IF(AND(G310=0,C310=F_V),1,0)</f>
        <v>0</v>
      </c>
      <c r="V310" s="20" t="n">
        <f aca="false">IF(U310=1,PR_SFTrate*MAX(0,S310-T310),0)</f>
        <v>0</v>
      </c>
      <c r="W310" s="20" t="n">
        <f aca="false">S310-V310</f>
        <v>0</v>
      </c>
      <c r="X310" s="20" t="n">
        <f aca="false">IF(AND(U310=1,AS_LumpPct&gt;0),W310*MIN(AS_LumpPct,PR_LSmax),0)</f>
        <v>0</v>
      </c>
      <c r="Y310" s="20" t="n">
        <f aca="false">X310-(PR_LSrate*MAX(0,MIN(X310,PR_LScap)-PR_LSfree)+PR_r2*MAX(0,X310-PR_LScap))</f>
        <v>0</v>
      </c>
      <c r="Z310" s="20" t="n">
        <f aca="false">W310-X310</f>
        <v>0</v>
      </c>
      <c r="AA310" s="51" t="n">
        <f aca="false">IF(C310&gt;=PR_ARFage1,IF(Z310&gt;PR_ARFbig,PR_ARFbigRate,IF(C310&gt;=PR_ARFage2,PR_ARF71,PR_ARF61)),0)</f>
        <v>0.05</v>
      </c>
      <c r="AB310" s="20" t="n">
        <f aca="false">IF(AS_DrawRule="min",Z310*AA310,IF(AS_DrawRule="fixed",MAX(AS_DrawFixed*E310,Z310*AA310),Z310*MAX(1/MAX(1,AS_End-C310+1),AA310)))</f>
        <v>0</v>
      </c>
      <c r="AC310" s="20" t="n">
        <f aca="false">IF(AND(G310=0,C310&gt;=F_V),MIN(Z310,AB310),0)</f>
        <v>0</v>
      </c>
      <c r="AD310" s="20" t="n">
        <f aca="false">IF(G310=1,S310*(1+F_PenG)+Q310,IF(C310&lt;F_V,S310*(1+F_PenG),(Z310-AC310)*(1+AS_PenRet)))</f>
        <v>0</v>
      </c>
      <c r="AE310" s="20" t="n">
        <f aca="false">IF(C310&gt;=PR_SPage,AS_SP*F_SpF*I310+IF(AND(C310&gt;=PR_Over80Age,F_SpF&gt;0),PR_Over80*PR_Weeks*I310,0),0)</f>
        <v>72442.9817486132</v>
      </c>
      <c r="AF310" s="20" t="n">
        <f aca="false">(F_OtherM+F_RentM)*12*E310+IF(AND(In_polInc&gt;0,In_polIncAge&gt;0,C310&gt;=In_polIncAge),In_polInc,0)</f>
        <v>0</v>
      </c>
      <c r="AG310" s="20" t="n">
        <f aca="false">F_PAge+B310</f>
        <v>113</v>
      </c>
      <c r="AH310" s="20" t="n">
        <f aca="false">IF(AND(F_Partner=1,F_PAge&gt;0,AG310&lt;IF(F_PRet&gt;0,F_PRet,PR_SPage)),F_PIncome*F310,0)</f>
        <v>0</v>
      </c>
      <c r="AI310" s="20" t="n">
        <f aca="false">IF(AND(F_Partner=1,AG310&gt;=PR_SPage,F_PSpQA=0),AS_SP*F_PSpF*I310,0)</f>
        <v>56080.6580985708</v>
      </c>
      <c r="AJ310" s="20" t="n">
        <f aca="false">IF(AND(F_Partner=1,F_PSpQA=1,C310&gt;=PR_SPage,AH310=0),IF(AG310&gt;=PR_SPage,PR_QA66,PR_QAunder)*PR_Weeks*I310,0)</f>
        <v>0</v>
      </c>
      <c r="AK310" s="20" t="n">
        <f aca="false">AE310+AJ310</f>
        <v>72442.9817486132</v>
      </c>
      <c r="AL310" s="20" t="n">
        <f aca="false">K310/H310</f>
        <v>0</v>
      </c>
      <c r="AM310" s="20" t="n">
        <f aca="false">AK310/H310</f>
        <v>16083.6</v>
      </c>
      <c r="AN310" s="20" t="n">
        <f aca="false">AC310/H310</f>
        <v>0</v>
      </c>
      <c r="AO310" s="20" t="n">
        <f aca="false">AF310/H310</f>
        <v>0</v>
      </c>
      <c r="AP310" s="20" t="n">
        <f aca="false">O310/H310</f>
        <v>0</v>
      </c>
      <c r="AQ310" s="20" t="n">
        <f aca="false">AH310/H310</f>
        <v>0</v>
      </c>
      <c r="AR310" s="20" t="n">
        <f aca="false">AI310/H310</f>
        <v>12450.88</v>
      </c>
      <c r="AS310" s="20" t="n">
        <f aca="false">MAX(0,AL310+AN310+AO310+AM310-AP310)</f>
        <v>16083.6</v>
      </c>
      <c r="AT310" s="20" t="n">
        <f aca="false">MAX(0,AQ310+AR310)</f>
        <v>12450.88</v>
      </c>
      <c r="AU310" s="20" t="n">
        <f aca="false">MIN(PR_PAYE,PR_PAYEcap*(AL310+AN310+AM310))</f>
        <v>2000</v>
      </c>
      <c r="AV310" s="20" t="n">
        <f aca="false">MIN(PR_PAYE,PR_PAYEcap*(AQ310+AR310))</f>
        <v>2000</v>
      </c>
      <c r="AW310" s="20" t="n">
        <f aca="false">IF(C310&gt;=PR_AgeCrAge,PR_AgeCr,0)</f>
        <v>245</v>
      </c>
      <c r="AX310" s="20" t="n">
        <f aca="false">IF(AG310&gt;=PR_AgeCrAge,PR_AgeCr,0)</f>
        <v>245</v>
      </c>
      <c r="AY310" s="20" t="n">
        <f aca="false">IF(AND(F_RentCred=1,D310&lt;=PR_RentLast),1,0)</f>
        <v>0</v>
      </c>
      <c r="AZ310" s="20" t="n">
        <f aca="false">AS310+AT310</f>
        <v>28534.48</v>
      </c>
      <c r="BA310" s="20" t="n">
        <f aca="false">PR_PersonalM+AU310+AV310+AW310+AX310+IF(AY310=1,PR_RentJoint,0)</f>
        <v>8490</v>
      </c>
      <c r="BB310" s="20" t="n">
        <f aca="false">PR_BandM+MIN(MIN(AS310,AT310),PR_Uplift)</f>
        <v>65450.88</v>
      </c>
      <c r="BC310" s="20" t="n">
        <f aca="false">MAX(0,PR_r1*MIN(AZ310,BB310)+PR_r2*MAX(0,AZ310-BB310)-BA310)</f>
        <v>0</v>
      </c>
      <c r="BD310" s="20" t="n">
        <f aca="false">MAX(0,PR_HomeCarer-MAX(0,MIN(AS310,AT310)-PR_HCLimit)/2)</f>
        <v>0</v>
      </c>
      <c r="BE310" s="20" t="n">
        <f aca="false">IF(F_Carer=1,MIN(BC310,MAX(0,PR_r1*MIN(AZ310,PR_BandM)+PR_r2*MAX(0,AZ310-PR_BandM)-BA310-BD310)),BC310)</f>
        <v>0</v>
      </c>
      <c r="BF310" s="20" t="n">
        <f aca="false">IF(OR(C310&gt;=PR_AgeCrAge,AG310&gt;=PR_AgeCrAge),IF(AZ310&lt;=PR_AgeExM,0,MIN(BE310,PR_AgeMarg*(AZ310-PR_AgeExM))),BE310)</f>
        <v>0</v>
      </c>
      <c r="BG310" s="20" t="n">
        <f aca="false">MAX(0,PR_r1*MIN(AS310,IF(F_Spccc=1,PR_BandSPCCC,PR_Band))+PR_r2*MAX(0,AS310-IF(F_Spccc=1,PR_BandSPCCC,PR_Band))-(PR_Personal+AU310+AW310+IF(F_Spccc=1,PR_SPCCC,0)+IF(AY310=1,PR_Rent,0)))</f>
        <v>0</v>
      </c>
      <c r="BH310" s="20" t="n">
        <f aca="false">IF(C310&gt;=PR_AgeCrAge,IF(AS310&lt;=PR_AgeEx,0,MIN(BG310,PR_AgeMarg*(AS310-PR_AgeEx))),BG310)</f>
        <v>0</v>
      </c>
      <c r="BI310" s="20" t="n">
        <f aca="false">IF(F_Partner=1,MAX(0,PR_r1*MIN(AT310,PR_Band)+PR_r2*MAX(0,AT310-PR_Band)-(PR_Personal+AV310+AX310+IF(AND(AY310=1,AT310&gt;0),PR_Rent,0))),0)</f>
        <v>0</v>
      </c>
      <c r="BJ310" s="20" t="n">
        <f aca="false">IF(AG310&gt;=PR_AgeCrAge,IF(AT310&lt;=PR_AgeEx,0,MIN(BI310,PR_AgeMarg*(AT310-PR_AgeEx))),BI310)</f>
        <v>0</v>
      </c>
      <c r="BK310" s="20" t="n">
        <f aca="false">IF(F_Partner=1,IF(F_Married=1,BF310,BH310+BJ310),BH310)</f>
        <v>0</v>
      </c>
      <c r="BL310" s="20" t="n">
        <f aca="false">AL310+AN310+AO310</f>
        <v>0</v>
      </c>
      <c r="BM310" s="20"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20" t="n">
        <f aca="false">AQ310</f>
        <v>0</v>
      </c>
      <c r="BO310" s="20"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20" t="n">
        <f aca="false">IF(C310&lt;PR_PRSIend,IF(F_SelfEmp=1,IF(AL310&gt;PR_PRSIsMinInc,MAX(PR_PRSIsMin,AL310*J310),0),IF(AL310/52&lt;=PR_PRSIfree,0,MAX(0,(AL310/52*J310-IF(AL310/52&lt;=PR_PRSIcreditTo,MAX(0,PR_PRSIcreditMax-(AL310/52-(PR_PRSIfree+0.01))/PR_PRSItaper),0))*52)))+J310*AN310+IF(AO310&gt;PR_PRSIunearned,J310*AO310,0),0)+IF(AND(PRSI_ARF_Applies=1,AN310&gt;0,C310&gt;=PR_PRSIend,C310&lt;PRSI_ARF_ToAge,NOT(AK310&gt;0)),J310*AN310,0)</f>
        <v>0</v>
      </c>
      <c r="BQ310" s="20" t="n">
        <f aca="false">IF(AND(F_Partner=1,AG310&lt;PR_PRSIend),IF(AQ310/52&lt;=PR_PRSIfree,0,MAX(0,(AQ310/52*J310-IF(AQ310/52&lt;=PR_PRSIcreditTo,MAX(0,PR_PRSIcreditMax-(AQ310/52-(PR_PRSIfree+0.01))/PR_PRSItaper),0))*52)),0)</f>
        <v>0</v>
      </c>
      <c r="BR310" s="20" t="n">
        <f aca="false">BK310+BM310+BO310+BP310+BQ310</f>
        <v>0</v>
      </c>
      <c r="BS310" s="20" t="n">
        <f aca="false">BR310*H310</f>
        <v>0</v>
      </c>
      <c r="BT310" s="20" t="n">
        <f aca="false">K310+AK310+AC310+AF310+AH310+AI310</f>
        <v>128523.639847184</v>
      </c>
    </row>
    <row r="311" customFormat="false" ht="15" hidden="false" customHeight="true" outlineLevel="0" collapsed="false">
      <c r="B311" s="20" t="n">
        <v>77</v>
      </c>
      <c r="C311" s="20" t="n">
        <f aca="false">F_Age+B311</f>
        <v>115</v>
      </c>
      <c r="D311" s="20" t="n">
        <f aca="false">AS_Year0+B311</f>
        <v>2103</v>
      </c>
      <c r="E311" s="50" t="n">
        <f aca="false">(1+AS_Infl)^B311</f>
        <v>4.59423520751483</v>
      </c>
      <c r="F311" s="50" t="n">
        <f aca="false">(1+AS_Wage)^B311</f>
        <v>9.73792224080692</v>
      </c>
      <c r="G311" s="20" t="n">
        <f aca="false">IF(C311&lt;F_R,1,0)</f>
        <v>0</v>
      </c>
      <c r="H311" s="50" t="n">
        <f aca="false">IF(AS_Bands="flat",1,E311)</f>
        <v>4.59423520751483</v>
      </c>
      <c r="I311" s="50" t="n">
        <f aca="false">IF(AS_SpGrow="pay",F311,IF(AS_SpGrow="flat",1,E311))</f>
        <v>4.59423520751483</v>
      </c>
      <c r="J311" s="50" t="n">
        <f aca="false">(12*PR_PRSIr0+(PR_PRSIr1-PR_PRSIr0)*MAX(0,MIN(12,D311*12+12-PR_PRSIt1))+(PR_PRSIr2-PR_PRSIr1)*MAX(0,MIN(12,D311*12+12-PR_PRSIt2))+(PR_PRSIr3-PR_PRSIr2)*MAX(0,MIN(12,D311*12+12-PR_PRSIt3)))/12</f>
        <v>0.047</v>
      </c>
      <c r="K311" s="20" t="n">
        <f aca="false">IF(G311=1,F_Income*F311,0)</f>
        <v>0</v>
      </c>
      <c r="L311" s="20" t="n">
        <f aca="false">IF(G311=1,(F_Own+In_penExtra)*12*F311,0)</f>
        <v>0</v>
      </c>
      <c r="M311" s="20" t="n">
        <f aca="false">IF(G311=1,(F_PenM+In_penExtra)*12*F311,0)</f>
        <v>0</v>
      </c>
      <c r="N311" s="51" t="n">
        <f aca="false">IF(C311&lt;PR_RelA1,PR_RelP1,IF(C311&lt;PR_RelA2,PR_RelP2,IF(C311&lt;PR_RelA3,PR_RelP3,IF(C311&lt;PR_RelA4,PR_RelP4,IF(C311&lt;PR_RelA5,PR_RelP5,PR_RelP6)))))</f>
        <v>0.4</v>
      </c>
      <c r="O311" s="20" t="n">
        <f aca="false">IF(G311=1,MIN(L311/H311,N311*MIN(K311/H311,PR_EarnCap))*H311,0)</f>
        <v>0</v>
      </c>
      <c r="P311" s="20" t="n">
        <f aca="false">IF(AND(G311=1,F_AE=1),MIN(K311/H311,PR_AEcap)*H311,0)</f>
        <v>0</v>
      </c>
      <c r="Q311" s="20" t="n">
        <f aca="false">IF(G311=1,IF(WI_Retire=1,MAX(0,M311+WI_M*12),M311)+(PR_AEee+PR_AEer+PR_AEst)*P311,0)</f>
        <v>0</v>
      </c>
      <c r="R311" s="20" t="n">
        <f aca="false">L311+PR_AEee*P311</f>
        <v>0</v>
      </c>
      <c r="S311" s="20" t="n">
        <f aca="false">AD310</f>
        <v>0</v>
      </c>
      <c r="T311" s="20" t="n">
        <f aca="false">IF(D311&lt;=PR_SFTfrom,PR_SFT2026,IF(D311=PR_SFTfrom+1,PR_SFT2027,IF(D311=PR_SFTfrom+2,PR_SFT2028,IF(D311&lt;=PR_SFTto,PR_SFT2029,PR_SFT2029*(1+AS_Infl)^(D311-PR_SFTto)))))</f>
        <v>12121901.2493701</v>
      </c>
      <c r="U311" s="20" t="n">
        <f aca="false">IF(AND(G311=0,C311=F_V),1,0)</f>
        <v>0</v>
      </c>
      <c r="V311" s="20" t="n">
        <f aca="false">IF(U311=1,PR_SFTrate*MAX(0,S311-T311),0)</f>
        <v>0</v>
      </c>
      <c r="W311" s="20" t="n">
        <f aca="false">S311-V311</f>
        <v>0</v>
      </c>
      <c r="X311" s="20" t="n">
        <f aca="false">IF(AND(U311=1,AS_LumpPct&gt;0),W311*MIN(AS_LumpPct,PR_LSmax),0)</f>
        <v>0</v>
      </c>
      <c r="Y311" s="20" t="n">
        <f aca="false">X311-(PR_LSrate*MAX(0,MIN(X311,PR_LScap)-PR_LSfree)+PR_r2*MAX(0,X311-PR_LScap))</f>
        <v>0</v>
      </c>
      <c r="Z311" s="20" t="n">
        <f aca="false">W311-X311</f>
        <v>0</v>
      </c>
      <c r="AA311" s="51" t="n">
        <f aca="false">IF(C311&gt;=PR_ARFage1,IF(Z311&gt;PR_ARFbig,PR_ARFbigRate,IF(C311&gt;=PR_ARFage2,PR_ARF71,PR_ARF61)),0)</f>
        <v>0.05</v>
      </c>
      <c r="AB311" s="20" t="n">
        <f aca="false">IF(AS_DrawRule="min",Z311*AA311,IF(AS_DrawRule="fixed",MAX(AS_DrawFixed*E311,Z311*AA311),Z311*MAX(1/MAX(1,AS_End-C311+1),AA311)))</f>
        <v>0</v>
      </c>
      <c r="AC311" s="20" t="n">
        <f aca="false">IF(AND(G311=0,C311&gt;=F_V),MIN(Z311,AB311),0)</f>
        <v>0</v>
      </c>
      <c r="AD311" s="20" t="n">
        <f aca="false">IF(G311=1,S311*(1+F_PenG)+Q311,IF(C311&lt;F_V,S311*(1+F_PenG),(Z311-AC311)*(1+AS_PenRet)))</f>
        <v>0</v>
      </c>
      <c r="AE311" s="20" t="n">
        <f aca="false">IF(C311&gt;=PR_SPage,AS_SP*F_SpF*I311+IF(AND(C311&gt;=PR_Over80Age,F_SpF&gt;0),PR_Over80*PR_Weeks*I311,0),0)</f>
        <v>73891.8413835855</v>
      </c>
      <c r="AF311" s="20" t="n">
        <f aca="false">(F_OtherM+F_RentM)*12*E311+IF(AND(In_polInc&gt;0,In_polIncAge&gt;0,C311&gt;=In_polIncAge),In_polInc,0)</f>
        <v>0</v>
      </c>
      <c r="AG311" s="20" t="n">
        <f aca="false">F_PAge+B311</f>
        <v>114</v>
      </c>
      <c r="AH311" s="20" t="n">
        <f aca="false">IF(AND(F_Partner=1,F_PAge&gt;0,AG311&lt;IF(F_PRet&gt;0,F_PRet,PR_SPage)),F_PIncome*F311,0)</f>
        <v>0</v>
      </c>
      <c r="AI311" s="20" t="n">
        <f aca="false">IF(AND(F_Partner=1,AG311&gt;=PR_SPage,F_PSpQA=0),AS_SP*F_PSpF*I311,0)</f>
        <v>57202.2712605422</v>
      </c>
      <c r="AJ311" s="20" t="n">
        <f aca="false">IF(AND(F_Partner=1,F_PSpQA=1,C311&gt;=PR_SPage,AH311=0),IF(AG311&gt;=PR_SPage,PR_QA66,PR_QAunder)*PR_Weeks*I311,0)</f>
        <v>0</v>
      </c>
      <c r="AK311" s="20" t="n">
        <f aca="false">AE311+AJ311</f>
        <v>73891.8413835855</v>
      </c>
      <c r="AL311" s="20" t="n">
        <f aca="false">K311/H311</f>
        <v>0</v>
      </c>
      <c r="AM311" s="20" t="n">
        <f aca="false">AK311/H311</f>
        <v>16083.6</v>
      </c>
      <c r="AN311" s="20" t="n">
        <f aca="false">AC311/H311</f>
        <v>0</v>
      </c>
      <c r="AO311" s="20" t="n">
        <f aca="false">AF311/H311</f>
        <v>0</v>
      </c>
      <c r="AP311" s="20" t="n">
        <f aca="false">O311/H311</f>
        <v>0</v>
      </c>
      <c r="AQ311" s="20" t="n">
        <f aca="false">AH311/H311</f>
        <v>0</v>
      </c>
      <c r="AR311" s="20" t="n">
        <f aca="false">AI311/H311</f>
        <v>12450.88</v>
      </c>
      <c r="AS311" s="20" t="n">
        <f aca="false">MAX(0,AL311+AN311+AO311+AM311-AP311)</f>
        <v>16083.6</v>
      </c>
      <c r="AT311" s="20" t="n">
        <f aca="false">MAX(0,AQ311+AR311)</f>
        <v>12450.88</v>
      </c>
      <c r="AU311" s="20" t="n">
        <f aca="false">MIN(PR_PAYE,PR_PAYEcap*(AL311+AN311+AM311))</f>
        <v>2000</v>
      </c>
      <c r="AV311" s="20" t="n">
        <f aca="false">MIN(PR_PAYE,PR_PAYEcap*(AQ311+AR311))</f>
        <v>2000</v>
      </c>
      <c r="AW311" s="20" t="n">
        <f aca="false">IF(C311&gt;=PR_AgeCrAge,PR_AgeCr,0)</f>
        <v>245</v>
      </c>
      <c r="AX311" s="20" t="n">
        <f aca="false">IF(AG311&gt;=PR_AgeCrAge,PR_AgeCr,0)</f>
        <v>245</v>
      </c>
      <c r="AY311" s="20" t="n">
        <f aca="false">IF(AND(F_RentCred=1,D311&lt;=PR_RentLast),1,0)</f>
        <v>0</v>
      </c>
      <c r="AZ311" s="20" t="n">
        <f aca="false">AS311+AT311</f>
        <v>28534.48</v>
      </c>
      <c r="BA311" s="20" t="n">
        <f aca="false">PR_PersonalM+AU311+AV311+AW311+AX311+IF(AY311=1,PR_RentJoint,0)</f>
        <v>8490</v>
      </c>
      <c r="BB311" s="20" t="n">
        <f aca="false">PR_BandM+MIN(MIN(AS311,AT311),PR_Uplift)</f>
        <v>65450.88</v>
      </c>
      <c r="BC311" s="20" t="n">
        <f aca="false">MAX(0,PR_r1*MIN(AZ311,BB311)+PR_r2*MAX(0,AZ311-BB311)-BA311)</f>
        <v>0</v>
      </c>
      <c r="BD311" s="20" t="n">
        <f aca="false">MAX(0,PR_HomeCarer-MAX(0,MIN(AS311,AT311)-PR_HCLimit)/2)</f>
        <v>0</v>
      </c>
      <c r="BE311" s="20" t="n">
        <f aca="false">IF(F_Carer=1,MIN(BC311,MAX(0,PR_r1*MIN(AZ311,PR_BandM)+PR_r2*MAX(0,AZ311-PR_BandM)-BA311-BD311)),BC311)</f>
        <v>0</v>
      </c>
      <c r="BF311" s="20" t="n">
        <f aca="false">IF(OR(C311&gt;=PR_AgeCrAge,AG311&gt;=PR_AgeCrAge),IF(AZ311&lt;=PR_AgeExM,0,MIN(BE311,PR_AgeMarg*(AZ311-PR_AgeExM))),BE311)</f>
        <v>0</v>
      </c>
      <c r="BG311" s="20" t="n">
        <f aca="false">MAX(0,PR_r1*MIN(AS311,IF(F_Spccc=1,PR_BandSPCCC,PR_Band))+PR_r2*MAX(0,AS311-IF(F_Spccc=1,PR_BandSPCCC,PR_Band))-(PR_Personal+AU311+AW311+IF(F_Spccc=1,PR_SPCCC,0)+IF(AY311=1,PR_Rent,0)))</f>
        <v>0</v>
      </c>
      <c r="BH311" s="20" t="n">
        <f aca="false">IF(C311&gt;=PR_AgeCrAge,IF(AS311&lt;=PR_AgeEx,0,MIN(BG311,PR_AgeMarg*(AS311-PR_AgeEx))),BG311)</f>
        <v>0</v>
      </c>
      <c r="BI311" s="20" t="n">
        <f aca="false">IF(F_Partner=1,MAX(0,PR_r1*MIN(AT311,PR_Band)+PR_r2*MAX(0,AT311-PR_Band)-(PR_Personal+AV311+AX311+IF(AND(AY311=1,AT311&gt;0),PR_Rent,0))),0)</f>
        <v>0</v>
      </c>
      <c r="BJ311" s="20" t="n">
        <f aca="false">IF(AG311&gt;=PR_AgeCrAge,IF(AT311&lt;=PR_AgeEx,0,MIN(BI311,PR_AgeMarg*(AT311-PR_AgeEx))),BI311)</f>
        <v>0</v>
      </c>
      <c r="BK311" s="20" t="n">
        <f aca="false">IF(F_Partner=1,IF(F_Married=1,BF311,BH311+BJ311),BH311)</f>
        <v>0</v>
      </c>
      <c r="BL311" s="20" t="n">
        <f aca="false">AL311+AN311+AO311</f>
        <v>0</v>
      </c>
      <c r="BM311" s="20"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20" t="n">
        <f aca="false">AQ311</f>
        <v>0</v>
      </c>
      <c r="BO311" s="20"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20" t="n">
        <f aca="false">IF(C311&lt;PR_PRSIend,IF(F_SelfEmp=1,IF(AL311&gt;PR_PRSIsMinInc,MAX(PR_PRSIsMin,AL311*J311),0),IF(AL311/52&lt;=PR_PRSIfree,0,MAX(0,(AL311/52*J311-IF(AL311/52&lt;=PR_PRSIcreditTo,MAX(0,PR_PRSIcreditMax-(AL311/52-(PR_PRSIfree+0.01))/PR_PRSItaper),0))*52)))+J311*AN311+IF(AO311&gt;PR_PRSIunearned,J311*AO311,0),0)+IF(AND(PRSI_ARF_Applies=1,AN311&gt;0,C311&gt;=PR_PRSIend,C311&lt;PRSI_ARF_ToAge,NOT(AK311&gt;0)),J311*AN311,0)</f>
        <v>0</v>
      </c>
      <c r="BQ311" s="20" t="n">
        <f aca="false">IF(AND(F_Partner=1,AG311&lt;PR_PRSIend),IF(AQ311/52&lt;=PR_PRSIfree,0,MAX(0,(AQ311/52*J311-IF(AQ311/52&lt;=PR_PRSIcreditTo,MAX(0,PR_PRSIcreditMax-(AQ311/52-(PR_PRSIfree+0.01))/PR_PRSItaper),0))*52)),0)</f>
        <v>0</v>
      </c>
      <c r="BR311" s="20" t="n">
        <f aca="false">BK311+BM311+BO311+BP311+BQ311</f>
        <v>0</v>
      </c>
      <c r="BS311" s="20" t="n">
        <f aca="false">BR311*H311</f>
        <v>0</v>
      </c>
      <c r="BT311" s="20" t="n">
        <f aca="false">K311+AK311+AC311+AF311+AH311+AI311</f>
        <v>131094.112644128</v>
      </c>
    </row>
    <row r="312" customFormat="false" ht="15" hidden="false" customHeight="true" outlineLevel="0" collapsed="false">
      <c r="B312" s="20" t="n">
        <v>78</v>
      </c>
      <c r="C312" s="20" t="n">
        <f aca="false">F_Age+B312</f>
        <v>116</v>
      </c>
      <c r="D312" s="20" t="n">
        <f aca="false">AS_Year0+B312</f>
        <v>2104</v>
      </c>
      <c r="E312" s="50" t="n">
        <f aca="false">(1+AS_Infl)^B312</f>
        <v>4.68611991166513</v>
      </c>
      <c r="F312" s="50" t="n">
        <f aca="false">(1+AS_Wage)^B312</f>
        <v>10.0300599080311</v>
      </c>
      <c r="G312" s="20" t="n">
        <f aca="false">IF(C312&lt;F_R,1,0)</f>
        <v>0</v>
      </c>
      <c r="H312" s="50" t="n">
        <f aca="false">IF(AS_Bands="flat",1,E312)</f>
        <v>4.68611991166513</v>
      </c>
      <c r="I312" s="50" t="n">
        <f aca="false">IF(AS_SpGrow="pay",F312,IF(AS_SpGrow="flat",1,E312))</f>
        <v>4.68611991166513</v>
      </c>
      <c r="J312" s="50" t="n">
        <f aca="false">(12*PR_PRSIr0+(PR_PRSIr1-PR_PRSIr0)*MAX(0,MIN(12,D312*12+12-PR_PRSIt1))+(PR_PRSIr2-PR_PRSIr1)*MAX(0,MIN(12,D312*12+12-PR_PRSIt2))+(PR_PRSIr3-PR_PRSIr2)*MAX(0,MIN(12,D312*12+12-PR_PRSIt3)))/12</f>
        <v>0.047</v>
      </c>
      <c r="K312" s="20" t="n">
        <f aca="false">IF(G312=1,F_Income*F312,0)</f>
        <v>0</v>
      </c>
      <c r="L312" s="20" t="n">
        <f aca="false">IF(G312=1,(F_Own+In_penExtra)*12*F312,0)</f>
        <v>0</v>
      </c>
      <c r="M312" s="20" t="n">
        <f aca="false">IF(G312=1,(F_PenM+In_penExtra)*12*F312,0)</f>
        <v>0</v>
      </c>
      <c r="N312" s="51" t="n">
        <f aca="false">IF(C312&lt;PR_RelA1,PR_RelP1,IF(C312&lt;PR_RelA2,PR_RelP2,IF(C312&lt;PR_RelA3,PR_RelP3,IF(C312&lt;PR_RelA4,PR_RelP4,IF(C312&lt;PR_RelA5,PR_RelP5,PR_RelP6)))))</f>
        <v>0.4</v>
      </c>
      <c r="O312" s="20" t="n">
        <f aca="false">IF(G312=1,MIN(L312/H312,N312*MIN(K312/H312,PR_EarnCap))*H312,0)</f>
        <v>0</v>
      </c>
      <c r="P312" s="20" t="n">
        <f aca="false">IF(AND(G312=1,F_AE=1),MIN(K312/H312,PR_AEcap)*H312,0)</f>
        <v>0</v>
      </c>
      <c r="Q312" s="20" t="n">
        <f aca="false">IF(G312=1,IF(WI_Retire=1,MAX(0,M312+WI_M*12),M312)+(PR_AEee+PR_AEer+PR_AEst)*P312,0)</f>
        <v>0</v>
      </c>
      <c r="R312" s="20" t="n">
        <f aca="false">L312+PR_AEee*P312</f>
        <v>0</v>
      </c>
      <c r="S312" s="20" t="n">
        <f aca="false">AD311</f>
        <v>0</v>
      </c>
      <c r="T312" s="20" t="n">
        <f aca="false">IF(D312&lt;=PR_SFTfrom,PR_SFT2026,IF(D312=PR_SFTfrom+1,PR_SFT2027,IF(D312=PR_SFTfrom+2,PR_SFT2028,IF(D312&lt;=PR_SFTto,PR_SFT2029,PR_SFT2029*(1+AS_Infl)^(D312-PR_SFTto)))))</f>
        <v>12364339.2743575</v>
      </c>
      <c r="U312" s="20" t="n">
        <f aca="false">IF(AND(G312=0,C312=F_V),1,0)</f>
        <v>0</v>
      </c>
      <c r="V312" s="20" t="n">
        <f aca="false">IF(U312=1,PR_SFTrate*MAX(0,S312-T312),0)</f>
        <v>0</v>
      </c>
      <c r="W312" s="20" t="n">
        <f aca="false">S312-V312</f>
        <v>0</v>
      </c>
      <c r="X312" s="20" t="n">
        <f aca="false">IF(AND(U312=1,AS_LumpPct&gt;0),W312*MIN(AS_LumpPct,PR_LSmax),0)</f>
        <v>0</v>
      </c>
      <c r="Y312" s="20" t="n">
        <f aca="false">X312-(PR_LSrate*MAX(0,MIN(X312,PR_LScap)-PR_LSfree)+PR_r2*MAX(0,X312-PR_LScap))</f>
        <v>0</v>
      </c>
      <c r="Z312" s="20" t="n">
        <f aca="false">W312-X312</f>
        <v>0</v>
      </c>
      <c r="AA312" s="51" t="n">
        <f aca="false">IF(C312&gt;=PR_ARFage1,IF(Z312&gt;PR_ARFbig,PR_ARFbigRate,IF(C312&gt;=PR_ARFage2,PR_ARF71,PR_ARF61)),0)</f>
        <v>0.05</v>
      </c>
      <c r="AB312" s="20" t="n">
        <f aca="false">IF(AS_DrawRule="min",Z312*AA312,IF(AS_DrawRule="fixed",MAX(AS_DrawFixed*E312,Z312*AA312),Z312*MAX(1/MAX(1,AS_End-C312+1),AA312)))</f>
        <v>0</v>
      </c>
      <c r="AC312" s="20" t="n">
        <f aca="false">IF(AND(G312=0,C312&gt;=F_V),MIN(Z312,AB312),0)</f>
        <v>0</v>
      </c>
      <c r="AD312" s="20" t="n">
        <f aca="false">IF(G312=1,S312*(1+F_PenG)+Q312,IF(C312&lt;F_V,S312*(1+F_PenG),(Z312-AC312)*(1+AS_PenRet)))</f>
        <v>0</v>
      </c>
      <c r="AE312" s="20" t="n">
        <f aca="false">IF(C312&gt;=PR_SPage,AS_SP*F_SpF*I312+IF(AND(C312&gt;=PR_Over80Age,F_SpF&gt;0),PR_Over80*PR_Weeks*I312,0),0)</f>
        <v>75369.6782112572</v>
      </c>
      <c r="AF312" s="20" t="n">
        <f aca="false">(F_OtherM+F_RentM)*12*E312+IF(AND(In_polInc&gt;0,In_polIncAge&gt;0,C312&gt;=In_polIncAge),In_polInc,0)</f>
        <v>0</v>
      </c>
      <c r="AG312" s="20" t="n">
        <f aca="false">F_PAge+B312</f>
        <v>115</v>
      </c>
      <c r="AH312" s="20" t="n">
        <f aca="false">IF(AND(F_Partner=1,F_PAge&gt;0,AG312&lt;IF(F_PRet&gt;0,F_PRet,PR_SPage)),F_PIncome*F312,0)</f>
        <v>0</v>
      </c>
      <c r="AI312" s="20" t="n">
        <f aca="false">IF(AND(F_Partner=1,AG312&gt;=PR_SPage,F_PSpQA=0),AS_SP*F_PSpF*I312,0)</f>
        <v>58346.3166857531</v>
      </c>
      <c r="AJ312" s="20" t="n">
        <f aca="false">IF(AND(F_Partner=1,F_PSpQA=1,C312&gt;=PR_SPage,AH312=0),IF(AG312&gt;=PR_SPage,PR_QA66,PR_QAunder)*PR_Weeks*I312,0)</f>
        <v>0</v>
      </c>
      <c r="AK312" s="20" t="n">
        <f aca="false">AE312+AJ312</f>
        <v>75369.6782112572</v>
      </c>
      <c r="AL312" s="20" t="n">
        <f aca="false">K312/H312</f>
        <v>0</v>
      </c>
      <c r="AM312" s="20" t="n">
        <f aca="false">AK312/H312</f>
        <v>16083.6</v>
      </c>
      <c r="AN312" s="20" t="n">
        <f aca="false">AC312/H312</f>
        <v>0</v>
      </c>
      <c r="AO312" s="20" t="n">
        <f aca="false">AF312/H312</f>
        <v>0</v>
      </c>
      <c r="AP312" s="20" t="n">
        <f aca="false">O312/H312</f>
        <v>0</v>
      </c>
      <c r="AQ312" s="20" t="n">
        <f aca="false">AH312/H312</f>
        <v>0</v>
      </c>
      <c r="AR312" s="20" t="n">
        <f aca="false">AI312/H312</f>
        <v>12450.88</v>
      </c>
      <c r="AS312" s="20" t="n">
        <f aca="false">MAX(0,AL312+AN312+AO312+AM312-AP312)</f>
        <v>16083.6</v>
      </c>
      <c r="AT312" s="20" t="n">
        <f aca="false">MAX(0,AQ312+AR312)</f>
        <v>12450.88</v>
      </c>
      <c r="AU312" s="20" t="n">
        <f aca="false">MIN(PR_PAYE,PR_PAYEcap*(AL312+AN312+AM312))</f>
        <v>2000</v>
      </c>
      <c r="AV312" s="20" t="n">
        <f aca="false">MIN(PR_PAYE,PR_PAYEcap*(AQ312+AR312))</f>
        <v>2000</v>
      </c>
      <c r="AW312" s="20" t="n">
        <f aca="false">IF(C312&gt;=PR_AgeCrAge,PR_AgeCr,0)</f>
        <v>245</v>
      </c>
      <c r="AX312" s="20" t="n">
        <f aca="false">IF(AG312&gt;=PR_AgeCrAge,PR_AgeCr,0)</f>
        <v>245</v>
      </c>
      <c r="AY312" s="20" t="n">
        <f aca="false">IF(AND(F_RentCred=1,D312&lt;=PR_RentLast),1,0)</f>
        <v>0</v>
      </c>
      <c r="AZ312" s="20" t="n">
        <f aca="false">AS312+AT312</f>
        <v>28534.48</v>
      </c>
      <c r="BA312" s="20" t="n">
        <f aca="false">PR_PersonalM+AU312+AV312+AW312+AX312+IF(AY312=1,PR_RentJoint,0)</f>
        <v>8490</v>
      </c>
      <c r="BB312" s="20" t="n">
        <f aca="false">PR_BandM+MIN(MIN(AS312,AT312),PR_Uplift)</f>
        <v>65450.88</v>
      </c>
      <c r="BC312" s="20" t="n">
        <f aca="false">MAX(0,PR_r1*MIN(AZ312,BB312)+PR_r2*MAX(0,AZ312-BB312)-BA312)</f>
        <v>0</v>
      </c>
      <c r="BD312" s="20" t="n">
        <f aca="false">MAX(0,PR_HomeCarer-MAX(0,MIN(AS312,AT312)-PR_HCLimit)/2)</f>
        <v>0</v>
      </c>
      <c r="BE312" s="20" t="n">
        <f aca="false">IF(F_Carer=1,MIN(BC312,MAX(0,PR_r1*MIN(AZ312,PR_BandM)+PR_r2*MAX(0,AZ312-PR_BandM)-BA312-BD312)),BC312)</f>
        <v>0</v>
      </c>
      <c r="BF312" s="20" t="n">
        <f aca="false">IF(OR(C312&gt;=PR_AgeCrAge,AG312&gt;=PR_AgeCrAge),IF(AZ312&lt;=PR_AgeExM,0,MIN(BE312,PR_AgeMarg*(AZ312-PR_AgeExM))),BE312)</f>
        <v>0</v>
      </c>
      <c r="BG312" s="20" t="n">
        <f aca="false">MAX(0,PR_r1*MIN(AS312,IF(F_Spccc=1,PR_BandSPCCC,PR_Band))+PR_r2*MAX(0,AS312-IF(F_Spccc=1,PR_BandSPCCC,PR_Band))-(PR_Personal+AU312+AW312+IF(F_Spccc=1,PR_SPCCC,0)+IF(AY312=1,PR_Rent,0)))</f>
        <v>0</v>
      </c>
      <c r="BH312" s="20" t="n">
        <f aca="false">IF(C312&gt;=PR_AgeCrAge,IF(AS312&lt;=PR_AgeEx,0,MIN(BG312,PR_AgeMarg*(AS312-PR_AgeEx))),BG312)</f>
        <v>0</v>
      </c>
      <c r="BI312" s="20" t="n">
        <f aca="false">IF(F_Partner=1,MAX(0,PR_r1*MIN(AT312,PR_Band)+PR_r2*MAX(0,AT312-PR_Band)-(PR_Personal+AV312+AX312+IF(AND(AY312=1,AT312&gt;0),PR_Rent,0))),0)</f>
        <v>0</v>
      </c>
      <c r="BJ312" s="20" t="n">
        <f aca="false">IF(AG312&gt;=PR_AgeCrAge,IF(AT312&lt;=PR_AgeEx,0,MIN(BI312,PR_AgeMarg*(AT312-PR_AgeEx))),BI312)</f>
        <v>0</v>
      </c>
      <c r="BK312" s="20" t="n">
        <f aca="false">IF(F_Partner=1,IF(F_Married=1,BF312,BH312+BJ312),BH312)</f>
        <v>0</v>
      </c>
      <c r="BL312" s="20" t="n">
        <f aca="false">AL312+AN312+AO312</f>
        <v>0</v>
      </c>
      <c r="BM312" s="20"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20" t="n">
        <f aca="false">AQ312</f>
        <v>0</v>
      </c>
      <c r="BO312" s="20"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20" t="n">
        <f aca="false">IF(C312&lt;PR_PRSIend,IF(F_SelfEmp=1,IF(AL312&gt;PR_PRSIsMinInc,MAX(PR_PRSIsMin,AL312*J312),0),IF(AL312/52&lt;=PR_PRSIfree,0,MAX(0,(AL312/52*J312-IF(AL312/52&lt;=PR_PRSIcreditTo,MAX(0,PR_PRSIcreditMax-(AL312/52-(PR_PRSIfree+0.01))/PR_PRSItaper),0))*52)))+J312*AN312+IF(AO312&gt;PR_PRSIunearned,J312*AO312,0),0)+IF(AND(PRSI_ARF_Applies=1,AN312&gt;0,C312&gt;=PR_PRSIend,C312&lt;PRSI_ARF_ToAge,NOT(AK312&gt;0)),J312*AN312,0)</f>
        <v>0</v>
      </c>
      <c r="BQ312" s="20" t="n">
        <f aca="false">IF(AND(F_Partner=1,AG312&lt;PR_PRSIend),IF(AQ312/52&lt;=PR_PRSIfree,0,MAX(0,(AQ312/52*J312-IF(AQ312/52&lt;=PR_PRSIcreditTo,MAX(0,PR_PRSIcreditMax-(AQ312/52-(PR_PRSIfree+0.01))/PR_PRSItaper),0))*52)),0)</f>
        <v>0</v>
      </c>
      <c r="BR312" s="20" t="n">
        <f aca="false">BK312+BM312+BO312+BP312+BQ312</f>
        <v>0</v>
      </c>
      <c r="BS312" s="20" t="n">
        <f aca="false">BR312*H312</f>
        <v>0</v>
      </c>
      <c r="BT312" s="20" t="n">
        <f aca="false">K312+AK312+AC312+AF312+AH312+AI312</f>
        <v>133715.99489701</v>
      </c>
    </row>
    <row r="313" customFormat="false" ht="15" hidden="false" customHeight="true" outlineLevel="0" collapsed="false">
      <c r="B313" s="20" t="n">
        <v>79</v>
      </c>
      <c r="C313" s="20" t="n">
        <f aca="false">F_Age+B313</f>
        <v>117</v>
      </c>
      <c r="D313" s="20" t="n">
        <f aca="false">AS_Year0+B313</f>
        <v>2105</v>
      </c>
      <c r="E313" s="50" t="n">
        <f aca="false">(1+AS_Infl)^B313</f>
        <v>4.77984230989843</v>
      </c>
      <c r="F313" s="50" t="n">
        <f aca="false">(1+AS_Wage)^B313</f>
        <v>10.3309617052721</v>
      </c>
      <c r="G313" s="20" t="n">
        <f aca="false">IF(C313&lt;F_R,1,0)</f>
        <v>0</v>
      </c>
      <c r="H313" s="50" t="n">
        <f aca="false">IF(AS_Bands="flat",1,E313)</f>
        <v>4.77984230989843</v>
      </c>
      <c r="I313" s="50" t="n">
        <f aca="false">IF(AS_SpGrow="pay",F313,IF(AS_SpGrow="flat",1,E313))</f>
        <v>4.77984230989843</v>
      </c>
      <c r="J313" s="50" t="n">
        <f aca="false">(12*PR_PRSIr0+(PR_PRSIr1-PR_PRSIr0)*MAX(0,MIN(12,D313*12+12-PR_PRSIt1))+(PR_PRSIr2-PR_PRSIr1)*MAX(0,MIN(12,D313*12+12-PR_PRSIt2))+(PR_PRSIr3-PR_PRSIr2)*MAX(0,MIN(12,D313*12+12-PR_PRSIt3)))/12</f>
        <v>0.047</v>
      </c>
      <c r="K313" s="20" t="n">
        <f aca="false">IF(G313=1,F_Income*F313,0)</f>
        <v>0</v>
      </c>
      <c r="L313" s="20" t="n">
        <f aca="false">IF(G313=1,(F_Own+In_penExtra)*12*F313,0)</f>
        <v>0</v>
      </c>
      <c r="M313" s="20" t="n">
        <f aca="false">IF(G313=1,(F_PenM+In_penExtra)*12*F313,0)</f>
        <v>0</v>
      </c>
      <c r="N313" s="51" t="n">
        <f aca="false">IF(C313&lt;PR_RelA1,PR_RelP1,IF(C313&lt;PR_RelA2,PR_RelP2,IF(C313&lt;PR_RelA3,PR_RelP3,IF(C313&lt;PR_RelA4,PR_RelP4,IF(C313&lt;PR_RelA5,PR_RelP5,PR_RelP6)))))</f>
        <v>0.4</v>
      </c>
      <c r="O313" s="20" t="n">
        <f aca="false">IF(G313=1,MIN(L313/H313,N313*MIN(K313/H313,PR_EarnCap))*H313,0)</f>
        <v>0</v>
      </c>
      <c r="P313" s="20" t="n">
        <f aca="false">IF(AND(G313=1,F_AE=1),MIN(K313/H313,PR_AEcap)*H313,0)</f>
        <v>0</v>
      </c>
      <c r="Q313" s="20" t="n">
        <f aca="false">IF(G313=1,IF(WI_Retire=1,MAX(0,M313+WI_M*12),M313)+(PR_AEee+PR_AEer+PR_AEst)*P313,0)</f>
        <v>0</v>
      </c>
      <c r="R313" s="20" t="n">
        <f aca="false">L313+PR_AEee*P313</f>
        <v>0</v>
      </c>
      <c r="S313" s="20" t="n">
        <f aca="false">AD312</f>
        <v>0</v>
      </c>
      <c r="T313" s="20" t="n">
        <f aca="false">IF(D313&lt;=PR_SFTfrom,PR_SFT2026,IF(D313=PR_SFTfrom+1,PR_SFT2027,IF(D313=PR_SFTfrom+2,PR_SFT2028,IF(D313&lt;=PR_SFTto,PR_SFT2029,PR_SFT2029*(1+AS_Infl)^(D313-PR_SFTto)))))</f>
        <v>12611626.0598446</v>
      </c>
      <c r="U313" s="20" t="n">
        <f aca="false">IF(AND(G313=0,C313=F_V),1,0)</f>
        <v>0</v>
      </c>
      <c r="V313" s="20" t="n">
        <f aca="false">IF(U313=1,PR_SFTrate*MAX(0,S313-T313),0)</f>
        <v>0</v>
      </c>
      <c r="W313" s="20" t="n">
        <f aca="false">S313-V313</f>
        <v>0</v>
      </c>
      <c r="X313" s="20" t="n">
        <f aca="false">IF(AND(U313=1,AS_LumpPct&gt;0),W313*MIN(AS_LumpPct,PR_LSmax),0)</f>
        <v>0</v>
      </c>
      <c r="Y313" s="20" t="n">
        <f aca="false">X313-(PR_LSrate*MAX(0,MIN(X313,PR_LScap)-PR_LSfree)+PR_r2*MAX(0,X313-PR_LScap))</f>
        <v>0</v>
      </c>
      <c r="Z313" s="20" t="n">
        <f aca="false">W313-X313</f>
        <v>0</v>
      </c>
      <c r="AA313" s="51" t="n">
        <f aca="false">IF(C313&gt;=PR_ARFage1,IF(Z313&gt;PR_ARFbig,PR_ARFbigRate,IF(C313&gt;=PR_ARFage2,PR_ARF71,PR_ARF61)),0)</f>
        <v>0.05</v>
      </c>
      <c r="AB313" s="20" t="n">
        <f aca="false">IF(AS_DrawRule="min",Z313*AA313,IF(AS_DrawRule="fixed",MAX(AS_DrawFixed*E313,Z313*AA313),Z313*MAX(1/MAX(1,AS_End-C313+1),AA313)))</f>
        <v>0</v>
      </c>
      <c r="AC313" s="20" t="n">
        <f aca="false">IF(AND(G313=0,C313&gt;=F_V),MIN(Z313,AB313),0)</f>
        <v>0</v>
      </c>
      <c r="AD313" s="20" t="n">
        <f aca="false">IF(G313=1,S313*(1+F_PenG)+Q313,IF(C313&lt;F_V,S313*(1+F_PenG),(Z313-AC313)*(1+AS_PenRet)))</f>
        <v>0</v>
      </c>
      <c r="AE313" s="20" t="n">
        <f aca="false">IF(C313&gt;=PR_SPage,AS_SP*F_SpF*I313+IF(AND(C313&gt;=PR_Over80Age,F_SpF&gt;0),PR_Over80*PR_Weeks*I313,0),0)</f>
        <v>76877.0717754824</v>
      </c>
      <c r="AF313" s="20" t="n">
        <f aca="false">(F_OtherM+F_RentM)*12*E313+IF(AND(In_polInc&gt;0,In_polIncAge&gt;0,C313&gt;=In_polIncAge),In_polInc,0)</f>
        <v>0</v>
      </c>
      <c r="AG313" s="20" t="n">
        <f aca="false">F_PAge+B313</f>
        <v>116</v>
      </c>
      <c r="AH313" s="20" t="n">
        <f aca="false">IF(AND(F_Partner=1,F_PAge&gt;0,AG313&lt;IF(F_PRet&gt;0,F_PRet,PR_SPage)),F_PIncome*F313,0)</f>
        <v>0</v>
      </c>
      <c r="AI313" s="20" t="n">
        <f aca="false">IF(AND(F_Partner=1,AG313&gt;=PR_SPage,F_PSpQA=0),AS_SP*F_PSpF*I313,0)</f>
        <v>59513.2430194681</v>
      </c>
      <c r="AJ313" s="20" t="n">
        <f aca="false">IF(AND(F_Partner=1,F_PSpQA=1,C313&gt;=PR_SPage,AH313=0),IF(AG313&gt;=PR_SPage,PR_QA66,PR_QAunder)*PR_Weeks*I313,0)</f>
        <v>0</v>
      </c>
      <c r="AK313" s="20" t="n">
        <f aca="false">AE313+AJ313</f>
        <v>76877.0717754824</v>
      </c>
      <c r="AL313" s="20" t="n">
        <f aca="false">K313/H313</f>
        <v>0</v>
      </c>
      <c r="AM313" s="20" t="n">
        <f aca="false">AK313/H313</f>
        <v>16083.6</v>
      </c>
      <c r="AN313" s="20" t="n">
        <f aca="false">AC313/H313</f>
        <v>0</v>
      </c>
      <c r="AO313" s="20" t="n">
        <f aca="false">AF313/H313</f>
        <v>0</v>
      </c>
      <c r="AP313" s="20" t="n">
        <f aca="false">O313/H313</f>
        <v>0</v>
      </c>
      <c r="AQ313" s="20" t="n">
        <f aca="false">AH313/H313</f>
        <v>0</v>
      </c>
      <c r="AR313" s="20" t="n">
        <f aca="false">AI313/H313</f>
        <v>12450.88</v>
      </c>
      <c r="AS313" s="20" t="n">
        <f aca="false">MAX(0,AL313+AN313+AO313+AM313-AP313)</f>
        <v>16083.6</v>
      </c>
      <c r="AT313" s="20" t="n">
        <f aca="false">MAX(0,AQ313+AR313)</f>
        <v>12450.88</v>
      </c>
      <c r="AU313" s="20" t="n">
        <f aca="false">MIN(PR_PAYE,PR_PAYEcap*(AL313+AN313+AM313))</f>
        <v>2000</v>
      </c>
      <c r="AV313" s="20" t="n">
        <f aca="false">MIN(PR_PAYE,PR_PAYEcap*(AQ313+AR313))</f>
        <v>2000</v>
      </c>
      <c r="AW313" s="20" t="n">
        <f aca="false">IF(C313&gt;=PR_AgeCrAge,PR_AgeCr,0)</f>
        <v>245</v>
      </c>
      <c r="AX313" s="20" t="n">
        <f aca="false">IF(AG313&gt;=PR_AgeCrAge,PR_AgeCr,0)</f>
        <v>245</v>
      </c>
      <c r="AY313" s="20" t="n">
        <f aca="false">IF(AND(F_RentCred=1,D313&lt;=PR_RentLast),1,0)</f>
        <v>0</v>
      </c>
      <c r="AZ313" s="20" t="n">
        <f aca="false">AS313+AT313</f>
        <v>28534.48</v>
      </c>
      <c r="BA313" s="20" t="n">
        <f aca="false">PR_PersonalM+AU313+AV313+AW313+AX313+IF(AY313=1,PR_RentJoint,0)</f>
        <v>8490</v>
      </c>
      <c r="BB313" s="20" t="n">
        <f aca="false">PR_BandM+MIN(MIN(AS313,AT313),PR_Uplift)</f>
        <v>65450.88</v>
      </c>
      <c r="BC313" s="20" t="n">
        <f aca="false">MAX(0,PR_r1*MIN(AZ313,BB313)+PR_r2*MAX(0,AZ313-BB313)-BA313)</f>
        <v>0</v>
      </c>
      <c r="BD313" s="20" t="n">
        <f aca="false">MAX(0,PR_HomeCarer-MAX(0,MIN(AS313,AT313)-PR_HCLimit)/2)</f>
        <v>0</v>
      </c>
      <c r="BE313" s="20" t="n">
        <f aca="false">IF(F_Carer=1,MIN(BC313,MAX(0,PR_r1*MIN(AZ313,PR_BandM)+PR_r2*MAX(0,AZ313-PR_BandM)-BA313-BD313)),BC313)</f>
        <v>0</v>
      </c>
      <c r="BF313" s="20" t="n">
        <f aca="false">IF(OR(C313&gt;=PR_AgeCrAge,AG313&gt;=PR_AgeCrAge),IF(AZ313&lt;=PR_AgeExM,0,MIN(BE313,PR_AgeMarg*(AZ313-PR_AgeExM))),BE313)</f>
        <v>0</v>
      </c>
      <c r="BG313" s="20" t="n">
        <f aca="false">MAX(0,PR_r1*MIN(AS313,IF(F_Spccc=1,PR_BandSPCCC,PR_Band))+PR_r2*MAX(0,AS313-IF(F_Spccc=1,PR_BandSPCCC,PR_Band))-(PR_Personal+AU313+AW313+IF(F_Spccc=1,PR_SPCCC,0)+IF(AY313=1,PR_Rent,0)))</f>
        <v>0</v>
      </c>
      <c r="BH313" s="20" t="n">
        <f aca="false">IF(C313&gt;=PR_AgeCrAge,IF(AS313&lt;=PR_AgeEx,0,MIN(BG313,PR_AgeMarg*(AS313-PR_AgeEx))),BG313)</f>
        <v>0</v>
      </c>
      <c r="BI313" s="20" t="n">
        <f aca="false">IF(F_Partner=1,MAX(0,PR_r1*MIN(AT313,PR_Band)+PR_r2*MAX(0,AT313-PR_Band)-(PR_Personal+AV313+AX313+IF(AND(AY313=1,AT313&gt;0),PR_Rent,0))),0)</f>
        <v>0</v>
      </c>
      <c r="BJ313" s="20" t="n">
        <f aca="false">IF(AG313&gt;=PR_AgeCrAge,IF(AT313&lt;=PR_AgeEx,0,MIN(BI313,PR_AgeMarg*(AT313-PR_AgeEx))),BI313)</f>
        <v>0</v>
      </c>
      <c r="BK313" s="20" t="n">
        <f aca="false">IF(F_Partner=1,IF(F_Married=1,BF313,BH313+BJ313),BH313)</f>
        <v>0</v>
      </c>
      <c r="BL313" s="20" t="n">
        <f aca="false">AL313+AN313+AO313</f>
        <v>0</v>
      </c>
      <c r="BM313" s="20"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20" t="n">
        <f aca="false">AQ313</f>
        <v>0</v>
      </c>
      <c r="BO313" s="20"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20" t="n">
        <f aca="false">IF(C313&lt;PR_PRSIend,IF(F_SelfEmp=1,IF(AL313&gt;PR_PRSIsMinInc,MAX(PR_PRSIsMin,AL313*J313),0),IF(AL313/52&lt;=PR_PRSIfree,0,MAX(0,(AL313/52*J313-IF(AL313/52&lt;=PR_PRSIcreditTo,MAX(0,PR_PRSIcreditMax-(AL313/52-(PR_PRSIfree+0.01))/PR_PRSItaper),0))*52)))+J313*AN313+IF(AO313&gt;PR_PRSIunearned,J313*AO313,0),0)+IF(AND(PRSI_ARF_Applies=1,AN313&gt;0,C313&gt;=PR_PRSIend,C313&lt;PRSI_ARF_ToAge,NOT(AK313&gt;0)),J313*AN313,0)</f>
        <v>0</v>
      </c>
      <c r="BQ313" s="20" t="n">
        <f aca="false">IF(AND(F_Partner=1,AG313&lt;PR_PRSIend),IF(AQ313/52&lt;=PR_PRSIfree,0,MAX(0,(AQ313/52*J313-IF(AQ313/52&lt;=PR_PRSIcreditTo,MAX(0,PR_PRSIcreditMax-(AQ313/52-(PR_PRSIfree+0.01))/PR_PRSItaper),0))*52)),0)</f>
        <v>0</v>
      </c>
      <c r="BR313" s="20" t="n">
        <f aca="false">BK313+BM313+BO313+BP313+BQ313</f>
        <v>0</v>
      </c>
      <c r="BS313" s="20" t="n">
        <f aca="false">BR313*H313</f>
        <v>0</v>
      </c>
      <c r="BT313" s="20" t="n">
        <f aca="false">K313+AK313+AC313+AF313+AH313+AI313</f>
        <v>136390.31479495</v>
      </c>
    </row>
    <row r="314" customFormat="false" ht="15" hidden="false" customHeight="true" outlineLevel="0" collapsed="false">
      <c r="B314" s="20" t="n">
        <v>80</v>
      </c>
      <c r="C314" s="20" t="n">
        <f aca="false">F_Age+B314</f>
        <v>118</v>
      </c>
      <c r="D314" s="20" t="n">
        <f aca="false">AS_Year0+B314</f>
        <v>2106</v>
      </c>
      <c r="E314" s="50" t="n">
        <f aca="false">(1+AS_Infl)^B314</f>
        <v>4.8754391560964</v>
      </c>
      <c r="F314" s="50" t="n">
        <f aca="false">(1+AS_Wage)^B314</f>
        <v>10.6408905564302</v>
      </c>
      <c r="G314" s="20" t="n">
        <f aca="false">IF(C314&lt;F_R,1,0)</f>
        <v>0</v>
      </c>
      <c r="H314" s="50" t="n">
        <f aca="false">IF(AS_Bands="flat",1,E314)</f>
        <v>4.8754391560964</v>
      </c>
      <c r="I314" s="50" t="n">
        <f aca="false">IF(AS_SpGrow="pay",F314,IF(AS_SpGrow="flat",1,E314))</f>
        <v>4.8754391560964</v>
      </c>
      <c r="J314" s="50" t="n">
        <f aca="false">(12*PR_PRSIr0+(PR_PRSIr1-PR_PRSIr0)*MAX(0,MIN(12,D314*12+12-PR_PRSIt1))+(PR_PRSIr2-PR_PRSIr1)*MAX(0,MIN(12,D314*12+12-PR_PRSIt2))+(PR_PRSIr3-PR_PRSIr2)*MAX(0,MIN(12,D314*12+12-PR_PRSIt3)))/12</f>
        <v>0.047</v>
      </c>
      <c r="K314" s="20" t="n">
        <f aca="false">IF(G314=1,F_Income*F314,0)</f>
        <v>0</v>
      </c>
      <c r="L314" s="20" t="n">
        <f aca="false">IF(G314=1,(F_Own+In_penExtra)*12*F314,0)</f>
        <v>0</v>
      </c>
      <c r="M314" s="20" t="n">
        <f aca="false">IF(G314=1,(F_PenM+In_penExtra)*12*F314,0)</f>
        <v>0</v>
      </c>
      <c r="N314" s="51" t="n">
        <f aca="false">IF(C314&lt;PR_RelA1,PR_RelP1,IF(C314&lt;PR_RelA2,PR_RelP2,IF(C314&lt;PR_RelA3,PR_RelP3,IF(C314&lt;PR_RelA4,PR_RelP4,IF(C314&lt;PR_RelA5,PR_RelP5,PR_RelP6)))))</f>
        <v>0.4</v>
      </c>
      <c r="O314" s="20" t="n">
        <f aca="false">IF(G314=1,MIN(L314/H314,N314*MIN(K314/H314,PR_EarnCap))*H314,0)</f>
        <v>0</v>
      </c>
      <c r="P314" s="20" t="n">
        <f aca="false">IF(AND(G314=1,F_AE=1),MIN(K314/H314,PR_AEcap)*H314,0)</f>
        <v>0</v>
      </c>
      <c r="Q314" s="20" t="n">
        <f aca="false">IF(G314=1,IF(WI_Retire=1,MAX(0,M314+WI_M*12),M314)+(PR_AEee+PR_AEer+PR_AEst)*P314,0)</f>
        <v>0</v>
      </c>
      <c r="R314" s="20" t="n">
        <f aca="false">L314+PR_AEee*P314</f>
        <v>0</v>
      </c>
      <c r="S314" s="20" t="n">
        <f aca="false">AD313</f>
        <v>0</v>
      </c>
      <c r="T314" s="20" t="n">
        <f aca="false">IF(D314&lt;=PR_SFTfrom,PR_SFT2026,IF(D314=PR_SFTfrom+1,PR_SFT2027,IF(D314=PR_SFTfrom+2,PR_SFT2028,IF(D314&lt;=PR_SFTto,PR_SFT2029,PR_SFT2029*(1+AS_Infl)^(D314-PR_SFTto)))))</f>
        <v>12863858.5810415</v>
      </c>
      <c r="U314" s="20" t="n">
        <f aca="false">IF(AND(G314=0,C314=F_V),1,0)</f>
        <v>0</v>
      </c>
      <c r="V314" s="20" t="n">
        <f aca="false">IF(U314=1,PR_SFTrate*MAX(0,S314-T314),0)</f>
        <v>0</v>
      </c>
      <c r="W314" s="20" t="n">
        <f aca="false">S314-V314</f>
        <v>0</v>
      </c>
      <c r="X314" s="20" t="n">
        <f aca="false">IF(AND(U314=1,AS_LumpPct&gt;0),W314*MIN(AS_LumpPct,PR_LSmax),0)</f>
        <v>0</v>
      </c>
      <c r="Y314" s="20" t="n">
        <f aca="false">X314-(PR_LSrate*MAX(0,MIN(X314,PR_LScap)-PR_LSfree)+PR_r2*MAX(0,X314-PR_LScap))</f>
        <v>0</v>
      </c>
      <c r="Z314" s="20" t="n">
        <f aca="false">W314-X314</f>
        <v>0</v>
      </c>
      <c r="AA314" s="51" t="n">
        <f aca="false">IF(C314&gt;=PR_ARFage1,IF(Z314&gt;PR_ARFbig,PR_ARFbigRate,IF(C314&gt;=PR_ARFage2,PR_ARF71,PR_ARF61)),0)</f>
        <v>0.05</v>
      </c>
      <c r="AB314" s="20" t="n">
        <f aca="false">IF(AS_DrawRule="min",Z314*AA314,IF(AS_DrawRule="fixed",MAX(AS_DrawFixed*E314,Z314*AA314),Z314*MAX(1/MAX(1,AS_End-C314+1),AA314)))</f>
        <v>0</v>
      </c>
      <c r="AC314" s="20" t="n">
        <f aca="false">IF(AND(G314=0,C314&gt;=F_V),MIN(Z314,AB314),0)</f>
        <v>0</v>
      </c>
      <c r="AD314" s="20" t="n">
        <f aca="false">IF(G314=1,S314*(1+F_PenG)+Q314,IF(C314&lt;F_V,S314*(1+F_PenG),(Z314-AC314)*(1+AS_PenRet)))</f>
        <v>0</v>
      </c>
      <c r="AE314" s="20" t="n">
        <f aca="false">IF(C314&gt;=PR_SPage,AS_SP*F_SpF*I314+IF(AND(C314&gt;=PR_Over80Age,F_SpF&gt;0),PR_Over80*PR_Weeks*I314,0),0)</f>
        <v>78414.613210992</v>
      </c>
      <c r="AF314" s="20" t="n">
        <f aca="false">(F_OtherM+F_RentM)*12*E314+IF(AND(In_polInc&gt;0,In_polIncAge&gt;0,C314&gt;=In_polIncAge),In_polInc,0)</f>
        <v>0</v>
      </c>
      <c r="AG314" s="20" t="n">
        <f aca="false">F_PAge+B314</f>
        <v>117</v>
      </c>
      <c r="AH314" s="20" t="n">
        <f aca="false">IF(AND(F_Partner=1,F_PAge&gt;0,AG314&lt;IF(F_PRet&gt;0,F_PRet,PR_SPage)),F_PIncome*F314,0)</f>
        <v>0</v>
      </c>
      <c r="AI314" s="20" t="n">
        <f aca="false">IF(AND(F_Partner=1,AG314&gt;=PR_SPage,F_PSpQA=0),AS_SP*F_PSpF*I314,0)</f>
        <v>60703.5078798575</v>
      </c>
      <c r="AJ314" s="20" t="n">
        <f aca="false">IF(AND(F_Partner=1,F_PSpQA=1,C314&gt;=PR_SPage,AH314=0),IF(AG314&gt;=PR_SPage,PR_QA66,PR_QAunder)*PR_Weeks*I314,0)</f>
        <v>0</v>
      </c>
      <c r="AK314" s="20" t="n">
        <f aca="false">AE314+AJ314</f>
        <v>78414.613210992</v>
      </c>
      <c r="AL314" s="20" t="n">
        <f aca="false">K314/H314</f>
        <v>0</v>
      </c>
      <c r="AM314" s="20" t="n">
        <f aca="false">AK314/H314</f>
        <v>16083.6</v>
      </c>
      <c r="AN314" s="20" t="n">
        <f aca="false">AC314/H314</f>
        <v>0</v>
      </c>
      <c r="AO314" s="20" t="n">
        <f aca="false">AF314/H314</f>
        <v>0</v>
      </c>
      <c r="AP314" s="20" t="n">
        <f aca="false">O314/H314</f>
        <v>0</v>
      </c>
      <c r="AQ314" s="20" t="n">
        <f aca="false">AH314/H314</f>
        <v>0</v>
      </c>
      <c r="AR314" s="20" t="n">
        <f aca="false">AI314/H314</f>
        <v>12450.88</v>
      </c>
      <c r="AS314" s="20" t="n">
        <f aca="false">MAX(0,AL314+AN314+AO314+AM314-AP314)</f>
        <v>16083.6</v>
      </c>
      <c r="AT314" s="20" t="n">
        <f aca="false">MAX(0,AQ314+AR314)</f>
        <v>12450.88</v>
      </c>
      <c r="AU314" s="20" t="n">
        <f aca="false">MIN(PR_PAYE,PR_PAYEcap*(AL314+AN314+AM314))</f>
        <v>2000</v>
      </c>
      <c r="AV314" s="20" t="n">
        <f aca="false">MIN(PR_PAYE,PR_PAYEcap*(AQ314+AR314))</f>
        <v>2000</v>
      </c>
      <c r="AW314" s="20" t="n">
        <f aca="false">IF(C314&gt;=PR_AgeCrAge,PR_AgeCr,0)</f>
        <v>245</v>
      </c>
      <c r="AX314" s="20" t="n">
        <f aca="false">IF(AG314&gt;=PR_AgeCrAge,PR_AgeCr,0)</f>
        <v>245</v>
      </c>
      <c r="AY314" s="20" t="n">
        <f aca="false">IF(AND(F_RentCred=1,D314&lt;=PR_RentLast),1,0)</f>
        <v>0</v>
      </c>
      <c r="AZ314" s="20" t="n">
        <f aca="false">AS314+AT314</f>
        <v>28534.48</v>
      </c>
      <c r="BA314" s="20" t="n">
        <f aca="false">PR_PersonalM+AU314+AV314+AW314+AX314+IF(AY314=1,PR_RentJoint,0)</f>
        <v>8490</v>
      </c>
      <c r="BB314" s="20" t="n">
        <f aca="false">PR_BandM+MIN(MIN(AS314,AT314),PR_Uplift)</f>
        <v>65450.88</v>
      </c>
      <c r="BC314" s="20" t="n">
        <f aca="false">MAX(0,PR_r1*MIN(AZ314,BB314)+PR_r2*MAX(0,AZ314-BB314)-BA314)</f>
        <v>0</v>
      </c>
      <c r="BD314" s="20" t="n">
        <f aca="false">MAX(0,PR_HomeCarer-MAX(0,MIN(AS314,AT314)-PR_HCLimit)/2)</f>
        <v>0</v>
      </c>
      <c r="BE314" s="20" t="n">
        <f aca="false">IF(F_Carer=1,MIN(BC314,MAX(0,PR_r1*MIN(AZ314,PR_BandM)+PR_r2*MAX(0,AZ314-PR_BandM)-BA314-BD314)),BC314)</f>
        <v>0</v>
      </c>
      <c r="BF314" s="20" t="n">
        <f aca="false">IF(OR(C314&gt;=PR_AgeCrAge,AG314&gt;=PR_AgeCrAge),IF(AZ314&lt;=PR_AgeExM,0,MIN(BE314,PR_AgeMarg*(AZ314-PR_AgeExM))),BE314)</f>
        <v>0</v>
      </c>
      <c r="BG314" s="20" t="n">
        <f aca="false">MAX(0,PR_r1*MIN(AS314,IF(F_Spccc=1,PR_BandSPCCC,PR_Band))+PR_r2*MAX(0,AS314-IF(F_Spccc=1,PR_BandSPCCC,PR_Band))-(PR_Personal+AU314+AW314+IF(F_Spccc=1,PR_SPCCC,0)+IF(AY314=1,PR_Rent,0)))</f>
        <v>0</v>
      </c>
      <c r="BH314" s="20" t="n">
        <f aca="false">IF(C314&gt;=PR_AgeCrAge,IF(AS314&lt;=PR_AgeEx,0,MIN(BG314,PR_AgeMarg*(AS314-PR_AgeEx))),BG314)</f>
        <v>0</v>
      </c>
      <c r="BI314" s="20" t="n">
        <f aca="false">IF(F_Partner=1,MAX(0,PR_r1*MIN(AT314,PR_Band)+PR_r2*MAX(0,AT314-PR_Band)-(PR_Personal+AV314+AX314+IF(AND(AY314=1,AT314&gt;0),PR_Rent,0))),0)</f>
        <v>0</v>
      </c>
      <c r="BJ314" s="20" t="n">
        <f aca="false">IF(AG314&gt;=PR_AgeCrAge,IF(AT314&lt;=PR_AgeEx,0,MIN(BI314,PR_AgeMarg*(AT314-PR_AgeEx))),BI314)</f>
        <v>0</v>
      </c>
      <c r="BK314" s="20" t="n">
        <f aca="false">IF(F_Partner=1,IF(F_Married=1,BF314,BH314+BJ314),BH314)</f>
        <v>0</v>
      </c>
      <c r="BL314" s="20" t="n">
        <f aca="false">AL314+AN314+AO314</f>
        <v>0</v>
      </c>
      <c r="BM314" s="20"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20" t="n">
        <f aca="false">AQ314</f>
        <v>0</v>
      </c>
      <c r="BO314" s="20"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20" t="n">
        <f aca="false">IF(C314&lt;PR_PRSIend,IF(F_SelfEmp=1,IF(AL314&gt;PR_PRSIsMinInc,MAX(PR_PRSIsMin,AL314*J314),0),IF(AL314/52&lt;=PR_PRSIfree,0,MAX(0,(AL314/52*J314-IF(AL314/52&lt;=PR_PRSIcreditTo,MAX(0,PR_PRSIcreditMax-(AL314/52-(PR_PRSIfree+0.01))/PR_PRSItaper),0))*52)))+J314*AN314+IF(AO314&gt;PR_PRSIunearned,J314*AO314,0),0)+IF(AND(PRSI_ARF_Applies=1,AN314&gt;0,C314&gt;=PR_PRSIend,C314&lt;PRSI_ARF_ToAge,NOT(AK314&gt;0)),J314*AN314,0)</f>
        <v>0</v>
      </c>
      <c r="BQ314" s="20" t="n">
        <f aca="false">IF(AND(F_Partner=1,AG314&lt;PR_PRSIend),IF(AQ314/52&lt;=PR_PRSIfree,0,MAX(0,(AQ314/52*J314-IF(AQ314/52&lt;=PR_PRSIcreditTo,MAX(0,PR_PRSIcreditMax-(AQ314/52-(PR_PRSIfree+0.01))/PR_PRSItaper),0))*52)),0)</f>
        <v>0</v>
      </c>
      <c r="BR314" s="20" t="n">
        <f aca="false">BK314+BM314+BO314+BP314+BQ314</f>
        <v>0</v>
      </c>
      <c r="BS314" s="20" t="n">
        <f aca="false">BR314*H314</f>
        <v>0</v>
      </c>
      <c r="BT314" s="20" t="n">
        <f aca="false">K314+AK314+AC314+AF314+AH314+AI314</f>
        <v>139118.12109085</v>
      </c>
    </row>
    <row r="315" customFormat="false" ht="15" hidden="false" customHeight="true" outlineLevel="0" collapsed="false">
      <c r="B315" s="20" t="n">
        <v>81</v>
      </c>
      <c r="C315" s="20" t="n">
        <f aca="false">F_Age+B315</f>
        <v>119</v>
      </c>
      <c r="D315" s="20" t="n">
        <f aca="false">AS_Year0+B315</f>
        <v>2107</v>
      </c>
      <c r="E315" s="50" t="n">
        <f aca="false">(1+AS_Infl)^B315</f>
        <v>4.97294793921833</v>
      </c>
      <c r="F315" s="50" t="n">
        <f aca="false">(1+AS_Wage)^B315</f>
        <v>10.9601172731231</v>
      </c>
      <c r="G315" s="20" t="n">
        <f aca="false">IF(C315&lt;F_R,1,0)</f>
        <v>0</v>
      </c>
      <c r="H315" s="50" t="n">
        <f aca="false">IF(AS_Bands="flat",1,E315)</f>
        <v>4.97294793921833</v>
      </c>
      <c r="I315" s="50" t="n">
        <f aca="false">IF(AS_SpGrow="pay",F315,IF(AS_SpGrow="flat",1,E315))</f>
        <v>4.97294793921833</v>
      </c>
      <c r="J315" s="50" t="n">
        <f aca="false">(12*PR_PRSIr0+(PR_PRSIr1-PR_PRSIr0)*MAX(0,MIN(12,D315*12+12-PR_PRSIt1))+(PR_PRSIr2-PR_PRSIr1)*MAX(0,MIN(12,D315*12+12-PR_PRSIt2))+(PR_PRSIr3-PR_PRSIr2)*MAX(0,MIN(12,D315*12+12-PR_PRSIt3)))/12</f>
        <v>0.047</v>
      </c>
      <c r="K315" s="20" t="n">
        <f aca="false">IF(G315=1,F_Income*F315,0)</f>
        <v>0</v>
      </c>
      <c r="L315" s="20" t="n">
        <f aca="false">IF(G315=1,(F_Own+In_penExtra)*12*F315,0)</f>
        <v>0</v>
      </c>
      <c r="M315" s="20" t="n">
        <f aca="false">IF(G315=1,(F_PenM+In_penExtra)*12*F315,0)</f>
        <v>0</v>
      </c>
      <c r="N315" s="51" t="n">
        <f aca="false">IF(C315&lt;PR_RelA1,PR_RelP1,IF(C315&lt;PR_RelA2,PR_RelP2,IF(C315&lt;PR_RelA3,PR_RelP3,IF(C315&lt;PR_RelA4,PR_RelP4,IF(C315&lt;PR_RelA5,PR_RelP5,PR_RelP6)))))</f>
        <v>0.4</v>
      </c>
      <c r="O315" s="20" t="n">
        <f aca="false">IF(G315=1,MIN(L315/H315,N315*MIN(K315/H315,PR_EarnCap))*H315,0)</f>
        <v>0</v>
      </c>
      <c r="P315" s="20" t="n">
        <f aca="false">IF(AND(G315=1,F_AE=1),MIN(K315/H315,PR_AEcap)*H315,0)</f>
        <v>0</v>
      </c>
      <c r="Q315" s="20" t="n">
        <f aca="false">IF(G315=1,IF(WI_Retire=1,MAX(0,M315+WI_M*12),M315)+(PR_AEee+PR_AEer+PR_AEst)*P315,0)</f>
        <v>0</v>
      </c>
      <c r="R315" s="20" t="n">
        <f aca="false">L315+PR_AEee*P315</f>
        <v>0</v>
      </c>
      <c r="S315" s="20" t="n">
        <f aca="false">AD314</f>
        <v>0</v>
      </c>
      <c r="T315" s="20" t="n">
        <f aca="false">IF(D315&lt;=PR_SFTfrom,PR_SFT2026,IF(D315=PR_SFTfrom+1,PR_SFT2027,IF(D315=PR_SFTfrom+2,PR_SFT2028,IF(D315&lt;=PR_SFTto,PR_SFT2029,PR_SFT2029*(1+AS_Infl)^(D315-PR_SFTto)))))</f>
        <v>13121135.7526624</v>
      </c>
      <c r="U315" s="20" t="n">
        <f aca="false">IF(AND(G315=0,C315=F_V),1,0)</f>
        <v>0</v>
      </c>
      <c r="V315" s="20" t="n">
        <f aca="false">IF(U315=1,PR_SFTrate*MAX(0,S315-T315),0)</f>
        <v>0</v>
      </c>
      <c r="W315" s="20" t="n">
        <f aca="false">S315-V315</f>
        <v>0</v>
      </c>
      <c r="X315" s="20" t="n">
        <f aca="false">IF(AND(U315=1,AS_LumpPct&gt;0),W315*MIN(AS_LumpPct,PR_LSmax),0)</f>
        <v>0</v>
      </c>
      <c r="Y315" s="20" t="n">
        <f aca="false">X315-(PR_LSrate*MAX(0,MIN(X315,PR_LScap)-PR_LSfree)+PR_r2*MAX(0,X315-PR_LScap))</f>
        <v>0</v>
      </c>
      <c r="Z315" s="20" t="n">
        <f aca="false">W315-X315</f>
        <v>0</v>
      </c>
      <c r="AA315" s="51" t="n">
        <f aca="false">IF(C315&gt;=PR_ARFage1,IF(Z315&gt;PR_ARFbig,PR_ARFbigRate,IF(C315&gt;=PR_ARFage2,PR_ARF71,PR_ARF61)),0)</f>
        <v>0.05</v>
      </c>
      <c r="AB315" s="20" t="n">
        <f aca="false">IF(AS_DrawRule="min",Z315*AA315,IF(AS_DrawRule="fixed",MAX(AS_DrawFixed*E315,Z315*AA315),Z315*MAX(1/MAX(1,AS_End-C315+1),AA315)))</f>
        <v>0</v>
      </c>
      <c r="AC315" s="20" t="n">
        <f aca="false">IF(AND(G315=0,C315&gt;=F_V),MIN(Z315,AB315),0)</f>
        <v>0</v>
      </c>
      <c r="AD315" s="20" t="n">
        <f aca="false">IF(G315=1,S315*(1+F_PenG)+Q315,IF(C315&lt;F_V,S315*(1+F_PenG),(Z315-AC315)*(1+AS_PenRet)))</f>
        <v>0</v>
      </c>
      <c r="AE315" s="20" t="n">
        <f aca="false">IF(C315&gt;=PR_SPage,AS_SP*F_SpF*I315+IF(AND(C315&gt;=PR_Over80Age,F_SpF&gt;0),PR_Over80*PR_Weeks*I315,0),0)</f>
        <v>79982.9054752118</v>
      </c>
      <c r="AF315" s="20" t="n">
        <f aca="false">(F_OtherM+F_RentM)*12*E315+IF(AND(In_polInc&gt;0,In_polIncAge&gt;0,C315&gt;=In_polIncAge),In_polInc,0)</f>
        <v>0</v>
      </c>
      <c r="AG315" s="20" t="n">
        <f aca="false">F_PAge+B315</f>
        <v>118</v>
      </c>
      <c r="AH315" s="20" t="n">
        <f aca="false">IF(AND(F_Partner=1,F_PAge&gt;0,AG315&lt;IF(F_PRet&gt;0,F_PRet,PR_SPage)),F_PIncome*F315,0)</f>
        <v>0</v>
      </c>
      <c r="AI315" s="20" t="n">
        <f aca="false">IF(AND(F_Partner=1,AG315&gt;=PR_SPage,F_PSpQA=0),AS_SP*F_PSpF*I315,0)</f>
        <v>61917.5780374547</v>
      </c>
      <c r="AJ315" s="20" t="n">
        <f aca="false">IF(AND(F_Partner=1,F_PSpQA=1,C315&gt;=PR_SPage,AH315=0),IF(AG315&gt;=PR_SPage,PR_QA66,PR_QAunder)*PR_Weeks*I315,0)</f>
        <v>0</v>
      </c>
      <c r="AK315" s="20" t="n">
        <f aca="false">AE315+AJ315</f>
        <v>79982.9054752118</v>
      </c>
      <c r="AL315" s="20" t="n">
        <f aca="false">K315/H315</f>
        <v>0</v>
      </c>
      <c r="AM315" s="20" t="n">
        <f aca="false">AK315/H315</f>
        <v>16083.6</v>
      </c>
      <c r="AN315" s="20" t="n">
        <f aca="false">AC315/H315</f>
        <v>0</v>
      </c>
      <c r="AO315" s="20" t="n">
        <f aca="false">AF315/H315</f>
        <v>0</v>
      </c>
      <c r="AP315" s="20" t="n">
        <f aca="false">O315/H315</f>
        <v>0</v>
      </c>
      <c r="AQ315" s="20" t="n">
        <f aca="false">AH315/H315</f>
        <v>0</v>
      </c>
      <c r="AR315" s="20" t="n">
        <f aca="false">AI315/H315</f>
        <v>12450.88</v>
      </c>
      <c r="AS315" s="20" t="n">
        <f aca="false">MAX(0,AL315+AN315+AO315+AM315-AP315)</f>
        <v>16083.6</v>
      </c>
      <c r="AT315" s="20" t="n">
        <f aca="false">MAX(0,AQ315+AR315)</f>
        <v>12450.88</v>
      </c>
      <c r="AU315" s="20" t="n">
        <f aca="false">MIN(PR_PAYE,PR_PAYEcap*(AL315+AN315+AM315))</f>
        <v>2000</v>
      </c>
      <c r="AV315" s="20" t="n">
        <f aca="false">MIN(PR_PAYE,PR_PAYEcap*(AQ315+AR315))</f>
        <v>2000</v>
      </c>
      <c r="AW315" s="20" t="n">
        <f aca="false">IF(C315&gt;=PR_AgeCrAge,PR_AgeCr,0)</f>
        <v>245</v>
      </c>
      <c r="AX315" s="20" t="n">
        <f aca="false">IF(AG315&gt;=PR_AgeCrAge,PR_AgeCr,0)</f>
        <v>245</v>
      </c>
      <c r="AY315" s="20" t="n">
        <f aca="false">IF(AND(F_RentCred=1,D315&lt;=PR_RentLast),1,0)</f>
        <v>0</v>
      </c>
      <c r="AZ315" s="20" t="n">
        <f aca="false">AS315+AT315</f>
        <v>28534.48</v>
      </c>
      <c r="BA315" s="20" t="n">
        <f aca="false">PR_PersonalM+AU315+AV315+AW315+AX315+IF(AY315=1,PR_RentJoint,0)</f>
        <v>8490</v>
      </c>
      <c r="BB315" s="20" t="n">
        <f aca="false">PR_BandM+MIN(MIN(AS315,AT315),PR_Uplift)</f>
        <v>65450.88</v>
      </c>
      <c r="BC315" s="20" t="n">
        <f aca="false">MAX(0,PR_r1*MIN(AZ315,BB315)+PR_r2*MAX(0,AZ315-BB315)-BA315)</f>
        <v>0</v>
      </c>
      <c r="BD315" s="20" t="n">
        <f aca="false">MAX(0,PR_HomeCarer-MAX(0,MIN(AS315,AT315)-PR_HCLimit)/2)</f>
        <v>0</v>
      </c>
      <c r="BE315" s="20" t="n">
        <f aca="false">IF(F_Carer=1,MIN(BC315,MAX(0,PR_r1*MIN(AZ315,PR_BandM)+PR_r2*MAX(0,AZ315-PR_BandM)-BA315-BD315)),BC315)</f>
        <v>0</v>
      </c>
      <c r="BF315" s="20" t="n">
        <f aca="false">IF(OR(C315&gt;=PR_AgeCrAge,AG315&gt;=PR_AgeCrAge),IF(AZ315&lt;=PR_AgeExM,0,MIN(BE315,PR_AgeMarg*(AZ315-PR_AgeExM))),BE315)</f>
        <v>0</v>
      </c>
      <c r="BG315" s="20" t="n">
        <f aca="false">MAX(0,PR_r1*MIN(AS315,IF(F_Spccc=1,PR_BandSPCCC,PR_Band))+PR_r2*MAX(0,AS315-IF(F_Spccc=1,PR_BandSPCCC,PR_Band))-(PR_Personal+AU315+AW315+IF(F_Spccc=1,PR_SPCCC,0)+IF(AY315=1,PR_Rent,0)))</f>
        <v>0</v>
      </c>
      <c r="BH315" s="20" t="n">
        <f aca="false">IF(C315&gt;=PR_AgeCrAge,IF(AS315&lt;=PR_AgeEx,0,MIN(BG315,PR_AgeMarg*(AS315-PR_AgeEx))),BG315)</f>
        <v>0</v>
      </c>
      <c r="BI315" s="20" t="n">
        <f aca="false">IF(F_Partner=1,MAX(0,PR_r1*MIN(AT315,PR_Band)+PR_r2*MAX(0,AT315-PR_Band)-(PR_Personal+AV315+AX315+IF(AND(AY315=1,AT315&gt;0),PR_Rent,0))),0)</f>
        <v>0</v>
      </c>
      <c r="BJ315" s="20" t="n">
        <f aca="false">IF(AG315&gt;=PR_AgeCrAge,IF(AT315&lt;=PR_AgeEx,0,MIN(BI315,PR_AgeMarg*(AT315-PR_AgeEx))),BI315)</f>
        <v>0</v>
      </c>
      <c r="BK315" s="20" t="n">
        <f aca="false">IF(F_Partner=1,IF(F_Married=1,BF315,BH315+BJ315),BH315)</f>
        <v>0</v>
      </c>
      <c r="BL315" s="20" t="n">
        <f aca="false">AL315+AN315+AO315</f>
        <v>0</v>
      </c>
      <c r="BM315" s="20"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20" t="n">
        <f aca="false">AQ315</f>
        <v>0</v>
      </c>
      <c r="BO315" s="20"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20" t="n">
        <f aca="false">IF(C315&lt;PR_PRSIend,IF(F_SelfEmp=1,IF(AL315&gt;PR_PRSIsMinInc,MAX(PR_PRSIsMin,AL315*J315),0),IF(AL315/52&lt;=PR_PRSIfree,0,MAX(0,(AL315/52*J315-IF(AL315/52&lt;=PR_PRSIcreditTo,MAX(0,PR_PRSIcreditMax-(AL315/52-(PR_PRSIfree+0.01))/PR_PRSItaper),0))*52)))+J315*AN315+IF(AO315&gt;PR_PRSIunearned,J315*AO315,0),0)+IF(AND(PRSI_ARF_Applies=1,AN315&gt;0,C315&gt;=PR_PRSIend,C315&lt;PRSI_ARF_ToAge,NOT(AK315&gt;0)),J315*AN315,0)</f>
        <v>0</v>
      </c>
      <c r="BQ315" s="20" t="n">
        <f aca="false">IF(AND(F_Partner=1,AG315&lt;PR_PRSIend),IF(AQ315/52&lt;=PR_PRSIfree,0,MAX(0,(AQ315/52*J315-IF(AQ315/52&lt;=PR_PRSIcreditTo,MAX(0,PR_PRSIcreditMax-(AQ315/52-(PR_PRSIfree+0.01))/PR_PRSItaper),0))*52)),0)</f>
        <v>0</v>
      </c>
      <c r="BR315" s="20" t="n">
        <f aca="false">BK315+BM315+BO315+BP315+BQ315</f>
        <v>0</v>
      </c>
      <c r="BS315" s="20" t="n">
        <f aca="false">BR315*H315</f>
        <v>0</v>
      </c>
      <c r="BT315" s="20" t="n">
        <f aca="false">K315+AK315+AC315+AF315+AH315+AI315</f>
        <v>141900.483512666</v>
      </c>
    </row>
    <row r="316" customFormat="false" ht="15" hidden="false" customHeight="true" outlineLevel="0" collapsed="false">
      <c r="B316" s="20" t="n">
        <v>82</v>
      </c>
      <c r="C316" s="20" t="n">
        <f aca="false">F_Age+B316</f>
        <v>120</v>
      </c>
      <c r="D316" s="20" t="n">
        <f aca="false">AS_Year0+B316</f>
        <v>2108</v>
      </c>
      <c r="E316" s="50" t="n">
        <f aca="false">(1+AS_Infl)^B316</f>
        <v>5.07240689800269</v>
      </c>
      <c r="F316" s="50" t="n">
        <f aca="false">(1+AS_Wage)^B316</f>
        <v>11.2889207913168</v>
      </c>
      <c r="G316" s="20" t="n">
        <f aca="false">IF(C316&lt;F_R,1,0)</f>
        <v>0</v>
      </c>
      <c r="H316" s="50" t="n">
        <f aca="false">IF(AS_Bands="flat",1,E316)</f>
        <v>5.07240689800269</v>
      </c>
      <c r="I316" s="50" t="n">
        <f aca="false">IF(AS_SpGrow="pay",F316,IF(AS_SpGrow="flat",1,E316))</f>
        <v>5.07240689800269</v>
      </c>
      <c r="J316" s="50" t="n">
        <f aca="false">(12*PR_PRSIr0+(PR_PRSIr1-PR_PRSIr0)*MAX(0,MIN(12,D316*12+12-PR_PRSIt1))+(PR_PRSIr2-PR_PRSIr1)*MAX(0,MIN(12,D316*12+12-PR_PRSIt2))+(PR_PRSIr3-PR_PRSIr2)*MAX(0,MIN(12,D316*12+12-PR_PRSIt3)))/12</f>
        <v>0.047</v>
      </c>
      <c r="K316" s="20" t="n">
        <f aca="false">IF(G316=1,F_Income*F316,0)</f>
        <v>0</v>
      </c>
      <c r="L316" s="20" t="n">
        <f aca="false">IF(G316=1,(F_Own+In_penExtra)*12*F316,0)</f>
        <v>0</v>
      </c>
      <c r="M316" s="20" t="n">
        <f aca="false">IF(G316=1,(F_PenM+In_penExtra)*12*F316,0)</f>
        <v>0</v>
      </c>
      <c r="N316" s="51" t="n">
        <f aca="false">IF(C316&lt;PR_RelA1,PR_RelP1,IF(C316&lt;PR_RelA2,PR_RelP2,IF(C316&lt;PR_RelA3,PR_RelP3,IF(C316&lt;PR_RelA4,PR_RelP4,IF(C316&lt;PR_RelA5,PR_RelP5,PR_RelP6)))))</f>
        <v>0.4</v>
      </c>
      <c r="O316" s="20" t="n">
        <f aca="false">IF(G316=1,MIN(L316/H316,N316*MIN(K316/H316,PR_EarnCap))*H316,0)</f>
        <v>0</v>
      </c>
      <c r="P316" s="20" t="n">
        <f aca="false">IF(AND(G316=1,F_AE=1),MIN(K316/H316,PR_AEcap)*H316,0)</f>
        <v>0</v>
      </c>
      <c r="Q316" s="20" t="n">
        <f aca="false">IF(G316=1,IF(WI_Retire=1,MAX(0,M316+WI_M*12),M316)+(PR_AEee+PR_AEer+PR_AEst)*P316,0)</f>
        <v>0</v>
      </c>
      <c r="R316" s="20" t="n">
        <f aca="false">L316+PR_AEee*P316</f>
        <v>0</v>
      </c>
      <c r="S316" s="20" t="n">
        <f aca="false">AD315</f>
        <v>0</v>
      </c>
      <c r="T316" s="20" t="n">
        <f aca="false">IF(D316&lt;=PR_SFTfrom,PR_SFT2026,IF(D316=PR_SFTfrom+1,PR_SFT2027,IF(D316=PR_SFTfrom+2,PR_SFT2028,IF(D316&lt;=PR_SFTto,PR_SFT2029,PR_SFT2029*(1+AS_Infl)^(D316-PR_SFTto)))))</f>
        <v>13383558.4677156</v>
      </c>
      <c r="U316" s="20" t="n">
        <f aca="false">IF(AND(G316=0,C316=F_V),1,0)</f>
        <v>0</v>
      </c>
      <c r="V316" s="20" t="n">
        <f aca="false">IF(U316=1,PR_SFTrate*MAX(0,S316-T316),0)</f>
        <v>0</v>
      </c>
      <c r="W316" s="20" t="n">
        <f aca="false">S316-V316</f>
        <v>0</v>
      </c>
      <c r="X316" s="20" t="n">
        <f aca="false">IF(AND(U316=1,AS_LumpPct&gt;0),W316*MIN(AS_LumpPct,PR_LSmax),0)</f>
        <v>0</v>
      </c>
      <c r="Y316" s="20" t="n">
        <f aca="false">X316-(PR_LSrate*MAX(0,MIN(X316,PR_LScap)-PR_LSfree)+PR_r2*MAX(0,X316-PR_LScap))</f>
        <v>0</v>
      </c>
      <c r="Z316" s="20" t="n">
        <f aca="false">W316-X316</f>
        <v>0</v>
      </c>
      <c r="AA316" s="51" t="n">
        <f aca="false">IF(C316&gt;=PR_ARFage1,IF(Z316&gt;PR_ARFbig,PR_ARFbigRate,IF(C316&gt;=PR_ARFage2,PR_ARF71,PR_ARF61)),0)</f>
        <v>0.05</v>
      </c>
      <c r="AB316" s="20" t="n">
        <f aca="false">IF(AS_DrawRule="min",Z316*AA316,IF(AS_DrawRule="fixed",MAX(AS_DrawFixed*E316,Z316*AA316),Z316*MAX(1/MAX(1,AS_End-C316+1),AA316)))</f>
        <v>0</v>
      </c>
      <c r="AC316" s="20" t="n">
        <f aca="false">IF(AND(G316=0,C316&gt;=F_V),MIN(Z316,AB316),0)</f>
        <v>0</v>
      </c>
      <c r="AD316" s="20" t="n">
        <f aca="false">IF(G316=1,S316*(1+F_PenG)+Q316,IF(C316&lt;F_V,S316*(1+F_PenG),(Z316-AC316)*(1+AS_PenRet)))</f>
        <v>0</v>
      </c>
      <c r="AE316" s="20" t="n">
        <f aca="false">IF(C316&gt;=PR_SPage,AS_SP*F_SpF*I316+IF(AND(C316&gt;=PR_Over80Age,F_SpF&gt;0),PR_Over80*PR_Weeks*I316,0),0)</f>
        <v>81582.5635847161</v>
      </c>
      <c r="AF316" s="20" t="n">
        <f aca="false">(F_OtherM+F_RentM)*12*E316+IF(AND(In_polInc&gt;0,In_polIncAge&gt;0,C316&gt;=In_polIncAge),In_polInc,0)</f>
        <v>0</v>
      </c>
      <c r="AG316" s="20" t="n">
        <f aca="false">F_PAge+B316</f>
        <v>119</v>
      </c>
      <c r="AH316" s="20" t="n">
        <f aca="false">IF(AND(F_Partner=1,F_PAge&gt;0,AG316&lt;IF(F_PRet&gt;0,F_PRet,PR_SPage)),F_PIncome*F316,0)</f>
        <v>0</v>
      </c>
      <c r="AI316" s="20" t="n">
        <f aca="false">IF(AND(F_Partner=1,AG316&gt;=PR_SPage,F_PSpQA=0),AS_SP*F_PSpF*I316,0)</f>
        <v>63155.9295982037</v>
      </c>
      <c r="AJ316" s="20" t="n">
        <f aca="false">IF(AND(F_Partner=1,F_PSpQA=1,C316&gt;=PR_SPage,AH316=0),IF(AG316&gt;=PR_SPage,PR_QA66,PR_QAunder)*PR_Weeks*I316,0)</f>
        <v>0</v>
      </c>
      <c r="AK316" s="20" t="n">
        <f aca="false">AE316+AJ316</f>
        <v>81582.5635847161</v>
      </c>
      <c r="AL316" s="20" t="n">
        <f aca="false">K316/H316</f>
        <v>0</v>
      </c>
      <c r="AM316" s="20" t="n">
        <f aca="false">AK316/H316</f>
        <v>16083.6</v>
      </c>
      <c r="AN316" s="20" t="n">
        <f aca="false">AC316/H316</f>
        <v>0</v>
      </c>
      <c r="AO316" s="20" t="n">
        <f aca="false">AF316/H316</f>
        <v>0</v>
      </c>
      <c r="AP316" s="20" t="n">
        <f aca="false">O316/H316</f>
        <v>0</v>
      </c>
      <c r="AQ316" s="20" t="n">
        <f aca="false">AH316/H316</f>
        <v>0</v>
      </c>
      <c r="AR316" s="20" t="n">
        <f aca="false">AI316/H316</f>
        <v>12450.88</v>
      </c>
      <c r="AS316" s="20" t="n">
        <f aca="false">MAX(0,AL316+AN316+AO316+AM316-AP316)</f>
        <v>16083.6</v>
      </c>
      <c r="AT316" s="20" t="n">
        <f aca="false">MAX(0,AQ316+AR316)</f>
        <v>12450.88</v>
      </c>
      <c r="AU316" s="20" t="n">
        <f aca="false">MIN(PR_PAYE,PR_PAYEcap*(AL316+AN316+AM316))</f>
        <v>2000</v>
      </c>
      <c r="AV316" s="20" t="n">
        <f aca="false">MIN(PR_PAYE,PR_PAYEcap*(AQ316+AR316))</f>
        <v>2000</v>
      </c>
      <c r="AW316" s="20" t="n">
        <f aca="false">IF(C316&gt;=PR_AgeCrAge,PR_AgeCr,0)</f>
        <v>245</v>
      </c>
      <c r="AX316" s="20" t="n">
        <f aca="false">IF(AG316&gt;=PR_AgeCrAge,PR_AgeCr,0)</f>
        <v>245</v>
      </c>
      <c r="AY316" s="20" t="n">
        <f aca="false">IF(AND(F_RentCred=1,D316&lt;=PR_RentLast),1,0)</f>
        <v>0</v>
      </c>
      <c r="AZ316" s="20" t="n">
        <f aca="false">AS316+AT316</f>
        <v>28534.48</v>
      </c>
      <c r="BA316" s="20" t="n">
        <f aca="false">PR_PersonalM+AU316+AV316+AW316+AX316+IF(AY316=1,PR_RentJoint,0)</f>
        <v>8490</v>
      </c>
      <c r="BB316" s="20" t="n">
        <f aca="false">PR_BandM+MIN(MIN(AS316,AT316),PR_Uplift)</f>
        <v>65450.88</v>
      </c>
      <c r="BC316" s="20" t="n">
        <f aca="false">MAX(0,PR_r1*MIN(AZ316,BB316)+PR_r2*MAX(0,AZ316-BB316)-BA316)</f>
        <v>0</v>
      </c>
      <c r="BD316" s="20" t="n">
        <f aca="false">MAX(0,PR_HomeCarer-MAX(0,MIN(AS316,AT316)-PR_HCLimit)/2)</f>
        <v>0</v>
      </c>
      <c r="BE316" s="20" t="n">
        <f aca="false">IF(F_Carer=1,MIN(BC316,MAX(0,PR_r1*MIN(AZ316,PR_BandM)+PR_r2*MAX(0,AZ316-PR_BandM)-BA316-BD316)),BC316)</f>
        <v>0</v>
      </c>
      <c r="BF316" s="20" t="n">
        <f aca="false">IF(OR(C316&gt;=PR_AgeCrAge,AG316&gt;=PR_AgeCrAge),IF(AZ316&lt;=PR_AgeExM,0,MIN(BE316,PR_AgeMarg*(AZ316-PR_AgeExM))),BE316)</f>
        <v>0</v>
      </c>
      <c r="BG316" s="20" t="n">
        <f aca="false">MAX(0,PR_r1*MIN(AS316,IF(F_Spccc=1,PR_BandSPCCC,PR_Band))+PR_r2*MAX(0,AS316-IF(F_Spccc=1,PR_BandSPCCC,PR_Band))-(PR_Personal+AU316+AW316+IF(F_Spccc=1,PR_SPCCC,0)+IF(AY316=1,PR_Rent,0)))</f>
        <v>0</v>
      </c>
      <c r="BH316" s="20" t="n">
        <f aca="false">IF(C316&gt;=PR_AgeCrAge,IF(AS316&lt;=PR_AgeEx,0,MIN(BG316,PR_AgeMarg*(AS316-PR_AgeEx))),BG316)</f>
        <v>0</v>
      </c>
      <c r="BI316" s="20" t="n">
        <f aca="false">IF(F_Partner=1,MAX(0,PR_r1*MIN(AT316,PR_Band)+PR_r2*MAX(0,AT316-PR_Band)-(PR_Personal+AV316+AX316+IF(AND(AY316=1,AT316&gt;0),PR_Rent,0))),0)</f>
        <v>0</v>
      </c>
      <c r="BJ316" s="20" t="n">
        <f aca="false">IF(AG316&gt;=PR_AgeCrAge,IF(AT316&lt;=PR_AgeEx,0,MIN(BI316,PR_AgeMarg*(AT316-PR_AgeEx))),BI316)</f>
        <v>0</v>
      </c>
      <c r="BK316" s="20" t="n">
        <f aca="false">IF(F_Partner=1,IF(F_Married=1,BF316,BH316+BJ316),BH316)</f>
        <v>0</v>
      </c>
      <c r="BL316" s="20" t="n">
        <f aca="false">AL316+AN316+AO316</f>
        <v>0</v>
      </c>
      <c r="BM316" s="20"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20" t="n">
        <f aca="false">AQ316</f>
        <v>0</v>
      </c>
      <c r="BO316" s="20"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20" t="n">
        <f aca="false">IF(C316&lt;PR_PRSIend,IF(F_SelfEmp=1,IF(AL316&gt;PR_PRSIsMinInc,MAX(PR_PRSIsMin,AL316*J316),0),IF(AL316/52&lt;=PR_PRSIfree,0,MAX(0,(AL316/52*J316-IF(AL316/52&lt;=PR_PRSIcreditTo,MAX(0,PR_PRSIcreditMax-(AL316/52-(PR_PRSIfree+0.01))/PR_PRSItaper),0))*52)))+J316*AN316+IF(AO316&gt;PR_PRSIunearned,J316*AO316,0),0)+IF(AND(PRSI_ARF_Applies=1,AN316&gt;0,C316&gt;=PR_PRSIend,C316&lt;PRSI_ARF_ToAge,NOT(AK316&gt;0)),J316*AN316,0)</f>
        <v>0</v>
      </c>
      <c r="BQ316" s="20" t="n">
        <f aca="false">IF(AND(F_Partner=1,AG316&lt;PR_PRSIend),IF(AQ316/52&lt;=PR_PRSIfree,0,MAX(0,(AQ316/52*J316-IF(AQ316/52&lt;=PR_PRSIcreditTo,MAX(0,PR_PRSIcreditMax-(AQ316/52-(PR_PRSIfree+0.01))/PR_PRSItaper),0))*52)),0)</f>
        <v>0</v>
      </c>
      <c r="BR316" s="20" t="n">
        <f aca="false">BK316+BM316+BO316+BP316+BQ316</f>
        <v>0</v>
      </c>
      <c r="BS316" s="20" t="n">
        <f aca="false">BR316*H316</f>
        <v>0</v>
      </c>
      <c r="BT316" s="20" t="n">
        <f aca="false">K316+AK316+AC316+AF316+AH316+AI316</f>
        <v>144738.49318292</v>
      </c>
    </row>
    <row r="317" customFormat="false" ht="15" hidden="false" customHeight="true" outlineLevel="0" collapsed="false">
      <c r="B317" s="20" t="n">
        <v>83</v>
      </c>
      <c r="C317" s="20" t="n">
        <f aca="false">F_Age+B317</f>
        <v>121</v>
      </c>
      <c r="D317" s="20" t="n">
        <f aca="false">AS_Year0+B317</f>
        <v>2109</v>
      </c>
      <c r="E317" s="50" t="n">
        <f aca="false">(1+AS_Infl)^B317</f>
        <v>5.17385503596275</v>
      </c>
      <c r="F317" s="50" t="n">
        <f aca="false">(1+AS_Wage)^B317</f>
        <v>11.6275884150563</v>
      </c>
      <c r="G317" s="20" t="n">
        <f aca="false">IF(C317&lt;F_R,1,0)</f>
        <v>0</v>
      </c>
      <c r="H317" s="50" t="n">
        <f aca="false">IF(AS_Bands="flat",1,E317)</f>
        <v>5.17385503596275</v>
      </c>
      <c r="I317" s="50" t="n">
        <f aca="false">IF(AS_SpGrow="pay",F317,IF(AS_SpGrow="flat",1,E317))</f>
        <v>5.17385503596275</v>
      </c>
      <c r="J317" s="50" t="n">
        <f aca="false">(12*PR_PRSIr0+(PR_PRSIr1-PR_PRSIr0)*MAX(0,MIN(12,D317*12+12-PR_PRSIt1))+(PR_PRSIr2-PR_PRSIr1)*MAX(0,MIN(12,D317*12+12-PR_PRSIt2))+(PR_PRSIr3-PR_PRSIr2)*MAX(0,MIN(12,D317*12+12-PR_PRSIt3)))/12</f>
        <v>0.047</v>
      </c>
      <c r="K317" s="20" t="n">
        <f aca="false">IF(G317=1,F_Income*F317,0)</f>
        <v>0</v>
      </c>
      <c r="L317" s="20" t="n">
        <f aca="false">IF(G317=1,(F_Own+In_penExtra)*12*F317,0)</f>
        <v>0</v>
      </c>
      <c r="M317" s="20" t="n">
        <f aca="false">IF(G317=1,(F_PenM+In_penExtra)*12*F317,0)</f>
        <v>0</v>
      </c>
      <c r="N317" s="51" t="n">
        <f aca="false">IF(C317&lt;PR_RelA1,PR_RelP1,IF(C317&lt;PR_RelA2,PR_RelP2,IF(C317&lt;PR_RelA3,PR_RelP3,IF(C317&lt;PR_RelA4,PR_RelP4,IF(C317&lt;PR_RelA5,PR_RelP5,PR_RelP6)))))</f>
        <v>0.4</v>
      </c>
      <c r="O317" s="20" t="n">
        <f aca="false">IF(G317=1,MIN(L317/H317,N317*MIN(K317/H317,PR_EarnCap))*H317,0)</f>
        <v>0</v>
      </c>
      <c r="P317" s="20" t="n">
        <f aca="false">IF(AND(G317=1,F_AE=1),MIN(K317/H317,PR_AEcap)*H317,0)</f>
        <v>0</v>
      </c>
      <c r="Q317" s="20" t="n">
        <f aca="false">IF(G317=1,IF(WI_Retire=1,MAX(0,M317+WI_M*12),M317)+(PR_AEee+PR_AEer+PR_AEst)*P317,0)</f>
        <v>0</v>
      </c>
      <c r="R317" s="20" t="n">
        <f aca="false">L317+PR_AEee*P317</f>
        <v>0</v>
      </c>
      <c r="S317" s="20" t="n">
        <f aca="false">AD316</f>
        <v>0</v>
      </c>
      <c r="T317" s="20" t="n">
        <f aca="false">IF(D317&lt;=PR_SFTfrom,PR_SFT2026,IF(D317=PR_SFTfrom+1,PR_SFT2027,IF(D317=PR_SFTfrom+2,PR_SFT2028,IF(D317&lt;=PR_SFTto,PR_SFT2029,PR_SFT2029*(1+AS_Infl)^(D317-PR_SFTto)))))</f>
        <v>13651229.6370699</v>
      </c>
      <c r="U317" s="20" t="n">
        <f aca="false">IF(AND(G317=0,C317=F_V),1,0)</f>
        <v>0</v>
      </c>
      <c r="V317" s="20" t="n">
        <f aca="false">IF(U317=1,PR_SFTrate*MAX(0,S317-T317),0)</f>
        <v>0</v>
      </c>
      <c r="W317" s="20" t="n">
        <f aca="false">S317-V317</f>
        <v>0</v>
      </c>
      <c r="X317" s="20" t="n">
        <f aca="false">IF(AND(U317=1,AS_LumpPct&gt;0),W317*MIN(AS_LumpPct,PR_LSmax),0)</f>
        <v>0</v>
      </c>
      <c r="Y317" s="20" t="n">
        <f aca="false">X317-(PR_LSrate*MAX(0,MIN(X317,PR_LScap)-PR_LSfree)+PR_r2*MAX(0,X317-PR_LScap))</f>
        <v>0</v>
      </c>
      <c r="Z317" s="20" t="n">
        <f aca="false">W317-X317</f>
        <v>0</v>
      </c>
      <c r="AA317" s="51" t="n">
        <f aca="false">IF(C317&gt;=PR_ARFage1,IF(Z317&gt;PR_ARFbig,PR_ARFbigRate,IF(C317&gt;=PR_ARFage2,PR_ARF71,PR_ARF61)),0)</f>
        <v>0.05</v>
      </c>
      <c r="AB317" s="20" t="n">
        <f aca="false">IF(AS_DrawRule="min",Z317*AA317,IF(AS_DrawRule="fixed",MAX(AS_DrawFixed*E317,Z317*AA317),Z317*MAX(1/MAX(1,AS_End-C317+1),AA317)))</f>
        <v>0</v>
      </c>
      <c r="AC317" s="20" t="n">
        <f aca="false">IF(AND(G317=0,C317&gt;=F_V),MIN(Z317,AB317),0)</f>
        <v>0</v>
      </c>
      <c r="AD317" s="20" t="n">
        <f aca="false">IF(G317=1,S317*(1+F_PenG)+Q317,IF(C317&lt;F_V,S317*(1+F_PenG),(Z317-AC317)*(1+AS_PenRet)))</f>
        <v>0</v>
      </c>
      <c r="AE317" s="20" t="n">
        <f aca="false">IF(C317&gt;=PR_SPage,AS_SP*F_SpF*I317+IF(AND(C317&gt;=PR_Over80Age,F_SpF&gt;0),PR_Over80*PR_Weeks*I317,0),0)</f>
        <v>83214.2148564104</v>
      </c>
      <c r="AF317" s="20" t="n">
        <f aca="false">(F_OtherM+F_RentM)*12*E317+IF(AND(In_polInc&gt;0,In_polIncAge&gt;0,C317&gt;=In_polIncAge),In_polInc,0)</f>
        <v>0</v>
      </c>
      <c r="AG317" s="20" t="n">
        <f aca="false">F_PAge+B317</f>
        <v>120</v>
      </c>
      <c r="AH317" s="20" t="n">
        <f aca="false">IF(AND(F_Partner=1,F_PAge&gt;0,AG317&lt;IF(F_PRet&gt;0,F_PRet,PR_SPage)),F_PIncome*F317,0)</f>
        <v>0</v>
      </c>
      <c r="AI317" s="20" t="n">
        <f aca="false">IF(AND(F_Partner=1,AG317&gt;=PR_SPage,F_PSpQA=0),AS_SP*F_PSpF*I317,0)</f>
        <v>64419.0481901678</v>
      </c>
      <c r="AJ317" s="20" t="n">
        <f aca="false">IF(AND(F_Partner=1,F_PSpQA=1,C317&gt;=PR_SPage,AH317=0),IF(AG317&gt;=PR_SPage,PR_QA66,PR_QAunder)*PR_Weeks*I317,0)</f>
        <v>0</v>
      </c>
      <c r="AK317" s="20" t="n">
        <f aca="false">AE317+AJ317</f>
        <v>83214.2148564104</v>
      </c>
      <c r="AL317" s="20" t="n">
        <f aca="false">K317/H317</f>
        <v>0</v>
      </c>
      <c r="AM317" s="20" t="n">
        <f aca="false">AK317/H317</f>
        <v>16083.6</v>
      </c>
      <c r="AN317" s="20" t="n">
        <f aca="false">AC317/H317</f>
        <v>0</v>
      </c>
      <c r="AO317" s="20" t="n">
        <f aca="false">AF317/H317</f>
        <v>0</v>
      </c>
      <c r="AP317" s="20" t="n">
        <f aca="false">O317/H317</f>
        <v>0</v>
      </c>
      <c r="AQ317" s="20" t="n">
        <f aca="false">AH317/H317</f>
        <v>0</v>
      </c>
      <c r="AR317" s="20" t="n">
        <f aca="false">AI317/H317</f>
        <v>12450.88</v>
      </c>
      <c r="AS317" s="20" t="n">
        <f aca="false">MAX(0,AL317+AN317+AO317+AM317-AP317)</f>
        <v>16083.6</v>
      </c>
      <c r="AT317" s="20" t="n">
        <f aca="false">MAX(0,AQ317+AR317)</f>
        <v>12450.88</v>
      </c>
      <c r="AU317" s="20" t="n">
        <f aca="false">MIN(PR_PAYE,PR_PAYEcap*(AL317+AN317+AM317))</f>
        <v>2000</v>
      </c>
      <c r="AV317" s="20" t="n">
        <f aca="false">MIN(PR_PAYE,PR_PAYEcap*(AQ317+AR317))</f>
        <v>2000</v>
      </c>
      <c r="AW317" s="20" t="n">
        <f aca="false">IF(C317&gt;=PR_AgeCrAge,PR_AgeCr,0)</f>
        <v>245</v>
      </c>
      <c r="AX317" s="20" t="n">
        <f aca="false">IF(AG317&gt;=PR_AgeCrAge,PR_AgeCr,0)</f>
        <v>245</v>
      </c>
      <c r="AY317" s="20" t="n">
        <f aca="false">IF(AND(F_RentCred=1,D317&lt;=PR_RentLast),1,0)</f>
        <v>0</v>
      </c>
      <c r="AZ317" s="20" t="n">
        <f aca="false">AS317+AT317</f>
        <v>28534.48</v>
      </c>
      <c r="BA317" s="20" t="n">
        <f aca="false">PR_PersonalM+AU317+AV317+AW317+AX317+IF(AY317=1,PR_RentJoint,0)</f>
        <v>8490</v>
      </c>
      <c r="BB317" s="20" t="n">
        <f aca="false">PR_BandM+MIN(MIN(AS317,AT317),PR_Uplift)</f>
        <v>65450.88</v>
      </c>
      <c r="BC317" s="20" t="n">
        <f aca="false">MAX(0,PR_r1*MIN(AZ317,BB317)+PR_r2*MAX(0,AZ317-BB317)-BA317)</f>
        <v>0</v>
      </c>
      <c r="BD317" s="20" t="n">
        <f aca="false">MAX(0,PR_HomeCarer-MAX(0,MIN(AS317,AT317)-PR_HCLimit)/2)</f>
        <v>0</v>
      </c>
      <c r="BE317" s="20" t="n">
        <f aca="false">IF(F_Carer=1,MIN(BC317,MAX(0,PR_r1*MIN(AZ317,PR_BandM)+PR_r2*MAX(0,AZ317-PR_BandM)-BA317-BD317)),BC317)</f>
        <v>0</v>
      </c>
      <c r="BF317" s="20" t="n">
        <f aca="false">IF(OR(C317&gt;=PR_AgeCrAge,AG317&gt;=PR_AgeCrAge),IF(AZ317&lt;=PR_AgeExM,0,MIN(BE317,PR_AgeMarg*(AZ317-PR_AgeExM))),BE317)</f>
        <v>0</v>
      </c>
      <c r="BG317" s="20" t="n">
        <f aca="false">MAX(0,PR_r1*MIN(AS317,IF(F_Spccc=1,PR_BandSPCCC,PR_Band))+PR_r2*MAX(0,AS317-IF(F_Spccc=1,PR_BandSPCCC,PR_Band))-(PR_Personal+AU317+AW317+IF(F_Spccc=1,PR_SPCCC,0)+IF(AY317=1,PR_Rent,0)))</f>
        <v>0</v>
      </c>
      <c r="BH317" s="20" t="n">
        <f aca="false">IF(C317&gt;=PR_AgeCrAge,IF(AS317&lt;=PR_AgeEx,0,MIN(BG317,PR_AgeMarg*(AS317-PR_AgeEx))),BG317)</f>
        <v>0</v>
      </c>
      <c r="BI317" s="20" t="n">
        <f aca="false">IF(F_Partner=1,MAX(0,PR_r1*MIN(AT317,PR_Band)+PR_r2*MAX(0,AT317-PR_Band)-(PR_Personal+AV317+AX317+IF(AND(AY317=1,AT317&gt;0),PR_Rent,0))),0)</f>
        <v>0</v>
      </c>
      <c r="BJ317" s="20" t="n">
        <f aca="false">IF(AG317&gt;=PR_AgeCrAge,IF(AT317&lt;=PR_AgeEx,0,MIN(BI317,PR_AgeMarg*(AT317-PR_AgeEx))),BI317)</f>
        <v>0</v>
      </c>
      <c r="BK317" s="20" t="n">
        <f aca="false">IF(F_Partner=1,IF(F_Married=1,BF317,BH317+BJ317),BH317)</f>
        <v>0</v>
      </c>
      <c r="BL317" s="20" t="n">
        <f aca="false">AL317+AN317+AO317</f>
        <v>0</v>
      </c>
      <c r="BM317" s="20"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20" t="n">
        <f aca="false">AQ317</f>
        <v>0</v>
      </c>
      <c r="BO317" s="20"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20" t="n">
        <f aca="false">IF(C317&lt;PR_PRSIend,IF(F_SelfEmp=1,IF(AL317&gt;PR_PRSIsMinInc,MAX(PR_PRSIsMin,AL317*J317),0),IF(AL317/52&lt;=PR_PRSIfree,0,MAX(0,(AL317/52*J317-IF(AL317/52&lt;=PR_PRSIcreditTo,MAX(0,PR_PRSIcreditMax-(AL317/52-(PR_PRSIfree+0.01))/PR_PRSItaper),0))*52)))+J317*AN317+IF(AO317&gt;PR_PRSIunearned,J317*AO317,0),0)+IF(AND(PRSI_ARF_Applies=1,AN317&gt;0,C317&gt;=PR_PRSIend,C317&lt;PRSI_ARF_ToAge,NOT(AK317&gt;0)),J317*AN317,0)</f>
        <v>0</v>
      </c>
      <c r="BQ317" s="20" t="n">
        <f aca="false">IF(AND(F_Partner=1,AG317&lt;PR_PRSIend),IF(AQ317/52&lt;=PR_PRSIfree,0,MAX(0,(AQ317/52*J317-IF(AQ317/52&lt;=PR_PRSIcreditTo,MAX(0,PR_PRSIcreditMax-(AQ317/52-(PR_PRSIfree+0.01))/PR_PRSItaper),0))*52)),0)</f>
        <v>0</v>
      </c>
      <c r="BR317" s="20" t="n">
        <f aca="false">BK317+BM317+BO317+BP317+BQ317</f>
        <v>0</v>
      </c>
      <c r="BS317" s="20" t="n">
        <f aca="false">BR317*H317</f>
        <v>0</v>
      </c>
      <c r="BT317" s="20" t="n">
        <f aca="false">K317+AK317+AC317+AF317+AH317+AI317</f>
        <v>147633.263046578</v>
      </c>
    </row>
    <row r="318" customFormat="false" ht="15" hidden="false" customHeight="true" outlineLevel="0" collapsed="false">
      <c r="B318" s="20" t="n">
        <v>84</v>
      </c>
      <c r="C318" s="20" t="n">
        <f aca="false">F_Age+B318</f>
        <v>122</v>
      </c>
      <c r="D318" s="20" t="n">
        <f aca="false">AS_Year0+B318</f>
        <v>2110</v>
      </c>
      <c r="E318" s="50" t="n">
        <f aca="false">(1+AS_Infl)^B318</f>
        <v>5.277332136682</v>
      </c>
      <c r="F318" s="50" t="n">
        <f aca="false">(1+AS_Wage)^B318</f>
        <v>11.976416067508</v>
      </c>
      <c r="G318" s="20" t="n">
        <f aca="false">IF(C318&lt;F_R,1,0)</f>
        <v>0</v>
      </c>
      <c r="H318" s="50" t="n">
        <f aca="false">IF(AS_Bands="flat",1,E318)</f>
        <v>5.277332136682</v>
      </c>
      <c r="I318" s="50" t="n">
        <f aca="false">IF(AS_SpGrow="pay",F318,IF(AS_SpGrow="flat",1,E318))</f>
        <v>5.277332136682</v>
      </c>
      <c r="J318" s="50" t="n">
        <f aca="false">(12*PR_PRSIr0+(PR_PRSIr1-PR_PRSIr0)*MAX(0,MIN(12,D318*12+12-PR_PRSIt1))+(PR_PRSIr2-PR_PRSIr1)*MAX(0,MIN(12,D318*12+12-PR_PRSIt2))+(PR_PRSIr3-PR_PRSIr2)*MAX(0,MIN(12,D318*12+12-PR_PRSIt3)))/12</f>
        <v>0.047</v>
      </c>
      <c r="K318" s="20" t="n">
        <f aca="false">IF(G318=1,F_Income*F318,0)</f>
        <v>0</v>
      </c>
      <c r="L318" s="20" t="n">
        <f aca="false">IF(G318=1,(F_Own+In_penExtra)*12*F318,0)</f>
        <v>0</v>
      </c>
      <c r="M318" s="20" t="n">
        <f aca="false">IF(G318=1,(F_PenM+In_penExtra)*12*F318,0)</f>
        <v>0</v>
      </c>
      <c r="N318" s="51" t="n">
        <f aca="false">IF(C318&lt;PR_RelA1,PR_RelP1,IF(C318&lt;PR_RelA2,PR_RelP2,IF(C318&lt;PR_RelA3,PR_RelP3,IF(C318&lt;PR_RelA4,PR_RelP4,IF(C318&lt;PR_RelA5,PR_RelP5,PR_RelP6)))))</f>
        <v>0.4</v>
      </c>
      <c r="O318" s="20" t="n">
        <f aca="false">IF(G318=1,MIN(L318/H318,N318*MIN(K318/H318,PR_EarnCap))*H318,0)</f>
        <v>0</v>
      </c>
      <c r="P318" s="20" t="n">
        <f aca="false">IF(AND(G318=1,F_AE=1),MIN(K318/H318,PR_AEcap)*H318,0)</f>
        <v>0</v>
      </c>
      <c r="Q318" s="20" t="n">
        <f aca="false">IF(G318=1,IF(WI_Retire=1,MAX(0,M318+WI_M*12),M318)+(PR_AEee+PR_AEer+PR_AEst)*P318,0)</f>
        <v>0</v>
      </c>
      <c r="R318" s="20" t="n">
        <f aca="false">L318+PR_AEee*P318</f>
        <v>0</v>
      </c>
      <c r="S318" s="20" t="n">
        <f aca="false">AD317</f>
        <v>0</v>
      </c>
      <c r="T318" s="20" t="n">
        <f aca="false">IF(D318&lt;=PR_SFTfrom,PR_SFT2026,IF(D318=PR_SFTfrom+1,PR_SFT2027,IF(D318=PR_SFTfrom+2,PR_SFT2028,IF(D318&lt;=PR_SFTto,PR_SFT2029,PR_SFT2029*(1+AS_Infl)^(D318-PR_SFTto)))))</f>
        <v>13924254.2298113</v>
      </c>
      <c r="U318" s="20" t="n">
        <f aca="false">IF(AND(G318=0,C318=F_V),1,0)</f>
        <v>0</v>
      </c>
      <c r="V318" s="20" t="n">
        <f aca="false">IF(U318=1,PR_SFTrate*MAX(0,S318-T318),0)</f>
        <v>0</v>
      </c>
      <c r="W318" s="20" t="n">
        <f aca="false">S318-V318</f>
        <v>0</v>
      </c>
      <c r="X318" s="20" t="n">
        <f aca="false">IF(AND(U318=1,AS_LumpPct&gt;0),W318*MIN(AS_LumpPct,PR_LSmax),0)</f>
        <v>0</v>
      </c>
      <c r="Y318" s="20" t="n">
        <f aca="false">X318-(PR_LSrate*MAX(0,MIN(X318,PR_LScap)-PR_LSfree)+PR_r2*MAX(0,X318-PR_LScap))</f>
        <v>0</v>
      </c>
      <c r="Z318" s="20" t="n">
        <f aca="false">W318-X318</f>
        <v>0</v>
      </c>
      <c r="AA318" s="51" t="n">
        <f aca="false">IF(C318&gt;=PR_ARFage1,IF(Z318&gt;PR_ARFbig,PR_ARFbigRate,IF(C318&gt;=PR_ARFage2,PR_ARF71,PR_ARF61)),0)</f>
        <v>0.05</v>
      </c>
      <c r="AB318" s="20" t="n">
        <f aca="false">IF(AS_DrawRule="min",Z318*AA318,IF(AS_DrawRule="fixed",MAX(AS_DrawFixed*E318,Z318*AA318),Z318*MAX(1/MAX(1,AS_End-C318+1),AA318)))</f>
        <v>0</v>
      </c>
      <c r="AC318" s="20" t="n">
        <f aca="false">IF(AND(G318=0,C318&gt;=F_V),MIN(Z318,AB318),0)</f>
        <v>0</v>
      </c>
      <c r="AD318" s="20" t="n">
        <f aca="false">IF(G318=1,S318*(1+F_PenG)+Q318,IF(C318&lt;F_V,S318*(1+F_PenG),(Z318-AC318)*(1+AS_PenRet)))</f>
        <v>0</v>
      </c>
      <c r="AE318" s="20" t="n">
        <f aca="false">IF(C318&gt;=PR_SPage,AS_SP*F_SpF*I318+IF(AND(C318&gt;=PR_Over80Age,F_SpF&gt;0),PR_Over80*PR_Weeks*I318,0),0)</f>
        <v>84878.4991535386</v>
      </c>
      <c r="AF318" s="20" t="n">
        <f aca="false">(F_OtherM+F_RentM)*12*E318+IF(AND(In_polInc&gt;0,In_polIncAge&gt;0,C318&gt;=In_polIncAge),In_polInc,0)</f>
        <v>0</v>
      </c>
      <c r="AG318" s="20" t="n">
        <f aca="false">F_PAge+B318</f>
        <v>121</v>
      </c>
      <c r="AH318" s="20" t="n">
        <f aca="false">IF(AND(F_Partner=1,F_PAge&gt;0,AG318&lt;IF(F_PRet&gt;0,F_PRet,PR_SPage)),F_PIncome*F318,0)</f>
        <v>0</v>
      </c>
      <c r="AI318" s="20" t="n">
        <f aca="false">IF(AND(F_Partner=1,AG318&gt;=PR_SPage,F_PSpQA=0),AS_SP*F_PSpF*I318,0)</f>
        <v>65707.4291539712</v>
      </c>
      <c r="AJ318" s="20" t="n">
        <f aca="false">IF(AND(F_Partner=1,F_PSpQA=1,C318&gt;=PR_SPage,AH318=0),IF(AG318&gt;=PR_SPage,PR_QA66,PR_QAunder)*PR_Weeks*I318,0)</f>
        <v>0</v>
      </c>
      <c r="AK318" s="20" t="n">
        <f aca="false">AE318+AJ318</f>
        <v>84878.4991535386</v>
      </c>
      <c r="AL318" s="20" t="n">
        <f aca="false">K318/H318</f>
        <v>0</v>
      </c>
      <c r="AM318" s="20" t="n">
        <f aca="false">AK318/H318</f>
        <v>16083.6</v>
      </c>
      <c r="AN318" s="20" t="n">
        <f aca="false">AC318/H318</f>
        <v>0</v>
      </c>
      <c r="AO318" s="20" t="n">
        <f aca="false">AF318/H318</f>
        <v>0</v>
      </c>
      <c r="AP318" s="20" t="n">
        <f aca="false">O318/H318</f>
        <v>0</v>
      </c>
      <c r="AQ318" s="20" t="n">
        <f aca="false">AH318/H318</f>
        <v>0</v>
      </c>
      <c r="AR318" s="20" t="n">
        <f aca="false">AI318/H318</f>
        <v>12450.88</v>
      </c>
      <c r="AS318" s="20" t="n">
        <f aca="false">MAX(0,AL318+AN318+AO318+AM318-AP318)</f>
        <v>16083.6</v>
      </c>
      <c r="AT318" s="20" t="n">
        <f aca="false">MAX(0,AQ318+AR318)</f>
        <v>12450.88</v>
      </c>
      <c r="AU318" s="20" t="n">
        <f aca="false">MIN(PR_PAYE,PR_PAYEcap*(AL318+AN318+AM318))</f>
        <v>2000</v>
      </c>
      <c r="AV318" s="20" t="n">
        <f aca="false">MIN(PR_PAYE,PR_PAYEcap*(AQ318+AR318))</f>
        <v>2000</v>
      </c>
      <c r="AW318" s="20" t="n">
        <f aca="false">IF(C318&gt;=PR_AgeCrAge,PR_AgeCr,0)</f>
        <v>245</v>
      </c>
      <c r="AX318" s="20" t="n">
        <f aca="false">IF(AG318&gt;=PR_AgeCrAge,PR_AgeCr,0)</f>
        <v>245</v>
      </c>
      <c r="AY318" s="20" t="n">
        <f aca="false">IF(AND(F_RentCred=1,D318&lt;=PR_RentLast),1,0)</f>
        <v>0</v>
      </c>
      <c r="AZ318" s="20" t="n">
        <f aca="false">AS318+AT318</f>
        <v>28534.48</v>
      </c>
      <c r="BA318" s="20" t="n">
        <f aca="false">PR_PersonalM+AU318+AV318+AW318+AX318+IF(AY318=1,PR_RentJoint,0)</f>
        <v>8490</v>
      </c>
      <c r="BB318" s="20" t="n">
        <f aca="false">PR_BandM+MIN(MIN(AS318,AT318),PR_Uplift)</f>
        <v>65450.88</v>
      </c>
      <c r="BC318" s="20" t="n">
        <f aca="false">MAX(0,PR_r1*MIN(AZ318,BB318)+PR_r2*MAX(0,AZ318-BB318)-BA318)</f>
        <v>0</v>
      </c>
      <c r="BD318" s="20" t="n">
        <f aca="false">MAX(0,PR_HomeCarer-MAX(0,MIN(AS318,AT318)-PR_HCLimit)/2)</f>
        <v>0</v>
      </c>
      <c r="BE318" s="20" t="n">
        <f aca="false">IF(F_Carer=1,MIN(BC318,MAX(0,PR_r1*MIN(AZ318,PR_BandM)+PR_r2*MAX(0,AZ318-PR_BandM)-BA318-BD318)),BC318)</f>
        <v>0</v>
      </c>
      <c r="BF318" s="20" t="n">
        <f aca="false">IF(OR(C318&gt;=PR_AgeCrAge,AG318&gt;=PR_AgeCrAge),IF(AZ318&lt;=PR_AgeExM,0,MIN(BE318,PR_AgeMarg*(AZ318-PR_AgeExM))),BE318)</f>
        <v>0</v>
      </c>
      <c r="BG318" s="20" t="n">
        <f aca="false">MAX(0,PR_r1*MIN(AS318,IF(F_Spccc=1,PR_BandSPCCC,PR_Band))+PR_r2*MAX(0,AS318-IF(F_Spccc=1,PR_BandSPCCC,PR_Band))-(PR_Personal+AU318+AW318+IF(F_Spccc=1,PR_SPCCC,0)+IF(AY318=1,PR_Rent,0)))</f>
        <v>0</v>
      </c>
      <c r="BH318" s="20" t="n">
        <f aca="false">IF(C318&gt;=PR_AgeCrAge,IF(AS318&lt;=PR_AgeEx,0,MIN(BG318,PR_AgeMarg*(AS318-PR_AgeEx))),BG318)</f>
        <v>0</v>
      </c>
      <c r="BI318" s="20" t="n">
        <f aca="false">IF(F_Partner=1,MAX(0,PR_r1*MIN(AT318,PR_Band)+PR_r2*MAX(0,AT318-PR_Band)-(PR_Personal+AV318+AX318+IF(AND(AY318=1,AT318&gt;0),PR_Rent,0))),0)</f>
        <v>0</v>
      </c>
      <c r="BJ318" s="20" t="n">
        <f aca="false">IF(AG318&gt;=PR_AgeCrAge,IF(AT318&lt;=PR_AgeEx,0,MIN(BI318,PR_AgeMarg*(AT318-PR_AgeEx))),BI318)</f>
        <v>0</v>
      </c>
      <c r="BK318" s="20" t="n">
        <f aca="false">IF(F_Partner=1,IF(F_Married=1,BF318,BH318+BJ318),BH318)</f>
        <v>0</v>
      </c>
      <c r="BL318" s="20" t="n">
        <f aca="false">AL318+AN318+AO318</f>
        <v>0</v>
      </c>
      <c r="BM318" s="20"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20" t="n">
        <f aca="false">AQ318</f>
        <v>0</v>
      </c>
      <c r="BO318" s="20"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20" t="n">
        <f aca="false">IF(C318&lt;PR_PRSIend,IF(F_SelfEmp=1,IF(AL318&gt;PR_PRSIsMinInc,MAX(PR_PRSIsMin,AL318*J318),0),IF(AL318/52&lt;=PR_PRSIfree,0,MAX(0,(AL318/52*J318-IF(AL318/52&lt;=PR_PRSIcreditTo,MAX(0,PR_PRSIcreditMax-(AL318/52-(PR_PRSIfree+0.01))/PR_PRSItaper),0))*52)))+J318*AN318+IF(AO318&gt;PR_PRSIunearned,J318*AO318,0),0)+IF(AND(PRSI_ARF_Applies=1,AN318&gt;0,C318&gt;=PR_PRSIend,C318&lt;PRSI_ARF_ToAge,NOT(AK318&gt;0)),J318*AN318,0)</f>
        <v>0</v>
      </c>
      <c r="BQ318" s="20" t="n">
        <f aca="false">IF(AND(F_Partner=1,AG318&lt;PR_PRSIend),IF(AQ318/52&lt;=PR_PRSIfree,0,MAX(0,(AQ318/52*J318-IF(AQ318/52&lt;=PR_PRSIcreditTo,MAX(0,PR_PRSIcreditMax-(AQ318/52-(PR_PRSIfree+0.01))/PR_PRSItaper),0))*52)),0)</f>
        <v>0</v>
      </c>
      <c r="BR318" s="20" t="n">
        <f aca="false">BK318+BM318+BO318+BP318+BQ318</f>
        <v>0</v>
      </c>
      <c r="BS318" s="20" t="n">
        <f aca="false">BR318*H318</f>
        <v>0</v>
      </c>
      <c r="BT318" s="20" t="n">
        <f aca="false">K318+AK318+AC318+AF318+AH318+AI318</f>
        <v>150585.92830751</v>
      </c>
    </row>
    <row r="319" customFormat="false" ht="15" hidden="false" customHeight="true" outlineLevel="0" collapsed="false">
      <c r="B319" s="20" t="n">
        <v>85</v>
      </c>
      <c r="C319" s="20" t="n">
        <f aca="false">F_Age+B319</f>
        <v>123</v>
      </c>
      <c r="D319" s="20" t="n">
        <f aca="false">AS_Year0+B319</f>
        <v>2111</v>
      </c>
      <c r="E319" s="50" t="n">
        <f aca="false">(1+AS_Infl)^B319</f>
        <v>5.38287877941564</v>
      </c>
      <c r="F319" s="50" t="n">
        <f aca="false">(1+AS_Wage)^B319</f>
        <v>12.3357085495333</v>
      </c>
      <c r="G319" s="20" t="n">
        <f aca="false">IF(C319&lt;F_R,1,0)</f>
        <v>0</v>
      </c>
      <c r="H319" s="50" t="n">
        <f aca="false">IF(AS_Bands="flat",1,E319)</f>
        <v>5.38287877941564</v>
      </c>
      <c r="I319" s="50" t="n">
        <f aca="false">IF(AS_SpGrow="pay",F319,IF(AS_SpGrow="flat",1,E319))</f>
        <v>5.38287877941564</v>
      </c>
      <c r="J319" s="50" t="n">
        <f aca="false">(12*PR_PRSIr0+(PR_PRSIr1-PR_PRSIr0)*MAX(0,MIN(12,D319*12+12-PR_PRSIt1))+(PR_PRSIr2-PR_PRSIr1)*MAX(0,MIN(12,D319*12+12-PR_PRSIt2))+(PR_PRSIr3-PR_PRSIr2)*MAX(0,MIN(12,D319*12+12-PR_PRSIt3)))/12</f>
        <v>0.047</v>
      </c>
      <c r="K319" s="20" t="n">
        <f aca="false">IF(G319=1,F_Income*F319,0)</f>
        <v>0</v>
      </c>
      <c r="L319" s="20" t="n">
        <f aca="false">IF(G319=1,(F_Own+In_penExtra)*12*F319,0)</f>
        <v>0</v>
      </c>
      <c r="M319" s="20" t="n">
        <f aca="false">IF(G319=1,(F_PenM+In_penExtra)*12*F319,0)</f>
        <v>0</v>
      </c>
      <c r="N319" s="51" t="n">
        <f aca="false">IF(C319&lt;PR_RelA1,PR_RelP1,IF(C319&lt;PR_RelA2,PR_RelP2,IF(C319&lt;PR_RelA3,PR_RelP3,IF(C319&lt;PR_RelA4,PR_RelP4,IF(C319&lt;PR_RelA5,PR_RelP5,PR_RelP6)))))</f>
        <v>0.4</v>
      </c>
      <c r="O319" s="20" t="n">
        <f aca="false">IF(G319=1,MIN(L319/H319,N319*MIN(K319/H319,PR_EarnCap))*H319,0)</f>
        <v>0</v>
      </c>
      <c r="P319" s="20" t="n">
        <f aca="false">IF(AND(G319=1,F_AE=1),MIN(K319/H319,PR_AEcap)*H319,0)</f>
        <v>0</v>
      </c>
      <c r="Q319" s="20" t="n">
        <f aca="false">IF(G319=1,IF(WI_Retire=1,MAX(0,M319+WI_M*12),M319)+(PR_AEee+PR_AEer+PR_AEst)*P319,0)</f>
        <v>0</v>
      </c>
      <c r="R319" s="20" t="n">
        <f aca="false">L319+PR_AEee*P319</f>
        <v>0</v>
      </c>
      <c r="S319" s="20" t="n">
        <f aca="false">AD318</f>
        <v>0</v>
      </c>
      <c r="T319" s="20" t="n">
        <f aca="false">IF(D319&lt;=PR_SFTfrom,PR_SFT2026,IF(D319=PR_SFTfrom+1,PR_SFT2027,IF(D319=PR_SFTfrom+2,PR_SFT2028,IF(D319&lt;=PR_SFTto,PR_SFT2029,PR_SFT2029*(1+AS_Infl)^(D319-PR_SFTto)))))</f>
        <v>14202739.3144075</v>
      </c>
      <c r="U319" s="20" t="n">
        <f aca="false">IF(AND(G319=0,C319=F_V),1,0)</f>
        <v>0</v>
      </c>
      <c r="V319" s="20" t="n">
        <f aca="false">IF(U319=1,PR_SFTrate*MAX(0,S319-T319),0)</f>
        <v>0</v>
      </c>
      <c r="W319" s="20" t="n">
        <f aca="false">S319-V319</f>
        <v>0</v>
      </c>
      <c r="X319" s="20" t="n">
        <f aca="false">IF(AND(U319=1,AS_LumpPct&gt;0),W319*MIN(AS_LumpPct,PR_LSmax),0)</f>
        <v>0</v>
      </c>
      <c r="Y319" s="20" t="n">
        <f aca="false">X319-(PR_LSrate*MAX(0,MIN(X319,PR_LScap)-PR_LSfree)+PR_r2*MAX(0,X319-PR_LScap))</f>
        <v>0</v>
      </c>
      <c r="Z319" s="20" t="n">
        <f aca="false">W319-X319</f>
        <v>0</v>
      </c>
      <c r="AA319" s="51" t="n">
        <f aca="false">IF(C319&gt;=PR_ARFage1,IF(Z319&gt;PR_ARFbig,PR_ARFbigRate,IF(C319&gt;=PR_ARFage2,PR_ARF71,PR_ARF61)),0)</f>
        <v>0.05</v>
      </c>
      <c r="AB319" s="20" t="n">
        <f aca="false">IF(AS_DrawRule="min",Z319*AA319,IF(AS_DrawRule="fixed",MAX(AS_DrawFixed*E319,Z319*AA319),Z319*MAX(1/MAX(1,AS_End-C319+1),AA319)))</f>
        <v>0</v>
      </c>
      <c r="AC319" s="20" t="n">
        <f aca="false">IF(AND(G319=0,C319&gt;=F_V),MIN(Z319,AB319),0)</f>
        <v>0</v>
      </c>
      <c r="AD319" s="20" t="n">
        <f aca="false">IF(G319=1,S319*(1+F_PenG)+Q319,IF(C319&lt;F_V,S319*(1+F_PenG),(Z319-AC319)*(1+AS_PenRet)))</f>
        <v>0</v>
      </c>
      <c r="AE319" s="20" t="n">
        <f aca="false">IF(C319&gt;=PR_SPage,AS_SP*F_SpF*I319+IF(AND(C319&gt;=PR_Over80Age,F_SpF&gt;0),PR_Over80*PR_Weeks*I319,0),0)</f>
        <v>86576.0691366094</v>
      </c>
      <c r="AF319" s="20" t="n">
        <f aca="false">(F_OtherM+F_RentM)*12*E319+IF(AND(In_polInc&gt;0,In_polIncAge&gt;0,C319&gt;=In_polIncAge),In_polInc,0)</f>
        <v>0</v>
      </c>
      <c r="AG319" s="20" t="n">
        <f aca="false">F_PAge+B319</f>
        <v>122</v>
      </c>
      <c r="AH319" s="20" t="n">
        <f aca="false">IF(AND(F_Partner=1,F_PAge&gt;0,AG319&lt;IF(F_PRet&gt;0,F_PRet,PR_SPage)),F_PIncome*F319,0)</f>
        <v>0</v>
      </c>
      <c r="AI319" s="20" t="n">
        <f aca="false">IF(AND(F_Partner=1,AG319&gt;=PR_SPage,F_PSpQA=0),AS_SP*F_PSpF*I319,0)</f>
        <v>67021.5777370506</v>
      </c>
      <c r="AJ319" s="20" t="n">
        <f aca="false">IF(AND(F_Partner=1,F_PSpQA=1,C319&gt;=PR_SPage,AH319=0),IF(AG319&gt;=PR_SPage,PR_QA66,PR_QAunder)*PR_Weeks*I319,0)</f>
        <v>0</v>
      </c>
      <c r="AK319" s="20" t="n">
        <f aca="false">AE319+AJ319</f>
        <v>86576.0691366094</v>
      </c>
      <c r="AL319" s="20" t="n">
        <f aca="false">K319/H319</f>
        <v>0</v>
      </c>
      <c r="AM319" s="20" t="n">
        <f aca="false">AK319/H319</f>
        <v>16083.6</v>
      </c>
      <c r="AN319" s="20" t="n">
        <f aca="false">AC319/H319</f>
        <v>0</v>
      </c>
      <c r="AO319" s="20" t="n">
        <f aca="false">AF319/H319</f>
        <v>0</v>
      </c>
      <c r="AP319" s="20" t="n">
        <f aca="false">O319/H319</f>
        <v>0</v>
      </c>
      <c r="AQ319" s="20" t="n">
        <f aca="false">AH319/H319</f>
        <v>0</v>
      </c>
      <c r="AR319" s="20" t="n">
        <f aca="false">AI319/H319</f>
        <v>12450.88</v>
      </c>
      <c r="AS319" s="20" t="n">
        <f aca="false">MAX(0,AL319+AN319+AO319+AM319-AP319)</f>
        <v>16083.6</v>
      </c>
      <c r="AT319" s="20" t="n">
        <f aca="false">MAX(0,AQ319+AR319)</f>
        <v>12450.88</v>
      </c>
      <c r="AU319" s="20" t="n">
        <f aca="false">MIN(PR_PAYE,PR_PAYEcap*(AL319+AN319+AM319))</f>
        <v>2000</v>
      </c>
      <c r="AV319" s="20" t="n">
        <f aca="false">MIN(PR_PAYE,PR_PAYEcap*(AQ319+AR319))</f>
        <v>2000</v>
      </c>
      <c r="AW319" s="20" t="n">
        <f aca="false">IF(C319&gt;=PR_AgeCrAge,PR_AgeCr,0)</f>
        <v>245</v>
      </c>
      <c r="AX319" s="20" t="n">
        <f aca="false">IF(AG319&gt;=PR_AgeCrAge,PR_AgeCr,0)</f>
        <v>245</v>
      </c>
      <c r="AY319" s="20" t="n">
        <f aca="false">IF(AND(F_RentCred=1,D319&lt;=PR_RentLast),1,0)</f>
        <v>0</v>
      </c>
      <c r="AZ319" s="20" t="n">
        <f aca="false">AS319+AT319</f>
        <v>28534.48</v>
      </c>
      <c r="BA319" s="20" t="n">
        <f aca="false">PR_PersonalM+AU319+AV319+AW319+AX319+IF(AY319=1,PR_RentJoint,0)</f>
        <v>8490</v>
      </c>
      <c r="BB319" s="20" t="n">
        <f aca="false">PR_BandM+MIN(MIN(AS319,AT319),PR_Uplift)</f>
        <v>65450.88</v>
      </c>
      <c r="BC319" s="20" t="n">
        <f aca="false">MAX(0,PR_r1*MIN(AZ319,BB319)+PR_r2*MAX(0,AZ319-BB319)-BA319)</f>
        <v>0</v>
      </c>
      <c r="BD319" s="20" t="n">
        <f aca="false">MAX(0,PR_HomeCarer-MAX(0,MIN(AS319,AT319)-PR_HCLimit)/2)</f>
        <v>0</v>
      </c>
      <c r="BE319" s="20" t="n">
        <f aca="false">IF(F_Carer=1,MIN(BC319,MAX(0,PR_r1*MIN(AZ319,PR_BandM)+PR_r2*MAX(0,AZ319-PR_BandM)-BA319-BD319)),BC319)</f>
        <v>0</v>
      </c>
      <c r="BF319" s="20" t="n">
        <f aca="false">IF(OR(C319&gt;=PR_AgeCrAge,AG319&gt;=PR_AgeCrAge),IF(AZ319&lt;=PR_AgeExM,0,MIN(BE319,PR_AgeMarg*(AZ319-PR_AgeExM))),BE319)</f>
        <v>0</v>
      </c>
      <c r="BG319" s="20" t="n">
        <f aca="false">MAX(0,PR_r1*MIN(AS319,IF(F_Spccc=1,PR_BandSPCCC,PR_Band))+PR_r2*MAX(0,AS319-IF(F_Spccc=1,PR_BandSPCCC,PR_Band))-(PR_Personal+AU319+AW319+IF(F_Spccc=1,PR_SPCCC,0)+IF(AY319=1,PR_Rent,0)))</f>
        <v>0</v>
      </c>
      <c r="BH319" s="20" t="n">
        <f aca="false">IF(C319&gt;=PR_AgeCrAge,IF(AS319&lt;=PR_AgeEx,0,MIN(BG319,PR_AgeMarg*(AS319-PR_AgeEx))),BG319)</f>
        <v>0</v>
      </c>
      <c r="BI319" s="20" t="n">
        <f aca="false">IF(F_Partner=1,MAX(0,PR_r1*MIN(AT319,PR_Band)+PR_r2*MAX(0,AT319-PR_Band)-(PR_Personal+AV319+AX319+IF(AND(AY319=1,AT319&gt;0),PR_Rent,0))),0)</f>
        <v>0</v>
      </c>
      <c r="BJ319" s="20" t="n">
        <f aca="false">IF(AG319&gt;=PR_AgeCrAge,IF(AT319&lt;=PR_AgeEx,0,MIN(BI319,PR_AgeMarg*(AT319-PR_AgeEx))),BI319)</f>
        <v>0</v>
      </c>
      <c r="BK319" s="20" t="n">
        <f aca="false">IF(F_Partner=1,IF(F_Married=1,BF319,BH319+BJ319),BH319)</f>
        <v>0</v>
      </c>
      <c r="BL319" s="20" t="n">
        <f aca="false">AL319+AN319+AO319</f>
        <v>0</v>
      </c>
      <c r="BM319" s="20"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20" t="n">
        <f aca="false">AQ319</f>
        <v>0</v>
      </c>
      <c r="BO319" s="20"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20" t="n">
        <f aca="false">IF(C319&lt;PR_PRSIend,IF(F_SelfEmp=1,IF(AL319&gt;PR_PRSIsMinInc,MAX(PR_PRSIsMin,AL319*J319),0),IF(AL319/52&lt;=PR_PRSIfree,0,MAX(0,(AL319/52*J319-IF(AL319/52&lt;=PR_PRSIcreditTo,MAX(0,PR_PRSIcreditMax-(AL319/52-(PR_PRSIfree+0.01))/PR_PRSItaper),0))*52)))+J319*AN319+IF(AO319&gt;PR_PRSIunearned,J319*AO319,0),0)+IF(AND(PRSI_ARF_Applies=1,AN319&gt;0,C319&gt;=PR_PRSIend,C319&lt;PRSI_ARF_ToAge,NOT(AK319&gt;0)),J319*AN319,0)</f>
        <v>0</v>
      </c>
      <c r="BQ319" s="20" t="n">
        <f aca="false">IF(AND(F_Partner=1,AG319&lt;PR_PRSIend),IF(AQ319/52&lt;=PR_PRSIfree,0,MAX(0,(AQ319/52*J319-IF(AQ319/52&lt;=PR_PRSIcreditTo,MAX(0,PR_PRSIcreditMax-(AQ319/52-(PR_PRSIfree+0.01))/PR_PRSItaper),0))*52)),0)</f>
        <v>0</v>
      </c>
      <c r="BR319" s="20" t="n">
        <f aca="false">BK319+BM319+BO319+BP319+BQ319</f>
        <v>0</v>
      </c>
      <c r="BS319" s="20" t="n">
        <f aca="false">BR319*H319</f>
        <v>0</v>
      </c>
      <c r="BT319" s="20" t="n">
        <f aca="false">K319+AK319+AC319+AF319+AH319+AI319</f>
        <v>153597.64687366</v>
      </c>
    </row>
    <row r="320" customFormat="false" ht="15" hidden="false" customHeight="true" outlineLevel="0" collapsed="false">
      <c r="B320" s="20" t="n">
        <v>86</v>
      </c>
      <c r="C320" s="20" t="n">
        <f aca="false">F_Age+B320</f>
        <v>124</v>
      </c>
      <c r="D320" s="20" t="n">
        <f aca="false">AS_Year0+B320</f>
        <v>2112</v>
      </c>
      <c r="E320" s="50" t="n">
        <f aca="false">(1+AS_Infl)^B320</f>
        <v>5.49053635500395</v>
      </c>
      <c r="F320" s="50" t="n">
        <f aca="false">(1+AS_Wage)^B320</f>
        <v>12.7057798060193</v>
      </c>
      <c r="G320" s="20" t="n">
        <f aca="false">IF(C320&lt;F_R,1,0)</f>
        <v>0</v>
      </c>
      <c r="H320" s="50" t="n">
        <f aca="false">IF(AS_Bands="flat",1,E320)</f>
        <v>5.49053635500395</v>
      </c>
      <c r="I320" s="50" t="n">
        <f aca="false">IF(AS_SpGrow="pay",F320,IF(AS_SpGrow="flat",1,E320))</f>
        <v>5.49053635500395</v>
      </c>
      <c r="J320" s="50" t="n">
        <f aca="false">(12*PR_PRSIr0+(PR_PRSIr1-PR_PRSIr0)*MAX(0,MIN(12,D320*12+12-PR_PRSIt1))+(PR_PRSIr2-PR_PRSIr1)*MAX(0,MIN(12,D320*12+12-PR_PRSIt2))+(PR_PRSIr3-PR_PRSIr2)*MAX(0,MIN(12,D320*12+12-PR_PRSIt3)))/12</f>
        <v>0.047</v>
      </c>
      <c r="K320" s="20" t="n">
        <f aca="false">IF(G320=1,F_Income*F320,0)</f>
        <v>0</v>
      </c>
      <c r="L320" s="20" t="n">
        <f aca="false">IF(G320=1,(F_Own+In_penExtra)*12*F320,0)</f>
        <v>0</v>
      </c>
      <c r="M320" s="20" t="n">
        <f aca="false">IF(G320=1,(F_PenM+In_penExtra)*12*F320,0)</f>
        <v>0</v>
      </c>
      <c r="N320" s="51" t="n">
        <f aca="false">IF(C320&lt;PR_RelA1,PR_RelP1,IF(C320&lt;PR_RelA2,PR_RelP2,IF(C320&lt;PR_RelA3,PR_RelP3,IF(C320&lt;PR_RelA4,PR_RelP4,IF(C320&lt;PR_RelA5,PR_RelP5,PR_RelP6)))))</f>
        <v>0.4</v>
      </c>
      <c r="O320" s="20" t="n">
        <f aca="false">IF(G320=1,MIN(L320/H320,N320*MIN(K320/H320,PR_EarnCap))*H320,0)</f>
        <v>0</v>
      </c>
      <c r="P320" s="20" t="n">
        <f aca="false">IF(AND(G320=1,F_AE=1),MIN(K320/H320,PR_AEcap)*H320,0)</f>
        <v>0</v>
      </c>
      <c r="Q320" s="20" t="n">
        <f aca="false">IF(G320=1,IF(WI_Retire=1,MAX(0,M320+WI_M*12),M320)+(PR_AEee+PR_AEer+PR_AEst)*P320,0)</f>
        <v>0</v>
      </c>
      <c r="R320" s="20" t="n">
        <f aca="false">L320+PR_AEee*P320</f>
        <v>0</v>
      </c>
      <c r="S320" s="20" t="n">
        <f aca="false">AD319</f>
        <v>0</v>
      </c>
      <c r="T320" s="20" t="n">
        <f aca="false">IF(D320&lt;=PR_SFTfrom,PR_SFT2026,IF(D320=PR_SFTfrom+1,PR_SFT2027,IF(D320=PR_SFTfrom+2,PR_SFT2028,IF(D320&lt;=PR_SFTto,PR_SFT2029,PR_SFT2029*(1+AS_Infl)^(D320-PR_SFTto)))))</f>
        <v>14486794.1006957</v>
      </c>
      <c r="U320" s="20" t="n">
        <f aca="false">IF(AND(G320=0,C320=F_V),1,0)</f>
        <v>0</v>
      </c>
      <c r="V320" s="20" t="n">
        <f aca="false">IF(U320=1,PR_SFTrate*MAX(0,S320-T320),0)</f>
        <v>0</v>
      </c>
      <c r="W320" s="20" t="n">
        <f aca="false">S320-V320</f>
        <v>0</v>
      </c>
      <c r="X320" s="20" t="n">
        <f aca="false">IF(AND(U320=1,AS_LumpPct&gt;0),W320*MIN(AS_LumpPct,PR_LSmax),0)</f>
        <v>0</v>
      </c>
      <c r="Y320" s="20" t="n">
        <f aca="false">X320-(PR_LSrate*MAX(0,MIN(X320,PR_LScap)-PR_LSfree)+PR_r2*MAX(0,X320-PR_LScap))</f>
        <v>0</v>
      </c>
      <c r="Z320" s="20" t="n">
        <f aca="false">W320-X320</f>
        <v>0</v>
      </c>
      <c r="AA320" s="51" t="n">
        <f aca="false">IF(C320&gt;=PR_ARFage1,IF(Z320&gt;PR_ARFbig,PR_ARFbigRate,IF(C320&gt;=PR_ARFage2,PR_ARF71,PR_ARF61)),0)</f>
        <v>0.05</v>
      </c>
      <c r="AB320" s="20" t="n">
        <f aca="false">IF(AS_DrawRule="min",Z320*AA320,IF(AS_DrawRule="fixed",MAX(AS_DrawFixed*E320,Z320*AA320),Z320*MAX(1/MAX(1,AS_End-C320+1),AA320)))</f>
        <v>0</v>
      </c>
      <c r="AC320" s="20" t="n">
        <f aca="false">IF(AND(G320=0,C320&gt;=F_V),MIN(Z320,AB320),0)</f>
        <v>0</v>
      </c>
      <c r="AD320" s="20" t="n">
        <f aca="false">IF(G320=1,S320*(1+F_PenG)+Q320,IF(C320&lt;F_V,S320*(1+F_PenG),(Z320-AC320)*(1+AS_PenRet)))</f>
        <v>0</v>
      </c>
      <c r="AE320" s="20" t="n">
        <f aca="false">IF(C320&gt;=PR_SPage,AS_SP*F_SpF*I320+IF(AND(C320&gt;=PR_Over80Age,F_SpF&gt;0),PR_Over80*PR_Weeks*I320,0),0)</f>
        <v>88307.5905193416</v>
      </c>
      <c r="AF320" s="20" t="n">
        <f aca="false">(F_OtherM+F_RentM)*12*E320+IF(AND(In_polInc&gt;0,In_polIncAge&gt;0,C320&gt;=In_polIncAge),In_polInc,0)</f>
        <v>0</v>
      </c>
      <c r="AG320" s="20" t="n">
        <f aca="false">F_PAge+B320</f>
        <v>123</v>
      </c>
      <c r="AH320" s="20" t="n">
        <f aca="false">IF(AND(F_Partner=1,F_PAge&gt;0,AG320&lt;IF(F_PRet&gt;0,F_PRet,PR_SPage)),F_PIncome*F320,0)</f>
        <v>0</v>
      </c>
      <c r="AI320" s="20" t="n">
        <f aca="false">IF(AND(F_Partner=1,AG320&gt;=PR_SPage,F_PSpQA=0),AS_SP*F_PSpF*I320,0)</f>
        <v>68362.0092917916</v>
      </c>
      <c r="AJ320" s="20" t="n">
        <f aca="false">IF(AND(F_Partner=1,F_PSpQA=1,C320&gt;=PR_SPage,AH320=0),IF(AG320&gt;=PR_SPage,PR_QA66,PR_QAunder)*PR_Weeks*I320,0)</f>
        <v>0</v>
      </c>
      <c r="AK320" s="20" t="n">
        <f aca="false">AE320+AJ320</f>
        <v>88307.5905193416</v>
      </c>
      <c r="AL320" s="20" t="n">
        <f aca="false">K320/H320</f>
        <v>0</v>
      </c>
      <c r="AM320" s="20" t="n">
        <f aca="false">AK320/H320</f>
        <v>16083.6</v>
      </c>
      <c r="AN320" s="20" t="n">
        <f aca="false">AC320/H320</f>
        <v>0</v>
      </c>
      <c r="AO320" s="20" t="n">
        <f aca="false">AF320/H320</f>
        <v>0</v>
      </c>
      <c r="AP320" s="20" t="n">
        <f aca="false">O320/H320</f>
        <v>0</v>
      </c>
      <c r="AQ320" s="20" t="n">
        <f aca="false">AH320/H320</f>
        <v>0</v>
      </c>
      <c r="AR320" s="20" t="n">
        <f aca="false">AI320/H320</f>
        <v>12450.88</v>
      </c>
      <c r="AS320" s="20" t="n">
        <f aca="false">MAX(0,AL320+AN320+AO320+AM320-AP320)</f>
        <v>16083.6</v>
      </c>
      <c r="AT320" s="20" t="n">
        <f aca="false">MAX(0,AQ320+AR320)</f>
        <v>12450.88</v>
      </c>
      <c r="AU320" s="20" t="n">
        <f aca="false">MIN(PR_PAYE,PR_PAYEcap*(AL320+AN320+AM320))</f>
        <v>2000</v>
      </c>
      <c r="AV320" s="20" t="n">
        <f aca="false">MIN(PR_PAYE,PR_PAYEcap*(AQ320+AR320))</f>
        <v>2000</v>
      </c>
      <c r="AW320" s="20" t="n">
        <f aca="false">IF(C320&gt;=PR_AgeCrAge,PR_AgeCr,0)</f>
        <v>245</v>
      </c>
      <c r="AX320" s="20" t="n">
        <f aca="false">IF(AG320&gt;=PR_AgeCrAge,PR_AgeCr,0)</f>
        <v>245</v>
      </c>
      <c r="AY320" s="20" t="n">
        <f aca="false">IF(AND(F_RentCred=1,D320&lt;=PR_RentLast),1,0)</f>
        <v>0</v>
      </c>
      <c r="AZ320" s="20" t="n">
        <f aca="false">AS320+AT320</f>
        <v>28534.48</v>
      </c>
      <c r="BA320" s="20" t="n">
        <f aca="false">PR_PersonalM+AU320+AV320+AW320+AX320+IF(AY320=1,PR_RentJoint,0)</f>
        <v>8490</v>
      </c>
      <c r="BB320" s="20" t="n">
        <f aca="false">PR_BandM+MIN(MIN(AS320,AT320),PR_Uplift)</f>
        <v>65450.88</v>
      </c>
      <c r="BC320" s="20" t="n">
        <f aca="false">MAX(0,PR_r1*MIN(AZ320,BB320)+PR_r2*MAX(0,AZ320-BB320)-BA320)</f>
        <v>0</v>
      </c>
      <c r="BD320" s="20" t="n">
        <f aca="false">MAX(0,PR_HomeCarer-MAX(0,MIN(AS320,AT320)-PR_HCLimit)/2)</f>
        <v>0</v>
      </c>
      <c r="BE320" s="20" t="n">
        <f aca="false">IF(F_Carer=1,MIN(BC320,MAX(0,PR_r1*MIN(AZ320,PR_BandM)+PR_r2*MAX(0,AZ320-PR_BandM)-BA320-BD320)),BC320)</f>
        <v>0</v>
      </c>
      <c r="BF320" s="20" t="n">
        <f aca="false">IF(OR(C320&gt;=PR_AgeCrAge,AG320&gt;=PR_AgeCrAge),IF(AZ320&lt;=PR_AgeExM,0,MIN(BE320,PR_AgeMarg*(AZ320-PR_AgeExM))),BE320)</f>
        <v>0</v>
      </c>
      <c r="BG320" s="20" t="n">
        <f aca="false">MAX(0,PR_r1*MIN(AS320,IF(F_Spccc=1,PR_BandSPCCC,PR_Band))+PR_r2*MAX(0,AS320-IF(F_Spccc=1,PR_BandSPCCC,PR_Band))-(PR_Personal+AU320+AW320+IF(F_Spccc=1,PR_SPCCC,0)+IF(AY320=1,PR_Rent,0)))</f>
        <v>0</v>
      </c>
      <c r="BH320" s="20" t="n">
        <f aca="false">IF(C320&gt;=PR_AgeCrAge,IF(AS320&lt;=PR_AgeEx,0,MIN(BG320,PR_AgeMarg*(AS320-PR_AgeEx))),BG320)</f>
        <v>0</v>
      </c>
      <c r="BI320" s="20" t="n">
        <f aca="false">IF(F_Partner=1,MAX(0,PR_r1*MIN(AT320,PR_Band)+PR_r2*MAX(0,AT320-PR_Band)-(PR_Personal+AV320+AX320+IF(AND(AY320=1,AT320&gt;0),PR_Rent,0))),0)</f>
        <v>0</v>
      </c>
      <c r="BJ320" s="20" t="n">
        <f aca="false">IF(AG320&gt;=PR_AgeCrAge,IF(AT320&lt;=PR_AgeEx,0,MIN(BI320,PR_AgeMarg*(AT320-PR_AgeEx))),BI320)</f>
        <v>0</v>
      </c>
      <c r="BK320" s="20" t="n">
        <f aca="false">IF(F_Partner=1,IF(F_Married=1,BF320,BH320+BJ320),BH320)</f>
        <v>0</v>
      </c>
      <c r="BL320" s="20" t="n">
        <f aca="false">AL320+AN320+AO320</f>
        <v>0</v>
      </c>
      <c r="BM320" s="20"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20" t="n">
        <f aca="false">AQ320</f>
        <v>0</v>
      </c>
      <c r="BO320" s="20"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20" t="n">
        <f aca="false">IF(C320&lt;PR_PRSIend,IF(F_SelfEmp=1,IF(AL320&gt;PR_PRSIsMinInc,MAX(PR_PRSIsMin,AL320*J320),0),IF(AL320/52&lt;=PR_PRSIfree,0,MAX(0,(AL320/52*J320-IF(AL320/52&lt;=PR_PRSIcreditTo,MAX(0,PR_PRSIcreditMax-(AL320/52-(PR_PRSIfree+0.01))/PR_PRSItaper),0))*52)))+J320*AN320+IF(AO320&gt;PR_PRSIunearned,J320*AO320,0),0)+IF(AND(PRSI_ARF_Applies=1,AN320&gt;0,C320&gt;=PR_PRSIend,C320&lt;PRSI_ARF_ToAge,NOT(AK320&gt;0)),J320*AN320,0)</f>
        <v>0</v>
      </c>
      <c r="BQ320" s="20" t="n">
        <f aca="false">IF(AND(F_Partner=1,AG320&lt;PR_PRSIend),IF(AQ320/52&lt;=PR_PRSIfree,0,MAX(0,(AQ320/52*J320-IF(AQ320/52&lt;=PR_PRSIcreditTo,MAX(0,PR_PRSIcreditMax-(AQ320/52-(PR_PRSIfree+0.01))/PR_PRSItaper),0))*52)),0)</f>
        <v>0</v>
      </c>
      <c r="BR320" s="20" t="n">
        <f aca="false">BK320+BM320+BO320+BP320+BQ320</f>
        <v>0</v>
      </c>
      <c r="BS320" s="20" t="n">
        <f aca="false">BR320*H320</f>
        <v>0</v>
      </c>
      <c r="BT320" s="20" t="n">
        <f aca="false">K320+AK320+AC320+AF320+AH320+AI320</f>
        <v>156669.599811133</v>
      </c>
    </row>
    <row r="321" customFormat="false" ht="15" hidden="false" customHeight="true" outlineLevel="0" collapsed="false">
      <c r="B321" s="20" t="n">
        <v>87</v>
      </c>
      <c r="C321" s="20" t="n">
        <f aca="false">F_Age+B321</f>
        <v>125</v>
      </c>
      <c r="D321" s="20" t="n">
        <f aca="false">AS_Year0+B321</f>
        <v>2113</v>
      </c>
      <c r="E321" s="50" t="n">
        <f aca="false">(1+AS_Infl)^B321</f>
        <v>5.60034708210403</v>
      </c>
      <c r="F321" s="50" t="n">
        <f aca="false">(1+AS_Wage)^B321</f>
        <v>13.0869532001998</v>
      </c>
      <c r="G321" s="20" t="n">
        <f aca="false">IF(C321&lt;F_R,1,0)</f>
        <v>0</v>
      </c>
      <c r="H321" s="50" t="n">
        <f aca="false">IF(AS_Bands="flat",1,E321)</f>
        <v>5.60034708210403</v>
      </c>
      <c r="I321" s="50" t="n">
        <f aca="false">IF(AS_SpGrow="pay",F321,IF(AS_SpGrow="flat",1,E321))</f>
        <v>5.60034708210403</v>
      </c>
      <c r="J321" s="50" t="n">
        <f aca="false">(12*PR_PRSIr0+(PR_PRSIr1-PR_PRSIr0)*MAX(0,MIN(12,D321*12+12-PR_PRSIt1))+(PR_PRSIr2-PR_PRSIr1)*MAX(0,MIN(12,D321*12+12-PR_PRSIt2))+(PR_PRSIr3-PR_PRSIr2)*MAX(0,MIN(12,D321*12+12-PR_PRSIt3)))/12</f>
        <v>0.047</v>
      </c>
      <c r="K321" s="20" t="n">
        <f aca="false">IF(G321=1,F_Income*F321,0)</f>
        <v>0</v>
      </c>
      <c r="L321" s="20" t="n">
        <f aca="false">IF(G321=1,(F_Own+In_penExtra)*12*F321,0)</f>
        <v>0</v>
      </c>
      <c r="M321" s="20" t="n">
        <f aca="false">IF(G321=1,(F_PenM+In_penExtra)*12*F321,0)</f>
        <v>0</v>
      </c>
      <c r="N321" s="51" t="n">
        <f aca="false">IF(C321&lt;PR_RelA1,PR_RelP1,IF(C321&lt;PR_RelA2,PR_RelP2,IF(C321&lt;PR_RelA3,PR_RelP3,IF(C321&lt;PR_RelA4,PR_RelP4,IF(C321&lt;PR_RelA5,PR_RelP5,PR_RelP6)))))</f>
        <v>0.4</v>
      </c>
      <c r="O321" s="20" t="n">
        <f aca="false">IF(G321=1,MIN(L321/H321,N321*MIN(K321/H321,PR_EarnCap))*H321,0)</f>
        <v>0</v>
      </c>
      <c r="P321" s="20" t="n">
        <f aca="false">IF(AND(G321=1,F_AE=1),MIN(K321/H321,PR_AEcap)*H321,0)</f>
        <v>0</v>
      </c>
      <c r="Q321" s="20" t="n">
        <f aca="false">IF(G321=1,IF(WI_Retire=1,MAX(0,M321+WI_M*12),M321)+(PR_AEee+PR_AEer+PR_AEst)*P321,0)</f>
        <v>0</v>
      </c>
      <c r="R321" s="20" t="n">
        <f aca="false">L321+PR_AEee*P321</f>
        <v>0</v>
      </c>
      <c r="S321" s="20" t="n">
        <f aca="false">AD320</f>
        <v>0</v>
      </c>
      <c r="T321" s="20" t="n">
        <f aca="false">IF(D321&lt;=PR_SFTfrom,PR_SFT2026,IF(D321=PR_SFTfrom+1,PR_SFT2027,IF(D321=PR_SFTfrom+2,PR_SFT2028,IF(D321&lt;=PR_SFTto,PR_SFT2029,PR_SFT2029*(1+AS_Infl)^(D321-PR_SFTto)))))</f>
        <v>14776529.9827096</v>
      </c>
      <c r="U321" s="20" t="n">
        <f aca="false">IF(AND(G321=0,C321=F_V),1,0)</f>
        <v>0</v>
      </c>
      <c r="V321" s="20" t="n">
        <f aca="false">IF(U321=1,PR_SFTrate*MAX(0,S321-T321),0)</f>
        <v>0</v>
      </c>
      <c r="W321" s="20" t="n">
        <f aca="false">S321-V321</f>
        <v>0</v>
      </c>
      <c r="X321" s="20" t="n">
        <f aca="false">IF(AND(U321=1,AS_LumpPct&gt;0),W321*MIN(AS_LumpPct,PR_LSmax),0)</f>
        <v>0</v>
      </c>
      <c r="Y321" s="20" t="n">
        <f aca="false">X321-(PR_LSrate*MAX(0,MIN(X321,PR_LScap)-PR_LSfree)+PR_r2*MAX(0,X321-PR_LScap))</f>
        <v>0</v>
      </c>
      <c r="Z321" s="20" t="n">
        <f aca="false">W321-X321</f>
        <v>0</v>
      </c>
      <c r="AA321" s="51" t="n">
        <f aca="false">IF(C321&gt;=PR_ARFage1,IF(Z321&gt;PR_ARFbig,PR_ARFbigRate,IF(C321&gt;=PR_ARFage2,PR_ARF71,PR_ARF61)),0)</f>
        <v>0.05</v>
      </c>
      <c r="AB321" s="20" t="n">
        <f aca="false">IF(AS_DrawRule="min",Z321*AA321,IF(AS_DrawRule="fixed",MAX(AS_DrawFixed*E321,Z321*AA321),Z321*MAX(1/MAX(1,AS_End-C321+1),AA321)))</f>
        <v>0</v>
      </c>
      <c r="AC321" s="20" t="n">
        <f aca="false">IF(AND(G321=0,C321&gt;=F_V),MIN(Z321,AB321),0)</f>
        <v>0</v>
      </c>
      <c r="AD321" s="20" t="n">
        <f aca="false">IF(G321=1,S321*(1+F_PenG)+Q321,IF(C321&lt;F_V,S321*(1+F_PenG),(Z321-AC321)*(1+AS_PenRet)))</f>
        <v>0</v>
      </c>
      <c r="AE321" s="20" t="n">
        <f aca="false">IF(C321&gt;=PR_SPage,AS_SP*F_SpF*I321+IF(AND(C321&gt;=PR_Over80Age,F_SpF&gt;0),PR_Over80*PR_Weeks*I321,0),0)</f>
        <v>90073.7423297284</v>
      </c>
      <c r="AF321" s="20" t="n">
        <f aca="false">(F_OtherM+F_RentM)*12*E321+IF(AND(In_polInc&gt;0,In_polIncAge&gt;0,C321&gt;=In_polIncAge),In_polInc,0)</f>
        <v>0</v>
      </c>
      <c r="AG321" s="20" t="n">
        <f aca="false">F_PAge+B321</f>
        <v>124</v>
      </c>
      <c r="AH321" s="20" t="n">
        <f aca="false">IF(AND(F_Partner=1,F_PAge&gt;0,AG321&lt;IF(F_PRet&gt;0,F_PRet,PR_SPage)),F_PIncome*F321,0)</f>
        <v>0</v>
      </c>
      <c r="AI321" s="20" t="n">
        <f aca="false">IF(AND(F_Partner=1,AG321&gt;=PR_SPage,F_PSpQA=0),AS_SP*F_PSpF*I321,0)</f>
        <v>69729.2494776275</v>
      </c>
      <c r="AJ321" s="20" t="n">
        <f aca="false">IF(AND(F_Partner=1,F_PSpQA=1,C321&gt;=PR_SPage,AH321=0),IF(AG321&gt;=PR_SPage,PR_QA66,PR_QAunder)*PR_Weeks*I321,0)</f>
        <v>0</v>
      </c>
      <c r="AK321" s="20" t="n">
        <f aca="false">AE321+AJ321</f>
        <v>90073.7423297284</v>
      </c>
      <c r="AL321" s="20" t="n">
        <f aca="false">K321/H321</f>
        <v>0</v>
      </c>
      <c r="AM321" s="20" t="n">
        <f aca="false">AK321/H321</f>
        <v>16083.6</v>
      </c>
      <c r="AN321" s="20" t="n">
        <f aca="false">AC321/H321</f>
        <v>0</v>
      </c>
      <c r="AO321" s="20" t="n">
        <f aca="false">AF321/H321</f>
        <v>0</v>
      </c>
      <c r="AP321" s="20" t="n">
        <f aca="false">O321/H321</f>
        <v>0</v>
      </c>
      <c r="AQ321" s="20" t="n">
        <f aca="false">AH321/H321</f>
        <v>0</v>
      </c>
      <c r="AR321" s="20" t="n">
        <f aca="false">AI321/H321</f>
        <v>12450.88</v>
      </c>
      <c r="AS321" s="20" t="n">
        <f aca="false">MAX(0,AL321+AN321+AO321+AM321-AP321)</f>
        <v>16083.6</v>
      </c>
      <c r="AT321" s="20" t="n">
        <f aca="false">MAX(0,AQ321+AR321)</f>
        <v>12450.88</v>
      </c>
      <c r="AU321" s="20" t="n">
        <f aca="false">MIN(PR_PAYE,PR_PAYEcap*(AL321+AN321+AM321))</f>
        <v>2000</v>
      </c>
      <c r="AV321" s="20" t="n">
        <f aca="false">MIN(PR_PAYE,PR_PAYEcap*(AQ321+AR321))</f>
        <v>2000</v>
      </c>
      <c r="AW321" s="20" t="n">
        <f aca="false">IF(C321&gt;=PR_AgeCrAge,PR_AgeCr,0)</f>
        <v>245</v>
      </c>
      <c r="AX321" s="20" t="n">
        <f aca="false">IF(AG321&gt;=PR_AgeCrAge,PR_AgeCr,0)</f>
        <v>245</v>
      </c>
      <c r="AY321" s="20" t="n">
        <f aca="false">IF(AND(F_RentCred=1,D321&lt;=PR_RentLast),1,0)</f>
        <v>0</v>
      </c>
      <c r="AZ321" s="20" t="n">
        <f aca="false">AS321+AT321</f>
        <v>28534.48</v>
      </c>
      <c r="BA321" s="20" t="n">
        <f aca="false">PR_PersonalM+AU321+AV321+AW321+AX321+IF(AY321=1,PR_RentJoint,0)</f>
        <v>8490</v>
      </c>
      <c r="BB321" s="20" t="n">
        <f aca="false">PR_BandM+MIN(MIN(AS321,AT321),PR_Uplift)</f>
        <v>65450.88</v>
      </c>
      <c r="BC321" s="20" t="n">
        <f aca="false">MAX(0,PR_r1*MIN(AZ321,BB321)+PR_r2*MAX(0,AZ321-BB321)-BA321)</f>
        <v>0</v>
      </c>
      <c r="BD321" s="20" t="n">
        <f aca="false">MAX(0,PR_HomeCarer-MAX(0,MIN(AS321,AT321)-PR_HCLimit)/2)</f>
        <v>0</v>
      </c>
      <c r="BE321" s="20" t="n">
        <f aca="false">IF(F_Carer=1,MIN(BC321,MAX(0,PR_r1*MIN(AZ321,PR_BandM)+PR_r2*MAX(0,AZ321-PR_BandM)-BA321-BD321)),BC321)</f>
        <v>0</v>
      </c>
      <c r="BF321" s="20" t="n">
        <f aca="false">IF(OR(C321&gt;=PR_AgeCrAge,AG321&gt;=PR_AgeCrAge),IF(AZ321&lt;=PR_AgeExM,0,MIN(BE321,PR_AgeMarg*(AZ321-PR_AgeExM))),BE321)</f>
        <v>0</v>
      </c>
      <c r="BG321" s="20" t="n">
        <f aca="false">MAX(0,PR_r1*MIN(AS321,IF(F_Spccc=1,PR_BandSPCCC,PR_Band))+PR_r2*MAX(0,AS321-IF(F_Spccc=1,PR_BandSPCCC,PR_Band))-(PR_Personal+AU321+AW321+IF(F_Spccc=1,PR_SPCCC,0)+IF(AY321=1,PR_Rent,0)))</f>
        <v>0</v>
      </c>
      <c r="BH321" s="20" t="n">
        <f aca="false">IF(C321&gt;=PR_AgeCrAge,IF(AS321&lt;=PR_AgeEx,0,MIN(BG321,PR_AgeMarg*(AS321-PR_AgeEx))),BG321)</f>
        <v>0</v>
      </c>
      <c r="BI321" s="20" t="n">
        <f aca="false">IF(F_Partner=1,MAX(0,PR_r1*MIN(AT321,PR_Band)+PR_r2*MAX(0,AT321-PR_Band)-(PR_Personal+AV321+AX321+IF(AND(AY321=1,AT321&gt;0),PR_Rent,0))),0)</f>
        <v>0</v>
      </c>
      <c r="BJ321" s="20" t="n">
        <f aca="false">IF(AG321&gt;=PR_AgeCrAge,IF(AT321&lt;=PR_AgeEx,0,MIN(BI321,PR_AgeMarg*(AT321-PR_AgeEx))),BI321)</f>
        <v>0</v>
      </c>
      <c r="BK321" s="20" t="n">
        <f aca="false">IF(F_Partner=1,IF(F_Married=1,BF321,BH321+BJ321),BH321)</f>
        <v>0</v>
      </c>
      <c r="BL321" s="20" t="n">
        <f aca="false">AL321+AN321+AO321</f>
        <v>0</v>
      </c>
      <c r="BM321" s="20"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20" t="n">
        <f aca="false">AQ321</f>
        <v>0</v>
      </c>
      <c r="BO321" s="20"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20" t="n">
        <f aca="false">IF(C321&lt;PR_PRSIend,IF(F_SelfEmp=1,IF(AL321&gt;PR_PRSIsMinInc,MAX(PR_PRSIsMin,AL321*J321),0),IF(AL321/52&lt;=PR_PRSIfree,0,MAX(0,(AL321/52*J321-IF(AL321/52&lt;=PR_PRSIcreditTo,MAX(0,PR_PRSIcreditMax-(AL321/52-(PR_PRSIfree+0.01))/PR_PRSItaper),0))*52)))+J321*AN321+IF(AO321&gt;PR_PRSIunearned,J321*AO321,0),0)+IF(AND(PRSI_ARF_Applies=1,AN321&gt;0,C321&gt;=PR_PRSIend,C321&lt;PRSI_ARF_ToAge,NOT(AK321&gt;0)),J321*AN321,0)</f>
        <v>0</v>
      </c>
      <c r="BQ321" s="20" t="n">
        <f aca="false">IF(AND(F_Partner=1,AG321&lt;PR_PRSIend),IF(AQ321/52&lt;=PR_PRSIfree,0,MAX(0,(AQ321/52*J321-IF(AQ321/52&lt;=PR_PRSIcreditTo,MAX(0,PR_PRSIcreditMax-(AQ321/52-(PR_PRSIfree+0.01))/PR_PRSItaper),0))*52)),0)</f>
        <v>0</v>
      </c>
      <c r="BR321" s="20" t="n">
        <f aca="false">BK321+BM321+BO321+BP321+BQ321</f>
        <v>0</v>
      </c>
      <c r="BS321" s="20" t="n">
        <f aca="false">BR321*H321</f>
        <v>0</v>
      </c>
      <c r="BT321" s="20" t="n">
        <f aca="false">K321+AK321+AC321+AF321+AH321+AI321</f>
        <v>159802.991807356</v>
      </c>
    </row>
    <row r="322" customFormat="false" ht="15" hidden="false" customHeight="true" outlineLevel="0" collapsed="false">
      <c r="B322" s="20" t="n">
        <v>88</v>
      </c>
      <c r="C322" s="20" t="n">
        <f aca="false">F_Age+B322</f>
        <v>126</v>
      </c>
      <c r="D322" s="20" t="n">
        <f aca="false">AS_Year0+B322</f>
        <v>2114</v>
      </c>
      <c r="E322" s="50" t="n">
        <f aca="false">(1+AS_Infl)^B322</f>
        <v>5.71235402374611</v>
      </c>
      <c r="F322" s="50" t="n">
        <f aca="false">(1+AS_Wage)^B322</f>
        <v>13.4795617962058</v>
      </c>
      <c r="G322" s="20" t="n">
        <f aca="false">IF(C322&lt;F_R,1,0)</f>
        <v>0</v>
      </c>
      <c r="H322" s="50" t="n">
        <f aca="false">IF(AS_Bands="flat",1,E322)</f>
        <v>5.71235402374611</v>
      </c>
      <c r="I322" s="50" t="n">
        <f aca="false">IF(AS_SpGrow="pay",F322,IF(AS_SpGrow="flat",1,E322))</f>
        <v>5.71235402374611</v>
      </c>
      <c r="J322" s="50" t="n">
        <f aca="false">(12*PR_PRSIr0+(PR_PRSIr1-PR_PRSIr0)*MAX(0,MIN(12,D322*12+12-PR_PRSIt1))+(PR_PRSIr2-PR_PRSIr1)*MAX(0,MIN(12,D322*12+12-PR_PRSIt2))+(PR_PRSIr3-PR_PRSIr2)*MAX(0,MIN(12,D322*12+12-PR_PRSIt3)))/12</f>
        <v>0.047</v>
      </c>
      <c r="K322" s="20" t="n">
        <f aca="false">IF(G322=1,F_Income*F322,0)</f>
        <v>0</v>
      </c>
      <c r="L322" s="20" t="n">
        <f aca="false">IF(G322=1,(F_Own+In_penExtra)*12*F322,0)</f>
        <v>0</v>
      </c>
      <c r="M322" s="20" t="n">
        <f aca="false">IF(G322=1,(F_PenM+In_penExtra)*12*F322,0)</f>
        <v>0</v>
      </c>
      <c r="N322" s="51" t="n">
        <f aca="false">IF(C322&lt;PR_RelA1,PR_RelP1,IF(C322&lt;PR_RelA2,PR_RelP2,IF(C322&lt;PR_RelA3,PR_RelP3,IF(C322&lt;PR_RelA4,PR_RelP4,IF(C322&lt;PR_RelA5,PR_RelP5,PR_RelP6)))))</f>
        <v>0.4</v>
      </c>
      <c r="O322" s="20" t="n">
        <f aca="false">IF(G322=1,MIN(L322/H322,N322*MIN(K322/H322,PR_EarnCap))*H322,0)</f>
        <v>0</v>
      </c>
      <c r="P322" s="20" t="n">
        <f aca="false">IF(AND(G322=1,F_AE=1),MIN(K322/H322,PR_AEcap)*H322,0)</f>
        <v>0</v>
      </c>
      <c r="Q322" s="20" t="n">
        <f aca="false">IF(G322=1,IF(WI_Retire=1,MAX(0,M322+WI_M*12),M322)+(PR_AEee+PR_AEer+PR_AEst)*P322,0)</f>
        <v>0</v>
      </c>
      <c r="R322" s="20" t="n">
        <f aca="false">L322+PR_AEee*P322</f>
        <v>0</v>
      </c>
      <c r="S322" s="20" t="n">
        <f aca="false">AD321</f>
        <v>0</v>
      </c>
      <c r="T322" s="20" t="n">
        <f aca="false">IF(D322&lt;=PR_SFTfrom,PR_SFT2026,IF(D322=PR_SFTfrom+1,PR_SFT2027,IF(D322=PR_SFTfrom+2,PR_SFT2028,IF(D322&lt;=PR_SFTto,PR_SFT2029,PR_SFT2029*(1+AS_Infl)^(D322-PR_SFTto)))))</f>
        <v>15072060.5823638</v>
      </c>
      <c r="U322" s="20" t="n">
        <f aca="false">IF(AND(G322=0,C322=F_V),1,0)</f>
        <v>0</v>
      </c>
      <c r="V322" s="20" t="n">
        <f aca="false">IF(U322=1,PR_SFTrate*MAX(0,S322-T322),0)</f>
        <v>0</v>
      </c>
      <c r="W322" s="20" t="n">
        <f aca="false">S322-V322</f>
        <v>0</v>
      </c>
      <c r="X322" s="20" t="n">
        <f aca="false">IF(AND(U322=1,AS_LumpPct&gt;0),W322*MIN(AS_LumpPct,PR_LSmax),0)</f>
        <v>0</v>
      </c>
      <c r="Y322" s="20" t="n">
        <f aca="false">X322-(PR_LSrate*MAX(0,MIN(X322,PR_LScap)-PR_LSfree)+PR_r2*MAX(0,X322-PR_LScap))</f>
        <v>0</v>
      </c>
      <c r="Z322" s="20" t="n">
        <f aca="false">W322-X322</f>
        <v>0</v>
      </c>
      <c r="AA322" s="51" t="n">
        <f aca="false">IF(C322&gt;=PR_ARFage1,IF(Z322&gt;PR_ARFbig,PR_ARFbigRate,IF(C322&gt;=PR_ARFage2,PR_ARF71,PR_ARF61)),0)</f>
        <v>0.05</v>
      </c>
      <c r="AB322" s="20" t="n">
        <f aca="false">IF(AS_DrawRule="min",Z322*AA322,IF(AS_DrawRule="fixed",MAX(AS_DrawFixed*E322,Z322*AA322),Z322*MAX(1/MAX(1,AS_End-C322+1),AA322)))</f>
        <v>0</v>
      </c>
      <c r="AC322" s="20" t="n">
        <f aca="false">IF(AND(G322=0,C322&gt;=F_V),MIN(Z322,AB322),0)</f>
        <v>0</v>
      </c>
      <c r="AD322" s="20" t="n">
        <f aca="false">IF(G322=1,S322*(1+F_PenG)+Q322,IF(C322&lt;F_V,S322*(1+F_PenG),(Z322-AC322)*(1+AS_PenRet)))</f>
        <v>0</v>
      </c>
      <c r="AE322" s="20" t="n">
        <f aca="false">IF(C322&gt;=PR_SPage,AS_SP*F_SpF*I322+IF(AND(C322&gt;=PR_Over80Age,F_SpF&gt;0),PR_Over80*PR_Weeks*I322,0),0)</f>
        <v>91875.217176323</v>
      </c>
      <c r="AF322" s="20" t="n">
        <f aca="false">(F_OtherM+F_RentM)*12*E322+IF(AND(In_polInc&gt;0,In_polIncAge&gt;0,C322&gt;=In_polIncAge),In_polInc,0)</f>
        <v>0</v>
      </c>
      <c r="AG322" s="20" t="n">
        <f aca="false">F_PAge+B322</f>
        <v>125</v>
      </c>
      <c r="AH322" s="20" t="n">
        <f aca="false">IF(AND(F_Partner=1,F_PAge&gt;0,AG322&lt;IF(F_PRet&gt;0,F_PRet,PR_SPage)),F_PIncome*F322,0)</f>
        <v>0</v>
      </c>
      <c r="AI322" s="20" t="n">
        <f aca="false">IF(AND(F_Partner=1,AG322&gt;=PR_SPage,F_PSpQA=0),AS_SP*F_PSpF*I322,0)</f>
        <v>71123.83446718</v>
      </c>
      <c r="AJ322" s="20" t="n">
        <f aca="false">IF(AND(F_Partner=1,F_PSpQA=1,C322&gt;=PR_SPage,AH322=0),IF(AG322&gt;=PR_SPage,PR_QA66,PR_QAunder)*PR_Weeks*I322,0)</f>
        <v>0</v>
      </c>
      <c r="AK322" s="20" t="n">
        <f aca="false">AE322+AJ322</f>
        <v>91875.217176323</v>
      </c>
      <c r="AL322" s="20" t="n">
        <f aca="false">K322/H322</f>
        <v>0</v>
      </c>
      <c r="AM322" s="20" t="n">
        <f aca="false">AK322/H322</f>
        <v>16083.6</v>
      </c>
      <c r="AN322" s="20" t="n">
        <f aca="false">AC322/H322</f>
        <v>0</v>
      </c>
      <c r="AO322" s="20" t="n">
        <f aca="false">AF322/H322</f>
        <v>0</v>
      </c>
      <c r="AP322" s="20" t="n">
        <f aca="false">O322/H322</f>
        <v>0</v>
      </c>
      <c r="AQ322" s="20" t="n">
        <f aca="false">AH322/H322</f>
        <v>0</v>
      </c>
      <c r="AR322" s="20" t="n">
        <f aca="false">AI322/H322</f>
        <v>12450.88</v>
      </c>
      <c r="AS322" s="20" t="n">
        <f aca="false">MAX(0,AL322+AN322+AO322+AM322-AP322)</f>
        <v>16083.6</v>
      </c>
      <c r="AT322" s="20" t="n">
        <f aca="false">MAX(0,AQ322+AR322)</f>
        <v>12450.88</v>
      </c>
      <c r="AU322" s="20" t="n">
        <f aca="false">MIN(PR_PAYE,PR_PAYEcap*(AL322+AN322+AM322))</f>
        <v>2000</v>
      </c>
      <c r="AV322" s="20" t="n">
        <f aca="false">MIN(PR_PAYE,PR_PAYEcap*(AQ322+AR322))</f>
        <v>2000</v>
      </c>
      <c r="AW322" s="20" t="n">
        <f aca="false">IF(C322&gt;=PR_AgeCrAge,PR_AgeCr,0)</f>
        <v>245</v>
      </c>
      <c r="AX322" s="20" t="n">
        <f aca="false">IF(AG322&gt;=PR_AgeCrAge,PR_AgeCr,0)</f>
        <v>245</v>
      </c>
      <c r="AY322" s="20" t="n">
        <f aca="false">IF(AND(F_RentCred=1,D322&lt;=PR_RentLast),1,0)</f>
        <v>0</v>
      </c>
      <c r="AZ322" s="20" t="n">
        <f aca="false">AS322+AT322</f>
        <v>28534.48</v>
      </c>
      <c r="BA322" s="20" t="n">
        <f aca="false">PR_PersonalM+AU322+AV322+AW322+AX322+IF(AY322=1,PR_RentJoint,0)</f>
        <v>8490</v>
      </c>
      <c r="BB322" s="20" t="n">
        <f aca="false">PR_BandM+MIN(MIN(AS322,AT322),PR_Uplift)</f>
        <v>65450.88</v>
      </c>
      <c r="BC322" s="20" t="n">
        <f aca="false">MAX(0,PR_r1*MIN(AZ322,BB322)+PR_r2*MAX(0,AZ322-BB322)-BA322)</f>
        <v>0</v>
      </c>
      <c r="BD322" s="20" t="n">
        <f aca="false">MAX(0,PR_HomeCarer-MAX(0,MIN(AS322,AT322)-PR_HCLimit)/2)</f>
        <v>0</v>
      </c>
      <c r="BE322" s="20" t="n">
        <f aca="false">IF(F_Carer=1,MIN(BC322,MAX(0,PR_r1*MIN(AZ322,PR_BandM)+PR_r2*MAX(0,AZ322-PR_BandM)-BA322-BD322)),BC322)</f>
        <v>0</v>
      </c>
      <c r="BF322" s="20" t="n">
        <f aca="false">IF(OR(C322&gt;=PR_AgeCrAge,AG322&gt;=PR_AgeCrAge),IF(AZ322&lt;=PR_AgeExM,0,MIN(BE322,PR_AgeMarg*(AZ322-PR_AgeExM))),BE322)</f>
        <v>0</v>
      </c>
      <c r="BG322" s="20" t="n">
        <f aca="false">MAX(0,PR_r1*MIN(AS322,IF(F_Spccc=1,PR_BandSPCCC,PR_Band))+PR_r2*MAX(0,AS322-IF(F_Spccc=1,PR_BandSPCCC,PR_Band))-(PR_Personal+AU322+AW322+IF(F_Spccc=1,PR_SPCCC,0)+IF(AY322=1,PR_Rent,0)))</f>
        <v>0</v>
      </c>
      <c r="BH322" s="20" t="n">
        <f aca="false">IF(C322&gt;=PR_AgeCrAge,IF(AS322&lt;=PR_AgeEx,0,MIN(BG322,PR_AgeMarg*(AS322-PR_AgeEx))),BG322)</f>
        <v>0</v>
      </c>
      <c r="BI322" s="20" t="n">
        <f aca="false">IF(F_Partner=1,MAX(0,PR_r1*MIN(AT322,PR_Band)+PR_r2*MAX(0,AT322-PR_Band)-(PR_Personal+AV322+AX322+IF(AND(AY322=1,AT322&gt;0),PR_Rent,0))),0)</f>
        <v>0</v>
      </c>
      <c r="BJ322" s="20" t="n">
        <f aca="false">IF(AG322&gt;=PR_AgeCrAge,IF(AT322&lt;=PR_AgeEx,0,MIN(BI322,PR_AgeMarg*(AT322-PR_AgeEx))),BI322)</f>
        <v>0</v>
      </c>
      <c r="BK322" s="20" t="n">
        <f aca="false">IF(F_Partner=1,IF(F_Married=1,BF322,BH322+BJ322),BH322)</f>
        <v>0</v>
      </c>
      <c r="BL322" s="20" t="n">
        <f aca="false">AL322+AN322+AO322</f>
        <v>0</v>
      </c>
      <c r="BM322" s="20"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20" t="n">
        <f aca="false">AQ322</f>
        <v>0</v>
      </c>
      <c r="BO322" s="20"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20" t="n">
        <f aca="false">IF(C322&lt;PR_PRSIend,IF(F_SelfEmp=1,IF(AL322&gt;PR_PRSIsMinInc,MAX(PR_PRSIsMin,AL322*J322),0),IF(AL322/52&lt;=PR_PRSIfree,0,MAX(0,(AL322/52*J322-IF(AL322/52&lt;=PR_PRSIcreditTo,MAX(0,PR_PRSIcreditMax-(AL322/52-(PR_PRSIfree+0.01))/PR_PRSItaper),0))*52)))+J322*AN322+IF(AO322&gt;PR_PRSIunearned,J322*AO322,0),0)+IF(AND(PRSI_ARF_Applies=1,AN322&gt;0,C322&gt;=PR_PRSIend,C322&lt;PRSI_ARF_ToAge,NOT(AK322&gt;0)),J322*AN322,0)</f>
        <v>0</v>
      </c>
      <c r="BQ322" s="20" t="n">
        <f aca="false">IF(AND(F_Partner=1,AG322&lt;PR_PRSIend),IF(AQ322/52&lt;=PR_PRSIfree,0,MAX(0,(AQ322/52*J322-IF(AQ322/52&lt;=PR_PRSIcreditTo,MAX(0,PR_PRSIcreditMax-(AQ322/52-(PR_PRSIfree+0.01))/PR_PRSItaper),0))*52)),0)</f>
        <v>0</v>
      </c>
      <c r="BR322" s="20" t="n">
        <f aca="false">BK322+BM322+BO322+BP322+BQ322</f>
        <v>0</v>
      </c>
      <c r="BS322" s="20" t="n">
        <f aca="false">BR322*H322</f>
        <v>0</v>
      </c>
      <c r="BT322" s="20" t="n">
        <f aca="false">K322+AK322+AC322+AF322+AH322+AI322</f>
        <v>162999.051643503</v>
      </c>
    </row>
    <row r="323" customFormat="false" ht="15" hidden="false" customHeight="true" outlineLevel="0" collapsed="false">
      <c r="B323" s="20" t="n">
        <v>89</v>
      </c>
      <c r="C323" s="20" t="n">
        <f aca="false">F_Age+B323</f>
        <v>127</v>
      </c>
      <c r="D323" s="20" t="n">
        <f aca="false">AS_Year0+B323</f>
        <v>2115</v>
      </c>
      <c r="E323" s="50" t="n">
        <f aca="false">(1+AS_Infl)^B323</f>
        <v>5.82660110422104</v>
      </c>
      <c r="F323" s="50" t="n">
        <f aca="false">(1+AS_Wage)^B323</f>
        <v>13.883948650092</v>
      </c>
      <c r="G323" s="20" t="n">
        <f aca="false">IF(C323&lt;F_R,1,0)</f>
        <v>0</v>
      </c>
      <c r="H323" s="50" t="n">
        <f aca="false">IF(AS_Bands="flat",1,E323)</f>
        <v>5.82660110422104</v>
      </c>
      <c r="I323" s="50" t="n">
        <f aca="false">IF(AS_SpGrow="pay",F323,IF(AS_SpGrow="flat",1,E323))</f>
        <v>5.82660110422104</v>
      </c>
      <c r="J323" s="50" t="n">
        <f aca="false">(12*PR_PRSIr0+(PR_PRSIr1-PR_PRSIr0)*MAX(0,MIN(12,D323*12+12-PR_PRSIt1))+(PR_PRSIr2-PR_PRSIr1)*MAX(0,MIN(12,D323*12+12-PR_PRSIt2))+(PR_PRSIr3-PR_PRSIr2)*MAX(0,MIN(12,D323*12+12-PR_PRSIt3)))/12</f>
        <v>0.047</v>
      </c>
      <c r="K323" s="20" t="n">
        <f aca="false">IF(G323=1,F_Income*F323,0)</f>
        <v>0</v>
      </c>
      <c r="L323" s="20" t="n">
        <f aca="false">IF(G323=1,(F_Own+In_penExtra)*12*F323,0)</f>
        <v>0</v>
      </c>
      <c r="M323" s="20" t="n">
        <f aca="false">IF(G323=1,(F_PenM+In_penExtra)*12*F323,0)</f>
        <v>0</v>
      </c>
      <c r="N323" s="51" t="n">
        <f aca="false">IF(C323&lt;PR_RelA1,PR_RelP1,IF(C323&lt;PR_RelA2,PR_RelP2,IF(C323&lt;PR_RelA3,PR_RelP3,IF(C323&lt;PR_RelA4,PR_RelP4,IF(C323&lt;PR_RelA5,PR_RelP5,PR_RelP6)))))</f>
        <v>0.4</v>
      </c>
      <c r="O323" s="20" t="n">
        <f aca="false">IF(G323=1,MIN(L323/H323,N323*MIN(K323/H323,PR_EarnCap))*H323,0)</f>
        <v>0</v>
      </c>
      <c r="P323" s="20" t="n">
        <f aca="false">IF(AND(G323=1,F_AE=1),MIN(K323/H323,PR_AEcap)*H323,0)</f>
        <v>0</v>
      </c>
      <c r="Q323" s="20" t="n">
        <f aca="false">IF(G323=1,IF(WI_Retire=1,MAX(0,M323+WI_M*12),M323)+(PR_AEee+PR_AEer+PR_AEst)*P323,0)</f>
        <v>0</v>
      </c>
      <c r="R323" s="20" t="n">
        <f aca="false">L323+PR_AEee*P323</f>
        <v>0</v>
      </c>
      <c r="S323" s="20" t="n">
        <f aca="false">AD322</f>
        <v>0</v>
      </c>
      <c r="T323" s="20" t="n">
        <f aca="false">IF(D323&lt;=PR_SFTfrom,PR_SFT2026,IF(D323=PR_SFTfrom+1,PR_SFT2027,IF(D323=PR_SFTfrom+2,PR_SFT2028,IF(D323&lt;=PR_SFTto,PR_SFT2029,PR_SFT2029*(1+AS_Infl)^(D323-PR_SFTto)))))</f>
        <v>15373501.7940111</v>
      </c>
      <c r="U323" s="20" t="n">
        <f aca="false">IF(AND(G323=0,C323=F_V),1,0)</f>
        <v>0</v>
      </c>
      <c r="V323" s="20" t="n">
        <f aca="false">IF(U323=1,PR_SFTrate*MAX(0,S323-T323),0)</f>
        <v>0</v>
      </c>
      <c r="W323" s="20" t="n">
        <f aca="false">S323-V323</f>
        <v>0</v>
      </c>
      <c r="X323" s="20" t="n">
        <f aca="false">IF(AND(U323=1,AS_LumpPct&gt;0),W323*MIN(AS_LumpPct,PR_LSmax),0)</f>
        <v>0</v>
      </c>
      <c r="Y323" s="20" t="n">
        <f aca="false">X323-(PR_LSrate*MAX(0,MIN(X323,PR_LScap)-PR_LSfree)+PR_r2*MAX(0,X323-PR_LScap))</f>
        <v>0</v>
      </c>
      <c r="Z323" s="20" t="n">
        <f aca="false">W323-X323</f>
        <v>0</v>
      </c>
      <c r="AA323" s="51" t="n">
        <f aca="false">IF(C323&gt;=PR_ARFage1,IF(Z323&gt;PR_ARFbig,PR_ARFbigRate,IF(C323&gt;=PR_ARFage2,PR_ARF71,PR_ARF61)),0)</f>
        <v>0.05</v>
      </c>
      <c r="AB323" s="20" t="n">
        <f aca="false">IF(AS_DrawRule="min",Z323*AA323,IF(AS_DrawRule="fixed",MAX(AS_DrawFixed*E323,Z323*AA323),Z323*MAX(1/MAX(1,AS_End-C323+1),AA323)))</f>
        <v>0</v>
      </c>
      <c r="AC323" s="20" t="n">
        <f aca="false">IF(AND(G323=0,C323&gt;=F_V),MIN(Z323,AB323),0)</f>
        <v>0</v>
      </c>
      <c r="AD323" s="20" t="n">
        <f aca="false">IF(G323=1,S323*(1+F_PenG)+Q323,IF(C323&lt;F_V,S323*(1+F_PenG),(Z323-AC323)*(1+AS_PenRet)))</f>
        <v>0</v>
      </c>
      <c r="AE323" s="20" t="n">
        <f aca="false">IF(C323&gt;=PR_SPage,AS_SP*F_SpF*I323+IF(AND(C323&gt;=PR_Over80Age,F_SpF&gt;0),PR_Over80*PR_Weeks*I323,0),0)</f>
        <v>93712.7215198495</v>
      </c>
      <c r="AF323" s="20" t="n">
        <f aca="false">(F_OtherM+F_RentM)*12*E323+IF(AND(In_polInc&gt;0,In_polIncAge&gt;0,C323&gt;=In_polIncAge),In_polInc,0)</f>
        <v>0</v>
      </c>
      <c r="AG323" s="20" t="n">
        <f aca="false">F_PAge+B323</f>
        <v>126</v>
      </c>
      <c r="AH323" s="20" t="n">
        <f aca="false">IF(AND(F_Partner=1,F_PAge&gt;0,AG323&lt;IF(F_PRet&gt;0,F_PRet,PR_SPage)),F_PIncome*F323,0)</f>
        <v>0</v>
      </c>
      <c r="AI323" s="20" t="n">
        <f aca="false">IF(AND(F_Partner=1,AG323&gt;=PR_SPage,F_PSpQA=0),AS_SP*F_PSpF*I323,0)</f>
        <v>72546.3111565236</v>
      </c>
      <c r="AJ323" s="20" t="n">
        <f aca="false">IF(AND(F_Partner=1,F_PSpQA=1,C323&gt;=PR_SPage,AH323=0),IF(AG323&gt;=PR_SPage,PR_QA66,PR_QAunder)*PR_Weeks*I323,0)</f>
        <v>0</v>
      </c>
      <c r="AK323" s="20" t="n">
        <f aca="false">AE323+AJ323</f>
        <v>93712.7215198495</v>
      </c>
      <c r="AL323" s="20" t="n">
        <f aca="false">K323/H323</f>
        <v>0</v>
      </c>
      <c r="AM323" s="20" t="n">
        <f aca="false">AK323/H323</f>
        <v>16083.6</v>
      </c>
      <c r="AN323" s="20" t="n">
        <f aca="false">AC323/H323</f>
        <v>0</v>
      </c>
      <c r="AO323" s="20" t="n">
        <f aca="false">AF323/H323</f>
        <v>0</v>
      </c>
      <c r="AP323" s="20" t="n">
        <f aca="false">O323/H323</f>
        <v>0</v>
      </c>
      <c r="AQ323" s="20" t="n">
        <f aca="false">AH323/H323</f>
        <v>0</v>
      </c>
      <c r="AR323" s="20" t="n">
        <f aca="false">AI323/H323</f>
        <v>12450.88</v>
      </c>
      <c r="AS323" s="20" t="n">
        <f aca="false">MAX(0,AL323+AN323+AO323+AM323-AP323)</f>
        <v>16083.6</v>
      </c>
      <c r="AT323" s="20" t="n">
        <f aca="false">MAX(0,AQ323+AR323)</f>
        <v>12450.88</v>
      </c>
      <c r="AU323" s="20" t="n">
        <f aca="false">MIN(PR_PAYE,PR_PAYEcap*(AL323+AN323+AM323))</f>
        <v>2000</v>
      </c>
      <c r="AV323" s="20" t="n">
        <f aca="false">MIN(PR_PAYE,PR_PAYEcap*(AQ323+AR323))</f>
        <v>2000</v>
      </c>
      <c r="AW323" s="20" t="n">
        <f aca="false">IF(C323&gt;=PR_AgeCrAge,PR_AgeCr,0)</f>
        <v>245</v>
      </c>
      <c r="AX323" s="20" t="n">
        <f aca="false">IF(AG323&gt;=PR_AgeCrAge,PR_AgeCr,0)</f>
        <v>245</v>
      </c>
      <c r="AY323" s="20" t="n">
        <f aca="false">IF(AND(F_RentCred=1,D323&lt;=PR_RentLast),1,0)</f>
        <v>0</v>
      </c>
      <c r="AZ323" s="20" t="n">
        <f aca="false">AS323+AT323</f>
        <v>28534.48</v>
      </c>
      <c r="BA323" s="20" t="n">
        <f aca="false">PR_PersonalM+AU323+AV323+AW323+AX323+IF(AY323=1,PR_RentJoint,0)</f>
        <v>8490</v>
      </c>
      <c r="BB323" s="20" t="n">
        <f aca="false">PR_BandM+MIN(MIN(AS323,AT323),PR_Uplift)</f>
        <v>65450.88</v>
      </c>
      <c r="BC323" s="20" t="n">
        <f aca="false">MAX(0,PR_r1*MIN(AZ323,BB323)+PR_r2*MAX(0,AZ323-BB323)-BA323)</f>
        <v>0</v>
      </c>
      <c r="BD323" s="20" t="n">
        <f aca="false">MAX(0,PR_HomeCarer-MAX(0,MIN(AS323,AT323)-PR_HCLimit)/2)</f>
        <v>0</v>
      </c>
      <c r="BE323" s="20" t="n">
        <f aca="false">IF(F_Carer=1,MIN(BC323,MAX(0,PR_r1*MIN(AZ323,PR_BandM)+PR_r2*MAX(0,AZ323-PR_BandM)-BA323-BD323)),BC323)</f>
        <v>0</v>
      </c>
      <c r="BF323" s="20" t="n">
        <f aca="false">IF(OR(C323&gt;=PR_AgeCrAge,AG323&gt;=PR_AgeCrAge),IF(AZ323&lt;=PR_AgeExM,0,MIN(BE323,PR_AgeMarg*(AZ323-PR_AgeExM))),BE323)</f>
        <v>0</v>
      </c>
      <c r="BG323" s="20" t="n">
        <f aca="false">MAX(0,PR_r1*MIN(AS323,IF(F_Spccc=1,PR_BandSPCCC,PR_Band))+PR_r2*MAX(0,AS323-IF(F_Spccc=1,PR_BandSPCCC,PR_Band))-(PR_Personal+AU323+AW323+IF(F_Spccc=1,PR_SPCCC,0)+IF(AY323=1,PR_Rent,0)))</f>
        <v>0</v>
      </c>
      <c r="BH323" s="20" t="n">
        <f aca="false">IF(C323&gt;=PR_AgeCrAge,IF(AS323&lt;=PR_AgeEx,0,MIN(BG323,PR_AgeMarg*(AS323-PR_AgeEx))),BG323)</f>
        <v>0</v>
      </c>
      <c r="BI323" s="20" t="n">
        <f aca="false">IF(F_Partner=1,MAX(0,PR_r1*MIN(AT323,PR_Band)+PR_r2*MAX(0,AT323-PR_Band)-(PR_Personal+AV323+AX323+IF(AND(AY323=1,AT323&gt;0),PR_Rent,0))),0)</f>
        <v>0</v>
      </c>
      <c r="BJ323" s="20" t="n">
        <f aca="false">IF(AG323&gt;=PR_AgeCrAge,IF(AT323&lt;=PR_AgeEx,0,MIN(BI323,PR_AgeMarg*(AT323-PR_AgeEx))),BI323)</f>
        <v>0</v>
      </c>
      <c r="BK323" s="20" t="n">
        <f aca="false">IF(F_Partner=1,IF(F_Married=1,BF323,BH323+BJ323),BH323)</f>
        <v>0</v>
      </c>
      <c r="BL323" s="20" t="n">
        <f aca="false">AL323+AN323+AO323</f>
        <v>0</v>
      </c>
      <c r="BM323" s="20"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20" t="n">
        <f aca="false">AQ323</f>
        <v>0</v>
      </c>
      <c r="BO323" s="20"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20" t="n">
        <f aca="false">IF(C323&lt;PR_PRSIend,IF(F_SelfEmp=1,IF(AL323&gt;PR_PRSIsMinInc,MAX(PR_PRSIsMin,AL323*J323),0),IF(AL323/52&lt;=PR_PRSIfree,0,MAX(0,(AL323/52*J323-IF(AL323/52&lt;=PR_PRSIcreditTo,MAX(0,PR_PRSIcreditMax-(AL323/52-(PR_PRSIfree+0.01))/PR_PRSItaper),0))*52)))+J323*AN323+IF(AO323&gt;PR_PRSIunearned,J323*AO323,0),0)+IF(AND(PRSI_ARF_Applies=1,AN323&gt;0,C323&gt;=PR_PRSIend,C323&lt;PRSI_ARF_ToAge,NOT(AK323&gt;0)),J323*AN323,0)</f>
        <v>0</v>
      </c>
      <c r="BQ323" s="20" t="n">
        <f aca="false">IF(AND(F_Partner=1,AG323&lt;PR_PRSIend),IF(AQ323/52&lt;=PR_PRSIfree,0,MAX(0,(AQ323/52*J323-IF(AQ323/52&lt;=PR_PRSIcreditTo,MAX(0,PR_PRSIcreditMax-(AQ323/52-(PR_PRSIfree+0.01))/PR_PRSItaper),0))*52)),0)</f>
        <v>0</v>
      </c>
      <c r="BR323" s="20" t="n">
        <f aca="false">BK323+BM323+BO323+BP323+BQ323</f>
        <v>0</v>
      </c>
      <c r="BS323" s="20" t="n">
        <f aca="false">BR323*H323</f>
        <v>0</v>
      </c>
      <c r="BT323" s="20" t="n">
        <f aca="false">K323+AK323+AC323+AF323+AH323+AI323</f>
        <v>166259.032676373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30"/>
    <col collapsed="false" customWidth="true" hidden="false" outlineLevel="0" max="3" min="3" style="20" width="14"/>
    <col collapsed="false" customWidth="true" hidden="false" outlineLevel="0" max="4" min="4" style="20" width="12"/>
    <col collapsed="false" customWidth="true" hidden="false" outlineLevel="0" max="5" min="5" style="20" width="26"/>
    <col collapsed="false" customWidth="true" hidden="false" outlineLevel="0" max="6" min="6" style="20" width="12"/>
    <col collapsed="false" customWidth="true" hidden="false" outlineLevel="0" max="7" min="7" style="20" width="14"/>
    <col collapsed="false" customWidth="true" hidden="false" outlineLevel="0" max="10" min="8" style="20" width="12"/>
    <col collapsed="false" customWidth="true" hidden="false" outlineLevel="0" max="11" min="11" style="20" width="14"/>
    <col collapsed="false" customWidth="true" hidden="false" outlineLevel="0" max="12" min="12" style="20" width="24"/>
    <col collapsed="false" customWidth="true" hidden="false" outlineLevel="0" max="13" min="13" style="20" width="70"/>
    <col collapsed="false" customWidth="true" hidden="false" outlineLevel="0" max="15" min="14" style="20" width="14"/>
    <col collapsed="false" customWidth="true" hidden="false" outlineLevel="0" max="16" min="16" style="20" width="16"/>
    <col collapsed="false" customWidth="true" hidden="false" outlineLevel="0" max="22" min="17" style="20" width="14"/>
    <col collapsed="false" customWidth="true" hidden="false" outlineLevel="0" max="28" min="23" style="20" width="22"/>
  </cols>
  <sheetData>
    <row r="1" customFormat="false" ht="17.25" hidden="false" customHeight="true" outlineLevel="0" collapsed="false">
      <c r="B1" s="21" t="s">
        <v>1629</v>
      </c>
    </row>
    <row r="2" customFormat="false" ht="48" hidden="false" customHeight="true" outlineLevel="0" collapsed="false">
      <c r="B2" s="2" t="s">
        <v>1630</v>
      </c>
      <c r="C2" s="2"/>
      <c r="D2" s="2"/>
      <c r="E2" s="2"/>
      <c r="F2" s="2"/>
      <c r="G2" s="2"/>
      <c r="H2" s="2"/>
      <c r="I2" s="2"/>
      <c r="J2" s="2"/>
      <c r="K2" s="2"/>
      <c r="L2" s="2"/>
    </row>
    <row r="4" customFormat="false" ht="15" hidden="false" customHeight="true" outlineLevel="0" collapsed="false">
      <c r="B4" s="53" t="s">
        <v>1631</v>
      </c>
    </row>
    <row r="5" customFormat="false" ht="45.75" hidden="false" customHeight="true" outlineLevel="0" collapsed="false">
      <c r="B5" s="33" t="s">
        <v>586</v>
      </c>
      <c r="C5" s="33" t="s">
        <v>1632</v>
      </c>
      <c r="D5" s="33" t="s">
        <v>1633</v>
      </c>
      <c r="E5" s="33" t="s">
        <v>1634</v>
      </c>
      <c r="F5" s="33" t="s">
        <v>1635</v>
      </c>
      <c r="G5" s="33" t="s">
        <v>1636</v>
      </c>
    </row>
    <row r="6" customFormat="false" ht="15" hidden="false" customHeight="true" outlineLevel="0" collapsed="false">
      <c r="B6" s="20" t="s">
        <v>1637</v>
      </c>
      <c r="C6" s="20" t="s">
        <v>1638</v>
      </c>
      <c r="D6" s="20" t="n">
        <v>40000</v>
      </c>
      <c r="E6" s="20" t="n">
        <v>4</v>
      </c>
      <c r="F6" s="20" t="s">
        <v>1639</v>
      </c>
      <c r="G6" s="20" t="s">
        <v>1640</v>
      </c>
    </row>
    <row r="7" customFormat="false" ht="15" hidden="false" customHeight="true" outlineLevel="0" collapsed="false">
      <c r="B7" s="20" t="s">
        <v>1641</v>
      </c>
      <c r="C7" s="20" t="s">
        <v>1642</v>
      </c>
      <c r="D7" s="20" t="n">
        <v>40000</v>
      </c>
      <c r="E7" s="20" t="n">
        <v>0</v>
      </c>
      <c r="F7" s="20" t="s">
        <v>1641</v>
      </c>
      <c r="G7" s="20" t="s">
        <v>1073</v>
      </c>
    </row>
    <row r="8" customFormat="false" ht="15" hidden="false" customHeight="true" outlineLevel="0" collapsed="false">
      <c r="B8" s="20" t="s">
        <v>1643</v>
      </c>
      <c r="C8" s="20" t="s">
        <v>1644</v>
      </c>
      <c r="D8" s="20" t="n">
        <v>15000</v>
      </c>
      <c r="E8" s="20" t="n">
        <v>3</v>
      </c>
      <c r="F8" s="20" t="s">
        <v>1639</v>
      </c>
      <c r="G8" s="20" t="s">
        <v>1645</v>
      </c>
    </row>
    <row r="9" customFormat="false" ht="15" hidden="false" customHeight="true" outlineLevel="0" collapsed="false">
      <c r="B9" s="20" t="s">
        <v>1646</v>
      </c>
      <c r="C9" s="20" t="s">
        <v>1647</v>
      </c>
      <c r="D9" s="20" t="n">
        <v>30000</v>
      </c>
      <c r="E9" s="20" t="n">
        <v>10</v>
      </c>
      <c r="F9" s="20" t="s">
        <v>1639</v>
      </c>
      <c r="G9" s="20" t="s">
        <v>1648</v>
      </c>
    </row>
    <row r="10" customFormat="false" ht="15" hidden="false" customHeight="true" outlineLevel="0" collapsed="false">
      <c r="B10" s="20" t="s">
        <v>1649</v>
      </c>
      <c r="C10" s="20" t="s">
        <v>1650</v>
      </c>
      <c r="D10" s="20" t="n">
        <v>8000</v>
      </c>
      <c r="E10" s="20" t="n">
        <v>2</v>
      </c>
      <c r="F10" s="20" t="s">
        <v>1639</v>
      </c>
      <c r="G10" s="20" t="s">
        <v>1648</v>
      </c>
    </row>
    <row r="11" customFormat="false" ht="15" hidden="false" customHeight="true" outlineLevel="0" collapsed="false">
      <c r="B11" s="20" t="s">
        <v>1651</v>
      </c>
      <c r="C11" s="20" t="s">
        <v>1652</v>
      </c>
      <c r="D11" s="20" t="n">
        <v>25000</v>
      </c>
      <c r="E11" s="20" t="n">
        <v>5</v>
      </c>
      <c r="F11" s="20" t="s">
        <v>1639</v>
      </c>
      <c r="G11" s="20" t="s">
        <v>1648</v>
      </c>
    </row>
    <row r="12" customFormat="false" ht="15" hidden="false" customHeight="true" outlineLevel="0" collapsed="false">
      <c r="B12" s="20" t="s">
        <v>1653</v>
      </c>
      <c r="C12" s="20" t="s">
        <v>1654</v>
      </c>
      <c r="D12" s="20" t="n">
        <v>150000</v>
      </c>
      <c r="E12" s="20" t="n">
        <v>15</v>
      </c>
      <c r="F12" s="20" t="s">
        <v>1653</v>
      </c>
      <c r="G12" s="20" t="s">
        <v>1640</v>
      </c>
    </row>
    <row r="13" customFormat="false" ht="15" hidden="false" customHeight="true" outlineLevel="0" collapsed="false">
      <c r="B13" s="20" t="s">
        <v>1655</v>
      </c>
      <c r="C13" s="20" t="s">
        <v>143</v>
      </c>
      <c r="D13" s="20" t="n">
        <v>15000</v>
      </c>
      <c r="E13" s="20" t="n">
        <v>2</v>
      </c>
      <c r="F13" s="20" t="s">
        <v>1656</v>
      </c>
      <c r="G13" s="20" t="s">
        <v>1648</v>
      </c>
    </row>
    <row r="14" customFormat="false" ht="15" hidden="false" customHeight="true" outlineLevel="0" collapsed="false">
      <c r="B14" s="20" t="s">
        <v>1657</v>
      </c>
      <c r="C14" s="20" t="s">
        <v>1658</v>
      </c>
      <c r="D14" s="20" t="n">
        <v>50000</v>
      </c>
      <c r="E14" s="20" t="n">
        <v>10</v>
      </c>
      <c r="F14" s="20" t="s">
        <v>1656</v>
      </c>
      <c r="G14" s="20" t="s">
        <v>1659</v>
      </c>
    </row>
    <row r="15" customFormat="false" ht="15" hidden="false" customHeight="true" outlineLevel="0" collapsed="false">
      <c r="B15" s="20" t="s">
        <v>1660</v>
      </c>
      <c r="C15" s="20" t="s">
        <v>1661</v>
      </c>
      <c r="D15" s="20" t="n">
        <v>20000</v>
      </c>
      <c r="E15" s="20" t="n">
        <v>8</v>
      </c>
      <c r="F15" s="20" t="s">
        <v>1639</v>
      </c>
      <c r="G15" s="20" t="s">
        <v>1648</v>
      </c>
    </row>
    <row r="16" customFormat="false" ht="15" hidden="false" customHeight="true" outlineLevel="0" collapsed="false">
      <c r="B16" s="20" t="s">
        <v>1662</v>
      </c>
      <c r="C16" s="20" t="s">
        <v>1663</v>
      </c>
      <c r="D16" s="20" t="n">
        <v>100000</v>
      </c>
      <c r="E16" s="20" t="n">
        <v>0</v>
      </c>
      <c r="F16" s="20" t="s">
        <v>1662</v>
      </c>
      <c r="G16" s="20" t="s">
        <v>1648</v>
      </c>
    </row>
    <row r="17" customFormat="false" ht="15" hidden="false" customHeight="true" outlineLevel="0" collapsed="false">
      <c r="B17" s="20" t="s">
        <v>1664</v>
      </c>
      <c r="C17" s="20" t="s">
        <v>1665</v>
      </c>
      <c r="D17" s="20" t="n">
        <v>25000</v>
      </c>
      <c r="E17" s="20" t="n">
        <v>3</v>
      </c>
      <c r="F17" s="20" t="s">
        <v>1639</v>
      </c>
      <c r="G17" s="20" t="s">
        <v>1648</v>
      </c>
    </row>
    <row r="18" customFormat="false" ht="15" hidden="false" customHeight="true" outlineLevel="0" collapsed="false">
      <c r="B18" s="20" t="s">
        <v>1666</v>
      </c>
      <c r="C18" s="20" t="s">
        <v>1667</v>
      </c>
      <c r="D18" s="20" t="n">
        <v>30000</v>
      </c>
      <c r="E18" s="20" t="n">
        <v>3</v>
      </c>
      <c r="F18" s="20" t="s">
        <v>1639</v>
      </c>
      <c r="G18" s="20" t="s">
        <v>1648</v>
      </c>
    </row>
    <row r="19" customFormat="false" ht="15" hidden="false" customHeight="true" outlineLevel="0" collapsed="false">
      <c r="B19" s="20" t="s">
        <v>1668</v>
      </c>
      <c r="C19" s="20" t="s">
        <v>1669</v>
      </c>
      <c r="D19" s="20" t="n">
        <v>10000</v>
      </c>
      <c r="E19" s="20" t="n">
        <v>5</v>
      </c>
      <c r="F19" s="20" t="s">
        <v>1639</v>
      </c>
      <c r="G19" s="20" t="s">
        <v>1645</v>
      </c>
    </row>
    <row r="20" customFormat="false" ht="15" hidden="false" customHeight="true" outlineLevel="0" collapsed="false">
      <c r="B20" s="20" t="s">
        <v>1670</v>
      </c>
      <c r="C20" s="20" t="s">
        <v>1671</v>
      </c>
      <c r="D20" s="20" t="n">
        <v>10000</v>
      </c>
      <c r="E20" s="20" t="n">
        <v>4</v>
      </c>
      <c r="F20" s="20" t="s">
        <v>1639</v>
      </c>
      <c r="G20" s="20" t="s">
        <v>1648</v>
      </c>
    </row>
    <row r="22" customFormat="false" ht="15" hidden="false" customHeight="true" outlineLevel="0" collapsed="false">
      <c r="B22" s="53" t="s">
        <v>1672</v>
      </c>
    </row>
    <row r="23" customFormat="false" ht="45.75" hidden="false" customHeight="true" outlineLevel="0" collapsed="false">
      <c r="B23" s="33" t="s">
        <v>1673</v>
      </c>
      <c r="C23" s="33" t="s">
        <v>1674</v>
      </c>
      <c r="D23" s="33" t="s">
        <v>1635</v>
      </c>
      <c r="E23" s="33" t="s">
        <v>1675</v>
      </c>
      <c r="F23" s="33" t="s">
        <v>1676</v>
      </c>
      <c r="G23" s="33" t="s">
        <v>1677</v>
      </c>
      <c r="H23" s="33" t="s">
        <v>1678</v>
      </c>
      <c r="I23" s="33" t="s">
        <v>1679</v>
      </c>
      <c r="J23" s="33" t="s">
        <v>1680</v>
      </c>
      <c r="K23" s="33" t="s">
        <v>1139</v>
      </c>
      <c r="L23" s="33" t="s">
        <v>1140</v>
      </c>
      <c r="M23" s="33" t="s">
        <v>1681</v>
      </c>
      <c r="N23" s="33" t="s">
        <v>1682</v>
      </c>
      <c r="O23" s="33" t="s">
        <v>1683</v>
      </c>
      <c r="P23" s="33" t="s">
        <v>1684</v>
      </c>
    </row>
    <row r="24" customFormat="false" ht="15" hidden="false" customHeight="true" outlineLevel="0" collapsed="false">
      <c r="B24" s="20" t="s">
        <v>1153</v>
      </c>
      <c r="C24" s="20" t="str">
        <f aca="false">Goal1_key</f>
        <v>edu</v>
      </c>
      <c r="D24" s="20" t="str">
        <f aca="false">IFERROR(INDEX(Goal_Kinds,MATCH(C24,Goal_Keys,0)),"")</f>
        <v>spend</v>
      </c>
      <c r="E24" s="20" t="str">
        <f aca="false">Goal1_name</f>
        <v>Kids' education</v>
      </c>
      <c r="F24" s="20" t="n">
        <f aca="false">Goal1_age</f>
        <v>48</v>
      </c>
      <c r="G24" s="20" t="n">
        <f aca="false">IF(OR(D24="spend",D24="mfree",D24="pot"),1,0)</f>
        <v>1</v>
      </c>
      <c r="H24" s="20" t="n">
        <f aca="false">IF(G24=1,MAX(F_Age+1,MIN(AS_End,F24)),"")</f>
        <v>48</v>
      </c>
      <c r="I24" s="20" t="n">
        <f aca="false">IF(D24="retire",F_R,IF(D24="legacy",AS_End,F24))</f>
        <v>48</v>
      </c>
      <c r="J24" s="20" t="n">
        <f aca="false">IF(AND(C24="safety",Goal1_auto="Yes",Has_costsM=1),ROUND(F_EssM*AS_Months,0),Goal1_amount)</f>
        <v>50000</v>
      </c>
      <c r="K24" s="20" t="n">
        <f aca="false">Goal1_saved</f>
        <v>0</v>
      </c>
      <c r="L24" s="20" t="str">
        <f aca="false">Goal1_prio</f>
        <v>Must have</v>
      </c>
      <c r="M24" s="20" t="str">
        <f aca="false">Goal1_rank</f>
        <v/>
      </c>
      <c r="N24" s="20" t="n">
        <f aca="false">IF(Goal_RankSet=1,IF(M24&lt;&gt;"",M24-1,IF(C24="safety",-1,PR_SortBig)),0)</f>
        <v>0</v>
      </c>
      <c r="O24" s="20" t="n">
        <f aca="false">IF(G24=1,(N24+1)*100000000+IF(C24="safety",0,1)*10000000+IF(L24="Nice to have",1,0)*1000000+H24*1000+1,1000000000000000)</f>
        <v>110048001</v>
      </c>
      <c r="P24" s="20" t="n">
        <f aca="false">IF(G24=1,1+SUMPRODUCT(($G$24:$G$45=1)*($O$24:$O$45&lt;O24)),"")</f>
        <v>3</v>
      </c>
    </row>
    <row r="25" customFormat="false" ht="15" hidden="false" customHeight="true" outlineLevel="0" collapsed="false">
      <c r="B25" s="20" t="s">
        <v>1154</v>
      </c>
      <c r="C25" s="20" t="str">
        <f aca="false">Goal2_key</f>
        <v>travel</v>
      </c>
      <c r="D25" s="20" t="str">
        <f aca="false">IFERROR(INDEX(Goal_Kinds,MATCH(C25,Goal_Keys,0)),"")</f>
        <v>spend</v>
      </c>
      <c r="E25" s="20" t="str">
        <f aca="false">Goal2_name</f>
        <v>Travel</v>
      </c>
      <c r="F25" s="20" t="n">
        <f aca="false">Goal2_age</f>
        <v>41</v>
      </c>
      <c r="G25" s="20" t="n">
        <f aca="false">IF(OR(D25="spend",D25="mfree",D25="pot"),1,0)</f>
        <v>1</v>
      </c>
      <c r="H25" s="20" t="n">
        <f aca="false">IF(G25=1,MAX(F_Age+1,MIN(AS_End,F25)),"")</f>
        <v>41</v>
      </c>
      <c r="I25" s="20" t="n">
        <f aca="false">IF(D25="retire",F_R,IF(D25="legacy",AS_End,F25))</f>
        <v>41</v>
      </c>
      <c r="J25" s="20" t="n">
        <f aca="false">IF(AND(C25="safety",Goal2_auto="Yes",Has_costsM=1),ROUND(F_EssM*AS_Months,0),Goal2_amount)</f>
        <v>12000</v>
      </c>
      <c r="K25" s="20" t="n">
        <f aca="false">Goal2_saved</f>
        <v>0</v>
      </c>
      <c r="L25" s="20" t="str">
        <f aca="false">Goal2_prio</f>
        <v>Must have</v>
      </c>
      <c r="M25" s="20" t="str">
        <f aca="false">Goal2_rank</f>
        <v/>
      </c>
      <c r="N25" s="20" t="n">
        <f aca="false">IF(Goal_RankSet=1,IF(M25&lt;&gt;"",M25-1,IF(C25="safety",-1,PR_SortBig)),0)</f>
        <v>0</v>
      </c>
      <c r="O25" s="20" t="n">
        <f aca="false">IF(G25=1,(N25+1)*100000000+IF(C25="safety",0,1)*10000000+IF(L25="Nice to have",1,0)*1000000+H25*1000+2,1000000000000000)</f>
        <v>110041002</v>
      </c>
      <c r="P25" s="20" t="n">
        <f aca="false">IF(G25=1,1+SUMPRODUCT(($G$24:$G$45=1)*($O$24:$O$45&lt;O25)),"")</f>
        <v>2</v>
      </c>
    </row>
    <row r="26" customFormat="false" ht="15" hidden="false" customHeight="true" outlineLevel="0" collapsed="false">
      <c r="B26" s="20" t="s">
        <v>1155</v>
      </c>
      <c r="C26" s="20" t="str">
        <f aca="false">Goal3_key</f>
        <v>mfree</v>
      </c>
      <c r="D26" s="20" t="str">
        <f aca="false">IFERROR(INDEX(Goal_Kinds,MATCH(C26,Goal_Keys,0)),"")</f>
        <v>mfree</v>
      </c>
      <c r="E26" s="20" t="str">
        <f aca="false">Goal3_name</f>
        <v>Be mortgage-free</v>
      </c>
      <c r="F26" s="20" t="n">
        <f aca="false">Goal3_age</f>
        <v>55</v>
      </c>
      <c r="G26" s="20" t="n">
        <f aca="false">IF(OR(D26="spend",D26="mfree",D26="pot"),1,0)</f>
        <v>1</v>
      </c>
      <c r="H26" s="20" t="n">
        <f aca="false">IF(G26=1,MAX(F_Age+1,MIN(AS_End,F26)),"")</f>
        <v>55</v>
      </c>
      <c r="I26" s="20" t="n">
        <f aca="false">IF(D26="retire",F_R,IF(D26="legacy",AS_End,F26))</f>
        <v>55</v>
      </c>
      <c r="J26" s="20" t="n">
        <f aca="false">IF(AND(C26="safety",Goal3_auto="Yes",Has_costsM=1),ROUND(F_EssM*AS_Months,0),Goal3_amount)</f>
        <v>150000</v>
      </c>
      <c r="K26" s="20" t="n">
        <f aca="false">Goal3_saved</f>
        <v>0</v>
      </c>
      <c r="L26" s="20" t="str">
        <f aca="false">Goal3_prio</f>
        <v>Must have</v>
      </c>
      <c r="M26" s="20" t="str">
        <f aca="false">Goal3_rank</f>
        <v/>
      </c>
      <c r="N26" s="20" t="n">
        <f aca="false">IF(Goal_RankSet=1,IF(M26&lt;&gt;"",M26-1,IF(C26="safety",-1,PR_SortBig)),0)</f>
        <v>0</v>
      </c>
      <c r="O26" s="20" t="n">
        <f aca="false">IF(G26=1,(N26+1)*100000000+IF(C26="safety",0,1)*10000000+IF(L26="Nice to have",1,0)*1000000+H26*1000+3,1000000000000000)</f>
        <v>110055003</v>
      </c>
      <c r="P26" s="20" t="n">
        <f aca="false">IF(G26=1,1+SUMPRODUCT(($G$24:$G$45=1)*($O$24:$O$45&lt;O26)),"")</f>
        <v>4</v>
      </c>
    </row>
    <row r="27" customFormat="false" ht="15" hidden="false" customHeight="true" outlineLevel="0" collapsed="false">
      <c r="B27" s="20" t="s">
        <v>1156</v>
      </c>
      <c r="C27" s="20" t="str">
        <f aca="false">Goal4_key</f>
        <v>safety</v>
      </c>
      <c r="D27" s="20" t="str">
        <f aca="false">IFERROR(INDEX(Goal_Kinds,MATCH(C27,Goal_Keys,0)),"")</f>
        <v>pot</v>
      </c>
      <c r="E27" s="20" t="str">
        <f aca="false">Goal4_name</f>
        <v>Emergency fund</v>
      </c>
      <c r="F27" s="20" t="n">
        <f aca="false">Goal4_age</f>
        <v>40</v>
      </c>
      <c r="G27" s="20" t="n">
        <f aca="false">IF(OR(D27="spend",D27="mfree",D27="pot"),1,0)</f>
        <v>1</v>
      </c>
      <c r="H27" s="20" t="n">
        <f aca="false">IF(G27=1,MAX(F_Age+1,MIN(AS_End,F27)),"")</f>
        <v>40</v>
      </c>
      <c r="I27" s="20" t="n">
        <f aca="false">IF(D27="retire",F_R,IF(D27="legacy",AS_End,F27))</f>
        <v>40</v>
      </c>
      <c r="J27" s="20" t="n">
        <f aca="false">IF(AND(C27="safety",Goal4_auto="Yes",Has_costsM=1),ROUND(F_EssM*AS_Months,0),Goal4_amount)</f>
        <v>15000</v>
      </c>
      <c r="K27" s="20" t="n">
        <f aca="false">Goal4_saved</f>
        <v>5000</v>
      </c>
      <c r="L27" s="20" t="str">
        <f aca="false">Goal4_prio</f>
        <v>Must have</v>
      </c>
      <c r="M27" s="20" t="str">
        <f aca="false">Goal4_rank</f>
        <v/>
      </c>
      <c r="N27" s="20" t="n">
        <f aca="false">IF(Goal_RankSet=1,IF(M27&lt;&gt;"",M27-1,IF(C27="safety",-1,PR_SortBig)),0)</f>
        <v>0</v>
      </c>
      <c r="O27" s="20" t="n">
        <f aca="false">IF(G27=1,(N27+1)*100000000+IF(C27="safety",0,1)*10000000+IF(L27="Nice to have",1,0)*1000000+H27*1000+4,1000000000000000)</f>
        <v>100040004</v>
      </c>
      <c r="P27" s="20" t="n">
        <f aca="false">IF(G27=1,1+SUMPRODUCT(($G$24:$G$45=1)*($O$24:$O$45&lt;O27)),"")</f>
        <v>1</v>
      </c>
    </row>
    <row r="28" customFormat="false" ht="15" hidden="false" customHeight="true" outlineLevel="0" collapsed="false">
      <c r="B28" s="20" t="s">
        <v>1157</v>
      </c>
      <c r="C28" s="20" t="str">
        <f aca="false">Goal5_key</f>
        <v>retire</v>
      </c>
      <c r="D28" s="20" t="str">
        <f aca="false">IFERROR(INDEX(Goal_Kinds,MATCH(C28,Goal_Keys,0)),"")</f>
        <v>retire</v>
      </c>
      <c r="E28" s="20" t="str">
        <f aca="false">Goal5_name</f>
        <v>Retire comfortably</v>
      </c>
      <c r="F28" s="20" t="n">
        <f aca="false">Goal5_age</f>
        <v>63</v>
      </c>
      <c r="G28" s="20" t="n">
        <f aca="false">IF(OR(D28="spend",D28="mfree",D28="pot"),1,0)</f>
        <v>0</v>
      </c>
      <c r="H28" s="20" t="str">
        <f aca="false">IF(G28=1,MAX(F_Age+1,MIN(AS_End,F28)),"")</f>
        <v/>
      </c>
      <c r="I28" s="20" t="n">
        <f aca="false">IF(D28="retire",F_R,IF(D28="legacy",AS_End,F28))</f>
        <v>63</v>
      </c>
      <c r="J28" s="20" t="n">
        <f aca="false">IF(AND(C28="safety",Goal5_auto="Yes",Has_costsM=1),ROUND(F_EssM*AS_Months,0),Goal5_amount)</f>
        <v>46000</v>
      </c>
      <c r="K28" s="20" t="n">
        <f aca="false">Goal5_saved</f>
        <v>0</v>
      </c>
      <c r="L28" s="20" t="str">
        <f aca="false">Goal5_prio</f>
        <v>Must have</v>
      </c>
      <c r="M28" s="20" t="str">
        <f aca="false">Goal5_rank</f>
        <v/>
      </c>
      <c r="N28" s="20" t="n">
        <f aca="false">IF(Goal_RankSet=1,IF(M28&lt;&gt;"",M28-1,IF(C28="safety",-1,PR_SortBig)),0)</f>
        <v>0</v>
      </c>
      <c r="O28" s="20" t="n">
        <f aca="false">IF(G28=1,(N28+1)*100000000+IF(C28="safety",0,1)*10000000+IF(L28="Nice to have",1,0)*1000000+H28*1000+5,1000000000000000)</f>
        <v>1000000000000000</v>
      </c>
      <c r="P28" s="20" t="str">
        <f aca="false">IF(G28=1,1+SUMPRODUCT(($G$24:$G$45=1)*($O$24:$O$45&lt;O28)),"")</f>
        <v/>
      </c>
    </row>
    <row r="29" customFormat="false" ht="15" hidden="false" customHeight="true" outlineLevel="0" collapsed="false">
      <c r="B29" s="20" t="s">
        <v>1158</v>
      </c>
      <c r="C29" s="20" t="str">
        <f aca="false">Goal6_key</f>
        <v/>
      </c>
      <c r="D29" s="20" t="str">
        <f aca="false">IFERROR(INDEX(Goal_Kinds,MATCH(C29,Goal_Keys,0)),"")</f>
        <v/>
      </c>
      <c r="E29" s="20" t="str">
        <f aca="false">Goal6_name</f>
        <v/>
      </c>
      <c r="F29" s="20" t="n">
        <f aca="false">Goal6_age</f>
        <v>0</v>
      </c>
      <c r="G29" s="20" t="n">
        <f aca="false">IF(OR(D29="spend",D29="mfree",D29="pot"),1,0)</f>
        <v>0</v>
      </c>
      <c r="H29" s="20" t="str">
        <f aca="false">IF(G29=1,MAX(F_Age+1,MIN(AS_End,F29)),"")</f>
        <v/>
      </c>
      <c r="I29" s="20" t="n">
        <f aca="false">IF(D29="retire",F_R,IF(D29="legacy",AS_End,F29))</f>
        <v>0</v>
      </c>
      <c r="J29" s="20" t="n">
        <f aca="false">IF(AND(C29="safety",Goal6_auto="Yes",Has_costsM=1),ROUND(F_EssM*AS_Months,0),Goal6_amount)</f>
        <v>0</v>
      </c>
      <c r="K29" s="20" t="n">
        <f aca="false">Goal6_saved</f>
        <v>0</v>
      </c>
      <c r="L29" s="20" t="str">
        <f aca="false">Goal6_prio</f>
        <v>Must have</v>
      </c>
      <c r="M29" s="20" t="str">
        <f aca="false">Goal6_rank</f>
        <v/>
      </c>
      <c r="N29" s="20" t="n">
        <f aca="false">IF(Goal_RankSet=1,IF(M29&lt;&gt;"",M29-1,IF(C29="safety",-1,PR_SortBig)),0)</f>
        <v>0</v>
      </c>
      <c r="O29" s="20" t="n">
        <f aca="false">IF(G29=1,(N29+1)*100000000+IF(C29="safety",0,1)*10000000+IF(L29="Nice to have",1,0)*1000000+H29*1000+6,1000000000000000)</f>
        <v>1000000000000000</v>
      </c>
      <c r="P29" s="20" t="str">
        <f aca="false">IF(G29=1,1+SUMPRODUCT(($G$24:$G$45=1)*($O$24:$O$45&lt;O29)),"")</f>
        <v/>
      </c>
    </row>
    <row r="30" customFormat="false" ht="15" hidden="false" customHeight="true" outlineLevel="0" collapsed="false">
      <c r="B30" s="20" t="s">
        <v>1159</v>
      </c>
      <c r="C30" s="20" t="str">
        <f aca="false">Goal7_key</f>
        <v/>
      </c>
      <c r="D30" s="20" t="str">
        <f aca="false">IFERROR(INDEX(Goal_Kinds,MATCH(C30,Goal_Keys,0)),"")</f>
        <v/>
      </c>
      <c r="E30" s="20" t="str">
        <f aca="false">Goal7_name</f>
        <v/>
      </c>
      <c r="F30" s="20" t="n">
        <f aca="false">Goal7_age</f>
        <v>0</v>
      </c>
      <c r="G30" s="20" t="n">
        <f aca="false">IF(OR(D30="spend",D30="mfree",D30="pot"),1,0)</f>
        <v>0</v>
      </c>
      <c r="H30" s="20" t="str">
        <f aca="false">IF(G30=1,MAX(F_Age+1,MIN(AS_End,F30)),"")</f>
        <v/>
      </c>
      <c r="I30" s="20" t="n">
        <f aca="false">IF(D30="retire",F_R,IF(D30="legacy",AS_End,F30))</f>
        <v>0</v>
      </c>
      <c r="J30" s="20" t="n">
        <f aca="false">IF(AND(C30="safety",Goal7_auto="Yes",Has_costsM=1),ROUND(F_EssM*AS_Months,0),Goal7_amount)</f>
        <v>0</v>
      </c>
      <c r="K30" s="20" t="n">
        <f aca="false">Goal7_saved</f>
        <v>0</v>
      </c>
      <c r="L30" s="20" t="str">
        <f aca="false">Goal7_prio</f>
        <v>Must have</v>
      </c>
      <c r="M30" s="20" t="str">
        <f aca="false">Goal7_rank</f>
        <v/>
      </c>
      <c r="N30" s="20" t="n">
        <f aca="false">IF(Goal_RankSet=1,IF(M30&lt;&gt;"",M30-1,IF(C30="safety",-1,PR_SortBig)),0)</f>
        <v>0</v>
      </c>
      <c r="O30" s="20" t="n">
        <f aca="false">IF(G30=1,(N30+1)*100000000+IF(C30="safety",0,1)*10000000+IF(L30="Nice to have",1,0)*1000000+H30*1000+7,1000000000000000)</f>
        <v>1000000000000000</v>
      </c>
      <c r="P30" s="20" t="str">
        <f aca="false">IF(G30=1,1+SUMPRODUCT(($G$24:$G$45=1)*($O$24:$O$45&lt;O30)),"")</f>
        <v/>
      </c>
    </row>
    <row r="31" customFormat="false" ht="15" hidden="false" customHeight="true" outlineLevel="0" collapsed="false">
      <c r="B31" s="20" t="s">
        <v>1160</v>
      </c>
      <c r="C31" s="20" t="str">
        <f aca="false">Goal8_key</f>
        <v/>
      </c>
      <c r="D31" s="20" t="str">
        <f aca="false">IFERROR(INDEX(Goal_Kinds,MATCH(C31,Goal_Keys,0)),"")</f>
        <v/>
      </c>
      <c r="E31" s="20" t="str">
        <f aca="false">Goal8_name</f>
        <v/>
      </c>
      <c r="F31" s="20" t="n">
        <f aca="false">Goal8_age</f>
        <v>0</v>
      </c>
      <c r="G31" s="20" t="n">
        <f aca="false">IF(OR(D31="spend",D31="mfree",D31="pot"),1,0)</f>
        <v>0</v>
      </c>
      <c r="H31" s="20" t="str">
        <f aca="false">IF(G31=1,MAX(F_Age+1,MIN(AS_End,F31)),"")</f>
        <v/>
      </c>
      <c r="I31" s="20" t="n">
        <f aca="false">IF(D31="retire",F_R,IF(D31="legacy",AS_End,F31))</f>
        <v>0</v>
      </c>
      <c r="J31" s="20" t="n">
        <f aca="false">IF(AND(C31="safety",Goal8_auto="Yes",Has_costsM=1),ROUND(F_EssM*AS_Months,0),Goal8_amount)</f>
        <v>0</v>
      </c>
      <c r="K31" s="20" t="n">
        <f aca="false">Goal8_saved</f>
        <v>0</v>
      </c>
      <c r="L31" s="20" t="str">
        <f aca="false">Goal8_prio</f>
        <v>Must have</v>
      </c>
      <c r="M31" s="20" t="str">
        <f aca="false">Goal8_rank</f>
        <v/>
      </c>
      <c r="N31" s="20" t="n">
        <f aca="false">IF(Goal_RankSet=1,IF(M31&lt;&gt;"",M31-1,IF(C31="safety",-1,PR_SortBig)),0)</f>
        <v>0</v>
      </c>
      <c r="O31" s="20" t="n">
        <f aca="false">IF(G31=1,(N31+1)*100000000+IF(C31="safety",0,1)*10000000+IF(L31="Nice to have",1,0)*1000000+H31*1000+8,1000000000000000)</f>
        <v>1000000000000000</v>
      </c>
      <c r="P31" s="20" t="str">
        <f aca="false">IF(G31=1,1+SUMPRODUCT(($G$24:$G$45=1)*($O$24:$O$45&lt;O31)),"")</f>
        <v/>
      </c>
    </row>
    <row r="32" customFormat="false" ht="15" hidden="false" customHeight="true" outlineLevel="0" collapsed="false">
      <c r="B32" s="20" t="s">
        <v>1161</v>
      </c>
      <c r="C32" s="20" t="str">
        <f aca="false">Goal9_key</f>
        <v/>
      </c>
      <c r="D32" s="20" t="str">
        <f aca="false">IFERROR(INDEX(Goal_Kinds,MATCH(C32,Goal_Keys,0)),"")</f>
        <v/>
      </c>
      <c r="E32" s="20" t="str">
        <f aca="false">Goal9_name</f>
        <v/>
      </c>
      <c r="F32" s="20" t="n">
        <f aca="false">Goal9_age</f>
        <v>0</v>
      </c>
      <c r="G32" s="20" t="n">
        <f aca="false">IF(OR(D32="spend",D32="mfree",D32="pot"),1,0)</f>
        <v>0</v>
      </c>
      <c r="H32" s="20" t="str">
        <f aca="false">IF(G32=1,MAX(F_Age+1,MIN(AS_End,F32)),"")</f>
        <v/>
      </c>
      <c r="I32" s="20" t="n">
        <f aca="false">IF(D32="retire",F_R,IF(D32="legacy",AS_End,F32))</f>
        <v>0</v>
      </c>
      <c r="J32" s="20" t="n">
        <f aca="false">IF(AND(C32="safety",Goal9_auto="Yes",Has_costsM=1),ROUND(F_EssM*AS_Months,0),Goal9_amount)</f>
        <v>0</v>
      </c>
      <c r="K32" s="20" t="n">
        <f aca="false">Goal9_saved</f>
        <v>0</v>
      </c>
      <c r="L32" s="20" t="str">
        <f aca="false">Goal9_prio</f>
        <v>Must have</v>
      </c>
      <c r="M32" s="20" t="str">
        <f aca="false">Goal9_rank</f>
        <v/>
      </c>
      <c r="N32" s="20" t="n">
        <f aca="false">IF(Goal_RankSet=1,IF(M32&lt;&gt;"",M32-1,IF(C32="safety",-1,PR_SortBig)),0)</f>
        <v>0</v>
      </c>
      <c r="O32" s="20" t="n">
        <f aca="false">IF(G32=1,(N32+1)*100000000+IF(C32="safety",0,1)*10000000+IF(L32="Nice to have",1,0)*1000000+H32*1000+9,1000000000000000)</f>
        <v>1000000000000000</v>
      </c>
      <c r="P32" s="20" t="str">
        <f aca="false">IF(G32=1,1+SUMPRODUCT(($G$24:$G$45=1)*($O$24:$O$45&lt;O32)),"")</f>
        <v/>
      </c>
    </row>
    <row r="33" customFormat="false" ht="15" hidden="false" customHeight="true" outlineLevel="0" collapsed="false">
      <c r="B33" s="20" t="s">
        <v>1162</v>
      </c>
      <c r="C33" s="20" t="str">
        <f aca="false">Goal10_key</f>
        <v/>
      </c>
      <c r="D33" s="20" t="str">
        <f aca="false">IFERROR(INDEX(Goal_Kinds,MATCH(C33,Goal_Keys,0)),"")</f>
        <v/>
      </c>
      <c r="E33" s="20" t="str">
        <f aca="false">Goal10_name</f>
        <v/>
      </c>
      <c r="F33" s="20" t="n">
        <f aca="false">Goal10_age</f>
        <v>0</v>
      </c>
      <c r="G33" s="20" t="n">
        <f aca="false">IF(OR(D33="spend",D33="mfree",D33="pot"),1,0)</f>
        <v>0</v>
      </c>
      <c r="H33" s="20" t="str">
        <f aca="false">IF(G33=1,MAX(F_Age+1,MIN(AS_End,F33)),"")</f>
        <v/>
      </c>
      <c r="I33" s="20" t="n">
        <f aca="false">IF(D33="retire",F_R,IF(D33="legacy",AS_End,F33))</f>
        <v>0</v>
      </c>
      <c r="J33" s="20" t="n">
        <f aca="false">IF(AND(C33="safety",Goal10_auto="Yes",Has_costsM=1),ROUND(F_EssM*AS_Months,0),Goal10_amount)</f>
        <v>0</v>
      </c>
      <c r="K33" s="20" t="n">
        <f aca="false">Goal10_saved</f>
        <v>0</v>
      </c>
      <c r="L33" s="20" t="str">
        <f aca="false">Goal10_prio</f>
        <v>Must have</v>
      </c>
      <c r="M33" s="20" t="str">
        <f aca="false">Goal10_rank</f>
        <v/>
      </c>
      <c r="N33" s="20" t="n">
        <f aca="false">IF(Goal_RankSet=1,IF(M33&lt;&gt;"",M33-1,IF(C33="safety",-1,PR_SortBig)),0)</f>
        <v>0</v>
      </c>
      <c r="O33" s="20" t="n">
        <f aca="false">IF(G33=1,(N33+1)*100000000+IF(C33="safety",0,1)*10000000+IF(L33="Nice to have",1,0)*1000000+H33*1000+10,1000000000000000)</f>
        <v>1000000000000000</v>
      </c>
      <c r="P33" s="20" t="str">
        <f aca="false">IF(G33=1,1+SUMPRODUCT(($G$24:$G$45=1)*($O$24:$O$45&lt;O33)),"")</f>
        <v/>
      </c>
    </row>
    <row r="34" customFormat="false" ht="15" hidden="false" customHeight="true" outlineLevel="0" collapsed="false">
      <c r="B34" s="20" t="s">
        <v>1163</v>
      </c>
      <c r="C34" s="20" t="str">
        <f aca="false">Goal11_key</f>
        <v/>
      </c>
      <c r="D34" s="20" t="str">
        <f aca="false">IFERROR(INDEX(Goal_Kinds,MATCH(C34,Goal_Keys,0)),"")</f>
        <v/>
      </c>
      <c r="E34" s="20" t="str">
        <f aca="false">Goal11_name</f>
        <v/>
      </c>
      <c r="F34" s="20" t="n">
        <f aca="false">Goal11_age</f>
        <v>0</v>
      </c>
      <c r="G34" s="20" t="n">
        <f aca="false">IF(OR(D34="spend",D34="mfree",D34="pot"),1,0)</f>
        <v>0</v>
      </c>
      <c r="H34" s="20" t="str">
        <f aca="false">IF(G34=1,MAX(F_Age+1,MIN(AS_End,F34)),"")</f>
        <v/>
      </c>
      <c r="I34" s="20" t="n">
        <f aca="false">IF(D34="retire",F_R,IF(D34="legacy",AS_End,F34))</f>
        <v>0</v>
      </c>
      <c r="J34" s="20" t="n">
        <f aca="false">IF(AND(C34="safety",Goal11_auto="Yes",Has_costsM=1),ROUND(F_EssM*AS_Months,0),Goal11_amount)</f>
        <v>0</v>
      </c>
      <c r="K34" s="20" t="n">
        <f aca="false">Goal11_saved</f>
        <v>0</v>
      </c>
      <c r="L34" s="20" t="str">
        <f aca="false">Goal11_prio</f>
        <v>Must have</v>
      </c>
      <c r="M34" s="20" t="str">
        <f aca="false">Goal11_rank</f>
        <v/>
      </c>
      <c r="N34" s="20" t="n">
        <f aca="false">IF(Goal_RankSet=1,IF(M34&lt;&gt;"",M34-1,IF(C34="safety",-1,PR_SortBig)),0)</f>
        <v>0</v>
      </c>
      <c r="O34" s="20" t="n">
        <f aca="false">IF(G34=1,(N34+1)*100000000+IF(C34="safety",0,1)*10000000+IF(L34="Nice to have",1,0)*1000000+H34*1000+11,1000000000000000)</f>
        <v>1000000000000000</v>
      </c>
      <c r="P34" s="20" t="str">
        <f aca="false">IF(G34=1,1+SUMPRODUCT(($G$24:$G$45=1)*($O$24:$O$45&lt;O34)),"")</f>
        <v/>
      </c>
    </row>
    <row r="35" customFormat="false" ht="15" hidden="false" customHeight="true" outlineLevel="0" collapsed="false">
      <c r="B35" s="20" t="s">
        <v>1164</v>
      </c>
      <c r="C35" s="20" t="str">
        <f aca="false">Goal12_key</f>
        <v/>
      </c>
      <c r="D35" s="20" t="str">
        <f aca="false">IFERROR(INDEX(Goal_Kinds,MATCH(C35,Goal_Keys,0)),"")</f>
        <v/>
      </c>
      <c r="E35" s="20" t="str">
        <f aca="false">Goal12_name</f>
        <v/>
      </c>
      <c r="F35" s="20" t="n">
        <f aca="false">Goal12_age</f>
        <v>0</v>
      </c>
      <c r="G35" s="20" t="n">
        <f aca="false">IF(OR(D35="spend",D35="mfree",D35="pot"),1,0)</f>
        <v>0</v>
      </c>
      <c r="H35" s="20" t="str">
        <f aca="false">IF(G35=1,MAX(F_Age+1,MIN(AS_End,F35)),"")</f>
        <v/>
      </c>
      <c r="I35" s="20" t="n">
        <f aca="false">IF(D35="retire",F_R,IF(D35="legacy",AS_End,F35))</f>
        <v>0</v>
      </c>
      <c r="J35" s="20" t="n">
        <f aca="false">IF(AND(C35="safety",Goal12_auto="Yes",Has_costsM=1),ROUND(F_EssM*AS_Months,0),Goal12_amount)</f>
        <v>0</v>
      </c>
      <c r="K35" s="20" t="n">
        <f aca="false">Goal12_saved</f>
        <v>0</v>
      </c>
      <c r="L35" s="20" t="str">
        <f aca="false">Goal12_prio</f>
        <v>Must have</v>
      </c>
      <c r="M35" s="20" t="str">
        <f aca="false">Goal12_rank</f>
        <v/>
      </c>
      <c r="N35" s="20" t="n">
        <f aca="false">IF(Goal_RankSet=1,IF(M35&lt;&gt;"",M35-1,IF(C35="safety",-1,PR_SortBig)),0)</f>
        <v>0</v>
      </c>
      <c r="O35" s="20" t="n">
        <f aca="false">IF(G35=1,(N35+1)*100000000+IF(C35="safety",0,1)*10000000+IF(L35="Nice to have",1,0)*1000000+H35*1000+12,1000000000000000)</f>
        <v>1000000000000000</v>
      </c>
      <c r="P35" s="20" t="str">
        <f aca="false">IF(G35=1,1+SUMPRODUCT(($G$24:$G$45=1)*($O$24:$O$45&lt;O35)),"")</f>
        <v/>
      </c>
    </row>
    <row r="36" customFormat="false" ht="15" hidden="false" customHeight="true" outlineLevel="0" collapsed="false">
      <c r="B36" s="20" t="s">
        <v>1165</v>
      </c>
      <c r="C36" s="20" t="str">
        <f aca="false">Goal13_key</f>
        <v/>
      </c>
      <c r="D36" s="20" t="str">
        <f aca="false">IFERROR(INDEX(Goal_Kinds,MATCH(C36,Goal_Keys,0)),"")</f>
        <v/>
      </c>
      <c r="E36" s="20" t="str">
        <f aca="false">Goal13_name</f>
        <v/>
      </c>
      <c r="F36" s="20" t="n">
        <f aca="false">Goal13_age</f>
        <v>0</v>
      </c>
      <c r="G36" s="20" t="n">
        <f aca="false">IF(OR(D36="spend",D36="mfree",D36="pot"),1,0)</f>
        <v>0</v>
      </c>
      <c r="H36" s="20" t="str">
        <f aca="false">IF(G36=1,MAX(F_Age+1,MIN(AS_End,F36)),"")</f>
        <v/>
      </c>
      <c r="I36" s="20" t="n">
        <f aca="false">IF(D36="retire",F_R,IF(D36="legacy",AS_End,F36))</f>
        <v>0</v>
      </c>
      <c r="J36" s="20" t="n">
        <f aca="false">IF(AND(C36="safety",Goal13_auto="Yes",Has_costsM=1),ROUND(F_EssM*AS_Months,0),Goal13_amount)</f>
        <v>0</v>
      </c>
      <c r="K36" s="20" t="n">
        <f aca="false">Goal13_saved</f>
        <v>0</v>
      </c>
      <c r="L36" s="20" t="str">
        <f aca="false">Goal13_prio</f>
        <v>Must have</v>
      </c>
      <c r="M36" s="20" t="str">
        <f aca="false">Goal13_rank</f>
        <v/>
      </c>
      <c r="N36" s="20" t="n">
        <f aca="false">IF(Goal_RankSet=1,IF(M36&lt;&gt;"",M36-1,IF(C36="safety",-1,PR_SortBig)),0)</f>
        <v>0</v>
      </c>
      <c r="O36" s="20" t="n">
        <f aca="false">IF(G36=1,(N36+1)*100000000+IF(C36="safety",0,1)*10000000+IF(L36="Nice to have",1,0)*1000000+H36*1000+13,1000000000000000)</f>
        <v>1000000000000000</v>
      </c>
      <c r="P36" s="20" t="str">
        <f aca="false">IF(G36=1,1+SUMPRODUCT(($G$24:$G$45=1)*($O$24:$O$45&lt;O36)),"")</f>
        <v/>
      </c>
    </row>
    <row r="37" customFormat="false" ht="15" hidden="false" customHeight="true" outlineLevel="0" collapsed="false">
      <c r="B37" s="20" t="s">
        <v>1166</v>
      </c>
      <c r="C37" s="20" t="str">
        <f aca="false">Goal14_key</f>
        <v/>
      </c>
      <c r="D37" s="20" t="str">
        <f aca="false">IFERROR(INDEX(Goal_Kinds,MATCH(C37,Goal_Keys,0)),"")</f>
        <v/>
      </c>
      <c r="E37" s="20" t="str">
        <f aca="false">Goal14_name</f>
        <v/>
      </c>
      <c r="F37" s="20" t="n">
        <f aca="false">Goal14_age</f>
        <v>0</v>
      </c>
      <c r="G37" s="20" t="n">
        <f aca="false">IF(OR(D37="spend",D37="mfree",D37="pot"),1,0)</f>
        <v>0</v>
      </c>
      <c r="H37" s="20" t="str">
        <f aca="false">IF(G37=1,MAX(F_Age+1,MIN(AS_End,F37)),"")</f>
        <v/>
      </c>
      <c r="I37" s="20" t="n">
        <f aca="false">IF(D37="retire",F_R,IF(D37="legacy",AS_End,F37))</f>
        <v>0</v>
      </c>
      <c r="J37" s="20" t="n">
        <f aca="false">IF(AND(C37="safety",Goal14_auto="Yes",Has_costsM=1),ROUND(F_EssM*AS_Months,0),Goal14_amount)</f>
        <v>0</v>
      </c>
      <c r="K37" s="20" t="n">
        <f aca="false">Goal14_saved</f>
        <v>0</v>
      </c>
      <c r="L37" s="20" t="str">
        <f aca="false">Goal14_prio</f>
        <v>Must have</v>
      </c>
      <c r="M37" s="20" t="str">
        <f aca="false">Goal14_rank</f>
        <v/>
      </c>
      <c r="N37" s="20" t="n">
        <f aca="false">IF(Goal_RankSet=1,IF(M37&lt;&gt;"",M37-1,IF(C37="safety",-1,PR_SortBig)),0)</f>
        <v>0</v>
      </c>
      <c r="O37" s="20" t="n">
        <f aca="false">IF(G37=1,(N37+1)*100000000+IF(C37="safety",0,1)*10000000+IF(L37="Nice to have",1,0)*1000000+H37*1000+14,1000000000000000)</f>
        <v>1000000000000000</v>
      </c>
      <c r="P37" s="20" t="str">
        <f aca="false">IF(G37=1,1+SUMPRODUCT(($G$24:$G$45=1)*($O$24:$O$45&lt;O37)),"")</f>
        <v/>
      </c>
    </row>
    <row r="38" customFormat="false" ht="15" hidden="false" customHeight="true" outlineLevel="0" collapsed="false">
      <c r="B38" s="20" t="s">
        <v>1167</v>
      </c>
      <c r="C38" s="20" t="str">
        <f aca="false">Goal15_key</f>
        <v/>
      </c>
      <c r="D38" s="20" t="str">
        <f aca="false">IFERROR(INDEX(Goal_Kinds,MATCH(C38,Goal_Keys,0)),"")</f>
        <v/>
      </c>
      <c r="E38" s="20" t="str">
        <f aca="false">Goal15_name</f>
        <v/>
      </c>
      <c r="F38" s="20" t="n">
        <f aca="false">Goal15_age</f>
        <v>0</v>
      </c>
      <c r="G38" s="20" t="n">
        <f aca="false">IF(OR(D38="spend",D38="mfree",D38="pot"),1,0)</f>
        <v>0</v>
      </c>
      <c r="H38" s="20" t="str">
        <f aca="false">IF(G38=1,MAX(F_Age+1,MIN(AS_End,F38)),"")</f>
        <v/>
      </c>
      <c r="I38" s="20" t="n">
        <f aca="false">IF(D38="retire",F_R,IF(D38="legacy",AS_End,F38))</f>
        <v>0</v>
      </c>
      <c r="J38" s="20" t="n">
        <f aca="false">IF(AND(C38="safety",Goal15_auto="Yes",Has_costsM=1),ROUND(F_EssM*AS_Months,0),Goal15_amount)</f>
        <v>0</v>
      </c>
      <c r="K38" s="20" t="n">
        <f aca="false">Goal15_saved</f>
        <v>0</v>
      </c>
      <c r="L38" s="20" t="str">
        <f aca="false">Goal15_prio</f>
        <v>Must have</v>
      </c>
      <c r="M38" s="20" t="str">
        <f aca="false">Goal15_rank</f>
        <v/>
      </c>
      <c r="N38" s="20" t="n">
        <f aca="false">IF(Goal_RankSet=1,IF(M38&lt;&gt;"",M38-1,IF(C38="safety",-1,PR_SortBig)),0)</f>
        <v>0</v>
      </c>
      <c r="O38" s="20" t="n">
        <f aca="false">IF(G38=1,(N38+1)*100000000+IF(C38="safety",0,1)*10000000+IF(L38="Nice to have",1,0)*1000000+H38*1000+15,1000000000000000)</f>
        <v>1000000000000000</v>
      </c>
      <c r="P38" s="20" t="str">
        <f aca="false">IF(G38=1,1+SUMPRODUCT(($G$24:$G$45=1)*($O$24:$O$45&lt;O38)),"")</f>
        <v/>
      </c>
    </row>
    <row r="39" customFormat="false" ht="15" hidden="false" customHeight="true" outlineLevel="0" collapsed="false">
      <c r="B39" s="20" t="s">
        <v>1168</v>
      </c>
      <c r="C39" s="20" t="str">
        <f aca="false">Goal16_key</f>
        <v/>
      </c>
      <c r="D39" s="20" t="str">
        <f aca="false">IFERROR(INDEX(Goal_Kinds,MATCH(C39,Goal_Keys,0)),"")</f>
        <v/>
      </c>
      <c r="E39" s="20" t="str">
        <f aca="false">Goal16_name</f>
        <v/>
      </c>
      <c r="F39" s="20" t="n">
        <f aca="false">Goal16_age</f>
        <v>0</v>
      </c>
      <c r="G39" s="20" t="n">
        <f aca="false">IF(OR(D39="spend",D39="mfree",D39="pot"),1,0)</f>
        <v>0</v>
      </c>
      <c r="H39" s="20" t="str">
        <f aca="false">IF(G39=1,MAX(F_Age+1,MIN(AS_End,F39)),"")</f>
        <v/>
      </c>
      <c r="I39" s="20" t="n">
        <f aca="false">IF(D39="retire",F_R,IF(D39="legacy",AS_End,F39))</f>
        <v>0</v>
      </c>
      <c r="J39" s="20" t="n">
        <f aca="false">IF(AND(C39="safety",Goal16_auto="Yes",Has_costsM=1),ROUND(F_EssM*AS_Months,0),Goal16_amount)</f>
        <v>0</v>
      </c>
      <c r="K39" s="20" t="n">
        <f aca="false">Goal16_saved</f>
        <v>0</v>
      </c>
      <c r="L39" s="20" t="str">
        <f aca="false">Goal16_prio</f>
        <v>Must have</v>
      </c>
      <c r="M39" s="20" t="str">
        <f aca="false">Goal16_rank</f>
        <v/>
      </c>
      <c r="N39" s="20" t="n">
        <f aca="false">IF(Goal_RankSet=1,IF(M39&lt;&gt;"",M39-1,IF(C39="safety",-1,PR_SortBig)),0)</f>
        <v>0</v>
      </c>
      <c r="O39" s="20" t="n">
        <f aca="false">IF(G39=1,(N39+1)*100000000+IF(C39="safety",0,1)*10000000+IF(L39="Nice to have",1,0)*1000000+H39*1000+16,1000000000000000)</f>
        <v>1000000000000000</v>
      </c>
      <c r="P39" s="20" t="str">
        <f aca="false">IF(G39=1,1+SUMPRODUCT(($G$24:$G$45=1)*($O$24:$O$45&lt;O39)),"")</f>
        <v/>
      </c>
    </row>
    <row r="40" customFormat="false" ht="15" hidden="false" customHeight="true" outlineLevel="0" collapsed="false">
      <c r="B40" s="20" t="s">
        <v>1169</v>
      </c>
      <c r="C40" s="20" t="str">
        <f aca="false">Goal17_key</f>
        <v/>
      </c>
      <c r="D40" s="20" t="str">
        <f aca="false">IFERROR(INDEX(Goal_Kinds,MATCH(C40,Goal_Keys,0)),"")</f>
        <v/>
      </c>
      <c r="E40" s="20" t="str">
        <f aca="false">Goal17_name</f>
        <v/>
      </c>
      <c r="F40" s="20" t="n">
        <f aca="false">Goal17_age</f>
        <v>0</v>
      </c>
      <c r="G40" s="20" t="n">
        <f aca="false">IF(OR(D40="spend",D40="mfree",D40="pot"),1,0)</f>
        <v>0</v>
      </c>
      <c r="H40" s="20" t="str">
        <f aca="false">IF(G40=1,MAX(F_Age+1,MIN(AS_End,F40)),"")</f>
        <v/>
      </c>
      <c r="I40" s="20" t="n">
        <f aca="false">IF(D40="retire",F_R,IF(D40="legacy",AS_End,F40))</f>
        <v>0</v>
      </c>
      <c r="J40" s="20" t="n">
        <f aca="false">IF(AND(C40="safety",Goal17_auto="Yes",Has_costsM=1),ROUND(F_EssM*AS_Months,0),Goal17_amount)</f>
        <v>0</v>
      </c>
      <c r="K40" s="20" t="n">
        <f aca="false">Goal17_saved</f>
        <v>0</v>
      </c>
      <c r="L40" s="20" t="str">
        <f aca="false">Goal17_prio</f>
        <v>Must have</v>
      </c>
      <c r="M40" s="20" t="str">
        <f aca="false">Goal17_rank</f>
        <v/>
      </c>
      <c r="N40" s="20" t="n">
        <f aca="false">IF(Goal_RankSet=1,IF(M40&lt;&gt;"",M40-1,IF(C40="safety",-1,PR_SortBig)),0)</f>
        <v>0</v>
      </c>
      <c r="O40" s="20" t="n">
        <f aca="false">IF(G40=1,(N40+1)*100000000+IF(C40="safety",0,1)*10000000+IF(L40="Nice to have",1,0)*1000000+H40*1000+17,1000000000000000)</f>
        <v>1000000000000000</v>
      </c>
      <c r="P40" s="20" t="str">
        <f aca="false">IF(G40=1,1+SUMPRODUCT(($G$24:$G$45=1)*($O$24:$O$45&lt;O40)),"")</f>
        <v/>
      </c>
    </row>
    <row r="41" customFormat="false" ht="15" hidden="false" customHeight="true" outlineLevel="0" collapsed="false">
      <c r="B41" s="20" t="s">
        <v>1170</v>
      </c>
      <c r="C41" s="20" t="str">
        <f aca="false">Goal18_key</f>
        <v/>
      </c>
      <c r="D41" s="20" t="str">
        <f aca="false">IFERROR(INDEX(Goal_Kinds,MATCH(C41,Goal_Keys,0)),"")</f>
        <v/>
      </c>
      <c r="E41" s="20" t="str">
        <f aca="false">Goal18_name</f>
        <v/>
      </c>
      <c r="F41" s="20" t="n">
        <f aca="false">Goal18_age</f>
        <v>0</v>
      </c>
      <c r="G41" s="20" t="n">
        <f aca="false">IF(OR(D41="spend",D41="mfree",D41="pot"),1,0)</f>
        <v>0</v>
      </c>
      <c r="H41" s="20" t="str">
        <f aca="false">IF(G41=1,MAX(F_Age+1,MIN(AS_End,F41)),"")</f>
        <v/>
      </c>
      <c r="I41" s="20" t="n">
        <f aca="false">IF(D41="retire",F_R,IF(D41="legacy",AS_End,F41))</f>
        <v>0</v>
      </c>
      <c r="J41" s="20" t="n">
        <f aca="false">IF(AND(C41="safety",Goal18_auto="Yes",Has_costsM=1),ROUND(F_EssM*AS_Months,0),Goal18_amount)</f>
        <v>0</v>
      </c>
      <c r="K41" s="20" t="n">
        <f aca="false">Goal18_saved</f>
        <v>0</v>
      </c>
      <c r="L41" s="20" t="str">
        <f aca="false">Goal18_prio</f>
        <v>Must have</v>
      </c>
      <c r="M41" s="20" t="str">
        <f aca="false">Goal18_rank</f>
        <v/>
      </c>
      <c r="N41" s="20" t="n">
        <f aca="false">IF(Goal_RankSet=1,IF(M41&lt;&gt;"",M41-1,IF(C41="safety",-1,PR_SortBig)),0)</f>
        <v>0</v>
      </c>
      <c r="O41" s="20" t="n">
        <f aca="false">IF(G41=1,(N41+1)*100000000+IF(C41="safety",0,1)*10000000+IF(L41="Nice to have",1,0)*1000000+H41*1000+18,1000000000000000)</f>
        <v>1000000000000000</v>
      </c>
      <c r="P41" s="20" t="str">
        <f aca="false">IF(G41=1,1+SUMPRODUCT(($G$24:$G$45=1)*($O$24:$O$45&lt;O41)),"")</f>
        <v/>
      </c>
    </row>
    <row r="42" customFormat="false" ht="15" hidden="false" customHeight="true" outlineLevel="0" collapsed="false">
      <c r="B42" s="20" t="s">
        <v>1171</v>
      </c>
      <c r="C42" s="20" t="str">
        <f aca="false">Goal19_key</f>
        <v/>
      </c>
      <c r="D42" s="20" t="str">
        <f aca="false">IFERROR(INDEX(Goal_Kinds,MATCH(C42,Goal_Keys,0)),"")</f>
        <v/>
      </c>
      <c r="E42" s="20" t="str">
        <f aca="false">Goal19_name</f>
        <v/>
      </c>
      <c r="F42" s="20" t="n">
        <f aca="false">Goal19_age</f>
        <v>0</v>
      </c>
      <c r="G42" s="20" t="n">
        <f aca="false">IF(OR(D42="spend",D42="mfree",D42="pot"),1,0)</f>
        <v>0</v>
      </c>
      <c r="H42" s="20" t="str">
        <f aca="false">IF(G42=1,MAX(F_Age+1,MIN(AS_End,F42)),"")</f>
        <v/>
      </c>
      <c r="I42" s="20" t="n">
        <f aca="false">IF(D42="retire",F_R,IF(D42="legacy",AS_End,F42))</f>
        <v>0</v>
      </c>
      <c r="J42" s="20" t="n">
        <f aca="false">IF(AND(C42="safety",Goal19_auto="Yes",Has_costsM=1),ROUND(F_EssM*AS_Months,0),Goal19_amount)</f>
        <v>0</v>
      </c>
      <c r="K42" s="20" t="n">
        <f aca="false">Goal19_saved</f>
        <v>0</v>
      </c>
      <c r="L42" s="20" t="str">
        <f aca="false">Goal19_prio</f>
        <v>Must have</v>
      </c>
      <c r="M42" s="20" t="str">
        <f aca="false">Goal19_rank</f>
        <v/>
      </c>
      <c r="N42" s="20" t="n">
        <f aca="false">IF(Goal_RankSet=1,IF(M42&lt;&gt;"",M42-1,IF(C42="safety",-1,PR_SortBig)),0)</f>
        <v>0</v>
      </c>
      <c r="O42" s="20" t="n">
        <f aca="false">IF(G42=1,(N42+1)*100000000+IF(C42="safety",0,1)*10000000+IF(L42="Nice to have",1,0)*1000000+H42*1000+19,1000000000000000)</f>
        <v>1000000000000000</v>
      </c>
      <c r="P42" s="20" t="str">
        <f aca="false">IF(G42=1,1+SUMPRODUCT(($G$24:$G$45=1)*($O$24:$O$45&lt;O42)),"")</f>
        <v/>
      </c>
    </row>
    <row r="43" customFormat="false" ht="15" hidden="false" customHeight="true" outlineLevel="0" collapsed="false">
      <c r="B43" s="20" t="s">
        <v>1172</v>
      </c>
      <c r="C43" s="20" t="str">
        <f aca="false">Goal20_key</f>
        <v/>
      </c>
      <c r="D43" s="20" t="str">
        <f aca="false">IFERROR(INDEX(Goal_Kinds,MATCH(C43,Goal_Keys,0)),"")</f>
        <v/>
      </c>
      <c r="E43" s="20" t="str">
        <f aca="false">Goal20_name</f>
        <v/>
      </c>
      <c r="F43" s="20" t="n">
        <f aca="false">Goal20_age</f>
        <v>0</v>
      </c>
      <c r="G43" s="20" t="n">
        <f aca="false">IF(OR(D43="spend",D43="mfree",D43="pot"),1,0)</f>
        <v>0</v>
      </c>
      <c r="H43" s="20" t="str">
        <f aca="false">IF(G43=1,MAX(F_Age+1,MIN(AS_End,F43)),"")</f>
        <v/>
      </c>
      <c r="I43" s="20" t="n">
        <f aca="false">IF(D43="retire",F_R,IF(D43="legacy",AS_End,F43))</f>
        <v>0</v>
      </c>
      <c r="J43" s="20" t="n">
        <f aca="false">IF(AND(C43="safety",Goal20_auto="Yes",Has_costsM=1),ROUND(F_EssM*AS_Months,0),Goal20_amount)</f>
        <v>0</v>
      </c>
      <c r="K43" s="20" t="n">
        <f aca="false">Goal20_saved</f>
        <v>0</v>
      </c>
      <c r="L43" s="20" t="str">
        <f aca="false">Goal20_prio</f>
        <v>Must have</v>
      </c>
      <c r="M43" s="20" t="str">
        <f aca="false">Goal20_rank</f>
        <v/>
      </c>
      <c r="N43" s="20" t="n">
        <f aca="false">IF(Goal_RankSet=1,IF(M43&lt;&gt;"",M43-1,IF(C43="safety",-1,PR_SortBig)),0)</f>
        <v>0</v>
      </c>
      <c r="O43" s="20" t="n">
        <f aca="false">IF(G43=1,(N43+1)*100000000+IF(C43="safety",0,1)*10000000+IF(L43="Nice to have",1,0)*1000000+H43*1000+20,1000000000000000)</f>
        <v>1000000000000000</v>
      </c>
      <c r="P43" s="20" t="str">
        <f aca="false">IF(G43=1,1+SUMPRODUCT(($G$24:$G$45=1)*($O$24:$O$45&lt;O43)),"")</f>
        <v/>
      </c>
    </row>
    <row r="44" customFormat="false" ht="15" hidden="false" customHeight="true" outlineLevel="0" collapsed="false">
      <c r="B44" s="20" t="s">
        <v>1173</v>
      </c>
      <c r="C44" s="20" t="str">
        <f aca="false">Goal21_key</f>
        <v/>
      </c>
      <c r="D44" s="20" t="str">
        <f aca="false">IFERROR(INDEX(Goal_Kinds,MATCH(C44,Goal_Keys,0)),"")</f>
        <v/>
      </c>
      <c r="E44" s="20" t="str">
        <f aca="false">Goal21_name</f>
        <v/>
      </c>
      <c r="F44" s="20" t="n">
        <f aca="false">Goal21_age</f>
        <v>0</v>
      </c>
      <c r="G44" s="20" t="n">
        <f aca="false">IF(OR(D44="spend",D44="mfree",D44="pot"),1,0)</f>
        <v>0</v>
      </c>
      <c r="H44" s="20" t="str">
        <f aca="false">IF(G44=1,MAX(F_Age+1,MIN(AS_End,F44)),"")</f>
        <v/>
      </c>
      <c r="I44" s="20" t="n">
        <f aca="false">IF(D44="retire",F_R,IF(D44="legacy",AS_End,F44))</f>
        <v>0</v>
      </c>
      <c r="J44" s="20" t="n">
        <f aca="false">IF(AND(C44="safety",Goal21_auto="Yes",Has_costsM=1),ROUND(F_EssM*AS_Months,0),Goal21_amount)</f>
        <v>0</v>
      </c>
      <c r="K44" s="20" t="n">
        <f aca="false">Goal21_saved</f>
        <v>0</v>
      </c>
      <c r="L44" s="20" t="str">
        <f aca="false">Goal21_prio</f>
        <v>Must have</v>
      </c>
      <c r="M44" s="20" t="str">
        <f aca="false">Goal21_rank</f>
        <v/>
      </c>
      <c r="N44" s="20" t="n">
        <f aca="false">IF(Goal_RankSet=1,IF(M44&lt;&gt;"",M44-1,IF(C44="safety",-1,PR_SortBig)),0)</f>
        <v>0</v>
      </c>
      <c r="O44" s="20" t="n">
        <f aca="false">IF(G44=1,(N44+1)*100000000+IF(C44="safety",0,1)*10000000+IF(L44="Nice to have",1,0)*1000000+H44*1000+21,1000000000000000)</f>
        <v>1000000000000000</v>
      </c>
      <c r="P44" s="20" t="str">
        <f aca="false">IF(G44=1,1+SUMPRODUCT(($G$24:$G$45=1)*($O$24:$O$45&lt;O44)),"")</f>
        <v/>
      </c>
    </row>
    <row r="45" customFormat="false" ht="15" hidden="false" customHeight="true" outlineLevel="0" collapsed="false">
      <c r="B45" s="20" t="s">
        <v>1174</v>
      </c>
      <c r="C45" s="20" t="str">
        <f aca="false">Goal22_key</f>
        <v/>
      </c>
      <c r="D45" s="20" t="str">
        <f aca="false">IFERROR(INDEX(Goal_Kinds,MATCH(C45,Goal_Keys,0)),"")</f>
        <v/>
      </c>
      <c r="E45" s="20" t="str">
        <f aca="false">Goal22_name</f>
        <v/>
      </c>
      <c r="F45" s="20" t="n">
        <f aca="false">Goal22_age</f>
        <v>0</v>
      </c>
      <c r="G45" s="20" t="n">
        <f aca="false">IF(OR(D45="spend",D45="mfree",D45="pot"),1,0)</f>
        <v>0</v>
      </c>
      <c r="H45" s="20" t="str">
        <f aca="false">IF(G45=1,MAX(F_Age+1,MIN(AS_End,F45)),"")</f>
        <v/>
      </c>
      <c r="I45" s="20" t="n">
        <f aca="false">IF(D45="retire",F_R,IF(D45="legacy",AS_End,F45))</f>
        <v>0</v>
      </c>
      <c r="J45" s="20" t="n">
        <f aca="false">IF(AND(C45="safety",Goal22_auto="Yes",Has_costsM=1),ROUND(F_EssM*AS_Months,0),Goal22_amount)</f>
        <v>0</v>
      </c>
      <c r="K45" s="20" t="n">
        <f aca="false">Goal22_saved</f>
        <v>0</v>
      </c>
      <c r="L45" s="20" t="str">
        <f aca="false">Goal22_prio</f>
        <v>Must have</v>
      </c>
      <c r="M45" s="20" t="str">
        <f aca="false">Goal22_rank</f>
        <v/>
      </c>
      <c r="N45" s="20" t="n">
        <f aca="false">IF(Goal_RankSet=1,IF(M45&lt;&gt;"",M45-1,IF(C45="safety",-1,PR_SortBig)),0)</f>
        <v>0</v>
      </c>
      <c r="O45" s="20" t="n">
        <f aca="false">IF(G45=1,(N45+1)*100000000+IF(C45="safety",0,1)*10000000+IF(L45="Nice to have",1,0)*1000000+H45*1000+22,1000000000000000)</f>
        <v>1000000000000000</v>
      </c>
      <c r="P45" s="20" t="str">
        <f aca="false">IF(G45=1,1+SUMPRODUCT(($G$24:$G$45=1)*($O$24:$O$45&lt;O45)),"")</f>
        <v/>
      </c>
    </row>
    <row r="47" customFormat="false" ht="15" hidden="false" customHeight="true" outlineLevel="0" collapsed="false">
      <c r="B47" s="20" t="s">
        <v>1685</v>
      </c>
      <c r="D47" s="42" t="n">
        <f aca="false">IF(COUNT($M$24:$M$45)&gt;0,1,0)</f>
        <v>0</v>
      </c>
      <c r="E47" s="25"/>
    </row>
    <row r="48" customFormat="false" ht="15" hidden="false" customHeight="true" outlineLevel="0" collapsed="false">
      <c r="B48" s="20" t="s">
        <v>1686</v>
      </c>
      <c r="D48" s="42" t="n">
        <f aca="false">IF(COUNTIF(GL_Kind,"retire")&gt;0,1,0)</f>
        <v>1</v>
      </c>
      <c r="E48" s="25"/>
    </row>
    <row r="49" customFormat="false" ht="15" hidden="false" customHeight="true" outlineLevel="0" collapsed="false">
      <c r="B49" s="20" t="s">
        <v>1687</v>
      </c>
      <c r="D49" s="42" t="n">
        <f aca="false">IFERROR(MATCH("retire",GL_Kind,0),0)</f>
        <v>5</v>
      </c>
      <c r="E49" s="25"/>
    </row>
    <row r="50" customFormat="false" ht="15" hidden="false" customHeight="true" outlineLevel="0" collapsed="false">
      <c r="B50" s="20" t="s">
        <v>1688</v>
      </c>
      <c r="D50" s="42" t="n">
        <f aca="false">IF(RG_Row&gt;0,INDEX(GL_Amount,RG_Row),0)</f>
        <v>46000</v>
      </c>
      <c r="E50" s="25"/>
    </row>
    <row r="52" customFormat="false" ht="15" hidden="false" customHeight="true" outlineLevel="0" collapsed="false">
      <c r="B52" s="53" t="s">
        <v>1689</v>
      </c>
    </row>
    <row r="53" customFormat="false" ht="45.75" hidden="false" customHeight="true" outlineLevel="0" collapsed="false">
      <c r="B53" s="33" t="s">
        <v>1690</v>
      </c>
      <c r="C53" s="33" t="s">
        <v>1691</v>
      </c>
      <c r="D53" s="33" t="s">
        <v>1692</v>
      </c>
      <c r="E53" s="33" t="s">
        <v>1674</v>
      </c>
      <c r="F53" s="33" t="s">
        <v>1635</v>
      </c>
      <c r="G53" s="33" t="s">
        <v>1693</v>
      </c>
      <c r="H53" s="33" t="s">
        <v>1694</v>
      </c>
      <c r="I53" s="33" t="s">
        <v>1139</v>
      </c>
      <c r="J53" s="33" t="s">
        <v>1695</v>
      </c>
      <c r="K53" s="33" t="s">
        <v>1696</v>
      </c>
      <c r="L53" s="33" t="s">
        <v>1697</v>
      </c>
      <c r="M53" s="33" t="s">
        <v>1698</v>
      </c>
      <c r="N53" s="33" t="s">
        <v>1699</v>
      </c>
      <c r="O53" s="33" t="s">
        <v>1700</v>
      </c>
      <c r="P53" s="33" t="s">
        <v>1701</v>
      </c>
      <c r="Q53" s="33" t="s">
        <v>1702</v>
      </c>
      <c r="R53" s="33" t="s">
        <v>1703</v>
      </c>
      <c r="S53" s="33" t="s">
        <v>1704</v>
      </c>
      <c r="T53" s="33" t="s">
        <v>1705</v>
      </c>
      <c r="U53" s="33" t="s">
        <v>1706</v>
      </c>
      <c r="V53" s="33" t="s">
        <v>1707</v>
      </c>
      <c r="W53" s="33" t="s">
        <v>1708</v>
      </c>
      <c r="X53" s="33" t="s">
        <v>1709</v>
      </c>
      <c r="Y53" s="33" t="s">
        <v>1710</v>
      </c>
      <c r="Z53" s="33" t="s">
        <v>1711</v>
      </c>
      <c r="AA53" s="33" t="s">
        <v>1712</v>
      </c>
      <c r="AB53" s="33" t="s">
        <v>1713</v>
      </c>
    </row>
    <row r="54" customFormat="false" ht="15" hidden="false" customHeight="true" outlineLevel="0" collapsed="false">
      <c r="B54" s="20" t="n">
        <v>1</v>
      </c>
      <c r="C54" s="20" t="n">
        <f aca="false">IFERROR(MATCH(1,GL_Pos,0),0)</f>
        <v>4</v>
      </c>
      <c r="D54" s="20" t="n">
        <f aca="false">IF(C54&gt;0,1,0)</f>
        <v>1</v>
      </c>
      <c r="E54" s="20" t="str">
        <f aca="false">IF(D54=1,INDEX(GL_Key,C54),"")</f>
        <v>safety</v>
      </c>
      <c r="F54" s="20" t="str">
        <f aca="false">IF(D54=1,INDEX(GL_Kind,C54),"")</f>
        <v>pot</v>
      </c>
      <c r="G54" s="20" t="n">
        <f aca="false">IF(D54=1,INDEX(GL_Age,C54),0)</f>
        <v>40</v>
      </c>
      <c r="H54" s="20" t="n">
        <f aca="false">IF(D54=1,INDEX(GL_Amount,C54),0)</f>
        <v>15000</v>
      </c>
      <c r="I54" s="20" t="n">
        <f aca="false">IF(D54=1,INDEX(GL_Saved,C54),0)</f>
        <v>5000</v>
      </c>
      <c r="J54" s="20" t="n">
        <f aca="false">IF(D54=1,MAX(0,G54-F_Age),0)</f>
        <v>2</v>
      </c>
      <c r="K54" s="54" t="n">
        <f aca="false">IF(J54&gt;=AS_LongYrs,AS_Inv,AS_Cash)</f>
        <v>0.01</v>
      </c>
      <c r="L54" s="20" t="n">
        <f aca="false">IF(D54=1,IF(F54="mfree",IF(F_MortBal&gt;0,INDEX(Plan_mPath,MIN(J54+1,F_N)+1),H54*(1+AS_Infl)^J54),H54*(1+AS_Infl)^J54),0)</f>
        <v>15606</v>
      </c>
      <c r="M54" s="20" t="n">
        <f aca="false">IF(OR(F54="spend",F54="mfree"),1,0)</f>
        <v>0</v>
      </c>
      <c r="N54" s="20" t="n">
        <f aca="false">IF(AND(F54="pot",E54&lt;&gt;"safety"),1,0)</f>
        <v>0</v>
      </c>
      <c r="O54" s="20" t="n">
        <f aca="false">IF(AND(F54="pot",E54="safety"),1,0)</f>
        <v>1</v>
      </c>
      <c r="P54" s="20" t="n">
        <f aca="false">IF(F54="mfree",1,0)</f>
        <v>0</v>
      </c>
      <c r="Q54" s="20" t="n">
        <f aca="false">IF(AND(D54=1,In_wiGoal&gt;0,C54=In_wiGoal),1,0)</f>
        <v>0</v>
      </c>
      <c r="R54" s="20" t="n">
        <f aca="false">IF(D54=1,MIN(I54,F_Cash),0)</f>
        <v>5000</v>
      </c>
      <c r="S54" s="20" t="n">
        <f aca="false">IF(AND(Q54=1,WI_Retire=0),WI_L,0)</f>
        <v>0</v>
      </c>
      <c r="T54" s="20" t="n">
        <f aca="false">F_Cash-R54</f>
        <v>4000</v>
      </c>
      <c r="U54" s="20" t="n">
        <f aca="false">IF(D54=1,MAX(0,L54/(1+K54)^J54-(R54+S54)),0)</f>
        <v>10298.5001470444</v>
      </c>
      <c r="V54" s="20" t="n">
        <f aca="false">Y54+Z54</f>
        <v>4000</v>
      </c>
      <c r="W54" s="20" t="n">
        <f aca="false">AA54+AB54</f>
        <v>6200</v>
      </c>
      <c r="X54" s="20" t="n">
        <f aca="false">R54+S54+V54</f>
        <v>9000</v>
      </c>
      <c r="Y54" s="20" t="n">
        <f aca="false">IF(D54=1,MIN(U54,PG_Easy0),0)</f>
        <v>4000</v>
      </c>
      <c r="Z54" s="20" t="n">
        <f aca="false">IF(AND(D54=1,O54=0),MIN(U54-Y54,PG_Rest0),0)</f>
        <v>0</v>
      </c>
      <c r="AA54" s="20" t="n">
        <f aca="false">PG_Easy0-Y54</f>
        <v>0</v>
      </c>
      <c r="AB54" s="20" t="n">
        <f aca="false">PG_Rest0-Z54</f>
        <v>6200</v>
      </c>
    </row>
    <row r="55" customFormat="false" ht="15" hidden="false" customHeight="true" outlineLevel="0" collapsed="false">
      <c r="B55" s="20" t="n">
        <v>2</v>
      </c>
      <c r="C55" s="20" t="n">
        <f aca="false">IFERROR(MATCH(2,GL_Pos,0),0)</f>
        <v>2</v>
      </c>
      <c r="D55" s="20" t="n">
        <f aca="false">IF(C55&gt;0,1,0)</f>
        <v>1</v>
      </c>
      <c r="E55" s="20" t="str">
        <f aca="false">IF(D55=1,INDEX(GL_Key,C55),"")</f>
        <v>travel</v>
      </c>
      <c r="F55" s="20" t="str">
        <f aca="false">IF(D55=1,INDEX(GL_Kind,C55),"")</f>
        <v>spend</v>
      </c>
      <c r="G55" s="20" t="n">
        <f aca="false">IF(D55=1,INDEX(GL_Age,C55),0)</f>
        <v>41</v>
      </c>
      <c r="H55" s="20" t="n">
        <f aca="false">IF(D55=1,INDEX(GL_Amount,C55),0)</f>
        <v>12000</v>
      </c>
      <c r="I55" s="20" t="n">
        <f aca="false">IF(D55=1,INDEX(GL_Saved,C55),0)</f>
        <v>0</v>
      </c>
      <c r="J55" s="20" t="n">
        <f aca="false">IF(D55=1,MAX(0,G55-F_Age),0)</f>
        <v>3</v>
      </c>
      <c r="K55" s="54" t="n">
        <f aca="false">IF(J55&gt;=AS_LongYrs,AS_Inv,AS_Cash)</f>
        <v>0.01</v>
      </c>
      <c r="L55" s="20" t="n">
        <f aca="false">IF(D55=1,IF(F55="mfree",IF(F_MortBal&gt;0,INDEX(Plan_mPath,MIN(J55+1,F_N)+1),H55*(1+AS_Infl)^J55),H55*(1+AS_Infl)^J55),0)</f>
        <v>12734.496</v>
      </c>
      <c r="M55" s="20" t="n">
        <f aca="false">IF(OR(F55="spend",F55="mfree"),1,0)</f>
        <v>1</v>
      </c>
      <c r="N55" s="20" t="n">
        <f aca="false">IF(AND(F55="pot",E55&lt;&gt;"safety"),1,0)</f>
        <v>0</v>
      </c>
      <c r="O55" s="20" t="n">
        <f aca="false">IF(AND(F55="pot",E55="safety"),1,0)</f>
        <v>0</v>
      </c>
      <c r="P55" s="20" t="n">
        <f aca="false">IF(F55="mfree",1,0)</f>
        <v>0</v>
      </c>
      <c r="Q55" s="20" t="n">
        <f aca="false">IF(AND(D55=1,In_wiGoal&gt;0,C55=In_wiGoal),1,0)</f>
        <v>0</v>
      </c>
      <c r="R55" s="20" t="n">
        <f aca="false">IF(D55=1,MIN(I55,T54),0)</f>
        <v>0</v>
      </c>
      <c r="S55" s="20" t="n">
        <f aca="false">IF(AND(Q55=1,WI_Retire=0),WI_L,0)</f>
        <v>0</v>
      </c>
      <c r="T55" s="20" t="n">
        <f aca="false">T54-R55</f>
        <v>4000</v>
      </c>
      <c r="U55" s="20" t="n">
        <f aca="false">IF(D55=1,MAX(0,L55/(1+K55)^J55-(R55+S55)),0)</f>
        <v>12359.976356424</v>
      </c>
      <c r="V55" s="20" t="n">
        <f aca="false">Y55+Z55</f>
        <v>6200</v>
      </c>
      <c r="W55" s="20" t="n">
        <f aca="false">AA55+AB55</f>
        <v>0</v>
      </c>
      <c r="X55" s="20" t="n">
        <f aca="false">R55+S55+V55</f>
        <v>6200</v>
      </c>
      <c r="Y55" s="20" t="n">
        <f aca="false">IF(D55=1,MIN(U55,AA54),0)</f>
        <v>0</v>
      </c>
      <c r="Z55" s="20" t="n">
        <f aca="false">IF(AND(D55=1,O55=0),MIN(U55-Y55,AB54),0)</f>
        <v>6200</v>
      </c>
      <c r="AA55" s="20" t="n">
        <f aca="false">AA54-Y55</f>
        <v>0</v>
      </c>
      <c r="AB55" s="20" t="n">
        <f aca="false">AB54-Z55</f>
        <v>0</v>
      </c>
    </row>
    <row r="56" customFormat="false" ht="15" hidden="false" customHeight="true" outlineLevel="0" collapsed="false">
      <c r="B56" s="20" t="n">
        <v>3</v>
      </c>
      <c r="C56" s="20" t="n">
        <f aca="false">IFERROR(MATCH(3,GL_Pos,0),0)</f>
        <v>1</v>
      </c>
      <c r="D56" s="20" t="n">
        <f aca="false">IF(C56&gt;0,1,0)</f>
        <v>1</v>
      </c>
      <c r="E56" s="20" t="str">
        <f aca="false">IF(D56=1,INDEX(GL_Key,C56),"")</f>
        <v>edu</v>
      </c>
      <c r="F56" s="20" t="str">
        <f aca="false">IF(D56=1,INDEX(GL_Kind,C56),"")</f>
        <v>spend</v>
      </c>
      <c r="G56" s="20" t="n">
        <f aca="false">IF(D56=1,INDEX(GL_Age,C56),0)</f>
        <v>48</v>
      </c>
      <c r="H56" s="20" t="n">
        <f aca="false">IF(D56=1,INDEX(GL_Amount,C56),0)</f>
        <v>50000</v>
      </c>
      <c r="I56" s="20" t="n">
        <f aca="false">IF(D56=1,INDEX(GL_Saved,C56),0)</f>
        <v>0</v>
      </c>
      <c r="J56" s="20" t="n">
        <f aca="false">IF(D56=1,MAX(0,G56-F_Age),0)</f>
        <v>10</v>
      </c>
      <c r="K56" s="54" t="n">
        <f aca="false">IF(J56&gt;=AS_LongYrs,AS_Inv,AS_Cash)</f>
        <v>0.026</v>
      </c>
      <c r="L56" s="20" t="n">
        <f aca="false">IF(D56=1,IF(F56="mfree",IF(F_MortBal&gt;0,INDEX(Plan_mPath,MIN(J56+1,F_N)+1),H56*(1+AS_Infl)^J56),H56*(1+AS_Infl)^J56),0)</f>
        <v>60949.7209997379</v>
      </c>
      <c r="M56" s="20" t="n">
        <f aca="false">IF(OR(F56="spend",F56="mfree"),1,0)</f>
        <v>1</v>
      </c>
      <c r="N56" s="20" t="n">
        <f aca="false">IF(AND(F56="pot",E56&lt;&gt;"safety"),1,0)</f>
        <v>0</v>
      </c>
      <c r="O56" s="20" t="n">
        <f aca="false">IF(AND(F56="pot",E56="safety"),1,0)</f>
        <v>0</v>
      </c>
      <c r="P56" s="20" t="n">
        <f aca="false">IF(F56="mfree",1,0)</f>
        <v>0</v>
      </c>
      <c r="Q56" s="20" t="n">
        <f aca="false">IF(AND(D56=1,In_wiGoal&gt;0,C56=In_wiGoal),1,0)</f>
        <v>0</v>
      </c>
      <c r="R56" s="20" t="n">
        <f aca="false">IF(D56=1,MIN(I56,T55),0)</f>
        <v>0</v>
      </c>
      <c r="S56" s="20" t="n">
        <f aca="false">IF(AND(Q56=1,WI_Retire=0),WI_L,0)</f>
        <v>0</v>
      </c>
      <c r="T56" s="20" t="n">
        <f aca="false">T55-R56</f>
        <v>4000</v>
      </c>
      <c r="U56" s="20" t="n">
        <f aca="false">IF(D56=1,MAX(0,L56/(1+K56)^J56-(R56+S56)),0)</f>
        <v>47151.7823897231</v>
      </c>
      <c r="V56" s="20" t="n">
        <f aca="false">Y56+Z56</f>
        <v>0</v>
      </c>
      <c r="W56" s="20" t="n">
        <f aca="false">AA56+AB56</f>
        <v>0</v>
      </c>
      <c r="X56" s="20" t="n">
        <f aca="false">R56+S56+V56</f>
        <v>0</v>
      </c>
      <c r="Y56" s="20" t="n">
        <f aca="false">IF(D56=1,MIN(U56,AA55),0)</f>
        <v>0</v>
      </c>
      <c r="Z56" s="20" t="n">
        <f aca="false">IF(AND(D56=1,O56=0),MIN(U56-Y56,AB55),0)</f>
        <v>0</v>
      </c>
      <c r="AA56" s="20" t="n">
        <f aca="false">AA55-Y56</f>
        <v>0</v>
      </c>
      <c r="AB56" s="20" t="n">
        <f aca="false">AB55-Z56</f>
        <v>0</v>
      </c>
    </row>
    <row r="57" customFormat="false" ht="15" hidden="false" customHeight="true" outlineLevel="0" collapsed="false">
      <c r="B57" s="20" t="n">
        <v>4</v>
      </c>
      <c r="C57" s="20" t="n">
        <f aca="false">IFERROR(MATCH(4,GL_Pos,0),0)</f>
        <v>3</v>
      </c>
      <c r="D57" s="20" t="n">
        <f aca="false">IF(C57&gt;0,1,0)</f>
        <v>1</v>
      </c>
      <c r="E57" s="20" t="str">
        <f aca="false">IF(D57=1,INDEX(GL_Key,C57),"")</f>
        <v>mfree</v>
      </c>
      <c r="F57" s="20" t="str">
        <f aca="false">IF(D57=1,INDEX(GL_Kind,C57),"")</f>
        <v>mfree</v>
      </c>
      <c r="G57" s="20" t="n">
        <f aca="false">IF(D57=1,INDEX(GL_Age,C57),0)</f>
        <v>55</v>
      </c>
      <c r="H57" s="20" t="n">
        <f aca="false">IF(D57=1,INDEX(GL_Amount,C57),0)</f>
        <v>150000</v>
      </c>
      <c r="I57" s="20" t="n">
        <f aca="false">IF(D57=1,INDEX(GL_Saved,C57),0)</f>
        <v>0</v>
      </c>
      <c r="J57" s="20" t="n">
        <f aca="false">IF(D57=1,MAX(0,G57-F_Age),0)</f>
        <v>17</v>
      </c>
      <c r="K57" s="54" t="n">
        <f aca="false">IF(J57&gt;=AS_LongYrs,AS_Inv,AS_Cash)</f>
        <v>0.026</v>
      </c>
      <c r="L57" s="20" t="n">
        <f aca="false">IF(D57=1,IF(F57="mfree",IF(F_MortBal&gt;0,INDEX(Plan_mPath,MIN(J57+1,F_N)+1),H57*(1+AS_Infl)^J57),H57*(1+AS_Infl)^J57),0)</f>
        <v>40019.8956528291</v>
      </c>
      <c r="M57" s="20" t="n">
        <f aca="false">IF(OR(F57="spend",F57="mfree"),1,0)</f>
        <v>1</v>
      </c>
      <c r="N57" s="20" t="n">
        <f aca="false">IF(AND(F57="pot",E57&lt;&gt;"safety"),1,0)</f>
        <v>0</v>
      </c>
      <c r="O57" s="20" t="n">
        <f aca="false">IF(AND(F57="pot",E57="safety"),1,0)</f>
        <v>0</v>
      </c>
      <c r="P57" s="20" t="n">
        <f aca="false">IF(F57="mfree",1,0)</f>
        <v>1</v>
      </c>
      <c r="Q57" s="20" t="n">
        <f aca="false">IF(AND(D57=1,In_wiGoal&gt;0,C57=In_wiGoal),1,0)</f>
        <v>0</v>
      </c>
      <c r="R57" s="20" t="n">
        <f aca="false">IF(D57=1,MIN(I57,T56),0)</f>
        <v>0</v>
      </c>
      <c r="S57" s="20" t="n">
        <f aca="false">IF(AND(Q57=1,WI_Retire=0),WI_L,0)</f>
        <v>0</v>
      </c>
      <c r="T57" s="20" t="n">
        <f aca="false">T56-R57</f>
        <v>4000</v>
      </c>
      <c r="U57" s="20" t="n">
        <f aca="false">IF(D57=1,MAX(0,L57/(1+K57)^J57-(R57+S57)),0)</f>
        <v>25868.4745131418</v>
      </c>
      <c r="V57" s="20" t="n">
        <f aca="false">Y57+Z57</f>
        <v>0</v>
      </c>
      <c r="W57" s="20" t="n">
        <f aca="false">AA57+AB57</f>
        <v>0</v>
      </c>
      <c r="X57" s="20" t="n">
        <f aca="false">R57+S57+V57</f>
        <v>0</v>
      </c>
      <c r="Y57" s="20" t="n">
        <f aca="false">IF(D57=1,MIN(U57,AA56),0)</f>
        <v>0</v>
      </c>
      <c r="Z57" s="20" t="n">
        <f aca="false">IF(AND(D57=1,O57=0),MIN(U57-Y57,AB56),0)</f>
        <v>0</v>
      </c>
      <c r="AA57" s="20" t="n">
        <f aca="false">AA56-Y57</f>
        <v>0</v>
      </c>
      <c r="AB57" s="20" t="n">
        <f aca="false">AB56-Z57</f>
        <v>0</v>
      </c>
    </row>
    <row r="58" customFormat="false" ht="15" hidden="false" customHeight="true" outlineLevel="0" collapsed="false">
      <c r="B58" s="20" t="n">
        <v>5</v>
      </c>
      <c r="C58" s="20" t="n">
        <f aca="false">IFERROR(MATCH(5,GL_Pos,0),0)</f>
        <v>0</v>
      </c>
      <c r="D58" s="20" t="n">
        <f aca="false">IF(C58&gt;0,1,0)</f>
        <v>0</v>
      </c>
      <c r="E58" s="20" t="str">
        <f aca="false">IF(D58=1,INDEX(GL_Key,C58),"")</f>
        <v/>
      </c>
      <c r="F58" s="20" t="str">
        <f aca="false">IF(D58=1,INDEX(GL_Kind,C58),"")</f>
        <v/>
      </c>
      <c r="G58" s="20" t="n">
        <f aca="false">IF(D58=1,INDEX(GL_Age,C58),0)</f>
        <v>0</v>
      </c>
      <c r="H58" s="20" t="n">
        <f aca="false">IF(D58=1,INDEX(GL_Amount,C58),0)</f>
        <v>0</v>
      </c>
      <c r="I58" s="20" t="n">
        <f aca="false">IF(D58=1,INDEX(GL_Saved,C58),0)</f>
        <v>0</v>
      </c>
      <c r="J58" s="20" t="n">
        <f aca="false">IF(D58=1,MAX(0,G58-F_Age),0)</f>
        <v>0</v>
      </c>
      <c r="K58" s="54" t="n">
        <f aca="false">IF(J58&gt;=AS_LongYrs,AS_Inv,AS_Cash)</f>
        <v>0.01</v>
      </c>
      <c r="L58" s="20" t="n">
        <f aca="false">IF(D58=1,IF(F58="mfree",IF(F_MortBal&gt;0,INDEX(Plan_mPath,MIN(J58+1,F_N)+1),H58*(1+AS_Infl)^J58),H58*(1+AS_Infl)^J58),0)</f>
        <v>0</v>
      </c>
      <c r="M58" s="20" t="n">
        <f aca="false">IF(OR(F58="spend",F58="mfree"),1,0)</f>
        <v>0</v>
      </c>
      <c r="N58" s="20" t="n">
        <f aca="false">IF(AND(F58="pot",E58&lt;&gt;"safety"),1,0)</f>
        <v>0</v>
      </c>
      <c r="O58" s="20" t="n">
        <f aca="false">IF(AND(F58="pot",E58="safety"),1,0)</f>
        <v>0</v>
      </c>
      <c r="P58" s="20" t="n">
        <f aca="false">IF(F58="mfree",1,0)</f>
        <v>0</v>
      </c>
      <c r="Q58" s="20" t="n">
        <f aca="false">IF(AND(D58=1,In_wiGoal&gt;0,C58=In_wiGoal),1,0)</f>
        <v>0</v>
      </c>
      <c r="R58" s="20" t="n">
        <f aca="false">IF(D58=1,MIN(I58,T57),0)</f>
        <v>0</v>
      </c>
      <c r="S58" s="20" t="n">
        <f aca="false">IF(AND(Q58=1,WI_Retire=0),WI_L,0)</f>
        <v>0</v>
      </c>
      <c r="T58" s="20" t="n">
        <f aca="false">T57-R58</f>
        <v>4000</v>
      </c>
      <c r="U58" s="20" t="n">
        <f aca="false">IF(D58=1,MAX(0,L58/(1+K58)^J58-(R58+S58)),0)</f>
        <v>0</v>
      </c>
      <c r="V58" s="20" t="n">
        <f aca="false">Y58+Z58</f>
        <v>0</v>
      </c>
      <c r="W58" s="20" t="n">
        <f aca="false">AA58+AB58</f>
        <v>0</v>
      </c>
      <c r="X58" s="20" t="n">
        <f aca="false">R58+S58+V58</f>
        <v>0</v>
      </c>
      <c r="Y58" s="20" t="n">
        <f aca="false">IF(D58=1,MIN(U58,AA57),0)</f>
        <v>0</v>
      </c>
      <c r="Z58" s="20" t="n">
        <f aca="false">IF(AND(D58=1,O58=0),MIN(U58-Y58,AB57),0)</f>
        <v>0</v>
      </c>
      <c r="AA58" s="20" t="n">
        <f aca="false">AA57-Y58</f>
        <v>0</v>
      </c>
      <c r="AB58" s="20" t="n">
        <f aca="false">AB57-Z58</f>
        <v>0</v>
      </c>
    </row>
    <row r="59" customFormat="false" ht="15" hidden="false" customHeight="true" outlineLevel="0" collapsed="false">
      <c r="B59" s="20" t="n">
        <v>6</v>
      </c>
      <c r="C59" s="20" t="n">
        <f aca="false">IFERROR(MATCH(6,GL_Pos,0),0)</f>
        <v>0</v>
      </c>
      <c r="D59" s="20" t="n">
        <f aca="false">IF(C59&gt;0,1,0)</f>
        <v>0</v>
      </c>
      <c r="E59" s="20" t="str">
        <f aca="false">IF(D59=1,INDEX(GL_Key,C59),"")</f>
        <v/>
      </c>
      <c r="F59" s="20" t="str">
        <f aca="false">IF(D59=1,INDEX(GL_Kind,C59),"")</f>
        <v/>
      </c>
      <c r="G59" s="20" t="n">
        <f aca="false">IF(D59=1,INDEX(GL_Age,C59),0)</f>
        <v>0</v>
      </c>
      <c r="H59" s="20" t="n">
        <f aca="false">IF(D59=1,INDEX(GL_Amount,C59),0)</f>
        <v>0</v>
      </c>
      <c r="I59" s="20" t="n">
        <f aca="false">IF(D59=1,INDEX(GL_Saved,C59),0)</f>
        <v>0</v>
      </c>
      <c r="J59" s="20" t="n">
        <f aca="false">IF(D59=1,MAX(0,G59-F_Age),0)</f>
        <v>0</v>
      </c>
      <c r="K59" s="54" t="n">
        <f aca="false">IF(J59&gt;=AS_LongYrs,AS_Inv,AS_Cash)</f>
        <v>0.01</v>
      </c>
      <c r="L59" s="20" t="n">
        <f aca="false">IF(D59=1,IF(F59="mfree",IF(F_MortBal&gt;0,INDEX(Plan_mPath,MIN(J59+1,F_N)+1),H59*(1+AS_Infl)^J59),H59*(1+AS_Infl)^J59),0)</f>
        <v>0</v>
      </c>
      <c r="M59" s="20" t="n">
        <f aca="false">IF(OR(F59="spend",F59="mfree"),1,0)</f>
        <v>0</v>
      </c>
      <c r="N59" s="20" t="n">
        <f aca="false">IF(AND(F59="pot",E59&lt;&gt;"safety"),1,0)</f>
        <v>0</v>
      </c>
      <c r="O59" s="20" t="n">
        <f aca="false">IF(AND(F59="pot",E59="safety"),1,0)</f>
        <v>0</v>
      </c>
      <c r="P59" s="20" t="n">
        <f aca="false">IF(F59="mfree",1,0)</f>
        <v>0</v>
      </c>
      <c r="Q59" s="20" t="n">
        <f aca="false">IF(AND(D59=1,In_wiGoal&gt;0,C59=In_wiGoal),1,0)</f>
        <v>0</v>
      </c>
      <c r="R59" s="20" t="n">
        <f aca="false">IF(D59=1,MIN(I59,T58),0)</f>
        <v>0</v>
      </c>
      <c r="S59" s="20" t="n">
        <f aca="false">IF(AND(Q59=1,WI_Retire=0),WI_L,0)</f>
        <v>0</v>
      </c>
      <c r="T59" s="20" t="n">
        <f aca="false">T58-R59</f>
        <v>4000</v>
      </c>
      <c r="U59" s="20" t="n">
        <f aca="false">IF(D59=1,MAX(0,L59/(1+K59)^J59-(R59+S59)),0)</f>
        <v>0</v>
      </c>
      <c r="V59" s="20" t="n">
        <f aca="false">Y59+Z59</f>
        <v>0</v>
      </c>
      <c r="W59" s="20" t="n">
        <f aca="false">AA59+AB59</f>
        <v>0</v>
      </c>
      <c r="X59" s="20" t="n">
        <f aca="false">R59+S59+V59</f>
        <v>0</v>
      </c>
      <c r="Y59" s="20" t="n">
        <f aca="false">IF(D59=1,MIN(U59,AA58),0)</f>
        <v>0</v>
      </c>
      <c r="Z59" s="20" t="n">
        <f aca="false">IF(AND(D59=1,O59=0),MIN(U59-Y59,AB58),0)</f>
        <v>0</v>
      </c>
      <c r="AA59" s="20" t="n">
        <f aca="false">AA58-Y59</f>
        <v>0</v>
      </c>
      <c r="AB59" s="20" t="n">
        <f aca="false">AB58-Z59</f>
        <v>0</v>
      </c>
    </row>
    <row r="60" customFormat="false" ht="15" hidden="false" customHeight="true" outlineLevel="0" collapsed="false">
      <c r="B60" s="20" t="n">
        <v>7</v>
      </c>
      <c r="C60" s="20" t="n">
        <f aca="false">IFERROR(MATCH(7,GL_Pos,0),0)</f>
        <v>0</v>
      </c>
      <c r="D60" s="20" t="n">
        <f aca="false">IF(C60&gt;0,1,0)</f>
        <v>0</v>
      </c>
      <c r="E60" s="20" t="str">
        <f aca="false">IF(D60=1,INDEX(GL_Key,C60),"")</f>
        <v/>
      </c>
      <c r="F60" s="20" t="str">
        <f aca="false">IF(D60=1,INDEX(GL_Kind,C60),"")</f>
        <v/>
      </c>
      <c r="G60" s="20" t="n">
        <f aca="false">IF(D60=1,INDEX(GL_Age,C60),0)</f>
        <v>0</v>
      </c>
      <c r="H60" s="20" t="n">
        <f aca="false">IF(D60=1,INDEX(GL_Amount,C60),0)</f>
        <v>0</v>
      </c>
      <c r="I60" s="20" t="n">
        <f aca="false">IF(D60=1,INDEX(GL_Saved,C60),0)</f>
        <v>0</v>
      </c>
      <c r="J60" s="20" t="n">
        <f aca="false">IF(D60=1,MAX(0,G60-F_Age),0)</f>
        <v>0</v>
      </c>
      <c r="K60" s="54" t="n">
        <f aca="false">IF(J60&gt;=AS_LongYrs,AS_Inv,AS_Cash)</f>
        <v>0.01</v>
      </c>
      <c r="L60" s="20" t="n">
        <f aca="false">IF(D60=1,IF(F60="mfree",IF(F_MortBal&gt;0,INDEX(Plan_mPath,MIN(J60+1,F_N)+1),H60*(1+AS_Infl)^J60),H60*(1+AS_Infl)^J60),0)</f>
        <v>0</v>
      </c>
      <c r="M60" s="20" t="n">
        <f aca="false">IF(OR(F60="spend",F60="mfree"),1,0)</f>
        <v>0</v>
      </c>
      <c r="N60" s="20" t="n">
        <f aca="false">IF(AND(F60="pot",E60&lt;&gt;"safety"),1,0)</f>
        <v>0</v>
      </c>
      <c r="O60" s="20" t="n">
        <f aca="false">IF(AND(F60="pot",E60="safety"),1,0)</f>
        <v>0</v>
      </c>
      <c r="P60" s="20" t="n">
        <f aca="false">IF(F60="mfree",1,0)</f>
        <v>0</v>
      </c>
      <c r="Q60" s="20" t="n">
        <f aca="false">IF(AND(D60=1,In_wiGoal&gt;0,C60=In_wiGoal),1,0)</f>
        <v>0</v>
      </c>
      <c r="R60" s="20" t="n">
        <f aca="false">IF(D60=1,MIN(I60,T59),0)</f>
        <v>0</v>
      </c>
      <c r="S60" s="20" t="n">
        <f aca="false">IF(AND(Q60=1,WI_Retire=0),WI_L,0)</f>
        <v>0</v>
      </c>
      <c r="T60" s="20" t="n">
        <f aca="false">T59-R60</f>
        <v>4000</v>
      </c>
      <c r="U60" s="20" t="n">
        <f aca="false">IF(D60=1,MAX(0,L60/(1+K60)^J60-(R60+S60)),0)</f>
        <v>0</v>
      </c>
      <c r="V60" s="20" t="n">
        <f aca="false">Y60+Z60</f>
        <v>0</v>
      </c>
      <c r="W60" s="20" t="n">
        <f aca="false">AA60+AB60</f>
        <v>0</v>
      </c>
      <c r="X60" s="20" t="n">
        <f aca="false">R60+S60+V60</f>
        <v>0</v>
      </c>
      <c r="Y60" s="20" t="n">
        <f aca="false">IF(D60=1,MIN(U60,AA59),0)</f>
        <v>0</v>
      </c>
      <c r="Z60" s="20" t="n">
        <f aca="false">IF(AND(D60=1,O60=0),MIN(U60-Y60,AB59),0)</f>
        <v>0</v>
      </c>
      <c r="AA60" s="20" t="n">
        <f aca="false">AA59-Y60</f>
        <v>0</v>
      </c>
      <c r="AB60" s="20" t="n">
        <f aca="false">AB59-Z60</f>
        <v>0</v>
      </c>
    </row>
    <row r="61" customFormat="false" ht="15" hidden="false" customHeight="true" outlineLevel="0" collapsed="false">
      <c r="B61" s="20" t="n">
        <v>8</v>
      </c>
      <c r="C61" s="20" t="n">
        <f aca="false">IFERROR(MATCH(8,GL_Pos,0),0)</f>
        <v>0</v>
      </c>
      <c r="D61" s="20" t="n">
        <f aca="false">IF(C61&gt;0,1,0)</f>
        <v>0</v>
      </c>
      <c r="E61" s="20" t="str">
        <f aca="false">IF(D61=1,INDEX(GL_Key,C61),"")</f>
        <v/>
      </c>
      <c r="F61" s="20" t="str">
        <f aca="false">IF(D61=1,INDEX(GL_Kind,C61),"")</f>
        <v/>
      </c>
      <c r="G61" s="20" t="n">
        <f aca="false">IF(D61=1,INDEX(GL_Age,C61),0)</f>
        <v>0</v>
      </c>
      <c r="H61" s="20" t="n">
        <f aca="false">IF(D61=1,INDEX(GL_Amount,C61),0)</f>
        <v>0</v>
      </c>
      <c r="I61" s="20" t="n">
        <f aca="false">IF(D61=1,INDEX(GL_Saved,C61),0)</f>
        <v>0</v>
      </c>
      <c r="J61" s="20" t="n">
        <f aca="false">IF(D61=1,MAX(0,G61-F_Age),0)</f>
        <v>0</v>
      </c>
      <c r="K61" s="54" t="n">
        <f aca="false">IF(J61&gt;=AS_LongYrs,AS_Inv,AS_Cash)</f>
        <v>0.01</v>
      </c>
      <c r="L61" s="20" t="n">
        <f aca="false">IF(D61=1,IF(F61="mfree",IF(F_MortBal&gt;0,INDEX(Plan_mPath,MIN(J61+1,F_N)+1),H61*(1+AS_Infl)^J61),H61*(1+AS_Infl)^J61),0)</f>
        <v>0</v>
      </c>
      <c r="M61" s="20" t="n">
        <f aca="false">IF(OR(F61="spend",F61="mfree"),1,0)</f>
        <v>0</v>
      </c>
      <c r="N61" s="20" t="n">
        <f aca="false">IF(AND(F61="pot",E61&lt;&gt;"safety"),1,0)</f>
        <v>0</v>
      </c>
      <c r="O61" s="20" t="n">
        <f aca="false">IF(AND(F61="pot",E61="safety"),1,0)</f>
        <v>0</v>
      </c>
      <c r="P61" s="20" t="n">
        <f aca="false">IF(F61="mfree",1,0)</f>
        <v>0</v>
      </c>
      <c r="Q61" s="20" t="n">
        <f aca="false">IF(AND(D61=1,In_wiGoal&gt;0,C61=In_wiGoal),1,0)</f>
        <v>0</v>
      </c>
      <c r="R61" s="20" t="n">
        <f aca="false">IF(D61=1,MIN(I61,T60),0)</f>
        <v>0</v>
      </c>
      <c r="S61" s="20" t="n">
        <f aca="false">IF(AND(Q61=1,WI_Retire=0),WI_L,0)</f>
        <v>0</v>
      </c>
      <c r="T61" s="20" t="n">
        <f aca="false">T60-R61</f>
        <v>4000</v>
      </c>
      <c r="U61" s="20" t="n">
        <f aca="false">IF(D61=1,MAX(0,L61/(1+K61)^J61-(R61+S61)),0)</f>
        <v>0</v>
      </c>
      <c r="V61" s="20" t="n">
        <f aca="false">Y61+Z61</f>
        <v>0</v>
      </c>
      <c r="W61" s="20" t="n">
        <f aca="false">AA61+AB61</f>
        <v>0</v>
      </c>
      <c r="X61" s="20" t="n">
        <f aca="false">R61+S61+V61</f>
        <v>0</v>
      </c>
      <c r="Y61" s="20" t="n">
        <f aca="false">IF(D61=1,MIN(U61,AA60),0)</f>
        <v>0</v>
      </c>
      <c r="Z61" s="20" t="n">
        <f aca="false">IF(AND(D61=1,O61=0),MIN(U61-Y61,AB60),0)</f>
        <v>0</v>
      </c>
      <c r="AA61" s="20" t="n">
        <f aca="false">AA60-Y61</f>
        <v>0</v>
      </c>
      <c r="AB61" s="20" t="n">
        <f aca="false">AB60-Z61</f>
        <v>0</v>
      </c>
    </row>
    <row r="62" customFormat="false" ht="15" hidden="false" customHeight="true" outlineLevel="0" collapsed="false">
      <c r="B62" s="20" t="n">
        <v>9</v>
      </c>
      <c r="C62" s="20" t="n">
        <f aca="false">IFERROR(MATCH(9,GL_Pos,0),0)</f>
        <v>0</v>
      </c>
      <c r="D62" s="20" t="n">
        <f aca="false">IF(C62&gt;0,1,0)</f>
        <v>0</v>
      </c>
      <c r="E62" s="20" t="str">
        <f aca="false">IF(D62=1,INDEX(GL_Key,C62),"")</f>
        <v/>
      </c>
      <c r="F62" s="20" t="str">
        <f aca="false">IF(D62=1,INDEX(GL_Kind,C62),"")</f>
        <v/>
      </c>
      <c r="G62" s="20" t="n">
        <f aca="false">IF(D62=1,INDEX(GL_Age,C62),0)</f>
        <v>0</v>
      </c>
      <c r="H62" s="20" t="n">
        <f aca="false">IF(D62=1,INDEX(GL_Amount,C62),0)</f>
        <v>0</v>
      </c>
      <c r="I62" s="20" t="n">
        <f aca="false">IF(D62=1,INDEX(GL_Saved,C62),0)</f>
        <v>0</v>
      </c>
      <c r="J62" s="20" t="n">
        <f aca="false">IF(D62=1,MAX(0,G62-F_Age),0)</f>
        <v>0</v>
      </c>
      <c r="K62" s="54" t="n">
        <f aca="false">IF(J62&gt;=AS_LongYrs,AS_Inv,AS_Cash)</f>
        <v>0.01</v>
      </c>
      <c r="L62" s="20" t="n">
        <f aca="false">IF(D62=1,IF(F62="mfree",IF(F_MortBal&gt;0,INDEX(Plan_mPath,MIN(J62+1,F_N)+1),H62*(1+AS_Infl)^J62),H62*(1+AS_Infl)^J62),0)</f>
        <v>0</v>
      </c>
      <c r="M62" s="20" t="n">
        <f aca="false">IF(OR(F62="spend",F62="mfree"),1,0)</f>
        <v>0</v>
      </c>
      <c r="N62" s="20" t="n">
        <f aca="false">IF(AND(F62="pot",E62&lt;&gt;"safety"),1,0)</f>
        <v>0</v>
      </c>
      <c r="O62" s="20" t="n">
        <f aca="false">IF(AND(F62="pot",E62="safety"),1,0)</f>
        <v>0</v>
      </c>
      <c r="P62" s="20" t="n">
        <f aca="false">IF(F62="mfree",1,0)</f>
        <v>0</v>
      </c>
      <c r="Q62" s="20" t="n">
        <f aca="false">IF(AND(D62=1,In_wiGoal&gt;0,C62=In_wiGoal),1,0)</f>
        <v>0</v>
      </c>
      <c r="R62" s="20" t="n">
        <f aca="false">IF(D62=1,MIN(I62,T61),0)</f>
        <v>0</v>
      </c>
      <c r="S62" s="20" t="n">
        <f aca="false">IF(AND(Q62=1,WI_Retire=0),WI_L,0)</f>
        <v>0</v>
      </c>
      <c r="T62" s="20" t="n">
        <f aca="false">T61-R62</f>
        <v>4000</v>
      </c>
      <c r="U62" s="20" t="n">
        <f aca="false">IF(D62=1,MAX(0,L62/(1+K62)^J62-(R62+S62)),0)</f>
        <v>0</v>
      </c>
      <c r="V62" s="20" t="n">
        <f aca="false">Y62+Z62</f>
        <v>0</v>
      </c>
      <c r="W62" s="20" t="n">
        <f aca="false">AA62+AB62</f>
        <v>0</v>
      </c>
      <c r="X62" s="20" t="n">
        <f aca="false">R62+S62+V62</f>
        <v>0</v>
      </c>
      <c r="Y62" s="20" t="n">
        <f aca="false">IF(D62=1,MIN(U62,AA61),0)</f>
        <v>0</v>
      </c>
      <c r="Z62" s="20" t="n">
        <f aca="false">IF(AND(D62=1,O62=0),MIN(U62-Y62,AB61),0)</f>
        <v>0</v>
      </c>
      <c r="AA62" s="20" t="n">
        <f aca="false">AA61-Y62</f>
        <v>0</v>
      </c>
      <c r="AB62" s="20" t="n">
        <f aca="false">AB61-Z62</f>
        <v>0</v>
      </c>
    </row>
    <row r="63" customFormat="false" ht="15" hidden="false" customHeight="true" outlineLevel="0" collapsed="false">
      <c r="B63" s="20" t="n">
        <v>10</v>
      </c>
      <c r="C63" s="20" t="n">
        <f aca="false">IFERROR(MATCH(10,GL_Pos,0),0)</f>
        <v>0</v>
      </c>
      <c r="D63" s="20" t="n">
        <f aca="false">IF(C63&gt;0,1,0)</f>
        <v>0</v>
      </c>
      <c r="E63" s="20" t="str">
        <f aca="false">IF(D63=1,INDEX(GL_Key,C63),"")</f>
        <v/>
      </c>
      <c r="F63" s="20" t="str">
        <f aca="false">IF(D63=1,INDEX(GL_Kind,C63),"")</f>
        <v/>
      </c>
      <c r="G63" s="20" t="n">
        <f aca="false">IF(D63=1,INDEX(GL_Age,C63),0)</f>
        <v>0</v>
      </c>
      <c r="H63" s="20" t="n">
        <f aca="false">IF(D63=1,INDEX(GL_Amount,C63),0)</f>
        <v>0</v>
      </c>
      <c r="I63" s="20" t="n">
        <f aca="false">IF(D63=1,INDEX(GL_Saved,C63),0)</f>
        <v>0</v>
      </c>
      <c r="J63" s="20" t="n">
        <f aca="false">IF(D63=1,MAX(0,G63-F_Age),0)</f>
        <v>0</v>
      </c>
      <c r="K63" s="54" t="n">
        <f aca="false">IF(J63&gt;=AS_LongYrs,AS_Inv,AS_Cash)</f>
        <v>0.01</v>
      </c>
      <c r="L63" s="20" t="n">
        <f aca="false">IF(D63=1,IF(F63="mfree",IF(F_MortBal&gt;0,INDEX(Plan_mPath,MIN(J63+1,F_N)+1),H63*(1+AS_Infl)^J63),H63*(1+AS_Infl)^J63),0)</f>
        <v>0</v>
      </c>
      <c r="M63" s="20" t="n">
        <f aca="false">IF(OR(F63="spend",F63="mfree"),1,0)</f>
        <v>0</v>
      </c>
      <c r="N63" s="20" t="n">
        <f aca="false">IF(AND(F63="pot",E63&lt;&gt;"safety"),1,0)</f>
        <v>0</v>
      </c>
      <c r="O63" s="20" t="n">
        <f aca="false">IF(AND(F63="pot",E63="safety"),1,0)</f>
        <v>0</v>
      </c>
      <c r="P63" s="20" t="n">
        <f aca="false">IF(F63="mfree",1,0)</f>
        <v>0</v>
      </c>
      <c r="Q63" s="20" t="n">
        <f aca="false">IF(AND(D63=1,In_wiGoal&gt;0,C63=In_wiGoal),1,0)</f>
        <v>0</v>
      </c>
      <c r="R63" s="20" t="n">
        <f aca="false">IF(D63=1,MIN(I63,T62),0)</f>
        <v>0</v>
      </c>
      <c r="S63" s="20" t="n">
        <f aca="false">IF(AND(Q63=1,WI_Retire=0),WI_L,0)</f>
        <v>0</v>
      </c>
      <c r="T63" s="20" t="n">
        <f aca="false">T62-R63</f>
        <v>4000</v>
      </c>
      <c r="U63" s="20" t="n">
        <f aca="false">IF(D63=1,MAX(0,L63/(1+K63)^J63-(R63+S63)),0)</f>
        <v>0</v>
      </c>
      <c r="V63" s="20" t="n">
        <f aca="false">Y63+Z63</f>
        <v>0</v>
      </c>
      <c r="W63" s="20" t="n">
        <f aca="false">AA63+AB63</f>
        <v>0</v>
      </c>
      <c r="X63" s="20" t="n">
        <f aca="false">R63+S63+V63</f>
        <v>0</v>
      </c>
      <c r="Y63" s="20" t="n">
        <f aca="false">IF(D63=1,MIN(U63,AA62),0)</f>
        <v>0</v>
      </c>
      <c r="Z63" s="20" t="n">
        <f aca="false">IF(AND(D63=1,O63=0),MIN(U63-Y63,AB62),0)</f>
        <v>0</v>
      </c>
      <c r="AA63" s="20" t="n">
        <f aca="false">AA62-Y63</f>
        <v>0</v>
      </c>
      <c r="AB63" s="20" t="n">
        <f aca="false">AB62-Z63</f>
        <v>0</v>
      </c>
    </row>
    <row r="64" customFormat="false" ht="15" hidden="false" customHeight="true" outlineLevel="0" collapsed="false">
      <c r="B64" s="20" t="n">
        <v>11</v>
      </c>
      <c r="C64" s="20" t="n">
        <f aca="false">IFERROR(MATCH(11,GL_Pos,0),0)</f>
        <v>0</v>
      </c>
      <c r="D64" s="20" t="n">
        <f aca="false">IF(C64&gt;0,1,0)</f>
        <v>0</v>
      </c>
      <c r="E64" s="20" t="str">
        <f aca="false">IF(D64=1,INDEX(GL_Key,C64),"")</f>
        <v/>
      </c>
      <c r="F64" s="20" t="str">
        <f aca="false">IF(D64=1,INDEX(GL_Kind,C64),"")</f>
        <v/>
      </c>
      <c r="G64" s="20" t="n">
        <f aca="false">IF(D64=1,INDEX(GL_Age,C64),0)</f>
        <v>0</v>
      </c>
      <c r="H64" s="20" t="n">
        <f aca="false">IF(D64=1,INDEX(GL_Amount,C64),0)</f>
        <v>0</v>
      </c>
      <c r="I64" s="20" t="n">
        <f aca="false">IF(D64=1,INDEX(GL_Saved,C64),0)</f>
        <v>0</v>
      </c>
      <c r="J64" s="20" t="n">
        <f aca="false">IF(D64=1,MAX(0,G64-F_Age),0)</f>
        <v>0</v>
      </c>
      <c r="K64" s="54" t="n">
        <f aca="false">IF(J64&gt;=AS_LongYrs,AS_Inv,AS_Cash)</f>
        <v>0.01</v>
      </c>
      <c r="L64" s="20" t="n">
        <f aca="false">IF(D64=1,IF(F64="mfree",IF(F_MortBal&gt;0,INDEX(Plan_mPath,MIN(J64+1,F_N)+1),H64*(1+AS_Infl)^J64),H64*(1+AS_Infl)^J64),0)</f>
        <v>0</v>
      </c>
      <c r="M64" s="20" t="n">
        <f aca="false">IF(OR(F64="spend",F64="mfree"),1,0)</f>
        <v>0</v>
      </c>
      <c r="N64" s="20" t="n">
        <f aca="false">IF(AND(F64="pot",E64&lt;&gt;"safety"),1,0)</f>
        <v>0</v>
      </c>
      <c r="O64" s="20" t="n">
        <f aca="false">IF(AND(F64="pot",E64="safety"),1,0)</f>
        <v>0</v>
      </c>
      <c r="P64" s="20" t="n">
        <f aca="false">IF(F64="mfree",1,0)</f>
        <v>0</v>
      </c>
      <c r="Q64" s="20" t="n">
        <f aca="false">IF(AND(D64=1,In_wiGoal&gt;0,C64=In_wiGoal),1,0)</f>
        <v>0</v>
      </c>
      <c r="R64" s="20" t="n">
        <f aca="false">IF(D64=1,MIN(I64,T63),0)</f>
        <v>0</v>
      </c>
      <c r="S64" s="20" t="n">
        <f aca="false">IF(AND(Q64=1,WI_Retire=0),WI_L,0)</f>
        <v>0</v>
      </c>
      <c r="T64" s="20" t="n">
        <f aca="false">T63-R64</f>
        <v>4000</v>
      </c>
      <c r="U64" s="20" t="n">
        <f aca="false">IF(D64=1,MAX(0,L64/(1+K64)^J64-(R64+S64)),0)</f>
        <v>0</v>
      </c>
      <c r="V64" s="20" t="n">
        <f aca="false">Y64+Z64</f>
        <v>0</v>
      </c>
      <c r="W64" s="20" t="n">
        <f aca="false">AA64+AB64</f>
        <v>0</v>
      </c>
      <c r="X64" s="20" t="n">
        <f aca="false">R64+S64+V64</f>
        <v>0</v>
      </c>
      <c r="Y64" s="20" t="n">
        <f aca="false">IF(D64=1,MIN(U64,AA63),0)</f>
        <v>0</v>
      </c>
      <c r="Z64" s="20" t="n">
        <f aca="false">IF(AND(D64=1,O64=0),MIN(U64-Y64,AB63),0)</f>
        <v>0</v>
      </c>
      <c r="AA64" s="20" t="n">
        <f aca="false">AA63-Y64</f>
        <v>0</v>
      </c>
      <c r="AB64" s="20" t="n">
        <f aca="false">AB63-Z64</f>
        <v>0</v>
      </c>
    </row>
    <row r="65" customFormat="false" ht="15" hidden="false" customHeight="true" outlineLevel="0" collapsed="false">
      <c r="B65" s="20" t="n">
        <v>12</v>
      </c>
      <c r="C65" s="20" t="n">
        <f aca="false">IFERROR(MATCH(12,GL_Pos,0),0)</f>
        <v>0</v>
      </c>
      <c r="D65" s="20" t="n">
        <f aca="false">IF(C65&gt;0,1,0)</f>
        <v>0</v>
      </c>
      <c r="E65" s="20" t="str">
        <f aca="false">IF(D65=1,INDEX(GL_Key,C65),"")</f>
        <v/>
      </c>
      <c r="F65" s="20" t="str">
        <f aca="false">IF(D65=1,INDEX(GL_Kind,C65),"")</f>
        <v/>
      </c>
      <c r="G65" s="20" t="n">
        <f aca="false">IF(D65=1,INDEX(GL_Age,C65),0)</f>
        <v>0</v>
      </c>
      <c r="H65" s="20" t="n">
        <f aca="false">IF(D65=1,INDEX(GL_Amount,C65),0)</f>
        <v>0</v>
      </c>
      <c r="I65" s="20" t="n">
        <f aca="false">IF(D65=1,INDEX(GL_Saved,C65),0)</f>
        <v>0</v>
      </c>
      <c r="J65" s="20" t="n">
        <f aca="false">IF(D65=1,MAX(0,G65-F_Age),0)</f>
        <v>0</v>
      </c>
      <c r="K65" s="54" t="n">
        <f aca="false">IF(J65&gt;=AS_LongYrs,AS_Inv,AS_Cash)</f>
        <v>0.01</v>
      </c>
      <c r="L65" s="20" t="n">
        <f aca="false">IF(D65=1,IF(F65="mfree",IF(F_MortBal&gt;0,INDEX(Plan_mPath,MIN(J65+1,F_N)+1),H65*(1+AS_Infl)^J65),H65*(1+AS_Infl)^J65),0)</f>
        <v>0</v>
      </c>
      <c r="M65" s="20" t="n">
        <f aca="false">IF(OR(F65="spend",F65="mfree"),1,0)</f>
        <v>0</v>
      </c>
      <c r="N65" s="20" t="n">
        <f aca="false">IF(AND(F65="pot",E65&lt;&gt;"safety"),1,0)</f>
        <v>0</v>
      </c>
      <c r="O65" s="20" t="n">
        <f aca="false">IF(AND(F65="pot",E65="safety"),1,0)</f>
        <v>0</v>
      </c>
      <c r="P65" s="20" t="n">
        <f aca="false">IF(F65="mfree",1,0)</f>
        <v>0</v>
      </c>
      <c r="Q65" s="20" t="n">
        <f aca="false">IF(AND(D65=1,In_wiGoal&gt;0,C65=In_wiGoal),1,0)</f>
        <v>0</v>
      </c>
      <c r="R65" s="20" t="n">
        <f aca="false">IF(D65=1,MIN(I65,T64),0)</f>
        <v>0</v>
      </c>
      <c r="S65" s="20" t="n">
        <f aca="false">IF(AND(Q65=1,WI_Retire=0),WI_L,0)</f>
        <v>0</v>
      </c>
      <c r="T65" s="20" t="n">
        <f aca="false">T64-R65</f>
        <v>4000</v>
      </c>
      <c r="U65" s="20" t="n">
        <f aca="false">IF(D65=1,MAX(0,L65/(1+K65)^J65-(R65+S65)),0)</f>
        <v>0</v>
      </c>
      <c r="V65" s="20" t="n">
        <f aca="false">Y65+Z65</f>
        <v>0</v>
      </c>
      <c r="W65" s="20" t="n">
        <f aca="false">AA65+AB65</f>
        <v>0</v>
      </c>
      <c r="X65" s="20" t="n">
        <f aca="false">R65+S65+V65</f>
        <v>0</v>
      </c>
      <c r="Y65" s="20" t="n">
        <f aca="false">IF(D65=1,MIN(U65,AA64),0)</f>
        <v>0</v>
      </c>
      <c r="Z65" s="20" t="n">
        <f aca="false">IF(AND(D65=1,O65=0),MIN(U65-Y65,AB64),0)</f>
        <v>0</v>
      </c>
      <c r="AA65" s="20" t="n">
        <f aca="false">AA64-Y65</f>
        <v>0</v>
      </c>
      <c r="AB65" s="20" t="n">
        <f aca="false">AB64-Z65</f>
        <v>0</v>
      </c>
    </row>
    <row r="66" customFormat="false" ht="15" hidden="false" customHeight="true" outlineLevel="0" collapsed="false">
      <c r="B66" s="20" t="n">
        <v>13</v>
      </c>
      <c r="C66" s="20" t="n">
        <f aca="false">IFERROR(MATCH(13,GL_Pos,0),0)</f>
        <v>0</v>
      </c>
      <c r="D66" s="20" t="n">
        <f aca="false">IF(C66&gt;0,1,0)</f>
        <v>0</v>
      </c>
      <c r="E66" s="20" t="str">
        <f aca="false">IF(D66=1,INDEX(GL_Key,C66),"")</f>
        <v/>
      </c>
      <c r="F66" s="20" t="str">
        <f aca="false">IF(D66=1,INDEX(GL_Kind,C66),"")</f>
        <v/>
      </c>
      <c r="G66" s="20" t="n">
        <f aca="false">IF(D66=1,INDEX(GL_Age,C66),0)</f>
        <v>0</v>
      </c>
      <c r="H66" s="20" t="n">
        <f aca="false">IF(D66=1,INDEX(GL_Amount,C66),0)</f>
        <v>0</v>
      </c>
      <c r="I66" s="20" t="n">
        <f aca="false">IF(D66=1,INDEX(GL_Saved,C66),0)</f>
        <v>0</v>
      </c>
      <c r="J66" s="20" t="n">
        <f aca="false">IF(D66=1,MAX(0,G66-F_Age),0)</f>
        <v>0</v>
      </c>
      <c r="K66" s="54" t="n">
        <f aca="false">IF(J66&gt;=AS_LongYrs,AS_Inv,AS_Cash)</f>
        <v>0.01</v>
      </c>
      <c r="L66" s="20" t="n">
        <f aca="false">IF(D66=1,IF(F66="mfree",IF(F_MortBal&gt;0,INDEX(Plan_mPath,MIN(J66+1,F_N)+1),H66*(1+AS_Infl)^J66),H66*(1+AS_Infl)^J66),0)</f>
        <v>0</v>
      </c>
      <c r="M66" s="20" t="n">
        <f aca="false">IF(OR(F66="spend",F66="mfree"),1,0)</f>
        <v>0</v>
      </c>
      <c r="N66" s="20" t="n">
        <f aca="false">IF(AND(F66="pot",E66&lt;&gt;"safety"),1,0)</f>
        <v>0</v>
      </c>
      <c r="O66" s="20" t="n">
        <f aca="false">IF(AND(F66="pot",E66="safety"),1,0)</f>
        <v>0</v>
      </c>
      <c r="P66" s="20" t="n">
        <f aca="false">IF(F66="mfree",1,0)</f>
        <v>0</v>
      </c>
      <c r="Q66" s="20" t="n">
        <f aca="false">IF(AND(D66=1,In_wiGoal&gt;0,C66=In_wiGoal),1,0)</f>
        <v>0</v>
      </c>
      <c r="R66" s="20" t="n">
        <f aca="false">IF(D66=1,MIN(I66,T65),0)</f>
        <v>0</v>
      </c>
      <c r="S66" s="20" t="n">
        <f aca="false">IF(AND(Q66=1,WI_Retire=0),WI_L,0)</f>
        <v>0</v>
      </c>
      <c r="T66" s="20" t="n">
        <f aca="false">T65-R66</f>
        <v>4000</v>
      </c>
      <c r="U66" s="20" t="n">
        <f aca="false">IF(D66=1,MAX(0,L66/(1+K66)^J66-(R66+S66)),0)</f>
        <v>0</v>
      </c>
      <c r="V66" s="20" t="n">
        <f aca="false">Y66+Z66</f>
        <v>0</v>
      </c>
      <c r="W66" s="20" t="n">
        <f aca="false">AA66+AB66</f>
        <v>0</v>
      </c>
      <c r="X66" s="20" t="n">
        <f aca="false">R66+S66+V66</f>
        <v>0</v>
      </c>
      <c r="Y66" s="20" t="n">
        <f aca="false">IF(D66=1,MIN(U66,AA65),0)</f>
        <v>0</v>
      </c>
      <c r="Z66" s="20" t="n">
        <f aca="false">IF(AND(D66=1,O66=0),MIN(U66-Y66,AB65),0)</f>
        <v>0</v>
      </c>
      <c r="AA66" s="20" t="n">
        <f aca="false">AA65-Y66</f>
        <v>0</v>
      </c>
      <c r="AB66" s="20" t="n">
        <f aca="false">AB65-Z66</f>
        <v>0</v>
      </c>
    </row>
    <row r="67" customFormat="false" ht="15" hidden="false" customHeight="true" outlineLevel="0" collapsed="false">
      <c r="B67" s="20" t="n">
        <v>14</v>
      </c>
      <c r="C67" s="20" t="n">
        <f aca="false">IFERROR(MATCH(14,GL_Pos,0),0)</f>
        <v>0</v>
      </c>
      <c r="D67" s="20" t="n">
        <f aca="false">IF(C67&gt;0,1,0)</f>
        <v>0</v>
      </c>
      <c r="E67" s="20" t="str">
        <f aca="false">IF(D67=1,INDEX(GL_Key,C67),"")</f>
        <v/>
      </c>
      <c r="F67" s="20" t="str">
        <f aca="false">IF(D67=1,INDEX(GL_Kind,C67),"")</f>
        <v/>
      </c>
      <c r="G67" s="20" t="n">
        <f aca="false">IF(D67=1,INDEX(GL_Age,C67),0)</f>
        <v>0</v>
      </c>
      <c r="H67" s="20" t="n">
        <f aca="false">IF(D67=1,INDEX(GL_Amount,C67),0)</f>
        <v>0</v>
      </c>
      <c r="I67" s="20" t="n">
        <f aca="false">IF(D67=1,INDEX(GL_Saved,C67),0)</f>
        <v>0</v>
      </c>
      <c r="J67" s="20" t="n">
        <f aca="false">IF(D67=1,MAX(0,G67-F_Age),0)</f>
        <v>0</v>
      </c>
      <c r="K67" s="54" t="n">
        <f aca="false">IF(J67&gt;=AS_LongYrs,AS_Inv,AS_Cash)</f>
        <v>0.01</v>
      </c>
      <c r="L67" s="20" t="n">
        <f aca="false">IF(D67=1,IF(F67="mfree",IF(F_MortBal&gt;0,INDEX(Plan_mPath,MIN(J67+1,F_N)+1),H67*(1+AS_Infl)^J67),H67*(1+AS_Infl)^J67),0)</f>
        <v>0</v>
      </c>
      <c r="M67" s="20" t="n">
        <f aca="false">IF(OR(F67="spend",F67="mfree"),1,0)</f>
        <v>0</v>
      </c>
      <c r="N67" s="20" t="n">
        <f aca="false">IF(AND(F67="pot",E67&lt;&gt;"safety"),1,0)</f>
        <v>0</v>
      </c>
      <c r="O67" s="20" t="n">
        <f aca="false">IF(AND(F67="pot",E67="safety"),1,0)</f>
        <v>0</v>
      </c>
      <c r="P67" s="20" t="n">
        <f aca="false">IF(F67="mfree",1,0)</f>
        <v>0</v>
      </c>
      <c r="Q67" s="20" t="n">
        <f aca="false">IF(AND(D67=1,In_wiGoal&gt;0,C67=In_wiGoal),1,0)</f>
        <v>0</v>
      </c>
      <c r="R67" s="20" t="n">
        <f aca="false">IF(D67=1,MIN(I67,T66),0)</f>
        <v>0</v>
      </c>
      <c r="S67" s="20" t="n">
        <f aca="false">IF(AND(Q67=1,WI_Retire=0),WI_L,0)</f>
        <v>0</v>
      </c>
      <c r="T67" s="20" t="n">
        <f aca="false">T66-R67</f>
        <v>4000</v>
      </c>
      <c r="U67" s="20" t="n">
        <f aca="false">IF(D67=1,MAX(0,L67/(1+K67)^J67-(R67+S67)),0)</f>
        <v>0</v>
      </c>
      <c r="V67" s="20" t="n">
        <f aca="false">Y67+Z67</f>
        <v>0</v>
      </c>
      <c r="W67" s="20" t="n">
        <f aca="false">AA67+AB67</f>
        <v>0</v>
      </c>
      <c r="X67" s="20" t="n">
        <f aca="false">R67+S67+V67</f>
        <v>0</v>
      </c>
      <c r="Y67" s="20" t="n">
        <f aca="false">IF(D67=1,MIN(U67,AA66),0)</f>
        <v>0</v>
      </c>
      <c r="Z67" s="20" t="n">
        <f aca="false">IF(AND(D67=1,O67=0),MIN(U67-Y67,AB66),0)</f>
        <v>0</v>
      </c>
      <c r="AA67" s="20" t="n">
        <f aca="false">AA66-Y67</f>
        <v>0</v>
      </c>
      <c r="AB67" s="20" t="n">
        <f aca="false">AB66-Z67</f>
        <v>0</v>
      </c>
    </row>
    <row r="68" customFormat="false" ht="15" hidden="false" customHeight="true" outlineLevel="0" collapsed="false">
      <c r="B68" s="20" t="n">
        <v>15</v>
      </c>
      <c r="C68" s="20" t="n">
        <f aca="false">IFERROR(MATCH(15,GL_Pos,0),0)</f>
        <v>0</v>
      </c>
      <c r="D68" s="20" t="n">
        <f aca="false">IF(C68&gt;0,1,0)</f>
        <v>0</v>
      </c>
      <c r="E68" s="20" t="str">
        <f aca="false">IF(D68=1,INDEX(GL_Key,C68),"")</f>
        <v/>
      </c>
      <c r="F68" s="20" t="str">
        <f aca="false">IF(D68=1,INDEX(GL_Kind,C68),"")</f>
        <v/>
      </c>
      <c r="G68" s="20" t="n">
        <f aca="false">IF(D68=1,INDEX(GL_Age,C68),0)</f>
        <v>0</v>
      </c>
      <c r="H68" s="20" t="n">
        <f aca="false">IF(D68=1,INDEX(GL_Amount,C68),0)</f>
        <v>0</v>
      </c>
      <c r="I68" s="20" t="n">
        <f aca="false">IF(D68=1,INDEX(GL_Saved,C68),0)</f>
        <v>0</v>
      </c>
      <c r="J68" s="20" t="n">
        <f aca="false">IF(D68=1,MAX(0,G68-F_Age),0)</f>
        <v>0</v>
      </c>
      <c r="K68" s="54" t="n">
        <f aca="false">IF(J68&gt;=AS_LongYrs,AS_Inv,AS_Cash)</f>
        <v>0.01</v>
      </c>
      <c r="L68" s="20" t="n">
        <f aca="false">IF(D68=1,IF(F68="mfree",IF(F_MortBal&gt;0,INDEX(Plan_mPath,MIN(J68+1,F_N)+1),H68*(1+AS_Infl)^J68),H68*(1+AS_Infl)^J68),0)</f>
        <v>0</v>
      </c>
      <c r="M68" s="20" t="n">
        <f aca="false">IF(OR(F68="spend",F68="mfree"),1,0)</f>
        <v>0</v>
      </c>
      <c r="N68" s="20" t="n">
        <f aca="false">IF(AND(F68="pot",E68&lt;&gt;"safety"),1,0)</f>
        <v>0</v>
      </c>
      <c r="O68" s="20" t="n">
        <f aca="false">IF(AND(F68="pot",E68="safety"),1,0)</f>
        <v>0</v>
      </c>
      <c r="P68" s="20" t="n">
        <f aca="false">IF(F68="mfree",1,0)</f>
        <v>0</v>
      </c>
      <c r="Q68" s="20" t="n">
        <f aca="false">IF(AND(D68=1,In_wiGoal&gt;0,C68=In_wiGoal),1,0)</f>
        <v>0</v>
      </c>
      <c r="R68" s="20" t="n">
        <f aca="false">IF(D68=1,MIN(I68,T67),0)</f>
        <v>0</v>
      </c>
      <c r="S68" s="20" t="n">
        <f aca="false">IF(AND(Q68=1,WI_Retire=0),WI_L,0)</f>
        <v>0</v>
      </c>
      <c r="T68" s="20" t="n">
        <f aca="false">T67-R68</f>
        <v>4000</v>
      </c>
      <c r="U68" s="20" t="n">
        <f aca="false">IF(D68=1,MAX(0,L68/(1+K68)^J68-(R68+S68)),0)</f>
        <v>0</v>
      </c>
      <c r="V68" s="20" t="n">
        <f aca="false">Y68+Z68</f>
        <v>0</v>
      </c>
      <c r="W68" s="20" t="n">
        <f aca="false">AA68+AB68</f>
        <v>0</v>
      </c>
      <c r="X68" s="20" t="n">
        <f aca="false">R68+S68+V68</f>
        <v>0</v>
      </c>
      <c r="Y68" s="20" t="n">
        <f aca="false">IF(D68=1,MIN(U68,AA67),0)</f>
        <v>0</v>
      </c>
      <c r="Z68" s="20" t="n">
        <f aca="false">IF(AND(D68=1,O68=0),MIN(U68-Y68,AB67),0)</f>
        <v>0</v>
      </c>
      <c r="AA68" s="20" t="n">
        <f aca="false">AA67-Y68</f>
        <v>0</v>
      </c>
      <c r="AB68" s="20" t="n">
        <f aca="false">AB67-Z68</f>
        <v>0</v>
      </c>
    </row>
    <row r="69" customFormat="false" ht="15" hidden="false" customHeight="true" outlineLevel="0" collapsed="false">
      <c r="B69" s="20" t="n">
        <v>16</v>
      </c>
      <c r="C69" s="20" t="n">
        <f aca="false">IFERROR(MATCH(16,GL_Pos,0),0)</f>
        <v>0</v>
      </c>
      <c r="D69" s="20" t="n">
        <f aca="false">IF(C69&gt;0,1,0)</f>
        <v>0</v>
      </c>
      <c r="E69" s="20" t="str">
        <f aca="false">IF(D69=1,INDEX(GL_Key,C69),"")</f>
        <v/>
      </c>
      <c r="F69" s="20" t="str">
        <f aca="false">IF(D69=1,INDEX(GL_Kind,C69),"")</f>
        <v/>
      </c>
      <c r="G69" s="20" t="n">
        <f aca="false">IF(D69=1,INDEX(GL_Age,C69),0)</f>
        <v>0</v>
      </c>
      <c r="H69" s="20" t="n">
        <f aca="false">IF(D69=1,INDEX(GL_Amount,C69),0)</f>
        <v>0</v>
      </c>
      <c r="I69" s="20" t="n">
        <f aca="false">IF(D69=1,INDEX(GL_Saved,C69),0)</f>
        <v>0</v>
      </c>
      <c r="J69" s="20" t="n">
        <f aca="false">IF(D69=1,MAX(0,G69-F_Age),0)</f>
        <v>0</v>
      </c>
      <c r="K69" s="54" t="n">
        <f aca="false">IF(J69&gt;=AS_LongYrs,AS_Inv,AS_Cash)</f>
        <v>0.01</v>
      </c>
      <c r="L69" s="20" t="n">
        <f aca="false">IF(D69=1,IF(F69="mfree",IF(F_MortBal&gt;0,INDEX(Plan_mPath,MIN(J69+1,F_N)+1),H69*(1+AS_Infl)^J69),H69*(1+AS_Infl)^J69),0)</f>
        <v>0</v>
      </c>
      <c r="M69" s="20" t="n">
        <f aca="false">IF(OR(F69="spend",F69="mfree"),1,0)</f>
        <v>0</v>
      </c>
      <c r="N69" s="20" t="n">
        <f aca="false">IF(AND(F69="pot",E69&lt;&gt;"safety"),1,0)</f>
        <v>0</v>
      </c>
      <c r="O69" s="20" t="n">
        <f aca="false">IF(AND(F69="pot",E69="safety"),1,0)</f>
        <v>0</v>
      </c>
      <c r="P69" s="20" t="n">
        <f aca="false">IF(F69="mfree",1,0)</f>
        <v>0</v>
      </c>
      <c r="Q69" s="20" t="n">
        <f aca="false">IF(AND(D69=1,In_wiGoal&gt;0,C69=In_wiGoal),1,0)</f>
        <v>0</v>
      </c>
      <c r="R69" s="20" t="n">
        <f aca="false">IF(D69=1,MIN(I69,T68),0)</f>
        <v>0</v>
      </c>
      <c r="S69" s="20" t="n">
        <f aca="false">IF(AND(Q69=1,WI_Retire=0),WI_L,0)</f>
        <v>0</v>
      </c>
      <c r="T69" s="20" t="n">
        <f aca="false">T68-R69</f>
        <v>4000</v>
      </c>
      <c r="U69" s="20" t="n">
        <f aca="false">IF(D69=1,MAX(0,L69/(1+K69)^J69-(R69+S69)),0)</f>
        <v>0</v>
      </c>
      <c r="V69" s="20" t="n">
        <f aca="false">Y69+Z69</f>
        <v>0</v>
      </c>
      <c r="W69" s="20" t="n">
        <f aca="false">AA69+AB69</f>
        <v>0</v>
      </c>
      <c r="X69" s="20" t="n">
        <f aca="false">R69+S69+V69</f>
        <v>0</v>
      </c>
      <c r="Y69" s="20" t="n">
        <f aca="false">IF(D69=1,MIN(U69,AA68),0)</f>
        <v>0</v>
      </c>
      <c r="Z69" s="20" t="n">
        <f aca="false">IF(AND(D69=1,O69=0),MIN(U69-Y69,AB68),0)</f>
        <v>0</v>
      </c>
      <c r="AA69" s="20" t="n">
        <f aca="false">AA68-Y69</f>
        <v>0</v>
      </c>
      <c r="AB69" s="20" t="n">
        <f aca="false">AB68-Z69</f>
        <v>0</v>
      </c>
    </row>
    <row r="70" customFormat="false" ht="15" hidden="false" customHeight="true" outlineLevel="0" collapsed="false">
      <c r="B70" s="20" t="n">
        <v>17</v>
      </c>
      <c r="C70" s="20" t="n">
        <f aca="false">IFERROR(MATCH(17,GL_Pos,0),0)</f>
        <v>0</v>
      </c>
      <c r="D70" s="20" t="n">
        <f aca="false">IF(C70&gt;0,1,0)</f>
        <v>0</v>
      </c>
      <c r="E70" s="20" t="str">
        <f aca="false">IF(D70=1,INDEX(GL_Key,C70),"")</f>
        <v/>
      </c>
      <c r="F70" s="20" t="str">
        <f aca="false">IF(D70=1,INDEX(GL_Kind,C70),"")</f>
        <v/>
      </c>
      <c r="G70" s="20" t="n">
        <f aca="false">IF(D70=1,INDEX(GL_Age,C70),0)</f>
        <v>0</v>
      </c>
      <c r="H70" s="20" t="n">
        <f aca="false">IF(D70=1,INDEX(GL_Amount,C70),0)</f>
        <v>0</v>
      </c>
      <c r="I70" s="20" t="n">
        <f aca="false">IF(D70=1,INDEX(GL_Saved,C70),0)</f>
        <v>0</v>
      </c>
      <c r="J70" s="20" t="n">
        <f aca="false">IF(D70=1,MAX(0,G70-F_Age),0)</f>
        <v>0</v>
      </c>
      <c r="K70" s="54" t="n">
        <f aca="false">IF(J70&gt;=AS_LongYrs,AS_Inv,AS_Cash)</f>
        <v>0.01</v>
      </c>
      <c r="L70" s="20" t="n">
        <f aca="false">IF(D70=1,IF(F70="mfree",IF(F_MortBal&gt;0,INDEX(Plan_mPath,MIN(J70+1,F_N)+1),H70*(1+AS_Infl)^J70),H70*(1+AS_Infl)^J70),0)</f>
        <v>0</v>
      </c>
      <c r="M70" s="20" t="n">
        <f aca="false">IF(OR(F70="spend",F70="mfree"),1,0)</f>
        <v>0</v>
      </c>
      <c r="N70" s="20" t="n">
        <f aca="false">IF(AND(F70="pot",E70&lt;&gt;"safety"),1,0)</f>
        <v>0</v>
      </c>
      <c r="O70" s="20" t="n">
        <f aca="false">IF(AND(F70="pot",E70="safety"),1,0)</f>
        <v>0</v>
      </c>
      <c r="P70" s="20" t="n">
        <f aca="false">IF(F70="mfree",1,0)</f>
        <v>0</v>
      </c>
      <c r="Q70" s="20" t="n">
        <f aca="false">IF(AND(D70=1,In_wiGoal&gt;0,C70=In_wiGoal),1,0)</f>
        <v>0</v>
      </c>
      <c r="R70" s="20" t="n">
        <f aca="false">IF(D70=1,MIN(I70,T69),0)</f>
        <v>0</v>
      </c>
      <c r="S70" s="20" t="n">
        <f aca="false">IF(AND(Q70=1,WI_Retire=0),WI_L,0)</f>
        <v>0</v>
      </c>
      <c r="T70" s="20" t="n">
        <f aca="false">T69-R70</f>
        <v>4000</v>
      </c>
      <c r="U70" s="20" t="n">
        <f aca="false">IF(D70=1,MAX(0,L70/(1+K70)^J70-(R70+S70)),0)</f>
        <v>0</v>
      </c>
      <c r="V70" s="20" t="n">
        <f aca="false">Y70+Z70</f>
        <v>0</v>
      </c>
      <c r="W70" s="20" t="n">
        <f aca="false">AA70+AB70</f>
        <v>0</v>
      </c>
      <c r="X70" s="20" t="n">
        <f aca="false">R70+S70+V70</f>
        <v>0</v>
      </c>
      <c r="Y70" s="20" t="n">
        <f aca="false">IF(D70=1,MIN(U70,AA69),0)</f>
        <v>0</v>
      </c>
      <c r="Z70" s="20" t="n">
        <f aca="false">IF(AND(D70=1,O70=0),MIN(U70-Y70,AB69),0)</f>
        <v>0</v>
      </c>
      <c r="AA70" s="20" t="n">
        <f aca="false">AA69-Y70</f>
        <v>0</v>
      </c>
      <c r="AB70" s="20" t="n">
        <f aca="false">AB69-Z70</f>
        <v>0</v>
      </c>
    </row>
    <row r="71" customFormat="false" ht="15" hidden="false" customHeight="true" outlineLevel="0" collapsed="false">
      <c r="B71" s="20" t="n">
        <v>18</v>
      </c>
      <c r="C71" s="20" t="n">
        <f aca="false">IFERROR(MATCH(18,GL_Pos,0),0)</f>
        <v>0</v>
      </c>
      <c r="D71" s="20" t="n">
        <f aca="false">IF(C71&gt;0,1,0)</f>
        <v>0</v>
      </c>
      <c r="E71" s="20" t="str">
        <f aca="false">IF(D71=1,INDEX(GL_Key,C71),"")</f>
        <v/>
      </c>
      <c r="F71" s="20" t="str">
        <f aca="false">IF(D71=1,INDEX(GL_Kind,C71),"")</f>
        <v/>
      </c>
      <c r="G71" s="20" t="n">
        <f aca="false">IF(D71=1,INDEX(GL_Age,C71),0)</f>
        <v>0</v>
      </c>
      <c r="H71" s="20" t="n">
        <f aca="false">IF(D71=1,INDEX(GL_Amount,C71),0)</f>
        <v>0</v>
      </c>
      <c r="I71" s="20" t="n">
        <f aca="false">IF(D71=1,INDEX(GL_Saved,C71),0)</f>
        <v>0</v>
      </c>
      <c r="J71" s="20" t="n">
        <f aca="false">IF(D71=1,MAX(0,G71-F_Age),0)</f>
        <v>0</v>
      </c>
      <c r="K71" s="54" t="n">
        <f aca="false">IF(J71&gt;=AS_LongYrs,AS_Inv,AS_Cash)</f>
        <v>0.01</v>
      </c>
      <c r="L71" s="20" t="n">
        <f aca="false">IF(D71=1,IF(F71="mfree",IF(F_MortBal&gt;0,INDEX(Plan_mPath,MIN(J71+1,F_N)+1),H71*(1+AS_Infl)^J71),H71*(1+AS_Infl)^J71),0)</f>
        <v>0</v>
      </c>
      <c r="M71" s="20" t="n">
        <f aca="false">IF(OR(F71="spend",F71="mfree"),1,0)</f>
        <v>0</v>
      </c>
      <c r="N71" s="20" t="n">
        <f aca="false">IF(AND(F71="pot",E71&lt;&gt;"safety"),1,0)</f>
        <v>0</v>
      </c>
      <c r="O71" s="20" t="n">
        <f aca="false">IF(AND(F71="pot",E71="safety"),1,0)</f>
        <v>0</v>
      </c>
      <c r="P71" s="20" t="n">
        <f aca="false">IF(F71="mfree",1,0)</f>
        <v>0</v>
      </c>
      <c r="Q71" s="20" t="n">
        <f aca="false">IF(AND(D71=1,In_wiGoal&gt;0,C71=In_wiGoal),1,0)</f>
        <v>0</v>
      </c>
      <c r="R71" s="20" t="n">
        <f aca="false">IF(D71=1,MIN(I71,T70),0)</f>
        <v>0</v>
      </c>
      <c r="S71" s="20" t="n">
        <f aca="false">IF(AND(Q71=1,WI_Retire=0),WI_L,0)</f>
        <v>0</v>
      </c>
      <c r="T71" s="20" t="n">
        <f aca="false">T70-R71</f>
        <v>4000</v>
      </c>
      <c r="U71" s="20" t="n">
        <f aca="false">IF(D71=1,MAX(0,L71/(1+K71)^J71-(R71+S71)),0)</f>
        <v>0</v>
      </c>
      <c r="V71" s="20" t="n">
        <f aca="false">Y71+Z71</f>
        <v>0</v>
      </c>
      <c r="W71" s="20" t="n">
        <f aca="false">AA71+AB71</f>
        <v>0</v>
      </c>
      <c r="X71" s="20" t="n">
        <f aca="false">R71+S71+V71</f>
        <v>0</v>
      </c>
      <c r="Y71" s="20" t="n">
        <f aca="false">IF(D71=1,MIN(U71,AA70),0)</f>
        <v>0</v>
      </c>
      <c r="Z71" s="20" t="n">
        <f aca="false">IF(AND(D71=1,O71=0),MIN(U71-Y71,AB70),0)</f>
        <v>0</v>
      </c>
      <c r="AA71" s="20" t="n">
        <f aca="false">AA70-Y71</f>
        <v>0</v>
      </c>
      <c r="AB71" s="20" t="n">
        <f aca="false">AB70-Z71</f>
        <v>0</v>
      </c>
    </row>
    <row r="72" customFormat="false" ht="15" hidden="false" customHeight="true" outlineLevel="0" collapsed="false">
      <c r="B72" s="20" t="n">
        <v>19</v>
      </c>
      <c r="C72" s="20" t="n">
        <f aca="false">IFERROR(MATCH(19,GL_Pos,0),0)</f>
        <v>0</v>
      </c>
      <c r="D72" s="20" t="n">
        <f aca="false">IF(C72&gt;0,1,0)</f>
        <v>0</v>
      </c>
      <c r="E72" s="20" t="str">
        <f aca="false">IF(D72=1,INDEX(GL_Key,C72),"")</f>
        <v/>
      </c>
      <c r="F72" s="20" t="str">
        <f aca="false">IF(D72=1,INDEX(GL_Kind,C72),"")</f>
        <v/>
      </c>
      <c r="G72" s="20" t="n">
        <f aca="false">IF(D72=1,INDEX(GL_Age,C72),0)</f>
        <v>0</v>
      </c>
      <c r="H72" s="20" t="n">
        <f aca="false">IF(D72=1,INDEX(GL_Amount,C72),0)</f>
        <v>0</v>
      </c>
      <c r="I72" s="20" t="n">
        <f aca="false">IF(D72=1,INDEX(GL_Saved,C72),0)</f>
        <v>0</v>
      </c>
      <c r="J72" s="20" t="n">
        <f aca="false">IF(D72=1,MAX(0,G72-F_Age),0)</f>
        <v>0</v>
      </c>
      <c r="K72" s="54" t="n">
        <f aca="false">IF(J72&gt;=AS_LongYrs,AS_Inv,AS_Cash)</f>
        <v>0.01</v>
      </c>
      <c r="L72" s="20" t="n">
        <f aca="false">IF(D72=1,IF(F72="mfree",IF(F_MortBal&gt;0,INDEX(Plan_mPath,MIN(J72+1,F_N)+1),H72*(1+AS_Infl)^J72),H72*(1+AS_Infl)^J72),0)</f>
        <v>0</v>
      </c>
      <c r="M72" s="20" t="n">
        <f aca="false">IF(OR(F72="spend",F72="mfree"),1,0)</f>
        <v>0</v>
      </c>
      <c r="N72" s="20" t="n">
        <f aca="false">IF(AND(F72="pot",E72&lt;&gt;"safety"),1,0)</f>
        <v>0</v>
      </c>
      <c r="O72" s="20" t="n">
        <f aca="false">IF(AND(F72="pot",E72="safety"),1,0)</f>
        <v>0</v>
      </c>
      <c r="P72" s="20" t="n">
        <f aca="false">IF(F72="mfree",1,0)</f>
        <v>0</v>
      </c>
      <c r="Q72" s="20" t="n">
        <f aca="false">IF(AND(D72=1,In_wiGoal&gt;0,C72=In_wiGoal),1,0)</f>
        <v>0</v>
      </c>
      <c r="R72" s="20" t="n">
        <f aca="false">IF(D72=1,MIN(I72,T71),0)</f>
        <v>0</v>
      </c>
      <c r="S72" s="20" t="n">
        <f aca="false">IF(AND(Q72=1,WI_Retire=0),WI_L,0)</f>
        <v>0</v>
      </c>
      <c r="T72" s="20" t="n">
        <f aca="false">T71-R72</f>
        <v>4000</v>
      </c>
      <c r="U72" s="20" t="n">
        <f aca="false">IF(D72=1,MAX(0,L72/(1+K72)^J72-(R72+S72)),0)</f>
        <v>0</v>
      </c>
      <c r="V72" s="20" t="n">
        <f aca="false">Y72+Z72</f>
        <v>0</v>
      </c>
      <c r="W72" s="20" t="n">
        <f aca="false">AA72+AB72</f>
        <v>0</v>
      </c>
      <c r="X72" s="20" t="n">
        <f aca="false">R72+S72+V72</f>
        <v>0</v>
      </c>
      <c r="Y72" s="20" t="n">
        <f aca="false">IF(D72=1,MIN(U72,AA71),0)</f>
        <v>0</v>
      </c>
      <c r="Z72" s="20" t="n">
        <f aca="false">IF(AND(D72=1,O72=0),MIN(U72-Y72,AB71),0)</f>
        <v>0</v>
      </c>
      <c r="AA72" s="20" t="n">
        <f aca="false">AA71-Y72</f>
        <v>0</v>
      </c>
      <c r="AB72" s="20" t="n">
        <f aca="false">AB71-Z72</f>
        <v>0</v>
      </c>
    </row>
    <row r="73" customFormat="false" ht="15" hidden="false" customHeight="true" outlineLevel="0" collapsed="false">
      <c r="B73" s="20" t="n">
        <v>20</v>
      </c>
      <c r="C73" s="20" t="n">
        <f aca="false">IFERROR(MATCH(20,GL_Pos,0),0)</f>
        <v>0</v>
      </c>
      <c r="D73" s="20" t="n">
        <f aca="false">IF(C73&gt;0,1,0)</f>
        <v>0</v>
      </c>
      <c r="E73" s="20" t="str">
        <f aca="false">IF(D73=1,INDEX(GL_Key,C73),"")</f>
        <v/>
      </c>
      <c r="F73" s="20" t="str">
        <f aca="false">IF(D73=1,INDEX(GL_Kind,C73),"")</f>
        <v/>
      </c>
      <c r="G73" s="20" t="n">
        <f aca="false">IF(D73=1,INDEX(GL_Age,C73),0)</f>
        <v>0</v>
      </c>
      <c r="H73" s="20" t="n">
        <f aca="false">IF(D73=1,INDEX(GL_Amount,C73),0)</f>
        <v>0</v>
      </c>
      <c r="I73" s="20" t="n">
        <f aca="false">IF(D73=1,INDEX(GL_Saved,C73),0)</f>
        <v>0</v>
      </c>
      <c r="J73" s="20" t="n">
        <f aca="false">IF(D73=1,MAX(0,G73-F_Age),0)</f>
        <v>0</v>
      </c>
      <c r="K73" s="54" t="n">
        <f aca="false">IF(J73&gt;=AS_LongYrs,AS_Inv,AS_Cash)</f>
        <v>0.01</v>
      </c>
      <c r="L73" s="20" t="n">
        <f aca="false">IF(D73=1,IF(F73="mfree",IF(F_MortBal&gt;0,INDEX(Plan_mPath,MIN(J73+1,F_N)+1),H73*(1+AS_Infl)^J73),H73*(1+AS_Infl)^J73),0)</f>
        <v>0</v>
      </c>
      <c r="M73" s="20" t="n">
        <f aca="false">IF(OR(F73="spend",F73="mfree"),1,0)</f>
        <v>0</v>
      </c>
      <c r="N73" s="20" t="n">
        <f aca="false">IF(AND(F73="pot",E73&lt;&gt;"safety"),1,0)</f>
        <v>0</v>
      </c>
      <c r="O73" s="20" t="n">
        <f aca="false">IF(AND(F73="pot",E73="safety"),1,0)</f>
        <v>0</v>
      </c>
      <c r="P73" s="20" t="n">
        <f aca="false">IF(F73="mfree",1,0)</f>
        <v>0</v>
      </c>
      <c r="Q73" s="20" t="n">
        <f aca="false">IF(AND(D73=1,In_wiGoal&gt;0,C73=In_wiGoal),1,0)</f>
        <v>0</v>
      </c>
      <c r="R73" s="20" t="n">
        <f aca="false">IF(D73=1,MIN(I73,T72),0)</f>
        <v>0</v>
      </c>
      <c r="S73" s="20" t="n">
        <f aca="false">IF(AND(Q73=1,WI_Retire=0),WI_L,0)</f>
        <v>0</v>
      </c>
      <c r="T73" s="20" t="n">
        <f aca="false">T72-R73</f>
        <v>4000</v>
      </c>
      <c r="U73" s="20" t="n">
        <f aca="false">IF(D73=1,MAX(0,L73/(1+K73)^J73-(R73+S73)),0)</f>
        <v>0</v>
      </c>
      <c r="V73" s="20" t="n">
        <f aca="false">Y73+Z73</f>
        <v>0</v>
      </c>
      <c r="W73" s="20" t="n">
        <f aca="false">AA73+AB73</f>
        <v>0</v>
      </c>
      <c r="X73" s="20" t="n">
        <f aca="false">R73+S73+V73</f>
        <v>0</v>
      </c>
      <c r="Y73" s="20" t="n">
        <f aca="false">IF(D73=1,MIN(U73,AA72),0)</f>
        <v>0</v>
      </c>
      <c r="Z73" s="20" t="n">
        <f aca="false">IF(AND(D73=1,O73=0),MIN(U73-Y73,AB72),0)</f>
        <v>0</v>
      </c>
      <c r="AA73" s="20" t="n">
        <f aca="false">AA72-Y73</f>
        <v>0</v>
      </c>
      <c r="AB73" s="20" t="n">
        <f aca="false">AB72-Z73</f>
        <v>0</v>
      </c>
    </row>
    <row r="75" customFormat="false" ht="15" hidden="false" customHeight="true" outlineLevel="0" collapsed="false">
      <c r="B75" s="20" t="s">
        <v>1714</v>
      </c>
      <c r="D75" s="42" t="n">
        <f aca="false">IF(SUM($O$54:$O$73)&gt;0,1,0)</f>
        <v>1</v>
      </c>
      <c r="E75" s="25"/>
      <c r="G75" s="20" t="s">
        <v>1715</v>
      </c>
      <c r="J75" s="55" t="n">
        <f aca="false">$T$73-Init_Buf0</f>
        <v>4000</v>
      </c>
    </row>
    <row r="76" customFormat="false" ht="15" hidden="false" customHeight="true" outlineLevel="0" collapsed="false">
      <c r="B76" s="20" t="s">
        <v>1716</v>
      </c>
      <c r="D76" s="42" t="n">
        <f aca="false">IF(HasSafety=1,0,MIN($T$73,AS_Months*F_EssM))</f>
        <v>0</v>
      </c>
      <c r="E76" s="25"/>
      <c r="G76" s="20" t="s">
        <v>1717</v>
      </c>
      <c r="J76" s="55" t="n">
        <f aca="false">PG_CashAfterBuf+H_Sav0</f>
        <v>4000</v>
      </c>
    </row>
    <row r="77" customFormat="false" ht="15" hidden="false" customHeight="true" outlineLevel="0" collapsed="false">
      <c r="B77" s="20" t="s">
        <v>1718</v>
      </c>
      <c r="D77" s="42" t="n">
        <f aca="false">PG_Easy0+PG_Rest0</f>
        <v>10200</v>
      </c>
      <c r="E77" s="25"/>
      <c r="G77" s="20" t="s">
        <v>1719</v>
      </c>
      <c r="J77" s="55" t="n">
        <f aca="false">'Plan holdings'!V7+'Plan holdings'!W7+'Plan holdings'!X7</f>
        <v>6200</v>
      </c>
    </row>
    <row r="78" customFormat="false" ht="15" hidden="false" customHeight="true" outlineLevel="0" collapsed="false">
      <c r="B78" s="20" t="s">
        <v>1720</v>
      </c>
      <c r="D78" s="47" t="n">
        <f aca="false">'Plan holdings'!BM7</f>
        <v>0</v>
      </c>
      <c r="E78" s="25"/>
      <c r="G78" s="20" t="s">
        <v>1721</v>
      </c>
      <c r="J78" s="55" t="n">
        <f aca="false">SUM($Y$54:$Y$73)</f>
        <v>4000</v>
      </c>
    </row>
    <row r="79" customFormat="false" ht="15" hidden="false" customHeight="true" outlineLevel="0" collapsed="false">
      <c r="B79" s="20" t="s">
        <v>1722</v>
      </c>
      <c r="D79" s="42" t="n">
        <f aca="false">(1-AS_InvShare)*AS_Cash+AS_InvShare*AS_Inv</f>
        <v>0.0164</v>
      </c>
      <c r="E79" s="25"/>
      <c r="G79" s="20" t="s">
        <v>1723</v>
      </c>
      <c r="J79" s="55" t="n">
        <f aca="false">SUM($Z$54:$Z$73)</f>
        <v>6200</v>
      </c>
    </row>
    <row r="80" customFormat="false" ht="15" hidden="false" customHeight="true" outlineLevel="0" collapsed="false">
      <c r="B80" s="20" t="s">
        <v>1724</v>
      </c>
      <c r="D80" s="42" t="n">
        <f aca="false">SUM($G$24:$G$45)</f>
        <v>4</v>
      </c>
      <c r="E80" s="25"/>
    </row>
    <row r="81" customFormat="false" ht="15" hidden="false" customHeight="true" outlineLevel="0" collapsed="false">
      <c r="B81" s="20" t="s">
        <v>1725</v>
      </c>
      <c r="D81" s="42" t="n">
        <f aca="false">IF(Slots_Funded&gt;20,1,0)</f>
        <v>0</v>
      </c>
      <c r="E81" s="25"/>
    </row>
    <row r="82" customFormat="false" ht="15" hidden="false" customHeight="true" outlineLevel="0" collapsed="false">
      <c r="B82" s="20" t="s">
        <v>1726</v>
      </c>
      <c r="D82" s="42" t="n">
        <f aca="false">COUNTIF(GL_Key,"?*")</f>
        <v>5</v>
      </c>
      <c r="E82" s="25"/>
    </row>
    <row r="83" customFormat="false" ht="15" hidden="false" customHeight="true" outlineLevel="0" collapsed="false">
      <c r="B83" s="20" t="s">
        <v>1727</v>
      </c>
      <c r="D83" s="42"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5"/>
    </row>
    <row r="85" customFormat="false" ht="15" hidden="false" customHeight="true" outlineLevel="0" collapsed="false">
      <c r="B85" s="53" t="s">
        <v>1728</v>
      </c>
    </row>
    <row r="86" customFormat="false" ht="45.75" hidden="false" customHeight="true" outlineLevel="0" collapsed="false">
      <c r="B86" s="33" t="s">
        <v>1690</v>
      </c>
      <c r="C86" s="33" t="s">
        <v>1729</v>
      </c>
      <c r="D86" s="33" t="s">
        <v>1730</v>
      </c>
      <c r="E86" s="33" t="s">
        <v>1731</v>
      </c>
      <c r="F86" s="33" t="s">
        <v>1732</v>
      </c>
      <c r="G86" s="33" t="s">
        <v>1733</v>
      </c>
      <c r="H86" s="33" t="s">
        <v>1734</v>
      </c>
      <c r="I86" s="33" t="s">
        <v>1735</v>
      </c>
      <c r="J86" s="33" t="s">
        <v>1736</v>
      </c>
      <c r="K86" s="33" t="s">
        <v>1737</v>
      </c>
      <c r="L86" s="33" t="s">
        <v>1738</v>
      </c>
      <c r="M86" s="33" t="s">
        <v>1739</v>
      </c>
    </row>
    <row r="87" customFormat="false" ht="15" hidden="false" customHeight="true" outlineLevel="0" collapsed="false">
      <c r="B87" s="20" t="n">
        <v>1</v>
      </c>
      <c r="C87" s="20" t="n">
        <f aca="false">IF(Slot1_On=1,INDEX('Plan cashflow'!$AA$8:$AA$97,Slot1_Age-F_Age+1),0)</f>
        <v>11378.4415116962</v>
      </c>
      <c r="D87" s="20" t="n">
        <f aca="false">Slot1_Cost</f>
        <v>15606</v>
      </c>
      <c r="E87" s="20" t="n">
        <f aca="false">IF(Slot1_On=1,IF(D87&gt;0,IF(C87&gt;=D87-1,100,MIN(PR_PctCap,MAX(0,INT(C87/D87*100)))),100),"")</f>
        <v>72</v>
      </c>
      <c r="F87" s="20" t="n">
        <f aca="false">IF(AND(Slot1_On=1,E87&lt;PR_Good),1,0)</f>
        <v>1</v>
      </c>
      <c r="G87" s="20" t="n">
        <f aca="false">INDEX('Plan cashflow'!$QP$8:$QP$97,1)</f>
        <v>3118.37507280139</v>
      </c>
      <c r="H87" s="20" t="n">
        <f aca="false">INDEX('Plan cashflow'!$QO$8:$QO$97,1)</f>
        <v>807.980272224524</v>
      </c>
      <c r="I87" s="20" t="n">
        <f aca="false">SUMIFS('Plan cashflow'!$QN$8:$QN$97,'Plan cashflow'!$C$8:$C$97,1)</f>
        <v>2141.0426251657</v>
      </c>
      <c r="J87" s="20" t="n">
        <f aca="false">SUMIFS('Plan cashflow'!$W$8:$W$97,'Plan cashflow'!$C$8:$C$97,1)</f>
        <v>2</v>
      </c>
      <c r="K87" s="20" t="n">
        <f aca="false">ROUND(G87/12,0)</f>
        <v>260</v>
      </c>
      <c r="L87" s="20" t="n">
        <f aca="false">ROUND(H87/12,0)</f>
        <v>67</v>
      </c>
      <c r="M87" s="20" t="n">
        <f aca="false">IF(J87&gt;0,ROUND(I87/J87/12,0),0)</f>
        <v>89</v>
      </c>
    </row>
    <row r="88" customFormat="false" ht="15" hidden="false" customHeight="true" outlineLevel="0" collapsed="false">
      <c r="B88" s="20" t="n">
        <v>2</v>
      </c>
      <c r="C88" s="20" t="n">
        <f aca="false">IF(Slot2_On=1,INDEX('Plan cashflow'!$AL$8:$AL$97,Slot2_Age-F_Age+1),0)</f>
        <v>8107.36622472</v>
      </c>
      <c r="D88" s="20" t="n">
        <f aca="false">Slot2_Cost</f>
        <v>12734.496</v>
      </c>
      <c r="E88" s="20" t="n">
        <f aca="false">IF(Slot2_On=1,IF(D88&gt;0,IF(C88&gt;=D88-1,100,MIN(PR_PctCap,MAX(0,INT(C88/D88*100)))),100),"")</f>
        <v>63</v>
      </c>
      <c r="F88" s="20" t="n">
        <f aca="false">IF(AND(Slot2_On=1,E88&lt;PR_Good),1,0)</f>
        <v>1</v>
      </c>
      <c r="G88" s="20" t="n">
        <f aca="false">INDEX('Plan cashflow'!$QT$8:$QT$97,1)</f>
        <v>2013.19702726048</v>
      </c>
      <c r="H88" s="20" t="n">
        <f aca="false">INDEX('Plan cashflow'!$QS$8:$QS$97,1)</f>
        <v>0</v>
      </c>
      <c r="I88" s="20" t="n">
        <f aca="false">SUMIFS('Plan cashflow'!$QR$8:$QR$97,'Plan cashflow'!$C$8:$C$97,1)</f>
        <v>1636.36608227604</v>
      </c>
      <c r="J88" s="20" t="n">
        <f aca="false">SUMIFS('Plan cashflow'!$AH$8:$AH$97,'Plan cashflow'!$C$8:$C$97,1)</f>
        <v>3</v>
      </c>
      <c r="K88" s="20" t="n">
        <f aca="false">ROUND(G88/12,0)</f>
        <v>168</v>
      </c>
      <c r="L88" s="20" t="n">
        <f aca="false">ROUND(H88/12,0)</f>
        <v>0</v>
      </c>
      <c r="M88" s="20" t="n">
        <f aca="false">IF(J88&gt;0,ROUND(I88/J88/12,0),0)</f>
        <v>45</v>
      </c>
    </row>
    <row r="89" customFormat="false" ht="15" hidden="false" customHeight="true" outlineLevel="0" collapsed="false">
      <c r="B89" s="20" t="n">
        <v>3</v>
      </c>
      <c r="C89" s="20" t="n">
        <f aca="false">IF(Slot3_On=1,INDEX('Plan cashflow'!$AV$8:$AV$97,Slot3_Age-F_Age+1),0)</f>
        <v>30927.1211760735</v>
      </c>
      <c r="D89" s="20" t="n">
        <f aca="false">Slot3_Cost</f>
        <v>60949.7209997379</v>
      </c>
      <c r="E89" s="20" t="n">
        <f aca="false">IF(Slot3_On=1,IF(D89&gt;0,IF(C89&gt;=D89-1,100,MIN(PR_PctCap,MAX(0,INT(C89/D89*100)))),100),"")</f>
        <v>50</v>
      </c>
      <c r="F89" s="20" t="n">
        <f aca="false">IF(AND(Slot3_On=1,E89&lt;PR_Good),1,0)</f>
        <v>1</v>
      </c>
      <c r="G89" s="20" t="n">
        <f aca="false">INDEX('Plan cashflow'!$QX$8:$QX$97,1)</f>
        <v>4633.04590752452</v>
      </c>
      <c r="H89" s="20" t="n">
        <f aca="false">INDEX('Plan cashflow'!$QW$8:$QW$97,1)</f>
        <v>0</v>
      </c>
      <c r="I89" s="20" t="n">
        <f aca="false">SUMIFS('Plan cashflow'!$QV$8:$QV$97,'Plan cashflow'!$C$8:$C$97,1)</f>
        <v>24842.4988866021</v>
      </c>
      <c r="J89" s="20" t="n">
        <f aca="false">SUMIFS('Plan cashflow'!$AR$8:$AR$97,'Plan cashflow'!$C$8:$C$97,1)</f>
        <v>10</v>
      </c>
      <c r="K89" s="20" t="n">
        <f aca="false">ROUND(G89/12,0)</f>
        <v>386</v>
      </c>
      <c r="L89" s="20" t="n">
        <f aca="false">ROUND(H89/12,0)</f>
        <v>0</v>
      </c>
      <c r="M89" s="20" t="n">
        <f aca="false">IF(J89&gt;0,ROUND(I89/J89/12,0),0)</f>
        <v>207</v>
      </c>
    </row>
    <row r="90" customFormat="false" ht="15" hidden="false" customHeight="true" outlineLevel="0" collapsed="false">
      <c r="B90" s="20" t="n">
        <v>4</v>
      </c>
      <c r="C90" s="20" t="n">
        <f aca="false">IF(Slot4_On=1,INDEX('Plan cashflow'!$BF$8:$BF$97,Slot4_Age-F_Age+1),0)</f>
        <v>40019.8956528291</v>
      </c>
      <c r="D90" s="20" t="n">
        <f aca="false">Slot4_Cost</f>
        <v>40019.8956528291</v>
      </c>
      <c r="E90" s="20" t="n">
        <f aca="false">IF(Slot4_On=1,IF(D90&gt;0,IF(C90&gt;=D90-1,100,MIN(PR_PctCap,MAX(0,INT(C90/D90*100)))),100),"")</f>
        <v>100</v>
      </c>
      <c r="F90" s="20" t="n">
        <f aca="false">IF(AND(Slot4_On=1,E90&lt;PR_Good),1,0)</f>
        <v>0</v>
      </c>
      <c r="G90" s="20" t="n">
        <f aca="false">INDEX('Plan cashflow'!$RB$8:$RB$97,1)</f>
        <v>1474.7692869697</v>
      </c>
      <c r="H90" s="20" t="n">
        <f aca="false">INDEX('Plan cashflow'!$RA$8:$RA$97,1)</f>
        <v>0</v>
      </c>
      <c r="I90" s="20" t="n">
        <f aca="false">SUMIFS('Plan cashflow'!$QZ$8:$QZ$97,'Plan cashflow'!$C$8:$C$97,1)</f>
        <v>27922.4676773319</v>
      </c>
      <c r="J90" s="20" t="n">
        <f aca="false">SUMIFS('Plan cashflow'!$BB$8:$BB$97,'Plan cashflow'!$C$8:$C$97,1)</f>
        <v>17</v>
      </c>
      <c r="K90" s="20" t="n">
        <f aca="false">ROUND(G90/12,0)</f>
        <v>123</v>
      </c>
      <c r="L90" s="20" t="n">
        <f aca="false">ROUND(H90/12,0)</f>
        <v>0</v>
      </c>
      <c r="M90" s="20" t="n">
        <f aca="false">IF(J90&gt;0,ROUND(I90/J90/12,0),0)</f>
        <v>137</v>
      </c>
    </row>
    <row r="91" customFormat="false" ht="15" hidden="false" customHeight="true" outlineLevel="0" collapsed="false">
      <c r="B91" s="20" t="n">
        <v>5</v>
      </c>
      <c r="C91" s="20" t="n">
        <f aca="false">IF(Slot5_On=1,INDEX('Plan cashflow'!$BP$8:$BP$97,Slot5_Age-F_Age+1),0)</f>
        <v>0</v>
      </c>
      <c r="D91" s="20" t="n">
        <f aca="false">Slot5_Cost</f>
        <v>0</v>
      </c>
      <c r="E91" s="20" t="str">
        <f aca="false">IF(Slot5_On=1,IF(D91&gt;0,IF(C91&gt;=D91-1,100,MIN(PR_PctCap,MAX(0,INT(C91/D91*100)))),100),"")</f>
        <v/>
      </c>
      <c r="F91" s="20" t="n">
        <f aca="false">IF(AND(Slot5_On=1,E91&lt;PR_Good),1,0)</f>
        <v>0</v>
      </c>
      <c r="G91" s="20" t="n">
        <f aca="false">INDEX('Plan cashflow'!$RF$8:$RF$97,1)</f>
        <v>0</v>
      </c>
      <c r="H91" s="20" t="n">
        <f aca="false">INDEX('Plan cashflow'!$RE$8:$RE$97,1)</f>
        <v>0</v>
      </c>
      <c r="I91" s="20" t="n">
        <f aca="false">SUMIFS('Plan cashflow'!$RD$8:$RD$97,'Plan cashflow'!$C$8:$C$97,1)</f>
        <v>0</v>
      </c>
      <c r="J91" s="20" t="n">
        <f aca="false">SUMIFS('Plan cashflow'!$BL$8:$BL$97,'Plan cashflow'!$C$8:$C$97,1)</f>
        <v>0</v>
      </c>
      <c r="K91" s="20" t="n">
        <f aca="false">ROUND(G91/12,0)</f>
        <v>0</v>
      </c>
      <c r="L91" s="20" t="n">
        <f aca="false">ROUND(H91/12,0)</f>
        <v>0</v>
      </c>
      <c r="M91" s="20" t="n">
        <f aca="false">IF(J91&gt;0,ROUND(I91/J91/12,0),0)</f>
        <v>0</v>
      </c>
    </row>
    <row r="92" customFormat="false" ht="15" hidden="false" customHeight="true" outlineLevel="0" collapsed="false">
      <c r="B92" s="20" t="n">
        <v>6</v>
      </c>
      <c r="C92" s="20" t="n">
        <f aca="false">IF(Slot6_On=1,INDEX('Plan cashflow'!$BZ$8:$BZ$97,Slot6_Age-F_Age+1),0)</f>
        <v>0</v>
      </c>
      <c r="D92" s="20" t="n">
        <f aca="false">Slot6_Cost</f>
        <v>0</v>
      </c>
      <c r="E92" s="20" t="str">
        <f aca="false">IF(Slot6_On=1,IF(D92&gt;0,IF(C92&gt;=D92-1,100,MIN(PR_PctCap,MAX(0,INT(C92/D92*100)))),100),"")</f>
        <v/>
      </c>
      <c r="F92" s="20" t="n">
        <f aca="false">IF(AND(Slot6_On=1,E92&lt;PR_Good),1,0)</f>
        <v>0</v>
      </c>
      <c r="G92" s="20" t="n">
        <f aca="false">INDEX('Plan cashflow'!$RJ$8:$RJ$97,1)</f>
        <v>0</v>
      </c>
      <c r="H92" s="20" t="n">
        <f aca="false">INDEX('Plan cashflow'!$RI$8:$RI$97,1)</f>
        <v>0</v>
      </c>
      <c r="I92" s="20" t="n">
        <f aca="false">SUMIFS('Plan cashflow'!$RH$8:$RH$97,'Plan cashflow'!$C$8:$C$97,1)</f>
        <v>0</v>
      </c>
      <c r="J92" s="20" t="n">
        <f aca="false">SUMIFS('Plan cashflow'!$BV$8:$BV$97,'Plan cashflow'!$C$8:$C$97,1)</f>
        <v>0</v>
      </c>
      <c r="K92" s="20" t="n">
        <f aca="false">ROUND(G92/12,0)</f>
        <v>0</v>
      </c>
      <c r="L92" s="20" t="n">
        <f aca="false">ROUND(H92/12,0)</f>
        <v>0</v>
      </c>
      <c r="M92" s="20" t="n">
        <f aca="false">IF(J92&gt;0,ROUND(I92/J92/12,0),0)</f>
        <v>0</v>
      </c>
    </row>
    <row r="93" customFormat="false" ht="15" hidden="false" customHeight="true" outlineLevel="0" collapsed="false">
      <c r="B93" s="20" t="n">
        <v>7</v>
      </c>
      <c r="C93" s="20" t="n">
        <f aca="false">IF(Slot7_On=1,INDEX('Plan cashflow'!$CJ$8:$CJ$97,Slot7_Age-F_Age+1),0)</f>
        <v>0</v>
      </c>
      <c r="D93" s="20" t="n">
        <f aca="false">Slot7_Cost</f>
        <v>0</v>
      </c>
      <c r="E93" s="20" t="str">
        <f aca="false">IF(Slot7_On=1,IF(D93&gt;0,IF(C93&gt;=D93-1,100,MIN(PR_PctCap,MAX(0,INT(C93/D93*100)))),100),"")</f>
        <v/>
      </c>
      <c r="F93" s="20" t="n">
        <f aca="false">IF(AND(Slot7_On=1,E93&lt;PR_Good),1,0)</f>
        <v>0</v>
      </c>
      <c r="G93" s="20" t="n">
        <f aca="false">INDEX('Plan cashflow'!$RN$8:$RN$97,1)</f>
        <v>0</v>
      </c>
      <c r="H93" s="20" t="n">
        <f aca="false">INDEX('Plan cashflow'!$RM$8:$RM$97,1)</f>
        <v>0</v>
      </c>
      <c r="I93" s="20" t="n">
        <f aca="false">SUMIFS('Plan cashflow'!$RL$8:$RL$97,'Plan cashflow'!$C$8:$C$97,1)</f>
        <v>0</v>
      </c>
      <c r="J93" s="20" t="n">
        <f aca="false">SUMIFS('Plan cashflow'!$CF$8:$CF$97,'Plan cashflow'!$C$8:$C$97,1)</f>
        <v>0</v>
      </c>
      <c r="K93" s="20" t="n">
        <f aca="false">ROUND(G93/12,0)</f>
        <v>0</v>
      </c>
      <c r="L93" s="20" t="n">
        <f aca="false">ROUND(H93/12,0)</f>
        <v>0</v>
      </c>
      <c r="M93" s="20" t="n">
        <f aca="false">IF(J93&gt;0,ROUND(I93/J93/12,0),0)</f>
        <v>0</v>
      </c>
    </row>
    <row r="94" customFormat="false" ht="15" hidden="false" customHeight="true" outlineLevel="0" collapsed="false">
      <c r="B94" s="20" t="n">
        <v>8</v>
      </c>
      <c r="C94" s="20" t="n">
        <f aca="false">IF(Slot8_On=1,INDEX('Plan cashflow'!$CT$8:$CT$97,Slot8_Age-F_Age+1),0)</f>
        <v>0</v>
      </c>
      <c r="D94" s="20" t="n">
        <f aca="false">Slot8_Cost</f>
        <v>0</v>
      </c>
      <c r="E94" s="20" t="str">
        <f aca="false">IF(Slot8_On=1,IF(D94&gt;0,IF(C94&gt;=D94-1,100,MIN(PR_PctCap,MAX(0,INT(C94/D94*100)))),100),"")</f>
        <v/>
      </c>
      <c r="F94" s="20" t="n">
        <f aca="false">IF(AND(Slot8_On=1,E94&lt;PR_Good),1,0)</f>
        <v>0</v>
      </c>
      <c r="G94" s="20" t="n">
        <f aca="false">INDEX('Plan cashflow'!$RR$8:$RR$97,1)</f>
        <v>0</v>
      </c>
      <c r="H94" s="20" t="n">
        <f aca="false">INDEX('Plan cashflow'!$RQ$8:$RQ$97,1)</f>
        <v>0</v>
      </c>
      <c r="I94" s="20" t="n">
        <f aca="false">SUMIFS('Plan cashflow'!$RP$8:$RP$97,'Plan cashflow'!$C$8:$C$97,1)</f>
        <v>0</v>
      </c>
      <c r="J94" s="20" t="n">
        <f aca="false">SUMIFS('Plan cashflow'!$CP$8:$CP$97,'Plan cashflow'!$C$8:$C$97,1)</f>
        <v>0</v>
      </c>
      <c r="K94" s="20" t="n">
        <f aca="false">ROUND(G94/12,0)</f>
        <v>0</v>
      </c>
      <c r="L94" s="20" t="n">
        <f aca="false">ROUND(H94/12,0)</f>
        <v>0</v>
      </c>
      <c r="M94" s="20" t="n">
        <f aca="false">IF(J94&gt;0,ROUND(I94/J94/12,0),0)</f>
        <v>0</v>
      </c>
    </row>
    <row r="95" customFormat="false" ht="15" hidden="false" customHeight="true" outlineLevel="0" collapsed="false">
      <c r="B95" s="20" t="n">
        <v>9</v>
      </c>
      <c r="C95" s="20" t="n">
        <f aca="false">IF(Slot9_On=1,INDEX('Plan cashflow'!$DD$8:$DD$97,Slot9_Age-F_Age+1),0)</f>
        <v>0</v>
      </c>
      <c r="D95" s="20" t="n">
        <f aca="false">Slot9_Cost</f>
        <v>0</v>
      </c>
      <c r="E95" s="20" t="str">
        <f aca="false">IF(Slot9_On=1,IF(D95&gt;0,IF(C95&gt;=D95-1,100,MIN(PR_PctCap,MAX(0,INT(C95/D95*100)))),100),"")</f>
        <v/>
      </c>
      <c r="F95" s="20" t="n">
        <f aca="false">IF(AND(Slot9_On=1,E95&lt;PR_Good),1,0)</f>
        <v>0</v>
      </c>
      <c r="G95" s="20" t="n">
        <f aca="false">INDEX('Plan cashflow'!$RV$8:$RV$97,1)</f>
        <v>0</v>
      </c>
      <c r="H95" s="20" t="n">
        <f aca="false">INDEX('Plan cashflow'!$RU$8:$RU$97,1)</f>
        <v>0</v>
      </c>
      <c r="I95" s="20" t="n">
        <f aca="false">SUMIFS('Plan cashflow'!$RT$8:$RT$97,'Plan cashflow'!$C$8:$C$97,1)</f>
        <v>0</v>
      </c>
      <c r="J95" s="20" t="n">
        <f aca="false">SUMIFS('Plan cashflow'!$CZ$8:$CZ$97,'Plan cashflow'!$C$8:$C$97,1)</f>
        <v>0</v>
      </c>
      <c r="K95" s="20" t="n">
        <f aca="false">ROUND(G95/12,0)</f>
        <v>0</v>
      </c>
      <c r="L95" s="20" t="n">
        <f aca="false">ROUND(H95/12,0)</f>
        <v>0</v>
      </c>
      <c r="M95" s="20" t="n">
        <f aca="false">IF(J95&gt;0,ROUND(I95/J95/12,0),0)</f>
        <v>0</v>
      </c>
    </row>
    <row r="96" customFormat="false" ht="15" hidden="false" customHeight="true" outlineLevel="0" collapsed="false">
      <c r="B96" s="20" t="n">
        <v>10</v>
      </c>
      <c r="C96" s="20" t="n">
        <f aca="false">IF(Slot10_On=1,INDEX('Plan cashflow'!$DN$8:$DN$97,Slot10_Age-F_Age+1),0)</f>
        <v>0</v>
      </c>
      <c r="D96" s="20" t="n">
        <f aca="false">Slot10_Cost</f>
        <v>0</v>
      </c>
      <c r="E96" s="20" t="str">
        <f aca="false">IF(Slot10_On=1,IF(D96&gt;0,IF(C96&gt;=D96-1,100,MIN(PR_PctCap,MAX(0,INT(C96/D96*100)))),100),"")</f>
        <v/>
      </c>
      <c r="F96" s="20" t="n">
        <f aca="false">IF(AND(Slot10_On=1,E96&lt;PR_Good),1,0)</f>
        <v>0</v>
      </c>
      <c r="G96" s="20" t="n">
        <f aca="false">INDEX('Plan cashflow'!$RZ$8:$RZ$97,1)</f>
        <v>0</v>
      </c>
      <c r="H96" s="20" t="n">
        <f aca="false">INDEX('Plan cashflow'!$RY$8:$RY$97,1)</f>
        <v>0</v>
      </c>
      <c r="I96" s="20" t="n">
        <f aca="false">SUMIFS('Plan cashflow'!$RX$8:$RX$97,'Plan cashflow'!$C$8:$C$97,1)</f>
        <v>0</v>
      </c>
      <c r="J96" s="20" t="n">
        <f aca="false">SUMIFS('Plan cashflow'!$DJ$8:$DJ$97,'Plan cashflow'!$C$8:$C$97,1)</f>
        <v>0</v>
      </c>
      <c r="K96" s="20" t="n">
        <f aca="false">ROUND(G96/12,0)</f>
        <v>0</v>
      </c>
      <c r="L96" s="20" t="n">
        <f aca="false">ROUND(H96/12,0)</f>
        <v>0</v>
      </c>
      <c r="M96" s="20" t="n">
        <f aca="false">IF(J96&gt;0,ROUND(I96/J96/12,0),0)</f>
        <v>0</v>
      </c>
    </row>
    <row r="97" customFormat="false" ht="15" hidden="false" customHeight="true" outlineLevel="0" collapsed="false">
      <c r="B97" s="20" t="n">
        <v>11</v>
      </c>
      <c r="C97" s="20" t="n">
        <f aca="false">IF(Slot11_On=1,INDEX('Plan cashflow'!$DX$8:$DX$97,Slot11_Age-F_Age+1),0)</f>
        <v>0</v>
      </c>
      <c r="D97" s="20" t="n">
        <f aca="false">Slot11_Cost</f>
        <v>0</v>
      </c>
      <c r="E97" s="20" t="str">
        <f aca="false">IF(Slot11_On=1,IF(D97&gt;0,IF(C97&gt;=D97-1,100,MIN(PR_PctCap,MAX(0,INT(C97/D97*100)))),100),"")</f>
        <v/>
      </c>
      <c r="F97" s="20" t="n">
        <f aca="false">IF(AND(Slot11_On=1,E97&lt;PR_Good),1,0)</f>
        <v>0</v>
      </c>
      <c r="G97" s="20" t="n">
        <f aca="false">INDEX('Plan cashflow'!$SD$8:$SD$97,1)</f>
        <v>0</v>
      </c>
      <c r="H97" s="20" t="n">
        <f aca="false">INDEX('Plan cashflow'!$SC$8:$SC$97,1)</f>
        <v>0</v>
      </c>
      <c r="I97" s="20" t="n">
        <f aca="false">SUMIFS('Plan cashflow'!$SB$8:$SB$97,'Plan cashflow'!$C$8:$C$97,1)</f>
        <v>0</v>
      </c>
      <c r="J97" s="20" t="n">
        <f aca="false">SUMIFS('Plan cashflow'!$DT$8:$DT$97,'Plan cashflow'!$C$8:$C$97,1)</f>
        <v>0</v>
      </c>
      <c r="K97" s="20" t="n">
        <f aca="false">ROUND(G97/12,0)</f>
        <v>0</v>
      </c>
      <c r="L97" s="20" t="n">
        <f aca="false">ROUND(H97/12,0)</f>
        <v>0</v>
      </c>
      <c r="M97" s="20" t="n">
        <f aca="false">IF(J97&gt;0,ROUND(I97/J97/12,0),0)</f>
        <v>0</v>
      </c>
    </row>
    <row r="98" customFormat="false" ht="15" hidden="false" customHeight="true" outlineLevel="0" collapsed="false">
      <c r="B98" s="20" t="n">
        <v>12</v>
      </c>
      <c r="C98" s="20" t="n">
        <f aca="false">IF(Slot12_On=1,INDEX('Plan cashflow'!$EH$8:$EH$97,Slot12_Age-F_Age+1),0)</f>
        <v>0</v>
      </c>
      <c r="D98" s="20" t="n">
        <f aca="false">Slot12_Cost</f>
        <v>0</v>
      </c>
      <c r="E98" s="20" t="str">
        <f aca="false">IF(Slot12_On=1,IF(D98&gt;0,IF(C98&gt;=D98-1,100,MIN(PR_PctCap,MAX(0,INT(C98/D98*100)))),100),"")</f>
        <v/>
      </c>
      <c r="F98" s="20" t="n">
        <f aca="false">IF(AND(Slot12_On=1,E98&lt;PR_Good),1,0)</f>
        <v>0</v>
      </c>
      <c r="G98" s="20" t="n">
        <f aca="false">INDEX('Plan cashflow'!$SH$8:$SH$97,1)</f>
        <v>0</v>
      </c>
      <c r="H98" s="20" t="n">
        <f aca="false">INDEX('Plan cashflow'!$SG$8:$SG$97,1)</f>
        <v>0</v>
      </c>
      <c r="I98" s="20" t="n">
        <f aca="false">SUMIFS('Plan cashflow'!$SF$8:$SF$97,'Plan cashflow'!$C$8:$C$97,1)</f>
        <v>0</v>
      </c>
      <c r="J98" s="20" t="n">
        <f aca="false">SUMIFS('Plan cashflow'!$ED$8:$ED$97,'Plan cashflow'!$C$8:$C$97,1)</f>
        <v>0</v>
      </c>
      <c r="K98" s="20" t="n">
        <f aca="false">ROUND(G98/12,0)</f>
        <v>0</v>
      </c>
      <c r="L98" s="20" t="n">
        <f aca="false">ROUND(H98/12,0)</f>
        <v>0</v>
      </c>
      <c r="M98" s="20" t="n">
        <f aca="false">IF(J98&gt;0,ROUND(I98/J98/12,0),0)</f>
        <v>0</v>
      </c>
    </row>
    <row r="99" customFormat="false" ht="15" hidden="false" customHeight="true" outlineLevel="0" collapsed="false">
      <c r="B99" s="20" t="n">
        <v>13</v>
      </c>
      <c r="C99" s="20" t="n">
        <f aca="false">IF(Slot13_On=1,INDEX('Plan cashflow'!$ER$8:$ER$97,Slot13_Age-F_Age+1),0)</f>
        <v>0</v>
      </c>
      <c r="D99" s="20" t="n">
        <f aca="false">Slot13_Cost</f>
        <v>0</v>
      </c>
      <c r="E99" s="20" t="str">
        <f aca="false">IF(Slot13_On=1,IF(D99&gt;0,IF(C99&gt;=D99-1,100,MIN(PR_PctCap,MAX(0,INT(C99/D99*100)))),100),"")</f>
        <v/>
      </c>
      <c r="F99" s="20" t="n">
        <f aca="false">IF(AND(Slot13_On=1,E99&lt;PR_Good),1,0)</f>
        <v>0</v>
      </c>
      <c r="G99" s="20" t="n">
        <f aca="false">INDEX('Plan cashflow'!$SL$8:$SL$97,1)</f>
        <v>0</v>
      </c>
      <c r="H99" s="20" t="n">
        <f aca="false">INDEX('Plan cashflow'!$SK$8:$SK$97,1)</f>
        <v>0</v>
      </c>
      <c r="I99" s="20" t="n">
        <f aca="false">SUMIFS('Plan cashflow'!$SJ$8:$SJ$97,'Plan cashflow'!$C$8:$C$97,1)</f>
        <v>0</v>
      </c>
      <c r="J99" s="20" t="n">
        <f aca="false">SUMIFS('Plan cashflow'!$EN$8:$EN$97,'Plan cashflow'!$C$8:$C$97,1)</f>
        <v>0</v>
      </c>
      <c r="K99" s="20" t="n">
        <f aca="false">ROUND(G99/12,0)</f>
        <v>0</v>
      </c>
      <c r="L99" s="20" t="n">
        <f aca="false">ROUND(H99/12,0)</f>
        <v>0</v>
      </c>
      <c r="M99" s="20" t="n">
        <f aca="false">IF(J99&gt;0,ROUND(I99/J99/12,0),0)</f>
        <v>0</v>
      </c>
    </row>
    <row r="100" customFormat="false" ht="15" hidden="false" customHeight="true" outlineLevel="0" collapsed="false">
      <c r="B100" s="20" t="n">
        <v>14</v>
      </c>
      <c r="C100" s="20" t="n">
        <f aca="false">IF(Slot14_On=1,INDEX('Plan cashflow'!$FB$8:$FB$97,Slot14_Age-F_Age+1),0)</f>
        <v>0</v>
      </c>
      <c r="D100" s="20" t="n">
        <f aca="false">Slot14_Cost</f>
        <v>0</v>
      </c>
      <c r="E100" s="20" t="str">
        <f aca="false">IF(Slot14_On=1,IF(D100&gt;0,IF(C100&gt;=D100-1,100,MIN(PR_PctCap,MAX(0,INT(C100/D100*100)))),100),"")</f>
        <v/>
      </c>
      <c r="F100" s="20" t="n">
        <f aca="false">IF(AND(Slot14_On=1,E100&lt;PR_Good),1,0)</f>
        <v>0</v>
      </c>
      <c r="G100" s="20" t="n">
        <f aca="false">INDEX('Plan cashflow'!$SP$8:$SP$97,1)</f>
        <v>0</v>
      </c>
      <c r="H100" s="20" t="n">
        <f aca="false">INDEX('Plan cashflow'!$SO$8:$SO$97,1)</f>
        <v>0</v>
      </c>
      <c r="I100" s="20" t="n">
        <f aca="false">SUMIFS('Plan cashflow'!$SN$8:$SN$97,'Plan cashflow'!$C$8:$C$97,1)</f>
        <v>0</v>
      </c>
      <c r="J100" s="20" t="n">
        <f aca="false">SUMIFS('Plan cashflow'!$EX$8:$EX$97,'Plan cashflow'!$C$8:$C$97,1)</f>
        <v>0</v>
      </c>
      <c r="K100" s="20" t="n">
        <f aca="false">ROUND(G100/12,0)</f>
        <v>0</v>
      </c>
      <c r="L100" s="20" t="n">
        <f aca="false">ROUND(H100/12,0)</f>
        <v>0</v>
      </c>
      <c r="M100" s="20" t="n">
        <f aca="false">IF(J100&gt;0,ROUND(I100/J100/12,0),0)</f>
        <v>0</v>
      </c>
    </row>
    <row r="101" customFormat="false" ht="15" hidden="false" customHeight="true" outlineLevel="0" collapsed="false">
      <c r="B101" s="20" t="n">
        <v>15</v>
      </c>
      <c r="C101" s="20" t="n">
        <f aca="false">IF(Slot15_On=1,INDEX('Plan cashflow'!$FL$8:$FL$97,Slot15_Age-F_Age+1),0)</f>
        <v>0</v>
      </c>
      <c r="D101" s="20" t="n">
        <f aca="false">Slot15_Cost</f>
        <v>0</v>
      </c>
      <c r="E101" s="20" t="str">
        <f aca="false">IF(Slot15_On=1,IF(D101&gt;0,IF(C101&gt;=D101-1,100,MIN(PR_PctCap,MAX(0,INT(C101/D101*100)))),100),"")</f>
        <v/>
      </c>
      <c r="F101" s="20" t="n">
        <f aca="false">IF(AND(Slot15_On=1,E101&lt;PR_Good),1,0)</f>
        <v>0</v>
      </c>
      <c r="G101" s="20" t="n">
        <f aca="false">INDEX('Plan cashflow'!$ST$8:$ST$97,1)</f>
        <v>0</v>
      </c>
      <c r="H101" s="20" t="n">
        <f aca="false">INDEX('Plan cashflow'!$SS$8:$SS$97,1)</f>
        <v>0</v>
      </c>
      <c r="I101" s="20" t="n">
        <f aca="false">SUMIFS('Plan cashflow'!$SR$8:$SR$97,'Plan cashflow'!$C$8:$C$97,1)</f>
        <v>0</v>
      </c>
      <c r="J101" s="20" t="n">
        <f aca="false">SUMIFS('Plan cashflow'!$FH$8:$FH$97,'Plan cashflow'!$C$8:$C$97,1)</f>
        <v>0</v>
      </c>
      <c r="K101" s="20" t="n">
        <f aca="false">ROUND(G101/12,0)</f>
        <v>0</v>
      </c>
      <c r="L101" s="20" t="n">
        <f aca="false">ROUND(H101/12,0)</f>
        <v>0</v>
      </c>
      <c r="M101" s="20" t="n">
        <f aca="false">IF(J101&gt;0,ROUND(I101/J101/12,0),0)</f>
        <v>0</v>
      </c>
    </row>
    <row r="102" customFormat="false" ht="15" hidden="false" customHeight="true" outlineLevel="0" collapsed="false">
      <c r="B102" s="20" t="n">
        <v>16</v>
      </c>
      <c r="C102" s="20" t="n">
        <f aca="false">IF(Slot16_On=1,INDEX('Plan cashflow'!$FV$8:$FV$97,Slot16_Age-F_Age+1),0)</f>
        <v>0</v>
      </c>
      <c r="D102" s="20" t="n">
        <f aca="false">Slot16_Cost</f>
        <v>0</v>
      </c>
      <c r="E102" s="20" t="str">
        <f aca="false">IF(Slot16_On=1,IF(D102&gt;0,IF(C102&gt;=D102-1,100,MIN(PR_PctCap,MAX(0,INT(C102/D102*100)))),100),"")</f>
        <v/>
      </c>
      <c r="F102" s="20" t="n">
        <f aca="false">IF(AND(Slot16_On=1,E102&lt;PR_Good),1,0)</f>
        <v>0</v>
      </c>
      <c r="G102" s="20" t="n">
        <f aca="false">INDEX('Plan cashflow'!$SX$8:$SX$97,1)</f>
        <v>0</v>
      </c>
      <c r="H102" s="20" t="n">
        <f aca="false">INDEX('Plan cashflow'!$SW$8:$SW$97,1)</f>
        <v>0</v>
      </c>
      <c r="I102" s="20" t="n">
        <f aca="false">SUMIFS('Plan cashflow'!$SV$8:$SV$97,'Plan cashflow'!$C$8:$C$97,1)</f>
        <v>0</v>
      </c>
      <c r="J102" s="20" t="n">
        <f aca="false">SUMIFS('Plan cashflow'!$FR$8:$FR$97,'Plan cashflow'!$C$8:$C$97,1)</f>
        <v>0</v>
      </c>
      <c r="K102" s="20" t="n">
        <f aca="false">ROUND(G102/12,0)</f>
        <v>0</v>
      </c>
      <c r="L102" s="20" t="n">
        <f aca="false">ROUND(H102/12,0)</f>
        <v>0</v>
      </c>
      <c r="M102" s="20" t="n">
        <f aca="false">IF(J102&gt;0,ROUND(I102/J102/12,0),0)</f>
        <v>0</v>
      </c>
    </row>
    <row r="103" customFormat="false" ht="15" hidden="false" customHeight="true" outlineLevel="0" collapsed="false">
      <c r="B103" s="20" t="n">
        <v>17</v>
      </c>
      <c r="C103" s="20" t="n">
        <f aca="false">IF(Slot17_On=1,INDEX('Plan cashflow'!$GF$8:$GF$97,Slot17_Age-F_Age+1),0)</f>
        <v>0</v>
      </c>
      <c r="D103" s="20" t="n">
        <f aca="false">Slot17_Cost</f>
        <v>0</v>
      </c>
      <c r="E103" s="20" t="str">
        <f aca="false">IF(Slot17_On=1,IF(D103&gt;0,IF(C103&gt;=D103-1,100,MIN(PR_PctCap,MAX(0,INT(C103/D103*100)))),100),"")</f>
        <v/>
      </c>
      <c r="F103" s="20" t="n">
        <f aca="false">IF(AND(Slot17_On=1,E103&lt;PR_Good),1,0)</f>
        <v>0</v>
      </c>
      <c r="G103" s="20" t="n">
        <f aca="false">INDEX('Plan cashflow'!$TB$8:$TB$97,1)</f>
        <v>0</v>
      </c>
      <c r="H103" s="20" t="n">
        <f aca="false">INDEX('Plan cashflow'!$TA$8:$TA$97,1)</f>
        <v>0</v>
      </c>
      <c r="I103" s="20" t="n">
        <f aca="false">SUMIFS('Plan cashflow'!$SZ$8:$SZ$97,'Plan cashflow'!$C$8:$C$97,1)</f>
        <v>0</v>
      </c>
      <c r="J103" s="20" t="n">
        <f aca="false">SUMIFS('Plan cashflow'!$GB$8:$GB$97,'Plan cashflow'!$C$8:$C$97,1)</f>
        <v>0</v>
      </c>
      <c r="K103" s="20" t="n">
        <f aca="false">ROUND(G103/12,0)</f>
        <v>0</v>
      </c>
      <c r="L103" s="20" t="n">
        <f aca="false">ROUND(H103/12,0)</f>
        <v>0</v>
      </c>
      <c r="M103" s="20" t="n">
        <f aca="false">IF(J103&gt;0,ROUND(I103/J103/12,0),0)</f>
        <v>0</v>
      </c>
    </row>
    <row r="104" customFormat="false" ht="15" hidden="false" customHeight="true" outlineLevel="0" collapsed="false">
      <c r="B104" s="20" t="n">
        <v>18</v>
      </c>
      <c r="C104" s="20" t="n">
        <f aca="false">IF(Slot18_On=1,INDEX('Plan cashflow'!$GP$8:$GP$97,Slot18_Age-F_Age+1),0)</f>
        <v>0</v>
      </c>
      <c r="D104" s="20" t="n">
        <f aca="false">Slot18_Cost</f>
        <v>0</v>
      </c>
      <c r="E104" s="20" t="str">
        <f aca="false">IF(Slot18_On=1,IF(D104&gt;0,IF(C104&gt;=D104-1,100,MIN(PR_PctCap,MAX(0,INT(C104/D104*100)))),100),"")</f>
        <v/>
      </c>
      <c r="F104" s="20" t="n">
        <f aca="false">IF(AND(Slot18_On=1,E104&lt;PR_Good),1,0)</f>
        <v>0</v>
      </c>
      <c r="G104" s="20" t="n">
        <f aca="false">INDEX('Plan cashflow'!$TF$8:$TF$97,1)</f>
        <v>0</v>
      </c>
      <c r="H104" s="20" t="n">
        <f aca="false">INDEX('Plan cashflow'!$TE$8:$TE$97,1)</f>
        <v>0</v>
      </c>
      <c r="I104" s="20" t="n">
        <f aca="false">SUMIFS('Plan cashflow'!$TD$8:$TD$97,'Plan cashflow'!$C$8:$C$97,1)</f>
        <v>0</v>
      </c>
      <c r="J104" s="20" t="n">
        <f aca="false">SUMIFS('Plan cashflow'!$GL$8:$GL$97,'Plan cashflow'!$C$8:$C$97,1)</f>
        <v>0</v>
      </c>
      <c r="K104" s="20" t="n">
        <f aca="false">ROUND(G104/12,0)</f>
        <v>0</v>
      </c>
      <c r="L104" s="20" t="n">
        <f aca="false">ROUND(H104/12,0)</f>
        <v>0</v>
      </c>
      <c r="M104" s="20" t="n">
        <f aca="false">IF(J104&gt;0,ROUND(I104/J104/12,0),0)</f>
        <v>0</v>
      </c>
    </row>
    <row r="105" customFormat="false" ht="15" hidden="false" customHeight="true" outlineLevel="0" collapsed="false">
      <c r="B105" s="20" t="n">
        <v>19</v>
      </c>
      <c r="C105" s="20" t="n">
        <f aca="false">IF(Slot19_On=1,INDEX('Plan cashflow'!$GZ$8:$GZ$97,Slot19_Age-F_Age+1),0)</f>
        <v>0</v>
      </c>
      <c r="D105" s="20" t="n">
        <f aca="false">Slot19_Cost</f>
        <v>0</v>
      </c>
      <c r="E105" s="20" t="str">
        <f aca="false">IF(Slot19_On=1,IF(D105&gt;0,IF(C105&gt;=D105-1,100,MIN(PR_PctCap,MAX(0,INT(C105/D105*100)))),100),"")</f>
        <v/>
      </c>
      <c r="F105" s="20" t="n">
        <f aca="false">IF(AND(Slot19_On=1,E105&lt;PR_Good),1,0)</f>
        <v>0</v>
      </c>
      <c r="G105" s="20" t="n">
        <f aca="false">INDEX('Plan cashflow'!$TJ$8:$TJ$97,1)</f>
        <v>0</v>
      </c>
      <c r="H105" s="20" t="n">
        <f aca="false">INDEX('Plan cashflow'!$TI$8:$TI$97,1)</f>
        <v>0</v>
      </c>
      <c r="I105" s="20" t="n">
        <f aca="false">SUMIFS('Plan cashflow'!$TH$8:$TH$97,'Plan cashflow'!$C$8:$C$97,1)</f>
        <v>0</v>
      </c>
      <c r="J105" s="20" t="n">
        <f aca="false">SUMIFS('Plan cashflow'!$GV$8:$GV$97,'Plan cashflow'!$C$8:$C$97,1)</f>
        <v>0</v>
      </c>
      <c r="K105" s="20" t="n">
        <f aca="false">ROUND(G105/12,0)</f>
        <v>0</v>
      </c>
      <c r="L105" s="20" t="n">
        <f aca="false">ROUND(H105/12,0)</f>
        <v>0</v>
      </c>
      <c r="M105" s="20" t="n">
        <f aca="false">IF(J105&gt;0,ROUND(I105/J105/12,0),0)</f>
        <v>0</v>
      </c>
    </row>
    <row r="106" customFormat="false" ht="15" hidden="false" customHeight="true" outlineLevel="0" collapsed="false">
      <c r="B106" s="20" t="n">
        <v>20</v>
      </c>
      <c r="C106" s="20" t="n">
        <f aca="false">IF(Slot20_On=1,INDEX('Plan cashflow'!$HJ$8:$HJ$97,Slot20_Age-F_Age+1),0)</f>
        <v>0</v>
      </c>
      <c r="D106" s="20" t="n">
        <f aca="false">Slot20_Cost</f>
        <v>0</v>
      </c>
      <c r="E106" s="20" t="str">
        <f aca="false">IF(Slot20_On=1,IF(D106&gt;0,IF(C106&gt;=D106-1,100,MIN(PR_PctCap,MAX(0,INT(C106/D106*100)))),100),"")</f>
        <v/>
      </c>
      <c r="F106" s="20" t="n">
        <f aca="false">IF(AND(Slot20_On=1,E106&lt;PR_Good),1,0)</f>
        <v>0</v>
      </c>
      <c r="G106" s="20" t="n">
        <f aca="false">INDEX('Plan cashflow'!$TN$8:$TN$97,1)</f>
        <v>0</v>
      </c>
      <c r="H106" s="20" t="n">
        <f aca="false">INDEX('Plan cashflow'!$TM$8:$TM$97,1)</f>
        <v>0</v>
      </c>
      <c r="I106" s="20" t="n">
        <f aca="false">SUMIFS('Plan cashflow'!$TL$8:$TL$97,'Plan cashflow'!$C$8:$C$97,1)</f>
        <v>0</v>
      </c>
      <c r="J106" s="20" t="n">
        <f aca="false">SUMIFS('Plan cashflow'!$HF$8:$HF$97,'Plan cashflow'!$C$8:$C$97,1)</f>
        <v>0</v>
      </c>
      <c r="K106" s="20" t="n">
        <f aca="false">ROUND(G106/12,0)</f>
        <v>0</v>
      </c>
      <c r="L106" s="20" t="n">
        <f aca="false">ROUND(H106/12,0)</f>
        <v>0</v>
      </c>
      <c r="M106" s="20" t="n">
        <f aca="false">IF(J106&gt;0,ROUND(I106/J106/12,0),0)</f>
        <v>0</v>
      </c>
    </row>
    <row r="108" customFormat="false" ht="15" hidden="false" customHeight="true" outlineLevel="0" collapsed="false">
      <c r="B108" s="53" t="s">
        <v>1740</v>
      </c>
    </row>
    <row r="109" customFormat="false" ht="90" hidden="false" customHeight="true" outlineLevel="0" collapsed="false">
      <c r="B109" s="33" t="s">
        <v>1673</v>
      </c>
      <c r="C109" s="33" t="s">
        <v>1675</v>
      </c>
      <c r="D109" s="33" t="s">
        <v>1635</v>
      </c>
      <c r="E109" s="33" t="s">
        <v>1741</v>
      </c>
      <c r="F109" s="33" t="s">
        <v>1742</v>
      </c>
      <c r="G109" s="33" t="s">
        <v>1731</v>
      </c>
      <c r="H109" s="33" t="s">
        <v>1743</v>
      </c>
      <c r="I109" s="33" t="s">
        <v>1684</v>
      </c>
      <c r="J109" s="33" t="s">
        <v>1744</v>
      </c>
      <c r="K109" s="33" t="s">
        <v>1745</v>
      </c>
      <c r="L109" s="33" t="s">
        <v>1746</v>
      </c>
      <c r="M109" s="33" t="s">
        <v>1747</v>
      </c>
      <c r="N109" s="33" t="s">
        <v>1679</v>
      </c>
      <c r="O109" s="33" t="s">
        <v>1748</v>
      </c>
      <c r="P109" s="33" t="s">
        <v>1749</v>
      </c>
      <c r="Q109" s="33" t="s">
        <v>1674</v>
      </c>
      <c r="R109" s="33" t="s">
        <v>1750</v>
      </c>
      <c r="S109" s="33" t="s">
        <v>1636</v>
      </c>
      <c r="T109" s="33" t="s">
        <v>1751</v>
      </c>
      <c r="U109" s="33" t="s">
        <v>1752</v>
      </c>
      <c r="V109" s="33" t="s">
        <v>1753</v>
      </c>
      <c r="W109" s="33" t="s">
        <v>1754</v>
      </c>
      <c r="X109" s="33" t="s">
        <v>1755</v>
      </c>
      <c r="Y109" s="33" t="s">
        <v>1756</v>
      </c>
      <c r="Z109" s="33" t="s">
        <v>1757</v>
      </c>
      <c r="AA109" s="33" t="s">
        <v>1758</v>
      </c>
      <c r="AB109" s="33" t="s">
        <v>1759</v>
      </c>
    </row>
    <row r="110" customFormat="false" ht="15" hidden="false" customHeight="true" outlineLevel="0" collapsed="false">
      <c r="B110" s="20" t="n">
        <v>1</v>
      </c>
      <c r="C110" s="20" t="str">
        <f aca="false">IF($Q110="","",INDEX(GL_Name,1))</f>
        <v>Kids' education</v>
      </c>
      <c r="D110" s="20" t="str">
        <f aca="false">INDEX(GL_Kind,1)</f>
        <v>spend</v>
      </c>
      <c r="E110" s="20" t="n">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cashflow'!$TS$8:$TS$97,'Plan cashflow'!$C$8:$C$97,1),IF($D110="legacy",INDEX(GL_Amount,1)*(1+AS_Infl)^F_N,0))))</f>
        <v>60949.7209997379</v>
      </c>
      <c r="F110" s="20" t="n">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cashflow'!$TT$8:$TT$97,'Plan cashflow'!$C$8:$C$97,1),IF($D110="legacy",MIN(E110,INDEX('Plan cashflow'!$QK$8:$QK$97,F_N+1)+INDEX('Plan cashflow'!$QL$8:$QL$97,F_N+1)),0))))</f>
        <v>30927.1211760735</v>
      </c>
      <c r="G110" s="20" t="n">
        <f aca="false">IF($Q110="","",IF($D110="retire",IF(SUM('Plan cashflow'!$UH$8:$UH$97)&gt;0,MIN(IF(E110&gt;0,IF(F110&gt;=E110-1,100,MIN(PR_PctCap,MAX(0,INT(F110/E110*100)))),100),94),IF(E110&gt;0,IF(F110&gt;=E110-1,100,MIN(PR_PctCap,MAX(0,INT(F110/E110*100)))),100)),IF(E110&gt;0,IF(F110&gt;=E110-1,100,MIN(PR_PctCap,MAX(0,INT(F110/E110*100)))),100)))</f>
        <v>50</v>
      </c>
      <c r="H110" s="20" t="str">
        <f aca="false">IF(G110="","",IF(G110&gt;=PR_Good,"good",IF(G110&gt;=PR_Nudge,"nudge","alert")))</f>
        <v>alert</v>
      </c>
      <c r="I110" s="20" t="n">
        <f aca="false">IF(OR($D110="spend",$D110="mfree",$D110="pot"),INDEX(GL_Pos,1),"")</f>
        <v>3</v>
      </c>
      <c r="J110" s="20" t="n">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386</v>
      </c>
      <c r="K110" s="20" t="n">
        <f aca="false">IF(OR($D110="spend",$D110="mfree",$D110="pot"),CHOOSE($I110,Slot1_AvgM,Slot2_AvgM,Slot3_AvgM,Slot4_AvgM,Slot5_AvgM,Slot6_AvgM,Slot7_AvgM,Slot8_AvgM,Slot9_AvgM,Slot10_AvgM,Slot11_AvgM,Slot12_AvgM,Slot13_AvgM,Slot14_AvgM,Slot15_AvgM,Slot16_AvgM,Slot17_AvgM,Slot18_AvgM,Slot19_AvgM,Slot20_AvgM),"")</f>
        <v>207</v>
      </c>
      <c r="L110" s="24"/>
      <c r="M110" s="20"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Needs about €462 a month, more than your spare money · on average you'll put €207 a month</v>
      </c>
      <c r="N110" s="20" t="n">
        <f aca="false">IF($Q110="","",INDEX(GL_AgeT,1))</f>
        <v>48</v>
      </c>
      <c r="O110" s="20" t="str">
        <f aca="false">IF(AND($Q110&lt;&gt;"",G110&gt;=PR_Good,Findings_Over=0),G110*1000000-N110*1000-1,"")</f>
        <v/>
      </c>
      <c r="P110" s="20" t="n">
        <f aca="false">IF($Q110="","",G110*1000000+N110*1000+1)</f>
        <v>50048001</v>
      </c>
      <c r="Q110" s="20" t="str">
        <f aca="false">INDEX(GL_Key,1)</f>
        <v>edu</v>
      </c>
      <c r="R110" s="20" t="n">
        <f aca="false">IF(G110="",0,G110)</f>
        <v>50</v>
      </c>
      <c r="S110" s="20" t="str">
        <f aca="false">IF($Q110="","",IFERROR(INDEX(Goal_Specs,MATCH($Q110,Goal_Keys,0)),""))</f>
        <v>planner</v>
      </c>
      <c r="T110" s="20" t="n">
        <f aca="false">IF($Q110="",9999,G110)</f>
        <v>50</v>
      </c>
      <c r="U110" s="20" t="str">
        <f aca="false">IF($Q110="","",IF($D110="legacy","at the end of your plan"&amp;IF(Has_a_planEnd=1," ("&amp;AS_End&amp;")",""),IF(INDEX(GL_AgeT,1)&lt;F_Age,"Date has passed",IF($D110="retire",IF(Has_retireAge=1,"at "&amp;INDEX(GL_AgeT,1),"at an age you haven't chosen yet"),"in "&amp;(INDEX(GL_AgeRaw,1)-F_Age)&amp;IF(INDEX(GL_AgeRaw,1)-F_Age=1," year"," years")))))</f>
        <v>in 10 years</v>
      </c>
      <c r="V110" s="20" t="str">
        <f aca="false">IF(AND($Q110="safety",F_EssM&gt;0,INDEX(GL_Amount,1)&gt;0),ROUND(INDEX(GL_Amount,1)/F_EssM*10,0)/10,"")</f>
        <v/>
      </c>
      <c r="W110" s="20" t="n">
        <f aca="false">IF($Q110="","",AS_Year0+INDEX(GL_AgeT,1)-F_Age)</f>
        <v>2036</v>
      </c>
      <c r="X110" s="20" t="str">
        <f aca="false">IF($Q110="","",IF(AND($D110&lt;&gt;"legacy",INDEX(GL_AgeT,1)&lt;F_Age),"Date has passed",IF($D110="retire","Age ","age ")&amp;INDEX(GL_AgeT,1)&amp;" · "&amp;W110))</f>
        <v>age 48 · 2036</v>
      </c>
      <c r="Y110" s="20" t="n">
        <f aca="false">IF($Q110="","",G110*1000+IF($D110="legacy",AS_End,INDEX(GL_AgeT,1)))</f>
        <v>50048</v>
      </c>
      <c r="Z110" s="24"/>
      <c r="AA110" s="20" t="str">
        <f aca="false">IF($Q110="","",IF(IF(Z110&lt;&gt;"",Z110,IF(AND(WI_M=0,WI_L=0),G110,""))="","",IF(IF(Z110&lt;&gt;"",Z110,G110)&lt;&gt;G110,C110&amp;" goes from "&amp;IF(Z110&lt;&gt;"",Z110,G110)&amp;"% to "&amp;G110&amp;"%","")))</f>
        <v/>
      </c>
      <c r="AB110" s="20" t="n">
        <f aca="false">IF(ISBLANK(L110),IF(AND(Fill_Example="Yes",TRUE()),255,""),L110)</f>
        <v>255</v>
      </c>
    </row>
    <row r="111" customFormat="false" ht="15" hidden="false" customHeight="true" outlineLevel="0" collapsed="false">
      <c r="B111" s="20" t="n">
        <v>2</v>
      </c>
      <c r="C111" s="20" t="str">
        <f aca="false">IF($Q111="","",INDEX(GL_Name,2))</f>
        <v>Travel</v>
      </c>
      <c r="D111" s="20" t="str">
        <f aca="false">INDEX(GL_Kind,2)</f>
        <v>spend</v>
      </c>
      <c r="E111" s="20" t="n">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cashflow'!$TS$8:$TS$97,'Plan cashflow'!$C$8:$C$97,1),IF($D111="legacy",INDEX(GL_Amount,2)*(1+AS_Infl)^F_N,0))))</f>
        <v>12734.496</v>
      </c>
      <c r="F111" s="20" t="n">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cashflow'!$TT$8:$TT$97,'Plan cashflow'!$C$8:$C$97,1),IF($D111="legacy",MIN(E111,INDEX('Plan cashflow'!$QK$8:$QK$97,F_N+1)+INDEX('Plan cashflow'!$QL$8:$QL$97,F_N+1)),0))))</f>
        <v>8107.36622472</v>
      </c>
      <c r="G111" s="20" t="n">
        <f aca="false">IF($Q111="","",IF($D111="retire",IF(SUM('Plan cashflow'!$UH$8:$UH$97)&gt;0,MIN(IF(E111&gt;0,IF(F111&gt;=E111-1,100,MIN(PR_PctCap,MAX(0,INT(F111/E111*100)))),100),94),IF(E111&gt;0,IF(F111&gt;=E111-1,100,MIN(PR_PctCap,MAX(0,INT(F111/E111*100)))),100)),IF(E111&gt;0,IF(F111&gt;=E111-1,100,MIN(PR_PctCap,MAX(0,INT(F111/E111*100)))),100)))</f>
        <v>63</v>
      </c>
      <c r="H111" s="20" t="str">
        <f aca="false">IF(G111="","",IF(G111&gt;=PR_Good,"good",IF(G111&gt;=PR_Nudge,"nudge","alert")))</f>
        <v>alert</v>
      </c>
      <c r="I111" s="20" t="n">
        <f aca="false">IF(OR($D111="spend",$D111="mfree",$D111="pot"),INDEX(GL_Pos,2),"")</f>
        <v>2</v>
      </c>
      <c r="J111" s="20" t="n">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168</v>
      </c>
      <c r="K111" s="20" t="n">
        <f aca="false">IF(OR($D111="spend",$D111="mfree",$D111="pot"),CHOOSE($I111,Slot1_AvgM,Slot2_AvgM,Slot3_AvgM,Slot4_AvgM,Slot5_AvgM,Slot6_AvgM,Slot7_AvgM,Slot8_AvgM,Slot9_AvgM,Slot10_AvgM,Slot11_AvgM,Slot12_AvgM,Slot13_AvgM,Slot14_AvgM,Slot15_AvgM,Slot16_AvgM,Slot17_AvgM,Slot18_AvgM,Slot19_AvgM,Slot20_AvgM),"")</f>
        <v>45</v>
      </c>
      <c r="L111" s="24"/>
      <c r="M111" s="20"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Needs about €168 a month, more than your spare money · on average you'll put €45 a month</v>
      </c>
      <c r="N111" s="20" t="n">
        <f aca="false">IF($Q111="","",INDEX(GL_AgeT,2))</f>
        <v>41</v>
      </c>
      <c r="O111" s="20" t="str">
        <f aca="false">IF(AND($Q111&lt;&gt;"",G111&gt;=PR_Good,Findings_Over=0),G111*1000000-N111*1000-2,"")</f>
        <v/>
      </c>
      <c r="P111" s="20" t="n">
        <f aca="false">IF($Q111="","",G111*1000000+N111*1000+2)</f>
        <v>63041002</v>
      </c>
      <c r="Q111" s="20" t="str">
        <f aca="false">INDEX(GL_Key,2)</f>
        <v>travel</v>
      </c>
      <c r="R111" s="20" t="n">
        <f aca="false">IF(G111="",0,G111)</f>
        <v>63</v>
      </c>
      <c r="S111" s="20" t="str">
        <f aca="false">IF($Q111="","",IFERROR(INDEX(Goal_Specs,MATCH($Q111,Goal_Keys,0)),""))</f>
        <v>planner</v>
      </c>
      <c r="T111" s="20" t="n">
        <f aca="false">IF($Q111="",9999,G111)</f>
        <v>63</v>
      </c>
      <c r="U111" s="20" t="str">
        <f aca="false">IF($Q111="","",IF($D111="legacy","at the end of your plan"&amp;IF(Has_a_planEnd=1," ("&amp;AS_End&amp;")",""),IF(INDEX(GL_AgeT,2)&lt;F_Age,"Date has passed",IF($D111="retire",IF(Has_retireAge=1,"at "&amp;INDEX(GL_AgeT,2),"at an age you haven't chosen yet"),"in "&amp;(INDEX(GL_AgeRaw,2)-F_Age)&amp;IF(INDEX(GL_AgeRaw,2)-F_Age=1," year"," years")))))</f>
        <v>in 3 years</v>
      </c>
      <c r="V111" s="20" t="str">
        <f aca="false">IF(AND($Q111="safety",F_EssM&gt;0,INDEX(GL_Amount,2)&gt;0),ROUND(INDEX(GL_Amount,2)/F_EssM*10,0)/10,"")</f>
        <v/>
      </c>
      <c r="W111" s="20" t="n">
        <f aca="false">IF($Q111="","",AS_Year0+INDEX(GL_AgeT,2)-F_Age)</f>
        <v>2029</v>
      </c>
      <c r="X111" s="20" t="str">
        <f aca="false">IF($Q111="","",IF(AND($D111&lt;&gt;"legacy",INDEX(GL_AgeT,2)&lt;F_Age),"Date has passed",IF($D111="retire","Age ","age ")&amp;INDEX(GL_AgeT,2)&amp;" · "&amp;W111))</f>
        <v>age 41 · 2029</v>
      </c>
      <c r="Y111" s="20" t="n">
        <f aca="false">IF($Q111="","",G111*1000+IF($D111="legacy",AS_End,INDEX(GL_AgeT,2)))</f>
        <v>63041</v>
      </c>
      <c r="Z111" s="24"/>
      <c r="AA111" s="20" t="str">
        <f aca="false">IF($Q111="","",IF(IF(Z111&lt;&gt;"",Z111,IF(AND(WI_M=0,WI_L=0),G111,""))="","",IF(IF(Z111&lt;&gt;"",Z111,G111)&lt;&gt;G111,C111&amp;" goes from "&amp;IF(Z111&lt;&gt;"",Z111,G111)&amp;"% to "&amp;G111&amp;"%","")))</f>
        <v/>
      </c>
      <c r="AB111" s="20" t="str">
        <f aca="false">IF(ISBLANK(L111),IF(AND(Fill_Example="Yes",TRUE()),"none",""),L111)</f>
        <v>none</v>
      </c>
    </row>
    <row r="112" customFormat="false" ht="15" hidden="false" customHeight="true" outlineLevel="0" collapsed="false">
      <c r="B112" s="20" t="n">
        <v>3</v>
      </c>
      <c r="C112" s="20" t="str">
        <f aca="false">IF($Q112="","",INDEX(GL_Name,3))</f>
        <v>Be mortgage-free</v>
      </c>
      <c r="D112" s="20" t="str">
        <f aca="false">INDEX(GL_Kind,3)</f>
        <v>mfree</v>
      </c>
      <c r="E112" s="20" t="n">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cashflow'!$TS$8:$TS$97,'Plan cashflow'!$C$8:$C$97,1),IF($D112="legacy",INDEX(GL_Amount,3)*(1+AS_Infl)^F_N,0))))</f>
        <v>40019.8956528291</v>
      </c>
      <c r="F112" s="20" t="n">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cashflow'!$TT$8:$TT$97,'Plan cashflow'!$C$8:$C$97,1),IF($D112="legacy",MIN(E112,INDEX('Plan cashflow'!$QK$8:$QK$97,F_N+1)+INDEX('Plan cashflow'!$QL$8:$QL$97,F_N+1)),0))))</f>
        <v>40019.8956528291</v>
      </c>
      <c r="G112" s="20" t="n">
        <f aca="false">IF($Q112="","",IF($D112="retire",IF(SUM('Plan cashflow'!$UH$8:$UH$97)&gt;0,MIN(IF(E112&gt;0,IF(F112&gt;=E112-1,100,MIN(PR_PctCap,MAX(0,INT(F112/E112*100)))),100),94),IF(E112&gt;0,IF(F112&gt;=E112-1,100,MIN(PR_PctCap,MAX(0,INT(F112/E112*100)))),100)),IF(E112&gt;0,IF(F112&gt;=E112-1,100,MIN(PR_PctCap,MAX(0,INT(F112/E112*100)))),100)))</f>
        <v>100</v>
      </c>
      <c r="H112" s="20" t="str">
        <f aca="false">IF(G112="","",IF(G112&gt;=PR_Good,"good",IF(G112&gt;=PR_Nudge,"nudge","alert")))</f>
        <v>good</v>
      </c>
      <c r="I112" s="20" t="n">
        <f aca="false">IF(OR($D112="spend",$D112="mfree",$D112="pot"),INDEX(GL_Pos,3),"")</f>
        <v>4</v>
      </c>
      <c r="J112" s="20" t="n">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123</v>
      </c>
      <c r="K112" s="20" t="n">
        <f aca="false">IF(OR($D112="spend",$D112="mfree",$D112="pot"),CHOOSE($I112,Slot1_AvgM,Slot2_AvgM,Slot3_AvgM,Slot4_AvgM,Slot5_AvgM,Slot6_AvgM,Slot7_AvgM,Slot8_AvgM,Slot9_AvgM,Slot10_AvgM,Slot11_AvgM,Slot12_AvgM,Slot13_AvgM,Slot14_AvgM,Slot15_AvgM,Slot16_AvgM,Slot17_AvgM,Slot18_AvgM,Slot19_AvgM,Slot20_AvgM),"")</f>
        <v>137</v>
      </c>
      <c r="L112" s="24"/>
      <c r="M112" s="20"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Fully funded · on average you'll put €137 a month</v>
      </c>
      <c r="N112" s="20" t="n">
        <f aca="false">IF($Q112="","",INDEX(GL_AgeT,3))</f>
        <v>55</v>
      </c>
      <c r="O112" s="20" t="n">
        <f aca="false">IF(AND($Q112&lt;&gt;"",G112&gt;=PR_Good,Findings_Over=0),G112*1000000-N112*1000-3,"")</f>
        <v>99944997</v>
      </c>
      <c r="P112" s="20" t="n">
        <f aca="false">IF($Q112="","",G112*1000000+N112*1000+3)</f>
        <v>100055003</v>
      </c>
      <c r="Q112" s="20" t="str">
        <f aca="false">INDEX(GL_Key,3)</f>
        <v>mfree</v>
      </c>
      <c r="R112" s="20" t="n">
        <f aca="false">IF(G112="",0,G112)</f>
        <v>100</v>
      </c>
      <c r="S112" s="20" t="str">
        <f aca="false">IF($Q112="","",IFERROR(INDEX(Goal_Specs,MATCH($Q112,Goal_Keys,0)),""))</f>
        <v>mortgage</v>
      </c>
      <c r="T112" s="20" t="n">
        <f aca="false">IF($Q112="",9999,G112)</f>
        <v>100</v>
      </c>
      <c r="U112" s="20" t="str">
        <f aca="false">IF($Q112="","",IF($D112="legacy","at the end of your plan"&amp;IF(Has_a_planEnd=1," ("&amp;AS_End&amp;")",""),IF(INDEX(GL_AgeT,3)&lt;F_Age,"Date has passed",IF($D112="retire",IF(Has_retireAge=1,"at "&amp;INDEX(GL_AgeT,3),"at an age you haven't chosen yet"),"in "&amp;(INDEX(GL_AgeRaw,3)-F_Age)&amp;IF(INDEX(GL_AgeRaw,3)-F_Age=1," year"," years")))))</f>
        <v>in 17 years</v>
      </c>
      <c r="V112" s="20" t="str">
        <f aca="false">IF(AND($Q112="safety",F_EssM&gt;0,INDEX(GL_Amount,3)&gt;0),ROUND(INDEX(GL_Amount,3)/F_EssM*10,0)/10,"")</f>
        <v/>
      </c>
      <c r="W112" s="20" t="n">
        <f aca="false">IF($Q112="","",AS_Year0+INDEX(GL_AgeT,3)-F_Age)</f>
        <v>2043</v>
      </c>
      <c r="X112" s="20" t="str">
        <f aca="false">IF($Q112="","",IF(AND($D112&lt;&gt;"legacy",INDEX(GL_AgeT,3)&lt;F_Age),"Date has passed",IF($D112="retire","Age ","age ")&amp;INDEX(GL_AgeT,3)&amp;" · "&amp;W112))</f>
        <v>age 55 · 2043</v>
      </c>
      <c r="Y112" s="20" t="n">
        <f aca="false">IF($Q112="","",G112*1000+IF($D112="legacy",AS_End,INDEX(GL_AgeT,3)))</f>
        <v>100055</v>
      </c>
      <c r="Z112" s="24"/>
      <c r="AA112" s="20" t="str">
        <f aca="false">IF($Q112="","",IF(IF(Z112&lt;&gt;"",Z112,IF(AND(WI_M=0,WI_L=0),G112,""))="","",IF(IF(Z112&lt;&gt;"",Z112,G112)&lt;&gt;G112,C112&amp;" goes from "&amp;IF(Z112&lt;&gt;"",Z112,G112)&amp;"% to "&amp;G112&amp;"%","")))</f>
        <v/>
      </c>
      <c r="AB112" s="20" t="str">
        <f aca="false">IF(ISBLANK(L112),IF(AND(Fill_Example="Yes",FALSE()),"",""),L112)</f>
        <v/>
      </c>
    </row>
    <row r="113" customFormat="false" ht="15" hidden="false" customHeight="true" outlineLevel="0" collapsed="false">
      <c r="B113" s="20" t="n">
        <v>4</v>
      </c>
      <c r="C113" s="20" t="str">
        <f aca="false">IF($Q113="","",INDEX(GL_Name,4))</f>
        <v>Emergency fund</v>
      </c>
      <c r="D113" s="20" t="str">
        <f aca="false">INDEX(GL_Kind,4)</f>
        <v>pot</v>
      </c>
      <c r="E113" s="20" t="n">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cashflow'!$TS$8:$TS$97,'Plan cashflow'!$C$8:$C$97,1),IF($D113="legacy",INDEX(GL_Amount,4)*(1+AS_Infl)^F_N,0))))</f>
        <v>15606</v>
      </c>
      <c r="F113" s="20" t="n">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cashflow'!$TT$8:$TT$97,'Plan cashflow'!$C$8:$C$97,1),IF($D113="legacy",MIN(E113,INDEX('Plan cashflow'!$QK$8:$QK$97,F_N+1)+INDEX('Plan cashflow'!$QL$8:$QL$97,F_N+1)),0))))</f>
        <v>11378.4415116962</v>
      </c>
      <c r="G113" s="20" t="n">
        <f aca="false">IF($Q113="","",IF($D113="retire",IF(SUM('Plan cashflow'!$UH$8:$UH$97)&gt;0,MIN(IF(E113&gt;0,IF(F113&gt;=E113-1,100,MIN(PR_PctCap,MAX(0,INT(F113/E113*100)))),100),94),IF(E113&gt;0,IF(F113&gt;=E113-1,100,MIN(PR_PctCap,MAX(0,INT(F113/E113*100)))),100)),IF(E113&gt;0,IF(F113&gt;=E113-1,100,MIN(PR_PctCap,MAX(0,INT(F113/E113*100)))),100)))</f>
        <v>72</v>
      </c>
      <c r="H113" s="20" t="str">
        <f aca="false">IF(G113="","",IF(G113&gt;=PR_Good,"good",IF(G113&gt;=PR_Nudge,"nudge","alert")))</f>
        <v>nudge</v>
      </c>
      <c r="I113" s="20" t="n">
        <f aca="false">IF(OR($D113="spend",$D113="mfree",$D113="pot"),INDEX(GL_Pos,4),"")</f>
        <v>1</v>
      </c>
      <c r="J113" s="20" t="n">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260</v>
      </c>
      <c r="K113" s="20" t="n">
        <f aca="false">IF(OR($D113="spend",$D113="mfree",$D113="pot"),CHOOSE($I113,Slot1_AvgM,Slot2_AvgM,Slot3_AvgM,Slot4_AvgM,Slot5_AvgM,Slot6_AvgM,Slot7_AvgM,Slot8_AvgM,Slot9_AvgM,Slot10_AvgM,Slot11_AvgM,Slot12_AvgM,Slot13_AvgM,Slot14_AvgM,Slot15_AvgM,Slot16_AvgM,Slot17_AvgM,Slot18_AvgM,Slot19_AvgM,Slot20_AvgM),"")</f>
        <v>89</v>
      </c>
      <c r="L113" s="24"/>
      <c r="M113" s="20"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Type the extra the what-if search finds in column L to see this line</v>
      </c>
      <c r="N113" s="20" t="n">
        <f aca="false">IF($Q113="","",INDEX(GL_AgeT,4))</f>
        <v>40</v>
      </c>
      <c r="O113" s="20" t="str">
        <f aca="false">IF(AND($Q113&lt;&gt;"",G113&gt;=PR_Good,Findings_Over=0),G113*1000000-N113*1000-4,"")</f>
        <v/>
      </c>
      <c r="P113" s="20" t="n">
        <f aca="false">IF($Q113="","",G113*1000000+N113*1000+4)</f>
        <v>72040004</v>
      </c>
      <c r="Q113" s="20" t="str">
        <f aca="false">INDEX(GL_Key,4)</f>
        <v>safety</v>
      </c>
      <c r="R113" s="20" t="n">
        <f aca="false">IF(G113="",0,G113)</f>
        <v>72</v>
      </c>
      <c r="S113" s="20" t="str">
        <f aca="false">IF($Q113="","",IFERROR(INDEX(Goal_Specs,MATCH($Q113,Goal_Keys,0)),""))</f>
        <v>planner</v>
      </c>
      <c r="T113" s="20" t="n">
        <f aca="false">IF($Q113="",9999,G113)</f>
        <v>72</v>
      </c>
      <c r="U113" s="20" t="str">
        <f aca="false">IF($Q113="","",IF($D113="legacy","at the end of your plan"&amp;IF(Has_a_planEnd=1," ("&amp;AS_End&amp;")",""),IF(INDEX(GL_AgeT,4)&lt;F_Age,"Date has passed",IF($D113="retire",IF(Has_retireAge=1,"at "&amp;INDEX(GL_AgeT,4),"at an age you haven't chosen yet"),"in "&amp;(INDEX(GL_AgeRaw,4)-F_Age)&amp;IF(INDEX(GL_AgeRaw,4)-F_Age=1," year"," years")))))</f>
        <v>in 2 years</v>
      </c>
      <c r="V113" s="20" t="n">
        <f aca="false">IF(AND($Q113="safety",F_EssM&gt;0,INDEX(GL_Amount,4)&gt;0),ROUND(INDEX(GL_Amount,4)/F_EssM*10,0)/10,"")</f>
        <v>3</v>
      </c>
      <c r="W113" s="20" t="n">
        <f aca="false">IF($Q113="","",AS_Year0+INDEX(GL_AgeT,4)-F_Age)</f>
        <v>2028</v>
      </c>
      <c r="X113" s="20" t="str">
        <f aca="false">IF($Q113="","",IF(AND($D113&lt;&gt;"legacy",INDEX(GL_AgeT,4)&lt;F_Age),"Date has passed",IF($D113="retire","Age ","age ")&amp;INDEX(GL_AgeT,4)&amp;" · "&amp;W113))</f>
        <v>age 40 · 2028</v>
      </c>
      <c r="Y113" s="20" t="n">
        <f aca="false">IF($Q113="","",G113*1000+IF($D113="legacy",AS_End,INDEX(GL_AgeT,4)))</f>
        <v>72040</v>
      </c>
      <c r="Z113" s="24"/>
      <c r="AA113" s="20" t="str">
        <f aca="false">IF($Q113="","",IF(IF(Z113&lt;&gt;"",Z113,IF(AND(WI_M=0,WI_L=0),G113,""))="","",IF(IF(Z113&lt;&gt;"",Z113,G113)&lt;&gt;G113,C113&amp;" goes from "&amp;IF(Z113&lt;&gt;"",Z113,G113)&amp;"% to "&amp;G113&amp;"%","")))</f>
        <v/>
      </c>
      <c r="AB113" s="20" t="str">
        <f aca="false">IF(ISBLANK(L113),IF(AND(Fill_Example="Yes",FALSE()),"",""),L113)</f>
        <v/>
      </c>
    </row>
    <row r="114" customFormat="false" ht="15" hidden="false" customHeight="true" outlineLevel="0" collapsed="false">
      <c r="B114" s="20" t="n">
        <v>5</v>
      </c>
      <c r="C114" s="20" t="str">
        <f aca="false">IF($Q114="","",INDEX(GL_Name,5))</f>
        <v>Retire comfortably</v>
      </c>
      <c r="D114" s="20" t="str">
        <f aca="false">INDEX(GL_Kind,5)</f>
        <v>retire</v>
      </c>
      <c r="E114" s="20" t="n">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cashflow'!$TS$8:$TS$97,'Plan cashflow'!$C$8:$C$97,1),IF($D114="legacy",INDEX(GL_Amount,5)*(1+AS_Infl)^F_N,0))))</f>
        <v>3616113.9033267</v>
      </c>
      <c r="F114" s="20" t="n">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cashflow'!$TT$8:$TT$97,'Plan cashflow'!$C$8:$C$97,1),IF($D114="legacy",MIN(E114,INDEX('Plan cashflow'!$QK$8:$QK$97,F_N+1)+INDEX('Plan cashflow'!$QL$8:$QL$97,F_N+1)),0))))</f>
        <v>3130516.74370763</v>
      </c>
      <c r="G114" s="20" t="n">
        <f aca="false">IF($Q114="","",IF($D114="retire",IF(SUM('Plan cashflow'!$UH$8:$UH$97)&gt;0,MIN(IF(E114&gt;0,IF(F114&gt;=E114-1,100,MIN(PR_PctCap,MAX(0,INT(F114/E114*100)))),100),94),IF(E114&gt;0,IF(F114&gt;=E114-1,100,MIN(PR_PctCap,MAX(0,INT(F114/E114*100)))),100)),IF(E114&gt;0,IF(F114&gt;=E114-1,100,MIN(PR_PctCap,MAX(0,INT(F114/E114*100)))),100)))</f>
        <v>86</v>
      </c>
      <c r="H114" s="20" t="str">
        <f aca="false">IF(G114="","",IF(G114&gt;=PR_Good,"good",IF(G114&gt;=PR_Nudge,"nudge","alert")))</f>
        <v>nudge</v>
      </c>
      <c r="I114" s="20" t="str">
        <f aca="false">IF(OR($D114="spend",$D114="mfree",$D114="pot"),INDEX(GL_Pos,5),"")</f>
        <v/>
      </c>
      <c r="J114" s="20"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20"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24"/>
      <c r="M114" s="20"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20" t="n">
        <f aca="false">IF($Q114="","",INDEX(GL_AgeT,5))</f>
        <v>63</v>
      </c>
      <c r="O114" s="20" t="str">
        <f aca="false">IF(AND($Q114&lt;&gt;"",G114&gt;=PR_Good,Findings_Over=0),G114*1000000-N114*1000-5,"")</f>
        <v/>
      </c>
      <c r="P114" s="20" t="n">
        <f aca="false">IF($Q114="","",G114*1000000+N114*1000+5)</f>
        <v>86063005</v>
      </c>
      <c r="Q114" s="20" t="str">
        <f aca="false">INDEX(GL_Key,5)</f>
        <v>retire</v>
      </c>
      <c r="R114" s="20" t="n">
        <f aca="false">IF(G114="",0,G114)</f>
        <v>86</v>
      </c>
      <c r="S114" s="20" t="str">
        <f aca="false">IF($Q114="","",IFERROR(INDEX(Goal_Specs,MATCH($Q114,Goal_Keys,0)),""))</f>
        <v>pension</v>
      </c>
      <c r="T114" s="20" t="n">
        <f aca="false">IF($Q114="",9999,G114)</f>
        <v>86</v>
      </c>
      <c r="U114" s="20" t="str">
        <f aca="false">IF($Q114="","",IF($D114="legacy","at the end of your plan"&amp;IF(Has_a_planEnd=1," ("&amp;AS_End&amp;")",""),IF(INDEX(GL_AgeT,5)&lt;F_Age,"Date has passed",IF($D114="retire",IF(Has_retireAge=1,"at "&amp;INDEX(GL_AgeT,5),"at an age you haven't chosen yet"),"in "&amp;(INDEX(GL_AgeRaw,5)-F_Age)&amp;IF(INDEX(GL_AgeRaw,5)-F_Age=1," year"," years")))))</f>
        <v>at 63</v>
      </c>
      <c r="V114" s="20" t="str">
        <f aca="false">IF(AND($Q114="safety",F_EssM&gt;0,INDEX(GL_Amount,5)&gt;0),ROUND(INDEX(GL_Amount,5)/F_EssM*10,0)/10,"")</f>
        <v/>
      </c>
      <c r="W114" s="20" t="n">
        <f aca="false">IF($Q114="","",AS_Year0+INDEX(GL_AgeT,5)-F_Age)</f>
        <v>2051</v>
      </c>
      <c r="X114" s="20" t="str">
        <f aca="false">IF($Q114="","",IF(AND($D114&lt;&gt;"legacy",INDEX(GL_AgeT,5)&lt;F_Age),"Date has passed",IF($D114="retire","Age ","age ")&amp;INDEX(GL_AgeT,5)&amp;" · "&amp;W114))</f>
        <v>Age 63 · 2051</v>
      </c>
      <c r="Y114" s="20" t="n">
        <f aca="false">IF($Q114="","",G114*1000+IF($D114="legacy",AS_End,INDEX(GL_AgeT,5)))</f>
        <v>86063</v>
      </c>
      <c r="Z114" s="24"/>
      <c r="AA114" s="20" t="str">
        <f aca="false">IF($Q114="","",IF(IF(Z114&lt;&gt;"",Z114,IF(AND(WI_M=0,WI_L=0),G114,""))="","",IF(IF(Z114&lt;&gt;"",Z114,G114)&lt;&gt;G114,C114&amp;" goes from "&amp;IF(Z114&lt;&gt;"",Z114,G114)&amp;"% to "&amp;G114&amp;"%","")))</f>
        <v/>
      </c>
      <c r="AB114" s="20" t="str">
        <f aca="false">IF(ISBLANK(L114),IF(AND(Fill_Example="Yes",FALSE()),"",""),L114)</f>
        <v/>
      </c>
    </row>
    <row r="115" customFormat="false" ht="15" hidden="false" customHeight="true" outlineLevel="0" collapsed="false">
      <c r="B115" s="20" t="n">
        <v>6</v>
      </c>
      <c r="C115" s="20" t="str">
        <f aca="false">IF($Q115="","",INDEX(GL_Name,6))</f>
        <v/>
      </c>
      <c r="D115" s="20" t="str">
        <f aca="false">INDEX(GL_Kind,6)</f>
        <v/>
      </c>
      <c r="E115" s="20"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cashflow'!$TS$8:$TS$97,'Plan cashflow'!$C$8:$C$97,1),IF($D115="legacy",INDEX(GL_Amount,6)*(1+AS_Infl)^F_N,0))))</f>
        <v/>
      </c>
      <c r="F115" s="20"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cashflow'!$TT$8:$TT$97,'Plan cashflow'!$C$8:$C$97,1),IF($D115="legacy",MIN(E115,INDEX('Plan cashflow'!$QK$8:$QK$97,F_N+1)+INDEX('Plan cashflow'!$QL$8:$QL$97,F_N+1)),0))))</f>
        <v/>
      </c>
      <c r="G115" s="20" t="str">
        <f aca="false">IF($Q115="","",IF($D115="retire",IF(SUM('Plan cashflow'!$UH$8:$UH$97)&gt;0,MIN(IF(E115&gt;0,IF(F115&gt;=E115-1,100,MIN(PR_PctCap,MAX(0,INT(F115/E115*100)))),100),94),IF(E115&gt;0,IF(F115&gt;=E115-1,100,MIN(PR_PctCap,MAX(0,INT(F115/E115*100)))),100)),IF(E115&gt;0,IF(F115&gt;=E115-1,100,MIN(PR_PctCap,MAX(0,INT(F115/E115*100)))),100)))</f>
        <v/>
      </c>
      <c r="H115" s="20" t="str">
        <f aca="false">IF(G115="","",IF(G115&gt;=PR_Good,"good",IF(G115&gt;=PR_Nudge,"nudge","alert")))</f>
        <v/>
      </c>
      <c r="I115" s="20" t="str">
        <f aca="false">IF(OR($D115="spend",$D115="mfree",$D115="pot"),INDEX(GL_Pos,6),"")</f>
        <v/>
      </c>
      <c r="J115" s="20"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20"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24"/>
      <c r="M115" s="20"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20" t="str">
        <f aca="false">IF($Q115="","",INDEX(GL_AgeT,6))</f>
        <v/>
      </c>
      <c r="O115" s="20" t="str">
        <f aca="false">IF(AND($Q115&lt;&gt;"",G115&gt;=PR_Good,Findings_Over=0),G115*1000000-N115*1000-6,"")</f>
        <v/>
      </c>
      <c r="P115" s="20" t="str">
        <f aca="false">IF($Q115="","",G115*1000000+N115*1000+6)</f>
        <v/>
      </c>
      <c r="Q115" s="20" t="str">
        <f aca="false">INDEX(GL_Key,6)</f>
        <v/>
      </c>
      <c r="R115" s="20" t="n">
        <f aca="false">IF(G115="",0,G115)</f>
        <v>0</v>
      </c>
      <c r="S115" s="20" t="str">
        <f aca="false">IF($Q115="","",IFERROR(INDEX(Goal_Specs,MATCH($Q115,Goal_Keys,0)),""))</f>
        <v/>
      </c>
      <c r="T115" s="20" t="n">
        <f aca="false">IF($Q115="",9999,G115)</f>
        <v>9999</v>
      </c>
      <c r="U115" s="20"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20" t="str">
        <f aca="false">IF(AND($Q115="safety",F_EssM&gt;0,INDEX(GL_Amount,6)&gt;0),ROUND(INDEX(GL_Amount,6)/F_EssM*10,0)/10,"")</f>
        <v/>
      </c>
      <c r="W115" s="20" t="str">
        <f aca="false">IF($Q115="","",AS_Year0+INDEX(GL_AgeT,6)-F_Age)</f>
        <v/>
      </c>
      <c r="X115" s="20" t="str">
        <f aca="false">IF($Q115="","",IF(AND($D115&lt;&gt;"legacy",INDEX(GL_AgeT,6)&lt;F_Age),"Date has passed",IF($D115="retire","Age ","age ")&amp;INDEX(GL_AgeT,6)&amp;" · "&amp;W115))</f>
        <v/>
      </c>
      <c r="Y115" s="20" t="str">
        <f aca="false">IF($Q115="","",G115*1000+IF($D115="legacy",AS_End,INDEX(GL_AgeT,6)))</f>
        <v/>
      </c>
      <c r="Z115" s="24"/>
      <c r="AA115" s="20" t="str">
        <f aca="false">IF($Q115="","",IF(IF(Z115&lt;&gt;"",Z115,IF(AND(WI_M=0,WI_L=0),G115,""))="","",IF(IF(Z115&lt;&gt;"",Z115,G115)&lt;&gt;G115,C115&amp;" goes from "&amp;IF(Z115&lt;&gt;"",Z115,G115)&amp;"% to "&amp;G115&amp;"%","")))</f>
        <v/>
      </c>
      <c r="AB115" s="20" t="str">
        <f aca="false">IF(ISBLANK(L115),IF(AND(Fill_Example="Yes",FALSE()),"",""),L115)</f>
        <v/>
      </c>
    </row>
    <row r="116" customFormat="false" ht="15" hidden="false" customHeight="true" outlineLevel="0" collapsed="false">
      <c r="B116" s="20" t="n">
        <v>7</v>
      </c>
      <c r="C116" s="20" t="str">
        <f aca="false">IF($Q116="","",INDEX(GL_Name,7))</f>
        <v/>
      </c>
      <c r="D116" s="20" t="str">
        <f aca="false">INDEX(GL_Kind,7)</f>
        <v/>
      </c>
      <c r="E116" s="20"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cashflow'!$TS$8:$TS$97,'Plan cashflow'!$C$8:$C$97,1),IF($D116="legacy",INDEX(GL_Amount,7)*(1+AS_Infl)^F_N,0))))</f>
        <v/>
      </c>
      <c r="F116" s="20"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cashflow'!$TT$8:$TT$97,'Plan cashflow'!$C$8:$C$97,1),IF($D116="legacy",MIN(E116,INDEX('Plan cashflow'!$QK$8:$QK$97,F_N+1)+INDEX('Plan cashflow'!$QL$8:$QL$97,F_N+1)),0))))</f>
        <v/>
      </c>
      <c r="G116" s="20" t="str">
        <f aca="false">IF($Q116="","",IF($D116="retire",IF(SUM('Plan cashflow'!$UH$8:$UH$97)&gt;0,MIN(IF(E116&gt;0,IF(F116&gt;=E116-1,100,MIN(PR_PctCap,MAX(0,INT(F116/E116*100)))),100),94),IF(E116&gt;0,IF(F116&gt;=E116-1,100,MIN(PR_PctCap,MAX(0,INT(F116/E116*100)))),100)),IF(E116&gt;0,IF(F116&gt;=E116-1,100,MIN(PR_PctCap,MAX(0,INT(F116/E116*100)))),100)))</f>
        <v/>
      </c>
      <c r="H116" s="20" t="str">
        <f aca="false">IF(G116="","",IF(G116&gt;=PR_Good,"good",IF(G116&gt;=PR_Nudge,"nudge","alert")))</f>
        <v/>
      </c>
      <c r="I116" s="20" t="str">
        <f aca="false">IF(OR($D116="spend",$D116="mfree",$D116="pot"),INDEX(GL_Pos,7),"")</f>
        <v/>
      </c>
      <c r="J116" s="20"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20"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24"/>
      <c r="M116" s="20"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20" t="str">
        <f aca="false">IF($Q116="","",INDEX(GL_AgeT,7))</f>
        <v/>
      </c>
      <c r="O116" s="20" t="str">
        <f aca="false">IF(AND($Q116&lt;&gt;"",G116&gt;=PR_Good,Findings_Over=0),G116*1000000-N116*1000-7,"")</f>
        <v/>
      </c>
      <c r="P116" s="20" t="str">
        <f aca="false">IF($Q116="","",G116*1000000+N116*1000+7)</f>
        <v/>
      </c>
      <c r="Q116" s="20" t="str">
        <f aca="false">INDEX(GL_Key,7)</f>
        <v/>
      </c>
      <c r="R116" s="20" t="n">
        <f aca="false">IF(G116="",0,G116)</f>
        <v>0</v>
      </c>
      <c r="S116" s="20" t="str">
        <f aca="false">IF($Q116="","",IFERROR(INDEX(Goal_Specs,MATCH($Q116,Goal_Keys,0)),""))</f>
        <v/>
      </c>
      <c r="T116" s="20" t="n">
        <f aca="false">IF($Q116="",9999,G116)</f>
        <v>9999</v>
      </c>
      <c r="U116" s="20"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20" t="str">
        <f aca="false">IF(AND($Q116="safety",F_EssM&gt;0,INDEX(GL_Amount,7)&gt;0),ROUND(INDEX(GL_Amount,7)/F_EssM*10,0)/10,"")</f>
        <v/>
      </c>
      <c r="W116" s="20" t="str">
        <f aca="false">IF($Q116="","",AS_Year0+INDEX(GL_AgeT,7)-F_Age)</f>
        <v/>
      </c>
      <c r="X116" s="20" t="str">
        <f aca="false">IF($Q116="","",IF(AND($D116&lt;&gt;"legacy",INDEX(GL_AgeT,7)&lt;F_Age),"Date has passed",IF($D116="retire","Age ","age ")&amp;INDEX(GL_AgeT,7)&amp;" · "&amp;W116))</f>
        <v/>
      </c>
      <c r="Y116" s="20" t="str">
        <f aca="false">IF($Q116="","",G116*1000+IF($D116="legacy",AS_End,INDEX(GL_AgeT,7)))</f>
        <v/>
      </c>
      <c r="Z116" s="24"/>
      <c r="AA116" s="20" t="str">
        <f aca="false">IF($Q116="","",IF(IF(Z116&lt;&gt;"",Z116,IF(AND(WI_M=0,WI_L=0),G116,""))="","",IF(IF(Z116&lt;&gt;"",Z116,G116)&lt;&gt;G116,C116&amp;" goes from "&amp;IF(Z116&lt;&gt;"",Z116,G116)&amp;"% to "&amp;G116&amp;"%","")))</f>
        <v/>
      </c>
      <c r="AB116" s="20" t="str">
        <f aca="false">IF(ISBLANK(L116),IF(AND(Fill_Example="Yes",FALSE()),"",""),L116)</f>
        <v/>
      </c>
    </row>
    <row r="117" customFormat="false" ht="15" hidden="false" customHeight="true" outlineLevel="0" collapsed="false">
      <c r="B117" s="20" t="n">
        <v>8</v>
      </c>
      <c r="C117" s="20" t="str">
        <f aca="false">IF($Q117="","",INDEX(GL_Name,8))</f>
        <v/>
      </c>
      <c r="D117" s="20" t="str">
        <f aca="false">INDEX(GL_Kind,8)</f>
        <v/>
      </c>
      <c r="E117" s="20"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cashflow'!$TS$8:$TS$97,'Plan cashflow'!$C$8:$C$97,1),IF($D117="legacy",INDEX(GL_Amount,8)*(1+AS_Infl)^F_N,0))))</f>
        <v/>
      </c>
      <c r="F117" s="20"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cashflow'!$TT$8:$TT$97,'Plan cashflow'!$C$8:$C$97,1),IF($D117="legacy",MIN(E117,INDEX('Plan cashflow'!$QK$8:$QK$97,F_N+1)+INDEX('Plan cashflow'!$QL$8:$QL$97,F_N+1)),0))))</f>
        <v/>
      </c>
      <c r="G117" s="20" t="str">
        <f aca="false">IF($Q117="","",IF($D117="retire",IF(SUM('Plan cashflow'!$UH$8:$UH$97)&gt;0,MIN(IF(E117&gt;0,IF(F117&gt;=E117-1,100,MIN(PR_PctCap,MAX(0,INT(F117/E117*100)))),100),94),IF(E117&gt;0,IF(F117&gt;=E117-1,100,MIN(PR_PctCap,MAX(0,INT(F117/E117*100)))),100)),IF(E117&gt;0,IF(F117&gt;=E117-1,100,MIN(PR_PctCap,MAX(0,INT(F117/E117*100)))),100)))</f>
        <v/>
      </c>
      <c r="H117" s="20" t="str">
        <f aca="false">IF(G117="","",IF(G117&gt;=PR_Good,"good",IF(G117&gt;=PR_Nudge,"nudge","alert")))</f>
        <v/>
      </c>
      <c r="I117" s="20" t="str">
        <f aca="false">IF(OR($D117="spend",$D117="mfree",$D117="pot"),INDEX(GL_Pos,8),"")</f>
        <v/>
      </c>
      <c r="J117" s="20"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20"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24"/>
      <c r="M117" s="20"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20" t="str">
        <f aca="false">IF($Q117="","",INDEX(GL_AgeT,8))</f>
        <v/>
      </c>
      <c r="O117" s="20" t="str">
        <f aca="false">IF(AND($Q117&lt;&gt;"",G117&gt;=PR_Good,Findings_Over=0),G117*1000000-N117*1000-8,"")</f>
        <v/>
      </c>
      <c r="P117" s="20" t="str">
        <f aca="false">IF($Q117="","",G117*1000000+N117*1000+8)</f>
        <v/>
      </c>
      <c r="Q117" s="20" t="str">
        <f aca="false">INDEX(GL_Key,8)</f>
        <v/>
      </c>
      <c r="R117" s="20" t="n">
        <f aca="false">IF(G117="",0,G117)</f>
        <v>0</v>
      </c>
      <c r="S117" s="20" t="str">
        <f aca="false">IF($Q117="","",IFERROR(INDEX(Goal_Specs,MATCH($Q117,Goal_Keys,0)),""))</f>
        <v/>
      </c>
      <c r="T117" s="20" t="n">
        <f aca="false">IF($Q117="",9999,G117)</f>
        <v>9999</v>
      </c>
      <c r="U117" s="20"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20" t="str">
        <f aca="false">IF(AND($Q117="safety",F_EssM&gt;0,INDEX(GL_Amount,8)&gt;0),ROUND(INDEX(GL_Amount,8)/F_EssM*10,0)/10,"")</f>
        <v/>
      </c>
      <c r="W117" s="20" t="str">
        <f aca="false">IF($Q117="","",AS_Year0+INDEX(GL_AgeT,8)-F_Age)</f>
        <v/>
      </c>
      <c r="X117" s="20" t="str">
        <f aca="false">IF($Q117="","",IF(AND($D117&lt;&gt;"legacy",INDEX(GL_AgeT,8)&lt;F_Age),"Date has passed",IF($D117="retire","Age ","age ")&amp;INDEX(GL_AgeT,8)&amp;" · "&amp;W117))</f>
        <v/>
      </c>
      <c r="Y117" s="20" t="str">
        <f aca="false">IF($Q117="","",G117*1000+IF($D117="legacy",AS_End,INDEX(GL_AgeT,8)))</f>
        <v/>
      </c>
      <c r="Z117" s="24"/>
      <c r="AA117" s="20" t="str">
        <f aca="false">IF($Q117="","",IF(IF(Z117&lt;&gt;"",Z117,IF(AND(WI_M=0,WI_L=0),G117,""))="","",IF(IF(Z117&lt;&gt;"",Z117,G117)&lt;&gt;G117,C117&amp;" goes from "&amp;IF(Z117&lt;&gt;"",Z117,G117)&amp;"% to "&amp;G117&amp;"%","")))</f>
        <v/>
      </c>
      <c r="AB117" s="20" t="str">
        <f aca="false">IF(ISBLANK(L117),IF(AND(Fill_Example="Yes",FALSE()),"",""),L117)</f>
        <v/>
      </c>
    </row>
    <row r="118" customFormat="false" ht="15" hidden="false" customHeight="true" outlineLevel="0" collapsed="false">
      <c r="B118" s="20" t="n">
        <v>9</v>
      </c>
      <c r="C118" s="20" t="str">
        <f aca="false">IF($Q118="","",INDEX(GL_Name,9))</f>
        <v/>
      </c>
      <c r="D118" s="20" t="str">
        <f aca="false">INDEX(GL_Kind,9)</f>
        <v/>
      </c>
      <c r="E118" s="20"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cashflow'!$TS$8:$TS$97,'Plan cashflow'!$C$8:$C$97,1),IF($D118="legacy",INDEX(GL_Amount,9)*(1+AS_Infl)^F_N,0))))</f>
        <v/>
      </c>
      <c r="F118" s="20"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cashflow'!$TT$8:$TT$97,'Plan cashflow'!$C$8:$C$97,1),IF($D118="legacy",MIN(E118,INDEX('Plan cashflow'!$QK$8:$QK$97,F_N+1)+INDEX('Plan cashflow'!$QL$8:$QL$97,F_N+1)),0))))</f>
        <v/>
      </c>
      <c r="G118" s="20" t="str">
        <f aca="false">IF($Q118="","",IF($D118="retire",IF(SUM('Plan cashflow'!$UH$8:$UH$97)&gt;0,MIN(IF(E118&gt;0,IF(F118&gt;=E118-1,100,MIN(PR_PctCap,MAX(0,INT(F118/E118*100)))),100),94),IF(E118&gt;0,IF(F118&gt;=E118-1,100,MIN(PR_PctCap,MAX(0,INT(F118/E118*100)))),100)),IF(E118&gt;0,IF(F118&gt;=E118-1,100,MIN(PR_PctCap,MAX(0,INT(F118/E118*100)))),100)))</f>
        <v/>
      </c>
      <c r="H118" s="20" t="str">
        <f aca="false">IF(G118="","",IF(G118&gt;=PR_Good,"good",IF(G118&gt;=PR_Nudge,"nudge","alert")))</f>
        <v/>
      </c>
      <c r="I118" s="20" t="str">
        <f aca="false">IF(OR($D118="spend",$D118="mfree",$D118="pot"),INDEX(GL_Pos,9),"")</f>
        <v/>
      </c>
      <c r="J118" s="20"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20"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24"/>
      <c r="M118" s="20"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20" t="str">
        <f aca="false">IF($Q118="","",INDEX(GL_AgeT,9))</f>
        <v/>
      </c>
      <c r="O118" s="20" t="str">
        <f aca="false">IF(AND($Q118&lt;&gt;"",G118&gt;=PR_Good,Findings_Over=0),G118*1000000-N118*1000-9,"")</f>
        <v/>
      </c>
      <c r="P118" s="20" t="str">
        <f aca="false">IF($Q118="","",G118*1000000+N118*1000+9)</f>
        <v/>
      </c>
      <c r="Q118" s="20" t="str">
        <f aca="false">INDEX(GL_Key,9)</f>
        <v/>
      </c>
      <c r="R118" s="20" t="n">
        <f aca="false">IF(G118="",0,G118)</f>
        <v>0</v>
      </c>
      <c r="S118" s="20" t="str">
        <f aca="false">IF($Q118="","",IFERROR(INDEX(Goal_Specs,MATCH($Q118,Goal_Keys,0)),""))</f>
        <v/>
      </c>
      <c r="T118" s="20" t="n">
        <f aca="false">IF($Q118="",9999,G118)</f>
        <v>9999</v>
      </c>
      <c r="U118" s="20"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20" t="str">
        <f aca="false">IF(AND($Q118="safety",F_EssM&gt;0,INDEX(GL_Amount,9)&gt;0),ROUND(INDEX(GL_Amount,9)/F_EssM*10,0)/10,"")</f>
        <v/>
      </c>
      <c r="W118" s="20" t="str">
        <f aca="false">IF($Q118="","",AS_Year0+INDEX(GL_AgeT,9)-F_Age)</f>
        <v/>
      </c>
      <c r="X118" s="20" t="str">
        <f aca="false">IF($Q118="","",IF(AND($D118&lt;&gt;"legacy",INDEX(GL_AgeT,9)&lt;F_Age),"Date has passed",IF($D118="retire","Age ","age ")&amp;INDEX(GL_AgeT,9)&amp;" · "&amp;W118))</f>
        <v/>
      </c>
      <c r="Y118" s="20" t="str">
        <f aca="false">IF($Q118="","",G118*1000+IF($D118="legacy",AS_End,INDEX(GL_AgeT,9)))</f>
        <v/>
      </c>
      <c r="Z118" s="24"/>
      <c r="AA118" s="20" t="str">
        <f aca="false">IF($Q118="","",IF(IF(Z118&lt;&gt;"",Z118,IF(AND(WI_M=0,WI_L=0),G118,""))="","",IF(IF(Z118&lt;&gt;"",Z118,G118)&lt;&gt;G118,C118&amp;" goes from "&amp;IF(Z118&lt;&gt;"",Z118,G118)&amp;"% to "&amp;G118&amp;"%","")))</f>
        <v/>
      </c>
      <c r="AB118" s="20" t="str">
        <f aca="false">IF(ISBLANK(L118),IF(AND(Fill_Example="Yes",FALSE()),"",""),L118)</f>
        <v/>
      </c>
    </row>
    <row r="119" customFormat="false" ht="15" hidden="false" customHeight="true" outlineLevel="0" collapsed="false">
      <c r="B119" s="20" t="n">
        <v>10</v>
      </c>
      <c r="C119" s="20" t="str">
        <f aca="false">IF($Q119="","",INDEX(GL_Name,10))</f>
        <v/>
      </c>
      <c r="D119" s="20" t="str">
        <f aca="false">INDEX(GL_Kind,10)</f>
        <v/>
      </c>
      <c r="E119" s="20"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cashflow'!$TS$8:$TS$97,'Plan cashflow'!$C$8:$C$97,1),IF($D119="legacy",INDEX(GL_Amount,10)*(1+AS_Infl)^F_N,0))))</f>
        <v/>
      </c>
      <c r="F119" s="20"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cashflow'!$TT$8:$TT$97,'Plan cashflow'!$C$8:$C$97,1),IF($D119="legacy",MIN(E119,INDEX('Plan cashflow'!$QK$8:$QK$97,F_N+1)+INDEX('Plan cashflow'!$QL$8:$QL$97,F_N+1)),0))))</f>
        <v/>
      </c>
      <c r="G119" s="20" t="str">
        <f aca="false">IF($Q119="","",IF($D119="retire",IF(SUM('Plan cashflow'!$UH$8:$UH$97)&gt;0,MIN(IF(E119&gt;0,IF(F119&gt;=E119-1,100,MIN(PR_PctCap,MAX(0,INT(F119/E119*100)))),100),94),IF(E119&gt;0,IF(F119&gt;=E119-1,100,MIN(PR_PctCap,MAX(0,INT(F119/E119*100)))),100)),IF(E119&gt;0,IF(F119&gt;=E119-1,100,MIN(PR_PctCap,MAX(0,INT(F119/E119*100)))),100)))</f>
        <v/>
      </c>
      <c r="H119" s="20" t="str">
        <f aca="false">IF(G119="","",IF(G119&gt;=PR_Good,"good",IF(G119&gt;=PR_Nudge,"nudge","alert")))</f>
        <v/>
      </c>
      <c r="I119" s="20" t="str">
        <f aca="false">IF(OR($D119="spend",$D119="mfree",$D119="pot"),INDEX(GL_Pos,10),"")</f>
        <v/>
      </c>
      <c r="J119" s="20"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20"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24"/>
      <c r="M119" s="20"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20" t="str">
        <f aca="false">IF($Q119="","",INDEX(GL_AgeT,10))</f>
        <v/>
      </c>
      <c r="O119" s="20" t="str">
        <f aca="false">IF(AND($Q119&lt;&gt;"",G119&gt;=PR_Good,Findings_Over=0),G119*1000000-N119*1000-10,"")</f>
        <v/>
      </c>
      <c r="P119" s="20" t="str">
        <f aca="false">IF($Q119="","",G119*1000000+N119*1000+10)</f>
        <v/>
      </c>
      <c r="Q119" s="20" t="str">
        <f aca="false">INDEX(GL_Key,10)</f>
        <v/>
      </c>
      <c r="R119" s="20" t="n">
        <f aca="false">IF(G119="",0,G119)</f>
        <v>0</v>
      </c>
      <c r="S119" s="20" t="str">
        <f aca="false">IF($Q119="","",IFERROR(INDEX(Goal_Specs,MATCH($Q119,Goal_Keys,0)),""))</f>
        <v/>
      </c>
      <c r="T119" s="20" t="n">
        <f aca="false">IF($Q119="",9999,G119)</f>
        <v>9999</v>
      </c>
      <c r="U119" s="20"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20" t="str">
        <f aca="false">IF(AND($Q119="safety",F_EssM&gt;0,INDEX(GL_Amount,10)&gt;0),ROUND(INDEX(GL_Amount,10)/F_EssM*10,0)/10,"")</f>
        <v/>
      </c>
      <c r="W119" s="20" t="str">
        <f aca="false">IF($Q119="","",AS_Year0+INDEX(GL_AgeT,10)-F_Age)</f>
        <v/>
      </c>
      <c r="X119" s="20" t="str">
        <f aca="false">IF($Q119="","",IF(AND($D119&lt;&gt;"legacy",INDEX(GL_AgeT,10)&lt;F_Age),"Date has passed",IF($D119="retire","Age ","age ")&amp;INDEX(GL_AgeT,10)&amp;" · "&amp;W119))</f>
        <v/>
      </c>
      <c r="Y119" s="20" t="str">
        <f aca="false">IF($Q119="","",G119*1000+IF($D119="legacy",AS_End,INDEX(GL_AgeT,10)))</f>
        <v/>
      </c>
      <c r="Z119" s="24"/>
      <c r="AA119" s="20" t="str">
        <f aca="false">IF($Q119="","",IF(IF(Z119&lt;&gt;"",Z119,IF(AND(WI_M=0,WI_L=0),G119,""))="","",IF(IF(Z119&lt;&gt;"",Z119,G119)&lt;&gt;G119,C119&amp;" goes from "&amp;IF(Z119&lt;&gt;"",Z119,G119)&amp;"% to "&amp;G119&amp;"%","")))</f>
        <v/>
      </c>
      <c r="AB119" s="20" t="str">
        <f aca="false">IF(ISBLANK(L119),IF(AND(Fill_Example="Yes",FALSE()),"",""),L119)</f>
        <v/>
      </c>
    </row>
    <row r="120" customFormat="false" ht="15" hidden="false" customHeight="true" outlineLevel="0" collapsed="false">
      <c r="B120" s="20" t="n">
        <v>11</v>
      </c>
      <c r="C120" s="20" t="str">
        <f aca="false">IF($Q120="","",INDEX(GL_Name,11))</f>
        <v/>
      </c>
      <c r="D120" s="20" t="str">
        <f aca="false">INDEX(GL_Kind,11)</f>
        <v/>
      </c>
      <c r="E120" s="20"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cashflow'!$TS$8:$TS$97,'Plan cashflow'!$C$8:$C$97,1),IF($D120="legacy",INDEX(GL_Amount,11)*(1+AS_Infl)^F_N,0))))</f>
        <v/>
      </c>
      <c r="F120" s="20"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cashflow'!$TT$8:$TT$97,'Plan cashflow'!$C$8:$C$97,1),IF($D120="legacy",MIN(E120,INDEX('Plan cashflow'!$QK$8:$QK$97,F_N+1)+INDEX('Plan cashflow'!$QL$8:$QL$97,F_N+1)),0))))</f>
        <v/>
      </c>
      <c r="G120" s="20" t="str">
        <f aca="false">IF($Q120="","",IF($D120="retire",IF(SUM('Plan cashflow'!$UH$8:$UH$97)&gt;0,MIN(IF(E120&gt;0,IF(F120&gt;=E120-1,100,MIN(PR_PctCap,MAX(0,INT(F120/E120*100)))),100),94),IF(E120&gt;0,IF(F120&gt;=E120-1,100,MIN(PR_PctCap,MAX(0,INT(F120/E120*100)))),100)),IF(E120&gt;0,IF(F120&gt;=E120-1,100,MIN(PR_PctCap,MAX(0,INT(F120/E120*100)))),100)))</f>
        <v/>
      </c>
      <c r="H120" s="20" t="str">
        <f aca="false">IF(G120="","",IF(G120&gt;=PR_Good,"good",IF(G120&gt;=PR_Nudge,"nudge","alert")))</f>
        <v/>
      </c>
      <c r="I120" s="20" t="str">
        <f aca="false">IF(OR($D120="spend",$D120="mfree",$D120="pot"),INDEX(GL_Pos,11),"")</f>
        <v/>
      </c>
      <c r="J120" s="20"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20"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24"/>
      <c r="M120" s="20"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20" t="str">
        <f aca="false">IF($Q120="","",INDEX(GL_AgeT,11))</f>
        <v/>
      </c>
      <c r="O120" s="20" t="str">
        <f aca="false">IF(AND($Q120&lt;&gt;"",G120&gt;=PR_Good,Findings_Over=0),G120*1000000-N120*1000-11,"")</f>
        <v/>
      </c>
      <c r="P120" s="20" t="str">
        <f aca="false">IF($Q120="","",G120*1000000+N120*1000+11)</f>
        <v/>
      </c>
      <c r="Q120" s="20" t="str">
        <f aca="false">INDEX(GL_Key,11)</f>
        <v/>
      </c>
      <c r="R120" s="20" t="n">
        <f aca="false">IF(G120="",0,G120)</f>
        <v>0</v>
      </c>
      <c r="S120" s="20" t="str">
        <f aca="false">IF($Q120="","",IFERROR(INDEX(Goal_Specs,MATCH($Q120,Goal_Keys,0)),""))</f>
        <v/>
      </c>
      <c r="T120" s="20" t="n">
        <f aca="false">IF($Q120="",9999,G120)</f>
        <v>9999</v>
      </c>
      <c r="U120" s="20"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20" t="str">
        <f aca="false">IF(AND($Q120="safety",F_EssM&gt;0,INDEX(GL_Amount,11)&gt;0),ROUND(INDEX(GL_Amount,11)/F_EssM*10,0)/10,"")</f>
        <v/>
      </c>
      <c r="W120" s="20" t="str">
        <f aca="false">IF($Q120="","",AS_Year0+INDEX(GL_AgeT,11)-F_Age)</f>
        <v/>
      </c>
      <c r="X120" s="20" t="str">
        <f aca="false">IF($Q120="","",IF(AND($D120&lt;&gt;"legacy",INDEX(GL_AgeT,11)&lt;F_Age),"Date has passed",IF($D120="retire","Age ","age ")&amp;INDEX(GL_AgeT,11)&amp;" · "&amp;W120))</f>
        <v/>
      </c>
      <c r="Y120" s="20" t="str">
        <f aca="false">IF($Q120="","",G120*1000+IF($D120="legacy",AS_End,INDEX(GL_AgeT,11)))</f>
        <v/>
      </c>
      <c r="Z120" s="24"/>
      <c r="AA120" s="20" t="str">
        <f aca="false">IF($Q120="","",IF(IF(Z120&lt;&gt;"",Z120,IF(AND(WI_M=0,WI_L=0),G120,""))="","",IF(IF(Z120&lt;&gt;"",Z120,G120)&lt;&gt;G120,C120&amp;" goes from "&amp;IF(Z120&lt;&gt;"",Z120,G120)&amp;"% to "&amp;G120&amp;"%","")))</f>
        <v/>
      </c>
      <c r="AB120" s="20" t="str">
        <f aca="false">IF(ISBLANK(L120),IF(AND(Fill_Example="Yes",FALSE()),"",""),L120)</f>
        <v/>
      </c>
    </row>
    <row r="121" customFormat="false" ht="15" hidden="false" customHeight="true" outlineLevel="0" collapsed="false">
      <c r="B121" s="20" t="n">
        <v>12</v>
      </c>
      <c r="C121" s="20" t="str">
        <f aca="false">IF($Q121="","",INDEX(GL_Name,12))</f>
        <v/>
      </c>
      <c r="D121" s="20" t="str">
        <f aca="false">INDEX(GL_Kind,12)</f>
        <v/>
      </c>
      <c r="E121" s="20"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cashflow'!$TS$8:$TS$97,'Plan cashflow'!$C$8:$C$97,1),IF($D121="legacy",INDEX(GL_Amount,12)*(1+AS_Infl)^F_N,0))))</f>
        <v/>
      </c>
      <c r="F121" s="20"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cashflow'!$TT$8:$TT$97,'Plan cashflow'!$C$8:$C$97,1),IF($D121="legacy",MIN(E121,INDEX('Plan cashflow'!$QK$8:$QK$97,F_N+1)+INDEX('Plan cashflow'!$QL$8:$QL$97,F_N+1)),0))))</f>
        <v/>
      </c>
      <c r="G121" s="20" t="str">
        <f aca="false">IF($Q121="","",IF($D121="retire",IF(SUM('Plan cashflow'!$UH$8:$UH$97)&gt;0,MIN(IF(E121&gt;0,IF(F121&gt;=E121-1,100,MIN(PR_PctCap,MAX(0,INT(F121/E121*100)))),100),94),IF(E121&gt;0,IF(F121&gt;=E121-1,100,MIN(PR_PctCap,MAX(0,INT(F121/E121*100)))),100)),IF(E121&gt;0,IF(F121&gt;=E121-1,100,MIN(PR_PctCap,MAX(0,INT(F121/E121*100)))),100)))</f>
        <v/>
      </c>
      <c r="H121" s="20" t="str">
        <f aca="false">IF(G121="","",IF(G121&gt;=PR_Good,"good",IF(G121&gt;=PR_Nudge,"nudge","alert")))</f>
        <v/>
      </c>
      <c r="I121" s="20" t="str">
        <f aca="false">IF(OR($D121="spend",$D121="mfree",$D121="pot"),INDEX(GL_Pos,12),"")</f>
        <v/>
      </c>
      <c r="J121" s="20"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20"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24"/>
      <c r="M121" s="20"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20" t="str">
        <f aca="false">IF($Q121="","",INDEX(GL_AgeT,12))</f>
        <v/>
      </c>
      <c r="O121" s="20" t="str">
        <f aca="false">IF(AND($Q121&lt;&gt;"",G121&gt;=PR_Good,Findings_Over=0),G121*1000000-N121*1000-12,"")</f>
        <v/>
      </c>
      <c r="P121" s="20" t="str">
        <f aca="false">IF($Q121="","",G121*1000000+N121*1000+12)</f>
        <v/>
      </c>
      <c r="Q121" s="20" t="str">
        <f aca="false">INDEX(GL_Key,12)</f>
        <v/>
      </c>
      <c r="R121" s="20" t="n">
        <f aca="false">IF(G121="",0,G121)</f>
        <v>0</v>
      </c>
      <c r="S121" s="20" t="str">
        <f aca="false">IF($Q121="","",IFERROR(INDEX(Goal_Specs,MATCH($Q121,Goal_Keys,0)),""))</f>
        <v/>
      </c>
      <c r="T121" s="20" t="n">
        <f aca="false">IF($Q121="",9999,G121)</f>
        <v>9999</v>
      </c>
      <c r="U121" s="20"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20" t="str">
        <f aca="false">IF(AND($Q121="safety",F_EssM&gt;0,INDEX(GL_Amount,12)&gt;0),ROUND(INDEX(GL_Amount,12)/F_EssM*10,0)/10,"")</f>
        <v/>
      </c>
      <c r="W121" s="20" t="str">
        <f aca="false">IF($Q121="","",AS_Year0+INDEX(GL_AgeT,12)-F_Age)</f>
        <v/>
      </c>
      <c r="X121" s="20" t="str">
        <f aca="false">IF($Q121="","",IF(AND($D121&lt;&gt;"legacy",INDEX(GL_AgeT,12)&lt;F_Age),"Date has passed",IF($D121="retire","Age ","age ")&amp;INDEX(GL_AgeT,12)&amp;" · "&amp;W121))</f>
        <v/>
      </c>
      <c r="Y121" s="20" t="str">
        <f aca="false">IF($Q121="","",G121*1000+IF($D121="legacy",AS_End,INDEX(GL_AgeT,12)))</f>
        <v/>
      </c>
      <c r="Z121" s="24"/>
      <c r="AA121" s="20" t="str">
        <f aca="false">IF($Q121="","",IF(IF(Z121&lt;&gt;"",Z121,IF(AND(WI_M=0,WI_L=0),G121,""))="","",IF(IF(Z121&lt;&gt;"",Z121,G121)&lt;&gt;G121,C121&amp;" goes from "&amp;IF(Z121&lt;&gt;"",Z121,G121)&amp;"% to "&amp;G121&amp;"%","")))</f>
        <v/>
      </c>
      <c r="AB121" s="20" t="str">
        <f aca="false">IF(ISBLANK(L121),IF(AND(Fill_Example="Yes",FALSE()),"",""),L121)</f>
        <v/>
      </c>
    </row>
    <row r="122" customFormat="false" ht="15" hidden="false" customHeight="true" outlineLevel="0" collapsed="false">
      <c r="B122" s="20" t="n">
        <v>13</v>
      </c>
      <c r="C122" s="20" t="str">
        <f aca="false">IF($Q122="","",INDEX(GL_Name,13))</f>
        <v/>
      </c>
      <c r="D122" s="20" t="str">
        <f aca="false">INDEX(GL_Kind,13)</f>
        <v/>
      </c>
      <c r="E122" s="20"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cashflow'!$TS$8:$TS$97,'Plan cashflow'!$C$8:$C$97,1),IF($D122="legacy",INDEX(GL_Amount,13)*(1+AS_Infl)^F_N,0))))</f>
        <v/>
      </c>
      <c r="F122" s="20"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cashflow'!$TT$8:$TT$97,'Plan cashflow'!$C$8:$C$97,1),IF($D122="legacy",MIN(E122,INDEX('Plan cashflow'!$QK$8:$QK$97,F_N+1)+INDEX('Plan cashflow'!$QL$8:$QL$97,F_N+1)),0))))</f>
        <v/>
      </c>
      <c r="G122" s="20" t="str">
        <f aca="false">IF($Q122="","",IF($D122="retire",IF(SUM('Plan cashflow'!$UH$8:$UH$97)&gt;0,MIN(IF(E122&gt;0,IF(F122&gt;=E122-1,100,MIN(PR_PctCap,MAX(0,INT(F122/E122*100)))),100),94),IF(E122&gt;0,IF(F122&gt;=E122-1,100,MIN(PR_PctCap,MAX(0,INT(F122/E122*100)))),100)),IF(E122&gt;0,IF(F122&gt;=E122-1,100,MIN(PR_PctCap,MAX(0,INT(F122/E122*100)))),100)))</f>
        <v/>
      </c>
      <c r="H122" s="20" t="str">
        <f aca="false">IF(G122="","",IF(G122&gt;=PR_Good,"good",IF(G122&gt;=PR_Nudge,"nudge","alert")))</f>
        <v/>
      </c>
      <c r="I122" s="20" t="str">
        <f aca="false">IF(OR($D122="spend",$D122="mfree",$D122="pot"),INDEX(GL_Pos,13),"")</f>
        <v/>
      </c>
      <c r="J122" s="20"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20"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24"/>
      <c r="M122" s="20"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20" t="str">
        <f aca="false">IF($Q122="","",INDEX(GL_AgeT,13))</f>
        <v/>
      </c>
      <c r="O122" s="20" t="str">
        <f aca="false">IF(AND($Q122&lt;&gt;"",G122&gt;=PR_Good,Findings_Over=0),G122*1000000-N122*1000-13,"")</f>
        <v/>
      </c>
      <c r="P122" s="20" t="str">
        <f aca="false">IF($Q122="","",G122*1000000+N122*1000+13)</f>
        <v/>
      </c>
      <c r="Q122" s="20" t="str">
        <f aca="false">INDEX(GL_Key,13)</f>
        <v/>
      </c>
      <c r="R122" s="20" t="n">
        <f aca="false">IF(G122="",0,G122)</f>
        <v>0</v>
      </c>
      <c r="S122" s="20" t="str">
        <f aca="false">IF($Q122="","",IFERROR(INDEX(Goal_Specs,MATCH($Q122,Goal_Keys,0)),""))</f>
        <v/>
      </c>
      <c r="T122" s="20" t="n">
        <f aca="false">IF($Q122="",9999,G122)</f>
        <v>9999</v>
      </c>
      <c r="U122" s="20"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20" t="str">
        <f aca="false">IF(AND($Q122="safety",F_EssM&gt;0,INDEX(GL_Amount,13)&gt;0),ROUND(INDEX(GL_Amount,13)/F_EssM*10,0)/10,"")</f>
        <v/>
      </c>
      <c r="W122" s="20" t="str">
        <f aca="false">IF($Q122="","",AS_Year0+INDEX(GL_AgeT,13)-F_Age)</f>
        <v/>
      </c>
      <c r="X122" s="20" t="str">
        <f aca="false">IF($Q122="","",IF(AND($D122&lt;&gt;"legacy",INDEX(GL_AgeT,13)&lt;F_Age),"Date has passed",IF($D122="retire","Age ","age ")&amp;INDEX(GL_AgeT,13)&amp;" · "&amp;W122))</f>
        <v/>
      </c>
      <c r="Y122" s="20" t="str">
        <f aca="false">IF($Q122="","",G122*1000+IF($D122="legacy",AS_End,INDEX(GL_AgeT,13)))</f>
        <v/>
      </c>
      <c r="Z122" s="24"/>
      <c r="AA122" s="20" t="str">
        <f aca="false">IF($Q122="","",IF(IF(Z122&lt;&gt;"",Z122,IF(AND(WI_M=0,WI_L=0),G122,""))="","",IF(IF(Z122&lt;&gt;"",Z122,G122)&lt;&gt;G122,C122&amp;" goes from "&amp;IF(Z122&lt;&gt;"",Z122,G122)&amp;"% to "&amp;G122&amp;"%","")))</f>
        <v/>
      </c>
      <c r="AB122" s="20" t="str">
        <f aca="false">IF(ISBLANK(L122),IF(AND(Fill_Example="Yes",FALSE()),"",""),L122)</f>
        <v/>
      </c>
    </row>
    <row r="123" customFormat="false" ht="15" hidden="false" customHeight="true" outlineLevel="0" collapsed="false">
      <c r="B123" s="20" t="n">
        <v>14</v>
      </c>
      <c r="C123" s="20" t="str">
        <f aca="false">IF($Q123="","",INDEX(GL_Name,14))</f>
        <v/>
      </c>
      <c r="D123" s="20" t="str">
        <f aca="false">INDEX(GL_Kind,14)</f>
        <v/>
      </c>
      <c r="E123" s="20"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cashflow'!$TS$8:$TS$97,'Plan cashflow'!$C$8:$C$97,1),IF($D123="legacy",INDEX(GL_Amount,14)*(1+AS_Infl)^F_N,0))))</f>
        <v/>
      </c>
      <c r="F123" s="20"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cashflow'!$TT$8:$TT$97,'Plan cashflow'!$C$8:$C$97,1),IF($D123="legacy",MIN(E123,INDEX('Plan cashflow'!$QK$8:$QK$97,F_N+1)+INDEX('Plan cashflow'!$QL$8:$QL$97,F_N+1)),0))))</f>
        <v/>
      </c>
      <c r="G123" s="20" t="str">
        <f aca="false">IF($Q123="","",IF($D123="retire",IF(SUM('Plan cashflow'!$UH$8:$UH$97)&gt;0,MIN(IF(E123&gt;0,IF(F123&gt;=E123-1,100,MIN(PR_PctCap,MAX(0,INT(F123/E123*100)))),100),94),IF(E123&gt;0,IF(F123&gt;=E123-1,100,MIN(PR_PctCap,MAX(0,INT(F123/E123*100)))),100)),IF(E123&gt;0,IF(F123&gt;=E123-1,100,MIN(PR_PctCap,MAX(0,INT(F123/E123*100)))),100)))</f>
        <v/>
      </c>
      <c r="H123" s="20" t="str">
        <f aca="false">IF(G123="","",IF(G123&gt;=PR_Good,"good",IF(G123&gt;=PR_Nudge,"nudge","alert")))</f>
        <v/>
      </c>
      <c r="I123" s="20" t="str">
        <f aca="false">IF(OR($D123="spend",$D123="mfree",$D123="pot"),INDEX(GL_Pos,14),"")</f>
        <v/>
      </c>
      <c r="J123" s="20"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20"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24"/>
      <c r="M123" s="20"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20" t="str">
        <f aca="false">IF($Q123="","",INDEX(GL_AgeT,14))</f>
        <v/>
      </c>
      <c r="O123" s="20" t="str">
        <f aca="false">IF(AND($Q123&lt;&gt;"",G123&gt;=PR_Good,Findings_Over=0),G123*1000000-N123*1000-14,"")</f>
        <v/>
      </c>
      <c r="P123" s="20" t="str">
        <f aca="false">IF($Q123="","",G123*1000000+N123*1000+14)</f>
        <v/>
      </c>
      <c r="Q123" s="20" t="str">
        <f aca="false">INDEX(GL_Key,14)</f>
        <v/>
      </c>
      <c r="R123" s="20" t="n">
        <f aca="false">IF(G123="",0,G123)</f>
        <v>0</v>
      </c>
      <c r="S123" s="20" t="str">
        <f aca="false">IF($Q123="","",IFERROR(INDEX(Goal_Specs,MATCH($Q123,Goal_Keys,0)),""))</f>
        <v/>
      </c>
      <c r="T123" s="20" t="n">
        <f aca="false">IF($Q123="",9999,G123)</f>
        <v>9999</v>
      </c>
      <c r="U123" s="20"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20" t="str">
        <f aca="false">IF(AND($Q123="safety",F_EssM&gt;0,INDEX(GL_Amount,14)&gt;0),ROUND(INDEX(GL_Amount,14)/F_EssM*10,0)/10,"")</f>
        <v/>
      </c>
      <c r="W123" s="20" t="str">
        <f aca="false">IF($Q123="","",AS_Year0+INDEX(GL_AgeT,14)-F_Age)</f>
        <v/>
      </c>
      <c r="X123" s="20" t="str">
        <f aca="false">IF($Q123="","",IF(AND($D123&lt;&gt;"legacy",INDEX(GL_AgeT,14)&lt;F_Age),"Date has passed",IF($D123="retire","Age ","age ")&amp;INDEX(GL_AgeT,14)&amp;" · "&amp;W123))</f>
        <v/>
      </c>
      <c r="Y123" s="20" t="str">
        <f aca="false">IF($Q123="","",G123*1000+IF($D123="legacy",AS_End,INDEX(GL_AgeT,14)))</f>
        <v/>
      </c>
      <c r="Z123" s="24"/>
      <c r="AA123" s="20" t="str">
        <f aca="false">IF($Q123="","",IF(IF(Z123&lt;&gt;"",Z123,IF(AND(WI_M=0,WI_L=0),G123,""))="","",IF(IF(Z123&lt;&gt;"",Z123,G123)&lt;&gt;G123,C123&amp;" goes from "&amp;IF(Z123&lt;&gt;"",Z123,G123)&amp;"% to "&amp;G123&amp;"%","")))</f>
        <v/>
      </c>
      <c r="AB123" s="20" t="str">
        <f aca="false">IF(ISBLANK(L123),IF(AND(Fill_Example="Yes",FALSE()),"",""),L123)</f>
        <v/>
      </c>
    </row>
    <row r="124" customFormat="false" ht="15" hidden="false" customHeight="true" outlineLevel="0" collapsed="false">
      <c r="B124" s="20" t="n">
        <v>15</v>
      </c>
      <c r="C124" s="20" t="str">
        <f aca="false">IF($Q124="","",INDEX(GL_Name,15))</f>
        <v/>
      </c>
      <c r="D124" s="20" t="str">
        <f aca="false">INDEX(GL_Kind,15)</f>
        <v/>
      </c>
      <c r="E124" s="20"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cashflow'!$TS$8:$TS$97,'Plan cashflow'!$C$8:$C$97,1),IF($D124="legacy",INDEX(GL_Amount,15)*(1+AS_Infl)^F_N,0))))</f>
        <v/>
      </c>
      <c r="F124" s="20"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cashflow'!$TT$8:$TT$97,'Plan cashflow'!$C$8:$C$97,1),IF($D124="legacy",MIN(E124,INDEX('Plan cashflow'!$QK$8:$QK$97,F_N+1)+INDEX('Plan cashflow'!$QL$8:$QL$97,F_N+1)),0))))</f>
        <v/>
      </c>
      <c r="G124" s="20" t="str">
        <f aca="false">IF($Q124="","",IF($D124="retire",IF(SUM('Plan cashflow'!$UH$8:$UH$97)&gt;0,MIN(IF(E124&gt;0,IF(F124&gt;=E124-1,100,MIN(PR_PctCap,MAX(0,INT(F124/E124*100)))),100),94),IF(E124&gt;0,IF(F124&gt;=E124-1,100,MIN(PR_PctCap,MAX(0,INT(F124/E124*100)))),100)),IF(E124&gt;0,IF(F124&gt;=E124-1,100,MIN(PR_PctCap,MAX(0,INT(F124/E124*100)))),100)))</f>
        <v/>
      </c>
      <c r="H124" s="20" t="str">
        <f aca="false">IF(G124="","",IF(G124&gt;=PR_Good,"good",IF(G124&gt;=PR_Nudge,"nudge","alert")))</f>
        <v/>
      </c>
      <c r="I124" s="20" t="str">
        <f aca="false">IF(OR($D124="spend",$D124="mfree",$D124="pot"),INDEX(GL_Pos,15),"")</f>
        <v/>
      </c>
      <c r="J124" s="20"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20"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24"/>
      <c r="M124" s="20"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20" t="str">
        <f aca="false">IF($Q124="","",INDEX(GL_AgeT,15))</f>
        <v/>
      </c>
      <c r="O124" s="20" t="str">
        <f aca="false">IF(AND($Q124&lt;&gt;"",G124&gt;=PR_Good,Findings_Over=0),G124*1000000-N124*1000-15,"")</f>
        <v/>
      </c>
      <c r="P124" s="20" t="str">
        <f aca="false">IF($Q124="","",G124*1000000+N124*1000+15)</f>
        <v/>
      </c>
      <c r="Q124" s="20" t="str">
        <f aca="false">INDEX(GL_Key,15)</f>
        <v/>
      </c>
      <c r="R124" s="20" t="n">
        <f aca="false">IF(G124="",0,G124)</f>
        <v>0</v>
      </c>
      <c r="S124" s="20" t="str">
        <f aca="false">IF($Q124="","",IFERROR(INDEX(Goal_Specs,MATCH($Q124,Goal_Keys,0)),""))</f>
        <v/>
      </c>
      <c r="T124" s="20" t="n">
        <f aca="false">IF($Q124="",9999,G124)</f>
        <v>9999</v>
      </c>
      <c r="U124" s="20"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20" t="str">
        <f aca="false">IF(AND($Q124="safety",F_EssM&gt;0,INDEX(GL_Amount,15)&gt;0),ROUND(INDEX(GL_Amount,15)/F_EssM*10,0)/10,"")</f>
        <v/>
      </c>
      <c r="W124" s="20" t="str">
        <f aca="false">IF($Q124="","",AS_Year0+INDEX(GL_AgeT,15)-F_Age)</f>
        <v/>
      </c>
      <c r="X124" s="20" t="str">
        <f aca="false">IF($Q124="","",IF(AND($D124&lt;&gt;"legacy",INDEX(GL_AgeT,15)&lt;F_Age),"Date has passed",IF($D124="retire","Age ","age ")&amp;INDEX(GL_AgeT,15)&amp;" · "&amp;W124))</f>
        <v/>
      </c>
      <c r="Y124" s="20" t="str">
        <f aca="false">IF($Q124="","",G124*1000+IF($D124="legacy",AS_End,INDEX(GL_AgeT,15)))</f>
        <v/>
      </c>
      <c r="Z124" s="24"/>
      <c r="AA124" s="20" t="str">
        <f aca="false">IF($Q124="","",IF(IF(Z124&lt;&gt;"",Z124,IF(AND(WI_M=0,WI_L=0),G124,""))="","",IF(IF(Z124&lt;&gt;"",Z124,G124)&lt;&gt;G124,C124&amp;" goes from "&amp;IF(Z124&lt;&gt;"",Z124,G124)&amp;"% to "&amp;G124&amp;"%","")))</f>
        <v/>
      </c>
      <c r="AB124" s="20" t="str">
        <f aca="false">IF(ISBLANK(L124),IF(AND(Fill_Example="Yes",FALSE()),"",""),L124)</f>
        <v/>
      </c>
    </row>
    <row r="125" customFormat="false" ht="15" hidden="false" customHeight="true" outlineLevel="0" collapsed="false">
      <c r="B125" s="20" t="n">
        <v>16</v>
      </c>
      <c r="C125" s="20" t="str">
        <f aca="false">IF($Q125="","",INDEX(GL_Name,16))</f>
        <v/>
      </c>
      <c r="D125" s="20" t="str">
        <f aca="false">INDEX(GL_Kind,16)</f>
        <v/>
      </c>
      <c r="E125" s="20"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cashflow'!$TS$8:$TS$97,'Plan cashflow'!$C$8:$C$97,1),IF($D125="legacy",INDEX(GL_Amount,16)*(1+AS_Infl)^F_N,0))))</f>
        <v/>
      </c>
      <c r="F125" s="20"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cashflow'!$TT$8:$TT$97,'Plan cashflow'!$C$8:$C$97,1),IF($D125="legacy",MIN(E125,INDEX('Plan cashflow'!$QK$8:$QK$97,F_N+1)+INDEX('Plan cashflow'!$QL$8:$QL$97,F_N+1)),0))))</f>
        <v/>
      </c>
      <c r="G125" s="20" t="str">
        <f aca="false">IF($Q125="","",IF($D125="retire",IF(SUM('Plan cashflow'!$UH$8:$UH$97)&gt;0,MIN(IF(E125&gt;0,IF(F125&gt;=E125-1,100,MIN(PR_PctCap,MAX(0,INT(F125/E125*100)))),100),94),IF(E125&gt;0,IF(F125&gt;=E125-1,100,MIN(PR_PctCap,MAX(0,INT(F125/E125*100)))),100)),IF(E125&gt;0,IF(F125&gt;=E125-1,100,MIN(PR_PctCap,MAX(0,INT(F125/E125*100)))),100)))</f>
        <v/>
      </c>
      <c r="H125" s="20" t="str">
        <f aca="false">IF(G125="","",IF(G125&gt;=PR_Good,"good",IF(G125&gt;=PR_Nudge,"nudge","alert")))</f>
        <v/>
      </c>
      <c r="I125" s="20" t="str">
        <f aca="false">IF(OR($D125="spend",$D125="mfree",$D125="pot"),INDEX(GL_Pos,16),"")</f>
        <v/>
      </c>
      <c r="J125" s="20"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20"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24"/>
      <c r="M125" s="20"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20" t="str">
        <f aca="false">IF($Q125="","",INDEX(GL_AgeT,16))</f>
        <v/>
      </c>
      <c r="O125" s="20" t="str">
        <f aca="false">IF(AND($Q125&lt;&gt;"",G125&gt;=PR_Good,Findings_Over=0),G125*1000000-N125*1000-16,"")</f>
        <v/>
      </c>
      <c r="P125" s="20" t="str">
        <f aca="false">IF($Q125="","",G125*1000000+N125*1000+16)</f>
        <v/>
      </c>
      <c r="Q125" s="20" t="str">
        <f aca="false">INDEX(GL_Key,16)</f>
        <v/>
      </c>
      <c r="R125" s="20" t="n">
        <f aca="false">IF(G125="",0,G125)</f>
        <v>0</v>
      </c>
      <c r="S125" s="20" t="str">
        <f aca="false">IF($Q125="","",IFERROR(INDEX(Goal_Specs,MATCH($Q125,Goal_Keys,0)),""))</f>
        <v/>
      </c>
      <c r="T125" s="20" t="n">
        <f aca="false">IF($Q125="",9999,G125)</f>
        <v>9999</v>
      </c>
      <c r="U125" s="20"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20" t="str">
        <f aca="false">IF(AND($Q125="safety",F_EssM&gt;0,INDEX(GL_Amount,16)&gt;0),ROUND(INDEX(GL_Amount,16)/F_EssM*10,0)/10,"")</f>
        <v/>
      </c>
      <c r="W125" s="20" t="str">
        <f aca="false">IF($Q125="","",AS_Year0+INDEX(GL_AgeT,16)-F_Age)</f>
        <v/>
      </c>
      <c r="X125" s="20" t="str">
        <f aca="false">IF($Q125="","",IF(AND($D125&lt;&gt;"legacy",INDEX(GL_AgeT,16)&lt;F_Age),"Date has passed",IF($D125="retire","Age ","age ")&amp;INDEX(GL_AgeT,16)&amp;" · "&amp;W125))</f>
        <v/>
      </c>
      <c r="Y125" s="20" t="str">
        <f aca="false">IF($Q125="","",G125*1000+IF($D125="legacy",AS_End,INDEX(GL_AgeT,16)))</f>
        <v/>
      </c>
      <c r="Z125" s="24"/>
      <c r="AA125" s="20" t="str">
        <f aca="false">IF($Q125="","",IF(IF(Z125&lt;&gt;"",Z125,IF(AND(WI_M=0,WI_L=0),G125,""))="","",IF(IF(Z125&lt;&gt;"",Z125,G125)&lt;&gt;G125,C125&amp;" goes from "&amp;IF(Z125&lt;&gt;"",Z125,G125)&amp;"% to "&amp;G125&amp;"%","")))</f>
        <v/>
      </c>
      <c r="AB125" s="20" t="str">
        <f aca="false">IF(ISBLANK(L125),IF(AND(Fill_Example="Yes",FALSE()),"",""),L125)</f>
        <v/>
      </c>
    </row>
    <row r="126" customFormat="false" ht="15" hidden="false" customHeight="true" outlineLevel="0" collapsed="false">
      <c r="B126" s="20" t="n">
        <v>17</v>
      </c>
      <c r="C126" s="20" t="str">
        <f aca="false">IF($Q126="","",INDEX(GL_Name,17))</f>
        <v/>
      </c>
      <c r="D126" s="20" t="str">
        <f aca="false">INDEX(GL_Kind,17)</f>
        <v/>
      </c>
      <c r="E126" s="20"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cashflow'!$TS$8:$TS$97,'Plan cashflow'!$C$8:$C$97,1),IF($D126="legacy",INDEX(GL_Amount,17)*(1+AS_Infl)^F_N,0))))</f>
        <v/>
      </c>
      <c r="F126" s="20"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cashflow'!$TT$8:$TT$97,'Plan cashflow'!$C$8:$C$97,1),IF($D126="legacy",MIN(E126,INDEX('Plan cashflow'!$QK$8:$QK$97,F_N+1)+INDEX('Plan cashflow'!$QL$8:$QL$97,F_N+1)),0))))</f>
        <v/>
      </c>
      <c r="G126" s="20" t="str">
        <f aca="false">IF($Q126="","",IF($D126="retire",IF(SUM('Plan cashflow'!$UH$8:$UH$97)&gt;0,MIN(IF(E126&gt;0,IF(F126&gt;=E126-1,100,MIN(PR_PctCap,MAX(0,INT(F126/E126*100)))),100),94),IF(E126&gt;0,IF(F126&gt;=E126-1,100,MIN(PR_PctCap,MAX(0,INT(F126/E126*100)))),100)),IF(E126&gt;0,IF(F126&gt;=E126-1,100,MIN(PR_PctCap,MAX(0,INT(F126/E126*100)))),100)))</f>
        <v/>
      </c>
      <c r="H126" s="20" t="str">
        <f aca="false">IF(G126="","",IF(G126&gt;=PR_Good,"good",IF(G126&gt;=PR_Nudge,"nudge","alert")))</f>
        <v/>
      </c>
      <c r="I126" s="20" t="str">
        <f aca="false">IF(OR($D126="spend",$D126="mfree",$D126="pot"),INDEX(GL_Pos,17),"")</f>
        <v/>
      </c>
      <c r="J126" s="20"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20"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24"/>
      <c r="M126" s="20"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20" t="str">
        <f aca="false">IF($Q126="","",INDEX(GL_AgeT,17))</f>
        <v/>
      </c>
      <c r="O126" s="20" t="str">
        <f aca="false">IF(AND($Q126&lt;&gt;"",G126&gt;=PR_Good,Findings_Over=0),G126*1000000-N126*1000-17,"")</f>
        <v/>
      </c>
      <c r="P126" s="20" t="str">
        <f aca="false">IF($Q126="","",G126*1000000+N126*1000+17)</f>
        <v/>
      </c>
      <c r="Q126" s="20" t="str">
        <f aca="false">INDEX(GL_Key,17)</f>
        <v/>
      </c>
      <c r="R126" s="20" t="n">
        <f aca="false">IF(G126="",0,G126)</f>
        <v>0</v>
      </c>
      <c r="S126" s="20" t="str">
        <f aca="false">IF($Q126="","",IFERROR(INDEX(Goal_Specs,MATCH($Q126,Goal_Keys,0)),""))</f>
        <v/>
      </c>
      <c r="T126" s="20" t="n">
        <f aca="false">IF($Q126="",9999,G126)</f>
        <v>9999</v>
      </c>
      <c r="U126" s="20"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20" t="str">
        <f aca="false">IF(AND($Q126="safety",F_EssM&gt;0,INDEX(GL_Amount,17)&gt;0),ROUND(INDEX(GL_Amount,17)/F_EssM*10,0)/10,"")</f>
        <v/>
      </c>
      <c r="W126" s="20" t="str">
        <f aca="false">IF($Q126="","",AS_Year0+INDEX(GL_AgeT,17)-F_Age)</f>
        <v/>
      </c>
      <c r="X126" s="20" t="str">
        <f aca="false">IF($Q126="","",IF(AND($D126&lt;&gt;"legacy",INDEX(GL_AgeT,17)&lt;F_Age),"Date has passed",IF($D126="retire","Age ","age ")&amp;INDEX(GL_AgeT,17)&amp;" · "&amp;W126))</f>
        <v/>
      </c>
      <c r="Y126" s="20" t="str">
        <f aca="false">IF($Q126="","",G126*1000+IF($D126="legacy",AS_End,INDEX(GL_AgeT,17)))</f>
        <v/>
      </c>
      <c r="Z126" s="24"/>
      <c r="AA126" s="20" t="str">
        <f aca="false">IF($Q126="","",IF(IF(Z126&lt;&gt;"",Z126,IF(AND(WI_M=0,WI_L=0),G126,""))="","",IF(IF(Z126&lt;&gt;"",Z126,G126)&lt;&gt;G126,C126&amp;" goes from "&amp;IF(Z126&lt;&gt;"",Z126,G126)&amp;"% to "&amp;G126&amp;"%","")))</f>
        <v/>
      </c>
      <c r="AB126" s="20" t="str">
        <f aca="false">IF(ISBLANK(L126),IF(AND(Fill_Example="Yes",FALSE()),"",""),L126)</f>
        <v/>
      </c>
    </row>
    <row r="127" customFormat="false" ht="15" hidden="false" customHeight="true" outlineLevel="0" collapsed="false">
      <c r="B127" s="20" t="n">
        <v>18</v>
      </c>
      <c r="C127" s="20" t="str">
        <f aca="false">IF($Q127="","",INDEX(GL_Name,18))</f>
        <v/>
      </c>
      <c r="D127" s="20" t="str">
        <f aca="false">INDEX(GL_Kind,18)</f>
        <v/>
      </c>
      <c r="E127" s="20"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cashflow'!$TS$8:$TS$97,'Plan cashflow'!$C$8:$C$97,1),IF($D127="legacy",INDEX(GL_Amount,18)*(1+AS_Infl)^F_N,0))))</f>
        <v/>
      </c>
      <c r="F127" s="20"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cashflow'!$TT$8:$TT$97,'Plan cashflow'!$C$8:$C$97,1),IF($D127="legacy",MIN(E127,INDEX('Plan cashflow'!$QK$8:$QK$97,F_N+1)+INDEX('Plan cashflow'!$QL$8:$QL$97,F_N+1)),0))))</f>
        <v/>
      </c>
      <c r="G127" s="20" t="str">
        <f aca="false">IF($Q127="","",IF($D127="retire",IF(SUM('Plan cashflow'!$UH$8:$UH$97)&gt;0,MIN(IF(E127&gt;0,IF(F127&gt;=E127-1,100,MIN(PR_PctCap,MAX(0,INT(F127/E127*100)))),100),94),IF(E127&gt;0,IF(F127&gt;=E127-1,100,MIN(PR_PctCap,MAX(0,INT(F127/E127*100)))),100)),IF(E127&gt;0,IF(F127&gt;=E127-1,100,MIN(PR_PctCap,MAX(0,INT(F127/E127*100)))),100)))</f>
        <v/>
      </c>
      <c r="H127" s="20" t="str">
        <f aca="false">IF(G127="","",IF(G127&gt;=PR_Good,"good",IF(G127&gt;=PR_Nudge,"nudge","alert")))</f>
        <v/>
      </c>
      <c r="I127" s="20" t="str">
        <f aca="false">IF(OR($D127="spend",$D127="mfree",$D127="pot"),INDEX(GL_Pos,18),"")</f>
        <v/>
      </c>
      <c r="J127" s="20"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20"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24"/>
      <c r="M127" s="20"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20" t="str">
        <f aca="false">IF($Q127="","",INDEX(GL_AgeT,18))</f>
        <v/>
      </c>
      <c r="O127" s="20" t="str">
        <f aca="false">IF(AND($Q127&lt;&gt;"",G127&gt;=PR_Good,Findings_Over=0),G127*1000000-N127*1000-18,"")</f>
        <v/>
      </c>
      <c r="P127" s="20" t="str">
        <f aca="false">IF($Q127="","",G127*1000000+N127*1000+18)</f>
        <v/>
      </c>
      <c r="Q127" s="20" t="str">
        <f aca="false">INDEX(GL_Key,18)</f>
        <v/>
      </c>
      <c r="R127" s="20" t="n">
        <f aca="false">IF(G127="",0,G127)</f>
        <v>0</v>
      </c>
      <c r="S127" s="20" t="str">
        <f aca="false">IF($Q127="","",IFERROR(INDEX(Goal_Specs,MATCH($Q127,Goal_Keys,0)),""))</f>
        <v/>
      </c>
      <c r="T127" s="20" t="n">
        <f aca="false">IF($Q127="",9999,G127)</f>
        <v>9999</v>
      </c>
      <c r="U127" s="20"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20" t="str">
        <f aca="false">IF(AND($Q127="safety",F_EssM&gt;0,INDEX(GL_Amount,18)&gt;0),ROUND(INDEX(GL_Amount,18)/F_EssM*10,0)/10,"")</f>
        <v/>
      </c>
      <c r="W127" s="20" t="str">
        <f aca="false">IF($Q127="","",AS_Year0+INDEX(GL_AgeT,18)-F_Age)</f>
        <v/>
      </c>
      <c r="X127" s="20" t="str">
        <f aca="false">IF($Q127="","",IF(AND($D127&lt;&gt;"legacy",INDEX(GL_AgeT,18)&lt;F_Age),"Date has passed",IF($D127="retire","Age ","age ")&amp;INDEX(GL_AgeT,18)&amp;" · "&amp;W127))</f>
        <v/>
      </c>
      <c r="Y127" s="20" t="str">
        <f aca="false">IF($Q127="","",G127*1000+IF($D127="legacy",AS_End,INDEX(GL_AgeT,18)))</f>
        <v/>
      </c>
      <c r="Z127" s="24"/>
      <c r="AA127" s="20" t="str">
        <f aca="false">IF($Q127="","",IF(IF(Z127&lt;&gt;"",Z127,IF(AND(WI_M=0,WI_L=0),G127,""))="","",IF(IF(Z127&lt;&gt;"",Z127,G127)&lt;&gt;G127,C127&amp;" goes from "&amp;IF(Z127&lt;&gt;"",Z127,G127)&amp;"% to "&amp;G127&amp;"%","")))</f>
        <v/>
      </c>
      <c r="AB127" s="20" t="str">
        <f aca="false">IF(ISBLANK(L127),IF(AND(Fill_Example="Yes",FALSE()),"",""),L127)</f>
        <v/>
      </c>
    </row>
    <row r="128" customFormat="false" ht="15" hidden="false" customHeight="true" outlineLevel="0" collapsed="false">
      <c r="B128" s="20" t="n">
        <v>19</v>
      </c>
      <c r="C128" s="20" t="str">
        <f aca="false">IF($Q128="","",INDEX(GL_Name,19))</f>
        <v/>
      </c>
      <c r="D128" s="20" t="str">
        <f aca="false">INDEX(GL_Kind,19)</f>
        <v/>
      </c>
      <c r="E128" s="20"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cashflow'!$TS$8:$TS$97,'Plan cashflow'!$C$8:$C$97,1),IF($D128="legacy",INDEX(GL_Amount,19)*(1+AS_Infl)^F_N,0))))</f>
        <v/>
      </c>
      <c r="F128" s="20"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cashflow'!$TT$8:$TT$97,'Plan cashflow'!$C$8:$C$97,1),IF($D128="legacy",MIN(E128,INDEX('Plan cashflow'!$QK$8:$QK$97,F_N+1)+INDEX('Plan cashflow'!$QL$8:$QL$97,F_N+1)),0))))</f>
        <v/>
      </c>
      <c r="G128" s="20" t="str">
        <f aca="false">IF($Q128="","",IF($D128="retire",IF(SUM('Plan cashflow'!$UH$8:$UH$97)&gt;0,MIN(IF(E128&gt;0,IF(F128&gt;=E128-1,100,MIN(PR_PctCap,MAX(0,INT(F128/E128*100)))),100),94),IF(E128&gt;0,IF(F128&gt;=E128-1,100,MIN(PR_PctCap,MAX(0,INT(F128/E128*100)))),100)),IF(E128&gt;0,IF(F128&gt;=E128-1,100,MIN(PR_PctCap,MAX(0,INT(F128/E128*100)))),100)))</f>
        <v/>
      </c>
      <c r="H128" s="20" t="str">
        <f aca="false">IF(G128="","",IF(G128&gt;=PR_Good,"good",IF(G128&gt;=PR_Nudge,"nudge","alert")))</f>
        <v/>
      </c>
      <c r="I128" s="20" t="str">
        <f aca="false">IF(OR($D128="spend",$D128="mfree",$D128="pot"),INDEX(GL_Pos,19),"")</f>
        <v/>
      </c>
      <c r="J128" s="20"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20"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24"/>
      <c r="M128" s="20"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20" t="str">
        <f aca="false">IF($Q128="","",INDEX(GL_AgeT,19))</f>
        <v/>
      </c>
      <c r="O128" s="20" t="str">
        <f aca="false">IF(AND($Q128&lt;&gt;"",G128&gt;=PR_Good,Findings_Over=0),G128*1000000-N128*1000-19,"")</f>
        <v/>
      </c>
      <c r="P128" s="20" t="str">
        <f aca="false">IF($Q128="","",G128*1000000+N128*1000+19)</f>
        <v/>
      </c>
      <c r="Q128" s="20" t="str">
        <f aca="false">INDEX(GL_Key,19)</f>
        <v/>
      </c>
      <c r="R128" s="20" t="n">
        <f aca="false">IF(G128="",0,G128)</f>
        <v>0</v>
      </c>
      <c r="S128" s="20" t="str">
        <f aca="false">IF($Q128="","",IFERROR(INDEX(Goal_Specs,MATCH($Q128,Goal_Keys,0)),""))</f>
        <v/>
      </c>
      <c r="T128" s="20" t="n">
        <f aca="false">IF($Q128="",9999,G128)</f>
        <v>9999</v>
      </c>
      <c r="U128" s="20"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20" t="str">
        <f aca="false">IF(AND($Q128="safety",F_EssM&gt;0,INDEX(GL_Amount,19)&gt;0),ROUND(INDEX(GL_Amount,19)/F_EssM*10,0)/10,"")</f>
        <v/>
      </c>
      <c r="W128" s="20" t="str">
        <f aca="false">IF($Q128="","",AS_Year0+INDEX(GL_AgeT,19)-F_Age)</f>
        <v/>
      </c>
      <c r="X128" s="20" t="str">
        <f aca="false">IF($Q128="","",IF(AND($D128&lt;&gt;"legacy",INDEX(GL_AgeT,19)&lt;F_Age),"Date has passed",IF($D128="retire","Age ","age ")&amp;INDEX(GL_AgeT,19)&amp;" · "&amp;W128))</f>
        <v/>
      </c>
      <c r="Y128" s="20" t="str">
        <f aca="false">IF($Q128="","",G128*1000+IF($D128="legacy",AS_End,INDEX(GL_AgeT,19)))</f>
        <v/>
      </c>
      <c r="Z128" s="24"/>
      <c r="AA128" s="20" t="str">
        <f aca="false">IF($Q128="","",IF(IF(Z128&lt;&gt;"",Z128,IF(AND(WI_M=0,WI_L=0),G128,""))="","",IF(IF(Z128&lt;&gt;"",Z128,G128)&lt;&gt;G128,C128&amp;" goes from "&amp;IF(Z128&lt;&gt;"",Z128,G128)&amp;"% to "&amp;G128&amp;"%","")))</f>
        <v/>
      </c>
      <c r="AB128" s="20" t="str">
        <f aca="false">IF(ISBLANK(L128),IF(AND(Fill_Example="Yes",FALSE()),"",""),L128)</f>
        <v/>
      </c>
    </row>
    <row r="129" customFormat="false" ht="15" hidden="false" customHeight="true" outlineLevel="0" collapsed="false">
      <c r="B129" s="20" t="n">
        <v>20</v>
      </c>
      <c r="C129" s="20" t="str">
        <f aca="false">IF($Q129="","",INDEX(GL_Name,20))</f>
        <v/>
      </c>
      <c r="D129" s="20" t="str">
        <f aca="false">INDEX(GL_Kind,20)</f>
        <v/>
      </c>
      <c r="E129" s="20"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cashflow'!$TS$8:$TS$97,'Plan cashflow'!$C$8:$C$97,1),IF($D129="legacy",INDEX(GL_Amount,20)*(1+AS_Infl)^F_N,0))))</f>
        <v/>
      </c>
      <c r="F129" s="20"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cashflow'!$TT$8:$TT$97,'Plan cashflow'!$C$8:$C$97,1),IF($D129="legacy",MIN(E129,INDEX('Plan cashflow'!$QK$8:$QK$97,F_N+1)+INDEX('Plan cashflow'!$QL$8:$QL$97,F_N+1)),0))))</f>
        <v/>
      </c>
      <c r="G129" s="20" t="str">
        <f aca="false">IF($Q129="","",IF($D129="retire",IF(SUM('Plan cashflow'!$UH$8:$UH$97)&gt;0,MIN(IF(E129&gt;0,IF(F129&gt;=E129-1,100,MIN(PR_PctCap,MAX(0,INT(F129/E129*100)))),100),94),IF(E129&gt;0,IF(F129&gt;=E129-1,100,MIN(PR_PctCap,MAX(0,INT(F129/E129*100)))),100)),IF(E129&gt;0,IF(F129&gt;=E129-1,100,MIN(PR_PctCap,MAX(0,INT(F129/E129*100)))),100)))</f>
        <v/>
      </c>
      <c r="H129" s="20" t="str">
        <f aca="false">IF(G129="","",IF(G129&gt;=PR_Good,"good",IF(G129&gt;=PR_Nudge,"nudge","alert")))</f>
        <v/>
      </c>
      <c r="I129" s="20" t="str">
        <f aca="false">IF(OR($D129="spend",$D129="mfree",$D129="pot"),INDEX(GL_Pos,20),"")</f>
        <v/>
      </c>
      <c r="J129" s="20"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20"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24"/>
      <c r="M129" s="20"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20" t="str">
        <f aca="false">IF($Q129="","",INDEX(GL_AgeT,20))</f>
        <v/>
      </c>
      <c r="O129" s="20" t="str">
        <f aca="false">IF(AND($Q129&lt;&gt;"",G129&gt;=PR_Good,Findings_Over=0),G129*1000000-N129*1000-20,"")</f>
        <v/>
      </c>
      <c r="P129" s="20" t="str">
        <f aca="false">IF($Q129="","",G129*1000000+N129*1000+20)</f>
        <v/>
      </c>
      <c r="Q129" s="20" t="str">
        <f aca="false">INDEX(GL_Key,20)</f>
        <v/>
      </c>
      <c r="R129" s="20" t="n">
        <f aca="false">IF(G129="",0,G129)</f>
        <v>0</v>
      </c>
      <c r="S129" s="20" t="str">
        <f aca="false">IF($Q129="","",IFERROR(INDEX(Goal_Specs,MATCH($Q129,Goal_Keys,0)),""))</f>
        <v/>
      </c>
      <c r="T129" s="20" t="n">
        <f aca="false">IF($Q129="",9999,G129)</f>
        <v>9999</v>
      </c>
      <c r="U129" s="20"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20" t="str">
        <f aca="false">IF(AND($Q129="safety",F_EssM&gt;0,INDEX(GL_Amount,20)&gt;0),ROUND(INDEX(GL_Amount,20)/F_EssM*10,0)/10,"")</f>
        <v/>
      </c>
      <c r="W129" s="20" t="str">
        <f aca="false">IF($Q129="","",AS_Year0+INDEX(GL_AgeT,20)-F_Age)</f>
        <v/>
      </c>
      <c r="X129" s="20" t="str">
        <f aca="false">IF($Q129="","",IF(AND($D129&lt;&gt;"legacy",INDEX(GL_AgeT,20)&lt;F_Age),"Date has passed",IF($D129="retire","Age ","age ")&amp;INDEX(GL_AgeT,20)&amp;" · "&amp;W129))</f>
        <v/>
      </c>
      <c r="Y129" s="20" t="str">
        <f aca="false">IF($Q129="","",G129*1000+IF($D129="legacy",AS_End,INDEX(GL_AgeT,20)))</f>
        <v/>
      </c>
      <c r="Z129" s="24"/>
      <c r="AA129" s="20" t="str">
        <f aca="false">IF($Q129="","",IF(IF(Z129&lt;&gt;"",Z129,IF(AND(WI_M=0,WI_L=0),G129,""))="","",IF(IF(Z129&lt;&gt;"",Z129,G129)&lt;&gt;G129,C129&amp;" goes from "&amp;IF(Z129&lt;&gt;"",Z129,G129)&amp;"% to "&amp;G129&amp;"%","")))</f>
        <v/>
      </c>
      <c r="AB129" s="20" t="str">
        <f aca="false">IF(ISBLANK(L129),IF(AND(Fill_Example="Yes",FALSE()),"",""),L129)</f>
        <v/>
      </c>
    </row>
    <row r="130" customFormat="false" ht="15" hidden="false" customHeight="true" outlineLevel="0" collapsed="false">
      <c r="B130" s="20" t="n">
        <v>21</v>
      </c>
      <c r="C130" s="20" t="str">
        <f aca="false">IF($Q130="","",INDEX(GL_Name,21))</f>
        <v/>
      </c>
      <c r="D130" s="20" t="str">
        <f aca="false">INDEX(GL_Kind,21)</f>
        <v/>
      </c>
      <c r="E130" s="20"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cashflow'!$TS$8:$TS$97,'Plan cashflow'!$C$8:$C$97,1),IF($D130="legacy",INDEX(GL_Amount,21)*(1+AS_Infl)^F_N,0))))</f>
        <v/>
      </c>
      <c r="F130" s="20"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cashflow'!$TT$8:$TT$97,'Plan cashflow'!$C$8:$C$97,1),IF($D130="legacy",MIN(E130,INDEX('Plan cashflow'!$QK$8:$QK$97,F_N+1)+INDEX('Plan cashflow'!$QL$8:$QL$97,F_N+1)),0))))</f>
        <v/>
      </c>
      <c r="G130" s="20" t="str">
        <f aca="false">IF($Q130="","",IF($D130="retire",IF(SUM('Plan cashflow'!$UH$8:$UH$97)&gt;0,MIN(IF(E130&gt;0,IF(F130&gt;=E130-1,100,MIN(PR_PctCap,MAX(0,INT(F130/E130*100)))),100),94),IF(E130&gt;0,IF(F130&gt;=E130-1,100,MIN(PR_PctCap,MAX(0,INT(F130/E130*100)))),100)),IF(E130&gt;0,IF(F130&gt;=E130-1,100,MIN(PR_PctCap,MAX(0,INT(F130/E130*100)))),100)))</f>
        <v/>
      </c>
      <c r="H130" s="20" t="str">
        <f aca="false">IF(G130="","",IF(G130&gt;=PR_Good,"good",IF(G130&gt;=PR_Nudge,"nudge","alert")))</f>
        <v/>
      </c>
      <c r="I130" s="20" t="str">
        <f aca="false">IF(OR($D130="spend",$D130="mfree",$D130="pot"),INDEX(GL_Pos,21),"")</f>
        <v/>
      </c>
      <c r="J130" s="20"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20"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24"/>
      <c r="M130" s="20"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20" t="str">
        <f aca="false">IF($Q130="","",INDEX(GL_AgeT,21))</f>
        <v/>
      </c>
      <c r="O130" s="20" t="str">
        <f aca="false">IF(AND($Q130&lt;&gt;"",G130&gt;=PR_Good,Findings_Over=0),G130*1000000-N130*1000-21,"")</f>
        <v/>
      </c>
      <c r="P130" s="20" t="str">
        <f aca="false">IF($Q130="","",G130*1000000+N130*1000+21)</f>
        <v/>
      </c>
      <c r="Q130" s="20" t="str">
        <f aca="false">INDEX(GL_Key,21)</f>
        <v/>
      </c>
      <c r="R130" s="20" t="n">
        <f aca="false">IF(G130="",0,G130)</f>
        <v>0</v>
      </c>
      <c r="S130" s="20" t="str">
        <f aca="false">IF($Q130="","",IFERROR(INDEX(Goal_Specs,MATCH($Q130,Goal_Keys,0)),""))</f>
        <v/>
      </c>
      <c r="T130" s="20" t="n">
        <f aca="false">IF($Q130="",9999,G130)</f>
        <v>9999</v>
      </c>
      <c r="U130" s="20"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20" t="str">
        <f aca="false">IF(AND($Q130="safety",F_EssM&gt;0,INDEX(GL_Amount,21)&gt;0),ROUND(INDEX(GL_Amount,21)/F_EssM*10,0)/10,"")</f>
        <v/>
      </c>
      <c r="W130" s="20" t="str">
        <f aca="false">IF($Q130="","",AS_Year0+INDEX(GL_AgeT,21)-F_Age)</f>
        <v/>
      </c>
      <c r="X130" s="20" t="str">
        <f aca="false">IF($Q130="","",IF(AND($D130&lt;&gt;"legacy",INDEX(GL_AgeT,21)&lt;F_Age),"Date has passed",IF($D130="retire","Age ","age ")&amp;INDEX(GL_AgeT,21)&amp;" · "&amp;W130))</f>
        <v/>
      </c>
      <c r="Y130" s="20" t="str">
        <f aca="false">IF($Q130="","",G130*1000+IF($D130="legacy",AS_End,INDEX(GL_AgeT,21)))</f>
        <v/>
      </c>
      <c r="Z130" s="24"/>
      <c r="AA130" s="20" t="str">
        <f aca="false">IF($Q130="","",IF(IF(Z130&lt;&gt;"",Z130,IF(AND(WI_M=0,WI_L=0),G130,""))="","",IF(IF(Z130&lt;&gt;"",Z130,G130)&lt;&gt;G130,C130&amp;" goes from "&amp;IF(Z130&lt;&gt;"",Z130,G130)&amp;"% to "&amp;G130&amp;"%","")))</f>
        <v/>
      </c>
      <c r="AB130" s="20" t="str">
        <f aca="false">IF(ISBLANK(L130),IF(AND(Fill_Example="Yes",FALSE()),"",""),L130)</f>
        <v/>
      </c>
    </row>
    <row r="131" customFormat="false" ht="15" hidden="false" customHeight="true" outlineLevel="0" collapsed="false">
      <c r="B131" s="20" t="n">
        <v>22</v>
      </c>
      <c r="C131" s="20" t="str">
        <f aca="false">IF($Q131="","",INDEX(GL_Name,22))</f>
        <v/>
      </c>
      <c r="D131" s="20" t="str">
        <f aca="false">INDEX(GL_Kind,22)</f>
        <v/>
      </c>
      <c r="E131" s="20"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cashflow'!$TS$8:$TS$97,'Plan cashflow'!$C$8:$C$97,1),IF($D131="legacy",INDEX(GL_Amount,22)*(1+AS_Infl)^F_N,0))))</f>
        <v/>
      </c>
      <c r="F131" s="20"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cashflow'!$TT$8:$TT$97,'Plan cashflow'!$C$8:$C$97,1),IF($D131="legacy",MIN(E131,INDEX('Plan cashflow'!$QK$8:$QK$97,F_N+1)+INDEX('Plan cashflow'!$QL$8:$QL$97,F_N+1)),0))))</f>
        <v/>
      </c>
      <c r="G131" s="20" t="str">
        <f aca="false">IF($Q131="","",IF($D131="retire",IF(SUM('Plan cashflow'!$UH$8:$UH$97)&gt;0,MIN(IF(E131&gt;0,IF(F131&gt;=E131-1,100,MIN(PR_PctCap,MAX(0,INT(F131/E131*100)))),100),94),IF(E131&gt;0,IF(F131&gt;=E131-1,100,MIN(PR_PctCap,MAX(0,INT(F131/E131*100)))),100)),IF(E131&gt;0,IF(F131&gt;=E131-1,100,MIN(PR_PctCap,MAX(0,INT(F131/E131*100)))),100)))</f>
        <v/>
      </c>
      <c r="H131" s="20" t="str">
        <f aca="false">IF(G131="","",IF(G131&gt;=PR_Good,"good",IF(G131&gt;=PR_Nudge,"nudge","alert")))</f>
        <v/>
      </c>
      <c r="I131" s="20" t="str">
        <f aca="false">IF(OR($D131="spend",$D131="mfree",$D131="pot"),INDEX(GL_Pos,22),"")</f>
        <v/>
      </c>
      <c r="J131" s="20"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20"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24"/>
      <c r="M131" s="20"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20" t="str">
        <f aca="false">IF($Q131="","",INDEX(GL_AgeT,22))</f>
        <v/>
      </c>
      <c r="O131" s="20" t="str">
        <f aca="false">IF(AND($Q131&lt;&gt;"",G131&gt;=PR_Good,Findings_Over=0),G131*1000000-N131*1000-22,"")</f>
        <v/>
      </c>
      <c r="P131" s="20" t="str">
        <f aca="false">IF($Q131="","",G131*1000000+N131*1000+22)</f>
        <v/>
      </c>
      <c r="Q131" s="20" t="str">
        <f aca="false">INDEX(GL_Key,22)</f>
        <v/>
      </c>
      <c r="R131" s="20" t="n">
        <f aca="false">IF(G131="",0,G131)</f>
        <v>0</v>
      </c>
      <c r="S131" s="20" t="str">
        <f aca="false">IF($Q131="","",IFERROR(INDEX(Goal_Specs,MATCH($Q131,Goal_Keys,0)),""))</f>
        <v/>
      </c>
      <c r="T131" s="20" t="n">
        <f aca="false">IF($Q131="",9999,G131)</f>
        <v>9999</v>
      </c>
      <c r="U131" s="20"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20" t="str">
        <f aca="false">IF(AND($Q131="safety",F_EssM&gt;0,INDEX(GL_Amount,22)&gt;0),ROUND(INDEX(GL_Amount,22)/F_EssM*10,0)/10,"")</f>
        <v/>
      </c>
      <c r="W131" s="20" t="str">
        <f aca="false">IF($Q131="","",AS_Year0+INDEX(GL_AgeT,22)-F_Age)</f>
        <v/>
      </c>
      <c r="X131" s="20" t="str">
        <f aca="false">IF($Q131="","",IF(AND($D131&lt;&gt;"legacy",INDEX(GL_AgeT,22)&lt;F_Age),"Date has passed",IF($D131="retire","Age ","age ")&amp;INDEX(GL_AgeT,22)&amp;" · "&amp;W131))</f>
        <v/>
      </c>
      <c r="Y131" s="20" t="str">
        <f aca="false">IF($Q131="","",G131*1000+IF($D131="legacy",AS_End,INDEX(GL_AgeT,22)))</f>
        <v/>
      </c>
      <c r="Z131" s="24"/>
      <c r="AA131" s="20" t="str">
        <f aca="false">IF($Q131="","",IF(IF(Z131&lt;&gt;"",Z131,IF(AND(WI_M=0,WI_L=0),G131,""))="","",IF(IF(Z131&lt;&gt;"",Z131,G131)&lt;&gt;G131,C131&amp;" goes from "&amp;IF(Z131&lt;&gt;"",Z131,G131)&amp;"% to "&amp;G131&amp;"%","")))</f>
        <v/>
      </c>
      <c r="AB131" s="20"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UN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0" width="6"/>
    <col collapsed="false" customWidth="true" hidden="false" outlineLevel="0" max="4" min="3" style="20" width="7"/>
    <col collapsed="false" customWidth="true" hidden="false" outlineLevel="0" max="5" min="5" style="20" width="48.59"/>
    <col collapsed="false" customWidth="true" hidden="false" outlineLevel="0" max="6" min="6" style="20" width="11"/>
    <col collapsed="false" customWidth="true" hidden="false" outlineLevel="0" max="7" min="7" style="20" width="7"/>
    <col collapsed="false" customWidth="true" hidden="false" outlineLevel="0" max="20" min="8" style="20" width="11"/>
    <col collapsed="false" customWidth="true" hidden="false" outlineLevel="0" max="23" min="21" style="20" width="7"/>
    <col collapsed="false" customWidth="true" hidden="false" outlineLevel="0" max="32" min="24" style="20" width="11"/>
    <col collapsed="false" customWidth="true" hidden="false" outlineLevel="0" max="34" min="33" style="20" width="7"/>
    <col collapsed="false" customWidth="true" hidden="false" outlineLevel="0" max="42" min="35" style="20" width="11"/>
    <col collapsed="false" customWidth="true" hidden="false" outlineLevel="0" max="44" min="43" style="20" width="7"/>
    <col collapsed="false" customWidth="true" hidden="false" outlineLevel="0" max="52" min="45" style="20" width="11"/>
    <col collapsed="false" customWidth="true" hidden="false" outlineLevel="0" max="54" min="53" style="20" width="7"/>
    <col collapsed="false" customWidth="true" hidden="false" outlineLevel="0" max="62" min="55" style="20" width="11"/>
    <col collapsed="false" customWidth="true" hidden="false" outlineLevel="0" max="64" min="63" style="20" width="7"/>
    <col collapsed="false" customWidth="true" hidden="false" outlineLevel="0" max="72" min="65" style="20" width="11"/>
    <col collapsed="false" customWidth="true" hidden="false" outlineLevel="0" max="74" min="73" style="20" width="7"/>
    <col collapsed="false" customWidth="true" hidden="false" outlineLevel="0" max="82" min="75" style="20" width="11"/>
    <col collapsed="false" customWidth="true" hidden="false" outlineLevel="0" max="84" min="83" style="20" width="7"/>
    <col collapsed="false" customWidth="true" hidden="false" outlineLevel="0" max="92" min="85" style="20" width="11"/>
    <col collapsed="false" customWidth="true" hidden="false" outlineLevel="0" max="94" min="93" style="20" width="7"/>
    <col collapsed="false" customWidth="true" hidden="false" outlineLevel="0" max="102" min="95" style="20" width="11"/>
    <col collapsed="false" customWidth="true" hidden="false" outlineLevel="0" max="104" min="103" style="20" width="7"/>
    <col collapsed="false" customWidth="true" hidden="false" outlineLevel="0" max="112" min="105" style="20" width="11"/>
    <col collapsed="false" customWidth="true" hidden="false" outlineLevel="0" max="114" min="113" style="20" width="7"/>
    <col collapsed="false" customWidth="true" hidden="false" outlineLevel="0" max="122" min="115" style="20" width="11"/>
    <col collapsed="false" customWidth="true" hidden="false" outlineLevel="0" max="124" min="123" style="20" width="7"/>
    <col collapsed="false" customWidth="true" hidden="false" outlineLevel="0" max="132" min="125" style="20" width="11"/>
    <col collapsed="false" customWidth="true" hidden="false" outlineLevel="0" max="134" min="133" style="20" width="7"/>
    <col collapsed="false" customWidth="true" hidden="false" outlineLevel="0" max="142" min="135" style="20" width="11"/>
    <col collapsed="false" customWidth="true" hidden="false" outlineLevel="0" max="144" min="143" style="20" width="7"/>
    <col collapsed="false" customWidth="true" hidden="false" outlineLevel="0" max="152" min="145" style="20" width="11"/>
    <col collapsed="false" customWidth="true" hidden="false" outlineLevel="0" max="154" min="153" style="20" width="7"/>
    <col collapsed="false" customWidth="true" hidden="false" outlineLevel="0" max="162" min="155" style="20" width="11"/>
    <col collapsed="false" customWidth="true" hidden="false" outlineLevel="0" max="164" min="163" style="20" width="7"/>
    <col collapsed="false" customWidth="true" hidden="false" outlineLevel="0" max="172" min="165" style="20" width="11"/>
    <col collapsed="false" customWidth="true" hidden="false" outlineLevel="0" max="174" min="173" style="20" width="7"/>
    <col collapsed="false" customWidth="true" hidden="false" outlineLevel="0" max="182" min="175" style="20" width="11"/>
    <col collapsed="false" customWidth="true" hidden="false" outlineLevel="0" max="184" min="183" style="20" width="7"/>
    <col collapsed="false" customWidth="true" hidden="false" outlineLevel="0" max="192" min="185" style="20" width="11"/>
    <col collapsed="false" customWidth="true" hidden="false" outlineLevel="0" max="194" min="193" style="20" width="7"/>
    <col collapsed="false" customWidth="true" hidden="false" outlineLevel="0" max="202" min="195" style="20" width="11"/>
    <col collapsed="false" customWidth="true" hidden="false" outlineLevel="0" max="204" min="203" style="20" width="7"/>
    <col collapsed="false" customWidth="true" hidden="false" outlineLevel="0" max="212" min="205" style="20" width="11"/>
    <col collapsed="false" customWidth="true" hidden="false" outlineLevel="0" max="214" min="213" style="20" width="7"/>
    <col collapsed="false" customWidth="true" hidden="false" outlineLevel="0" max="228" min="215" style="20" width="11"/>
    <col collapsed="false" customWidth="true" hidden="false" outlineLevel="0" max="229" min="229" style="20" width="7"/>
    <col collapsed="false" customWidth="true" hidden="false" outlineLevel="0" max="231" min="230" style="20" width="11"/>
    <col collapsed="false" customWidth="true" hidden="false" outlineLevel="0" max="232" min="232" style="20" width="7"/>
    <col collapsed="false" customWidth="true" hidden="false" outlineLevel="0" max="235" min="233" style="20" width="11"/>
    <col collapsed="false" customWidth="true" hidden="false" outlineLevel="0" max="236" min="236" style="20" width="7"/>
    <col collapsed="false" customWidth="true" hidden="false" outlineLevel="0" max="537" min="237" style="20" width="11"/>
    <col collapsed="false" customWidth="true" hidden="false" outlineLevel="0" max="538" min="538" style="20" width="7"/>
    <col collapsed="false" customWidth="true" hidden="false" outlineLevel="0" max="541" min="539" style="20" width="11"/>
    <col collapsed="false" customWidth="true" hidden="false" outlineLevel="0" max="542" min="542" style="20" width="7"/>
    <col collapsed="false" customWidth="true" hidden="false" outlineLevel="0" max="545" min="543" style="20" width="11"/>
    <col collapsed="false" customWidth="true" hidden="false" outlineLevel="0" max="549" min="546" style="20" width="7"/>
    <col collapsed="false" customWidth="true" hidden="false" outlineLevel="0" max="550" min="550" style="20" width="24"/>
    <col collapsed="false" customWidth="true" hidden="false" outlineLevel="0" max="556" min="551" style="20" width="7"/>
    <col collapsed="false" customWidth="true" hidden="false" outlineLevel="0" max="560" min="557" style="0" width="12"/>
  </cols>
  <sheetData>
    <row r="1" customFormat="false" ht="17.25" hidden="false" customHeight="true" outlineLevel="0" collapsed="false">
      <c r="B1" s="21" t="s">
        <v>1760</v>
      </c>
    </row>
    <row r="2" customFormat="false" ht="48" hidden="false" customHeight="true" outlineLevel="0" collapsed="false">
      <c r="B2" s="2" t="s">
        <v>1761</v>
      </c>
      <c r="C2" s="2"/>
      <c r="D2" s="2"/>
      <c r="E2" s="2"/>
      <c r="F2" s="2"/>
      <c r="G2" s="2"/>
      <c r="H2" s="2"/>
      <c r="I2" s="2"/>
      <c r="J2" s="2"/>
      <c r="K2" s="2"/>
      <c r="L2" s="2"/>
      <c r="M2" s="2"/>
    </row>
    <row r="6" customFormat="false" ht="122.25" hidden="false" customHeight="true" outlineLevel="0" collapsed="false">
      <c r="A6" s="23" t="s">
        <v>1559</v>
      </c>
      <c r="B6" s="33" t="s">
        <v>1560</v>
      </c>
      <c r="C6" s="33" t="s">
        <v>1762</v>
      </c>
      <c r="D6" s="33" t="s">
        <v>1499</v>
      </c>
      <c r="E6" s="33" t="s">
        <v>1763</v>
      </c>
      <c r="F6" s="33" t="s">
        <v>1562</v>
      </c>
      <c r="G6" s="33" t="s">
        <v>1564</v>
      </c>
      <c r="H6" s="33" t="s">
        <v>1764</v>
      </c>
      <c r="I6" s="33" t="s">
        <v>1765</v>
      </c>
      <c r="J6" s="33" t="s">
        <v>1766</v>
      </c>
      <c r="K6" s="33" t="s">
        <v>1767</v>
      </c>
      <c r="L6" s="33" t="s">
        <v>1768</v>
      </c>
      <c r="M6" s="33" t="s">
        <v>1769</v>
      </c>
      <c r="N6" s="33" t="s">
        <v>1770</v>
      </c>
      <c r="O6" s="33" t="s">
        <v>1771</v>
      </c>
      <c r="P6" s="33" t="s">
        <v>1772</v>
      </c>
      <c r="Q6" s="33" t="s">
        <v>1773</v>
      </c>
      <c r="R6" s="33" t="s">
        <v>1774</v>
      </c>
      <c r="S6" s="33" t="s">
        <v>1775</v>
      </c>
      <c r="T6" s="33" t="s">
        <v>1776</v>
      </c>
      <c r="U6" s="33" t="s">
        <v>1777</v>
      </c>
      <c r="V6" s="33" t="s">
        <v>1778</v>
      </c>
      <c r="W6" s="33" t="s">
        <v>1779</v>
      </c>
      <c r="X6" s="33" t="s">
        <v>1780</v>
      </c>
      <c r="Y6" s="33" t="s">
        <v>1781</v>
      </c>
      <c r="Z6" s="33" t="s">
        <v>1782</v>
      </c>
      <c r="AA6" s="33" t="s">
        <v>1783</v>
      </c>
      <c r="AB6" s="33" t="s">
        <v>1784</v>
      </c>
      <c r="AC6" s="33" t="s">
        <v>1785</v>
      </c>
      <c r="AD6" s="33" t="s">
        <v>1786</v>
      </c>
      <c r="AE6" s="33" t="s">
        <v>1787</v>
      </c>
      <c r="AF6" s="33" t="s">
        <v>1788</v>
      </c>
      <c r="AG6" s="33" t="s">
        <v>1789</v>
      </c>
      <c r="AH6" s="33" t="s">
        <v>1790</v>
      </c>
      <c r="AI6" s="33" t="s">
        <v>1791</v>
      </c>
      <c r="AJ6" s="33" t="s">
        <v>1792</v>
      </c>
      <c r="AK6" s="33" t="s">
        <v>1793</v>
      </c>
      <c r="AL6" s="33" t="s">
        <v>1794</v>
      </c>
      <c r="AM6" s="33" t="s">
        <v>1795</v>
      </c>
      <c r="AN6" s="33" t="s">
        <v>1796</v>
      </c>
      <c r="AO6" s="33" t="s">
        <v>1797</v>
      </c>
      <c r="AP6" s="33" t="s">
        <v>1798</v>
      </c>
      <c r="AQ6" s="33" t="s">
        <v>1799</v>
      </c>
      <c r="AR6" s="33" t="s">
        <v>1800</v>
      </c>
      <c r="AS6" s="33" t="s">
        <v>1801</v>
      </c>
      <c r="AT6" s="33" t="s">
        <v>1802</v>
      </c>
      <c r="AU6" s="33" t="s">
        <v>1803</v>
      </c>
      <c r="AV6" s="33" t="s">
        <v>1804</v>
      </c>
      <c r="AW6" s="33" t="s">
        <v>1805</v>
      </c>
      <c r="AX6" s="33" t="s">
        <v>1806</v>
      </c>
      <c r="AY6" s="33" t="s">
        <v>1807</v>
      </c>
      <c r="AZ6" s="33" t="s">
        <v>1808</v>
      </c>
      <c r="BA6" s="33" t="s">
        <v>1809</v>
      </c>
      <c r="BB6" s="33" t="s">
        <v>1810</v>
      </c>
      <c r="BC6" s="33" t="s">
        <v>1811</v>
      </c>
      <c r="BD6" s="33" t="s">
        <v>1812</v>
      </c>
      <c r="BE6" s="33" t="s">
        <v>1813</v>
      </c>
      <c r="BF6" s="33" t="s">
        <v>1814</v>
      </c>
      <c r="BG6" s="33" t="s">
        <v>1815</v>
      </c>
      <c r="BH6" s="33" t="s">
        <v>1816</v>
      </c>
      <c r="BI6" s="33" t="s">
        <v>1817</v>
      </c>
      <c r="BJ6" s="33" t="s">
        <v>1818</v>
      </c>
      <c r="BK6" s="33" t="s">
        <v>1819</v>
      </c>
      <c r="BL6" s="33" t="s">
        <v>1820</v>
      </c>
      <c r="BM6" s="33" t="s">
        <v>1821</v>
      </c>
      <c r="BN6" s="33" t="s">
        <v>1822</v>
      </c>
      <c r="BO6" s="33" t="s">
        <v>1823</v>
      </c>
      <c r="BP6" s="33" t="s">
        <v>1824</v>
      </c>
      <c r="BQ6" s="33" t="s">
        <v>1825</v>
      </c>
      <c r="BR6" s="33" t="s">
        <v>1826</v>
      </c>
      <c r="BS6" s="33" t="s">
        <v>1827</v>
      </c>
      <c r="BT6" s="33" t="s">
        <v>1828</v>
      </c>
      <c r="BU6" s="33" t="s">
        <v>1829</v>
      </c>
      <c r="BV6" s="33" t="s">
        <v>1830</v>
      </c>
      <c r="BW6" s="33" t="s">
        <v>1831</v>
      </c>
      <c r="BX6" s="33" t="s">
        <v>1832</v>
      </c>
      <c r="BY6" s="33" t="s">
        <v>1833</v>
      </c>
      <c r="BZ6" s="33" t="s">
        <v>1834</v>
      </c>
      <c r="CA6" s="33" t="s">
        <v>1835</v>
      </c>
      <c r="CB6" s="33" t="s">
        <v>1836</v>
      </c>
      <c r="CC6" s="33" t="s">
        <v>1837</v>
      </c>
      <c r="CD6" s="33" t="s">
        <v>1838</v>
      </c>
      <c r="CE6" s="33" t="s">
        <v>1839</v>
      </c>
      <c r="CF6" s="33" t="s">
        <v>1840</v>
      </c>
      <c r="CG6" s="33" t="s">
        <v>1841</v>
      </c>
      <c r="CH6" s="33" t="s">
        <v>1842</v>
      </c>
      <c r="CI6" s="33" t="s">
        <v>1843</v>
      </c>
      <c r="CJ6" s="33" t="s">
        <v>1844</v>
      </c>
      <c r="CK6" s="33" t="s">
        <v>1845</v>
      </c>
      <c r="CL6" s="33" t="s">
        <v>1846</v>
      </c>
      <c r="CM6" s="33" t="s">
        <v>1847</v>
      </c>
      <c r="CN6" s="33" t="s">
        <v>1848</v>
      </c>
      <c r="CO6" s="33" t="s">
        <v>1849</v>
      </c>
      <c r="CP6" s="33" t="s">
        <v>1850</v>
      </c>
      <c r="CQ6" s="33" t="s">
        <v>1851</v>
      </c>
      <c r="CR6" s="33" t="s">
        <v>1852</v>
      </c>
      <c r="CS6" s="33" t="s">
        <v>1853</v>
      </c>
      <c r="CT6" s="33" t="s">
        <v>1854</v>
      </c>
      <c r="CU6" s="33" t="s">
        <v>1855</v>
      </c>
      <c r="CV6" s="33" t="s">
        <v>1856</v>
      </c>
      <c r="CW6" s="33" t="s">
        <v>1857</v>
      </c>
      <c r="CX6" s="33" t="s">
        <v>1858</v>
      </c>
      <c r="CY6" s="33" t="s">
        <v>1859</v>
      </c>
      <c r="CZ6" s="33" t="s">
        <v>1860</v>
      </c>
      <c r="DA6" s="33" t="s">
        <v>1861</v>
      </c>
      <c r="DB6" s="33" t="s">
        <v>1862</v>
      </c>
      <c r="DC6" s="33" t="s">
        <v>1863</v>
      </c>
      <c r="DD6" s="33" t="s">
        <v>1864</v>
      </c>
      <c r="DE6" s="33" t="s">
        <v>1865</v>
      </c>
      <c r="DF6" s="33" t="s">
        <v>1866</v>
      </c>
      <c r="DG6" s="33" t="s">
        <v>1867</v>
      </c>
      <c r="DH6" s="33" t="s">
        <v>1868</v>
      </c>
      <c r="DI6" s="33" t="s">
        <v>1869</v>
      </c>
      <c r="DJ6" s="33" t="s">
        <v>1870</v>
      </c>
      <c r="DK6" s="33" t="s">
        <v>1871</v>
      </c>
      <c r="DL6" s="33" t="s">
        <v>1872</v>
      </c>
      <c r="DM6" s="33" t="s">
        <v>1873</v>
      </c>
      <c r="DN6" s="33" t="s">
        <v>1874</v>
      </c>
      <c r="DO6" s="33" t="s">
        <v>1875</v>
      </c>
      <c r="DP6" s="33" t="s">
        <v>1876</v>
      </c>
      <c r="DQ6" s="33" t="s">
        <v>1877</v>
      </c>
      <c r="DR6" s="33" t="s">
        <v>1878</v>
      </c>
      <c r="DS6" s="33" t="s">
        <v>1879</v>
      </c>
      <c r="DT6" s="33" t="s">
        <v>1880</v>
      </c>
      <c r="DU6" s="33" t="s">
        <v>1881</v>
      </c>
      <c r="DV6" s="33" t="s">
        <v>1882</v>
      </c>
      <c r="DW6" s="33" t="s">
        <v>1883</v>
      </c>
      <c r="DX6" s="33" t="s">
        <v>1884</v>
      </c>
      <c r="DY6" s="33" t="s">
        <v>1885</v>
      </c>
      <c r="DZ6" s="33" t="s">
        <v>1886</v>
      </c>
      <c r="EA6" s="33" t="s">
        <v>1887</v>
      </c>
      <c r="EB6" s="33" t="s">
        <v>1888</v>
      </c>
      <c r="EC6" s="33" t="s">
        <v>1889</v>
      </c>
      <c r="ED6" s="33" t="s">
        <v>1890</v>
      </c>
      <c r="EE6" s="33" t="s">
        <v>1891</v>
      </c>
      <c r="EF6" s="33" t="s">
        <v>1892</v>
      </c>
      <c r="EG6" s="33" t="s">
        <v>1893</v>
      </c>
      <c r="EH6" s="33" t="s">
        <v>1894</v>
      </c>
      <c r="EI6" s="33" t="s">
        <v>1895</v>
      </c>
      <c r="EJ6" s="33" t="s">
        <v>1896</v>
      </c>
      <c r="EK6" s="33" t="s">
        <v>1897</v>
      </c>
      <c r="EL6" s="33" t="s">
        <v>1898</v>
      </c>
      <c r="EM6" s="33" t="s">
        <v>1899</v>
      </c>
      <c r="EN6" s="33" t="s">
        <v>1900</v>
      </c>
      <c r="EO6" s="33" t="s">
        <v>1901</v>
      </c>
      <c r="EP6" s="33" t="s">
        <v>1902</v>
      </c>
      <c r="EQ6" s="33" t="s">
        <v>1903</v>
      </c>
      <c r="ER6" s="33" t="s">
        <v>1904</v>
      </c>
      <c r="ES6" s="33" t="s">
        <v>1905</v>
      </c>
      <c r="ET6" s="33" t="s">
        <v>1906</v>
      </c>
      <c r="EU6" s="33" t="s">
        <v>1907</v>
      </c>
      <c r="EV6" s="33" t="s">
        <v>1908</v>
      </c>
      <c r="EW6" s="33" t="s">
        <v>1909</v>
      </c>
      <c r="EX6" s="33" t="s">
        <v>1910</v>
      </c>
      <c r="EY6" s="33" t="s">
        <v>1911</v>
      </c>
      <c r="EZ6" s="33" t="s">
        <v>1912</v>
      </c>
      <c r="FA6" s="33" t="s">
        <v>1913</v>
      </c>
      <c r="FB6" s="33" t="s">
        <v>1914</v>
      </c>
      <c r="FC6" s="33" t="s">
        <v>1915</v>
      </c>
      <c r="FD6" s="33" t="s">
        <v>1916</v>
      </c>
      <c r="FE6" s="33" t="s">
        <v>1917</v>
      </c>
      <c r="FF6" s="33" t="s">
        <v>1918</v>
      </c>
      <c r="FG6" s="33" t="s">
        <v>1919</v>
      </c>
      <c r="FH6" s="33" t="s">
        <v>1920</v>
      </c>
      <c r="FI6" s="33" t="s">
        <v>1921</v>
      </c>
      <c r="FJ6" s="33" t="s">
        <v>1922</v>
      </c>
      <c r="FK6" s="33" t="s">
        <v>1923</v>
      </c>
      <c r="FL6" s="33" t="s">
        <v>1924</v>
      </c>
      <c r="FM6" s="33" t="s">
        <v>1925</v>
      </c>
      <c r="FN6" s="33" t="s">
        <v>1926</v>
      </c>
      <c r="FO6" s="33" t="s">
        <v>1927</v>
      </c>
      <c r="FP6" s="33" t="s">
        <v>1928</v>
      </c>
      <c r="FQ6" s="33" t="s">
        <v>1929</v>
      </c>
      <c r="FR6" s="33" t="s">
        <v>1930</v>
      </c>
      <c r="FS6" s="33" t="s">
        <v>1931</v>
      </c>
      <c r="FT6" s="33" t="s">
        <v>1932</v>
      </c>
      <c r="FU6" s="33" t="s">
        <v>1933</v>
      </c>
      <c r="FV6" s="33" t="s">
        <v>1934</v>
      </c>
      <c r="FW6" s="33" t="s">
        <v>1935</v>
      </c>
      <c r="FX6" s="33" t="s">
        <v>1936</v>
      </c>
      <c r="FY6" s="33" t="s">
        <v>1937</v>
      </c>
      <c r="FZ6" s="33" t="s">
        <v>1938</v>
      </c>
      <c r="GA6" s="33" t="s">
        <v>1939</v>
      </c>
      <c r="GB6" s="33" t="s">
        <v>1940</v>
      </c>
      <c r="GC6" s="33" t="s">
        <v>1941</v>
      </c>
      <c r="GD6" s="33" t="s">
        <v>1942</v>
      </c>
      <c r="GE6" s="33" t="s">
        <v>1943</v>
      </c>
      <c r="GF6" s="33" t="s">
        <v>1944</v>
      </c>
      <c r="GG6" s="33" t="s">
        <v>1945</v>
      </c>
      <c r="GH6" s="33" t="s">
        <v>1946</v>
      </c>
      <c r="GI6" s="33" t="s">
        <v>1947</v>
      </c>
      <c r="GJ6" s="33" t="s">
        <v>1948</v>
      </c>
      <c r="GK6" s="33" t="s">
        <v>1949</v>
      </c>
      <c r="GL6" s="33" t="s">
        <v>1950</v>
      </c>
      <c r="GM6" s="33" t="s">
        <v>1951</v>
      </c>
      <c r="GN6" s="33" t="s">
        <v>1952</v>
      </c>
      <c r="GO6" s="33" t="s">
        <v>1953</v>
      </c>
      <c r="GP6" s="33" t="s">
        <v>1954</v>
      </c>
      <c r="GQ6" s="33" t="s">
        <v>1955</v>
      </c>
      <c r="GR6" s="33" t="s">
        <v>1956</v>
      </c>
      <c r="GS6" s="33" t="s">
        <v>1957</v>
      </c>
      <c r="GT6" s="33" t="s">
        <v>1958</v>
      </c>
      <c r="GU6" s="33" t="s">
        <v>1959</v>
      </c>
      <c r="GV6" s="33" t="s">
        <v>1960</v>
      </c>
      <c r="GW6" s="33" t="s">
        <v>1961</v>
      </c>
      <c r="GX6" s="33" t="s">
        <v>1962</v>
      </c>
      <c r="GY6" s="33" t="s">
        <v>1963</v>
      </c>
      <c r="GZ6" s="33" t="s">
        <v>1964</v>
      </c>
      <c r="HA6" s="33" t="s">
        <v>1965</v>
      </c>
      <c r="HB6" s="33" t="s">
        <v>1966</v>
      </c>
      <c r="HC6" s="33" t="s">
        <v>1967</v>
      </c>
      <c r="HD6" s="33" t="s">
        <v>1968</v>
      </c>
      <c r="HE6" s="33" t="s">
        <v>1969</v>
      </c>
      <c r="HF6" s="33" t="s">
        <v>1970</v>
      </c>
      <c r="HG6" s="33" t="s">
        <v>1971</v>
      </c>
      <c r="HH6" s="33" t="s">
        <v>1972</v>
      </c>
      <c r="HI6" s="33" t="s">
        <v>1973</v>
      </c>
      <c r="HJ6" s="33" t="s">
        <v>1974</v>
      </c>
      <c r="HK6" s="33" t="s">
        <v>1975</v>
      </c>
      <c r="HL6" s="33" t="s">
        <v>1976</v>
      </c>
      <c r="HM6" s="33" t="s">
        <v>1977</v>
      </c>
      <c r="HN6" s="33" t="s">
        <v>1978</v>
      </c>
      <c r="HO6" s="33" t="s">
        <v>1979</v>
      </c>
      <c r="HP6" s="33" t="s">
        <v>1980</v>
      </c>
      <c r="HQ6" s="33" t="s">
        <v>1981</v>
      </c>
      <c r="HR6" s="33" t="s">
        <v>1982</v>
      </c>
      <c r="HS6" s="33" t="s">
        <v>1983</v>
      </c>
      <c r="HT6" s="33" t="s">
        <v>1984</v>
      </c>
      <c r="HU6" s="33" t="s">
        <v>1985</v>
      </c>
      <c r="HV6" s="33" t="s">
        <v>1986</v>
      </c>
      <c r="HW6" s="33" t="s">
        <v>1987</v>
      </c>
      <c r="HX6" s="33" t="s">
        <v>1988</v>
      </c>
      <c r="HY6" s="33" t="s">
        <v>1989</v>
      </c>
      <c r="HZ6" s="33" t="s">
        <v>1990</v>
      </c>
      <c r="IA6" s="33" t="s">
        <v>1991</v>
      </c>
      <c r="IB6" s="33" t="s">
        <v>1992</v>
      </c>
      <c r="IC6" s="33" t="s">
        <v>1993</v>
      </c>
      <c r="ID6" s="33" t="s">
        <v>1994</v>
      </c>
      <c r="IE6" s="33" t="s">
        <v>1995</v>
      </c>
      <c r="IF6" s="33" t="s">
        <v>1996</v>
      </c>
      <c r="IG6" s="33" t="s">
        <v>1997</v>
      </c>
      <c r="IH6" s="33" t="s">
        <v>1998</v>
      </c>
      <c r="II6" s="33" t="s">
        <v>1999</v>
      </c>
      <c r="IJ6" s="33" t="s">
        <v>2000</v>
      </c>
      <c r="IK6" s="33" t="s">
        <v>2001</v>
      </c>
      <c r="IL6" s="33" t="s">
        <v>2002</v>
      </c>
      <c r="IM6" s="33" t="s">
        <v>2003</v>
      </c>
      <c r="IN6" s="33" t="s">
        <v>2004</v>
      </c>
      <c r="IO6" s="33" t="s">
        <v>2005</v>
      </c>
      <c r="IP6" s="33" t="s">
        <v>2006</v>
      </c>
      <c r="IQ6" s="33" t="s">
        <v>2007</v>
      </c>
      <c r="IR6" s="33" t="s">
        <v>2008</v>
      </c>
      <c r="IS6" s="33" t="s">
        <v>2009</v>
      </c>
      <c r="IT6" s="33" t="s">
        <v>2010</v>
      </c>
      <c r="IU6" s="33" t="s">
        <v>2011</v>
      </c>
      <c r="IV6" s="33" t="s">
        <v>2012</v>
      </c>
      <c r="IW6" s="33" t="s">
        <v>2013</v>
      </c>
      <c r="IX6" s="33" t="s">
        <v>2014</v>
      </c>
      <c r="IY6" s="33" t="s">
        <v>2015</v>
      </c>
      <c r="IZ6" s="33" t="s">
        <v>2016</v>
      </c>
      <c r="JA6" s="33" t="s">
        <v>2017</v>
      </c>
      <c r="JB6" s="33" t="s">
        <v>2018</v>
      </c>
      <c r="JC6" s="33" t="s">
        <v>2019</v>
      </c>
      <c r="JD6" s="33" t="s">
        <v>2020</v>
      </c>
      <c r="JE6" s="33" t="s">
        <v>2021</v>
      </c>
      <c r="JF6" s="33" t="s">
        <v>2022</v>
      </c>
      <c r="JG6" s="33" t="s">
        <v>2023</v>
      </c>
      <c r="JH6" s="33" t="s">
        <v>2024</v>
      </c>
      <c r="JI6" s="33" t="s">
        <v>2025</v>
      </c>
      <c r="JJ6" s="33" t="s">
        <v>2026</v>
      </c>
      <c r="JK6" s="33" t="s">
        <v>2027</v>
      </c>
      <c r="JL6" s="33" t="s">
        <v>2028</v>
      </c>
      <c r="JM6" s="33" t="s">
        <v>2029</v>
      </c>
      <c r="JN6" s="33" t="s">
        <v>2030</v>
      </c>
      <c r="JO6" s="33" t="s">
        <v>2031</v>
      </c>
      <c r="JP6" s="33" t="s">
        <v>2032</v>
      </c>
      <c r="JQ6" s="33" t="s">
        <v>2033</v>
      </c>
      <c r="JR6" s="33" t="s">
        <v>2034</v>
      </c>
      <c r="JS6" s="33" t="s">
        <v>2035</v>
      </c>
      <c r="JT6" s="33" t="s">
        <v>2036</v>
      </c>
      <c r="JU6" s="33" t="s">
        <v>2037</v>
      </c>
      <c r="JV6" s="33" t="s">
        <v>2038</v>
      </c>
      <c r="JW6" s="33" t="s">
        <v>2039</v>
      </c>
      <c r="JX6" s="33" t="s">
        <v>2040</v>
      </c>
      <c r="JY6" s="33" t="s">
        <v>2041</v>
      </c>
      <c r="JZ6" s="33" t="s">
        <v>2042</v>
      </c>
      <c r="KA6" s="33" t="s">
        <v>2043</v>
      </c>
      <c r="KB6" s="33" t="s">
        <v>2044</v>
      </c>
      <c r="KC6" s="33" t="s">
        <v>2045</v>
      </c>
      <c r="KD6" s="33" t="s">
        <v>2046</v>
      </c>
      <c r="KE6" s="33" t="s">
        <v>2047</v>
      </c>
      <c r="KF6" s="33" t="s">
        <v>2048</v>
      </c>
      <c r="KG6" s="33" t="s">
        <v>2049</v>
      </c>
      <c r="KH6" s="33" t="s">
        <v>2050</v>
      </c>
      <c r="KI6" s="33" t="s">
        <v>2051</v>
      </c>
      <c r="KJ6" s="33" t="s">
        <v>2052</v>
      </c>
      <c r="KK6" s="33" t="s">
        <v>2053</v>
      </c>
      <c r="KL6" s="33" t="s">
        <v>2054</v>
      </c>
      <c r="KM6" s="33" t="s">
        <v>2055</v>
      </c>
      <c r="KN6" s="33" t="s">
        <v>2056</v>
      </c>
      <c r="KO6" s="33" t="s">
        <v>2057</v>
      </c>
      <c r="KP6" s="33" t="s">
        <v>2058</v>
      </c>
      <c r="KQ6" s="33" t="s">
        <v>2059</v>
      </c>
      <c r="KR6" s="33" t="s">
        <v>2060</v>
      </c>
      <c r="KS6" s="33" t="s">
        <v>2061</v>
      </c>
      <c r="KT6" s="33" t="s">
        <v>2062</v>
      </c>
      <c r="KU6" s="33" t="s">
        <v>2063</v>
      </c>
      <c r="KV6" s="33" t="s">
        <v>2064</v>
      </c>
      <c r="KW6" s="33" t="s">
        <v>2065</v>
      </c>
      <c r="KX6" s="33" t="s">
        <v>2066</v>
      </c>
      <c r="KY6" s="33" t="s">
        <v>2067</v>
      </c>
      <c r="KZ6" s="33" t="s">
        <v>2068</v>
      </c>
      <c r="LA6" s="33" t="s">
        <v>2069</v>
      </c>
      <c r="LB6" s="33" t="s">
        <v>2070</v>
      </c>
      <c r="LC6" s="33" t="s">
        <v>2071</v>
      </c>
      <c r="LD6" s="33" t="s">
        <v>2072</v>
      </c>
      <c r="LE6" s="33" t="s">
        <v>2073</v>
      </c>
      <c r="LF6" s="33" t="s">
        <v>2074</v>
      </c>
      <c r="LG6" s="33" t="s">
        <v>2075</v>
      </c>
      <c r="LH6" s="33" t="s">
        <v>2076</v>
      </c>
      <c r="LI6" s="33" t="s">
        <v>2077</v>
      </c>
      <c r="LJ6" s="33" t="s">
        <v>2078</v>
      </c>
      <c r="LK6" s="33" t="s">
        <v>2079</v>
      </c>
      <c r="LL6" s="33" t="s">
        <v>2080</v>
      </c>
      <c r="LM6" s="33" t="s">
        <v>2081</v>
      </c>
      <c r="LN6" s="33" t="s">
        <v>2082</v>
      </c>
      <c r="LO6" s="33" t="s">
        <v>2083</v>
      </c>
      <c r="LP6" s="33" t="s">
        <v>2084</v>
      </c>
      <c r="LQ6" s="33" t="s">
        <v>2085</v>
      </c>
      <c r="LR6" s="33" t="s">
        <v>2086</v>
      </c>
      <c r="LS6" s="33" t="s">
        <v>2087</v>
      </c>
      <c r="LT6" s="33" t="s">
        <v>2088</v>
      </c>
      <c r="LU6" s="33" t="s">
        <v>2089</v>
      </c>
      <c r="LV6" s="33" t="s">
        <v>2090</v>
      </c>
      <c r="LW6" s="33" t="s">
        <v>2091</v>
      </c>
      <c r="LX6" s="33" t="s">
        <v>2092</v>
      </c>
      <c r="LY6" s="33" t="s">
        <v>2093</v>
      </c>
      <c r="LZ6" s="33" t="s">
        <v>2094</v>
      </c>
      <c r="MA6" s="33" t="s">
        <v>2095</v>
      </c>
      <c r="MB6" s="33" t="s">
        <v>2096</v>
      </c>
      <c r="MC6" s="33" t="s">
        <v>2097</v>
      </c>
      <c r="MD6" s="33" t="s">
        <v>2098</v>
      </c>
      <c r="ME6" s="33" t="s">
        <v>2099</v>
      </c>
      <c r="MF6" s="33" t="s">
        <v>2100</v>
      </c>
      <c r="MG6" s="33" t="s">
        <v>2101</v>
      </c>
      <c r="MH6" s="33" t="s">
        <v>2102</v>
      </c>
      <c r="MI6" s="33" t="s">
        <v>2103</v>
      </c>
      <c r="MJ6" s="33" t="s">
        <v>2104</v>
      </c>
      <c r="MK6" s="33" t="s">
        <v>2105</v>
      </c>
      <c r="ML6" s="33" t="s">
        <v>2106</v>
      </c>
      <c r="MM6" s="33" t="s">
        <v>2107</v>
      </c>
      <c r="MN6" s="33" t="s">
        <v>2108</v>
      </c>
      <c r="MO6" s="33" t="s">
        <v>2109</v>
      </c>
      <c r="MP6" s="33" t="s">
        <v>2110</v>
      </c>
      <c r="MQ6" s="33" t="s">
        <v>2111</v>
      </c>
      <c r="MR6" s="33" t="s">
        <v>2112</v>
      </c>
      <c r="MS6" s="33" t="s">
        <v>2113</v>
      </c>
      <c r="MT6" s="33" t="s">
        <v>2114</v>
      </c>
      <c r="MU6" s="33" t="s">
        <v>2115</v>
      </c>
      <c r="MV6" s="33" t="s">
        <v>2116</v>
      </c>
      <c r="MW6" s="33" t="s">
        <v>2117</v>
      </c>
      <c r="MX6" s="33" t="s">
        <v>2118</v>
      </c>
      <c r="MY6" s="33" t="s">
        <v>2119</v>
      </c>
      <c r="MZ6" s="33" t="s">
        <v>2120</v>
      </c>
      <c r="NA6" s="33" t="s">
        <v>2121</v>
      </c>
      <c r="NB6" s="33" t="s">
        <v>2122</v>
      </c>
      <c r="NC6" s="33" t="s">
        <v>2123</v>
      </c>
      <c r="ND6" s="33" t="s">
        <v>2124</v>
      </c>
      <c r="NE6" s="33" t="s">
        <v>2125</v>
      </c>
      <c r="NF6" s="33" t="s">
        <v>2126</v>
      </c>
      <c r="NG6" s="33" t="s">
        <v>2127</v>
      </c>
      <c r="NH6" s="33" t="s">
        <v>2128</v>
      </c>
      <c r="NI6" s="33" t="s">
        <v>2129</v>
      </c>
      <c r="NJ6" s="33" t="s">
        <v>2130</v>
      </c>
      <c r="NK6" s="33" t="s">
        <v>2131</v>
      </c>
      <c r="NL6" s="33" t="s">
        <v>2132</v>
      </c>
      <c r="NM6" s="33" t="s">
        <v>2133</v>
      </c>
      <c r="NN6" s="33" t="s">
        <v>2134</v>
      </c>
      <c r="NO6" s="33" t="s">
        <v>2135</v>
      </c>
      <c r="NP6" s="33" t="s">
        <v>2136</v>
      </c>
      <c r="NQ6" s="33" t="s">
        <v>2137</v>
      </c>
      <c r="NR6" s="33" t="s">
        <v>2138</v>
      </c>
      <c r="NS6" s="33" t="s">
        <v>2139</v>
      </c>
      <c r="NT6" s="33" t="s">
        <v>2140</v>
      </c>
      <c r="NU6" s="33" t="s">
        <v>2141</v>
      </c>
      <c r="NV6" s="33" t="s">
        <v>2142</v>
      </c>
      <c r="NW6" s="33" t="s">
        <v>2143</v>
      </c>
      <c r="NX6" s="33" t="s">
        <v>2144</v>
      </c>
      <c r="NY6" s="33" t="s">
        <v>2145</v>
      </c>
      <c r="NZ6" s="33" t="s">
        <v>2146</v>
      </c>
      <c r="OA6" s="33" t="s">
        <v>2147</v>
      </c>
      <c r="OB6" s="33" t="s">
        <v>2148</v>
      </c>
      <c r="OC6" s="33" t="s">
        <v>2149</v>
      </c>
      <c r="OD6" s="33" t="s">
        <v>2150</v>
      </c>
      <c r="OE6" s="33" t="s">
        <v>2151</v>
      </c>
      <c r="OF6" s="33" t="s">
        <v>2152</v>
      </c>
      <c r="OG6" s="33" t="s">
        <v>2153</v>
      </c>
      <c r="OH6" s="33" t="s">
        <v>2154</v>
      </c>
      <c r="OI6" s="33" t="s">
        <v>2155</v>
      </c>
      <c r="OJ6" s="33" t="s">
        <v>2156</v>
      </c>
      <c r="OK6" s="33" t="s">
        <v>2157</v>
      </c>
      <c r="OL6" s="33" t="s">
        <v>2158</v>
      </c>
      <c r="OM6" s="33" t="s">
        <v>2159</v>
      </c>
      <c r="ON6" s="33" t="s">
        <v>2160</v>
      </c>
      <c r="OO6" s="33" t="s">
        <v>2161</v>
      </c>
      <c r="OP6" s="33" t="s">
        <v>2162</v>
      </c>
      <c r="OQ6" s="33" t="s">
        <v>2163</v>
      </c>
      <c r="OR6" s="33" t="s">
        <v>2164</v>
      </c>
      <c r="OS6" s="33" t="s">
        <v>2165</v>
      </c>
      <c r="OT6" s="33" t="s">
        <v>2166</v>
      </c>
      <c r="OU6" s="33" t="s">
        <v>2167</v>
      </c>
      <c r="OV6" s="33" t="s">
        <v>2168</v>
      </c>
      <c r="OW6" s="33" t="s">
        <v>2169</v>
      </c>
      <c r="OX6" s="33" t="s">
        <v>2170</v>
      </c>
      <c r="OY6" s="33" t="s">
        <v>2171</v>
      </c>
      <c r="OZ6" s="33" t="s">
        <v>2172</v>
      </c>
      <c r="PA6" s="33" t="s">
        <v>2173</v>
      </c>
      <c r="PB6" s="33" t="s">
        <v>2174</v>
      </c>
      <c r="PC6" s="33" t="s">
        <v>2175</v>
      </c>
      <c r="PD6" s="33" t="s">
        <v>2176</v>
      </c>
      <c r="PE6" s="33" t="s">
        <v>2177</v>
      </c>
      <c r="PF6" s="33" t="s">
        <v>2178</v>
      </c>
      <c r="PG6" s="33" t="s">
        <v>2179</v>
      </c>
      <c r="PH6" s="33" t="s">
        <v>2180</v>
      </c>
      <c r="PI6" s="33" t="s">
        <v>2181</v>
      </c>
      <c r="PJ6" s="33" t="s">
        <v>2182</v>
      </c>
      <c r="PK6" s="33" t="s">
        <v>2183</v>
      </c>
      <c r="PL6" s="33" t="s">
        <v>2184</v>
      </c>
      <c r="PM6" s="33" t="s">
        <v>2185</v>
      </c>
      <c r="PN6" s="33" t="s">
        <v>2186</v>
      </c>
      <c r="PO6" s="33" t="s">
        <v>2187</v>
      </c>
      <c r="PP6" s="33" t="s">
        <v>2188</v>
      </c>
      <c r="PQ6" s="33" t="s">
        <v>2189</v>
      </c>
      <c r="PR6" s="33" t="s">
        <v>2190</v>
      </c>
      <c r="PS6" s="33" t="s">
        <v>2191</v>
      </c>
      <c r="PT6" s="33" t="s">
        <v>2192</v>
      </c>
      <c r="PU6" s="33" t="s">
        <v>2193</v>
      </c>
      <c r="PV6" s="33" t="s">
        <v>2194</v>
      </c>
      <c r="PW6" s="33" t="s">
        <v>2195</v>
      </c>
      <c r="PX6" s="33" t="s">
        <v>2196</v>
      </c>
      <c r="PY6" s="33" t="s">
        <v>2197</v>
      </c>
      <c r="PZ6" s="33" t="s">
        <v>2198</v>
      </c>
      <c r="QA6" s="33" t="s">
        <v>2199</v>
      </c>
      <c r="QB6" s="33" t="s">
        <v>2200</v>
      </c>
      <c r="QC6" s="33" t="s">
        <v>2201</v>
      </c>
      <c r="QD6" s="33" t="s">
        <v>2202</v>
      </c>
      <c r="QE6" s="33" t="s">
        <v>2203</v>
      </c>
      <c r="QF6" s="33" t="s">
        <v>2204</v>
      </c>
      <c r="QG6" s="33" t="s">
        <v>2205</v>
      </c>
      <c r="QH6" s="33" t="s">
        <v>2206</v>
      </c>
      <c r="QI6" s="33" t="s">
        <v>2207</v>
      </c>
      <c r="QJ6" s="33" t="s">
        <v>2208</v>
      </c>
      <c r="QK6" s="33" t="s">
        <v>2209</v>
      </c>
      <c r="QL6" s="33" t="s">
        <v>2210</v>
      </c>
      <c r="QM6" s="33" t="s">
        <v>2211</v>
      </c>
      <c r="QN6" s="33" t="s">
        <v>2212</v>
      </c>
      <c r="QO6" s="33" t="s">
        <v>2213</v>
      </c>
      <c r="QP6" s="33" t="s">
        <v>2214</v>
      </c>
      <c r="QQ6" s="33" t="s">
        <v>2215</v>
      </c>
      <c r="QR6" s="33" t="s">
        <v>2216</v>
      </c>
      <c r="QS6" s="33" t="s">
        <v>2217</v>
      </c>
      <c r="QT6" s="33" t="s">
        <v>2218</v>
      </c>
      <c r="QU6" s="33" t="s">
        <v>2219</v>
      </c>
      <c r="QV6" s="33" t="s">
        <v>2220</v>
      </c>
      <c r="QW6" s="33" t="s">
        <v>2221</v>
      </c>
      <c r="QX6" s="33" t="s">
        <v>2222</v>
      </c>
      <c r="QY6" s="33" t="s">
        <v>2223</v>
      </c>
      <c r="QZ6" s="33" t="s">
        <v>2224</v>
      </c>
      <c r="RA6" s="33" t="s">
        <v>2225</v>
      </c>
      <c r="RB6" s="33" t="s">
        <v>2226</v>
      </c>
      <c r="RC6" s="33" t="s">
        <v>2227</v>
      </c>
      <c r="RD6" s="33" t="s">
        <v>2228</v>
      </c>
      <c r="RE6" s="33" t="s">
        <v>2229</v>
      </c>
      <c r="RF6" s="33" t="s">
        <v>2230</v>
      </c>
      <c r="RG6" s="33" t="s">
        <v>2231</v>
      </c>
      <c r="RH6" s="33" t="s">
        <v>2232</v>
      </c>
      <c r="RI6" s="33" t="s">
        <v>2233</v>
      </c>
      <c r="RJ6" s="33" t="s">
        <v>2234</v>
      </c>
      <c r="RK6" s="33" t="s">
        <v>2235</v>
      </c>
      <c r="RL6" s="33" t="s">
        <v>2236</v>
      </c>
      <c r="RM6" s="33" t="s">
        <v>2237</v>
      </c>
      <c r="RN6" s="33" t="s">
        <v>2238</v>
      </c>
      <c r="RO6" s="33" t="s">
        <v>2239</v>
      </c>
      <c r="RP6" s="33" t="s">
        <v>2240</v>
      </c>
      <c r="RQ6" s="33" t="s">
        <v>2241</v>
      </c>
      <c r="RR6" s="33" t="s">
        <v>2242</v>
      </c>
      <c r="RS6" s="33" t="s">
        <v>2243</v>
      </c>
      <c r="RT6" s="33" t="s">
        <v>2244</v>
      </c>
      <c r="RU6" s="33" t="s">
        <v>2245</v>
      </c>
      <c r="RV6" s="33" t="s">
        <v>2246</v>
      </c>
      <c r="RW6" s="33" t="s">
        <v>2247</v>
      </c>
      <c r="RX6" s="33" t="s">
        <v>2248</v>
      </c>
      <c r="RY6" s="33" t="s">
        <v>2249</v>
      </c>
      <c r="RZ6" s="33" t="s">
        <v>2250</v>
      </c>
      <c r="SA6" s="33" t="s">
        <v>2251</v>
      </c>
      <c r="SB6" s="33" t="s">
        <v>2252</v>
      </c>
      <c r="SC6" s="33" t="s">
        <v>2253</v>
      </c>
      <c r="SD6" s="33" t="s">
        <v>2254</v>
      </c>
      <c r="SE6" s="33" t="s">
        <v>2255</v>
      </c>
      <c r="SF6" s="33" t="s">
        <v>2256</v>
      </c>
      <c r="SG6" s="33" t="s">
        <v>2257</v>
      </c>
      <c r="SH6" s="33" t="s">
        <v>2258</v>
      </c>
      <c r="SI6" s="33" t="s">
        <v>2259</v>
      </c>
      <c r="SJ6" s="33" t="s">
        <v>2260</v>
      </c>
      <c r="SK6" s="33" t="s">
        <v>2261</v>
      </c>
      <c r="SL6" s="33" t="s">
        <v>2262</v>
      </c>
      <c r="SM6" s="33" t="s">
        <v>2263</v>
      </c>
      <c r="SN6" s="33" t="s">
        <v>2264</v>
      </c>
      <c r="SO6" s="33" t="s">
        <v>2265</v>
      </c>
      <c r="SP6" s="33" t="s">
        <v>2266</v>
      </c>
      <c r="SQ6" s="33" t="s">
        <v>2267</v>
      </c>
      <c r="SR6" s="33" t="s">
        <v>2268</v>
      </c>
      <c r="SS6" s="33" t="s">
        <v>2269</v>
      </c>
      <c r="ST6" s="33" t="s">
        <v>2270</v>
      </c>
      <c r="SU6" s="33" t="s">
        <v>2271</v>
      </c>
      <c r="SV6" s="33" t="s">
        <v>2272</v>
      </c>
      <c r="SW6" s="33" t="s">
        <v>2273</v>
      </c>
      <c r="SX6" s="33" t="s">
        <v>2274</v>
      </c>
      <c r="SY6" s="33" t="s">
        <v>2275</v>
      </c>
      <c r="SZ6" s="33" t="s">
        <v>2276</v>
      </c>
      <c r="TA6" s="33" t="s">
        <v>2277</v>
      </c>
      <c r="TB6" s="33" t="s">
        <v>2278</v>
      </c>
      <c r="TC6" s="33" t="s">
        <v>2279</v>
      </c>
      <c r="TD6" s="33" t="s">
        <v>2280</v>
      </c>
      <c r="TE6" s="33" t="s">
        <v>2281</v>
      </c>
      <c r="TF6" s="33" t="s">
        <v>2282</v>
      </c>
      <c r="TG6" s="33" t="s">
        <v>2283</v>
      </c>
      <c r="TH6" s="33" t="s">
        <v>2284</v>
      </c>
      <c r="TI6" s="33" t="s">
        <v>2285</v>
      </c>
      <c r="TJ6" s="33" t="s">
        <v>2286</v>
      </c>
      <c r="TK6" s="33" t="s">
        <v>2287</v>
      </c>
      <c r="TL6" s="33" t="s">
        <v>2288</v>
      </c>
      <c r="TM6" s="33" t="s">
        <v>2289</v>
      </c>
      <c r="TN6" s="33" t="s">
        <v>2290</v>
      </c>
      <c r="TO6" s="33" t="s">
        <v>2291</v>
      </c>
      <c r="TP6" s="33" t="s">
        <v>2292</v>
      </c>
      <c r="TQ6" s="33" t="s">
        <v>2293</v>
      </c>
      <c r="TR6" s="33" t="s">
        <v>2294</v>
      </c>
      <c r="TS6" s="33" t="s">
        <v>2295</v>
      </c>
      <c r="TT6" s="33" t="s">
        <v>2296</v>
      </c>
      <c r="TU6" s="33" t="s">
        <v>1586</v>
      </c>
      <c r="TV6" s="33" t="s">
        <v>2297</v>
      </c>
      <c r="TW6" s="33" t="s">
        <v>2298</v>
      </c>
      <c r="TX6" s="33" t="s">
        <v>2299</v>
      </c>
      <c r="TY6" s="33" t="s">
        <v>2300</v>
      </c>
      <c r="TZ6" s="33" t="s">
        <v>2301</v>
      </c>
      <c r="UA6" s="33" t="s">
        <v>2302</v>
      </c>
      <c r="UB6" s="33" t="s">
        <v>2303</v>
      </c>
      <c r="UC6" s="33" t="s">
        <v>2304</v>
      </c>
      <c r="UD6" s="33" t="s">
        <v>2305</v>
      </c>
      <c r="UE6" s="33" t="s">
        <v>2306</v>
      </c>
      <c r="UF6" s="33" t="s">
        <v>2307</v>
      </c>
      <c r="UG6" s="33" t="s">
        <v>2308</v>
      </c>
      <c r="UH6" s="33" t="s">
        <v>2309</v>
      </c>
      <c r="UI6" s="33" t="s">
        <v>2310</v>
      </c>
      <c r="UJ6" s="33" t="s">
        <v>2311</v>
      </c>
      <c r="UK6" s="33" t="s">
        <v>2312</v>
      </c>
      <c r="UL6" s="33" t="s">
        <v>2313</v>
      </c>
      <c r="UM6" s="33" t="s">
        <v>2314</v>
      </c>
      <c r="UN6" s="33" t="s">
        <v>2315</v>
      </c>
    </row>
    <row r="7" customFormat="false" ht="15" hidden="false" customHeight="true" outlineLevel="0" collapsed="false">
      <c r="A7" s="20" t="s">
        <v>1628</v>
      </c>
      <c r="O7" s="49" t="n">
        <f aca="false">F_CardBal</f>
        <v>400</v>
      </c>
      <c r="R7" s="49" t="n">
        <f aca="false">F_LoanBal</f>
        <v>3500</v>
      </c>
      <c r="T7" s="49" t="n">
        <f aca="false">Init_Free0</f>
        <v>10200</v>
      </c>
      <c r="AF7" s="49" t="n">
        <f aca="false">Init_Buf0</f>
        <v>0</v>
      </c>
      <c r="HR7" s="49" t="n">
        <f aca="false">F_MortBal</f>
        <v>203700</v>
      </c>
      <c r="HT7" s="49" t="n">
        <v>0</v>
      </c>
      <c r="QK7" s="56" t="n">
        <f aca="false">'Plan holdings'!BM7</f>
        <v>0</v>
      </c>
      <c r="QL7" s="49" t="n">
        <f aca="false">Init_Buf0</f>
        <v>0</v>
      </c>
      <c r="QM7" s="49" t="n">
        <f aca="false">Slot1_Pot0</f>
        <v>9000</v>
      </c>
      <c r="QQ7" s="49" t="n">
        <f aca="false">Slot2_Pot0</f>
        <v>6200</v>
      </c>
      <c r="QU7" s="49" t="n">
        <f aca="false">Slot3_Pot0</f>
        <v>0</v>
      </c>
      <c r="QY7" s="49" t="n">
        <f aca="false">Slot4_Pot0</f>
        <v>0</v>
      </c>
      <c r="RC7" s="49" t="n">
        <f aca="false">Slot5_Pot0</f>
        <v>0</v>
      </c>
      <c r="RG7" s="49" t="n">
        <f aca="false">Slot6_Pot0</f>
        <v>0</v>
      </c>
      <c r="RK7" s="49" t="n">
        <f aca="false">Slot7_Pot0</f>
        <v>0</v>
      </c>
      <c r="RO7" s="49" t="n">
        <f aca="false">Slot8_Pot0</f>
        <v>0</v>
      </c>
      <c r="RS7" s="49" t="n">
        <f aca="false">Slot9_Pot0</f>
        <v>0</v>
      </c>
      <c r="RW7" s="49" t="n">
        <f aca="false">Slot10_Pot0</f>
        <v>0</v>
      </c>
      <c r="SA7" s="49" t="n">
        <f aca="false">Slot11_Pot0</f>
        <v>0</v>
      </c>
      <c r="SE7" s="49" t="n">
        <f aca="false">Slot12_Pot0</f>
        <v>0</v>
      </c>
      <c r="SI7" s="49" t="n">
        <f aca="false">Slot13_Pot0</f>
        <v>0</v>
      </c>
      <c r="SM7" s="49" t="n">
        <f aca="false">Slot14_Pot0</f>
        <v>0</v>
      </c>
      <c r="SQ7" s="49" t="n">
        <f aca="false">Slot15_Pot0</f>
        <v>0</v>
      </c>
      <c r="SU7" s="49" t="n">
        <f aca="false">Slot16_Pot0</f>
        <v>0</v>
      </c>
      <c r="SY7" s="49" t="n">
        <f aca="false">Slot17_Pot0</f>
        <v>0</v>
      </c>
      <c r="TC7" s="49" t="n">
        <f aca="false">Slot18_Pot0</f>
        <v>0</v>
      </c>
      <c r="TG7" s="49" t="n">
        <f aca="false">Slot19_Pot0</f>
        <v>0</v>
      </c>
      <c r="TK7" s="49" t="n">
        <f aca="false">Slot20_Pot0</f>
        <v>0</v>
      </c>
      <c r="UF7" s="49" t="n">
        <v>0</v>
      </c>
    </row>
    <row r="8" customFormat="false" ht="15" hidden="false" customHeight="true" outlineLevel="0" collapsed="false">
      <c r="B8" s="20" t="n">
        <v>0</v>
      </c>
      <c r="C8" s="20" t="n">
        <f aca="false">IF(B8&lt;=F_N,1,0)</f>
        <v>1</v>
      </c>
      <c r="D8" s="20" t="n">
        <f aca="false">'Plan pay &amp; tax'!C234</f>
        <v>38</v>
      </c>
      <c r="E8" s="20" t="str">
        <f aca="false">IF($C8=1,"Income tax "&amp;TEXT(N('Plan pay &amp; tax'!BK234),"#,##0")&amp;"; USC "&amp;TEXT(N('Plan pay &amp; tax'!BM234)+N('Plan pay &amp; tax'!BO234),"#,##0")&amp;"; PRSI "&amp;TEXT(N('Plan pay &amp; tax'!BP234)+N('Plan pay &amp; tax'!BQ234),"#,##0")&amp;IF(N('Plan holdings'!BO8)&gt;=0.5,"; DIRT "&amp;TEXT(('Plan holdings'!BO8)/$F8,"#,##0")&amp;" (already taken from the interest earned)","")&amp;IF(N('Plan holdings'!BP8)&gt;=0.5,"; exit tax at an 8-year anniversary "&amp;TEXT(('Plan holdings'!BP8)/$F8,"#,##0"),"")&amp;IF(N('Plan holdings'!BN8)&gt;=0.5,"; tax on assets sold (exit tax or capital gains tax) "&amp;TEXT(('Plan holdings'!BN8)/$F8,"#,##0"),"")&amp;IF(N('Plan pay &amp; tax'!X234)-N('Plan pay &amp; tax'!Y234)&gt;=0.5,"; tax on the pension lump sum "&amp;TEXT(('Plan pay &amp; tax'!X234-'Plan pay &amp; tax'!Y234)/$F8,"#,##0"),"")&amp;IF(N('Plan pay &amp; tax'!V234)&gt;=0.5,"; chargeable excess tax on the pension "&amp;TEXT(('Plan pay &amp; tax'!V234)/$F8,"#,##0"),"")&amp;".","")</f>
        <v>Income tax 9,552; USC 1,533; PRSI 3,382; DIRT 79 (already taken from the interest earned).</v>
      </c>
      <c r="F8" s="50" t="n">
        <f aca="false">'Plan pay &amp; tax'!E234</f>
        <v>1</v>
      </c>
      <c r="G8" s="20" t="n">
        <f aca="false">'Plan pay &amp; tax'!G234</f>
        <v>1</v>
      </c>
      <c r="H8" s="20" t="n">
        <f aca="false">'Plan pay &amp; tax'!BT234-'Plan pay &amp; tax'!BS234-'Plan pay &amp; tax'!R234</f>
        <v>62413.4466666667</v>
      </c>
      <c r="I8" s="20" t="n">
        <f aca="false">IF(G8=1,F_CostsM*12,IF(RG_Exists=1,RG_Amount,F_CostsM*12*AS_RetireSpend))*F8+F_OneOffY*F8</f>
        <v>45000</v>
      </c>
      <c r="J8" s="20" t="n">
        <f aca="false">IF(UN8=1,0,HR7)</f>
        <v>203700</v>
      </c>
      <c r="K8" s="20" t="n">
        <f aca="false">IF(J8&gt;1,'Plan debt months'!AC8,0)</f>
        <v>14160</v>
      </c>
      <c r="L8" s="20" t="n">
        <f aca="false">IF(J8&gt;1,'Plan debt months'!AB8,J8)</f>
        <v>197269.770715164</v>
      </c>
      <c r="M8" s="20" t="n">
        <f aca="false">O7</f>
        <v>400</v>
      </c>
      <c r="N8" s="20" t="n">
        <f aca="false">IF(M8&gt;1,'Plan debt months'!BD8,0)</f>
        <v>437.486122217622</v>
      </c>
      <c r="O8" s="20" t="n">
        <f aca="false">IF(M8&gt;1,'Plan debt months'!BC8,M8)</f>
        <v>0</v>
      </c>
      <c r="P8" s="20" t="n">
        <f aca="false">R7</f>
        <v>3500</v>
      </c>
      <c r="Q8" s="20" t="n">
        <f aca="false">IF(P8&gt;1,'Plan debt months'!CE8,0)</f>
        <v>1200</v>
      </c>
      <c r="R8" s="20" t="n">
        <f aca="false">IF(P8&gt;1,'Plan debt months'!CD8,P8)</f>
        <v>2536.61135194847</v>
      </c>
      <c r="S8" s="20" t="n">
        <f aca="false">K8+N8+Q8</f>
        <v>15797.4861222176</v>
      </c>
      <c r="T8" s="57" t="n">
        <f aca="false">'Plan holdings'!Y8</f>
        <v>0</v>
      </c>
      <c r="U8" s="57" t="n">
        <f aca="false">'Plan holdings'!BM7</f>
        <v>0</v>
      </c>
      <c r="V8" s="20" t="n">
        <f aca="false">IF(AND(Slot1_On=1,D8=Slot1_Age),1,0)</f>
        <v>0</v>
      </c>
      <c r="W8" s="20" t="n">
        <f aca="false">IF(AND(Slot1_On=1,Slot1_Age&gt;D8),1,0)</f>
        <v>1</v>
      </c>
      <c r="X8" s="20" t="n">
        <f aca="false">QM7</f>
        <v>9000</v>
      </c>
      <c r="Y8" s="20" t="n">
        <f aca="false">V8*MIN(Slot1_Cost,X8)</f>
        <v>0</v>
      </c>
      <c r="Z8" s="20" t="n">
        <f aca="false">V8*Slot1_SpendLike*MIN(Slot1_Cost-Y8,T8)</f>
        <v>0</v>
      </c>
      <c r="AA8" s="20" t="n">
        <f aca="false">Y8+Z8</f>
        <v>0</v>
      </c>
      <c r="AB8" s="20" t="n">
        <f aca="false">T8-Z8+V8*IF(Slot1_SpendLike=1,X8-Y8,IF(Slot1_PotFree=1,X8,0))</f>
        <v>0</v>
      </c>
      <c r="AC8" s="20" t="n">
        <f aca="false">AF8+V8*Slot1_BufPot*X8</f>
        <v>0</v>
      </c>
      <c r="AD8" s="20" t="n">
        <f aca="false">IF(AND(V8=1,Slot1_IsMfree=1),IF(AA8&gt;=Slot1_Cost-1,0,MAX(0,L8-AA8)),L8)</f>
        <v>197269.770715164</v>
      </c>
      <c r="AE8" s="20" t="n">
        <f aca="false">V8*(Slot1_Cost-AA8)</f>
        <v>0</v>
      </c>
      <c r="AF8" s="20" t="n">
        <f aca="false">QL7</f>
        <v>0</v>
      </c>
      <c r="AG8" s="20" t="n">
        <f aca="false">IF(AND(Slot2_On=1,D8=Slot2_Age),1,0)</f>
        <v>0</v>
      </c>
      <c r="AH8" s="20" t="n">
        <f aca="false">IF(AND(Slot2_On=1,Slot2_Age&gt;D8),1,0)</f>
        <v>1</v>
      </c>
      <c r="AI8" s="20" t="n">
        <f aca="false">QQ7</f>
        <v>6200</v>
      </c>
      <c r="AJ8" s="20" t="n">
        <f aca="false">AG8*MIN(Slot2_Cost,AI8)</f>
        <v>0</v>
      </c>
      <c r="AK8" s="20" t="n">
        <f aca="false">AG8*Slot2_SpendLike*MIN(Slot2_Cost-AJ8,AB8)</f>
        <v>0</v>
      </c>
      <c r="AL8" s="20" t="n">
        <f aca="false">AJ8+AK8</f>
        <v>0</v>
      </c>
      <c r="AM8" s="20" t="n">
        <f aca="false">AB8-AK8+AG8*IF(Slot2_SpendLike=1,AI8-AJ8,IF(Slot2_PotFree=1,AI8,0))</f>
        <v>0</v>
      </c>
      <c r="AN8" s="20" t="n">
        <f aca="false">AC8+AG8*Slot2_BufPot*AI8</f>
        <v>0</v>
      </c>
      <c r="AO8" s="20" t="n">
        <f aca="false">IF(AND(AG8=1,Slot2_IsMfree=1),IF(AL8&gt;=Slot2_Cost-1,0,MAX(0,AD8-AL8)),AD8)</f>
        <v>197269.770715164</v>
      </c>
      <c r="AP8" s="20" t="n">
        <f aca="false">AG8*(Slot2_Cost-AL8)</f>
        <v>0</v>
      </c>
      <c r="AQ8" s="20" t="n">
        <f aca="false">IF(AND(Slot3_On=1,D8=Slot3_Age),1,0)</f>
        <v>0</v>
      </c>
      <c r="AR8" s="20" t="n">
        <f aca="false">IF(AND(Slot3_On=1,Slot3_Age&gt;D8),1,0)</f>
        <v>1</v>
      </c>
      <c r="AS8" s="20" t="n">
        <f aca="false">QU7</f>
        <v>0</v>
      </c>
      <c r="AT8" s="20" t="n">
        <f aca="false">AQ8*MIN(Slot3_Cost,AS8)</f>
        <v>0</v>
      </c>
      <c r="AU8" s="20" t="n">
        <f aca="false">AQ8*Slot3_SpendLike*MIN(Slot3_Cost-AT8,AM8)</f>
        <v>0</v>
      </c>
      <c r="AV8" s="20" t="n">
        <f aca="false">AT8+AU8</f>
        <v>0</v>
      </c>
      <c r="AW8" s="20" t="n">
        <f aca="false">AM8-AU8+AQ8*IF(Slot3_SpendLike=1,AS8-AT8,IF(Slot3_PotFree=1,AS8,0))</f>
        <v>0</v>
      </c>
      <c r="AX8" s="20" t="n">
        <f aca="false">AN8+AQ8*Slot3_BufPot*AS8</f>
        <v>0</v>
      </c>
      <c r="AY8" s="20" t="n">
        <f aca="false">IF(AND(AQ8=1,Slot3_IsMfree=1),IF(AV8&gt;=Slot3_Cost-1,0,MAX(0,AO8-AV8)),AO8)</f>
        <v>197269.770715164</v>
      </c>
      <c r="AZ8" s="20" t="n">
        <f aca="false">AQ8*(Slot3_Cost-AV8)</f>
        <v>0</v>
      </c>
      <c r="BA8" s="20" t="n">
        <f aca="false">IF(AND(Slot4_On=1,D8=Slot4_Age),1,0)</f>
        <v>0</v>
      </c>
      <c r="BB8" s="20" t="n">
        <f aca="false">IF(AND(Slot4_On=1,Slot4_Age&gt;D8),1,0)</f>
        <v>1</v>
      </c>
      <c r="BC8" s="20" t="n">
        <f aca="false">QY7</f>
        <v>0</v>
      </c>
      <c r="BD8" s="20" t="n">
        <f aca="false">BA8*MIN(Slot4_Cost,BC8)</f>
        <v>0</v>
      </c>
      <c r="BE8" s="20" t="n">
        <f aca="false">BA8*Slot4_SpendLike*MIN(Slot4_Cost-BD8,AW8)</f>
        <v>0</v>
      </c>
      <c r="BF8" s="20" t="n">
        <f aca="false">BD8+BE8</f>
        <v>0</v>
      </c>
      <c r="BG8" s="20" t="n">
        <f aca="false">AW8-BE8+BA8*IF(Slot4_SpendLike=1,BC8-BD8,IF(Slot4_PotFree=1,BC8,0))</f>
        <v>0</v>
      </c>
      <c r="BH8" s="20" t="n">
        <f aca="false">AX8+BA8*Slot4_BufPot*BC8</f>
        <v>0</v>
      </c>
      <c r="BI8" s="20" t="n">
        <f aca="false">IF(AND(BA8=1,Slot4_IsMfree=1),IF(BF8&gt;=Slot4_Cost-1,0,MAX(0,AY8-BF8)),AY8)</f>
        <v>197269.770715164</v>
      </c>
      <c r="BJ8" s="20" t="n">
        <f aca="false">BA8*(Slot4_Cost-BF8)</f>
        <v>0</v>
      </c>
      <c r="BK8" s="20" t="n">
        <f aca="false">IF(AND(Slot5_On=1,D8=Slot5_Age),1,0)</f>
        <v>0</v>
      </c>
      <c r="BL8" s="20" t="n">
        <f aca="false">IF(AND(Slot5_On=1,Slot5_Age&gt;D8),1,0)</f>
        <v>0</v>
      </c>
      <c r="BM8" s="20" t="n">
        <f aca="false">RC7</f>
        <v>0</v>
      </c>
      <c r="BN8" s="20" t="n">
        <f aca="false">BK8*MIN(Slot5_Cost,BM8)</f>
        <v>0</v>
      </c>
      <c r="BO8" s="20" t="n">
        <f aca="false">BK8*Slot5_SpendLike*MIN(Slot5_Cost-BN8,BG8)</f>
        <v>0</v>
      </c>
      <c r="BP8" s="20" t="n">
        <f aca="false">BN8+BO8</f>
        <v>0</v>
      </c>
      <c r="BQ8" s="20" t="n">
        <f aca="false">BG8-BO8+BK8*IF(Slot5_SpendLike=1,BM8-BN8,IF(Slot5_PotFree=1,BM8,0))</f>
        <v>0</v>
      </c>
      <c r="BR8" s="20" t="n">
        <f aca="false">BH8+BK8*Slot5_BufPot*BM8</f>
        <v>0</v>
      </c>
      <c r="BS8" s="20" t="n">
        <f aca="false">IF(AND(BK8=1,Slot5_IsMfree=1),IF(BP8&gt;=Slot5_Cost-1,0,MAX(0,BI8-BP8)),BI8)</f>
        <v>197269.770715164</v>
      </c>
      <c r="BT8" s="20" t="n">
        <f aca="false">BK8*(Slot5_Cost-BP8)</f>
        <v>0</v>
      </c>
      <c r="BU8" s="20" t="n">
        <f aca="false">IF(AND(Slot6_On=1,D8=Slot6_Age),1,0)</f>
        <v>0</v>
      </c>
      <c r="BV8" s="20" t="n">
        <f aca="false">IF(AND(Slot6_On=1,Slot6_Age&gt;D8),1,0)</f>
        <v>0</v>
      </c>
      <c r="BW8" s="20" t="n">
        <f aca="false">RG7</f>
        <v>0</v>
      </c>
      <c r="BX8" s="20" t="n">
        <f aca="false">BU8*MIN(Slot6_Cost,BW8)</f>
        <v>0</v>
      </c>
      <c r="BY8" s="20" t="n">
        <f aca="false">BU8*Slot6_SpendLike*MIN(Slot6_Cost-BX8,BQ8)</f>
        <v>0</v>
      </c>
      <c r="BZ8" s="20" t="n">
        <f aca="false">BX8+BY8</f>
        <v>0</v>
      </c>
      <c r="CA8" s="20" t="n">
        <f aca="false">BQ8-BY8+BU8*IF(Slot6_SpendLike=1,BW8-BX8,IF(Slot6_PotFree=1,BW8,0))</f>
        <v>0</v>
      </c>
      <c r="CB8" s="20" t="n">
        <f aca="false">BR8+BU8*Slot6_BufPot*BW8</f>
        <v>0</v>
      </c>
      <c r="CC8" s="20" t="n">
        <f aca="false">IF(AND(BU8=1,Slot6_IsMfree=1),IF(BZ8&gt;=Slot6_Cost-1,0,MAX(0,BS8-BZ8)),BS8)</f>
        <v>197269.770715164</v>
      </c>
      <c r="CD8" s="20" t="n">
        <f aca="false">BU8*(Slot6_Cost-BZ8)</f>
        <v>0</v>
      </c>
      <c r="CE8" s="20" t="n">
        <f aca="false">IF(AND(Slot7_On=1,D8=Slot7_Age),1,0)</f>
        <v>0</v>
      </c>
      <c r="CF8" s="20" t="n">
        <f aca="false">IF(AND(Slot7_On=1,Slot7_Age&gt;D8),1,0)</f>
        <v>0</v>
      </c>
      <c r="CG8" s="20" t="n">
        <f aca="false">RK7</f>
        <v>0</v>
      </c>
      <c r="CH8" s="20" t="n">
        <f aca="false">CE8*MIN(Slot7_Cost,CG8)</f>
        <v>0</v>
      </c>
      <c r="CI8" s="20" t="n">
        <f aca="false">CE8*Slot7_SpendLike*MIN(Slot7_Cost-CH8,CA8)</f>
        <v>0</v>
      </c>
      <c r="CJ8" s="20" t="n">
        <f aca="false">CH8+CI8</f>
        <v>0</v>
      </c>
      <c r="CK8" s="20" t="n">
        <f aca="false">CA8-CI8+CE8*IF(Slot7_SpendLike=1,CG8-CH8,IF(Slot7_PotFree=1,CG8,0))</f>
        <v>0</v>
      </c>
      <c r="CL8" s="20" t="n">
        <f aca="false">CB8+CE8*Slot7_BufPot*CG8</f>
        <v>0</v>
      </c>
      <c r="CM8" s="20" t="n">
        <f aca="false">IF(AND(CE8=1,Slot7_IsMfree=1),IF(CJ8&gt;=Slot7_Cost-1,0,MAX(0,CC8-CJ8)),CC8)</f>
        <v>197269.770715164</v>
      </c>
      <c r="CN8" s="20" t="n">
        <f aca="false">CE8*(Slot7_Cost-CJ8)</f>
        <v>0</v>
      </c>
      <c r="CO8" s="20" t="n">
        <f aca="false">IF(AND(Slot8_On=1,D8=Slot8_Age),1,0)</f>
        <v>0</v>
      </c>
      <c r="CP8" s="20" t="n">
        <f aca="false">IF(AND(Slot8_On=1,Slot8_Age&gt;D8),1,0)</f>
        <v>0</v>
      </c>
      <c r="CQ8" s="20" t="n">
        <f aca="false">RO7</f>
        <v>0</v>
      </c>
      <c r="CR8" s="20" t="n">
        <f aca="false">CO8*MIN(Slot8_Cost,CQ8)</f>
        <v>0</v>
      </c>
      <c r="CS8" s="20" t="n">
        <f aca="false">CO8*Slot8_SpendLike*MIN(Slot8_Cost-CR8,CK8)</f>
        <v>0</v>
      </c>
      <c r="CT8" s="20" t="n">
        <f aca="false">CR8+CS8</f>
        <v>0</v>
      </c>
      <c r="CU8" s="20" t="n">
        <f aca="false">CK8-CS8+CO8*IF(Slot8_SpendLike=1,CQ8-CR8,IF(Slot8_PotFree=1,CQ8,0))</f>
        <v>0</v>
      </c>
      <c r="CV8" s="20" t="n">
        <f aca="false">CL8+CO8*Slot8_BufPot*CQ8</f>
        <v>0</v>
      </c>
      <c r="CW8" s="20" t="n">
        <f aca="false">IF(AND(CO8=1,Slot8_IsMfree=1),IF(CT8&gt;=Slot8_Cost-1,0,MAX(0,CM8-CT8)),CM8)</f>
        <v>197269.770715164</v>
      </c>
      <c r="CX8" s="20" t="n">
        <f aca="false">CO8*(Slot8_Cost-CT8)</f>
        <v>0</v>
      </c>
      <c r="CY8" s="20" t="n">
        <f aca="false">IF(AND(Slot9_On=1,D8=Slot9_Age),1,0)</f>
        <v>0</v>
      </c>
      <c r="CZ8" s="20" t="n">
        <f aca="false">IF(AND(Slot9_On=1,Slot9_Age&gt;D8),1,0)</f>
        <v>0</v>
      </c>
      <c r="DA8" s="20" t="n">
        <f aca="false">RS7</f>
        <v>0</v>
      </c>
      <c r="DB8" s="20" t="n">
        <f aca="false">CY8*MIN(Slot9_Cost,DA8)</f>
        <v>0</v>
      </c>
      <c r="DC8" s="20" t="n">
        <f aca="false">CY8*Slot9_SpendLike*MIN(Slot9_Cost-DB8,CU8)</f>
        <v>0</v>
      </c>
      <c r="DD8" s="20" t="n">
        <f aca="false">DB8+DC8</f>
        <v>0</v>
      </c>
      <c r="DE8" s="20" t="n">
        <f aca="false">CU8-DC8+CY8*IF(Slot9_SpendLike=1,DA8-DB8,IF(Slot9_PotFree=1,DA8,0))</f>
        <v>0</v>
      </c>
      <c r="DF8" s="20" t="n">
        <f aca="false">CV8+CY8*Slot9_BufPot*DA8</f>
        <v>0</v>
      </c>
      <c r="DG8" s="20" t="n">
        <f aca="false">IF(AND(CY8=1,Slot9_IsMfree=1),IF(DD8&gt;=Slot9_Cost-1,0,MAX(0,CW8-DD8)),CW8)</f>
        <v>197269.770715164</v>
      </c>
      <c r="DH8" s="20" t="n">
        <f aca="false">CY8*(Slot9_Cost-DD8)</f>
        <v>0</v>
      </c>
      <c r="DI8" s="20" t="n">
        <f aca="false">IF(AND(Slot10_On=1,D8=Slot10_Age),1,0)</f>
        <v>0</v>
      </c>
      <c r="DJ8" s="20" t="n">
        <f aca="false">IF(AND(Slot10_On=1,Slot10_Age&gt;D8),1,0)</f>
        <v>0</v>
      </c>
      <c r="DK8" s="20" t="n">
        <f aca="false">RW7</f>
        <v>0</v>
      </c>
      <c r="DL8" s="20" t="n">
        <f aca="false">DI8*MIN(Slot10_Cost,DK8)</f>
        <v>0</v>
      </c>
      <c r="DM8" s="20" t="n">
        <f aca="false">DI8*Slot10_SpendLike*MIN(Slot10_Cost-DL8,DE8)</f>
        <v>0</v>
      </c>
      <c r="DN8" s="20" t="n">
        <f aca="false">DL8+DM8</f>
        <v>0</v>
      </c>
      <c r="DO8" s="20" t="n">
        <f aca="false">DE8-DM8+DI8*IF(Slot10_SpendLike=1,DK8-DL8,IF(Slot10_PotFree=1,DK8,0))</f>
        <v>0</v>
      </c>
      <c r="DP8" s="20" t="n">
        <f aca="false">DF8+DI8*Slot10_BufPot*DK8</f>
        <v>0</v>
      </c>
      <c r="DQ8" s="20" t="n">
        <f aca="false">IF(AND(DI8=1,Slot10_IsMfree=1),IF(DN8&gt;=Slot10_Cost-1,0,MAX(0,DG8-DN8)),DG8)</f>
        <v>197269.770715164</v>
      </c>
      <c r="DR8" s="20" t="n">
        <f aca="false">DI8*(Slot10_Cost-DN8)</f>
        <v>0</v>
      </c>
      <c r="DS8" s="20" t="n">
        <f aca="false">IF(AND(Slot11_On=1,D8=Slot11_Age),1,0)</f>
        <v>0</v>
      </c>
      <c r="DT8" s="20" t="n">
        <f aca="false">IF(AND(Slot11_On=1,Slot11_Age&gt;D8),1,0)</f>
        <v>0</v>
      </c>
      <c r="DU8" s="20" t="n">
        <f aca="false">SA7</f>
        <v>0</v>
      </c>
      <c r="DV8" s="20" t="n">
        <f aca="false">DS8*MIN(Slot11_Cost,DU8)</f>
        <v>0</v>
      </c>
      <c r="DW8" s="20" t="n">
        <f aca="false">DS8*Slot11_SpendLike*MIN(Slot11_Cost-DV8,DO8)</f>
        <v>0</v>
      </c>
      <c r="DX8" s="20" t="n">
        <f aca="false">DV8+DW8</f>
        <v>0</v>
      </c>
      <c r="DY8" s="20" t="n">
        <f aca="false">DO8-DW8+DS8*IF(Slot11_SpendLike=1,DU8-DV8,IF(Slot11_PotFree=1,DU8,0))</f>
        <v>0</v>
      </c>
      <c r="DZ8" s="20" t="n">
        <f aca="false">DP8+DS8*Slot11_BufPot*DU8</f>
        <v>0</v>
      </c>
      <c r="EA8" s="20" t="n">
        <f aca="false">IF(AND(DS8=1,Slot11_IsMfree=1),IF(DX8&gt;=Slot11_Cost-1,0,MAX(0,DQ8-DX8)),DQ8)</f>
        <v>197269.770715164</v>
      </c>
      <c r="EB8" s="20" t="n">
        <f aca="false">DS8*(Slot11_Cost-DX8)</f>
        <v>0</v>
      </c>
      <c r="EC8" s="20" t="n">
        <f aca="false">IF(AND(Slot12_On=1,D8=Slot12_Age),1,0)</f>
        <v>0</v>
      </c>
      <c r="ED8" s="20" t="n">
        <f aca="false">IF(AND(Slot12_On=1,Slot12_Age&gt;D8),1,0)</f>
        <v>0</v>
      </c>
      <c r="EE8" s="20" t="n">
        <f aca="false">SE7</f>
        <v>0</v>
      </c>
      <c r="EF8" s="20" t="n">
        <f aca="false">EC8*MIN(Slot12_Cost,EE8)</f>
        <v>0</v>
      </c>
      <c r="EG8" s="20" t="n">
        <f aca="false">EC8*Slot12_SpendLike*MIN(Slot12_Cost-EF8,DY8)</f>
        <v>0</v>
      </c>
      <c r="EH8" s="20" t="n">
        <f aca="false">EF8+EG8</f>
        <v>0</v>
      </c>
      <c r="EI8" s="20" t="n">
        <f aca="false">DY8-EG8+EC8*IF(Slot12_SpendLike=1,EE8-EF8,IF(Slot12_PotFree=1,EE8,0))</f>
        <v>0</v>
      </c>
      <c r="EJ8" s="20" t="n">
        <f aca="false">DZ8+EC8*Slot12_BufPot*EE8</f>
        <v>0</v>
      </c>
      <c r="EK8" s="20" t="n">
        <f aca="false">IF(AND(EC8=1,Slot12_IsMfree=1),IF(EH8&gt;=Slot12_Cost-1,0,MAX(0,EA8-EH8)),EA8)</f>
        <v>197269.770715164</v>
      </c>
      <c r="EL8" s="20" t="n">
        <f aca="false">EC8*(Slot12_Cost-EH8)</f>
        <v>0</v>
      </c>
      <c r="EM8" s="20" t="n">
        <f aca="false">IF(AND(Slot13_On=1,D8=Slot13_Age),1,0)</f>
        <v>0</v>
      </c>
      <c r="EN8" s="20" t="n">
        <f aca="false">IF(AND(Slot13_On=1,Slot13_Age&gt;D8),1,0)</f>
        <v>0</v>
      </c>
      <c r="EO8" s="20" t="n">
        <f aca="false">SI7</f>
        <v>0</v>
      </c>
      <c r="EP8" s="20" t="n">
        <f aca="false">EM8*MIN(Slot13_Cost,EO8)</f>
        <v>0</v>
      </c>
      <c r="EQ8" s="20" t="n">
        <f aca="false">EM8*Slot13_SpendLike*MIN(Slot13_Cost-EP8,EI8)</f>
        <v>0</v>
      </c>
      <c r="ER8" s="20" t="n">
        <f aca="false">EP8+EQ8</f>
        <v>0</v>
      </c>
      <c r="ES8" s="20" t="n">
        <f aca="false">EI8-EQ8+EM8*IF(Slot13_SpendLike=1,EO8-EP8,IF(Slot13_PotFree=1,EO8,0))</f>
        <v>0</v>
      </c>
      <c r="ET8" s="20" t="n">
        <f aca="false">EJ8+EM8*Slot13_BufPot*EO8</f>
        <v>0</v>
      </c>
      <c r="EU8" s="20" t="n">
        <f aca="false">IF(AND(EM8=1,Slot13_IsMfree=1),IF(ER8&gt;=Slot13_Cost-1,0,MAX(0,EK8-ER8)),EK8)</f>
        <v>197269.770715164</v>
      </c>
      <c r="EV8" s="20" t="n">
        <f aca="false">EM8*(Slot13_Cost-ER8)</f>
        <v>0</v>
      </c>
      <c r="EW8" s="20" t="n">
        <f aca="false">IF(AND(Slot14_On=1,D8=Slot14_Age),1,0)</f>
        <v>0</v>
      </c>
      <c r="EX8" s="20" t="n">
        <f aca="false">IF(AND(Slot14_On=1,Slot14_Age&gt;D8),1,0)</f>
        <v>0</v>
      </c>
      <c r="EY8" s="20" t="n">
        <f aca="false">SM7</f>
        <v>0</v>
      </c>
      <c r="EZ8" s="20" t="n">
        <f aca="false">EW8*MIN(Slot14_Cost,EY8)</f>
        <v>0</v>
      </c>
      <c r="FA8" s="20" t="n">
        <f aca="false">EW8*Slot14_SpendLike*MIN(Slot14_Cost-EZ8,ES8)</f>
        <v>0</v>
      </c>
      <c r="FB8" s="20" t="n">
        <f aca="false">EZ8+FA8</f>
        <v>0</v>
      </c>
      <c r="FC8" s="20" t="n">
        <f aca="false">ES8-FA8+EW8*IF(Slot14_SpendLike=1,EY8-EZ8,IF(Slot14_PotFree=1,EY8,0))</f>
        <v>0</v>
      </c>
      <c r="FD8" s="20" t="n">
        <f aca="false">ET8+EW8*Slot14_BufPot*EY8</f>
        <v>0</v>
      </c>
      <c r="FE8" s="20" t="n">
        <f aca="false">IF(AND(EW8=1,Slot14_IsMfree=1),IF(FB8&gt;=Slot14_Cost-1,0,MAX(0,EU8-FB8)),EU8)</f>
        <v>197269.770715164</v>
      </c>
      <c r="FF8" s="20" t="n">
        <f aca="false">EW8*(Slot14_Cost-FB8)</f>
        <v>0</v>
      </c>
      <c r="FG8" s="20" t="n">
        <f aca="false">IF(AND(Slot15_On=1,D8=Slot15_Age),1,0)</f>
        <v>0</v>
      </c>
      <c r="FH8" s="20" t="n">
        <f aca="false">IF(AND(Slot15_On=1,Slot15_Age&gt;D8),1,0)</f>
        <v>0</v>
      </c>
      <c r="FI8" s="20" t="n">
        <f aca="false">SQ7</f>
        <v>0</v>
      </c>
      <c r="FJ8" s="20" t="n">
        <f aca="false">FG8*MIN(Slot15_Cost,FI8)</f>
        <v>0</v>
      </c>
      <c r="FK8" s="20" t="n">
        <f aca="false">FG8*Slot15_SpendLike*MIN(Slot15_Cost-FJ8,FC8)</f>
        <v>0</v>
      </c>
      <c r="FL8" s="20" t="n">
        <f aca="false">FJ8+FK8</f>
        <v>0</v>
      </c>
      <c r="FM8" s="20" t="n">
        <f aca="false">FC8-FK8+FG8*IF(Slot15_SpendLike=1,FI8-FJ8,IF(Slot15_PotFree=1,FI8,0))</f>
        <v>0</v>
      </c>
      <c r="FN8" s="20" t="n">
        <f aca="false">FD8+FG8*Slot15_BufPot*FI8</f>
        <v>0</v>
      </c>
      <c r="FO8" s="20" t="n">
        <f aca="false">IF(AND(FG8=1,Slot15_IsMfree=1),IF(FL8&gt;=Slot15_Cost-1,0,MAX(0,FE8-FL8)),FE8)</f>
        <v>197269.770715164</v>
      </c>
      <c r="FP8" s="20" t="n">
        <f aca="false">FG8*(Slot15_Cost-FL8)</f>
        <v>0</v>
      </c>
      <c r="FQ8" s="20" t="n">
        <f aca="false">IF(AND(Slot16_On=1,D8=Slot16_Age),1,0)</f>
        <v>0</v>
      </c>
      <c r="FR8" s="20" t="n">
        <f aca="false">IF(AND(Slot16_On=1,Slot16_Age&gt;D8),1,0)</f>
        <v>0</v>
      </c>
      <c r="FS8" s="20" t="n">
        <f aca="false">SU7</f>
        <v>0</v>
      </c>
      <c r="FT8" s="20" t="n">
        <f aca="false">FQ8*MIN(Slot16_Cost,FS8)</f>
        <v>0</v>
      </c>
      <c r="FU8" s="20" t="n">
        <f aca="false">FQ8*Slot16_SpendLike*MIN(Slot16_Cost-FT8,FM8)</f>
        <v>0</v>
      </c>
      <c r="FV8" s="20" t="n">
        <f aca="false">FT8+FU8</f>
        <v>0</v>
      </c>
      <c r="FW8" s="20" t="n">
        <f aca="false">FM8-FU8+FQ8*IF(Slot16_SpendLike=1,FS8-FT8,IF(Slot16_PotFree=1,FS8,0))</f>
        <v>0</v>
      </c>
      <c r="FX8" s="20" t="n">
        <f aca="false">FN8+FQ8*Slot16_BufPot*FS8</f>
        <v>0</v>
      </c>
      <c r="FY8" s="20" t="n">
        <f aca="false">IF(AND(FQ8=1,Slot16_IsMfree=1),IF(FV8&gt;=Slot16_Cost-1,0,MAX(0,FO8-FV8)),FO8)</f>
        <v>197269.770715164</v>
      </c>
      <c r="FZ8" s="20" t="n">
        <f aca="false">FQ8*(Slot16_Cost-FV8)</f>
        <v>0</v>
      </c>
      <c r="GA8" s="20" t="n">
        <f aca="false">IF(AND(Slot17_On=1,D8=Slot17_Age),1,0)</f>
        <v>0</v>
      </c>
      <c r="GB8" s="20" t="n">
        <f aca="false">IF(AND(Slot17_On=1,Slot17_Age&gt;D8),1,0)</f>
        <v>0</v>
      </c>
      <c r="GC8" s="20" t="n">
        <f aca="false">SY7</f>
        <v>0</v>
      </c>
      <c r="GD8" s="20" t="n">
        <f aca="false">GA8*MIN(Slot17_Cost,GC8)</f>
        <v>0</v>
      </c>
      <c r="GE8" s="20" t="n">
        <f aca="false">GA8*Slot17_SpendLike*MIN(Slot17_Cost-GD8,FW8)</f>
        <v>0</v>
      </c>
      <c r="GF8" s="20" t="n">
        <f aca="false">GD8+GE8</f>
        <v>0</v>
      </c>
      <c r="GG8" s="20" t="n">
        <f aca="false">FW8-GE8+GA8*IF(Slot17_SpendLike=1,GC8-GD8,IF(Slot17_PotFree=1,GC8,0))</f>
        <v>0</v>
      </c>
      <c r="GH8" s="20" t="n">
        <f aca="false">FX8+GA8*Slot17_BufPot*GC8</f>
        <v>0</v>
      </c>
      <c r="GI8" s="20" t="n">
        <f aca="false">IF(AND(GA8=1,Slot17_IsMfree=1),IF(GF8&gt;=Slot17_Cost-1,0,MAX(0,FY8-GF8)),FY8)</f>
        <v>197269.770715164</v>
      </c>
      <c r="GJ8" s="20" t="n">
        <f aca="false">GA8*(Slot17_Cost-GF8)</f>
        <v>0</v>
      </c>
      <c r="GK8" s="20" t="n">
        <f aca="false">IF(AND(Slot18_On=1,D8=Slot18_Age),1,0)</f>
        <v>0</v>
      </c>
      <c r="GL8" s="20" t="n">
        <f aca="false">IF(AND(Slot18_On=1,Slot18_Age&gt;D8),1,0)</f>
        <v>0</v>
      </c>
      <c r="GM8" s="20" t="n">
        <f aca="false">TC7</f>
        <v>0</v>
      </c>
      <c r="GN8" s="20" t="n">
        <f aca="false">GK8*MIN(Slot18_Cost,GM8)</f>
        <v>0</v>
      </c>
      <c r="GO8" s="20" t="n">
        <f aca="false">GK8*Slot18_SpendLike*MIN(Slot18_Cost-GN8,GG8)</f>
        <v>0</v>
      </c>
      <c r="GP8" s="20" t="n">
        <f aca="false">GN8+GO8</f>
        <v>0</v>
      </c>
      <c r="GQ8" s="20" t="n">
        <f aca="false">GG8-GO8+GK8*IF(Slot18_SpendLike=1,GM8-GN8,IF(Slot18_PotFree=1,GM8,0))</f>
        <v>0</v>
      </c>
      <c r="GR8" s="20" t="n">
        <f aca="false">GH8+GK8*Slot18_BufPot*GM8</f>
        <v>0</v>
      </c>
      <c r="GS8" s="20" t="n">
        <f aca="false">IF(AND(GK8=1,Slot18_IsMfree=1),IF(GP8&gt;=Slot18_Cost-1,0,MAX(0,GI8-GP8)),GI8)</f>
        <v>197269.770715164</v>
      </c>
      <c r="GT8" s="20" t="n">
        <f aca="false">GK8*(Slot18_Cost-GP8)</f>
        <v>0</v>
      </c>
      <c r="GU8" s="20" t="n">
        <f aca="false">IF(AND(Slot19_On=1,D8=Slot19_Age),1,0)</f>
        <v>0</v>
      </c>
      <c r="GV8" s="20" t="n">
        <f aca="false">IF(AND(Slot19_On=1,Slot19_Age&gt;D8),1,0)</f>
        <v>0</v>
      </c>
      <c r="GW8" s="20" t="n">
        <f aca="false">TG7</f>
        <v>0</v>
      </c>
      <c r="GX8" s="20" t="n">
        <f aca="false">GU8*MIN(Slot19_Cost,GW8)</f>
        <v>0</v>
      </c>
      <c r="GY8" s="20" t="n">
        <f aca="false">GU8*Slot19_SpendLike*MIN(Slot19_Cost-GX8,GQ8)</f>
        <v>0</v>
      </c>
      <c r="GZ8" s="20" t="n">
        <f aca="false">GX8+GY8</f>
        <v>0</v>
      </c>
      <c r="HA8" s="20" t="n">
        <f aca="false">GQ8-GY8+GU8*IF(Slot19_SpendLike=1,GW8-GX8,IF(Slot19_PotFree=1,GW8,0))</f>
        <v>0</v>
      </c>
      <c r="HB8" s="20" t="n">
        <f aca="false">GR8+GU8*Slot19_BufPot*GW8</f>
        <v>0</v>
      </c>
      <c r="HC8" s="20" t="n">
        <f aca="false">IF(AND(GU8=1,Slot19_IsMfree=1),IF(GZ8&gt;=Slot19_Cost-1,0,MAX(0,GS8-GZ8)),GS8)</f>
        <v>197269.770715164</v>
      </c>
      <c r="HD8" s="20" t="n">
        <f aca="false">GU8*(Slot19_Cost-GZ8)</f>
        <v>0</v>
      </c>
      <c r="HE8" s="20" t="n">
        <f aca="false">IF(AND(Slot20_On=1,D8=Slot20_Age),1,0)</f>
        <v>0</v>
      </c>
      <c r="HF8" s="20" t="n">
        <f aca="false">IF(AND(Slot20_On=1,Slot20_Age&gt;D8),1,0)</f>
        <v>0</v>
      </c>
      <c r="HG8" s="20" t="n">
        <f aca="false">TK7</f>
        <v>0</v>
      </c>
      <c r="HH8" s="20" t="n">
        <f aca="false">HE8*MIN(Slot20_Cost,HG8)</f>
        <v>0</v>
      </c>
      <c r="HI8" s="20" t="n">
        <f aca="false">HE8*Slot20_SpendLike*MIN(Slot20_Cost-HH8,HA8)</f>
        <v>0</v>
      </c>
      <c r="HJ8" s="20" t="n">
        <f aca="false">HH8+HI8</f>
        <v>0</v>
      </c>
      <c r="HK8" s="20" t="n">
        <f aca="false">HA8-HI8+HE8*IF(Slot20_SpendLike=1,HG8-HH8,IF(Slot20_PotFree=1,HG8,0))</f>
        <v>0</v>
      </c>
      <c r="HL8" s="20" t="n">
        <f aca="false">HB8+HE8*Slot20_BufPot*HG8</f>
        <v>0</v>
      </c>
      <c r="HM8" s="20" t="n">
        <f aca="false">IF(AND(HE8=1,Slot20_IsMfree=1),IF(HJ8&gt;=Slot20_Cost-1,0,MAX(0,HC8-HJ8)),HC8)</f>
        <v>197269.770715164</v>
      </c>
      <c r="HN8" s="20" t="n">
        <f aca="false">HE8*(Slot20_Cost-HJ8)</f>
        <v>0</v>
      </c>
      <c r="HO8" s="20" t="n">
        <f aca="false">V8*Slot1_SpendLike*AA8+AG8*Slot2_SpendLike*AL8+AQ8*Slot3_SpendLike*AV8+BA8*Slot4_SpendLike*BF8+BK8*Slot5_SpendLike*BP8+BU8*Slot6_SpendLike*BZ8+CE8*Slot7_SpendLike*CJ8+CO8*Slot8_SpendLike*CT8+CY8*Slot9_SpendLike*DD8+DI8*Slot10_SpendLike*DN8+DS8*Slot11_SpendLike*DX8+EC8*Slot12_SpendLike*EH8+EM8*Slot13_SpendLike*ER8+EW8*Slot14_SpendLike*FB8+FG8*Slot15_SpendLike*FL8+FQ8*Slot16_SpendLike*FV8+GA8*Slot17_SpendLike*GF8+GK8*Slot18_SpendLike*GP8+GU8*Slot19_SpendLike*GZ8+HE8*Slot20_SpendLike*HJ8</f>
        <v>0</v>
      </c>
      <c r="HP8" s="20" t="n">
        <f aca="false">AE8+AP8+AZ8+BJ8+BT8+CD8+CN8+CX8+DH8+DR8+EB8+EL8+EV8+FF8+FP8+FZ8+GJ8+GT8+HD8+HN8</f>
        <v>0</v>
      </c>
      <c r="HQ8" s="20" t="n">
        <f aca="false">V8*Slot1_Cost+AG8*Slot2_Cost+AQ8*Slot3_Cost+BA8*Slot4_Cost+BK8*Slot5_Cost+BU8*Slot6_Cost+CE8*Slot7_Cost+CO8*Slot8_Cost+CY8*Slot9_Cost+DI8*Slot10_Cost+DS8*Slot11_Cost+EC8*Slot12_Cost+EM8*Slot13_Cost+EW8*Slot14_Cost+FG8*Slot15_Cost+FQ8*Slot16_Cost+GA8*Slot17_Cost+GK8*Slot18_Cost+GU8*Slot19_Cost+HE8*Slot20_Cost</f>
        <v>0</v>
      </c>
      <c r="HR8" s="20" t="n">
        <f aca="false">HM8</f>
        <v>197269.770715164</v>
      </c>
      <c r="HS8" s="20" t="n">
        <f aca="false">H8-I8-S8</f>
        <v>1615.96054444905</v>
      </c>
      <c r="HT8" s="20" t="n">
        <f aca="false">IF(B8=0,IF(AND(Has_q6=1,In_q6=4),PR_ShareVaries*(MAX(0,HS8)/12),MIN(IF(Has_q6=1,CHOOSE(In_q6+1,PR_SaveB1,PR_SaveB2,PR_SaveB3,PR_SaveB4,0),AS_NoAnswer),AS_SaveShare*(MAX(0,HS8)/12))),HT7)</f>
        <v>67.3316893520437</v>
      </c>
      <c r="HU8" s="20" t="n">
        <f aca="false">IF(HS8&gt;=0,1,0)</f>
        <v>1</v>
      </c>
      <c r="HV8" s="20" t="n">
        <f aca="false">MAX(0,HS8/12/F8)</f>
        <v>134.663378704087</v>
      </c>
      <c r="HW8" s="20" t="n">
        <f aca="false">IF(AND(Has_q6=1,In_q6=4),PR_ShareVaries*(HV8),MIN(IF(Has_q6=1,CHOOSE(In_q6+1,PR_SaveB1,PR_SaveB2,PR_SaveB3,PR_SaveB4,0),AS_NoAnswer),AS_SaveShare*(HV8)))</f>
        <v>67.3316893520437</v>
      </c>
      <c r="HX8" s="20" t="n">
        <f aca="false">IF(Has_saveM=1,IF(In_saveUp="Yes",1,IF(In_saveUp="No",0,IF(In_saveM&gt;=HT8-0.5,1,0))),0)</f>
        <v>0</v>
      </c>
      <c r="HY8" s="20" t="n">
        <f aca="false">IF(Has_saveM=1,MIN(HV8,IF(HX8=1,MAX(In_saveM,HW8),MIN(In_saveM,HW8))),HW8)</f>
        <v>67.3316893520437</v>
      </c>
      <c r="HZ8" s="20" t="n">
        <f aca="false">IF(G8=1,HY8*12*F8,0)</f>
        <v>807.980272224524</v>
      </c>
      <c r="IA8" s="20" t="n">
        <f aca="false">MAX(0,HZ8+IF(AND(WI_Retire=0,WI_M&lt;0,G8=1),WI_M*12*F8,0))</f>
        <v>807.980272224524</v>
      </c>
      <c r="IB8" s="20" t="n">
        <f aca="false">Slot1_IsWG*W8+Slot2_IsWG*AH8+Slot3_IsWG*AR8+Slot4_IsWG*BB8+Slot5_IsWG*BL8+Slot6_IsWG*BV8+Slot7_IsWG*CF8+Slot8_IsWG*CP8+Slot9_IsWG*CZ8+Slot10_IsWG*DJ8+Slot11_IsWG*DT8+Slot12_IsWG*ED8+Slot13_IsWG*EN8+Slot14_IsWG*EX8+Slot15_IsWG*FH8+Slot16_IsWG*FR8+Slot17_IsWG*GB8+Slot18_IsWG*GL8+Slot19_IsWG*GV8+Slot20_IsWG*HF8</f>
        <v>0</v>
      </c>
      <c r="IC8" s="20" t="n">
        <f aca="false">IF(AND(WI_Retire=0,WI_M&gt;0,G8=1,IB8&gt;=1),WI_M*12*F8,0)</f>
        <v>0</v>
      </c>
      <c r="ID8" s="20" t="n">
        <f aca="false">IF(HU8=1,MIN(IA8,HS8),0)</f>
        <v>807.980272224524</v>
      </c>
      <c r="IE8" s="20" t="n">
        <f aca="false">IF(HU8=1,MIN(IC8,HS8-ID8),0)</f>
        <v>0</v>
      </c>
      <c r="IF8" s="20" t="n">
        <f aca="false">IF(W8=1,IF(ABS((1+AS_Wage)/(1+Slot1_Rate)-1)&lt;0.000000000001,(Slot1_Age-D8)*(1+Slot1_Rate)^(Slot1_Age-D8),(1+Slot1_Rate)^(Slot1_Age-D8)*(1-((1+AS_Wage)/(1+Slot1_Rate))^(Slot1_Age-D8))/(1-(1+AS_Wage)/(1+Slot1_Rate))),1)</f>
        <v>2.0604</v>
      </c>
      <c r="IG8" s="20" t="n">
        <f aca="false">IF(AND(HU8=1,IE8&gt;0,Slot1_IsWG=1,W8=1),MAX(0,(Slot1_Cost-X8*(1+Slot1_Rate)^(Slot1_Age-D8))/IF8),0)</f>
        <v>0</v>
      </c>
      <c r="IH8" s="20" t="n">
        <f aca="false">IF(AND(HU8=1,IE8&gt;0,Slot1_IsWG=1,W8=1),MIN(IE8,IG8),0)</f>
        <v>0</v>
      </c>
      <c r="II8" s="20" t="n">
        <f aca="false">X8+IH8</f>
        <v>9000</v>
      </c>
      <c r="IJ8" s="20" t="n">
        <f aca="false">IF(W8=1,MAX(0,(Slot1_Cost-II8*(1+Slot1_Rate)^(Slot1_Age-D8))/IF8),0)</f>
        <v>3118.37507280139</v>
      </c>
      <c r="IK8" s="20" t="n">
        <f aca="false">IF(W8=1,MAX(0,(Slot1_Cost-X8*(1+Slot1_Rate)^(Slot1_Age-D8))/IF8),0)</f>
        <v>3118.37507280139</v>
      </c>
      <c r="IL8" s="20" t="n">
        <f aca="false">IF(AND(HU8=1,W8=1),MIN(ID8,IJ8),0)</f>
        <v>807.980272224524</v>
      </c>
      <c r="IM8" s="20" t="n">
        <f aca="false">ID8-IL8</f>
        <v>0</v>
      </c>
      <c r="IN8" s="20" t="n">
        <f aca="false">IF(AH8=1,IF(ABS((1+AS_Wage)/(1+Slot2_Rate)-1)&lt;0.000000000001,(Slot2_Age-D8)*(1+Slot2_Rate)^(Slot2_Age-D8),(1+Slot2_Rate)^(Slot2_Age-D8)*(1-((1+AS_Wage)/(1+Slot2_Rate))^(Slot2_Age-D8))/(1-(1+AS_Wage)/(1+Slot2_Rate))),1)</f>
        <v>3.152513</v>
      </c>
      <c r="IO8" s="20" t="n">
        <f aca="false">IF(AND(HU8=1,IE8&gt;0,Slot2_IsWG=1,AH8=1),MAX(0,(Slot2_Cost-AI8*(1+Slot2_Rate)^(Slot2_Age-D8))/IN8),0)</f>
        <v>0</v>
      </c>
      <c r="IP8" s="20" t="n">
        <f aca="false">IF(AND(HU8=1,IE8&gt;0,Slot2_IsWG=1,AH8=1),MIN(IE8,IO8),0)</f>
        <v>0</v>
      </c>
      <c r="IQ8" s="20" t="n">
        <f aca="false">AI8+IP8</f>
        <v>6200</v>
      </c>
      <c r="IR8" s="20" t="n">
        <f aca="false">IF(AH8=1,MAX(0,(Slot2_Cost-IQ8*(1+Slot2_Rate)^(Slot2_Age-D8))/IN8),0)</f>
        <v>2013.19702726048</v>
      </c>
      <c r="IS8" s="20" t="n">
        <f aca="false">IF(AH8=1,MAX(0,(Slot2_Cost-AI8*(1+Slot2_Rate)^(Slot2_Age-D8))/IN8),0)</f>
        <v>2013.19702726048</v>
      </c>
      <c r="IT8" s="20" t="n">
        <f aca="false">IF(AND(HU8=1,AH8=1),MIN(IM8,IR8),0)</f>
        <v>0</v>
      </c>
      <c r="IU8" s="20" t="n">
        <f aca="false">IM8-IT8</f>
        <v>0</v>
      </c>
      <c r="IV8" s="20" t="n">
        <f aca="false">IF(AR8=1,IF(ABS((1+AS_Wage)/(1+Slot3_Rate)-1)&lt;0.000000000001,(Slot3_Age-D8)*(1+Slot3_Rate)^(Slot3_Age-D8),(1+Slot3_Rate)^(Slot3_Age-D8)*(1-((1+AS_Wage)/(1+Slot3_Rate))^(Slot3_Age-D8))/(1-(1+AS_Wage)/(1+Slot3_Rate))),1)</f>
        <v>13.1554321317536</v>
      </c>
      <c r="IW8" s="20" t="n">
        <f aca="false">IF(AND(HU8=1,IE8&gt;0,Slot3_IsWG=1,AR8=1),MAX(0,(Slot3_Cost-AS8*(1+Slot3_Rate)^(Slot3_Age-D8))/IV8),0)</f>
        <v>0</v>
      </c>
      <c r="IX8" s="20" t="n">
        <f aca="false">IF(AND(HU8=1,IE8&gt;0,Slot3_IsWG=1,AR8=1),MIN(IE8,IW8),0)</f>
        <v>0</v>
      </c>
      <c r="IY8" s="20" t="n">
        <f aca="false">AS8+IX8</f>
        <v>0</v>
      </c>
      <c r="IZ8" s="20" t="n">
        <f aca="false">IF(AR8=1,MAX(0,(Slot3_Cost-IY8*(1+Slot3_Rate)^(Slot3_Age-D8))/IV8),0)</f>
        <v>4633.04590752452</v>
      </c>
      <c r="JA8" s="20" t="n">
        <f aca="false">IF(AR8=1,MAX(0,(Slot3_Cost-AS8*(1+Slot3_Rate)^(Slot3_Age-D8))/IV8),0)</f>
        <v>4633.04590752452</v>
      </c>
      <c r="JB8" s="20" t="n">
        <f aca="false">IF(AND(HU8=1,AR8=1),MIN(IU8,IZ8),0)</f>
        <v>0</v>
      </c>
      <c r="JC8" s="20" t="n">
        <f aca="false">IU8-JB8</f>
        <v>0</v>
      </c>
      <c r="JD8" s="20" t="n">
        <f aca="false">IF(BB8=1,IF(ABS((1+AS_Wage)/(1+Slot4_Rate)-1)&lt;0.000000000001,(Slot4_Age-D8)*(1+Slot4_Rate)^(Slot4_Age-D8),(1+Slot4_Rate)^(Slot4_Age-D8)*(1-((1+AS_Wage)/(1+Slot4_Rate))^(Slot4_Age-D8))/(1-(1+AS_Wage)/(1+Slot4_Rate))),1)</f>
        <v>27.1363771990808</v>
      </c>
      <c r="JE8" s="20" t="n">
        <f aca="false">IF(AND(HU8=1,IE8&gt;0,Slot4_IsWG=1,BB8=1),MAX(0,(Slot4_Cost-BC8*(1+Slot4_Rate)^(Slot4_Age-D8))/JD8),0)</f>
        <v>0</v>
      </c>
      <c r="JF8" s="20" t="n">
        <f aca="false">IF(AND(HU8=1,IE8&gt;0,Slot4_IsWG=1,BB8=1),MIN(IE8,JE8),0)</f>
        <v>0</v>
      </c>
      <c r="JG8" s="20" t="n">
        <f aca="false">BC8+JF8</f>
        <v>0</v>
      </c>
      <c r="JH8" s="20" t="n">
        <f aca="false">IF(BB8=1,MAX(0,(Slot4_Cost-JG8*(1+Slot4_Rate)^(Slot4_Age-D8))/JD8),0)</f>
        <v>1474.7692869697</v>
      </c>
      <c r="JI8" s="20" t="n">
        <f aca="false">IF(BB8=1,MAX(0,(Slot4_Cost-BC8*(1+Slot4_Rate)^(Slot4_Age-D8))/JD8),0)</f>
        <v>1474.7692869697</v>
      </c>
      <c r="JJ8" s="20" t="n">
        <f aca="false">IF(AND(HU8=1,BB8=1),MIN(JC8,JH8),0)</f>
        <v>0</v>
      </c>
      <c r="JK8" s="20" t="n">
        <f aca="false">JC8-JJ8</f>
        <v>0</v>
      </c>
      <c r="JL8" s="20" t="n">
        <f aca="false">IF(BL8=1,IF(ABS((1+AS_Wage)/(1+Slot5_Rate)-1)&lt;0.000000000001,(Slot5_Age-D8)*(1+Slot5_Rate)^(Slot5_Age-D8),(1+Slot5_Rate)^(Slot5_Age-D8)*(1-((1+AS_Wage)/(1+Slot5_Rate))^(Slot5_Age-D8))/(1-(1+AS_Wage)/(1+Slot5_Rate))),1)</f>
        <v>1</v>
      </c>
      <c r="JM8" s="20" t="n">
        <f aca="false">IF(AND(HU8=1,IE8&gt;0,Slot5_IsWG=1,BL8=1),MAX(0,(Slot5_Cost-BM8*(1+Slot5_Rate)^(Slot5_Age-D8))/JL8),0)</f>
        <v>0</v>
      </c>
      <c r="JN8" s="20" t="n">
        <f aca="false">IF(AND(HU8=1,IE8&gt;0,Slot5_IsWG=1,BL8=1),MIN(IE8,JM8),0)</f>
        <v>0</v>
      </c>
      <c r="JO8" s="20" t="n">
        <f aca="false">BM8+JN8</f>
        <v>0</v>
      </c>
      <c r="JP8" s="20" t="n">
        <f aca="false">IF(BL8=1,MAX(0,(Slot5_Cost-JO8*(1+Slot5_Rate)^(Slot5_Age-D8))/JL8),0)</f>
        <v>0</v>
      </c>
      <c r="JQ8" s="20" t="n">
        <f aca="false">IF(BL8=1,MAX(0,(Slot5_Cost-BM8*(1+Slot5_Rate)^(Slot5_Age-D8))/JL8),0)</f>
        <v>0</v>
      </c>
      <c r="JR8" s="20" t="n">
        <f aca="false">IF(AND(HU8=1,BL8=1),MIN(JK8,JP8),0)</f>
        <v>0</v>
      </c>
      <c r="JS8" s="20" t="n">
        <f aca="false">JK8-JR8</f>
        <v>0</v>
      </c>
      <c r="JT8" s="20" t="n">
        <f aca="false">IF(BV8=1,IF(ABS((1+AS_Wage)/(1+Slot6_Rate)-1)&lt;0.000000000001,(Slot6_Age-D8)*(1+Slot6_Rate)^(Slot6_Age-D8),(1+Slot6_Rate)^(Slot6_Age-D8)*(1-((1+AS_Wage)/(1+Slot6_Rate))^(Slot6_Age-D8))/(1-(1+AS_Wage)/(1+Slot6_Rate))),1)</f>
        <v>1</v>
      </c>
      <c r="JU8" s="20" t="n">
        <f aca="false">IF(AND(HU8=1,IE8&gt;0,Slot6_IsWG=1,BV8=1),MAX(0,(Slot6_Cost-BW8*(1+Slot6_Rate)^(Slot6_Age-D8))/JT8),0)</f>
        <v>0</v>
      </c>
      <c r="JV8" s="20" t="n">
        <f aca="false">IF(AND(HU8=1,IE8&gt;0,Slot6_IsWG=1,BV8=1),MIN(IE8,JU8),0)</f>
        <v>0</v>
      </c>
      <c r="JW8" s="20" t="n">
        <f aca="false">BW8+JV8</f>
        <v>0</v>
      </c>
      <c r="JX8" s="20" t="n">
        <f aca="false">IF(BV8=1,MAX(0,(Slot6_Cost-JW8*(1+Slot6_Rate)^(Slot6_Age-D8))/JT8),0)</f>
        <v>0</v>
      </c>
      <c r="JY8" s="20" t="n">
        <f aca="false">IF(BV8=1,MAX(0,(Slot6_Cost-BW8*(1+Slot6_Rate)^(Slot6_Age-D8))/JT8),0)</f>
        <v>0</v>
      </c>
      <c r="JZ8" s="20" t="n">
        <f aca="false">IF(AND(HU8=1,BV8=1),MIN(JS8,JX8),0)</f>
        <v>0</v>
      </c>
      <c r="KA8" s="20" t="n">
        <f aca="false">JS8-JZ8</f>
        <v>0</v>
      </c>
      <c r="KB8" s="20" t="n">
        <f aca="false">IF(CF8=1,IF(ABS((1+AS_Wage)/(1+Slot7_Rate)-1)&lt;0.000000000001,(Slot7_Age-D8)*(1+Slot7_Rate)^(Slot7_Age-D8),(1+Slot7_Rate)^(Slot7_Age-D8)*(1-((1+AS_Wage)/(1+Slot7_Rate))^(Slot7_Age-D8))/(1-(1+AS_Wage)/(1+Slot7_Rate))),1)</f>
        <v>1</v>
      </c>
      <c r="KC8" s="20" t="n">
        <f aca="false">IF(AND(HU8=1,IE8&gt;0,Slot7_IsWG=1,CF8=1),MAX(0,(Slot7_Cost-CG8*(1+Slot7_Rate)^(Slot7_Age-D8))/KB8),0)</f>
        <v>0</v>
      </c>
      <c r="KD8" s="20" t="n">
        <f aca="false">IF(AND(HU8=1,IE8&gt;0,Slot7_IsWG=1,CF8=1),MIN(IE8,KC8),0)</f>
        <v>0</v>
      </c>
      <c r="KE8" s="20" t="n">
        <f aca="false">CG8+KD8</f>
        <v>0</v>
      </c>
      <c r="KF8" s="20" t="n">
        <f aca="false">IF(CF8=1,MAX(0,(Slot7_Cost-KE8*(1+Slot7_Rate)^(Slot7_Age-D8))/KB8),0)</f>
        <v>0</v>
      </c>
      <c r="KG8" s="20" t="n">
        <f aca="false">IF(CF8=1,MAX(0,(Slot7_Cost-CG8*(1+Slot7_Rate)^(Slot7_Age-D8))/KB8),0)</f>
        <v>0</v>
      </c>
      <c r="KH8" s="20" t="n">
        <f aca="false">IF(AND(HU8=1,CF8=1),MIN(KA8,KF8),0)</f>
        <v>0</v>
      </c>
      <c r="KI8" s="20" t="n">
        <f aca="false">KA8-KH8</f>
        <v>0</v>
      </c>
      <c r="KJ8" s="20" t="n">
        <f aca="false">IF(CP8=1,IF(ABS((1+AS_Wage)/(1+Slot8_Rate)-1)&lt;0.000000000001,(Slot8_Age-D8)*(1+Slot8_Rate)^(Slot8_Age-D8),(1+Slot8_Rate)^(Slot8_Age-D8)*(1-((1+AS_Wage)/(1+Slot8_Rate))^(Slot8_Age-D8))/(1-(1+AS_Wage)/(1+Slot8_Rate))),1)</f>
        <v>1</v>
      </c>
      <c r="KK8" s="20" t="n">
        <f aca="false">IF(AND(HU8=1,IE8&gt;0,Slot8_IsWG=1,CP8=1),MAX(0,(Slot8_Cost-CQ8*(1+Slot8_Rate)^(Slot8_Age-D8))/KJ8),0)</f>
        <v>0</v>
      </c>
      <c r="KL8" s="20" t="n">
        <f aca="false">IF(AND(HU8=1,IE8&gt;0,Slot8_IsWG=1,CP8=1),MIN(IE8,KK8),0)</f>
        <v>0</v>
      </c>
      <c r="KM8" s="20" t="n">
        <f aca="false">CQ8+KL8</f>
        <v>0</v>
      </c>
      <c r="KN8" s="20" t="n">
        <f aca="false">IF(CP8=1,MAX(0,(Slot8_Cost-KM8*(1+Slot8_Rate)^(Slot8_Age-D8))/KJ8),0)</f>
        <v>0</v>
      </c>
      <c r="KO8" s="20" t="n">
        <f aca="false">IF(CP8=1,MAX(0,(Slot8_Cost-CQ8*(1+Slot8_Rate)^(Slot8_Age-D8))/KJ8),0)</f>
        <v>0</v>
      </c>
      <c r="KP8" s="20" t="n">
        <f aca="false">IF(AND(HU8=1,CP8=1),MIN(KI8,KN8),0)</f>
        <v>0</v>
      </c>
      <c r="KQ8" s="20" t="n">
        <f aca="false">KI8-KP8</f>
        <v>0</v>
      </c>
      <c r="KR8" s="20" t="n">
        <f aca="false">IF(CZ8=1,IF(ABS((1+AS_Wage)/(1+Slot9_Rate)-1)&lt;0.000000000001,(Slot9_Age-D8)*(1+Slot9_Rate)^(Slot9_Age-D8),(1+Slot9_Rate)^(Slot9_Age-D8)*(1-((1+AS_Wage)/(1+Slot9_Rate))^(Slot9_Age-D8))/(1-(1+AS_Wage)/(1+Slot9_Rate))),1)</f>
        <v>1</v>
      </c>
      <c r="KS8" s="20" t="n">
        <f aca="false">IF(AND(HU8=1,IE8&gt;0,Slot9_IsWG=1,CZ8=1),MAX(0,(Slot9_Cost-DA8*(1+Slot9_Rate)^(Slot9_Age-D8))/KR8),0)</f>
        <v>0</v>
      </c>
      <c r="KT8" s="20" t="n">
        <f aca="false">IF(AND(HU8=1,IE8&gt;0,Slot9_IsWG=1,CZ8=1),MIN(IE8,KS8),0)</f>
        <v>0</v>
      </c>
      <c r="KU8" s="20" t="n">
        <f aca="false">DA8+KT8</f>
        <v>0</v>
      </c>
      <c r="KV8" s="20" t="n">
        <f aca="false">IF(CZ8=1,MAX(0,(Slot9_Cost-KU8*(1+Slot9_Rate)^(Slot9_Age-D8))/KR8),0)</f>
        <v>0</v>
      </c>
      <c r="KW8" s="20" t="n">
        <f aca="false">IF(CZ8=1,MAX(0,(Slot9_Cost-DA8*(1+Slot9_Rate)^(Slot9_Age-D8))/KR8),0)</f>
        <v>0</v>
      </c>
      <c r="KX8" s="20" t="n">
        <f aca="false">IF(AND(HU8=1,CZ8=1),MIN(KQ8,KV8),0)</f>
        <v>0</v>
      </c>
      <c r="KY8" s="20" t="n">
        <f aca="false">KQ8-KX8</f>
        <v>0</v>
      </c>
      <c r="KZ8" s="20" t="n">
        <f aca="false">IF(DJ8=1,IF(ABS((1+AS_Wage)/(1+Slot10_Rate)-1)&lt;0.000000000001,(Slot10_Age-D8)*(1+Slot10_Rate)^(Slot10_Age-D8),(1+Slot10_Rate)^(Slot10_Age-D8)*(1-((1+AS_Wage)/(1+Slot10_Rate))^(Slot10_Age-D8))/(1-(1+AS_Wage)/(1+Slot10_Rate))),1)</f>
        <v>1</v>
      </c>
      <c r="LA8" s="20" t="n">
        <f aca="false">IF(AND(HU8=1,IE8&gt;0,Slot10_IsWG=1,DJ8=1),MAX(0,(Slot10_Cost-DK8*(1+Slot10_Rate)^(Slot10_Age-D8))/KZ8),0)</f>
        <v>0</v>
      </c>
      <c r="LB8" s="20" t="n">
        <f aca="false">IF(AND(HU8=1,IE8&gt;0,Slot10_IsWG=1,DJ8=1),MIN(IE8,LA8),0)</f>
        <v>0</v>
      </c>
      <c r="LC8" s="20" t="n">
        <f aca="false">DK8+LB8</f>
        <v>0</v>
      </c>
      <c r="LD8" s="20" t="n">
        <f aca="false">IF(DJ8=1,MAX(0,(Slot10_Cost-LC8*(1+Slot10_Rate)^(Slot10_Age-D8))/KZ8),0)</f>
        <v>0</v>
      </c>
      <c r="LE8" s="20" t="n">
        <f aca="false">IF(DJ8=1,MAX(0,(Slot10_Cost-DK8*(1+Slot10_Rate)^(Slot10_Age-D8))/KZ8),0)</f>
        <v>0</v>
      </c>
      <c r="LF8" s="20" t="n">
        <f aca="false">IF(AND(HU8=1,DJ8=1),MIN(KY8,LD8),0)</f>
        <v>0</v>
      </c>
      <c r="LG8" s="20" t="n">
        <f aca="false">KY8-LF8</f>
        <v>0</v>
      </c>
      <c r="LH8" s="20" t="n">
        <f aca="false">IF(DT8=1,IF(ABS((1+AS_Wage)/(1+Slot11_Rate)-1)&lt;0.000000000001,(Slot11_Age-D8)*(1+Slot11_Rate)^(Slot11_Age-D8),(1+Slot11_Rate)^(Slot11_Age-D8)*(1-((1+AS_Wage)/(1+Slot11_Rate))^(Slot11_Age-D8))/(1-(1+AS_Wage)/(1+Slot11_Rate))),1)</f>
        <v>1</v>
      </c>
      <c r="LI8" s="20" t="n">
        <f aca="false">IF(AND(HU8=1,IE8&gt;0,Slot11_IsWG=1,DT8=1),MAX(0,(Slot11_Cost-DU8*(1+Slot11_Rate)^(Slot11_Age-D8))/LH8),0)</f>
        <v>0</v>
      </c>
      <c r="LJ8" s="20" t="n">
        <f aca="false">IF(AND(HU8=1,IE8&gt;0,Slot11_IsWG=1,DT8=1),MIN(IE8,LI8),0)</f>
        <v>0</v>
      </c>
      <c r="LK8" s="20" t="n">
        <f aca="false">DU8+LJ8</f>
        <v>0</v>
      </c>
      <c r="LL8" s="20" t="n">
        <f aca="false">IF(DT8=1,MAX(0,(Slot11_Cost-LK8*(1+Slot11_Rate)^(Slot11_Age-D8))/LH8),0)</f>
        <v>0</v>
      </c>
      <c r="LM8" s="20" t="n">
        <f aca="false">IF(DT8=1,MAX(0,(Slot11_Cost-DU8*(1+Slot11_Rate)^(Slot11_Age-D8))/LH8),0)</f>
        <v>0</v>
      </c>
      <c r="LN8" s="20" t="n">
        <f aca="false">IF(AND(HU8=1,DT8=1),MIN(LG8,LL8),0)</f>
        <v>0</v>
      </c>
      <c r="LO8" s="20" t="n">
        <f aca="false">LG8-LN8</f>
        <v>0</v>
      </c>
      <c r="LP8" s="20" t="n">
        <f aca="false">IF(ED8=1,IF(ABS((1+AS_Wage)/(1+Slot12_Rate)-1)&lt;0.000000000001,(Slot12_Age-D8)*(1+Slot12_Rate)^(Slot12_Age-D8),(1+Slot12_Rate)^(Slot12_Age-D8)*(1-((1+AS_Wage)/(1+Slot12_Rate))^(Slot12_Age-D8))/(1-(1+AS_Wage)/(1+Slot12_Rate))),1)</f>
        <v>1</v>
      </c>
      <c r="LQ8" s="20" t="n">
        <f aca="false">IF(AND(HU8=1,IE8&gt;0,Slot12_IsWG=1,ED8=1),MAX(0,(Slot12_Cost-EE8*(1+Slot12_Rate)^(Slot12_Age-D8))/LP8),0)</f>
        <v>0</v>
      </c>
      <c r="LR8" s="20" t="n">
        <f aca="false">IF(AND(HU8=1,IE8&gt;0,Slot12_IsWG=1,ED8=1),MIN(IE8,LQ8),0)</f>
        <v>0</v>
      </c>
      <c r="LS8" s="20" t="n">
        <f aca="false">EE8+LR8</f>
        <v>0</v>
      </c>
      <c r="LT8" s="20" t="n">
        <f aca="false">IF(ED8=1,MAX(0,(Slot12_Cost-LS8*(1+Slot12_Rate)^(Slot12_Age-D8))/LP8),0)</f>
        <v>0</v>
      </c>
      <c r="LU8" s="20" t="n">
        <f aca="false">IF(ED8=1,MAX(0,(Slot12_Cost-EE8*(1+Slot12_Rate)^(Slot12_Age-D8))/LP8),0)</f>
        <v>0</v>
      </c>
      <c r="LV8" s="20" t="n">
        <f aca="false">IF(AND(HU8=1,ED8=1),MIN(LO8,LT8),0)</f>
        <v>0</v>
      </c>
      <c r="LW8" s="20" t="n">
        <f aca="false">LO8-LV8</f>
        <v>0</v>
      </c>
      <c r="LX8" s="20" t="n">
        <f aca="false">IF(EN8=1,IF(ABS((1+AS_Wage)/(1+Slot13_Rate)-1)&lt;0.000000000001,(Slot13_Age-D8)*(1+Slot13_Rate)^(Slot13_Age-D8),(1+Slot13_Rate)^(Slot13_Age-D8)*(1-((1+AS_Wage)/(1+Slot13_Rate))^(Slot13_Age-D8))/(1-(1+AS_Wage)/(1+Slot13_Rate))),1)</f>
        <v>1</v>
      </c>
      <c r="LY8" s="20" t="n">
        <f aca="false">IF(AND(HU8=1,IE8&gt;0,Slot13_IsWG=1,EN8=1),MAX(0,(Slot13_Cost-EO8*(1+Slot13_Rate)^(Slot13_Age-D8))/LX8),0)</f>
        <v>0</v>
      </c>
      <c r="LZ8" s="20" t="n">
        <f aca="false">IF(AND(HU8=1,IE8&gt;0,Slot13_IsWG=1,EN8=1),MIN(IE8,LY8),0)</f>
        <v>0</v>
      </c>
      <c r="MA8" s="20" t="n">
        <f aca="false">EO8+LZ8</f>
        <v>0</v>
      </c>
      <c r="MB8" s="20" t="n">
        <f aca="false">IF(EN8=1,MAX(0,(Slot13_Cost-MA8*(1+Slot13_Rate)^(Slot13_Age-D8))/LX8),0)</f>
        <v>0</v>
      </c>
      <c r="MC8" s="20" t="n">
        <f aca="false">IF(EN8=1,MAX(0,(Slot13_Cost-EO8*(1+Slot13_Rate)^(Slot13_Age-D8))/LX8),0)</f>
        <v>0</v>
      </c>
      <c r="MD8" s="20" t="n">
        <f aca="false">IF(AND(HU8=1,EN8=1),MIN(LW8,MB8),0)</f>
        <v>0</v>
      </c>
      <c r="ME8" s="20" t="n">
        <f aca="false">LW8-MD8</f>
        <v>0</v>
      </c>
      <c r="MF8" s="20" t="n">
        <f aca="false">IF(EX8=1,IF(ABS((1+AS_Wage)/(1+Slot14_Rate)-1)&lt;0.000000000001,(Slot14_Age-D8)*(1+Slot14_Rate)^(Slot14_Age-D8),(1+Slot14_Rate)^(Slot14_Age-D8)*(1-((1+AS_Wage)/(1+Slot14_Rate))^(Slot14_Age-D8))/(1-(1+AS_Wage)/(1+Slot14_Rate))),1)</f>
        <v>1</v>
      </c>
      <c r="MG8" s="20" t="n">
        <f aca="false">IF(AND(HU8=1,IE8&gt;0,Slot14_IsWG=1,EX8=1),MAX(0,(Slot14_Cost-EY8*(1+Slot14_Rate)^(Slot14_Age-D8))/MF8),0)</f>
        <v>0</v>
      </c>
      <c r="MH8" s="20" t="n">
        <f aca="false">IF(AND(HU8=1,IE8&gt;0,Slot14_IsWG=1,EX8=1),MIN(IE8,MG8),0)</f>
        <v>0</v>
      </c>
      <c r="MI8" s="20" t="n">
        <f aca="false">EY8+MH8</f>
        <v>0</v>
      </c>
      <c r="MJ8" s="20" t="n">
        <f aca="false">IF(EX8=1,MAX(0,(Slot14_Cost-MI8*(1+Slot14_Rate)^(Slot14_Age-D8))/MF8),0)</f>
        <v>0</v>
      </c>
      <c r="MK8" s="20" t="n">
        <f aca="false">IF(EX8=1,MAX(0,(Slot14_Cost-EY8*(1+Slot14_Rate)^(Slot14_Age-D8))/MF8),0)</f>
        <v>0</v>
      </c>
      <c r="ML8" s="20" t="n">
        <f aca="false">IF(AND(HU8=1,EX8=1),MIN(ME8,MJ8),0)</f>
        <v>0</v>
      </c>
      <c r="MM8" s="20" t="n">
        <f aca="false">ME8-ML8</f>
        <v>0</v>
      </c>
      <c r="MN8" s="20" t="n">
        <f aca="false">IF(FH8=1,IF(ABS((1+AS_Wage)/(1+Slot15_Rate)-1)&lt;0.000000000001,(Slot15_Age-D8)*(1+Slot15_Rate)^(Slot15_Age-D8),(1+Slot15_Rate)^(Slot15_Age-D8)*(1-((1+AS_Wage)/(1+Slot15_Rate))^(Slot15_Age-D8))/(1-(1+AS_Wage)/(1+Slot15_Rate))),1)</f>
        <v>1</v>
      </c>
      <c r="MO8" s="20" t="n">
        <f aca="false">IF(AND(HU8=1,IE8&gt;0,Slot15_IsWG=1,FH8=1),MAX(0,(Slot15_Cost-FI8*(1+Slot15_Rate)^(Slot15_Age-D8))/MN8),0)</f>
        <v>0</v>
      </c>
      <c r="MP8" s="20" t="n">
        <f aca="false">IF(AND(HU8=1,IE8&gt;0,Slot15_IsWG=1,FH8=1),MIN(IE8,MO8),0)</f>
        <v>0</v>
      </c>
      <c r="MQ8" s="20" t="n">
        <f aca="false">FI8+MP8</f>
        <v>0</v>
      </c>
      <c r="MR8" s="20" t="n">
        <f aca="false">IF(FH8=1,MAX(0,(Slot15_Cost-MQ8*(1+Slot15_Rate)^(Slot15_Age-D8))/MN8),0)</f>
        <v>0</v>
      </c>
      <c r="MS8" s="20" t="n">
        <f aca="false">IF(FH8=1,MAX(0,(Slot15_Cost-FI8*(1+Slot15_Rate)^(Slot15_Age-D8))/MN8),0)</f>
        <v>0</v>
      </c>
      <c r="MT8" s="20" t="n">
        <f aca="false">IF(AND(HU8=1,FH8=1),MIN(MM8,MR8),0)</f>
        <v>0</v>
      </c>
      <c r="MU8" s="20" t="n">
        <f aca="false">MM8-MT8</f>
        <v>0</v>
      </c>
      <c r="MV8" s="20" t="n">
        <f aca="false">IF(FR8=1,IF(ABS((1+AS_Wage)/(1+Slot16_Rate)-1)&lt;0.000000000001,(Slot16_Age-D8)*(1+Slot16_Rate)^(Slot16_Age-D8),(1+Slot16_Rate)^(Slot16_Age-D8)*(1-((1+AS_Wage)/(1+Slot16_Rate))^(Slot16_Age-D8))/(1-(1+AS_Wage)/(1+Slot16_Rate))),1)</f>
        <v>1</v>
      </c>
      <c r="MW8" s="20" t="n">
        <f aca="false">IF(AND(HU8=1,IE8&gt;0,Slot16_IsWG=1,FR8=1),MAX(0,(Slot16_Cost-FS8*(1+Slot16_Rate)^(Slot16_Age-D8))/MV8),0)</f>
        <v>0</v>
      </c>
      <c r="MX8" s="20" t="n">
        <f aca="false">IF(AND(HU8=1,IE8&gt;0,Slot16_IsWG=1,FR8=1),MIN(IE8,MW8),0)</f>
        <v>0</v>
      </c>
      <c r="MY8" s="20" t="n">
        <f aca="false">FS8+MX8</f>
        <v>0</v>
      </c>
      <c r="MZ8" s="20" t="n">
        <f aca="false">IF(FR8=1,MAX(0,(Slot16_Cost-MY8*(1+Slot16_Rate)^(Slot16_Age-D8))/MV8),0)</f>
        <v>0</v>
      </c>
      <c r="NA8" s="20" t="n">
        <f aca="false">IF(FR8=1,MAX(0,(Slot16_Cost-FS8*(1+Slot16_Rate)^(Slot16_Age-D8))/MV8),0)</f>
        <v>0</v>
      </c>
      <c r="NB8" s="20" t="n">
        <f aca="false">IF(AND(HU8=1,FR8=1),MIN(MU8,MZ8),0)</f>
        <v>0</v>
      </c>
      <c r="NC8" s="20" t="n">
        <f aca="false">MU8-NB8</f>
        <v>0</v>
      </c>
      <c r="ND8" s="20" t="n">
        <f aca="false">IF(GB8=1,IF(ABS((1+AS_Wage)/(1+Slot17_Rate)-1)&lt;0.000000000001,(Slot17_Age-D8)*(1+Slot17_Rate)^(Slot17_Age-D8),(1+Slot17_Rate)^(Slot17_Age-D8)*(1-((1+AS_Wage)/(1+Slot17_Rate))^(Slot17_Age-D8))/(1-(1+AS_Wage)/(1+Slot17_Rate))),1)</f>
        <v>1</v>
      </c>
      <c r="NE8" s="20" t="n">
        <f aca="false">IF(AND(HU8=1,IE8&gt;0,Slot17_IsWG=1,GB8=1),MAX(0,(Slot17_Cost-GC8*(1+Slot17_Rate)^(Slot17_Age-D8))/ND8),0)</f>
        <v>0</v>
      </c>
      <c r="NF8" s="20" t="n">
        <f aca="false">IF(AND(HU8=1,IE8&gt;0,Slot17_IsWG=1,GB8=1),MIN(IE8,NE8),0)</f>
        <v>0</v>
      </c>
      <c r="NG8" s="20" t="n">
        <f aca="false">GC8+NF8</f>
        <v>0</v>
      </c>
      <c r="NH8" s="20" t="n">
        <f aca="false">IF(GB8=1,MAX(0,(Slot17_Cost-NG8*(1+Slot17_Rate)^(Slot17_Age-D8))/ND8),0)</f>
        <v>0</v>
      </c>
      <c r="NI8" s="20" t="n">
        <f aca="false">IF(GB8=1,MAX(0,(Slot17_Cost-GC8*(1+Slot17_Rate)^(Slot17_Age-D8))/ND8),0)</f>
        <v>0</v>
      </c>
      <c r="NJ8" s="20" t="n">
        <f aca="false">IF(AND(HU8=1,GB8=1),MIN(NC8,NH8),0)</f>
        <v>0</v>
      </c>
      <c r="NK8" s="20" t="n">
        <f aca="false">NC8-NJ8</f>
        <v>0</v>
      </c>
      <c r="NL8" s="20" t="n">
        <f aca="false">IF(GL8=1,IF(ABS((1+AS_Wage)/(1+Slot18_Rate)-1)&lt;0.000000000001,(Slot18_Age-D8)*(1+Slot18_Rate)^(Slot18_Age-D8),(1+Slot18_Rate)^(Slot18_Age-D8)*(1-((1+AS_Wage)/(1+Slot18_Rate))^(Slot18_Age-D8))/(1-(1+AS_Wage)/(1+Slot18_Rate))),1)</f>
        <v>1</v>
      </c>
      <c r="NM8" s="20" t="n">
        <f aca="false">IF(AND(HU8=1,IE8&gt;0,Slot18_IsWG=1,GL8=1),MAX(0,(Slot18_Cost-GM8*(1+Slot18_Rate)^(Slot18_Age-D8))/NL8),0)</f>
        <v>0</v>
      </c>
      <c r="NN8" s="20" t="n">
        <f aca="false">IF(AND(HU8=1,IE8&gt;0,Slot18_IsWG=1,GL8=1),MIN(IE8,NM8),0)</f>
        <v>0</v>
      </c>
      <c r="NO8" s="20" t="n">
        <f aca="false">GM8+NN8</f>
        <v>0</v>
      </c>
      <c r="NP8" s="20" t="n">
        <f aca="false">IF(GL8=1,MAX(0,(Slot18_Cost-NO8*(1+Slot18_Rate)^(Slot18_Age-D8))/NL8),0)</f>
        <v>0</v>
      </c>
      <c r="NQ8" s="20" t="n">
        <f aca="false">IF(GL8=1,MAX(0,(Slot18_Cost-GM8*(1+Slot18_Rate)^(Slot18_Age-D8))/NL8),0)</f>
        <v>0</v>
      </c>
      <c r="NR8" s="20" t="n">
        <f aca="false">IF(AND(HU8=1,GL8=1),MIN(NK8,NP8),0)</f>
        <v>0</v>
      </c>
      <c r="NS8" s="20" t="n">
        <f aca="false">NK8-NR8</f>
        <v>0</v>
      </c>
      <c r="NT8" s="20" t="n">
        <f aca="false">IF(GV8=1,IF(ABS((1+AS_Wage)/(1+Slot19_Rate)-1)&lt;0.000000000001,(Slot19_Age-D8)*(1+Slot19_Rate)^(Slot19_Age-D8),(1+Slot19_Rate)^(Slot19_Age-D8)*(1-((1+AS_Wage)/(1+Slot19_Rate))^(Slot19_Age-D8))/(1-(1+AS_Wage)/(1+Slot19_Rate))),1)</f>
        <v>1</v>
      </c>
      <c r="NU8" s="20" t="n">
        <f aca="false">IF(AND(HU8=1,IE8&gt;0,Slot19_IsWG=1,GV8=1),MAX(0,(Slot19_Cost-GW8*(1+Slot19_Rate)^(Slot19_Age-D8))/NT8),0)</f>
        <v>0</v>
      </c>
      <c r="NV8" s="20" t="n">
        <f aca="false">IF(AND(HU8=1,IE8&gt;0,Slot19_IsWG=1,GV8=1),MIN(IE8,NU8),0)</f>
        <v>0</v>
      </c>
      <c r="NW8" s="20" t="n">
        <f aca="false">GW8+NV8</f>
        <v>0</v>
      </c>
      <c r="NX8" s="20" t="n">
        <f aca="false">IF(GV8=1,MAX(0,(Slot19_Cost-NW8*(1+Slot19_Rate)^(Slot19_Age-D8))/NT8),0)</f>
        <v>0</v>
      </c>
      <c r="NY8" s="20" t="n">
        <f aca="false">IF(GV8=1,MAX(0,(Slot19_Cost-GW8*(1+Slot19_Rate)^(Slot19_Age-D8))/NT8),0)</f>
        <v>0</v>
      </c>
      <c r="NZ8" s="20" t="n">
        <f aca="false">IF(AND(HU8=1,GV8=1),MIN(NS8,NX8),0)</f>
        <v>0</v>
      </c>
      <c r="OA8" s="20" t="n">
        <f aca="false">NS8-NZ8</f>
        <v>0</v>
      </c>
      <c r="OB8" s="20" t="n">
        <f aca="false">IF(HF8=1,IF(ABS((1+AS_Wage)/(1+Slot20_Rate)-1)&lt;0.000000000001,(Slot20_Age-D8)*(1+Slot20_Rate)^(Slot20_Age-D8),(1+Slot20_Rate)^(Slot20_Age-D8)*(1-((1+AS_Wage)/(1+Slot20_Rate))^(Slot20_Age-D8))/(1-(1+AS_Wage)/(1+Slot20_Rate))),1)</f>
        <v>1</v>
      </c>
      <c r="OC8" s="20" t="n">
        <f aca="false">IF(AND(HU8=1,IE8&gt;0,Slot20_IsWG=1,HF8=1),MAX(0,(Slot20_Cost-HG8*(1+Slot20_Rate)^(Slot20_Age-D8))/OB8),0)</f>
        <v>0</v>
      </c>
      <c r="OD8" s="20" t="n">
        <f aca="false">IF(AND(HU8=1,IE8&gt;0,Slot20_IsWG=1,HF8=1),MIN(IE8,OC8),0)</f>
        <v>0</v>
      </c>
      <c r="OE8" s="20" t="n">
        <f aca="false">HG8+OD8</f>
        <v>0</v>
      </c>
      <c r="OF8" s="20" t="n">
        <f aca="false">IF(HF8=1,MAX(0,(Slot20_Cost-OE8*(1+Slot20_Rate)^(Slot20_Age-D8))/OB8),0)</f>
        <v>0</v>
      </c>
      <c r="OG8" s="20" t="n">
        <f aca="false">IF(HF8=1,MAX(0,(Slot20_Cost-HG8*(1+Slot20_Rate)^(Slot20_Age-D8))/OB8),0)</f>
        <v>0</v>
      </c>
      <c r="OH8" s="20" t="n">
        <f aca="false">IF(AND(HU8=1,HF8=1),MIN(OA8,OF8),0)</f>
        <v>0</v>
      </c>
      <c r="OI8" s="20" t="n">
        <f aca="false">OA8-OH8</f>
        <v>0</v>
      </c>
      <c r="OJ8" s="20" t="n">
        <f aca="false">IE8-(IH8+IP8+IX8+JF8+JN8+JV8+KD8+KL8+KT8+LB8+LJ8+LR8+LZ8+MH8+MP8+MX8+NF8+NN8+NV8+OD8)</f>
        <v>0</v>
      </c>
      <c r="OK8" s="20" t="n">
        <f aca="false">IF(HU8=1,HS8-ID8-IE8,0)</f>
        <v>807.980272224524</v>
      </c>
      <c r="OL8" s="20" t="n">
        <f aca="false">IF(HU8=0,-HS8,0)</f>
        <v>0</v>
      </c>
      <c r="OM8" s="20" t="n">
        <f aca="false">MIN(OL8,HK8)</f>
        <v>0</v>
      </c>
      <c r="ON8" s="20" t="n">
        <f aca="false">OL8-OM8</f>
        <v>0</v>
      </c>
      <c r="OO8" s="20" t="n">
        <f aca="false">MIN(ON8,HL8)</f>
        <v>0</v>
      </c>
      <c r="OP8" s="20" t="n">
        <f aca="false">ON8-OO8</f>
        <v>0</v>
      </c>
      <c r="OQ8" s="20" t="n">
        <f aca="false">IF(AND(HU8=0,HF8=1,OP8&gt;0),MIN(OP8,HG8),0)</f>
        <v>0</v>
      </c>
      <c r="OR8" s="20" t="n">
        <f aca="false">OP8-OQ8</f>
        <v>0</v>
      </c>
      <c r="OS8" s="20" t="n">
        <f aca="false">IF(AND(HU8=0,GV8=1,OR8&gt;0),MIN(OR8,GW8),0)</f>
        <v>0</v>
      </c>
      <c r="OT8" s="20" t="n">
        <f aca="false">OR8-OS8</f>
        <v>0</v>
      </c>
      <c r="OU8" s="20" t="n">
        <f aca="false">IF(AND(HU8=0,GL8=1,OT8&gt;0),MIN(OT8,GM8),0)</f>
        <v>0</v>
      </c>
      <c r="OV8" s="20" t="n">
        <f aca="false">OT8-OU8</f>
        <v>0</v>
      </c>
      <c r="OW8" s="20" t="n">
        <f aca="false">IF(AND(HU8=0,GB8=1,OV8&gt;0),MIN(OV8,GC8),0)</f>
        <v>0</v>
      </c>
      <c r="OX8" s="20" t="n">
        <f aca="false">OV8-OW8</f>
        <v>0</v>
      </c>
      <c r="OY8" s="20" t="n">
        <f aca="false">IF(AND(HU8=0,FR8=1,OX8&gt;0),MIN(OX8,FS8),0)</f>
        <v>0</v>
      </c>
      <c r="OZ8" s="20" t="n">
        <f aca="false">OX8-OY8</f>
        <v>0</v>
      </c>
      <c r="PA8" s="20" t="n">
        <f aca="false">IF(AND(HU8=0,FH8=1,OZ8&gt;0),MIN(OZ8,FI8),0)</f>
        <v>0</v>
      </c>
      <c r="PB8" s="20" t="n">
        <f aca="false">OZ8-PA8</f>
        <v>0</v>
      </c>
      <c r="PC8" s="20" t="n">
        <f aca="false">IF(AND(HU8=0,EX8=1,PB8&gt;0),MIN(PB8,EY8),0)</f>
        <v>0</v>
      </c>
      <c r="PD8" s="20" t="n">
        <f aca="false">PB8-PC8</f>
        <v>0</v>
      </c>
      <c r="PE8" s="20" t="n">
        <f aca="false">IF(AND(HU8=0,EN8=1,PD8&gt;0),MIN(PD8,EO8),0)</f>
        <v>0</v>
      </c>
      <c r="PF8" s="20" t="n">
        <f aca="false">PD8-PE8</f>
        <v>0</v>
      </c>
      <c r="PG8" s="20" t="n">
        <f aca="false">IF(AND(HU8=0,ED8=1,PF8&gt;0),MIN(PF8,EE8),0)</f>
        <v>0</v>
      </c>
      <c r="PH8" s="20" t="n">
        <f aca="false">PF8-PG8</f>
        <v>0</v>
      </c>
      <c r="PI8" s="20" t="n">
        <f aca="false">IF(AND(HU8=0,DT8=1,PH8&gt;0),MIN(PH8,DU8),0)</f>
        <v>0</v>
      </c>
      <c r="PJ8" s="20" t="n">
        <f aca="false">PH8-PI8</f>
        <v>0</v>
      </c>
      <c r="PK8" s="20" t="n">
        <f aca="false">IF(AND(HU8=0,DJ8=1,PJ8&gt;0),MIN(PJ8,DK8),0)</f>
        <v>0</v>
      </c>
      <c r="PL8" s="20" t="n">
        <f aca="false">PJ8-PK8</f>
        <v>0</v>
      </c>
      <c r="PM8" s="20" t="n">
        <f aca="false">IF(AND(HU8=0,CZ8=1,PL8&gt;0),MIN(PL8,DA8),0)</f>
        <v>0</v>
      </c>
      <c r="PN8" s="20" t="n">
        <f aca="false">PL8-PM8</f>
        <v>0</v>
      </c>
      <c r="PO8" s="20" t="n">
        <f aca="false">IF(AND(HU8=0,CP8=1,PN8&gt;0),MIN(PN8,CQ8),0)</f>
        <v>0</v>
      </c>
      <c r="PP8" s="20" t="n">
        <f aca="false">PN8-PO8</f>
        <v>0</v>
      </c>
      <c r="PQ8" s="20" t="n">
        <f aca="false">IF(AND(HU8=0,CF8=1,PP8&gt;0),MIN(PP8,CG8),0)</f>
        <v>0</v>
      </c>
      <c r="PR8" s="20" t="n">
        <f aca="false">PP8-PQ8</f>
        <v>0</v>
      </c>
      <c r="PS8" s="20" t="n">
        <f aca="false">IF(AND(HU8=0,BV8=1,PR8&gt;0),MIN(PR8,BW8),0)</f>
        <v>0</v>
      </c>
      <c r="PT8" s="20" t="n">
        <f aca="false">PR8-PS8</f>
        <v>0</v>
      </c>
      <c r="PU8" s="20" t="n">
        <f aca="false">IF(AND(HU8=0,BL8=1,PT8&gt;0),MIN(PT8,BM8),0)</f>
        <v>0</v>
      </c>
      <c r="PV8" s="20" t="n">
        <f aca="false">PT8-PU8</f>
        <v>0</v>
      </c>
      <c r="PW8" s="20" t="n">
        <f aca="false">IF(AND(HU8=0,BB8=1,PV8&gt;0),MIN(PV8,BC8),0)</f>
        <v>0</v>
      </c>
      <c r="PX8" s="20" t="n">
        <f aca="false">PV8-PW8</f>
        <v>0</v>
      </c>
      <c r="PY8" s="20" t="n">
        <f aca="false">IF(AND(HU8=0,AR8=1,PX8&gt;0),MIN(PX8,AS8),0)</f>
        <v>0</v>
      </c>
      <c r="PZ8" s="20" t="n">
        <f aca="false">PX8-PY8</f>
        <v>0</v>
      </c>
      <c r="QA8" s="20" t="n">
        <f aca="false">IF(AND(HU8=0,AH8=1,PZ8&gt;0),MIN(PZ8,AI8),0)</f>
        <v>0</v>
      </c>
      <c r="QB8" s="20" t="n">
        <f aca="false">PZ8-QA8</f>
        <v>0</v>
      </c>
      <c r="QC8" s="20" t="n">
        <f aca="false">IF(AND(HU8=0,W8=1,QB8&gt;0),MIN(QB8,X8),0)</f>
        <v>0</v>
      </c>
      <c r="QD8" s="20" t="n">
        <f aca="false">QB8-QC8</f>
        <v>0</v>
      </c>
      <c r="QE8" s="20" t="n">
        <f aca="false">IF(HU8=0,QD8,0)</f>
        <v>0</v>
      </c>
      <c r="QF8" s="20" t="n">
        <f aca="false">OM8+OO8+QC8+QA8+PY8+PW8+PU8+PS8+PQ8+PO8+PM8+PK8+PI8+PG8+PE8+PC8+PA8+OY8+OW8+OU8+OS8+OQ8</f>
        <v>0</v>
      </c>
      <c r="QG8" s="20" t="n">
        <f aca="false">IF(HU8=1,HK8+OJ8+OI8+IF(G8=1,0,OK8),HK8-OM8)</f>
        <v>0</v>
      </c>
      <c r="QH8" s="20" t="n">
        <f aca="false">HL8-OO8</f>
        <v>0</v>
      </c>
      <c r="QI8" s="20" t="n">
        <f aca="false">IF(HU8=1,IF(G8=1,ID8+IE8,HS8),0)</f>
        <v>807.980272224524</v>
      </c>
      <c r="QJ8" s="20" t="n">
        <f aca="false">IF(HU8=1,IF(G8=1,HS8-ID8-IE8,0),0)</f>
        <v>807.980272224524</v>
      </c>
      <c r="QK8" s="57" t="n">
        <f aca="false">'Plan holdings'!BM8</f>
        <v>0</v>
      </c>
      <c r="QL8" s="20" t="n">
        <f aca="false">QH8*(1+AS_Cash)</f>
        <v>0</v>
      </c>
      <c r="QM8" s="20" t="n">
        <f aca="false">IF(W8=1,IF(HU8=1,II8+IL8,X8-QC8)*(1+Slot1_Rate),0)</f>
        <v>9906.06007494677</v>
      </c>
      <c r="QN8" s="20" t="n">
        <f aca="false">IF(AND(HU8=1,W8=1),(IH8+IL8)/F8,0)</f>
        <v>807.980272224524</v>
      </c>
      <c r="QO8" s="20" t="n">
        <f aca="false">IF(B8=0,IH8+IL8,0)</f>
        <v>807.980272224524</v>
      </c>
      <c r="QP8" s="20" t="n">
        <f aca="false">IF(B8=0,IF(HU8=1,IJ8,IK8),0)</f>
        <v>3118.37507280139</v>
      </c>
      <c r="QQ8" s="20" t="n">
        <f aca="false">IF(AH8=1,IF(HU8=1,IQ8+IT8,AI8-QA8)*(1+Slot2_Rate),0)</f>
        <v>6262</v>
      </c>
      <c r="QR8" s="20" t="n">
        <f aca="false">IF(AND(HU8=1,AH8=1),(IP8+IT8)/F8,0)</f>
        <v>0</v>
      </c>
      <c r="QS8" s="20" t="n">
        <f aca="false">IF(B8=0,IP8+IT8,0)</f>
        <v>0</v>
      </c>
      <c r="QT8" s="20" t="n">
        <f aca="false">IF(B8=0,IF(HU8=1,IR8,IS8),0)</f>
        <v>2013.19702726048</v>
      </c>
      <c r="QU8" s="20" t="n">
        <f aca="false">IF(AR8=1,IF(HU8=1,IY8+JB8,AS8-PY8)*(1+Slot3_Rate),0)</f>
        <v>0</v>
      </c>
      <c r="QV8" s="20" t="n">
        <f aca="false">IF(AND(HU8=1,AR8=1),(IX8+JB8)/F8,0)</f>
        <v>0</v>
      </c>
      <c r="QW8" s="20" t="n">
        <f aca="false">IF(B8=0,IX8+JB8,0)</f>
        <v>0</v>
      </c>
      <c r="QX8" s="20" t="n">
        <f aca="false">IF(B8=0,IF(HU8=1,IZ8,JA8),0)</f>
        <v>4633.04590752452</v>
      </c>
      <c r="QY8" s="20" t="n">
        <f aca="false">IF(BB8=1,IF(HU8=1,JG8+JJ8,BC8-PW8)*(1+Slot4_Rate),0)</f>
        <v>0</v>
      </c>
      <c r="QZ8" s="20" t="n">
        <f aca="false">IF(AND(HU8=1,BB8=1),(JF8+JJ8)/F8,0)</f>
        <v>0</v>
      </c>
      <c r="RA8" s="20" t="n">
        <f aca="false">IF(B8=0,JF8+JJ8,0)</f>
        <v>0</v>
      </c>
      <c r="RB8" s="20" t="n">
        <f aca="false">IF(B8=0,IF(HU8=1,JH8,JI8),0)</f>
        <v>1474.7692869697</v>
      </c>
      <c r="RC8" s="20" t="n">
        <f aca="false">IF(BL8=1,IF(HU8=1,JO8+JR8,BM8-PU8)*(1+Slot5_Rate),0)</f>
        <v>0</v>
      </c>
      <c r="RD8" s="20" t="n">
        <f aca="false">IF(AND(HU8=1,BL8=1),(JN8+JR8)/F8,0)</f>
        <v>0</v>
      </c>
      <c r="RE8" s="20" t="n">
        <f aca="false">IF(B8=0,JN8+JR8,0)</f>
        <v>0</v>
      </c>
      <c r="RF8" s="20" t="n">
        <f aca="false">IF(B8=0,IF(HU8=1,JP8,JQ8),0)</f>
        <v>0</v>
      </c>
      <c r="RG8" s="20" t="n">
        <f aca="false">IF(BV8=1,IF(HU8=1,JW8+JZ8,BW8-PS8)*(1+Slot6_Rate),0)</f>
        <v>0</v>
      </c>
      <c r="RH8" s="20" t="n">
        <f aca="false">IF(AND(HU8=1,BV8=1),(JV8+JZ8)/F8,0)</f>
        <v>0</v>
      </c>
      <c r="RI8" s="20" t="n">
        <f aca="false">IF(B8=0,JV8+JZ8,0)</f>
        <v>0</v>
      </c>
      <c r="RJ8" s="20" t="n">
        <f aca="false">IF(B8=0,IF(HU8=1,JX8,JY8),0)</f>
        <v>0</v>
      </c>
      <c r="RK8" s="20" t="n">
        <f aca="false">IF(CF8=1,IF(HU8=1,KE8+KH8,CG8-PQ8)*(1+Slot7_Rate),0)</f>
        <v>0</v>
      </c>
      <c r="RL8" s="20" t="n">
        <f aca="false">IF(AND(HU8=1,CF8=1),(KD8+KH8)/F8,0)</f>
        <v>0</v>
      </c>
      <c r="RM8" s="20" t="n">
        <f aca="false">IF(B8=0,KD8+KH8,0)</f>
        <v>0</v>
      </c>
      <c r="RN8" s="20" t="n">
        <f aca="false">IF(B8=0,IF(HU8=1,KF8,KG8),0)</f>
        <v>0</v>
      </c>
      <c r="RO8" s="20" t="n">
        <f aca="false">IF(CP8=1,IF(HU8=1,KM8+KP8,CQ8-PO8)*(1+Slot8_Rate),0)</f>
        <v>0</v>
      </c>
      <c r="RP8" s="20" t="n">
        <f aca="false">IF(AND(HU8=1,CP8=1),(KL8+KP8)/F8,0)</f>
        <v>0</v>
      </c>
      <c r="RQ8" s="20" t="n">
        <f aca="false">IF(B8=0,KL8+KP8,0)</f>
        <v>0</v>
      </c>
      <c r="RR8" s="20" t="n">
        <f aca="false">IF(B8=0,IF(HU8=1,KN8,KO8),0)</f>
        <v>0</v>
      </c>
      <c r="RS8" s="20" t="n">
        <f aca="false">IF(CZ8=1,IF(HU8=1,KU8+KX8,DA8-PM8)*(1+Slot9_Rate),0)</f>
        <v>0</v>
      </c>
      <c r="RT8" s="20" t="n">
        <f aca="false">IF(AND(HU8=1,CZ8=1),(KT8+KX8)/F8,0)</f>
        <v>0</v>
      </c>
      <c r="RU8" s="20" t="n">
        <f aca="false">IF(B8=0,KT8+KX8,0)</f>
        <v>0</v>
      </c>
      <c r="RV8" s="20" t="n">
        <f aca="false">IF(B8=0,IF(HU8=1,KV8,KW8),0)</f>
        <v>0</v>
      </c>
      <c r="RW8" s="20" t="n">
        <f aca="false">IF(DJ8=1,IF(HU8=1,LC8+LF8,DK8-PK8)*(1+Slot10_Rate),0)</f>
        <v>0</v>
      </c>
      <c r="RX8" s="20" t="n">
        <f aca="false">IF(AND(HU8=1,DJ8=1),(LB8+LF8)/F8,0)</f>
        <v>0</v>
      </c>
      <c r="RY8" s="20" t="n">
        <f aca="false">IF(B8=0,LB8+LF8,0)</f>
        <v>0</v>
      </c>
      <c r="RZ8" s="20" t="n">
        <f aca="false">IF(B8=0,IF(HU8=1,LD8,LE8),0)</f>
        <v>0</v>
      </c>
      <c r="SA8" s="20" t="n">
        <f aca="false">IF(DT8=1,IF(HU8=1,LK8+LN8,DU8-PI8)*(1+Slot11_Rate),0)</f>
        <v>0</v>
      </c>
      <c r="SB8" s="20" t="n">
        <f aca="false">IF(AND(HU8=1,DT8=1),(LJ8+LN8)/F8,0)</f>
        <v>0</v>
      </c>
      <c r="SC8" s="20" t="n">
        <f aca="false">IF(B8=0,LJ8+LN8,0)</f>
        <v>0</v>
      </c>
      <c r="SD8" s="20" t="n">
        <f aca="false">IF(B8=0,IF(HU8=1,LL8,LM8),0)</f>
        <v>0</v>
      </c>
      <c r="SE8" s="20" t="n">
        <f aca="false">IF(ED8=1,IF(HU8=1,LS8+LV8,EE8-PG8)*(1+Slot12_Rate),0)</f>
        <v>0</v>
      </c>
      <c r="SF8" s="20" t="n">
        <f aca="false">IF(AND(HU8=1,ED8=1),(LR8+LV8)/F8,0)</f>
        <v>0</v>
      </c>
      <c r="SG8" s="20" t="n">
        <f aca="false">IF(B8=0,LR8+LV8,0)</f>
        <v>0</v>
      </c>
      <c r="SH8" s="20" t="n">
        <f aca="false">IF(B8=0,IF(HU8=1,LT8,LU8),0)</f>
        <v>0</v>
      </c>
      <c r="SI8" s="20" t="n">
        <f aca="false">IF(EN8=1,IF(HU8=1,MA8+MD8,EO8-PE8)*(1+Slot13_Rate),0)</f>
        <v>0</v>
      </c>
      <c r="SJ8" s="20" t="n">
        <f aca="false">IF(AND(HU8=1,EN8=1),(LZ8+MD8)/F8,0)</f>
        <v>0</v>
      </c>
      <c r="SK8" s="20" t="n">
        <f aca="false">IF(B8=0,LZ8+MD8,0)</f>
        <v>0</v>
      </c>
      <c r="SL8" s="20" t="n">
        <f aca="false">IF(B8=0,IF(HU8=1,MB8,MC8),0)</f>
        <v>0</v>
      </c>
      <c r="SM8" s="20" t="n">
        <f aca="false">IF(EX8=1,IF(HU8=1,MI8+ML8,EY8-PC8)*(1+Slot14_Rate),0)</f>
        <v>0</v>
      </c>
      <c r="SN8" s="20" t="n">
        <f aca="false">IF(AND(HU8=1,EX8=1),(MH8+ML8)/F8,0)</f>
        <v>0</v>
      </c>
      <c r="SO8" s="20" t="n">
        <f aca="false">IF(B8=0,MH8+ML8,0)</f>
        <v>0</v>
      </c>
      <c r="SP8" s="20" t="n">
        <f aca="false">IF(B8=0,IF(HU8=1,MJ8,MK8),0)</f>
        <v>0</v>
      </c>
      <c r="SQ8" s="20" t="n">
        <f aca="false">IF(FH8=1,IF(HU8=1,MQ8+MT8,FI8-PA8)*(1+Slot15_Rate),0)</f>
        <v>0</v>
      </c>
      <c r="SR8" s="20" t="n">
        <f aca="false">IF(AND(HU8=1,FH8=1),(MP8+MT8)/F8,0)</f>
        <v>0</v>
      </c>
      <c r="SS8" s="20" t="n">
        <f aca="false">IF(B8=0,MP8+MT8,0)</f>
        <v>0</v>
      </c>
      <c r="ST8" s="20" t="n">
        <f aca="false">IF(B8=0,IF(HU8=1,MR8,MS8),0)</f>
        <v>0</v>
      </c>
      <c r="SU8" s="20" t="n">
        <f aca="false">IF(FR8=1,IF(HU8=1,MY8+NB8,FS8-OY8)*(1+Slot16_Rate),0)</f>
        <v>0</v>
      </c>
      <c r="SV8" s="20" t="n">
        <f aca="false">IF(AND(HU8=1,FR8=1),(MX8+NB8)/F8,0)</f>
        <v>0</v>
      </c>
      <c r="SW8" s="20" t="n">
        <f aca="false">IF(B8=0,MX8+NB8,0)</f>
        <v>0</v>
      </c>
      <c r="SX8" s="20" t="n">
        <f aca="false">IF(B8=0,IF(HU8=1,MZ8,NA8),0)</f>
        <v>0</v>
      </c>
      <c r="SY8" s="20" t="n">
        <f aca="false">IF(GB8=1,IF(HU8=1,NG8+NJ8,GC8-OW8)*(1+Slot17_Rate),0)</f>
        <v>0</v>
      </c>
      <c r="SZ8" s="20" t="n">
        <f aca="false">IF(AND(HU8=1,GB8=1),(NF8+NJ8)/F8,0)</f>
        <v>0</v>
      </c>
      <c r="TA8" s="20" t="n">
        <f aca="false">IF(B8=0,NF8+NJ8,0)</f>
        <v>0</v>
      </c>
      <c r="TB8" s="20" t="n">
        <f aca="false">IF(B8=0,IF(HU8=1,NH8,NI8),0)</f>
        <v>0</v>
      </c>
      <c r="TC8" s="20" t="n">
        <f aca="false">IF(GL8=1,IF(HU8=1,NO8+NR8,GM8-OU8)*(1+Slot18_Rate),0)</f>
        <v>0</v>
      </c>
      <c r="TD8" s="20" t="n">
        <f aca="false">IF(AND(HU8=1,GL8=1),(NN8+NR8)/F8,0)</f>
        <v>0</v>
      </c>
      <c r="TE8" s="20" t="n">
        <f aca="false">IF(B8=0,NN8+NR8,0)</f>
        <v>0</v>
      </c>
      <c r="TF8" s="20" t="n">
        <f aca="false">IF(B8=0,IF(HU8=1,NP8,NQ8),0)</f>
        <v>0</v>
      </c>
      <c r="TG8" s="20" t="n">
        <f aca="false">IF(GV8=1,IF(HU8=1,NW8+NZ8,GW8-OS8)*(1+Slot19_Rate),0)</f>
        <v>0</v>
      </c>
      <c r="TH8" s="20" t="n">
        <f aca="false">IF(AND(HU8=1,GV8=1),(NV8+NZ8)/F8,0)</f>
        <v>0</v>
      </c>
      <c r="TI8" s="20" t="n">
        <f aca="false">IF(B8=0,NV8+NZ8,0)</f>
        <v>0</v>
      </c>
      <c r="TJ8" s="20" t="n">
        <f aca="false">IF(B8=0,IF(HU8=1,NX8,NY8),0)</f>
        <v>0</v>
      </c>
      <c r="TK8" s="20" t="n">
        <f aca="false">IF(HF8=1,IF(HU8=1,OE8+OH8,HG8-OQ8)*(1+Slot20_Rate),0)</f>
        <v>0</v>
      </c>
      <c r="TL8" s="20" t="n">
        <f aca="false">IF(AND(HU8=1,HF8=1),(OD8+OH8)/F8,0)</f>
        <v>0</v>
      </c>
      <c r="TM8" s="20" t="n">
        <f aca="false">IF(B8=0,OD8+OH8,0)</f>
        <v>0</v>
      </c>
      <c r="TN8" s="20" t="n">
        <f aca="false">IF(B8=0,IF(HU8=1,OF8,OG8),0)</f>
        <v>0</v>
      </c>
      <c r="TO8" s="20" t="n">
        <f aca="false">QK8+QL8+QM8+QQ8+QU8+QY8+RC8+RG8+RK8+RO8+RS8+RW8+SA8+SE8+SI8+SM8+SQ8+SU8+SY8+TC8+TG8+TK8</f>
        <v>16168.0600749468</v>
      </c>
      <c r="TP8" s="20" t="n">
        <f aca="false">QE8+HP8</f>
        <v>0</v>
      </c>
      <c r="TQ8" s="20" t="n">
        <f aca="false">I8+S8</f>
        <v>60797.4861222176</v>
      </c>
      <c r="TR8" s="20" t="n">
        <f aca="false">1-G8</f>
        <v>0</v>
      </c>
      <c r="TS8" s="20" t="n">
        <f aca="false">IF(AND(RG_Exists=1,G8=0,C8=1),I8,0)</f>
        <v>0</v>
      </c>
      <c r="TT8" s="20" t="n">
        <f aca="false">IF(AND(RG_Exists=1,G8=0,C8=1),I8-MIN(QE8,I8),0)</f>
        <v>0</v>
      </c>
      <c r="TU8" s="20" t="n">
        <f aca="false">'Plan pay &amp; tax'!AD234</f>
        <v>81480</v>
      </c>
      <c r="TV8" s="20" t="n">
        <f aca="false">IF(AND(C8=1,QE8&gt;MAX(PR_Short1,TQ8*PR_Short2)),1,0)</f>
        <v>0</v>
      </c>
      <c r="TW8" s="20" t="n">
        <f aca="false">MIN(H8,I8+S8)</f>
        <v>60797.4861222176</v>
      </c>
      <c r="TX8" s="20" t="n">
        <f aca="false">QF8+MAX(0,HQ8-HP8)</f>
        <v>0</v>
      </c>
      <c r="TY8" s="20" t="n">
        <f aca="false">QE8+HP8</f>
        <v>0</v>
      </c>
      <c r="TZ8" s="20" t="n">
        <f aca="false">IF(AND(C8=1,TY8&gt;PR_MinShort),1,0)</f>
        <v>0</v>
      </c>
      <c r="UA8" s="20" t="n">
        <f aca="false">IF(AND(C8=1,TZ8=0,TX8&gt;PR_MinShort),1,0)</f>
        <v>0</v>
      </c>
      <c r="UB8" s="20" t="n">
        <f aca="false">IF(AND(C8=1,QE8&gt;PR_MinShort),1,0)</f>
        <v>0</v>
      </c>
      <c r="UC8" s="20" t="n">
        <f aca="false">IF(AND(C8=1,QF8&gt;1,UJ8=0),1,0)</f>
        <v>0</v>
      </c>
      <c r="UD8" s="20" t="str">
        <f aca="false">IF(C8=0,"",IF(UJ8=1,"Gap to plan for: short "&amp;"€"&amp;TEXT(ROUND(TP8,0),"#,##0"),IF(QF8&gt;1,"Using savings","Comfortable")))</f>
        <v>Comfortable</v>
      </c>
      <c r="UE8" s="20" t="n">
        <f aca="false">IF(AND(INT(D8/10)*10=90,B8&gt;0),80,INT(D8/10)*10)</f>
        <v>30</v>
      </c>
      <c r="UF8" s="20" t="n">
        <f aca="false">IF(B8=0,1,IF(UE8&lt;&gt;UE7,UF7+1,UF7))</f>
        <v>1</v>
      </c>
      <c r="UG8" s="20" t="n">
        <f aca="false">IF(AND(C8=1,G8=1,QE8&gt;MAX(PR_Short1,TQ8*PR_Short2)),1,0)</f>
        <v>0</v>
      </c>
      <c r="UH8" s="20" t="n">
        <f aca="false">TR8*TV8</f>
        <v>0</v>
      </c>
      <c r="UI8" s="20" t="n">
        <f aca="false">IF(AND(V8=1,Slot1_PctLow=1),1,0)+IF(AND(AG8=1,Slot2_PctLow=1),1,0)+IF(AND(AQ8=1,Slot3_PctLow=1),1,0)+IF(AND(BA8=1,Slot4_PctLow=1),1,0)+IF(AND(BK8=1,Slot5_PctLow=1),1,0)+IF(AND(BU8=1,Slot6_PctLow=1),1,0)+IF(AND(CE8=1,Slot7_PctLow=1),1,0)+IF(AND(CO8=1,Slot8_PctLow=1),1,0)+IF(AND(CY8=1,Slot9_PctLow=1),1,0)+IF(AND(DI8=1,Slot10_PctLow=1),1,0)+IF(AND(DS8=1,Slot11_PctLow=1),1,0)+IF(AND(EC8=1,Slot12_PctLow=1),1,0)+IF(AND(EM8=1,Slot13_PctLow=1),1,0)+IF(AND(EW8=1,Slot14_PctLow=1),1,0)+IF(AND(FG8=1,Slot15_PctLow=1),1,0)+IF(AND(FQ8=1,Slot16_PctLow=1),1,0)+IF(AND(GA8=1,Slot17_PctLow=1),1,0)+IF(AND(GK8=1,Slot18_PctLow=1),1,0)+IF(AND(GU8=1,Slot19_PctLow=1),1,0)+IF(AND(HE8=1,Slot20_PctLow=1),1,0)</f>
        <v>0</v>
      </c>
      <c r="UJ8" s="20" t="n">
        <f aca="false">IF(C8=1,IF(OR(TV8=1,UI8&gt;0),1,0),0)</f>
        <v>0</v>
      </c>
      <c r="UK8" s="20" t="n">
        <f aca="false">Z8+AK8+AU8+BE8+BO8+BY8+CI8+CS8+DC8+DM8+DW8+EG8+EQ8+FA8+FK8+FU8+GE8+GO8+GY8+HI8+OM8</f>
        <v>0</v>
      </c>
      <c r="UL8" s="20" t="n">
        <f aca="false">V8*IF(Slot1_SpendLike=1,X8-Y8,IF(Slot1_PotFree=1,X8,0))+AG8*IF(Slot2_SpendLike=1,AI8-AJ8,IF(Slot2_PotFree=1,AI8,0))+AQ8*IF(Slot3_SpendLike=1,AS8-AT8,IF(Slot3_PotFree=1,AS8,0))+BA8*IF(Slot4_SpendLike=1,BC8-BD8,IF(Slot4_PotFree=1,BC8,0))+BK8*IF(Slot5_SpendLike=1,BM8-BN8,IF(Slot5_PotFree=1,BM8,0))+BU8*IF(Slot6_SpendLike=1,BW8-BX8,IF(Slot6_PotFree=1,BW8,0))+CE8*IF(Slot7_SpendLike=1,CG8-CH8,IF(Slot7_PotFree=1,CG8,0))+CO8*IF(Slot8_SpendLike=1,CQ8-CR8,IF(Slot8_PotFree=1,CQ8,0))+CY8*IF(Slot9_SpendLike=1,DA8-DB8,IF(Slot9_PotFree=1,DA8,0))+DI8*IF(Slot10_SpendLike=1,DK8-DL8,IF(Slot10_PotFree=1,DK8,0))+DS8*IF(Slot11_SpendLike=1,DU8-DV8,IF(Slot11_PotFree=1,DU8,0))+EC8*IF(Slot12_SpendLike=1,EE8-EF8,IF(Slot12_PotFree=1,EE8,0))+EM8*IF(Slot13_SpendLike=1,EO8-EP8,IF(Slot13_PotFree=1,EO8,0))+EW8*IF(Slot14_SpendLike=1,EY8-EZ8,IF(Slot14_PotFree=1,EY8,0))+FG8*IF(Slot15_SpendLike=1,FI8-FJ8,IF(Slot15_PotFree=1,FI8,0))+FQ8*IF(Slot16_SpendLike=1,FS8-FT8,IF(Slot16_PotFree=1,FS8,0))+GA8*IF(Slot17_SpendLike=1,GC8-GD8,IF(Slot17_PotFree=1,GC8,0))+GK8*IF(Slot18_SpendLike=1,GM8-GN8,IF(Slot18_PotFree=1,GM8,0))+GU8*IF(Slot19_SpendLike=1,GW8-GX8,IF(Slot19_PotFree=1,GW8,0))+HE8*IF(Slot20_SpendLike=1,HG8-HH8,IF(Slot20_PotFree=1,HG8,0))</f>
        <v>0</v>
      </c>
      <c r="UM8" s="20" t="n">
        <f aca="false">QG8-T8+UK8-UL8</f>
        <v>0</v>
      </c>
      <c r="UN8" s="20" t="n">
        <f aca="false">IF(OR(0=1,AND(In_homeUse="Yes, I'd downsize",In_downAge&gt;0,D8=In_downAge,OR(In_home="Own outright",In_home="Own with mortgage"),In_homeValue&gt;0)),1,0)</f>
        <v>0</v>
      </c>
    </row>
    <row r="9" customFormat="false" ht="15" hidden="false" customHeight="true" outlineLevel="0" collapsed="false">
      <c r="B9" s="20" t="n">
        <v>1</v>
      </c>
      <c r="C9" s="20" t="n">
        <f aca="false">IF(B9&lt;=F_N,1,0)</f>
        <v>1</v>
      </c>
      <c r="D9" s="20" t="n">
        <f aca="false">'Plan pay &amp; tax'!C235</f>
        <v>39</v>
      </c>
      <c r="E9" s="20" t="str">
        <f aca="false">IF($C9=1,"Income tax "&amp;TEXT(N('Plan pay &amp; tax'!BK235),"#,##0")&amp;"; USC "&amp;TEXT(N('Plan pay &amp; tax'!BM235)+N('Plan pay &amp; tax'!BO235),"#,##0")&amp;"; PRSI "&amp;TEXT(N('Plan pay &amp; tax'!BP235)+N('Plan pay &amp; tax'!BQ235),"#,##0")&amp;IF(N('Plan holdings'!BO9)&gt;=0.5,"; DIRT "&amp;TEXT(('Plan holdings'!BO9)/$F9,"#,##0")&amp;" (already taken from the interest earned)","")&amp;IF(N('Plan holdings'!BP9)&gt;=0.5,"; exit tax at an 8-year anniversary "&amp;TEXT(('Plan holdings'!BP9)/$F9,"#,##0"),"")&amp;IF(N('Plan holdings'!BN9)&gt;=0.5,"; tax on assets sold (exit tax or capital gains tax) "&amp;TEXT(('Plan holdings'!BN9)/$F9,"#,##0"),"")&amp;IF(N('Plan pay &amp; tax'!X235)-N('Plan pay &amp; tax'!Y235)&gt;=0.5,"; tax on the pension lump sum "&amp;TEXT(('Plan pay &amp; tax'!X235-'Plan pay &amp; tax'!Y235)/$F9,"#,##0"),"")&amp;IF(N('Plan pay &amp; tax'!V235)&gt;=0.5,"; chargeable excess tax on the pension "&amp;TEXT(('Plan pay &amp; tax'!V235)/$F9,"#,##0"),"")&amp;".","")</f>
        <v>Income tax 9,810; USC 1,554; PRSI 3,544; DIRT 85 (already taken from the interest earned).</v>
      </c>
      <c r="F9" s="50" t="n">
        <f aca="false">'Plan pay &amp; tax'!E235</f>
        <v>1.02</v>
      </c>
      <c r="G9" s="20" t="n">
        <f aca="false">'Plan pay &amp; tax'!G235</f>
        <v>1</v>
      </c>
      <c r="H9" s="20" t="n">
        <f aca="false">'Plan pay &amp; tax'!BT235-'Plan pay &amp; tax'!BS235-'Plan pay &amp; tax'!R235</f>
        <v>63979.4472</v>
      </c>
      <c r="I9" s="20" t="n">
        <f aca="false">IF(G9=1,F_CostsM*12,IF(RG_Exists=1,RG_Amount,F_CostsM*12*AS_RetireSpend))*F9+F_OneOffY*F9</f>
        <v>45900</v>
      </c>
      <c r="J9" s="20" t="n">
        <f aca="false">IF(UN9=1,0,HR8)</f>
        <v>197269.770715164</v>
      </c>
      <c r="K9" s="20" t="n">
        <f aca="false">IF(J9&gt;1,'Plan debt months'!AC9,0)</f>
        <v>14160</v>
      </c>
      <c r="L9" s="20" t="n">
        <f aca="false">IF(J9&gt;1,'Plan debt months'!AB9,J9)</f>
        <v>190587.562075478</v>
      </c>
      <c r="M9" s="20" t="n">
        <f aca="false">O8</f>
        <v>0</v>
      </c>
      <c r="N9" s="20" t="n">
        <f aca="false">IF(M9&gt;1,'Plan debt months'!BD9,0)</f>
        <v>0</v>
      </c>
      <c r="O9" s="20" t="n">
        <f aca="false">IF(M9&gt;1,'Plan debt months'!BC9,M9)</f>
        <v>0</v>
      </c>
      <c r="P9" s="20" t="n">
        <f aca="false">R8</f>
        <v>2536.61135194847</v>
      </c>
      <c r="Q9" s="20" t="n">
        <f aca="false">IF(P9&gt;1,'Plan debt months'!CE9,0)</f>
        <v>1200</v>
      </c>
      <c r="R9" s="20" t="n">
        <f aca="false">IF(P9&gt;1,'Plan debt months'!CD9,P9)</f>
        <v>1496.15161205283</v>
      </c>
      <c r="S9" s="20" t="n">
        <f aca="false">K9+N9+Q9</f>
        <v>15360</v>
      </c>
      <c r="T9" s="57" t="n">
        <f aca="false">'Plan holdings'!Y9</f>
        <v>0</v>
      </c>
      <c r="U9" s="57" t="n">
        <f aca="false">'Plan holdings'!BM8</f>
        <v>0</v>
      </c>
      <c r="V9" s="20" t="n">
        <f aca="false">IF(AND(Slot1_On=1,D9=Slot1_Age),1,0)</f>
        <v>0</v>
      </c>
      <c r="W9" s="20" t="n">
        <f aca="false">IF(AND(Slot1_On=1,Slot1_Age&gt;D9),1,0)</f>
        <v>1</v>
      </c>
      <c r="X9" s="20" t="n">
        <f aca="false">QM8</f>
        <v>9906.06007494677</v>
      </c>
      <c r="Y9" s="20" t="n">
        <f aca="false">V9*MIN(Slot1_Cost,X9)</f>
        <v>0</v>
      </c>
      <c r="Z9" s="20" t="n">
        <f aca="false">V9*Slot1_SpendLike*MIN(Slot1_Cost-Y9,T9)</f>
        <v>0</v>
      </c>
      <c r="AA9" s="20" t="n">
        <f aca="false">Y9+Z9</f>
        <v>0</v>
      </c>
      <c r="AB9" s="20" t="n">
        <f aca="false">T9-Z9+V9*IF(Slot1_SpendLike=1,X9-Y9,IF(Slot1_PotFree=1,X9,0))</f>
        <v>0</v>
      </c>
      <c r="AC9" s="20" t="n">
        <f aca="false">AF9+V9*Slot1_BufPot*X9</f>
        <v>0</v>
      </c>
      <c r="AD9" s="20" t="n">
        <f aca="false">IF(AND(V9=1,Slot1_IsMfree=1),IF(AA9&gt;=Slot1_Cost-1,0,MAX(0,L9-AA9)),L9)</f>
        <v>190587.562075478</v>
      </c>
      <c r="AE9" s="20" t="n">
        <f aca="false">V9*(Slot1_Cost-AA9)</f>
        <v>0</v>
      </c>
      <c r="AF9" s="20" t="n">
        <f aca="false">QL8</f>
        <v>0</v>
      </c>
      <c r="AG9" s="20" t="n">
        <f aca="false">IF(AND(Slot2_On=1,D9=Slot2_Age),1,0)</f>
        <v>0</v>
      </c>
      <c r="AH9" s="20" t="n">
        <f aca="false">IF(AND(Slot2_On=1,Slot2_Age&gt;D9),1,0)</f>
        <v>1</v>
      </c>
      <c r="AI9" s="20" t="n">
        <f aca="false">QQ8</f>
        <v>6262</v>
      </c>
      <c r="AJ9" s="20" t="n">
        <f aca="false">AG9*MIN(Slot2_Cost,AI9)</f>
        <v>0</v>
      </c>
      <c r="AK9" s="20" t="n">
        <f aca="false">AG9*Slot2_SpendLike*MIN(Slot2_Cost-AJ9,AB9)</f>
        <v>0</v>
      </c>
      <c r="AL9" s="20" t="n">
        <f aca="false">AJ9+AK9</f>
        <v>0</v>
      </c>
      <c r="AM9" s="20" t="n">
        <f aca="false">AB9-AK9+AG9*IF(Slot2_SpendLike=1,AI9-AJ9,IF(Slot2_PotFree=1,AI9,0))</f>
        <v>0</v>
      </c>
      <c r="AN9" s="20" t="n">
        <f aca="false">AC9+AG9*Slot2_BufPot*AI9</f>
        <v>0</v>
      </c>
      <c r="AO9" s="20" t="n">
        <f aca="false">IF(AND(AG9=1,Slot2_IsMfree=1),IF(AL9&gt;=Slot2_Cost-1,0,MAX(0,AD9-AL9)),AD9)</f>
        <v>190587.562075478</v>
      </c>
      <c r="AP9" s="20" t="n">
        <f aca="false">AG9*(Slot2_Cost-AL9)</f>
        <v>0</v>
      </c>
      <c r="AQ9" s="20" t="n">
        <f aca="false">IF(AND(Slot3_On=1,D9=Slot3_Age),1,0)</f>
        <v>0</v>
      </c>
      <c r="AR9" s="20" t="n">
        <f aca="false">IF(AND(Slot3_On=1,Slot3_Age&gt;D9),1,0)</f>
        <v>1</v>
      </c>
      <c r="AS9" s="20" t="n">
        <f aca="false">QU8</f>
        <v>0</v>
      </c>
      <c r="AT9" s="20" t="n">
        <f aca="false">AQ9*MIN(Slot3_Cost,AS9)</f>
        <v>0</v>
      </c>
      <c r="AU9" s="20" t="n">
        <f aca="false">AQ9*Slot3_SpendLike*MIN(Slot3_Cost-AT9,AM9)</f>
        <v>0</v>
      </c>
      <c r="AV9" s="20" t="n">
        <f aca="false">AT9+AU9</f>
        <v>0</v>
      </c>
      <c r="AW9" s="20" t="n">
        <f aca="false">AM9-AU9+AQ9*IF(Slot3_SpendLike=1,AS9-AT9,IF(Slot3_PotFree=1,AS9,0))</f>
        <v>0</v>
      </c>
      <c r="AX9" s="20" t="n">
        <f aca="false">AN9+AQ9*Slot3_BufPot*AS9</f>
        <v>0</v>
      </c>
      <c r="AY9" s="20" t="n">
        <f aca="false">IF(AND(AQ9=1,Slot3_IsMfree=1),IF(AV9&gt;=Slot3_Cost-1,0,MAX(0,AO9-AV9)),AO9)</f>
        <v>190587.562075478</v>
      </c>
      <c r="AZ9" s="20" t="n">
        <f aca="false">AQ9*(Slot3_Cost-AV9)</f>
        <v>0</v>
      </c>
      <c r="BA9" s="20" t="n">
        <f aca="false">IF(AND(Slot4_On=1,D9=Slot4_Age),1,0)</f>
        <v>0</v>
      </c>
      <c r="BB9" s="20" t="n">
        <f aca="false">IF(AND(Slot4_On=1,Slot4_Age&gt;D9),1,0)</f>
        <v>1</v>
      </c>
      <c r="BC9" s="20" t="n">
        <f aca="false">QY8</f>
        <v>0</v>
      </c>
      <c r="BD9" s="20" t="n">
        <f aca="false">BA9*MIN(Slot4_Cost,BC9)</f>
        <v>0</v>
      </c>
      <c r="BE9" s="20" t="n">
        <f aca="false">BA9*Slot4_SpendLike*MIN(Slot4_Cost-BD9,AW9)</f>
        <v>0</v>
      </c>
      <c r="BF9" s="20" t="n">
        <f aca="false">BD9+BE9</f>
        <v>0</v>
      </c>
      <c r="BG9" s="20" t="n">
        <f aca="false">AW9-BE9+BA9*IF(Slot4_SpendLike=1,BC9-BD9,IF(Slot4_PotFree=1,BC9,0))</f>
        <v>0</v>
      </c>
      <c r="BH9" s="20" t="n">
        <f aca="false">AX9+BA9*Slot4_BufPot*BC9</f>
        <v>0</v>
      </c>
      <c r="BI9" s="20" t="n">
        <f aca="false">IF(AND(BA9=1,Slot4_IsMfree=1),IF(BF9&gt;=Slot4_Cost-1,0,MAX(0,AY9-BF9)),AY9)</f>
        <v>190587.562075478</v>
      </c>
      <c r="BJ9" s="20" t="n">
        <f aca="false">BA9*(Slot4_Cost-BF9)</f>
        <v>0</v>
      </c>
      <c r="BK9" s="20" t="n">
        <f aca="false">IF(AND(Slot5_On=1,D9=Slot5_Age),1,0)</f>
        <v>0</v>
      </c>
      <c r="BL9" s="20" t="n">
        <f aca="false">IF(AND(Slot5_On=1,Slot5_Age&gt;D9),1,0)</f>
        <v>0</v>
      </c>
      <c r="BM9" s="20" t="n">
        <f aca="false">RC8</f>
        <v>0</v>
      </c>
      <c r="BN9" s="20" t="n">
        <f aca="false">BK9*MIN(Slot5_Cost,BM9)</f>
        <v>0</v>
      </c>
      <c r="BO9" s="20" t="n">
        <f aca="false">BK9*Slot5_SpendLike*MIN(Slot5_Cost-BN9,BG9)</f>
        <v>0</v>
      </c>
      <c r="BP9" s="20" t="n">
        <f aca="false">BN9+BO9</f>
        <v>0</v>
      </c>
      <c r="BQ9" s="20" t="n">
        <f aca="false">BG9-BO9+BK9*IF(Slot5_SpendLike=1,BM9-BN9,IF(Slot5_PotFree=1,BM9,0))</f>
        <v>0</v>
      </c>
      <c r="BR9" s="20" t="n">
        <f aca="false">BH9+BK9*Slot5_BufPot*BM9</f>
        <v>0</v>
      </c>
      <c r="BS9" s="20" t="n">
        <f aca="false">IF(AND(BK9=1,Slot5_IsMfree=1),IF(BP9&gt;=Slot5_Cost-1,0,MAX(0,BI9-BP9)),BI9)</f>
        <v>190587.562075478</v>
      </c>
      <c r="BT9" s="20" t="n">
        <f aca="false">BK9*(Slot5_Cost-BP9)</f>
        <v>0</v>
      </c>
      <c r="BU9" s="20" t="n">
        <f aca="false">IF(AND(Slot6_On=1,D9=Slot6_Age),1,0)</f>
        <v>0</v>
      </c>
      <c r="BV9" s="20" t="n">
        <f aca="false">IF(AND(Slot6_On=1,Slot6_Age&gt;D9),1,0)</f>
        <v>0</v>
      </c>
      <c r="BW9" s="20" t="n">
        <f aca="false">RG8</f>
        <v>0</v>
      </c>
      <c r="BX9" s="20" t="n">
        <f aca="false">BU9*MIN(Slot6_Cost,BW9)</f>
        <v>0</v>
      </c>
      <c r="BY9" s="20" t="n">
        <f aca="false">BU9*Slot6_SpendLike*MIN(Slot6_Cost-BX9,BQ9)</f>
        <v>0</v>
      </c>
      <c r="BZ9" s="20" t="n">
        <f aca="false">BX9+BY9</f>
        <v>0</v>
      </c>
      <c r="CA9" s="20" t="n">
        <f aca="false">BQ9-BY9+BU9*IF(Slot6_SpendLike=1,BW9-BX9,IF(Slot6_PotFree=1,BW9,0))</f>
        <v>0</v>
      </c>
      <c r="CB9" s="20" t="n">
        <f aca="false">BR9+BU9*Slot6_BufPot*BW9</f>
        <v>0</v>
      </c>
      <c r="CC9" s="20" t="n">
        <f aca="false">IF(AND(BU9=1,Slot6_IsMfree=1),IF(BZ9&gt;=Slot6_Cost-1,0,MAX(0,BS9-BZ9)),BS9)</f>
        <v>190587.562075478</v>
      </c>
      <c r="CD9" s="20" t="n">
        <f aca="false">BU9*(Slot6_Cost-BZ9)</f>
        <v>0</v>
      </c>
      <c r="CE9" s="20" t="n">
        <f aca="false">IF(AND(Slot7_On=1,D9=Slot7_Age),1,0)</f>
        <v>0</v>
      </c>
      <c r="CF9" s="20" t="n">
        <f aca="false">IF(AND(Slot7_On=1,Slot7_Age&gt;D9),1,0)</f>
        <v>0</v>
      </c>
      <c r="CG9" s="20" t="n">
        <f aca="false">RK8</f>
        <v>0</v>
      </c>
      <c r="CH9" s="20" t="n">
        <f aca="false">CE9*MIN(Slot7_Cost,CG9)</f>
        <v>0</v>
      </c>
      <c r="CI9" s="20" t="n">
        <f aca="false">CE9*Slot7_SpendLike*MIN(Slot7_Cost-CH9,CA9)</f>
        <v>0</v>
      </c>
      <c r="CJ9" s="20" t="n">
        <f aca="false">CH9+CI9</f>
        <v>0</v>
      </c>
      <c r="CK9" s="20" t="n">
        <f aca="false">CA9-CI9+CE9*IF(Slot7_SpendLike=1,CG9-CH9,IF(Slot7_PotFree=1,CG9,0))</f>
        <v>0</v>
      </c>
      <c r="CL9" s="20" t="n">
        <f aca="false">CB9+CE9*Slot7_BufPot*CG9</f>
        <v>0</v>
      </c>
      <c r="CM9" s="20" t="n">
        <f aca="false">IF(AND(CE9=1,Slot7_IsMfree=1),IF(CJ9&gt;=Slot7_Cost-1,0,MAX(0,CC9-CJ9)),CC9)</f>
        <v>190587.562075478</v>
      </c>
      <c r="CN9" s="20" t="n">
        <f aca="false">CE9*(Slot7_Cost-CJ9)</f>
        <v>0</v>
      </c>
      <c r="CO9" s="20" t="n">
        <f aca="false">IF(AND(Slot8_On=1,D9=Slot8_Age),1,0)</f>
        <v>0</v>
      </c>
      <c r="CP9" s="20" t="n">
        <f aca="false">IF(AND(Slot8_On=1,Slot8_Age&gt;D9),1,0)</f>
        <v>0</v>
      </c>
      <c r="CQ9" s="20" t="n">
        <f aca="false">RO8</f>
        <v>0</v>
      </c>
      <c r="CR9" s="20" t="n">
        <f aca="false">CO9*MIN(Slot8_Cost,CQ9)</f>
        <v>0</v>
      </c>
      <c r="CS9" s="20" t="n">
        <f aca="false">CO9*Slot8_SpendLike*MIN(Slot8_Cost-CR9,CK9)</f>
        <v>0</v>
      </c>
      <c r="CT9" s="20" t="n">
        <f aca="false">CR9+CS9</f>
        <v>0</v>
      </c>
      <c r="CU9" s="20" t="n">
        <f aca="false">CK9-CS9+CO9*IF(Slot8_SpendLike=1,CQ9-CR9,IF(Slot8_PotFree=1,CQ9,0))</f>
        <v>0</v>
      </c>
      <c r="CV9" s="20" t="n">
        <f aca="false">CL9+CO9*Slot8_BufPot*CQ9</f>
        <v>0</v>
      </c>
      <c r="CW9" s="20" t="n">
        <f aca="false">IF(AND(CO9=1,Slot8_IsMfree=1),IF(CT9&gt;=Slot8_Cost-1,0,MAX(0,CM9-CT9)),CM9)</f>
        <v>190587.562075478</v>
      </c>
      <c r="CX9" s="20" t="n">
        <f aca="false">CO9*(Slot8_Cost-CT9)</f>
        <v>0</v>
      </c>
      <c r="CY9" s="20" t="n">
        <f aca="false">IF(AND(Slot9_On=1,D9=Slot9_Age),1,0)</f>
        <v>0</v>
      </c>
      <c r="CZ9" s="20" t="n">
        <f aca="false">IF(AND(Slot9_On=1,Slot9_Age&gt;D9),1,0)</f>
        <v>0</v>
      </c>
      <c r="DA9" s="20" t="n">
        <f aca="false">RS8</f>
        <v>0</v>
      </c>
      <c r="DB9" s="20" t="n">
        <f aca="false">CY9*MIN(Slot9_Cost,DA9)</f>
        <v>0</v>
      </c>
      <c r="DC9" s="20" t="n">
        <f aca="false">CY9*Slot9_SpendLike*MIN(Slot9_Cost-DB9,CU9)</f>
        <v>0</v>
      </c>
      <c r="DD9" s="20" t="n">
        <f aca="false">DB9+DC9</f>
        <v>0</v>
      </c>
      <c r="DE9" s="20" t="n">
        <f aca="false">CU9-DC9+CY9*IF(Slot9_SpendLike=1,DA9-DB9,IF(Slot9_PotFree=1,DA9,0))</f>
        <v>0</v>
      </c>
      <c r="DF9" s="20" t="n">
        <f aca="false">CV9+CY9*Slot9_BufPot*DA9</f>
        <v>0</v>
      </c>
      <c r="DG9" s="20" t="n">
        <f aca="false">IF(AND(CY9=1,Slot9_IsMfree=1),IF(DD9&gt;=Slot9_Cost-1,0,MAX(0,CW9-DD9)),CW9)</f>
        <v>190587.562075478</v>
      </c>
      <c r="DH9" s="20" t="n">
        <f aca="false">CY9*(Slot9_Cost-DD9)</f>
        <v>0</v>
      </c>
      <c r="DI9" s="20" t="n">
        <f aca="false">IF(AND(Slot10_On=1,D9=Slot10_Age),1,0)</f>
        <v>0</v>
      </c>
      <c r="DJ9" s="20" t="n">
        <f aca="false">IF(AND(Slot10_On=1,Slot10_Age&gt;D9),1,0)</f>
        <v>0</v>
      </c>
      <c r="DK9" s="20" t="n">
        <f aca="false">RW8</f>
        <v>0</v>
      </c>
      <c r="DL9" s="20" t="n">
        <f aca="false">DI9*MIN(Slot10_Cost,DK9)</f>
        <v>0</v>
      </c>
      <c r="DM9" s="20" t="n">
        <f aca="false">DI9*Slot10_SpendLike*MIN(Slot10_Cost-DL9,DE9)</f>
        <v>0</v>
      </c>
      <c r="DN9" s="20" t="n">
        <f aca="false">DL9+DM9</f>
        <v>0</v>
      </c>
      <c r="DO9" s="20" t="n">
        <f aca="false">DE9-DM9+DI9*IF(Slot10_SpendLike=1,DK9-DL9,IF(Slot10_PotFree=1,DK9,0))</f>
        <v>0</v>
      </c>
      <c r="DP9" s="20" t="n">
        <f aca="false">DF9+DI9*Slot10_BufPot*DK9</f>
        <v>0</v>
      </c>
      <c r="DQ9" s="20" t="n">
        <f aca="false">IF(AND(DI9=1,Slot10_IsMfree=1),IF(DN9&gt;=Slot10_Cost-1,0,MAX(0,DG9-DN9)),DG9)</f>
        <v>190587.562075478</v>
      </c>
      <c r="DR9" s="20" t="n">
        <f aca="false">DI9*(Slot10_Cost-DN9)</f>
        <v>0</v>
      </c>
      <c r="DS9" s="20" t="n">
        <f aca="false">IF(AND(Slot11_On=1,D9=Slot11_Age),1,0)</f>
        <v>0</v>
      </c>
      <c r="DT9" s="20" t="n">
        <f aca="false">IF(AND(Slot11_On=1,Slot11_Age&gt;D9),1,0)</f>
        <v>0</v>
      </c>
      <c r="DU9" s="20" t="n">
        <f aca="false">SA8</f>
        <v>0</v>
      </c>
      <c r="DV9" s="20" t="n">
        <f aca="false">DS9*MIN(Slot11_Cost,DU9)</f>
        <v>0</v>
      </c>
      <c r="DW9" s="20" t="n">
        <f aca="false">DS9*Slot11_SpendLike*MIN(Slot11_Cost-DV9,DO9)</f>
        <v>0</v>
      </c>
      <c r="DX9" s="20" t="n">
        <f aca="false">DV9+DW9</f>
        <v>0</v>
      </c>
      <c r="DY9" s="20" t="n">
        <f aca="false">DO9-DW9+DS9*IF(Slot11_SpendLike=1,DU9-DV9,IF(Slot11_PotFree=1,DU9,0))</f>
        <v>0</v>
      </c>
      <c r="DZ9" s="20" t="n">
        <f aca="false">DP9+DS9*Slot11_BufPot*DU9</f>
        <v>0</v>
      </c>
      <c r="EA9" s="20" t="n">
        <f aca="false">IF(AND(DS9=1,Slot11_IsMfree=1),IF(DX9&gt;=Slot11_Cost-1,0,MAX(0,DQ9-DX9)),DQ9)</f>
        <v>190587.562075478</v>
      </c>
      <c r="EB9" s="20" t="n">
        <f aca="false">DS9*(Slot11_Cost-DX9)</f>
        <v>0</v>
      </c>
      <c r="EC9" s="20" t="n">
        <f aca="false">IF(AND(Slot12_On=1,D9=Slot12_Age),1,0)</f>
        <v>0</v>
      </c>
      <c r="ED9" s="20" t="n">
        <f aca="false">IF(AND(Slot12_On=1,Slot12_Age&gt;D9),1,0)</f>
        <v>0</v>
      </c>
      <c r="EE9" s="20" t="n">
        <f aca="false">SE8</f>
        <v>0</v>
      </c>
      <c r="EF9" s="20" t="n">
        <f aca="false">EC9*MIN(Slot12_Cost,EE9)</f>
        <v>0</v>
      </c>
      <c r="EG9" s="20" t="n">
        <f aca="false">EC9*Slot12_SpendLike*MIN(Slot12_Cost-EF9,DY9)</f>
        <v>0</v>
      </c>
      <c r="EH9" s="20" t="n">
        <f aca="false">EF9+EG9</f>
        <v>0</v>
      </c>
      <c r="EI9" s="20" t="n">
        <f aca="false">DY9-EG9+EC9*IF(Slot12_SpendLike=1,EE9-EF9,IF(Slot12_PotFree=1,EE9,0))</f>
        <v>0</v>
      </c>
      <c r="EJ9" s="20" t="n">
        <f aca="false">DZ9+EC9*Slot12_BufPot*EE9</f>
        <v>0</v>
      </c>
      <c r="EK9" s="20" t="n">
        <f aca="false">IF(AND(EC9=1,Slot12_IsMfree=1),IF(EH9&gt;=Slot12_Cost-1,0,MAX(0,EA9-EH9)),EA9)</f>
        <v>190587.562075478</v>
      </c>
      <c r="EL9" s="20" t="n">
        <f aca="false">EC9*(Slot12_Cost-EH9)</f>
        <v>0</v>
      </c>
      <c r="EM9" s="20" t="n">
        <f aca="false">IF(AND(Slot13_On=1,D9=Slot13_Age),1,0)</f>
        <v>0</v>
      </c>
      <c r="EN9" s="20" t="n">
        <f aca="false">IF(AND(Slot13_On=1,Slot13_Age&gt;D9),1,0)</f>
        <v>0</v>
      </c>
      <c r="EO9" s="20" t="n">
        <f aca="false">SI8</f>
        <v>0</v>
      </c>
      <c r="EP9" s="20" t="n">
        <f aca="false">EM9*MIN(Slot13_Cost,EO9)</f>
        <v>0</v>
      </c>
      <c r="EQ9" s="20" t="n">
        <f aca="false">EM9*Slot13_SpendLike*MIN(Slot13_Cost-EP9,EI9)</f>
        <v>0</v>
      </c>
      <c r="ER9" s="20" t="n">
        <f aca="false">EP9+EQ9</f>
        <v>0</v>
      </c>
      <c r="ES9" s="20" t="n">
        <f aca="false">EI9-EQ9+EM9*IF(Slot13_SpendLike=1,EO9-EP9,IF(Slot13_PotFree=1,EO9,0))</f>
        <v>0</v>
      </c>
      <c r="ET9" s="20" t="n">
        <f aca="false">EJ9+EM9*Slot13_BufPot*EO9</f>
        <v>0</v>
      </c>
      <c r="EU9" s="20" t="n">
        <f aca="false">IF(AND(EM9=1,Slot13_IsMfree=1),IF(ER9&gt;=Slot13_Cost-1,0,MAX(0,EK9-ER9)),EK9)</f>
        <v>190587.562075478</v>
      </c>
      <c r="EV9" s="20" t="n">
        <f aca="false">EM9*(Slot13_Cost-ER9)</f>
        <v>0</v>
      </c>
      <c r="EW9" s="20" t="n">
        <f aca="false">IF(AND(Slot14_On=1,D9=Slot14_Age),1,0)</f>
        <v>0</v>
      </c>
      <c r="EX9" s="20" t="n">
        <f aca="false">IF(AND(Slot14_On=1,Slot14_Age&gt;D9),1,0)</f>
        <v>0</v>
      </c>
      <c r="EY9" s="20" t="n">
        <f aca="false">SM8</f>
        <v>0</v>
      </c>
      <c r="EZ9" s="20" t="n">
        <f aca="false">EW9*MIN(Slot14_Cost,EY9)</f>
        <v>0</v>
      </c>
      <c r="FA9" s="20" t="n">
        <f aca="false">EW9*Slot14_SpendLike*MIN(Slot14_Cost-EZ9,ES9)</f>
        <v>0</v>
      </c>
      <c r="FB9" s="20" t="n">
        <f aca="false">EZ9+FA9</f>
        <v>0</v>
      </c>
      <c r="FC9" s="20" t="n">
        <f aca="false">ES9-FA9+EW9*IF(Slot14_SpendLike=1,EY9-EZ9,IF(Slot14_PotFree=1,EY9,0))</f>
        <v>0</v>
      </c>
      <c r="FD9" s="20" t="n">
        <f aca="false">ET9+EW9*Slot14_BufPot*EY9</f>
        <v>0</v>
      </c>
      <c r="FE9" s="20" t="n">
        <f aca="false">IF(AND(EW9=1,Slot14_IsMfree=1),IF(FB9&gt;=Slot14_Cost-1,0,MAX(0,EU9-FB9)),EU9)</f>
        <v>190587.562075478</v>
      </c>
      <c r="FF9" s="20" t="n">
        <f aca="false">EW9*(Slot14_Cost-FB9)</f>
        <v>0</v>
      </c>
      <c r="FG9" s="20" t="n">
        <f aca="false">IF(AND(Slot15_On=1,D9=Slot15_Age),1,0)</f>
        <v>0</v>
      </c>
      <c r="FH9" s="20" t="n">
        <f aca="false">IF(AND(Slot15_On=1,Slot15_Age&gt;D9),1,0)</f>
        <v>0</v>
      </c>
      <c r="FI9" s="20" t="n">
        <f aca="false">SQ8</f>
        <v>0</v>
      </c>
      <c r="FJ9" s="20" t="n">
        <f aca="false">FG9*MIN(Slot15_Cost,FI9)</f>
        <v>0</v>
      </c>
      <c r="FK9" s="20" t="n">
        <f aca="false">FG9*Slot15_SpendLike*MIN(Slot15_Cost-FJ9,FC9)</f>
        <v>0</v>
      </c>
      <c r="FL9" s="20" t="n">
        <f aca="false">FJ9+FK9</f>
        <v>0</v>
      </c>
      <c r="FM9" s="20" t="n">
        <f aca="false">FC9-FK9+FG9*IF(Slot15_SpendLike=1,FI9-FJ9,IF(Slot15_PotFree=1,FI9,0))</f>
        <v>0</v>
      </c>
      <c r="FN9" s="20" t="n">
        <f aca="false">FD9+FG9*Slot15_BufPot*FI9</f>
        <v>0</v>
      </c>
      <c r="FO9" s="20" t="n">
        <f aca="false">IF(AND(FG9=1,Slot15_IsMfree=1),IF(FL9&gt;=Slot15_Cost-1,0,MAX(0,FE9-FL9)),FE9)</f>
        <v>190587.562075478</v>
      </c>
      <c r="FP9" s="20" t="n">
        <f aca="false">FG9*(Slot15_Cost-FL9)</f>
        <v>0</v>
      </c>
      <c r="FQ9" s="20" t="n">
        <f aca="false">IF(AND(Slot16_On=1,D9=Slot16_Age),1,0)</f>
        <v>0</v>
      </c>
      <c r="FR9" s="20" t="n">
        <f aca="false">IF(AND(Slot16_On=1,Slot16_Age&gt;D9),1,0)</f>
        <v>0</v>
      </c>
      <c r="FS9" s="20" t="n">
        <f aca="false">SU8</f>
        <v>0</v>
      </c>
      <c r="FT9" s="20" t="n">
        <f aca="false">FQ9*MIN(Slot16_Cost,FS9)</f>
        <v>0</v>
      </c>
      <c r="FU9" s="20" t="n">
        <f aca="false">FQ9*Slot16_SpendLike*MIN(Slot16_Cost-FT9,FM9)</f>
        <v>0</v>
      </c>
      <c r="FV9" s="20" t="n">
        <f aca="false">FT9+FU9</f>
        <v>0</v>
      </c>
      <c r="FW9" s="20" t="n">
        <f aca="false">FM9-FU9+FQ9*IF(Slot16_SpendLike=1,FS9-FT9,IF(Slot16_PotFree=1,FS9,0))</f>
        <v>0</v>
      </c>
      <c r="FX9" s="20" t="n">
        <f aca="false">FN9+FQ9*Slot16_BufPot*FS9</f>
        <v>0</v>
      </c>
      <c r="FY9" s="20" t="n">
        <f aca="false">IF(AND(FQ9=1,Slot16_IsMfree=1),IF(FV9&gt;=Slot16_Cost-1,0,MAX(0,FO9-FV9)),FO9)</f>
        <v>190587.562075478</v>
      </c>
      <c r="FZ9" s="20" t="n">
        <f aca="false">FQ9*(Slot16_Cost-FV9)</f>
        <v>0</v>
      </c>
      <c r="GA9" s="20" t="n">
        <f aca="false">IF(AND(Slot17_On=1,D9=Slot17_Age),1,0)</f>
        <v>0</v>
      </c>
      <c r="GB9" s="20" t="n">
        <f aca="false">IF(AND(Slot17_On=1,Slot17_Age&gt;D9),1,0)</f>
        <v>0</v>
      </c>
      <c r="GC9" s="20" t="n">
        <f aca="false">SY8</f>
        <v>0</v>
      </c>
      <c r="GD9" s="20" t="n">
        <f aca="false">GA9*MIN(Slot17_Cost,GC9)</f>
        <v>0</v>
      </c>
      <c r="GE9" s="20" t="n">
        <f aca="false">GA9*Slot17_SpendLike*MIN(Slot17_Cost-GD9,FW9)</f>
        <v>0</v>
      </c>
      <c r="GF9" s="20" t="n">
        <f aca="false">GD9+GE9</f>
        <v>0</v>
      </c>
      <c r="GG9" s="20" t="n">
        <f aca="false">FW9-GE9+GA9*IF(Slot17_SpendLike=1,GC9-GD9,IF(Slot17_PotFree=1,GC9,0))</f>
        <v>0</v>
      </c>
      <c r="GH9" s="20" t="n">
        <f aca="false">FX9+GA9*Slot17_BufPot*GC9</f>
        <v>0</v>
      </c>
      <c r="GI9" s="20" t="n">
        <f aca="false">IF(AND(GA9=1,Slot17_IsMfree=1),IF(GF9&gt;=Slot17_Cost-1,0,MAX(0,FY9-GF9)),FY9)</f>
        <v>190587.562075478</v>
      </c>
      <c r="GJ9" s="20" t="n">
        <f aca="false">GA9*(Slot17_Cost-GF9)</f>
        <v>0</v>
      </c>
      <c r="GK9" s="20" t="n">
        <f aca="false">IF(AND(Slot18_On=1,D9=Slot18_Age),1,0)</f>
        <v>0</v>
      </c>
      <c r="GL9" s="20" t="n">
        <f aca="false">IF(AND(Slot18_On=1,Slot18_Age&gt;D9),1,0)</f>
        <v>0</v>
      </c>
      <c r="GM9" s="20" t="n">
        <f aca="false">TC8</f>
        <v>0</v>
      </c>
      <c r="GN9" s="20" t="n">
        <f aca="false">GK9*MIN(Slot18_Cost,GM9)</f>
        <v>0</v>
      </c>
      <c r="GO9" s="20" t="n">
        <f aca="false">GK9*Slot18_SpendLike*MIN(Slot18_Cost-GN9,GG9)</f>
        <v>0</v>
      </c>
      <c r="GP9" s="20" t="n">
        <f aca="false">GN9+GO9</f>
        <v>0</v>
      </c>
      <c r="GQ9" s="20" t="n">
        <f aca="false">GG9-GO9+GK9*IF(Slot18_SpendLike=1,GM9-GN9,IF(Slot18_PotFree=1,GM9,0))</f>
        <v>0</v>
      </c>
      <c r="GR9" s="20" t="n">
        <f aca="false">GH9+GK9*Slot18_BufPot*GM9</f>
        <v>0</v>
      </c>
      <c r="GS9" s="20" t="n">
        <f aca="false">IF(AND(GK9=1,Slot18_IsMfree=1),IF(GP9&gt;=Slot18_Cost-1,0,MAX(0,GI9-GP9)),GI9)</f>
        <v>190587.562075478</v>
      </c>
      <c r="GT9" s="20" t="n">
        <f aca="false">GK9*(Slot18_Cost-GP9)</f>
        <v>0</v>
      </c>
      <c r="GU9" s="20" t="n">
        <f aca="false">IF(AND(Slot19_On=1,D9=Slot19_Age),1,0)</f>
        <v>0</v>
      </c>
      <c r="GV9" s="20" t="n">
        <f aca="false">IF(AND(Slot19_On=1,Slot19_Age&gt;D9),1,0)</f>
        <v>0</v>
      </c>
      <c r="GW9" s="20" t="n">
        <f aca="false">TG8</f>
        <v>0</v>
      </c>
      <c r="GX9" s="20" t="n">
        <f aca="false">GU9*MIN(Slot19_Cost,GW9)</f>
        <v>0</v>
      </c>
      <c r="GY9" s="20" t="n">
        <f aca="false">GU9*Slot19_SpendLike*MIN(Slot19_Cost-GX9,GQ9)</f>
        <v>0</v>
      </c>
      <c r="GZ9" s="20" t="n">
        <f aca="false">GX9+GY9</f>
        <v>0</v>
      </c>
      <c r="HA9" s="20" t="n">
        <f aca="false">GQ9-GY9+GU9*IF(Slot19_SpendLike=1,GW9-GX9,IF(Slot19_PotFree=1,GW9,0))</f>
        <v>0</v>
      </c>
      <c r="HB9" s="20" t="n">
        <f aca="false">GR9+GU9*Slot19_BufPot*GW9</f>
        <v>0</v>
      </c>
      <c r="HC9" s="20" t="n">
        <f aca="false">IF(AND(GU9=1,Slot19_IsMfree=1),IF(GZ9&gt;=Slot19_Cost-1,0,MAX(0,GS9-GZ9)),GS9)</f>
        <v>190587.562075478</v>
      </c>
      <c r="HD9" s="20" t="n">
        <f aca="false">GU9*(Slot19_Cost-GZ9)</f>
        <v>0</v>
      </c>
      <c r="HE9" s="20" t="n">
        <f aca="false">IF(AND(Slot20_On=1,D9=Slot20_Age),1,0)</f>
        <v>0</v>
      </c>
      <c r="HF9" s="20" t="n">
        <f aca="false">IF(AND(Slot20_On=1,Slot20_Age&gt;D9),1,0)</f>
        <v>0</v>
      </c>
      <c r="HG9" s="20" t="n">
        <f aca="false">TK8</f>
        <v>0</v>
      </c>
      <c r="HH9" s="20" t="n">
        <f aca="false">HE9*MIN(Slot20_Cost,HG9)</f>
        <v>0</v>
      </c>
      <c r="HI9" s="20" t="n">
        <f aca="false">HE9*Slot20_SpendLike*MIN(Slot20_Cost-HH9,HA9)</f>
        <v>0</v>
      </c>
      <c r="HJ9" s="20" t="n">
        <f aca="false">HH9+HI9</f>
        <v>0</v>
      </c>
      <c r="HK9" s="20" t="n">
        <f aca="false">HA9-HI9+HE9*IF(Slot20_SpendLike=1,HG9-HH9,IF(Slot20_PotFree=1,HG9,0))</f>
        <v>0</v>
      </c>
      <c r="HL9" s="20" t="n">
        <f aca="false">HB9+HE9*Slot20_BufPot*HG9</f>
        <v>0</v>
      </c>
      <c r="HM9" s="20" t="n">
        <f aca="false">IF(AND(HE9=1,Slot20_IsMfree=1),IF(HJ9&gt;=Slot20_Cost-1,0,MAX(0,HC9-HJ9)),HC9)</f>
        <v>190587.562075478</v>
      </c>
      <c r="HN9" s="20" t="n">
        <f aca="false">HE9*(Slot20_Cost-HJ9)</f>
        <v>0</v>
      </c>
      <c r="HO9" s="20" t="n">
        <f aca="false">V9*Slot1_SpendLike*AA9+AG9*Slot2_SpendLike*AL9+AQ9*Slot3_SpendLike*AV9+BA9*Slot4_SpendLike*BF9+BK9*Slot5_SpendLike*BP9+BU9*Slot6_SpendLike*BZ9+CE9*Slot7_SpendLike*CJ9+CO9*Slot8_SpendLike*CT9+CY9*Slot9_SpendLike*DD9+DI9*Slot10_SpendLike*DN9+DS9*Slot11_SpendLike*DX9+EC9*Slot12_SpendLike*EH9+EM9*Slot13_SpendLike*ER9+EW9*Slot14_SpendLike*FB9+FG9*Slot15_SpendLike*FL9+FQ9*Slot16_SpendLike*FV9+GA9*Slot17_SpendLike*GF9+GK9*Slot18_SpendLike*GP9+GU9*Slot19_SpendLike*GZ9+HE9*Slot20_SpendLike*HJ9</f>
        <v>0</v>
      </c>
      <c r="HP9" s="20" t="n">
        <f aca="false">AE9+AP9+AZ9+BJ9+BT9+CD9+CN9+CX9+DH9+DR9+EB9+EL9+EV9+FF9+FP9+FZ9+GJ9+GT9+HD9+HN9</f>
        <v>0</v>
      </c>
      <c r="HQ9" s="20" t="n">
        <f aca="false">V9*Slot1_Cost+AG9*Slot2_Cost+AQ9*Slot3_Cost+BA9*Slot4_Cost+BK9*Slot5_Cost+BU9*Slot6_Cost+CE9*Slot7_Cost+CO9*Slot8_Cost+CY9*Slot9_Cost+DI9*Slot10_Cost+DS9*Slot11_Cost+EC9*Slot12_Cost+EM9*Slot13_Cost+EW9*Slot14_Cost+FG9*Slot15_Cost+FQ9*Slot16_Cost+GA9*Slot17_Cost+GK9*Slot18_Cost+GU9*Slot19_Cost+HE9*Slot20_Cost</f>
        <v>0</v>
      </c>
      <c r="HR9" s="20" t="n">
        <f aca="false">HM9</f>
        <v>190587.562075478</v>
      </c>
      <c r="HS9" s="20" t="n">
        <f aca="false">H9-I9-S9</f>
        <v>2719.4472</v>
      </c>
      <c r="HT9" s="20" t="n">
        <f aca="false">IF(B9=0,IF(AND(Has_q6=1,In_q6=4),PR_ShareVaries*(MAX(0,HS9)/12),MIN(IF(Has_q6=1,CHOOSE(In_q6+1,PR_SaveB1,PR_SaveB2,PR_SaveB3,PR_SaveB4,0),AS_NoAnswer),AS_SaveShare*(MAX(0,HS9)/12))),HT8)</f>
        <v>67.3316893520437</v>
      </c>
      <c r="HU9" s="20" t="n">
        <f aca="false">IF(HS9&gt;=0,1,0)</f>
        <v>1</v>
      </c>
      <c r="HV9" s="20" t="n">
        <f aca="false">MAX(0,HS9/12/F9)</f>
        <v>222.17705882353</v>
      </c>
      <c r="HW9" s="20" t="n">
        <f aca="false">IF(AND(Has_q6=1,In_q6=4),PR_ShareVaries*(HV9),MIN(IF(Has_q6=1,CHOOSE(In_q6+1,PR_SaveB1,PR_SaveB2,PR_SaveB3,PR_SaveB4,0),AS_NoAnswer),AS_SaveShare*(HV9)))</f>
        <v>111.088529411765</v>
      </c>
      <c r="HX9" s="20" t="n">
        <f aca="false">IF(Has_saveM=1,IF(In_saveUp="Yes",1,IF(In_saveUp="No",0,IF(In_saveM&gt;=HT9-0.5,1,0))),0)</f>
        <v>0</v>
      </c>
      <c r="HY9" s="20" t="n">
        <f aca="false">IF(Has_saveM=1,MIN(HV9,IF(HX9=1,MAX(In_saveM,HW9),MIN(In_saveM,HW9))),HW9)</f>
        <v>111.088529411765</v>
      </c>
      <c r="HZ9" s="20" t="n">
        <f aca="false">IF(G9=1,HY9*12*F9,0)</f>
        <v>1359.7236</v>
      </c>
      <c r="IA9" s="20" t="n">
        <f aca="false">MAX(0,HZ9+IF(AND(WI_Retire=0,WI_M&lt;0,G9=1),WI_M*12*F9,0))</f>
        <v>1359.7236</v>
      </c>
      <c r="IB9" s="20" t="n">
        <f aca="false">Slot1_IsWG*W9+Slot2_IsWG*AH9+Slot3_IsWG*AR9+Slot4_IsWG*BB9+Slot5_IsWG*BL9+Slot6_IsWG*BV9+Slot7_IsWG*CF9+Slot8_IsWG*CP9+Slot9_IsWG*CZ9+Slot10_IsWG*DJ9+Slot11_IsWG*DT9+Slot12_IsWG*ED9+Slot13_IsWG*EN9+Slot14_IsWG*EX9+Slot15_IsWG*FH9+Slot16_IsWG*FR9+Slot17_IsWG*GB9+Slot18_IsWG*GL9+Slot19_IsWG*GV9+Slot20_IsWG*HF9</f>
        <v>0</v>
      </c>
      <c r="IC9" s="20" t="n">
        <f aca="false">IF(AND(WI_Retire=0,WI_M&gt;0,G9=1,IB9&gt;=1),WI_M*12*F9,0)</f>
        <v>0</v>
      </c>
      <c r="ID9" s="20" t="n">
        <f aca="false">IF(HU9=1,MIN(IA9,HS9),0)</f>
        <v>1359.7236</v>
      </c>
      <c r="IE9" s="20" t="n">
        <f aca="false">IF(HU9=1,MIN(IC9,HS9-ID9),0)</f>
        <v>0</v>
      </c>
      <c r="IF9" s="20" t="n">
        <f aca="false">IF(W9=1,IF(ABS((1+AS_Wage)/(1+Slot1_Rate)-1)&lt;0.000000000001,(Slot1_Age-D9)*(1+Slot1_Rate)^(Slot1_Age-D9),(1+Slot1_Rate)^(Slot1_Age-D9)*(1-((1+AS_Wage)/(1+Slot1_Rate))^(Slot1_Age-D9))/(1-(1+AS_Wage)/(1+Slot1_Rate))),1)</f>
        <v>1.01</v>
      </c>
      <c r="IG9" s="20" t="n">
        <f aca="false">IF(AND(HU9=1,IE9&gt;0,Slot1_IsWG=1,W9=1),MAX(0,(Slot1_Cost-X9*(1+Slot1_Rate)^(Slot1_Age-D9))/IF9),0)</f>
        <v>0</v>
      </c>
      <c r="IH9" s="20" t="n">
        <f aca="false">IF(AND(HU9=1,IE9&gt;0,Slot1_IsWG=1,W9=1),MIN(IE9,IG9),0)</f>
        <v>0</v>
      </c>
      <c r="II9" s="20" t="n">
        <f aca="false">X9+IH9</f>
        <v>9906.06007494677</v>
      </c>
      <c r="IJ9" s="20" t="n">
        <f aca="false">IF(W9=1,MAX(0,(Slot1_Cost-II9*(1+Slot1_Rate)^(Slot1_Age-D9))/IF9),0)</f>
        <v>5545.42507356808</v>
      </c>
      <c r="IK9" s="20" t="n">
        <f aca="false">IF(W9=1,MAX(0,(Slot1_Cost-X9*(1+Slot1_Rate)^(Slot1_Age-D9))/IF9),0)</f>
        <v>5545.42507356808</v>
      </c>
      <c r="IL9" s="20" t="n">
        <f aca="false">IF(AND(HU9=1,W9=1),MIN(ID9,IJ9),0)</f>
        <v>1359.7236</v>
      </c>
      <c r="IM9" s="20" t="n">
        <f aca="false">ID9-IL9</f>
        <v>0</v>
      </c>
      <c r="IN9" s="20" t="n">
        <f aca="false">IF(AH9=1,IF(ABS((1+AS_Wage)/(1+Slot2_Rate)-1)&lt;0.000000000001,(Slot2_Age-D9)*(1+Slot2_Rate)^(Slot2_Age-D9),(1+Slot2_Rate)^(Slot2_Age-D9)*(1-((1+AS_Wage)/(1+Slot2_Rate))^(Slot2_Age-D9))/(1-(1+AS_Wage)/(1+Slot2_Rate))),1)</f>
        <v>2.0604</v>
      </c>
      <c r="IO9" s="20" t="n">
        <f aca="false">IF(AND(HU9=1,IE9&gt;0,Slot2_IsWG=1,AH9=1),MAX(0,(Slot2_Cost-AI9*(1+Slot2_Rate)^(Slot2_Age-D9))/IN9),0)</f>
        <v>0</v>
      </c>
      <c r="IP9" s="20" t="n">
        <f aca="false">IF(AND(HU9=1,IE9&gt;0,Slot2_IsWG=1,AH9=1),MIN(IE9,IO9),0)</f>
        <v>0</v>
      </c>
      <c r="IQ9" s="20" t="n">
        <f aca="false">AI9+IP9</f>
        <v>6262</v>
      </c>
      <c r="IR9" s="20" t="n">
        <f aca="false">IF(AH9=1,MAX(0,(Slot2_Cost-IQ9*(1+Slot2_Rate)^(Slot2_Age-D9))/IN9),0)</f>
        <v>3080.29013783731</v>
      </c>
      <c r="IS9" s="20" t="n">
        <f aca="false">IF(AH9=1,MAX(0,(Slot2_Cost-AI9*(1+Slot2_Rate)^(Slot2_Age-D9))/IN9),0)</f>
        <v>3080.29013783731</v>
      </c>
      <c r="IT9" s="20" t="n">
        <f aca="false">IF(AND(HU9=1,AH9=1),MIN(IM9,IR9),0)</f>
        <v>0</v>
      </c>
      <c r="IU9" s="20" t="n">
        <f aca="false">IM9-IT9</f>
        <v>0</v>
      </c>
      <c r="IV9" s="20" t="n">
        <f aca="false">IF(AR9=1,IF(ABS((1+AS_Wage)/(1+Slot3_Rate)-1)&lt;0.000000000001,(Slot3_Age-D9)*(1+Slot3_Rate)^(Slot3_Age-D9),(1+Slot3_Rate)^(Slot3_Age-D9)*(1-((1+AS_Wage)/(1+Slot3_Rate))^(Slot3_Age-D9))/(1-(1+AS_Wage)/(1+Slot3_Rate))),1)</f>
        <v>11.5172854241178</v>
      </c>
      <c r="IW9" s="20" t="n">
        <f aca="false">IF(AND(HU9=1,IE9&gt;0,Slot3_IsWG=1,AR9=1),MAX(0,(Slot3_Cost-AS9*(1+Slot3_Rate)^(Slot3_Age-D9))/IV9),0)</f>
        <v>0</v>
      </c>
      <c r="IX9" s="20" t="n">
        <f aca="false">IF(AND(HU9=1,IE9&gt;0,Slot3_IsWG=1,AR9=1),MIN(IE9,IW9),0)</f>
        <v>0</v>
      </c>
      <c r="IY9" s="20" t="n">
        <f aca="false">AS9+IX9</f>
        <v>0</v>
      </c>
      <c r="IZ9" s="20" t="n">
        <f aca="false">IF(AR9=1,MAX(0,(Slot3_Cost-IY9*(1+Slot3_Rate)^(Slot3_Age-D9))/IV9),0)</f>
        <v>5292.02140567829</v>
      </c>
      <c r="JA9" s="20" t="n">
        <f aca="false">IF(AR9=1,MAX(0,(Slot3_Cost-AS9*(1+Slot3_Rate)^(Slot3_Age-D9))/IV9),0)</f>
        <v>5292.02140567829</v>
      </c>
      <c r="JB9" s="20" t="n">
        <f aca="false">IF(AND(HU9=1,AR9=1),MIN(IU9,IZ9),0)</f>
        <v>0</v>
      </c>
      <c r="JC9" s="20" t="n">
        <f aca="false">IU9-JB9</f>
        <v>0</v>
      </c>
      <c r="JD9" s="20" t="n">
        <f aca="false">IF(BB9=1,IF(ABS((1+AS_Wage)/(1+Slot4_Rate)-1)&lt;0.000000000001,(Slot4_Age-D9)*(1+Slot4_Rate)^(Slot4_Age-D9),(1+Slot4_Rate)^(Slot4_Age-D9)*(1-((1+AS_Wage)/(1+Slot4_Rate))^(Slot4_Age-D9))/(1-(1+AS_Wage)/(1+Slot4_Rate))),1)</f>
        <v>24.8440042812529</v>
      </c>
      <c r="JE9" s="20" t="n">
        <f aca="false">IF(AND(HU9=1,IE9&gt;0,Slot4_IsWG=1,BB9=1),MAX(0,(Slot4_Cost-BC9*(1+Slot4_Rate)^(Slot4_Age-D9))/JD9),0)</f>
        <v>0</v>
      </c>
      <c r="JF9" s="20" t="n">
        <f aca="false">IF(AND(HU9=1,IE9&gt;0,Slot4_IsWG=1,BB9=1),MIN(IE9,JE9),0)</f>
        <v>0</v>
      </c>
      <c r="JG9" s="20" t="n">
        <f aca="false">BC9+JF9</f>
        <v>0</v>
      </c>
      <c r="JH9" s="20" t="n">
        <f aca="false">IF(BB9=1,MAX(0,(Slot4_Cost-JG9*(1+Slot4_Rate)^(Slot4_Age-D9))/JD9),0)</f>
        <v>1610.84723701436</v>
      </c>
      <c r="JI9" s="20" t="n">
        <f aca="false">IF(BB9=1,MAX(0,(Slot4_Cost-BC9*(1+Slot4_Rate)^(Slot4_Age-D9))/JD9),0)</f>
        <v>1610.84723701436</v>
      </c>
      <c r="JJ9" s="20" t="n">
        <f aca="false">IF(AND(HU9=1,BB9=1),MIN(JC9,JH9),0)</f>
        <v>0</v>
      </c>
      <c r="JK9" s="20" t="n">
        <f aca="false">JC9-JJ9</f>
        <v>0</v>
      </c>
      <c r="JL9" s="20" t="n">
        <f aca="false">IF(BL9=1,IF(ABS((1+AS_Wage)/(1+Slot5_Rate)-1)&lt;0.000000000001,(Slot5_Age-D9)*(1+Slot5_Rate)^(Slot5_Age-D9),(1+Slot5_Rate)^(Slot5_Age-D9)*(1-((1+AS_Wage)/(1+Slot5_Rate))^(Slot5_Age-D9))/(1-(1+AS_Wage)/(1+Slot5_Rate))),1)</f>
        <v>1</v>
      </c>
      <c r="JM9" s="20" t="n">
        <f aca="false">IF(AND(HU9=1,IE9&gt;0,Slot5_IsWG=1,BL9=1),MAX(0,(Slot5_Cost-BM9*(1+Slot5_Rate)^(Slot5_Age-D9))/JL9),0)</f>
        <v>0</v>
      </c>
      <c r="JN9" s="20" t="n">
        <f aca="false">IF(AND(HU9=1,IE9&gt;0,Slot5_IsWG=1,BL9=1),MIN(IE9,JM9),0)</f>
        <v>0</v>
      </c>
      <c r="JO9" s="20" t="n">
        <f aca="false">BM9+JN9</f>
        <v>0</v>
      </c>
      <c r="JP9" s="20" t="n">
        <f aca="false">IF(BL9=1,MAX(0,(Slot5_Cost-JO9*(1+Slot5_Rate)^(Slot5_Age-D9))/JL9),0)</f>
        <v>0</v>
      </c>
      <c r="JQ9" s="20" t="n">
        <f aca="false">IF(BL9=1,MAX(0,(Slot5_Cost-BM9*(1+Slot5_Rate)^(Slot5_Age-D9))/JL9),0)</f>
        <v>0</v>
      </c>
      <c r="JR9" s="20" t="n">
        <f aca="false">IF(AND(HU9=1,BL9=1),MIN(JK9,JP9),0)</f>
        <v>0</v>
      </c>
      <c r="JS9" s="20" t="n">
        <f aca="false">JK9-JR9</f>
        <v>0</v>
      </c>
      <c r="JT9" s="20" t="n">
        <f aca="false">IF(BV9=1,IF(ABS((1+AS_Wage)/(1+Slot6_Rate)-1)&lt;0.000000000001,(Slot6_Age-D9)*(1+Slot6_Rate)^(Slot6_Age-D9),(1+Slot6_Rate)^(Slot6_Age-D9)*(1-((1+AS_Wage)/(1+Slot6_Rate))^(Slot6_Age-D9))/(1-(1+AS_Wage)/(1+Slot6_Rate))),1)</f>
        <v>1</v>
      </c>
      <c r="JU9" s="20" t="n">
        <f aca="false">IF(AND(HU9=1,IE9&gt;0,Slot6_IsWG=1,BV9=1),MAX(0,(Slot6_Cost-BW9*(1+Slot6_Rate)^(Slot6_Age-D9))/JT9),0)</f>
        <v>0</v>
      </c>
      <c r="JV9" s="20" t="n">
        <f aca="false">IF(AND(HU9=1,IE9&gt;0,Slot6_IsWG=1,BV9=1),MIN(IE9,JU9),0)</f>
        <v>0</v>
      </c>
      <c r="JW9" s="20" t="n">
        <f aca="false">BW9+JV9</f>
        <v>0</v>
      </c>
      <c r="JX9" s="20" t="n">
        <f aca="false">IF(BV9=1,MAX(0,(Slot6_Cost-JW9*(1+Slot6_Rate)^(Slot6_Age-D9))/JT9),0)</f>
        <v>0</v>
      </c>
      <c r="JY9" s="20" t="n">
        <f aca="false">IF(BV9=1,MAX(0,(Slot6_Cost-BW9*(1+Slot6_Rate)^(Slot6_Age-D9))/JT9),0)</f>
        <v>0</v>
      </c>
      <c r="JZ9" s="20" t="n">
        <f aca="false">IF(AND(HU9=1,BV9=1),MIN(JS9,JX9),0)</f>
        <v>0</v>
      </c>
      <c r="KA9" s="20" t="n">
        <f aca="false">JS9-JZ9</f>
        <v>0</v>
      </c>
      <c r="KB9" s="20" t="n">
        <f aca="false">IF(CF9=1,IF(ABS((1+AS_Wage)/(1+Slot7_Rate)-1)&lt;0.000000000001,(Slot7_Age-D9)*(1+Slot7_Rate)^(Slot7_Age-D9),(1+Slot7_Rate)^(Slot7_Age-D9)*(1-((1+AS_Wage)/(1+Slot7_Rate))^(Slot7_Age-D9))/(1-(1+AS_Wage)/(1+Slot7_Rate))),1)</f>
        <v>1</v>
      </c>
      <c r="KC9" s="20" t="n">
        <f aca="false">IF(AND(HU9=1,IE9&gt;0,Slot7_IsWG=1,CF9=1),MAX(0,(Slot7_Cost-CG9*(1+Slot7_Rate)^(Slot7_Age-D9))/KB9),0)</f>
        <v>0</v>
      </c>
      <c r="KD9" s="20" t="n">
        <f aca="false">IF(AND(HU9=1,IE9&gt;0,Slot7_IsWG=1,CF9=1),MIN(IE9,KC9),0)</f>
        <v>0</v>
      </c>
      <c r="KE9" s="20" t="n">
        <f aca="false">CG9+KD9</f>
        <v>0</v>
      </c>
      <c r="KF9" s="20" t="n">
        <f aca="false">IF(CF9=1,MAX(0,(Slot7_Cost-KE9*(1+Slot7_Rate)^(Slot7_Age-D9))/KB9),0)</f>
        <v>0</v>
      </c>
      <c r="KG9" s="20" t="n">
        <f aca="false">IF(CF9=1,MAX(0,(Slot7_Cost-CG9*(1+Slot7_Rate)^(Slot7_Age-D9))/KB9),0)</f>
        <v>0</v>
      </c>
      <c r="KH9" s="20" t="n">
        <f aca="false">IF(AND(HU9=1,CF9=1),MIN(KA9,KF9),0)</f>
        <v>0</v>
      </c>
      <c r="KI9" s="20" t="n">
        <f aca="false">KA9-KH9</f>
        <v>0</v>
      </c>
      <c r="KJ9" s="20" t="n">
        <f aca="false">IF(CP9=1,IF(ABS((1+AS_Wage)/(1+Slot8_Rate)-1)&lt;0.000000000001,(Slot8_Age-D9)*(1+Slot8_Rate)^(Slot8_Age-D9),(1+Slot8_Rate)^(Slot8_Age-D9)*(1-((1+AS_Wage)/(1+Slot8_Rate))^(Slot8_Age-D9))/(1-(1+AS_Wage)/(1+Slot8_Rate))),1)</f>
        <v>1</v>
      </c>
      <c r="KK9" s="20" t="n">
        <f aca="false">IF(AND(HU9=1,IE9&gt;0,Slot8_IsWG=1,CP9=1),MAX(0,(Slot8_Cost-CQ9*(1+Slot8_Rate)^(Slot8_Age-D9))/KJ9),0)</f>
        <v>0</v>
      </c>
      <c r="KL9" s="20" t="n">
        <f aca="false">IF(AND(HU9=1,IE9&gt;0,Slot8_IsWG=1,CP9=1),MIN(IE9,KK9),0)</f>
        <v>0</v>
      </c>
      <c r="KM9" s="20" t="n">
        <f aca="false">CQ9+KL9</f>
        <v>0</v>
      </c>
      <c r="KN9" s="20" t="n">
        <f aca="false">IF(CP9=1,MAX(0,(Slot8_Cost-KM9*(1+Slot8_Rate)^(Slot8_Age-D9))/KJ9),0)</f>
        <v>0</v>
      </c>
      <c r="KO9" s="20" t="n">
        <f aca="false">IF(CP9=1,MAX(0,(Slot8_Cost-CQ9*(1+Slot8_Rate)^(Slot8_Age-D9))/KJ9),0)</f>
        <v>0</v>
      </c>
      <c r="KP9" s="20" t="n">
        <f aca="false">IF(AND(HU9=1,CP9=1),MIN(KI9,KN9),0)</f>
        <v>0</v>
      </c>
      <c r="KQ9" s="20" t="n">
        <f aca="false">KI9-KP9</f>
        <v>0</v>
      </c>
      <c r="KR9" s="20" t="n">
        <f aca="false">IF(CZ9=1,IF(ABS((1+AS_Wage)/(1+Slot9_Rate)-1)&lt;0.000000000001,(Slot9_Age-D9)*(1+Slot9_Rate)^(Slot9_Age-D9),(1+Slot9_Rate)^(Slot9_Age-D9)*(1-((1+AS_Wage)/(1+Slot9_Rate))^(Slot9_Age-D9))/(1-(1+AS_Wage)/(1+Slot9_Rate))),1)</f>
        <v>1</v>
      </c>
      <c r="KS9" s="20" t="n">
        <f aca="false">IF(AND(HU9=1,IE9&gt;0,Slot9_IsWG=1,CZ9=1),MAX(0,(Slot9_Cost-DA9*(1+Slot9_Rate)^(Slot9_Age-D9))/KR9),0)</f>
        <v>0</v>
      </c>
      <c r="KT9" s="20" t="n">
        <f aca="false">IF(AND(HU9=1,IE9&gt;0,Slot9_IsWG=1,CZ9=1),MIN(IE9,KS9),0)</f>
        <v>0</v>
      </c>
      <c r="KU9" s="20" t="n">
        <f aca="false">DA9+KT9</f>
        <v>0</v>
      </c>
      <c r="KV9" s="20" t="n">
        <f aca="false">IF(CZ9=1,MAX(0,(Slot9_Cost-KU9*(1+Slot9_Rate)^(Slot9_Age-D9))/KR9),0)</f>
        <v>0</v>
      </c>
      <c r="KW9" s="20" t="n">
        <f aca="false">IF(CZ9=1,MAX(0,(Slot9_Cost-DA9*(1+Slot9_Rate)^(Slot9_Age-D9))/KR9),0)</f>
        <v>0</v>
      </c>
      <c r="KX9" s="20" t="n">
        <f aca="false">IF(AND(HU9=1,CZ9=1),MIN(KQ9,KV9),0)</f>
        <v>0</v>
      </c>
      <c r="KY9" s="20" t="n">
        <f aca="false">KQ9-KX9</f>
        <v>0</v>
      </c>
      <c r="KZ9" s="20" t="n">
        <f aca="false">IF(DJ9=1,IF(ABS((1+AS_Wage)/(1+Slot10_Rate)-1)&lt;0.000000000001,(Slot10_Age-D9)*(1+Slot10_Rate)^(Slot10_Age-D9),(1+Slot10_Rate)^(Slot10_Age-D9)*(1-((1+AS_Wage)/(1+Slot10_Rate))^(Slot10_Age-D9))/(1-(1+AS_Wage)/(1+Slot10_Rate))),1)</f>
        <v>1</v>
      </c>
      <c r="LA9" s="20" t="n">
        <f aca="false">IF(AND(HU9=1,IE9&gt;0,Slot10_IsWG=1,DJ9=1),MAX(0,(Slot10_Cost-DK9*(1+Slot10_Rate)^(Slot10_Age-D9))/KZ9),0)</f>
        <v>0</v>
      </c>
      <c r="LB9" s="20" t="n">
        <f aca="false">IF(AND(HU9=1,IE9&gt;0,Slot10_IsWG=1,DJ9=1),MIN(IE9,LA9),0)</f>
        <v>0</v>
      </c>
      <c r="LC9" s="20" t="n">
        <f aca="false">DK9+LB9</f>
        <v>0</v>
      </c>
      <c r="LD9" s="20" t="n">
        <f aca="false">IF(DJ9=1,MAX(0,(Slot10_Cost-LC9*(1+Slot10_Rate)^(Slot10_Age-D9))/KZ9),0)</f>
        <v>0</v>
      </c>
      <c r="LE9" s="20" t="n">
        <f aca="false">IF(DJ9=1,MAX(0,(Slot10_Cost-DK9*(1+Slot10_Rate)^(Slot10_Age-D9))/KZ9),0)</f>
        <v>0</v>
      </c>
      <c r="LF9" s="20" t="n">
        <f aca="false">IF(AND(HU9=1,DJ9=1),MIN(KY9,LD9),0)</f>
        <v>0</v>
      </c>
      <c r="LG9" s="20" t="n">
        <f aca="false">KY9-LF9</f>
        <v>0</v>
      </c>
      <c r="LH9" s="20" t="n">
        <f aca="false">IF(DT9=1,IF(ABS((1+AS_Wage)/(1+Slot11_Rate)-1)&lt;0.000000000001,(Slot11_Age-D9)*(1+Slot11_Rate)^(Slot11_Age-D9),(1+Slot11_Rate)^(Slot11_Age-D9)*(1-((1+AS_Wage)/(1+Slot11_Rate))^(Slot11_Age-D9))/(1-(1+AS_Wage)/(1+Slot11_Rate))),1)</f>
        <v>1</v>
      </c>
      <c r="LI9" s="20" t="n">
        <f aca="false">IF(AND(HU9=1,IE9&gt;0,Slot11_IsWG=1,DT9=1),MAX(0,(Slot11_Cost-DU9*(1+Slot11_Rate)^(Slot11_Age-D9))/LH9),0)</f>
        <v>0</v>
      </c>
      <c r="LJ9" s="20" t="n">
        <f aca="false">IF(AND(HU9=1,IE9&gt;0,Slot11_IsWG=1,DT9=1),MIN(IE9,LI9),0)</f>
        <v>0</v>
      </c>
      <c r="LK9" s="20" t="n">
        <f aca="false">DU9+LJ9</f>
        <v>0</v>
      </c>
      <c r="LL9" s="20" t="n">
        <f aca="false">IF(DT9=1,MAX(0,(Slot11_Cost-LK9*(1+Slot11_Rate)^(Slot11_Age-D9))/LH9),0)</f>
        <v>0</v>
      </c>
      <c r="LM9" s="20" t="n">
        <f aca="false">IF(DT9=1,MAX(0,(Slot11_Cost-DU9*(1+Slot11_Rate)^(Slot11_Age-D9))/LH9),0)</f>
        <v>0</v>
      </c>
      <c r="LN9" s="20" t="n">
        <f aca="false">IF(AND(HU9=1,DT9=1),MIN(LG9,LL9),0)</f>
        <v>0</v>
      </c>
      <c r="LO9" s="20" t="n">
        <f aca="false">LG9-LN9</f>
        <v>0</v>
      </c>
      <c r="LP9" s="20" t="n">
        <f aca="false">IF(ED9=1,IF(ABS((1+AS_Wage)/(1+Slot12_Rate)-1)&lt;0.000000000001,(Slot12_Age-D9)*(1+Slot12_Rate)^(Slot12_Age-D9),(1+Slot12_Rate)^(Slot12_Age-D9)*(1-((1+AS_Wage)/(1+Slot12_Rate))^(Slot12_Age-D9))/(1-(1+AS_Wage)/(1+Slot12_Rate))),1)</f>
        <v>1</v>
      </c>
      <c r="LQ9" s="20" t="n">
        <f aca="false">IF(AND(HU9=1,IE9&gt;0,Slot12_IsWG=1,ED9=1),MAX(0,(Slot12_Cost-EE9*(1+Slot12_Rate)^(Slot12_Age-D9))/LP9),0)</f>
        <v>0</v>
      </c>
      <c r="LR9" s="20" t="n">
        <f aca="false">IF(AND(HU9=1,IE9&gt;0,Slot12_IsWG=1,ED9=1),MIN(IE9,LQ9),0)</f>
        <v>0</v>
      </c>
      <c r="LS9" s="20" t="n">
        <f aca="false">EE9+LR9</f>
        <v>0</v>
      </c>
      <c r="LT9" s="20" t="n">
        <f aca="false">IF(ED9=1,MAX(0,(Slot12_Cost-LS9*(1+Slot12_Rate)^(Slot12_Age-D9))/LP9),0)</f>
        <v>0</v>
      </c>
      <c r="LU9" s="20" t="n">
        <f aca="false">IF(ED9=1,MAX(0,(Slot12_Cost-EE9*(1+Slot12_Rate)^(Slot12_Age-D9))/LP9),0)</f>
        <v>0</v>
      </c>
      <c r="LV9" s="20" t="n">
        <f aca="false">IF(AND(HU9=1,ED9=1),MIN(LO9,LT9),0)</f>
        <v>0</v>
      </c>
      <c r="LW9" s="20" t="n">
        <f aca="false">LO9-LV9</f>
        <v>0</v>
      </c>
      <c r="LX9" s="20" t="n">
        <f aca="false">IF(EN9=1,IF(ABS((1+AS_Wage)/(1+Slot13_Rate)-1)&lt;0.000000000001,(Slot13_Age-D9)*(1+Slot13_Rate)^(Slot13_Age-D9),(1+Slot13_Rate)^(Slot13_Age-D9)*(1-((1+AS_Wage)/(1+Slot13_Rate))^(Slot13_Age-D9))/(1-(1+AS_Wage)/(1+Slot13_Rate))),1)</f>
        <v>1</v>
      </c>
      <c r="LY9" s="20" t="n">
        <f aca="false">IF(AND(HU9=1,IE9&gt;0,Slot13_IsWG=1,EN9=1),MAX(0,(Slot13_Cost-EO9*(1+Slot13_Rate)^(Slot13_Age-D9))/LX9),0)</f>
        <v>0</v>
      </c>
      <c r="LZ9" s="20" t="n">
        <f aca="false">IF(AND(HU9=1,IE9&gt;0,Slot13_IsWG=1,EN9=1),MIN(IE9,LY9),0)</f>
        <v>0</v>
      </c>
      <c r="MA9" s="20" t="n">
        <f aca="false">EO9+LZ9</f>
        <v>0</v>
      </c>
      <c r="MB9" s="20" t="n">
        <f aca="false">IF(EN9=1,MAX(0,(Slot13_Cost-MA9*(1+Slot13_Rate)^(Slot13_Age-D9))/LX9),0)</f>
        <v>0</v>
      </c>
      <c r="MC9" s="20" t="n">
        <f aca="false">IF(EN9=1,MAX(0,(Slot13_Cost-EO9*(1+Slot13_Rate)^(Slot13_Age-D9))/LX9),0)</f>
        <v>0</v>
      </c>
      <c r="MD9" s="20" t="n">
        <f aca="false">IF(AND(HU9=1,EN9=1),MIN(LW9,MB9),0)</f>
        <v>0</v>
      </c>
      <c r="ME9" s="20" t="n">
        <f aca="false">LW9-MD9</f>
        <v>0</v>
      </c>
      <c r="MF9" s="20" t="n">
        <f aca="false">IF(EX9=1,IF(ABS((1+AS_Wage)/(1+Slot14_Rate)-1)&lt;0.000000000001,(Slot14_Age-D9)*(1+Slot14_Rate)^(Slot14_Age-D9),(1+Slot14_Rate)^(Slot14_Age-D9)*(1-((1+AS_Wage)/(1+Slot14_Rate))^(Slot14_Age-D9))/(1-(1+AS_Wage)/(1+Slot14_Rate))),1)</f>
        <v>1</v>
      </c>
      <c r="MG9" s="20" t="n">
        <f aca="false">IF(AND(HU9=1,IE9&gt;0,Slot14_IsWG=1,EX9=1),MAX(0,(Slot14_Cost-EY9*(1+Slot14_Rate)^(Slot14_Age-D9))/MF9),0)</f>
        <v>0</v>
      </c>
      <c r="MH9" s="20" t="n">
        <f aca="false">IF(AND(HU9=1,IE9&gt;0,Slot14_IsWG=1,EX9=1),MIN(IE9,MG9),0)</f>
        <v>0</v>
      </c>
      <c r="MI9" s="20" t="n">
        <f aca="false">EY9+MH9</f>
        <v>0</v>
      </c>
      <c r="MJ9" s="20" t="n">
        <f aca="false">IF(EX9=1,MAX(0,(Slot14_Cost-MI9*(1+Slot14_Rate)^(Slot14_Age-D9))/MF9),0)</f>
        <v>0</v>
      </c>
      <c r="MK9" s="20" t="n">
        <f aca="false">IF(EX9=1,MAX(0,(Slot14_Cost-EY9*(1+Slot14_Rate)^(Slot14_Age-D9))/MF9),0)</f>
        <v>0</v>
      </c>
      <c r="ML9" s="20" t="n">
        <f aca="false">IF(AND(HU9=1,EX9=1),MIN(ME9,MJ9),0)</f>
        <v>0</v>
      </c>
      <c r="MM9" s="20" t="n">
        <f aca="false">ME9-ML9</f>
        <v>0</v>
      </c>
      <c r="MN9" s="20" t="n">
        <f aca="false">IF(FH9=1,IF(ABS((1+AS_Wage)/(1+Slot15_Rate)-1)&lt;0.000000000001,(Slot15_Age-D9)*(1+Slot15_Rate)^(Slot15_Age-D9),(1+Slot15_Rate)^(Slot15_Age-D9)*(1-((1+AS_Wage)/(1+Slot15_Rate))^(Slot15_Age-D9))/(1-(1+AS_Wage)/(1+Slot15_Rate))),1)</f>
        <v>1</v>
      </c>
      <c r="MO9" s="20" t="n">
        <f aca="false">IF(AND(HU9=1,IE9&gt;0,Slot15_IsWG=1,FH9=1),MAX(0,(Slot15_Cost-FI9*(1+Slot15_Rate)^(Slot15_Age-D9))/MN9),0)</f>
        <v>0</v>
      </c>
      <c r="MP9" s="20" t="n">
        <f aca="false">IF(AND(HU9=1,IE9&gt;0,Slot15_IsWG=1,FH9=1),MIN(IE9,MO9),0)</f>
        <v>0</v>
      </c>
      <c r="MQ9" s="20" t="n">
        <f aca="false">FI9+MP9</f>
        <v>0</v>
      </c>
      <c r="MR9" s="20" t="n">
        <f aca="false">IF(FH9=1,MAX(0,(Slot15_Cost-MQ9*(1+Slot15_Rate)^(Slot15_Age-D9))/MN9),0)</f>
        <v>0</v>
      </c>
      <c r="MS9" s="20" t="n">
        <f aca="false">IF(FH9=1,MAX(0,(Slot15_Cost-FI9*(1+Slot15_Rate)^(Slot15_Age-D9))/MN9),0)</f>
        <v>0</v>
      </c>
      <c r="MT9" s="20" t="n">
        <f aca="false">IF(AND(HU9=1,FH9=1),MIN(MM9,MR9),0)</f>
        <v>0</v>
      </c>
      <c r="MU9" s="20" t="n">
        <f aca="false">MM9-MT9</f>
        <v>0</v>
      </c>
      <c r="MV9" s="20" t="n">
        <f aca="false">IF(FR9=1,IF(ABS((1+AS_Wage)/(1+Slot16_Rate)-1)&lt;0.000000000001,(Slot16_Age-D9)*(1+Slot16_Rate)^(Slot16_Age-D9),(1+Slot16_Rate)^(Slot16_Age-D9)*(1-((1+AS_Wage)/(1+Slot16_Rate))^(Slot16_Age-D9))/(1-(1+AS_Wage)/(1+Slot16_Rate))),1)</f>
        <v>1</v>
      </c>
      <c r="MW9" s="20" t="n">
        <f aca="false">IF(AND(HU9=1,IE9&gt;0,Slot16_IsWG=1,FR9=1),MAX(0,(Slot16_Cost-FS9*(1+Slot16_Rate)^(Slot16_Age-D9))/MV9),0)</f>
        <v>0</v>
      </c>
      <c r="MX9" s="20" t="n">
        <f aca="false">IF(AND(HU9=1,IE9&gt;0,Slot16_IsWG=1,FR9=1),MIN(IE9,MW9),0)</f>
        <v>0</v>
      </c>
      <c r="MY9" s="20" t="n">
        <f aca="false">FS9+MX9</f>
        <v>0</v>
      </c>
      <c r="MZ9" s="20" t="n">
        <f aca="false">IF(FR9=1,MAX(0,(Slot16_Cost-MY9*(1+Slot16_Rate)^(Slot16_Age-D9))/MV9),0)</f>
        <v>0</v>
      </c>
      <c r="NA9" s="20" t="n">
        <f aca="false">IF(FR9=1,MAX(0,(Slot16_Cost-FS9*(1+Slot16_Rate)^(Slot16_Age-D9))/MV9),0)</f>
        <v>0</v>
      </c>
      <c r="NB9" s="20" t="n">
        <f aca="false">IF(AND(HU9=1,FR9=1),MIN(MU9,MZ9),0)</f>
        <v>0</v>
      </c>
      <c r="NC9" s="20" t="n">
        <f aca="false">MU9-NB9</f>
        <v>0</v>
      </c>
      <c r="ND9" s="20" t="n">
        <f aca="false">IF(GB9=1,IF(ABS((1+AS_Wage)/(1+Slot17_Rate)-1)&lt;0.000000000001,(Slot17_Age-D9)*(1+Slot17_Rate)^(Slot17_Age-D9),(1+Slot17_Rate)^(Slot17_Age-D9)*(1-((1+AS_Wage)/(1+Slot17_Rate))^(Slot17_Age-D9))/(1-(1+AS_Wage)/(1+Slot17_Rate))),1)</f>
        <v>1</v>
      </c>
      <c r="NE9" s="20" t="n">
        <f aca="false">IF(AND(HU9=1,IE9&gt;0,Slot17_IsWG=1,GB9=1),MAX(0,(Slot17_Cost-GC9*(1+Slot17_Rate)^(Slot17_Age-D9))/ND9),0)</f>
        <v>0</v>
      </c>
      <c r="NF9" s="20" t="n">
        <f aca="false">IF(AND(HU9=1,IE9&gt;0,Slot17_IsWG=1,GB9=1),MIN(IE9,NE9),0)</f>
        <v>0</v>
      </c>
      <c r="NG9" s="20" t="n">
        <f aca="false">GC9+NF9</f>
        <v>0</v>
      </c>
      <c r="NH9" s="20" t="n">
        <f aca="false">IF(GB9=1,MAX(0,(Slot17_Cost-NG9*(1+Slot17_Rate)^(Slot17_Age-D9))/ND9),0)</f>
        <v>0</v>
      </c>
      <c r="NI9" s="20" t="n">
        <f aca="false">IF(GB9=1,MAX(0,(Slot17_Cost-GC9*(1+Slot17_Rate)^(Slot17_Age-D9))/ND9),0)</f>
        <v>0</v>
      </c>
      <c r="NJ9" s="20" t="n">
        <f aca="false">IF(AND(HU9=1,GB9=1),MIN(NC9,NH9),0)</f>
        <v>0</v>
      </c>
      <c r="NK9" s="20" t="n">
        <f aca="false">NC9-NJ9</f>
        <v>0</v>
      </c>
      <c r="NL9" s="20" t="n">
        <f aca="false">IF(GL9=1,IF(ABS((1+AS_Wage)/(1+Slot18_Rate)-1)&lt;0.000000000001,(Slot18_Age-D9)*(1+Slot18_Rate)^(Slot18_Age-D9),(1+Slot18_Rate)^(Slot18_Age-D9)*(1-((1+AS_Wage)/(1+Slot18_Rate))^(Slot18_Age-D9))/(1-(1+AS_Wage)/(1+Slot18_Rate))),1)</f>
        <v>1</v>
      </c>
      <c r="NM9" s="20" t="n">
        <f aca="false">IF(AND(HU9=1,IE9&gt;0,Slot18_IsWG=1,GL9=1),MAX(0,(Slot18_Cost-GM9*(1+Slot18_Rate)^(Slot18_Age-D9))/NL9),0)</f>
        <v>0</v>
      </c>
      <c r="NN9" s="20" t="n">
        <f aca="false">IF(AND(HU9=1,IE9&gt;0,Slot18_IsWG=1,GL9=1),MIN(IE9,NM9),0)</f>
        <v>0</v>
      </c>
      <c r="NO9" s="20" t="n">
        <f aca="false">GM9+NN9</f>
        <v>0</v>
      </c>
      <c r="NP9" s="20" t="n">
        <f aca="false">IF(GL9=1,MAX(0,(Slot18_Cost-NO9*(1+Slot18_Rate)^(Slot18_Age-D9))/NL9),0)</f>
        <v>0</v>
      </c>
      <c r="NQ9" s="20" t="n">
        <f aca="false">IF(GL9=1,MAX(0,(Slot18_Cost-GM9*(1+Slot18_Rate)^(Slot18_Age-D9))/NL9),0)</f>
        <v>0</v>
      </c>
      <c r="NR9" s="20" t="n">
        <f aca="false">IF(AND(HU9=1,GL9=1),MIN(NK9,NP9),0)</f>
        <v>0</v>
      </c>
      <c r="NS9" s="20" t="n">
        <f aca="false">NK9-NR9</f>
        <v>0</v>
      </c>
      <c r="NT9" s="20" t="n">
        <f aca="false">IF(GV9=1,IF(ABS((1+AS_Wage)/(1+Slot19_Rate)-1)&lt;0.000000000001,(Slot19_Age-D9)*(1+Slot19_Rate)^(Slot19_Age-D9),(1+Slot19_Rate)^(Slot19_Age-D9)*(1-((1+AS_Wage)/(1+Slot19_Rate))^(Slot19_Age-D9))/(1-(1+AS_Wage)/(1+Slot19_Rate))),1)</f>
        <v>1</v>
      </c>
      <c r="NU9" s="20" t="n">
        <f aca="false">IF(AND(HU9=1,IE9&gt;0,Slot19_IsWG=1,GV9=1),MAX(0,(Slot19_Cost-GW9*(1+Slot19_Rate)^(Slot19_Age-D9))/NT9),0)</f>
        <v>0</v>
      </c>
      <c r="NV9" s="20" t="n">
        <f aca="false">IF(AND(HU9=1,IE9&gt;0,Slot19_IsWG=1,GV9=1),MIN(IE9,NU9),0)</f>
        <v>0</v>
      </c>
      <c r="NW9" s="20" t="n">
        <f aca="false">GW9+NV9</f>
        <v>0</v>
      </c>
      <c r="NX9" s="20" t="n">
        <f aca="false">IF(GV9=1,MAX(0,(Slot19_Cost-NW9*(1+Slot19_Rate)^(Slot19_Age-D9))/NT9),0)</f>
        <v>0</v>
      </c>
      <c r="NY9" s="20" t="n">
        <f aca="false">IF(GV9=1,MAX(0,(Slot19_Cost-GW9*(1+Slot19_Rate)^(Slot19_Age-D9))/NT9),0)</f>
        <v>0</v>
      </c>
      <c r="NZ9" s="20" t="n">
        <f aca="false">IF(AND(HU9=1,GV9=1),MIN(NS9,NX9),0)</f>
        <v>0</v>
      </c>
      <c r="OA9" s="20" t="n">
        <f aca="false">NS9-NZ9</f>
        <v>0</v>
      </c>
      <c r="OB9" s="20" t="n">
        <f aca="false">IF(HF9=1,IF(ABS((1+AS_Wage)/(1+Slot20_Rate)-1)&lt;0.000000000001,(Slot20_Age-D9)*(1+Slot20_Rate)^(Slot20_Age-D9),(1+Slot20_Rate)^(Slot20_Age-D9)*(1-((1+AS_Wage)/(1+Slot20_Rate))^(Slot20_Age-D9))/(1-(1+AS_Wage)/(1+Slot20_Rate))),1)</f>
        <v>1</v>
      </c>
      <c r="OC9" s="20" t="n">
        <f aca="false">IF(AND(HU9=1,IE9&gt;0,Slot20_IsWG=1,HF9=1),MAX(0,(Slot20_Cost-HG9*(1+Slot20_Rate)^(Slot20_Age-D9))/OB9),0)</f>
        <v>0</v>
      </c>
      <c r="OD9" s="20" t="n">
        <f aca="false">IF(AND(HU9=1,IE9&gt;0,Slot20_IsWG=1,HF9=1),MIN(IE9,OC9),0)</f>
        <v>0</v>
      </c>
      <c r="OE9" s="20" t="n">
        <f aca="false">HG9+OD9</f>
        <v>0</v>
      </c>
      <c r="OF9" s="20" t="n">
        <f aca="false">IF(HF9=1,MAX(0,(Slot20_Cost-OE9*(1+Slot20_Rate)^(Slot20_Age-D9))/OB9),0)</f>
        <v>0</v>
      </c>
      <c r="OG9" s="20" t="n">
        <f aca="false">IF(HF9=1,MAX(0,(Slot20_Cost-HG9*(1+Slot20_Rate)^(Slot20_Age-D9))/OB9),0)</f>
        <v>0</v>
      </c>
      <c r="OH9" s="20" t="n">
        <f aca="false">IF(AND(HU9=1,HF9=1),MIN(OA9,OF9),0)</f>
        <v>0</v>
      </c>
      <c r="OI9" s="20" t="n">
        <f aca="false">OA9-OH9</f>
        <v>0</v>
      </c>
      <c r="OJ9" s="20" t="n">
        <f aca="false">IE9-(IH9+IP9+IX9+JF9+JN9+JV9+KD9+KL9+KT9+LB9+LJ9+LR9+LZ9+MH9+MP9+MX9+NF9+NN9+NV9+OD9)</f>
        <v>0</v>
      </c>
      <c r="OK9" s="20" t="n">
        <f aca="false">IF(HU9=1,HS9-ID9-IE9,0)</f>
        <v>1359.7236</v>
      </c>
      <c r="OL9" s="20" t="n">
        <f aca="false">IF(HU9=0,-HS9,0)</f>
        <v>0</v>
      </c>
      <c r="OM9" s="20" t="n">
        <f aca="false">MIN(OL9,HK9)</f>
        <v>0</v>
      </c>
      <c r="ON9" s="20" t="n">
        <f aca="false">OL9-OM9</f>
        <v>0</v>
      </c>
      <c r="OO9" s="20" t="n">
        <f aca="false">MIN(ON9,HL9)</f>
        <v>0</v>
      </c>
      <c r="OP9" s="20" t="n">
        <f aca="false">ON9-OO9</f>
        <v>0</v>
      </c>
      <c r="OQ9" s="20" t="n">
        <f aca="false">IF(AND(HU9=0,HF9=1,OP9&gt;0),MIN(OP9,HG9),0)</f>
        <v>0</v>
      </c>
      <c r="OR9" s="20" t="n">
        <f aca="false">OP9-OQ9</f>
        <v>0</v>
      </c>
      <c r="OS9" s="20" t="n">
        <f aca="false">IF(AND(HU9=0,GV9=1,OR9&gt;0),MIN(OR9,GW9),0)</f>
        <v>0</v>
      </c>
      <c r="OT9" s="20" t="n">
        <f aca="false">OR9-OS9</f>
        <v>0</v>
      </c>
      <c r="OU9" s="20" t="n">
        <f aca="false">IF(AND(HU9=0,GL9=1,OT9&gt;0),MIN(OT9,GM9),0)</f>
        <v>0</v>
      </c>
      <c r="OV9" s="20" t="n">
        <f aca="false">OT9-OU9</f>
        <v>0</v>
      </c>
      <c r="OW9" s="20" t="n">
        <f aca="false">IF(AND(HU9=0,GB9=1,OV9&gt;0),MIN(OV9,GC9),0)</f>
        <v>0</v>
      </c>
      <c r="OX9" s="20" t="n">
        <f aca="false">OV9-OW9</f>
        <v>0</v>
      </c>
      <c r="OY9" s="20" t="n">
        <f aca="false">IF(AND(HU9=0,FR9=1,OX9&gt;0),MIN(OX9,FS9),0)</f>
        <v>0</v>
      </c>
      <c r="OZ9" s="20" t="n">
        <f aca="false">OX9-OY9</f>
        <v>0</v>
      </c>
      <c r="PA9" s="20" t="n">
        <f aca="false">IF(AND(HU9=0,FH9=1,OZ9&gt;0),MIN(OZ9,FI9),0)</f>
        <v>0</v>
      </c>
      <c r="PB9" s="20" t="n">
        <f aca="false">OZ9-PA9</f>
        <v>0</v>
      </c>
      <c r="PC9" s="20" t="n">
        <f aca="false">IF(AND(HU9=0,EX9=1,PB9&gt;0),MIN(PB9,EY9),0)</f>
        <v>0</v>
      </c>
      <c r="PD9" s="20" t="n">
        <f aca="false">PB9-PC9</f>
        <v>0</v>
      </c>
      <c r="PE9" s="20" t="n">
        <f aca="false">IF(AND(HU9=0,EN9=1,PD9&gt;0),MIN(PD9,EO9),0)</f>
        <v>0</v>
      </c>
      <c r="PF9" s="20" t="n">
        <f aca="false">PD9-PE9</f>
        <v>0</v>
      </c>
      <c r="PG9" s="20" t="n">
        <f aca="false">IF(AND(HU9=0,ED9=1,PF9&gt;0),MIN(PF9,EE9),0)</f>
        <v>0</v>
      </c>
      <c r="PH9" s="20" t="n">
        <f aca="false">PF9-PG9</f>
        <v>0</v>
      </c>
      <c r="PI9" s="20" t="n">
        <f aca="false">IF(AND(HU9=0,DT9=1,PH9&gt;0),MIN(PH9,DU9),0)</f>
        <v>0</v>
      </c>
      <c r="PJ9" s="20" t="n">
        <f aca="false">PH9-PI9</f>
        <v>0</v>
      </c>
      <c r="PK9" s="20" t="n">
        <f aca="false">IF(AND(HU9=0,DJ9=1,PJ9&gt;0),MIN(PJ9,DK9),0)</f>
        <v>0</v>
      </c>
      <c r="PL9" s="20" t="n">
        <f aca="false">PJ9-PK9</f>
        <v>0</v>
      </c>
      <c r="PM9" s="20" t="n">
        <f aca="false">IF(AND(HU9=0,CZ9=1,PL9&gt;0),MIN(PL9,DA9),0)</f>
        <v>0</v>
      </c>
      <c r="PN9" s="20" t="n">
        <f aca="false">PL9-PM9</f>
        <v>0</v>
      </c>
      <c r="PO9" s="20" t="n">
        <f aca="false">IF(AND(HU9=0,CP9=1,PN9&gt;0),MIN(PN9,CQ9),0)</f>
        <v>0</v>
      </c>
      <c r="PP9" s="20" t="n">
        <f aca="false">PN9-PO9</f>
        <v>0</v>
      </c>
      <c r="PQ9" s="20" t="n">
        <f aca="false">IF(AND(HU9=0,CF9=1,PP9&gt;0),MIN(PP9,CG9),0)</f>
        <v>0</v>
      </c>
      <c r="PR9" s="20" t="n">
        <f aca="false">PP9-PQ9</f>
        <v>0</v>
      </c>
      <c r="PS9" s="20" t="n">
        <f aca="false">IF(AND(HU9=0,BV9=1,PR9&gt;0),MIN(PR9,BW9),0)</f>
        <v>0</v>
      </c>
      <c r="PT9" s="20" t="n">
        <f aca="false">PR9-PS9</f>
        <v>0</v>
      </c>
      <c r="PU9" s="20" t="n">
        <f aca="false">IF(AND(HU9=0,BL9=1,PT9&gt;0),MIN(PT9,BM9),0)</f>
        <v>0</v>
      </c>
      <c r="PV9" s="20" t="n">
        <f aca="false">PT9-PU9</f>
        <v>0</v>
      </c>
      <c r="PW9" s="20" t="n">
        <f aca="false">IF(AND(HU9=0,BB9=1,PV9&gt;0),MIN(PV9,BC9),0)</f>
        <v>0</v>
      </c>
      <c r="PX9" s="20" t="n">
        <f aca="false">PV9-PW9</f>
        <v>0</v>
      </c>
      <c r="PY9" s="20" t="n">
        <f aca="false">IF(AND(HU9=0,AR9=1,PX9&gt;0),MIN(PX9,AS9),0)</f>
        <v>0</v>
      </c>
      <c r="PZ9" s="20" t="n">
        <f aca="false">PX9-PY9</f>
        <v>0</v>
      </c>
      <c r="QA9" s="20" t="n">
        <f aca="false">IF(AND(HU9=0,AH9=1,PZ9&gt;0),MIN(PZ9,AI9),0)</f>
        <v>0</v>
      </c>
      <c r="QB9" s="20" t="n">
        <f aca="false">PZ9-QA9</f>
        <v>0</v>
      </c>
      <c r="QC9" s="20" t="n">
        <f aca="false">IF(AND(HU9=0,W9=1,QB9&gt;0),MIN(QB9,X9),0)</f>
        <v>0</v>
      </c>
      <c r="QD9" s="20" t="n">
        <f aca="false">QB9-QC9</f>
        <v>0</v>
      </c>
      <c r="QE9" s="20" t="n">
        <f aca="false">IF(HU9=0,QD9,0)</f>
        <v>0</v>
      </c>
      <c r="QF9" s="20" t="n">
        <f aca="false">OM9+OO9+QC9+QA9+PY9+PW9+PU9+PS9+PQ9+PO9+PM9+PK9+PI9+PG9+PE9+PC9+PA9+OY9+OW9+OU9+OS9+OQ9</f>
        <v>0</v>
      </c>
      <c r="QG9" s="20" t="n">
        <f aca="false">IF(HU9=1,HK9+OJ9+OI9+IF(G9=1,0,OK9),HK9-OM9)</f>
        <v>0</v>
      </c>
      <c r="QH9" s="20" t="n">
        <f aca="false">HL9-OO9</f>
        <v>0</v>
      </c>
      <c r="QI9" s="20" t="n">
        <f aca="false">IF(HU9=1,IF(G9=1,ID9+IE9,HS9),0)</f>
        <v>1359.7236</v>
      </c>
      <c r="QJ9" s="20" t="n">
        <f aca="false">IF(HU9=1,IF(G9=1,HS9-ID9-IE9,0),0)</f>
        <v>1359.7236</v>
      </c>
      <c r="QK9" s="57" t="n">
        <f aca="false">'Plan holdings'!BM9</f>
        <v>0</v>
      </c>
      <c r="QL9" s="20" t="n">
        <f aca="false">QH9*(1+AS_Cash)</f>
        <v>0</v>
      </c>
      <c r="QM9" s="20" t="n">
        <f aca="false">IF(W9=1,IF(HU9=1,II9+IL9,X9-QC9)*(1+Slot1_Rate),0)</f>
        <v>11378.4415116962</v>
      </c>
      <c r="QN9" s="20" t="n">
        <f aca="false">IF(AND(HU9=1,W9=1),(IH9+IL9)/F9,0)</f>
        <v>1333.06235294118</v>
      </c>
      <c r="QO9" s="20" t="n">
        <f aca="false">IF(B9=0,IH9+IL9,0)</f>
        <v>0</v>
      </c>
      <c r="QP9" s="20" t="n">
        <f aca="false">IF(B9=0,IF(HU9=1,IJ9,IK9),0)</f>
        <v>0</v>
      </c>
      <c r="QQ9" s="20" t="n">
        <f aca="false">IF(AH9=1,IF(HU9=1,IQ9+IT9,AI9-QA9)*(1+Slot2_Rate),0)</f>
        <v>6324.62</v>
      </c>
      <c r="QR9" s="20" t="n">
        <f aca="false">IF(AND(HU9=1,AH9=1),(IP9+IT9)/F9,0)</f>
        <v>0</v>
      </c>
      <c r="QS9" s="20" t="n">
        <f aca="false">IF(B9=0,IP9+IT9,0)</f>
        <v>0</v>
      </c>
      <c r="QT9" s="20" t="n">
        <f aca="false">IF(B9=0,IF(HU9=1,IR9,IS9),0)</f>
        <v>0</v>
      </c>
      <c r="QU9" s="20" t="n">
        <f aca="false">IF(AR9=1,IF(HU9=1,IY9+JB9,AS9-PY9)*(1+Slot3_Rate),0)</f>
        <v>0</v>
      </c>
      <c r="QV9" s="20" t="n">
        <f aca="false">IF(AND(HU9=1,AR9=1),(IX9+JB9)/F9,0)</f>
        <v>0</v>
      </c>
      <c r="QW9" s="20" t="n">
        <f aca="false">IF(B9=0,IX9+JB9,0)</f>
        <v>0</v>
      </c>
      <c r="QX9" s="20" t="n">
        <f aca="false">IF(B9=0,IF(HU9=1,IZ9,JA9),0)</f>
        <v>0</v>
      </c>
      <c r="QY9" s="20" t="n">
        <f aca="false">IF(BB9=1,IF(HU9=1,JG9+JJ9,BC9-PW9)*(1+Slot4_Rate),0)</f>
        <v>0</v>
      </c>
      <c r="QZ9" s="20" t="n">
        <f aca="false">IF(AND(HU9=1,BB9=1),(JF9+JJ9)/F9,0)</f>
        <v>0</v>
      </c>
      <c r="RA9" s="20" t="n">
        <f aca="false">IF(B9=0,JF9+JJ9,0)</f>
        <v>0</v>
      </c>
      <c r="RB9" s="20" t="n">
        <f aca="false">IF(B9=0,IF(HU9=1,JH9,JI9),0)</f>
        <v>0</v>
      </c>
      <c r="RC9" s="20" t="n">
        <f aca="false">IF(BL9=1,IF(HU9=1,JO9+JR9,BM9-PU9)*(1+Slot5_Rate),0)</f>
        <v>0</v>
      </c>
      <c r="RD9" s="20" t="n">
        <f aca="false">IF(AND(HU9=1,BL9=1),(JN9+JR9)/F9,0)</f>
        <v>0</v>
      </c>
      <c r="RE9" s="20" t="n">
        <f aca="false">IF(B9=0,JN9+JR9,0)</f>
        <v>0</v>
      </c>
      <c r="RF9" s="20" t="n">
        <f aca="false">IF(B9=0,IF(HU9=1,JP9,JQ9),0)</f>
        <v>0</v>
      </c>
      <c r="RG9" s="20" t="n">
        <f aca="false">IF(BV9=1,IF(HU9=1,JW9+JZ9,BW9-PS9)*(1+Slot6_Rate),0)</f>
        <v>0</v>
      </c>
      <c r="RH9" s="20" t="n">
        <f aca="false">IF(AND(HU9=1,BV9=1),(JV9+JZ9)/F9,0)</f>
        <v>0</v>
      </c>
      <c r="RI9" s="20" t="n">
        <f aca="false">IF(B9=0,JV9+JZ9,0)</f>
        <v>0</v>
      </c>
      <c r="RJ9" s="20" t="n">
        <f aca="false">IF(B9=0,IF(HU9=1,JX9,JY9),0)</f>
        <v>0</v>
      </c>
      <c r="RK9" s="20" t="n">
        <f aca="false">IF(CF9=1,IF(HU9=1,KE9+KH9,CG9-PQ9)*(1+Slot7_Rate),0)</f>
        <v>0</v>
      </c>
      <c r="RL9" s="20" t="n">
        <f aca="false">IF(AND(HU9=1,CF9=1),(KD9+KH9)/F9,0)</f>
        <v>0</v>
      </c>
      <c r="RM9" s="20" t="n">
        <f aca="false">IF(B9=0,KD9+KH9,0)</f>
        <v>0</v>
      </c>
      <c r="RN9" s="20" t="n">
        <f aca="false">IF(B9=0,IF(HU9=1,KF9,KG9),0)</f>
        <v>0</v>
      </c>
      <c r="RO9" s="20" t="n">
        <f aca="false">IF(CP9=1,IF(HU9=1,KM9+KP9,CQ9-PO9)*(1+Slot8_Rate),0)</f>
        <v>0</v>
      </c>
      <c r="RP9" s="20" t="n">
        <f aca="false">IF(AND(HU9=1,CP9=1),(KL9+KP9)/F9,0)</f>
        <v>0</v>
      </c>
      <c r="RQ9" s="20" t="n">
        <f aca="false">IF(B9=0,KL9+KP9,0)</f>
        <v>0</v>
      </c>
      <c r="RR9" s="20" t="n">
        <f aca="false">IF(B9=0,IF(HU9=1,KN9,KO9),0)</f>
        <v>0</v>
      </c>
      <c r="RS9" s="20" t="n">
        <f aca="false">IF(CZ9=1,IF(HU9=1,KU9+KX9,DA9-PM9)*(1+Slot9_Rate),0)</f>
        <v>0</v>
      </c>
      <c r="RT9" s="20" t="n">
        <f aca="false">IF(AND(HU9=1,CZ9=1),(KT9+KX9)/F9,0)</f>
        <v>0</v>
      </c>
      <c r="RU9" s="20" t="n">
        <f aca="false">IF(B9=0,KT9+KX9,0)</f>
        <v>0</v>
      </c>
      <c r="RV9" s="20" t="n">
        <f aca="false">IF(B9=0,IF(HU9=1,KV9,KW9),0)</f>
        <v>0</v>
      </c>
      <c r="RW9" s="20" t="n">
        <f aca="false">IF(DJ9=1,IF(HU9=1,LC9+LF9,DK9-PK9)*(1+Slot10_Rate),0)</f>
        <v>0</v>
      </c>
      <c r="RX9" s="20" t="n">
        <f aca="false">IF(AND(HU9=1,DJ9=1),(LB9+LF9)/F9,0)</f>
        <v>0</v>
      </c>
      <c r="RY9" s="20" t="n">
        <f aca="false">IF(B9=0,LB9+LF9,0)</f>
        <v>0</v>
      </c>
      <c r="RZ9" s="20" t="n">
        <f aca="false">IF(B9=0,IF(HU9=1,LD9,LE9),0)</f>
        <v>0</v>
      </c>
      <c r="SA9" s="20" t="n">
        <f aca="false">IF(DT9=1,IF(HU9=1,LK9+LN9,DU9-PI9)*(1+Slot11_Rate),0)</f>
        <v>0</v>
      </c>
      <c r="SB9" s="20" t="n">
        <f aca="false">IF(AND(HU9=1,DT9=1),(LJ9+LN9)/F9,0)</f>
        <v>0</v>
      </c>
      <c r="SC9" s="20" t="n">
        <f aca="false">IF(B9=0,LJ9+LN9,0)</f>
        <v>0</v>
      </c>
      <c r="SD9" s="20" t="n">
        <f aca="false">IF(B9=0,IF(HU9=1,LL9,LM9),0)</f>
        <v>0</v>
      </c>
      <c r="SE9" s="20" t="n">
        <f aca="false">IF(ED9=1,IF(HU9=1,LS9+LV9,EE9-PG9)*(1+Slot12_Rate),0)</f>
        <v>0</v>
      </c>
      <c r="SF9" s="20" t="n">
        <f aca="false">IF(AND(HU9=1,ED9=1),(LR9+LV9)/F9,0)</f>
        <v>0</v>
      </c>
      <c r="SG9" s="20" t="n">
        <f aca="false">IF(B9=0,LR9+LV9,0)</f>
        <v>0</v>
      </c>
      <c r="SH9" s="20" t="n">
        <f aca="false">IF(B9=0,IF(HU9=1,LT9,LU9),0)</f>
        <v>0</v>
      </c>
      <c r="SI9" s="20" t="n">
        <f aca="false">IF(EN9=1,IF(HU9=1,MA9+MD9,EO9-PE9)*(1+Slot13_Rate),0)</f>
        <v>0</v>
      </c>
      <c r="SJ9" s="20" t="n">
        <f aca="false">IF(AND(HU9=1,EN9=1),(LZ9+MD9)/F9,0)</f>
        <v>0</v>
      </c>
      <c r="SK9" s="20" t="n">
        <f aca="false">IF(B9=0,LZ9+MD9,0)</f>
        <v>0</v>
      </c>
      <c r="SL9" s="20" t="n">
        <f aca="false">IF(B9=0,IF(HU9=1,MB9,MC9),0)</f>
        <v>0</v>
      </c>
      <c r="SM9" s="20" t="n">
        <f aca="false">IF(EX9=1,IF(HU9=1,MI9+ML9,EY9-PC9)*(1+Slot14_Rate),0)</f>
        <v>0</v>
      </c>
      <c r="SN9" s="20" t="n">
        <f aca="false">IF(AND(HU9=1,EX9=1),(MH9+ML9)/F9,0)</f>
        <v>0</v>
      </c>
      <c r="SO9" s="20" t="n">
        <f aca="false">IF(B9=0,MH9+ML9,0)</f>
        <v>0</v>
      </c>
      <c r="SP9" s="20" t="n">
        <f aca="false">IF(B9=0,IF(HU9=1,MJ9,MK9),0)</f>
        <v>0</v>
      </c>
      <c r="SQ9" s="20" t="n">
        <f aca="false">IF(FH9=1,IF(HU9=1,MQ9+MT9,FI9-PA9)*(1+Slot15_Rate),0)</f>
        <v>0</v>
      </c>
      <c r="SR9" s="20" t="n">
        <f aca="false">IF(AND(HU9=1,FH9=1),(MP9+MT9)/F9,0)</f>
        <v>0</v>
      </c>
      <c r="SS9" s="20" t="n">
        <f aca="false">IF(B9=0,MP9+MT9,0)</f>
        <v>0</v>
      </c>
      <c r="ST9" s="20" t="n">
        <f aca="false">IF(B9=0,IF(HU9=1,MR9,MS9),0)</f>
        <v>0</v>
      </c>
      <c r="SU9" s="20" t="n">
        <f aca="false">IF(FR9=1,IF(HU9=1,MY9+NB9,FS9-OY9)*(1+Slot16_Rate),0)</f>
        <v>0</v>
      </c>
      <c r="SV9" s="20" t="n">
        <f aca="false">IF(AND(HU9=1,FR9=1),(MX9+NB9)/F9,0)</f>
        <v>0</v>
      </c>
      <c r="SW9" s="20" t="n">
        <f aca="false">IF(B9=0,MX9+NB9,0)</f>
        <v>0</v>
      </c>
      <c r="SX9" s="20" t="n">
        <f aca="false">IF(B9=0,IF(HU9=1,MZ9,NA9),0)</f>
        <v>0</v>
      </c>
      <c r="SY9" s="20" t="n">
        <f aca="false">IF(GB9=1,IF(HU9=1,NG9+NJ9,GC9-OW9)*(1+Slot17_Rate),0)</f>
        <v>0</v>
      </c>
      <c r="SZ9" s="20" t="n">
        <f aca="false">IF(AND(HU9=1,GB9=1),(NF9+NJ9)/F9,0)</f>
        <v>0</v>
      </c>
      <c r="TA9" s="20" t="n">
        <f aca="false">IF(B9=0,NF9+NJ9,0)</f>
        <v>0</v>
      </c>
      <c r="TB9" s="20" t="n">
        <f aca="false">IF(B9=0,IF(HU9=1,NH9,NI9),0)</f>
        <v>0</v>
      </c>
      <c r="TC9" s="20" t="n">
        <f aca="false">IF(GL9=1,IF(HU9=1,NO9+NR9,GM9-OU9)*(1+Slot18_Rate),0)</f>
        <v>0</v>
      </c>
      <c r="TD9" s="20" t="n">
        <f aca="false">IF(AND(HU9=1,GL9=1),(NN9+NR9)/F9,0)</f>
        <v>0</v>
      </c>
      <c r="TE9" s="20" t="n">
        <f aca="false">IF(B9=0,NN9+NR9,0)</f>
        <v>0</v>
      </c>
      <c r="TF9" s="20" t="n">
        <f aca="false">IF(B9=0,IF(HU9=1,NP9,NQ9),0)</f>
        <v>0</v>
      </c>
      <c r="TG9" s="20" t="n">
        <f aca="false">IF(GV9=1,IF(HU9=1,NW9+NZ9,GW9-OS9)*(1+Slot19_Rate),0)</f>
        <v>0</v>
      </c>
      <c r="TH9" s="20" t="n">
        <f aca="false">IF(AND(HU9=1,GV9=1),(NV9+NZ9)/F9,0)</f>
        <v>0</v>
      </c>
      <c r="TI9" s="20" t="n">
        <f aca="false">IF(B9=0,NV9+NZ9,0)</f>
        <v>0</v>
      </c>
      <c r="TJ9" s="20" t="n">
        <f aca="false">IF(B9=0,IF(HU9=1,NX9,NY9),0)</f>
        <v>0</v>
      </c>
      <c r="TK9" s="20" t="n">
        <f aca="false">IF(HF9=1,IF(HU9=1,OE9+OH9,HG9-OQ9)*(1+Slot20_Rate),0)</f>
        <v>0</v>
      </c>
      <c r="TL9" s="20" t="n">
        <f aca="false">IF(AND(HU9=1,HF9=1),(OD9+OH9)/F9,0)</f>
        <v>0</v>
      </c>
      <c r="TM9" s="20" t="n">
        <f aca="false">IF(B9=0,OD9+OH9,0)</f>
        <v>0</v>
      </c>
      <c r="TN9" s="20" t="n">
        <f aca="false">IF(B9=0,IF(HU9=1,OF9,OG9),0)</f>
        <v>0</v>
      </c>
      <c r="TO9" s="20" t="n">
        <f aca="false">QK9+QL9+QM9+QQ9+QU9+QY9+RC9+RG9+RK9+RO9+RS9+RW9+SA9+SE9+SI9+SM9+SQ9+SU9+SY9+TC9+TG9+TK9</f>
        <v>17703.0615116962</v>
      </c>
      <c r="TP9" s="20" t="n">
        <f aca="false">QE9+HP9</f>
        <v>0</v>
      </c>
      <c r="TQ9" s="20" t="n">
        <f aca="false">I9+S9</f>
        <v>61260</v>
      </c>
      <c r="TR9" s="20" t="n">
        <f aca="false">1-G9</f>
        <v>0</v>
      </c>
      <c r="TS9" s="20" t="n">
        <f aca="false">IF(AND(RG_Exists=1,G9=0,C9=1),I9,0)</f>
        <v>0</v>
      </c>
      <c r="TT9" s="20" t="n">
        <f aca="false">IF(AND(RG_Exists=1,G9=0,C9=1),I9-MIN(QE9,I9),0)</f>
        <v>0</v>
      </c>
      <c r="TU9" s="20" t="n">
        <f aca="false">'Plan pay &amp; tax'!AD235</f>
        <v>91573.8</v>
      </c>
      <c r="TV9" s="20" t="n">
        <f aca="false">IF(AND(C9=1,QE9&gt;MAX(PR_Short1,TQ9*PR_Short2)),1,0)</f>
        <v>0</v>
      </c>
      <c r="TW9" s="20" t="n">
        <f aca="false">MIN(H9,I9+S9)</f>
        <v>61260</v>
      </c>
      <c r="TX9" s="20" t="n">
        <f aca="false">QF9+MAX(0,HQ9-HP9)</f>
        <v>0</v>
      </c>
      <c r="TY9" s="20" t="n">
        <f aca="false">QE9+HP9</f>
        <v>0</v>
      </c>
      <c r="TZ9" s="20" t="n">
        <f aca="false">IF(AND(C9=1,TY9&gt;PR_MinShort),1,0)</f>
        <v>0</v>
      </c>
      <c r="UA9" s="20" t="n">
        <f aca="false">IF(AND(C9=1,TZ9=0,TX9&gt;PR_MinShort),1,0)</f>
        <v>0</v>
      </c>
      <c r="UB9" s="20" t="n">
        <f aca="false">IF(AND(C9=1,QE9&gt;PR_MinShort),1,0)</f>
        <v>0</v>
      </c>
      <c r="UC9" s="20" t="n">
        <f aca="false">IF(AND(C9=1,QF9&gt;1,UJ9=0),1,0)</f>
        <v>0</v>
      </c>
      <c r="UD9" s="20" t="str">
        <f aca="false">IF(C9=0,"",IF(UJ9=1,"Gap to plan for: short "&amp;"€"&amp;TEXT(ROUND(TP9,0),"#,##0"),IF(QF9&gt;1,"Using savings","Comfortable")))</f>
        <v>Comfortable</v>
      </c>
      <c r="UE9" s="20" t="n">
        <f aca="false">IF(AND(INT(D9/10)*10=90,B9&gt;0),80,INT(D9/10)*10)</f>
        <v>30</v>
      </c>
      <c r="UF9" s="20" t="n">
        <f aca="false">IF(B9=0,1,IF(UE9&lt;&gt;UE8,UF8+1,UF8))</f>
        <v>1</v>
      </c>
      <c r="UG9" s="20" t="n">
        <f aca="false">IF(AND(C9=1,G9=1,QE9&gt;MAX(PR_Short1,TQ9*PR_Short2)),1,0)</f>
        <v>0</v>
      </c>
      <c r="UH9" s="20" t="n">
        <f aca="false">TR9*TV9</f>
        <v>0</v>
      </c>
      <c r="UI9" s="20" t="n">
        <f aca="false">IF(AND(V9=1,Slot1_PctLow=1),1,0)+IF(AND(AG9=1,Slot2_PctLow=1),1,0)+IF(AND(AQ9=1,Slot3_PctLow=1),1,0)+IF(AND(BA9=1,Slot4_PctLow=1),1,0)+IF(AND(BK9=1,Slot5_PctLow=1),1,0)+IF(AND(BU9=1,Slot6_PctLow=1),1,0)+IF(AND(CE9=1,Slot7_PctLow=1),1,0)+IF(AND(CO9=1,Slot8_PctLow=1),1,0)+IF(AND(CY9=1,Slot9_PctLow=1),1,0)+IF(AND(DI9=1,Slot10_PctLow=1),1,0)+IF(AND(DS9=1,Slot11_PctLow=1),1,0)+IF(AND(EC9=1,Slot12_PctLow=1),1,0)+IF(AND(EM9=1,Slot13_PctLow=1),1,0)+IF(AND(EW9=1,Slot14_PctLow=1),1,0)+IF(AND(FG9=1,Slot15_PctLow=1),1,0)+IF(AND(FQ9=1,Slot16_PctLow=1),1,0)+IF(AND(GA9=1,Slot17_PctLow=1),1,0)+IF(AND(GK9=1,Slot18_PctLow=1),1,0)+IF(AND(GU9=1,Slot19_PctLow=1),1,0)+IF(AND(HE9=1,Slot20_PctLow=1),1,0)</f>
        <v>0</v>
      </c>
      <c r="UJ9" s="20" t="n">
        <f aca="false">IF(C9=1,IF(OR(TV9=1,UI9&gt;0),1,0),0)</f>
        <v>0</v>
      </c>
      <c r="UK9" s="20" t="n">
        <f aca="false">Z9+AK9+AU9+BE9+BO9+BY9+CI9+CS9+DC9+DM9+DW9+EG9+EQ9+FA9+FK9+FU9+GE9+GO9+GY9+HI9+OM9</f>
        <v>0</v>
      </c>
      <c r="UL9" s="20" t="n">
        <f aca="false">V9*IF(Slot1_SpendLike=1,X9-Y9,IF(Slot1_PotFree=1,X9,0))+AG9*IF(Slot2_SpendLike=1,AI9-AJ9,IF(Slot2_PotFree=1,AI9,0))+AQ9*IF(Slot3_SpendLike=1,AS9-AT9,IF(Slot3_PotFree=1,AS9,0))+BA9*IF(Slot4_SpendLike=1,BC9-BD9,IF(Slot4_PotFree=1,BC9,0))+BK9*IF(Slot5_SpendLike=1,BM9-BN9,IF(Slot5_PotFree=1,BM9,0))+BU9*IF(Slot6_SpendLike=1,BW9-BX9,IF(Slot6_PotFree=1,BW9,0))+CE9*IF(Slot7_SpendLike=1,CG9-CH9,IF(Slot7_PotFree=1,CG9,0))+CO9*IF(Slot8_SpendLike=1,CQ9-CR9,IF(Slot8_PotFree=1,CQ9,0))+CY9*IF(Slot9_SpendLike=1,DA9-DB9,IF(Slot9_PotFree=1,DA9,0))+DI9*IF(Slot10_SpendLike=1,DK9-DL9,IF(Slot10_PotFree=1,DK9,0))+DS9*IF(Slot11_SpendLike=1,DU9-DV9,IF(Slot11_PotFree=1,DU9,0))+EC9*IF(Slot12_SpendLike=1,EE9-EF9,IF(Slot12_PotFree=1,EE9,0))+EM9*IF(Slot13_SpendLike=1,EO9-EP9,IF(Slot13_PotFree=1,EO9,0))+EW9*IF(Slot14_SpendLike=1,EY9-EZ9,IF(Slot14_PotFree=1,EY9,0))+FG9*IF(Slot15_SpendLike=1,FI9-FJ9,IF(Slot15_PotFree=1,FI9,0))+FQ9*IF(Slot16_SpendLike=1,FS9-FT9,IF(Slot16_PotFree=1,FS9,0))+GA9*IF(Slot17_SpendLike=1,GC9-GD9,IF(Slot17_PotFree=1,GC9,0))+GK9*IF(Slot18_SpendLike=1,GM9-GN9,IF(Slot18_PotFree=1,GM9,0))+GU9*IF(Slot19_SpendLike=1,GW9-GX9,IF(Slot19_PotFree=1,GW9,0))+HE9*IF(Slot20_SpendLike=1,HG9-HH9,IF(Slot20_PotFree=1,HG9,0))</f>
        <v>0</v>
      </c>
      <c r="UM9" s="20" t="n">
        <f aca="false">QG9-T9+UK9-UL9</f>
        <v>0</v>
      </c>
      <c r="UN9" s="20" t="n">
        <f aca="false">IF(OR(UN8=1,AND(In_homeUse="Yes, I'd downsize",In_downAge&gt;0,D9=In_downAge,OR(In_home="Own outright",In_home="Own with mortgage"),In_homeValue&gt;0)),1,0)</f>
        <v>0</v>
      </c>
    </row>
    <row r="10" customFormat="false" ht="15" hidden="false" customHeight="true" outlineLevel="0" collapsed="false">
      <c r="B10" s="20" t="n">
        <v>2</v>
      </c>
      <c r="C10" s="20" t="n">
        <f aca="false">IF(B10&lt;=F_N,1,0)</f>
        <v>1</v>
      </c>
      <c r="D10" s="20" t="n">
        <f aca="false">'Plan pay &amp; tax'!C236</f>
        <v>40</v>
      </c>
      <c r="E10" s="20" t="str">
        <f aca="false">IF($C10=1,"Income tax "&amp;TEXT(N('Plan pay &amp; tax'!BK236),"#,##0")&amp;"; USC "&amp;TEXT(N('Plan pay &amp; tax'!BM236)+N('Plan pay &amp; tax'!BO236),"#,##0")&amp;"; PRSI "&amp;TEXT(N('Plan pay &amp; tax'!BP236)+N('Plan pay &amp; tax'!BQ236),"#,##0")&amp;IF(N('Plan holdings'!BO10)&gt;=0.5,"; DIRT "&amp;TEXT(('Plan holdings'!BO10)/$F10,"#,##0")&amp;" (already taken from the interest earned)","")&amp;IF(N('Plan holdings'!BP10)&gt;=0.5,"; exit tax at an 8-year anniversary "&amp;TEXT(('Plan holdings'!BP10)/$F10,"#,##0"),"")&amp;IF(N('Plan holdings'!BN10)&gt;=0.5,"; tax on assets sold (exit tax or capital gains tax) "&amp;TEXT(('Plan holdings'!BN10)/$F10,"#,##0"),"")&amp;IF(N('Plan pay &amp; tax'!X236)-N('Plan pay &amp; tax'!Y236)&gt;=0.5,"; tax on the pension lump sum "&amp;TEXT(('Plan pay &amp; tax'!X236-'Plan pay &amp; tax'!Y236)/$F10,"#,##0"),"")&amp;IF(N('Plan pay &amp; tax'!V236)&gt;=0.5,"; chargeable excess tax on the pension "&amp;TEXT(('Plan pay &amp; tax'!V236)/$F10,"#,##0"),"")&amp;".","")</f>
        <v>Income tax 10,071; USC 1,576; PRSI 3,712; DIRT 92 (already taken from the interest earned).</v>
      </c>
      <c r="F10" s="50" t="n">
        <f aca="false">'Plan pay &amp; tax'!E236</f>
        <v>1.0404</v>
      </c>
      <c r="G10" s="20" t="n">
        <f aca="false">'Plan pay &amp; tax'!G236</f>
        <v>1</v>
      </c>
      <c r="H10" s="20" t="n">
        <f aca="false">'Plan pay &amp; tax'!BT236-'Plan pay &amp; tax'!BS236-'Plan pay &amp; tax'!R236</f>
        <v>65582.950544</v>
      </c>
      <c r="I10" s="20" t="n">
        <f aca="false">IF(G10=1,F_CostsM*12,IF(RG_Exists=1,RG_Amount,F_CostsM*12*AS_RetireSpend))*F10+F_OneOffY*F10</f>
        <v>46818</v>
      </c>
      <c r="J10" s="20" t="n">
        <f aca="false">IF(UN10=1,0,HR9)</f>
        <v>190587.562075478</v>
      </c>
      <c r="K10" s="20" t="n">
        <f aca="false">IF(J10&gt;1,'Plan debt months'!AC10,0)</f>
        <v>14160</v>
      </c>
      <c r="L10" s="20" t="n">
        <f aca="false">IF(J10&gt;1,'Plan debt months'!AB10,J10)</f>
        <v>183643.499845908</v>
      </c>
      <c r="M10" s="20" t="n">
        <f aca="false">O9</f>
        <v>0</v>
      </c>
      <c r="N10" s="20" t="n">
        <f aca="false">IF(M10&gt;1,'Plan debt months'!BD10,0)</f>
        <v>0</v>
      </c>
      <c r="O10" s="20" t="n">
        <f aca="false">IF(M10&gt;1,'Plan debt months'!BC10,M10)</f>
        <v>0</v>
      </c>
      <c r="P10" s="20" t="n">
        <f aca="false">R9</f>
        <v>1496.15161205283</v>
      </c>
      <c r="Q10" s="20" t="n">
        <f aca="false">IF(P10&gt;1,'Plan debt months'!CE10,0)</f>
        <v>1200</v>
      </c>
      <c r="R10" s="20" t="n">
        <f aca="false">IF(P10&gt;1,'Plan debt months'!CD10,P10)</f>
        <v>372.455092965528</v>
      </c>
      <c r="S10" s="20" t="n">
        <f aca="false">K10+N10+Q10</f>
        <v>15360</v>
      </c>
      <c r="T10" s="57" t="n">
        <f aca="false">'Plan holdings'!Y10</f>
        <v>0</v>
      </c>
      <c r="U10" s="57" t="n">
        <f aca="false">'Plan holdings'!BM9</f>
        <v>0</v>
      </c>
      <c r="V10" s="20" t="n">
        <f aca="false">IF(AND(Slot1_On=1,D10=Slot1_Age),1,0)</f>
        <v>1</v>
      </c>
      <c r="W10" s="20" t="n">
        <f aca="false">IF(AND(Slot1_On=1,Slot1_Age&gt;D10),1,0)</f>
        <v>0</v>
      </c>
      <c r="X10" s="20" t="n">
        <f aca="false">QM9</f>
        <v>11378.4415116962</v>
      </c>
      <c r="Y10" s="20" t="n">
        <f aca="false">V10*MIN(Slot1_Cost,X10)</f>
        <v>11378.4415116962</v>
      </c>
      <c r="Z10" s="20" t="n">
        <f aca="false">V10*Slot1_SpendLike*MIN(Slot1_Cost-Y10,T10)</f>
        <v>0</v>
      </c>
      <c r="AA10" s="20" t="n">
        <f aca="false">Y10+Z10</f>
        <v>11378.4415116962</v>
      </c>
      <c r="AB10" s="20" t="n">
        <f aca="false">T10-Z10+V10*IF(Slot1_SpendLike=1,X10-Y10,IF(Slot1_PotFree=1,X10,0))</f>
        <v>0</v>
      </c>
      <c r="AC10" s="20" t="n">
        <f aca="false">AF10+V10*Slot1_BufPot*X10</f>
        <v>11378.4415116962</v>
      </c>
      <c r="AD10" s="20" t="n">
        <f aca="false">IF(AND(V10=1,Slot1_IsMfree=1),IF(AA10&gt;=Slot1_Cost-1,0,MAX(0,L10-AA10)),L10)</f>
        <v>183643.499845908</v>
      </c>
      <c r="AE10" s="20" t="n">
        <f aca="false">V10*(Slot1_Cost-AA10)</f>
        <v>4227.55848830376</v>
      </c>
      <c r="AF10" s="20" t="n">
        <f aca="false">QL9</f>
        <v>0</v>
      </c>
      <c r="AG10" s="20" t="n">
        <f aca="false">IF(AND(Slot2_On=1,D10=Slot2_Age),1,0)</f>
        <v>0</v>
      </c>
      <c r="AH10" s="20" t="n">
        <f aca="false">IF(AND(Slot2_On=1,Slot2_Age&gt;D10),1,0)</f>
        <v>1</v>
      </c>
      <c r="AI10" s="20" t="n">
        <f aca="false">QQ9</f>
        <v>6324.62</v>
      </c>
      <c r="AJ10" s="20" t="n">
        <f aca="false">AG10*MIN(Slot2_Cost,AI10)</f>
        <v>0</v>
      </c>
      <c r="AK10" s="20" t="n">
        <f aca="false">AG10*Slot2_SpendLike*MIN(Slot2_Cost-AJ10,AB10)</f>
        <v>0</v>
      </c>
      <c r="AL10" s="20" t="n">
        <f aca="false">AJ10+AK10</f>
        <v>0</v>
      </c>
      <c r="AM10" s="20" t="n">
        <f aca="false">AB10-AK10+AG10*IF(Slot2_SpendLike=1,AI10-AJ10,IF(Slot2_PotFree=1,AI10,0))</f>
        <v>0</v>
      </c>
      <c r="AN10" s="20" t="n">
        <f aca="false">AC10+AG10*Slot2_BufPot*AI10</f>
        <v>11378.4415116962</v>
      </c>
      <c r="AO10" s="20" t="n">
        <f aca="false">IF(AND(AG10=1,Slot2_IsMfree=1),IF(AL10&gt;=Slot2_Cost-1,0,MAX(0,AD10-AL10)),AD10)</f>
        <v>183643.499845908</v>
      </c>
      <c r="AP10" s="20" t="n">
        <f aca="false">AG10*(Slot2_Cost-AL10)</f>
        <v>0</v>
      </c>
      <c r="AQ10" s="20" t="n">
        <f aca="false">IF(AND(Slot3_On=1,D10=Slot3_Age),1,0)</f>
        <v>0</v>
      </c>
      <c r="AR10" s="20" t="n">
        <f aca="false">IF(AND(Slot3_On=1,Slot3_Age&gt;D10),1,0)</f>
        <v>1</v>
      </c>
      <c r="AS10" s="20" t="n">
        <f aca="false">QU9</f>
        <v>0</v>
      </c>
      <c r="AT10" s="20" t="n">
        <f aca="false">AQ10*MIN(Slot3_Cost,AS10)</f>
        <v>0</v>
      </c>
      <c r="AU10" s="20" t="n">
        <f aca="false">AQ10*Slot3_SpendLike*MIN(Slot3_Cost-AT10,AM10)</f>
        <v>0</v>
      </c>
      <c r="AV10" s="20" t="n">
        <f aca="false">AT10+AU10</f>
        <v>0</v>
      </c>
      <c r="AW10" s="20" t="n">
        <f aca="false">AM10-AU10+AQ10*IF(Slot3_SpendLike=1,AS10-AT10,IF(Slot3_PotFree=1,AS10,0))</f>
        <v>0</v>
      </c>
      <c r="AX10" s="20" t="n">
        <f aca="false">AN10+AQ10*Slot3_BufPot*AS10</f>
        <v>11378.4415116962</v>
      </c>
      <c r="AY10" s="20" t="n">
        <f aca="false">IF(AND(AQ10=1,Slot3_IsMfree=1),IF(AV10&gt;=Slot3_Cost-1,0,MAX(0,AO10-AV10)),AO10)</f>
        <v>183643.499845908</v>
      </c>
      <c r="AZ10" s="20" t="n">
        <f aca="false">AQ10*(Slot3_Cost-AV10)</f>
        <v>0</v>
      </c>
      <c r="BA10" s="20" t="n">
        <f aca="false">IF(AND(Slot4_On=1,D10=Slot4_Age),1,0)</f>
        <v>0</v>
      </c>
      <c r="BB10" s="20" t="n">
        <f aca="false">IF(AND(Slot4_On=1,Slot4_Age&gt;D10),1,0)</f>
        <v>1</v>
      </c>
      <c r="BC10" s="20" t="n">
        <f aca="false">QY9</f>
        <v>0</v>
      </c>
      <c r="BD10" s="20" t="n">
        <f aca="false">BA10*MIN(Slot4_Cost,BC10)</f>
        <v>0</v>
      </c>
      <c r="BE10" s="20" t="n">
        <f aca="false">BA10*Slot4_SpendLike*MIN(Slot4_Cost-BD10,AW10)</f>
        <v>0</v>
      </c>
      <c r="BF10" s="20" t="n">
        <f aca="false">BD10+BE10</f>
        <v>0</v>
      </c>
      <c r="BG10" s="20" t="n">
        <f aca="false">AW10-BE10+BA10*IF(Slot4_SpendLike=1,BC10-BD10,IF(Slot4_PotFree=1,BC10,0))</f>
        <v>0</v>
      </c>
      <c r="BH10" s="20" t="n">
        <f aca="false">AX10+BA10*Slot4_BufPot*BC10</f>
        <v>11378.4415116962</v>
      </c>
      <c r="BI10" s="20" t="n">
        <f aca="false">IF(AND(BA10=1,Slot4_IsMfree=1),IF(BF10&gt;=Slot4_Cost-1,0,MAX(0,AY10-BF10)),AY10)</f>
        <v>183643.499845908</v>
      </c>
      <c r="BJ10" s="20" t="n">
        <f aca="false">BA10*(Slot4_Cost-BF10)</f>
        <v>0</v>
      </c>
      <c r="BK10" s="20" t="n">
        <f aca="false">IF(AND(Slot5_On=1,D10=Slot5_Age),1,0)</f>
        <v>0</v>
      </c>
      <c r="BL10" s="20" t="n">
        <f aca="false">IF(AND(Slot5_On=1,Slot5_Age&gt;D10),1,0)</f>
        <v>0</v>
      </c>
      <c r="BM10" s="20" t="n">
        <f aca="false">RC9</f>
        <v>0</v>
      </c>
      <c r="BN10" s="20" t="n">
        <f aca="false">BK10*MIN(Slot5_Cost,BM10)</f>
        <v>0</v>
      </c>
      <c r="BO10" s="20" t="n">
        <f aca="false">BK10*Slot5_SpendLike*MIN(Slot5_Cost-BN10,BG10)</f>
        <v>0</v>
      </c>
      <c r="BP10" s="20" t="n">
        <f aca="false">BN10+BO10</f>
        <v>0</v>
      </c>
      <c r="BQ10" s="20" t="n">
        <f aca="false">BG10-BO10+BK10*IF(Slot5_SpendLike=1,BM10-BN10,IF(Slot5_PotFree=1,BM10,0))</f>
        <v>0</v>
      </c>
      <c r="BR10" s="20" t="n">
        <f aca="false">BH10+BK10*Slot5_BufPot*BM10</f>
        <v>11378.4415116962</v>
      </c>
      <c r="BS10" s="20" t="n">
        <f aca="false">IF(AND(BK10=1,Slot5_IsMfree=1),IF(BP10&gt;=Slot5_Cost-1,0,MAX(0,BI10-BP10)),BI10)</f>
        <v>183643.499845908</v>
      </c>
      <c r="BT10" s="20" t="n">
        <f aca="false">BK10*(Slot5_Cost-BP10)</f>
        <v>0</v>
      </c>
      <c r="BU10" s="20" t="n">
        <f aca="false">IF(AND(Slot6_On=1,D10=Slot6_Age),1,0)</f>
        <v>0</v>
      </c>
      <c r="BV10" s="20" t="n">
        <f aca="false">IF(AND(Slot6_On=1,Slot6_Age&gt;D10),1,0)</f>
        <v>0</v>
      </c>
      <c r="BW10" s="20" t="n">
        <f aca="false">RG9</f>
        <v>0</v>
      </c>
      <c r="BX10" s="20" t="n">
        <f aca="false">BU10*MIN(Slot6_Cost,BW10)</f>
        <v>0</v>
      </c>
      <c r="BY10" s="20" t="n">
        <f aca="false">BU10*Slot6_SpendLike*MIN(Slot6_Cost-BX10,BQ10)</f>
        <v>0</v>
      </c>
      <c r="BZ10" s="20" t="n">
        <f aca="false">BX10+BY10</f>
        <v>0</v>
      </c>
      <c r="CA10" s="20" t="n">
        <f aca="false">BQ10-BY10+BU10*IF(Slot6_SpendLike=1,BW10-BX10,IF(Slot6_PotFree=1,BW10,0))</f>
        <v>0</v>
      </c>
      <c r="CB10" s="20" t="n">
        <f aca="false">BR10+BU10*Slot6_BufPot*BW10</f>
        <v>11378.4415116962</v>
      </c>
      <c r="CC10" s="20" t="n">
        <f aca="false">IF(AND(BU10=1,Slot6_IsMfree=1),IF(BZ10&gt;=Slot6_Cost-1,0,MAX(0,BS10-BZ10)),BS10)</f>
        <v>183643.499845908</v>
      </c>
      <c r="CD10" s="20" t="n">
        <f aca="false">BU10*(Slot6_Cost-BZ10)</f>
        <v>0</v>
      </c>
      <c r="CE10" s="20" t="n">
        <f aca="false">IF(AND(Slot7_On=1,D10=Slot7_Age),1,0)</f>
        <v>0</v>
      </c>
      <c r="CF10" s="20" t="n">
        <f aca="false">IF(AND(Slot7_On=1,Slot7_Age&gt;D10),1,0)</f>
        <v>0</v>
      </c>
      <c r="CG10" s="20" t="n">
        <f aca="false">RK9</f>
        <v>0</v>
      </c>
      <c r="CH10" s="20" t="n">
        <f aca="false">CE10*MIN(Slot7_Cost,CG10)</f>
        <v>0</v>
      </c>
      <c r="CI10" s="20" t="n">
        <f aca="false">CE10*Slot7_SpendLike*MIN(Slot7_Cost-CH10,CA10)</f>
        <v>0</v>
      </c>
      <c r="CJ10" s="20" t="n">
        <f aca="false">CH10+CI10</f>
        <v>0</v>
      </c>
      <c r="CK10" s="20" t="n">
        <f aca="false">CA10-CI10+CE10*IF(Slot7_SpendLike=1,CG10-CH10,IF(Slot7_PotFree=1,CG10,0))</f>
        <v>0</v>
      </c>
      <c r="CL10" s="20" t="n">
        <f aca="false">CB10+CE10*Slot7_BufPot*CG10</f>
        <v>11378.4415116962</v>
      </c>
      <c r="CM10" s="20" t="n">
        <f aca="false">IF(AND(CE10=1,Slot7_IsMfree=1),IF(CJ10&gt;=Slot7_Cost-1,0,MAX(0,CC10-CJ10)),CC10)</f>
        <v>183643.499845908</v>
      </c>
      <c r="CN10" s="20" t="n">
        <f aca="false">CE10*(Slot7_Cost-CJ10)</f>
        <v>0</v>
      </c>
      <c r="CO10" s="20" t="n">
        <f aca="false">IF(AND(Slot8_On=1,D10=Slot8_Age),1,0)</f>
        <v>0</v>
      </c>
      <c r="CP10" s="20" t="n">
        <f aca="false">IF(AND(Slot8_On=1,Slot8_Age&gt;D10),1,0)</f>
        <v>0</v>
      </c>
      <c r="CQ10" s="20" t="n">
        <f aca="false">RO9</f>
        <v>0</v>
      </c>
      <c r="CR10" s="20" t="n">
        <f aca="false">CO10*MIN(Slot8_Cost,CQ10)</f>
        <v>0</v>
      </c>
      <c r="CS10" s="20" t="n">
        <f aca="false">CO10*Slot8_SpendLike*MIN(Slot8_Cost-CR10,CK10)</f>
        <v>0</v>
      </c>
      <c r="CT10" s="20" t="n">
        <f aca="false">CR10+CS10</f>
        <v>0</v>
      </c>
      <c r="CU10" s="20" t="n">
        <f aca="false">CK10-CS10+CO10*IF(Slot8_SpendLike=1,CQ10-CR10,IF(Slot8_PotFree=1,CQ10,0))</f>
        <v>0</v>
      </c>
      <c r="CV10" s="20" t="n">
        <f aca="false">CL10+CO10*Slot8_BufPot*CQ10</f>
        <v>11378.4415116962</v>
      </c>
      <c r="CW10" s="20" t="n">
        <f aca="false">IF(AND(CO10=1,Slot8_IsMfree=1),IF(CT10&gt;=Slot8_Cost-1,0,MAX(0,CM10-CT10)),CM10)</f>
        <v>183643.499845908</v>
      </c>
      <c r="CX10" s="20" t="n">
        <f aca="false">CO10*(Slot8_Cost-CT10)</f>
        <v>0</v>
      </c>
      <c r="CY10" s="20" t="n">
        <f aca="false">IF(AND(Slot9_On=1,D10=Slot9_Age),1,0)</f>
        <v>0</v>
      </c>
      <c r="CZ10" s="20" t="n">
        <f aca="false">IF(AND(Slot9_On=1,Slot9_Age&gt;D10),1,0)</f>
        <v>0</v>
      </c>
      <c r="DA10" s="20" t="n">
        <f aca="false">RS9</f>
        <v>0</v>
      </c>
      <c r="DB10" s="20" t="n">
        <f aca="false">CY10*MIN(Slot9_Cost,DA10)</f>
        <v>0</v>
      </c>
      <c r="DC10" s="20" t="n">
        <f aca="false">CY10*Slot9_SpendLike*MIN(Slot9_Cost-DB10,CU10)</f>
        <v>0</v>
      </c>
      <c r="DD10" s="20" t="n">
        <f aca="false">DB10+DC10</f>
        <v>0</v>
      </c>
      <c r="DE10" s="20" t="n">
        <f aca="false">CU10-DC10+CY10*IF(Slot9_SpendLike=1,DA10-DB10,IF(Slot9_PotFree=1,DA10,0))</f>
        <v>0</v>
      </c>
      <c r="DF10" s="20" t="n">
        <f aca="false">CV10+CY10*Slot9_BufPot*DA10</f>
        <v>11378.4415116962</v>
      </c>
      <c r="DG10" s="20" t="n">
        <f aca="false">IF(AND(CY10=1,Slot9_IsMfree=1),IF(DD10&gt;=Slot9_Cost-1,0,MAX(0,CW10-DD10)),CW10)</f>
        <v>183643.499845908</v>
      </c>
      <c r="DH10" s="20" t="n">
        <f aca="false">CY10*(Slot9_Cost-DD10)</f>
        <v>0</v>
      </c>
      <c r="DI10" s="20" t="n">
        <f aca="false">IF(AND(Slot10_On=1,D10=Slot10_Age),1,0)</f>
        <v>0</v>
      </c>
      <c r="DJ10" s="20" t="n">
        <f aca="false">IF(AND(Slot10_On=1,Slot10_Age&gt;D10),1,0)</f>
        <v>0</v>
      </c>
      <c r="DK10" s="20" t="n">
        <f aca="false">RW9</f>
        <v>0</v>
      </c>
      <c r="DL10" s="20" t="n">
        <f aca="false">DI10*MIN(Slot10_Cost,DK10)</f>
        <v>0</v>
      </c>
      <c r="DM10" s="20" t="n">
        <f aca="false">DI10*Slot10_SpendLike*MIN(Slot10_Cost-DL10,DE10)</f>
        <v>0</v>
      </c>
      <c r="DN10" s="20" t="n">
        <f aca="false">DL10+DM10</f>
        <v>0</v>
      </c>
      <c r="DO10" s="20" t="n">
        <f aca="false">DE10-DM10+DI10*IF(Slot10_SpendLike=1,DK10-DL10,IF(Slot10_PotFree=1,DK10,0))</f>
        <v>0</v>
      </c>
      <c r="DP10" s="20" t="n">
        <f aca="false">DF10+DI10*Slot10_BufPot*DK10</f>
        <v>11378.4415116962</v>
      </c>
      <c r="DQ10" s="20" t="n">
        <f aca="false">IF(AND(DI10=1,Slot10_IsMfree=1),IF(DN10&gt;=Slot10_Cost-1,0,MAX(0,DG10-DN10)),DG10)</f>
        <v>183643.499845908</v>
      </c>
      <c r="DR10" s="20" t="n">
        <f aca="false">DI10*(Slot10_Cost-DN10)</f>
        <v>0</v>
      </c>
      <c r="DS10" s="20" t="n">
        <f aca="false">IF(AND(Slot11_On=1,D10=Slot11_Age),1,0)</f>
        <v>0</v>
      </c>
      <c r="DT10" s="20" t="n">
        <f aca="false">IF(AND(Slot11_On=1,Slot11_Age&gt;D10),1,0)</f>
        <v>0</v>
      </c>
      <c r="DU10" s="20" t="n">
        <f aca="false">SA9</f>
        <v>0</v>
      </c>
      <c r="DV10" s="20" t="n">
        <f aca="false">DS10*MIN(Slot11_Cost,DU10)</f>
        <v>0</v>
      </c>
      <c r="DW10" s="20" t="n">
        <f aca="false">DS10*Slot11_SpendLike*MIN(Slot11_Cost-DV10,DO10)</f>
        <v>0</v>
      </c>
      <c r="DX10" s="20" t="n">
        <f aca="false">DV10+DW10</f>
        <v>0</v>
      </c>
      <c r="DY10" s="20" t="n">
        <f aca="false">DO10-DW10+DS10*IF(Slot11_SpendLike=1,DU10-DV10,IF(Slot11_PotFree=1,DU10,0))</f>
        <v>0</v>
      </c>
      <c r="DZ10" s="20" t="n">
        <f aca="false">DP10+DS10*Slot11_BufPot*DU10</f>
        <v>11378.4415116962</v>
      </c>
      <c r="EA10" s="20" t="n">
        <f aca="false">IF(AND(DS10=1,Slot11_IsMfree=1),IF(DX10&gt;=Slot11_Cost-1,0,MAX(0,DQ10-DX10)),DQ10)</f>
        <v>183643.499845908</v>
      </c>
      <c r="EB10" s="20" t="n">
        <f aca="false">DS10*(Slot11_Cost-DX10)</f>
        <v>0</v>
      </c>
      <c r="EC10" s="20" t="n">
        <f aca="false">IF(AND(Slot12_On=1,D10=Slot12_Age),1,0)</f>
        <v>0</v>
      </c>
      <c r="ED10" s="20" t="n">
        <f aca="false">IF(AND(Slot12_On=1,Slot12_Age&gt;D10),1,0)</f>
        <v>0</v>
      </c>
      <c r="EE10" s="20" t="n">
        <f aca="false">SE9</f>
        <v>0</v>
      </c>
      <c r="EF10" s="20" t="n">
        <f aca="false">EC10*MIN(Slot12_Cost,EE10)</f>
        <v>0</v>
      </c>
      <c r="EG10" s="20" t="n">
        <f aca="false">EC10*Slot12_SpendLike*MIN(Slot12_Cost-EF10,DY10)</f>
        <v>0</v>
      </c>
      <c r="EH10" s="20" t="n">
        <f aca="false">EF10+EG10</f>
        <v>0</v>
      </c>
      <c r="EI10" s="20" t="n">
        <f aca="false">DY10-EG10+EC10*IF(Slot12_SpendLike=1,EE10-EF10,IF(Slot12_PotFree=1,EE10,0))</f>
        <v>0</v>
      </c>
      <c r="EJ10" s="20" t="n">
        <f aca="false">DZ10+EC10*Slot12_BufPot*EE10</f>
        <v>11378.4415116962</v>
      </c>
      <c r="EK10" s="20" t="n">
        <f aca="false">IF(AND(EC10=1,Slot12_IsMfree=1),IF(EH10&gt;=Slot12_Cost-1,0,MAX(0,EA10-EH10)),EA10)</f>
        <v>183643.499845908</v>
      </c>
      <c r="EL10" s="20" t="n">
        <f aca="false">EC10*(Slot12_Cost-EH10)</f>
        <v>0</v>
      </c>
      <c r="EM10" s="20" t="n">
        <f aca="false">IF(AND(Slot13_On=1,D10=Slot13_Age),1,0)</f>
        <v>0</v>
      </c>
      <c r="EN10" s="20" t="n">
        <f aca="false">IF(AND(Slot13_On=1,Slot13_Age&gt;D10),1,0)</f>
        <v>0</v>
      </c>
      <c r="EO10" s="20" t="n">
        <f aca="false">SI9</f>
        <v>0</v>
      </c>
      <c r="EP10" s="20" t="n">
        <f aca="false">EM10*MIN(Slot13_Cost,EO10)</f>
        <v>0</v>
      </c>
      <c r="EQ10" s="20" t="n">
        <f aca="false">EM10*Slot13_SpendLike*MIN(Slot13_Cost-EP10,EI10)</f>
        <v>0</v>
      </c>
      <c r="ER10" s="20" t="n">
        <f aca="false">EP10+EQ10</f>
        <v>0</v>
      </c>
      <c r="ES10" s="20" t="n">
        <f aca="false">EI10-EQ10+EM10*IF(Slot13_SpendLike=1,EO10-EP10,IF(Slot13_PotFree=1,EO10,0))</f>
        <v>0</v>
      </c>
      <c r="ET10" s="20" t="n">
        <f aca="false">EJ10+EM10*Slot13_BufPot*EO10</f>
        <v>11378.4415116962</v>
      </c>
      <c r="EU10" s="20" t="n">
        <f aca="false">IF(AND(EM10=1,Slot13_IsMfree=1),IF(ER10&gt;=Slot13_Cost-1,0,MAX(0,EK10-ER10)),EK10)</f>
        <v>183643.499845908</v>
      </c>
      <c r="EV10" s="20" t="n">
        <f aca="false">EM10*(Slot13_Cost-ER10)</f>
        <v>0</v>
      </c>
      <c r="EW10" s="20" t="n">
        <f aca="false">IF(AND(Slot14_On=1,D10=Slot14_Age),1,0)</f>
        <v>0</v>
      </c>
      <c r="EX10" s="20" t="n">
        <f aca="false">IF(AND(Slot14_On=1,Slot14_Age&gt;D10),1,0)</f>
        <v>0</v>
      </c>
      <c r="EY10" s="20" t="n">
        <f aca="false">SM9</f>
        <v>0</v>
      </c>
      <c r="EZ10" s="20" t="n">
        <f aca="false">EW10*MIN(Slot14_Cost,EY10)</f>
        <v>0</v>
      </c>
      <c r="FA10" s="20" t="n">
        <f aca="false">EW10*Slot14_SpendLike*MIN(Slot14_Cost-EZ10,ES10)</f>
        <v>0</v>
      </c>
      <c r="FB10" s="20" t="n">
        <f aca="false">EZ10+FA10</f>
        <v>0</v>
      </c>
      <c r="FC10" s="20" t="n">
        <f aca="false">ES10-FA10+EW10*IF(Slot14_SpendLike=1,EY10-EZ10,IF(Slot14_PotFree=1,EY10,0))</f>
        <v>0</v>
      </c>
      <c r="FD10" s="20" t="n">
        <f aca="false">ET10+EW10*Slot14_BufPot*EY10</f>
        <v>11378.4415116962</v>
      </c>
      <c r="FE10" s="20" t="n">
        <f aca="false">IF(AND(EW10=1,Slot14_IsMfree=1),IF(FB10&gt;=Slot14_Cost-1,0,MAX(0,EU10-FB10)),EU10)</f>
        <v>183643.499845908</v>
      </c>
      <c r="FF10" s="20" t="n">
        <f aca="false">EW10*(Slot14_Cost-FB10)</f>
        <v>0</v>
      </c>
      <c r="FG10" s="20" t="n">
        <f aca="false">IF(AND(Slot15_On=1,D10=Slot15_Age),1,0)</f>
        <v>0</v>
      </c>
      <c r="FH10" s="20" t="n">
        <f aca="false">IF(AND(Slot15_On=1,Slot15_Age&gt;D10),1,0)</f>
        <v>0</v>
      </c>
      <c r="FI10" s="20" t="n">
        <f aca="false">SQ9</f>
        <v>0</v>
      </c>
      <c r="FJ10" s="20" t="n">
        <f aca="false">FG10*MIN(Slot15_Cost,FI10)</f>
        <v>0</v>
      </c>
      <c r="FK10" s="20" t="n">
        <f aca="false">FG10*Slot15_SpendLike*MIN(Slot15_Cost-FJ10,FC10)</f>
        <v>0</v>
      </c>
      <c r="FL10" s="20" t="n">
        <f aca="false">FJ10+FK10</f>
        <v>0</v>
      </c>
      <c r="FM10" s="20" t="n">
        <f aca="false">FC10-FK10+FG10*IF(Slot15_SpendLike=1,FI10-FJ10,IF(Slot15_PotFree=1,FI10,0))</f>
        <v>0</v>
      </c>
      <c r="FN10" s="20" t="n">
        <f aca="false">FD10+FG10*Slot15_BufPot*FI10</f>
        <v>11378.4415116962</v>
      </c>
      <c r="FO10" s="20" t="n">
        <f aca="false">IF(AND(FG10=1,Slot15_IsMfree=1),IF(FL10&gt;=Slot15_Cost-1,0,MAX(0,FE10-FL10)),FE10)</f>
        <v>183643.499845908</v>
      </c>
      <c r="FP10" s="20" t="n">
        <f aca="false">FG10*(Slot15_Cost-FL10)</f>
        <v>0</v>
      </c>
      <c r="FQ10" s="20" t="n">
        <f aca="false">IF(AND(Slot16_On=1,D10=Slot16_Age),1,0)</f>
        <v>0</v>
      </c>
      <c r="FR10" s="20" t="n">
        <f aca="false">IF(AND(Slot16_On=1,Slot16_Age&gt;D10),1,0)</f>
        <v>0</v>
      </c>
      <c r="FS10" s="20" t="n">
        <f aca="false">SU9</f>
        <v>0</v>
      </c>
      <c r="FT10" s="20" t="n">
        <f aca="false">FQ10*MIN(Slot16_Cost,FS10)</f>
        <v>0</v>
      </c>
      <c r="FU10" s="20" t="n">
        <f aca="false">FQ10*Slot16_SpendLike*MIN(Slot16_Cost-FT10,FM10)</f>
        <v>0</v>
      </c>
      <c r="FV10" s="20" t="n">
        <f aca="false">FT10+FU10</f>
        <v>0</v>
      </c>
      <c r="FW10" s="20" t="n">
        <f aca="false">FM10-FU10+FQ10*IF(Slot16_SpendLike=1,FS10-FT10,IF(Slot16_PotFree=1,FS10,0))</f>
        <v>0</v>
      </c>
      <c r="FX10" s="20" t="n">
        <f aca="false">FN10+FQ10*Slot16_BufPot*FS10</f>
        <v>11378.4415116962</v>
      </c>
      <c r="FY10" s="20" t="n">
        <f aca="false">IF(AND(FQ10=1,Slot16_IsMfree=1),IF(FV10&gt;=Slot16_Cost-1,0,MAX(0,FO10-FV10)),FO10)</f>
        <v>183643.499845908</v>
      </c>
      <c r="FZ10" s="20" t="n">
        <f aca="false">FQ10*(Slot16_Cost-FV10)</f>
        <v>0</v>
      </c>
      <c r="GA10" s="20" t="n">
        <f aca="false">IF(AND(Slot17_On=1,D10=Slot17_Age),1,0)</f>
        <v>0</v>
      </c>
      <c r="GB10" s="20" t="n">
        <f aca="false">IF(AND(Slot17_On=1,Slot17_Age&gt;D10),1,0)</f>
        <v>0</v>
      </c>
      <c r="GC10" s="20" t="n">
        <f aca="false">SY9</f>
        <v>0</v>
      </c>
      <c r="GD10" s="20" t="n">
        <f aca="false">GA10*MIN(Slot17_Cost,GC10)</f>
        <v>0</v>
      </c>
      <c r="GE10" s="20" t="n">
        <f aca="false">GA10*Slot17_SpendLike*MIN(Slot17_Cost-GD10,FW10)</f>
        <v>0</v>
      </c>
      <c r="GF10" s="20" t="n">
        <f aca="false">GD10+GE10</f>
        <v>0</v>
      </c>
      <c r="GG10" s="20" t="n">
        <f aca="false">FW10-GE10+GA10*IF(Slot17_SpendLike=1,GC10-GD10,IF(Slot17_PotFree=1,GC10,0))</f>
        <v>0</v>
      </c>
      <c r="GH10" s="20" t="n">
        <f aca="false">FX10+GA10*Slot17_BufPot*GC10</f>
        <v>11378.4415116962</v>
      </c>
      <c r="GI10" s="20" t="n">
        <f aca="false">IF(AND(GA10=1,Slot17_IsMfree=1),IF(GF10&gt;=Slot17_Cost-1,0,MAX(0,FY10-GF10)),FY10)</f>
        <v>183643.499845908</v>
      </c>
      <c r="GJ10" s="20" t="n">
        <f aca="false">GA10*(Slot17_Cost-GF10)</f>
        <v>0</v>
      </c>
      <c r="GK10" s="20" t="n">
        <f aca="false">IF(AND(Slot18_On=1,D10=Slot18_Age),1,0)</f>
        <v>0</v>
      </c>
      <c r="GL10" s="20" t="n">
        <f aca="false">IF(AND(Slot18_On=1,Slot18_Age&gt;D10),1,0)</f>
        <v>0</v>
      </c>
      <c r="GM10" s="20" t="n">
        <f aca="false">TC9</f>
        <v>0</v>
      </c>
      <c r="GN10" s="20" t="n">
        <f aca="false">GK10*MIN(Slot18_Cost,GM10)</f>
        <v>0</v>
      </c>
      <c r="GO10" s="20" t="n">
        <f aca="false">GK10*Slot18_SpendLike*MIN(Slot18_Cost-GN10,GG10)</f>
        <v>0</v>
      </c>
      <c r="GP10" s="20" t="n">
        <f aca="false">GN10+GO10</f>
        <v>0</v>
      </c>
      <c r="GQ10" s="20" t="n">
        <f aca="false">GG10-GO10+GK10*IF(Slot18_SpendLike=1,GM10-GN10,IF(Slot18_PotFree=1,GM10,0))</f>
        <v>0</v>
      </c>
      <c r="GR10" s="20" t="n">
        <f aca="false">GH10+GK10*Slot18_BufPot*GM10</f>
        <v>11378.4415116962</v>
      </c>
      <c r="GS10" s="20" t="n">
        <f aca="false">IF(AND(GK10=1,Slot18_IsMfree=1),IF(GP10&gt;=Slot18_Cost-1,0,MAX(0,GI10-GP10)),GI10)</f>
        <v>183643.499845908</v>
      </c>
      <c r="GT10" s="20" t="n">
        <f aca="false">GK10*(Slot18_Cost-GP10)</f>
        <v>0</v>
      </c>
      <c r="GU10" s="20" t="n">
        <f aca="false">IF(AND(Slot19_On=1,D10=Slot19_Age),1,0)</f>
        <v>0</v>
      </c>
      <c r="GV10" s="20" t="n">
        <f aca="false">IF(AND(Slot19_On=1,Slot19_Age&gt;D10),1,0)</f>
        <v>0</v>
      </c>
      <c r="GW10" s="20" t="n">
        <f aca="false">TG9</f>
        <v>0</v>
      </c>
      <c r="GX10" s="20" t="n">
        <f aca="false">GU10*MIN(Slot19_Cost,GW10)</f>
        <v>0</v>
      </c>
      <c r="GY10" s="20" t="n">
        <f aca="false">GU10*Slot19_SpendLike*MIN(Slot19_Cost-GX10,GQ10)</f>
        <v>0</v>
      </c>
      <c r="GZ10" s="20" t="n">
        <f aca="false">GX10+GY10</f>
        <v>0</v>
      </c>
      <c r="HA10" s="20" t="n">
        <f aca="false">GQ10-GY10+GU10*IF(Slot19_SpendLike=1,GW10-GX10,IF(Slot19_PotFree=1,GW10,0))</f>
        <v>0</v>
      </c>
      <c r="HB10" s="20" t="n">
        <f aca="false">GR10+GU10*Slot19_BufPot*GW10</f>
        <v>11378.4415116962</v>
      </c>
      <c r="HC10" s="20" t="n">
        <f aca="false">IF(AND(GU10=1,Slot19_IsMfree=1),IF(GZ10&gt;=Slot19_Cost-1,0,MAX(0,GS10-GZ10)),GS10)</f>
        <v>183643.499845908</v>
      </c>
      <c r="HD10" s="20" t="n">
        <f aca="false">GU10*(Slot19_Cost-GZ10)</f>
        <v>0</v>
      </c>
      <c r="HE10" s="20" t="n">
        <f aca="false">IF(AND(Slot20_On=1,D10=Slot20_Age),1,0)</f>
        <v>0</v>
      </c>
      <c r="HF10" s="20" t="n">
        <f aca="false">IF(AND(Slot20_On=1,Slot20_Age&gt;D10),1,0)</f>
        <v>0</v>
      </c>
      <c r="HG10" s="20" t="n">
        <f aca="false">TK9</f>
        <v>0</v>
      </c>
      <c r="HH10" s="20" t="n">
        <f aca="false">HE10*MIN(Slot20_Cost,HG10)</f>
        <v>0</v>
      </c>
      <c r="HI10" s="20" t="n">
        <f aca="false">HE10*Slot20_SpendLike*MIN(Slot20_Cost-HH10,HA10)</f>
        <v>0</v>
      </c>
      <c r="HJ10" s="20" t="n">
        <f aca="false">HH10+HI10</f>
        <v>0</v>
      </c>
      <c r="HK10" s="20" t="n">
        <f aca="false">HA10-HI10+HE10*IF(Slot20_SpendLike=1,HG10-HH10,IF(Slot20_PotFree=1,HG10,0))</f>
        <v>0</v>
      </c>
      <c r="HL10" s="20" t="n">
        <f aca="false">HB10+HE10*Slot20_BufPot*HG10</f>
        <v>11378.4415116962</v>
      </c>
      <c r="HM10" s="20" t="n">
        <f aca="false">IF(AND(HE10=1,Slot20_IsMfree=1),IF(HJ10&gt;=Slot20_Cost-1,0,MAX(0,HC10-HJ10)),HC10)</f>
        <v>183643.499845908</v>
      </c>
      <c r="HN10" s="20" t="n">
        <f aca="false">HE10*(Slot20_Cost-HJ10)</f>
        <v>0</v>
      </c>
      <c r="HO10" s="20" t="n">
        <f aca="false">V10*Slot1_SpendLike*AA10+AG10*Slot2_SpendLike*AL10+AQ10*Slot3_SpendLike*AV10+BA10*Slot4_SpendLike*BF10+BK10*Slot5_SpendLike*BP10+BU10*Slot6_SpendLike*BZ10+CE10*Slot7_SpendLike*CJ10+CO10*Slot8_SpendLike*CT10+CY10*Slot9_SpendLike*DD10+DI10*Slot10_SpendLike*DN10+DS10*Slot11_SpendLike*DX10+EC10*Slot12_SpendLike*EH10+EM10*Slot13_SpendLike*ER10+EW10*Slot14_SpendLike*FB10+FG10*Slot15_SpendLike*FL10+FQ10*Slot16_SpendLike*FV10+GA10*Slot17_SpendLike*GF10+GK10*Slot18_SpendLike*GP10+GU10*Slot19_SpendLike*GZ10+HE10*Slot20_SpendLike*HJ10</f>
        <v>0</v>
      </c>
      <c r="HP10" s="20" t="n">
        <f aca="false">AE10+AP10+AZ10+BJ10+BT10+CD10+CN10+CX10+DH10+DR10+EB10+EL10+EV10+FF10+FP10+FZ10+GJ10+GT10+HD10+HN10</f>
        <v>4227.55848830376</v>
      </c>
      <c r="HQ10" s="20" t="n">
        <f aca="false">V10*Slot1_Cost+AG10*Slot2_Cost+AQ10*Slot3_Cost+BA10*Slot4_Cost+BK10*Slot5_Cost+BU10*Slot6_Cost+CE10*Slot7_Cost+CO10*Slot8_Cost+CY10*Slot9_Cost+DI10*Slot10_Cost+DS10*Slot11_Cost+EC10*Slot12_Cost+EM10*Slot13_Cost+EW10*Slot14_Cost+FG10*Slot15_Cost+FQ10*Slot16_Cost+GA10*Slot17_Cost+GK10*Slot18_Cost+GU10*Slot19_Cost+HE10*Slot20_Cost</f>
        <v>15606</v>
      </c>
      <c r="HR10" s="20" t="n">
        <f aca="false">HM10</f>
        <v>183643.499845908</v>
      </c>
      <c r="HS10" s="20" t="n">
        <f aca="false">H10-I10-S10</f>
        <v>3404.95054399999</v>
      </c>
      <c r="HT10" s="20" t="n">
        <f aca="false">IF(B10=0,IF(AND(Has_q6=1,In_q6=4),PR_ShareVaries*(MAX(0,HS10)/12),MIN(IF(Has_q6=1,CHOOSE(In_q6+1,PR_SaveB1,PR_SaveB2,PR_SaveB3,PR_SaveB4,0),AS_NoAnswer),AS_SaveShare*(MAX(0,HS10)/12))),HT9)</f>
        <v>67.3316893520437</v>
      </c>
      <c r="HU10" s="20" t="n">
        <f aca="false">IF(HS10&gt;=0,1,0)</f>
        <v>1</v>
      </c>
      <c r="HV10" s="20" t="n">
        <f aca="false">MAX(0,HS10/12/F10)</f>
        <v>272.727680379341</v>
      </c>
      <c r="HW10" s="20" t="n">
        <f aca="false">IF(AND(Has_q6=1,In_q6=4),PR_ShareVaries*(HV10),MIN(IF(Has_q6=1,CHOOSE(In_q6+1,PR_SaveB1,PR_SaveB2,PR_SaveB3,PR_SaveB4,0),AS_NoAnswer),AS_SaveShare*(HV10)))</f>
        <v>136.36384018967</v>
      </c>
      <c r="HX10" s="20" t="n">
        <f aca="false">IF(Has_saveM=1,IF(In_saveUp="Yes",1,IF(In_saveUp="No",0,IF(In_saveM&gt;=HT10-0.5,1,0))),0)</f>
        <v>0</v>
      </c>
      <c r="HY10" s="20" t="n">
        <f aca="false">IF(Has_saveM=1,MIN(HV10,IF(HX10=1,MAX(In_saveM,HW10),MIN(In_saveM,HW10))),HW10)</f>
        <v>136.36384018967</v>
      </c>
      <c r="HZ10" s="20" t="n">
        <f aca="false">IF(G10=1,HY10*12*F10,0)</f>
        <v>1702.475272</v>
      </c>
      <c r="IA10" s="20" t="n">
        <f aca="false">MAX(0,HZ10+IF(AND(WI_Retire=0,WI_M&lt;0,G10=1),WI_M*12*F10,0))</f>
        <v>1702.475272</v>
      </c>
      <c r="IB10" s="20" t="n">
        <f aca="false">Slot1_IsWG*W10+Slot2_IsWG*AH10+Slot3_IsWG*AR10+Slot4_IsWG*BB10+Slot5_IsWG*BL10+Slot6_IsWG*BV10+Slot7_IsWG*CF10+Slot8_IsWG*CP10+Slot9_IsWG*CZ10+Slot10_IsWG*DJ10+Slot11_IsWG*DT10+Slot12_IsWG*ED10+Slot13_IsWG*EN10+Slot14_IsWG*EX10+Slot15_IsWG*FH10+Slot16_IsWG*FR10+Slot17_IsWG*GB10+Slot18_IsWG*GL10+Slot19_IsWG*GV10+Slot20_IsWG*HF10</f>
        <v>0</v>
      </c>
      <c r="IC10" s="20" t="n">
        <f aca="false">IF(AND(WI_Retire=0,WI_M&gt;0,G10=1,IB10&gt;=1),WI_M*12*F10,0)</f>
        <v>0</v>
      </c>
      <c r="ID10" s="20" t="n">
        <f aca="false">IF(HU10=1,MIN(IA10,HS10),0)</f>
        <v>1702.475272</v>
      </c>
      <c r="IE10" s="20" t="n">
        <f aca="false">IF(HU10=1,MIN(IC10,HS10-ID10),0)</f>
        <v>0</v>
      </c>
      <c r="IF10" s="20" t="n">
        <f aca="false">IF(W10=1,IF(ABS((1+AS_Wage)/(1+Slot1_Rate)-1)&lt;0.000000000001,(Slot1_Age-D10)*(1+Slot1_Rate)^(Slot1_Age-D10),(1+Slot1_Rate)^(Slot1_Age-D10)*(1-((1+AS_Wage)/(1+Slot1_Rate))^(Slot1_Age-D10))/(1-(1+AS_Wage)/(1+Slot1_Rate))),1)</f>
        <v>1</v>
      </c>
      <c r="IG10" s="20" t="n">
        <f aca="false">IF(AND(HU10=1,IE10&gt;0,Slot1_IsWG=1,W10=1),MAX(0,(Slot1_Cost-X10*(1+Slot1_Rate)^(Slot1_Age-D10))/IF10),0)</f>
        <v>0</v>
      </c>
      <c r="IH10" s="20" t="n">
        <f aca="false">IF(AND(HU10=1,IE10&gt;0,Slot1_IsWG=1,W10=1),MIN(IE10,IG10),0)</f>
        <v>0</v>
      </c>
      <c r="II10" s="20" t="n">
        <f aca="false">X10+IH10</f>
        <v>11378.4415116962</v>
      </c>
      <c r="IJ10" s="20" t="n">
        <f aca="false">IF(W10=1,MAX(0,(Slot1_Cost-II10*(1+Slot1_Rate)^(Slot1_Age-D10))/IF10),0)</f>
        <v>0</v>
      </c>
      <c r="IK10" s="20" t="n">
        <f aca="false">IF(W10=1,MAX(0,(Slot1_Cost-X10*(1+Slot1_Rate)^(Slot1_Age-D10))/IF10),0)</f>
        <v>0</v>
      </c>
      <c r="IL10" s="20" t="n">
        <f aca="false">IF(AND(HU10=1,W10=1),MIN(ID10,IJ10),0)</f>
        <v>0</v>
      </c>
      <c r="IM10" s="20" t="n">
        <f aca="false">ID10-IL10</f>
        <v>1702.475272</v>
      </c>
      <c r="IN10" s="20" t="n">
        <f aca="false">IF(AH10=1,IF(ABS((1+AS_Wage)/(1+Slot2_Rate)-1)&lt;0.000000000001,(Slot2_Age-D10)*(1+Slot2_Rate)^(Slot2_Age-D10),(1+Slot2_Rate)^(Slot2_Age-D10)*(1-((1+AS_Wage)/(1+Slot2_Rate))^(Slot2_Age-D10))/(1-(1+AS_Wage)/(1+Slot2_Rate))),1)</f>
        <v>1.01</v>
      </c>
      <c r="IO10" s="20" t="n">
        <f aca="false">IF(AND(HU10=1,IE10&gt;0,Slot2_IsWG=1,AH10=1),MAX(0,(Slot2_Cost-AI10*(1+Slot2_Rate)^(Slot2_Age-D10))/IN10),0)</f>
        <v>0</v>
      </c>
      <c r="IP10" s="20" t="n">
        <f aca="false">IF(AND(HU10=1,IE10&gt;0,Slot2_IsWG=1,AH10=1),MIN(IE10,IO10),0)</f>
        <v>0</v>
      </c>
      <c r="IQ10" s="20" t="n">
        <f aca="false">AI10+IP10</f>
        <v>6324.62</v>
      </c>
      <c r="IR10" s="20" t="n">
        <f aca="false">IF(AH10=1,MAX(0,(Slot2_Cost-IQ10*(1+Slot2_Rate)^(Slot2_Age-D10))/IN10),0)</f>
        <v>6283.79188118812</v>
      </c>
      <c r="IS10" s="20" t="n">
        <f aca="false">IF(AH10=1,MAX(0,(Slot2_Cost-AI10*(1+Slot2_Rate)^(Slot2_Age-D10))/IN10),0)</f>
        <v>6283.79188118812</v>
      </c>
      <c r="IT10" s="20" t="n">
        <f aca="false">IF(AND(HU10=1,AH10=1),MIN(IM10,IR10),0)</f>
        <v>1702.475272</v>
      </c>
      <c r="IU10" s="20" t="n">
        <f aca="false">IM10-IT10</f>
        <v>0</v>
      </c>
      <c r="IV10" s="20" t="n">
        <f aca="false">IF(AR10=1,IF(ABS((1+AS_Wage)/(1+Slot3_Rate)-1)&lt;0.000000000001,(Slot3_Age-D10)*(1+Slot3_Rate)^(Slot3_Age-D10),(1+Slot3_Rate)^(Slot3_Age-D10)*(1-((1+AS_Wage)/(1+Slot3_Rate))^(Slot3_Age-D10))/(1-(1+AS_Wage)/(1+Slot3_Rate))),1)</f>
        <v>9.9586543085907</v>
      </c>
      <c r="IW10" s="20" t="n">
        <f aca="false">IF(AND(HU10=1,IE10&gt;0,Slot3_IsWG=1,AR10=1),MAX(0,(Slot3_Cost-AS10*(1+Slot3_Rate)^(Slot3_Age-D10))/IV10),0)</f>
        <v>0</v>
      </c>
      <c r="IX10" s="20" t="n">
        <f aca="false">IF(AND(HU10=1,IE10&gt;0,Slot3_IsWG=1,AR10=1),MIN(IE10,IW10),0)</f>
        <v>0</v>
      </c>
      <c r="IY10" s="20" t="n">
        <f aca="false">AS10+IX10</f>
        <v>0</v>
      </c>
      <c r="IZ10" s="20" t="n">
        <f aca="false">IF(AR10=1,MAX(0,(Slot3_Cost-IY10*(1+Slot3_Rate)^(Slot3_Age-D10))/IV10),0)</f>
        <v>6120.27680759643</v>
      </c>
      <c r="JA10" s="20" t="n">
        <f aca="false">IF(AR10=1,MAX(0,(Slot3_Cost-AS10*(1+Slot3_Rate)^(Slot3_Age-D10))/IV10),0)</f>
        <v>6120.27680759643</v>
      </c>
      <c r="JB10" s="20" t="n">
        <f aca="false">IF(AND(HU10=1,AR10=1),MIN(IU10,IZ10),0)</f>
        <v>0</v>
      </c>
      <c r="JC10" s="20" t="n">
        <f aca="false">IU10-JB10</f>
        <v>0</v>
      </c>
      <c r="JD10" s="20" t="n">
        <f aca="false">IF(BB10=1,IF(ABS((1+AS_Wage)/(1+Slot4_Rate)-1)&lt;0.000000000001,(Slot4_Age-D10)*(1+Slot4_Rate)^(Slot4_Age-D10),(1+Slot4_Rate)^(Slot4_Age-D10)*(1-((1+AS_Wage)/(1+Slot4_Rate))^(Slot4_Age-D10))/(1-(1+AS_Wage)/(1+Slot4_Rate))),1)</f>
        <v>22.6564617074274</v>
      </c>
      <c r="JE10" s="20" t="n">
        <f aca="false">IF(AND(HU10=1,IE10&gt;0,Slot4_IsWG=1,BB10=1),MAX(0,(Slot4_Cost-BC10*(1+Slot4_Rate)^(Slot4_Age-D10))/JD10),0)</f>
        <v>0</v>
      </c>
      <c r="JF10" s="20" t="n">
        <f aca="false">IF(AND(HU10=1,IE10&gt;0,Slot4_IsWG=1,BB10=1),MIN(IE10,JE10),0)</f>
        <v>0</v>
      </c>
      <c r="JG10" s="20" t="n">
        <f aca="false">BC10+JF10</f>
        <v>0</v>
      </c>
      <c r="JH10" s="20" t="n">
        <f aca="false">IF(BB10=1,MAX(0,(Slot4_Cost-JG10*(1+Slot4_Rate)^(Slot4_Age-D10))/JD10),0)</f>
        <v>1766.37888870836</v>
      </c>
      <c r="JI10" s="20" t="n">
        <f aca="false">IF(BB10=1,MAX(0,(Slot4_Cost-BC10*(1+Slot4_Rate)^(Slot4_Age-D10))/JD10),0)</f>
        <v>1766.37888870836</v>
      </c>
      <c r="JJ10" s="20" t="n">
        <f aca="false">IF(AND(HU10=1,BB10=1),MIN(JC10,JH10),0)</f>
        <v>0</v>
      </c>
      <c r="JK10" s="20" t="n">
        <f aca="false">JC10-JJ10</f>
        <v>0</v>
      </c>
      <c r="JL10" s="20" t="n">
        <f aca="false">IF(BL10=1,IF(ABS((1+AS_Wage)/(1+Slot5_Rate)-1)&lt;0.000000000001,(Slot5_Age-D10)*(1+Slot5_Rate)^(Slot5_Age-D10),(1+Slot5_Rate)^(Slot5_Age-D10)*(1-((1+AS_Wage)/(1+Slot5_Rate))^(Slot5_Age-D10))/(1-(1+AS_Wage)/(1+Slot5_Rate))),1)</f>
        <v>1</v>
      </c>
      <c r="JM10" s="20" t="n">
        <f aca="false">IF(AND(HU10=1,IE10&gt;0,Slot5_IsWG=1,BL10=1),MAX(0,(Slot5_Cost-BM10*(1+Slot5_Rate)^(Slot5_Age-D10))/JL10),0)</f>
        <v>0</v>
      </c>
      <c r="JN10" s="20" t="n">
        <f aca="false">IF(AND(HU10=1,IE10&gt;0,Slot5_IsWG=1,BL10=1),MIN(IE10,JM10),0)</f>
        <v>0</v>
      </c>
      <c r="JO10" s="20" t="n">
        <f aca="false">BM10+JN10</f>
        <v>0</v>
      </c>
      <c r="JP10" s="20" t="n">
        <f aca="false">IF(BL10=1,MAX(0,(Slot5_Cost-JO10*(1+Slot5_Rate)^(Slot5_Age-D10))/JL10),0)</f>
        <v>0</v>
      </c>
      <c r="JQ10" s="20" t="n">
        <f aca="false">IF(BL10=1,MAX(0,(Slot5_Cost-BM10*(1+Slot5_Rate)^(Slot5_Age-D10))/JL10),0)</f>
        <v>0</v>
      </c>
      <c r="JR10" s="20" t="n">
        <f aca="false">IF(AND(HU10=1,BL10=1),MIN(JK10,JP10),0)</f>
        <v>0</v>
      </c>
      <c r="JS10" s="20" t="n">
        <f aca="false">JK10-JR10</f>
        <v>0</v>
      </c>
      <c r="JT10" s="20" t="n">
        <f aca="false">IF(BV10=1,IF(ABS((1+AS_Wage)/(1+Slot6_Rate)-1)&lt;0.000000000001,(Slot6_Age-D10)*(1+Slot6_Rate)^(Slot6_Age-D10),(1+Slot6_Rate)^(Slot6_Age-D10)*(1-((1+AS_Wage)/(1+Slot6_Rate))^(Slot6_Age-D10))/(1-(1+AS_Wage)/(1+Slot6_Rate))),1)</f>
        <v>1</v>
      </c>
      <c r="JU10" s="20" t="n">
        <f aca="false">IF(AND(HU10=1,IE10&gt;0,Slot6_IsWG=1,BV10=1),MAX(0,(Slot6_Cost-BW10*(1+Slot6_Rate)^(Slot6_Age-D10))/JT10),0)</f>
        <v>0</v>
      </c>
      <c r="JV10" s="20" t="n">
        <f aca="false">IF(AND(HU10=1,IE10&gt;0,Slot6_IsWG=1,BV10=1),MIN(IE10,JU10),0)</f>
        <v>0</v>
      </c>
      <c r="JW10" s="20" t="n">
        <f aca="false">BW10+JV10</f>
        <v>0</v>
      </c>
      <c r="JX10" s="20" t="n">
        <f aca="false">IF(BV10=1,MAX(0,(Slot6_Cost-JW10*(1+Slot6_Rate)^(Slot6_Age-D10))/JT10),0)</f>
        <v>0</v>
      </c>
      <c r="JY10" s="20" t="n">
        <f aca="false">IF(BV10=1,MAX(0,(Slot6_Cost-BW10*(1+Slot6_Rate)^(Slot6_Age-D10))/JT10),0)</f>
        <v>0</v>
      </c>
      <c r="JZ10" s="20" t="n">
        <f aca="false">IF(AND(HU10=1,BV10=1),MIN(JS10,JX10),0)</f>
        <v>0</v>
      </c>
      <c r="KA10" s="20" t="n">
        <f aca="false">JS10-JZ10</f>
        <v>0</v>
      </c>
      <c r="KB10" s="20" t="n">
        <f aca="false">IF(CF10=1,IF(ABS((1+AS_Wage)/(1+Slot7_Rate)-1)&lt;0.000000000001,(Slot7_Age-D10)*(1+Slot7_Rate)^(Slot7_Age-D10),(1+Slot7_Rate)^(Slot7_Age-D10)*(1-((1+AS_Wage)/(1+Slot7_Rate))^(Slot7_Age-D10))/(1-(1+AS_Wage)/(1+Slot7_Rate))),1)</f>
        <v>1</v>
      </c>
      <c r="KC10" s="20" t="n">
        <f aca="false">IF(AND(HU10=1,IE10&gt;0,Slot7_IsWG=1,CF10=1),MAX(0,(Slot7_Cost-CG10*(1+Slot7_Rate)^(Slot7_Age-D10))/KB10),0)</f>
        <v>0</v>
      </c>
      <c r="KD10" s="20" t="n">
        <f aca="false">IF(AND(HU10=1,IE10&gt;0,Slot7_IsWG=1,CF10=1),MIN(IE10,KC10),0)</f>
        <v>0</v>
      </c>
      <c r="KE10" s="20" t="n">
        <f aca="false">CG10+KD10</f>
        <v>0</v>
      </c>
      <c r="KF10" s="20" t="n">
        <f aca="false">IF(CF10=1,MAX(0,(Slot7_Cost-KE10*(1+Slot7_Rate)^(Slot7_Age-D10))/KB10),0)</f>
        <v>0</v>
      </c>
      <c r="KG10" s="20" t="n">
        <f aca="false">IF(CF10=1,MAX(0,(Slot7_Cost-CG10*(1+Slot7_Rate)^(Slot7_Age-D10))/KB10),0)</f>
        <v>0</v>
      </c>
      <c r="KH10" s="20" t="n">
        <f aca="false">IF(AND(HU10=1,CF10=1),MIN(KA10,KF10),0)</f>
        <v>0</v>
      </c>
      <c r="KI10" s="20" t="n">
        <f aca="false">KA10-KH10</f>
        <v>0</v>
      </c>
      <c r="KJ10" s="20" t="n">
        <f aca="false">IF(CP10=1,IF(ABS((1+AS_Wage)/(1+Slot8_Rate)-1)&lt;0.000000000001,(Slot8_Age-D10)*(1+Slot8_Rate)^(Slot8_Age-D10),(1+Slot8_Rate)^(Slot8_Age-D10)*(1-((1+AS_Wage)/(1+Slot8_Rate))^(Slot8_Age-D10))/(1-(1+AS_Wage)/(1+Slot8_Rate))),1)</f>
        <v>1</v>
      </c>
      <c r="KK10" s="20" t="n">
        <f aca="false">IF(AND(HU10=1,IE10&gt;0,Slot8_IsWG=1,CP10=1),MAX(0,(Slot8_Cost-CQ10*(1+Slot8_Rate)^(Slot8_Age-D10))/KJ10),0)</f>
        <v>0</v>
      </c>
      <c r="KL10" s="20" t="n">
        <f aca="false">IF(AND(HU10=1,IE10&gt;0,Slot8_IsWG=1,CP10=1),MIN(IE10,KK10),0)</f>
        <v>0</v>
      </c>
      <c r="KM10" s="20" t="n">
        <f aca="false">CQ10+KL10</f>
        <v>0</v>
      </c>
      <c r="KN10" s="20" t="n">
        <f aca="false">IF(CP10=1,MAX(0,(Slot8_Cost-KM10*(1+Slot8_Rate)^(Slot8_Age-D10))/KJ10),0)</f>
        <v>0</v>
      </c>
      <c r="KO10" s="20" t="n">
        <f aca="false">IF(CP10=1,MAX(0,(Slot8_Cost-CQ10*(1+Slot8_Rate)^(Slot8_Age-D10))/KJ10),0)</f>
        <v>0</v>
      </c>
      <c r="KP10" s="20" t="n">
        <f aca="false">IF(AND(HU10=1,CP10=1),MIN(KI10,KN10),0)</f>
        <v>0</v>
      </c>
      <c r="KQ10" s="20" t="n">
        <f aca="false">KI10-KP10</f>
        <v>0</v>
      </c>
      <c r="KR10" s="20" t="n">
        <f aca="false">IF(CZ10=1,IF(ABS((1+AS_Wage)/(1+Slot9_Rate)-1)&lt;0.000000000001,(Slot9_Age-D10)*(1+Slot9_Rate)^(Slot9_Age-D10),(1+Slot9_Rate)^(Slot9_Age-D10)*(1-((1+AS_Wage)/(1+Slot9_Rate))^(Slot9_Age-D10))/(1-(1+AS_Wage)/(1+Slot9_Rate))),1)</f>
        <v>1</v>
      </c>
      <c r="KS10" s="20" t="n">
        <f aca="false">IF(AND(HU10=1,IE10&gt;0,Slot9_IsWG=1,CZ10=1),MAX(0,(Slot9_Cost-DA10*(1+Slot9_Rate)^(Slot9_Age-D10))/KR10),0)</f>
        <v>0</v>
      </c>
      <c r="KT10" s="20" t="n">
        <f aca="false">IF(AND(HU10=1,IE10&gt;0,Slot9_IsWG=1,CZ10=1),MIN(IE10,KS10),0)</f>
        <v>0</v>
      </c>
      <c r="KU10" s="20" t="n">
        <f aca="false">DA10+KT10</f>
        <v>0</v>
      </c>
      <c r="KV10" s="20" t="n">
        <f aca="false">IF(CZ10=1,MAX(0,(Slot9_Cost-KU10*(1+Slot9_Rate)^(Slot9_Age-D10))/KR10),0)</f>
        <v>0</v>
      </c>
      <c r="KW10" s="20" t="n">
        <f aca="false">IF(CZ10=1,MAX(0,(Slot9_Cost-DA10*(1+Slot9_Rate)^(Slot9_Age-D10))/KR10),0)</f>
        <v>0</v>
      </c>
      <c r="KX10" s="20" t="n">
        <f aca="false">IF(AND(HU10=1,CZ10=1),MIN(KQ10,KV10),0)</f>
        <v>0</v>
      </c>
      <c r="KY10" s="20" t="n">
        <f aca="false">KQ10-KX10</f>
        <v>0</v>
      </c>
      <c r="KZ10" s="20" t="n">
        <f aca="false">IF(DJ10=1,IF(ABS((1+AS_Wage)/(1+Slot10_Rate)-1)&lt;0.000000000001,(Slot10_Age-D10)*(1+Slot10_Rate)^(Slot10_Age-D10),(1+Slot10_Rate)^(Slot10_Age-D10)*(1-((1+AS_Wage)/(1+Slot10_Rate))^(Slot10_Age-D10))/(1-(1+AS_Wage)/(1+Slot10_Rate))),1)</f>
        <v>1</v>
      </c>
      <c r="LA10" s="20" t="n">
        <f aca="false">IF(AND(HU10=1,IE10&gt;0,Slot10_IsWG=1,DJ10=1),MAX(0,(Slot10_Cost-DK10*(1+Slot10_Rate)^(Slot10_Age-D10))/KZ10),0)</f>
        <v>0</v>
      </c>
      <c r="LB10" s="20" t="n">
        <f aca="false">IF(AND(HU10=1,IE10&gt;0,Slot10_IsWG=1,DJ10=1),MIN(IE10,LA10),0)</f>
        <v>0</v>
      </c>
      <c r="LC10" s="20" t="n">
        <f aca="false">DK10+LB10</f>
        <v>0</v>
      </c>
      <c r="LD10" s="20" t="n">
        <f aca="false">IF(DJ10=1,MAX(0,(Slot10_Cost-LC10*(1+Slot10_Rate)^(Slot10_Age-D10))/KZ10),0)</f>
        <v>0</v>
      </c>
      <c r="LE10" s="20" t="n">
        <f aca="false">IF(DJ10=1,MAX(0,(Slot10_Cost-DK10*(1+Slot10_Rate)^(Slot10_Age-D10))/KZ10),0)</f>
        <v>0</v>
      </c>
      <c r="LF10" s="20" t="n">
        <f aca="false">IF(AND(HU10=1,DJ10=1),MIN(KY10,LD10),0)</f>
        <v>0</v>
      </c>
      <c r="LG10" s="20" t="n">
        <f aca="false">KY10-LF10</f>
        <v>0</v>
      </c>
      <c r="LH10" s="20" t="n">
        <f aca="false">IF(DT10=1,IF(ABS((1+AS_Wage)/(1+Slot11_Rate)-1)&lt;0.000000000001,(Slot11_Age-D10)*(1+Slot11_Rate)^(Slot11_Age-D10),(1+Slot11_Rate)^(Slot11_Age-D10)*(1-((1+AS_Wage)/(1+Slot11_Rate))^(Slot11_Age-D10))/(1-(1+AS_Wage)/(1+Slot11_Rate))),1)</f>
        <v>1</v>
      </c>
      <c r="LI10" s="20" t="n">
        <f aca="false">IF(AND(HU10=1,IE10&gt;0,Slot11_IsWG=1,DT10=1),MAX(0,(Slot11_Cost-DU10*(1+Slot11_Rate)^(Slot11_Age-D10))/LH10),0)</f>
        <v>0</v>
      </c>
      <c r="LJ10" s="20" t="n">
        <f aca="false">IF(AND(HU10=1,IE10&gt;0,Slot11_IsWG=1,DT10=1),MIN(IE10,LI10),0)</f>
        <v>0</v>
      </c>
      <c r="LK10" s="20" t="n">
        <f aca="false">DU10+LJ10</f>
        <v>0</v>
      </c>
      <c r="LL10" s="20" t="n">
        <f aca="false">IF(DT10=1,MAX(0,(Slot11_Cost-LK10*(1+Slot11_Rate)^(Slot11_Age-D10))/LH10),0)</f>
        <v>0</v>
      </c>
      <c r="LM10" s="20" t="n">
        <f aca="false">IF(DT10=1,MAX(0,(Slot11_Cost-DU10*(1+Slot11_Rate)^(Slot11_Age-D10))/LH10),0)</f>
        <v>0</v>
      </c>
      <c r="LN10" s="20" t="n">
        <f aca="false">IF(AND(HU10=1,DT10=1),MIN(LG10,LL10),0)</f>
        <v>0</v>
      </c>
      <c r="LO10" s="20" t="n">
        <f aca="false">LG10-LN10</f>
        <v>0</v>
      </c>
      <c r="LP10" s="20" t="n">
        <f aca="false">IF(ED10=1,IF(ABS((1+AS_Wage)/(1+Slot12_Rate)-1)&lt;0.000000000001,(Slot12_Age-D10)*(1+Slot12_Rate)^(Slot12_Age-D10),(1+Slot12_Rate)^(Slot12_Age-D10)*(1-((1+AS_Wage)/(1+Slot12_Rate))^(Slot12_Age-D10))/(1-(1+AS_Wage)/(1+Slot12_Rate))),1)</f>
        <v>1</v>
      </c>
      <c r="LQ10" s="20" t="n">
        <f aca="false">IF(AND(HU10=1,IE10&gt;0,Slot12_IsWG=1,ED10=1),MAX(0,(Slot12_Cost-EE10*(1+Slot12_Rate)^(Slot12_Age-D10))/LP10),0)</f>
        <v>0</v>
      </c>
      <c r="LR10" s="20" t="n">
        <f aca="false">IF(AND(HU10=1,IE10&gt;0,Slot12_IsWG=1,ED10=1),MIN(IE10,LQ10),0)</f>
        <v>0</v>
      </c>
      <c r="LS10" s="20" t="n">
        <f aca="false">EE10+LR10</f>
        <v>0</v>
      </c>
      <c r="LT10" s="20" t="n">
        <f aca="false">IF(ED10=1,MAX(0,(Slot12_Cost-LS10*(1+Slot12_Rate)^(Slot12_Age-D10))/LP10),0)</f>
        <v>0</v>
      </c>
      <c r="LU10" s="20" t="n">
        <f aca="false">IF(ED10=1,MAX(0,(Slot12_Cost-EE10*(1+Slot12_Rate)^(Slot12_Age-D10))/LP10),0)</f>
        <v>0</v>
      </c>
      <c r="LV10" s="20" t="n">
        <f aca="false">IF(AND(HU10=1,ED10=1),MIN(LO10,LT10),0)</f>
        <v>0</v>
      </c>
      <c r="LW10" s="20" t="n">
        <f aca="false">LO10-LV10</f>
        <v>0</v>
      </c>
      <c r="LX10" s="20" t="n">
        <f aca="false">IF(EN10=1,IF(ABS((1+AS_Wage)/(1+Slot13_Rate)-1)&lt;0.000000000001,(Slot13_Age-D10)*(1+Slot13_Rate)^(Slot13_Age-D10),(1+Slot13_Rate)^(Slot13_Age-D10)*(1-((1+AS_Wage)/(1+Slot13_Rate))^(Slot13_Age-D10))/(1-(1+AS_Wage)/(1+Slot13_Rate))),1)</f>
        <v>1</v>
      </c>
      <c r="LY10" s="20" t="n">
        <f aca="false">IF(AND(HU10=1,IE10&gt;0,Slot13_IsWG=1,EN10=1),MAX(0,(Slot13_Cost-EO10*(1+Slot13_Rate)^(Slot13_Age-D10))/LX10),0)</f>
        <v>0</v>
      </c>
      <c r="LZ10" s="20" t="n">
        <f aca="false">IF(AND(HU10=1,IE10&gt;0,Slot13_IsWG=1,EN10=1),MIN(IE10,LY10),0)</f>
        <v>0</v>
      </c>
      <c r="MA10" s="20" t="n">
        <f aca="false">EO10+LZ10</f>
        <v>0</v>
      </c>
      <c r="MB10" s="20" t="n">
        <f aca="false">IF(EN10=1,MAX(0,(Slot13_Cost-MA10*(1+Slot13_Rate)^(Slot13_Age-D10))/LX10),0)</f>
        <v>0</v>
      </c>
      <c r="MC10" s="20" t="n">
        <f aca="false">IF(EN10=1,MAX(0,(Slot13_Cost-EO10*(1+Slot13_Rate)^(Slot13_Age-D10))/LX10),0)</f>
        <v>0</v>
      </c>
      <c r="MD10" s="20" t="n">
        <f aca="false">IF(AND(HU10=1,EN10=1),MIN(LW10,MB10),0)</f>
        <v>0</v>
      </c>
      <c r="ME10" s="20" t="n">
        <f aca="false">LW10-MD10</f>
        <v>0</v>
      </c>
      <c r="MF10" s="20" t="n">
        <f aca="false">IF(EX10=1,IF(ABS((1+AS_Wage)/(1+Slot14_Rate)-1)&lt;0.000000000001,(Slot14_Age-D10)*(1+Slot14_Rate)^(Slot14_Age-D10),(1+Slot14_Rate)^(Slot14_Age-D10)*(1-((1+AS_Wage)/(1+Slot14_Rate))^(Slot14_Age-D10))/(1-(1+AS_Wage)/(1+Slot14_Rate))),1)</f>
        <v>1</v>
      </c>
      <c r="MG10" s="20" t="n">
        <f aca="false">IF(AND(HU10=1,IE10&gt;0,Slot14_IsWG=1,EX10=1),MAX(0,(Slot14_Cost-EY10*(1+Slot14_Rate)^(Slot14_Age-D10))/MF10),0)</f>
        <v>0</v>
      </c>
      <c r="MH10" s="20" t="n">
        <f aca="false">IF(AND(HU10=1,IE10&gt;0,Slot14_IsWG=1,EX10=1),MIN(IE10,MG10),0)</f>
        <v>0</v>
      </c>
      <c r="MI10" s="20" t="n">
        <f aca="false">EY10+MH10</f>
        <v>0</v>
      </c>
      <c r="MJ10" s="20" t="n">
        <f aca="false">IF(EX10=1,MAX(0,(Slot14_Cost-MI10*(1+Slot14_Rate)^(Slot14_Age-D10))/MF10),0)</f>
        <v>0</v>
      </c>
      <c r="MK10" s="20" t="n">
        <f aca="false">IF(EX10=1,MAX(0,(Slot14_Cost-EY10*(1+Slot14_Rate)^(Slot14_Age-D10))/MF10),0)</f>
        <v>0</v>
      </c>
      <c r="ML10" s="20" t="n">
        <f aca="false">IF(AND(HU10=1,EX10=1),MIN(ME10,MJ10),0)</f>
        <v>0</v>
      </c>
      <c r="MM10" s="20" t="n">
        <f aca="false">ME10-ML10</f>
        <v>0</v>
      </c>
      <c r="MN10" s="20" t="n">
        <f aca="false">IF(FH10=1,IF(ABS((1+AS_Wage)/(1+Slot15_Rate)-1)&lt;0.000000000001,(Slot15_Age-D10)*(1+Slot15_Rate)^(Slot15_Age-D10),(1+Slot15_Rate)^(Slot15_Age-D10)*(1-((1+AS_Wage)/(1+Slot15_Rate))^(Slot15_Age-D10))/(1-(1+AS_Wage)/(1+Slot15_Rate))),1)</f>
        <v>1</v>
      </c>
      <c r="MO10" s="20" t="n">
        <f aca="false">IF(AND(HU10=1,IE10&gt;0,Slot15_IsWG=1,FH10=1),MAX(0,(Slot15_Cost-FI10*(1+Slot15_Rate)^(Slot15_Age-D10))/MN10),0)</f>
        <v>0</v>
      </c>
      <c r="MP10" s="20" t="n">
        <f aca="false">IF(AND(HU10=1,IE10&gt;0,Slot15_IsWG=1,FH10=1),MIN(IE10,MO10),0)</f>
        <v>0</v>
      </c>
      <c r="MQ10" s="20" t="n">
        <f aca="false">FI10+MP10</f>
        <v>0</v>
      </c>
      <c r="MR10" s="20" t="n">
        <f aca="false">IF(FH10=1,MAX(0,(Slot15_Cost-MQ10*(1+Slot15_Rate)^(Slot15_Age-D10))/MN10),0)</f>
        <v>0</v>
      </c>
      <c r="MS10" s="20" t="n">
        <f aca="false">IF(FH10=1,MAX(0,(Slot15_Cost-FI10*(1+Slot15_Rate)^(Slot15_Age-D10))/MN10),0)</f>
        <v>0</v>
      </c>
      <c r="MT10" s="20" t="n">
        <f aca="false">IF(AND(HU10=1,FH10=1),MIN(MM10,MR10),0)</f>
        <v>0</v>
      </c>
      <c r="MU10" s="20" t="n">
        <f aca="false">MM10-MT10</f>
        <v>0</v>
      </c>
      <c r="MV10" s="20" t="n">
        <f aca="false">IF(FR10=1,IF(ABS((1+AS_Wage)/(1+Slot16_Rate)-1)&lt;0.000000000001,(Slot16_Age-D10)*(1+Slot16_Rate)^(Slot16_Age-D10),(1+Slot16_Rate)^(Slot16_Age-D10)*(1-((1+AS_Wage)/(1+Slot16_Rate))^(Slot16_Age-D10))/(1-(1+AS_Wage)/(1+Slot16_Rate))),1)</f>
        <v>1</v>
      </c>
      <c r="MW10" s="20" t="n">
        <f aca="false">IF(AND(HU10=1,IE10&gt;0,Slot16_IsWG=1,FR10=1),MAX(0,(Slot16_Cost-FS10*(1+Slot16_Rate)^(Slot16_Age-D10))/MV10),0)</f>
        <v>0</v>
      </c>
      <c r="MX10" s="20" t="n">
        <f aca="false">IF(AND(HU10=1,IE10&gt;0,Slot16_IsWG=1,FR10=1),MIN(IE10,MW10),0)</f>
        <v>0</v>
      </c>
      <c r="MY10" s="20" t="n">
        <f aca="false">FS10+MX10</f>
        <v>0</v>
      </c>
      <c r="MZ10" s="20" t="n">
        <f aca="false">IF(FR10=1,MAX(0,(Slot16_Cost-MY10*(1+Slot16_Rate)^(Slot16_Age-D10))/MV10),0)</f>
        <v>0</v>
      </c>
      <c r="NA10" s="20" t="n">
        <f aca="false">IF(FR10=1,MAX(0,(Slot16_Cost-FS10*(1+Slot16_Rate)^(Slot16_Age-D10))/MV10),0)</f>
        <v>0</v>
      </c>
      <c r="NB10" s="20" t="n">
        <f aca="false">IF(AND(HU10=1,FR10=1),MIN(MU10,MZ10),0)</f>
        <v>0</v>
      </c>
      <c r="NC10" s="20" t="n">
        <f aca="false">MU10-NB10</f>
        <v>0</v>
      </c>
      <c r="ND10" s="20" t="n">
        <f aca="false">IF(GB10=1,IF(ABS((1+AS_Wage)/(1+Slot17_Rate)-1)&lt;0.000000000001,(Slot17_Age-D10)*(1+Slot17_Rate)^(Slot17_Age-D10),(1+Slot17_Rate)^(Slot17_Age-D10)*(1-((1+AS_Wage)/(1+Slot17_Rate))^(Slot17_Age-D10))/(1-(1+AS_Wage)/(1+Slot17_Rate))),1)</f>
        <v>1</v>
      </c>
      <c r="NE10" s="20" t="n">
        <f aca="false">IF(AND(HU10=1,IE10&gt;0,Slot17_IsWG=1,GB10=1),MAX(0,(Slot17_Cost-GC10*(1+Slot17_Rate)^(Slot17_Age-D10))/ND10),0)</f>
        <v>0</v>
      </c>
      <c r="NF10" s="20" t="n">
        <f aca="false">IF(AND(HU10=1,IE10&gt;0,Slot17_IsWG=1,GB10=1),MIN(IE10,NE10),0)</f>
        <v>0</v>
      </c>
      <c r="NG10" s="20" t="n">
        <f aca="false">GC10+NF10</f>
        <v>0</v>
      </c>
      <c r="NH10" s="20" t="n">
        <f aca="false">IF(GB10=1,MAX(0,(Slot17_Cost-NG10*(1+Slot17_Rate)^(Slot17_Age-D10))/ND10),0)</f>
        <v>0</v>
      </c>
      <c r="NI10" s="20" t="n">
        <f aca="false">IF(GB10=1,MAX(0,(Slot17_Cost-GC10*(1+Slot17_Rate)^(Slot17_Age-D10))/ND10),0)</f>
        <v>0</v>
      </c>
      <c r="NJ10" s="20" t="n">
        <f aca="false">IF(AND(HU10=1,GB10=1),MIN(NC10,NH10),0)</f>
        <v>0</v>
      </c>
      <c r="NK10" s="20" t="n">
        <f aca="false">NC10-NJ10</f>
        <v>0</v>
      </c>
      <c r="NL10" s="20" t="n">
        <f aca="false">IF(GL10=1,IF(ABS((1+AS_Wage)/(1+Slot18_Rate)-1)&lt;0.000000000001,(Slot18_Age-D10)*(1+Slot18_Rate)^(Slot18_Age-D10),(1+Slot18_Rate)^(Slot18_Age-D10)*(1-((1+AS_Wage)/(1+Slot18_Rate))^(Slot18_Age-D10))/(1-(1+AS_Wage)/(1+Slot18_Rate))),1)</f>
        <v>1</v>
      </c>
      <c r="NM10" s="20" t="n">
        <f aca="false">IF(AND(HU10=1,IE10&gt;0,Slot18_IsWG=1,GL10=1),MAX(0,(Slot18_Cost-GM10*(1+Slot18_Rate)^(Slot18_Age-D10))/NL10),0)</f>
        <v>0</v>
      </c>
      <c r="NN10" s="20" t="n">
        <f aca="false">IF(AND(HU10=1,IE10&gt;0,Slot18_IsWG=1,GL10=1),MIN(IE10,NM10),0)</f>
        <v>0</v>
      </c>
      <c r="NO10" s="20" t="n">
        <f aca="false">GM10+NN10</f>
        <v>0</v>
      </c>
      <c r="NP10" s="20" t="n">
        <f aca="false">IF(GL10=1,MAX(0,(Slot18_Cost-NO10*(1+Slot18_Rate)^(Slot18_Age-D10))/NL10),0)</f>
        <v>0</v>
      </c>
      <c r="NQ10" s="20" t="n">
        <f aca="false">IF(GL10=1,MAX(0,(Slot18_Cost-GM10*(1+Slot18_Rate)^(Slot18_Age-D10))/NL10),0)</f>
        <v>0</v>
      </c>
      <c r="NR10" s="20" t="n">
        <f aca="false">IF(AND(HU10=1,GL10=1),MIN(NK10,NP10),0)</f>
        <v>0</v>
      </c>
      <c r="NS10" s="20" t="n">
        <f aca="false">NK10-NR10</f>
        <v>0</v>
      </c>
      <c r="NT10" s="20" t="n">
        <f aca="false">IF(GV10=1,IF(ABS((1+AS_Wage)/(1+Slot19_Rate)-1)&lt;0.000000000001,(Slot19_Age-D10)*(1+Slot19_Rate)^(Slot19_Age-D10),(1+Slot19_Rate)^(Slot19_Age-D10)*(1-((1+AS_Wage)/(1+Slot19_Rate))^(Slot19_Age-D10))/(1-(1+AS_Wage)/(1+Slot19_Rate))),1)</f>
        <v>1</v>
      </c>
      <c r="NU10" s="20" t="n">
        <f aca="false">IF(AND(HU10=1,IE10&gt;0,Slot19_IsWG=1,GV10=1),MAX(0,(Slot19_Cost-GW10*(1+Slot19_Rate)^(Slot19_Age-D10))/NT10),0)</f>
        <v>0</v>
      </c>
      <c r="NV10" s="20" t="n">
        <f aca="false">IF(AND(HU10=1,IE10&gt;0,Slot19_IsWG=1,GV10=1),MIN(IE10,NU10),0)</f>
        <v>0</v>
      </c>
      <c r="NW10" s="20" t="n">
        <f aca="false">GW10+NV10</f>
        <v>0</v>
      </c>
      <c r="NX10" s="20" t="n">
        <f aca="false">IF(GV10=1,MAX(0,(Slot19_Cost-NW10*(1+Slot19_Rate)^(Slot19_Age-D10))/NT10),0)</f>
        <v>0</v>
      </c>
      <c r="NY10" s="20" t="n">
        <f aca="false">IF(GV10=1,MAX(0,(Slot19_Cost-GW10*(1+Slot19_Rate)^(Slot19_Age-D10))/NT10),0)</f>
        <v>0</v>
      </c>
      <c r="NZ10" s="20" t="n">
        <f aca="false">IF(AND(HU10=1,GV10=1),MIN(NS10,NX10),0)</f>
        <v>0</v>
      </c>
      <c r="OA10" s="20" t="n">
        <f aca="false">NS10-NZ10</f>
        <v>0</v>
      </c>
      <c r="OB10" s="20" t="n">
        <f aca="false">IF(HF10=1,IF(ABS((1+AS_Wage)/(1+Slot20_Rate)-1)&lt;0.000000000001,(Slot20_Age-D10)*(1+Slot20_Rate)^(Slot20_Age-D10),(1+Slot20_Rate)^(Slot20_Age-D10)*(1-((1+AS_Wage)/(1+Slot20_Rate))^(Slot20_Age-D10))/(1-(1+AS_Wage)/(1+Slot20_Rate))),1)</f>
        <v>1</v>
      </c>
      <c r="OC10" s="20" t="n">
        <f aca="false">IF(AND(HU10=1,IE10&gt;0,Slot20_IsWG=1,HF10=1),MAX(0,(Slot20_Cost-HG10*(1+Slot20_Rate)^(Slot20_Age-D10))/OB10),0)</f>
        <v>0</v>
      </c>
      <c r="OD10" s="20" t="n">
        <f aca="false">IF(AND(HU10=1,IE10&gt;0,Slot20_IsWG=1,HF10=1),MIN(IE10,OC10),0)</f>
        <v>0</v>
      </c>
      <c r="OE10" s="20" t="n">
        <f aca="false">HG10+OD10</f>
        <v>0</v>
      </c>
      <c r="OF10" s="20" t="n">
        <f aca="false">IF(HF10=1,MAX(0,(Slot20_Cost-OE10*(1+Slot20_Rate)^(Slot20_Age-D10))/OB10),0)</f>
        <v>0</v>
      </c>
      <c r="OG10" s="20" t="n">
        <f aca="false">IF(HF10=1,MAX(0,(Slot20_Cost-HG10*(1+Slot20_Rate)^(Slot20_Age-D10))/OB10),0)</f>
        <v>0</v>
      </c>
      <c r="OH10" s="20" t="n">
        <f aca="false">IF(AND(HU10=1,HF10=1),MIN(OA10,OF10),0)</f>
        <v>0</v>
      </c>
      <c r="OI10" s="20" t="n">
        <f aca="false">OA10-OH10</f>
        <v>0</v>
      </c>
      <c r="OJ10" s="20" t="n">
        <f aca="false">IE10-(IH10+IP10+IX10+JF10+JN10+JV10+KD10+KL10+KT10+LB10+LJ10+LR10+LZ10+MH10+MP10+MX10+NF10+NN10+NV10+OD10)</f>
        <v>0</v>
      </c>
      <c r="OK10" s="20" t="n">
        <f aca="false">IF(HU10=1,HS10-ID10-IE10,0)</f>
        <v>1702.475272</v>
      </c>
      <c r="OL10" s="20" t="n">
        <f aca="false">IF(HU10=0,-HS10,0)</f>
        <v>0</v>
      </c>
      <c r="OM10" s="20" t="n">
        <f aca="false">MIN(OL10,HK10)</f>
        <v>0</v>
      </c>
      <c r="ON10" s="20" t="n">
        <f aca="false">OL10-OM10</f>
        <v>0</v>
      </c>
      <c r="OO10" s="20" t="n">
        <f aca="false">MIN(ON10,HL10)</f>
        <v>0</v>
      </c>
      <c r="OP10" s="20" t="n">
        <f aca="false">ON10-OO10</f>
        <v>0</v>
      </c>
      <c r="OQ10" s="20" t="n">
        <f aca="false">IF(AND(HU10=0,HF10=1,OP10&gt;0),MIN(OP10,HG10),0)</f>
        <v>0</v>
      </c>
      <c r="OR10" s="20" t="n">
        <f aca="false">OP10-OQ10</f>
        <v>0</v>
      </c>
      <c r="OS10" s="20" t="n">
        <f aca="false">IF(AND(HU10=0,GV10=1,OR10&gt;0),MIN(OR10,GW10),0)</f>
        <v>0</v>
      </c>
      <c r="OT10" s="20" t="n">
        <f aca="false">OR10-OS10</f>
        <v>0</v>
      </c>
      <c r="OU10" s="20" t="n">
        <f aca="false">IF(AND(HU10=0,GL10=1,OT10&gt;0),MIN(OT10,GM10),0)</f>
        <v>0</v>
      </c>
      <c r="OV10" s="20" t="n">
        <f aca="false">OT10-OU10</f>
        <v>0</v>
      </c>
      <c r="OW10" s="20" t="n">
        <f aca="false">IF(AND(HU10=0,GB10=1,OV10&gt;0),MIN(OV10,GC10),0)</f>
        <v>0</v>
      </c>
      <c r="OX10" s="20" t="n">
        <f aca="false">OV10-OW10</f>
        <v>0</v>
      </c>
      <c r="OY10" s="20" t="n">
        <f aca="false">IF(AND(HU10=0,FR10=1,OX10&gt;0),MIN(OX10,FS10),0)</f>
        <v>0</v>
      </c>
      <c r="OZ10" s="20" t="n">
        <f aca="false">OX10-OY10</f>
        <v>0</v>
      </c>
      <c r="PA10" s="20" t="n">
        <f aca="false">IF(AND(HU10=0,FH10=1,OZ10&gt;0),MIN(OZ10,FI10),0)</f>
        <v>0</v>
      </c>
      <c r="PB10" s="20" t="n">
        <f aca="false">OZ10-PA10</f>
        <v>0</v>
      </c>
      <c r="PC10" s="20" t="n">
        <f aca="false">IF(AND(HU10=0,EX10=1,PB10&gt;0),MIN(PB10,EY10),0)</f>
        <v>0</v>
      </c>
      <c r="PD10" s="20" t="n">
        <f aca="false">PB10-PC10</f>
        <v>0</v>
      </c>
      <c r="PE10" s="20" t="n">
        <f aca="false">IF(AND(HU10=0,EN10=1,PD10&gt;0),MIN(PD10,EO10),0)</f>
        <v>0</v>
      </c>
      <c r="PF10" s="20" t="n">
        <f aca="false">PD10-PE10</f>
        <v>0</v>
      </c>
      <c r="PG10" s="20" t="n">
        <f aca="false">IF(AND(HU10=0,ED10=1,PF10&gt;0),MIN(PF10,EE10),0)</f>
        <v>0</v>
      </c>
      <c r="PH10" s="20" t="n">
        <f aca="false">PF10-PG10</f>
        <v>0</v>
      </c>
      <c r="PI10" s="20" t="n">
        <f aca="false">IF(AND(HU10=0,DT10=1,PH10&gt;0),MIN(PH10,DU10),0)</f>
        <v>0</v>
      </c>
      <c r="PJ10" s="20" t="n">
        <f aca="false">PH10-PI10</f>
        <v>0</v>
      </c>
      <c r="PK10" s="20" t="n">
        <f aca="false">IF(AND(HU10=0,DJ10=1,PJ10&gt;0),MIN(PJ10,DK10),0)</f>
        <v>0</v>
      </c>
      <c r="PL10" s="20" t="n">
        <f aca="false">PJ10-PK10</f>
        <v>0</v>
      </c>
      <c r="PM10" s="20" t="n">
        <f aca="false">IF(AND(HU10=0,CZ10=1,PL10&gt;0),MIN(PL10,DA10),0)</f>
        <v>0</v>
      </c>
      <c r="PN10" s="20" t="n">
        <f aca="false">PL10-PM10</f>
        <v>0</v>
      </c>
      <c r="PO10" s="20" t="n">
        <f aca="false">IF(AND(HU10=0,CP10=1,PN10&gt;0),MIN(PN10,CQ10),0)</f>
        <v>0</v>
      </c>
      <c r="PP10" s="20" t="n">
        <f aca="false">PN10-PO10</f>
        <v>0</v>
      </c>
      <c r="PQ10" s="20" t="n">
        <f aca="false">IF(AND(HU10=0,CF10=1,PP10&gt;0),MIN(PP10,CG10),0)</f>
        <v>0</v>
      </c>
      <c r="PR10" s="20" t="n">
        <f aca="false">PP10-PQ10</f>
        <v>0</v>
      </c>
      <c r="PS10" s="20" t="n">
        <f aca="false">IF(AND(HU10=0,BV10=1,PR10&gt;0),MIN(PR10,BW10),0)</f>
        <v>0</v>
      </c>
      <c r="PT10" s="20" t="n">
        <f aca="false">PR10-PS10</f>
        <v>0</v>
      </c>
      <c r="PU10" s="20" t="n">
        <f aca="false">IF(AND(HU10=0,BL10=1,PT10&gt;0),MIN(PT10,BM10),0)</f>
        <v>0</v>
      </c>
      <c r="PV10" s="20" t="n">
        <f aca="false">PT10-PU10</f>
        <v>0</v>
      </c>
      <c r="PW10" s="20" t="n">
        <f aca="false">IF(AND(HU10=0,BB10=1,PV10&gt;0),MIN(PV10,BC10),0)</f>
        <v>0</v>
      </c>
      <c r="PX10" s="20" t="n">
        <f aca="false">PV10-PW10</f>
        <v>0</v>
      </c>
      <c r="PY10" s="20" t="n">
        <f aca="false">IF(AND(HU10=0,AR10=1,PX10&gt;0),MIN(PX10,AS10),0)</f>
        <v>0</v>
      </c>
      <c r="PZ10" s="20" t="n">
        <f aca="false">PX10-PY10</f>
        <v>0</v>
      </c>
      <c r="QA10" s="20" t="n">
        <f aca="false">IF(AND(HU10=0,AH10=1,PZ10&gt;0),MIN(PZ10,AI10),0)</f>
        <v>0</v>
      </c>
      <c r="QB10" s="20" t="n">
        <f aca="false">PZ10-QA10</f>
        <v>0</v>
      </c>
      <c r="QC10" s="20" t="n">
        <f aca="false">IF(AND(HU10=0,W10=1,QB10&gt;0),MIN(QB10,X10),0)</f>
        <v>0</v>
      </c>
      <c r="QD10" s="20" t="n">
        <f aca="false">QB10-QC10</f>
        <v>0</v>
      </c>
      <c r="QE10" s="20" t="n">
        <f aca="false">IF(HU10=0,QD10,0)</f>
        <v>0</v>
      </c>
      <c r="QF10" s="20" t="n">
        <f aca="false">OM10+OO10+QC10+QA10+PY10+PW10+PU10+PS10+PQ10+PO10+PM10+PK10+PI10+PG10+PE10+PC10+PA10+OY10+OW10+OU10+OS10+OQ10</f>
        <v>0</v>
      </c>
      <c r="QG10" s="20" t="n">
        <f aca="false">IF(HU10=1,HK10+OJ10+OI10+IF(G10=1,0,OK10),HK10-OM10)</f>
        <v>0</v>
      </c>
      <c r="QH10" s="20" t="n">
        <f aca="false">HL10-OO10</f>
        <v>11378.4415116962</v>
      </c>
      <c r="QI10" s="20" t="n">
        <f aca="false">IF(HU10=1,IF(G10=1,ID10+IE10,HS10),0)</f>
        <v>1702.475272</v>
      </c>
      <c r="QJ10" s="20" t="n">
        <f aca="false">IF(HU10=1,IF(G10=1,HS10-ID10-IE10,0),0)</f>
        <v>1702.475272</v>
      </c>
      <c r="QK10" s="57" t="n">
        <f aca="false">'Plan holdings'!BM10</f>
        <v>0</v>
      </c>
      <c r="QL10" s="20" t="n">
        <f aca="false">QH10*(1+AS_Cash)</f>
        <v>11492.2259268132</v>
      </c>
      <c r="QM10" s="20" t="n">
        <f aca="false">IF(W10=1,IF(HU10=1,II10+IL10,X10-QC10)*(1+Slot1_Rate),0)</f>
        <v>0</v>
      </c>
      <c r="QN10" s="20" t="n">
        <f aca="false">IF(AND(HU10=1,W10=1),(IH10+IL10)/F10,0)</f>
        <v>0</v>
      </c>
      <c r="QO10" s="20" t="n">
        <f aca="false">IF(B10=0,IH10+IL10,0)</f>
        <v>0</v>
      </c>
      <c r="QP10" s="20" t="n">
        <f aca="false">IF(B10=0,IF(HU10=1,IJ10,IK10),0)</f>
        <v>0</v>
      </c>
      <c r="QQ10" s="20" t="n">
        <f aca="false">IF(AH10=1,IF(HU10=1,IQ10+IT10,AI10-QA10)*(1+Slot2_Rate),0)</f>
        <v>8107.36622472</v>
      </c>
      <c r="QR10" s="20" t="n">
        <f aca="false">IF(AND(HU10=1,AH10=1),(IP10+IT10)/F10,0)</f>
        <v>1636.36608227604</v>
      </c>
      <c r="QS10" s="20" t="n">
        <f aca="false">IF(B10=0,IP10+IT10,0)</f>
        <v>0</v>
      </c>
      <c r="QT10" s="20" t="n">
        <f aca="false">IF(B10=0,IF(HU10=1,IR10,IS10),0)</f>
        <v>0</v>
      </c>
      <c r="QU10" s="20" t="n">
        <f aca="false">IF(AR10=1,IF(HU10=1,IY10+JB10,AS10-PY10)*(1+Slot3_Rate),0)</f>
        <v>0</v>
      </c>
      <c r="QV10" s="20" t="n">
        <f aca="false">IF(AND(HU10=1,AR10=1),(IX10+JB10)/F10,0)</f>
        <v>0</v>
      </c>
      <c r="QW10" s="20" t="n">
        <f aca="false">IF(B10=0,IX10+JB10,0)</f>
        <v>0</v>
      </c>
      <c r="QX10" s="20" t="n">
        <f aca="false">IF(B10=0,IF(HU10=1,IZ10,JA10),0)</f>
        <v>0</v>
      </c>
      <c r="QY10" s="20" t="n">
        <f aca="false">IF(BB10=1,IF(HU10=1,JG10+JJ10,BC10-PW10)*(1+Slot4_Rate),0)</f>
        <v>0</v>
      </c>
      <c r="QZ10" s="20" t="n">
        <f aca="false">IF(AND(HU10=1,BB10=1),(JF10+JJ10)/F10,0)</f>
        <v>0</v>
      </c>
      <c r="RA10" s="20" t="n">
        <f aca="false">IF(B10=0,JF10+JJ10,0)</f>
        <v>0</v>
      </c>
      <c r="RB10" s="20" t="n">
        <f aca="false">IF(B10=0,IF(HU10=1,JH10,JI10),0)</f>
        <v>0</v>
      </c>
      <c r="RC10" s="20" t="n">
        <f aca="false">IF(BL10=1,IF(HU10=1,JO10+JR10,BM10-PU10)*(1+Slot5_Rate),0)</f>
        <v>0</v>
      </c>
      <c r="RD10" s="20" t="n">
        <f aca="false">IF(AND(HU10=1,BL10=1),(JN10+JR10)/F10,0)</f>
        <v>0</v>
      </c>
      <c r="RE10" s="20" t="n">
        <f aca="false">IF(B10=0,JN10+JR10,0)</f>
        <v>0</v>
      </c>
      <c r="RF10" s="20" t="n">
        <f aca="false">IF(B10=0,IF(HU10=1,JP10,JQ10),0)</f>
        <v>0</v>
      </c>
      <c r="RG10" s="20" t="n">
        <f aca="false">IF(BV10=1,IF(HU10=1,JW10+JZ10,BW10-PS10)*(1+Slot6_Rate),0)</f>
        <v>0</v>
      </c>
      <c r="RH10" s="20" t="n">
        <f aca="false">IF(AND(HU10=1,BV10=1),(JV10+JZ10)/F10,0)</f>
        <v>0</v>
      </c>
      <c r="RI10" s="20" t="n">
        <f aca="false">IF(B10=0,JV10+JZ10,0)</f>
        <v>0</v>
      </c>
      <c r="RJ10" s="20" t="n">
        <f aca="false">IF(B10=0,IF(HU10=1,JX10,JY10),0)</f>
        <v>0</v>
      </c>
      <c r="RK10" s="20" t="n">
        <f aca="false">IF(CF10=1,IF(HU10=1,KE10+KH10,CG10-PQ10)*(1+Slot7_Rate),0)</f>
        <v>0</v>
      </c>
      <c r="RL10" s="20" t="n">
        <f aca="false">IF(AND(HU10=1,CF10=1),(KD10+KH10)/F10,0)</f>
        <v>0</v>
      </c>
      <c r="RM10" s="20" t="n">
        <f aca="false">IF(B10=0,KD10+KH10,0)</f>
        <v>0</v>
      </c>
      <c r="RN10" s="20" t="n">
        <f aca="false">IF(B10=0,IF(HU10=1,KF10,KG10),0)</f>
        <v>0</v>
      </c>
      <c r="RO10" s="20" t="n">
        <f aca="false">IF(CP10=1,IF(HU10=1,KM10+KP10,CQ10-PO10)*(1+Slot8_Rate),0)</f>
        <v>0</v>
      </c>
      <c r="RP10" s="20" t="n">
        <f aca="false">IF(AND(HU10=1,CP10=1),(KL10+KP10)/F10,0)</f>
        <v>0</v>
      </c>
      <c r="RQ10" s="20" t="n">
        <f aca="false">IF(B10=0,KL10+KP10,0)</f>
        <v>0</v>
      </c>
      <c r="RR10" s="20" t="n">
        <f aca="false">IF(B10=0,IF(HU10=1,KN10,KO10),0)</f>
        <v>0</v>
      </c>
      <c r="RS10" s="20" t="n">
        <f aca="false">IF(CZ10=1,IF(HU10=1,KU10+KX10,DA10-PM10)*(1+Slot9_Rate),0)</f>
        <v>0</v>
      </c>
      <c r="RT10" s="20" t="n">
        <f aca="false">IF(AND(HU10=1,CZ10=1),(KT10+KX10)/F10,0)</f>
        <v>0</v>
      </c>
      <c r="RU10" s="20" t="n">
        <f aca="false">IF(B10=0,KT10+KX10,0)</f>
        <v>0</v>
      </c>
      <c r="RV10" s="20" t="n">
        <f aca="false">IF(B10=0,IF(HU10=1,KV10,KW10),0)</f>
        <v>0</v>
      </c>
      <c r="RW10" s="20" t="n">
        <f aca="false">IF(DJ10=1,IF(HU10=1,LC10+LF10,DK10-PK10)*(1+Slot10_Rate),0)</f>
        <v>0</v>
      </c>
      <c r="RX10" s="20" t="n">
        <f aca="false">IF(AND(HU10=1,DJ10=1),(LB10+LF10)/F10,0)</f>
        <v>0</v>
      </c>
      <c r="RY10" s="20" t="n">
        <f aca="false">IF(B10=0,LB10+LF10,0)</f>
        <v>0</v>
      </c>
      <c r="RZ10" s="20" t="n">
        <f aca="false">IF(B10=0,IF(HU10=1,LD10,LE10),0)</f>
        <v>0</v>
      </c>
      <c r="SA10" s="20" t="n">
        <f aca="false">IF(DT10=1,IF(HU10=1,LK10+LN10,DU10-PI10)*(1+Slot11_Rate),0)</f>
        <v>0</v>
      </c>
      <c r="SB10" s="20" t="n">
        <f aca="false">IF(AND(HU10=1,DT10=1),(LJ10+LN10)/F10,0)</f>
        <v>0</v>
      </c>
      <c r="SC10" s="20" t="n">
        <f aca="false">IF(B10=0,LJ10+LN10,0)</f>
        <v>0</v>
      </c>
      <c r="SD10" s="20" t="n">
        <f aca="false">IF(B10=0,IF(HU10=1,LL10,LM10),0)</f>
        <v>0</v>
      </c>
      <c r="SE10" s="20" t="n">
        <f aca="false">IF(ED10=1,IF(HU10=1,LS10+LV10,EE10-PG10)*(1+Slot12_Rate),0)</f>
        <v>0</v>
      </c>
      <c r="SF10" s="20" t="n">
        <f aca="false">IF(AND(HU10=1,ED10=1),(LR10+LV10)/F10,0)</f>
        <v>0</v>
      </c>
      <c r="SG10" s="20" t="n">
        <f aca="false">IF(B10=0,LR10+LV10,0)</f>
        <v>0</v>
      </c>
      <c r="SH10" s="20" t="n">
        <f aca="false">IF(B10=0,IF(HU10=1,LT10,LU10),0)</f>
        <v>0</v>
      </c>
      <c r="SI10" s="20" t="n">
        <f aca="false">IF(EN10=1,IF(HU10=1,MA10+MD10,EO10-PE10)*(1+Slot13_Rate),0)</f>
        <v>0</v>
      </c>
      <c r="SJ10" s="20" t="n">
        <f aca="false">IF(AND(HU10=1,EN10=1),(LZ10+MD10)/F10,0)</f>
        <v>0</v>
      </c>
      <c r="SK10" s="20" t="n">
        <f aca="false">IF(B10=0,LZ10+MD10,0)</f>
        <v>0</v>
      </c>
      <c r="SL10" s="20" t="n">
        <f aca="false">IF(B10=0,IF(HU10=1,MB10,MC10),0)</f>
        <v>0</v>
      </c>
      <c r="SM10" s="20" t="n">
        <f aca="false">IF(EX10=1,IF(HU10=1,MI10+ML10,EY10-PC10)*(1+Slot14_Rate),0)</f>
        <v>0</v>
      </c>
      <c r="SN10" s="20" t="n">
        <f aca="false">IF(AND(HU10=1,EX10=1),(MH10+ML10)/F10,0)</f>
        <v>0</v>
      </c>
      <c r="SO10" s="20" t="n">
        <f aca="false">IF(B10=0,MH10+ML10,0)</f>
        <v>0</v>
      </c>
      <c r="SP10" s="20" t="n">
        <f aca="false">IF(B10=0,IF(HU10=1,MJ10,MK10),0)</f>
        <v>0</v>
      </c>
      <c r="SQ10" s="20" t="n">
        <f aca="false">IF(FH10=1,IF(HU10=1,MQ10+MT10,FI10-PA10)*(1+Slot15_Rate),0)</f>
        <v>0</v>
      </c>
      <c r="SR10" s="20" t="n">
        <f aca="false">IF(AND(HU10=1,FH10=1),(MP10+MT10)/F10,0)</f>
        <v>0</v>
      </c>
      <c r="SS10" s="20" t="n">
        <f aca="false">IF(B10=0,MP10+MT10,0)</f>
        <v>0</v>
      </c>
      <c r="ST10" s="20" t="n">
        <f aca="false">IF(B10=0,IF(HU10=1,MR10,MS10),0)</f>
        <v>0</v>
      </c>
      <c r="SU10" s="20" t="n">
        <f aca="false">IF(FR10=1,IF(HU10=1,MY10+NB10,FS10-OY10)*(1+Slot16_Rate),0)</f>
        <v>0</v>
      </c>
      <c r="SV10" s="20" t="n">
        <f aca="false">IF(AND(HU10=1,FR10=1),(MX10+NB10)/F10,0)</f>
        <v>0</v>
      </c>
      <c r="SW10" s="20" t="n">
        <f aca="false">IF(B10=0,MX10+NB10,0)</f>
        <v>0</v>
      </c>
      <c r="SX10" s="20" t="n">
        <f aca="false">IF(B10=0,IF(HU10=1,MZ10,NA10),0)</f>
        <v>0</v>
      </c>
      <c r="SY10" s="20" t="n">
        <f aca="false">IF(GB10=1,IF(HU10=1,NG10+NJ10,GC10-OW10)*(1+Slot17_Rate),0)</f>
        <v>0</v>
      </c>
      <c r="SZ10" s="20" t="n">
        <f aca="false">IF(AND(HU10=1,GB10=1),(NF10+NJ10)/F10,0)</f>
        <v>0</v>
      </c>
      <c r="TA10" s="20" t="n">
        <f aca="false">IF(B10=0,NF10+NJ10,0)</f>
        <v>0</v>
      </c>
      <c r="TB10" s="20" t="n">
        <f aca="false">IF(B10=0,IF(HU10=1,NH10,NI10),0)</f>
        <v>0</v>
      </c>
      <c r="TC10" s="20" t="n">
        <f aca="false">IF(GL10=1,IF(HU10=1,NO10+NR10,GM10-OU10)*(1+Slot18_Rate),0)</f>
        <v>0</v>
      </c>
      <c r="TD10" s="20" t="n">
        <f aca="false">IF(AND(HU10=1,GL10=1),(NN10+NR10)/F10,0)</f>
        <v>0</v>
      </c>
      <c r="TE10" s="20" t="n">
        <f aca="false">IF(B10=0,NN10+NR10,0)</f>
        <v>0</v>
      </c>
      <c r="TF10" s="20" t="n">
        <f aca="false">IF(B10=0,IF(HU10=1,NP10,NQ10),0)</f>
        <v>0</v>
      </c>
      <c r="TG10" s="20" t="n">
        <f aca="false">IF(GV10=1,IF(HU10=1,NW10+NZ10,GW10-OS10)*(1+Slot19_Rate),0)</f>
        <v>0</v>
      </c>
      <c r="TH10" s="20" t="n">
        <f aca="false">IF(AND(HU10=1,GV10=1),(NV10+NZ10)/F10,0)</f>
        <v>0</v>
      </c>
      <c r="TI10" s="20" t="n">
        <f aca="false">IF(B10=0,NV10+NZ10,0)</f>
        <v>0</v>
      </c>
      <c r="TJ10" s="20" t="n">
        <f aca="false">IF(B10=0,IF(HU10=1,NX10,NY10),0)</f>
        <v>0</v>
      </c>
      <c r="TK10" s="20" t="n">
        <f aca="false">IF(HF10=1,IF(HU10=1,OE10+OH10,HG10-OQ10)*(1+Slot20_Rate),0)</f>
        <v>0</v>
      </c>
      <c r="TL10" s="20" t="n">
        <f aca="false">IF(AND(HU10=1,HF10=1),(OD10+OH10)/F10,0)</f>
        <v>0</v>
      </c>
      <c r="TM10" s="20" t="n">
        <f aca="false">IF(B10=0,OD10+OH10,0)</f>
        <v>0</v>
      </c>
      <c r="TN10" s="20" t="n">
        <f aca="false">IF(B10=0,IF(HU10=1,OF10,OG10),0)</f>
        <v>0</v>
      </c>
      <c r="TO10" s="20" t="n">
        <f aca="false">QK10+QL10+QM10+QQ10+QU10+QY10+RC10+RG10+RK10+RO10+RS10+RW10+SA10+SE10+SI10+SM10+SQ10+SU10+SY10+TC10+TG10+TK10</f>
        <v>19599.5921515332</v>
      </c>
      <c r="TP10" s="20" t="n">
        <f aca="false">QE10+HP10</f>
        <v>4227.55848830376</v>
      </c>
      <c r="TQ10" s="20" t="n">
        <f aca="false">I10+S10</f>
        <v>62178</v>
      </c>
      <c r="TR10" s="20" t="n">
        <f aca="false">1-G10</f>
        <v>0</v>
      </c>
      <c r="TS10" s="20" t="n">
        <f aca="false">IF(AND(RG_Exists=1,G10=0,C10=1),I10,0)</f>
        <v>0</v>
      </c>
      <c r="TT10" s="20" t="n">
        <f aca="false">IF(AND(RG_Exists=1,G10=0,C10=1),I10-MIN(QE10,I10),0)</f>
        <v>0</v>
      </c>
      <c r="TU10" s="20" t="n">
        <f aca="false">'Plan pay &amp; tax'!AD236</f>
        <v>102314.637</v>
      </c>
      <c r="TV10" s="20" t="n">
        <f aca="false">IF(AND(C10=1,QE10&gt;MAX(PR_Short1,TQ10*PR_Short2)),1,0)</f>
        <v>0</v>
      </c>
      <c r="TW10" s="20" t="n">
        <f aca="false">MIN(H10,I10+S10)</f>
        <v>62178</v>
      </c>
      <c r="TX10" s="20" t="n">
        <f aca="false">QF10+MAX(0,HQ10-HP10)</f>
        <v>11378.4415116962</v>
      </c>
      <c r="TY10" s="20" t="n">
        <f aca="false">QE10+HP10</f>
        <v>4227.55848830376</v>
      </c>
      <c r="TZ10" s="20" t="n">
        <f aca="false">IF(AND(C10=1,TY10&gt;PR_MinShort),1,0)</f>
        <v>1</v>
      </c>
      <c r="UA10" s="20" t="n">
        <f aca="false">IF(AND(C10=1,TZ10=0,TX10&gt;PR_MinShort),1,0)</f>
        <v>0</v>
      </c>
      <c r="UB10" s="20" t="n">
        <f aca="false">IF(AND(C10=1,QE10&gt;PR_MinShort),1,0)</f>
        <v>0</v>
      </c>
      <c r="UC10" s="20" t="n">
        <f aca="false">IF(AND(C10=1,QF10&gt;1,UJ10=0),1,0)</f>
        <v>0</v>
      </c>
      <c r="UD10" s="20" t="str">
        <f aca="false">IF(C10=0,"",IF(UJ10=1,"Gap to plan for: short "&amp;"€"&amp;TEXT(ROUND(TP10,0),"#,##0"),IF(QF10&gt;1,"Using savings","Comfortable")))</f>
        <v>Gap to plan for: short €4,228</v>
      </c>
      <c r="UE10" s="20" t="n">
        <f aca="false">IF(AND(INT(D10/10)*10=90,B10&gt;0),80,INT(D10/10)*10)</f>
        <v>40</v>
      </c>
      <c r="UF10" s="20" t="n">
        <f aca="false">IF(B10=0,1,IF(UE10&lt;&gt;UE9,UF9+1,UF9))</f>
        <v>2</v>
      </c>
      <c r="UG10" s="20" t="n">
        <f aca="false">IF(AND(C10=1,G10=1,QE10&gt;MAX(PR_Short1,TQ10*PR_Short2)),1,0)</f>
        <v>0</v>
      </c>
      <c r="UH10" s="20" t="n">
        <f aca="false">TR10*TV10</f>
        <v>0</v>
      </c>
      <c r="UI10" s="20" t="n">
        <f aca="false">IF(AND(V10=1,Slot1_PctLow=1),1,0)+IF(AND(AG10=1,Slot2_PctLow=1),1,0)+IF(AND(AQ10=1,Slot3_PctLow=1),1,0)+IF(AND(BA10=1,Slot4_PctLow=1),1,0)+IF(AND(BK10=1,Slot5_PctLow=1),1,0)+IF(AND(BU10=1,Slot6_PctLow=1),1,0)+IF(AND(CE10=1,Slot7_PctLow=1),1,0)+IF(AND(CO10=1,Slot8_PctLow=1),1,0)+IF(AND(CY10=1,Slot9_PctLow=1),1,0)+IF(AND(DI10=1,Slot10_PctLow=1),1,0)+IF(AND(DS10=1,Slot11_PctLow=1),1,0)+IF(AND(EC10=1,Slot12_PctLow=1),1,0)+IF(AND(EM10=1,Slot13_PctLow=1),1,0)+IF(AND(EW10=1,Slot14_PctLow=1),1,0)+IF(AND(FG10=1,Slot15_PctLow=1),1,0)+IF(AND(FQ10=1,Slot16_PctLow=1),1,0)+IF(AND(GA10=1,Slot17_PctLow=1),1,0)+IF(AND(GK10=1,Slot18_PctLow=1),1,0)+IF(AND(GU10=1,Slot19_PctLow=1),1,0)+IF(AND(HE10=1,Slot20_PctLow=1),1,0)</f>
        <v>1</v>
      </c>
      <c r="UJ10" s="20" t="n">
        <f aca="false">IF(C10=1,IF(OR(TV10=1,UI10&gt;0),1,0),0)</f>
        <v>1</v>
      </c>
      <c r="UK10" s="20" t="n">
        <f aca="false">Z10+AK10+AU10+BE10+BO10+BY10+CI10+CS10+DC10+DM10+DW10+EG10+EQ10+FA10+FK10+FU10+GE10+GO10+GY10+HI10+OM10</f>
        <v>0</v>
      </c>
      <c r="UL10" s="20" t="n">
        <f aca="false">V10*IF(Slot1_SpendLike=1,X10-Y10,IF(Slot1_PotFree=1,X10,0))+AG10*IF(Slot2_SpendLike=1,AI10-AJ10,IF(Slot2_PotFree=1,AI10,0))+AQ10*IF(Slot3_SpendLike=1,AS10-AT10,IF(Slot3_PotFree=1,AS10,0))+BA10*IF(Slot4_SpendLike=1,BC10-BD10,IF(Slot4_PotFree=1,BC10,0))+BK10*IF(Slot5_SpendLike=1,BM10-BN10,IF(Slot5_PotFree=1,BM10,0))+BU10*IF(Slot6_SpendLike=1,BW10-BX10,IF(Slot6_PotFree=1,BW10,0))+CE10*IF(Slot7_SpendLike=1,CG10-CH10,IF(Slot7_PotFree=1,CG10,0))+CO10*IF(Slot8_SpendLike=1,CQ10-CR10,IF(Slot8_PotFree=1,CQ10,0))+CY10*IF(Slot9_SpendLike=1,DA10-DB10,IF(Slot9_PotFree=1,DA10,0))+DI10*IF(Slot10_SpendLike=1,DK10-DL10,IF(Slot10_PotFree=1,DK10,0))+DS10*IF(Slot11_SpendLike=1,DU10-DV10,IF(Slot11_PotFree=1,DU10,0))+EC10*IF(Slot12_SpendLike=1,EE10-EF10,IF(Slot12_PotFree=1,EE10,0))+EM10*IF(Slot13_SpendLike=1,EO10-EP10,IF(Slot13_PotFree=1,EO10,0))+EW10*IF(Slot14_SpendLike=1,EY10-EZ10,IF(Slot14_PotFree=1,EY10,0))+FG10*IF(Slot15_SpendLike=1,FI10-FJ10,IF(Slot15_PotFree=1,FI10,0))+FQ10*IF(Slot16_SpendLike=1,FS10-FT10,IF(Slot16_PotFree=1,FS10,0))+GA10*IF(Slot17_SpendLike=1,GC10-GD10,IF(Slot17_PotFree=1,GC10,0))+GK10*IF(Slot18_SpendLike=1,GM10-GN10,IF(Slot18_PotFree=1,GM10,0))+GU10*IF(Slot19_SpendLike=1,GW10-GX10,IF(Slot19_PotFree=1,GW10,0))+HE10*IF(Slot20_SpendLike=1,HG10-HH10,IF(Slot20_PotFree=1,HG10,0))</f>
        <v>0</v>
      </c>
      <c r="UM10" s="20" t="n">
        <f aca="false">QG10-T10+UK10-UL10</f>
        <v>0</v>
      </c>
      <c r="UN10" s="20" t="n">
        <f aca="false">IF(OR(UN9=1,AND(In_homeUse="Yes, I'd downsize",In_downAge&gt;0,D10=In_downAge,OR(In_home="Own outright",In_home="Own with mortgage"),In_homeValue&gt;0)),1,0)</f>
        <v>0</v>
      </c>
    </row>
    <row r="11" customFormat="false" ht="15" hidden="false" customHeight="true" outlineLevel="0" collapsed="false">
      <c r="B11" s="20" t="n">
        <v>3</v>
      </c>
      <c r="C11" s="20" t="n">
        <f aca="false">IF(B11&lt;=F_N,1,0)</f>
        <v>1</v>
      </c>
      <c r="D11" s="20" t="n">
        <f aca="false">'Plan pay &amp; tax'!C237</f>
        <v>41</v>
      </c>
      <c r="E11" s="20" t="str">
        <f aca="false">IF($C11=1,"Income tax "&amp;TEXT(N('Plan pay &amp; tax'!BK237),"#,##0")&amp;"; USC "&amp;TEXT(N('Plan pay &amp; tax'!BM237)+N('Plan pay &amp; tax'!BO237),"#,##0")&amp;"; PRSI "&amp;TEXT(N('Plan pay &amp; tax'!BP237)+N('Plan pay &amp; tax'!BQ237),"#,##0")&amp;IF(N('Plan holdings'!BO11)&gt;=0.5,"; DIRT "&amp;TEXT(('Plan holdings'!BO11)/$F11,"#,##0")&amp;" (already taken from the interest earned)","")&amp;IF(N('Plan holdings'!BP11)&gt;=0.5,"; exit tax at an 8-year anniversary "&amp;TEXT(('Plan holdings'!BP11)/$F11,"#,##0"),"")&amp;IF(N('Plan holdings'!BN11)&gt;=0.5,"; tax on assets sold (exit tax or capital gains tax) "&amp;TEXT(('Plan holdings'!BN11)/$F11,"#,##0"),"")&amp;IF(N('Plan pay &amp; tax'!X237)-N('Plan pay &amp; tax'!Y237)&gt;=0.5,"; tax on the pension lump sum "&amp;TEXT(('Plan pay &amp; tax'!X237-'Plan pay &amp; tax'!Y237)/$F11,"#,##0"),"")&amp;IF(N('Plan pay &amp; tax'!V237)&gt;=0.5,"; chargeable excess tax on the pension "&amp;TEXT(('Plan pay &amp; tax'!V237)/$F11,"#,##0"),"")&amp;".","")</f>
        <v>Income tax 10,335; USC 1,597; PRSI 3,872; DIRT 53 (already taken from the interest earned).</v>
      </c>
      <c r="F11" s="50" t="n">
        <f aca="false">'Plan pay &amp; tax'!E237</f>
        <v>1.061208</v>
      </c>
      <c r="G11" s="20" t="n">
        <f aca="false">'Plan pay &amp; tax'!G237</f>
        <v>1</v>
      </c>
      <c r="H11" s="20" t="n">
        <f aca="false">'Plan pay &amp; tax'!BT237-'Plan pay &amp; tax'!BS237-'Plan pay &amp; tax'!R237</f>
        <v>67237.78948688</v>
      </c>
      <c r="I11" s="20" t="n">
        <f aca="false">IF(G11=1,F_CostsM*12,IF(RG_Exists=1,RG_Amount,F_CostsM*12*AS_RetireSpend))*F11+F_OneOffY*F11</f>
        <v>47754.36</v>
      </c>
      <c r="J11" s="20" t="n">
        <f aca="false">IF(UN11=1,0,HR10)</f>
        <v>183643.499845908</v>
      </c>
      <c r="K11" s="20" t="n">
        <f aca="false">IF(J11&gt;1,'Plan debt months'!AC11,0)</f>
        <v>14160</v>
      </c>
      <c r="L11" s="20" t="n">
        <f aca="false">IF(J11&gt;1,'Plan debt months'!AB11,J11)</f>
        <v>176427.322852906</v>
      </c>
      <c r="M11" s="20" t="n">
        <f aca="false">O10</f>
        <v>0</v>
      </c>
      <c r="N11" s="20" t="n">
        <f aca="false">IF(M11&gt;1,'Plan debt months'!BD11,0)</f>
        <v>0</v>
      </c>
      <c r="O11" s="20" t="n">
        <f aca="false">IF(M11&gt;1,'Plan debt months'!BC11,M11)</f>
        <v>0</v>
      </c>
      <c r="P11" s="20" t="n">
        <f aca="false">R10</f>
        <v>372.455092965528</v>
      </c>
      <c r="Q11" s="20" t="n">
        <f aca="false">IF(P11&gt;1,'Plan debt months'!CE11,0)</f>
        <v>378.256546714797</v>
      </c>
      <c r="R11" s="20" t="n">
        <f aca="false">IF(P11&gt;1,'Plan debt months'!CD11,P11)</f>
        <v>0</v>
      </c>
      <c r="S11" s="20" t="n">
        <f aca="false">K11+N11+Q11</f>
        <v>14538.2565467148</v>
      </c>
      <c r="T11" s="57" t="n">
        <f aca="false">'Plan holdings'!Y11</f>
        <v>0</v>
      </c>
      <c r="U11" s="57" t="n">
        <f aca="false">'Plan holdings'!BM10</f>
        <v>0</v>
      </c>
      <c r="V11" s="20" t="n">
        <f aca="false">IF(AND(Slot1_On=1,D11=Slot1_Age),1,0)</f>
        <v>0</v>
      </c>
      <c r="W11" s="20" t="n">
        <f aca="false">IF(AND(Slot1_On=1,Slot1_Age&gt;D11),1,0)</f>
        <v>0</v>
      </c>
      <c r="X11" s="20" t="n">
        <f aca="false">QM10</f>
        <v>0</v>
      </c>
      <c r="Y11" s="20" t="n">
        <f aca="false">V11*MIN(Slot1_Cost,X11)</f>
        <v>0</v>
      </c>
      <c r="Z11" s="20" t="n">
        <f aca="false">V11*Slot1_SpendLike*MIN(Slot1_Cost-Y11,T11)</f>
        <v>0</v>
      </c>
      <c r="AA11" s="20" t="n">
        <f aca="false">Y11+Z11</f>
        <v>0</v>
      </c>
      <c r="AB11" s="20" t="n">
        <f aca="false">T11-Z11+V11*IF(Slot1_SpendLike=1,X11-Y11,IF(Slot1_PotFree=1,X11,0))</f>
        <v>0</v>
      </c>
      <c r="AC11" s="20" t="n">
        <f aca="false">AF11+V11*Slot1_BufPot*X11</f>
        <v>11492.2259268132</v>
      </c>
      <c r="AD11" s="20" t="n">
        <f aca="false">IF(AND(V11=1,Slot1_IsMfree=1),IF(AA11&gt;=Slot1_Cost-1,0,MAX(0,L11-AA11)),L11)</f>
        <v>176427.322852906</v>
      </c>
      <c r="AE11" s="20" t="n">
        <f aca="false">V11*(Slot1_Cost-AA11)</f>
        <v>0</v>
      </c>
      <c r="AF11" s="20" t="n">
        <f aca="false">QL10</f>
        <v>11492.2259268132</v>
      </c>
      <c r="AG11" s="20" t="n">
        <f aca="false">IF(AND(Slot2_On=1,D11=Slot2_Age),1,0)</f>
        <v>1</v>
      </c>
      <c r="AH11" s="20" t="n">
        <f aca="false">IF(AND(Slot2_On=1,Slot2_Age&gt;D11),1,0)</f>
        <v>0</v>
      </c>
      <c r="AI11" s="20" t="n">
        <f aca="false">QQ10</f>
        <v>8107.36622472</v>
      </c>
      <c r="AJ11" s="20" t="n">
        <f aca="false">AG11*MIN(Slot2_Cost,AI11)</f>
        <v>8107.36622472</v>
      </c>
      <c r="AK11" s="20" t="n">
        <f aca="false">AG11*Slot2_SpendLike*MIN(Slot2_Cost-AJ11,AB11)</f>
        <v>0</v>
      </c>
      <c r="AL11" s="20" t="n">
        <f aca="false">AJ11+AK11</f>
        <v>8107.36622472</v>
      </c>
      <c r="AM11" s="20" t="n">
        <f aca="false">AB11-AK11+AG11*IF(Slot2_SpendLike=1,AI11-AJ11,IF(Slot2_PotFree=1,AI11,0))</f>
        <v>0</v>
      </c>
      <c r="AN11" s="20" t="n">
        <f aca="false">AC11+AG11*Slot2_BufPot*AI11</f>
        <v>11492.2259268132</v>
      </c>
      <c r="AO11" s="20" t="n">
        <f aca="false">IF(AND(AG11=1,Slot2_IsMfree=1),IF(AL11&gt;=Slot2_Cost-1,0,MAX(0,AD11-AL11)),AD11)</f>
        <v>176427.322852906</v>
      </c>
      <c r="AP11" s="20" t="n">
        <f aca="false">AG11*(Slot2_Cost-AL11)</f>
        <v>4627.12977528001</v>
      </c>
      <c r="AQ11" s="20" t="n">
        <f aca="false">IF(AND(Slot3_On=1,D11=Slot3_Age),1,0)</f>
        <v>0</v>
      </c>
      <c r="AR11" s="20" t="n">
        <f aca="false">IF(AND(Slot3_On=1,Slot3_Age&gt;D11),1,0)</f>
        <v>1</v>
      </c>
      <c r="AS11" s="20" t="n">
        <f aca="false">QU10</f>
        <v>0</v>
      </c>
      <c r="AT11" s="20" t="n">
        <f aca="false">AQ11*MIN(Slot3_Cost,AS11)</f>
        <v>0</v>
      </c>
      <c r="AU11" s="20" t="n">
        <f aca="false">AQ11*Slot3_SpendLike*MIN(Slot3_Cost-AT11,AM11)</f>
        <v>0</v>
      </c>
      <c r="AV11" s="20" t="n">
        <f aca="false">AT11+AU11</f>
        <v>0</v>
      </c>
      <c r="AW11" s="20" t="n">
        <f aca="false">AM11-AU11+AQ11*IF(Slot3_SpendLike=1,AS11-AT11,IF(Slot3_PotFree=1,AS11,0))</f>
        <v>0</v>
      </c>
      <c r="AX11" s="20" t="n">
        <f aca="false">AN11+AQ11*Slot3_BufPot*AS11</f>
        <v>11492.2259268132</v>
      </c>
      <c r="AY11" s="20" t="n">
        <f aca="false">IF(AND(AQ11=1,Slot3_IsMfree=1),IF(AV11&gt;=Slot3_Cost-1,0,MAX(0,AO11-AV11)),AO11)</f>
        <v>176427.322852906</v>
      </c>
      <c r="AZ11" s="20" t="n">
        <f aca="false">AQ11*(Slot3_Cost-AV11)</f>
        <v>0</v>
      </c>
      <c r="BA11" s="20" t="n">
        <f aca="false">IF(AND(Slot4_On=1,D11=Slot4_Age),1,0)</f>
        <v>0</v>
      </c>
      <c r="BB11" s="20" t="n">
        <f aca="false">IF(AND(Slot4_On=1,Slot4_Age&gt;D11),1,0)</f>
        <v>1</v>
      </c>
      <c r="BC11" s="20" t="n">
        <f aca="false">QY10</f>
        <v>0</v>
      </c>
      <c r="BD11" s="20" t="n">
        <f aca="false">BA11*MIN(Slot4_Cost,BC11)</f>
        <v>0</v>
      </c>
      <c r="BE11" s="20" t="n">
        <f aca="false">BA11*Slot4_SpendLike*MIN(Slot4_Cost-BD11,AW11)</f>
        <v>0</v>
      </c>
      <c r="BF11" s="20" t="n">
        <f aca="false">BD11+BE11</f>
        <v>0</v>
      </c>
      <c r="BG11" s="20" t="n">
        <f aca="false">AW11-BE11+BA11*IF(Slot4_SpendLike=1,BC11-BD11,IF(Slot4_PotFree=1,BC11,0))</f>
        <v>0</v>
      </c>
      <c r="BH11" s="20" t="n">
        <f aca="false">AX11+BA11*Slot4_BufPot*BC11</f>
        <v>11492.2259268132</v>
      </c>
      <c r="BI11" s="20" t="n">
        <f aca="false">IF(AND(BA11=1,Slot4_IsMfree=1),IF(BF11&gt;=Slot4_Cost-1,0,MAX(0,AY11-BF11)),AY11)</f>
        <v>176427.322852906</v>
      </c>
      <c r="BJ11" s="20" t="n">
        <f aca="false">BA11*(Slot4_Cost-BF11)</f>
        <v>0</v>
      </c>
      <c r="BK11" s="20" t="n">
        <f aca="false">IF(AND(Slot5_On=1,D11=Slot5_Age),1,0)</f>
        <v>0</v>
      </c>
      <c r="BL11" s="20" t="n">
        <f aca="false">IF(AND(Slot5_On=1,Slot5_Age&gt;D11),1,0)</f>
        <v>0</v>
      </c>
      <c r="BM11" s="20" t="n">
        <f aca="false">RC10</f>
        <v>0</v>
      </c>
      <c r="BN11" s="20" t="n">
        <f aca="false">BK11*MIN(Slot5_Cost,BM11)</f>
        <v>0</v>
      </c>
      <c r="BO11" s="20" t="n">
        <f aca="false">BK11*Slot5_SpendLike*MIN(Slot5_Cost-BN11,BG11)</f>
        <v>0</v>
      </c>
      <c r="BP11" s="20" t="n">
        <f aca="false">BN11+BO11</f>
        <v>0</v>
      </c>
      <c r="BQ11" s="20" t="n">
        <f aca="false">BG11-BO11+BK11*IF(Slot5_SpendLike=1,BM11-BN11,IF(Slot5_PotFree=1,BM11,0))</f>
        <v>0</v>
      </c>
      <c r="BR11" s="20" t="n">
        <f aca="false">BH11+BK11*Slot5_BufPot*BM11</f>
        <v>11492.2259268132</v>
      </c>
      <c r="BS11" s="20" t="n">
        <f aca="false">IF(AND(BK11=1,Slot5_IsMfree=1),IF(BP11&gt;=Slot5_Cost-1,0,MAX(0,BI11-BP11)),BI11)</f>
        <v>176427.322852906</v>
      </c>
      <c r="BT11" s="20" t="n">
        <f aca="false">BK11*(Slot5_Cost-BP11)</f>
        <v>0</v>
      </c>
      <c r="BU11" s="20" t="n">
        <f aca="false">IF(AND(Slot6_On=1,D11=Slot6_Age),1,0)</f>
        <v>0</v>
      </c>
      <c r="BV11" s="20" t="n">
        <f aca="false">IF(AND(Slot6_On=1,Slot6_Age&gt;D11),1,0)</f>
        <v>0</v>
      </c>
      <c r="BW11" s="20" t="n">
        <f aca="false">RG10</f>
        <v>0</v>
      </c>
      <c r="BX11" s="20" t="n">
        <f aca="false">BU11*MIN(Slot6_Cost,BW11)</f>
        <v>0</v>
      </c>
      <c r="BY11" s="20" t="n">
        <f aca="false">BU11*Slot6_SpendLike*MIN(Slot6_Cost-BX11,BQ11)</f>
        <v>0</v>
      </c>
      <c r="BZ11" s="20" t="n">
        <f aca="false">BX11+BY11</f>
        <v>0</v>
      </c>
      <c r="CA11" s="20" t="n">
        <f aca="false">BQ11-BY11+BU11*IF(Slot6_SpendLike=1,BW11-BX11,IF(Slot6_PotFree=1,BW11,0))</f>
        <v>0</v>
      </c>
      <c r="CB11" s="20" t="n">
        <f aca="false">BR11+BU11*Slot6_BufPot*BW11</f>
        <v>11492.2259268132</v>
      </c>
      <c r="CC11" s="20" t="n">
        <f aca="false">IF(AND(BU11=1,Slot6_IsMfree=1),IF(BZ11&gt;=Slot6_Cost-1,0,MAX(0,BS11-BZ11)),BS11)</f>
        <v>176427.322852906</v>
      </c>
      <c r="CD11" s="20" t="n">
        <f aca="false">BU11*(Slot6_Cost-BZ11)</f>
        <v>0</v>
      </c>
      <c r="CE11" s="20" t="n">
        <f aca="false">IF(AND(Slot7_On=1,D11=Slot7_Age),1,0)</f>
        <v>0</v>
      </c>
      <c r="CF11" s="20" t="n">
        <f aca="false">IF(AND(Slot7_On=1,Slot7_Age&gt;D11),1,0)</f>
        <v>0</v>
      </c>
      <c r="CG11" s="20" t="n">
        <f aca="false">RK10</f>
        <v>0</v>
      </c>
      <c r="CH11" s="20" t="n">
        <f aca="false">CE11*MIN(Slot7_Cost,CG11)</f>
        <v>0</v>
      </c>
      <c r="CI11" s="20" t="n">
        <f aca="false">CE11*Slot7_SpendLike*MIN(Slot7_Cost-CH11,CA11)</f>
        <v>0</v>
      </c>
      <c r="CJ11" s="20" t="n">
        <f aca="false">CH11+CI11</f>
        <v>0</v>
      </c>
      <c r="CK11" s="20" t="n">
        <f aca="false">CA11-CI11+CE11*IF(Slot7_SpendLike=1,CG11-CH11,IF(Slot7_PotFree=1,CG11,0))</f>
        <v>0</v>
      </c>
      <c r="CL11" s="20" t="n">
        <f aca="false">CB11+CE11*Slot7_BufPot*CG11</f>
        <v>11492.2259268132</v>
      </c>
      <c r="CM11" s="20" t="n">
        <f aca="false">IF(AND(CE11=1,Slot7_IsMfree=1),IF(CJ11&gt;=Slot7_Cost-1,0,MAX(0,CC11-CJ11)),CC11)</f>
        <v>176427.322852906</v>
      </c>
      <c r="CN11" s="20" t="n">
        <f aca="false">CE11*(Slot7_Cost-CJ11)</f>
        <v>0</v>
      </c>
      <c r="CO11" s="20" t="n">
        <f aca="false">IF(AND(Slot8_On=1,D11=Slot8_Age),1,0)</f>
        <v>0</v>
      </c>
      <c r="CP11" s="20" t="n">
        <f aca="false">IF(AND(Slot8_On=1,Slot8_Age&gt;D11),1,0)</f>
        <v>0</v>
      </c>
      <c r="CQ11" s="20" t="n">
        <f aca="false">RO10</f>
        <v>0</v>
      </c>
      <c r="CR11" s="20" t="n">
        <f aca="false">CO11*MIN(Slot8_Cost,CQ11)</f>
        <v>0</v>
      </c>
      <c r="CS11" s="20" t="n">
        <f aca="false">CO11*Slot8_SpendLike*MIN(Slot8_Cost-CR11,CK11)</f>
        <v>0</v>
      </c>
      <c r="CT11" s="20" t="n">
        <f aca="false">CR11+CS11</f>
        <v>0</v>
      </c>
      <c r="CU11" s="20" t="n">
        <f aca="false">CK11-CS11+CO11*IF(Slot8_SpendLike=1,CQ11-CR11,IF(Slot8_PotFree=1,CQ11,0))</f>
        <v>0</v>
      </c>
      <c r="CV11" s="20" t="n">
        <f aca="false">CL11+CO11*Slot8_BufPot*CQ11</f>
        <v>11492.2259268132</v>
      </c>
      <c r="CW11" s="20" t="n">
        <f aca="false">IF(AND(CO11=1,Slot8_IsMfree=1),IF(CT11&gt;=Slot8_Cost-1,0,MAX(0,CM11-CT11)),CM11)</f>
        <v>176427.322852906</v>
      </c>
      <c r="CX11" s="20" t="n">
        <f aca="false">CO11*(Slot8_Cost-CT11)</f>
        <v>0</v>
      </c>
      <c r="CY11" s="20" t="n">
        <f aca="false">IF(AND(Slot9_On=1,D11=Slot9_Age),1,0)</f>
        <v>0</v>
      </c>
      <c r="CZ11" s="20" t="n">
        <f aca="false">IF(AND(Slot9_On=1,Slot9_Age&gt;D11),1,0)</f>
        <v>0</v>
      </c>
      <c r="DA11" s="20" t="n">
        <f aca="false">RS10</f>
        <v>0</v>
      </c>
      <c r="DB11" s="20" t="n">
        <f aca="false">CY11*MIN(Slot9_Cost,DA11)</f>
        <v>0</v>
      </c>
      <c r="DC11" s="20" t="n">
        <f aca="false">CY11*Slot9_SpendLike*MIN(Slot9_Cost-DB11,CU11)</f>
        <v>0</v>
      </c>
      <c r="DD11" s="20" t="n">
        <f aca="false">DB11+DC11</f>
        <v>0</v>
      </c>
      <c r="DE11" s="20" t="n">
        <f aca="false">CU11-DC11+CY11*IF(Slot9_SpendLike=1,DA11-DB11,IF(Slot9_PotFree=1,DA11,0))</f>
        <v>0</v>
      </c>
      <c r="DF11" s="20" t="n">
        <f aca="false">CV11+CY11*Slot9_BufPot*DA11</f>
        <v>11492.2259268132</v>
      </c>
      <c r="DG11" s="20" t="n">
        <f aca="false">IF(AND(CY11=1,Slot9_IsMfree=1),IF(DD11&gt;=Slot9_Cost-1,0,MAX(0,CW11-DD11)),CW11)</f>
        <v>176427.322852906</v>
      </c>
      <c r="DH11" s="20" t="n">
        <f aca="false">CY11*(Slot9_Cost-DD11)</f>
        <v>0</v>
      </c>
      <c r="DI11" s="20" t="n">
        <f aca="false">IF(AND(Slot10_On=1,D11=Slot10_Age),1,0)</f>
        <v>0</v>
      </c>
      <c r="DJ11" s="20" t="n">
        <f aca="false">IF(AND(Slot10_On=1,Slot10_Age&gt;D11),1,0)</f>
        <v>0</v>
      </c>
      <c r="DK11" s="20" t="n">
        <f aca="false">RW10</f>
        <v>0</v>
      </c>
      <c r="DL11" s="20" t="n">
        <f aca="false">DI11*MIN(Slot10_Cost,DK11)</f>
        <v>0</v>
      </c>
      <c r="DM11" s="20" t="n">
        <f aca="false">DI11*Slot10_SpendLike*MIN(Slot10_Cost-DL11,DE11)</f>
        <v>0</v>
      </c>
      <c r="DN11" s="20" t="n">
        <f aca="false">DL11+DM11</f>
        <v>0</v>
      </c>
      <c r="DO11" s="20" t="n">
        <f aca="false">DE11-DM11+DI11*IF(Slot10_SpendLike=1,DK11-DL11,IF(Slot10_PotFree=1,DK11,0))</f>
        <v>0</v>
      </c>
      <c r="DP11" s="20" t="n">
        <f aca="false">DF11+DI11*Slot10_BufPot*DK11</f>
        <v>11492.2259268132</v>
      </c>
      <c r="DQ11" s="20" t="n">
        <f aca="false">IF(AND(DI11=1,Slot10_IsMfree=1),IF(DN11&gt;=Slot10_Cost-1,0,MAX(0,DG11-DN11)),DG11)</f>
        <v>176427.322852906</v>
      </c>
      <c r="DR11" s="20" t="n">
        <f aca="false">DI11*(Slot10_Cost-DN11)</f>
        <v>0</v>
      </c>
      <c r="DS11" s="20" t="n">
        <f aca="false">IF(AND(Slot11_On=1,D11=Slot11_Age),1,0)</f>
        <v>0</v>
      </c>
      <c r="DT11" s="20" t="n">
        <f aca="false">IF(AND(Slot11_On=1,Slot11_Age&gt;D11),1,0)</f>
        <v>0</v>
      </c>
      <c r="DU11" s="20" t="n">
        <f aca="false">SA10</f>
        <v>0</v>
      </c>
      <c r="DV11" s="20" t="n">
        <f aca="false">DS11*MIN(Slot11_Cost,DU11)</f>
        <v>0</v>
      </c>
      <c r="DW11" s="20" t="n">
        <f aca="false">DS11*Slot11_SpendLike*MIN(Slot11_Cost-DV11,DO11)</f>
        <v>0</v>
      </c>
      <c r="DX11" s="20" t="n">
        <f aca="false">DV11+DW11</f>
        <v>0</v>
      </c>
      <c r="DY11" s="20" t="n">
        <f aca="false">DO11-DW11+DS11*IF(Slot11_SpendLike=1,DU11-DV11,IF(Slot11_PotFree=1,DU11,0))</f>
        <v>0</v>
      </c>
      <c r="DZ11" s="20" t="n">
        <f aca="false">DP11+DS11*Slot11_BufPot*DU11</f>
        <v>11492.2259268132</v>
      </c>
      <c r="EA11" s="20" t="n">
        <f aca="false">IF(AND(DS11=1,Slot11_IsMfree=1),IF(DX11&gt;=Slot11_Cost-1,0,MAX(0,DQ11-DX11)),DQ11)</f>
        <v>176427.322852906</v>
      </c>
      <c r="EB11" s="20" t="n">
        <f aca="false">DS11*(Slot11_Cost-DX11)</f>
        <v>0</v>
      </c>
      <c r="EC11" s="20" t="n">
        <f aca="false">IF(AND(Slot12_On=1,D11=Slot12_Age),1,0)</f>
        <v>0</v>
      </c>
      <c r="ED11" s="20" t="n">
        <f aca="false">IF(AND(Slot12_On=1,Slot12_Age&gt;D11),1,0)</f>
        <v>0</v>
      </c>
      <c r="EE11" s="20" t="n">
        <f aca="false">SE10</f>
        <v>0</v>
      </c>
      <c r="EF11" s="20" t="n">
        <f aca="false">EC11*MIN(Slot12_Cost,EE11)</f>
        <v>0</v>
      </c>
      <c r="EG11" s="20" t="n">
        <f aca="false">EC11*Slot12_SpendLike*MIN(Slot12_Cost-EF11,DY11)</f>
        <v>0</v>
      </c>
      <c r="EH11" s="20" t="n">
        <f aca="false">EF11+EG11</f>
        <v>0</v>
      </c>
      <c r="EI11" s="20" t="n">
        <f aca="false">DY11-EG11+EC11*IF(Slot12_SpendLike=1,EE11-EF11,IF(Slot12_PotFree=1,EE11,0))</f>
        <v>0</v>
      </c>
      <c r="EJ11" s="20" t="n">
        <f aca="false">DZ11+EC11*Slot12_BufPot*EE11</f>
        <v>11492.2259268132</v>
      </c>
      <c r="EK11" s="20" t="n">
        <f aca="false">IF(AND(EC11=1,Slot12_IsMfree=1),IF(EH11&gt;=Slot12_Cost-1,0,MAX(0,EA11-EH11)),EA11)</f>
        <v>176427.322852906</v>
      </c>
      <c r="EL11" s="20" t="n">
        <f aca="false">EC11*(Slot12_Cost-EH11)</f>
        <v>0</v>
      </c>
      <c r="EM11" s="20" t="n">
        <f aca="false">IF(AND(Slot13_On=1,D11=Slot13_Age),1,0)</f>
        <v>0</v>
      </c>
      <c r="EN11" s="20" t="n">
        <f aca="false">IF(AND(Slot13_On=1,Slot13_Age&gt;D11),1,0)</f>
        <v>0</v>
      </c>
      <c r="EO11" s="20" t="n">
        <f aca="false">SI10</f>
        <v>0</v>
      </c>
      <c r="EP11" s="20" t="n">
        <f aca="false">EM11*MIN(Slot13_Cost,EO11)</f>
        <v>0</v>
      </c>
      <c r="EQ11" s="20" t="n">
        <f aca="false">EM11*Slot13_SpendLike*MIN(Slot13_Cost-EP11,EI11)</f>
        <v>0</v>
      </c>
      <c r="ER11" s="20" t="n">
        <f aca="false">EP11+EQ11</f>
        <v>0</v>
      </c>
      <c r="ES11" s="20" t="n">
        <f aca="false">EI11-EQ11+EM11*IF(Slot13_SpendLike=1,EO11-EP11,IF(Slot13_PotFree=1,EO11,0))</f>
        <v>0</v>
      </c>
      <c r="ET11" s="20" t="n">
        <f aca="false">EJ11+EM11*Slot13_BufPot*EO11</f>
        <v>11492.2259268132</v>
      </c>
      <c r="EU11" s="20" t="n">
        <f aca="false">IF(AND(EM11=1,Slot13_IsMfree=1),IF(ER11&gt;=Slot13_Cost-1,0,MAX(0,EK11-ER11)),EK11)</f>
        <v>176427.322852906</v>
      </c>
      <c r="EV11" s="20" t="n">
        <f aca="false">EM11*(Slot13_Cost-ER11)</f>
        <v>0</v>
      </c>
      <c r="EW11" s="20" t="n">
        <f aca="false">IF(AND(Slot14_On=1,D11=Slot14_Age),1,0)</f>
        <v>0</v>
      </c>
      <c r="EX11" s="20" t="n">
        <f aca="false">IF(AND(Slot14_On=1,Slot14_Age&gt;D11),1,0)</f>
        <v>0</v>
      </c>
      <c r="EY11" s="20" t="n">
        <f aca="false">SM10</f>
        <v>0</v>
      </c>
      <c r="EZ11" s="20" t="n">
        <f aca="false">EW11*MIN(Slot14_Cost,EY11)</f>
        <v>0</v>
      </c>
      <c r="FA11" s="20" t="n">
        <f aca="false">EW11*Slot14_SpendLike*MIN(Slot14_Cost-EZ11,ES11)</f>
        <v>0</v>
      </c>
      <c r="FB11" s="20" t="n">
        <f aca="false">EZ11+FA11</f>
        <v>0</v>
      </c>
      <c r="FC11" s="20" t="n">
        <f aca="false">ES11-FA11+EW11*IF(Slot14_SpendLike=1,EY11-EZ11,IF(Slot14_PotFree=1,EY11,0))</f>
        <v>0</v>
      </c>
      <c r="FD11" s="20" t="n">
        <f aca="false">ET11+EW11*Slot14_BufPot*EY11</f>
        <v>11492.2259268132</v>
      </c>
      <c r="FE11" s="20" t="n">
        <f aca="false">IF(AND(EW11=1,Slot14_IsMfree=1),IF(FB11&gt;=Slot14_Cost-1,0,MAX(0,EU11-FB11)),EU11)</f>
        <v>176427.322852906</v>
      </c>
      <c r="FF11" s="20" t="n">
        <f aca="false">EW11*(Slot14_Cost-FB11)</f>
        <v>0</v>
      </c>
      <c r="FG11" s="20" t="n">
        <f aca="false">IF(AND(Slot15_On=1,D11=Slot15_Age),1,0)</f>
        <v>0</v>
      </c>
      <c r="FH11" s="20" t="n">
        <f aca="false">IF(AND(Slot15_On=1,Slot15_Age&gt;D11),1,0)</f>
        <v>0</v>
      </c>
      <c r="FI11" s="20" t="n">
        <f aca="false">SQ10</f>
        <v>0</v>
      </c>
      <c r="FJ11" s="20" t="n">
        <f aca="false">FG11*MIN(Slot15_Cost,FI11)</f>
        <v>0</v>
      </c>
      <c r="FK11" s="20" t="n">
        <f aca="false">FG11*Slot15_SpendLike*MIN(Slot15_Cost-FJ11,FC11)</f>
        <v>0</v>
      </c>
      <c r="FL11" s="20" t="n">
        <f aca="false">FJ11+FK11</f>
        <v>0</v>
      </c>
      <c r="FM11" s="20" t="n">
        <f aca="false">FC11-FK11+FG11*IF(Slot15_SpendLike=1,FI11-FJ11,IF(Slot15_PotFree=1,FI11,0))</f>
        <v>0</v>
      </c>
      <c r="FN11" s="20" t="n">
        <f aca="false">FD11+FG11*Slot15_BufPot*FI11</f>
        <v>11492.2259268132</v>
      </c>
      <c r="FO11" s="20" t="n">
        <f aca="false">IF(AND(FG11=1,Slot15_IsMfree=1),IF(FL11&gt;=Slot15_Cost-1,0,MAX(0,FE11-FL11)),FE11)</f>
        <v>176427.322852906</v>
      </c>
      <c r="FP11" s="20" t="n">
        <f aca="false">FG11*(Slot15_Cost-FL11)</f>
        <v>0</v>
      </c>
      <c r="FQ11" s="20" t="n">
        <f aca="false">IF(AND(Slot16_On=1,D11=Slot16_Age),1,0)</f>
        <v>0</v>
      </c>
      <c r="FR11" s="20" t="n">
        <f aca="false">IF(AND(Slot16_On=1,Slot16_Age&gt;D11),1,0)</f>
        <v>0</v>
      </c>
      <c r="FS11" s="20" t="n">
        <f aca="false">SU10</f>
        <v>0</v>
      </c>
      <c r="FT11" s="20" t="n">
        <f aca="false">FQ11*MIN(Slot16_Cost,FS11)</f>
        <v>0</v>
      </c>
      <c r="FU11" s="20" t="n">
        <f aca="false">FQ11*Slot16_SpendLike*MIN(Slot16_Cost-FT11,FM11)</f>
        <v>0</v>
      </c>
      <c r="FV11" s="20" t="n">
        <f aca="false">FT11+FU11</f>
        <v>0</v>
      </c>
      <c r="FW11" s="20" t="n">
        <f aca="false">FM11-FU11+FQ11*IF(Slot16_SpendLike=1,FS11-FT11,IF(Slot16_PotFree=1,FS11,0))</f>
        <v>0</v>
      </c>
      <c r="FX11" s="20" t="n">
        <f aca="false">FN11+FQ11*Slot16_BufPot*FS11</f>
        <v>11492.2259268132</v>
      </c>
      <c r="FY11" s="20" t="n">
        <f aca="false">IF(AND(FQ11=1,Slot16_IsMfree=1),IF(FV11&gt;=Slot16_Cost-1,0,MAX(0,FO11-FV11)),FO11)</f>
        <v>176427.322852906</v>
      </c>
      <c r="FZ11" s="20" t="n">
        <f aca="false">FQ11*(Slot16_Cost-FV11)</f>
        <v>0</v>
      </c>
      <c r="GA11" s="20" t="n">
        <f aca="false">IF(AND(Slot17_On=1,D11=Slot17_Age),1,0)</f>
        <v>0</v>
      </c>
      <c r="GB11" s="20" t="n">
        <f aca="false">IF(AND(Slot17_On=1,Slot17_Age&gt;D11),1,0)</f>
        <v>0</v>
      </c>
      <c r="GC11" s="20" t="n">
        <f aca="false">SY10</f>
        <v>0</v>
      </c>
      <c r="GD11" s="20" t="n">
        <f aca="false">GA11*MIN(Slot17_Cost,GC11)</f>
        <v>0</v>
      </c>
      <c r="GE11" s="20" t="n">
        <f aca="false">GA11*Slot17_SpendLike*MIN(Slot17_Cost-GD11,FW11)</f>
        <v>0</v>
      </c>
      <c r="GF11" s="20" t="n">
        <f aca="false">GD11+GE11</f>
        <v>0</v>
      </c>
      <c r="GG11" s="20" t="n">
        <f aca="false">FW11-GE11+GA11*IF(Slot17_SpendLike=1,GC11-GD11,IF(Slot17_PotFree=1,GC11,0))</f>
        <v>0</v>
      </c>
      <c r="GH11" s="20" t="n">
        <f aca="false">FX11+GA11*Slot17_BufPot*GC11</f>
        <v>11492.2259268132</v>
      </c>
      <c r="GI11" s="20" t="n">
        <f aca="false">IF(AND(GA11=1,Slot17_IsMfree=1),IF(GF11&gt;=Slot17_Cost-1,0,MAX(0,FY11-GF11)),FY11)</f>
        <v>176427.322852906</v>
      </c>
      <c r="GJ11" s="20" t="n">
        <f aca="false">GA11*(Slot17_Cost-GF11)</f>
        <v>0</v>
      </c>
      <c r="GK11" s="20" t="n">
        <f aca="false">IF(AND(Slot18_On=1,D11=Slot18_Age),1,0)</f>
        <v>0</v>
      </c>
      <c r="GL11" s="20" t="n">
        <f aca="false">IF(AND(Slot18_On=1,Slot18_Age&gt;D11),1,0)</f>
        <v>0</v>
      </c>
      <c r="GM11" s="20" t="n">
        <f aca="false">TC10</f>
        <v>0</v>
      </c>
      <c r="GN11" s="20" t="n">
        <f aca="false">GK11*MIN(Slot18_Cost,GM11)</f>
        <v>0</v>
      </c>
      <c r="GO11" s="20" t="n">
        <f aca="false">GK11*Slot18_SpendLike*MIN(Slot18_Cost-GN11,GG11)</f>
        <v>0</v>
      </c>
      <c r="GP11" s="20" t="n">
        <f aca="false">GN11+GO11</f>
        <v>0</v>
      </c>
      <c r="GQ11" s="20" t="n">
        <f aca="false">GG11-GO11+GK11*IF(Slot18_SpendLike=1,GM11-GN11,IF(Slot18_PotFree=1,GM11,0))</f>
        <v>0</v>
      </c>
      <c r="GR11" s="20" t="n">
        <f aca="false">GH11+GK11*Slot18_BufPot*GM11</f>
        <v>11492.2259268132</v>
      </c>
      <c r="GS11" s="20" t="n">
        <f aca="false">IF(AND(GK11=1,Slot18_IsMfree=1),IF(GP11&gt;=Slot18_Cost-1,0,MAX(0,GI11-GP11)),GI11)</f>
        <v>176427.322852906</v>
      </c>
      <c r="GT11" s="20" t="n">
        <f aca="false">GK11*(Slot18_Cost-GP11)</f>
        <v>0</v>
      </c>
      <c r="GU11" s="20" t="n">
        <f aca="false">IF(AND(Slot19_On=1,D11=Slot19_Age),1,0)</f>
        <v>0</v>
      </c>
      <c r="GV11" s="20" t="n">
        <f aca="false">IF(AND(Slot19_On=1,Slot19_Age&gt;D11),1,0)</f>
        <v>0</v>
      </c>
      <c r="GW11" s="20" t="n">
        <f aca="false">TG10</f>
        <v>0</v>
      </c>
      <c r="GX11" s="20" t="n">
        <f aca="false">GU11*MIN(Slot19_Cost,GW11)</f>
        <v>0</v>
      </c>
      <c r="GY11" s="20" t="n">
        <f aca="false">GU11*Slot19_SpendLike*MIN(Slot19_Cost-GX11,GQ11)</f>
        <v>0</v>
      </c>
      <c r="GZ11" s="20" t="n">
        <f aca="false">GX11+GY11</f>
        <v>0</v>
      </c>
      <c r="HA11" s="20" t="n">
        <f aca="false">GQ11-GY11+GU11*IF(Slot19_SpendLike=1,GW11-GX11,IF(Slot19_PotFree=1,GW11,0))</f>
        <v>0</v>
      </c>
      <c r="HB11" s="20" t="n">
        <f aca="false">GR11+GU11*Slot19_BufPot*GW11</f>
        <v>11492.2259268132</v>
      </c>
      <c r="HC11" s="20" t="n">
        <f aca="false">IF(AND(GU11=1,Slot19_IsMfree=1),IF(GZ11&gt;=Slot19_Cost-1,0,MAX(0,GS11-GZ11)),GS11)</f>
        <v>176427.322852906</v>
      </c>
      <c r="HD11" s="20" t="n">
        <f aca="false">GU11*(Slot19_Cost-GZ11)</f>
        <v>0</v>
      </c>
      <c r="HE11" s="20" t="n">
        <f aca="false">IF(AND(Slot20_On=1,D11=Slot20_Age),1,0)</f>
        <v>0</v>
      </c>
      <c r="HF11" s="20" t="n">
        <f aca="false">IF(AND(Slot20_On=1,Slot20_Age&gt;D11),1,0)</f>
        <v>0</v>
      </c>
      <c r="HG11" s="20" t="n">
        <f aca="false">TK10</f>
        <v>0</v>
      </c>
      <c r="HH11" s="20" t="n">
        <f aca="false">HE11*MIN(Slot20_Cost,HG11)</f>
        <v>0</v>
      </c>
      <c r="HI11" s="20" t="n">
        <f aca="false">HE11*Slot20_SpendLike*MIN(Slot20_Cost-HH11,HA11)</f>
        <v>0</v>
      </c>
      <c r="HJ11" s="20" t="n">
        <f aca="false">HH11+HI11</f>
        <v>0</v>
      </c>
      <c r="HK11" s="20" t="n">
        <f aca="false">HA11-HI11+HE11*IF(Slot20_SpendLike=1,HG11-HH11,IF(Slot20_PotFree=1,HG11,0))</f>
        <v>0</v>
      </c>
      <c r="HL11" s="20" t="n">
        <f aca="false">HB11+HE11*Slot20_BufPot*HG11</f>
        <v>11492.2259268132</v>
      </c>
      <c r="HM11" s="20" t="n">
        <f aca="false">IF(AND(HE11=1,Slot20_IsMfree=1),IF(HJ11&gt;=Slot20_Cost-1,0,MAX(0,HC11-HJ11)),HC11)</f>
        <v>176427.322852906</v>
      </c>
      <c r="HN11" s="20" t="n">
        <f aca="false">HE11*(Slot20_Cost-HJ11)</f>
        <v>0</v>
      </c>
      <c r="HO11" s="20" t="n">
        <f aca="false">V11*Slot1_SpendLike*AA11+AG11*Slot2_SpendLike*AL11+AQ11*Slot3_SpendLike*AV11+BA11*Slot4_SpendLike*BF11+BK11*Slot5_SpendLike*BP11+BU11*Slot6_SpendLike*BZ11+CE11*Slot7_SpendLike*CJ11+CO11*Slot8_SpendLike*CT11+CY11*Slot9_SpendLike*DD11+DI11*Slot10_SpendLike*DN11+DS11*Slot11_SpendLike*DX11+EC11*Slot12_SpendLike*EH11+EM11*Slot13_SpendLike*ER11+EW11*Slot14_SpendLike*FB11+FG11*Slot15_SpendLike*FL11+FQ11*Slot16_SpendLike*FV11+GA11*Slot17_SpendLike*GF11+GK11*Slot18_SpendLike*GP11+GU11*Slot19_SpendLike*GZ11+HE11*Slot20_SpendLike*HJ11</f>
        <v>8107.36622472</v>
      </c>
      <c r="HP11" s="20" t="n">
        <f aca="false">AE11+AP11+AZ11+BJ11+BT11+CD11+CN11+CX11+DH11+DR11+EB11+EL11+EV11+FF11+FP11+FZ11+GJ11+GT11+HD11+HN11</f>
        <v>4627.12977528001</v>
      </c>
      <c r="HQ11" s="20" t="n">
        <f aca="false">V11*Slot1_Cost+AG11*Slot2_Cost+AQ11*Slot3_Cost+BA11*Slot4_Cost+BK11*Slot5_Cost+BU11*Slot6_Cost+CE11*Slot7_Cost+CO11*Slot8_Cost+CY11*Slot9_Cost+DI11*Slot10_Cost+DS11*Slot11_Cost+EC11*Slot12_Cost+EM11*Slot13_Cost+EW11*Slot14_Cost+FG11*Slot15_Cost+FQ11*Slot16_Cost+GA11*Slot17_Cost+GK11*Slot18_Cost+GU11*Slot19_Cost+HE11*Slot20_Cost</f>
        <v>12734.496</v>
      </c>
      <c r="HR11" s="20" t="n">
        <f aca="false">HM11</f>
        <v>176427.322852906</v>
      </c>
      <c r="HS11" s="20" t="n">
        <f aca="false">H11-I11-S11</f>
        <v>4945.1729401652</v>
      </c>
      <c r="HT11" s="20" t="n">
        <f aca="false">IF(B11=0,IF(AND(Has_q6=1,In_q6=4),PR_ShareVaries*(MAX(0,HS11)/12),MIN(IF(Has_q6=1,CHOOSE(In_q6+1,PR_SaveB1,PR_SaveB2,PR_SaveB3,PR_SaveB4,0),AS_NoAnswer),AS_SaveShare*(MAX(0,HS11)/12))),HT10)</f>
        <v>67.3316893520437</v>
      </c>
      <c r="HU11" s="20" t="n">
        <f aca="false">IF(HS11&gt;=0,1,0)</f>
        <v>1</v>
      </c>
      <c r="HV11" s="20" t="n">
        <f aca="false">MAX(0,HS11/12/F11)</f>
        <v>388.328909142945</v>
      </c>
      <c r="HW11" s="20" t="n">
        <f aca="false">IF(AND(Has_q6=1,In_q6=4),PR_ShareVaries*(HV11),MIN(IF(Has_q6=1,CHOOSE(In_q6+1,PR_SaveB1,PR_SaveB2,PR_SaveB3,PR_SaveB4,0),AS_NoAnswer),AS_SaveShare*(HV11)))</f>
        <v>194.164454571473</v>
      </c>
      <c r="HX11" s="20" t="n">
        <f aca="false">IF(Has_saveM=1,IF(In_saveUp="Yes",1,IF(In_saveUp="No",0,IF(In_saveM&gt;=HT11-0.5,1,0))),0)</f>
        <v>0</v>
      </c>
      <c r="HY11" s="20" t="n">
        <f aca="false">IF(Has_saveM=1,MIN(HV11,IF(HX11=1,MAX(In_saveM,HW11),MIN(In_saveM,HW11))),HW11)</f>
        <v>194.164454571473</v>
      </c>
      <c r="HZ11" s="20" t="n">
        <f aca="false">IF(G11=1,HY11*12*F11,0)</f>
        <v>2472.5864700826</v>
      </c>
      <c r="IA11" s="20" t="n">
        <f aca="false">MAX(0,HZ11+IF(AND(WI_Retire=0,WI_M&lt;0,G11=1),WI_M*12*F11,0))</f>
        <v>2472.5864700826</v>
      </c>
      <c r="IB11" s="20" t="n">
        <f aca="false">Slot1_IsWG*W11+Slot2_IsWG*AH11+Slot3_IsWG*AR11+Slot4_IsWG*BB11+Slot5_IsWG*BL11+Slot6_IsWG*BV11+Slot7_IsWG*CF11+Slot8_IsWG*CP11+Slot9_IsWG*CZ11+Slot10_IsWG*DJ11+Slot11_IsWG*DT11+Slot12_IsWG*ED11+Slot13_IsWG*EN11+Slot14_IsWG*EX11+Slot15_IsWG*FH11+Slot16_IsWG*FR11+Slot17_IsWG*GB11+Slot18_IsWG*GL11+Slot19_IsWG*GV11+Slot20_IsWG*HF11</f>
        <v>0</v>
      </c>
      <c r="IC11" s="20" t="n">
        <f aca="false">IF(AND(WI_Retire=0,WI_M&gt;0,G11=1,IB11&gt;=1),WI_M*12*F11,0)</f>
        <v>0</v>
      </c>
      <c r="ID11" s="20" t="n">
        <f aca="false">IF(HU11=1,MIN(IA11,HS11),0)</f>
        <v>2472.5864700826</v>
      </c>
      <c r="IE11" s="20" t="n">
        <f aca="false">IF(HU11=1,MIN(IC11,HS11-ID11),0)</f>
        <v>0</v>
      </c>
      <c r="IF11" s="20" t="n">
        <f aca="false">IF(W11=1,IF(ABS((1+AS_Wage)/(1+Slot1_Rate)-1)&lt;0.000000000001,(Slot1_Age-D11)*(1+Slot1_Rate)^(Slot1_Age-D11),(1+Slot1_Rate)^(Slot1_Age-D11)*(1-((1+AS_Wage)/(1+Slot1_Rate))^(Slot1_Age-D11))/(1-(1+AS_Wage)/(1+Slot1_Rate))),1)</f>
        <v>1</v>
      </c>
      <c r="IG11" s="20" t="n">
        <f aca="false">IF(AND(HU11=1,IE11&gt;0,Slot1_IsWG=1,W11=1),MAX(0,(Slot1_Cost-X11*(1+Slot1_Rate)^(Slot1_Age-D11))/IF11),0)</f>
        <v>0</v>
      </c>
      <c r="IH11" s="20" t="n">
        <f aca="false">IF(AND(HU11=1,IE11&gt;0,Slot1_IsWG=1,W11=1),MIN(IE11,IG11),0)</f>
        <v>0</v>
      </c>
      <c r="II11" s="20" t="n">
        <f aca="false">X11+IH11</f>
        <v>0</v>
      </c>
      <c r="IJ11" s="20" t="n">
        <f aca="false">IF(W11=1,MAX(0,(Slot1_Cost-II11*(1+Slot1_Rate)^(Slot1_Age-D11))/IF11),0)</f>
        <v>0</v>
      </c>
      <c r="IK11" s="20" t="n">
        <f aca="false">IF(W11=1,MAX(0,(Slot1_Cost-X11*(1+Slot1_Rate)^(Slot1_Age-D11))/IF11),0)</f>
        <v>0</v>
      </c>
      <c r="IL11" s="20" t="n">
        <f aca="false">IF(AND(HU11=1,W11=1),MIN(ID11,IJ11),0)</f>
        <v>0</v>
      </c>
      <c r="IM11" s="20" t="n">
        <f aca="false">ID11-IL11</f>
        <v>2472.5864700826</v>
      </c>
      <c r="IN11" s="20" t="n">
        <f aca="false">IF(AH11=1,IF(ABS((1+AS_Wage)/(1+Slot2_Rate)-1)&lt;0.000000000001,(Slot2_Age-D11)*(1+Slot2_Rate)^(Slot2_Age-D11),(1+Slot2_Rate)^(Slot2_Age-D11)*(1-((1+AS_Wage)/(1+Slot2_Rate))^(Slot2_Age-D11))/(1-(1+AS_Wage)/(1+Slot2_Rate))),1)</f>
        <v>1</v>
      </c>
      <c r="IO11" s="20" t="n">
        <f aca="false">IF(AND(HU11=1,IE11&gt;0,Slot2_IsWG=1,AH11=1),MAX(0,(Slot2_Cost-AI11*(1+Slot2_Rate)^(Slot2_Age-D11))/IN11),0)</f>
        <v>0</v>
      </c>
      <c r="IP11" s="20" t="n">
        <f aca="false">IF(AND(HU11=1,IE11&gt;0,Slot2_IsWG=1,AH11=1),MIN(IE11,IO11),0)</f>
        <v>0</v>
      </c>
      <c r="IQ11" s="20" t="n">
        <f aca="false">AI11+IP11</f>
        <v>8107.36622472</v>
      </c>
      <c r="IR11" s="20" t="n">
        <f aca="false">IF(AH11=1,MAX(0,(Slot2_Cost-IQ11*(1+Slot2_Rate)^(Slot2_Age-D11))/IN11),0)</f>
        <v>0</v>
      </c>
      <c r="IS11" s="20" t="n">
        <f aca="false">IF(AH11=1,MAX(0,(Slot2_Cost-AI11*(1+Slot2_Rate)^(Slot2_Age-D11))/IN11),0)</f>
        <v>0</v>
      </c>
      <c r="IT11" s="20" t="n">
        <f aca="false">IF(AND(HU11=1,AH11=1),MIN(IM11,IR11),0)</f>
        <v>0</v>
      </c>
      <c r="IU11" s="20" t="n">
        <f aca="false">IM11-IT11</f>
        <v>2472.5864700826</v>
      </c>
      <c r="IV11" s="20" t="n">
        <f aca="false">IF(AR11=1,IF(ABS((1+AS_Wage)/(1+Slot3_Rate)-1)&lt;0.000000000001,(Slot3_Age-D11)*(1+Slot3_Rate)^(Slot3_Age-D11),(1+Slot3_Rate)^(Slot3_Age-D11)*(1-((1+AS_Wage)/(1+Slot3_Rate))^(Slot3_Age-D11))/(1-(1+AS_Wage)/(1+Slot3_Rate))),1)</f>
        <v>8.4764168836889</v>
      </c>
      <c r="IW11" s="20" t="n">
        <f aca="false">IF(AND(HU11=1,IE11&gt;0,Slot3_IsWG=1,AR11=1),MAX(0,(Slot3_Cost-AS11*(1+Slot3_Rate)^(Slot3_Age-D11))/IV11),0)</f>
        <v>0</v>
      </c>
      <c r="IX11" s="20" t="n">
        <f aca="false">IF(AND(HU11=1,IE11&gt;0,Slot3_IsWG=1,AR11=1),MIN(IE11,IW11),0)</f>
        <v>0</v>
      </c>
      <c r="IY11" s="20" t="n">
        <f aca="false">AS11+IX11</f>
        <v>0</v>
      </c>
      <c r="IZ11" s="20" t="n">
        <f aca="false">IF(AR11=1,MAX(0,(Slot3_Cost-IY11*(1+Slot3_Rate)^(Slot3_Age-D11))/IV11),0)</f>
        <v>7190.50535575037</v>
      </c>
      <c r="JA11" s="20" t="n">
        <f aca="false">IF(AR11=1,MAX(0,(Slot3_Cost-AS11*(1+Slot3_Rate)^(Slot3_Age-D11))/IV11),0)</f>
        <v>7190.50535575037</v>
      </c>
      <c r="JB11" s="20" t="n">
        <f aca="false">IF(AND(HU11=1,AR11=1),MIN(IU11,IZ11),0)</f>
        <v>2472.5864700826</v>
      </c>
      <c r="JC11" s="20" t="n">
        <f aca="false">IU11-JB11</f>
        <v>0</v>
      </c>
      <c r="JD11" s="20" t="n">
        <f aca="false">IF(BB11=1,IF(ABS((1+AS_Wage)/(1+Slot4_Rate)-1)&lt;0.000000000001,(Slot4_Age-D11)*(1+Slot4_Rate)^(Slot4_Age-D11),(1+Slot4_Rate)^(Slot4_Age-D11)*(1-((1+AS_Wage)/(1+Slot4_Rate))^(Slot4_Age-D11))/(1-(1+AS_Wage)/(1+Slot4_Rate))),1)</f>
        <v>20.5697316274133</v>
      </c>
      <c r="JE11" s="20" t="n">
        <f aca="false">IF(AND(HU11=1,IE11&gt;0,Slot4_IsWG=1,BB11=1),MAX(0,(Slot4_Cost-BC11*(1+Slot4_Rate)^(Slot4_Age-D11))/JD11),0)</f>
        <v>0</v>
      </c>
      <c r="JF11" s="20" t="n">
        <f aca="false">IF(AND(HU11=1,IE11&gt;0,Slot4_IsWG=1,BB11=1),MIN(IE11,JE11),0)</f>
        <v>0</v>
      </c>
      <c r="JG11" s="20" t="n">
        <f aca="false">BC11+JF11</f>
        <v>0</v>
      </c>
      <c r="JH11" s="20" t="n">
        <f aca="false">IF(BB11=1,MAX(0,(Slot4_Cost-JG11*(1+Slot4_Rate)^(Slot4_Age-D11))/JD11),0)</f>
        <v>1945.57208512602</v>
      </c>
      <c r="JI11" s="20" t="n">
        <f aca="false">IF(BB11=1,MAX(0,(Slot4_Cost-BC11*(1+Slot4_Rate)^(Slot4_Age-D11))/JD11),0)</f>
        <v>1945.57208512602</v>
      </c>
      <c r="JJ11" s="20" t="n">
        <f aca="false">IF(AND(HU11=1,BB11=1),MIN(JC11,JH11),0)</f>
        <v>0</v>
      </c>
      <c r="JK11" s="20" t="n">
        <f aca="false">JC11-JJ11</f>
        <v>0</v>
      </c>
      <c r="JL11" s="20" t="n">
        <f aca="false">IF(BL11=1,IF(ABS((1+AS_Wage)/(1+Slot5_Rate)-1)&lt;0.000000000001,(Slot5_Age-D11)*(1+Slot5_Rate)^(Slot5_Age-D11),(1+Slot5_Rate)^(Slot5_Age-D11)*(1-((1+AS_Wage)/(1+Slot5_Rate))^(Slot5_Age-D11))/(1-(1+AS_Wage)/(1+Slot5_Rate))),1)</f>
        <v>1</v>
      </c>
      <c r="JM11" s="20" t="n">
        <f aca="false">IF(AND(HU11=1,IE11&gt;0,Slot5_IsWG=1,BL11=1),MAX(0,(Slot5_Cost-BM11*(1+Slot5_Rate)^(Slot5_Age-D11))/JL11),0)</f>
        <v>0</v>
      </c>
      <c r="JN11" s="20" t="n">
        <f aca="false">IF(AND(HU11=1,IE11&gt;0,Slot5_IsWG=1,BL11=1),MIN(IE11,JM11),0)</f>
        <v>0</v>
      </c>
      <c r="JO11" s="20" t="n">
        <f aca="false">BM11+JN11</f>
        <v>0</v>
      </c>
      <c r="JP11" s="20" t="n">
        <f aca="false">IF(BL11=1,MAX(0,(Slot5_Cost-JO11*(1+Slot5_Rate)^(Slot5_Age-D11))/JL11),0)</f>
        <v>0</v>
      </c>
      <c r="JQ11" s="20" t="n">
        <f aca="false">IF(BL11=1,MAX(0,(Slot5_Cost-BM11*(1+Slot5_Rate)^(Slot5_Age-D11))/JL11),0)</f>
        <v>0</v>
      </c>
      <c r="JR11" s="20" t="n">
        <f aca="false">IF(AND(HU11=1,BL11=1),MIN(JK11,JP11),0)</f>
        <v>0</v>
      </c>
      <c r="JS11" s="20" t="n">
        <f aca="false">JK11-JR11</f>
        <v>0</v>
      </c>
      <c r="JT11" s="20" t="n">
        <f aca="false">IF(BV11=1,IF(ABS((1+AS_Wage)/(1+Slot6_Rate)-1)&lt;0.000000000001,(Slot6_Age-D11)*(1+Slot6_Rate)^(Slot6_Age-D11),(1+Slot6_Rate)^(Slot6_Age-D11)*(1-((1+AS_Wage)/(1+Slot6_Rate))^(Slot6_Age-D11))/(1-(1+AS_Wage)/(1+Slot6_Rate))),1)</f>
        <v>1</v>
      </c>
      <c r="JU11" s="20" t="n">
        <f aca="false">IF(AND(HU11=1,IE11&gt;0,Slot6_IsWG=1,BV11=1),MAX(0,(Slot6_Cost-BW11*(1+Slot6_Rate)^(Slot6_Age-D11))/JT11),0)</f>
        <v>0</v>
      </c>
      <c r="JV11" s="20" t="n">
        <f aca="false">IF(AND(HU11=1,IE11&gt;0,Slot6_IsWG=1,BV11=1),MIN(IE11,JU11),0)</f>
        <v>0</v>
      </c>
      <c r="JW11" s="20" t="n">
        <f aca="false">BW11+JV11</f>
        <v>0</v>
      </c>
      <c r="JX11" s="20" t="n">
        <f aca="false">IF(BV11=1,MAX(0,(Slot6_Cost-JW11*(1+Slot6_Rate)^(Slot6_Age-D11))/JT11),0)</f>
        <v>0</v>
      </c>
      <c r="JY11" s="20" t="n">
        <f aca="false">IF(BV11=1,MAX(0,(Slot6_Cost-BW11*(1+Slot6_Rate)^(Slot6_Age-D11))/JT11),0)</f>
        <v>0</v>
      </c>
      <c r="JZ11" s="20" t="n">
        <f aca="false">IF(AND(HU11=1,BV11=1),MIN(JS11,JX11),0)</f>
        <v>0</v>
      </c>
      <c r="KA11" s="20" t="n">
        <f aca="false">JS11-JZ11</f>
        <v>0</v>
      </c>
      <c r="KB11" s="20" t="n">
        <f aca="false">IF(CF11=1,IF(ABS((1+AS_Wage)/(1+Slot7_Rate)-1)&lt;0.000000000001,(Slot7_Age-D11)*(1+Slot7_Rate)^(Slot7_Age-D11),(1+Slot7_Rate)^(Slot7_Age-D11)*(1-((1+AS_Wage)/(1+Slot7_Rate))^(Slot7_Age-D11))/(1-(1+AS_Wage)/(1+Slot7_Rate))),1)</f>
        <v>1</v>
      </c>
      <c r="KC11" s="20" t="n">
        <f aca="false">IF(AND(HU11=1,IE11&gt;0,Slot7_IsWG=1,CF11=1),MAX(0,(Slot7_Cost-CG11*(1+Slot7_Rate)^(Slot7_Age-D11))/KB11),0)</f>
        <v>0</v>
      </c>
      <c r="KD11" s="20" t="n">
        <f aca="false">IF(AND(HU11=1,IE11&gt;0,Slot7_IsWG=1,CF11=1),MIN(IE11,KC11),0)</f>
        <v>0</v>
      </c>
      <c r="KE11" s="20" t="n">
        <f aca="false">CG11+KD11</f>
        <v>0</v>
      </c>
      <c r="KF11" s="20" t="n">
        <f aca="false">IF(CF11=1,MAX(0,(Slot7_Cost-KE11*(1+Slot7_Rate)^(Slot7_Age-D11))/KB11),0)</f>
        <v>0</v>
      </c>
      <c r="KG11" s="20" t="n">
        <f aca="false">IF(CF11=1,MAX(0,(Slot7_Cost-CG11*(1+Slot7_Rate)^(Slot7_Age-D11))/KB11),0)</f>
        <v>0</v>
      </c>
      <c r="KH11" s="20" t="n">
        <f aca="false">IF(AND(HU11=1,CF11=1),MIN(KA11,KF11),0)</f>
        <v>0</v>
      </c>
      <c r="KI11" s="20" t="n">
        <f aca="false">KA11-KH11</f>
        <v>0</v>
      </c>
      <c r="KJ11" s="20" t="n">
        <f aca="false">IF(CP11=1,IF(ABS((1+AS_Wage)/(1+Slot8_Rate)-1)&lt;0.000000000001,(Slot8_Age-D11)*(1+Slot8_Rate)^(Slot8_Age-D11),(1+Slot8_Rate)^(Slot8_Age-D11)*(1-((1+AS_Wage)/(1+Slot8_Rate))^(Slot8_Age-D11))/(1-(1+AS_Wage)/(1+Slot8_Rate))),1)</f>
        <v>1</v>
      </c>
      <c r="KK11" s="20" t="n">
        <f aca="false">IF(AND(HU11=1,IE11&gt;0,Slot8_IsWG=1,CP11=1),MAX(0,(Slot8_Cost-CQ11*(1+Slot8_Rate)^(Slot8_Age-D11))/KJ11),0)</f>
        <v>0</v>
      </c>
      <c r="KL11" s="20" t="n">
        <f aca="false">IF(AND(HU11=1,IE11&gt;0,Slot8_IsWG=1,CP11=1),MIN(IE11,KK11),0)</f>
        <v>0</v>
      </c>
      <c r="KM11" s="20" t="n">
        <f aca="false">CQ11+KL11</f>
        <v>0</v>
      </c>
      <c r="KN11" s="20" t="n">
        <f aca="false">IF(CP11=1,MAX(0,(Slot8_Cost-KM11*(1+Slot8_Rate)^(Slot8_Age-D11))/KJ11),0)</f>
        <v>0</v>
      </c>
      <c r="KO11" s="20" t="n">
        <f aca="false">IF(CP11=1,MAX(0,(Slot8_Cost-CQ11*(1+Slot8_Rate)^(Slot8_Age-D11))/KJ11),0)</f>
        <v>0</v>
      </c>
      <c r="KP11" s="20" t="n">
        <f aca="false">IF(AND(HU11=1,CP11=1),MIN(KI11,KN11),0)</f>
        <v>0</v>
      </c>
      <c r="KQ11" s="20" t="n">
        <f aca="false">KI11-KP11</f>
        <v>0</v>
      </c>
      <c r="KR11" s="20" t="n">
        <f aca="false">IF(CZ11=1,IF(ABS((1+AS_Wage)/(1+Slot9_Rate)-1)&lt;0.000000000001,(Slot9_Age-D11)*(1+Slot9_Rate)^(Slot9_Age-D11),(1+Slot9_Rate)^(Slot9_Age-D11)*(1-((1+AS_Wage)/(1+Slot9_Rate))^(Slot9_Age-D11))/(1-(1+AS_Wage)/(1+Slot9_Rate))),1)</f>
        <v>1</v>
      </c>
      <c r="KS11" s="20" t="n">
        <f aca="false">IF(AND(HU11=1,IE11&gt;0,Slot9_IsWG=1,CZ11=1),MAX(0,(Slot9_Cost-DA11*(1+Slot9_Rate)^(Slot9_Age-D11))/KR11),0)</f>
        <v>0</v>
      </c>
      <c r="KT11" s="20" t="n">
        <f aca="false">IF(AND(HU11=1,IE11&gt;0,Slot9_IsWG=1,CZ11=1),MIN(IE11,KS11),0)</f>
        <v>0</v>
      </c>
      <c r="KU11" s="20" t="n">
        <f aca="false">DA11+KT11</f>
        <v>0</v>
      </c>
      <c r="KV11" s="20" t="n">
        <f aca="false">IF(CZ11=1,MAX(0,(Slot9_Cost-KU11*(1+Slot9_Rate)^(Slot9_Age-D11))/KR11),0)</f>
        <v>0</v>
      </c>
      <c r="KW11" s="20" t="n">
        <f aca="false">IF(CZ11=1,MAX(0,(Slot9_Cost-DA11*(1+Slot9_Rate)^(Slot9_Age-D11))/KR11),0)</f>
        <v>0</v>
      </c>
      <c r="KX11" s="20" t="n">
        <f aca="false">IF(AND(HU11=1,CZ11=1),MIN(KQ11,KV11),0)</f>
        <v>0</v>
      </c>
      <c r="KY11" s="20" t="n">
        <f aca="false">KQ11-KX11</f>
        <v>0</v>
      </c>
      <c r="KZ11" s="20" t="n">
        <f aca="false">IF(DJ11=1,IF(ABS((1+AS_Wage)/(1+Slot10_Rate)-1)&lt;0.000000000001,(Slot10_Age-D11)*(1+Slot10_Rate)^(Slot10_Age-D11),(1+Slot10_Rate)^(Slot10_Age-D11)*(1-((1+AS_Wage)/(1+Slot10_Rate))^(Slot10_Age-D11))/(1-(1+AS_Wage)/(1+Slot10_Rate))),1)</f>
        <v>1</v>
      </c>
      <c r="LA11" s="20" t="n">
        <f aca="false">IF(AND(HU11=1,IE11&gt;0,Slot10_IsWG=1,DJ11=1),MAX(0,(Slot10_Cost-DK11*(1+Slot10_Rate)^(Slot10_Age-D11))/KZ11),0)</f>
        <v>0</v>
      </c>
      <c r="LB11" s="20" t="n">
        <f aca="false">IF(AND(HU11=1,IE11&gt;0,Slot10_IsWG=1,DJ11=1),MIN(IE11,LA11),0)</f>
        <v>0</v>
      </c>
      <c r="LC11" s="20" t="n">
        <f aca="false">DK11+LB11</f>
        <v>0</v>
      </c>
      <c r="LD11" s="20" t="n">
        <f aca="false">IF(DJ11=1,MAX(0,(Slot10_Cost-LC11*(1+Slot10_Rate)^(Slot10_Age-D11))/KZ11),0)</f>
        <v>0</v>
      </c>
      <c r="LE11" s="20" t="n">
        <f aca="false">IF(DJ11=1,MAX(0,(Slot10_Cost-DK11*(1+Slot10_Rate)^(Slot10_Age-D11))/KZ11),0)</f>
        <v>0</v>
      </c>
      <c r="LF11" s="20" t="n">
        <f aca="false">IF(AND(HU11=1,DJ11=1),MIN(KY11,LD11),0)</f>
        <v>0</v>
      </c>
      <c r="LG11" s="20" t="n">
        <f aca="false">KY11-LF11</f>
        <v>0</v>
      </c>
      <c r="LH11" s="20" t="n">
        <f aca="false">IF(DT11=1,IF(ABS((1+AS_Wage)/(1+Slot11_Rate)-1)&lt;0.000000000001,(Slot11_Age-D11)*(1+Slot11_Rate)^(Slot11_Age-D11),(1+Slot11_Rate)^(Slot11_Age-D11)*(1-((1+AS_Wage)/(1+Slot11_Rate))^(Slot11_Age-D11))/(1-(1+AS_Wage)/(1+Slot11_Rate))),1)</f>
        <v>1</v>
      </c>
      <c r="LI11" s="20" t="n">
        <f aca="false">IF(AND(HU11=1,IE11&gt;0,Slot11_IsWG=1,DT11=1),MAX(0,(Slot11_Cost-DU11*(1+Slot11_Rate)^(Slot11_Age-D11))/LH11),0)</f>
        <v>0</v>
      </c>
      <c r="LJ11" s="20" t="n">
        <f aca="false">IF(AND(HU11=1,IE11&gt;0,Slot11_IsWG=1,DT11=1),MIN(IE11,LI11),0)</f>
        <v>0</v>
      </c>
      <c r="LK11" s="20" t="n">
        <f aca="false">DU11+LJ11</f>
        <v>0</v>
      </c>
      <c r="LL11" s="20" t="n">
        <f aca="false">IF(DT11=1,MAX(0,(Slot11_Cost-LK11*(1+Slot11_Rate)^(Slot11_Age-D11))/LH11),0)</f>
        <v>0</v>
      </c>
      <c r="LM11" s="20" t="n">
        <f aca="false">IF(DT11=1,MAX(0,(Slot11_Cost-DU11*(1+Slot11_Rate)^(Slot11_Age-D11))/LH11),0)</f>
        <v>0</v>
      </c>
      <c r="LN11" s="20" t="n">
        <f aca="false">IF(AND(HU11=1,DT11=1),MIN(LG11,LL11),0)</f>
        <v>0</v>
      </c>
      <c r="LO11" s="20" t="n">
        <f aca="false">LG11-LN11</f>
        <v>0</v>
      </c>
      <c r="LP11" s="20" t="n">
        <f aca="false">IF(ED11=1,IF(ABS((1+AS_Wage)/(1+Slot12_Rate)-1)&lt;0.000000000001,(Slot12_Age-D11)*(1+Slot12_Rate)^(Slot12_Age-D11),(1+Slot12_Rate)^(Slot12_Age-D11)*(1-((1+AS_Wage)/(1+Slot12_Rate))^(Slot12_Age-D11))/(1-(1+AS_Wage)/(1+Slot12_Rate))),1)</f>
        <v>1</v>
      </c>
      <c r="LQ11" s="20" t="n">
        <f aca="false">IF(AND(HU11=1,IE11&gt;0,Slot12_IsWG=1,ED11=1),MAX(0,(Slot12_Cost-EE11*(1+Slot12_Rate)^(Slot12_Age-D11))/LP11),0)</f>
        <v>0</v>
      </c>
      <c r="LR11" s="20" t="n">
        <f aca="false">IF(AND(HU11=1,IE11&gt;0,Slot12_IsWG=1,ED11=1),MIN(IE11,LQ11),0)</f>
        <v>0</v>
      </c>
      <c r="LS11" s="20" t="n">
        <f aca="false">EE11+LR11</f>
        <v>0</v>
      </c>
      <c r="LT11" s="20" t="n">
        <f aca="false">IF(ED11=1,MAX(0,(Slot12_Cost-LS11*(1+Slot12_Rate)^(Slot12_Age-D11))/LP11),0)</f>
        <v>0</v>
      </c>
      <c r="LU11" s="20" t="n">
        <f aca="false">IF(ED11=1,MAX(0,(Slot12_Cost-EE11*(1+Slot12_Rate)^(Slot12_Age-D11))/LP11),0)</f>
        <v>0</v>
      </c>
      <c r="LV11" s="20" t="n">
        <f aca="false">IF(AND(HU11=1,ED11=1),MIN(LO11,LT11),0)</f>
        <v>0</v>
      </c>
      <c r="LW11" s="20" t="n">
        <f aca="false">LO11-LV11</f>
        <v>0</v>
      </c>
      <c r="LX11" s="20" t="n">
        <f aca="false">IF(EN11=1,IF(ABS((1+AS_Wage)/(1+Slot13_Rate)-1)&lt;0.000000000001,(Slot13_Age-D11)*(1+Slot13_Rate)^(Slot13_Age-D11),(1+Slot13_Rate)^(Slot13_Age-D11)*(1-((1+AS_Wage)/(1+Slot13_Rate))^(Slot13_Age-D11))/(1-(1+AS_Wage)/(1+Slot13_Rate))),1)</f>
        <v>1</v>
      </c>
      <c r="LY11" s="20" t="n">
        <f aca="false">IF(AND(HU11=1,IE11&gt;0,Slot13_IsWG=1,EN11=1),MAX(0,(Slot13_Cost-EO11*(1+Slot13_Rate)^(Slot13_Age-D11))/LX11),0)</f>
        <v>0</v>
      </c>
      <c r="LZ11" s="20" t="n">
        <f aca="false">IF(AND(HU11=1,IE11&gt;0,Slot13_IsWG=1,EN11=1),MIN(IE11,LY11),0)</f>
        <v>0</v>
      </c>
      <c r="MA11" s="20" t="n">
        <f aca="false">EO11+LZ11</f>
        <v>0</v>
      </c>
      <c r="MB11" s="20" t="n">
        <f aca="false">IF(EN11=1,MAX(0,(Slot13_Cost-MA11*(1+Slot13_Rate)^(Slot13_Age-D11))/LX11),0)</f>
        <v>0</v>
      </c>
      <c r="MC11" s="20" t="n">
        <f aca="false">IF(EN11=1,MAX(0,(Slot13_Cost-EO11*(1+Slot13_Rate)^(Slot13_Age-D11))/LX11),0)</f>
        <v>0</v>
      </c>
      <c r="MD11" s="20" t="n">
        <f aca="false">IF(AND(HU11=1,EN11=1),MIN(LW11,MB11),0)</f>
        <v>0</v>
      </c>
      <c r="ME11" s="20" t="n">
        <f aca="false">LW11-MD11</f>
        <v>0</v>
      </c>
      <c r="MF11" s="20" t="n">
        <f aca="false">IF(EX11=1,IF(ABS((1+AS_Wage)/(1+Slot14_Rate)-1)&lt;0.000000000001,(Slot14_Age-D11)*(1+Slot14_Rate)^(Slot14_Age-D11),(1+Slot14_Rate)^(Slot14_Age-D11)*(1-((1+AS_Wage)/(1+Slot14_Rate))^(Slot14_Age-D11))/(1-(1+AS_Wage)/(1+Slot14_Rate))),1)</f>
        <v>1</v>
      </c>
      <c r="MG11" s="20" t="n">
        <f aca="false">IF(AND(HU11=1,IE11&gt;0,Slot14_IsWG=1,EX11=1),MAX(0,(Slot14_Cost-EY11*(1+Slot14_Rate)^(Slot14_Age-D11))/MF11),0)</f>
        <v>0</v>
      </c>
      <c r="MH11" s="20" t="n">
        <f aca="false">IF(AND(HU11=1,IE11&gt;0,Slot14_IsWG=1,EX11=1),MIN(IE11,MG11),0)</f>
        <v>0</v>
      </c>
      <c r="MI11" s="20" t="n">
        <f aca="false">EY11+MH11</f>
        <v>0</v>
      </c>
      <c r="MJ11" s="20" t="n">
        <f aca="false">IF(EX11=1,MAX(0,(Slot14_Cost-MI11*(1+Slot14_Rate)^(Slot14_Age-D11))/MF11),0)</f>
        <v>0</v>
      </c>
      <c r="MK11" s="20" t="n">
        <f aca="false">IF(EX11=1,MAX(0,(Slot14_Cost-EY11*(1+Slot14_Rate)^(Slot14_Age-D11))/MF11),0)</f>
        <v>0</v>
      </c>
      <c r="ML11" s="20" t="n">
        <f aca="false">IF(AND(HU11=1,EX11=1),MIN(ME11,MJ11),0)</f>
        <v>0</v>
      </c>
      <c r="MM11" s="20" t="n">
        <f aca="false">ME11-ML11</f>
        <v>0</v>
      </c>
      <c r="MN11" s="20" t="n">
        <f aca="false">IF(FH11=1,IF(ABS((1+AS_Wage)/(1+Slot15_Rate)-1)&lt;0.000000000001,(Slot15_Age-D11)*(1+Slot15_Rate)^(Slot15_Age-D11),(1+Slot15_Rate)^(Slot15_Age-D11)*(1-((1+AS_Wage)/(1+Slot15_Rate))^(Slot15_Age-D11))/(1-(1+AS_Wage)/(1+Slot15_Rate))),1)</f>
        <v>1</v>
      </c>
      <c r="MO11" s="20" t="n">
        <f aca="false">IF(AND(HU11=1,IE11&gt;0,Slot15_IsWG=1,FH11=1),MAX(0,(Slot15_Cost-FI11*(1+Slot15_Rate)^(Slot15_Age-D11))/MN11),0)</f>
        <v>0</v>
      </c>
      <c r="MP11" s="20" t="n">
        <f aca="false">IF(AND(HU11=1,IE11&gt;0,Slot15_IsWG=1,FH11=1),MIN(IE11,MO11),0)</f>
        <v>0</v>
      </c>
      <c r="MQ11" s="20" t="n">
        <f aca="false">FI11+MP11</f>
        <v>0</v>
      </c>
      <c r="MR11" s="20" t="n">
        <f aca="false">IF(FH11=1,MAX(0,(Slot15_Cost-MQ11*(1+Slot15_Rate)^(Slot15_Age-D11))/MN11),0)</f>
        <v>0</v>
      </c>
      <c r="MS11" s="20" t="n">
        <f aca="false">IF(FH11=1,MAX(0,(Slot15_Cost-FI11*(1+Slot15_Rate)^(Slot15_Age-D11))/MN11),0)</f>
        <v>0</v>
      </c>
      <c r="MT11" s="20" t="n">
        <f aca="false">IF(AND(HU11=1,FH11=1),MIN(MM11,MR11),0)</f>
        <v>0</v>
      </c>
      <c r="MU11" s="20" t="n">
        <f aca="false">MM11-MT11</f>
        <v>0</v>
      </c>
      <c r="MV11" s="20" t="n">
        <f aca="false">IF(FR11=1,IF(ABS((1+AS_Wage)/(1+Slot16_Rate)-1)&lt;0.000000000001,(Slot16_Age-D11)*(1+Slot16_Rate)^(Slot16_Age-D11),(1+Slot16_Rate)^(Slot16_Age-D11)*(1-((1+AS_Wage)/(1+Slot16_Rate))^(Slot16_Age-D11))/(1-(1+AS_Wage)/(1+Slot16_Rate))),1)</f>
        <v>1</v>
      </c>
      <c r="MW11" s="20" t="n">
        <f aca="false">IF(AND(HU11=1,IE11&gt;0,Slot16_IsWG=1,FR11=1),MAX(0,(Slot16_Cost-FS11*(1+Slot16_Rate)^(Slot16_Age-D11))/MV11),0)</f>
        <v>0</v>
      </c>
      <c r="MX11" s="20" t="n">
        <f aca="false">IF(AND(HU11=1,IE11&gt;0,Slot16_IsWG=1,FR11=1),MIN(IE11,MW11),0)</f>
        <v>0</v>
      </c>
      <c r="MY11" s="20" t="n">
        <f aca="false">FS11+MX11</f>
        <v>0</v>
      </c>
      <c r="MZ11" s="20" t="n">
        <f aca="false">IF(FR11=1,MAX(0,(Slot16_Cost-MY11*(1+Slot16_Rate)^(Slot16_Age-D11))/MV11),0)</f>
        <v>0</v>
      </c>
      <c r="NA11" s="20" t="n">
        <f aca="false">IF(FR11=1,MAX(0,(Slot16_Cost-FS11*(1+Slot16_Rate)^(Slot16_Age-D11))/MV11),0)</f>
        <v>0</v>
      </c>
      <c r="NB11" s="20" t="n">
        <f aca="false">IF(AND(HU11=1,FR11=1),MIN(MU11,MZ11),0)</f>
        <v>0</v>
      </c>
      <c r="NC11" s="20" t="n">
        <f aca="false">MU11-NB11</f>
        <v>0</v>
      </c>
      <c r="ND11" s="20" t="n">
        <f aca="false">IF(GB11=1,IF(ABS((1+AS_Wage)/(1+Slot17_Rate)-1)&lt;0.000000000001,(Slot17_Age-D11)*(1+Slot17_Rate)^(Slot17_Age-D11),(1+Slot17_Rate)^(Slot17_Age-D11)*(1-((1+AS_Wage)/(1+Slot17_Rate))^(Slot17_Age-D11))/(1-(1+AS_Wage)/(1+Slot17_Rate))),1)</f>
        <v>1</v>
      </c>
      <c r="NE11" s="20" t="n">
        <f aca="false">IF(AND(HU11=1,IE11&gt;0,Slot17_IsWG=1,GB11=1),MAX(0,(Slot17_Cost-GC11*(1+Slot17_Rate)^(Slot17_Age-D11))/ND11),0)</f>
        <v>0</v>
      </c>
      <c r="NF11" s="20" t="n">
        <f aca="false">IF(AND(HU11=1,IE11&gt;0,Slot17_IsWG=1,GB11=1),MIN(IE11,NE11),0)</f>
        <v>0</v>
      </c>
      <c r="NG11" s="20" t="n">
        <f aca="false">GC11+NF11</f>
        <v>0</v>
      </c>
      <c r="NH11" s="20" t="n">
        <f aca="false">IF(GB11=1,MAX(0,(Slot17_Cost-NG11*(1+Slot17_Rate)^(Slot17_Age-D11))/ND11),0)</f>
        <v>0</v>
      </c>
      <c r="NI11" s="20" t="n">
        <f aca="false">IF(GB11=1,MAX(0,(Slot17_Cost-GC11*(1+Slot17_Rate)^(Slot17_Age-D11))/ND11),0)</f>
        <v>0</v>
      </c>
      <c r="NJ11" s="20" t="n">
        <f aca="false">IF(AND(HU11=1,GB11=1),MIN(NC11,NH11),0)</f>
        <v>0</v>
      </c>
      <c r="NK11" s="20" t="n">
        <f aca="false">NC11-NJ11</f>
        <v>0</v>
      </c>
      <c r="NL11" s="20" t="n">
        <f aca="false">IF(GL11=1,IF(ABS((1+AS_Wage)/(1+Slot18_Rate)-1)&lt;0.000000000001,(Slot18_Age-D11)*(1+Slot18_Rate)^(Slot18_Age-D11),(1+Slot18_Rate)^(Slot18_Age-D11)*(1-((1+AS_Wage)/(1+Slot18_Rate))^(Slot18_Age-D11))/(1-(1+AS_Wage)/(1+Slot18_Rate))),1)</f>
        <v>1</v>
      </c>
      <c r="NM11" s="20" t="n">
        <f aca="false">IF(AND(HU11=1,IE11&gt;0,Slot18_IsWG=1,GL11=1),MAX(0,(Slot18_Cost-GM11*(1+Slot18_Rate)^(Slot18_Age-D11))/NL11),0)</f>
        <v>0</v>
      </c>
      <c r="NN11" s="20" t="n">
        <f aca="false">IF(AND(HU11=1,IE11&gt;0,Slot18_IsWG=1,GL11=1),MIN(IE11,NM11),0)</f>
        <v>0</v>
      </c>
      <c r="NO11" s="20" t="n">
        <f aca="false">GM11+NN11</f>
        <v>0</v>
      </c>
      <c r="NP11" s="20" t="n">
        <f aca="false">IF(GL11=1,MAX(0,(Slot18_Cost-NO11*(1+Slot18_Rate)^(Slot18_Age-D11))/NL11),0)</f>
        <v>0</v>
      </c>
      <c r="NQ11" s="20" t="n">
        <f aca="false">IF(GL11=1,MAX(0,(Slot18_Cost-GM11*(1+Slot18_Rate)^(Slot18_Age-D11))/NL11),0)</f>
        <v>0</v>
      </c>
      <c r="NR11" s="20" t="n">
        <f aca="false">IF(AND(HU11=1,GL11=1),MIN(NK11,NP11),0)</f>
        <v>0</v>
      </c>
      <c r="NS11" s="20" t="n">
        <f aca="false">NK11-NR11</f>
        <v>0</v>
      </c>
      <c r="NT11" s="20" t="n">
        <f aca="false">IF(GV11=1,IF(ABS((1+AS_Wage)/(1+Slot19_Rate)-1)&lt;0.000000000001,(Slot19_Age-D11)*(1+Slot19_Rate)^(Slot19_Age-D11),(1+Slot19_Rate)^(Slot19_Age-D11)*(1-((1+AS_Wage)/(1+Slot19_Rate))^(Slot19_Age-D11))/(1-(1+AS_Wage)/(1+Slot19_Rate))),1)</f>
        <v>1</v>
      </c>
      <c r="NU11" s="20" t="n">
        <f aca="false">IF(AND(HU11=1,IE11&gt;0,Slot19_IsWG=1,GV11=1),MAX(0,(Slot19_Cost-GW11*(1+Slot19_Rate)^(Slot19_Age-D11))/NT11),0)</f>
        <v>0</v>
      </c>
      <c r="NV11" s="20" t="n">
        <f aca="false">IF(AND(HU11=1,IE11&gt;0,Slot19_IsWG=1,GV11=1),MIN(IE11,NU11),0)</f>
        <v>0</v>
      </c>
      <c r="NW11" s="20" t="n">
        <f aca="false">GW11+NV11</f>
        <v>0</v>
      </c>
      <c r="NX11" s="20" t="n">
        <f aca="false">IF(GV11=1,MAX(0,(Slot19_Cost-NW11*(1+Slot19_Rate)^(Slot19_Age-D11))/NT11),0)</f>
        <v>0</v>
      </c>
      <c r="NY11" s="20" t="n">
        <f aca="false">IF(GV11=1,MAX(0,(Slot19_Cost-GW11*(1+Slot19_Rate)^(Slot19_Age-D11))/NT11),0)</f>
        <v>0</v>
      </c>
      <c r="NZ11" s="20" t="n">
        <f aca="false">IF(AND(HU11=1,GV11=1),MIN(NS11,NX11),0)</f>
        <v>0</v>
      </c>
      <c r="OA11" s="20" t="n">
        <f aca="false">NS11-NZ11</f>
        <v>0</v>
      </c>
      <c r="OB11" s="20" t="n">
        <f aca="false">IF(HF11=1,IF(ABS((1+AS_Wage)/(1+Slot20_Rate)-1)&lt;0.000000000001,(Slot20_Age-D11)*(1+Slot20_Rate)^(Slot20_Age-D11),(1+Slot20_Rate)^(Slot20_Age-D11)*(1-((1+AS_Wage)/(1+Slot20_Rate))^(Slot20_Age-D11))/(1-(1+AS_Wage)/(1+Slot20_Rate))),1)</f>
        <v>1</v>
      </c>
      <c r="OC11" s="20" t="n">
        <f aca="false">IF(AND(HU11=1,IE11&gt;0,Slot20_IsWG=1,HF11=1),MAX(0,(Slot20_Cost-HG11*(1+Slot20_Rate)^(Slot20_Age-D11))/OB11),0)</f>
        <v>0</v>
      </c>
      <c r="OD11" s="20" t="n">
        <f aca="false">IF(AND(HU11=1,IE11&gt;0,Slot20_IsWG=1,HF11=1),MIN(IE11,OC11),0)</f>
        <v>0</v>
      </c>
      <c r="OE11" s="20" t="n">
        <f aca="false">HG11+OD11</f>
        <v>0</v>
      </c>
      <c r="OF11" s="20" t="n">
        <f aca="false">IF(HF11=1,MAX(0,(Slot20_Cost-OE11*(1+Slot20_Rate)^(Slot20_Age-D11))/OB11),0)</f>
        <v>0</v>
      </c>
      <c r="OG11" s="20" t="n">
        <f aca="false">IF(HF11=1,MAX(0,(Slot20_Cost-HG11*(1+Slot20_Rate)^(Slot20_Age-D11))/OB11),0)</f>
        <v>0</v>
      </c>
      <c r="OH11" s="20" t="n">
        <f aca="false">IF(AND(HU11=1,HF11=1),MIN(OA11,OF11),0)</f>
        <v>0</v>
      </c>
      <c r="OI11" s="20" t="n">
        <f aca="false">OA11-OH11</f>
        <v>0</v>
      </c>
      <c r="OJ11" s="20" t="n">
        <f aca="false">IE11-(IH11+IP11+IX11+JF11+JN11+JV11+KD11+KL11+KT11+LB11+LJ11+LR11+LZ11+MH11+MP11+MX11+NF11+NN11+NV11+OD11)</f>
        <v>0</v>
      </c>
      <c r="OK11" s="20" t="n">
        <f aca="false">IF(HU11=1,HS11-ID11-IE11,0)</f>
        <v>2472.5864700826</v>
      </c>
      <c r="OL11" s="20" t="n">
        <f aca="false">IF(HU11=0,-HS11,0)</f>
        <v>0</v>
      </c>
      <c r="OM11" s="20" t="n">
        <f aca="false">MIN(OL11,HK11)</f>
        <v>0</v>
      </c>
      <c r="ON11" s="20" t="n">
        <f aca="false">OL11-OM11</f>
        <v>0</v>
      </c>
      <c r="OO11" s="20" t="n">
        <f aca="false">MIN(ON11,HL11)</f>
        <v>0</v>
      </c>
      <c r="OP11" s="20" t="n">
        <f aca="false">ON11-OO11</f>
        <v>0</v>
      </c>
      <c r="OQ11" s="20" t="n">
        <f aca="false">IF(AND(HU11=0,HF11=1,OP11&gt;0),MIN(OP11,HG11),0)</f>
        <v>0</v>
      </c>
      <c r="OR11" s="20" t="n">
        <f aca="false">OP11-OQ11</f>
        <v>0</v>
      </c>
      <c r="OS11" s="20" t="n">
        <f aca="false">IF(AND(HU11=0,GV11=1,OR11&gt;0),MIN(OR11,GW11),0)</f>
        <v>0</v>
      </c>
      <c r="OT11" s="20" t="n">
        <f aca="false">OR11-OS11</f>
        <v>0</v>
      </c>
      <c r="OU11" s="20" t="n">
        <f aca="false">IF(AND(HU11=0,GL11=1,OT11&gt;0),MIN(OT11,GM11),0)</f>
        <v>0</v>
      </c>
      <c r="OV11" s="20" t="n">
        <f aca="false">OT11-OU11</f>
        <v>0</v>
      </c>
      <c r="OW11" s="20" t="n">
        <f aca="false">IF(AND(HU11=0,GB11=1,OV11&gt;0),MIN(OV11,GC11),0)</f>
        <v>0</v>
      </c>
      <c r="OX11" s="20" t="n">
        <f aca="false">OV11-OW11</f>
        <v>0</v>
      </c>
      <c r="OY11" s="20" t="n">
        <f aca="false">IF(AND(HU11=0,FR11=1,OX11&gt;0),MIN(OX11,FS11),0)</f>
        <v>0</v>
      </c>
      <c r="OZ11" s="20" t="n">
        <f aca="false">OX11-OY11</f>
        <v>0</v>
      </c>
      <c r="PA11" s="20" t="n">
        <f aca="false">IF(AND(HU11=0,FH11=1,OZ11&gt;0),MIN(OZ11,FI11),0)</f>
        <v>0</v>
      </c>
      <c r="PB11" s="20" t="n">
        <f aca="false">OZ11-PA11</f>
        <v>0</v>
      </c>
      <c r="PC11" s="20" t="n">
        <f aca="false">IF(AND(HU11=0,EX11=1,PB11&gt;0),MIN(PB11,EY11),0)</f>
        <v>0</v>
      </c>
      <c r="PD11" s="20" t="n">
        <f aca="false">PB11-PC11</f>
        <v>0</v>
      </c>
      <c r="PE11" s="20" t="n">
        <f aca="false">IF(AND(HU11=0,EN11=1,PD11&gt;0),MIN(PD11,EO11),0)</f>
        <v>0</v>
      </c>
      <c r="PF11" s="20" t="n">
        <f aca="false">PD11-PE11</f>
        <v>0</v>
      </c>
      <c r="PG11" s="20" t="n">
        <f aca="false">IF(AND(HU11=0,ED11=1,PF11&gt;0),MIN(PF11,EE11),0)</f>
        <v>0</v>
      </c>
      <c r="PH11" s="20" t="n">
        <f aca="false">PF11-PG11</f>
        <v>0</v>
      </c>
      <c r="PI11" s="20" t="n">
        <f aca="false">IF(AND(HU11=0,DT11=1,PH11&gt;0),MIN(PH11,DU11),0)</f>
        <v>0</v>
      </c>
      <c r="PJ11" s="20" t="n">
        <f aca="false">PH11-PI11</f>
        <v>0</v>
      </c>
      <c r="PK11" s="20" t="n">
        <f aca="false">IF(AND(HU11=0,DJ11=1,PJ11&gt;0),MIN(PJ11,DK11),0)</f>
        <v>0</v>
      </c>
      <c r="PL11" s="20" t="n">
        <f aca="false">PJ11-PK11</f>
        <v>0</v>
      </c>
      <c r="PM11" s="20" t="n">
        <f aca="false">IF(AND(HU11=0,CZ11=1,PL11&gt;0),MIN(PL11,DA11),0)</f>
        <v>0</v>
      </c>
      <c r="PN11" s="20" t="n">
        <f aca="false">PL11-PM11</f>
        <v>0</v>
      </c>
      <c r="PO11" s="20" t="n">
        <f aca="false">IF(AND(HU11=0,CP11=1,PN11&gt;0),MIN(PN11,CQ11),0)</f>
        <v>0</v>
      </c>
      <c r="PP11" s="20" t="n">
        <f aca="false">PN11-PO11</f>
        <v>0</v>
      </c>
      <c r="PQ11" s="20" t="n">
        <f aca="false">IF(AND(HU11=0,CF11=1,PP11&gt;0),MIN(PP11,CG11),0)</f>
        <v>0</v>
      </c>
      <c r="PR11" s="20" t="n">
        <f aca="false">PP11-PQ11</f>
        <v>0</v>
      </c>
      <c r="PS11" s="20" t="n">
        <f aca="false">IF(AND(HU11=0,BV11=1,PR11&gt;0),MIN(PR11,BW11),0)</f>
        <v>0</v>
      </c>
      <c r="PT11" s="20" t="n">
        <f aca="false">PR11-PS11</f>
        <v>0</v>
      </c>
      <c r="PU11" s="20" t="n">
        <f aca="false">IF(AND(HU11=0,BL11=1,PT11&gt;0),MIN(PT11,BM11),0)</f>
        <v>0</v>
      </c>
      <c r="PV11" s="20" t="n">
        <f aca="false">PT11-PU11</f>
        <v>0</v>
      </c>
      <c r="PW11" s="20" t="n">
        <f aca="false">IF(AND(HU11=0,BB11=1,PV11&gt;0),MIN(PV11,BC11),0)</f>
        <v>0</v>
      </c>
      <c r="PX11" s="20" t="n">
        <f aca="false">PV11-PW11</f>
        <v>0</v>
      </c>
      <c r="PY11" s="20" t="n">
        <f aca="false">IF(AND(HU11=0,AR11=1,PX11&gt;0),MIN(PX11,AS11),0)</f>
        <v>0</v>
      </c>
      <c r="PZ11" s="20" t="n">
        <f aca="false">PX11-PY11</f>
        <v>0</v>
      </c>
      <c r="QA11" s="20" t="n">
        <f aca="false">IF(AND(HU11=0,AH11=1,PZ11&gt;0),MIN(PZ11,AI11),0)</f>
        <v>0</v>
      </c>
      <c r="QB11" s="20" t="n">
        <f aca="false">PZ11-QA11</f>
        <v>0</v>
      </c>
      <c r="QC11" s="20" t="n">
        <f aca="false">IF(AND(HU11=0,W11=1,QB11&gt;0),MIN(QB11,X11),0)</f>
        <v>0</v>
      </c>
      <c r="QD11" s="20" t="n">
        <f aca="false">QB11-QC11</f>
        <v>0</v>
      </c>
      <c r="QE11" s="20" t="n">
        <f aca="false">IF(HU11=0,QD11,0)</f>
        <v>0</v>
      </c>
      <c r="QF11" s="20" t="n">
        <f aca="false">OM11+OO11+QC11+QA11+PY11+PW11+PU11+PS11+PQ11+PO11+PM11+PK11+PI11+PG11+PE11+PC11+PA11+OY11+OW11+OU11+OS11+OQ11</f>
        <v>0</v>
      </c>
      <c r="QG11" s="20" t="n">
        <f aca="false">IF(HU11=1,HK11+OJ11+OI11+IF(G11=1,0,OK11),HK11-OM11)</f>
        <v>0</v>
      </c>
      <c r="QH11" s="20" t="n">
        <f aca="false">HL11-OO11</f>
        <v>11492.2259268132</v>
      </c>
      <c r="QI11" s="20" t="n">
        <f aca="false">IF(HU11=1,IF(G11=1,ID11+IE11,HS11),0)</f>
        <v>2472.5864700826</v>
      </c>
      <c r="QJ11" s="20" t="n">
        <f aca="false">IF(HU11=1,IF(G11=1,HS11-ID11-IE11,0),0)</f>
        <v>2472.5864700826</v>
      </c>
      <c r="QK11" s="57" t="n">
        <f aca="false">'Plan holdings'!BM11</f>
        <v>0</v>
      </c>
      <c r="QL11" s="20" t="n">
        <f aca="false">QH11*(1+AS_Cash)</f>
        <v>11607.1481860813</v>
      </c>
      <c r="QM11" s="20" t="n">
        <f aca="false">IF(W11=1,IF(HU11=1,II11+IL11,X11-QC11)*(1+Slot1_Rate),0)</f>
        <v>0</v>
      </c>
      <c r="QN11" s="20" t="n">
        <f aca="false">IF(AND(HU11=1,W11=1),(IH11+IL11)/F11,0)</f>
        <v>0</v>
      </c>
      <c r="QO11" s="20" t="n">
        <f aca="false">IF(B11=0,IH11+IL11,0)</f>
        <v>0</v>
      </c>
      <c r="QP11" s="20" t="n">
        <f aca="false">IF(B11=0,IF(HU11=1,IJ11,IK11),0)</f>
        <v>0</v>
      </c>
      <c r="QQ11" s="20" t="n">
        <f aca="false">IF(AH11=1,IF(HU11=1,IQ11+IT11,AI11-QA11)*(1+Slot2_Rate),0)</f>
        <v>0</v>
      </c>
      <c r="QR11" s="20" t="n">
        <f aca="false">IF(AND(HU11=1,AH11=1),(IP11+IT11)/F11,0)</f>
        <v>0</v>
      </c>
      <c r="QS11" s="20" t="n">
        <f aca="false">IF(B11=0,IP11+IT11,0)</f>
        <v>0</v>
      </c>
      <c r="QT11" s="20" t="n">
        <f aca="false">IF(B11=0,IF(HU11=1,IR11,IS11),0)</f>
        <v>0</v>
      </c>
      <c r="QU11" s="20" t="n">
        <f aca="false">IF(AR11=1,IF(HU11=1,IY11+JB11,AS11-PY11)*(1+Slot3_Rate),0)</f>
        <v>2536.87371830475</v>
      </c>
      <c r="QV11" s="20" t="n">
        <f aca="false">IF(AND(HU11=1,AR11=1),(IX11+JB11)/F11,0)</f>
        <v>2329.97345485767</v>
      </c>
      <c r="QW11" s="20" t="n">
        <f aca="false">IF(B11=0,IX11+JB11,0)</f>
        <v>0</v>
      </c>
      <c r="QX11" s="20" t="n">
        <f aca="false">IF(B11=0,IF(HU11=1,IZ11,JA11),0)</f>
        <v>0</v>
      </c>
      <c r="QY11" s="20" t="n">
        <f aca="false">IF(BB11=1,IF(HU11=1,JG11+JJ11,BC11-PW11)*(1+Slot4_Rate),0)</f>
        <v>0</v>
      </c>
      <c r="QZ11" s="20" t="n">
        <f aca="false">IF(AND(HU11=1,BB11=1),(JF11+JJ11)/F11,0)</f>
        <v>0</v>
      </c>
      <c r="RA11" s="20" t="n">
        <f aca="false">IF(B11=0,JF11+JJ11,0)</f>
        <v>0</v>
      </c>
      <c r="RB11" s="20" t="n">
        <f aca="false">IF(B11=0,IF(HU11=1,JH11,JI11),0)</f>
        <v>0</v>
      </c>
      <c r="RC11" s="20" t="n">
        <f aca="false">IF(BL11=1,IF(HU11=1,JO11+JR11,BM11-PU11)*(1+Slot5_Rate),0)</f>
        <v>0</v>
      </c>
      <c r="RD11" s="20" t="n">
        <f aca="false">IF(AND(HU11=1,BL11=1),(JN11+JR11)/F11,0)</f>
        <v>0</v>
      </c>
      <c r="RE11" s="20" t="n">
        <f aca="false">IF(B11=0,JN11+JR11,0)</f>
        <v>0</v>
      </c>
      <c r="RF11" s="20" t="n">
        <f aca="false">IF(B11=0,IF(HU11=1,JP11,JQ11),0)</f>
        <v>0</v>
      </c>
      <c r="RG11" s="20" t="n">
        <f aca="false">IF(BV11=1,IF(HU11=1,JW11+JZ11,BW11-PS11)*(1+Slot6_Rate),0)</f>
        <v>0</v>
      </c>
      <c r="RH11" s="20" t="n">
        <f aca="false">IF(AND(HU11=1,BV11=1),(JV11+JZ11)/F11,0)</f>
        <v>0</v>
      </c>
      <c r="RI11" s="20" t="n">
        <f aca="false">IF(B11=0,JV11+JZ11,0)</f>
        <v>0</v>
      </c>
      <c r="RJ11" s="20" t="n">
        <f aca="false">IF(B11=0,IF(HU11=1,JX11,JY11),0)</f>
        <v>0</v>
      </c>
      <c r="RK11" s="20" t="n">
        <f aca="false">IF(CF11=1,IF(HU11=1,KE11+KH11,CG11-PQ11)*(1+Slot7_Rate),0)</f>
        <v>0</v>
      </c>
      <c r="RL11" s="20" t="n">
        <f aca="false">IF(AND(HU11=1,CF11=1),(KD11+KH11)/F11,0)</f>
        <v>0</v>
      </c>
      <c r="RM11" s="20" t="n">
        <f aca="false">IF(B11=0,KD11+KH11,0)</f>
        <v>0</v>
      </c>
      <c r="RN11" s="20" t="n">
        <f aca="false">IF(B11=0,IF(HU11=1,KF11,KG11),0)</f>
        <v>0</v>
      </c>
      <c r="RO11" s="20" t="n">
        <f aca="false">IF(CP11=1,IF(HU11=1,KM11+KP11,CQ11-PO11)*(1+Slot8_Rate),0)</f>
        <v>0</v>
      </c>
      <c r="RP11" s="20" t="n">
        <f aca="false">IF(AND(HU11=1,CP11=1),(KL11+KP11)/F11,0)</f>
        <v>0</v>
      </c>
      <c r="RQ11" s="20" t="n">
        <f aca="false">IF(B11=0,KL11+KP11,0)</f>
        <v>0</v>
      </c>
      <c r="RR11" s="20" t="n">
        <f aca="false">IF(B11=0,IF(HU11=1,KN11,KO11),0)</f>
        <v>0</v>
      </c>
      <c r="RS11" s="20" t="n">
        <f aca="false">IF(CZ11=1,IF(HU11=1,KU11+KX11,DA11-PM11)*(1+Slot9_Rate),0)</f>
        <v>0</v>
      </c>
      <c r="RT11" s="20" t="n">
        <f aca="false">IF(AND(HU11=1,CZ11=1),(KT11+KX11)/F11,0)</f>
        <v>0</v>
      </c>
      <c r="RU11" s="20" t="n">
        <f aca="false">IF(B11=0,KT11+KX11,0)</f>
        <v>0</v>
      </c>
      <c r="RV11" s="20" t="n">
        <f aca="false">IF(B11=0,IF(HU11=1,KV11,KW11),0)</f>
        <v>0</v>
      </c>
      <c r="RW11" s="20" t="n">
        <f aca="false">IF(DJ11=1,IF(HU11=1,LC11+LF11,DK11-PK11)*(1+Slot10_Rate),0)</f>
        <v>0</v>
      </c>
      <c r="RX11" s="20" t="n">
        <f aca="false">IF(AND(HU11=1,DJ11=1),(LB11+LF11)/F11,0)</f>
        <v>0</v>
      </c>
      <c r="RY11" s="20" t="n">
        <f aca="false">IF(B11=0,LB11+LF11,0)</f>
        <v>0</v>
      </c>
      <c r="RZ11" s="20" t="n">
        <f aca="false">IF(B11=0,IF(HU11=1,LD11,LE11),0)</f>
        <v>0</v>
      </c>
      <c r="SA11" s="20" t="n">
        <f aca="false">IF(DT11=1,IF(HU11=1,LK11+LN11,DU11-PI11)*(1+Slot11_Rate),0)</f>
        <v>0</v>
      </c>
      <c r="SB11" s="20" t="n">
        <f aca="false">IF(AND(HU11=1,DT11=1),(LJ11+LN11)/F11,0)</f>
        <v>0</v>
      </c>
      <c r="SC11" s="20" t="n">
        <f aca="false">IF(B11=0,LJ11+LN11,0)</f>
        <v>0</v>
      </c>
      <c r="SD11" s="20" t="n">
        <f aca="false">IF(B11=0,IF(HU11=1,LL11,LM11),0)</f>
        <v>0</v>
      </c>
      <c r="SE11" s="20" t="n">
        <f aca="false">IF(ED11=1,IF(HU11=1,LS11+LV11,EE11-PG11)*(1+Slot12_Rate),0)</f>
        <v>0</v>
      </c>
      <c r="SF11" s="20" t="n">
        <f aca="false">IF(AND(HU11=1,ED11=1),(LR11+LV11)/F11,0)</f>
        <v>0</v>
      </c>
      <c r="SG11" s="20" t="n">
        <f aca="false">IF(B11=0,LR11+LV11,0)</f>
        <v>0</v>
      </c>
      <c r="SH11" s="20" t="n">
        <f aca="false">IF(B11=0,IF(HU11=1,LT11,LU11),0)</f>
        <v>0</v>
      </c>
      <c r="SI11" s="20" t="n">
        <f aca="false">IF(EN11=1,IF(HU11=1,MA11+MD11,EO11-PE11)*(1+Slot13_Rate),0)</f>
        <v>0</v>
      </c>
      <c r="SJ11" s="20" t="n">
        <f aca="false">IF(AND(HU11=1,EN11=1),(LZ11+MD11)/F11,0)</f>
        <v>0</v>
      </c>
      <c r="SK11" s="20" t="n">
        <f aca="false">IF(B11=0,LZ11+MD11,0)</f>
        <v>0</v>
      </c>
      <c r="SL11" s="20" t="n">
        <f aca="false">IF(B11=0,IF(HU11=1,MB11,MC11),0)</f>
        <v>0</v>
      </c>
      <c r="SM11" s="20" t="n">
        <f aca="false">IF(EX11=1,IF(HU11=1,MI11+ML11,EY11-PC11)*(1+Slot14_Rate),0)</f>
        <v>0</v>
      </c>
      <c r="SN11" s="20" t="n">
        <f aca="false">IF(AND(HU11=1,EX11=1),(MH11+ML11)/F11,0)</f>
        <v>0</v>
      </c>
      <c r="SO11" s="20" t="n">
        <f aca="false">IF(B11=0,MH11+ML11,0)</f>
        <v>0</v>
      </c>
      <c r="SP11" s="20" t="n">
        <f aca="false">IF(B11=0,IF(HU11=1,MJ11,MK11),0)</f>
        <v>0</v>
      </c>
      <c r="SQ11" s="20" t="n">
        <f aca="false">IF(FH11=1,IF(HU11=1,MQ11+MT11,FI11-PA11)*(1+Slot15_Rate),0)</f>
        <v>0</v>
      </c>
      <c r="SR11" s="20" t="n">
        <f aca="false">IF(AND(HU11=1,FH11=1),(MP11+MT11)/F11,0)</f>
        <v>0</v>
      </c>
      <c r="SS11" s="20" t="n">
        <f aca="false">IF(B11=0,MP11+MT11,0)</f>
        <v>0</v>
      </c>
      <c r="ST11" s="20" t="n">
        <f aca="false">IF(B11=0,IF(HU11=1,MR11,MS11),0)</f>
        <v>0</v>
      </c>
      <c r="SU11" s="20" t="n">
        <f aca="false">IF(FR11=1,IF(HU11=1,MY11+NB11,FS11-OY11)*(1+Slot16_Rate),0)</f>
        <v>0</v>
      </c>
      <c r="SV11" s="20" t="n">
        <f aca="false">IF(AND(HU11=1,FR11=1),(MX11+NB11)/F11,0)</f>
        <v>0</v>
      </c>
      <c r="SW11" s="20" t="n">
        <f aca="false">IF(B11=0,MX11+NB11,0)</f>
        <v>0</v>
      </c>
      <c r="SX11" s="20" t="n">
        <f aca="false">IF(B11=0,IF(HU11=1,MZ11,NA11),0)</f>
        <v>0</v>
      </c>
      <c r="SY11" s="20" t="n">
        <f aca="false">IF(GB11=1,IF(HU11=1,NG11+NJ11,GC11-OW11)*(1+Slot17_Rate),0)</f>
        <v>0</v>
      </c>
      <c r="SZ11" s="20" t="n">
        <f aca="false">IF(AND(HU11=1,GB11=1),(NF11+NJ11)/F11,0)</f>
        <v>0</v>
      </c>
      <c r="TA11" s="20" t="n">
        <f aca="false">IF(B11=0,NF11+NJ11,0)</f>
        <v>0</v>
      </c>
      <c r="TB11" s="20" t="n">
        <f aca="false">IF(B11=0,IF(HU11=1,NH11,NI11),0)</f>
        <v>0</v>
      </c>
      <c r="TC11" s="20" t="n">
        <f aca="false">IF(GL11=1,IF(HU11=1,NO11+NR11,GM11-OU11)*(1+Slot18_Rate),0)</f>
        <v>0</v>
      </c>
      <c r="TD11" s="20" t="n">
        <f aca="false">IF(AND(HU11=1,GL11=1),(NN11+NR11)/F11,0)</f>
        <v>0</v>
      </c>
      <c r="TE11" s="20" t="n">
        <f aca="false">IF(B11=0,NN11+NR11,0)</f>
        <v>0</v>
      </c>
      <c r="TF11" s="20" t="n">
        <f aca="false">IF(B11=0,IF(HU11=1,NP11,NQ11),0)</f>
        <v>0</v>
      </c>
      <c r="TG11" s="20" t="n">
        <f aca="false">IF(GV11=1,IF(HU11=1,NW11+NZ11,GW11-OS11)*(1+Slot19_Rate),0)</f>
        <v>0</v>
      </c>
      <c r="TH11" s="20" t="n">
        <f aca="false">IF(AND(HU11=1,GV11=1),(NV11+NZ11)/F11,0)</f>
        <v>0</v>
      </c>
      <c r="TI11" s="20" t="n">
        <f aca="false">IF(B11=0,NV11+NZ11,0)</f>
        <v>0</v>
      </c>
      <c r="TJ11" s="20" t="n">
        <f aca="false">IF(B11=0,IF(HU11=1,NX11,NY11),0)</f>
        <v>0</v>
      </c>
      <c r="TK11" s="20" t="n">
        <f aca="false">IF(HF11=1,IF(HU11=1,OE11+OH11,HG11-OQ11)*(1+Slot20_Rate),0)</f>
        <v>0</v>
      </c>
      <c r="TL11" s="20" t="n">
        <f aca="false">IF(AND(HU11=1,HF11=1),(OD11+OH11)/F11,0)</f>
        <v>0</v>
      </c>
      <c r="TM11" s="20" t="n">
        <f aca="false">IF(B11=0,OD11+OH11,0)</f>
        <v>0</v>
      </c>
      <c r="TN11" s="20" t="n">
        <f aca="false">IF(B11=0,IF(HU11=1,OF11,OG11),0)</f>
        <v>0</v>
      </c>
      <c r="TO11" s="20" t="n">
        <f aca="false">QK11+QL11+QM11+QQ11+QU11+QY11+RC11+RG11+RK11+RO11+RS11+RW11+SA11+SE11+SI11+SM11+SQ11+SU11+SY11+TC11+TG11+TK11</f>
        <v>14144.0219043861</v>
      </c>
      <c r="TP11" s="20" t="n">
        <f aca="false">QE11+HP11</f>
        <v>4627.12977528001</v>
      </c>
      <c r="TQ11" s="20" t="n">
        <f aca="false">I11+S11</f>
        <v>62292.6165467148</v>
      </c>
      <c r="TR11" s="20" t="n">
        <f aca="false">1-G11</f>
        <v>0</v>
      </c>
      <c r="TS11" s="20" t="n">
        <f aca="false">IF(AND(RG_Exists=1,G11=0,C11=1),I11,0)</f>
        <v>0</v>
      </c>
      <c r="TT11" s="20" t="n">
        <f aca="false">IF(AND(RG_Exists=1,G11=0,C11=1),I11-MIN(QE11,I11),0)</f>
        <v>0</v>
      </c>
      <c r="TU11" s="20" t="n">
        <f aca="false">'Plan pay &amp; tax'!AD237</f>
        <v>113737.412145</v>
      </c>
      <c r="TV11" s="20" t="n">
        <f aca="false">IF(AND(C11=1,QE11&gt;MAX(PR_Short1,TQ11*PR_Short2)),1,0)</f>
        <v>0</v>
      </c>
      <c r="TW11" s="20" t="n">
        <f aca="false">MIN(H11,I11+S11)</f>
        <v>62292.6165467148</v>
      </c>
      <c r="TX11" s="20" t="n">
        <f aca="false">QF11+MAX(0,HQ11-HP11)</f>
        <v>8107.36622472</v>
      </c>
      <c r="TY11" s="20" t="n">
        <f aca="false">QE11+HP11</f>
        <v>4627.12977528001</v>
      </c>
      <c r="TZ11" s="20" t="n">
        <f aca="false">IF(AND(C11=1,TY11&gt;PR_MinShort),1,0)</f>
        <v>1</v>
      </c>
      <c r="UA11" s="20" t="n">
        <f aca="false">IF(AND(C11=1,TZ11=0,TX11&gt;PR_MinShort),1,0)</f>
        <v>0</v>
      </c>
      <c r="UB11" s="20" t="n">
        <f aca="false">IF(AND(C11=1,QE11&gt;PR_MinShort),1,0)</f>
        <v>0</v>
      </c>
      <c r="UC11" s="20" t="n">
        <f aca="false">IF(AND(C11=1,QF11&gt;1,UJ11=0),1,0)</f>
        <v>0</v>
      </c>
      <c r="UD11" s="20" t="str">
        <f aca="false">IF(C11=0,"",IF(UJ11=1,"Gap to plan for: short "&amp;"€"&amp;TEXT(ROUND(TP11,0),"#,##0"),IF(QF11&gt;1,"Using savings","Comfortable")))</f>
        <v>Gap to plan for: short €4,627</v>
      </c>
      <c r="UE11" s="20" t="n">
        <f aca="false">IF(AND(INT(D11/10)*10=90,B11&gt;0),80,INT(D11/10)*10)</f>
        <v>40</v>
      </c>
      <c r="UF11" s="20" t="n">
        <f aca="false">IF(B11=0,1,IF(UE11&lt;&gt;UE10,UF10+1,UF10))</f>
        <v>2</v>
      </c>
      <c r="UG11" s="20" t="n">
        <f aca="false">IF(AND(C11=1,G11=1,QE11&gt;MAX(PR_Short1,TQ11*PR_Short2)),1,0)</f>
        <v>0</v>
      </c>
      <c r="UH11" s="20" t="n">
        <f aca="false">TR11*TV11</f>
        <v>0</v>
      </c>
      <c r="UI11" s="20" t="n">
        <f aca="false">IF(AND(V11=1,Slot1_PctLow=1),1,0)+IF(AND(AG11=1,Slot2_PctLow=1),1,0)+IF(AND(AQ11=1,Slot3_PctLow=1),1,0)+IF(AND(BA11=1,Slot4_PctLow=1),1,0)+IF(AND(BK11=1,Slot5_PctLow=1),1,0)+IF(AND(BU11=1,Slot6_PctLow=1),1,0)+IF(AND(CE11=1,Slot7_PctLow=1),1,0)+IF(AND(CO11=1,Slot8_PctLow=1),1,0)+IF(AND(CY11=1,Slot9_PctLow=1),1,0)+IF(AND(DI11=1,Slot10_PctLow=1),1,0)+IF(AND(DS11=1,Slot11_PctLow=1),1,0)+IF(AND(EC11=1,Slot12_PctLow=1),1,0)+IF(AND(EM11=1,Slot13_PctLow=1),1,0)+IF(AND(EW11=1,Slot14_PctLow=1),1,0)+IF(AND(FG11=1,Slot15_PctLow=1),1,0)+IF(AND(FQ11=1,Slot16_PctLow=1),1,0)+IF(AND(GA11=1,Slot17_PctLow=1),1,0)+IF(AND(GK11=1,Slot18_PctLow=1),1,0)+IF(AND(GU11=1,Slot19_PctLow=1),1,0)+IF(AND(HE11=1,Slot20_PctLow=1),1,0)</f>
        <v>1</v>
      </c>
      <c r="UJ11" s="20" t="n">
        <f aca="false">IF(C11=1,IF(OR(TV11=1,UI11&gt;0),1,0),0)</f>
        <v>1</v>
      </c>
      <c r="UK11" s="20" t="n">
        <f aca="false">Z11+AK11+AU11+BE11+BO11+BY11+CI11+CS11+DC11+DM11+DW11+EG11+EQ11+FA11+FK11+FU11+GE11+GO11+GY11+HI11+OM11</f>
        <v>0</v>
      </c>
      <c r="UL11" s="20" t="n">
        <f aca="false">V11*IF(Slot1_SpendLike=1,X11-Y11,IF(Slot1_PotFree=1,X11,0))+AG11*IF(Slot2_SpendLike=1,AI11-AJ11,IF(Slot2_PotFree=1,AI11,0))+AQ11*IF(Slot3_SpendLike=1,AS11-AT11,IF(Slot3_PotFree=1,AS11,0))+BA11*IF(Slot4_SpendLike=1,BC11-BD11,IF(Slot4_PotFree=1,BC11,0))+BK11*IF(Slot5_SpendLike=1,BM11-BN11,IF(Slot5_PotFree=1,BM11,0))+BU11*IF(Slot6_SpendLike=1,BW11-BX11,IF(Slot6_PotFree=1,BW11,0))+CE11*IF(Slot7_SpendLike=1,CG11-CH11,IF(Slot7_PotFree=1,CG11,0))+CO11*IF(Slot8_SpendLike=1,CQ11-CR11,IF(Slot8_PotFree=1,CQ11,0))+CY11*IF(Slot9_SpendLike=1,DA11-DB11,IF(Slot9_PotFree=1,DA11,0))+DI11*IF(Slot10_SpendLike=1,DK11-DL11,IF(Slot10_PotFree=1,DK11,0))+DS11*IF(Slot11_SpendLike=1,DU11-DV11,IF(Slot11_PotFree=1,DU11,0))+EC11*IF(Slot12_SpendLike=1,EE11-EF11,IF(Slot12_PotFree=1,EE11,0))+EM11*IF(Slot13_SpendLike=1,EO11-EP11,IF(Slot13_PotFree=1,EO11,0))+EW11*IF(Slot14_SpendLike=1,EY11-EZ11,IF(Slot14_PotFree=1,EY11,0))+FG11*IF(Slot15_SpendLike=1,FI11-FJ11,IF(Slot15_PotFree=1,FI11,0))+FQ11*IF(Slot16_SpendLike=1,FS11-FT11,IF(Slot16_PotFree=1,FS11,0))+GA11*IF(Slot17_SpendLike=1,GC11-GD11,IF(Slot17_PotFree=1,GC11,0))+GK11*IF(Slot18_SpendLike=1,GM11-GN11,IF(Slot18_PotFree=1,GM11,0))+GU11*IF(Slot19_SpendLike=1,GW11-GX11,IF(Slot19_PotFree=1,GW11,0))+HE11*IF(Slot20_SpendLike=1,HG11-HH11,IF(Slot20_PotFree=1,HG11,0))</f>
        <v>0</v>
      </c>
      <c r="UM11" s="20" t="n">
        <f aca="false">QG11-T11+UK11-UL11</f>
        <v>0</v>
      </c>
      <c r="UN11" s="20" t="n">
        <f aca="false">IF(OR(UN10=1,AND(In_homeUse="Yes, I'd downsize",In_downAge&gt;0,D11=In_downAge,OR(In_home="Own outright",In_home="Own with mortgage"),In_homeValue&gt;0)),1,0)</f>
        <v>0</v>
      </c>
    </row>
    <row r="12" customFormat="false" ht="15" hidden="false" customHeight="true" outlineLevel="0" collapsed="false">
      <c r="B12" s="20" t="n">
        <v>4</v>
      </c>
      <c r="C12" s="20" t="n">
        <f aca="false">IF(B12&lt;=F_N,1,0)</f>
        <v>1</v>
      </c>
      <c r="D12" s="20" t="n">
        <f aca="false">'Plan pay &amp; tax'!C238</f>
        <v>42</v>
      </c>
      <c r="E12" s="20" t="str">
        <f aca="false">IF($C12=1,"Income tax "&amp;TEXT(N('Plan pay &amp; tax'!BK238),"#,##0")&amp;"; USC "&amp;TEXT(N('Plan pay &amp; tax'!BM238)+N('Plan pay &amp; tax'!BO238),"#,##0")&amp;"; PRSI "&amp;TEXT(N('Plan pay &amp; tax'!BP238)+N('Plan pay &amp; tax'!BQ238),"#,##0")&amp;IF(N('Plan holdings'!BO12)&gt;=0.5,"; DIRT "&amp;TEXT(('Plan holdings'!BO12)/$F12,"#,##0")&amp;" (already taken from the interest earned)","")&amp;IF(N('Plan holdings'!BP12)&gt;=0.5,"; exit tax at an 8-year anniversary "&amp;TEXT(('Plan holdings'!BP12)/$F12,"#,##0"),"")&amp;IF(N('Plan holdings'!BN12)&gt;=0.5,"; tax on assets sold (exit tax or capital gains tax) "&amp;TEXT(('Plan holdings'!BN12)/$F12,"#,##0"),"")&amp;IF(N('Plan pay &amp; tax'!X238)-N('Plan pay &amp; tax'!Y238)&gt;=0.5,"; tax on the pension lump sum "&amp;TEXT(('Plan pay &amp; tax'!X238-'Plan pay &amp; tax'!Y238)/$F12,"#,##0"),"")&amp;IF(N('Plan pay &amp; tax'!V238)&gt;=0.5,"; chargeable excess tax on the pension "&amp;TEXT(('Plan pay &amp; tax'!V238)/$F12,"#,##0"),"")&amp;".","")</f>
        <v>Income tax 10,601; USC 1,619; PRSI 3,910; DIRT 53 (already taken from the interest earned).</v>
      </c>
      <c r="F12" s="50" t="n">
        <f aca="false">'Plan pay &amp; tax'!E238</f>
        <v>1.08243216</v>
      </c>
      <c r="G12" s="20" t="n">
        <f aca="false">'Plan pay &amp; tax'!G238</f>
        <v>1</v>
      </c>
      <c r="H12" s="20" t="n">
        <f aca="false">'Plan pay &amp; tax'!BT238-'Plan pay &amp; tax'!BS238-'Plan pay &amp; tax'!R238</f>
        <v>69069.7703913776</v>
      </c>
      <c r="I12" s="20" t="n">
        <f aca="false">IF(G12=1,F_CostsM*12,IF(RG_Exists=1,RG_Amount,F_CostsM*12*AS_RetireSpend))*F12+F_OneOffY*F12</f>
        <v>48709.4472</v>
      </c>
      <c r="J12" s="20" t="n">
        <f aca="false">IF(UN12=1,0,HR11)</f>
        <v>176427.322852906</v>
      </c>
      <c r="K12" s="20" t="n">
        <f aca="false">IF(J12&gt;1,'Plan debt months'!AC12,0)</f>
        <v>14160</v>
      </c>
      <c r="L12" s="20" t="n">
        <f aca="false">IF(J12&gt;1,'Plan debt months'!AB12,J12)</f>
        <v>168928.367821573</v>
      </c>
      <c r="M12" s="20" t="n">
        <f aca="false">O11</f>
        <v>0</v>
      </c>
      <c r="N12" s="20" t="n">
        <f aca="false">IF(M12&gt;1,'Plan debt months'!BD12,0)</f>
        <v>0</v>
      </c>
      <c r="O12" s="20" t="n">
        <f aca="false">IF(M12&gt;1,'Plan debt months'!BC12,M12)</f>
        <v>0</v>
      </c>
      <c r="P12" s="20" t="n">
        <f aca="false">R11</f>
        <v>0</v>
      </c>
      <c r="Q12" s="20" t="n">
        <f aca="false">IF(P12&gt;1,'Plan debt months'!CE12,0)</f>
        <v>0</v>
      </c>
      <c r="R12" s="20" t="n">
        <f aca="false">IF(P12&gt;1,'Plan debt months'!CD12,P12)</f>
        <v>0</v>
      </c>
      <c r="S12" s="20" t="n">
        <f aca="false">K12+N12+Q12</f>
        <v>14160</v>
      </c>
      <c r="T12" s="57" t="n">
        <f aca="false">'Plan holdings'!Y12</f>
        <v>0</v>
      </c>
      <c r="U12" s="57" t="n">
        <f aca="false">'Plan holdings'!BM11</f>
        <v>0</v>
      </c>
      <c r="V12" s="20" t="n">
        <f aca="false">IF(AND(Slot1_On=1,D12=Slot1_Age),1,0)</f>
        <v>0</v>
      </c>
      <c r="W12" s="20" t="n">
        <f aca="false">IF(AND(Slot1_On=1,Slot1_Age&gt;D12),1,0)</f>
        <v>0</v>
      </c>
      <c r="X12" s="20" t="n">
        <f aca="false">QM11</f>
        <v>0</v>
      </c>
      <c r="Y12" s="20" t="n">
        <f aca="false">V12*MIN(Slot1_Cost,X12)</f>
        <v>0</v>
      </c>
      <c r="Z12" s="20" t="n">
        <f aca="false">V12*Slot1_SpendLike*MIN(Slot1_Cost-Y12,T12)</f>
        <v>0</v>
      </c>
      <c r="AA12" s="20" t="n">
        <f aca="false">Y12+Z12</f>
        <v>0</v>
      </c>
      <c r="AB12" s="20" t="n">
        <f aca="false">T12-Z12+V12*IF(Slot1_SpendLike=1,X12-Y12,IF(Slot1_PotFree=1,X12,0))</f>
        <v>0</v>
      </c>
      <c r="AC12" s="20" t="n">
        <f aca="false">AF12+V12*Slot1_BufPot*X12</f>
        <v>11607.1481860813</v>
      </c>
      <c r="AD12" s="20" t="n">
        <f aca="false">IF(AND(V12=1,Slot1_IsMfree=1),IF(AA12&gt;=Slot1_Cost-1,0,MAX(0,L12-AA12)),L12)</f>
        <v>168928.367821573</v>
      </c>
      <c r="AE12" s="20" t="n">
        <f aca="false">V12*(Slot1_Cost-AA12)</f>
        <v>0</v>
      </c>
      <c r="AF12" s="20" t="n">
        <f aca="false">QL11</f>
        <v>11607.1481860813</v>
      </c>
      <c r="AG12" s="20" t="n">
        <f aca="false">IF(AND(Slot2_On=1,D12=Slot2_Age),1,0)</f>
        <v>0</v>
      </c>
      <c r="AH12" s="20" t="n">
        <f aca="false">IF(AND(Slot2_On=1,Slot2_Age&gt;D12),1,0)</f>
        <v>0</v>
      </c>
      <c r="AI12" s="20" t="n">
        <f aca="false">QQ11</f>
        <v>0</v>
      </c>
      <c r="AJ12" s="20" t="n">
        <f aca="false">AG12*MIN(Slot2_Cost,AI12)</f>
        <v>0</v>
      </c>
      <c r="AK12" s="20" t="n">
        <f aca="false">AG12*Slot2_SpendLike*MIN(Slot2_Cost-AJ12,AB12)</f>
        <v>0</v>
      </c>
      <c r="AL12" s="20" t="n">
        <f aca="false">AJ12+AK12</f>
        <v>0</v>
      </c>
      <c r="AM12" s="20" t="n">
        <f aca="false">AB12-AK12+AG12*IF(Slot2_SpendLike=1,AI12-AJ12,IF(Slot2_PotFree=1,AI12,0))</f>
        <v>0</v>
      </c>
      <c r="AN12" s="20" t="n">
        <f aca="false">AC12+AG12*Slot2_BufPot*AI12</f>
        <v>11607.1481860813</v>
      </c>
      <c r="AO12" s="20" t="n">
        <f aca="false">IF(AND(AG12=1,Slot2_IsMfree=1),IF(AL12&gt;=Slot2_Cost-1,0,MAX(0,AD12-AL12)),AD12)</f>
        <v>168928.367821573</v>
      </c>
      <c r="AP12" s="20" t="n">
        <f aca="false">AG12*(Slot2_Cost-AL12)</f>
        <v>0</v>
      </c>
      <c r="AQ12" s="20" t="n">
        <f aca="false">IF(AND(Slot3_On=1,D12=Slot3_Age),1,0)</f>
        <v>0</v>
      </c>
      <c r="AR12" s="20" t="n">
        <f aca="false">IF(AND(Slot3_On=1,Slot3_Age&gt;D12),1,0)</f>
        <v>1</v>
      </c>
      <c r="AS12" s="20" t="n">
        <f aca="false">QU11</f>
        <v>2536.87371830475</v>
      </c>
      <c r="AT12" s="20" t="n">
        <f aca="false">AQ12*MIN(Slot3_Cost,AS12)</f>
        <v>0</v>
      </c>
      <c r="AU12" s="20" t="n">
        <f aca="false">AQ12*Slot3_SpendLike*MIN(Slot3_Cost-AT12,AM12)</f>
        <v>0</v>
      </c>
      <c r="AV12" s="20" t="n">
        <f aca="false">AT12+AU12</f>
        <v>0</v>
      </c>
      <c r="AW12" s="20" t="n">
        <f aca="false">AM12-AU12+AQ12*IF(Slot3_SpendLike=1,AS12-AT12,IF(Slot3_PotFree=1,AS12,0))</f>
        <v>0</v>
      </c>
      <c r="AX12" s="20" t="n">
        <f aca="false">AN12+AQ12*Slot3_BufPot*AS12</f>
        <v>11607.1481860813</v>
      </c>
      <c r="AY12" s="20" t="n">
        <f aca="false">IF(AND(AQ12=1,Slot3_IsMfree=1),IF(AV12&gt;=Slot3_Cost-1,0,MAX(0,AO12-AV12)),AO12)</f>
        <v>168928.367821573</v>
      </c>
      <c r="AZ12" s="20" t="n">
        <f aca="false">AQ12*(Slot3_Cost-AV12)</f>
        <v>0</v>
      </c>
      <c r="BA12" s="20" t="n">
        <f aca="false">IF(AND(Slot4_On=1,D12=Slot4_Age),1,0)</f>
        <v>0</v>
      </c>
      <c r="BB12" s="20" t="n">
        <f aca="false">IF(AND(Slot4_On=1,Slot4_Age&gt;D12),1,0)</f>
        <v>1</v>
      </c>
      <c r="BC12" s="20" t="n">
        <f aca="false">QY11</f>
        <v>0</v>
      </c>
      <c r="BD12" s="20" t="n">
        <f aca="false">BA12*MIN(Slot4_Cost,BC12)</f>
        <v>0</v>
      </c>
      <c r="BE12" s="20" t="n">
        <f aca="false">BA12*Slot4_SpendLike*MIN(Slot4_Cost-BD12,AW12)</f>
        <v>0</v>
      </c>
      <c r="BF12" s="20" t="n">
        <f aca="false">BD12+BE12</f>
        <v>0</v>
      </c>
      <c r="BG12" s="20" t="n">
        <f aca="false">AW12-BE12+BA12*IF(Slot4_SpendLike=1,BC12-BD12,IF(Slot4_PotFree=1,BC12,0))</f>
        <v>0</v>
      </c>
      <c r="BH12" s="20" t="n">
        <f aca="false">AX12+BA12*Slot4_BufPot*BC12</f>
        <v>11607.1481860813</v>
      </c>
      <c r="BI12" s="20" t="n">
        <f aca="false">IF(AND(BA12=1,Slot4_IsMfree=1),IF(BF12&gt;=Slot4_Cost-1,0,MAX(0,AY12-BF12)),AY12)</f>
        <v>168928.367821573</v>
      </c>
      <c r="BJ12" s="20" t="n">
        <f aca="false">BA12*(Slot4_Cost-BF12)</f>
        <v>0</v>
      </c>
      <c r="BK12" s="20" t="n">
        <f aca="false">IF(AND(Slot5_On=1,D12=Slot5_Age),1,0)</f>
        <v>0</v>
      </c>
      <c r="BL12" s="20" t="n">
        <f aca="false">IF(AND(Slot5_On=1,Slot5_Age&gt;D12),1,0)</f>
        <v>0</v>
      </c>
      <c r="BM12" s="20" t="n">
        <f aca="false">RC11</f>
        <v>0</v>
      </c>
      <c r="BN12" s="20" t="n">
        <f aca="false">BK12*MIN(Slot5_Cost,BM12)</f>
        <v>0</v>
      </c>
      <c r="BO12" s="20" t="n">
        <f aca="false">BK12*Slot5_SpendLike*MIN(Slot5_Cost-BN12,BG12)</f>
        <v>0</v>
      </c>
      <c r="BP12" s="20" t="n">
        <f aca="false">BN12+BO12</f>
        <v>0</v>
      </c>
      <c r="BQ12" s="20" t="n">
        <f aca="false">BG12-BO12+BK12*IF(Slot5_SpendLike=1,BM12-BN12,IF(Slot5_PotFree=1,BM12,0))</f>
        <v>0</v>
      </c>
      <c r="BR12" s="20" t="n">
        <f aca="false">BH12+BK12*Slot5_BufPot*BM12</f>
        <v>11607.1481860813</v>
      </c>
      <c r="BS12" s="20" t="n">
        <f aca="false">IF(AND(BK12=1,Slot5_IsMfree=1),IF(BP12&gt;=Slot5_Cost-1,0,MAX(0,BI12-BP12)),BI12)</f>
        <v>168928.367821573</v>
      </c>
      <c r="BT12" s="20" t="n">
        <f aca="false">BK12*(Slot5_Cost-BP12)</f>
        <v>0</v>
      </c>
      <c r="BU12" s="20" t="n">
        <f aca="false">IF(AND(Slot6_On=1,D12=Slot6_Age),1,0)</f>
        <v>0</v>
      </c>
      <c r="BV12" s="20" t="n">
        <f aca="false">IF(AND(Slot6_On=1,Slot6_Age&gt;D12),1,0)</f>
        <v>0</v>
      </c>
      <c r="BW12" s="20" t="n">
        <f aca="false">RG11</f>
        <v>0</v>
      </c>
      <c r="BX12" s="20" t="n">
        <f aca="false">BU12*MIN(Slot6_Cost,BW12)</f>
        <v>0</v>
      </c>
      <c r="BY12" s="20" t="n">
        <f aca="false">BU12*Slot6_SpendLike*MIN(Slot6_Cost-BX12,BQ12)</f>
        <v>0</v>
      </c>
      <c r="BZ12" s="20" t="n">
        <f aca="false">BX12+BY12</f>
        <v>0</v>
      </c>
      <c r="CA12" s="20" t="n">
        <f aca="false">BQ12-BY12+BU12*IF(Slot6_SpendLike=1,BW12-BX12,IF(Slot6_PotFree=1,BW12,0))</f>
        <v>0</v>
      </c>
      <c r="CB12" s="20" t="n">
        <f aca="false">BR12+BU12*Slot6_BufPot*BW12</f>
        <v>11607.1481860813</v>
      </c>
      <c r="CC12" s="20" t="n">
        <f aca="false">IF(AND(BU12=1,Slot6_IsMfree=1),IF(BZ12&gt;=Slot6_Cost-1,0,MAX(0,BS12-BZ12)),BS12)</f>
        <v>168928.367821573</v>
      </c>
      <c r="CD12" s="20" t="n">
        <f aca="false">BU12*(Slot6_Cost-BZ12)</f>
        <v>0</v>
      </c>
      <c r="CE12" s="20" t="n">
        <f aca="false">IF(AND(Slot7_On=1,D12=Slot7_Age),1,0)</f>
        <v>0</v>
      </c>
      <c r="CF12" s="20" t="n">
        <f aca="false">IF(AND(Slot7_On=1,Slot7_Age&gt;D12),1,0)</f>
        <v>0</v>
      </c>
      <c r="CG12" s="20" t="n">
        <f aca="false">RK11</f>
        <v>0</v>
      </c>
      <c r="CH12" s="20" t="n">
        <f aca="false">CE12*MIN(Slot7_Cost,CG12)</f>
        <v>0</v>
      </c>
      <c r="CI12" s="20" t="n">
        <f aca="false">CE12*Slot7_SpendLike*MIN(Slot7_Cost-CH12,CA12)</f>
        <v>0</v>
      </c>
      <c r="CJ12" s="20" t="n">
        <f aca="false">CH12+CI12</f>
        <v>0</v>
      </c>
      <c r="CK12" s="20" t="n">
        <f aca="false">CA12-CI12+CE12*IF(Slot7_SpendLike=1,CG12-CH12,IF(Slot7_PotFree=1,CG12,0))</f>
        <v>0</v>
      </c>
      <c r="CL12" s="20" t="n">
        <f aca="false">CB12+CE12*Slot7_BufPot*CG12</f>
        <v>11607.1481860813</v>
      </c>
      <c r="CM12" s="20" t="n">
        <f aca="false">IF(AND(CE12=1,Slot7_IsMfree=1),IF(CJ12&gt;=Slot7_Cost-1,0,MAX(0,CC12-CJ12)),CC12)</f>
        <v>168928.367821573</v>
      </c>
      <c r="CN12" s="20" t="n">
        <f aca="false">CE12*(Slot7_Cost-CJ12)</f>
        <v>0</v>
      </c>
      <c r="CO12" s="20" t="n">
        <f aca="false">IF(AND(Slot8_On=1,D12=Slot8_Age),1,0)</f>
        <v>0</v>
      </c>
      <c r="CP12" s="20" t="n">
        <f aca="false">IF(AND(Slot8_On=1,Slot8_Age&gt;D12),1,0)</f>
        <v>0</v>
      </c>
      <c r="CQ12" s="20" t="n">
        <f aca="false">RO11</f>
        <v>0</v>
      </c>
      <c r="CR12" s="20" t="n">
        <f aca="false">CO12*MIN(Slot8_Cost,CQ12)</f>
        <v>0</v>
      </c>
      <c r="CS12" s="20" t="n">
        <f aca="false">CO12*Slot8_SpendLike*MIN(Slot8_Cost-CR12,CK12)</f>
        <v>0</v>
      </c>
      <c r="CT12" s="20" t="n">
        <f aca="false">CR12+CS12</f>
        <v>0</v>
      </c>
      <c r="CU12" s="20" t="n">
        <f aca="false">CK12-CS12+CO12*IF(Slot8_SpendLike=1,CQ12-CR12,IF(Slot8_PotFree=1,CQ12,0))</f>
        <v>0</v>
      </c>
      <c r="CV12" s="20" t="n">
        <f aca="false">CL12+CO12*Slot8_BufPot*CQ12</f>
        <v>11607.1481860813</v>
      </c>
      <c r="CW12" s="20" t="n">
        <f aca="false">IF(AND(CO12=1,Slot8_IsMfree=1),IF(CT12&gt;=Slot8_Cost-1,0,MAX(0,CM12-CT12)),CM12)</f>
        <v>168928.367821573</v>
      </c>
      <c r="CX12" s="20" t="n">
        <f aca="false">CO12*(Slot8_Cost-CT12)</f>
        <v>0</v>
      </c>
      <c r="CY12" s="20" t="n">
        <f aca="false">IF(AND(Slot9_On=1,D12=Slot9_Age),1,0)</f>
        <v>0</v>
      </c>
      <c r="CZ12" s="20" t="n">
        <f aca="false">IF(AND(Slot9_On=1,Slot9_Age&gt;D12),1,0)</f>
        <v>0</v>
      </c>
      <c r="DA12" s="20" t="n">
        <f aca="false">RS11</f>
        <v>0</v>
      </c>
      <c r="DB12" s="20" t="n">
        <f aca="false">CY12*MIN(Slot9_Cost,DA12)</f>
        <v>0</v>
      </c>
      <c r="DC12" s="20" t="n">
        <f aca="false">CY12*Slot9_SpendLike*MIN(Slot9_Cost-DB12,CU12)</f>
        <v>0</v>
      </c>
      <c r="DD12" s="20" t="n">
        <f aca="false">DB12+DC12</f>
        <v>0</v>
      </c>
      <c r="DE12" s="20" t="n">
        <f aca="false">CU12-DC12+CY12*IF(Slot9_SpendLike=1,DA12-DB12,IF(Slot9_PotFree=1,DA12,0))</f>
        <v>0</v>
      </c>
      <c r="DF12" s="20" t="n">
        <f aca="false">CV12+CY12*Slot9_BufPot*DA12</f>
        <v>11607.1481860813</v>
      </c>
      <c r="DG12" s="20" t="n">
        <f aca="false">IF(AND(CY12=1,Slot9_IsMfree=1),IF(DD12&gt;=Slot9_Cost-1,0,MAX(0,CW12-DD12)),CW12)</f>
        <v>168928.367821573</v>
      </c>
      <c r="DH12" s="20" t="n">
        <f aca="false">CY12*(Slot9_Cost-DD12)</f>
        <v>0</v>
      </c>
      <c r="DI12" s="20" t="n">
        <f aca="false">IF(AND(Slot10_On=1,D12=Slot10_Age),1,0)</f>
        <v>0</v>
      </c>
      <c r="DJ12" s="20" t="n">
        <f aca="false">IF(AND(Slot10_On=1,Slot10_Age&gt;D12),1,0)</f>
        <v>0</v>
      </c>
      <c r="DK12" s="20" t="n">
        <f aca="false">RW11</f>
        <v>0</v>
      </c>
      <c r="DL12" s="20" t="n">
        <f aca="false">DI12*MIN(Slot10_Cost,DK12)</f>
        <v>0</v>
      </c>
      <c r="DM12" s="20" t="n">
        <f aca="false">DI12*Slot10_SpendLike*MIN(Slot10_Cost-DL12,DE12)</f>
        <v>0</v>
      </c>
      <c r="DN12" s="20" t="n">
        <f aca="false">DL12+DM12</f>
        <v>0</v>
      </c>
      <c r="DO12" s="20" t="n">
        <f aca="false">DE12-DM12+DI12*IF(Slot10_SpendLike=1,DK12-DL12,IF(Slot10_PotFree=1,DK12,0))</f>
        <v>0</v>
      </c>
      <c r="DP12" s="20" t="n">
        <f aca="false">DF12+DI12*Slot10_BufPot*DK12</f>
        <v>11607.1481860813</v>
      </c>
      <c r="DQ12" s="20" t="n">
        <f aca="false">IF(AND(DI12=1,Slot10_IsMfree=1),IF(DN12&gt;=Slot10_Cost-1,0,MAX(0,DG12-DN12)),DG12)</f>
        <v>168928.367821573</v>
      </c>
      <c r="DR12" s="20" t="n">
        <f aca="false">DI12*(Slot10_Cost-DN12)</f>
        <v>0</v>
      </c>
      <c r="DS12" s="20" t="n">
        <f aca="false">IF(AND(Slot11_On=1,D12=Slot11_Age),1,0)</f>
        <v>0</v>
      </c>
      <c r="DT12" s="20" t="n">
        <f aca="false">IF(AND(Slot11_On=1,Slot11_Age&gt;D12),1,0)</f>
        <v>0</v>
      </c>
      <c r="DU12" s="20" t="n">
        <f aca="false">SA11</f>
        <v>0</v>
      </c>
      <c r="DV12" s="20" t="n">
        <f aca="false">DS12*MIN(Slot11_Cost,DU12)</f>
        <v>0</v>
      </c>
      <c r="DW12" s="20" t="n">
        <f aca="false">DS12*Slot11_SpendLike*MIN(Slot11_Cost-DV12,DO12)</f>
        <v>0</v>
      </c>
      <c r="DX12" s="20" t="n">
        <f aca="false">DV12+DW12</f>
        <v>0</v>
      </c>
      <c r="DY12" s="20" t="n">
        <f aca="false">DO12-DW12+DS12*IF(Slot11_SpendLike=1,DU12-DV12,IF(Slot11_PotFree=1,DU12,0))</f>
        <v>0</v>
      </c>
      <c r="DZ12" s="20" t="n">
        <f aca="false">DP12+DS12*Slot11_BufPot*DU12</f>
        <v>11607.1481860813</v>
      </c>
      <c r="EA12" s="20" t="n">
        <f aca="false">IF(AND(DS12=1,Slot11_IsMfree=1),IF(DX12&gt;=Slot11_Cost-1,0,MAX(0,DQ12-DX12)),DQ12)</f>
        <v>168928.367821573</v>
      </c>
      <c r="EB12" s="20" t="n">
        <f aca="false">DS12*(Slot11_Cost-DX12)</f>
        <v>0</v>
      </c>
      <c r="EC12" s="20" t="n">
        <f aca="false">IF(AND(Slot12_On=1,D12=Slot12_Age),1,0)</f>
        <v>0</v>
      </c>
      <c r="ED12" s="20" t="n">
        <f aca="false">IF(AND(Slot12_On=1,Slot12_Age&gt;D12),1,0)</f>
        <v>0</v>
      </c>
      <c r="EE12" s="20" t="n">
        <f aca="false">SE11</f>
        <v>0</v>
      </c>
      <c r="EF12" s="20" t="n">
        <f aca="false">EC12*MIN(Slot12_Cost,EE12)</f>
        <v>0</v>
      </c>
      <c r="EG12" s="20" t="n">
        <f aca="false">EC12*Slot12_SpendLike*MIN(Slot12_Cost-EF12,DY12)</f>
        <v>0</v>
      </c>
      <c r="EH12" s="20" t="n">
        <f aca="false">EF12+EG12</f>
        <v>0</v>
      </c>
      <c r="EI12" s="20" t="n">
        <f aca="false">DY12-EG12+EC12*IF(Slot12_SpendLike=1,EE12-EF12,IF(Slot12_PotFree=1,EE12,0))</f>
        <v>0</v>
      </c>
      <c r="EJ12" s="20" t="n">
        <f aca="false">DZ12+EC12*Slot12_BufPot*EE12</f>
        <v>11607.1481860813</v>
      </c>
      <c r="EK12" s="20" t="n">
        <f aca="false">IF(AND(EC12=1,Slot12_IsMfree=1),IF(EH12&gt;=Slot12_Cost-1,0,MAX(0,EA12-EH12)),EA12)</f>
        <v>168928.367821573</v>
      </c>
      <c r="EL12" s="20" t="n">
        <f aca="false">EC12*(Slot12_Cost-EH12)</f>
        <v>0</v>
      </c>
      <c r="EM12" s="20" t="n">
        <f aca="false">IF(AND(Slot13_On=1,D12=Slot13_Age),1,0)</f>
        <v>0</v>
      </c>
      <c r="EN12" s="20" t="n">
        <f aca="false">IF(AND(Slot13_On=1,Slot13_Age&gt;D12),1,0)</f>
        <v>0</v>
      </c>
      <c r="EO12" s="20" t="n">
        <f aca="false">SI11</f>
        <v>0</v>
      </c>
      <c r="EP12" s="20" t="n">
        <f aca="false">EM12*MIN(Slot13_Cost,EO12)</f>
        <v>0</v>
      </c>
      <c r="EQ12" s="20" t="n">
        <f aca="false">EM12*Slot13_SpendLike*MIN(Slot13_Cost-EP12,EI12)</f>
        <v>0</v>
      </c>
      <c r="ER12" s="20" t="n">
        <f aca="false">EP12+EQ12</f>
        <v>0</v>
      </c>
      <c r="ES12" s="20" t="n">
        <f aca="false">EI12-EQ12+EM12*IF(Slot13_SpendLike=1,EO12-EP12,IF(Slot13_PotFree=1,EO12,0))</f>
        <v>0</v>
      </c>
      <c r="ET12" s="20" t="n">
        <f aca="false">EJ12+EM12*Slot13_BufPot*EO12</f>
        <v>11607.1481860813</v>
      </c>
      <c r="EU12" s="20" t="n">
        <f aca="false">IF(AND(EM12=1,Slot13_IsMfree=1),IF(ER12&gt;=Slot13_Cost-1,0,MAX(0,EK12-ER12)),EK12)</f>
        <v>168928.367821573</v>
      </c>
      <c r="EV12" s="20" t="n">
        <f aca="false">EM12*(Slot13_Cost-ER12)</f>
        <v>0</v>
      </c>
      <c r="EW12" s="20" t="n">
        <f aca="false">IF(AND(Slot14_On=1,D12=Slot14_Age),1,0)</f>
        <v>0</v>
      </c>
      <c r="EX12" s="20" t="n">
        <f aca="false">IF(AND(Slot14_On=1,Slot14_Age&gt;D12),1,0)</f>
        <v>0</v>
      </c>
      <c r="EY12" s="20" t="n">
        <f aca="false">SM11</f>
        <v>0</v>
      </c>
      <c r="EZ12" s="20" t="n">
        <f aca="false">EW12*MIN(Slot14_Cost,EY12)</f>
        <v>0</v>
      </c>
      <c r="FA12" s="20" t="n">
        <f aca="false">EW12*Slot14_SpendLike*MIN(Slot14_Cost-EZ12,ES12)</f>
        <v>0</v>
      </c>
      <c r="FB12" s="20" t="n">
        <f aca="false">EZ12+FA12</f>
        <v>0</v>
      </c>
      <c r="FC12" s="20" t="n">
        <f aca="false">ES12-FA12+EW12*IF(Slot14_SpendLike=1,EY12-EZ12,IF(Slot14_PotFree=1,EY12,0))</f>
        <v>0</v>
      </c>
      <c r="FD12" s="20" t="n">
        <f aca="false">ET12+EW12*Slot14_BufPot*EY12</f>
        <v>11607.1481860813</v>
      </c>
      <c r="FE12" s="20" t="n">
        <f aca="false">IF(AND(EW12=1,Slot14_IsMfree=1),IF(FB12&gt;=Slot14_Cost-1,0,MAX(0,EU12-FB12)),EU12)</f>
        <v>168928.367821573</v>
      </c>
      <c r="FF12" s="20" t="n">
        <f aca="false">EW12*(Slot14_Cost-FB12)</f>
        <v>0</v>
      </c>
      <c r="FG12" s="20" t="n">
        <f aca="false">IF(AND(Slot15_On=1,D12=Slot15_Age),1,0)</f>
        <v>0</v>
      </c>
      <c r="FH12" s="20" t="n">
        <f aca="false">IF(AND(Slot15_On=1,Slot15_Age&gt;D12),1,0)</f>
        <v>0</v>
      </c>
      <c r="FI12" s="20" t="n">
        <f aca="false">SQ11</f>
        <v>0</v>
      </c>
      <c r="FJ12" s="20" t="n">
        <f aca="false">FG12*MIN(Slot15_Cost,FI12)</f>
        <v>0</v>
      </c>
      <c r="FK12" s="20" t="n">
        <f aca="false">FG12*Slot15_SpendLike*MIN(Slot15_Cost-FJ12,FC12)</f>
        <v>0</v>
      </c>
      <c r="FL12" s="20" t="n">
        <f aca="false">FJ12+FK12</f>
        <v>0</v>
      </c>
      <c r="FM12" s="20" t="n">
        <f aca="false">FC12-FK12+FG12*IF(Slot15_SpendLike=1,FI12-FJ12,IF(Slot15_PotFree=1,FI12,0))</f>
        <v>0</v>
      </c>
      <c r="FN12" s="20" t="n">
        <f aca="false">FD12+FG12*Slot15_BufPot*FI12</f>
        <v>11607.1481860813</v>
      </c>
      <c r="FO12" s="20" t="n">
        <f aca="false">IF(AND(FG12=1,Slot15_IsMfree=1),IF(FL12&gt;=Slot15_Cost-1,0,MAX(0,FE12-FL12)),FE12)</f>
        <v>168928.367821573</v>
      </c>
      <c r="FP12" s="20" t="n">
        <f aca="false">FG12*(Slot15_Cost-FL12)</f>
        <v>0</v>
      </c>
      <c r="FQ12" s="20" t="n">
        <f aca="false">IF(AND(Slot16_On=1,D12=Slot16_Age),1,0)</f>
        <v>0</v>
      </c>
      <c r="FR12" s="20" t="n">
        <f aca="false">IF(AND(Slot16_On=1,Slot16_Age&gt;D12),1,0)</f>
        <v>0</v>
      </c>
      <c r="FS12" s="20" t="n">
        <f aca="false">SU11</f>
        <v>0</v>
      </c>
      <c r="FT12" s="20" t="n">
        <f aca="false">FQ12*MIN(Slot16_Cost,FS12)</f>
        <v>0</v>
      </c>
      <c r="FU12" s="20" t="n">
        <f aca="false">FQ12*Slot16_SpendLike*MIN(Slot16_Cost-FT12,FM12)</f>
        <v>0</v>
      </c>
      <c r="FV12" s="20" t="n">
        <f aca="false">FT12+FU12</f>
        <v>0</v>
      </c>
      <c r="FW12" s="20" t="n">
        <f aca="false">FM12-FU12+FQ12*IF(Slot16_SpendLike=1,FS12-FT12,IF(Slot16_PotFree=1,FS12,0))</f>
        <v>0</v>
      </c>
      <c r="FX12" s="20" t="n">
        <f aca="false">FN12+FQ12*Slot16_BufPot*FS12</f>
        <v>11607.1481860813</v>
      </c>
      <c r="FY12" s="20" t="n">
        <f aca="false">IF(AND(FQ12=1,Slot16_IsMfree=1),IF(FV12&gt;=Slot16_Cost-1,0,MAX(0,FO12-FV12)),FO12)</f>
        <v>168928.367821573</v>
      </c>
      <c r="FZ12" s="20" t="n">
        <f aca="false">FQ12*(Slot16_Cost-FV12)</f>
        <v>0</v>
      </c>
      <c r="GA12" s="20" t="n">
        <f aca="false">IF(AND(Slot17_On=1,D12=Slot17_Age),1,0)</f>
        <v>0</v>
      </c>
      <c r="GB12" s="20" t="n">
        <f aca="false">IF(AND(Slot17_On=1,Slot17_Age&gt;D12),1,0)</f>
        <v>0</v>
      </c>
      <c r="GC12" s="20" t="n">
        <f aca="false">SY11</f>
        <v>0</v>
      </c>
      <c r="GD12" s="20" t="n">
        <f aca="false">GA12*MIN(Slot17_Cost,GC12)</f>
        <v>0</v>
      </c>
      <c r="GE12" s="20" t="n">
        <f aca="false">GA12*Slot17_SpendLike*MIN(Slot17_Cost-GD12,FW12)</f>
        <v>0</v>
      </c>
      <c r="GF12" s="20" t="n">
        <f aca="false">GD12+GE12</f>
        <v>0</v>
      </c>
      <c r="GG12" s="20" t="n">
        <f aca="false">FW12-GE12+GA12*IF(Slot17_SpendLike=1,GC12-GD12,IF(Slot17_PotFree=1,GC12,0))</f>
        <v>0</v>
      </c>
      <c r="GH12" s="20" t="n">
        <f aca="false">FX12+GA12*Slot17_BufPot*GC12</f>
        <v>11607.1481860813</v>
      </c>
      <c r="GI12" s="20" t="n">
        <f aca="false">IF(AND(GA12=1,Slot17_IsMfree=1),IF(GF12&gt;=Slot17_Cost-1,0,MAX(0,FY12-GF12)),FY12)</f>
        <v>168928.367821573</v>
      </c>
      <c r="GJ12" s="20" t="n">
        <f aca="false">GA12*(Slot17_Cost-GF12)</f>
        <v>0</v>
      </c>
      <c r="GK12" s="20" t="n">
        <f aca="false">IF(AND(Slot18_On=1,D12=Slot18_Age),1,0)</f>
        <v>0</v>
      </c>
      <c r="GL12" s="20" t="n">
        <f aca="false">IF(AND(Slot18_On=1,Slot18_Age&gt;D12),1,0)</f>
        <v>0</v>
      </c>
      <c r="GM12" s="20" t="n">
        <f aca="false">TC11</f>
        <v>0</v>
      </c>
      <c r="GN12" s="20" t="n">
        <f aca="false">GK12*MIN(Slot18_Cost,GM12)</f>
        <v>0</v>
      </c>
      <c r="GO12" s="20" t="n">
        <f aca="false">GK12*Slot18_SpendLike*MIN(Slot18_Cost-GN12,GG12)</f>
        <v>0</v>
      </c>
      <c r="GP12" s="20" t="n">
        <f aca="false">GN12+GO12</f>
        <v>0</v>
      </c>
      <c r="GQ12" s="20" t="n">
        <f aca="false">GG12-GO12+GK12*IF(Slot18_SpendLike=1,GM12-GN12,IF(Slot18_PotFree=1,GM12,0))</f>
        <v>0</v>
      </c>
      <c r="GR12" s="20" t="n">
        <f aca="false">GH12+GK12*Slot18_BufPot*GM12</f>
        <v>11607.1481860813</v>
      </c>
      <c r="GS12" s="20" t="n">
        <f aca="false">IF(AND(GK12=1,Slot18_IsMfree=1),IF(GP12&gt;=Slot18_Cost-1,0,MAX(0,GI12-GP12)),GI12)</f>
        <v>168928.367821573</v>
      </c>
      <c r="GT12" s="20" t="n">
        <f aca="false">GK12*(Slot18_Cost-GP12)</f>
        <v>0</v>
      </c>
      <c r="GU12" s="20" t="n">
        <f aca="false">IF(AND(Slot19_On=1,D12=Slot19_Age),1,0)</f>
        <v>0</v>
      </c>
      <c r="GV12" s="20" t="n">
        <f aca="false">IF(AND(Slot19_On=1,Slot19_Age&gt;D12),1,0)</f>
        <v>0</v>
      </c>
      <c r="GW12" s="20" t="n">
        <f aca="false">TG11</f>
        <v>0</v>
      </c>
      <c r="GX12" s="20" t="n">
        <f aca="false">GU12*MIN(Slot19_Cost,GW12)</f>
        <v>0</v>
      </c>
      <c r="GY12" s="20" t="n">
        <f aca="false">GU12*Slot19_SpendLike*MIN(Slot19_Cost-GX12,GQ12)</f>
        <v>0</v>
      </c>
      <c r="GZ12" s="20" t="n">
        <f aca="false">GX12+GY12</f>
        <v>0</v>
      </c>
      <c r="HA12" s="20" t="n">
        <f aca="false">GQ12-GY12+GU12*IF(Slot19_SpendLike=1,GW12-GX12,IF(Slot19_PotFree=1,GW12,0))</f>
        <v>0</v>
      </c>
      <c r="HB12" s="20" t="n">
        <f aca="false">GR12+GU12*Slot19_BufPot*GW12</f>
        <v>11607.1481860813</v>
      </c>
      <c r="HC12" s="20" t="n">
        <f aca="false">IF(AND(GU12=1,Slot19_IsMfree=1),IF(GZ12&gt;=Slot19_Cost-1,0,MAX(0,GS12-GZ12)),GS12)</f>
        <v>168928.367821573</v>
      </c>
      <c r="HD12" s="20" t="n">
        <f aca="false">GU12*(Slot19_Cost-GZ12)</f>
        <v>0</v>
      </c>
      <c r="HE12" s="20" t="n">
        <f aca="false">IF(AND(Slot20_On=1,D12=Slot20_Age),1,0)</f>
        <v>0</v>
      </c>
      <c r="HF12" s="20" t="n">
        <f aca="false">IF(AND(Slot20_On=1,Slot20_Age&gt;D12),1,0)</f>
        <v>0</v>
      </c>
      <c r="HG12" s="20" t="n">
        <f aca="false">TK11</f>
        <v>0</v>
      </c>
      <c r="HH12" s="20" t="n">
        <f aca="false">HE12*MIN(Slot20_Cost,HG12)</f>
        <v>0</v>
      </c>
      <c r="HI12" s="20" t="n">
        <f aca="false">HE12*Slot20_SpendLike*MIN(Slot20_Cost-HH12,HA12)</f>
        <v>0</v>
      </c>
      <c r="HJ12" s="20" t="n">
        <f aca="false">HH12+HI12</f>
        <v>0</v>
      </c>
      <c r="HK12" s="20" t="n">
        <f aca="false">HA12-HI12+HE12*IF(Slot20_SpendLike=1,HG12-HH12,IF(Slot20_PotFree=1,HG12,0))</f>
        <v>0</v>
      </c>
      <c r="HL12" s="20" t="n">
        <f aca="false">HB12+HE12*Slot20_BufPot*HG12</f>
        <v>11607.1481860813</v>
      </c>
      <c r="HM12" s="20" t="n">
        <f aca="false">IF(AND(HE12=1,Slot20_IsMfree=1),IF(HJ12&gt;=Slot20_Cost-1,0,MAX(0,HC12-HJ12)),HC12)</f>
        <v>168928.367821573</v>
      </c>
      <c r="HN12" s="20" t="n">
        <f aca="false">HE12*(Slot20_Cost-HJ12)</f>
        <v>0</v>
      </c>
      <c r="HO12" s="20" t="n">
        <f aca="false">V12*Slot1_SpendLike*AA12+AG12*Slot2_SpendLike*AL12+AQ12*Slot3_SpendLike*AV12+BA12*Slot4_SpendLike*BF12+BK12*Slot5_SpendLike*BP12+BU12*Slot6_SpendLike*BZ12+CE12*Slot7_SpendLike*CJ12+CO12*Slot8_SpendLike*CT12+CY12*Slot9_SpendLike*DD12+DI12*Slot10_SpendLike*DN12+DS12*Slot11_SpendLike*DX12+EC12*Slot12_SpendLike*EH12+EM12*Slot13_SpendLike*ER12+EW12*Slot14_SpendLike*FB12+FG12*Slot15_SpendLike*FL12+FQ12*Slot16_SpendLike*FV12+GA12*Slot17_SpendLike*GF12+GK12*Slot18_SpendLike*GP12+GU12*Slot19_SpendLike*GZ12+HE12*Slot20_SpendLike*HJ12</f>
        <v>0</v>
      </c>
      <c r="HP12" s="20" t="n">
        <f aca="false">AE12+AP12+AZ12+BJ12+BT12+CD12+CN12+CX12+DH12+DR12+EB12+EL12+EV12+FF12+FP12+FZ12+GJ12+GT12+HD12+HN12</f>
        <v>0</v>
      </c>
      <c r="HQ12" s="20" t="n">
        <f aca="false">V12*Slot1_Cost+AG12*Slot2_Cost+AQ12*Slot3_Cost+BA12*Slot4_Cost+BK12*Slot5_Cost+BU12*Slot6_Cost+CE12*Slot7_Cost+CO12*Slot8_Cost+CY12*Slot9_Cost+DI12*Slot10_Cost+DS12*Slot11_Cost+EC12*Slot12_Cost+EM12*Slot13_Cost+EW12*Slot14_Cost+FG12*Slot15_Cost+FQ12*Slot16_Cost+GA12*Slot17_Cost+GK12*Slot18_Cost+GU12*Slot19_Cost+HE12*Slot20_Cost</f>
        <v>0</v>
      </c>
      <c r="HR12" s="20" t="n">
        <f aca="false">HM12</f>
        <v>168928.367821573</v>
      </c>
      <c r="HS12" s="20" t="n">
        <f aca="false">H12-I12-S12</f>
        <v>6200.3231913776</v>
      </c>
      <c r="HT12" s="20" t="n">
        <f aca="false">IF(B12=0,IF(AND(Has_q6=1,In_q6=4),PR_ShareVaries*(MAX(0,HS12)/12),MIN(IF(Has_q6=1,CHOOSE(In_q6+1,PR_SaveB1,PR_SaveB2,PR_SaveB3,PR_SaveB4,0),AS_NoAnswer),AS_SaveShare*(MAX(0,HS12)/12))),HT11)</f>
        <v>67.3316893520437</v>
      </c>
      <c r="HU12" s="20" t="n">
        <f aca="false">IF(HS12&gt;=0,1,0)</f>
        <v>1</v>
      </c>
      <c r="HV12" s="20" t="n">
        <f aca="false">MAX(0,HS12/12/F12)</f>
        <v>477.34501835336</v>
      </c>
      <c r="HW12" s="20" t="n">
        <f aca="false">IF(AND(Has_q6=1,In_q6=4),PR_ShareVaries*(HV12),MIN(IF(Has_q6=1,CHOOSE(In_q6+1,PR_SaveB1,PR_SaveB2,PR_SaveB3,PR_SaveB4,0),AS_NoAnswer),AS_SaveShare*(HV12)))</f>
        <v>238.67250917668</v>
      </c>
      <c r="HX12" s="20" t="n">
        <f aca="false">IF(Has_saveM=1,IF(In_saveUp="Yes",1,IF(In_saveUp="No",0,IF(In_saveM&gt;=HT12-0.5,1,0))),0)</f>
        <v>0</v>
      </c>
      <c r="HY12" s="20" t="n">
        <f aca="false">IF(Has_saveM=1,MIN(HV12,IF(HX12=1,MAX(In_saveM,HW12),MIN(In_saveM,HW12))),HW12)</f>
        <v>238.67250917668</v>
      </c>
      <c r="HZ12" s="20" t="n">
        <f aca="false">IF(G12=1,HY12*12*F12,0)</f>
        <v>3100.1615956888</v>
      </c>
      <c r="IA12" s="20" t="n">
        <f aca="false">MAX(0,HZ12+IF(AND(WI_Retire=0,WI_M&lt;0,G12=1),WI_M*12*F12,0))</f>
        <v>3100.1615956888</v>
      </c>
      <c r="IB12" s="20" t="n">
        <f aca="false">Slot1_IsWG*W12+Slot2_IsWG*AH12+Slot3_IsWG*AR12+Slot4_IsWG*BB12+Slot5_IsWG*BL12+Slot6_IsWG*BV12+Slot7_IsWG*CF12+Slot8_IsWG*CP12+Slot9_IsWG*CZ12+Slot10_IsWG*DJ12+Slot11_IsWG*DT12+Slot12_IsWG*ED12+Slot13_IsWG*EN12+Slot14_IsWG*EX12+Slot15_IsWG*FH12+Slot16_IsWG*FR12+Slot17_IsWG*GB12+Slot18_IsWG*GL12+Slot19_IsWG*GV12+Slot20_IsWG*HF12</f>
        <v>0</v>
      </c>
      <c r="IC12" s="20" t="n">
        <f aca="false">IF(AND(WI_Retire=0,WI_M&gt;0,G12=1,IB12&gt;=1),WI_M*12*F12,0)</f>
        <v>0</v>
      </c>
      <c r="ID12" s="20" t="n">
        <f aca="false">IF(HU12=1,MIN(IA12,HS12),0)</f>
        <v>3100.1615956888</v>
      </c>
      <c r="IE12" s="20" t="n">
        <f aca="false">IF(HU12=1,MIN(IC12,HS12-ID12),0)</f>
        <v>0</v>
      </c>
      <c r="IF12" s="20" t="n">
        <f aca="false">IF(W12=1,IF(ABS((1+AS_Wage)/(1+Slot1_Rate)-1)&lt;0.000000000001,(Slot1_Age-D12)*(1+Slot1_Rate)^(Slot1_Age-D12),(1+Slot1_Rate)^(Slot1_Age-D12)*(1-((1+AS_Wage)/(1+Slot1_Rate))^(Slot1_Age-D12))/(1-(1+AS_Wage)/(1+Slot1_Rate))),1)</f>
        <v>1</v>
      </c>
      <c r="IG12" s="20" t="n">
        <f aca="false">IF(AND(HU12=1,IE12&gt;0,Slot1_IsWG=1,W12=1),MAX(0,(Slot1_Cost-X12*(1+Slot1_Rate)^(Slot1_Age-D12))/IF12),0)</f>
        <v>0</v>
      </c>
      <c r="IH12" s="20" t="n">
        <f aca="false">IF(AND(HU12=1,IE12&gt;0,Slot1_IsWG=1,W12=1),MIN(IE12,IG12),0)</f>
        <v>0</v>
      </c>
      <c r="II12" s="20" t="n">
        <f aca="false">X12+IH12</f>
        <v>0</v>
      </c>
      <c r="IJ12" s="20" t="n">
        <f aca="false">IF(W12=1,MAX(0,(Slot1_Cost-II12*(1+Slot1_Rate)^(Slot1_Age-D12))/IF12),0)</f>
        <v>0</v>
      </c>
      <c r="IK12" s="20" t="n">
        <f aca="false">IF(W12=1,MAX(0,(Slot1_Cost-X12*(1+Slot1_Rate)^(Slot1_Age-D12))/IF12),0)</f>
        <v>0</v>
      </c>
      <c r="IL12" s="20" t="n">
        <f aca="false">IF(AND(HU12=1,W12=1),MIN(ID12,IJ12),0)</f>
        <v>0</v>
      </c>
      <c r="IM12" s="20" t="n">
        <f aca="false">ID12-IL12</f>
        <v>3100.1615956888</v>
      </c>
      <c r="IN12" s="20" t="n">
        <f aca="false">IF(AH12=1,IF(ABS((1+AS_Wage)/(1+Slot2_Rate)-1)&lt;0.000000000001,(Slot2_Age-D12)*(1+Slot2_Rate)^(Slot2_Age-D12),(1+Slot2_Rate)^(Slot2_Age-D12)*(1-((1+AS_Wage)/(1+Slot2_Rate))^(Slot2_Age-D12))/(1-(1+AS_Wage)/(1+Slot2_Rate))),1)</f>
        <v>1</v>
      </c>
      <c r="IO12" s="20" t="n">
        <f aca="false">IF(AND(HU12=1,IE12&gt;0,Slot2_IsWG=1,AH12=1),MAX(0,(Slot2_Cost-AI12*(1+Slot2_Rate)^(Slot2_Age-D12))/IN12),0)</f>
        <v>0</v>
      </c>
      <c r="IP12" s="20" t="n">
        <f aca="false">IF(AND(HU12=1,IE12&gt;0,Slot2_IsWG=1,AH12=1),MIN(IE12,IO12),0)</f>
        <v>0</v>
      </c>
      <c r="IQ12" s="20" t="n">
        <f aca="false">AI12+IP12</f>
        <v>0</v>
      </c>
      <c r="IR12" s="20" t="n">
        <f aca="false">IF(AH12=1,MAX(0,(Slot2_Cost-IQ12*(1+Slot2_Rate)^(Slot2_Age-D12))/IN12),0)</f>
        <v>0</v>
      </c>
      <c r="IS12" s="20" t="n">
        <f aca="false">IF(AH12=1,MAX(0,(Slot2_Cost-AI12*(1+Slot2_Rate)^(Slot2_Age-D12))/IN12),0)</f>
        <v>0</v>
      </c>
      <c r="IT12" s="20" t="n">
        <f aca="false">IF(AND(HU12=1,AH12=1),MIN(IM12,IR12),0)</f>
        <v>0</v>
      </c>
      <c r="IU12" s="20" t="n">
        <f aca="false">IM12-IT12</f>
        <v>3100.1615956888</v>
      </c>
      <c r="IV12" s="20" t="n">
        <f aca="false">IF(AR12=1,IF(ABS((1+AS_Wage)/(1+Slot3_Rate)-1)&lt;0.000000000001,(Slot3_Age-D12)*(1+Slot3_Rate)^(Slot3_Age-D12),(1+Slot3_Rate)^(Slot3_Age-D12)*(1-((1+AS_Wage)/(1+Slot3_Rate))^(Slot3_Age-D12))/(1-(1+AS_Wage)/(1+Slot3_Rate))),1)</f>
        <v>7.06756259985395</v>
      </c>
      <c r="IW12" s="20" t="n">
        <f aca="false">IF(AND(HU12=1,IE12&gt;0,Slot3_IsWG=1,AR12=1),MAX(0,(Slot3_Cost-AS12*(1+Slot3_Rate)^(Slot3_Age-D12))/IV12),0)</f>
        <v>0</v>
      </c>
      <c r="IX12" s="20" t="n">
        <f aca="false">IF(AND(HU12=1,IE12&gt;0,Slot3_IsWG=1,AR12=1),MIN(IE12,IW12),0)</f>
        <v>0</v>
      </c>
      <c r="IY12" s="20" t="n">
        <f aca="false">AS12+IX12</f>
        <v>2536.87371830475</v>
      </c>
      <c r="IZ12" s="20" t="n">
        <f aca="false">IF(AR12=1,MAX(0,(Slot3_Cost-IY12*(1+Slot3_Rate)^(Slot3_Age-D12))/IV12),0)</f>
        <v>8205.15714289306</v>
      </c>
      <c r="JA12" s="20" t="n">
        <f aca="false">IF(AR12=1,MAX(0,(Slot3_Cost-AS12*(1+Slot3_Rate)^(Slot3_Age-D12))/IV12),0)</f>
        <v>8205.15714289306</v>
      </c>
      <c r="JB12" s="20" t="n">
        <f aca="false">IF(AND(HU12=1,AR12=1),MIN(IU12,IZ12),0)</f>
        <v>3100.1615956888</v>
      </c>
      <c r="JC12" s="20" t="n">
        <f aca="false">IU12-JB12</f>
        <v>0</v>
      </c>
      <c r="JD12" s="20" t="n">
        <f aca="false">IF(BB12=1,IF(ABS((1+AS_Wage)/(1+Slot4_Rate)-1)&lt;0.000000000001,(Slot4_Age-D12)*(1+Slot4_Rate)^(Slot4_Age-D12),(1+Slot4_Rate)^(Slot4_Age-D12)*(1-((1+AS_Wage)/(1+Slot4_Rate))^(Slot4_Age-D12))/(1-(1+AS_Wage)/(1+Slot4_Rate))),1)</f>
        <v>18.5799376582963</v>
      </c>
      <c r="JE12" s="20" t="n">
        <f aca="false">IF(AND(HU12=1,IE12&gt;0,Slot4_IsWG=1,BB12=1),MAX(0,(Slot4_Cost-BC12*(1+Slot4_Rate)^(Slot4_Age-D12))/JD12),0)</f>
        <v>0</v>
      </c>
      <c r="JF12" s="20" t="n">
        <f aca="false">IF(AND(HU12=1,IE12&gt;0,Slot4_IsWG=1,BB12=1),MIN(IE12,JE12),0)</f>
        <v>0</v>
      </c>
      <c r="JG12" s="20" t="n">
        <f aca="false">BC12+JF12</f>
        <v>0</v>
      </c>
      <c r="JH12" s="20" t="n">
        <f aca="false">IF(BB12=1,MAX(0,(Slot4_Cost-JG12*(1+Slot4_Rate)^(Slot4_Age-D12))/JD12),0)</f>
        <v>2153.93056687462</v>
      </c>
      <c r="JI12" s="20" t="n">
        <f aca="false">IF(BB12=1,MAX(0,(Slot4_Cost-BC12*(1+Slot4_Rate)^(Slot4_Age-D12))/JD12),0)</f>
        <v>2153.93056687462</v>
      </c>
      <c r="JJ12" s="20" t="n">
        <f aca="false">IF(AND(HU12=1,BB12=1),MIN(JC12,JH12),0)</f>
        <v>0</v>
      </c>
      <c r="JK12" s="20" t="n">
        <f aca="false">JC12-JJ12</f>
        <v>0</v>
      </c>
      <c r="JL12" s="20" t="n">
        <f aca="false">IF(BL12=1,IF(ABS((1+AS_Wage)/(1+Slot5_Rate)-1)&lt;0.000000000001,(Slot5_Age-D12)*(1+Slot5_Rate)^(Slot5_Age-D12),(1+Slot5_Rate)^(Slot5_Age-D12)*(1-((1+AS_Wage)/(1+Slot5_Rate))^(Slot5_Age-D12))/(1-(1+AS_Wage)/(1+Slot5_Rate))),1)</f>
        <v>1</v>
      </c>
      <c r="JM12" s="20" t="n">
        <f aca="false">IF(AND(HU12=1,IE12&gt;0,Slot5_IsWG=1,BL12=1),MAX(0,(Slot5_Cost-BM12*(1+Slot5_Rate)^(Slot5_Age-D12))/JL12),0)</f>
        <v>0</v>
      </c>
      <c r="JN12" s="20" t="n">
        <f aca="false">IF(AND(HU12=1,IE12&gt;0,Slot5_IsWG=1,BL12=1),MIN(IE12,JM12),0)</f>
        <v>0</v>
      </c>
      <c r="JO12" s="20" t="n">
        <f aca="false">BM12+JN12</f>
        <v>0</v>
      </c>
      <c r="JP12" s="20" t="n">
        <f aca="false">IF(BL12=1,MAX(0,(Slot5_Cost-JO12*(1+Slot5_Rate)^(Slot5_Age-D12))/JL12),0)</f>
        <v>0</v>
      </c>
      <c r="JQ12" s="20" t="n">
        <f aca="false">IF(BL12=1,MAX(0,(Slot5_Cost-BM12*(1+Slot5_Rate)^(Slot5_Age-D12))/JL12),0)</f>
        <v>0</v>
      </c>
      <c r="JR12" s="20" t="n">
        <f aca="false">IF(AND(HU12=1,BL12=1),MIN(JK12,JP12),0)</f>
        <v>0</v>
      </c>
      <c r="JS12" s="20" t="n">
        <f aca="false">JK12-JR12</f>
        <v>0</v>
      </c>
      <c r="JT12" s="20" t="n">
        <f aca="false">IF(BV12=1,IF(ABS((1+AS_Wage)/(1+Slot6_Rate)-1)&lt;0.000000000001,(Slot6_Age-D12)*(1+Slot6_Rate)^(Slot6_Age-D12),(1+Slot6_Rate)^(Slot6_Age-D12)*(1-((1+AS_Wage)/(1+Slot6_Rate))^(Slot6_Age-D12))/(1-(1+AS_Wage)/(1+Slot6_Rate))),1)</f>
        <v>1</v>
      </c>
      <c r="JU12" s="20" t="n">
        <f aca="false">IF(AND(HU12=1,IE12&gt;0,Slot6_IsWG=1,BV12=1),MAX(0,(Slot6_Cost-BW12*(1+Slot6_Rate)^(Slot6_Age-D12))/JT12),0)</f>
        <v>0</v>
      </c>
      <c r="JV12" s="20" t="n">
        <f aca="false">IF(AND(HU12=1,IE12&gt;0,Slot6_IsWG=1,BV12=1),MIN(IE12,JU12),0)</f>
        <v>0</v>
      </c>
      <c r="JW12" s="20" t="n">
        <f aca="false">BW12+JV12</f>
        <v>0</v>
      </c>
      <c r="JX12" s="20" t="n">
        <f aca="false">IF(BV12=1,MAX(0,(Slot6_Cost-JW12*(1+Slot6_Rate)^(Slot6_Age-D12))/JT12),0)</f>
        <v>0</v>
      </c>
      <c r="JY12" s="20" t="n">
        <f aca="false">IF(BV12=1,MAX(0,(Slot6_Cost-BW12*(1+Slot6_Rate)^(Slot6_Age-D12))/JT12),0)</f>
        <v>0</v>
      </c>
      <c r="JZ12" s="20" t="n">
        <f aca="false">IF(AND(HU12=1,BV12=1),MIN(JS12,JX12),0)</f>
        <v>0</v>
      </c>
      <c r="KA12" s="20" t="n">
        <f aca="false">JS12-JZ12</f>
        <v>0</v>
      </c>
      <c r="KB12" s="20" t="n">
        <f aca="false">IF(CF12=1,IF(ABS((1+AS_Wage)/(1+Slot7_Rate)-1)&lt;0.000000000001,(Slot7_Age-D12)*(1+Slot7_Rate)^(Slot7_Age-D12),(1+Slot7_Rate)^(Slot7_Age-D12)*(1-((1+AS_Wage)/(1+Slot7_Rate))^(Slot7_Age-D12))/(1-(1+AS_Wage)/(1+Slot7_Rate))),1)</f>
        <v>1</v>
      </c>
      <c r="KC12" s="20" t="n">
        <f aca="false">IF(AND(HU12=1,IE12&gt;0,Slot7_IsWG=1,CF12=1),MAX(0,(Slot7_Cost-CG12*(1+Slot7_Rate)^(Slot7_Age-D12))/KB12),0)</f>
        <v>0</v>
      </c>
      <c r="KD12" s="20" t="n">
        <f aca="false">IF(AND(HU12=1,IE12&gt;0,Slot7_IsWG=1,CF12=1),MIN(IE12,KC12),0)</f>
        <v>0</v>
      </c>
      <c r="KE12" s="20" t="n">
        <f aca="false">CG12+KD12</f>
        <v>0</v>
      </c>
      <c r="KF12" s="20" t="n">
        <f aca="false">IF(CF12=1,MAX(0,(Slot7_Cost-KE12*(1+Slot7_Rate)^(Slot7_Age-D12))/KB12),0)</f>
        <v>0</v>
      </c>
      <c r="KG12" s="20" t="n">
        <f aca="false">IF(CF12=1,MAX(0,(Slot7_Cost-CG12*(1+Slot7_Rate)^(Slot7_Age-D12))/KB12),0)</f>
        <v>0</v>
      </c>
      <c r="KH12" s="20" t="n">
        <f aca="false">IF(AND(HU12=1,CF12=1),MIN(KA12,KF12),0)</f>
        <v>0</v>
      </c>
      <c r="KI12" s="20" t="n">
        <f aca="false">KA12-KH12</f>
        <v>0</v>
      </c>
      <c r="KJ12" s="20" t="n">
        <f aca="false">IF(CP12=1,IF(ABS((1+AS_Wage)/(1+Slot8_Rate)-1)&lt;0.000000000001,(Slot8_Age-D12)*(1+Slot8_Rate)^(Slot8_Age-D12),(1+Slot8_Rate)^(Slot8_Age-D12)*(1-((1+AS_Wage)/(1+Slot8_Rate))^(Slot8_Age-D12))/(1-(1+AS_Wage)/(1+Slot8_Rate))),1)</f>
        <v>1</v>
      </c>
      <c r="KK12" s="20" t="n">
        <f aca="false">IF(AND(HU12=1,IE12&gt;0,Slot8_IsWG=1,CP12=1),MAX(0,(Slot8_Cost-CQ12*(1+Slot8_Rate)^(Slot8_Age-D12))/KJ12),0)</f>
        <v>0</v>
      </c>
      <c r="KL12" s="20" t="n">
        <f aca="false">IF(AND(HU12=1,IE12&gt;0,Slot8_IsWG=1,CP12=1),MIN(IE12,KK12),0)</f>
        <v>0</v>
      </c>
      <c r="KM12" s="20" t="n">
        <f aca="false">CQ12+KL12</f>
        <v>0</v>
      </c>
      <c r="KN12" s="20" t="n">
        <f aca="false">IF(CP12=1,MAX(0,(Slot8_Cost-KM12*(1+Slot8_Rate)^(Slot8_Age-D12))/KJ12),0)</f>
        <v>0</v>
      </c>
      <c r="KO12" s="20" t="n">
        <f aca="false">IF(CP12=1,MAX(0,(Slot8_Cost-CQ12*(1+Slot8_Rate)^(Slot8_Age-D12))/KJ12),0)</f>
        <v>0</v>
      </c>
      <c r="KP12" s="20" t="n">
        <f aca="false">IF(AND(HU12=1,CP12=1),MIN(KI12,KN12),0)</f>
        <v>0</v>
      </c>
      <c r="KQ12" s="20" t="n">
        <f aca="false">KI12-KP12</f>
        <v>0</v>
      </c>
      <c r="KR12" s="20" t="n">
        <f aca="false">IF(CZ12=1,IF(ABS((1+AS_Wage)/(1+Slot9_Rate)-1)&lt;0.000000000001,(Slot9_Age-D12)*(1+Slot9_Rate)^(Slot9_Age-D12),(1+Slot9_Rate)^(Slot9_Age-D12)*(1-((1+AS_Wage)/(1+Slot9_Rate))^(Slot9_Age-D12))/(1-(1+AS_Wage)/(1+Slot9_Rate))),1)</f>
        <v>1</v>
      </c>
      <c r="KS12" s="20" t="n">
        <f aca="false">IF(AND(HU12=1,IE12&gt;0,Slot9_IsWG=1,CZ12=1),MAX(0,(Slot9_Cost-DA12*(1+Slot9_Rate)^(Slot9_Age-D12))/KR12),0)</f>
        <v>0</v>
      </c>
      <c r="KT12" s="20" t="n">
        <f aca="false">IF(AND(HU12=1,IE12&gt;0,Slot9_IsWG=1,CZ12=1),MIN(IE12,KS12),0)</f>
        <v>0</v>
      </c>
      <c r="KU12" s="20" t="n">
        <f aca="false">DA12+KT12</f>
        <v>0</v>
      </c>
      <c r="KV12" s="20" t="n">
        <f aca="false">IF(CZ12=1,MAX(0,(Slot9_Cost-KU12*(1+Slot9_Rate)^(Slot9_Age-D12))/KR12),0)</f>
        <v>0</v>
      </c>
      <c r="KW12" s="20" t="n">
        <f aca="false">IF(CZ12=1,MAX(0,(Slot9_Cost-DA12*(1+Slot9_Rate)^(Slot9_Age-D12))/KR12),0)</f>
        <v>0</v>
      </c>
      <c r="KX12" s="20" t="n">
        <f aca="false">IF(AND(HU12=1,CZ12=1),MIN(KQ12,KV12),0)</f>
        <v>0</v>
      </c>
      <c r="KY12" s="20" t="n">
        <f aca="false">KQ12-KX12</f>
        <v>0</v>
      </c>
      <c r="KZ12" s="20" t="n">
        <f aca="false">IF(DJ12=1,IF(ABS((1+AS_Wage)/(1+Slot10_Rate)-1)&lt;0.000000000001,(Slot10_Age-D12)*(1+Slot10_Rate)^(Slot10_Age-D12),(1+Slot10_Rate)^(Slot10_Age-D12)*(1-((1+AS_Wage)/(1+Slot10_Rate))^(Slot10_Age-D12))/(1-(1+AS_Wage)/(1+Slot10_Rate))),1)</f>
        <v>1</v>
      </c>
      <c r="LA12" s="20" t="n">
        <f aca="false">IF(AND(HU12=1,IE12&gt;0,Slot10_IsWG=1,DJ12=1),MAX(0,(Slot10_Cost-DK12*(1+Slot10_Rate)^(Slot10_Age-D12))/KZ12),0)</f>
        <v>0</v>
      </c>
      <c r="LB12" s="20" t="n">
        <f aca="false">IF(AND(HU12=1,IE12&gt;0,Slot10_IsWG=1,DJ12=1),MIN(IE12,LA12),0)</f>
        <v>0</v>
      </c>
      <c r="LC12" s="20" t="n">
        <f aca="false">DK12+LB12</f>
        <v>0</v>
      </c>
      <c r="LD12" s="20" t="n">
        <f aca="false">IF(DJ12=1,MAX(0,(Slot10_Cost-LC12*(1+Slot10_Rate)^(Slot10_Age-D12))/KZ12),0)</f>
        <v>0</v>
      </c>
      <c r="LE12" s="20" t="n">
        <f aca="false">IF(DJ12=1,MAX(0,(Slot10_Cost-DK12*(1+Slot10_Rate)^(Slot10_Age-D12))/KZ12),0)</f>
        <v>0</v>
      </c>
      <c r="LF12" s="20" t="n">
        <f aca="false">IF(AND(HU12=1,DJ12=1),MIN(KY12,LD12),0)</f>
        <v>0</v>
      </c>
      <c r="LG12" s="20" t="n">
        <f aca="false">KY12-LF12</f>
        <v>0</v>
      </c>
      <c r="LH12" s="20" t="n">
        <f aca="false">IF(DT12=1,IF(ABS((1+AS_Wage)/(1+Slot11_Rate)-1)&lt;0.000000000001,(Slot11_Age-D12)*(1+Slot11_Rate)^(Slot11_Age-D12),(1+Slot11_Rate)^(Slot11_Age-D12)*(1-((1+AS_Wage)/(1+Slot11_Rate))^(Slot11_Age-D12))/(1-(1+AS_Wage)/(1+Slot11_Rate))),1)</f>
        <v>1</v>
      </c>
      <c r="LI12" s="20" t="n">
        <f aca="false">IF(AND(HU12=1,IE12&gt;0,Slot11_IsWG=1,DT12=1),MAX(0,(Slot11_Cost-DU12*(1+Slot11_Rate)^(Slot11_Age-D12))/LH12),0)</f>
        <v>0</v>
      </c>
      <c r="LJ12" s="20" t="n">
        <f aca="false">IF(AND(HU12=1,IE12&gt;0,Slot11_IsWG=1,DT12=1),MIN(IE12,LI12),0)</f>
        <v>0</v>
      </c>
      <c r="LK12" s="20" t="n">
        <f aca="false">DU12+LJ12</f>
        <v>0</v>
      </c>
      <c r="LL12" s="20" t="n">
        <f aca="false">IF(DT12=1,MAX(0,(Slot11_Cost-LK12*(1+Slot11_Rate)^(Slot11_Age-D12))/LH12),0)</f>
        <v>0</v>
      </c>
      <c r="LM12" s="20" t="n">
        <f aca="false">IF(DT12=1,MAX(0,(Slot11_Cost-DU12*(1+Slot11_Rate)^(Slot11_Age-D12))/LH12),0)</f>
        <v>0</v>
      </c>
      <c r="LN12" s="20" t="n">
        <f aca="false">IF(AND(HU12=1,DT12=1),MIN(LG12,LL12),0)</f>
        <v>0</v>
      </c>
      <c r="LO12" s="20" t="n">
        <f aca="false">LG12-LN12</f>
        <v>0</v>
      </c>
      <c r="LP12" s="20" t="n">
        <f aca="false">IF(ED12=1,IF(ABS((1+AS_Wage)/(1+Slot12_Rate)-1)&lt;0.000000000001,(Slot12_Age-D12)*(1+Slot12_Rate)^(Slot12_Age-D12),(1+Slot12_Rate)^(Slot12_Age-D12)*(1-((1+AS_Wage)/(1+Slot12_Rate))^(Slot12_Age-D12))/(1-(1+AS_Wage)/(1+Slot12_Rate))),1)</f>
        <v>1</v>
      </c>
      <c r="LQ12" s="20" t="n">
        <f aca="false">IF(AND(HU12=1,IE12&gt;0,Slot12_IsWG=1,ED12=1),MAX(0,(Slot12_Cost-EE12*(1+Slot12_Rate)^(Slot12_Age-D12))/LP12),0)</f>
        <v>0</v>
      </c>
      <c r="LR12" s="20" t="n">
        <f aca="false">IF(AND(HU12=1,IE12&gt;0,Slot12_IsWG=1,ED12=1),MIN(IE12,LQ12),0)</f>
        <v>0</v>
      </c>
      <c r="LS12" s="20" t="n">
        <f aca="false">EE12+LR12</f>
        <v>0</v>
      </c>
      <c r="LT12" s="20" t="n">
        <f aca="false">IF(ED12=1,MAX(0,(Slot12_Cost-LS12*(1+Slot12_Rate)^(Slot12_Age-D12))/LP12),0)</f>
        <v>0</v>
      </c>
      <c r="LU12" s="20" t="n">
        <f aca="false">IF(ED12=1,MAX(0,(Slot12_Cost-EE12*(1+Slot12_Rate)^(Slot12_Age-D12))/LP12),0)</f>
        <v>0</v>
      </c>
      <c r="LV12" s="20" t="n">
        <f aca="false">IF(AND(HU12=1,ED12=1),MIN(LO12,LT12),0)</f>
        <v>0</v>
      </c>
      <c r="LW12" s="20" t="n">
        <f aca="false">LO12-LV12</f>
        <v>0</v>
      </c>
      <c r="LX12" s="20" t="n">
        <f aca="false">IF(EN12=1,IF(ABS((1+AS_Wage)/(1+Slot13_Rate)-1)&lt;0.000000000001,(Slot13_Age-D12)*(1+Slot13_Rate)^(Slot13_Age-D12),(1+Slot13_Rate)^(Slot13_Age-D12)*(1-((1+AS_Wage)/(1+Slot13_Rate))^(Slot13_Age-D12))/(1-(1+AS_Wage)/(1+Slot13_Rate))),1)</f>
        <v>1</v>
      </c>
      <c r="LY12" s="20" t="n">
        <f aca="false">IF(AND(HU12=1,IE12&gt;0,Slot13_IsWG=1,EN12=1),MAX(0,(Slot13_Cost-EO12*(1+Slot13_Rate)^(Slot13_Age-D12))/LX12),0)</f>
        <v>0</v>
      </c>
      <c r="LZ12" s="20" t="n">
        <f aca="false">IF(AND(HU12=1,IE12&gt;0,Slot13_IsWG=1,EN12=1),MIN(IE12,LY12),0)</f>
        <v>0</v>
      </c>
      <c r="MA12" s="20" t="n">
        <f aca="false">EO12+LZ12</f>
        <v>0</v>
      </c>
      <c r="MB12" s="20" t="n">
        <f aca="false">IF(EN12=1,MAX(0,(Slot13_Cost-MA12*(1+Slot13_Rate)^(Slot13_Age-D12))/LX12),0)</f>
        <v>0</v>
      </c>
      <c r="MC12" s="20" t="n">
        <f aca="false">IF(EN12=1,MAX(0,(Slot13_Cost-EO12*(1+Slot13_Rate)^(Slot13_Age-D12))/LX12),0)</f>
        <v>0</v>
      </c>
      <c r="MD12" s="20" t="n">
        <f aca="false">IF(AND(HU12=1,EN12=1),MIN(LW12,MB12),0)</f>
        <v>0</v>
      </c>
      <c r="ME12" s="20" t="n">
        <f aca="false">LW12-MD12</f>
        <v>0</v>
      </c>
      <c r="MF12" s="20" t="n">
        <f aca="false">IF(EX12=1,IF(ABS((1+AS_Wage)/(1+Slot14_Rate)-1)&lt;0.000000000001,(Slot14_Age-D12)*(1+Slot14_Rate)^(Slot14_Age-D12),(1+Slot14_Rate)^(Slot14_Age-D12)*(1-((1+AS_Wage)/(1+Slot14_Rate))^(Slot14_Age-D12))/(1-(1+AS_Wage)/(1+Slot14_Rate))),1)</f>
        <v>1</v>
      </c>
      <c r="MG12" s="20" t="n">
        <f aca="false">IF(AND(HU12=1,IE12&gt;0,Slot14_IsWG=1,EX12=1),MAX(0,(Slot14_Cost-EY12*(1+Slot14_Rate)^(Slot14_Age-D12))/MF12),0)</f>
        <v>0</v>
      </c>
      <c r="MH12" s="20" t="n">
        <f aca="false">IF(AND(HU12=1,IE12&gt;0,Slot14_IsWG=1,EX12=1),MIN(IE12,MG12),0)</f>
        <v>0</v>
      </c>
      <c r="MI12" s="20" t="n">
        <f aca="false">EY12+MH12</f>
        <v>0</v>
      </c>
      <c r="MJ12" s="20" t="n">
        <f aca="false">IF(EX12=1,MAX(0,(Slot14_Cost-MI12*(1+Slot14_Rate)^(Slot14_Age-D12))/MF12),0)</f>
        <v>0</v>
      </c>
      <c r="MK12" s="20" t="n">
        <f aca="false">IF(EX12=1,MAX(0,(Slot14_Cost-EY12*(1+Slot14_Rate)^(Slot14_Age-D12))/MF12),0)</f>
        <v>0</v>
      </c>
      <c r="ML12" s="20" t="n">
        <f aca="false">IF(AND(HU12=1,EX12=1),MIN(ME12,MJ12),0)</f>
        <v>0</v>
      </c>
      <c r="MM12" s="20" t="n">
        <f aca="false">ME12-ML12</f>
        <v>0</v>
      </c>
      <c r="MN12" s="20" t="n">
        <f aca="false">IF(FH12=1,IF(ABS((1+AS_Wage)/(1+Slot15_Rate)-1)&lt;0.000000000001,(Slot15_Age-D12)*(1+Slot15_Rate)^(Slot15_Age-D12),(1+Slot15_Rate)^(Slot15_Age-D12)*(1-((1+AS_Wage)/(1+Slot15_Rate))^(Slot15_Age-D12))/(1-(1+AS_Wage)/(1+Slot15_Rate))),1)</f>
        <v>1</v>
      </c>
      <c r="MO12" s="20" t="n">
        <f aca="false">IF(AND(HU12=1,IE12&gt;0,Slot15_IsWG=1,FH12=1),MAX(0,(Slot15_Cost-FI12*(1+Slot15_Rate)^(Slot15_Age-D12))/MN12),0)</f>
        <v>0</v>
      </c>
      <c r="MP12" s="20" t="n">
        <f aca="false">IF(AND(HU12=1,IE12&gt;0,Slot15_IsWG=1,FH12=1),MIN(IE12,MO12),0)</f>
        <v>0</v>
      </c>
      <c r="MQ12" s="20" t="n">
        <f aca="false">FI12+MP12</f>
        <v>0</v>
      </c>
      <c r="MR12" s="20" t="n">
        <f aca="false">IF(FH12=1,MAX(0,(Slot15_Cost-MQ12*(1+Slot15_Rate)^(Slot15_Age-D12))/MN12),0)</f>
        <v>0</v>
      </c>
      <c r="MS12" s="20" t="n">
        <f aca="false">IF(FH12=1,MAX(0,(Slot15_Cost-FI12*(1+Slot15_Rate)^(Slot15_Age-D12))/MN12),0)</f>
        <v>0</v>
      </c>
      <c r="MT12" s="20" t="n">
        <f aca="false">IF(AND(HU12=1,FH12=1),MIN(MM12,MR12),0)</f>
        <v>0</v>
      </c>
      <c r="MU12" s="20" t="n">
        <f aca="false">MM12-MT12</f>
        <v>0</v>
      </c>
      <c r="MV12" s="20" t="n">
        <f aca="false">IF(FR12=1,IF(ABS((1+AS_Wage)/(1+Slot16_Rate)-1)&lt;0.000000000001,(Slot16_Age-D12)*(1+Slot16_Rate)^(Slot16_Age-D12),(1+Slot16_Rate)^(Slot16_Age-D12)*(1-((1+AS_Wage)/(1+Slot16_Rate))^(Slot16_Age-D12))/(1-(1+AS_Wage)/(1+Slot16_Rate))),1)</f>
        <v>1</v>
      </c>
      <c r="MW12" s="20" t="n">
        <f aca="false">IF(AND(HU12=1,IE12&gt;0,Slot16_IsWG=1,FR12=1),MAX(0,(Slot16_Cost-FS12*(1+Slot16_Rate)^(Slot16_Age-D12))/MV12),0)</f>
        <v>0</v>
      </c>
      <c r="MX12" s="20" t="n">
        <f aca="false">IF(AND(HU12=1,IE12&gt;0,Slot16_IsWG=1,FR12=1),MIN(IE12,MW12),0)</f>
        <v>0</v>
      </c>
      <c r="MY12" s="20" t="n">
        <f aca="false">FS12+MX12</f>
        <v>0</v>
      </c>
      <c r="MZ12" s="20" t="n">
        <f aca="false">IF(FR12=1,MAX(0,(Slot16_Cost-MY12*(1+Slot16_Rate)^(Slot16_Age-D12))/MV12),0)</f>
        <v>0</v>
      </c>
      <c r="NA12" s="20" t="n">
        <f aca="false">IF(FR12=1,MAX(0,(Slot16_Cost-FS12*(1+Slot16_Rate)^(Slot16_Age-D12))/MV12),0)</f>
        <v>0</v>
      </c>
      <c r="NB12" s="20" t="n">
        <f aca="false">IF(AND(HU12=1,FR12=1),MIN(MU12,MZ12),0)</f>
        <v>0</v>
      </c>
      <c r="NC12" s="20" t="n">
        <f aca="false">MU12-NB12</f>
        <v>0</v>
      </c>
      <c r="ND12" s="20" t="n">
        <f aca="false">IF(GB12=1,IF(ABS((1+AS_Wage)/(1+Slot17_Rate)-1)&lt;0.000000000001,(Slot17_Age-D12)*(1+Slot17_Rate)^(Slot17_Age-D12),(1+Slot17_Rate)^(Slot17_Age-D12)*(1-((1+AS_Wage)/(1+Slot17_Rate))^(Slot17_Age-D12))/(1-(1+AS_Wage)/(1+Slot17_Rate))),1)</f>
        <v>1</v>
      </c>
      <c r="NE12" s="20" t="n">
        <f aca="false">IF(AND(HU12=1,IE12&gt;0,Slot17_IsWG=1,GB12=1),MAX(0,(Slot17_Cost-GC12*(1+Slot17_Rate)^(Slot17_Age-D12))/ND12),0)</f>
        <v>0</v>
      </c>
      <c r="NF12" s="20" t="n">
        <f aca="false">IF(AND(HU12=1,IE12&gt;0,Slot17_IsWG=1,GB12=1),MIN(IE12,NE12),0)</f>
        <v>0</v>
      </c>
      <c r="NG12" s="20" t="n">
        <f aca="false">GC12+NF12</f>
        <v>0</v>
      </c>
      <c r="NH12" s="20" t="n">
        <f aca="false">IF(GB12=1,MAX(0,(Slot17_Cost-NG12*(1+Slot17_Rate)^(Slot17_Age-D12))/ND12),0)</f>
        <v>0</v>
      </c>
      <c r="NI12" s="20" t="n">
        <f aca="false">IF(GB12=1,MAX(0,(Slot17_Cost-GC12*(1+Slot17_Rate)^(Slot17_Age-D12))/ND12),0)</f>
        <v>0</v>
      </c>
      <c r="NJ12" s="20" t="n">
        <f aca="false">IF(AND(HU12=1,GB12=1),MIN(NC12,NH12),0)</f>
        <v>0</v>
      </c>
      <c r="NK12" s="20" t="n">
        <f aca="false">NC12-NJ12</f>
        <v>0</v>
      </c>
      <c r="NL12" s="20" t="n">
        <f aca="false">IF(GL12=1,IF(ABS((1+AS_Wage)/(1+Slot18_Rate)-1)&lt;0.000000000001,(Slot18_Age-D12)*(1+Slot18_Rate)^(Slot18_Age-D12),(1+Slot18_Rate)^(Slot18_Age-D12)*(1-((1+AS_Wage)/(1+Slot18_Rate))^(Slot18_Age-D12))/(1-(1+AS_Wage)/(1+Slot18_Rate))),1)</f>
        <v>1</v>
      </c>
      <c r="NM12" s="20" t="n">
        <f aca="false">IF(AND(HU12=1,IE12&gt;0,Slot18_IsWG=1,GL12=1),MAX(0,(Slot18_Cost-GM12*(1+Slot18_Rate)^(Slot18_Age-D12))/NL12),0)</f>
        <v>0</v>
      </c>
      <c r="NN12" s="20" t="n">
        <f aca="false">IF(AND(HU12=1,IE12&gt;0,Slot18_IsWG=1,GL12=1),MIN(IE12,NM12),0)</f>
        <v>0</v>
      </c>
      <c r="NO12" s="20" t="n">
        <f aca="false">GM12+NN12</f>
        <v>0</v>
      </c>
      <c r="NP12" s="20" t="n">
        <f aca="false">IF(GL12=1,MAX(0,(Slot18_Cost-NO12*(1+Slot18_Rate)^(Slot18_Age-D12))/NL12),0)</f>
        <v>0</v>
      </c>
      <c r="NQ12" s="20" t="n">
        <f aca="false">IF(GL12=1,MAX(0,(Slot18_Cost-GM12*(1+Slot18_Rate)^(Slot18_Age-D12))/NL12),0)</f>
        <v>0</v>
      </c>
      <c r="NR12" s="20" t="n">
        <f aca="false">IF(AND(HU12=1,GL12=1),MIN(NK12,NP12),0)</f>
        <v>0</v>
      </c>
      <c r="NS12" s="20" t="n">
        <f aca="false">NK12-NR12</f>
        <v>0</v>
      </c>
      <c r="NT12" s="20" t="n">
        <f aca="false">IF(GV12=1,IF(ABS((1+AS_Wage)/(1+Slot19_Rate)-1)&lt;0.000000000001,(Slot19_Age-D12)*(1+Slot19_Rate)^(Slot19_Age-D12),(1+Slot19_Rate)^(Slot19_Age-D12)*(1-((1+AS_Wage)/(1+Slot19_Rate))^(Slot19_Age-D12))/(1-(1+AS_Wage)/(1+Slot19_Rate))),1)</f>
        <v>1</v>
      </c>
      <c r="NU12" s="20" t="n">
        <f aca="false">IF(AND(HU12=1,IE12&gt;0,Slot19_IsWG=1,GV12=1),MAX(0,(Slot19_Cost-GW12*(1+Slot19_Rate)^(Slot19_Age-D12))/NT12),0)</f>
        <v>0</v>
      </c>
      <c r="NV12" s="20" t="n">
        <f aca="false">IF(AND(HU12=1,IE12&gt;0,Slot19_IsWG=1,GV12=1),MIN(IE12,NU12),0)</f>
        <v>0</v>
      </c>
      <c r="NW12" s="20" t="n">
        <f aca="false">GW12+NV12</f>
        <v>0</v>
      </c>
      <c r="NX12" s="20" t="n">
        <f aca="false">IF(GV12=1,MAX(0,(Slot19_Cost-NW12*(1+Slot19_Rate)^(Slot19_Age-D12))/NT12),0)</f>
        <v>0</v>
      </c>
      <c r="NY12" s="20" t="n">
        <f aca="false">IF(GV12=1,MAX(0,(Slot19_Cost-GW12*(1+Slot19_Rate)^(Slot19_Age-D12))/NT12),0)</f>
        <v>0</v>
      </c>
      <c r="NZ12" s="20" t="n">
        <f aca="false">IF(AND(HU12=1,GV12=1),MIN(NS12,NX12),0)</f>
        <v>0</v>
      </c>
      <c r="OA12" s="20" t="n">
        <f aca="false">NS12-NZ12</f>
        <v>0</v>
      </c>
      <c r="OB12" s="20" t="n">
        <f aca="false">IF(HF12=1,IF(ABS((1+AS_Wage)/(1+Slot20_Rate)-1)&lt;0.000000000001,(Slot20_Age-D12)*(1+Slot20_Rate)^(Slot20_Age-D12),(1+Slot20_Rate)^(Slot20_Age-D12)*(1-((1+AS_Wage)/(1+Slot20_Rate))^(Slot20_Age-D12))/(1-(1+AS_Wage)/(1+Slot20_Rate))),1)</f>
        <v>1</v>
      </c>
      <c r="OC12" s="20" t="n">
        <f aca="false">IF(AND(HU12=1,IE12&gt;0,Slot20_IsWG=1,HF12=1),MAX(0,(Slot20_Cost-HG12*(1+Slot20_Rate)^(Slot20_Age-D12))/OB12),0)</f>
        <v>0</v>
      </c>
      <c r="OD12" s="20" t="n">
        <f aca="false">IF(AND(HU12=1,IE12&gt;0,Slot20_IsWG=1,HF12=1),MIN(IE12,OC12),0)</f>
        <v>0</v>
      </c>
      <c r="OE12" s="20" t="n">
        <f aca="false">HG12+OD12</f>
        <v>0</v>
      </c>
      <c r="OF12" s="20" t="n">
        <f aca="false">IF(HF12=1,MAX(0,(Slot20_Cost-OE12*(1+Slot20_Rate)^(Slot20_Age-D12))/OB12),0)</f>
        <v>0</v>
      </c>
      <c r="OG12" s="20" t="n">
        <f aca="false">IF(HF12=1,MAX(0,(Slot20_Cost-HG12*(1+Slot20_Rate)^(Slot20_Age-D12))/OB12),0)</f>
        <v>0</v>
      </c>
      <c r="OH12" s="20" t="n">
        <f aca="false">IF(AND(HU12=1,HF12=1),MIN(OA12,OF12),0)</f>
        <v>0</v>
      </c>
      <c r="OI12" s="20" t="n">
        <f aca="false">OA12-OH12</f>
        <v>0</v>
      </c>
      <c r="OJ12" s="20" t="n">
        <f aca="false">IE12-(IH12+IP12+IX12+JF12+JN12+JV12+KD12+KL12+KT12+LB12+LJ12+LR12+LZ12+MH12+MP12+MX12+NF12+NN12+NV12+OD12)</f>
        <v>0</v>
      </c>
      <c r="OK12" s="20" t="n">
        <f aca="false">IF(HU12=1,HS12-ID12-IE12,0)</f>
        <v>3100.1615956888</v>
      </c>
      <c r="OL12" s="20" t="n">
        <f aca="false">IF(HU12=0,-HS12,0)</f>
        <v>0</v>
      </c>
      <c r="OM12" s="20" t="n">
        <f aca="false">MIN(OL12,HK12)</f>
        <v>0</v>
      </c>
      <c r="ON12" s="20" t="n">
        <f aca="false">OL12-OM12</f>
        <v>0</v>
      </c>
      <c r="OO12" s="20" t="n">
        <f aca="false">MIN(ON12,HL12)</f>
        <v>0</v>
      </c>
      <c r="OP12" s="20" t="n">
        <f aca="false">ON12-OO12</f>
        <v>0</v>
      </c>
      <c r="OQ12" s="20" t="n">
        <f aca="false">IF(AND(HU12=0,HF12=1,OP12&gt;0),MIN(OP12,HG12),0)</f>
        <v>0</v>
      </c>
      <c r="OR12" s="20" t="n">
        <f aca="false">OP12-OQ12</f>
        <v>0</v>
      </c>
      <c r="OS12" s="20" t="n">
        <f aca="false">IF(AND(HU12=0,GV12=1,OR12&gt;0),MIN(OR12,GW12),0)</f>
        <v>0</v>
      </c>
      <c r="OT12" s="20" t="n">
        <f aca="false">OR12-OS12</f>
        <v>0</v>
      </c>
      <c r="OU12" s="20" t="n">
        <f aca="false">IF(AND(HU12=0,GL12=1,OT12&gt;0),MIN(OT12,GM12),0)</f>
        <v>0</v>
      </c>
      <c r="OV12" s="20" t="n">
        <f aca="false">OT12-OU12</f>
        <v>0</v>
      </c>
      <c r="OW12" s="20" t="n">
        <f aca="false">IF(AND(HU12=0,GB12=1,OV12&gt;0),MIN(OV12,GC12),0)</f>
        <v>0</v>
      </c>
      <c r="OX12" s="20" t="n">
        <f aca="false">OV12-OW12</f>
        <v>0</v>
      </c>
      <c r="OY12" s="20" t="n">
        <f aca="false">IF(AND(HU12=0,FR12=1,OX12&gt;0),MIN(OX12,FS12),0)</f>
        <v>0</v>
      </c>
      <c r="OZ12" s="20" t="n">
        <f aca="false">OX12-OY12</f>
        <v>0</v>
      </c>
      <c r="PA12" s="20" t="n">
        <f aca="false">IF(AND(HU12=0,FH12=1,OZ12&gt;0),MIN(OZ12,FI12),0)</f>
        <v>0</v>
      </c>
      <c r="PB12" s="20" t="n">
        <f aca="false">OZ12-PA12</f>
        <v>0</v>
      </c>
      <c r="PC12" s="20" t="n">
        <f aca="false">IF(AND(HU12=0,EX12=1,PB12&gt;0),MIN(PB12,EY12),0)</f>
        <v>0</v>
      </c>
      <c r="PD12" s="20" t="n">
        <f aca="false">PB12-PC12</f>
        <v>0</v>
      </c>
      <c r="PE12" s="20" t="n">
        <f aca="false">IF(AND(HU12=0,EN12=1,PD12&gt;0),MIN(PD12,EO12),0)</f>
        <v>0</v>
      </c>
      <c r="PF12" s="20" t="n">
        <f aca="false">PD12-PE12</f>
        <v>0</v>
      </c>
      <c r="PG12" s="20" t="n">
        <f aca="false">IF(AND(HU12=0,ED12=1,PF12&gt;0),MIN(PF12,EE12),0)</f>
        <v>0</v>
      </c>
      <c r="PH12" s="20" t="n">
        <f aca="false">PF12-PG12</f>
        <v>0</v>
      </c>
      <c r="PI12" s="20" t="n">
        <f aca="false">IF(AND(HU12=0,DT12=1,PH12&gt;0),MIN(PH12,DU12),0)</f>
        <v>0</v>
      </c>
      <c r="PJ12" s="20" t="n">
        <f aca="false">PH12-PI12</f>
        <v>0</v>
      </c>
      <c r="PK12" s="20" t="n">
        <f aca="false">IF(AND(HU12=0,DJ12=1,PJ12&gt;0),MIN(PJ12,DK12),0)</f>
        <v>0</v>
      </c>
      <c r="PL12" s="20" t="n">
        <f aca="false">PJ12-PK12</f>
        <v>0</v>
      </c>
      <c r="PM12" s="20" t="n">
        <f aca="false">IF(AND(HU12=0,CZ12=1,PL12&gt;0),MIN(PL12,DA12),0)</f>
        <v>0</v>
      </c>
      <c r="PN12" s="20" t="n">
        <f aca="false">PL12-PM12</f>
        <v>0</v>
      </c>
      <c r="PO12" s="20" t="n">
        <f aca="false">IF(AND(HU12=0,CP12=1,PN12&gt;0),MIN(PN12,CQ12),0)</f>
        <v>0</v>
      </c>
      <c r="PP12" s="20" t="n">
        <f aca="false">PN12-PO12</f>
        <v>0</v>
      </c>
      <c r="PQ12" s="20" t="n">
        <f aca="false">IF(AND(HU12=0,CF12=1,PP12&gt;0),MIN(PP12,CG12),0)</f>
        <v>0</v>
      </c>
      <c r="PR12" s="20" t="n">
        <f aca="false">PP12-PQ12</f>
        <v>0</v>
      </c>
      <c r="PS12" s="20" t="n">
        <f aca="false">IF(AND(HU12=0,BV12=1,PR12&gt;0),MIN(PR12,BW12),0)</f>
        <v>0</v>
      </c>
      <c r="PT12" s="20" t="n">
        <f aca="false">PR12-PS12</f>
        <v>0</v>
      </c>
      <c r="PU12" s="20" t="n">
        <f aca="false">IF(AND(HU12=0,BL12=1,PT12&gt;0),MIN(PT12,BM12),0)</f>
        <v>0</v>
      </c>
      <c r="PV12" s="20" t="n">
        <f aca="false">PT12-PU12</f>
        <v>0</v>
      </c>
      <c r="PW12" s="20" t="n">
        <f aca="false">IF(AND(HU12=0,BB12=1,PV12&gt;0),MIN(PV12,BC12),0)</f>
        <v>0</v>
      </c>
      <c r="PX12" s="20" t="n">
        <f aca="false">PV12-PW12</f>
        <v>0</v>
      </c>
      <c r="PY12" s="20" t="n">
        <f aca="false">IF(AND(HU12=0,AR12=1,PX12&gt;0),MIN(PX12,AS12),0)</f>
        <v>0</v>
      </c>
      <c r="PZ12" s="20" t="n">
        <f aca="false">PX12-PY12</f>
        <v>0</v>
      </c>
      <c r="QA12" s="20" t="n">
        <f aca="false">IF(AND(HU12=0,AH12=1,PZ12&gt;0),MIN(PZ12,AI12),0)</f>
        <v>0</v>
      </c>
      <c r="QB12" s="20" t="n">
        <f aca="false">PZ12-QA12</f>
        <v>0</v>
      </c>
      <c r="QC12" s="20" t="n">
        <f aca="false">IF(AND(HU12=0,W12=1,QB12&gt;0),MIN(QB12,X12),0)</f>
        <v>0</v>
      </c>
      <c r="QD12" s="20" t="n">
        <f aca="false">QB12-QC12</f>
        <v>0</v>
      </c>
      <c r="QE12" s="20" t="n">
        <f aca="false">IF(HU12=0,QD12,0)</f>
        <v>0</v>
      </c>
      <c r="QF12" s="20" t="n">
        <f aca="false">OM12+OO12+QC12+QA12+PY12+PW12+PU12+PS12+PQ12+PO12+PM12+PK12+PI12+PG12+PE12+PC12+PA12+OY12+OW12+OU12+OS12+OQ12</f>
        <v>0</v>
      </c>
      <c r="QG12" s="20" t="n">
        <f aca="false">IF(HU12=1,HK12+OJ12+OI12+IF(G12=1,0,OK12),HK12-OM12)</f>
        <v>0</v>
      </c>
      <c r="QH12" s="20" t="n">
        <f aca="false">HL12-OO12</f>
        <v>11607.1481860813</v>
      </c>
      <c r="QI12" s="20" t="n">
        <f aca="false">IF(HU12=1,IF(G12=1,ID12+IE12,HS12),0)</f>
        <v>3100.1615956888</v>
      </c>
      <c r="QJ12" s="20" t="n">
        <f aca="false">IF(HU12=1,IF(G12=1,HS12-ID12-IE12,0),0)</f>
        <v>3100.1615956888</v>
      </c>
      <c r="QK12" s="57" t="n">
        <f aca="false">'Plan holdings'!BM12</f>
        <v>0</v>
      </c>
      <c r="QL12" s="20" t="n">
        <f aca="false">QH12*(1+AS_Cash)</f>
        <v>11723.2196679421</v>
      </c>
      <c r="QM12" s="20" t="n">
        <f aca="false">IF(W12=1,IF(HU12=1,II12+IL12,X12-QC12)*(1+Slot1_Rate),0)</f>
        <v>0</v>
      </c>
      <c r="QN12" s="20" t="n">
        <f aca="false">IF(AND(HU12=1,W12=1),(IH12+IL12)/F12,0)</f>
        <v>0</v>
      </c>
      <c r="QO12" s="20" t="n">
        <f aca="false">IF(B12=0,IH12+IL12,0)</f>
        <v>0</v>
      </c>
      <c r="QP12" s="20" t="n">
        <f aca="false">IF(B12=0,IF(HU12=1,IJ12,IK12),0)</f>
        <v>0</v>
      </c>
      <c r="QQ12" s="20" t="n">
        <f aca="false">IF(AH12=1,IF(HU12=1,IQ12+IT12,AI12-QA12)*(1+Slot2_Rate),0)</f>
        <v>0</v>
      </c>
      <c r="QR12" s="20" t="n">
        <f aca="false">IF(AND(HU12=1,AH12=1),(IP12+IT12)/F12,0)</f>
        <v>0</v>
      </c>
      <c r="QS12" s="20" t="n">
        <f aca="false">IF(B12=0,IP12+IT12,0)</f>
        <v>0</v>
      </c>
      <c r="QT12" s="20" t="n">
        <f aca="false">IF(B12=0,IF(HU12=1,IR12,IS12),0)</f>
        <v>0</v>
      </c>
      <c r="QU12" s="20" t="n">
        <f aca="false">IF(AR12=1,IF(HU12=1,IY12+JB12,AS12-PY12)*(1+Slot3_Rate),0)</f>
        <v>5783.59823215738</v>
      </c>
      <c r="QV12" s="20" t="n">
        <f aca="false">IF(AND(HU12=1,AR12=1),(IX12+JB12)/F12,0)</f>
        <v>2864.07011012016</v>
      </c>
      <c r="QW12" s="20" t="n">
        <f aca="false">IF(B12=0,IX12+JB12,0)</f>
        <v>0</v>
      </c>
      <c r="QX12" s="20" t="n">
        <f aca="false">IF(B12=0,IF(HU12=1,IZ12,JA12),0)</f>
        <v>0</v>
      </c>
      <c r="QY12" s="20" t="n">
        <f aca="false">IF(BB12=1,IF(HU12=1,JG12+JJ12,BC12-PW12)*(1+Slot4_Rate),0)</f>
        <v>0</v>
      </c>
      <c r="QZ12" s="20" t="n">
        <f aca="false">IF(AND(HU12=1,BB12=1),(JF12+JJ12)/F12,0)</f>
        <v>0</v>
      </c>
      <c r="RA12" s="20" t="n">
        <f aca="false">IF(B12=0,JF12+JJ12,0)</f>
        <v>0</v>
      </c>
      <c r="RB12" s="20" t="n">
        <f aca="false">IF(B12=0,IF(HU12=1,JH12,JI12),0)</f>
        <v>0</v>
      </c>
      <c r="RC12" s="20" t="n">
        <f aca="false">IF(BL12=1,IF(HU12=1,JO12+JR12,BM12-PU12)*(1+Slot5_Rate),0)</f>
        <v>0</v>
      </c>
      <c r="RD12" s="20" t="n">
        <f aca="false">IF(AND(HU12=1,BL12=1),(JN12+JR12)/F12,0)</f>
        <v>0</v>
      </c>
      <c r="RE12" s="20" t="n">
        <f aca="false">IF(B12=0,JN12+JR12,0)</f>
        <v>0</v>
      </c>
      <c r="RF12" s="20" t="n">
        <f aca="false">IF(B12=0,IF(HU12=1,JP12,JQ12),0)</f>
        <v>0</v>
      </c>
      <c r="RG12" s="20" t="n">
        <f aca="false">IF(BV12=1,IF(HU12=1,JW12+JZ12,BW12-PS12)*(1+Slot6_Rate),0)</f>
        <v>0</v>
      </c>
      <c r="RH12" s="20" t="n">
        <f aca="false">IF(AND(HU12=1,BV12=1),(JV12+JZ12)/F12,0)</f>
        <v>0</v>
      </c>
      <c r="RI12" s="20" t="n">
        <f aca="false">IF(B12=0,JV12+JZ12,0)</f>
        <v>0</v>
      </c>
      <c r="RJ12" s="20" t="n">
        <f aca="false">IF(B12=0,IF(HU12=1,JX12,JY12),0)</f>
        <v>0</v>
      </c>
      <c r="RK12" s="20" t="n">
        <f aca="false">IF(CF12=1,IF(HU12=1,KE12+KH12,CG12-PQ12)*(1+Slot7_Rate),0)</f>
        <v>0</v>
      </c>
      <c r="RL12" s="20" t="n">
        <f aca="false">IF(AND(HU12=1,CF12=1),(KD12+KH12)/F12,0)</f>
        <v>0</v>
      </c>
      <c r="RM12" s="20" t="n">
        <f aca="false">IF(B12=0,KD12+KH12,0)</f>
        <v>0</v>
      </c>
      <c r="RN12" s="20" t="n">
        <f aca="false">IF(B12=0,IF(HU12=1,KF12,KG12),0)</f>
        <v>0</v>
      </c>
      <c r="RO12" s="20" t="n">
        <f aca="false">IF(CP12=1,IF(HU12=1,KM12+KP12,CQ12-PO12)*(1+Slot8_Rate),0)</f>
        <v>0</v>
      </c>
      <c r="RP12" s="20" t="n">
        <f aca="false">IF(AND(HU12=1,CP12=1),(KL12+KP12)/F12,0)</f>
        <v>0</v>
      </c>
      <c r="RQ12" s="20" t="n">
        <f aca="false">IF(B12=0,KL12+KP12,0)</f>
        <v>0</v>
      </c>
      <c r="RR12" s="20" t="n">
        <f aca="false">IF(B12=0,IF(HU12=1,KN12,KO12),0)</f>
        <v>0</v>
      </c>
      <c r="RS12" s="20" t="n">
        <f aca="false">IF(CZ12=1,IF(HU12=1,KU12+KX12,DA12-PM12)*(1+Slot9_Rate),0)</f>
        <v>0</v>
      </c>
      <c r="RT12" s="20" t="n">
        <f aca="false">IF(AND(HU12=1,CZ12=1),(KT12+KX12)/F12,0)</f>
        <v>0</v>
      </c>
      <c r="RU12" s="20" t="n">
        <f aca="false">IF(B12=0,KT12+KX12,0)</f>
        <v>0</v>
      </c>
      <c r="RV12" s="20" t="n">
        <f aca="false">IF(B12=0,IF(HU12=1,KV12,KW12),0)</f>
        <v>0</v>
      </c>
      <c r="RW12" s="20" t="n">
        <f aca="false">IF(DJ12=1,IF(HU12=1,LC12+LF12,DK12-PK12)*(1+Slot10_Rate),0)</f>
        <v>0</v>
      </c>
      <c r="RX12" s="20" t="n">
        <f aca="false">IF(AND(HU12=1,DJ12=1),(LB12+LF12)/F12,0)</f>
        <v>0</v>
      </c>
      <c r="RY12" s="20" t="n">
        <f aca="false">IF(B12=0,LB12+LF12,0)</f>
        <v>0</v>
      </c>
      <c r="RZ12" s="20" t="n">
        <f aca="false">IF(B12=0,IF(HU12=1,LD12,LE12),0)</f>
        <v>0</v>
      </c>
      <c r="SA12" s="20" t="n">
        <f aca="false">IF(DT12=1,IF(HU12=1,LK12+LN12,DU12-PI12)*(1+Slot11_Rate),0)</f>
        <v>0</v>
      </c>
      <c r="SB12" s="20" t="n">
        <f aca="false">IF(AND(HU12=1,DT12=1),(LJ12+LN12)/F12,0)</f>
        <v>0</v>
      </c>
      <c r="SC12" s="20" t="n">
        <f aca="false">IF(B12=0,LJ12+LN12,0)</f>
        <v>0</v>
      </c>
      <c r="SD12" s="20" t="n">
        <f aca="false">IF(B12=0,IF(HU12=1,LL12,LM12),0)</f>
        <v>0</v>
      </c>
      <c r="SE12" s="20" t="n">
        <f aca="false">IF(ED12=1,IF(HU12=1,LS12+LV12,EE12-PG12)*(1+Slot12_Rate),0)</f>
        <v>0</v>
      </c>
      <c r="SF12" s="20" t="n">
        <f aca="false">IF(AND(HU12=1,ED12=1),(LR12+LV12)/F12,0)</f>
        <v>0</v>
      </c>
      <c r="SG12" s="20" t="n">
        <f aca="false">IF(B12=0,LR12+LV12,0)</f>
        <v>0</v>
      </c>
      <c r="SH12" s="20" t="n">
        <f aca="false">IF(B12=0,IF(HU12=1,LT12,LU12),0)</f>
        <v>0</v>
      </c>
      <c r="SI12" s="20" t="n">
        <f aca="false">IF(EN12=1,IF(HU12=1,MA12+MD12,EO12-PE12)*(1+Slot13_Rate),0)</f>
        <v>0</v>
      </c>
      <c r="SJ12" s="20" t="n">
        <f aca="false">IF(AND(HU12=1,EN12=1),(LZ12+MD12)/F12,0)</f>
        <v>0</v>
      </c>
      <c r="SK12" s="20" t="n">
        <f aca="false">IF(B12=0,LZ12+MD12,0)</f>
        <v>0</v>
      </c>
      <c r="SL12" s="20" t="n">
        <f aca="false">IF(B12=0,IF(HU12=1,MB12,MC12),0)</f>
        <v>0</v>
      </c>
      <c r="SM12" s="20" t="n">
        <f aca="false">IF(EX12=1,IF(HU12=1,MI12+ML12,EY12-PC12)*(1+Slot14_Rate),0)</f>
        <v>0</v>
      </c>
      <c r="SN12" s="20" t="n">
        <f aca="false">IF(AND(HU12=1,EX12=1),(MH12+ML12)/F12,0)</f>
        <v>0</v>
      </c>
      <c r="SO12" s="20" t="n">
        <f aca="false">IF(B12=0,MH12+ML12,0)</f>
        <v>0</v>
      </c>
      <c r="SP12" s="20" t="n">
        <f aca="false">IF(B12=0,IF(HU12=1,MJ12,MK12),0)</f>
        <v>0</v>
      </c>
      <c r="SQ12" s="20" t="n">
        <f aca="false">IF(FH12=1,IF(HU12=1,MQ12+MT12,FI12-PA12)*(1+Slot15_Rate),0)</f>
        <v>0</v>
      </c>
      <c r="SR12" s="20" t="n">
        <f aca="false">IF(AND(HU12=1,FH12=1),(MP12+MT12)/F12,0)</f>
        <v>0</v>
      </c>
      <c r="SS12" s="20" t="n">
        <f aca="false">IF(B12=0,MP12+MT12,0)</f>
        <v>0</v>
      </c>
      <c r="ST12" s="20" t="n">
        <f aca="false">IF(B12=0,IF(HU12=1,MR12,MS12),0)</f>
        <v>0</v>
      </c>
      <c r="SU12" s="20" t="n">
        <f aca="false">IF(FR12=1,IF(HU12=1,MY12+NB12,FS12-OY12)*(1+Slot16_Rate),0)</f>
        <v>0</v>
      </c>
      <c r="SV12" s="20" t="n">
        <f aca="false">IF(AND(HU12=1,FR12=1),(MX12+NB12)/F12,0)</f>
        <v>0</v>
      </c>
      <c r="SW12" s="20" t="n">
        <f aca="false">IF(B12=0,MX12+NB12,0)</f>
        <v>0</v>
      </c>
      <c r="SX12" s="20" t="n">
        <f aca="false">IF(B12=0,IF(HU12=1,MZ12,NA12),0)</f>
        <v>0</v>
      </c>
      <c r="SY12" s="20" t="n">
        <f aca="false">IF(GB12=1,IF(HU12=1,NG12+NJ12,GC12-OW12)*(1+Slot17_Rate),0)</f>
        <v>0</v>
      </c>
      <c r="SZ12" s="20" t="n">
        <f aca="false">IF(AND(HU12=1,GB12=1),(NF12+NJ12)/F12,0)</f>
        <v>0</v>
      </c>
      <c r="TA12" s="20" t="n">
        <f aca="false">IF(B12=0,NF12+NJ12,0)</f>
        <v>0</v>
      </c>
      <c r="TB12" s="20" t="n">
        <f aca="false">IF(B12=0,IF(HU12=1,NH12,NI12),0)</f>
        <v>0</v>
      </c>
      <c r="TC12" s="20" t="n">
        <f aca="false">IF(GL12=1,IF(HU12=1,NO12+NR12,GM12-OU12)*(1+Slot18_Rate),0)</f>
        <v>0</v>
      </c>
      <c r="TD12" s="20" t="n">
        <f aca="false">IF(AND(HU12=1,GL12=1),(NN12+NR12)/F12,0)</f>
        <v>0</v>
      </c>
      <c r="TE12" s="20" t="n">
        <f aca="false">IF(B12=0,NN12+NR12,0)</f>
        <v>0</v>
      </c>
      <c r="TF12" s="20" t="n">
        <f aca="false">IF(B12=0,IF(HU12=1,NP12,NQ12),0)</f>
        <v>0</v>
      </c>
      <c r="TG12" s="20" t="n">
        <f aca="false">IF(GV12=1,IF(HU12=1,NW12+NZ12,GW12-OS12)*(1+Slot19_Rate),0)</f>
        <v>0</v>
      </c>
      <c r="TH12" s="20" t="n">
        <f aca="false">IF(AND(HU12=1,GV12=1),(NV12+NZ12)/F12,0)</f>
        <v>0</v>
      </c>
      <c r="TI12" s="20" t="n">
        <f aca="false">IF(B12=0,NV12+NZ12,0)</f>
        <v>0</v>
      </c>
      <c r="TJ12" s="20" t="n">
        <f aca="false">IF(B12=0,IF(HU12=1,NX12,NY12),0)</f>
        <v>0</v>
      </c>
      <c r="TK12" s="20" t="n">
        <f aca="false">IF(HF12=1,IF(HU12=1,OE12+OH12,HG12-OQ12)*(1+Slot20_Rate),0)</f>
        <v>0</v>
      </c>
      <c r="TL12" s="20" t="n">
        <f aca="false">IF(AND(HU12=1,HF12=1),(OD12+OH12)/F12,0)</f>
        <v>0</v>
      </c>
      <c r="TM12" s="20" t="n">
        <f aca="false">IF(B12=0,OD12+OH12,0)</f>
        <v>0</v>
      </c>
      <c r="TN12" s="20" t="n">
        <f aca="false">IF(B12=0,IF(HU12=1,OF12,OG12),0)</f>
        <v>0</v>
      </c>
      <c r="TO12" s="20" t="n">
        <f aca="false">QK12+QL12+QM12+QQ12+QU12+QY12+RC12+RG12+RK12+RO12+RS12+RW12+SA12+SE12+SI12+SM12+SQ12+SU12+SY12+TC12+TG12+TK12</f>
        <v>17506.8179000995</v>
      </c>
      <c r="TP12" s="20" t="n">
        <f aca="false">QE12+HP12</f>
        <v>0</v>
      </c>
      <c r="TQ12" s="20" t="n">
        <f aca="false">I12+S12</f>
        <v>62869.4472</v>
      </c>
      <c r="TR12" s="20" t="n">
        <f aca="false">1-G12</f>
        <v>0</v>
      </c>
      <c r="TS12" s="20" t="n">
        <f aca="false">IF(AND(RG_Exists=1,G12=0,C12=1),I12,0)</f>
        <v>0</v>
      </c>
      <c r="TT12" s="20" t="n">
        <f aca="false">IF(AND(RG_Exists=1,G12=0,C12=1),I12-MIN(QE12,I12),0)</f>
        <v>0</v>
      </c>
      <c r="TU12" s="20" t="n">
        <f aca="false">'Plan pay &amp; tax'!AD238</f>
        <v>125878.770665925</v>
      </c>
      <c r="TV12" s="20" t="n">
        <f aca="false">IF(AND(C12=1,QE12&gt;MAX(PR_Short1,TQ12*PR_Short2)),1,0)</f>
        <v>0</v>
      </c>
      <c r="TW12" s="20" t="n">
        <f aca="false">MIN(H12,I12+S12)</f>
        <v>62869.4472</v>
      </c>
      <c r="TX12" s="20" t="n">
        <f aca="false">QF12+MAX(0,HQ12-HP12)</f>
        <v>0</v>
      </c>
      <c r="TY12" s="20" t="n">
        <f aca="false">QE12+HP12</f>
        <v>0</v>
      </c>
      <c r="TZ12" s="20" t="n">
        <f aca="false">IF(AND(C12=1,TY12&gt;PR_MinShort),1,0)</f>
        <v>0</v>
      </c>
      <c r="UA12" s="20" t="n">
        <f aca="false">IF(AND(C12=1,TZ12=0,TX12&gt;PR_MinShort),1,0)</f>
        <v>0</v>
      </c>
      <c r="UB12" s="20" t="n">
        <f aca="false">IF(AND(C12=1,QE12&gt;PR_MinShort),1,0)</f>
        <v>0</v>
      </c>
      <c r="UC12" s="20" t="n">
        <f aca="false">IF(AND(C12=1,QF12&gt;1,UJ12=0),1,0)</f>
        <v>0</v>
      </c>
      <c r="UD12" s="20" t="str">
        <f aca="false">IF(C12=0,"",IF(UJ12=1,"Gap to plan for: short "&amp;"€"&amp;TEXT(ROUND(TP12,0),"#,##0"),IF(QF12&gt;1,"Using savings","Comfortable")))</f>
        <v>Comfortable</v>
      </c>
      <c r="UE12" s="20" t="n">
        <f aca="false">IF(AND(INT(D12/10)*10=90,B12&gt;0),80,INT(D12/10)*10)</f>
        <v>40</v>
      </c>
      <c r="UF12" s="20" t="n">
        <f aca="false">IF(B12=0,1,IF(UE12&lt;&gt;UE11,UF11+1,UF11))</f>
        <v>2</v>
      </c>
      <c r="UG12" s="20" t="n">
        <f aca="false">IF(AND(C12=1,G12=1,QE12&gt;MAX(PR_Short1,TQ12*PR_Short2)),1,0)</f>
        <v>0</v>
      </c>
      <c r="UH12" s="20" t="n">
        <f aca="false">TR12*TV12</f>
        <v>0</v>
      </c>
      <c r="UI12" s="20" t="n">
        <f aca="false">IF(AND(V12=1,Slot1_PctLow=1),1,0)+IF(AND(AG12=1,Slot2_PctLow=1),1,0)+IF(AND(AQ12=1,Slot3_PctLow=1),1,0)+IF(AND(BA12=1,Slot4_PctLow=1),1,0)+IF(AND(BK12=1,Slot5_PctLow=1),1,0)+IF(AND(BU12=1,Slot6_PctLow=1),1,0)+IF(AND(CE12=1,Slot7_PctLow=1),1,0)+IF(AND(CO12=1,Slot8_PctLow=1),1,0)+IF(AND(CY12=1,Slot9_PctLow=1),1,0)+IF(AND(DI12=1,Slot10_PctLow=1),1,0)+IF(AND(DS12=1,Slot11_PctLow=1),1,0)+IF(AND(EC12=1,Slot12_PctLow=1),1,0)+IF(AND(EM12=1,Slot13_PctLow=1),1,0)+IF(AND(EW12=1,Slot14_PctLow=1),1,0)+IF(AND(FG12=1,Slot15_PctLow=1),1,0)+IF(AND(FQ12=1,Slot16_PctLow=1),1,0)+IF(AND(GA12=1,Slot17_PctLow=1),1,0)+IF(AND(GK12=1,Slot18_PctLow=1),1,0)+IF(AND(GU12=1,Slot19_PctLow=1),1,0)+IF(AND(HE12=1,Slot20_PctLow=1),1,0)</f>
        <v>0</v>
      </c>
      <c r="UJ12" s="20" t="n">
        <f aca="false">IF(C12=1,IF(OR(TV12=1,UI12&gt;0),1,0),0)</f>
        <v>0</v>
      </c>
      <c r="UK12" s="20" t="n">
        <f aca="false">Z12+AK12+AU12+BE12+BO12+BY12+CI12+CS12+DC12+DM12+DW12+EG12+EQ12+FA12+FK12+FU12+GE12+GO12+GY12+HI12+OM12</f>
        <v>0</v>
      </c>
      <c r="UL12" s="20" t="n">
        <f aca="false">V12*IF(Slot1_SpendLike=1,X12-Y12,IF(Slot1_PotFree=1,X12,0))+AG12*IF(Slot2_SpendLike=1,AI12-AJ12,IF(Slot2_PotFree=1,AI12,0))+AQ12*IF(Slot3_SpendLike=1,AS12-AT12,IF(Slot3_PotFree=1,AS12,0))+BA12*IF(Slot4_SpendLike=1,BC12-BD12,IF(Slot4_PotFree=1,BC12,0))+BK12*IF(Slot5_SpendLike=1,BM12-BN12,IF(Slot5_PotFree=1,BM12,0))+BU12*IF(Slot6_SpendLike=1,BW12-BX12,IF(Slot6_PotFree=1,BW12,0))+CE12*IF(Slot7_SpendLike=1,CG12-CH12,IF(Slot7_PotFree=1,CG12,0))+CO12*IF(Slot8_SpendLike=1,CQ12-CR12,IF(Slot8_PotFree=1,CQ12,0))+CY12*IF(Slot9_SpendLike=1,DA12-DB12,IF(Slot9_PotFree=1,DA12,0))+DI12*IF(Slot10_SpendLike=1,DK12-DL12,IF(Slot10_PotFree=1,DK12,0))+DS12*IF(Slot11_SpendLike=1,DU12-DV12,IF(Slot11_PotFree=1,DU12,0))+EC12*IF(Slot12_SpendLike=1,EE12-EF12,IF(Slot12_PotFree=1,EE12,0))+EM12*IF(Slot13_SpendLike=1,EO12-EP12,IF(Slot13_PotFree=1,EO12,0))+EW12*IF(Slot14_SpendLike=1,EY12-EZ12,IF(Slot14_PotFree=1,EY12,0))+FG12*IF(Slot15_SpendLike=1,FI12-FJ12,IF(Slot15_PotFree=1,FI12,0))+FQ12*IF(Slot16_SpendLike=1,FS12-FT12,IF(Slot16_PotFree=1,FS12,0))+GA12*IF(Slot17_SpendLike=1,GC12-GD12,IF(Slot17_PotFree=1,GC12,0))+GK12*IF(Slot18_SpendLike=1,GM12-GN12,IF(Slot18_PotFree=1,GM12,0))+GU12*IF(Slot19_SpendLike=1,GW12-GX12,IF(Slot19_PotFree=1,GW12,0))+HE12*IF(Slot20_SpendLike=1,HG12-HH12,IF(Slot20_PotFree=1,HG12,0))</f>
        <v>0</v>
      </c>
      <c r="UM12" s="20" t="n">
        <f aca="false">QG12-T12+UK12-UL12</f>
        <v>0</v>
      </c>
      <c r="UN12" s="20" t="n">
        <f aca="false">IF(OR(UN11=1,AND(In_homeUse="Yes, I'd downsize",In_downAge&gt;0,D12=In_downAge,OR(In_home="Own outright",In_home="Own with mortgage"),In_homeValue&gt;0)),1,0)</f>
        <v>0</v>
      </c>
    </row>
    <row r="13" customFormat="false" ht="15" hidden="false" customHeight="true" outlineLevel="0" collapsed="false">
      <c r="B13" s="20" t="n">
        <v>5</v>
      </c>
      <c r="C13" s="20" t="n">
        <f aca="false">IF(B13&lt;=F_N,1,0)</f>
        <v>1</v>
      </c>
      <c r="D13" s="20" t="n">
        <f aca="false">'Plan pay &amp; tax'!C239</f>
        <v>43</v>
      </c>
      <c r="E13" s="20" t="str">
        <f aca="false">IF($C13=1,"Income tax "&amp;TEXT(N('Plan pay &amp; tax'!BK239),"#,##0")&amp;"; USC "&amp;TEXT(N('Plan pay &amp; tax'!BM239)+N('Plan pay &amp; tax'!BO239),"#,##0")&amp;"; PRSI "&amp;TEXT(N('Plan pay &amp; tax'!BP239)+N('Plan pay &amp; tax'!BQ239),"#,##0")&amp;IF(N('Plan holdings'!BO13)&gt;=0.5,"; DIRT "&amp;TEXT(('Plan holdings'!BO13)/$F13,"#,##0")&amp;" (already taken from the interest earned)","")&amp;IF(N('Plan holdings'!BP13)&gt;=0.5,"; exit tax at an 8-year anniversary "&amp;TEXT(('Plan holdings'!BP13)/$F13,"#,##0"),"")&amp;IF(N('Plan holdings'!BN13)&gt;=0.5,"; tax on assets sold (exit tax or capital gains tax) "&amp;TEXT(('Plan holdings'!BN13)/$F13,"#,##0"),"")&amp;IF(N('Plan pay &amp; tax'!X239)-N('Plan pay &amp; tax'!Y239)&gt;=0.5,"; tax on the pension lump sum "&amp;TEXT(('Plan pay &amp; tax'!X239-'Plan pay &amp; tax'!Y239)/$F13,"#,##0"),"")&amp;IF(N('Plan pay &amp; tax'!V239)&gt;=0.5,"; chargeable excess tax on the pension "&amp;TEXT(('Plan pay &amp; tax'!V239)/$F13,"#,##0"),"")&amp;".","")</f>
        <v>Income tax 10,869; USC 1,642; PRSI 3,948; DIRT 52 (already taken from the interest earned).</v>
      </c>
      <c r="F13" s="50" t="n">
        <f aca="false">'Plan pay &amp; tax'!E239</f>
        <v>1.1040808032</v>
      </c>
      <c r="G13" s="20" t="n">
        <f aca="false">'Plan pay &amp; tax'!G239</f>
        <v>1</v>
      </c>
      <c r="H13" s="20" t="n">
        <f aca="false">'Plan pay &amp; tax'!BT239-'Plan pay &amp; tax'!BS239-'Plan pay &amp; tax'!R239</f>
        <v>70953.007667408</v>
      </c>
      <c r="I13" s="20" t="n">
        <f aca="false">IF(G13=1,F_CostsM*12,IF(RG_Exists=1,RG_Amount,F_CostsM*12*AS_RetireSpend))*F13+F_OneOffY*F13</f>
        <v>49683.636144</v>
      </c>
      <c r="J13" s="20" t="n">
        <f aca="false">IF(UN13=1,0,HR12)</f>
        <v>168928.367821573</v>
      </c>
      <c r="K13" s="20" t="n">
        <f aca="false">IF(J13&gt;1,'Plan debt months'!AC13,0)</f>
        <v>14160</v>
      </c>
      <c r="L13" s="20" t="n">
        <f aca="false">IF(J13&gt;1,'Plan debt months'!AB13,J13)</f>
        <v>161135.553618638</v>
      </c>
      <c r="M13" s="20" t="n">
        <f aca="false">O12</f>
        <v>0</v>
      </c>
      <c r="N13" s="20" t="n">
        <f aca="false">IF(M13&gt;1,'Plan debt months'!BD13,0)</f>
        <v>0</v>
      </c>
      <c r="O13" s="20" t="n">
        <f aca="false">IF(M13&gt;1,'Plan debt months'!BC13,M13)</f>
        <v>0</v>
      </c>
      <c r="P13" s="20" t="n">
        <f aca="false">R12</f>
        <v>0</v>
      </c>
      <c r="Q13" s="20" t="n">
        <f aca="false">IF(P13&gt;1,'Plan debt months'!CE13,0)</f>
        <v>0</v>
      </c>
      <c r="R13" s="20" t="n">
        <f aca="false">IF(P13&gt;1,'Plan debt months'!CD13,P13)</f>
        <v>0</v>
      </c>
      <c r="S13" s="20" t="n">
        <f aca="false">K13+N13+Q13</f>
        <v>14160</v>
      </c>
      <c r="T13" s="57" t="n">
        <f aca="false">'Plan holdings'!Y13</f>
        <v>0</v>
      </c>
      <c r="U13" s="57" t="n">
        <f aca="false">'Plan holdings'!BM12</f>
        <v>0</v>
      </c>
      <c r="V13" s="20" t="n">
        <f aca="false">IF(AND(Slot1_On=1,D13=Slot1_Age),1,0)</f>
        <v>0</v>
      </c>
      <c r="W13" s="20" t="n">
        <f aca="false">IF(AND(Slot1_On=1,Slot1_Age&gt;D13),1,0)</f>
        <v>0</v>
      </c>
      <c r="X13" s="20" t="n">
        <f aca="false">QM12</f>
        <v>0</v>
      </c>
      <c r="Y13" s="20" t="n">
        <f aca="false">V13*MIN(Slot1_Cost,X13)</f>
        <v>0</v>
      </c>
      <c r="Z13" s="20" t="n">
        <f aca="false">V13*Slot1_SpendLike*MIN(Slot1_Cost-Y13,T13)</f>
        <v>0</v>
      </c>
      <c r="AA13" s="20" t="n">
        <f aca="false">Y13+Z13</f>
        <v>0</v>
      </c>
      <c r="AB13" s="20" t="n">
        <f aca="false">T13-Z13+V13*IF(Slot1_SpendLike=1,X13-Y13,IF(Slot1_PotFree=1,X13,0))</f>
        <v>0</v>
      </c>
      <c r="AC13" s="20" t="n">
        <f aca="false">AF13+V13*Slot1_BufPot*X13</f>
        <v>11723.2196679421</v>
      </c>
      <c r="AD13" s="20" t="n">
        <f aca="false">IF(AND(V13=1,Slot1_IsMfree=1),IF(AA13&gt;=Slot1_Cost-1,0,MAX(0,L13-AA13)),L13)</f>
        <v>161135.553618638</v>
      </c>
      <c r="AE13" s="20" t="n">
        <f aca="false">V13*(Slot1_Cost-AA13)</f>
        <v>0</v>
      </c>
      <c r="AF13" s="20" t="n">
        <f aca="false">QL12</f>
        <v>11723.2196679421</v>
      </c>
      <c r="AG13" s="20" t="n">
        <f aca="false">IF(AND(Slot2_On=1,D13=Slot2_Age),1,0)</f>
        <v>0</v>
      </c>
      <c r="AH13" s="20" t="n">
        <f aca="false">IF(AND(Slot2_On=1,Slot2_Age&gt;D13),1,0)</f>
        <v>0</v>
      </c>
      <c r="AI13" s="20" t="n">
        <f aca="false">QQ12</f>
        <v>0</v>
      </c>
      <c r="AJ13" s="20" t="n">
        <f aca="false">AG13*MIN(Slot2_Cost,AI13)</f>
        <v>0</v>
      </c>
      <c r="AK13" s="20" t="n">
        <f aca="false">AG13*Slot2_SpendLike*MIN(Slot2_Cost-AJ13,AB13)</f>
        <v>0</v>
      </c>
      <c r="AL13" s="20" t="n">
        <f aca="false">AJ13+AK13</f>
        <v>0</v>
      </c>
      <c r="AM13" s="20" t="n">
        <f aca="false">AB13-AK13+AG13*IF(Slot2_SpendLike=1,AI13-AJ13,IF(Slot2_PotFree=1,AI13,0))</f>
        <v>0</v>
      </c>
      <c r="AN13" s="20" t="n">
        <f aca="false">AC13+AG13*Slot2_BufPot*AI13</f>
        <v>11723.2196679421</v>
      </c>
      <c r="AO13" s="20" t="n">
        <f aca="false">IF(AND(AG13=1,Slot2_IsMfree=1),IF(AL13&gt;=Slot2_Cost-1,0,MAX(0,AD13-AL13)),AD13)</f>
        <v>161135.553618638</v>
      </c>
      <c r="AP13" s="20" t="n">
        <f aca="false">AG13*(Slot2_Cost-AL13)</f>
        <v>0</v>
      </c>
      <c r="AQ13" s="20" t="n">
        <f aca="false">IF(AND(Slot3_On=1,D13=Slot3_Age),1,0)</f>
        <v>0</v>
      </c>
      <c r="AR13" s="20" t="n">
        <f aca="false">IF(AND(Slot3_On=1,Slot3_Age&gt;D13),1,0)</f>
        <v>1</v>
      </c>
      <c r="AS13" s="20" t="n">
        <f aca="false">QU12</f>
        <v>5783.59823215738</v>
      </c>
      <c r="AT13" s="20" t="n">
        <f aca="false">AQ13*MIN(Slot3_Cost,AS13)</f>
        <v>0</v>
      </c>
      <c r="AU13" s="20" t="n">
        <f aca="false">AQ13*Slot3_SpendLike*MIN(Slot3_Cost-AT13,AM13)</f>
        <v>0</v>
      </c>
      <c r="AV13" s="20" t="n">
        <f aca="false">AT13+AU13</f>
        <v>0</v>
      </c>
      <c r="AW13" s="20" t="n">
        <f aca="false">AM13-AU13+AQ13*IF(Slot3_SpendLike=1,AS13-AT13,IF(Slot3_PotFree=1,AS13,0))</f>
        <v>0</v>
      </c>
      <c r="AX13" s="20" t="n">
        <f aca="false">AN13+AQ13*Slot3_BufPot*AS13</f>
        <v>11723.2196679421</v>
      </c>
      <c r="AY13" s="20" t="n">
        <f aca="false">IF(AND(AQ13=1,Slot3_IsMfree=1),IF(AV13&gt;=Slot3_Cost-1,0,MAX(0,AO13-AV13)),AO13)</f>
        <v>161135.553618638</v>
      </c>
      <c r="AZ13" s="20" t="n">
        <f aca="false">AQ13*(Slot3_Cost-AV13)</f>
        <v>0</v>
      </c>
      <c r="BA13" s="20" t="n">
        <f aca="false">IF(AND(Slot4_On=1,D13=Slot4_Age),1,0)</f>
        <v>0</v>
      </c>
      <c r="BB13" s="20" t="n">
        <f aca="false">IF(AND(Slot4_On=1,Slot4_Age&gt;D13),1,0)</f>
        <v>1</v>
      </c>
      <c r="BC13" s="20" t="n">
        <f aca="false">QY12</f>
        <v>0</v>
      </c>
      <c r="BD13" s="20" t="n">
        <f aca="false">BA13*MIN(Slot4_Cost,BC13)</f>
        <v>0</v>
      </c>
      <c r="BE13" s="20" t="n">
        <f aca="false">BA13*Slot4_SpendLike*MIN(Slot4_Cost-BD13,AW13)</f>
        <v>0</v>
      </c>
      <c r="BF13" s="20" t="n">
        <f aca="false">BD13+BE13</f>
        <v>0</v>
      </c>
      <c r="BG13" s="20" t="n">
        <f aca="false">AW13-BE13+BA13*IF(Slot4_SpendLike=1,BC13-BD13,IF(Slot4_PotFree=1,BC13,0))</f>
        <v>0</v>
      </c>
      <c r="BH13" s="20" t="n">
        <f aca="false">AX13+BA13*Slot4_BufPot*BC13</f>
        <v>11723.2196679421</v>
      </c>
      <c r="BI13" s="20" t="n">
        <f aca="false">IF(AND(BA13=1,Slot4_IsMfree=1),IF(BF13&gt;=Slot4_Cost-1,0,MAX(0,AY13-BF13)),AY13)</f>
        <v>161135.553618638</v>
      </c>
      <c r="BJ13" s="20" t="n">
        <f aca="false">BA13*(Slot4_Cost-BF13)</f>
        <v>0</v>
      </c>
      <c r="BK13" s="20" t="n">
        <f aca="false">IF(AND(Slot5_On=1,D13=Slot5_Age),1,0)</f>
        <v>0</v>
      </c>
      <c r="BL13" s="20" t="n">
        <f aca="false">IF(AND(Slot5_On=1,Slot5_Age&gt;D13),1,0)</f>
        <v>0</v>
      </c>
      <c r="BM13" s="20" t="n">
        <f aca="false">RC12</f>
        <v>0</v>
      </c>
      <c r="BN13" s="20" t="n">
        <f aca="false">BK13*MIN(Slot5_Cost,BM13)</f>
        <v>0</v>
      </c>
      <c r="BO13" s="20" t="n">
        <f aca="false">BK13*Slot5_SpendLike*MIN(Slot5_Cost-BN13,BG13)</f>
        <v>0</v>
      </c>
      <c r="BP13" s="20" t="n">
        <f aca="false">BN13+BO13</f>
        <v>0</v>
      </c>
      <c r="BQ13" s="20" t="n">
        <f aca="false">BG13-BO13+BK13*IF(Slot5_SpendLike=1,BM13-BN13,IF(Slot5_PotFree=1,BM13,0))</f>
        <v>0</v>
      </c>
      <c r="BR13" s="20" t="n">
        <f aca="false">BH13+BK13*Slot5_BufPot*BM13</f>
        <v>11723.2196679421</v>
      </c>
      <c r="BS13" s="20" t="n">
        <f aca="false">IF(AND(BK13=1,Slot5_IsMfree=1),IF(BP13&gt;=Slot5_Cost-1,0,MAX(0,BI13-BP13)),BI13)</f>
        <v>161135.553618638</v>
      </c>
      <c r="BT13" s="20" t="n">
        <f aca="false">BK13*(Slot5_Cost-BP13)</f>
        <v>0</v>
      </c>
      <c r="BU13" s="20" t="n">
        <f aca="false">IF(AND(Slot6_On=1,D13=Slot6_Age),1,0)</f>
        <v>0</v>
      </c>
      <c r="BV13" s="20" t="n">
        <f aca="false">IF(AND(Slot6_On=1,Slot6_Age&gt;D13),1,0)</f>
        <v>0</v>
      </c>
      <c r="BW13" s="20" t="n">
        <f aca="false">RG12</f>
        <v>0</v>
      </c>
      <c r="BX13" s="20" t="n">
        <f aca="false">BU13*MIN(Slot6_Cost,BW13)</f>
        <v>0</v>
      </c>
      <c r="BY13" s="20" t="n">
        <f aca="false">BU13*Slot6_SpendLike*MIN(Slot6_Cost-BX13,BQ13)</f>
        <v>0</v>
      </c>
      <c r="BZ13" s="20" t="n">
        <f aca="false">BX13+BY13</f>
        <v>0</v>
      </c>
      <c r="CA13" s="20" t="n">
        <f aca="false">BQ13-BY13+BU13*IF(Slot6_SpendLike=1,BW13-BX13,IF(Slot6_PotFree=1,BW13,0))</f>
        <v>0</v>
      </c>
      <c r="CB13" s="20" t="n">
        <f aca="false">BR13+BU13*Slot6_BufPot*BW13</f>
        <v>11723.2196679421</v>
      </c>
      <c r="CC13" s="20" t="n">
        <f aca="false">IF(AND(BU13=1,Slot6_IsMfree=1),IF(BZ13&gt;=Slot6_Cost-1,0,MAX(0,BS13-BZ13)),BS13)</f>
        <v>161135.553618638</v>
      </c>
      <c r="CD13" s="20" t="n">
        <f aca="false">BU13*(Slot6_Cost-BZ13)</f>
        <v>0</v>
      </c>
      <c r="CE13" s="20" t="n">
        <f aca="false">IF(AND(Slot7_On=1,D13=Slot7_Age),1,0)</f>
        <v>0</v>
      </c>
      <c r="CF13" s="20" t="n">
        <f aca="false">IF(AND(Slot7_On=1,Slot7_Age&gt;D13),1,0)</f>
        <v>0</v>
      </c>
      <c r="CG13" s="20" t="n">
        <f aca="false">RK12</f>
        <v>0</v>
      </c>
      <c r="CH13" s="20" t="n">
        <f aca="false">CE13*MIN(Slot7_Cost,CG13)</f>
        <v>0</v>
      </c>
      <c r="CI13" s="20" t="n">
        <f aca="false">CE13*Slot7_SpendLike*MIN(Slot7_Cost-CH13,CA13)</f>
        <v>0</v>
      </c>
      <c r="CJ13" s="20" t="n">
        <f aca="false">CH13+CI13</f>
        <v>0</v>
      </c>
      <c r="CK13" s="20" t="n">
        <f aca="false">CA13-CI13+CE13*IF(Slot7_SpendLike=1,CG13-CH13,IF(Slot7_PotFree=1,CG13,0))</f>
        <v>0</v>
      </c>
      <c r="CL13" s="20" t="n">
        <f aca="false">CB13+CE13*Slot7_BufPot*CG13</f>
        <v>11723.2196679421</v>
      </c>
      <c r="CM13" s="20" t="n">
        <f aca="false">IF(AND(CE13=1,Slot7_IsMfree=1),IF(CJ13&gt;=Slot7_Cost-1,0,MAX(0,CC13-CJ13)),CC13)</f>
        <v>161135.553618638</v>
      </c>
      <c r="CN13" s="20" t="n">
        <f aca="false">CE13*(Slot7_Cost-CJ13)</f>
        <v>0</v>
      </c>
      <c r="CO13" s="20" t="n">
        <f aca="false">IF(AND(Slot8_On=1,D13=Slot8_Age),1,0)</f>
        <v>0</v>
      </c>
      <c r="CP13" s="20" t="n">
        <f aca="false">IF(AND(Slot8_On=1,Slot8_Age&gt;D13),1,0)</f>
        <v>0</v>
      </c>
      <c r="CQ13" s="20" t="n">
        <f aca="false">RO12</f>
        <v>0</v>
      </c>
      <c r="CR13" s="20" t="n">
        <f aca="false">CO13*MIN(Slot8_Cost,CQ13)</f>
        <v>0</v>
      </c>
      <c r="CS13" s="20" t="n">
        <f aca="false">CO13*Slot8_SpendLike*MIN(Slot8_Cost-CR13,CK13)</f>
        <v>0</v>
      </c>
      <c r="CT13" s="20" t="n">
        <f aca="false">CR13+CS13</f>
        <v>0</v>
      </c>
      <c r="CU13" s="20" t="n">
        <f aca="false">CK13-CS13+CO13*IF(Slot8_SpendLike=1,CQ13-CR13,IF(Slot8_PotFree=1,CQ13,0))</f>
        <v>0</v>
      </c>
      <c r="CV13" s="20" t="n">
        <f aca="false">CL13+CO13*Slot8_BufPot*CQ13</f>
        <v>11723.2196679421</v>
      </c>
      <c r="CW13" s="20" t="n">
        <f aca="false">IF(AND(CO13=1,Slot8_IsMfree=1),IF(CT13&gt;=Slot8_Cost-1,0,MAX(0,CM13-CT13)),CM13)</f>
        <v>161135.553618638</v>
      </c>
      <c r="CX13" s="20" t="n">
        <f aca="false">CO13*(Slot8_Cost-CT13)</f>
        <v>0</v>
      </c>
      <c r="CY13" s="20" t="n">
        <f aca="false">IF(AND(Slot9_On=1,D13=Slot9_Age),1,0)</f>
        <v>0</v>
      </c>
      <c r="CZ13" s="20" t="n">
        <f aca="false">IF(AND(Slot9_On=1,Slot9_Age&gt;D13),1,0)</f>
        <v>0</v>
      </c>
      <c r="DA13" s="20" t="n">
        <f aca="false">RS12</f>
        <v>0</v>
      </c>
      <c r="DB13" s="20" t="n">
        <f aca="false">CY13*MIN(Slot9_Cost,DA13)</f>
        <v>0</v>
      </c>
      <c r="DC13" s="20" t="n">
        <f aca="false">CY13*Slot9_SpendLike*MIN(Slot9_Cost-DB13,CU13)</f>
        <v>0</v>
      </c>
      <c r="DD13" s="20" t="n">
        <f aca="false">DB13+DC13</f>
        <v>0</v>
      </c>
      <c r="DE13" s="20" t="n">
        <f aca="false">CU13-DC13+CY13*IF(Slot9_SpendLike=1,DA13-DB13,IF(Slot9_PotFree=1,DA13,0))</f>
        <v>0</v>
      </c>
      <c r="DF13" s="20" t="n">
        <f aca="false">CV13+CY13*Slot9_BufPot*DA13</f>
        <v>11723.2196679421</v>
      </c>
      <c r="DG13" s="20" t="n">
        <f aca="false">IF(AND(CY13=1,Slot9_IsMfree=1),IF(DD13&gt;=Slot9_Cost-1,0,MAX(0,CW13-DD13)),CW13)</f>
        <v>161135.553618638</v>
      </c>
      <c r="DH13" s="20" t="n">
        <f aca="false">CY13*(Slot9_Cost-DD13)</f>
        <v>0</v>
      </c>
      <c r="DI13" s="20" t="n">
        <f aca="false">IF(AND(Slot10_On=1,D13=Slot10_Age),1,0)</f>
        <v>0</v>
      </c>
      <c r="DJ13" s="20" t="n">
        <f aca="false">IF(AND(Slot10_On=1,Slot10_Age&gt;D13),1,0)</f>
        <v>0</v>
      </c>
      <c r="DK13" s="20" t="n">
        <f aca="false">RW12</f>
        <v>0</v>
      </c>
      <c r="DL13" s="20" t="n">
        <f aca="false">DI13*MIN(Slot10_Cost,DK13)</f>
        <v>0</v>
      </c>
      <c r="DM13" s="20" t="n">
        <f aca="false">DI13*Slot10_SpendLike*MIN(Slot10_Cost-DL13,DE13)</f>
        <v>0</v>
      </c>
      <c r="DN13" s="20" t="n">
        <f aca="false">DL13+DM13</f>
        <v>0</v>
      </c>
      <c r="DO13" s="20" t="n">
        <f aca="false">DE13-DM13+DI13*IF(Slot10_SpendLike=1,DK13-DL13,IF(Slot10_PotFree=1,DK13,0))</f>
        <v>0</v>
      </c>
      <c r="DP13" s="20" t="n">
        <f aca="false">DF13+DI13*Slot10_BufPot*DK13</f>
        <v>11723.2196679421</v>
      </c>
      <c r="DQ13" s="20" t="n">
        <f aca="false">IF(AND(DI13=1,Slot10_IsMfree=1),IF(DN13&gt;=Slot10_Cost-1,0,MAX(0,DG13-DN13)),DG13)</f>
        <v>161135.553618638</v>
      </c>
      <c r="DR13" s="20" t="n">
        <f aca="false">DI13*(Slot10_Cost-DN13)</f>
        <v>0</v>
      </c>
      <c r="DS13" s="20" t="n">
        <f aca="false">IF(AND(Slot11_On=1,D13=Slot11_Age),1,0)</f>
        <v>0</v>
      </c>
      <c r="DT13" s="20" t="n">
        <f aca="false">IF(AND(Slot11_On=1,Slot11_Age&gt;D13),1,0)</f>
        <v>0</v>
      </c>
      <c r="DU13" s="20" t="n">
        <f aca="false">SA12</f>
        <v>0</v>
      </c>
      <c r="DV13" s="20" t="n">
        <f aca="false">DS13*MIN(Slot11_Cost,DU13)</f>
        <v>0</v>
      </c>
      <c r="DW13" s="20" t="n">
        <f aca="false">DS13*Slot11_SpendLike*MIN(Slot11_Cost-DV13,DO13)</f>
        <v>0</v>
      </c>
      <c r="DX13" s="20" t="n">
        <f aca="false">DV13+DW13</f>
        <v>0</v>
      </c>
      <c r="DY13" s="20" t="n">
        <f aca="false">DO13-DW13+DS13*IF(Slot11_SpendLike=1,DU13-DV13,IF(Slot11_PotFree=1,DU13,0))</f>
        <v>0</v>
      </c>
      <c r="DZ13" s="20" t="n">
        <f aca="false">DP13+DS13*Slot11_BufPot*DU13</f>
        <v>11723.2196679421</v>
      </c>
      <c r="EA13" s="20" t="n">
        <f aca="false">IF(AND(DS13=1,Slot11_IsMfree=1),IF(DX13&gt;=Slot11_Cost-1,0,MAX(0,DQ13-DX13)),DQ13)</f>
        <v>161135.553618638</v>
      </c>
      <c r="EB13" s="20" t="n">
        <f aca="false">DS13*(Slot11_Cost-DX13)</f>
        <v>0</v>
      </c>
      <c r="EC13" s="20" t="n">
        <f aca="false">IF(AND(Slot12_On=1,D13=Slot12_Age),1,0)</f>
        <v>0</v>
      </c>
      <c r="ED13" s="20" t="n">
        <f aca="false">IF(AND(Slot12_On=1,Slot12_Age&gt;D13),1,0)</f>
        <v>0</v>
      </c>
      <c r="EE13" s="20" t="n">
        <f aca="false">SE12</f>
        <v>0</v>
      </c>
      <c r="EF13" s="20" t="n">
        <f aca="false">EC13*MIN(Slot12_Cost,EE13)</f>
        <v>0</v>
      </c>
      <c r="EG13" s="20" t="n">
        <f aca="false">EC13*Slot12_SpendLike*MIN(Slot12_Cost-EF13,DY13)</f>
        <v>0</v>
      </c>
      <c r="EH13" s="20" t="n">
        <f aca="false">EF13+EG13</f>
        <v>0</v>
      </c>
      <c r="EI13" s="20" t="n">
        <f aca="false">DY13-EG13+EC13*IF(Slot12_SpendLike=1,EE13-EF13,IF(Slot12_PotFree=1,EE13,0))</f>
        <v>0</v>
      </c>
      <c r="EJ13" s="20" t="n">
        <f aca="false">DZ13+EC13*Slot12_BufPot*EE13</f>
        <v>11723.2196679421</v>
      </c>
      <c r="EK13" s="20" t="n">
        <f aca="false">IF(AND(EC13=1,Slot12_IsMfree=1),IF(EH13&gt;=Slot12_Cost-1,0,MAX(0,EA13-EH13)),EA13)</f>
        <v>161135.553618638</v>
      </c>
      <c r="EL13" s="20" t="n">
        <f aca="false">EC13*(Slot12_Cost-EH13)</f>
        <v>0</v>
      </c>
      <c r="EM13" s="20" t="n">
        <f aca="false">IF(AND(Slot13_On=1,D13=Slot13_Age),1,0)</f>
        <v>0</v>
      </c>
      <c r="EN13" s="20" t="n">
        <f aca="false">IF(AND(Slot13_On=1,Slot13_Age&gt;D13),1,0)</f>
        <v>0</v>
      </c>
      <c r="EO13" s="20" t="n">
        <f aca="false">SI12</f>
        <v>0</v>
      </c>
      <c r="EP13" s="20" t="n">
        <f aca="false">EM13*MIN(Slot13_Cost,EO13)</f>
        <v>0</v>
      </c>
      <c r="EQ13" s="20" t="n">
        <f aca="false">EM13*Slot13_SpendLike*MIN(Slot13_Cost-EP13,EI13)</f>
        <v>0</v>
      </c>
      <c r="ER13" s="20" t="n">
        <f aca="false">EP13+EQ13</f>
        <v>0</v>
      </c>
      <c r="ES13" s="20" t="n">
        <f aca="false">EI13-EQ13+EM13*IF(Slot13_SpendLike=1,EO13-EP13,IF(Slot13_PotFree=1,EO13,0))</f>
        <v>0</v>
      </c>
      <c r="ET13" s="20" t="n">
        <f aca="false">EJ13+EM13*Slot13_BufPot*EO13</f>
        <v>11723.2196679421</v>
      </c>
      <c r="EU13" s="20" t="n">
        <f aca="false">IF(AND(EM13=1,Slot13_IsMfree=1),IF(ER13&gt;=Slot13_Cost-1,0,MAX(0,EK13-ER13)),EK13)</f>
        <v>161135.553618638</v>
      </c>
      <c r="EV13" s="20" t="n">
        <f aca="false">EM13*(Slot13_Cost-ER13)</f>
        <v>0</v>
      </c>
      <c r="EW13" s="20" t="n">
        <f aca="false">IF(AND(Slot14_On=1,D13=Slot14_Age),1,0)</f>
        <v>0</v>
      </c>
      <c r="EX13" s="20" t="n">
        <f aca="false">IF(AND(Slot14_On=1,Slot14_Age&gt;D13),1,0)</f>
        <v>0</v>
      </c>
      <c r="EY13" s="20" t="n">
        <f aca="false">SM12</f>
        <v>0</v>
      </c>
      <c r="EZ13" s="20" t="n">
        <f aca="false">EW13*MIN(Slot14_Cost,EY13)</f>
        <v>0</v>
      </c>
      <c r="FA13" s="20" t="n">
        <f aca="false">EW13*Slot14_SpendLike*MIN(Slot14_Cost-EZ13,ES13)</f>
        <v>0</v>
      </c>
      <c r="FB13" s="20" t="n">
        <f aca="false">EZ13+FA13</f>
        <v>0</v>
      </c>
      <c r="FC13" s="20" t="n">
        <f aca="false">ES13-FA13+EW13*IF(Slot14_SpendLike=1,EY13-EZ13,IF(Slot14_PotFree=1,EY13,0))</f>
        <v>0</v>
      </c>
      <c r="FD13" s="20" t="n">
        <f aca="false">ET13+EW13*Slot14_BufPot*EY13</f>
        <v>11723.2196679421</v>
      </c>
      <c r="FE13" s="20" t="n">
        <f aca="false">IF(AND(EW13=1,Slot14_IsMfree=1),IF(FB13&gt;=Slot14_Cost-1,0,MAX(0,EU13-FB13)),EU13)</f>
        <v>161135.553618638</v>
      </c>
      <c r="FF13" s="20" t="n">
        <f aca="false">EW13*(Slot14_Cost-FB13)</f>
        <v>0</v>
      </c>
      <c r="FG13" s="20" t="n">
        <f aca="false">IF(AND(Slot15_On=1,D13=Slot15_Age),1,0)</f>
        <v>0</v>
      </c>
      <c r="FH13" s="20" t="n">
        <f aca="false">IF(AND(Slot15_On=1,Slot15_Age&gt;D13),1,0)</f>
        <v>0</v>
      </c>
      <c r="FI13" s="20" t="n">
        <f aca="false">SQ12</f>
        <v>0</v>
      </c>
      <c r="FJ13" s="20" t="n">
        <f aca="false">FG13*MIN(Slot15_Cost,FI13)</f>
        <v>0</v>
      </c>
      <c r="FK13" s="20" t="n">
        <f aca="false">FG13*Slot15_SpendLike*MIN(Slot15_Cost-FJ13,FC13)</f>
        <v>0</v>
      </c>
      <c r="FL13" s="20" t="n">
        <f aca="false">FJ13+FK13</f>
        <v>0</v>
      </c>
      <c r="FM13" s="20" t="n">
        <f aca="false">FC13-FK13+FG13*IF(Slot15_SpendLike=1,FI13-FJ13,IF(Slot15_PotFree=1,FI13,0))</f>
        <v>0</v>
      </c>
      <c r="FN13" s="20" t="n">
        <f aca="false">FD13+FG13*Slot15_BufPot*FI13</f>
        <v>11723.2196679421</v>
      </c>
      <c r="FO13" s="20" t="n">
        <f aca="false">IF(AND(FG13=1,Slot15_IsMfree=1),IF(FL13&gt;=Slot15_Cost-1,0,MAX(0,FE13-FL13)),FE13)</f>
        <v>161135.553618638</v>
      </c>
      <c r="FP13" s="20" t="n">
        <f aca="false">FG13*(Slot15_Cost-FL13)</f>
        <v>0</v>
      </c>
      <c r="FQ13" s="20" t="n">
        <f aca="false">IF(AND(Slot16_On=1,D13=Slot16_Age),1,0)</f>
        <v>0</v>
      </c>
      <c r="FR13" s="20" t="n">
        <f aca="false">IF(AND(Slot16_On=1,Slot16_Age&gt;D13),1,0)</f>
        <v>0</v>
      </c>
      <c r="FS13" s="20" t="n">
        <f aca="false">SU12</f>
        <v>0</v>
      </c>
      <c r="FT13" s="20" t="n">
        <f aca="false">FQ13*MIN(Slot16_Cost,FS13)</f>
        <v>0</v>
      </c>
      <c r="FU13" s="20" t="n">
        <f aca="false">FQ13*Slot16_SpendLike*MIN(Slot16_Cost-FT13,FM13)</f>
        <v>0</v>
      </c>
      <c r="FV13" s="20" t="n">
        <f aca="false">FT13+FU13</f>
        <v>0</v>
      </c>
      <c r="FW13" s="20" t="n">
        <f aca="false">FM13-FU13+FQ13*IF(Slot16_SpendLike=1,FS13-FT13,IF(Slot16_PotFree=1,FS13,0))</f>
        <v>0</v>
      </c>
      <c r="FX13" s="20" t="n">
        <f aca="false">FN13+FQ13*Slot16_BufPot*FS13</f>
        <v>11723.2196679421</v>
      </c>
      <c r="FY13" s="20" t="n">
        <f aca="false">IF(AND(FQ13=1,Slot16_IsMfree=1),IF(FV13&gt;=Slot16_Cost-1,0,MAX(0,FO13-FV13)),FO13)</f>
        <v>161135.553618638</v>
      </c>
      <c r="FZ13" s="20" t="n">
        <f aca="false">FQ13*(Slot16_Cost-FV13)</f>
        <v>0</v>
      </c>
      <c r="GA13" s="20" t="n">
        <f aca="false">IF(AND(Slot17_On=1,D13=Slot17_Age),1,0)</f>
        <v>0</v>
      </c>
      <c r="GB13" s="20" t="n">
        <f aca="false">IF(AND(Slot17_On=1,Slot17_Age&gt;D13),1,0)</f>
        <v>0</v>
      </c>
      <c r="GC13" s="20" t="n">
        <f aca="false">SY12</f>
        <v>0</v>
      </c>
      <c r="GD13" s="20" t="n">
        <f aca="false">GA13*MIN(Slot17_Cost,GC13)</f>
        <v>0</v>
      </c>
      <c r="GE13" s="20" t="n">
        <f aca="false">GA13*Slot17_SpendLike*MIN(Slot17_Cost-GD13,FW13)</f>
        <v>0</v>
      </c>
      <c r="GF13" s="20" t="n">
        <f aca="false">GD13+GE13</f>
        <v>0</v>
      </c>
      <c r="GG13" s="20" t="n">
        <f aca="false">FW13-GE13+GA13*IF(Slot17_SpendLike=1,GC13-GD13,IF(Slot17_PotFree=1,GC13,0))</f>
        <v>0</v>
      </c>
      <c r="GH13" s="20" t="n">
        <f aca="false">FX13+GA13*Slot17_BufPot*GC13</f>
        <v>11723.2196679421</v>
      </c>
      <c r="GI13" s="20" t="n">
        <f aca="false">IF(AND(GA13=1,Slot17_IsMfree=1),IF(GF13&gt;=Slot17_Cost-1,0,MAX(0,FY13-GF13)),FY13)</f>
        <v>161135.553618638</v>
      </c>
      <c r="GJ13" s="20" t="n">
        <f aca="false">GA13*(Slot17_Cost-GF13)</f>
        <v>0</v>
      </c>
      <c r="GK13" s="20" t="n">
        <f aca="false">IF(AND(Slot18_On=1,D13=Slot18_Age),1,0)</f>
        <v>0</v>
      </c>
      <c r="GL13" s="20" t="n">
        <f aca="false">IF(AND(Slot18_On=1,Slot18_Age&gt;D13),1,0)</f>
        <v>0</v>
      </c>
      <c r="GM13" s="20" t="n">
        <f aca="false">TC12</f>
        <v>0</v>
      </c>
      <c r="GN13" s="20" t="n">
        <f aca="false">GK13*MIN(Slot18_Cost,GM13)</f>
        <v>0</v>
      </c>
      <c r="GO13" s="20" t="n">
        <f aca="false">GK13*Slot18_SpendLike*MIN(Slot18_Cost-GN13,GG13)</f>
        <v>0</v>
      </c>
      <c r="GP13" s="20" t="n">
        <f aca="false">GN13+GO13</f>
        <v>0</v>
      </c>
      <c r="GQ13" s="20" t="n">
        <f aca="false">GG13-GO13+GK13*IF(Slot18_SpendLike=1,GM13-GN13,IF(Slot18_PotFree=1,GM13,0))</f>
        <v>0</v>
      </c>
      <c r="GR13" s="20" t="n">
        <f aca="false">GH13+GK13*Slot18_BufPot*GM13</f>
        <v>11723.2196679421</v>
      </c>
      <c r="GS13" s="20" t="n">
        <f aca="false">IF(AND(GK13=1,Slot18_IsMfree=1),IF(GP13&gt;=Slot18_Cost-1,0,MAX(0,GI13-GP13)),GI13)</f>
        <v>161135.553618638</v>
      </c>
      <c r="GT13" s="20" t="n">
        <f aca="false">GK13*(Slot18_Cost-GP13)</f>
        <v>0</v>
      </c>
      <c r="GU13" s="20" t="n">
        <f aca="false">IF(AND(Slot19_On=1,D13=Slot19_Age),1,0)</f>
        <v>0</v>
      </c>
      <c r="GV13" s="20" t="n">
        <f aca="false">IF(AND(Slot19_On=1,Slot19_Age&gt;D13),1,0)</f>
        <v>0</v>
      </c>
      <c r="GW13" s="20" t="n">
        <f aca="false">TG12</f>
        <v>0</v>
      </c>
      <c r="GX13" s="20" t="n">
        <f aca="false">GU13*MIN(Slot19_Cost,GW13)</f>
        <v>0</v>
      </c>
      <c r="GY13" s="20" t="n">
        <f aca="false">GU13*Slot19_SpendLike*MIN(Slot19_Cost-GX13,GQ13)</f>
        <v>0</v>
      </c>
      <c r="GZ13" s="20" t="n">
        <f aca="false">GX13+GY13</f>
        <v>0</v>
      </c>
      <c r="HA13" s="20" t="n">
        <f aca="false">GQ13-GY13+GU13*IF(Slot19_SpendLike=1,GW13-GX13,IF(Slot19_PotFree=1,GW13,0))</f>
        <v>0</v>
      </c>
      <c r="HB13" s="20" t="n">
        <f aca="false">GR13+GU13*Slot19_BufPot*GW13</f>
        <v>11723.2196679421</v>
      </c>
      <c r="HC13" s="20" t="n">
        <f aca="false">IF(AND(GU13=1,Slot19_IsMfree=1),IF(GZ13&gt;=Slot19_Cost-1,0,MAX(0,GS13-GZ13)),GS13)</f>
        <v>161135.553618638</v>
      </c>
      <c r="HD13" s="20" t="n">
        <f aca="false">GU13*(Slot19_Cost-GZ13)</f>
        <v>0</v>
      </c>
      <c r="HE13" s="20" t="n">
        <f aca="false">IF(AND(Slot20_On=1,D13=Slot20_Age),1,0)</f>
        <v>0</v>
      </c>
      <c r="HF13" s="20" t="n">
        <f aca="false">IF(AND(Slot20_On=1,Slot20_Age&gt;D13),1,0)</f>
        <v>0</v>
      </c>
      <c r="HG13" s="20" t="n">
        <f aca="false">TK12</f>
        <v>0</v>
      </c>
      <c r="HH13" s="20" t="n">
        <f aca="false">HE13*MIN(Slot20_Cost,HG13)</f>
        <v>0</v>
      </c>
      <c r="HI13" s="20" t="n">
        <f aca="false">HE13*Slot20_SpendLike*MIN(Slot20_Cost-HH13,HA13)</f>
        <v>0</v>
      </c>
      <c r="HJ13" s="20" t="n">
        <f aca="false">HH13+HI13</f>
        <v>0</v>
      </c>
      <c r="HK13" s="20" t="n">
        <f aca="false">HA13-HI13+HE13*IF(Slot20_SpendLike=1,HG13-HH13,IF(Slot20_PotFree=1,HG13,0))</f>
        <v>0</v>
      </c>
      <c r="HL13" s="20" t="n">
        <f aca="false">HB13+HE13*Slot20_BufPot*HG13</f>
        <v>11723.2196679421</v>
      </c>
      <c r="HM13" s="20" t="n">
        <f aca="false">IF(AND(HE13=1,Slot20_IsMfree=1),IF(HJ13&gt;=Slot20_Cost-1,0,MAX(0,HC13-HJ13)),HC13)</f>
        <v>161135.553618638</v>
      </c>
      <c r="HN13" s="20" t="n">
        <f aca="false">HE13*(Slot20_Cost-HJ13)</f>
        <v>0</v>
      </c>
      <c r="HO13" s="20" t="n">
        <f aca="false">V13*Slot1_SpendLike*AA13+AG13*Slot2_SpendLike*AL13+AQ13*Slot3_SpendLike*AV13+BA13*Slot4_SpendLike*BF13+BK13*Slot5_SpendLike*BP13+BU13*Slot6_SpendLike*BZ13+CE13*Slot7_SpendLike*CJ13+CO13*Slot8_SpendLike*CT13+CY13*Slot9_SpendLike*DD13+DI13*Slot10_SpendLike*DN13+DS13*Slot11_SpendLike*DX13+EC13*Slot12_SpendLike*EH13+EM13*Slot13_SpendLike*ER13+EW13*Slot14_SpendLike*FB13+FG13*Slot15_SpendLike*FL13+FQ13*Slot16_SpendLike*FV13+GA13*Slot17_SpendLike*GF13+GK13*Slot18_SpendLike*GP13+GU13*Slot19_SpendLike*GZ13+HE13*Slot20_SpendLike*HJ13</f>
        <v>0</v>
      </c>
      <c r="HP13" s="20" t="n">
        <f aca="false">AE13+AP13+AZ13+BJ13+BT13+CD13+CN13+CX13+DH13+DR13+EB13+EL13+EV13+FF13+FP13+FZ13+GJ13+GT13+HD13+HN13</f>
        <v>0</v>
      </c>
      <c r="HQ13" s="20" t="n">
        <f aca="false">V13*Slot1_Cost+AG13*Slot2_Cost+AQ13*Slot3_Cost+BA13*Slot4_Cost+BK13*Slot5_Cost+BU13*Slot6_Cost+CE13*Slot7_Cost+CO13*Slot8_Cost+CY13*Slot9_Cost+DI13*Slot10_Cost+DS13*Slot11_Cost+EC13*Slot12_Cost+EM13*Slot13_Cost+EW13*Slot14_Cost+FG13*Slot15_Cost+FQ13*Slot16_Cost+GA13*Slot17_Cost+GK13*Slot18_Cost+GU13*Slot19_Cost+HE13*Slot20_Cost</f>
        <v>0</v>
      </c>
      <c r="HR13" s="20" t="n">
        <f aca="false">HM13</f>
        <v>161135.553618638</v>
      </c>
      <c r="HS13" s="20" t="n">
        <f aca="false">H13-I13-S13</f>
        <v>7109.37152340796</v>
      </c>
      <c r="HT13" s="20" t="n">
        <f aca="false">IF(B13=0,IF(AND(Has_q6=1,In_q6=4),PR_ShareVaries*(MAX(0,HS13)/12),MIN(IF(Has_q6=1,CHOOSE(In_q6+1,PR_SaveB1,PR_SaveB2,PR_SaveB3,PR_SaveB4,0),AS_NoAnswer),AS_SaveShare*(MAX(0,HS13)/12))),HT12)</f>
        <v>67.3316893520437</v>
      </c>
      <c r="HU13" s="20" t="n">
        <f aca="false">IF(HS13&gt;=0,1,0)</f>
        <v>1</v>
      </c>
      <c r="HV13" s="20" t="n">
        <f aca="false">MAX(0,HS13/12/F13)</f>
        <v>536.598068939836</v>
      </c>
      <c r="HW13" s="20" t="n">
        <f aca="false">IF(AND(Has_q6=1,In_q6=4),PR_ShareVaries*(HV13),MIN(IF(Has_q6=1,CHOOSE(In_q6+1,PR_SaveB1,PR_SaveB2,PR_SaveB3,PR_SaveB4,0),AS_NoAnswer),AS_SaveShare*(HV13)))</f>
        <v>268.299034469918</v>
      </c>
      <c r="HX13" s="20" t="n">
        <f aca="false">IF(Has_saveM=1,IF(In_saveUp="Yes",1,IF(In_saveUp="No",0,IF(In_saveM&gt;=HT13-0.5,1,0))),0)</f>
        <v>0</v>
      </c>
      <c r="HY13" s="20" t="n">
        <f aca="false">IF(Has_saveM=1,MIN(HV13,IF(HX13=1,MAX(In_saveM,HW13),MIN(In_saveM,HW13))),HW13)</f>
        <v>268.299034469918</v>
      </c>
      <c r="HZ13" s="20" t="n">
        <f aca="false">IF(G13=1,HY13*12*F13,0)</f>
        <v>3554.68576170398</v>
      </c>
      <c r="IA13" s="20" t="n">
        <f aca="false">MAX(0,HZ13+IF(AND(WI_Retire=0,WI_M&lt;0,G13=1),WI_M*12*F13,0))</f>
        <v>3554.68576170398</v>
      </c>
      <c r="IB13" s="20" t="n">
        <f aca="false">Slot1_IsWG*W13+Slot2_IsWG*AH13+Slot3_IsWG*AR13+Slot4_IsWG*BB13+Slot5_IsWG*BL13+Slot6_IsWG*BV13+Slot7_IsWG*CF13+Slot8_IsWG*CP13+Slot9_IsWG*CZ13+Slot10_IsWG*DJ13+Slot11_IsWG*DT13+Slot12_IsWG*ED13+Slot13_IsWG*EN13+Slot14_IsWG*EX13+Slot15_IsWG*FH13+Slot16_IsWG*FR13+Slot17_IsWG*GB13+Slot18_IsWG*GL13+Slot19_IsWG*GV13+Slot20_IsWG*HF13</f>
        <v>0</v>
      </c>
      <c r="IC13" s="20" t="n">
        <f aca="false">IF(AND(WI_Retire=0,WI_M&gt;0,G13=1,IB13&gt;=1),WI_M*12*F13,0)</f>
        <v>0</v>
      </c>
      <c r="ID13" s="20" t="n">
        <f aca="false">IF(HU13=1,MIN(IA13,HS13),0)</f>
        <v>3554.68576170398</v>
      </c>
      <c r="IE13" s="20" t="n">
        <f aca="false">IF(HU13=1,MIN(IC13,HS13-ID13),0)</f>
        <v>0</v>
      </c>
      <c r="IF13" s="20" t="n">
        <f aca="false">IF(W13=1,IF(ABS((1+AS_Wage)/(1+Slot1_Rate)-1)&lt;0.000000000001,(Slot1_Age-D13)*(1+Slot1_Rate)^(Slot1_Age-D13),(1+Slot1_Rate)^(Slot1_Age-D13)*(1-((1+AS_Wage)/(1+Slot1_Rate))^(Slot1_Age-D13))/(1-(1+AS_Wage)/(1+Slot1_Rate))),1)</f>
        <v>1</v>
      </c>
      <c r="IG13" s="20" t="n">
        <f aca="false">IF(AND(HU13=1,IE13&gt;0,Slot1_IsWG=1,W13=1),MAX(0,(Slot1_Cost-X13*(1+Slot1_Rate)^(Slot1_Age-D13))/IF13),0)</f>
        <v>0</v>
      </c>
      <c r="IH13" s="20" t="n">
        <f aca="false">IF(AND(HU13=1,IE13&gt;0,Slot1_IsWG=1,W13=1),MIN(IE13,IG13),0)</f>
        <v>0</v>
      </c>
      <c r="II13" s="20" t="n">
        <f aca="false">X13+IH13</f>
        <v>0</v>
      </c>
      <c r="IJ13" s="20" t="n">
        <f aca="false">IF(W13=1,MAX(0,(Slot1_Cost-II13*(1+Slot1_Rate)^(Slot1_Age-D13))/IF13),0)</f>
        <v>0</v>
      </c>
      <c r="IK13" s="20" t="n">
        <f aca="false">IF(W13=1,MAX(0,(Slot1_Cost-X13*(1+Slot1_Rate)^(Slot1_Age-D13))/IF13),0)</f>
        <v>0</v>
      </c>
      <c r="IL13" s="20" t="n">
        <f aca="false">IF(AND(HU13=1,W13=1),MIN(ID13,IJ13),0)</f>
        <v>0</v>
      </c>
      <c r="IM13" s="20" t="n">
        <f aca="false">ID13-IL13</f>
        <v>3554.68576170398</v>
      </c>
      <c r="IN13" s="20" t="n">
        <f aca="false">IF(AH13=1,IF(ABS((1+AS_Wage)/(1+Slot2_Rate)-1)&lt;0.000000000001,(Slot2_Age-D13)*(1+Slot2_Rate)^(Slot2_Age-D13),(1+Slot2_Rate)^(Slot2_Age-D13)*(1-((1+AS_Wage)/(1+Slot2_Rate))^(Slot2_Age-D13))/(1-(1+AS_Wage)/(1+Slot2_Rate))),1)</f>
        <v>1</v>
      </c>
      <c r="IO13" s="20" t="n">
        <f aca="false">IF(AND(HU13=1,IE13&gt;0,Slot2_IsWG=1,AH13=1),MAX(0,(Slot2_Cost-AI13*(1+Slot2_Rate)^(Slot2_Age-D13))/IN13),0)</f>
        <v>0</v>
      </c>
      <c r="IP13" s="20" t="n">
        <f aca="false">IF(AND(HU13=1,IE13&gt;0,Slot2_IsWG=1,AH13=1),MIN(IE13,IO13),0)</f>
        <v>0</v>
      </c>
      <c r="IQ13" s="20" t="n">
        <f aca="false">AI13+IP13</f>
        <v>0</v>
      </c>
      <c r="IR13" s="20" t="n">
        <f aca="false">IF(AH13=1,MAX(0,(Slot2_Cost-IQ13*(1+Slot2_Rate)^(Slot2_Age-D13))/IN13),0)</f>
        <v>0</v>
      </c>
      <c r="IS13" s="20" t="n">
        <f aca="false">IF(AH13=1,MAX(0,(Slot2_Cost-AI13*(1+Slot2_Rate)^(Slot2_Age-D13))/IN13),0)</f>
        <v>0</v>
      </c>
      <c r="IT13" s="20" t="n">
        <f aca="false">IF(AND(HU13=1,AH13=1),MIN(IM13,IR13),0)</f>
        <v>0</v>
      </c>
      <c r="IU13" s="20" t="n">
        <f aca="false">IM13-IT13</f>
        <v>3554.68576170398</v>
      </c>
      <c r="IV13" s="20" t="n">
        <f aca="false">IF(AR13=1,IF(ABS((1+AS_Wage)/(1+Slot3_Rate)-1)&lt;0.000000000001,(Slot3_Age-D13)*(1+Slot3_Rate)^(Slot3_Age-D13),(1+Slot3_Rate)^(Slot3_Age-D13)*(1-((1+AS_Wage)/(1+Slot3_Rate))^(Slot3_Age-D13))/(1-(1+AS_Wage)/(1+Slot3_Rate))),1)</f>
        <v>5.72918849865706</v>
      </c>
      <c r="IW13" s="20" t="n">
        <f aca="false">IF(AND(HU13=1,IE13&gt;0,Slot3_IsWG=1,AR13=1),MAX(0,(Slot3_Cost-AS13*(1+Slot3_Rate)^(Slot3_Age-D13))/IV13),0)</f>
        <v>0</v>
      </c>
      <c r="IX13" s="20" t="n">
        <f aca="false">IF(AND(HU13=1,IE13&gt;0,Slot3_IsWG=1,AR13=1),MIN(IE13,IW13),0)</f>
        <v>0</v>
      </c>
      <c r="IY13" s="20" t="n">
        <f aca="false">AS13+IX13</f>
        <v>5783.59823215738</v>
      </c>
      <c r="IZ13" s="20" t="n">
        <f aca="false">IF(AR13=1,MAX(0,(Slot3_Cost-IY13*(1+Slot3_Rate)^(Slot3_Age-D13))/IV13),0)</f>
        <v>9490.72073249567</v>
      </c>
      <c r="JA13" s="20" t="n">
        <f aca="false">IF(AR13=1,MAX(0,(Slot3_Cost-AS13*(1+Slot3_Rate)^(Slot3_Age-D13))/IV13),0)</f>
        <v>9490.72073249567</v>
      </c>
      <c r="JB13" s="20" t="n">
        <f aca="false">IF(AND(HU13=1,AR13=1),MIN(IU13,IZ13),0)</f>
        <v>3554.68576170398</v>
      </c>
      <c r="JC13" s="20" t="n">
        <f aca="false">IU13-JB13</f>
        <v>0</v>
      </c>
      <c r="JD13" s="20" t="n">
        <f aca="false">IF(BB13=1,IF(ABS((1+AS_Wage)/(1+Slot4_Rate)-1)&lt;0.000000000001,(Slot4_Age-D13)*(1+Slot4_Rate)^(Slot4_Age-D13),(1+Slot4_Rate)^(Slot4_Age-D13)*(1-((1+AS_Wage)/(1+Slot4_Rate))^(Slot4_Age-D13))/(1-(1+AS_Wage)/(1+Slot4_Rate))),1)</f>
        <v>16.6833401446317</v>
      </c>
      <c r="JE13" s="20" t="n">
        <f aca="false">IF(AND(HU13=1,IE13&gt;0,Slot4_IsWG=1,BB13=1),MAX(0,(Slot4_Cost-BC13*(1+Slot4_Rate)^(Slot4_Age-D13))/JD13),0)</f>
        <v>0</v>
      </c>
      <c r="JF13" s="20" t="n">
        <f aca="false">IF(AND(HU13=1,IE13&gt;0,Slot4_IsWG=1,BB13=1),MIN(IE13,JE13),0)</f>
        <v>0</v>
      </c>
      <c r="JG13" s="20" t="n">
        <f aca="false">BC13+JF13</f>
        <v>0</v>
      </c>
      <c r="JH13" s="20" t="n">
        <f aca="false">IF(BB13=1,MAX(0,(Slot4_Cost-JG13*(1+Slot4_Rate)^(Slot4_Age-D13))/JD13),0)</f>
        <v>2398.7939648708</v>
      </c>
      <c r="JI13" s="20" t="n">
        <f aca="false">IF(BB13=1,MAX(0,(Slot4_Cost-BC13*(1+Slot4_Rate)^(Slot4_Age-D13))/JD13),0)</f>
        <v>2398.7939648708</v>
      </c>
      <c r="JJ13" s="20" t="n">
        <f aca="false">IF(AND(HU13=1,BB13=1),MIN(JC13,JH13),0)</f>
        <v>0</v>
      </c>
      <c r="JK13" s="20" t="n">
        <f aca="false">JC13-JJ13</f>
        <v>0</v>
      </c>
      <c r="JL13" s="20" t="n">
        <f aca="false">IF(BL13=1,IF(ABS((1+AS_Wage)/(1+Slot5_Rate)-1)&lt;0.000000000001,(Slot5_Age-D13)*(1+Slot5_Rate)^(Slot5_Age-D13),(1+Slot5_Rate)^(Slot5_Age-D13)*(1-((1+AS_Wage)/(1+Slot5_Rate))^(Slot5_Age-D13))/(1-(1+AS_Wage)/(1+Slot5_Rate))),1)</f>
        <v>1</v>
      </c>
      <c r="JM13" s="20" t="n">
        <f aca="false">IF(AND(HU13=1,IE13&gt;0,Slot5_IsWG=1,BL13=1),MAX(0,(Slot5_Cost-BM13*(1+Slot5_Rate)^(Slot5_Age-D13))/JL13),0)</f>
        <v>0</v>
      </c>
      <c r="JN13" s="20" t="n">
        <f aca="false">IF(AND(HU13=1,IE13&gt;0,Slot5_IsWG=1,BL13=1),MIN(IE13,JM13),0)</f>
        <v>0</v>
      </c>
      <c r="JO13" s="20" t="n">
        <f aca="false">BM13+JN13</f>
        <v>0</v>
      </c>
      <c r="JP13" s="20" t="n">
        <f aca="false">IF(BL13=1,MAX(0,(Slot5_Cost-JO13*(1+Slot5_Rate)^(Slot5_Age-D13))/JL13),0)</f>
        <v>0</v>
      </c>
      <c r="JQ13" s="20" t="n">
        <f aca="false">IF(BL13=1,MAX(0,(Slot5_Cost-BM13*(1+Slot5_Rate)^(Slot5_Age-D13))/JL13),0)</f>
        <v>0</v>
      </c>
      <c r="JR13" s="20" t="n">
        <f aca="false">IF(AND(HU13=1,BL13=1),MIN(JK13,JP13),0)</f>
        <v>0</v>
      </c>
      <c r="JS13" s="20" t="n">
        <f aca="false">JK13-JR13</f>
        <v>0</v>
      </c>
      <c r="JT13" s="20" t="n">
        <f aca="false">IF(BV13=1,IF(ABS((1+AS_Wage)/(1+Slot6_Rate)-1)&lt;0.000000000001,(Slot6_Age-D13)*(1+Slot6_Rate)^(Slot6_Age-D13),(1+Slot6_Rate)^(Slot6_Age-D13)*(1-((1+AS_Wage)/(1+Slot6_Rate))^(Slot6_Age-D13))/(1-(1+AS_Wage)/(1+Slot6_Rate))),1)</f>
        <v>1</v>
      </c>
      <c r="JU13" s="20" t="n">
        <f aca="false">IF(AND(HU13=1,IE13&gt;0,Slot6_IsWG=1,BV13=1),MAX(0,(Slot6_Cost-BW13*(1+Slot6_Rate)^(Slot6_Age-D13))/JT13),0)</f>
        <v>0</v>
      </c>
      <c r="JV13" s="20" t="n">
        <f aca="false">IF(AND(HU13=1,IE13&gt;0,Slot6_IsWG=1,BV13=1),MIN(IE13,JU13),0)</f>
        <v>0</v>
      </c>
      <c r="JW13" s="20" t="n">
        <f aca="false">BW13+JV13</f>
        <v>0</v>
      </c>
      <c r="JX13" s="20" t="n">
        <f aca="false">IF(BV13=1,MAX(0,(Slot6_Cost-JW13*(1+Slot6_Rate)^(Slot6_Age-D13))/JT13),0)</f>
        <v>0</v>
      </c>
      <c r="JY13" s="20" t="n">
        <f aca="false">IF(BV13=1,MAX(0,(Slot6_Cost-BW13*(1+Slot6_Rate)^(Slot6_Age-D13))/JT13),0)</f>
        <v>0</v>
      </c>
      <c r="JZ13" s="20" t="n">
        <f aca="false">IF(AND(HU13=1,BV13=1),MIN(JS13,JX13),0)</f>
        <v>0</v>
      </c>
      <c r="KA13" s="20" t="n">
        <f aca="false">JS13-JZ13</f>
        <v>0</v>
      </c>
      <c r="KB13" s="20" t="n">
        <f aca="false">IF(CF13=1,IF(ABS((1+AS_Wage)/(1+Slot7_Rate)-1)&lt;0.000000000001,(Slot7_Age-D13)*(1+Slot7_Rate)^(Slot7_Age-D13),(1+Slot7_Rate)^(Slot7_Age-D13)*(1-((1+AS_Wage)/(1+Slot7_Rate))^(Slot7_Age-D13))/(1-(1+AS_Wage)/(1+Slot7_Rate))),1)</f>
        <v>1</v>
      </c>
      <c r="KC13" s="20" t="n">
        <f aca="false">IF(AND(HU13=1,IE13&gt;0,Slot7_IsWG=1,CF13=1),MAX(0,(Slot7_Cost-CG13*(1+Slot7_Rate)^(Slot7_Age-D13))/KB13),0)</f>
        <v>0</v>
      </c>
      <c r="KD13" s="20" t="n">
        <f aca="false">IF(AND(HU13=1,IE13&gt;0,Slot7_IsWG=1,CF13=1),MIN(IE13,KC13),0)</f>
        <v>0</v>
      </c>
      <c r="KE13" s="20" t="n">
        <f aca="false">CG13+KD13</f>
        <v>0</v>
      </c>
      <c r="KF13" s="20" t="n">
        <f aca="false">IF(CF13=1,MAX(0,(Slot7_Cost-KE13*(1+Slot7_Rate)^(Slot7_Age-D13))/KB13),0)</f>
        <v>0</v>
      </c>
      <c r="KG13" s="20" t="n">
        <f aca="false">IF(CF13=1,MAX(0,(Slot7_Cost-CG13*(1+Slot7_Rate)^(Slot7_Age-D13))/KB13),0)</f>
        <v>0</v>
      </c>
      <c r="KH13" s="20" t="n">
        <f aca="false">IF(AND(HU13=1,CF13=1),MIN(KA13,KF13),0)</f>
        <v>0</v>
      </c>
      <c r="KI13" s="20" t="n">
        <f aca="false">KA13-KH13</f>
        <v>0</v>
      </c>
      <c r="KJ13" s="20" t="n">
        <f aca="false">IF(CP13=1,IF(ABS((1+AS_Wage)/(1+Slot8_Rate)-1)&lt;0.000000000001,(Slot8_Age-D13)*(1+Slot8_Rate)^(Slot8_Age-D13),(1+Slot8_Rate)^(Slot8_Age-D13)*(1-((1+AS_Wage)/(1+Slot8_Rate))^(Slot8_Age-D13))/(1-(1+AS_Wage)/(1+Slot8_Rate))),1)</f>
        <v>1</v>
      </c>
      <c r="KK13" s="20" t="n">
        <f aca="false">IF(AND(HU13=1,IE13&gt;0,Slot8_IsWG=1,CP13=1),MAX(0,(Slot8_Cost-CQ13*(1+Slot8_Rate)^(Slot8_Age-D13))/KJ13),0)</f>
        <v>0</v>
      </c>
      <c r="KL13" s="20" t="n">
        <f aca="false">IF(AND(HU13=1,IE13&gt;0,Slot8_IsWG=1,CP13=1),MIN(IE13,KK13),0)</f>
        <v>0</v>
      </c>
      <c r="KM13" s="20" t="n">
        <f aca="false">CQ13+KL13</f>
        <v>0</v>
      </c>
      <c r="KN13" s="20" t="n">
        <f aca="false">IF(CP13=1,MAX(0,(Slot8_Cost-KM13*(1+Slot8_Rate)^(Slot8_Age-D13))/KJ13),0)</f>
        <v>0</v>
      </c>
      <c r="KO13" s="20" t="n">
        <f aca="false">IF(CP13=1,MAX(0,(Slot8_Cost-CQ13*(1+Slot8_Rate)^(Slot8_Age-D13))/KJ13),0)</f>
        <v>0</v>
      </c>
      <c r="KP13" s="20" t="n">
        <f aca="false">IF(AND(HU13=1,CP13=1),MIN(KI13,KN13),0)</f>
        <v>0</v>
      </c>
      <c r="KQ13" s="20" t="n">
        <f aca="false">KI13-KP13</f>
        <v>0</v>
      </c>
      <c r="KR13" s="20" t="n">
        <f aca="false">IF(CZ13=1,IF(ABS((1+AS_Wage)/(1+Slot9_Rate)-1)&lt;0.000000000001,(Slot9_Age-D13)*(1+Slot9_Rate)^(Slot9_Age-D13),(1+Slot9_Rate)^(Slot9_Age-D13)*(1-((1+AS_Wage)/(1+Slot9_Rate))^(Slot9_Age-D13))/(1-(1+AS_Wage)/(1+Slot9_Rate))),1)</f>
        <v>1</v>
      </c>
      <c r="KS13" s="20" t="n">
        <f aca="false">IF(AND(HU13=1,IE13&gt;0,Slot9_IsWG=1,CZ13=1),MAX(0,(Slot9_Cost-DA13*(1+Slot9_Rate)^(Slot9_Age-D13))/KR13),0)</f>
        <v>0</v>
      </c>
      <c r="KT13" s="20" t="n">
        <f aca="false">IF(AND(HU13=1,IE13&gt;0,Slot9_IsWG=1,CZ13=1),MIN(IE13,KS13),0)</f>
        <v>0</v>
      </c>
      <c r="KU13" s="20" t="n">
        <f aca="false">DA13+KT13</f>
        <v>0</v>
      </c>
      <c r="KV13" s="20" t="n">
        <f aca="false">IF(CZ13=1,MAX(0,(Slot9_Cost-KU13*(1+Slot9_Rate)^(Slot9_Age-D13))/KR13),0)</f>
        <v>0</v>
      </c>
      <c r="KW13" s="20" t="n">
        <f aca="false">IF(CZ13=1,MAX(0,(Slot9_Cost-DA13*(1+Slot9_Rate)^(Slot9_Age-D13))/KR13),0)</f>
        <v>0</v>
      </c>
      <c r="KX13" s="20" t="n">
        <f aca="false">IF(AND(HU13=1,CZ13=1),MIN(KQ13,KV13),0)</f>
        <v>0</v>
      </c>
      <c r="KY13" s="20" t="n">
        <f aca="false">KQ13-KX13</f>
        <v>0</v>
      </c>
      <c r="KZ13" s="20" t="n">
        <f aca="false">IF(DJ13=1,IF(ABS((1+AS_Wage)/(1+Slot10_Rate)-1)&lt;0.000000000001,(Slot10_Age-D13)*(1+Slot10_Rate)^(Slot10_Age-D13),(1+Slot10_Rate)^(Slot10_Age-D13)*(1-((1+AS_Wage)/(1+Slot10_Rate))^(Slot10_Age-D13))/(1-(1+AS_Wage)/(1+Slot10_Rate))),1)</f>
        <v>1</v>
      </c>
      <c r="LA13" s="20" t="n">
        <f aca="false">IF(AND(HU13=1,IE13&gt;0,Slot10_IsWG=1,DJ13=1),MAX(0,(Slot10_Cost-DK13*(1+Slot10_Rate)^(Slot10_Age-D13))/KZ13),0)</f>
        <v>0</v>
      </c>
      <c r="LB13" s="20" t="n">
        <f aca="false">IF(AND(HU13=1,IE13&gt;0,Slot10_IsWG=1,DJ13=1),MIN(IE13,LA13),0)</f>
        <v>0</v>
      </c>
      <c r="LC13" s="20" t="n">
        <f aca="false">DK13+LB13</f>
        <v>0</v>
      </c>
      <c r="LD13" s="20" t="n">
        <f aca="false">IF(DJ13=1,MAX(0,(Slot10_Cost-LC13*(1+Slot10_Rate)^(Slot10_Age-D13))/KZ13),0)</f>
        <v>0</v>
      </c>
      <c r="LE13" s="20" t="n">
        <f aca="false">IF(DJ13=1,MAX(0,(Slot10_Cost-DK13*(1+Slot10_Rate)^(Slot10_Age-D13))/KZ13),0)</f>
        <v>0</v>
      </c>
      <c r="LF13" s="20" t="n">
        <f aca="false">IF(AND(HU13=1,DJ13=1),MIN(KY13,LD13),0)</f>
        <v>0</v>
      </c>
      <c r="LG13" s="20" t="n">
        <f aca="false">KY13-LF13</f>
        <v>0</v>
      </c>
      <c r="LH13" s="20" t="n">
        <f aca="false">IF(DT13=1,IF(ABS((1+AS_Wage)/(1+Slot11_Rate)-1)&lt;0.000000000001,(Slot11_Age-D13)*(1+Slot11_Rate)^(Slot11_Age-D13),(1+Slot11_Rate)^(Slot11_Age-D13)*(1-((1+AS_Wage)/(1+Slot11_Rate))^(Slot11_Age-D13))/(1-(1+AS_Wage)/(1+Slot11_Rate))),1)</f>
        <v>1</v>
      </c>
      <c r="LI13" s="20" t="n">
        <f aca="false">IF(AND(HU13=1,IE13&gt;0,Slot11_IsWG=1,DT13=1),MAX(0,(Slot11_Cost-DU13*(1+Slot11_Rate)^(Slot11_Age-D13))/LH13),0)</f>
        <v>0</v>
      </c>
      <c r="LJ13" s="20" t="n">
        <f aca="false">IF(AND(HU13=1,IE13&gt;0,Slot11_IsWG=1,DT13=1),MIN(IE13,LI13),0)</f>
        <v>0</v>
      </c>
      <c r="LK13" s="20" t="n">
        <f aca="false">DU13+LJ13</f>
        <v>0</v>
      </c>
      <c r="LL13" s="20" t="n">
        <f aca="false">IF(DT13=1,MAX(0,(Slot11_Cost-LK13*(1+Slot11_Rate)^(Slot11_Age-D13))/LH13),0)</f>
        <v>0</v>
      </c>
      <c r="LM13" s="20" t="n">
        <f aca="false">IF(DT13=1,MAX(0,(Slot11_Cost-DU13*(1+Slot11_Rate)^(Slot11_Age-D13))/LH13),0)</f>
        <v>0</v>
      </c>
      <c r="LN13" s="20" t="n">
        <f aca="false">IF(AND(HU13=1,DT13=1),MIN(LG13,LL13),0)</f>
        <v>0</v>
      </c>
      <c r="LO13" s="20" t="n">
        <f aca="false">LG13-LN13</f>
        <v>0</v>
      </c>
      <c r="LP13" s="20" t="n">
        <f aca="false">IF(ED13=1,IF(ABS((1+AS_Wage)/(1+Slot12_Rate)-1)&lt;0.000000000001,(Slot12_Age-D13)*(1+Slot12_Rate)^(Slot12_Age-D13),(1+Slot12_Rate)^(Slot12_Age-D13)*(1-((1+AS_Wage)/(1+Slot12_Rate))^(Slot12_Age-D13))/(1-(1+AS_Wage)/(1+Slot12_Rate))),1)</f>
        <v>1</v>
      </c>
      <c r="LQ13" s="20" t="n">
        <f aca="false">IF(AND(HU13=1,IE13&gt;0,Slot12_IsWG=1,ED13=1),MAX(0,(Slot12_Cost-EE13*(1+Slot12_Rate)^(Slot12_Age-D13))/LP13),0)</f>
        <v>0</v>
      </c>
      <c r="LR13" s="20" t="n">
        <f aca="false">IF(AND(HU13=1,IE13&gt;0,Slot12_IsWG=1,ED13=1),MIN(IE13,LQ13),0)</f>
        <v>0</v>
      </c>
      <c r="LS13" s="20" t="n">
        <f aca="false">EE13+LR13</f>
        <v>0</v>
      </c>
      <c r="LT13" s="20" t="n">
        <f aca="false">IF(ED13=1,MAX(0,(Slot12_Cost-LS13*(1+Slot12_Rate)^(Slot12_Age-D13))/LP13),0)</f>
        <v>0</v>
      </c>
      <c r="LU13" s="20" t="n">
        <f aca="false">IF(ED13=1,MAX(0,(Slot12_Cost-EE13*(1+Slot12_Rate)^(Slot12_Age-D13))/LP13),0)</f>
        <v>0</v>
      </c>
      <c r="LV13" s="20" t="n">
        <f aca="false">IF(AND(HU13=1,ED13=1),MIN(LO13,LT13),0)</f>
        <v>0</v>
      </c>
      <c r="LW13" s="20" t="n">
        <f aca="false">LO13-LV13</f>
        <v>0</v>
      </c>
      <c r="LX13" s="20" t="n">
        <f aca="false">IF(EN13=1,IF(ABS((1+AS_Wage)/(1+Slot13_Rate)-1)&lt;0.000000000001,(Slot13_Age-D13)*(1+Slot13_Rate)^(Slot13_Age-D13),(1+Slot13_Rate)^(Slot13_Age-D13)*(1-((1+AS_Wage)/(1+Slot13_Rate))^(Slot13_Age-D13))/(1-(1+AS_Wage)/(1+Slot13_Rate))),1)</f>
        <v>1</v>
      </c>
      <c r="LY13" s="20" t="n">
        <f aca="false">IF(AND(HU13=1,IE13&gt;0,Slot13_IsWG=1,EN13=1),MAX(0,(Slot13_Cost-EO13*(1+Slot13_Rate)^(Slot13_Age-D13))/LX13),0)</f>
        <v>0</v>
      </c>
      <c r="LZ13" s="20" t="n">
        <f aca="false">IF(AND(HU13=1,IE13&gt;0,Slot13_IsWG=1,EN13=1),MIN(IE13,LY13),0)</f>
        <v>0</v>
      </c>
      <c r="MA13" s="20" t="n">
        <f aca="false">EO13+LZ13</f>
        <v>0</v>
      </c>
      <c r="MB13" s="20" t="n">
        <f aca="false">IF(EN13=1,MAX(0,(Slot13_Cost-MA13*(1+Slot13_Rate)^(Slot13_Age-D13))/LX13),0)</f>
        <v>0</v>
      </c>
      <c r="MC13" s="20" t="n">
        <f aca="false">IF(EN13=1,MAX(0,(Slot13_Cost-EO13*(1+Slot13_Rate)^(Slot13_Age-D13))/LX13),0)</f>
        <v>0</v>
      </c>
      <c r="MD13" s="20" t="n">
        <f aca="false">IF(AND(HU13=1,EN13=1),MIN(LW13,MB13),0)</f>
        <v>0</v>
      </c>
      <c r="ME13" s="20" t="n">
        <f aca="false">LW13-MD13</f>
        <v>0</v>
      </c>
      <c r="MF13" s="20" t="n">
        <f aca="false">IF(EX13=1,IF(ABS((1+AS_Wage)/(1+Slot14_Rate)-1)&lt;0.000000000001,(Slot14_Age-D13)*(1+Slot14_Rate)^(Slot14_Age-D13),(1+Slot14_Rate)^(Slot14_Age-D13)*(1-((1+AS_Wage)/(1+Slot14_Rate))^(Slot14_Age-D13))/(1-(1+AS_Wage)/(1+Slot14_Rate))),1)</f>
        <v>1</v>
      </c>
      <c r="MG13" s="20" t="n">
        <f aca="false">IF(AND(HU13=1,IE13&gt;0,Slot14_IsWG=1,EX13=1),MAX(0,(Slot14_Cost-EY13*(1+Slot14_Rate)^(Slot14_Age-D13))/MF13),0)</f>
        <v>0</v>
      </c>
      <c r="MH13" s="20" t="n">
        <f aca="false">IF(AND(HU13=1,IE13&gt;0,Slot14_IsWG=1,EX13=1),MIN(IE13,MG13),0)</f>
        <v>0</v>
      </c>
      <c r="MI13" s="20" t="n">
        <f aca="false">EY13+MH13</f>
        <v>0</v>
      </c>
      <c r="MJ13" s="20" t="n">
        <f aca="false">IF(EX13=1,MAX(0,(Slot14_Cost-MI13*(1+Slot14_Rate)^(Slot14_Age-D13))/MF13),0)</f>
        <v>0</v>
      </c>
      <c r="MK13" s="20" t="n">
        <f aca="false">IF(EX13=1,MAX(0,(Slot14_Cost-EY13*(1+Slot14_Rate)^(Slot14_Age-D13))/MF13),0)</f>
        <v>0</v>
      </c>
      <c r="ML13" s="20" t="n">
        <f aca="false">IF(AND(HU13=1,EX13=1),MIN(ME13,MJ13),0)</f>
        <v>0</v>
      </c>
      <c r="MM13" s="20" t="n">
        <f aca="false">ME13-ML13</f>
        <v>0</v>
      </c>
      <c r="MN13" s="20" t="n">
        <f aca="false">IF(FH13=1,IF(ABS((1+AS_Wage)/(1+Slot15_Rate)-1)&lt;0.000000000001,(Slot15_Age-D13)*(1+Slot15_Rate)^(Slot15_Age-D13),(1+Slot15_Rate)^(Slot15_Age-D13)*(1-((1+AS_Wage)/(1+Slot15_Rate))^(Slot15_Age-D13))/(1-(1+AS_Wage)/(1+Slot15_Rate))),1)</f>
        <v>1</v>
      </c>
      <c r="MO13" s="20" t="n">
        <f aca="false">IF(AND(HU13=1,IE13&gt;0,Slot15_IsWG=1,FH13=1),MAX(0,(Slot15_Cost-FI13*(1+Slot15_Rate)^(Slot15_Age-D13))/MN13),0)</f>
        <v>0</v>
      </c>
      <c r="MP13" s="20" t="n">
        <f aca="false">IF(AND(HU13=1,IE13&gt;0,Slot15_IsWG=1,FH13=1),MIN(IE13,MO13),0)</f>
        <v>0</v>
      </c>
      <c r="MQ13" s="20" t="n">
        <f aca="false">FI13+MP13</f>
        <v>0</v>
      </c>
      <c r="MR13" s="20" t="n">
        <f aca="false">IF(FH13=1,MAX(0,(Slot15_Cost-MQ13*(1+Slot15_Rate)^(Slot15_Age-D13))/MN13),0)</f>
        <v>0</v>
      </c>
      <c r="MS13" s="20" t="n">
        <f aca="false">IF(FH13=1,MAX(0,(Slot15_Cost-FI13*(1+Slot15_Rate)^(Slot15_Age-D13))/MN13),0)</f>
        <v>0</v>
      </c>
      <c r="MT13" s="20" t="n">
        <f aca="false">IF(AND(HU13=1,FH13=1),MIN(MM13,MR13),0)</f>
        <v>0</v>
      </c>
      <c r="MU13" s="20" t="n">
        <f aca="false">MM13-MT13</f>
        <v>0</v>
      </c>
      <c r="MV13" s="20" t="n">
        <f aca="false">IF(FR13=1,IF(ABS((1+AS_Wage)/(1+Slot16_Rate)-1)&lt;0.000000000001,(Slot16_Age-D13)*(1+Slot16_Rate)^(Slot16_Age-D13),(1+Slot16_Rate)^(Slot16_Age-D13)*(1-((1+AS_Wage)/(1+Slot16_Rate))^(Slot16_Age-D13))/(1-(1+AS_Wage)/(1+Slot16_Rate))),1)</f>
        <v>1</v>
      </c>
      <c r="MW13" s="20" t="n">
        <f aca="false">IF(AND(HU13=1,IE13&gt;0,Slot16_IsWG=1,FR13=1),MAX(0,(Slot16_Cost-FS13*(1+Slot16_Rate)^(Slot16_Age-D13))/MV13),0)</f>
        <v>0</v>
      </c>
      <c r="MX13" s="20" t="n">
        <f aca="false">IF(AND(HU13=1,IE13&gt;0,Slot16_IsWG=1,FR13=1),MIN(IE13,MW13),0)</f>
        <v>0</v>
      </c>
      <c r="MY13" s="20" t="n">
        <f aca="false">FS13+MX13</f>
        <v>0</v>
      </c>
      <c r="MZ13" s="20" t="n">
        <f aca="false">IF(FR13=1,MAX(0,(Slot16_Cost-MY13*(1+Slot16_Rate)^(Slot16_Age-D13))/MV13),0)</f>
        <v>0</v>
      </c>
      <c r="NA13" s="20" t="n">
        <f aca="false">IF(FR13=1,MAX(0,(Slot16_Cost-FS13*(1+Slot16_Rate)^(Slot16_Age-D13))/MV13),0)</f>
        <v>0</v>
      </c>
      <c r="NB13" s="20" t="n">
        <f aca="false">IF(AND(HU13=1,FR13=1),MIN(MU13,MZ13),0)</f>
        <v>0</v>
      </c>
      <c r="NC13" s="20" t="n">
        <f aca="false">MU13-NB13</f>
        <v>0</v>
      </c>
      <c r="ND13" s="20" t="n">
        <f aca="false">IF(GB13=1,IF(ABS((1+AS_Wage)/(1+Slot17_Rate)-1)&lt;0.000000000001,(Slot17_Age-D13)*(1+Slot17_Rate)^(Slot17_Age-D13),(1+Slot17_Rate)^(Slot17_Age-D13)*(1-((1+AS_Wage)/(1+Slot17_Rate))^(Slot17_Age-D13))/(1-(1+AS_Wage)/(1+Slot17_Rate))),1)</f>
        <v>1</v>
      </c>
      <c r="NE13" s="20" t="n">
        <f aca="false">IF(AND(HU13=1,IE13&gt;0,Slot17_IsWG=1,GB13=1),MAX(0,(Slot17_Cost-GC13*(1+Slot17_Rate)^(Slot17_Age-D13))/ND13),0)</f>
        <v>0</v>
      </c>
      <c r="NF13" s="20" t="n">
        <f aca="false">IF(AND(HU13=1,IE13&gt;0,Slot17_IsWG=1,GB13=1),MIN(IE13,NE13),0)</f>
        <v>0</v>
      </c>
      <c r="NG13" s="20" t="n">
        <f aca="false">GC13+NF13</f>
        <v>0</v>
      </c>
      <c r="NH13" s="20" t="n">
        <f aca="false">IF(GB13=1,MAX(0,(Slot17_Cost-NG13*(1+Slot17_Rate)^(Slot17_Age-D13))/ND13),0)</f>
        <v>0</v>
      </c>
      <c r="NI13" s="20" t="n">
        <f aca="false">IF(GB13=1,MAX(0,(Slot17_Cost-GC13*(1+Slot17_Rate)^(Slot17_Age-D13))/ND13),0)</f>
        <v>0</v>
      </c>
      <c r="NJ13" s="20" t="n">
        <f aca="false">IF(AND(HU13=1,GB13=1),MIN(NC13,NH13),0)</f>
        <v>0</v>
      </c>
      <c r="NK13" s="20" t="n">
        <f aca="false">NC13-NJ13</f>
        <v>0</v>
      </c>
      <c r="NL13" s="20" t="n">
        <f aca="false">IF(GL13=1,IF(ABS((1+AS_Wage)/(1+Slot18_Rate)-1)&lt;0.000000000001,(Slot18_Age-D13)*(1+Slot18_Rate)^(Slot18_Age-D13),(1+Slot18_Rate)^(Slot18_Age-D13)*(1-((1+AS_Wage)/(1+Slot18_Rate))^(Slot18_Age-D13))/(1-(1+AS_Wage)/(1+Slot18_Rate))),1)</f>
        <v>1</v>
      </c>
      <c r="NM13" s="20" t="n">
        <f aca="false">IF(AND(HU13=1,IE13&gt;0,Slot18_IsWG=1,GL13=1),MAX(0,(Slot18_Cost-GM13*(1+Slot18_Rate)^(Slot18_Age-D13))/NL13),0)</f>
        <v>0</v>
      </c>
      <c r="NN13" s="20" t="n">
        <f aca="false">IF(AND(HU13=1,IE13&gt;0,Slot18_IsWG=1,GL13=1),MIN(IE13,NM13),0)</f>
        <v>0</v>
      </c>
      <c r="NO13" s="20" t="n">
        <f aca="false">GM13+NN13</f>
        <v>0</v>
      </c>
      <c r="NP13" s="20" t="n">
        <f aca="false">IF(GL13=1,MAX(0,(Slot18_Cost-NO13*(1+Slot18_Rate)^(Slot18_Age-D13))/NL13),0)</f>
        <v>0</v>
      </c>
      <c r="NQ13" s="20" t="n">
        <f aca="false">IF(GL13=1,MAX(0,(Slot18_Cost-GM13*(1+Slot18_Rate)^(Slot18_Age-D13))/NL13),0)</f>
        <v>0</v>
      </c>
      <c r="NR13" s="20" t="n">
        <f aca="false">IF(AND(HU13=1,GL13=1),MIN(NK13,NP13),0)</f>
        <v>0</v>
      </c>
      <c r="NS13" s="20" t="n">
        <f aca="false">NK13-NR13</f>
        <v>0</v>
      </c>
      <c r="NT13" s="20" t="n">
        <f aca="false">IF(GV13=1,IF(ABS((1+AS_Wage)/(1+Slot19_Rate)-1)&lt;0.000000000001,(Slot19_Age-D13)*(1+Slot19_Rate)^(Slot19_Age-D13),(1+Slot19_Rate)^(Slot19_Age-D13)*(1-((1+AS_Wage)/(1+Slot19_Rate))^(Slot19_Age-D13))/(1-(1+AS_Wage)/(1+Slot19_Rate))),1)</f>
        <v>1</v>
      </c>
      <c r="NU13" s="20" t="n">
        <f aca="false">IF(AND(HU13=1,IE13&gt;0,Slot19_IsWG=1,GV13=1),MAX(0,(Slot19_Cost-GW13*(1+Slot19_Rate)^(Slot19_Age-D13))/NT13),0)</f>
        <v>0</v>
      </c>
      <c r="NV13" s="20" t="n">
        <f aca="false">IF(AND(HU13=1,IE13&gt;0,Slot19_IsWG=1,GV13=1),MIN(IE13,NU13),0)</f>
        <v>0</v>
      </c>
      <c r="NW13" s="20" t="n">
        <f aca="false">GW13+NV13</f>
        <v>0</v>
      </c>
      <c r="NX13" s="20" t="n">
        <f aca="false">IF(GV13=1,MAX(0,(Slot19_Cost-NW13*(1+Slot19_Rate)^(Slot19_Age-D13))/NT13),0)</f>
        <v>0</v>
      </c>
      <c r="NY13" s="20" t="n">
        <f aca="false">IF(GV13=1,MAX(0,(Slot19_Cost-GW13*(1+Slot19_Rate)^(Slot19_Age-D13))/NT13),0)</f>
        <v>0</v>
      </c>
      <c r="NZ13" s="20" t="n">
        <f aca="false">IF(AND(HU13=1,GV13=1),MIN(NS13,NX13),0)</f>
        <v>0</v>
      </c>
      <c r="OA13" s="20" t="n">
        <f aca="false">NS13-NZ13</f>
        <v>0</v>
      </c>
      <c r="OB13" s="20" t="n">
        <f aca="false">IF(HF13=1,IF(ABS((1+AS_Wage)/(1+Slot20_Rate)-1)&lt;0.000000000001,(Slot20_Age-D13)*(1+Slot20_Rate)^(Slot20_Age-D13),(1+Slot20_Rate)^(Slot20_Age-D13)*(1-((1+AS_Wage)/(1+Slot20_Rate))^(Slot20_Age-D13))/(1-(1+AS_Wage)/(1+Slot20_Rate))),1)</f>
        <v>1</v>
      </c>
      <c r="OC13" s="20" t="n">
        <f aca="false">IF(AND(HU13=1,IE13&gt;0,Slot20_IsWG=1,HF13=1),MAX(0,(Slot20_Cost-HG13*(1+Slot20_Rate)^(Slot20_Age-D13))/OB13),0)</f>
        <v>0</v>
      </c>
      <c r="OD13" s="20" t="n">
        <f aca="false">IF(AND(HU13=1,IE13&gt;0,Slot20_IsWG=1,HF13=1),MIN(IE13,OC13),0)</f>
        <v>0</v>
      </c>
      <c r="OE13" s="20" t="n">
        <f aca="false">HG13+OD13</f>
        <v>0</v>
      </c>
      <c r="OF13" s="20" t="n">
        <f aca="false">IF(HF13=1,MAX(0,(Slot20_Cost-OE13*(1+Slot20_Rate)^(Slot20_Age-D13))/OB13),0)</f>
        <v>0</v>
      </c>
      <c r="OG13" s="20" t="n">
        <f aca="false">IF(HF13=1,MAX(0,(Slot20_Cost-HG13*(1+Slot20_Rate)^(Slot20_Age-D13))/OB13),0)</f>
        <v>0</v>
      </c>
      <c r="OH13" s="20" t="n">
        <f aca="false">IF(AND(HU13=1,HF13=1),MIN(OA13,OF13),0)</f>
        <v>0</v>
      </c>
      <c r="OI13" s="20" t="n">
        <f aca="false">OA13-OH13</f>
        <v>0</v>
      </c>
      <c r="OJ13" s="20" t="n">
        <f aca="false">IE13-(IH13+IP13+IX13+JF13+JN13+JV13+KD13+KL13+KT13+LB13+LJ13+LR13+LZ13+MH13+MP13+MX13+NF13+NN13+NV13+OD13)</f>
        <v>0</v>
      </c>
      <c r="OK13" s="20" t="n">
        <f aca="false">IF(HU13=1,HS13-ID13-IE13,0)</f>
        <v>3554.68576170398</v>
      </c>
      <c r="OL13" s="20" t="n">
        <f aca="false">IF(HU13=0,-HS13,0)</f>
        <v>0</v>
      </c>
      <c r="OM13" s="20" t="n">
        <f aca="false">MIN(OL13,HK13)</f>
        <v>0</v>
      </c>
      <c r="ON13" s="20" t="n">
        <f aca="false">OL13-OM13</f>
        <v>0</v>
      </c>
      <c r="OO13" s="20" t="n">
        <f aca="false">MIN(ON13,HL13)</f>
        <v>0</v>
      </c>
      <c r="OP13" s="20" t="n">
        <f aca="false">ON13-OO13</f>
        <v>0</v>
      </c>
      <c r="OQ13" s="20" t="n">
        <f aca="false">IF(AND(HU13=0,HF13=1,OP13&gt;0),MIN(OP13,HG13),0)</f>
        <v>0</v>
      </c>
      <c r="OR13" s="20" t="n">
        <f aca="false">OP13-OQ13</f>
        <v>0</v>
      </c>
      <c r="OS13" s="20" t="n">
        <f aca="false">IF(AND(HU13=0,GV13=1,OR13&gt;0),MIN(OR13,GW13),0)</f>
        <v>0</v>
      </c>
      <c r="OT13" s="20" t="n">
        <f aca="false">OR13-OS13</f>
        <v>0</v>
      </c>
      <c r="OU13" s="20" t="n">
        <f aca="false">IF(AND(HU13=0,GL13=1,OT13&gt;0),MIN(OT13,GM13),0)</f>
        <v>0</v>
      </c>
      <c r="OV13" s="20" t="n">
        <f aca="false">OT13-OU13</f>
        <v>0</v>
      </c>
      <c r="OW13" s="20" t="n">
        <f aca="false">IF(AND(HU13=0,GB13=1,OV13&gt;0),MIN(OV13,GC13),0)</f>
        <v>0</v>
      </c>
      <c r="OX13" s="20" t="n">
        <f aca="false">OV13-OW13</f>
        <v>0</v>
      </c>
      <c r="OY13" s="20" t="n">
        <f aca="false">IF(AND(HU13=0,FR13=1,OX13&gt;0),MIN(OX13,FS13),0)</f>
        <v>0</v>
      </c>
      <c r="OZ13" s="20" t="n">
        <f aca="false">OX13-OY13</f>
        <v>0</v>
      </c>
      <c r="PA13" s="20" t="n">
        <f aca="false">IF(AND(HU13=0,FH13=1,OZ13&gt;0),MIN(OZ13,FI13),0)</f>
        <v>0</v>
      </c>
      <c r="PB13" s="20" t="n">
        <f aca="false">OZ13-PA13</f>
        <v>0</v>
      </c>
      <c r="PC13" s="20" t="n">
        <f aca="false">IF(AND(HU13=0,EX13=1,PB13&gt;0),MIN(PB13,EY13),0)</f>
        <v>0</v>
      </c>
      <c r="PD13" s="20" t="n">
        <f aca="false">PB13-PC13</f>
        <v>0</v>
      </c>
      <c r="PE13" s="20" t="n">
        <f aca="false">IF(AND(HU13=0,EN13=1,PD13&gt;0),MIN(PD13,EO13),0)</f>
        <v>0</v>
      </c>
      <c r="PF13" s="20" t="n">
        <f aca="false">PD13-PE13</f>
        <v>0</v>
      </c>
      <c r="PG13" s="20" t="n">
        <f aca="false">IF(AND(HU13=0,ED13=1,PF13&gt;0),MIN(PF13,EE13),0)</f>
        <v>0</v>
      </c>
      <c r="PH13" s="20" t="n">
        <f aca="false">PF13-PG13</f>
        <v>0</v>
      </c>
      <c r="PI13" s="20" t="n">
        <f aca="false">IF(AND(HU13=0,DT13=1,PH13&gt;0),MIN(PH13,DU13),0)</f>
        <v>0</v>
      </c>
      <c r="PJ13" s="20" t="n">
        <f aca="false">PH13-PI13</f>
        <v>0</v>
      </c>
      <c r="PK13" s="20" t="n">
        <f aca="false">IF(AND(HU13=0,DJ13=1,PJ13&gt;0),MIN(PJ13,DK13),0)</f>
        <v>0</v>
      </c>
      <c r="PL13" s="20" t="n">
        <f aca="false">PJ13-PK13</f>
        <v>0</v>
      </c>
      <c r="PM13" s="20" t="n">
        <f aca="false">IF(AND(HU13=0,CZ13=1,PL13&gt;0),MIN(PL13,DA13),0)</f>
        <v>0</v>
      </c>
      <c r="PN13" s="20" t="n">
        <f aca="false">PL13-PM13</f>
        <v>0</v>
      </c>
      <c r="PO13" s="20" t="n">
        <f aca="false">IF(AND(HU13=0,CP13=1,PN13&gt;0),MIN(PN13,CQ13),0)</f>
        <v>0</v>
      </c>
      <c r="PP13" s="20" t="n">
        <f aca="false">PN13-PO13</f>
        <v>0</v>
      </c>
      <c r="PQ13" s="20" t="n">
        <f aca="false">IF(AND(HU13=0,CF13=1,PP13&gt;0),MIN(PP13,CG13),0)</f>
        <v>0</v>
      </c>
      <c r="PR13" s="20" t="n">
        <f aca="false">PP13-PQ13</f>
        <v>0</v>
      </c>
      <c r="PS13" s="20" t="n">
        <f aca="false">IF(AND(HU13=0,BV13=1,PR13&gt;0),MIN(PR13,BW13),0)</f>
        <v>0</v>
      </c>
      <c r="PT13" s="20" t="n">
        <f aca="false">PR13-PS13</f>
        <v>0</v>
      </c>
      <c r="PU13" s="20" t="n">
        <f aca="false">IF(AND(HU13=0,BL13=1,PT13&gt;0),MIN(PT13,BM13),0)</f>
        <v>0</v>
      </c>
      <c r="PV13" s="20" t="n">
        <f aca="false">PT13-PU13</f>
        <v>0</v>
      </c>
      <c r="PW13" s="20" t="n">
        <f aca="false">IF(AND(HU13=0,BB13=1,PV13&gt;0),MIN(PV13,BC13),0)</f>
        <v>0</v>
      </c>
      <c r="PX13" s="20" t="n">
        <f aca="false">PV13-PW13</f>
        <v>0</v>
      </c>
      <c r="PY13" s="20" t="n">
        <f aca="false">IF(AND(HU13=0,AR13=1,PX13&gt;0),MIN(PX13,AS13),0)</f>
        <v>0</v>
      </c>
      <c r="PZ13" s="20" t="n">
        <f aca="false">PX13-PY13</f>
        <v>0</v>
      </c>
      <c r="QA13" s="20" t="n">
        <f aca="false">IF(AND(HU13=0,AH13=1,PZ13&gt;0),MIN(PZ13,AI13),0)</f>
        <v>0</v>
      </c>
      <c r="QB13" s="20" t="n">
        <f aca="false">PZ13-QA13</f>
        <v>0</v>
      </c>
      <c r="QC13" s="20" t="n">
        <f aca="false">IF(AND(HU13=0,W13=1,QB13&gt;0),MIN(QB13,X13),0)</f>
        <v>0</v>
      </c>
      <c r="QD13" s="20" t="n">
        <f aca="false">QB13-QC13</f>
        <v>0</v>
      </c>
      <c r="QE13" s="20" t="n">
        <f aca="false">IF(HU13=0,QD13,0)</f>
        <v>0</v>
      </c>
      <c r="QF13" s="20" t="n">
        <f aca="false">OM13+OO13+QC13+QA13+PY13+PW13+PU13+PS13+PQ13+PO13+PM13+PK13+PI13+PG13+PE13+PC13+PA13+OY13+OW13+OU13+OS13+OQ13</f>
        <v>0</v>
      </c>
      <c r="QG13" s="20" t="n">
        <f aca="false">IF(HU13=1,HK13+OJ13+OI13+IF(G13=1,0,OK13),HK13-OM13)</f>
        <v>0</v>
      </c>
      <c r="QH13" s="20" t="n">
        <f aca="false">HL13-OO13</f>
        <v>11723.2196679421</v>
      </c>
      <c r="QI13" s="20" t="n">
        <f aca="false">IF(HU13=1,IF(G13=1,ID13+IE13,HS13),0)</f>
        <v>3554.68576170398</v>
      </c>
      <c r="QJ13" s="20" t="n">
        <f aca="false">IF(HU13=1,IF(G13=1,HS13-ID13-IE13,0),0)</f>
        <v>3554.68576170398</v>
      </c>
      <c r="QK13" s="57" t="n">
        <f aca="false">'Plan holdings'!BM13</f>
        <v>0</v>
      </c>
      <c r="QL13" s="20" t="n">
        <f aca="false">QH13*(1+AS_Cash)</f>
        <v>11840.4518646216</v>
      </c>
      <c r="QM13" s="20" t="n">
        <f aca="false">IF(W13=1,IF(HU13=1,II13+IL13,X13-QC13)*(1+Slot1_Rate),0)</f>
        <v>0</v>
      </c>
      <c r="QN13" s="20" t="n">
        <f aca="false">IF(AND(HU13=1,W13=1),(IH13+IL13)/F13,0)</f>
        <v>0</v>
      </c>
      <c r="QO13" s="20" t="n">
        <f aca="false">IF(B13=0,IH13+IL13,0)</f>
        <v>0</v>
      </c>
      <c r="QP13" s="20" t="n">
        <f aca="false">IF(B13=0,IF(HU13=1,IJ13,IK13),0)</f>
        <v>0</v>
      </c>
      <c r="QQ13" s="20" t="n">
        <f aca="false">IF(AH13=1,IF(HU13=1,IQ13+IT13,AI13-QA13)*(1+Slot2_Rate),0)</f>
        <v>0</v>
      </c>
      <c r="QR13" s="20" t="n">
        <f aca="false">IF(AND(HU13=1,AH13=1),(IP13+IT13)/F13,0)</f>
        <v>0</v>
      </c>
      <c r="QS13" s="20" t="n">
        <f aca="false">IF(B13=0,IP13+IT13,0)</f>
        <v>0</v>
      </c>
      <c r="QT13" s="20" t="n">
        <f aca="false">IF(B13=0,IF(HU13=1,IR13,IS13),0)</f>
        <v>0</v>
      </c>
      <c r="QU13" s="20" t="n">
        <f aca="false">IF(AR13=1,IF(HU13=1,IY13+JB13,AS13-PY13)*(1+Slot3_Rate),0)</f>
        <v>9581.07937770176</v>
      </c>
      <c r="QV13" s="20" t="n">
        <f aca="false">IF(AND(HU13=1,AR13=1),(IX13+JB13)/F13,0)</f>
        <v>3219.58841363902</v>
      </c>
      <c r="QW13" s="20" t="n">
        <f aca="false">IF(B13=0,IX13+JB13,0)</f>
        <v>0</v>
      </c>
      <c r="QX13" s="20" t="n">
        <f aca="false">IF(B13=0,IF(HU13=1,IZ13,JA13),0)</f>
        <v>0</v>
      </c>
      <c r="QY13" s="20" t="n">
        <f aca="false">IF(BB13=1,IF(HU13=1,JG13+JJ13,BC13-PW13)*(1+Slot4_Rate),0)</f>
        <v>0</v>
      </c>
      <c r="QZ13" s="20" t="n">
        <f aca="false">IF(AND(HU13=1,BB13=1),(JF13+JJ13)/F13,0)</f>
        <v>0</v>
      </c>
      <c r="RA13" s="20" t="n">
        <f aca="false">IF(B13=0,JF13+JJ13,0)</f>
        <v>0</v>
      </c>
      <c r="RB13" s="20" t="n">
        <f aca="false">IF(B13=0,IF(HU13=1,JH13,JI13),0)</f>
        <v>0</v>
      </c>
      <c r="RC13" s="20" t="n">
        <f aca="false">IF(BL13=1,IF(HU13=1,JO13+JR13,BM13-PU13)*(1+Slot5_Rate),0)</f>
        <v>0</v>
      </c>
      <c r="RD13" s="20" t="n">
        <f aca="false">IF(AND(HU13=1,BL13=1),(JN13+JR13)/F13,0)</f>
        <v>0</v>
      </c>
      <c r="RE13" s="20" t="n">
        <f aca="false">IF(B13=0,JN13+JR13,0)</f>
        <v>0</v>
      </c>
      <c r="RF13" s="20" t="n">
        <f aca="false">IF(B13=0,IF(HU13=1,JP13,JQ13),0)</f>
        <v>0</v>
      </c>
      <c r="RG13" s="20" t="n">
        <f aca="false">IF(BV13=1,IF(HU13=1,JW13+JZ13,BW13-PS13)*(1+Slot6_Rate),0)</f>
        <v>0</v>
      </c>
      <c r="RH13" s="20" t="n">
        <f aca="false">IF(AND(HU13=1,BV13=1),(JV13+JZ13)/F13,0)</f>
        <v>0</v>
      </c>
      <c r="RI13" s="20" t="n">
        <f aca="false">IF(B13=0,JV13+JZ13,0)</f>
        <v>0</v>
      </c>
      <c r="RJ13" s="20" t="n">
        <f aca="false">IF(B13=0,IF(HU13=1,JX13,JY13),0)</f>
        <v>0</v>
      </c>
      <c r="RK13" s="20" t="n">
        <f aca="false">IF(CF13=1,IF(HU13=1,KE13+KH13,CG13-PQ13)*(1+Slot7_Rate),0)</f>
        <v>0</v>
      </c>
      <c r="RL13" s="20" t="n">
        <f aca="false">IF(AND(HU13=1,CF13=1),(KD13+KH13)/F13,0)</f>
        <v>0</v>
      </c>
      <c r="RM13" s="20" t="n">
        <f aca="false">IF(B13=0,KD13+KH13,0)</f>
        <v>0</v>
      </c>
      <c r="RN13" s="20" t="n">
        <f aca="false">IF(B13=0,IF(HU13=1,KF13,KG13),0)</f>
        <v>0</v>
      </c>
      <c r="RO13" s="20" t="n">
        <f aca="false">IF(CP13=1,IF(HU13=1,KM13+KP13,CQ13-PO13)*(1+Slot8_Rate),0)</f>
        <v>0</v>
      </c>
      <c r="RP13" s="20" t="n">
        <f aca="false">IF(AND(HU13=1,CP13=1),(KL13+KP13)/F13,0)</f>
        <v>0</v>
      </c>
      <c r="RQ13" s="20" t="n">
        <f aca="false">IF(B13=0,KL13+KP13,0)</f>
        <v>0</v>
      </c>
      <c r="RR13" s="20" t="n">
        <f aca="false">IF(B13=0,IF(HU13=1,KN13,KO13),0)</f>
        <v>0</v>
      </c>
      <c r="RS13" s="20" t="n">
        <f aca="false">IF(CZ13=1,IF(HU13=1,KU13+KX13,DA13-PM13)*(1+Slot9_Rate),0)</f>
        <v>0</v>
      </c>
      <c r="RT13" s="20" t="n">
        <f aca="false">IF(AND(HU13=1,CZ13=1),(KT13+KX13)/F13,0)</f>
        <v>0</v>
      </c>
      <c r="RU13" s="20" t="n">
        <f aca="false">IF(B13=0,KT13+KX13,0)</f>
        <v>0</v>
      </c>
      <c r="RV13" s="20" t="n">
        <f aca="false">IF(B13=0,IF(HU13=1,KV13,KW13),0)</f>
        <v>0</v>
      </c>
      <c r="RW13" s="20" t="n">
        <f aca="false">IF(DJ13=1,IF(HU13=1,LC13+LF13,DK13-PK13)*(1+Slot10_Rate),0)</f>
        <v>0</v>
      </c>
      <c r="RX13" s="20" t="n">
        <f aca="false">IF(AND(HU13=1,DJ13=1),(LB13+LF13)/F13,0)</f>
        <v>0</v>
      </c>
      <c r="RY13" s="20" t="n">
        <f aca="false">IF(B13=0,LB13+LF13,0)</f>
        <v>0</v>
      </c>
      <c r="RZ13" s="20" t="n">
        <f aca="false">IF(B13=0,IF(HU13=1,LD13,LE13),0)</f>
        <v>0</v>
      </c>
      <c r="SA13" s="20" t="n">
        <f aca="false">IF(DT13=1,IF(HU13=1,LK13+LN13,DU13-PI13)*(1+Slot11_Rate),0)</f>
        <v>0</v>
      </c>
      <c r="SB13" s="20" t="n">
        <f aca="false">IF(AND(HU13=1,DT13=1),(LJ13+LN13)/F13,0)</f>
        <v>0</v>
      </c>
      <c r="SC13" s="20" t="n">
        <f aca="false">IF(B13=0,LJ13+LN13,0)</f>
        <v>0</v>
      </c>
      <c r="SD13" s="20" t="n">
        <f aca="false">IF(B13=0,IF(HU13=1,LL13,LM13),0)</f>
        <v>0</v>
      </c>
      <c r="SE13" s="20" t="n">
        <f aca="false">IF(ED13=1,IF(HU13=1,LS13+LV13,EE13-PG13)*(1+Slot12_Rate),0)</f>
        <v>0</v>
      </c>
      <c r="SF13" s="20" t="n">
        <f aca="false">IF(AND(HU13=1,ED13=1),(LR13+LV13)/F13,0)</f>
        <v>0</v>
      </c>
      <c r="SG13" s="20" t="n">
        <f aca="false">IF(B13=0,LR13+LV13,0)</f>
        <v>0</v>
      </c>
      <c r="SH13" s="20" t="n">
        <f aca="false">IF(B13=0,IF(HU13=1,LT13,LU13),0)</f>
        <v>0</v>
      </c>
      <c r="SI13" s="20" t="n">
        <f aca="false">IF(EN13=1,IF(HU13=1,MA13+MD13,EO13-PE13)*(1+Slot13_Rate),0)</f>
        <v>0</v>
      </c>
      <c r="SJ13" s="20" t="n">
        <f aca="false">IF(AND(HU13=1,EN13=1),(LZ13+MD13)/F13,0)</f>
        <v>0</v>
      </c>
      <c r="SK13" s="20" t="n">
        <f aca="false">IF(B13=0,LZ13+MD13,0)</f>
        <v>0</v>
      </c>
      <c r="SL13" s="20" t="n">
        <f aca="false">IF(B13=0,IF(HU13=1,MB13,MC13),0)</f>
        <v>0</v>
      </c>
      <c r="SM13" s="20" t="n">
        <f aca="false">IF(EX13=1,IF(HU13=1,MI13+ML13,EY13-PC13)*(1+Slot14_Rate),0)</f>
        <v>0</v>
      </c>
      <c r="SN13" s="20" t="n">
        <f aca="false">IF(AND(HU13=1,EX13=1),(MH13+ML13)/F13,0)</f>
        <v>0</v>
      </c>
      <c r="SO13" s="20" t="n">
        <f aca="false">IF(B13=0,MH13+ML13,0)</f>
        <v>0</v>
      </c>
      <c r="SP13" s="20" t="n">
        <f aca="false">IF(B13=0,IF(HU13=1,MJ13,MK13),0)</f>
        <v>0</v>
      </c>
      <c r="SQ13" s="20" t="n">
        <f aca="false">IF(FH13=1,IF(HU13=1,MQ13+MT13,FI13-PA13)*(1+Slot15_Rate),0)</f>
        <v>0</v>
      </c>
      <c r="SR13" s="20" t="n">
        <f aca="false">IF(AND(HU13=1,FH13=1),(MP13+MT13)/F13,0)</f>
        <v>0</v>
      </c>
      <c r="SS13" s="20" t="n">
        <f aca="false">IF(B13=0,MP13+MT13,0)</f>
        <v>0</v>
      </c>
      <c r="ST13" s="20" t="n">
        <f aca="false">IF(B13=0,IF(HU13=1,MR13,MS13),0)</f>
        <v>0</v>
      </c>
      <c r="SU13" s="20" t="n">
        <f aca="false">IF(FR13=1,IF(HU13=1,MY13+NB13,FS13-OY13)*(1+Slot16_Rate),0)</f>
        <v>0</v>
      </c>
      <c r="SV13" s="20" t="n">
        <f aca="false">IF(AND(HU13=1,FR13=1),(MX13+NB13)/F13,0)</f>
        <v>0</v>
      </c>
      <c r="SW13" s="20" t="n">
        <f aca="false">IF(B13=0,MX13+NB13,0)</f>
        <v>0</v>
      </c>
      <c r="SX13" s="20" t="n">
        <f aca="false">IF(B13=0,IF(HU13=1,MZ13,NA13),0)</f>
        <v>0</v>
      </c>
      <c r="SY13" s="20" t="n">
        <f aca="false">IF(GB13=1,IF(HU13=1,NG13+NJ13,GC13-OW13)*(1+Slot17_Rate),0)</f>
        <v>0</v>
      </c>
      <c r="SZ13" s="20" t="n">
        <f aca="false">IF(AND(HU13=1,GB13=1),(NF13+NJ13)/F13,0)</f>
        <v>0</v>
      </c>
      <c r="TA13" s="20" t="n">
        <f aca="false">IF(B13=0,NF13+NJ13,0)</f>
        <v>0</v>
      </c>
      <c r="TB13" s="20" t="n">
        <f aca="false">IF(B13=0,IF(HU13=1,NH13,NI13),0)</f>
        <v>0</v>
      </c>
      <c r="TC13" s="20" t="n">
        <f aca="false">IF(GL13=1,IF(HU13=1,NO13+NR13,GM13-OU13)*(1+Slot18_Rate),0)</f>
        <v>0</v>
      </c>
      <c r="TD13" s="20" t="n">
        <f aca="false">IF(AND(HU13=1,GL13=1),(NN13+NR13)/F13,0)</f>
        <v>0</v>
      </c>
      <c r="TE13" s="20" t="n">
        <f aca="false">IF(B13=0,NN13+NR13,0)</f>
        <v>0</v>
      </c>
      <c r="TF13" s="20" t="n">
        <f aca="false">IF(B13=0,IF(HU13=1,NP13,NQ13),0)</f>
        <v>0</v>
      </c>
      <c r="TG13" s="20" t="n">
        <f aca="false">IF(GV13=1,IF(HU13=1,NW13+NZ13,GW13-OS13)*(1+Slot19_Rate),0)</f>
        <v>0</v>
      </c>
      <c r="TH13" s="20" t="n">
        <f aca="false">IF(AND(HU13=1,GV13=1),(NV13+NZ13)/F13,0)</f>
        <v>0</v>
      </c>
      <c r="TI13" s="20" t="n">
        <f aca="false">IF(B13=0,NV13+NZ13,0)</f>
        <v>0</v>
      </c>
      <c r="TJ13" s="20" t="n">
        <f aca="false">IF(B13=0,IF(HU13=1,NX13,NY13),0)</f>
        <v>0</v>
      </c>
      <c r="TK13" s="20" t="n">
        <f aca="false">IF(HF13=1,IF(HU13=1,OE13+OH13,HG13-OQ13)*(1+Slot20_Rate),0)</f>
        <v>0</v>
      </c>
      <c r="TL13" s="20" t="n">
        <f aca="false">IF(AND(HU13=1,HF13=1),(OD13+OH13)/F13,0)</f>
        <v>0</v>
      </c>
      <c r="TM13" s="20" t="n">
        <f aca="false">IF(B13=0,OD13+OH13,0)</f>
        <v>0</v>
      </c>
      <c r="TN13" s="20" t="n">
        <f aca="false">IF(B13=0,IF(HU13=1,OF13,OG13),0)</f>
        <v>0</v>
      </c>
      <c r="TO13" s="20" t="n">
        <f aca="false">QK13+QL13+QM13+QQ13+QU13+QY13+RC13+RG13+RK13+RO13+RS13+RW13+SA13+SE13+SI13+SM13+SQ13+SU13+SY13+TC13+TG13+TK13</f>
        <v>21421.5312423233</v>
      </c>
      <c r="TP13" s="20" t="n">
        <f aca="false">QE13+HP13</f>
        <v>0</v>
      </c>
      <c r="TQ13" s="20" t="n">
        <f aca="false">I13+S13</f>
        <v>63843.636144</v>
      </c>
      <c r="TR13" s="20" t="n">
        <f aca="false">1-G13</f>
        <v>0</v>
      </c>
      <c r="TS13" s="20" t="n">
        <f aca="false">IF(AND(RG_Exists=1,G13=0,C13=1),I13,0)</f>
        <v>0</v>
      </c>
      <c r="TT13" s="20" t="n">
        <f aca="false">IF(AND(RG_Exists=1,G13=0,C13=1),I13-MIN(QE13,I13),0)</f>
        <v>0</v>
      </c>
      <c r="TU13" s="20" t="n">
        <f aca="false">'Plan pay &amp; tax'!AD239</f>
        <v>138777.185569524</v>
      </c>
      <c r="TV13" s="20" t="n">
        <f aca="false">IF(AND(C13=1,QE13&gt;MAX(PR_Short1,TQ13*PR_Short2)),1,0)</f>
        <v>0</v>
      </c>
      <c r="TW13" s="20" t="n">
        <f aca="false">MIN(H13,I13+S13)</f>
        <v>63843.636144</v>
      </c>
      <c r="TX13" s="20" t="n">
        <f aca="false">QF13+MAX(0,HQ13-HP13)</f>
        <v>0</v>
      </c>
      <c r="TY13" s="20" t="n">
        <f aca="false">QE13+HP13</f>
        <v>0</v>
      </c>
      <c r="TZ13" s="20" t="n">
        <f aca="false">IF(AND(C13=1,TY13&gt;PR_MinShort),1,0)</f>
        <v>0</v>
      </c>
      <c r="UA13" s="20" t="n">
        <f aca="false">IF(AND(C13=1,TZ13=0,TX13&gt;PR_MinShort),1,0)</f>
        <v>0</v>
      </c>
      <c r="UB13" s="20" t="n">
        <f aca="false">IF(AND(C13=1,QE13&gt;PR_MinShort),1,0)</f>
        <v>0</v>
      </c>
      <c r="UC13" s="20" t="n">
        <f aca="false">IF(AND(C13=1,QF13&gt;1,UJ13=0),1,0)</f>
        <v>0</v>
      </c>
      <c r="UD13" s="20" t="str">
        <f aca="false">IF(C13=0,"",IF(UJ13=1,"Gap to plan for: short "&amp;"€"&amp;TEXT(ROUND(TP13,0),"#,##0"),IF(QF13&gt;1,"Using savings","Comfortable")))</f>
        <v>Comfortable</v>
      </c>
      <c r="UE13" s="20" t="n">
        <f aca="false">IF(AND(INT(D13/10)*10=90,B13&gt;0),80,INT(D13/10)*10)</f>
        <v>40</v>
      </c>
      <c r="UF13" s="20" t="n">
        <f aca="false">IF(B13=0,1,IF(UE13&lt;&gt;UE12,UF12+1,UF12))</f>
        <v>2</v>
      </c>
      <c r="UG13" s="20" t="n">
        <f aca="false">IF(AND(C13=1,G13=1,QE13&gt;MAX(PR_Short1,TQ13*PR_Short2)),1,0)</f>
        <v>0</v>
      </c>
      <c r="UH13" s="20" t="n">
        <f aca="false">TR13*TV13</f>
        <v>0</v>
      </c>
      <c r="UI13" s="20" t="n">
        <f aca="false">IF(AND(V13=1,Slot1_PctLow=1),1,0)+IF(AND(AG13=1,Slot2_PctLow=1),1,0)+IF(AND(AQ13=1,Slot3_PctLow=1),1,0)+IF(AND(BA13=1,Slot4_PctLow=1),1,0)+IF(AND(BK13=1,Slot5_PctLow=1),1,0)+IF(AND(BU13=1,Slot6_PctLow=1),1,0)+IF(AND(CE13=1,Slot7_PctLow=1),1,0)+IF(AND(CO13=1,Slot8_PctLow=1),1,0)+IF(AND(CY13=1,Slot9_PctLow=1),1,0)+IF(AND(DI13=1,Slot10_PctLow=1),1,0)+IF(AND(DS13=1,Slot11_PctLow=1),1,0)+IF(AND(EC13=1,Slot12_PctLow=1),1,0)+IF(AND(EM13=1,Slot13_PctLow=1),1,0)+IF(AND(EW13=1,Slot14_PctLow=1),1,0)+IF(AND(FG13=1,Slot15_PctLow=1),1,0)+IF(AND(FQ13=1,Slot16_PctLow=1),1,0)+IF(AND(GA13=1,Slot17_PctLow=1),1,0)+IF(AND(GK13=1,Slot18_PctLow=1),1,0)+IF(AND(GU13=1,Slot19_PctLow=1),1,0)+IF(AND(HE13=1,Slot20_PctLow=1),1,0)</f>
        <v>0</v>
      </c>
      <c r="UJ13" s="20" t="n">
        <f aca="false">IF(C13=1,IF(OR(TV13=1,UI13&gt;0),1,0),0)</f>
        <v>0</v>
      </c>
      <c r="UK13" s="20" t="n">
        <f aca="false">Z13+AK13+AU13+BE13+BO13+BY13+CI13+CS13+DC13+DM13+DW13+EG13+EQ13+FA13+FK13+FU13+GE13+GO13+GY13+HI13+OM13</f>
        <v>0</v>
      </c>
      <c r="UL13" s="20" t="n">
        <f aca="false">V13*IF(Slot1_SpendLike=1,X13-Y13,IF(Slot1_PotFree=1,X13,0))+AG13*IF(Slot2_SpendLike=1,AI13-AJ13,IF(Slot2_PotFree=1,AI13,0))+AQ13*IF(Slot3_SpendLike=1,AS13-AT13,IF(Slot3_PotFree=1,AS13,0))+BA13*IF(Slot4_SpendLike=1,BC13-BD13,IF(Slot4_PotFree=1,BC13,0))+BK13*IF(Slot5_SpendLike=1,BM13-BN13,IF(Slot5_PotFree=1,BM13,0))+BU13*IF(Slot6_SpendLike=1,BW13-BX13,IF(Slot6_PotFree=1,BW13,0))+CE13*IF(Slot7_SpendLike=1,CG13-CH13,IF(Slot7_PotFree=1,CG13,0))+CO13*IF(Slot8_SpendLike=1,CQ13-CR13,IF(Slot8_PotFree=1,CQ13,0))+CY13*IF(Slot9_SpendLike=1,DA13-DB13,IF(Slot9_PotFree=1,DA13,0))+DI13*IF(Slot10_SpendLike=1,DK13-DL13,IF(Slot10_PotFree=1,DK13,0))+DS13*IF(Slot11_SpendLike=1,DU13-DV13,IF(Slot11_PotFree=1,DU13,0))+EC13*IF(Slot12_SpendLike=1,EE13-EF13,IF(Slot12_PotFree=1,EE13,0))+EM13*IF(Slot13_SpendLike=1,EO13-EP13,IF(Slot13_PotFree=1,EO13,0))+EW13*IF(Slot14_SpendLike=1,EY13-EZ13,IF(Slot14_PotFree=1,EY13,0))+FG13*IF(Slot15_SpendLike=1,FI13-FJ13,IF(Slot15_PotFree=1,FI13,0))+FQ13*IF(Slot16_SpendLike=1,FS13-FT13,IF(Slot16_PotFree=1,FS13,0))+GA13*IF(Slot17_SpendLike=1,GC13-GD13,IF(Slot17_PotFree=1,GC13,0))+GK13*IF(Slot18_SpendLike=1,GM13-GN13,IF(Slot18_PotFree=1,GM13,0))+GU13*IF(Slot19_SpendLike=1,GW13-GX13,IF(Slot19_PotFree=1,GW13,0))+HE13*IF(Slot20_SpendLike=1,HG13-HH13,IF(Slot20_PotFree=1,HG13,0))</f>
        <v>0</v>
      </c>
      <c r="UM13" s="20" t="n">
        <f aca="false">QG13-T13+UK13-UL13</f>
        <v>0</v>
      </c>
      <c r="UN13" s="20" t="n">
        <f aca="false">IF(OR(UN12=1,AND(In_homeUse="Yes, I'd downsize",In_downAge&gt;0,D13=In_downAge,OR(In_home="Own outright",In_home="Own with mortgage"),In_homeValue&gt;0)),1,0)</f>
        <v>0</v>
      </c>
    </row>
    <row r="14" customFormat="false" ht="15" hidden="false" customHeight="true" outlineLevel="0" collapsed="false">
      <c r="B14" s="20" t="n">
        <v>6</v>
      </c>
      <c r="C14" s="20" t="n">
        <f aca="false">IF(B14&lt;=F_N,1,0)</f>
        <v>1</v>
      </c>
      <c r="D14" s="20" t="n">
        <f aca="false">'Plan pay &amp; tax'!C240</f>
        <v>44</v>
      </c>
      <c r="E14" s="20" t="str">
        <f aca="false">IF($C14=1,"Income tax "&amp;TEXT(N('Plan pay &amp; tax'!BK240),"#,##0")&amp;"; USC "&amp;TEXT(N('Plan pay &amp; tax'!BM240)+N('Plan pay &amp; tax'!BO240),"#,##0")&amp;"; PRSI "&amp;TEXT(N('Plan pay &amp; tax'!BP240)+N('Plan pay &amp; tax'!BQ240),"#,##0")&amp;IF(N('Plan holdings'!BO14)&gt;=0.5,"; DIRT "&amp;TEXT(('Plan holdings'!BO14)/$F14,"#,##0")&amp;" (already taken from the interest earned)","")&amp;IF(N('Plan holdings'!BP14)&gt;=0.5,"; exit tax at an 8-year anniversary "&amp;TEXT(('Plan holdings'!BP14)/$F14,"#,##0"),"")&amp;IF(N('Plan holdings'!BN14)&gt;=0.5,"; tax on assets sold (exit tax or capital gains tax) "&amp;TEXT(('Plan holdings'!BN14)/$F14,"#,##0"),"")&amp;IF(N('Plan pay &amp; tax'!X240)-N('Plan pay &amp; tax'!Y240)&gt;=0.5,"; tax on the pension lump sum "&amp;TEXT(('Plan pay &amp; tax'!X240-'Plan pay &amp; tax'!Y240)/$F14,"#,##0"),"")&amp;IF(N('Plan pay &amp; tax'!V240)&gt;=0.5,"; chargeable excess tax on the pension "&amp;TEXT(('Plan pay &amp; tax'!V240)/$F14,"#,##0"),"")&amp;".","")</f>
        <v>Income tax 11,141; USC 1,664; PRSI 3,987; DIRT 52 (already taken from the interest earned).</v>
      </c>
      <c r="F14" s="50" t="n">
        <f aca="false">'Plan pay &amp; tax'!E240</f>
        <v>1.126162419264</v>
      </c>
      <c r="G14" s="20" t="n">
        <f aca="false">'Plan pay &amp; tax'!G240</f>
        <v>1</v>
      </c>
      <c r="H14" s="20" t="n">
        <f aca="false">'Plan pay &amp; tax'!BT240-'Plan pay &amp; tax'!BS240-'Plan pay &amp; tax'!R240</f>
        <v>72888.964945005</v>
      </c>
      <c r="I14" s="20" t="n">
        <f aca="false">IF(G14=1,F_CostsM*12,IF(RG_Exists=1,RG_Amount,F_CostsM*12*AS_RetireSpend))*F14+F_OneOffY*F14</f>
        <v>50677.30886688</v>
      </c>
      <c r="J14" s="20" t="n">
        <f aca="false">IF(UN14=1,0,HR13)</f>
        <v>161135.553618638</v>
      </c>
      <c r="K14" s="20" t="n">
        <f aca="false">IF(J14&gt;1,'Plan debt months'!AC14,0)</f>
        <v>14160</v>
      </c>
      <c r="L14" s="20" t="n">
        <f aca="false">IF(J14&gt;1,'Plan debt months'!AB14,J14)</f>
        <v>153037.364877978</v>
      </c>
      <c r="M14" s="20" t="n">
        <f aca="false">O13</f>
        <v>0</v>
      </c>
      <c r="N14" s="20" t="n">
        <f aca="false">IF(M14&gt;1,'Plan debt months'!BD14,0)</f>
        <v>0</v>
      </c>
      <c r="O14" s="20" t="n">
        <f aca="false">IF(M14&gt;1,'Plan debt months'!BC14,M14)</f>
        <v>0</v>
      </c>
      <c r="P14" s="20" t="n">
        <f aca="false">R13</f>
        <v>0</v>
      </c>
      <c r="Q14" s="20" t="n">
        <f aca="false">IF(P14&gt;1,'Plan debt months'!CE14,0)</f>
        <v>0</v>
      </c>
      <c r="R14" s="20" t="n">
        <f aca="false">IF(P14&gt;1,'Plan debt months'!CD14,P14)</f>
        <v>0</v>
      </c>
      <c r="S14" s="20" t="n">
        <f aca="false">K14+N14+Q14</f>
        <v>14160</v>
      </c>
      <c r="T14" s="57" t="n">
        <f aca="false">'Plan holdings'!Y14</f>
        <v>0</v>
      </c>
      <c r="U14" s="57" t="n">
        <f aca="false">'Plan holdings'!BM13</f>
        <v>0</v>
      </c>
      <c r="V14" s="20" t="n">
        <f aca="false">IF(AND(Slot1_On=1,D14=Slot1_Age),1,0)</f>
        <v>0</v>
      </c>
      <c r="W14" s="20" t="n">
        <f aca="false">IF(AND(Slot1_On=1,Slot1_Age&gt;D14),1,0)</f>
        <v>0</v>
      </c>
      <c r="X14" s="20" t="n">
        <f aca="false">QM13</f>
        <v>0</v>
      </c>
      <c r="Y14" s="20" t="n">
        <f aca="false">V14*MIN(Slot1_Cost,X14)</f>
        <v>0</v>
      </c>
      <c r="Z14" s="20" t="n">
        <f aca="false">V14*Slot1_SpendLike*MIN(Slot1_Cost-Y14,T14)</f>
        <v>0</v>
      </c>
      <c r="AA14" s="20" t="n">
        <f aca="false">Y14+Z14</f>
        <v>0</v>
      </c>
      <c r="AB14" s="20" t="n">
        <f aca="false">T14-Z14+V14*IF(Slot1_SpendLike=1,X14-Y14,IF(Slot1_PotFree=1,X14,0))</f>
        <v>0</v>
      </c>
      <c r="AC14" s="20" t="n">
        <f aca="false">AF14+V14*Slot1_BufPot*X14</f>
        <v>11840.4518646216</v>
      </c>
      <c r="AD14" s="20" t="n">
        <f aca="false">IF(AND(V14=1,Slot1_IsMfree=1),IF(AA14&gt;=Slot1_Cost-1,0,MAX(0,L14-AA14)),L14)</f>
        <v>153037.364877978</v>
      </c>
      <c r="AE14" s="20" t="n">
        <f aca="false">V14*(Slot1_Cost-AA14)</f>
        <v>0</v>
      </c>
      <c r="AF14" s="20" t="n">
        <f aca="false">QL13</f>
        <v>11840.4518646216</v>
      </c>
      <c r="AG14" s="20" t="n">
        <f aca="false">IF(AND(Slot2_On=1,D14=Slot2_Age),1,0)</f>
        <v>0</v>
      </c>
      <c r="AH14" s="20" t="n">
        <f aca="false">IF(AND(Slot2_On=1,Slot2_Age&gt;D14),1,0)</f>
        <v>0</v>
      </c>
      <c r="AI14" s="20" t="n">
        <f aca="false">QQ13</f>
        <v>0</v>
      </c>
      <c r="AJ14" s="20" t="n">
        <f aca="false">AG14*MIN(Slot2_Cost,AI14)</f>
        <v>0</v>
      </c>
      <c r="AK14" s="20" t="n">
        <f aca="false">AG14*Slot2_SpendLike*MIN(Slot2_Cost-AJ14,AB14)</f>
        <v>0</v>
      </c>
      <c r="AL14" s="20" t="n">
        <f aca="false">AJ14+AK14</f>
        <v>0</v>
      </c>
      <c r="AM14" s="20" t="n">
        <f aca="false">AB14-AK14+AG14*IF(Slot2_SpendLike=1,AI14-AJ14,IF(Slot2_PotFree=1,AI14,0))</f>
        <v>0</v>
      </c>
      <c r="AN14" s="20" t="n">
        <f aca="false">AC14+AG14*Slot2_BufPot*AI14</f>
        <v>11840.4518646216</v>
      </c>
      <c r="AO14" s="20" t="n">
        <f aca="false">IF(AND(AG14=1,Slot2_IsMfree=1),IF(AL14&gt;=Slot2_Cost-1,0,MAX(0,AD14-AL14)),AD14)</f>
        <v>153037.364877978</v>
      </c>
      <c r="AP14" s="20" t="n">
        <f aca="false">AG14*(Slot2_Cost-AL14)</f>
        <v>0</v>
      </c>
      <c r="AQ14" s="20" t="n">
        <f aca="false">IF(AND(Slot3_On=1,D14=Slot3_Age),1,0)</f>
        <v>0</v>
      </c>
      <c r="AR14" s="20" t="n">
        <f aca="false">IF(AND(Slot3_On=1,Slot3_Age&gt;D14),1,0)</f>
        <v>1</v>
      </c>
      <c r="AS14" s="20" t="n">
        <f aca="false">QU13</f>
        <v>9581.07937770176</v>
      </c>
      <c r="AT14" s="20" t="n">
        <f aca="false">AQ14*MIN(Slot3_Cost,AS14)</f>
        <v>0</v>
      </c>
      <c r="AU14" s="20" t="n">
        <f aca="false">AQ14*Slot3_SpendLike*MIN(Slot3_Cost-AT14,AM14)</f>
        <v>0</v>
      </c>
      <c r="AV14" s="20" t="n">
        <f aca="false">AT14+AU14</f>
        <v>0</v>
      </c>
      <c r="AW14" s="20" t="n">
        <f aca="false">AM14-AU14+AQ14*IF(Slot3_SpendLike=1,AS14-AT14,IF(Slot3_PotFree=1,AS14,0))</f>
        <v>0</v>
      </c>
      <c r="AX14" s="20" t="n">
        <f aca="false">AN14+AQ14*Slot3_BufPot*AS14</f>
        <v>11840.4518646216</v>
      </c>
      <c r="AY14" s="20" t="n">
        <f aca="false">IF(AND(AQ14=1,Slot3_IsMfree=1),IF(AV14&gt;=Slot3_Cost-1,0,MAX(0,AO14-AV14)),AO14)</f>
        <v>153037.364877978</v>
      </c>
      <c r="AZ14" s="20" t="n">
        <f aca="false">AQ14*(Slot3_Cost-AV14)</f>
        <v>0</v>
      </c>
      <c r="BA14" s="20" t="n">
        <f aca="false">IF(AND(Slot4_On=1,D14=Slot4_Age),1,0)</f>
        <v>0</v>
      </c>
      <c r="BB14" s="20" t="n">
        <f aca="false">IF(AND(Slot4_On=1,Slot4_Age&gt;D14),1,0)</f>
        <v>1</v>
      </c>
      <c r="BC14" s="20" t="n">
        <f aca="false">QY13</f>
        <v>0</v>
      </c>
      <c r="BD14" s="20" t="n">
        <f aca="false">BA14*MIN(Slot4_Cost,BC14)</f>
        <v>0</v>
      </c>
      <c r="BE14" s="20" t="n">
        <f aca="false">BA14*Slot4_SpendLike*MIN(Slot4_Cost-BD14,AW14)</f>
        <v>0</v>
      </c>
      <c r="BF14" s="20" t="n">
        <f aca="false">BD14+BE14</f>
        <v>0</v>
      </c>
      <c r="BG14" s="20" t="n">
        <f aca="false">AW14-BE14+BA14*IF(Slot4_SpendLike=1,BC14-BD14,IF(Slot4_PotFree=1,BC14,0))</f>
        <v>0</v>
      </c>
      <c r="BH14" s="20" t="n">
        <f aca="false">AX14+BA14*Slot4_BufPot*BC14</f>
        <v>11840.4518646216</v>
      </c>
      <c r="BI14" s="20" t="n">
        <f aca="false">IF(AND(BA14=1,Slot4_IsMfree=1),IF(BF14&gt;=Slot4_Cost-1,0,MAX(0,AY14-BF14)),AY14)</f>
        <v>153037.364877978</v>
      </c>
      <c r="BJ14" s="20" t="n">
        <f aca="false">BA14*(Slot4_Cost-BF14)</f>
        <v>0</v>
      </c>
      <c r="BK14" s="20" t="n">
        <f aca="false">IF(AND(Slot5_On=1,D14=Slot5_Age),1,0)</f>
        <v>0</v>
      </c>
      <c r="BL14" s="20" t="n">
        <f aca="false">IF(AND(Slot5_On=1,Slot5_Age&gt;D14),1,0)</f>
        <v>0</v>
      </c>
      <c r="BM14" s="20" t="n">
        <f aca="false">RC13</f>
        <v>0</v>
      </c>
      <c r="BN14" s="20" t="n">
        <f aca="false">BK14*MIN(Slot5_Cost,BM14)</f>
        <v>0</v>
      </c>
      <c r="BO14" s="20" t="n">
        <f aca="false">BK14*Slot5_SpendLike*MIN(Slot5_Cost-BN14,BG14)</f>
        <v>0</v>
      </c>
      <c r="BP14" s="20" t="n">
        <f aca="false">BN14+BO14</f>
        <v>0</v>
      </c>
      <c r="BQ14" s="20" t="n">
        <f aca="false">BG14-BO14+BK14*IF(Slot5_SpendLike=1,BM14-BN14,IF(Slot5_PotFree=1,BM14,0))</f>
        <v>0</v>
      </c>
      <c r="BR14" s="20" t="n">
        <f aca="false">BH14+BK14*Slot5_BufPot*BM14</f>
        <v>11840.4518646216</v>
      </c>
      <c r="BS14" s="20" t="n">
        <f aca="false">IF(AND(BK14=1,Slot5_IsMfree=1),IF(BP14&gt;=Slot5_Cost-1,0,MAX(0,BI14-BP14)),BI14)</f>
        <v>153037.364877978</v>
      </c>
      <c r="BT14" s="20" t="n">
        <f aca="false">BK14*(Slot5_Cost-BP14)</f>
        <v>0</v>
      </c>
      <c r="BU14" s="20" t="n">
        <f aca="false">IF(AND(Slot6_On=1,D14=Slot6_Age),1,0)</f>
        <v>0</v>
      </c>
      <c r="BV14" s="20" t="n">
        <f aca="false">IF(AND(Slot6_On=1,Slot6_Age&gt;D14),1,0)</f>
        <v>0</v>
      </c>
      <c r="BW14" s="20" t="n">
        <f aca="false">RG13</f>
        <v>0</v>
      </c>
      <c r="BX14" s="20" t="n">
        <f aca="false">BU14*MIN(Slot6_Cost,BW14)</f>
        <v>0</v>
      </c>
      <c r="BY14" s="20" t="n">
        <f aca="false">BU14*Slot6_SpendLike*MIN(Slot6_Cost-BX14,BQ14)</f>
        <v>0</v>
      </c>
      <c r="BZ14" s="20" t="n">
        <f aca="false">BX14+BY14</f>
        <v>0</v>
      </c>
      <c r="CA14" s="20" t="n">
        <f aca="false">BQ14-BY14+BU14*IF(Slot6_SpendLike=1,BW14-BX14,IF(Slot6_PotFree=1,BW14,0))</f>
        <v>0</v>
      </c>
      <c r="CB14" s="20" t="n">
        <f aca="false">BR14+BU14*Slot6_BufPot*BW14</f>
        <v>11840.4518646216</v>
      </c>
      <c r="CC14" s="20" t="n">
        <f aca="false">IF(AND(BU14=1,Slot6_IsMfree=1),IF(BZ14&gt;=Slot6_Cost-1,0,MAX(0,BS14-BZ14)),BS14)</f>
        <v>153037.364877978</v>
      </c>
      <c r="CD14" s="20" t="n">
        <f aca="false">BU14*(Slot6_Cost-BZ14)</f>
        <v>0</v>
      </c>
      <c r="CE14" s="20" t="n">
        <f aca="false">IF(AND(Slot7_On=1,D14=Slot7_Age),1,0)</f>
        <v>0</v>
      </c>
      <c r="CF14" s="20" t="n">
        <f aca="false">IF(AND(Slot7_On=1,Slot7_Age&gt;D14),1,0)</f>
        <v>0</v>
      </c>
      <c r="CG14" s="20" t="n">
        <f aca="false">RK13</f>
        <v>0</v>
      </c>
      <c r="CH14" s="20" t="n">
        <f aca="false">CE14*MIN(Slot7_Cost,CG14)</f>
        <v>0</v>
      </c>
      <c r="CI14" s="20" t="n">
        <f aca="false">CE14*Slot7_SpendLike*MIN(Slot7_Cost-CH14,CA14)</f>
        <v>0</v>
      </c>
      <c r="CJ14" s="20" t="n">
        <f aca="false">CH14+CI14</f>
        <v>0</v>
      </c>
      <c r="CK14" s="20" t="n">
        <f aca="false">CA14-CI14+CE14*IF(Slot7_SpendLike=1,CG14-CH14,IF(Slot7_PotFree=1,CG14,0))</f>
        <v>0</v>
      </c>
      <c r="CL14" s="20" t="n">
        <f aca="false">CB14+CE14*Slot7_BufPot*CG14</f>
        <v>11840.4518646216</v>
      </c>
      <c r="CM14" s="20" t="n">
        <f aca="false">IF(AND(CE14=1,Slot7_IsMfree=1),IF(CJ14&gt;=Slot7_Cost-1,0,MAX(0,CC14-CJ14)),CC14)</f>
        <v>153037.364877978</v>
      </c>
      <c r="CN14" s="20" t="n">
        <f aca="false">CE14*(Slot7_Cost-CJ14)</f>
        <v>0</v>
      </c>
      <c r="CO14" s="20" t="n">
        <f aca="false">IF(AND(Slot8_On=1,D14=Slot8_Age),1,0)</f>
        <v>0</v>
      </c>
      <c r="CP14" s="20" t="n">
        <f aca="false">IF(AND(Slot8_On=1,Slot8_Age&gt;D14),1,0)</f>
        <v>0</v>
      </c>
      <c r="CQ14" s="20" t="n">
        <f aca="false">RO13</f>
        <v>0</v>
      </c>
      <c r="CR14" s="20" t="n">
        <f aca="false">CO14*MIN(Slot8_Cost,CQ14)</f>
        <v>0</v>
      </c>
      <c r="CS14" s="20" t="n">
        <f aca="false">CO14*Slot8_SpendLike*MIN(Slot8_Cost-CR14,CK14)</f>
        <v>0</v>
      </c>
      <c r="CT14" s="20" t="n">
        <f aca="false">CR14+CS14</f>
        <v>0</v>
      </c>
      <c r="CU14" s="20" t="n">
        <f aca="false">CK14-CS14+CO14*IF(Slot8_SpendLike=1,CQ14-CR14,IF(Slot8_PotFree=1,CQ14,0))</f>
        <v>0</v>
      </c>
      <c r="CV14" s="20" t="n">
        <f aca="false">CL14+CO14*Slot8_BufPot*CQ14</f>
        <v>11840.4518646216</v>
      </c>
      <c r="CW14" s="20" t="n">
        <f aca="false">IF(AND(CO14=1,Slot8_IsMfree=1),IF(CT14&gt;=Slot8_Cost-1,0,MAX(0,CM14-CT14)),CM14)</f>
        <v>153037.364877978</v>
      </c>
      <c r="CX14" s="20" t="n">
        <f aca="false">CO14*(Slot8_Cost-CT14)</f>
        <v>0</v>
      </c>
      <c r="CY14" s="20" t="n">
        <f aca="false">IF(AND(Slot9_On=1,D14=Slot9_Age),1,0)</f>
        <v>0</v>
      </c>
      <c r="CZ14" s="20" t="n">
        <f aca="false">IF(AND(Slot9_On=1,Slot9_Age&gt;D14),1,0)</f>
        <v>0</v>
      </c>
      <c r="DA14" s="20" t="n">
        <f aca="false">RS13</f>
        <v>0</v>
      </c>
      <c r="DB14" s="20" t="n">
        <f aca="false">CY14*MIN(Slot9_Cost,DA14)</f>
        <v>0</v>
      </c>
      <c r="DC14" s="20" t="n">
        <f aca="false">CY14*Slot9_SpendLike*MIN(Slot9_Cost-DB14,CU14)</f>
        <v>0</v>
      </c>
      <c r="DD14" s="20" t="n">
        <f aca="false">DB14+DC14</f>
        <v>0</v>
      </c>
      <c r="DE14" s="20" t="n">
        <f aca="false">CU14-DC14+CY14*IF(Slot9_SpendLike=1,DA14-DB14,IF(Slot9_PotFree=1,DA14,0))</f>
        <v>0</v>
      </c>
      <c r="DF14" s="20" t="n">
        <f aca="false">CV14+CY14*Slot9_BufPot*DA14</f>
        <v>11840.4518646216</v>
      </c>
      <c r="DG14" s="20" t="n">
        <f aca="false">IF(AND(CY14=1,Slot9_IsMfree=1),IF(DD14&gt;=Slot9_Cost-1,0,MAX(0,CW14-DD14)),CW14)</f>
        <v>153037.364877978</v>
      </c>
      <c r="DH14" s="20" t="n">
        <f aca="false">CY14*(Slot9_Cost-DD14)</f>
        <v>0</v>
      </c>
      <c r="DI14" s="20" t="n">
        <f aca="false">IF(AND(Slot10_On=1,D14=Slot10_Age),1,0)</f>
        <v>0</v>
      </c>
      <c r="DJ14" s="20" t="n">
        <f aca="false">IF(AND(Slot10_On=1,Slot10_Age&gt;D14),1,0)</f>
        <v>0</v>
      </c>
      <c r="DK14" s="20" t="n">
        <f aca="false">RW13</f>
        <v>0</v>
      </c>
      <c r="DL14" s="20" t="n">
        <f aca="false">DI14*MIN(Slot10_Cost,DK14)</f>
        <v>0</v>
      </c>
      <c r="DM14" s="20" t="n">
        <f aca="false">DI14*Slot10_SpendLike*MIN(Slot10_Cost-DL14,DE14)</f>
        <v>0</v>
      </c>
      <c r="DN14" s="20" t="n">
        <f aca="false">DL14+DM14</f>
        <v>0</v>
      </c>
      <c r="DO14" s="20" t="n">
        <f aca="false">DE14-DM14+DI14*IF(Slot10_SpendLike=1,DK14-DL14,IF(Slot10_PotFree=1,DK14,0))</f>
        <v>0</v>
      </c>
      <c r="DP14" s="20" t="n">
        <f aca="false">DF14+DI14*Slot10_BufPot*DK14</f>
        <v>11840.4518646216</v>
      </c>
      <c r="DQ14" s="20" t="n">
        <f aca="false">IF(AND(DI14=1,Slot10_IsMfree=1),IF(DN14&gt;=Slot10_Cost-1,0,MAX(0,DG14-DN14)),DG14)</f>
        <v>153037.364877978</v>
      </c>
      <c r="DR14" s="20" t="n">
        <f aca="false">DI14*(Slot10_Cost-DN14)</f>
        <v>0</v>
      </c>
      <c r="DS14" s="20" t="n">
        <f aca="false">IF(AND(Slot11_On=1,D14=Slot11_Age),1,0)</f>
        <v>0</v>
      </c>
      <c r="DT14" s="20" t="n">
        <f aca="false">IF(AND(Slot11_On=1,Slot11_Age&gt;D14),1,0)</f>
        <v>0</v>
      </c>
      <c r="DU14" s="20" t="n">
        <f aca="false">SA13</f>
        <v>0</v>
      </c>
      <c r="DV14" s="20" t="n">
        <f aca="false">DS14*MIN(Slot11_Cost,DU14)</f>
        <v>0</v>
      </c>
      <c r="DW14" s="20" t="n">
        <f aca="false">DS14*Slot11_SpendLike*MIN(Slot11_Cost-DV14,DO14)</f>
        <v>0</v>
      </c>
      <c r="DX14" s="20" t="n">
        <f aca="false">DV14+DW14</f>
        <v>0</v>
      </c>
      <c r="DY14" s="20" t="n">
        <f aca="false">DO14-DW14+DS14*IF(Slot11_SpendLike=1,DU14-DV14,IF(Slot11_PotFree=1,DU14,0))</f>
        <v>0</v>
      </c>
      <c r="DZ14" s="20" t="n">
        <f aca="false">DP14+DS14*Slot11_BufPot*DU14</f>
        <v>11840.4518646216</v>
      </c>
      <c r="EA14" s="20" t="n">
        <f aca="false">IF(AND(DS14=1,Slot11_IsMfree=1),IF(DX14&gt;=Slot11_Cost-1,0,MAX(0,DQ14-DX14)),DQ14)</f>
        <v>153037.364877978</v>
      </c>
      <c r="EB14" s="20" t="n">
        <f aca="false">DS14*(Slot11_Cost-DX14)</f>
        <v>0</v>
      </c>
      <c r="EC14" s="20" t="n">
        <f aca="false">IF(AND(Slot12_On=1,D14=Slot12_Age),1,0)</f>
        <v>0</v>
      </c>
      <c r="ED14" s="20" t="n">
        <f aca="false">IF(AND(Slot12_On=1,Slot12_Age&gt;D14),1,0)</f>
        <v>0</v>
      </c>
      <c r="EE14" s="20" t="n">
        <f aca="false">SE13</f>
        <v>0</v>
      </c>
      <c r="EF14" s="20" t="n">
        <f aca="false">EC14*MIN(Slot12_Cost,EE14)</f>
        <v>0</v>
      </c>
      <c r="EG14" s="20" t="n">
        <f aca="false">EC14*Slot12_SpendLike*MIN(Slot12_Cost-EF14,DY14)</f>
        <v>0</v>
      </c>
      <c r="EH14" s="20" t="n">
        <f aca="false">EF14+EG14</f>
        <v>0</v>
      </c>
      <c r="EI14" s="20" t="n">
        <f aca="false">DY14-EG14+EC14*IF(Slot12_SpendLike=1,EE14-EF14,IF(Slot12_PotFree=1,EE14,0))</f>
        <v>0</v>
      </c>
      <c r="EJ14" s="20" t="n">
        <f aca="false">DZ14+EC14*Slot12_BufPot*EE14</f>
        <v>11840.4518646216</v>
      </c>
      <c r="EK14" s="20" t="n">
        <f aca="false">IF(AND(EC14=1,Slot12_IsMfree=1),IF(EH14&gt;=Slot12_Cost-1,0,MAX(0,EA14-EH14)),EA14)</f>
        <v>153037.364877978</v>
      </c>
      <c r="EL14" s="20" t="n">
        <f aca="false">EC14*(Slot12_Cost-EH14)</f>
        <v>0</v>
      </c>
      <c r="EM14" s="20" t="n">
        <f aca="false">IF(AND(Slot13_On=1,D14=Slot13_Age),1,0)</f>
        <v>0</v>
      </c>
      <c r="EN14" s="20" t="n">
        <f aca="false">IF(AND(Slot13_On=1,Slot13_Age&gt;D14),1,0)</f>
        <v>0</v>
      </c>
      <c r="EO14" s="20" t="n">
        <f aca="false">SI13</f>
        <v>0</v>
      </c>
      <c r="EP14" s="20" t="n">
        <f aca="false">EM14*MIN(Slot13_Cost,EO14)</f>
        <v>0</v>
      </c>
      <c r="EQ14" s="20" t="n">
        <f aca="false">EM14*Slot13_SpendLike*MIN(Slot13_Cost-EP14,EI14)</f>
        <v>0</v>
      </c>
      <c r="ER14" s="20" t="n">
        <f aca="false">EP14+EQ14</f>
        <v>0</v>
      </c>
      <c r="ES14" s="20" t="n">
        <f aca="false">EI14-EQ14+EM14*IF(Slot13_SpendLike=1,EO14-EP14,IF(Slot13_PotFree=1,EO14,0))</f>
        <v>0</v>
      </c>
      <c r="ET14" s="20" t="n">
        <f aca="false">EJ14+EM14*Slot13_BufPot*EO14</f>
        <v>11840.4518646216</v>
      </c>
      <c r="EU14" s="20" t="n">
        <f aca="false">IF(AND(EM14=1,Slot13_IsMfree=1),IF(ER14&gt;=Slot13_Cost-1,0,MAX(0,EK14-ER14)),EK14)</f>
        <v>153037.364877978</v>
      </c>
      <c r="EV14" s="20" t="n">
        <f aca="false">EM14*(Slot13_Cost-ER14)</f>
        <v>0</v>
      </c>
      <c r="EW14" s="20" t="n">
        <f aca="false">IF(AND(Slot14_On=1,D14=Slot14_Age),1,0)</f>
        <v>0</v>
      </c>
      <c r="EX14" s="20" t="n">
        <f aca="false">IF(AND(Slot14_On=1,Slot14_Age&gt;D14),1,0)</f>
        <v>0</v>
      </c>
      <c r="EY14" s="20" t="n">
        <f aca="false">SM13</f>
        <v>0</v>
      </c>
      <c r="EZ14" s="20" t="n">
        <f aca="false">EW14*MIN(Slot14_Cost,EY14)</f>
        <v>0</v>
      </c>
      <c r="FA14" s="20" t="n">
        <f aca="false">EW14*Slot14_SpendLike*MIN(Slot14_Cost-EZ14,ES14)</f>
        <v>0</v>
      </c>
      <c r="FB14" s="20" t="n">
        <f aca="false">EZ14+FA14</f>
        <v>0</v>
      </c>
      <c r="FC14" s="20" t="n">
        <f aca="false">ES14-FA14+EW14*IF(Slot14_SpendLike=1,EY14-EZ14,IF(Slot14_PotFree=1,EY14,0))</f>
        <v>0</v>
      </c>
      <c r="FD14" s="20" t="n">
        <f aca="false">ET14+EW14*Slot14_BufPot*EY14</f>
        <v>11840.4518646216</v>
      </c>
      <c r="FE14" s="20" t="n">
        <f aca="false">IF(AND(EW14=1,Slot14_IsMfree=1),IF(FB14&gt;=Slot14_Cost-1,0,MAX(0,EU14-FB14)),EU14)</f>
        <v>153037.364877978</v>
      </c>
      <c r="FF14" s="20" t="n">
        <f aca="false">EW14*(Slot14_Cost-FB14)</f>
        <v>0</v>
      </c>
      <c r="FG14" s="20" t="n">
        <f aca="false">IF(AND(Slot15_On=1,D14=Slot15_Age),1,0)</f>
        <v>0</v>
      </c>
      <c r="FH14" s="20" t="n">
        <f aca="false">IF(AND(Slot15_On=1,Slot15_Age&gt;D14),1,0)</f>
        <v>0</v>
      </c>
      <c r="FI14" s="20" t="n">
        <f aca="false">SQ13</f>
        <v>0</v>
      </c>
      <c r="FJ14" s="20" t="n">
        <f aca="false">FG14*MIN(Slot15_Cost,FI14)</f>
        <v>0</v>
      </c>
      <c r="FK14" s="20" t="n">
        <f aca="false">FG14*Slot15_SpendLike*MIN(Slot15_Cost-FJ14,FC14)</f>
        <v>0</v>
      </c>
      <c r="FL14" s="20" t="n">
        <f aca="false">FJ14+FK14</f>
        <v>0</v>
      </c>
      <c r="FM14" s="20" t="n">
        <f aca="false">FC14-FK14+FG14*IF(Slot15_SpendLike=1,FI14-FJ14,IF(Slot15_PotFree=1,FI14,0))</f>
        <v>0</v>
      </c>
      <c r="FN14" s="20" t="n">
        <f aca="false">FD14+FG14*Slot15_BufPot*FI14</f>
        <v>11840.4518646216</v>
      </c>
      <c r="FO14" s="20" t="n">
        <f aca="false">IF(AND(FG14=1,Slot15_IsMfree=1),IF(FL14&gt;=Slot15_Cost-1,0,MAX(0,FE14-FL14)),FE14)</f>
        <v>153037.364877978</v>
      </c>
      <c r="FP14" s="20" t="n">
        <f aca="false">FG14*(Slot15_Cost-FL14)</f>
        <v>0</v>
      </c>
      <c r="FQ14" s="20" t="n">
        <f aca="false">IF(AND(Slot16_On=1,D14=Slot16_Age),1,0)</f>
        <v>0</v>
      </c>
      <c r="FR14" s="20" t="n">
        <f aca="false">IF(AND(Slot16_On=1,Slot16_Age&gt;D14),1,0)</f>
        <v>0</v>
      </c>
      <c r="FS14" s="20" t="n">
        <f aca="false">SU13</f>
        <v>0</v>
      </c>
      <c r="FT14" s="20" t="n">
        <f aca="false">FQ14*MIN(Slot16_Cost,FS14)</f>
        <v>0</v>
      </c>
      <c r="FU14" s="20" t="n">
        <f aca="false">FQ14*Slot16_SpendLike*MIN(Slot16_Cost-FT14,FM14)</f>
        <v>0</v>
      </c>
      <c r="FV14" s="20" t="n">
        <f aca="false">FT14+FU14</f>
        <v>0</v>
      </c>
      <c r="FW14" s="20" t="n">
        <f aca="false">FM14-FU14+FQ14*IF(Slot16_SpendLike=1,FS14-FT14,IF(Slot16_PotFree=1,FS14,0))</f>
        <v>0</v>
      </c>
      <c r="FX14" s="20" t="n">
        <f aca="false">FN14+FQ14*Slot16_BufPot*FS14</f>
        <v>11840.4518646216</v>
      </c>
      <c r="FY14" s="20" t="n">
        <f aca="false">IF(AND(FQ14=1,Slot16_IsMfree=1),IF(FV14&gt;=Slot16_Cost-1,0,MAX(0,FO14-FV14)),FO14)</f>
        <v>153037.364877978</v>
      </c>
      <c r="FZ14" s="20" t="n">
        <f aca="false">FQ14*(Slot16_Cost-FV14)</f>
        <v>0</v>
      </c>
      <c r="GA14" s="20" t="n">
        <f aca="false">IF(AND(Slot17_On=1,D14=Slot17_Age),1,0)</f>
        <v>0</v>
      </c>
      <c r="GB14" s="20" t="n">
        <f aca="false">IF(AND(Slot17_On=1,Slot17_Age&gt;D14),1,0)</f>
        <v>0</v>
      </c>
      <c r="GC14" s="20" t="n">
        <f aca="false">SY13</f>
        <v>0</v>
      </c>
      <c r="GD14" s="20" t="n">
        <f aca="false">GA14*MIN(Slot17_Cost,GC14)</f>
        <v>0</v>
      </c>
      <c r="GE14" s="20" t="n">
        <f aca="false">GA14*Slot17_SpendLike*MIN(Slot17_Cost-GD14,FW14)</f>
        <v>0</v>
      </c>
      <c r="GF14" s="20" t="n">
        <f aca="false">GD14+GE14</f>
        <v>0</v>
      </c>
      <c r="GG14" s="20" t="n">
        <f aca="false">FW14-GE14+GA14*IF(Slot17_SpendLike=1,GC14-GD14,IF(Slot17_PotFree=1,GC14,0))</f>
        <v>0</v>
      </c>
      <c r="GH14" s="20" t="n">
        <f aca="false">FX14+GA14*Slot17_BufPot*GC14</f>
        <v>11840.4518646216</v>
      </c>
      <c r="GI14" s="20" t="n">
        <f aca="false">IF(AND(GA14=1,Slot17_IsMfree=1),IF(GF14&gt;=Slot17_Cost-1,0,MAX(0,FY14-GF14)),FY14)</f>
        <v>153037.364877978</v>
      </c>
      <c r="GJ14" s="20" t="n">
        <f aca="false">GA14*(Slot17_Cost-GF14)</f>
        <v>0</v>
      </c>
      <c r="GK14" s="20" t="n">
        <f aca="false">IF(AND(Slot18_On=1,D14=Slot18_Age),1,0)</f>
        <v>0</v>
      </c>
      <c r="GL14" s="20" t="n">
        <f aca="false">IF(AND(Slot18_On=1,Slot18_Age&gt;D14),1,0)</f>
        <v>0</v>
      </c>
      <c r="GM14" s="20" t="n">
        <f aca="false">TC13</f>
        <v>0</v>
      </c>
      <c r="GN14" s="20" t="n">
        <f aca="false">GK14*MIN(Slot18_Cost,GM14)</f>
        <v>0</v>
      </c>
      <c r="GO14" s="20" t="n">
        <f aca="false">GK14*Slot18_SpendLike*MIN(Slot18_Cost-GN14,GG14)</f>
        <v>0</v>
      </c>
      <c r="GP14" s="20" t="n">
        <f aca="false">GN14+GO14</f>
        <v>0</v>
      </c>
      <c r="GQ14" s="20" t="n">
        <f aca="false">GG14-GO14+GK14*IF(Slot18_SpendLike=1,GM14-GN14,IF(Slot18_PotFree=1,GM14,0))</f>
        <v>0</v>
      </c>
      <c r="GR14" s="20" t="n">
        <f aca="false">GH14+GK14*Slot18_BufPot*GM14</f>
        <v>11840.4518646216</v>
      </c>
      <c r="GS14" s="20" t="n">
        <f aca="false">IF(AND(GK14=1,Slot18_IsMfree=1),IF(GP14&gt;=Slot18_Cost-1,0,MAX(0,GI14-GP14)),GI14)</f>
        <v>153037.364877978</v>
      </c>
      <c r="GT14" s="20" t="n">
        <f aca="false">GK14*(Slot18_Cost-GP14)</f>
        <v>0</v>
      </c>
      <c r="GU14" s="20" t="n">
        <f aca="false">IF(AND(Slot19_On=1,D14=Slot19_Age),1,0)</f>
        <v>0</v>
      </c>
      <c r="GV14" s="20" t="n">
        <f aca="false">IF(AND(Slot19_On=1,Slot19_Age&gt;D14),1,0)</f>
        <v>0</v>
      </c>
      <c r="GW14" s="20" t="n">
        <f aca="false">TG13</f>
        <v>0</v>
      </c>
      <c r="GX14" s="20" t="n">
        <f aca="false">GU14*MIN(Slot19_Cost,GW14)</f>
        <v>0</v>
      </c>
      <c r="GY14" s="20" t="n">
        <f aca="false">GU14*Slot19_SpendLike*MIN(Slot19_Cost-GX14,GQ14)</f>
        <v>0</v>
      </c>
      <c r="GZ14" s="20" t="n">
        <f aca="false">GX14+GY14</f>
        <v>0</v>
      </c>
      <c r="HA14" s="20" t="n">
        <f aca="false">GQ14-GY14+GU14*IF(Slot19_SpendLike=1,GW14-GX14,IF(Slot19_PotFree=1,GW14,0))</f>
        <v>0</v>
      </c>
      <c r="HB14" s="20" t="n">
        <f aca="false">GR14+GU14*Slot19_BufPot*GW14</f>
        <v>11840.4518646216</v>
      </c>
      <c r="HC14" s="20" t="n">
        <f aca="false">IF(AND(GU14=1,Slot19_IsMfree=1),IF(GZ14&gt;=Slot19_Cost-1,0,MAX(0,GS14-GZ14)),GS14)</f>
        <v>153037.364877978</v>
      </c>
      <c r="HD14" s="20" t="n">
        <f aca="false">GU14*(Slot19_Cost-GZ14)</f>
        <v>0</v>
      </c>
      <c r="HE14" s="20" t="n">
        <f aca="false">IF(AND(Slot20_On=1,D14=Slot20_Age),1,0)</f>
        <v>0</v>
      </c>
      <c r="HF14" s="20" t="n">
        <f aca="false">IF(AND(Slot20_On=1,Slot20_Age&gt;D14),1,0)</f>
        <v>0</v>
      </c>
      <c r="HG14" s="20" t="n">
        <f aca="false">TK13</f>
        <v>0</v>
      </c>
      <c r="HH14" s="20" t="n">
        <f aca="false">HE14*MIN(Slot20_Cost,HG14)</f>
        <v>0</v>
      </c>
      <c r="HI14" s="20" t="n">
        <f aca="false">HE14*Slot20_SpendLike*MIN(Slot20_Cost-HH14,HA14)</f>
        <v>0</v>
      </c>
      <c r="HJ14" s="20" t="n">
        <f aca="false">HH14+HI14</f>
        <v>0</v>
      </c>
      <c r="HK14" s="20" t="n">
        <f aca="false">HA14-HI14+HE14*IF(Slot20_SpendLike=1,HG14-HH14,IF(Slot20_PotFree=1,HG14,0))</f>
        <v>0</v>
      </c>
      <c r="HL14" s="20" t="n">
        <f aca="false">HB14+HE14*Slot20_BufPot*HG14</f>
        <v>11840.4518646216</v>
      </c>
      <c r="HM14" s="20" t="n">
        <f aca="false">IF(AND(HE14=1,Slot20_IsMfree=1),IF(HJ14&gt;=Slot20_Cost-1,0,MAX(0,HC14-HJ14)),HC14)</f>
        <v>153037.364877978</v>
      </c>
      <c r="HN14" s="20" t="n">
        <f aca="false">HE14*(Slot20_Cost-HJ14)</f>
        <v>0</v>
      </c>
      <c r="HO14" s="20" t="n">
        <f aca="false">V14*Slot1_SpendLike*AA14+AG14*Slot2_SpendLike*AL14+AQ14*Slot3_SpendLike*AV14+BA14*Slot4_SpendLike*BF14+BK14*Slot5_SpendLike*BP14+BU14*Slot6_SpendLike*BZ14+CE14*Slot7_SpendLike*CJ14+CO14*Slot8_SpendLike*CT14+CY14*Slot9_SpendLike*DD14+DI14*Slot10_SpendLike*DN14+DS14*Slot11_SpendLike*DX14+EC14*Slot12_SpendLike*EH14+EM14*Slot13_SpendLike*ER14+EW14*Slot14_SpendLike*FB14+FG14*Slot15_SpendLike*FL14+FQ14*Slot16_SpendLike*FV14+GA14*Slot17_SpendLike*GF14+GK14*Slot18_SpendLike*GP14+GU14*Slot19_SpendLike*GZ14+HE14*Slot20_SpendLike*HJ14</f>
        <v>0</v>
      </c>
      <c r="HP14" s="20" t="n">
        <f aca="false">AE14+AP14+AZ14+BJ14+BT14+CD14+CN14+CX14+DH14+DR14+EB14+EL14+EV14+FF14+FP14+FZ14+GJ14+GT14+HD14+HN14</f>
        <v>0</v>
      </c>
      <c r="HQ14" s="20" t="n">
        <f aca="false">V14*Slot1_Cost+AG14*Slot2_Cost+AQ14*Slot3_Cost+BA14*Slot4_Cost+BK14*Slot5_Cost+BU14*Slot6_Cost+CE14*Slot7_Cost+CO14*Slot8_Cost+CY14*Slot9_Cost+DI14*Slot10_Cost+DS14*Slot11_Cost+EC14*Slot12_Cost+EM14*Slot13_Cost+EW14*Slot14_Cost+FG14*Slot15_Cost+FQ14*Slot16_Cost+GA14*Slot17_Cost+GK14*Slot18_Cost+GU14*Slot19_Cost+HE14*Slot20_Cost</f>
        <v>0</v>
      </c>
      <c r="HR14" s="20" t="n">
        <f aca="false">HM14</f>
        <v>153037.364877978</v>
      </c>
      <c r="HS14" s="20" t="n">
        <f aca="false">H14-I14-S14</f>
        <v>8051.656078125</v>
      </c>
      <c r="HT14" s="20" t="n">
        <f aca="false">IF(B14=0,IF(AND(Has_q6=1,In_q6=4),PR_ShareVaries*(MAX(0,HS14)/12),MIN(IF(Has_q6=1,CHOOSE(In_q6+1,PR_SaveB1,PR_SaveB2,PR_SaveB3,PR_SaveB4,0),AS_NoAnswer),AS_SaveShare*(MAX(0,HS14)/12))),HT13)</f>
        <v>67.3316893520437</v>
      </c>
      <c r="HU14" s="20" t="n">
        <f aca="false">IF(HS14&gt;=0,1,0)</f>
        <v>1</v>
      </c>
      <c r="HV14" s="20" t="n">
        <f aca="false">MAX(0,HS14/12/F14)</f>
        <v>595.803348048376</v>
      </c>
      <c r="HW14" s="20" t="n">
        <f aca="false">IF(AND(Has_q6=1,In_q6=4),PR_ShareVaries*(HV14),MIN(IF(Has_q6=1,CHOOSE(In_q6+1,PR_SaveB1,PR_SaveB2,PR_SaveB3,PR_SaveB4,0),AS_NoAnswer),AS_SaveShare*(HV14)))</f>
        <v>297.901674024188</v>
      </c>
      <c r="HX14" s="20" t="n">
        <f aca="false">IF(Has_saveM=1,IF(In_saveUp="Yes",1,IF(In_saveUp="No",0,IF(In_saveM&gt;=HT14-0.5,1,0))),0)</f>
        <v>0</v>
      </c>
      <c r="HY14" s="20" t="n">
        <f aca="false">IF(Has_saveM=1,MIN(HV14,IF(HX14=1,MAX(In_saveM,HW14),MIN(In_saveM,HW14))),HW14)</f>
        <v>297.901674024188</v>
      </c>
      <c r="HZ14" s="20" t="n">
        <f aca="false">IF(G14=1,HY14*12*F14,0)</f>
        <v>4025.8280390625</v>
      </c>
      <c r="IA14" s="20" t="n">
        <f aca="false">MAX(0,HZ14+IF(AND(WI_Retire=0,WI_M&lt;0,G14=1),WI_M*12*F14,0))</f>
        <v>4025.8280390625</v>
      </c>
      <c r="IB14" s="20" t="n">
        <f aca="false">Slot1_IsWG*W14+Slot2_IsWG*AH14+Slot3_IsWG*AR14+Slot4_IsWG*BB14+Slot5_IsWG*BL14+Slot6_IsWG*BV14+Slot7_IsWG*CF14+Slot8_IsWG*CP14+Slot9_IsWG*CZ14+Slot10_IsWG*DJ14+Slot11_IsWG*DT14+Slot12_IsWG*ED14+Slot13_IsWG*EN14+Slot14_IsWG*EX14+Slot15_IsWG*FH14+Slot16_IsWG*FR14+Slot17_IsWG*GB14+Slot18_IsWG*GL14+Slot19_IsWG*GV14+Slot20_IsWG*HF14</f>
        <v>0</v>
      </c>
      <c r="IC14" s="20" t="n">
        <f aca="false">IF(AND(WI_Retire=0,WI_M&gt;0,G14=1,IB14&gt;=1),WI_M*12*F14,0)</f>
        <v>0</v>
      </c>
      <c r="ID14" s="20" t="n">
        <f aca="false">IF(HU14=1,MIN(IA14,HS14),0)</f>
        <v>4025.8280390625</v>
      </c>
      <c r="IE14" s="20" t="n">
        <f aca="false">IF(HU14=1,MIN(IC14,HS14-ID14),0)</f>
        <v>0</v>
      </c>
      <c r="IF14" s="20" t="n">
        <f aca="false">IF(W14=1,IF(ABS((1+AS_Wage)/(1+Slot1_Rate)-1)&lt;0.000000000001,(Slot1_Age-D14)*(1+Slot1_Rate)^(Slot1_Age-D14),(1+Slot1_Rate)^(Slot1_Age-D14)*(1-((1+AS_Wage)/(1+Slot1_Rate))^(Slot1_Age-D14))/(1-(1+AS_Wage)/(1+Slot1_Rate))),1)</f>
        <v>1</v>
      </c>
      <c r="IG14" s="20" t="n">
        <f aca="false">IF(AND(HU14=1,IE14&gt;0,Slot1_IsWG=1,W14=1),MAX(0,(Slot1_Cost-X14*(1+Slot1_Rate)^(Slot1_Age-D14))/IF14),0)</f>
        <v>0</v>
      </c>
      <c r="IH14" s="20" t="n">
        <f aca="false">IF(AND(HU14=1,IE14&gt;0,Slot1_IsWG=1,W14=1),MIN(IE14,IG14),0)</f>
        <v>0</v>
      </c>
      <c r="II14" s="20" t="n">
        <f aca="false">X14+IH14</f>
        <v>0</v>
      </c>
      <c r="IJ14" s="20" t="n">
        <f aca="false">IF(W14=1,MAX(0,(Slot1_Cost-II14*(1+Slot1_Rate)^(Slot1_Age-D14))/IF14),0)</f>
        <v>0</v>
      </c>
      <c r="IK14" s="20" t="n">
        <f aca="false">IF(W14=1,MAX(0,(Slot1_Cost-X14*(1+Slot1_Rate)^(Slot1_Age-D14))/IF14),0)</f>
        <v>0</v>
      </c>
      <c r="IL14" s="20" t="n">
        <f aca="false">IF(AND(HU14=1,W14=1),MIN(ID14,IJ14),0)</f>
        <v>0</v>
      </c>
      <c r="IM14" s="20" t="n">
        <f aca="false">ID14-IL14</f>
        <v>4025.8280390625</v>
      </c>
      <c r="IN14" s="20" t="n">
        <f aca="false">IF(AH14=1,IF(ABS((1+AS_Wage)/(1+Slot2_Rate)-1)&lt;0.000000000001,(Slot2_Age-D14)*(1+Slot2_Rate)^(Slot2_Age-D14),(1+Slot2_Rate)^(Slot2_Age-D14)*(1-((1+AS_Wage)/(1+Slot2_Rate))^(Slot2_Age-D14))/(1-(1+AS_Wage)/(1+Slot2_Rate))),1)</f>
        <v>1</v>
      </c>
      <c r="IO14" s="20" t="n">
        <f aca="false">IF(AND(HU14=1,IE14&gt;0,Slot2_IsWG=1,AH14=1),MAX(0,(Slot2_Cost-AI14*(1+Slot2_Rate)^(Slot2_Age-D14))/IN14),0)</f>
        <v>0</v>
      </c>
      <c r="IP14" s="20" t="n">
        <f aca="false">IF(AND(HU14=1,IE14&gt;0,Slot2_IsWG=1,AH14=1),MIN(IE14,IO14),0)</f>
        <v>0</v>
      </c>
      <c r="IQ14" s="20" t="n">
        <f aca="false">AI14+IP14</f>
        <v>0</v>
      </c>
      <c r="IR14" s="20" t="n">
        <f aca="false">IF(AH14=1,MAX(0,(Slot2_Cost-IQ14*(1+Slot2_Rate)^(Slot2_Age-D14))/IN14),0)</f>
        <v>0</v>
      </c>
      <c r="IS14" s="20" t="n">
        <f aca="false">IF(AH14=1,MAX(0,(Slot2_Cost-AI14*(1+Slot2_Rate)^(Slot2_Age-D14))/IN14),0)</f>
        <v>0</v>
      </c>
      <c r="IT14" s="20" t="n">
        <f aca="false">IF(AND(HU14=1,AH14=1),MIN(IM14,IR14),0)</f>
        <v>0</v>
      </c>
      <c r="IU14" s="20" t="n">
        <f aca="false">IM14-IT14</f>
        <v>4025.8280390625</v>
      </c>
      <c r="IV14" s="20" t="n">
        <f aca="false">IF(AR14=1,IF(ABS((1+AS_Wage)/(1+Slot3_Rate)-1)&lt;0.000000000001,(Slot3_Age-D14)*(1+Slot3_Rate)^(Slot3_Age-D14),(1+Slot3_Rate)^(Slot3_Age-D14)*(1-((1+AS_Wage)/(1+Slot3_Rate))^(Slot3_Age-D14))/(1-(1+AS_Wage)/(1+Slot3_Rate))),1)</f>
        <v>4.458495574656</v>
      </c>
      <c r="IW14" s="20" t="n">
        <f aca="false">IF(AND(HU14=1,IE14&gt;0,Slot3_IsWG=1,AR14=1),MAX(0,(Slot3_Cost-AS14*(1+Slot3_Rate)^(Slot3_Age-D14))/IV14),0)</f>
        <v>0</v>
      </c>
      <c r="IX14" s="20" t="n">
        <f aca="false">IF(AND(HU14=1,IE14&gt;0,Slot3_IsWG=1,AR14=1),MIN(IE14,IW14),0)</f>
        <v>0</v>
      </c>
      <c r="IY14" s="20" t="n">
        <f aca="false">AS14+IX14</f>
        <v>9581.07937770176</v>
      </c>
      <c r="IZ14" s="20" t="n">
        <f aca="false">IF(AR14=1,MAX(0,(Slot3_Cost-IY14*(1+Slot3_Rate)^(Slot3_Age-D14))/IV14),0)</f>
        <v>11289.1601437004</v>
      </c>
      <c r="JA14" s="20" t="n">
        <f aca="false">IF(AR14=1,MAX(0,(Slot3_Cost-AS14*(1+Slot3_Rate)^(Slot3_Age-D14))/IV14),0)</f>
        <v>11289.1601437004</v>
      </c>
      <c r="JB14" s="20" t="n">
        <f aca="false">IF(AND(HU14=1,AR14=1),MIN(IU14,IZ14),0)</f>
        <v>4025.8280390625</v>
      </c>
      <c r="JC14" s="20" t="n">
        <f aca="false">IU14-JB14</f>
        <v>0</v>
      </c>
      <c r="JD14" s="20" t="n">
        <f aca="false">IF(BB14=1,IF(ABS((1+AS_Wage)/(1+Slot4_Rate)-1)&lt;0.000000000001,(Slot4_Age-D14)*(1+Slot4_Rate)^(Slot4_Age-D14),(1+Slot4_Rate)^(Slot4_Age-D14)*(1-((1+AS_Wage)/(1+Slot4_Rate))^(Slot4_Age-D14))/(1-(1+AS_Wage)/(1+Slot4_Rate))),1)</f>
        <v>14.8763315723863</v>
      </c>
      <c r="JE14" s="20" t="n">
        <f aca="false">IF(AND(HU14=1,IE14&gt;0,Slot4_IsWG=1,BB14=1),MAX(0,(Slot4_Cost-BC14*(1+Slot4_Rate)^(Slot4_Age-D14))/JD14),0)</f>
        <v>0</v>
      </c>
      <c r="JF14" s="20" t="n">
        <f aca="false">IF(AND(HU14=1,IE14&gt;0,Slot4_IsWG=1,BB14=1),MIN(IE14,JE14),0)</f>
        <v>0</v>
      </c>
      <c r="JG14" s="20" t="n">
        <f aca="false">BC14+JF14</f>
        <v>0</v>
      </c>
      <c r="JH14" s="20" t="n">
        <f aca="false">IF(BB14=1,MAX(0,(Slot4_Cost-JG14*(1+Slot4_Rate)^(Slot4_Age-D14))/JD14),0)</f>
        <v>2690.17233570638</v>
      </c>
      <c r="JI14" s="20" t="n">
        <f aca="false">IF(BB14=1,MAX(0,(Slot4_Cost-BC14*(1+Slot4_Rate)^(Slot4_Age-D14))/JD14),0)</f>
        <v>2690.17233570638</v>
      </c>
      <c r="JJ14" s="20" t="n">
        <f aca="false">IF(AND(HU14=1,BB14=1),MIN(JC14,JH14),0)</f>
        <v>0</v>
      </c>
      <c r="JK14" s="20" t="n">
        <f aca="false">JC14-JJ14</f>
        <v>0</v>
      </c>
      <c r="JL14" s="20" t="n">
        <f aca="false">IF(BL14=1,IF(ABS((1+AS_Wage)/(1+Slot5_Rate)-1)&lt;0.000000000001,(Slot5_Age-D14)*(1+Slot5_Rate)^(Slot5_Age-D14),(1+Slot5_Rate)^(Slot5_Age-D14)*(1-((1+AS_Wage)/(1+Slot5_Rate))^(Slot5_Age-D14))/(1-(1+AS_Wage)/(1+Slot5_Rate))),1)</f>
        <v>1</v>
      </c>
      <c r="JM14" s="20" t="n">
        <f aca="false">IF(AND(HU14=1,IE14&gt;0,Slot5_IsWG=1,BL14=1),MAX(0,(Slot5_Cost-BM14*(1+Slot5_Rate)^(Slot5_Age-D14))/JL14),0)</f>
        <v>0</v>
      </c>
      <c r="JN14" s="20" t="n">
        <f aca="false">IF(AND(HU14=1,IE14&gt;0,Slot5_IsWG=1,BL14=1),MIN(IE14,JM14),0)</f>
        <v>0</v>
      </c>
      <c r="JO14" s="20" t="n">
        <f aca="false">BM14+JN14</f>
        <v>0</v>
      </c>
      <c r="JP14" s="20" t="n">
        <f aca="false">IF(BL14=1,MAX(0,(Slot5_Cost-JO14*(1+Slot5_Rate)^(Slot5_Age-D14))/JL14),0)</f>
        <v>0</v>
      </c>
      <c r="JQ14" s="20" t="n">
        <f aca="false">IF(BL14=1,MAX(0,(Slot5_Cost-BM14*(1+Slot5_Rate)^(Slot5_Age-D14))/JL14),0)</f>
        <v>0</v>
      </c>
      <c r="JR14" s="20" t="n">
        <f aca="false">IF(AND(HU14=1,BL14=1),MIN(JK14,JP14),0)</f>
        <v>0</v>
      </c>
      <c r="JS14" s="20" t="n">
        <f aca="false">JK14-JR14</f>
        <v>0</v>
      </c>
      <c r="JT14" s="20" t="n">
        <f aca="false">IF(BV14=1,IF(ABS((1+AS_Wage)/(1+Slot6_Rate)-1)&lt;0.000000000001,(Slot6_Age-D14)*(1+Slot6_Rate)^(Slot6_Age-D14),(1+Slot6_Rate)^(Slot6_Age-D14)*(1-((1+AS_Wage)/(1+Slot6_Rate))^(Slot6_Age-D14))/(1-(1+AS_Wage)/(1+Slot6_Rate))),1)</f>
        <v>1</v>
      </c>
      <c r="JU14" s="20" t="n">
        <f aca="false">IF(AND(HU14=1,IE14&gt;0,Slot6_IsWG=1,BV14=1),MAX(0,(Slot6_Cost-BW14*(1+Slot6_Rate)^(Slot6_Age-D14))/JT14),0)</f>
        <v>0</v>
      </c>
      <c r="JV14" s="20" t="n">
        <f aca="false">IF(AND(HU14=1,IE14&gt;0,Slot6_IsWG=1,BV14=1),MIN(IE14,JU14),0)</f>
        <v>0</v>
      </c>
      <c r="JW14" s="20" t="n">
        <f aca="false">BW14+JV14</f>
        <v>0</v>
      </c>
      <c r="JX14" s="20" t="n">
        <f aca="false">IF(BV14=1,MAX(0,(Slot6_Cost-JW14*(1+Slot6_Rate)^(Slot6_Age-D14))/JT14),0)</f>
        <v>0</v>
      </c>
      <c r="JY14" s="20" t="n">
        <f aca="false">IF(BV14=1,MAX(0,(Slot6_Cost-BW14*(1+Slot6_Rate)^(Slot6_Age-D14))/JT14),0)</f>
        <v>0</v>
      </c>
      <c r="JZ14" s="20" t="n">
        <f aca="false">IF(AND(HU14=1,BV14=1),MIN(JS14,JX14),0)</f>
        <v>0</v>
      </c>
      <c r="KA14" s="20" t="n">
        <f aca="false">JS14-JZ14</f>
        <v>0</v>
      </c>
      <c r="KB14" s="20" t="n">
        <f aca="false">IF(CF14=1,IF(ABS((1+AS_Wage)/(1+Slot7_Rate)-1)&lt;0.000000000001,(Slot7_Age-D14)*(1+Slot7_Rate)^(Slot7_Age-D14),(1+Slot7_Rate)^(Slot7_Age-D14)*(1-((1+AS_Wage)/(1+Slot7_Rate))^(Slot7_Age-D14))/(1-(1+AS_Wage)/(1+Slot7_Rate))),1)</f>
        <v>1</v>
      </c>
      <c r="KC14" s="20" t="n">
        <f aca="false">IF(AND(HU14=1,IE14&gt;0,Slot7_IsWG=1,CF14=1),MAX(0,(Slot7_Cost-CG14*(1+Slot7_Rate)^(Slot7_Age-D14))/KB14),0)</f>
        <v>0</v>
      </c>
      <c r="KD14" s="20" t="n">
        <f aca="false">IF(AND(HU14=1,IE14&gt;0,Slot7_IsWG=1,CF14=1),MIN(IE14,KC14),0)</f>
        <v>0</v>
      </c>
      <c r="KE14" s="20" t="n">
        <f aca="false">CG14+KD14</f>
        <v>0</v>
      </c>
      <c r="KF14" s="20" t="n">
        <f aca="false">IF(CF14=1,MAX(0,(Slot7_Cost-KE14*(1+Slot7_Rate)^(Slot7_Age-D14))/KB14),0)</f>
        <v>0</v>
      </c>
      <c r="KG14" s="20" t="n">
        <f aca="false">IF(CF14=1,MAX(0,(Slot7_Cost-CG14*(1+Slot7_Rate)^(Slot7_Age-D14))/KB14),0)</f>
        <v>0</v>
      </c>
      <c r="KH14" s="20" t="n">
        <f aca="false">IF(AND(HU14=1,CF14=1),MIN(KA14,KF14),0)</f>
        <v>0</v>
      </c>
      <c r="KI14" s="20" t="n">
        <f aca="false">KA14-KH14</f>
        <v>0</v>
      </c>
      <c r="KJ14" s="20" t="n">
        <f aca="false">IF(CP14=1,IF(ABS((1+AS_Wage)/(1+Slot8_Rate)-1)&lt;0.000000000001,(Slot8_Age-D14)*(1+Slot8_Rate)^(Slot8_Age-D14),(1+Slot8_Rate)^(Slot8_Age-D14)*(1-((1+AS_Wage)/(1+Slot8_Rate))^(Slot8_Age-D14))/(1-(1+AS_Wage)/(1+Slot8_Rate))),1)</f>
        <v>1</v>
      </c>
      <c r="KK14" s="20" t="n">
        <f aca="false">IF(AND(HU14=1,IE14&gt;0,Slot8_IsWG=1,CP14=1),MAX(0,(Slot8_Cost-CQ14*(1+Slot8_Rate)^(Slot8_Age-D14))/KJ14),0)</f>
        <v>0</v>
      </c>
      <c r="KL14" s="20" t="n">
        <f aca="false">IF(AND(HU14=1,IE14&gt;0,Slot8_IsWG=1,CP14=1),MIN(IE14,KK14),0)</f>
        <v>0</v>
      </c>
      <c r="KM14" s="20" t="n">
        <f aca="false">CQ14+KL14</f>
        <v>0</v>
      </c>
      <c r="KN14" s="20" t="n">
        <f aca="false">IF(CP14=1,MAX(0,(Slot8_Cost-KM14*(1+Slot8_Rate)^(Slot8_Age-D14))/KJ14),0)</f>
        <v>0</v>
      </c>
      <c r="KO14" s="20" t="n">
        <f aca="false">IF(CP14=1,MAX(0,(Slot8_Cost-CQ14*(1+Slot8_Rate)^(Slot8_Age-D14))/KJ14),0)</f>
        <v>0</v>
      </c>
      <c r="KP14" s="20" t="n">
        <f aca="false">IF(AND(HU14=1,CP14=1),MIN(KI14,KN14),0)</f>
        <v>0</v>
      </c>
      <c r="KQ14" s="20" t="n">
        <f aca="false">KI14-KP14</f>
        <v>0</v>
      </c>
      <c r="KR14" s="20" t="n">
        <f aca="false">IF(CZ14=1,IF(ABS((1+AS_Wage)/(1+Slot9_Rate)-1)&lt;0.000000000001,(Slot9_Age-D14)*(1+Slot9_Rate)^(Slot9_Age-D14),(1+Slot9_Rate)^(Slot9_Age-D14)*(1-((1+AS_Wage)/(1+Slot9_Rate))^(Slot9_Age-D14))/(1-(1+AS_Wage)/(1+Slot9_Rate))),1)</f>
        <v>1</v>
      </c>
      <c r="KS14" s="20" t="n">
        <f aca="false">IF(AND(HU14=1,IE14&gt;0,Slot9_IsWG=1,CZ14=1),MAX(0,(Slot9_Cost-DA14*(1+Slot9_Rate)^(Slot9_Age-D14))/KR14),0)</f>
        <v>0</v>
      </c>
      <c r="KT14" s="20" t="n">
        <f aca="false">IF(AND(HU14=1,IE14&gt;0,Slot9_IsWG=1,CZ14=1),MIN(IE14,KS14),0)</f>
        <v>0</v>
      </c>
      <c r="KU14" s="20" t="n">
        <f aca="false">DA14+KT14</f>
        <v>0</v>
      </c>
      <c r="KV14" s="20" t="n">
        <f aca="false">IF(CZ14=1,MAX(0,(Slot9_Cost-KU14*(1+Slot9_Rate)^(Slot9_Age-D14))/KR14),0)</f>
        <v>0</v>
      </c>
      <c r="KW14" s="20" t="n">
        <f aca="false">IF(CZ14=1,MAX(0,(Slot9_Cost-DA14*(1+Slot9_Rate)^(Slot9_Age-D14))/KR14),0)</f>
        <v>0</v>
      </c>
      <c r="KX14" s="20" t="n">
        <f aca="false">IF(AND(HU14=1,CZ14=1),MIN(KQ14,KV14),0)</f>
        <v>0</v>
      </c>
      <c r="KY14" s="20" t="n">
        <f aca="false">KQ14-KX14</f>
        <v>0</v>
      </c>
      <c r="KZ14" s="20" t="n">
        <f aca="false">IF(DJ14=1,IF(ABS((1+AS_Wage)/(1+Slot10_Rate)-1)&lt;0.000000000001,(Slot10_Age-D14)*(1+Slot10_Rate)^(Slot10_Age-D14),(1+Slot10_Rate)^(Slot10_Age-D14)*(1-((1+AS_Wage)/(1+Slot10_Rate))^(Slot10_Age-D14))/(1-(1+AS_Wage)/(1+Slot10_Rate))),1)</f>
        <v>1</v>
      </c>
      <c r="LA14" s="20" t="n">
        <f aca="false">IF(AND(HU14=1,IE14&gt;0,Slot10_IsWG=1,DJ14=1),MAX(0,(Slot10_Cost-DK14*(1+Slot10_Rate)^(Slot10_Age-D14))/KZ14),0)</f>
        <v>0</v>
      </c>
      <c r="LB14" s="20" t="n">
        <f aca="false">IF(AND(HU14=1,IE14&gt;0,Slot10_IsWG=1,DJ14=1),MIN(IE14,LA14),0)</f>
        <v>0</v>
      </c>
      <c r="LC14" s="20" t="n">
        <f aca="false">DK14+LB14</f>
        <v>0</v>
      </c>
      <c r="LD14" s="20" t="n">
        <f aca="false">IF(DJ14=1,MAX(0,(Slot10_Cost-LC14*(1+Slot10_Rate)^(Slot10_Age-D14))/KZ14),0)</f>
        <v>0</v>
      </c>
      <c r="LE14" s="20" t="n">
        <f aca="false">IF(DJ14=1,MAX(0,(Slot10_Cost-DK14*(1+Slot10_Rate)^(Slot10_Age-D14))/KZ14),0)</f>
        <v>0</v>
      </c>
      <c r="LF14" s="20" t="n">
        <f aca="false">IF(AND(HU14=1,DJ14=1),MIN(KY14,LD14),0)</f>
        <v>0</v>
      </c>
      <c r="LG14" s="20" t="n">
        <f aca="false">KY14-LF14</f>
        <v>0</v>
      </c>
      <c r="LH14" s="20" t="n">
        <f aca="false">IF(DT14=1,IF(ABS((1+AS_Wage)/(1+Slot11_Rate)-1)&lt;0.000000000001,(Slot11_Age-D14)*(1+Slot11_Rate)^(Slot11_Age-D14),(1+Slot11_Rate)^(Slot11_Age-D14)*(1-((1+AS_Wage)/(1+Slot11_Rate))^(Slot11_Age-D14))/(1-(1+AS_Wage)/(1+Slot11_Rate))),1)</f>
        <v>1</v>
      </c>
      <c r="LI14" s="20" t="n">
        <f aca="false">IF(AND(HU14=1,IE14&gt;0,Slot11_IsWG=1,DT14=1),MAX(0,(Slot11_Cost-DU14*(1+Slot11_Rate)^(Slot11_Age-D14))/LH14),0)</f>
        <v>0</v>
      </c>
      <c r="LJ14" s="20" t="n">
        <f aca="false">IF(AND(HU14=1,IE14&gt;0,Slot11_IsWG=1,DT14=1),MIN(IE14,LI14),0)</f>
        <v>0</v>
      </c>
      <c r="LK14" s="20" t="n">
        <f aca="false">DU14+LJ14</f>
        <v>0</v>
      </c>
      <c r="LL14" s="20" t="n">
        <f aca="false">IF(DT14=1,MAX(0,(Slot11_Cost-LK14*(1+Slot11_Rate)^(Slot11_Age-D14))/LH14),0)</f>
        <v>0</v>
      </c>
      <c r="LM14" s="20" t="n">
        <f aca="false">IF(DT14=1,MAX(0,(Slot11_Cost-DU14*(1+Slot11_Rate)^(Slot11_Age-D14))/LH14),0)</f>
        <v>0</v>
      </c>
      <c r="LN14" s="20" t="n">
        <f aca="false">IF(AND(HU14=1,DT14=1),MIN(LG14,LL14),0)</f>
        <v>0</v>
      </c>
      <c r="LO14" s="20" t="n">
        <f aca="false">LG14-LN14</f>
        <v>0</v>
      </c>
      <c r="LP14" s="20" t="n">
        <f aca="false">IF(ED14=1,IF(ABS((1+AS_Wage)/(1+Slot12_Rate)-1)&lt;0.000000000001,(Slot12_Age-D14)*(1+Slot12_Rate)^(Slot12_Age-D14),(1+Slot12_Rate)^(Slot12_Age-D14)*(1-((1+AS_Wage)/(1+Slot12_Rate))^(Slot12_Age-D14))/(1-(1+AS_Wage)/(1+Slot12_Rate))),1)</f>
        <v>1</v>
      </c>
      <c r="LQ14" s="20" t="n">
        <f aca="false">IF(AND(HU14=1,IE14&gt;0,Slot12_IsWG=1,ED14=1),MAX(0,(Slot12_Cost-EE14*(1+Slot12_Rate)^(Slot12_Age-D14))/LP14),0)</f>
        <v>0</v>
      </c>
      <c r="LR14" s="20" t="n">
        <f aca="false">IF(AND(HU14=1,IE14&gt;0,Slot12_IsWG=1,ED14=1),MIN(IE14,LQ14),0)</f>
        <v>0</v>
      </c>
      <c r="LS14" s="20" t="n">
        <f aca="false">EE14+LR14</f>
        <v>0</v>
      </c>
      <c r="LT14" s="20" t="n">
        <f aca="false">IF(ED14=1,MAX(0,(Slot12_Cost-LS14*(1+Slot12_Rate)^(Slot12_Age-D14))/LP14),0)</f>
        <v>0</v>
      </c>
      <c r="LU14" s="20" t="n">
        <f aca="false">IF(ED14=1,MAX(0,(Slot12_Cost-EE14*(1+Slot12_Rate)^(Slot12_Age-D14))/LP14),0)</f>
        <v>0</v>
      </c>
      <c r="LV14" s="20" t="n">
        <f aca="false">IF(AND(HU14=1,ED14=1),MIN(LO14,LT14),0)</f>
        <v>0</v>
      </c>
      <c r="LW14" s="20" t="n">
        <f aca="false">LO14-LV14</f>
        <v>0</v>
      </c>
      <c r="LX14" s="20" t="n">
        <f aca="false">IF(EN14=1,IF(ABS((1+AS_Wage)/(1+Slot13_Rate)-1)&lt;0.000000000001,(Slot13_Age-D14)*(1+Slot13_Rate)^(Slot13_Age-D14),(1+Slot13_Rate)^(Slot13_Age-D14)*(1-((1+AS_Wage)/(1+Slot13_Rate))^(Slot13_Age-D14))/(1-(1+AS_Wage)/(1+Slot13_Rate))),1)</f>
        <v>1</v>
      </c>
      <c r="LY14" s="20" t="n">
        <f aca="false">IF(AND(HU14=1,IE14&gt;0,Slot13_IsWG=1,EN14=1),MAX(0,(Slot13_Cost-EO14*(1+Slot13_Rate)^(Slot13_Age-D14))/LX14),0)</f>
        <v>0</v>
      </c>
      <c r="LZ14" s="20" t="n">
        <f aca="false">IF(AND(HU14=1,IE14&gt;0,Slot13_IsWG=1,EN14=1),MIN(IE14,LY14),0)</f>
        <v>0</v>
      </c>
      <c r="MA14" s="20" t="n">
        <f aca="false">EO14+LZ14</f>
        <v>0</v>
      </c>
      <c r="MB14" s="20" t="n">
        <f aca="false">IF(EN14=1,MAX(0,(Slot13_Cost-MA14*(1+Slot13_Rate)^(Slot13_Age-D14))/LX14),0)</f>
        <v>0</v>
      </c>
      <c r="MC14" s="20" t="n">
        <f aca="false">IF(EN14=1,MAX(0,(Slot13_Cost-EO14*(1+Slot13_Rate)^(Slot13_Age-D14))/LX14),0)</f>
        <v>0</v>
      </c>
      <c r="MD14" s="20" t="n">
        <f aca="false">IF(AND(HU14=1,EN14=1),MIN(LW14,MB14),0)</f>
        <v>0</v>
      </c>
      <c r="ME14" s="20" t="n">
        <f aca="false">LW14-MD14</f>
        <v>0</v>
      </c>
      <c r="MF14" s="20" t="n">
        <f aca="false">IF(EX14=1,IF(ABS((1+AS_Wage)/(1+Slot14_Rate)-1)&lt;0.000000000001,(Slot14_Age-D14)*(1+Slot14_Rate)^(Slot14_Age-D14),(1+Slot14_Rate)^(Slot14_Age-D14)*(1-((1+AS_Wage)/(1+Slot14_Rate))^(Slot14_Age-D14))/(1-(1+AS_Wage)/(1+Slot14_Rate))),1)</f>
        <v>1</v>
      </c>
      <c r="MG14" s="20" t="n">
        <f aca="false">IF(AND(HU14=1,IE14&gt;0,Slot14_IsWG=1,EX14=1),MAX(0,(Slot14_Cost-EY14*(1+Slot14_Rate)^(Slot14_Age-D14))/MF14),0)</f>
        <v>0</v>
      </c>
      <c r="MH14" s="20" t="n">
        <f aca="false">IF(AND(HU14=1,IE14&gt;0,Slot14_IsWG=1,EX14=1),MIN(IE14,MG14),0)</f>
        <v>0</v>
      </c>
      <c r="MI14" s="20" t="n">
        <f aca="false">EY14+MH14</f>
        <v>0</v>
      </c>
      <c r="MJ14" s="20" t="n">
        <f aca="false">IF(EX14=1,MAX(0,(Slot14_Cost-MI14*(1+Slot14_Rate)^(Slot14_Age-D14))/MF14),0)</f>
        <v>0</v>
      </c>
      <c r="MK14" s="20" t="n">
        <f aca="false">IF(EX14=1,MAX(0,(Slot14_Cost-EY14*(1+Slot14_Rate)^(Slot14_Age-D14))/MF14),0)</f>
        <v>0</v>
      </c>
      <c r="ML14" s="20" t="n">
        <f aca="false">IF(AND(HU14=1,EX14=1),MIN(ME14,MJ14),0)</f>
        <v>0</v>
      </c>
      <c r="MM14" s="20" t="n">
        <f aca="false">ME14-ML14</f>
        <v>0</v>
      </c>
      <c r="MN14" s="20" t="n">
        <f aca="false">IF(FH14=1,IF(ABS((1+AS_Wage)/(1+Slot15_Rate)-1)&lt;0.000000000001,(Slot15_Age-D14)*(1+Slot15_Rate)^(Slot15_Age-D14),(1+Slot15_Rate)^(Slot15_Age-D14)*(1-((1+AS_Wage)/(1+Slot15_Rate))^(Slot15_Age-D14))/(1-(1+AS_Wage)/(1+Slot15_Rate))),1)</f>
        <v>1</v>
      </c>
      <c r="MO14" s="20" t="n">
        <f aca="false">IF(AND(HU14=1,IE14&gt;0,Slot15_IsWG=1,FH14=1),MAX(0,(Slot15_Cost-FI14*(1+Slot15_Rate)^(Slot15_Age-D14))/MN14),0)</f>
        <v>0</v>
      </c>
      <c r="MP14" s="20" t="n">
        <f aca="false">IF(AND(HU14=1,IE14&gt;0,Slot15_IsWG=1,FH14=1),MIN(IE14,MO14),0)</f>
        <v>0</v>
      </c>
      <c r="MQ14" s="20" t="n">
        <f aca="false">FI14+MP14</f>
        <v>0</v>
      </c>
      <c r="MR14" s="20" t="n">
        <f aca="false">IF(FH14=1,MAX(0,(Slot15_Cost-MQ14*(1+Slot15_Rate)^(Slot15_Age-D14))/MN14),0)</f>
        <v>0</v>
      </c>
      <c r="MS14" s="20" t="n">
        <f aca="false">IF(FH14=1,MAX(0,(Slot15_Cost-FI14*(1+Slot15_Rate)^(Slot15_Age-D14))/MN14),0)</f>
        <v>0</v>
      </c>
      <c r="MT14" s="20" t="n">
        <f aca="false">IF(AND(HU14=1,FH14=1),MIN(MM14,MR14),0)</f>
        <v>0</v>
      </c>
      <c r="MU14" s="20" t="n">
        <f aca="false">MM14-MT14</f>
        <v>0</v>
      </c>
      <c r="MV14" s="20" t="n">
        <f aca="false">IF(FR14=1,IF(ABS((1+AS_Wage)/(1+Slot16_Rate)-1)&lt;0.000000000001,(Slot16_Age-D14)*(1+Slot16_Rate)^(Slot16_Age-D14),(1+Slot16_Rate)^(Slot16_Age-D14)*(1-((1+AS_Wage)/(1+Slot16_Rate))^(Slot16_Age-D14))/(1-(1+AS_Wage)/(1+Slot16_Rate))),1)</f>
        <v>1</v>
      </c>
      <c r="MW14" s="20" t="n">
        <f aca="false">IF(AND(HU14=1,IE14&gt;0,Slot16_IsWG=1,FR14=1),MAX(0,(Slot16_Cost-FS14*(1+Slot16_Rate)^(Slot16_Age-D14))/MV14),0)</f>
        <v>0</v>
      </c>
      <c r="MX14" s="20" t="n">
        <f aca="false">IF(AND(HU14=1,IE14&gt;0,Slot16_IsWG=1,FR14=1),MIN(IE14,MW14),0)</f>
        <v>0</v>
      </c>
      <c r="MY14" s="20" t="n">
        <f aca="false">FS14+MX14</f>
        <v>0</v>
      </c>
      <c r="MZ14" s="20" t="n">
        <f aca="false">IF(FR14=1,MAX(0,(Slot16_Cost-MY14*(1+Slot16_Rate)^(Slot16_Age-D14))/MV14),0)</f>
        <v>0</v>
      </c>
      <c r="NA14" s="20" t="n">
        <f aca="false">IF(FR14=1,MAX(0,(Slot16_Cost-FS14*(1+Slot16_Rate)^(Slot16_Age-D14))/MV14),0)</f>
        <v>0</v>
      </c>
      <c r="NB14" s="20" t="n">
        <f aca="false">IF(AND(HU14=1,FR14=1),MIN(MU14,MZ14),0)</f>
        <v>0</v>
      </c>
      <c r="NC14" s="20" t="n">
        <f aca="false">MU14-NB14</f>
        <v>0</v>
      </c>
      <c r="ND14" s="20" t="n">
        <f aca="false">IF(GB14=1,IF(ABS((1+AS_Wage)/(1+Slot17_Rate)-1)&lt;0.000000000001,(Slot17_Age-D14)*(1+Slot17_Rate)^(Slot17_Age-D14),(1+Slot17_Rate)^(Slot17_Age-D14)*(1-((1+AS_Wage)/(1+Slot17_Rate))^(Slot17_Age-D14))/(1-(1+AS_Wage)/(1+Slot17_Rate))),1)</f>
        <v>1</v>
      </c>
      <c r="NE14" s="20" t="n">
        <f aca="false">IF(AND(HU14=1,IE14&gt;0,Slot17_IsWG=1,GB14=1),MAX(0,(Slot17_Cost-GC14*(1+Slot17_Rate)^(Slot17_Age-D14))/ND14),0)</f>
        <v>0</v>
      </c>
      <c r="NF14" s="20" t="n">
        <f aca="false">IF(AND(HU14=1,IE14&gt;0,Slot17_IsWG=1,GB14=1),MIN(IE14,NE14),0)</f>
        <v>0</v>
      </c>
      <c r="NG14" s="20" t="n">
        <f aca="false">GC14+NF14</f>
        <v>0</v>
      </c>
      <c r="NH14" s="20" t="n">
        <f aca="false">IF(GB14=1,MAX(0,(Slot17_Cost-NG14*(1+Slot17_Rate)^(Slot17_Age-D14))/ND14),0)</f>
        <v>0</v>
      </c>
      <c r="NI14" s="20" t="n">
        <f aca="false">IF(GB14=1,MAX(0,(Slot17_Cost-GC14*(1+Slot17_Rate)^(Slot17_Age-D14))/ND14),0)</f>
        <v>0</v>
      </c>
      <c r="NJ14" s="20" t="n">
        <f aca="false">IF(AND(HU14=1,GB14=1),MIN(NC14,NH14),0)</f>
        <v>0</v>
      </c>
      <c r="NK14" s="20" t="n">
        <f aca="false">NC14-NJ14</f>
        <v>0</v>
      </c>
      <c r="NL14" s="20" t="n">
        <f aca="false">IF(GL14=1,IF(ABS((1+AS_Wage)/(1+Slot18_Rate)-1)&lt;0.000000000001,(Slot18_Age-D14)*(1+Slot18_Rate)^(Slot18_Age-D14),(1+Slot18_Rate)^(Slot18_Age-D14)*(1-((1+AS_Wage)/(1+Slot18_Rate))^(Slot18_Age-D14))/(1-(1+AS_Wage)/(1+Slot18_Rate))),1)</f>
        <v>1</v>
      </c>
      <c r="NM14" s="20" t="n">
        <f aca="false">IF(AND(HU14=1,IE14&gt;0,Slot18_IsWG=1,GL14=1),MAX(0,(Slot18_Cost-GM14*(1+Slot18_Rate)^(Slot18_Age-D14))/NL14),0)</f>
        <v>0</v>
      </c>
      <c r="NN14" s="20" t="n">
        <f aca="false">IF(AND(HU14=1,IE14&gt;0,Slot18_IsWG=1,GL14=1),MIN(IE14,NM14),0)</f>
        <v>0</v>
      </c>
      <c r="NO14" s="20" t="n">
        <f aca="false">GM14+NN14</f>
        <v>0</v>
      </c>
      <c r="NP14" s="20" t="n">
        <f aca="false">IF(GL14=1,MAX(0,(Slot18_Cost-NO14*(1+Slot18_Rate)^(Slot18_Age-D14))/NL14),0)</f>
        <v>0</v>
      </c>
      <c r="NQ14" s="20" t="n">
        <f aca="false">IF(GL14=1,MAX(0,(Slot18_Cost-GM14*(1+Slot18_Rate)^(Slot18_Age-D14))/NL14),0)</f>
        <v>0</v>
      </c>
      <c r="NR14" s="20" t="n">
        <f aca="false">IF(AND(HU14=1,GL14=1),MIN(NK14,NP14),0)</f>
        <v>0</v>
      </c>
      <c r="NS14" s="20" t="n">
        <f aca="false">NK14-NR14</f>
        <v>0</v>
      </c>
      <c r="NT14" s="20" t="n">
        <f aca="false">IF(GV14=1,IF(ABS((1+AS_Wage)/(1+Slot19_Rate)-1)&lt;0.000000000001,(Slot19_Age-D14)*(1+Slot19_Rate)^(Slot19_Age-D14),(1+Slot19_Rate)^(Slot19_Age-D14)*(1-((1+AS_Wage)/(1+Slot19_Rate))^(Slot19_Age-D14))/(1-(1+AS_Wage)/(1+Slot19_Rate))),1)</f>
        <v>1</v>
      </c>
      <c r="NU14" s="20" t="n">
        <f aca="false">IF(AND(HU14=1,IE14&gt;0,Slot19_IsWG=1,GV14=1),MAX(0,(Slot19_Cost-GW14*(1+Slot19_Rate)^(Slot19_Age-D14))/NT14),0)</f>
        <v>0</v>
      </c>
      <c r="NV14" s="20" t="n">
        <f aca="false">IF(AND(HU14=1,IE14&gt;0,Slot19_IsWG=1,GV14=1),MIN(IE14,NU14),0)</f>
        <v>0</v>
      </c>
      <c r="NW14" s="20" t="n">
        <f aca="false">GW14+NV14</f>
        <v>0</v>
      </c>
      <c r="NX14" s="20" t="n">
        <f aca="false">IF(GV14=1,MAX(0,(Slot19_Cost-NW14*(1+Slot19_Rate)^(Slot19_Age-D14))/NT14),0)</f>
        <v>0</v>
      </c>
      <c r="NY14" s="20" t="n">
        <f aca="false">IF(GV14=1,MAX(0,(Slot19_Cost-GW14*(1+Slot19_Rate)^(Slot19_Age-D14))/NT14),0)</f>
        <v>0</v>
      </c>
      <c r="NZ14" s="20" t="n">
        <f aca="false">IF(AND(HU14=1,GV14=1),MIN(NS14,NX14),0)</f>
        <v>0</v>
      </c>
      <c r="OA14" s="20" t="n">
        <f aca="false">NS14-NZ14</f>
        <v>0</v>
      </c>
      <c r="OB14" s="20" t="n">
        <f aca="false">IF(HF14=1,IF(ABS((1+AS_Wage)/(1+Slot20_Rate)-1)&lt;0.000000000001,(Slot20_Age-D14)*(1+Slot20_Rate)^(Slot20_Age-D14),(1+Slot20_Rate)^(Slot20_Age-D14)*(1-((1+AS_Wage)/(1+Slot20_Rate))^(Slot20_Age-D14))/(1-(1+AS_Wage)/(1+Slot20_Rate))),1)</f>
        <v>1</v>
      </c>
      <c r="OC14" s="20" t="n">
        <f aca="false">IF(AND(HU14=1,IE14&gt;0,Slot20_IsWG=1,HF14=1),MAX(0,(Slot20_Cost-HG14*(1+Slot20_Rate)^(Slot20_Age-D14))/OB14),0)</f>
        <v>0</v>
      </c>
      <c r="OD14" s="20" t="n">
        <f aca="false">IF(AND(HU14=1,IE14&gt;0,Slot20_IsWG=1,HF14=1),MIN(IE14,OC14),0)</f>
        <v>0</v>
      </c>
      <c r="OE14" s="20" t="n">
        <f aca="false">HG14+OD14</f>
        <v>0</v>
      </c>
      <c r="OF14" s="20" t="n">
        <f aca="false">IF(HF14=1,MAX(0,(Slot20_Cost-OE14*(1+Slot20_Rate)^(Slot20_Age-D14))/OB14),0)</f>
        <v>0</v>
      </c>
      <c r="OG14" s="20" t="n">
        <f aca="false">IF(HF14=1,MAX(0,(Slot20_Cost-HG14*(1+Slot20_Rate)^(Slot20_Age-D14))/OB14),0)</f>
        <v>0</v>
      </c>
      <c r="OH14" s="20" t="n">
        <f aca="false">IF(AND(HU14=1,HF14=1),MIN(OA14,OF14),0)</f>
        <v>0</v>
      </c>
      <c r="OI14" s="20" t="n">
        <f aca="false">OA14-OH14</f>
        <v>0</v>
      </c>
      <c r="OJ14" s="20" t="n">
        <f aca="false">IE14-(IH14+IP14+IX14+JF14+JN14+JV14+KD14+KL14+KT14+LB14+LJ14+LR14+LZ14+MH14+MP14+MX14+NF14+NN14+NV14+OD14)</f>
        <v>0</v>
      </c>
      <c r="OK14" s="20" t="n">
        <f aca="false">IF(HU14=1,HS14-ID14-IE14,0)</f>
        <v>4025.8280390625</v>
      </c>
      <c r="OL14" s="20" t="n">
        <f aca="false">IF(HU14=0,-HS14,0)</f>
        <v>0</v>
      </c>
      <c r="OM14" s="20" t="n">
        <f aca="false">MIN(OL14,HK14)</f>
        <v>0</v>
      </c>
      <c r="ON14" s="20" t="n">
        <f aca="false">OL14-OM14</f>
        <v>0</v>
      </c>
      <c r="OO14" s="20" t="n">
        <f aca="false">MIN(ON14,HL14)</f>
        <v>0</v>
      </c>
      <c r="OP14" s="20" t="n">
        <f aca="false">ON14-OO14</f>
        <v>0</v>
      </c>
      <c r="OQ14" s="20" t="n">
        <f aca="false">IF(AND(HU14=0,HF14=1,OP14&gt;0),MIN(OP14,HG14),0)</f>
        <v>0</v>
      </c>
      <c r="OR14" s="20" t="n">
        <f aca="false">OP14-OQ14</f>
        <v>0</v>
      </c>
      <c r="OS14" s="20" t="n">
        <f aca="false">IF(AND(HU14=0,GV14=1,OR14&gt;0),MIN(OR14,GW14),0)</f>
        <v>0</v>
      </c>
      <c r="OT14" s="20" t="n">
        <f aca="false">OR14-OS14</f>
        <v>0</v>
      </c>
      <c r="OU14" s="20" t="n">
        <f aca="false">IF(AND(HU14=0,GL14=1,OT14&gt;0),MIN(OT14,GM14),0)</f>
        <v>0</v>
      </c>
      <c r="OV14" s="20" t="n">
        <f aca="false">OT14-OU14</f>
        <v>0</v>
      </c>
      <c r="OW14" s="20" t="n">
        <f aca="false">IF(AND(HU14=0,GB14=1,OV14&gt;0),MIN(OV14,GC14),0)</f>
        <v>0</v>
      </c>
      <c r="OX14" s="20" t="n">
        <f aca="false">OV14-OW14</f>
        <v>0</v>
      </c>
      <c r="OY14" s="20" t="n">
        <f aca="false">IF(AND(HU14=0,FR14=1,OX14&gt;0),MIN(OX14,FS14),0)</f>
        <v>0</v>
      </c>
      <c r="OZ14" s="20" t="n">
        <f aca="false">OX14-OY14</f>
        <v>0</v>
      </c>
      <c r="PA14" s="20" t="n">
        <f aca="false">IF(AND(HU14=0,FH14=1,OZ14&gt;0),MIN(OZ14,FI14),0)</f>
        <v>0</v>
      </c>
      <c r="PB14" s="20" t="n">
        <f aca="false">OZ14-PA14</f>
        <v>0</v>
      </c>
      <c r="PC14" s="20" t="n">
        <f aca="false">IF(AND(HU14=0,EX14=1,PB14&gt;0),MIN(PB14,EY14),0)</f>
        <v>0</v>
      </c>
      <c r="PD14" s="20" t="n">
        <f aca="false">PB14-PC14</f>
        <v>0</v>
      </c>
      <c r="PE14" s="20" t="n">
        <f aca="false">IF(AND(HU14=0,EN14=1,PD14&gt;0),MIN(PD14,EO14),0)</f>
        <v>0</v>
      </c>
      <c r="PF14" s="20" t="n">
        <f aca="false">PD14-PE14</f>
        <v>0</v>
      </c>
      <c r="PG14" s="20" t="n">
        <f aca="false">IF(AND(HU14=0,ED14=1,PF14&gt;0),MIN(PF14,EE14),0)</f>
        <v>0</v>
      </c>
      <c r="PH14" s="20" t="n">
        <f aca="false">PF14-PG14</f>
        <v>0</v>
      </c>
      <c r="PI14" s="20" t="n">
        <f aca="false">IF(AND(HU14=0,DT14=1,PH14&gt;0),MIN(PH14,DU14),0)</f>
        <v>0</v>
      </c>
      <c r="PJ14" s="20" t="n">
        <f aca="false">PH14-PI14</f>
        <v>0</v>
      </c>
      <c r="PK14" s="20" t="n">
        <f aca="false">IF(AND(HU14=0,DJ14=1,PJ14&gt;0),MIN(PJ14,DK14),0)</f>
        <v>0</v>
      </c>
      <c r="PL14" s="20" t="n">
        <f aca="false">PJ14-PK14</f>
        <v>0</v>
      </c>
      <c r="PM14" s="20" t="n">
        <f aca="false">IF(AND(HU14=0,CZ14=1,PL14&gt;0),MIN(PL14,DA14),0)</f>
        <v>0</v>
      </c>
      <c r="PN14" s="20" t="n">
        <f aca="false">PL14-PM14</f>
        <v>0</v>
      </c>
      <c r="PO14" s="20" t="n">
        <f aca="false">IF(AND(HU14=0,CP14=1,PN14&gt;0),MIN(PN14,CQ14),0)</f>
        <v>0</v>
      </c>
      <c r="PP14" s="20" t="n">
        <f aca="false">PN14-PO14</f>
        <v>0</v>
      </c>
      <c r="PQ14" s="20" t="n">
        <f aca="false">IF(AND(HU14=0,CF14=1,PP14&gt;0),MIN(PP14,CG14),0)</f>
        <v>0</v>
      </c>
      <c r="PR14" s="20" t="n">
        <f aca="false">PP14-PQ14</f>
        <v>0</v>
      </c>
      <c r="PS14" s="20" t="n">
        <f aca="false">IF(AND(HU14=0,BV14=1,PR14&gt;0),MIN(PR14,BW14),0)</f>
        <v>0</v>
      </c>
      <c r="PT14" s="20" t="n">
        <f aca="false">PR14-PS14</f>
        <v>0</v>
      </c>
      <c r="PU14" s="20" t="n">
        <f aca="false">IF(AND(HU14=0,BL14=1,PT14&gt;0),MIN(PT14,BM14),0)</f>
        <v>0</v>
      </c>
      <c r="PV14" s="20" t="n">
        <f aca="false">PT14-PU14</f>
        <v>0</v>
      </c>
      <c r="PW14" s="20" t="n">
        <f aca="false">IF(AND(HU14=0,BB14=1,PV14&gt;0),MIN(PV14,BC14),0)</f>
        <v>0</v>
      </c>
      <c r="PX14" s="20" t="n">
        <f aca="false">PV14-PW14</f>
        <v>0</v>
      </c>
      <c r="PY14" s="20" t="n">
        <f aca="false">IF(AND(HU14=0,AR14=1,PX14&gt;0),MIN(PX14,AS14),0)</f>
        <v>0</v>
      </c>
      <c r="PZ14" s="20" t="n">
        <f aca="false">PX14-PY14</f>
        <v>0</v>
      </c>
      <c r="QA14" s="20" t="n">
        <f aca="false">IF(AND(HU14=0,AH14=1,PZ14&gt;0),MIN(PZ14,AI14),0)</f>
        <v>0</v>
      </c>
      <c r="QB14" s="20" t="n">
        <f aca="false">PZ14-QA14</f>
        <v>0</v>
      </c>
      <c r="QC14" s="20" t="n">
        <f aca="false">IF(AND(HU14=0,W14=1,QB14&gt;0),MIN(QB14,X14),0)</f>
        <v>0</v>
      </c>
      <c r="QD14" s="20" t="n">
        <f aca="false">QB14-QC14</f>
        <v>0</v>
      </c>
      <c r="QE14" s="20" t="n">
        <f aca="false">IF(HU14=0,QD14,0)</f>
        <v>0</v>
      </c>
      <c r="QF14" s="20" t="n">
        <f aca="false">OM14+OO14+QC14+QA14+PY14+PW14+PU14+PS14+PQ14+PO14+PM14+PK14+PI14+PG14+PE14+PC14+PA14+OY14+OW14+OU14+OS14+OQ14</f>
        <v>0</v>
      </c>
      <c r="QG14" s="20" t="n">
        <f aca="false">IF(HU14=1,HK14+OJ14+OI14+IF(G14=1,0,OK14),HK14-OM14)</f>
        <v>0</v>
      </c>
      <c r="QH14" s="20" t="n">
        <f aca="false">HL14-OO14</f>
        <v>11840.4518646216</v>
      </c>
      <c r="QI14" s="20" t="n">
        <f aca="false">IF(HU14=1,IF(G14=1,ID14+IE14,HS14),0)</f>
        <v>4025.8280390625</v>
      </c>
      <c r="QJ14" s="20" t="n">
        <f aca="false">IF(HU14=1,IF(G14=1,HS14-ID14-IE14,0),0)</f>
        <v>4025.8280390625</v>
      </c>
      <c r="QK14" s="57" t="n">
        <f aca="false">'Plan holdings'!BM14</f>
        <v>0</v>
      </c>
      <c r="QL14" s="20" t="n">
        <f aca="false">QH14*(1+AS_Cash)</f>
        <v>11958.8563832678</v>
      </c>
      <c r="QM14" s="20" t="n">
        <f aca="false">IF(W14=1,IF(HU14=1,II14+IL14,X14-QC14)*(1+Slot1_Rate),0)</f>
        <v>0</v>
      </c>
      <c r="QN14" s="20" t="n">
        <f aca="false">IF(AND(HU14=1,W14=1),(IH14+IL14)/F14,0)</f>
        <v>0</v>
      </c>
      <c r="QO14" s="20" t="n">
        <f aca="false">IF(B14=0,IH14+IL14,0)</f>
        <v>0</v>
      </c>
      <c r="QP14" s="20" t="n">
        <f aca="false">IF(B14=0,IF(HU14=1,IJ14,IK14),0)</f>
        <v>0</v>
      </c>
      <c r="QQ14" s="20" t="n">
        <f aca="false">IF(AH14=1,IF(HU14=1,IQ14+IT14,AI14-QA14)*(1+Slot2_Rate),0)</f>
        <v>0</v>
      </c>
      <c r="QR14" s="20" t="n">
        <f aca="false">IF(AND(HU14=1,AH14=1),(IP14+IT14)/F14,0)</f>
        <v>0</v>
      </c>
      <c r="QS14" s="20" t="n">
        <f aca="false">IF(B14=0,IP14+IT14,0)</f>
        <v>0</v>
      </c>
      <c r="QT14" s="20" t="n">
        <f aca="false">IF(B14=0,IF(HU14=1,IR14,IS14),0)</f>
        <v>0</v>
      </c>
      <c r="QU14" s="20" t="n">
        <f aca="false">IF(AR14=1,IF(HU14=1,IY14+JB14,AS14-PY14)*(1+Slot3_Rate),0)</f>
        <v>13960.6870096001</v>
      </c>
      <c r="QV14" s="20" t="n">
        <f aca="false">IF(AND(HU14=1,AR14=1),(IX14+JB14)/F14,0)</f>
        <v>3574.82008829026</v>
      </c>
      <c r="QW14" s="20" t="n">
        <f aca="false">IF(B14=0,IX14+JB14,0)</f>
        <v>0</v>
      </c>
      <c r="QX14" s="20" t="n">
        <f aca="false">IF(B14=0,IF(HU14=1,IZ14,JA14),0)</f>
        <v>0</v>
      </c>
      <c r="QY14" s="20" t="n">
        <f aca="false">IF(BB14=1,IF(HU14=1,JG14+JJ14,BC14-PW14)*(1+Slot4_Rate),0)</f>
        <v>0</v>
      </c>
      <c r="QZ14" s="20" t="n">
        <f aca="false">IF(AND(HU14=1,BB14=1),(JF14+JJ14)/F14,0)</f>
        <v>0</v>
      </c>
      <c r="RA14" s="20" t="n">
        <f aca="false">IF(B14=0,JF14+JJ14,0)</f>
        <v>0</v>
      </c>
      <c r="RB14" s="20" t="n">
        <f aca="false">IF(B14=0,IF(HU14=1,JH14,JI14),0)</f>
        <v>0</v>
      </c>
      <c r="RC14" s="20" t="n">
        <f aca="false">IF(BL14=1,IF(HU14=1,JO14+JR14,BM14-PU14)*(1+Slot5_Rate),0)</f>
        <v>0</v>
      </c>
      <c r="RD14" s="20" t="n">
        <f aca="false">IF(AND(HU14=1,BL14=1),(JN14+JR14)/F14,0)</f>
        <v>0</v>
      </c>
      <c r="RE14" s="20" t="n">
        <f aca="false">IF(B14=0,JN14+JR14,0)</f>
        <v>0</v>
      </c>
      <c r="RF14" s="20" t="n">
        <f aca="false">IF(B14=0,IF(HU14=1,JP14,JQ14),0)</f>
        <v>0</v>
      </c>
      <c r="RG14" s="20" t="n">
        <f aca="false">IF(BV14=1,IF(HU14=1,JW14+JZ14,BW14-PS14)*(1+Slot6_Rate),0)</f>
        <v>0</v>
      </c>
      <c r="RH14" s="20" t="n">
        <f aca="false">IF(AND(HU14=1,BV14=1),(JV14+JZ14)/F14,0)</f>
        <v>0</v>
      </c>
      <c r="RI14" s="20" t="n">
        <f aca="false">IF(B14=0,JV14+JZ14,0)</f>
        <v>0</v>
      </c>
      <c r="RJ14" s="20" t="n">
        <f aca="false">IF(B14=0,IF(HU14=1,JX14,JY14),0)</f>
        <v>0</v>
      </c>
      <c r="RK14" s="20" t="n">
        <f aca="false">IF(CF14=1,IF(HU14=1,KE14+KH14,CG14-PQ14)*(1+Slot7_Rate),0)</f>
        <v>0</v>
      </c>
      <c r="RL14" s="20" t="n">
        <f aca="false">IF(AND(HU14=1,CF14=1),(KD14+KH14)/F14,0)</f>
        <v>0</v>
      </c>
      <c r="RM14" s="20" t="n">
        <f aca="false">IF(B14=0,KD14+KH14,0)</f>
        <v>0</v>
      </c>
      <c r="RN14" s="20" t="n">
        <f aca="false">IF(B14=0,IF(HU14=1,KF14,KG14),0)</f>
        <v>0</v>
      </c>
      <c r="RO14" s="20" t="n">
        <f aca="false">IF(CP14=1,IF(HU14=1,KM14+KP14,CQ14-PO14)*(1+Slot8_Rate),0)</f>
        <v>0</v>
      </c>
      <c r="RP14" s="20" t="n">
        <f aca="false">IF(AND(HU14=1,CP14=1),(KL14+KP14)/F14,0)</f>
        <v>0</v>
      </c>
      <c r="RQ14" s="20" t="n">
        <f aca="false">IF(B14=0,KL14+KP14,0)</f>
        <v>0</v>
      </c>
      <c r="RR14" s="20" t="n">
        <f aca="false">IF(B14=0,IF(HU14=1,KN14,KO14),0)</f>
        <v>0</v>
      </c>
      <c r="RS14" s="20" t="n">
        <f aca="false">IF(CZ14=1,IF(HU14=1,KU14+KX14,DA14-PM14)*(1+Slot9_Rate),0)</f>
        <v>0</v>
      </c>
      <c r="RT14" s="20" t="n">
        <f aca="false">IF(AND(HU14=1,CZ14=1),(KT14+KX14)/F14,0)</f>
        <v>0</v>
      </c>
      <c r="RU14" s="20" t="n">
        <f aca="false">IF(B14=0,KT14+KX14,0)</f>
        <v>0</v>
      </c>
      <c r="RV14" s="20" t="n">
        <f aca="false">IF(B14=0,IF(HU14=1,KV14,KW14),0)</f>
        <v>0</v>
      </c>
      <c r="RW14" s="20" t="n">
        <f aca="false">IF(DJ14=1,IF(HU14=1,LC14+LF14,DK14-PK14)*(1+Slot10_Rate),0)</f>
        <v>0</v>
      </c>
      <c r="RX14" s="20" t="n">
        <f aca="false">IF(AND(HU14=1,DJ14=1),(LB14+LF14)/F14,0)</f>
        <v>0</v>
      </c>
      <c r="RY14" s="20" t="n">
        <f aca="false">IF(B14=0,LB14+LF14,0)</f>
        <v>0</v>
      </c>
      <c r="RZ14" s="20" t="n">
        <f aca="false">IF(B14=0,IF(HU14=1,LD14,LE14),0)</f>
        <v>0</v>
      </c>
      <c r="SA14" s="20" t="n">
        <f aca="false">IF(DT14=1,IF(HU14=1,LK14+LN14,DU14-PI14)*(1+Slot11_Rate),0)</f>
        <v>0</v>
      </c>
      <c r="SB14" s="20" t="n">
        <f aca="false">IF(AND(HU14=1,DT14=1),(LJ14+LN14)/F14,0)</f>
        <v>0</v>
      </c>
      <c r="SC14" s="20" t="n">
        <f aca="false">IF(B14=0,LJ14+LN14,0)</f>
        <v>0</v>
      </c>
      <c r="SD14" s="20" t="n">
        <f aca="false">IF(B14=0,IF(HU14=1,LL14,LM14),0)</f>
        <v>0</v>
      </c>
      <c r="SE14" s="20" t="n">
        <f aca="false">IF(ED14=1,IF(HU14=1,LS14+LV14,EE14-PG14)*(1+Slot12_Rate),0)</f>
        <v>0</v>
      </c>
      <c r="SF14" s="20" t="n">
        <f aca="false">IF(AND(HU14=1,ED14=1),(LR14+LV14)/F14,0)</f>
        <v>0</v>
      </c>
      <c r="SG14" s="20" t="n">
        <f aca="false">IF(B14=0,LR14+LV14,0)</f>
        <v>0</v>
      </c>
      <c r="SH14" s="20" t="n">
        <f aca="false">IF(B14=0,IF(HU14=1,LT14,LU14),0)</f>
        <v>0</v>
      </c>
      <c r="SI14" s="20" t="n">
        <f aca="false">IF(EN14=1,IF(HU14=1,MA14+MD14,EO14-PE14)*(1+Slot13_Rate),0)</f>
        <v>0</v>
      </c>
      <c r="SJ14" s="20" t="n">
        <f aca="false">IF(AND(HU14=1,EN14=1),(LZ14+MD14)/F14,0)</f>
        <v>0</v>
      </c>
      <c r="SK14" s="20" t="n">
        <f aca="false">IF(B14=0,LZ14+MD14,0)</f>
        <v>0</v>
      </c>
      <c r="SL14" s="20" t="n">
        <f aca="false">IF(B14=0,IF(HU14=1,MB14,MC14),0)</f>
        <v>0</v>
      </c>
      <c r="SM14" s="20" t="n">
        <f aca="false">IF(EX14=1,IF(HU14=1,MI14+ML14,EY14-PC14)*(1+Slot14_Rate),0)</f>
        <v>0</v>
      </c>
      <c r="SN14" s="20" t="n">
        <f aca="false">IF(AND(HU14=1,EX14=1),(MH14+ML14)/F14,0)</f>
        <v>0</v>
      </c>
      <c r="SO14" s="20" t="n">
        <f aca="false">IF(B14=0,MH14+ML14,0)</f>
        <v>0</v>
      </c>
      <c r="SP14" s="20" t="n">
        <f aca="false">IF(B14=0,IF(HU14=1,MJ14,MK14),0)</f>
        <v>0</v>
      </c>
      <c r="SQ14" s="20" t="n">
        <f aca="false">IF(FH14=1,IF(HU14=1,MQ14+MT14,FI14-PA14)*(1+Slot15_Rate),0)</f>
        <v>0</v>
      </c>
      <c r="SR14" s="20" t="n">
        <f aca="false">IF(AND(HU14=1,FH14=1),(MP14+MT14)/F14,0)</f>
        <v>0</v>
      </c>
      <c r="SS14" s="20" t="n">
        <f aca="false">IF(B14=0,MP14+MT14,0)</f>
        <v>0</v>
      </c>
      <c r="ST14" s="20" t="n">
        <f aca="false">IF(B14=0,IF(HU14=1,MR14,MS14),0)</f>
        <v>0</v>
      </c>
      <c r="SU14" s="20" t="n">
        <f aca="false">IF(FR14=1,IF(HU14=1,MY14+NB14,FS14-OY14)*(1+Slot16_Rate),0)</f>
        <v>0</v>
      </c>
      <c r="SV14" s="20" t="n">
        <f aca="false">IF(AND(HU14=1,FR14=1),(MX14+NB14)/F14,0)</f>
        <v>0</v>
      </c>
      <c r="SW14" s="20" t="n">
        <f aca="false">IF(B14=0,MX14+NB14,0)</f>
        <v>0</v>
      </c>
      <c r="SX14" s="20" t="n">
        <f aca="false">IF(B14=0,IF(HU14=1,MZ14,NA14),0)</f>
        <v>0</v>
      </c>
      <c r="SY14" s="20" t="n">
        <f aca="false">IF(GB14=1,IF(HU14=1,NG14+NJ14,GC14-OW14)*(1+Slot17_Rate),0)</f>
        <v>0</v>
      </c>
      <c r="SZ14" s="20" t="n">
        <f aca="false">IF(AND(HU14=1,GB14=1),(NF14+NJ14)/F14,0)</f>
        <v>0</v>
      </c>
      <c r="TA14" s="20" t="n">
        <f aca="false">IF(B14=0,NF14+NJ14,0)</f>
        <v>0</v>
      </c>
      <c r="TB14" s="20" t="n">
        <f aca="false">IF(B14=0,IF(HU14=1,NH14,NI14),0)</f>
        <v>0</v>
      </c>
      <c r="TC14" s="20" t="n">
        <f aca="false">IF(GL14=1,IF(HU14=1,NO14+NR14,GM14-OU14)*(1+Slot18_Rate),0)</f>
        <v>0</v>
      </c>
      <c r="TD14" s="20" t="n">
        <f aca="false">IF(AND(HU14=1,GL14=1),(NN14+NR14)/F14,0)</f>
        <v>0</v>
      </c>
      <c r="TE14" s="20" t="n">
        <f aca="false">IF(B14=0,NN14+NR14,0)</f>
        <v>0</v>
      </c>
      <c r="TF14" s="20" t="n">
        <f aca="false">IF(B14=0,IF(HU14=1,NP14,NQ14),0)</f>
        <v>0</v>
      </c>
      <c r="TG14" s="20" t="n">
        <f aca="false">IF(GV14=1,IF(HU14=1,NW14+NZ14,GW14-OS14)*(1+Slot19_Rate),0)</f>
        <v>0</v>
      </c>
      <c r="TH14" s="20" t="n">
        <f aca="false">IF(AND(HU14=1,GV14=1),(NV14+NZ14)/F14,0)</f>
        <v>0</v>
      </c>
      <c r="TI14" s="20" t="n">
        <f aca="false">IF(B14=0,NV14+NZ14,0)</f>
        <v>0</v>
      </c>
      <c r="TJ14" s="20" t="n">
        <f aca="false">IF(B14=0,IF(HU14=1,NX14,NY14),0)</f>
        <v>0</v>
      </c>
      <c r="TK14" s="20" t="n">
        <f aca="false">IF(HF14=1,IF(HU14=1,OE14+OH14,HG14-OQ14)*(1+Slot20_Rate),0)</f>
        <v>0</v>
      </c>
      <c r="TL14" s="20" t="n">
        <f aca="false">IF(AND(HU14=1,HF14=1),(OD14+OH14)/F14,0)</f>
        <v>0</v>
      </c>
      <c r="TM14" s="20" t="n">
        <f aca="false">IF(B14=0,OD14+OH14,0)</f>
        <v>0</v>
      </c>
      <c r="TN14" s="20" t="n">
        <f aca="false">IF(B14=0,IF(HU14=1,OF14,OG14),0)</f>
        <v>0</v>
      </c>
      <c r="TO14" s="20" t="n">
        <f aca="false">QK14+QL14+QM14+QQ14+QU14+QY14+RC14+RG14+RK14+RO14+RS14+RW14+SA14+SE14+SI14+SM14+SQ14+SU14+SY14+TC14+TG14+TK14</f>
        <v>25919.5433928679</v>
      </c>
      <c r="TP14" s="20" t="n">
        <f aca="false">QE14+HP14</f>
        <v>0</v>
      </c>
      <c r="TQ14" s="20" t="n">
        <f aca="false">I14+S14</f>
        <v>64837.30886688</v>
      </c>
      <c r="TR14" s="20" t="n">
        <f aca="false">1-G14</f>
        <v>0</v>
      </c>
      <c r="TS14" s="20" t="n">
        <f aca="false">IF(AND(RG_Exists=1,G14=0,C14=1),I14,0)</f>
        <v>0</v>
      </c>
      <c r="TT14" s="20" t="n">
        <f aca="false">IF(AND(RG_Exists=1,G14=0,C14=1),I14-MIN(QE14,I14),0)</f>
        <v>0</v>
      </c>
      <c r="TU14" s="20" t="n">
        <f aca="false">'Plan pay &amp; tax'!AD240</f>
        <v>152473.045250493</v>
      </c>
      <c r="TV14" s="20" t="n">
        <f aca="false">IF(AND(C14=1,QE14&gt;MAX(PR_Short1,TQ14*PR_Short2)),1,0)</f>
        <v>0</v>
      </c>
      <c r="TW14" s="20" t="n">
        <f aca="false">MIN(H14,I14+S14)</f>
        <v>64837.30886688</v>
      </c>
      <c r="TX14" s="20" t="n">
        <f aca="false">QF14+MAX(0,HQ14-HP14)</f>
        <v>0</v>
      </c>
      <c r="TY14" s="20" t="n">
        <f aca="false">QE14+HP14</f>
        <v>0</v>
      </c>
      <c r="TZ14" s="20" t="n">
        <f aca="false">IF(AND(C14=1,TY14&gt;PR_MinShort),1,0)</f>
        <v>0</v>
      </c>
      <c r="UA14" s="20" t="n">
        <f aca="false">IF(AND(C14=1,TZ14=0,TX14&gt;PR_MinShort),1,0)</f>
        <v>0</v>
      </c>
      <c r="UB14" s="20" t="n">
        <f aca="false">IF(AND(C14=1,QE14&gt;PR_MinShort),1,0)</f>
        <v>0</v>
      </c>
      <c r="UC14" s="20" t="n">
        <f aca="false">IF(AND(C14=1,QF14&gt;1,UJ14=0),1,0)</f>
        <v>0</v>
      </c>
      <c r="UD14" s="20" t="str">
        <f aca="false">IF(C14=0,"",IF(UJ14=1,"Gap to plan for: short "&amp;"€"&amp;TEXT(ROUND(TP14,0),"#,##0"),IF(QF14&gt;1,"Using savings","Comfortable")))</f>
        <v>Comfortable</v>
      </c>
      <c r="UE14" s="20" t="n">
        <f aca="false">IF(AND(INT(D14/10)*10=90,B14&gt;0),80,INT(D14/10)*10)</f>
        <v>40</v>
      </c>
      <c r="UF14" s="20" t="n">
        <f aca="false">IF(B14=0,1,IF(UE14&lt;&gt;UE13,UF13+1,UF13))</f>
        <v>2</v>
      </c>
      <c r="UG14" s="20" t="n">
        <f aca="false">IF(AND(C14=1,G14=1,QE14&gt;MAX(PR_Short1,TQ14*PR_Short2)),1,0)</f>
        <v>0</v>
      </c>
      <c r="UH14" s="20" t="n">
        <f aca="false">TR14*TV14</f>
        <v>0</v>
      </c>
      <c r="UI14" s="20" t="n">
        <f aca="false">IF(AND(V14=1,Slot1_PctLow=1),1,0)+IF(AND(AG14=1,Slot2_PctLow=1),1,0)+IF(AND(AQ14=1,Slot3_PctLow=1),1,0)+IF(AND(BA14=1,Slot4_PctLow=1),1,0)+IF(AND(BK14=1,Slot5_PctLow=1),1,0)+IF(AND(BU14=1,Slot6_PctLow=1),1,0)+IF(AND(CE14=1,Slot7_PctLow=1),1,0)+IF(AND(CO14=1,Slot8_PctLow=1),1,0)+IF(AND(CY14=1,Slot9_PctLow=1),1,0)+IF(AND(DI14=1,Slot10_PctLow=1),1,0)+IF(AND(DS14=1,Slot11_PctLow=1),1,0)+IF(AND(EC14=1,Slot12_PctLow=1),1,0)+IF(AND(EM14=1,Slot13_PctLow=1),1,0)+IF(AND(EW14=1,Slot14_PctLow=1),1,0)+IF(AND(FG14=1,Slot15_PctLow=1),1,0)+IF(AND(FQ14=1,Slot16_PctLow=1),1,0)+IF(AND(GA14=1,Slot17_PctLow=1),1,0)+IF(AND(GK14=1,Slot18_PctLow=1),1,0)+IF(AND(GU14=1,Slot19_PctLow=1),1,0)+IF(AND(HE14=1,Slot20_PctLow=1),1,0)</f>
        <v>0</v>
      </c>
      <c r="UJ14" s="20" t="n">
        <f aca="false">IF(C14=1,IF(OR(TV14=1,UI14&gt;0),1,0),0)</f>
        <v>0</v>
      </c>
      <c r="UK14" s="20" t="n">
        <f aca="false">Z14+AK14+AU14+BE14+BO14+BY14+CI14+CS14+DC14+DM14+DW14+EG14+EQ14+FA14+FK14+FU14+GE14+GO14+GY14+HI14+OM14</f>
        <v>0</v>
      </c>
      <c r="UL14" s="20" t="n">
        <f aca="false">V14*IF(Slot1_SpendLike=1,X14-Y14,IF(Slot1_PotFree=1,X14,0))+AG14*IF(Slot2_SpendLike=1,AI14-AJ14,IF(Slot2_PotFree=1,AI14,0))+AQ14*IF(Slot3_SpendLike=1,AS14-AT14,IF(Slot3_PotFree=1,AS14,0))+BA14*IF(Slot4_SpendLike=1,BC14-BD14,IF(Slot4_PotFree=1,BC14,0))+BK14*IF(Slot5_SpendLike=1,BM14-BN14,IF(Slot5_PotFree=1,BM14,0))+BU14*IF(Slot6_SpendLike=1,BW14-BX14,IF(Slot6_PotFree=1,BW14,0))+CE14*IF(Slot7_SpendLike=1,CG14-CH14,IF(Slot7_PotFree=1,CG14,0))+CO14*IF(Slot8_SpendLike=1,CQ14-CR14,IF(Slot8_PotFree=1,CQ14,0))+CY14*IF(Slot9_SpendLike=1,DA14-DB14,IF(Slot9_PotFree=1,DA14,0))+DI14*IF(Slot10_SpendLike=1,DK14-DL14,IF(Slot10_PotFree=1,DK14,0))+DS14*IF(Slot11_SpendLike=1,DU14-DV14,IF(Slot11_PotFree=1,DU14,0))+EC14*IF(Slot12_SpendLike=1,EE14-EF14,IF(Slot12_PotFree=1,EE14,0))+EM14*IF(Slot13_SpendLike=1,EO14-EP14,IF(Slot13_PotFree=1,EO14,0))+EW14*IF(Slot14_SpendLike=1,EY14-EZ14,IF(Slot14_PotFree=1,EY14,0))+FG14*IF(Slot15_SpendLike=1,FI14-FJ14,IF(Slot15_PotFree=1,FI14,0))+FQ14*IF(Slot16_SpendLike=1,FS14-FT14,IF(Slot16_PotFree=1,FS14,0))+GA14*IF(Slot17_SpendLike=1,GC14-GD14,IF(Slot17_PotFree=1,GC14,0))+GK14*IF(Slot18_SpendLike=1,GM14-GN14,IF(Slot18_PotFree=1,GM14,0))+GU14*IF(Slot19_SpendLike=1,GW14-GX14,IF(Slot19_PotFree=1,GW14,0))+HE14*IF(Slot20_SpendLike=1,HG14-HH14,IF(Slot20_PotFree=1,HG14,0))</f>
        <v>0</v>
      </c>
      <c r="UM14" s="20" t="n">
        <f aca="false">QG14-T14+UK14-UL14</f>
        <v>0</v>
      </c>
      <c r="UN14" s="20" t="n">
        <f aca="false">IF(OR(UN13=1,AND(In_homeUse="Yes, I'd downsize",In_downAge&gt;0,D14=In_downAge,OR(In_home="Own outright",In_home="Own with mortgage"),In_homeValue&gt;0)),1,0)</f>
        <v>0</v>
      </c>
    </row>
    <row r="15" customFormat="false" ht="15" hidden="false" customHeight="true" outlineLevel="0" collapsed="false">
      <c r="B15" s="20" t="n">
        <v>7</v>
      </c>
      <c r="C15" s="20" t="n">
        <f aca="false">IF(B15&lt;=F_N,1,0)</f>
        <v>1</v>
      </c>
      <c r="D15" s="20" t="n">
        <f aca="false">'Plan pay &amp; tax'!C241</f>
        <v>45</v>
      </c>
      <c r="E15" s="20" t="str">
        <f aca="false">IF($C15=1,"Income tax "&amp;TEXT(N('Plan pay &amp; tax'!BK241),"#,##0")&amp;"; USC "&amp;TEXT(N('Plan pay &amp; tax'!BM241)+N('Plan pay &amp; tax'!BO241),"#,##0")&amp;"; PRSI "&amp;TEXT(N('Plan pay &amp; tax'!BP241)+N('Plan pay &amp; tax'!BQ241),"#,##0")&amp;IF(N('Plan holdings'!BO15)&gt;=0.5,"; DIRT "&amp;TEXT(('Plan holdings'!BO15)/$F15,"#,##0")&amp;" (already taken from the interest earned)","")&amp;IF(N('Plan holdings'!BP15)&gt;=0.5,"; exit tax at an 8-year anniversary "&amp;TEXT(('Plan holdings'!BP15)/$F15,"#,##0"),"")&amp;IF(N('Plan holdings'!BN15)&gt;=0.5,"; tax on assets sold (exit tax or capital gains tax) "&amp;TEXT(('Plan holdings'!BN15)/$F15,"#,##0"),"")&amp;IF(N('Plan pay &amp; tax'!X241)-N('Plan pay &amp; tax'!Y241)&gt;=0.5,"; tax on the pension lump sum "&amp;TEXT(('Plan pay &amp; tax'!X241-'Plan pay &amp; tax'!Y241)/$F15,"#,##0"),"")&amp;IF(N('Plan pay &amp; tax'!V241)&gt;=0.5,"; chargeable excess tax on the pension "&amp;TEXT(('Plan pay &amp; tax'!V241)/$F15,"#,##0"),"")&amp;".","")</f>
        <v>Income tax 11,415; USC 1,687; PRSI 4,026; DIRT 51 (already taken from the interest earned).</v>
      </c>
      <c r="F15" s="50" t="n">
        <f aca="false">'Plan pay &amp; tax'!E241</f>
        <v>1.14868566764928</v>
      </c>
      <c r="G15" s="20" t="n">
        <f aca="false">'Plan pay &amp; tax'!G241</f>
        <v>1</v>
      </c>
      <c r="H15" s="20" t="n">
        <f aca="false">'Plan pay &amp; tax'!BT241-'Plan pay &amp; tax'!BS241-'Plan pay &amp; tax'!R241</f>
        <v>74879.1482818815</v>
      </c>
      <c r="I15" s="20" t="n">
        <f aca="false">IF(G15=1,F_CostsM*12,IF(RG_Exists=1,RG_Amount,F_CostsM*12*AS_RetireSpend))*F15+F_OneOffY*F15</f>
        <v>51690.8550442176</v>
      </c>
      <c r="J15" s="20" t="n">
        <f aca="false">IF(UN15=1,0,HR14)</f>
        <v>153037.364877978</v>
      </c>
      <c r="K15" s="20" t="n">
        <f aca="false">IF(J15&gt;1,'Plan debt months'!AC15,0)</f>
        <v>14160</v>
      </c>
      <c r="L15" s="20" t="n">
        <f aca="false">IF(J15&gt;1,'Plan debt months'!AB15,J15)</f>
        <v>144621.834984468</v>
      </c>
      <c r="M15" s="20" t="n">
        <f aca="false">O14</f>
        <v>0</v>
      </c>
      <c r="N15" s="20" t="n">
        <f aca="false">IF(M15&gt;1,'Plan debt months'!BD15,0)</f>
        <v>0</v>
      </c>
      <c r="O15" s="20" t="n">
        <f aca="false">IF(M15&gt;1,'Plan debt months'!BC15,M15)</f>
        <v>0</v>
      </c>
      <c r="P15" s="20" t="n">
        <f aca="false">R14</f>
        <v>0</v>
      </c>
      <c r="Q15" s="20" t="n">
        <f aca="false">IF(P15&gt;1,'Plan debt months'!CE15,0)</f>
        <v>0</v>
      </c>
      <c r="R15" s="20" t="n">
        <f aca="false">IF(P15&gt;1,'Plan debt months'!CD15,P15)</f>
        <v>0</v>
      </c>
      <c r="S15" s="20" t="n">
        <f aca="false">K15+N15+Q15</f>
        <v>14160</v>
      </c>
      <c r="T15" s="57" t="n">
        <f aca="false">'Plan holdings'!Y15</f>
        <v>0</v>
      </c>
      <c r="U15" s="57" t="n">
        <f aca="false">'Plan holdings'!BM14</f>
        <v>0</v>
      </c>
      <c r="V15" s="20" t="n">
        <f aca="false">IF(AND(Slot1_On=1,D15=Slot1_Age),1,0)</f>
        <v>0</v>
      </c>
      <c r="W15" s="20" t="n">
        <f aca="false">IF(AND(Slot1_On=1,Slot1_Age&gt;D15),1,0)</f>
        <v>0</v>
      </c>
      <c r="X15" s="20" t="n">
        <f aca="false">QM14</f>
        <v>0</v>
      </c>
      <c r="Y15" s="20" t="n">
        <f aca="false">V15*MIN(Slot1_Cost,X15)</f>
        <v>0</v>
      </c>
      <c r="Z15" s="20" t="n">
        <f aca="false">V15*Slot1_SpendLike*MIN(Slot1_Cost-Y15,T15)</f>
        <v>0</v>
      </c>
      <c r="AA15" s="20" t="n">
        <f aca="false">Y15+Z15</f>
        <v>0</v>
      </c>
      <c r="AB15" s="20" t="n">
        <f aca="false">T15-Z15+V15*IF(Slot1_SpendLike=1,X15-Y15,IF(Slot1_PotFree=1,X15,0))</f>
        <v>0</v>
      </c>
      <c r="AC15" s="20" t="n">
        <f aca="false">AF15+V15*Slot1_BufPot*X15</f>
        <v>11958.8563832678</v>
      </c>
      <c r="AD15" s="20" t="n">
        <f aca="false">IF(AND(V15=1,Slot1_IsMfree=1),IF(AA15&gt;=Slot1_Cost-1,0,MAX(0,L15-AA15)),L15)</f>
        <v>144621.834984468</v>
      </c>
      <c r="AE15" s="20" t="n">
        <f aca="false">V15*(Slot1_Cost-AA15)</f>
        <v>0</v>
      </c>
      <c r="AF15" s="20" t="n">
        <f aca="false">QL14</f>
        <v>11958.8563832678</v>
      </c>
      <c r="AG15" s="20" t="n">
        <f aca="false">IF(AND(Slot2_On=1,D15=Slot2_Age),1,0)</f>
        <v>0</v>
      </c>
      <c r="AH15" s="20" t="n">
        <f aca="false">IF(AND(Slot2_On=1,Slot2_Age&gt;D15),1,0)</f>
        <v>0</v>
      </c>
      <c r="AI15" s="20" t="n">
        <f aca="false">QQ14</f>
        <v>0</v>
      </c>
      <c r="AJ15" s="20" t="n">
        <f aca="false">AG15*MIN(Slot2_Cost,AI15)</f>
        <v>0</v>
      </c>
      <c r="AK15" s="20" t="n">
        <f aca="false">AG15*Slot2_SpendLike*MIN(Slot2_Cost-AJ15,AB15)</f>
        <v>0</v>
      </c>
      <c r="AL15" s="20" t="n">
        <f aca="false">AJ15+AK15</f>
        <v>0</v>
      </c>
      <c r="AM15" s="20" t="n">
        <f aca="false">AB15-AK15+AG15*IF(Slot2_SpendLike=1,AI15-AJ15,IF(Slot2_PotFree=1,AI15,0))</f>
        <v>0</v>
      </c>
      <c r="AN15" s="20" t="n">
        <f aca="false">AC15+AG15*Slot2_BufPot*AI15</f>
        <v>11958.8563832678</v>
      </c>
      <c r="AO15" s="20" t="n">
        <f aca="false">IF(AND(AG15=1,Slot2_IsMfree=1),IF(AL15&gt;=Slot2_Cost-1,0,MAX(0,AD15-AL15)),AD15)</f>
        <v>144621.834984468</v>
      </c>
      <c r="AP15" s="20" t="n">
        <f aca="false">AG15*(Slot2_Cost-AL15)</f>
        <v>0</v>
      </c>
      <c r="AQ15" s="20" t="n">
        <f aca="false">IF(AND(Slot3_On=1,D15=Slot3_Age),1,0)</f>
        <v>0</v>
      </c>
      <c r="AR15" s="20" t="n">
        <f aca="false">IF(AND(Slot3_On=1,Slot3_Age&gt;D15),1,0)</f>
        <v>1</v>
      </c>
      <c r="AS15" s="20" t="n">
        <f aca="false">QU14</f>
        <v>13960.6870096001</v>
      </c>
      <c r="AT15" s="20" t="n">
        <f aca="false">AQ15*MIN(Slot3_Cost,AS15)</f>
        <v>0</v>
      </c>
      <c r="AU15" s="20" t="n">
        <f aca="false">AQ15*Slot3_SpendLike*MIN(Slot3_Cost-AT15,AM15)</f>
        <v>0</v>
      </c>
      <c r="AV15" s="20" t="n">
        <f aca="false">AT15+AU15</f>
        <v>0</v>
      </c>
      <c r="AW15" s="20" t="n">
        <f aca="false">AM15-AU15+AQ15*IF(Slot3_SpendLike=1,AS15-AT15,IF(Slot3_PotFree=1,AS15,0))</f>
        <v>0</v>
      </c>
      <c r="AX15" s="20" t="n">
        <f aca="false">AN15+AQ15*Slot3_BufPot*AS15</f>
        <v>11958.8563832678</v>
      </c>
      <c r="AY15" s="20" t="n">
        <f aca="false">IF(AND(AQ15=1,Slot3_IsMfree=1),IF(AV15&gt;=Slot3_Cost-1,0,MAX(0,AO15-AV15)),AO15)</f>
        <v>144621.834984468</v>
      </c>
      <c r="AZ15" s="20" t="n">
        <f aca="false">AQ15*(Slot3_Cost-AV15)</f>
        <v>0</v>
      </c>
      <c r="BA15" s="20" t="n">
        <f aca="false">IF(AND(Slot4_On=1,D15=Slot4_Age),1,0)</f>
        <v>0</v>
      </c>
      <c r="BB15" s="20" t="n">
        <f aca="false">IF(AND(Slot4_On=1,Slot4_Age&gt;D15),1,0)</f>
        <v>1</v>
      </c>
      <c r="BC15" s="20" t="n">
        <f aca="false">QY14</f>
        <v>0</v>
      </c>
      <c r="BD15" s="20" t="n">
        <f aca="false">BA15*MIN(Slot4_Cost,BC15)</f>
        <v>0</v>
      </c>
      <c r="BE15" s="20" t="n">
        <f aca="false">BA15*Slot4_SpendLike*MIN(Slot4_Cost-BD15,AW15)</f>
        <v>0</v>
      </c>
      <c r="BF15" s="20" t="n">
        <f aca="false">BD15+BE15</f>
        <v>0</v>
      </c>
      <c r="BG15" s="20" t="n">
        <f aca="false">AW15-BE15+BA15*IF(Slot4_SpendLike=1,BC15-BD15,IF(Slot4_PotFree=1,BC15,0))</f>
        <v>0</v>
      </c>
      <c r="BH15" s="20" t="n">
        <f aca="false">AX15+BA15*Slot4_BufPot*BC15</f>
        <v>11958.8563832678</v>
      </c>
      <c r="BI15" s="20" t="n">
        <f aca="false">IF(AND(BA15=1,Slot4_IsMfree=1),IF(BF15&gt;=Slot4_Cost-1,0,MAX(0,AY15-BF15)),AY15)</f>
        <v>144621.834984468</v>
      </c>
      <c r="BJ15" s="20" t="n">
        <f aca="false">BA15*(Slot4_Cost-BF15)</f>
        <v>0</v>
      </c>
      <c r="BK15" s="20" t="n">
        <f aca="false">IF(AND(Slot5_On=1,D15=Slot5_Age),1,0)</f>
        <v>0</v>
      </c>
      <c r="BL15" s="20" t="n">
        <f aca="false">IF(AND(Slot5_On=1,Slot5_Age&gt;D15),1,0)</f>
        <v>0</v>
      </c>
      <c r="BM15" s="20" t="n">
        <f aca="false">RC14</f>
        <v>0</v>
      </c>
      <c r="BN15" s="20" t="n">
        <f aca="false">BK15*MIN(Slot5_Cost,BM15)</f>
        <v>0</v>
      </c>
      <c r="BO15" s="20" t="n">
        <f aca="false">BK15*Slot5_SpendLike*MIN(Slot5_Cost-BN15,BG15)</f>
        <v>0</v>
      </c>
      <c r="BP15" s="20" t="n">
        <f aca="false">BN15+BO15</f>
        <v>0</v>
      </c>
      <c r="BQ15" s="20" t="n">
        <f aca="false">BG15-BO15+BK15*IF(Slot5_SpendLike=1,BM15-BN15,IF(Slot5_PotFree=1,BM15,0))</f>
        <v>0</v>
      </c>
      <c r="BR15" s="20" t="n">
        <f aca="false">BH15+BK15*Slot5_BufPot*BM15</f>
        <v>11958.8563832678</v>
      </c>
      <c r="BS15" s="20" t="n">
        <f aca="false">IF(AND(BK15=1,Slot5_IsMfree=1),IF(BP15&gt;=Slot5_Cost-1,0,MAX(0,BI15-BP15)),BI15)</f>
        <v>144621.834984468</v>
      </c>
      <c r="BT15" s="20" t="n">
        <f aca="false">BK15*(Slot5_Cost-BP15)</f>
        <v>0</v>
      </c>
      <c r="BU15" s="20" t="n">
        <f aca="false">IF(AND(Slot6_On=1,D15=Slot6_Age),1,0)</f>
        <v>0</v>
      </c>
      <c r="BV15" s="20" t="n">
        <f aca="false">IF(AND(Slot6_On=1,Slot6_Age&gt;D15),1,0)</f>
        <v>0</v>
      </c>
      <c r="BW15" s="20" t="n">
        <f aca="false">RG14</f>
        <v>0</v>
      </c>
      <c r="BX15" s="20" t="n">
        <f aca="false">BU15*MIN(Slot6_Cost,BW15)</f>
        <v>0</v>
      </c>
      <c r="BY15" s="20" t="n">
        <f aca="false">BU15*Slot6_SpendLike*MIN(Slot6_Cost-BX15,BQ15)</f>
        <v>0</v>
      </c>
      <c r="BZ15" s="20" t="n">
        <f aca="false">BX15+BY15</f>
        <v>0</v>
      </c>
      <c r="CA15" s="20" t="n">
        <f aca="false">BQ15-BY15+BU15*IF(Slot6_SpendLike=1,BW15-BX15,IF(Slot6_PotFree=1,BW15,0))</f>
        <v>0</v>
      </c>
      <c r="CB15" s="20" t="n">
        <f aca="false">BR15+BU15*Slot6_BufPot*BW15</f>
        <v>11958.8563832678</v>
      </c>
      <c r="CC15" s="20" t="n">
        <f aca="false">IF(AND(BU15=1,Slot6_IsMfree=1),IF(BZ15&gt;=Slot6_Cost-1,0,MAX(0,BS15-BZ15)),BS15)</f>
        <v>144621.834984468</v>
      </c>
      <c r="CD15" s="20" t="n">
        <f aca="false">BU15*(Slot6_Cost-BZ15)</f>
        <v>0</v>
      </c>
      <c r="CE15" s="20" t="n">
        <f aca="false">IF(AND(Slot7_On=1,D15=Slot7_Age),1,0)</f>
        <v>0</v>
      </c>
      <c r="CF15" s="20" t="n">
        <f aca="false">IF(AND(Slot7_On=1,Slot7_Age&gt;D15),1,0)</f>
        <v>0</v>
      </c>
      <c r="CG15" s="20" t="n">
        <f aca="false">RK14</f>
        <v>0</v>
      </c>
      <c r="CH15" s="20" t="n">
        <f aca="false">CE15*MIN(Slot7_Cost,CG15)</f>
        <v>0</v>
      </c>
      <c r="CI15" s="20" t="n">
        <f aca="false">CE15*Slot7_SpendLike*MIN(Slot7_Cost-CH15,CA15)</f>
        <v>0</v>
      </c>
      <c r="CJ15" s="20" t="n">
        <f aca="false">CH15+CI15</f>
        <v>0</v>
      </c>
      <c r="CK15" s="20" t="n">
        <f aca="false">CA15-CI15+CE15*IF(Slot7_SpendLike=1,CG15-CH15,IF(Slot7_PotFree=1,CG15,0))</f>
        <v>0</v>
      </c>
      <c r="CL15" s="20" t="n">
        <f aca="false">CB15+CE15*Slot7_BufPot*CG15</f>
        <v>11958.8563832678</v>
      </c>
      <c r="CM15" s="20" t="n">
        <f aca="false">IF(AND(CE15=1,Slot7_IsMfree=1),IF(CJ15&gt;=Slot7_Cost-1,0,MAX(0,CC15-CJ15)),CC15)</f>
        <v>144621.834984468</v>
      </c>
      <c r="CN15" s="20" t="n">
        <f aca="false">CE15*(Slot7_Cost-CJ15)</f>
        <v>0</v>
      </c>
      <c r="CO15" s="20" t="n">
        <f aca="false">IF(AND(Slot8_On=1,D15=Slot8_Age),1,0)</f>
        <v>0</v>
      </c>
      <c r="CP15" s="20" t="n">
        <f aca="false">IF(AND(Slot8_On=1,Slot8_Age&gt;D15),1,0)</f>
        <v>0</v>
      </c>
      <c r="CQ15" s="20" t="n">
        <f aca="false">RO14</f>
        <v>0</v>
      </c>
      <c r="CR15" s="20" t="n">
        <f aca="false">CO15*MIN(Slot8_Cost,CQ15)</f>
        <v>0</v>
      </c>
      <c r="CS15" s="20" t="n">
        <f aca="false">CO15*Slot8_SpendLike*MIN(Slot8_Cost-CR15,CK15)</f>
        <v>0</v>
      </c>
      <c r="CT15" s="20" t="n">
        <f aca="false">CR15+CS15</f>
        <v>0</v>
      </c>
      <c r="CU15" s="20" t="n">
        <f aca="false">CK15-CS15+CO15*IF(Slot8_SpendLike=1,CQ15-CR15,IF(Slot8_PotFree=1,CQ15,0))</f>
        <v>0</v>
      </c>
      <c r="CV15" s="20" t="n">
        <f aca="false">CL15+CO15*Slot8_BufPot*CQ15</f>
        <v>11958.8563832678</v>
      </c>
      <c r="CW15" s="20" t="n">
        <f aca="false">IF(AND(CO15=1,Slot8_IsMfree=1),IF(CT15&gt;=Slot8_Cost-1,0,MAX(0,CM15-CT15)),CM15)</f>
        <v>144621.834984468</v>
      </c>
      <c r="CX15" s="20" t="n">
        <f aca="false">CO15*(Slot8_Cost-CT15)</f>
        <v>0</v>
      </c>
      <c r="CY15" s="20" t="n">
        <f aca="false">IF(AND(Slot9_On=1,D15=Slot9_Age),1,0)</f>
        <v>0</v>
      </c>
      <c r="CZ15" s="20" t="n">
        <f aca="false">IF(AND(Slot9_On=1,Slot9_Age&gt;D15),1,0)</f>
        <v>0</v>
      </c>
      <c r="DA15" s="20" t="n">
        <f aca="false">RS14</f>
        <v>0</v>
      </c>
      <c r="DB15" s="20" t="n">
        <f aca="false">CY15*MIN(Slot9_Cost,DA15)</f>
        <v>0</v>
      </c>
      <c r="DC15" s="20" t="n">
        <f aca="false">CY15*Slot9_SpendLike*MIN(Slot9_Cost-DB15,CU15)</f>
        <v>0</v>
      </c>
      <c r="DD15" s="20" t="n">
        <f aca="false">DB15+DC15</f>
        <v>0</v>
      </c>
      <c r="DE15" s="20" t="n">
        <f aca="false">CU15-DC15+CY15*IF(Slot9_SpendLike=1,DA15-DB15,IF(Slot9_PotFree=1,DA15,0))</f>
        <v>0</v>
      </c>
      <c r="DF15" s="20" t="n">
        <f aca="false">CV15+CY15*Slot9_BufPot*DA15</f>
        <v>11958.8563832678</v>
      </c>
      <c r="DG15" s="20" t="n">
        <f aca="false">IF(AND(CY15=1,Slot9_IsMfree=1),IF(DD15&gt;=Slot9_Cost-1,0,MAX(0,CW15-DD15)),CW15)</f>
        <v>144621.834984468</v>
      </c>
      <c r="DH15" s="20" t="n">
        <f aca="false">CY15*(Slot9_Cost-DD15)</f>
        <v>0</v>
      </c>
      <c r="DI15" s="20" t="n">
        <f aca="false">IF(AND(Slot10_On=1,D15=Slot10_Age),1,0)</f>
        <v>0</v>
      </c>
      <c r="DJ15" s="20" t="n">
        <f aca="false">IF(AND(Slot10_On=1,Slot10_Age&gt;D15),1,0)</f>
        <v>0</v>
      </c>
      <c r="DK15" s="20" t="n">
        <f aca="false">RW14</f>
        <v>0</v>
      </c>
      <c r="DL15" s="20" t="n">
        <f aca="false">DI15*MIN(Slot10_Cost,DK15)</f>
        <v>0</v>
      </c>
      <c r="DM15" s="20" t="n">
        <f aca="false">DI15*Slot10_SpendLike*MIN(Slot10_Cost-DL15,DE15)</f>
        <v>0</v>
      </c>
      <c r="DN15" s="20" t="n">
        <f aca="false">DL15+DM15</f>
        <v>0</v>
      </c>
      <c r="DO15" s="20" t="n">
        <f aca="false">DE15-DM15+DI15*IF(Slot10_SpendLike=1,DK15-DL15,IF(Slot10_PotFree=1,DK15,0))</f>
        <v>0</v>
      </c>
      <c r="DP15" s="20" t="n">
        <f aca="false">DF15+DI15*Slot10_BufPot*DK15</f>
        <v>11958.8563832678</v>
      </c>
      <c r="DQ15" s="20" t="n">
        <f aca="false">IF(AND(DI15=1,Slot10_IsMfree=1),IF(DN15&gt;=Slot10_Cost-1,0,MAX(0,DG15-DN15)),DG15)</f>
        <v>144621.834984468</v>
      </c>
      <c r="DR15" s="20" t="n">
        <f aca="false">DI15*(Slot10_Cost-DN15)</f>
        <v>0</v>
      </c>
      <c r="DS15" s="20" t="n">
        <f aca="false">IF(AND(Slot11_On=1,D15=Slot11_Age),1,0)</f>
        <v>0</v>
      </c>
      <c r="DT15" s="20" t="n">
        <f aca="false">IF(AND(Slot11_On=1,Slot11_Age&gt;D15),1,0)</f>
        <v>0</v>
      </c>
      <c r="DU15" s="20" t="n">
        <f aca="false">SA14</f>
        <v>0</v>
      </c>
      <c r="DV15" s="20" t="n">
        <f aca="false">DS15*MIN(Slot11_Cost,DU15)</f>
        <v>0</v>
      </c>
      <c r="DW15" s="20" t="n">
        <f aca="false">DS15*Slot11_SpendLike*MIN(Slot11_Cost-DV15,DO15)</f>
        <v>0</v>
      </c>
      <c r="DX15" s="20" t="n">
        <f aca="false">DV15+DW15</f>
        <v>0</v>
      </c>
      <c r="DY15" s="20" t="n">
        <f aca="false">DO15-DW15+DS15*IF(Slot11_SpendLike=1,DU15-DV15,IF(Slot11_PotFree=1,DU15,0))</f>
        <v>0</v>
      </c>
      <c r="DZ15" s="20" t="n">
        <f aca="false">DP15+DS15*Slot11_BufPot*DU15</f>
        <v>11958.8563832678</v>
      </c>
      <c r="EA15" s="20" t="n">
        <f aca="false">IF(AND(DS15=1,Slot11_IsMfree=1),IF(DX15&gt;=Slot11_Cost-1,0,MAX(0,DQ15-DX15)),DQ15)</f>
        <v>144621.834984468</v>
      </c>
      <c r="EB15" s="20" t="n">
        <f aca="false">DS15*(Slot11_Cost-DX15)</f>
        <v>0</v>
      </c>
      <c r="EC15" s="20" t="n">
        <f aca="false">IF(AND(Slot12_On=1,D15=Slot12_Age),1,0)</f>
        <v>0</v>
      </c>
      <c r="ED15" s="20" t="n">
        <f aca="false">IF(AND(Slot12_On=1,Slot12_Age&gt;D15),1,0)</f>
        <v>0</v>
      </c>
      <c r="EE15" s="20" t="n">
        <f aca="false">SE14</f>
        <v>0</v>
      </c>
      <c r="EF15" s="20" t="n">
        <f aca="false">EC15*MIN(Slot12_Cost,EE15)</f>
        <v>0</v>
      </c>
      <c r="EG15" s="20" t="n">
        <f aca="false">EC15*Slot12_SpendLike*MIN(Slot12_Cost-EF15,DY15)</f>
        <v>0</v>
      </c>
      <c r="EH15" s="20" t="n">
        <f aca="false">EF15+EG15</f>
        <v>0</v>
      </c>
      <c r="EI15" s="20" t="n">
        <f aca="false">DY15-EG15+EC15*IF(Slot12_SpendLike=1,EE15-EF15,IF(Slot12_PotFree=1,EE15,0))</f>
        <v>0</v>
      </c>
      <c r="EJ15" s="20" t="n">
        <f aca="false">DZ15+EC15*Slot12_BufPot*EE15</f>
        <v>11958.8563832678</v>
      </c>
      <c r="EK15" s="20" t="n">
        <f aca="false">IF(AND(EC15=1,Slot12_IsMfree=1),IF(EH15&gt;=Slot12_Cost-1,0,MAX(0,EA15-EH15)),EA15)</f>
        <v>144621.834984468</v>
      </c>
      <c r="EL15" s="20" t="n">
        <f aca="false">EC15*(Slot12_Cost-EH15)</f>
        <v>0</v>
      </c>
      <c r="EM15" s="20" t="n">
        <f aca="false">IF(AND(Slot13_On=1,D15=Slot13_Age),1,0)</f>
        <v>0</v>
      </c>
      <c r="EN15" s="20" t="n">
        <f aca="false">IF(AND(Slot13_On=1,Slot13_Age&gt;D15),1,0)</f>
        <v>0</v>
      </c>
      <c r="EO15" s="20" t="n">
        <f aca="false">SI14</f>
        <v>0</v>
      </c>
      <c r="EP15" s="20" t="n">
        <f aca="false">EM15*MIN(Slot13_Cost,EO15)</f>
        <v>0</v>
      </c>
      <c r="EQ15" s="20" t="n">
        <f aca="false">EM15*Slot13_SpendLike*MIN(Slot13_Cost-EP15,EI15)</f>
        <v>0</v>
      </c>
      <c r="ER15" s="20" t="n">
        <f aca="false">EP15+EQ15</f>
        <v>0</v>
      </c>
      <c r="ES15" s="20" t="n">
        <f aca="false">EI15-EQ15+EM15*IF(Slot13_SpendLike=1,EO15-EP15,IF(Slot13_PotFree=1,EO15,0))</f>
        <v>0</v>
      </c>
      <c r="ET15" s="20" t="n">
        <f aca="false">EJ15+EM15*Slot13_BufPot*EO15</f>
        <v>11958.8563832678</v>
      </c>
      <c r="EU15" s="20" t="n">
        <f aca="false">IF(AND(EM15=1,Slot13_IsMfree=1),IF(ER15&gt;=Slot13_Cost-1,0,MAX(0,EK15-ER15)),EK15)</f>
        <v>144621.834984468</v>
      </c>
      <c r="EV15" s="20" t="n">
        <f aca="false">EM15*(Slot13_Cost-ER15)</f>
        <v>0</v>
      </c>
      <c r="EW15" s="20" t="n">
        <f aca="false">IF(AND(Slot14_On=1,D15=Slot14_Age),1,0)</f>
        <v>0</v>
      </c>
      <c r="EX15" s="20" t="n">
        <f aca="false">IF(AND(Slot14_On=1,Slot14_Age&gt;D15),1,0)</f>
        <v>0</v>
      </c>
      <c r="EY15" s="20" t="n">
        <f aca="false">SM14</f>
        <v>0</v>
      </c>
      <c r="EZ15" s="20" t="n">
        <f aca="false">EW15*MIN(Slot14_Cost,EY15)</f>
        <v>0</v>
      </c>
      <c r="FA15" s="20" t="n">
        <f aca="false">EW15*Slot14_SpendLike*MIN(Slot14_Cost-EZ15,ES15)</f>
        <v>0</v>
      </c>
      <c r="FB15" s="20" t="n">
        <f aca="false">EZ15+FA15</f>
        <v>0</v>
      </c>
      <c r="FC15" s="20" t="n">
        <f aca="false">ES15-FA15+EW15*IF(Slot14_SpendLike=1,EY15-EZ15,IF(Slot14_PotFree=1,EY15,0))</f>
        <v>0</v>
      </c>
      <c r="FD15" s="20" t="n">
        <f aca="false">ET15+EW15*Slot14_BufPot*EY15</f>
        <v>11958.8563832678</v>
      </c>
      <c r="FE15" s="20" t="n">
        <f aca="false">IF(AND(EW15=1,Slot14_IsMfree=1),IF(FB15&gt;=Slot14_Cost-1,0,MAX(0,EU15-FB15)),EU15)</f>
        <v>144621.834984468</v>
      </c>
      <c r="FF15" s="20" t="n">
        <f aca="false">EW15*(Slot14_Cost-FB15)</f>
        <v>0</v>
      </c>
      <c r="FG15" s="20" t="n">
        <f aca="false">IF(AND(Slot15_On=1,D15=Slot15_Age),1,0)</f>
        <v>0</v>
      </c>
      <c r="FH15" s="20" t="n">
        <f aca="false">IF(AND(Slot15_On=1,Slot15_Age&gt;D15),1,0)</f>
        <v>0</v>
      </c>
      <c r="FI15" s="20" t="n">
        <f aca="false">SQ14</f>
        <v>0</v>
      </c>
      <c r="FJ15" s="20" t="n">
        <f aca="false">FG15*MIN(Slot15_Cost,FI15)</f>
        <v>0</v>
      </c>
      <c r="FK15" s="20" t="n">
        <f aca="false">FG15*Slot15_SpendLike*MIN(Slot15_Cost-FJ15,FC15)</f>
        <v>0</v>
      </c>
      <c r="FL15" s="20" t="n">
        <f aca="false">FJ15+FK15</f>
        <v>0</v>
      </c>
      <c r="FM15" s="20" t="n">
        <f aca="false">FC15-FK15+FG15*IF(Slot15_SpendLike=1,FI15-FJ15,IF(Slot15_PotFree=1,FI15,0))</f>
        <v>0</v>
      </c>
      <c r="FN15" s="20" t="n">
        <f aca="false">FD15+FG15*Slot15_BufPot*FI15</f>
        <v>11958.8563832678</v>
      </c>
      <c r="FO15" s="20" t="n">
        <f aca="false">IF(AND(FG15=1,Slot15_IsMfree=1),IF(FL15&gt;=Slot15_Cost-1,0,MAX(0,FE15-FL15)),FE15)</f>
        <v>144621.834984468</v>
      </c>
      <c r="FP15" s="20" t="n">
        <f aca="false">FG15*(Slot15_Cost-FL15)</f>
        <v>0</v>
      </c>
      <c r="FQ15" s="20" t="n">
        <f aca="false">IF(AND(Slot16_On=1,D15=Slot16_Age),1,0)</f>
        <v>0</v>
      </c>
      <c r="FR15" s="20" t="n">
        <f aca="false">IF(AND(Slot16_On=1,Slot16_Age&gt;D15),1,0)</f>
        <v>0</v>
      </c>
      <c r="FS15" s="20" t="n">
        <f aca="false">SU14</f>
        <v>0</v>
      </c>
      <c r="FT15" s="20" t="n">
        <f aca="false">FQ15*MIN(Slot16_Cost,FS15)</f>
        <v>0</v>
      </c>
      <c r="FU15" s="20" t="n">
        <f aca="false">FQ15*Slot16_SpendLike*MIN(Slot16_Cost-FT15,FM15)</f>
        <v>0</v>
      </c>
      <c r="FV15" s="20" t="n">
        <f aca="false">FT15+FU15</f>
        <v>0</v>
      </c>
      <c r="FW15" s="20" t="n">
        <f aca="false">FM15-FU15+FQ15*IF(Slot16_SpendLike=1,FS15-FT15,IF(Slot16_PotFree=1,FS15,0))</f>
        <v>0</v>
      </c>
      <c r="FX15" s="20" t="n">
        <f aca="false">FN15+FQ15*Slot16_BufPot*FS15</f>
        <v>11958.8563832678</v>
      </c>
      <c r="FY15" s="20" t="n">
        <f aca="false">IF(AND(FQ15=1,Slot16_IsMfree=1),IF(FV15&gt;=Slot16_Cost-1,0,MAX(0,FO15-FV15)),FO15)</f>
        <v>144621.834984468</v>
      </c>
      <c r="FZ15" s="20" t="n">
        <f aca="false">FQ15*(Slot16_Cost-FV15)</f>
        <v>0</v>
      </c>
      <c r="GA15" s="20" t="n">
        <f aca="false">IF(AND(Slot17_On=1,D15=Slot17_Age),1,0)</f>
        <v>0</v>
      </c>
      <c r="GB15" s="20" t="n">
        <f aca="false">IF(AND(Slot17_On=1,Slot17_Age&gt;D15),1,0)</f>
        <v>0</v>
      </c>
      <c r="GC15" s="20" t="n">
        <f aca="false">SY14</f>
        <v>0</v>
      </c>
      <c r="GD15" s="20" t="n">
        <f aca="false">GA15*MIN(Slot17_Cost,GC15)</f>
        <v>0</v>
      </c>
      <c r="GE15" s="20" t="n">
        <f aca="false">GA15*Slot17_SpendLike*MIN(Slot17_Cost-GD15,FW15)</f>
        <v>0</v>
      </c>
      <c r="GF15" s="20" t="n">
        <f aca="false">GD15+GE15</f>
        <v>0</v>
      </c>
      <c r="GG15" s="20" t="n">
        <f aca="false">FW15-GE15+GA15*IF(Slot17_SpendLike=1,GC15-GD15,IF(Slot17_PotFree=1,GC15,0))</f>
        <v>0</v>
      </c>
      <c r="GH15" s="20" t="n">
        <f aca="false">FX15+GA15*Slot17_BufPot*GC15</f>
        <v>11958.8563832678</v>
      </c>
      <c r="GI15" s="20" t="n">
        <f aca="false">IF(AND(GA15=1,Slot17_IsMfree=1),IF(GF15&gt;=Slot17_Cost-1,0,MAX(0,FY15-GF15)),FY15)</f>
        <v>144621.834984468</v>
      </c>
      <c r="GJ15" s="20" t="n">
        <f aca="false">GA15*(Slot17_Cost-GF15)</f>
        <v>0</v>
      </c>
      <c r="GK15" s="20" t="n">
        <f aca="false">IF(AND(Slot18_On=1,D15=Slot18_Age),1,0)</f>
        <v>0</v>
      </c>
      <c r="GL15" s="20" t="n">
        <f aca="false">IF(AND(Slot18_On=1,Slot18_Age&gt;D15),1,0)</f>
        <v>0</v>
      </c>
      <c r="GM15" s="20" t="n">
        <f aca="false">TC14</f>
        <v>0</v>
      </c>
      <c r="GN15" s="20" t="n">
        <f aca="false">GK15*MIN(Slot18_Cost,GM15)</f>
        <v>0</v>
      </c>
      <c r="GO15" s="20" t="n">
        <f aca="false">GK15*Slot18_SpendLike*MIN(Slot18_Cost-GN15,GG15)</f>
        <v>0</v>
      </c>
      <c r="GP15" s="20" t="n">
        <f aca="false">GN15+GO15</f>
        <v>0</v>
      </c>
      <c r="GQ15" s="20" t="n">
        <f aca="false">GG15-GO15+GK15*IF(Slot18_SpendLike=1,GM15-GN15,IF(Slot18_PotFree=1,GM15,0))</f>
        <v>0</v>
      </c>
      <c r="GR15" s="20" t="n">
        <f aca="false">GH15+GK15*Slot18_BufPot*GM15</f>
        <v>11958.8563832678</v>
      </c>
      <c r="GS15" s="20" t="n">
        <f aca="false">IF(AND(GK15=1,Slot18_IsMfree=1),IF(GP15&gt;=Slot18_Cost-1,0,MAX(0,GI15-GP15)),GI15)</f>
        <v>144621.834984468</v>
      </c>
      <c r="GT15" s="20" t="n">
        <f aca="false">GK15*(Slot18_Cost-GP15)</f>
        <v>0</v>
      </c>
      <c r="GU15" s="20" t="n">
        <f aca="false">IF(AND(Slot19_On=1,D15=Slot19_Age),1,0)</f>
        <v>0</v>
      </c>
      <c r="GV15" s="20" t="n">
        <f aca="false">IF(AND(Slot19_On=1,Slot19_Age&gt;D15),1,0)</f>
        <v>0</v>
      </c>
      <c r="GW15" s="20" t="n">
        <f aca="false">TG14</f>
        <v>0</v>
      </c>
      <c r="GX15" s="20" t="n">
        <f aca="false">GU15*MIN(Slot19_Cost,GW15)</f>
        <v>0</v>
      </c>
      <c r="GY15" s="20" t="n">
        <f aca="false">GU15*Slot19_SpendLike*MIN(Slot19_Cost-GX15,GQ15)</f>
        <v>0</v>
      </c>
      <c r="GZ15" s="20" t="n">
        <f aca="false">GX15+GY15</f>
        <v>0</v>
      </c>
      <c r="HA15" s="20" t="n">
        <f aca="false">GQ15-GY15+GU15*IF(Slot19_SpendLike=1,GW15-GX15,IF(Slot19_PotFree=1,GW15,0))</f>
        <v>0</v>
      </c>
      <c r="HB15" s="20" t="n">
        <f aca="false">GR15+GU15*Slot19_BufPot*GW15</f>
        <v>11958.8563832678</v>
      </c>
      <c r="HC15" s="20" t="n">
        <f aca="false">IF(AND(GU15=1,Slot19_IsMfree=1),IF(GZ15&gt;=Slot19_Cost-1,0,MAX(0,GS15-GZ15)),GS15)</f>
        <v>144621.834984468</v>
      </c>
      <c r="HD15" s="20" t="n">
        <f aca="false">GU15*(Slot19_Cost-GZ15)</f>
        <v>0</v>
      </c>
      <c r="HE15" s="20" t="n">
        <f aca="false">IF(AND(Slot20_On=1,D15=Slot20_Age),1,0)</f>
        <v>0</v>
      </c>
      <c r="HF15" s="20" t="n">
        <f aca="false">IF(AND(Slot20_On=1,Slot20_Age&gt;D15),1,0)</f>
        <v>0</v>
      </c>
      <c r="HG15" s="20" t="n">
        <f aca="false">TK14</f>
        <v>0</v>
      </c>
      <c r="HH15" s="20" t="n">
        <f aca="false">HE15*MIN(Slot20_Cost,HG15)</f>
        <v>0</v>
      </c>
      <c r="HI15" s="20" t="n">
        <f aca="false">HE15*Slot20_SpendLike*MIN(Slot20_Cost-HH15,HA15)</f>
        <v>0</v>
      </c>
      <c r="HJ15" s="20" t="n">
        <f aca="false">HH15+HI15</f>
        <v>0</v>
      </c>
      <c r="HK15" s="20" t="n">
        <f aca="false">HA15-HI15+HE15*IF(Slot20_SpendLike=1,HG15-HH15,IF(Slot20_PotFree=1,HG15,0))</f>
        <v>0</v>
      </c>
      <c r="HL15" s="20" t="n">
        <f aca="false">HB15+HE15*Slot20_BufPot*HG15</f>
        <v>11958.8563832678</v>
      </c>
      <c r="HM15" s="20" t="n">
        <f aca="false">IF(AND(HE15=1,Slot20_IsMfree=1),IF(HJ15&gt;=Slot20_Cost-1,0,MAX(0,HC15-HJ15)),HC15)</f>
        <v>144621.834984468</v>
      </c>
      <c r="HN15" s="20" t="n">
        <f aca="false">HE15*(Slot20_Cost-HJ15)</f>
        <v>0</v>
      </c>
      <c r="HO15" s="20" t="n">
        <f aca="false">V15*Slot1_SpendLike*AA15+AG15*Slot2_SpendLike*AL15+AQ15*Slot3_SpendLike*AV15+BA15*Slot4_SpendLike*BF15+BK15*Slot5_SpendLike*BP15+BU15*Slot6_SpendLike*BZ15+CE15*Slot7_SpendLike*CJ15+CO15*Slot8_SpendLike*CT15+CY15*Slot9_SpendLike*DD15+DI15*Slot10_SpendLike*DN15+DS15*Slot11_SpendLike*DX15+EC15*Slot12_SpendLike*EH15+EM15*Slot13_SpendLike*ER15+EW15*Slot14_SpendLike*FB15+FG15*Slot15_SpendLike*FL15+FQ15*Slot16_SpendLike*FV15+GA15*Slot17_SpendLike*GF15+GK15*Slot18_SpendLike*GP15+GU15*Slot19_SpendLike*GZ15+HE15*Slot20_SpendLike*HJ15</f>
        <v>0</v>
      </c>
      <c r="HP15" s="20" t="n">
        <f aca="false">AE15+AP15+AZ15+BJ15+BT15+CD15+CN15+CX15+DH15+DR15+EB15+EL15+EV15+FF15+FP15+FZ15+GJ15+GT15+HD15+HN15</f>
        <v>0</v>
      </c>
      <c r="HQ15" s="20" t="n">
        <f aca="false">V15*Slot1_Cost+AG15*Slot2_Cost+AQ15*Slot3_Cost+BA15*Slot4_Cost+BK15*Slot5_Cost+BU15*Slot6_Cost+CE15*Slot7_Cost+CO15*Slot8_Cost+CY15*Slot9_Cost+DI15*Slot10_Cost+DS15*Slot11_Cost+EC15*Slot12_Cost+EM15*Slot13_Cost+EW15*Slot14_Cost+FG15*Slot15_Cost+FQ15*Slot16_Cost+GA15*Slot17_Cost+GK15*Slot18_Cost+GU15*Slot19_Cost+HE15*Slot20_Cost</f>
        <v>0</v>
      </c>
      <c r="HR15" s="20" t="n">
        <f aca="false">HM15</f>
        <v>144621.834984468</v>
      </c>
      <c r="HS15" s="20" t="n">
        <f aca="false">H15-I15-S15</f>
        <v>9028.29323766385</v>
      </c>
      <c r="HT15" s="20" t="n">
        <f aca="false">IF(B15=0,IF(AND(Has_q6=1,In_q6=4),PR_ShareVaries*(MAX(0,HS15)/12),MIN(IF(Has_q6=1,CHOOSE(In_q6+1,PR_SaveB1,PR_SaveB2,PR_SaveB3,PR_SaveB4,0),AS_NoAnswer),AS_SaveShare*(MAX(0,HS15)/12))),HT14)</f>
        <v>67.3316893520437</v>
      </c>
      <c r="HU15" s="20" t="n">
        <f aca="false">IF(HS15&gt;=0,1,0)</f>
        <v>1</v>
      </c>
      <c r="HV15" s="20" t="n">
        <f aca="false">MAX(0,HS15/12/F15)</f>
        <v>654.972714463286</v>
      </c>
      <c r="HW15" s="20" t="n">
        <f aca="false">IF(AND(Has_q6=1,In_q6=4),PR_ShareVaries*(HV15),MIN(IF(Has_q6=1,CHOOSE(In_q6+1,PR_SaveB1,PR_SaveB2,PR_SaveB3,PR_SaveB4,0),AS_NoAnswer),AS_SaveShare*(HV15)))</f>
        <v>327.486357231643</v>
      </c>
      <c r="HX15" s="20" t="n">
        <f aca="false">IF(Has_saveM=1,IF(In_saveUp="Yes",1,IF(In_saveUp="No",0,IF(In_saveM&gt;=HT15-0.5,1,0))),0)</f>
        <v>0</v>
      </c>
      <c r="HY15" s="20" t="n">
        <f aca="false">IF(Has_saveM=1,MIN(HV15,IF(HX15=1,MAX(In_saveM,HW15),MIN(In_saveM,HW15))),HW15)</f>
        <v>327.486357231643</v>
      </c>
      <c r="HZ15" s="20" t="n">
        <f aca="false">IF(G15=1,HY15*12*F15,0)</f>
        <v>4514.14661883193</v>
      </c>
      <c r="IA15" s="20" t="n">
        <f aca="false">MAX(0,HZ15+IF(AND(WI_Retire=0,WI_M&lt;0,G15=1),WI_M*12*F15,0))</f>
        <v>4514.14661883193</v>
      </c>
      <c r="IB15" s="20" t="n">
        <f aca="false">Slot1_IsWG*W15+Slot2_IsWG*AH15+Slot3_IsWG*AR15+Slot4_IsWG*BB15+Slot5_IsWG*BL15+Slot6_IsWG*BV15+Slot7_IsWG*CF15+Slot8_IsWG*CP15+Slot9_IsWG*CZ15+Slot10_IsWG*DJ15+Slot11_IsWG*DT15+Slot12_IsWG*ED15+Slot13_IsWG*EN15+Slot14_IsWG*EX15+Slot15_IsWG*FH15+Slot16_IsWG*FR15+Slot17_IsWG*GB15+Slot18_IsWG*GL15+Slot19_IsWG*GV15+Slot20_IsWG*HF15</f>
        <v>0</v>
      </c>
      <c r="IC15" s="20" t="n">
        <f aca="false">IF(AND(WI_Retire=0,WI_M&gt;0,G15=1,IB15&gt;=1),WI_M*12*F15,0)</f>
        <v>0</v>
      </c>
      <c r="ID15" s="20" t="n">
        <f aca="false">IF(HU15=1,MIN(IA15,HS15),0)</f>
        <v>4514.14661883193</v>
      </c>
      <c r="IE15" s="20" t="n">
        <f aca="false">IF(HU15=1,MIN(IC15,HS15-ID15),0)</f>
        <v>0</v>
      </c>
      <c r="IF15" s="20" t="n">
        <f aca="false">IF(W15=1,IF(ABS((1+AS_Wage)/(1+Slot1_Rate)-1)&lt;0.000000000001,(Slot1_Age-D15)*(1+Slot1_Rate)^(Slot1_Age-D15),(1+Slot1_Rate)^(Slot1_Age-D15)*(1-((1+AS_Wage)/(1+Slot1_Rate))^(Slot1_Age-D15))/(1-(1+AS_Wage)/(1+Slot1_Rate))),1)</f>
        <v>1</v>
      </c>
      <c r="IG15" s="20" t="n">
        <f aca="false">IF(AND(HU15=1,IE15&gt;0,Slot1_IsWG=1,W15=1),MAX(0,(Slot1_Cost-X15*(1+Slot1_Rate)^(Slot1_Age-D15))/IF15),0)</f>
        <v>0</v>
      </c>
      <c r="IH15" s="20" t="n">
        <f aca="false">IF(AND(HU15=1,IE15&gt;0,Slot1_IsWG=1,W15=1),MIN(IE15,IG15),0)</f>
        <v>0</v>
      </c>
      <c r="II15" s="20" t="n">
        <f aca="false">X15+IH15</f>
        <v>0</v>
      </c>
      <c r="IJ15" s="20" t="n">
        <f aca="false">IF(W15=1,MAX(0,(Slot1_Cost-II15*(1+Slot1_Rate)^(Slot1_Age-D15))/IF15),0)</f>
        <v>0</v>
      </c>
      <c r="IK15" s="20" t="n">
        <f aca="false">IF(W15=1,MAX(0,(Slot1_Cost-X15*(1+Slot1_Rate)^(Slot1_Age-D15))/IF15),0)</f>
        <v>0</v>
      </c>
      <c r="IL15" s="20" t="n">
        <f aca="false">IF(AND(HU15=1,W15=1),MIN(ID15,IJ15),0)</f>
        <v>0</v>
      </c>
      <c r="IM15" s="20" t="n">
        <f aca="false">ID15-IL15</f>
        <v>4514.14661883193</v>
      </c>
      <c r="IN15" s="20" t="n">
        <f aca="false">IF(AH15=1,IF(ABS((1+AS_Wage)/(1+Slot2_Rate)-1)&lt;0.000000000001,(Slot2_Age-D15)*(1+Slot2_Rate)^(Slot2_Age-D15),(1+Slot2_Rate)^(Slot2_Age-D15)*(1-((1+AS_Wage)/(1+Slot2_Rate))^(Slot2_Age-D15))/(1-(1+AS_Wage)/(1+Slot2_Rate))),1)</f>
        <v>1</v>
      </c>
      <c r="IO15" s="20" t="n">
        <f aca="false">IF(AND(HU15=1,IE15&gt;0,Slot2_IsWG=1,AH15=1),MAX(0,(Slot2_Cost-AI15*(1+Slot2_Rate)^(Slot2_Age-D15))/IN15),0)</f>
        <v>0</v>
      </c>
      <c r="IP15" s="20" t="n">
        <f aca="false">IF(AND(HU15=1,IE15&gt;0,Slot2_IsWG=1,AH15=1),MIN(IE15,IO15),0)</f>
        <v>0</v>
      </c>
      <c r="IQ15" s="20" t="n">
        <f aca="false">AI15+IP15</f>
        <v>0</v>
      </c>
      <c r="IR15" s="20" t="n">
        <f aca="false">IF(AH15=1,MAX(0,(Slot2_Cost-IQ15*(1+Slot2_Rate)^(Slot2_Age-D15))/IN15),0)</f>
        <v>0</v>
      </c>
      <c r="IS15" s="20" t="n">
        <f aca="false">IF(AH15=1,MAX(0,(Slot2_Cost-AI15*(1+Slot2_Rate)^(Slot2_Age-D15))/IN15),0)</f>
        <v>0</v>
      </c>
      <c r="IT15" s="20" t="n">
        <f aca="false">IF(AND(HU15=1,AH15=1),MIN(IM15,IR15),0)</f>
        <v>0</v>
      </c>
      <c r="IU15" s="20" t="n">
        <f aca="false">IM15-IT15</f>
        <v>4514.14661883193</v>
      </c>
      <c r="IV15" s="20" t="n">
        <f aca="false">IF(AR15=1,IF(ABS((1+AS_Wage)/(1+Slot3_Rate)-1)&lt;0.000000000001,(Slot3_Age-D15)*(1+Slot3_Rate)^(Slot3_Age-D15),(1+Slot3_Rate)^(Slot3_Age-D15)*(1-((1+AS_Wage)/(1+Slot3_Rate))^(Slot3_Age-D15))/(1-(1+AS_Wage)/(1+Slot3_Rate))),1)</f>
        <v>3.252785256</v>
      </c>
      <c r="IW15" s="20" t="n">
        <f aca="false">IF(AND(HU15=1,IE15&gt;0,Slot3_IsWG=1,AR15=1),MAX(0,(Slot3_Cost-AS15*(1+Slot3_Rate)^(Slot3_Age-D15))/IV15),0)</f>
        <v>0</v>
      </c>
      <c r="IX15" s="20" t="n">
        <f aca="false">IF(AND(HU15=1,IE15&gt;0,Slot3_IsWG=1,AR15=1),MIN(IE15,IW15),0)</f>
        <v>0</v>
      </c>
      <c r="IY15" s="20" t="n">
        <f aca="false">AS15+IX15</f>
        <v>13960.6870096001</v>
      </c>
      <c r="IZ15" s="20" t="n">
        <f aca="false">IF(AR15=1,MAX(0,(Slot3_Cost-IY15*(1+Slot3_Rate)^(Slot3_Age-D15))/IV15),0)</f>
        <v>14102.235206731</v>
      </c>
      <c r="JA15" s="20" t="n">
        <f aca="false">IF(AR15=1,MAX(0,(Slot3_Cost-AS15*(1+Slot3_Rate)^(Slot3_Age-D15))/IV15),0)</f>
        <v>14102.235206731</v>
      </c>
      <c r="JB15" s="20" t="n">
        <f aca="false">IF(AND(HU15=1,AR15=1),MIN(IU15,IZ15),0)</f>
        <v>4514.14661883193</v>
      </c>
      <c r="JC15" s="20" t="n">
        <f aca="false">IU15-JB15</f>
        <v>0</v>
      </c>
      <c r="JD15" s="20" t="n">
        <f aca="false">IF(BB15=1,IF(ABS((1+AS_Wage)/(1+Slot4_Rate)-1)&lt;0.000000000001,(Slot4_Age-D15)*(1+Slot4_Rate)^(Slot4_Age-D15),(1+Slot4_Rate)^(Slot4_Age-D15)*(1-((1+AS_Wage)/(1+Slot4_Rate))^(Slot4_Age-D15))/(1-(1+AS_Wage)/(1+Slot4_Rate))),1)</f>
        <v>13.1554321317536</v>
      </c>
      <c r="JE15" s="20" t="n">
        <f aca="false">IF(AND(HU15=1,IE15&gt;0,Slot4_IsWG=1,BB15=1),MAX(0,(Slot4_Cost-BC15*(1+Slot4_Rate)^(Slot4_Age-D15))/JD15),0)</f>
        <v>0</v>
      </c>
      <c r="JF15" s="20" t="n">
        <f aca="false">IF(AND(HU15=1,IE15&gt;0,Slot4_IsWG=1,BB15=1),MIN(IE15,JE15),0)</f>
        <v>0</v>
      </c>
      <c r="JG15" s="20" t="n">
        <f aca="false">BC15+JF15</f>
        <v>0</v>
      </c>
      <c r="JH15" s="20" t="n">
        <f aca="false">IF(BB15=1,MAX(0,(Slot4_Cost-JG15*(1+Slot4_Rate)^(Slot4_Age-D15))/JD15),0)</f>
        <v>3042.08141944893</v>
      </c>
      <c r="JI15" s="20" t="n">
        <f aca="false">IF(BB15=1,MAX(0,(Slot4_Cost-BC15*(1+Slot4_Rate)^(Slot4_Age-D15))/JD15),0)</f>
        <v>3042.08141944893</v>
      </c>
      <c r="JJ15" s="20" t="n">
        <f aca="false">IF(AND(HU15=1,BB15=1),MIN(JC15,JH15),0)</f>
        <v>0</v>
      </c>
      <c r="JK15" s="20" t="n">
        <f aca="false">JC15-JJ15</f>
        <v>0</v>
      </c>
      <c r="JL15" s="20" t="n">
        <f aca="false">IF(BL15=1,IF(ABS((1+AS_Wage)/(1+Slot5_Rate)-1)&lt;0.000000000001,(Slot5_Age-D15)*(1+Slot5_Rate)^(Slot5_Age-D15),(1+Slot5_Rate)^(Slot5_Age-D15)*(1-((1+AS_Wage)/(1+Slot5_Rate))^(Slot5_Age-D15))/(1-(1+AS_Wage)/(1+Slot5_Rate))),1)</f>
        <v>1</v>
      </c>
      <c r="JM15" s="20" t="n">
        <f aca="false">IF(AND(HU15=1,IE15&gt;0,Slot5_IsWG=1,BL15=1),MAX(0,(Slot5_Cost-BM15*(1+Slot5_Rate)^(Slot5_Age-D15))/JL15),0)</f>
        <v>0</v>
      </c>
      <c r="JN15" s="20" t="n">
        <f aca="false">IF(AND(HU15=1,IE15&gt;0,Slot5_IsWG=1,BL15=1),MIN(IE15,JM15),0)</f>
        <v>0</v>
      </c>
      <c r="JO15" s="20" t="n">
        <f aca="false">BM15+JN15</f>
        <v>0</v>
      </c>
      <c r="JP15" s="20" t="n">
        <f aca="false">IF(BL15=1,MAX(0,(Slot5_Cost-JO15*(1+Slot5_Rate)^(Slot5_Age-D15))/JL15),0)</f>
        <v>0</v>
      </c>
      <c r="JQ15" s="20" t="n">
        <f aca="false">IF(BL15=1,MAX(0,(Slot5_Cost-BM15*(1+Slot5_Rate)^(Slot5_Age-D15))/JL15),0)</f>
        <v>0</v>
      </c>
      <c r="JR15" s="20" t="n">
        <f aca="false">IF(AND(HU15=1,BL15=1),MIN(JK15,JP15),0)</f>
        <v>0</v>
      </c>
      <c r="JS15" s="20" t="n">
        <f aca="false">JK15-JR15</f>
        <v>0</v>
      </c>
      <c r="JT15" s="20" t="n">
        <f aca="false">IF(BV15=1,IF(ABS((1+AS_Wage)/(1+Slot6_Rate)-1)&lt;0.000000000001,(Slot6_Age-D15)*(1+Slot6_Rate)^(Slot6_Age-D15),(1+Slot6_Rate)^(Slot6_Age-D15)*(1-((1+AS_Wage)/(1+Slot6_Rate))^(Slot6_Age-D15))/(1-(1+AS_Wage)/(1+Slot6_Rate))),1)</f>
        <v>1</v>
      </c>
      <c r="JU15" s="20" t="n">
        <f aca="false">IF(AND(HU15=1,IE15&gt;0,Slot6_IsWG=1,BV15=1),MAX(0,(Slot6_Cost-BW15*(1+Slot6_Rate)^(Slot6_Age-D15))/JT15),0)</f>
        <v>0</v>
      </c>
      <c r="JV15" s="20" t="n">
        <f aca="false">IF(AND(HU15=1,IE15&gt;0,Slot6_IsWG=1,BV15=1),MIN(IE15,JU15),0)</f>
        <v>0</v>
      </c>
      <c r="JW15" s="20" t="n">
        <f aca="false">BW15+JV15</f>
        <v>0</v>
      </c>
      <c r="JX15" s="20" t="n">
        <f aca="false">IF(BV15=1,MAX(0,(Slot6_Cost-JW15*(1+Slot6_Rate)^(Slot6_Age-D15))/JT15),0)</f>
        <v>0</v>
      </c>
      <c r="JY15" s="20" t="n">
        <f aca="false">IF(BV15=1,MAX(0,(Slot6_Cost-BW15*(1+Slot6_Rate)^(Slot6_Age-D15))/JT15),0)</f>
        <v>0</v>
      </c>
      <c r="JZ15" s="20" t="n">
        <f aca="false">IF(AND(HU15=1,BV15=1),MIN(JS15,JX15),0)</f>
        <v>0</v>
      </c>
      <c r="KA15" s="20" t="n">
        <f aca="false">JS15-JZ15</f>
        <v>0</v>
      </c>
      <c r="KB15" s="20" t="n">
        <f aca="false">IF(CF15=1,IF(ABS((1+AS_Wage)/(1+Slot7_Rate)-1)&lt;0.000000000001,(Slot7_Age-D15)*(1+Slot7_Rate)^(Slot7_Age-D15),(1+Slot7_Rate)^(Slot7_Age-D15)*(1-((1+AS_Wage)/(1+Slot7_Rate))^(Slot7_Age-D15))/(1-(1+AS_Wage)/(1+Slot7_Rate))),1)</f>
        <v>1</v>
      </c>
      <c r="KC15" s="20" t="n">
        <f aca="false">IF(AND(HU15=1,IE15&gt;0,Slot7_IsWG=1,CF15=1),MAX(0,(Slot7_Cost-CG15*(1+Slot7_Rate)^(Slot7_Age-D15))/KB15),0)</f>
        <v>0</v>
      </c>
      <c r="KD15" s="20" t="n">
        <f aca="false">IF(AND(HU15=1,IE15&gt;0,Slot7_IsWG=1,CF15=1),MIN(IE15,KC15),0)</f>
        <v>0</v>
      </c>
      <c r="KE15" s="20" t="n">
        <f aca="false">CG15+KD15</f>
        <v>0</v>
      </c>
      <c r="KF15" s="20" t="n">
        <f aca="false">IF(CF15=1,MAX(0,(Slot7_Cost-KE15*(1+Slot7_Rate)^(Slot7_Age-D15))/KB15),0)</f>
        <v>0</v>
      </c>
      <c r="KG15" s="20" t="n">
        <f aca="false">IF(CF15=1,MAX(0,(Slot7_Cost-CG15*(1+Slot7_Rate)^(Slot7_Age-D15))/KB15),0)</f>
        <v>0</v>
      </c>
      <c r="KH15" s="20" t="n">
        <f aca="false">IF(AND(HU15=1,CF15=1),MIN(KA15,KF15),0)</f>
        <v>0</v>
      </c>
      <c r="KI15" s="20" t="n">
        <f aca="false">KA15-KH15</f>
        <v>0</v>
      </c>
      <c r="KJ15" s="20" t="n">
        <f aca="false">IF(CP15=1,IF(ABS((1+AS_Wage)/(1+Slot8_Rate)-1)&lt;0.000000000001,(Slot8_Age-D15)*(1+Slot8_Rate)^(Slot8_Age-D15),(1+Slot8_Rate)^(Slot8_Age-D15)*(1-((1+AS_Wage)/(1+Slot8_Rate))^(Slot8_Age-D15))/(1-(1+AS_Wage)/(1+Slot8_Rate))),1)</f>
        <v>1</v>
      </c>
      <c r="KK15" s="20" t="n">
        <f aca="false">IF(AND(HU15=1,IE15&gt;0,Slot8_IsWG=1,CP15=1),MAX(0,(Slot8_Cost-CQ15*(1+Slot8_Rate)^(Slot8_Age-D15))/KJ15),0)</f>
        <v>0</v>
      </c>
      <c r="KL15" s="20" t="n">
        <f aca="false">IF(AND(HU15=1,IE15&gt;0,Slot8_IsWG=1,CP15=1),MIN(IE15,KK15),0)</f>
        <v>0</v>
      </c>
      <c r="KM15" s="20" t="n">
        <f aca="false">CQ15+KL15</f>
        <v>0</v>
      </c>
      <c r="KN15" s="20" t="n">
        <f aca="false">IF(CP15=1,MAX(0,(Slot8_Cost-KM15*(1+Slot8_Rate)^(Slot8_Age-D15))/KJ15),0)</f>
        <v>0</v>
      </c>
      <c r="KO15" s="20" t="n">
        <f aca="false">IF(CP15=1,MAX(0,(Slot8_Cost-CQ15*(1+Slot8_Rate)^(Slot8_Age-D15))/KJ15),0)</f>
        <v>0</v>
      </c>
      <c r="KP15" s="20" t="n">
        <f aca="false">IF(AND(HU15=1,CP15=1),MIN(KI15,KN15),0)</f>
        <v>0</v>
      </c>
      <c r="KQ15" s="20" t="n">
        <f aca="false">KI15-KP15</f>
        <v>0</v>
      </c>
      <c r="KR15" s="20" t="n">
        <f aca="false">IF(CZ15=1,IF(ABS((1+AS_Wage)/(1+Slot9_Rate)-1)&lt;0.000000000001,(Slot9_Age-D15)*(1+Slot9_Rate)^(Slot9_Age-D15),(1+Slot9_Rate)^(Slot9_Age-D15)*(1-((1+AS_Wage)/(1+Slot9_Rate))^(Slot9_Age-D15))/(1-(1+AS_Wage)/(1+Slot9_Rate))),1)</f>
        <v>1</v>
      </c>
      <c r="KS15" s="20" t="n">
        <f aca="false">IF(AND(HU15=1,IE15&gt;0,Slot9_IsWG=1,CZ15=1),MAX(0,(Slot9_Cost-DA15*(1+Slot9_Rate)^(Slot9_Age-D15))/KR15),0)</f>
        <v>0</v>
      </c>
      <c r="KT15" s="20" t="n">
        <f aca="false">IF(AND(HU15=1,IE15&gt;0,Slot9_IsWG=1,CZ15=1),MIN(IE15,KS15),0)</f>
        <v>0</v>
      </c>
      <c r="KU15" s="20" t="n">
        <f aca="false">DA15+KT15</f>
        <v>0</v>
      </c>
      <c r="KV15" s="20" t="n">
        <f aca="false">IF(CZ15=1,MAX(0,(Slot9_Cost-KU15*(1+Slot9_Rate)^(Slot9_Age-D15))/KR15),0)</f>
        <v>0</v>
      </c>
      <c r="KW15" s="20" t="n">
        <f aca="false">IF(CZ15=1,MAX(0,(Slot9_Cost-DA15*(1+Slot9_Rate)^(Slot9_Age-D15))/KR15),0)</f>
        <v>0</v>
      </c>
      <c r="KX15" s="20" t="n">
        <f aca="false">IF(AND(HU15=1,CZ15=1),MIN(KQ15,KV15),0)</f>
        <v>0</v>
      </c>
      <c r="KY15" s="20" t="n">
        <f aca="false">KQ15-KX15</f>
        <v>0</v>
      </c>
      <c r="KZ15" s="20" t="n">
        <f aca="false">IF(DJ15=1,IF(ABS((1+AS_Wage)/(1+Slot10_Rate)-1)&lt;0.000000000001,(Slot10_Age-D15)*(1+Slot10_Rate)^(Slot10_Age-D15),(1+Slot10_Rate)^(Slot10_Age-D15)*(1-((1+AS_Wage)/(1+Slot10_Rate))^(Slot10_Age-D15))/(1-(1+AS_Wage)/(1+Slot10_Rate))),1)</f>
        <v>1</v>
      </c>
      <c r="LA15" s="20" t="n">
        <f aca="false">IF(AND(HU15=1,IE15&gt;0,Slot10_IsWG=1,DJ15=1),MAX(0,(Slot10_Cost-DK15*(1+Slot10_Rate)^(Slot10_Age-D15))/KZ15),0)</f>
        <v>0</v>
      </c>
      <c r="LB15" s="20" t="n">
        <f aca="false">IF(AND(HU15=1,IE15&gt;0,Slot10_IsWG=1,DJ15=1),MIN(IE15,LA15),0)</f>
        <v>0</v>
      </c>
      <c r="LC15" s="20" t="n">
        <f aca="false">DK15+LB15</f>
        <v>0</v>
      </c>
      <c r="LD15" s="20" t="n">
        <f aca="false">IF(DJ15=1,MAX(0,(Slot10_Cost-LC15*(1+Slot10_Rate)^(Slot10_Age-D15))/KZ15),0)</f>
        <v>0</v>
      </c>
      <c r="LE15" s="20" t="n">
        <f aca="false">IF(DJ15=1,MAX(0,(Slot10_Cost-DK15*(1+Slot10_Rate)^(Slot10_Age-D15))/KZ15),0)</f>
        <v>0</v>
      </c>
      <c r="LF15" s="20" t="n">
        <f aca="false">IF(AND(HU15=1,DJ15=1),MIN(KY15,LD15),0)</f>
        <v>0</v>
      </c>
      <c r="LG15" s="20" t="n">
        <f aca="false">KY15-LF15</f>
        <v>0</v>
      </c>
      <c r="LH15" s="20" t="n">
        <f aca="false">IF(DT15=1,IF(ABS((1+AS_Wage)/(1+Slot11_Rate)-1)&lt;0.000000000001,(Slot11_Age-D15)*(1+Slot11_Rate)^(Slot11_Age-D15),(1+Slot11_Rate)^(Slot11_Age-D15)*(1-((1+AS_Wage)/(1+Slot11_Rate))^(Slot11_Age-D15))/(1-(1+AS_Wage)/(1+Slot11_Rate))),1)</f>
        <v>1</v>
      </c>
      <c r="LI15" s="20" t="n">
        <f aca="false">IF(AND(HU15=1,IE15&gt;0,Slot11_IsWG=1,DT15=1),MAX(0,(Slot11_Cost-DU15*(1+Slot11_Rate)^(Slot11_Age-D15))/LH15),0)</f>
        <v>0</v>
      </c>
      <c r="LJ15" s="20" t="n">
        <f aca="false">IF(AND(HU15=1,IE15&gt;0,Slot11_IsWG=1,DT15=1),MIN(IE15,LI15),0)</f>
        <v>0</v>
      </c>
      <c r="LK15" s="20" t="n">
        <f aca="false">DU15+LJ15</f>
        <v>0</v>
      </c>
      <c r="LL15" s="20" t="n">
        <f aca="false">IF(DT15=1,MAX(0,(Slot11_Cost-LK15*(1+Slot11_Rate)^(Slot11_Age-D15))/LH15),0)</f>
        <v>0</v>
      </c>
      <c r="LM15" s="20" t="n">
        <f aca="false">IF(DT15=1,MAX(0,(Slot11_Cost-DU15*(1+Slot11_Rate)^(Slot11_Age-D15))/LH15),0)</f>
        <v>0</v>
      </c>
      <c r="LN15" s="20" t="n">
        <f aca="false">IF(AND(HU15=1,DT15=1),MIN(LG15,LL15),0)</f>
        <v>0</v>
      </c>
      <c r="LO15" s="20" t="n">
        <f aca="false">LG15-LN15</f>
        <v>0</v>
      </c>
      <c r="LP15" s="20" t="n">
        <f aca="false">IF(ED15=1,IF(ABS((1+AS_Wage)/(1+Slot12_Rate)-1)&lt;0.000000000001,(Slot12_Age-D15)*(1+Slot12_Rate)^(Slot12_Age-D15),(1+Slot12_Rate)^(Slot12_Age-D15)*(1-((1+AS_Wage)/(1+Slot12_Rate))^(Slot12_Age-D15))/(1-(1+AS_Wage)/(1+Slot12_Rate))),1)</f>
        <v>1</v>
      </c>
      <c r="LQ15" s="20" t="n">
        <f aca="false">IF(AND(HU15=1,IE15&gt;0,Slot12_IsWG=1,ED15=1),MAX(0,(Slot12_Cost-EE15*(1+Slot12_Rate)^(Slot12_Age-D15))/LP15),0)</f>
        <v>0</v>
      </c>
      <c r="LR15" s="20" t="n">
        <f aca="false">IF(AND(HU15=1,IE15&gt;0,Slot12_IsWG=1,ED15=1),MIN(IE15,LQ15),0)</f>
        <v>0</v>
      </c>
      <c r="LS15" s="20" t="n">
        <f aca="false">EE15+LR15</f>
        <v>0</v>
      </c>
      <c r="LT15" s="20" t="n">
        <f aca="false">IF(ED15=1,MAX(0,(Slot12_Cost-LS15*(1+Slot12_Rate)^(Slot12_Age-D15))/LP15),0)</f>
        <v>0</v>
      </c>
      <c r="LU15" s="20" t="n">
        <f aca="false">IF(ED15=1,MAX(0,(Slot12_Cost-EE15*(1+Slot12_Rate)^(Slot12_Age-D15))/LP15),0)</f>
        <v>0</v>
      </c>
      <c r="LV15" s="20" t="n">
        <f aca="false">IF(AND(HU15=1,ED15=1),MIN(LO15,LT15),0)</f>
        <v>0</v>
      </c>
      <c r="LW15" s="20" t="n">
        <f aca="false">LO15-LV15</f>
        <v>0</v>
      </c>
      <c r="LX15" s="20" t="n">
        <f aca="false">IF(EN15=1,IF(ABS((1+AS_Wage)/(1+Slot13_Rate)-1)&lt;0.000000000001,(Slot13_Age-D15)*(1+Slot13_Rate)^(Slot13_Age-D15),(1+Slot13_Rate)^(Slot13_Age-D15)*(1-((1+AS_Wage)/(1+Slot13_Rate))^(Slot13_Age-D15))/(1-(1+AS_Wage)/(1+Slot13_Rate))),1)</f>
        <v>1</v>
      </c>
      <c r="LY15" s="20" t="n">
        <f aca="false">IF(AND(HU15=1,IE15&gt;0,Slot13_IsWG=1,EN15=1),MAX(0,(Slot13_Cost-EO15*(1+Slot13_Rate)^(Slot13_Age-D15))/LX15),0)</f>
        <v>0</v>
      </c>
      <c r="LZ15" s="20" t="n">
        <f aca="false">IF(AND(HU15=1,IE15&gt;0,Slot13_IsWG=1,EN15=1),MIN(IE15,LY15),0)</f>
        <v>0</v>
      </c>
      <c r="MA15" s="20" t="n">
        <f aca="false">EO15+LZ15</f>
        <v>0</v>
      </c>
      <c r="MB15" s="20" t="n">
        <f aca="false">IF(EN15=1,MAX(0,(Slot13_Cost-MA15*(1+Slot13_Rate)^(Slot13_Age-D15))/LX15),0)</f>
        <v>0</v>
      </c>
      <c r="MC15" s="20" t="n">
        <f aca="false">IF(EN15=1,MAX(0,(Slot13_Cost-EO15*(1+Slot13_Rate)^(Slot13_Age-D15))/LX15),0)</f>
        <v>0</v>
      </c>
      <c r="MD15" s="20" t="n">
        <f aca="false">IF(AND(HU15=1,EN15=1),MIN(LW15,MB15),0)</f>
        <v>0</v>
      </c>
      <c r="ME15" s="20" t="n">
        <f aca="false">LW15-MD15</f>
        <v>0</v>
      </c>
      <c r="MF15" s="20" t="n">
        <f aca="false">IF(EX15=1,IF(ABS((1+AS_Wage)/(1+Slot14_Rate)-1)&lt;0.000000000001,(Slot14_Age-D15)*(1+Slot14_Rate)^(Slot14_Age-D15),(1+Slot14_Rate)^(Slot14_Age-D15)*(1-((1+AS_Wage)/(1+Slot14_Rate))^(Slot14_Age-D15))/(1-(1+AS_Wage)/(1+Slot14_Rate))),1)</f>
        <v>1</v>
      </c>
      <c r="MG15" s="20" t="n">
        <f aca="false">IF(AND(HU15=1,IE15&gt;0,Slot14_IsWG=1,EX15=1),MAX(0,(Slot14_Cost-EY15*(1+Slot14_Rate)^(Slot14_Age-D15))/MF15),0)</f>
        <v>0</v>
      </c>
      <c r="MH15" s="20" t="n">
        <f aca="false">IF(AND(HU15=1,IE15&gt;0,Slot14_IsWG=1,EX15=1),MIN(IE15,MG15),0)</f>
        <v>0</v>
      </c>
      <c r="MI15" s="20" t="n">
        <f aca="false">EY15+MH15</f>
        <v>0</v>
      </c>
      <c r="MJ15" s="20" t="n">
        <f aca="false">IF(EX15=1,MAX(0,(Slot14_Cost-MI15*(1+Slot14_Rate)^(Slot14_Age-D15))/MF15),0)</f>
        <v>0</v>
      </c>
      <c r="MK15" s="20" t="n">
        <f aca="false">IF(EX15=1,MAX(0,(Slot14_Cost-EY15*(1+Slot14_Rate)^(Slot14_Age-D15))/MF15),0)</f>
        <v>0</v>
      </c>
      <c r="ML15" s="20" t="n">
        <f aca="false">IF(AND(HU15=1,EX15=1),MIN(ME15,MJ15),0)</f>
        <v>0</v>
      </c>
      <c r="MM15" s="20" t="n">
        <f aca="false">ME15-ML15</f>
        <v>0</v>
      </c>
      <c r="MN15" s="20" t="n">
        <f aca="false">IF(FH15=1,IF(ABS((1+AS_Wage)/(1+Slot15_Rate)-1)&lt;0.000000000001,(Slot15_Age-D15)*(1+Slot15_Rate)^(Slot15_Age-D15),(1+Slot15_Rate)^(Slot15_Age-D15)*(1-((1+AS_Wage)/(1+Slot15_Rate))^(Slot15_Age-D15))/(1-(1+AS_Wage)/(1+Slot15_Rate))),1)</f>
        <v>1</v>
      </c>
      <c r="MO15" s="20" t="n">
        <f aca="false">IF(AND(HU15=1,IE15&gt;0,Slot15_IsWG=1,FH15=1),MAX(0,(Slot15_Cost-FI15*(1+Slot15_Rate)^(Slot15_Age-D15))/MN15),0)</f>
        <v>0</v>
      </c>
      <c r="MP15" s="20" t="n">
        <f aca="false">IF(AND(HU15=1,IE15&gt;0,Slot15_IsWG=1,FH15=1),MIN(IE15,MO15),0)</f>
        <v>0</v>
      </c>
      <c r="MQ15" s="20" t="n">
        <f aca="false">FI15+MP15</f>
        <v>0</v>
      </c>
      <c r="MR15" s="20" t="n">
        <f aca="false">IF(FH15=1,MAX(0,(Slot15_Cost-MQ15*(1+Slot15_Rate)^(Slot15_Age-D15))/MN15),0)</f>
        <v>0</v>
      </c>
      <c r="MS15" s="20" t="n">
        <f aca="false">IF(FH15=1,MAX(0,(Slot15_Cost-FI15*(1+Slot15_Rate)^(Slot15_Age-D15))/MN15),0)</f>
        <v>0</v>
      </c>
      <c r="MT15" s="20" t="n">
        <f aca="false">IF(AND(HU15=1,FH15=1),MIN(MM15,MR15),0)</f>
        <v>0</v>
      </c>
      <c r="MU15" s="20" t="n">
        <f aca="false">MM15-MT15</f>
        <v>0</v>
      </c>
      <c r="MV15" s="20" t="n">
        <f aca="false">IF(FR15=1,IF(ABS((1+AS_Wage)/(1+Slot16_Rate)-1)&lt;0.000000000001,(Slot16_Age-D15)*(1+Slot16_Rate)^(Slot16_Age-D15),(1+Slot16_Rate)^(Slot16_Age-D15)*(1-((1+AS_Wage)/(1+Slot16_Rate))^(Slot16_Age-D15))/(1-(1+AS_Wage)/(1+Slot16_Rate))),1)</f>
        <v>1</v>
      </c>
      <c r="MW15" s="20" t="n">
        <f aca="false">IF(AND(HU15=1,IE15&gt;0,Slot16_IsWG=1,FR15=1),MAX(0,(Slot16_Cost-FS15*(1+Slot16_Rate)^(Slot16_Age-D15))/MV15),0)</f>
        <v>0</v>
      </c>
      <c r="MX15" s="20" t="n">
        <f aca="false">IF(AND(HU15=1,IE15&gt;0,Slot16_IsWG=1,FR15=1),MIN(IE15,MW15),0)</f>
        <v>0</v>
      </c>
      <c r="MY15" s="20" t="n">
        <f aca="false">FS15+MX15</f>
        <v>0</v>
      </c>
      <c r="MZ15" s="20" t="n">
        <f aca="false">IF(FR15=1,MAX(0,(Slot16_Cost-MY15*(1+Slot16_Rate)^(Slot16_Age-D15))/MV15),0)</f>
        <v>0</v>
      </c>
      <c r="NA15" s="20" t="n">
        <f aca="false">IF(FR15=1,MAX(0,(Slot16_Cost-FS15*(1+Slot16_Rate)^(Slot16_Age-D15))/MV15),0)</f>
        <v>0</v>
      </c>
      <c r="NB15" s="20" t="n">
        <f aca="false">IF(AND(HU15=1,FR15=1),MIN(MU15,MZ15),0)</f>
        <v>0</v>
      </c>
      <c r="NC15" s="20" t="n">
        <f aca="false">MU15-NB15</f>
        <v>0</v>
      </c>
      <c r="ND15" s="20" t="n">
        <f aca="false">IF(GB15=1,IF(ABS((1+AS_Wage)/(1+Slot17_Rate)-1)&lt;0.000000000001,(Slot17_Age-D15)*(1+Slot17_Rate)^(Slot17_Age-D15),(1+Slot17_Rate)^(Slot17_Age-D15)*(1-((1+AS_Wage)/(1+Slot17_Rate))^(Slot17_Age-D15))/(1-(1+AS_Wage)/(1+Slot17_Rate))),1)</f>
        <v>1</v>
      </c>
      <c r="NE15" s="20" t="n">
        <f aca="false">IF(AND(HU15=1,IE15&gt;0,Slot17_IsWG=1,GB15=1),MAX(0,(Slot17_Cost-GC15*(1+Slot17_Rate)^(Slot17_Age-D15))/ND15),0)</f>
        <v>0</v>
      </c>
      <c r="NF15" s="20" t="n">
        <f aca="false">IF(AND(HU15=1,IE15&gt;0,Slot17_IsWG=1,GB15=1),MIN(IE15,NE15),0)</f>
        <v>0</v>
      </c>
      <c r="NG15" s="20" t="n">
        <f aca="false">GC15+NF15</f>
        <v>0</v>
      </c>
      <c r="NH15" s="20" t="n">
        <f aca="false">IF(GB15=1,MAX(0,(Slot17_Cost-NG15*(1+Slot17_Rate)^(Slot17_Age-D15))/ND15),0)</f>
        <v>0</v>
      </c>
      <c r="NI15" s="20" t="n">
        <f aca="false">IF(GB15=1,MAX(0,(Slot17_Cost-GC15*(1+Slot17_Rate)^(Slot17_Age-D15))/ND15),0)</f>
        <v>0</v>
      </c>
      <c r="NJ15" s="20" t="n">
        <f aca="false">IF(AND(HU15=1,GB15=1),MIN(NC15,NH15),0)</f>
        <v>0</v>
      </c>
      <c r="NK15" s="20" t="n">
        <f aca="false">NC15-NJ15</f>
        <v>0</v>
      </c>
      <c r="NL15" s="20" t="n">
        <f aca="false">IF(GL15=1,IF(ABS((1+AS_Wage)/(1+Slot18_Rate)-1)&lt;0.000000000001,(Slot18_Age-D15)*(1+Slot18_Rate)^(Slot18_Age-D15),(1+Slot18_Rate)^(Slot18_Age-D15)*(1-((1+AS_Wage)/(1+Slot18_Rate))^(Slot18_Age-D15))/(1-(1+AS_Wage)/(1+Slot18_Rate))),1)</f>
        <v>1</v>
      </c>
      <c r="NM15" s="20" t="n">
        <f aca="false">IF(AND(HU15=1,IE15&gt;0,Slot18_IsWG=1,GL15=1),MAX(0,(Slot18_Cost-GM15*(1+Slot18_Rate)^(Slot18_Age-D15))/NL15),0)</f>
        <v>0</v>
      </c>
      <c r="NN15" s="20" t="n">
        <f aca="false">IF(AND(HU15=1,IE15&gt;0,Slot18_IsWG=1,GL15=1),MIN(IE15,NM15),0)</f>
        <v>0</v>
      </c>
      <c r="NO15" s="20" t="n">
        <f aca="false">GM15+NN15</f>
        <v>0</v>
      </c>
      <c r="NP15" s="20" t="n">
        <f aca="false">IF(GL15=1,MAX(0,(Slot18_Cost-NO15*(1+Slot18_Rate)^(Slot18_Age-D15))/NL15),0)</f>
        <v>0</v>
      </c>
      <c r="NQ15" s="20" t="n">
        <f aca="false">IF(GL15=1,MAX(0,(Slot18_Cost-GM15*(1+Slot18_Rate)^(Slot18_Age-D15))/NL15),0)</f>
        <v>0</v>
      </c>
      <c r="NR15" s="20" t="n">
        <f aca="false">IF(AND(HU15=1,GL15=1),MIN(NK15,NP15),0)</f>
        <v>0</v>
      </c>
      <c r="NS15" s="20" t="n">
        <f aca="false">NK15-NR15</f>
        <v>0</v>
      </c>
      <c r="NT15" s="20" t="n">
        <f aca="false">IF(GV15=1,IF(ABS((1+AS_Wage)/(1+Slot19_Rate)-1)&lt;0.000000000001,(Slot19_Age-D15)*(1+Slot19_Rate)^(Slot19_Age-D15),(1+Slot19_Rate)^(Slot19_Age-D15)*(1-((1+AS_Wage)/(1+Slot19_Rate))^(Slot19_Age-D15))/(1-(1+AS_Wage)/(1+Slot19_Rate))),1)</f>
        <v>1</v>
      </c>
      <c r="NU15" s="20" t="n">
        <f aca="false">IF(AND(HU15=1,IE15&gt;0,Slot19_IsWG=1,GV15=1),MAX(0,(Slot19_Cost-GW15*(1+Slot19_Rate)^(Slot19_Age-D15))/NT15),0)</f>
        <v>0</v>
      </c>
      <c r="NV15" s="20" t="n">
        <f aca="false">IF(AND(HU15=1,IE15&gt;0,Slot19_IsWG=1,GV15=1),MIN(IE15,NU15),0)</f>
        <v>0</v>
      </c>
      <c r="NW15" s="20" t="n">
        <f aca="false">GW15+NV15</f>
        <v>0</v>
      </c>
      <c r="NX15" s="20" t="n">
        <f aca="false">IF(GV15=1,MAX(0,(Slot19_Cost-NW15*(1+Slot19_Rate)^(Slot19_Age-D15))/NT15),0)</f>
        <v>0</v>
      </c>
      <c r="NY15" s="20" t="n">
        <f aca="false">IF(GV15=1,MAX(0,(Slot19_Cost-GW15*(1+Slot19_Rate)^(Slot19_Age-D15))/NT15),0)</f>
        <v>0</v>
      </c>
      <c r="NZ15" s="20" t="n">
        <f aca="false">IF(AND(HU15=1,GV15=1),MIN(NS15,NX15),0)</f>
        <v>0</v>
      </c>
      <c r="OA15" s="20" t="n">
        <f aca="false">NS15-NZ15</f>
        <v>0</v>
      </c>
      <c r="OB15" s="20" t="n">
        <f aca="false">IF(HF15=1,IF(ABS((1+AS_Wage)/(1+Slot20_Rate)-1)&lt;0.000000000001,(Slot20_Age-D15)*(1+Slot20_Rate)^(Slot20_Age-D15),(1+Slot20_Rate)^(Slot20_Age-D15)*(1-((1+AS_Wage)/(1+Slot20_Rate))^(Slot20_Age-D15))/(1-(1+AS_Wage)/(1+Slot20_Rate))),1)</f>
        <v>1</v>
      </c>
      <c r="OC15" s="20" t="n">
        <f aca="false">IF(AND(HU15=1,IE15&gt;0,Slot20_IsWG=1,HF15=1),MAX(0,(Slot20_Cost-HG15*(1+Slot20_Rate)^(Slot20_Age-D15))/OB15),0)</f>
        <v>0</v>
      </c>
      <c r="OD15" s="20" t="n">
        <f aca="false">IF(AND(HU15=1,IE15&gt;0,Slot20_IsWG=1,HF15=1),MIN(IE15,OC15),0)</f>
        <v>0</v>
      </c>
      <c r="OE15" s="20" t="n">
        <f aca="false">HG15+OD15</f>
        <v>0</v>
      </c>
      <c r="OF15" s="20" t="n">
        <f aca="false">IF(HF15=1,MAX(0,(Slot20_Cost-OE15*(1+Slot20_Rate)^(Slot20_Age-D15))/OB15),0)</f>
        <v>0</v>
      </c>
      <c r="OG15" s="20" t="n">
        <f aca="false">IF(HF15=1,MAX(0,(Slot20_Cost-HG15*(1+Slot20_Rate)^(Slot20_Age-D15))/OB15),0)</f>
        <v>0</v>
      </c>
      <c r="OH15" s="20" t="n">
        <f aca="false">IF(AND(HU15=1,HF15=1),MIN(OA15,OF15),0)</f>
        <v>0</v>
      </c>
      <c r="OI15" s="20" t="n">
        <f aca="false">OA15-OH15</f>
        <v>0</v>
      </c>
      <c r="OJ15" s="20" t="n">
        <f aca="false">IE15-(IH15+IP15+IX15+JF15+JN15+JV15+KD15+KL15+KT15+LB15+LJ15+LR15+LZ15+MH15+MP15+MX15+NF15+NN15+NV15+OD15)</f>
        <v>0</v>
      </c>
      <c r="OK15" s="20" t="n">
        <f aca="false">IF(HU15=1,HS15-ID15-IE15,0)</f>
        <v>4514.14661883193</v>
      </c>
      <c r="OL15" s="20" t="n">
        <f aca="false">IF(HU15=0,-HS15,0)</f>
        <v>0</v>
      </c>
      <c r="OM15" s="20" t="n">
        <f aca="false">MIN(OL15,HK15)</f>
        <v>0</v>
      </c>
      <c r="ON15" s="20" t="n">
        <f aca="false">OL15-OM15</f>
        <v>0</v>
      </c>
      <c r="OO15" s="20" t="n">
        <f aca="false">MIN(ON15,HL15)</f>
        <v>0</v>
      </c>
      <c r="OP15" s="20" t="n">
        <f aca="false">ON15-OO15</f>
        <v>0</v>
      </c>
      <c r="OQ15" s="20" t="n">
        <f aca="false">IF(AND(HU15=0,HF15=1,OP15&gt;0),MIN(OP15,HG15),0)</f>
        <v>0</v>
      </c>
      <c r="OR15" s="20" t="n">
        <f aca="false">OP15-OQ15</f>
        <v>0</v>
      </c>
      <c r="OS15" s="20" t="n">
        <f aca="false">IF(AND(HU15=0,GV15=1,OR15&gt;0),MIN(OR15,GW15),0)</f>
        <v>0</v>
      </c>
      <c r="OT15" s="20" t="n">
        <f aca="false">OR15-OS15</f>
        <v>0</v>
      </c>
      <c r="OU15" s="20" t="n">
        <f aca="false">IF(AND(HU15=0,GL15=1,OT15&gt;0),MIN(OT15,GM15),0)</f>
        <v>0</v>
      </c>
      <c r="OV15" s="20" t="n">
        <f aca="false">OT15-OU15</f>
        <v>0</v>
      </c>
      <c r="OW15" s="20" t="n">
        <f aca="false">IF(AND(HU15=0,GB15=1,OV15&gt;0),MIN(OV15,GC15),0)</f>
        <v>0</v>
      </c>
      <c r="OX15" s="20" t="n">
        <f aca="false">OV15-OW15</f>
        <v>0</v>
      </c>
      <c r="OY15" s="20" t="n">
        <f aca="false">IF(AND(HU15=0,FR15=1,OX15&gt;0),MIN(OX15,FS15),0)</f>
        <v>0</v>
      </c>
      <c r="OZ15" s="20" t="n">
        <f aca="false">OX15-OY15</f>
        <v>0</v>
      </c>
      <c r="PA15" s="20" t="n">
        <f aca="false">IF(AND(HU15=0,FH15=1,OZ15&gt;0),MIN(OZ15,FI15),0)</f>
        <v>0</v>
      </c>
      <c r="PB15" s="20" t="n">
        <f aca="false">OZ15-PA15</f>
        <v>0</v>
      </c>
      <c r="PC15" s="20" t="n">
        <f aca="false">IF(AND(HU15=0,EX15=1,PB15&gt;0),MIN(PB15,EY15),0)</f>
        <v>0</v>
      </c>
      <c r="PD15" s="20" t="n">
        <f aca="false">PB15-PC15</f>
        <v>0</v>
      </c>
      <c r="PE15" s="20" t="n">
        <f aca="false">IF(AND(HU15=0,EN15=1,PD15&gt;0),MIN(PD15,EO15),0)</f>
        <v>0</v>
      </c>
      <c r="PF15" s="20" t="n">
        <f aca="false">PD15-PE15</f>
        <v>0</v>
      </c>
      <c r="PG15" s="20" t="n">
        <f aca="false">IF(AND(HU15=0,ED15=1,PF15&gt;0),MIN(PF15,EE15),0)</f>
        <v>0</v>
      </c>
      <c r="PH15" s="20" t="n">
        <f aca="false">PF15-PG15</f>
        <v>0</v>
      </c>
      <c r="PI15" s="20" t="n">
        <f aca="false">IF(AND(HU15=0,DT15=1,PH15&gt;0),MIN(PH15,DU15),0)</f>
        <v>0</v>
      </c>
      <c r="PJ15" s="20" t="n">
        <f aca="false">PH15-PI15</f>
        <v>0</v>
      </c>
      <c r="PK15" s="20" t="n">
        <f aca="false">IF(AND(HU15=0,DJ15=1,PJ15&gt;0),MIN(PJ15,DK15),0)</f>
        <v>0</v>
      </c>
      <c r="PL15" s="20" t="n">
        <f aca="false">PJ15-PK15</f>
        <v>0</v>
      </c>
      <c r="PM15" s="20" t="n">
        <f aca="false">IF(AND(HU15=0,CZ15=1,PL15&gt;0),MIN(PL15,DA15),0)</f>
        <v>0</v>
      </c>
      <c r="PN15" s="20" t="n">
        <f aca="false">PL15-PM15</f>
        <v>0</v>
      </c>
      <c r="PO15" s="20" t="n">
        <f aca="false">IF(AND(HU15=0,CP15=1,PN15&gt;0),MIN(PN15,CQ15),0)</f>
        <v>0</v>
      </c>
      <c r="PP15" s="20" t="n">
        <f aca="false">PN15-PO15</f>
        <v>0</v>
      </c>
      <c r="PQ15" s="20" t="n">
        <f aca="false">IF(AND(HU15=0,CF15=1,PP15&gt;0),MIN(PP15,CG15),0)</f>
        <v>0</v>
      </c>
      <c r="PR15" s="20" t="n">
        <f aca="false">PP15-PQ15</f>
        <v>0</v>
      </c>
      <c r="PS15" s="20" t="n">
        <f aca="false">IF(AND(HU15=0,BV15=1,PR15&gt;0),MIN(PR15,BW15),0)</f>
        <v>0</v>
      </c>
      <c r="PT15" s="20" t="n">
        <f aca="false">PR15-PS15</f>
        <v>0</v>
      </c>
      <c r="PU15" s="20" t="n">
        <f aca="false">IF(AND(HU15=0,BL15=1,PT15&gt;0),MIN(PT15,BM15),0)</f>
        <v>0</v>
      </c>
      <c r="PV15" s="20" t="n">
        <f aca="false">PT15-PU15</f>
        <v>0</v>
      </c>
      <c r="PW15" s="20" t="n">
        <f aca="false">IF(AND(HU15=0,BB15=1,PV15&gt;0),MIN(PV15,BC15),0)</f>
        <v>0</v>
      </c>
      <c r="PX15" s="20" t="n">
        <f aca="false">PV15-PW15</f>
        <v>0</v>
      </c>
      <c r="PY15" s="20" t="n">
        <f aca="false">IF(AND(HU15=0,AR15=1,PX15&gt;0),MIN(PX15,AS15),0)</f>
        <v>0</v>
      </c>
      <c r="PZ15" s="20" t="n">
        <f aca="false">PX15-PY15</f>
        <v>0</v>
      </c>
      <c r="QA15" s="20" t="n">
        <f aca="false">IF(AND(HU15=0,AH15=1,PZ15&gt;0),MIN(PZ15,AI15),0)</f>
        <v>0</v>
      </c>
      <c r="QB15" s="20" t="n">
        <f aca="false">PZ15-QA15</f>
        <v>0</v>
      </c>
      <c r="QC15" s="20" t="n">
        <f aca="false">IF(AND(HU15=0,W15=1,QB15&gt;0),MIN(QB15,X15),0)</f>
        <v>0</v>
      </c>
      <c r="QD15" s="20" t="n">
        <f aca="false">QB15-QC15</f>
        <v>0</v>
      </c>
      <c r="QE15" s="20" t="n">
        <f aca="false">IF(HU15=0,QD15,0)</f>
        <v>0</v>
      </c>
      <c r="QF15" s="20" t="n">
        <f aca="false">OM15+OO15+QC15+QA15+PY15+PW15+PU15+PS15+PQ15+PO15+PM15+PK15+PI15+PG15+PE15+PC15+PA15+OY15+OW15+OU15+OS15+OQ15</f>
        <v>0</v>
      </c>
      <c r="QG15" s="20" t="n">
        <f aca="false">IF(HU15=1,HK15+OJ15+OI15+IF(G15=1,0,OK15),HK15-OM15)</f>
        <v>0</v>
      </c>
      <c r="QH15" s="20" t="n">
        <f aca="false">HL15-OO15</f>
        <v>11958.8563832678</v>
      </c>
      <c r="QI15" s="20" t="n">
        <f aca="false">IF(HU15=1,IF(G15=1,ID15+IE15,HS15),0)</f>
        <v>4514.14661883193</v>
      </c>
      <c r="QJ15" s="20" t="n">
        <f aca="false">IF(HU15=1,IF(G15=1,HS15-ID15-IE15,0),0)</f>
        <v>4514.14661883193</v>
      </c>
      <c r="QK15" s="57" t="n">
        <f aca="false">'Plan holdings'!BM15</f>
        <v>0</v>
      </c>
      <c r="QL15" s="20" t="n">
        <f aca="false">QH15*(1+AS_Cash)</f>
        <v>12078.4449471005</v>
      </c>
      <c r="QM15" s="20" t="n">
        <f aca="false">IF(W15=1,IF(HU15=1,II15+IL15,X15-QC15)*(1+Slot1_Rate),0)</f>
        <v>0</v>
      </c>
      <c r="QN15" s="20" t="n">
        <f aca="false">IF(AND(HU15=1,W15=1),(IH15+IL15)/F15,0)</f>
        <v>0</v>
      </c>
      <c r="QO15" s="20" t="n">
        <f aca="false">IF(B15=0,IH15+IL15,0)</f>
        <v>0</v>
      </c>
      <c r="QP15" s="20" t="n">
        <f aca="false">IF(B15=0,IF(HU15=1,IJ15,IK15),0)</f>
        <v>0</v>
      </c>
      <c r="QQ15" s="20" t="n">
        <f aca="false">IF(AH15=1,IF(HU15=1,IQ15+IT15,AI15-QA15)*(1+Slot2_Rate),0)</f>
        <v>0</v>
      </c>
      <c r="QR15" s="20" t="n">
        <f aca="false">IF(AND(HU15=1,AH15=1),(IP15+IT15)/F15,0)</f>
        <v>0</v>
      </c>
      <c r="QS15" s="20" t="n">
        <f aca="false">IF(B15=0,IP15+IT15,0)</f>
        <v>0</v>
      </c>
      <c r="QT15" s="20" t="n">
        <f aca="false">IF(B15=0,IF(HU15=1,IR15,IS15),0)</f>
        <v>0</v>
      </c>
      <c r="QU15" s="20" t="n">
        <f aca="false">IF(AR15=1,IF(HU15=1,IY15+JB15,AS15-PY15)*(1+Slot3_Rate),0)</f>
        <v>18955.1793027713</v>
      </c>
      <c r="QV15" s="20" t="n">
        <f aca="false">IF(AND(HU15=1,AR15=1),(IX15+JB15)/F15,0)</f>
        <v>3929.83628677972</v>
      </c>
      <c r="QW15" s="20" t="n">
        <f aca="false">IF(B15=0,IX15+JB15,0)</f>
        <v>0</v>
      </c>
      <c r="QX15" s="20" t="n">
        <f aca="false">IF(B15=0,IF(HU15=1,IZ15,JA15),0)</f>
        <v>0</v>
      </c>
      <c r="QY15" s="20" t="n">
        <f aca="false">IF(BB15=1,IF(HU15=1,JG15+JJ15,BC15-PW15)*(1+Slot4_Rate),0)</f>
        <v>0</v>
      </c>
      <c r="QZ15" s="20" t="n">
        <f aca="false">IF(AND(HU15=1,BB15=1),(JF15+JJ15)/F15,0)</f>
        <v>0</v>
      </c>
      <c r="RA15" s="20" t="n">
        <f aca="false">IF(B15=0,JF15+JJ15,0)</f>
        <v>0</v>
      </c>
      <c r="RB15" s="20" t="n">
        <f aca="false">IF(B15=0,IF(HU15=1,JH15,JI15),0)</f>
        <v>0</v>
      </c>
      <c r="RC15" s="20" t="n">
        <f aca="false">IF(BL15=1,IF(HU15=1,JO15+JR15,BM15-PU15)*(1+Slot5_Rate),0)</f>
        <v>0</v>
      </c>
      <c r="RD15" s="20" t="n">
        <f aca="false">IF(AND(HU15=1,BL15=1),(JN15+JR15)/F15,0)</f>
        <v>0</v>
      </c>
      <c r="RE15" s="20" t="n">
        <f aca="false">IF(B15=0,JN15+JR15,0)</f>
        <v>0</v>
      </c>
      <c r="RF15" s="20" t="n">
        <f aca="false">IF(B15=0,IF(HU15=1,JP15,JQ15),0)</f>
        <v>0</v>
      </c>
      <c r="RG15" s="20" t="n">
        <f aca="false">IF(BV15=1,IF(HU15=1,JW15+JZ15,BW15-PS15)*(1+Slot6_Rate),0)</f>
        <v>0</v>
      </c>
      <c r="RH15" s="20" t="n">
        <f aca="false">IF(AND(HU15=1,BV15=1),(JV15+JZ15)/F15,0)</f>
        <v>0</v>
      </c>
      <c r="RI15" s="20" t="n">
        <f aca="false">IF(B15=0,JV15+JZ15,0)</f>
        <v>0</v>
      </c>
      <c r="RJ15" s="20" t="n">
        <f aca="false">IF(B15=0,IF(HU15=1,JX15,JY15),0)</f>
        <v>0</v>
      </c>
      <c r="RK15" s="20" t="n">
        <f aca="false">IF(CF15=1,IF(HU15=1,KE15+KH15,CG15-PQ15)*(1+Slot7_Rate),0)</f>
        <v>0</v>
      </c>
      <c r="RL15" s="20" t="n">
        <f aca="false">IF(AND(HU15=1,CF15=1),(KD15+KH15)/F15,0)</f>
        <v>0</v>
      </c>
      <c r="RM15" s="20" t="n">
        <f aca="false">IF(B15=0,KD15+KH15,0)</f>
        <v>0</v>
      </c>
      <c r="RN15" s="20" t="n">
        <f aca="false">IF(B15=0,IF(HU15=1,KF15,KG15),0)</f>
        <v>0</v>
      </c>
      <c r="RO15" s="20" t="n">
        <f aca="false">IF(CP15=1,IF(HU15=1,KM15+KP15,CQ15-PO15)*(1+Slot8_Rate),0)</f>
        <v>0</v>
      </c>
      <c r="RP15" s="20" t="n">
        <f aca="false">IF(AND(HU15=1,CP15=1),(KL15+KP15)/F15,0)</f>
        <v>0</v>
      </c>
      <c r="RQ15" s="20" t="n">
        <f aca="false">IF(B15=0,KL15+KP15,0)</f>
        <v>0</v>
      </c>
      <c r="RR15" s="20" t="n">
        <f aca="false">IF(B15=0,IF(HU15=1,KN15,KO15),0)</f>
        <v>0</v>
      </c>
      <c r="RS15" s="20" t="n">
        <f aca="false">IF(CZ15=1,IF(HU15=1,KU15+KX15,DA15-PM15)*(1+Slot9_Rate),0)</f>
        <v>0</v>
      </c>
      <c r="RT15" s="20" t="n">
        <f aca="false">IF(AND(HU15=1,CZ15=1),(KT15+KX15)/F15,0)</f>
        <v>0</v>
      </c>
      <c r="RU15" s="20" t="n">
        <f aca="false">IF(B15=0,KT15+KX15,0)</f>
        <v>0</v>
      </c>
      <c r="RV15" s="20" t="n">
        <f aca="false">IF(B15=0,IF(HU15=1,KV15,KW15),0)</f>
        <v>0</v>
      </c>
      <c r="RW15" s="20" t="n">
        <f aca="false">IF(DJ15=1,IF(HU15=1,LC15+LF15,DK15-PK15)*(1+Slot10_Rate),0)</f>
        <v>0</v>
      </c>
      <c r="RX15" s="20" t="n">
        <f aca="false">IF(AND(HU15=1,DJ15=1),(LB15+LF15)/F15,0)</f>
        <v>0</v>
      </c>
      <c r="RY15" s="20" t="n">
        <f aca="false">IF(B15=0,LB15+LF15,0)</f>
        <v>0</v>
      </c>
      <c r="RZ15" s="20" t="n">
        <f aca="false">IF(B15=0,IF(HU15=1,LD15,LE15),0)</f>
        <v>0</v>
      </c>
      <c r="SA15" s="20" t="n">
        <f aca="false">IF(DT15=1,IF(HU15=1,LK15+LN15,DU15-PI15)*(1+Slot11_Rate),0)</f>
        <v>0</v>
      </c>
      <c r="SB15" s="20" t="n">
        <f aca="false">IF(AND(HU15=1,DT15=1),(LJ15+LN15)/F15,0)</f>
        <v>0</v>
      </c>
      <c r="SC15" s="20" t="n">
        <f aca="false">IF(B15=0,LJ15+LN15,0)</f>
        <v>0</v>
      </c>
      <c r="SD15" s="20" t="n">
        <f aca="false">IF(B15=0,IF(HU15=1,LL15,LM15),0)</f>
        <v>0</v>
      </c>
      <c r="SE15" s="20" t="n">
        <f aca="false">IF(ED15=1,IF(HU15=1,LS15+LV15,EE15-PG15)*(1+Slot12_Rate),0)</f>
        <v>0</v>
      </c>
      <c r="SF15" s="20" t="n">
        <f aca="false">IF(AND(HU15=1,ED15=1),(LR15+LV15)/F15,0)</f>
        <v>0</v>
      </c>
      <c r="SG15" s="20" t="n">
        <f aca="false">IF(B15=0,LR15+LV15,0)</f>
        <v>0</v>
      </c>
      <c r="SH15" s="20" t="n">
        <f aca="false">IF(B15=0,IF(HU15=1,LT15,LU15),0)</f>
        <v>0</v>
      </c>
      <c r="SI15" s="20" t="n">
        <f aca="false">IF(EN15=1,IF(HU15=1,MA15+MD15,EO15-PE15)*(1+Slot13_Rate),0)</f>
        <v>0</v>
      </c>
      <c r="SJ15" s="20" t="n">
        <f aca="false">IF(AND(HU15=1,EN15=1),(LZ15+MD15)/F15,0)</f>
        <v>0</v>
      </c>
      <c r="SK15" s="20" t="n">
        <f aca="false">IF(B15=0,LZ15+MD15,0)</f>
        <v>0</v>
      </c>
      <c r="SL15" s="20" t="n">
        <f aca="false">IF(B15=0,IF(HU15=1,MB15,MC15),0)</f>
        <v>0</v>
      </c>
      <c r="SM15" s="20" t="n">
        <f aca="false">IF(EX15=1,IF(HU15=1,MI15+ML15,EY15-PC15)*(1+Slot14_Rate),0)</f>
        <v>0</v>
      </c>
      <c r="SN15" s="20" t="n">
        <f aca="false">IF(AND(HU15=1,EX15=1),(MH15+ML15)/F15,0)</f>
        <v>0</v>
      </c>
      <c r="SO15" s="20" t="n">
        <f aca="false">IF(B15=0,MH15+ML15,0)</f>
        <v>0</v>
      </c>
      <c r="SP15" s="20" t="n">
        <f aca="false">IF(B15=0,IF(HU15=1,MJ15,MK15),0)</f>
        <v>0</v>
      </c>
      <c r="SQ15" s="20" t="n">
        <f aca="false">IF(FH15=1,IF(HU15=1,MQ15+MT15,FI15-PA15)*(1+Slot15_Rate),0)</f>
        <v>0</v>
      </c>
      <c r="SR15" s="20" t="n">
        <f aca="false">IF(AND(HU15=1,FH15=1),(MP15+MT15)/F15,0)</f>
        <v>0</v>
      </c>
      <c r="SS15" s="20" t="n">
        <f aca="false">IF(B15=0,MP15+MT15,0)</f>
        <v>0</v>
      </c>
      <c r="ST15" s="20" t="n">
        <f aca="false">IF(B15=0,IF(HU15=1,MR15,MS15),0)</f>
        <v>0</v>
      </c>
      <c r="SU15" s="20" t="n">
        <f aca="false">IF(FR15=1,IF(HU15=1,MY15+NB15,FS15-OY15)*(1+Slot16_Rate),0)</f>
        <v>0</v>
      </c>
      <c r="SV15" s="20" t="n">
        <f aca="false">IF(AND(HU15=1,FR15=1),(MX15+NB15)/F15,0)</f>
        <v>0</v>
      </c>
      <c r="SW15" s="20" t="n">
        <f aca="false">IF(B15=0,MX15+NB15,0)</f>
        <v>0</v>
      </c>
      <c r="SX15" s="20" t="n">
        <f aca="false">IF(B15=0,IF(HU15=1,MZ15,NA15),0)</f>
        <v>0</v>
      </c>
      <c r="SY15" s="20" t="n">
        <f aca="false">IF(GB15=1,IF(HU15=1,NG15+NJ15,GC15-OW15)*(1+Slot17_Rate),0)</f>
        <v>0</v>
      </c>
      <c r="SZ15" s="20" t="n">
        <f aca="false">IF(AND(HU15=1,GB15=1),(NF15+NJ15)/F15,0)</f>
        <v>0</v>
      </c>
      <c r="TA15" s="20" t="n">
        <f aca="false">IF(B15=0,NF15+NJ15,0)</f>
        <v>0</v>
      </c>
      <c r="TB15" s="20" t="n">
        <f aca="false">IF(B15=0,IF(HU15=1,NH15,NI15),0)</f>
        <v>0</v>
      </c>
      <c r="TC15" s="20" t="n">
        <f aca="false">IF(GL15=1,IF(HU15=1,NO15+NR15,GM15-OU15)*(1+Slot18_Rate),0)</f>
        <v>0</v>
      </c>
      <c r="TD15" s="20" t="n">
        <f aca="false">IF(AND(HU15=1,GL15=1),(NN15+NR15)/F15,0)</f>
        <v>0</v>
      </c>
      <c r="TE15" s="20" t="n">
        <f aca="false">IF(B15=0,NN15+NR15,0)</f>
        <v>0</v>
      </c>
      <c r="TF15" s="20" t="n">
        <f aca="false">IF(B15=0,IF(HU15=1,NP15,NQ15),0)</f>
        <v>0</v>
      </c>
      <c r="TG15" s="20" t="n">
        <f aca="false">IF(GV15=1,IF(HU15=1,NW15+NZ15,GW15-OS15)*(1+Slot19_Rate),0)</f>
        <v>0</v>
      </c>
      <c r="TH15" s="20" t="n">
        <f aca="false">IF(AND(HU15=1,GV15=1),(NV15+NZ15)/F15,0)</f>
        <v>0</v>
      </c>
      <c r="TI15" s="20" t="n">
        <f aca="false">IF(B15=0,NV15+NZ15,0)</f>
        <v>0</v>
      </c>
      <c r="TJ15" s="20" t="n">
        <f aca="false">IF(B15=0,IF(HU15=1,NX15,NY15),0)</f>
        <v>0</v>
      </c>
      <c r="TK15" s="20" t="n">
        <f aca="false">IF(HF15=1,IF(HU15=1,OE15+OH15,HG15-OQ15)*(1+Slot20_Rate),0)</f>
        <v>0</v>
      </c>
      <c r="TL15" s="20" t="n">
        <f aca="false">IF(AND(HU15=1,HF15=1),(OD15+OH15)/F15,0)</f>
        <v>0</v>
      </c>
      <c r="TM15" s="20" t="n">
        <f aca="false">IF(B15=0,OD15+OH15,0)</f>
        <v>0</v>
      </c>
      <c r="TN15" s="20" t="n">
        <f aca="false">IF(B15=0,IF(HU15=1,OF15,OG15),0)</f>
        <v>0</v>
      </c>
      <c r="TO15" s="20" t="n">
        <f aca="false">QK15+QL15+QM15+QQ15+QU15+QY15+RC15+RG15+RK15+RO15+RS15+RW15+SA15+SE15+SI15+SM15+SQ15+SU15+SY15+TC15+TG15+TK15</f>
        <v>31033.6242498717</v>
      </c>
      <c r="TP15" s="20" t="n">
        <f aca="false">QE15+HP15</f>
        <v>0</v>
      </c>
      <c r="TQ15" s="20" t="n">
        <f aca="false">I15+S15</f>
        <v>65850.8550442176</v>
      </c>
      <c r="TR15" s="20" t="n">
        <f aca="false">1-G15</f>
        <v>0</v>
      </c>
      <c r="TS15" s="20" t="n">
        <f aca="false">IF(AND(RG_Exists=1,G15=0,C15=1),I15,0)</f>
        <v>0</v>
      </c>
      <c r="TT15" s="20" t="n">
        <f aca="false">IF(AND(RG_Exists=1,G15=0,C15=1),I15-MIN(QE15,I15),0)</f>
        <v>0</v>
      </c>
      <c r="TU15" s="20" t="n">
        <f aca="false">'Plan pay &amp; tax'!AD241</f>
        <v>167008.745207016</v>
      </c>
      <c r="TV15" s="20" t="n">
        <f aca="false">IF(AND(C15=1,QE15&gt;MAX(PR_Short1,TQ15*PR_Short2)),1,0)</f>
        <v>0</v>
      </c>
      <c r="TW15" s="20" t="n">
        <f aca="false">MIN(H15,I15+S15)</f>
        <v>65850.8550442176</v>
      </c>
      <c r="TX15" s="20" t="n">
        <f aca="false">QF15+MAX(0,HQ15-HP15)</f>
        <v>0</v>
      </c>
      <c r="TY15" s="20" t="n">
        <f aca="false">QE15+HP15</f>
        <v>0</v>
      </c>
      <c r="TZ15" s="20" t="n">
        <f aca="false">IF(AND(C15=1,TY15&gt;PR_MinShort),1,0)</f>
        <v>0</v>
      </c>
      <c r="UA15" s="20" t="n">
        <f aca="false">IF(AND(C15=1,TZ15=0,TX15&gt;PR_MinShort),1,0)</f>
        <v>0</v>
      </c>
      <c r="UB15" s="20" t="n">
        <f aca="false">IF(AND(C15=1,QE15&gt;PR_MinShort),1,0)</f>
        <v>0</v>
      </c>
      <c r="UC15" s="20" t="n">
        <f aca="false">IF(AND(C15=1,QF15&gt;1,UJ15=0),1,0)</f>
        <v>0</v>
      </c>
      <c r="UD15" s="20" t="str">
        <f aca="false">IF(C15=0,"",IF(UJ15=1,"Gap to plan for: short "&amp;"€"&amp;TEXT(ROUND(TP15,0),"#,##0"),IF(QF15&gt;1,"Using savings","Comfortable")))</f>
        <v>Comfortable</v>
      </c>
      <c r="UE15" s="20" t="n">
        <f aca="false">IF(AND(INT(D15/10)*10=90,B15&gt;0),80,INT(D15/10)*10)</f>
        <v>40</v>
      </c>
      <c r="UF15" s="20" t="n">
        <f aca="false">IF(B15=0,1,IF(UE15&lt;&gt;UE14,UF14+1,UF14))</f>
        <v>2</v>
      </c>
      <c r="UG15" s="20" t="n">
        <f aca="false">IF(AND(C15=1,G15=1,QE15&gt;MAX(PR_Short1,TQ15*PR_Short2)),1,0)</f>
        <v>0</v>
      </c>
      <c r="UH15" s="20" t="n">
        <f aca="false">TR15*TV15</f>
        <v>0</v>
      </c>
      <c r="UI15" s="20" t="n">
        <f aca="false">IF(AND(V15=1,Slot1_PctLow=1),1,0)+IF(AND(AG15=1,Slot2_PctLow=1),1,0)+IF(AND(AQ15=1,Slot3_PctLow=1),1,0)+IF(AND(BA15=1,Slot4_PctLow=1),1,0)+IF(AND(BK15=1,Slot5_PctLow=1),1,0)+IF(AND(BU15=1,Slot6_PctLow=1),1,0)+IF(AND(CE15=1,Slot7_PctLow=1),1,0)+IF(AND(CO15=1,Slot8_PctLow=1),1,0)+IF(AND(CY15=1,Slot9_PctLow=1),1,0)+IF(AND(DI15=1,Slot10_PctLow=1),1,0)+IF(AND(DS15=1,Slot11_PctLow=1),1,0)+IF(AND(EC15=1,Slot12_PctLow=1),1,0)+IF(AND(EM15=1,Slot13_PctLow=1),1,0)+IF(AND(EW15=1,Slot14_PctLow=1),1,0)+IF(AND(FG15=1,Slot15_PctLow=1),1,0)+IF(AND(FQ15=1,Slot16_PctLow=1),1,0)+IF(AND(GA15=1,Slot17_PctLow=1),1,0)+IF(AND(GK15=1,Slot18_PctLow=1),1,0)+IF(AND(GU15=1,Slot19_PctLow=1),1,0)+IF(AND(HE15=1,Slot20_PctLow=1),1,0)</f>
        <v>0</v>
      </c>
      <c r="UJ15" s="20" t="n">
        <f aca="false">IF(C15=1,IF(OR(TV15=1,UI15&gt;0),1,0),0)</f>
        <v>0</v>
      </c>
      <c r="UK15" s="20" t="n">
        <f aca="false">Z15+AK15+AU15+BE15+BO15+BY15+CI15+CS15+DC15+DM15+DW15+EG15+EQ15+FA15+FK15+FU15+GE15+GO15+GY15+HI15+OM15</f>
        <v>0</v>
      </c>
      <c r="UL15" s="20" t="n">
        <f aca="false">V15*IF(Slot1_SpendLike=1,X15-Y15,IF(Slot1_PotFree=1,X15,0))+AG15*IF(Slot2_SpendLike=1,AI15-AJ15,IF(Slot2_PotFree=1,AI15,0))+AQ15*IF(Slot3_SpendLike=1,AS15-AT15,IF(Slot3_PotFree=1,AS15,0))+BA15*IF(Slot4_SpendLike=1,BC15-BD15,IF(Slot4_PotFree=1,BC15,0))+BK15*IF(Slot5_SpendLike=1,BM15-BN15,IF(Slot5_PotFree=1,BM15,0))+BU15*IF(Slot6_SpendLike=1,BW15-BX15,IF(Slot6_PotFree=1,BW15,0))+CE15*IF(Slot7_SpendLike=1,CG15-CH15,IF(Slot7_PotFree=1,CG15,0))+CO15*IF(Slot8_SpendLike=1,CQ15-CR15,IF(Slot8_PotFree=1,CQ15,0))+CY15*IF(Slot9_SpendLike=1,DA15-DB15,IF(Slot9_PotFree=1,DA15,0))+DI15*IF(Slot10_SpendLike=1,DK15-DL15,IF(Slot10_PotFree=1,DK15,0))+DS15*IF(Slot11_SpendLike=1,DU15-DV15,IF(Slot11_PotFree=1,DU15,0))+EC15*IF(Slot12_SpendLike=1,EE15-EF15,IF(Slot12_PotFree=1,EE15,0))+EM15*IF(Slot13_SpendLike=1,EO15-EP15,IF(Slot13_PotFree=1,EO15,0))+EW15*IF(Slot14_SpendLike=1,EY15-EZ15,IF(Slot14_PotFree=1,EY15,0))+FG15*IF(Slot15_SpendLike=1,FI15-FJ15,IF(Slot15_PotFree=1,FI15,0))+FQ15*IF(Slot16_SpendLike=1,FS15-FT15,IF(Slot16_PotFree=1,FS15,0))+GA15*IF(Slot17_SpendLike=1,GC15-GD15,IF(Slot17_PotFree=1,GC15,0))+GK15*IF(Slot18_SpendLike=1,GM15-GN15,IF(Slot18_PotFree=1,GM15,0))+GU15*IF(Slot19_SpendLike=1,GW15-GX15,IF(Slot19_PotFree=1,GW15,0))+HE15*IF(Slot20_SpendLike=1,HG15-HH15,IF(Slot20_PotFree=1,HG15,0))</f>
        <v>0</v>
      </c>
      <c r="UM15" s="20" t="n">
        <f aca="false">QG15-T15+UK15-UL15</f>
        <v>0</v>
      </c>
      <c r="UN15" s="20" t="n">
        <f aca="false">IF(OR(UN14=1,AND(In_homeUse="Yes, I'd downsize",In_downAge&gt;0,D15=In_downAge,OR(In_home="Own outright",In_home="Own with mortgage"),In_homeValue&gt;0)),1,0)</f>
        <v>0</v>
      </c>
    </row>
    <row r="16" customFormat="false" ht="15" hidden="false" customHeight="true" outlineLevel="0" collapsed="false">
      <c r="B16" s="20" t="n">
        <v>8</v>
      </c>
      <c r="C16" s="20" t="n">
        <f aca="false">IF(B16&lt;=F_N,1,0)</f>
        <v>1</v>
      </c>
      <c r="D16" s="20" t="n">
        <f aca="false">'Plan pay &amp; tax'!C242</f>
        <v>46</v>
      </c>
      <c r="E16" s="20" t="str">
        <f aca="false">IF($C16=1,"Income tax "&amp;TEXT(N('Plan pay &amp; tax'!BK242),"#,##0")&amp;"; USC "&amp;TEXT(N('Plan pay &amp; tax'!BM242)+N('Plan pay &amp; tax'!BO242),"#,##0")&amp;"; PRSI "&amp;TEXT(N('Plan pay &amp; tax'!BP242)+N('Plan pay &amp; tax'!BQ242),"#,##0")&amp;IF(N('Plan holdings'!BO16)&gt;=0.5,"; DIRT "&amp;TEXT(('Plan holdings'!BO16)/$F16,"#,##0")&amp;" (already taken from the interest earned)","")&amp;IF(N('Plan holdings'!BP16)&gt;=0.5,"; exit tax at an 8-year anniversary "&amp;TEXT(('Plan holdings'!BP16)/$F16,"#,##0"),"")&amp;IF(N('Plan holdings'!BN16)&gt;=0.5,"; tax on assets sold (exit tax or capital gains tax) "&amp;TEXT(('Plan holdings'!BN16)/$F16,"#,##0"),"")&amp;IF(N('Plan pay &amp; tax'!X242)-N('Plan pay &amp; tax'!Y242)&gt;=0.5,"; tax on the pension lump sum "&amp;TEXT(('Plan pay &amp; tax'!X242-'Plan pay &amp; tax'!Y242)/$F16,"#,##0"),"")&amp;IF(N('Plan pay &amp; tax'!V242)&gt;=0.5,"; chargeable excess tax on the pension "&amp;TEXT(('Plan pay &amp; tax'!V242)/$F16,"#,##0"),"")&amp;".","")</f>
        <v>Income tax 11,691; USC 1,710; PRSI 4,065; DIRT 51 (already taken from the interest earned).</v>
      </c>
      <c r="F16" s="50" t="n">
        <f aca="false">'Plan pay &amp; tax'!E242</f>
        <v>1.17165938100227</v>
      </c>
      <c r="G16" s="20" t="n">
        <f aca="false">'Plan pay &amp; tax'!G242</f>
        <v>1</v>
      </c>
      <c r="H16" s="20" t="n">
        <f aca="false">'Plan pay &amp; tax'!BT242-'Plan pay &amp; tax'!BS242-'Plan pay &amp; tax'!R242</f>
        <v>76925.1074066347</v>
      </c>
      <c r="I16" s="20" t="n">
        <f aca="false">IF(G16=1,F_CostsM*12,IF(RG_Exists=1,RG_Amount,F_CostsM*12*AS_RetireSpend))*F16+F_OneOffY*F16</f>
        <v>52724.672145102</v>
      </c>
      <c r="J16" s="20" t="n">
        <f aca="false">IF(UN16=1,0,HR15)</f>
        <v>144621.834984468</v>
      </c>
      <c r="K16" s="20" t="n">
        <f aca="false">IF(J16&gt;1,'Plan debt months'!AC16,0)</f>
        <v>14160</v>
      </c>
      <c r="L16" s="20" t="n">
        <f aca="false">IF(J16&gt;1,'Plan debt months'!AB16,J16)</f>
        <v>135876.528391036</v>
      </c>
      <c r="M16" s="20" t="n">
        <f aca="false">O15</f>
        <v>0</v>
      </c>
      <c r="N16" s="20" t="n">
        <f aca="false">IF(M16&gt;1,'Plan debt months'!BD16,0)</f>
        <v>0</v>
      </c>
      <c r="O16" s="20" t="n">
        <f aca="false">IF(M16&gt;1,'Plan debt months'!BC16,M16)</f>
        <v>0</v>
      </c>
      <c r="P16" s="20" t="n">
        <f aca="false">R15</f>
        <v>0</v>
      </c>
      <c r="Q16" s="20" t="n">
        <f aca="false">IF(P16&gt;1,'Plan debt months'!CE16,0)</f>
        <v>0</v>
      </c>
      <c r="R16" s="20" t="n">
        <f aca="false">IF(P16&gt;1,'Plan debt months'!CD16,P16)</f>
        <v>0</v>
      </c>
      <c r="S16" s="20" t="n">
        <f aca="false">K16+N16+Q16</f>
        <v>14160</v>
      </c>
      <c r="T16" s="57" t="n">
        <f aca="false">'Plan holdings'!Y16</f>
        <v>0</v>
      </c>
      <c r="U16" s="57" t="n">
        <f aca="false">'Plan holdings'!BM15</f>
        <v>0</v>
      </c>
      <c r="V16" s="20" t="n">
        <f aca="false">IF(AND(Slot1_On=1,D16=Slot1_Age),1,0)</f>
        <v>0</v>
      </c>
      <c r="W16" s="20" t="n">
        <f aca="false">IF(AND(Slot1_On=1,Slot1_Age&gt;D16),1,0)</f>
        <v>0</v>
      </c>
      <c r="X16" s="20" t="n">
        <f aca="false">QM15</f>
        <v>0</v>
      </c>
      <c r="Y16" s="20" t="n">
        <f aca="false">V16*MIN(Slot1_Cost,X16)</f>
        <v>0</v>
      </c>
      <c r="Z16" s="20" t="n">
        <f aca="false">V16*Slot1_SpendLike*MIN(Slot1_Cost-Y16,T16)</f>
        <v>0</v>
      </c>
      <c r="AA16" s="20" t="n">
        <f aca="false">Y16+Z16</f>
        <v>0</v>
      </c>
      <c r="AB16" s="20" t="n">
        <f aca="false">T16-Z16+V16*IF(Slot1_SpendLike=1,X16-Y16,IF(Slot1_PotFree=1,X16,0))</f>
        <v>0</v>
      </c>
      <c r="AC16" s="20" t="n">
        <f aca="false">AF16+V16*Slot1_BufPot*X16</f>
        <v>12078.4449471005</v>
      </c>
      <c r="AD16" s="20" t="n">
        <f aca="false">IF(AND(V16=1,Slot1_IsMfree=1),IF(AA16&gt;=Slot1_Cost-1,0,MAX(0,L16-AA16)),L16)</f>
        <v>135876.528391036</v>
      </c>
      <c r="AE16" s="20" t="n">
        <f aca="false">V16*(Slot1_Cost-AA16)</f>
        <v>0</v>
      </c>
      <c r="AF16" s="20" t="n">
        <f aca="false">QL15</f>
        <v>12078.4449471005</v>
      </c>
      <c r="AG16" s="20" t="n">
        <f aca="false">IF(AND(Slot2_On=1,D16=Slot2_Age),1,0)</f>
        <v>0</v>
      </c>
      <c r="AH16" s="20" t="n">
        <f aca="false">IF(AND(Slot2_On=1,Slot2_Age&gt;D16),1,0)</f>
        <v>0</v>
      </c>
      <c r="AI16" s="20" t="n">
        <f aca="false">QQ15</f>
        <v>0</v>
      </c>
      <c r="AJ16" s="20" t="n">
        <f aca="false">AG16*MIN(Slot2_Cost,AI16)</f>
        <v>0</v>
      </c>
      <c r="AK16" s="20" t="n">
        <f aca="false">AG16*Slot2_SpendLike*MIN(Slot2_Cost-AJ16,AB16)</f>
        <v>0</v>
      </c>
      <c r="AL16" s="20" t="n">
        <f aca="false">AJ16+AK16</f>
        <v>0</v>
      </c>
      <c r="AM16" s="20" t="n">
        <f aca="false">AB16-AK16+AG16*IF(Slot2_SpendLike=1,AI16-AJ16,IF(Slot2_PotFree=1,AI16,0))</f>
        <v>0</v>
      </c>
      <c r="AN16" s="20" t="n">
        <f aca="false">AC16+AG16*Slot2_BufPot*AI16</f>
        <v>12078.4449471005</v>
      </c>
      <c r="AO16" s="20" t="n">
        <f aca="false">IF(AND(AG16=1,Slot2_IsMfree=1),IF(AL16&gt;=Slot2_Cost-1,0,MAX(0,AD16-AL16)),AD16)</f>
        <v>135876.528391036</v>
      </c>
      <c r="AP16" s="20" t="n">
        <f aca="false">AG16*(Slot2_Cost-AL16)</f>
        <v>0</v>
      </c>
      <c r="AQ16" s="20" t="n">
        <f aca="false">IF(AND(Slot3_On=1,D16=Slot3_Age),1,0)</f>
        <v>0</v>
      </c>
      <c r="AR16" s="20" t="n">
        <f aca="false">IF(AND(Slot3_On=1,Slot3_Age&gt;D16),1,0)</f>
        <v>1</v>
      </c>
      <c r="AS16" s="20" t="n">
        <f aca="false">QU15</f>
        <v>18955.1793027713</v>
      </c>
      <c r="AT16" s="20" t="n">
        <f aca="false">AQ16*MIN(Slot3_Cost,AS16)</f>
        <v>0</v>
      </c>
      <c r="AU16" s="20" t="n">
        <f aca="false">AQ16*Slot3_SpendLike*MIN(Slot3_Cost-AT16,AM16)</f>
        <v>0</v>
      </c>
      <c r="AV16" s="20" t="n">
        <f aca="false">AT16+AU16</f>
        <v>0</v>
      </c>
      <c r="AW16" s="20" t="n">
        <f aca="false">AM16-AU16+AQ16*IF(Slot3_SpendLike=1,AS16-AT16,IF(Slot3_PotFree=1,AS16,0))</f>
        <v>0</v>
      </c>
      <c r="AX16" s="20" t="n">
        <f aca="false">AN16+AQ16*Slot3_BufPot*AS16</f>
        <v>12078.4449471005</v>
      </c>
      <c r="AY16" s="20" t="n">
        <f aca="false">IF(AND(AQ16=1,Slot3_IsMfree=1),IF(AV16&gt;=Slot3_Cost-1,0,MAX(0,AO16-AV16)),AO16)</f>
        <v>135876.528391036</v>
      </c>
      <c r="AZ16" s="20" t="n">
        <f aca="false">AQ16*(Slot3_Cost-AV16)</f>
        <v>0</v>
      </c>
      <c r="BA16" s="20" t="n">
        <f aca="false">IF(AND(Slot4_On=1,D16=Slot4_Age),1,0)</f>
        <v>0</v>
      </c>
      <c r="BB16" s="20" t="n">
        <f aca="false">IF(AND(Slot4_On=1,Slot4_Age&gt;D16),1,0)</f>
        <v>1</v>
      </c>
      <c r="BC16" s="20" t="n">
        <f aca="false">QY15</f>
        <v>0</v>
      </c>
      <c r="BD16" s="20" t="n">
        <f aca="false">BA16*MIN(Slot4_Cost,BC16)</f>
        <v>0</v>
      </c>
      <c r="BE16" s="20" t="n">
        <f aca="false">BA16*Slot4_SpendLike*MIN(Slot4_Cost-BD16,AW16)</f>
        <v>0</v>
      </c>
      <c r="BF16" s="20" t="n">
        <f aca="false">BD16+BE16</f>
        <v>0</v>
      </c>
      <c r="BG16" s="20" t="n">
        <f aca="false">AW16-BE16+BA16*IF(Slot4_SpendLike=1,BC16-BD16,IF(Slot4_PotFree=1,BC16,0))</f>
        <v>0</v>
      </c>
      <c r="BH16" s="20" t="n">
        <f aca="false">AX16+BA16*Slot4_BufPot*BC16</f>
        <v>12078.4449471005</v>
      </c>
      <c r="BI16" s="20" t="n">
        <f aca="false">IF(AND(BA16=1,Slot4_IsMfree=1),IF(BF16&gt;=Slot4_Cost-1,0,MAX(0,AY16-BF16)),AY16)</f>
        <v>135876.528391036</v>
      </c>
      <c r="BJ16" s="20" t="n">
        <f aca="false">BA16*(Slot4_Cost-BF16)</f>
        <v>0</v>
      </c>
      <c r="BK16" s="20" t="n">
        <f aca="false">IF(AND(Slot5_On=1,D16=Slot5_Age),1,0)</f>
        <v>0</v>
      </c>
      <c r="BL16" s="20" t="n">
        <f aca="false">IF(AND(Slot5_On=1,Slot5_Age&gt;D16),1,0)</f>
        <v>0</v>
      </c>
      <c r="BM16" s="20" t="n">
        <f aca="false">RC15</f>
        <v>0</v>
      </c>
      <c r="BN16" s="20" t="n">
        <f aca="false">BK16*MIN(Slot5_Cost,BM16)</f>
        <v>0</v>
      </c>
      <c r="BO16" s="20" t="n">
        <f aca="false">BK16*Slot5_SpendLike*MIN(Slot5_Cost-BN16,BG16)</f>
        <v>0</v>
      </c>
      <c r="BP16" s="20" t="n">
        <f aca="false">BN16+BO16</f>
        <v>0</v>
      </c>
      <c r="BQ16" s="20" t="n">
        <f aca="false">BG16-BO16+BK16*IF(Slot5_SpendLike=1,BM16-BN16,IF(Slot5_PotFree=1,BM16,0))</f>
        <v>0</v>
      </c>
      <c r="BR16" s="20" t="n">
        <f aca="false">BH16+BK16*Slot5_BufPot*BM16</f>
        <v>12078.4449471005</v>
      </c>
      <c r="BS16" s="20" t="n">
        <f aca="false">IF(AND(BK16=1,Slot5_IsMfree=1),IF(BP16&gt;=Slot5_Cost-1,0,MAX(0,BI16-BP16)),BI16)</f>
        <v>135876.528391036</v>
      </c>
      <c r="BT16" s="20" t="n">
        <f aca="false">BK16*(Slot5_Cost-BP16)</f>
        <v>0</v>
      </c>
      <c r="BU16" s="20" t="n">
        <f aca="false">IF(AND(Slot6_On=1,D16=Slot6_Age),1,0)</f>
        <v>0</v>
      </c>
      <c r="BV16" s="20" t="n">
        <f aca="false">IF(AND(Slot6_On=1,Slot6_Age&gt;D16),1,0)</f>
        <v>0</v>
      </c>
      <c r="BW16" s="20" t="n">
        <f aca="false">RG15</f>
        <v>0</v>
      </c>
      <c r="BX16" s="20" t="n">
        <f aca="false">BU16*MIN(Slot6_Cost,BW16)</f>
        <v>0</v>
      </c>
      <c r="BY16" s="20" t="n">
        <f aca="false">BU16*Slot6_SpendLike*MIN(Slot6_Cost-BX16,BQ16)</f>
        <v>0</v>
      </c>
      <c r="BZ16" s="20" t="n">
        <f aca="false">BX16+BY16</f>
        <v>0</v>
      </c>
      <c r="CA16" s="20" t="n">
        <f aca="false">BQ16-BY16+BU16*IF(Slot6_SpendLike=1,BW16-BX16,IF(Slot6_PotFree=1,BW16,0))</f>
        <v>0</v>
      </c>
      <c r="CB16" s="20" t="n">
        <f aca="false">BR16+BU16*Slot6_BufPot*BW16</f>
        <v>12078.4449471005</v>
      </c>
      <c r="CC16" s="20" t="n">
        <f aca="false">IF(AND(BU16=1,Slot6_IsMfree=1),IF(BZ16&gt;=Slot6_Cost-1,0,MAX(0,BS16-BZ16)),BS16)</f>
        <v>135876.528391036</v>
      </c>
      <c r="CD16" s="20" t="n">
        <f aca="false">BU16*(Slot6_Cost-BZ16)</f>
        <v>0</v>
      </c>
      <c r="CE16" s="20" t="n">
        <f aca="false">IF(AND(Slot7_On=1,D16=Slot7_Age),1,0)</f>
        <v>0</v>
      </c>
      <c r="CF16" s="20" t="n">
        <f aca="false">IF(AND(Slot7_On=1,Slot7_Age&gt;D16),1,0)</f>
        <v>0</v>
      </c>
      <c r="CG16" s="20" t="n">
        <f aca="false">RK15</f>
        <v>0</v>
      </c>
      <c r="CH16" s="20" t="n">
        <f aca="false">CE16*MIN(Slot7_Cost,CG16)</f>
        <v>0</v>
      </c>
      <c r="CI16" s="20" t="n">
        <f aca="false">CE16*Slot7_SpendLike*MIN(Slot7_Cost-CH16,CA16)</f>
        <v>0</v>
      </c>
      <c r="CJ16" s="20" t="n">
        <f aca="false">CH16+CI16</f>
        <v>0</v>
      </c>
      <c r="CK16" s="20" t="n">
        <f aca="false">CA16-CI16+CE16*IF(Slot7_SpendLike=1,CG16-CH16,IF(Slot7_PotFree=1,CG16,0))</f>
        <v>0</v>
      </c>
      <c r="CL16" s="20" t="n">
        <f aca="false">CB16+CE16*Slot7_BufPot*CG16</f>
        <v>12078.4449471005</v>
      </c>
      <c r="CM16" s="20" t="n">
        <f aca="false">IF(AND(CE16=1,Slot7_IsMfree=1),IF(CJ16&gt;=Slot7_Cost-1,0,MAX(0,CC16-CJ16)),CC16)</f>
        <v>135876.528391036</v>
      </c>
      <c r="CN16" s="20" t="n">
        <f aca="false">CE16*(Slot7_Cost-CJ16)</f>
        <v>0</v>
      </c>
      <c r="CO16" s="20" t="n">
        <f aca="false">IF(AND(Slot8_On=1,D16=Slot8_Age),1,0)</f>
        <v>0</v>
      </c>
      <c r="CP16" s="20" t="n">
        <f aca="false">IF(AND(Slot8_On=1,Slot8_Age&gt;D16),1,0)</f>
        <v>0</v>
      </c>
      <c r="CQ16" s="20" t="n">
        <f aca="false">RO15</f>
        <v>0</v>
      </c>
      <c r="CR16" s="20" t="n">
        <f aca="false">CO16*MIN(Slot8_Cost,CQ16)</f>
        <v>0</v>
      </c>
      <c r="CS16" s="20" t="n">
        <f aca="false">CO16*Slot8_SpendLike*MIN(Slot8_Cost-CR16,CK16)</f>
        <v>0</v>
      </c>
      <c r="CT16" s="20" t="n">
        <f aca="false">CR16+CS16</f>
        <v>0</v>
      </c>
      <c r="CU16" s="20" t="n">
        <f aca="false">CK16-CS16+CO16*IF(Slot8_SpendLike=1,CQ16-CR16,IF(Slot8_PotFree=1,CQ16,0))</f>
        <v>0</v>
      </c>
      <c r="CV16" s="20" t="n">
        <f aca="false">CL16+CO16*Slot8_BufPot*CQ16</f>
        <v>12078.4449471005</v>
      </c>
      <c r="CW16" s="20" t="n">
        <f aca="false">IF(AND(CO16=1,Slot8_IsMfree=1),IF(CT16&gt;=Slot8_Cost-1,0,MAX(0,CM16-CT16)),CM16)</f>
        <v>135876.528391036</v>
      </c>
      <c r="CX16" s="20" t="n">
        <f aca="false">CO16*(Slot8_Cost-CT16)</f>
        <v>0</v>
      </c>
      <c r="CY16" s="20" t="n">
        <f aca="false">IF(AND(Slot9_On=1,D16=Slot9_Age),1,0)</f>
        <v>0</v>
      </c>
      <c r="CZ16" s="20" t="n">
        <f aca="false">IF(AND(Slot9_On=1,Slot9_Age&gt;D16),1,0)</f>
        <v>0</v>
      </c>
      <c r="DA16" s="20" t="n">
        <f aca="false">RS15</f>
        <v>0</v>
      </c>
      <c r="DB16" s="20" t="n">
        <f aca="false">CY16*MIN(Slot9_Cost,DA16)</f>
        <v>0</v>
      </c>
      <c r="DC16" s="20" t="n">
        <f aca="false">CY16*Slot9_SpendLike*MIN(Slot9_Cost-DB16,CU16)</f>
        <v>0</v>
      </c>
      <c r="DD16" s="20" t="n">
        <f aca="false">DB16+DC16</f>
        <v>0</v>
      </c>
      <c r="DE16" s="20" t="n">
        <f aca="false">CU16-DC16+CY16*IF(Slot9_SpendLike=1,DA16-DB16,IF(Slot9_PotFree=1,DA16,0))</f>
        <v>0</v>
      </c>
      <c r="DF16" s="20" t="n">
        <f aca="false">CV16+CY16*Slot9_BufPot*DA16</f>
        <v>12078.4449471005</v>
      </c>
      <c r="DG16" s="20" t="n">
        <f aca="false">IF(AND(CY16=1,Slot9_IsMfree=1),IF(DD16&gt;=Slot9_Cost-1,0,MAX(0,CW16-DD16)),CW16)</f>
        <v>135876.528391036</v>
      </c>
      <c r="DH16" s="20" t="n">
        <f aca="false">CY16*(Slot9_Cost-DD16)</f>
        <v>0</v>
      </c>
      <c r="DI16" s="20" t="n">
        <f aca="false">IF(AND(Slot10_On=1,D16=Slot10_Age),1,0)</f>
        <v>0</v>
      </c>
      <c r="DJ16" s="20" t="n">
        <f aca="false">IF(AND(Slot10_On=1,Slot10_Age&gt;D16),1,0)</f>
        <v>0</v>
      </c>
      <c r="DK16" s="20" t="n">
        <f aca="false">RW15</f>
        <v>0</v>
      </c>
      <c r="DL16" s="20" t="n">
        <f aca="false">DI16*MIN(Slot10_Cost,DK16)</f>
        <v>0</v>
      </c>
      <c r="DM16" s="20" t="n">
        <f aca="false">DI16*Slot10_SpendLike*MIN(Slot10_Cost-DL16,DE16)</f>
        <v>0</v>
      </c>
      <c r="DN16" s="20" t="n">
        <f aca="false">DL16+DM16</f>
        <v>0</v>
      </c>
      <c r="DO16" s="20" t="n">
        <f aca="false">DE16-DM16+DI16*IF(Slot10_SpendLike=1,DK16-DL16,IF(Slot10_PotFree=1,DK16,0))</f>
        <v>0</v>
      </c>
      <c r="DP16" s="20" t="n">
        <f aca="false">DF16+DI16*Slot10_BufPot*DK16</f>
        <v>12078.4449471005</v>
      </c>
      <c r="DQ16" s="20" t="n">
        <f aca="false">IF(AND(DI16=1,Slot10_IsMfree=1),IF(DN16&gt;=Slot10_Cost-1,0,MAX(0,DG16-DN16)),DG16)</f>
        <v>135876.528391036</v>
      </c>
      <c r="DR16" s="20" t="n">
        <f aca="false">DI16*(Slot10_Cost-DN16)</f>
        <v>0</v>
      </c>
      <c r="DS16" s="20" t="n">
        <f aca="false">IF(AND(Slot11_On=1,D16=Slot11_Age),1,0)</f>
        <v>0</v>
      </c>
      <c r="DT16" s="20" t="n">
        <f aca="false">IF(AND(Slot11_On=1,Slot11_Age&gt;D16),1,0)</f>
        <v>0</v>
      </c>
      <c r="DU16" s="20" t="n">
        <f aca="false">SA15</f>
        <v>0</v>
      </c>
      <c r="DV16" s="20" t="n">
        <f aca="false">DS16*MIN(Slot11_Cost,DU16)</f>
        <v>0</v>
      </c>
      <c r="DW16" s="20" t="n">
        <f aca="false">DS16*Slot11_SpendLike*MIN(Slot11_Cost-DV16,DO16)</f>
        <v>0</v>
      </c>
      <c r="DX16" s="20" t="n">
        <f aca="false">DV16+DW16</f>
        <v>0</v>
      </c>
      <c r="DY16" s="20" t="n">
        <f aca="false">DO16-DW16+DS16*IF(Slot11_SpendLike=1,DU16-DV16,IF(Slot11_PotFree=1,DU16,0))</f>
        <v>0</v>
      </c>
      <c r="DZ16" s="20" t="n">
        <f aca="false">DP16+DS16*Slot11_BufPot*DU16</f>
        <v>12078.4449471005</v>
      </c>
      <c r="EA16" s="20" t="n">
        <f aca="false">IF(AND(DS16=1,Slot11_IsMfree=1),IF(DX16&gt;=Slot11_Cost-1,0,MAX(0,DQ16-DX16)),DQ16)</f>
        <v>135876.528391036</v>
      </c>
      <c r="EB16" s="20" t="n">
        <f aca="false">DS16*(Slot11_Cost-DX16)</f>
        <v>0</v>
      </c>
      <c r="EC16" s="20" t="n">
        <f aca="false">IF(AND(Slot12_On=1,D16=Slot12_Age),1,0)</f>
        <v>0</v>
      </c>
      <c r="ED16" s="20" t="n">
        <f aca="false">IF(AND(Slot12_On=1,Slot12_Age&gt;D16),1,0)</f>
        <v>0</v>
      </c>
      <c r="EE16" s="20" t="n">
        <f aca="false">SE15</f>
        <v>0</v>
      </c>
      <c r="EF16" s="20" t="n">
        <f aca="false">EC16*MIN(Slot12_Cost,EE16)</f>
        <v>0</v>
      </c>
      <c r="EG16" s="20" t="n">
        <f aca="false">EC16*Slot12_SpendLike*MIN(Slot12_Cost-EF16,DY16)</f>
        <v>0</v>
      </c>
      <c r="EH16" s="20" t="n">
        <f aca="false">EF16+EG16</f>
        <v>0</v>
      </c>
      <c r="EI16" s="20" t="n">
        <f aca="false">DY16-EG16+EC16*IF(Slot12_SpendLike=1,EE16-EF16,IF(Slot12_PotFree=1,EE16,0))</f>
        <v>0</v>
      </c>
      <c r="EJ16" s="20" t="n">
        <f aca="false">DZ16+EC16*Slot12_BufPot*EE16</f>
        <v>12078.4449471005</v>
      </c>
      <c r="EK16" s="20" t="n">
        <f aca="false">IF(AND(EC16=1,Slot12_IsMfree=1),IF(EH16&gt;=Slot12_Cost-1,0,MAX(0,EA16-EH16)),EA16)</f>
        <v>135876.528391036</v>
      </c>
      <c r="EL16" s="20" t="n">
        <f aca="false">EC16*(Slot12_Cost-EH16)</f>
        <v>0</v>
      </c>
      <c r="EM16" s="20" t="n">
        <f aca="false">IF(AND(Slot13_On=1,D16=Slot13_Age),1,0)</f>
        <v>0</v>
      </c>
      <c r="EN16" s="20" t="n">
        <f aca="false">IF(AND(Slot13_On=1,Slot13_Age&gt;D16),1,0)</f>
        <v>0</v>
      </c>
      <c r="EO16" s="20" t="n">
        <f aca="false">SI15</f>
        <v>0</v>
      </c>
      <c r="EP16" s="20" t="n">
        <f aca="false">EM16*MIN(Slot13_Cost,EO16)</f>
        <v>0</v>
      </c>
      <c r="EQ16" s="20" t="n">
        <f aca="false">EM16*Slot13_SpendLike*MIN(Slot13_Cost-EP16,EI16)</f>
        <v>0</v>
      </c>
      <c r="ER16" s="20" t="n">
        <f aca="false">EP16+EQ16</f>
        <v>0</v>
      </c>
      <c r="ES16" s="20" t="n">
        <f aca="false">EI16-EQ16+EM16*IF(Slot13_SpendLike=1,EO16-EP16,IF(Slot13_PotFree=1,EO16,0))</f>
        <v>0</v>
      </c>
      <c r="ET16" s="20" t="n">
        <f aca="false">EJ16+EM16*Slot13_BufPot*EO16</f>
        <v>12078.4449471005</v>
      </c>
      <c r="EU16" s="20" t="n">
        <f aca="false">IF(AND(EM16=1,Slot13_IsMfree=1),IF(ER16&gt;=Slot13_Cost-1,0,MAX(0,EK16-ER16)),EK16)</f>
        <v>135876.528391036</v>
      </c>
      <c r="EV16" s="20" t="n">
        <f aca="false">EM16*(Slot13_Cost-ER16)</f>
        <v>0</v>
      </c>
      <c r="EW16" s="20" t="n">
        <f aca="false">IF(AND(Slot14_On=1,D16=Slot14_Age),1,0)</f>
        <v>0</v>
      </c>
      <c r="EX16" s="20" t="n">
        <f aca="false">IF(AND(Slot14_On=1,Slot14_Age&gt;D16),1,0)</f>
        <v>0</v>
      </c>
      <c r="EY16" s="20" t="n">
        <f aca="false">SM15</f>
        <v>0</v>
      </c>
      <c r="EZ16" s="20" t="n">
        <f aca="false">EW16*MIN(Slot14_Cost,EY16)</f>
        <v>0</v>
      </c>
      <c r="FA16" s="20" t="n">
        <f aca="false">EW16*Slot14_SpendLike*MIN(Slot14_Cost-EZ16,ES16)</f>
        <v>0</v>
      </c>
      <c r="FB16" s="20" t="n">
        <f aca="false">EZ16+FA16</f>
        <v>0</v>
      </c>
      <c r="FC16" s="20" t="n">
        <f aca="false">ES16-FA16+EW16*IF(Slot14_SpendLike=1,EY16-EZ16,IF(Slot14_PotFree=1,EY16,0))</f>
        <v>0</v>
      </c>
      <c r="FD16" s="20" t="n">
        <f aca="false">ET16+EW16*Slot14_BufPot*EY16</f>
        <v>12078.4449471005</v>
      </c>
      <c r="FE16" s="20" t="n">
        <f aca="false">IF(AND(EW16=1,Slot14_IsMfree=1),IF(FB16&gt;=Slot14_Cost-1,0,MAX(0,EU16-FB16)),EU16)</f>
        <v>135876.528391036</v>
      </c>
      <c r="FF16" s="20" t="n">
        <f aca="false">EW16*(Slot14_Cost-FB16)</f>
        <v>0</v>
      </c>
      <c r="FG16" s="20" t="n">
        <f aca="false">IF(AND(Slot15_On=1,D16=Slot15_Age),1,0)</f>
        <v>0</v>
      </c>
      <c r="FH16" s="20" t="n">
        <f aca="false">IF(AND(Slot15_On=1,Slot15_Age&gt;D16),1,0)</f>
        <v>0</v>
      </c>
      <c r="FI16" s="20" t="n">
        <f aca="false">SQ15</f>
        <v>0</v>
      </c>
      <c r="FJ16" s="20" t="n">
        <f aca="false">FG16*MIN(Slot15_Cost,FI16)</f>
        <v>0</v>
      </c>
      <c r="FK16" s="20" t="n">
        <f aca="false">FG16*Slot15_SpendLike*MIN(Slot15_Cost-FJ16,FC16)</f>
        <v>0</v>
      </c>
      <c r="FL16" s="20" t="n">
        <f aca="false">FJ16+FK16</f>
        <v>0</v>
      </c>
      <c r="FM16" s="20" t="n">
        <f aca="false">FC16-FK16+FG16*IF(Slot15_SpendLike=1,FI16-FJ16,IF(Slot15_PotFree=1,FI16,0))</f>
        <v>0</v>
      </c>
      <c r="FN16" s="20" t="n">
        <f aca="false">FD16+FG16*Slot15_BufPot*FI16</f>
        <v>12078.4449471005</v>
      </c>
      <c r="FO16" s="20" t="n">
        <f aca="false">IF(AND(FG16=1,Slot15_IsMfree=1),IF(FL16&gt;=Slot15_Cost-1,0,MAX(0,FE16-FL16)),FE16)</f>
        <v>135876.528391036</v>
      </c>
      <c r="FP16" s="20" t="n">
        <f aca="false">FG16*(Slot15_Cost-FL16)</f>
        <v>0</v>
      </c>
      <c r="FQ16" s="20" t="n">
        <f aca="false">IF(AND(Slot16_On=1,D16=Slot16_Age),1,0)</f>
        <v>0</v>
      </c>
      <c r="FR16" s="20" t="n">
        <f aca="false">IF(AND(Slot16_On=1,Slot16_Age&gt;D16),1,0)</f>
        <v>0</v>
      </c>
      <c r="FS16" s="20" t="n">
        <f aca="false">SU15</f>
        <v>0</v>
      </c>
      <c r="FT16" s="20" t="n">
        <f aca="false">FQ16*MIN(Slot16_Cost,FS16)</f>
        <v>0</v>
      </c>
      <c r="FU16" s="20" t="n">
        <f aca="false">FQ16*Slot16_SpendLike*MIN(Slot16_Cost-FT16,FM16)</f>
        <v>0</v>
      </c>
      <c r="FV16" s="20" t="n">
        <f aca="false">FT16+FU16</f>
        <v>0</v>
      </c>
      <c r="FW16" s="20" t="n">
        <f aca="false">FM16-FU16+FQ16*IF(Slot16_SpendLike=1,FS16-FT16,IF(Slot16_PotFree=1,FS16,0))</f>
        <v>0</v>
      </c>
      <c r="FX16" s="20" t="n">
        <f aca="false">FN16+FQ16*Slot16_BufPot*FS16</f>
        <v>12078.4449471005</v>
      </c>
      <c r="FY16" s="20" t="n">
        <f aca="false">IF(AND(FQ16=1,Slot16_IsMfree=1),IF(FV16&gt;=Slot16_Cost-1,0,MAX(0,FO16-FV16)),FO16)</f>
        <v>135876.528391036</v>
      </c>
      <c r="FZ16" s="20" t="n">
        <f aca="false">FQ16*(Slot16_Cost-FV16)</f>
        <v>0</v>
      </c>
      <c r="GA16" s="20" t="n">
        <f aca="false">IF(AND(Slot17_On=1,D16=Slot17_Age),1,0)</f>
        <v>0</v>
      </c>
      <c r="GB16" s="20" t="n">
        <f aca="false">IF(AND(Slot17_On=1,Slot17_Age&gt;D16),1,0)</f>
        <v>0</v>
      </c>
      <c r="GC16" s="20" t="n">
        <f aca="false">SY15</f>
        <v>0</v>
      </c>
      <c r="GD16" s="20" t="n">
        <f aca="false">GA16*MIN(Slot17_Cost,GC16)</f>
        <v>0</v>
      </c>
      <c r="GE16" s="20" t="n">
        <f aca="false">GA16*Slot17_SpendLike*MIN(Slot17_Cost-GD16,FW16)</f>
        <v>0</v>
      </c>
      <c r="GF16" s="20" t="n">
        <f aca="false">GD16+GE16</f>
        <v>0</v>
      </c>
      <c r="GG16" s="20" t="n">
        <f aca="false">FW16-GE16+GA16*IF(Slot17_SpendLike=1,GC16-GD16,IF(Slot17_PotFree=1,GC16,0))</f>
        <v>0</v>
      </c>
      <c r="GH16" s="20" t="n">
        <f aca="false">FX16+GA16*Slot17_BufPot*GC16</f>
        <v>12078.4449471005</v>
      </c>
      <c r="GI16" s="20" t="n">
        <f aca="false">IF(AND(GA16=1,Slot17_IsMfree=1),IF(GF16&gt;=Slot17_Cost-1,0,MAX(0,FY16-GF16)),FY16)</f>
        <v>135876.528391036</v>
      </c>
      <c r="GJ16" s="20" t="n">
        <f aca="false">GA16*(Slot17_Cost-GF16)</f>
        <v>0</v>
      </c>
      <c r="GK16" s="20" t="n">
        <f aca="false">IF(AND(Slot18_On=1,D16=Slot18_Age),1,0)</f>
        <v>0</v>
      </c>
      <c r="GL16" s="20" t="n">
        <f aca="false">IF(AND(Slot18_On=1,Slot18_Age&gt;D16),1,0)</f>
        <v>0</v>
      </c>
      <c r="GM16" s="20" t="n">
        <f aca="false">TC15</f>
        <v>0</v>
      </c>
      <c r="GN16" s="20" t="n">
        <f aca="false">GK16*MIN(Slot18_Cost,GM16)</f>
        <v>0</v>
      </c>
      <c r="GO16" s="20" t="n">
        <f aca="false">GK16*Slot18_SpendLike*MIN(Slot18_Cost-GN16,GG16)</f>
        <v>0</v>
      </c>
      <c r="GP16" s="20" t="n">
        <f aca="false">GN16+GO16</f>
        <v>0</v>
      </c>
      <c r="GQ16" s="20" t="n">
        <f aca="false">GG16-GO16+GK16*IF(Slot18_SpendLike=1,GM16-GN16,IF(Slot18_PotFree=1,GM16,0))</f>
        <v>0</v>
      </c>
      <c r="GR16" s="20" t="n">
        <f aca="false">GH16+GK16*Slot18_BufPot*GM16</f>
        <v>12078.4449471005</v>
      </c>
      <c r="GS16" s="20" t="n">
        <f aca="false">IF(AND(GK16=1,Slot18_IsMfree=1),IF(GP16&gt;=Slot18_Cost-1,0,MAX(0,GI16-GP16)),GI16)</f>
        <v>135876.528391036</v>
      </c>
      <c r="GT16" s="20" t="n">
        <f aca="false">GK16*(Slot18_Cost-GP16)</f>
        <v>0</v>
      </c>
      <c r="GU16" s="20" t="n">
        <f aca="false">IF(AND(Slot19_On=1,D16=Slot19_Age),1,0)</f>
        <v>0</v>
      </c>
      <c r="GV16" s="20" t="n">
        <f aca="false">IF(AND(Slot19_On=1,Slot19_Age&gt;D16),1,0)</f>
        <v>0</v>
      </c>
      <c r="GW16" s="20" t="n">
        <f aca="false">TG15</f>
        <v>0</v>
      </c>
      <c r="GX16" s="20" t="n">
        <f aca="false">GU16*MIN(Slot19_Cost,GW16)</f>
        <v>0</v>
      </c>
      <c r="GY16" s="20" t="n">
        <f aca="false">GU16*Slot19_SpendLike*MIN(Slot19_Cost-GX16,GQ16)</f>
        <v>0</v>
      </c>
      <c r="GZ16" s="20" t="n">
        <f aca="false">GX16+GY16</f>
        <v>0</v>
      </c>
      <c r="HA16" s="20" t="n">
        <f aca="false">GQ16-GY16+GU16*IF(Slot19_SpendLike=1,GW16-GX16,IF(Slot19_PotFree=1,GW16,0))</f>
        <v>0</v>
      </c>
      <c r="HB16" s="20" t="n">
        <f aca="false">GR16+GU16*Slot19_BufPot*GW16</f>
        <v>12078.4449471005</v>
      </c>
      <c r="HC16" s="20" t="n">
        <f aca="false">IF(AND(GU16=1,Slot19_IsMfree=1),IF(GZ16&gt;=Slot19_Cost-1,0,MAX(0,GS16-GZ16)),GS16)</f>
        <v>135876.528391036</v>
      </c>
      <c r="HD16" s="20" t="n">
        <f aca="false">GU16*(Slot19_Cost-GZ16)</f>
        <v>0</v>
      </c>
      <c r="HE16" s="20" t="n">
        <f aca="false">IF(AND(Slot20_On=1,D16=Slot20_Age),1,0)</f>
        <v>0</v>
      </c>
      <c r="HF16" s="20" t="n">
        <f aca="false">IF(AND(Slot20_On=1,Slot20_Age&gt;D16),1,0)</f>
        <v>0</v>
      </c>
      <c r="HG16" s="20" t="n">
        <f aca="false">TK15</f>
        <v>0</v>
      </c>
      <c r="HH16" s="20" t="n">
        <f aca="false">HE16*MIN(Slot20_Cost,HG16)</f>
        <v>0</v>
      </c>
      <c r="HI16" s="20" t="n">
        <f aca="false">HE16*Slot20_SpendLike*MIN(Slot20_Cost-HH16,HA16)</f>
        <v>0</v>
      </c>
      <c r="HJ16" s="20" t="n">
        <f aca="false">HH16+HI16</f>
        <v>0</v>
      </c>
      <c r="HK16" s="20" t="n">
        <f aca="false">HA16-HI16+HE16*IF(Slot20_SpendLike=1,HG16-HH16,IF(Slot20_PotFree=1,HG16,0))</f>
        <v>0</v>
      </c>
      <c r="HL16" s="20" t="n">
        <f aca="false">HB16+HE16*Slot20_BufPot*HG16</f>
        <v>12078.4449471005</v>
      </c>
      <c r="HM16" s="20" t="n">
        <f aca="false">IF(AND(HE16=1,Slot20_IsMfree=1),IF(HJ16&gt;=Slot20_Cost-1,0,MAX(0,HC16-HJ16)),HC16)</f>
        <v>135876.528391036</v>
      </c>
      <c r="HN16" s="20" t="n">
        <f aca="false">HE16*(Slot20_Cost-HJ16)</f>
        <v>0</v>
      </c>
      <c r="HO16" s="20" t="n">
        <f aca="false">V16*Slot1_SpendLike*AA16+AG16*Slot2_SpendLike*AL16+AQ16*Slot3_SpendLike*AV16+BA16*Slot4_SpendLike*BF16+BK16*Slot5_SpendLike*BP16+BU16*Slot6_SpendLike*BZ16+CE16*Slot7_SpendLike*CJ16+CO16*Slot8_SpendLike*CT16+CY16*Slot9_SpendLike*DD16+DI16*Slot10_SpendLike*DN16+DS16*Slot11_SpendLike*DX16+EC16*Slot12_SpendLike*EH16+EM16*Slot13_SpendLike*ER16+EW16*Slot14_SpendLike*FB16+FG16*Slot15_SpendLike*FL16+FQ16*Slot16_SpendLike*FV16+GA16*Slot17_SpendLike*GF16+GK16*Slot18_SpendLike*GP16+GU16*Slot19_SpendLike*GZ16+HE16*Slot20_SpendLike*HJ16</f>
        <v>0</v>
      </c>
      <c r="HP16" s="20" t="n">
        <f aca="false">AE16+AP16+AZ16+BJ16+BT16+CD16+CN16+CX16+DH16+DR16+EB16+EL16+EV16+FF16+FP16+FZ16+GJ16+GT16+HD16+HN16</f>
        <v>0</v>
      </c>
      <c r="HQ16" s="20" t="n">
        <f aca="false">V16*Slot1_Cost+AG16*Slot2_Cost+AQ16*Slot3_Cost+BA16*Slot4_Cost+BK16*Slot5_Cost+BU16*Slot6_Cost+CE16*Slot7_Cost+CO16*Slot8_Cost+CY16*Slot9_Cost+DI16*Slot10_Cost+DS16*Slot11_Cost+EC16*Slot12_Cost+EM16*Slot13_Cost+EW16*Slot14_Cost+FG16*Slot15_Cost+FQ16*Slot16_Cost+GA16*Slot17_Cost+GK16*Slot18_Cost+GU16*Slot19_Cost+HE16*Slot20_Cost</f>
        <v>0</v>
      </c>
      <c r="HR16" s="20" t="n">
        <f aca="false">HM16</f>
        <v>135876.528391036</v>
      </c>
      <c r="HS16" s="20" t="n">
        <f aca="false">H16-I16-S16</f>
        <v>10040.4352615328</v>
      </c>
      <c r="HT16" s="20" t="n">
        <f aca="false">IF(B16=0,IF(AND(Has_q6=1,In_q6=4),PR_ShareVaries*(MAX(0,HS16)/12),MIN(IF(Has_q6=1,CHOOSE(In_q6+1,PR_SaveB1,PR_SaveB2,PR_SaveB3,PR_SaveB4,0),AS_NoAnswer),AS_SaveShare*(MAX(0,HS16)/12))),HT15)</f>
        <v>67.3316893520437</v>
      </c>
      <c r="HU16" s="20" t="n">
        <f aca="false">IF(HS16&gt;=0,1,0)</f>
        <v>1</v>
      </c>
      <c r="HV16" s="20" t="n">
        <f aca="false">MAX(0,HS16/12/F16)</f>
        <v>714.117901522991</v>
      </c>
      <c r="HW16" s="20" t="n">
        <f aca="false">IF(AND(Has_q6=1,In_q6=4),PR_ShareVaries*(HV16),MIN(IF(Has_q6=1,CHOOSE(In_q6+1,PR_SaveB1,PR_SaveB2,PR_SaveB3,PR_SaveB4,0),AS_NoAnswer),AS_SaveShare*(HV16)))</f>
        <v>357.058950761495</v>
      </c>
      <c r="HX16" s="20" t="n">
        <f aca="false">IF(Has_saveM=1,IF(In_saveUp="Yes",1,IF(In_saveUp="No",0,IF(In_saveM&gt;=HT16-0.5,1,0))),0)</f>
        <v>0</v>
      </c>
      <c r="HY16" s="20" t="n">
        <f aca="false">IF(Has_saveM=1,MIN(HV16,IF(HX16=1,MAX(In_saveM,HW16),MIN(In_saveM,HW16))),HW16)</f>
        <v>357.058950761495</v>
      </c>
      <c r="HZ16" s="20" t="n">
        <f aca="false">IF(G16=1,HY16*12*F16,0)</f>
        <v>5020.21763076639</v>
      </c>
      <c r="IA16" s="20" t="n">
        <f aca="false">MAX(0,HZ16+IF(AND(WI_Retire=0,WI_M&lt;0,G16=1),WI_M*12*F16,0))</f>
        <v>5020.21763076639</v>
      </c>
      <c r="IB16" s="20" t="n">
        <f aca="false">Slot1_IsWG*W16+Slot2_IsWG*AH16+Slot3_IsWG*AR16+Slot4_IsWG*BB16+Slot5_IsWG*BL16+Slot6_IsWG*BV16+Slot7_IsWG*CF16+Slot8_IsWG*CP16+Slot9_IsWG*CZ16+Slot10_IsWG*DJ16+Slot11_IsWG*DT16+Slot12_IsWG*ED16+Slot13_IsWG*EN16+Slot14_IsWG*EX16+Slot15_IsWG*FH16+Slot16_IsWG*FR16+Slot17_IsWG*GB16+Slot18_IsWG*GL16+Slot19_IsWG*GV16+Slot20_IsWG*HF16</f>
        <v>0</v>
      </c>
      <c r="IC16" s="20" t="n">
        <f aca="false">IF(AND(WI_Retire=0,WI_M&gt;0,G16=1,IB16&gt;=1),WI_M*12*F16,0)</f>
        <v>0</v>
      </c>
      <c r="ID16" s="20" t="n">
        <f aca="false">IF(HU16=1,MIN(IA16,HS16),0)</f>
        <v>5020.21763076639</v>
      </c>
      <c r="IE16" s="20" t="n">
        <f aca="false">IF(HU16=1,MIN(IC16,HS16-ID16),0)</f>
        <v>0</v>
      </c>
      <c r="IF16" s="20" t="n">
        <f aca="false">IF(W16=1,IF(ABS((1+AS_Wage)/(1+Slot1_Rate)-1)&lt;0.000000000001,(Slot1_Age-D16)*(1+Slot1_Rate)^(Slot1_Age-D16),(1+Slot1_Rate)^(Slot1_Age-D16)*(1-((1+AS_Wage)/(1+Slot1_Rate))^(Slot1_Age-D16))/(1-(1+AS_Wage)/(1+Slot1_Rate))),1)</f>
        <v>1</v>
      </c>
      <c r="IG16" s="20" t="n">
        <f aca="false">IF(AND(HU16=1,IE16&gt;0,Slot1_IsWG=1,W16=1),MAX(0,(Slot1_Cost-X16*(1+Slot1_Rate)^(Slot1_Age-D16))/IF16),0)</f>
        <v>0</v>
      </c>
      <c r="IH16" s="20" t="n">
        <f aca="false">IF(AND(HU16=1,IE16&gt;0,Slot1_IsWG=1,W16=1),MIN(IE16,IG16),0)</f>
        <v>0</v>
      </c>
      <c r="II16" s="20" t="n">
        <f aca="false">X16+IH16</f>
        <v>0</v>
      </c>
      <c r="IJ16" s="20" t="n">
        <f aca="false">IF(W16=1,MAX(0,(Slot1_Cost-II16*(1+Slot1_Rate)^(Slot1_Age-D16))/IF16),0)</f>
        <v>0</v>
      </c>
      <c r="IK16" s="20" t="n">
        <f aca="false">IF(W16=1,MAX(0,(Slot1_Cost-X16*(1+Slot1_Rate)^(Slot1_Age-D16))/IF16),0)</f>
        <v>0</v>
      </c>
      <c r="IL16" s="20" t="n">
        <f aca="false">IF(AND(HU16=1,W16=1),MIN(ID16,IJ16),0)</f>
        <v>0</v>
      </c>
      <c r="IM16" s="20" t="n">
        <f aca="false">ID16-IL16</f>
        <v>5020.21763076639</v>
      </c>
      <c r="IN16" s="20" t="n">
        <f aca="false">IF(AH16=1,IF(ABS((1+AS_Wage)/(1+Slot2_Rate)-1)&lt;0.000000000001,(Slot2_Age-D16)*(1+Slot2_Rate)^(Slot2_Age-D16),(1+Slot2_Rate)^(Slot2_Age-D16)*(1-((1+AS_Wage)/(1+Slot2_Rate))^(Slot2_Age-D16))/(1-(1+AS_Wage)/(1+Slot2_Rate))),1)</f>
        <v>1</v>
      </c>
      <c r="IO16" s="20" t="n">
        <f aca="false">IF(AND(HU16=1,IE16&gt;0,Slot2_IsWG=1,AH16=1),MAX(0,(Slot2_Cost-AI16*(1+Slot2_Rate)^(Slot2_Age-D16))/IN16),0)</f>
        <v>0</v>
      </c>
      <c r="IP16" s="20" t="n">
        <f aca="false">IF(AND(HU16=1,IE16&gt;0,Slot2_IsWG=1,AH16=1),MIN(IE16,IO16),0)</f>
        <v>0</v>
      </c>
      <c r="IQ16" s="20" t="n">
        <f aca="false">AI16+IP16</f>
        <v>0</v>
      </c>
      <c r="IR16" s="20" t="n">
        <f aca="false">IF(AH16=1,MAX(0,(Slot2_Cost-IQ16*(1+Slot2_Rate)^(Slot2_Age-D16))/IN16),0)</f>
        <v>0</v>
      </c>
      <c r="IS16" s="20" t="n">
        <f aca="false">IF(AH16=1,MAX(0,(Slot2_Cost-AI16*(1+Slot2_Rate)^(Slot2_Age-D16))/IN16),0)</f>
        <v>0</v>
      </c>
      <c r="IT16" s="20" t="n">
        <f aca="false">IF(AND(HU16=1,AH16=1),MIN(IM16,IR16),0)</f>
        <v>0</v>
      </c>
      <c r="IU16" s="20" t="n">
        <f aca="false">IM16-IT16</f>
        <v>5020.21763076639</v>
      </c>
      <c r="IV16" s="20" t="n">
        <f aca="false">IF(AR16=1,IF(ABS((1+AS_Wage)/(1+Slot3_Rate)-1)&lt;0.000000000001,(Slot3_Age-D16)*(1+Slot3_Rate)^(Slot3_Age-D16),(1+Slot3_Rate)^(Slot3_Age-D16)*(1-((1+AS_Wage)/(1+Slot3_Rate))^(Slot3_Age-D16))/(1-(1+AS_Wage)/(1+Slot3_Rate))),1)</f>
        <v>2.109456</v>
      </c>
      <c r="IW16" s="20" t="n">
        <f aca="false">IF(AND(HU16=1,IE16&gt;0,Slot3_IsWG=1,AR16=1),MAX(0,(Slot3_Cost-AS16*(1+Slot3_Rate)^(Slot3_Age-D16))/IV16),0)</f>
        <v>0</v>
      </c>
      <c r="IX16" s="20" t="n">
        <f aca="false">IF(AND(HU16=1,IE16&gt;0,Slot3_IsWG=1,AR16=1),MIN(IE16,IW16),0)</f>
        <v>0</v>
      </c>
      <c r="IY16" s="20" t="n">
        <f aca="false">AS16+IX16</f>
        <v>18955.1793027713</v>
      </c>
      <c r="IZ16" s="20" t="n">
        <f aca="false">IF(AR16=1,MAX(0,(Slot3_Cost-IY16*(1+Slot3_Rate)^(Slot3_Age-D16))/IV16),0)</f>
        <v>19434.422273806</v>
      </c>
      <c r="JA16" s="20" t="n">
        <f aca="false">IF(AR16=1,MAX(0,(Slot3_Cost-AS16*(1+Slot3_Rate)^(Slot3_Age-D16))/IV16),0)</f>
        <v>19434.422273806</v>
      </c>
      <c r="JB16" s="20" t="n">
        <f aca="false">IF(AND(HU16=1,AR16=1),MIN(IU16,IZ16),0)</f>
        <v>5020.21763076639</v>
      </c>
      <c r="JC16" s="20" t="n">
        <f aca="false">IU16-JB16</f>
        <v>0</v>
      </c>
      <c r="JD16" s="20" t="n">
        <f aca="false">IF(BB16=1,IF(ABS((1+AS_Wage)/(1+Slot4_Rate)-1)&lt;0.000000000001,(Slot4_Age-D16)*(1+Slot4_Rate)^(Slot4_Age-D16),(1+Slot4_Rate)^(Slot4_Age-D16)*(1-((1+AS_Wage)/(1+Slot4_Rate))^(Slot4_Age-D16))/(1-(1+AS_Wage)/(1+Slot4_Rate))),1)</f>
        <v>11.5172854241178</v>
      </c>
      <c r="JE16" s="20" t="n">
        <f aca="false">IF(AND(HU16=1,IE16&gt;0,Slot4_IsWG=1,BB16=1),MAX(0,(Slot4_Cost-BC16*(1+Slot4_Rate)^(Slot4_Age-D16))/JD16),0)</f>
        <v>0</v>
      </c>
      <c r="JF16" s="20" t="n">
        <f aca="false">IF(AND(HU16=1,IE16&gt;0,Slot4_IsWG=1,BB16=1),MIN(IE16,JE16),0)</f>
        <v>0</v>
      </c>
      <c r="JG16" s="20" t="n">
        <f aca="false">BC16+JF16</f>
        <v>0</v>
      </c>
      <c r="JH16" s="20" t="n">
        <f aca="false">IF(BB16=1,MAX(0,(Slot4_Cost-JG16*(1+Slot4_Rate)^(Slot4_Age-D16))/JD16),0)</f>
        <v>3474.76807069706</v>
      </c>
      <c r="JI16" s="20" t="n">
        <f aca="false">IF(BB16=1,MAX(0,(Slot4_Cost-BC16*(1+Slot4_Rate)^(Slot4_Age-D16))/JD16),0)</f>
        <v>3474.76807069706</v>
      </c>
      <c r="JJ16" s="20" t="n">
        <f aca="false">IF(AND(HU16=1,BB16=1),MIN(JC16,JH16),0)</f>
        <v>0</v>
      </c>
      <c r="JK16" s="20" t="n">
        <f aca="false">JC16-JJ16</f>
        <v>0</v>
      </c>
      <c r="JL16" s="20" t="n">
        <f aca="false">IF(BL16=1,IF(ABS((1+AS_Wage)/(1+Slot5_Rate)-1)&lt;0.000000000001,(Slot5_Age-D16)*(1+Slot5_Rate)^(Slot5_Age-D16),(1+Slot5_Rate)^(Slot5_Age-D16)*(1-((1+AS_Wage)/(1+Slot5_Rate))^(Slot5_Age-D16))/(1-(1+AS_Wage)/(1+Slot5_Rate))),1)</f>
        <v>1</v>
      </c>
      <c r="JM16" s="20" t="n">
        <f aca="false">IF(AND(HU16=1,IE16&gt;0,Slot5_IsWG=1,BL16=1),MAX(0,(Slot5_Cost-BM16*(1+Slot5_Rate)^(Slot5_Age-D16))/JL16),0)</f>
        <v>0</v>
      </c>
      <c r="JN16" s="20" t="n">
        <f aca="false">IF(AND(HU16=1,IE16&gt;0,Slot5_IsWG=1,BL16=1),MIN(IE16,JM16),0)</f>
        <v>0</v>
      </c>
      <c r="JO16" s="20" t="n">
        <f aca="false">BM16+JN16</f>
        <v>0</v>
      </c>
      <c r="JP16" s="20" t="n">
        <f aca="false">IF(BL16=1,MAX(0,(Slot5_Cost-JO16*(1+Slot5_Rate)^(Slot5_Age-D16))/JL16),0)</f>
        <v>0</v>
      </c>
      <c r="JQ16" s="20" t="n">
        <f aca="false">IF(BL16=1,MAX(0,(Slot5_Cost-BM16*(1+Slot5_Rate)^(Slot5_Age-D16))/JL16),0)</f>
        <v>0</v>
      </c>
      <c r="JR16" s="20" t="n">
        <f aca="false">IF(AND(HU16=1,BL16=1),MIN(JK16,JP16),0)</f>
        <v>0</v>
      </c>
      <c r="JS16" s="20" t="n">
        <f aca="false">JK16-JR16</f>
        <v>0</v>
      </c>
      <c r="JT16" s="20" t="n">
        <f aca="false">IF(BV16=1,IF(ABS((1+AS_Wage)/(1+Slot6_Rate)-1)&lt;0.000000000001,(Slot6_Age-D16)*(1+Slot6_Rate)^(Slot6_Age-D16),(1+Slot6_Rate)^(Slot6_Age-D16)*(1-((1+AS_Wage)/(1+Slot6_Rate))^(Slot6_Age-D16))/(1-(1+AS_Wage)/(1+Slot6_Rate))),1)</f>
        <v>1</v>
      </c>
      <c r="JU16" s="20" t="n">
        <f aca="false">IF(AND(HU16=1,IE16&gt;0,Slot6_IsWG=1,BV16=1),MAX(0,(Slot6_Cost-BW16*(1+Slot6_Rate)^(Slot6_Age-D16))/JT16),0)</f>
        <v>0</v>
      </c>
      <c r="JV16" s="20" t="n">
        <f aca="false">IF(AND(HU16=1,IE16&gt;0,Slot6_IsWG=1,BV16=1),MIN(IE16,JU16),0)</f>
        <v>0</v>
      </c>
      <c r="JW16" s="20" t="n">
        <f aca="false">BW16+JV16</f>
        <v>0</v>
      </c>
      <c r="JX16" s="20" t="n">
        <f aca="false">IF(BV16=1,MAX(0,(Slot6_Cost-JW16*(1+Slot6_Rate)^(Slot6_Age-D16))/JT16),0)</f>
        <v>0</v>
      </c>
      <c r="JY16" s="20" t="n">
        <f aca="false">IF(BV16=1,MAX(0,(Slot6_Cost-BW16*(1+Slot6_Rate)^(Slot6_Age-D16))/JT16),0)</f>
        <v>0</v>
      </c>
      <c r="JZ16" s="20" t="n">
        <f aca="false">IF(AND(HU16=1,BV16=1),MIN(JS16,JX16),0)</f>
        <v>0</v>
      </c>
      <c r="KA16" s="20" t="n">
        <f aca="false">JS16-JZ16</f>
        <v>0</v>
      </c>
      <c r="KB16" s="20" t="n">
        <f aca="false">IF(CF16=1,IF(ABS((1+AS_Wage)/(1+Slot7_Rate)-1)&lt;0.000000000001,(Slot7_Age-D16)*(1+Slot7_Rate)^(Slot7_Age-D16),(1+Slot7_Rate)^(Slot7_Age-D16)*(1-((1+AS_Wage)/(1+Slot7_Rate))^(Slot7_Age-D16))/(1-(1+AS_Wage)/(1+Slot7_Rate))),1)</f>
        <v>1</v>
      </c>
      <c r="KC16" s="20" t="n">
        <f aca="false">IF(AND(HU16=1,IE16&gt;0,Slot7_IsWG=1,CF16=1),MAX(0,(Slot7_Cost-CG16*(1+Slot7_Rate)^(Slot7_Age-D16))/KB16),0)</f>
        <v>0</v>
      </c>
      <c r="KD16" s="20" t="n">
        <f aca="false">IF(AND(HU16=1,IE16&gt;0,Slot7_IsWG=1,CF16=1),MIN(IE16,KC16),0)</f>
        <v>0</v>
      </c>
      <c r="KE16" s="20" t="n">
        <f aca="false">CG16+KD16</f>
        <v>0</v>
      </c>
      <c r="KF16" s="20" t="n">
        <f aca="false">IF(CF16=1,MAX(0,(Slot7_Cost-KE16*(1+Slot7_Rate)^(Slot7_Age-D16))/KB16),0)</f>
        <v>0</v>
      </c>
      <c r="KG16" s="20" t="n">
        <f aca="false">IF(CF16=1,MAX(0,(Slot7_Cost-CG16*(1+Slot7_Rate)^(Slot7_Age-D16))/KB16),0)</f>
        <v>0</v>
      </c>
      <c r="KH16" s="20" t="n">
        <f aca="false">IF(AND(HU16=1,CF16=1),MIN(KA16,KF16),0)</f>
        <v>0</v>
      </c>
      <c r="KI16" s="20" t="n">
        <f aca="false">KA16-KH16</f>
        <v>0</v>
      </c>
      <c r="KJ16" s="20" t="n">
        <f aca="false">IF(CP16=1,IF(ABS((1+AS_Wage)/(1+Slot8_Rate)-1)&lt;0.000000000001,(Slot8_Age-D16)*(1+Slot8_Rate)^(Slot8_Age-D16),(1+Slot8_Rate)^(Slot8_Age-D16)*(1-((1+AS_Wage)/(1+Slot8_Rate))^(Slot8_Age-D16))/(1-(1+AS_Wage)/(1+Slot8_Rate))),1)</f>
        <v>1</v>
      </c>
      <c r="KK16" s="20" t="n">
        <f aca="false">IF(AND(HU16=1,IE16&gt;0,Slot8_IsWG=1,CP16=1),MAX(0,(Slot8_Cost-CQ16*(1+Slot8_Rate)^(Slot8_Age-D16))/KJ16),0)</f>
        <v>0</v>
      </c>
      <c r="KL16" s="20" t="n">
        <f aca="false">IF(AND(HU16=1,IE16&gt;0,Slot8_IsWG=1,CP16=1),MIN(IE16,KK16),0)</f>
        <v>0</v>
      </c>
      <c r="KM16" s="20" t="n">
        <f aca="false">CQ16+KL16</f>
        <v>0</v>
      </c>
      <c r="KN16" s="20" t="n">
        <f aca="false">IF(CP16=1,MAX(0,(Slot8_Cost-KM16*(1+Slot8_Rate)^(Slot8_Age-D16))/KJ16),0)</f>
        <v>0</v>
      </c>
      <c r="KO16" s="20" t="n">
        <f aca="false">IF(CP16=1,MAX(0,(Slot8_Cost-CQ16*(1+Slot8_Rate)^(Slot8_Age-D16))/KJ16),0)</f>
        <v>0</v>
      </c>
      <c r="KP16" s="20" t="n">
        <f aca="false">IF(AND(HU16=1,CP16=1),MIN(KI16,KN16),0)</f>
        <v>0</v>
      </c>
      <c r="KQ16" s="20" t="n">
        <f aca="false">KI16-KP16</f>
        <v>0</v>
      </c>
      <c r="KR16" s="20" t="n">
        <f aca="false">IF(CZ16=1,IF(ABS((1+AS_Wage)/(1+Slot9_Rate)-1)&lt;0.000000000001,(Slot9_Age-D16)*(1+Slot9_Rate)^(Slot9_Age-D16),(1+Slot9_Rate)^(Slot9_Age-D16)*(1-((1+AS_Wage)/(1+Slot9_Rate))^(Slot9_Age-D16))/(1-(1+AS_Wage)/(1+Slot9_Rate))),1)</f>
        <v>1</v>
      </c>
      <c r="KS16" s="20" t="n">
        <f aca="false">IF(AND(HU16=1,IE16&gt;0,Slot9_IsWG=1,CZ16=1),MAX(0,(Slot9_Cost-DA16*(1+Slot9_Rate)^(Slot9_Age-D16))/KR16),0)</f>
        <v>0</v>
      </c>
      <c r="KT16" s="20" t="n">
        <f aca="false">IF(AND(HU16=1,IE16&gt;0,Slot9_IsWG=1,CZ16=1),MIN(IE16,KS16),0)</f>
        <v>0</v>
      </c>
      <c r="KU16" s="20" t="n">
        <f aca="false">DA16+KT16</f>
        <v>0</v>
      </c>
      <c r="KV16" s="20" t="n">
        <f aca="false">IF(CZ16=1,MAX(0,(Slot9_Cost-KU16*(1+Slot9_Rate)^(Slot9_Age-D16))/KR16),0)</f>
        <v>0</v>
      </c>
      <c r="KW16" s="20" t="n">
        <f aca="false">IF(CZ16=1,MAX(0,(Slot9_Cost-DA16*(1+Slot9_Rate)^(Slot9_Age-D16))/KR16),0)</f>
        <v>0</v>
      </c>
      <c r="KX16" s="20" t="n">
        <f aca="false">IF(AND(HU16=1,CZ16=1),MIN(KQ16,KV16),0)</f>
        <v>0</v>
      </c>
      <c r="KY16" s="20" t="n">
        <f aca="false">KQ16-KX16</f>
        <v>0</v>
      </c>
      <c r="KZ16" s="20" t="n">
        <f aca="false">IF(DJ16=1,IF(ABS((1+AS_Wage)/(1+Slot10_Rate)-1)&lt;0.000000000001,(Slot10_Age-D16)*(1+Slot10_Rate)^(Slot10_Age-D16),(1+Slot10_Rate)^(Slot10_Age-D16)*(1-((1+AS_Wage)/(1+Slot10_Rate))^(Slot10_Age-D16))/(1-(1+AS_Wage)/(1+Slot10_Rate))),1)</f>
        <v>1</v>
      </c>
      <c r="LA16" s="20" t="n">
        <f aca="false">IF(AND(HU16=1,IE16&gt;0,Slot10_IsWG=1,DJ16=1),MAX(0,(Slot10_Cost-DK16*(1+Slot10_Rate)^(Slot10_Age-D16))/KZ16),0)</f>
        <v>0</v>
      </c>
      <c r="LB16" s="20" t="n">
        <f aca="false">IF(AND(HU16=1,IE16&gt;0,Slot10_IsWG=1,DJ16=1),MIN(IE16,LA16),0)</f>
        <v>0</v>
      </c>
      <c r="LC16" s="20" t="n">
        <f aca="false">DK16+LB16</f>
        <v>0</v>
      </c>
      <c r="LD16" s="20" t="n">
        <f aca="false">IF(DJ16=1,MAX(0,(Slot10_Cost-LC16*(1+Slot10_Rate)^(Slot10_Age-D16))/KZ16),0)</f>
        <v>0</v>
      </c>
      <c r="LE16" s="20" t="n">
        <f aca="false">IF(DJ16=1,MAX(0,(Slot10_Cost-DK16*(1+Slot10_Rate)^(Slot10_Age-D16))/KZ16),0)</f>
        <v>0</v>
      </c>
      <c r="LF16" s="20" t="n">
        <f aca="false">IF(AND(HU16=1,DJ16=1),MIN(KY16,LD16),0)</f>
        <v>0</v>
      </c>
      <c r="LG16" s="20" t="n">
        <f aca="false">KY16-LF16</f>
        <v>0</v>
      </c>
      <c r="LH16" s="20" t="n">
        <f aca="false">IF(DT16=1,IF(ABS((1+AS_Wage)/(1+Slot11_Rate)-1)&lt;0.000000000001,(Slot11_Age-D16)*(1+Slot11_Rate)^(Slot11_Age-D16),(1+Slot11_Rate)^(Slot11_Age-D16)*(1-((1+AS_Wage)/(1+Slot11_Rate))^(Slot11_Age-D16))/(1-(1+AS_Wage)/(1+Slot11_Rate))),1)</f>
        <v>1</v>
      </c>
      <c r="LI16" s="20" t="n">
        <f aca="false">IF(AND(HU16=1,IE16&gt;0,Slot11_IsWG=1,DT16=1),MAX(0,(Slot11_Cost-DU16*(1+Slot11_Rate)^(Slot11_Age-D16))/LH16),0)</f>
        <v>0</v>
      </c>
      <c r="LJ16" s="20" t="n">
        <f aca="false">IF(AND(HU16=1,IE16&gt;0,Slot11_IsWG=1,DT16=1),MIN(IE16,LI16),0)</f>
        <v>0</v>
      </c>
      <c r="LK16" s="20" t="n">
        <f aca="false">DU16+LJ16</f>
        <v>0</v>
      </c>
      <c r="LL16" s="20" t="n">
        <f aca="false">IF(DT16=1,MAX(0,(Slot11_Cost-LK16*(1+Slot11_Rate)^(Slot11_Age-D16))/LH16),0)</f>
        <v>0</v>
      </c>
      <c r="LM16" s="20" t="n">
        <f aca="false">IF(DT16=1,MAX(0,(Slot11_Cost-DU16*(1+Slot11_Rate)^(Slot11_Age-D16))/LH16),0)</f>
        <v>0</v>
      </c>
      <c r="LN16" s="20" t="n">
        <f aca="false">IF(AND(HU16=1,DT16=1),MIN(LG16,LL16),0)</f>
        <v>0</v>
      </c>
      <c r="LO16" s="20" t="n">
        <f aca="false">LG16-LN16</f>
        <v>0</v>
      </c>
      <c r="LP16" s="20" t="n">
        <f aca="false">IF(ED16=1,IF(ABS((1+AS_Wage)/(1+Slot12_Rate)-1)&lt;0.000000000001,(Slot12_Age-D16)*(1+Slot12_Rate)^(Slot12_Age-D16),(1+Slot12_Rate)^(Slot12_Age-D16)*(1-((1+AS_Wage)/(1+Slot12_Rate))^(Slot12_Age-D16))/(1-(1+AS_Wage)/(1+Slot12_Rate))),1)</f>
        <v>1</v>
      </c>
      <c r="LQ16" s="20" t="n">
        <f aca="false">IF(AND(HU16=1,IE16&gt;0,Slot12_IsWG=1,ED16=1),MAX(0,(Slot12_Cost-EE16*(1+Slot12_Rate)^(Slot12_Age-D16))/LP16),0)</f>
        <v>0</v>
      </c>
      <c r="LR16" s="20" t="n">
        <f aca="false">IF(AND(HU16=1,IE16&gt;0,Slot12_IsWG=1,ED16=1),MIN(IE16,LQ16),0)</f>
        <v>0</v>
      </c>
      <c r="LS16" s="20" t="n">
        <f aca="false">EE16+LR16</f>
        <v>0</v>
      </c>
      <c r="LT16" s="20" t="n">
        <f aca="false">IF(ED16=1,MAX(0,(Slot12_Cost-LS16*(1+Slot12_Rate)^(Slot12_Age-D16))/LP16),0)</f>
        <v>0</v>
      </c>
      <c r="LU16" s="20" t="n">
        <f aca="false">IF(ED16=1,MAX(0,(Slot12_Cost-EE16*(1+Slot12_Rate)^(Slot12_Age-D16))/LP16),0)</f>
        <v>0</v>
      </c>
      <c r="LV16" s="20" t="n">
        <f aca="false">IF(AND(HU16=1,ED16=1),MIN(LO16,LT16),0)</f>
        <v>0</v>
      </c>
      <c r="LW16" s="20" t="n">
        <f aca="false">LO16-LV16</f>
        <v>0</v>
      </c>
      <c r="LX16" s="20" t="n">
        <f aca="false">IF(EN16=1,IF(ABS((1+AS_Wage)/(1+Slot13_Rate)-1)&lt;0.000000000001,(Slot13_Age-D16)*(1+Slot13_Rate)^(Slot13_Age-D16),(1+Slot13_Rate)^(Slot13_Age-D16)*(1-((1+AS_Wage)/(1+Slot13_Rate))^(Slot13_Age-D16))/(1-(1+AS_Wage)/(1+Slot13_Rate))),1)</f>
        <v>1</v>
      </c>
      <c r="LY16" s="20" t="n">
        <f aca="false">IF(AND(HU16=1,IE16&gt;0,Slot13_IsWG=1,EN16=1),MAX(0,(Slot13_Cost-EO16*(1+Slot13_Rate)^(Slot13_Age-D16))/LX16),0)</f>
        <v>0</v>
      </c>
      <c r="LZ16" s="20" t="n">
        <f aca="false">IF(AND(HU16=1,IE16&gt;0,Slot13_IsWG=1,EN16=1),MIN(IE16,LY16),0)</f>
        <v>0</v>
      </c>
      <c r="MA16" s="20" t="n">
        <f aca="false">EO16+LZ16</f>
        <v>0</v>
      </c>
      <c r="MB16" s="20" t="n">
        <f aca="false">IF(EN16=1,MAX(0,(Slot13_Cost-MA16*(1+Slot13_Rate)^(Slot13_Age-D16))/LX16),0)</f>
        <v>0</v>
      </c>
      <c r="MC16" s="20" t="n">
        <f aca="false">IF(EN16=1,MAX(0,(Slot13_Cost-EO16*(1+Slot13_Rate)^(Slot13_Age-D16))/LX16),0)</f>
        <v>0</v>
      </c>
      <c r="MD16" s="20" t="n">
        <f aca="false">IF(AND(HU16=1,EN16=1),MIN(LW16,MB16),0)</f>
        <v>0</v>
      </c>
      <c r="ME16" s="20" t="n">
        <f aca="false">LW16-MD16</f>
        <v>0</v>
      </c>
      <c r="MF16" s="20" t="n">
        <f aca="false">IF(EX16=1,IF(ABS((1+AS_Wage)/(1+Slot14_Rate)-1)&lt;0.000000000001,(Slot14_Age-D16)*(1+Slot14_Rate)^(Slot14_Age-D16),(1+Slot14_Rate)^(Slot14_Age-D16)*(1-((1+AS_Wage)/(1+Slot14_Rate))^(Slot14_Age-D16))/(1-(1+AS_Wage)/(1+Slot14_Rate))),1)</f>
        <v>1</v>
      </c>
      <c r="MG16" s="20" t="n">
        <f aca="false">IF(AND(HU16=1,IE16&gt;0,Slot14_IsWG=1,EX16=1),MAX(0,(Slot14_Cost-EY16*(1+Slot14_Rate)^(Slot14_Age-D16))/MF16),0)</f>
        <v>0</v>
      </c>
      <c r="MH16" s="20" t="n">
        <f aca="false">IF(AND(HU16=1,IE16&gt;0,Slot14_IsWG=1,EX16=1),MIN(IE16,MG16),0)</f>
        <v>0</v>
      </c>
      <c r="MI16" s="20" t="n">
        <f aca="false">EY16+MH16</f>
        <v>0</v>
      </c>
      <c r="MJ16" s="20" t="n">
        <f aca="false">IF(EX16=1,MAX(0,(Slot14_Cost-MI16*(1+Slot14_Rate)^(Slot14_Age-D16))/MF16),0)</f>
        <v>0</v>
      </c>
      <c r="MK16" s="20" t="n">
        <f aca="false">IF(EX16=1,MAX(0,(Slot14_Cost-EY16*(1+Slot14_Rate)^(Slot14_Age-D16))/MF16),0)</f>
        <v>0</v>
      </c>
      <c r="ML16" s="20" t="n">
        <f aca="false">IF(AND(HU16=1,EX16=1),MIN(ME16,MJ16),0)</f>
        <v>0</v>
      </c>
      <c r="MM16" s="20" t="n">
        <f aca="false">ME16-ML16</f>
        <v>0</v>
      </c>
      <c r="MN16" s="20" t="n">
        <f aca="false">IF(FH16=1,IF(ABS((1+AS_Wage)/(1+Slot15_Rate)-1)&lt;0.000000000001,(Slot15_Age-D16)*(1+Slot15_Rate)^(Slot15_Age-D16),(1+Slot15_Rate)^(Slot15_Age-D16)*(1-((1+AS_Wage)/(1+Slot15_Rate))^(Slot15_Age-D16))/(1-(1+AS_Wage)/(1+Slot15_Rate))),1)</f>
        <v>1</v>
      </c>
      <c r="MO16" s="20" t="n">
        <f aca="false">IF(AND(HU16=1,IE16&gt;0,Slot15_IsWG=1,FH16=1),MAX(0,(Slot15_Cost-FI16*(1+Slot15_Rate)^(Slot15_Age-D16))/MN16),0)</f>
        <v>0</v>
      </c>
      <c r="MP16" s="20" t="n">
        <f aca="false">IF(AND(HU16=1,IE16&gt;0,Slot15_IsWG=1,FH16=1),MIN(IE16,MO16),0)</f>
        <v>0</v>
      </c>
      <c r="MQ16" s="20" t="n">
        <f aca="false">FI16+MP16</f>
        <v>0</v>
      </c>
      <c r="MR16" s="20" t="n">
        <f aca="false">IF(FH16=1,MAX(0,(Slot15_Cost-MQ16*(1+Slot15_Rate)^(Slot15_Age-D16))/MN16),0)</f>
        <v>0</v>
      </c>
      <c r="MS16" s="20" t="n">
        <f aca="false">IF(FH16=1,MAX(0,(Slot15_Cost-FI16*(1+Slot15_Rate)^(Slot15_Age-D16))/MN16),0)</f>
        <v>0</v>
      </c>
      <c r="MT16" s="20" t="n">
        <f aca="false">IF(AND(HU16=1,FH16=1),MIN(MM16,MR16),0)</f>
        <v>0</v>
      </c>
      <c r="MU16" s="20" t="n">
        <f aca="false">MM16-MT16</f>
        <v>0</v>
      </c>
      <c r="MV16" s="20" t="n">
        <f aca="false">IF(FR16=1,IF(ABS((1+AS_Wage)/(1+Slot16_Rate)-1)&lt;0.000000000001,(Slot16_Age-D16)*(1+Slot16_Rate)^(Slot16_Age-D16),(1+Slot16_Rate)^(Slot16_Age-D16)*(1-((1+AS_Wage)/(1+Slot16_Rate))^(Slot16_Age-D16))/(1-(1+AS_Wage)/(1+Slot16_Rate))),1)</f>
        <v>1</v>
      </c>
      <c r="MW16" s="20" t="n">
        <f aca="false">IF(AND(HU16=1,IE16&gt;0,Slot16_IsWG=1,FR16=1),MAX(0,(Slot16_Cost-FS16*(1+Slot16_Rate)^(Slot16_Age-D16))/MV16),0)</f>
        <v>0</v>
      </c>
      <c r="MX16" s="20" t="n">
        <f aca="false">IF(AND(HU16=1,IE16&gt;0,Slot16_IsWG=1,FR16=1),MIN(IE16,MW16),0)</f>
        <v>0</v>
      </c>
      <c r="MY16" s="20" t="n">
        <f aca="false">FS16+MX16</f>
        <v>0</v>
      </c>
      <c r="MZ16" s="20" t="n">
        <f aca="false">IF(FR16=1,MAX(0,(Slot16_Cost-MY16*(1+Slot16_Rate)^(Slot16_Age-D16))/MV16),0)</f>
        <v>0</v>
      </c>
      <c r="NA16" s="20" t="n">
        <f aca="false">IF(FR16=1,MAX(0,(Slot16_Cost-FS16*(1+Slot16_Rate)^(Slot16_Age-D16))/MV16),0)</f>
        <v>0</v>
      </c>
      <c r="NB16" s="20" t="n">
        <f aca="false">IF(AND(HU16=1,FR16=1),MIN(MU16,MZ16),0)</f>
        <v>0</v>
      </c>
      <c r="NC16" s="20" t="n">
        <f aca="false">MU16-NB16</f>
        <v>0</v>
      </c>
      <c r="ND16" s="20" t="n">
        <f aca="false">IF(GB16=1,IF(ABS((1+AS_Wage)/(1+Slot17_Rate)-1)&lt;0.000000000001,(Slot17_Age-D16)*(1+Slot17_Rate)^(Slot17_Age-D16),(1+Slot17_Rate)^(Slot17_Age-D16)*(1-((1+AS_Wage)/(1+Slot17_Rate))^(Slot17_Age-D16))/(1-(1+AS_Wage)/(1+Slot17_Rate))),1)</f>
        <v>1</v>
      </c>
      <c r="NE16" s="20" t="n">
        <f aca="false">IF(AND(HU16=1,IE16&gt;0,Slot17_IsWG=1,GB16=1),MAX(0,(Slot17_Cost-GC16*(1+Slot17_Rate)^(Slot17_Age-D16))/ND16),0)</f>
        <v>0</v>
      </c>
      <c r="NF16" s="20" t="n">
        <f aca="false">IF(AND(HU16=1,IE16&gt;0,Slot17_IsWG=1,GB16=1),MIN(IE16,NE16),0)</f>
        <v>0</v>
      </c>
      <c r="NG16" s="20" t="n">
        <f aca="false">GC16+NF16</f>
        <v>0</v>
      </c>
      <c r="NH16" s="20" t="n">
        <f aca="false">IF(GB16=1,MAX(0,(Slot17_Cost-NG16*(1+Slot17_Rate)^(Slot17_Age-D16))/ND16),0)</f>
        <v>0</v>
      </c>
      <c r="NI16" s="20" t="n">
        <f aca="false">IF(GB16=1,MAX(0,(Slot17_Cost-GC16*(1+Slot17_Rate)^(Slot17_Age-D16))/ND16),0)</f>
        <v>0</v>
      </c>
      <c r="NJ16" s="20" t="n">
        <f aca="false">IF(AND(HU16=1,GB16=1),MIN(NC16,NH16),0)</f>
        <v>0</v>
      </c>
      <c r="NK16" s="20" t="n">
        <f aca="false">NC16-NJ16</f>
        <v>0</v>
      </c>
      <c r="NL16" s="20" t="n">
        <f aca="false">IF(GL16=1,IF(ABS((1+AS_Wage)/(1+Slot18_Rate)-1)&lt;0.000000000001,(Slot18_Age-D16)*(1+Slot18_Rate)^(Slot18_Age-D16),(1+Slot18_Rate)^(Slot18_Age-D16)*(1-((1+AS_Wage)/(1+Slot18_Rate))^(Slot18_Age-D16))/(1-(1+AS_Wage)/(1+Slot18_Rate))),1)</f>
        <v>1</v>
      </c>
      <c r="NM16" s="20" t="n">
        <f aca="false">IF(AND(HU16=1,IE16&gt;0,Slot18_IsWG=1,GL16=1),MAX(0,(Slot18_Cost-GM16*(1+Slot18_Rate)^(Slot18_Age-D16))/NL16),0)</f>
        <v>0</v>
      </c>
      <c r="NN16" s="20" t="n">
        <f aca="false">IF(AND(HU16=1,IE16&gt;0,Slot18_IsWG=1,GL16=1),MIN(IE16,NM16),0)</f>
        <v>0</v>
      </c>
      <c r="NO16" s="20" t="n">
        <f aca="false">GM16+NN16</f>
        <v>0</v>
      </c>
      <c r="NP16" s="20" t="n">
        <f aca="false">IF(GL16=1,MAX(0,(Slot18_Cost-NO16*(1+Slot18_Rate)^(Slot18_Age-D16))/NL16),0)</f>
        <v>0</v>
      </c>
      <c r="NQ16" s="20" t="n">
        <f aca="false">IF(GL16=1,MAX(0,(Slot18_Cost-GM16*(1+Slot18_Rate)^(Slot18_Age-D16))/NL16),0)</f>
        <v>0</v>
      </c>
      <c r="NR16" s="20" t="n">
        <f aca="false">IF(AND(HU16=1,GL16=1),MIN(NK16,NP16),0)</f>
        <v>0</v>
      </c>
      <c r="NS16" s="20" t="n">
        <f aca="false">NK16-NR16</f>
        <v>0</v>
      </c>
      <c r="NT16" s="20" t="n">
        <f aca="false">IF(GV16=1,IF(ABS((1+AS_Wage)/(1+Slot19_Rate)-1)&lt;0.000000000001,(Slot19_Age-D16)*(1+Slot19_Rate)^(Slot19_Age-D16),(1+Slot19_Rate)^(Slot19_Age-D16)*(1-((1+AS_Wage)/(1+Slot19_Rate))^(Slot19_Age-D16))/(1-(1+AS_Wage)/(1+Slot19_Rate))),1)</f>
        <v>1</v>
      </c>
      <c r="NU16" s="20" t="n">
        <f aca="false">IF(AND(HU16=1,IE16&gt;0,Slot19_IsWG=1,GV16=1),MAX(0,(Slot19_Cost-GW16*(1+Slot19_Rate)^(Slot19_Age-D16))/NT16),0)</f>
        <v>0</v>
      </c>
      <c r="NV16" s="20" t="n">
        <f aca="false">IF(AND(HU16=1,IE16&gt;0,Slot19_IsWG=1,GV16=1),MIN(IE16,NU16),0)</f>
        <v>0</v>
      </c>
      <c r="NW16" s="20" t="n">
        <f aca="false">GW16+NV16</f>
        <v>0</v>
      </c>
      <c r="NX16" s="20" t="n">
        <f aca="false">IF(GV16=1,MAX(0,(Slot19_Cost-NW16*(1+Slot19_Rate)^(Slot19_Age-D16))/NT16),0)</f>
        <v>0</v>
      </c>
      <c r="NY16" s="20" t="n">
        <f aca="false">IF(GV16=1,MAX(0,(Slot19_Cost-GW16*(1+Slot19_Rate)^(Slot19_Age-D16))/NT16),0)</f>
        <v>0</v>
      </c>
      <c r="NZ16" s="20" t="n">
        <f aca="false">IF(AND(HU16=1,GV16=1),MIN(NS16,NX16),0)</f>
        <v>0</v>
      </c>
      <c r="OA16" s="20" t="n">
        <f aca="false">NS16-NZ16</f>
        <v>0</v>
      </c>
      <c r="OB16" s="20" t="n">
        <f aca="false">IF(HF16=1,IF(ABS((1+AS_Wage)/(1+Slot20_Rate)-1)&lt;0.000000000001,(Slot20_Age-D16)*(1+Slot20_Rate)^(Slot20_Age-D16),(1+Slot20_Rate)^(Slot20_Age-D16)*(1-((1+AS_Wage)/(1+Slot20_Rate))^(Slot20_Age-D16))/(1-(1+AS_Wage)/(1+Slot20_Rate))),1)</f>
        <v>1</v>
      </c>
      <c r="OC16" s="20" t="n">
        <f aca="false">IF(AND(HU16=1,IE16&gt;0,Slot20_IsWG=1,HF16=1),MAX(0,(Slot20_Cost-HG16*(1+Slot20_Rate)^(Slot20_Age-D16))/OB16),0)</f>
        <v>0</v>
      </c>
      <c r="OD16" s="20" t="n">
        <f aca="false">IF(AND(HU16=1,IE16&gt;0,Slot20_IsWG=1,HF16=1),MIN(IE16,OC16),0)</f>
        <v>0</v>
      </c>
      <c r="OE16" s="20" t="n">
        <f aca="false">HG16+OD16</f>
        <v>0</v>
      </c>
      <c r="OF16" s="20" t="n">
        <f aca="false">IF(HF16=1,MAX(0,(Slot20_Cost-OE16*(1+Slot20_Rate)^(Slot20_Age-D16))/OB16),0)</f>
        <v>0</v>
      </c>
      <c r="OG16" s="20" t="n">
        <f aca="false">IF(HF16=1,MAX(0,(Slot20_Cost-HG16*(1+Slot20_Rate)^(Slot20_Age-D16))/OB16),0)</f>
        <v>0</v>
      </c>
      <c r="OH16" s="20" t="n">
        <f aca="false">IF(AND(HU16=1,HF16=1),MIN(OA16,OF16),0)</f>
        <v>0</v>
      </c>
      <c r="OI16" s="20" t="n">
        <f aca="false">OA16-OH16</f>
        <v>0</v>
      </c>
      <c r="OJ16" s="20" t="n">
        <f aca="false">IE16-(IH16+IP16+IX16+JF16+JN16+JV16+KD16+KL16+KT16+LB16+LJ16+LR16+LZ16+MH16+MP16+MX16+NF16+NN16+NV16+OD16)</f>
        <v>0</v>
      </c>
      <c r="OK16" s="20" t="n">
        <f aca="false">IF(HU16=1,HS16-ID16-IE16,0)</f>
        <v>5020.21763076639</v>
      </c>
      <c r="OL16" s="20" t="n">
        <f aca="false">IF(HU16=0,-HS16,0)</f>
        <v>0</v>
      </c>
      <c r="OM16" s="20" t="n">
        <f aca="false">MIN(OL16,HK16)</f>
        <v>0</v>
      </c>
      <c r="ON16" s="20" t="n">
        <f aca="false">OL16-OM16</f>
        <v>0</v>
      </c>
      <c r="OO16" s="20" t="n">
        <f aca="false">MIN(ON16,HL16)</f>
        <v>0</v>
      </c>
      <c r="OP16" s="20" t="n">
        <f aca="false">ON16-OO16</f>
        <v>0</v>
      </c>
      <c r="OQ16" s="20" t="n">
        <f aca="false">IF(AND(HU16=0,HF16=1,OP16&gt;0),MIN(OP16,HG16),0)</f>
        <v>0</v>
      </c>
      <c r="OR16" s="20" t="n">
        <f aca="false">OP16-OQ16</f>
        <v>0</v>
      </c>
      <c r="OS16" s="20" t="n">
        <f aca="false">IF(AND(HU16=0,GV16=1,OR16&gt;0),MIN(OR16,GW16),0)</f>
        <v>0</v>
      </c>
      <c r="OT16" s="20" t="n">
        <f aca="false">OR16-OS16</f>
        <v>0</v>
      </c>
      <c r="OU16" s="20" t="n">
        <f aca="false">IF(AND(HU16=0,GL16=1,OT16&gt;0),MIN(OT16,GM16),0)</f>
        <v>0</v>
      </c>
      <c r="OV16" s="20" t="n">
        <f aca="false">OT16-OU16</f>
        <v>0</v>
      </c>
      <c r="OW16" s="20" t="n">
        <f aca="false">IF(AND(HU16=0,GB16=1,OV16&gt;0),MIN(OV16,GC16),0)</f>
        <v>0</v>
      </c>
      <c r="OX16" s="20" t="n">
        <f aca="false">OV16-OW16</f>
        <v>0</v>
      </c>
      <c r="OY16" s="20" t="n">
        <f aca="false">IF(AND(HU16=0,FR16=1,OX16&gt;0),MIN(OX16,FS16),0)</f>
        <v>0</v>
      </c>
      <c r="OZ16" s="20" t="n">
        <f aca="false">OX16-OY16</f>
        <v>0</v>
      </c>
      <c r="PA16" s="20" t="n">
        <f aca="false">IF(AND(HU16=0,FH16=1,OZ16&gt;0),MIN(OZ16,FI16),0)</f>
        <v>0</v>
      </c>
      <c r="PB16" s="20" t="n">
        <f aca="false">OZ16-PA16</f>
        <v>0</v>
      </c>
      <c r="PC16" s="20" t="n">
        <f aca="false">IF(AND(HU16=0,EX16=1,PB16&gt;0),MIN(PB16,EY16),0)</f>
        <v>0</v>
      </c>
      <c r="PD16" s="20" t="n">
        <f aca="false">PB16-PC16</f>
        <v>0</v>
      </c>
      <c r="PE16" s="20" t="n">
        <f aca="false">IF(AND(HU16=0,EN16=1,PD16&gt;0),MIN(PD16,EO16),0)</f>
        <v>0</v>
      </c>
      <c r="PF16" s="20" t="n">
        <f aca="false">PD16-PE16</f>
        <v>0</v>
      </c>
      <c r="PG16" s="20" t="n">
        <f aca="false">IF(AND(HU16=0,ED16=1,PF16&gt;0),MIN(PF16,EE16),0)</f>
        <v>0</v>
      </c>
      <c r="PH16" s="20" t="n">
        <f aca="false">PF16-PG16</f>
        <v>0</v>
      </c>
      <c r="PI16" s="20" t="n">
        <f aca="false">IF(AND(HU16=0,DT16=1,PH16&gt;0),MIN(PH16,DU16),0)</f>
        <v>0</v>
      </c>
      <c r="PJ16" s="20" t="n">
        <f aca="false">PH16-PI16</f>
        <v>0</v>
      </c>
      <c r="PK16" s="20" t="n">
        <f aca="false">IF(AND(HU16=0,DJ16=1,PJ16&gt;0),MIN(PJ16,DK16),0)</f>
        <v>0</v>
      </c>
      <c r="PL16" s="20" t="n">
        <f aca="false">PJ16-PK16</f>
        <v>0</v>
      </c>
      <c r="PM16" s="20" t="n">
        <f aca="false">IF(AND(HU16=0,CZ16=1,PL16&gt;0),MIN(PL16,DA16),0)</f>
        <v>0</v>
      </c>
      <c r="PN16" s="20" t="n">
        <f aca="false">PL16-PM16</f>
        <v>0</v>
      </c>
      <c r="PO16" s="20" t="n">
        <f aca="false">IF(AND(HU16=0,CP16=1,PN16&gt;0),MIN(PN16,CQ16),0)</f>
        <v>0</v>
      </c>
      <c r="PP16" s="20" t="n">
        <f aca="false">PN16-PO16</f>
        <v>0</v>
      </c>
      <c r="PQ16" s="20" t="n">
        <f aca="false">IF(AND(HU16=0,CF16=1,PP16&gt;0),MIN(PP16,CG16),0)</f>
        <v>0</v>
      </c>
      <c r="PR16" s="20" t="n">
        <f aca="false">PP16-PQ16</f>
        <v>0</v>
      </c>
      <c r="PS16" s="20" t="n">
        <f aca="false">IF(AND(HU16=0,BV16=1,PR16&gt;0),MIN(PR16,BW16),0)</f>
        <v>0</v>
      </c>
      <c r="PT16" s="20" t="n">
        <f aca="false">PR16-PS16</f>
        <v>0</v>
      </c>
      <c r="PU16" s="20" t="n">
        <f aca="false">IF(AND(HU16=0,BL16=1,PT16&gt;0),MIN(PT16,BM16),0)</f>
        <v>0</v>
      </c>
      <c r="PV16" s="20" t="n">
        <f aca="false">PT16-PU16</f>
        <v>0</v>
      </c>
      <c r="PW16" s="20" t="n">
        <f aca="false">IF(AND(HU16=0,BB16=1,PV16&gt;0),MIN(PV16,BC16),0)</f>
        <v>0</v>
      </c>
      <c r="PX16" s="20" t="n">
        <f aca="false">PV16-PW16</f>
        <v>0</v>
      </c>
      <c r="PY16" s="20" t="n">
        <f aca="false">IF(AND(HU16=0,AR16=1,PX16&gt;0),MIN(PX16,AS16),0)</f>
        <v>0</v>
      </c>
      <c r="PZ16" s="20" t="n">
        <f aca="false">PX16-PY16</f>
        <v>0</v>
      </c>
      <c r="QA16" s="20" t="n">
        <f aca="false">IF(AND(HU16=0,AH16=1,PZ16&gt;0),MIN(PZ16,AI16),0)</f>
        <v>0</v>
      </c>
      <c r="QB16" s="20" t="n">
        <f aca="false">PZ16-QA16</f>
        <v>0</v>
      </c>
      <c r="QC16" s="20" t="n">
        <f aca="false">IF(AND(HU16=0,W16=1,QB16&gt;0),MIN(QB16,X16),0)</f>
        <v>0</v>
      </c>
      <c r="QD16" s="20" t="n">
        <f aca="false">QB16-QC16</f>
        <v>0</v>
      </c>
      <c r="QE16" s="20" t="n">
        <f aca="false">IF(HU16=0,QD16,0)</f>
        <v>0</v>
      </c>
      <c r="QF16" s="20" t="n">
        <f aca="false">OM16+OO16+QC16+QA16+PY16+PW16+PU16+PS16+PQ16+PO16+PM16+PK16+PI16+PG16+PE16+PC16+PA16+OY16+OW16+OU16+OS16+OQ16</f>
        <v>0</v>
      </c>
      <c r="QG16" s="20" t="n">
        <f aca="false">IF(HU16=1,HK16+OJ16+OI16+IF(G16=1,0,OK16),HK16-OM16)</f>
        <v>0</v>
      </c>
      <c r="QH16" s="20" t="n">
        <f aca="false">HL16-OO16</f>
        <v>12078.4449471005</v>
      </c>
      <c r="QI16" s="20" t="n">
        <f aca="false">IF(HU16=1,IF(G16=1,ID16+IE16,HS16),0)</f>
        <v>5020.21763076639</v>
      </c>
      <c r="QJ16" s="20" t="n">
        <f aca="false">IF(HU16=1,IF(G16=1,HS16-ID16-IE16,0),0)</f>
        <v>5020.21763076639</v>
      </c>
      <c r="QK16" s="57" t="n">
        <f aca="false">'Plan holdings'!BM16</f>
        <v>0</v>
      </c>
      <c r="QL16" s="20" t="n">
        <f aca="false">QH16*(1+AS_Cash)</f>
        <v>12199.2293965715</v>
      </c>
      <c r="QM16" s="20" t="n">
        <f aca="false">IF(W16=1,IF(HU16=1,II16+IL16,X16-QC16)*(1+Slot1_Rate),0)</f>
        <v>0</v>
      </c>
      <c r="QN16" s="20" t="n">
        <f aca="false">IF(AND(HU16=1,W16=1),(IH16+IL16)/F16,0)</f>
        <v>0</v>
      </c>
      <c r="QO16" s="20" t="n">
        <f aca="false">IF(B16=0,IH16+IL16,0)</f>
        <v>0</v>
      </c>
      <c r="QP16" s="20" t="n">
        <f aca="false">IF(B16=0,IF(HU16=1,IJ16,IK16),0)</f>
        <v>0</v>
      </c>
      <c r="QQ16" s="20" t="n">
        <f aca="false">IF(AH16=1,IF(HU16=1,IQ16+IT16,AI16-QA16)*(1+Slot2_Rate),0)</f>
        <v>0</v>
      </c>
      <c r="QR16" s="20" t="n">
        <f aca="false">IF(AND(HU16=1,AH16=1),(IP16+IT16)/F16,0)</f>
        <v>0</v>
      </c>
      <c r="QS16" s="20" t="n">
        <f aca="false">IF(B16=0,IP16+IT16,0)</f>
        <v>0</v>
      </c>
      <c r="QT16" s="20" t="n">
        <f aca="false">IF(B16=0,IF(HU16=1,IR16,IS16),0)</f>
        <v>0</v>
      </c>
      <c r="QU16" s="20" t="n">
        <f aca="false">IF(AR16=1,IF(HU16=1,IY16+JB16,AS16-PY16)*(1+Slot3_Rate),0)</f>
        <v>24598.7572538097</v>
      </c>
      <c r="QV16" s="20" t="n">
        <f aca="false">IF(AND(HU16=1,AR16=1),(IX16+JB16)/F16,0)</f>
        <v>4284.70740913795</v>
      </c>
      <c r="QW16" s="20" t="n">
        <f aca="false">IF(B16=0,IX16+JB16,0)</f>
        <v>0</v>
      </c>
      <c r="QX16" s="20" t="n">
        <f aca="false">IF(B16=0,IF(HU16=1,IZ16,JA16),0)</f>
        <v>0</v>
      </c>
      <c r="QY16" s="20" t="n">
        <f aca="false">IF(BB16=1,IF(HU16=1,JG16+JJ16,BC16-PW16)*(1+Slot4_Rate),0)</f>
        <v>0</v>
      </c>
      <c r="QZ16" s="20" t="n">
        <f aca="false">IF(AND(HU16=1,BB16=1),(JF16+JJ16)/F16,0)</f>
        <v>0</v>
      </c>
      <c r="RA16" s="20" t="n">
        <f aca="false">IF(B16=0,JF16+JJ16,0)</f>
        <v>0</v>
      </c>
      <c r="RB16" s="20" t="n">
        <f aca="false">IF(B16=0,IF(HU16=1,JH16,JI16),0)</f>
        <v>0</v>
      </c>
      <c r="RC16" s="20" t="n">
        <f aca="false">IF(BL16=1,IF(HU16=1,JO16+JR16,BM16-PU16)*(1+Slot5_Rate),0)</f>
        <v>0</v>
      </c>
      <c r="RD16" s="20" t="n">
        <f aca="false">IF(AND(HU16=1,BL16=1),(JN16+JR16)/F16,0)</f>
        <v>0</v>
      </c>
      <c r="RE16" s="20" t="n">
        <f aca="false">IF(B16=0,JN16+JR16,0)</f>
        <v>0</v>
      </c>
      <c r="RF16" s="20" t="n">
        <f aca="false">IF(B16=0,IF(HU16=1,JP16,JQ16),0)</f>
        <v>0</v>
      </c>
      <c r="RG16" s="20" t="n">
        <f aca="false">IF(BV16=1,IF(HU16=1,JW16+JZ16,BW16-PS16)*(1+Slot6_Rate),0)</f>
        <v>0</v>
      </c>
      <c r="RH16" s="20" t="n">
        <f aca="false">IF(AND(HU16=1,BV16=1),(JV16+JZ16)/F16,0)</f>
        <v>0</v>
      </c>
      <c r="RI16" s="20" t="n">
        <f aca="false">IF(B16=0,JV16+JZ16,0)</f>
        <v>0</v>
      </c>
      <c r="RJ16" s="20" t="n">
        <f aca="false">IF(B16=0,IF(HU16=1,JX16,JY16),0)</f>
        <v>0</v>
      </c>
      <c r="RK16" s="20" t="n">
        <f aca="false">IF(CF16=1,IF(HU16=1,KE16+KH16,CG16-PQ16)*(1+Slot7_Rate),0)</f>
        <v>0</v>
      </c>
      <c r="RL16" s="20" t="n">
        <f aca="false">IF(AND(HU16=1,CF16=1),(KD16+KH16)/F16,0)</f>
        <v>0</v>
      </c>
      <c r="RM16" s="20" t="n">
        <f aca="false">IF(B16=0,KD16+KH16,0)</f>
        <v>0</v>
      </c>
      <c r="RN16" s="20" t="n">
        <f aca="false">IF(B16=0,IF(HU16=1,KF16,KG16),0)</f>
        <v>0</v>
      </c>
      <c r="RO16" s="20" t="n">
        <f aca="false">IF(CP16=1,IF(HU16=1,KM16+KP16,CQ16-PO16)*(1+Slot8_Rate),0)</f>
        <v>0</v>
      </c>
      <c r="RP16" s="20" t="n">
        <f aca="false">IF(AND(HU16=1,CP16=1),(KL16+KP16)/F16,0)</f>
        <v>0</v>
      </c>
      <c r="RQ16" s="20" t="n">
        <f aca="false">IF(B16=0,KL16+KP16,0)</f>
        <v>0</v>
      </c>
      <c r="RR16" s="20" t="n">
        <f aca="false">IF(B16=0,IF(HU16=1,KN16,KO16),0)</f>
        <v>0</v>
      </c>
      <c r="RS16" s="20" t="n">
        <f aca="false">IF(CZ16=1,IF(HU16=1,KU16+KX16,DA16-PM16)*(1+Slot9_Rate),0)</f>
        <v>0</v>
      </c>
      <c r="RT16" s="20" t="n">
        <f aca="false">IF(AND(HU16=1,CZ16=1),(KT16+KX16)/F16,0)</f>
        <v>0</v>
      </c>
      <c r="RU16" s="20" t="n">
        <f aca="false">IF(B16=0,KT16+KX16,0)</f>
        <v>0</v>
      </c>
      <c r="RV16" s="20" t="n">
        <f aca="false">IF(B16=0,IF(HU16=1,KV16,KW16),0)</f>
        <v>0</v>
      </c>
      <c r="RW16" s="20" t="n">
        <f aca="false">IF(DJ16=1,IF(HU16=1,LC16+LF16,DK16-PK16)*(1+Slot10_Rate),0)</f>
        <v>0</v>
      </c>
      <c r="RX16" s="20" t="n">
        <f aca="false">IF(AND(HU16=1,DJ16=1),(LB16+LF16)/F16,0)</f>
        <v>0</v>
      </c>
      <c r="RY16" s="20" t="n">
        <f aca="false">IF(B16=0,LB16+LF16,0)</f>
        <v>0</v>
      </c>
      <c r="RZ16" s="20" t="n">
        <f aca="false">IF(B16=0,IF(HU16=1,LD16,LE16),0)</f>
        <v>0</v>
      </c>
      <c r="SA16" s="20" t="n">
        <f aca="false">IF(DT16=1,IF(HU16=1,LK16+LN16,DU16-PI16)*(1+Slot11_Rate),0)</f>
        <v>0</v>
      </c>
      <c r="SB16" s="20" t="n">
        <f aca="false">IF(AND(HU16=1,DT16=1),(LJ16+LN16)/F16,0)</f>
        <v>0</v>
      </c>
      <c r="SC16" s="20" t="n">
        <f aca="false">IF(B16=0,LJ16+LN16,0)</f>
        <v>0</v>
      </c>
      <c r="SD16" s="20" t="n">
        <f aca="false">IF(B16=0,IF(HU16=1,LL16,LM16),0)</f>
        <v>0</v>
      </c>
      <c r="SE16" s="20" t="n">
        <f aca="false">IF(ED16=1,IF(HU16=1,LS16+LV16,EE16-PG16)*(1+Slot12_Rate),0)</f>
        <v>0</v>
      </c>
      <c r="SF16" s="20" t="n">
        <f aca="false">IF(AND(HU16=1,ED16=1),(LR16+LV16)/F16,0)</f>
        <v>0</v>
      </c>
      <c r="SG16" s="20" t="n">
        <f aca="false">IF(B16=0,LR16+LV16,0)</f>
        <v>0</v>
      </c>
      <c r="SH16" s="20" t="n">
        <f aca="false">IF(B16=0,IF(HU16=1,LT16,LU16),0)</f>
        <v>0</v>
      </c>
      <c r="SI16" s="20" t="n">
        <f aca="false">IF(EN16=1,IF(HU16=1,MA16+MD16,EO16-PE16)*(1+Slot13_Rate),0)</f>
        <v>0</v>
      </c>
      <c r="SJ16" s="20" t="n">
        <f aca="false">IF(AND(HU16=1,EN16=1),(LZ16+MD16)/F16,0)</f>
        <v>0</v>
      </c>
      <c r="SK16" s="20" t="n">
        <f aca="false">IF(B16=0,LZ16+MD16,0)</f>
        <v>0</v>
      </c>
      <c r="SL16" s="20" t="n">
        <f aca="false">IF(B16=0,IF(HU16=1,MB16,MC16),0)</f>
        <v>0</v>
      </c>
      <c r="SM16" s="20" t="n">
        <f aca="false">IF(EX16=1,IF(HU16=1,MI16+ML16,EY16-PC16)*(1+Slot14_Rate),0)</f>
        <v>0</v>
      </c>
      <c r="SN16" s="20" t="n">
        <f aca="false">IF(AND(HU16=1,EX16=1),(MH16+ML16)/F16,0)</f>
        <v>0</v>
      </c>
      <c r="SO16" s="20" t="n">
        <f aca="false">IF(B16=0,MH16+ML16,0)</f>
        <v>0</v>
      </c>
      <c r="SP16" s="20" t="n">
        <f aca="false">IF(B16=0,IF(HU16=1,MJ16,MK16),0)</f>
        <v>0</v>
      </c>
      <c r="SQ16" s="20" t="n">
        <f aca="false">IF(FH16=1,IF(HU16=1,MQ16+MT16,FI16-PA16)*(1+Slot15_Rate),0)</f>
        <v>0</v>
      </c>
      <c r="SR16" s="20" t="n">
        <f aca="false">IF(AND(HU16=1,FH16=1),(MP16+MT16)/F16,0)</f>
        <v>0</v>
      </c>
      <c r="SS16" s="20" t="n">
        <f aca="false">IF(B16=0,MP16+MT16,0)</f>
        <v>0</v>
      </c>
      <c r="ST16" s="20" t="n">
        <f aca="false">IF(B16=0,IF(HU16=1,MR16,MS16),0)</f>
        <v>0</v>
      </c>
      <c r="SU16" s="20" t="n">
        <f aca="false">IF(FR16=1,IF(HU16=1,MY16+NB16,FS16-OY16)*(1+Slot16_Rate),0)</f>
        <v>0</v>
      </c>
      <c r="SV16" s="20" t="n">
        <f aca="false">IF(AND(HU16=1,FR16=1),(MX16+NB16)/F16,0)</f>
        <v>0</v>
      </c>
      <c r="SW16" s="20" t="n">
        <f aca="false">IF(B16=0,MX16+NB16,0)</f>
        <v>0</v>
      </c>
      <c r="SX16" s="20" t="n">
        <f aca="false">IF(B16=0,IF(HU16=1,MZ16,NA16),0)</f>
        <v>0</v>
      </c>
      <c r="SY16" s="20" t="n">
        <f aca="false">IF(GB16=1,IF(HU16=1,NG16+NJ16,GC16-OW16)*(1+Slot17_Rate),0)</f>
        <v>0</v>
      </c>
      <c r="SZ16" s="20" t="n">
        <f aca="false">IF(AND(HU16=1,GB16=1),(NF16+NJ16)/F16,0)</f>
        <v>0</v>
      </c>
      <c r="TA16" s="20" t="n">
        <f aca="false">IF(B16=0,NF16+NJ16,0)</f>
        <v>0</v>
      </c>
      <c r="TB16" s="20" t="n">
        <f aca="false">IF(B16=0,IF(HU16=1,NH16,NI16),0)</f>
        <v>0</v>
      </c>
      <c r="TC16" s="20" t="n">
        <f aca="false">IF(GL16=1,IF(HU16=1,NO16+NR16,GM16-OU16)*(1+Slot18_Rate),0)</f>
        <v>0</v>
      </c>
      <c r="TD16" s="20" t="n">
        <f aca="false">IF(AND(HU16=1,GL16=1),(NN16+NR16)/F16,0)</f>
        <v>0</v>
      </c>
      <c r="TE16" s="20" t="n">
        <f aca="false">IF(B16=0,NN16+NR16,0)</f>
        <v>0</v>
      </c>
      <c r="TF16" s="20" t="n">
        <f aca="false">IF(B16=0,IF(HU16=1,NP16,NQ16),0)</f>
        <v>0</v>
      </c>
      <c r="TG16" s="20" t="n">
        <f aca="false">IF(GV16=1,IF(HU16=1,NW16+NZ16,GW16-OS16)*(1+Slot19_Rate),0)</f>
        <v>0</v>
      </c>
      <c r="TH16" s="20" t="n">
        <f aca="false">IF(AND(HU16=1,GV16=1),(NV16+NZ16)/F16,0)</f>
        <v>0</v>
      </c>
      <c r="TI16" s="20" t="n">
        <f aca="false">IF(B16=0,NV16+NZ16,0)</f>
        <v>0</v>
      </c>
      <c r="TJ16" s="20" t="n">
        <f aca="false">IF(B16=0,IF(HU16=1,NX16,NY16),0)</f>
        <v>0</v>
      </c>
      <c r="TK16" s="20" t="n">
        <f aca="false">IF(HF16=1,IF(HU16=1,OE16+OH16,HG16-OQ16)*(1+Slot20_Rate),0)</f>
        <v>0</v>
      </c>
      <c r="TL16" s="20" t="n">
        <f aca="false">IF(AND(HU16=1,HF16=1),(OD16+OH16)/F16,0)</f>
        <v>0</v>
      </c>
      <c r="TM16" s="20" t="n">
        <f aca="false">IF(B16=0,OD16+OH16,0)</f>
        <v>0</v>
      </c>
      <c r="TN16" s="20" t="n">
        <f aca="false">IF(B16=0,IF(HU16=1,OF16,OG16),0)</f>
        <v>0</v>
      </c>
      <c r="TO16" s="20" t="n">
        <f aca="false">QK16+QL16+QM16+QQ16+QU16+QY16+RC16+RG16+RK16+RO16+RS16+RW16+SA16+SE16+SI16+SM16+SQ16+SU16+SY16+TC16+TG16+TK16</f>
        <v>36797.9866503811</v>
      </c>
      <c r="TP16" s="20" t="n">
        <f aca="false">QE16+HP16</f>
        <v>0</v>
      </c>
      <c r="TQ16" s="20" t="n">
        <f aca="false">I16+S16</f>
        <v>66884.672145102</v>
      </c>
      <c r="TR16" s="20" t="n">
        <f aca="false">1-G16</f>
        <v>0</v>
      </c>
      <c r="TS16" s="20" t="n">
        <f aca="false">IF(AND(RG_Exists=1,G16=0,C16=1),I16,0)</f>
        <v>0</v>
      </c>
      <c r="TT16" s="20" t="n">
        <f aca="false">IF(AND(RG_Exists=1,G16=0,C16=1),I16-MIN(QE16,I16),0)</f>
        <v>0</v>
      </c>
      <c r="TU16" s="20" t="n">
        <f aca="false">'Plan pay &amp; tax'!AD242</f>
        <v>182428.784049191</v>
      </c>
      <c r="TV16" s="20" t="n">
        <f aca="false">IF(AND(C16=1,QE16&gt;MAX(PR_Short1,TQ16*PR_Short2)),1,0)</f>
        <v>0</v>
      </c>
      <c r="TW16" s="20" t="n">
        <f aca="false">MIN(H16,I16+S16)</f>
        <v>66884.672145102</v>
      </c>
      <c r="TX16" s="20" t="n">
        <f aca="false">QF16+MAX(0,HQ16-HP16)</f>
        <v>0</v>
      </c>
      <c r="TY16" s="20" t="n">
        <f aca="false">QE16+HP16</f>
        <v>0</v>
      </c>
      <c r="TZ16" s="20" t="n">
        <f aca="false">IF(AND(C16=1,TY16&gt;PR_MinShort),1,0)</f>
        <v>0</v>
      </c>
      <c r="UA16" s="20" t="n">
        <f aca="false">IF(AND(C16=1,TZ16=0,TX16&gt;PR_MinShort),1,0)</f>
        <v>0</v>
      </c>
      <c r="UB16" s="20" t="n">
        <f aca="false">IF(AND(C16=1,QE16&gt;PR_MinShort),1,0)</f>
        <v>0</v>
      </c>
      <c r="UC16" s="20" t="n">
        <f aca="false">IF(AND(C16=1,QF16&gt;1,UJ16=0),1,0)</f>
        <v>0</v>
      </c>
      <c r="UD16" s="20" t="str">
        <f aca="false">IF(C16=0,"",IF(UJ16=1,"Gap to plan for: short "&amp;"€"&amp;TEXT(ROUND(TP16,0),"#,##0"),IF(QF16&gt;1,"Using savings","Comfortable")))</f>
        <v>Comfortable</v>
      </c>
      <c r="UE16" s="20" t="n">
        <f aca="false">IF(AND(INT(D16/10)*10=90,B16&gt;0),80,INT(D16/10)*10)</f>
        <v>40</v>
      </c>
      <c r="UF16" s="20" t="n">
        <f aca="false">IF(B16=0,1,IF(UE16&lt;&gt;UE15,UF15+1,UF15))</f>
        <v>2</v>
      </c>
      <c r="UG16" s="20" t="n">
        <f aca="false">IF(AND(C16=1,G16=1,QE16&gt;MAX(PR_Short1,TQ16*PR_Short2)),1,0)</f>
        <v>0</v>
      </c>
      <c r="UH16" s="20" t="n">
        <f aca="false">TR16*TV16</f>
        <v>0</v>
      </c>
      <c r="UI16" s="20" t="n">
        <f aca="false">IF(AND(V16=1,Slot1_PctLow=1),1,0)+IF(AND(AG16=1,Slot2_PctLow=1),1,0)+IF(AND(AQ16=1,Slot3_PctLow=1),1,0)+IF(AND(BA16=1,Slot4_PctLow=1),1,0)+IF(AND(BK16=1,Slot5_PctLow=1),1,0)+IF(AND(BU16=1,Slot6_PctLow=1),1,0)+IF(AND(CE16=1,Slot7_PctLow=1),1,0)+IF(AND(CO16=1,Slot8_PctLow=1),1,0)+IF(AND(CY16=1,Slot9_PctLow=1),1,0)+IF(AND(DI16=1,Slot10_PctLow=1),1,0)+IF(AND(DS16=1,Slot11_PctLow=1),1,0)+IF(AND(EC16=1,Slot12_PctLow=1),1,0)+IF(AND(EM16=1,Slot13_PctLow=1),1,0)+IF(AND(EW16=1,Slot14_PctLow=1),1,0)+IF(AND(FG16=1,Slot15_PctLow=1),1,0)+IF(AND(FQ16=1,Slot16_PctLow=1),1,0)+IF(AND(GA16=1,Slot17_PctLow=1),1,0)+IF(AND(GK16=1,Slot18_PctLow=1),1,0)+IF(AND(GU16=1,Slot19_PctLow=1),1,0)+IF(AND(HE16=1,Slot20_PctLow=1),1,0)</f>
        <v>0</v>
      </c>
      <c r="UJ16" s="20" t="n">
        <f aca="false">IF(C16=1,IF(OR(TV16=1,UI16&gt;0),1,0),0)</f>
        <v>0</v>
      </c>
      <c r="UK16" s="20" t="n">
        <f aca="false">Z16+AK16+AU16+BE16+BO16+BY16+CI16+CS16+DC16+DM16+DW16+EG16+EQ16+FA16+FK16+FU16+GE16+GO16+GY16+HI16+OM16</f>
        <v>0</v>
      </c>
      <c r="UL16" s="20" t="n">
        <f aca="false">V16*IF(Slot1_SpendLike=1,X16-Y16,IF(Slot1_PotFree=1,X16,0))+AG16*IF(Slot2_SpendLike=1,AI16-AJ16,IF(Slot2_PotFree=1,AI16,0))+AQ16*IF(Slot3_SpendLike=1,AS16-AT16,IF(Slot3_PotFree=1,AS16,0))+BA16*IF(Slot4_SpendLike=1,BC16-BD16,IF(Slot4_PotFree=1,BC16,0))+BK16*IF(Slot5_SpendLike=1,BM16-BN16,IF(Slot5_PotFree=1,BM16,0))+BU16*IF(Slot6_SpendLike=1,BW16-BX16,IF(Slot6_PotFree=1,BW16,0))+CE16*IF(Slot7_SpendLike=1,CG16-CH16,IF(Slot7_PotFree=1,CG16,0))+CO16*IF(Slot8_SpendLike=1,CQ16-CR16,IF(Slot8_PotFree=1,CQ16,0))+CY16*IF(Slot9_SpendLike=1,DA16-DB16,IF(Slot9_PotFree=1,DA16,0))+DI16*IF(Slot10_SpendLike=1,DK16-DL16,IF(Slot10_PotFree=1,DK16,0))+DS16*IF(Slot11_SpendLike=1,DU16-DV16,IF(Slot11_PotFree=1,DU16,0))+EC16*IF(Slot12_SpendLike=1,EE16-EF16,IF(Slot12_PotFree=1,EE16,0))+EM16*IF(Slot13_SpendLike=1,EO16-EP16,IF(Slot13_PotFree=1,EO16,0))+EW16*IF(Slot14_SpendLike=1,EY16-EZ16,IF(Slot14_PotFree=1,EY16,0))+FG16*IF(Slot15_SpendLike=1,FI16-FJ16,IF(Slot15_PotFree=1,FI16,0))+FQ16*IF(Slot16_SpendLike=1,FS16-FT16,IF(Slot16_PotFree=1,FS16,0))+GA16*IF(Slot17_SpendLike=1,GC16-GD16,IF(Slot17_PotFree=1,GC16,0))+GK16*IF(Slot18_SpendLike=1,GM16-GN16,IF(Slot18_PotFree=1,GM16,0))+GU16*IF(Slot19_SpendLike=1,GW16-GX16,IF(Slot19_PotFree=1,GW16,0))+HE16*IF(Slot20_SpendLike=1,HG16-HH16,IF(Slot20_PotFree=1,HG16,0))</f>
        <v>0</v>
      </c>
      <c r="UM16" s="20" t="n">
        <f aca="false">QG16-T16+UK16-UL16</f>
        <v>0</v>
      </c>
      <c r="UN16" s="20" t="n">
        <f aca="false">IF(OR(UN15=1,AND(In_homeUse="Yes, I'd downsize",In_downAge&gt;0,D16=In_downAge,OR(In_home="Own outright",In_home="Own with mortgage"),In_homeValue&gt;0)),1,0)</f>
        <v>0</v>
      </c>
    </row>
    <row r="17" customFormat="false" ht="15" hidden="false" customHeight="true" outlineLevel="0" collapsed="false">
      <c r="B17" s="20" t="n">
        <v>9</v>
      </c>
      <c r="C17" s="20" t="n">
        <f aca="false">IF(B17&lt;=F_N,1,0)</f>
        <v>1</v>
      </c>
      <c r="D17" s="20" t="n">
        <f aca="false">'Plan pay &amp; tax'!C243</f>
        <v>47</v>
      </c>
      <c r="E17" s="20" t="str">
        <f aca="false">IF($C17=1,"Income tax "&amp;TEXT(N('Plan pay &amp; tax'!BK243),"#,##0")&amp;"; USC "&amp;TEXT(N('Plan pay &amp; tax'!BM243)+N('Plan pay &amp; tax'!BO243),"#,##0")&amp;"; PRSI "&amp;TEXT(N('Plan pay &amp; tax'!BP243)+N('Plan pay &amp; tax'!BQ243),"#,##0")&amp;IF(N('Plan holdings'!BO17)&gt;=0.5,"; DIRT "&amp;TEXT(('Plan holdings'!BO17)/$F17,"#,##0")&amp;" (already taken from the interest earned)","")&amp;IF(N('Plan holdings'!BP17)&gt;=0.5,"; exit tax at an 8-year anniversary "&amp;TEXT(('Plan holdings'!BP17)/$F17,"#,##0"),"")&amp;IF(N('Plan holdings'!BN17)&gt;=0.5,"; tax on assets sold (exit tax or capital gains tax) "&amp;TEXT(('Plan holdings'!BN17)/$F17,"#,##0"),"")&amp;IF(N('Plan pay &amp; tax'!X243)-N('Plan pay &amp; tax'!Y243)&gt;=0.5,"; tax on the pension lump sum "&amp;TEXT(('Plan pay &amp; tax'!X243-'Plan pay &amp; tax'!Y243)/$F17,"#,##0"),"")&amp;IF(N('Plan pay &amp; tax'!V243)&gt;=0.5,"; chargeable excess tax on the pension "&amp;TEXT(('Plan pay &amp; tax'!V243)/$F17,"#,##0"),"")&amp;".","")</f>
        <v>Income tax 11,970; USC 1,733; PRSI 4,105; DIRT 50 (already taken from the interest earned).</v>
      </c>
      <c r="F17" s="50" t="n">
        <f aca="false">'Plan pay &amp; tax'!E243</f>
        <v>1.19509256862231</v>
      </c>
      <c r="G17" s="20" t="n">
        <f aca="false">'Plan pay &amp; tax'!G243</f>
        <v>1</v>
      </c>
      <c r="H17" s="20" t="n">
        <f aca="false">'Plan pay &amp; tax'!BT243-'Plan pay &amp; tax'!BS243-'Plan pay &amp; tax'!R243</f>
        <v>79028.4369986565</v>
      </c>
      <c r="I17" s="20" t="n">
        <f aca="false">IF(G17=1,F_CostsM*12,IF(RG_Exists=1,RG_Amount,F_CostsM*12*AS_RetireSpend))*F17+F_OneOffY*F17</f>
        <v>53779.165588004</v>
      </c>
      <c r="J17" s="20" t="n">
        <f aca="false">IF(UN17=1,0,HR16)</f>
        <v>135876.528391036</v>
      </c>
      <c r="K17" s="20" t="n">
        <f aca="false">IF(J17&gt;1,'Plan debt months'!AC17,0)</f>
        <v>14160</v>
      </c>
      <c r="L17" s="20" t="n">
        <f aca="false">IF(J17&gt;1,'Plan debt months'!AB17,J17)</f>
        <v>126788.522242771</v>
      </c>
      <c r="M17" s="20" t="n">
        <f aca="false">O16</f>
        <v>0</v>
      </c>
      <c r="N17" s="20" t="n">
        <f aca="false">IF(M17&gt;1,'Plan debt months'!BD17,0)</f>
        <v>0</v>
      </c>
      <c r="O17" s="20" t="n">
        <f aca="false">IF(M17&gt;1,'Plan debt months'!BC17,M17)</f>
        <v>0</v>
      </c>
      <c r="P17" s="20" t="n">
        <f aca="false">R16</f>
        <v>0</v>
      </c>
      <c r="Q17" s="20" t="n">
        <f aca="false">IF(P17&gt;1,'Plan debt months'!CE17,0)</f>
        <v>0</v>
      </c>
      <c r="R17" s="20" t="n">
        <f aca="false">IF(P17&gt;1,'Plan debt months'!CD17,P17)</f>
        <v>0</v>
      </c>
      <c r="S17" s="20" t="n">
        <f aca="false">K17+N17+Q17</f>
        <v>14160</v>
      </c>
      <c r="T17" s="57" t="n">
        <f aca="false">'Plan holdings'!Y17</f>
        <v>0</v>
      </c>
      <c r="U17" s="57" t="n">
        <f aca="false">'Plan holdings'!BM16</f>
        <v>0</v>
      </c>
      <c r="V17" s="20" t="n">
        <f aca="false">IF(AND(Slot1_On=1,D17=Slot1_Age),1,0)</f>
        <v>0</v>
      </c>
      <c r="W17" s="20" t="n">
        <f aca="false">IF(AND(Slot1_On=1,Slot1_Age&gt;D17),1,0)</f>
        <v>0</v>
      </c>
      <c r="X17" s="20" t="n">
        <f aca="false">QM16</f>
        <v>0</v>
      </c>
      <c r="Y17" s="20" t="n">
        <f aca="false">V17*MIN(Slot1_Cost,X17)</f>
        <v>0</v>
      </c>
      <c r="Z17" s="20" t="n">
        <f aca="false">V17*Slot1_SpendLike*MIN(Slot1_Cost-Y17,T17)</f>
        <v>0</v>
      </c>
      <c r="AA17" s="20" t="n">
        <f aca="false">Y17+Z17</f>
        <v>0</v>
      </c>
      <c r="AB17" s="20" t="n">
        <f aca="false">T17-Z17+V17*IF(Slot1_SpendLike=1,X17-Y17,IF(Slot1_PotFree=1,X17,0))</f>
        <v>0</v>
      </c>
      <c r="AC17" s="20" t="n">
        <f aca="false">AF17+V17*Slot1_BufPot*X17</f>
        <v>12199.2293965715</v>
      </c>
      <c r="AD17" s="20" t="n">
        <f aca="false">IF(AND(V17=1,Slot1_IsMfree=1),IF(AA17&gt;=Slot1_Cost-1,0,MAX(0,L17-AA17)),L17)</f>
        <v>126788.522242771</v>
      </c>
      <c r="AE17" s="20" t="n">
        <f aca="false">V17*(Slot1_Cost-AA17)</f>
        <v>0</v>
      </c>
      <c r="AF17" s="20" t="n">
        <f aca="false">QL16</f>
        <v>12199.2293965715</v>
      </c>
      <c r="AG17" s="20" t="n">
        <f aca="false">IF(AND(Slot2_On=1,D17=Slot2_Age),1,0)</f>
        <v>0</v>
      </c>
      <c r="AH17" s="20" t="n">
        <f aca="false">IF(AND(Slot2_On=1,Slot2_Age&gt;D17),1,0)</f>
        <v>0</v>
      </c>
      <c r="AI17" s="20" t="n">
        <f aca="false">QQ16</f>
        <v>0</v>
      </c>
      <c r="AJ17" s="20" t="n">
        <f aca="false">AG17*MIN(Slot2_Cost,AI17)</f>
        <v>0</v>
      </c>
      <c r="AK17" s="20" t="n">
        <f aca="false">AG17*Slot2_SpendLike*MIN(Slot2_Cost-AJ17,AB17)</f>
        <v>0</v>
      </c>
      <c r="AL17" s="20" t="n">
        <f aca="false">AJ17+AK17</f>
        <v>0</v>
      </c>
      <c r="AM17" s="20" t="n">
        <f aca="false">AB17-AK17+AG17*IF(Slot2_SpendLike=1,AI17-AJ17,IF(Slot2_PotFree=1,AI17,0))</f>
        <v>0</v>
      </c>
      <c r="AN17" s="20" t="n">
        <f aca="false">AC17+AG17*Slot2_BufPot*AI17</f>
        <v>12199.2293965715</v>
      </c>
      <c r="AO17" s="20" t="n">
        <f aca="false">IF(AND(AG17=1,Slot2_IsMfree=1),IF(AL17&gt;=Slot2_Cost-1,0,MAX(0,AD17-AL17)),AD17)</f>
        <v>126788.522242771</v>
      </c>
      <c r="AP17" s="20" t="n">
        <f aca="false">AG17*(Slot2_Cost-AL17)</f>
        <v>0</v>
      </c>
      <c r="AQ17" s="20" t="n">
        <f aca="false">IF(AND(Slot3_On=1,D17=Slot3_Age),1,0)</f>
        <v>0</v>
      </c>
      <c r="AR17" s="20" t="n">
        <f aca="false">IF(AND(Slot3_On=1,Slot3_Age&gt;D17),1,0)</f>
        <v>1</v>
      </c>
      <c r="AS17" s="20" t="n">
        <f aca="false">QU16</f>
        <v>24598.7572538097</v>
      </c>
      <c r="AT17" s="20" t="n">
        <f aca="false">AQ17*MIN(Slot3_Cost,AS17)</f>
        <v>0</v>
      </c>
      <c r="AU17" s="20" t="n">
        <f aca="false">AQ17*Slot3_SpendLike*MIN(Slot3_Cost-AT17,AM17)</f>
        <v>0</v>
      </c>
      <c r="AV17" s="20" t="n">
        <f aca="false">AT17+AU17</f>
        <v>0</v>
      </c>
      <c r="AW17" s="20" t="n">
        <f aca="false">AM17-AU17+AQ17*IF(Slot3_SpendLike=1,AS17-AT17,IF(Slot3_PotFree=1,AS17,0))</f>
        <v>0</v>
      </c>
      <c r="AX17" s="20" t="n">
        <f aca="false">AN17+AQ17*Slot3_BufPot*AS17</f>
        <v>12199.2293965715</v>
      </c>
      <c r="AY17" s="20" t="n">
        <f aca="false">IF(AND(AQ17=1,Slot3_IsMfree=1),IF(AV17&gt;=Slot3_Cost-1,0,MAX(0,AO17-AV17)),AO17)</f>
        <v>126788.522242771</v>
      </c>
      <c r="AZ17" s="20" t="n">
        <f aca="false">AQ17*(Slot3_Cost-AV17)</f>
        <v>0</v>
      </c>
      <c r="BA17" s="20" t="n">
        <f aca="false">IF(AND(Slot4_On=1,D17=Slot4_Age),1,0)</f>
        <v>0</v>
      </c>
      <c r="BB17" s="20" t="n">
        <f aca="false">IF(AND(Slot4_On=1,Slot4_Age&gt;D17),1,0)</f>
        <v>1</v>
      </c>
      <c r="BC17" s="20" t="n">
        <f aca="false">QY16</f>
        <v>0</v>
      </c>
      <c r="BD17" s="20" t="n">
        <f aca="false">BA17*MIN(Slot4_Cost,BC17)</f>
        <v>0</v>
      </c>
      <c r="BE17" s="20" t="n">
        <f aca="false">BA17*Slot4_SpendLike*MIN(Slot4_Cost-BD17,AW17)</f>
        <v>0</v>
      </c>
      <c r="BF17" s="20" t="n">
        <f aca="false">BD17+BE17</f>
        <v>0</v>
      </c>
      <c r="BG17" s="20" t="n">
        <f aca="false">AW17-BE17+BA17*IF(Slot4_SpendLike=1,BC17-BD17,IF(Slot4_PotFree=1,BC17,0))</f>
        <v>0</v>
      </c>
      <c r="BH17" s="20" t="n">
        <f aca="false">AX17+BA17*Slot4_BufPot*BC17</f>
        <v>12199.2293965715</v>
      </c>
      <c r="BI17" s="20" t="n">
        <f aca="false">IF(AND(BA17=1,Slot4_IsMfree=1),IF(BF17&gt;=Slot4_Cost-1,0,MAX(0,AY17-BF17)),AY17)</f>
        <v>126788.522242771</v>
      </c>
      <c r="BJ17" s="20" t="n">
        <f aca="false">BA17*(Slot4_Cost-BF17)</f>
        <v>0</v>
      </c>
      <c r="BK17" s="20" t="n">
        <f aca="false">IF(AND(Slot5_On=1,D17=Slot5_Age),1,0)</f>
        <v>0</v>
      </c>
      <c r="BL17" s="20" t="n">
        <f aca="false">IF(AND(Slot5_On=1,Slot5_Age&gt;D17),1,0)</f>
        <v>0</v>
      </c>
      <c r="BM17" s="20" t="n">
        <f aca="false">RC16</f>
        <v>0</v>
      </c>
      <c r="BN17" s="20" t="n">
        <f aca="false">BK17*MIN(Slot5_Cost,BM17)</f>
        <v>0</v>
      </c>
      <c r="BO17" s="20" t="n">
        <f aca="false">BK17*Slot5_SpendLike*MIN(Slot5_Cost-BN17,BG17)</f>
        <v>0</v>
      </c>
      <c r="BP17" s="20" t="n">
        <f aca="false">BN17+BO17</f>
        <v>0</v>
      </c>
      <c r="BQ17" s="20" t="n">
        <f aca="false">BG17-BO17+BK17*IF(Slot5_SpendLike=1,BM17-BN17,IF(Slot5_PotFree=1,BM17,0))</f>
        <v>0</v>
      </c>
      <c r="BR17" s="20" t="n">
        <f aca="false">BH17+BK17*Slot5_BufPot*BM17</f>
        <v>12199.2293965715</v>
      </c>
      <c r="BS17" s="20" t="n">
        <f aca="false">IF(AND(BK17=1,Slot5_IsMfree=1),IF(BP17&gt;=Slot5_Cost-1,0,MAX(0,BI17-BP17)),BI17)</f>
        <v>126788.522242771</v>
      </c>
      <c r="BT17" s="20" t="n">
        <f aca="false">BK17*(Slot5_Cost-BP17)</f>
        <v>0</v>
      </c>
      <c r="BU17" s="20" t="n">
        <f aca="false">IF(AND(Slot6_On=1,D17=Slot6_Age),1,0)</f>
        <v>0</v>
      </c>
      <c r="BV17" s="20" t="n">
        <f aca="false">IF(AND(Slot6_On=1,Slot6_Age&gt;D17),1,0)</f>
        <v>0</v>
      </c>
      <c r="BW17" s="20" t="n">
        <f aca="false">RG16</f>
        <v>0</v>
      </c>
      <c r="BX17" s="20" t="n">
        <f aca="false">BU17*MIN(Slot6_Cost,BW17)</f>
        <v>0</v>
      </c>
      <c r="BY17" s="20" t="n">
        <f aca="false">BU17*Slot6_SpendLike*MIN(Slot6_Cost-BX17,BQ17)</f>
        <v>0</v>
      </c>
      <c r="BZ17" s="20" t="n">
        <f aca="false">BX17+BY17</f>
        <v>0</v>
      </c>
      <c r="CA17" s="20" t="n">
        <f aca="false">BQ17-BY17+BU17*IF(Slot6_SpendLike=1,BW17-BX17,IF(Slot6_PotFree=1,BW17,0))</f>
        <v>0</v>
      </c>
      <c r="CB17" s="20" t="n">
        <f aca="false">BR17+BU17*Slot6_BufPot*BW17</f>
        <v>12199.2293965715</v>
      </c>
      <c r="CC17" s="20" t="n">
        <f aca="false">IF(AND(BU17=1,Slot6_IsMfree=1),IF(BZ17&gt;=Slot6_Cost-1,0,MAX(0,BS17-BZ17)),BS17)</f>
        <v>126788.522242771</v>
      </c>
      <c r="CD17" s="20" t="n">
        <f aca="false">BU17*(Slot6_Cost-BZ17)</f>
        <v>0</v>
      </c>
      <c r="CE17" s="20" t="n">
        <f aca="false">IF(AND(Slot7_On=1,D17=Slot7_Age),1,0)</f>
        <v>0</v>
      </c>
      <c r="CF17" s="20" t="n">
        <f aca="false">IF(AND(Slot7_On=1,Slot7_Age&gt;D17),1,0)</f>
        <v>0</v>
      </c>
      <c r="CG17" s="20" t="n">
        <f aca="false">RK16</f>
        <v>0</v>
      </c>
      <c r="CH17" s="20" t="n">
        <f aca="false">CE17*MIN(Slot7_Cost,CG17)</f>
        <v>0</v>
      </c>
      <c r="CI17" s="20" t="n">
        <f aca="false">CE17*Slot7_SpendLike*MIN(Slot7_Cost-CH17,CA17)</f>
        <v>0</v>
      </c>
      <c r="CJ17" s="20" t="n">
        <f aca="false">CH17+CI17</f>
        <v>0</v>
      </c>
      <c r="CK17" s="20" t="n">
        <f aca="false">CA17-CI17+CE17*IF(Slot7_SpendLike=1,CG17-CH17,IF(Slot7_PotFree=1,CG17,0))</f>
        <v>0</v>
      </c>
      <c r="CL17" s="20" t="n">
        <f aca="false">CB17+CE17*Slot7_BufPot*CG17</f>
        <v>12199.2293965715</v>
      </c>
      <c r="CM17" s="20" t="n">
        <f aca="false">IF(AND(CE17=1,Slot7_IsMfree=1),IF(CJ17&gt;=Slot7_Cost-1,0,MAX(0,CC17-CJ17)),CC17)</f>
        <v>126788.522242771</v>
      </c>
      <c r="CN17" s="20" t="n">
        <f aca="false">CE17*(Slot7_Cost-CJ17)</f>
        <v>0</v>
      </c>
      <c r="CO17" s="20" t="n">
        <f aca="false">IF(AND(Slot8_On=1,D17=Slot8_Age),1,0)</f>
        <v>0</v>
      </c>
      <c r="CP17" s="20" t="n">
        <f aca="false">IF(AND(Slot8_On=1,Slot8_Age&gt;D17),1,0)</f>
        <v>0</v>
      </c>
      <c r="CQ17" s="20" t="n">
        <f aca="false">RO16</f>
        <v>0</v>
      </c>
      <c r="CR17" s="20" t="n">
        <f aca="false">CO17*MIN(Slot8_Cost,CQ17)</f>
        <v>0</v>
      </c>
      <c r="CS17" s="20" t="n">
        <f aca="false">CO17*Slot8_SpendLike*MIN(Slot8_Cost-CR17,CK17)</f>
        <v>0</v>
      </c>
      <c r="CT17" s="20" t="n">
        <f aca="false">CR17+CS17</f>
        <v>0</v>
      </c>
      <c r="CU17" s="20" t="n">
        <f aca="false">CK17-CS17+CO17*IF(Slot8_SpendLike=1,CQ17-CR17,IF(Slot8_PotFree=1,CQ17,0))</f>
        <v>0</v>
      </c>
      <c r="CV17" s="20" t="n">
        <f aca="false">CL17+CO17*Slot8_BufPot*CQ17</f>
        <v>12199.2293965715</v>
      </c>
      <c r="CW17" s="20" t="n">
        <f aca="false">IF(AND(CO17=1,Slot8_IsMfree=1),IF(CT17&gt;=Slot8_Cost-1,0,MAX(0,CM17-CT17)),CM17)</f>
        <v>126788.522242771</v>
      </c>
      <c r="CX17" s="20" t="n">
        <f aca="false">CO17*(Slot8_Cost-CT17)</f>
        <v>0</v>
      </c>
      <c r="CY17" s="20" t="n">
        <f aca="false">IF(AND(Slot9_On=1,D17=Slot9_Age),1,0)</f>
        <v>0</v>
      </c>
      <c r="CZ17" s="20" t="n">
        <f aca="false">IF(AND(Slot9_On=1,Slot9_Age&gt;D17),1,0)</f>
        <v>0</v>
      </c>
      <c r="DA17" s="20" t="n">
        <f aca="false">RS16</f>
        <v>0</v>
      </c>
      <c r="DB17" s="20" t="n">
        <f aca="false">CY17*MIN(Slot9_Cost,DA17)</f>
        <v>0</v>
      </c>
      <c r="DC17" s="20" t="n">
        <f aca="false">CY17*Slot9_SpendLike*MIN(Slot9_Cost-DB17,CU17)</f>
        <v>0</v>
      </c>
      <c r="DD17" s="20" t="n">
        <f aca="false">DB17+DC17</f>
        <v>0</v>
      </c>
      <c r="DE17" s="20" t="n">
        <f aca="false">CU17-DC17+CY17*IF(Slot9_SpendLike=1,DA17-DB17,IF(Slot9_PotFree=1,DA17,0))</f>
        <v>0</v>
      </c>
      <c r="DF17" s="20" t="n">
        <f aca="false">CV17+CY17*Slot9_BufPot*DA17</f>
        <v>12199.2293965715</v>
      </c>
      <c r="DG17" s="20" t="n">
        <f aca="false">IF(AND(CY17=1,Slot9_IsMfree=1),IF(DD17&gt;=Slot9_Cost-1,0,MAX(0,CW17-DD17)),CW17)</f>
        <v>126788.522242771</v>
      </c>
      <c r="DH17" s="20" t="n">
        <f aca="false">CY17*(Slot9_Cost-DD17)</f>
        <v>0</v>
      </c>
      <c r="DI17" s="20" t="n">
        <f aca="false">IF(AND(Slot10_On=1,D17=Slot10_Age),1,0)</f>
        <v>0</v>
      </c>
      <c r="DJ17" s="20" t="n">
        <f aca="false">IF(AND(Slot10_On=1,Slot10_Age&gt;D17),1,0)</f>
        <v>0</v>
      </c>
      <c r="DK17" s="20" t="n">
        <f aca="false">RW16</f>
        <v>0</v>
      </c>
      <c r="DL17" s="20" t="n">
        <f aca="false">DI17*MIN(Slot10_Cost,DK17)</f>
        <v>0</v>
      </c>
      <c r="DM17" s="20" t="n">
        <f aca="false">DI17*Slot10_SpendLike*MIN(Slot10_Cost-DL17,DE17)</f>
        <v>0</v>
      </c>
      <c r="DN17" s="20" t="n">
        <f aca="false">DL17+DM17</f>
        <v>0</v>
      </c>
      <c r="DO17" s="20" t="n">
        <f aca="false">DE17-DM17+DI17*IF(Slot10_SpendLike=1,DK17-DL17,IF(Slot10_PotFree=1,DK17,0))</f>
        <v>0</v>
      </c>
      <c r="DP17" s="20" t="n">
        <f aca="false">DF17+DI17*Slot10_BufPot*DK17</f>
        <v>12199.2293965715</v>
      </c>
      <c r="DQ17" s="20" t="n">
        <f aca="false">IF(AND(DI17=1,Slot10_IsMfree=1),IF(DN17&gt;=Slot10_Cost-1,0,MAX(0,DG17-DN17)),DG17)</f>
        <v>126788.522242771</v>
      </c>
      <c r="DR17" s="20" t="n">
        <f aca="false">DI17*(Slot10_Cost-DN17)</f>
        <v>0</v>
      </c>
      <c r="DS17" s="20" t="n">
        <f aca="false">IF(AND(Slot11_On=1,D17=Slot11_Age),1,0)</f>
        <v>0</v>
      </c>
      <c r="DT17" s="20" t="n">
        <f aca="false">IF(AND(Slot11_On=1,Slot11_Age&gt;D17),1,0)</f>
        <v>0</v>
      </c>
      <c r="DU17" s="20" t="n">
        <f aca="false">SA16</f>
        <v>0</v>
      </c>
      <c r="DV17" s="20" t="n">
        <f aca="false">DS17*MIN(Slot11_Cost,DU17)</f>
        <v>0</v>
      </c>
      <c r="DW17" s="20" t="n">
        <f aca="false">DS17*Slot11_SpendLike*MIN(Slot11_Cost-DV17,DO17)</f>
        <v>0</v>
      </c>
      <c r="DX17" s="20" t="n">
        <f aca="false">DV17+DW17</f>
        <v>0</v>
      </c>
      <c r="DY17" s="20" t="n">
        <f aca="false">DO17-DW17+DS17*IF(Slot11_SpendLike=1,DU17-DV17,IF(Slot11_PotFree=1,DU17,0))</f>
        <v>0</v>
      </c>
      <c r="DZ17" s="20" t="n">
        <f aca="false">DP17+DS17*Slot11_BufPot*DU17</f>
        <v>12199.2293965715</v>
      </c>
      <c r="EA17" s="20" t="n">
        <f aca="false">IF(AND(DS17=1,Slot11_IsMfree=1),IF(DX17&gt;=Slot11_Cost-1,0,MAX(0,DQ17-DX17)),DQ17)</f>
        <v>126788.522242771</v>
      </c>
      <c r="EB17" s="20" t="n">
        <f aca="false">DS17*(Slot11_Cost-DX17)</f>
        <v>0</v>
      </c>
      <c r="EC17" s="20" t="n">
        <f aca="false">IF(AND(Slot12_On=1,D17=Slot12_Age),1,0)</f>
        <v>0</v>
      </c>
      <c r="ED17" s="20" t="n">
        <f aca="false">IF(AND(Slot12_On=1,Slot12_Age&gt;D17),1,0)</f>
        <v>0</v>
      </c>
      <c r="EE17" s="20" t="n">
        <f aca="false">SE16</f>
        <v>0</v>
      </c>
      <c r="EF17" s="20" t="n">
        <f aca="false">EC17*MIN(Slot12_Cost,EE17)</f>
        <v>0</v>
      </c>
      <c r="EG17" s="20" t="n">
        <f aca="false">EC17*Slot12_SpendLike*MIN(Slot12_Cost-EF17,DY17)</f>
        <v>0</v>
      </c>
      <c r="EH17" s="20" t="n">
        <f aca="false">EF17+EG17</f>
        <v>0</v>
      </c>
      <c r="EI17" s="20" t="n">
        <f aca="false">DY17-EG17+EC17*IF(Slot12_SpendLike=1,EE17-EF17,IF(Slot12_PotFree=1,EE17,0))</f>
        <v>0</v>
      </c>
      <c r="EJ17" s="20" t="n">
        <f aca="false">DZ17+EC17*Slot12_BufPot*EE17</f>
        <v>12199.2293965715</v>
      </c>
      <c r="EK17" s="20" t="n">
        <f aca="false">IF(AND(EC17=1,Slot12_IsMfree=1),IF(EH17&gt;=Slot12_Cost-1,0,MAX(0,EA17-EH17)),EA17)</f>
        <v>126788.522242771</v>
      </c>
      <c r="EL17" s="20" t="n">
        <f aca="false">EC17*(Slot12_Cost-EH17)</f>
        <v>0</v>
      </c>
      <c r="EM17" s="20" t="n">
        <f aca="false">IF(AND(Slot13_On=1,D17=Slot13_Age),1,0)</f>
        <v>0</v>
      </c>
      <c r="EN17" s="20" t="n">
        <f aca="false">IF(AND(Slot13_On=1,Slot13_Age&gt;D17),1,0)</f>
        <v>0</v>
      </c>
      <c r="EO17" s="20" t="n">
        <f aca="false">SI16</f>
        <v>0</v>
      </c>
      <c r="EP17" s="20" t="n">
        <f aca="false">EM17*MIN(Slot13_Cost,EO17)</f>
        <v>0</v>
      </c>
      <c r="EQ17" s="20" t="n">
        <f aca="false">EM17*Slot13_SpendLike*MIN(Slot13_Cost-EP17,EI17)</f>
        <v>0</v>
      </c>
      <c r="ER17" s="20" t="n">
        <f aca="false">EP17+EQ17</f>
        <v>0</v>
      </c>
      <c r="ES17" s="20" t="n">
        <f aca="false">EI17-EQ17+EM17*IF(Slot13_SpendLike=1,EO17-EP17,IF(Slot13_PotFree=1,EO17,0))</f>
        <v>0</v>
      </c>
      <c r="ET17" s="20" t="n">
        <f aca="false">EJ17+EM17*Slot13_BufPot*EO17</f>
        <v>12199.2293965715</v>
      </c>
      <c r="EU17" s="20" t="n">
        <f aca="false">IF(AND(EM17=1,Slot13_IsMfree=1),IF(ER17&gt;=Slot13_Cost-1,0,MAX(0,EK17-ER17)),EK17)</f>
        <v>126788.522242771</v>
      </c>
      <c r="EV17" s="20" t="n">
        <f aca="false">EM17*(Slot13_Cost-ER17)</f>
        <v>0</v>
      </c>
      <c r="EW17" s="20" t="n">
        <f aca="false">IF(AND(Slot14_On=1,D17=Slot14_Age),1,0)</f>
        <v>0</v>
      </c>
      <c r="EX17" s="20" t="n">
        <f aca="false">IF(AND(Slot14_On=1,Slot14_Age&gt;D17),1,0)</f>
        <v>0</v>
      </c>
      <c r="EY17" s="20" t="n">
        <f aca="false">SM16</f>
        <v>0</v>
      </c>
      <c r="EZ17" s="20" t="n">
        <f aca="false">EW17*MIN(Slot14_Cost,EY17)</f>
        <v>0</v>
      </c>
      <c r="FA17" s="20" t="n">
        <f aca="false">EW17*Slot14_SpendLike*MIN(Slot14_Cost-EZ17,ES17)</f>
        <v>0</v>
      </c>
      <c r="FB17" s="20" t="n">
        <f aca="false">EZ17+FA17</f>
        <v>0</v>
      </c>
      <c r="FC17" s="20" t="n">
        <f aca="false">ES17-FA17+EW17*IF(Slot14_SpendLike=1,EY17-EZ17,IF(Slot14_PotFree=1,EY17,0))</f>
        <v>0</v>
      </c>
      <c r="FD17" s="20" t="n">
        <f aca="false">ET17+EW17*Slot14_BufPot*EY17</f>
        <v>12199.2293965715</v>
      </c>
      <c r="FE17" s="20" t="n">
        <f aca="false">IF(AND(EW17=1,Slot14_IsMfree=1),IF(FB17&gt;=Slot14_Cost-1,0,MAX(0,EU17-FB17)),EU17)</f>
        <v>126788.522242771</v>
      </c>
      <c r="FF17" s="20" t="n">
        <f aca="false">EW17*(Slot14_Cost-FB17)</f>
        <v>0</v>
      </c>
      <c r="FG17" s="20" t="n">
        <f aca="false">IF(AND(Slot15_On=1,D17=Slot15_Age),1,0)</f>
        <v>0</v>
      </c>
      <c r="FH17" s="20" t="n">
        <f aca="false">IF(AND(Slot15_On=1,Slot15_Age&gt;D17),1,0)</f>
        <v>0</v>
      </c>
      <c r="FI17" s="20" t="n">
        <f aca="false">SQ16</f>
        <v>0</v>
      </c>
      <c r="FJ17" s="20" t="n">
        <f aca="false">FG17*MIN(Slot15_Cost,FI17)</f>
        <v>0</v>
      </c>
      <c r="FK17" s="20" t="n">
        <f aca="false">FG17*Slot15_SpendLike*MIN(Slot15_Cost-FJ17,FC17)</f>
        <v>0</v>
      </c>
      <c r="FL17" s="20" t="n">
        <f aca="false">FJ17+FK17</f>
        <v>0</v>
      </c>
      <c r="FM17" s="20" t="n">
        <f aca="false">FC17-FK17+FG17*IF(Slot15_SpendLike=1,FI17-FJ17,IF(Slot15_PotFree=1,FI17,0))</f>
        <v>0</v>
      </c>
      <c r="FN17" s="20" t="n">
        <f aca="false">FD17+FG17*Slot15_BufPot*FI17</f>
        <v>12199.2293965715</v>
      </c>
      <c r="FO17" s="20" t="n">
        <f aca="false">IF(AND(FG17=1,Slot15_IsMfree=1),IF(FL17&gt;=Slot15_Cost-1,0,MAX(0,FE17-FL17)),FE17)</f>
        <v>126788.522242771</v>
      </c>
      <c r="FP17" s="20" t="n">
        <f aca="false">FG17*(Slot15_Cost-FL17)</f>
        <v>0</v>
      </c>
      <c r="FQ17" s="20" t="n">
        <f aca="false">IF(AND(Slot16_On=1,D17=Slot16_Age),1,0)</f>
        <v>0</v>
      </c>
      <c r="FR17" s="20" t="n">
        <f aca="false">IF(AND(Slot16_On=1,Slot16_Age&gt;D17),1,0)</f>
        <v>0</v>
      </c>
      <c r="FS17" s="20" t="n">
        <f aca="false">SU16</f>
        <v>0</v>
      </c>
      <c r="FT17" s="20" t="n">
        <f aca="false">FQ17*MIN(Slot16_Cost,FS17)</f>
        <v>0</v>
      </c>
      <c r="FU17" s="20" t="n">
        <f aca="false">FQ17*Slot16_SpendLike*MIN(Slot16_Cost-FT17,FM17)</f>
        <v>0</v>
      </c>
      <c r="FV17" s="20" t="n">
        <f aca="false">FT17+FU17</f>
        <v>0</v>
      </c>
      <c r="FW17" s="20" t="n">
        <f aca="false">FM17-FU17+FQ17*IF(Slot16_SpendLike=1,FS17-FT17,IF(Slot16_PotFree=1,FS17,0))</f>
        <v>0</v>
      </c>
      <c r="FX17" s="20" t="n">
        <f aca="false">FN17+FQ17*Slot16_BufPot*FS17</f>
        <v>12199.2293965715</v>
      </c>
      <c r="FY17" s="20" t="n">
        <f aca="false">IF(AND(FQ17=1,Slot16_IsMfree=1),IF(FV17&gt;=Slot16_Cost-1,0,MAX(0,FO17-FV17)),FO17)</f>
        <v>126788.522242771</v>
      </c>
      <c r="FZ17" s="20" t="n">
        <f aca="false">FQ17*(Slot16_Cost-FV17)</f>
        <v>0</v>
      </c>
      <c r="GA17" s="20" t="n">
        <f aca="false">IF(AND(Slot17_On=1,D17=Slot17_Age),1,0)</f>
        <v>0</v>
      </c>
      <c r="GB17" s="20" t="n">
        <f aca="false">IF(AND(Slot17_On=1,Slot17_Age&gt;D17),1,0)</f>
        <v>0</v>
      </c>
      <c r="GC17" s="20" t="n">
        <f aca="false">SY16</f>
        <v>0</v>
      </c>
      <c r="GD17" s="20" t="n">
        <f aca="false">GA17*MIN(Slot17_Cost,GC17)</f>
        <v>0</v>
      </c>
      <c r="GE17" s="20" t="n">
        <f aca="false">GA17*Slot17_SpendLike*MIN(Slot17_Cost-GD17,FW17)</f>
        <v>0</v>
      </c>
      <c r="GF17" s="20" t="n">
        <f aca="false">GD17+GE17</f>
        <v>0</v>
      </c>
      <c r="GG17" s="20" t="n">
        <f aca="false">FW17-GE17+GA17*IF(Slot17_SpendLike=1,GC17-GD17,IF(Slot17_PotFree=1,GC17,0))</f>
        <v>0</v>
      </c>
      <c r="GH17" s="20" t="n">
        <f aca="false">FX17+GA17*Slot17_BufPot*GC17</f>
        <v>12199.2293965715</v>
      </c>
      <c r="GI17" s="20" t="n">
        <f aca="false">IF(AND(GA17=1,Slot17_IsMfree=1),IF(GF17&gt;=Slot17_Cost-1,0,MAX(0,FY17-GF17)),FY17)</f>
        <v>126788.522242771</v>
      </c>
      <c r="GJ17" s="20" t="n">
        <f aca="false">GA17*(Slot17_Cost-GF17)</f>
        <v>0</v>
      </c>
      <c r="GK17" s="20" t="n">
        <f aca="false">IF(AND(Slot18_On=1,D17=Slot18_Age),1,0)</f>
        <v>0</v>
      </c>
      <c r="GL17" s="20" t="n">
        <f aca="false">IF(AND(Slot18_On=1,Slot18_Age&gt;D17),1,0)</f>
        <v>0</v>
      </c>
      <c r="GM17" s="20" t="n">
        <f aca="false">TC16</f>
        <v>0</v>
      </c>
      <c r="GN17" s="20" t="n">
        <f aca="false">GK17*MIN(Slot18_Cost,GM17)</f>
        <v>0</v>
      </c>
      <c r="GO17" s="20" t="n">
        <f aca="false">GK17*Slot18_SpendLike*MIN(Slot18_Cost-GN17,GG17)</f>
        <v>0</v>
      </c>
      <c r="GP17" s="20" t="n">
        <f aca="false">GN17+GO17</f>
        <v>0</v>
      </c>
      <c r="GQ17" s="20" t="n">
        <f aca="false">GG17-GO17+GK17*IF(Slot18_SpendLike=1,GM17-GN17,IF(Slot18_PotFree=1,GM17,0))</f>
        <v>0</v>
      </c>
      <c r="GR17" s="20" t="n">
        <f aca="false">GH17+GK17*Slot18_BufPot*GM17</f>
        <v>12199.2293965715</v>
      </c>
      <c r="GS17" s="20" t="n">
        <f aca="false">IF(AND(GK17=1,Slot18_IsMfree=1),IF(GP17&gt;=Slot18_Cost-1,0,MAX(0,GI17-GP17)),GI17)</f>
        <v>126788.522242771</v>
      </c>
      <c r="GT17" s="20" t="n">
        <f aca="false">GK17*(Slot18_Cost-GP17)</f>
        <v>0</v>
      </c>
      <c r="GU17" s="20" t="n">
        <f aca="false">IF(AND(Slot19_On=1,D17=Slot19_Age),1,0)</f>
        <v>0</v>
      </c>
      <c r="GV17" s="20" t="n">
        <f aca="false">IF(AND(Slot19_On=1,Slot19_Age&gt;D17),1,0)</f>
        <v>0</v>
      </c>
      <c r="GW17" s="20" t="n">
        <f aca="false">TG16</f>
        <v>0</v>
      </c>
      <c r="GX17" s="20" t="n">
        <f aca="false">GU17*MIN(Slot19_Cost,GW17)</f>
        <v>0</v>
      </c>
      <c r="GY17" s="20" t="n">
        <f aca="false">GU17*Slot19_SpendLike*MIN(Slot19_Cost-GX17,GQ17)</f>
        <v>0</v>
      </c>
      <c r="GZ17" s="20" t="n">
        <f aca="false">GX17+GY17</f>
        <v>0</v>
      </c>
      <c r="HA17" s="20" t="n">
        <f aca="false">GQ17-GY17+GU17*IF(Slot19_SpendLike=1,GW17-GX17,IF(Slot19_PotFree=1,GW17,0))</f>
        <v>0</v>
      </c>
      <c r="HB17" s="20" t="n">
        <f aca="false">GR17+GU17*Slot19_BufPot*GW17</f>
        <v>12199.2293965715</v>
      </c>
      <c r="HC17" s="20" t="n">
        <f aca="false">IF(AND(GU17=1,Slot19_IsMfree=1),IF(GZ17&gt;=Slot19_Cost-1,0,MAX(0,GS17-GZ17)),GS17)</f>
        <v>126788.522242771</v>
      </c>
      <c r="HD17" s="20" t="n">
        <f aca="false">GU17*(Slot19_Cost-GZ17)</f>
        <v>0</v>
      </c>
      <c r="HE17" s="20" t="n">
        <f aca="false">IF(AND(Slot20_On=1,D17=Slot20_Age),1,0)</f>
        <v>0</v>
      </c>
      <c r="HF17" s="20" t="n">
        <f aca="false">IF(AND(Slot20_On=1,Slot20_Age&gt;D17),1,0)</f>
        <v>0</v>
      </c>
      <c r="HG17" s="20" t="n">
        <f aca="false">TK16</f>
        <v>0</v>
      </c>
      <c r="HH17" s="20" t="n">
        <f aca="false">HE17*MIN(Slot20_Cost,HG17)</f>
        <v>0</v>
      </c>
      <c r="HI17" s="20" t="n">
        <f aca="false">HE17*Slot20_SpendLike*MIN(Slot20_Cost-HH17,HA17)</f>
        <v>0</v>
      </c>
      <c r="HJ17" s="20" t="n">
        <f aca="false">HH17+HI17</f>
        <v>0</v>
      </c>
      <c r="HK17" s="20" t="n">
        <f aca="false">HA17-HI17+HE17*IF(Slot20_SpendLike=1,HG17-HH17,IF(Slot20_PotFree=1,HG17,0))</f>
        <v>0</v>
      </c>
      <c r="HL17" s="20" t="n">
        <f aca="false">HB17+HE17*Slot20_BufPot*HG17</f>
        <v>12199.2293965715</v>
      </c>
      <c r="HM17" s="20" t="n">
        <f aca="false">IF(AND(HE17=1,Slot20_IsMfree=1),IF(HJ17&gt;=Slot20_Cost-1,0,MAX(0,HC17-HJ17)),HC17)</f>
        <v>126788.522242771</v>
      </c>
      <c r="HN17" s="20" t="n">
        <f aca="false">HE17*(Slot20_Cost-HJ17)</f>
        <v>0</v>
      </c>
      <c r="HO17" s="20" t="n">
        <f aca="false">V17*Slot1_SpendLike*AA17+AG17*Slot2_SpendLike*AL17+AQ17*Slot3_SpendLike*AV17+BA17*Slot4_SpendLike*BF17+BK17*Slot5_SpendLike*BP17+BU17*Slot6_SpendLike*BZ17+CE17*Slot7_SpendLike*CJ17+CO17*Slot8_SpendLike*CT17+CY17*Slot9_SpendLike*DD17+DI17*Slot10_SpendLike*DN17+DS17*Slot11_SpendLike*DX17+EC17*Slot12_SpendLike*EH17+EM17*Slot13_SpendLike*ER17+EW17*Slot14_SpendLike*FB17+FG17*Slot15_SpendLike*FL17+FQ17*Slot16_SpendLike*FV17+GA17*Slot17_SpendLike*GF17+GK17*Slot18_SpendLike*GP17+GU17*Slot19_SpendLike*GZ17+HE17*Slot20_SpendLike*HJ17</f>
        <v>0</v>
      </c>
      <c r="HP17" s="20" t="n">
        <f aca="false">AE17+AP17+AZ17+BJ17+BT17+CD17+CN17+CX17+DH17+DR17+EB17+EL17+EV17+FF17+FP17+FZ17+GJ17+GT17+HD17+HN17</f>
        <v>0</v>
      </c>
      <c r="HQ17" s="20" t="n">
        <f aca="false">V17*Slot1_Cost+AG17*Slot2_Cost+AQ17*Slot3_Cost+BA17*Slot4_Cost+BK17*Slot5_Cost+BU17*Slot6_Cost+CE17*Slot7_Cost+CO17*Slot8_Cost+CY17*Slot9_Cost+DI17*Slot10_Cost+DS17*Slot11_Cost+EC17*Slot12_Cost+EM17*Slot13_Cost+EW17*Slot14_Cost+FG17*Slot15_Cost+FQ17*Slot16_Cost+GA17*Slot17_Cost+GK17*Slot18_Cost+GU17*Slot19_Cost+HE17*Slot20_Cost</f>
        <v>0</v>
      </c>
      <c r="HR17" s="20" t="n">
        <f aca="false">HM17</f>
        <v>126788.522242771</v>
      </c>
      <c r="HS17" s="20" t="n">
        <f aca="false">H17-I17-S17</f>
        <v>11089.2714106525</v>
      </c>
      <c r="HT17" s="20" t="n">
        <f aca="false">IF(B17=0,IF(AND(Has_q6=1,In_q6=4),PR_ShareVaries*(MAX(0,HS17)/12),MIN(IF(Has_q6=1,CHOOSE(In_q6+1,PR_SaveB1,PR_SaveB2,PR_SaveB3,PR_SaveB4,0),AS_NoAnswer),AS_SaveShare*(MAX(0,HS17)/12))),HT16)</f>
        <v>67.3316893520437</v>
      </c>
      <c r="HU17" s="20" t="n">
        <f aca="false">IF(HS17&gt;=0,1,0)</f>
        <v>1</v>
      </c>
      <c r="HV17" s="20" t="n">
        <f aca="false">MAX(0,HS17/12/F17)</f>
        <v>773.250520629552</v>
      </c>
      <c r="HW17" s="20" t="n">
        <f aca="false">IF(AND(Has_q6=1,In_q6=4),PR_ShareVaries*(HV17),MIN(IF(Has_q6=1,CHOOSE(In_q6+1,PR_SaveB1,PR_SaveB2,PR_SaveB3,PR_SaveB4,0),AS_NoAnswer),AS_SaveShare*(HV17)))</f>
        <v>386.625260314776</v>
      </c>
      <c r="HX17" s="20" t="n">
        <f aca="false">IF(Has_saveM=1,IF(In_saveUp="Yes",1,IF(In_saveUp="No",0,IF(In_saveM&gt;=HT17-0.5,1,0))),0)</f>
        <v>0</v>
      </c>
      <c r="HY17" s="20" t="n">
        <f aca="false">IF(Has_saveM=1,MIN(HV17,IF(HX17=1,MAX(In_saveM,HW17),MIN(In_saveM,HW17))),HW17)</f>
        <v>386.625260314776</v>
      </c>
      <c r="HZ17" s="20" t="n">
        <f aca="false">IF(G17=1,HY17*12*F17,0)</f>
        <v>5544.63570532627</v>
      </c>
      <c r="IA17" s="20" t="n">
        <f aca="false">MAX(0,HZ17+IF(AND(WI_Retire=0,WI_M&lt;0,G17=1),WI_M*12*F17,0))</f>
        <v>5544.63570532627</v>
      </c>
      <c r="IB17" s="20" t="n">
        <f aca="false">Slot1_IsWG*W17+Slot2_IsWG*AH17+Slot3_IsWG*AR17+Slot4_IsWG*BB17+Slot5_IsWG*BL17+Slot6_IsWG*BV17+Slot7_IsWG*CF17+Slot8_IsWG*CP17+Slot9_IsWG*CZ17+Slot10_IsWG*DJ17+Slot11_IsWG*DT17+Slot12_IsWG*ED17+Slot13_IsWG*EN17+Slot14_IsWG*EX17+Slot15_IsWG*FH17+Slot16_IsWG*FR17+Slot17_IsWG*GB17+Slot18_IsWG*GL17+Slot19_IsWG*GV17+Slot20_IsWG*HF17</f>
        <v>0</v>
      </c>
      <c r="IC17" s="20" t="n">
        <f aca="false">IF(AND(WI_Retire=0,WI_M&gt;0,G17=1,IB17&gt;=1),WI_M*12*F17,0)</f>
        <v>0</v>
      </c>
      <c r="ID17" s="20" t="n">
        <f aca="false">IF(HU17=1,MIN(IA17,HS17),0)</f>
        <v>5544.63570532627</v>
      </c>
      <c r="IE17" s="20" t="n">
        <f aca="false">IF(HU17=1,MIN(IC17,HS17-ID17),0)</f>
        <v>0</v>
      </c>
      <c r="IF17" s="20" t="n">
        <f aca="false">IF(W17=1,IF(ABS((1+AS_Wage)/(1+Slot1_Rate)-1)&lt;0.000000000001,(Slot1_Age-D17)*(1+Slot1_Rate)^(Slot1_Age-D17),(1+Slot1_Rate)^(Slot1_Age-D17)*(1-((1+AS_Wage)/(1+Slot1_Rate))^(Slot1_Age-D17))/(1-(1+AS_Wage)/(1+Slot1_Rate))),1)</f>
        <v>1</v>
      </c>
      <c r="IG17" s="20" t="n">
        <f aca="false">IF(AND(HU17=1,IE17&gt;0,Slot1_IsWG=1,W17=1),MAX(0,(Slot1_Cost-X17*(1+Slot1_Rate)^(Slot1_Age-D17))/IF17),0)</f>
        <v>0</v>
      </c>
      <c r="IH17" s="20" t="n">
        <f aca="false">IF(AND(HU17=1,IE17&gt;0,Slot1_IsWG=1,W17=1),MIN(IE17,IG17),0)</f>
        <v>0</v>
      </c>
      <c r="II17" s="20" t="n">
        <f aca="false">X17+IH17</f>
        <v>0</v>
      </c>
      <c r="IJ17" s="20" t="n">
        <f aca="false">IF(W17=1,MAX(0,(Slot1_Cost-II17*(1+Slot1_Rate)^(Slot1_Age-D17))/IF17),0)</f>
        <v>0</v>
      </c>
      <c r="IK17" s="20" t="n">
        <f aca="false">IF(W17=1,MAX(0,(Slot1_Cost-X17*(1+Slot1_Rate)^(Slot1_Age-D17))/IF17),0)</f>
        <v>0</v>
      </c>
      <c r="IL17" s="20" t="n">
        <f aca="false">IF(AND(HU17=1,W17=1),MIN(ID17,IJ17),0)</f>
        <v>0</v>
      </c>
      <c r="IM17" s="20" t="n">
        <f aca="false">ID17-IL17</f>
        <v>5544.63570532627</v>
      </c>
      <c r="IN17" s="20" t="n">
        <f aca="false">IF(AH17=1,IF(ABS((1+AS_Wage)/(1+Slot2_Rate)-1)&lt;0.000000000001,(Slot2_Age-D17)*(1+Slot2_Rate)^(Slot2_Age-D17),(1+Slot2_Rate)^(Slot2_Age-D17)*(1-((1+AS_Wage)/(1+Slot2_Rate))^(Slot2_Age-D17))/(1-(1+AS_Wage)/(1+Slot2_Rate))),1)</f>
        <v>1</v>
      </c>
      <c r="IO17" s="20" t="n">
        <f aca="false">IF(AND(HU17=1,IE17&gt;0,Slot2_IsWG=1,AH17=1),MAX(0,(Slot2_Cost-AI17*(1+Slot2_Rate)^(Slot2_Age-D17))/IN17),0)</f>
        <v>0</v>
      </c>
      <c r="IP17" s="20" t="n">
        <f aca="false">IF(AND(HU17=1,IE17&gt;0,Slot2_IsWG=1,AH17=1),MIN(IE17,IO17),0)</f>
        <v>0</v>
      </c>
      <c r="IQ17" s="20" t="n">
        <f aca="false">AI17+IP17</f>
        <v>0</v>
      </c>
      <c r="IR17" s="20" t="n">
        <f aca="false">IF(AH17=1,MAX(0,(Slot2_Cost-IQ17*(1+Slot2_Rate)^(Slot2_Age-D17))/IN17),0)</f>
        <v>0</v>
      </c>
      <c r="IS17" s="20" t="n">
        <f aca="false">IF(AH17=1,MAX(0,(Slot2_Cost-AI17*(1+Slot2_Rate)^(Slot2_Age-D17))/IN17),0)</f>
        <v>0</v>
      </c>
      <c r="IT17" s="20" t="n">
        <f aca="false">IF(AND(HU17=1,AH17=1),MIN(IM17,IR17),0)</f>
        <v>0</v>
      </c>
      <c r="IU17" s="20" t="n">
        <f aca="false">IM17-IT17</f>
        <v>5544.63570532627</v>
      </c>
      <c r="IV17" s="20" t="n">
        <f aca="false">IF(AR17=1,IF(ABS((1+AS_Wage)/(1+Slot3_Rate)-1)&lt;0.000000000001,(Slot3_Age-D17)*(1+Slot3_Rate)^(Slot3_Age-D17),(1+Slot3_Rate)^(Slot3_Age-D17)*(1-((1+AS_Wage)/(1+Slot3_Rate))^(Slot3_Age-D17))/(1-(1+AS_Wage)/(1+Slot3_Rate))),1)</f>
        <v>1.026</v>
      </c>
      <c r="IW17" s="20" t="n">
        <f aca="false">IF(AND(HU17=1,IE17&gt;0,Slot3_IsWG=1,AR17=1),MAX(0,(Slot3_Cost-AS17*(1+Slot3_Rate)^(Slot3_Age-D17))/IV17),0)</f>
        <v>0</v>
      </c>
      <c r="IX17" s="20" t="n">
        <f aca="false">IF(AND(HU17=1,IE17&gt;0,Slot3_IsWG=1,AR17=1),MIN(IE17,IW17),0)</f>
        <v>0</v>
      </c>
      <c r="IY17" s="20" t="n">
        <f aca="false">AS17+IX17</f>
        <v>24598.7572538097</v>
      </c>
      <c r="IZ17" s="20" t="n">
        <f aca="false">IF(AR17=1,MAX(0,(Slot3_Cost-IY17*(1+Slot3_Rate)^(Slot3_Age-D17))/IV17),0)</f>
        <v>34806.4289057789</v>
      </c>
      <c r="JA17" s="20" t="n">
        <f aca="false">IF(AR17=1,MAX(0,(Slot3_Cost-AS17*(1+Slot3_Rate)^(Slot3_Age-D17))/IV17),0)</f>
        <v>34806.4289057789</v>
      </c>
      <c r="JB17" s="20" t="n">
        <f aca="false">IF(AND(HU17=1,AR17=1),MIN(IU17,IZ17),0)</f>
        <v>5544.63570532627</v>
      </c>
      <c r="JC17" s="20" t="n">
        <f aca="false">IU17-JB17</f>
        <v>0</v>
      </c>
      <c r="JD17" s="20" t="n">
        <f aca="false">IF(BB17=1,IF(ABS((1+AS_Wage)/(1+Slot4_Rate)-1)&lt;0.000000000001,(Slot4_Age-D17)*(1+Slot4_Rate)^(Slot4_Age-D17),(1+Slot4_Rate)^(Slot4_Age-D17)*(1-((1+AS_Wage)/(1+Slot4_Rate))^(Slot4_Age-D17))/(1-(1+AS_Wage)/(1+Slot4_Rate))),1)</f>
        <v>9.9586543085907</v>
      </c>
      <c r="JE17" s="20" t="n">
        <f aca="false">IF(AND(HU17=1,IE17&gt;0,Slot4_IsWG=1,BB17=1),MAX(0,(Slot4_Cost-BC17*(1+Slot4_Rate)^(Slot4_Age-D17))/JD17),0)</f>
        <v>0</v>
      </c>
      <c r="JF17" s="20" t="n">
        <f aca="false">IF(AND(HU17=1,IE17&gt;0,Slot4_IsWG=1,BB17=1),MIN(IE17,JE17),0)</f>
        <v>0</v>
      </c>
      <c r="JG17" s="20" t="n">
        <f aca="false">BC17+JF17</f>
        <v>0</v>
      </c>
      <c r="JH17" s="20" t="n">
        <f aca="false">IF(BB17=1,MAX(0,(Slot4_Cost-JG17*(1+Slot4_Rate)^(Slot4_Age-D17))/JD17),0)</f>
        <v>4018.60476453194</v>
      </c>
      <c r="JI17" s="20" t="n">
        <f aca="false">IF(BB17=1,MAX(0,(Slot4_Cost-BC17*(1+Slot4_Rate)^(Slot4_Age-D17))/JD17),0)</f>
        <v>4018.60476453194</v>
      </c>
      <c r="JJ17" s="20" t="n">
        <f aca="false">IF(AND(HU17=1,BB17=1),MIN(JC17,JH17),0)</f>
        <v>0</v>
      </c>
      <c r="JK17" s="20" t="n">
        <f aca="false">JC17-JJ17</f>
        <v>0</v>
      </c>
      <c r="JL17" s="20" t="n">
        <f aca="false">IF(BL17=1,IF(ABS((1+AS_Wage)/(1+Slot5_Rate)-1)&lt;0.000000000001,(Slot5_Age-D17)*(1+Slot5_Rate)^(Slot5_Age-D17),(1+Slot5_Rate)^(Slot5_Age-D17)*(1-((1+AS_Wage)/(1+Slot5_Rate))^(Slot5_Age-D17))/(1-(1+AS_Wage)/(1+Slot5_Rate))),1)</f>
        <v>1</v>
      </c>
      <c r="JM17" s="20" t="n">
        <f aca="false">IF(AND(HU17=1,IE17&gt;0,Slot5_IsWG=1,BL17=1),MAX(0,(Slot5_Cost-BM17*(1+Slot5_Rate)^(Slot5_Age-D17))/JL17),0)</f>
        <v>0</v>
      </c>
      <c r="JN17" s="20" t="n">
        <f aca="false">IF(AND(HU17=1,IE17&gt;0,Slot5_IsWG=1,BL17=1),MIN(IE17,JM17),0)</f>
        <v>0</v>
      </c>
      <c r="JO17" s="20" t="n">
        <f aca="false">BM17+JN17</f>
        <v>0</v>
      </c>
      <c r="JP17" s="20" t="n">
        <f aca="false">IF(BL17=1,MAX(0,(Slot5_Cost-JO17*(1+Slot5_Rate)^(Slot5_Age-D17))/JL17),0)</f>
        <v>0</v>
      </c>
      <c r="JQ17" s="20" t="n">
        <f aca="false">IF(BL17=1,MAX(0,(Slot5_Cost-BM17*(1+Slot5_Rate)^(Slot5_Age-D17))/JL17),0)</f>
        <v>0</v>
      </c>
      <c r="JR17" s="20" t="n">
        <f aca="false">IF(AND(HU17=1,BL17=1),MIN(JK17,JP17),0)</f>
        <v>0</v>
      </c>
      <c r="JS17" s="20" t="n">
        <f aca="false">JK17-JR17</f>
        <v>0</v>
      </c>
      <c r="JT17" s="20" t="n">
        <f aca="false">IF(BV17=1,IF(ABS((1+AS_Wage)/(1+Slot6_Rate)-1)&lt;0.000000000001,(Slot6_Age-D17)*(1+Slot6_Rate)^(Slot6_Age-D17),(1+Slot6_Rate)^(Slot6_Age-D17)*(1-((1+AS_Wage)/(1+Slot6_Rate))^(Slot6_Age-D17))/(1-(1+AS_Wage)/(1+Slot6_Rate))),1)</f>
        <v>1</v>
      </c>
      <c r="JU17" s="20" t="n">
        <f aca="false">IF(AND(HU17=1,IE17&gt;0,Slot6_IsWG=1,BV17=1),MAX(0,(Slot6_Cost-BW17*(1+Slot6_Rate)^(Slot6_Age-D17))/JT17),0)</f>
        <v>0</v>
      </c>
      <c r="JV17" s="20" t="n">
        <f aca="false">IF(AND(HU17=1,IE17&gt;0,Slot6_IsWG=1,BV17=1),MIN(IE17,JU17),0)</f>
        <v>0</v>
      </c>
      <c r="JW17" s="20" t="n">
        <f aca="false">BW17+JV17</f>
        <v>0</v>
      </c>
      <c r="JX17" s="20" t="n">
        <f aca="false">IF(BV17=1,MAX(0,(Slot6_Cost-JW17*(1+Slot6_Rate)^(Slot6_Age-D17))/JT17),0)</f>
        <v>0</v>
      </c>
      <c r="JY17" s="20" t="n">
        <f aca="false">IF(BV17=1,MAX(0,(Slot6_Cost-BW17*(1+Slot6_Rate)^(Slot6_Age-D17))/JT17),0)</f>
        <v>0</v>
      </c>
      <c r="JZ17" s="20" t="n">
        <f aca="false">IF(AND(HU17=1,BV17=1),MIN(JS17,JX17),0)</f>
        <v>0</v>
      </c>
      <c r="KA17" s="20" t="n">
        <f aca="false">JS17-JZ17</f>
        <v>0</v>
      </c>
      <c r="KB17" s="20" t="n">
        <f aca="false">IF(CF17=1,IF(ABS((1+AS_Wage)/(1+Slot7_Rate)-1)&lt;0.000000000001,(Slot7_Age-D17)*(1+Slot7_Rate)^(Slot7_Age-D17),(1+Slot7_Rate)^(Slot7_Age-D17)*(1-((1+AS_Wage)/(1+Slot7_Rate))^(Slot7_Age-D17))/(1-(1+AS_Wage)/(1+Slot7_Rate))),1)</f>
        <v>1</v>
      </c>
      <c r="KC17" s="20" t="n">
        <f aca="false">IF(AND(HU17=1,IE17&gt;0,Slot7_IsWG=1,CF17=1),MAX(0,(Slot7_Cost-CG17*(1+Slot7_Rate)^(Slot7_Age-D17))/KB17),0)</f>
        <v>0</v>
      </c>
      <c r="KD17" s="20" t="n">
        <f aca="false">IF(AND(HU17=1,IE17&gt;0,Slot7_IsWG=1,CF17=1),MIN(IE17,KC17),0)</f>
        <v>0</v>
      </c>
      <c r="KE17" s="20" t="n">
        <f aca="false">CG17+KD17</f>
        <v>0</v>
      </c>
      <c r="KF17" s="20" t="n">
        <f aca="false">IF(CF17=1,MAX(0,(Slot7_Cost-KE17*(1+Slot7_Rate)^(Slot7_Age-D17))/KB17),0)</f>
        <v>0</v>
      </c>
      <c r="KG17" s="20" t="n">
        <f aca="false">IF(CF17=1,MAX(0,(Slot7_Cost-CG17*(1+Slot7_Rate)^(Slot7_Age-D17))/KB17),0)</f>
        <v>0</v>
      </c>
      <c r="KH17" s="20" t="n">
        <f aca="false">IF(AND(HU17=1,CF17=1),MIN(KA17,KF17),0)</f>
        <v>0</v>
      </c>
      <c r="KI17" s="20" t="n">
        <f aca="false">KA17-KH17</f>
        <v>0</v>
      </c>
      <c r="KJ17" s="20" t="n">
        <f aca="false">IF(CP17=1,IF(ABS((1+AS_Wage)/(1+Slot8_Rate)-1)&lt;0.000000000001,(Slot8_Age-D17)*(1+Slot8_Rate)^(Slot8_Age-D17),(1+Slot8_Rate)^(Slot8_Age-D17)*(1-((1+AS_Wage)/(1+Slot8_Rate))^(Slot8_Age-D17))/(1-(1+AS_Wage)/(1+Slot8_Rate))),1)</f>
        <v>1</v>
      </c>
      <c r="KK17" s="20" t="n">
        <f aca="false">IF(AND(HU17=1,IE17&gt;0,Slot8_IsWG=1,CP17=1),MAX(0,(Slot8_Cost-CQ17*(1+Slot8_Rate)^(Slot8_Age-D17))/KJ17),0)</f>
        <v>0</v>
      </c>
      <c r="KL17" s="20" t="n">
        <f aca="false">IF(AND(HU17=1,IE17&gt;0,Slot8_IsWG=1,CP17=1),MIN(IE17,KK17),0)</f>
        <v>0</v>
      </c>
      <c r="KM17" s="20" t="n">
        <f aca="false">CQ17+KL17</f>
        <v>0</v>
      </c>
      <c r="KN17" s="20" t="n">
        <f aca="false">IF(CP17=1,MAX(0,(Slot8_Cost-KM17*(1+Slot8_Rate)^(Slot8_Age-D17))/KJ17),0)</f>
        <v>0</v>
      </c>
      <c r="KO17" s="20" t="n">
        <f aca="false">IF(CP17=1,MAX(0,(Slot8_Cost-CQ17*(1+Slot8_Rate)^(Slot8_Age-D17))/KJ17),0)</f>
        <v>0</v>
      </c>
      <c r="KP17" s="20" t="n">
        <f aca="false">IF(AND(HU17=1,CP17=1),MIN(KI17,KN17),0)</f>
        <v>0</v>
      </c>
      <c r="KQ17" s="20" t="n">
        <f aca="false">KI17-KP17</f>
        <v>0</v>
      </c>
      <c r="KR17" s="20" t="n">
        <f aca="false">IF(CZ17=1,IF(ABS((1+AS_Wage)/(1+Slot9_Rate)-1)&lt;0.000000000001,(Slot9_Age-D17)*(1+Slot9_Rate)^(Slot9_Age-D17),(1+Slot9_Rate)^(Slot9_Age-D17)*(1-((1+AS_Wage)/(1+Slot9_Rate))^(Slot9_Age-D17))/(1-(1+AS_Wage)/(1+Slot9_Rate))),1)</f>
        <v>1</v>
      </c>
      <c r="KS17" s="20" t="n">
        <f aca="false">IF(AND(HU17=1,IE17&gt;0,Slot9_IsWG=1,CZ17=1),MAX(0,(Slot9_Cost-DA17*(1+Slot9_Rate)^(Slot9_Age-D17))/KR17),0)</f>
        <v>0</v>
      </c>
      <c r="KT17" s="20" t="n">
        <f aca="false">IF(AND(HU17=1,IE17&gt;0,Slot9_IsWG=1,CZ17=1),MIN(IE17,KS17),0)</f>
        <v>0</v>
      </c>
      <c r="KU17" s="20" t="n">
        <f aca="false">DA17+KT17</f>
        <v>0</v>
      </c>
      <c r="KV17" s="20" t="n">
        <f aca="false">IF(CZ17=1,MAX(0,(Slot9_Cost-KU17*(1+Slot9_Rate)^(Slot9_Age-D17))/KR17),0)</f>
        <v>0</v>
      </c>
      <c r="KW17" s="20" t="n">
        <f aca="false">IF(CZ17=1,MAX(0,(Slot9_Cost-DA17*(1+Slot9_Rate)^(Slot9_Age-D17))/KR17),0)</f>
        <v>0</v>
      </c>
      <c r="KX17" s="20" t="n">
        <f aca="false">IF(AND(HU17=1,CZ17=1),MIN(KQ17,KV17),0)</f>
        <v>0</v>
      </c>
      <c r="KY17" s="20" t="n">
        <f aca="false">KQ17-KX17</f>
        <v>0</v>
      </c>
      <c r="KZ17" s="20" t="n">
        <f aca="false">IF(DJ17=1,IF(ABS((1+AS_Wage)/(1+Slot10_Rate)-1)&lt;0.000000000001,(Slot10_Age-D17)*(1+Slot10_Rate)^(Slot10_Age-D17),(1+Slot10_Rate)^(Slot10_Age-D17)*(1-((1+AS_Wage)/(1+Slot10_Rate))^(Slot10_Age-D17))/(1-(1+AS_Wage)/(1+Slot10_Rate))),1)</f>
        <v>1</v>
      </c>
      <c r="LA17" s="20" t="n">
        <f aca="false">IF(AND(HU17=1,IE17&gt;0,Slot10_IsWG=1,DJ17=1),MAX(0,(Slot10_Cost-DK17*(1+Slot10_Rate)^(Slot10_Age-D17))/KZ17),0)</f>
        <v>0</v>
      </c>
      <c r="LB17" s="20" t="n">
        <f aca="false">IF(AND(HU17=1,IE17&gt;0,Slot10_IsWG=1,DJ17=1),MIN(IE17,LA17),0)</f>
        <v>0</v>
      </c>
      <c r="LC17" s="20" t="n">
        <f aca="false">DK17+LB17</f>
        <v>0</v>
      </c>
      <c r="LD17" s="20" t="n">
        <f aca="false">IF(DJ17=1,MAX(0,(Slot10_Cost-LC17*(1+Slot10_Rate)^(Slot10_Age-D17))/KZ17),0)</f>
        <v>0</v>
      </c>
      <c r="LE17" s="20" t="n">
        <f aca="false">IF(DJ17=1,MAX(0,(Slot10_Cost-DK17*(1+Slot10_Rate)^(Slot10_Age-D17))/KZ17),0)</f>
        <v>0</v>
      </c>
      <c r="LF17" s="20" t="n">
        <f aca="false">IF(AND(HU17=1,DJ17=1),MIN(KY17,LD17),0)</f>
        <v>0</v>
      </c>
      <c r="LG17" s="20" t="n">
        <f aca="false">KY17-LF17</f>
        <v>0</v>
      </c>
      <c r="LH17" s="20" t="n">
        <f aca="false">IF(DT17=1,IF(ABS((1+AS_Wage)/(1+Slot11_Rate)-1)&lt;0.000000000001,(Slot11_Age-D17)*(1+Slot11_Rate)^(Slot11_Age-D17),(1+Slot11_Rate)^(Slot11_Age-D17)*(1-((1+AS_Wage)/(1+Slot11_Rate))^(Slot11_Age-D17))/(1-(1+AS_Wage)/(1+Slot11_Rate))),1)</f>
        <v>1</v>
      </c>
      <c r="LI17" s="20" t="n">
        <f aca="false">IF(AND(HU17=1,IE17&gt;0,Slot11_IsWG=1,DT17=1),MAX(0,(Slot11_Cost-DU17*(1+Slot11_Rate)^(Slot11_Age-D17))/LH17),0)</f>
        <v>0</v>
      </c>
      <c r="LJ17" s="20" t="n">
        <f aca="false">IF(AND(HU17=1,IE17&gt;0,Slot11_IsWG=1,DT17=1),MIN(IE17,LI17),0)</f>
        <v>0</v>
      </c>
      <c r="LK17" s="20" t="n">
        <f aca="false">DU17+LJ17</f>
        <v>0</v>
      </c>
      <c r="LL17" s="20" t="n">
        <f aca="false">IF(DT17=1,MAX(0,(Slot11_Cost-LK17*(1+Slot11_Rate)^(Slot11_Age-D17))/LH17),0)</f>
        <v>0</v>
      </c>
      <c r="LM17" s="20" t="n">
        <f aca="false">IF(DT17=1,MAX(0,(Slot11_Cost-DU17*(1+Slot11_Rate)^(Slot11_Age-D17))/LH17),0)</f>
        <v>0</v>
      </c>
      <c r="LN17" s="20" t="n">
        <f aca="false">IF(AND(HU17=1,DT17=1),MIN(LG17,LL17),0)</f>
        <v>0</v>
      </c>
      <c r="LO17" s="20" t="n">
        <f aca="false">LG17-LN17</f>
        <v>0</v>
      </c>
      <c r="LP17" s="20" t="n">
        <f aca="false">IF(ED17=1,IF(ABS((1+AS_Wage)/(1+Slot12_Rate)-1)&lt;0.000000000001,(Slot12_Age-D17)*(1+Slot12_Rate)^(Slot12_Age-D17),(1+Slot12_Rate)^(Slot12_Age-D17)*(1-((1+AS_Wage)/(1+Slot12_Rate))^(Slot12_Age-D17))/(1-(1+AS_Wage)/(1+Slot12_Rate))),1)</f>
        <v>1</v>
      </c>
      <c r="LQ17" s="20" t="n">
        <f aca="false">IF(AND(HU17=1,IE17&gt;0,Slot12_IsWG=1,ED17=1),MAX(0,(Slot12_Cost-EE17*(1+Slot12_Rate)^(Slot12_Age-D17))/LP17),0)</f>
        <v>0</v>
      </c>
      <c r="LR17" s="20" t="n">
        <f aca="false">IF(AND(HU17=1,IE17&gt;0,Slot12_IsWG=1,ED17=1),MIN(IE17,LQ17),0)</f>
        <v>0</v>
      </c>
      <c r="LS17" s="20" t="n">
        <f aca="false">EE17+LR17</f>
        <v>0</v>
      </c>
      <c r="LT17" s="20" t="n">
        <f aca="false">IF(ED17=1,MAX(0,(Slot12_Cost-LS17*(1+Slot12_Rate)^(Slot12_Age-D17))/LP17),0)</f>
        <v>0</v>
      </c>
      <c r="LU17" s="20" t="n">
        <f aca="false">IF(ED17=1,MAX(0,(Slot12_Cost-EE17*(1+Slot12_Rate)^(Slot12_Age-D17))/LP17),0)</f>
        <v>0</v>
      </c>
      <c r="LV17" s="20" t="n">
        <f aca="false">IF(AND(HU17=1,ED17=1),MIN(LO17,LT17),0)</f>
        <v>0</v>
      </c>
      <c r="LW17" s="20" t="n">
        <f aca="false">LO17-LV17</f>
        <v>0</v>
      </c>
      <c r="LX17" s="20" t="n">
        <f aca="false">IF(EN17=1,IF(ABS((1+AS_Wage)/(1+Slot13_Rate)-1)&lt;0.000000000001,(Slot13_Age-D17)*(1+Slot13_Rate)^(Slot13_Age-D17),(1+Slot13_Rate)^(Slot13_Age-D17)*(1-((1+AS_Wage)/(1+Slot13_Rate))^(Slot13_Age-D17))/(1-(1+AS_Wage)/(1+Slot13_Rate))),1)</f>
        <v>1</v>
      </c>
      <c r="LY17" s="20" t="n">
        <f aca="false">IF(AND(HU17=1,IE17&gt;0,Slot13_IsWG=1,EN17=1),MAX(0,(Slot13_Cost-EO17*(1+Slot13_Rate)^(Slot13_Age-D17))/LX17),0)</f>
        <v>0</v>
      </c>
      <c r="LZ17" s="20" t="n">
        <f aca="false">IF(AND(HU17=1,IE17&gt;0,Slot13_IsWG=1,EN17=1),MIN(IE17,LY17),0)</f>
        <v>0</v>
      </c>
      <c r="MA17" s="20" t="n">
        <f aca="false">EO17+LZ17</f>
        <v>0</v>
      </c>
      <c r="MB17" s="20" t="n">
        <f aca="false">IF(EN17=1,MAX(0,(Slot13_Cost-MA17*(1+Slot13_Rate)^(Slot13_Age-D17))/LX17),0)</f>
        <v>0</v>
      </c>
      <c r="MC17" s="20" t="n">
        <f aca="false">IF(EN17=1,MAX(0,(Slot13_Cost-EO17*(1+Slot13_Rate)^(Slot13_Age-D17))/LX17),0)</f>
        <v>0</v>
      </c>
      <c r="MD17" s="20" t="n">
        <f aca="false">IF(AND(HU17=1,EN17=1),MIN(LW17,MB17),0)</f>
        <v>0</v>
      </c>
      <c r="ME17" s="20" t="n">
        <f aca="false">LW17-MD17</f>
        <v>0</v>
      </c>
      <c r="MF17" s="20" t="n">
        <f aca="false">IF(EX17=1,IF(ABS((1+AS_Wage)/(1+Slot14_Rate)-1)&lt;0.000000000001,(Slot14_Age-D17)*(1+Slot14_Rate)^(Slot14_Age-D17),(1+Slot14_Rate)^(Slot14_Age-D17)*(1-((1+AS_Wage)/(1+Slot14_Rate))^(Slot14_Age-D17))/(1-(1+AS_Wage)/(1+Slot14_Rate))),1)</f>
        <v>1</v>
      </c>
      <c r="MG17" s="20" t="n">
        <f aca="false">IF(AND(HU17=1,IE17&gt;0,Slot14_IsWG=1,EX17=1),MAX(0,(Slot14_Cost-EY17*(1+Slot14_Rate)^(Slot14_Age-D17))/MF17),0)</f>
        <v>0</v>
      </c>
      <c r="MH17" s="20" t="n">
        <f aca="false">IF(AND(HU17=1,IE17&gt;0,Slot14_IsWG=1,EX17=1),MIN(IE17,MG17),0)</f>
        <v>0</v>
      </c>
      <c r="MI17" s="20" t="n">
        <f aca="false">EY17+MH17</f>
        <v>0</v>
      </c>
      <c r="MJ17" s="20" t="n">
        <f aca="false">IF(EX17=1,MAX(0,(Slot14_Cost-MI17*(1+Slot14_Rate)^(Slot14_Age-D17))/MF17),0)</f>
        <v>0</v>
      </c>
      <c r="MK17" s="20" t="n">
        <f aca="false">IF(EX17=1,MAX(0,(Slot14_Cost-EY17*(1+Slot14_Rate)^(Slot14_Age-D17))/MF17),0)</f>
        <v>0</v>
      </c>
      <c r="ML17" s="20" t="n">
        <f aca="false">IF(AND(HU17=1,EX17=1),MIN(ME17,MJ17),0)</f>
        <v>0</v>
      </c>
      <c r="MM17" s="20" t="n">
        <f aca="false">ME17-ML17</f>
        <v>0</v>
      </c>
      <c r="MN17" s="20" t="n">
        <f aca="false">IF(FH17=1,IF(ABS((1+AS_Wage)/(1+Slot15_Rate)-1)&lt;0.000000000001,(Slot15_Age-D17)*(1+Slot15_Rate)^(Slot15_Age-D17),(1+Slot15_Rate)^(Slot15_Age-D17)*(1-((1+AS_Wage)/(1+Slot15_Rate))^(Slot15_Age-D17))/(1-(1+AS_Wage)/(1+Slot15_Rate))),1)</f>
        <v>1</v>
      </c>
      <c r="MO17" s="20" t="n">
        <f aca="false">IF(AND(HU17=1,IE17&gt;0,Slot15_IsWG=1,FH17=1),MAX(0,(Slot15_Cost-FI17*(1+Slot15_Rate)^(Slot15_Age-D17))/MN17),0)</f>
        <v>0</v>
      </c>
      <c r="MP17" s="20" t="n">
        <f aca="false">IF(AND(HU17=1,IE17&gt;0,Slot15_IsWG=1,FH17=1),MIN(IE17,MO17),0)</f>
        <v>0</v>
      </c>
      <c r="MQ17" s="20" t="n">
        <f aca="false">FI17+MP17</f>
        <v>0</v>
      </c>
      <c r="MR17" s="20" t="n">
        <f aca="false">IF(FH17=1,MAX(0,(Slot15_Cost-MQ17*(1+Slot15_Rate)^(Slot15_Age-D17))/MN17),0)</f>
        <v>0</v>
      </c>
      <c r="MS17" s="20" t="n">
        <f aca="false">IF(FH17=1,MAX(0,(Slot15_Cost-FI17*(1+Slot15_Rate)^(Slot15_Age-D17))/MN17),0)</f>
        <v>0</v>
      </c>
      <c r="MT17" s="20" t="n">
        <f aca="false">IF(AND(HU17=1,FH17=1),MIN(MM17,MR17),0)</f>
        <v>0</v>
      </c>
      <c r="MU17" s="20" t="n">
        <f aca="false">MM17-MT17</f>
        <v>0</v>
      </c>
      <c r="MV17" s="20" t="n">
        <f aca="false">IF(FR17=1,IF(ABS((1+AS_Wage)/(1+Slot16_Rate)-1)&lt;0.000000000001,(Slot16_Age-D17)*(1+Slot16_Rate)^(Slot16_Age-D17),(1+Slot16_Rate)^(Slot16_Age-D17)*(1-((1+AS_Wage)/(1+Slot16_Rate))^(Slot16_Age-D17))/(1-(1+AS_Wage)/(1+Slot16_Rate))),1)</f>
        <v>1</v>
      </c>
      <c r="MW17" s="20" t="n">
        <f aca="false">IF(AND(HU17=1,IE17&gt;0,Slot16_IsWG=1,FR17=1),MAX(0,(Slot16_Cost-FS17*(1+Slot16_Rate)^(Slot16_Age-D17))/MV17),0)</f>
        <v>0</v>
      </c>
      <c r="MX17" s="20" t="n">
        <f aca="false">IF(AND(HU17=1,IE17&gt;0,Slot16_IsWG=1,FR17=1),MIN(IE17,MW17),0)</f>
        <v>0</v>
      </c>
      <c r="MY17" s="20" t="n">
        <f aca="false">FS17+MX17</f>
        <v>0</v>
      </c>
      <c r="MZ17" s="20" t="n">
        <f aca="false">IF(FR17=1,MAX(0,(Slot16_Cost-MY17*(1+Slot16_Rate)^(Slot16_Age-D17))/MV17),0)</f>
        <v>0</v>
      </c>
      <c r="NA17" s="20" t="n">
        <f aca="false">IF(FR17=1,MAX(0,(Slot16_Cost-FS17*(1+Slot16_Rate)^(Slot16_Age-D17))/MV17),0)</f>
        <v>0</v>
      </c>
      <c r="NB17" s="20" t="n">
        <f aca="false">IF(AND(HU17=1,FR17=1),MIN(MU17,MZ17),0)</f>
        <v>0</v>
      </c>
      <c r="NC17" s="20" t="n">
        <f aca="false">MU17-NB17</f>
        <v>0</v>
      </c>
      <c r="ND17" s="20" t="n">
        <f aca="false">IF(GB17=1,IF(ABS((1+AS_Wage)/(1+Slot17_Rate)-1)&lt;0.000000000001,(Slot17_Age-D17)*(1+Slot17_Rate)^(Slot17_Age-D17),(1+Slot17_Rate)^(Slot17_Age-D17)*(1-((1+AS_Wage)/(1+Slot17_Rate))^(Slot17_Age-D17))/(1-(1+AS_Wage)/(1+Slot17_Rate))),1)</f>
        <v>1</v>
      </c>
      <c r="NE17" s="20" t="n">
        <f aca="false">IF(AND(HU17=1,IE17&gt;0,Slot17_IsWG=1,GB17=1),MAX(0,(Slot17_Cost-GC17*(1+Slot17_Rate)^(Slot17_Age-D17))/ND17),0)</f>
        <v>0</v>
      </c>
      <c r="NF17" s="20" t="n">
        <f aca="false">IF(AND(HU17=1,IE17&gt;0,Slot17_IsWG=1,GB17=1),MIN(IE17,NE17),0)</f>
        <v>0</v>
      </c>
      <c r="NG17" s="20" t="n">
        <f aca="false">GC17+NF17</f>
        <v>0</v>
      </c>
      <c r="NH17" s="20" t="n">
        <f aca="false">IF(GB17=1,MAX(0,(Slot17_Cost-NG17*(1+Slot17_Rate)^(Slot17_Age-D17))/ND17),0)</f>
        <v>0</v>
      </c>
      <c r="NI17" s="20" t="n">
        <f aca="false">IF(GB17=1,MAX(0,(Slot17_Cost-GC17*(1+Slot17_Rate)^(Slot17_Age-D17))/ND17),0)</f>
        <v>0</v>
      </c>
      <c r="NJ17" s="20" t="n">
        <f aca="false">IF(AND(HU17=1,GB17=1),MIN(NC17,NH17),0)</f>
        <v>0</v>
      </c>
      <c r="NK17" s="20" t="n">
        <f aca="false">NC17-NJ17</f>
        <v>0</v>
      </c>
      <c r="NL17" s="20" t="n">
        <f aca="false">IF(GL17=1,IF(ABS((1+AS_Wage)/(1+Slot18_Rate)-1)&lt;0.000000000001,(Slot18_Age-D17)*(1+Slot18_Rate)^(Slot18_Age-D17),(1+Slot18_Rate)^(Slot18_Age-D17)*(1-((1+AS_Wage)/(1+Slot18_Rate))^(Slot18_Age-D17))/(1-(1+AS_Wage)/(1+Slot18_Rate))),1)</f>
        <v>1</v>
      </c>
      <c r="NM17" s="20" t="n">
        <f aca="false">IF(AND(HU17=1,IE17&gt;0,Slot18_IsWG=1,GL17=1),MAX(0,(Slot18_Cost-GM17*(1+Slot18_Rate)^(Slot18_Age-D17))/NL17),0)</f>
        <v>0</v>
      </c>
      <c r="NN17" s="20" t="n">
        <f aca="false">IF(AND(HU17=1,IE17&gt;0,Slot18_IsWG=1,GL17=1),MIN(IE17,NM17),0)</f>
        <v>0</v>
      </c>
      <c r="NO17" s="20" t="n">
        <f aca="false">GM17+NN17</f>
        <v>0</v>
      </c>
      <c r="NP17" s="20" t="n">
        <f aca="false">IF(GL17=1,MAX(0,(Slot18_Cost-NO17*(1+Slot18_Rate)^(Slot18_Age-D17))/NL17),0)</f>
        <v>0</v>
      </c>
      <c r="NQ17" s="20" t="n">
        <f aca="false">IF(GL17=1,MAX(0,(Slot18_Cost-GM17*(1+Slot18_Rate)^(Slot18_Age-D17))/NL17),0)</f>
        <v>0</v>
      </c>
      <c r="NR17" s="20" t="n">
        <f aca="false">IF(AND(HU17=1,GL17=1),MIN(NK17,NP17),0)</f>
        <v>0</v>
      </c>
      <c r="NS17" s="20" t="n">
        <f aca="false">NK17-NR17</f>
        <v>0</v>
      </c>
      <c r="NT17" s="20" t="n">
        <f aca="false">IF(GV17=1,IF(ABS((1+AS_Wage)/(1+Slot19_Rate)-1)&lt;0.000000000001,(Slot19_Age-D17)*(1+Slot19_Rate)^(Slot19_Age-D17),(1+Slot19_Rate)^(Slot19_Age-D17)*(1-((1+AS_Wage)/(1+Slot19_Rate))^(Slot19_Age-D17))/(1-(1+AS_Wage)/(1+Slot19_Rate))),1)</f>
        <v>1</v>
      </c>
      <c r="NU17" s="20" t="n">
        <f aca="false">IF(AND(HU17=1,IE17&gt;0,Slot19_IsWG=1,GV17=1),MAX(0,(Slot19_Cost-GW17*(1+Slot19_Rate)^(Slot19_Age-D17))/NT17),0)</f>
        <v>0</v>
      </c>
      <c r="NV17" s="20" t="n">
        <f aca="false">IF(AND(HU17=1,IE17&gt;0,Slot19_IsWG=1,GV17=1),MIN(IE17,NU17),0)</f>
        <v>0</v>
      </c>
      <c r="NW17" s="20" t="n">
        <f aca="false">GW17+NV17</f>
        <v>0</v>
      </c>
      <c r="NX17" s="20" t="n">
        <f aca="false">IF(GV17=1,MAX(0,(Slot19_Cost-NW17*(1+Slot19_Rate)^(Slot19_Age-D17))/NT17),0)</f>
        <v>0</v>
      </c>
      <c r="NY17" s="20" t="n">
        <f aca="false">IF(GV17=1,MAX(0,(Slot19_Cost-GW17*(1+Slot19_Rate)^(Slot19_Age-D17))/NT17),0)</f>
        <v>0</v>
      </c>
      <c r="NZ17" s="20" t="n">
        <f aca="false">IF(AND(HU17=1,GV17=1),MIN(NS17,NX17),0)</f>
        <v>0</v>
      </c>
      <c r="OA17" s="20" t="n">
        <f aca="false">NS17-NZ17</f>
        <v>0</v>
      </c>
      <c r="OB17" s="20" t="n">
        <f aca="false">IF(HF17=1,IF(ABS((1+AS_Wage)/(1+Slot20_Rate)-1)&lt;0.000000000001,(Slot20_Age-D17)*(1+Slot20_Rate)^(Slot20_Age-D17),(1+Slot20_Rate)^(Slot20_Age-D17)*(1-((1+AS_Wage)/(1+Slot20_Rate))^(Slot20_Age-D17))/(1-(1+AS_Wage)/(1+Slot20_Rate))),1)</f>
        <v>1</v>
      </c>
      <c r="OC17" s="20" t="n">
        <f aca="false">IF(AND(HU17=1,IE17&gt;0,Slot20_IsWG=1,HF17=1),MAX(0,(Slot20_Cost-HG17*(1+Slot20_Rate)^(Slot20_Age-D17))/OB17),0)</f>
        <v>0</v>
      </c>
      <c r="OD17" s="20" t="n">
        <f aca="false">IF(AND(HU17=1,IE17&gt;0,Slot20_IsWG=1,HF17=1),MIN(IE17,OC17),0)</f>
        <v>0</v>
      </c>
      <c r="OE17" s="20" t="n">
        <f aca="false">HG17+OD17</f>
        <v>0</v>
      </c>
      <c r="OF17" s="20" t="n">
        <f aca="false">IF(HF17=1,MAX(0,(Slot20_Cost-OE17*(1+Slot20_Rate)^(Slot20_Age-D17))/OB17),0)</f>
        <v>0</v>
      </c>
      <c r="OG17" s="20" t="n">
        <f aca="false">IF(HF17=1,MAX(0,(Slot20_Cost-HG17*(1+Slot20_Rate)^(Slot20_Age-D17))/OB17),0)</f>
        <v>0</v>
      </c>
      <c r="OH17" s="20" t="n">
        <f aca="false">IF(AND(HU17=1,HF17=1),MIN(OA17,OF17),0)</f>
        <v>0</v>
      </c>
      <c r="OI17" s="20" t="n">
        <f aca="false">OA17-OH17</f>
        <v>0</v>
      </c>
      <c r="OJ17" s="20" t="n">
        <f aca="false">IE17-(IH17+IP17+IX17+JF17+JN17+JV17+KD17+KL17+KT17+LB17+LJ17+LR17+LZ17+MH17+MP17+MX17+NF17+NN17+NV17+OD17)</f>
        <v>0</v>
      </c>
      <c r="OK17" s="20" t="n">
        <f aca="false">IF(HU17=1,HS17-ID17-IE17,0)</f>
        <v>5544.63570532627</v>
      </c>
      <c r="OL17" s="20" t="n">
        <f aca="false">IF(HU17=0,-HS17,0)</f>
        <v>0</v>
      </c>
      <c r="OM17" s="20" t="n">
        <f aca="false">MIN(OL17,HK17)</f>
        <v>0</v>
      </c>
      <c r="ON17" s="20" t="n">
        <f aca="false">OL17-OM17</f>
        <v>0</v>
      </c>
      <c r="OO17" s="20" t="n">
        <f aca="false">MIN(ON17,HL17)</f>
        <v>0</v>
      </c>
      <c r="OP17" s="20" t="n">
        <f aca="false">ON17-OO17</f>
        <v>0</v>
      </c>
      <c r="OQ17" s="20" t="n">
        <f aca="false">IF(AND(HU17=0,HF17=1,OP17&gt;0),MIN(OP17,HG17),0)</f>
        <v>0</v>
      </c>
      <c r="OR17" s="20" t="n">
        <f aca="false">OP17-OQ17</f>
        <v>0</v>
      </c>
      <c r="OS17" s="20" t="n">
        <f aca="false">IF(AND(HU17=0,GV17=1,OR17&gt;0),MIN(OR17,GW17),0)</f>
        <v>0</v>
      </c>
      <c r="OT17" s="20" t="n">
        <f aca="false">OR17-OS17</f>
        <v>0</v>
      </c>
      <c r="OU17" s="20" t="n">
        <f aca="false">IF(AND(HU17=0,GL17=1,OT17&gt;0),MIN(OT17,GM17),0)</f>
        <v>0</v>
      </c>
      <c r="OV17" s="20" t="n">
        <f aca="false">OT17-OU17</f>
        <v>0</v>
      </c>
      <c r="OW17" s="20" t="n">
        <f aca="false">IF(AND(HU17=0,GB17=1,OV17&gt;0),MIN(OV17,GC17),0)</f>
        <v>0</v>
      </c>
      <c r="OX17" s="20" t="n">
        <f aca="false">OV17-OW17</f>
        <v>0</v>
      </c>
      <c r="OY17" s="20" t="n">
        <f aca="false">IF(AND(HU17=0,FR17=1,OX17&gt;0),MIN(OX17,FS17),0)</f>
        <v>0</v>
      </c>
      <c r="OZ17" s="20" t="n">
        <f aca="false">OX17-OY17</f>
        <v>0</v>
      </c>
      <c r="PA17" s="20" t="n">
        <f aca="false">IF(AND(HU17=0,FH17=1,OZ17&gt;0),MIN(OZ17,FI17),0)</f>
        <v>0</v>
      </c>
      <c r="PB17" s="20" t="n">
        <f aca="false">OZ17-PA17</f>
        <v>0</v>
      </c>
      <c r="PC17" s="20" t="n">
        <f aca="false">IF(AND(HU17=0,EX17=1,PB17&gt;0),MIN(PB17,EY17),0)</f>
        <v>0</v>
      </c>
      <c r="PD17" s="20" t="n">
        <f aca="false">PB17-PC17</f>
        <v>0</v>
      </c>
      <c r="PE17" s="20" t="n">
        <f aca="false">IF(AND(HU17=0,EN17=1,PD17&gt;0),MIN(PD17,EO17),0)</f>
        <v>0</v>
      </c>
      <c r="PF17" s="20" t="n">
        <f aca="false">PD17-PE17</f>
        <v>0</v>
      </c>
      <c r="PG17" s="20" t="n">
        <f aca="false">IF(AND(HU17=0,ED17=1,PF17&gt;0),MIN(PF17,EE17),0)</f>
        <v>0</v>
      </c>
      <c r="PH17" s="20" t="n">
        <f aca="false">PF17-PG17</f>
        <v>0</v>
      </c>
      <c r="PI17" s="20" t="n">
        <f aca="false">IF(AND(HU17=0,DT17=1,PH17&gt;0),MIN(PH17,DU17),0)</f>
        <v>0</v>
      </c>
      <c r="PJ17" s="20" t="n">
        <f aca="false">PH17-PI17</f>
        <v>0</v>
      </c>
      <c r="PK17" s="20" t="n">
        <f aca="false">IF(AND(HU17=0,DJ17=1,PJ17&gt;0),MIN(PJ17,DK17),0)</f>
        <v>0</v>
      </c>
      <c r="PL17" s="20" t="n">
        <f aca="false">PJ17-PK17</f>
        <v>0</v>
      </c>
      <c r="PM17" s="20" t="n">
        <f aca="false">IF(AND(HU17=0,CZ17=1,PL17&gt;0),MIN(PL17,DA17),0)</f>
        <v>0</v>
      </c>
      <c r="PN17" s="20" t="n">
        <f aca="false">PL17-PM17</f>
        <v>0</v>
      </c>
      <c r="PO17" s="20" t="n">
        <f aca="false">IF(AND(HU17=0,CP17=1,PN17&gt;0),MIN(PN17,CQ17),0)</f>
        <v>0</v>
      </c>
      <c r="PP17" s="20" t="n">
        <f aca="false">PN17-PO17</f>
        <v>0</v>
      </c>
      <c r="PQ17" s="20" t="n">
        <f aca="false">IF(AND(HU17=0,CF17=1,PP17&gt;0),MIN(PP17,CG17),0)</f>
        <v>0</v>
      </c>
      <c r="PR17" s="20" t="n">
        <f aca="false">PP17-PQ17</f>
        <v>0</v>
      </c>
      <c r="PS17" s="20" t="n">
        <f aca="false">IF(AND(HU17=0,BV17=1,PR17&gt;0),MIN(PR17,BW17),0)</f>
        <v>0</v>
      </c>
      <c r="PT17" s="20" t="n">
        <f aca="false">PR17-PS17</f>
        <v>0</v>
      </c>
      <c r="PU17" s="20" t="n">
        <f aca="false">IF(AND(HU17=0,BL17=1,PT17&gt;0),MIN(PT17,BM17),0)</f>
        <v>0</v>
      </c>
      <c r="PV17" s="20" t="n">
        <f aca="false">PT17-PU17</f>
        <v>0</v>
      </c>
      <c r="PW17" s="20" t="n">
        <f aca="false">IF(AND(HU17=0,BB17=1,PV17&gt;0),MIN(PV17,BC17),0)</f>
        <v>0</v>
      </c>
      <c r="PX17" s="20" t="n">
        <f aca="false">PV17-PW17</f>
        <v>0</v>
      </c>
      <c r="PY17" s="20" t="n">
        <f aca="false">IF(AND(HU17=0,AR17=1,PX17&gt;0),MIN(PX17,AS17),0)</f>
        <v>0</v>
      </c>
      <c r="PZ17" s="20" t="n">
        <f aca="false">PX17-PY17</f>
        <v>0</v>
      </c>
      <c r="QA17" s="20" t="n">
        <f aca="false">IF(AND(HU17=0,AH17=1,PZ17&gt;0),MIN(PZ17,AI17),0)</f>
        <v>0</v>
      </c>
      <c r="QB17" s="20" t="n">
        <f aca="false">PZ17-QA17</f>
        <v>0</v>
      </c>
      <c r="QC17" s="20" t="n">
        <f aca="false">IF(AND(HU17=0,W17=1,QB17&gt;0),MIN(QB17,X17),0)</f>
        <v>0</v>
      </c>
      <c r="QD17" s="20" t="n">
        <f aca="false">QB17-QC17</f>
        <v>0</v>
      </c>
      <c r="QE17" s="20" t="n">
        <f aca="false">IF(HU17=0,QD17,0)</f>
        <v>0</v>
      </c>
      <c r="QF17" s="20" t="n">
        <f aca="false">OM17+OO17+QC17+QA17+PY17+PW17+PU17+PS17+PQ17+PO17+PM17+PK17+PI17+PG17+PE17+PC17+PA17+OY17+OW17+OU17+OS17+OQ17</f>
        <v>0</v>
      </c>
      <c r="QG17" s="20" t="n">
        <f aca="false">IF(HU17=1,HK17+OJ17+OI17+IF(G17=1,0,OK17),HK17-OM17)</f>
        <v>0</v>
      </c>
      <c r="QH17" s="20" t="n">
        <f aca="false">HL17-OO17</f>
        <v>12199.2293965715</v>
      </c>
      <c r="QI17" s="20" t="n">
        <f aca="false">IF(HU17=1,IF(G17=1,ID17+IE17,HS17),0)</f>
        <v>5544.63570532627</v>
      </c>
      <c r="QJ17" s="20" t="n">
        <f aca="false">IF(HU17=1,IF(G17=1,HS17-ID17-IE17,0),0)</f>
        <v>5544.63570532627</v>
      </c>
      <c r="QK17" s="57" t="n">
        <f aca="false">'Plan holdings'!BM17</f>
        <v>0</v>
      </c>
      <c r="QL17" s="20" t="n">
        <f aca="false">QH17*(1+AS_Cash)</f>
        <v>12321.2216905372</v>
      </c>
      <c r="QM17" s="20" t="n">
        <f aca="false">IF(W17=1,IF(HU17=1,II17+IL17,X17-QC17)*(1+Slot1_Rate),0)</f>
        <v>0</v>
      </c>
      <c r="QN17" s="20" t="n">
        <f aca="false">IF(AND(HU17=1,W17=1),(IH17+IL17)/F17,0)</f>
        <v>0</v>
      </c>
      <c r="QO17" s="20" t="n">
        <f aca="false">IF(B17=0,IH17+IL17,0)</f>
        <v>0</v>
      </c>
      <c r="QP17" s="20" t="n">
        <f aca="false">IF(B17=0,IF(HU17=1,IJ17,IK17),0)</f>
        <v>0</v>
      </c>
      <c r="QQ17" s="20" t="n">
        <f aca="false">IF(AH17=1,IF(HU17=1,IQ17+IT17,AI17-QA17)*(1+Slot2_Rate),0)</f>
        <v>0</v>
      </c>
      <c r="QR17" s="20" t="n">
        <f aca="false">IF(AND(HU17=1,AH17=1),(IP17+IT17)/F17,0)</f>
        <v>0</v>
      </c>
      <c r="QS17" s="20" t="n">
        <f aca="false">IF(B17=0,IP17+IT17,0)</f>
        <v>0</v>
      </c>
      <c r="QT17" s="20" t="n">
        <f aca="false">IF(B17=0,IF(HU17=1,IR17,IS17),0)</f>
        <v>0</v>
      </c>
      <c r="QU17" s="20" t="n">
        <f aca="false">IF(AR17=1,IF(HU17=1,IY17+JB17,AS17-PY17)*(1+Slot3_Rate),0)</f>
        <v>30927.1211760735</v>
      </c>
      <c r="QV17" s="20" t="n">
        <f aca="false">IF(AND(HU17=1,AR17=1),(IX17+JB17)/F17,0)</f>
        <v>4639.50312377731</v>
      </c>
      <c r="QW17" s="20" t="n">
        <f aca="false">IF(B17=0,IX17+JB17,0)</f>
        <v>0</v>
      </c>
      <c r="QX17" s="20" t="n">
        <f aca="false">IF(B17=0,IF(HU17=1,IZ17,JA17),0)</f>
        <v>0</v>
      </c>
      <c r="QY17" s="20" t="n">
        <f aca="false">IF(BB17=1,IF(HU17=1,JG17+JJ17,BC17-PW17)*(1+Slot4_Rate),0)</f>
        <v>0</v>
      </c>
      <c r="QZ17" s="20" t="n">
        <f aca="false">IF(AND(HU17=1,BB17=1),(JF17+JJ17)/F17,0)</f>
        <v>0</v>
      </c>
      <c r="RA17" s="20" t="n">
        <f aca="false">IF(B17=0,JF17+JJ17,0)</f>
        <v>0</v>
      </c>
      <c r="RB17" s="20" t="n">
        <f aca="false">IF(B17=0,IF(HU17=1,JH17,JI17),0)</f>
        <v>0</v>
      </c>
      <c r="RC17" s="20" t="n">
        <f aca="false">IF(BL17=1,IF(HU17=1,JO17+JR17,BM17-PU17)*(1+Slot5_Rate),0)</f>
        <v>0</v>
      </c>
      <c r="RD17" s="20" t="n">
        <f aca="false">IF(AND(HU17=1,BL17=1),(JN17+JR17)/F17,0)</f>
        <v>0</v>
      </c>
      <c r="RE17" s="20" t="n">
        <f aca="false">IF(B17=0,JN17+JR17,0)</f>
        <v>0</v>
      </c>
      <c r="RF17" s="20" t="n">
        <f aca="false">IF(B17=0,IF(HU17=1,JP17,JQ17),0)</f>
        <v>0</v>
      </c>
      <c r="RG17" s="20" t="n">
        <f aca="false">IF(BV17=1,IF(HU17=1,JW17+JZ17,BW17-PS17)*(1+Slot6_Rate),0)</f>
        <v>0</v>
      </c>
      <c r="RH17" s="20" t="n">
        <f aca="false">IF(AND(HU17=1,BV17=1),(JV17+JZ17)/F17,0)</f>
        <v>0</v>
      </c>
      <c r="RI17" s="20" t="n">
        <f aca="false">IF(B17=0,JV17+JZ17,0)</f>
        <v>0</v>
      </c>
      <c r="RJ17" s="20" t="n">
        <f aca="false">IF(B17=0,IF(HU17=1,JX17,JY17),0)</f>
        <v>0</v>
      </c>
      <c r="RK17" s="20" t="n">
        <f aca="false">IF(CF17=1,IF(HU17=1,KE17+KH17,CG17-PQ17)*(1+Slot7_Rate),0)</f>
        <v>0</v>
      </c>
      <c r="RL17" s="20" t="n">
        <f aca="false">IF(AND(HU17=1,CF17=1),(KD17+KH17)/F17,0)</f>
        <v>0</v>
      </c>
      <c r="RM17" s="20" t="n">
        <f aca="false">IF(B17=0,KD17+KH17,0)</f>
        <v>0</v>
      </c>
      <c r="RN17" s="20" t="n">
        <f aca="false">IF(B17=0,IF(HU17=1,KF17,KG17),0)</f>
        <v>0</v>
      </c>
      <c r="RO17" s="20" t="n">
        <f aca="false">IF(CP17=1,IF(HU17=1,KM17+KP17,CQ17-PO17)*(1+Slot8_Rate),0)</f>
        <v>0</v>
      </c>
      <c r="RP17" s="20" t="n">
        <f aca="false">IF(AND(HU17=1,CP17=1),(KL17+KP17)/F17,0)</f>
        <v>0</v>
      </c>
      <c r="RQ17" s="20" t="n">
        <f aca="false">IF(B17=0,KL17+KP17,0)</f>
        <v>0</v>
      </c>
      <c r="RR17" s="20" t="n">
        <f aca="false">IF(B17=0,IF(HU17=1,KN17,KO17),0)</f>
        <v>0</v>
      </c>
      <c r="RS17" s="20" t="n">
        <f aca="false">IF(CZ17=1,IF(HU17=1,KU17+KX17,DA17-PM17)*(1+Slot9_Rate),0)</f>
        <v>0</v>
      </c>
      <c r="RT17" s="20" t="n">
        <f aca="false">IF(AND(HU17=1,CZ17=1),(KT17+KX17)/F17,0)</f>
        <v>0</v>
      </c>
      <c r="RU17" s="20" t="n">
        <f aca="false">IF(B17=0,KT17+KX17,0)</f>
        <v>0</v>
      </c>
      <c r="RV17" s="20" t="n">
        <f aca="false">IF(B17=0,IF(HU17=1,KV17,KW17),0)</f>
        <v>0</v>
      </c>
      <c r="RW17" s="20" t="n">
        <f aca="false">IF(DJ17=1,IF(HU17=1,LC17+LF17,DK17-PK17)*(1+Slot10_Rate),0)</f>
        <v>0</v>
      </c>
      <c r="RX17" s="20" t="n">
        <f aca="false">IF(AND(HU17=1,DJ17=1),(LB17+LF17)/F17,0)</f>
        <v>0</v>
      </c>
      <c r="RY17" s="20" t="n">
        <f aca="false">IF(B17=0,LB17+LF17,0)</f>
        <v>0</v>
      </c>
      <c r="RZ17" s="20" t="n">
        <f aca="false">IF(B17=0,IF(HU17=1,LD17,LE17),0)</f>
        <v>0</v>
      </c>
      <c r="SA17" s="20" t="n">
        <f aca="false">IF(DT17=1,IF(HU17=1,LK17+LN17,DU17-PI17)*(1+Slot11_Rate),0)</f>
        <v>0</v>
      </c>
      <c r="SB17" s="20" t="n">
        <f aca="false">IF(AND(HU17=1,DT17=1),(LJ17+LN17)/F17,0)</f>
        <v>0</v>
      </c>
      <c r="SC17" s="20" t="n">
        <f aca="false">IF(B17=0,LJ17+LN17,0)</f>
        <v>0</v>
      </c>
      <c r="SD17" s="20" t="n">
        <f aca="false">IF(B17=0,IF(HU17=1,LL17,LM17),0)</f>
        <v>0</v>
      </c>
      <c r="SE17" s="20" t="n">
        <f aca="false">IF(ED17=1,IF(HU17=1,LS17+LV17,EE17-PG17)*(1+Slot12_Rate),0)</f>
        <v>0</v>
      </c>
      <c r="SF17" s="20" t="n">
        <f aca="false">IF(AND(HU17=1,ED17=1),(LR17+LV17)/F17,0)</f>
        <v>0</v>
      </c>
      <c r="SG17" s="20" t="n">
        <f aca="false">IF(B17=0,LR17+LV17,0)</f>
        <v>0</v>
      </c>
      <c r="SH17" s="20" t="n">
        <f aca="false">IF(B17=0,IF(HU17=1,LT17,LU17),0)</f>
        <v>0</v>
      </c>
      <c r="SI17" s="20" t="n">
        <f aca="false">IF(EN17=1,IF(HU17=1,MA17+MD17,EO17-PE17)*(1+Slot13_Rate),0)</f>
        <v>0</v>
      </c>
      <c r="SJ17" s="20" t="n">
        <f aca="false">IF(AND(HU17=1,EN17=1),(LZ17+MD17)/F17,0)</f>
        <v>0</v>
      </c>
      <c r="SK17" s="20" t="n">
        <f aca="false">IF(B17=0,LZ17+MD17,0)</f>
        <v>0</v>
      </c>
      <c r="SL17" s="20" t="n">
        <f aca="false">IF(B17=0,IF(HU17=1,MB17,MC17),0)</f>
        <v>0</v>
      </c>
      <c r="SM17" s="20" t="n">
        <f aca="false">IF(EX17=1,IF(HU17=1,MI17+ML17,EY17-PC17)*(1+Slot14_Rate),0)</f>
        <v>0</v>
      </c>
      <c r="SN17" s="20" t="n">
        <f aca="false">IF(AND(HU17=1,EX17=1),(MH17+ML17)/F17,0)</f>
        <v>0</v>
      </c>
      <c r="SO17" s="20" t="n">
        <f aca="false">IF(B17=0,MH17+ML17,0)</f>
        <v>0</v>
      </c>
      <c r="SP17" s="20" t="n">
        <f aca="false">IF(B17=0,IF(HU17=1,MJ17,MK17),0)</f>
        <v>0</v>
      </c>
      <c r="SQ17" s="20" t="n">
        <f aca="false">IF(FH17=1,IF(HU17=1,MQ17+MT17,FI17-PA17)*(1+Slot15_Rate),0)</f>
        <v>0</v>
      </c>
      <c r="SR17" s="20" t="n">
        <f aca="false">IF(AND(HU17=1,FH17=1),(MP17+MT17)/F17,0)</f>
        <v>0</v>
      </c>
      <c r="SS17" s="20" t="n">
        <f aca="false">IF(B17=0,MP17+MT17,0)</f>
        <v>0</v>
      </c>
      <c r="ST17" s="20" t="n">
        <f aca="false">IF(B17=0,IF(HU17=1,MR17,MS17),0)</f>
        <v>0</v>
      </c>
      <c r="SU17" s="20" t="n">
        <f aca="false">IF(FR17=1,IF(HU17=1,MY17+NB17,FS17-OY17)*(1+Slot16_Rate),0)</f>
        <v>0</v>
      </c>
      <c r="SV17" s="20" t="n">
        <f aca="false">IF(AND(HU17=1,FR17=1),(MX17+NB17)/F17,0)</f>
        <v>0</v>
      </c>
      <c r="SW17" s="20" t="n">
        <f aca="false">IF(B17=0,MX17+NB17,0)</f>
        <v>0</v>
      </c>
      <c r="SX17" s="20" t="n">
        <f aca="false">IF(B17=0,IF(HU17=1,MZ17,NA17),0)</f>
        <v>0</v>
      </c>
      <c r="SY17" s="20" t="n">
        <f aca="false">IF(GB17=1,IF(HU17=1,NG17+NJ17,GC17-OW17)*(1+Slot17_Rate),0)</f>
        <v>0</v>
      </c>
      <c r="SZ17" s="20" t="n">
        <f aca="false">IF(AND(HU17=1,GB17=1),(NF17+NJ17)/F17,0)</f>
        <v>0</v>
      </c>
      <c r="TA17" s="20" t="n">
        <f aca="false">IF(B17=0,NF17+NJ17,0)</f>
        <v>0</v>
      </c>
      <c r="TB17" s="20" t="n">
        <f aca="false">IF(B17=0,IF(HU17=1,NH17,NI17),0)</f>
        <v>0</v>
      </c>
      <c r="TC17" s="20" t="n">
        <f aca="false">IF(GL17=1,IF(HU17=1,NO17+NR17,GM17-OU17)*(1+Slot18_Rate),0)</f>
        <v>0</v>
      </c>
      <c r="TD17" s="20" t="n">
        <f aca="false">IF(AND(HU17=1,GL17=1),(NN17+NR17)/F17,0)</f>
        <v>0</v>
      </c>
      <c r="TE17" s="20" t="n">
        <f aca="false">IF(B17=0,NN17+NR17,0)</f>
        <v>0</v>
      </c>
      <c r="TF17" s="20" t="n">
        <f aca="false">IF(B17=0,IF(HU17=1,NP17,NQ17),0)</f>
        <v>0</v>
      </c>
      <c r="TG17" s="20" t="n">
        <f aca="false">IF(GV17=1,IF(HU17=1,NW17+NZ17,GW17-OS17)*(1+Slot19_Rate),0)</f>
        <v>0</v>
      </c>
      <c r="TH17" s="20" t="n">
        <f aca="false">IF(AND(HU17=1,GV17=1),(NV17+NZ17)/F17,0)</f>
        <v>0</v>
      </c>
      <c r="TI17" s="20" t="n">
        <f aca="false">IF(B17=0,NV17+NZ17,0)</f>
        <v>0</v>
      </c>
      <c r="TJ17" s="20" t="n">
        <f aca="false">IF(B17=0,IF(HU17=1,NX17,NY17),0)</f>
        <v>0</v>
      </c>
      <c r="TK17" s="20" t="n">
        <f aca="false">IF(HF17=1,IF(HU17=1,OE17+OH17,HG17-OQ17)*(1+Slot20_Rate),0)</f>
        <v>0</v>
      </c>
      <c r="TL17" s="20" t="n">
        <f aca="false">IF(AND(HU17=1,HF17=1),(OD17+OH17)/F17,0)</f>
        <v>0</v>
      </c>
      <c r="TM17" s="20" t="n">
        <f aca="false">IF(B17=0,OD17+OH17,0)</f>
        <v>0</v>
      </c>
      <c r="TN17" s="20" t="n">
        <f aca="false">IF(B17=0,IF(HU17=1,OF17,OG17),0)</f>
        <v>0</v>
      </c>
      <c r="TO17" s="20" t="n">
        <f aca="false">QK17+QL17+QM17+QQ17+QU17+QY17+RC17+RG17+RK17+RO17+RS17+RW17+SA17+SE17+SI17+SM17+SQ17+SU17+SY17+TC17+TG17+TK17</f>
        <v>43248.3428666106</v>
      </c>
      <c r="TP17" s="20" t="n">
        <f aca="false">QE17+HP17</f>
        <v>0</v>
      </c>
      <c r="TQ17" s="20" t="n">
        <f aca="false">I17+S17</f>
        <v>67939.165588004</v>
      </c>
      <c r="TR17" s="20" t="n">
        <f aca="false">1-G17</f>
        <v>0</v>
      </c>
      <c r="TS17" s="20" t="n">
        <f aca="false">IF(AND(RG_Exists=1,G17=0,C17=1),I17,0)</f>
        <v>0</v>
      </c>
      <c r="TT17" s="20" t="n">
        <f aca="false">IF(AND(RG_Exists=1,G17=0,C17=1),I17-MIN(QE17,I17),0)</f>
        <v>0</v>
      </c>
      <c r="TU17" s="20" t="n">
        <f aca="false">'Plan pay &amp; tax'!AD243</f>
        <v>198779.863998499</v>
      </c>
      <c r="TV17" s="20" t="n">
        <f aca="false">IF(AND(C17=1,QE17&gt;MAX(PR_Short1,TQ17*PR_Short2)),1,0)</f>
        <v>0</v>
      </c>
      <c r="TW17" s="20" t="n">
        <f aca="false">MIN(H17,I17+S17)</f>
        <v>67939.165588004</v>
      </c>
      <c r="TX17" s="20" t="n">
        <f aca="false">QF17+MAX(0,HQ17-HP17)</f>
        <v>0</v>
      </c>
      <c r="TY17" s="20" t="n">
        <f aca="false">QE17+HP17</f>
        <v>0</v>
      </c>
      <c r="TZ17" s="20" t="n">
        <f aca="false">IF(AND(C17=1,TY17&gt;PR_MinShort),1,0)</f>
        <v>0</v>
      </c>
      <c r="UA17" s="20" t="n">
        <f aca="false">IF(AND(C17=1,TZ17=0,TX17&gt;PR_MinShort),1,0)</f>
        <v>0</v>
      </c>
      <c r="UB17" s="20" t="n">
        <f aca="false">IF(AND(C17=1,QE17&gt;PR_MinShort),1,0)</f>
        <v>0</v>
      </c>
      <c r="UC17" s="20" t="n">
        <f aca="false">IF(AND(C17=1,QF17&gt;1,UJ17=0),1,0)</f>
        <v>0</v>
      </c>
      <c r="UD17" s="20" t="str">
        <f aca="false">IF(C17=0,"",IF(UJ17=1,"Gap to plan for: short "&amp;"€"&amp;TEXT(ROUND(TP17,0),"#,##0"),IF(QF17&gt;1,"Using savings","Comfortable")))</f>
        <v>Comfortable</v>
      </c>
      <c r="UE17" s="20" t="n">
        <f aca="false">IF(AND(INT(D17/10)*10=90,B17&gt;0),80,INT(D17/10)*10)</f>
        <v>40</v>
      </c>
      <c r="UF17" s="20" t="n">
        <f aca="false">IF(B17=0,1,IF(UE17&lt;&gt;UE16,UF16+1,UF16))</f>
        <v>2</v>
      </c>
      <c r="UG17" s="20" t="n">
        <f aca="false">IF(AND(C17=1,G17=1,QE17&gt;MAX(PR_Short1,TQ17*PR_Short2)),1,0)</f>
        <v>0</v>
      </c>
      <c r="UH17" s="20" t="n">
        <f aca="false">TR17*TV17</f>
        <v>0</v>
      </c>
      <c r="UI17" s="20" t="n">
        <f aca="false">IF(AND(V17=1,Slot1_PctLow=1),1,0)+IF(AND(AG17=1,Slot2_PctLow=1),1,0)+IF(AND(AQ17=1,Slot3_PctLow=1),1,0)+IF(AND(BA17=1,Slot4_PctLow=1),1,0)+IF(AND(BK17=1,Slot5_PctLow=1),1,0)+IF(AND(BU17=1,Slot6_PctLow=1),1,0)+IF(AND(CE17=1,Slot7_PctLow=1),1,0)+IF(AND(CO17=1,Slot8_PctLow=1),1,0)+IF(AND(CY17=1,Slot9_PctLow=1),1,0)+IF(AND(DI17=1,Slot10_PctLow=1),1,0)+IF(AND(DS17=1,Slot11_PctLow=1),1,0)+IF(AND(EC17=1,Slot12_PctLow=1),1,0)+IF(AND(EM17=1,Slot13_PctLow=1),1,0)+IF(AND(EW17=1,Slot14_PctLow=1),1,0)+IF(AND(FG17=1,Slot15_PctLow=1),1,0)+IF(AND(FQ17=1,Slot16_PctLow=1),1,0)+IF(AND(GA17=1,Slot17_PctLow=1),1,0)+IF(AND(GK17=1,Slot18_PctLow=1),1,0)+IF(AND(GU17=1,Slot19_PctLow=1),1,0)+IF(AND(HE17=1,Slot20_PctLow=1),1,0)</f>
        <v>0</v>
      </c>
      <c r="UJ17" s="20" t="n">
        <f aca="false">IF(C17=1,IF(OR(TV17=1,UI17&gt;0),1,0),0)</f>
        <v>0</v>
      </c>
      <c r="UK17" s="20" t="n">
        <f aca="false">Z17+AK17+AU17+BE17+BO17+BY17+CI17+CS17+DC17+DM17+DW17+EG17+EQ17+FA17+FK17+FU17+GE17+GO17+GY17+HI17+OM17</f>
        <v>0</v>
      </c>
      <c r="UL17" s="20" t="n">
        <f aca="false">V17*IF(Slot1_SpendLike=1,X17-Y17,IF(Slot1_PotFree=1,X17,0))+AG17*IF(Slot2_SpendLike=1,AI17-AJ17,IF(Slot2_PotFree=1,AI17,0))+AQ17*IF(Slot3_SpendLike=1,AS17-AT17,IF(Slot3_PotFree=1,AS17,0))+BA17*IF(Slot4_SpendLike=1,BC17-BD17,IF(Slot4_PotFree=1,BC17,0))+BK17*IF(Slot5_SpendLike=1,BM17-BN17,IF(Slot5_PotFree=1,BM17,0))+BU17*IF(Slot6_SpendLike=1,BW17-BX17,IF(Slot6_PotFree=1,BW17,0))+CE17*IF(Slot7_SpendLike=1,CG17-CH17,IF(Slot7_PotFree=1,CG17,0))+CO17*IF(Slot8_SpendLike=1,CQ17-CR17,IF(Slot8_PotFree=1,CQ17,0))+CY17*IF(Slot9_SpendLike=1,DA17-DB17,IF(Slot9_PotFree=1,DA17,0))+DI17*IF(Slot10_SpendLike=1,DK17-DL17,IF(Slot10_PotFree=1,DK17,0))+DS17*IF(Slot11_SpendLike=1,DU17-DV17,IF(Slot11_PotFree=1,DU17,0))+EC17*IF(Slot12_SpendLike=1,EE17-EF17,IF(Slot12_PotFree=1,EE17,0))+EM17*IF(Slot13_SpendLike=1,EO17-EP17,IF(Slot13_PotFree=1,EO17,0))+EW17*IF(Slot14_SpendLike=1,EY17-EZ17,IF(Slot14_PotFree=1,EY17,0))+FG17*IF(Slot15_SpendLike=1,FI17-FJ17,IF(Slot15_PotFree=1,FI17,0))+FQ17*IF(Slot16_SpendLike=1,FS17-FT17,IF(Slot16_PotFree=1,FS17,0))+GA17*IF(Slot17_SpendLike=1,GC17-GD17,IF(Slot17_PotFree=1,GC17,0))+GK17*IF(Slot18_SpendLike=1,GM17-GN17,IF(Slot18_PotFree=1,GM17,0))+GU17*IF(Slot19_SpendLike=1,GW17-GX17,IF(Slot19_PotFree=1,GW17,0))+HE17*IF(Slot20_SpendLike=1,HG17-HH17,IF(Slot20_PotFree=1,HG17,0))</f>
        <v>0</v>
      </c>
      <c r="UM17" s="20" t="n">
        <f aca="false">QG17-T17+UK17-UL17</f>
        <v>0</v>
      </c>
      <c r="UN17" s="20" t="n">
        <f aca="false">IF(OR(UN16=1,AND(In_homeUse="Yes, I'd downsize",In_downAge&gt;0,D17=In_downAge,OR(In_home="Own outright",In_home="Own with mortgage"),In_homeValue&gt;0)),1,0)</f>
        <v>0</v>
      </c>
    </row>
    <row r="18" customFormat="false" ht="15" hidden="false" customHeight="true" outlineLevel="0" collapsed="false">
      <c r="B18" s="20" t="n">
        <v>10</v>
      </c>
      <c r="C18" s="20" t="n">
        <f aca="false">IF(B18&lt;=F_N,1,0)</f>
        <v>1</v>
      </c>
      <c r="D18" s="20" t="n">
        <f aca="false">'Plan pay &amp; tax'!C244</f>
        <v>48</v>
      </c>
      <c r="E18" s="20" t="str">
        <f aca="false">IF($C18=1,"Income tax "&amp;TEXT(N('Plan pay &amp; tax'!BK244),"#,##0")&amp;"; USC "&amp;TEXT(N('Plan pay &amp; tax'!BM244)+N('Plan pay &amp; tax'!BO244),"#,##0")&amp;"; PRSI "&amp;TEXT(N('Plan pay &amp; tax'!BP244)+N('Plan pay &amp; tax'!BQ244),"#,##0")&amp;IF(N('Plan holdings'!BO18)&gt;=0.5,"; DIRT "&amp;TEXT(('Plan holdings'!BO18)/$F18,"#,##0")&amp;" (already taken from the interest earned)","")&amp;IF(N('Plan holdings'!BP18)&gt;=0.5,"; exit tax at an 8-year anniversary "&amp;TEXT(('Plan holdings'!BP18)/$F18,"#,##0"),"")&amp;IF(N('Plan holdings'!BN18)&gt;=0.5,"; tax on assets sold (exit tax or capital gains tax) "&amp;TEXT(('Plan holdings'!BN18)/$F18,"#,##0"),"")&amp;IF(N('Plan pay &amp; tax'!X244)-N('Plan pay &amp; tax'!Y244)&gt;=0.5,"; tax on the pension lump sum "&amp;TEXT(('Plan pay &amp; tax'!X244-'Plan pay &amp; tax'!Y244)/$F18,"#,##0"),"")&amp;IF(N('Plan pay &amp; tax'!V244)&gt;=0.5,"; chargeable excess tax on the pension "&amp;TEXT(('Plan pay &amp; tax'!V244)/$F18,"#,##0"),"")&amp;".","")</f>
        <v>Income tax 12,253; USC 1,756; PRSI 4,145; DIRT 53 (already taken from the interest earned).</v>
      </c>
      <c r="F18" s="50" t="n">
        <f aca="false">'Plan pay &amp; tax'!E244</f>
        <v>1.21899441999476</v>
      </c>
      <c r="G18" s="20" t="n">
        <f aca="false">'Plan pay &amp; tax'!G244</f>
        <v>1</v>
      </c>
      <c r="H18" s="20" t="n">
        <f aca="false">'Plan pay &amp; tax'!BT244-'Plan pay &amp; tax'!BS244-'Plan pay &amp; tax'!R244</f>
        <v>81190.7780058355</v>
      </c>
      <c r="I18" s="20" t="n">
        <f aca="false">IF(G18=1,F_CostsM*12,IF(RG_Exists=1,RG_Amount,F_CostsM*12*AS_RetireSpend))*F18+F_OneOffY*F18</f>
        <v>54854.7488997641</v>
      </c>
      <c r="J18" s="20" t="n">
        <f aca="false">IF(UN18=1,0,HR17)</f>
        <v>126788.522242771</v>
      </c>
      <c r="K18" s="20" t="n">
        <f aca="false">IF(J18&gt;1,'Plan debt months'!AC18,0)</f>
        <v>14160</v>
      </c>
      <c r="L18" s="20" t="n">
        <f aca="false">IF(J18&gt;1,'Plan debt months'!AB18,J18)</f>
        <v>117344.387280946</v>
      </c>
      <c r="M18" s="20" t="n">
        <f aca="false">O17</f>
        <v>0</v>
      </c>
      <c r="N18" s="20" t="n">
        <f aca="false">IF(M18&gt;1,'Plan debt months'!BD18,0)</f>
        <v>0</v>
      </c>
      <c r="O18" s="20" t="n">
        <f aca="false">IF(M18&gt;1,'Plan debt months'!BC18,M18)</f>
        <v>0</v>
      </c>
      <c r="P18" s="20" t="n">
        <f aca="false">R17</f>
        <v>0</v>
      </c>
      <c r="Q18" s="20" t="n">
        <f aca="false">IF(P18&gt;1,'Plan debt months'!CE18,0)</f>
        <v>0</v>
      </c>
      <c r="R18" s="20" t="n">
        <f aca="false">IF(P18&gt;1,'Plan debt months'!CD18,P18)</f>
        <v>0</v>
      </c>
      <c r="S18" s="20" t="n">
        <f aca="false">K18+N18+Q18</f>
        <v>14160</v>
      </c>
      <c r="T18" s="57" t="n">
        <f aca="false">'Plan holdings'!Y18</f>
        <v>0</v>
      </c>
      <c r="U18" s="57" t="n">
        <f aca="false">'Plan holdings'!BM17</f>
        <v>0</v>
      </c>
      <c r="V18" s="20" t="n">
        <f aca="false">IF(AND(Slot1_On=1,D18=Slot1_Age),1,0)</f>
        <v>0</v>
      </c>
      <c r="W18" s="20" t="n">
        <f aca="false">IF(AND(Slot1_On=1,Slot1_Age&gt;D18),1,0)</f>
        <v>0</v>
      </c>
      <c r="X18" s="20" t="n">
        <f aca="false">QM17</f>
        <v>0</v>
      </c>
      <c r="Y18" s="20" t="n">
        <f aca="false">V18*MIN(Slot1_Cost,X18)</f>
        <v>0</v>
      </c>
      <c r="Z18" s="20" t="n">
        <f aca="false">V18*Slot1_SpendLike*MIN(Slot1_Cost-Y18,T18)</f>
        <v>0</v>
      </c>
      <c r="AA18" s="20" t="n">
        <f aca="false">Y18+Z18</f>
        <v>0</v>
      </c>
      <c r="AB18" s="20" t="n">
        <f aca="false">T18-Z18+V18*IF(Slot1_SpendLike=1,X18-Y18,IF(Slot1_PotFree=1,X18,0))</f>
        <v>0</v>
      </c>
      <c r="AC18" s="20" t="n">
        <f aca="false">AF18+V18*Slot1_BufPot*X18</f>
        <v>12321.2216905372</v>
      </c>
      <c r="AD18" s="20" t="n">
        <f aca="false">IF(AND(V18=1,Slot1_IsMfree=1),IF(AA18&gt;=Slot1_Cost-1,0,MAX(0,L18-AA18)),L18)</f>
        <v>117344.387280946</v>
      </c>
      <c r="AE18" s="20" t="n">
        <f aca="false">V18*(Slot1_Cost-AA18)</f>
        <v>0</v>
      </c>
      <c r="AF18" s="20" t="n">
        <f aca="false">QL17</f>
        <v>12321.2216905372</v>
      </c>
      <c r="AG18" s="20" t="n">
        <f aca="false">IF(AND(Slot2_On=1,D18=Slot2_Age),1,0)</f>
        <v>0</v>
      </c>
      <c r="AH18" s="20" t="n">
        <f aca="false">IF(AND(Slot2_On=1,Slot2_Age&gt;D18),1,0)</f>
        <v>0</v>
      </c>
      <c r="AI18" s="20" t="n">
        <f aca="false">QQ17</f>
        <v>0</v>
      </c>
      <c r="AJ18" s="20" t="n">
        <f aca="false">AG18*MIN(Slot2_Cost,AI18)</f>
        <v>0</v>
      </c>
      <c r="AK18" s="20" t="n">
        <f aca="false">AG18*Slot2_SpendLike*MIN(Slot2_Cost-AJ18,AB18)</f>
        <v>0</v>
      </c>
      <c r="AL18" s="20" t="n">
        <f aca="false">AJ18+AK18</f>
        <v>0</v>
      </c>
      <c r="AM18" s="20" t="n">
        <f aca="false">AB18-AK18+AG18*IF(Slot2_SpendLike=1,AI18-AJ18,IF(Slot2_PotFree=1,AI18,0))</f>
        <v>0</v>
      </c>
      <c r="AN18" s="20" t="n">
        <f aca="false">AC18+AG18*Slot2_BufPot*AI18</f>
        <v>12321.2216905372</v>
      </c>
      <c r="AO18" s="20" t="n">
        <f aca="false">IF(AND(AG18=1,Slot2_IsMfree=1),IF(AL18&gt;=Slot2_Cost-1,0,MAX(0,AD18-AL18)),AD18)</f>
        <v>117344.387280946</v>
      </c>
      <c r="AP18" s="20" t="n">
        <f aca="false">AG18*(Slot2_Cost-AL18)</f>
        <v>0</v>
      </c>
      <c r="AQ18" s="20" t="n">
        <f aca="false">IF(AND(Slot3_On=1,D18=Slot3_Age),1,0)</f>
        <v>1</v>
      </c>
      <c r="AR18" s="20" t="n">
        <f aca="false">IF(AND(Slot3_On=1,Slot3_Age&gt;D18),1,0)</f>
        <v>0</v>
      </c>
      <c r="AS18" s="20" t="n">
        <f aca="false">QU17</f>
        <v>30927.1211760735</v>
      </c>
      <c r="AT18" s="20" t="n">
        <f aca="false">AQ18*MIN(Slot3_Cost,AS18)</f>
        <v>30927.1211760735</v>
      </c>
      <c r="AU18" s="20" t="n">
        <f aca="false">AQ18*Slot3_SpendLike*MIN(Slot3_Cost-AT18,AM18)</f>
        <v>0</v>
      </c>
      <c r="AV18" s="20" t="n">
        <f aca="false">AT18+AU18</f>
        <v>30927.1211760735</v>
      </c>
      <c r="AW18" s="20" t="n">
        <f aca="false">AM18-AU18+AQ18*IF(Slot3_SpendLike=1,AS18-AT18,IF(Slot3_PotFree=1,AS18,0))</f>
        <v>0</v>
      </c>
      <c r="AX18" s="20" t="n">
        <f aca="false">AN18+AQ18*Slot3_BufPot*AS18</f>
        <v>12321.2216905372</v>
      </c>
      <c r="AY18" s="20" t="n">
        <f aca="false">IF(AND(AQ18=1,Slot3_IsMfree=1),IF(AV18&gt;=Slot3_Cost-1,0,MAX(0,AO18-AV18)),AO18)</f>
        <v>117344.387280946</v>
      </c>
      <c r="AZ18" s="20" t="n">
        <f aca="false">AQ18*(Slot3_Cost-AV18)</f>
        <v>30022.5998236644</v>
      </c>
      <c r="BA18" s="20" t="n">
        <f aca="false">IF(AND(Slot4_On=1,D18=Slot4_Age),1,0)</f>
        <v>0</v>
      </c>
      <c r="BB18" s="20" t="n">
        <f aca="false">IF(AND(Slot4_On=1,Slot4_Age&gt;D18),1,0)</f>
        <v>1</v>
      </c>
      <c r="BC18" s="20" t="n">
        <f aca="false">QY17</f>
        <v>0</v>
      </c>
      <c r="BD18" s="20" t="n">
        <f aca="false">BA18*MIN(Slot4_Cost,BC18)</f>
        <v>0</v>
      </c>
      <c r="BE18" s="20" t="n">
        <f aca="false">BA18*Slot4_SpendLike*MIN(Slot4_Cost-BD18,AW18)</f>
        <v>0</v>
      </c>
      <c r="BF18" s="20" t="n">
        <f aca="false">BD18+BE18</f>
        <v>0</v>
      </c>
      <c r="BG18" s="20" t="n">
        <f aca="false">AW18-BE18+BA18*IF(Slot4_SpendLike=1,BC18-BD18,IF(Slot4_PotFree=1,BC18,0))</f>
        <v>0</v>
      </c>
      <c r="BH18" s="20" t="n">
        <f aca="false">AX18+BA18*Slot4_BufPot*BC18</f>
        <v>12321.2216905372</v>
      </c>
      <c r="BI18" s="20" t="n">
        <f aca="false">IF(AND(BA18=1,Slot4_IsMfree=1),IF(BF18&gt;=Slot4_Cost-1,0,MAX(0,AY18-BF18)),AY18)</f>
        <v>117344.387280946</v>
      </c>
      <c r="BJ18" s="20" t="n">
        <f aca="false">BA18*(Slot4_Cost-BF18)</f>
        <v>0</v>
      </c>
      <c r="BK18" s="20" t="n">
        <f aca="false">IF(AND(Slot5_On=1,D18=Slot5_Age),1,0)</f>
        <v>0</v>
      </c>
      <c r="BL18" s="20" t="n">
        <f aca="false">IF(AND(Slot5_On=1,Slot5_Age&gt;D18),1,0)</f>
        <v>0</v>
      </c>
      <c r="BM18" s="20" t="n">
        <f aca="false">RC17</f>
        <v>0</v>
      </c>
      <c r="BN18" s="20" t="n">
        <f aca="false">BK18*MIN(Slot5_Cost,BM18)</f>
        <v>0</v>
      </c>
      <c r="BO18" s="20" t="n">
        <f aca="false">BK18*Slot5_SpendLike*MIN(Slot5_Cost-BN18,BG18)</f>
        <v>0</v>
      </c>
      <c r="BP18" s="20" t="n">
        <f aca="false">BN18+BO18</f>
        <v>0</v>
      </c>
      <c r="BQ18" s="20" t="n">
        <f aca="false">BG18-BO18+BK18*IF(Slot5_SpendLike=1,BM18-BN18,IF(Slot5_PotFree=1,BM18,0))</f>
        <v>0</v>
      </c>
      <c r="BR18" s="20" t="n">
        <f aca="false">BH18+BK18*Slot5_BufPot*BM18</f>
        <v>12321.2216905372</v>
      </c>
      <c r="BS18" s="20" t="n">
        <f aca="false">IF(AND(BK18=1,Slot5_IsMfree=1),IF(BP18&gt;=Slot5_Cost-1,0,MAX(0,BI18-BP18)),BI18)</f>
        <v>117344.387280946</v>
      </c>
      <c r="BT18" s="20" t="n">
        <f aca="false">BK18*(Slot5_Cost-BP18)</f>
        <v>0</v>
      </c>
      <c r="BU18" s="20" t="n">
        <f aca="false">IF(AND(Slot6_On=1,D18=Slot6_Age),1,0)</f>
        <v>0</v>
      </c>
      <c r="BV18" s="20" t="n">
        <f aca="false">IF(AND(Slot6_On=1,Slot6_Age&gt;D18),1,0)</f>
        <v>0</v>
      </c>
      <c r="BW18" s="20" t="n">
        <f aca="false">RG17</f>
        <v>0</v>
      </c>
      <c r="BX18" s="20" t="n">
        <f aca="false">BU18*MIN(Slot6_Cost,BW18)</f>
        <v>0</v>
      </c>
      <c r="BY18" s="20" t="n">
        <f aca="false">BU18*Slot6_SpendLike*MIN(Slot6_Cost-BX18,BQ18)</f>
        <v>0</v>
      </c>
      <c r="BZ18" s="20" t="n">
        <f aca="false">BX18+BY18</f>
        <v>0</v>
      </c>
      <c r="CA18" s="20" t="n">
        <f aca="false">BQ18-BY18+BU18*IF(Slot6_SpendLike=1,BW18-BX18,IF(Slot6_PotFree=1,BW18,0))</f>
        <v>0</v>
      </c>
      <c r="CB18" s="20" t="n">
        <f aca="false">BR18+BU18*Slot6_BufPot*BW18</f>
        <v>12321.2216905372</v>
      </c>
      <c r="CC18" s="20" t="n">
        <f aca="false">IF(AND(BU18=1,Slot6_IsMfree=1),IF(BZ18&gt;=Slot6_Cost-1,0,MAX(0,BS18-BZ18)),BS18)</f>
        <v>117344.387280946</v>
      </c>
      <c r="CD18" s="20" t="n">
        <f aca="false">BU18*(Slot6_Cost-BZ18)</f>
        <v>0</v>
      </c>
      <c r="CE18" s="20" t="n">
        <f aca="false">IF(AND(Slot7_On=1,D18=Slot7_Age),1,0)</f>
        <v>0</v>
      </c>
      <c r="CF18" s="20" t="n">
        <f aca="false">IF(AND(Slot7_On=1,Slot7_Age&gt;D18),1,0)</f>
        <v>0</v>
      </c>
      <c r="CG18" s="20" t="n">
        <f aca="false">RK17</f>
        <v>0</v>
      </c>
      <c r="CH18" s="20" t="n">
        <f aca="false">CE18*MIN(Slot7_Cost,CG18)</f>
        <v>0</v>
      </c>
      <c r="CI18" s="20" t="n">
        <f aca="false">CE18*Slot7_SpendLike*MIN(Slot7_Cost-CH18,CA18)</f>
        <v>0</v>
      </c>
      <c r="CJ18" s="20" t="n">
        <f aca="false">CH18+CI18</f>
        <v>0</v>
      </c>
      <c r="CK18" s="20" t="n">
        <f aca="false">CA18-CI18+CE18*IF(Slot7_SpendLike=1,CG18-CH18,IF(Slot7_PotFree=1,CG18,0))</f>
        <v>0</v>
      </c>
      <c r="CL18" s="20" t="n">
        <f aca="false">CB18+CE18*Slot7_BufPot*CG18</f>
        <v>12321.2216905372</v>
      </c>
      <c r="CM18" s="20" t="n">
        <f aca="false">IF(AND(CE18=1,Slot7_IsMfree=1),IF(CJ18&gt;=Slot7_Cost-1,0,MAX(0,CC18-CJ18)),CC18)</f>
        <v>117344.387280946</v>
      </c>
      <c r="CN18" s="20" t="n">
        <f aca="false">CE18*(Slot7_Cost-CJ18)</f>
        <v>0</v>
      </c>
      <c r="CO18" s="20" t="n">
        <f aca="false">IF(AND(Slot8_On=1,D18=Slot8_Age),1,0)</f>
        <v>0</v>
      </c>
      <c r="CP18" s="20" t="n">
        <f aca="false">IF(AND(Slot8_On=1,Slot8_Age&gt;D18),1,0)</f>
        <v>0</v>
      </c>
      <c r="CQ18" s="20" t="n">
        <f aca="false">RO17</f>
        <v>0</v>
      </c>
      <c r="CR18" s="20" t="n">
        <f aca="false">CO18*MIN(Slot8_Cost,CQ18)</f>
        <v>0</v>
      </c>
      <c r="CS18" s="20" t="n">
        <f aca="false">CO18*Slot8_SpendLike*MIN(Slot8_Cost-CR18,CK18)</f>
        <v>0</v>
      </c>
      <c r="CT18" s="20" t="n">
        <f aca="false">CR18+CS18</f>
        <v>0</v>
      </c>
      <c r="CU18" s="20" t="n">
        <f aca="false">CK18-CS18+CO18*IF(Slot8_SpendLike=1,CQ18-CR18,IF(Slot8_PotFree=1,CQ18,0))</f>
        <v>0</v>
      </c>
      <c r="CV18" s="20" t="n">
        <f aca="false">CL18+CO18*Slot8_BufPot*CQ18</f>
        <v>12321.2216905372</v>
      </c>
      <c r="CW18" s="20" t="n">
        <f aca="false">IF(AND(CO18=1,Slot8_IsMfree=1),IF(CT18&gt;=Slot8_Cost-1,0,MAX(0,CM18-CT18)),CM18)</f>
        <v>117344.387280946</v>
      </c>
      <c r="CX18" s="20" t="n">
        <f aca="false">CO18*(Slot8_Cost-CT18)</f>
        <v>0</v>
      </c>
      <c r="CY18" s="20" t="n">
        <f aca="false">IF(AND(Slot9_On=1,D18=Slot9_Age),1,0)</f>
        <v>0</v>
      </c>
      <c r="CZ18" s="20" t="n">
        <f aca="false">IF(AND(Slot9_On=1,Slot9_Age&gt;D18),1,0)</f>
        <v>0</v>
      </c>
      <c r="DA18" s="20" t="n">
        <f aca="false">RS17</f>
        <v>0</v>
      </c>
      <c r="DB18" s="20" t="n">
        <f aca="false">CY18*MIN(Slot9_Cost,DA18)</f>
        <v>0</v>
      </c>
      <c r="DC18" s="20" t="n">
        <f aca="false">CY18*Slot9_SpendLike*MIN(Slot9_Cost-DB18,CU18)</f>
        <v>0</v>
      </c>
      <c r="DD18" s="20" t="n">
        <f aca="false">DB18+DC18</f>
        <v>0</v>
      </c>
      <c r="DE18" s="20" t="n">
        <f aca="false">CU18-DC18+CY18*IF(Slot9_SpendLike=1,DA18-DB18,IF(Slot9_PotFree=1,DA18,0))</f>
        <v>0</v>
      </c>
      <c r="DF18" s="20" t="n">
        <f aca="false">CV18+CY18*Slot9_BufPot*DA18</f>
        <v>12321.2216905372</v>
      </c>
      <c r="DG18" s="20" t="n">
        <f aca="false">IF(AND(CY18=1,Slot9_IsMfree=1),IF(DD18&gt;=Slot9_Cost-1,0,MAX(0,CW18-DD18)),CW18)</f>
        <v>117344.387280946</v>
      </c>
      <c r="DH18" s="20" t="n">
        <f aca="false">CY18*(Slot9_Cost-DD18)</f>
        <v>0</v>
      </c>
      <c r="DI18" s="20" t="n">
        <f aca="false">IF(AND(Slot10_On=1,D18=Slot10_Age),1,0)</f>
        <v>0</v>
      </c>
      <c r="DJ18" s="20" t="n">
        <f aca="false">IF(AND(Slot10_On=1,Slot10_Age&gt;D18),1,0)</f>
        <v>0</v>
      </c>
      <c r="DK18" s="20" t="n">
        <f aca="false">RW17</f>
        <v>0</v>
      </c>
      <c r="DL18" s="20" t="n">
        <f aca="false">DI18*MIN(Slot10_Cost,DK18)</f>
        <v>0</v>
      </c>
      <c r="DM18" s="20" t="n">
        <f aca="false">DI18*Slot10_SpendLike*MIN(Slot10_Cost-DL18,DE18)</f>
        <v>0</v>
      </c>
      <c r="DN18" s="20" t="n">
        <f aca="false">DL18+DM18</f>
        <v>0</v>
      </c>
      <c r="DO18" s="20" t="n">
        <f aca="false">DE18-DM18+DI18*IF(Slot10_SpendLike=1,DK18-DL18,IF(Slot10_PotFree=1,DK18,0))</f>
        <v>0</v>
      </c>
      <c r="DP18" s="20" t="n">
        <f aca="false">DF18+DI18*Slot10_BufPot*DK18</f>
        <v>12321.2216905372</v>
      </c>
      <c r="DQ18" s="20" t="n">
        <f aca="false">IF(AND(DI18=1,Slot10_IsMfree=1),IF(DN18&gt;=Slot10_Cost-1,0,MAX(0,DG18-DN18)),DG18)</f>
        <v>117344.387280946</v>
      </c>
      <c r="DR18" s="20" t="n">
        <f aca="false">DI18*(Slot10_Cost-DN18)</f>
        <v>0</v>
      </c>
      <c r="DS18" s="20" t="n">
        <f aca="false">IF(AND(Slot11_On=1,D18=Slot11_Age),1,0)</f>
        <v>0</v>
      </c>
      <c r="DT18" s="20" t="n">
        <f aca="false">IF(AND(Slot11_On=1,Slot11_Age&gt;D18),1,0)</f>
        <v>0</v>
      </c>
      <c r="DU18" s="20" t="n">
        <f aca="false">SA17</f>
        <v>0</v>
      </c>
      <c r="DV18" s="20" t="n">
        <f aca="false">DS18*MIN(Slot11_Cost,DU18)</f>
        <v>0</v>
      </c>
      <c r="DW18" s="20" t="n">
        <f aca="false">DS18*Slot11_SpendLike*MIN(Slot11_Cost-DV18,DO18)</f>
        <v>0</v>
      </c>
      <c r="DX18" s="20" t="n">
        <f aca="false">DV18+DW18</f>
        <v>0</v>
      </c>
      <c r="DY18" s="20" t="n">
        <f aca="false">DO18-DW18+DS18*IF(Slot11_SpendLike=1,DU18-DV18,IF(Slot11_PotFree=1,DU18,0))</f>
        <v>0</v>
      </c>
      <c r="DZ18" s="20" t="n">
        <f aca="false">DP18+DS18*Slot11_BufPot*DU18</f>
        <v>12321.2216905372</v>
      </c>
      <c r="EA18" s="20" t="n">
        <f aca="false">IF(AND(DS18=1,Slot11_IsMfree=1),IF(DX18&gt;=Slot11_Cost-1,0,MAX(0,DQ18-DX18)),DQ18)</f>
        <v>117344.387280946</v>
      </c>
      <c r="EB18" s="20" t="n">
        <f aca="false">DS18*(Slot11_Cost-DX18)</f>
        <v>0</v>
      </c>
      <c r="EC18" s="20" t="n">
        <f aca="false">IF(AND(Slot12_On=1,D18=Slot12_Age),1,0)</f>
        <v>0</v>
      </c>
      <c r="ED18" s="20" t="n">
        <f aca="false">IF(AND(Slot12_On=1,Slot12_Age&gt;D18),1,0)</f>
        <v>0</v>
      </c>
      <c r="EE18" s="20" t="n">
        <f aca="false">SE17</f>
        <v>0</v>
      </c>
      <c r="EF18" s="20" t="n">
        <f aca="false">EC18*MIN(Slot12_Cost,EE18)</f>
        <v>0</v>
      </c>
      <c r="EG18" s="20" t="n">
        <f aca="false">EC18*Slot12_SpendLike*MIN(Slot12_Cost-EF18,DY18)</f>
        <v>0</v>
      </c>
      <c r="EH18" s="20" t="n">
        <f aca="false">EF18+EG18</f>
        <v>0</v>
      </c>
      <c r="EI18" s="20" t="n">
        <f aca="false">DY18-EG18+EC18*IF(Slot12_SpendLike=1,EE18-EF18,IF(Slot12_PotFree=1,EE18,0))</f>
        <v>0</v>
      </c>
      <c r="EJ18" s="20" t="n">
        <f aca="false">DZ18+EC18*Slot12_BufPot*EE18</f>
        <v>12321.2216905372</v>
      </c>
      <c r="EK18" s="20" t="n">
        <f aca="false">IF(AND(EC18=1,Slot12_IsMfree=1),IF(EH18&gt;=Slot12_Cost-1,0,MAX(0,EA18-EH18)),EA18)</f>
        <v>117344.387280946</v>
      </c>
      <c r="EL18" s="20" t="n">
        <f aca="false">EC18*(Slot12_Cost-EH18)</f>
        <v>0</v>
      </c>
      <c r="EM18" s="20" t="n">
        <f aca="false">IF(AND(Slot13_On=1,D18=Slot13_Age),1,0)</f>
        <v>0</v>
      </c>
      <c r="EN18" s="20" t="n">
        <f aca="false">IF(AND(Slot13_On=1,Slot13_Age&gt;D18),1,0)</f>
        <v>0</v>
      </c>
      <c r="EO18" s="20" t="n">
        <f aca="false">SI17</f>
        <v>0</v>
      </c>
      <c r="EP18" s="20" t="n">
        <f aca="false">EM18*MIN(Slot13_Cost,EO18)</f>
        <v>0</v>
      </c>
      <c r="EQ18" s="20" t="n">
        <f aca="false">EM18*Slot13_SpendLike*MIN(Slot13_Cost-EP18,EI18)</f>
        <v>0</v>
      </c>
      <c r="ER18" s="20" t="n">
        <f aca="false">EP18+EQ18</f>
        <v>0</v>
      </c>
      <c r="ES18" s="20" t="n">
        <f aca="false">EI18-EQ18+EM18*IF(Slot13_SpendLike=1,EO18-EP18,IF(Slot13_PotFree=1,EO18,0))</f>
        <v>0</v>
      </c>
      <c r="ET18" s="20" t="n">
        <f aca="false">EJ18+EM18*Slot13_BufPot*EO18</f>
        <v>12321.2216905372</v>
      </c>
      <c r="EU18" s="20" t="n">
        <f aca="false">IF(AND(EM18=1,Slot13_IsMfree=1),IF(ER18&gt;=Slot13_Cost-1,0,MAX(0,EK18-ER18)),EK18)</f>
        <v>117344.387280946</v>
      </c>
      <c r="EV18" s="20" t="n">
        <f aca="false">EM18*(Slot13_Cost-ER18)</f>
        <v>0</v>
      </c>
      <c r="EW18" s="20" t="n">
        <f aca="false">IF(AND(Slot14_On=1,D18=Slot14_Age),1,0)</f>
        <v>0</v>
      </c>
      <c r="EX18" s="20" t="n">
        <f aca="false">IF(AND(Slot14_On=1,Slot14_Age&gt;D18),1,0)</f>
        <v>0</v>
      </c>
      <c r="EY18" s="20" t="n">
        <f aca="false">SM17</f>
        <v>0</v>
      </c>
      <c r="EZ18" s="20" t="n">
        <f aca="false">EW18*MIN(Slot14_Cost,EY18)</f>
        <v>0</v>
      </c>
      <c r="FA18" s="20" t="n">
        <f aca="false">EW18*Slot14_SpendLike*MIN(Slot14_Cost-EZ18,ES18)</f>
        <v>0</v>
      </c>
      <c r="FB18" s="20" t="n">
        <f aca="false">EZ18+FA18</f>
        <v>0</v>
      </c>
      <c r="FC18" s="20" t="n">
        <f aca="false">ES18-FA18+EW18*IF(Slot14_SpendLike=1,EY18-EZ18,IF(Slot14_PotFree=1,EY18,0))</f>
        <v>0</v>
      </c>
      <c r="FD18" s="20" t="n">
        <f aca="false">ET18+EW18*Slot14_BufPot*EY18</f>
        <v>12321.2216905372</v>
      </c>
      <c r="FE18" s="20" t="n">
        <f aca="false">IF(AND(EW18=1,Slot14_IsMfree=1),IF(FB18&gt;=Slot14_Cost-1,0,MAX(0,EU18-FB18)),EU18)</f>
        <v>117344.387280946</v>
      </c>
      <c r="FF18" s="20" t="n">
        <f aca="false">EW18*(Slot14_Cost-FB18)</f>
        <v>0</v>
      </c>
      <c r="FG18" s="20" t="n">
        <f aca="false">IF(AND(Slot15_On=1,D18=Slot15_Age),1,0)</f>
        <v>0</v>
      </c>
      <c r="FH18" s="20" t="n">
        <f aca="false">IF(AND(Slot15_On=1,Slot15_Age&gt;D18),1,0)</f>
        <v>0</v>
      </c>
      <c r="FI18" s="20" t="n">
        <f aca="false">SQ17</f>
        <v>0</v>
      </c>
      <c r="FJ18" s="20" t="n">
        <f aca="false">FG18*MIN(Slot15_Cost,FI18)</f>
        <v>0</v>
      </c>
      <c r="FK18" s="20" t="n">
        <f aca="false">FG18*Slot15_SpendLike*MIN(Slot15_Cost-FJ18,FC18)</f>
        <v>0</v>
      </c>
      <c r="FL18" s="20" t="n">
        <f aca="false">FJ18+FK18</f>
        <v>0</v>
      </c>
      <c r="FM18" s="20" t="n">
        <f aca="false">FC18-FK18+FG18*IF(Slot15_SpendLike=1,FI18-FJ18,IF(Slot15_PotFree=1,FI18,0))</f>
        <v>0</v>
      </c>
      <c r="FN18" s="20" t="n">
        <f aca="false">FD18+FG18*Slot15_BufPot*FI18</f>
        <v>12321.2216905372</v>
      </c>
      <c r="FO18" s="20" t="n">
        <f aca="false">IF(AND(FG18=1,Slot15_IsMfree=1),IF(FL18&gt;=Slot15_Cost-1,0,MAX(0,FE18-FL18)),FE18)</f>
        <v>117344.387280946</v>
      </c>
      <c r="FP18" s="20" t="n">
        <f aca="false">FG18*(Slot15_Cost-FL18)</f>
        <v>0</v>
      </c>
      <c r="FQ18" s="20" t="n">
        <f aca="false">IF(AND(Slot16_On=1,D18=Slot16_Age),1,0)</f>
        <v>0</v>
      </c>
      <c r="FR18" s="20" t="n">
        <f aca="false">IF(AND(Slot16_On=1,Slot16_Age&gt;D18),1,0)</f>
        <v>0</v>
      </c>
      <c r="FS18" s="20" t="n">
        <f aca="false">SU17</f>
        <v>0</v>
      </c>
      <c r="FT18" s="20" t="n">
        <f aca="false">FQ18*MIN(Slot16_Cost,FS18)</f>
        <v>0</v>
      </c>
      <c r="FU18" s="20" t="n">
        <f aca="false">FQ18*Slot16_SpendLike*MIN(Slot16_Cost-FT18,FM18)</f>
        <v>0</v>
      </c>
      <c r="FV18" s="20" t="n">
        <f aca="false">FT18+FU18</f>
        <v>0</v>
      </c>
      <c r="FW18" s="20" t="n">
        <f aca="false">FM18-FU18+FQ18*IF(Slot16_SpendLike=1,FS18-FT18,IF(Slot16_PotFree=1,FS18,0))</f>
        <v>0</v>
      </c>
      <c r="FX18" s="20" t="n">
        <f aca="false">FN18+FQ18*Slot16_BufPot*FS18</f>
        <v>12321.2216905372</v>
      </c>
      <c r="FY18" s="20" t="n">
        <f aca="false">IF(AND(FQ18=1,Slot16_IsMfree=1),IF(FV18&gt;=Slot16_Cost-1,0,MAX(0,FO18-FV18)),FO18)</f>
        <v>117344.387280946</v>
      </c>
      <c r="FZ18" s="20" t="n">
        <f aca="false">FQ18*(Slot16_Cost-FV18)</f>
        <v>0</v>
      </c>
      <c r="GA18" s="20" t="n">
        <f aca="false">IF(AND(Slot17_On=1,D18=Slot17_Age),1,0)</f>
        <v>0</v>
      </c>
      <c r="GB18" s="20" t="n">
        <f aca="false">IF(AND(Slot17_On=1,Slot17_Age&gt;D18),1,0)</f>
        <v>0</v>
      </c>
      <c r="GC18" s="20" t="n">
        <f aca="false">SY17</f>
        <v>0</v>
      </c>
      <c r="GD18" s="20" t="n">
        <f aca="false">GA18*MIN(Slot17_Cost,GC18)</f>
        <v>0</v>
      </c>
      <c r="GE18" s="20" t="n">
        <f aca="false">GA18*Slot17_SpendLike*MIN(Slot17_Cost-GD18,FW18)</f>
        <v>0</v>
      </c>
      <c r="GF18" s="20" t="n">
        <f aca="false">GD18+GE18</f>
        <v>0</v>
      </c>
      <c r="GG18" s="20" t="n">
        <f aca="false">FW18-GE18+GA18*IF(Slot17_SpendLike=1,GC18-GD18,IF(Slot17_PotFree=1,GC18,0))</f>
        <v>0</v>
      </c>
      <c r="GH18" s="20" t="n">
        <f aca="false">FX18+GA18*Slot17_BufPot*GC18</f>
        <v>12321.2216905372</v>
      </c>
      <c r="GI18" s="20" t="n">
        <f aca="false">IF(AND(GA18=1,Slot17_IsMfree=1),IF(GF18&gt;=Slot17_Cost-1,0,MAX(0,FY18-GF18)),FY18)</f>
        <v>117344.387280946</v>
      </c>
      <c r="GJ18" s="20" t="n">
        <f aca="false">GA18*(Slot17_Cost-GF18)</f>
        <v>0</v>
      </c>
      <c r="GK18" s="20" t="n">
        <f aca="false">IF(AND(Slot18_On=1,D18=Slot18_Age),1,0)</f>
        <v>0</v>
      </c>
      <c r="GL18" s="20" t="n">
        <f aca="false">IF(AND(Slot18_On=1,Slot18_Age&gt;D18),1,0)</f>
        <v>0</v>
      </c>
      <c r="GM18" s="20" t="n">
        <f aca="false">TC17</f>
        <v>0</v>
      </c>
      <c r="GN18" s="20" t="n">
        <f aca="false">GK18*MIN(Slot18_Cost,GM18)</f>
        <v>0</v>
      </c>
      <c r="GO18" s="20" t="n">
        <f aca="false">GK18*Slot18_SpendLike*MIN(Slot18_Cost-GN18,GG18)</f>
        <v>0</v>
      </c>
      <c r="GP18" s="20" t="n">
        <f aca="false">GN18+GO18</f>
        <v>0</v>
      </c>
      <c r="GQ18" s="20" t="n">
        <f aca="false">GG18-GO18+GK18*IF(Slot18_SpendLike=1,GM18-GN18,IF(Slot18_PotFree=1,GM18,0))</f>
        <v>0</v>
      </c>
      <c r="GR18" s="20" t="n">
        <f aca="false">GH18+GK18*Slot18_BufPot*GM18</f>
        <v>12321.2216905372</v>
      </c>
      <c r="GS18" s="20" t="n">
        <f aca="false">IF(AND(GK18=1,Slot18_IsMfree=1),IF(GP18&gt;=Slot18_Cost-1,0,MAX(0,GI18-GP18)),GI18)</f>
        <v>117344.387280946</v>
      </c>
      <c r="GT18" s="20" t="n">
        <f aca="false">GK18*(Slot18_Cost-GP18)</f>
        <v>0</v>
      </c>
      <c r="GU18" s="20" t="n">
        <f aca="false">IF(AND(Slot19_On=1,D18=Slot19_Age),1,0)</f>
        <v>0</v>
      </c>
      <c r="GV18" s="20" t="n">
        <f aca="false">IF(AND(Slot19_On=1,Slot19_Age&gt;D18),1,0)</f>
        <v>0</v>
      </c>
      <c r="GW18" s="20" t="n">
        <f aca="false">TG17</f>
        <v>0</v>
      </c>
      <c r="GX18" s="20" t="n">
        <f aca="false">GU18*MIN(Slot19_Cost,GW18)</f>
        <v>0</v>
      </c>
      <c r="GY18" s="20" t="n">
        <f aca="false">GU18*Slot19_SpendLike*MIN(Slot19_Cost-GX18,GQ18)</f>
        <v>0</v>
      </c>
      <c r="GZ18" s="20" t="n">
        <f aca="false">GX18+GY18</f>
        <v>0</v>
      </c>
      <c r="HA18" s="20" t="n">
        <f aca="false">GQ18-GY18+GU18*IF(Slot19_SpendLike=1,GW18-GX18,IF(Slot19_PotFree=1,GW18,0))</f>
        <v>0</v>
      </c>
      <c r="HB18" s="20" t="n">
        <f aca="false">GR18+GU18*Slot19_BufPot*GW18</f>
        <v>12321.2216905372</v>
      </c>
      <c r="HC18" s="20" t="n">
        <f aca="false">IF(AND(GU18=1,Slot19_IsMfree=1),IF(GZ18&gt;=Slot19_Cost-1,0,MAX(0,GS18-GZ18)),GS18)</f>
        <v>117344.387280946</v>
      </c>
      <c r="HD18" s="20" t="n">
        <f aca="false">GU18*(Slot19_Cost-GZ18)</f>
        <v>0</v>
      </c>
      <c r="HE18" s="20" t="n">
        <f aca="false">IF(AND(Slot20_On=1,D18=Slot20_Age),1,0)</f>
        <v>0</v>
      </c>
      <c r="HF18" s="20" t="n">
        <f aca="false">IF(AND(Slot20_On=1,Slot20_Age&gt;D18),1,0)</f>
        <v>0</v>
      </c>
      <c r="HG18" s="20" t="n">
        <f aca="false">TK17</f>
        <v>0</v>
      </c>
      <c r="HH18" s="20" t="n">
        <f aca="false">HE18*MIN(Slot20_Cost,HG18)</f>
        <v>0</v>
      </c>
      <c r="HI18" s="20" t="n">
        <f aca="false">HE18*Slot20_SpendLike*MIN(Slot20_Cost-HH18,HA18)</f>
        <v>0</v>
      </c>
      <c r="HJ18" s="20" t="n">
        <f aca="false">HH18+HI18</f>
        <v>0</v>
      </c>
      <c r="HK18" s="20" t="n">
        <f aca="false">HA18-HI18+HE18*IF(Slot20_SpendLike=1,HG18-HH18,IF(Slot20_PotFree=1,HG18,0))</f>
        <v>0</v>
      </c>
      <c r="HL18" s="20" t="n">
        <f aca="false">HB18+HE18*Slot20_BufPot*HG18</f>
        <v>12321.2216905372</v>
      </c>
      <c r="HM18" s="20" t="n">
        <f aca="false">IF(AND(HE18=1,Slot20_IsMfree=1),IF(HJ18&gt;=Slot20_Cost-1,0,MAX(0,HC18-HJ18)),HC18)</f>
        <v>117344.387280946</v>
      </c>
      <c r="HN18" s="20" t="n">
        <f aca="false">HE18*(Slot20_Cost-HJ18)</f>
        <v>0</v>
      </c>
      <c r="HO18" s="20" t="n">
        <f aca="false">V18*Slot1_SpendLike*AA18+AG18*Slot2_SpendLike*AL18+AQ18*Slot3_SpendLike*AV18+BA18*Slot4_SpendLike*BF18+BK18*Slot5_SpendLike*BP18+BU18*Slot6_SpendLike*BZ18+CE18*Slot7_SpendLike*CJ18+CO18*Slot8_SpendLike*CT18+CY18*Slot9_SpendLike*DD18+DI18*Slot10_SpendLike*DN18+DS18*Slot11_SpendLike*DX18+EC18*Slot12_SpendLike*EH18+EM18*Slot13_SpendLike*ER18+EW18*Slot14_SpendLike*FB18+FG18*Slot15_SpendLike*FL18+FQ18*Slot16_SpendLike*FV18+GA18*Slot17_SpendLike*GF18+GK18*Slot18_SpendLike*GP18+GU18*Slot19_SpendLike*GZ18+HE18*Slot20_SpendLike*HJ18</f>
        <v>30927.1211760735</v>
      </c>
      <c r="HP18" s="20" t="n">
        <f aca="false">AE18+AP18+AZ18+BJ18+BT18+CD18+CN18+CX18+DH18+DR18+EB18+EL18+EV18+FF18+FP18+FZ18+GJ18+GT18+HD18+HN18</f>
        <v>30022.5998236644</v>
      </c>
      <c r="HQ18" s="20" t="n">
        <f aca="false">V18*Slot1_Cost+AG18*Slot2_Cost+AQ18*Slot3_Cost+BA18*Slot4_Cost+BK18*Slot5_Cost+BU18*Slot6_Cost+CE18*Slot7_Cost+CO18*Slot8_Cost+CY18*Slot9_Cost+DI18*Slot10_Cost+DS18*Slot11_Cost+EC18*Slot12_Cost+EM18*Slot13_Cost+EW18*Slot14_Cost+FG18*Slot15_Cost+FQ18*Slot16_Cost+GA18*Slot17_Cost+GK18*Slot18_Cost+GU18*Slot19_Cost+HE18*Slot20_Cost</f>
        <v>60949.7209997379</v>
      </c>
      <c r="HR18" s="20" t="n">
        <f aca="false">HM18</f>
        <v>117344.387280946</v>
      </c>
      <c r="HS18" s="20" t="n">
        <f aca="false">H18-I18-S18</f>
        <v>12176.0291060714</v>
      </c>
      <c r="HT18" s="20" t="n">
        <f aca="false">IF(B18=0,IF(AND(Has_q6=1,In_q6=4),PR_ShareVaries*(MAX(0,HS18)/12),MIN(IF(Has_q6=1,CHOOSE(In_q6+1,PR_SaveB1,PR_SaveB2,PR_SaveB3,PR_SaveB4,0),AS_NoAnswer),AS_SaveShare*(MAX(0,HS18)/12))),HT17)</f>
        <v>67.3316893520437</v>
      </c>
      <c r="HU18" s="20" t="n">
        <f aca="false">IF(HS18&gt;=0,1,0)</f>
        <v>1</v>
      </c>
      <c r="HV18" s="20" t="n">
        <f aca="false">MAX(0,HS18/12/F18)</f>
        <v>832.382064699672</v>
      </c>
      <c r="HW18" s="20" t="n">
        <f aca="false">IF(AND(Has_q6=1,In_q6=4),PR_ShareVaries*(HV18),MIN(IF(Has_q6=1,CHOOSE(In_q6+1,PR_SaveB1,PR_SaveB2,PR_SaveB3,PR_SaveB4,0),AS_NoAnswer),AS_SaveShare*(HV18)))</f>
        <v>416.191032349836</v>
      </c>
      <c r="HX18" s="20" t="n">
        <f aca="false">IF(Has_saveM=1,IF(In_saveUp="Yes",1,IF(In_saveUp="No",0,IF(In_saveM&gt;=HT18-0.5,1,0))),0)</f>
        <v>0</v>
      </c>
      <c r="HY18" s="20" t="n">
        <f aca="false">IF(Has_saveM=1,MIN(HV18,IF(HX18=1,MAX(In_saveM,HW18),MIN(In_saveM,HW18))),HW18)</f>
        <v>416.191032349836</v>
      </c>
      <c r="HZ18" s="20" t="n">
        <f aca="false">IF(G18=1,HY18*12*F18,0)</f>
        <v>6088.01455303569</v>
      </c>
      <c r="IA18" s="20" t="n">
        <f aca="false">MAX(0,HZ18+IF(AND(WI_Retire=0,WI_M&lt;0,G18=1),WI_M*12*F18,0))</f>
        <v>6088.01455303569</v>
      </c>
      <c r="IB18" s="20" t="n">
        <f aca="false">Slot1_IsWG*W18+Slot2_IsWG*AH18+Slot3_IsWG*AR18+Slot4_IsWG*BB18+Slot5_IsWG*BL18+Slot6_IsWG*BV18+Slot7_IsWG*CF18+Slot8_IsWG*CP18+Slot9_IsWG*CZ18+Slot10_IsWG*DJ18+Slot11_IsWG*DT18+Slot12_IsWG*ED18+Slot13_IsWG*EN18+Slot14_IsWG*EX18+Slot15_IsWG*FH18+Slot16_IsWG*FR18+Slot17_IsWG*GB18+Slot18_IsWG*GL18+Slot19_IsWG*GV18+Slot20_IsWG*HF18</f>
        <v>0</v>
      </c>
      <c r="IC18" s="20" t="n">
        <f aca="false">IF(AND(WI_Retire=0,WI_M&gt;0,G18=1,IB18&gt;=1),WI_M*12*F18,0)</f>
        <v>0</v>
      </c>
      <c r="ID18" s="20" t="n">
        <f aca="false">IF(HU18=1,MIN(IA18,HS18),0)</f>
        <v>6088.01455303569</v>
      </c>
      <c r="IE18" s="20" t="n">
        <f aca="false">IF(HU18=1,MIN(IC18,HS18-ID18),0)</f>
        <v>0</v>
      </c>
      <c r="IF18" s="20" t="n">
        <f aca="false">IF(W18=1,IF(ABS((1+AS_Wage)/(1+Slot1_Rate)-1)&lt;0.000000000001,(Slot1_Age-D18)*(1+Slot1_Rate)^(Slot1_Age-D18),(1+Slot1_Rate)^(Slot1_Age-D18)*(1-((1+AS_Wage)/(1+Slot1_Rate))^(Slot1_Age-D18))/(1-(1+AS_Wage)/(1+Slot1_Rate))),1)</f>
        <v>1</v>
      </c>
      <c r="IG18" s="20" t="n">
        <f aca="false">IF(AND(HU18=1,IE18&gt;0,Slot1_IsWG=1,W18=1),MAX(0,(Slot1_Cost-X18*(1+Slot1_Rate)^(Slot1_Age-D18))/IF18),0)</f>
        <v>0</v>
      </c>
      <c r="IH18" s="20" t="n">
        <f aca="false">IF(AND(HU18=1,IE18&gt;0,Slot1_IsWG=1,W18=1),MIN(IE18,IG18),0)</f>
        <v>0</v>
      </c>
      <c r="II18" s="20" t="n">
        <f aca="false">X18+IH18</f>
        <v>0</v>
      </c>
      <c r="IJ18" s="20" t="n">
        <f aca="false">IF(W18=1,MAX(0,(Slot1_Cost-II18*(1+Slot1_Rate)^(Slot1_Age-D18))/IF18),0)</f>
        <v>0</v>
      </c>
      <c r="IK18" s="20" t="n">
        <f aca="false">IF(W18=1,MAX(0,(Slot1_Cost-X18*(1+Slot1_Rate)^(Slot1_Age-D18))/IF18),0)</f>
        <v>0</v>
      </c>
      <c r="IL18" s="20" t="n">
        <f aca="false">IF(AND(HU18=1,W18=1),MIN(ID18,IJ18),0)</f>
        <v>0</v>
      </c>
      <c r="IM18" s="20" t="n">
        <f aca="false">ID18-IL18</f>
        <v>6088.01455303569</v>
      </c>
      <c r="IN18" s="20" t="n">
        <f aca="false">IF(AH18=1,IF(ABS((1+AS_Wage)/(1+Slot2_Rate)-1)&lt;0.000000000001,(Slot2_Age-D18)*(1+Slot2_Rate)^(Slot2_Age-D18),(1+Slot2_Rate)^(Slot2_Age-D18)*(1-((1+AS_Wage)/(1+Slot2_Rate))^(Slot2_Age-D18))/(1-(1+AS_Wage)/(1+Slot2_Rate))),1)</f>
        <v>1</v>
      </c>
      <c r="IO18" s="20" t="n">
        <f aca="false">IF(AND(HU18=1,IE18&gt;0,Slot2_IsWG=1,AH18=1),MAX(0,(Slot2_Cost-AI18*(1+Slot2_Rate)^(Slot2_Age-D18))/IN18),0)</f>
        <v>0</v>
      </c>
      <c r="IP18" s="20" t="n">
        <f aca="false">IF(AND(HU18=1,IE18&gt;0,Slot2_IsWG=1,AH18=1),MIN(IE18,IO18),0)</f>
        <v>0</v>
      </c>
      <c r="IQ18" s="20" t="n">
        <f aca="false">AI18+IP18</f>
        <v>0</v>
      </c>
      <c r="IR18" s="20" t="n">
        <f aca="false">IF(AH18=1,MAX(0,(Slot2_Cost-IQ18*(1+Slot2_Rate)^(Slot2_Age-D18))/IN18),0)</f>
        <v>0</v>
      </c>
      <c r="IS18" s="20" t="n">
        <f aca="false">IF(AH18=1,MAX(0,(Slot2_Cost-AI18*(1+Slot2_Rate)^(Slot2_Age-D18))/IN18),0)</f>
        <v>0</v>
      </c>
      <c r="IT18" s="20" t="n">
        <f aca="false">IF(AND(HU18=1,AH18=1),MIN(IM18,IR18),0)</f>
        <v>0</v>
      </c>
      <c r="IU18" s="20" t="n">
        <f aca="false">IM18-IT18</f>
        <v>6088.01455303569</v>
      </c>
      <c r="IV18" s="20" t="n">
        <f aca="false">IF(AR18=1,IF(ABS((1+AS_Wage)/(1+Slot3_Rate)-1)&lt;0.000000000001,(Slot3_Age-D18)*(1+Slot3_Rate)^(Slot3_Age-D18),(1+Slot3_Rate)^(Slot3_Age-D18)*(1-((1+AS_Wage)/(1+Slot3_Rate))^(Slot3_Age-D18))/(1-(1+AS_Wage)/(1+Slot3_Rate))),1)</f>
        <v>1</v>
      </c>
      <c r="IW18" s="20" t="n">
        <f aca="false">IF(AND(HU18=1,IE18&gt;0,Slot3_IsWG=1,AR18=1),MAX(0,(Slot3_Cost-AS18*(1+Slot3_Rate)^(Slot3_Age-D18))/IV18),0)</f>
        <v>0</v>
      </c>
      <c r="IX18" s="20" t="n">
        <f aca="false">IF(AND(HU18=1,IE18&gt;0,Slot3_IsWG=1,AR18=1),MIN(IE18,IW18),0)</f>
        <v>0</v>
      </c>
      <c r="IY18" s="20" t="n">
        <f aca="false">AS18+IX18</f>
        <v>30927.1211760735</v>
      </c>
      <c r="IZ18" s="20" t="n">
        <f aca="false">IF(AR18=1,MAX(0,(Slot3_Cost-IY18*(1+Slot3_Rate)^(Slot3_Age-D18))/IV18),0)</f>
        <v>0</v>
      </c>
      <c r="JA18" s="20" t="n">
        <f aca="false">IF(AR18=1,MAX(0,(Slot3_Cost-AS18*(1+Slot3_Rate)^(Slot3_Age-D18))/IV18),0)</f>
        <v>0</v>
      </c>
      <c r="JB18" s="20" t="n">
        <f aca="false">IF(AND(HU18=1,AR18=1),MIN(IU18,IZ18),0)</f>
        <v>0</v>
      </c>
      <c r="JC18" s="20" t="n">
        <f aca="false">IU18-JB18</f>
        <v>6088.01455303569</v>
      </c>
      <c r="JD18" s="20" t="n">
        <f aca="false">IF(BB18=1,IF(ABS((1+AS_Wage)/(1+Slot4_Rate)-1)&lt;0.000000000001,(Slot4_Age-D18)*(1+Slot4_Rate)^(Slot4_Age-D18),(1+Slot4_Rate)^(Slot4_Age-D18)*(1-((1+AS_Wage)/(1+Slot4_Rate))^(Slot4_Age-D18))/(1-(1+AS_Wage)/(1+Slot4_Rate))),1)</f>
        <v>8.4764168836889</v>
      </c>
      <c r="JE18" s="20" t="n">
        <f aca="false">IF(AND(HU18=1,IE18&gt;0,Slot4_IsWG=1,BB18=1),MAX(0,(Slot4_Cost-BC18*(1+Slot4_Rate)^(Slot4_Age-D18))/JD18),0)</f>
        <v>0</v>
      </c>
      <c r="JF18" s="20" t="n">
        <f aca="false">IF(AND(HU18=1,IE18&gt;0,Slot4_IsWG=1,BB18=1),MIN(IE18,JE18),0)</f>
        <v>0</v>
      </c>
      <c r="JG18" s="20" t="n">
        <f aca="false">BC18+JF18</f>
        <v>0</v>
      </c>
      <c r="JH18" s="20" t="n">
        <f aca="false">IF(BB18=1,MAX(0,(Slot4_Cost-JG18*(1+Slot4_Rate)^(Slot4_Age-D18))/JD18),0)</f>
        <v>4721.32225231148</v>
      </c>
      <c r="JI18" s="20" t="n">
        <f aca="false">IF(BB18=1,MAX(0,(Slot4_Cost-BC18*(1+Slot4_Rate)^(Slot4_Age-D18))/JD18),0)</f>
        <v>4721.32225231148</v>
      </c>
      <c r="JJ18" s="20" t="n">
        <f aca="false">IF(AND(HU18=1,BB18=1),MIN(JC18,JH18),0)</f>
        <v>4721.32225231148</v>
      </c>
      <c r="JK18" s="20" t="n">
        <f aca="false">JC18-JJ18</f>
        <v>1366.69230072421</v>
      </c>
      <c r="JL18" s="20" t="n">
        <f aca="false">IF(BL18=1,IF(ABS((1+AS_Wage)/(1+Slot5_Rate)-1)&lt;0.000000000001,(Slot5_Age-D18)*(1+Slot5_Rate)^(Slot5_Age-D18),(1+Slot5_Rate)^(Slot5_Age-D18)*(1-((1+AS_Wage)/(1+Slot5_Rate))^(Slot5_Age-D18))/(1-(1+AS_Wage)/(1+Slot5_Rate))),1)</f>
        <v>1</v>
      </c>
      <c r="JM18" s="20" t="n">
        <f aca="false">IF(AND(HU18=1,IE18&gt;0,Slot5_IsWG=1,BL18=1),MAX(0,(Slot5_Cost-BM18*(1+Slot5_Rate)^(Slot5_Age-D18))/JL18),0)</f>
        <v>0</v>
      </c>
      <c r="JN18" s="20" t="n">
        <f aca="false">IF(AND(HU18=1,IE18&gt;0,Slot5_IsWG=1,BL18=1),MIN(IE18,JM18),0)</f>
        <v>0</v>
      </c>
      <c r="JO18" s="20" t="n">
        <f aca="false">BM18+JN18</f>
        <v>0</v>
      </c>
      <c r="JP18" s="20" t="n">
        <f aca="false">IF(BL18=1,MAX(0,(Slot5_Cost-JO18*(1+Slot5_Rate)^(Slot5_Age-D18))/JL18),0)</f>
        <v>0</v>
      </c>
      <c r="JQ18" s="20" t="n">
        <f aca="false">IF(BL18=1,MAX(0,(Slot5_Cost-BM18*(1+Slot5_Rate)^(Slot5_Age-D18))/JL18),0)</f>
        <v>0</v>
      </c>
      <c r="JR18" s="20" t="n">
        <f aca="false">IF(AND(HU18=1,BL18=1),MIN(JK18,JP18),0)</f>
        <v>0</v>
      </c>
      <c r="JS18" s="20" t="n">
        <f aca="false">JK18-JR18</f>
        <v>1366.69230072421</v>
      </c>
      <c r="JT18" s="20" t="n">
        <f aca="false">IF(BV18=1,IF(ABS((1+AS_Wage)/(1+Slot6_Rate)-1)&lt;0.000000000001,(Slot6_Age-D18)*(1+Slot6_Rate)^(Slot6_Age-D18),(1+Slot6_Rate)^(Slot6_Age-D18)*(1-((1+AS_Wage)/(1+Slot6_Rate))^(Slot6_Age-D18))/(1-(1+AS_Wage)/(1+Slot6_Rate))),1)</f>
        <v>1</v>
      </c>
      <c r="JU18" s="20" t="n">
        <f aca="false">IF(AND(HU18=1,IE18&gt;0,Slot6_IsWG=1,BV18=1),MAX(0,(Slot6_Cost-BW18*(1+Slot6_Rate)^(Slot6_Age-D18))/JT18),0)</f>
        <v>0</v>
      </c>
      <c r="JV18" s="20" t="n">
        <f aca="false">IF(AND(HU18=1,IE18&gt;0,Slot6_IsWG=1,BV18=1),MIN(IE18,JU18),0)</f>
        <v>0</v>
      </c>
      <c r="JW18" s="20" t="n">
        <f aca="false">BW18+JV18</f>
        <v>0</v>
      </c>
      <c r="JX18" s="20" t="n">
        <f aca="false">IF(BV18=1,MAX(0,(Slot6_Cost-JW18*(1+Slot6_Rate)^(Slot6_Age-D18))/JT18),0)</f>
        <v>0</v>
      </c>
      <c r="JY18" s="20" t="n">
        <f aca="false">IF(BV18=1,MAX(0,(Slot6_Cost-BW18*(1+Slot6_Rate)^(Slot6_Age-D18))/JT18),0)</f>
        <v>0</v>
      </c>
      <c r="JZ18" s="20" t="n">
        <f aca="false">IF(AND(HU18=1,BV18=1),MIN(JS18,JX18),0)</f>
        <v>0</v>
      </c>
      <c r="KA18" s="20" t="n">
        <f aca="false">JS18-JZ18</f>
        <v>1366.69230072421</v>
      </c>
      <c r="KB18" s="20" t="n">
        <f aca="false">IF(CF18=1,IF(ABS((1+AS_Wage)/(1+Slot7_Rate)-1)&lt;0.000000000001,(Slot7_Age-D18)*(1+Slot7_Rate)^(Slot7_Age-D18),(1+Slot7_Rate)^(Slot7_Age-D18)*(1-((1+AS_Wage)/(1+Slot7_Rate))^(Slot7_Age-D18))/(1-(1+AS_Wage)/(1+Slot7_Rate))),1)</f>
        <v>1</v>
      </c>
      <c r="KC18" s="20" t="n">
        <f aca="false">IF(AND(HU18=1,IE18&gt;0,Slot7_IsWG=1,CF18=1),MAX(0,(Slot7_Cost-CG18*(1+Slot7_Rate)^(Slot7_Age-D18))/KB18),0)</f>
        <v>0</v>
      </c>
      <c r="KD18" s="20" t="n">
        <f aca="false">IF(AND(HU18=1,IE18&gt;0,Slot7_IsWG=1,CF18=1),MIN(IE18,KC18),0)</f>
        <v>0</v>
      </c>
      <c r="KE18" s="20" t="n">
        <f aca="false">CG18+KD18</f>
        <v>0</v>
      </c>
      <c r="KF18" s="20" t="n">
        <f aca="false">IF(CF18=1,MAX(0,(Slot7_Cost-KE18*(1+Slot7_Rate)^(Slot7_Age-D18))/KB18),0)</f>
        <v>0</v>
      </c>
      <c r="KG18" s="20" t="n">
        <f aca="false">IF(CF18=1,MAX(0,(Slot7_Cost-CG18*(1+Slot7_Rate)^(Slot7_Age-D18))/KB18),0)</f>
        <v>0</v>
      </c>
      <c r="KH18" s="20" t="n">
        <f aca="false">IF(AND(HU18=1,CF18=1),MIN(KA18,KF18),0)</f>
        <v>0</v>
      </c>
      <c r="KI18" s="20" t="n">
        <f aca="false">KA18-KH18</f>
        <v>1366.69230072421</v>
      </c>
      <c r="KJ18" s="20" t="n">
        <f aca="false">IF(CP18=1,IF(ABS((1+AS_Wage)/(1+Slot8_Rate)-1)&lt;0.000000000001,(Slot8_Age-D18)*(1+Slot8_Rate)^(Slot8_Age-D18),(1+Slot8_Rate)^(Slot8_Age-D18)*(1-((1+AS_Wage)/(1+Slot8_Rate))^(Slot8_Age-D18))/(1-(1+AS_Wage)/(1+Slot8_Rate))),1)</f>
        <v>1</v>
      </c>
      <c r="KK18" s="20" t="n">
        <f aca="false">IF(AND(HU18=1,IE18&gt;0,Slot8_IsWG=1,CP18=1),MAX(0,(Slot8_Cost-CQ18*(1+Slot8_Rate)^(Slot8_Age-D18))/KJ18),0)</f>
        <v>0</v>
      </c>
      <c r="KL18" s="20" t="n">
        <f aca="false">IF(AND(HU18=1,IE18&gt;0,Slot8_IsWG=1,CP18=1),MIN(IE18,KK18),0)</f>
        <v>0</v>
      </c>
      <c r="KM18" s="20" t="n">
        <f aca="false">CQ18+KL18</f>
        <v>0</v>
      </c>
      <c r="KN18" s="20" t="n">
        <f aca="false">IF(CP18=1,MAX(0,(Slot8_Cost-KM18*(1+Slot8_Rate)^(Slot8_Age-D18))/KJ18),0)</f>
        <v>0</v>
      </c>
      <c r="KO18" s="20" t="n">
        <f aca="false">IF(CP18=1,MAX(0,(Slot8_Cost-CQ18*(1+Slot8_Rate)^(Slot8_Age-D18))/KJ18),0)</f>
        <v>0</v>
      </c>
      <c r="KP18" s="20" t="n">
        <f aca="false">IF(AND(HU18=1,CP18=1),MIN(KI18,KN18),0)</f>
        <v>0</v>
      </c>
      <c r="KQ18" s="20" t="n">
        <f aca="false">KI18-KP18</f>
        <v>1366.69230072421</v>
      </c>
      <c r="KR18" s="20" t="n">
        <f aca="false">IF(CZ18=1,IF(ABS((1+AS_Wage)/(1+Slot9_Rate)-1)&lt;0.000000000001,(Slot9_Age-D18)*(1+Slot9_Rate)^(Slot9_Age-D18),(1+Slot9_Rate)^(Slot9_Age-D18)*(1-((1+AS_Wage)/(1+Slot9_Rate))^(Slot9_Age-D18))/(1-(1+AS_Wage)/(1+Slot9_Rate))),1)</f>
        <v>1</v>
      </c>
      <c r="KS18" s="20" t="n">
        <f aca="false">IF(AND(HU18=1,IE18&gt;0,Slot9_IsWG=1,CZ18=1),MAX(0,(Slot9_Cost-DA18*(1+Slot9_Rate)^(Slot9_Age-D18))/KR18),0)</f>
        <v>0</v>
      </c>
      <c r="KT18" s="20" t="n">
        <f aca="false">IF(AND(HU18=1,IE18&gt;0,Slot9_IsWG=1,CZ18=1),MIN(IE18,KS18),0)</f>
        <v>0</v>
      </c>
      <c r="KU18" s="20" t="n">
        <f aca="false">DA18+KT18</f>
        <v>0</v>
      </c>
      <c r="KV18" s="20" t="n">
        <f aca="false">IF(CZ18=1,MAX(0,(Slot9_Cost-KU18*(1+Slot9_Rate)^(Slot9_Age-D18))/KR18),0)</f>
        <v>0</v>
      </c>
      <c r="KW18" s="20" t="n">
        <f aca="false">IF(CZ18=1,MAX(0,(Slot9_Cost-DA18*(1+Slot9_Rate)^(Slot9_Age-D18))/KR18),0)</f>
        <v>0</v>
      </c>
      <c r="KX18" s="20" t="n">
        <f aca="false">IF(AND(HU18=1,CZ18=1),MIN(KQ18,KV18),0)</f>
        <v>0</v>
      </c>
      <c r="KY18" s="20" t="n">
        <f aca="false">KQ18-KX18</f>
        <v>1366.69230072421</v>
      </c>
      <c r="KZ18" s="20" t="n">
        <f aca="false">IF(DJ18=1,IF(ABS((1+AS_Wage)/(1+Slot10_Rate)-1)&lt;0.000000000001,(Slot10_Age-D18)*(1+Slot10_Rate)^(Slot10_Age-D18),(1+Slot10_Rate)^(Slot10_Age-D18)*(1-((1+AS_Wage)/(1+Slot10_Rate))^(Slot10_Age-D18))/(1-(1+AS_Wage)/(1+Slot10_Rate))),1)</f>
        <v>1</v>
      </c>
      <c r="LA18" s="20" t="n">
        <f aca="false">IF(AND(HU18=1,IE18&gt;0,Slot10_IsWG=1,DJ18=1),MAX(0,(Slot10_Cost-DK18*(1+Slot10_Rate)^(Slot10_Age-D18))/KZ18),0)</f>
        <v>0</v>
      </c>
      <c r="LB18" s="20" t="n">
        <f aca="false">IF(AND(HU18=1,IE18&gt;0,Slot10_IsWG=1,DJ18=1),MIN(IE18,LA18),0)</f>
        <v>0</v>
      </c>
      <c r="LC18" s="20" t="n">
        <f aca="false">DK18+LB18</f>
        <v>0</v>
      </c>
      <c r="LD18" s="20" t="n">
        <f aca="false">IF(DJ18=1,MAX(0,(Slot10_Cost-LC18*(1+Slot10_Rate)^(Slot10_Age-D18))/KZ18),0)</f>
        <v>0</v>
      </c>
      <c r="LE18" s="20" t="n">
        <f aca="false">IF(DJ18=1,MAX(0,(Slot10_Cost-DK18*(1+Slot10_Rate)^(Slot10_Age-D18))/KZ18),0)</f>
        <v>0</v>
      </c>
      <c r="LF18" s="20" t="n">
        <f aca="false">IF(AND(HU18=1,DJ18=1),MIN(KY18,LD18),0)</f>
        <v>0</v>
      </c>
      <c r="LG18" s="20" t="n">
        <f aca="false">KY18-LF18</f>
        <v>1366.69230072421</v>
      </c>
      <c r="LH18" s="20" t="n">
        <f aca="false">IF(DT18=1,IF(ABS((1+AS_Wage)/(1+Slot11_Rate)-1)&lt;0.000000000001,(Slot11_Age-D18)*(1+Slot11_Rate)^(Slot11_Age-D18),(1+Slot11_Rate)^(Slot11_Age-D18)*(1-((1+AS_Wage)/(1+Slot11_Rate))^(Slot11_Age-D18))/(1-(1+AS_Wage)/(1+Slot11_Rate))),1)</f>
        <v>1</v>
      </c>
      <c r="LI18" s="20" t="n">
        <f aca="false">IF(AND(HU18=1,IE18&gt;0,Slot11_IsWG=1,DT18=1),MAX(0,(Slot11_Cost-DU18*(1+Slot11_Rate)^(Slot11_Age-D18))/LH18),0)</f>
        <v>0</v>
      </c>
      <c r="LJ18" s="20" t="n">
        <f aca="false">IF(AND(HU18=1,IE18&gt;0,Slot11_IsWG=1,DT18=1),MIN(IE18,LI18),0)</f>
        <v>0</v>
      </c>
      <c r="LK18" s="20" t="n">
        <f aca="false">DU18+LJ18</f>
        <v>0</v>
      </c>
      <c r="LL18" s="20" t="n">
        <f aca="false">IF(DT18=1,MAX(0,(Slot11_Cost-LK18*(1+Slot11_Rate)^(Slot11_Age-D18))/LH18),0)</f>
        <v>0</v>
      </c>
      <c r="LM18" s="20" t="n">
        <f aca="false">IF(DT18=1,MAX(0,(Slot11_Cost-DU18*(1+Slot11_Rate)^(Slot11_Age-D18))/LH18),0)</f>
        <v>0</v>
      </c>
      <c r="LN18" s="20" t="n">
        <f aca="false">IF(AND(HU18=1,DT18=1),MIN(LG18,LL18),0)</f>
        <v>0</v>
      </c>
      <c r="LO18" s="20" t="n">
        <f aca="false">LG18-LN18</f>
        <v>1366.69230072421</v>
      </c>
      <c r="LP18" s="20" t="n">
        <f aca="false">IF(ED18=1,IF(ABS((1+AS_Wage)/(1+Slot12_Rate)-1)&lt;0.000000000001,(Slot12_Age-D18)*(1+Slot12_Rate)^(Slot12_Age-D18),(1+Slot12_Rate)^(Slot12_Age-D18)*(1-((1+AS_Wage)/(1+Slot12_Rate))^(Slot12_Age-D18))/(1-(1+AS_Wage)/(1+Slot12_Rate))),1)</f>
        <v>1</v>
      </c>
      <c r="LQ18" s="20" t="n">
        <f aca="false">IF(AND(HU18=1,IE18&gt;0,Slot12_IsWG=1,ED18=1),MAX(0,(Slot12_Cost-EE18*(1+Slot12_Rate)^(Slot12_Age-D18))/LP18),0)</f>
        <v>0</v>
      </c>
      <c r="LR18" s="20" t="n">
        <f aca="false">IF(AND(HU18=1,IE18&gt;0,Slot12_IsWG=1,ED18=1),MIN(IE18,LQ18),0)</f>
        <v>0</v>
      </c>
      <c r="LS18" s="20" t="n">
        <f aca="false">EE18+LR18</f>
        <v>0</v>
      </c>
      <c r="LT18" s="20" t="n">
        <f aca="false">IF(ED18=1,MAX(0,(Slot12_Cost-LS18*(1+Slot12_Rate)^(Slot12_Age-D18))/LP18),0)</f>
        <v>0</v>
      </c>
      <c r="LU18" s="20" t="n">
        <f aca="false">IF(ED18=1,MAX(0,(Slot12_Cost-EE18*(1+Slot12_Rate)^(Slot12_Age-D18))/LP18),0)</f>
        <v>0</v>
      </c>
      <c r="LV18" s="20" t="n">
        <f aca="false">IF(AND(HU18=1,ED18=1),MIN(LO18,LT18),0)</f>
        <v>0</v>
      </c>
      <c r="LW18" s="20" t="n">
        <f aca="false">LO18-LV18</f>
        <v>1366.69230072421</v>
      </c>
      <c r="LX18" s="20" t="n">
        <f aca="false">IF(EN18=1,IF(ABS((1+AS_Wage)/(1+Slot13_Rate)-1)&lt;0.000000000001,(Slot13_Age-D18)*(1+Slot13_Rate)^(Slot13_Age-D18),(1+Slot13_Rate)^(Slot13_Age-D18)*(1-((1+AS_Wage)/(1+Slot13_Rate))^(Slot13_Age-D18))/(1-(1+AS_Wage)/(1+Slot13_Rate))),1)</f>
        <v>1</v>
      </c>
      <c r="LY18" s="20" t="n">
        <f aca="false">IF(AND(HU18=1,IE18&gt;0,Slot13_IsWG=1,EN18=1),MAX(0,(Slot13_Cost-EO18*(1+Slot13_Rate)^(Slot13_Age-D18))/LX18),0)</f>
        <v>0</v>
      </c>
      <c r="LZ18" s="20" t="n">
        <f aca="false">IF(AND(HU18=1,IE18&gt;0,Slot13_IsWG=1,EN18=1),MIN(IE18,LY18),0)</f>
        <v>0</v>
      </c>
      <c r="MA18" s="20" t="n">
        <f aca="false">EO18+LZ18</f>
        <v>0</v>
      </c>
      <c r="MB18" s="20" t="n">
        <f aca="false">IF(EN18=1,MAX(0,(Slot13_Cost-MA18*(1+Slot13_Rate)^(Slot13_Age-D18))/LX18),0)</f>
        <v>0</v>
      </c>
      <c r="MC18" s="20" t="n">
        <f aca="false">IF(EN18=1,MAX(0,(Slot13_Cost-EO18*(1+Slot13_Rate)^(Slot13_Age-D18))/LX18),0)</f>
        <v>0</v>
      </c>
      <c r="MD18" s="20" t="n">
        <f aca="false">IF(AND(HU18=1,EN18=1),MIN(LW18,MB18),0)</f>
        <v>0</v>
      </c>
      <c r="ME18" s="20" t="n">
        <f aca="false">LW18-MD18</f>
        <v>1366.69230072421</v>
      </c>
      <c r="MF18" s="20" t="n">
        <f aca="false">IF(EX18=1,IF(ABS((1+AS_Wage)/(1+Slot14_Rate)-1)&lt;0.000000000001,(Slot14_Age-D18)*(1+Slot14_Rate)^(Slot14_Age-D18),(1+Slot14_Rate)^(Slot14_Age-D18)*(1-((1+AS_Wage)/(1+Slot14_Rate))^(Slot14_Age-D18))/(1-(1+AS_Wage)/(1+Slot14_Rate))),1)</f>
        <v>1</v>
      </c>
      <c r="MG18" s="20" t="n">
        <f aca="false">IF(AND(HU18=1,IE18&gt;0,Slot14_IsWG=1,EX18=1),MAX(0,(Slot14_Cost-EY18*(1+Slot14_Rate)^(Slot14_Age-D18))/MF18),0)</f>
        <v>0</v>
      </c>
      <c r="MH18" s="20" t="n">
        <f aca="false">IF(AND(HU18=1,IE18&gt;0,Slot14_IsWG=1,EX18=1),MIN(IE18,MG18),0)</f>
        <v>0</v>
      </c>
      <c r="MI18" s="20" t="n">
        <f aca="false">EY18+MH18</f>
        <v>0</v>
      </c>
      <c r="MJ18" s="20" t="n">
        <f aca="false">IF(EX18=1,MAX(0,(Slot14_Cost-MI18*(1+Slot14_Rate)^(Slot14_Age-D18))/MF18),0)</f>
        <v>0</v>
      </c>
      <c r="MK18" s="20" t="n">
        <f aca="false">IF(EX18=1,MAX(0,(Slot14_Cost-EY18*(1+Slot14_Rate)^(Slot14_Age-D18))/MF18),0)</f>
        <v>0</v>
      </c>
      <c r="ML18" s="20" t="n">
        <f aca="false">IF(AND(HU18=1,EX18=1),MIN(ME18,MJ18),0)</f>
        <v>0</v>
      </c>
      <c r="MM18" s="20" t="n">
        <f aca="false">ME18-ML18</f>
        <v>1366.69230072421</v>
      </c>
      <c r="MN18" s="20" t="n">
        <f aca="false">IF(FH18=1,IF(ABS((1+AS_Wage)/(1+Slot15_Rate)-1)&lt;0.000000000001,(Slot15_Age-D18)*(1+Slot15_Rate)^(Slot15_Age-D18),(1+Slot15_Rate)^(Slot15_Age-D18)*(1-((1+AS_Wage)/(1+Slot15_Rate))^(Slot15_Age-D18))/(1-(1+AS_Wage)/(1+Slot15_Rate))),1)</f>
        <v>1</v>
      </c>
      <c r="MO18" s="20" t="n">
        <f aca="false">IF(AND(HU18=1,IE18&gt;0,Slot15_IsWG=1,FH18=1),MAX(0,(Slot15_Cost-FI18*(1+Slot15_Rate)^(Slot15_Age-D18))/MN18),0)</f>
        <v>0</v>
      </c>
      <c r="MP18" s="20" t="n">
        <f aca="false">IF(AND(HU18=1,IE18&gt;0,Slot15_IsWG=1,FH18=1),MIN(IE18,MO18),0)</f>
        <v>0</v>
      </c>
      <c r="MQ18" s="20" t="n">
        <f aca="false">FI18+MP18</f>
        <v>0</v>
      </c>
      <c r="MR18" s="20" t="n">
        <f aca="false">IF(FH18=1,MAX(0,(Slot15_Cost-MQ18*(1+Slot15_Rate)^(Slot15_Age-D18))/MN18),0)</f>
        <v>0</v>
      </c>
      <c r="MS18" s="20" t="n">
        <f aca="false">IF(FH18=1,MAX(0,(Slot15_Cost-FI18*(1+Slot15_Rate)^(Slot15_Age-D18))/MN18),0)</f>
        <v>0</v>
      </c>
      <c r="MT18" s="20" t="n">
        <f aca="false">IF(AND(HU18=1,FH18=1),MIN(MM18,MR18),0)</f>
        <v>0</v>
      </c>
      <c r="MU18" s="20" t="n">
        <f aca="false">MM18-MT18</f>
        <v>1366.69230072421</v>
      </c>
      <c r="MV18" s="20" t="n">
        <f aca="false">IF(FR18=1,IF(ABS((1+AS_Wage)/(1+Slot16_Rate)-1)&lt;0.000000000001,(Slot16_Age-D18)*(1+Slot16_Rate)^(Slot16_Age-D18),(1+Slot16_Rate)^(Slot16_Age-D18)*(1-((1+AS_Wage)/(1+Slot16_Rate))^(Slot16_Age-D18))/(1-(1+AS_Wage)/(1+Slot16_Rate))),1)</f>
        <v>1</v>
      </c>
      <c r="MW18" s="20" t="n">
        <f aca="false">IF(AND(HU18=1,IE18&gt;0,Slot16_IsWG=1,FR18=1),MAX(0,(Slot16_Cost-FS18*(1+Slot16_Rate)^(Slot16_Age-D18))/MV18),0)</f>
        <v>0</v>
      </c>
      <c r="MX18" s="20" t="n">
        <f aca="false">IF(AND(HU18=1,IE18&gt;0,Slot16_IsWG=1,FR18=1),MIN(IE18,MW18),0)</f>
        <v>0</v>
      </c>
      <c r="MY18" s="20" t="n">
        <f aca="false">FS18+MX18</f>
        <v>0</v>
      </c>
      <c r="MZ18" s="20" t="n">
        <f aca="false">IF(FR18=1,MAX(0,(Slot16_Cost-MY18*(1+Slot16_Rate)^(Slot16_Age-D18))/MV18),0)</f>
        <v>0</v>
      </c>
      <c r="NA18" s="20" t="n">
        <f aca="false">IF(FR18=1,MAX(0,(Slot16_Cost-FS18*(1+Slot16_Rate)^(Slot16_Age-D18))/MV18),0)</f>
        <v>0</v>
      </c>
      <c r="NB18" s="20" t="n">
        <f aca="false">IF(AND(HU18=1,FR18=1),MIN(MU18,MZ18),0)</f>
        <v>0</v>
      </c>
      <c r="NC18" s="20" t="n">
        <f aca="false">MU18-NB18</f>
        <v>1366.69230072421</v>
      </c>
      <c r="ND18" s="20" t="n">
        <f aca="false">IF(GB18=1,IF(ABS((1+AS_Wage)/(1+Slot17_Rate)-1)&lt;0.000000000001,(Slot17_Age-D18)*(1+Slot17_Rate)^(Slot17_Age-D18),(1+Slot17_Rate)^(Slot17_Age-D18)*(1-((1+AS_Wage)/(1+Slot17_Rate))^(Slot17_Age-D18))/(1-(1+AS_Wage)/(1+Slot17_Rate))),1)</f>
        <v>1</v>
      </c>
      <c r="NE18" s="20" t="n">
        <f aca="false">IF(AND(HU18=1,IE18&gt;0,Slot17_IsWG=1,GB18=1),MAX(0,(Slot17_Cost-GC18*(1+Slot17_Rate)^(Slot17_Age-D18))/ND18),0)</f>
        <v>0</v>
      </c>
      <c r="NF18" s="20" t="n">
        <f aca="false">IF(AND(HU18=1,IE18&gt;0,Slot17_IsWG=1,GB18=1),MIN(IE18,NE18),0)</f>
        <v>0</v>
      </c>
      <c r="NG18" s="20" t="n">
        <f aca="false">GC18+NF18</f>
        <v>0</v>
      </c>
      <c r="NH18" s="20" t="n">
        <f aca="false">IF(GB18=1,MAX(0,(Slot17_Cost-NG18*(1+Slot17_Rate)^(Slot17_Age-D18))/ND18),0)</f>
        <v>0</v>
      </c>
      <c r="NI18" s="20" t="n">
        <f aca="false">IF(GB18=1,MAX(0,(Slot17_Cost-GC18*(1+Slot17_Rate)^(Slot17_Age-D18))/ND18),0)</f>
        <v>0</v>
      </c>
      <c r="NJ18" s="20" t="n">
        <f aca="false">IF(AND(HU18=1,GB18=1),MIN(NC18,NH18),0)</f>
        <v>0</v>
      </c>
      <c r="NK18" s="20" t="n">
        <f aca="false">NC18-NJ18</f>
        <v>1366.69230072421</v>
      </c>
      <c r="NL18" s="20" t="n">
        <f aca="false">IF(GL18=1,IF(ABS((1+AS_Wage)/(1+Slot18_Rate)-1)&lt;0.000000000001,(Slot18_Age-D18)*(1+Slot18_Rate)^(Slot18_Age-D18),(1+Slot18_Rate)^(Slot18_Age-D18)*(1-((1+AS_Wage)/(1+Slot18_Rate))^(Slot18_Age-D18))/(1-(1+AS_Wage)/(1+Slot18_Rate))),1)</f>
        <v>1</v>
      </c>
      <c r="NM18" s="20" t="n">
        <f aca="false">IF(AND(HU18=1,IE18&gt;0,Slot18_IsWG=1,GL18=1),MAX(0,(Slot18_Cost-GM18*(1+Slot18_Rate)^(Slot18_Age-D18))/NL18),0)</f>
        <v>0</v>
      </c>
      <c r="NN18" s="20" t="n">
        <f aca="false">IF(AND(HU18=1,IE18&gt;0,Slot18_IsWG=1,GL18=1),MIN(IE18,NM18),0)</f>
        <v>0</v>
      </c>
      <c r="NO18" s="20" t="n">
        <f aca="false">GM18+NN18</f>
        <v>0</v>
      </c>
      <c r="NP18" s="20" t="n">
        <f aca="false">IF(GL18=1,MAX(0,(Slot18_Cost-NO18*(1+Slot18_Rate)^(Slot18_Age-D18))/NL18),0)</f>
        <v>0</v>
      </c>
      <c r="NQ18" s="20" t="n">
        <f aca="false">IF(GL18=1,MAX(0,(Slot18_Cost-GM18*(1+Slot18_Rate)^(Slot18_Age-D18))/NL18),0)</f>
        <v>0</v>
      </c>
      <c r="NR18" s="20" t="n">
        <f aca="false">IF(AND(HU18=1,GL18=1),MIN(NK18,NP18),0)</f>
        <v>0</v>
      </c>
      <c r="NS18" s="20" t="n">
        <f aca="false">NK18-NR18</f>
        <v>1366.69230072421</v>
      </c>
      <c r="NT18" s="20" t="n">
        <f aca="false">IF(GV18=1,IF(ABS((1+AS_Wage)/(1+Slot19_Rate)-1)&lt;0.000000000001,(Slot19_Age-D18)*(1+Slot19_Rate)^(Slot19_Age-D18),(1+Slot19_Rate)^(Slot19_Age-D18)*(1-((1+AS_Wage)/(1+Slot19_Rate))^(Slot19_Age-D18))/(1-(1+AS_Wage)/(1+Slot19_Rate))),1)</f>
        <v>1</v>
      </c>
      <c r="NU18" s="20" t="n">
        <f aca="false">IF(AND(HU18=1,IE18&gt;0,Slot19_IsWG=1,GV18=1),MAX(0,(Slot19_Cost-GW18*(1+Slot19_Rate)^(Slot19_Age-D18))/NT18),0)</f>
        <v>0</v>
      </c>
      <c r="NV18" s="20" t="n">
        <f aca="false">IF(AND(HU18=1,IE18&gt;0,Slot19_IsWG=1,GV18=1),MIN(IE18,NU18),0)</f>
        <v>0</v>
      </c>
      <c r="NW18" s="20" t="n">
        <f aca="false">GW18+NV18</f>
        <v>0</v>
      </c>
      <c r="NX18" s="20" t="n">
        <f aca="false">IF(GV18=1,MAX(0,(Slot19_Cost-NW18*(1+Slot19_Rate)^(Slot19_Age-D18))/NT18),0)</f>
        <v>0</v>
      </c>
      <c r="NY18" s="20" t="n">
        <f aca="false">IF(GV18=1,MAX(0,(Slot19_Cost-GW18*(1+Slot19_Rate)^(Slot19_Age-D18))/NT18),0)</f>
        <v>0</v>
      </c>
      <c r="NZ18" s="20" t="n">
        <f aca="false">IF(AND(HU18=1,GV18=1),MIN(NS18,NX18),0)</f>
        <v>0</v>
      </c>
      <c r="OA18" s="20" t="n">
        <f aca="false">NS18-NZ18</f>
        <v>1366.69230072421</v>
      </c>
      <c r="OB18" s="20" t="n">
        <f aca="false">IF(HF18=1,IF(ABS((1+AS_Wage)/(1+Slot20_Rate)-1)&lt;0.000000000001,(Slot20_Age-D18)*(1+Slot20_Rate)^(Slot20_Age-D18),(1+Slot20_Rate)^(Slot20_Age-D18)*(1-((1+AS_Wage)/(1+Slot20_Rate))^(Slot20_Age-D18))/(1-(1+AS_Wage)/(1+Slot20_Rate))),1)</f>
        <v>1</v>
      </c>
      <c r="OC18" s="20" t="n">
        <f aca="false">IF(AND(HU18=1,IE18&gt;0,Slot20_IsWG=1,HF18=1),MAX(0,(Slot20_Cost-HG18*(1+Slot20_Rate)^(Slot20_Age-D18))/OB18),0)</f>
        <v>0</v>
      </c>
      <c r="OD18" s="20" t="n">
        <f aca="false">IF(AND(HU18=1,IE18&gt;0,Slot20_IsWG=1,HF18=1),MIN(IE18,OC18),0)</f>
        <v>0</v>
      </c>
      <c r="OE18" s="20" t="n">
        <f aca="false">HG18+OD18</f>
        <v>0</v>
      </c>
      <c r="OF18" s="20" t="n">
        <f aca="false">IF(HF18=1,MAX(0,(Slot20_Cost-OE18*(1+Slot20_Rate)^(Slot20_Age-D18))/OB18),0)</f>
        <v>0</v>
      </c>
      <c r="OG18" s="20" t="n">
        <f aca="false">IF(HF18=1,MAX(0,(Slot20_Cost-HG18*(1+Slot20_Rate)^(Slot20_Age-D18))/OB18),0)</f>
        <v>0</v>
      </c>
      <c r="OH18" s="20" t="n">
        <f aca="false">IF(AND(HU18=1,HF18=1),MIN(OA18,OF18),0)</f>
        <v>0</v>
      </c>
      <c r="OI18" s="20" t="n">
        <f aca="false">OA18-OH18</f>
        <v>1366.69230072421</v>
      </c>
      <c r="OJ18" s="20" t="n">
        <f aca="false">IE18-(IH18+IP18+IX18+JF18+JN18+JV18+KD18+KL18+KT18+LB18+LJ18+LR18+LZ18+MH18+MP18+MX18+NF18+NN18+NV18+OD18)</f>
        <v>0</v>
      </c>
      <c r="OK18" s="20" t="n">
        <f aca="false">IF(HU18=1,HS18-ID18-IE18,0)</f>
        <v>6088.01455303569</v>
      </c>
      <c r="OL18" s="20" t="n">
        <f aca="false">IF(HU18=0,-HS18,0)</f>
        <v>0</v>
      </c>
      <c r="OM18" s="20" t="n">
        <f aca="false">MIN(OL18,HK18)</f>
        <v>0</v>
      </c>
      <c r="ON18" s="20" t="n">
        <f aca="false">OL18-OM18</f>
        <v>0</v>
      </c>
      <c r="OO18" s="20" t="n">
        <f aca="false">MIN(ON18,HL18)</f>
        <v>0</v>
      </c>
      <c r="OP18" s="20" t="n">
        <f aca="false">ON18-OO18</f>
        <v>0</v>
      </c>
      <c r="OQ18" s="20" t="n">
        <f aca="false">IF(AND(HU18=0,HF18=1,OP18&gt;0),MIN(OP18,HG18),0)</f>
        <v>0</v>
      </c>
      <c r="OR18" s="20" t="n">
        <f aca="false">OP18-OQ18</f>
        <v>0</v>
      </c>
      <c r="OS18" s="20" t="n">
        <f aca="false">IF(AND(HU18=0,GV18=1,OR18&gt;0),MIN(OR18,GW18),0)</f>
        <v>0</v>
      </c>
      <c r="OT18" s="20" t="n">
        <f aca="false">OR18-OS18</f>
        <v>0</v>
      </c>
      <c r="OU18" s="20" t="n">
        <f aca="false">IF(AND(HU18=0,GL18=1,OT18&gt;0),MIN(OT18,GM18),0)</f>
        <v>0</v>
      </c>
      <c r="OV18" s="20" t="n">
        <f aca="false">OT18-OU18</f>
        <v>0</v>
      </c>
      <c r="OW18" s="20" t="n">
        <f aca="false">IF(AND(HU18=0,GB18=1,OV18&gt;0),MIN(OV18,GC18),0)</f>
        <v>0</v>
      </c>
      <c r="OX18" s="20" t="n">
        <f aca="false">OV18-OW18</f>
        <v>0</v>
      </c>
      <c r="OY18" s="20" t="n">
        <f aca="false">IF(AND(HU18=0,FR18=1,OX18&gt;0),MIN(OX18,FS18),0)</f>
        <v>0</v>
      </c>
      <c r="OZ18" s="20" t="n">
        <f aca="false">OX18-OY18</f>
        <v>0</v>
      </c>
      <c r="PA18" s="20" t="n">
        <f aca="false">IF(AND(HU18=0,FH18=1,OZ18&gt;0),MIN(OZ18,FI18),0)</f>
        <v>0</v>
      </c>
      <c r="PB18" s="20" t="n">
        <f aca="false">OZ18-PA18</f>
        <v>0</v>
      </c>
      <c r="PC18" s="20" t="n">
        <f aca="false">IF(AND(HU18=0,EX18=1,PB18&gt;0),MIN(PB18,EY18),0)</f>
        <v>0</v>
      </c>
      <c r="PD18" s="20" t="n">
        <f aca="false">PB18-PC18</f>
        <v>0</v>
      </c>
      <c r="PE18" s="20" t="n">
        <f aca="false">IF(AND(HU18=0,EN18=1,PD18&gt;0),MIN(PD18,EO18),0)</f>
        <v>0</v>
      </c>
      <c r="PF18" s="20" t="n">
        <f aca="false">PD18-PE18</f>
        <v>0</v>
      </c>
      <c r="PG18" s="20" t="n">
        <f aca="false">IF(AND(HU18=0,ED18=1,PF18&gt;0),MIN(PF18,EE18),0)</f>
        <v>0</v>
      </c>
      <c r="PH18" s="20" t="n">
        <f aca="false">PF18-PG18</f>
        <v>0</v>
      </c>
      <c r="PI18" s="20" t="n">
        <f aca="false">IF(AND(HU18=0,DT18=1,PH18&gt;0),MIN(PH18,DU18),0)</f>
        <v>0</v>
      </c>
      <c r="PJ18" s="20" t="n">
        <f aca="false">PH18-PI18</f>
        <v>0</v>
      </c>
      <c r="PK18" s="20" t="n">
        <f aca="false">IF(AND(HU18=0,DJ18=1,PJ18&gt;0),MIN(PJ18,DK18),0)</f>
        <v>0</v>
      </c>
      <c r="PL18" s="20" t="n">
        <f aca="false">PJ18-PK18</f>
        <v>0</v>
      </c>
      <c r="PM18" s="20" t="n">
        <f aca="false">IF(AND(HU18=0,CZ18=1,PL18&gt;0),MIN(PL18,DA18),0)</f>
        <v>0</v>
      </c>
      <c r="PN18" s="20" t="n">
        <f aca="false">PL18-PM18</f>
        <v>0</v>
      </c>
      <c r="PO18" s="20" t="n">
        <f aca="false">IF(AND(HU18=0,CP18=1,PN18&gt;0),MIN(PN18,CQ18),0)</f>
        <v>0</v>
      </c>
      <c r="PP18" s="20" t="n">
        <f aca="false">PN18-PO18</f>
        <v>0</v>
      </c>
      <c r="PQ18" s="20" t="n">
        <f aca="false">IF(AND(HU18=0,CF18=1,PP18&gt;0),MIN(PP18,CG18),0)</f>
        <v>0</v>
      </c>
      <c r="PR18" s="20" t="n">
        <f aca="false">PP18-PQ18</f>
        <v>0</v>
      </c>
      <c r="PS18" s="20" t="n">
        <f aca="false">IF(AND(HU18=0,BV18=1,PR18&gt;0),MIN(PR18,BW18),0)</f>
        <v>0</v>
      </c>
      <c r="PT18" s="20" t="n">
        <f aca="false">PR18-PS18</f>
        <v>0</v>
      </c>
      <c r="PU18" s="20" t="n">
        <f aca="false">IF(AND(HU18=0,BL18=1,PT18&gt;0),MIN(PT18,BM18),0)</f>
        <v>0</v>
      </c>
      <c r="PV18" s="20" t="n">
        <f aca="false">PT18-PU18</f>
        <v>0</v>
      </c>
      <c r="PW18" s="20" t="n">
        <f aca="false">IF(AND(HU18=0,BB18=1,PV18&gt;0),MIN(PV18,BC18),0)</f>
        <v>0</v>
      </c>
      <c r="PX18" s="20" t="n">
        <f aca="false">PV18-PW18</f>
        <v>0</v>
      </c>
      <c r="PY18" s="20" t="n">
        <f aca="false">IF(AND(HU18=0,AR18=1,PX18&gt;0),MIN(PX18,AS18),0)</f>
        <v>0</v>
      </c>
      <c r="PZ18" s="20" t="n">
        <f aca="false">PX18-PY18</f>
        <v>0</v>
      </c>
      <c r="QA18" s="20" t="n">
        <f aca="false">IF(AND(HU18=0,AH18=1,PZ18&gt;0),MIN(PZ18,AI18),0)</f>
        <v>0</v>
      </c>
      <c r="QB18" s="20" t="n">
        <f aca="false">PZ18-QA18</f>
        <v>0</v>
      </c>
      <c r="QC18" s="20" t="n">
        <f aca="false">IF(AND(HU18=0,W18=1,QB18&gt;0),MIN(QB18,X18),0)</f>
        <v>0</v>
      </c>
      <c r="QD18" s="20" t="n">
        <f aca="false">QB18-QC18</f>
        <v>0</v>
      </c>
      <c r="QE18" s="20" t="n">
        <f aca="false">IF(HU18=0,QD18,0)</f>
        <v>0</v>
      </c>
      <c r="QF18" s="20" t="n">
        <f aca="false">OM18+OO18+QC18+QA18+PY18+PW18+PU18+PS18+PQ18+PO18+PM18+PK18+PI18+PG18+PE18+PC18+PA18+OY18+OW18+OU18+OS18+OQ18</f>
        <v>0</v>
      </c>
      <c r="QG18" s="20" t="n">
        <f aca="false">IF(HU18=1,HK18+OJ18+OI18+IF(G18=1,0,OK18),HK18-OM18)</f>
        <v>1366.69230072421</v>
      </c>
      <c r="QH18" s="20" t="n">
        <f aca="false">HL18-OO18</f>
        <v>12321.2216905372</v>
      </c>
      <c r="QI18" s="20" t="n">
        <f aca="false">IF(HU18=1,IF(G18=1,ID18+IE18,HS18),0)</f>
        <v>6088.01455303569</v>
      </c>
      <c r="QJ18" s="20" t="n">
        <f aca="false">IF(HU18=1,IF(G18=1,HS18-ID18-IE18,0),0)</f>
        <v>6088.01455303569</v>
      </c>
      <c r="QK18" s="57" t="n">
        <f aca="false">'Plan holdings'!BM18</f>
        <v>1396.75953134014</v>
      </c>
      <c r="QL18" s="20" t="n">
        <f aca="false">QH18*(1+AS_Cash)</f>
        <v>12444.4339074426</v>
      </c>
      <c r="QM18" s="20" t="n">
        <f aca="false">IF(W18=1,IF(HU18=1,II18+IL18,X18-QC18)*(1+Slot1_Rate),0)</f>
        <v>0</v>
      </c>
      <c r="QN18" s="20" t="n">
        <f aca="false">IF(AND(HU18=1,W18=1),(IH18+IL18)/F18,0)</f>
        <v>0</v>
      </c>
      <c r="QO18" s="20" t="n">
        <f aca="false">IF(B18=0,IH18+IL18,0)</f>
        <v>0</v>
      </c>
      <c r="QP18" s="20" t="n">
        <f aca="false">IF(B18=0,IF(HU18=1,IJ18,IK18),0)</f>
        <v>0</v>
      </c>
      <c r="QQ18" s="20" t="n">
        <f aca="false">IF(AH18=1,IF(HU18=1,IQ18+IT18,AI18-QA18)*(1+Slot2_Rate),0)</f>
        <v>0</v>
      </c>
      <c r="QR18" s="20" t="n">
        <f aca="false">IF(AND(HU18=1,AH18=1),(IP18+IT18)/F18,0)</f>
        <v>0</v>
      </c>
      <c r="QS18" s="20" t="n">
        <f aca="false">IF(B18=0,IP18+IT18,0)</f>
        <v>0</v>
      </c>
      <c r="QT18" s="20" t="n">
        <f aca="false">IF(B18=0,IF(HU18=1,IR18,IS18),0)</f>
        <v>0</v>
      </c>
      <c r="QU18" s="20" t="n">
        <f aca="false">IF(AR18=1,IF(HU18=1,IY18+JB18,AS18-PY18)*(1+Slot3_Rate),0)</f>
        <v>0</v>
      </c>
      <c r="QV18" s="20" t="n">
        <f aca="false">IF(AND(HU18=1,AR18=1),(IX18+JB18)/F18,0)</f>
        <v>0</v>
      </c>
      <c r="QW18" s="20" t="n">
        <f aca="false">IF(B18=0,IX18+JB18,0)</f>
        <v>0</v>
      </c>
      <c r="QX18" s="20" t="n">
        <f aca="false">IF(B18=0,IF(HU18=1,IZ18,JA18),0)</f>
        <v>0</v>
      </c>
      <c r="QY18" s="20" t="n">
        <f aca="false">IF(BB18=1,IF(HU18=1,JG18+JJ18,BC18-PW18)*(1+Slot4_Rate),0)</f>
        <v>4844.07663087158</v>
      </c>
      <c r="QZ18" s="20" t="n">
        <f aca="false">IF(AND(HU18=1,BB18=1),(JF18+JJ18)/F18,0)</f>
        <v>3873.12868284646</v>
      </c>
      <c r="RA18" s="20" t="n">
        <f aca="false">IF(B18=0,JF18+JJ18,0)</f>
        <v>0</v>
      </c>
      <c r="RB18" s="20" t="n">
        <f aca="false">IF(B18=0,IF(HU18=1,JH18,JI18),0)</f>
        <v>0</v>
      </c>
      <c r="RC18" s="20" t="n">
        <f aca="false">IF(BL18=1,IF(HU18=1,JO18+JR18,BM18-PU18)*(1+Slot5_Rate),0)</f>
        <v>0</v>
      </c>
      <c r="RD18" s="20" t="n">
        <f aca="false">IF(AND(HU18=1,BL18=1),(JN18+JR18)/F18,0)</f>
        <v>0</v>
      </c>
      <c r="RE18" s="20" t="n">
        <f aca="false">IF(B18=0,JN18+JR18,0)</f>
        <v>0</v>
      </c>
      <c r="RF18" s="20" t="n">
        <f aca="false">IF(B18=0,IF(HU18=1,JP18,JQ18),0)</f>
        <v>0</v>
      </c>
      <c r="RG18" s="20" t="n">
        <f aca="false">IF(BV18=1,IF(HU18=1,JW18+JZ18,BW18-PS18)*(1+Slot6_Rate),0)</f>
        <v>0</v>
      </c>
      <c r="RH18" s="20" t="n">
        <f aca="false">IF(AND(HU18=1,BV18=1),(JV18+JZ18)/F18,0)</f>
        <v>0</v>
      </c>
      <c r="RI18" s="20" t="n">
        <f aca="false">IF(B18=0,JV18+JZ18,0)</f>
        <v>0</v>
      </c>
      <c r="RJ18" s="20" t="n">
        <f aca="false">IF(B18=0,IF(HU18=1,JX18,JY18),0)</f>
        <v>0</v>
      </c>
      <c r="RK18" s="20" t="n">
        <f aca="false">IF(CF18=1,IF(HU18=1,KE18+KH18,CG18-PQ18)*(1+Slot7_Rate),0)</f>
        <v>0</v>
      </c>
      <c r="RL18" s="20" t="n">
        <f aca="false">IF(AND(HU18=1,CF18=1),(KD18+KH18)/F18,0)</f>
        <v>0</v>
      </c>
      <c r="RM18" s="20" t="n">
        <f aca="false">IF(B18=0,KD18+KH18,0)</f>
        <v>0</v>
      </c>
      <c r="RN18" s="20" t="n">
        <f aca="false">IF(B18=0,IF(HU18=1,KF18,KG18),0)</f>
        <v>0</v>
      </c>
      <c r="RO18" s="20" t="n">
        <f aca="false">IF(CP18=1,IF(HU18=1,KM18+KP18,CQ18-PO18)*(1+Slot8_Rate),0)</f>
        <v>0</v>
      </c>
      <c r="RP18" s="20" t="n">
        <f aca="false">IF(AND(HU18=1,CP18=1),(KL18+KP18)/F18,0)</f>
        <v>0</v>
      </c>
      <c r="RQ18" s="20" t="n">
        <f aca="false">IF(B18=0,KL18+KP18,0)</f>
        <v>0</v>
      </c>
      <c r="RR18" s="20" t="n">
        <f aca="false">IF(B18=0,IF(HU18=1,KN18,KO18),0)</f>
        <v>0</v>
      </c>
      <c r="RS18" s="20" t="n">
        <f aca="false">IF(CZ18=1,IF(HU18=1,KU18+KX18,DA18-PM18)*(1+Slot9_Rate),0)</f>
        <v>0</v>
      </c>
      <c r="RT18" s="20" t="n">
        <f aca="false">IF(AND(HU18=1,CZ18=1),(KT18+KX18)/F18,0)</f>
        <v>0</v>
      </c>
      <c r="RU18" s="20" t="n">
        <f aca="false">IF(B18=0,KT18+KX18,0)</f>
        <v>0</v>
      </c>
      <c r="RV18" s="20" t="n">
        <f aca="false">IF(B18=0,IF(HU18=1,KV18,KW18),0)</f>
        <v>0</v>
      </c>
      <c r="RW18" s="20" t="n">
        <f aca="false">IF(DJ18=1,IF(HU18=1,LC18+LF18,DK18-PK18)*(1+Slot10_Rate),0)</f>
        <v>0</v>
      </c>
      <c r="RX18" s="20" t="n">
        <f aca="false">IF(AND(HU18=1,DJ18=1),(LB18+LF18)/F18,0)</f>
        <v>0</v>
      </c>
      <c r="RY18" s="20" t="n">
        <f aca="false">IF(B18=0,LB18+LF18,0)</f>
        <v>0</v>
      </c>
      <c r="RZ18" s="20" t="n">
        <f aca="false">IF(B18=0,IF(HU18=1,LD18,LE18),0)</f>
        <v>0</v>
      </c>
      <c r="SA18" s="20" t="n">
        <f aca="false">IF(DT18=1,IF(HU18=1,LK18+LN18,DU18-PI18)*(1+Slot11_Rate),0)</f>
        <v>0</v>
      </c>
      <c r="SB18" s="20" t="n">
        <f aca="false">IF(AND(HU18=1,DT18=1),(LJ18+LN18)/F18,0)</f>
        <v>0</v>
      </c>
      <c r="SC18" s="20" t="n">
        <f aca="false">IF(B18=0,LJ18+LN18,0)</f>
        <v>0</v>
      </c>
      <c r="SD18" s="20" t="n">
        <f aca="false">IF(B18=0,IF(HU18=1,LL18,LM18),0)</f>
        <v>0</v>
      </c>
      <c r="SE18" s="20" t="n">
        <f aca="false">IF(ED18=1,IF(HU18=1,LS18+LV18,EE18-PG18)*(1+Slot12_Rate),0)</f>
        <v>0</v>
      </c>
      <c r="SF18" s="20" t="n">
        <f aca="false">IF(AND(HU18=1,ED18=1),(LR18+LV18)/F18,0)</f>
        <v>0</v>
      </c>
      <c r="SG18" s="20" t="n">
        <f aca="false">IF(B18=0,LR18+LV18,0)</f>
        <v>0</v>
      </c>
      <c r="SH18" s="20" t="n">
        <f aca="false">IF(B18=0,IF(HU18=1,LT18,LU18),0)</f>
        <v>0</v>
      </c>
      <c r="SI18" s="20" t="n">
        <f aca="false">IF(EN18=1,IF(HU18=1,MA18+MD18,EO18-PE18)*(1+Slot13_Rate),0)</f>
        <v>0</v>
      </c>
      <c r="SJ18" s="20" t="n">
        <f aca="false">IF(AND(HU18=1,EN18=1),(LZ18+MD18)/F18,0)</f>
        <v>0</v>
      </c>
      <c r="SK18" s="20" t="n">
        <f aca="false">IF(B18=0,LZ18+MD18,0)</f>
        <v>0</v>
      </c>
      <c r="SL18" s="20" t="n">
        <f aca="false">IF(B18=0,IF(HU18=1,MB18,MC18),0)</f>
        <v>0</v>
      </c>
      <c r="SM18" s="20" t="n">
        <f aca="false">IF(EX18=1,IF(HU18=1,MI18+ML18,EY18-PC18)*(1+Slot14_Rate),0)</f>
        <v>0</v>
      </c>
      <c r="SN18" s="20" t="n">
        <f aca="false">IF(AND(HU18=1,EX18=1),(MH18+ML18)/F18,0)</f>
        <v>0</v>
      </c>
      <c r="SO18" s="20" t="n">
        <f aca="false">IF(B18=0,MH18+ML18,0)</f>
        <v>0</v>
      </c>
      <c r="SP18" s="20" t="n">
        <f aca="false">IF(B18=0,IF(HU18=1,MJ18,MK18),0)</f>
        <v>0</v>
      </c>
      <c r="SQ18" s="20" t="n">
        <f aca="false">IF(FH18=1,IF(HU18=1,MQ18+MT18,FI18-PA18)*(1+Slot15_Rate),0)</f>
        <v>0</v>
      </c>
      <c r="SR18" s="20" t="n">
        <f aca="false">IF(AND(HU18=1,FH18=1),(MP18+MT18)/F18,0)</f>
        <v>0</v>
      </c>
      <c r="SS18" s="20" t="n">
        <f aca="false">IF(B18=0,MP18+MT18,0)</f>
        <v>0</v>
      </c>
      <c r="ST18" s="20" t="n">
        <f aca="false">IF(B18=0,IF(HU18=1,MR18,MS18),0)</f>
        <v>0</v>
      </c>
      <c r="SU18" s="20" t="n">
        <f aca="false">IF(FR18=1,IF(HU18=1,MY18+NB18,FS18-OY18)*(1+Slot16_Rate),0)</f>
        <v>0</v>
      </c>
      <c r="SV18" s="20" t="n">
        <f aca="false">IF(AND(HU18=1,FR18=1),(MX18+NB18)/F18,0)</f>
        <v>0</v>
      </c>
      <c r="SW18" s="20" t="n">
        <f aca="false">IF(B18=0,MX18+NB18,0)</f>
        <v>0</v>
      </c>
      <c r="SX18" s="20" t="n">
        <f aca="false">IF(B18=0,IF(HU18=1,MZ18,NA18),0)</f>
        <v>0</v>
      </c>
      <c r="SY18" s="20" t="n">
        <f aca="false">IF(GB18=1,IF(HU18=1,NG18+NJ18,GC18-OW18)*(1+Slot17_Rate),0)</f>
        <v>0</v>
      </c>
      <c r="SZ18" s="20" t="n">
        <f aca="false">IF(AND(HU18=1,GB18=1),(NF18+NJ18)/F18,0)</f>
        <v>0</v>
      </c>
      <c r="TA18" s="20" t="n">
        <f aca="false">IF(B18=0,NF18+NJ18,0)</f>
        <v>0</v>
      </c>
      <c r="TB18" s="20" t="n">
        <f aca="false">IF(B18=0,IF(HU18=1,NH18,NI18),0)</f>
        <v>0</v>
      </c>
      <c r="TC18" s="20" t="n">
        <f aca="false">IF(GL18=1,IF(HU18=1,NO18+NR18,GM18-OU18)*(1+Slot18_Rate),0)</f>
        <v>0</v>
      </c>
      <c r="TD18" s="20" t="n">
        <f aca="false">IF(AND(HU18=1,GL18=1),(NN18+NR18)/F18,0)</f>
        <v>0</v>
      </c>
      <c r="TE18" s="20" t="n">
        <f aca="false">IF(B18=0,NN18+NR18,0)</f>
        <v>0</v>
      </c>
      <c r="TF18" s="20" t="n">
        <f aca="false">IF(B18=0,IF(HU18=1,NP18,NQ18),0)</f>
        <v>0</v>
      </c>
      <c r="TG18" s="20" t="n">
        <f aca="false">IF(GV18=1,IF(HU18=1,NW18+NZ18,GW18-OS18)*(1+Slot19_Rate),0)</f>
        <v>0</v>
      </c>
      <c r="TH18" s="20" t="n">
        <f aca="false">IF(AND(HU18=1,GV18=1),(NV18+NZ18)/F18,0)</f>
        <v>0</v>
      </c>
      <c r="TI18" s="20" t="n">
        <f aca="false">IF(B18=0,NV18+NZ18,0)</f>
        <v>0</v>
      </c>
      <c r="TJ18" s="20" t="n">
        <f aca="false">IF(B18=0,IF(HU18=1,NX18,NY18),0)</f>
        <v>0</v>
      </c>
      <c r="TK18" s="20" t="n">
        <f aca="false">IF(HF18=1,IF(HU18=1,OE18+OH18,HG18-OQ18)*(1+Slot20_Rate),0)</f>
        <v>0</v>
      </c>
      <c r="TL18" s="20" t="n">
        <f aca="false">IF(AND(HU18=1,HF18=1),(OD18+OH18)/F18,0)</f>
        <v>0</v>
      </c>
      <c r="TM18" s="20" t="n">
        <f aca="false">IF(B18=0,OD18+OH18,0)</f>
        <v>0</v>
      </c>
      <c r="TN18" s="20" t="n">
        <f aca="false">IF(B18=0,IF(HU18=1,OF18,OG18),0)</f>
        <v>0</v>
      </c>
      <c r="TO18" s="20" t="n">
        <f aca="false">QK18+QL18+QM18+QQ18+QU18+QY18+RC18+RG18+RK18+RO18+RS18+RW18+SA18+SE18+SI18+SM18+SQ18+SU18+SY18+TC18+TG18+TK18</f>
        <v>18685.2700696543</v>
      </c>
      <c r="TP18" s="20" t="n">
        <f aca="false">QE18+HP18</f>
        <v>30022.5998236644</v>
      </c>
      <c r="TQ18" s="20" t="n">
        <f aca="false">I18+S18</f>
        <v>69014.7488997641</v>
      </c>
      <c r="TR18" s="20" t="n">
        <f aca="false">1-G18</f>
        <v>0</v>
      </c>
      <c r="TS18" s="20" t="n">
        <f aca="false">IF(AND(RG_Exists=1,G18=0,C18=1),I18,0)</f>
        <v>0</v>
      </c>
      <c r="TT18" s="20" t="n">
        <f aca="false">IF(AND(RG_Exists=1,G18=0,C18=1),I18-MIN(QE18,I18),0)</f>
        <v>0</v>
      </c>
      <c r="TU18" s="20" t="n">
        <f aca="false">'Plan pay &amp; tax'!AD244</f>
        <v>216110.996085539</v>
      </c>
      <c r="TV18" s="20" t="n">
        <f aca="false">IF(AND(C18=1,QE18&gt;MAX(PR_Short1,TQ18*PR_Short2)),1,0)</f>
        <v>0</v>
      </c>
      <c r="TW18" s="20" t="n">
        <f aca="false">MIN(H18,I18+S18)</f>
        <v>69014.7488997641</v>
      </c>
      <c r="TX18" s="20" t="n">
        <f aca="false">QF18+MAX(0,HQ18-HP18)</f>
        <v>30927.1211760735</v>
      </c>
      <c r="TY18" s="20" t="n">
        <f aca="false">QE18+HP18</f>
        <v>30022.5998236644</v>
      </c>
      <c r="TZ18" s="20" t="n">
        <f aca="false">IF(AND(C18=1,TY18&gt;PR_MinShort),1,0)</f>
        <v>1</v>
      </c>
      <c r="UA18" s="20" t="n">
        <f aca="false">IF(AND(C18=1,TZ18=0,TX18&gt;PR_MinShort),1,0)</f>
        <v>0</v>
      </c>
      <c r="UB18" s="20" t="n">
        <f aca="false">IF(AND(C18=1,QE18&gt;PR_MinShort),1,0)</f>
        <v>0</v>
      </c>
      <c r="UC18" s="20" t="n">
        <f aca="false">IF(AND(C18=1,QF18&gt;1,UJ18=0),1,0)</f>
        <v>0</v>
      </c>
      <c r="UD18" s="20" t="str">
        <f aca="false">IF(C18=0,"",IF(UJ18=1,"Gap to plan for: short "&amp;"€"&amp;TEXT(ROUND(TP18,0),"#,##0"),IF(QF18&gt;1,"Using savings","Comfortable")))</f>
        <v>Gap to plan for: short €30,023</v>
      </c>
      <c r="UE18" s="20" t="n">
        <f aca="false">IF(AND(INT(D18/10)*10=90,B18&gt;0),80,INT(D18/10)*10)</f>
        <v>40</v>
      </c>
      <c r="UF18" s="20" t="n">
        <f aca="false">IF(B18=0,1,IF(UE18&lt;&gt;UE17,UF17+1,UF17))</f>
        <v>2</v>
      </c>
      <c r="UG18" s="20" t="n">
        <f aca="false">IF(AND(C18=1,G18=1,QE18&gt;MAX(PR_Short1,TQ18*PR_Short2)),1,0)</f>
        <v>0</v>
      </c>
      <c r="UH18" s="20" t="n">
        <f aca="false">TR18*TV18</f>
        <v>0</v>
      </c>
      <c r="UI18" s="20" t="n">
        <f aca="false">IF(AND(V18=1,Slot1_PctLow=1),1,0)+IF(AND(AG18=1,Slot2_PctLow=1),1,0)+IF(AND(AQ18=1,Slot3_PctLow=1),1,0)+IF(AND(BA18=1,Slot4_PctLow=1),1,0)+IF(AND(BK18=1,Slot5_PctLow=1),1,0)+IF(AND(BU18=1,Slot6_PctLow=1),1,0)+IF(AND(CE18=1,Slot7_PctLow=1),1,0)+IF(AND(CO18=1,Slot8_PctLow=1),1,0)+IF(AND(CY18=1,Slot9_PctLow=1),1,0)+IF(AND(DI18=1,Slot10_PctLow=1),1,0)+IF(AND(DS18=1,Slot11_PctLow=1),1,0)+IF(AND(EC18=1,Slot12_PctLow=1),1,0)+IF(AND(EM18=1,Slot13_PctLow=1),1,0)+IF(AND(EW18=1,Slot14_PctLow=1),1,0)+IF(AND(FG18=1,Slot15_PctLow=1),1,0)+IF(AND(FQ18=1,Slot16_PctLow=1),1,0)+IF(AND(GA18=1,Slot17_PctLow=1),1,0)+IF(AND(GK18=1,Slot18_PctLow=1),1,0)+IF(AND(GU18=1,Slot19_PctLow=1),1,0)+IF(AND(HE18=1,Slot20_PctLow=1),1,0)</f>
        <v>1</v>
      </c>
      <c r="UJ18" s="20" t="n">
        <f aca="false">IF(C18=1,IF(OR(TV18=1,UI18&gt;0),1,0),0)</f>
        <v>1</v>
      </c>
      <c r="UK18" s="20" t="n">
        <f aca="false">Z18+AK18+AU18+BE18+BO18+BY18+CI18+CS18+DC18+DM18+DW18+EG18+EQ18+FA18+FK18+FU18+GE18+GO18+GY18+HI18+OM18</f>
        <v>0</v>
      </c>
      <c r="UL18" s="20" t="n">
        <f aca="false">V18*IF(Slot1_SpendLike=1,X18-Y18,IF(Slot1_PotFree=1,X18,0))+AG18*IF(Slot2_SpendLike=1,AI18-AJ18,IF(Slot2_PotFree=1,AI18,0))+AQ18*IF(Slot3_SpendLike=1,AS18-AT18,IF(Slot3_PotFree=1,AS18,0))+BA18*IF(Slot4_SpendLike=1,BC18-BD18,IF(Slot4_PotFree=1,BC18,0))+BK18*IF(Slot5_SpendLike=1,BM18-BN18,IF(Slot5_PotFree=1,BM18,0))+BU18*IF(Slot6_SpendLike=1,BW18-BX18,IF(Slot6_PotFree=1,BW18,0))+CE18*IF(Slot7_SpendLike=1,CG18-CH18,IF(Slot7_PotFree=1,CG18,0))+CO18*IF(Slot8_SpendLike=1,CQ18-CR18,IF(Slot8_PotFree=1,CQ18,0))+CY18*IF(Slot9_SpendLike=1,DA18-DB18,IF(Slot9_PotFree=1,DA18,0))+DI18*IF(Slot10_SpendLike=1,DK18-DL18,IF(Slot10_PotFree=1,DK18,0))+DS18*IF(Slot11_SpendLike=1,DU18-DV18,IF(Slot11_PotFree=1,DU18,0))+EC18*IF(Slot12_SpendLike=1,EE18-EF18,IF(Slot12_PotFree=1,EE18,0))+EM18*IF(Slot13_SpendLike=1,EO18-EP18,IF(Slot13_PotFree=1,EO18,0))+EW18*IF(Slot14_SpendLike=1,EY18-EZ18,IF(Slot14_PotFree=1,EY18,0))+FG18*IF(Slot15_SpendLike=1,FI18-FJ18,IF(Slot15_PotFree=1,FI18,0))+FQ18*IF(Slot16_SpendLike=1,FS18-FT18,IF(Slot16_PotFree=1,FS18,0))+GA18*IF(Slot17_SpendLike=1,GC18-GD18,IF(Slot17_PotFree=1,GC18,0))+GK18*IF(Slot18_SpendLike=1,GM18-GN18,IF(Slot18_PotFree=1,GM18,0))+GU18*IF(Slot19_SpendLike=1,GW18-GX18,IF(Slot19_PotFree=1,GW18,0))+HE18*IF(Slot20_SpendLike=1,HG18-HH18,IF(Slot20_PotFree=1,HG18,0))</f>
        <v>0</v>
      </c>
      <c r="UM18" s="20" t="n">
        <f aca="false">QG18-T18+UK18-UL18</f>
        <v>1366.69230072421</v>
      </c>
      <c r="UN18" s="20" t="n">
        <f aca="false">IF(OR(UN17=1,AND(In_homeUse="Yes, I'd downsize",In_downAge&gt;0,D18=In_downAge,OR(In_home="Own outright",In_home="Own with mortgage"),In_homeValue&gt;0)),1,0)</f>
        <v>0</v>
      </c>
    </row>
    <row r="19" customFormat="false" ht="15" hidden="false" customHeight="true" outlineLevel="0" collapsed="false">
      <c r="B19" s="20" t="n">
        <v>11</v>
      </c>
      <c r="C19" s="20" t="n">
        <f aca="false">IF(B19&lt;=F_N,1,0)</f>
        <v>1</v>
      </c>
      <c r="D19" s="20" t="n">
        <f aca="false">'Plan pay &amp; tax'!C245</f>
        <v>49</v>
      </c>
      <c r="E19" s="20" t="str">
        <f aca="false">IF($C19=1,"Income tax "&amp;TEXT(N('Plan pay &amp; tax'!BK245),"#,##0")&amp;"; USC "&amp;TEXT(N('Plan pay &amp; tax'!BM245)+N('Plan pay &amp; tax'!BO245),"#,##0")&amp;"; PRSI "&amp;TEXT(N('Plan pay &amp; tax'!BP245)+N('Plan pay &amp; tax'!BQ245),"#,##0")&amp;IF(N('Plan holdings'!BO19)&gt;=0.5,"; DIRT "&amp;TEXT(('Plan holdings'!BO19)/$F19,"#,##0")&amp;" (already taken from the interest earned)","")&amp;IF(N('Plan holdings'!BP19)&gt;=0.5,"; exit tax at an 8-year anniversary "&amp;TEXT(('Plan holdings'!BP19)/$F19,"#,##0"),"")&amp;IF(N('Plan holdings'!BN19)&gt;=0.5,"; tax on assets sold (exit tax or capital gains tax) "&amp;TEXT(('Plan holdings'!BN19)/$F19,"#,##0"),"")&amp;IF(N('Plan pay &amp; tax'!X245)-N('Plan pay &amp; tax'!Y245)&gt;=0.5,"; tax on the pension lump sum "&amp;TEXT(('Plan pay &amp; tax'!X245-'Plan pay &amp; tax'!Y245)/$F19,"#,##0"),"")&amp;IF(N('Plan pay &amp; tax'!V245)&gt;=0.5,"; chargeable excess tax on the pension "&amp;TEXT(('Plan pay &amp; tax'!V245)/$F19,"#,##0"),"")&amp;".","")</f>
        <v>Income tax 12,537; USC 1,780; PRSI 4,186; DIRT 57 (already taken from the interest earned).</v>
      </c>
      <c r="F19" s="50" t="n">
        <f aca="false">'Plan pay &amp; tax'!E245</f>
        <v>1.24337430839465</v>
      </c>
      <c r="G19" s="20" t="n">
        <f aca="false">'Plan pay &amp; tax'!G245</f>
        <v>1</v>
      </c>
      <c r="H19" s="20" t="n">
        <f aca="false">'Plan pay &amp; tax'!BT245-'Plan pay &amp; tax'!BS245-'Plan pay &amp; tax'!R245</f>
        <v>83413.8190011741</v>
      </c>
      <c r="I19" s="20" t="n">
        <f aca="false">IF(G19=1,F_CostsM*12,IF(RG_Exists=1,RG_Amount,F_CostsM*12*AS_RetireSpend))*F19+F_OneOffY*F19</f>
        <v>55951.8438777594</v>
      </c>
      <c r="J19" s="20" t="n">
        <f aca="false">IF(UN19=1,0,HR18)</f>
        <v>117344.387280946</v>
      </c>
      <c r="K19" s="20" t="n">
        <f aca="false">IF(J19&gt;1,'Plan debt months'!AC19,0)</f>
        <v>14160</v>
      </c>
      <c r="L19" s="20" t="n">
        <f aca="false">IF(J19&gt;1,'Plan debt months'!AB19,J19)</f>
        <v>107530.167998736</v>
      </c>
      <c r="M19" s="20" t="n">
        <f aca="false">O18</f>
        <v>0</v>
      </c>
      <c r="N19" s="20" t="n">
        <f aca="false">IF(M19&gt;1,'Plan debt months'!BD19,0)</f>
        <v>0</v>
      </c>
      <c r="O19" s="20" t="n">
        <f aca="false">IF(M19&gt;1,'Plan debt months'!BC19,M19)</f>
        <v>0</v>
      </c>
      <c r="P19" s="20" t="n">
        <f aca="false">R18</f>
        <v>0</v>
      </c>
      <c r="Q19" s="20" t="n">
        <f aca="false">IF(P19&gt;1,'Plan debt months'!CE19,0)</f>
        <v>0</v>
      </c>
      <c r="R19" s="20" t="n">
        <f aca="false">IF(P19&gt;1,'Plan debt months'!CD19,P19)</f>
        <v>0</v>
      </c>
      <c r="S19" s="20" t="n">
        <f aca="false">K19+N19+Q19</f>
        <v>14160</v>
      </c>
      <c r="T19" s="57" t="n">
        <f aca="false">'Plan holdings'!Y19</f>
        <v>1388.45004215174</v>
      </c>
      <c r="U19" s="57" t="n">
        <f aca="false">'Plan holdings'!BM18</f>
        <v>1396.75953134014</v>
      </c>
      <c r="V19" s="20" t="n">
        <f aca="false">IF(AND(Slot1_On=1,D19=Slot1_Age),1,0)</f>
        <v>0</v>
      </c>
      <c r="W19" s="20" t="n">
        <f aca="false">IF(AND(Slot1_On=1,Slot1_Age&gt;D19),1,0)</f>
        <v>0</v>
      </c>
      <c r="X19" s="20" t="n">
        <f aca="false">QM18</f>
        <v>0</v>
      </c>
      <c r="Y19" s="20" t="n">
        <f aca="false">V19*MIN(Slot1_Cost,X19)</f>
        <v>0</v>
      </c>
      <c r="Z19" s="20" t="n">
        <f aca="false">V19*Slot1_SpendLike*MIN(Slot1_Cost-Y19,T19)</f>
        <v>0</v>
      </c>
      <c r="AA19" s="20" t="n">
        <f aca="false">Y19+Z19</f>
        <v>0</v>
      </c>
      <c r="AB19" s="20" t="n">
        <f aca="false">T19-Z19+V19*IF(Slot1_SpendLike=1,X19-Y19,IF(Slot1_PotFree=1,X19,0))</f>
        <v>1388.45004215174</v>
      </c>
      <c r="AC19" s="20" t="n">
        <f aca="false">AF19+V19*Slot1_BufPot*X19</f>
        <v>12444.4339074426</v>
      </c>
      <c r="AD19" s="20" t="n">
        <f aca="false">IF(AND(V19=1,Slot1_IsMfree=1),IF(AA19&gt;=Slot1_Cost-1,0,MAX(0,L19-AA19)),L19)</f>
        <v>107530.167998736</v>
      </c>
      <c r="AE19" s="20" t="n">
        <f aca="false">V19*(Slot1_Cost-AA19)</f>
        <v>0</v>
      </c>
      <c r="AF19" s="20" t="n">
        <f aca="false">QL18</f>
        <v>12444.4339074426</v>
      </c>
      <c r="AG19" s="20" t="n">
        <f aca="false">IF(AND(Slot2_On=1,D19=Slot2_Age),1,0)</f>
        <v>0</v>
      </c>
      <c r="AH19" s="20" t="n">
        <f aca="false">IF(AND(Slot2_On=1,Slot2_Age&gt;D19),1,0)</f>
        <v>0</v>
      </c>
      <c r="AI19" s="20" t="n">
        <f aca="false">QQ18</f>
        <v>0</v>
      </c>
      <c r="AJ19" s="20" t="n">
        <f aca="false">AG19*MIN(Slot2_Cost,AI19)</f>
        <v>0</v>
      </c>
      <c r="AK19" s="20" t="n">
        <f aca="false">AG19*Slot2_SpendLike*MIN(Slot2_Cost-AJ19,AB19)</f>
        <v>0</v>
      </c>
      <c r="AL19" s="20" t="n">
        <f aca="false">AJ19+AK19</f>
        <v>0</v>
      </c>
      <c r="AM19" s="20" t="n">
        <f aca="false">AB19-AK19+AG19*IF(Slot2_SpendLike=1,AI19-AJ19,IF(Slot2_PotFree=1,AI19,0))</f>
        <v>1388.45004215174</v>
      </c>
      <c r="AN19" s="20" t="n">
        <f aca="false">AC19+AG19*Slot2_BufPot*AI19</f>
        <v>12444.4339074426</v>
      </c>
      <c r="AO19" s="20" t="n">
        <f aca="false">IF(AND(AG19=1,Slot2_IsMfree=1),IF(AL19&gt;=Slot2_Cost-1,0,MAX(0,AD19-AL19)),AD19)</f>
        <v>107530.167998736</v>
      </c>
      <c r="AP19" s="20" t="n">
        <f aca="false">AG19*(Slot2_Cost-AL19)</f>
        <v>0</v>
      </c>
      <c r="AQ19" s="20" t="n">
        <f aca="false">IF(AND(Slot3_On=1,D19=Slot3_Age),1,0)</f>
        <v>0</v>
      </c>
      <c r="AR19" s="20" t="n">
        <f aca="false">IF(AND(Slot3_On=1,Slot3_Age&gt;D19),1,0)</f>
        <v>0</v>
      </c>
      <c r="AS19" s="20" t="n">
        <f aca="false">QU18</f>
        <v>0</v>
      </c>
      <c r="AT19" s="20" t="n">
        <f aca="false">AQ19*MIN(Slot3_Cost,AS19)</f>
        <v>0</v>
      </c>
      <c r="AU19" s="20" t="n">
        <f aca="false">AQ19*Slot3_SpendLike*MIN(Slot3_Cost-AT19,AM19)</f>
        <v>0</v>
      </c>
      <c r="AV19" s="20" t="n">
        <f aca="false">AT19+AU19</f>
        <v>0</v>
      </c>
      <c r="AW19" s="20" t="n">
        <f aca="false">AM19-AU19+AQ19*IF(Slot3_SpendLike=1,AS19-AT19,IF(Slot3_PotFree=1,AS19,0))</f>
        <v>1388.45004215174</v>
      </c>
      <c r="AX19" s="20" t="n">
        <f aca="false">AN19+AQ19*Slot3_BufPot*AS19</f>
        <v>12444.4339074426</v>
      </c>
      <c r="AY19" s="20" t="n">
        <f aca="false">IF(AND(AQ19=1,Slot3_IsMfree=1),IF(AV19&gt;=Slot3_Cost-1,0,MAX(0,AO19-AV19)),AO19)</f>
        <v>107530.167998736</v>
      </c>
      <c r="AZ19" s="20" t="n">
        <f aca="false">AQ19*(Slot3_Cost-AV19)</f>
        <v>0</v>
      </c>
      <c r="BA19" s="20" t="n">
        <f aca="false">IF(AND(Slot4_On=1,D19=Slot4_Age),1,0)</f>
        <v>0</v>
      </c>
      <c r="BB19" s="20" t="n">
        <f aca="false">IF(AND(Slot4_On=1,Slot4_Age&gt;D19),1,0)</f>
        <v>1</v>
      </c>
      <c r="BC19" s="20" t="n">
        <f aca="false">QY18</f>
        <v>4844.07663087158</v>
      </c>
      <c r="BD19" s="20" t="n">
        <f aca="false">BA19*MIN(Slot4_Cost,BC19)</f>
        <v>0</v>
      </c>
      <c r="BE19" s="20" t="n">
        <f aca="false">BA19*Slot4_SpendLike*MIN(Slot4_Cost-BD19,AW19)</f>
        <v>0</v>
      </c>
      <c r="BF19" s="20" t="n">
        <f aca="false">BD19+BE19</f>
        <v>0</v>
      </c>
      <c r="BG19" s="20" t="n">
        <f aca="false">AW19-BE19+BA19*IF(Slot4_SpendLike=1,BC19-BD19,IF(Slot4_PotFree=1,BC19,0))</f>
        <v>1388.45004215174</v>
      </c>
      <c r="BH19" s="20" t="n">
        <f aca="false">AX19+BA19*Slot4_BufPot*BC19</f>
        <v>12444.4339074426</v>
      </c>
      <c r="BI19" s="20" t="n">
        <f aca="false">IF(AND(BA19=1,Slot4_IsMfree=1),IF(BF19&gt;=Slot4_Cost-1,0,MAX(0,AY19-BF19)),AY19)</f>
        <v>107530.167998736</v>
      </c>
      <c r="BJ19" s="20" t="n">
        <f aca="false">BA19*(Slot4_Cost-BF19)</f>
        <v>0</v>
      </c>
      <c r="BK19" s="20" t="n">
        <f aca="false">IF(AND(Slot5_On=1,D19=Slot5_Age),1,0)</f>
        <v>0</v>
      </c>
      <c r="BL19" s="20" t="n">
        <f aca="false">IF(AND(Slot5_On=1,Slot5_Age&gt;D19),1,0)</f>
        <v>0</v>
      </c>
      <c r="BM19" s="20" t="n">
        <f aca="false">RC18</f>
        <v>0</v>
      </c>
      <c r="BN19" s="20" t="n">
        <f aca="false">BK19*MIN(Slot5_Cost,BM19)</f>
        <v>0</v>
      </c>
      <c r="BO19" s="20" t="n">
        <f aca="false">BK19*Slot5_SpendLike*MIN(Slot5_Cost-BN19,BG19)</f>
        <v>0</v>
      </c>
      <c r="BP19" s="20" t="n">
        <f aca="false">BN19+BO19</f>
        <v>0</v>
      </c>
      <c r="BQ19" s="20" t="n">
        <f aca="false">BG19-BO19+BK19*IF(Slot5_SpendLike=1,BM19-BN19,IF(Slot5_PotFree=1,BM19,0))</f>
        <v>1388.45004215174</v>
      </c>
      <c r="BR19" s="20" t="n">
        <f aca="false">BH19+BK19*Slot5_BufPot*BM19</f>
        <v>12444.4339074426</v>
      </c>
      <c r="BS19" s="20" t="n">
        <f aca="false">IF(AND(BK19=1,Slot5_IsMfree=1),IF(BP19&gt;=Slot5_Cost-1,0,MAX(0,BI19-BP19)),BI19)</f>
        <v>107530.167998736</v>
      </c>
      <c r="BT19" s="20" t="n">
        <f aca="false">BK19*(Slot5_Cost-BP19)</f>
        <v>0</v>
      </c>
      <c r="BU19" s="20" t="n">
        <f aca="false">IF(AND(Slot6_On=1,D19=Slot6_Age),1,0)</f>
        <v>0</v>
      </c>
      <c r="BV19" s="20" t="n">
        <f aca="false">IF(AND(Slot6_On=1,Slot6_Age&gt;D19),1,0)</f>
        <v>0</v>
      </c>
      <c r="BW19" s="20" t="n">
        <f aca="false">RG18</f>
        <v>0</v>
      </c>
      <c r="BX19" s="20" t="n">
        <f aca="false">BU19*MIN(Slot6_Cost,BW19)</f>
        <v>0</v>
      </c>
      <c r="BY19" s="20" t="n">
        <f aca="false">BU19*Slot6_SpendLike*MIN(Slot6_Cost-BX19,BQ19)</f>
        <v>0</v>
      </c>
      <c r="BZ19" s="20" t="n">
        <f aca="false">BX19+BY19</f>
        <v>0</v>
      </c>
      <c r="CA19" s="20" t="n">
        <f aca="false">BQ19-BY19+BU19*IF(Slot6_SpendLike=1,BW19-BX19,IF(Slot6_PotFree=1,BW19,0))</f>
        <v>1388.45004215174</v>
      </c>
      <c r="CB19" s="20" t="n">
        <f aca="false">BR19+BU19*Slot6_BufPot*BW19</f>
        <v>12444.4339074426</v>
      </c>
      <c r="CC19" s="20" t="n">
        <f aca="false">IF(AND(BU19=1,Slot6_IsMfree=1),IF(BZ19&gt;=Slot6_Cost-1,0,MAX(0,BS19-BZ19)),BS19)</f>
        <v>107530.167998736</v>
      </c>
      <c r="CD19" s="20" t="n">
        <f aca="false">BU19*(Slot6_Cost-BZ19)</f>
        <v>0</v>
      </c>
      <c r="CE19" s="20" t="n">
        <f aca="false">IF(AND(Slot7_On=1,D19=Slot7_Age),1,0)</f>
        <v>0</v>
      </c>
      <c r="CF19" s="20" t="n">
        <f aca="false">IF(AND(Slot7_On=1,Slot7_Age&gt;D19),1,0)</f>
        <v>0</v>
      </c>
      <c r="CG19" s="20" t="n">
        <f aca="false">RK18</f>
        <v>0</v>
      </c>
      <c r="CH19" s="20" t="n">
        <f aca="false">CE19*MIN(Slot7_Cost,CG19)</f>
        <v>0</v>
      </c>
      <c r="CI19" s="20" t="n">
        <f aca="false">CE19*Slot7_SpendLike*MIN(Slot7_Cost-CH19,CA19)</f>
        <v>0</v>
      </c>
      <c r="CJ19" s="20" t="n">
        <f aca="false">CH19+CI19</f>
        <v>0</v>
      </c>
      <c r="CK19" s="20" t="n">
        <f aca="false">CA19-CI19+CE19*IF(Slot7_SpendLike=1,CG19-CH19,IF(Slot7_PotFree=1,CG19,0))</f>
        <v>1388.45004215174</v>
      </c>
      <c r="CL19" s="20" t="n">
        <f aca="false">CB19+CE19*Slot7_BufPot*CG19</f>
        <v>12444.4339074426</v>
      </c>
      <c r="CM19" s="20" t="n">
        <f aca="false">IF(AND(CE19=1,Slot7_IsMfree=1),IF(CJ19&gt;=Slot7_Cost-1,0,MAX(0,CC19-CJ19)),CC19)</f>
        <v>107530.167998736</v>
      </c>
      <c r="CN19" s="20" t="n">
        <f aca="false">CE19*(Slot7_Cost-CJ19)</f>
        <v>0</v>
      </c>
      <c r="CO19" s="20" t="n">
        <f aca="false">IF(AND(Slot8_On=1,D19=Slot8_Age),1,0)</f>
        <v>0</v>
      </c>
      <c r="CP19" s="20" t="n">
        <f aca="false">IF(AND(Slot8_On=1,Slot8_Age&gt;D19),1,0)</f>
        <v>0</v>
      </c>
      <c r="CQ19" s="20" t="n">
        <f aca="false">RO18</f>
        <v>0</v>
      </c>
      <c r="CR19" s="20" t="n">
        <f aca="false">CO19*MIN(Slot8_Cost,CQ19)</f>
        <v>0</v>
      </c>
      <c r="CS19" s="20" t="n">
        <f aca="false">CO19*Slot8_SpendLike*MIN(Slot8_Cost-CR19,CK19)</f>
        <v>0</v>
      </c>
      <c r="CT19" s="20" t="n">
        <f aca="false">CR19+CS19</f>
        <v>0</v>
      </c>
      <c r="CU19" s="20" t="n">
        <f aca="false">CK19-CS19+CO19*IF(Slot8_SpendLike=1,CQ19-CR19,IF(Slot8_PotFree=1,CQ19,0))</f>
        <v>1388.45004215174</v>
      </c>
      <c r="CV19" s="20" t="n">
        <f aca="false">CL19+CO19*Slot8_BufPot*CQ19</f>
        <v>12444.4339074426</v>
      </c>
      <c r="CW19" s="20" t="n">
        <f aca="false">IF(AND(CO19=1,Slot8_IsMfree=1),IF(CT19&gt;=Slot8_Cost-1,0,MAX(0,CM19-CT19)),CM19)</f>
        <v>107530.167998736</v>
      </c>
      <c r="CX19" s="20" t="n">
        <f aca="false">CO19*(Slot8_Cost-CT19)</f>
        <v>0</v>
      </c>
      <c r="CY19" s="20" t="n">
        <f aca="false">IF(AND(Slot9_On=1,D19=Slot9_Age),1,0)</f>
        <v>0</v>
      </c>
      <c r="CZ19" s="20" t="n">
        <f aca="false">IF(AND(Slot9_On=1,Slot9_Age&gt;D19),1,0)</f>
        <v>0</v>
      </c>
      <c r="DA19" s="20" t="n">
        <f aca="false">RS18</f>
        <v>0</v>
      </c>
      <c r="DB19" s="20" t="n">
        <f aca="false">CY19*MIN(Slot9_Cost,DA19)</f>
        <v>0</v>
      </c>
      <c r="DC19" s="20" t="n">
        <f aca="false">CY19*Slot9_SpendLike*MIN(Slot9_Cost-DB19,CU19)</f>
        <v>0</v>
      </c>
      <c r="DD19" s="20" t="n">
        <f aca="false">DB19+DC19</f>
        <v>0</v>
      </c>
      <c r="DE19" s="20" t="n">
        <f aca="false">CU19-DC19+CY19*IF(Slot9_SpendLike=1,DA19-DB19,IF(Slot9_PotFree=1,DA19,0))</f>
        <v>1388.45004215174</v>
      </c>
      <c r="DF19" s="20" t="n">
        <f aca="false">CV19+CY19*Slot9_BufPot*DA19</f>
        <v>12444.4339074426</v>
      </c>
      <c r="DG19" s="20" t="n">
        <f aca="false">IF(AND(CY19=1,Slot9_IsMfree=1),IF(DD19&gt;=Slot9_Cost-1,0,MAX(0,CW19-DD19)),CW19)</f>
        <v>107530.167998736</v>
      </c>
      <c r="DH19" s="20" t="n">
        <f aca="false">CY19*(Slot9_Cost-DD19)</f>
        <v>0</v>
      </c>
      <c r="DI19" s="20" t="n">
        <f aca="false">IF(AND(Slot10_On=1,D19=Slot10_Age),1,0)</f>
        <v>0</v>
      </c>
      <c r="DJ19" s="20" t="n">
        <f aca="false">IF(AND(Slot10_On=1,Slot10_Age&gt;D19),1,0)</f>
        <v>0</v>
      </c>
      <c r="DK19" s="20" t="n">
        <f aca="false">RW18</f>
        <v>0</v>
      </c>
      <c r="DL19" s="20" t="n">
        <f aca="false">DI19*MIN(Slot10_Cost,DK19)</f>
        <v>0</v>
      </c>
      <c r="DM19" s="20" t="n">
        <f aca="false">DI19*Slot10_SpendLike*MIN(Slot10_Cost-DL19,DE19)</f>
        <v>0</v>
      </c>
      <c r="DN19" s="20" t="n">
        <f aca="false">DL19+DM19</f>
        <v>0</v>
      </c>
      <c r="DO19" s="20" t="n">
        <f aca="false">DE19-DM19+DI19*IF(Slot10_SpendLike=1,DK19-DL19,IF(Slot10_PotFree=1,DK19,0))</f>
        <v>1388.45004215174</v>
      </c>
      <c r="DP19" s="20" t="n">
        <f aca="false">DF19+DI19*Slot10_BufPot*DK19</f>
        <v>12444.4339074426</v>
      </c>
      <c r="DQ19" s="20" t="n">
        <f aca="false">IF(AND(DI19=1,Slot10_IsMfree=1),IF(DN19&gt;=Slot10_Cost-1,0,MAX(0,DG19-DN19)),DG19)</f>
        <v>107530.167998736</v>
      </c>
      <c r="DR19" s="20" t="n">
        <f aca="false">DI19*(Slot10_Cost-DN19)</f>
        <v>0</v>
      </c>
      <c r="DS19" s="20" t="n">
        <f aca="false">IF(AND(Slot11_On=1,D19=Slot11_Age),1,0)</f>
        <v>0</v>
      </c>
      <c r="DT19" s="20" t="n">
        <f aca="false">IF(AND(Slot11_On=1,Slot11_Age&gt;D19),1,0)</f>
        <v>0</v>
      </c>
      <c r="DU19" s="20" t="n">
        <f aca="false">SA18</f>
        <v>0</v>
      </c>
      <c r="DV19" s="20" t="n">
        <f aca="false">DS19*MIN(Slot11_Cost,DU19)</f>
        <v>0</v>
      </c>
      <c r="DW19" s="20" t="n">
        <f aca="false">DS19*Slot11_SpendLike*MIN(Slot11_Cost-DV19,DO19)</f>
        <v>0</v>
      </c>
      <c r="DX19" s="20" t="n">
        <f aca="false">DV19+DW19</f>
        <v>0</v>
      </c>
      <c r="DY19" s="20" t="n">
        <f aca="false">DO19-DW19+DS19*IF(Slot11_SpendLike=1,DU19-DV19,IF(Slot11_PotFree=1,DU19,0))</f>
        <v>1388.45004215174</v>
      </c>
      <c r="DZ19" s="20" t="n">
        <f aca="false">DP19+DS19*Slot11_BufPot*DU19</f>
        <v>12444.4339074426</v>
      </c>
      <c r="EA19" s="20" t="n">
        <f aca="false">IF(AND(DS19=1,Slot11_IsMfree=1),IF(DX19&gt;=Slot11_Cost-1,0,MAX(0,DQ19-DX19)),DQ19)</f>
        <v>107530.167998736</v>
      </c>
      <c r="EB19" s="20" t="n">
        <f aca="false">DS19*(Slot11_Cost-DX19)</f>
        <v>0</v>
      </c>
      <c r="EC19" s="20" t="n">
        <f aca="false">IF(AND(Slot12_On=1,D19=Slot12_Age),1,0)</f>
        <v>0</v>
      </c>
      <c r="ED19" s="20" t="n">
        <f aca="false">IF(AND(Slot12_On=1,Slot12_Age&gt;D19),1,0)</f>
        <v>0</v>
      </c>
      <c r="EE19" s="20" t="n">
        <f aca="false">SE18</f>
        <v>0</v>
      </c>
      <c r="EF19" s="20" t="n">
        <f aca="false">EC19*MIN(Slot12_Cost,EE19)</f>
        <v>0</v>
      </c>
      <c r="EG19" s="20" t="n">
        <f aca="false">EC19*Slot12_SpendLike*MIN(Slot12_Cost-EF19,DY19)</f>
        <v>0</v>
      </c>
      <c r="EH19" s="20" t="n">
        <f aca="false">EF19+EG19</f>
        <v>0</v>
      </c>
      <c r="EI19" s="20" t="n">
        <f aca="false">DY19-EG19+EC19*IF(Slot12_SpendLike=1,EE19-EF19,IF(Slot12_PotFree=1,EE19,0))</f>
        <v>1388.45004215174</v>
      </c>
      <c r="EJ19" s="20" t="n">
        <f aca="false">DZ19+EC19*Slot12_BufPot*EE19</f>
        <v>12444.4339074426</v>
      </c>
      <c r="EK19" s="20" t="n">
        <f aca="false">IF(AND(EC19=1,Slot12_IsMfree=1),IF(EH19&gt;=Slot12_Cost-1,0,MAX(0,EA19-EH19)),EA19)</f>
        <v>107530.167998736</v>
      </c>
      <c r="EL19" s="20" t="n">
        <f aca="false">EC19*(Slot12_Cost-EH19)</f>
        <v>0</v>
      </c>
      <c r="EM19" s="20" t="n">
        <f aca="false">IF(AND(Slot13_On=1,D19=Slot13_Age),1,0)</f>
        <v>0</v>
      </c>
      <c r="EN19" s="20" t="n">
        <f aca="false">IF(AND(Slot13_On=1,Slot13_Age&gt;D19),1,0)</f>
        <v>0</v>
      </c>
      <c r="EO19" s="20" t="n">
        <f aca="false">SI18</f>
        <v>0</v>
      </c>
      <c r="EP19" s="20" t="n">
        <f aca="false">EM19*MIN(Slot13_Cost,EO19)</f>
        <v>0</v>
      </c>
      <c r="EQ19" s="20" t="n">
        <f aca="false">EM19*Slot13_SpendLike*MIN(Slot13_Cost-EP19,EI19)</f>
        <v>0</v>
      </c>
      <c r="ER19" s="20" t="n">
        <f aca="false">EP19+EQ19</f>
        <v>0</v>
      </c>
      <c r="ES19" s="20" t="n">
        <f aca="false">EI19-EQ19+EM19*IF(Slot13_SpendLike=1,EO19-EP19,IF(Slot13_PotFree=1,EO19,0))</f>
        <v>1388.45004215174</v>
      </c>
      <c r="ET19" s="20" t="n">
        <f aca="false">EJ19+EM19*Slot13_BufPot*EO19</f>
        <v>12444.4339074426</v>
      </c>
      <c r="EU19" s="20" t="n">
        <f aca="false">IF(AND(EM19=1,Slot13_IsMfree=1),IF(ER19&gt;=Slot13_Cost-1,0,MAX(0,EK19-ER19)),EK19)</f>
        <v>107530.167998736</v>
      </c>
      <c r="EV19" s="20" t="n">
        <f aca="false">EM19*(Slot13_Cost-ER19)</f>
        <v>0</v>
      </c>
      <c r="EW19" s="20" t="n">
        <f aca="false">IF(AND(Slot14_On=1,D19=Slot14_Age),1,0)</f>
        <v>0</v>
      </c>
      <c r="EX19" s="20" t="n">
        <f aca="false">IF(AND(Slot14_On=1,Slot14_Age&gt;D19),1,0)</f>
        <v>0</v>
      </c>
      <c r="EY19" s="20" t="n">
        <f aca="false">SM18</f>
        <v>0</v>
      </c>
      <c r="EZ19" s="20" t="n">
        <f aca="false">EW19*MIN(Slot14_Cost,EY19)</f>
        <v>0</v>
      </c>
      <c r="FA19" s="20" t="n">
        <f aca="false">EW19*Slot14_SpendLike*MIN(Slot14_Cost-EZ19,ES19)</f>
        <v>0</v>
      </c>
      <c r="FB19" s="20" t="n">
        <f aca="false">EZ19+FA19</f>
        <v>0</v>
      </c>
      <c r="FC19" s="20" t="n">
        <f aca="false">ES19-FA19+EW19*IF(Slot14_SpendLike=1,EY19-EZ19,IF(Slot14_PotFree=1,EY19,0))</f>
        <v>1388.45004215174</v>
      </c>
      <c r="FD19" s="20" t="n">
        <f aca="false">ET19+EW19*Slot14_BufPot*EY19</f>
        <v>12444.4339074426</v>
      </c>
      <c r="FE19" s="20" t="n">
        <f aca="false">IF(AND(EW19=1,Slot14_IsMfree=1),IF(FB19&gt;=Slot14_Cost-1,0,MAX(0,EU19-FB19)),EU19)</f>
        <v>107530.167998736</v>
      </c>
      <c r="FF19" s="20" t="n">
        <f aca="false">EW19*(Slot14_Cost-FB19)</f>
        <v>0</v>
      </c>
      <c r="FG19" s="20" t="n">
        <f aca="false">IF(AND(Slot15_On=1,D19=Slot15_Age),1,0)</f>
        <v>0</v>
      </c>
      <c r="FH19" s="20" t="n">
        <f aca="false">IF(AND(Slot15_On=1,Slot15_Age&gt;D19),1,0)</f>
        <v>0</v>
      </c>
      <c r="FI19" s="20" t="n">
        <f aca="false">SQ18</f>
        <v>0</v>
      </c>
      <c r="FJ19" s="20" t="n">
        <f aca="false">FG19*MIN(Slot15_Cost,FI19)</f>
        <v>0</v>
      </c>
      <c r="FK19" s="20" t="n">
        <f aca="false">FG19*Slot15_SpendLike*MIN(Slot15_Cost-FJ19,FC19)</f>
        <v>0</v>
      </c>
      <c r="FL19" s="20" t="n">
        <f aca="false">FJ19+FK19</f>
        <v>0</v>
      </c>
      <c r="FM19" s="20" t="n">
        <f aca="false">FC19-FK19+FG19*IF(Slot15_SpendLike=1,FI19-FJ19,IF(Slot15_PotFree=1,FI19,0))</f>
        <v>1388.45004215174</v>
      </c>
      <c r="FN19" s="20" t="n">
        <f aca="false">FD19+FG19*Slot15_BufPot*FI19</f>
        <v>12444.4339074426</v>
      </c>
      <c r="FO19" s="20" t="n">
        <f aca="false">IF(AND(FG19=1,Slot15_IsMfree=1),IF(FL19&gt;=Slot15_Cost-1,0,MAX(0,FE19-FL19)),FE19)</f>
        <v>107530.167998736</v>
      </c>
      <c r="FP19" s="20" t="n">
        <f aca="false">FG19*(Slot15_Cost-FL19)</f>
        <v>0</v>
      </c>
      <c r="FQ19" s="20" t="n">
        <f aca="false">IF(AND(Slot16_On=1,D19=Slot16_Age),1,0)</f>
        <v>0</v>
      </c>
      <c r="FR19" s="20" t="n">
        <f aca="false">IF(AND(Slot16_On=1,Slot16_Age&gt;D19),1,0)</f>
        <v>0</v>
      </c>
      <c r="FS19" s="20" t="n">
        <f aca="false">SU18</f>
        <v>0</v>
      </c>
      <c r="FT19" s="20" t="n">
        <f aca="false">FQ19*MIN(Slot16_Cost,FS19)</f>
        <v>0</v>
      </c>
      <c r="FU19" s="20" t="n">
        <f aca="false">FQ19*Slot16_SpendLike*MIN(Slot16_Cost-FT19,FM19)</f>
        <v>0</v>
      </c>
      <c r="FV19" s="20" t="n">
        <f aca="false">FT19+FU19</f>
        <v>0</v>
      </c>
      <c r="FW19" s="20" t="n">
        <f aca="false">FM19-FU19+FQ19*IF(Slot16_SpendLike=1,FS19-FT19,IF(Slot16_PotFree=1,FS19,0))</f>
        <v>1388.45004215174</v>
      </c>
      <c r="FX19" s="20" t="n">
        <f aca="false">FN19+FQ19*Slot16_BufPot*FS19</f>
        <v>12444.4339074426</v>
      </c>
      <c r="FY19" s="20" t="n">
        <f aca="false">IF(AND(FQ19=1,Slot16_IsMfree=1),IF(FV19&gt;=Slot16_Cost-1,0,MAX(0,FO19-FV19)),FO19)</f>
        <v>107530.167998736</v>
      </c>
      <c r="FZ19" s="20" t="n">
        <f aca="false">FQ19*(Slot16_Cost-FV19)</f>
        <v>0</v>
      </c>
      <c r="GA19" s="20" t="n">
        <f aca="false">IF(AND(Slot17_On=1,D19=Slot17_Age),1,0)</f>
        <v>0</v>
      </c>
      <c r="GB19" s="20" t="n">
        <f aca="false">IF(AND(Slot17_On=1,Slot17_Age&gt;D19),1,0)</f>
        <v>0</v>
      </c>
      <c r="GC19" s="20" t="n">
        <f aca="false">SY18</f>
        <v>0</v>
      </c>
      <c r="GD19" s="20" t="n">
        <f aca="false">GA19*MIN(Slot17_Cost,GC19)</f>
        <v>0</v>
      </c>
      <c r="GE19" s="20" t="n">
        <f aca="false">GA19*Slot17_SpendLike*MIN(Slot17_Cost-GD19,FW19)</f>
        <v>0</v>
      </c>
      <c r="GF19" s="20" t="n">
        <f aca="false">GD19+GE19</f>
        <v>0</v>
      </c>
      <c r="GG19" s="20" t="n">
        <f aca="false">FW19-GE19+GA19*IF(Slot17_SpendLike=1,GC19-GD19,IF(Slot17_PotFree=1,GC19,0))</f>
        <v>1388.45004215174</v>
      </c>
      <c r="GH19" s="20" t="n">
        <f aca="false">FX19+GA19*Slot17_BufPot*GC19</f>
        <v>12444.4339074426</v>
      </c>
      <c r="GI19" s="20" t="n">
        <f aca="false">IF(AND(GA19=1,Slot17_IsMfree=1),IF(GF19&gt;=Slot17_Cost-1,0,MAX(0,FY19-GF19)),FY19)</f>
        <v>107530.167998736</v>
      </c>
      <c r="GJ19" s="20" t="n">
        <f aca="false">GA19*(Slot17_Cost-GF19)</f>
        <v>0</v>
      </c>
      <c r="GK19" s="20" t="n">
        <f aca="false">IF(AND(Slot18_On=1,D19=Slot18_Age),1,0)</f>
        <v>0</v>
      </c>
      <c r="GL19" s="20" t="n">
        <f aca="false">IF(AND(Slot18_On=1,Slot18_Age&gt;D19),1,0)</f>
        <v>0</v>
      </c>
      <c r="GM19" s="20" t="n">
        <f aca="false">TC18</f>
        <v>0</v>
      </c>
      <c r="GN19" s="20" t="n">
        <f aca="false">GK19*MIN(Slot18_Cost,GM19)</f>
        <v>0</v>
      </c>
      <c r="GO19" s="20" t="n">
        <f aca="false">GK19*Slot18_SpendLike*MIN(Slot18_Cost-GN19,GG19)</f>
        <v>0</v>
      </c>
      <c r="GP19" s="20" t="n">
        <f aca="false">GN19+GO19</f>
        <v>0</v>
      </c>
      <c r="GQ19" s="20" t="n">
        <f aca="false">GG19-GO19+GK19*IF(Slot18_SpendLike=1,GM19-GN19,IF(Slot18_PotFree=1,GM19,0))</f>
        <v>1388.45004215174</v>
      </c>
      <c r="GR19" s="20" t="n">
        <f aca="false">GH19+GK19*Slot18_BufPot*GM19</f>
        <v>12444.4339074426</v>
      </c>
      <c r="GS19" s="20" t="n">
        <f aca="false">IF(AND(GK19=1,Slot18_IsMfree=1),IF(GP19&gt;=Slot18_Cost-1,0,MAX(0,GI19-GP19)),GI19)</f>
        <v>107530.167998736</v>
      </c>
      <c r="GT19" s="20" t="n">
        <f aca="false">GK19*(Slot18_Cost-GP19)</f>
        <v>0</v>
      </c>
      <c r="GU19" s="20" t="n">
        <f aca="false">IF(AND(Slot19_On=1,D19=Slot19_Age),1,0)</f>
        <v>0</v>
      </c>
      <c r="GV19" s="20" t="n">
        <f aca="false">IF(AND(Slot19_On=1,Slot19_Age&gt;D19),1,0)</f>
        <v>0</v>
      </c>
      <c r="GW19" s="20" t="n">
        <f aca="false">TG18</f>
        <v>0</v>
      </c>
      <c r="GX19" s="20" t="n">
        <f aca="false">GU19*MIN(Slot19_Cost,GW19)</f>
        <v>0</v>
      </c>
      <c r="GY19" s="20" t="n">
        <f aca="false">GU19*Slot19_SpendLike*MIN(Slot19_Cost-GX19,GQ19)</f>
        <v>0</v>
      </c>
      <c r="GZ19" s="20" t="n">
        <f aca="false">GX19+GY19</f>
        <v>0</v>
      </c>
      <c r="HA19" s="20" t="n">
        <f aca="false">GQ19-GY19+GU19*IF(Slot19_SpendLike=1,GW19-GX19,IF(Slot19_PotFree=1,GW19,0))</f>
        <v>1388.45004215174</v>
      </c>
      <c r="HB19" s="20" t="n">
        <f aca="false">GR19+GU19*Slot19_BufPot*GW19</f>
        <v>12444.4339074426</v>
      </c>
      <c r="HC19" s="20" t="n">
        <f aca="false">IF(AND(GU19=1,Slot19_IsMfree=1),IF(GZ19&gt;=Slot19_Cost-1,0,MAX(0,GS19-GZ19)),GS19)</f>
        <v>107530.167998736</v>
      </c>
      <c r="HD19" s="20" t="n">
        <f aca="false">GU19*(Slot19_Cost-GZ19)</f>
        <v>0</v>
      </c>
      <c r="HE19" s="20" t="n">
        <f aca="false">IF(AND(Slot20_On=1,D19=Slot20_Age),1,0)</f>
        <v>0</v>
      </c>
      <c r="HF19" s="20" t="n">
        <f aca="false">IF(AND(Slot20_On=1,Slot20_Age&gt;D19),1,0)</f>
        <v>0</v>
      </c>
      <c r="HG19" s="20" t="n">
        <f aca="false">TK18</f>
        <v>0</v>
      </c>
      <c r="HH19" s="20" t="n">
        <f aca="false">HE19*MIN(Slot20_Cost,HG19)</f>
        <v>0</v>
      </c>
      <c r="HI19" s="20" t="n">
        <f aca="false">HE19*Slot20_SpendLike*MIN(Slot20_Cost-HH19,HA19)</f>
        <v>0</v>
      </c>
      <c r="HJ19" s="20" t="n">
        <f aca="false">HH19+HI19</f>
        <v>0</v>
      </c>
      <c r="HK19" s="20" t="n">
        <f aca="false">HA19-HI19+HE19*IF(Slot20_SpendLike=1,HG19-HH19,IF(Slot20_PotFree=1,HG19,0))</f>
        <v>1388.45004215174</v>
      </c>
      <c r="HL19" s="20" t="n">
        <f aca="false">HB19+HE19*Slot20_BufPot*HG19</f>
        <v>12444.4339074426</v>
      </c>
      <c r="HM19" s="20" t="n">
        <f aca="false">IF(AND(HE19=1,Slot20_IsMfree=1),IF(HJ19&gt;=Slot20_Cost-1,0,MAX(0,HC19-HJ19)),HC19)</f>
        <v>107530.167998736</v>
      </c>
      <c r="HN19" s="20" t="n">
        <f aca="false">HE19*(Slot20_Cost-HJ19)</f>
        <v>0</v>
      </c>
      <c r="HO19" s="20" t="n">
        <f aca="false">V19*Slot1_SpendLike*AA19+AG19*Slot2_SpendLike*AL19+AQ19*Slot3_SpendLike*AV19+BA19*Slot4_SpendLike*BF19+BK19*Slot5_SpendLike*BP19+BU19*Slot6_SpendLike*BZ19+CE19*Slot7_SpendLike*CJ19+CO19*Slot8_SpendLike*CT19+CY19*Slot9_SpendLike*DD19+DI19*Slot10_SpendLike*DN19+DS19*Slot11_SpendLike*DX19+EC19*Slot12_SpendLike*EH19+EM19*Slot13_SpendLike*ER19+EW19*Slot14_SpendLike*FB19+FG19*Slot15_SpendLike*FL19+FQ19*Slot16_SpendLike*FV19+GA19*Slot17_SpendLike*GF19+GK19*Slot18_SpendLike*GP19+GU19*Slot19_SpendLike*GZ19+HE19*Slot20_SpendLike*HJ19</f>
        <v>0</v>
      </c>
      <c r="HP19" s="20" t="n">
        <f aca="false">AE19+AP19+AZ19+BJ19+BT19+CD19+CN19+CX19+DH19+DR19+EB19+EL19+EV19+FF19+FP19+FZ19+GJ19+GT19+HD19+HN19</f>
        <v>0</v>
      </c>
      <c r="HQ19" s="20" t="n">
        <f aca="false">V19*Slot1_Cost+AG19*Slot2_Cost+AQ19*Slot3_Cost+BA19*Slot4_Cost+BK19*Slot5_Cost+BU19*Slot6_Cost+CE19*Slot7_Cost+CO19*Slot8_Cost+CY19*Slot9_Cost+DI19*Slot10_Cost+DS19*Slot11_Cost+EC19*Slot12_Cost+EM19*Slot13_Cost+EW19*Slot14_Cost+FG19*Slot15_Cost+FQ19*Slot16_Cost+GA19*Slot17_Cost+GK19*Slot18_Cost+GU19*Slot19_Cost+HE19*Slot20_Cost</f>
        <v>0</v>
      </c>
      <c r="HR19" s="20" t="n">
        <f aca="false">HM19</f>
        <v>107530.167998736</v>
      </c>
      <c r="HS19" s="20" t="n">
        <f aca="false">H19-I19-S19</f>
        <v>13301.9751234148</v>
      </c>
      <c r="HT19" s="20" t="n">
        <f aca="false">IF(B19=0,IF(AND(Has_q6=1,In_q6=4),PR_ShareVaries*(MAX(0,HS19)/12),MIN(IF(Has_q6=1,CHOOSE(In_q6+1,PR_SaveB1,PR_SaveB2,PR_SaveB3,PR_SaveB4,0),AS_NoAnswer),AS_SaveShare*(MAX(0,HS19)/12))),HT18)</f>
        <v>67.3316893520437</v>
      </c>
      <c r="HU19" s="20" t="n">
        <f aca="false">IF(HS19&gt;=0,1,0)</f>
        <v>1</v>
      </c>
      <c r="HV19" s="20" t="n">
        <f aca="false">MAX(0,HS19/12/F19)</f>
        <v>891.523911558409</v>
      </c>
      <c r="HW19" s="20" t="n">
        <f aca="false">IF(AND(Has_q6=1,In_q6=4),PR_ShareVaries*(HV19),MIN(IF(Has_q6=1,CHOOSE(In_q6+1,PR_SaveB1,PR_SaveB2,PR_SaveB3,PR_SaveB4,0),AS_NoAnswer),AS_SaveShare*(HV19)))</f>
        <v>445.761955779204</v>
      </c>
      <c r="HX19" s="20" t="n">
        <f aca="false">IF(Has_saveM=1,IF(In_saveUp="Yes",1,IF(In_saveUp="No",0,IF(In_saveM&gt;=HT19-0.5,1,0))),0)</f>
        <v>0</v>
      </c>
      <c r="HY19" s="20" t="n">
        <f aca="false">IF(Has_saveM=1,MIN(HV19,IF(HX19=1,MAX(In_saveM,HW19),MIN(In_saveM,HW19))),HW19)</f>
        <v>445.761955779204</v>
      </c>
      <c r="HZ19" s="20" t="n">
        <f aca="false">IF(G19=1,HY19*12*F19,0)</f>
        <v>6650.98756170739</v>
      </c>
      <c r="IA19" s="20" t="n">
        <f aca="false">MAX(0,HZ19+IF(AND(WI_Retire=0,WI_M&lt;0,G19=1),WI_M*12*F19,0))</f>
        <v>6650.98756170739</v>
      </c>
      <c r="IB19" s="20" t="n">
        <f aca="false">Slot1_IsWG*W19+Slot2_IsWG*AH19+Slot3_IsWG*AR19+Slot4_IsWG*BB19+Slot5_IsWG*BL19+Slot6_IsWG*BV19+Slot7_IsWG*CF19+Slot8_IsWG*CP19+Slot9_IsWG*CZ19+Slot10_IsWG*DJ19+Slot11_IsWG*DT19+Slot12_IsWG*ED19+Slot13_IsWG*EN19+Slot14_IsWG*EX19+Slot15_IsWG*FH19+Slot16_IsWG*FR19+Slot17_IsWG*GB19+Slot18_IsWG*GL19+Slot19_IsWG*GV19+Slot20_IsWG*HF19</f>
        <v>0</v>
      </c>
      <c r="IC19" s="20" t="n">
        <f aca="false">IF(AND(WI_Retire=0,WI_M&gt;0,G19=1,IB19&gt;=1),WI_M*12*F19,0)</f>
        <v>0</v>
      </c>
      <c r="ID19" s="20" t="n">
        <f aca="false">IF(HU19=1,MIN(IA19,HS19),0)</f>
        <v>6650.98756170739</v>
      </c>
      <c r="IE19" s="20" t="n">
        <f aca="false">IF(HU19=1,MIN(IC19,HS19-ID19),0)</f>
        <v>0</v>
      </c>
      <c r="IF19" s="20" t="n">
        <f aca="false">IF(W19=1,IF(ABS((1+AS_Wage)/(1+Slot1_Rate)-1)&lt;0.000000000001,(Slot1_Age-D19)*(1+Slot1_Rate)^(Slot1_Age-D19),(1+Slot1_Rate)^(Slot1_Age-D19)*(1-((1+AS_Wage)/(1+Slot1_Rate))^(Slot1_Age-D19))/(1-(1+AS_Wage)/(1+Slot1_Rate))),1)</f>
        <v>1</v>
      </c>
      <c r="IG19" s="20" t="n">
        <f aca="false">IF(AND(HU19=1,IE19&gt;0,Slot1_IsWG=1,W19=1),MAX(0,(Slot1_Cost-X19*(1+Slot1_Rate)^(Slot1_Age-D19))/IF19),0)</f>
        <v>0</v>
      </c>
      <c r="IH19" s="20" t="n">
        <f aca="false">IF(AND(HU19=1,IE19&gt;0,Slot1_IsWG=1,W19=1),MIN(IE19,IG19),0)</f>
        <v>0</v>
      </c>
      <c r="II19" s="20" t="n">
        <f aca="false">X19+IH19</f>
        <v>0</v>
      </c>
      <c r="IJ19" s="20" t="n">
        <f aca="false">IF(W19=1,MAX(0,(Slot1_Cost-II19*(1+Slot1_Rate)^(Slot1_Age-D19))/IF19),0)</f>
        <v>0</v>
      </c>
      <c r="IK19" s="20" t="n">
        <f aca="false">IF(W19=1,MAX(0,(Slot1_Cost-X19*(1+Slot1_Rate)^(Slot1_Age-D19))/IF19),0)</f>
        <v>0</v>
      </c>
      <c r="IL19" s="20" t="n">
        <f aca="false">IF(AND(HU19=1,W19=1),MIN(ID19,IJ19),0)</f>
        <v>0</v>
      </c>
      <c r="IM19" s="20" t="n">
        <f aca="false">ID19-IL19</f>
        <v>6650.98756170739</v>
      </c>
      <c r="IN19" s="20" t="n">
        <f aca="false">IF(AH19=1,IF(ABS((1+AS_Wage)/(1+Slot2_Rate)-1)&lt;0.000000000001,(Slot2_Age-D19)*(1+Slot2_Rate)^(Slot2_Age-D19),(1+Slot2_Rate)^(Slot2_Age-D19)*(1-((1+AS_Wage)/(1+Slot2_Rate))^(Slot2_Age-D19))/(1-(1+AS_Wage)/(1+Slot2_Rate))),1)</f>
        <v>1</v>
      </c>
      <c r="IO19" s="20" t="n">
        <f aca="false">IF(AND(HU19=1,IE19&gt;0,Slot2_IsWG=1,AH19=1),MAX(0,(Slot2_Cost-AI19*(1+Slot2_Rate)^(Slot2_Age-D19))/IN19),0)</f>
        <v>0</v>
      </c>
      <c r="IP19" s="20" t="n">
        <f aca="false">IF(AND(HU19=1,IE19&gt;0,Slot2_IsWG=1,AH19=1),MIN(IE19,IO19),0)</f>
        <v>0</v>
      </c>
      <c r="IQ19" s="20" t="n">
        <f aca="false">AI19+IP19</f>
        <v>0</v>
      </c>
      <c r="IR19" s="20" t="n">
        <f aca="false">IF(AH19=1,MAX(0,(Slot2_Cost-IQ19*(1+Slot2_Rate)^(Slot2_Age-D19))/IN19),0)</f>
        <v>0</v>
      </c>
      <c r="IS19" s="20" t="n">
        <f aca="false">IF(AH19=1,MAX(0,(Slot2_Cost-AI19*(1+Slot2_Rate)^(Slot2_Age-D19))/IN19),0)</f>
        <v>0</v>
      </c>
      <c r="IT19" s="20" t="n">
        <f aca="false">IF(AND(HU19=1,AH19=1),MIN(IM19,IR19),0)</f>
        <v>0</v>
      </c>
      <c r="IU19" s="20" t="n">
        <f aca="false">IM19-IT19</f>
        <v>6650.98756170739</v>
      </c>
      <c r="IV19" s="20" t="n">
        <f aca="false">IF(AR19=1,IF(ABS((1+AS_Wage)/(1+Slot3_Rate)-1)&lt;0.000000000001,(Slot3_Age-D19)*(1+Slot3_Rate)^(Slot3_Age-D19),(1+Slot3_Rate)^(Slot3_Age-D19)*(1-((1+AS_Wage)/(1+Slot3_Rate))^(Slot3_Age-D19))/(1-(1+AS_Wage)/(1+Slot3_Rate))),1)</f>
        <v>1</v>
      </c>
      <c r="IW19" s="20" t="n">
        <f aca="false">IF(AND(HU19=1,IE19&gt;0,Slot3_IsWG=1,AR19=1),MAX(0,(Slot3_Cost-AS19*(1+Slot3_Rate)^(Slot3_Age-D19))/IV19),0)</f>
        <v>0</v>
      </c>
      <c r="IX19" s="20" t="n">
        <f aca="false">IF(AND(HU19=1,IE19&gt;0,Slot3_IsWG=1,AR19=1),MIN(IE19,IW19),0)</f>
        <v>0</v>
      </c>
      <c r="IY19" s="20" t="n">
        <f aca="false">AS19+IX19</f>
        <v>0</v>
      </c>
      <c r="IZ19" s="20" t="n">
        <f aca="false">IF(AR19=1,MAX(0,(Slot3_Cost-IY19*(1+Slot3_Rate)^(Slot3_Age-D19))/IV19),0)</f>
        <v>0</v>
      </c>
      <c r="JA19" s="20" t="n">
        <f aca="false">IF(AR19=1,MAX(0,(Slot3_Cost-AS19*(1+Slot3_Rate)^(Slot3_Age-D19))/IV19),0)</f>
        <v>0</v>
      </c>
      <c r="JB19" s="20" t="n">
        <f aca="false">IF(AND(HU19=1,AR19=1),MIN(IU19,IZ19),0)</f>
        <v>0</v>
      </c>
      <c r="JC19" s="20" t="n">
        <f aca="false">IU19-JB19</f>
        <v>6650.98756170739</v>
      </c>
      <c r="JD19" s="20" t="n">
        <f aca="false">IF(BB19=1,IF(ABS((1+AS_Wage)/(1+Slot4_Rate)-1)&lt;0.000000000001,(Slot4_Age-D19)*(1+Slot4_Rate)^(Slot4_Age-D19),(1+Slot4_Rate)^(Slot4_Age-D19)*(1-((1+AS_Wage)/(1+Slot4_Rate))^(Slot4_Age-D19))/(1-(1+AS_Wage)/(1+Slot4_Rate))),1)</f>
        <v>7.06756259985395</v>
      </c>
      <c r="JE19" s="20" t="n">
        <f aca="false">IF(AND(HU19=1,IE19&gt;0,Slot4_IsWG=1,BB19=1),MAX(0,(Slot4_Cost-BC19*(1+Slot4_Rate)^(Slot4_Age-D19))/JD19),0)</f>
        <v>0</v>
      </c>
      <c r="JF19" s="20" t="n">
        <f aca="false">IF(AND(HU19=1,IE19&gt;0,Slot4_IsWG=1,BB19=1),MIN(IE19,JE19),0)</f>
        <v>0</v>
      </c>
      <c r="JG19" s="20" t="n">
        <f aca="false">BC19+JF19</f>
        <v>4844.07663087158</v>
      </c>
      <c r="JH19" s="20" t="n">
        <f aca="false">IF(BB19=1,MAX(0,(Slot4_Cost-JG19*(1+Slot4_Rate)^(Slot4_Age-D19))/JD19),0)</f>
        <v>4862.96191988082</v>
      </c>
      <c r="JI19" s="20" t="n">
        <f aca="false">IF(BB19=1,MAX(0,(Slot4_Cost-BC19*(1+Slot4_Rate)^(Slot4_Age-D19))/JD19),0)</f>
        <v>4862.96191988082</v>
      </c>
      <c r="JJ19" s="20" t="n">
        <f aca="false">IF(AND(HU19=1,BB19=1),MIN(JC19,JH19),0)</f>
        <v>4862.96191988082</v>
      </c>
      <c r="JK19" s="20" t="n">
        <f aca="false">JC19-JJ19</f>
        <v>1788.02564182657</v>
      </c>
      <c r="JL19" s="20" t="n">
        <f aca="false">IF(BL19=1,IF(ABS((1+AS_Wage)/(1+Slot5_Rate)-1)&lt;0.000000000001,(Slot5_Age-D19)*(1+Slot5_Rate)^(Slot5_Age-D19),(1+Slot5_Rate)^(Slot5_Age-D19)*(1-((1+AS_Wage)/(1+Slot5_Rate))^(Slot5_Age-D19))/(1-(1+AS_Wage)/(1+Slot5_Rate))),1)</f>
        <v>1</v>
      </c>
      <c r="JM19" s="20" t="n">
        <f aca="false">IF(AND(HU19=1,IE19&gt;0,Slot5_IsWG=1,BL19=1),MAX(0,(Slot5_Cost-BM19*(1+Slot5_Rate)^(Slot5_Age-D19))/JL19),0)</f>
        <v>0</v>
      </c>
      <c r="JN19" s="20" t="n">
        <f aca="false">IF(AND(HU19=1,IE19&gt;0,Slot5_IsWG=1,BL19=1),MIN(IE19,JM19),0)</f>
        <v>0</v>
      </c>
      <c r="JO19" s="20" t="n">
        <f aca="false">BM19+JN19</f>
        <v>0</v>
      </c>
      <c r="JP19" s="20" t="n">
        <f aca="false">IF(BL19=1,MAX(0,(Slot5_Cost-JO19*(1+Slot5_Rate)^(Slot5_Age-D19))/JL19),0)</f>
        <v>0</v>
      </c>
      <c r="JQ19" s="20" t="n">
        <f aca="false">IF(BL19=1,MAX(0,(Slot5_Cost-BM19*(1+Slot5_Rate)^(Slot5_Age-D19))/JL19),0)</f>
        <v>0</v>
      </c>
      <c r="JR19" s="20" t="n">
        <f aca="false">IF(AND(HU19=1,BL19=1),MIN(JK19,JP19),0)</f>
        <v>0</v>
      </c>
      <c r="JS19" s="20" t="n">
        <f aca="false">JK19-JR19</f>
        <v>1788.02564182657</v>
      </c>
      <c r="JT19" s="20" t="n">
        <f aca="false">IF(BV19=1,IF(ABS((1+AS_Wage)/(1+Slot6_Rate)-1)&lt;0.000000000001,(Slot6_Age-D19)*(1+Slot6_Rate)^(Slot6_Age-D19),(1+Slot6_Rate)^(Slot6_Age-D19)*(1-((1+AS_Wage)/(1+Slot6_Rate))^(Slot6_Age-D19))/(1-(1+AS_Wage)/(1+Slot6_Rate))),1)</f>
        <v>1</v>
      </c>
      <c r="JU19" s="20" t="n">
        <f aca="false">IF(AND(HU19=1,IE19&gt;0,Slot6_IsWG=1,BV19=1),MAX(0,(Slot6_Cost-BW19*(1+Slot6_Rate)^(Slot6_Age-D19))/JT19),0)</f>
        <v>0</v>
      </c>
      <c r="JV19" s="20" t="n">
        <f aca="false">IF(AND(HU19=1,IE19&gt;0,Slot6_IsWG=1,BV19=1),MIN(IE19,JU19),0)</f>
        <v>0</v>
      </c>
      <c r="JW19" s="20" t="n">
        <f aca="false">BW19+JV19</f>
        <v>0</v>
      </c>
      <c r="JX19" s="20" t="n">
        <f aca="false">IF(BV19=1,MAX(0,(Slot6_Cost-JW19*(1+Slot6_Rate)^(Slot6_Age-D19))/JT19),0)</f>
        <v>0</v>
      </c>
      <c r="JY19" s="20" t="n">
        <f aca="false">IF(BV19=1,MAX(0,(Slot6_Cost-BW19*(1+Slot6_Rate)^(Slot6_Age-D19))/JT19),0)</f>
        <v>0</v>
      </c>
      <c r="JZ19" s="20" t="n">
        <f aca="false">IF(AND(HU19=1,BV19=1),MIN(JS19,JX19),0)</f>
        <v>0</v>
      </c>
      <c r="KA19" s="20" t="n">
        <f aca="false">JS19-JZ19</f>
        <v>1788.02564182657</v>
      </c>
      <c r="KB19" s="20" t="n">
        <f aca="false">IF(CF19=1,IF(ABS((1+AS_Wage)/(1+Slot7_Rate)-1)&lt;0.000000000001,(Slot7_Age-D19)*(1+Slot7_Rate)^(Slot7_Age-D19),(1+Slot7_Rate)^(Slot7_Age-D19)*(1-((1+AS_Wage)/(1+Slot7_Rate))^(Slot7_Age-D19))/(1-(1+AS_Wage)/(1+Slot7_Rate))),1)</f>
        <v>1</v>
      </c>
      <c r="KC19" s="20" t="n">
        <f aca="false">IF(AND(HU19=1,IE19&gt;0,Slot7_IsWG=1,CF19=1),MAX(0,(Slot7_Cost-CG19*(1+Slot7_Rate)^(Slot7_Age-D19))/KB19),0)</f>
        <v>0</v>
      </c>
      <c r="KD19" s="20" t="n">
        <f aca="false">IF(AND(HU19=1,IE19&gt;0,Slot7_IsWG=1,CF19=1),MIN(IE19,KC19),0)</f>
        <v>0</v>
      </c>
      <c r="KE19" s="20" t="n">
        <f aca="false">CG19+KD19</f>
        <v>0</v>
      </c>
      <c r="KF19" s="20" t="n">
        <f aca="false">IF(CF19=1,MAX(0,(Slot7_Cost-KE19*(1+Slot7_Rate)^(Slot7_Age-D19))/KB19),0)</f>
        <v>0</v>
      </c>
      <c r="KG19" s="20" t="n">
        <f aca="false">IF(CF19=1,MAX(0,(Slot7_Cost-CG19*(1+Slot7_Rate)^(Slot7_Age-D19))/KB19),0)</f>
        <v>0</v>
      </c>
      <c r="KH19" s="20" t="n">
        <f aca="false">IF(AND(HU19=1,CF19=1),MIN(KA19,KF19),0)</f>
        <v>0</v>
      </c>
      <c r="KI19" s="20" t="n">
        <f aca="false">KA19-KH19</f>
        <v>1788.02564182657</v>
      </c>
      <c r="KJ19" s="20" t="n">
        <f aca="false">IF(CP19=1,IF(ABS((1+AS_Wage)/(1+Slot8_Rate)-1)&lt;0.000000000001,(Slot8_Age-D19)*(1+Slot8_Rate)^(Slot8_Age-D19),(1+Slot8_Rate)^(Slot8_Age-D19)*(1-((1+AS_Wage)/(1+Slot8_Rate))^(Slot8_Age-D19))/(1-(1+AS_Wage)/(1+Slot8_Rate))),1)</f>
        <v>1</v>
      </c>
      <c r="KK19" s="20" t="n">
        <f aca="false">IF(AND(HU19=1,IE19&gt;0,Slot8_IsWG=1,CP19=1),MAX(0,(Slot8_Cost-CQ19*(1+Slot8_Rate)^(Slot8_Age-D19))/KJ19),0)</f>
        <v>0</v>
      </c>
      <c r="KL19" s="20" t="n">
        <f aca="false">IF(AND(HU19=1,IE19&gt;0,Slot8_IsWG=1,CP19=1),MIN(IE19,KK19),0)</f>
        <v>0</v>
      </c>
      <c r="KM19" s="20" t="n">
        <f aca="false">CQ19+KL19</f>
        <v>0</v>
      </c>
      <c r="KN19" s="20" t="n">
        <f aca="false">IF(CP19=1,MAX(0,(Slot8_Cost-KM19*(1+Slot8_Rate)^(Slot8_Age-D19))/KJ19),0)</f>
        <v>0</v>
      </c>
      <c r="KO19" s="20" t="n">
        <f aca="false">IF(CP19=1,MAX(0,(Slot8_Cost-CQ19*(1+Slot8_Rate)^(Slot8_Age-D19))/KJ19),0)</f>
        <v>0</v>
      </c>
      <c r="KP19" s="20" t="n">
        <f aca="false">IF(AND(HU19=1,CP19=1),MIN(KI19,KN19),0)</f>
        <v>0</v>
      </c>
      <c r="KQ19" s="20" t="n">
        <f aca="false">KI19-KP19</f>
        <v>1788.02564182657</v>
      </c>
      <c r="KR19" s="20" t="n">
        <f aca="false">IF(CZ19=1,IF(ABS((1+AS_Wage)/(1+Slot9_Rate)-1)&lt;0.000000000001,(Slot9_Age-D19)*(1+Slot9_Rate)^(Slot9_Age-D19),(1+Slot9_Rate)^(Slot9_Age-D19)*(1-((1+AS_Wage)/(1+Slot9_Rate))^(Slot9_Age-D19))/(1-(1+AS_Wage)/(1+Slot9_Rate))),1)</f>
        <v>1</v>
      </c>
      <c r="KS19" s="20" t="n">
        <f aca="false">IF(AND(HU19=1,IE19&gt;0,Slot9_IsWG=1,CZ19=1),MAX(0,(Slot9_Cost-DA19*(1+Slot9_Rate)^(Slot9_Age-D19))/KR19),0)</f>
        <v>0</v>
      </c>
      <c r="KT19" s="20" t="n">
        <f aca="false">IF(AND(HU19=1,IE19&gt;0,Slot9_IsWG=1,CZ19=1),MIN(IE19,KS19),0)</f>
        <v>0</v>
      </c>
      <c r="KU19" s="20" t="n">
        <f aca="false">DA19+KT19</f>
        <v>0</v>
      </c>
      <c r="KV19" s="20" t="n">
        <f aca="false">IF(CZ19=1,MAX(0,(Slot9_Cost-KU19*(1+Slot9_Rate)^(Slot9_Age-D19))/KR19),0)</f>
        <v>0</v>
      </c>
      <c r="KW19" s="20" t="n">
        <f aca="false">IF(CZ19=1,MAX(0,(Slot9_Cost-DA19*(1+Slot9_Rate)^(Slot9_Age-D19))/KR19),0)</f>
        <v>0</v>
      </c>
      <c r="KX19" s="20" t="n">
        <f aca="false">IF(AND(HU19=1,CZ19=1),MIN(KQ19,KV19),0)</f>
        <v>0</v>
      </c>
      <c r="KY19" s="20" t="n">
        <f aca="false">KQ19-KX19</f>
        <v>1788.02564182657</v>
      </c>
      <c r="KZ19" s="20" t="n">
        <f aca="false">IF(DJ19=1,IF(ABS((1+AS_Wage)/(1+Slot10_Rate)-1)&lt;0.000000000001,(Slot10_Age-D19)*(1+Slot10_Rate)^(Slot10_Age-D19),(1+Slot10_Rate)^(Slot10_Age-D19)*(1-((1+AS_Wage)/(1+Slot10_Rate))^(Slot10_Age-D19))/(1-(1+AS_Wage)/(1+Slot10_Rate))),1)</f>
        <v>1</v>
      </c>
      <c r="LA19" s="20" t="n">
        <f aca="false">IF(AND(HU19=1,IE19&gt;0,Slot10_IsWG=1,DJ19=1),MAX(0,(Slot10_Cost-DK19*(1+Slot10_Rate)^(Slot10_Age-D19))/KZ19),0)</f>
        <v>0</v>
      </c>
      <c r="LB19" s="20" t="n">
        <f aca="false">IF(AND(HU19=1,IE19&gt;0,Slot10_IsWG=1,DJ19=1),MIN(IE19,LA19),0)</f>
        <v>0</v>
      </c>
      <c r="LC19" s="20" t="n">
        <f aca="false">DK19+LB19</f>
        <v>0</v>
      </c>
      <c r="LD19" s="20" t="n">
        <f aca="false">IF(DJ19=1,MAX(0,(Slot10_Cost-LC19*(1+Slot10_Rate)^(Slot10_Age-D19))/KZ19),0)</f>
        <v>0</v>
      </c>
      <c r="LE19" s="20" t="n">
        <f aca="false">IF(DJ19=1,MAX(0,(Slot10_Cost-DK19*(1+Slot10_Rate)^(Slot10_Age-D19))/KZ19),0)</f>
        <v>0</v>
      </c>
      <c r="LF19" s="20" t="n">
        <f aca="false">IF(AND(HU19=1,DJ19=1),MIN(KY19,LD19),0)</f>
        <v>0</v>
      </c>
      <c r="LG19" s="20" t="n">
        <f aca="false">KY19-LF19</f>
        <v>1788.02564182657</v>
      </c>
      <c r="LH19" s="20" t="n">
        <f aca="false">IF(DT19=1,IF(ABS((1+AS_Wage)/(1+Slot11_Rate)-1)&lt;0.000000000001,(Slot11_Age-D19)*(1+Slot11_Rate)^(Slot11_Age-D19),(1+Slot11_Rate)^(Slot11_Age-D19)*(1-((1+AS_Wage)/(1+Slot11_Rate))^(Slot11_Age-D19))/(1-(1+AS_Wage)/(1+Slot11_Rate))),1)</f>
        <v>1</v>
      </c>
      <c r="LI19" s="20" t="n">
        <f aca="false">IF(AND(HU19=1,IE19&gt;0,Slot11_IsWG=1,DT19=1),MAX(0,(Slot11_Cost-DU19*(1+Slot11_Rate)^(Slot11_Age-D19))/LH19),0)</f>
        <v>0</v>
      </c>
      <c r="LJ19" s="20" t="n">
        <f aca="false">IF(AND(HU19=1,IE19&gt;0,Slot11_IsWG=1,DT19=1),MIN(IE19,LI19),0)</f>
        <v>0</v>
      </c>
      <c r="LK19" s="20" t="n">
        <f aca="false">DU19+LJ19</f>
        <v>0</v>
      </c>
      <c r="LL19" s="20" t="n">
        <f aca="false">IF(DT19=1,MAX(0,(Slot11_Cost-LK19*(1+Slot11_Rate)^(Slot11_Age-D19))/LH19),0)</f>
        <v>0</v>
      </c>
      <c r="LM19" s="20" t="n">
        <f aca="false">IF(DT19=1,MAX(0,(Slot11_Cost-DU19*(1+Slot11_Rate)^(Slot11_Age-D19))/LH19),0)</f>
        <v>0</v>
      </c>
      <c r="LN19" s="20" t="n">
        <f aca="false">IF(AND(HU19=1,DT19=1),MIN(LG19,LL19),0)</f>
        <v>0</v>
      </c>
      <c r="LO19" s="20" t="n">
        <f aca="false">LG19-LN19</f>
        <v>1788.02564182657</v>
      </c>
      <c r="LP19" s="20" t="n">
        <f aca="false">IF(ED19=1,IF(ABS((1+AS_Wage)/(1+Slot12_Rate)-1)&lt;0.000000000001,(Slot12_Age-D19)*(1+Slot12_Rate)^(Slot12_Age-D19),(1+Slot12_Rate)^(Slot12_Age-D19)*(1-((1+AS_Wage)/(1+Slot12_Rate))^(Slot12_Age-D19))/(1-(1+AS_Wage)/(1+Slot12_Rate))),1)</f>
        <v>1</v>
      </c>
      <c r="LQ19" s="20" t="n">
        <f aca="false">IF(AND(HU19=1,IE19&gt;0,Slot12_IsWG=1,ED19=1),MAX(0,(Slot12_Cost-EE19*(1+Slot12_Rate)^(Slot12_Age-D19))/LP19),0)</f>
        <v>0</v>
      </c>
      <c r="LR19" s="20" t="n">
        <f aca="false">IF(AND(HU19=1,IE19&gt;0,Slot12_IsWG=1,ED19=1),MIN(IE19,LQ19),0)</f>
        <v>0</v>
      </c>
      <c r="LS19" s="20" t="n">
        <f aca="false">EE19+LR19</f>
        <v>0</v>
      </c>
      <c r="LT19" s="20" t="n">
        <f aca="false">IF(ED19=1,MAX(0,(Slot12_Cost-LS19*(1+Slot12_Rate)^(Slot12_Age-D19))/LP19),0)</f>
        <v>0</v>
      </c>
      <c r="LU19" s="20" t="n">
        <f aca="false">IF(ED19=1,MAX(0,(Slot12_Cost-EE19*(1+Slot12_Rate)^(Slot12_Age-D19))/LP19),0)</f>
        <v>0</v>
      </c>
      <c r="LV19" s="20" t="n">
        <f aca="false">IF(AND(HU19=1,ED19=1),MIN(LO19,LT19),0)</f>
        <v>0</v>
      </c>
      <c r="LW19" s="20" t="n">
        <f aca="false">LO19-LV19</f>
        <v>1788.02564182657</v>
      </c>
      <c r="LX19" s="20" t="n">
        <f aca="false">IF(EN19=1,IF(ABS((1+AS_Wage)/(1+Slot13_Rate)-1)&lt;0.000000000001,(Slot13_Age-D19)*(1+Slot13_Rate)^(Slot13_Age-D19),(1+Slot13_Rate)^(Slot13_Age-D19)*(1-((1+AS_Wage)/(1+Slot13_Rate))^(Slot13_Age-D19))/(1-(1+AS_Wage)/(1+Slot13_Rate))),1)</f>
        <v>1</v>
      </c>
      <c r="LY19" s="20" t="n">
        <f aca="false">IF(AND(HU19=1,IE19&gt;0,Slot13_IsWG=1,EN19=1),MAX(0,(Slot13_Cost-EO19*(1+Slot13_Rate)^(Slot13_Age-D19))/LX19),0)</f>
        <v>0</v>
      </c>
      <c r="LZ19" s="20" t="n">
        <f aca="false">IF(AND(HU19=1,IE19&gt;0,Slot13_IsWG=1,EN19=1),MIN(IE19,LY19),0)</f>
        <v>0</v>
      </c>
      <c r="MA19" s="20" t="n">
        <f aca="false">EO19+LZ19</f>
        <v>0</v>
      </c>
      <c r="MB19" s="20" t="n">
        <f aca="false">IF(EN19=1,MAX(0,(Slot13_Cost-MA19*(1+Slot13_Rate)^(Slot13_Age-D19))/LX19),0)</f>
        <v>0</v>
      </c>
      <c r="MC19" s="20" t="n">
        <f aca="false">IF(EN19=1,MAX(0,(Slot13_Cost-EO19*(1+Slot13_Rate)^(Slot13_Age-D19))/LX19),0)</f>
        <v>0</v>
      </c>
      <c r="MD19" s="20" t="n">
        <f aca="false">IF(AND(HU19=1,EN19=1),MIN(LW19,MB19),0)</f>
        <v>0</v>
      </c>
      <c r="ME19" s="20" t="n">
        <f aca="false">LW19-MD19</f>
        <v>1788.02564182657</v>
      </c>
      <c r="MF19" s="20" t="n">
        <f aca="false">IF(EX19=1,IF(ABS((1+AS_Wage)/(1+Slot14_Rate)-1)&lt;0.000000000001,(Slot14_Age-D19)*(1+Slot14_Rate)^(Slot14_Age-D19),(1+Slot14_Rate)^(Slot14_Age-D19)*(1-((1+AS_Wage)/(1+Slot14_Rate))^(Slot14_Age-D19))/(1-(1+AS_Wage)/(1+Slot14_Rate))),1)</f>
        <v>1</v>
      </c>
      <c r="MG19" s="20" t="n">
        <f aca="false">IF(AND(HU19=1,IE19&gt;0,Slot14_IsWG=1,EX19=1),MAX(0,(Slot14_Cost-EY19*(1+Slot14_Rate)^(Slot14_Age-D19))/MF19),0)</f>
        <v>0</v>
      </c>
      <c r="MH19" s="20" t="n">
        <f aca="false">IF(AND(HU19=1,IE19&gt;0,Slot14_IsWG=1,EX19=1),MIN(IE19,MG19),0)</f>
        <v>0</v>
      </c>
      <c r="MI19" s="20" t="n">
        <f aca="false">EY19+MH19</f>
        <v>0</v>
      </c>
      <c r="MJ19" s="20" t="n">
        <f aca="false">IF(EX19=1,MAX(0,(Slot14_Cost-MI19*(1+Slot14_Rate)^(Slot14_Age-D19))/MF19),0)</f>
        <v>0</v>
      </c>
      <c r="MK19" s="20" t="n">
        <f aca="false">IF(EX19=1,MAX(0,(Slot14_Cost-EY19*(1+Slot14_Rate)^(Slot14_Age-D19))/MF19),0)</f>
        <v>0</v>
      </c>
      <c r="ML19" s="20" t="n">
        <f aca="false">IF(AND(HU19=1,EX19=1),MIN(ME19,MJ19),0)</f>
        <v>0</v>
      </c>
      <c r="MM19" s="20" t="n">
        <f aca="false">ME19-ML19</f>
        <v>1788.02564182657</v>
      </c>
      <c r="MN19" s="20" t="n">
        <f aca="false">IF(FH19=1,IF(ABS((1+AS_Wage)/(1+Slot15_Rate)-1)&lt;0.000000000001,(Slot15_Age-D19)*(1+Slot15_Rate)^(Slot15_Age-D19),(1+Slot15_Rate)^(Slot15_Age-D19)*(1-((1+AS_Wage)/(1+Slot15_Rate))^(Slot15_Age-D19))/(1-(1+AS_Wage)/(1+Slot15_Rate))),1)</f>
        <v>1</v>
      </c>
      <c r="MO19" s="20" t="n">
        <f aca="false">IF(AND(HU19=1,IE19&gt;0,Slot15_IsWG=1,FH19=1),MAX(0,(Slot15_Cost-FI19*(1+Slot15_Rate)^(Slot15_Age-D19))/MN19),0)</f>
        <v>0</v>
      </c>
      <c r="MP19" s="20" t="n">
        <f aca="false">IF(AND(HU19=1,IE19&gt;0,Slot15_IsWG=1,FH19=1),MIN(IE19,MO19),0)</f>
        <v>0</v>
      </c>
      <c r="MQ19" s="20" t="n">
        <f aca="false">FI19+MP19</f>
        <v>0</v>
      </c>
      <c r="MR19" s="20" t="n">
        <f aca="false">IF(FH19=1,MAX(0,(Slot15_Cost-MQ19*(1+Slot15_Rate)^(Slot15_Age-D19))/MN19),0)</f>
        <v>0</v>
      </c>
      <c r="MS19" s="20" t="n">
        <f aca="false">IF(FH19=1,MAX(0,(Slot15_Cost-FI19*(1+Slot15_Rate)^(Slot15_Age-D19))/MN19),0)</f>
        <v>0</v>
      </c>
      <c r="MT19" s="20" t="n">
        <f aca="false">IF(AND(HU19=1,FH19=1),MIN(MM19,MR19),0)</f>
        <v>0</v>
      </c>
      <c r="MU19" s="20" t="n">
        <f aca="false">MM19-MT19</f>
        <v>1788.02564182657</v>
      </c>
      <c r="MV19" s="20" t="n">
        <f aca="false">IF(FR19=1,IF(ABS((1+AS_Wage)/(1+Slot16_Rate)-1)&lt;0.000000000001,(Slot16_Age-D19)*(1+Slot16_Rate)^(Slot16_Age-D19),(1+Slot16_Rate)^(Slot16_Age-D19)*(1-((1+AS_Wage)/(1+Slot16_Rate))^(Slot16_Age-D19))/(1-(1+AS_Wage)/(1+Slot16_Rate))),1)</f>
        <v>1</v>
      </c>
      <c r="MW19" s="20" t="n">
        <f aca="false">IF(AND(HU19=1,IE19&gt;0,Slot16_IsWG=1,FR19=1),MAX(0,(Slot16_Cost-FS19*(1+Slot16_Rate)^(Slot16_Age-D19))/MV19),0)</f>
        <v>0</v>
      </c>
      <c r="MX19" s="20" t="n">
        <f aca="false">IF(AND(HU19=1,IE19&gt;0,Slot16_IsWG=1,FR19=1),MIN(IE19,MW19),0)</f>
        <v>0</v>
      </c>
      <c r="MY19" s="20" t="n">
        <f aca="false">FS19+MX19</f>
        <v>0</v>
      </c>
      <c r="MZ19" s="20" t="n">
        <f aca="false">IF(FR19=1,MAX(0,(Slot16_Cost-MY19*(1+Slot16_Rate)^(Slot16_Age-D19))/MV19),0)</f>
        <v>0</v>
      </c>
      <c r="NA19" s="20" t="n">
        <f aca="false">IF(FR19=1,MAX(0,(Slot16_Cost-FS19*(1+Slot16_Rate)^(Slot16_Age-D19))/MV19),0)</f>
        <v>0</v>
      </c>
      <c r="NB19" s="20" t="n">
        <f aca="false">IF(AND(HU19=1,FR19=1),MIN(MU19,MZ19),0)</f>
        <v>0</v>
      </c>
      <c r="NC19" s="20" t="n">
        <f aca="false">MU19-NB19</f>
        <v>1788.02564182657</v>
      </c>
      <c r="ND19" s="20" t="n">
        <f aca="false">IF(GB19=1,IF(ABS((1+AS_Wage)/(1+Slot17_Rate)-1)&lt;0.000000000001,(Slot17_Age-D19)*(1+Slot17_Rate)^(Slot17_Age-D19),(1+Slot17_Rate)^(Slot17_Age-D19)*(1-((1+AS_Wage)/(1+Slot17_Rate))^(Slot17_Age-D19))/(1-(1+AS_Wage)/(1+Slot17_Rate))),1)</f>
        <v>1</v>
      </c>
      <c r="NE19" s="20" t="n">
        <f aca="false">IF(AND(HU19=1,IE19&gt;0,Slot17_IsWG=1,GB19=1),MAX(0,(Slot17_Cost-GC19*(1+Slot17_Rate)^(Slot17_Age-D19))/ND19),0)</f>
        <v>0</v>
      </c>
      <c r="NF19" s="20" t="n">
        <f aca="false">IF(AND(HU19=1,IE19&gt;0,Slot17_IsWG=1,GB19=1),MIN(IE19,NE19),0)</f>
        <v>0</v>
      </c>
      <c r="NG19" s="20" t="n">
        <f aca="false">GC19+NF19</f>
        <v>0</v>
      </c>
      <c r="NH19" s="20" t="n">
        <f aca="false">IF(GB19=1,MAX(0,(Slot17_Cost-NG19*(1+Slot17_Rate)^(Slot17_Age-D19))/ND19),0)</f>
        <v>0</v>
      </c>
      <c r="NI19" s="20" t="n">
        <f aca="false">IF(GB19=1,MAX(0,(Slot17_Cost-GC19*(1+Slot17_Rate)^(Slot17_Age-D19))/ND19),0)</f>
        <v>0</v>
      </c>
      <c r="NJ19" s="20" t="n">
        <f aca="false">IF(AND(HU19=1,GB19=1),MIN(NC19,NH19),0)</f>
        <v>0</v>
      </c>
      <c r="NK19" s="20" t="n">
        <f aca="false">NC19-NJ19</f>
        <v>1788.02564182657</v>
      </c>
      <c r="NL19" s="20" t="n">
        <f aca="false">IF(GL19=1,IF(ABS((1+AS_Wage)/(1+Slot18_Rate)-1)&lt;0.000000000001,(Slot18_Age-D19)*(1+Slot18_Rate)^(Slot18_Age-D19),(1+Slot18_Rate)^(Slot18_Age-D19)*(1-((1+AS_Wage)/(1+Slot18_Rate))^(Slot18_Age-D19))/(1-(1+AS_Wage)/(1+Slot18_Rate))),1)</f>
        <v>1</v>
      </c>
      <c r="NM19" s="20" t="n">
        <f aca="false">IF(AND(HU19=1,IE19&gt;0,Slot18_IsWG=1,GL19=1),MAX(0,(Slot18_Cost-GM19*(1+Slot18_Rate)^(Slot18_Age-D19))/NL19),0)</f>
        <v>0</v>
      </c>
      <c r="NN19" s="20" t="n">
        <f aca="false">IF(AND(HU19=1,IE19&gt;0,Slot18_IsWG=1,GL19=1),MIN(IE19,NM19),0)</f>
        <v>0</v>
      </c>
      <c r="NO19" s="20" t="n">
        <f aca="false">GM19+NN19</f>
        <v>0</v>
      </c>
      <c r="NP19" s="20" t="n">
        <f aca="false">IF(GL19=1,MAX(0,(Slot18_Cost-NO19*(1+Slot18_Rate)^(Slot18_Age-D19))/NL19),0)</f>
        <v>0</v>
      </c>
      <c r="NQ19" s="20" t="n">
        <f aca="false">IF(GL19=1,MAX(0,(Slot18_Cost-GM19*(1+Slot18_Rate)^(Slot18_Age-D19))/NL19),0)</f>
        <v>0</v>
      </c>
      <c r="NR19" s="20" t="n">
        <f aca="false">IF(AND(HU19=1,GL19=1),MIN(NK19,NP19),0)</f>
        <v>0</v>
      </c>
      <c r="NS19" s="20" t="n">
        <f aca="false">NK19-NR19</f>
        <v>1788.02564182657</v>
      </c>
      <c r="NT19" s="20" t="n">
        <f aca="false">IF(GV19=1,IF(ABS((1+AS_Wage)/(1+Slot19_Rate)-1)&lt;0.000000000001,(Slot19_Age-D19)*(1+Slot19_Rate)^(Slot19_Age-D19),(1+Slot19_Rate)^(Slot19_Age-D19)*(1-((1+AS_Wage)/(1+Slot19_Rate))^(Slot19_Age-D19))/(1-(1+AS_Wage)/(1+Slot19_Rate))),1)</f>
        <v>1</v>
      </c>
      <c r="NU19" s="20" t="n">
        <f aca="false">IF(AND(HU19=1,IE19&gt;0,Slot19_IsWG=1,GV19=1),MAX(0,(Slot19_Cost-GW19*(1+Slot19_Rate)^(Slot19_Age-D19))/NT19),0)</f>
        <v>0</v>
      </c>
      <c r="NV19" s="20" t="n">
        <f aca="false">IF(AND(HU19=1,IE19&gt;0,Slot19_IsWG=1,GV19=1),MIN(IE19,NU19),0)</f>
        <v>0</v>
      </c>
      <c r="NW19" s="20" t="n">
        <f aca="false">GW19+NV19</f>
        <v>0</v>
      </c>
      <c r="NX19" s="20" t="n">
        <f aca="false">IF(GV19=1,MAX(0,(Slot19_Cost-NW19*(1+Slot19_Rate)^(Slot19_Age-D19))/NT19),0)</f>
        <v>0</v>
      </c>
      <c r="NY19" s="20" t="n">
        <f aca="false">IF(GV19=1,MAX(0,(Slot19_Cost-GW19*(1+Slot19_Rate)^(Slot19_Age-D19))/NT19),0)</f>
        <v>0</v>
      </c>
      <c r="NZ19" s="20" t="n">
        <f aca="false">IF(AND(HU19=1,GV19=1),MIN(NS19,NX19),0)</f>
        <v>0</v>
      </c>
      <c r="OA19" s="20" t="n">
        <f aca="false">NS19-NZ19</f>
        <v>1788.02564182657</v>
      </c>
      <c r="OB19" s="20" t="n">
        <f aca="false">IF(HF19=1,IF(ABS((1+AS_Wage)/(1+Slot20_Rate)-1)&lt;0.000000000001,(Slot20_Age-D19)*(1+Slot20_Rate)^(Slot20_Age-D19),(1+Slot20_Rate)^(Slot20_Age-D19)*(1-((1+AS_Wage)/(1+Slot20_Rate))^(Slot20_Age-D19))/(1-(1+AS_Wage)/(1+Slot20_Rate))),1)</f>
        <v>1</v>
      </c>
      <c r="OC19" s="20" t="n">
        <f aca="false">IF(AND(HU19=1,IE19&gt;0,Slot20_IsWG=1,HF19=1),MAX(0,(Slot20_Cost-HG19*(1+Slot20_Rate)^(Slot20_Age-D19))/OB19),0)</f>
        <v>0</v>
      </c>
      <c r="OD19" s="20" t="n">
        <f aca="false">IF(AND(HU19=1,IE19&gt;0,Slot20_IsWG=1,HF19=1),MIN(IE19,OC19),0)</f>
        <v>0</v>
      </c>
      <c r="OE19" s="20" t="n">
        <f aca="false">HG19+OD19</f>
        <v>0</v>
      </c>
      <c r="OF19" s="20" t="n">
        <f aca="false">IF(HF19=1,MAX(0,(Slot20_Cost-OE19*(1+Slot20_Rate)^(Slot20_Age-D19))/OB19),0)</f>
        <v>0</v>
      </c>
      <c r="OG19" s="20" t="n">
        <f aca="false">IF(HF19=1,MAX(0,(Slot20_Cost-HG19*(1+Slot20_Rate)^(Slot20_Age-D19))/OB19),0)</f>
        <v>0</v>
      </c>
      <c r="OH19" s="20" t="n">
        <f aca="false">IF(AND(HU19=1,HF19=1),MIN(OA19,OF19),0)</f>
        <v>0</v>
      </c>
      <c r="OI19" s="20" t="n">
        <f aca="false">OA19-OH19</f>
        <v>1788.02564182657</v>
      </c>
      <c r="OJ19" s="20" t="n">
        <f aca="false">IE19-(IH19+IP19+IX19+JF19+JN19+JV19+KD19+KL19+KT19+LB19+LJ19+LR19+LZ19+MH19+MP19+MX19+NF19+NN19+NV19+OD19)</f>
        <v>0</v>
      </c>
      <c r="OK19" s="20" t="n">
        <f aca="false">IF(HU19=1,HS19-ID19-IE19,0)</f>
        <v>6650.98756170739</v>
      </c>
      <c r="OL19" s="20" t="n">
        <f aca="false">IF(HU19=0,-HS19,0)</f>
        <v>0</v>
      </c>
      <c r="OM19" s="20" t="n">
        <f aca="false">MIN(OL19,HK19)</f>
        <v>0</v>
      </c>
      <c r="ON19" s="20" t="n">
        <f aca="false">OL19-OM19</f>
        <v>0</v>
      </c>
      <c r="OO19" s="20" t="n">
        <f aca="false">MIN(ON19,HL19)</f>
        <v>0</v>
      </c>
      <c r="OP19" s="20" t="n">
        <f aca="false">ON19-OO19</f>
        <v>0</v>
      </c>
      <c r="OQ19" s="20" t="n">
        <f aca="false">IF(AND(HU19=0,HF19=1,OP19&gt;0),MIN(OP19,HG19),0)</f>
        <v>0</v>
      </c>
      <c r="OR19" s="20" t="n">
        <f aca="false">OP19-OQ19</f>
        <v>0</v>
      </c>
      <c r="OS19" s="20" t="n">
        <f aca="false">IF(AND(HU19=0,GV19=1,OR19&gt;0),MIN(OR19,GW19),0)</f>
        <v>0</v>
      </c>
      <c r="OT19" s="20" t="n">
        <f aca="false">OR19-OS19</f>
        <v>0</v>
      </c>
      <c r="OU19" s="20" t="n">
        <f aca="false">IF(AND(HU19=0,GL19=1,OT19&gt;0),MIN(OT19,GM19),0)</f>
        <v>0</v>
      </c>
      <c r="OV19" s="20" t="n">
        <f aca="false">OT19-OU19</f>
        <v>0</v>
      </c>
      <c r="OW19" s="20" t="n">
        <f aca="false">IF(AND(HU19=0,GB19=1,OV19&gt;0),MIN(OV19,GC19),0)</f>
        <v>0</v>
      </c>
      <c r="OX19" s="20" t="n">
        <f aca="false">OV19-OW19</f>
        <v>0</v>
      </c>
      <c r="OY19" s="20" t="n">
        <f aca="false">IF(AND(HU19=0,FR19=1,OX19&gt;0),MIN(OX19,FS19),0)</f>
        <v>0</v>
      </c>
      <c r="OZ19" s="20" t="n">
        <f aca="false">OX19-OY19</f>
        <v>0</v>
      </c>
      <c r="PA19" s="20" t="n">
        <f aca="false">IF(AND(HU19=0,FH19=1,OZ19&gt;0),MIN(OZ19,FI19),0)</f>
        <v>0</v>
      </c>
      <c r="PB19" s="20" t="n">
        <f aca="false">OZ19-PA19</f>
        <v>0</v>
      </c>
      <c r="PC19" s="20" t="n">
        <f aca="false">IF(AND(HU19=0,EX19=1,PB19&gt;0),MIN(PB19,EY19),0)</f>
        <v>0</v>
      </c>
      <c r="PD19" s="20" t="n">
        <f aca="false">PB19-PC19</f>
        <v>0</v>
      </c>
      <c r="PE19" s="20" t="n">
        <f aca="false">IF(AND(HU19=0,EN19=1,PD19&gt;0),MIN(PD19,EO19),0)</f>
        <v>0</v>
      </c>
      <c r="PF19" s="20" t="n">
        <f aca="false">PD19-PE19</f>
        <v>0</v>
      </c>
      <c r="PG19" s="20" t="n">
        <f aca="false">IF(AND(HU19=0,ED19=1,PF19&gt;0),MIN(PF19,EE19),0)</f>
        <v>0</v>
      </c>
      <c r="PH19" s="20" t="n">
        <f aca="false">PF19-PG19</f>
        <v>0</v>
      </c>
      <c r="PI19" s="20" t="n">
        <f aca="false">IF(AND(HU19=0,DT19=1,PH19&gt;0),MIN(PH19,DU19),0)</f>
        <v>0</v>
      </c>
      <c r="PJ19" s="20" t="n">
        <f aca="false">PH19-PI19</f>
        <v>0</v>
      </c>
      <c r="PK19" s="20" t="n">
        <f aca="false">IF(AND(HU19=0,DJ19=1,PJ19&gt;0),MIN(PJ19,DK19),0)</f>
        <v>0</v>
      </c>
      <c r="PL19" s="20" t="n">
        <f aca="false">PJ19-PK19</f>
        <v>0</v>
      </c>
      <c r="PM19" s="20" t="n">
        <f aca="false">IF(AND(HU19=0,CZ19=1,PL19&gt;0),MIN(PL19,DA19),0)</f>
        <v>0</v>
      </c>
      <c r="PN19" s="20" t="n">
        <f aca="false">PL19-PM19</f>
        <v>0</v>
      </c>
      <c r="PO19" s="20" t="n">
        <f aca="false">IF(AND(HU19=0,CP19=1,PN19&gt;0),MIN(PN19,CQ19),0)</f>
        <v>0</v>
      </c>
      <c r="PP19" s="20" t="n">
        <f aca="false">PN19-PO19</f>
        <v>0</v>
      </c>
      <c r="PQ19" s="20" t="n">
        <f aca="false">IF(AND(HU19=0,CF19=1,PP19&gt;0),MIN(PP19,CG19),0)</f>
        <v>0</v>
      </c>
      <c r="PR19" s="20" t="n">
        <f aca="false">PP19-PQ19</f>
        <v>0</v>
      </c>
      <c r="PS19" s="20" t="n">
        <f aca="false">IF(AND(HU19=0,BV19=1,PR19&gt;0),MIN(PR19,BW19),0)</f>
        <v>0</v>
      </c>
      <c r="PT19" s="20" t="n">
        <f aca="false">PR19-PS19</f>
        <v>0</v>
      </c>
      <c r="PU19" s="20" t="n">
        <f aca="false">IF(AND(HU19=0,BL19=1,PT19&gt;0),MIN(PT19,BM19),0)</f>
        <v>0</v>
      </c>
      <c r="PV19" s="20" t="n">
        <f aca="false">PT19-PU19</f>
        <v>0</v>
      </c>
      <c r="PW19" s="20" t="n">
        <f aca="false">IF(AND(HU19=0,BB19=1,PV19&gt;0),MIN(PV19,BC19),0)</f>
        <v>0</v>
      </c>
      <c r="PX19" s="20" t="n">
        <f aca="false">PV19-PW19</f>
        <v>0</v>
      </c>
      <c r="PY19" s="20" t="n">
        <f aca="false">IF(AND(HU19=0,AR19=1,PX19&gt;0),MIN(PX19,AS19),0)</f>
        <v>0</v>
      </c>
      <c r="PZ19" s="20" t="n">
        <f aca="false">PX19-PY19</f>
        <v>0</v>
      </c>
      <c r="QA19" s="20" t="n">
        <f aca="false">IF(AND(HU19=0,AH19=1,PZ19&gt;0),MIN(PZ19,AI19),0)</f>
        <v>0</v>
      </c>
      <c r="QB19" s="20" t="n">
        <f aca="false">PZ19-QA19</f>
        <v>0</v>
      </c>
      <c r="QC19" s="20" t="n">
        <f aca="false">IF(AND(HU19=0,W19=1,QB19&gt;0),MIN(QB19,X19),0)</f>
        <v>0</v>
      </c>
      <c r="QD19" s="20" t="n">
        <f aca="false">QB19-QC19</f>
        <v>0</v>
      </c>
      <c r="QE19" s="20" t="n">
        <f aca="false">IF(HU19=0,QD19,0)</f>
        <v>0</v>
      </c>
      <c r="QF19" s="20" t="n">
        <f aca="false">OM19+OO19+QC19+QA19+PY19+PW19+PU19+PS19+PQ19+PO19+PM19+PK19+PI19+PG19+PE19+PC19+PA19+OY19+OW19+OU19+OS19+OQ19</f>
        <v>0</v>
      </c>
      <c r="QG19" s="20" t="n">
        <f aca="false">IF(HU19=1,HK19+OJ19+OI19+IF(G19=1,0,OK19),HK19-OM19)</f>
        <v>3176.47568397831</v>
      </c>
      <c r="QH19" s="20" t="n">
        <f aca="false">HL19-OO19</f>
        <v>12444.4339074426</v>
      </c>
      <c r="QI19" s="20" t="n">
        <f aca="false">IF(HU19=1,IF(G19=1,ID19+IE19,HS19),0)</f>
        <v>6650.98756170739</v>
      </c>
      <c r="QJ19" s="20" t="n">
        <f aca="false">IF(HU19=1,IF(G19=1,HS19-ID19-IE19,0),0)</f>
        <v>6650.98756170739</v>
      </c>
      <c r="QK19" s="57" t="n">
        <f aca="false">'Plan holdings'!BM19</f>
        <v>3255.14565251333</v>
      </c>
      <c r="QL19" s="20" t="n">
        <f aca="false">QH19*(1+AS_Cash)</f>
        <v>12568.878246517</v>
      </c>
      <c r="QM19" s="20" t="n">
        <f aca="false">IF(W19=1,IF(HU19=1,II19+IL19,X19-QC19)*(1+Slot1_Rate),0)</f>
        <v>0</v>
      </c>
      <c r="QN19" s="20" t="n">
        <f aca="false">IF(AND(HU19=1,W19=1),(IH19+IL19)/F19,0)</f>
        <v>0</v>
      </c>
      <c r="QO19" s="20" t="n">
        <f aca="false">IF(B19=0,IH19+IL19,0)</f>
        <v>0</v>
      </c>
      <c r="QP19" s="20" t="n">
        <f aca="false">IF(B19=0,IF(HU19=1,IJ19,IK19),0)</f>
        <v>0</v>
      </c>
      <c r="QQ19" s="20" t="n">
        <f aca="false">IF(AH19=1,IF(HU19=1,IQ19+IT19,AI19-QA19)*(1+Slot2_Rate),0)</f>
        <v>0</v>
      </c>
      <c r="QR19" s="20" t="n">
        <f aca="false">IF(AND(HU19=1,AH19=1),(IP19+IT19)/F19,0)</f>
        <v>0</v>
      </c>
      <c r="QS19" s="20" t="n">
        <f aca="false">IF(B19=0,IP19+IT19,0)</f>
        <v>0</v>
      </c>
      <c r="QT19" s="20" t="n">
        <f aca="false">IF(B19=0,IF(HU19=1,IR19,IS19),0)</f>
        <v>0</v>
      </c>
      <c r="QU19" s="20" t="n">
        <f aca="false">IF(AR19=1,IF(HU19=1,IY19+JB19,AS19-PY19)*(1+Slot3_Rate),0)</f>
        <v>0</v>
      </c>
      <c r="QV19" s="20" t="n">
        <f aca="false">IF(AND(HU19=1,AR19=1),(IX19+JB19)/F19,0)</f>
        <v>0</v>
      </c>
      <c r="QW19" s="20" t="n">
        <f aca="false">IF(B19=0,IX19+JB19,0)</f>
        <v>0</v>
      </c>
      <c r="QX19" s="20" t="n">
        <f aca="false">IF(B19=0,IF(HU19=1,IZ19,JA19),0)</f>
        <v>0</v>
      </c>
      <c r="QY19" s="20" t="n">
        <f aca="false">IF(BB19=1,IF(HU19=1,JG19+JJ19,BC19-PW19)*(1+Slot4_Rate),0)</f>
        <v>9959.42155307197</v>
      </c>
      <c r="QZ19" s="20" t="n">
        <f aca="false">IF(AND(HU19=1,BB19=1),(JF19+JJ19)/F19,0)</f>
        <v>3911.10053267829</v>
      </c>
      <c r="RA19" s="20" t="n">
        <f aca="false">IF(B19=0,JF19+JJ19,0)</f>
        <v>0</v>
      </c>
      <c r="RB19" s="20" t="n">
        <f aca="false">IF(B19=0,IF(HU19=1,JH19,JI19),0)</f>
        <v>0</v>
      </c>
      <c r="RC19" s="20" t="n">
        <f aca="false">IF(BL19=1,IF(HU19=1,JO19+JR19,BM19-PU19)*(1+Slot5_Rate),0)</f>
        <v>0</v>
      </c>
      <c r="RD19" s="20" t="n">
        <f aca="false">IF(AND(HU19=1,BL19=1),(JN19+JR19)/F19,0)</f>
        <v>0</v>
      </c>
      <c r="RE19" s="20" t="n">
        <f aca="false">IF(B19=0,JN19+JR19,0)</f>
        <v>0</v>
      </c>
      <c r="RF19" s="20" t="n">
        <f aca="false">IF(B19=0,IF(HU19=1,JP19,JQ19),0)</f>
        <v>0</v>
      </c>
      <c r="RG19" s="20" t="n">
        <f aca="false">IF(BV19=1,IF(HU19=1,JW19+JZ19,BW19-PS19)*(1+Slot6_Rate),0)</f>
        <v>0</v>
      </c>
      <c r="RH19" s="20" t="n">
        <f aca="false">IF(AND(HU19=1,BV19=1),(JV19+JZ19)/F19,0)</f>
        <v>0</v>
      </c>
      <c r="RI19" s="20" t="n">
        <f aca="false">IF(B19=0,JV19+JZ19,0)</f>
        <v>0</v>
      </c>
      <c r="RJ19" s="20" t="n">
        <f aca="false">IF(B19=0,IF(HU19=1,JX19,JY19),0)</f>
        <v>0</v>
      </c>
      <c r="RK19" s="20" t="n">
        <f aca="false">IF(CF19=1,IF(HU19=1,KE19+KH19,CG19-PQ19)*(1+Slot7_Rate),0)</f>
        <v>0</v>
      </c>
      <c r="RL19" s="20" t="n">
        <f aca="false">IF(AND(HU19=1,CF19=1),(KD19+KH19)/F19,0)</f>
        <v>0</v>
      </c>
      <c r="RM19" s="20" t="n">
        <f aca="false">IF(B19=0,KD19+KH19,0)</f>
        <v>0</v>
      </c>
      <c r="RN19" s="20" t="n">
        <f aca="false">IF(B19=0,IF(HU19=1,KF19,KG19),0)</f>
        <v>0</v>
      </c>
      <c r="RO19" s="20" t="n">
        <f aca="false">IF(CP19=1,IF(HU19=1,KM19+KP19,CQ19-PO19)*(1+Slot8_Rate),0)</f>
        <v>0</v>
      </c>
      <c r="RP19" s="20" t="n">
        <f aca="false">IF(AND(HU19=1,CP19=1),(KL19+KP19)/F19,0)</f>
        <v>0</v>
      </c>
      <c r="RQ19" s="20" t="n">
        <f aca="false">IF(B19=0,KL19+KP19,0)</f>
        <v>0</v>
      </c>
      <c r="RR19" s="20" t="n">
        <f aca="false">IF(B19=0,IF(HU19=1,KN19,KO19),0)</f>
        <v>0</v>
      </c>
      <c r="RS19" s="20" t="n">
        <f aca="false">IF(CZ19=1,IF(HU19=1,KU19+KX19,DA19-PM19)*(1+Slot9_Rate),0)</f>
        <v>0</v>
      </c>
      <c r="RT19" s="20" t="n">
        <f aca="false">IF(AND(HU19=1,CZ19=1),(KT19+KX19)/F19,0)</f>
        <v>0</v>
      </c>
      <c r="RU19" s="20" t="n">
        <f aca="false">IF(B19=0,KT19+KX19,0)</f>
        <v>0</v>
      </c>
      <c r="RV19" s="20" t="n">
        <f aca="false">IF(B19=0,IF(HU19=1,KV19,KW19),0)</f>
        <v>0</v>
      </c>
      <c r="RW19" s="20" t="n">
        <f aca="false">IF(DJ19=1,IF(HU19=1,LC19+LF19,DK19-PK19)*(1+Slot10_Rate),0)</f>
        <v>0</v>
      </c>
      <c r="RX19" s="20" t="n">
        <f aca="false">IF(AND(HU19=1,DJ19=1),(LB19+LF19)/F19,0)</f>
        <v>0</v>
      </c>
      <c r="RY19" s="20" t="n">
        <f aca="false">IF(B19=0,LB19+LF19,0)</f>
        <v>0</v>
      </c>
      <c r="RZ19" s="20" t="n">
        <f aca="false">IF(B19=0,IF(HU19=1,LD19,LE19),0)</f>
        <v>0</v>
      </c>
      <c r="SA19" s="20" t="n">
        <f aca="false">IF(DT19=1,IF(HU19=1,LK19+LN19,DU19-PI19)*(1+Slot11_Rate),0)</f>
        <v>0</v>
      </c>
      <c r="SB19" s="20" t="n">
        <f aca="false">IF(AND(HU19=1,DT19=1),(LJ19+LN19)/F19,0)</f>
        <v>0</v>
      </c>
      <c r="SC19" s="20" t="n">
        <f aca="false">IF(B19=0,LJ19+LN19,0)</f>
        <v>0</v>
      </c>
      <c r="SD19" s="20" t="n">
        <f aca="false">IF(B19=0,IF(HU19=1,LL19,LM19),0)</f>
        <v>0</v>
      </c>
      <c r="SE19" s="20" t="n">
        <f aca="false">IF(ED19=1,IF(HU19=1,LS19+LV19,EE19-PG19)*(1+Slot12_Rate),0)</f>
        <v>0</v>
      </c>
      <c r="SF19" s="20" t="n">
        <f aca="false">IF(AND(HU19=1,ED19=1),(LR19+LV19)/F19,0)</f>
        <v>0</v>
      </c>
      <c r="SG19" s="20" t="n">
        <f aca="false">IF(B19=0,LR19+LV19,0)</f>
        <v>0</v>
      </c>
      <c r="SH19" s="20" t="n">
        <f aca="false">IF(B19=0,IF(HU19=1,LT19,LU19),0)</f>
        <v>0</v>
      </c>
      <c r="SI19" s="20" t="n">
        <f aca="false">IF(EN19=1,IF(HU19=1,MA19+MD19,EO19-PE19)*(1+Slot13_Rate),0)</f>
        <v>0</v>
      </c>
      <c r="SJ19" s="20" t="n">
        <f aca="false">IF(AND(HU19=1,EN19=1),(LZ19+MD19)/F19,0)</f>
        <v>0</v>
      </c>
      <c r="SK19" s="20" t="n">
        <f aca="false">IF(B19=0,LZ19+MD19,0)</f>
        <v>0</v>
      </c>
      <c r="SL19" s="20" t="n">
        <f aca="false">IF(B19=0,IF(HU19=1,MB19,MC19),0)</f>
        <v>0</v>
      </c>
      <c r="SM19" s="20" t="n">
        <f aca="false">IF(EX19=1,IF(HU19=1,MI19+ML19,EY19-PC19)*(1+Slot14_Rate),0)</f>
        <v>0</v>
      </c>
      <c r="SN19" s="20" t="n">
        <f aca="false">IF(AND(HU19=1,EX19=1),(MH19+ML19)/F19,0)</f>
        <v>0</v>
      </c>
      <c r="SO19" s="20" t="n">
        <f aca="false">IF(B19=0,MH19+ML19,0)</f>
        <v>0</v>
      </c>
      <c r="SP19" s="20" t="n">
        <f aca="false">IF(B19=0,IF(HU19=1,MJ19,MK19),0)</f>
        <v>0</v>
      </c>
      <c r="SQ19" s="20" t="n">
        <f aca="false">IF(FH19=1,IF(HU19=1,MQ19+MT19,FI19-PA19)*(1+Slot15_Rate),0)</f>
        <v>0</v>
      </c>
      <c r="SR19" s="20" t="n">
        <f aca="false">IF(AND(HU19=1,FH19=1),(MP19+MT19)/F19,0)</f>
        <v>0</v>
      </c>
      <c r="SS19" s="20" t="n">
        <f aca="false">IF(B19=0,MP19+MT19,0)</f>
        <v>0</v>
      </c>
      <c r="ST19" s="20" t="n">
        <f aca="false">IF(B19=0,IF(HU19=1,MR19,MS19),0)</f>
        <v>0</v>
      </c>
      <c r="SU19" s="20" t="n">
        <f aca="false">IF(FR19=1,IF(HU19=1,MY19+NB19,FS19-OY19)*(1+Slot16_Rate),0)</f>
        <v>0</v>
      </c>
      <c r="SV19" s="20" t="n">
        <f aca="false">IF(AND(HU19=1,FR19=1),(MX19+NB19)/F19,0)</f>
        <v>0</v>
      </c>
      <c r="SW19" s="20" t="n">
        <f aca="false">IF(B19=0,MX19+NB19,0)</f>
        <v>0</v>
      </c>
      <c r="SX19" s="20" t="n">
        <f aca="false">IF(B19=0,IF(HU19=1,MZ19,NA19),0)</f>
        <v>0</v>
      </c>
      <c r="SY19" s="20" t="n">
        <f aca="false">IF(GB19=1,IF(HU19=1,NG19+NJ19,GC19-OW19)*(1+Slot17_Rate),0)</f>
        <v>0</v>
      </c>
      <c r="SZ19" s="20" t="n">
        <f aca="false">IF(AND(HU19=1,GB19=1),(NF19+NJ19)/F19,0)</f>
        <v>0</v>
      </c>
      <c r="TA19" s="20" t="n">
        <f aca="false">IF(B19=0,NF19+NJ19,0)</f>
        <v>0</v>
      </c>
      <c r="TB19" s="20" t="n">
        <f aca="false">IF(B19=0,IF(HU19=1,NH19,NI19),0)</f>
        <v>0</v>
      </c>
      <c r="TC19" s="20" t="n">
        <f aca="false">IF(GL19=1,IF(HU19=1,NO19+NR19,GM19-OU19)*(1+Slot18_Rate),0)</f>
        <v>0</v>
      </c>
      <c r="TD19" s="20" t="n">
        <f aca="false">IF(AND(HU19=1,GL19=1),(NN19+NR19)/F19,0)</f>
        <v>0</v>
      </c>
      <c r="TE19" s="20" t="n">
        <f aca="false">IF(B19=0,NN19+NR19,0)</f>
        <v>0</v>
      </c>
      <c r="TF19" s="20" t="n">
        <f aca="false">IF(B19=0,IF(HU19=1,NP19,NQ19),0)</f>
        <v>0</v>
      </c>
      <c r="TG19" s="20" t="n">
        <f aca="false">IF(GV19=1,IF(HU19=1,NW19+NZ19,GW19-OS19)*(1+Slot19_Rate),0)</f>
        <v>0</v>
      </c>
      <c r="TH19" s="20" t="n">
        <f aca="false">IF(AND(HU19=1,GV19=1),(NV19+NZ19)/F19,0)</f>
        <v>0</v>
      </c>
      <c r="TI19" s="20" t="n">
        <f aca="false">IF(B19=0,NV19+NZ19,0)</f>
        <v>0</v>
      </c>
      <c r="TJ19" s="20" t="n">
        <f aca="false">IF(B19=0,IF(HU19=1,NX19,NY19),0)</f>
        <v>0</v>
      </c>
      <c r="TK19" s="20" t="n">
        <f aca="false">IF(HF19=1,IF(HU19=1,OE19+OH19,HG19-OQ19)*(1+Slot20_Rate),0)</f>
        <v>0</v>
      </c>
      <c r="TL19" s="20" t="n">
        <f aca="false">IF(AND(HU19=1,HF19=1),(OD19+OH19)/F19,0)</f>
        <v>0</v>
      </c>
      <c r="TM19" s="20" t="n">
        <f aca="false">IF(B19=0,OD19+OH19,0)</f>
        <v>0</v>
      </c>
      <c r="TN19" s="20" t="n">
        <f aca="false">IF(B19=0,IF(HU19=1,OF19,OG19),0)</f>
        <v>0</v>
      </c>
      <c r="TO19" s="20" t="n">
        <f aca="false">QK19+QL19+QM19+QQ19+QU19+QY19+RC19+RG19+RK19+RO19+RS19+RW19+SA19+SE19+SI19+SM19+SQ19+SU19+SY19+TC19+TG19+TK19</f>
        <v>25783.4454521023</v>
      </c>
      <c r="TP19" s="20" t="n">
        <f aca="false">QE19+HP19</f>
        <v>0</v>
      </c>
      <c r="TQ19" s="20" t="n">
        <f aca="false">I19+S19</f>
        <v>70111.8438777594</v>
      </c>
      <c r="TR19" s="20" t="n">
        <f aca="false">1-G19</f>
        <v>0</v>
      </c>
      <c r="TS19" s="20" t="n">
        <f aca="false">IF(AND(RG_Exists=1,G19=0,C19=1),I19,0)</f>
        <v>0</v>
      </c>
      <c r="TT19" s="20" t="n">
        <f aca="false">IF(AND(RG_Exists=1,G19=0,C19=1),I19-MIN(QE19,I19),0)</f>
        <v>0</v>
      </c>
      <c r="TU19" s="20" t="n">
        <f aca="false">'Plan pay &amp; tax'!AD245</f>
        <v>234473.610262709</v>
      </c>
      <c r="TV19" s="20" t="n">
        <f aca="false">IF(AND(C19=1,QE19&gt;MAX(PR_Short1,TQ19*PR_Short2)),1,0)</f>
        <v>0</v>
      </c>
      <c r="TW19" s="20" t="n">
        <f aca="false">MIN(H19,I19+S19)</f>
        <v>70111.8438777594</v>
      </c>
      <c r="TX19" s="20" t="n">
        <f aca="false">QF19+MAX(0,HQ19-HP19)</f>
        <v>0</v>
      </c>
      <c r="TY19" s="20" t="n">
        <f aca="false">QE19+HP19</f>
        <v>0</v>
      </c>
      <c r="TZ19" s="20" t="n">
        <f aca="false">IF(AND(C19=1,TY19&gt;PR_MinShort),1,0)</f>
        <v>0</v>
      </c>
      <c r="UA19" s="20" t="n">
        <f aca="false">IF(AND(C19=1,TZ19=0,TX19&gt;PR_MinShort),1,0)</f>
        <v>0</v>
      </c>
      <c r="UB19" s="20" t="n">
        <f aca="false">IF(AND(C19=1,QE19&gt;PR_MinShort),1,0)</f>
        <v>0</v>
      </c>
      <c r="UC19" s="20" t="n">
        <f aca="false">IF(AND(C19=1,QF19&gt;1,UJ19=0),1,0)</f>
        <v>0</v>
      </c>
      <c r="UD19" s="20" t="str">
        <f aca="false">IF(C19=0,"",IF(UJ19=1,"Gap to plan for: short "&amp;"€"&amp;TEXT(ROUND(TP19,0),"#,##0"),IF(QF19&gt;1,"Using savings","Comfortable")))</f>
        <v>Comfortable</v>
      </c>
      <c r="UE19" s="20" t="n">
        <f aca="false">IF(AND(INT(D19/10)*10=90,B19&gt;0),80,INT(D19/10)*10)</f>
        <v>40</v>
      </c>
      <c r="UF19" s="20" t="n">
        <f aca="false">IF(B19=0,1,IF(UE19&lt;&gt;UE18,UF18+1,UF18))</f>
        <v>2</v>
      </c>
      <c r="UG19" s="20" t="n">
        <f aca="false">IF(AND(C19=1,G19=1,QE19&gt;MAX(PR_Short1,TQ19*PR_Short2)),1,0)</f>
        <v>0</v>
      </c>
      <c r="UH19" s="20" t="n">
        <f aca="false">TR19*TV19</f>
        <v>0</v>
      </c>
      <c r="UI19" s="20" t="n">
        <f aca="false">IF(AND(V19=1,Slot1_PctLow=1),1,0)+IF(AND(AG19=1,Slot2_PctLow=1),1,0)+IF(AND(AQ19=1,Slot3_PctLow=1),1,0)+IF(AND(BA19=1,Slot4_PctLow=1),1,0)+IF(AND(BK19=1,Slot5_PctLow=1),1,0)+IF(AND(BU19=1,Slot6_PctLow=1),1,0)+IF(AND(CE19=1,Slot7_PctLow=1),1,0)+IF(AND(CO19=1,Slot8_PctLow=1),1,0)+IF(AND(CY19=1,Slot9_PctLow=1),1,0)+IF(AND(DI19=1,Slot10_PctLow=1),1,0)+IF(AND(DS19=1,Slot11_PctLow=1),1,0)+IF(AND(EC19=1,Slot12_PctLow=1),1,0)+IF(AND(EM19=1,Slot13_PctLow=1),1,0)+IF(AND(EW19=1,Slot14_PctLow=1),1,0)+IF(AND(FG19=1,Slot15_PctLow=1),1,0)+IF(AND(FQ19=1,Slot16_PctLow=1),1,0)+IF(AND(GA19=1,Slot17_PctLow=1),1,0)+IF(AND(GK19=1,Slot18_PctLow=1),1,0)+IF(AND(GU19=1,Slot19_PctLow=1),1,0)+IF(AND(HE19=1,Slot20_PctLow=1),1,0)</f>
        <v>0</v>
      </c>
      <c r="UJ19" s="20" t="n">
        <f aca="false">IF(C19=1,IF(OR(TV19=1,UI19&gt;0),1,0),0)</f>
        <v>0</v>
      </c>
      <c r="UK19" s="20" t="n">
        <f aca="false">Z19+AK19+AU19+BE19+BO19+BY19+CI19+CS19+DC19+DM19+DW19+EG19+EQ19+FA19+FK19+FU19+GE19+GO19+GY19+HI19+OM19</f>
        <v>0</v>
      </c>
      <c r="UL19" s="20" t="n">
        <f aca="false">V19*IF(Slot1_SpendLike=1,X19-Y19,IF(Slot1_PotFree=1,X19,0))+AG19*IF(Slot2_SpendLike=1,AI19-AJ19,IF(Slot2_PotFree=1,AI19,0))+AQ19*IF(Slot3_SpendLike=1,AS19-AT19,IF(Slot3_PotFree=1,AS19,0))+BA19*IF(Slot4_SpendLike=1,BC19-BD19,IF(Slot4_PotFree=1,BC19,0))+BK19*IF(Slot5_SpendLike=1,BM19-BN19,IF(Slot5_PotFree=1,BM19,0))+BU19*IF(Slot6_SpendLike=1,BW19-BX19,IF(Slot6_PotFree=1,BW19,0))+CE19*IF(Slot7_SpendLike=1,CG19-CH19,IF(Slot7_PotFree=1,CG19,0))+CO19*IF(Slot8_SpendLike=1,CQ19-CR19,IF(Slot8_PotFree=1,CQ19,0))+CY19*IF(Slot9_SpendLike=1,DA19-DB19,IF(Slot9_PotFree=1,DA19,0))+DI19*IF(Slot10_SpendLike=1,DK19-DL19,IF(Slot10_PotFree=1,DK19,0))+DS19*IF(Slot11_SpendLike=1,DU19-DV19,IF(Slot11_PotFree=1,DU19,0))+EC19*IF(Slot12_SpendLike=1,EE19-EF19,IF(Slot12_PotFree=1,EE19,0))+EM19*IF(Slot13_SpendLike=1,EO19-EP19,IF(Slot13_PotFree=1,EO19,0))+EW19*IF(Slot14_SpendLike=1,EY19-EZ19,IF(Slot14_PotFree=1,EY19,0))+FG19*IF(Slot15_SpendLike=1,FI19-FJ19,IF(Slot15_PotFree=1,FI19,0))+FQ19*IF(Slot16_SpendLike=1,FS19-FT19,IF(Slot16_PotFree=1,FS19,0))+GA19*IF(Slot17_SpendLike=1,GC19-GD19,IF(Slot17_PotFree=1,GC19,0))+GK19*IF(Slot18_SpendLike=1,GM19-GN19,IF(Slot18_PotFree=1,GM19,0))+GU19*IF(Slot19_SpendLike=1,GW19-GX19,IF(Slot19_PotFree=1,GW19,0))+HE19*IF(Slot20_SpendLike=1,HG19-HH19,IF(Slot20_PotFree=1,HG19,0))</f>
        <v>0</v>
      </c>
      <c r="UM19" s="20" t="n">
        <f aca="false">QG19-T19+UK19-UL19</f>
        <v>1788.02564182657</v>
      </c>
      <c r="UN19" s="20" t="n">
        <f aca="false">IF(OR(UN18=1,AND(In_homeUse="Yes, I'd downsize",In_downAge&gt;0,D19=In_downAge,OR(In_home="Own outright",In_home="Own with mortgage"),In_homeValue&gt;0)),1,0)</f>
        <v>0</v>
      </c>
    </row>
    <row r="20" customFormat="false" ht="15" hidden="false" customHeight="true" outlineLevel="0" collapsed="false">
      <c r="B20" s="20" t="n">
        <v>12</v>
      </c>
      <c r="C20" s="20" t="n">
        <f aca="false">IF(B20&lt;=F_N,1,0)</f>
        <v>1</v>
      </c>
      <c r="D20" s="20" t="n">
        <f aca="false">'Plan pay &amp; tax'!C246</f>
        <v>50</v>
      </c>
      <c r="E20" s="20" t="str">
        <f aca="false">IF($C20=1,"Income tax "&amp;TEXT(N('Plan pay &amp; tax'!BK246),"#,##0")&amp;"; USC "&amp;TEXT(N('Plan pay &amp; tax'!BM246)+N('Plan pay &amp; tax'!BO246),"#,##0")&amp;"; PRSI "&amp;TEXT(N('Plan pay &amp; tax'!BP246)+N('Plan pay &amp; tax'!BQ246),"#,##0")&amp;IF(N('Plan holdings'!BO20)&gt;=0.5,"; DIRT "&amp;TEXT(('Plan holdings'!BO20)/$F20,"#,##0")&amp;" (already taken from the interest earned)","")&amp;IF(N('Plan holdings'!BP20)&gt;=0.5,"; exit tax at an 8-year anniversary "&amp;TEXT(('Plan holdings'!BP20)/$F20,"#,##0"),"")&amp;IF(N('Plan holdings'!BN20)&gt;=0.5,"; tax on assets sold (exit tax or capital gains tax) "&amp;TEXT(('Plan holdings'!BN20)/$F20,"#,##0"),"")&amp;IF(N('Plan pay &amp; tax'!X246)-N('Plan pay &amp; tax'!Y246)&gt;=0.5,"; tax on the pension lump sum "&amp;TEXT(('Plan pay &amp; tax'!X246-'Plan pay &amp; tax'!Y246)/$F20,"#,##0"),"")&amp;IF(N('Plan pay &amp; tax'!V246)&gt;=0.5,"; chargeable excess tax on the pension "&amp;TEXT(('Plan pay &amp; tax'!V246)/$F20,"#,##0"),"")&amp;".","")</f>
        <v>Income tax 12,825; USC 1,803; PRSI 4,227; DIRT 61 (already taken from the interest earned).</v>
      </c>
      <c r="F20" s="50" t="n">
        <f aca="false">'Plan pay &amp; tax'!E246</f>
        <v>1.26824179456255</v>
      </c>
      <c r="G20" s="20" t="n">
        <f aca="false">'Plan pay &amp; tax'!G246</f>
        <v>1</v>
      </c>
      <c r="H20" s="20" t="n">
        <f aca="false">'Plan pay &amp; tax'!BT246-'Plan pay &amp; tax'!BS246-'Plan pay &amp; tax'!R246</f>
        <v>85699.2975794762</v>
      </c>
      <c r="I20" s="20" t="n">
        <f aca="false">IF(G20=1,F_CostsM*12,IF(RG_Exists=1,RG_Amount,F_CostsM*12*AS_RetireSpend))*F20+F_OneOffY*F20</f>
        <v>57070.8807553145</v>
      </c>
      <c r="J20" s="20" t="n">
        <f aca="false">IF(UN20=1,0,HR19)</f>
        <v>107530.167998736</v>
      </c>
      <c r="K20" s="20" t="n">
        <f aca="false">IF(J20&gt;1,'Plan debt months'!AC20,0)</f>
        <v>14160</v>
      </c>
      <c r="L20" s="20" t="n">
        <f aca="false">IF(J20&gt;1,'Plan debt months'!AB20,J20)</f>
        <v>97331.3620192935</v>
      </c>
      <c r="M20" s="20" t="n">
        <f aca="false">O19</f>
        <v>0</v>
      </c>
      <c r="N20" s="20" t="n">
        <f aca="false">IF(M20&gt;1,'Plan debt months'!BD20,0)</f>
        <v>0</v>
      </c>
      <c r="O20" s="20" t="n">
        <f aca="false">IF(M20&gt;1,'Plan debt months'!BC20,M20)</f>
        <v>0</v>
      </c>
      <c r="P20" s="20" t="n">
        <f aca="false">R19</f>
        <v>0</v>
      </c>
      <c r="Q20" s="20" t="n">
        <f aca="false">IF(P20&gt;1,'Plan debt months'!CE20,0)</f>
        <v>0</v>
      </c>
      <c r="R20" s="20" t="n">
        <f aca="false">IF(P20&gt;1,'Plan debt months'!CD20,P20)</f>
        <v>0</v>
      </c>
      <c r="S20" s="20" t="n">
        <f aca="false">K20+N20+Q20</f>
        <v>14160</v>
      </c>
      <c r="T20" s="57" t="n">
        <f aca="false">'Plan holdings'!Y20</f>
        <v>3227.32309866669</v>
      </c>
      <c r="U20" s="57" t="n">
        <f aca="false">'Plan holdings'!BM19</f>
        <v>3255.14565251333</v>
      </c>
      <c r="V20" s="20" t="n">
        <f aca="false">IF(AND(Slot1_On=1,D20=Slot1_Age),1,0)</f>
        <v>0</v>
      </c>
      <c r="W20" s="20" t="n">
        <f aca="false">IF(AND(Slot1_On=1,Slot1_Age&gt;D20),1,0)</f>
        <v>0</v>
      </c>
      <c r="X20" s="20" t="n">
        <f aca="false">QM19</f>
        <v>0</v>
      </c>
      <c r="Y20" s="20" t="n">
        <f aca="false">V20*MIN(Slot1_Cost,X20)</f>
        <v>0</v>
      </c>
      <c r="Z20" s="20" t="n">
        <f aca="false">V20*Slot1_SpendLike*MIN(Slot1_Cost-Y20,T20)</f>
        <v>0</v>
      </c>
      <c r="AA20" s="20" t="n">
        <f aca="false">Y20+Z20</f>
        <v>0</v>
      </c>
      <c r="AB20" s="20" t="n">
        <f aca="false">T20-Z20+V20*IF(Slot1_SpendLike=1,X20-Y20,IF(Slot1_PotFree=1,X20,0))</f>
        <v>3227.32309866669</v>
      </c>
      <c r="AC20" s="20" t="n">
        <f aca="false">AF20+V20*Slot1_BufPot*X20</f>
        <v>12568.878246517</v>
      </c>
      <c r="AD20" s="20" t="n">
        <f aca="false">IF(AND(V20=1,Slot1_IsMfree=1),IF(AA20&gt;=Slot1_Cost-1,0,MAX(0,L20-AA20)),L20)</f>
        <v>97331.3620192935</v>
      </c>
      <c r="AE20" s="20" t="n">
        <f aca="false">V20*(Slot1_Cost-AA20)</f>
        <v>0</v>
      </c>
      <c r="AF20" s="20" t="n">
        <f aca="false">QL19</f>
        <v>12568.878246517</v>
      </c>
      <c r="AG20" s="20" t="n">
        <f aca="false">IF(AND(Slot2_On=1,D20=Slot2_Age),1,0)</f>
        <v>0</v>
      </c>
      <c r="AH20" s="20" t="n">
        <f aca="false">IF(AND(Slot2_On=1,Slot2_Age&gt;D20),1,0)</f>
        <v>0</v>
      </c>
      <c r="AI20" s="20" t="n">
        <f aca="false">QQ19</f>
        <v>0</v>
      </c>
      <c r="AJ20" s="20" t="n">
        <f aca="false">AG20*MIN(Slot2_Cost,AI20)</f>
        <v>0</v>
      </c>
      <c r="AK20" s="20" t="n">
        <f aca="false">AG20*Slot2_SpendLike*MIN(Slot2_Cost-AJ20,AB20)</f>
        <v>0</v>
      </c>
      <c r="AL20" s="20" t="n">
        <f aca="false">AJ20+AK20</f>
        <v>0</v>
      </c>
      <c r="AM20" s="20" t="n">
        <f aca="false">AB20-AK20+AG20*IF(Slot2_SpendLike=1,AI20-AJ20,IF(Slot2_PotFree=1,AI20,0))</f>
        <v>3227.32309866669</v>
      </c>
      <c r="AN20" s="20" t="n">
        <f aca="false">AC20+AG20*Slot2_BufPot*AI20</f>
        <v>12568.878246517</v>
      </c>
      <c r="AO20" s="20" t="n">
        <f aca="false">IF(AND(AG20=1,Slot2_IsMfree=1),IF(AL20&gt;=Slot2_Cost-1,0,MAX(0,AD20-AL20)),AD20)</f>
        <v>97331.3620192935</v>
      </c>
      <c r="AP20" s="20" t="n">
        <f aca="false">AG20*(Slot2_Cost-AL20)</f>
        <v>0</v>
      </c>
      <c r="AQ20" s="20" t="n">
        <f aca="false">IF(AND(Slot3_On=1,D20=Slot3_Age),1,0)</f>
        <v>0</v>
      </c>
      <c r="AR20" s="20" t="n">
        <f aca="false">IF(AND(Slot3_On=1,Slot3_Age&gt;D20),1,0)</f>
        <v>0</v>
      </c>
      <c r="AS20" s="20" t="n">
        <f aca="false">QU19</f>
        <v>0</v>
      </c>
      <c r="AT20" s="20" t="n">
        <f aca="false">AQ20*MIN(Slot3_Cost,AS20)</f>
        <v>0</v>
      </c>
      <c r="AU20" s="20" t="n">
        <f aca="false">AQ20*Slot3_SpendLike*MIN(Slot3_Cost-AT20,AM20)</f>
        <v>0</v>
      </c>
      <c r="AV20" s="20" t="n">
        <f aca="false">AT20+AU20</f>
        <v>0</v>
      </c>
      <c r="AW20" s="20" t="n">
        <f aca="false">AM20-AU20+AQ20*IF(Slot3_SpendLike=1,AS20-AT20,IF(Slot3_PotFree=1,AS20,0))</f>
        <v>3227.32309866669</v>
      </c>
      <c r="AX20" s="20" t="n">
        <f aca="false">AN20+AQ20*Slot3_BufPot*AS20</f>
        <v>12568.878246517</v>
      </c>
      <c r="AY20" s="20" t="n">
        <f aca="false">IF(AND(AQ20=1,Slot3_IsMfree=1),IF(AV20&gt;=Slot3_Cost-1,0,MAX(0,AO20-AV20)),AO20)</f>
        <v>97331.3620192935</v>
      </c>
      <c r="AZ20" s="20" t="n">
        <f aca="false">AQ20*(Slot3_Cost-AV20)</f>
        <v>0</v>
      </c>
      <c r="BA20" s="20" t="n">
        <f aca="false">IF(AND(Slot4_On=1,D20=Slot4_Age),1,0)</f>
        <v>0</v>
      </c>
      <c r="BB20" s="20" t="n">
        <f aca="false">IF(AND(Slot4_On=1,Slot4_Age&gt;D20),1,0)</f>
        <v>1</v>
      </c>
      <c r="BC20" s="20" t="n">
        <f aca="false">QY19</f>
        <v>9959.42155307197</v>
      </c>
      <c r="BD20" s="20" t="n">
        <f aca="false">BA20*MIN(Slot4_Cost,BC20)</f>
        <v>0</v>
      </c>
      <c r="BE20" s="20" t="n">
        <f aca="false">BA20*Slot4_SpendLike*MIN(Slot4_Cost-BD20,AW20)</f>
        <v>0</v>
      </c>
      <c r="BF20" s="20" t="n">
        <f aca="false">BD20+BE20</f>
        <v>0</v>
      </c>
      <c r="BG20" s="20" t="n">
        <f aca="false">AW20-BE20+BA20*IF(Slot4_SpendLike=1,BC20-BD20,IF(Slot4_PotFree=1,BC20,0))</f>
        <v>3227.32309866669</v>
      </c>
      <c r="BH20" s="20" t="n">
        <f aca="false">AX20+BA20*Slot4_BufPot*BC20</f>
        <v>12568.878246517</v>
      </c>
      <c r="BI20" s="20" t="n">
        <f aca="false">IF(AND(BA20=1,Slot4_IsMfree=1),IF(BF20&gt;=Slot4_Cost-1,0,MAX(0,AY20-BF20)),AY20)</f>
        <v>97331.3620192935</v>
      </c>
      <c r="BJ20" s="20" t="n">
        <f aca="false">BA20*(Slot4_Cost-BF20)</f>
        <v>0</v>
      </c>
      <c r="BK20" s="20" t="n">
        <f aca="false">IF(AND(Slot5_On=1,D20=Slot5_Age),1,0)</f>
        <v>0</v>
      </c>
      <c r="BL20" s="20" t="n">
        <f aca="false">IF(AND(Slot5_On=1,Slot5_Age&gt;D20),1,0)</f>
        <v>0</v>
      </c>
      <c r="BM20" s="20" t="n">
        <f aca="false">RC19</f>
        <v>0</v>
      </c>
      <c r="BN20" s="20" t="n">
        <f aca="false">BK20*MIN(Slot5_Cost,BM20)</f>
        <v>0</v>
      </c>
      <c r="BO20" s="20" t="n">
        <f aca="false">BK20*Slot5_SpendLike*MIN(Slot5_Cost-BN20,BG20)</f>
        <v>0</v>
      </c>
      <c r="BP20" s="20" t="n">
        <f aca="false">BN20+BO20</f>
        <v>0</v>
      </c>
      <c r="BQ20" s="20" t="n">
        <f aca="false">BG20-BO20+BK20*IF(Slot5_SpendLike=1,BM20-BN20,IF(Slot5_PotFree=1,BM20,0))</f>
        <v>3227.32309866669</v>
      </c>
      <c r="BR20" s="20" t="n">
        <f aca="false">BH20+BK20*Slot5_BufPot*BM20</f>
        <v>12568.878246517</v>
      </c>
      <c r="BS20" s="20" t="n">
        <f aca="false">IF(AND(BK20=1,Slot5_IsMfree=1),IF(BP20&gt;=Slot5_Cost-1,0,MAX(0,BI20-BP20)),BI20)</f>
        <v>97331.3620192935</v>
      </c>
      <c r="BT20" s="20" t="n">
        <f aca="false">BK20*(Slot5_Cost-BP20)</f>
        <v>0</v>
      </c>
      <c r="BU20" s="20" t="n">
        <f aca="false">IF(AND(Slot6_On=1,D20=Slot6_Age),1,0)</f>
        <v>0</v>
      </c>
      <c r="BV20" s="20" t="n">
        <f aca="false">IF(AND(Slot6_On=1,Slot6_Age&gt;D20),1,0)</f>
        <v>0</v>
      </c>
      <c r="BW20" s="20" t="n">
        <f aca="false">RG19</f>
        <v>0</v>
      </c>
      <c r="BX20" s="20" t="n">
        <f aca="false">BU20*MIN(Slot6_Cost,BW20)</f>
        <v>0</v>
      </c>
      <c r="BY20" s="20" t="n">
        <f aca="false">BU20*Slot6_SpendLike*MIN(Slot6_Cost-BX20,BQ20)</f>
        <v>0</v>
      </c>
      <c r="BZ20" s="20" t="n">
        <f aca="false">BX20+BY20</f>
        <v>0</v>
      </c>
      <c r="CA20" s="20" t="n">
        <f aca="false">BQ20-BY20+BU20*IF(Slot6_SpendLike=1,BW20-BX20,IF(Slot6_PotFree=1,BW20,0))</f>
        <v>3227.32309866669</v>
      </c>
      <c r="CB20" s="20" t="n">
        <f aca="false">BR20+BU20*Slot6_BufPot*BW20</f>
        <v>12568.878246517</v>
      </c>
      <c r="CC20" s="20" t="n">
        <f aca="false">IF(AND(BU20=1,Slot6_IsMfree=1),IF(BZ20&gt;=Slot6_Cost-1,0,MAX(0,BS20-BZ20)),BS20)</f>
        <v>97331.3620192935</v>
      </c>
      <c r="CD20" s="20" t="n">
        <f aca="false">BU20*(Slot6_Cost-BZ20)</f>
        <v>0</v>
      </c>
      <c r="CE20" s="20" t="n">
        <f aca="false">IF(AND(Slot7_On=1,D20=Slot7_Age),1,0)</f>
        <v>0</v>
      </c>
      <c r="CF20" s="20" t="n">
        <f aca="false">IF(AND(Slot7_On=1,Slot7_Age&gt;D20),1,0)</f>
        <v>0</v>
      </c>
      <c r="CG20" s="20" t="n">
        <f aca="false">RK19</f>
        <v>0</v>
      </c>
      <c r="CH20" s="20" t="n">
        <f aca="false">CE20*MIN(Slot7_Cost,CG20)</f>
        <v>0</v>
      </c>
      <c r="CI20" s="20" t="n">
        <f aca="false">CE20*Slot7_SpendLike*MIN(Slot7_Cost-CH20,CA20)</f>
        <v>0</v>
      </c>
      <c r="CJ20" s="20" t="n">
        <f aca="false">CH20+CI20</f>
        <v>0</v>
      </c>
      <c r="CK20" s="20" t="n">
        <f aca="false">CA20-CI20+CE20*IF(Slot7_SpendLike=1,CG20-CH20,IF(Slot7_PotFree=1,CG20,0))</f>
        <v>3227.32309866669</v>
      </c>
      <c r="CL20" s="20" t="n">
        <f aca="false">CB20+CE20*Slot7_BufPot*CG20</f>
        <v>12568.878246517</v>
      </c>
      <c r="CM20" s="20" t="n">
        <f aca="false">IF(AND(CE20=1,Slot7_IsMfree=1),IF(CJ20&gt;=Slot7_Cost-1,0,MAX(0,CC20-CJ20)),CC20)</f>
        <v>97331.3620192935</v>
      </c>
      <c r="CN20" s="20" t="n">
        <f aca="false">CE20*(Slot7_Cost-CJ20)</f>
        <v>0</v>
      </c>
      <c r="CO20" s="20" t="n">
        <f aca="false">IF(AND(Slot8_On=1,D20=Slot8_Age),1,0)</f>
        <v>0</v>
      </c>
      <c r="CP20" s="20" t="n">
        <f aca="false">IF(AND(Slot8_On=1,Slot8_Age&gt;D20),1,0)</f>
        <v>0</v>
      </c>
      <c r="CQ20" s="20" t="n">
        <f aca="false">RO19</f>
        <v>0</v>
      </c>
      <c r="CR20" s="20" t="n">
        <f aca="false">CO20*MIN(Slot8_Cost,CQ20)</f>
        <v>0</v>
      </c>
      <c r="CS20" s="20" t="n">
        <f aca="false">CO20*Slot8_SpendLike*MIN(Slot8_Cost-CR20,CK20)</f>
        <v>0</v>
      </c>
      <c r="CT20" s="20" t="n">
        <f aca="false">CR20+CS20</f>
        <v>0</v>
      </c>
      <c r="CU20" s="20" t="n">
        <f aca="false">CK20-CS20+CO20*IF(Slot8_SpendLike=1,CQ20-CR20,IF(Slot8_PotFree=1,CQ20,0))</f>
        <v>3227.32309866669</v>
      </c>
      <c r="CV20" s="20" t="n">
        <f aca="false">CL20+CO20*Slot8_BufPot*CQ20</f>
        <v>12568.878246517</v>
      </c>
      <c r="CW20" s="20" t="n">
        <f aca="false">IF(AND(CO20=1,Slot8_IsMfree=1),IF(CT20&gt;=Slot8_Cost-1,0,MAX(0,CM20-CT20)),CM20)</f>
        <v>97331.3620192935</v>
      </c>
      <c r="CX20" s="20" t="n">
        <f aca="false">CO20*(Slot8_Cost-CT20)</f>
        <v>0</v>
      </c>
      <c r="CY20" s="20" t="n">
        <f aca="false">IF(AND(Slot9_On=1,D20=Slot9_Age),1,0)</f>
        <v>0</v>
      </c>
      <c r="CZ20" s="20" t="n">
        <f aca="false">IF(AND(Slot9_On=1,Slot9_Age&gt;D20),1,0)</f>
        <v>0</v>
      </c>
      <c r="DA20" s="20" t="n">
        <f aca="false">RS19</f>
        <v>0</v>
      </c>
      <c r="DB20" s="20" t="n">
        <f aca="false">CY20*MIN(Slot9_Cost,DA20)</f>
        <v>0</v>
      </c>
      <c r="DC20" s="20" t="n">
        <f aca="false">CY20*Slot9_SpendLike*MIN(Slot9_Cost-DB20,CU20)</f>
        <v>0</v>
      </c>
      <c r="DD20" s="20" t="n">
        <f aca="false">DB20+DC20</f>
        <v>0</v>
      </c>
      <c r="DE20" s="20" t="n">
        <f aca="false">CU20-DC20+CY20*IF(Slot9_SpendLike=1,DA20-DB20,IF(Slot9_PotFree=1,DA20,0))</f>
        <v>3227.32309866669</v>
      </c>
      <c r="DF20" s="20" t="n">
        <f aca="false">CV20+CY20*Slot9_BufPot*DA20</f>
        <v>12568.878246517</v>
      </c>
      <c r="DG20" s="20" t="n">
        <f aca="false">IF(AND(CY20=1,Slot9_IsMfree=1),IF(DD20&gt;=Slot9_Cost-1,0,MAX(0,CW20-DD20)),CW20)</f>
        <v>97331.3620192935</v>
      </c>
      <c r="DH20" s="20" t="n">
        <f aca="false">CY20*(Slot9_Cost-DD20)</f>
        <v>0</v>
      </c>
      <c r="DI20" s="20" t="n">
        <f aca="false">IF(AND(Slot10_On=1,D20=Slot10_Age),1,0)</f>
        <v>0</v>
      </c>
      <c r="DJ20" s="20" t="n">
        <f aca="false">IF(AND(Slot10_On=1,Slot10_Age&gt;D20),1,0)</f>
        <v>0</v>
      </c>
      <c r="DK20" s="20" t="n">
        <f aca="false">RW19</f>
        <v>0</v>
      </c>
      <c r="DL20" s="20" t="n">
        <f aca="false">DI20*MIN(Slot10_Cost,DK20)</f>
        <v>0</v>
      </c>
      <c r="DM20" s="20" t="n">
        <f aca="false">DI20*Slot10_SpendLike*MIN(Slot10_Cost-DL20,DE20)</f>
        <v>0</v>
      </c>
      <c r="DN20" s="20" t="n">
        <f aca="false">DL20+DM20</f>
        <v>0</v>
      </c>
      <c r="DO20" s="20" t="n">
        <f aca="false">DE20-DM20+DI20*IF(Slot10_SpendLike=1,DK20-DL20,IF(Slot10_PotFree=1,DK20,0))</f>
        <v>3227.32309866669</v>
      </c>
      <c r="DP20" s="20" t="n">
        <f aca="false">DF20+DI20*Slot10_BufPot*DK20</f>
        <v>12568.878246517</v>
      </c>
      <c r="DQ20" s="20" t="n">
        <f aca="false">IF(AND(DI20=1,Slot10_IsMfree=1),IF(DN20&gt;=Slot10_Cost-1,0,MAX(0,DG20-DN20)),DG20)</f>
        <v>97331.3620192935</v>
      </c>
      <c r="DR20" s="20" t="n">
        <f aca="false">DI20*(Slot10_Cost-DN20)</f>
        <v>0</v>
      </c>
      <c r="DS20" s="20" t="n">
        <f aca="false">IF(AND(Slot11_On=1,D20=Slot11_Age),1,0)</f>
        <v>0</v>
      </c>
      <c r="DT20" s="20" t="n">
        <f aca="false">IF(AND(Slot11_On=1,Slot11_Age&gt;D20),1,0)</f>
        <v>0</v>
      </c>
      <c r="DU20" s="20" t="n">
        <f aca="false">SA19</f>
        <v>0</v>
      </c>
      <c r="DV20" s="20" t="n">
        <f aca="false">DS20*MIN(Slot11_Cost,DU20)</f>
        <v>0</v>
      </c>
      <c r="DW20" s="20" t="n">
        <f aca="false">DS20*Slot11_SpendLike*MIN(Slot11_Cost-DV20,DO20)</f>
        <v>0</v>
      </c>
      <c r="DX20" s="20" t="n">
        <f aca="false">DV20+DW20</f>
        <v>0</v>
      </c>
      <c r="DY20" s="20" t="n">
        <f aca="false">DO20-DW20+DS20*IF(Slot11_SpendLike=1,DU20-DV20,IF(Slot11_PotFree=1,DU20,0))</f>
        <v>3227.32309866669</v>
      </c>
      <c r="DZ20" s="20" t="n">
        <f aca="false">DP20+DS20*Slot11_BufPot*DU20</f>
        <v>12568.878246517</v>
      </c>
      <c r="EA20" s="20" t="n">
        <f aca="false">IF(AND(DS20=1,Slot11_IsMfree=1),IF(DX20&gt;=Slot11_Cost-1,0,MAX(0,DQ20-DX20)),DQ20)</f>
        <v>97331.3620192935</v>
      </c>
      <c r="EB20" s="20" t="n">
        <f aca="false">DS20*(Slot11_Cost-DX20)</f>
        <v>0</v>
      </c>
      <c r="EC20" s="20" t="n">
        <f aca="false">IF(AND(Slot12_On=1,D20=Slot12_Age),1,0)</f>
        <v>0</v>
      </c>
      <c r="ED20" s="20" t="n">
        <f aca="false">IF(AND(Slot12_On=1,Slot12_Age&gt;D20),1,0)</f>
        <v>0</v>
      </c>
      <c r="EE20" s="20" t="n">
        <f aca="false">SE19</f>
        <v>0</v>
      </c>
      <c r="EF20" s="20" t="n">
        <f aca="false">EC20*MIN(Slot12_Cost,EE20)</f>
        <v>0</v>
      </c>
      <c r="EG20" s="20" t="n">
        <f aca="false">EC20*Slot12_SpendLike*MIN(Slot12_Cost-EF20,DY20)</f>
        <v>0</v>
      </c>
      <c r="EH20" s="20" t="n">
        <f aca="false">EF20+EG20</f>
        <v>0</v>
      </c>
      <c r="EI20" s="20" t="n">
        <f aca="false">DY20-EG20+EC20*IF(Slot12_SpendLike=1,EE20-EF20,IF(Slot12_PotFree=1,EE20,0))</f>
        <v>3227.32309866669</v>
      </c>
      <c r="EJ20" s="20" t="n">
        <f aca="false">DZ20+EC20*Slot12_BufPot*EE20</f>
        <v>12568.878246517</v>
      </c>
      <c r="EK20" s="20" t="n">
        <f aca="false">IF(AND(EC20=1,Slot12_IsMfree=1),IF(EH20&gt;=Slot12_Cost-1,0,MAX(0,EA20-EH20)),EA20)</f>
        <v>97331.3620192935</v>
      </c>
      <c r="EL20" s="20" t="n">
        <f aca="false">EC20*(Slot12_Cost-EH20)</f>
        <v>0</v>
      </c>
      <c r="EM20" s="20" t="n">
        <f aca="false">IF(AND(Slot13_On=1,D20=Slot13_Age),1,0)</f>
        <v>0</v>
      </c>
      <c r="EN20" s="20" t="n">
        <f aca="false">IF(AND(Slot13_On=1,Slot13_Age&gt;D20),1,0)</f>
        <v>0</v>
      </c>
      <c r="EO20" s="20" t="n">
        <f aca="false">SI19</f>
        <v>0</v>
      </c>
      <c r="EP20" s="20" t="n">
        <f aca="false">EM20*MIN(Slot13_Cost,EO20)</f>
        <v>0</v>
      </c>
      <c r="EQ20" s="20" t="n">
        <f aca="false">EM20*Slot13_SpendLike*MIN(Slot13_Cost-EP20,EI20)</f>
        <v>0</v>
      </c>
      <c r="ER20" s="20" t="n">
        <f aca="false">EP20+EQ20</f>
        <v>0</v>
      </c>
      <c r="ES20" s="20" t="n">
        <f aca="false">EI20-EQ20+EM20*IF(Slot13_SpendLike=1,EO20-EP20,IF(Slot13_PotFree=1,EO20,0))</f>
        <v>3227.32309866669</v>
      </c>
      <c r="ET20" s="20" t="n">
        <f aca="false">EJ20+EM20*Slot13_BufPot*EO20</f>
        <v>12568.878246517</v>
      </c>
      <c r="EU20" s="20" t="n">
        <f aca="false">IF(AND(EM20=1,Slot13_IsMfree=1),IF(ER20&gt;=Slot13_Cost-1,0,MAX(0,EK20-ER20)),EK20)</f>
        <v>97331.3620192935</v>
      </c>
      <c r="EV20" s="20" t="n">
        <f aca="false">EM20*(Slot13_Cost-ER20)</f>
        <v>0</v>
      </c>
      <c r="EW20" s="20" t="n">
        <f aca="false">IF(AND(Slot14_On=1,D20=Slot14_Age),1,0)</f>
        <v>0</v>
      </c>
      <c r="EX20" s="20" t="n">
        <f aca="false">IF(AND(Slot14_On=1,Slot14_Age&gt;D20),1,0)</f>
        <v>0</v>
      </c>
      <c r="EY20" s="20" t="n">
        <f aca="false">SM19</f>
        <v>0</v>
      </c>
      <c r="EZ20" s="20" t="n">
        <f aca="false">EW20*MIN(Slot14_Cost,EY20)</f>
        <v>0</v>
      </c>
      <c r="FA20" s="20" t="n">
        <f aca="false">EW20*Slot14_SpendLike*MIN(Slot14_Cost-EZ20,ES20)</f>
        <v>0</v>
      </c>
      <c r="FB20" s="20" t="n">
        <f aca="false">EZ20+FA20</f>
        <v>0</v>
      </c>
      <c r="FC20" s="20" t="n">
        <f aca="false">ES20-FA20+EW20*IF(Slot14_SpendLike=1,EY20-EZ20,IF(Slot14_PotFree=1,EY20,0))</f>
        <v>3227.32309866669</v>
      </c>
      <c r="FD20" s="20" t="n">
        <f aca="false">ET20+EW20*Slot14_BufPot*EY20</f>
        <v>12568.878246517</v>
      </c>
      <c r="FE20" s="20" t="n">
        <f aca="false">IF(AND(EW20=1,Slot14_IsMfree=1),IF(FB20&gt;=Slot14_Cost-1,0,MAX(0,EU20-FB20)),EU20)</f>
        <v>97331.3620192935</v>
      </c>
      <c r="FF20" s="20" t="n">
        <f aca="false">EW20*(Slot14_Cost-FB20)</f>
        <v>0</v>
      </c>
      <c r="FG20" s="20" t="n">
        <f aca="false">IF(AND(Slot15_On=1,D20=Slot15_Age),1,0)</f>
        <v>0</v>
      </c>
      <c r="FH20" s="20" t="n">
        <f aca="false">IF(AND(Slot15_On=1,Slot15_Age&gt;D20),1,0)</f>
        <v>0</v>
      </c>
      <c r="FI20" s="20" t="n">
        <f aca="false">SQ19</f>
        <v>0</v>
      </c>
      <c r="FJ20" s="20" t="n">
        <f aca="false">FG20*MIN(Slot15_Cost,FI20)</f>
        <v>0</v>
      </c>
      <c r="FK20" s="20" t="n">
        <f aca="false">FG20*Slot15_SpendLike*MIN(Slot15_Cost-FJ20,FC20)</f>
        <v>0</v>
      </c>
      <c r="FL20" s="20" t="n">
        <f aca="false">FJ20+FK20</f>
        <v>0</v>
      </c>
      <c r="FM20" s="20" t="n">
        <f aca="false">FC20-FK20+FG20*IF(Slot15_SpendLike=1,FI20-FJ20,IF(Slot15_PotFree=1,FI20,0))</f>
        <v>3227.32309866669</v>
      </c>
      <c r="FN20" s="20" t="n">
        <f aca="false">FD20+FG20*Slot15_BufPot*FI20</f>
        <v>12568.878246517</v>
      </c>
      <c r="FO20" s="20" t="n">
        <f aca="false">IF(AND(FG20=1,Slot15_IsMfree=1),IF(FL20&gt;=Slot15_Cost-1,0,MAX(0,FE20-FL20)),FE20)</f>
        <v>97331.3620192935</v>
      </c>
      <c r="FP20" s="20" t="n">
        <f aca="false">FG20*(Slot15_Cost-FL20)</f>
        <v>0</v>
      </c>
      <c r="FQ20" s="20" t="n">
        <f aca="false">IF(AND(Slot16_On=1,D20=Slot16_Age),1,0)</f>
        <v>0</v>
      </c>
      <c r="FR20" s="20" t="n">
        <f aca="false">IF(AND(Slot16_On=1,Slot16_Age&gt;D20),1,0)</f>
        <v>0</v>
      </c>
      <c r="FS20" s="20" t="n">
        <f aca="false">SU19</f>
        <v>0</v>
      </c>
      <c r="FT20" s="20" t="n">
        <f aca="false">FQ20*MIN(Slot16_Cost,FS20)</f>
        <v>0</v>
      </c>
      <c r="FU20" s="20" t="n">
        <f aca="false">FQ20*Slot16_SpendLike*MIN(Slot16_Cost-FT20,FM20)</f>
        <v>0</v>
      </c>
      <c r="FV20" s="20" t="n">
        <f aca="false">FT20+FU20</f>
        <v>0</v>
      </c>
      <c r="FW20" s="20" t="n">
        <f aca="false">FM20-FU20+FQ20*IF(Slot16_SpendLike=1,FS20-FT20,IF(Slot16_PotFree=1,FS20,0))</f>
        <v>3227.32309866669</v>
      </c>
      <c r="FX20" s="20" t="n">
        <f aca="false">FN20+FQ20*Slot16_BufPot*FS20</f>
        <v>12568.878246517</v>
      </c>
      <c r="FY20" s="20" t="n">
        <f aca="false">IF(AND(FQ20=1,Slot16_IsMfree=1),IF(FV20&gt;=Slot16_Cost-1,0,MAX(0,FO20-FV20)),FO20)</f>
        <v>97331.3620192935</v>
      </c>
      <c r="FZ20" s="20" t="n">
        <f aca="false">FQ20*(Slot16_Cost-FV20)</f>
        <v>0</v>
      </c>
      <c r="GA20" s="20" t="n">
        <f aca="false">IF(AND(Slot17_On=1,D20=Slot17_Age),1,0)</f>
        <v>0</v>
      </c>
      <c r="GB20" s="20" t="n">
        <f aca="false">IF(AND(Slot17_On=1,Slot17_Age&gt;D20),1,0)</f>
        <v>0</v>
      </c>
      <c r="GC20" s="20" t="n">
        <f aca="false">SY19</f>
        <v>0</v>
      </c>
      <c r="GD20" s="20" t="n">
        <f aca="false">GA20*MIN(Slot17_Cost,GC20)</f>
        <v>0</v>
      </c>
      <c r="GE20" s="20" t="n">
        <f aca="false">GA20*Slot17_SpendLike*MIN(Slot17_Cost-GD20,FW20)</f>
        <v>0</v>
      </c>
      <c r="GF20" s="20" t="n">
        <f aca="false">GD20+GE20</f>
        <v>0</v>
      </c>
      <c r="GG20" s="20" t="n">
        <f aca="false">FW20-GE20+GA20*IF(Slot17_SpendLike=1,GC20-GD20,IF(Slot17_PotFree=1,GC20,0))</f>
        <v>3227.32309866669</v>
      </c>
      <c r="GH20" s="20" t="n">
        <f aca="false">FX20+GA20*Slot17_BufPot*GC20</f>
        <v>12568.878246517</v>
      </c>
      <c r="GI20" s="20" t="n">
        <f aca="false">IF(AND(GA20=1,Slot17_IsMfree=1),IF(GF20&gt;=Slot17_Cost-1,0,MAX(0,FY20-GF20)),FY20)</f>
        <v>97331.3620192935</v>
      </c>
      <c r="GJ20" s="20" t="n">
        <f aca="false">GA20*(Slot17_Cost-GF20)</f>
        <v>0</v>
      </c>
      <c r="GK20" s="20" t="n">
        <f aca="false">IF(AND(Slot18_On=1,D20=Slot18_Age),1,0)</f>
        <v>0</v>
      </c>
      <c r="GL20" s="20" t="n">
        <f aca="false">IF(AND(Slot18_On=1,Slot18_Age&gt;D20),1,0)</f>
        <v>0</v>
      </c>
      <c r="GM20" s="20" t="n">
        <f aca="false">TC19</f>
        <v>0</v>
      </c>
      <c r="GN20" s="20" t="n">
        <f aca="false">GK20*MIN(Slot18_Cost,GM20)</f>
        <v>0</v>
      </c>
      <c r="GO20" s="20" t="n">
        <f aca="false">GK20*Slot18_SpendLike*MIN(Slot18_Cost-GN20,GG20)</f>
        <v>0</v>
      </c>
      <c r="GP20" s="20" t="n">
        <f aca="false">GN20+GO20</f>
        <v>0</v>
      </c>
      <c r="GQ20" s="20" t="n">
        <f aca="false">GG20-GO20+GK20*IF(Slot18_SpendLike=1,GM20-GN20,IF(Slot18_PotFree=1,GM20,0))</f>
        <v>3227.32309866669</v>
      </c>
      <c r="GR20" s="20" t="n">
        <f aca="false">GH20+GK20*Slot18_BufPot*GM20</f>
        <v>12568.878246517</v>
      </c>
      <c r="GS20" s="20" t="n">
        <f aca="false">IF(AND(GK20=1,Slot18_IsMfree=1),IF(GP20&gt;=Slot18_Cost-1,0,MAX(0,GI20-GP20)),GI20)</f>
        <v>97331.3620192935</v>
      </c>
      <c r="GT20" s="20" t="n">
        <f aca="false">GK20*(Slot18_Cost-GP20)</f>
        <v>0</v>
      </c>
      <c r="GU20" s="20" t="n">
        <f aca="false">IF(AND(Slot19_On=1,D20=Slot19_Age),1,0)</f>
        <v>0</v>
      </c>
      <c r="GV20" s="20" t="n">
        <f aca="false">IF(AND(Slot19_On=1,Slot19_Age&gt;D20),1,0)</f>
        <v>0</v>
      </c>
      <c r="GW20" s="20" t="n">
        <f aca="false">TG19</f>
        <v>0</v>
      </c>
      <c r="GX20" s="20" t="n">
        <f aca="false">GU20*MIN(Slot19_Cost,GW20)</f>
        <v>0</v>
      </c>
      <c r="GY20" s="20" t="n">
        <f aca="false">GU20*Slot19_SpendLike*MIN(Slot19_Cost-GX20,GQ20)</f>
        <v>0</v>
      </c>
      <c r="GZ20" s="20" t="n">
        <f aca="false">GX20+GY20</f>
        <v>0</v>
      </c>
      <c r="HA20" s="20" t="n">
        <f aca="false">GQ20-GY20+GU20*IF(Slot19_SpendLike=1,GW20-GX20,IF(Slot19_PotFree=1,GW20,0))</f>
        <v>3227.32309866669</v>
      </c>
      <c r="HB20" s="20" t="n">
        <f aca="false">GR20+GU20*Slot19_BufPot*GW20</f>
        <v>12568.878246517</v>
      </c>
      <c r="HC20" s="20" t="n">
        <f aca="false">IF(AND(GU20=1,Slot19_IsMfree=1),IF(GZ20&gt;=Slot19_Cost-1,0,MAX(0,GS20-GZ20)),GS20)</f>
        <v>97331.3620192935</v>
      </c>
      <c r="HD20" s="20" t="n">
        <f aca="false">GU20*(Slot19_Cost-GZ20)</f>
        <v>0</v>
      </c>
      <c r="HE20" s="20" t="n">
        <f aca="false">IF(AND(Slot20_On=1,D20=Slot20_Age),1,0)</f>
        <v>0</v>
      </c>
      <c r="HF20" s="20" t="n">
        <f aca="false">IF(AND(Slot20_On=1,Slot20_Age&gt;D20),1,0)</f>
        <v>0</v>
      </c>
      <c r="HG20" s="20" t="n">
        <f aca="false">TK19</f>
        <v>0</v>
      </c>
      <c r="HH20" s="20" t="n">
        <f aca="false">HE20*MIN(Slot20_Cost,HG20)</f>
        <v>0</v>
      </c>
      <c r="HI20" s="20" t="n">
        <f aca="false">HE20*Slot20_SpendLike*MIN(Slot20_Cost-HH20,HA20)</f>
        <v>0</v>
      </c>
      <c r="HJ20" s="20" t="n">
        <f aca="false">HH20+HI20</f>
        <v>0</v>
      </c>
      <c r="HK20" s="20" t="n">
        <f aca="false">HA20-HI20+HE20*IF(Slot20_SpendLike=1,HG20-HH20,IF(Slot20_PotFree=1,HG20,0))</f>
        <v>3227.32309866669</v>
      </c>
      <c r="HL20" s="20" t="n">
        <f aca="false">HB20+HE20*Slot20_BufPot*HG20</f>
        <v>12568.878246517</v>
      </c>
      <c r="HM20" s="20" t="n">
        <f aca="false">IF(AND(HE20=1,Slot20_IsMfree=1),IF(HJ20&gt;=Slot20_Cost-1,0,MAX(0,HC20-HJ20)),HC20)</f>
        <v>97331.3620192935</v>
      </c>
      <c r="HN20" s="20" t="n">
        <f aca="false">HE20*(Slot20_Cost-HJ20)</f>
        <v>0</v>
      </c>
      <c r="HO20" s="20" t="n">
        <f aca="false">V20*Slot1_SpendLike*AA20+AG20*Slot2_SpendLike*AL20+AQ20*Slot3_SpendLike*AV20+BA20*Slot4_SpendLike*BF20+BK20*Slot5_SpendLike*BP20+BU20*Slot6_SpendLike*BZ20+CE20*Slot7_SpendLike*CJ20+CO20*Slot8_SpendLike*CT20+CY20*Slot9_SpendLike*DD20+DI20*Slot10_SpendLike*DN20+DS20*Slot11_SpendLike*DX20+EC20*Slot12_SpendLike*EH20+EM20*Slot13_SpendLike*ER20+EW20*Slot14_SpendLike*FB20+FG20*Slot15_SpendLike*FL20+FQ20*Slot16_SpendLike*FV20+GA20*Slot17_SpendLike*GF20+GK20*Slot18_SpendLike*GP20+GU20*Slot19_SpendLike*GZ20+HE20*Slot20_SpendLike*HJ20</f>
        <v>0</v>
      </c>
      <c r="HP20" s="20" t="n">
        <f aca="false">AE20+AP20+AZ20+BJ20+BT20+CD20+CN20+CX20+DH20+DR20+EB20+EL20+EV20+FF20+FP20+FZ20+GJ20+GT20+HD20+HN20</f>
        <v>0</v>
      </c>
      <c r="HQ20" s="20" t="n">
        <f aca="false">V20*Slot1_Cost+AG20*Slot2_Cost+AQ20*Slot3_Cost+BA20*Slot4_Cost+BK20*Slot5_Cost+BU20*Slot6_Cost+CE20*Slot7_Cost+CO20*Slot8_Cost+CY20*Slot9_Cost+DI20*Slot10_Cost+DS20*Slot11_Cost+EC20*Slot12_Cost+EM20*Slot13_Cost+EW20*Slot14_Cost+FG20*Slot15_Cost+FQ20*Slot16_Cost+GA20*Slot17_Cost+GK20*Slot18_Cost+GU20*Slot19_Cost+HE20*Slot20_Cost</f>
        <v>0</v>
      </c>
      <c r="HR20" s="20" t="n">
        <f aca="false">HM20</f>
        <v>97331.3620192935</v>
      </c>
      <c r="HS20" s="20" t="n">
        <f aca="false">H20-I20-S20</f>
        <v>14468.4168241617</v>
      </c>
      <c r="HT20" s="20" t="n">
        <f aca="false">IF(B20=0,IF(AND(Has_q6=1,In_q6=4),PR_ShareVaries*(MAX(0,HS20)/12),MIN(IF(Has_q6=1,CHOOSE(In_q6+1,PR_SaveB1,PR_SaveB2,PR_SaveB3,PR_SaveB4,0),AS_NoAnswer),AS_SaveShare*(MAX(0,HS20)/12))),HT19)</f>
        <v>67.3316893520437</v>
      </c>
      <c r="HU20" s="20" t="n">
        <f aca="false">IF(HS20&gt;=0,1,0)</f>
        <v>1</v>
      </c>
      <c r="HV20" s="20" t="n">
        <f aca="false">MAX(0,HS20/12/F20)</f>
        <v>950.687327276859</v>
      </c>
      <c r="HW20" s="20" t="n">
        <f aca="false">IF(AND(Has_q6=1,In_q6=4),PR_ShareVaries*(HV20),MIN(IF(Has_q6=1,CHOOSE(In_q6+1,PR_SaveB1,PR_SaveB2,PR_SaveB3,PR_SaveB4,0),AS_NoAnswer),AS_SaveShare*(HV20)))</f>
        <v>475.34366363843</v>
      </c>
      <c r="HX20" s="20" t="n">
        <f aca="false">IF(Has_saveM=1,IF(In_saveUp="Yes",1,IF(In_saveUp="No",0,IF(In_saveM&gt;=HT20-0.5,1,0))),0)</f>
        <v>0</v>
      </c>
      <c r="HY20" s="20" t="n">
        <f aca="false">IF(Has_saveM=1,MIN(HV20,IF(HX20=1,MAX(In_saveM,HW20),MIN(In_saveM,HW20))),HW20)</f>
        <v>475.34366363843</v>
      </c>
      <c r="HZ20" s="20" t="n">
        <f aca="false">IF(G20=1,HY20*12*F20,0)</f>
        <v>7234.20841208084</v>
      </c>
      <c r="IA20" s="20" t="n">
        <f aca="false">MAX(0,HZ20+IF(AND(WI_Retire=0,WI_M&lt;0,G20=1),WI_M*12*F20,0))</f>
        <v>7234.20841208084</v>
      </c>
      <c r="IB20" s="20" t="n">
        <f aca="false">Slot1_IsWG*W20+Slot2_IsWG*AH20+Slot3_IsWG*AR20+Slot4_IsWG*BB20+Slot5_IsWG*BL20+Slot6_IsWG*BV20+Slot7_IsWG*CF20+Slot8_IsWG*CP20+Slot9_IsWG*CZ20+Slot10_IsWG*DJ20+Slot11_IsWG*DT20+Slot12_IsWG*ED20+Slot13_IsWG*EN20+Slot14_IsWG*EX20+Slot15_IsWG*FH20+Slot16_IsWG*FR20+Slot17_IsWG*GB20+Slot18_IsWG*GL20+Slot19_IsWG*GV20+Slot20_IsWG*HF20</f>
        <v>0</v>
      </c>
      <c r="IC20" s="20" t="n">
        <f aca="false">IF(AND(WI_Retire=0,WI_M&gt;0,G20=1,IB20&gt;=1),WI_M*12*F20,0)</f>
        <v>0</v>
      </c>
      <c r="ID20" s="20" t="n">
        <f aca="false">IF(HU20=1,MIN(IA20,HS20),0)</f>
        <v>7234.20841208084</v>
      </c>
      <c r="IE20" s="20" t="n">
        <f aca="false">IF(HU20=1,MIN(IC20,HS20-ID20),0)</f>
        <v>0</v>
      </c>
      <c r="IF20" s="20" t="n">
        <f aca="false">IF(W20=1,IF(ABS((1+AS_Wage)/(1+Slot1_Rate)-1)&lt;0.000000000001,(Slot1_Age-D20)*(1+Slot1_Rate)^(Slot1_Age-D20),(1+Slot1_Rate)^(Slot1_Age-D20)*(1-((1+AS_Wage)/(1+Slot1_Rate))^(Slot1_Age-D20))/(1-(1+AS_Wage)/(1+Slot1_Rate))),1)</f>
        <v>1</v>
      </c>
      <c r="IG20" s="20" t="n">
        <f aca="false">IF(AND(HU20=1,IE20&gt;0,Slot1_IsWG=1,W20=1),MAX(0,(Slot1_Cost-X20*(1+Slot1_Rate)^(Slot1_Age-D20))/IF20),0)</f>
        <v>0</v>
      </c>
      <c r="IH20" s="20" t="n">
        <f aca="false">IF(AND(HU20=1,IE20&gt;0,Slot1_IsWG=1,W20=1),MIN(IE20,IG20),0)</f>
        <v>0</v>
      </c>
      <c r="II20" s="20" t="n">
        <f aca="false">X20+IH20</f>
        <v>0</v>
      </c>
      <c r="IJ20" s="20" t="n">
        <f aca="false">IF(W20=1,MAX(0,(Slot1_Cost-II20*(1+Slot1_Rate)^(Slot1_Age-D20))/IF20),0)</f>
        <v>0</v>
      </c>
      <c r="IK20" s="20" t="n">
        <f aca="false">IF(W20=1,MAX(0,(Slot1_Cost-X20*(1+Slot1_Rate)^(Slot1_Age-D20))/IF20),0)</f>
        <v>0</v>
      </c>
      <c r="IL20" s="20" t="n">
        <f aca="false">IF(AND(HU20=1,W20=1),MIN(ID20,IJ20),0)</f>
        <v>0</v>
      </c>
      <c r="IM20" s="20" t="n">
        <f aca="false">ID20-IL20</f>
        <v>7234.20841208084</v>
      </c>
      <c r="IN20" s="20" t="n">
        <f aca="false">IF(AH20=1,IF(ABS((1+AS_Wage)/(1+Slot2_Rate)-1)&lt;0.000000000001,(Slot2_Age-D20)*(1+Slot2_Rate)^(Slot2_Age-D20),(1+Slot2_Rate)^(Slot2_Age-D20)*(1-((1+AS_Wage)/(1+Slot2_Rate))^(Slot2_Age-D20))/(1-(1+AS_Wage)/(1+Slot2_Rate))),1)</f>
        <v>1</v>
      </c>
      <c r="IO20" s="20" t="n">
        <f aca="false">IF(AND(HU20=1,IE20&gt;0,Slot2_IsWG=1,AH20=1),MAX(0,(Slot2_Cost-AI20*(1+Slot2_Rate)^(Slot2_Age-D20))/IN20),0)</f>
        <v>0</v>
      </c>
      <c r="IP20" s="20" t="n">
        <f aca="false">IF(AND(HU20=1,IE20&gt;0,Slot2_IsWG=1,AH20=1),MIN(IE20,IO20),0)</f>
        <v>0</v>
      </c>
      <c r="IQ20" s="20" t="n">
        <f aca="false">AI20+IP20</f>
        <v>0</v>
      </c>
      <c r="IR20" s="20" t="n">
        <f aca="false">IF(AH20=1,MAX(0,(Slot2_Cost-IQ20*(1+Slot2_Rate)^(Slot2_Age-D20))/IN20),0)</f>
        <v>0</v>
      </c>
      <c r="IS20" s="20" t="n">
        <f aca="false">IF(AH20=1,MAX(0,(Slot2_Cost-AI20*(1+Slot2_Rate)^(Slot2_Age-D20))/IN20),0)</f>
        <v>0</v>
      </c>
      <c r="IT20" s="20" t="n">
        <f aca="false">IF(AND(HU20=1,AH20=1),MIN(IM20,IR20),0)</f>
        <v>0</v>
      </c>
      <c r="IU20" s="20" t="n">
        <f aca="false">IM20-IT20</f>
        <v>7234.20841208084</v>
      </c>
      <c r="IV20" s="20" t="n">
        <f aca="false">IF(AR20=1,IF(ABS((1+AS_Wage)/(1+Slot3_Rate)-1)&lt;0.000000000001,(Slot3_Age-D20)*(1+Slot3_Rate)^(Slot3_Age-D20),(1+Slot3_Rate)^(Slot3_Age-D20)*(1-((1+AS_Wage)/(1+Slot3_Rate))^(Slot3_Age-D20))/(1-(1+AS_Wage)/(1+Slot3_Rate))),1)</f>
        <v>1</v>
      </c>
      <c r="IW20" s="20" t="n">
        <f aca="false">IF(AND(HU20=1,IE20&gt;0,Slot3_IsWG=1,AR20=1),MAX(0,(Slot3_Cost-AS20*(1+Slot3_Rate)^(Slot3_Age-D20))/IV20),0)</f>
        <v>0</v>
      </c>
      <c r="IX20" s="20" t="n">
        <f aca="false">IF(AND(HU20=1,IE20&gt;0,Slot3_IsWG=1,AR20=1),MIN(IE20,IW20),0)</f>
        <v>0</v>
      </c>
      <c r="IY20" s="20" t="n">
        <f aca="false">AS20+IX20</f>
        <v>0</v>
      </c>
      <c r="IZ20" s="20" t="n">
        <f aca="false">IF(AR20=1,MAX(0,(Slot3_Cost-IY20*(1+Slot3_Rate)^(Slot3_Age-D20))/IV20),0)</f>
        <v>0</v>
      </c>
      <c r="JA20" s="20" t="n">
        <f aca="false">IF(AR20=1,MAX(0,(Slot3_Cost-AS20*(1+Slot3_Rate)^(Slot3_Age-D20))/IV20),0)</f>
        <v>0</v>
      </c>
      <c r="JB20" s="20" t="n">
        <f aca="false">IF(AND(HU20=1,AR20=1),MIN(IU20,IZ20),0)</f>
        <v>0</v>
      </c>
      <c r="JC20" s="20" t="n">
        <f aca="false">IU20-JB20</f>
        <v>7234.20841208084</v>
      </c>
      <c r="JD20" s="20" t="n">
        <f aca="false">IF(BB20=1,IF(ABS((1+AS_Wage)/(1+Slot4_Rate)-1)&lt;0.000000000001,(Slot4_Age-D20)*(1+Slot4_Rate)^(Slot4_Age-D20),(1+Slot4_Rate)^(Slot4_Age-D20)*(1-((1+AS_Wage)/(1+Slot4_Rate))^(Slot4_Age-D20))/(1-(1+AS_Wage)/(1+Slot4_Rate))),1)</f>
        <v>5.72918849865706</v>
      </c>
      <c r="JE20" s="20" t="n">
        <f aca="false">IF(AND(HU20=1,IE20&gt;0,Slot4_IsWG=1,BB20=1),MAX(0,(Slot4_Cost-BC20*(1+Slot4_Rate)^(Slot4_Age-D20))/JD20),0)</f>
        <v>0</v>
      </c>
      <c r="JF20" s="20" t="n">
        <f aca="false">IF(AND(HU20=1,IE20&gt;0,Slot4_IsWG=1,BB20=1),MIN(IE20,JE20),0)</f>
        <v>0</v>
      </c>
      <c r="JG20" s="20" t="n">
        <f aca="false">BC20+JF20</f>
        <v>9959.42155307197</v>
      </c>
      <c r="JH20" s="20" t="n">
        <f aca="false">IF(BB20=1,MAX(0,(Slot4_Cost-JG20*(1+Slot4_Rate)^(Slot4_Age-D20))/JD20),0)</f>
        <v>5008.85077747725</v>
      </c>
      <c r="JI20" s="20" t="n">
        <f aca="false">IF(BB20=1,MAX(0,(Slot4_Cost-BC20*(1+Slot4_Rate)^(Slot4_Age-D20))/JD20),0)</f>
        <v>5008.85077747725</v>
      </c>
      <c r="JJ20" s="20" t="n">
        <f aca="false">IF(AND(HU20=1,BB20=1),MIN(JC20,JH20),0)</f>
        <v>5008.85077747725</v>
      </c>
      <c r="JK20" s="20" t="n">
        <f aca="false">JC20-JJ20</f>
        <v>2225.35763460359</v>
      </c>
      <c r="JL20" s="20" t="n">
        <f aca="false">IF(BL20=1,IF(ABS((1+AS_Wage)/(1+Slot5_Rate)-1)&lt;0.000000000001,(Slot5_Age-D20)*(1+Slot5_Rate)^(Slot5_Age-D20),(1+Slot5_Rate)^(Slot5_Age-D20)*(1-((1+AS_Wage)/(1+Slot5_Rate))^(Slot5_Age-D20))/(1-(1+AS_Wage)/(1+Slot5_Rate))),1)</f>
        <v>1</v>
      </c>
      <c r="JM20" s="20" t="n">
        <f aca="false">IF(AND(HU20=1,IE20&gt;0,Slot5_IsWG=1,BL20=1),MAX(0,(Slot5_Cost-BM20*(1+Slot5_Rate)^(Slot5_Age-D20))/JL20),0)</f>
        <v>0</v>
      </c>
      <c r="JN20" s="20" t="n">
        <f aca="false">IF(AND(HU20=1,IE20&gt;0,Slot5_IsWG=1,BL20=1),MIN(IE20,JM20),0)</f>
        <v>0</v>
      </c>
      <c r="JO20" s="20" t="n">
        <f aca="false">BM20+JN20</f>
        <v>0</v>
      </c>
      <c r="JP20" s="20" t="n">
        <f aca="false">IF(BL20=1,MAX(0,(Slot5_Cost-JO20*(1+Slot5_Rate)^(Slot5_Age-D20))/JL20),0)</f>
        <v>0</v>
      </c>
      <c r="JQ20" s="20" t="n">
        <f aca="false">IF(BL20=1,MAX(0,(Slot5_Cost-BM20*(1+Slot5_Rate)^(Slot5_Age-D20))/JL20),0)</f>
        <v>0</v>
      </c>
      <c r="JR20" s="20" t="n">
        <f aca="false">IF(AND(HU20=1,BL20=1),MIN(JK20,JP20),0)</f>
        <v>0</v>
      </c>
      <c r="JS20" s="20" t="n">
        <f aca="false">JK20-JR20</f>
        <v>2225.35763460359</v>
      </c>
      <c r="JT20" s="20" t="n">
        <f aca="false">IF(BV20=1,IF(ABS((1+AS_Wage)/(1+Slot6_Rate)-1)&lt;0.000000000001,(Slot6_Age-D20)*(1+Slot6_Rate)^(Slot6_Age-D20),(1+Slot6_Rate)^(Slot6_Age-D20)*(1-((1+AS_Wage)/(1+Slot6_Rate))^(Slot6_Age-D20))/(1-(1+AS_Wage)/(1+Slot6_Rate))),1)</f>
        <v>1</v>
      </c>
      <c r="JU20" s="20" t="n">
        <f aca="false">IF(AND(HU20=1,IE20&gt;0,Slot6_IsWG=1,BV20=1),MAX(0,(Slot6_Cost-BW20*(1+Slot6_Rate)^(Slot6_Age-D20))/JT20),0)</f>
        <v>0</v>
      </c>
      <c r="JV20" s="20" t="n">
        <f aca="false">IF(AND(HU20=1,IE20&gt;0,Slot6_IsWG=1,BV20=1),MIN(IE20,JU20),0)</f>
        <v>0</v>
      </c>
      <c r="JW20" s="20" t="n">
        <f aca="false">BW20+JV20</f>
        <v>0</v>
      </c>
      <c r="JX20" s="20" t="n">
        <f aca="false">IF(BV20=1,MAX(0,(Slot6_Cost-JW20*(1+Slot6_Rate)^(Slot6_Age-D20))/JT20),0)</f>
        <v>0</v>
      </c>
      <c r="JY20" s="20" t="n">
        <f aca="false">IF(BV20=1,MAX(0,(Slot6_Cost-BW20*(1+Slot6_Rate)^(Slot6_Age-D20))/JT20),0)</f>
        <v>0</v>
      </c>
      <c r="JZ20" s="20" t="n">
        <f aca="false">IF(AND(HU20=1,BV20=1),MIN(JS20,JX20),0)</f>
        <v>0</v>
      </c>
      <c r="KA20" s="20" t="n">
        <f aca="false">JS20-JZ20</f>
        <v>2225.35763460359</v>
      </c>
      <c r="KB20" s="20" t="n">
        <f aca="false">IF(CF20=1,IF(ABS((1+AS_Wage)/(1+Slot7_Rate)-1)&lt;0.000000000001,(Slot7_Age-D20)*(1+Slot7_Rate)^(Slot7_Age-D20),(1+Slot7_Rate)^(Slot7_Age-D20)*(1-((1+AS_Wage)/(1+Slot7_Rate))^(Slot7_Age-D20))/(1-(1+AS_Wage)/(1+Slot7_Rate))),1)</f>
        <v>1</v>
      </c>
      <c r="KC20" s="20" t="n">
        <f aca="false">IF(AND(HU20=1,IE20&gt;0,Slot7_IsWG=1,CF20=1),MAX(0,(Slot7_Cost-CG20*(1+Slot7_Rate)^(Slot7_Age-D20))/KB20),0)</f>
        <v>0</v>
      </c>
      <c r="KD20" s="20" t="n">
        <f aca="false">IF(AND(HU20=1,IE20&gt;0,Slot7_IsWG=1,CF20=1),MIN(IE20,KC20),0)</f>
        <v>0</v>
      </c>
      <c r="KE20" s="20" t="n">
        <f aca="false">CG20+KD20</f>
        <v>0</v>
      </c>
      <c r="KF20" s="20" t="n">
        <f aca="false">IF(CF20=1,MAX(0,(Slot7_Cost-KE20*(1+Slot7_Rate)^(Slot7_Age-D20))/KB20),0)</f>
        <v>0</v>
      </c>
      <c r="KG20" s="20" t="n">
        <f aca="false">IF(CF20=1,MAX(0,(Slot7_Cost-CG20*(1+Slot7_Rate)^(Slot7_Age-D20))/KB20),0)</f>
        <v>0</v>
      </c>
      <c r="KH20" s="20" t="n">
        <f aca="false">IF(AND(HU20=1,CF20=1),MIN(KA20,KF20),0)</f>
        <v>0</v>
      </c>
      <c r="KI20" s="20" t="n">
        <f aca="false">KA20-KH20</f>
        <v>2225.35763460359</v>
      </c>
      <c r="KJ20" s="20" t="n">
        <f aca="false">IF(CP20=1,IF(ABS((1+AS_Wage)/(1+Slot8_Rate)-1)&lt;0.000000000001,(Slot8_Age-D20)*(1+Slot8_Rate)^(Slot8_Age-D20),(1+Slot8_Rate)^(Slot8_Age-D20)*(1-((1+AS_Wage)/(1+Slot8_Rate))^(Slot8_Age-D20))/(1-(1+AS_Wage)/(1+Slot8_Rate))),1)</f>
        <v>1</v>
      </c>
      <c r="KK20" s="20" t="n">
        <f aca="false">IF(AND(HU20=1,IE20&gt;0,Slot8_IsWG=1,CP20=1),MAX(0,(Slot8_Cost-CQ20*(1+Slot8_Rate)^(Slot8_Age-D20))/KJ20),0)</f>
        <v>0</v>
      </c>
      <c r="KL20" s="20" t="n">
        <f aca="false">IF(AND(HU20=1,IE20&gt;0,Slot8_IsWG=1,CP20=1),MIN(IE20,KK20),0)</f>
        <v>0</v>
      </c>
      <c r="KM20" s="20" t="n">
        <f aca="false">CQ20+KL20</f>
        <v>0</v>
      </c>
      <c r="KN20" s="20" t="n">
        <f aca="false">IF(CP20=1,MAX(0,(Slot8_Cost-KM20*(1+Slot8_Rate)^(Slot8_Age-D20))/KJ20),0)</f>
        <v>0</v>
      </c>
      <c r="KO20" s="20" t="n">
        <f aca="false">IF(CP20=1,MAX(0,(Slot8_Cost-CQ20*(1+Slot8_Rate)^(Slot8_Age-D20))/KJ20),0)</f>
        <v>0</v>
      </c>
      <c r="KP20" s="20" t="n">
        <f aca="false">IF(AND(HU20=1,CP20=1),MIN(KI20,KN20),0)</f>
        <v>0</v>
      </c>
      <c r="KQ20" s="20" t="n">
        <f aca="false">KI20-KP20</f>
        <v>2225.35763460359</v>
      </c>
      <c r="KR20" s="20" t="n">
        <f aca="false">IF(CZ20=1,IF(ABS((1+AS_Wage)/(1+Slot9_Rate)-1)&lt;0.000000000001,(Slot9_Age-D20)*(1+Slot9_Rate)^(Slot9_Age-D20),(1+Slot9_Rate)^(Slot9_Age-D20)*(1-((1+AS_Wage)/(1+Slot9_Rate))^(Slot9_Age-D20))/(1-(1+AS_Wage)/(1+Slot9_Rate))),1)</f>
        <v>1</v>
      </c>
      <c r="KS20" s="20" t="n">
        <f aca="false">IF(AND(HU20=1,IE20&gt;0,Slot9_IsWG=1,CZ20=1),MAX(0,(Slot9_Cost-DA20*(1+Slot9_Rate)^(Slot9_Age-D20))/KR20),0)</f>
        <v>0</v>
      </c>
      <c r="KT20" s="20" t="n">
        <f aca="false">IF(AND(HU20=1,IE20&gt;0,Slot9_IsWG=1,CZ20=1),MIN(IE20,KS20),0)</f>
        <v>0</v>
      </c>
      <c r="KU20" s="20" t="n">
        <f aca="false">DA20+KT20</f>
        <v>0</v>
      </c>
      <c r="KV20" s="20" t="n">
        <f aca="false">IF(CZ20=1,MAX(0,(Slot9_Cost-KU20*(1+Slot9_Rate)^(Slot9_Age-D20))/KR20),0)</f>
        <v>0</v>
      </c>
      <c r="KW20" s="20" t="n">
        <f aca="false">IF(CZ20=1,MAX(0,(Slot9_Cost-DA20*(1+Slot9_Rate)^(Slot9_Age-D20))/KR20),0)</f>
        <v>0</v>
      </c>
      <c r="KX20" s="20" t="n">
        <f aca="false">IF(AND(HU20=1,CZ20=1),MIN(KQ20,KV20),0)</f>
        <v>0</v>
      </c>
      <c r="KY20" s="20" t="n">
        <f aca="false">KQ20-KX20</f>
        <v>2225.35763460359</v>
      </c>
      <c r="KZ20" s="20" t="n">
        <f aca="false">IF(DJ20=1,IF(ABS((1+AS_Wage)/(1+Slot10_Rate)-1)&lt;0.000000000001,(Slot10_Age-D20)*(1+Slot10_Rate)^(Slot10_Age-D20),(1+Slot10_Rate)^(Slot10_Age-D20)*(1-((1+AS_Wage)/(1+Slot10_Rate))^(Slot10_Age-D20))/(1-(1+AS_Wage)/(1+Slot10_Rate))),1)</f>
        <v>1</v>
      </c>
      <c r="LA20" s="20" t="n">
        <f aca="false">IF(AND(HU20=1,IE20&gt;0,Slot10_IsWG=1,DJ20=1),MAX(0,(Slot10_Cost-DK20*(1+Slot10_Rate)^(Slot10_Age-D20))/KZ20),0)</f>
        <v>0</v>
      </c>
      <c r="LB20" s="20" t="n">
        <f aca="false">IF(AND(HU20=1,IE20&gt;0,Slot10_IsWG=1,DJ20=1),MIN(IE20,LA20),0)</f>
        <v>0</v>
      </c>
      <c r="LC20" s="20" t="n">
        <f aca="false">DK20+LB20</f>
        <v>0</v>
      </c>
      <c r="LD20" s="20" t="n">
        <f aca="false">IF(DJ20=1,MAX(0,(Slot10_Cost-LC20*(1+Slot10_Rate)^(Slot10_Age-D20))/KZ20),0)</f>
        <v>0</v>
      </c>
      <c r="LE20" s="20" t="n">
        <f aca="false">IF(DJ20=1,MAX(0,(Slot10_Cost-DK20*(1+Slot10_Rate)^(Slot10_Age-D20))/KZ20),0)</f>
        <v>0</v>
      </c>
      <c r="LF20" s="20" t="n">
        <f aca="false">IF(AND(HU20=1,DJ20=1),MIN(KY20,LD20),0)</f>
        <v>0</v>
      </c>
      <c r="LG20" s="20" t="n">
        <f aca="false">KY20-LF20</f>
        <v>2225.35763460359</v>
      </c>
      <c r="LH20" s="20" t="n">
        <f aca="false">IF(DT20=1,IF(ABS((1+AS_Wage)/(1+Slot11_Rate)-1)&lt;0.000000000001,(Slot11_Age-D20)*(1+Slot11_Rate)^(Slot11_Age-D20),(1+Slot11_Rate)^(Slot11_Age-D20)*(1-((1+AS_Wage)/(1+Slot11_Rate))^(Slot11_Age-D20))/(1-(1+AS_Wage)/(1+Slot11_Rate))),1)</f>
        <v>1</v>
      </c>
      <c r="LI20" s="20" t="n">
        <f aca="false">IF(AND(HU20=1,IE20&gt;0,Slot11_IsWG=1,DT20=1),MAX(0,(Slot11_Cost-DU20*(1+Slot11_Rate)^(Slot11_Age-D20))/LH20),0)</f>
        <v>0</v>
      </c>
      <c r="LJ20" s="20" t="n">
        <f aca="false">IF(AND(HU20=1,IE20&gt;0,Slot11_IsWG=1,DT20=1),MIN(IE20,LI20),0)</f>
        <v>0</v>
      </c>
      <c r="LK20" s="20" t="n">
        <f aca="false">DU20+LJ20</f>
        <v>0</v>
      </c>
      <c r="LL20" s="20" t="n">
        <f aca="false">IF(DT20=1,MAX(0,(Slot11_Cost-LK20*(1+Slot11_Rate)^(Slot11_Age-D20))/LH20),0)</f>
        <v>0</v>
      </c>
      <c r="LM20" s="20" t="n">
        <f aca="false">IF(DT20=1,MAX(0,(Slot11_Cost-DU20*(1+Slot11_Rate)^(Slot11_Age-D20))/LH20),0)</f>
        <v>0</v>
      </c>
      <c r="LN20" s="20" t="n">
        <f aca="false">IF(AND(HU20=1,DT20=1),MIN(LG20,LL20),0)</f>
        <v>0</v>
      </c>
      <c r="LO20" s="20" t="n">
        <f aca="false">LG20-LN20</f>
        <v>2225.35763460359</v>
      </c>
      <c r="LP20" s="20" t="n">
        <f aca="false">IF(ED20=1,IF(ABS((1+AS_Wage)/(1+Slot12_Rate)-1)&lt;0.000000000001,(Slot12_Age-D20)*(1+Slot12_Rate)^(Slot12_Age-D20),(1+Slot12_Rate)^(Slot12_Age-D20)*(1-((1+AS_Wage)/(1+Slot12_Rate))^(Slot12_Age-D20))/(1-(1+AS_Wage)/(1+Slot12_Rate))),1)</f>
        <v>1</v>
      </c>
      <c r="LQ20" s="20" t="n">
        <f aca="false">IF(AND(HU20=1,IE20&gt;0,Slot12_IsWG=1,ED20=1),MAX(0,(Slot12_Cost-EE20*(1+Slot12_Rate)^(Slot12_Age-D20))/LP20),0)</f>
        <v>0</v>
      </c>
      <c r="LR20" s="20" t="n">
        <f aca="false">IF(AND(HU20=1,IE20&gt;0,Slot12_IsWG=1,ED20=1),MIN(IE20,LQ20),0)</f>
        <v>0</v>
      </c>
      <c r="LS20" s="20" t="n">
        <f aca="false">EE20+LR20</f>
        <v>0</v>
      </c>
      <c r="LT20" s="20" t="n">
        <f aca="false">IF(ED20=1,MAX(0,(Slot12_Cost-LS20*(1+Slot12_Rate)^(Slot12_Age-D20))/LP20),0)</f>
        <v>0</v>
      </c>
      <c r="LU20" s="20" t="n">
        <f aca="false">IF(ED20=1,MAX(0,(Slot12_Cost-EE20*(1+Slot12_Rate)^(Slot12_Age-D20))/LP20),0)</f>
        <v>0</v>
      </c>
      <c r="LV20" s="20" t="n">
        <f aca="false">IF(AND(HU20=1,ED20=1),MIN(LO20,LT20),0)</f>
        <v>0</v>
      </c>
      <c r="LW20" s="20" t="n">
        <f aca="false">LO20-LV20</f>
        <v>2225.35763460359</v>
      </c>
      <c r="LX20" s="20" t="n">
        <f aca="false">IF(EN20=1,IF(ABS((1+AS_Wage)/(1+Slot13_Rate)-1)&lt;0.000000000001,(Slot13_Age-D20)*(1+Slot13_Rate)^(Slot13_Age-D20),(1+Slot13_Rate)^(Slot13_Age-D20)*(1-((1+AS_Wage)/(1+Slot13_Rate))^(Slot13_Age-D20))/(1-(1+AS_Wage)/(1+Slot13_Rate))),1)</f>
        <v>1</v>
      </c>
      <c r="LY20" s="20" t="n">
        <f aca="false">IF(AND(HU20=1,IE20&gt;0,Slot13_IsWG=1,EN20=1),MAX(0,(Slot13_Cost-EO20*(1+Slot13_Rate)^(Slot13_Age-D20))/LX20),0)</f>
        <v>0</v>
      </c>
      <c r="LZ20" s="20" t="n">
        <f aca="false">IF(AND(HU20=1,IE20&gt;0,Slot13_IsWG=1,EN20=1),MIN(IE20,LY20),0)</f>
        <v>0</v>
      </c>
      <c r="MA20" s="20" t="n">
        <f aca="false">EO20+LZ20</f>
        <v>0</v>
      </c>
      <c r="MB20" s="20" t="n">
        <f aca="false">IF(EN20=1,MAX(0,(Slot13_Cost-MA20*(1+Slot13_Rate)^(Slot13_Age-D20))/LX20),0)</f>
        <v>0</v>
      </c>
      <c r="MC20" s="20" t="n">
        <f aca="false">IF(EN20=1,MAX(0,(Slot13_Cost-EO20*(1+Slot13_Rate)^(Slot13_Age-D20))/LX20),0)</f>
        <v>0</v>
      </c>
      <c r="MD20" s="20" t="n">
        <f aca="false">IF(AND(HU20=1,EN20=1),MIN(LW20,MB20),0)</f>
        <v>0</v>
      </c>
      <c r="ME20" s="20" t="n">
        <f aca="false">LW20-MD20</f>
        <v>2225.35763460359</v>
      </c>
      <c r="MF20" s="20" t="n">
        <f aca="false">IF(EX20=1,IF(ABS((1+AS_Wage)/(1+Slot14_Rate)-1)&lt;0.000000000001,(Slot14_Age-D20)*(1+Slot14_Rate)^(Slot14_Age-D20),(1+Slot14_Rate)^(Slot14_Age-D20)*(1-((1+AS_Wage)/(1+Slot14_Rate))^(Slot14_Age-D20))/(1-(1+AS_Wage)/(1+Slot14_Rate))),1)</f>
        <v>1</v>
      </c>
      <c r="MG20" s="20" t="n">
        <f aca="false">IF(AND(HU20=1,IE20&gt;0,Slot14_IsWG=1,EX20=1),MAX(0,(Slot14_Cost-EY20*(1+Slot14_Rate)^(Slot14_Age-D20))/MF20),0)</f>
        <v>0</v>
      </c>
      <c r="MH20" s="20" t="n">
        <f aca="false">IF(AND(HU20=1,IE20&gt;0,Slot14_IsWG=1,EX20=1),MIN(IE20,MG20),0)</f>
        <v>0</v>
      </c>
      <c r="MI20" s="20" t="n">
        <f aca="false">EY20+MH20</f>
        <v>0</v>
      </c>
      <c r="MJ20" s="20" t="n">
        <f aca="false">IF(EX20=1,MAX(0,(Slot14_Cost-MI20*(1+Slot14_Rate)^(Slot14_Age-D20))/MF20),0)</f>
        <v>0</v>
      </c>
      <c r="MK20" s="20" t="n">
        <f aca="false">IF(EX20=1,MAX(0,(Slot14_Cost-EY20*(1+Slot14_Rate)^(Slot14_Age-D20))/MF20),0)</f>
        <v>0</v>
      </c>
      <c r="ML20" s="20" t="n">
        <f aca="false">IF(AND(HU20=1,EX20=1),MIN(ME20,MJ20),0)</f>
        <v>0</v>
      </c>
      <c r="MM20" s="20" t="n">
        <f aca="false">ME20-ML20</f>
        <v>2225.35763460359</v>
      </c>
      <c r="MN20" s="20" t="n">
        <f aca="false">IF(FH20=1,IF(ABS((1+AS_Wage)/(1+Slot15_Rate)-1)&lt;0.000000000001,(Slot15_Age-D20)*(1+Slot15_Rate)^(Slot15_Age-D20),(1+Slot15_Rate)^(Slot15_Age-D20)*(1-((1+AS_Wage)/(1+Slot15_Rate))^(Slot15_Age-D20))/(1-(1+AS_Wage)/(1+Slot15_Rate))),1)</f>
        <v>1</v>
      </c>
      <c r="MO20" s="20" t="n">
        <f aca="false">IF(AND(HU20=1,IE20&gt;0,Slot15_IsWG=1,FH20=1),MAX(0,(Slot15_Cost-FI20*(1+Slot15_Rate)^(Slot15_Age-D20))/MN20),0)</f>
        <v>0</v>
      </c>
      <c r="MP20" s="20" t="n">
        <f aca="false">IF(AND(HU20=1,IE20&gt;0,Slot15_IsWG=1,FH20=1),MIN(IE20,MO20),0)</f>
        <v>0</v>
      </c>
      <c r="MQ20" s="20" t="n">
        <f aca="false">FI20+MP20</f>
        <v>0</v>
      </c>
      <c r="MR20" s="20" t="n">
        <f aca="false">IF(FH20=1,MAX(0,(Slot15_Cost-MQ20*(1+Slot15_Rate)^(Slot15_Age-D20))/MN20),0)</f>
        <v>0</v>
      </c>
      <c r="MS20" s="20" t="n">
        <f aca="false">IF(FH20=1,MAX(0,(Slot15_Cost-FI20*(1+Slot15_Rate)^(Slot15_Age-D20))/MN20),0)</f>
        <v>0</v>
      </c>
      <c r="MT20" s="20" t="n">
        <f aca="false">IF(AND(HU20=1,FH20=1),MIN(MM20,MR20),0)</f>
        <v>0</v>
      </c>
      <c r="MU20" s="20" t="n">
        <f aca="false">MM20-MT20</f>
        <v>2225.35763460359</v>
      </c>
      <c r="MV20" s="20" t="n">
        <f aca="false">IF(FR20=1,IF(ABS((1+AS_Wage)/(1+Slot16_Rate)-1)&lt;0.000000000001,(Slot16_Age-D20)*(1+Slot16_Rate)^(Slot16_Age-D20),(1+Slot16_Rate)^(Slot16_Age-D20)*(1-((1+AS_Wage)/(1+Slot16_Rate))^(Slot16_Age-D20))/(1-(1+AS_Wage)/(1+Slot16_Rate))),1)</f>
        <v>1</v>
      </c>
      <c r="MW20" s="20" t="n">
        <f aca="false">IF(AND(HU20=1,IE20&gt;0,Slot16_IsWG=1,FR20=1),MAX(0,(Slot16_Cost-FS20*(1+Slot16_Rate)^(Slot16_Age-D20))/MV20),0)</f>
        <v>0</v>
      </c>
      <c r="MX20" s="20" t="n">
        <f aca="false">IF(AND(HU20=1,IE20&gt;0,Slot16_IsWG=1,FR20=1),MIN(IE20,MW20),0)</f>
        <v>0</v>
      </c>
      <c r="MY20" s="20" t="n">
        <f aca="false">FS20+MX20</f>
        <v>0</v>
      </c>
      <c r="MZ20" s="20" t="n">
        <f aca="false">IF(FR20=1,MAX(0,(Slot16_Cost-MY20*(1+Slot16_Rate)^(Slot16_Age-D20))/MV20),0)</f>
        <v>0</v>
      </c>
      <c r="NA20" s="20" t="n">
        <f aca="false">IF(FR20=1,MAX(0,(Slot16_Cost-FS20*(1+Slot16_Rate)^(Slot16_Age-D20))/MV20),0)</f>
        <v>0</v>
      </c>
      <c r="NB20" s="20" t="n">
        <f aca="false">IF(AND(HU20=1,FR20=1),MIN(MU20,MZ20),0)</f>
        <v>0</v>
      </c>
      <c r="NC20" s="20" t="n">
        <f aca="false">MU20-NB20</f>
        <v>2225.35763460359</v>
      </c>
      <c r="ND20" s="20" t="n">
        <f aca="false">IF(GB20=1,IF(ABS((1+AS_Wage)/(1+Slot17_Rate)-1)&lt;0.000000000001,(Slot17_Age-D20)*(1+Slot17_Rate)^(Slot17_Age-D20),(1+Slot17_Rate)^(Slot17_Age-D20)*(1-((1+AS_Wage)/(1+Slot17_Rate))^(Slot17_Age-D20))/(1-(1+AS_Wage)/(1+Slot17_Rate))),1)</f>
        <v>1</v>
      </c>
      <c r="NE20" s="20" t="n">
        <f aca="false">IF(AND(HU20=1,IE20&gt;0,Slot17_IsWG=1,GB20=1),MAX(0,(Slot17_Cost-GC20*(1+Slot17_Rate)^(Slot17_Age-D20))/ND20),0)</f>
        <v>0</v>
      </c>
      <c r="NF20" s="20" t="n">
        <f aca="false">IF(AND(HU20=1,IE20&gt;0,Slot17_IsWG=1,GB20=1),MIN(IE20,NE20),0)</f>
        <v>0</v>
      </c>
      <c r="NG20" s="20" t="n">
        <f aca="false">GC20+NF20</f>
        <v>0</v>
      </c>
      <c r="NH20" s="20" t="n">
        <f aca="false">IF(GB20=1,MAX(0,(Slot17_Cost-NG20*(1+Slot17_Rate)^(Slot17_Age-D20))/ND20),0)</f>
        <v>0</v>
      </c>
      <c r="NI20" s="20" t="n">
        <f aca="false">IF(GB20=1,MAX(0,(Slot17_Cost-GC20*(1+Slot17_Rate)^(Slot17_Age-D20))/ND20),0)</f>
        <v>0</v>
      </c>
      <c r="NJ20" s="20" t="n">
        <f aca="false">IF(AND(HU20=1,GB20=1),MIN(NC20,NH20),0)</f>
        <v>0</v>
      </c>
      <c r="NK20" s="20" t="n">
        <f aca="false">NC20-NJ20</f>
        <v>2225.35763460359</v>
      </c>
      <c r="NL20" s="20" t="n">
        <f aca="false">IF(GL20=1,IF(ABS((1+AS_Wage)/(1+Slot18_Rate)-1)&lt;0.000000000001,(Slot18_Age-D20)*(1+Slot18_Rate)^(Slot18_Age-D20),(1+Slot18_Rate)^(Slot18_Age-D20)*(1-((1+AS_Wage)/(1+Slot18_Rate))^(Slot18_Age-D20))/(1-(1+AS_Wage)/(1+Slot18_Rate))),1)</f>
        <v>1</v>
      </c>
      <c r="NM20" s="20" t="n">
        <f aca="false">IF(AND(HU20=1,IE20&gt;0,Slot18_IsWG=1,GL20=1),MAX(0,(Slot18_Cost-GM20*(1+Slot18_Rate)^(Slot18_Age-D20))/NL20),0)</f>
        <v>0</v>
      </c>
      <c r="NN20" s="20" t="n">
        <f aca="false">IF(AND(HU20=1,IE20&gt;0,Slot18_IsWG=1,GL20=1),MIN(IE20,NM20),0)</f>
        <v>0</v>
      </c>
      <c r="NO20" s="20" t="n">
        <f aca="false">GM20+NN20</f>
        <v>0</v>
      </c>
      <c r="NP20" s="20" t="n">
        <f aca="false">IF(GL20=1,MAX(0,(Slot18_Cost-NO20*(1+Slot18_Rate)^(Slot18_Age-D20))/NL20),0)</f>
        <v>0</v>
      </c>
      <c r="NQ20" s="20" t="n">
        <f aca="false">IF(GL20=1,MAX(0,(Slot18_Cost-GM20*(1+Slot18_Rate)^(Slot18_Age-D20))/NL20),0)</f>
        <v>0</v>
      </c>
      <c r="NR20" s="20" t="n">
        <f aca="false">IF(AND(HU20=1,GL20=1),MIN(NK20,NP20),0)</f>
        <v>0</v>
      </c>
      <c r="NS20" s="20" t="n">
        <f aca="false">NK20-NR20</f>
        <v>2225.35763460359</v>
      </c>
      <c r="NT20" s="20" t="n">
        <f aca="false">IF(GV20=1,IF(ABS((1+AS_Wage)/(1+Slot19_Rate)-1)&lt;0.000000000001,(Slot19_Age-D20)*(1+Slot19_Rate)^(Slot19_Age-D20),(1+Slot19_Rate)^(Slot19_Age-D20)*(1-((1+AS_Wage)/(1+Slot19_Rate))^(Slot19_Age-D20))/(1-(1+AS_Wage)/(1+Slot19_Rate))),1)</f>
        <v>1</v>
      </c>
      <c r="NU20" s="20" t="n">
        <f aca="false">IF(AND(HU20=1,IE20&gt;0,Slot19_IsWG=1,GV20=1),MAX(0,(Slot19_Cost-GW20*(1+Slot19_Rate)^(Slot19_Age-D20))/NT20),0)</f>
        <v>0</v>
      </c>
      <c r="NV20" s="20" t="n">
        <f aca="false">IF(AND(HU20=1,IE20&gt;0,Slot19_IsWG=1,GV20=1),MIN(IE20,NU20),0)</f>
        <v>0</v>
      </c>
      <c r="NW20" s="20" t="n">
        <f aca="false">GW20+NV20</f>
        <v>0</v>
      </c>
      <c r="NX20" s="20" t="n">
        <f aca="false">IF(GV20=1,MAX(0,(Slot19_Cost-NW20*(1+Slot19_Rate)^(Slot19_Age-D20))/NT20),0)</f>
        <v>0</v>
      </c>
      <c r="NY20" s="20" t="n">
        <f aca="false">IF(GV20=1,MAX(0,(Slot19_Cost-GW20*(1+Slot19_Rate)^(Slot19_Age-D20))/NT20),0)</f>
        <v>0</v>
      </c>
      <c r="NZ20" s="20" t="n">
        <f aca="false">IF(AND(HU20=1,GV20=1),MIN(NS20,NX20),0)</f>
        <v>0</v>
      </c>
      <c r="OA20" s="20" t="n">
        <f aca="false">NS20-NZ20</f>
        <v>2225.35763460359</v>
      </c>
      <c r="OB20" s="20" t="n">
        <f aca="false">IF(HF20=1,IF(ABS((1+AS_Wage)/(1+Slot20_Rate)-1)&lt;0.000000000001,(Slot20_Age-D20)*(1+Slot20_Rate)^(Slot20_Age-D20),(1+Slot20_Rate)^(Slot20_Age-D20)*(1-((1+AS_Wage)/(1+Slot20_Rate))^(Slot20_Age-D20))/(1-(1+AS_Wage)/(1+Slot20_Rate))),1)</f>
        <v>1</v>
      </c>
      <c r="OC20" s="20" t="n">
        <f aca="false">IF(AND(HU20=1,IE20&gt;0,Slot20_IsWG=1,HF20=1),MAX(0,(Slot20_Cost-HG20*(1+Slot20_Rate)^(Slot20_Age-D20))/OB20),0)</f>
        <v>0</v>
      </c>
      <c r="OD20" s="20" t="n">
        <f aca="false">IF(AND(HU20=1,IE20&gt;0,Slot20_IsWG=1,HF20=1),MIN(IE20,OC20),0)</f>
        <v>0</v>
      </c>
      <c r="OE20" s="20" t="n">
        <f aca="false">HG20+OD20</f>
        <v>0</v>
      </c>
      <c r="OF20" s="20" t="n">
        <f aca="false">IF(HF20=1,MAX(0,(Slot20_Cost-OE20*(1+Slot20_Rate)^(Slot20_Age-D20))/OB20),0)</f>
        <v>0</v>
      </c>
      <c r="OG20" s="20" t="n">
        <f aca="false">IF(HF20=1,MAX(0,(Slot20_Cost-HG20*(1+Slot20_Rate)^(Slot20_Age-D20))/OB20),0)</f>
        <v>0</v>
      </c>
      <c r="OH20" s="20" t="n">
        <f aca="false">IF(AND(HU20=1,HF20=1),MIN(OA20,OF20),0)</f>
        <v>0</v>
      </c>
      <c r="OI20" s="20" t="n">
        <f aca="false">OA20-OH20</f>
        <v>2225.35763460359</v>
      </c>
      <c r="OJ20" s="20" t="n">
        <f aca="false">IE20-(IH20+IP20+IX20+JF20+JN20+JV20+KD20+KL20+KT20+LB20+LJ20+LR20+LZ20+MH20+MP20+MX20+NF20+NN20+NV20+OD20)</f>
        <v>0</v>
      </c>
      <c r="OK20" s="20" t="n">
        <f aca="false">IF(HU20=1,HS20-ID20-IE20,0)</f>
        <v>7234.20841208084</v>
      </c>
      <c r="OL20" s="20" t="n">
        <f aca="false">IF(HU20=0,-HS20,0)</f>
        <v>0</v>
      </c>
      <c r="OM20" s="20" t="n">
        <f aca="false">MIN(OL20,HK20)</f>
        <v>0</v>
      </c>
      <c r="ON20" s="20" t="n">
        <f aca="false">OL20-OM20</f>
        <v>0</v>
      </c>
      <c r="OO20" s="20" t="n">
        <f aca="false">MIN(ON20,HL20)</f>
        <v>0</v>
      </c>
      <c r="OP20" s="20" t="n">
        <f aca="false">ON20-OO20</f>
        <v>0</v>
      </c>
      <c r="OQ20" s="20" t="n">
        <f aca="false">IF(AND(HU20=0,HF20=1,OP20&gt;0),MIN(OP20,HG20),0)</f>
        <v>0</v>
      </c>
      <c r="OR20" s="20" t="n">
        <f aca="false">OP20-OQ20</f>
        <v>0</v>
      </c>
      <c r="OS20" s="20" t="n">
        <f aca="false">IF(AND(HU20=0,GV20=1,OR20&gt;0),MIN(OR20,GW20),0)</f>
        <v>0</v>
      </c>
      <c r="OT20" s="20" t="n">
        <f aca="false">OR20-OS20</f>
        <v>0</v>
      </c>
      <c r="OU20" s="20" t="n">
        <f aca="false">IF(AND(HU20=0,GL20=1,OT20&gt;0),MIN(OT20,GM20),0)</f>
        <v>0</v>
      </c>
      <c r="OV20" s="20" t="n">
        <f aca="false">OT20-OU20</f>
        <v>0</v>
      </c>
      <c r="OW20" s="20" t="n">
        <f aca="false">IF(AND(HU20=0,GB20=1,OV20&gt;0),MIN(OV20,GC20),0)</f>
        <v>0</v>
      </c>
      <c r="OX20" s="20" t="n">
        <f aca="false">OV20-OW20</f>
        <v>0</v>
      </c>
      <c r="OY20" s="20" t="n">
        <f aca="false">IF(AND(HU20=0,FR20=1,OX20&gt;0),MIN(OX20,FS20),0)</f>
        <v>0</v>
      </c>
      <c r="OZ20" s="20" t="n">
        <f aca="false">OX20-OY20</f>
        <v>0</v>
      </c>
      <c r="PA20" s="20" t="n">
        <f aca="false">IF(AND(HU20=0,FH20=1,OZ20&gt;0),MIN(OZ20,FI20),0)</f>
        <v>0</v>
      </c>
      <c r="PB20" s="20" t="n">
        <f aca="false">OZ20-PA20</f>
        <v>0</v>
      </c>
      <c r="PC20" s="20" t="n">
        <f aca="false">IF(AND(HU20=0,EX20=1,PB20&gt;0),MIN(PB20,EY20),0)</f>
        <v>0</v>
      </c>
      <c r="PD20" s="20" t="n">
        <f aca="false">PB20-PC20</f>
        <v>0</v>
      </c>
      <c r="PE20" s="20" t="n">
        <f aca="false">IF(AND(HU20=0,EN20=1,PD20&gt;0),MIN(PD20,EO20),0)</f>
        <v>0</v>
      </c>
      <c r="PF20" s="20" t="n">
        <f aca="false">PD20-PE20</f>
        <v>0</v>
      </c>
      <c r="PG20" s="20" t="n">
        <f aca="false">IF(AND(HU20=0,ED20=1,PF20&gt;0),MIN(PF20,EE20),0)</f>
        <v>0</v>
      </c>
      <c r="PH20" s="20" t="n">
        <f aca="false">PF20-PG20</f>
        <v>0</v>
      </c>
      <c r="PI20" s="20" t="n">
        <f aca="false">IF(AND(HU20=0,DT20=1,PH20&gt;0),MIN(PH20,DU20),0)</f>
        <v>0</v>
      </c>
      <c r="PJ20" s="20" t="n">
        <f aca="false">PH20-PI20</f>
        <v>0</v>
      </c>
      <c r="PK20" s="20" t="n">
        <f aca="false">IF(AND(HU20=0,DJ20=1,PJ20&gt;0),MIN(PJ20,DK20),0)</f>
        <v>0</v>
      </c>
      <c r="PL20" s="20" t="n">
        <f aca="false">PJ20-PK20</f>
        <v>0</v>
      </c>
      <c r="PM20" s="20" t="n">
        <f aca="false">IF(AND(HU20=0,CZ20=1,PL20&gt;0),MIN(PL20,DA20),0)</f>
        <v>0</v>
      </c>
      <c r="PN20" s="20" t="n">
        <f aca="false">PL20-PM20</f>
        <v>0</v>
      </c>
      <c r="PO20" s="20" t="n">
        <f aca="false">IF(AND(HU20=0,CP20=1,PN20&gt;0),MIN(PN20,CQ20),0)</f>
        <v>0</v>
      </c>
      <c r="PP20" s="20" t="n">
        <f aca="false">PN20-PO20</f>
        <v>0</v>
      </c>
      <c r="PQ20" s="20" t="n">
        <f aca="false">IF(AND(HU20=0,CF20=1,PP20&gt;0),MIN(PP20,CG20),0)</f>
        <v>0</v>
      </c>
      <c r="PR20" s="20" t="n">
        <f aca="false">PP20-PQ20</f>
        <v>0</v>
      </c>
      <c r="PS20" s="20" t="n">
        <f aca="false">IF(AND(HU20=0,BV20=1,PR20&gt;0),MIN(PR20,BW20),0)</f>
        <v>0</v>
      </c>
      <c r="PT20" s="20" t="n">
        <f aca="false">PR20-PS20</f>
        <v>0</v>
      </c>
      <c r="PU20" s="20" t="n">
        <f aca="false">IF(AND(HU20=0,BL20=1,PT20&gt;0),MIN(PT20,BM20),0)</f>
        <v>0</v>
      </c>
      <c r="PV20" s="20" t="n">
        <f aca="false">PT20-PU20</f>
        <v>0</v>
      </c>
      <c r="PW20" s="20" t="n">
        <f aca="false">IF(AND(HU20=0,BB20=1,PV20&gt;0),MIN(PV20,BC20),0)</f>
        <v>0</v>
      </c>
      <c r="PX20" s="20" t="n">
        <f aca="false">PV20-PW20</f>
        <v>0</v>
      </c>
      <c r="PY20" s="20" t="n">
        <f aca="false">IF(AND(HU20=0,AR20=1,PX20&gt;0),MIN(PX20,AS20),0)</f>
        <v>0</v>
      </c>
      <c r="PZ20" s="20" t="n">
        <f aca="false">PX20-PY20</f>
        <v>0</v>
      </c>
      <c r="QA20" s="20" t="n">
        <f aca="false">IF(AND(HU20=0,AH20=1,PZ20&gt;0),MIN(PZ20,AI20),0)</f>
        <v>0</v>
      </c>
      <c r="QB20" s="20" t="n">
        <f aca="false">PZ20-QA20</f>
        <v>0</v>
      </c>
      <c r="QC20" s="20" t="n">
        <f aca="false">IF(AND(HU20=0,W20=1,QB20&gt;0),MIN(QB20,X20),0)</f>
        <v>0</v>
      </c>
      <c r="QD20" s="20" t="n">
        <f aca="false">QB20-QC20</f>
        <v>0</v>
      </c>
      <c r="QE20" s="20" t="n">
        <f aca="false">IF(HU20=0,QD20,0)</f>
        <v>0</v>
      </c>
      <c r="QF20" s="20" t="n">
        <f aca="false">OM20+OO20+QC20+QA20+PY20+PW20+PU20+PS20+PQ20+PO20+PM20+PK20+PI20+PG20+PE20+PC20+PA20+OY20+OW20+OU20+OS20+OQ20</f>
        <v>0</v>
      </c>
      <c r="QG20" s="20" t="n">
        <f aca="false">IF(HU20=1,HK20+OJ20+OI20+IF(G20=1,0,OK20),HK20-OM20)</f>
        <v>5452.68073327028</v>
      </c>
      <c r="QH20" s="20" t="n">
        <f aca="false">HL20-OO20</f>
        <v>12568.878246517</v>
      </c>
      <c r="QI20" s="20" t="n">
        <f aca="false">IF(HU20=1,IF(G20=1,ID20+IE20,HS20),0)</f>
        <v>7234.20841208084</v>
      </c>
      <c r="QJ20" s="20" t="n">
        <f aca="false">IF(HU20=1,IF(G20=1,HS20-ID20-IE20,0),0)</f>
        <v>7234.20841208084</v>
      </c>
      <c r="QK20" s="57" t="n">
        <f aca="false">'Plan holdings'!BM20</f>
        <v>5602.0657443229</v>
      </c>
      <c r="QL20" s="20" t="n">
        <f aca="false">QH20*(1+AS_Cash)</f>
        <v>12694.5670289821</v>
      </c>
      <c r="QM20" s="20" t="n">
        <f aca="false">IF(W20=1,IF(HU20=1,II20+IL20,X20-QC20)*(1+Slot1_Rate),0)</f>
        <v>0</v>
      </c>
      <c r="QN20" s="20" t="n">
        <f aca="false">IF(AND(HU20=1,W20=1),(IH20+IL20)/F20,0)</f>
        <v>0</v>
      </c>
      <c r="QO20" s="20" t="n">
        <f aca="false">IF(B20=0,IH20+IL20,0)</f>
        <v>0</v>
      </c>
      <c r="QP20" s="20" t="n">
        <f aca="false">IF(B20=0,IF(HU20=1,IJ20,IK20),0)</f>
        <v>0</v>
      </c>
      <c r="QQ20" s="20" t="n">
        <f aca="false">IF(AH20=1,IF(HU20=1,IQ20+IT20,AI20-QA20)*(1+Slot2_Rate),0)</f>
        <v>0</v>
      </c>
      <c r="QR20" s="20" t="n">
        <f aca="false">IF(AND(HU20=1,AH20=1),(IP20+IT20)/F20,0)</f>
        <v>0</v>
      </c>
      <c r="QS20" s="20" t="n">
        <f aca="false">IF(B20=0,IP20+IT20,0)</f>
        <v>0</v>
      </c>
      <c r="QT20" s="20" t="n">
        <f aca="false">IF(B20=0,IF(HU20=1,IR20,IS20),0)</f>
        <v>0</v>
      </c>
      <c r="QU20" s="20" t="n">
        <f aca="false">IF(AR20=1,IF(HU20=1,IY20+JB20,AS20-PY20)*(1+Slot3_Rate),0)</f>
        <v>0</v>
      </c>
      <c r="QV20" s="20" t="n">
        <f aca="false">IF(AND(HU20=1,AR20=1),(IX20+JB20)/F20,0)</f>
        <v>0</v>
      </c>
      <c r="QW20" s="20" t="n">
        <f aca="false">IF(B20=0,IX20+JB20,0)</f>
        <v>0</v>
      </c>
      <c r="QX20" s="20" t="n">
        <f aca="false">IF(B20=0,IF(HU20=1,IZ20,JA20),0)</f>
        <v>0</v>
      </c>
      <c r="QY20" s="20" t="n">
        <f aca="false">IF(BB20=1,IF(HU20=1,JG20+JJ20,BC20-PW20)*(1+Slot4_Rate),0)</f>
        <v>15357.4474111435</v>
      </c>
      <c r="QZ20" s="20" t="n">
        <f aca="false">IF(AND(HU20=1,BB20=1),(JF20+JJ20)/F20,0)</f>
        <v>3949.44465554768</v>
      </c>
      <c r="RA20" s="20" t="n">
        <f aca="false">IF(B20=0,JF20+JJ20,0)</f>
        <v>0</v>
      </c>
      <c r="RB20" s="20" t="n">
        <f aca="false">IF(B20=0,IF(HU20=1,JH20,JI20),0)</f>
        <v>0</v>
      </c>
      <c r="RC20" s="20" t="n">
        <f aca="false">IF(BL20=1,IF(HU20=1,JO20+JR20,BM20-PU20)*(1+Slot5_Rate),0)</f>
        <v>0</v>
      </c>
      <c r="RD20" s="20" t="n">
        <f aca="false">IF(AND(HU20=1,BL20=1),(JN20+JR20)/F20,0)</f>
        <v>0</v>
      </c>
      <c r="RE20" s="20" t="n">
        <f aca="false">IF(B20=0,JN20+JR20,0)</f>
        <v>0</v>
      </c>
      <c r="RF20" s="20" t="n">
        <f aca="false">IF(B20=0,IF(HU20=1,JP20,JQ20),0)</f>
        <v>0</v>
      </c>
      <c r="RG20" s="20" t="n">
        <f aca="false">IF(BV20=1,IF(HU20=1,JW20+JZ20,BW20-PS20)*(1+Slot6_Rate),0)</f>
        <v>0</v>
      </c>
      <c r="RH20" s="20" t="n">
        <f aca="false">IF(AND(HU20=1,BV20=1),(JV20+JZ20)/F20,0)</f>
        <v>0</v>
      </c>
      <c r="RI20" s="20" t="n">
        <f aca="false">IF(B20=0,JV20+JZ20,0)</f>
        <v>0</v>
      </c>
      <c r="RJ20" s="20" t="n">
        <f aca="false">IF(B20=0,IF(HU20=1,JX20,JY20),0)</f>
        <v>0</v>
      </c>
      <c r="RK20" s="20" t="n">
        <f aca="false">IF(CF20=1,IF(HU20=1,KE20+KH20,CG20-PQ20)*(1+Slot7_Rate),0)</f>
        <v>0</v>
      </c>
      <c r="RL20" s="20" t="n">
        <f aca="false">IF(AND(HU20=1,CF20=1),(KD20+KH20)/F20,0)</f>
        <v>0</v>
      </c>
      <c r="RM20" s="20" t="n">
        <f aca="false">IF(B20=0,KD20+KH20,0)</f>
        <v>0</v>
      </c>
      <c r="RN20" s="20" t="n">
        <f aca="false">IF(B20=0,IF(HU20=1,KF20,KG20),0)</f>
        <v>0</v>
      </c>
      <c r="RO20" s="20" t="n">
        <f aca="false">IF(CP20=1,IF(HU20=1,KM20+KP20,CQ20-PO20)*(1+Slot8_Rate),0)</f>
        <v>0</v>
      </c>
      <c r="RP20" s="20" t="n">
        <f aca="false">IF(AND(HU20=1,CP20=1),(KL20+KP20)/F20,0)</f>
        <v>0</v>
      </c>
      <c r="RQ20" s="20" t="n">
        <f aca="false">IF(B20=0,KL20+KP20,0)</f>
        <v>0</v>
      </c>
      <c r="RR20" s="20" t="n">
        <f aca="false">IF(B20=0,IF(HU20=1,KN20,KO20),0)</f>
        <v>0</v>
      </c>
      <c r="RS20" s="20" t="n">
        <f aca="false">IF(CZ20=1,IF(HU20=1,KU20+KX20,DA20-PM20)*(1+Slot9_Rate),0)</f>
        <v>0</v>
      </c>
      <c r="RT20" s="20" t="n">
        <f aca="false">IF(AND(HU20=1,CZ20=1),(KT20+KX20)/F20,0)</f>
        <v>0</v>
      </c>
      <c r="RU20" s="20" t="n">
        <f aca="false">IF(B20=0,KT20+KX20,0)</f>
        <v>0</v>
      </c>
      <c r="RV20" s="20" t="n">
        <f aca="false">IF(B20=0,IF(HU20=1,KV20,KW20),0)</f>
        <v>0</v>
      </c>
      <c r="RW20" s="20" t="n">
        <f aca="false">IF(DJ20=1,IF(HU20=1,LC20+LF20,DK20-PK20)*(1+Slot10_Rate),0)</f>
        <v>0</v>
      </c>
      <c r="RX20" s="20" t="n">
        <f aca="false">IF(AND(HU20=1,DJ20=1),(LB20+LF20)/F20,0)</f>
        <v>0</v>
      </c>
      <c r="RY20" s="20" t="n">
        <f aca="false">IF(B20=0,LB20+LF20,0)</f>
        <v>0</v>
      </c>
      <c r="RZ20" s="20" t="n">
        <f aca="false">IF(B20=0,IF(HU20=1,LD20,LE20),0)</f>
        <v>0</v>
      </c>
      <c r="SA20" s="20" t="n">
        <f aca="false">IF(DT20=1,IF(HU20=1,LK20+LN20,DU20-PI20)*(1+Slot11_Rate),0)</f>
        <v>0</v>
      </c>
      <c r="SB20" s="20" t="n">
        <f aca="false">IF(AND(HU20=1,DT20=1),(LJ20+LN20)/F20,0)</f>
        <v>0</v>
      </c>
      <c r="SC20" s="20" t="n">
        <f aca="false">IF(B20=0,LJ20+LN20,0)</f>
        <v>0</v>
      </c>
      <c r="SD20" s="20" t="n">
        <f aca="false">IF(B20=0,IF(HU20=1,LL20,LM20),0)</f>
        <v>0</v>
      </c>
      <c r="SE20" s="20" t="n">
        <f aca="false">IF(ED20=1,IF(HU20=1,LS20+LV20,EE20-PG20)*(1+Slot12_Rate),0)</f>
        <v>0</v>
      </c>
      <c r="SF20" s="20" t="n">
        <f aca="false">IF(AND(HU20=1,ED20=1),(LR20+LV20)/F20,0)</f>
        <v>0</v>
      </c>
      <c r="SG20" s="20" t="n">
        <f aca="false">IF(B20=0,LR20+LV20,0)</f>
        <v>0</v>
      </c>
      <c r="SH20" s="20" t="n">
        <f aca="false">IF(B20=0,IF(HU20=1,LT20,LU20),0)</f>
        <v>0</v>
      </c>
      <c r="SI20" s="20" t="n">
        <f aca="false">IF(EN20=1,IF(HU20=1,MA20+MD20,EO20-PE20)*(1+Slot13_Rate),0)</f>
        <v>0</v>
      </c>
      <c r="SJ20" s="20" t="n">
        <f aca="false">IF(AND(HU20=1,EN20=1),(LZ20+MD20)/F20,0)</f>
        <v>0</v>
      </c>
      <c r="SK20" s="20" t="n">
        <f aca="false">IF(B20=0,LZ20+MD20,0)</f>
        <v>0</v>
      </c>
      <c r="SL20" s="20" t="n">
        <f aca="false">IF(B20=0,IF(HU20=1,MB20,MC20),0)</f>
        <v>0</v>
      </c>
      <c r="SM20" s="20" t="n">
        <f aca="false">IF(EX20=1,IF(HU20=1,MI20+ML20,EY20-PC20)*(1+Slot14_Rate),0)</f>
        <v>0</v>
      </c>
      <c r="SN20" s="20" t="n">
        <f aca="false">IF(AND(HU20=1,EX20=1),(MH20+ML20)/F20,0)</f>
        <v>0</v>
      </c>
      <c r="SO20" s="20" t="n">
        <f aca="false">IF(B20=0,MH20+ML20,0)</f>
        <v>0</v>
      </c>
      <c r="SP20" s="20" t="n">
        <f aca="false">IF(B20=0,IF(HU20=1,MJ20,MK20),0)</f>
        <v>0</v>
      </c>
      <c r="SQ20" s="20" t="n">
        <f aca="false">IF(FH20=1,IF(HU20=1,MQ20+MT20,FI20-PA20)*(1+Slot15_Rate),0)</f>
        <v>0</v>
      </c>
      <c r="SR20" s="20" t="n">
        <f aca="false">IF(AND(HU20=1,FH20=1),(MP20+MT20)/F20,0)</f>
        <v>0</v>
      </c>
      <c r="SS20" s="20" t="n">
        <f aca="false">IF(B20=0,MP20+MT20,0)</f>
        <v>0</v>
      </c>
      <c r="ST20" s="20" t="n">
        <f aca="false">IF(B20=0,IF(HU20=1,MR20,MS20),0)</f>
        <v>0</v>
      </c>
      <c r="SU20" s="20" t="n">
        <f aca="false">IF(FR20=1,IF(HU20=1,MY20+NB20,FS20-OY20)*(1+Slot16_Rate),0)</f>
        <v>0</v>
      </c>
      <c r="SV20" s="20" t="n">
        <f aca="false">IF(AND(HU20=1,FR20=1),(MX20+NB20)/F20,0)</f>
        <v>0</v>
      </c>
      <c r="SW20" s="20" t="n">
        <f aca="false">IF(B20=0,MX20+NB20,0)</f>
        <v>0</v>
      </c>
      <c r="SX20" s="20" t="n">
        <f aca="false">IF(B20=0,IF(HU20=1,MZ20,NA20),0)</f>
        <v>0</v>
      </c>
      <c r="SY20" s="20" t="n">
        <f aca="false">IF(GB20=1,IF(HU20=1,NG20+NJ20,GC20-OW20)*(1+Slot17_Rate),0)</f>
        <v>0</v>
      </c>
      <c r="SZ20" s="20" t="n">
        <f aca="false">IF(AND(HU20=1,GB20=1),(NF20+NJ20)/F20,0)</f>
        <v>0</v>
      </c>
      <c r="TA20" s="20" t="n">
        <f aca="false">IF(B20=0,NF20+NJ20,0)</f>
        <v>0</v>
      </c>
      <c r="TB20" s="20" t="n">
        <f aca="false">IF(B20=0,IF(HU20=1,NH20,NI20),0)</f>
        <v>0</v>
      </c>
      <c r="TC20" s="20" t="n">
        <f aca="false">IF(GL20=1,IF(HU20=1,NO20+NR20,GM20-OU20)*(1+Slot18_Rate),0)</f>
        <v>0</v>
      </c>
      <c r="TD20" s="20" t="n">
        <f aca="false">IF(AND(HU20=1,GL20=1),(NN20+NR20)/F20,0)</f>
        <v>0</v>
      </c>
      <c r="TE20" s="20" t="n">
        <f aca="false">IF(B20=0,NN20+NR20,0)</f>
        <v>0</v>
      </c>
      <c r="TF20" s="20" t="n">
        <f aca="false">IF(B20=0,IF(HU20=1,NP20,NQ20),0)</f>
        <v>0</v>
      </c>
      <c r="TG20" s="20" t="n">
        <f aca="false">IF(GV20=1,IF(HU20=1,NW20+NZ20,GW20-OS20)*(1+Slot19_Rate),0)</f>
        <v>0</v>
      </c>
      <c r="TH20" s="20" t="n">
        <f aca="false">IF(AND(HU20=1,GV20=1),(NV20+NZ20)/F20,0)</f>
        <v>0</v>
      </c>
      <c r="TI20" s="20" t="n">
        <f aca="false">IF(B20=0,NV20+NZ20,0)</f>
        <v>0</v>
      </c>
      <c r="TJ20" s="20" t="n">
        <f aca="false">IF(B20=0,IF(HU20=1,NX20,NY20),0)</f>
        <v>0</v>
      </c>
      <c r="TK20" s="20" t="n">
        <f aca="false">IF(HF20=1,IF(HU20=1,OE20+OH20,HG20-OQ20)*(1+Slot20_Rate),0)</f>
        <v>0</v>
      </c>
      <c r="TL20" s="20" t="n">
        <f aca="false">IF(AND(HU20=1,HF20=1),(OD20+OH20)/F20,0)</f>
        <v>0</v>
      </c>
      <c r="TM20" s="20" t="n">
        <f aca="false">IF(B20=0,OD20+OH20,0)</f>
        <v>0</v>
      </c>
      <c r="TN20" s="20" t="n">
        <f aca="false">IF(B20=0,IF(HU20=1,OF20,OG20),0)</f>
        <v>0</v>
      </c>
      <c r="TO20" s="20" t="n">
        <f aca="false">QK20+QL20+QM20+QQ20+QU20+QY20+RC20+RG20+RK20+RO20+RS20+RW20+SA20+SE20+SI20+SM20+SQ20+SU20+SY20+TC20+TG20+TK20</f>
        <v>33654.0801844485</v>
      </c>
      <c r="TP20" s="20" t="n">
        <f aca="false">QE20+HP20</f>
        <v>0</v>
      </c>
      <c r="TQ20" s="20" t="n">
        <f aca="false">I20+S20</f>
        <v>71230.8807553146</v>
      </c>
      <c r="TR20" s="20" t="n">
        <f aca="false">1-G20</f>
        <v>0</v>
      </c>
      <c r="TS20" s="20" t="n">
        <f aca="false">IF(AND(RG_Exists=1,G20=0,C20=1),I20,0)</f>
        <v>0</v>
      </c>
      <c r="TT20" s="20" t="n">
        <f aca="false">IF(AND(RG_Exists=1,G20=0,C20=1),I20-MIN(QE20,I20),0)</f>
        <v>0</v>
      </c>
      <c r="TU20" s="20" t="n">
        <f aca="false">'Plan pay &amp; tax'!AD246</f>
        <v>253921.670658451</v>
      </c>
      <c r="TV20" s="20" t="n">
        <f aca="false">IF(AND(C20=1,QE20&gt;MAX(PR_Short1,TQ20*PR_Short2)),1,0)</f>
        <v>0</v>
      </c>
      <c r="TW20" s="20" t="n">
        <f aca="false">MIN(H20,I20+S20)</f>
        <v>71230.8807553146</v>
      </c>
      <c r="TX20" s="20" t="n">
        <f aca="false">QF20+MAX(0,HQ20-HP20)</f>
        <v>0</v>
      </c>
      <c r="TY20" s="20" t="n">
        <f aca="false">QE20+HP20</f>
        <v>0</v>
      </c>
      <c r="TZ20" s="20" t="n">
        <f aca="false">IF(AND(C20=1,TY20&gt;PR_MinShort),1,0)</f>
        <v>0</v>
      </c>
      <c r="UA20" s="20" t="n">
        <f aca="false">IF(AND(C20=1,TZ20=0,TX20&gt;PR_MinShort),1,0)</f>
        <v>0</v>
      </c>
      <c r="UB20" s="20" t="n">
        <f aca="false">IF(AND(C20=1,QE20&gt;PR_MinShort),1,0)</f>
        <v>0</v>
      </c>
      <c r="UC20" s="20" t="n">
        <f aca="false">IF(AND(C20=1,QF20&gt;1,UJ20=0),1,0)</f>
        <v>0</v>
      </c>
      <c r="UD20" s="20" t="str">
        <f aca="false">IF(C20=0,"",IF(UJ20=1,"Gap to plan for: short "&amp;"€"&amp;TEXT(ROUND(TP20,0),"#,##0"),IF(QF20&gt;1,"Using savings","Comfortable")))</f>
        <v>Comfortable</v>
      </c>
      <c r="UE20" s="20" t="n">
        <f aca="false">IF(AND(INT(D20/10)*10=90,B20&gt;0),80,INT(D20/10)*10)</f>
        <v>50</v>
      </c>
      <c r="UF20" s="20" t="n">
        <f aca="false">IF(B20=0,1,IF(UE20&lt;&gt;UE19,UF19+1,UF19))</f>
        <v>3</v>
      </c>
      <c r="UG20" s="20" t="n">
        <f aca="false">IF(AND(C20=1,G20=1,QE20&gt;MAX(PR_Short1,TQ20*PR_Short2)),1,0)</f>
        <v>0</v>
      </c>
      <c r="UH20" s="20" t="n">
        <f aca="false">TR20*TV20</f>
        <v>0</v>
      </c>
      <c r="UI20" s="20" t="n">
        <f aca="false">IF(AND(V20=1,Slot1_PctLow=1),1,0)+IF(AND(AG20=1,Slot2_PctLow=1),1,0)+IF(AND(AQ20=1,Slot3_PctLow=1),1,0)+IF(AND(BA20=1,Slot4_PctLow=1),1,0)+IF(AND(BK20=1,Slot5_PctLow=1),1,0)+IF(AND(BU20=1,Slot6_PctLow=1),1,0)+IF(AND(CE20=1,Slot7_PctLow=1),1,0)+IF(AND(CO20=1,Slot8_PctLow=1),1,0)+IF(AND(CY20=1,Slot9_PctLow=1),1,0)+IF(AND(DI20=1,Slot10_PctLow=1),1,0)+IF(AND(DS20=1,Slot11_PctLow=1),1,0)+IF(AND(EC20=1,Slot12_PctLow=1),1,0)+IF(AND(EM20=1,Slot13_PctLow=1),1,0)+IF(AND(EW20=1,Slot14_PctLow=1),1,0)+IF(AND(FG20=1,Slot15_PctLow=1),1,0)+IF(AND(FQ20=1,Slot16_PctLow=1),1,0)+IF(AND(GA20=1,Slot17_PctLow=1),1,0)+IF(AND(GK20=1,Slot18_PctLow=1),1,0)+IF(AND(GU20=1,Slot19_PctLow=1),1,0)+IF(AND(HE20=1,Slot20_PctLow=1),1,0)</f>
        <v>0</v>
      </c>
      <c r="UJ20" s="20" t="n">
        <f aca="false">IF(C20=1,IF(OR(TV20=1,UI20&gt;0),1,0),0)</f>
        <v>0</v>
      </c>
      <c r="UK20" s="20" t="n">
        <f aca="false">Z20+AK20+AU20+BE20+BO20+BY20+CI20+CS20+DC20+DM20+DW20+EG20+EQ20+FA20+FK20+FU20+GE20+GO20+GY20+HI20+OM20</f>
        <v>0</v>
      </c>
      <c r="UL20" s="20" t="n">
        <f aca="false">V20*IF(Slot1_SpendLike=1,X20-Y20,IF(Slot1_PotFree=1,X20,0))+AG20*IF(Slot2_SpendLike=1,AI20-AJ20,IF(Slot2_PotFree=1,AI20,0))+AQ20*IF(Slot3_SpendLike=1,AS20-AT20,IF(Slot3_PotFree=1,AS20,0))+BA20*IF(Slot4_SpendLike=1,BC20-BD20,IF(Slot4_PotFree=1,BC20,0))+BK20*IF(Slot5_SpendLike=1,BM20-BN20,IF(Slot5_PotFree=1,BM20,0))+BU20*IF(Slot6_SpendLike=1,BW20-BX20,IF(Slot6_PotFree=1,BW20,0))+CE20*IF(Slot7_SpendLike=1,CG20-CH20,IF(Slot7_PotFree=1,CG20,0))+CO20*IF(Slot8_SpendLike=1,CQ20-CR20,IF(Slot8_PotFree=1,CQ20,0))+CY20*IF(Slot9_SpendLike=1,DA20-DB20,IF(Slot9_PotFree=1,DA20,0))+DI20*IF(Slot10_SpendLike=1,DK20-DL20,IF(Slot10_PotFree=1,DK20,0))+DS20*IF(Slot11_SpendLike=1,DU20-DV20,IF(Slot11_PotFree=1,DU20,0))+EC20*IF(Slot12_SpendLike=1,EE20-EF20,IF(Slot12_PotFree=1,EE20,0))+EM20*IF(Slot13_SpendLike=1,EO20-EP20,IF(Slot13_PotFree=1,EO20,0))+EW20*IF(Slot14_SpendLike=1,EY20-EZ20,IF(Slot14_PotFree=1,EY20,0))+FG20*IF(Slot15_SpendLike=1,FI20-FJ20,IF(Slot15_PotFree=1,FI20,0))+FQ20*IF(Slot16_SpendLike=1,FS20-FT20,IF(Slot16_PotFree=1,FS20,0))+GA20*IF(Slot17_SpendLike=1,GC20-GD20,IF(Slot17_PotFree=1,GC20,0))+GK20*IF(Slot18_SpendLike=1,GM20-GN20,IF(Slot18_PotFree=1,GM20,0))+GU20*IF(Slot19_SpendLike=1,GW20-GX20,IF(Slot19_PotFree=1,GW20,0))+HE20*IF(Slot20_SpendLike=1,HG20-HH20,IF(Slot20_PotFree=1,HG20,0))</f>
        <v>0</v>
      </c>
      <c r="UM20" s="20" t="n">
        <f aca="false">QG20-T20+UK20-UL20</f>
        <v>2225.35763460359</v>
      </c>
      <c r="UN20" s="20" t="n">
        <f aca="false">IF(OR(UN19=1,AND(In_homeUse="Yes, I'd downsize",In_downAge&gt;0,D20=In_downAge,OR(In_home="Own outright",In_home="Own with mortgage"),In_homeValue&gt;0)),1,0)</f>
        <v>0</v>
      </c>
    </row>
    <row r="21" customFormat="false" ht="15" hidden="false" customHeight="true" outlineLevel="0" collapsed="false">
      <c r="B21" s="20" t="n">
        <v>13</v>
      </c>
      <c r="C21" s="20" t="n">
        <f aca="false">IF(B21&lt;=F_N,1,0)</f>
        <v>1</v>
      </c>
      <c r="D21" s="20" t="n">
        <f aca="false">'Plan pay &amp; tax'!C247</f>
        <v>51</v>
      </c>
      <c r="E21" s="20" t="str">
        <f aca="false">IF($C21=1,"Income tax "&amp;TEXT(N('Plan pay &amp; tax'!BK247),"#,##0")&amp;"; USC "&amp;TEXT(N('Plan pay &amp; tax'!BM247)+N('Plan pay &amp; tax'!BO247),"#,##0")&amp;"; PRSI "&amp;TEXT(N('Plan pay &amp; tax'!BP247)+N('Plan pay &amp; tax'!BQ247),"#,##0")&amp;IF(N('Plan holdings'!BO21)&gt;=0.5,"; DIRT "&amp;TEXT(('Plan holdings'!BO21)/$F21,"#,##0")&amp;" (already taken from the interest earned)","")&amp;IF(N('Plan holdings'!BP21)&gt;=0.5,"; exit tax at an 8-year anniversary "&amp;TEXT(('Plan holdings'!BP21)/$F21,"#,##0"),"")&amp;IF(N('Plan holdings'!BN21)&gt;=0.5,"; tax on assets sold (exit tax or capital gains tax) "&amp;TEXT(('Plan holdings'!BN21)/$F21,"#,##0"),"")&amp;IF(N('Plan pay &amp; tax'!X247)-N('Plan pay &amp; tax'!Y247)&gt;=0.5,"; tax on the pension lump sum "&amp;TEXT(('Plan pay &amp; tax'!X247-'Plan pay &amp; tax'!Y247)/$F21,"#,##0"),"")&amp;IF(N('Plan pay &amp; tax'!V247)&gt;=0.5,"; chargeable excess tax on the pension "&amp;TEXT(('Plan pay &amp; tax'!V247)/$F21,"#,##0"),"")&amp;".","")</f>
        <v>Income tax 13,115; USC 1,827; PRSI 4,268; DIRT 67 (already taken from the interest earned).</v>
      </c>
      <c r="F21" s="50" t="n">
        <f aca="false">'Plan pay &amp; tax'!E247</f>
        <v>1.2936066304538</v>
      </c>
      <c r="G21" s="20" t="n">
        <f aca="false">'Plan pay &amp; tax'!G247</f>
        <v>1</v>
      </c>
      <c r="H21" s="20" t="n">
        <f aca="false">'Plan pay &amp; tax'!BT247-'Plan pay &amp; tax'!BS247-'Plan pay &amp; tax'!R247</f>
        <v>88049.0017952927</v>
      </c>
      <c r="I21" s="20" t="n">
        <f aca="false">IF(G21=1,F_CostsM*12,IF(RG_Exists=1,RG_Amount,F_CostsM*12*AS_RetireSpend))*F21+F_OneOffY*F21</f>
        <v>58212.2983704208</v>
      </c>
      <c r="J21" s="20" t="n">
        <f aca="false">IF(UN21=1,0,HR20)</f>
        <v>97331.3620192935</v>
      </c>
      <c r="K21" s="20" t="n">
        <f aca="false">IF(J21&gt;1,'Plan debt months'!AC21,0)</f>
        <v>14160</v>
      </c>
      <c r="L21" s="20" t="n">
        <f aca="false">IF(J21&gt;1,'Plan debt months'!AB21,J21)</f>
        <v>86732.8986657339</v>
      </c>
      <c r="M21" s="20" t="n">
        <f aca="false">O20</f>
        <v>0</v>
      </c>
      <c r="N21" s="20" t="n">
        <f aca="false">IF(M21&gt;1,'Plan debt months'!BD21,0)</f>
        <v>0</v>
      </c>
      <c r="O21" s="20" t="n">
        <f aca="false">IF(M21&gt;1,'Plan debt months'!BC21,M21)</f>
        <v>0</v>
      </c>
      <c r="P21" s="20" t="n">
        <f aca="false">R20</f>
        <v>0</v>
      </c>
      <c r="Q21" s="20" t="n">
        <f aca="false">IF(P21&gt;1,'Plan debt months'!CE21,0)</f>
        <v>0</v>
      </c>
      <c r="R21" s="20" t="n">
        <f aca="false">IF(P21&gt;1,'Plan debt months'!CD21,P21)</f>
        <v>0</v>
      </c>
      <c r="S21" s="20" t="n">
        <f aca="false">K21+N21+Q21</f>
        <v>14160</v>
      </c>
      <c r="T21" s="57" t="n">
        <f aca="false">'Plan holdings'!Y21</f>
        <v>5540.41942881328</v>
      </c>
      <c r="U21" s="57" t="n">
        <f aca="false">'Plan holdings'!BM20</f>
        <v>5602.0657443229</v>
      </c>
      <c r="V21" s="20" t="n">
        <f aca="false">IF(AND(Slot1_On=1,D21=Slot1_Age),1,0)</f>
        <v>0</v>
      </c>
      <c r="W21" s="20" t="n">
        <f aca="false">IF(AND(Slot1_On=1,Slot1_Age&gt;D21),1,0)</f>
        <v>0</v>
      </c>
      <c r="X21" s="20" t="n">
        <f aca="false">QM20</f>
        <v>0</v>
      </c>
      <c r="Y21" s="20" t="n">
        <f aca="false">V21*MIN(Slot1_Cost,X21)</f>
        <v>0</v>
      </c>
      <c r="Z21" s="20" t="n">
        <f aca="false">V21*Slot1_SpendLike*MIN(Slot1_Cost-Y21,T21)</f>
        <v>0</v>
      </c>
      <c r="AA21" s="20" t="n">
        <f aca="false">Y21+Z21</f>
        <v>0</v>
      </c>
      <c r="AB21" s="20" t="n">
        <f aca="false">T21-Z21+V21*IF(Slot1_SpendLike=1,X21-Y21,IF(Slot1_PotFree=1,X21,0))</f>
        <v>5540.41942881328</v>
      </c>
      <c r="AC21" s="20" t="n">
        <f aca="false">AF21+V21*Slot1_BufPot*X21</f>
        <v>12694.5670289821</v>
      </c>
      <c r="AD21" s="20" t="n">
        <f aca="false">IF(AND(V21=1,Slot1_IsMfree=1),IF(AA21&gt;=Slot1_Cost-1,0,MAX(0,L21-AA21)),L21)</f>
        <v>86732.8986657339</v>
      </c>
      <c r="AE21" s="20" t="n">
        <f aca="false">V21*(Slot1_Cost-AA21)</f>
        <v>0</v>
      </c>
      <c r="AF21" s="20" t="n">
        <f aca="false">QL20</f>
        <v>12694.5670289821</v>
      </c>
      <c r="AG21" s="20" t="n">
        <f aca="false">IF(AND(Slot2_On=1,D21=Slot2_Age),1,0)</f>
        <v>0</v>
      </c>
      <c r="AH21" s="20" t="n">
        <f aca="false">IF(AND(Slot2_On=1,Slot2_Age&gt;D21),1,0)</f>
        <v>0</v>
      </c>
      <c r="AI21" s="20" t="n">
        <f aca="false">QQ20</f>
        <v>0</v>
      </c>
      <c r="AJ21" s="20" t="n">
        <f aca="false">AG21*MIN(Slot2_Cost,AI21)</f>
        <v>0</v>
      </c>
      <c r="AK21" s="20" t="n">
        <f aca="false">AG21*Slot2_SpendLike*MIN(Slot2_Cost-AJ21,AB21)</f>
        <v>0</v>
      </c>
      <c r="AL21" s="20" t="n">
        <f aca="false">AJ21+AK21</f>
        <v>0</v>
      </c>
      <c r="AM21" s="20" t="n">
        <f aca="false">AB21-AK21+AG21*IF(Slot2_SpendLike=1,AI21-AJ21,IF(Slot2_PotFree=1,AI21,0))</f>
        <v>5540.41942881328</v>
      </c>
      <c r="AN21" s="20" t="n">
        <f aca="false">AC21+AG21*Slot2_BufPot*AI21</f>
        <v>12694.5670289821</v>
      </c>
      <c r="AO21" s="20" t="n">
        <f aca="false">IF(AND(AG21=1,Slot2_IsMfree=1),IF(AL21&gt;=Slot2_Cost-1,0,MAX(0,AD21-AL21)),AD21)</f>
        <v>86732.8986657339</v>
      </c>
      <c r="AP21" s="20" t="n">
        <f aca="false">AG21*(Slot2_Cost-AL21)</f>
        <v>0</v>
      </c>
      <c r="AQ21" s="20" t="n">
        <f aca="false">IF(AND(Slot3_On=1,D21=Slot3_Age),1,0)</f>
        <v>0</v>
      </c>
      <c r="AR21" s="20" t="n">
        <f aca="false">IF(AND(Slot3_On=1,Slot3_Age&gt;D21),1,0)</f>
        <v>0</v>
      </c>
      <c r="AS21" s="20" t="n">
        <f aca="false">QU20</f>
        <v>0</v>
      </c>
      <c r="AT21" s="20" t="n">
        <f aca="false">AQ21*MIN(Slot3_Cost,AS21)</f>
        <v>0</v>
      </c>
      <c r="AU21" s="20" t="n">
        <f aca="false">AQ21*Slot3_SpendLike*MIN(Slot3_Cost-AT21,AM21)</f>
        <v>0</v>
      </c>
      <c r="AV21" s="20" t="n">
        <f aca="false">AT21+AU21</f>
        <v>0</v>
      </c>
      <c r="AW21" s="20" t="n">
        <f aca="false">AM21-AU21+AQ21*IF(Slot3_SpendLike=1,AS21-AT21,IF(Slot3_PotFree=1,AS21,0))</f>
        <v>5540.41942881328</v>
      </c>
      <c r="AX21" s="20" t="n">
        <f aca="false">AN21+AQ21*Slot3_BufPot*AS21</f>
        <v>12694.5670289821</v>
      </c>
      <c r="AY21" s="20" t="n">
        <f aca="false">IF(AND(AQ21=1,Slot3_IsMfree=1),IF(AV21&gt;=Slot3_Cost-1,0,MAX(0,AO21-AV21)),AO21)</f>
        <v>86732.8986657339</v>
      </c>
      <c r="AZ21" s="20" t="n">
        <f aca="false">AQ21*(Slot3_Cost-AV21)</f>
        <v>0</v>
      </c>
      <c r="BA21" s="20" t="n">
        <f aca="false">IF(AND(Slot4_On=1,D21=Slot4_Age),1,0)</f>
        <v>0</v>
      </c>
      <c r="BB21" s="20" t="n">
        <f aca="false">IF(AND(Slot4_On=1,Slot4_Age&gt;D21),1,0)</f>
        <v>1</v>
      </c>
      <c r="BC21" s="20" t="n">
        <f aca="false">QY20</f>
        <v>15357.4474111435</v>
      </c>
      <c r="BD21" s="20" t="n">
        <f aca="false">BA21*MIN(Slot4_Cost,BC21)</f>
        <v>0</v>
      </c>
      <c r="BE21" s="20" t="n">
        <f aca="false">BA21*Slot4_SpendLike*MIN(Slot4_Cost-BD21,AW21)</f>
        <v>0</v>
      </c>
      <c r="BF21" s="20" t="n">
        <f aca="false">BD21+BE21</f>
        <v>0</v>
      </c>
      <c r="BG21" s="20" t="n">
        <f aca="false">AW21-BE21+BA21*IF(Slot4_SpendLike=1,BC21-BD21,IF(Slot4_PotFree=1,BC21,0))</f>
        <v>5540.41942881328</v>
      </c>
      <c r="BH21" s="20" t="n">
        <f aca="false">AX21+BA21*Slot4_BufPot*BC21</f>
        <v>12694.5670289821</v>
      </c>
      <c r="BI21" s="20" t="n">
        <f aca="false">IF(AND(BA21=1,Slot4_IsMfree=1),IF(BF21&gt;=Slot4_Cost-1,0,MAX(0,AY21-BF21)),AY21)</f>
        <v>86732.8986657339</v>
      </c>
      <c r="BJ21" s="20" t="n">
        <f aca="false">BA21*(Slot4_Cost-BF21)</f>
        <v>0</v>
      </c>
      <c r="BK21" s="20" t="n">
        <f aca="false">IF(AND(Slot5_On=1,D21=Slot5_Age),1,0)</f>
        <v>0</v>
      </c>
      <c r="BL21" s="20" t="n">
        <f aca="false">IF(AND(Slot5_On=1,Slot5_Age&gt;D21),1,0)</f>
        <v>0</v>
      </c>
      <c r="BM21" s="20" t="n">
        <f aca="false">RC20</f>
        <v>0</v>
      </c>
      <c r="BN21" s="20" t="n">
        <f aca="false">BK21*MIN(Slot5_Cost,BM21)</f>
        <v>0</v>
      </c>
      <c r="BO21" s="20" t="n">
        <f aca="false">BK21*Slot5_SpendLike*MIN(Slot5_Cost-BN21,BG21)</f>
        <v>0</v>
      </c>
      <c r="BP21" s="20" t="n">
        <f aca="false">BN21+BO21</f>
        <v>0</v>
      </c>
      <c r="BQ21" s="20" t="n">
        <f aca="false">BG21-BO21+BK21*IF(Slot5_SpendLike=1,BM21-BN21,IF(Slot5_PotFree=1,BM21,0))</f>
        <v>5540.41942881328</v>
      </c>
      <c r="BR21" s="20" t="n">
        <f aca="false">BH21+BK21*Slot5_BufPot*BM21</f>
        <v>12694.5670289821</v>
      </c>
      <c r="BS21" s="20" t="n">
        <f aca="false">IF(AND(BK21=1,Slot5_IsMfree=1),IF(BP21&gt;=Slot5_Cost-1,0,MAX(0,BI21-BP21)),BI21)</f>
        <v>86732.8986657339</v>
      </c>
      <c r="BT21" s="20" t="n">
        <f aca="false">BK21*(Slot5_Cost-BP21)</f>
        <v>0</v>
      </c>
      <c r="BU21" s="20" t="n">
        <f aca="false">IF(AND(Slot6_On=1,D21=Slot6_Age),1,0)</f>
        <v>0</v>
      </c>
      <c r="BV21" s="20" t="n">
        <f aca="false">IF(AND(Slot6_On=1,Slot6_Age&gt;D21),1,0)</f>
        <v>0</v>
      </c>
      <c r="BW21" s="20" t="n">
        <f aca="false">RG20</f>
        <v>0</v>
      </c>
      <c r="BX21" s="20" t="n">
        <f aca="false">BU21*MIN(Slot6_Cost,BW21)</f>
        <v>0</v>
      </c>
      <c r="BY21" s="20" t="n">
        <f aca="false">BU21*Slot6_SpendLike*MIN(Slot6_Cost-BX21,BQ21)</f>
        <v>0</v>
      </c>
      <c r="BZ21" s="20" t="n">
        <f aca="false">BX21+BY21</f>
        <v>0</v>
      </c>
      <c r="CA21" s="20" t="n">
        <f aca="false">BQ21-BY21+BU21*IF(Slot6_SpendLike=1,BW21-BX21,IF(Slot6_PotFree=1,BW21,0))</f>
        <v>5540.41942881328</v>
      </c>
      <c r="CB21" s="20" t="n">
        <f aca="false">BR21+BU21*Slot6_BufPot*BW21</f>
        <v>12694.5670289821</v>
      </c>
      <c r="CC21" s="20" t="n">
        <f aca="false">IF(AND(BU21=1,Slot6_IsMfree=1),IF(BZ21&gt;=Slot6_Cost-1,0,MAX(0,BS21-BZ21)),BS21)</f>
        <v>86732.8986657339</v>
      </c>
      <c r="CD21" s="20" t="n">
        <f aca="false">BU21*(Slot6_Cost-BZ21)</f>
        <v>0</v>
      </c>
      <c r="CE21" s="20" t="n">
        <f aca="false">IF(AND(Slot7_On=1,D21=Slot7_Age),1,0)</f>
        <v>0</v>
      </c>
      <c r="CF21" s="20" t="n">
        <f aca="false">IF(AND(Slot7_On=1,Slot7_Age&gt;D21),1,0)</f>
        <v>0</v>
      </c>
      <c r="CG21" s="20" t="n">
        <f aca="false">RK20</f>
        <v>0</v>
      </c>
      <c r="CH21" s="20" t="n">
        <f aca="false">CE21*MIN(Slot7_Cost,CG21)</f>
        <v>0</v>
      </c>
      <c r="CI21" s="20" t="n">
        <f aca="false">CE21*Slot7_SpendLike*MIN(Slot7_Cost-CH21,CA21)</f>
        <v>0</v>
      </c>
      <c r="CJ21" s="20" t="n">
        <f aca="false">CH21+CI21</f>
        <v>0</v>
      </c>
      <c r="CK21" s="20" t="n">
        <f aca="false">CA21-CI21+CE21*IF(Slot7_SpendLike=1,CG21-CH21,IF(Slot7_PotFree=1,CG21,0))</f>
        <v>5540.41942881328</v>
      </c>
      <c r="CL21" s="20" t="n">
        <f aca="false">CB21+CE21*Slot7_BufPot*CG21</f>
        <v>12694.5670289821</v>
      </c>
      <c r="CM21" s="20" t="n">
        <f aca="false">IF(AND(CE21=1,Slot7_IsMfree=1),IF(CJ21&gt;=Slot7_Cost-1,0,MAX(0,CC21-CJ21)),CC21)</f>
        <v>86732.8986657339</v>
      </c>
      <c r="CN21" s="20" t="n">
        <f aca="false">CE21*(Slot7_Cost-CJ21)</f>
        <v>0</v>
      </c>
      <c r="CO21" s="20" t="n">
        <f aca="false">IF(AND(Slot8_On=1,D21=Slot8_Age),1,0)</f>
        <v>0</v>
      </c>
      <c r="CP21" s="20" t="n">
        <f aca="false">IF(AND(Slot8_On=1,Slot8_Age&gt;D21),1,0)</f>
        <v>0</v>
      </c>
      <c r="CQ21" s="20" t="n">
        <f aca="false">RO20</f>
        <v>0</v>
      </c>
      <c r="CR21" s="20" t="n">
        <f aca="false">CO21*MIN(Slot8_Cost,CQ21)</f>
        <v>0</v>
      </c>
      <c r="CS21" s="20" t="n">
        <f aca="false">CO21*Slot8_SpendLike*MIN(Slot8_Cost-CR21,CK21)</f>
        <v>0</v>
      </c>
      <c r="CT21" s="20" t="n">
        <f aca="false">CR21+CS21</f>
        <v>0</v>
      </c>
      <c r="CU21" s="20" t="n">
        <f aca="false">CK21-CS21+CO21*IF(Slot8_SpendLike=1,CQ21-CR21,IF(Slot8_PotFree=1,CQ21,0))</f>
        <v>5540.41942881328</v>
      </c>
      <c r="CV21" s="20" t="n">
        <f aca="false">CL21+CO21*Slot8_BufPot*CQ21</f>
        <v>12694.5670289821</v>
      </c>
      <c r="CW21" s="20" t="n">
        <f aca="false">IF(AND(CO21=1,Slot8_IsMfree=1),IF(CT21&gt;=Slot8_Cost-1,0,MAX(0,CM21-CT21)),CM21)</f>
        <v>86732.8986657339</v>
      </c>
      <c r="CX21" s="20" t="n">
        <f aca="false">CO21*(Slot8_Cost-CT21)</f>
        <v>0</v>
      </c>
      <c r="CY21" s="20" t="n">
        <f aca="false">IF(AND(Slot9_On=1,D21=Slot9_Age),1,0)</f>
        <v>0</v>
      </c>
      <c r="CZ21" s="20" t="n">
        <f aca="false">IF(AND(Slot9_On=1,Slot9_Age&gt;D21),1,0)</f>
        <v>0</v>
      </c>
      <c r="DA21" s="20" t="n">
        <f aca="false">RS20</f>
        <v>0</v>
      </c>
      <c r="DB21" s="20" t="n">
        <f aca="false">CY21*MIN(Slot9_Cost,DA21)</f>
        <v>0</v>
      </c>
      <c r="DC21" s="20" t="n">
        <f aca="false">CY21*Slot9_SpendLike*MIN(Slot9_Cost-DB21,CU21)</f>
        <v>0</v>
      </c>
      <c r="DD21" s="20" t="n">
        <f aca="false">DB21+DC21</f>
        <v>0</v>
      </c>
      <c r="DE21" s="20" t="n">
        <f aca="false">CU21-DC21+CY21*IF(Slot9_SpendLike=1,DA21-DB21,IF(Slot9_PotFree=1,DA21,0))</f>
        <v>5540.41942881328</v>
      </c>
      <c r="DF21" s="20" t="n">
        <f aca="false">CV21+CY21*Slot9_BufPot*DA21</f>
        <v>12694.5670289821</v>
      </c>
      <c r="DG21" s="20" t="n">
        <f aca="false">IF(AND(CY21=1,Slot9_IsMfree=1),IF(DD21&gt;=Slot9_Cost-1,0,MAX(0,CW21-DD21)),CW21)</f>
        <v>86732.8986657339</v>
      </c>
      <c r="DH21" s="20" t="n">
        <f aca="false">CY21*(Slot9_Cost-DD21)</f>
        <v>0</v>
      </c>
      <c r="DI21" s="20" t="n">
        <f aca="false">IF(AND(Slot10_On=1,D21=Slot10_Age),1,0)</f>
        <v>0</v>
      </c>
      <c r="DJ21" s="20" t="n">
        <f aca="false">IF(AND(Slot10_On=1,Slot10_Age&gt;D21),1,0)</f>
        <v>0</v>
      </c>
      <c r="DK21" s="20" t="n">
        <f aca="false">RW20</f>
        <v>0</v>
      </c>
      <c r="DL21" s="20" t="n">
        <f aca="false">DI21*MIN(Slot10_Cost,DK21)</f>
        <v>0</v>
      </c>
      <c r="DM21" s="20" t="n">
        <f aca="false">DI21*Slot10_SpendLike*MIN(Slot10_Cost-DL21,DE21)</f>
        <v>0</v>
      </c>
      <c r="DN21" s="20" t="n">
        <f aca="false">DL21+DM21</f>
        <v>0</v>
      </c>
      <c r="DO21" s="20" t="n">
        <f aca="false">DE21-DM21+DI21*IF(Slot10_SpendLike=1,DK21-DL21,IF(Slot10_PotFree=1,DK21,0))</f>
        <v>5540.41942881328</v>
      </c>
      <c r="DP21" s="20" t="n">
        <f aca="false">DF21+DI21*Slot10_BufPot*DK21</f>
        <v>12694.5670289821</v>
      </c>
      <c r="DQ21" s="20" t="n">
        <f aca="false">IF(AND(DI21=1,Slot10_IsMfree=1),IF(DN21&gt;=Slot10_Cost-1,0,MAX(0,DG21-DN21)),DG21)</f>
        <v>86732.8986657339</v>
      </c>
      <c r="DR21" s="20" t="n">
        <f aca="false">DI21*(Slot10_Cost-DN21)</f>
        <v>0</v>
      </c>
      <c r="DS21" s="20" t="n">
        <f aca="false">IF(AND(Slot11_On=1,D21=Slot11_Age),1,0)</f>
        <v>0</v>
      </c>
      <c r="DT21" s="20" t="n">
        <f aca="false">IF(AND(Slot11_On=1,Slot11_Age&gt;D21),1,0)</f>
        <v>0</v>
      </c>
      <c r="DU21" s="20" t="n">
        <f aca="false">SA20</f>
        <v>0</v>
      </c>
      <c r="DV21" s="20" t="n">
        <f aca="false">DS21*MIN(Slot11_Cost,DU21)</f>
        <v>0</v>
      </c>
      <c r="DW21" s="20" t="n">
        <f aca="false">DS21*Slot11_SpendLike*MIN(Slot11_Cost-DV21,DO21)</f>
        <v>0</v>
      </c>
      <c r="DX21" s="20" t="n">
        <f aca="false">DV21+DW21</f>
        <v>0</v>
      </c>
      <c r="DY21" s="20" t="n">
        <f aca="false">DO21-DW21+DS21*IF(Slot11_SpendLike=1,DU21-DV21,IF(Slot11_PotFree=1,DU21,0))</f>
        <v>5540.41942881328</v>
      </c>
      <c r="DZ21" s="20" t="n">
        <f aca="false">DP21+DS21*Slot11_BufPot*DU21</f>
        <v>12694.5670289821</v>
      </c>
      <c r="EA21" s="20" t="n">
        <f aca="false">IF(AND(DS21=1,Slot11_IsMfree=1),IF(DX21&gt;=Slot11_Cost-1,0,MAX(0,DQ21-DX21)),DQ21)</f>
        <v>86732.8986657339</v>
      </c>
      <c r="EB21" s="20" t="n">
        <f aca="false">DS21*(Slot11_Cost-DX21)</f>
        <v>0</v>
      </c>
      <c r="EC21" s="20" t="n">
        <f aca="false">IF(AND(Slot12_On=1,D21=Slot12_Age),1,0)</f>
        <v>0</v>
      </c>
      <c r="ED21" s="20" t="n">
        <f aca="false">IF(AND(Slot12_On=1,Slot12_Age&gt;D21),1,0)</f>
        <v>0</v>
      </c>
      <c r="EE21" s="20" t="n">
        <f aca="false">SE20</f>
        <v>0</v>
      </c>
      <c r="EF21" s="20" t="n">
        <f aca="false">EC21*MIN(Slot12_Cost,EE21)</f>
        <v>0</v>
      </c>
      <c r="EG21" s="20" t="n">
        <f aca="false">EC21*Slot12_SpendLike*MIN(Slot12_Cost-EF21,DY21)</f>
        <v>0</v>
      </c>
      <c r="EH21" s="20" t="n">
        <f aca="false">EF21+EG21</f>
        <v>0</v>
      </c>
      <c r="EI21" s="20" t="n">
        <f aca="false">DY21-EG21+EC21*IF(Slot12_SpendLike=1,EE21-EF21,IF(Slot12_PotFree=1,EE21,0))</f>
        <v>5540.41942881328</v>
      </c>
      <c r="EJ21" s="20" t="n">
        <f aca="false">DZ21+EC21*Slot12_BufPot*EE21</f>
        <v>12694.5670289821</v>
      </c>
      <c r="EK21" s="20" t="n">
        <f aca="false">IF(AND(EC21=1,Slot12_IsMfree=1),IF(EH21&gt;=Slot12_Cost-1,0,MAX(0,EA21-EH21)),EA21)</f>
        <v>86732.8986657339</v>
      </c>
      <c r="EL21" s="20" t="n">
        <f aca="false">EC21*(Slot12_Cost-EH21)</f>
        <v>0</v>
      </c>
      <c r="EM21" s="20" t="n">
        <f aca="false">IF(AND(Slot13_On=1,D21=Slot13_Age),1,0)</f>
        <v>0</v>
      </c>
      <c r="EN21" s="20" t="n">
        <f aca="false">IF(AND(Slot13_On=1,Slot13_Age&gt;D21),1,0)</f>
        <v>0</v>
      </c>
      <c r="EO21" s="20" t="n">
        <f aca="false">SI20</f>
        <v>0</v>
      </c>
      <c r="EP21" s="20" t="n">
        <f aca="false">EM21*MIN(Slot13_Cost,EO21)</f>
        <v>0</v>
      </c>
      <c r="EQ21" s="20" t="n">
        <f aca="false">EM21*Slot13_SpendLike*MIN(Slot13_Cost-EP21,EI21)</f>
        <v>0</v>
      </c>
      <c r="ER21" s="20" t="n">
        <f aca="false">EP21+EQ21</f>
        <v>0</v>
      </c>
      <c r="ES21" s="20" t="n">
        <f aca="false">EI21-EQ21+EM21*IF(Slot13_SpendLike=1,EO21-EP21,IF(Slot13_PotFree=1,EO21,0))</f>
        <v>5540.41942881328</v>
      </c>
      <c r="ET21" s="20" t="n">
        <f aca="false">EJ21+EM21*Slot13_BufPot*EO21</f>
        <v>12694.5670289821</v>
      </c>
      <c r="EU21" s="20" t="n">
        <f aca="false">IF(AND(EM21=1,Slot13_IsMfree=1),IF(ER21&gt;=Slot13_Cost-1,0,MAX(0,EK21-ER21)),EK21)</f>
        <v>86732.8986657339</v>
      </c>
      <c r="EV21" s="20" t="n">
        <f aca="false">EM21*(Slot13_Cost-ER21)</f>
        <v>0</v>
      </c>
      <c r="EW21" s="20" t="n">
        <f aca="false">IF(AND(Slot14_On=1,D21=Slot14_Age),1,0)</f>
        <v>0</v>
      </c>
      <c r="EX21" s="20" t="n">
        <f aca="false">IF(AND(Slot14_On=1,Slot14_Age&gt;D21),1,0)</f>
        <v>0</v>
      </c>
      <c r="EY21" s="20" t="n">
        <f aca="false">SM20</f>
        <v>0</v>
      </c>
      <c r="EZ21" s="20" t="n">
        <f aca="false">EW21*MIN(Slot14_Cost,EY21)</f>
        <v>0</v>
      </c>
      <c r="FA21" s="20" t="n">
        <f aca="false">EW21*Slot14_SpendLike*MIN(Slot14_Cost-EZ21,ES21)</f>
        <v>0</v>
      </c>
      <c r="FB21" s="20" t="n">
        <f aca="false">EZ21+FA21</f>
        <v>0</v>
      </c>
      <c r="FC21" s="20" t="n">
        <f aca="false">ES21-FA21+EW21*IF(Slot14_SpendLike=1,EY21-EZ21,IF(Slot14_PotFree=1,EY21,0))</f>
        <v>5540.41942881328</v>
      </c>
      <c r="FD21" s="20" t="n">
        <f aca="false">ET21+EW21*Slot14_BufPot*EY21</f>
        <v>12694.5670289821</v>
      </c>
      <c r="FE21" s="20" t="n">
        <f aca="false">IF(AND(EW21=1,Slot14_IsMfree=1),IF(FB21&gt;=Slot14_Cost-1,0,MAX(0,EU21-FB21)),EU21)</f>
        <v>86732.8986657339</v>
      </c>
      <c r="FF21" s="20" t="n">
        <f aca="false">EW21*(Slot14_Cost-FB21)</f>
        <v>0</v>
      </c>
      <c r="FG21" s="20" t="n">
        <f aca="false">IF(AND(Slot15_On=1,D21=Slot15_Age),1,0)</f>
        <v>0</v>
      </c>
      <c r="FH21" s="20" t="n">
        <f aca="false">IF(AND(Slot15_On=1,Slot15_Age&gt;D21),1,0)</f>
        <v>0</v>
      </c>
      <c r="FI21" s="20" t="n">
        <f aca="false">SQ20</f>
        <v>0</v>
      </c>
      <c r="FJ21" s="20" t="n">
        <f aca="false">FG21*MIN(Slot15_Cost,FI21)</f>
        <v>0</v>
      </c>
      <c r="FK21" s="20" t="n">
        <f aca="false">FG21*Slot15_SpendLike*MIN(Slot15_Cost-FJ21,FC21)</f>
        <v>0</v>
      </c>
      <c r="FL21" s="20" t="n">
        <f aca="false">FJ21+FK21</f>
        <v>0</v>
      </c>
      <c r="FM21" s="20" t="n">
        <f aca="false">FC21-FK21+FG21*IF(Slot15_SpendLike=1,FI21-FJ21,IF(Slot15_PotFree=1,FI21,0))</f>
        <v>5540.41942881328</v>
      </c>
      <c r="FN21" s="20" t="n">
        <f aca="false">FD21+FG21*Slot15_BufPot*FI21</f>
        <v>12694.5670289821</v>
      </c>
      <c r="FO21" s="20" t="n">
        <f aca="false">IF(AND(FG21=1,Slot15_IsMfree=1),IF(FL21&gt;=Slot15_Cost-1,0,MAX(0,FE21-FL21)),FE21)</f>
        <v>86732.8986657339</v>
      </c>
      <c r="FP21" s="20" t="n">
        <f aca="false">FG21*(Slot15_Cost-FL21)</f>
        <v>0</v>
      </c>
      <c r="FQ21" s="20" t="n">
        <f aca="false">IF(AND(Slot16_On=1,D21=Slot16_Age),1,0)</f>
        <v>0</v>
      </c>
      <c r="FR21" s="20" t="n">
        <f aca="false">IF(AND(Slot16_On=1,Slot16_Age&gt;D21),1,0)</f>
        <v>0</v>
      </c>
      <c r="FS21" s="20" t="n">
        <f aca="false">SU20</f>
        <v>0</v>
      </c>
      <c r="FT21" s="20" t="n">
        <f aca="false">FQ21*MIN(Slot16_Cost,FS21)</f>
        <v>0</v>
      </c>
      <c r="FU21" s="20" t="n">
        <f aca="false">FQ21*Slot16_SpendLike*MIN(Slot16_Cost-FT21,FM21)</f>
        <v>0</v>
      </c>
      <c r="FV21" s="20" t="n">
        <f aca="false">FT21+FU21</f>
        <v>0</v>
      </c>
      <c r="FW21" s="20" t="n">
        <f aca="false">FM21-FU21+FQ21*IF(Slot16_SpendLike=1,FS21-FT21,IF(Slot16_PotFree=1,FS21,0))</f>
        <v>5540.41942881328</v>
      </c>
      <c r="FX21" s="20" t="n">
        <f aca="false">FN21+FQ21*Slot16_BufPot*FS21</f>
        <v>12694.5670289821</v>
      </c>
      <c r="FY21" s="20" t="n">
        <f aca="false">IF(AND(FQ21=1,Slot16_IsMfree=1),IF(FV21&gt;=Slot16_Cost-1,0,MAX(0,FO21-FV21)),FO21)</f>
        <v>86732.8986657339</v>
      </c>
      <c r="FZ21" s="20" t="n">
        <f aca="false">FQ21*(Slot16_Cost-FV21)</f>
        <v>0</v>
      </c>
      <c r="GA21" s="20" t="n">
        <f aca="false">IF(AND(Slot17_On=1,D21=Slot17_Age),1,0)</f>
        <v>0</v>
      </c>
      <c r="GB21" s="20" t="n">
        <f aca="false">IF(AND(Slot17_On=1,Slot17_Age&gt;D21),1,0)</f>
        <v>0</v>
      </c>
      <c r="GC21" s="20" t="n">
        <f aca="false">SY20</f>
        <v>0</v>
      </c>
      <c r="GD21" s="20" t="n">
        <f aca="false">GA21*MIN(Slot17_Cost,GC21)</f>
        <v>0</v>
      </c>
      <c r="GE21" s="20" t="n">
        <f aca="false">GA21*Slot17_SpendLike*MIN(Slot17_Cost-GD21,FW21)</f>
        <v>0</v>
      </c>
      <c r="GF21" s="20" t="n">
        <f aca="false">GD21+GE21</f>
        <v>0</v>
      </c>
      <c r="GG21" s="20" t="n">
        <f aca="false">FW21-GE21+GA21*IF(Slot17_SpendLike=1,GC21-GD21,IF(Slot17_PotFree=1,GC21,0))</f>
        <v>5540.41942881328</v>
      </c>
      <c r="GH21" s="20" t="n">
        <f aca="false">FX21+GA21*Slot17_BufPot*GC21</f>
        <v>12694.5670289821</v>
      </c>
      <c r="GI21" s="20" t="n">
        <f aca="false">IF(AND(GA21=1,Slot17_IsMfree=1),IF(GF21&gt;=Slot17_Cost-1,0,MAX(0,FY21-GF21)),FY21)</f>
        <v>86732.8986657339</v>
      </c>
      <c r="GJ21" s="20" t="n">
        <f aca="false">GA21*(Slot17_Cost-GF21)</f>
        <v>0</v>
      </c>
      <c r="GK21" s="20" t="n">
        <f aca="false">IF(AND(Slot18_On=1,D21=Slot18_Age),1,0)</f>
        <v>0</v>
      </c>
      <c r="GL21" s="20" t="n">
        <f aca="false">IF(AND(Slot18_On=1,Slot18_Age&gt;D21),1,0)</f>
        <v>0</v>
      </c>
      <c r="GM21" s="20" t="n">
        <f aca="false">TC20</f>
        <v>0</v>
      </c>
      <c r="GN21" s="20" t="n">
        <f aca="false">GK21*MIN(Slot18_Cost,GM21)</f>
        <v>0</v>
      </c>
      <c r="GO21" s="20" t="n">
        <f aca="false">GK21*Slot18_SpendLike*MIN(Slot18_Cost-GN21,GG21)</f>
        <v>0</v>
      </c>
      <c r="GP21" s="20" t="n">
        <f aca="false">GN21+GO21</f>
        <v>0</v>
      </c>
      <c r="GQ21" s="20" t="n">
        <f aca="false">GG21-GO21+GK21*IF(Slot18_SpendLike=1,GM21-GN21,IF(Slot18_PotFree=1,GM21,0))</f>
        <v>5540.41942881328</v>
      </c>
      <c r="GR21" s="20" t="n">
        <f aca="false">GH21+GK21*Slot18_BufPot*GM21</f>
        <v>12694.5670289821</v>
      </c>
      <c r="GS21" s="20" t="n">
        <f aca="false">IF(AND(GK21=1,Slot18_IsMfree=1),IF(GP21&gt;=Slot18_Cost-1,0,MAX(0,GI21-GP21)),GI21)</f>
        <v>86732.8986657339</v>
      </c>
      <c r="GT21" s="20" t="n">
        <f aca="false">GK21*(Slot18_Cost-GP21)</f>
        <v>0</v>
      </c>
      <c r="GU21" s="20" t="n">
        <f aca="false">IF(AND(Slot19_On=1,D21=Slot19_Age),1,0)</f>
        <v>0</v>
      </c>
      <c r="GV21" s="20" t="n">
        <f aca="false">IF(AND(Slot19_On=1,Slot19_Age&gt;D21),1,0)</f>
        <v>0</v>
      </c>
      <c r="GW21" s="20" t="n">
        <f aca="false">TG20</f>
        <v>0</v>
      </c>
      <c r="GX21" s="20" t="n">
        <f aca="false">GU21*MIN(Slot19_Cost,GW21)</f>
        <v>0</v>
      </c>
      <c r="GY21" s="20" t="n">
        <f aca="false">GU21*Slot19_SpendLike*MIN(Slot19_Cost-GX21,GQ21)</f>
        <v>0</v>
      </c>
      <c r="GZ21" s="20" t="n">
        <f aca="false">GX21+GY21</f>
        <v>0</v>
      </c>
      <c r="HA21" s="20" t="n">
        <f aca="false">GQ21-GY21+GU21*IF(Slot19_SpendLike=1,GW21-GX21,IF(Slot19_PotFree=1,GW21,0))</f>
        <v>5540.41942881328</v>
      </c>
      <c r="HB21" s="20" t="n">
        <f aca="false">GR21+GU21*Slot19_BufPot*GW21</f>
        <v>12694.5670289821</v>
      </c>
      <c r="HC21" s="20" t="n">
        <f aca="false">IF(AND(GU21=1,Slot19_IsMfree=1),IF(GZ21&gt;=Slot19_Cost-1,0,MAX(0,GS21-GZ21)),GS21)</f>
        <v>86732.8986657339</v>
      </c>
      <c r="HD21" s="20" t="n">
        <f aca="false">GU21*(Slot19_Cost-GZ21)</f>
        <v>0</v>
      </c>
      <c r="HE21" s="20" t="n">
        <f aca="false">IF(AND(Slot20_On=1,D21=Slot20_Age),1,0)</f>
        <v>0</v>
      </c>
      <c r="HF21" s="20" t="n">
        <f aca="false">IF(AND(Slot20_On=1,Slot20_Age&gt;D21),1,0)</f>
        <v>0</v>
      </c>
      <c r="HG21" s="20" t="n">
        <f aca="false">TK20</f>
        <v>0</v>
      </c>
      <c r="HH21" s="20" t="n">
        <f aca="false">HE21*MIN(Slot20_Cost,HG21)</f>
        <v>0</v>
      </c>
      <c r="HI21" s="20" t="n">
        <f aca="false">HE21*Slot20_SpendLike*MIN(Slot20_Cost-HH21,HA21)</f>
        <v>0</v>
      </c>
      <c r="HJ21" s="20" t="n">
        <f aca="false">HH21+HI21</f>
        <v>0</v>
      </c>
      <c r="HK21" s="20" t="n">
        <f aca="false">HA21-HI21+HE21*IF(Slot20_SpendLike=1,HG21-HH21,IF(Slot20_PotFree=1,HG21,0))</f>
        <v>5540.41942881328</v>
      </c>
      <c r="HL21" s="20" t="n">
        <f aca="false">HB21+HE21*Slot20_BufPot*HG21</f>
        <v>12694.5670289821</v>
      </c>
      <c r="HM21" s="20" t="n">
        <f aca="false">IF(AND(HE21=1,Slot20_IsMfree=1),IF(HJ21&gt;=Slot20_Cost-1,0,MAX(0,HC21-HJ21)),HC21)</f>
        <v>86732.8986657339</v>
      </c>
      <c r="HN21" s="20" t="n">
        <f aca="false">HE21*(Slot20_Cost-HJ21)</f>
        <v>0</v>
      </c>
      <c r="HO21" s="20" t="n">
        <f aca="false">V21*Slot1_SpendLike*AA21+AG21*Slot2_SpendLike*AL21+AQ21*Slot3_SpendLike*AV21+BA21*Slot4_SpendLike*BF21+BK21*Slot5_SpendLike*BP21+BU21*Slot6_SpendLike*BZ21+CE21*Slot7_SpendLike*CJ21+CO21*Slot8_SpendLike*CT21+CY21*Slot9_SpendLike*DD21+DI21*Slot10_SpendLike*DN21+DS21*Slot11_SpendLike*DX21+EC21*Slot12_SpendLike*EH21+EM21*Slot13_SpendLike*ER21+EW21*Slot14_SpendLike*FB21+FG21*Slot15_SpendLike*FL21+FQ21*Slot16_SpendLike*FV21+GA21*Slot17_SpendLike*GF21+GK21*Slot18_SpendLike*GP21+GU21*Slot19_SpendLike*GZ21+HE21*Slot20_SpendLike*HJ21</f>
        <v>0</v>
      </c>
      <c r="HP21" s="20" t="n">
        <f aca="false">AE21+AP21+AZ21+BJ21+BT21+CD21+CN21+CX21+DH21+DR21+EB21+EL21+EV21+FF21+FP21+FZ21+GJ21+GT21+HD21+HN21</f>
        <v>0</v>
      </c>
      <c r="HQ21" s="20" t="n">
        <f aca="false">V21*Slot1_Cost+AG21*Slot2_Cost+AQ21*Slot3_Cost+BA21*Slot4_Cost+BK21*Slot5_Cost+BU21*Slot6_Cost+CE21*Slot7_Cost+CO21*Slot8_Cost+CY21*Slot9_Cost+DI21*Slot10_Cost+DS21*Slot11_Cost+EC21*Slot12_Cost+EM21*Slot13_Cost+EW21*Slot14_Cost+FG21*Slot15_Cost+FQ21*Slot16_Cost+GA21*Slot17_Cost+GK21*Slot18_Cost+GU21*Slot19_Cost+HE21*Slot20_Cost</f>
        <v>0</v>
      </c>
      <c r="HR21" s="20" t="n">
        <f aca="false">HM21</f>
        <v>86732.8986657339</v>
      </c>
      <c r="HS21" s="20" t="n">
        <f aca="false">H21-I21-S21</f>
        <v>15676.7034248719</v>
      </c>
      <c r="HT21" s="20" t="n">
        <f aca="false">IF(B21=0,IF(AND(Has_q6=1,In_q6=4),PR_ShareVaries*(MAX(0,HS21)/12),MIN(IF(Has_q6=1,CHOOSE(In_q6+1,PR_SaveB1,PR_SaveB2,PR_SaveB3,PR_SaveB4,0),AS_NoAnswer),AS_SaveShare*(MAX(0,HS21)/12))),HT20)</f>
        <v>67.3316893520437</v>
      </c>
      <c r="HU21" s="20" t="n">
        <f aca="false">IF(HS21&gt;=0,1,0)</f>
        <v>1</v>
      </c>
      <c r="HV21" s="20" t="n">
        <f aca="false">MAX(0,HS21/12/F21)</f>
        <v>1009.88346945499</v>
      </c>
      <c r="HW21" s="20" t="n">
        <f aca="false">IF(AND(Has_q6=1,In_q6=4),PR_ShareVaries*(HV21),MIN(IF(Has_q6=1,CHOOSE(In_q6+1,PR_SaveB1,PR_SaveB2,PR_SaveB3,PR_SaveB4,0),AS_NoAnswer),AS_SaveShare*(HV21)))</f>
        <v>500</v>
      </c>
      <c r="HX21" s="20" t="n">
        <f aca="false">IF(Has_saveM=1,IF(In_saveUp="Yes",1,IF(In_saveUp="No",0,IF(In_saveM&gt;=HT21-0.5,1,0))),0)</f>
        <v>0</v>
      </c>
      <c r="HY21" s="20" t="n">
        <f aca="false">IF(Has_saveM=1,MIN(HV21,IF(HX21=1,MAX(In_saveM,HW21),MIN(In_saveM,HW21))),HW21)</f>
        <v>500</v>
      </c>
      <c r="HZ21" s="20" t="n">
        <f aca="false">IF(G21=1,HY21*12*F21,0)</f>
        <v>7761.63978272278</v>
      </c>
      <c r="IA21" s="20" t="n">
        <f aca="false">MAX(0,HZ21+IF(AND(WI_Retire=0,WI_M&lt;0,G21=1),WI_M*12*F21,0))</f>
        <v>7761.63978272278</v>
      </c>
      <c r="IB21" s="20" t="n">
        <f aca="false">Slot1_IsWG*W21+Slot2_IsWG*AH21+Slot3_IsWG*AR21+Slot4_IsWG*BB21+Slot5_IsWG*BL21+Slot6_IsWG*BV21+Slot7_IsWG*CF21+Slot8_IsWG*CP21+Slot9_IsWG*CZ21+Slot10_IsWG*DJ21+Slot11_IsWG*DT21+Slot12_IsWG*ED21+Slot13_IsWG*EN21+Slot14_IsWG*EX21+Slot15_IsWG*FH21+Slot16_IsWG*FR21+Slot17_IsWG*GB21+Slot18_IsWG*GL21+Slot19_IsWG*GV21+Slot20_IsWG*HF21</f>
        <v>0</v>
      </c>
      <c r="IC21" s="20" t="n">
        <f aca="false">IF(AND(WI_Retire=0,WI_M&gt;0,G21=1,IB21&gt;=1),WI_M*12*F21,0)</f>
        <v>0</v>
      </c>
      <c r="ID21" s="20" t="n">
        <f aca="false">IF(HU21=1,MIN(IA21,HS21),0)</f>
        <v>7761.63978272278</v>
      </c>
      <c r="IE21" s="20" t="n">
        <f aca="false">IF(HU21=1,MIN(IC21,HS21-ID21),0)</f>
        <v>0</v>
      </c>
      <c r="IF21" s="20" t="n">
        <f aca="false">IF(W21=1,IF(ABS((1+AS_Wage)/(1+Slot1_Rate)-1)&lt;0.000000000001,(Slot1_Age-D21)*(1+Slot1_Rate)^(Slot1_Age-D21),(1+Slot1_Rate)^(Slot1_Age-D21)*(1-((1+AS_Wage)/(1+Slot1_Rate))^(Slot1_Age-D21))/(1-(1+AS_Wage)/(1+Slot1_Rate))),1)</f>
        <v>1</v>
      </c>
      <c r="IG21" s="20" t="n">
        <f aca="false">IF(AND(HU21=1,IE21&gt;0,Slot1_IsWG=1,W21=1),MAX(0,(Slot1_Cost-X21*(1+Slot1_Rate)^(Slot1_Age-D21))/IF21),0)</f>
        <v>0</v>
      </c>
      <c r="IH21" s="20" t="n">
        <f aca="false">IF(AND(HU21=1,IE21&gt;0,Slot1_IsWG=1,W21=1),MIN(IE21,IG21),0)</f>
        <v>0</v>
      </c>
      <c r="II21" s="20" t="n">
        <f aca="false">X21+IH21</f>
        <v>0</v>
      </c>
      <c r="IJ21" s="20" t="n">
        <f aca="false">IF(W21=1,MAX(0,(Slot1_Cost-II21*(1+Slot1_Rate)^(Slot1_Age-D21))/IF21),0)</f>
        <v>0</v>
      </c>
      <c r="IK21" s="20" t="n">
        <f aca="false">IF(W21=1,MAX(0,(Slot1_Cost-X21*(1+Slot1_Rate)^(Slot1_Age-D21))/IF21),0)</f>
        <v>0</v>
      </c>
      <c r="IL21" s="20" t="n">
        <f aca="false">IF(AND(HU21=1,W21=1),MIN(ID21,IJ21),0)</f>
        <v>0</v>
      </c>
      <c r="IM21" s="20" t="n">
        <f aca="false">ID21-IL21</f>
        <v>7761.63978272278</v>
      </c>
      <c r="IN21" s="20" t="n">
        <f aca="false">IF(AH21=1,IF(ABS((1+AS_Wage)/(1+Slot2_Rate)-1)&lt;0.000000000001,(Slot2_Age-D21)*(1+Slot2_Rate)^(Slot2_Age-D21),(1+Slot2_Rate)^(Slot2_Age-D21)*(1-((1+AS_Wage)/(1+Slot2_Rate))^(Slot2_Age-D21))/(1-(1+AS_Wage)/(1+Slot2_Rate))),1)</f>
        <v>1</v>
      </c>
      <c r="IO21" s="20" t="n">
        <f aca="false">IF(AND(HU21=1,IE21&gt;0,Slot2_IsWG=1,AH21=1),MAX(0,(Slot2_Cost-AI21*(1+Slot2_Rate)^(Slot2_Age-D21))/IN21),0)</f>
        <v>0</v>
      </c>
      <c r="IP21" s="20" t="n">
        <f aca="false">IF(AND(HU21=1,IE21&gt;0,Slot2_IsWG=1,AH21=1),MIN(IE21,IO21),0)</f>
        <v>0</v>
      </c>
      <c r="IQ21" s="20" t="n">
        <f aca="false">AI21+IP21</f>
        <v>0</v>
      </c>
      <c r="IR21" s="20" t="n">
        <f aca="false">IF(AH21=1,MAX(0,(Slot2_Cost-IQ21*(1+Slot2_Rate)^(Slot2_Age-D21))/IN21),0)</f>
        <v>0</v>
      </c>
      <c r="IS21" s="20" t="n">
        <f aca="false">IF(AH21=1,MAX(0,(Slot2_Cost-AI21*(1+Slot2_Rate)^(Slot2_Age-D21))/IN21),0)</f>
        <v>0</v>
      </c>
      <c r="IT21" s="20" t="n">
        <f aca="false">IF(AND(HU21=1,AH21=1),MIN(IM21,IR21),0)</f>
        <v>0</v>
      </c>
      <c r="IU21" s="20" t="n">
        <f aca="false">IM21-IT21</f>
        <v>7761.63978272278</v>
      </c>
      <c r="IV21" s="20" t="n">
        <f aca="false">IF(AR21=1,IF(ABS((1+AS_Wage)/(1+Slot3_Rate)-1)&lt;0.000000000001,(Slot3_Age-D21)*(1+Slot3_Rate)^(Slot3_Age-D21),(1+Slot3_Rate)^(Slot3_Age-D21)*(1-((1+AS_Wage)/(1+Slot3_Rate))^(Slot3_Age-D21))/(1-(1+AS_Wage)/(1+Slot3_Rate))),1)</f>
        <v>1</v>
      </c>
      <c r="IW21" s="20" t="n">
        <f aca="false">IF(AND(HU21=1,IE21&gt;0,Slot3_IsWG=1,AR21=1),MAX(0,(Slot3_Cost-AS21*(1+Slot3_Rate)^(Slot3_Age-D21))/IV21),0)</f>
        <v>0</v>
      </c>
      <c r="IX21" s="20" t="n">
        <f aca="false">IF(AND(HU21=1,IE21&gt;0,Slot3_IsWG=1,AR21=1),MIN(IE21,IW21),0)</f>
        <v>0</v>
      </c>
      <c r="IY21" s="20" t="n">
        <f aca="false">AS21+IX21</f>
        <v>0</v>
      </c>
      <c r="IZ21" s="20" t="n">
        <f aca="false">IF(AR21=1,MAX(0,(Slot3_Cost-IY21*(1+Slot3_Rate)^(Slot3_Age-D21))/IV21),0)</f>
        <v>0</v>
      </c>
      <c r="JA21" s="20" t="n">
        <f aca="false">IF(AR21=1,MAX(0,(Slot3_Cost-AS21*(1+Slot3_Rate)^(Slot3_Age-D21))/IV21),0)</f>
        <v>0</v>
      </c>
      <c r="JB21" s="20" t="n">
        <f aca="false">IF(AND(HU21=1,AR21=1),MIN(IU21,IZ21),0)</f>
        <v>0</v>
      </c>
      <c r="JC21" s="20" t="n">
        <f aca="false">IU21-JB21</f>
        <v>7761.63978272278</v>
      </c>
      <c r="JD21" s="20" t="n">
        <f aca="false">IF(BB21=1,IF(ABS((1+AS_Wage)/(1+Slot4_Rate)-1)&lt;0.000000000001,(Slot4_Age-D21)*(1+Slot4_Rate)^(Slot4_Age-D21),(1+Slot4_Rate)^(Slot4_Age-D21)*(1-((1+AS_Wage)/(1+Slot4_Rate))^(Slot4_Age-D21))/(1-(1+AS_Wage)/(1+Slot4_Rate))),1)</f>
        <v>4.458495574656</v>
      </c>
      <c r="JE21" s="20" t="n">
        <f aca="false">IF(AND(HU21=1,IE21&gt;0,Slot4_IsWG=1,BB21=1),MAX(0,(Slot4_Cost-BC21*(1+Slot4_Rate)^(Slot4_Age-D21))/JD21),0)</f>
        <v>0</v>
      </c>
      <c r="JF21" s="20" t="n">
        <f aca="false">IF(AND(HU21=1,IE21&gt;0,Slot4_IsWG=1,BB21=1),MIN(IE21,JE21),0)</f>
        <v>0</v>
      </c>
      <c r="JG21" s="20" t="n">
        <f aca="false">BC21+JF21</f>
        <v>15357.4474111435</v>
      </c>
      <c r="JH21" s="20" t="n">
        <f aca="false">IF(BB21=1,MAX(0,(Slot4_Cost-JG21*(1+Slot4_Rate)^(Slot4_Age-D21))/JD21),0)</f>
        <v>5159.11630080157</v>
      </c>
      <c r="JI21" s="20" t="n">
        <f aca="false">IF(BB21=1,MAX(0,(Slot4_Cost-BC21*(1+Slot4_Rate)^(Slot4_Age-D21))/JD21),0)</f>
        <v>5159.11630080157</v>
      </c>
      <c r="JJ21" s="20" t="n">
        <f aca="false">IF(AND(HU21=1,BB21=1),MIN(JC21,JH21),0)</f>
        <v>5159.11630080157</v>
      </c>
      <c r="JK21" s="20" t="n">
        <f aca="false">JC21-JJ21</f>
        <v>2602.52348192121</v>
      </c>
      <c r="JL21" s="20" t="n">
        <f aca="false">IF(BL21=1,IF(ABS((1+AS_Wage)/(1+Slot5_Rate)-1)&lt;0.000000000001,(Slot5_Age-D21)*(1+Slot5_Rate)^(Slot5_Age-D21),(1+Slot5_Rate)^(Slot5_Age-D21)*(1-((1+AS_Wage)/(1+Slot5_Rate))^(Slot5_Age-D21))/(1-(1+AS_Wage)/(1+Slot5_Rate))),1)</f>
        <v>1</v>
      </c>
      <c r="JM21" s="20" t="n">
        <f aca="false">IF(AND(HU21=1,IE21&gt;0,Slot5_IsWG=1,BL21=1),MAX(0,(Slot5_Cost-BM21*(1+Slot5_Rate)^(Slot5_Age-D21))/JL21),0)</f>
        <v>0</v>
      </c>
      <c r="JN21" s="20" t="n">
        <f aca="false">IF(AND(HU21=1,IE21&gt;0,Slot5_IsWG=1,BL21=1),MIN(IE21,JM21),0)</f>
        <v>0</v>
      </c>
      <c r="JO21" s="20" t="n">
        <f aca="false">BM21+JN21</f>
        <v>0</v>
      </c>
      <c r="JP21" s="20" t="n">
        <f aca="false">IF(BL21=1,MAX(0,(Slot5_Cost-JO21*(1+Slot5_Rate)^(Slot5_Age-D21))/JL21),0)</f>
        <v>0</v>
      </c>
      <c r="JQ21" s="20" t="n">
        <f aca="false">IF(BL21=1,MAX(0,(Slot5_Cost-BM21*(1+Slot5_Rate)^(Slot5_Age-D21))/JL21),0)</f>
        <v>0</v>
      </c>
      <c r="JR21" s="20" t="n">
        <f aca="false">IF(AND(HU21=1,BL21=1),MIN(JK21,JP21),0)</f>
        <v>0</v>
      </c>
      <c r="JS21" s="20" t="n">
        <f aca="false">JK21-JR21</f>
        <v>2602.52348192121</v>
      </c>
      <c r="JT21" s="20" t="n">
        <f aca="false">IF(BV21=1,IF(ABS((1+AS_Wage)/(1+Slot6_Rate)-1)&lt;0.000000000001,(Slot6_Age-D21)*(1+Slot6_Rate)^(Slot6_Age-D21),(1+Slot6_Rate)^(Slot6_Age-D21)*(1-((1+AS_Wage)/(1+Slot6_Rate))^(Slot6_Age-D21))/(1-(1+AS_Wage)/(1+Slot6_Rate))),1)</f>
        <v>1</v>
      </c>
      <c r="JU21" s="20" t="n">
        <f aca="false">IF(AND(HU21=1,IE21&gt;0,Slot6_IsWG=1,BV21=1),MAX(0,(Slot6_Cost-BW21*(1+Slot6_Rate)^(Slot6_Age-D21))/JT21),0)</f>
        <v>0</v>
      </c>
      <c r="JV21" s="20" t="n">
        <f aca="false">IF(AND(HU21=1,IE21&gt;0,Slot6_IsWG=1,BV21=1),MIN(IE21,JU21),0)</f>
        <v>0</v>
      </c>
      <c r="JW21" s="20" t="n">
        <f aca="false">BW21+JV21</f>
        <v>0</v>
      </c>
      <c r="JX21" s="20" t="n">
        <f aca="false">IF(BV21=1,MAX(0,(Slot6_Cost-JW21*(1+Slot6_Rate)^(Slot6_Age-D21))/JT21),0)</f>
        <v>0</v>
      </c>
      <c r="JY21" s="20" t="n">
        <f aca="false">IF(BV21=1,MAX(0,(Slot6_Cost-BW21*(1+Slot6_Rate)^(Slot6_Age-D21))/JT21),0)</f>
        <v>0</v>
      </c>
      <c r="JZ21" s="20" t="n">
        <f aca="false">IF(AND(HU21=1,BV21=1),MIN(JS21,JX21),0)</f>
        <v>0</v>
      </c>
      <c r="KA21" s="20" t="n">
        <f aca="false">JS21-JZ21</f>
        <v>2602.52348192121</v>
      </c>
      <c r="KB21" s="20" t="n">
        <f aca="false">IF(CF21=1,IF(ABS((1+AS_Wage)/(1+Slot7_Rate)-1)&lt;0.000000000001,(Slot7_Age-D21)*(1+Slot7_Rate)^(Slot7_Age-D21),(1+Slot7_Rate)^(Slot7_Age-D21)*(1-((1+AS_Wage)/(1+Slot7_Rate))^(Slot7_Age-D21))/(1-(1+AS_Wage)/(1+Slot7_Rate))),1)</f>
        <v>1</v>
      </c>
      <c r="KC21" s="20" t="n">
        <f aca="false">IF(AND(HU21=1,IE21&gt;0,Slot7_IsWG=1,CF21=1),MAX(0,(Slot7_Cost-CG21*(1+Slot7_Rate)^(Slot7_Age-D21))/KB21),0)</f>
        <v>0</v>
      </c>
      <c r="KD21" s="20" t="n">
        <f aca="false">IF(AND(HU21=1,IE21&gt;0,Slot7_IsWG=1,CF21=1),MIN(IE21,KC21),0)</f>
        <v>0</v>
      </c>
      <c r="KE21" s="20" t="n">
        <f aca="false">CG21+KD21</f>
        <v>0</v>
      </c>
      <c r="KF21" s="20" t="n">
        <f aca="false">IF(CF21=1,MAX(0,(Slot7_Cost-KE21*(1+Slot7_Rate)^(Slot7_Age-D21))/KB21),0)</f>
        <v>0</v>
      </c>
      <c r="KG21" s="20" t="n">
        <f aca="false">IF(CF21=1,MAX(0,(Slot7_Cost-CG21*(1+Slot7_Rate)^(Slot7_Age-D21))/KB21),0)</f>
        <v>0</v>
      </c>
      <c r="KH21" s="20" t="n">
        <f aca="false">IF(AND(HU21=1,CF21=1),MIN(KA21,KF21),0)</f>
        <v>0</v>
      </c>
      <c r="KI21" s="20" t="n">
        <f aca="false">KA21-KH21</f>
        <v>2602.52348192121</v>
      </c>
      <c r="KJ21" s="20" t="n">
        <f aca="false">IF(CP21=1,IF(ABS((1+AS_Wage)/(1+Slot8_Rate)-1)&lt;0.000000000001,(Slot8_Age-D21)*(1+Slot8_Rate)^(Slot8_Age-D21),(1+Slot8_Rate)^(Slot8_Age-D21)*(1-((1+AS_Wage)/(1+Slot8_Rate))^(Slot8_Age-D21))/(1-(1+AS_Wage)/(1+Slot8_Rate))),1)</f>
        <v>1</v>
      </c>
      <c r="KK21" s="20" t="n">
        <f aca="false">IF(AND(HU21=1,IE21&gt;0,Slot8_IsWG=1,CP21=1),MAX(0,(Slot8_Cost-CQ21*(1+Slot8_Rate)^(Slot8_Age-D21))/KJ21),0)</f>
        <v>0</v>
      </c>
      <c r="KL21" s="20" t="n">
        <f aca="false">IF(AND(HU21=1,IE21&gt;0,Slot8_IsWG=1,CP21=1),MIN(IE21,KK21),0)</f>
        <v>0</v>
      </c>
      <c r="KM21" s="20" t="n">
        <f aca="false">CQ21+KL21</f>
        <v>0</v>
      </c>
      <c r="KN21" s="20" t="n">
        <f aca="false">IF(CP21=1,MAX(0,(Slot8_Cost-KM21*(1+Slot8_Rate)^(Slot8_Age-D21))/KJ21),0)</f>
        <v>0</v>
      </c>
      <c r="KO21" s="20" t="n">
        <f aca="false">IF(CP21=1,MAX(0,(Slot8_Cost-CQ21*(1+Slot8_Rate)^(Slot8_Age-D21))/KJ21),0)</f>
        <v>0</v>
      </c>
      <c r="KP21" s="20" t="n">
        <f aca="false">IF(AND(HU21=1,CP21=1),MIN(KI21,KN21),0)</f>
        <v>0</v>
      </c>
      <c r="KQ21" s="20" t="n">
        <f aca="false">KI21-KP21</f>
        <v>2602.52348192121</v>
      </c>
      <c r="KR21" s="20" t="n">
        <f aca="false">IF(CZ21=1,IF(ABS((1+AS_Wage)/(1+Slot9_Rate)-1)&lt;0.000000000001,(Slot9_Age-D21)*(1+Slot9_Rate)^(Slot9_Age-D21),(1+Slot9_Rate)^(Slot9_Age-D21)*(1-((1+AS_Wage)/(1+Slot9_Rate))^(Slot9_Age-D21))/(1-(1+AS_Wage)/(1+Slot9_Rate))),1)</f>
        <v>1</v>
      </c>
      <c r="KS21" s="20" t="n">
        <f aca="false">IF(AND(HU21=1,IE21&gt;0,Slot9_IsWG=1,CZ21=1),MAX(0,(Slot9_Cost-DA21*(1+Slot9_Rate)^(Slot9_Age-D21))/KR21),0)</f>
        <v>0</v>
      </c>
      <c r="KT21" s="20" t="n">
        <f aca="false">IF(AND(HU21=1,IE21&gt;0,Slot9_IsWG=1,CZ21=1),MIN(IE21,KS21),0)</f>
        <v>0</v>
      </c>
      <c r="KU21" s="20" t="n">
        <f aca="false">DA21+KT21</f>
        <v>0</v>
      </c>
      <c r="KV21" s="20" t="n">
        <f aca="false">IF(CZ21=1,MAX(0,(Slot9_Cost-KU21*(1+Slot9_Rate)^(Slot9_Age-D21))/KR21),0)</f>
        <v>0</v>
      </c>
      <c r="KW21" s="20" t="n">
        <f aca="false">IF(CZ21=1,MAX(0,(Slot9_Cost-DA21*(1+Slot9_Rate)^(Slot9_Age-D21))/KR21),0)</f>
        <v>0</v>
      </c>
      <c r="KX21" s="20" t="n">
        <f aca="false">IF(AND(HU21=1,CZ21=1),MIN(KQ21,KV21),0)</f>
        <v>0</v>
      </c>
      <c r="KY21" s="20" t="n">
        <f aca="false">KQ21-KX21</f>
        <v>2602.52348192121</v>
      </c>
      <c r="KZ21" s="20" t="n">
        <f aca="false">IF(DJ21=1,IF(ABS((1+AS_Wage)/(1+Slot10_Rate)-1)&lt;0.000000000001,(Slot10_Age-D21)*(1+Slot10_Rate)^(Slot10_Age-D21),(1+Slot10_Rate)^(Slot10_Age-D21)*(1-((1+AS_Wage)/(1+Slot10_Rate))^(Slot10_Age-D21))/(1-(1+AS_Wage)/(1+Slot10_Rate))),1)</f>
        <v>1</v>
      </c>
      <c r="LA21" s="20" t="n">
        <f aca="false">IF(AND(HU21=1,IE21&gt;0,Slot10_IsWG=1,DJ21=1),MAX(0,(Slot10_Cost-DK21*(1+Slot10_Rate)^(Slot10_Age-D21))/KZ21),0)</f>
        <v>0</v>
      </c>
      <c r="LB21" s="20" t="n">
        <f aca="false">IF(AND(HU21=1,IE21&gt;0,Slot10_IsWG=1,DJ21=1),MIN(IE21,LA21),0)</f>
        <v>0</v>
      </c>
      <c r="LC21" s="20" t="n">
        <f aca="false">DK21+LB21</f>
        <v>0</v>
      </c>
      <c r="LD21" s="20" t="n">
        <f aca="false">IF(DJ21=1,MAX(0,(Slot10_Cost-LC21*(1+Slot10_Rate)^(Slot10_Age-D21))/KZ21),0)</f>
        <v>0</v>
      </c>
      <c r="LE21" s="20" t="n">
        <f aca="false">IF(DJ21=1,MAX(0,(Slot10_Cost-DK21*(1+Slot10_Rate)^(Slot10_Age-D21))/KZ21),0)</f>
        <v>0</v>
      </c>
      <c r="LF21" s="20" t="n">
        <f aca="false">IF(AND(HU21=1,DJ21=1),MIN(KY21,LD21),0)</f>
        <v>0</v>
      </c>
      <c r="LG21" s="20" t="n">
        <f aca="false">KY21-LF21</f>
        <v>2602.52348192121</v>
      </c>
      <c r="LH21" s="20" t="n">
        <f aca="false">IF(DT21=1,IF(ABS((1+AS_Wage)/(1+Slot11_Rate)-1)&lt;0.000000000001,(Slot11_Age-D21)*(1+Slot11_Rate)^(Slot11_Age-D21),(1+Slot11_Rate)^(Slot11_Age-D21)*(1-((1+AS_Wage)/(1+Slot11_Rate))^(Slot11_Age-D21))/(1-(1+AS_Wage)/(1+Slot11_Rate))),1)</f>
        <v>1</v>
      </c>
      <c r="LI21" s="20" t="n">
        <f aca="false">IF(AND(HU21=1,IE21&gt;0,Slot11_IsWG=1,DT21=1),MAX(0,(Slot11_Cost-DU21*(1+Slot11_Rate)^(Slot11_Age-D21))/LH21),0)</f>
        <v>0</v>
      </c>
      <c r="LJ21" s="20" t="n">
        <f aca="false">IF(AND(HU21=1,IE21&gt;0,Slot11_IsWG=1,DT21=1),MIN(IE21,LI21),0)</f>
        <v>0</v>
      </c>
      <c r="LK21" s="20" t="n">
        <f aca="false">DU21+LJ21</f>
        <v>0</v>
      </c>
      <c r="LL21" s="20" t="n">
        <f aca="false">IF(DT21=1,MAX(0,(Slot11_Cost-LK21*(1+Slot11_Rate)^(Slot11_Age-D21))/LH21),0)</f>
        <v>0</v>
      </c>
      <c r="LM21" s="20" t="n">
        <f aca="false">IF(DT21=1,MAX(0,(Slot11_Cost-DU21*(1+Slot11_Rate)^(Slot11_Age-D21))/LH21),0)</f>
        <v>0</v>
      </c>
      <c r="LN21" s="20" t="n">
        <f aca="false">IF(AND(HU21=1,DT21=1),MIN(LG21,LL21),0)</f>
        <v>0</v>
      </c>
      <c r="LO21" s="20" t="n">
        <f aca="false">LG21-LN21</f>
        <v>2602.52348192121</v>
      </c>
      <c r="LP21" s="20" t="n">
        <f aca="false">IF(ED21=1,IF(ABS((1+AS_Wage)/(1+Slot12_Rate)-1)&lt;0.000000000001,(Slot12_Age-D21)*(1+Slot12_Rate)^(Slot12_Age-D21),(1+Slot12_Rate)^(Slot12_Age-D21)*(1-((1+AS_Wage)/(1+Slot12_Rate))^(Slot12_Age-D21))/(1-(1+AS_Wage)/(1+Slot12_Rate))),1)</f>
        <v>1</v>
      </c>
      <c r="LQ21" s="20" t="n">
        <f aca="false">IF(AND(HU21=1,IE21&gt;0,Slot12_IsWG=1,ED21=1),MAX(0,(Slot12_Cost-EE21*(1+Slot12_Rate)^(Slot12_Age-D21))/LP21),0)</f>
        <v>0</v>
      </c>
      <c r="LR21" s="20" t="n">
        <f aca="false">IF(AND(HU21=1,IE21&gt;0,Slot12_IsWG=1,ED21=1),MIN(IE21,LQ21),0)</f>
        <v>0</v>
      </c>
      <c r="LS21" s="20" t="n">
        <f aca="false">EE21+LR21</f>
        <v>0</v>
      </c>
      <c r="LT21" s="20" t="n">
        <f aca="false">IF(ED21=1,MAX(0,(Slot12_Cost-LS21*(1+Slot12_Rate)^(Slot12_Age-D21))/LP21),0)</f>
        <v>0</v>
      </c>
      <c r="LU21" s="20" t="n">
        <f aca="false">IF(ED21=1,MAX(0,(Slot12_Cost-EE21*(1+Slot12_Rate)^(Slot12_Age-D21))/LP21),0)</f>
        <v>0</v>
      </c>
      <c r="LV21" s="20" t="n">
        <f aca="false">IF(AND(HU21=1,ED21=1),MIN(LO21,LT21),0)</f>
        <v>0</v>
      </c>
      <c r="LW21" s="20" t="n">
        <f aca="false">LO21-LV21</f>
        <v>2602.52348192121</v>
      </c>
      <c r="LX21" s="20" t="n">
        <f aca="false">IF(EN21=1,IF(ABS((1+AS_Wage)/(1+Slot13_Rate)-1)&lt;0.000000000001,(Slot13_Age-D21)*(1+Slot13_Rate)^(Slot13_Age-D21),(1+Slot13_Rate)^(Slot13_Age-D21)*(1-((1+AS_Wage)/(1+Slot13_Rate))^(Slot13_Age-D21))/(1-(1+AS_Wage)/(1+Slot13_Rate))),1)</f>
        <v>1</v>
      </c>
      <c r="LY21" s="20" t="n">
        <f aca="false">IF(AND(HU21=1,IE21&gt;0,Slot13_IsWG=1,EN21=1),MAX(0,(Slot13_Cost-EO21*(1+Slot13_Rate)^(Slot13_Age-D21))/LX21),0)</f>
        <v>0</v>
      </c>
      <c r="LZ21" s="20" t="n">
        <f aca="false">IF(AND(HU21=1,IE21&gt;0,Slot13_IsWG=1,EN21=1),MIN(IE21,LY21),0)</f>
        <v>0</v>
      </c>
      <c r="MA21" s="20" t="n">
        <f aca="false">EO21+LZ21</f>
        <v>0</v>
      </c>
      <c r="MB21" s="20" t="n">
        <f aca="false">IF(EN21=1,MAX(0,(Slot13_Cost-MA21*(1+Slot13_Rate)^(Slot13_Age-D21))/LX21),0)</f>
        <v>0</v>
      </c>
      <c r="MC21" s="20" t="n">
        <f aca="false">IF(EN21=1,MAX(0,(Slot13_Cost-EO21*(1+Slot13_Rate)^(Slot13_Age-D21))/LX21),0)</f>
        <v>0</v>
      </c>
      <c r="MD21" s="20" t="n">
        <f aca="false">IF(AND(HU21=1,EN21=1),MIN(LW21,MB21),0)</f>
        <v>0</v>
      </c>
      <c r="ME21" s="20" t="n">
        <f aca="false">LW21-MD21</f>
        <v>2602.52348192121</v>
      </c>
      <c r="MF21" s="20" t="n">
        <f aca="false">IF(EX21=1,IF(ABS((1+AS_Wage)/(1+Slot14_Rate)-1)&lt;0.000000000001,(Slot14_Age-D21)*(1+Slot14_Rate)^(Slot14_Age-D21),(1+Slot14_Rate)^(Slot14_Age-D21)*(1-((1+AS_Wage)/(1+Slot14_Rate))^(Slot14_Age-D21))/(1-(1+AS_Wage)/(1+Slot14_Rate))),1)</f>
        <v>1</v>
      </c>
      <c r="MG21" s="20" t="n">
        <f aca="false">IF(AND(HU21=1,IE21&gt;0,Slot14_IsWG=1,EX21=1),MAX(0,(Slot14_Cost-EY21*(1+Slot14_Rate)^(Slot14_Age-D21))/MF21),0)</f>
        <v>0</v>
      </c>
      <c r="MH21" s="20" t="n">
        <f aca="false">IF(AND(HU21=1,IE21&gt;0,Slot14_IsWG=1,EX21=1),MIN(IE21,MG21),0)</f>
        <v>0</v>
      </c>
      <c r="MI21" s="20" t="n">
        <f aca="false">EY21+MH21</f>
        <v>0</v>
      </c>
      <c r="MJ21" s="20" t="n">
        <f aca="false">IF(EX21=1,MAX(0,(Slot14_Cost-MI21*(1+Slot14_Rate)^(Slot14_Age-D21))/MF21),0)</f>
        <v>0</v>
      </c>
      <c r="MK21" s="20" t="n">
        <f aca="false">IF(EX21=1,MAX(0,(Slot14_Cost-EY21*(1+Slot14_Rate)^(Slot14_Age-D21))/MF21),0)</f>
        <v>0</v>
      </c>
      <c r="ML21" s="20" t="n">
        <f aca="false">IF(AND(HU21=1,EX21=1),MIN(ME21,MJ21),0)</f>
        <v>0</v>
      </c>
      <c r="MM21" s="20" t="n">
        <f aca="false">ME21-ML21</f>
        <v>2602.52348192121</v>
      </c>
      <c r="MN21" s="20" t="n">
        <f aca="false">IF(FH21=1,IF(ABS((1+AS_Wage)/(1+Slot15_Rate)-1)&lt;0.000000000001,(Slot15_Age-D21)*(1+Slot15_Rate)^(Slot15_Age-D21),(1+Slot15_Rate)^(Slot15_Age-D21)*(1-((1+AS_Wage)/(1+Slot15_Rate))^(Slot15_Age-D21))/(1-(1+AS_Wage)/(1+Slot15_Rate))),1)</f>
        <v>1</v>
      </c>
      <c r="MO21" s="20" t="n">
        <f aca="false">IF(AND(HU21=1,IE21&gt;0,Slot15_IsWG=1,FH21=1),MAX(0,(Slot15_Cost-FI21*(1+Slot15_Rate)^(Slot15_Age-D21))/MN21),0)</f>
        <v>0</v>
      </c>
      <c r="MP21" s="20" t="n">
        <f aca="false">IF(AND(HU21=1,IE21&gt;0,Slot15_IsWG=1,FH21=1),MIN(IE21,MO21),0)</f>
        <v>0</v>
      </c>
      <c r="MQ21" s="20" t="n">
        <f aca="false">FI21+MP21</f>
        <v>0</v>
      </c>
      <c r="MR21" s="20" t="n">
        <f aca="false">IF(FH21=1,MAX(0,(Slot15_Cost-MQ21*(1+Slot15_Rate)^(Slot15_Age-D21))/MN21),0)</f>
        <v>0</v>
      </c>
      <c r="MS21" s="20" t="n">
        <f aca="false">IF(FH21=1,MAX(0,(Slot15_Cost-FI21*(1+Slot15_Rate)^(Slot15_Age-D21))/MN21),0)</f>
        <v>0</v>
      </c>
      <c r="MT21" s="20" t="n">
        <f aca="false">IF(AND(HU21=1,FH21=1),MIN(MM21,MR21),0)</f>
        <v>0</v>
      </c>
      <c r="MU21" s="20" t="n">
        <f aca="false">MM21-MT21</f>
        <v>2602.52348192121</v>
      </c>
      <c r="MV21" s="20" t="n">
        <f aca="false">IF(FR21=1,IF(ABS((1+AS_Wage)/(1+Slot16_Rate)-1)&lt;0.000000000001,(Slot16_Age-D21)*(1+Slot16_Rate)^(Slot16_Age-D21),(1+Slot16_Rate)^(Slot16_Age-D21)*(1-((1+AS_Wage)/(1+Slot16_Rate))^(Slot16_Age-D21))/(1-(1+AS_Wage)/(1+Slot16_Rate))),1)</f>
        <v>1</v>
      </c>
      <c r="MW21" s="20" t="n">
        <f aca="false">IF(AND(HU21=1,IE21&gt;0,Slot16_IsWG=1,FR21=1),MAX(0,(Slot16_Cost-FS21*(1+Slot16_Rate)^(Slot16_Age-D21))/MV21),0)</f>
        <v>0</v>
      </c>
      <c r="MX21" s="20" t="n">
        <f aca="false">IF(AND(HU21=1,IE21&gt;0,Slot16_IsWG=1,FR21=1),MIN(IE21,MW21),0)</f>
        <v>0</v>
      </c>
      <c r="MY21" s="20" t="n">
        <f aca="false">FS21+MX21</f>
        <v>0</v>
      </c>
      <c r="MZ21" s="20" t="n">
        <f aca="false">IF(FR21=1,MAX(0,(Slot16_Cost-MY21*(1+Slot16_Rate)^(Slot16_Age-D21))/MV21),0)</f>
        <v>0</v>
      </c>
      <c r="NA21" s="20" t="n">
        <f aca="false">IF(FR21=1,MAX(0,(Slot16_Cost-FS21*(1+Slot16_Rate)^(Slot16_Age-D21))/MV21),0)</f>
        <v>0</v>
      </c>
      <c r="NB21" s="20" t="n">
        <f aca="false">IF(AND(HU21=1,FR21=1),MIN(MU21,MZ21),0)</f>
        <v>0</v>
      </c>
      <c r="NC21" s="20" t="n">
        <f aca="false">MU21-NB21</f>
        <v>2602.52348192121</v>
      </c>
      <c r="ND21" s="20" t="n">
        <f aca="false">IF(GB21=1,IF(ABS((1+AS_Wage)/(1+Slot17_Rate)-1)&lt;0.000000000001,(Slot17_Age-D21)*(1+Slot17_Rate)^(Slot17_Age-D21),(1+Slot17_Rate)^(Slot17_Age-D21)*(1-((1+AS_Wage)/(1+Slot17_Rate))^(Slot17_Age-D21))/(1-(1+AS_Wage)/(1+Slot17_Rate))),1)</f>
        <v>1</v>
      </c>
      <c r="NE21" s="20" t="n">
        <f aca="false">IF(AND(HU21=1,IE21&gt;0,Slot17_IsWG=1,GB21=1),MAX(0,(Slot17_Cost-GC21*(1+Slot17_Rate)^(Slot17_Age-D21))/ND21),0)</f>
        <v>0</v>
      </c>
      <c r="NF21" s="20" t="n">
        <f aca="false">IF(AND(HU21=1,IE21&gt;0,Slot17_IsWG=1,GB21=1),MIN(IE21,NE21),0)</f>
        <v>0</v>
      </c>
      <c r="NG21" s="20" t="n">
        <f aca="false">GC21+NF21</f>
        <v>0</v>
      </c>
      <c r="NH21" s="20" t="n">
        <f aca="false">IF(GB21=1,MAX(0,(Slot17_Cost-NG21*(1+Slot17_Rate)^(Slot17_Age-D21))/ND21),0)</f>
        <v>0</v>
      </c>
      <c r="NI21" s="20" t="n">
        <f aca="false">IF(GB21=1,MAX(0,(Slot17_Cost-GC21*(1+Slot17_Rate)^(Slot17_Age-D21))/ND21),0)</f>
        <v>0</v>
      </c>
      <c r="NJ21" s="20" t="n">
        <f aca="false">IF(AND(HU21=1,GB21=1),MIN(NC21,NH21),0)</f>
        <v>0</v>
      </c>
      <c r="NK21" s="20" t="n">
        <f aca="false">NC21-NJ21</f>
        <v>2602.52348192121</v>
      </c>
      <c r="NL21" s="20" t="n">
        <f aca="false">IF(GL21=1,IF(ABS((1+AS_Wage)/(1+Slot18_Rate)-1)&lt;0.000000000001,(Slot18_Age-D21)*(1+Slot18_Rate)^(Slot18_Age-D21),(1+Slot18_Rate)^(Slot18_Age-D21)*(1-((1+AS_Wage)/(1+Slot18_Rate))^(Slot18_Age-D21))/(1-(1+AS_Wage)/(1+Slot18_Rate))),1)</f>
        <v>1</v>
      </c>
      <c r="NM21" s="20" t="n">
        <f aca="false">IF(AND(HU21=1,IE21&gt;0,Slot18_IsWG=1,GL21=1),MAX(0,(Slot18_Cost-GM21*(1+Slot18_Rate)^(Slot18_Age-D21))/NL21),0)</f>
        <v>0</v>
      </c>
      <c r="NN21" s="20" t="n">
        <f aca="false">IF(AND(HU21=1,IE21&gt;0,Slot18_IsWG=1,GL21=1),MIN(IE21,NM21),0)</f>
        <v>0</v>
      </c>
      <c r="NO21" s="20" t="n">
        <f aca="false">GM21+NN21</f>
        <v>0</v>
      </c>
      <c r="NP21" s="20" t="n">
        <f aca="false">IF(GL21=1,MAX(0,(Slot18_Cost-NO21*(1+Slot18_Rate)^(Slot18_Age-D21))/NL21),0)</f>
        <v>0</v>
      </c>
      <c r="NQ21" s="20" t="n">
        <f aca="false">IF(GL21=1,MAX(0,(Slot18_Cost-GM21*(1+Slot18_Rate)^(Slot18_Age-D21))/NL21),0)</f>
        <v>0</v>
      </c>
      <c r="NR21" s="20" t="n">
        <f aca="false">IF(AND(HU21=1,GL21=1),MIN(NK21,NP21),0)</f>
        <v>0</v>
      </c>
      <c r="NS21" s="20" t="n">
        <f aca="false">NK21-NR21</f>
        <v>2602.52348192121</v>
      </c>
      <c r="NT21" s="20" t="n">
        <f aca="false">IF(GV21=1,IF(ABS((1+AS_Wage)/(1+Slot19_Rate)-1)&lt;0.000000000001,(Slot19_Age-D21)*(1+Slot19_Rate)^(Slot19_Age-D21),(1+Slot19_Rate)^(Slot19_Age-D21)*(1-((1+AS_Wage)/(1+Slot19_Rate))^(Slot19_Age-D21))/(1-(1+AS_Wage)/(1+Slot19_Rate))),1)</f>
        <v>1</v>
      </c>
      <c r="NU21" s="20" t="n">
        <f aca="false">IF(AND(HU21=1,IE21&gt;0,Slot19_IsWG=1,GV21=1),MAX(0,(Slot19_Cost-GW21*(1+Slot19_Rate)^(Slot19_Age-D21))/NT21),0)</f>
        <v>0</v>
      </c>
      <c r="NV21" s="20" t="n">
        <f aca="false">IF(AND(HU21=1,IE21&gt;0,Slot19_IsWG=1,GV21=1),MIN(IE21,NU21),0)</f>
        <v>0</v>
      </c>
      <c r="NW21" s="20" t="n">
        <f aca="false">GW21+NV21</f>
        <v>0</v>
      </c>
      <c r="NX21" s="20" t="n">
        <f aca="false">IF(GV21=1,MAX(0,(Slot19_Cost-NW21*(1+Slot19_Rate)^(Slot19_Age-D21))/NT21),0)</f>
        <v>0</v>
      </c>
      <c r="NY21" s="20" t="n">
        <f aca="false">IF(GV21=1,MAX(0,(Slot19_Cost-GW21*(1+Slot19_Rate)^(Slot19_Age-D21))/NT21),0)</f>
        <v>0</v>
      </c>
      <c r="NZ21" s="20" t="n">
        <f aca="false">IF(AND(HU21=1,GV21=1),MIN(NS21,NX21),0)</f>
        <v>0</v>
      </c>
      <c r="OA21" s="20" t="n">
        <f aca="false">NS21-NZ21</f>
        <v>2602.52348192121</v>
      </c>
      <c r="OB21" s="20" t="n">
        <f aca="false">IF(HF21=1,IF(ABS((1+AS_Wage)/(1+Slot20_Rate)-1)&lt;0.000000000001,(Slot20_Age-D21)*(1+Slot20_Rate)^(Slot20_Age-D21),(1+Slot20_Rate)^(Slot20_Age-D21)*(1-((1+AS_Wage)/(1+Slot20_Rate))^(Slot20_Age-D21))/(1-(1+AS_Wage)/(1+Slot20_Rate))),1)</f>
        <v>1</v>
      </c>
      <c r="OC21" s="20" t="n">
        <f aca="false">IF(AND(HU21=1,IE21&gt;0,Slot20_IsWG=1,HF21=1),MAX(0,(Slot20_Cost-HG21*(1+Slot20_Rate)^(Slot20_Age-D21))/OB21),0)</f>
        <v>0</v>
      </c>
      <c r="OD21" s="20" t="n">
        <f aca="false">IF(AND(HU21=1,IE21&gt;0,Slot20_IsWG=1,HF21=1),MIN(IE21,OC21),0)</f>
        <v>0</v>
      </c>
      <c r="OE21" s="20" t="n">
        <f aca="false">HG21+OD21</f>
        <v>0</v>
      </c>
      <c r="OF21" s="20" t="n">
        <f aca="false">IF(HF21=1,MAX(0,(Slot20_Cost-OE21*(1+Slot20_Rate)^(Slot20_Age-D21))/OB21),0)</f>
        <v>0</v>
      </c>
      <c r="OG21" s="20" t="n">
        <f aca="false">IF(HF21=1,MAX(0,(Slot20_Cost-HG21*(1+Slot20_Rate)^(Slot20_Age-D21))/OB21),0)</f>
        <v>0</v>
      </c>
      <c r="OH21" s="20" t="n">
        <f aca="false">IF(AND(HU21=1,HF21=1),MIN(OA21,OF21),0)</f>
        <v>0</v>
      </c>
      <c r="OI21" s="20" t="n">
        <f aca="false">OA21-OH21</f>
        <v>2602.52348192121</v>
      </c>
      <c r="OJ21" s="20" t="n">
        <f aca="false">IE21-(IH21+IP21+IX21+JF21+JN21+JV21+KD21+KL21+KT21+LB21+LJ21+LR21+LZ21+MH21+MP21+MX21+NF21+NN21+NV21+OD21)</f>
        <v>0</v>
      </c>
      <c r="OK21" s="20" t="n">
        <f aca="false">IF(HU21=1,HS21-ID21-IE21,0)</f>
        <v>7915.06364214909</v>
      </c>
      <c r="OL21" s="20" t="n">
        <f aca="false">IF(HU21=0,-HS21,0)</f>
        <v>0</v>
      </c>
      <c r="OM21" s="20" t="n">
        <f aca="false">MIN(OL21,HK21)</f>
        <v>0</v>
      </c>
      <c r="ON21" s="20" t="n">
        <f aca="false">OL21-OM21</f>
        <v>0</v>
      </c>
      <c r="OO21" s="20" t="n">
        <f aca="false">MIN(ON21,HL21)</f>
        <v>0</v>
      </c>
      <c r="OP21" s="20" t="n">
        <f aca="false">ON21-OO21</f>
        <v>0</v>
      </c>
      <c r="OQ21" s="20" t="n">
        <f aca="false">IF(AND(HU21=0,HF21=1,OP21&gt;0),MIN(OP21,HG21),0)</f>
        <v>0</v>
      </c>
      <c r="OR21" s="20" t="n">
        <f aca="false">OP21-OQ21</f>
        <v>0</v>
      </c>
      <c r="OS21" s="20" t="n">
        <f aca="false">IF(AND(HU21=0,GV21=1,OR21&gt;0),MIN(OR21,GW21),0)</f>
        <v>0</v>
      </c>
      <c r="OT21" s="20" t="n">
        <f aca="false">OR21-OS21</f>
        <v>0</v>
      </c>
      <c r="OU21" s="20" t="n">
        <f aca="false">IF(AND(HU21=0,GL21=1,OT21&gt;0),MIN(OT21,GM21),0)</f>
        <v>0</v>
      </c>
      <c r="OV21" s="20" t="n">
        <f aca="false">OT21-OU21</f>
        <v>0</v>
      </c>
      <c r="OW21" s="20" t="n">
        <f aca="false">IF(AND(HU21=0,GB21=1,OV21&gt;0),MIN(OV21,GC21),0)</f>
        <v>0</v>
      </c>
      <c r="OX21" s="20" t="n">
        <f aca="false">OV21-OW21</f>
        <v>0</v>
      </c>
      <c r="OY21" s="20" t="n">
        <f aca="false">IF(AND(HU21=0,FR21=1,OX21&gt;0),MIN(OX21,FS21),0)</f>
        <v>0</v>
      </c>
      <c r="OZ21" s="20" t="n">
        <f aca="false">OX21-OY21</f>
        <v>0</v>
      </c>
      <c r="PA21" s="20" t="n">
        <f aca="false">IF(AND(HU21=0,FH21=1,OZ21&gt;0),MIN(OZ21,FI21),0)</f>
        <v>0</v>
      </c>
      <c r="PB21" s="20" t="n">
        <f aca="false">OZ21-PA21</f>
        <v>0</v>
      </c>
      <c r="PC21" s="20" t="n">
        <f aca="false">IF(AND(HU21=0,EX21=1,PB21&gt;0),MIN(PB21,EY21),0)</f>
        <v>0</v>
      </c>
      <c r="PD21" s="20" t="n">
        <f aca="false">PB21-PC21</f>
        <v>0</v>
      </c>
      <c r="PE21" s="20" t="n">
        <f aca="false">IF(AND(HU21=0,EN21=1,PD21&gt;0),MIN(PD21,EO21),0)</f>
        <v>0</v>
      </c>
      <c r="PF21" s="20" t="n">
        <f aca="false">PD21-PE21</f>
        <v>0</v>
      </c>
      <c r="PG21" s="20" t="n">
        <f aca="false">IF(AND(HU21=0,ED21=1,PF21&gt;0),MIN(PF21,EE21),0)</f>
        <v>0</v>
      </c>
      <c r="PH21" s="20" t="n">
        <f aca="false">PF21-PG21</f>
        <v>0</v>
      </c>
      <c r="PI21" s="20" t="n">
        <f aca="false">IF(AND(HU21=0,DT21=1,PH21&gt;0),MIN(PH21,DU21),0)</f>
        <v>0</v>
      </c>
      <c r="PJ21" s="20" t="n">
        <f aca="false">PH21-PI21</f>
        <v>0</v>
      </c>
      <c r="PK21" s="20" t="n">
        <f aca="false">IF(AND(HU21=0,DJ21=1,PJ21&gt;0),MIN(PJ21,DK21),0)</f>
        <v>0</v>
      </c>
      <c r="PL21" s="20" t="n">
        <f aca="false">PJ21-PK21</f>
        <v>0</v>
      </c>
      <c r="PM21" s="20" t="n">
        <f aca="false">IF(AND(HU21=0,CZ21=1,PL21&gt;0),MIN(PL21,DA21),0)</f>
        <v>0</v>
      </c>
      <c r="PN21" s="20" t="n">
        <f aca="false">PL21-PM21</f>
        <v>0</v>
      </c>
      <c r="PO21" s="20" t="n">
        <f aca="false">IF(AND(HU21=0,CP21=1,PN21&gt;0),MIN(PN21,CQ21),0)</f>
        <v>0</v>
      </c>
      <c r="PP21" s="20" t="n">
        <f aca="false">PN21-PO21</f>
        <v>0</v>
      </c>
      <c r="PQ21" s="20" t="n">
        <f aca="false">IF(AND(HU21=0,CF21=1,PP21&gt;0),MIN(PP21,CG21),0)</f>
        <v>0</v>
      </c>
      <c r="PR21" s="20" t="n">
        <f aca="false">PP21-PQ21</f>
        <v>0</v>
      </c>
      <c r="PS21" s="20" t="n">
        <f aca="false">IF(AND(HU21=0,BV21=1,PR21&gt;0),MIN(PR21,BW21),0)</f>
        <v>0</v>
      </c>
      <c r="PT21" s="20" t="n">
        <f aca="false">PR21-PS21</f>
        <v>0</v>
      </c>
      <c r="PU21" s="20" t="n">
        <f aca="false">IF(AND(HU21=0,BL21=1,PT21&gt;0),MIN(PT21,BM21),0)</f>
        <v>0</v>
      </c>
      <c r="PV21" s="20" t="n">
        <f aca="false">PT21-PU21</f>
        <v>0</v>
      </c>
      <c r="PW21" s="20" t="n">
        <f aca="false">IF(AND(HU21=0,BB21=1,PV21&gt;0),MIN(PV21,BC21),0)</f>
        <v>0</v>
      </c>
      <c r="PX21" s="20" t="n">
        <f aca="false">PV21-PW21</f>
        <v>0</v>
      </c>
      <c r="PY21" s="20" t="n">
        <f aca="false">IF(AND(HU21=0,AR21=1,PX21&gt;0),MIN(PX21,AS21),0)</f>
        <v>0</v>
      </c>
      <c r="PZ21" s="20" t="n">
        <f aca="false">PX21-PY21</f>
        <v>0</v>
      </c>
      <c r="QA21" s="20" t="n">
        <f aca="false">IF(AND(HU21=0,AH21=1,PZ21&gt;0),MIN(PZ21,AI21),0)</f>
        <v>0</v>
      </c>
      <c r="QB21" s="20" t="n">
        <f aca="false">PZ21-QA21</f>
        <v>0</v>
      </c>
      <c r="QC21" s="20" t="n">
        <f aca="false">IF(AND(HU21=0,W21=1,QB21&gt;0),MIN(QB21,X21),0)</f>
        <v>0</v>
      </c>
      <c r="QD21" s="20" t="n">
        <f aca="false">QB21-QC21</f>
        <v>0</v>
      </c>
      <c r="QE21" s="20" t="n">
        <f aca="false">IF(HU21=0,QD21,0)</f>
        <v>0</v>
      </c>
      <c r="QF21" s="20" t="n">
        <f aca="false">OM21+OO21+QC21+QA21+PY21+PW21+PU21+PS21+PQ21+PO21+PM21+PK21+PI21+PG21+PE21+PC21+PA21+OY21+OW21+OU21+OS21+OQ21</f>
        <v>0</v>
      </c>
      <c r="QG21" s="20" t="n">
        <f aca="false">IF(HU21=1,HK21+OJ21+OI21+IF(G21=1,0,OK21),HK21-OM21)</f>
        <v>8142.94291073449</v>
      </c>
      <c r="QH21" s="20" t="n">
        <f aca="false">HL21-OO21</f>
        <v>12694.5670289821</v>
      </c>
      <c r="QI21" s="20" t="n">
        <f aca="false">IF(HU21=1,IF(G21=1,ID21+IE21,HS21),0)</f>
        <v>7761.63978272278</v>
      </c>
      <c r="QJ21" s="20" t="n">
        <f aca="false">IF(HU21=1,IF(G21=1,HS21-ID21-IE21,0),0)</f>
        <v>7915.06364214909</v>
      </c>
      <c r="QK21" s="57" t="n">
        <f aca="false">'Plan holdings'!BM21</f>
        <v>8387.29312159779</v>
      </c>
      <c r="QL21" s="20" t="n">
        <f aca="false">QH21*(1+AS_Cash)</f>
        <v>12821.512699272</v>
      </c>
      <c r="QM21" s="20" t="n">
        <f aca="false">IF(W21=1,IF(HU21=1,II21+IL21,X21-QC21)*(1+Slot1_Rate),0)</f>
        <v>0</v>
      </c>
      <c r="QN21" s="20" t="n">
        <f aca="false">IF(AND(HU21=1,W21=1),(IH21+IL21)/F21,0)</f>
        <v>0</v>
      </c>
      <c r="QO21" s="20" t="n">
        <f aca="false">IF(B21=0,IH21+IL21,0)</f>
        <v>0</v>
      </c>
      <c r="QP21" s="20" t="n">
        <f aca="false">IF(B21=0,IF(HU21=1,IJ21,IK21),0)</f>
        <v>0</v>
      </c>
      <c r="QQ21" s="20" t="n">
        <f aca="false">IF(AH21=1,IF(HU21=1,IQ21+IT21,AI21-QA21)*(1+Slot2_Rate),0)</f>
        <v>0</v>
      </c>
      <c r="QR21" s="20" t="n">
        <f aca="false">IF(AND(HU21=1,AH21=1),(IP21+IT21)/F21,0)</f>
        <v>0</v>
      </c>
      <c r="QS21" s="20" t="n">
        <f aca="false">IF(B21=0,IP21+IT21,0)</f>
        <v>0</v>
      </c>
      <c r="QT21" s="20" t="n">
        <f aca="false">IF(B21=0,IF(HU21=1,IR21,IS21),0)</f>
        <v>0</v>
      </c>
      <c r="QU21" s="20" t="n">
        <f aca="false">IF(AR21=1,IF(HU21=1,IY21+JB21,AS21-PY21)*(1+Slot3_Rate),0)</f>
        <v>0</v>
      </c>
      <c r="QV21" s="20" t="n">
        <f aca="false">IF(AND(HU21=1,AR21=1),(IX21+JB21)/F21,0)</f>
        <v>0</v>
      </c>
      <c r="QW21" s="20" t="n">
        <f aca="false">IF(B21=0,IX21+JB21,0)</f>
        <v>0</v>
      </c>
      <c r="QX21" s="20" t="n">
        <f aca="false">IF(B21=0,IF(HU21=1,IZ21,JA21),0)</f>
        <v>0</v>
      </c>
      <c r="QY21" s="20" t="n">
        <f aca="false">IF(BB21=1,IF(HU21=1,JG21+JJ21,BC21-PW21)*(1+Slot4_Rate),0)</f>
        <v>21049.9943684556</v>
      </c>
      <c r="QZ21" s="20" t="n">
        <f aca="false">IF(AND(HU21=1,BB21=1),(JF21+JJ21)/F21,0)</f>
        <v>3988.16470119031</v>
      </c>
      <c r="RA21" s="20" t="n">
        <f aca="false">IF(B21=0,JF21+JJ21,0)</f>
        <v>0</v>
      </c>
      <c r="RB21" s="20" t="n">
        <f aca="false">IF(B21=0,IF(HU21=1,JH21,JI21),0)</f>
        <v>0</v>
      </c>
      <c r="RC21" s="20" t="n">
        <f aca="false">IF(BL21=1,IF(HU21=1,JO21+JR21,BM21-PU21)*(1+Slot5_Rate),0)</f>
        <v>0</v>
      </c>
      <c r="RD21" s="20" t="n">
        <f aca="false">IF(AND(HU21=1,BL21=1),(JN21+JR21)/F21,0)</f>
        <v>0</v>
      </c>
      <c r="RE21" s="20" t="n">
        <f aca="false">IF(B21=0,JN21+JR21,0)</f>
        <v>0</v>
      </c>
      <c r="RF21" s="20" t="n">
        <f aca="false">IF(B21=0,IF(HU21=1,JP21,JQ21),0)</f>
        <v>0</v>
      </c>
      <c r="RG21" s="20" t="n">
        <f aca="false">IF(BV21=1,IF(HU21=1,JW21+JZ21,BW21-PS21)*(1+Slot6_Rate),0)</f>
        <v>0</v>
      </c>
      <c r="RH21" s="20" t="n">
        <f aca="false">IF(AND(HU21=1,BV21=1),(JV21+JZ21)/F21,0)</f>
        <v>0</v>
      </c>
      <c r="RI21" s="20" t="n">
        <f aca="false">IF(B21=0,JV21+JZ21,0)</f>
        <v>0</v>
      </c>
      <c r="RJ21" s="20" t="n">
        <f aca="false">IF(B21=0,IF(HU21=1,JX21,JY21),0)</f>
        <v>0</v>
      </c>
      <c r="RK21" s="20" t="n">
        <f aca="false">IF(CF21=1,IF(HU21=1,KE21+KH21,CG21-PQ21)*(1+Slot7_Rate),0)</f>
        <v>0</v>
      </c>
      <c r="RL21" s="20" t="n">
        <f aca="false">IF(AND(HU21=1,CF21=1),(KD21+KH21)/F21,0)</f>
        <v>0</v>
      </c>
      <c r="RM21" s="20" t="n">
        <f aca="false">IF(B21=0,KD21+KH21,0)</f>
        <v>0</v>
      </c>
      <c r="RN21" s="20" t="n">
        <f aca="false">IF(B21=0,IF(HU21=1,KF21,KG21),0)</f>
        <v>0</v>
      </c>
      <c r="RO21" s="20" t="n">
        <f aca="false">IF(CP21=1,IF(HU21=1,KM21+KP21,CQ21-PO21)*(1+Slot8_Rate),0)</f>
        <v>0</v>
      </c>
      <c r="RP21" s="20" t="n">
        <f aca="false">IF(AND(HU21=1,CP21=1),(KL21+KP21)/F21,0)</f>
        <v>0</v>
      </c>
      <c r="RQ21" s="20" t="n">
        <f aca="false">IF(B21=0,KL21+KP21,0)</f>
        <v>0</v>
      </c>
      <c r="RR21" s="20" t="n">
        <f aca="false">IF(B21=0,IF(HU21=1,KN21,KO21),0)</f>
        <v>0</v>
      </c>
      <c r="RS21" s="20" t="n">
        <f aca="false">IF(CZ21=1,IF(HU21=1,KU21+KX21,DA21-PM21)*(1+Slot9_Rate),0)</f>
        <v>0</v>
      </c>
      <c r="RT21" s="20" t="n">
        <f aca="false">IF(AND(HU21=1,CZ21=1),(KT21+KX21)/F21,0)</f>
        <v>0</v>
      </c>
      <c r="RU21" s="20" t="n">
        <f aca="false">IF(B21=0,KT21+KX21,0)</f>
        <v>0</v>
      </c>
      <c r="RV21" s="20" t="n">
        <f aca="false">IF(B21=0,IF(HU21=1,KV21,KW21),0)</f>
        <v>0</v>
      </c>
      <c r="RW21" s="20" t="n">
        <f aca="false">IF(DJ21=1,IF(HU21=1,LC21+LF21,DK21-PK21)*(1+Slot10_Rate),0)</f>
        <v>0</v>
      </c>
      <c r="RX21" s="20" t="n">
        <f aca="false">IF(AND(HU21=1,DJ21=1),(LB21+LF21)/F21,0)</f>
        <v>0</v>
      </c>
      <c r="RY21" s="20" t="n">
        <f aca="false">IF(B21=0,LB21+LF21,0)</f>
        <v>0</v>
      </c>
      <c r="RZ21" s="20" t="n">
        <f aca="false">IF(B21=0,IF(HU21=1,LD21,LE21),0)</f>
        <v>0</v>
      </c>
      <c r="SA21" s="20" t="n">
        <f aca="false">IF(DT21=1,IF(HU21=1,LK21+LN21,DU21-PI21)*(1+Slot11_Rate),0)</f>
        <v>0</v>
      </c>
      <c r="SB21" s="20" t="n">
        <f aca="false">IF(AND(HU21=1,DT21=1),(LJ21+LN21)/F21,0)</f>
        <v>0</v>
      </c>
      <c r="SC21" s="20" t="n">
        <f aca="false">IF(B21=0,LJ21+LN21,0)</f>
        <v>0</v>
      </c>
      <c r="SD21" s="20" t="n">
        <f aca="false">IF(B21=0,IF(HU21=1,LL21,LM21),0)</f>
        <v>0</v>
      </c>
      <c r="SE21" s="20" t="n">
        <f aca="false">IF(ED21=1,IF(HU21=1,LS21+LV21,EE21-PG21)*(1+Slot12_Rate),0)</f>
        <v>0</v>
      </c>
      <c r="SF21" s="20" t="n">
        <f aca="false">IF(AND(HU21=1,ED21=1),(LR21+LV21)/F21,0)</f>
        <v>0</v>
      </c>
      <c r="SG21" s="20" t="n">
        <f aca="false">IF(B21=0,LR21+LV21,0)</f>
        <v>0</v>
      </c>
      <c r="SH21" s="20" t="n">
        <f aca="false">IF(B21=0,IF(HU21=1,LT21,LU21),0)</f>
        <v>0</v>
      </c>
      <c r="SI21" s="20" t="n">
        <f aca="false">IF(EN21=1,IF(HU21=1,MA21+MD21,EO21-PE21)*(1+Slot13_Rate),0)</f>
        <v>0</v>
      </c>
      <c r="SJ21" s="20" t="n">
        <f aca="false">IF(AND(HU21=1,EN21=1),(LZ21+MD21)/F21,0)</f>
        <v>0</v>
      </c>
      <c r="SK21" s="20" t="n">
        <f aca="false">IF(B21=0,LZ21+MD21,0)</f>
        <v>0</v>
      </c>
      <c r="SL21" s="20" t="n">
        <f aca="false">IF(B21=0,IF(HU21=1,MB21,MC21),0)</f>
        <v>0</v>
      </c>
      <c r="SM21" s="20" t="n">
        <f aca="false">IF(EX21=1,IF(HU21=1,MI21+ML21,EY21-PC21)*(1+Slot14_Rate),0)</f>
        <v>0</v>
      </c>
      <c r="SN21" s="20" t="n">
        <f aca="false">IF(AND(HU21=1,EX21=1),(MH21+ML21)/F21,0)</f>
        <v>0</v>
      </c>
      <c r="SO21" s="20" t="n">
        <f aca="false">IF(B21=0,MH21+ML21,0)</f>
        <v>0</v>
      </c>
      <c r="SP21" s="20" t="n">
        <f aca="false">IF(B21=0,IF(HU21=1,MJ21,MK21),0)</f>
        <v>0</v>
      </c>
      <c r="SQ21" s="20" t="n">
        <f aca="false">IF(FH21=1,IF(HU21=1,MQ21+MT21,FI21-PA21)*(1+Slot15_Rate),0)</f>
        <v>0</v>
      </c>
      <c r="SR21" s="20" t="n">
        <f aca="false">IF(AND(HU21=1,FH21=1),(MP21+MT21)/F21,0)</f>
        <v>0</v>
      </c>
      <c r="SS21" s="20" t="n">
        <f aca="false">IF(B21=0,MP21+MT21,0)</f>
        <v>0</v>
      </c>
      <c r="ST21" s="20" t="n">
        <f aca="false">IF(B21=0,IF(HU21=1,MR21,MS21),0)</f>
        <v>0</v>
      </c>
      <c r="SU21" s="20" t="n">
        <f aca="false">IF(FR21=1,IF(HU21=1,MY21+NB21,FS21-OY21)*(1+Slot16_Rate),0)</f>
        <v>0</v>
      </c>
      <c r="SV21" s="20" t="n">
        <f aca="false">IF(AND(HU21=1,FR21=1),(MX21+NB21)/F21,0)</f>
        <v>0</v>
      </c>
      <c r="SW21" s="20" t="n">
        <f aca="false">IF(B21=0,MX21+NB21,0)</f>
        <v>0</v>
      </c>
      <c r="SX21" s="20" t="n">
        <f aca="false">IF(B21=0,IF(HU21=1,MZ21,NA21),0)</f>
        <v>0</v>
      </c>
      <c r="SY21" s="20" t="n">
        <f aca="false">IF(GB21=1,IF(HU21=1,NG21+NJ21,GC21-OW21)*(1+Slot17_Rate),0)</f>
        <v>0</v>
      </c>
      <c r="SZ21" s="20" t="n">
        <f aca="false">IF(AND(HU21=1,GB21=1),(NF21+NJ21)/F21,0)</f>
        <v>0</v>
      </c>
      <c r="TA21" s="20" t="n">
        <f aca="false">IF(B21=0,NF21+NJ21,0)</f>
        <v>0</v>
      </c>
      <c r="TB21" s="20" t="n">
        <f aca="false">IF(B21=0,IF(HU21=1,NH21,NI21),0)</f>
        <v>0</v>
      </c>
      <c r="TC21" s="20" t="n">
        <f aca="false">IF(GL21=1,IF(HU21=1,NO21+NR21,GM21-OU21)*(1+Slot18_Rate),0)</f>
        <v>0</v>
      </c>
      <c r="TD21" s="20" t="n">
        <f aca="false">IF(AND(HU21=1,GL21=1),(NN21+NR21)/F21,0)</f>
        <v>0</v>
      </c>
      <c r="TE21" s="20" t="n">
        <f aca="false">IF(B21=0,NN21+NR21,0)</f>
        <v>0</v>
      </c>
      <c r="TF21" s="20" t="n">
        <f aca="false">IF(B21=0,IF(HU21=1,NP21,NQ21),0)</f>
        <v>0</v>
      </c>
      <c r="TG21" s="20" t="n">
        <f aca="false">IF(GV21=1,IF(HU21=1,NW21+NZ21,GW21-OS21)*(1+Slot19_Rate),0)</f>
        <v>0</v>
      </c>
      <c r="TH21" s="20" t="n">
        <f aca="false">IF(AND(HU21=1,GV21=1),(NV21+NZ21)/F21,0)</f>
        <v>0</v>
      </c>
      <c r="TI21" s="20" t="n">
        <f aca="false">IF(B21=0,NV21+NZ21,0)</f>
        <v>0</v>
      </c>
      <c r="TJ21" s="20" t="n">
        <f aca="false">IF(B21=0,IF(HU21=1,NX21,NY21),0)</f>
        <v>0</v>
      </c>
      <c r="TK21" s="20" t="n">
        <f aca="false">IF(HF21=1,IF(HU21=1,OE21+OH21,HG21-OQ21)*(1+Slot20_Rate),0)</f>
        <v>0</v>
      </c>
      <c r="TL21" s="20" t="n">
        <f aca="false">IF(AND(HU21=1,HF21=1),(OD21+OH21)/F21,0)</f>
        <v>0</v>
      </c>
      <c r="TM21" s="20" t="n">
        <f aca="false">IF(B21=0,OD21+OH21,0)</f>
        <v>0</v>
      </c>
      <c r="TN21" s="20" t="n">
        <f aca="false">IF(B21=0,IF(HU21=1,OF21,OG21),0)</f>
        <v>0</v>
      </c>
      <c r="TO21" s="20" t="n">
        <f aca="false">QK21+QL21+QM21+QQ21+QU21+QY21+RC21+RG21+RK21+RO21+RS21+RW21+SA21+SE21+SI21+SM21+SQ21+SU21+SY21+TC21+TG21+TK21</f>
        <v>42258.8001893254</v>
      </c>
      <c r="TP21" s="20" t="n">
        <f aca="false">QE21+HP21</f>
        <v>0</v>
      </c>
      <c r="TQ21" s="20" t="n">
        <f aca="false">I21+S21</f>
        <v>72372.2983704209</v>
      </c>
      <c r="TR21" s="20" t="n">
        <f aca="false">1-G21</f>
        <v>0</v>
      </c>
      <c r="TS21" s="20" t="n">
        <f aca="false">IF(AND(RG_Exists=1,G21=0,C21=1),I21,0)</f>
        <v>0</v>
      </c>
      <c r="TT21" s="20" t="n">
        <f aca="false">IF(AND(RG_Exists=1,G21=0,C21=1),I21-MIN(QE21,I21),0)</f>
        <v>0</v>
      </c>
      <c r="TU21" s="20" t="n">
        <f aca="false">'Plan pay &amp; tax'!AD247</f>
        <v>274511.796210019</v>
      </c>
      <c r="TV21" s="20" t="n">
        <f aca="false">IF(AND(C21=1,QE21&gt;MAX(PR_Short1,TQ21*PR_Short2)),1,0)</f>
        <v>0</v>
      </c>
      <c r="TW21" s="20" t="n">
        <f aca="false">MIN(H21,I21+S21)</f>
        <v>72372.2983704209</v>
      </c>
      <c r="TX21" s="20" t="n">
        <f aca="false">QF21+MAX(0,HQ21-HP21)</f>
        <v>0</v>
      </c>
      <c r="TY21" s="20" t="n">
        <f aca="false">QE21+HP21</f>
        <v>0</v>
      </c>
      <c r="TZ21" s="20" t="n">
        <f aca="false">IF(AND(C21=1,TY21&gt;PR_MinShort),1,0)</f>
        <v>0</v>
      </c>
      <c r="UA21" s="20" t="n">
        <f aca="false">IF(AND(C21=1,TZ21=0,TX21&gt;PR_MinShort),1,0)</f>
        <v>0</v>
      </c>
      <c r="UB21" s="20" t="n">
        <f aca="false">IF(AND(C21=1,QE21&gt;PR_MinShort),1,0)</f>
        <v>0</v>
      </c>
      <c r="UC21" s="20" t="n">
        <f aca="false">IF(AND(C21=1,QF21&gt;1,UJ21=0),1,0)</f>
        <v>0</v>
      </c>
      <c r="UD21" s="20" t="str">
        <f aca="false">IF(C21=0,"",IF(UJ21=1,"Gap to plan for: short "&amp;"€"&amp;TEXT(ROUND(TP21,0),"#,##0"),IF(QF21&gt;1,"Using savings","Comfortable")))</f>
        <v>Comfortable</v>
      </c>
      <c r="UE21" s="20" t="n">
        <f aca="false">IF(AND(INT(D21/10)*10=90,B21&gt;0),80,INT(D21/10)*10)</f>
        <v>50</v>
      </c>
      <c r="UF21" s="20" t="n">
        <f aca="false">IF(B21=0,1,IF(UE21&lt;&gt;UE20,UF20+1,UF20))</f>
        <v>3</v>
      </c>
      <c r="UG21" s="20" t="n">
        <f aca="false">IF(AND(C21=1,G21=1,QE21&gt;MAX(PR_Short1,TQ21*PR_Short2)),1,0)</f>
        <v>0</v>
      </c>
      <c r="UH21" s="20" t="n">
        <f aca="false">TR21*TV21</f>
        <v>0</v>
      </c>
      <c r="UI21" s="20" t="n">
        <f aca="false">IF(AND(V21=1,Slot1_PctLow=1),1,0)+IF(AND(AG21=1,Slot2_PctLow=1),1,0)+IF(AND(AQ21=1,Slot3_PctLow=1),1,0)+IF(AND(BA21=1,Slot4_PctLow=1),1,0)+IF(AND(BK21=1,Slot5_PctLow=1),1,0)+IF(AND(BU21=1,Slot6_PctLow=1),1,0)+IF(AND(CE21=1,Slot7_PctLow=1),1,0)+IF(AND(CO21=1,Slot8_PctLow=1),1,0)+IF(AND(CY21=1,Slot9_PctLow=1),1,0)+IF(AND(DI21=1,Slot10_PctLow=1),1,0)+IF(AND(DS21=1,Slot11_PctLow=1),1,0)+IF(AND(EC21=1,Slot12_PctLow=1),1,0)+IF(AND(EM21=1,Slot13_PctLow=1),1,0)+IF(AND(EW21=1,Slot14_PctLow=1),1,0)+IF(AND(FG21=1,Slot15_PctLow=1),1,0)+IF(AND(FQ21=1,Slot16_PctLow=1),1,0)+IF(AND(GA21=1,Slot17_PctLow=1),1,0)+IF(AND(GK21=1,Slot18_PctLow=1),1,0)+IF(AND(GU21=1,Slot19_PctLow=1),1,0)+IF(AND(HE21=1,Slot20_PctLow=1),1,0)</f>
        <v>0</v>
      </c>
      <c r="UJ21" s="20" t="n">
        <f aca="false">IF(C21=1,IF(OR(TV21=1,UI21&gt;0),1,0),0)</f>
        <v>0</v>
      </c>
      <c r="UK21" s="20" t="n">
        <f aca="false">Z21+AK21+AU21+BE21+BO21+BY21+CI21+CS21+DC21+DM21+DW21+EG21+EQ21+FA21+FK21+FU21+GE21+GO21+GY21+HI21+OM21</f>
        <v>0</v>
      </c>
      <c r="UL21" s="20" t="n">
        <f aca="false">V21*IF(Slot1_SpendLike=1,X21-Y21,IF(Slot1_PotFree=1,X21,0))+AG21*IF(Slot2_SpendLike=1,AI21-AJ21,IF(Slot2_PotFree=1,AI21,0))+AQ21*IF(Slot3_SpendLike=1,AS21-AT21,IF(Slot3_PotFree=1,AS21,0))+BA21*IF(Slot4_SpendLike=1,BC21-BD21,IF(Slot4_PotFree=1,BC21,0))+BK21*IF(Slot5_SpendLike=1,BM21-BN21,IF(Slot5_PotFree=1,BM21,0))+BU21*IF(Slot6_SpendLike=1,BW21-BX21,IF(Slot6_PotFree=1,BW21,0))+CE21*IF(Slot7_SpendLike=1,CG21-CH21,IF(Slot7_PotFree=1,CG21,0))+CO21*IF(Slot8_SpendLike=1,CQ21-CR21,IF(Slot8_PotFree=1,CQ21,0))+CY21*IF(Slot9_SpendLike=1,DA21-DB21,IF(Slot9_PotFree=1,DA21,0))+DI21*IF(Slot10_SpendLike=1,DK21-DL21,IF(Slot10_PotFree=1,DK21,0))+DS21*IF(Slot11_SpendLike=1,DU21-DV21,IF(Slot11_PotFree=1,DU21,0))+EC21*IF(Slot12_SpendLike=1,EE21-EF21,IF(Slot12_PotFree=1,EE21,0))+EM21*IF(Slot13_SpendLike=1,EO21-EP21,IF(Slot13_PotFree=1,EO21,0))+EW21*IF(Slot14_SpendLike=1,EY21-EZ21,IF(Slot14_PotFree=1,EY21,0))+FG21*IF(Slot15_SpendLike=1,FI21-FJ21,IF(Slot15_PotFree=1,FI21,0))+FQ21*IF(Slot16_SpendLike=1,FS21-FT21,IF(Slot16_PotFree=1,FS21,0))+GA21*IF(Slot17_SpendLike=1,GC21-GD21,IF(Slot17_PotFree=1,GC21,0))+GK21*IF(Slot18_SpendLike=1,GM21-GN21,IF(Slot18_PotFree=1,GM21,0))+GU21*IF(Slot19_SpendLike=1,GW21-GX21,IF(Slot19_PotFree=1,GW21,0))+HE21*IF(Slot20_SpendLike=1,HG21-HH21,IF(Slot20_PotFree=1,HG21,0))</f>
        <v>0</v>
      </c>
      <c r="UM21" s="20" t="n">
        <f aca="false">QG21-T21+UK21-UL21</f>
        <v>2602.52348192121</v>
      </c>
      <c r="UN21" s="20" t="n">
        <f aca="false">IF(OR(UN20=1,AND(In_homeUse="Yes, I'd downsize",In_downAge&gt;0,D21=In_downAge,OR(In_home="Own outright",In_home="Own with mortgage"),In_homeValue&gt;0)),1,0)</f>
        <v>0</v>
      </c>
    </row>
    <row r="22" customFormat="false" ht="15" hidden="false" customHeight="true" outlineLevel="0" collapsed="false">
      <c r="B22" s="20" t="n">
        <v>14</v>
      </c>
      <c r="C22" s="20" t="n">
        <f aca="false">IF(B22&lt;=F_N,1,0)</f>
        <v>1</v>
      </c>
      <c r="D22" s="20" t="n">
        <f aca="false">'Plan pay &amp; tax'!C248</f>
        <v>52</v>
      </c>
      <c r="E22" s="20" t="str">
        <f aca="false">IF($C22=1,"Income tax "&amp;TEXT(N('Plan pay &amp; tax'!BK248),"#,##0")&amp;"; USC "&amp;TEXT(N('Plan pay &amp; tax'!BM248)+N('Plan pay &amp; tax'!BO248),"#,##0")&amp;"; PRSI "&amp;TEXT(N('Plan pay &amp; tax'!BP248)+N('Plan pay &amp; tax'!BQ248),"#,##0")&amp;IF(N('Plan holdings'!BO22)&gt;=0.5,"; DIRT "&amp;TEXT(('Plan holdings'!BO22)/$F22,"#,##0")&amp;" (already taken from the interest earned)","")&amp;IF(N('Plan holdings'!BP22)&gt;=0.5,"; exit tax at an 8-year anniversary "&amp;TEXT(('Plan holdings'!BP22)/$F22,"#,##0"),"")&amp;IF(N('Plan holdings'!BN22)&gt;=0.5,"; tax on assets sold (exit tax or capital gains tax) "&amp;TEXT(('Plan holdings'!BN22)/$F22,"#,##0"),"")&amp;IF(N('Plan pay &amp; tax'!X248)-N('Plan pay &amp; tax'!Y248)&gt;=0.5,"; tax on the pension lump sum "&amp;TEXT(('Plan pay &amp; tax'!X248-'Plan pay &amp; tax'!Y248)/$F22,"#,##0"),"")&amp;IF(N('Plan pay &amp; tax'!V248)&gt;=0.5,"; chargeable excess tax on the pension "&amp;TEXT(('Plan pay &amp; tax'!V248)/$F22,"#,##0"),"")&amp;".","")</f>
        <v>Income tax 13,409; USC 1,852; PRSI 4,310; DIRT 72 (already taken from the interest earned).</v>
      </c>
      <c r="F22" s="50" t="n">
        <f aca="false">'Plan pay &amp; tax'!E248</f>
        <v>1.31947876306287</v>
      </c>
      <c r="G22" s="20" t="n">
        <f aca="false">'Plan pay &amp; tax'!G248</f>
        <v>1</v>
      </c>
      <c r="H22" s="20" t="n">
        <f aca="false">'Plan pay &amp; tax'!BT248-'Plan pay &amp; tax'!BS248-'Plan pay &amp; tax'!R248</f>
        <v>90464.7716433524</v>
      </c>
      <c r="I22" s="20" t="n">
        <f aca="false">IF(G22=1,F_CostsM*12,IF(RG_Exists=1,RG_Amount,F_CostsM*12*AS_RetireSpend))*F22+F_OneOffY*F22</f>
        <v>59376.5443378293</v>
      </c>
      <c r="J22" s="20" t="n">
        <f aca="false">IF(UN22=1,0,HR21)</f>
        <v>86732.8986657339</v>
      </c>
      <c r="K22" s="20" t="n">
        <f aca="false">IF(J22&gt;1,'Plan debt months'!AC22,0)</f>
        <v>14160</v>
      </c>
      <c r="L22" s="20" t="n">
        <f aca="false">IF(J22&gt;1,'Plan debt months'!AB22,J22)</f>
        <v>75719.1166913375</v>
      </c>
      <c r="M22" s="20" t="n">
        <f aca="false">O21</f>
        <v>0</v>
      </c>
      <c r="N22" s="20" t="n">
        <f aca="false">IF(M22&gt;1,'Plan debt months'!BD22,0)</f>
        <v>0</v>
      </c>
      <c r="O22" s="20" t="n">
        <f aca="false">IF(M22&gt;1,'Plan debt months'!BC22,M22)</f>
        <v>0</v>
      </c>
      <c r="P22" s="20" t="n">
        <f aca="false">R21</f>
        <v>0</v>
      </c>
      <c r="Q22" s="20" t="n">
        <f aca="false">IF(P22&gt;1,'Plan debt months'!CE22,0)</f>
        <v>0</v>
      </c>
      <c r="R22" s="20" t="n">
        <f aca="false">IF(P22&gt;1,'Plan debt months'!CD22,P22)</f>
        <v>0</v>
      </c>
      <c r="S22" s="20" t="n">
        <f aca="false">K22+N22+Q22</f>
        <v>14160</v>
      </c>
      <c r="T22" s="57" t="n">
        <f aca="false">'Plan holdings'!Y22</f>
        <v>8274.64675118861</v>
      </c>
      <c r="U22" s="57" t="n">
        <f aca="false">'Plan holdings'!BM21</f>
        <v>8387.29312159779</v>
      </c>
      <c r="V22" s="20" t="n">
        <f aca="false">IF(AND(Slot1_On=1,D22=Slot1_Age),1,0)</f>
        <v>0</v>
      </c>
      <c r="W22" s="20" t="n">
        <f aca="false">IF(AND(Slot1_On=1,Slot1_Age&gt;D22),1,0)</f>
        <v>0</v>
      </c>
      <c r="X22" s="20" t="n">
        <f aca="false">QM21</f>
        <v>0</v>
      </c>
      <c r="Y22" s="20" t="n">
        <f aca="false">V22*MIN(Slot1_Cost,X22)</f>
        <v>0</v>
      </c>
      <c r="Z22" s="20" t="n">
        <f aca="false">V22*Slot1_SpendLike*MIN(Slot1_Cost-Y22,T22)</f>
        <v>0</v>
      </c>
      <c r="AA22" s="20" t="n">
        <f aca="false">Y22+Z22</f>
        <v>0</v>
      </c>
      <c r="AB22" s="20" t="n">
        <f aca="false">T22-Z22+V22*IF(Slot1_SpendLike=1,X22-Y22,IF(Slot1_PotFree=1,X22,0))</f>
        <v>8274.64675118861</v>
      </c>
      <c r="AC22" s="20" t="n">
        <f aca="false">AF22+V22*Slot1_BufPot*X22</f>
        <v>12821.512699272</v>
      </c>
      <c r="AD22" s="20" t="n">
        <f aca="false">IF(AND(V22=1,Slot1_IsMfree=1),IF(AA22&gt;=Slot1_Cost-1,0,MAX(0,L22-AA22)),L22)</f>
        <v>75719.1166913375</v>
      </c>
      <c r="AE22" s="20" t="n">
        <f aca="false">V22*(Slot1_Cost-AA22)</f>
        <v>0</v>
      </c>
      <c r="AF22" s="20" t="n">
        <f aca="false">QL21</f>
        <v>12821.512699272</v>
      </c>
      <c r="AG22" s="20" t="n">
        <f aca="false">IF(AND(Slot2_On=1,D22=Slot2_Age),1,0)</f>
        <v>0</v>
      </c>
      <c r="AH22" s="20" t="n">
        <f aca="false">IF(AND(Slot2_On=1,Slot2_Age&gt;D22),1,0)</f>
        <v>0</v>
      </c>
      <c r="AI22" s="20" t="n">
        <f aca="false">QQ21</f>
        <v>0</v>
      </c>
      <c r="AJ22" s="20" t="n">
        <f aca="false">AG22*MIN(Slot2_Cost,AI22)</f>
        <v>0</v>
      </c>
      <c r="AK22" s="20" t="n">
        <f aca="false">AG22*Slot2_SpendLike*MIN(Slot2_Cost-AJ22,AB22)</f>
        <v>0</v>
      </c>
      <c r="AL22" s="20" t="n">
        <f aca="false">AJ22+AK22</f>
        <v>0</v>
      </c>
      <c r="AM22" s="20" t="n">
        <f aca="false">AB22-AK22+AG22*IF(Slot2_SpendLike=1,AI22-AJ22,IF(Slot2_PotFree=1,AI22,0))</f>
        <v>8274.64675118861</v>
      </c>
      <c r="AN22" s="20" t="n">
        <f aca="false">AC22+AG22*Slot2_BufPot*AI22</f>
        <v>12821.512699272</v>
      </c>
      <c r="AO22" s="20" t="n">
        <f aca="false">IF(AND(AG22=1,Slot2_IsMfree=1),IF(AL22&gt;=Slot2_Cost-1,0,MAX(0,AD22-AL22)),AD22)</f>
        <v>75719.1166913375</v>
      </c>
      <c r="AP22" s="20" t="n">
        <f aca="false">AG22*(Slot2_Cost-AL22)</f>
        <v>0</v>
      </c>
      <c r="AQ22" s="20" t="n">
        <f aca="false">IF(AND(Slot3_On=1,D22=Slot3_Age),1,0)</f>
        <v>0</v>
      </c>
      <c r="AR22" s="20" t="n">
        <f aca="false">IF(AND(Slot3_On=1,Slot3_Age&gt;D22),1,0)</f>
        <v>0</v>
      </c>
      <c r="AS22" s="20" t="n">
        <f aca="false">QU21</f>
        <v>0</v>
      </c>
      <c r="AT22" s="20" t="n">
        <f aca="false">AQ22*MIN(Slot3_Cost,AS22)</f>
        <v>0</v>
      </c>
      <c r="AU22" s="20" t="n">
        <f aca="false">AQ22*Slot3_SpendLike*MIN(Slot3_Cost-AT22,AM22)</f>
        <v>0</v>
      </c>
      <c r="AV22" s="20" t="n">
        <f aca="false">AT22+AU22</f>
        <v>0</v>
      </c>
      <c r="AW22" s="20" t="n">
        <f aca="false">AM22-AU22+AQ22*IF(Slot3_SpendLike=1,AS22-AT22,IF(Slot3_PotFree=1,AS22,0))</f>
        <v>8274.64675118861</v>
      </c>
      <c r="AX22" s="20" t="n">
        <f aca="false">AN22+AQ22*Slot3_BufPot*AS22</f>
        <v>12821.512699272</v>
      </c>
      <c r="AY22" s="20" t="n">
        <f aca="false">IF(AND(AQ22=1,Slot3_IsMfree=1),IF(AV22&gt;=Slot3_Cost-1,0,MAX(0,AO22-AV22)),AO22)</f>
        <v>75719.1166913375</v>
      </c>
      <c r="AZ22" s="20" t="n">
        <f aca="false">AQ22*(Slot3_Cost-AV22)</f>
        <v>0</v>
      </c>
      <c r="BA22" s="20" t="n">
        <f aca="false">IF(AND(Slot4_On=1,D22=Slot4_Age),1,0)</f>
        <v>0</v>
      </c>
      <c r="BB22" s="20" t="n">
        <f aca="false">IF(AND(Slot4_On=1,Slot4_Age&gt;D22),1,0)</f>
        <v>1</v>
      </c>
      <c r="BC22" s="20" t="n">
        <f aca="false">QY21</f>
        <v>21049.9943684556</v>
      </c>
      <c r="BD22" s="20" t="n">
        <f aca="false">BA22*MIN(Slot4_Cost,BC22)</f>
        <v>0</v>
      </c>
      <c r="BE22" s="20" t="n">
        <f aca="false">BA22*Slot4_SpendLike*MIN(Slot4_Cost-BD22,AW22)</f>
        <v>0</v>
      </c>
      <c r="BF22" s="20" t="n">
        <f aca="false">BD22+BE22</f>
        <v>0</v>
      </c>
      <c r="BG22" s="20" t="n">
        <f aca="false">AW22-BE22+BA22*IF(Slot4_SpendLike=1,BC22-BD22,IF(Slot4_PotFree=1,BC22,0))</f>
        <v>8274.64675118861</v>
      </c>
      <c r="BH22" s="20" t="n">
        <f aca="false">AX22+BA22*Slot4_BufPot*BC22</f>
        <v>12821.512699272</v>
      </c>
      <c r="BI22" s="20" t="n">
        <f aca="false">IF(AND(BA22=1,Slot4_IsMfree=1),IF(BF22&gt;=Slot4_Cost-1,0,MAX(0,AY22-BF22)),AY22)</f>
        <v>75719.1166913375</v>
      </c>
      <c r="BJ22" s="20" t="n">
        <f aca="false">BA22*(Slot4_Cost-BF22)</f>
        <v>0</v>
      </c>
      <c r="BK22" s="20" t="n">
        <f aca="false">IF(AND(Slot5_On=1,D22=Slot5_Age),1,0)</f>
        <v>0</v>
      </c>
      <c r="BL22" s="20" t="n">
        <f aca="false">IF(AND(Slot5_On=1,Slot5_Age&gt;D22),1,0)</f>
        <v>0</v>
      </c>
      <c r="BM22" s="20" t="n">
        <f aca="false">RC21</f>
        <v>0</v>
      </c>
      <c r="BN22" s="20" t="n">
        <f aca="false">BK22*MIN(Slot5_Cost,BM22)</f>
        <v>0</v>
      </c>
      <c r="BO22" s="20" t="n">
        <f aca="false">BK22*Slot5_SpendLike*MIN(Slot5_Cost-BN22,BG22)</f>
        <v>0</v>
      </c>
      <c r="BP22" s="20" t="n">
        <f aca="false">BN22+BO22</f>
        <v>0</v>
      </c>
      <c r="BQ22" s="20" t="n">
        <f aca="false">BG22-BO22+BK22*IF(Slot5_SpendLike=1,BM22-BN22,IF(Slot5_PotFree=1,BM22,0))</f>
        <v>8274.64675118861</v>
      </c>
      <c r="BR22" s="20" t="n">
        <f aca="false">BH22+BK22*Slot5_BufPot*BM22</f>
        <v>12821.512699272</v>
      </c>
      <c r="BS22" s="20" t="n">
        <f aca="false">IF(AND(BK22=1,Slot5_IsMfree=1),IF(BP22&gt;=Slot5_Cost-1,0,MAX(0,BI22-BP22)),BI22)</f>
        <v>75719.1166913375</v>
      </c>
      <c r="BT22" s="20" t="n">
        <f aca="false">BK22*(Slot5_Cost-BP22)</f>
        <v>0</v>
      </c>
      <c r="BU22" s="20" t="n">
        <f aca="false">IF(AND(Slot6_On=1,D22=Slot6_Age),1,0)</f>
        <v>0</v>
      </c>
      <c r="BV22" s="20" t="n">
        <f aca="false">IF(AND(Slot6_On=1,Slot6_Age&gt;D22),1,0)</f>
        <v>0</v>
      </c>
      <c r="BW22" s="20" t="n">
        <f aca="false">RG21</f>
        <v>0</v>
      </c>
      <c r="BX22" s="20" t="n">
        <f aca="false">BU22*MIN(Slot6_Cost,BW22)</f>
        <v>0</v>
      </c>
      <c r="BY22" s="20" t="n">
        <f aca="false">BU22*Slot6_SpendLike*MIN(Slot6_Cost-BX22,BQ22)</f>
        <v>0</v>
      </c>
      <c r="BZ22" s="20" t="n">
        <f aca="false">BX22+BY22</f>
        <v>0</v>
      </c>
      <c r="CA22" s="20" t="n">
        <f aca="false">BQ22-BY22+BU22*IF(Slot6_SpendLike=1,BW22-BX22,IF(Slot6_PotFree=1,BW22,0))</f>
        <v>8274.64675118861</v>
      </c>
      <c r="CB22" s="20" t="n">
        <f aca="false">BR22+BU22*Slot6_BufPot*BW22</f>
        <v>12821.512699272</v>
      </c>
      <c r="CC22" s="20" t="n">
        <f aca="false">IF(AND(BU22=1,Slot6_IsMfree=1),IF(BZ22&gt;=Slot6_Cost-1,0,MAX(0,BS22-BZ22)),BS22)</f>
        <v>75719.1166913375</v>
      </c>
      <c r="CD22" s="20" t="n">
        <f aca="false">BU22*(Slot6_Cost-BZ22)</f>
        <v>0</v>
      </c>
      <c r="CE22" s="20" t="n">
        <f aca="false">IF(AND(Slot7_On=1,D22=Slot7_Age),1,0)</f>
        <v>0</v>
      </c>
      <c r="CF22" s="20" t="n">
        <f aca="false">IF(AND(Slot7_On=1,Slot7_Age&gt;D22),1,0)</f>
        <v>0</v>
      </c>
      <c r="CG22" s="20" t="n">
        <f aca="false">RK21</f>
        <v>0</v>
      </c>
      <c r="CH22" s="20" t="n">
        <f aca="false">CE22*MIN(Slot7_Cost,CG22)</f>
        <v>0</v>
      </c>
      <c r="CI22" s="20" t="n">
        <f aca="false">CE22*Slot7_SpendLike*MIN(Slot7_Cost-CH22,CA22)</f>
        <v>0</v>
      </c>
      <c r="CJ22" s="20" t="n">
        <f aca="false">CH22+CI22</f>
        <v>0</v>
      </c>
      <c r="CK22" s="20" t="n">
        <f aca="false">CA22-CI22+CE22*IF(Slot7_SpendLike=1,CG22-CH22,IF(Slot7_PotFree=1,CG22,0))</f>
        <v>8274.64675118861</v>
      </c>
      <c r="CL22" s="20" t="n">
        <f aca="false">CB22+CE22*Slot7_BufPot*CG22</f>
        <v>12821.512699272</v>
      </c>
      <c r="CM22" s="20" t="n">
        <f aca="false">IF(AND(CE22=1,Slot7_IsMfree=1),IF(CJ22&gt;=Slot7_Cost-1,0,MAX(0,CC22-CJ22)),CC22)</f>
        <v>75719.1166913375</v>
      </c>
      <c r="CN22" s="20" t="n">
        <f aca="false">CE22*(Slot7_Cost-CJ22)</f>
        <v>0</v>
      </c>
      <c r="CO22" s="20" t="n">
        <f aca="false">IF(AND(Slot8_On=1,D22=Slot8_Age),1,0)</f>
        <v>0</v>
      </c>
      <c r="CP22" s="20" t="n">
        <f aca="false">IF(AND(Slot8_On=1,Slot8_Age&gt;D22),1,0)</f>
        <v>0</v>
      </c>
      <c r="CQ22" s="20" t="n">
        <f aca="false">RO21</f>
        <v>0</v>
      </c>
      <c r="CR22" s="20" t="n">
        <f aca="false">CO22*MIN(Slot8_Cost,CQ22)</f>
        <v>0</v>
      </c>
      <c r="CS22" s="20" t="n">
        <f aca="false">CO22*Slot8_SpendLike*MIN(Slot8_Cost-CR22,CK22)</f>
        <v>0</v>
      </c>
      <c r="CT22" s="20" t="n">
        <f aca="false">CR22+CS22</f>
        <v>0</v>
      </c>
      <c r="CU22" s="20" t="n">
        <f aca="false">CK22-CS22+CO22*IF(Slot8_SpendLike=1,CQ22-CR22,IF(Slot8_PotFree=1,CQ22,0))</f>
        <v>8274.64675118861</v>
      </c>
      <c r="CV22" s="20" t="n">
        <f aca="false">CL22+CO22*Slot8_BufPot*CQ22</f>
        <v>12821.512699272</v>
      </c>
      <c r="CW22" s="20" t="n">
        <f aca="false">IF(AND(CO22=1,Slot8_IsMfree=1),IF(CT22&gt;=Slot8_Cost-1,0,MAX(0,CM22-CT22)),CM22)</f>
        <v>75719.1166913375</v>
      </c>
      <c r="CX22" s="20" t="n">
        <f aca="false">CO22*(Slot8_Cost-CT22)</f>
        <v>0</v>
      </c>
      <c r="CY22" s="20" t="n">
        <f aca="false">IF(AND(Slot9_On=1,D22=Slot9_Age),1,0)</f>
        <v>0</v>
      </c>
      <c r="CZ22" s="20" t="n">
        <f aca="false">IF(AND(Slot9_On=1,Slot9_Age&gt;D22),1,0)</f>
        <v>0</v>
      </c>
      <c r="DA22" s="20" t="n">
        <f aca="false">RS21</f>
        <v>0</v>
      </c>
      <c r="DB22" s="20" t="n">
        <f aca="false">CY22*MIN(Slot9_Cost,DA22)</f>
        <v>0</v>
      </c>
      <c r="DC22" s="20" t="n">
        <f aca="false">CY22*Slot9_SpendLike*MIN(Slot9_Cost-DB22,CU22)</f>
        <v>0</v>
      </c>
      <c r="DD22" s="20" t="n">
        <f aca="false">DB22+DC22</f>
        <v>0</v>
      </c>
      <c r="DE22" s="20" t="n">
        <f aca="false">CU22-DC22+CY22*IF(Slot9_SpendLike=1,DA22-DB22,IF(Slot9_PotFree=1,DA22,0))</f>
        <v>8274.64675118861</v>
      </c>
      <c r="DF22" s="20" t="n">
        <f aca="false">CV22+CY22*Slot9_BufPot*DA22</f>
        <v>12821.512699272</v>
      </c>
      <c r="DG22" s="20" t="n">
        <f aca="false">IF(AND(CY22=1,Slot9_IsMfree=1),IF(DD22&gt;=Slot9_Cost-1,0,MAX(0,CW22-DD22)),CW22)</f>
        <v>75719.1166913375</v>
      </c>
      <c r="DH22" s="20" t="n">
        <f aca="false">CY22*(Slot9_Cost-DD22)</f>
        <v>0</v>
      </c>
      <c r="DI22" s="20" t="n">
        <f aca="false">IF(AND(Slot10_On=1,D22=Slot10_Age),1,0)</f>
        <v>0</v>
      </c>
      <c r="DJ22" s="20" t="n">
        <f aca="false">IF(AND(Slot10_On=1,Slot10_Age&gt;D22),1,0)</f>
        <v>0</v>
      </c>
      <c r="DK22" s="20" t="n">
        <f aca="false">RW21</f>
        <v>0</v>
      </c>
      <c r="DL22" s="20" t="n">
        <f aca="false">DI22*MIN(Slot10_Cost,DK22)</f>
        <v>0</v>
      </c>
      <c r="DM22" s="20" t="n">
        <f aca="false">DI22*Slot10_SpendLike*MIN(Slot10_Cost-DL22,DE22)</f>
        <v>0</v>
      </c>
      <c r="DN22" s="20" t="n">
        <f aca="false">DL22+DM22</f>
        <v>0</v>
      </c>
      <c r="DO22" s="20" t="n">
        <f aca="false">DE22-DM22+DI22*IF(Slot10_SpendLike=1,DK22-DL22,IF(Slot10_PotFree=1,DK22,0))</f>
        <v>8274.64675118861</v>
      </c>
      <c r="DP22" s="20" t="n">
        <f aca="false">DF22+DI22*Slot10_BufPot*DK22</f>
        <v>12821.512699272</v>
      </c>
      <c r="DQ22" s="20" t="n">
        <f aca="false">IF(AND(DI22=1,Slot10_IsMfree=1),IF(DN22&gt;=Slot10_Cost-1,0,MAX(0,DG22-DN22)),DG22)</f>
        <v>75719.1166913375</v>
      </c>
      <c r="DR22" s="20" t="n">
        <f aca="false">DI22*(Slot10_Cost-DN22)</f>
        <v>0</v>
      </c>
      <c r="DS22" s="20" t="n">
        <f aca="false">IF(AND(Slot11_On=1,D22=Slot11_Age),1,0)</f>
        <v>0</v>
      </c>
      <c r="DT22" s="20" t="n">
        <f aca="false">IF(AND(Slot11_On=1,Slot11_Age&gt;D22),1,0)</f>
        <v>0</v>
      </c>
      <c r="DU22" s="20" t="n">
        <f aca="false">SA21</f>
        <v>0</v>
      </c>
      <c r="DV22" s="20" t="n">
        <f aca="false">DS22*MIN(Slot11_Cost,DU22)</f>
        <v>0</v>
      </c>
      <c r="DW22" s="20" t="n">
        <f aca="false">DS22*Slot11_SpendLike*MIN(Slot11_Cost-DV22,DO22)</f>
        <v>0</v>
      </c>
      <c r="DX22" s="20" t="n">
        <f aca="false">DV22+DW22</f>
        <v>0</v>
      </c>
      <c r="DY22" s="20" t="n">
        <f aca="false">DO22-DW22+DS22*IF(Slot11_SpendLike=1,DU22-DV22,IF(Slot11_PotFree=1,DU22,0))</f>
        <v>8274.64675118861</v>
      </c>
      <c r="DZ22" s="20" t="n">
        <f aca="false">DP22+DS22*Slot11_BufPot*DU22</f>
        <v>12821.512699272</v>
      </c>
      <c r="EA22" s="20" t="n">
        <f aca="false">IF(AND(DS22=1,Slot11_IsMfree=1),IF(DX22&gt;=Slot11_Cost-1,0,MAX(0,DQ22-DX22)),DQ22)</f>
        <v>75719.1166913375</v>
      </c>
      <c r="EB22" s="20" t="n">
        <f aca="false">DS22*(Slot11_Cost-DX22)</f>
        <v>0</v>
      </c>
      <c r="EC22" s="20" t="n">
        <f aca="false">IF(AND(Slot12_On=1,D22=Slot12_Age),1,0)</f>
        <v>0</v>
      </c>
      <c r="ED22" s="20" t="n">
        <f aca="false">IF(AND(Slot12_On=1,Slot12_Age&gt;D22),1,0)</f>
        <v>0</v>
      </c>
      <c r="EE22" s="20" t="n">
        <f aca="false">SE21</f>
        <v>0</v>
      </c>
      <c r="EF22" s="20" t="n">
        <f aca="false">EC22*MIN(Slot12_Cost,EE22)</f>
        <v>0</v>
      </c>
      <c r="EG22" s="20" t="n">
        <f aca="false">EC22*Slot12_SpendLike*MIN(Slot12_Cost-EF22,DY22)</f>
        <v>0</v>
      </c>
      <c r="EH22" s="20" t="n">
        <f aca="false">EF22+EG22</f>
        <v>0</v>
      </c>
      <c r="EI22" s="20" t="n">
        <f aca="false">DY22-EG22+EC22*IF(Slot12_SpendLike=1,EE22-EF22,IF(Slot12_PotFree=1,EE22,0))</f>
        <v>8274.64675118861</v>
      </c>
      <c r="EJ22" s="20" t="n">
        <f aca="false">DZ22+EC22*Slot12_BufPot*EE22</f>
        <v>12821.512699272</v>
      </c>
      <c r="EK22" s="20" t="n">
        <f aca="false">IF(AND(EC22=1,Slot12_IsMfree=1),IF(EH22&gt;=Slot12_Cost-1,0,MAX(0,EA22-EH22)),EA22)</f>
        <v>75719.1166913375</v>
      </c>
      <c r="EL22" s="20" t="n">
        <f aca="false">EC22*(Slot12_Cost-EH22)</f>
        <v>0</v>
      </c>
      <c r="EM22" s="20" t="n">
        <f aca="false">IF(AND(Slot13_On=1,D22=Slot13_Age),1,0)</f>
        <v>0</v>
      </c>
      <c r="EN22" s="20" t="n">
        <f aca="false">IF(AND(Slot13_On=1,Slot13_Age&gt;D22),1,0)</f>
        <v>0</v>
      </c>
      <c r="EO22" s="20" t="n">
        <f aca="false">SI21</f>
        <v>0</v>
      </c>
      <c r="EP22" s="20" t="n">
        <f aca="false">EM22*MIN(Slot13_Cost,EO22)</f>
        <v>0</v>
      </c>
      <c r="EQ22" s="20" t="n">
        <f aca="false">EM22*Slot13_SpendLike*MIN(Slot13_Cost-EP22,EI22)</f>
        <v>0</v>
      </c>
      <c r="ER22" s="20" t="n">
        <f aca="false">EP22+EQ22</f>
        <v>0</v>
      </c>
      <c r="ES22" s="20" t="n">
        <f aca="false">EI22-EQ22+EM22*IF(Slot13_SpendLike=1,EO22-EP22,IF(Slot13_PotFree=1,EO22,0))</f>
        <v>8274.64675118861</v>
      </c>
      <c r="ET22" s="20" t="n">
        <f aca="false">EJ22+EM22*Slot13_BufPot*EO22</f>
        <v>12821.512699272</v>
      </c>
      <c r="EU22" s="20" t="n">
        <f aca="false">IF(AND(EM22=1,Slot13_IsMfree=1),IF(ER22&gt;=Slot13_Cost-1,0,MAX(0,EK22-ER22)),EK22)</f>
        <v>75719.1166913375</v>
      </c>
      <c r="EV22" s="20" t="n">
        <f aca="false">EM22*(Slot13_Cost-ER22)</f>
        <v>0</v>
      </c>
      <c r="EW22" s="20" t="n">
        <f aca="false">IF(AND(Slot14_On=1,D22=Slot14_Age),1,0)</f>
        <v>0</v>
      </c>
      <c r="EX22" s="20" t="n">
        <f aca="false">IF(AND(Slot14_On=1,Slot14_Age&gt;D22),1,0)</f>
        <v>0</v>
      </c>
      <c r="EY22" s="20" t="n">
        <f aca="false">SM21</f>
        <v>0</v>
      </c>
      <c r="EZ22" s="20" t="n">
        <f aca="false">EW22*MIN(Slot14_Cost,EY22)</f>
        <v>0</v>
      </c>
      <c r="FA22" s="20" t="n">
        <f aca="false">EW22*Slot14_SpendLike*MIN(Slot14_Cost-EZ22,ES22)</f>
        <v>0</v>
      </c>
      <c r="FB22" s="20" t="n">
        <f aca="false">EZ22+FA22</f>
        <v>0</v>
      </c>
      <c r="FC22" s="20" t="n">
        <f aca="false">ES22-FA22+EW22*IF(Slot14_SpendLike=1,EY22-EZ22,IF(Slot14_PotFree=1,EY22,0))</f>
        <v>8274.64675118861</v>
      </c>
      <c r="FD22" s="20" t="n">
        <f aca="false">ET22+EW22*Slot14_BufPot*EY22</f>
        <v>12821.512699272</v>
      </c>
      <c r="FE22" s="20" t="n">
        <f aca="false">IF(AND(EW22=1,Slot14_IsMfree=1),IF(FB22&gt;=Slot14_Cost-1,0,MAX(0,EU22-FB22)),EU22)</f>
        <v>75719.1166913375</v>
      </c>
      <c r="FF22" s="20" t="n">
        <f aca="false">EW22*(Slot14_Cost-FB22)</f>
        <v>0</v>
      </c>
      <c r="FG22" s="20" t="n">
        <f aca="false">IF(AND(Slot15_On=1,D22=Slot15_Age),1,0)</f>
        <v>0</v>
      </c>
      <c r="FH22" s="20" t="n">
        <f aca="false">IF(AND(Slot15_On=1,Slot15_Age&gt;D22),1,0)</f>
        <v>0</v>
      </c>
      <c r="FI22" s="20" t="n">
        <f aca="false">SQ21</f>
        <v>0</v>
      </c>
      <c r="FJ22" s="20" t="n">
        <f aca="false">FG22*MIN(Slot15_Cost,FI22)</f>
        <v>0</v>
      </c>
      <c r="FK22" s="20" t="n">
        <f aca="false">FG22*Slot15_SpendLike*MIN(Slot15_Cost-FJ22,FC22)</f>
        <v>0</v>
      </c>
      <c r="FL22" s="20" t="n">
        <f aca="false">FJ22+FK22</f>
        <v>0</v>
      </c>
      <c r="FM22" s="20" t="n">
        <f aca="false">FC22-FK22+FG22*IF(Slot15_SpendLike=1,FI22-FJ22,IF(Slot15_PotFree=1,FI22,0))</f>
        <v>8274.64675118861</v>
      </c>
      <c r="FN22" s="20" t="n">
        <f aca="false">FD22+FG22*Slot15_BufPot*FI22</f>
        <v>12821.512699272</v>
      </c>
      <c r="FO22" s="20" t="n">
        <f aca="false">IF(AND(FG22=1,Slot15_IsMfree=1),IF(FL22&gt;=Slot15_Cost-1,0,MAX(0,FE22-FL22)),FE22)</f>
        <v>75719.1166913375</v>
      </c>
      <c r="FP22" s="20" t="n">
        <f aca="false">FG22*(Slot15_Cost-FL22)</f>
        <v>0</v>
      </c>
      <c r="FQ22" s="20" t="n">
        <f aca="false">IF(AND(Slot16_On=1,D22=Slot16_Age),1,0)</f>
        <v>0</v>
      </c>
      <c r="FR22" s="20" t="n">
        <f aca="false">IF(AND(Slot16_On=1,Slot16_Age&gt;D22),1,0)</f>
        <v>0</v>
      </c>
      <c r="FS22" s="20" t="n">
        <f aca="false">SU21</f>
        <v>0</v>
      </c>
      <c r="FT22" s="20" t="n">
        <f aca="false">FQ22*MIN(Slot16_Cost,FS22)</f>
        <v>0</v>
      </c>
      <c r="FU22" s="20" t="n">
        <f aca="false">FQ22*Slot16_SpendLike*MIN(Slot16_Cost-FT22,FM22)</f>
        <v>0</v>
      </c>
      <c r="FV22" s="20" t="n">
        <f aca="false">FT22+FU22</f>
        <v>0</v>
      </c>
      <c r="FW22" s="20" t="n">
        <f aca="false">FM22-FU22+FQ22*IF(Slot16_SpendLike=1,FS22-FT22,IF(Slot16_PotFree=1,FS22,0))</f>
        <v>8274.64675118861</v>
      </c>
      <c r="FX22" s="20" t="n">
        <f aca="false">FN22+FQ22*Slot16_BufPot*FS22</f>
        <v>12821.512699272</v>
      </c>
      <c r="FY22" s="20" t="n">
        <f aca="false">IF(AND(FQ22=1,Slot16_IsMfree=1),IF(FV22&gt;=Slot16_Cost-1,0,MAX(0,FO22-FV22)),FO22)</f>
        <v>75719.1166913375</v>
      </c>
      <c r="FZ22" s="20" t="n">
        <f aca="false">FQ22*(Slot16_Cost-FV22)</f>
        <v>0</v>
      </c>
      <c r="GA22" s="20" t="n">
        <f aca="false">IF(AND(Slot17_On=1,D22=Slot17_Age),1,0)</f>
        <v>0</v>
      </c>
      <c r="GB22" s="20" t="n">
        <f aca="false">IF(AND(Slot17_On=1,Slot17_Age&gt;D22),1,0)</f>
        <v>0</v>
      </c>
      <c r="GC22" s="20" t="n">
        <f aca="false">SY21</f>
        <v>0</v>
      </c>
      <c r="GD22" s="20" t="n">
        <f aca="false">GA22*MIN(Slot17_Cost,GC22)</f>
        <v>0</v>
      </c>
      <c r="GE22" s="20" t="n">
        <f aca="false">GA22*Slot17_SpendLike*MIN(Slot17_Cost-GD22,FW22)</f>
        <v>0</v>
      </c>
      <c r="GF22" s="20" t="n">
        <f aca="false">GD22+GE22</f>
        <v>0</v>
      </c>
      <c r="GG22" s="20" t="n">
        <f aca="false">FW22-GE22+GA22*IF(Slot17_SpendLike=1,GC22-GD22,IF(Slot17_PotFree=1,GC22,0))</f>
        <v>8274.64675118861</v>
      </c>
      <c r="GH22" s="20" t="n">
        <f aca="false">FX22+GA22*Slot17_BufPot*GC22</f>
        <v>12821.512699272</v>
      </c>
      <c r="GI22" s="20" t="n">
        <f aca="false">IF(AND(GA22=1,Slot17_IsMfree=1),IF(GF22&gt;=Slot17_Cost-1,0,MAX(0,FY22-GF22)),FY22)</f>
        <v>75719.1166913375</v>
      </c>
      <c r="GJ22" s="20" t="n">
        <f aca="false">GA22*(Slot17_Cost-GF22)</f>
        <v>0</v>
      </c>
      <c r="GK22" s="20" t="n">
        <f aca="false">IF(AND(Slot18_On=1,D22=Slot18_Age),1,0)</f>
        <v>0</v>
      </c>
      <c r="GL22" s="20" t="n">
        <f aca="false">IF(AND(Slot18_On=1,Slot18_Age&gt;D22),1,0)</f>
        <v>0</v>
      </c>
      <c r="GM22" s="20" t="n">
        <f aca="false">TC21</f>
        <v>0</v>
      </c>
      <c r="GN22" s="20" t="n">
        <f aca="false">GK22*MIN(Slot18_Cost,GM22)</f>
        <v>0</v>
      </c>
      <c r="GO22" s="20" t="n">
        <f aca="false">GK22*Slot18_SpendLike*MIN(Slot18_Cost-GN22,GG22)</f>
        <v>0</v>
      </c>
      <c r="GP22" s="20" t="n">
        <f aca="false">GN22+GO22</f>
        <v>0</v>
      </c>
      <c r="GQ22" s="20" t="n">
        <f aca="false">GG22-GO22+GK22*IF(Slot18_SpendLike=1,GM22-GN22,IF(Slot18_PotFree=1,GM22,0))</f>
        <v>8274.64675118861</v>
      </c>
      <c r="GR22" s="20" t="n">
        <f aca="false">GH22+GK22*Slot18_BufPot*GM22</f>
        <v>12821.512699272</v>
      </c>
      <c r="GS22" s="20" t="n">
        <f aca="false">IF(AND(GK22=1,Slot18_IsMfree=1),IF(GP22&gt;=Slot18_Cost-1,0,MAX(0,GI22-GP22)),GI22)</f>
        <v>75719.1166913375</v>
      </c>
      <c r="GT22" s="20" t="n">
        <f aca="false">GK22*(Slot18_Cost-GP22)</f>
        <v>0</v>
      </c>
      <c r="GU22" s="20" t="n">
        <f aca="false">IF(AND(Slot19_On=1,D22=Slot19_Age),1,0)</f>
        <v>0</v>
      </c>
      <c r="GV22" s="20" t="n">
        <f aca="false">IF(AND(Slot19_On=1,Slot19_Age&gt;D22),1,0)</f>
        <v>0</v>
      </c>
      <c r="GW22" s="20" t="n">
        <f aca="false">TG21</f>
        <v>0</v>
      </c>
      <c r="GX22" s="20" t="n">
        <f aca="false">GU22*MIN(Slot19_Cost,GW22)</f>
        <v>0</v>
      </c>
      <c r="GY22" s="20" t="n">
        <f aca="false">GU22*Slot19_SpendLike*MIN(Slot19_Cost-GX22,GQ22)</f>
        <v>0</v>
      </c>
      <c r="GZ22" s="20" t="n">
        <f aca="false">GX22+GY22</f>
        <v>0</v>
      </c>
      <c r="HA22" s="20" t="n">
        <f aca="false">GQ22-GY22+GU22*IF(Slot19_SpendLike=1,GW22-GX22,IF(Slot19_PotFree=1,GW22,0))</f>
        <v>8274.64675118861</v>
      </c>
      <c r="HB22" s="20" t="n">
        <f aca="false">GR22+GU22*Slot19_BufPot*GW22</f>
        <v>12821.512699272</v>
      </c>
      <c r="HC22" s="20" t="n">
        <f aca="false">IF(AND(GU22=1,Slot19_IsMfree=1),IF(GZ22&gt;=Slot19_Cost-1,0,MAX(0,GS22-GZ22)),GS22)</f>
        <v>75719.1166913375</v>
      </c>
      <c r="HD22" s="20" t="n">
        <f aca="false">GU22*(Slot19_Cost-GZ22)</f>
        <v>0</v>
      </c>
      <c r="HE22" s="20" t="n">
        <f aca="false">IF(AND(Slot20_On=1,D22=Slot20_Age),1,0)</f>
        <v>0</v>
      </c>
      <c r="HF22" s="20" t="n">
        <f aca="false">IF(AND(Slot20_On=1,Slot20_Age&gt;D22),1,0)</f>
        <v>0</v>
      </c>
      <c r="HG22" s="20" t="n">
        <f aca="false">TK21</f>
        <v>0</v>
      </c>
      <c r="HH22" s="20" t="n">
        <f aca="false">HE22*MIN(Slot20_Cost,HG22)</f>
        <v>0</v>
      </c>
      <c r="HI22" s="20" t="n">
        <f aca="false">HE22*Slot20_SpendLike*MIN(Slot20_Cost-HH22,HA22)</f>
        <v>0</v>
      </c>
      <c r="HJ22" s="20" t="n">
        <f aca="false">HH22+HI22</f>
        <v>0</v>
      </c>
      <c r="HK22" s="20" t="n">
        <f aca="false">HA22-HI22+HE22*IF(Slot20_SpendLike=1,HG22-HH22,IF(Slot20_PotFree=1,HG22,0))</f>
        <v>8274.64675118861</v>
      </c>
      <c r="HL22" s="20" t="n">
        <f aca="false">HB22+HE22*Slot20_BufPot*HG22</f>
        <v>12821.512699272</v>
      </c>
      <c r="HM22" s="20" t="n">
        <f aca="false">IF(AND(HE22=1,Slot20_IsMfree=1),IF(HJ22&gt;=Slot20_Cost-1,0,MAX(0,HC22-HJ22)),HC22)</f>
        <v>75719.1166913375</v>
      </c>
      <c r="HN22" s="20" t="n">
        <f aca="false">HE22*(Slot20_Cost-HJ22)</f>
        <v>0</v>
      </c>
      <c r="HO22" s="20" t="n">
        <f aca="false">V22*Slot1_SpendLike*AA22+AG22*Slot2_SpendLike*AL22+AQ22*Slot3_SpendLike*AV22+BA22*Slot4_SpendLike*BF22+BK22*Slot5_SpendLike*BP22+BU22*Slot6_SpendLike*BZ22+CE22*Slot7_SpendLike*CJ22+CO22*Slot8_SpendLike*CT22+CY22*Slot9_SpendLike*DD22+DI22*Slot10_SpendLike*DN22+DS22*Slot11_SpendLike*DX22+EC22*Slot12_SpendLike*EH22+EM22*Slot13_SpendLike*ER22+EW22*Slot14_SpendLike*FB22+FG22*Slot15_SpendLike*FL22+FQ22*Slot16_SpendLike*FV22+GA22*Slot17_SpendLike*GF22+GK22*Slot18_SpendLike*GP22+GU22*Slot19_SpendLike*GZ22+HE22*Slot20_SpendLike*HJ22</f>
        <v>0</v>
      </c>
      <c r="HP22" s="20" t="n">
        <f aca="false">AE22+AP22+AZ22+BJ22+BT22+CD22+CN22+CX22+DH22+DR22+EB22+EL22+EV22+FF22+FP22+FZ22+GJ22+GT22+HD22+HN22</f>
        <v>0</v>
      </c>
      <c r="HQ22" s="20" t="n">
        <f aca="false">V22*Slot1_Cost+AG22*Slot2_Cost+AQ22*Slot3_Cost+BA22*Slot4_Cost+BK22*Slot5_Cost+BU22*Slot6_Cost+CE22*Slot7_Cost+CO22*Slot8_Cost+CY22*Slot9_Cost+DI22*Slot10_Cost+DS22*Slot11_Cost+EC22*Slot12_Cost+EM22*Slot13_Cost+EW22*Slot14_Cost+FG22*Slot15_Cost+FQ22*Slot16_Cost+GA22*Slot17_Cost+GK22*Slot18_Cost+GU22*Slot19_Cost+HE22*Slot20_Cost</f>
        <v>0</v>
      </c>
      <c r="HR22" s="20" t="n">
        <f aca="false">HM22</f>
        <v>75719.1166913375</v>
      </c>
      <c r="HS22" s="20" t="n">
        <f aca="false">H22-I22-S22</f>
        <v>16928.2273055231</v>
      </c>
      <c r="HT22" s="20" t="n">
        <f aca="false">IF(B22=0,IF(AND(Has_q6=1,In_q6=4),PR_ShareVaries*(MAX(0,HS22)/12),MIN(IF(Has_q6=1,CHOOSE(In_q6+1,PR_SaveB1,PR_SaveB2,PR_SaveB3,PR_SaveB4,0),AS_NoAnswer),AS_SaveShare*(MAX(0,HS22)/12))),HT21)</f>
        <v>67.3316893520437</v>
      </c>
      <c r="HU22" s="20" t="n">
        <f aca="false">IF(HS22&gt;=0,1,0)</f>
        <v>1</v>
      </c>
      <c r="HV22" s="20" t="n">
        <f aca="false">MAX(0,HS22/12/F22)</f>
        <v>1069.12339045079</v>
      </c>
      <c r="HW22" s="20" t="n">
        <f aca="false">IF(AND(Has_q6=1,In_q6=4),PR_ShareVaries*(HV22),MIN(IF(Has_q6=1,CHOOSE(In_q6+1,PR_SaveB1,PR_SaveB2,PR_SaveB3,PR_SaveB4,0),AS_NoAnswer),AS_SaveShare*(HV22)))</f>
        <v>500</v>
      </c>
      <c r="HX22" s="20" t="n">
        <f aca="false">IF(Has_saveM=1,IF(In_saveUp="Yes",1,IF(In_saveUp="No",0,IF(In_saveM&gt;=HT22-0.5,1,0))),0)</f>
        <v>0</v>
      </c>
      <c r="HY22" s="20" t="n">
        <f aca="false">IF(Has_saveM=1,MIN(HV22,IF(HX22=1,MAX(In_saveM,HW22),MIN(In_saveM,HW22))),HW22)</f>
        <v>500</v>
      </c>
      <c r="HZ22" s="20" t="n">
        <f aca="false">IF(G22=1,HY22*12*F22,0)</f>
        <v>7916.87257837723</v>
      </c>
      <c r="IA22" s="20" t="n">
        <f aca="false">MAX(0,HZ22+IF(AND(WI_Retire=0,WI_M&lt;0,G22=1),WI_M*12*F22,0))</f>
        <v>7916.87257837723</v>
      </c>
      <c r="IB22" s="20" t="n">
        <f aca="false">Slot1_IsWG*W22+Slot2_IsWG*AH22+Slot3_IsWG*AR22+Slot4_IsWG*BB22+Slot5_IsWG*BL22+Slot6_IsWG*BV22+Slot7_IsWG*CF22+Slot8_IsWG*CP22+Slot9_IsWG*CZ22+Slot10_IsWG*DJ22+Slot11_IsWG*DT22+Slot12_IsWG*ED22+Slot13_IsWG*EN22+Slot14_IsWG*EX22+Slot15_IsWG*FH22+Slot16_IsWG*FR22+Slot17_IsWG*GB22+Slot18_IsWG*GL22+Slot19_IsWG*GV22+Slot20_IsWG*HF22</f>
        <v>0</v>
      </c>
      <c r="IC22" s="20" t="n">
        <f aca="false">IF(AND(WI_Retire=0,WI_M&gt;0,G22=1,IB22&gt;=1),WI_M*12*F22,0)</f>
        <v>0</v>
      </c>
      <c r="ID22" s="20" t="n">
        <f aca="false">IF(HU22=1,MIN(IA22,HS22),0)</f>
        <v>7916.87257837723</v>
      </c>
      <c r="IE22" s="20" t="n">
        <f aca="false">IF(HU22=1,MIN(IC22,HS22-ID22),0)</f>
        <v>0</v>
      </c>
      <c r="IF22" s="20" t="n">
        <f aca="false">IF(W22=1,IF(ABS((1+AS_Wage)/(1+Slot1_Rate)-1)&lt;0.000000000001,(Slot1_Age-D22)*(1+Slot1_Rate)^(Slot1_Age-D22),(1+Slot1_Rate)^(Slot1_Age-D22)*(1-((1+AS_Wage)/(1+Slot1_Rate))^(Slot1_Age-D22))/(1-(1+AS_Wage)/(1+Slot1_Rate))),1)</f>
        <v>1</v>
      </c>
      <c r="IG22" s="20" t="n">
        <f aca="false">IF(AND(HU22=1,IE22&gt;0,Slot1_IsWG=1,W22=1),MAX(0,(Slot1_Cost-X22*(1+Slot1_Rate)^(Slot1_Age-D22))/IF22),0)</f>
        <v>0</v>
      </c>
      <c r="IH22" s="20" t="n">
        <f aca="false">IF(AND(HU22=1,IE22&gt;0,Slot1_IsWG=1,W22=1),MIN(IE22,IG22),0)</f>
        <v>0</v>
      </c>
      <c r="II22" s="20" t="n">
        <f aca="false">X22+IH22</f>
        <v>0</v>
      </c>
      <c r="IJ22" s="20" t="n">
        <f aca="false">IF(W22=1,MAX(0,(Slot1_Cost-II22*(1+Slot1_Rate)^(Slot1_Age-D22))/IF22),0)</f>
        <v>0</v>
      </c>
      <c r="IK22" s="20" t="n">
        <f aca="false">IF(W22=1,MAX(0,(Slot1_Cost-X22*(1+Slot1_Rate)^(Slot1_Age-D22))/IF22),0)</f>
        <v>0</v>
      </c>
      <c r="IL22" s="20" t="n">
        <f aca="false">IF(AND(HU22=1,W22=1),MIN(ID22,IJ22),0)</f>
        <v>0</v>
      </c>
      <c r="IM22" s="20" t="n">
        <f aca="false">ID22-IL22</f>
        <v>7916.87257837723</v>
      </c>
      <c r="IN22" s="20" t="n">
        <f aca="false">IF(AH22=1,IF(ABS((1+AS_Wage)/(1+Slot2_Rate)-1)&lt;0.000000000001,(Slot2_Age-D22)*(1+Slot2_Rate)^(Slot2_Age-D22),(1+Slot2_Rate)^(Slot2_Age-D22)*(1-((1+AS_Wage)/(1+Slot2_Rate))^(Slot2_Age-D22))/(1-(1+AS_Wage)/(1+Slot2_Rate))),1)</f>
        <v>1</v>
      </c>
      <c r="IO22" s="20" t="n">
        <f aca="false">IF(AND(HU22=1,IE22&gt;0,Slot2_IsWG=1,AH22=1),MAX(0,(Slot2_Cost-AI22*(1+Slot2_Rate)^(Slot2_Age-D22))/IN22),0)</f>
        <v>0</v>
      </c>
      <c r="IP22" s="20" t="n">
        <f aca="false">IF(AND(HU22=1,IE22&gt;0,Slot2_IsWG=1,AH22=1),MIN(IE22,IO22),0)</f>
        <v>0</v>
      </c>
      <c r="IQ22" s="20" t="n">
        <f aca="false">AI22+IP22</f>
        <v>0</v>
      </c>
      <c r="IR22" s="20" t="n">
        <f aca="false">IF(AH22=1,MAX(0,(Slot2_Cost-IQ22*(1+Slot2_Rate)^(Slot2_Age-D22))/IN22),0)</f>
        <v>0</v>
      </c>
      <c r="IS22" s="20" t="n">
        <f aca="false">IF(AH22=1,MAX(0,(Slot2_Cost-AI22*(1+Slot2_Rate)^(Slot2_Age-D22))/IN22),0)</f>
        <v>0</v>
      </c>
      <c r="IT22" s="20" t="n">
        <f aca="false">IF(AND(HU22=1,AH22=1),MIN(IM22,IR22),0)</f>
        <v>0</v>
      </c>
      <c r="IU22" s="20" t="n">
        <f aca="false">IM22-IT22</f>
        <v>7916.87257837723</v>
      </c>
      <c r="IV22" s="20" t="n">
        <f aca="false">IF(AR22=1,IF(ABS((1+AS_Wage)/(1+Slot3_Rate)-1)&lt;0.000000000001,(Slot3_Age-D22)*(1+Slot3_Rate)^(Slot3_Age-D22),(1+Slot3_Rate)^(Slot3_Age-D22)*(1-((1+AS_Wage)/(1+Slot3_Rate))^(Slot3_Age-D22))/(1-(1+AS_Wage)/(1+Slot3_Rate))),1)</f>
        <v>1</v>
      </c>
      <c r="IW22" s="20" t="n">
        <f aca="false">IF(AND(HU22=1,IE22&gt;0,Slot3_IsWG=1,AR22=1),MAX(0,(Slot3_Cost-AS22*(1+Slot3_Rate)^(Slot3_Age-D22))/IV22),0)</f>
        <v>0</v>
      </c>
      <c r="IX22" s="20" t="n">
        <f aca="false">IF(AND(HU22=1,IE22&gt;0,Slot3_IsWG=1,AR22=1),MIN(IE22,IW22),0)</f>
        <v>0</v>
      </c>
      <c r="IY22" s="20" t="n">
        <f aca="false">AS22+IX22</f>
        <v>0</v>
      </c>
      <c r="IZ22" s="20" t="n">
        <f aca="false">IF(AR22=1,MAX(0,(Slot3_Cost-IY22*(1+Slot3_Rate)^(Slot3_Age-D22))/IV22),0)</f>
        <v>0</v>
      </c>
      <c r="JA22" s="20" t="n">
        <f aca="false">IF(AR22=1,MAX(0,(Slot3_Cost-AS22*(1+Slot3_Rate)^(Slot3_Age-D22))/IV22),0)</f>
        <v>0</v>
      </c>
      <c r="JB22" s="20" t="n">
        <f aca="false">IF(AND(HU22=1,AR22=1),MIN(IU22,IZ22),0)</f>
        <v>0</v>
      </c>
      <c r="JC22" s="20" t="n">
        <f aca="false">IU22-JB22</f>
        <v>7916.87257837723</v>
      </c>
      <c r="JD22" s="20" t="n">
        <f aca="false">IF(BB22=1,IF(ABS((1+AS_Wage)/(1+Slot4_Rate)-1)&lt;0.000000000001,(Slot4_Age-D22)*(1+Slot4_Rate)^(Slot4_Age-D22),(1+Slot4_Rate)^(Slot4_Age-D22)*(1-((1+AS_Wage)/(1+Slot4_Rate))^(Slot4_Age-D22))/(1-(1+AS_Wage)/(1+Slot4_Rate))),1)</f>
        <v>3.252785256</v>
      </c>
      <c r="JE22" s="20" t="n">
        <f aca="false">IF(AND(HU22=1,IE22&gt;0,Slot4_IsWG=1,BB22=1),MAX(0,(Slot4_Cost-BC22*(1+Slot4_Rate)^(Slot4_Age-D22))/JD22),0)</f>
        <v>0</v>
      </c>
      <c r="JF22" s="20" t="n">
        <f aca="false">IF(AND(HU22=1,IE22&gt;0,Slot4_IsWG=1,BB22=1),MIN(IE22,JE22),0)</f>
        <v>0</v>
      </c>
      <c r="JG22" s="20" t="n">
        <f aca="false">BC22+JF22</f>
        <v>21049.9943684556</v>
      </c>
      <c r="JH22" s="20" t="n">
        <f aca="false">IF(BB22=1,MAX(0,(Slot4_Cost-JG22*(1+Slot4_Rate)^(Slot4_Age-D22))/JD22),0)</f>
        <v>5313.88978982562</v>
      </c>
      <c r="JI22" s="20" t="n">
        <f aca="false">IF(BB22=1,MAX(0,(Slot4_Cost-BC22*(1+Slot4_Rate)^(Slot4_Age-D22))/JD22),0)</f>
        <v>5313.88978982562</v>
      </c>
      <c r="JJ22" s="20" t="n">
        <f aca="false">IF(AND(HU22=1,BB22=1),MIN(JC22,JH22),0)</f>
        <v>5313.88978982562</v>
      </c>
      <c r="JK22" s="20" t="n">
        <f aca="false">JC22-JJ22</f>
        <v>2602.98278855161</v>
      </c>
      <c r="JL22" s="20" t="n">
        <f aca="false">IF(BL22=1,IF(ABS((1+AS_Wage)/(1+Slot5_Rate)-1)&lt;0.000000000001,(Slot5_Age-D22)*(1+Slot5_Rate)^(Slot5_Age-D22),(1+Slot5_Rate)^(Slot5_Age-D22)*(1-((1+AS_Wage)/(1+Slot5_Rate))^(Slot5_Age-D22))/(1-(1+AS_Wage)/(1+Slot5_Rate))),1)</f>
        <v>1</v>
      </c>
      <c r="JM22" s="20" t="n">
        <f aca="false">IF(AND(HU22=1,IE22&gt;0,Slot5_IsWG=1,BL22=1),MAX(0,(Slot5_Cost-BM22*(1+Slot5_Rate)^(Slot5_Age-D22))/JL22),0)</f>
        <v>0</v>
      </c>
      <c r="JN22" s="20" t="n">
        <f aca="false">IF(AND(HU22=1,IE22&gt;0,Slot5_IsWG=1,BL22=1),MIN(IE22,JM22),0)</f>
        <v>0</v>
      </c>
      <c r="JO22" s="20" t="n">
        <f aca="false">BM22+JN22</f>
        <v>0</v>
      </c>
      <c r="JP22" s="20" t="n">
        <f aca="false">IF(BL22=1,MAX(0,(Slot5_Cost-JO22*(1+Slot5_Rate)^(Slot5_Age-D22))/JL22),0)</f>
        <v>0</v>
      </c>
      <c r="JQ22" s="20" t="n">
        <f aca="false">IF(BL22=1,MAX(0,(Slot5_Cost-BM22*(1+Slot5_Rate)^(Slot5_Age-D22))/JL22),0)</f>
        <v>0</v>
      </c>
      <c r="JR22" s="20" t="n">
        <f aca="false">IF(AND(HU22=1,BL22=1),MIN(JK22,JP22),0)</f>
        <v>0</v>
      </c>
      <c r="JS22" s="20" t="n">
        <f aca="false">JK22-JR22</f>
        <v>2602.98278855161</v>
      </c>
      <c r="JT22" s="20" t="n">
        <f aca="false">IF(BV22=1,IF(ABS((1+AS_Wage)/(1+Slot6_Rate)-1)&lt;0.000000000001,(Slot6_Age-D22)*(1+Slot6_Rate)^(Slot6_Age-D22),(1+Slot6_Rate)^(Slot6_Age-D22)*(1-((1+AS_Wage)/(1+Slot6_Rate))^(Slot6_Age-D22))/(1-(1+AS_Wage)/(1+Slot6_Rate))),1)</f>
        <v>1</v>
      </c>
      <c r="JU22" s="20" t="n">
        <f aca="false">IF(AND(HU22=1,IE22&gt;0,Slot6_IsWG=1,BV22=1),MAX(0,(Slot6_Cost-BW22*(1+Slot6_Rate)^(Slot6_Age-D22))/JT22),0)</f>
        <v>0</v>
      </c>
      <c r="JV22" s="20" t="n">
        <f aca="false">IF(AND(HU22=1,IE22&gt;0,Slot6_IsWG=1,BV22=1),MIN(IE22,JU22),0)</f>
        <v>0</v>
      </c>
      <c r="JW22" s="20" t="n">
        <f aca="false">BW22+JV22</f>
        <v>0</v>
      </c>
      <c r="JX22" s="20" t="n">
        <f aca="false">IF(BV22=1,MAX(0,(Slot6_Cost-JW22*(1+Slot6_Rate)^(Slot6_Age-D22))/JT22),0)</f>
        <v>0</v>
      </c>
      <c r="JY22" s="20" t="n">
        <f aca="false">IF(BV22=1,MAX(0,(Slot6_Cost-BW22*(1+Slot6_Rate)^(Slot6_Age-D22))/JT22),0)</f>
        <v>0</v>
      </c>
      <c r="JZ22" s="20" t="n">
        <f aca="false">IF(AND(HU22=1,BV22=1),MIN(JS22,JX22),0)</f>
        <v>0</v>
      </c>
      <c r="KA22" s="20" t="n">
        <f aca="false">JS22-JZ22</f>
        <v>2602.98278855161</v>
      </c>
      <c r="KB22" s="20" t="n">
        <f aca="false">IF(CF22=1,IF(ABS((1+AS_Wage)/(1+Slot7_Rate)-1)&lt;0.000000000001,(Slot7_Age-D22)*(1+Slot7_Rate)^(Slot7_Age-D22),(1+Slot7_Rate)^(Slot7_Age-D22)*(1-((1+AS_Wage)/(1+Slot7_Rate))^(Slot7_Age-D22))/(1-(1+AS_Wage)/(1+Slot7_Rate))),1)</f>
        <v>1</v>
      </c>
      <c r="KC22" s="20" t="n">
        <f aca="false">IF(AND(HU22=1,IE22&gt;0,Slot7_IsWG=1,CF22=1),MAX(0,(Slot7_Cost-CG22*(1+Slot7_Rate)^(Slot7_Age-D22))/KB22),0)</f>
        <v>0</v>
      </c>
      <c r="KD22" s="20" t="n">
        <f aca="false">IF(AND(HU22=1,IE22&gt;0,Slot7_IsWG=1,CF22=1),MIN(IE22,KC22),0)</f>
        <v>0</v>
      </c>
      <c r="KE22" s="20" t="n">
        <f aca="false">CG22+KD22</f>
        <v>0</v>
      </c>
      <c r="KF22" s="20" t="n">
        <f aca="false">IF(CF22=1,MAX(0,(Slot7_Cost-KE22*(1+Slot7_Rate)^(Slot7_Age-D22))/KB22),0)</f>
        <v>0</v>
      </c>
      <c r="KG22" s="20" t="n">
        <f aca="false">IF(CF22=1,MAX(0,(Slot7_Cost-CG22*(1+Slot7_Rate)^(Slot7_Age-D22))/KB22),0)</f>
        <v>0</v>
      </c>
      <c r="KH22" s="20" t="n">
        <f aca="false">IF(AND(HU22=1,CF22=1),MIN(KA22,KF22),0)</f>
        <v>0</v>
      </c>
      <c r="KI22" s="20" t="n">
        <f aca="false">KA22-KH22</f>
        <v>2602.98278855161</v>
      </c>
      <c r="KJ22" s="20" t="n">
        <f aca="false">IF(CP22=1,IF(ABS((1+AS_Wage)/(1+Slot8_Rate)-1)&lt;0.000000000001,(Slot8_Age-D22)*(1+Slot8_Rate)^(Slot8_Age-D22),(1+Slot8_Rate)^(Slot8_Age-D22)*(1-((1+AS_Wage)/(1+Slot8_Rate))^(Slot8_Age-D22))/(1-(1+AS_Wage)/(1+Slot8_Rate))),1)</f>
        <v>1</v>
      </c>
      <c r="KK22" s="20" t="n">
        <f aca="false">IF(AND(HU22=1,IE22&gt;0,Slot8_IsWG=1,CP22=1),MAX(0,(Slot8_Cost-CQ22*(1+Slot8_Rate)^(Slot8_Age-D22))/KJ22),0)</f>
        <v>0</v>
      </c>
      <c r="KL22" s="20" t="n">
        <f aca="false">IF(AND(HU22=1,IE22&gt;0,Slot8_IsWG=1,CP22=1),MIN(IE22,KK22),0)</f>
        <v>0</v>
      </c>
      <c r="KM22" s="20" t="n">
        <f aca="false">CQ22+KL22</f>
        <v>0</v>
      </c>
      <c r="KN22" s="20" t="n">
        <f aca="false">IF(CP22=1,MAX(0,(Slot8_Cost-KM22*(1+Slot8_Rate)^(Slot8_Age-D22))/KJ22),0)</f>
        <v>0</v>
      </c>
      <c r="KO22" s="20" t="n">
        <f aca="false">IF(CP22=1,MAX(0,(Slot8_Cost-CQ22*(1+Slot8_Rate)^(Slot8_Age-D22))/KJ22),0)</f>
        <v>0</v>
      </c>
      <c r="KP22" s="20" t="n">
        <f aca="false">IF(AND(HU22=1,CP22=1),MIN(KI22,KN22),0)</f>
        <v>0</v>
      </c>
      <c r="KQ22" s="20" t="n">
        <f aca="false">KI22-KP22</f>
        <v>2602.98278855161</v>
      </c>
      <c r="KR22" s="20" t="n">
        <f aca="false">IF(CZ22=1,IF(ABS((1+AS_Wage)/(1+Slot9_Rate)-1)&lt;0.000000000001,(Slot9_Age-D22)*(1+Slot9_Rate)^(Slot9_Age-D22),(1+Slot9_Rate)^(Slot9_Age-D22)*(1-((1+AS_Wage)/(1+Slot9_Rate))^(Slot9_Age-D22))/(1-(1+AS_Wage)/(1+Slot9_Rate))),1)</f>
        <v>1</v>
      </c>
      <c r="KS22" s="20" t="n">
        <f aca="false">IF(AND(HU22=1,IE22&gt;0,Slot9_IsWG=1,CZ22=1),MAX(0,(Slot9_Cost-DA22*(1+Slot9_Rate)^(Slot9_Age-D22))/KR22),0)</f>
        <v>0</v>
      </c>
      <c r="KT22" s="20" t="n">
        <f aca="false">IF(AND(HU22=1,IE22&gt;0,Slot9_IsWG=1,CZ22=1),MIN(IE22,KS22),0)</f>
        <v>0</v>
      </c>
      <c r="KU22" s="20" t="n">
        <f aca="false">DA22+KT22</f>
        <v>0</v>
      </c>
      <c r="KV22" s="20" t="n">
        <f aca="false">IF(CZ22=1,MAX(0,(Slot9_Cost-KU22*(1+Slot9_Rate)^(Slot9_Age-D22))/KR22),0)</f>
        <v>0</v>
      </c>
      <c r="KW22" s="20" t="n">
        <f aca="false">IF(CZ22=1,MAX(0,(Slot9_Cost-DA22*(1+Slot9_Rate)^(Slot9_Age-D22))/KR22),0)</f>
        <v>0</v>
      </c>
      <c r="KX22" s="20" t="n">
        <f aca="false">IF(AND(HU22=1,CZ22=1),MIN(KQ22,KV22),0)</f>
        <v>0</v>
      </c>
      <c r="KY22" s="20" t="n">
        <f aca="false">KQ22-KX22</f>
        <v>2602.98278855161</v>
      </c>
      <c r="KZ22" s="20" t="n">
        <f aca="false">IF(DJ22=1,IF(ABS((1+AS_Wage)/(1+Slot10_Rate)-1)&lt;0.000000000001,(Slot10_Age-D22)*(1+Slot10_Rate)^(Slot10_Age-D22),(1+Slot10_Rate)^(Slot10_Age-D22)*(1-((1+AS_Wage)/(1+Slot10_Rate))^(Slot10_Age-D22))/(1-(1+AS_Wage)/(1+Slot10_Rate))),1)</f>
        <v>1</v>
      </c>
      <c r="LA22" s="20" t="n">
        <f aca="false">IF(AND(HU22=1,IE22&gt;0,Slot10_IsWG=1,DJ22=1),MAX(0,(Slot10_Cost-DK22*(1+Slot10_Rate)^(Slot10_Age-D22))/KZ22),0)</f>
        <v>0</v>
      </c>
      <c r="LB22" s="20" t="n">
        <f aca="false">IF(AND(HU22=1,IE22&gt;0,Slot10_IsWG=1,DJ22=1),MIN(IE22,LA22),0)</f>
        <v>0</v>
      </c>
      <c r="LC22" s="20" t="n">
        <f aca="false">DK22+LB22</f>
        <v>0</v>
      </c>
      <c r="LD22" s="20" t="n">
        <f aca="false">IF(DJ22=1,MAX(0,(Slot10_Cost-LC22*(1+Slot10_Rate)^(Slot10_Age-D22))/KZ22),0)</f>
        <v>0</v>
      </c>
      <c r="LE22" s="20" t="n">
        <f aca="false">IF(DJ22=1,MAX(0,(Slot10_Cost-DK22*(1+Slot10_Rate)^(Slot10_Age-D22))/KZ22),0)</f>
        <v>0</v>
      </c>
      <c r="LF22" s="20" t="n">
        <f aca="false">IF(AND(HU22=1,DJ22=1),MIN(KY22,LD22),0)</f>
        <v>0</v>
      </c>
      <c r="LG22" s="20" t="n">
        <f aca="false">KY22-LF22</f>
        <v>2602.98278855161</v>
      </c>
      <c r="LH22" s="20" t="n">
        <f aca="false">IF(DT22=1,IF(ABS((1+AS_Wage)/(1+Slot11_Rate)-1)&lt;0.000000000001,(Slot11_Age-D22)*(1+Slot11_Rate)^(Slot11_Age-D22),(1+Slot11_Rate)^(Slot11_Age-D22)*(1-((1+AS_Wage)/(1+Slot11_Rate))^(Slot11_Age-D22))/(1-(1+AS_Wage)/(1+Slot11_Rate))),1)</f>
        <v>1</v>
      </c>
      <c r="LI22" s="20" t="n">
        <f aca="false">IF(AND(HU22=1,IE22&gt;0,Slot11_IsWG=1,DT22=1),MAX(0,(Slot11_Cost-DU22*(1+Slot11_Rate)^(Slot11_Age-D22))/LH22),0)</f>
        <v>0</v>
      </c>
      <c r="LJ22" s="20" t="n">
        <f aca="false">IF(AND(HU22=1,IE22&gt;0,Slot11_IsWG=1,DT22=1),MIN(IE22,LI22),0)</f>
        <v>0</v>
      </c>
      <c r="LK22" s="20" t="n">
        <f aca="false">DU22+LJ22</f>
        <v>0</v>
      </c>
      <c r="LL22" s="20" t="n">
        <f aca="false">IF(DT22=1,MAX(0,(Slot11_Cost-LK22*(1+Slot11_Rate)^(Slot11_Age-D22))/LH22),0)</f>
        <v>0</v>
      </c>
      <c r="LM22" s="20" t="n">
        <f aca="false">IF(DT22=1,MAX(0,(Slot11_Cost-DU22*(1+Slot11_Rate)^(Slot11_Age-D22))/LH22),0)</f>
        <v>0</v>
      </c>
      <c r="LN22" s="20" t="n">
        <f aca="false">IF(AND(HU22=1,DT22=1),MIN(LG22,LL22),0)</f>
        <v>0</v>
      </c>
      <c r="LO22" s="20" t="n">
        <f aca="false">LG22-LN22</f>
        <v>2602.98278855161</v>
      </c>
      <c r="LP22" s="20" t="n">
        <f aca="false">IF(ED22=1,IF(ABS((1+AS_Wage)/(1+Slot12_Rate)-1)&lt;0.000000000001,(Slot12_Age-D22)*(1+Slot12_Rate)^(Slot12_Age-D22),(1+Slot12_Rate)^(Slot12_Age-D22)*(1-((1+AS_Wage)/(1+Slot12_Rate))^(Slot12_Age-D22))/(1-(1+AS_Wage)/(1+Slot12_Rate))),1)</f>
        <v>1</v>
      </c>
      <c r="LQ22" s="20" t="n">
        <f aca="false">IF(AND(HU22=1,IE22&gt;0,Slot12_IsWG=1,ED22=1),MAX(0,(Slot12_Cost-EE22*(1+Slot12_Rate)^(Slot12_Age-D22))/LP22),0)</f>
        <v>0</v>
      </c>
      <c r="LR22" s="20" t="n">
        <f aca="false">IF(AND(HU22=1,IE22&gt;0,Slot12_IsWG=1,ED22=1),MIN(IE22,LQ22),0)</f>
        <v>0</v>
      </c>
      <c r="LS22" s="20" t="n">
        <f aca="false">EE22+LR22</f>
        <v>0</v>
      </c>
      <c r="LT22" s="20" t="n">
        <f aca="false">IF(ED22=1,MAX(0,(Slot12_Cost-LS22*(1+Slot12_Rate)^(Slot12_Age-D22))/LP22),0)</f>
        <v>0</v>
      </c>
      <c r="LU22" s="20" t="n">
        <f aca="false">IF(ED22=1,MAX(0,(Slot12_Cost-EE22*(1+Slot12_Rate)^(Slot12_Age-D22))/LP22),0)</f>
        <v>0</v>
      </c>
      <c r="LV22" s="20" t="n">
        <f aca="false">IF(AND(HU22=1,ED22=1),MIN(LO22,LT22),0)</f>
        <v>0</v>
      </c>
      <c r="LW22" s="20" t="n">
        <f aca="false">LO22-LV22</f>
        <v>2602.98278855161</v>
      </c>
      <c r="LX22" s="20" t="n">
        <f aca="false">IF(EN22=1,IF(ABS((1+AS_Wage)/(1+Slot13_Rate)-1)&lt;0.000000000001,(Slot13_Age-D22)*(1+Slot13_Rate)^(Slot13_Age-D22),(1+Slot13_Rate)^(Slot13_Age-D22)*(1-((1+AS_Wage)/(1+Slot13_Rate))^(Slot13_Age-D22))/(1-(1+AS_Wage)/(1+Slot13_Rate))),1)</f>
        <v>1</v>
      </c>
      <c r="LY22" s="20" t="n">
        <f aca="false">IF(AND(HU22=1,IE22&gt;0,Slot13_IsWG=1,EN22=1),MAX(0,(Slot13_Cost-EO22*(1+Slot13_Rate)^(Slot13_Age-D22))/LX22),0)</f>
        <v>0</v>
      </c>
      <c r="LZ22" s="20" t="n">
        <f aca="false">IF(AND(HU22=1,IE22&gt;0,Slot13_IsWG=1,EN22=1),MIN(IE22,LY22),0)</f>
        <v>0</v>
      </c>
      <c r="MA22" s="20" t="n">
        <f aca="false">EO22+LZ22</f>
        <v>0</v>
      </c>
      <c r="MB22" s="20" t="n">
        <f aca="false">IF(EN22=1,MAX(0,(Slot13_Cost-MA22*(1+Slot13_Rate)^(Slot13_Age-D22))/LX22),0)</f>
        <v>0</v>
      </c>
      <c r="MC22" s="20" t="n">
        <f aca="false">IF(EN22=1,MAX(0,(Slot13_Cost-EO22*(1+Slot13_Rate)^(Slot13_Age-D22))/LX22),0)</f>
        <v>0</v>
      </c>
      <c r="MD22" s="20" t="n">
        <f aca="false">IF(AND(HU22=1,EN22=1),MIN(LW22,MB22),0)</f>
        <v>0</v>
      </c>
      <c r="ME22" s="20" t="n">
        <f aca="false">LW22-MD22</f>
        <v>2602.98278855161</v>
      </c>
      <c r="MF22" s="20" t="n">
        <f aca="false">IF(EX22=1,IF(ABS((1+AS_Wage)/(1+Slot14_Rate)-1)&lt;0.000000000001,(Slot14_Age-D22)*(1+Slot14_Rate)^(Slot14_Age-D22),(1+Slot14_Rate)^(Slot14_Age-D22)*(1-((1+AS_Wage)/(1+Slot14_Rate))^(Slot14_Age-D22))/(1-(1+AS_Wage)/(1+Slot14_Rate))),1)</f>
        <v>1</v>
      </c>
      <c r="MG22" s="20" t="n">
        <f aca="false">IF(AND(HU22=1,IE22&gt;0,Slot14_IsWG=1,EX22=1),MAX(0,(Slot14_Cost-EY22*(1+Slot14_Rate)^(Slot14_Age-D22))/MF22),0)</f>
        <v>0</v>
      </c>
      <c r="MH22" s="20" t="n">
        <f aca="false">IF(AND(HU22=1,IE22&gt;0,Slot14_IsWG=1,EX22=1),MIN(IE22,MG22),0)</f>
        <v>0</v>
      </c>
      <c r="MI22" s="20" t="n">
        <f aca="false">EY22+MH22</f>
        <v>0</v>
      </c>
      <c r="MJ22" s="20" t="n">
        <f aca="false">IF(EX22=1,MAX(0,(Slot14_Cost-MI22*(1+Slot14_Rate)^(Slot14_Age-D22))/MF22),0)</f>
        <v>0</v>
      </c>
      <c r="MK22" s="20" t="n">
        <f aca="false">IF(EX22=1,MAX(0,(Slot14_Cost-EY22*(1+Slot14_Rate)^(Slot14_Age-D22))/MF22),0)</f>
        <v>0</v>
      </c>
      <c r="ML22" s="20" t="n">
        <f aca="false">IF(AND(HU22=1,EX22=1),MIN(ME22,MJ22),0)</f>
        <v>0</v>
      </c>
      <c r="MM22" s="20" t="n">
        <f aca="false">ME22-ML22</f>
        <v>2602.98278855161</v>
      </c>
      <c r="MN22" s="20" t="n">
        <f aca="false">IF(FH22=1,IF(ABS((1+AS_Wage)/(1+Slot15_Rate)-1)&lt;0.000000000001,(Slot15_Age-D22)*(1+Slot15_Rate)^(Slot15_Age-D22),(1+Slot15_Rate)^(Slot15_Age-D22)*(1-((1+AS_Wage)/(1+Slot15_Rate))^(Slot15_Age-D22))/(1-(1+AS_Wage)/(1+Slot15_Rate))),1)</f>
        <v>1</v>
      </c>
      <c r="MO22" s="20" t="n">
        <f aca="false">IF(AND(HU22=1,IE22&gt;0,Slot15_IsWG=1,FH22=1),MAX(0,(Slot15_Cost-FI22*(1+Slot15_Rate)^(Slot15_Age-D22))/MN22),0)</f>
        <v>0</v>
      </c>
      <c r="MP22" s="20" t="n">
        <f aca="false">IF(AND(HU22=1,IE22&gt;0,Slot15_IsWG=1,FH22=1),MIN(IE22,MO22),0)</f>
        <v>0</v>
      </c>
      <c r="MQ22" s="20" t="n">
        <f aca="false">FI22+MP22</f>
        <v>0</v>
      </c>
      <c r="MR22" s="20" t="n">
        <f aca="false">IF(FH22=1,MAX(0,(Slot15_Cost-MQ22*(1+Slot15_Rate)^(Slot15_Age-D22))/MN22),0)</f>
        <v>0</v>
      </c>
      <c r="MS22" s="20" t="n">
        <f aca="false">IF(FH22=1,MAX(0,(Slot15_Cost-FI22*(1+Slot15_Rate)^(Slot15_Age-D22))/MN22),0)</f>
        <v>0</v>
      </c>
      <c r="MT22" s="20" t="n">
        <f aca="false">IF(AND(HU22=1,FH22=1),MIN(MM22,MR22),0)</f>
        <v>0</v>
      </c>
      <c r="MU22" s="20" t="n">
        <f aca="false">MM22-MT22</f>
        <v>2602.98278855161</v>
      </c>
      <c r="MV22" s="20" t="n">
        <f aca="false">IF(FR22=1,IF(ABS((1+AS_Wage)/(1+Slot16_Rate)-1)&lt;0.000000000001,(Slot16_Age-D22)*(1+Slot16_Rate)^(Slot16_Age-D22),(1+Slot16_Rate)^(Slot16_Age-D22)*(1-((1+AS_Wage)/(1+Slot16_Rate))^(Slot16_Age-D22))/(1-(1+AS_Wage)/(1+Slot16_Rate))),1)</f>
        <v>1</v>
      </c>
      <c r="MW22" s="20" t="n">
        <f aca="false">IF(AND(HU22=1,IE22&gt;0,Slot16_IsWG=1,FR22=1),MAX(0,(Slot16_Cost-FS22*(1+Slot16_Rate)^(Slot16_Age-D22))/MV22),0)</f>
        <v>0</v>
      </c>
      <c r="MX22" s="20" t="n">
        <f aca="false">IF(AND(HU22=1,IE22&gt;0,Slot16_IsWG=1,FR22=1),MIN(IE22,MW22),0)</f>
        <v>0</v>
      </c>
      <c r="MY22" s="20" t="n">
        <f aca="false">FS22+MX22</f>
        <v>0</v>
      </c>
      <c r="MZ22" s="20" t="n">
        <f aca="false">IF(FR22=1,MAX(0,(Slot16_Cost-MY22*(1+Slot16_Rate)^(Slot16_Age-D22))/MV22),0)</f>
        <v>0</v>
      </c>
      <c r="NA22" s="20" t="n">
        <f aca="false">IF(FR22=1,MAX(0,(Slot16_Cost-FS22*(1+Slot16_Rate)^(Slot16_Age-D22))/MV22),0)</f>
        <v>0</v>
      </c>
      <c r="NB22" s="20" t="n">
        <f aca="false">IF(AND(HU22=1,FR22=1),MIN(MU22,MZ22),0)</f>
        <v>0</v>
      </c>
      <c r="NC22" s="20" t="n">
        <f aca="false">MU22-NB22</f>
        <v>2602.98278855161</v>
      </c>
      <c r="ND22" s="20" t="n">
        <f aca="false">IF(GB22=1,IF(ABS((1+AS_Wage)/(1+Slot17_Rate)-1)&lt;0.000000000001,(Slot17_Age-D22)*(1+Slot17_Rate)^(Slot17_Age-D22),(1+Slot17_Rate)^(Slot17_Age-D22)*(1-((1+AS_Wage)/(1+Slot17_Rate))^(Slot17_Age-D22))/(1-(1+AS_Wage)/(1+Slot17_Rate))),1)</f>
        <v>1</v>
      </c>
      <c r="NE22" s="20" t="n">
        <f aca="false">IF(AND(HU22=1,IE22&gt;0,Slot17_IsWG=1,GB22=1),MAX(0,(Slot17_Cost-GC22*(1+Slot17_Rate)^(Slot17_Age-D22))/ND22),0)</f>
        <v>0</v>
      </c>
      <c r="NF22" s="20" t="n">
        <f aca="false">IF(AND(HU22=1,IE22&gt;0,Slot17_IsWG=1,GB22=1),MIN(IE22,NE22),0)</f>
        <v>0</v>
      </c>
      <c r="NG22" s="20" t="n">
        <f aca="false">GC22+NF22</f>
        <v>0</v>
      </c>
      <c r="NH22" s="20" t="n">
        <f aca="false">IF(GB22=1,MAX(0,(Slot17_Cost-NG22*(1+Slot17_Rate)^(Slot17_Age-D22))/ND22),0)</f>
        <v>0</v>
      </c>
      <c r="NI22" s="20" t="n">
        <f aca="false">IF(GB22=1,MAX(0,(Slot17_Cost-GC22*(1+Slot17_Rate)^(Slot17_Age-D22))/ND22),0)</f>
        <v>0</v>
      </c>
      <c r="NJ22" s="20" t="n">
        <f aca="false">IF(AND(HU22=1,GB22=1),MIN(NC22,NH22),0)</f>
        <v>0</v>
      </c>
      <c r="NK22" s="20" t="n">
        <f aca="false">NC22-NJ22</f>
        <v>2602.98278855161</v>
      </c>
      <c r="NL22" s="20" t="n">
        <f aca="false">IF(GL22=1,IF(ABS((1+AS_Wage)/(1+Slot18_Rate)-1)&lt;0.000000000001,(Slot18_Age-D22)*(1+Slot18_Rate)^(Slot18_Age-D22),(1+Slot18_Rate)^(Slot18_Age-D22)*(1-((1+AS_Wage)/(1+Slot18_Rate))^(Slot18_Age-D22))/(1-(1+AS_Wage)/(1+Slot18_Rate))),1)</f>
        <v>1</v>
      </c>
      <c r="NM22" s="20" t="n">
        <f aca="false">IF(AND(HU22=1,IE22&gt;0,Slot18_IsWG=1,GL22=1),MAX(0,(Slot18_Cost-GM22*(1+Slot18_Rate)^(Slot18_Age-D22))/NL22),0)</f>
        <v>0</v>
      </c>
      <c r="NN22" s="20" t="n">
        <f aca="false">IF(AND(HU22=1,IE22&gt;0,Slot18_IsWG=1,GL22=1),MIN(IE22,NM22),0)</f>
        <v>0</v>
      </c>
      <c r="NO22" s="20" t="n">
        <f aca="false">GM22+NN22</f>
        <v>0</v>
      </c>
      <c r="NP22" s="20" t="n">
        <f aca="false">IF(GL22=1,MAX(0,(Slot18_Cost-NO22*(1+Slot18_Rate)^(Slot18_Age-D22))/NL22),0)</f>
        <v>0</v>
      </c>
      <c r="NQ22" s="20" t="n">
        <f aca="false">IF(GL22=1,MAX(0,(Slot18_Cost-GM22*(1+Slot18_Rate)^(Slot18_Age-D22))/NL22),0)</f>
        <v>0</v>
      </c>
      <c r="NR22" s="20" t="n">
        <f aca="false">IF(AND(HU22=1,GL22=1),MIN(NK22,NP22),0)</f>
        <v>0</v>
      </c>
      <c r="NS22" s="20" t="n">
        <f aca="false">NK22-NR22</f>
        <v>2602.98278855161</v>
      </c>
      <c r="NT22" s="20" t="n">
        <f aca="false">IF(GV22=1,IF(ABS((1+AS_Wage)/(1+Slot19_Rate)-1)&lt;0.000000000001,(Slot19_Age-D22)*(1+Slot19_Rate)^(Slot19_Age-D22),(1+Slot19_Rate)^(Slot19_Age-D22)*(1-((1+AS_Wage)/(1+Slot19_Rate))^(Slot19_Age-D22))/(1-(1+AS_Wage)/(1+Slot19_Rate))),1)</f>
        <v>1</v>
      </c>
      <c r="NU22" s="20" t="n">
        <f aca="false">IF(AND(HU22=1,IE22&gt;0,Slot19_IsWG=1,GV22=1),MAX(0,(Slot19_Cost-GW22*(1+Slot19_Rate)^(Slot19_Age-D22))/NT22),0)</f>
        <v>0</v>
      </c>
      <c r="NV22" s="20" t="n">
        <f aca="false">IF(AND(HU22=1,IE22&gt;0,Slot19_IsWG=1,GV22=1),MIN(IE22,NU22),0)</f>
        <v>0</v>
      </c>
      <c r="NW22" s="20" t="n">
        <f aca="false">GW22+NV22</f>
        <v>0</v>
      </c>
      <c r="NX22" s="20" t="n">
        <f aca="false">IF(GV22=1,MAX(0,(Slot19_Cost-NW22*(1+Slot19_Rate)^(Slot19_Age-D22))/NT22),0)</f>
        <v>0</v>
      </c>
      <c r="NY22" s="20" t="n">
        <f aca="false">IF(GV22=1,MAX(0,(Slot19_Cost-GW22*(1+Slot19_Rate)^(Slot19_Age-D22))/NT22),0)</f>
        <v>0</v>
      </c>
      <c r="NZ22" s="20" t="n">
        <f aca="false">IF(AND(HU22=1,GV22=1),MIN(NS22,NX22),0)</f>
        <v>0</v>
      </c>
      <c r="OA22" s="20" t="n">
        <f aca="false">NS22-NZ22</f>
        <v>2602.98278855161</v>
      </c>
      <c r="OB22" s="20" t="n">
        <f aca="false">IF(HF22=1,IF(ABS((1+AS_Wage)/(1+Slot20_Rate)-1)&lt;0.000000000001,(Slot20_Age-D22)*(1+Slot20_Rate)^(Slot20_Age-D22),(1+Slot20_Rate)^(Slot20_Age-D22)*(1-((1+AS_Wage)/(1+Slot20_Rate))^(Slot20_Age-D22))/(1-(1+AS_Wage)/(1+Slot20_Rate))),1)</f>
        <v>1</v>
      </c>
      <c r="OC22" s="20" t="n">
        <f aca="false">IF(AND(HU22=1,IE22&gt;0,Slot20_IsWG=1,HF22=1),MAX(0,(Slot20_Cost-HG22*(1+Slot20_Rate)^(Slot20_Age-D22))/OB22),0)</f>
        <v>0</v>
      </c>
      <c r="OD22" s="20" t="n">
        <f aca="false">IF(AND(HU22=1,IE22&gt;0,Slot20_IsWG=1,HF22=1),MIN(IE22,OC22),0)</f>
        <v>0</v>
      </c>
      <c r="OE22" s="20" t="n">
        <f aca="false">HG22+OD22</f>
        <v>0</v>
      </c>
      <c r="OF22" s="20" t="n">
        <f aca="false">IF(HF22=1,MAX(0,(Slot20_Cost-OE22*(1+Slot20_Rate)^(Slot20_Age-D22))/OB22),0)</f>
        <v>0</v>
      </c>
      <c r="OG22" s="20" t="n">
        <f aca="false">IF(HF22=1,MAX(0,(Slot20_Cost-HG22*(1+Slot20_Rate)^(Slot20_Age-D22))/OB22),0)</f>
        <v>0</v>
      </c>
      <c r="OH22" s="20" t="n">
        <f aca="false">IF(AND(HU22=1,HF22=1),MIN(OA22,OF22),0)</f>
        <v>0</v>
      </c>
      <c r="OI22" s="20" t="n">
        <f aca="false">OA22-OH22</f>
        <v>2602.98278855161</v>
      </c>
      <c r="OJ22" s="20" t="n">
        <f aca="false">IE22-(IH22+IP22+IX22+JF22+JN22+JV22+KD22+KL22+KT22+LB22+LJ22+LR22+LZ22+MH22+MP22+MX22+NF22+NN22+NV22+OD22)</f>
        <v>0</v>
      </c>
      <c r="OK22" s="20" t="n">
        <f aca="false">IF(HU22=1,HS22-ID22-IE22,0)</f>
        <v>9011.35472714587</v>
      </c>
      <c r="OL22" s="20" t="n">
        <f aca="false">IF(HU22=0,-HS22,0)</f>
        <v>0</v>
      </c>
      <c r="OM22" s="20" t="n">
        <f aca="false">MIN(OL22,HK22)</f>
        <v>0</v>
      </c>
      <c r="ON22" s="20" t="n">
        <f aca="false">OL22-OM22</f>
        <v>0</v>
      </c>
      <c r="OO22" s="20" t="n">
        <f aca="false">MIN(ON22,HL22)</f>
        <v>0</v>
      </c>
      <c r="OP22" s="20" t="n">
        <f aca="false">ON22-OO22</f>
        <v>0</v>
      </c>
      <c r="OQ22" s="20" t="n">
        <f aca="false">IF(AND(HU22=0,HF22=1,OP22&gt;0),MIN(OP22,HG22),0)</f>
        <v>0</v>
      </c>
      <c r="OR22" s="20" t="n">
        <f aca="false">OP22-OQ22</f>
        <v>0</v>
      </c>
      <c r="OS22" s="20" t="n">
        <f aca="false">IF(AND(HU22=0,GV22=1,OR22&gt;0),MIN(OR22,GW22),0)</f>
        <v>0</v>
      </c>
      <c r="OT22" s="20" t="n">
        <f aca="false">OR22-OS22</f>
        <v>0</v>
      </c>
      <c r="OU22" s="20" t="n">
        <f aca="false">IF(AND(HU22=0,GL22=1,OT22&gt;0),MIN(OT22,GM22),0)</f>
        <v>0</v>
      </c>
      <c r="OV22" s="20" t="n">
        <f aca="false">OT22-OU22</f>
        <v>0</v>
      </c>
      <c r="OW22" s="20" t="n">
        <f aca="false">IF(AND(HU22=0,GB22=1,OV22&gt;0),MIN(OV22,GC22),0)</f>
        <v>0</v>
      </c>
      <c r="OX22" s="20" t="n">
        <f aca="false">OV22-OW22</f>
        <v>0</v>
      </c>
      <c r="OY22" s="20" t="n">
        <f aca="false">IF(AND(HU22=0,FR22=1,OX22&gt;0),MIN(OX22,FS22),0)</f>
        <v>0</v>
      </c>
      <c r="OZ22" s="20" t="n">
        <f aca="false">OX22-OY22</f>
        <v>0</v>
      </c>
      <c r="PA22" s="20" t="n">
        <f aca="false">IF(AND(HU22=0,FH22=1,OZ22&gt;0),MIN(OZ22,FI22),0)</f>
        <v>0</v>
      </c>
      <c r="PB22" s="20" t="n">
        <f aca="false">OZ22-PA22</f>
        <v>0</v>
      </c>
      <c r="PC22" s="20" t="n">
        <f aca="false">IF(AND(HU22=0,EX22=1,PB22&gt;0),MIN(PB22,EY22),0)</f>
        <v>0</v>
      </c>
      <c r="PD22" s="20" t="n">
        <f aca="false">PB22-PC22</f>
        <v>0</v>
      </c>
      <c r="PE22" s="20" t="n">
        <f aca="false">IF(AND(HU22=0,EN22=1,PD22&gt;0),MIN(PD22,EO22),0)</f>
        <v>0</v>
      </c>
      <c r="PF22" s="20" t="n">
        <f aca="false">PD22-PE22</f>
        <v>0</v>
      </c>
      <c r="PG22" s="20" t="n">
        <f aca="false">IF(AND(HU22=0,ED22=1,PF22&gt;0),MIN(PF22,EE22),0)</f>
        <v>0</v>
      </c>
      <c r="PH22" s="20" t="n">
        <f aca="false">PF22-PG22</f>
        <v>0</v>
      </c>
      <c r="PI22" s="20" t="n">
        <f aca="false">IF(AND(HU22=0,DT22=1,PH22&gt;0),MIN(PH22,DU22),0)</f>
        <v>0</v>
      </c>
      <c r="PJ22" s="20" t="n">
        <f aca="false">PH22-PI22</f>
        <v>0</v>
      </c>
      <c r="PK22" s="20" t="n">
        <f aca="false">IF(AND(HU22=0,DJ22=1,PJ22&gt;0),MIN(PJ22,DK22),0)</f>
        <v>0</v>
      </c>
      <c r="PL22" s="20" t="n">
        <f aca="false">PJ22-PK22</f>
        <v>0</v>
      </c>
      <c r="PM22" s="20" t="n">
        <f aca="false">IF(AND(HU22=0,CZ22=1,PL22&gt;0),MIN(PL22,DA22),0)</f>
        <v>0</v>
      </c>
      <c r="PN22" s="20" t="n">
        <f aca="false">PL22-PM22</f>
        <v>0</v>
      </c>
      <c r="PO22" s="20" t="n">
        <f aca="false">IF(AND(HU22=0,CP22=1,PN22&gt;0),MIN(PN22,CQ22),0)</f>
        <v>0</v>
      </c>
      <c r="PP22" s="20" t="n">
        <f aca="false">PN22-PO22</f>
        <v>0</v>
      </c>
      <c r="PQ22" s="20" t="n">
        <f aca="false">IF(AND(HU22=0,CF22=1,PP22&gt;0),MIN(PP22,CG22),0)</f>
        <v>0</v>
      </c>
      <c r="PR22" s="20" t="n">
        <f aca="false">PP22-PQ22</f>
        <v>0</v>
      </c>
      <c r="PS22" s="20" t="n">
        <f aca="false">IF(AND(HU22=0,BV22=1,PR22&gt;0),MIN(PR22,BW22),0)</f>
        <v>0</v>
      </c>
      <c r="PT22" s="20" t="n">
        <f aca="false">PR22-PS22</f>
        <v>0</v>
      </c>
      <c r="PU22" s="20" t="n">
        <f aca="false">IF(AND(HU22=0,BL22=1,PT22&gt;0),MIN(PT22,BM22),0)</f>
        <v>0</v>
      </c>
      <c r="PV22" s="20" t="n">
        <f aca="false">PT22-PU22</f>
        <v>0</v>
      </c>
      <c r="PW22" s="20" t="n">
        <f aca="false">IF(AND(HU22=0,BB22=1,PV22&gt;0),MIN(PV22,BC22),0)</f>
        <v>0</v>
      </c>
      <c r="PX22" s="20" t="n">
        <f aca="false">PV22-PW22</f>
        <v>0</v>
      </c>
      <c r="PY22" s="20" t="n">
        <f aca="false">IF(AND(HU22=0,AR22=1,PX22&gt;0),MIN(PX22,AS22),0)</f>
        <v>0</v>
      </c>
      <c r="PZ22" s="20" t="n">
        <f aca="false">PX22-PY22</f>
        <v>0</v>
      </c>
      <c r="QA22" s="20" t="n">
        <f aca="false">IF(AND(HU22=0,AH22=1,PZ22&gt;0),MIN(PZ22,AI22),0)</f>
        <v>0</v>
      </c>
      <c r="QB22" s="20" t="n">
        <f aca="false">PZ22-QA22</f>
        <v>0</v>
      </c>
      <c r="QC22" s="20" t="n">
        <f aca="false">IF(AND(HU22=0,W22=1,QB22&gt;0),MIN(QB22,X22),0)</f>
        <v>0</v>
      </c>
      <c r="QD22" s="20" t="n">
        <f aca="false">QB22-QC22</f>
        <v>0</v>
      </c>
      <c r="QE22" s="20" t="n">
        <f aca="false">IF(HU22=0,QD22,0)</f>
        <v>0</v>
      </c>
      <c r="QF22" s="20" t="n">
        <f aca="false">OM22+OO22+QC22+QA22+PY22+PW22+PU22+PS22+PQ22+PO22+PM22+PK22+PI22+PG22+PE22+PC22+PA22+OY22+OW22+OU22+OS22+OQ22</f>
        <v>0</v>
      </c>
      <c r="QG22" s="20" t="n">
        <f aca="false">IF(HU22=1,HK22+OJ22+OI22+IF(G22=1,0,OK22),HK22-OM22)</f>
        <v>10877.6295397402</v>
      </c>
      <c r="QH22" s="20" t="n">
        <f aca="false">HL22-OO22</f>
        <v>12821.512699272</v>
      </c>
      <c r="QI22" s="20" t="n">
        <f aca="false">IF(HU22=1,IF(G22=1,ID22+IE22,HS22),0)</f>
        <v>7916.87257837723</v>
      </c>
      <c r="QJ22" s="20" t="n">
        <f aca="false">IF(HU22=1,IF(G22=1,HS22-ID22-IE22,0),0)</f>
        <v>9011.35472714587</v>
      </c>
      <c r="QK22" s="57" t="n">
        <f aca="false">'Plan holdings'!BM22</f>
        <v>11236.0987859284</v>
      </c>
      <c r="QL22" s="20" t="n">
        <f aca="false">QH22*(1+AS_Cash)</f>
        <v>12949.7278262647</v>
      </c>
      <c r="QM22" s="20" t="n">
        <f aca="false">IF(W22=1,IF(HU22=1,II22+IL22,X22-QC22)*(1+Slot1_Rate),0)</f>
        <v>0</v>
      </c>
      <c r="QN22" s="20" t="n">
        <f aca="false">IF(AND(HU22=1,W22=1),(IH22+IL22)/F22,0)</f>
        <v>0</v>
      </c>
      <c r="QO22" s="20" t="n">
        <f aca="false">IF(B22=0,IH22+IL22,0)</f>
        <v>0</v>
      </c>
      <c r="QP22" s="20" t="n">
        <f aca="false">IF(B22=0,IF(HU22=1,IJ22,IK22),0)</f>
        <v>0</v>
      </c>
      <c r="QQ22" s="20" t="n">
        <f aca="false">IF(AH22=1,IF(HU22=1,IQ22+IT22,AI22-QA22)*(1+Slot2_Rate),0)</f>
        <v>0</v>
      </c>
      <c r="QR22" s="20" t="n">
        <f aca="false">IF(AND(HU22=1,AH22=1),(IP22+IT22)/F22,0)</f>
        <v>0</v>
      </c>
      <c r="QS22" s="20" t="n">
        <f aca="false">IF(B22=0,IP22+IT22,0)</f>
        <v>0</v>
      </c>
      <c r="QT22" s="20" t="n">
        <f aca="false">IF(B22=0,IF(HU22=1,IR22,IS22),0)</f>
        <v>0</v>
      </c>
      <c r="QU22" s="20" t="n">
        <f aca="false">IF(AR22=1,IF(HU22=1,IY22+JB22,AS22-PY22)*(1+Slot3_Rate),0)</f>
        <v>0</v>
      </c>
      <c r="QV22" s="20" t="n">
        <f aca="false">IF(AND(HU22=1,AR22=1),(IX22+JB22)/F22,0)</f>
        <v>0</v>
      </c>
      <c r="QW22" s="20" t="n">
        <f aca="false">IF(B22=0,IX22+JB22,0)</f>
        <v>0</v>
      </c>
      <c r="QX22" s="20" t="n">
        <f aca="false">IF(B22=0,IF(HU22=1,IZ22,JA22),0)</f>
        <v>0</v>
      </c>
      <c r="QY22" s="20" t="n">
        <f aca="false">IF(BB22=1,IF(HU22=1,JG22+JJ22,BC22-PW22)*(1+Slot4_Rate),0)</f>
        <v>27049.3451463966</v>
      </c>
      <c r="QZ22" s="20" t="n">
        <f aca="false">IF(AND(HU22=1,BB22=1),(JF22+JJ22)/F22,0)</f>
        <v>4027.26435512355</v>
      </c>
      <c r="RA22" s="20" t="n">
        <f aca="false">IF(B22=0,JF22+JJ22,0)</f>
        <v>0</v>
      </c>
      <c r="RB22" s="20" t="n">
        <f aca="false">IF(B22=0,IF(HU22=1,JH22,JI22),0)</f>
        <v>0</v>
      </c>
      <c r="RC22" s="20" t="n">
        <f aca="false">IF(BL22=1,IF(HU22=1,JO22+JR22,BM22-PU22)*(1+Slot5_Rate),0)</f>
        <v>0</v>
      </c>
      <c r="RD22" s="20" t="n">
        <f aca="false">IF(AND(HU22=1,BL22=1),(JN22+JR22)/F22,0)</f>
        <v>0</v>
      </c>
      <c r="RE22" s="20" t="n">
        <f aca="false">IF(B22=0,JN22+JR22,0)</f>
        <v>0</v>
      </c>
      <c r="RF22" s="20" t="n">
        <f aca="false">IF(B22=0,IF(HU22=1,JP22,JQ22),0)</f>
        <v>0</v>
      </c>
      <c r="RG22" s="20" t="n">
        <f aca="false">IF(BV22=1,IF(HU22=1,JW22+JZ22,BW22-PS22)*(1+Slot6_Rate),0)</f>
        <v>0</v>
      </c>
      <c r="RH22" s="20" t="n">
        <f aca="false">IF(AND(HU22=1,BV22=1),(JV22+JZ22)/F22,0)</f>
        <v>0</v>
      </c>
      <c r="RI22" s="20" t="n">
        <f aca="false">IF(B22=0,JV22+JZ22,0)</f>
        <v>0</v>
      </c>
      <c r="RJ22" s="20" t="n">
        <f aca="false">IF(B22=0,IF(HU22=1,JX22,JY22),0)</f>
        <v>0</v>
      </c>
      <c r="RK22" s="20" t="n">
        <f aca="false">IF(CF22=1,IF(HU22=1,KE22+KH22,CG22-PQ22)*(1+Slot7_Rate),0)</f>
        <v>0</v>
      </c>
      <c r="RL22" s="20" t="n">
        <f aca="false">IF(AND(HU22=1,CF22=1),(KD22+KH22)/F22,0)</f>
        <v>0</v>
      </c>
      <c r="RM22" s="20" t="n">
        <f aca="false">IF(B22=0,KD22+KH22,0)</f>
        <v>0</v>
      </c>
      <c r="RN22" s="20" t="n">
        <f aca="false">IF(B22=0,IF(HU22=1,KF22,KG22),0)</f>
        <v>0</v>
      </c>
      <c r="RO22" s="20" t="n">
        <f aca="false">IF(CP22=1,IF(HU22=1,KM22+KP22,CQ22-PO22)*(1+Slot8_Rate),0)</f>
        <v>0</v>
      </c>
      <c r="RP22" s="20" t="n">
        <f aca="false">IF(AND(HU22=1,CP22=1),(KL22+KP22)/F22,0)</f>
        <v>0</v>
      </c>
      <c r="RQ22" s="20" t="n">
        <f aca="false">IF(B22=0,KL22+KP22,0)</f>
        <v>0</v>
      </c>
      <c r="RR22" s="20" t="n">
        <f aca="false">IF(B22=0,IF(HU22=1,KN22,KO22),0)</f>
        <v>0</v>
      </c>
      <c r="RS22" s="20" t="n">
        <f aca="false">IF(CZ22=1,IF(HU22=1,KU22+KX22,DA22-PM22)*(1+Slot9_Rate),0)</f>
        <v>0</v>
      </c>
      <c r="RT22" s="20" t="n">
        <f aca="false">IF(AND(HU22=1,CZ22=1),(KT22+KX22)/F22,0)</f>
        <v>0</v>
      </c>
      <c r="RU22" s="20" t="n">
        <f aca="false">IF(B22=0,KT22+KX22,0)</f>
        <v>0</v>
      </c>
      <c r="RV22" s="20" t="n">
        <f aca="false">IF(B22=0,IF(HU22=1,KV22,KW22),0)</f>
        <v>0</v>
      </c>
      <c r="RW22" s="20" t="n">
        <f aca="false">IF(DJ22=1,IF(HU22=1,LC22+LF22,DK22-PK22)*(1+Slot10_Rate),0)</f>
        <v>0</v>
      </c>
      <c r="RX22" s="20" t="n">
        <f aca="false">IF(AND(HU22=1,DJ22=1),(LB22+LF22)/F22,0)</f>
        <v>0</v>
      </c>
      <c r="RY22" s="20" t="n">
        <f aca="false">IF(B22=0,LB22+LF22,0)</f>
        <v>0</v>
      </c>
      <c r="RZ22" s="20" t="n">
        <f aca="false">IF(B22=0,IF(HU22=1,LD22,LE22),0)</f>
        <v>0</v>
      </c>
      <c r="SA22" s="20" t="n">
        <f aca="false">IF(DT22=1,IF(HU22=1,LK22+LN22,DU22-PI22)*(1+Slot11_Rate),0)</f>
        <v>0</v>
      </c>
      <c r="SB22" s="20" t="n">
        <f aca="false">IF(AND(HU22=1,DT22=1),(LJ22+LN22)/F22,0)</f>
        <v>0</v>
      </c>
      <c r="SC22" s="20" t="n">
        <f aca="false">IF(B22=0,LJ22+LN22,0)</f>
        <v>0</v>
      </c>
      <c r="SD22" s="20" t="n">
        <f aca="false">IF(B22=0,IF(HU22=1,LL22,LM22),0)</f>
        <v>0</v>
      </c>
      <c r="SE22" s="20" t="n">
        <f aca="false">IF(ED22=1,IF(HU22=1,LS22+LV22,EE22-PG22)*(1+Slot12_Rate),0)</f>
        <v>0</v>
      </c>
      <c r="SF22" s="20" t="n">
        <f aca="false">IF(AND(HU22=1,ED22=1),(LR22+LV22)/F22,0)</f>
        <v>0</v>
      </c>
      <c r="SG22" s="20" t="n">
        <f aca="false">IF(B22=0,LR22+LV22,0)</f>
        <v>0</v>
      </c>
      <c r="SH22" s="20" t="n">
        <f aca="false">IF(B22=0,IF(HU22=1,LT22,LU22),0)</f>
        <v>0</v>
      </c>
      <c r="SI22" s="20" t="n">
        <f aca="false">IF(EN22=1,IF(HU22=1,MA22+MD22,EO22-PE22)*(1+Slot13_Rate),0)</f>
        <v>0</v>
      </c>
      <c r="SJ22" s="20" t="n">
        <f aca="false">IF(AND(HU22=1,EN22=1),(LZ22+MD22)/F22,0)</f>
        <v>0</v>
      </c>
      <c r="SK22" s="20" t="n">
        <f aca="false">IF(B22=0,LZ22+MD22,0)</f>
        <v>0</v>
      </c>
      <c r="SL22" s="20" t="n">
        <f aca="false">IF(B22=0,IF(HU22=1,MB22,MC22),0)</f>
        <v>0</v>
      </c>
      <c r="SM22" s="20" t="n">
        <f aca="false">IF(EX22=1,IF(HU22=1,MI22+ML22,EY22-PC22)*(1+Slot14_Rate),0)</f>
        <v>0</v>
      </c>
      <c r="SN22" s="20" t="n">
        <f aca="false">IF(AND(HU22=1,EX22=1),(MH22+ML22)/F22,0)</f>
        <v>0</v>
      </c>
      <c r="SO22" s="20" t="n">
        <f aca="false">IF(B22=0,MH22+ML22,0)</f>
        <v>0</v>
      </c>
      <c r="SP22" s="20" t="n">
        <f aca="false">IF(B22=0,IF(HU22=1,MJ22,MK22),0)</f>
        <v>0</v>
      </c>
      <c r="SQ22" s="20" t="n">
        <f aca="false">IF(FH22=1,IF(HU22=1,MQ22+MT22,FI22-PA22)*(1+Slot15_Rate),0)</f>
        <v>0</v>
      </c>
      <c r="SR22" s="20" t="n">
        <f aca="false">IF(AND(HU22=1,FH22=1),(MP22+MT22)/F22,0)</f>
        <v>0</v>
      </c>
      <c r="SS22" s="20" t="n">
        <f aca="false">IF(B22=0,MP22+MT22,0)</f>
        <v>0</v>
      </c>
      <c r="ST22" s="20" t="n">
        <f aca="false">IF(B22=0,IF(HU22=1,MR22,MS22),0)</f>
        <v>0</v>
      </c>
      <c r="SU22" s="20" t="n">
        <f aca="false">IF(FR22=1,IF(HU22=1,MY22+NB22,FS22-OY22)*(1+Slot16_Rate),0)</f>
        <v>0</v>
      </c>
      <c r="SV22" s="20" t="n">
        <f aca="false">IF(AND(HU22=1,FR22=1),(MX22+NB22)/F22,0)</f>
        <v>0</v>
      </c>
      <c r="SW22" s="20" t="n">
        <f aca="false">IF(B22=0,MX22+NB22,0)</f>
        <v>0</v>
      </c>
      <c r="SX22" s="20" t="n">
        <f aca="false">IF(B22=0,IF(HU22=1,MZ22,NA22),0)</f>
        <v>0</v>
      </c>
      <c r="SY22" s="20" t="n">
        <f aca="false">IF(GB22=1,IF(HU22=1,NG22+NJ22,GC22-OW22)*(1+Slot17_Rate),0)</f>
        <v>0</v>
      </c>
      <c r="SZ22" s="20" t="n">
        <f aca="false">IF(AND(HU22=1,GB22=1),(NF22+NJ22)/F22,0)</f>
        <v>0</v>
      </c>
      <c r="TA22" s="20" t="n">
        <f aca="false">IF(B22=0,NF22+NJ22,0)</f>
        <v>0</v>
      </c>
      <c r="TB22" s="20" t="n">
        <f aca="false">IF(B22=0,IF(HU22=1,NH22,NI22),0)</f>
        <v>0</v>
      </c>
      <c r="TC22" s="20" t="n">
        <f aca="false">IF(GL22=1,IF(HU22=1,NO22+NR22,GM22-OU22)*(1+Slot18_Rate),0)</f>
        <v>0</v>
      </c>
      <c r="TD22" s="20" t="n">
        <f aca="false">IF(AND(HU22=1,GL22=1),(NN22+NR22)/F22,0)</f>
        <v>0</v>
      </c>
      <c r="TE22" s="20" t="n">
        <f aca="false">IF(B22=0,NN22+NR22,0)</f>
        <v>0</v>
      </c>
      <c r="TF22" s="20" t="n">
        <f aca="false">IF(B22=0,IF(HU22=1,NP22,NQ22),0)</f>
        <v>0</v>
      </c>
      <c r="TG22" s="20" t="n">
        <f aca="false">IF(GV22=1,IF(HU22=1,NW22+NZ22,GW22-OS22)*(1+Slot19_Rate),0)</f>
        <v>0</v>
      </c>
      <c r="TH22" s="20" t="n">
        <f aca="false">IF(AND(HU22=1,GV22=1),(NV22+NZ22)/F22,0)</f>
        <v>0</v>
      </c>
      <c r="TI22" s="20" t="n">
        <f aca="false">IF(B22=0,NV22+NZ22,0)</f>
        <v>0</v>
      </c>
      <c r="TJ22" s="20" t="n">
        <f aca="false">IF(B22=0,IF(HU22=1,NX22,NY22),0)</f>
        <v>0</v>
      </c>
      <c r="TK22" s="20" t="n">
        <f aca="false">IF(HF22=1,IF(HU22=1,OE22+OH22,HG22-OQ22)*(1+Slot20_Rate),0)</f>
        <v>0</v>
      </c>
      <c r="TL22" s="20" t="n">
        <f aca="false">IF(AND(HU22=1,HF22=1),(OD22+OH22)/F22,0)</f>
        <v>0</v>
      </c>
      <c r="TM22" s="20" t="n">
        <f aca="false">IF(B22=0,OD22+OH22,0)</f>
        <v>0</v>
      </c>
      <c r="TN22" s="20" t="n">
        <f aca="false">IF(B22=0,IF(HU22=1,OF22,OG22),0)</f>
        <v>0</v>
      </c>
      <c r="TO22" s="20" t="n">
        <f aca="false">QK22+QL22+QM22+QQ22+QU22+QY22+RC22+RG22+RK22+RO22+RS22+RW22+SA22+SE22+SI22+SM22+SQ22+SU22+SY22+TC22+TG22+TK22</f>
        <v>51235.1717585897</v>
      </c>
      <c r="TP22" s="20" t="n">
        <f aca="false">QE22+HP22</f>
        <v>0</v>
      </c>
      <c r="TQ22" s="20" t="n">
        <f aca="false">I22+S22</f>
        <v>73536.5443378293</v>
      </c>
      <c r="TR22" s="20" t="n">
        <f aca="false">1-G22</f>
        <v>0</v>
      </c>
      <c r="TS22" s="20" t="n">
        <f aca="false">IF(AND(RG_Exists=1,G22=0,C22=1),I22,0)</f>
        <v>0</v>
      </c>
      <c r="TT22" s="20" t="n">
        <f aca="false">IF(AND(RG_Exists=1,G22=0,C22=1),I22-MIN(QE22,I22),0)</f>
        <v>0</v>
      </c>
      <c r="TU22" s="20" t="n">
        <f aca="false">'Plan pay &amp; tax'!AD248</f>
        <v>296303.386922565</v>
      </c>
      <c r="TV22" s="20" t="n">
        <f aca="false">IF(AND(C22=1,QE22&gt;MAX(PR_Short1,TQ22*PR_Short2)),1,0)</f>
        <v>0</v>
      </c>
      <c r="TW22" s="20" t="n">
        <f aca="false">MIN(H22,I22+S22)</f>
        <v>73536.5443378293</v>
      </c>
      <c r="TX22" s="20" t="n">
        <f aca="false">QF22+MAX(0,HQ22-HP22)</f>
        <v>0</v>
      </c>
      <c r="TY22" s="20" t="n">
        <f aca="false">QE22+HP22</f>
        <v>0</v>
      </c>
      <c r="TZ22" s="20" t="n">
        <f aca="false">IF(AND(C22=1,TY22&gt;PR_MinShort),1,0)</f>
        <v>0</v>
      </c>
      <c r="UA22" s="20" t="n">
        <f aca="false">IF(AND(C22=1,TZ22=0,TX22&gt;PR_MinShort),1,0)</f>
        <v>0</v>
      </c>
      <c r="UB22" s="20" t="n">
        <f aca="false">IF(AND(C22=1,QE22&gt;PR_MinShort),1,0)</f>
        <v>0</v>
      </c>
      <c r="UC22" s="20" t="n">
        <f aca="false">IF(AND(C22=1,QF22&gt;1,UJ22=0),1,0)</f>
        <v>0</v>
      </c>
      <c r="UD22" s="20" t="str">
        <f aca="false">IF(C22=0,"",IF(UJ22=1,"Gap to plan for: short "&amp;"€"&amp;TEXT(ROUND(TP22,0),"#,##0"),IF(QF22&gt;1,"Using savings","Comfortable")))</f>
        <v>Comfortable</v>
      </c>
      <c r="UE22" s="20" t="n">
        <f aca="false">IF(AND(INT(D22/10)*10=90,B22&gt;0),80,INT(D22/10)*10)</f>
        <v>50</v>
      </c>
      <c r="UF22" s="20" t="n">
        <f aca="false">IF(B22=0,1,IF(UE22&lt;&gt;UE21,UF21+1,UF21))</f>
        <v>3</v>
      </c>
      <c r="UG22" s="20" t="n">
        <f aca="false">IF(AND(C22=1,G22=1,QE22&gt;MAX(PR_Short1,TQ22*PR_Short2)),1,0)</f>
        <v>0</v>
      </c>
      <c r="UH22" s="20" t="n">
        <f aca="false">TR22*TV22</f>
        <v>0</v>
      </c>
      <c r="UI22" s="20" t="n">
        <f aca="false">IF(AND(V22=1,Slot1_PctLow=1),1,0)+IF(AND(AG22=1,Slot2_PctLow=1),1,0)+IF(AND(AQ22=1,Slot3_PctLow=1),1,0)+IF(AND(BA22=1,Slot4_PctLow=1),1,0)+IF(AND(BK22=1,Slot5_PctLow=1),1,0)+IF(AND(BU22=1,Slot6_PctLow=1),1,0)+IF(AND(CE22=1,Slot7_PctLow=1),1,0)+IF(AND(CO22=1,Slot8_PctLow=1),1,0)+IF(AND(CY22=1,Slot9_PctLow=1),1,0)+IF(AND(DI22=1,Slot10_PctLow=1),1,0)+IF(AND(DS22=1,Slot11_PctLow=1),1,0)+IF(AND(EC22=1,Slot12_PctLow=1),1,0)+IF(AND(EM22=1,Slot13_PctLow=1),1,0)+IF(AND(EW22=1,Slot14_PctLow=1),1,0)+IF(AND(FG22=1,Slot15_PctLow=1),1,0)+IF(AND(FQ22=1,Slot16_PctLow=1),1,0)+IF(AND(GA22=1,Slot17_PctLow=1),1,0)+IF(AND(GK22=1,Slot18_PctLow=1),1,0)+IF(AND(GU22=1,Slot19_PctLow=1),1,0)+IF(AND(HE22=1,Slot20_PctLow=1),1,0)</f>
        <v>0</v>
      </c>
      <c r="UJ22" s="20" t="n">
        <f aca="false">IF(C22=1,IF(OR(TV22=1,UI22&gt;0),1,0),0)</f>
        <v>0</v>
      </c>
      <c r="UK22" s="20" t="n">
        <f aca="false">Z22+AK22+AU22+BE22+BO22+BY22+CI22+CS22+DC22+DM22+DW22+EG22+EQ22+FA22+FK22+FU22+GE22+GO22+GY22+HI22+OM22</f>
        <v>0</v>
      </c>
      <c r="UL22" s="20" t="n">
        <f aca="false">V22*IF(Slot1_SpendLike=1,X22-Y22,IF(Slot1_PotFree=1,X22,0))+AG22*IF(Slot2_SpendLike=1,AI22-AJ22,IF(Slot2_PotFree=1,AI22,0))+AQ22*IF(Slot3_SpendLike=1,AS22-AT22,IF(Slot3_PotFree=1,AS22,0))+BA22*IF(Slot4_SpendLike=1,BC22-BD22,IF(Slot4_PotFree=1,BC22,0))+BK22*IF(Slot5_SpendLike=1,BM22-BN22,IF(Slot5_PotFree=1,BM22,0))+BU22*IF(Slot6_SpendLike=1,BW22-BX22,IF(Slot6_PotFree=1,BW22,0))+CE22*IF(Slot7_SpendLike=1,CG22-CH22,IF(Slot7_PotFree=1,CG22,0))+CO22*IF(Slot8_SpendLike=1,CQ22-CR22,IF(Slot8_PotFree=1,CQ22,0))+CY22*IF(Slot9_SpendLike=1,DA22-DB22,IF(Slot9_PotFree=1,DA22,0))+DI22*IF(Slot10_SpendLike=1,DK22-DL22,IF(Slot10_PotFree=1,DK22,0))+DS22*IF(Slot11_SpendLike=1,DU22-DV22,IF(Slot11_PotFree=1,DU22,0))+EC22*IF(Slot12_SpendLike=1,EE22-EF22,IF(Slot12_PotFree=1,EE22,0))+EM22*IF(Slot13_SpendLike=1,EO22-EP22,IF(Slot13_PotFree=1,EO22,0))+EW22*IF(Slot14_SpendLike=1,EY22-EZ22,IF(Slot14_PotFree=1,EY22,0))+FG22*IF(Slot15_SpendLike=1,FI22-FJ22,IF(Slot15_PotFree=1,FI22,0))+FQ22*IF(Slot16_SpendLike=1,FS22-FT22,IF(Slot16_PotFree=1,FS22,0))+GA22*IF(Slot17_SpendLike=1,GC22-GD22,IF(Slot17_PotFree=1,GC22,0))+GK22*IF(Slot18_SpendLike=1,GM22-GN22,IF(Slot18_PotFree=1,GM22,0))+GU22*IF(Slot19_SpendLike=1,GW22-GX22,IF(Slot19_PotFree=1,GW22,0))+HE22*IF(Slot20_SpendLike=1,HG22-HH22,IF(Slot20_PotFree=1,HG22,0))</f>
        <v>0</v>
      </c>
      <c r="UM22" s="20" t="n">
        <f aca="false">QG22-T22+UK22-UL22</f>
        <v>2602.98278855161</v>
      </c>
      <c r="UN22" s="20" t="n">
        <f aca="false">IF(OR(UN21=1,AND(In_homeUse="Yes, I'd downsize",In_downAge&gt;0,D22=In_downAge,OR(In_home="Own outright",In_home="Own with mortgage"),In_homeValue&gt;0)),1,0)</f>
        <v>0</v>
      </c>
    </row>
    <row r="23" customFormat="false" ht="15" hidden="false" customHeight="true" outlineLevel="0" collapsed="false">
      <c r="B23" s="20" t="n">
        <v>15</v>
      </c>
      <c r="C23" s="20" t="n">
        <f aca="false">IF(B23&lt;=F_N,1,0)</f>
        <v>1</v>
      </c>
      <c r="D23" s="20" t="n">
        <f aca="false">'Plan pay &amp; tax'!C249</f>
        <v>53</v>
      </c>
      <c r="E23" s="20" t="str">
        <f aca="false">IF($C23=1,"Income tax "&amp;TEXT(N('Plan pay &amp; tax'!BK249),"#,##0")&amp;"; USC "&amp;TEXT(N('Plan pay &amp; tax'!BM249)+N('Plan pay &amp; tax'!BO249),"#,##0")&amp;"; PRSI "&amp;TEXT(N('Plan pay &amp; tax'!BP249)+N('Plan pay &amp; tax'!BQ249),"#,##0")&amp;IF(N('Plan holdings'!BO23)&gt;=0.5,"; DIRT "&amp;TEXT(('Plan holdings'!BO23)/$F23,"#,##0")&amp;" (already taken from the interest earned)","")&amp;IF(N('Plan holdings'!BP23)&gt;=0.5,"; exit tax at an 8-year anniversary "&amp;TEXT(('Plan holdings'!BP23)/$F23,"#,##0"),"")&amp;IF(N('Plan holdings'!BN23)&gt;=0.5,"; tax on assets sold (exit tax or capital gains tax) "&amp;TEXT(('Plan holdings'!BN23)/$F23,"#,##0"),"")&amp;IF(N('Plan pay &amp; tax'!X249)-N('Plan pay &amp; tax'!Y249)&gt;=0.5,"; tax on the pension lump sum "&amp;TEXT(('Plan pay &amp; tax'!X249-'Plan pay &amp; tax'!Y249)/$F23,"#,##0"),"")&amp;IF(N('Plan pay &amp; tax'!V249)&gt;=0.5,"; chargeable excess tax on the pension "&amp;TEXT(('Plan pay &amp; tax'!V249)/$F23,"#,##0"),"")&amp;".","")</f>
        <v>Income tax 13,705; USC 1,876; PRSI 4,353; DIRT 77 (already taken from the interest earned).</v>
      </c>
      <c r="F23" s="50" t="n">
        <f aca="false">'Plan pay &amp; tax'!E249</f>
        <v>1.34586833832413</v>
      </c>
      <c r="G23" s="20" t="n">
        <f aca="false">'Plan pay &amp; tax'!G249</f>
        <v>1</v>
      </c>
      <c r="H23" s="20" t="n">
        <f aca="false">'Plan pay &amp; tax'!BT249-'Plan pay &amp; tax'!BS249-'Plan pay &amp; tax'!R249</f>
        <v>92948.5005827378</v>
      </c>
      <c r="I23" s="20" t="n">
        <f aca="false">IF(G23=1,F_CostsM*12,IF(RG_Exists=1,RG_Amount,F_CostsM*12*AS_RetireSpend))*F23+F_OneOffY*F23</f>
        <v>60564.0752245858</v>
      </c>
      <c r="J23" s="20" t="n">
        <f aca="false">IF(UN23=1,0,HR22)</f>
        <v>75719.1166913375</v>
      </c>
      <c r="K23" s="20" t="n">
        <f aca="false">IF(J23&gt;1,'Plan debt months'!AC23,0)</f>
        <v>14160</v>
      </c>
      <c r="L23" s="20" t="n">
        <f aca="false">IF(J23&gt;1,'Plan debt months'!AB23,J23)</f>
        <v>64273.7411370787</v>
      </c>
      <c r="M23" s="20" t="n">
        <f aca="false">O22</f>
        <v>0</v>
      </c>
      <c r="N23" s="20" t="n">
        <f aca="false">IF(M23&gt;1,'Plan debt months'!BD23,0)</f>
        <v>0</v>
      </c>
      <c r="O23" s="20" t="n">
        <f aca="false">IF(M23&gt;1,'Plan debt months'!BC23,M23)</f>
        <v>0</v>
      </c>
      <c r="P23" s="20" t="n">
        <f aca="false">R22</f>
        <v>0</v>
      </c>
      <c r="Q23" s="20" t="n">
        <f aca="false">IF(P23&gt;1,'Plan debt months'!CE23,0)</f>
        <v>0</v>
      </c>
      <c r="R23" s="20" t="n">
        <f aca="false">IF(P23&gt;1,'Plan debt months'!CD23,P23)</f>
        <v>0</v>
      </c>
      <c r="S23" s="20" t="n">
        <f aca="false">K23+N23+Q23</f>
        <v>14160</v>
      </c>
      <c r="T23" s="57" t="n">
        <f aca="false">'Plan holdings'!Y23</f>
        <v>11054.5862230693</v>
      </c>
      <c r="U23" s="57" t="n">
        <f aca="false">'Plan holdings'!BM22</f>
        <v>11236.0987859284</v>
      </c>
      <c r="V23" s="20" t="n">
        <f aca="false">IF(AND(Slot1_On=1,D23=Slot1_Age),1,0)</f>
        <v>0</v>
      </c>
      <c r="W23" s="20" t="n">
        <f aca="false">IF(AND(Slot1_On=1,Slot1_Age&gt;D23),1,0)</f>
        <v>0</v>
      </c>
      <c r="X23" s="20" t="n">
        <f aca="false">QM22</f>
        <v>0</v>
      </c>
      <c r="Y23" s="20" t="n">
        <f aca="false">V23*MIN(Slot1_Cost,X23)</f>
        <v>0</v>
      </c>
      <c r="Z23" s="20" t="n">
        <f aca="false">V23*Slot1_SpendLike*MIN(Slot1_Cost-Y23,T23)</f>
        <v>0</v>
      </c>
      <c r="AA23" s="20" t="n">
        <f aca="false">Y23+Z23</f>
        <v>0</v>
      </c>
      <c r="AB23" s="20" t="n">
        <f aca="false">T23-Z23+V23*IF(Slot1_SpendLike=1,X23-Y23,IF(Slot1_PotFree=1,X23,0))</f>
        <v>11054.5862230693</v>
      </c>
      <c r="AC23" s="20" t="n">
        <f aca="false">AF23+V23*Slot1_BufPot*X23</f>
        <v>12949.7278262647</v>
      </c>
      <c r="AD23" s="20" t="n">
        <f aca="false">IF(AND(V23=1,Slot1_IsMfree=1),IF(AA23&gt;=Slot1_Cost-1,0,MAX(0,L23-AA23)),L23)</f>
        <v>64273.7411370787</v>
      </c>
      <c r="AE23" s="20" t="n">
        <f aca="false">V23*(Slot1_Cost-AA23)</f>
        <v>0</v>
      </c>
      <c r="AF23" s="20" t="n">
        <f aca="false">QL22</f>
        <v>12949.7278262647</v>
      </c>
      <c r="AG23" s="20" t="n">
        <f aca="false">IF(AND(Slot2_On=1,D23=Slot2_Age),1,0)</f>
        <v>0</v>
      </c>
      <c r="AH23" s="20" t="n">
        <f aca="false">IF(AND(Slot2_On=1,Slot2_Age&gt;D23),1,0)</f>
        <v>0</v>
      </c>
      <c r="AI23" s="20" t="n">
        <f aca="false">QQ22</f>
        <v>0</v>
      </c>
      <c r="AJ23" s="20" t="n">
        <f aca="false">AG23*MIN(Slot2_Cost,AI23)</f>
        <v>0</v>
      </c>
      <c r="AK23" s="20" t="n">
        <f aca="false">AG23*Slot2_SpendLike*MIN(Slot2_Cost-AJ23,AB23)</f>
        <v>0</v>
      </c>
      <c r="AL23" s="20" t="n">
        <f aca="false">AJ23+AK23</f>
        <v>0</v>
      </c>
      <c r="AM23" s="20" t="n">
        <f aca="false">AB23-AK23+AG23*IF(Slot2_SpendLike=1,AI23-AJ23,IF(Slot2_PotFree=1,AI23,0))</f>
        <v>11054.5862230693</v>
      </c>
      <c r="AN23" s="20" t="n">
        <f aca="false">AC23+AG23*Slot2_BufPot*AI23</f>
        <v>12949.7278262647</v>
      </c>
      <c r="AO23" s="20" t="n">
        <f aca="false">IF(AND(AG23=1,Slot2_IsMfree=1),IF(AL23&gt;=Slot2_Cost-1,0,MAX(0,AD23-AL23)),AD23)</f>
        <v>64273.7411370787</v>
      </c>
      <c r="AP23" s="20" t="n">
        <f aca="false">AG23*(Slot2_Cost-AL23)</f>
        <v>0</v>
      </c>
      <c r="AQ23" s="20" t="n">
        <f aca="false">IF(AND(Slot3_On=1,D23=Slot3_Age),1,0)</f>
        <v>0</v>
      </c>
      <c r="AR23" s="20" t="n">
        <f aca="false">IF(AND(Slot3_On=1,Slot3_Age&gt;D23),1,0)</f>
        <v>0</v>
      </c>
      <c r="AS23" s="20" t="n">
        <f aca="false">QU22</f>
        <v>0</v>
      </c>
      <c r="AT23" s="20" t="n">
        <f aca="false">AQ23*MIN(Slot3_Cost,AS23)</f>
        <v>0</v>
      </c>
      <c r="AU23" s="20" t="n">
        <f aca="false">AQ23*Slot3_SpendLike*MIN(Slot3_Cost-AT23,AM23)</f>
        <v>0</v>
      </c>
      <c r="AV23" s="20" t="n">
        <f aca="false">AT23+AU23</f>
        <v>0</v>
      </c>
      <c r="AW23" s="20" t="n">
        <f aca="false">AM23-AU23+AQ23*IF(Slot3_SpendLike=1,AS23-AT23,IF(Slot3_PotFree=1,AS23,0))</f>
        <v>11054.5862230693</v>
      </c>
      <c r="AX23" s="20" t="n">
        <f aca="false">AN23+AQ23*Slot3_BufPot*AS23</f>
        <v>12949.7278262647</v>
      </c>
      <c r="AY23" s="20" t="n">
        <f aca="false">IF(AND(AQ23=1,Slot3_IsMfree=1),IF(AV23&gt;=Slot3_Cost-1,0,MAX(0,AO23-AV23)),AO23)</f>
        <v>64273.7411370787</v>
      </c>
      <c r="AZ23" s="20" t="n">
        <f aca="false">AQ23*(Slot3_Cost-AV23)</f>
        <v>0</v>
      </c>
      <c r="BA23" s="20" t="n">
        <f aca="false">IF(AND(Slot4_On=1,D23=Slot4_Age),1,0)</f>
        <v>0</v>
      </c>
      <c r="BB23" s="20" t="n">
        <f aca="false">IF(AND(Slot4_On=1,Slot4_Age&gt;D23),1,0)</f>
        <v>1</v>
      </c>
      <c r="BC23" s="20" t="n">
        <f aca="false">QY22</f>
        <v>27049.3451463966</v>
      </c>
      <c r="BD23" s="20" t="n">
        <f aca="false">BA23*MIN(Slot4_Cost,BC23)</f>
        <v>0</v>
      </c>
      <c r="BE23" s="20" t="n">
        <f aca="false">BA23*Slot4_SpendLike*MIN(Slot4_Cost-BD23,AW23)</f>
        <v>0</v>
      </c>
      <c r="BF23" s="20" t="n">
        <f aca="false">BD23+BE23</f>
        <v>0</v>
      </c>
      <c r="BG23" s="20" t="n">
        <f aca="false">AW23-BE23+BA23*IF(Slot4_SpendLike=1,BC23-BD23,IF(Slot4_PotFree=1,BC23,0))</f>
        <v>11054.5862230693</v>
      </c>
      <c r="BH23" s="20" t="n">
        <f aca="false">AX23+BA23*Slot4_BufPot*BC23</f>
        <v>12949.7278262647</v>
      </c>
      <c r="BI23" s="20" t="n">
        <f aca="false">IF(AND(BA23=1,Slot4_IsMfree=1),IF(BF23&gt;=Slot4_Cost-1,0,MAX(0,AY23-BF23)),AY23)</f>
        <v>64273.7411370787</v>
      </c>
      <c r="BJ23" s="20" t="n">
        <f aca="false">BA23*(Slot4_Cost-BF23)</f>
        <v>0</v>
      </c>
      <c r="BK23" s="20" t="n">
        <f aca="false">IF(AND(Slot5_On=1,D23=Slot5_Age),1,0)</f>
        <v>0</v>
      </c>
      <c r="BL23" s="20" t="n">
        <f aca="false">IF(AND(Slot5_On=1,Slot5_Age&gt;D23),1,0)</f>
        <v>0</v>
      </c>
      <c r="BM23" s="20" t="n">
        <f aca="false">RC22</f>
        <v>0</v>
      </c>
      <c r="BN23" s="20" t="n">
        <f aca="false">BK23*MIN(Slot5_Cost,BM23)</f>
        <v>0</v>
      </c>
      <c r="BO23" s="20" t="n">
        <f aca="false">BK23*Slot5_SpendLike*MIN(Slot5_Cost-BN23,BG23)</f>
        <v>0</v>
      </c>
      <c r="BP23" s="20" t="n">
        <f aca="false">BN23+BO23</f>
        <v>0</v>
      </c>
      <c r="BQ23" s="20" t="n">
        <f aca="false">BG23-BO23+BK23*IF(Slot5_SpendLike=1,BM23-BN23,IF(Slot5_PotFree=1,BM23,0))</f>
        <v>11054.5862230693</v>
      </c>
      <c r="BR23" s="20" t="n">
        <f aca="false">BH23+BK23*Slot5_BufPot*BM23</f>
        <v>12949.7278262647</v>
      </c>
      <c r="BS23" s="20" t="n">
        <f aca="false">IF(AND(BK23=1,Slot5_IsMfree=1),IF(BP23&gt;=Slot5_Cost-1,0,MAX(0,BI23-BP23)),BI23)</f>
        <v>64273.7411370787</v>
      </c>
      <c r="BT23" s="20" t="n">
        <f aca="false">BK23*(Slot5_Cost-BP23)</f>
        <v>0</v>
      </c>
      <c r="BU23" s="20" t="n">
        <f aca="false">IF(AND(Slot6_On=1,D23=Slot6_Age),1,0)</f>
        <v>0</v>
      </c>
      <c r="BV23" s="20" t="n">
        <f aca="false">IF(AND(Slot6_On=1,Slot6_Age&gt;D23),1,0)</f>
        <v>0</v>
      </c>
      <c r="BW23" s="20" t="n">
        <f aca="false">RG22</f>
        <v>0</v>
      </c>
      <c r="BX23" s="20" t="n">
        <f aca="false">BU23*MIN(Slot6_Cost,BW23)</f>
        <v>0</v>
      </c>
      <c r="BY23" s="20" t="n">
        <f aca="false">BU23*Slot6_SpendLike*MIN(Slot6_Cost-BX23,BQ23)</f>
        <v>0</v>
      </c>
      <c r="BZ23" s="20" t="n">
        <f aca="false">BX23+BY23</f>
        <v>0</v>
      </c>
      <c r="CA23" s="20" t="n">
        <f aca="false">BQ23-BY23+BU23*IF(Slot6_SpendLike=1,BW23-BX23,IF(Slot6_PotFree=1,BW23,0))</f>
        <v>11054.5862230693</v>
      </c>
      <c r="CB23" s="20" t="n">
        <f aca="false">BR23+BU23*Slot6_BufPot*BW23</f>
        <v>12949.7278262647</v>
      </c>
      <c r="CC23" s="20" t="n">
        <f aca="false">IF(AND(BU23=1,Slot6_IsMfree=1),IF(BZ23&gt;=Slot6_Cost-1,0,MAX(0,BS23-BZ23)),BS23)</f>
        <v>64273.7411370787</v>
      </c>
      <c r="CD23" s="20" t="n">
        <f aca="false">BU23*(Slot6_Cost-BZ23)</f>
        <v>0</v>
      </c>
      <c r="CE23" s="20" t="n">
        <f aca="false">IF(AND(Slot7_On=1,D23=Slot7_Age),1,0)</f>
        <v>0</v>
      </c>
      <c r="CF23" s="20" t="n">
        <f aca="false">IF(AND(Slot7_On=1,Slot7_Age&gt;D23),1,0)</f>
        <v>0</v>
      </c>
      <c r="CG23" s="20" t="n">
        <f aca="false">RK22</f>
        <v>0</v>
      </c>
      <c r="CH23" s="20" t="n">
        <f aca="false">CE23*MIN(Slot7_Cost,CG23)</f>
        <v>0</v>
      </c>
      <c r="CI23" s="20" t="n">
        <f aca="false">CE23*Slot7_SpendLike*MIN(Slot7_Cost-CH23,CA23)</f>
        <v>0</v>
      </c>
      <c r="CJ23" s="20" t="n">
        <f aca="false">CH23+CI23</f>
        <v>0</v>
      </c>
      <c r="CK23" s="20" t="n">
        <f aca="false">CA23-CI23+CE23*IF(Slot7_SpendLike=1,CG23-CH23,IF(Slot7_PotFree=1,CG23,0))</f>
        <v>11054.5862230693</v>
      </c>
      <c r="CL23" s="20" t="n">
        <f aca="false">CB23+CE23*Slot7_BufPot*CG23</f>
        <v>12949.7278262647</v>
      </c>
      <c r="CM23" s="20" t="n">
        <f aca="false">IF(AND(CE23=1,Slot7_IsMfree=1),IF(CJ23&gt;=Slot7_Cost-1,0,MAX(0,CC23-CJ23)),CC23)</f>
        <v>64273.7411370787</v>
      </c>
      <c r="CN23" s="20" t="n">
        <f aca="false">CE23*(Slot7_Cost-CJ23)</f>
        <v>0</v>
      </c>
      <c r="CO23" s="20" t="n">
        <f aca="false">IF(AND(Slot8_On=1,D23=Slot8_Age),1,0)</f>
        <v>0</v>
      </c>
      <c r="CP23" s="20" t="n">
        <f aca="false">IF(AND(Slot8_On=1,Slot8_Age&gt;D23),1,0)</f>
        <v>0</v>
      </c>
      <c r="CQ23" s="20" t="n">
        <f aca="false">RO22</f>
        <v>0</v>
      </c>
      <c r="CR23" s="20" t="n">
        <f aca="false">CO23*MIN(Slot8_Cost,CQ23)</f>
        <v>0</v>
      </c>
      <c r="CS23" s="20" t="n">
        <f aca="false">CO23*Slot8_SpendLike*MIN(Slot8_Cost-CR23,CK23)</f>
        <v>0</v>
      </c>
      <c r="CT23" s="20" t="n">
        <f aca="false">CR23+CS23</f>
        <v>0</v>
      </c>
      <c r="CU23" s="20" t="n">
        <f aca="false">CK23-CS23+CO23*IF(Slot8_SpendLike=1,CQ23-CR23,IF(Slot8_PotFree=1,CQ23,0))</f>
        <v>11054.5862230693</v>
      </c>
      <c r="CV23" s="20" t="n">
        <f aca="false">CL23+CO23*Slot8_BufPot*CQ23</f>
        <v>12949.7278262647</v>
      </c>
      <c r="CW23" s="20" t="n">
        <f aca="false">IF(AND(CO23=1,Slot8_IsMfree=1),IF(CT23&gt;=Slot8_Cost-1,0,MAX(0,CM23-CT23)),CM23)</f>
        <v>64273.7411370787</v>
      </c>
      <c r="CX23" s="20" t="n">
        <f aca="false">CO23*(Slot8_Cost-CT23)</f>
        <v>0</v>
      </c>
      <c r="CY23" s="20" t="n">
        <f aca="false">IF(AND(Slot9_On=1,D23=Slot9_Age),1,0)</f>
        <v>0</v>
      </c>
      <c r="CZ23" s="20" t="n">
        <f aca="false">IF(AND(Slot9_On=1,Slot9_Age&gt;D23),1,0)</f>
        <v>0</v>
      </c>
      <c r="DA23" s="20" t="n">
        <f aca="false">RS22</f>
        <v>0</v>
      </c>
      <c r="DB23" s="20" t="n">
        <f aca="false">CY23*MIN(Slot9_Cost,DA23)</f>
        <v>0</v>
      </c>
      <c r="DC23" s="20" t="n">
        <f aca="false">CY23*Slot9_SpendLike*MIN(Slot9_Cost-DB23,CU23)</f>
        <v>0</v>
      </c>
      <c r="DD23" s="20" t="n">
        <f aca="false">DB23+DC23</f>
        <v>0</v>
      </c>
      <c r="DE23" s="20" t="n">
        <f aca="false">CU23-DC23+CY23*IF(Slot9_SpendLike=1,DA23-DB23,IF(Slot9_PotFree=1,DA23,0))</f>
        <v>11054.5862230693</v>
      </c>
      <c r="DF23" s="20" t="n">
        <f aca="false">CV23+CY23*Slot9_BufPot*DA23</f>
        <v>12949.7278262647</v>
      </c>
      <c r="DG23" s="20" t="n">
        <f aca="false">IF(AND(CY23=1,Slot9_IsMfree=1),IF(DD23&gt;=Slot9_Cost-1,0,MAX(0,CW23-DD23)),CW23)</f>
        <v>64273.7411370787</v>
      </c>
      <c r="DH23" s="20" t="n">
        <f aca="false">CY23*(Slot9_Cost-DD23)</f>
        <v>0</v>
      </c>
      <c r="DI23" s="20" t="n">
        <f aca="false">IF(AND(Slot10_On=1,D23=Slot10_Age),1,0)</f>
        <v>0</v>
      </c>
      <c r="DJ23" s="20" t="n">
        <f aca="false">IF(AND(Slot10_On=1,Slot10_Age&gt;D23),1,0)</f>
        <v>0</v>
      </c>
      <c r="DK23" s="20" t="n">
        <f aca="false">RW22</f>
        <v>0</v>
      </c>
      <c r="DL23" s="20" t="n">
        <f aca="false">DI23*MIN(Slot10_Cost,DK23)</f>
        <v>0</v>
      </c>
      <c r="DM23" s="20" t="n">
        <f aca="false">DI23*Slot10_SpendLike*MIN(Slot10_Cost-DL23,DE23)</f>
        <v>0</v>
      </c>
      <c r="DN23" s="20" t="n">
        <f aca="false">DL23+DM23</f>
        <v>0</v>
      </c>
      <c r="DO23" s="20" t="n">
        <f aca="false">DE23-DM23+DI23*IF(Slot10_SpendLike=1,DK23-DL23,IF(Slot10_PotFree=1,DK23,0))</f>
        <v>11054.5862230693</v>
      </c>
      <c r="DP23" s="20" t="n">
        <f aca="false">DF23+DI23*Slot10_BufPot*DK23</f>
        <v>12949.7278262647</v>
      </c>
      <c r="DQ23" s="20" t="n">
        <f aca="false">IF(AND(DI23=1,Slot10_IsMfree=1),IF(DN23&gt;=Slot10_Cost-1,0,MAX(0,DG23-DN23)),DG23)</f>
        <v>64273.7411370787</v>
      </c>
      <c r="DR23" s="20" t="n">
        <f aca="false">DI23*(Slot10_Cost-DN23)</f>
        <v>0</v>
      </c>
      <c r="DS23" s="20" t="n">
        <f aca="false">IF(AND(Slot11_On=1,D23=Slot11_Age),1,0)</f>
        <v>0</v>
      </c>
      <c r="DT23" s="20" t="n">
        <f aca="false">IF(AND(Slot11_On=1,Slot11_Age&gt;D23),1,0)</f>
        <v>0</v>
      </c>
      <c r="DU23" s="20" t="n">
        <f aca="false">SA22</f>
        <v>0</v>
      </c>
      <c r="DV23" s="20" t="n">
        <f aca="false">DS23*MIN(Slot11_Cost,DU23)</f>
        <v>0</v>
      </c>
      <c r="DW23" s="20" t="n">
        <f aca="false">DS23*Slot11_SpendLike*MIN(Slot11_Cost-DV23,DO23)</f>
        <v>0</v>
      </c>
      <c r="DX23" s="20" t="n">
        <f aca="false">DV23+DW23</f>
        <v>0</v>
      </c>
      <c r="DY23" s="20" t="n">
        <f aca="false">DO23-DW23+DS23*IF(Slot11_SpendLike=1,DU23-DV23,IF(Slot11_PotFree=1,DU23,0))</f>
        <v>11054.5862230693</v>
      </c>
      <c r="DZ23" s="20" t="n">
        <f aca="false">DP23+DS23*Slot11_BufPot*DU23</f>
        <v>12949.7278262647</v>
      </c>
      <c r="EA23" s="20" t="n">
        <f aca="false">IF(AND(DS23=1,Slot11_IsMfree=1),IF(DX23&gt;=Slot11_Cost-1,0,MAX(0,DQ23-DX23)),DQ23)</f>
        <v>64273.7411370787</v>
      </c>
      <c r="EB23" s="20" t="n">
        <f aca="false">DS23*(Slot11_Cost-DX23)</f>
        <v>0</v>
      </c>
      <c r="EC23" s="20" t="n">
        <f aca="false">IF(AND(Slot12_On=1,D23=Slot12_Age),1,0)</f>
        <v>0</v>
      </c>
      <c r="ED23" s="20" t="n">
        <f aca="false">IF(AND(Slot12_On=1,Slot12_Age&gt;D23),1,0)</f>
        <v>0</v>
      </c>
      <c r="EE23" s="20" t="n">
        <f aca="false">SE22</f>
        <v>0</v>
      </c>
      <c r="EF23" s="20" t="n">
        <f aca="false">EC23*MIN(Slot12_Cost,EE23)</f>
        <v>0</v>
      </c>
      <c r="EG23" s="20" t="n">
        <f aca="false">EC23*Slot12_SpendLike*MIN(Slot12_Cost-EF23,DY23)</f>
        <v>0</v>
      </c>
      <c r="EH23" s="20" t="n">
        <f aca="false">EF23+EG23</f>
        <v>0</v>
      </c>
      <c r="EI23" s="20" t="n">
        <f aca="false">DY23-EG23+EC23*IF(Slot12_SpendLike=1,EE23-EF23,IF(Slot12_PotFree=1,EE23,0))</f>
        <v>11054.5862230693</v>
      </c>
      <c r="EJ23" s="20" t="n">
        <f aca="false">DZ23+EC23*Slot12_BufPot*EE23</f>
        <v>12949.7278262647</v>
      </c>
      <c r="EK23" s="20" t="n">
        <f aca="false">IF(AND(EC23=1,Slot12_IsMfree=1),IF(EH23&gt;=Slot12_Cost-1,0,MAX(0,EA23-EH23)),EA23)</f>
        <v>64273.7411370787</v>
      </c>
      <c r="EL23" s="20" t="n">
        <f aca="false">EC23*(Slot12_Cost-EH23)</f>
        <v>0</v>
      </c>
      <c r="EM23" s="20" t="n">
        <f aca="false">IF(AND(Slot13_On=1,D23=Slot13_Age),1,0)</f>
        <v>0</v>
      </c>
      <c r="EN23" s="20" t="n">
        <f aca="false">IF(AND(Slot13_On=1,Slot13_Age&gt;D23),1,0)</f>
        <v>0</v>
      </c>
      <c r="EO23" s="20" t="n">
        <f aca="false">SI22</f>
        <v>0</v>
      </c>
      <c r="EP23" s="20" t="n">
        <f aca="false">EM23*MIN(Slot13_Cost,EO23)</f>
        <v>0</v>
      </c>
      <c r="EQ23" s="20" t="n">
        <f aca="false">EM23*Slot13_SpendLike*MIN(Slot13_Cost-EP23,EI23)</f>
        <v>0</v>
      </c>
      <c r="ER23" s="20" t="n">
        <f aca="false">EP23+EQ23</f>
        <v>0</v>
      </c>
      <c r="ES23" s="20" t="n">
        <f aca="false">EI23-EQ23+EM23*IF(Slot13_SpendLike=1,EO23-EP23,IF(Slot13_PotFree=1,EO23,0))</f>
        <v>11054.5862230693</v>
      </c>
      <c r="ET23" s="20" t="n">
        <f aca="false">EJ23+EM23*Slot13_BufPot*EO23</f>
        <v>12949.7278262647</v>
      </c>
      <c r="EU23" s="20" t="n">
        <f aca="false">IF(AND(EM23=1,Slot13_IsMfree=1),IF(ER23&gt;=Slot13_Cost-1,0,MAX(0,EK23-ER23)),EK23)</f>
        <v>64273.7411370787</v>
      </c>
      <c r="EV23" s="20" t="n">
        <f aca="false">EM23*(Slot13_Cost-ER23)</f>
        <v>0</v>
      </c>
      <c r="EW23" s="20" t="n">
        <f aca="false">IF(AND(Slot14_On=1,D23=Slot14_Age),1,0)</f>
        <v>0</v>
      </c>
      <c r="EX23" s="20" t="n">
        <f aca="false">IF(AND(Slot14_On=1,Slot14_Age&gt;D23),1,0)</f>
        <v>0</v>
      </c>
      <c r="EY23" s="20" t="n">
        <f aca="false">SM22</f>
        <v>0</v>
      </c>
      <c r="EZ23" s="20" t="n">
        <f aca="false">EW23*MIN(Slot14_Cost,EY23)</f>
        <v>0</v>
      </c>
      <c r="FA23" s="20" t="n">
        <f aca="false">EW23*Slot14_SpendLike*MIN(Slot14_Cost-EZ23,ES23)</f>
        <v>0</v>
      </c>
      <c r="FB23" s="20" t="n">
        <f aca="false">EZ23+FA23</f>
        <v>0</v>
      </c>
      <c r="FC23" s="20" t="n">
        <f aca="false">ES23-FA23+EW23*IF(Slot14_SpendLike=1,EY23-EZ23,IF(Slot14_PotFree=1,EY23,0))</f>
        <v>11054.5862230693</v>
      </c>
      <c r="FD23" s="20" t="n">
        <f aca="false">ET23+EW23*Slot14_BufPot*EY23</f>
        <v>12949.7278262647</v>
      </c>
      <c r="FE23" s="20" t="n">
        <f aca="false">IF(AND(EW23=1,Slot14_IsMfree=1),IF(FB23&gt;=Slot14_Cost-1,0,MAX(0,EU23-FB23)),EU23)</f>
        <v>64273.7411370787</v>
      </c>
      <c r="FF23" s="20" t="n">
        <f aca="false">EW23*(Slot14_Cost-FB23)</f>
        <v>0</v>
      </c>
      <c r="FG23" s="20" t="n">
        <f aca="false">IF(AND(Slot15_On=1,D23=Slot15_Age),1,0)</f>
        <v>0</v>
      </c>
      <c r="FH23" s="20" t="n">
        <f aca="false">IF(AND(Slot15_On=1,Slot15_Age&gt;D23),1,0)</f>
        <v>0</v>
      </c>
      <c r="FI23" s="20" t="n">
        <f aca="false">SQ22</f>
        <v>0</v>
      </c>
      <c r="FJ23" s="20" t="n">
        <f aca="false">FG23*MIN(Slot15_Cost,FI23)</f>
        <v>0</v>
      </c>
      <c r="FK23" s="20" t="n">
        <f aca="false">FG23*Slot15_SpendLike*MIN(Slot15_Cost-FJ23,FC23)</f>
        <v>0</v>
      </c>
      <c r="FL23" s="20" t="n">
        <f aca="false">FJ23+FK23</f>
        <v>0</v>
      </c>
      <c r="FM23" s="20" t="n">
        <f aca="false">FC23-FK23+FG23*IF(Slot15_SpendLike=1,FI23-FJ23,IF(Slot15_PotFree=1,FI23,0))</f>
        <v>11054.5862230693</v>
      </c>
      <c r="FN23" s="20" t="n">
        <f aca="false">FD23+FG23*Slot15_BufPot*FI23</f>
        <v>12949.7278262647</v>
      </c>
      <c r="FO23" s="20" t="n">
        <f aca="false">IF(AND(FG23=1,Slot15_IsMfree=1),IF(FL23&gt;=Slot15_Cost-1,0,MAX(0,FE23-FL23)),FE23)</f>
        <v>64273.7411370787</v>
      </c>
      <c r="FP23" s="20" t="n">
        <f aca="false">FG23*(Slot15_Cost-FL23)</f>
        <v>0</v>
      </c>
      <c r="FQ23" s="20" t="n">
        <f aca="false">IF(AND(Slot16_On=1,D23=Slot16_Age),1,0)</f>
        <v>0</v>
      </c>
      <c r="FR23" s="20" t="n">
        <f aca="false">IF(AND(Slot16_On=1,Slot16_Age&gt;D23),1,0)</f>
        <v>0</v>
      </c>
      <c r="FS23" s="20" t="n">
        <f aca="false">SU22</f>
        <v>0</v>
      </c>
      <c r="FT23" s="20" t="n">
        <f aca="false">FQ23*MIN(Slot16_Cost,FS23)</f>
        <v>0</v>
      </c>
      <c r="FU23" s="20" t="n">
        <f aca="false">FQ23*Slot16_SpendLike*MIN(Slot16_Cost-FT23,FM23)</f>
        <v>0</v>
      </c>
      <c r="FV23" s="20" t="n">
        <f aca="false">FT23+FU23</f>
        <v>0</v>
      </c>
      <c r="FW23" s="20" t="n">
        <f aca="false">FM23-FU23+FQ23*IF(Slot16_SpendLike=1,FS23-FT23,IF(Slot16_PotFree=1,FS23,0))</f>
        <v>11054.5862230693</v>
      </c>
      <c r="FX23" s="20" t="n">
        <f aca="false">FN23+FQ23*Slot16_BufPot*FS23</f>
        <v>12949.7278262647</v>
      </c>
      <c r="FY23" s="20" t="n">
        <f aca="false">IF(AND(FQ23=1,Slot16_IsMfree=1),IF(FV23&gt;=Slot16_Cost-1,0,MAX(0,FO23-FV23)),FO23)</f>
        <v>64273.7411370787</v>
      </c>
      <c r="FZ23" s="20" t="n">
        <f aca="false">FQ23*(Slot16_Cost-FV23)</f>
        <v>0</v>
      </c>
      <c r="GA23" s="20" t="n">
        <f aca="false">IF(AND(Slot17_On=1,D23=Slot17_Age),1,0)</f>
        <v>0</v>
      </c>
      <c r="GB23" s="20" t="n">
        <f aca="false">IF(AND(Slot17_On=1,Slot17_Age&gt;D23),1,0)</f>
        <v>0</v>
      </c>
      <c r="GC23" s="20" t="n">
        <f aca="false">SY22</f>
        <v>0</v>
      </c>
      <c r="GD23" s="20" t="n">
        <f aca="false">GA23*MIN(Slot17_Cost,GC23)</f>
        <v>0</v>
      </c>
      <c r="GE23" s="20" t="n">
        <f aca="false">GA23*Slot17_SpendLike*MIN(Slot17_Cost-GD23,FW23)</f>
        <v>0</v>
      </c>
      <c r="GF23" s="20" t="n">
        <f aca="false">GD23+GE23</f>
        <v>0</v>
      </c>
      <c r="GG23" s="20" t="n">
        <f aca="false">FW23-GE23+GA23*IF(Slot17_SpendLike=1,GC23-GD23,IF(Slot17_PotFree=1,GC23,0))</f>
        <v>11054.5862230693</v>
      </c>
      <c r="GH23" s="20" t="n">
        <f aca="false">FX23+GA23*Slot17_BufPot*GC23</f>
        <v>12949.7278262647</v>
      </c>
      <c r="GI23" s="20" t="n">
        <f aca="false">IF(AND(GA23=1,Slot17_IsMfree=1),IF(GF23&gt;=Slot17_Cost-1,0,MAX(0,FY23-GF23)),FY23)</f>
        <v>64273.7411370787</v>
      </c>
      <c r="GJ23" s="20" t="n">
        <f aca="false">GA23*(Slot17_Cost-GF23)</f>
        <v>0</v>
      </c>
      <c r="GK23" s="20" t="n">
        <f aca="false">IF(AND(Slot18_On=1,D23=Slot18_Age),1,0)</f>
        <v>0</v>
      </c>
      <c r="GL23" s="20" t="n">
        <f aca="false">IF(AND(Slot18_On=1,Slot18_Age&gt;D23),1,0)</f>
        <v>0</v>
      </c>
      <c r="GM23" s="20" t="n">
        <f aca="false">TC22</f>
        <v>0</v>
      </c>
      <c r="GN23" s="20" t="n">
        <f aca="false">GK23*MIN(Slot18_Cost,GM23)</f>
        <v>0</v>
      </c>
      <c r="GO23" s="20" t="n">
        <f aca="false">GK23*Slot18_SpendLike*MIN(Slot18_Cost-GN23,GG23)</f>
        <v>0</v>
      </c>
      <c r="GP23" s="20" t="n">
        <f aca="false">GN23+GO23</f>
        <v>0</v>
      </c>
      <c r="GQ23" s="20" t="n">
        <f aca="false">GG23-GO23+GK23*IF(Slot18_SpendLike=1,GM23-GN23,IF(Slot18_PotFree=1,GM23,0))</f>
        <v>11054.5862230693</v>
      </c>
      <c r="GR23" s="20" t="n">
        <f aca="false">GH23+GK23*Slot18_BufPot*GM23</f>
        <v>12949.7278262647</v>
      </c>
      <c r="GS23" s="20" t="n">
        <f aca="false">IF(AND(GK23=1,Slot18_IsMfree=1),IF(GP23&gt;=Slot18_Cost-1,0,MAX(0,GI23-GP23)),GI23)</f>
        <v>64273.7411370787</v>
      </c>
      <c r="GT23" s="20" t="n">
        <f aca="false">GK23*(Slot18_Cost-GP23)</f>
        <v>0</v>
      </c>
      <c r="GU23" s="20" t="n">
        <f aca="false">IF(AND(Slot19_On=1,D23=Slot19_Age),1,0)</f>
        <v>0</v>
      </c>
      <c r="GV23" s="20" t="n">
        <f aca="false">IF(AND(Slot19_On=1,Slot19_Age&gt;D23),1,0)</f>
        <v>0</v>
      </c>
      <c r="GW23" s="20" t="n">
        <f aca="false">TG22</f>
        <v>0</v>
      </c>
      <c r="GX23" s="20" t="n">
        <f aca="false">GU23*MIN(Slot19_Cost,GW23)</f>
        <v>0</v>
      </c>
      <c r="GY23" s="20" t="n">
        <f aca="false">GU23*Slot19_SpendLike*MIN(Slot19_Cost-GX23,GQ23)</f>
        <v>0</v>
      </c>
      <c r="GZ23" s="20" t="n">
        <f aca="false">GX23+GY23</f>
        <v>0</v>
      </c>
      <c r="HA23" s="20" t="n">
        <f aca="false">GQ23-GY23+GU23*IF(Slot19_SpendLike=1,GW23-GX23,IF(Slot19_PotFree=1,GW23,0))</f>
        <v>11054.5862230693</v>
      </c>
      <c r="HB23" s="20" t="n">
        <f aca="false">GR23+GU23*Slot19_BufPot*GW23</f>
        <v>12949.7278262647</v>
      </c>
      <c r="HC23" s="20" t="n">
        <f aca="false">IF(AND(GU23=1,Slot19_IsMfree=1),IF(GZ23&gt;=Slot19_Cost-1,0,MAX(0,GS23-GZ23)),GS23)</f>
        <v>64273.7411370787</v>
      </c>
      <c r="HD23" s="20" t="n">
        <f aca="false">GU23*(Slot19_Cost-GZ23)</f>
        <v>0</v>
      </c>
      <c r="HE23" s="20" t="n">
        <f aca="false">IF(AND(Slot20_On=1,D23=Slot20_Age),1,0)</f>
        <v>0</v>
      </c>
      <c r="HF23" s="20" t="n">
        <f aca="false">IF(AND(Slot20_On=1,Slot20_Age&gt;D23),1,0)</f>
        <v>0</v>
      </c>
      <c r="HG23" s="20" t="n">
        <f aca="false">TK22</f>
        <v>0</v>
      </c>
      <c r="HH23" s="20" t="n">
        <f aca="false">HE23*MIN(Slot20_Cost,HG23)</f>
        <v>0</v>
      </c>
      <c r="HI23" s="20" t="n">
        <f aca="false">HE23*Slot20_SpendLike*MIN(Slot20_Cost-HH23,HA23)</f>
        <v>0</v>
      </c>
      <c r="HJ23" s="20" t="n">
        <f aca="false">HH23+HI23</f>
        <v>0</v>
      </c>
      <c r="HK23" s="20" t="n">
        <f aca="false">HA23-HI23+HE23*IF(Slot20_SpendLike=1,HG23-HH23,IF(Slot20_PotFree=1,HG23,0))</f>
        <v>11054.5862230693</v>
      </c>
      <c r="HL23" s="20" t="n">
        <f aca="false">HB23+HE23*Slot20_BufPot*HG23</f>
        <v>12949.7278262647</v>
      </c>
      <c r="HM23" s="20" t="n">
        <f aca="false">IF(AND(HE23=1,Slot20_IsMfree=1),IF(HJ23&gt;=Slot20_Cost-1,0,MAX(0,HC23-HJ23)),HC23)</f>
        <v>64273.7411370787</v>
      </c>
      <c r="HN23" s="20" t="n">
        <f aca="false">HE23*(Slot20_Cost-HJ23)</f>
        <v>0</v>
      </c>
      <c r="HO23" s="20" t="n">
        <f aca="false">V23*Slot1_SpendLike*AA23+AG23*Slot2_SpendLike*AL23+AQ23*Slot3_SpendLike*AV23+BA23*Slot4_SpendLike*BF23+BK23*Slot5_SpendLike*BP23+BU23*Slot6_SpendLike*BZ23+CE23*Slot7_SpendLike*CJ23+CO23*Slot8_SpendLike*CT23+CY23*Slot9_SpendLike*DD23+DI23*Slot10_SpendLike*DN23+DS23*Slot11_SpendLike*DX23+EC23*Slot12_SpendLike*EH23+EM23*Slot13_SpendLike*ER23+EW23*Slot14_SpendLike*FB23+FG23*Slot15_SpendLike*FL23+FQ23*Slot16_SpendLike*FV23+GA23*Slot17_SpendLike*GF23+GK23*Slot18_SpendLike*GP23+GU23*Slot19_SpendLike*GZ23+HE23*Slot20_SpendLike*HJ23</f>
        <v>0</v>
      </c>
      <c r="HP23" s="20" t="n">
        <f aca="false">AE23+AP23+AZ23+BJ23+BT23+CD23+CN23+CX23+DH23+DR23+EB23+EL23+EV23+FF23+FP23+FZ23+GJ23+GT23+HD23+HN23</f>
        <v>0</v>
      </c>
      <c r="HQ23" s="20" t="n">
        <f aca="false">V23*Slot1_Cost+AG23*Slot2_Cost+AQ23*Slot3_Cost+BA23*Slot4_Cost+BK23*Slot5_Cost+BU23*Slot6_Cost+CE23*Slot7_Cost+CO23*Slot8_Cost+CY23*Slot9_Cost+DI23*Slot10_Cost+DS23*Slot11_Cost+EC23*Slot12_Cost+EM23*Slot13_Cost+EW23*Slot14_Cost+FG23*Slot15_Cost+FQ23*Slot16_Cost+GA23*Slot17_Cost+GK23*Slot18_Cost+GU23*Slot19_Cost+HE23*Slot20_Cost</f>
        <v>0</v>
      </c>
      <c r="HR23" s="20" t="n">
        <f aca="false">HM23</f>
        <v>64273.7411370787</v>
      </c>
      <c r="HS23" s="20" t="n">
        <f aca="false">H23-I23-S23</f>
        <v>18224.425358152</v>
      </c>
      <c r="HT23" s="20" t="n">
        <f aca="false">IF(B23=0,IF(AND(Has_q6=1,In_q6=4),PR_ShareVaries*(MAX(0,HS23)/12),MIN(IF(Has_q6=1,CHOOSE(In_q6+1,PR_SaveB1,PR_SaveB2,PR_SaveB3,PR_SaveB4,0),AS_NoAnswer),AS_SaveShare*(MAX(0,HS23)/12))),HT22)</f>
        <v>67.3316893520437</v>
      </c>
      <c r="HU23" s="20" t="n">
        <f aca="false">IF(HS23&gt;=0,1,0)</f>
        <v>1</v>
      </c>
      <c r="HV23" s="20" t="n">
        <f aca="false">MAX(0,HS23/12/F23)</f>
        <v>1128.41804055693</v>
      </c>
      <c r="HW23" s="20" t="n">
        <f aca="false">IF(AND(Has_q6=1,In_q6=4),PR_ShareVaries*(HV23),MIN(IF(Has_q6=1,CHOOSE(In_q6+1,PR_SaveB1,PR_SaveB2,PR_SaveB3,PR_SaveB4,0),AS_NoAnswer),AS_SaveShare*(HV23)))</f>
        <v>500</v>
      </c>
      <c r="HX23" s="20" t="n">
        <f aca="false">IF(Has_saveM=1,IF(In_saveUp="Yes",1,IF(In_saveUp="No",0,IF(In_saveM&gt;=HT23-0.5,1,0))),0)</f>
        <v>0</v>
      </c>
      <c r="HY23" s="20" t="n">
        <f aca="false">IF(Has_saveM=1,MIN(HV23,IF(HX23=1,MAX(In_saveM,HW23),MIN(In_saveM,HW23))),HW23)</f>
        <v>500</v>
      </c>
      <c r="HZ23" s="20" t="n">
        <f aca="false">IF(G23=1,HY23*12*F23,0)</f>
        <v>8075.21002994478</v>
      </c>
      <c r="IA23" s="20" t="n">
        <f aca="false">MAX(0,HZ23+IF(AND(WI_Retire=0,WI_M&lt;0,G23=1),WI_M*12*F23,0))</f>
        <v>8075.21002994478</v>
      </c>
      <c r="IB23" s="20" t="n">
        <f aca="false">Slot1_IsWG*W23+Slot2_IsWG*AH23+Slot3_IsWG*AR23+Slot4_IsWG*BB23+Slot5_IsWG*BL23+Slot6_IsWG*BV23+Slot7_IsWG*CF23+Slot8_IsWG*CP23+Slot9_IsWG*CZ23+Slot10_IsWG*DJ23+Slot11_IsWG*DT23+Slot12_IsWG*ED23+Slot13_IsWG*EN23+Slot14_IsWG*EX23+Slot15_IsWG*FH23+Slot16_IsWG*FR23+Slot17_IsWG*GB23+Slot18_IsWG*GL23+Slot19_IsWG*GV23+Slot20_IsWG*HF23</f>
        <v>0</v>
      </c>
      <c r="IC23" s="20" t="n">
        <f aca="false">IF(AND(WI_Retire=0,WI_M&gt;0,G23=1,IB23&gt;=1),WI_M*12*F23,0)</f>
        <v>0</v>
      </c>
      <c r="ID23" s="20" t="n">
        <f aca="false">IF(HU23=1,MIN(IA23,HS23),0)</f>
        <v>8075.21002994478</v>
      </c>
      <c r="IE23" s="20" t="n">
        <f aca="false">IF(HU23=1,MIN(IC23,HS23-ID23),0)</f>
        <v>0</v>
      </c>
      <c r="IF23" s="20" t="n">
        <f aca="false">IF(W23=1,IF(ABS((1+AS_Wage)/(1+Slot1_Rate)-1)&lt;0.000000000001,(Slot1_Age-D23)*(1+Slot1_Rate)^(Slot1_Age-D23),(1+Slot1_Rate)^(Slot1_Age-D23)*(1-((1+AS_Wage)/(1+Slot1_Rate))^(Slot1_Age-D23))/(1-(1+AS_Wage)/(1+Slot1_Rate))),1)</f>
        <v>1</v>
      </c>
      <c r="IG23" s="20" t="n">
        <f aca="false">IF(AND(HU23=1,IE23&gt;0,Slot1_IsWG=1,W23=1),MAX(0,(Slot1_Cost-X23*(1+Slot1_Rate)^(Slot1_Age-D23))/IF23),0)</f>
        <v>0</v>
      </c>
      <c r="IH23" s="20" t="n">
        <f aca="false">IF(AND(HU23=1,IE23&gt;0,Slot1_IsWG=1,W23=1),MIN(IE23,IG23),0)</f>
        <v>0</v>
      </c>
      <c r="II23" s="20" t="n">
        <f aca="false">X23+IH23</f>
        <v>0</v>
      </c>
      <c r="IJ23" s="20" t="n">
        <f aca="false">IF(W23=1,MAX(0,(Slot1_Cost-II23*(1+Slot1_Rate)^(Slot1_Age-D23))/IF23),0)</f>
        <v>0</v>
      </c>
      <c r="IK23" s="20" t="n">
        <f aca="false">IF(W23=1,MAX(0,(Slot1_Cost-X23*(1+Slot1_Rate)^(Slot1_Age-D23))/IF23),0)</f>
        <v>0</v>
      </c>
      <c r="IL23" s="20" t="n">
        <f aca="false">IF(AND(HU23=1,W23=1),MIN(ID23,IJ23),0)</f>
        <v>0</v>
      </c>
      <c r="IM23" s="20" t="n">
        <f aca="false">ID23-IL23</f>
        <v>8075.21002994478</v>
      </c>
      <c r="IN23" s="20" t="n">
        <f aca="false">IF(AH23=1,IF(ABS((1+AS_Wage)/(1+Slot2_Rate)-1)&lt;0.000000000001,(Slot2_Age-D23)*(1+Slot2_Rate)^(Slot2_Age-D23),(1+Slot2_Rate)^(Slot2_Age-D23)*(1-((1+AS_Wage)/(1+Slot2_Rate))^(Slot2_Age-D23))/(1-(1+AS_Wage)/(1+Slot2_Rate))),1)</f>
        <v>1</v>
      </c>
      <c r="IO23" s="20" t="n">
        <f aca="false">IF(AND(HU23=1,IE23&gt;0,Slot2_IsWG=1,AH23=1),MAX(0,(Slot2_Cost-AI23*(1+Slot2_Rate)^(Slot2_Age-D23))/IN23),0)</f>
        <v>0</v>
      </c>
      <c r="IP23" s="20" t="n">
        <f aca="false">IF(AND(HU23=1,IE23&gt;0,Slot2_IsWG=1,AH23=1),MIN(IE23,IO23),0)</f>
        <v>0</v>
      </c>
      <c r="IQ23" s="20" t="n">
        <f aca="false">AI23+IP23</f>
        <v>0</v>
      </c>
      <c r="IR23" s="20" t="n">
        <f aca="false">IF(AH23=1,MAX(0,(Slot2_Cost-IQ23*(1+Slot2_Rate)^(Slot2_Age-D23))/IN23),0)</f>
        <v>0</v>
      </c>
      <c r="IS23" s="20" t="n">
        <f aca="false">IF(AH23=1,MAX(0,(Slot2_Cost-AI23*(1+Slot2_Rate)^(Slot2_Age-D23))/IN23),0)</f>
        <v>0</v>
      </c>
      <c r="IT23" s="20" t="n">
        <f aca="false">IF(AND(HU23=1,AH23=1),MIN(IM23,IR23),0)</f>
        <v>0</v>
      </c>
      <c r="IU23" s="20" t="n">
        <f aca="false">IM23-IT23</f>
        <v>8075.21002994478</v>
      </c>
      <c r="IV23" s="20" t="n">
        <f aca="false">IF(AR23=1,IF(ABS((1+AS_Wage)/(1+Slot3_Rate)-1)&lt;0.000000000001,(Slot3_Age-D23)*(1+Slot3_Rate)^(Slot3_Age-D23),(1+Slot3_Rate)^(Slot3_Age-D23)*(1-((1+AS_Wage)/(1+Slot3_Rate))^(Slot3_Age-D23))/(1-(1+AS_Wage)/(1+Slot3_Rate))),1)</f>
        <v>1</v>
      </c>
      <c r="IW23" s="20" t="n">
        <f aca="false">IF(AND(HU23=1,IE23&gt;0,Slot3_IsWG=1,AR23=1),MAX(0,(Slot3_Cost-AS23*(1+Slot3_Rate)^(Slot3_Age-D23))/IV23),0)</f>
        <v>0</v>
      </c>
      <c r="IX23" s="20" t="n">
        <f aca="false">IF(AND(HU23=1,IE23&gt;0,Slot3_IsWG=1,AR23=1),MIN(IE23,IW23),0)</f>
        <v>0</v>
      </c>
      <c r="IY23" s="20" t="n">
        <f aca="false">AS23+IX23</f>
        <v>0</v>
      </c>
      <c r="IZ23" s="20" t="n">
        <f aca="false">IF(AR23=1,MAX(0,(Slot3_Cost-IY23*(1+Slot3_Rate)^(Slot3_Age-D23))/IV23),0)</f>
        <v>0</v>
      </c>
      <c r="JA23" s="20" t="n">
        <f aca="false">IF(AR23=1,MAX(0,(Slot3_Cost-AS23*(1+Slot3_Rate)^(Slot3_Age-D23))/IV23),0)</f>
        <v>0</v>
      </c>
      <c r="JB23" s="20" t="n">
        <f aca="false">IF(AND(HU23=1,AR23=1),MIN(IU23,IZ23),0)</f>
        <v>0</v>
      </c>
      <c r="JC23" s="20" t="n">
        <f aca="false">IU23-JB23</f>
        <v>8075.21002994478</v>
      </c>
      <c r="JD23" s="20" t="n">
        <f aca="false">IF(BB23=1,IF(ABS((1+AS_Wage)/(1+Slot4_Rate)-1)&lt;0.000000000001,(Slot4_Age-D23)*(1+Slot4_Rate)^(Slot4_Age-D23),(1+Slot4_Rate)^(Slot4_Age-D23)*(1-((1+AS_Wage)/(1+Slot4_Rate))^(Slot4_Age-D23))/(1-(1+AS_Wage)/(1+Slot4_Rate))),1)</f>
        <v>2.109456</v>
      </c>
      <c r="JE23" s="20" t="n">
        <f aca="false">IF(AND(HU23=1,IE23&gt;0,Slot4_IsWG=1,BB23=1),MAX(0,(Slot4_Cost-BC23*(1+Slot4_Rate)^(Slot4_Age-D23))/JD23),0)</f>
        <v>0</v>
      </c>
      <c r="JF23" s="20" t="n">
        <f aca="false">IF(AND(HU23=1,IE23&gt;0,Slot4_IsWG=1,BB23=1),MIN(IE23,JE23),0)</f>
        <v>0</v>
      </c>
      <c r="JG23" s="20" t="n">
        <f aca="false">BC23+JF23</f>
        <v>27049.3451463966</v>
      </c>
      <c r="JH23" s="20" t="n">
        <f aca="false">IF(BB23=1,MAX(0,(Slot4_Cost-JG23*(1+Slot4_Rate)^(Slot4_Age-D23))/JD23),0)</f>
        <v>5473.30648352039</v>
      </c>
      <c r="JI23" s="20" t="n">
        <f aca="false">IF(BB23=1,MAX(0,(Slot4_Cost-BC23*(1+Slot4_Rate)^(Slot4_Age-D23))/JD23),0)</f>
        <v>5473.30648352039</v>
      </c>
      <c r="JJ23" s="20" t="n">
        <f aca="false">IF(AND(HU23=1,BB23=1),MIN(JC23,JH23),0)</f>
        <v>5473.30648352039</v>
      </c>
      <c r="JK23" s="20" t="n">
        <f aca="false">JC23-JJ23</f>
        <v>2601.90354642439</v>
      </c>
      <c r="JL23" s="20" t="n">
        <f aca="false">IF(BL23=1,IF(ABS((1+AS_Wage)/(1+Slot5_Rate)-1)&lt;0.000000000001,(Slot5_Age-D23)*(1+Slot5_Rate)^(Slot5_Age-D23),(1+Slot5_Rate)^(Slot5_Age-D23)*(1-((1+AS_Wage)/(1+Slot5_Rate))^(Slot5_Age-D23))/(1-(1+AS_Wage)/(1+Slot5_Rate))),1)</f>
        <v>1</v>
      </c>
      <c r="JM23" s="20" t="n">
        <f aca="false">IF(AND(HU23=1,IE23&gt;0,Slot5_IsWG=1,BL23=1),MAX(0,(Slot5_Cost-BM23*(1+Slot5_Rate)^(Slot5_Age-D23))/JL23),0)</f>
        <v>0</v>
      </c>
      <c r="JN23" s="20" t="n">
        <f aca="false">IF(AND(HU23=1,IE23&gt;0,Slot5_IsWG=1,BL23=1),MIN(IE23,JM23),0)</f>
        <v>0</v>
      </c>
      <c r="JO23" s="20" t="n">
        <f aca="false">BM23+JN23</f>
        <v>0</v>
      </c>
      <c r="JP23" s="20" t="n">
        <f aca="false">IF(BL23=1,MAX(0,(Slot5_Cost-JO23*(1+Slot5_Rate)^(Slot5_Age-D23))/JL23),0)</f>
        <v>0</v>
      </c>
      <c r="JQ23" s="20" t="n">
        <f aca="false">IF(BL23=1,MAX(0,(Slot5_Cost-BM23*(1+Slot5_Rate)^(Slot5_Age-D23))/JL23),0)</f>
        <v>0</v>
      </c>
      <c r="JR23" s="20" t="n">
        <f aca="false">IF(AND(HU23=1,BL23=1),MIN(JK23,JP23),0)</f>
        <v>0</v>
      </c>
      <c r="JS23" s="20" t="n">
        <f aca="false">JK23-JR23</f>
        <v>2601.90354642439</v>
      </c>
      <c r="JT23" s="20" t="n">
        <f aca="false">IF(BV23=1,IF(ABS((1+AS_Wage)/(1+Slot6_Rate)-1)&lt;0.000000000001,(Slot6_Age-D23)*(1+Slot6_Rate)^(Slot6_Age-D23),(1+Slot6_Rate)^(Slot6_Age-D23)*(1-((1+AS_Wage)/(1+Slot6_Rate))^(Slot6_Age-D23))/(1-(1+AS_Wage)/(1+Slot6_Rate))),1)</f>
        <v>1</v>
      </c>
      <c r="JU23" s="20" t="n">
        <f aca="false">IF(AND(HU23=1,IE23&gt;0,Slot6_IsWG=1,BV23=1),MAX(0,(Slot6_Cost-BW23*(1+Slot6_Rate)^(Slot6_Age-D23))/JT23),0)</f>
        <v>0</v>
      </c>
      <c r="JV23" s="20" t="n">
        <f aca="false">IF(AND(HU23=1,IE23&gt;0,Slot6_IsWG=1,BV23=1),MIN(IE23,JU23),0)</f>
        <v>0</v>
      </c>
      <c r="JW23" s="20" t="n">
        <f aca="false">BW23+JV23</f>
        <v>0</v>
      </c>
      <c r="JX23" s="20" t="n">
        <f aca="false">IF(BV23=1,MAX(0,(Slot6_Cost-JW23*(1+Slot6_Rate)^(Slot6_Age-D23))/JT23),0)</f>
        <v>0</v>
      </c>
      <c r="JY23" s="20" t="n">
        <f aca="false">IF(BV23=1,MAX(0,(Slot6_Cost-BW23*(1+Slot6_Rate)^(Slot6_Age-D23))/JT23),0)</f>
        <v>0</v>
      </c>
      <c r="JZ23" s="20" t="n">
        <f aca="false">IF(AND(HU23=1,BV23=1),MIN(JS23,JX23),0)</f>
        <v>0</v>
      </c>
      <c r="KA23" s="20" t="n">
        <f aca="false">JS23-JZ23</f>
        <v>2601.90354642439</v>
      </c>
      <c r="KB23" s="20" t="n">
        <f aca="false">IF(CF23=1,IF(ABS((1+AS_Wage)/(1+Slot7_Rate)-1)&lt;0.000000000001,(Slot7_Age-D23)*(1+Slot7_Rate)^(Slot7_Age-D23),(1+Slot7_Rate)^(Slot7_Age-D23)*(1-((1+AS_Wage)/(1+Slot7_Rate))^(Slot7_Age-D23))/(1-(1+AS_Wage)/(1+Slot7_Rate))),1)</f>
        <v>1</v>
      </c>
      <c r="KC23" s="20" t="n">
        <f aca="false">IF(AND(HU23=1,IE23&gt;0,Slot7_IsWG=1,CF23=1),MAX(0,(Slot7_Cost-CG23*(1+Slot7_Rate)^(Slot7_Age-D23))/KB23),0)</f>
        <v>0</v>
      </c>
      <c r="KD23" s="20" t="n">
        <f aca="false">IF(AND(HU23=1,IE23&gt;0,Slot7_IsWG=1,CF23=1),MIN(IE23,KC23),0)</f>
        <v>0</v>
      </c>
      <c r="KE23" s="20" t="n">
        <f aca="false">CG23+KD23</f>
        <v>0</v>
      </c>
      <c r="KF23" s="20" t="n">
        <f aca="false">IF(CF23=1,MAX(0,(Slot7_Cost-KE23*(1+Slot7_Rate)^(Slot7_Age-D23))/KB23),0)</f>
        <v>0</v>
      </c>
      <c r="KG23" s="20" t="n">
        <f aca="false">IF(CF23=1,MAX(0,(Slot7_Cost-CG23*(1+Slot7_Rate)^(Slot7_Age-D23))/KB23),0)</f>
        <v>0</v>
      </c>
      <c r="KH23" s="20" t="n">
        <f aca="false">IF(AND(HU23=1,CF23=1),MIN(KA23,KF23),0)</f>
        <v>0</v>
      </c>
      <c r="KI23" s="20" t="n">
        <f aca="false">KA23-KH23</f>
        <v>2601.90354642439</v>
      </c>
      <c r="KJ23" s="20" t="n">
        <f aca="false">IF(CP23=1,IF(ABS((1+AS_Wage)/(1+Slot8_Rate)-1)&lt;0.000000000001,(Slot8_Age-D23)*(1+Slot8_Rate)^(Slot8_Age-D23),(1+Slot8_Rate)^(Slot8_Age-D23)*(1-((1+AS_Wage)/(1+Slot8_Rate))^(Slot8_Age-D23))/(1-(1+AS_Wage)/(1+Slot8_Rate))),1)</f>
        <v>1</v>
      </c>
      <c r="KK23" s="20" t="n">
        <f aca="false">IF(AND(HU23=1,IE23&gt;0,Slot8_IsWG=1,CP23=1),MAX(0,(Slot8_Cost-CQ23*(1+Slot8_Rate)^(Slot8_Age-D23))/KJ23),0)</f>
        <v>0</v>
      </c>
      <c r="KL23" s="20" t="n">
        <f aca="false">IF(AND(HU23=1,IE23&gt;0,Slot8_IsWG=1,CP23=1),MIN(IE23,KK23),0)</f>
        <v>0</v>
      </c>
      <c r="KM23" s="20" t="n">
        <f aca="false">CQ23+KL23</f>
        <v>0</v>
      </c>
      <c r="KN23" s="20" t="n">
        <f aca="false">IF(CP23=1,MAX(0,(Slot8_Cost-KM23*(1+Slot8_Rate)^(Slot8_Age-D23))/KJ23),0)</f>
        <v>0</v>
      </c>
      <c r="KO23" s="20" t="n">
        <f aca="false">IF(CP23=1,MAX(0,(Slot8_Cost-CQ23*(1+Slot8_Rate)^(Slot8_Age-D23))/KJ23),0)</f>
        <v>0</v>
      </c>
      <c r="KP23" s="20" t="n">
        <f aca="false">IF(AND(HU23=1,CP23=1),MIN(KI23,KN23),0)</f>
        <v>0</v>
      </c>
      <c r="KQ23" s="20" t="n">
        <f aca="false">KI23-KP23</f>
        <v>2601.90354642439</v>
      </c>
      <c r="KR23" s="20" t="n">
        <f aca="false">IF(CZ23=1,IF(ABS((1+AS_Wage)/(1+Slot9_Rate)-1)&lt;0.000000000001,(Slot9_Age-D23)*(1+Slot9_Rate)^(Slot9_Age-D23),(1+Slot9_Rate)^(Slot9_Age-D23)*(1-((1+AS_Wage)/(1+Slot9_Rate))^(Slot9_Age-D23))/(1-(1+AS_Wage)/(1+Slot9_Rate))),1)</f>
        <v>1</v>
      </c>
      <c r="KS23" s="20" t="n">
        <f aca="false">IF(AND(HU23=1,IE23&gt;0,Slot9_IsWG=1,CZ23=1),MAX(0,(Slot9_Cost-DA23*(1+Slot9_Rate)^(Slot9_Age-D23))/KR23),0)</f>
        <v>0</v>
      </c>
      <c r="KT23" s="20" t="n">
        <f aca="false">IF(AND(HU23=1,IE23&gt;0,Slot9_IsWG=1,CZ23=1),MIN(IE23,KS23),0)</f>
        <v>0</v>
      </c>
      <c r="KU23" s="20" t="n">
        <f aca="false">DA23+KT23</f>
        <v>0</v>
      </c>
      <c r="KV23" s="20" t="n">
        <f aca="false">IF(CZ23=1,MAX(0,(Slot9_Cost-KU23*(1+Slot9_Rate)^(Slot9_Age-D23))/KR23),0)</f>
        <v>0</v>
      </c>
      <c r="KW23" s="20" t="n">
        <f aca="false">IF(CZ23=1,MAX(0,(Slot9_Cost-DA23*(1+Slot9_Rate)^(Slot9_Age-D23))/KR23),0)</f>
        <v>0</v>
      </c>
      <c r="KX23" s="20" t="n">
        <f aca="false">IF(AND(HU23=1,CZ23=1),MIN(KQ23,KV23),0)</f>
        <v>0</v>
      </c>
      <c r="KY23" s="20" t="n">
        <f aca="false">KQ23-KX23</f>
        <v>2601.90354642439</v>
      </c>
      <c r="KZ23" s="20" t="n">
        <f aca="false">IF(DJ23=1,IF(ABS((1+AS_Wage)/(1+Slot10_Rate)-1)&lt;0.000000000001,(Slot10_Age-D23)*(1+Slot10_Rate)^(Slot10_Age-D23),(1+Slot10_Rate)^(Slot10_Age-D23)*(1-((1+AS_Wage)/(1+Slot10_Rate))^(Slot10_Age-D23))/(1-(1+AS_Wage)/(1+Slot10_Rate))),1)</f>
        <v>1</v>
      </c>
      <c r="LA23" s="20" t="n">
        <f aca="false">IF(AND(HU23=1,IE23&gt;0,Slot10_IsWG=1,DJ23=1),MAX(0,(Slot10_Cost-DK23*(1+Slot10_Rate)^(Slot10_Age-D23))/KZ23),0)</f>
        <v>0</v>
      </c>
      <c r="LB23" s="20" t="n">
        <f aca="false">IF(AND(HU23=1,IE23&gt;0,Slot10_IsWG=1,DJ23=1),MIN(IE23,LA23),0)</f>
        <v>0</v>
      </c>
      <c r="LC23" s="20" t="n">
        <f aca="false">DK23+LB23</f>
        <v>0</v>
      </c>
      <c r="LD23" s="20" t="n">
        <f aca="false">IF(DJ23=1,MAX(0,(Slot10_Cost-LC23*(1+Slot10_Rate)^(Slot10_Age-D23))/KZ23),0)</f>
        <v>0</v>
      </c>
      <c r="LE23" s="20" t="n">
        <f aca="false">IF(DJ23=1,MAX(0,(Slot10_Cost-DK23*(1+Slot10_Rate)^(Slot10_Age-D23))/KZ23),0)</f>
        <v>0</v>
      </c>
      <c r="LF23" s="20" t="n">
        <f aca="false">IF(AND(HU23=1,DJ23=1),MIN(KY23,LD23),0)</f>
        <v>0</v>
      </c>
      <c r="LG23" s="20" t="n">
        <f aca="false">KY23-LF23</f>
        <v>2601.90354642439</v>
      </c>
      <c r="LH23" s="20" t="n">
        <f aca="false">IF(DT23=1,IF(ABS((1+AS_Wage)/(1+Slot11_Rate)-1)&lt;0.000000000001,(Slot11_Age-D23)*(1+Slot11_Rate)^(Slot11_Age-D23),(1+Slot11_Rate)^(Slot11_Age-D23)*(1-((1+AS_Wage)/(1+Slot11_Rate))^(Slot11_Age-D23))/(1-(1+AS_Wage)/(1+Slot11_Rate))),1)</f>
        <v>1</v>
      </c>
      <c r="LI23" s="20" t="n">
        <f aca="false">IF(AND(HU23=1,IE23&gt;0,Slot11_IsWG=1,DT23=1),MAX(0,(Slot11_Cost-DU23*(1+Slot11_Rate)^(Slot11_Age-D23))/LH23),0)</f>
        <v>0</v>
      </c>
      <c r="LJ23" s="20" t="n">
        <f aca="false">IF(AND(HU23=1,IE23&gt;0,Slot11_IsWG=1,DT23=1),MIN(IE23,LI23),0)</f>
        <v>0</v>
      </c>
      <c r="LK23" s="20" t="n">
        <f aca="false">DU23+LJ23</f>
        <v>0</v>
      </c>
      <c r="LL23" s="20" t="n">
        <f aca="false">IF(DT23=1,MAX(0,(Slot11_Cost-LK23*(1+Slot11_Rate)^(Slot11_Age-D23))/LH23),0)</f>
        <v>0</v>
      </c>
      <c r="LM23" s="20" t="n">
        <f aca="false">IF(DT23=1,MAX(0,(Slot11_Cost-DU23*(1+Slot11_Rate)^(Slot11_Age-D23))/LH23),0)</f>
        <v>0</v>
      </c>
      <c r="LN23" s="20" t="n">
        <f aca="false">IF(AND(HU23=1,DT23=1),MIN(LG23,LL23),0)</f>
        <v>0</v>
      </c>
      <c r="LO23" s="20" t="n">
        <f aca="false">LG23-LN23</f>
        <v>2601.90354642439</v>
      </c>
      <c r="LP23" s="20" t="n">
        <f aca="false">IF(ED23=1,IF(ABS((1+AS_Wage)/(1+Slot12_Rate)-1)&lt;0.000000000001,(Slot12_Age-D23)*(1+Slot12_Rate)^(Slot12_Age-D23),(1+Slot12_Rate)^(Slot12_Age-D23)*(1-((1+AS_Wage)/(1+Slot12_Rate))^(Slot12_Age-D23))/(1-(1+AS_Wage)/(1+Slot12_Rate))),1)</f>
        <v>1</v>
      </c>
      <c r="LQ23" s="20" t="n">
        <f aca="false">IF(AND(HU23=1,IE23&gt;0,Slot12_IsWG=1,ED23=1),MAX(0,(Slot12_Cost-EE23*(1+Slot12_Rate)^(Slot12_Age-D23))/LP23),0)</f>
        <v>0</v>
      </c>
      <c r="LR23" s="20" t="n">
        <f aca="false">IF(AND(HU23=1,IE23&gt;0,Slot12_IsWG=1,ED23=1),MIN(IE23,LQ23),0)</f>
        <v>0</v>
      </c>
      <c r="LS23" s="20" t="n">
        <f aca="false">EE23+LR23</f>
        <v>0</v>
      </c>
      <c r="LT23" s="20" t="n">
        <f aca="false">IF(ED23=1,MAX(0,(Slot12_Cost-LS23*(1+Slot12_Rate)^(Slot12_Age-D23))/LP23),0)</f>
        <v>0</v>
      </c>
      <c r="LU23" s="20" t="n">
        <f aca="false">IF(ED23=1,MAX(0,(Slot12_Cost-EE23*(1+Slot12_Rate)^(Slot12_Age-D23))/LP23),0)</f>
        <v>0</v>
      </c>
      <c r="LV23" s="20" t="n">
        <f aca="false">IF(AND(HU23=1,ED23=1),MIN(LO23,LT23),0)</f>
        <v>0</v>
      </c>
      <c r="LW23" s="20" t="n">
        <f aca="false">LO23-LV23</f>
        <v>2601.90354642439</v>
      </c>
      <c r="LX23" s="20" t="n">
        <f aca="false">IF(EN23=1,IF(ABS((1+AS_Wage)/(1+Slot13_Rate)-1)&lt;0.000000000001,(Slot13_Age-D23)*(1+Slot13_Rate)^(Slot13_Age-D23),(1+Slot13_Rate)^(Slot13_Age-D23)*(1-((1+AS_Wage)/(1+Slot13_Rate))^(Slot13_Age-D23))/(1-(1+AS_Wage)/(1+Slot13_Rate))),1)</f>
        <v>1</v>
      </c>
      <c r="LY23" s="20" t="n">
        <f aca="false">IF(AND(HU23=1,IE23&gt;0,Slot13_IsWG=1,EN23=1),MAX(0,(Slot13_Cost-EO23*(1+Slot13_Rate)^(Slot13_Age-D23))/LX23),0)</f>
        <v>0</v>
      </c>
      <c r="LZ23" s="20" t="n">
        <f aca="false">IF(AND(HU23=1,IE23&gt;0,Slot13_IsWG=1,EN23=1),MIN(IE23,LY23),0)</f>
        <v>0</v>
      </c>
      <c r="MA23" s="20" t="n">
        <f aca="false">EO23+LZ23</f>
        <v>0</v>
      </c>
      <c r="MB23" s="20" t="n">
        <f aca="false">IF(EN23=1,MAX(0,(Slot13_Cost-MA23*(1+Slot13_Rate)^(Slot13_Age-D23))/LX23),0)</f>
        <v>0</v>
      </c>
      <c r="MC23" s="20" t="n">
        <f aca="false">IF(EN23=1,MAX(0,(Slot13_Cost-EO23*(1+Slot13_Rate)^(Slot13_Age-D23))/LX23),0)</f>
        <v>0</v>
      </c>
      <c r="MD23" s="20" t="n">
        <f aca="false">IF(AND(HU23=1,EN23=1),MIN(LW23,MB23),0)</f>
        <v>0</v>
      </c>
      <c r="ME23" s="20" t="n">
        <f aca="false">LW23-MD23</f>
        <v>2601.90354642439</v>
      </c>
      <c r="MF23" s="20" t="n">
        <f aca="false">IF(EX23=1,IF(ABS((1+AS_Wage)/(1+Slot14_Rate)-1)&lt;0.000000000001,(Slot14_Age-D23)*(1+Slot14_Rate)^(Slot14_Age-D23),(1+Slot14_Rate)^(Slot14_Age-D23)*(1-((1+AS_Wage)/(1+Slot14_Rate))^(Slot14_Age-D23))/(1-(1+AS_Wage)/(1+Slot14_Rate))),1)</f>
        <v>1</v>
      </c>
      <c r="MG23" s="20" t="n">
        <f aca="false">IF(AND(HU23=1,IE23&gt;0,Slot14_IsWG=1,EX23=1),MAX(0,(Slot14_Cost-EY23*(1+Slot14_Rate)^(Slot14_Age-D23))/MF23),0)</f>
        <v>0</v>
      </c>
      <c r="MH23" s="20" t="n">
        <f aca="false">IF(AND(HU23=1,IE23&gt;0,Slot14_IsWG=1,EX23=1),MIN(IE23,MG23),0)</f>
        <v>0</v>
      </c>
      <c r="MI23" s="20" t="n">
        <f aca="false">EY23+MH23</f>
        <v>0</v>
      </c>
      <c r="MJ23" s="20" t="n">
        <f aca="false">IF(EX23=1,MAX(0,(Slot14_Cost-MI23*(1+Slot14_Rate)^(Slot14_Age-D23))/MF23),0)</f>
        <v>0</v>
      </c>
      <c r="MK23" s="20" t="n">
        <f aca="false">IF(EX23=1,MAX(0,(Slot14_Cost-EY23*(1+Slot14_Rate)^(Slot14_Age-D23))/MF23),0)</f>
        <v>0</v>
      </c>
      <c r="ML23" s="20" t="n">
        <f aca="false">IF(AND(HU23=1,EX23=1),MIN(ME23,MJ23),0)</f>
        <v>0</v>
      </c>
      <c r="MM23" s="20" t="n">
        <f aca="false">ME23-ML23</f>
        <v>2601.90354642439</v>
      </c>
      <c r="MN23" s="20" t="n">
        <f aca="false">IF(FH23=1,IF(ABS((1+AS_Wage)/(1+Slot15_Rate)-1)&lt;0.000000000001,(Slot15_Age-D23)*(1+Slot15_Rate)^(Slot15_Age-D23),(1+Slot15_Rate)^(Slot15_Age-D23)*(1-((1+AS_Wage)/(1+Slot15_Rate))^(Slot15_Age-D23))/(1-(1+AS_Wage)/(1+Slot15_Rate))),1)</f>
        <v>1</v>
      </c>
      <c r="MO23" s="20" t="n">
        <f aca="false">IF(AND(HU23=1,IE23&gt;0,Slot15_IsWG=1,FH23=1),MAX(0,(Slot15_Cost-FI23*(1+Slot15_Rate)^(Slot15_Age-D23))/MN23),0)</f>
        <v>0</v>
      </c>
      <c r="MP23" s="20" t="n">
        <f aca="false">IF(AND(HU23=1,IE23&gt;0,Slot15_IsWG=1,FH23=1),MIN(IE23,MO23),0)</f>
        <v>0</v>
      </c>
      <c r="MQ23" s="20" t="n">
        <f aca="false">FI23+MP23</f>
        <v>0</v>
      </c>
      <c r="MR23" s="20" t="n">
        <f aca="false">IF(FH23=1,MAX(0,(Slot15_Cost-MQ23*(1+Slot15_Rate)^(Slot15_Age-D23))/MN23),0)</f>
        <v>0</v>
      </c>
      <c r="MS23" s="20" t="n">
        <f aca="false">IF(FH23=1,MAX(0,(Slot15_Cost-FI23*(1+Slot15_Rate)^(Slot15_Age-D23))/MN23),0)</f>
        <v>0</v>
      </c>
      <c r="MT23" s="20" t="n">
        <f aca="false">IF(AND(HU23=1,FH23=1),MIN(MM23,MR23),0)</f>
        <v>0</v>
      </c>
      <c r="MU23" s="20" t="n">
        <f aca="false">MM23-MT23</f>
        <v>2601.90354642439</v>
      </c>
      <c r="MV23" s="20" t="n">
        <f aca="false">IF(FR23=1,IF(ABS((1+AS_Wage)/(1+Slot16_Rate)-1)&lt;0.000000000001,(Slot16_Age-D23)*(1+Slot16_Rate)^(Slot16_Age-D23),(1+Slot16_Rate)^(Slot16_Age-D23)*(1-((1+AS_Wage)/(1+Slot16_Rate))^(Slot16_Age-D23))/(1-(1+AS_Wage)/(1+Slot16_Rate))),1)</f>
        <v>1</v>
      </c>
      <c r="MW23" s="20" t="n">
        <f aca="false">IF(AND(HU23=1,IE23&gt;0,Slot16_IsWG=1,FR23=1),MAX(0,(Slot16_Cost-FS23*(1+Slot16_Rate)^(Slot16_Age-D23))/MV23),0)</f>
        <v>0</v>
      </c>
      <c r="MX23" s="20" t="n">
        <f aca="false">IF(AND(HU23=1,IE23&gt;0,Slot16_IsWG=1,FR23=1),MIN(IE23,MW23),0)</f>
        <v>0</v>
      </c>
      <c r="MY23" s="20" t="n">
        <f aca="false">FS23+MX23</f>
        <v>0</v>
      </c>
      <c r="MZ23" s="20" t="n">
        <f aca="false">IF(FR23=1,MAX(0,(Slot16_Cost-MY23*(1+Slot16_Rate)^(Slot16_Age-D23))/MV23),0)</f>
        <v>0</v>
      </c>
      <c r="NA23" s="20" t="n">
        <f aca="false">IF(FR23=1,MAX(0,(Slot16_Cost-FS23*(1+Slot16_Rate)^(Slot16_Age-D23))/MV23),0)</f>
        <v>0</v>
      </c>
      <c r="NB23" s="20" t="n">
        <f aca="false">IF(AND(HU23=1,FR23=1),MIN(MU23,MZ23),0)</f>
        <v>0</v>
      </c>
      <c r="NC23" s="20" t="n">
        <f aca="false">MU23-NB23</f>
        <v>2601.90354642439</v>
      </c>
      <c r="ND23" s="20" t="n">
        <f aca="false">IF(GB23=1,IF(ABS((1+AS_Wage)/(1+Slot17_Rate)-1)&lt;0.000000000001,(Slot17_Age-D23)*(1+Slot17_Rate)^(Slot17_Age-D23),(1+Slot17_Rate)^(Slot17_Age-D23)*(1-((1+AS_Wage)/(1+Slot17_Rate))^(Slot17_Age-D23))/(1-(1+AS_Wage)/(1+Slot17_Rate))),1)</f>
        <v>1</v>
      </c>
      <c r="NE23" s="20" t="n">
        <f aca="false">IF(AND(HU23=1,IE23&gt;0,Slot17_IsWG=1,GB23=1),MAX(0,(Slot17_Cost-GC23*(1+Slot17_Rate)^(Slot17_Age-D23))/ND23),0)</f>
        <v>0</v>
      </c>
      <c r="NF23" s="20" t="n">
        <f aca="false">IF(AND(HU23=1,IE23&gt;0,Slot17_IsWG=1,GB23=1),MIN(IE23,NE23),0)</f>
        <v>0</v>
      </c>
      <c r="NG23" s="20" t="n">
        <f aca="false">GC23+NF23</f>
        <v>0</v>
      </c>
      <c r="NH23" s="20" t="n">
        <f aca="false">IF(GB23=1,MAX(0,(Slot17_Cost-NG23*(1+Slot17_Rate)^(Slot17_Age-D23))/ND23),0)</f>
        <v>0</v>
      </c>
      <c r="NI23" s="20" t="n">
        <f aca="false">IF(GB23=1,MAX(0,(Slot17_Cost-GC23*(1+Slot17_Rate)^(Slot17_Age-D23))/ND23),0)</f>
        <v>0</v>
      </c>
      <c r="NJ23" s="20" t="n">
        <f aca="false">IF(AND(HU23=1,GB23=1),MIN(NC23,NH23),0)</f>
        <v>0</v>
      </c>
      <c r="NK23" s="20" t="n">
        <f aca="false">NC23-NJ23</f>
        <v>2601.90354642439</v>
      </c>
      <c r="NL23" s="20" t="n">
        <f aca="false">IF(GL23=1,IF(ABS((1+AS_Wage)/(1+Slot18_Rate)-1)&lt;0.000000000001,(Slot18_Age-D23)*(1+Slot18_Rate)^(Slot18_Age-D23),(1+Slot18_Rate)^(Slot18_Age-D23)*(1-((1+AS_Wage)/(1+Slot18_Rate))^(Slot18_Age-D23))/(1-(1+AS_Wage)/(1+Slot18_Rate))),1)</f>
        <v>1</v>
      </c>
      <c r="NM23" s="20" t="n">
        <f aca="false">IF(AND(HU23=1,IE23&gt;0,Slot18_IsWG=1,GL23=1),MAX(0,(Slot18_Cost-GM23*(1+Slot18_Rate)^(Slot18_Age-D23))/NL23),0)</f>
        <v>0</v>
      </c>
      <c r="NN23" s="20" t="n">
        <f aca="false">IF(AND(HU23=1,IE23&gt;0,Slot18_IsWG=1,GL23=1),MIN(IE23,NM23),0)</f>
        <v>0</v>
      </c>
      <c r="NO23" s="20" t="n">
        <f aca="false">GM23+NN23</f>
        <v>0</v>
      </c>
      <c r="NP23" s="20" t="n">
        <f aca="false">IF(GL23=1,MAX(0,(Slot18_Cost-NO23*(1+Slot18_Rate)^(Slot18_Age-D23))/NL23),0)</f>
        <v>0</v>
      </c>
      <c r="NQ23" s="20" t="n">
        <f aca="false">IF(GL23=1,MAX(0,(Slot18_Cost-GM23*(1+Slot18_Rate)^(Slot18_Age-D23))/NL23),0)</f>
        <v>0</v>
      </c>
      <c r="NR23" s="20" t="n">
        <f aca="false">IF(AND(HU23=1,GL23=1),MIN(NK23,NP23),0)</f>
        <v>0</v>
      </c>
      <c r="NS23" s="20" t="n">
        <f aca="false">NK23-NR23</f>
        <v>2601.90354642439</v>
      </c>
      <c r="NT23" s="20" t="n">
        <f aca="false">IF(GV23=1,IF(ABS((1+AS_Wage)/(1+Slot19_Rate)-1)&lt;0.000000000001,(Slot19_Age-D23)*(1+Slot19_Rate)^(Slot19_Age-D23),(1+Slot19_Rate)^(Slot19_Age-D23)*(1-((1+AS_Wage)/(1+Slot19_Rate))^(Slot19_Age-D23))/(1-(1+AS_Wage)/(1+Slot19_Rate))),1)</f>
        <v>1</v>
      </c>
      <c r="NU23" s="20" t="n">
        <f aca="false">IF(AND(HU23=1,IE23&gt;0,Slot19_IsWG=1,GV23=1),MAX(0,(Slot19_Cost-GW23*(1+Slot19_Rate)^(Slot19_Age-D23))/NT23),0)</f>
        <v>0</v>
      </c>
      <c r="NV23" s="20" t="n">
        <f aca="false">IF(AND(HU23=1,IE23&gt;0,Slot19_IsWG=1,GV23=1),MIN(IE23,NU23),0)</f>
        <v>0</v>
      </c>
      <c r="NW23" s="20" t="n">
        <f aca="false">GW23+NV23</f>
        <v>0</v>
      </c>
      <c r="NX23" s="20" t="n">
        <f aca="false">IF(GV23=1,MAX(0,(Slot19_Cost-NW23*(1+Slot19_Rate)^(Slot19_Age-D23))/NT23),0)</f>
        <v>0</v>
      </c>
      <c r="NY23" s="20" t="n">
        <f aca="false">IF(GV23=1,MAX(0,(Slot19_Cost-GW23*(1+Slot19_Rate)^(Slot19_Age-D23))/NT23),0)</f>
        <v>0</v>
      </c>
      <c r="NZ23" s="20" t="n">
        <f aca="false">IF(AND(HU23=1,GV23=1),MIN(NS23,NX23),0)</f>
        <v>0</v>
      </c>
      <c r="OA23" s="20" t="n">
        <f aca="false">NS23-NZ23</f>
        <v>2601.90354642439</v>
      </c>
      <c r="OB23" s="20" t="n">
        <f aca="false">IF(HF23=1,IF(ABS((1+AS_Wage)/(1+Slot20_Rate)-1)&lt;0.000000000001,(Slot20_Age-D23)*(1+Slot20_Rate)^(Slot20_Age-D23),(1+Slot20_Rate)^(Slot20_Age-D23)*(1-((1+AS_Wage)/(1+Slot20_Rate))^(Slot20_Age-D23))/(1-(1+AS_Wage)/(1+Slot20_Rate))),1)</f>
        <v>1</v>
      </c>
      <c r="OC23" s="20" t="n">
        <f aca="false">IF(AND(HU23=1,IE23&gt;0,Slot20_IsWG=1,HF23=1),MAX(0,(Slot20_Cost-HG23*(1+Slot20_Rate)^(Slot20_Age-D23))/OB23),0)</f>
        <v>0</v>
      </c>
      <c r="OD23" s="20" t="n">
        <f aca="false">IF(AND(HU23=1,IE23&gt;0,Slot20_IsWG=1,HF23=1),MIN(IE23,OC23),0)</f>
        <v>0</v>
      </c>
      <c r="OE23" s="20" t="n">
        <f aca="false">HG23+OD23</f>
        <v>0</v>
      </c>
      <c r="OF23" s="20" t="n">
        <f aca="false">IF(HF23=1,MAX(0,(Slot20_Cost-OE23*(1+Slot20_Rate)^(Slot20_Age-D23))/OB23),0)</f>
        <v>0</v>
      </c>
      <c r="OG23" s="20" t="n">
        <f aca="false">IF(HF23=1,MAX(0,(Slot20_Cost-HG23*(1+Slot20_Rate)^(Slot20_Age-D23))/OB23),0)</f>
        <v>0</v>
      </c>
      <c r="OH23" s="20" t="n">
        <f aca="false">IF(AND(HU23=1,HF23=1),MIN(OA23,OF23),0)</f>
        <v>0</v>
      </c>
      <c r="OI23" s="20" t="n">
        <f aca="false">OA23-OH23</f>
        <v>2601.90354642439</v>
      </c>
      <c r="OJ23" s="20" t="n">
        <f aca="false">IE23-(IH23+IP23+IX23+JF23+JN23+JV23+KD23+KL23+KT23+LB23+LJ23+LR23+LZ23+MH23+MP23+MX23+NF23+NN23+NV23+OD23)</f>
        <v>0</v>
      </c>
      <c r="OK23" s="20" t="n">
        <f aca="false">IF(HU23=1,HS23-ID23-IE23,0)</f>
        <v>10149.2153282072</v>
      </c>
      <c r="OL23" s="20" t="n">
        <f aca="false">IF(HU23=0,-HS23,0)</f>
        <v>0</v>
      </c>
      <c r="OM23" s="20" t="n">
        <f aca="false">MIN(OL23,HK23)</f>
        <v>0</v>
      </c>
      <c r="ON23" s="20" t="n">
        <f aca="false">OL23-OM23</f>
        <v>0</v>
      </c>
      <c r="OO23" s="20" t="n">
        <f aca="false">MIN(ON23,HL23)</f>
        <v>0</v>
      </c>
      <c r="OP23" s="20" t="n">
        <f aca="false">ON23-OO23</f>
        <v>0</v>
      </c>
      <c r="OQ23" s="20" t="n">
        <f aca="false">IF(AND(HU23=0,HF23=1,OP23&gt;0),MIN(OP23,HG23),0)</f>
        <v>0</v>
      </c>
      <c r="OR23" s="20" t="n">
        <f aca="false">OP23-OQ23</f>
        <v>0</v>
      </c>
      <c r="OS23" s="20" t="n">
        <f aca="false">IF(AND(HU23=0,GV23=1,OR23&gt;0),MIN(OR23,GW23),0)</f>
        <v>0</v>
      </c>
      <c r="OT23" s="20" t="n">
        <f aca="false">OR23-OS23</f>
        <v>0</v>
      </c>
      <c r="OU23" s="20" t="n">
        <f aca="false">IF(AND(HU23=0,GL23=1,OT23&gt;0),MIN(OT23,GM23),0)</f>
        <v>0</v>
      </c>
      <c r="OV23" s="20" t="n">
        <f aca="false">OT23-OU23</f>
        <v>0</v>
      </c>
      <c r="OW23" s="20" t="n">
        <f aca="false">IF(AND(HU23=0,GB23=1,OV23&gt;0),MIN(OV23,GC23),0)</f>
        <v>0</v>
      </c>
      <c r="OX23" s="20" t="n">
        <f aca="false">OV23-OW23</f>
        <v>0</v>
      </c>
      <c r="OY23" s="20" t="n">
        <f aca="false">IF(AND(HU23=0,FR23=1,OX23&gt;0),MIN(OX23,FS23),0)</f>
        <v>0</v>
      </c>
      <c r="OZ23" s="20" t="n">
        <f aca="false">OX23-OY23</f>
        <v>0</v>
      </c>
      <c r="PA23" s="20" t="n">
        <f aca="false">IF(AND(HU23=0,FH23=1,OZ23&gt;0),MIN(OZ23,FI23),0)</f>
        <v>0</v>
      </c>
      <c r="PB23" s="20" t="n">
        <f aca="false">OZ23-PA23</f>
        <v>0</v>
      </c>
      <c r="PC23" s="20" t="n">
        <f aca="false">IF(AND(HU23=0,EX23=1,PB23&gt;0),MIN(PB23,EY23),0)</f>
        <v>0</v>
      </c>
      <c r="PD23" s="20" t="n">
        <f aca="false">PB23-PC23</f>
        <v>0</v>
      </c>
      <c r="PE23" s="20" t="n">
        <f aca="false">IF(AND(HU23=0,EN23=1,PD23&gt;0),MIN(PD23,EO23),0)</f>
        <v>0</v>
      </c>
      <c r="PF23" s="20" t="n">
        <f aca="false">PD23-PE23</f>
        <v>0</v>
      </c>
      <c r="PG23" s="20" t="n">
        <f aca="false">IF(AND(HU23=0,ED23=1,PF23&gt;0),MIN(PF23,EE23),0)</f>
        <v>0</v>
      </c>
      <c r="PH23" s="20" t="n">
        <f aca="false">PF23-PG23</f>
        <v>0</v>
      </c>
      <c r="PI23" s="20" t="n">
        <f aca="false">IF(AND(HU23=0,DT23=1,PH23&gt;0),MIN(PH23,DU23),0)</f>
        <v>0</v>
      </c>
      <c r="PJ23" s="20" t="n">
        <f aca="false">PH23-PI23</f>
        <v>0</v>
      </c>
      <c r="PK23" s="20" t="n">
        <f aca="false">IF(AND(HU23=0,DJ23=1,PJ23&gt;0),MIN(PJ23,DK23),0)</f>
        <v>0</v>
      </c>
      <c r="PL23" s="20" t="n">
        <f aca="false">PJ23-PK23</f>
        <v>0</v>
      </c>
      <c r="PM23" s="20" t="n">
        <f aca="false">IF(AND(HU23=0,CZ23=1,PL23&gt;0),MIN(PL23,DA23),0)</f>
        <v>0</v>
      </c>
      <c r="PN23" s="20" t="n">
        <f aca="false">PL23-PM23</f>
        <v>0</v>
      </c>
      <c r="PO23" s="20" t="n">
        <f aca="false">IF(AND(HU23=0,CP23=1,PN23&gt;0),MIN(PN23,CQ23),0)</f>
        <v>0</v>
      </c>
      <c r="PP23" s="20" t="n">
        <f aca="false">PN23-PO23</f>
        <v>0</v>
      </c>
      <c r="PQ23" s="20" t="n">
        <f aca="false">IF(AND(HU23=0,CF23=1,PP23&gt;0),MIN(PP23,CG23),0)</f>
        <v>0</v>
      </c>
      <c r="PR23" s="20" t="n">
        <f aca="false">PP23-PQ23</f>
        <v>0</v>
      </c>
      <c r="PS23" s="20" t="n">
        <f aca="false">IF(AND(HU23=0,BV23=1,PR23&gt;0),MIN(PR23,BW23),0)</f>
        <v>0</v>
      </c>
      <c r="PT23" s="20" t="n">
        <f aca="false">PR23-PS23</f>
        <v>0</v>
      </c>
      <c r="PU23" s="20" t="n">
        <f aca="false">IF(AND(HU23=0,BL23=1,PT23&gt;0),MIN(PT23,BM23),0)</f>
        <v>0</v>
      </c>
      <c r="PV23" s="20" t="n">
        <f aca="false">PT23-PU23</f>
        <v>0</v>
      </c>
      <c r="PW23" s="20" t="n">
        <f aca="false">IF(AND(HU23=0,BB23=1,PV23&gt;0),MIN(PV23,BC23),0)</f>
        <v>0</v>
      </c>
      <c r="PX23" s="20" t="n">
        <f aca="false">PV23-PW23</f>
        <v>0</v>
      </c>
      <c r="PY23" s="20" t="n">
        <f aca="false">IF(AND(HU23=0,AR23=1,PX23&gt;0),MIN(PX23,AS23),0)</f>
        <v>0</v>
      </c>
      <c r="PZ23" s="20" t="n">
        <f aca="false">PX23-PY23</f>
        <v>0</v>
      </c>
      <c r="QA23" s="20" t="n">
        <f aca="false">IF(AND(HU23=0,AH23=1,PZ23&gt;0),MIN(PZ23,AI23),0)</f>
        <v>0</v>
      </c>
      <c r="QB23" s="20" t="n">
        <f aca="false">PZ23-QA23</f>
        <v>0</v>
      </c>
      <c r="QC23" s="20" t="n">
        <f aca="false">IF(AND(HU23=0,W23=1,QB23&gt;0),MIN(QB23,X23),0)</f>
        <v>0</v>
      </c>
      <c r="QD23" s="20" t="n">
        <f aca="false">QB23-QC23</f>
        <v>0</v>
      </c>
      <c r="QE23" s="20" t="n">
        <f aca="false">IF(HU23=0,QD23,0)</f>
        <v>0</v>
      </c>
      <c r="QF23" s="20" t="n">
        <f aca="false">OM23+OO23+QC23+QA23+PY23+PW23+PU23+PS23+PQ23+PO23+PM23+PK23+PI23+PG23+PE23+PC23+PA23+OY23+OW23+OU23+OS23+OQ23</f>
        <v>0</v>
      </c>
      <c r="QG23" s="20" t="n">
        <f aca="false">IF(HU23=1,HK23+OJ23+OI23+IF(G23=1,0,OK23),HK23-OM23)</f>
        <v>13656.4897694937</v>
      </c>
      <c r="QH23" s="20" t="n">
        <f aca="false">HL23-OO23</f>
        <v>12949.7278262647</v>
      </c>
      <c r="QI23" s="20" t="n">
        <f aca="false">IF(HU23=1,IF(G23=1,ID23+IE23,HS23),0)</f>
        <v>8075.21002994478</v>
      </c>
      <c r="QJ23" s="20" t="n">
        <f aca="false">IF(HU23=1,IF(G23=1,HS23-ID23-IE23,0),0)</f>
        <v>10149.2153282072</v>
      </c>
      <c r="QK23" s="57" t="n">
        <f aca="false">'Plan holdings'!BM23</f>
        <v>14148.962119578</v>
      </c>
      <c r="QL23" s="20" t="n">
        <f aca="false">QH23*(1+AS_Cash)</f>
        <v>13079.2251045273</v>
      </c>
      <c r="QM23" s="20" t="n">
        <f aca="false">IF(W23=1,IF(HU23=1,II23+IL23,X23-QC23)*(1+Slot1_Rate),0)</f>
        <v>0</v>
      </c>
      <c r="QN23" s="20" t="n">
        <f aca="false">IF(AND(HU23=1,W23=1),(IH23+IL23)/F23,0)</f>
        <v>0</v>
      </c>
      <c r="QO23" s="20" t="n">
        <f aca="false">IF(B23=0,IH23+IL23,0)</f>
        <v>0</v>
      </c>
      <c r="QP23" s="20" t="n">
        <f aca="false">IF(B23=0,IF(HU23=1,IJ23,IK23),0)</f>
        <v>0</v>
      </c>
      <c r="QQ23" s="20" t="n">
        <f aca="false">IF(AH23=1,IF(HU23=1,IQ23+IT23,AI23-QA23)*(1+Slot2_Rate),0)</f>
        <v>0</v>
      </c>
      <c r="QR23" s="20" t="n">
        <f aca="false">IF(AND(HU23=1,AH23=1),(IP23+IT23)/F23,0)</f>
        <v>0</v>
      </c>
      <c r="QS23" s="20" t="n">
        <f aca="false">IF(B23=0,IP23+IT23,0)</f>
        <v>0</v>
      </c>
      <c r="QT23" s="20" t="n">
        <f aca="false">IF(B23=0,IF(HU23=1,IR23,IS23),0)</f>
        <v>0</v>
      </c>
      <c r="QU23" s="20" t="n">
        <f aca="false">IF(AR23=1,IF(HU23=1,IY23+JB23,AS23-PY23)*(1+Slot3_Rate),0)</f>
        <v>0</v>
      </c>
      <c r="QV23" s="20" t="n">
        <f aca="false">IF(AND(HU23=1,AR23=1),(IX23+JB23)/F23,0)</f>
        <v>0</v>
      </c>
      <c r="QW23" s="20" t="n">
        <f aca="false">IF(B23=0,IX23+JB23,0)</f>
        <v>0</v>
      </c>
      <c r="QX23" s="20" t="n">
        <f aca="false">IF(B23=0,IF(HU23=1,IZ23,JA23),0)</f>
        <v>0</v>
      </c>
      <c r="QY23" s="20" t="n">
        <f aca="false">IF(BB23=1,IF(HU23=1,JG23+JJ23,BC23-PW23)*(1+Slot4_Rate),0)</f>
        <v>33368.2405722948</v>
      </c>
      <c r="QZ23" s="20" t="n">
        <f aca="false">IF(AND(HU23=1,BB23=1),(JF23+JJ23)/F23,0)</f>
        <v>4066.74733899731</v>
      </c>
      <c r="RA23" s="20" t="n">
        <f aca="false">IF(B23=0,JF23+JJ23,0)</f>
        <v>0</v>
      </c>
      <c r="RB23" s="20" t="n">
        <f aca="false">IF(B23=0,IF(HU23=1,JH23,JI23),0)</f>
        <v>0</v>
      </c>
      <c r="RC23" s="20" t="n">
        <f aca="false">IF(BL23=1,IF(HU23=1,JO23+JR23,BM23-PU23)*(1+Slot5_Rate),0)</f>
        <v>0</v>
      </c>
      <c r="RD23" s="20" t="n">
        <f aca="false">IF(AND(HU23=1,BL23=1),(JN23+JR23)/F23,0)</f>
        <v>0</v>
      </c>
      <c r="RE23" s="20" t="n">
        <f aca="false">IF(B23=0,JN23+JR23,0)</f>
        <v>0</v>
      </c>
      <c r="RF23" s="20" t="n">
        <f aca="false">IF(B23=0,IF(HU23=1,JP23,JQ23),0)</f>
        <v>0</v>
      </c>
      <c r="RG23" s="20" t="n">
        <f aca="false">IF(BV23=1,IF(HU23=1,JW23+JZ23,BW23-PS23)*(1+Slot6_Rate),0)</f>
        <v>0</v>
      </c>
      <c r="RH23" s="20" t="n">
        <f aca="false">IF(AND(HU23=1,BV23=1),(JV23+JZ23)/F23,0)</f>
        <v>0</v>
      </c>
      <c r="RI23" s="20" t="n">
        <f aca="false">IF(B23=0,JV23+JZ23,0)</f>
        <v>0</v>
      </c>
      <c r="RJ23" s="20" t="n">
        <f aca="false">IF(B23=0,IF(HU23=1,JX23,JY23),0)</f>
        <v>0</v>
      </c>
      <c r="RK23" s="20" t="n">
        <f aca="false">IF(CF23=1,IF(HU23=1,KE23+KH23,CG23-PQ23)*(1+Slot7_Rate),0)</f>
        <v>0</v>
      </c>
      <c r="RL23" s="20" t="n">
        <f aca="false">IF(AND(HU23=1,CF23=1),(KD23+KH23)/F23,0)</f>
        <v>0</v>
      </c>
      <c r="RM23" s="20" t="n">
        <f aca="false">IF(B23=0,KD23+KH23,0)</f>
        <v>0</v>
      </c>
      <c r="RN23" s="20" t="n">
        <f aca="false">IF(B23=0,IF(HU23=1,KF23,KG23),0)</f>
        <v>0</v>
      </c>
      <c r="RO23" s="20" t="n">
        <f aca="false">IF(CP23=1,IF(HU23=1,KM23+KP23,CQ23-PO23)*(1+Slot8_Rate),0)</f>
        <v>0</v>
      </c>
      <c r="RP23" s="20" t="n">
        <f aca="false">IF(AND(HU23=1,CP23=1),(KL23+KP23)/F23,0)</f>
        <v>0</v>
      </c>
      <c r="RQ23" s="20" t="n">
        <f aca="false">IF(B23=0,KL23+KP23,0)</f>
        <v>0</v>
      </c>
      <c r="RR23" s="20" t="n">
        <f aca="false">IF(B23=0,IF(HU23=1,KN23,KO23),0)</f>
        <v>0</v>
      </c>
      <c r="RS23" s="20" t="n">
        <f aca="false">IF(CZ23=1,IF(HU23=1,KU23+KX23,DA23-PM23)*(1+Slot9_Rate),0)</f>
        <v>0</v>
      </c>
      <c r="RT23" s="20" t="n">
        <f aca="false">IF(AND(HU23=1,CZ23=1),(KT23+KX23)/F23,0)</f>
        <v>0</v>
      </c>
      <c r="RU23" s="20" t="n">
        <f aca="false">IF(B23=0,KT23+KX23,0)</f>
        <v>0</v>
      </c>
      <c r="RV23" s="20" t="n">
        <f aca="false">IF(B23=0,IF(HU23=1,KV23,KW23),0)</f>
        <v>0</v>
      </c>
      <c r="RW23" s="20" t="n">
        <f aca="false">IF(DJ23=1,IF(HU23=1,LC23+LF23,DK23-PK23)*(1+Slot10_Rate),0)</f>
        <v>0</v>
      </c>
      <c r="RX23" s="20" t="n">
        <f aca="false">IF(AND(HU23=1,DJ23=1),(LB23+LF23)/F23,0)</f>
        <v>0</v>
      </c>
      <c r="RY23" s="20" t="n">
        <f aca="false">IF(B23=0,LB23+LF23,0)</f>
        <v>0</v>
      </c>
      <c r="RZ23" s="20" t="n">
        <f aca="false">IF(B23=0,IF(HU23=1,LD23,LE23),0)</f>
        <v>0</v>
      </c>
      <c r="SA23" s="20" t="n">
        <f aca="false">IF(DT23=1,IF(HU23=1,LK23+LN23,DU23-PI23)*(1+Slot11_Rate),0)</f>
        <v>0</v>
      </c>
      <c r="SB23" s="20" t="n">
        <f aca="false">IF(AND(HU23=1,DT23=1),(LJ23+LN23)/F23,0)</f>
        <v>0</v>
      </c>
      <c r="SC23" s="20" t="n">
        <f aca="false">IF(B23=0,LJ23+LN23,0)</f>
        <v>0</v>
      </c>
      <c r="SD23" s="20" t="n">
        <f aca="false">IF(B23=0,IF(HU23=1,LL23,LM23),0)</f>
        <v>0</v>
      </c>
      <c r="SE23" s="20" t="n">
        <f aca="false">IF(ED23=1,IF(HU23=1,LS23+LV23,EE23-PG23)*(1+Slot12_Rate),0)</f>
        <v>0</v>
      </c>
      <c r="SF23" s="20" t="n">
        <f aca="false">IF(AND(HU23=1,ED23=1),(LR23+LV23)/F23,0)</f>
        <v>0</v>
      </c>
      <c r="SG23" s="20" t="n">
        <f aca="false">IF(B23=0,LR23+LV23,0)</f>
        <v>0</v>
      </c>
      <c r="SH23" s="20" t="n">
        <f aca="false">IF(B23=0,IF(HU23=1,LT23,LU23),0)</f>
        <v>0</v>
      </c>
      <c r="SI23" s="20" t="n">
        <f aca="false">IF(EN23=1,IF(HU23=1,MA23+MD23,EO23-PE23)*(1+Slot13_Rate),0)</f>
        <v>0</v>
      </c>
      <c r="SJ23" s="20" t="n">
        <f aca="false">IF(AND(HU23=1,EN23=1),(LZ23+MD23)/F23,0)</f>
        <v>0</v>
      </c>
      <c r="SK23" s="20" t="n">
        <f aca="false">IF(B23=0,LZ23+MD23,0)</f>
        <v>0</v>
      </c>
      <c r="SL23" s="20" t="n">
        <f aca="false">IF(B23=0,IF(HU23=1,MB23,MC23),0)</f>
        <v>0</v>
      </c>
      <c r="SM23" s="20" t="n">
        <f aca="false">IF(EX23=1,IF(HU23=1,MI23+ML23,EY23-PC23)*(1+Slot14_Rate),0)</f>
        <v>0</v>
      </c>
      <c r="SN23" s="20" t="n">
        <f aca="false">IF(AND(HU23=1,EX23=1),(MH23+ML23)/F23,0)</f>
        <v>0</v>
      </c>
      <c r="SO23" s="20" t="n">
        <f aca="false">IF(B23=0,MH23+ML23,0)</f>
        <v>0</v>
      </c>
      <c r="SP23" s="20" t="n">
        <f aca="false">IF(B23=0,IF(HU23=1,MJ23,MK23),0)</f>
        <v>0</v>
      </c>
      <c r="SQ23" s="20" t="n">
        <f aca="false">IF(FH23=1,IF(HU23=1,MQ23+MT23,FI23-PA23)*(1+Slot15_Rate),0)</f>
        <v>0</v>
      </c>
      <c r="SR23" s="20" t="n">
        <f aca="false">IF(AND(HU23=1,FH23=1),(MP23+MT23)/F23,0)</f>
        <v>0</v>
      </c>
      <c r="SS23" s="20" t="n">
        <f aca="false">IF(B23=0,MP23+MT23,0)</f>
        <v>0</v>
      </c>
      <c r="ST23" s="20" t="n">
        <f aca="false">IF(B23=0,IF(HU23=1,MR23,MS23),0)</f>
        <v>0</v>
      </c>
      <c r="SU23" s="20" t="n">
        <f aca="false">IF(FR23=1,IF(HU23=1,MY23+NB23,FS23-OY23)*(1+Slot16_Rate),0)</f>
        <v>0</v>
      </c>
      <c r="SV23" s="20" t="n">
        <f aca="false">IF(AND(HU23=1,FR23=1),(MX23+NB23)/F23,0)</f>
        <v>0</v>
      </c>
      <c r="SW23" s="20" t="n">
        <f aca="false">IF(B23=0,MX23+NB23,0)</f>
        <v>0</v>
      </c>
      <c r="SX23" s="20" t="n">
        <f aca="false">IF(B23=0,IF(HU23=1,MZ23,NA23),0)</f>
        <v>0</v>
      </c>
      <c r="SY23" s="20" t="n">
        <f aca="false">IF(GB23=1,IF(HU23=1,NG23+NJ23,GC23-OW23)*(1+Slot17_Rate),0)</f>
        <v>0</v>
      </c>
      <c r="SZ23" s="20" t="n">
        <f aca="false">IF(AND(HU23=1,GB23=1),(NF23+NJ23)/F23,0)</f>
        <v>0</v>
      </c>
      <c r="TA23" s="20" t="n">
        <f aca="false">IF(B23=0,NF23+NJ23,0)</f>
        <v>0</v>
      </c>
      <c r="TB23" s="20" t="n">
        <f aca="false">IF(B23=0,IF(HU23=1,NH23,NI23),0)</f>
        <v>0</v>
      </c>
      <c r="TC23" s="20" t="n">
        <f aca="false">IF(GL23=1,IF(HU23=1,NO23+NR23,GM23-OU23)*(1+Slot18_Rate),0)</f>
        <v>0</v>
      </c>
      <c r="TD23" s="20" t="n">
        <f aca="false">IF(AND(HU23=1,GL23=1),(NN23+NR23)/F23,0)</f>
        <v>0</v>
      </c>
      <c r="TE23" s="20" t="n">
        <f aca="false">IF(B23=0,NN23+NR23,0)</f>
        <v>0</v>
      </c>
      <c r="TF23" s="20" t="n">
        <f aca="false">IF(B23=0,IF(HU23=1,NP23,NQ23),0)</f>
        <v>0</v>
      </c>
      <c r="TG23" s="20" t="n">
        <f aca="false">IF(GV23=1,IF(HU23=1,NW23+NZ23,GW23-OS23)*(1+Slot19_Rate),0)</f>
        <v>0</v>
      </c>
      <c r="TH23" s="20" t="n">
        <f aca="false">IF(AND(HU23=1,GV23=1),(NV23+NZ23)/F23,0)</f>
        <v>0</v>
      </c>
      <c r="TI23" s="20" t="n">
        <f aca="false">IF(B23=0,NV23+NZ23,0)</f>
        <v>0</v>
      </c>
      <c r="TJ23" s="20" t="n">
        <f aca="false">IF(B23=0,IF(HU23=1,NX23,NY23),0)</f>
        <v>0</v>
      </c>
      <c r="TK23" s="20" t="n">
        <f aca="false">IF(HF23=1,IF(HU23=1,OE23+OH23,HG23-OQ23)*(1+Slot20_Rate),0)</f>
        <v>0</v>
      </c>
      <c r="TL23" s="20" t="n">
        <f aca="false">IF(AND(HU23=1,HF23=1),(OD23+OH23)/F23,0)</f>
        <v>0</v>
      </c>
      <c r="TM23" s="20" t="n">
        <f aca="false">IF(B23=0,OD23+OH23,0)</f>
        <v>0</v>
      </c>
      <c r="TN23" s="20" t="n">
        <f aca="false">IF(B23=0,IF(HU23=1,OF23,OG23),0)</f>
        <v>0</v>
      </c>
      <c r="TO23" s="20" t="n">
        <f aca="false">QK23+QL23+QM23+QQ23+QU23+QY23+RC23+RG23+RK23+RO23+RS23+RW23+SA23+SE23+SI23+SM23+SQ23+SU23+SY23+TC23+TG23+TK23</f>
        <v>60596.4277964002</v>
      </c>
      <c r="TP23" s="20" t="n">
        <f aca="false">QE23+HP23</f>
        <v>0</v>
      </c>
      <c r="TQ23" s="20" t="n">
        <f aca="false">I23+S23</f>
        <v>74724.0752245859</v>
      </c>
      <c r="TR23" s="20" t="n">
        <f aca="false">1-G23</f>
        <v>0</v>
      </c>
      <c r="TS23" s="20" t="n">
        <f aca="false">IF(AND(RG_Exists=1,G23=0,C23=1),I23,0)</f>
        <v>0</v>
      </c>
      <c r="TT23" s="20" t="n">
        <f aca="false">IF(AND(RG_Exists=1,G23=0,C23=1),I23-MIN(QE23,I23),0)</f>
        <v>0</v>
      </c>
      <c r="TU23" s="20" t="n">
        <f aca="false">'Plan pay &amp; tax'!AD249</f>
        <v>319358.75601367</v>
      </c>
      <c r="TV23" s="20" t="n">
        <f aca="false">IF(AND(C23=1,QE23&gt;MAX(PR_Short1,TQ23*PR_Short2)),1,0)</f>
        <v>0</v>
      </c>
      <c r="TW23" s="20" t="n">
        <f aca="false">MIN(H23,I23+S23)</f>
        <v>74724.0752245859</v>
      </c>
      <c r="TX23" s="20" t="n">
        <f aca="false">QF23+MAX(0,HQ23-HP23)</f>
        <v>0</v>
      </c>
      <c r="TY23" s="20" t="n">
        <f aca="false">QE23+HP23</f>
        <v>0</v>
      </c>
      <c r="TZ23" s="20" t="n">
        <f aca="false">IF(AND(C23=1,TY23&gt;PR_MinShort),1,0)</f>
        <v>0</v>
      </c>
      <c r="UA23" s="20" t="n">
        <f aca="false">IF(AND(C23=1,TZ23=0,TX23&gt;PR_MinShort),1,0)</f>
        <v>0</v>
      </c>
      <c r="UB23" s="20" t="n">
        <f aca="false">IF(AND(C23=1,QE23&gt;PR_MinShort),1,0)</f>
        <v>0</v>
      </c>
      <c r="UC23" s="20" t="n">
        <f aca="false">IF(AND(C23=1,QF23&gt;1,UJ23=0),1,0)</f>
        <v>0</v>
      </c>
      <c r="UD23" s="20" t="str">
        <f aca="false">IF(C23=0,"",IF(UJ23=1,"Gap to plan for: short "&amp;"€"&amp;TEXT(ROUND(TP23,0),"#,##0"),IF(QF23&gt;1,"Using savings","Comfortable")))</f>
        <v>Comfortable</v>
      </c>
      <c r="UE23" s="20" t="n">
        <f aca="false">IF(AND(INT(D23/10)*10=90,B23&gt;0),80,INT(D23/10)*10)</f>
        <v>50</v>
      </c>
      <c r="UF23" s="20" t="n">
        <f aca="false">IF(B23=0,1,IF(UE23&lt;&gt;UE22,UF22+1,UF22))</f>
        <v>3</v>
      </c>
      <c r="UG23" s="20" t="n">
        <f aca="false">IF(AND(C23=1,G23=1,QE23&gt;MAX(PR_Short1,TQ23*PR_Short2)),1,0)</f>
        <v>0</v>
      </c>
      <c r="UH23" s="20" t="n">
        <f aca="false">TR23*TV23</f>
        <v>0</v>
      </c>
      <c r="UI23" s="20" t="n">
        <f aca="false">IF(AND(V23=1,Slot1_PctLow=1),1,0)+IF(AND(AG23=1,Slot2_PctLow=1),1,0)+IF(AND(AQ23=1,Slot3_PctLow=1),1,0)+IF(AND(BA23=1,Slot4_PctLow=1),1,0)+IF(AND(BK23=1,Slot5_PctLow=1),1,0)+IF(AND(BU23=1,Slot6_PctLow=1),1,0)+IF(AND(CE23=1,Slot7_PctLow=1),1,0)+IF(AND(CO23=1,Slot8_PctLow=1),1,0)+IF(AND(CY23=1,Slot9_PctLow=1),1,0)+IF(AND(DI23=1,Slot10_PctLow=1),1,0)+IF(AND(DS23=1,Slot11_PctLow=1),1,0)+IF(AND(EC23=1,Slot12_PctLow=1),1,0)+IF(AND(EM23=1,Slot13_PctLow=1),1,0)+IF(AND(EW23=1,Slot14_PctLow=1),1,0)+IF(AND(FG23=1,Slot15_PctLow=1),1,0)+IF(AND(FQ23=1,Slot16_PctLow=1),1,0)+IF(AND(GA23=1,Slot17_PctLow=1),1,0)+IF(AND(GK23=1,Slot18_PctLow=1),1,0)+IF(AND(GU23=1,Slot19_PctLow=1),1,0)+IF(AND(HE23=1,Slot20_PctLow=1),1,0)</f>
        <v>0</v>
      </c>
      <c r="UJ23" s="20" t="n">
        <f aca="false">IF(C23=1,IF(OR(TV23=1,UI23&gt;0),1,0),0)</f>
        <v>0</v>
      </c>
      <c r="UK23" s="20" t="n">
        <f aca="false">Z23+AK23+AU23+BE23+BO23+BY23+CI23+CS23+DC23+DM23+DW23+EG23+EQ23+FA23+FK23+FU23+GE23+GO23+GY23+HI23+OM23</f>
        <v>0</v>
      </c>
      <c r="UL23" s="20" t="n">
        <f aca="false">V23*IF(Slot1_SpendLike=1,X23-Y23,IF(Slot1_PotFree=1,X23,0))+AG23*IF(Slot2_SpendLike=1,AI23-AJ23,IF(Slot2_PotFree=1,AI23,0))+AQ23*IF(Slot3_SpendLike=1,AS23-AT23,IF(Slot3_PotFree=1,AS23,0))+BA23*IF(Slot4_SpendLike=1,BC23-BD23,IF(Slot4_PotFree=1,BC23,0))+BK23*IF(Slot5_SpendLike=1,BM23-BN23,IF(Slot5_PotFree=1,BM23,0))+BU23*IF(Slot6_SpendLike=1,BW23-BX23,IF(Slot6_PotFree=1,BW23,0))+CE23*IF(Slot7_SpendLike=1,CG23-CH23,IF(Slot7_PotFree=1,CG23,0))+CO23*IF(Slot8_SpendLike=1,CQ23-CR23,IF(Slot8_PotFree=1,CQ23,0))+CY23*IF(Slot9_SpendLike=1,DA23-DB23,IF(Slot9_PotFree=1,DA23,0))+DI23*IF(Slot10_SpendLike=1,DK23-DL23,IF(Slot10_PotFree=1,DK23,0))+DS23*IF(Slot11_SpendLike=1,DU23-DV23,IF(Slot11_PotFree=1,DU23,0))+EC23*IF(Slot12_SpendLike=1,EE23-EF23,IF(Slot12_PotFree=1,EE23,0))+EM23*IF(Slot13_SpendLike=1,EO23-EP23,IF(Slot13_PotFree=1,EO23,0))+EW23*IF(Slot14_SpendLike=1,EY23-EZ23,IF(Slot14_PotFree=1,EY23,0))+FG23*IF(Slot15_SpendLike=1,FI23-FJ23,IF(Slot15_PotFree=1,FI23,0))+FQ23*IF(Slot16_SpendLike=1,FS23-FT23,IF(Slot16_PotFree=1,FS23,0))+GA23*IF(Slot17_SpendLike=1,GC23-GD23,IF(Slot17_PotFree=1,GC23,0))+GK23*IF(Slot18_SpendLike=1,GM23-GN23,IF(Slot18_PotFree=1,GM23,0))+GU23*IF(Slot19_SpendLike=1,GW23-GX23,IF(Slot19_PotFree=1,GW23,0))+HE23*IF(Slot20_SpendLike=1,HG23-HH23,IF(Slot20_PotFree=1,HG23,0))</f>
        <v>0</v>
      </c>
      <c r="UM23" s="20" t="n">
        <f aca="false">QG23-T23+UK23-UL23</f>
        <v>2601.90354642439</v>
      </c>
      <c r="UN23" s="20" t="n">
        <f aca="false">IF(OR(UN22=1,AND(In_homeUse="Yes, I'd downsize",In_downAge&gt;0,D23=In_downAge,OR(In_home="Own outright",In_home="Own with mortgage"),In_homeValue&gt;0)),1,0)</f>
        <v>0</v>
      </c>
    </row>
    <row r="24" customFormat="false" ht="15" hidden="false" customHeight="true" outlineLevel="0" collapsed="false">
      <c r="B24" s="20" t="n">
        <v>16</v>
      </c>
      <c r="C24" s="20" t="n">
        <f aca="false">IF(B24&lt;=F_N,1,0)</f>
        <v>1</v>
      </c>
      <c r="D24" s="20" t="n">
        <f aca="false">'Plan pay &amp; tax'!C250</f>
        <v>54</v>
      </c>
      <c r="E24" s="20" t="str">
        <f aca="false">IF($C24=1,"Income tax "&amp;TEXT(N('Plan pay &amp; tax'!BK250),"#,##0")&amp;"; USC "&amp;TEXT(N('Plan pay &amp; tax'!BM250)+N('Plan pay &amp; tax'!BO250),"#,##0")&amp;"; PRSI "&amp;TEXT(N('Plan pay &amp; tax'!BP250)+N('Plan pay &amp; tax'!BQ250),"#,##0")&amp;IF(N('Plan holdings'!BO24)&gt;=0.5,"; DIRT "&amp;TEXT(('Plan holdings'!BO24)/$F24,"#,##0")&amp;" (already taken from the interest earned)","")&amp;IF(N('Plan holdings'!BP24)&gt;=0.5,"; exit tax at an 8-year anniversary "&amp;TEXT(('Plan holdings'!BP24)/$F24,"#,##0"),"")&amp;IF(N('Plan holdings'!BN24)&gt;=0.5,"; tax on assets sold (exit tax or capital gains tax) "&amp;TEXT(('Plan holdings'!BN24)/$F24,"#,##0"),"")&amp;IF(N('Plan pay &amp; tax'!X250)-N('Plan pay &amp; tax'!Y250)&gt;=0.5,"; tax on the pension lump sum "&amp;TEXT(('Plan pay &amp; tax'!X250-'Plan pay &amp; tax'!Y250)/$F24,"#,##0"),"")&amp;IF(N('Plan pay &amp; tax'!V250)&gt;=0.5,"; chargeable excess tax on the pension "&amp;TEXT(('Plan pay &amp; tax'!V250)/$F24,"#,##0"),"")&amp;".","")</f>
        <v>Income tax 14,004; USC 1,901; PRSI 4,395; DIRT 82 (already taken from the interest earned).</v>
      </c>
      <c r="F24" s="50" t="n">
        <f aca="false">'Plan pay &amp; tax'!E250</f>
        <v>1.37278570509061</v>
      </c>
      <c r="G24" s="20" t="n">
        <f aca="false">'Plan pay &amp; tax'!G250</f>
        <v>1</v>
      </c>
      <c r="H24" s="20" t="n">
        <f aca="false">'Plan pay &amp; tax'!BT250-'Plan pay &amp; tax'!BS250-'Plan pay &amp; tax'!R250</f>
        <v>95502.1371061065</v>
      </c>
      <c r="I24" s="20" t="n">
        <f aca="false">IF(G24=1,F_CostsM*12,IF(RG_Exists=1,RG_Amount,F_CostsM*12*AS_RetireSpend))*F24+F_OneOffY*F24</f>
        <v>61775.3567290776</v>
      </c>
      <c r="J24" s="20" t="n">
        <f aca="false">IF(UN24=1,0,HR23)</f>
        <v>64273.7411370787</v>
      </c>
      <c r="K24" s="20" t="n">
        <f aca="false">IF(J24&gt;1,'Plan debt months'!AC24,0)</f>
        <v>14160</v>
      </c>
      <c r="L24" s="20" t="n">
        <f aca="false">IF(J24&gt;1,'Plan debt months'!AB24,J24)</f>
        <v>52379.8592822762</v>
      </c>
      <c r="M24" s="20" t="n">
        <f aca="false">O23</f>
        <v>0</v>
      </c>
      <c r="N24" s="20" t="n">
        <f aca="false">IF(M24&gt;1,'Plan debt months'!BD24,0)</f>
        <v>0</v>
      </c>
      <c r="O24" s="20" t="n">
        <f aca="false">IF(M24&gt;1,'Plan debt months'!BC24,M24)</f>
        <v>0</v>
      </c>
      <c r="P24" s="20" t="n">
        <f aca="false">R23</f>
        <v>0</v>
      </c>
      <c r="Q24" s="20" t="n">
        <f aca="false">IF(P24&gt;1,'Plan debt months'!CE24,0)</f>
        <v>0</v>
      </c>
      <c r="R24" s="20" t="n">
        <f aca="false">IF(P24&gt;1,'Plan debt months'!CD24,P24)</f>
        <v>0</v>
      </c>
      <c r="S24" s="20" t="n">
        <f aca="false">K24+N24+Q24</f>
        <v>14160</v>
      </c>
      <c r="T24" s="57" t="n">
        <f aca="false">'Plan holdings'!Y24</f>
        <v>13880.0091430087</v>
      </c>
      <c r="U24" s="57" t="n">
        <f aca="false">'Plan holdings'!BM23</f>
        <v>14148.962119578</v>
      </c>
      <c r="V24" s="20" t="n">
        <f aca="false">IF(AND(Slot1_On=1,D24=Slot1_Age),1,0)</f>
        <v>0</v>
      </c>
      <c r="W24" s="20" t="n">
        <f aca="false">IF(AND(Slot1_On=1,Slot1_Age&gt;D24),1,0)</f>
        <v>0</v>
      </c>
      <c r="X24" s="20" t="n">
        <f aca="false">QM23</f>
        <v>0</v>
      </c>
      <c r="Y24" s="20" t="n">
        <f aca="false">V24*MIN(Slot1_Cost,X24)</f>
        <v>0</v>
      </c>
      <c r="Z24" s="20" t="n">
        <f aca="false">V24*Slot1_SpendLike*MIN(Slot1_Cost-Y24,T24)</f>
        <v>0</v>
      </c>
      <c r="AA24" s="20" t="n">
        <f aca="false">Y24+Z24</f>
        <v>0</v>
      </c>
      <c r="AB24" s="20" t="n">
        <f aca="false">T24-Z24+V24*IF(Slot1_SpendLike=1,X24-Y24,IF(Slot1_PotFree=1,X24,0))</f>
        <v>13880.0091430087</v>
      </c>
      <c r="AC24" s="20" t="n">
        <f aca="false">AF24+V24*Slot1_BufPot*X24</f>
        <v>13079.2251045273</v>
      </c>
      <c r="AD24" s="20" t="n">
        <f aca="false">IF(AND(V24=1,Slot1_IsMfree=1),IF(AA24&gt;=Slot1_Cost-1,0,MAX(0,L24-AA24)),L24)</f>
        <v>52379.8592822762</v>
      </c>
      <c r="AE24" s="20" t="n">
        <f aca="false">V24*(Slot1_Cost-AA24)</f>
        <v>0</v>
      </c>
      <c r="AF24" s="20" t="n">
        <f aca="false">QL23</f>
        <v>13079.2251045273</v>
      </c>
      <c r="AG24" s="20" t="n">
        <f aca="false">IF(AND(Slot2_On=1,D24=Slot2_Age),1,0)</f>
        <v>0</v>
      </c>
      <c r="AH24" s="20" t="n">
        <f aca="false">IF(AND(Slot2_On=1,Slot2_Age&gt;D24),1,0)</f>
        <v>0</v>
      </c>
      <c r="AI24" s="20" t="n">
        <f aca="false">QQ23</f>
        <v>0</v>
      </c>
      <c r="AJ24" s="20" t="n">
        <f aca="false">AG24*MIN(Slot2_Cost,AI24)</f>
        <v>0</v>
      </c>
      <c r="AK24" s="20" t="n">
        <f aca="false">AG24*Slot2_SpendLike*MIN(Slot2_Cost-AJ24,AB24)</f>
        <v>0</v>
      </c>
      <c r="AL24" s="20" t="n">
        <f aca="false">AJ24+AK24</f>
        <v>0</v>
      </c>
      <c r="AM24" s="20" t="n">
        <f aca="false">AB24-AK24+AG24*IF(Slot2_SpendLike=1,AI24-AJ24,IF(Slot2_PotFree=1,AI24,0))</f>
        <v>13880.0091430087</v>
      </c>
      <c r="AN24" s="20" t="n">
        <f aca="false">AC24+AG24*Slot2_BufPot*AI24</f>
        <v>13079.2251045273</v>
      </c>
      <c r="AO24" s="20" t="n">
        <f aca="false">IF(AND(AG24=1,Slot2_IsMfree=1),IF(AL24&gt;=Slot2_Cost-1,0,MAX(0,AD24-AL24)),AD24)</f>
        <v>52379.8592822762</v>
      </c>
      <c r="AP24" s="20" t="n">
        <f aca="false">AG24*(Slot2_Cost-AL24)</f>
        <v>0</v>
      </c>
      <c r="AQ24" s="20" t="n">
        <f aca="false">IF(AND(Slot3_On=1,D24=Slot3_Age),1,0)</f>
        <v>0</v>
      </c>
      <c r="AR24" s="20" t="n">
        <f aca="false">IF(AND(Slot3_On=1,Slot3_Age&gt;D24),1,0)</f>
        <v>0</v>
      </c>
      <c r="AS24" s="20" t="n">
        <f aca="false">QU23</f>
        <v>0</v>
      </c>
      <c r="AT24" s="20" t="n">
        <f aca="false">AQ24*MIN(Slot3_Cost,AS24)</f>
        <v>0</v>
      </c>
      <c r="AU24" s="20" t="n">
        <f aca="false">AQ24*Slot3_SpendLike*MIN(Slot3_Cost-AT24,AM24)</f>
        <v>0</v>
      </c>
      <c r="AV24" s="20" t="n">
        <f aca="false">AT24+AU24</f>
        <v>0</v>
      </c>
      <c r="AW24" s="20" t="n">
        <f aca="false">AM24-AU24+AQ24*IF(Slot3_SpendLike=1,AS24-AT24,IF(Slot3_PotFree=1,AS24,0))</f>
        <v>13880.0091430087</v>
      </c>
      <c r="AX24" s="20" t="n">
        <f aca="false">AN24+AQ24*Slot3_BufPot*AS24</f>
        <v>13079.2251045273</v>
      </c>
      <c r="AY24" s="20" t="n">
        <f aca="false">IF(AND(AQ24=1,Slot3_IsMfree=1),IF(AV24&gt;=Slot3_Cost-1,0,MAX(0,AO24-AV24)),AO24)</f>
        <v>52379.8592822762</v>
      </c>
      <c r="AZ24" s="20" t="n">
        <f aca="false">AQ24*(Slot3_Cost-AV24)</f>
        <v>0</v>
      </c>
      <c r="BA24" s="20" t="n">
        <f aca="false">IF(AND(Slot4_On=1,D24=Slot4_Age),1,0)</f>
        <v>0</v>
      </c>
      <c r="BB24" s="20" t="n">
        <f aca="false">IF(AND(Slot4_On=1,Slot4_Age&gt;D24),1,0)</f>
        <v>1</v>
      </c>
      <c r="BC24" s="20" t="n">
        <f aca="false">QY23</f>
        <v>33368.2405722948</v>
      </c>
      <c r="BD24" s="20" t="n">
        <f aca="false">BA24*MIN(Slot4_Cost,BC24)</f>
        <v>0</v>
      </c>
      <c r="BE24" s="20" t="n">
        <f aca="false">BA24*Slot4_SpendLike*MIN(Slot4_Cost-BD24,AW24)</f>
        <v>0</v>
      </c>
      <c r="BF24" s="20" t="n">
        <f aca="false">BD24+BE24</f>
        <v>0</v>
      </c>
      <c r="BG24" s="20" t="n">
        <f aca="false">AW24-BE24+BA24*IF(Slot4_SpendLike=1,BC24-BD24,IF(Slot4_PotFree=1,BC24,0))</f>
        <v>13880.0091430087</v>
      </c>
      <c r="BH24" s="20" t="n">
        <f aca="false">AX24+BA24*Slot4_BufPot*BC24</f>
        <v>13079.2251045273</v>
      </c>
      <c r="BI24" s="20" t="n">
        <f aca="false">IF(AND(BA24=1,Slot4_IsMfree=1),IF(BF24&gt;=Slot4_Cost-1,0,MAX(0,AY24-BF24)),AY24)</f>
        <v>52379.8592822762</v>
      </c>
      <c r="BJ24" s="20" t="n">
        <f aca="false">BA24*(Slot4_Cost-BF24)</f>
        <v>0</v>
      </c>
      <c r="BK24" s="20" t="n">
        <f aca="false">IF(AND(Slot5_On=1,D24=Slot5_Age),1,0)</f>
        <v>0</v>
      </c>
      <c r="BL24" s="20" t="n">
        <f aca="false">IF(AND(Slot5_On=1,Slot5_Age&gt;D24),1,0)</f>
        <v>0</v>
      </c>
      <c r="BM24" s="20" t="n">
        <f aca="false">RC23</f>
        <v>0</v>
      </c>
      <c r="BN24" s="20" t="n">
        <f aca="false">BK24*MIN(Slot5_Cost,BM24)</f>
        <v>0</v>
      </c>
      <c r="BO24" s="20" t="n">
        <f aca="false">BK24*Slot5_SpendLike*MIN(Slot5_Cost-BN24,BG24)</f>
        <v>0</v>
      </c>
      <c r="BP24" s="20" t="n">
        <f aca="false">BN24+BO24</f>
        <v>0</v>
      </c>
      <c r="BQ24" s="20" t="n">
        <f aca="false">BG24-BO24+BK24*IF(Slot5_SpendLike=1,BM24-BN24,IF(Slot5_PotFree=1,BM24,0))</f>
        <v>13880.0091430087</v>
      </c>
      <c r="BR24" s="20" t="n">
        <f aca="false">BH24+BK24*Slot5_BufPot*BM24</f>
        <v>13079.2251045273</v>
      </c>
      <c r="BS24" s="20" t="n">
        <f aca="false">IF(AND(BK24=1,Slot5_IsMfree=1),IF(BP24&gt;=Slot5_Cost-1,0,MAX(0,BI24-BP24)),BI24)</f>
        <v>52379.8592822762</v>
      </c>
      <c r="BT24" s="20" t="n">
        <f aca="false">BK24*(Slot5_Cost-BP24)</f>
        <v>0</v>
      </c>
      <c r="BU24" s="20" t="n">
        <f aca="false">IF(AND(Slot6_On=1,D24=Slot6_Age),1,0)</f>
        <v>0</v>
      </c>
      <c r="BV24" s="20" t="n">
        <f aca="false">IF(AND(Slot6_On=1,Slot6_Age&gt;D24),1,0)</f>
        <v>0</v>
      </c>
      <c r="BW24" s="20" t="n">
        <f aca="false">RG23</f>
        <v>0</v>
      </c>
      <c r="BX24" s="20" t="n">
        <f aca="false">BU24*MIN(Slot6_Cost,BW24)</f>
        <v>0</v>
      </c>
      <c r="BY24" s="20" t="n">
        <f aca="false">BU24*Slot6_SpendLike*MIN(Slot6_Cost-BX24,BQ24)</f>
        <v>0</v>
      </c>
      <c r="BZ24" s="20" t="n">
        <f aca="false">BX24+BY24</f>
        <v>0</v>
      </c>
      <c r="CA24" s="20" t="n">
        <f aca="false">BQ24-BY24+BU24*IF(Slot6_SpendLike=1,BW24-BX24,IF(Slot6_PotFree=1,BW24,0))</f>
        <v>13880.0091430087</v>
      </c>
      <c r="CB24" s="20" t="n">
        <f aca="false">BR24+BU24*Slot6_BufPot*BW24</f>
        <v>13079.2251045273</v>
      </c>
      <c r="CC24" s="20" t="n">
        <f aca="false">IF(AND(BU24=1,Slot6_IsMfree=1),IF(BZ24&gt;=Slot6_Cost-1,0,MAX(0,BS24-BZ24)),BS24)</f>
        <v>52379.8592822762</v>
      </c>
      <c r="CD24" s="20" t="n">
        <f aca="false">BU24*(Slot6_Cost-BZ24)</f>
        <v>0</v>
      </c>
      <c r="CE24" s="20" t="n">
        <f aca="false">IF(AND(Slot7_On=1,D24=Slot7_Age),1,0)</f>
        <v>0</v>
      </c>
      <c r="CF24" s="20" t="n">
        <f aca="false">IF(AND(Slot7_On=1,Slot7_Age&gt;D24),1,0)</f>
        <v>0</v>
      </c>
      <c r="CG24" s="20" t="n">
        <f aca="false">RK23</f>
        <v>0</v>
      </c>
      <c r="CH24" s="20" t="n">
        <f aca="false">CE24*MIN(Slot7_Cost,CG24)</f>
        <v>0</v>
      </c>
      <c r="CI24" s="20" t="n">
        <f aca="false">CE24*Slot7_SpendLike*MIN(Slot7_Cost-CH24,CA24)</f>
        <v>0</v>
      </c>
      <c r="CJ24" s="20" t="n">
        <f aca="false">CH24+CI24</f>
        <v>0</v>
      </c>
      <c r="CK24" s="20" t="n">
        <f aca="false">CA24-CI24+CE24*IF(Slot7_SpendLike=1,CG24-CH24,IF(Slot7_PotFree=1,CG24,0))</f>
        <v>13880.0091430087</v>
      </c>
      <c r="CL24" s="20" t="n">
        <f aca="false">CB24+CE24*Slot7_BufPot*CG24</f>
        <v>13079.2251045273</v>
      </c>
      <c r="CM24" s="20" t="n">
        <f aca="false">IF(AND(CE24=1,Slot7_IsMfree=1),IF(CJ24&gt;=Slot7_Cost-1,0,MAX(0,CC24-CJ24)),CC24)</f>
        <v>52379.8592822762</v>
      </c>
      <c r="CN24" s="20" t="n">
        <f aca="false">CE24*(Slot7_Cost-CJ24)</f>
        <v>0</v>
      </c>
      <c r="CO24" s="20" t="n">
        <f aca="false">IF(AND(Slot8_On=1,D24=Slot8_Age),1,0)</f>
        <v>0</v>
      </c>
      <c r="CP24" s="20" t="n">
        <f aca="false">IF(AND(Slot8_On=1,Slot8_Age&gt;D24),1,0)</f>
        <v>0</v>
      </c>
      <c r="CQ24" s="20" t="n">
        <f aca="false">RO23</f>
        <v>0</v>
      </c>
      <c r="CR24" s="20" t="n">
        <f aca="false">CO24*MIN(Slot8_Cost,CQ24)</f>
        <v>0</v>
      </c>
      <c r="CS24" s="20" t="n">
        <f aca="false">CO24*Slot8_SpendLike*MIN(Slot8_Cost-CR24,CK24)</f>
        <v>0</v>
      </c>
      <c r="CT24" s="20" t="n">
        <f aca="false">CR24+CS24</f>
        <v>0</v>
      </c>
      <c r="CU24" s="20" t="n">
        <f aca="false">CK24-CS24+CO24*IF(Slot8_SpendLike=1,CQ24-CR24,IF(Slot8_PotFree=1,CQ24,0))</f>
        <v>13880.0091430087</v>
      </c>
      <c r="CV24" s="20" t="n">
        <f aca="false">CL24+CO24*Slot8_BufPot*CQ24</f>
        <v>13079.2251045273</v>
      </c>
      <c r="CW24" s="20" t="n">
        <f aca="false">IF(AND(CO24=1,Slot8_IsMfree=1),IF(CT24&gt;=Slot8_Cost-1,0,MAX(0,CM24-CT24)),CM24)</f>
        <v>52379.8592822762</v>
      </c>
      <c r="CX24" s="20" t="n">
        <f aca="false">CO24*(Slot8_Cost-CT24)</f>
        <v>0</v>
      </c>
      <c r="CY24" s="20" t="n">
        <f aca="false">IF(AND(Slot9_On=1,D24=Slot9_Age),1,0)</f>
        <v>0</v>
      </c>
      <c r="CZ24" s="20" t="n">
        <f aca="false">IF(AND(Slot9_On=1,Slot9_Age&gt;D24),1,0)</f>
        <v>0</v>
      </c>
      <c r="DA24" s="20" t="n">
        <f aca="false">RS23</f>
        <v>0</v>
      </c>
      <c r="DB24" s="20" t="n">
        <f aca="false">CY24*MIN(Slot9_Cost,DA24)</f>
        <v>0</v>
      </c>
      <c r="DC24" s="20" t="n">
        <f aca="false">CY24*Slot9_SpendLike*MIN(Slot9_Cost-DB24,CU24)</f>
        <v>0</v>
      </c>
      <c r="DD24" s="20" t="n">
        <f aca="false">DB24+DC24</f>
        <v>0</v>
      </c>
      <c r="DE24" s="20" t="n">
        <f aca="false">CU24-DC24+CY24*IF(Slot9_SpendLike=1,DA24-DB24,IF(Slot9_PotFree=1,DA24,0))</f>
        <v>13880.0091430087</v>
      </c>
      <c r="DF24" s="20" t="n">
        <f aca="false">CV24+CY24*Slot9_BufPot*DA24</f>
        <v>13079.2251045273</v>
      </c>
      <c r="DG24" s="20" t="n">
        <f aca="false">IF(AND(CY24=1,Slot9_IsMfree=1),IF(DD24&gt;=Slot9_Cost-1,0,MAX(0,CW24-DD24)),CW24)</f>
        <v>52379.8592822762</v>
      </c>
      <c r="DH24" s="20" t="n">
        <f aca="false">CY24*(Slot9_Cost-DD24)</f>
        <v>0</v>
      </c>
      <c r="DI24" s="20" t="n">
        <f aca="false">IF(AND(Slot10_On=1,D24=Slot10_Age),1,0)</f>
        <v>0</v>
      </c>
      <c r="DJ24" s="20" t="n">
        <f aca="false">IF(AND(Slot10_On=1,Slot10_Age&gt;D24),1,0)</f>
        <v>0</v>
      </c>
      <c r="DK24" s="20" t="n">
        <f aca="false">RW23</f>
        <v>0</v>
      </c>
      <c r="DL24" s="20" t="n">
        <f aca="false">DI24*MIN(Slot10_Cost,DK24)</f>
        <v>0</v>
      </c>
      <c r="DM24" s="20" t="n">
        <f aca="false">DI24*Slot10_SpendLike*MIN(Slot10_Cost-DL24,DE24)</f>
        <v>0</v>
      </c>
      <c r="DN24" s="20" t="n">
        <f aca="false">DL24+DM24</f>
        <v>0</v>
      </c>
      <c r="DO24" s="20" t="n">
        <f aca="false">DE24-DM24+DI24*IF(Slot10_SpendLike=1,DK24-DL24,IF(Slot10_PotFree=1,DK24,0))</f>
        <v>13880.0091430087</v>
      </c>
      <c r="DP24" s="20" t="n">
        <f aca="false">DF24+DI24*Slot10_BufPot*DK24</f>
        <v>13079.2251045273</v>
      </c>
      <c r="DQ24" s="20" t="n">
        <f aca="false">IF(AND(DI24=1,Slot10_IsMfree=1),IF(DN24&gt;=Slot10_Cost-1,0,MAX(0,DG24-DN24)),DG24)</f>
        <v>52379.8592822762</v>
      </c>
      <c r="DR24" s="20" t="n">
        <f aca="false">DI24*(Slot10_Cost-DN24)</f>
        <v>0</v>
      </c>
      <c r="DS24" s="20" t="n">
        <f aca="false">IF(AND(Slot11_On=1,D24=Slot11_Age),1,0)</f>
        <v>0</v>
      </c>
      <c r="DT24" s="20" t="n">
        <f aca="false">IF(AND(Slot11_On=1,Slot11_Age&gt;D24),1,0)</f>
        <v>0</v>
      </c>
      <c r="DU24" s="20" t="n">
        <f aca="false">SA23</f>
        <v>0</v>
      </c>
      <c r="DV24" s="20" t="n">
        <f aca="false">DS24*MIN(Slot11_Cost,DU24)</f>
        <v>0</v>
      </c>
      <c r="DW24" s="20" t="n">
        <f aca="false">DS24*Slot11_SpendLike*MIN(Slot11_Cost-DV24,DO24)</f>
        <v>0</v>
      </c>
      <c r="DX24" s="20" t="n">
        <f aca="false">DV24+DW24</f>
        <v>0</v>
      </c>
      <c r="DY24" s="20" t="n">
        <f aca="false">DO24-DW24+DS24*IF(Slot11_SpendLike=1,DU24-DV24,IF(Slot11_PotFree=1,DU24,0))</f>
        <v>13880.0091430087</v>
      </c>
      <c r="DZ24" s="20" t="n">
        <f aca="false">DP24+DS24*Slot11_BufPot*DU24</f>
        <v>13079.2251045273</v>
      </c>
      <c r="EA24" s="20" t="n">
        <f aca="false">IF(AND(DS24=1,Slot11_IsMfree=1),IF(DX24&gt;=Slot11_Cost-1,0,MAX(0,DQ24-DX24)),DQ24)</f>
        <v>52379.8592822762</v>
      </c>
      <c r="EB24" s="20" t="n">
        <f aca="false">DS24*(Slot11_Cost-DX24)</f>
        <v>0</v>
      </c>
      <c r="EC24" s="20" t="n">
        <f aca="false">IF(AND(Slot12_On=1,D24=Slot12_Age),1,0)</f>
        <v>0</v>
      </c>
      <c r="ED24" s="20" t="n">
        <f aca="false">IF(AND(Slot12_On=1,Slot12_Age&gt;D24),1,0)</f>
        <v>0</v>
      </c>
      <c r="EE24" s="20" t="n">
        <f aca="false">SE23</f>
        <v>0</v>
      </c>
      <c r="EF24" s="20" t="n">
        <f aca="false">EC24*MIN(Slot12_Cost,EE24)</f>
        <v>0</v>
      </c>
      <c r="EG24" s="20" t="n">
        <f aca="false">EC24*Slot12_SpendLike*MIN(Slot12_Cost-EF24,DY24)</f>
        <v>0</v>
      </c>
      <c r="EH24" s="20" t="n">
        <f aca="false">EF24+EG24</f>
        <v>0</v>
      </c>
      <c r="EI24" s="20" t="n">
        <f aca="false">DY24-EG24+EC24*IF(Slot12_SpendLike=1,EE24-EF24,IF(Slot12_PotFree=1,EE24,0))</f>
        <v>13880.0091430087</v>
      </c>
      <c r="EJ24" s="20" t="n">
        <f aca="false">DZ24+EC24*Slot12_BufPot*EE24</f>
        <v>13079.2251045273</v>
      </c>
      <c r="EK24" s="20" t="n">
        <f aca="false">IF(AND(EC24=1,Slot12_IsMfree=1),IF(EH24&gt;=Slot12_Cost-1,0,MAX(0,EA24-EH24)),EA24)</f>
        <v>52379.8592822762</v>
      </c>
      <c r="EL24" s="20" t="n">
        <f aca="false">EC24*(Slot12_Cost-EH24)</f>
        <v>0</v>
      </c>
      <c r="EM24" s="20" t="n">
        <f aca="false">IF(AND(Slot13_On=1,D24=Slot13_Age),1,0)</f>
        <v>0</v>
      </c>
      <c r="EN24" s="20" t="n">
        <f aca="false">IF(AND(Slot13_On=1,Slot13_Age&gt;D24),1,0)</f>
        <v>0</v>
      </c>
      <c r="EO24" s="20" t="n">
        <f aca="false">SI23</f>
        <v>0</v>
      </c>
      <c r="EP24" s="20" t="n">
        <f aca="false">EM24*MIN(Slot13_Cost,EO24)</f>
        <v>0</v>
      </c>
      <c r="EQ24" s="20" t="n">
        <f aca="false">EM24*Slot13_SpendLike*MIN(Slot13_Cost-EP24,EI24)</f>
        <v>0</v>
      </c>
      <c r="ER24" s="20" t="n">
        <f aca="false">EP24+EQ24</f>
        <v>0</v>
      </c>
      <c r="ES24" s="20" t="n">
        <f aca="false">EI24-EQ24+EM24*IF(Slot13_SpendLike=1,EO24-EP24,IF(Slot13_PotFree=1,EO24,0))</f>
        <v>13880.0091430087</v>
      </c>
      <c r="ET24" s="20" t="n">
        <f aca="false">EJ24+EM24*Slot13_BufPot*EO24</f>
        <v>13079.2251045273</v>
      </c>
      <c r="EU24" s="20" t="n">
        <f aca="false">IF(AND(EM24=1,Slot13_IsMfree=1),IF(ER24&gt;=Slot13_Cost-1,0,MAX(0,EK24-ER24)),EK24)</f>
        <v>52379.8592822762</v>
      </c>
      <c r="EV24" s="20" t="n">
        <f aca="false">EM24*(Slot13_Cost-ER24)</f>
        <v>0</v>
      </c>
      <c r="EW24" s="20" t="n">
        <f aca="false">IF(AND(Slot14_On=1,D24=Slot14_Age),1,0)</f>
        <v>0</v>
      </c>
      <c r="EX24" s="20" t="n">
        <f aca="false">IF(AND(Slot14_On=1,Slot14_Age&gt;D24),1,0)</f>
        <v>0</v>
      </c>
      <c r="EY24" s="20" t="n">
        <f aca="false">SM23</f>
        <v>0</v>
      </c>
      <c r="EZ24" s="20" t="n">
        <f aca="false">EW24*MIN(Slot14_Cost,EY24)</f>
        <v>0</v>
      </c>
      <c r="FA24" s="20" t="n">
        <f aca="false">EW24*Slot14_SpendLike*MIN(Slot14_Cost-EZ24,ES24)</f>
        <v>0</v>
      </c>
      <c r="FB24" s="20" t="n">
        <f aca="false">EZ24+FA24</f>
        <v>0</v>
      </c>
      <c r="FC24" s="20" t="n">
        <f aca="false">ES24-FA24+EW24*IF(Slot14_SpendLike=1,EY24-EZ24,IF(Slot14_PotFree=1,EY24,0))</f>
        <v>13880.0091430087</v>
      </c>
      <c r="FD24" s="20" t="n">
        <f aca="false">ET24+EW24*Slot14_BufPot*EY24</f>
        <v>13079.2251045273</v>
      </c>
      <c r="FE24" s="20" t="n">
        <f aca="false">IF(AND(EW24=1,Slot14_IsMfree=1),IF(FB24&gt;=Slot14_Cost-1,0,MAX(0,EU24-FB24)),EU24)</f>
        <v>52379.8592822762</v>
      </c>
      <c r="FF24" s="20" t="n">
        <f aca="false">EW24*(Slot14_Cost-FB24)</f>
        <v>0</v>
      </c>
      <c r="FG24" s="20" t="n">
        <f aca="false">IF(AND(Slot15_On=1,D24=Slot15_Age),1,0)</f>
        <v>0</v>
      </c>
      <c r="FH24" s="20" t="n">
        <f aca="false">IF(AND(Slot15_On=1,Slot15_Age&gt;D24),1,0)</f>
        <v>0</v>
      </c>
      <c r="FI24" s="20" t="n">
        <f aca="false">SQ23</f>
        <v>0</v>
      </c>
      <c r="FJ24" s="20" t="n">
        <f aca="false">FG24*MIN(Slot15_Cost,FI24)</f>
        <v>0</v>
      </c>
      <c r="FK24" s="20" t="n">
        <f aca="false">FG24*Slot15_SpendLike*MIN(Slot15_Cost-FJ24,FC24)</f>
        <v>0</v>
      </c>
      <c r="FL24" s="20" t="n">
        <f aca="false">FJ24+FK24</f>
        <v>0</v>
      </c>
      <c r="FM24" s="20" t="n">
        <f aca="false">FC24-FK24+FG24*IF(Slot15_SpendLike=1,FI24-FJ24,IF(Slot15_PotFree=1,FI24,0))</f>
        <v>13880.0091430087</v>
      </c>
      <c r="FN24" s="20" t="n">
        <f aca="false">FD24+FG24*Slot15_BufPot*FI24</f>
        <v>13079.2251045273</v>
      </c>
      <c r="FO24" s="20" t="n">
        <f aca="false">IF(AND(FG24=1,Slot15_IsMfree=1),IF(FL24&gt;=Slot15_Cost-1,0,MAX(0,FE24-FL24)),FE24)</f>
        <v>52379.8592822762</v>
      </c>
      <c r="FP24" s="20" t="n">
        <f aca="false">FG24*(Slot15_Cost-FL24)</f>
        <v>0</v>
      </c>
      <c r="FQ24" s="20" t="n">
        <f aca="false">IF(AND(Slot16_On=1,D24=Slot16_Age),1,0)</f>
        <v>0</v>
      </c>
      <c r="FR24" s="20" t="n">
        <f aca="false">IF(AND(Slot16_On=1,Slot16_Age&gt;D24),1,0)</f>
        <v>0</v>
      </c>
      <c r="FS24" s="20" t="n">
        <f aca="false">SU23</f>
        <v>0</v>
      </c>
      <c r="FT24" s="20" t="n">
        <f aca="false">FQ24*MIN(Slot16_Cost,FS24)</f>
        <v>0</v>
      </c>
      <c r="FU24" s="20" t="n">
        <f aca="false">FQ24*Slot16_SpendLike*MIN(Slot16_Cost-FT24,FM24)</f>
        <v>0</v>
      </c>
      <c r="FV24" s="20" t="n">
        <f aca="false">FT24+FU24</f>
        <v>0</v>
      </c>
      <c r="FW24" s="20" t="n">
        <f aca="false">FM24-FU24+FQ24*IF(Slot16_SpendLike=1,FS24-FT24,IF(Slot16_PotFree=1,FS24,0))</f>
        <v>13880.0091430087</v>
      </c>
      <c r="FX24" s="20" t="n">
        <f aca="false">FN24+FQ24*Slot16_BufPot*FS24</f>
        <v>13079.2251045273</v>
      </c>
      <c r="FY24" s="20" t="n">
        <f aca="false">IF(AND(FQ24=1,Slot16_IsMfree=1),IF(FV24&gt;=Slot16_Cost-1,0,MAX(0,FO24-FV24)),FO24)</f>
        <v>52379.8592822762</v>
      </c>
      <c r="FZ24" s="20" t="n">
        <f aca="false">FQ24*(Slot16_Cost-FV24)</f>
        <v>0</v>
      </c>
      <c r="GA24" s="20" t="n">
        <f aca="false">IF(AND(Slot17_On=1,D24=Slot17_Age),1,0)</f>
        <v>0</v>
      </c>
      <c r="GB24" s="20" t="n">
        <f aca="false">IF(AND(Slot17_On=1,Slot17_Age&gt;D24),1,0)</f>
        <v>0</v>
      </c>
      <c r="GC24" s="20" t="n">
        <f aca="false">SY23</f>
        <v>0</v>
      </c>
      <c r="GD24" s="20" t="n">
        <f aca="false">GA24*MIN(Slot17_Cost,GC24)</f>
        <v>0</v>
      </c>
      <c r="GE24" s="20" t="n">
        <f aca="false">GA24*Slot17_SpendLike*MIN(Slot17_Cost-GD24,FW24)</f>
        <v>0</v>
      </c>
      <c r="GF24" s="20" t="n">
        <f aca="false">GD24+GE24</f>
        <v>0</v>
      </c>
      <c r="GG24" s="20" t="n">
        <f aca="false">FW24-GE24+GA24*IF(Slot17_SpendLike=1,GC24-GD24,IF(Slot17_PotFree=1,GC24,0))</f>
        <v>13880.0091430087</v>
      </c>
      <c r="GH24" s="20" t="n">
        <f aca="false">FX24+GA24*Slot17_BufPot*GC24</f>
        <v>13079.2251045273</v>
      </c>
      <c r="GI24" s="20" t="n">
        <f aca="false">IF(AND(GA24=1,Slot17_IsMfree=1),IF(GF24&gt;=Slot17_Cost-1,0,MAX(0,FY24-GF24)),FY24)</f>
        <v>52379.8592822762</v>
      </c>
      <c r="GJ24" s="20" t="n">
        <f aca="false">GA24*(Slot17_Cost-GF24)</f>
        <v>0</v>
      </c>
      <c r="GK24" s="20" t="n">
        <f aca="false">IF(AND(Slot18_On=1,D24=Slot18_Age),1,0)</f>
        <v>0</v>
      </c>
      <c r="GL24" s="20" t="n">
        <f aca="false">IF(AND(Slot18_On=1,Slot18_Age&gt;D24),1,0)</f>
        <v>0</v>
      </c>
      <c r="GM24" s="20" t="n">
        <f aca="false">TC23</f>
        <v>0</v>
      </c>
      <c r="GN24" s="20" t="n">
        <f aca="false">GK24*MIN(Slot18_Cost,GM24)</f>
        <v>0</v>
      </c>
      <c r="GO24" s="20" t="n">
        <f aca="false">GK24*Slot18_SpendLike*MIN(Slot18_Cost-GN24,GG24)</f>
        <v>0</v>
      </c>
      <c r="GP24" s="20" t="n">
        <f aca="false">GN24+GO24</f>
        <v>0</v>
      </c>
      <c r="GQ24" s="20" t="n">
        <f aca="false">GG24-GO24+GK24*IF(Slot18_SpendLike=1,GM24-GN24,IF(Slot18_PotFree=1,GM24,0))</f>
        <v>13880.0091430087</v>
      </c>
      <c r="GR24" s="20" t="n">
        <f aca="false">GH24+GK24*Slot18_BufPot*GM24</f>
        <v>13079.2251045273</v>
      </c>
      <c r="GS24" s="20" t="n">
        <f aca="false">IF(AND(GK24=1,Slot18_IsMfree=1),IF(GP24&gt;=Slot18_Cost-1,0,MAX(0,GI24-GP24)),GI24)</f>
        <v>52379.8592822762</v>
      </c>
      <c r="GT24" s="20" t="n">
        <f aca="false">GK24*(Slot18_Cost-GP24)</f>
        <v>0</v>
      </c>
      <c r="GU24" s="20" t="n">
        <f aca="false">IF(AND(Slot19_On=1,D24=Slot19_Age),1,0)</f>
        <v>0</v>
      </c>
      <c r="GV24" s="20" t="n">
        <f aca="false">IF(AND(Slot19_On=1,Slot19_Age&gt;D24),1,0)</f>
        <v>0</v>
      </c>
      <c r="GW24" s="20" t="n">
        <f aca="false">TG23</f>
        <v>0</v>
      </c>
      <c r="GX24" s="20" t="n">
        <f aca="false">GU24*MIN(Slot19_Cost,GW24)</f>
        <v>0</v>
      </c>
      <c r="GY24" s="20" t="n">
        <f aca="false">GU24*Slot19_SpendLike*MIN(Slot19_Cost-GX24,GQ24)</f>
        <v>0</v>
      </c>
      <c r="GZ24" s="20" t="n">
        <f aca="false">GX24+GY24</f>
        <v>0</v>
      </c>
      <c r="HA24" s="20" t="n">
        <f aca="false">GQ24-GY24+GU24*IF(Slot19_SpendLike=1,GW24-GX24,IF(Slot19_PotFree=1,GW24,0))</f>
        <v>13880.0091430087</v>
      </c>
      <c r="HB24" s="20" t="n">
        <f aca="false">GR24+GU24*Slot19_BufPot*GW24</f>
        <v>13079.2251045273</v>
      </c>
      <c r="HC24" s="20" t="n">
        <f aca="false">IF(AND(GU24=1,Slot19_IsMfree=1),IF(GZ24&gt;=Slot19_Cost-1,0,MAX(0,GS24-GZ24)),GS24)</f>
        <v>52379.8592822762</v>
      </c>
      <c r="HD24" s="20" t="n">
        <f aca="false">GU24*(Slot19_Cost-GZ24)</f>
        <v>0</v>
      </c>
      <c r="HE24" s="20" t="n">
        <f aca="false">IF(AND(Slot20_On=1,D24=Slot20_Age),1,0)</f>
        <v>0</v>
      </c>
      <c r="HF24" s="20" t="n">
        <f aca="false">IF(AND(Slot20_On=1,Slot20_Age&gt;D24),1,0)</f>
        <v>0</v>
      </c>
      <c r="HG24" s="20" t="n">
        <f aca="false">TK23</f>
        <v>0</v>
      </c>
      <c r="HH24" s="20" t="n">
        <f aca="false">HE24*MIN(Slot20_Cost,HG24)</f>
        <v>0</v>
      </c>
      <c r="HI24" s="20" t="n">
        <f aca="false">HE24*Slot20_SpendLike*MIN(Slot20_Cost-HH24,HA24)</f>
        <v>0</v>
      </c>
      <c r="HJ24" s="20" t="n">
        <f aca="false">HH24+HI24</f>
        <v>0</v>
      </c>
      <c r="HK24" s="20" t="n">
        <f aca="false">HA24-HI24+HE24*IF(Slot20_SpendLike=1,HG24-HH24,IF(Slot20_PotFree=1,HG24,0))</f>
        <v>13880.0091430087</v>
      </c>
      <c r="HL24" s="20" t="n">
        <f aca="false">HB24+HE24*Slot20_BufPot*HG24</f>
        <v>13079.2251045273</v>
      </c>
      <c r="HM24" s="20" t="n">
        <f aca="false">IF(AND(HE24=1,Slot20_IsMfree=1),IF(HJ24&gt;=Slot20_Cost-1,0,MAX(0,HC24-HJ24)),HC24)</f>
        <v>52379.8592822762</v>
      </c>
      <c r="HN24" s="20" t="n">
        <f aca="false">HE24*(Slot20_Cost-HJ24)</f>
        <v>0</v>
      </c>
      <c r="HO24" s="20" t="n">
        <f aca="false">V24*Slot1_SpendLike*AA24+AG24*Slot2_SpendLike*AL24+AQ24*Slot3_SpendLike*AV24+BA24*Slot4_SpendLike*BF24+BK24*Slot5_SpendLike*BP24+BU24*Slot6_SpendLike*BZ24+CE24*Slot7_SpendLike*CJ24+CO24*Slot8_SpendLike*CT24+CY24*Slot9_SpendLike*DD24+DI24*Slot10_SpendLike*DN24+DS24*Slot11_SpendLike*DX24+EC24*Slot12_SpendLike*EH24+EM24*Slot13_SpendLike*ER24+EW24*Slot14_SpendLike*FB24+FG24*Slot15_SpendLike*FL24+FQ24*Slot16_SpendLike*FV24+GA24*Slot17_SpendLike*GF24+GK24*Slot18_SpendLike*GP24+GU24*Slot19_SpendLike*GZ24+HE24*Slot20_SpendLike*HJ24</f>
        <v>0</v>
      </c>
      <c r="HP24" s="20" t="n">
        <f aca="false">AE24+AP24+AZ24+BJ24+BT24+CD24+CN24+CX24+DH24+DR24+EB24+EL24+EV24+FF24+FP24+FZ24+GJ24+GT24+HD24+HN24</f>
        <v>0</v>
      </c>
      <c r="HQ24" s="20" t="n">
        <f aca="false">V24*Slot1_Cost+AG24*Slot2_Cost+AQ24*Slot3_Cost+BA24*Slot4_Cost+BK24*Slot5_Cost+BU24*Slot6_Cost+CE24*Slot7_Cost+CO24*Slot8_Cost+CY24*Slot9_Cost+DI24*Slot10_Cost+DS24*Slot11_Cost+EC24*Slot12_Cost+EM24*Slot13_Cost+EW24*Slot14_Cost+FG24*Slot15_Cost+FQ24*Slot16_Cost+GA24*Slot17_Cost+GK24*Slot18_Cost+GU24*Slot19_Cost+HE24*Slot20_Cost</f>
        <v>0</v>
      </c>
      <c r="HR24" s="20" t="n">
        <f aca="false">HM24</f>
        <v>52379.8592822762</v>
      </c>
      <c r="HS24" s="20" t="n">
        <f aca="false">H24-I24-S24</f>
        <v>19566.780377029</v>
      </c>
      <c r="HT24" s="20" t="n">
        <f aca="false">IF(B24=0,IF(AND(Has_q6=1,In_q6=4),PR_ShareVaries*(MAX(0,HS24)/12),MIN(IF(Has_q6=1,CHOOSE(In_q6+1,PR_SaveB1,PR_SaveB2,PR_SaveB3,PR_SaveB4,0),AS_NoAnswer),AS_SaveShare*(MAX(0,HS24)/12))),HT23)</f>
        <v>67.3316893520437</v>
      </c>
      <c r="HU24" s="20" t="n">
        <f aca="false">IF(HS24&gt;=0,1,0)</f>
        <v>1</v>
      </c>
      <c r="HV24" s="20" t="n">
        <f aca="false">MAX(0,HS24/12/F24)</f>
        <v>1187.77827112605</v>
      </c>
      <c r="HW24" s="20" t="n">
        <f aca="false">IF(AND(Has_q6=1,In_q6=4),PR_ShareVaries*(HV24),MIN(IF(Has_q6=1,CHOOSE(In_q6+1,PR_SaveB1,PR_SaveB2,PR_SaveB3,PR_SaveB4,0),AS_NoAnswer),AS_SaveShare*(HV24)))</f>
        <v>500</v>
      </c>
      <c r="HX24" s="20" t="n">
        <f aca="false">IF(Has_saveM=1,IF(In_saveUp="Yes",1,IF(In_saveUp="No",0,IF(In_saveM&gt;=HT24-0.5,1,0))),0)</f>
        <v>0</v>
      </c>
      <c r="HY24" s="20" t="n">
        <f aca="false">IF(Has_saveM=1,MIN(HV24,IF(HX24=1,MAX(In_saveM,HW24),MIN(In_saveM,HW24))),HW24)</f>
        <v>500</v>
      </c>
      <c r="HZ24" s="20" t="n">
        <f aca="false">IF(G24=1,HY24*12*F24,0)</f>
        <v>8236.71423054368</v>
      </c>
      <c r="IA24" s="20" t="n">
        <f aca="false">MAX(0,HZ24+IF(AND(WI_Retire=0,WI_M&lt;0,G24=1),WI_M*12*F24,0))</f>
        <v>8236.71423054368</v>
      </c>
      <c r="IB24" s="20" t="n">
        <f aca="false">Slot1_IsWG*W24+Slot2_IsWG*AH24+Slot3_IsWG*AR24+Slot4_IsWG*BB24+Slot5_IsWG*BL24+Slot6_IsWG*BV24+Slot7_IsWG*CF24+Slot8_IsWG*CP24+Slot9_IsWG*CZ24+Slot10_IsWG*DJ24+Slot11_IsWG*DT24+Slot12_IsWG*ED24+Slot13_IsWG*EN24+Slot14_IsWG*EX24+Slot15_IsWG*FH24+Slot16_IsWG*FR24+Slot17_IsWG*GB24+Slot18_IsWG*GL24+Slot19_IsWG*GV24+Slot20_IsWG*HF24</f>
        <v>0</v>
      </c>
      <c r="IC24" s="20" t="n">
        <f aca="false">IF(AND(WI_Retire=0,WI_M&gt;0,G24=1,IB24&gt;=1),WI_M*12*F24,0)</f>
        <v>0</v>
      </c>
      <c r="ID24" s="20" t="n">
        <f aca="false">IF(HU24=1,MIN(IA24,HS24),0)</f>
        <v>8236.71423054368</v>
      </c>
      <c r="IE24" s="20" t="n">
        <f aca="false">IF(HU24=1,MIN(IC24,HS24-ID24),0)</f>
        <v>0</v>
      </c>
      <c r="IF24" s="20" t="n">
        <f aca="false">IF(W24=1,IF(ABS((1+AS_Wage)/(1+Slot1_Rate)-1)&lt;0.000000000001,(Slot1_Age-D24)*(1+Slot1_Rate)^(Slot1_Age-D24),(1+Slot1_Rate)^(Slot1_Age-D24)*(1-((1+AS_Wage)/(1+Slot1_Rate))^(Slot1_Age-D24))/(1-(1+AS_Wage)/(1+Slot1_Rate))),1)</f>
        <v>1</v>
      </c>
      <c r="IG24" s="20" t="n">
        <f aca="false">IF(AND(HU24=1,IE24&gt;0,Slot1_IsWG=1,W24=1),MAX(0,(Slot1_Cost-X24*(1+Slot1_Rate)^(Slot1_Age-D24))/IF24),0)</f>
        <v>0</v>
      </c>
      <c r="IH24" s="20" t="n">
        <f aca="false">IF(AND(HU24=1,IE24&gt;0,Slot1_IsWG=1,W24=1),MIN(IE24,IG24),0)</f>
        <v>0</v>
      </c>
      <c r="II24" s="20" t="n">
        <f aca="false">X24+IH24</f>
        <v>0</v>
      </c>
      <c r="IJ24" s="20" t="n">
        <f aca="false">IF(W24=1,MAX(0,(Slot1_Cost-II24*(1+Slot1_Rate)^(Slot1_Age-D24))/IF24),0)</f>
        <v>0</v>
      </c>
      <c r="IK24" s="20" t="n">
        <f aca="false">IF(W24=1,MAX(0,(Slot1_Cost-X24*(1+Slot1_Rate)^(Slot1_Age-D24))/IF24),0)</f>
        <v>0</v>
      </c>
      <c r="IL24" s="20" t="n">
        <f aca="false">IF(AND(HU24=1,W24=1),MIN(ID24,IJ24),0)</f>
        <v>0</v>
      </c>
      <c r="IM24" s="20" t="n">
        <f aca="false">ID24-IL24</f>
        <v>8236.71423054368</v>
      </c>
      <c r="IN24" s="20" t="n">
        <f aca="false">IF(AH24=1,IF(ABS((1+AS_Wage)/(1+Slot2_Rate)-1)&lt;0.000000000001,(Slot2_Age-D24)*(1+Slot2_Rate)^(Slot2_Age-D24),(1+Slot2_Rate)^(Slot2_Age-D24)*(1-((1+AS_Wage)/(1+Slot2_Rate))^(Slot2_Age-D24))/(1-(1+AS_Wage)/(1+Slot2_Rate))),1)</f>
        <v>1</v>
      </c>
      <c r="IO24" s="20" t="n">
        <f aca="false">IF(AND(HU24=1,IE24&gt;0,Slot2_IsWG=1,AH24=1),MAX(0,(Slot2_Cost-AI24*(1+Slot2_Rate)^(Slot2_Age-D24))/IN24),0)</f>
        <v>0</v>
      </c>
      <c r="IP24" s="20" t="n">
        <f aca="false">IF(AND(HU24=1,IE24&gt;0,Slot2_IsWG=1,AH24=1),MIN(IE24,IO24),0)</f>
        <v>0</v>
      </c>
      <c r="IQ24" s="20" t="n">
        <f aca="false">AI24+IP24</f>
        <v>0</v>
      </c>
      <c r="IR24" s="20" t="n">
        <f aca="false">IF(AH24=1,MAX(0,(Slot2_Cost-IQ24*(1+Slot2_Rate)^(Slot2_Age-D24))/IN24),0)</f>
        <v>0</v>
      </c>
      <c r="IS24" s="20" t="n">
        <f aca="false">IF(AH24=1,MAX(0,(Slot2_Cost-AI24*(1+Slot2_Rate)^(Slot2_Age-D24))/IN24),0)</f>
        <v>0</v>
      </c>
      <c r="IT24" s="20" t="n">
        <f aca="false">IF(AND(HU24=1,AH24=1),MIN(IM24,IR24),0)</f>
        <v>0</v>
      </c>
      <c r="IU24" s="20" t="n">
        <f aca="false">IM24-IT24</f>
        <v>8236.71423054368</v>
      </c>
      <c r="IV24" s="20" t="n">
        <f aca="false">IF(AR24=1,IF(ABS((1+AS_Wage)/(1+Slot3_Rate)-1)&lt;0.000000000001,(Slot3_Age-D24)*(1+Slot3_Rate)^(Slot3_Age-D24),(1+Slot3_Rate)^(Slot3_Age-D24)*(1-((1+AS_Wage)/(1+Slot3_Rate))^(Slot3_Age-D24))/(1-(1+AS_Wage)/(1+Slot3_Rate))),1)</f>
        <v>1</v>
      </c>
      <c r="IW24" s="20" t="n">
        <f aca="false">IF(AND(HU24=1,IE24&gt;0,Slot3_IsWG=1,AR24=1),MAX(0,(Slot3_Cost-AS24*(1+Slot3_Rate)^(Slot3_Age-D24))/IV24),0)</f>
        <v>0</v>
      </c>
      <c r="IX24" s="20" t="n">
        <f aca="false">IF(AND(HU24=1,IE24&gt;0,Slot3_IsWG=1,AR24=1),MIN(IE24,IW24),0)</f>
        <v>0</v>
      </c>
      <c r="IY24" s="20" t="n">
        <f aca="false">AS24+IX24</f>
        <v>0</v>
      </c>
      <c r="IZ24" s="20" t="n">
        <f aca="false">IF(AR24=1,MAX(0,(Slot3_Cost-IY24*(1+Slot3_Rate)^(Slot3_Age-D24))/IV24),0)</f>
        <v>0</v>
      </c>
      <c r="JA24" s="20" t="n">
        <f aca="false">IF(AR24=1,MAX(0,(Slot3_Cost-AS24*(1+Slot3_Rate)^(Slot3_Age-D24))/IV24),0)</f>
        <v>0</v>
      </c>
      <c r="JB24" s="20" t="n">
        <f aca="false">IF(AND(HU24=1,AR24=1),MIN(IU24,IZ24),0)</f>
        <v>0</v>
      </c>
      <c r="JC24" s="20" t="n">
        <f aca="false">IU24-JB24</f>
        <v>8236.71423054368</v>
      </c>
      <c r="JD24" s="20" t="n">
        <f aca="false">IF(BB24=1,IF(ABS((1+AS_Wage)/(1+Slot4_Rate)-1)&lt;0.000000000001,(Slot4_Age-D24)*(1+Slot4_Rate)^(Slot4_Age-D24),(1+Slot4_Rate)^(Slot4_Age-D24)*(1-((1+AS_Wage)/(1+Slot4_Rate))^(Slot4_Age-D24))/(1-(1+AS_Wage)/(1+Slot4_Rate))),1)</f>
        <v>1.026</v>
      </c>
      <c r="JE24" s="20" t="n">
        <f aca="false">IF(AND(HU24=1,IE24&gt;0,Slot4_IsWG=1,BB24=1),MAX(0,(Slot4_Cost-BC24*(1+Slot4_Rate)^(Slot4_Age-D24))/JD24),0)</f>
        <v>0</v>
      </c>
      <c r="JF24" s="20" t="n">
        <f aca="false">IF(AND(HU24=1,IE24&gt;0,Slot4_IsWG=1,BB24=1),MIN(IE24,JE24),0)</f>
        <v>0</v>
      </c>
      <c r="JG24" s="20" t="n">
        <f aca="false">BC24+JF24</f>
        <v>33368.2405722948</v>
      </c>
      <c r="JH24" s="20" t="n">
        <f aca="false">IF(BB24=1,MAX(0,(Slot4_Cost-JG24*(1+Slot4_Rate)^(Slot4_Age-D24))/JD24),0)</f>
        <v>5637.505678026</v>
      </c>
      <c r="JI24" s="20" t="n">
        <f aca="false">IF(BB24=1,MAX(0,(Slot4_Cost-BC24*(1+Slot4_Rate)^(Slot4_Age-D24))/JD24),0)</f>
        <v>5637.505678026</v>
      </c>
      <c r="JJ24" s="20" t="n">
        <f aca="false">IF(AND(HU24=1,BB24=1),MIN(JC24,JH24),0)</f>
        <v>5637.505678026</v>
      </c>
      <c r="JK24" s="20" t="n">
        <f aca="false">JC24-JJ24</f>
        <v>2599.20855251768</v>
      </c>
      <c r="JL24" s="20" t="n">
        <f aca="false">IF(BL24=1,IF(ABS((1+AS_Wage)/(1+Slot5_Rate)-1)&lt;0.000000000001,(Slot5_Age-D24)*(1+Slot5_Rate)^(Slot5_Age-D24),(1+Slot5_Rate)^(Slot5_Age-D24)*(1-((1+AS_Wage)/(1+Slot5_Rate))^(Slot5_Age-D24))/(1-(1+AS_Wage)/(1+Slot5_Rate))),1)</f>
        <v>1</v>
      </c>
      <c r="JM24" s="20" t="n">
        <f aca="false">IF(AND(HU24=1,IE24&gt;0,Slot5_IsWG=1,BL24=1),MAX(0,(Slot5_Cost-BM24*(1+Slot5_Rate)^(Slot5_Age-D24))/JL24),0)</f>
        <v>0</v>
      </c>
      <c r="JN24" s="20" t="n">
        <f aca="false">IF(AND(HU24=1,IE24&gt;0,Slot5_IsWG=1,BL24=1),MIN(IE24,JM24),0)</f>
        <v>0</v>
      </c>
      <c r="JO24" s="20" t="n">
        <f aca="false">BM24+JN24</f>
        <v>0</v>
      </c>
      <c r="JP24" s="20" t="n">
        <f aca="false">IF(BL24=1,MAX(0,(Slot5_Cost-JO24*(1+Slot5_Rate)^(Slot5_Age-D24))/JL24),0)</f>
        <v>0</v>
      </c>
      <c r="JQ24" s="20" t="n">
        <f aca="false">IF(BL24=1,MAX(0,(Slot5_Cost-BM24*(1+Slot5_Rate)^(Slot5_Age-D24))/JL24),0)</f>
        <v>0</v>
      </c>
      <c r="JR24" s="20" t="n">
        <f aca="false">IF(AND(HU24=1,BL24=1),MIN(JK24,JP24),0)</f>
        <v>0</v>
      </c>
      <c r="JS24" s="20" t="n">
        <f aca="false">JK24-JR24</f>
        <v>2599.20855251768</v>
      </c>
      <c r="JT24" s="20" t="n">
        <f aca="false">IF(BV24=1,IF(ABS((1+AS_Wage)/(1+Slot6_Rate)-1)&lt;0.000000000001,(Slot6_Age-D24)*(1+Slot6_Rate)^(Slot6_Age-D24),(1+Slot6_Rate)^(Slot6_Age-D24)*(1-((1+AS_Wage)/(1+Slot6_Rate))^(Slot6_Age-D24))/(1-(1+AS_Wage)/(1+Slot6_Rate))),1)</f>
        <v>1</v>
      </c>
      <c r="JU24" s="20" t="n">
        <f aca="false">IF(AND(HU24=1,IE24&gt;0,Slot6_IsWG=1,BV24=1),MAX(0,(Slot6_Cost-BW24*(1+Slot6_Rate)^(Slot6_Age-D24))/JT24),0)</f>
        <v>0</v>
      </c>
      <c r="JV24" s="20" t="n">
        <f aca="false">IF(AND(HU24=1,IE24&gt;0,Slot6_IsWG=1,BV24=1),MIN(IE24,JU24),0)</f>
        <v>0</v>
      </c>
      <c r="JW24" s="20" t="n">
        <f aca="false">BW24+JV24</f>
        <v>0</v>
      </c>
      <c r="JX24" s="20" t="n">
        <f aca="false">IF(BV24=1,MAX(0,(Slot6_Cost-JW24*(1+Slot6_Rate)^(Slot6_Age-D24))/JT24),0)</f>
        <v>0</v>
      </c>
      <c r="JY24" s="20" t="n">
        <f aca="false">IF(BV24=1,MAX(0,(Slot6_Cost-BW24*(1+Slot6_Rate)^(Slot6_Age-D24))/JT24),0)</f>
        <v>0</v>
      </c>
      <c r="JZ24" s="20" t="n">
        <f aca="false">IF(AND(HU24=1,BV24=1),MIN(JS24,JX24),0)</f>
        <v>0</v>
      </c>
      <c r="KA24" s="20" t="n">
        <f aca="false">JS24-JZ24</f>
        <v>2599.20855251768</v>
      </c>
      <c r="KB24" s="20" t="n">
        <f aca="false">IF(CF24=1,IF(ABS((1+AS_Wage)/(1+Slot7_Rate)-1)&lt;0.000000000001,(Slot7_Age-D24)*(1+Slot7_Rate)^(Slot7_Age-D24),(1+Slot7_Rate)^(Slot7_Age-D24)*(1-((1+AS_Wage)/(1+Slot7_Rate))^(Slot7_Age-D24))/(1-(1+AS_Wage)/(1+Slot7_Rate))),1)</f>
        <v>1</v>
      </c>
      <c r="KC24" s="20" t="n">
        <f aca="false">IF(AND(HU24=1,IE24&gt;0,Slot7_IsWG=1,CF24=1),MAX(0,(Slot7_Cost-CG24*(1+Slot7_Rate)^(Slot7_Age-D24))/KB24),0)</f>
        <v>0</v>
      </c>
      <c r="KD24" s="20" t="n">
        <f aca="false">IF(AND(HU24=1,IE24&gt;0,Slot7_IsWG=1,CF24=1),MIN(IE24,KC24),0)</f>
        <v>0</v>
      </c>
      <c r="KE24" s="20" t="n">
        <f aca="false">CG24+KD24</f>
        <v>0</v>
      </c>
      <c r="KF24" s="20" t="n">
        <f aca="false">IF(CF24=1,MAX(0,(Slot7_Cost-KE24*(1+Slot7_Rate)^(Slot7_Age-D24))/KB24),0)</f>
        <v>0</v>
      </c>
      <c r="KG24" s="20" t="n">
        <f aca="false">IF(CF24=1,MAX(0,(Slot7_Cost-CG24*(1+Slot7_Rate)^(Slot7_Age-D24))/KB24),0)</f>
        <v>0</v>
      </c>
      <c r="KH24" s="20" t="n">
        <f aca="false">IF(AND(HU24=1,CF24=1),MIN(KA24,KF24),0)</f>
        <v>0</v>
      </c>
      <c r="KI24" s="20" t="n">
        <f aca="false">KA24-KH24</f>
        <v>2599.20855251768</v>
      </c>
      <c r="KJ24" s="20" t="n">
        <f aca="false">IF(CP24=1,IF(ABS((1+AS_Wage)/(1+Slot8_Rate)-1)&lt;0.000000000001,(Slot8_Age-D24)*(1+Slot8_Rate)^(Slot8_Age-D24),(1+Slot8_Rate)^(Slot8_Age-D24)*(1-((1+AS_Wage)/(1+Slot8_Rate))^(Slot8_Age-D24))/(1-(1+AS_Wage)/(1+Slot8_Rate))),1)</f>
        <v>1</v>
      </c>
      <c r="KK24" s="20" t="n">
        <f aca="false">IF(AND(HU24=1,IE24&gt;0,Slot8_IsWG=1,CP24=1),MAX(0,(Slot8_Cost-CQ24*(1+Slot8_Rate)^(Slot8_Age-D24))/KJ24),0)</f>
        <v>0</v>
      </c>
      <c r="KL24" s="20" t="n">
        <f aca="false">IF(AND(HU24=1,IE24&gt;0,Slot8_IsWG=1,CP24=1),MIN(IE24,KK24),0)</f>
        <v>0</v>
      </c>
      <c r="KM24" s="20" t="n">
        <f aca="false">CQ24+KL24</f>
        <v>0</v>
      </c>
      <c r="KN24" s="20" t="n">
        <f aca="false">IF(CP24=1,MAX(0,(Slot8_Cost-KM24*(1+Slot8_Rate)^(Slot8_Age-D24))/KJ24),0)</f>
        <v>0</v>
      </c>
      <c r="KO24" s="20" t="n">
        <f aca="false">IF(CP24=1,MAX(0,(Slot8_Cost-CQ24*(1+Slot8_Rate)^(Slot8_Age-D24))/KJ24),0)</f>
        <v>0</v>
      </c>
      <c r="KP24" s="20" t="n">
        <f aca="false">IF(AND(HU24=1,CP24=1),MIN(KI24,KN24),0)</f>
        <v>0</v>
      </c>
      <c r="KQ24" s="20" t="n">
        <f aca="false">KI24-KP24</f>
        <v>2599.20855251768</v>
      </c>
      <c r="KR24" s="20" t="n">
        <f aca="false">IF(CZ24=1,IF(ABS((1+AS_Wage)/(1+Slot9_Rate)-1)&lt;0.000000000001,(Slot9_Age-D24)*(1+Slot9_Rate)^(Slot9_Age-D24),(1+Slot9_Rate)^(Slot9_Age-D24)*(1-((1+AS_Wage)/(1+Slot9_Rate))^(Slot9_Age-D24))/(1-(1+AS_Wage)/(1+Slot9_Rate))),1)</f>
        <v>1</v>
      </c>
      <c r="KS24" s="20" t="n">
        <f aca="false">IF(AND(HU24=1,IE24&gt;0,Slot9_IsWG=1,CZ24=1),MAX(0,(Slot9_Cost-DA24*(1+Slot9_Rate)^(Slot9_Age-D24))/KR24),0)</f>
        <v>0</v>
      </c>
      <c r="KT24" s="20" t="n">
        <f aca="false">IF(AND(HU24=1,IE24&gt;0,Slot9_IsWG=1,CZ24=1),MIN(IE24,KS24),0)</f>
        <v>0</v>
      </c>
      <c r="KU24" s="20" t="n">
        <f aca="false">DA24+KT24</f>
        <v>0</v>
      </c>
      <c r="KV24" s="20" t="n">
        <f aca="false">IF(CZ24=1,MAX(0,(Slot9_Cost-KU24*(1+Slot9_Rate)^(Slot9_Age-D24))/KR24),0)</f>
        <v>0</v>
      </c>
      <c r="KW24" s="20" t="n">
        <f aca="false">IF(CZ24=1,MAX(0,(Slot9_Cost-DA24*(1+Slot9_Rate)^(Slot9_Age-D24))/KR24),0)</f>
        <v>0</v>
      </c>
      <c r="KX24" s="20" t="n">
        <f aca="false">IF(AND(HU24=1,CZ24=1),MIN(KQ24,KV24),0)</f>
        <v>0</v>
      </c>
      <c r="KY24" s="20" t="n">
        <f aca="false">KQ24-KX24</f>
        <v>2599.20855251768</v>
      </c>
      <c r="KZ24" s="20" t="n">
        <f aca="false">IF(DJ24=1,IF(ABS((1+AS_Wage)/(1+Slot10_Rate)-1)&lt;0.000000000001,(Slot10_Age-D24)*(1+Slot10_Rate)^(Slot10_Age-D24),(1+Slot10_Rate)^(Slot10_Age-D24)*(1-((1+AS_Wage)/(1+Slot10_Rate))^(Slot10_Age-D24))/(1-(1+AS_Wage)/(1+Slot10_Rate))),1)</f>
        <v>1</v>
      </c>
      <c r="LA24" s="20" t="n">
        <f aca="false">IF(AND(HU24=1,IE24&gt;0,Slot10_IsWG=1,DJ24=1),MAX(0,(Slot10_Cost-DK24*(1+Slot10_Rate)^(Slot10_Age-D24))/KZ24),0)</f>
        <v>0</v>
      </c>
      <c r="LB24" s="20" t="n">
        <f aca="false">IF(AND(HU24=1,IE24&gt;0,Slot10_IsWG=1,DJ24=1),MIN(IE24,LA24),0)</f>
        <v>0</v>
      </c>
      <c r="LC24" s="20" t="n">
        <f aca="false">DK24+LB24</f>
        <v>0</v>
      </c>
      <c r="LD24" s="20" t="n">
        <f aca="false">IF(DJ24=1,MAX(0,(Slot10_Cost-LC24*(1+Slot10_Rate)^(Slot10_Age-D24))/KZ24),0)</f>
        <v>0</v>
      </c>
      <c r="LE24" s="20" t="n">
        <f aca="false">IF(DJ24=1,MAX(0,(Slot10_Cost-DK24*(1+Slot10_Rate)^(Slot10_Age-D24))/KZ24),0)</f>
        <v>0</v>
      </c>
      <c r="LF24" s="20" t="n">
        <f aca="false">IF(AND(HU24=1,DJ24=1),MIN(KY24,LD24),0)</f>
        <v>0</v>
      </c>
      <c r="LG24" s="20" t="n">
        <f aca="false">KY24-LF24</f>
        <v>2599.20855251768</v>
      </c>
      <c r="LH24" s="20" t="n">
        <f aca="false">IF(DT24=1,IF(ABS((1+AS_Wage)/(1+Slot11_Rate)-1)&lt;0.000000000001,(Slot11_Age-D24)*(1+Slot11_Rate)^(Slot11_Age-D24),(1+Slot11_Rate)^(Slot11_Age-D24)*(1-((1+AS_Wage)/(1+Slot11_Rate))^(Slot11_Age-D24))/(1-(1+AS_Wage)/(1+Slot11_Rate))),1)</f>
        <v>1</v>
      </c>
      <c r="LI24" s="20" t="n">
        <f aca="false">IF(AND(HU24=1,IE24&gt;0,Slot11_IsWG=1,DT24=1),MAX(0,(Slot11_Cost-DU24*(1+Slot11_Rate)^(Slot11_Age-D24))/LH24),0)</f>
        <v>0</v>
      </c>
      <c r="LJ24" s="20" t="n">
        <f aca="false">IF(AND(HU24=1,IE24&gt;0,Slot11_IsWG=1,DT24=1),MIN(IE24,LI24),0)</f>
        <v>0</v>
      </c>
      <c r="LK24" s="20" t="n">
        <f aca="false">DU24+LJ24</f>
        <v>0</v>
      </c>
      <c r="LL24" s="20" t="n">
        <f aca="false">IF(DT24=1,MAX(0,(Slot11_Cost-LK24*(1+Slot11_Rate)^(Slot11_Age-D24))/LH24),0)</f>
        <v>0</v>
      </c>
      <c r="LM24" s="20" t="n">
        <f aca="false">IF(DT24=1,MAX(0,(Slot11_Cost-DU24*(1+Slot11_Rate)^(Slot11_Age-D24))/LH24),0)</f>
        <v>0</v>
      </c>
      <c r="LN24" s="20" t="n">
        <f aca="false">IF(AND(HU24=1,DT24=1),MIN(LG24,LL24),0)</f>
        <v>0</v>
      </c>
      <c r="LO24" s="20" t="n">
        <f aca="false">LG24-LN24</f>
        <v>2599.20855251768</v>
      </c>
      <c r="LP24" s="20" t="n">
        <f aca="false">IF(ED24=1,IF(ABS((1+AS_Wage)/(1+Slot12_Rate)-1)&lt;0.000000000001,(Slot12_Age-D24)*(1+Slot12_Rate)^(Slot12_Age-D24),(1+Slot12_Rate)^(Slot12_Age-D24)*(1-((1+AS_Wage)/(1+Slot12_Rate))^(Slot12_Age-D24))/(1-(1+AS_Wage)/(1+Slot12_Rate))),1)</f>
        <v>1</v>
      </c>
      <c r="LQ24" s="20" t="n">
        <f aca="false">IF(AND(HU24=1,IE24&gt;0,Slot12_IsWG=1,ED24=1),MAX(0,(Slot12_Cost-EE24*(1+Slot12_Rate)^(Slot12_Age-D24))/LP24),0)</f>
        <v>0</v>
      </c>
      <c r="LR24" s="20" t="n">
        <f aca="false">IF(AND(HU24=1,IE24&gt;0,Slot12_IsWG=1,ED24=1),MIN(IE24,LQ24),0)</f>
        <v>0</v>
      </c>
      <c r="LS24" s="20" t="n">
        <f aca="false">EE24+LR24</f>
        <v>0</v>
      </c>
      <c r="LT24" s="20" t="n">
        <f aca="false">IF(ED24=1,MAX(0,(Slot12_Cost-LS24*(1+Slot12_Rate)^(Slot12_Age-D24))/LP24),0)</f>
        <v>0</v>
      </c>
      <c r="LU24" s="20" t="n">
        <f aca="false">IF(ED24=1,MAX(0,(Slot12_Cost-EE24*(1+Slot12_Rate)^(Slot12_Age-D24))/LP24),0)</f>
        <v>0</v>
      </c>
      <c r="LV24" s="20" t="n">
        <f aca="false">IF(AND(HU24=1,ED24=1),MIN(LO24,LT24),0)</f>
        <v>0</v>
      </c>
      <c r="LW24" s="20" t="n">
        <f aca="false">LO24-LV24</f>
        <v>2599.20855251768</v>
      </c>
      <c r="LX24" s="20" t="n">
        <f aca="false">IF(EN24=1,IF(ABS((1+AS_Wage)/(1+Slot13_Rate)-1)&lt;0.000000000001,(Slot13_Age-D24)*(1+Slot13_Rate)^(Slot13_Age-D24),(1+Slot13_Rate)^(Slot13_Age-D24)*(1-((1+AS_Wage)/(1+Slot13_Rate))^(Slot13_Age-D24))/(1-(1+AS_Wage)/(1+Slot13_Rate))),1)</f>
        <v>1</v>
      </c>
      <c r="LY24" s="20" t="n">
        <f aca="false">IF(AND(HU24=1,IE24&gt;0,Slot13_IsWG=1,EN24=1),MAX(0,(Slot13_Cost-EO24*(1+Slot13_Rate)^(Slot13_Age-D24))/LX24),0)</f>
        <v>0</v>
      </c>
      <c r="LZ24" s="20" t="n">
        <f aca="false">IF(AND(HU24=1,IE24&gt;0,Slot13_IsWG=1,EN24=1),MIN(IE24,LY24),0)</f>
        <v>0</v>
      </c>
      <c r="MA24" s="20" t="n">
        <f aca="false">EO24+LZ24</f>
        <v>0</v>
      </c>
      <c r="MB24" s="20" t="n">
        <f aca="false">IF(EN24=1,MAX(0,(Slot13_Cost-MA24*(1+Slot13_Rate)^(Slot13_Age-D24))/LX24),0)</f>
        <v>0</v>
      </c>
      <c r="MC24" s="20" t="n">
        <f aca="false">IF(EN24=1,MAX(0,(Slot13_Cost-EO24*(1+Slot13_Rate)^(Slot13_Age-D24))/LX24),0)</f>
        <v>0</v>
      </c>
      <c r="MD24" s="20" t="n">
        <f aca="false">IF(AND(HU24=1,EN24=1),MIN(LW24,MB24),0)</f>
        <v>0</v>
      </c>
      <c r="ME24" s="20" t="n">
        <f aca="false">LW24-MD24</f>
        <v>2599.20855251768</v>
      </c>
      <c r="MF24" s="20" t="n">
        <f aca="false">IF(EX24=1,IF(ABS((1+AS_Wage)/(1+Slot14_Rate)-1)&lt;0.000000000001,(Slot14_Age-D24)*(1+Slot14_Rate)^(Slot14_Age-D24),(1+Slot14_Rate)^(Slot14_Age-D24)*(1-((1+AS_Wage)/(1+Slot14_Rate))^(Slot14_Age-D24))/(1-(1+AS_Wage)/(1+Slot14_Rate))),1)</f>
        <v>1</v>
      </c>
      <c r="MG24" s="20" t="n">
        <f aca="false">IF(AND(HU24=1,IE24&gt;0,Slot14_IsWG=1,EX24=1),MAX(0,(Slot14_Cost-EY24*(1+Slot14_Rate)^(Slot14_Age-D24))/MF24),0)</f>
        <v>0</v>
      </c>
      <c r="MH24" s="20" t="n">
        <f aca="false">IF(AND(HU24=1,IE24&gt;0,Slot14_IsWG=1,EX24=1),MIN(IE24,MG24),0)</f>
        <v>0</v>
      </c>
      <c r="MI24" s="20" t="n">
        <f aca="false">EY24+MH24</f>
        <v>0</v>
      </c>
      <c r="MJ24" s="20" t="n">
        <f aca="false">IF(EX24=1,MAX(0,(Slot14_Cost-MI24*(1+Slot14_Rate)^(Slot14_Age-D24))/MF24),0)</f>
        <v>0</v>
      </c>
      <c r="MK24" s="20" t="n">
        <f aca="false">IF(EX24=1,MAX(0,(Slot14_Cost-EY24*(1+Slot14_Rate)^(Slot14_Age-D24))/MF24),0)</f>
        <v>0</v>
      </c>
      <c r="ML24" s="20" t="n">
        <f aca="false">IF(AND(HU24=1,EX24=1),MIN(ME24,MJ24),0)</f>
        <v>0</v>
      </c>
      <c r="MM24" s="20" t="n">
        <f aca="false">ME24-ML24</f>
        <v>2599.20855251768</v>
      </c>
      <c r="MN24" s="20" t="n">
        <f aca="false">IF(FH24=1,IF(ABS((1+AS_Wage)/(1+Slot15_Rate)-1)&lt;0.000000000001,(Slot15_Age-D24)*(1+Slot15_Rate)^(Slot15_Age-D24),(1+Slot15_Rate)^(Slot15_Age-D24)*(1-((1+AS_Wage)/(1+Slot15_Rate))^(Slot15_Age-D24))/(1-(1+AS_Wage)/(1+Slot15_Rate))),1)</f>
        <v>1</v>
      </c>
      <c r="MO24" s="20" t="n">
        <f aca="false">IF(AND(HU24=1,IE24&gt;0,Slot15_IsWG=1,FH24=1),MAX(0,(Slot15_Cost-FI24*(1+Slot15_Rate)^(Slot15_Age-D24))/MN24),0)</f>
        <v>0</v>
      </c>
      <c r="MP24" s="20" t="n">
        <f aca="false">IF(AND(HU24=1,IE24&gt;0,Slot15_IsWG=1,FH24=1),MIN(IE24,MO24),0)</f>
        <v>0</v>
      </c>
      <c r="MQ24" s="20" t="n">
        <f aca="false">FI24+MP24</f>
        <v>0</v>
      </c>
      <c r="MR24" s="20" t="n">
        <f aca="false">IF(FH24=1,MAX(0,(Slot15_Cost-MQ24*(1+Slot15_Rate)^(Slot15_Age-D24))/MN24),0)</f>
        <v>0</v>
      </c>
      <c r="MS24" s="20" t="n">
        <f aca="false">IF(FH24=1,MAX(0,(Slot15_Cost-FI24*(1+Slot15_Rate)^(Slot15_Age-D24))/MN24),0)</f>
        <v>0</v>
      </c>
      <c r="MT24" s="20" t="n">
        <f aca="false">IF(AND(HU24=1,FH24=1),MIN(MM24,MR24),0)</f>
        <v>0</v>
      </c>
      <c r="MU24" s="20" t="n">
        <f aca="false">MM24-MT24</f>
        <v>2599.20855251768</v>
      </c>
      <c r="MV24" s="20" t="n">
        <f aca="false">IF(FR24=1,IF(ABS((1+AS_Wage)/(1+Slot16_Rate)-1)&lt;0.000000000001,(Slot16_Age-D24)*(1+Slot16_Rate)^(Slot16_Age-D24),(1+Slot16_Rate)^(Slot16_Age-D24)*(1-((1+AS_Wage)/(1+Slot16_Rate))^(Slot16_Age-D24))/(1-(1+AS_Wage)/(1+Slot16_Rate))),1)</f>
        <v>1</v>
      </c>
      <c r="MW24" s="20" t="n">
        <f aca="false">IF(AND(HU24=1,IE24&gt;0,Slot16_IsWG=1,FR24=1),MAX(0,(Slot16_Cost-FS24*(1+Slot16_Rate)^(Slot16_Age-D24))/MV24),0)</f>
        <v>0</v>
      </c>
      <c r="MX24" s="20" t="n">
        <f aca="false">IF(AND(HU24=1,IE24&gt;0,Slot16_IsWG=1,FR24=1),MIN(IE24,MW24),0)</f>
        <v>0</v>
      </c>
      <c r="MY24" s="20" t="n">
        <f aca="false">FS24+MX24</f>
        <v>0</v>
      </c>
      <c r="MZ24" s="20" t="n">
        <f aca="false">IF(FR24=1,MAX(0,(Slot16_Cost-MY24*(1+Slot16_Rate)^(Slot16_Age-D24))/MV24),0)</f>
        <v>0</v>
      </c>
      <c r="NA24" s="20" t="n">
        <f aca="false">IF(FR24=1,MAX(0,(Slot16_Cost-FS24*(1+Slot16_Rate)^(Slot16_Age-D24))/MV24),0)</f>
        <v>0</v>
      </c>
      <c r="NB24" s="20" t="n">
        <f aca="false">IF(AND(HU24=1,FR24=1),MIN(MU24,MZ24),0)</f>
        <v>0</v>
      </c>
      <c r="NC24" s="20" t="n">
        <f aca="false">MU24-NB24</f>
        <v>2599.20855251768</v>
      </c>
      <c r="ND24" s="20" t="n">
        <f aca="false">IF(GB24=1,IF(ABS((1+AS_Wage)/(1+Slot17_Rate)-1)&lt;0.000000000001,(Slot17_Age-D24)*(1+Slot17_Rate)^(Slot17_Age-D24),(1+Slot17_Rate)^(Slot17_Age-D24)*(1-((1+AS_Wage)/(1+Slot17_Rate))^(Slot17_Age-D24))/(1-(1+AS_Wage)/(1+Slot17_Rate))),1)</f>
        <v>1</v>
      </c>
      <c r="NE24" s="20" t="n">
        <f aca="false">IF(AND(HU24=1,IE24&gt;0,Slot17_IsWG=1,GB24=1),MAX(0,(Slot17_Cost-GC24*(1+Slot17_Rate)^(Slot17_Age-D24))/ND24),0)</f>
        <v>0</v>
      </c>
      <c r="NF24" s="20" t="n">
        <f aca="false">IF(AND(HU24=1,IE24&gt;0,Slot17_IsWG=1,GB24=1),MIN(IE24,NE24),0)</f>
        <v>0</v>
      </c>
      <c r="NG24" s="20" t="n">
        <f aca="false">GC24+NF24</f>
        <v>0</v>
      </c>
      <c r="NH24" s="20" t="n">
        <f aca="false">IF(GB24=1,MAX(0,(Slot17_Cost-NG24*(1+Slot17_Rate)^(Slot17_Age-D24))/ND24),0)</f>
        <v>0</v>
      </c>
      <c r="NI24" s="20" t="n">
        <f aca="false">IF(GB24=1,MAX(0,(Slot17_Cost-GC24*(1+Slot17_Rate)^(Slot17_Age-D24))/ND24),0)</f>
        <v>0</v>
      </c>
      <c r="NJ24" s="20" t="n">
        <f aca="false">IF(AND(HU24=1,GB24=1),MIN(NC24,NH24),0)</f>
        <v>0</v>
      </c>
      <c r="NK24" s="20" t="n">
        <f aca="false">NC24-NJ24</f>
        <v>2599.20855251768</v>
      </c>
      <c r="NL24" s="20" t="n">
        <f aca="false">IF(GL24=1,IF(ABS((1+AS_Wage)/(1+Slot18_Rate)-1)&lt;0.000000000001,(Slot18_Age-D24)*(1+Slot18_Rate)^(Slot18_Age-D24),(1+Slot18_Rate)^(Slot18_Age-D24)*(1-((1+AS_Wage)/(1+Slot18_Rate))^(Slot18_Age-D24))/(1-(1+AS_Wage)/(1+Slot18_Rate))),1)</f>
        <v>1</v>
      </c>
      <c r="NM24" s="20" t="n">
        <f aca="false">IF(AND(HU24=1,IE24&gt;0,Slot18_IsWG=1,GL24=1),MAX(0,(Slot18_Cost-GM24*(1+Slot18_Rate)^(Slot18_Age-D24))/NL24),0)</f>
        <v>0</v>
      </c>
      <c r="NN24" s="20" t="n">
        <f aca="false">IF(AND(HU24=1,IE24&gt;0,Slot18_IsWG=1,GL24=1),MIN(IE24,NM24),0)</f>
        <v>0</v>
      </c>
      <c r="NO24" s="20" t="n">
        <f aca="false">GM24+NN24</f>
        <v>0</v>
      </c>
      <c r="NP24" s="20" t="n">
        <f aca="false">IF(GL24=1,MAX(0,(Slot18_Cost-NO24*(1+Slot18_Rate)^(Slot18_Age-D24))/NL24),0)</f>
        <v>0</v>
      </c>
      <c r="NQ24" s="20" t="n">
        <f aca="false">IF(GL24=1,MAX(0,(Slot18_Cost-GM24*(1+Slot18_Rate)^(Slot18_Age-D24))/NL24),0)</f>
        <v>0</v>
      </c>
      <c r="NR24" s="20" t="n">
        <f aca="false">IF(AND(HU24=1,GL24=1),MIN(NK24,NP24),0)</f>
        <v>0</v>
      </c>
      <c r="NS24" s="20" t="n">
        <f aca="false">NK24-NR24</f>
        <v>2599.20855251768</v>
      </c>
      <c r="NT24" s="20" t="n">
        <f aca="false">IF(GV24=1,IF(ABS((1+AS_Wage)/(1+Slot19_Rate)-1)&lt;0.000000000001,(Slot19_Age-D24)*(1+Slot19_Rate)^(Slot19_Age-D24),(1+Slot19_Rate)^(Slot19_Age-D24)*(1-((1+AS_Wage)/(1+Slot19_Rate))^(Slot19_Age-D24))/(1-(1+AS_Wage)/(1+Slot19_Rate))),1)</f>
        <v>1</v>
      </c>
      <c r="NU24" s="20" t="n">
        <f aca="false">IF(AND(HU24=1,IE24&gt;0,Slot19_IsWG=1,GV24=1),MAX(0,(Slot19_Cost-GW24*(1+Slot19_Rate)^(Slot19_Age-D24))/NT24),0)</f>
        <v>0</v>
      </c>
      <c r="NV24" s="20" t="n">
        <f aca="false">IF(AND(HU24=1,IE24&gt;0,Slot19_IsWG=1,GV24=1),MIN(IE24,NU24),0)</f>
        <v>0</v>
      </c>
      <c r="NW24" s="20" t="n">
        <f aca="false">GW24+NV24</f>
        <v>0</v>
      </c>
      <c r="NX24" s="20" t="n">
        <f aca="false">IF(GV24=1,MAX(0,(Slot19_Cost-NW24*(1+Slot19_Rate)^(Slot19_Age-D24))/NT24),0)</f>
        <v>0</v>
      </c>
      <c r="NY24" s="20" t="n">
        <f aca="false">IF(GV24=1,MAX(0,(Slot19_Cost-GW24*(1+Slot19_Rate)^(Slot19_Age-D24))/NT24),0)</f>
        <v>0</v>
      </c>
      <c r="NZ24" s="20" t="n">
        <f aca="false">IF(AND(HU24=1,GV24=1),MIN(NS24,NX24),0)</f>
        <v>0</v>
      </c>
      <c r="OA24" s="20" t="n">
        <f aca="false">NS24-NZ24</f>
        <v>2599.20855251768</v>
      </c>
      <c r="OB24" s="20" t="n">
        <f aca="false">IF(HF24=1,IF(ABS((1+AS_Wage)/(1+Slot20_Rate)-1)&lt;0.000000000001,(Slot20_Age-D24)*(1+Slot20_Rate)^(Slot20_Age-D24),(1+Slot20_Rate)^(Slot20_Age-D24)*(1-((1+AS_Wage)/(1+Slot20_Rate))^(Slot20_Age-D24))/(1-(1+AS_Wage)/(1+Slot20_Rate))),1)</f>
        <v>1</v>
      </c>
      <c r="OC24" s="20" t="n">
        <f aca="false">IF(AND(HU24=1,IE24&gt;0,Slot20_IsWG=1,HF24=1),MAX(0,(Slot20_Cost-HG24*(1+Slot20_Rate)^(Slot20_Age-D24))/OB24),0)</f>
        <v>0</v>
      </c>
      <c r="OD24" s="20" t="n">
        <f aca="false">IF(AND(HU24=1,IE24&gt;0,Slot20_IsWG=1,HF24=1),MIN(IE24,OC24),0)</f>
        <v>0</v>
      </c>
      <c r="OE24" s="20" t="n">
        <f aca="false">HG24+OD24</f>
        <v>0</v>
      </c>
      <c r="OF24" s="20" t="n">
        <f aca="false">IF(HF24=1,MAX(0,(Slot20_Cost-OE24*(1+Slot20_Rate)^(Slot20_Age-D24))/OB24),0)</f>
        <v>0</v>
      </c>
      <c r="OG24" s="20" t="n">
        <f aca="false">IF(HF24=1,MAX(0,(Slot20_Cost-HG24*(1+Slot20_Rate)^(Slot20_Age-D24))/OB24),0)</f>
        <v>0</v>
      </c>
      <c r="OH24" s="20" t="n">
        <f aca="false">IF(AND(HU24=1,HF24=1),MIN(OA24,OF24),0)</f>
        <v>0</v>
      </c>
      <c r="OI24" s="20" t="n">
        <f aca="false">OA24-OH24</f>
        <v>2599.20855251768</v>
      </c>
      <c r="OJ24" s="20" t="n">
        <f aca="false">IE24-(IH24+IP24+IX24+JF24+JN24+JV24+KD24+KL24+KT24+LB24+LJ24+LR24+LZ24+MH24+MP24+MX24+NF24+NN24+NV24+OD24)</f>
        <v>0</v>
      </c>
      <c r="OK24" s="20" t="n">
        <f aca="false">IF(HU24=1,HS24-ID24-IE24,0)</f>
        <v>11330.0661464853</v>
      </c>
      <c r="OL24" s="20" t="n">
        <f aca="false">IF(HU24=0,-HS24,0)</f>
        <v>0</v>
      </c>
      <c r="OM24" s="20" t="n">
        <f aca="false">MIN(OL24,HK24)</f>
        <v>0</v>
      </c>
      <c r="ON24" s="20" t="n">
        <f aca="false">OL24-OM24</f>
        <v>0</v>
      </c>
      <c r="OO24" s="20" t="n">
        <f aca="false">MIN(ON24,HL24)</f>
        <v>0</v>
      </c>
      <c r="OP24" s="20" t="n">
        <f aca="false">ON24-OO24</f>
        <v>0</v>
      </c>
      <c r="OQ24" s="20" t="n">
        <f aca="false">IF(AND(HU24=0,HF24=1,OP24&gt;0),MIN(OP24,HG24),0)</f>
        <v>0</v>
      </c>
      <c r="OR24" s="20" t="n">
        <f aca="false">OP24-OQ24</f>
        <v>0</v>
      </c>
      <c r="OS24" s="20" t="n">
        <f aca="false">IF(AND(HU24=0,GV24=1,OR24&gt;0),MIN(OR24,GW24),0)</f>
        <v>0</v>
      </c>
      <c r="OT24" s="20" t="n">
        <f aca="false">OR24-OS24</f>
        <v>0</v>
      </c>
      <c r="OU24" s="20" t="n">
        <f aca="false">IF(AND(HU24=0,GL24=1,OT24&gt;0),MIN(OT24,GM24),0)</f>
        <v>0</v>
      </c>
      <c r="OV24" s="20" t="n">
        <f aca="false">OT24-OU24</f>
        <v>0</v>
      </c>
      <c r="OW24" s="20" t="n">
        <f aca="false">IF(AND(HU24=0,GB24=1,OV24&gt;0),MIN(OV24,GC24),0)</f>
        <v>0</v>
      </c>
      <c r="OX24" s="20" t="n">
        <f aca="false">OV24-OW24</f>
        <v>0</v>
      </c>
      <c r="OY24" s="20" t="n">
        <f aca="false">IF(AND(HU24=0,FR24=1,OX24&gt;0),MIN(OX24,FS24),0)</f>
        <v>0</v>
      </c>
      <c r="OZ24" s="20" t="n">
        <f aca="false">OX24-OY24</f>
        <v>0</v>
      </c>
      <c r="PA24" s="20" t="n">
        <f aca="false">IF(AND(HU24=0,FH24=1,OZ24&gt;0),MIN(OZ24,FI24),0)</f>
        <v>0</v>
      </c>
      <c r="PB24" s="20" t="n">
        <f aca="false">OZ24-PA24</f>
        <v>0</v>
      </c>
      <c r="PC24" s="20" t="n">
        <f aca="false">IF(AND(HU24=0,EX24=1,PB24&gt;0),MIN(PB24,EY24),0)</f>
        <v>0</v>
      </c>
      <c r="PD24" s="20" t="n">
        <f aca="false">PB24-PC24</f>
        <v>0</v>
      </c>
      <c r="PE24" s="20" t="n">
        <f aca="false">IF(AND(HU24=0,EN24=1,PD24&gt;0),MIN(PD24,EO24),0)</f>
        <v>0</v>
      </c>
      <c r="PF24" s="20" t="n">
        <f aca="false">PD24-PE24</f>
        <v>0</v>
      </c>
      <c r="PG24" s="20" t="n">
        <f aca="false">IF(AND(HU24=0,ED24=1,PF24&gt;0),MIN(PF24,EE24),0)</f>
        <v>0</v>
      </c>
      <c r="PH24" s="20" t="n">
        <f aca="false">PF24-PG24</f>
        <v>0</v>
      </c>
      <c r="PI24" s="20" t="n">
        <f aca="false">IF(AND(HU24=0,DT24=1,PH24&gt;0),MIN(PH24,DU24),0)</f>
        <v>0</v>
      </c>
      <c r="PJ24" s="20" t="n">
        <f aca="false">PH24-PI24</f>
        <v>0</v>
      </c>
      <c r="PK24" s="20" t="n">
        <f aca="false">IF(AND(HU24=0,DJ24=1,PJ24&gt;0),MIN(PJ24,DK24),0)</f>
        <v>0</v>
      </c>
      <c r="PL24" s="20" t="n">
        <f aca="false">PJ24-PK24</f>
        <v>0</v>
      </c>
      <c r="PM24" s="20" t="n">
        <f aca="false">IF(AND(HU24=0,CZ24=1,PL24&gt;0),MIN(PL24,DA24),0)</f>
        <v>0</v>
      </c>
      <c r="PN24" s="20" t="n">
        <f aca="false">PL24-PM24</f>
        <v>0</v>
      </c>
      <c r="PO24" s="20" t="n">
        <f aca="false">IF(AND(HU24=0,CP24=1,PN24&gt;0),MIN(PN24,CQ24),0)</f>
        <v>0</v>
      </c>
      <c r="PP24" s="20" t="n">
        <f aca="false">PN24-PO24</f>
        <v>0</v>
      </c>
      <c r="PQ24" s="20" t="n">
        <f aca="false">IF(AND(HU24=0,CF24=1,PP24&gt;0),MIN(PP24,CG24),0)</f>
        <v>0</v>
      </c>
      <c r="PR24" s="20" t="n">
        <f aca="false">PP24-PQ24</f>
        <v>0</v>
      </c>
      <c r="PS24" s="20" t="n">
        <f aca="false">IF(AND(HU24=0,BV24=1,PR24&gt;0),MIN(PR24,BW24),0)</f>
        <v>0</v>
      </c>
      <c r="PT24" s="20" t="n">
        <f aca="false">PR24-PS24</f>
        <v>0</v>
      </c>
      <c r="PU24" s="20" t="n">
        <f aca="false">IF(AND(HU24=0,BL24=1,PT24&gt;0),MIN(PT24,BM24),0)</f>
        <v>0</v>
      </c>
      <c r="PV24" s="20" t="n">
        <f aca="false">PT24-PU24</f>
        <v>0</v>
      </c>
      <c r="PW24" s="20" t="n">
        <f aca="false">IF(AND(HU24=0,BB24=1,PV24&gt;0),MIN(PV24,BC24),0)</f>
        <v>0</v>
      </c>
      <c r="PX24" s="20" t="n">
        <f aca="false">PV24-PW24</f>
        <v>0</v>
      </c>
      <c r="PY24" s="20" t="n">
        <f aca="false">IF(AND(HU24=0,AR24=1,PX24&gt;0),MIN(PX24,AS24),0)</f>
        <v>0</v>
      </c>
      <c r="PZ24" s="20" t="n">
        <f aca="false">PX24-PY24</f>
        <v>0</v>
      </c>
      <c r="QA24" s="20" t="n">
        <f aca="false">IF(AND(HU24=0,AH24=1,PZ24&gt;0),MIN(PZ24,AI24),0)</f>
        <v>0</v>
      </c>
      <c r="QB24" s="20" t="n">
        <f aca="false">PZ24-QA24</f>
        <v>0</v>
      </c>
      <c r="QC24" s="20" t="n">
        <f aca="false">IF(AND(HU24=0,W24=1,QB24&gt;0),MIN(QB24,X24),0)</f>
        <v>0</v>
      </c>
      <c r="QD24" s="20" t="n">
        <f aca="false">QB24-QC24</f>
        <v>0</v>
      </c>
      <c r="QE24" s="20" t="n">
        <f aca="false">IF(HU24=0,QD24,0)</f>
        <v>0</v>
      </c>
      <c r="QF24" s="20" t="n">
        <f aca="false">OM24+OO24+QC24+QA24+PY24+PW24+PU24+PS24+PQ24+PO24+PM24+PK24+PI24+PG24+PE24+PC24+PA24+OY24+OW24+OU24+OS24+OQ24</f>
        <v>0</v>
      </c>
      <c r="QG24" s="20" t="n">
        <f aca="false">IF(HU24=1,HK24+OJ24+OI24+IF(G24=1,0,OK24),HK24-OM24)</f>
        <v>16479.2176955264</v>
      </c>
      <c r="QH24" s="20" t="n">
        <f aca="false">HL24-OO24</f>
        <v>13079.2251045273</v>
      </c>
      <c r="QI24" s="20" t="n">
        <f aca="false">IF(HU24=1,IF(G24=1,ID24+IE24,HS24),0)</f>
        <v>8236.71423054368</v>
      </c>
      <c r="QJ24" s="20" t="n">
        <f aca="false">IF(HU24=1,IF(G24=1,HS24-ID24-IE24,0),0)</f>
        <v>11330.0661464853</v>
      </c>
      <c r="QK24" s="57" t="n">
        <f aca="false">'Plan holdings'!BM24</f>
        <v>17126.3258359047</v>
      </c>
      <c r="QL24" s="20" t="n">
        <f aca="false">QH24*(1+AS_Cash)</f>
        <v>13210.0173555726</v>
      </c>
      <c r="QM24" s="20" t="n">
        <f aca="false">IF(W24=1,IF(HU24=1,II24+IL24,X24-QC24)*(1+Slot1_Rate),0)</f>
        <v>0</v>
      </c>
      <c r="QN24" s="20" t="n">
        <f aca="false">IF(AND(HU24=1,W24=1),(IH24+IL24)/F24,0)</f>
        <v>0</v>
      </c>
      <c r="QO24" s="20" t="n">
        <f aca="false">IF(B24=0,IH24+IL24,0)</f>
        <v>0</v>
      </c>
      <c r="QP24" s="20" t="n">
        <f aca="false">IF(B24=0,IF(HU24=1,IJ24,IK24),0)</f>
        <v>0</v>
      </c>
      <c r="QQ24" s="20" t="n">
        <f aca="false">IF(AH24=1,IF(HU24=1,IQ24+IT24,AI24-QA24)*(1+Slot2_Rate),0)</f>
        <v>0</v>
      </c>
      <c r="QR24" s="20" t="n">
        <f aca="false">IF(AND(HU24=1,AH24=1),(IP24+IT24)/F24,0)</f>
        <v>0</v>
      </c>
      <c r="QS24" s="20" t="n">
        <f aca="false">IF(B24=0,IP24+IT24,0)</f>
        <v>0</v>
      </c>
      <c r="QT24" s="20" t="n">
        <f aca="false">IF(B24=0,IF(HU24=1,IR24,IS24),0)</f>
        <v>0</v>
      </c>
      <c r="QU24" s="20" t="n">
        <f aca="false">IF(AR24=1,IF(HU24=1,IY24+JB24,AS24-PY24)*(1+Slot3_Rate),0)</f>
        <v>0</v>
      </c>
      <c r="QV24" s="20" t="n">
        <f aca="false">IF(AND(HU24=1,AR24=1),(IX24+JB24)/F24,0)</f>
        <v>0</v>
      </c>
      <c r="QW24" s="20" t="n">
        <f aca="false">IF(B24=0,IX24+JB24,0)</f>
        <v>0</v>
      </c>
      <c r="QX24" s="20" t="n">
        <f aca="false">IF(B24=0,IF(HU24=1,IZ24,JA24),0)</f>
        <v>0</v>
      </c>
      <c r="QY24" s="20" t="n">
        <f aca="false">IF(BB24=1,IF(HU24=1,JG24+JJ24,BC24-PW24)*(1+Slot4_Rate),0)</f>
        <v>40019.8956528291</v>
      </c>
      <c r="QZ24" s="20" t="n">
        <f aca="false">IF(AND(HU24=1,BB24=1),(JF24+JJ24)/F24,0)</f>
        <v>4106.61741094826</v>
      </c>
      <c r="RA24" s="20" t="n">
        <f aca="false">IF(B24=0,JF24+JJ24,0)</f>
        <v>0</v>
      </c>
      <c r="RB24" s="20" t="n">
        <f aca="false">IF(B24=0,IF(HU24=1,JH24,JI24),0)</f>
        <v>0</v>
      </c>
      <c r="RC24" s="20" t="n">
        <f aca="false">IF(BL24=1,IF(HU24=1,JO24+JR24,BM24-PU24)*(1+Slot5_Rate),0)</f>
        <v>0</v>
      </c>
      <c r="RD24" s="20" t="n">
        <f aca="false">IF(AND(HU24=1,BL24=1),(JN24+JR24)/F24,0)</f>
        <v>0</v>
      </c>
      <c r="RE24" s="20" t="n">
        <f aca="false">IF(B24=0,JN24+JR24,0)</f>
        <v>0</v>
      </c>
      <c r="RF24" s="20" t="n">
        <f aca="false">IF(B24=0,IF(HU24=1,JP24,JQ24),0)</f>
        <v>0</v>
      </c>
      <c r="RG24" s="20" t="n">
        <f aca="false">IF(BV24=1,IF(HU24=1,JW24+JZ24,BW24-PS24)*(1+Slot6_Rate),0)</f>
        <v>0</v>
      </c>
      <c r="RH24" s="20" t="n">
        <f aca="false">IF(AND(HU24=1,BV24=1),(JV24+JZ24)/F24,0)</f>
        <v>0</v>
      </c>
      <c r="RI24" s="20" t="n">
        <f aca="false">IF(B24=0,JV24+JZ24,0)</f>
        <v>0</v>
      </c>
      <c r="RJ24" s="20" t="n">
        <f aca="false">IF(B24=0,IF(HU24=1,JX24,JY24),0)</f>
        <v>0</v>
      </c>
      <c r="RK24" s="20" t="n">
        <f aca="false">IF(CF24=1,IF(HU24=1,KE24+KH24,CG24-PQ24)*(1+Slot7_Rate),0)</f>
        <v>0</v>
      </c>
      <c r="RL24" s="20" t="n">
        <f aca="false">IF(AND(HU24=1,CF24=1),(KD24+KH24)/F24,0)</f>
        <v>0</v>
      </c>
      <c r="RM24" s="20" t="n">
        <f aca="false">IF(B24=0,KD24+KH24,0)</f>
        <v>0</v>
      </c>
      <c r="RN24" s="20" t="n">
        <f aca="false">IF(B24=0,IF(HU24=1,KF24,KG24),0)</f>
        <v>0</v>
      </c>
      <c r="RO24" s="20" t="n">
        <f aca="false">IF(CP24=1,IF(HU24=1,KM24+KP24,CQ24-PO24)*(1+Slot8_Rate),0)</f>
        <v>0</v>
      </c>
      <c r="RP24" s="20" t="n">
        <f aca="false">IF(AND(HU24=1,CP24=1),(KL24+KP24)/F24,0)</f>
        <v>0</v>
      </c>
      <c r="RQ24" s="20" t="n">
        <f aca="false">IF(B24=0,KL24+KP24,0)</f>
        <v>0</v>
      </c>
      <c r="RR24" s="20" t="n">
        <f aca="false">IF(B24=0,IF(HU24=1,KN24,KO24),0)</f>
        <v>0</v>
      </c>
      <c r="RS24" s="20" t="n">
        <f aca="false">IF(CZ24=1,IF(HU24=1,KU24+KX24,DA24-PM24)*(1+Slot9_Rate),0)</f>
        <v>0</v>
      </c>
      <c r="RT24" s="20" t="n">
        <f aca="false">IF(AND(HU24=1,CZ24=1),(KT24+KX24)/F24,0)</f>
        <v>0</v>
      </c>
      <c r="RU24" s="20" t="n">
        <f aca="false">IF(B24=0,KT24+KX24,0)</f>
        <v>0</v>
      </c>
      <c r="RV24" s="20" t="n">
        <f aca="false">IF(B24=0,IF(HU24=1,KV24,KW24),0)</f>
        <v>0</v>
      </c>
      <c r="RW24" s="20" t="n">
        <f aca="false">IF(DJ24=1,IF(HU24=1,LC24+LF24,DK24-PK24)*(1+Slot10_Rate),0)</f>
        <v>0</v>
      </c>
      <c r="RX24" s="20" t="n">
        <f aca="false">IF(AND(HU24=1,DJ24=1),(LB24+LF24)/F24,0)</f>
        <v>0</v>
      </c>
      <c r="RY24" s="20" t="n">
        <f aca="false">IF(B24=0,LB24+LF24,0)</f>
        <v>0</v>
      </c>
      <c r="RZ24" s="20" t="n">
        <f aca="false">IF(B24=0,IF(HU24=1,LD24,LE24),0)</f>
        <v>0</v>
      </c>
      <c r="SA24" s="20" t="n">
        <f aca="false">IF(DT24=1,IF(HU24=1,LK24+LN24,DU24-PI24)*(1+Slot11_Rate),0)</f>
        <v>0</v>
      </c>
      <c r="SB24" s="20" t="n">
        <f aca="false">IF(AND(HU24=1,DT24=1),(LJ24+LN24)/F24,0)</f>
        <v>0</v>
      </c>
      <c r="SC24" s="20" t="n">
        <f aca="false">IF(B24=0,LJ24+LN24,0)</f>
        <v>0</v>
      </c>
      <c r="SD24" s="20" t="n">
        <f aca="false">IF(B24=0,IF(HU24=1,LL24,LM24),0)</f>
        <v>0</v>
      </c>
      <c r="SE24" s="20" t="n">
        <f aca="false">IF(ED24=1,IF(HU24=1,LS24+LV24,EE24-PG24)*(1+Slot12_Rate),0)</f>
        <v>0</v>
      </c>
      <c r="SF24" s="20" t="n">
        <f aca="false">IF(AND(HU24=1,ED24=1),(LR24+LV24)/F24,0)</f>
        <v>0</v>
      </c>
      <c r="SG24" s="20" t="n">
        <f aca="false">IF(B24=0,LR24+LV24,0)</f>
        <v>0</v>
      </c>
      <c r="SH24" s="20" t="n">
        <f aca="false">IF(B24=0,IF(HU24=1,LT24,LU24),0)</f>
        <v>0</v>
      </c>
      <c r="SI24" s="20" t="n">
        <f aca="false">IF(EN24=1,IF(HU24=1,MA24+MD24,EO24-PE24)*(1+Slot13_Rate),0)</f>
        <v>0</v>
      </c>
      <c r="SJ24" s="20" t="n">
        <f aca="false">IF(AND(HU24=1,EN24=1),(LZ24+MD24)/F24,0)</f>
        <v>0</v>
      </c>
      <c r="SK24" s="20" t="n">
        <f aca="false">IF(B24=0,LZ24+MD24,0)</f>
        <v>0</v>
      </c>
      <c r="SL24" s="20" t="n">
        <f aca="false">IF(B24=0,IF(HU24=1,MB24,MC24),0)</f>
        <v>0</v>
      </c>
      <c r="SM24" s="20" t="n">
        <f aca="false">IF(EX24=1,IF(HU24=1,MI24+ML24,EY24-PC24)*(1+Slot14_Rate),0)</f>
        <v>0</v>
      </c>
      <c r="SN24" s="20" t="n">
        <f aca="false">IF(AND(HU24=1,EX24=1),(MH24+ML24)/F24,0)</f>
        <v>0</v>
      </c>
      <c r="SO24" s="20" t="n">
        <f aca="false">IF(B24=0,MH24+ML24,0)</f>
        <v>0</v>
      </c>
      <c r="SP24" s="20" t="n">
        <f aca="false">IF(B24=0,IF(HU24=1,MJ24,MK24),0)</f>
        <v>0</v>
      </c>
      <c r="SQ24" s="20" t="n">
        <f aca="false">IF(FH24=1,IF(HU24=1,MQ24+MT24,FI24-PA24)*(1+Slot15_Rate),0)</f>
        <v>0</v>
      </c>
      <c r="SR24" s="20" t="n">
        <f aca="false">IF(AND(HU24=1,FH24=1),(MP24+MT24)/F24,0)</f>
        <v>0</v>
      </c>
      <c r="SS24" s="20" t="n">
        <f aca="false">IF(B24=0,MP24+MT24,0)</f>
        <v>0</v>
      </c>
      <c r="ST24" s="20" t="n">
        <f aca="false">IF(B24=0,IF(HU24=1,MR24,MS24),0)</f>
        <v>0</v>
      </c>
      <c r="SU24" s="20" t="n">
        <f aca="false">IF(FR24=1,IF(HU24=1,MY24+NB24,FS24-OY24)*(1+Slot16_Rate),0)</f>
        <v>0</v>
      </c>
      <c r="SV24" s="20" t="n">
        <f aca="false">IF(AND(HU24=1,FR24=1),(MX24+NB24)/F24,0)</f>
        <v>0</v>
      </c>
      <c r="SW24" s="20" t="n">
        <f aca="false">IF(B24=0,MX24+NB24,0)</f>
        <v>0</v>
      </c>
      <c r="SX24" s="20" t="n">
        <f aca="false">IF(B24=0,IF(HU24=1,MZ24,NA24),0)</f>
        <v>0</v>
      </c>
      <c r="SY24" s="20" t="n">
        <f aca="false">IF(GB24=1,IF(HU24=1,NG24+NJ24,GC24-OW24)*(1+Slot17_Rate),0)</f>
        <v>0</v>
      </c>
      <c r="SZ24" s="20" t="n">
        <f aca="false">IF(AND(HU24=1,GB24=1),(NF24+NJ24)/F24,0)</f>
        <v>0</v>
      </c>
      <c r="TA24" s="20" t="n">
        <f aca="false">IF(B24=0,NF24+NJ24,0)</f>
        <v>0</v>
      </c>
      <c r="TB24" s="20" t="n">
        <f aca="false">IF(B24=0,IF(HU24=1,NH24,NI24),0)</f>
        <v>0</v>
      </c>
      <c r="TC24" s="20" t="n">
        <f aca="false">IF(GL24=1,IF(HU24=1,NO24+NR24,GM24-OU24)*(1+Slot18_Rate),0)</f>
        <v>0</v>
      </c>
      <c r="TD24" s="20" t="n">
        <f aca="false">IF(AND(HU24=1,GL24=1),(NN24+NR24)/F24,0)</f>
        <v>0</v>
      </c>
      <c r="TE24" s="20" t="n">
        <f aca="false">IF(B24=0,NN24+NR24,0)</f>
        <v>0</v>
      </c>
      <c r="TF24" s="20" t="n">
        <f aca="false">IF(B24=0,IF(HU24=1,NP24,NQ24),0)</f>
        <v>0</v>
      </c>
      <c r="TG24" s="20" t="n">
        <f aca="false">IF(GV24=1,IF(HU24=1,NW24+NZ24,GW24-OS24)*(1+Slot19_Rate),0)</f>
        <v>0</v>
      </c>
      <c r="TH24" s="20" t="n">
        <f aca="false">IF(AND(HU24=1,GV24=1),(NV24+NZ24)/F24,0)</f>
        <v>0</v>
      </c>
      <c r="TI24" s="20" t="n">
        <f aca="false">IF(B24=0,NV24+NZ24,0)</f>
        <v>0</v>
      </c>
      <c r="TJ24" s="20" t="n">
        <f aca="false">IF(B24=0,IF(HU24=1,NX24,NY24),0)</f>
        <v>0</v>
      </c>
      <c r="TK24" s="20" t="n">
        <f aca="false">IF(HF24=1,IF(HU24=1,OE24+OH24,HG24-OQ24)*(1+Slot20_Rate),0)</f>
        <v>0</v>
      </c>
      <c r="TL24" s="20" t="n">
        <f aca="false">IF(AND(HU24=1,HF24=1),(OD24+OH24)/F24,0)</f>
        <v>0</v>
      </c>
      <c r="TM24" s="20" t="n">
        <f aca="false">IF(B24=0,OD24+OH24,0)</f>
        <v>0</v>
      </c>
      <c r="TN24" s="20" t="n">
        <f aca="false">IF(B24=0,IF(HU24=1,OF24,OG24),0)</f>
        <v>0</v>
      </c>
      <c r="TO24" s="20" t="n">
        <f aca="false">QK24+QL24+QM24+QQ24+QU24+QY24+RC24+RG24+RK24+RO24+RS24+RW24+SA24+SE24+SI24+SM24+SQ24+SU24+SY24+TC24+TG24+TK24</f>
        <v>70356.2388443064</v>
      </c>
      <c r="TP24" s="20" t="n">
        <f aca="false">QE24+HP24</f>
        <v>0</v>
      </c>
      <c r="TQ24" s="20" t="n">
        <f aca="false">I24+S24</f>
        <v>75935.3567290776</v>
      </c>
      <c r="TR24" s="20" t="n">
        <f aca="false">1-G24</f>
        <v>0</v>
      </c>
      <c r="TS24" s="20" t="n">
        <f aca="false">IF(AND(RG_Exists=1,G24=0,C24=1),I24,0)</f>
        <v>0</v>
      </c>
      <c r="TT24" s="20" t="n">
        <f aca="false">IF(AND(RG_Exists=1,G24=0,C24=1),I24-MIN(QE24,I24),0)</f>
        <v>0</v>
      </c>
      <c r="TU24" s="20" t="n">
        <f aca="false">'Plan pay &amp; tax'!AD250</f>
        <v>343743.268214261</v>
      </c>
      <c r="TV24" s="20" t="n">
        <f aca="false">IF(AND(C24=1,QE24&gt;MAX(PR_Short1,TQ24*PR_Short2)),1,0)</f>
        <v>0</v>
      </c>
      <c r="TW24" s="20" t="n">
        <f aca="false">MIN(H24,I24+S24)</f>
        <v>75935.3567290776</v>
      </c>
      <c r="TX24" s="20" t="n">
        <f aca="false">QF24+MAX(0,HQ24-HP24)</f>
        <v>0</v>
      </c>
      <c r="TY24" s="20" t="n">
        <f aca="false">QE24+HP24</f>
        <v>0</v>
      </c>
      <c r="TZ24" s="20" t="n">
        <f aca="false">IF(AND(C24=1,TY24&gt;PR_MinShort),1,0)</f>
        <v>0</v>
      </c>
      <c r="UA24" s="20" t="n">
        <f aca="false">IF(AND(C24=1,TZ24=0,TX24&gt;PR_MinShort),1,0)</f>
        <v>0</v>
      </c>
      <c r="UB24" s="20" t="n">
        <f aca="false">IF(AND(C24=1,QE24&gt;PR_MinShort),1,0)</f>
        <v>0</v>
      </c>
      <c r="UC24" s="20" t="n">
        <f aca="false">IF(AND(C24=1,QF24&gt;1,UJ24=0),1,0)</f>
        <v>0</v>
      </c>
      <c r="UD24" s="20" t="str">
        <f aca="false">IF(C24=0,"",IF(UJ24=1,"Gap to plan for: short "&amp;"€"&amp;TEXT(ROUND(TP24,0),"#,##0"),IF(QF24&gt;1,"Using savings","Comfortable")))</f>
        <v>Comfortable</v>
      </c>
      <c r="UE24" s="20" t="n">
        <f aca="false">IF(AND(INT(D24/10)*10=90,B24&gt;0),80,INT(D24/10)*10)</f>
        <v>50</v>
      </c>
      <c r="UF24" s="20" t="n">
        <f aca="false">IF(B24=0,1,IF(UE24&lt;&gt;UE23,UF23+1,UF23))</f>
        <v>3</v>
      </c>
      <c r="UG24" s="20" t="n">
        <f aca="false">IF(AND(C24=1,G24=1,QE24&gt;MAX(PR_Short1,TQ24*PR_Short2)),1,0)</f>
        <v>0</v>
      </c>
      <c r="UH24" s="20" t="n">
        <f aca="false">TR24*TV24</f>
        <v>0</v>
      </c>
      <c r="UI24" s="20" t="n">
        <f aca="false">IF(AND(V24=1,Slot1_PctLow=1),1,0)+IF(AND(AG24=1,Slot2_PctLow=1),1,0)+IF(AND(AQ24=1,Slot3_PctLow=1),1,0)+IF(AND(BA24=1,Slot4_PctLow=1),1,0)+IF(AND(BK24=1,Slot5_PctLow=1),1,0)+IF(AND(BU24=1,Slot6_PctLow=1),1,0)+IF(AND(CE24=1,Slot7_PctLow=1),1,0)+IF(AND(CO24=1,Slot8_PctLow=1),1,0)+IF(AND(CY24=1,Slot9_PctLow=1),1,0)+IF(AND(DI24=1,Slot10_PctLow=1),1,0)+IF(AND(DS24=1,Slot11_PctLow=1),1,0)+IF(AND(EC24=1,Slot12_PctLow=1),1,0)+IF(AND(EM24=1,Slot13_PctLow=1),1,0)+IF(AND(EW24=1,Slot14_PctLow=1),1,0)+IF(AND(FG24=1,Slot15_PctLow=1),1,0)+IF(AND(FQ24=1,Slot16_PctLow=1),1,0)+IF(AND(GA24=1,Slot17_PctLow=1),1,0)+IF(AND(GK24=1,Slot18_PctLow=1),1,0)+IF(AND(GU24=1,Slot19_PctLow=1),1,0)+IF(AND(HE24=1,Slot20_PctLow=1),1,0)</f>
        <v>0</v>
      </c>
      <c r="UJ24" s="20" t="n">
        <f aca="false">IF(C24=1,IF(OR(TV24=1,UI24&gt;0),1,0),0)</f>
        <v>0</v>
      </c>
      <c r="UK24" s="20" t="n">
        <f aca="false">Z24+AK24+AU24+BE24+BO24+BY24+CI24+CS24+DC24+DM24+DW24+EG24+EQ24+FA24+FK24+FU24+GE24+GO24+GY24+HI24+OM24</f>
        <v>0</v>
      </c>
      <c r="UL24" s="20" t="n">
        <f aca="false">V24*IF(Slot1_SpendLike=1,X24-Y24,IF(Slot1_PotFree=1,X24,0))+AG24*IF(Slot2_SpendLike=1,AI24-AJ24,IF(Slot2_PotFree=1,AI24,0))+AQ24*IF(Slot3_SpendLike=1,AS24-AT24,IF(Slot3_PotFree=1,AS24,0))+BA24*IF(Slot4_SpendLike=1,BC24-BD24,IF(Slot4_PotFree=1,BC24,0))+BK24*IF(Slot5_SpendLike=1,BM24-BN24,IF(Slot5_PotFree=1,BM24,0))+BU24*IF(Slot6_SpendLike=1,BW24-BX24,IF(Slot6_PotFree=1,BW24,0))+CE24*IF(Slot7_SpendLike=1,CG24-CH24,IF(Slot7_PotFree=1,CG24,0))+CO24*IF(Slot8_SpendLike=1,CQ24-CR24,IF(Slot8_PotFree=1,CQ24,0))+CY24*IF(Slot9_SpendLike=1,DA24-DB24,IF(Slot9_PotFree=1,DA24,0))+DI24*IF(Slot10_SpendLike=1,DK24-DL24,IF(Slot10_PotFree=1,DK24,0))+DS24*IF(Slot11_SpendLike=1,DU24-DV24,IF(Slot11_PotFree=1,DU24,0))+EC24*IF(Slot12_SpendLike=1,EE24-EF24,IF(Slot12_PotFree=1,EE24,0))+EM24*IF(Slot13_SpendLike=1,EO24-EP24,IF(Slot13_PotFree=1,EO24,0))+EW24*IF(Slot14_SpendLike=1,EY24-EZ24,IF(Slot14_PotFree=1,EY24,0))+FG24*IF(Slot15_SpendLike=1,FI24-FJ24,IF(Slot15_PotFree=1,FI24,0))+FQ24*IF(Slot16_SpendLike=1,FS24-FT24,IF(Slot16_PotFree=1,FS24,0))+GA24*IF(Slot17_SpendLike=1,GC24-GD24,IF(Slot17_PotFree=1,GC24,0))+GK24*IF(Slot18_SpendLike=1,GM24-GN24,IF(Slot18_PotFree=1,GM24,0))+GU24*IF(Slot19_SpendLike=1,GW24-GX24,IF(Slot19_PotFree=1,GW24,0))+HE24*IF(Slot20_SpendLike=1,HG24-HH24,IF(Slot20_PotFree=1,HG24,0))</f>
        <v>0</v>
      </c>
      <c r="UM24" s="20" t="n">
        <f aca="false">QG24-T24+UK24-UL24</f>
        <v>2599.20855251768</v>
      </c>
      <c r="UN24" s="20" t="n">
        <f aca="false">IF(OR(UN23=1,AND(In_homeUse="Yes, I'd downsize",In_downAge&gt;0,D24=In_downAge,OR(In_home="Own outright",In_home="Own with mortgage"),In_homeValue&gt;0)),1,0)</f>
        <v>0</v>
      </c>
    </row>
    <row r="25" customFormat="false" ht="15" hidden="false" customHeight="true" outlineLevel="0" collapsed="false">
      <c r="B25" s="20" t="n">
        <v>17</v>
      </c>
      <c r="C25" s="20" t="n">
        <f aca="false">IF(B25&lt;=F_N,1,0)</f>
        <v>1</v>
      </c>
      <c r="D25" s="20" t="n">
        <f aca="false">'Plan pay &amp; tax'!C251</f>
        <v>55</v>
      </c>
      <c r="E25" s="20" t="str">
        <f aca="false">IF($C25=1,"Income tax "&amp;TEXT(N('Plan pay &amp; tax'!BK251),"#,##0")&amp;"; USC "&amp;TEXT(N('Plan pay &amp; tax'!BM251)+N('Plan pay &amp; tax'!BO251),"#,##0")&amp;"; PRSI "&amp;TEXT(N('Plan pay &amp; tax'!BP251)+N('Plan pay &amp; tax'!BQ251),"#,##0")&amp;IF(N('Plan holdings'!BO25)&gt;=0.5,"; DIRT "&amp;TEXT(('Plan holdings'!BO25)/$F25,"#,##0")&amp;" (already taken from the interest earned)","")&amp;IF(N('Plan holdings'!BP25)&gt;=0.5,"; exit tax at an 8-year anniversary "&amp;TEXT(('Plan holdings'!BP25)/$F25,"#,##0"),"")&amp;IF(N('Plan holdings'!BN25)&gt;=0.5,"; tax on assets sold (exit tax or capital gains tax) "&amp;TEXT(('Plan holdings'!BN25)/$F25,"#,##0"),"")&amp;IF(N('Plan pay &amp; tax'!X251)-N('Plan pay &amp; tax'!Y251)&gt;=0.5,"; tax on the pension lump sum "&amp;TEXT(('Plan pay &amp; tax'!X251-'Plan pay &amp; tax'!Y251)/$F25,"#,##0"),"")&amp;IF(N('Plan pay &amp; tax'!V251)&gt;=0.5,"; chargeable excess tax on the pension "&amp;TEXT(('Plan pay &amp; tax'!V251)/$F25,"#,##0"),"")&amp;".","")</f>
        <v>Income tax 14,306; USC 1,926; PRSI 4,438; DIRT 99 (already taken from the interest earned); exit tax at an 8-year anniversary 55.</v>
      </c>
      <c r="F25" s="50" t="n">
        <f aca="false">'Plan pay &amp; tax'!E251</f>
        <v>1.40024141919242</v>
      </c>
      <c r="G25" s="20" t="n">
        <f aca="false">'Plan pay &amp; tax'!G251</f>
        <v>1</v>
      </c>
      <c r="H25" s="20" t="n">
        <f aca="false">'Plan pay &amp; tax'!BT251-'Plan pay &amp; tax'!BS251-'Plan pay &amp; tax'!R251</f>
        <v>98127.686355294</v>
      </c>
      <c r="I25" s="20" t="n">
        <f aca="false">IF(G25=1,F_CostsM*12,IF(RG_Exists=1,RG_Amount,F_CostsM*12*AS_RetireSpend))*F25+F_OneOffY*F25</f>
        <v>63010.8638636591</v>
      </c>
      <c r="J25" s="20" t="n">
        <f aca="false">IF(UN25=1,0,HR24)</f>
        <v>52379.8592822762</v>
      </c>
      <c r="K25" s="20" t="n">
        <f aca="false">IF(J25&gt;1,'Plan debt months'!AC25,0)</f>
        <v>14160</v>
      </c>
      <c r="L25" s="20" t="n">
        <f aca="false">IF(J25&gt;1,'Plan debt months'!AB25,J25)</f>
        <v>40019.8956528291</v>
      </c>
      <c r="M25" s="20" t="n">
        <f aca="false">O24</f>
        <v>0</v>
      </c>
      <c r="N25" s="20" t="n">
        <f aca="false">IF(M25&gt;1,'Plan debt months'!BD25,0)</f>
        <v>0</v>
      </c>
      <c r="O25" s="20" t="n">
        <f aca="false">IF(M25&gt;1,'Plan debt months'!BC25,M25)</f>
        <v>0</v>
      </c>
      <c r="P25" s="20" t="n">
        <f aca="false">R24</f>
        <v>0</v>
      </c>
      <c r="Q25" s="20" t="n">
        <f aca="false">IF(P25&gt;1,'Plan debt months'!CE25,0)</f>
        <v>0</v>
      </c>
      <c r="R25" s="20" t="n">
        <f aca="false">IF(P25&gt;1,'Plan debt months'!CD25,P25)</f>
        <v>0</v>
      </c>
      <c r="S25" s="20" t="n">
        <f aca="false">K25+N25+Q25</f>
        <v>14160</v>
      </c>
      <c r="T25" s="57" t="n">
        <f aca="false">'Plan holdings'!Y25</f>
        <v>16750.6316410774</v>
      </c>
      <c r="U25" s="57" t="n">
        <f aca="false">'Plan holdings'!BM24</f>
        <v>17126.3258359047</v>
      </c>
      <c r="V25" s="20" t="n">
        <f aca="false">IF(AND(Slot1_On=1,D25=Slot1_Age),1,0)</f>
        <v>0</v>
      </c>
      <c r="W25" s="20" t="n">
        <f aca="false">IF(AND(Slot1_On=1,Slot1_Age&gt;D25),1,0)</f>
        <v>0</v>
      </c>
      <c r="X25" s="20" t="n">
        <f aca="false">QM24</f>
        <v>0</v>
      </c>
      <c r="Y25" s="20" t="n">
        <f aca="false">V25*MIN(Slot1_Cost,X25)</f>
        <v>0</v>
      </c>
      <c r="Z25" s="20" t="n">
        <f aca="false">V25*Slot1_SpendLike*MIN(Slot1_Cost-Y25,T25)</f>
        <v>0</v>
      </c>
      <c r="AA25" s="20" t="n">
        <f aca="false">Y25+Z25</f>
        <v>0</v>
      </c>
      <c r="AB25" s="20" t="n">
        <f aca="false">T25-Z25+V25*IF(Slot1_SpendLike=1,X25-Y25,IF(Slot1_PotFree=1,X25,0))</f>
        <v>16750.6316410774</v>
      </c>
      <c r="AC25" s="20" t="n">
        <f aca="false">AF25+V25*Slot1_BufPot*X25</f>
        <v>13210.0173555726</v>
      </c>
      <c r="AD25" s="20" t="n">
        <f aca="false">IF(AND(V25=1,Slot1_IsMfree=1),IF(AA25&gt;=Slot1_Cost-1,0,MAX(0,L25-AA25)),L25)</f>
        <v>40019.8956528291</v>
      </c>
      <c r="AE25" s="20" t="n">
        <f aca="false">V25*(Slot1_Cost-AA25)</f>
        <v>0</v>
      </c>
      <c r="AF25" s="20" t="n">
        <f aca="false">QL24</f>
        <v>13210.0173555726</v>
      </c>
      <c r="AG25" s="20" t="n">
        <f aca="false">IF(AND(Slot2_On=1,D25=Slot2_Age),1,0)</f>
        <v>0</v>
      </c>
      <c r="AH25" s="20" t="n">
        <f aca="false">IF(AND(Slot2_On=1,Slot2_Age&gt;D25),1,0)</f>
        <v>0</v>
      </c>
      <c r="AI25" s="20" t="n">
        <f aca="false">QQ24</f>
        <v>0</v>
      </c>
      <c r="AJ25" s="20" t="n">
        <f aca="false">AG25*MIN(Slot2_Cost,AI25)</f>
        <v>0</v>
      </c>
      <c r="AK25" s="20" t="n">
        <f aca="false">AG25*Slot2_SpendLike*MIN(Slot2_Cost-AJ25,AB25)</f>
        <v>0</v>
      </c>
      <c r="AL25" s="20" t="n">
        <f aca="false">AJ25+AK25</f>
        <v>0</v>
      </c>
      <c r="AM25" s="20" t="n">
        <f aca="false">AB25-AK25+AG25*IF(Slot2_SpendLike=1,AI25-AJ25,IF(Slot2_PotFree=1,AI25,0))</f>
        <v>16750.6316410774</v>
      </c>
      <c r="AN25" s="20" t="n">
        <f aca="false">AC25+AG25*Slot2_BufPot*AI25</f>
        <v>13210.0173555726</v>
      </c>
      <c r="AO25" s="20" t="n">
        <f aca="false">IF(AND(AG25=1,Slot2_IsMfree=1),IF(AL25&gt;=Slot2_Cost-1,0,MAX(0,AD25-AL25)),AD25)</f>
        <v>40019.8956528291</v>
      </c>
      <c r="AP25" s="20" t="n">
        <f aca="false">AG25*(Slot2_Cost-AL25)</f>
        <v>0</v>
      </c>
      <c r="AQ25" s="20" t="n">
        <f aca="false">IF(AND(Slot3_On=1,D25=Slot3_Age),1,0)</f>
        <v>0</v>
      </c>
      <c r="AR25" s="20" t="n">
        <f aca="false">IF(AND(Slot3_On=1,Slot3_Age&gt;D25),1,0)</f>
        <v>0</v>
      </c>
      <c r="AS25" s="20" t="n">
        <f aca="false">QU24</f>
        <v>0</v>
      </c>
      <c r="AT25" s="20" t="n">
        <f aca="false">AQ25*MIN(Slot3_Cost,AS25)</f>
        <v>0</v>
      </c>
      <c r="AU25" s="20" t="n">
        <f aca="false">AQ25*Slot3_SpendLike*MIN(Slot3_Cost-AT25,AM25)</f>
        <v>0</v>
      </c>
      <c r="AV25" s="20" t="n">
        <f aca="false">AT25+AU25</f>
        <v>0</v>
      </c>
      <c r="AW25" s="20" t="n">
        <f aca="false">AM25-AU25+AQ25*IF(Slot3_SpendLike=1,AS25-AT25,IF(Slot3_PotFree=1,AS25,0))</f>
        <v>16750.6316410774</v>
      </c>
      <c r="AX25" s="20" t="n">
        <f aca="false">AN25+AQ25*Slot3_BufPot*AS25</f>
        <v>13210.0173555726</v>
      </c>
      <c r="AY25" s="20" t="n">
        <f aca="false">IF(AND(AQ25=1,Slot3_IsMfree=1),IF(AV25&gt;=Slot3_Cost-1,0,MAX(0,AO25-AV25)),AO25)</f>
        <v>40019.8956528291</v>
      </c>
      <c r="AZ25" s="20" t="n">
        <f aca="false">AQ25*(Slot3_Cost-AV25)</f>
        <v>0</v>
      </c>
      <c r="BA25" s="20" t="n">
        <f aca="false">IF(AND(Slot4_On=1,D25=Slot4_Age),1,0)</f>
        <v>1</v>
      </c>
      <c r="BB25" s="20" t="n">
        <f aca="false">IF(AND(Slot4_On=1,Slot4_Age&gt;D25),1,0)</f>
        <v>0</v>
      </c>
      <c r="BC25" s="20" t="n">
        <f aca="false">QY24</f>
        <v>40019.8956528291</v>
      </c>
      <c r="BD25" s="20" t="n">
        <f aca="false">BA25*MIN(Slot4_Cost,BC25)</f>
        <v>40019.8956528291</v>
      </c>
      <c r="BE25" s="20" t="n">
        <f aca="false">BA25*Slot4_SpendLike*MIN(Slot4_Cost-BD25,AW25)</f>
        <v>0</v>
      </c>
      <c r="BF25" s="20" t="n">
        <f aca="false">BD25+BE25</f>
        <v>40019.8956528291</v>
      </c>
      <c r="BG25" s="20" t="n">
        <f aca="false">AW25-BE25+BA25*IF(Slot4_SpendLike=1,BC25-BD25,IF(Slot4_PotFree=1,BC25,0))</f>
        <v>16750.6316410774</v>
      </c>
      <c r="BH25" s="20" t="n">
        <f aca="false">AX25+BA25*Slot4_BufPot*BC25</f>
        <v>13210.0173555726</v>
      </c>
      <c r="BI25" s="20" t="n">
        <f aca="false">IF(AND(BA25=1,Slot4_IsMfree=1),IF(BF25&gt;=Slot4_Cost-1,0,MAX(0,AY25-BF25)),AY25)</f>
        <v>0</v>
      </c>
      <c r="BJ25" s="20" t="n">
        <f aca="false">BA25*(Slot4_Cost-BF25)</f>
        <v>0</v>
      </c>
      <c r="BK25" s="20" t="n">
        <f aca="false">IF(AND(Slot5_On=1,D25=Slot5_Age),1,0)</f>
        <v>0</v>
      </c>
      <c r="BL25" s="20" t="n">
        <f aca="false">IF(AND(Slot5_On=1,Slot5_Age&gt;D25),1,0)</f>
        <v>0</v>
      </c>
      <c r="BM25" s="20" t="n">
        <f aca="false">RC24</f>
        <v>0</v>
      </c>
      <c r="BN25" s="20" t="n">
        <f aca="false">BK25*MIN(Slot5_Cost,BM25)</f>
        <v>0</v>
      </c>
      <c r="BO25" s="20" t="n">
        <f aca="false">BK25*Slot5_SpendLike*MIN(Slot5_Cost-BN25,BG25)</f>
        <v>0</v>
      </c>
      <c r="BP25" s="20" t="n">
        <f aca="false">BN25+BO25</f>
        <v>0</v>
      </c>
      <c r="BQ25" s="20" t="n">
        <f aca="false">BG25-BO25+BK25*IF(Slot5_SpendLike=1,BM25-BN25,IF(Slot5_PotFree=1,BM25,0))</f>
        <v>16750.6316410774</v>
      </c>
      <c r="BR25" s="20" t="n">
        <f aca="false">BH25+BK25*Slot5_BufPot*BM25</f>
        <v>13210.0173555726</v>
      </c>
      <c r="BS25" s="20" t="n">
        <f aca="false">IF(AND(BK25=1,Slot5_IsMfree=1),IF(BP25&gt;=Slot5_Cost-1,0,MAX(0,BI25-BP25)),BI25)</f>
        <v>0</v>
      </c>
      <c r="BT25" s="20" t="n">
        <f aca="false">BK25*(Slot5_Cost-BP25)</f>
        <v>0</v>
      </c>
      <c r="BU25" s="20" t="n">
        <f aca="false">IF(AND(Slot6_On=1,D25=Slot6_Age),1,0)</f>
        <v>0</v>
      </c>
      <c r="BV25" s="20" t="n">
        <f aca="false">IF(AND(Slot6_On=1,Slot6_Age&gt;D25),1,0)</f>
        <v>0</v>
      </c>
      <c r="BW25" s="20" t="n">
        <f aca="false">RG24</f>
        <v>0</v>
      </c>
      <c r="BX25" s="20" t="n">
        <f aca="false">BU25*MIN(Slot6_Cost,BW25)</f>
        <v>0</v>
      </c>
      <c r="BY25" s="20" t="n">
        <f aca="false">BU25*Slot6_SpendLike*MIN(Slot6_Cost-BX25,BQ25)</f>
        <v>0</v>
      </c>
      <c r="BZ25" s="20" t="n">
        <f aca="false">BX25+BY25</f>
        <v>0</v>
      </c>
      <c r="CA25" s="20" t="n">
        <f aca="false">BQ25-BY25+BU25*IF(Slot6_SpendLike=1,BW25-BX25,IF(Slot6_PotFree=1,BW25,0))</f>
        <v>16750.6316410774</v>
      </c>
      <c r="CB25" s="20" t="n">
        <f aca="false">BR25+BU25*Slot6_BufPot*BW25</f>
        <v>13210.0173555726</v>
      </c>
      <c r="CC25" s="20" t="n">
        <f aca="false">IF(AND(BU25=1,Slot6_IsMfree=1),IF(BZ25&gt;=Slot6_Cost-1,0,MAX(0,BS25-BZ25)),BS25)</f>
        <v>0</v>
      </c>
      <c r="CD25" s="20" t="n">
        <f aca="false">BU25*(Slot6_Cost-BZ25)</f>
        <v>0</v>
      </c>
      <c r="CE25" s="20" t="n">
        <f aca="false">IF(AND(Slot7_On=1,D25=Slot7_Age),1,0)</f>
        <v>0</v>
      </c>
      <c r="CF25" s="20" t="n">
        <f aca="false">IF(AND(Slot7_On=1,Slot7_Age&gt;D25),1,0)</f>
        <v>0</v>
      </c>
      <c r="CG25" s="20" t="n">
        <f aca="false">RK24</f>
        <v>0</v>
      </c>
      <c r="CH25" s="20" t="n">
        <f aca="false">CE25*MIN(Slot7_Cost,CG25)</f>
        <v>0</v>
      </c>
      <c r="CI25" s="20" t="n">
        <f aca="false">CE25*Slot7_SpendLike*MIN(Slot7_Cost-CH25,CA25)</f>
        <v>0</v>
      </c>
      <c r="CJ25" s="20" t="n">
        <f aca="false">CH25+CI25</f>
        <v>0</v>
      </c>
      <c r="CK25" s="20" t="n">
        <f aca="false">CA25-CI25+CE25*IF(Slot7_SpendLike=1,CG25-CH25,IF(Slot7_PotFree=1,CG25,0))</f>
        <v>16750.6316410774</v>
      </c>
      <c r="CL25" s="20" t="n">
        <f aca="false">CB25+CE25*Slot7_BufPot*CG25</f>
        <v>13210.0173555726</v>
      </c>
      <c r="CM25" s="20" t="n">
        <f aca="false">IF(AND(CE25=1,Slot7_IsMfree=1),IF(CJ25&gt;=Slot7_Cost-1,0,MAX(0,CC25-CJ25)),CC25)</f>
        <v>0</v>
      </c>
      <c r="CN25" s="20" t="n">
        <f aca="false">CE25*(Slot7_Cost-CJ25)</f>
        <v>0</v>
      </c>
      <c r="CO25" s="20" t="n">
        <f aca="false">IF(AND(Slot8_On=1,D25=Slot8_Age),1,0)</f>
        <v>0</v>
      </c>
      <c r="CP25" s="20" t="n">
        <f aca="false">IF(AND(Slot8_On=1,Slot8_Age&gt;D25),1,0)</f>
        <v>0</v>
      </c>
      <c r="CQ25" s="20" t="n">
        <f aca="false">RO24</f>
        <v>0</v>
      </c>
      <c r="CR25" s="20" t="n">
        <f aca="false">CO25*MIN(Slot8_Cost,CQ25)</f>
        <v>0</v>
      </c>
      <c r="CS25" s="20" t="n">
        <f aca="false">CO25*Slot8_SpendLike*MIN(Slot8_Cost-CR25,CK25)</f>
        <v>0</v>
      </c>
      <c r="CT25" s="20" t="n">
        <f aca="false">CR25+CS25</f>
        <v>0</v>
      </c>
      <c r="CU25" s="20" t="n">
        <f aca="false">CK25-CS25+CO25*IF(Slot8_SpendLike=1,CQ25-CR25,IF(Slot8_PotFree=1,CQ25,0))</f>
        <v>16750.6316410774</v>
      </c>
      <c r="CV25" s="20" t="n">
        <f aca="false">CL25+CO25*Slot8_BufPot*CQ25</f>
        <v>13210.0173555726</v>
      </c>
      <c r="CW25" s="20" t="n">
        <f aca="false">IF(AND(CO25=1,Slot8_IsMfree=1),IF(CT25&gt;=Slot8_Cost-1,0,MAX(0,CM25-CT25)),CM25)</f>
        <v>0</v>
      </c>
      <c r="CX25" s="20" t="n">
        <f aca="false">CO25*(Slot8_Cost-CT25)</f>
        <v>0</v>
      </c>
      <c r="CY25" s="20" t="n">
        <f aca="false">IF(AND(Slot9_On=1,D25=Slot9_Age),1,0)</f>
        <v>0</v>
      </c>
      <c r="CZ25" s="20" t="n">
        <f aca="false">IF(AND(Slot9_On=1,Slot9_Age&gt;D25),1,0)</f>
        <v>0</v>
      </c>
      <c r="DA25" s="20" t="n">
        <f aca="false">RS24</f>
        <v>0</v>
      </c>
      <c r="DB25" s="20" t="n">
        <f aca="false">CY25*MIN(Slot9_Cost,DA25)</f>
        <v>0</v>
      </c>
      <c r="DC25" s="20" t="n">
        <f aca="false">CY25*Slot9_SpendLike*MIN(Slot9_Cost-DB25,CU25)</f>
        <v>0</v>
      </c>
      <c r="DD25" s="20" t="n">
        <f aca="false">DB25+DC25</f>
        <v>0</v>
      </c>
      <c r="DE25" s="20" t="n">
        <f aca="false">CU25-DC25+CY25*IF(Slot9_SpendLike=1,DA25-DB25,IF(Slot9_PotFree=1,DA25,0))</f>
        <v>16750.6316410774</v>
      </c>
      <c r="DF25" s="20" t="n">
        <f aca="false">CV25+CY25*Slot9_BufPot*DA25</f>
        <v>13210.0173555726</v>
      </c>
      <c r="DG25" s="20" t="n">
        <f aca="false">IF(AND(CY25=1,Slot9_IsMfree=1),IF(DD25&gt;=Slot9_Cost-1,0,MAX(0,CW25-DD25)),CW25)</f>
        <v>0</v>
      </c>
      <c r="DH25" s="20" t="n">
        <f aca="false">CY25*(Slot9_Cost-DD25)</f>
        <v>0</v>
      </c>
      <c r="DI25" s="20" t="n">
        <f aca="false">IF(AND(Slot10_On=1,D25=Slot10_Age),1,0)</f>
        <v>0</v>
      </c>
      <c r="DJ25" s="20" t="n">
        <f aca="false">IF(AND(Slot10_On=1,Slot10_Age&gt;D25),1,0)</f>
        <v>0</v>
      </c>
      <c r="DK25" s="20" t="n">
        <f aca="false">RW24</f>
        <v>0</v>
      </c>
      <c r="DL25" s="20" t="n">
        <f aca="false">DI25*MIN(Slot10_Cost,DK25)</f>
        <v>0</v>
      </c>
      <c r="DM25" s="20" t="n">
        <f aca="false">DI25*Slot10_SpendLike*MIN(Slot10_Cost-DL25,DE25)</f>
        <v>0</v>
      </c>
      <c r="DN25" s="20" t="n">
        <f aca="false">DL25+DM25</f>
        <v>0</v>
      </c>
      <c r="DO25" s="20" t="n">
        <f aca="false">DE25-DM25+DI25*IF(Slot10_SpendLike=1,DK25-DL25,IF(Slot10_PotFree=1,DK25,0))</f>
        <v>16750.6316410774</v>
      </c>
      <c r="DP25" s="20" t="n">
        <f aca="false">DF25+DI25*Slot10_BufPot*DK25</f>
        <v>13210.0173555726</v>
      </c>
      <c r="DQ25" s="20" t="n">
        <f aca="false">IF(AND(DI25=1,Slot10_IsMfree=1),IF(DN25&gt;=Slot10_Cost-1,0,MAX(0,DG25-DN25)),DG25)</f>
        <v>0</v>
      </c>
      <c r="DR25" s="20" t="n">
        <f aca="false">DI25*(Slot10_Cost-DN25)</f>
        <v>0</v>
      </c>
      <c r="DS25" s="20" t="n">
        <f aca="false">IF(AND(Slot11_On=1,D25=Slot11_Age),1,0)</f>
        <v>0</v>
      </c>
      <c r="DT25" s="20" t="n">
        <f aca="false">IF(AND(Slot11_On=1,Slot11_Age&gt;D25),1,0)</f>
        <v>0</v>
      </c>
      <c r="DU25" s="20" t="n">
        <f aca="false">SA24</f>
        <v>0</v>
      </c>
      <c r="DV25" s="20" t="n">
        <f aca="false">DS25*MIN(Slot11_Cost,DU25)</f>
        <v>0</v>
      </c>
      <c r="DW25" s="20" t="n">
        <f aca="false">DS25*Slot11_SpendLike*MIN(Slot11_Cost-DV25,DO25)</f>
        <v>0</v>
      </c>
      <c r="DX25" s="20" t="n">
        <f aca="false">DV25+DW25</f>
        <v>0</v>
      </c>
      <c r="DY25" s="20" t="n">
        <f aca="false">DO25-DW25+DS25*IF(Slot11_SpendLike=1,DU25-DV25,IF(Slot11_PotFree=1,DU25,0))</f>
        <v>16750.6316410774</v>
      </c>
      <c r="DZ25" s="20" t="n">
        <f aca="false">DP25+DS25*Slot11_BufPot*DU25</f>
        <v>13210.0173555726</v>
      </c>
      <c r="EA25" s="20" t="n">
        <f aca="false">IF(AND(DS25=1,Slot11_IsMfree=1),IF(DX25&gt;=Slot11_Cost-1,0,MAX(0,DQ25-DX25)),DQ25)</f>
        <v>0</v>
      </c>
      <c r="EB25" s="20" t="n">
        <f aca="false">DS25*(Slot11_Cost-DX25)</f>
        <v>0</v>
      </c>
      <c r="EC25" s="20" t="n">
        <f aca="false">IF(AND(Slot12_On=1,D25=Slot12_Age),1,0)</f>
        <v>0</v>
      </c>
      <c r="ED25" s="20" t="n">
        <f aca="false">IF(AND(Slot12_On=1,Slot12_Age&gt;D25),1,0)</f>
        <v>0</v>
      </c>
      <c r="EE25" s="20" t="n">
        <f aca="false">SE24</f>
        <v>0</v>
      </c>
      <c r="EF25" s="20" t="n">
        <f aca="false">EC25*MIN(Slot12_Cost,EE25)</f>
        <v>0</v>
      </c>
      <c r="EG25" s="20" t="n">
        <f aca="false">EC25*Slot12_SpendLike*MIN(Slot12_Cost-EF25,DY25)</f>
        <v>0</v>
      </c>
      <c r="EH25" s="20" t="n">
        <f aca="false">EF25+EG25</f>
        <v>0</v>
      </c>
      <c r="EI25" s="20" t="n">
        <f aca="false">DY25-EG25+EC25*IF(Slot12_SpendLike=1,EE25-EF25,IF(Slot12_PotFree=1,EE25,0))</f>
        <v>16750.6316410774</v>
      </c>
      <c r="EJ25" s="20" t="n">
        <f aca="false">DZ25+EC25*Slot12_BufPot*EE25</f>
        <v>13210.0173555726</v>
      </c>
      <c r="EK25" s="20" t="n">
        <f aca="false">IF(AND(EC25=1,Slot12_IsMfree=1),IF(EH25&gt;=Slot12_Cost-1,0,MAX(0,EA25-EH25)),EA25)</f>
        <v>0</v>
      </c>
      <c r="EL25" s="20" t="n">
        <f aca="false">EC25*(Slot12_Cost-EH25)</f>
        <v>0</v>
      </c>
      <c r="EM25" s="20" t="n">
        <f aca="false">IF(AND(Slot13_On=1,D25=Slot13_Age),1,0)</f>
        <v>0</v>
      </c>
      <c r="EN25" s="20" t="n">
        <f aca="false">IF(AND(Slot13_On=1,Slot13_Age&gt;D25),1,0)</f>
        <v>0</v>
      </c>
      <c r="EO25" s="20" t="n">
        <f aca="false">SI24</f>
        <v>0</v>
      </c>
      <c r="EP25" s="20" t="n">
        <f aca="false">EM25*MIN(Slot13_Cost,EO25)</f>
        <v>0</v>
      </c>
      <c r="EQ25" s="20" t="n">
        <f aca="false">EM25*Slot13_SpendLike*MIN(Slot13_Cost-EP25,EI25)</f>
        <v>0</v>
      </c>
      <c r="ER25" s="20" t="n">
        <f aca="false">EP25+EQ25</f>
        <v>0</v>
      </c>
      <c r="ES25" s="20" t="n">
        <f aca="false">EI25-EQ25+EM25*IF(Slot13_SpendLike=1,EO25-EP25,IF(Slot13_PotFree=1,EO25,0))</f>
        <v>16750.6316410774</v>
      </c>
      <c r="ET25" s="20" t="n">
        <f aca="false">EJ25+EM25*Slot13_BufPot*EO25</f>
        <v>13210.0173555726</v>
      </c>
      <c r="EU25" s="20" t="n">
        <f aca="false">IF(AND(EM25=1,Slot13_IsMfree=1),IF(ER25&gt;=Slot13_Cost-1,0,MAX(0,EK25-ER25)),EK25)</f>
        <v>0</v>
      </c>
      <c r="EV25" s="20" t="n">
        <f aca="false">EM25*(Slot13_Cost-ER25)</f>
        <v>0</v>
      </c>
      <c r="EW25" s="20" t="n">
        <f aca="false">IF(AND(Slot14_On=1,D25=Slot14_Age),1,0)</f>
        <v>0</v>
      </c>
      <c r="EX25" s="20" t="n">
        <f aca="false">IF(AND(Slot14_On=1,Slot14_Age&gt;D25),1,0)</f>
        <v>0</v>
      </c>
      <c r="EY25" s="20" t="n">
        <f aca="false">SM24</f>
        <v>0</v>
      </c>
      <c r="EZ25" s="20" t="n">
        <f aca="false">EW25*MIN(Slot14_Cost,EY25)</f>
        <v>0</v>
      </c>
      <c r="FA25" s="20" t="n">
        <f aca="false">EW25*Slot14_SpendLike*MIN(Slot14_Cost-EZ25,ES25)</f>
        <v>0</v>
      </c>
      <c r="FB25" s="20" t="n">
        <f aca="false">EZ25+FA25</f>
        <v>0</v>
      </c>
      <c r="FC25" s="20" t="n">
        <f aca="false">ES25-FA25+EW25*IF(Slot14_SpendLike=1,EY25-EZ25,IF(Slot14_PotFree=1,EY25,0))</f>
        <v>16750.6316410774</v>
      </c>
      <c r="FD25" s="20" t="n">
        <f aca="false">ET25+EW25*Slot14_BufPot*EY25</f>
        <v>13210.0173555726</v>
      </c>
      <c r="FE25" s="20" t="n">
        <f aca="false">IF(AND(EW25=1,Slot14_IsMfree=1),IF(FB25&gt;=Slot14_Cost-1,0,MAX(0,EU25-FB25)),EU25)</f>
        <v>0</v>
      </c>
      <c r="FF25" s="20" t="n">
        <f aca="false">EW25*(Slot14_Cost-FB25)</f>
        <v>0</v>
      </c>
      <c r="FG25" s="20" t="n">
        <f aca="false">IF(AND(Slot15_On=1,D25=Slot15_Age),1,0)</f>
        <v>0</v>
      </c>
      <c r="FH25" s="20" t="n">
        <f aca="false">IF(AND(Slot15_On=1,Slot15_Age&gt;D25),1,0)</f>
        <v>0</v>
      </c>
      <c r="FI25" s="20" t="n">
        <f aca="false">SQ24</f>
        <v>0</v>
      </c>
      <c r="FJ25" s="20" t="n">
        <f aca="false">FG25*MIN(Slot15_Cost,FI25)</f>
        <v>0</v>
      </c>
      <c r="FK25" s="20" t="n">
        <f aca="false">FG25*Slot15_SpendLike*MIN(Slot15_Cost-FJ25,FC25)</f>
        <v>0</v>
      </c>
      <c r="FL25" s="20" t="n">
        <f aca="false">FJ25+FK25</f>
        <v>0</v>
      </c>
      <c r="FM25" s="20" t="n">
        <f aca="false">FC25-FK25+FG25*IF(Slot15_SpendLike=1,FI25-FJ25,IF(Slot15_PotFree=1,FI25,0))</f>
        <v>16750.6316410774</v>
      </c>
      <c r="FN25" s="20" t="n">
        <f aca="false">FD25+FG25*Slot15_BufPot*FI25</f>
        <v>13210.0173555726</v>
      </c>
      <c r="FO25" s="20" t="n">
        <f aca="false">IF(AND(FG25=1,Slot15_IsMfree=1),IF(FL25&gt;=Slot15_Cost-1,0,MAX(0,FE25-FL25)),FE25)</f>
        <v>0</v>
      </c>
      <c r="FP25" s="20" t="n">
        <f aca="false">FG25*(Slot15_Cost-FL25)</f>
        <v>0</v>
      </c>
      <c r="FQ25" s="20" t="n">
        <f aca="false">IF(AND(Slot16_On=1,D25=Slot16_Age),1,0)</f>
        <v>0</v>
      </c>
      <c r="FR25" s="20" t="n">
        <f aca="false">IF(AND(Slot16_On=1,Slot16_Age&gt;D25),1,0)</f>
        <v>0</v>
      </c>
      <c r="FS25" s="20" t="n">
        <f aca="false">SU24</f>
        <v>0</v>
      </c>
      <c r="FT25" s="20" t="n">
        <f aca="false">FQ25*MIN(Slot16_Cost,FS25)</f>
        <v>0</v>
      </c>
      <c r="FU25" s="20" t="n">
        <f aca="false">FQ25*Slot16_SpendLike*MIN(Slot16_Cost-FT25,FM25)</f>
        <v>0</v>
      </c>
      <c r="FV25" s="20" t="n">
        <f aca="false">FT25+FU25</f>
        <v>0</v>
      </c>
      <c r="FW25" s="20" t="n">
        <f aca="false">FM25-FU25+FQ25*IF(Slot16_SpendLike=1,FS25-FT25,IF(Slot16_PotFree=1,FS25,0))</f>
        <v>16750.6316410774</v>
      </c>
      <c r="FX25" s="20" t="n">
        <f aca="false">FN25+FQ25*Slot16_BufPot*FS25</f>
        <v>13210.0173555726</v>
      </c>
      <c r="FY25" s="20" t="n">
        <f aca="false">IF(AND(FQ25=1,Slot16_IsMfree=1),IF(FV25&gt;=Slot16_Cost-1,0,MAX(0,FO25-FV25)),FO25)</f>
        <v>0</v>
      </c>
      <c r="FZ25" s="20" t="n">
        <f aca="false">FQ25*(Slot16_Cost-FV25)</f>
        <v>0</v>
      </c>
      <c r="GA25" s="20" t="n">
        <f aca="false">IF(AND(Slot17_On=1,D25=Slot17_Age),1,0)</f>
        <v>0</v>
      </c>
      <c r="GB25" s="20" t="n">
        <f aca="false">IF(AND(Slot17_On=1,Slot17_Age&gt;D25),1,0)</f>
        <v>0</v>
      </c>
      <c r="GC25" s="20" t="n">
        <f aca="false">SY24</f>
        <v>0</v>
      </c>
      <c r="GD25" s="20" t="n">
        <f aca="false">GA25*MIN(Slot17_Cost,GC25)</f>
        <v>0</v>
      </c>
      <c r="GE25" s="20" t="n">
        <f aca="false">GA25*Slot17_SpendLike*MIN(Slot17_Cost-GD25,FW25)</f>
        <v>0</v>
      </c>
      <c r="GF25" s="20" t="n">
        <f aca="false">GD25+GE25</f>
        <v>0</v>
      </c>
      <c r="GG25" s="20" t="n">
        <f aca="false">FW25-GE25+GA25*IF(Slot17_SpendLike=1,GC25-GD25,IF(Slot17_PotFree=1,GC25,0))</f>
        <v>16750.6316410774</v>
      </c>
      <c r="GH25" s="20" t="n">
        <f aca="false">FX25+GA25*Slot17_BufPot*GC25</f>
        <v>13210.0173555726</v>
      </c>
      <c r="GI25" s="20" t="n">
        <f aca="false">IF(AND(GA25=1,Slot17_IsMfree=1),IF(GF25&gt;=Slot17_Cost-1,0,MAX(0,FY25-GF25)),FY25)</f>
        <v>0</v>
      </c>
      <c r="GJ25" s="20" t="n">
        <f aca="false">GA25*(Slot17_Cost-GF25)</f>
        <v>0</v>
      </c>
      <c r="GK25" s="20" t="n">
        <f aca="false">IF(AND(Slot18_On=1,D25=Slot18_Age),1,0)</f>
        <v>0</v>
      </c>
      <c r="GL25" s="20" t="n">
        <f aca="false">IF(AND(Slot18_On=1,Slot18_Age&gt;D25),1,0)</f>
        <v>0</v>
      </c>
      <c r="GM25" s="20" t="n">
        <f aca="false">TC24</f>
        <v>0</v>
      </c>
      <c r="GN25" s="20" t="n">
        <f aca="false">GK25*MIN(Slot18_Cost,GM25)</f>
        <v>0</v>
      </c>
      <c r="GO25" s="20" t="n">
        <f aca="false">GK25*Slot18_SpendLike*MIN(Slot18_Cost-GN25,GG25)</f>
        <v>0</v>
      </c>
      <c r="GP25" s="20" t="n">
        <f aca="false">GN25+GO25</f>
        <v>0</v>
      </c>
      <c r="GQ25" s="20" t="n">
        <f aca="false">GG25-GO25+GK25*IF(Slot18_SpendLike=1,GM25-GN25,IF(Slot18_PotFree=1,GM25,0))</f>
        <v>16750.6316410774</v>
      </c>
      <c r="GR25" s="20" t="n">
        <f aca="false">GH25+GK25*Slot18_BufPot*GM25</f>
        <v>13210.0173555726</v>
      </c>
      <c r="GS25" s="20" t="n">
        <f aca="false">IF(AND(GK25=1,Slot18_IsMfree=1),IF(GP25&gt;=Slot18_Cost-1,0,MAX(0,GI25-GP25)),GI25)</f>
        <v>0</v>
      </c>
      <c r="GT25" s="20" t="n">
        <f aca="false">GK25*(Slot18_Cost-GP25)</f>
        <v>0</v>
      </c>
      <c r="GU25" s="20" t="n">
        <f aca="false">IF(AND(Slot19_On=1,D25=Slot19_Age),1,0)</f>
        <v>0</v>
      </c>
      <c r="GV25" s="20" t="n">
        <f aca="false">IF(AND(Slot19_On=1,Slot19_Age&gt;D25),1,0)</f>
        <v>0</v>
      </c>
      <c r="GW25" s="20" t="n">
        <f aca="false">TG24</f>
        <v>0</v>
      </c>
      <c r="GX25" s="20" t="n">
        <f aca="false">GU25*MIN(Slot19_Cost,GW25)</f>
        <v>0</v>
      </c>
      <c r="GY25" s="20" t="n">
        <f aca="false">GU25*Slot19_SpendLike*MIN(Slot19_Cost-GX25,GQ25)</f>
        <v>0</v>
      </c>
      <c r="GZ25" s="20" t="n">
        <f aca="false">GX25+GY25</f>
        <v>0</v>
      </c>
      <c r="HA25" s="20" t="n">
        <f aca="false">GQ25-GY25+GU25*IF(Slot19_SpendLike=1,GW25-GX25,IF(Slot19_PotFree=1,GW25,0))</f>
        <v>16750.6316410774</v>
      </c>
      <c r="HB25" s="20" t="n">
        <f aca="false">GR25+GU25*Slot19_BufPot*GW25</f>
        <v>13210.0173555726</v>
      </c>
      <c r="HC25" s="20" t="n">
        <f aca="false">IF(AND(GU25=1,Slot19_IsMfree=1),IF(GZ25&gt;=Slot19_Cost-1,0,MAX(0,GS25-GZ25)),GS25)</f>
        <v>0</v>
      </c>
      <c r="HD25" s="20" t="n">
        <f aca="false">GU25*(Slot19_Cost-GZ25)</f>
        <v>0</v>
      </c>
      <c r="HE25" s="20" t="n">
        <f aca="false">IF(AND(Slot20_On=1,D25=Slot20_Age),1,0)</f>
        <v>0</v>
      </c>
      <c r="HF25" s="20" t="n">
        <f aca="false">IF(AND(Slot20_On=1,Slot20_Age&gt;D25),1,0)</f>
        <v>0</v>
      </c>
      <c r="HG25" s="20" t="n">
        <f aca="false">TK24</f>
        <v>0</v>
      </c>
      <c r="HH25" s="20" t="n">
        <f aca="false">HE25*MIN(Slot20_Cost,HG25)</f>
        <v>0</v>
      </c>
      <c r="HI25" s="20" t="n">
        <f aca="false">HE25*Slot20_SpendLike*MIN(Slot20_Cost-HH25,HA25)</f>
        <v>0</v>
      </c>
      <c r="HJ25" s="20" t="n">
        <f aca="false">HH25+HI25</f>
        <v>0</v>
      </c>
      <c r="HK25" s="20" t="n">
        <f aca="false">HA25-HI25+HE25*IF(Slot20_SpendLike=1,HG25-HH25,IF(Slot20_PotFree=1,HG25,0))</f>
        <v>16750.6316410774</v>
      </c>
      <c r="HL25" s="20" t="n">
        <f aca="false">HB25+HE25*Slot20_BufPot*HG25</f>
        <v>13210.0173555726</v>
      </c>
      <c r="HM25" s="20" t="n">
        <f aca="false">IF(AND(HE25=1,Slot20_IsMfree=1),IF(HJ25&gt;=Slot20_Cost-1,0,MAX(0,HC25-HJ25)),HC25)</f>
        <v>0</v>
      </c>
      <c r="HN25" s="20" t="n">
        <f aca="false">HE25*(Slot20_Cost-HJ25)</f>
        <v>0</v>
      </c>
      <c r="HO25" s="20" t="n">
        <f aca="false">V25*Slot1_SpendLike*AA25+AG25*Slot2_SpendLike*AL25+AQ25*Slot3_SpendLike*AV25+BA25*Slot4_SpendLike*BF25+BK25*Slot5_SpendLike*BP25+BU25*Slot6_SpendLike*BZ25+CE25*Slot7_SpendLike*CJ25+CO25*Slot8_SpendLike*CT25+CY25*Slot9_SpendLike*DD25+DI25*Slot10_SpendLike*DN25+DS25*Slot11_SpendLike*DX25+EC25*Slot12_SpendLike*EH25+EM25*Slot13_SpendLike*ER25+EW25*Slot14_SpendLike*FB25+FG25*Slot15_SpendLike*FL25+FQ25*Slot16_SpendLike*FV25+GA25*Slot17_SpendLike*GF25+GK25*Slot18_SpendLike*GP25+GU25*Slot19_SpendLike*GZ25+HE25*Slot20_SpendLike*HJ25</f>
        <v>40019.8956528291</v>
      </c>
      <c r="HP25" s="20" t="n">
        <f aca="false">AE25+AP25+AZ25+BJ25+BT25+CD25+CN25+CX25+DH25+DR25+EB25+EL25+EV25+FF25+FP25+FZ25+GJ25+GT25+HD25+HN25</f>
        <v>0</v>
      </c>
      <c r="HQ25" s="20" t="n">
        <f aca="false">V25*Slot1_Cost+AG25*Slot2_Cost+AQ25*Slot3_Cost+BA25*Slot4_Cost+BK25*Slot5_Cost+BU25*Slot6_Cost+CE25*Slot7_Cost+CO25*Slot8_Cost+CY25*Slot9_Cost+DI25*Slot10_Cost+DS25*Slot11_Cost+EC25*Slot12_Cost+EM25*Slot13_Cost+EW25*Slot14_Cost+FG25*Slot15_Cost+FQ25*Slot16_Cost+GA25*Slot17_Cost+GK25*Slot18_Cost+GU25*Slot19_Cost+HE25*Slot20_Cost</f>
        <v>40019.8956528291</v>
      </c>
      <c r="HR25" s="20" t="n">
        <f aca="false">HM25</f>
        <v>0</v>
      </c>
      <c r="HS25" s="20" t="n">
        <f aca="false">H25-I25-S25</f>
        <v>20956.8224916349</v>
      </c>
      <c r="HT25" s="20" t="n">
        <f aca="false">IF(B25=0,IF(AND(Has_q6=1,In_q6=4),PR_ShareVaries*(MAX(0,HS25)/12),MIN(IF(Has_q6=1,CHOOSE(In_q6+1,PR_SaveB1,PR_SaveB2,PR_SaveB3,PR_SaveB4,0),AS_NoAnswer),AS_SaveShare*(MAX(0,HS25)/12))),HT24)</f>
        <v>67.3316893520437</v>
      </c>
      <c r="HU25" s="20" t="n">
        <f aca="false">IF(HS25&gt;=0,1,0)</f>
        <v>1</v>
      </c>
      <c r="HV25" s="20" t="n">
        <f aca="false">MAX(0,HS25/12/F25)</f>
        <v>1247.21483764573</v>
      </c>
      <c r="HW25" s="20" t="n">
        <f aca="false">IF(AND(Has_q6=1,In_q6=4),PR_ShareVaries*(HV25),MIN(IF(Has_q6=1,CHOOSE(In_q6+1,PR_SaveB1,PR_SaveB2,PR_SaveB3,PR_SaveB4,0),AS_NoAnswer),AS_SaveShare*(HV25)))</f>
        <v>500</v>
      </c>
      <c r="HX25" s="20" t="n">
        <f aca="false">IF(Has_saveM=1,IF(In_saveUp="Yes",1,IF(In_saveUp="No",0,IF(In_saveM&gt;=HT25-0.5,1,0))),0)</f>
        <v>0</v>
      </c>
      <c r="HY25" s="20" t="n">
        <f aca="false">IF(Has_saveM=1,MIN(HV25,IF(HX25=1,MAX(In_saveM,HW25),MIN(In_saveM,HW25))),HW25)</f>
        <v>500</v>
      </c>
      <c r="HZ25" s="20" t="n">
        <f aca="false">IF(G25=1,HY25*12*F25,0)</f>
        <v>8401.44851515455</v>
      </c>
      <c r="IA25" s="20" t="n">
        <f aca="false">MAX(0,HZ25+IF(AND(WI_Retire=0,WI_M&lt;0,G25=1),WI_M*12*F25,0))</f>
        <v>8401.44851515455</v>
      </c>
      <c r="IB25" s="20" t="n">
        <f aca="false">Slot1_IsWG*W25+Slot2_IsWG*AH25+Slot3_IsWG*AR25+Slot4_IsWG*BB25+Slot5_IsWG*BL25+Slot6_IsWG*BV25+Slot7_IsWG*CF25+Slot8_IsWG*CP25+Slot9_IsWG*CZ25+Slot10_IsWG*DJ25+Slot11_IsWG*DT25+Slot12_IsWG*ED25+Slot13_IsWG*EN25+Slot14_IsWG*EX25+Slot15_IsWG*FH25+Slot16_IsWG*FR25+Slot17_IsWG*GB25+Slot18_IsWG*GL25+Slot19_IsWG*GV25+Slot20_IsWG*HF25</f>
        <v>0</v>
      </c>
      <c r="IC25" s="20" t="n">
        <f aca="false">IF(AND(WI_Retire=0,WI_M&gt;0,G25=1,IB25&gt;=1),WI_M*12*F25,0)</f>
        <v>0</v>
      </c>
      <c r="ID25" s="20" t="n">
        <f aca="false">IF(HU25=1,MIN(IA25,HS25),0)</f>
        <v>8401.44851515455</v>
      </c>
      <c r="IE25" s="20" t="n">
        <f aca="false">IF(HU25=1,MIN(IC25,HS25-ID25),0)</f>
        <v>0</v>
      </c>
      <c r="IF25" s="20" t="n">
        <f aca="false">IF(W25=1,IF(ABS((1+AS_Wage)/(1+Slot1_Rate)-1)&lt;0.000000000001,(Slot1_Age-D25)*(1+Slot1_Rate)^(Slot1_Age-D25),(1+Slot1_Rate)^(Slot1_Age-D25)*(1-((1+AS_Wage)/(1+Slot1_Rate))^(Slot1_Age-D25))/(1-(1+AS_Wage)/(1+Slot1_Rate))),1)</f>
        <v>1</v>
      </c>
      <c r="IG25" s="20" t="n">
        <f aca="false">IF(AND(HU25=1,IE25&gt;0,Slot1_IsWG=1,W25=1),MAX(0,(Slot1_Cost-X25*(1+Slot1_Rate)^(Slot1_Age-D25))/IF25),0)</f>
        <v>0</v>
      </c>
      <c r="IH25" s="20" t="n">
        <f aca="false">IF(AND(HU25=1,IE25&gt;0,Slot1_IsWG=1,W25=1),MIN(IE25,IG25),0)</f>
        <v>0</v>
      </c>
      <c r="II25" s="20" t="n">
        <f aca="false">X25+IH25</f>
        <v>0</v>
      </c>
      <c r="IJ25" s="20" t="n">
        <f aca="false">IF(W25=1,MAX(0,(Slot1_Cost-II25*(1+Slot1_Rate)^(Slot1_Age-D25))/IF25),0)</f>
        <v>0</v>
      </c>
      <c r="IK25" s="20" t="n">
        <f aca="false">IF(W25=1,MAX(0,(Slot1_Cost-X25*(1+Slot1_Rate)^(Slot1_Age-D25))/IF25),0)</f>
        <v>0</v>
      </c>
      <c r="IL25" s="20" t="n">
        <f aca="false">IF(AND(HU25=1,W25=1),MIN(ID25,IJ25),0)</f>
        <v>0</v>
      </c>
      <c r="IM25" s="20" t="n">
        <f aca="false">ID25-IL25</f>
        <v>8401.44851515455</v>
      </c>
      <c r="IN25" s="20" t="n">
        <f aca="false">IF(AH25=1,IF(ABS((1+AS_Wage)/(1+Slot2_Rate)-1)&lt;0.000000000001,(Slot2_Age-D25)*(1+Slot2_Rate)^(Slot2_Age-D25),(1+Slot2_Rate)^(Slot2_Age-D25)*(1-((1+AS_Wage)/(1+Slot2_Rate))^(Slot2_Age-D25))/(1-(1+AS_Wage)/(1+Slot2_Rate))),1)</f>
        <v>1</v>
      </c>
      <c r="IO25" s="20" t="n">
        <f aca="false">IF(AND(HU25=1,IE25&gt;0,Slot2_IsWG=1,AH25=1),MAX(0,(Slot2_Cost-AI25*(1+Slot2_Rate)^(Slot2_Age-D25))/IN25),0)</f>
        <v>0</v>
      </c>
      <c r="IP25" s="20" t="n">
        <f aca="false">IF(AND(HU25=1,IE25&gt;0,Slot2_IsWG=1,AH25=1),MIN(IE25,IO25),0)</f>
        <v>0</v>
      </c>
      <c r="IQ25" s="20" t="n">
        <f aca="false">AI25+IP25</f>
        <v>0</v>
      </c>
      <c r="IR25" s="20" t="n">
        <f aca="false">IF(AH25=1,MAX(0,(Slot2_Cost-IQ25*(1+Slot2_Rate)^(Slot2_Age-D25))/IN25),0)</f>
        <v>0</v>
      </c>
      <c r="IS25" s="20" t="n">
        <f aca="false">IF(AH25=1,MAX(0,(Slot2_Cost-AI25*(1+Slot2_Rate)^(Slot2_Age-D25))/IN25),0)</f>
        <v>0</v>
      </c>
      <c r="IT25" s="20" t="n">
        <f aca="false">IF(AND(HU25=1,AH25=1),MIN(IM25,IR25),0)</f>
        <v>0</v>
      </c>
      <c r="IU25" s="20" t="n">
        <f aca="false">IM25-IT25</f>
        <v>8401.44851515455</v>
      </c>
      <c r="IV25" s="20" t="n">
        <f aca="false">IF(AR25=1,IF(ABS((1+AS_Wage)/(1+Slot3_Rate)-1)&lt;0.000000000001,(Slot3_Age-D25)*(1+Slot3_Rate)^(Slot3_Age-D25),(1+Slot3_Rate)^(Slot3_Age-D25)*(1-((1+AS_Wage)/(1+Slot3_Rate))^(Slot3_Age-D25))/(1-(1+AS_Wage)/(1+Slot3_Rate))),1)</f>
        <v>1</v>
      </c>
      <c r="IW25" s="20" t="n">
        <f aca="false">IF(AND(HU25=1,IE25&gt;0,Slot3_IsWG=1,AR25=1),MAX(0,(Slot3_Cost-AS25*(1+Slot3_Rate)^(Slot3_Age-D25))/IV25),0)</f>
        <v>0</v>
      </c>
      <c r="IX25" s="20" t="n">
        <f aca="false">IF(AND(HU25=1,IE25&gt;0,Slot3_IsWG=1,AR25=1),MIN(IE25,IW25),0)</f>
        <v>0</v>
      </c>
      <c r="IY25" s="20" t="n">
        <f aca="false">AS25+IX25</f>
        <v>0</v>
      </c>
      <c r="IZ25" s="20" t="n">
        <f aca="false">IF(AR25=1,MAX(0,(Slot3_Cost-IY25*(1+Slot3_Rate)^(Slot3_Age-D25))/IV25),0)</f>
        <v>0</v>
      </c>
      <c r="JA25" s="20" t="n">
        <f aca="false">IF(AR25=1,MAX(0,(Slot3_Cost-AS25*(1+Slot3_Rate)^(Slot3_Age-D25))/IV25),0)</f>
        <v>0</v>
      </c>
      <c r="JB25" s="20" t="n">
        <f aca="false">IF(AND(HU25=1,AR25=1),MIN(IU25,IZ25),0)</f>
        <v>0</v>
      </c>
      <c r="JC25" s="20" t="n">
        <f aca="false">IU25-JB25</f>
        <v>8401.44851515455</v>
      </c>
      <c r="JD25" s="20" t="n">
        <f aca="false">IF(BB25=1,IF(ABS((1+AS_Wage)/(1+Slot4_Rate)-1)&lt;0.000000000001,(Slot4_Age-D25)*(1+Slot4_Rate)^(Slot4_Age-D25),(1+Slot4_Rate)^(Slot4_Age-D25)*(1-((1+AS_Wage)/(1+Slot4_Rate))^(Slot4_Age-D25))/(1-(1+AS_Wage)/(1+Slot4_Rate))),1)</f>
        <v>1</v>
      </c>
      <c r="JE25" s="20" t="n">
        <f aca="false">IF(AND(HU25=1,IE25&gt;0,Slot4_IsWG=1,BB25=1),MAX(0,(Slot4_Cost-BC25*(1+Slot4_Rate)^(Slot4_Age-D25))/JD25),0)</f>
        <v>0</v>
      </c>
      <c r="JF25" s="20" t="n">
        <f aca="false">IF(AND(HU25=1,IE25&gt;0,Slot4_IsWG=1,BB25=1),MIN(IE25,JE25),0)</f>
        <v>0</v>
      </c>
      <c r="JG25" s="20" t="n">
        <f aca="false">BC25+JF25</f>
        <v>40019.8956528291</v>
      </c>
      <c r="JH25" s="20" t="n">
        <f aca="false">IF(BB25=1,MAX(0,(Slot4_Cost-JG25*(1+Slot4_Rate)^(Slot4_Age-D25))/JD25),0)</f>
        <v>0</v>
      </c>
      <c r="JI25" s="20" t="n">
        <f aca="false">IF(BB25=1,MAX(0,(Slot4_Cost-BC25*(1+Slot4_Rate)^(Slot4_Age-D25))/JD25),0)</f>
        <v>0</v>
      </c>
      <c r="JJ25" s="20" t="n">
        <f aca="false">IF(AND(HU25=1,BB25=1),MIN(JC25,JH25),0)</f>
        <v>0</v>
      </c>
      <c r="JK25" s="20" t="n">
        <f aca="false">JC25-JJ25</f>
        <v>8401.44851515455</v>
      </c>
      <c r="JL25" s="20" t="n">
        <f aca="false">IF(BL25=1,IF(ABS((1+AS_Wage)/(1+Slot5_Rate)-1)&lt;0.000000000001,(Slot5_Age-D25)*(1+Slot5_Rate)^(Slot5_Age-D25),(1+Slot5_Rate)^(Slot5_Age-D25)*(1-((1+AS_Wage)/(1+Slot5_Rate))^(Slot5_Age-D25))/(1-(1+AS_Wage)/(1+Slot5_Rate))),1)</f>
        <v>1</v>
      </c>
      <c r="JM25" s="20" t="n">
        <f aca="false">IF(AND(HU25=1,IE25&gt;0,Slot5_IsWG=1,BL25=1),MAX(0,(Slot5_Cost-BM25*(1+Slot5_Rate)^(Slot5_Age-D25))/JL25),0)</f>
        <v>0</v>
      </c>
      <c r="JN25" s="20" t="n">
        <f aca="false">IF(AND(HU25=1,IE25&gt;0,Slot5_IsWG=1,BL25=1),MIN(IE25,JM25),0)</f>
        <v>0</v>
      </c>
      <c r="JO25" s="20" t="n">
        <f aca="false">BM25+JN25</f>
        <v>0</v>
      </c>
      <c r="JP25" s="20" t="n">
        <f aca="false">IF(BL25=1,MAX(0,(Slot5_Cost-JO25*(1+Slot5_Rate)^(Slot5_Age-D25))/JL25),0)</f>
        <v>0</v>
      </c>
      <c r="JQ25" s="20" t="n">
        <f aca="false">IF(BL25=1,MAX(0,(Slot5_Cost-BM25*(1+Slot5_Rate)^(Slot5_Age-D25))/JL25),0)</f>
        <v>0</v>
      </c>
      <c r="JR25" s="20" t="n">
        <f aca="false">IF(AND(HU25=1,BL25=1),MIN(JK25,JP25),0)</f>
        <v>0</v>
      </c>
      <c r="JS25" s="20" t="n">
        <f aca="false">JK25-JR25</f>
        <v>8401.44851515455</v>
      </c>
      <c r="JT25" s="20" t="n">
        <f aca="false">IF(BV25=1,IF(ABS((1+AS_Wage)/(1+Slot6_Rate)-1)&lt;0.000000000001,(Slot6_Age-D25)*(1+Slot6_Rate)^(Slot6_Age-D25),(1+Slot6_Rate)^(Slot6_Age-D25)*(1-((1+AS_Wage)/(1+Slot6_Rate))^(Slot6_Age-D25))/(1-(1+AS_Wage)/(1+Slot6_Rate))),1)</f>
        <v>1</v>
      </c>
      <c r="JU25" s="20" t="n">
        <f aca="false">IF(AND(HU25=1,IE25&gt;0,Slot6_IsWG=1,BV25=1),MAX(0,(Slot6_Cost-BW25*(1+Slot6_Rate)^(Slot6_Age-D25))/JT25),0)</f>
        <v>0</v>
      </c>
      <c r="JV25" s="20" t="n">
        <f aca="false">IF(AND(HU25=1,IE25&gt;0,Slot6_IsWG=1,BV25=1),MIN(IE25,JU25),0)</f>
        <v>0</v>
      </c>
      <c r="JW25" s="20" t="n">
        <f aca="false">BW25+JV25</f>
        <v>0</v>
      </c>
      <c r="JX25" s="20" t="n">
        <f aca="false">IF(BV25=1,MAX(0,(Slot6_Cost-JW25*(1+Slot6_Rate)^(Slot6_Age-D25))/JT25),0)</f>
        <v>0</v>
      </c>
      <c r="JY25" s="20" t="n">
        <f aca="false">IF(BV25=1,MAX(0,(Slot6_Cost-BW25*(1+Slot6_Rate)^(Slot6_Age-D25))/JT25),0)</f>
        <v>0</v>
      </c>
      <c r="JZ25" s="20" t="n">
        <f aca="false">IF(AND(HU25=1,BV25=1),MIN(JS25,JX25),0)</f>
        <v>0</v>
      </c>
      <c r="KA25" s="20" t="n">
        <f aca="false">JS25-JZ25</f>
        <v>8401.44851515455</v>
      </c>
      <c r="KB25" s="20" t="n">
        <f aca="false">IF(CF25=1,IF(ABS((1+AS_Wage)/(1+Slot7_Rate)-1)&lt;0.000000000001,(Slot7_Age-D25)*(1+Slot7_Rate)^(Slot7_Age-D25),(1+Slot7_Rate)^(Slot7_Age-D25)*(1-((1+AS_Wage)/(1+Slot7_Rate))^(Slot7_Age-D25))/(1-(1+AS_Wage)/(1+Slot7_Rate))),1)</f>
        <v>1</v>
      </c>
      <c r="KC25" s="20" t="n">
        <f aca="false">IF(AND(HU25=1,IE25&gt;0,Slot7_IsWG=1,CF25=1),MAX(0,(Slot7_Cost-CG25*(1+Slot7_Rate)^(Slot7_Age-D25))/KB25),0)</f>
        <v>0</v>
      </c>
      <c r="KD25" s="20" t="n">
        <f aca="false">IF(AND(HU25=1,IE25&gt;0,Slot7_IsWG=1,CF25=1),MIN(IE25,KC25),0)</f>
        <v>0</v>
      </c>
      <c r="KE25" s="20" t="n">
        <f aca="false">CG25+KD25</f>
        <v>0</v>
      </c>
      <c r="KF25" s="20" t="n">
        <f aca="false">IF(CF25=1,MAX(0,(Slot7_Cost-KE25*(1+Slot7_Rate)^(Slot7_Age-D25))/KB25),0)</f>
        <v>0</v>
      </c>
      <c r="KG25" s="20" t="n">
        <f aca="false">IF(CF25=1,MAX(0,(Slot7_Cost-CG25*(1+Slot7_Rate)^(Slot7_Age-D25))/KB25),0)</f>
        <v>0</v>
      </c>
      <c r="KH25" s="20" t="n">
        <f aca="false">IF(AND(HU25=1,CF25=1),MIN(KA25,KF25),0)</f>
        <v>0</v>
      </c>
      <c r="KI25" s="20" t="n">
        <f aca="false">KA25-KH25</f>
        <v>8401.44851515455</v>
      </c>
      <c r="KJ25" s="20" t="n">
        <f aca="false">IF(CP25=1,IF(ABS((1+AS_Wage)/(1+Slot8_Rate)-1)&lt;0.000000000001,(Slot8_Age-D25)*(1+Slot8_Rate)^(Slot8_Age-D25),(1+Slot8_Rate)^(Slot8_Age-D25)*(1-((1+AS_Wage)/(1+Slot8_Rate))^(Slot8_Age-D25))/(1-(1+AS_Wage)/(1+Slot8_Rate))),1)</f>
        <v>1</v>
      </c>
      <c r="KK25" s="20" t="n">
        <f aca="false">IF(AND(HU25=1,IE25&gt;0,Slot8_IsWG=1,CP25=1),MAX(0,(Slot8_Cost-CQ25*(1+Slot8_Rate)^(Slot8_Age-D25))/KJ25),0)</f>
        <v>0</v>
      </c>
      <c r="KL25" s="20" t="n">
        <f aca="false">IF(AND(HU25=1,IE25&gt;0,Slot8_IsWG=1,CP25=1),MIN(IE25,KK25),0)</f>
        <v>0</v>
      </c>
      <c r="KM25" s="20" t="n">
        <f aca="false">CQ25+KL25</f>
        <v>0</v>
      </c>
      <c r="KN25" s="20" t="n">
        <f aca="false">IF(CP25=1,MAX(0,(Slot8_Cost-KM25*(1+Slot8_Rate)^(Slot8_Age-D25))/KJ25),0)</f>
        <v>0</v>
      </c>
      <c r="KO25" s="20" t="n">
        <f aca="false">IF(CP25=1,MAX(0,(Slot8_Cost-CQ25*(1+Slot8_Rate)^(Slot8_Age-D25))/KJ25),0)</f>
        <v>0</v>
      </c>
      <c r="KP25" s="20" t="n">
        <f aca="false">IF(AND(HU25=1,CP25=1),MIN(KI25,KN25),0)</f>
        <v>0</v>
      </c>
      <c r="KQ25" s="20" t="n">
        <f aca="false">KI25-KP25</f>
        <v>8401.44851515455</v>
      </c>
      <c r="KR25" s="20" t="n">
        <f aca="false">IF(CZ25=1,IF(ABS((1+AS_Wage)/(1+Slot9_Rate)-1)&lt;0.000000000001,(Slot9_Age-D25)*(1+Slot9_Rate)^(Slot9_Age-D25),(1+Slot9_Rate)^(Slot9_Age-D25)*(1-((1+AS_Wage)/(1+Slot9_Rate))^(Slot9_Age-D25))/(1-(1+AS_Wage)/(1+Slot9_Rate))),1)</f>
        <v>1</v>
      </c>
      <c r="KS25" s="20" t="n">
        <f aca="false">IF(AND(HU25=1,IE25&gt;0,Slot9_IsWG=1,CZ25=1),MAX(0,(Slot9_Cost-DA25*(1+Slot9_Rate)^(Slot9_Age-D25))/KR25),0)</f>
        <v>0</v>
      </c>
      <c r="KT25" s="20" t="n">
        <f aca="false">IF(AND(HU25=1,IE25&gt;0,Slot9_IsWG=1,CZ25=1),MIN(IE25,KS25),0)</f>
        <v>0</v>
      </c>
      <c r="KU25" s="20" t="n">
        <f aca="false">DA25+KT25</f>
        <v>0</v>
      </c>
      <c r="KV25" s="20" t="n">
        <f aca="false">IF(CZ25=1,MAX(0,(Slot9_Cost-KU25*(1+Slot9_Rate)^(Slot9_Age-D25))/KR25),0)</f>
        <v>0</v>
      </c>
      <c r="KW25" s="20" t="n">
        <f aca="false">IF(CZ25=1,MAX(0,(Slot9_Cost-DA25*(1+Slot9_Rate)^(Slot9_Age-D25))/KR25),0)</f>
        <v>0</v>
      </c>
      <c r="KX25" s="20" t="n">
        <f aca="false">IF(AND(HU25=1,CZ25=1),MIN(KQ25,KV25),0)</f>
        <v>0</v>
      </c>
      <c r="KY25" s="20" t="n">
        <f aca="false">KQ25-KX25</f>
        <v>8401.44851515455</v>
      </c>
      <c r="KZ25" s="20" t="n">
        <f aca="false">IF(DJ25=1,IF(ABS((1+AS_Wage)/(1+Slot10_Rate)-1)&lt;0.000000000001,(Slot10_Age-D25)*(1+Slot10_Rate)^(Slot10_Age-D25),(1+Slot10_Rate)^(Slot10_Age-D25)*(1-((1+AS_Wage)/(1+Slot10_Rate))^(Slot10_Age-D25))/(1-(1+AS_Wage)/(1+Slot10_Rate))),1)</f>
        <v>1</v>
      </c>
      <c r="LA25" s="20" t="n">
        <f aca="false">IF(AND(HU25=1,IE25&gt;0,Slot10_IsWG=1,DJ25=1),MAX(0,(Slot10_Cost-DK25*(1+Slot10_Rate)^(Slot10_Age-D25))/KZ25),0)</f>
        <v>0</v>
      </c>
      <c r="LB25" s="20" t="n">
        <f aca="false">IF(AND(HU25=1,IE25&gt;0,Slot10_IsWG=1,DJ25=1),MIN(IE25,LA25),0)</f>
        <v>0</v>
      </c>
      <c r="LC25" s="20" t="n">
        <f aca="false">DK25+LB25</f>
        <v>0</v>
      </c>
      <c r="LD25" s="20" t="n">
        <f aca="false">IF(DJ25=1,MAX(0,(Slot10_Cost-LC25*(1+Slot10_Rate)^(Slot10_Age-D25))/KZ25),0)</f>
        <v>0</v>
      </c>
      <c r="LE25" s="20" t="n">
        <f aca="false">IF(DJ25=1,MAX(0,(Slot10_Cost-DK25*(1+Slot10_Rate)^(Slot10_Age-D25))/KZ25),0)</f>
        <v>0</v>
      </c>
      <c r="LF25" s="20" t="n">
        <f aca="false">IF(AND(HU25=1,DJ25=1),MIN(KY25,LD25),0)</f>
        <v>0</v>
      </c>
      <c r="LG25" s="20" t="n">
        <f aca="false">KY25-LF25</f>
        <v>8401.44851515455</v>
      </c>
      <c r="LH25" s="20" t="n">
        <f aca="false">IF(DT25=1,IF(ABS((1+AS_Wage)/(1+Slot11_Rate)-1)&lt;0.000000000001,(Slot11_Age-D25)*(1+Slot11_Rate)^(Slot11_Age-D25),(1+Slot11_Rate)^(Slot11_Age-D25)*(1-((1+AS_Wage)/(1+Slot11_Rate))^(Slot11_Age-D25))/(1-(1+AS_Wage)/(1+Slot11_Rate))),1)</f>
        <v>1</v>
      </c>
      <c r="LI25" s="20" t="n">
        <f aca="false">IF(AND(HU25=1,IE25&gt;0,Slot11_IsWG=1,DT25=1),MAX(0,(Slot11_Cost-DU25*(1+Slot11_Rate)^(Slot11_Age-D25))/LH25),0)</f>
        <v>0</v>
      </c>
      <c r="LJ25" s="20" t="n">
        <f aca="false">IF(AND(HU25=1,IE25&gt;0,Slot11_IsWG=1,DT25=1),MIN(IE25,LI25),0)</f>
        <v>0</v>
      </c>
      <c r="LK25" s="20" t="n">
        <f aca="false">DU25+LJ25</f>
        <v>0</v>
      </c>
      <c r="LL25" s="20" t="n">
        <f aca="false">IF(DT25=1,MAX(0,(Slot11_Cost-LK25*(1+Slot11_Rate)^(Slot11_Age-D25))/LH25),0)</f>
        <v>0</v>
      </c>
      <c r="LM25" s="20" t="n">
        <f aca="false">IF(DT25=1,MAX(0,(Slot11_Cost-DU25*(1+Slot11_Rate)^(Slot11_Age-D25))/LH25),0)</f>
        <v>0</v>
      </c>
      <c r="LN25" s="20" t="n">
        <f aca="false">IF(AND(HU25=1,DT25=1),MIN(LG25,LL25),0)</f>
        <v>0</v>
      </c>
      <c r="LO25" s="20" t="n">
        <f aca="false">LG25-LN25</f>
        <v>8401.44851515455</v>
      </c>
      <c r="LP25" s="20" t="n">
        <f aca="false">IF(ED25=1,IF(ABS((1+AS_Wage)/(1+Slot12_Rate)-1)&lt;0.000000000001,(Slot12_Age-D25)*(1+Slot12_Rate)^(Slot12_Age-D25),(1+Slot12_Rate)^(Slot12_Age-D25)*(1-((1+AS_Wage)/(1+Slot12_Rate))^(Slot12_Age-D25))/(1-(1+AS_Wage)/(1+Slot12_Rate))),1)</f>
        <v>1</v>
      </c>
      <c r="LQ25" s="20" t="n">
        <f aca="false">IF(AND(HU25=1,IE25&gt;0,Slot12_IsWG=1,ED25=1),MAX(0,(Slot12_Cost-EE25*(1+Slot12_Rate)^(Slot12_Age-D25))/LP25),0)</f>
        <v>0</v>
      </c>
      <c r="LR25" s="20" t="n">
        <f aca="false">IF(AND(HU25=1,IE25&gt;0,Slot12_IsWG=1,ED25=1),MIN(IE25,LQ25),0)</f>
        <v>0</v>
      </c>
      <c r="LS25" s="20" t="n">
        <f aca="false">EE25+LR25</f>
        <v>0</v>
      </c>
      <c r="LT25" s="20" t="n">
        <f aca="false">IF(ED25=1,MAX(0,(Slot12_Cost-LS25*(1+Slot12_Rate)^(Slot12_Age-D25))/LP25),0)</f>
        <v>0</v>
      </c>
      <c r="LU25" s="20" t="n">
        <f aca="false">IF(ED25=1,MAX(0,(Slot12_Cost-EE25*(1+Slot12_Rate)^(Slot12_Age-D25))/LP25),0)</f>
        <v>0</v>
      </c>
      <c r="LV25" s="20" t="n">
        <f aca="false">IF(AND(HU25=1,ED25=1),MIN(LO25,LT25),0)</f>
        <v>0</v>
      </c>
      <c r="LW25" s="20" t="n">
        <f aca="false">LO25-LV25</f>
        <v>8401.44851515455</v>
      </c>
      <c r="LX25" s="20" t="n">
        <f aca="false">IF(EN25=1,IF(ABS((1+AS_Wage)/(1+Slot13_Rate)-1)&lt;0.000000000001,(Slot13_Age-D25)*(1+Slot13_Rate)^(Slot13_Age-D25),(1+Slot13_Rate)^(Slot13_Age-D25)*(1-((1+AS_Wage)/(1+Slot13_Rate))^(Slot13_Age-D25))/(1-(1+AS_Wage)/(1+Slot13_Rate))),1)</f>
        <v>1</v>
      </c>
      <c r="LY25" s="20" t="n">
        <f aca="false">IF(AND(HU25=1,IE25&gt;0,Slot13_IsWG=1,EN25=1),MAX(0,(Slot13_Cost-EO25*(1+Slot13_Rate)^(Slot13_Age-D25))/LX25),0)</f>
        <v>0</v>
      </c>
      <c r="LZ25" s="20" t="n">
        <f aca="false">IF(AND(HU25=1,IE25&gt;0,Slot13_IsWG=1,EN25=1),MIN(IE25,LY25),0)</f>
        <v>0</v>
      </c>
      <c r="MA25" s="20" t="n">
        <f aca="false">EO25+LZ25</f>
        <v>0</v>
      </c>
      <c r="MB25" s="20" t="n">
        <f aca="false">IF(EN25=1,MAX(0,(Slot13_Cost-MA25*(1+Slot13_Rate)^(Slot13_Age-D25))/LX25),0)</f>
        <v>0</v>
      </c>
      <c r="MC25" s="20" t="n">
        <f aca="false">IF(EN25=1,MAX(0,(Slot13_Cost-EO25*(1+Slot13_Rate)^(Slot13_Age-D25))/LX25),0)</f>
        <v>0</v>
      </c>
      <c r="MD25" s="20" t="n">
        <f aca="false">IF(AND(HU25=1,EN25=1),MIN(LW25,MB25),0)</f>
        <v>0</v>
      </c>
      <c r="ME25" s="20" t="n">
        <f aca="false">LW25-MD25</f>
        <v>8401.44851515455</v>
      </c>
      <c r="MF25" s="20" t="n">
        <f aca="false">IF(EX25=1,IF(ABS((1+AS_Wage)/(1+Slot14_Rate)-1)&lt;0.000000000001,(Slot14_Age-D25)*(1+Slot14_Rate)^(Slot14_Age-D25),(1+Slot14_Rate)^(Slot14_Age-D25)*(1-((1+AS_Wage)/(1+Slot14_Rate))^(Slot14_Age-D25))/(1-(1+AS_Wage)/(1+Slot14_Rate))),1)</f>
        <v>1</v>
      </c>
      <c r="MG25" s="20" t="n">
        <f aca="false">IF(AND(HU25=1,IE25&gt;0,Slot14_IsWG=1,EX25=1),MAX(0,(Slot14_Cost-EY25*(1+Slot14_Rate)^(Slot14_Age-D25))/MF25),0)</f>
        <v>0</v>
      </c>
      <c r="MH25" s="20" t="n">
        <f aca="false">IF(AND(HU25=1,IE25&gt;0,Slot14_IsWG=1,EX25=1),MIN(IE25,MG25),0)</f>
        <v>0</v>
      </c>
      <c r="MI25" s="20" t="n">
        <f aca="false">EY25+MH25</f>
        <v>0</v>
      </c>
      <c r="MJ25" s="20" t="n">
        <f aca="false">IF(EX25=1,MAX(0,(Slot14_Cost-MI25*(1+Slot14_Rate)^(Slot14_Age-D25))/MF25),0)</f>
        <v>0</v>
      </c>
      <c r="MK25" s="20" t="n">
        <f aca="false">IF(EX25=1,MAX(0,(Slot14_Cost-EY25*(1+Slot14_Rate)^(Slot14_Age-D25))/MF25),0)</f>
        <v>0</v>
      </c>
      <c r="ML25" s="20" t="n">
        <f aca="false">IF(AND(HU25=1,EX25=1),MIN(ME25,MJ25),0)</f>
        <v>0</v>
      </c>
      <c r="MM25" s="20" t="n">
        <f aca="false">ME25-ML25</f>
        <v>8401.44851515455</v>
      </c>
      <c r="MN25" s="20" t="n">
        <f aca="false">IF(FH25=1,IF(ABS((1+AS_Wage)/(1+Slot15_Rate)-1)&lt;0.000000000001,(Slot15_Age-D25)*(1+Slot15_Rate)^(Slot15_Age-D25),(1+Slot15_Rate)^(Slot15_Age-D25)*(1-((1+AS_Wage)/(1+Slot15_Rate))^(Slot15_Age-D25))/(1-(1+AS_Wage)/(1+Slot15_Rate))),1)</f>
        <v>1</v>
      </c>
      <c r="MO25" s="20" t="n">
        <f aca="false">IF(AND(HU25=1,IE25&gt;0,Slot15_IsWG=1,FH25=1),MAX(0,(Slot15_Cost-FI25*(1+Slot15_Rate)^(Slot15_Age-D25))/MN25),0)</f>
        <v>0</v>
      </c>
      <c r="MP25" s="20" t="n">
        <f aca="false">IF(AND(HU25=1,IE25&gt;0,Slot15_IsWG=1,FH25=1),MIN(IE25,MO25),0)</f>
        <v>0</v>
      </c>
      <c r="MQ25" s="20" t="n">
        <f aca="false">FI25+MP25</f>
        <v>0</v>
      </c>
      <c r="MR25" s="20" t="n">
        <f aca="false">IF(FH25=1,MAX(0,(Slot15_Cost-MQ25*(1+Slot15_Rate)^(Slot15_Age-D25))/MN25),0)</f>
        <v>0</v>
      </c>
      <c r="MS25" s="20" t="n">
        <f aca="false">IF(FH25=1,MAX(0,(Slot15_Cost-FI25*(1+Slot15_Rate)^(Slot15_Age-D25))/MN25),0)</f>
        <v>0</v>
      </c>
      <c r="MT25" s="20" t="n">
        <f aca="false">IF(AND(HU25=1,FH25=1),MIN(MM25,MR25),0)</f>
        <v>0</v>
      </c>
      <c r="MU25" s="20" t="n">
        <f aca="false">MM25-MT25</f>
        <v>8401.44851515455</v>
      </c>
      <c r="MV25" s="20" t="n">
        <f aca="false">IF(FR25=1,IF(ABS((1+AS_Wage)/(1+Slot16_Rate)-1)&lt;0.000000000001,(Slot16_Age-D25)*(1+Slot16_Rate)^(Slot16_Age-D25),(1+Slot16_Rate)^(Slot16_Age-D25)*(1-((1+AS_Wage)/(1+Slot16_Rate))^(Slot16_Age-D25))/(1-(1+AS_Wage)/(1+Slot16_Rate))),1)</f>
        <v>1</v>
      </c>
      <c r="MW25" s="20" t="n">
        <f aca="false">IF(AND(HU25=1,IE25&gt;0,Slot16_IsWG=1,FR25=1),MAX(0,(Slot16_Cost-FS25*(1+Slot16_Rate)^(Slot16_Age-D25))/MV25),0)</f>
        <v>0</v>
      </c>
      <c r="MX25" s="20" t="n">
        <f aca="false">IF(AND(HU25=1,IE25&gt;0,Slot16_IsWG=1,FR25=1),MIN(IE25,MW25),0)</f>
        <v>0</v>
      </c>
      <c r="MY25" s="20" t="n">
        <f aca="false">FS25+MX25</f>
        <v>0</v>
      </c>
      <c r="MZ25" s="20" t="n">
        <f aca="false">IF(FR25=1,MAX(0,(Slot16_Cost-MY25*(1+Slot16_Rate)^(Slot16_Age-D25))/MV25),0)</f>
        <v>0</v>
      </c>
      <c r="NA25" s="20" t="n">
        <f aca="false">IF(FR25=1,MAX(0,(Slot16_Cost-FS25*(1+Slot16_Rate)^(Slot16_Age-D25))/MV25),0)</f>
        <v>0</v>
      </c>
      <c r="NB25" s="20" t="n">
        <f aca="false">IF(AND(HU25=1,FR25=1),MIN(MU25,MZ25),0)</f>
        <v>0</v>
      </c>
      <c r="NC25" s="20" t="n">
        <f aca="false">MU25-NB25</f>
        <v>8401.44851515455</v>
      </c>
      <c r="ND25" s="20" t="n">
        <f aca="false">IF(GB25=1,IF(ABS((1+AS_Wage)/(1+Slot17_Rate)-1)&lt;0.000000000001,(Slot17_Age-D25)*(1+Slot17_Rate)^(Slot17_Age-D25),(1+Slot17_Rate)^(Slot17_Age-D25)*(1-((1+AS_Wage)/(1+Slot17_Rate))^(Slot17_Age-D25))/(1-(1+AS_Wage)/(1+Slot17_Rate))),1)</f>
        <v>1</v>
      </c>
      <c r="NE25" s="20" t="n">
        <f aca="false">IF(AND(HU25=1,IE25&gt;0,Slot17_IsWG=1,GB25=1),MAX(0,(Slot17_Cost-GC25*(1+Slot17_Rate)^(Slot17_Age-D25))/ND25),0)</f>
        <v>0</v>
      </c>
      <c r="NF25" s="20" t="n">
        <f aca="false">IF(AND(HU25=1,IE25&gt;0,Slot17_IsWG=1,GB25=1),MIN(IE25,NE25),0)</f>
        <v>0</v>
      </c>
      <c r="NG25" s="20" t="n">
        <f aca="false">GC25+NF25</f>
        <v>0</v>
      </c>
      <c r="NH25" s="20" t="n">
        <f aca="false">IF(GB25=1,MAX(0,(Slot17_Cost-NG25*(1+Slot17_Rate)^(Slot17_Age-D25))/ND25),0)</f>
        <v>0</v>
      </c>
      <c r="NI25" s="20" t="n">
        <f aca="false">IF(GB25=1,MAX(0,(Slot17_Cost-GC25*(1+Slot17_Rate)^(Slot17_Age-D25))/ND25),0)</f>
        <v>0</v>
      </c>
      <c r="NJ25" s="20" t="n">
        <f aca="false">IF(AND(HU25=1,GB25=1),MIN(NC25,NH25),0)</f>
        <v>0</v>
      </c>
      <c r="NK25" s="20" t="n">
        <f aca="false">NC25-NJ25</f>
        <v>8401.44851515455</v>
      </c>
      <c r="NL25" s="20" t="n">
        <f aca="false">IF(GL25=1,IF(ABS((1+AS_Wage)/(1+Slot18_Rate)-1)&lt;0.000000000001,(Slot18_Age-D25)*(1+Slot18_Rate)^(Slot18_Age-D25),(1+Slot18_Rate)^(Slot18_Age-D25)*(1-((1+AS_Wage)/(1+Slot18_Rate))^(Slot18_Age-D25))/(1-(1+AS_Wage)/(1+Slot18_Rate))),1)</f>
        <v>1</v>
      </c>
      <c r="NM25" s="20" t="n">
        <f aca="false">IF(AND(HU25=1,IE25&gt;0,Slot18_IsWG=1,GL25=1),MAX(0,(Slot18_Cost-GM25*(1+Slot18_Rate)^(Slot18_Age-D25))/NL25),0)</f>
        <v>0</v>
      </c>
      <c r="NN25" s="20" t="n">
        <f aca="false">IF(AND(HU25=1,IE25&gt;0,Slot18_IsWG=1,GL25=1),MIN(IE25,NM25),0)</f>
        <v>0</v>
      </c>
      <c r="NO25" s="20" t="n">
        <f aca="false">GM25+NN25</f>
        <v>0</v>
      </c>
      <c r="NP25" s="20" t="n">
        <f aca="false">IF(GL25=1,MAX(0,(Slot18_Cost-NO25*(1+Slot18_Rate)^(Slot18_Age-D25))/NL25),0)</f>
        <v>0</v>
      </c>
      <c r="NQ25" s="20" t="n">
        <f aca="false">IF(GL25=1,MAX(0,(Slot18_Cost-GM25*(1+Slot18_Rate)^(Slot18_Age-D25))/NL25),0)</f>
        <v>0</v>
      </c>
      <c r="NR25" s="20" t="n">
        <f aca="false">IF(AND(HU25=1,GL25=1),MIN(NK25,NP25),0)</f>
        <v>0</v>
      </c>
      <c r="NS25" s="20" t="n">
        <f aca="false">NK25-NR25</f>
        <v>8401.44851515455</v>
      </c>
      <c r="NT25" s="20" t="n">
        <f aca="false">IF(GV25=1,IF(ABS((1+AS_Wage)/(1+Slot19_Rate)-1)&lt;0.000000000001,(Slot19_Age-D25)*(1+Slot19_Rate)^(Slot19_Age-D25),(1+Slot19_Rate)^(Slot19_Age-D25)*(1-((1+AS_Wage)/(1+Slot19_Rate))^(Slot19_Age-D25))/(1-(1+AS_Wage)/(1+Slot19_Rate))),1)</f>
        <v>1</v>
      </c>
      <c r="NU25" s="20" t="n">
        <f aca="false">IF(AND(HU25=1,IE25&gt;0,Slot19_IsWG=1,GV25=1),MAX(0,(Slot19_Cost-GW25*(1+Slot19_Rate)^(Slot19_Age-D25))/NT25),0)</f>
        <v>0</v>
      </c>
      <c r="NV25" s="20" t="n">
        <f aca="false">IF(AND(HU25=1,IE25&gt;0,Slot19_IsWG=1,GV25=1),MIN(IE25,NU25),0)</f>
        <v>0</v>
      </c>
      <c r="NW25" s="20" t="n">
        <f aca="false">GW25+NV25</f>
        <v>0</v>
      </c>
      <c r="NX25" s="20" t="n">
        <f aca="false">IF(GV25=1,MAX(0,(Slot19_Cost-NW25*(1+Slot19_Rate)^(Slot19_Age-D25))/NT25),0)</f>
        <v>0</v>
      </c>
      <c r="NY25" s="20" t="n">
        <f aca="false">IF(GV25=1,MAX(0,(Slot19_Cost-GW25*(1+Slot19_Rate)^(Slot19_Age-D25))/NT25),0)</f>
        <v>0</v>
      </c>
      <c r="NZ25" s="20" t="n">
        <f aca="false">IF(AND(HU25=1,GV25=1),MIN(NS25,NX25),0)</f>
        <v>0</v>
      </c>
      <c r="OA25" s="20" t="n">
        <f aca="false">NS25-NZ25</f>
        <v>8401.44851515455</v>
      </c>
      <c r="OB25" s="20" t="n">
        <f aca="false">IF(HF25=1,IF(ABS((1+AS_Wage)/(1+Slot20_Rate)-1)&lt;0.000000000001,(Slot20_Age-D25)*(1+Slot20_Rate)^(Slot20_Age-D25),(1+Slot20_Rate)^(Slot20_Age-D25)*(1-((1+AS_Wage)/(1+Slot20_Rate))^(Slot20_Age-D25))/(1-(1+AS_Wage)/(1+Slot20_Rate))),1)</f>
        <v>1</v>
      </c>
      <c r="OC25" s="20" t="n">
        <f aca="false">IF(AND(HU25=1,IE25&gt;0,Slot20_IsWG=1,HF25=1),MAX(0,(Slot20_Cost-HG25*(1+Slot20_Rate)^(Slot20_Age-D25))/OB25),0)</f>
        <v>0</v>
      </c>
      <c r="OD25" s="20" t="n">
        <f aca="false">IF(AND(HU25=1,IE25&gt;0,Slot20_IsWG=1,HF25=1),MIN(IE25,OC25),0)</f>
        <v>0</v>
      </c>
      <c r="OE25" s="20" t="n">
        <f aca="false">HG25+OD25</f>
        <v>0</v>
      </c>
      <c r="OF25" s="20" t="n">
        <f aca="false">IF(HF25=1,MAX(0,(Slot20_Cost-OE25*(1+Slot20_Rate)^(Slot20_Age-D25))/OB25),0)</f>
        <v>0</v>
      </c>
      <c r="OG25" s="20" t="n">
        <f aca="false">IF(HF25=1,MAX(0,(Slot20_Cost-HG25*(1+Slot20_Rate)^(Slot20_Age-D25))/OB25),0)</f>
        <v>0</v>
      </c>
      <c r="OH25" s="20" t="n">
        <f aca="false">IF(AND(HU25=1,HF25=1),MIN(OA25,OF25),0)</f>
        <v>0</v>
      </c>
      <c r="OI25" s="20" t="n">
        <f aca="false">OA25-OH25</f>
        <v>8401.44851515455</v>
      </c>
      <c r="OJ25" s="20" t="n">
        <f aca="false">IE25-(IH25+IP25+IX25+JF25+JN25+JV25+KD25+KL25+KT25+LB25+LJ25+LR25+LZ25+MH25+MP25+MX25+NF25+NN25+NV25+OD25)</f>
        <v>0</v>
      </c>
      <c r="OK25" s="20" t="n">
        <f aca="false">IF(HU25=1,HS25-ID25-IE25,0)</f>
        <v>12555.3739764803</v>
      </c>
      <c r="OL25" s="20" t="n">
        <f aca="false">IF(HU25=0,-HS25,0)</f>
        <v>0</v>
      </c>
      <c r="OM25" s="20" t="n">
        <f aca="false">MIN(OL25,HK25)</f>
        <v>0</v>
      </c>
      <c r="ON25" s="20" t="n">
        <f aca="false">OL25-OM25</f>
        <v>0</v>
      </c>
      <c r="OO25" s="20" t="n">
        <f aca="false">MIN(ON25,HL25)</f>
        <v>0</v>
      </c>
      <c r="OP25" s="20" t="n">
        <f aca="false">ON25-OO25</f>
        <v>0</v>
      </c>
      <c r="OQ25" s="20" t="n">
        <f aca="false">IF(AND(HU25=0,HF25=1,OP25&gt;0),MIN(OP25,HG25),0)</f>
        <v>0</v>
      </c>
      <c r="OR25" s="20" t="n">
        <f aca="false">OP25-OQ25</f>
        <v>0</v>
      </c>
      <c r="OS25" s="20" t="n">
        <f aca="false">IF(AND(HU25=0,GV25=1,OR25&gt;0),MIN(OR25,GW25),0)</f>
        <v>0</v>
      </c>
      <c r="OT25" s="20" t="n">
        <f aca="false">OR25-OS25</f>
        <v>0</v>
      </c>
      <c r="OU25" s="20" t="n">
        <f aca="false">IF(AND(HU25=0,GL25=1,OT25&gt;0),MIN(OT25,GM25),0)</f>
        <v>0</v>
      </c>
      <c r="OV25" s="20" t="n">
        <f aca="false">OT25-OU25</f>
        <v>0</v>
      </c>
      <c r="OW25" s="20" t="n">
        <f aca="false">IF(AND(HU25=0,GB25=1,OV25&gt;0),MIN(OV25,GC25),0)</f>
        <v>0</v>
      </c>
      <c r="OX25" s="20" t="n">
        <f aca="false">OV25-OW25</f>
        <v>0</v>
      </c>
      <c r="OY25" s="20" t="n">
        <f aca="false">IF(AND(HU25=0,FR25=1,OX25&gt;0),MIN(OX25,FS25),0)</f>
        <v>0</v>
      </c>
      <c r="OZ25" s="20" t="n">
        <f aca="false">OX25-OY25</f>
        <v>0</v>
      </c>
      <c r="PA25" s="20" t="n">
        <f aca="false">IF(AND(HU25=0,FH25=1,OZ25&gt;0),MIN(OZ25,FI25),0)</f>
        <v>0</v>
      </c>
      <c r="PB25" s="20" t="n">
        <f aca="false">OZ25-PA25</f>
        <v>0</v>
      </c>
      <c r="PC25" s="20" t="n">
        <f aca="false">IF(AND(HU25=0,EX25=1,PB25&gt;0),MIN(PB25,EY25),0)</f>
        <v>0</v>
      </c>
      <c r="PD25" s="20" t="n">
        <f aca="false">PB25-PC25</f>
        <v>0</v>
      </c>
      <c r="PE25" s="20" t="n">
        <f aca="false">IF(AND(HU25=0,EN25=1,PD25&gt;0),MIN(PD25,EO25),0)</f>
        <v>0</v>
      </c>
      <c r="PF25" s="20" t="n">
        <f aca="false">PD25-PE25</f>
        <v>0</v>
      </c>
      <c r="PG25" s="20" t="n">
        <f aca="false">IF(AND(HU25=0,ED25=1,PF25&gt;0),MIN(PF25,EE25),0)</f>
        <v>0</v>
      </c>
      <c r="PH25" s="20" t="n">
        <f aca="false">PF25-PG25</f>
        <v>0</v>
      </c>
      <c r="PI25" s="20" t="n">
        <f aca="false">IF(AND(HU25=0,DT25=1,PH25&gt;0),MIN(PH25,DU25),0)</f>
        <v>0</v>
      </c>
      <c r="PJ25" s="20" t="n">
        <f aca="false">PH25-PI25</f>
        <v>0</v>
      </c>
      <c r="PK25" s="20" t="n">
        <f aca="false">IF(AND(HU25=0,DJ25=1,PJ25&gt;0),MIN(PJ25,DK25),0)</f>
        <v>0</v>
      </c>
      <c r="PL25" s="20" t="n">
        <f aca="false">PJ25-PK25</f>
        <v>0</v>
      </c>
      <c r="PM25" s="20" t="n">
        <f aca="false">IF(AND(HU25=0,CZ25=1,PL25&gt;0),MIN(PL25,DA25),0)</f>
        <v>0</v>
      </c>
      <c r="PN25" s="20" t="n">
        <f aca="false">PL25-PM25</f>
        <v>0</v>
      </c>
      <c r="PO25" s="20" t="n">
        <f aca="false">IF(AND(HU25=0,CP25=1,PN25&gt;0),MIN(PN25,CQ25),0)</f>
        <v>0</v>
      </c>
      <c r="PP25" s="20" t="n">
        <f aca="false">PN25-PO25</f>
        <v>0</v>
      </c>
      <c r="PQ25" s="20" t="n">
        <f aca="false">IF(AND(HU25=0,CF25=1,PP25&gt;0),MIN(PP25,CG25),0)</f>
        <v>0</v>
      </c>
      <c r="PR25" s="20" t="n">
        <f aca="false">PP25-PQ25</f>
        <v>0</v>
      </c>
      <c r="PS25" s="20" t="n">
        <f aca="false">IF(AND(HU25=0,BV25=1,PR25&gt;0),MIN(PR25,BW25),0)</f>
        <v>0</v>
      </c>
      <c r="PT25" s="20" t="n">
        <f aca="false">PR25-PS25</f>
        <v>0</v>
      </c>
      <c r="PU25" s="20" t="n">
        <f aca="false">IF(AND(HU25=0,BL25=1,PT25&gt;0),MIN(PT25,BM25),0)</f>
        <v>0</v>
      </c>
      <c r="PV25" s="20" t="n">
        <f aca="false">PT25-PU25</f>
        <v>0</v>
      </c>
      <c r="PW25" s="20" t="n">
        <f aca="false">IF(AND(HU25=0,BB25=1,PV25&gt;0),MIN(PV25,BC25),0)</f>
        <v>0</v>
      </c>
      <c r="PX25" s="20" t="n">
        <f aca="false">PV25-PW25</f>
        <v>0</v>
      </c>
      <c r="PY25" s="20" t="n">
        <f aca="false">IF(AND(HU25=0,AR25=1,PX25&gt;0),MIN(PX25,AS25),0)</f>
        <v>0</v>
      </c>
      <c r="PZ25" s="20" t="n">
        <f aca="false">PX25-PY25</f>
        <v>0</v>
      </c>
      <c r="QA25" s="20" t="n">
        <f aca="false">IF(AND(HU25=0,AH25=1,PZ25&gt;0),MIN(PZ25,AI25),0)</f>
        <v>0</v>
      </c>
      <c r="QB25" s="20" t="n">
        <f aca="false">PZ25-QA25</f>
        <v>0</v>
      </c>
      <c r="QC25" s="20" t="n">
        <f aca="false">IF(AND(HU25=0,W25=1,QB25&gt;0),MIN(QB25,X25),0)</f>
        <v>0</v>
      </c>
      <c r="QD25" s="20" t="n">
        <f aca="false">QB25-QC25</f>
        <v>0</v>
      </c>
      <c r="QE25" s="20" t="n">
        <f aca="false">IF(HU25=0,QD25,0)</f>
        <v>0</v>
      </c>
      <c r="QF25" s="20" t="n">
        <f aca="false">OM25+OO25+QC25+QA25+PY25+PW25+PU25+PS25+PQ25+PO25+PM25+PK25+PI25+PG25+PE25+PC25+PA25+OY25+OW25+OU25+OS25+OQ25</f>
        <v>0</v>
      </c>
      <c r="QG25" s="20" t="n">
        <f aca="false">IF(HU25=1,HK25+OJ25+OI25+IF(G25=1,0,OK25),HK25-OM25)</f>
        <v>25152.080156232</v>
      </c>
      <c r="QH25" s="20" t="n">
        <f aca="false">HL25-OO25</f>
        <v>13210.0173555726</v>
      </c>
      <c r="QI25" s="20" t="n">
        <f aca="false">IF(HU25=1,IF(G25=1,ID25+IE25,HS25),0)</f>
        <v>8401.44851515455</v>
      </c>
      <c r="QJ25" s="20" t="n">
        <f aca="false">IF(HU25=1,IF(G25=1,HS25-ID25-IE25,0),0)</f>
        <v>12555.3739764803</v>
      </c>
      <c r="QK25" s="57" t="n">
        <f aca="false">'Plan holdings'!BM25</f>
        <v>26026.4043586351</v>
      </c>
      <c r="QL25" s="20" t="n">
        <f aca="false">QH25*(1+AS_Cash)</f>
        <v>13342.1175291283</v>
      </c>
      <c r="QM25" s="20" t="n">
        <f aca="false">IF(W25=1,IF(HU25=1,II25+IL25,X25-QC25)*(1+Slot1_Rate),0)</f>
        <v>0</v>
      </c>
      <c r="QN25" s="20" t="n">
        <f aca="false">IF(AND(HU25=1,W25=1),(IH25+IL25)/F25,0)</f>
        <v>0</v>
      </c>
      <c r="QO25" s="20" t="n">
        <f aca="false">IF(B25=0,IH25+IL25,0)</f>
        <v>0</v>
      </c>
      <c r="QP25" s="20" t="n">
        <f aca="false">IF(B25=0,IF(HU25=1,IJ25,IK25),0)</f>
        <v>0</v>
      </c>
      <c r="QQ25" s="20" t="n">
        <f aca="false">IF(AH25=1,IF(HU25=1,IQ25+IT25,AI25-QA25)*(1+Slot2_Rate),0)</f>
        <v>0</v>
      </c>
      <c r="QR25" s="20" t="n">
        <f aca="false">IF(AND(HU25=1,AH25=1),(IP25+IT25)/F25,0)</f>
        <v>0</v>
      </c>
      <c r="QS25" s="20" t="n">
        <f aca="false">IF(B25=0,IP25+IT25,0)</f>
        <v>0</v>
      </c>
      <c r="QT25" s="20" t="n">
        <f aca="false">IF(B25=0,IF(HU25=1,IR25,IS25),0)</f>
        <v>0</v>
      </c>
      <c r="QU25" s="20" t="n">
        <f aca="false">IF(AR25=1,IF(HU25=1,IY25+JB25,AS25-PY25)*(1+Slot3_Rate),0)</f>
        <v>0</v>
      </c>
      <c r="QV25" s="20" t="n">
        <f aca="false">IF(AND(HU25=1,AR25=1),(IX25+JB25)/F25,0)</f>
        <v>0</v>
      </c>
      <c r="QW25" s="20" t="n">
        <f aca="false">IF(B25=0,IX25+JB25,0)</f>
        <v>0</v>
      </c>
      <c r="QX25" s="20" t="n">
        <f aca="false">IF(B25=0,IF(HU25=1,IZ25,JA25),0)</f>
        <v>0</v>
      </c>
      <c r="QY25" s="20" t="n">
        <f aca="false">IF(BB25=1,IF(HU25=1,JG25+JJ25,BC25-PW25)*(1+Slot4_Rate),0)</f>
        <v>0</v>
      </c>
      <c r="QZ25" s="20" t="n">
        <f aca="false">IF(AND(HU25=1,BB25=1),(JF25+JJ25)/F25,0)</f>
        <v>0</v>
      </c>
      <c r="RA25" s="20" t="n">
        <f aca="false">IF(B25=0,JF25+JJ25,0)</f>
        <v>0</v>
      </c>
      <c r="RB25" s="20" t="n">
        <f aca="false">IF(B25=0,IF(HU25=1,JH25,JI25),0)</f>
        <v>0</v>
      </c>
      <c r="RC25" s="20" t="n">
        <f aca="false">IF(BL25=1,IF(HU25=1,JO25+JR25,BM25-PU25)*(1+Slot5_Rate),0)</f>
        <v>0</v>
      </c>
      <c r="RD25" s="20" t="n">
        <f aca="false">IF(AND(HU25=1,BL25=1),(JN25+JR25)/F25,0)</f>
        <v>0</v>
      </c>
      <c r="RE25" s="20" t="n">
        <f aca="false">IF(B25=0,JN25+JR25,0)</f>
        <v>0</v>
      </c>
      <c r="RF25" s="20" t="n">
        <f aca="false">IF(B25=0,IF(HU25=1,JP25,JQ25),0)</f>
        <v>0</v>
      </c>
      <c r="RG25" s="20" t="n">
        <f aca="false">IF(BV25=1,IF(HU25=1,JW25+JZ25,BW25-PS25)*(1+Slot6_Rate),0)</f>
        <v>0</v>
      </c>
      <c r="RH25" s="20" t="n">
        <f aca="false">IF(AND(HU25=1,BV25=1),(JV25+JZ25)/F25,0)</f>
        <v>0</v>
      </c>
      <c r="RI25" s="20" t="n">
        <f aca="false">IF(B25=0,JV25+JZ25,0)</f>
        <v>0</v>
      </c>
      <c r="RJ25" s="20" t="n">
        <f aca="false">IF(B25=0,IF(HU25=1,JX25,JY25),0)</f>
        <v>0</v>
      </c>
      <c r="RK25" s="20" t="n">
        <f aca="false">IF(CF25=1,IF(HU25=1,KE25+KH25,CG25-PQ25)*(1+Slot7_Rate),0)</f>
        <v>0</v>
      </c>
      <c r="RL25" s="20" t="n">
        <f aca="false">IF(AND(HU25=1,CF25=1),(KD25+KH25)/F25,0)</f>
        <v>0</v>
      </c>
      <c r="RM25" s="20" t="n">
        <f aca="false">IF(B25=0,KD25+KH25,0)</f>
        <v>0</v>
      </c>
      <c r="RN25" s="20" t="n">
        <f aca="false">IF(B25=0,IF(HU25=1,KF25,KG25),0)</f>
        <v>0</v>
      </c>
      <c r="RO25" s="20" t="n">
        <f aca="false">IF(CP25=1,IF(HU25=1,KM25+KP25,CQ25-PO25)*(1+Slot8_Rate),0)</f>
        <v>0</v>
      </c>
      <c r="RP25" s="20" t="n">
        <f aca="false">IF(AND(HU25=1,CP25=1),(KL25+KP25)/F25,0)</f>
        <v>0</v>
      </c>
      <c r="RQ25" s="20" t="n">
        <f aca="false">IF(B25=0,KL25+KP25,0)</f>
        <v>0</v>
      </c>
      <c r="RR25" s="20" t="n">
        <f aca="false">IF(B25=0,IF(HU25=1,KN25,KO25),0)</f>
        <v>0</v>
      </c>
      <c r="RS25" s="20" t="n">
        <f aca="false">IF(CZ25=1,IF(HU25=1,KU25+KX25,DA25-PM25)*(1+Slot9_Rate),0)</f>
        <v>0</v>
      </c>
      <c r="RT25" s="20" t="n">
        <f aca="false">IF(AND(HU25=1,CZ25=1),(KT25+KX25)/F25,0)</f>
        <v>0</v>
      </c>
      <c r="RU25" s="20" t="n">
        <f aca="false">IF(B25=0,KT25+KX25,0)</f>
        <v>0</v>
      </c>
      <c r="RV25" s="20" t="n">
        <f aca="false">IF(B25=0,IF(HU25=1,KV25,KW25),0)</f>
        <v>0</v>
      </c>
      <c r="RW25" s="20" t="n">
        <f aca="false">IF(DJ25=1,IF(HU25=1,LC25+LF25,DK25-PK25)*(1+Slot10_Rate),0)</f>
        <v>0</v>
      </c>
      <c r="RX25" s="20" t="n">
        <f aca="false">IF(AND(HU25=1,DJ25=1),(LB25+LF25)/F25,0)</f>
        <v>0</v>
      </c>
      <c r="RY25" s="20" t="n">
        <f aca="false">IF(B25=0,LB25+LF25,0)</f>
        <v>0</v>
      </c>
      <c r="RZ25" s="20" t="n">
        <f aca="false">IF(B25=0,IF(HU25=1,LD25,LE25),0)</f>
        <v>0</v>
      </c>
      <c r="SA25" s="20" t="n">
        <f aca="false">IF(DT25=1,IF(HU25=1,LK25+LN25,DU25-PI25)*(1+Slot11_Rate),0)</f>
        <v>0</v>
      </c>
      <c r="SB25" s="20" t="n">
        <f aca="false">IF(AND(HU25=1,DT25=1),(LJ25+LN25)/F25,0)</f>
        <v>0</v>
      </c>
      <c r="SC25" s="20" t="n">
        <f aca="false">IF(B25=0,LJ25+LN25,0)</f>
        <v>0</v>
      </c>
      <c r="SD25" s="20" t="n">
        <f aca="false">IF(B25=0,IF(HU25=1,LL25,LM25),0)</f>
        <v>0</v>
      </c>
      <c r="SE25" s="20" t="n">
        <f aca="false">IF(ED25=1,IF(HU25=1,LS25+LV25,EE25-PG25)*(1+Slot12_Rate),0)</f>
        <v>0</v>
      </c>
      <c r="SF25" s="20" t="n">
        <f aca="false">IF(AND(HU25=1,ED25=1),(LR25+LV25)/F25,0)</f>
        <v>0</v>
      </c>
      <c r="SG25" s="20" t="n">
        <f aca="false">IF(B25=0,LR25+LV25,0)</f>
        <v>0</v>
      </c>
      <c r="SH25" s="20" t="n">
        <f aca="false">IF(B25=0,IF(HU25=1,LT25,LU25),0)</f>
        <v>0</v>
      </c>
      <c r="SI25" s="20" t="n">
        <f aca="false">IF(EN25=1,IF(HU25=1,MA25+MD25,EO25-PE25)*(1+Slot13_Rate),0)</f>
        <v>0</v>
      </c>
      <c r="SJ25" s="20" t="n">
        <f aca="false">IF(AND(HU25=1,EN25=1),(LZ25+MD25)/F25,0)</f>
        <v>0</v>
      </c>
      <c r="SK25" s="20" t="n">
        <f aca="false">IF(B25=0,LZ25+MD25,0)</f>
        <v>0</v>
      </c>
      <c r="SL25" s="20" t="n">
        <f aca="false">IF(B25=0,IF(HU25=1,MB25,MC25),0)</f>
        <v>0</v>
      </c>
      <c r="SM25" s="20" t="n">
        <f aca="false">IF(EX25=1,IF(HU25=1,MI25+ML25,EY25-PC25)*(1+Slot14_Rate),0)</f>
        <v>0</v>
      </c>
      <c r="SN25" s="20" t="n">
        <f aca="false">IF(AND(HU25=1,EX25=1),(MH25+ML25)/F25,0)</f>
        <v>0</v>
      </c>
      <c r="SO25" s="20" t="n">
        <f aca="false">IF(B25=0,MH25+ML25,0)</f>
        <v>0</v>
      </c>
      <c r="SP25" s="20" t="n">
        <f aca="false">IF(B25=0,IF(HU25=1,MJ25,MK25),0)</f>
        <v>0</v>
      </c>
      <c r="SQ25" s="20" t="n">
        <f aca="false">IF(FH25=1,IF(HU25=1,MQ25+MT25,FI25-PA25)*(1+Slot15_Rate),0)</f>
        <v>0</v>
      </c>
      <c r="SR25" s="20" t="n">
        <f aca="false">IF(AND(HU25=1,FH25=1),(MP25+MT25)/F25,0)</f>
        <v>0</v>
      </c>
      <c r="SS25" s="20" t="n">
        <f aca="false">IF(B25=0,MP25+MT25,0)</f>
        <v>0</v>
      </c>
      <c r="ST25" s="20" t="n">
        <f aca="false">IF(B25=0,IF(HU25=1,MR25,MS25),0)</f>
        <v>0</v>
      </c>
      <c r="SU25" s="20" t="n">
        <f aca="false">IF(FR25=1,IF(HU25=1,MY25+NB25,FS25-OY25)*(1+Slot16_Rate),0)</f>
        <v>0</v>
      </c>
      <c r="SV25" s="20" t="n">
        <f aca="false">IF(AND(HU25=1,FR25=1),(MX25+NB25)/F25,0)</f>
        <v>0</v>
      </c>
      <c r="SW25" s="20" t="n">
        <f aca="false">IF(B25=0,MX25+NB25,0)</f>
        <v>0</v>
      </c>
      <c r="SX25" s="20" t="n">
        <f aca="false">IF(B25=0,IF(HU25=1,MZ25,NA25),0)</f>
        <v>0</v>
      </c>
      <c r="SY25" s="20" t="n">
        <f aca="false">IF(GB25=1,IF(HU25=1,NG25+NJ25,GC25-OW25)*(1+Slot17_Rate),0)</f>
        <v>0</v>
      </c>
      <c r="SZ25" s="20" t="n">
        <f aca="false">IF(AND(HU25=1,GB25=1),(NF25+NJ25)/F25,0)</f>
        <v>0</v>
      </c>
      <c r="TA25" s="20" t="n">
        <f aca="false">IF(B25=0,NF25+NJ25,0)</f>
        <v>0</v>
      </c>
      <c r="TB25" s="20" t="n">
        <f aca="false">IF(B25=0,IF(HU25=1,NH25,NI25),0)</f>
        <v>0</v>
      </c>
      <c r="TC25" s="20" t="n">
        <f aca="false">IF(GL25=1,IF(HU25=1,NO25+NR25,GM25-OU25)*(1+Slot18_Rate),0)</f>
        <v>0</v>
      </c>
      <c r="TD25" s="20" t="n">
        <f aca="false">IF(AND(HU25=1,GL25=1),(NN25+NR25)/F25,0)</f>
        <v>0</v>
      </c>
      <c r="TE25" s="20" t="n">
        <f aca="false">IF(B25=0,NN25+NR25,0)</f>
        <v>0</v>
      </c>
      <c r="TF25" s="20" t="n">
        <f aca="false">IF(B25=0,IF(HU25=1,NP25,NQ25),0)</f>
        <v>0</v>
      </c>
      <c r="TG25" s="20" t="n">
        <f aca="false">IF(GV25=1,IF(HU25=1,NW25+NZ25,GW25-OS25)*(1+Slot19_Rate),0)</f>
        <v>0</v>
      </c>
      <c r="TH25" s="20" t="n">
        <f aca="false">IF(AND(HU25=1,GV25=1),(NV25+NZ25)/F25,0)</f>
        <v>0</v>
      </c>
      <c r="TI25" s="20" t="n">
        <f aca="false">IF(B25=0,NV25+NZ25,0)</f>
        <v>0</v>
      </c>
      <c r="TJ25" s="20" t="n">
        <f aca="false">IF(B25=0,IF(HU25=1,NX25,NY25),0)</f>
        <v>0</v>
      </c>
      <c r="TK25" s="20" t="n">
        <f aca="false">IF(HF25=1,IF(HU25=1,OE25+OH25,HG25-OQ25)*(1+Slot20_Rate),0)</f>
        <v>0</v>
      </c>
      <c r="TL25" s="20" t="n">
        <f aca="false">IF(AND(HU25=1,HF25=1),(OD25+OH25)/F25,0)</f>
        <v>0</v>
      </c>
      <c r="TM25" s="20" t="n">
        <f aca="false">IF(B25=0,OD25+OH25,0)</f>
        <v>0</v>
      </c>
      <c r="TN25" s="20" t="n">
        <f aca="false">IF(B25=0,IF(HU25=1,OF25,OG25),0)</f>
        <v>0</v>
      </c>
      <c r="TO25" s="20" t="n">
        <f aca="false">QK25+QL25+QM25+QQ25+QU25+QY25+RC25+RG25+RK25+RO25+RS25+RW25+SA25+SE25+SI25+SM25+SQ25+SU25+SY25+TC25+TG25+TK25</f>
        <v>39368.5218877634</v>
      </c>
      <c r="TP25" s="20" t="n">
        <f aca="false">QE25+HP25</f>
        <v>0</v>
      </c>
      <c r="TQ25" s="20" t="n">
        <f aca="false">I25+S25</f>
        <v>77170.8638636591</v>
      </c>
      <c r="TR25" s="20" t="n">
        <f aca="false">1-G25</f>
        <v>0</v>
      </c>
      <c r="TS25" s="20" t="n">
        <f aca="false">IF(AND(RG_Exists=1,G25=0,C25=1),I25,0)</f>
        <v>0</v>
      </c>
      <c r="TT25" s="20" t="n">
        <f aca="false">IF(AND(RG_Exists=1,G25=0,C25=1),I25-MIN(QE25,I25),0)</f>
        <v>0</v>
      </c>
      <c r="TU25" s="20" t="n">
        <f aca="false">'Plan pay &amp; tax'!AD251</f>
        <v>369525.484509278</v>
      </c>
      <c r="TV25" s="20" t="n">
        <f aca="false">IF(AND(C25=1,QE25&gt;MAX(PR_Short1,TQ25*PR_Short2)),1,0)</f>
        <v>0</v>
      </c>
      <c r="TW25" s="20" t="n">
        <f aca="false">MIN(H25,I25+S25)</f>
        <v>77170.8638636591</v>
      </c>
      <c r="TX25" s="20" t="n">
        <f aca="false">QF25+MAX(0,HQ25-HP25)</f>
        <v>40019.8956528291</v>
      </c>
      <c r="TY25" s="20" t="n">
        <f aca="false">QE25+HP25</f>
        <v>0</v>
      </c>
      <c r="TZ25" s="20" t="n">
        <f aca="false">IF(AND(C25=1,TY25&gt;PR_MinShort),1,0)</f>
        <v>0</v>
      </c>
      <c r="UA25" s="20" t="n">
        <f aca="false">IF(AND(C25=1,TZ25=0,TX25&gt;PR_MinShort),1,0)</f>
        <v>1</v>
      </c>
      <c r="UB25" s="20" t="n">
        <f aca="false">IF(AND(C25=1,QE25&gt;PR_MinShort),1,0)</f>
        <v>0</v>
      </c>
      <c r="UC25" s="20" t="n">
        <f aca="false">IF(AND(C25=1,QF25&gt;1,UJ25=0),1,0)</f>
        <v>0</v>
      </c>
      <c r="UD25" s="20" t="str">
        <f aca="false">IF(C25=0,"",IF(UJ25=1,"Gap to plan for: short "&amp;"€"&amp;TEXT(ROUND(TP25,0),"#,##0"),IF(QF25&gt;1,"Using savings","Comfortable")))</f>
        <v>Comfortable</v>
      </c>
      <c r="UE25" s="20" t="n">
        <f aca="false">IF(AND(INT(D25/10)*10=90,B25&gt;0),80,INT(D25/10)*10)</f>
        <v>50</v>
      </c>
      <c r="UF25" s="20" t="n">
        <f aca="false">IF(B25=0,1,IF(UE25&lt;&gt;UE24,UF24+1,UF24))</f>
        <v>3</v>
      </c>
      <c r="UG25" s="20" t="n">
        <f aca="false">IF(AND(C25=1,G25=1,QE25&gt;MAX(PR_Short1,TQ25*PR_Short2)),1,0)</f>
        <v>0</v>
      </c>
      <c r="UH25" s="20" t="n">
        <f aca="false">TR25*TV25</f>
        <v>0</v>
      </c>
      <c r="UI25" s="20" t="n">
        <f aca="false">IF(AND(V25=1,Slot1_PctLow=1),1,0)+IF(AND(AG25=1,Slot2_PctLow=1),1,0)+IF(AND(AQ25=1,Slot3_PctLow=1),1,0)+IF(AND(BA25=1,Slot4_PctLow=1),1,0)+IF(AND(BK25=1,Slot5_PctLow=1),1,0)+IF(AND(BU25=1,Slot6_PctLow=1),1,0)+IF(AND(CE25=1,Slot7_PctLow=1),1,0)+IF(AND(CO25=1,Slot8_PctLow=1),1,0)+IF(AND(CY25=1,Slot9_PctLow=1),1,0)+IF(AND(DI25=1,Slot10_PctLow=1),1,0)+IF(AND(DS25=1,Slot11_PctLow=1),1,0)+IF(AND(EC25=1,Slot12_PctLow=1),1,0)+IF(AND(EM25=1,Slot13_PctLow=1),1,0)+IF(AND(EW25=1,Slot14_PctLow=1),1,0)+IF(AND(FG25=1,Slot15_PctLow=1),1,0)+IF(AND(FQ25=1,Slot16_PctLow=1),1,0)+IF(AND(GA25=1,Slot17_PctLow=1),1,0)+IF(AND(GK25=1,Slot18_PctLow=1),1,0)+IF(AND(GU25=1,Slot19_PctLow=1),1,0)+IF(AND(HE25=1,Slot20_PctLow=1),1,0)</f>
        <v>0</v>
      </c>
      <c r="UJ25" s="20" t="n">
        <f aca="false">IF(C25=1,IF(OR(TV25=1,UI25&gt;0),1,0),0)</f>
        <v>0</v>
      </c>
      <c r="UK25" s="20" t="n">
        <f aca="false">Z25+AK25+AU25+BE25+BO25+BY25+CI25+CS25+DC25+DM25+DW25+EG25+EQ25+FA25+FK25+FU25+GE25+GO25+GY25+HI25+OM25</f>
        <v>0</v>
      </c>
      <c r="UL25" s="20" t="n">
        <f aca="false">V25*IF(Slot1_SpendLike=1,X25-Y25,IF(Slot1_PotFree=1,X25,0))+AG25*IF(Slot2_SpendLike=1,AI25-AJ25,IF(Slot2_PotFree=1,AI25,0))+AQ25*IF(Slot3_SpendLike=1,AS25-AT25,IF(Slot3_PotFree=1,AS25,0))+BA25*IF(Slot4_SpendLike=1,BC25-BD25,IF(Slot4_PotFree=1,BC25,0))+BK25*IF(Slot5_SpendLike=1,BM25-BN25,IF(Slot5_PotFree=1,BM25,0))+BU25*IF(Slot6_SpendLike=1,BW25-BX25,IF(Slot6_PotFree=1,BW25,0))+CE25*IF(Slot7_SpendLike=1,CG25-CH25,IF(Slot7_PotFree=1,CG25,0))+CO25*IF(Slot8_SpendLike=1,CQ25-CR25,IF(Slot8_PotFree=1,CQ25,0))+CY25*IF(Slot9_SpendLike=1,DA25-DB25,IF(Slot9_PotFree=1,DA25,0))+DI25*IF(Slot10_SpendLike=1,DK25-DL25,IF(Slot10_PotFree=1,DK25,0))+DS25*IF(Slot11_SpendLike=1,DU25-DV25,IF(Slot11_PotFree=1,DU25,0))+EC25*IF(Slot12_SpendLike=1,EE25-EF25,IF(Slot12_PotFree=1,EE25,0))+EM25*IF(Slot13_SpendLike=1,EO25-EP25,IF(Slot13_PotFree=1,EO25,0))+EW25*IF(Slot14_SpendLike=1,EY25-EZ25,IF(Slot14_PotFree=1,EY25,0))+FG25*IF(Slot15_SpendLike=1,FI25-FJ25,IF(Slot15_PotFree=1,FI25,0))+FQ25*IF(Slot16_SpendLike=1,FS25-FT25,IF(Slot16_PotFree=1,FS25,0))+GA25*IF(Slot17_SpendLike=1,GC25-GD25,IF(Slot17_PotFree=1,GC25,0))+GK25*IF(Slot18_SpendLike=1,GM25-GN25,IF(Slot18_PotFree=1,GM25,0))+GU25*IF(Slot19_SpendLike=1,GW25-GX25,IF(Slot19_PotFree=1,GW25,0))+HE25*IF(Slot20_SpendLike=1,HG25-HH25,IF(Slot20_PotFree=1,HG25,0))</f>
        <v>0</v>
      </c>
      <c r="UM25" s="20" t="n">
        <f aca="false">QG25-T25+UK25-UL25</f>
        <v>8401.44851515455</v>
      </c>
      <c r="UN25" s="20" t="n">
        <f aca="false">IF(OR(UN24=1,AND(In_homeUse="Yes, I'd downsize",In_downAge&gt;0,D25=In_downAge,OR(In_home="Own outright",In_home="Own with mortgage"),In_homeValue&gt;0)),1,0)</f>
        <v>0</v>
      </c>
    </row>
    <row r="26" customFormat="false" ht="15" hidden="false" customHeight="true" outlineLevel="0" collapsed="false">
      <c r="B26" s="20" t="n">
        <v>18</v>
      </c>
      <c r="C26" s="20" t="n">
        <f aca="false">IF(B26&lt;=F_N,1,0)</f>
        <v>1</v>
      </c>
      <c r="D26" s="20" t="n">
        <f aca="false">'Plan pay &amp; tax'!C252</f>
        <v>56</v>
      </c>
      <c r="E26" s="20" t="str">
        <f aca="false">IF($C26=1,"Income tax "&amp;TEXT(N('Plan pay &amp; tax'!BK252),"#,##0")&amp;"; USC "&amp;TEXT(N('Plan pay &amp; tax'!BM252)+N('Plan pay &amp; tax'!BO252),"#,##0")&amp;"; PRSI "&amp;TEXT(N('Plan pay &amp; tax'!BP252)+N('Plan pay &amp; tax'!BQ252),"#,##0")&amp;IF(N('Plan holdings'!BO26)&gt;=0.5,"; DIRT "&amp;TEXT(('Plan holdings'!BO26)/$F26,"#,##0")&amp;" (already taken from the interest earned)","")&amp;IF(N('Plan holdings'!BP26)&gt;=0.5,"; exit tax at an 8-year anniversary "&amp;TEXT(('Plan holdings'!BP26)/$F26,"#,##0"),"")&amp;IF(N('Plan holdings'!BN26)&gt;=0.5,"; tax on assets sold (exit tax or capital gains tax) "&amp;TEXT(('Plan holdings'!BN26)/$F26,"#,##0"),"")&amp;IF(N('Plan pay &amp; tax'!X252)-N('Plan pay &amp; tax'!Y252)&gt;=0.5,"; tax on the pension lump sum "&amp;TEXT(('Plan pay &amp; tax'!X252-'Plan pay &amp; tax'!Y252)/$F26,"#,##0"),"")&amp;IF(N('Plan pay &amp; tax'!V252)&gt;=0.5,"; chargeable excess tax on the pension "&amp;TEXT(('Plan pay &amp; tax'!V252)/$F26,"#,##0"),"")&amp;".","")</f>
        <v>Income tax 14,611; USC 1,951; PRSI 4,482; DIRT 116 (already taken from the interest earned); exit tax at an 8-year anniversary 70.</v>
      </c>
      <c r="F26" s="50" t="n">
        <f aca="false">'Plan pay &amp; tax'!E252</f>
        <v>1.42824624757627</v>
      </c>
      <c r="G26" s="20" t="n">
        <f aca="false">'Plan pay &amp; tax'!G252</f>
        <v>1</v>
      </c>
      <c r="H26" s="20" t="n">
        <f aca="false">'Plan pay &amp; tax'!BT252-'Plan pay &amp; tax'!BS252-'Plan pay &amp; tax'!R252</f>
        <v>100827.211784677</v>
      </c>
      <c r="I26" s="20" t="n">
        <f aca="false">IF(G26=1,F_CostsM*12,IF(RG_Exists=1,RG_Amount,F_CostsM*12*AS_RetireSpend))*F26+F_OneOffY*F26</f>
        <v>64271.0811409323</v>
      </c>
      <c r="J26" s="20" t="n">
        <f aca="false">IF(UN26=1,0,HR25)</f>
        <v>0</v>
      </c>
      <c r="K26" s="20" t="n">
        <f aca="false">IF(J26&gt;1,'Plan debt months'!AC26,0)</f>
        <v>0</v>
      </c>
      <c r="L26" s="20" t="n">
        <f aca="false">IF(J26&gt;1,'Plan debt months'!AB26,J26)</f>
        <v>0</v>
      </c>
      <c r="M26" s="20" t="n">
        <f aca="false">O25</f>
        <v>0</v>
      </c>
      <c r="N26" s="20" t="n">
        <f aca="false">IF(M26&gt;1,'Plan debt months'!BD26,0)</f>
        <v>0</v>
      </c>
      <c r="O26" s="20" t="n">
        <f aca="false">IF(M26&gt;1,'Plan debt months'!BC26,M26)</f>
        <v>0</v>
      </c>
      <c r="P26" s="20" t="n">
        <f aca="false">R25</f>
        <v>0</v>
      </c>
      <c r="Q26" s="20" t="n">
        <f aca="false">IF(P26&gt;1,'Plan debt months'!CE26,0)</f>
        <v>0</v>
      </c>
      <c r="R26" s="20" t="n">
        <f aca="false">IF(P26&gt;1,'Plan debt months'!CD26,P26)</f>
        <v>0</v>
      </c>
      <c r="S26" s="20" t="n">
        <f aca="false">K26+N26+Q26</f>
        <v>0</v>
      </c>
      <c r="T26" s="57" t="n">
        <f aca="false">'Plan holdings'!Y26</f>
        <v>25565.1840033356</v>
      </c>
      <c r="U26" s="57" t="n">
        <f aca="false">'Plan holdings'!BM25</f>
        <v>26026.4043586351</v>
      </c>
      <c r="V26" s="20" t="n">
        <f aca="false">IF(AND(Slot1_On=1,D26=Slot1_Age),1,0)</f>
        <v>0</v>
      </c>
      <c r="W26" s="20" t="n">
        <f aca="false">IF(AND(Slot1_On=1,Slot1_Age&gt;D26),1,0)</f>
        <v>0</v>
      </c>
      <c r="X26" s="20" t="n">
        <f aca="false">QM25</f>
        <v>0</v>
      </c>
      <c r="Y26" s="20" t="n">
        <f aca="false">V26*MIN(Slot1_Cost,X26)</f>
        <v>0</v>
      </c>
      <c r="Z26" s="20" t="n">
        <f aca="false">V26*Slot1_SpendLike*MIN(Slot1_Cost-Y26,T26)</f>
        <v>0</v>
      </c>
      <c r="AA26" s="20" t="n">
        <f aca="false">Y26+Z26</f>
        <v>0</v>
      </c>
      <c r="AB26" s="20" t="n">
        <f aca="false">T26-Z26+V26*IF(Slot1_SpendLike=1,X26-Y26,IF(Slot1_PotFree=1,X26,0))</f>
        <v>25565.1840033356</v>
      </c>
      <c r="AC26" s="20" t="n">
        <f aca="false">AF26+V26*Slot1_BufPot*X26</f>
        <v>13342.1175291283</v>
      </c>
      <c r="AD26" s="20" t="n">
        <f aca="false">IF(AND(V26=1,Slot1_IsMfree=1),IF(AA26&gt;=Slot1_Cost-1,0,MAX(0,L26-AA26)),L26)</f>
        <v>0</v>
      </c>
      <c r="AE26" s="20" t="n">
        <f aca="false">V26*(Slot1_Cost-AA26)</f>
        <v>0</v>
      </c>
      <c r="AF26" s="20" t="n">
        <f aca="false">QL25</f>
        <v>13342.1175291283</v>
      </c>
      <c r="AG26" s="20" t="n">
        <f aca="false">IF(AND(Slot2_On=1,D26=Slot2_Age),1,0)</f>
        <v>0</v>
      </c>
      <c r="AH26" s="20" t="n">
        <f aca="false">IF(AND(Slot2_On=1,Slot2_Age&gt;D26),1,0)</f>
        <v>0</v>
      </c>
      <c r="AI26" s="20" t="n">
        <f aca="false">QQ25</f>
        <v>0</v>
      </c>
      <c r="AJ26" s="20" t="n">
        <f aca="false">AG26*MIN(Slot2_Cost,AI26)</f>
        <v>0</v>
      </c>
      <c r="AK26" s="20" t="n">
        <f aca="false">AG26*Slot2_SpendLike*MIN(Slot2_Cost-AJ26,AB26)</f>
        <v>0</v>
      </c>
      <c r="AL26" s="20" t="n">
        <f aca="false">AJ26+AK26</f>
        <v>0</v>
      </c>
      <c r="AM26" s="20" t="n">
        <f aca="false">AB26-AK26+AG26*IF(Slot2_SpendLike=1,AI26-AJ26,IF(Slot2_PotFree=1,AI26,0))</f>
        <v>25565.1840033356</v>
      </c>
      <c r="AN26" s="20" t="n">
        <f aca="false">AC26+AG26*Slot2_BufPot*AI26</f>
        <v>13342.1175291283</v>
      </c>
      <c r="AO26" s="20" t="n">
        <f aca="false">IF(AND(AG26=1,Slot2_IsMfree=1),IF(AL26&gt;=Slot2_Cost-1,0,MAX(0,AD26-AL26)),AD26)</f>
        <v>0</v>
      </c>
      <c r="AP26" s="20" t="n">
        <f aca="false">AG26*(Slot2_Cost-AL26)</f>
        <v>0</v>
      </c>
      <c r="AQ26" s="20" t="n">
        <f aca="false">IF(AND(Slot3_On=1,D26=Slot3_Age),1,0)</f>
        <v>0</v>
      </c>
      <c r="AR26" s="20" t="n">
        <f aca="false">IF(AND(Slot3_On=1,Slot3_Age&gt;D26),1,0)</f>
        <v>0</v>
      </c>
      <c r="AS26" s="20" t="n">
        <f aca="false">QU25</f>
        <v>0</v>
      </c>
      <c r="AT26" s="20" t="n">
        <f aca="false">AQ26*MIN(Slot3_Cost,AS26)</f>
        <v>0</v>
      </c>
      <c r="AU26" s="20" t="n">
        <f aca="false">AQ26*Slot3_SpendLike*MIN(Slot3_Cost-AT26,AM26)</f>
        <v>0</v>
      </c>
      <c r="AV26" s="20" t="n">
        <f aca="false">AT26+AU26</f>
        <v>0</v>
      </c>
      <c r="AW26" s="20" t="n">
        <f aca="false">AM26-AU26+AQ26*IF(Slot3_SpendLike=1,AS26-AT26,IF(Slot3_PotFree=1,AS26,0))</f>
        <v>25565.1840033356</v>
      </c>
      <c r="AX26" s="20" t="n">
        <f aca="false">AN26+AQ26*Slot3_BufPot*AS26</f>
        <v>13342.1175291283</v>
      </c>
      <c r="AY26" s="20" t="n">
        <f aca="false">IF(AND(AQ26=1,Slot3_IsMfree=1),IF(AV26&gt;=Slot3_Cost-1,0,MAX(0,AO26-AV26)),AO26)</f>
        <v>0</v>
      </c>
      <c r="AZ26" s="20" t="n">
        <f aca="false">AQ26*(Slot3_Cost-AV26)</f>
        <v>0</v>
      </c>
      <c r="BA26" s="20" t="n">
        <f aca="false">IF(AND(Slot4_On=1,D26=Slot4_Age),1,0)</f>
        <v>0</v>
      </c>
      <c r="BB26" s="20" t="n">
        <f aca="false">IF(AND(Slot4_On=1,Slot4_Age&gt;D26),1,0)</f>
        <v>0</v>
      </c>
      <c r="BC26" s="20" t="n">
        <f aca="false">QY25</f>
        <v>0</v>
      </c>
      <c r="BD26" s="20" t="n">
        <f aca="false">BA26*MIN(Slot4_Cost,BC26)</f>
        <v>0</v>
      </c>
      <c r="BE26" s="20" t="n">
        <f aca="false">BA26*Slot4_SpendLike*MIN(Slot4_Cost-BD26,AW26)</f>
        <v>0</v>
      </c>
      <c r="BF26" s="20" t="n">
        <f aca="false">BD26+BE26</f>
        <v>0</v>
      </c>
      <c r="BG26" s="20" t="n">
        <f aca="false">AW26-BE26+BA26*IF(Slot4_SpendLike=1,BC26-BD26,IF(Slot4_PotFree=1,BC26,0))</f>
        <v>25565.1840033356</v>
      </c>
      <c r="BH26" s="20" t="n">
        <f aca="false">AX26+BA26*Slot4_BufPot*BC26</f>
        <v>13342.1175291283</v>
      </c>
      <c r="BI26" s="20" t="n">
        <f aca="false">IF(AND(BA26=1,Slot4_IsMfree=1),IF(BF26&gt;=Slot4_Cost-1,0,MAX(0,AY26-BF26)),AY26)</f>
        <v>0</v>
      </c>
      <c r="BJ26" s="20" t="n">
        <f aca="false">BA26*(Slot4_Cost-BF26)</f>
        <v>0</v>
      </c>
      <c r="BK26" s="20" t="n">
        <f aca="false">IF(AND(Slot5_On=1,D26=Slot5_Age),1,0)</f>
        <v>0</v>
      </c>
      <c r="BL26" s="20" t="n">
        <f aca="false">IF(AND(Slot5_On=1,Slot5_Age&gt;D26),1,0)</f>
        <v>0</v>
      </c>
      <c r="BM26" s="20" t="n">
        <f aca="false">RC25</f>
        <v>0</v>
      </c>
      <c r="BN26" s="20" t="n">
        <f aca="false">BK26*MIN(Slot5_Cost,BM26)</f>
        <v>0</v>
      </c>
      <c r="BO26" s="20" t="n">
        <f aca="false">BK26*Slot5_SpendLike*MIN(Slot5_Cost-BN26,BG26)</f>
        <v>0</v>
      </c>
      <c r="BP26" s="20" t="n">
        <f aca="false">BN26+BO26</f>
        <v>0</v>
      </c>
      <c r="BQ26" s="20" t="n">
        <f aca="false">BG26-BO26+BK26*IF(Slot5_SpendLike=1,BM26-BN26,IF(Slot5_PotFree=1,BM26,0))</f>
        <v>25565.1840033356</v>
      </c>
      <c r="BR26" s="20" t="n">
        <f aca="false">BH26+BK26*Slot5_BufPot*BM26</f>
        <v>13342.1175291283</v>
      </c>
      <c r="BS26" s="20" t="n">
        <f aca="false">IF(AND(BK26=1,Slot5_IsMfree=1),IF(BP26&gt;=Slot5_Cost-1,0,MAX(0,BI26-BP26)),BI26)</f>
        <v>0</v>
      </c>
      <c r="BT26" s="20" t="n">
        <f aca="false">BK26*(Slot5_Cost-BP26)</f>
        <v>0</v>
      </c>
      <c r="BU26" s="20" t="n">
        <f aca="false">IF(AND(Slot6_On=1,D26=Slot6_Age),1,0)</f>
        <v>0</v>
      </c>
      <c r="BV26" s="20" t="n">
        <f aca="false">IF(AND(Slot6_On=1,Slot6_Age&gt;D26),1,0)</f>
        <v>0</v>
      </c>
      <c r="BW26" s="20" t="n">
        <f aca="false">RG25</f>
        <v>0</v>
      </c>
      <c r="BX26" s="20" t="n">
        <f aca="false">BU26*MIN(Slot6_Cost,BW26)</f>
        <v>0</v>
      </c>
      <c r="BY26" s="20" t="n">
        <f aca="false">BU26*Slot6_SpendLike*MIN(Slot6_Cost-BX26,BQ26)</f>
        <v>0</v>
      </c>
      <c r="BZ26" s="20" t="n">
        <f aca="false">BX26+BY26</f>
        <v>0</v>
      </c>
      <c r="CA26" s="20" t="n">
        <f aca="false">BQ26-BY26+BU26*IF(Slot6_SpendLike=1,BW26-BX26,IF(Slot6_PotFree=1,BW26,0))</f>
        <v>25565.1840033356</v>
      </c>
      <c r="CB26" s="20" t="n">
        <f aca="false">BR26+BU26*Slot6_BufPot*BW26</f>
        <v>13342.1175291283</v>
      </c>
      <c r="CC26" s="20" t="n">
        <f aca="false">IF(AND(BU26=1,Slot6_IsMfree=1),IF(BZ26&gt;=Slot6_Cost-1,0,MAX(0,BS26-BZ26)),BS26)</f>
        <v>0</v>
      </c>
      <c r="CD26" s="20" t="n">
        <f aca="false">BU26*(Slot6_Cost-BZ26)</f>
        <v>0</v>
      </c>
      <c r="CE26" s="20" t="n">
        <f aca="false">IF(AND(Slot7_On=1,D26=Slot7_Age),1,0)</f>
        <v>0</v>
      </c>
      <c r="CF26" s="20" t="n">
        <f aca="false">IF(AND(Slot7_On=1,Slot7_Age&gt;D26),1,0)</f>
        <v>0</v>
      </c>
      <c r="CG26" s="20" t="n">
        <f aca="false">RK25</f>
        <v>0</v>
      </c>
      <c r="CH26" s="20" t="n">
        <f aca="false">CE26*MIN(Slot7_Cost,CG26)</f>
        <v>0</v>
      </c>
      <c r="CI26" s="20" t="n">
        <f aca="false">CE26*Slot7_SpendLike*MIN(Slot7_Cost-CH26,CA26)</f>
        <v>0</v>
      </c>
      <c r="CJ26" s="20" t="n">
        <f aca="false">CH26+CI26</f>
        <v>0</v>
      </c>
      <c r="CK26" s="20" t="n">
        <f aca="false">CA26-CI26+CE26*IF(Slot7_SpendLike=1,CG26-CH26,IF(Slot7_PotFree=1,CG26,0))</f>
        <v>25565.1840033356</v>
      </c>
      <c r="CL26" s="20" t="n">
        <f aca="false">CB26+CE26*Slot7_BufPot*CG26</f>
        <v>13342.1175291283</v>
      </c>
      <c r="CM26" s="20" t="n">
        <f aca="false">IF(AND(CE26=1,Slot7_IsMfree=1),IF(CJ26&gt;=Slot7_Cost-1,0,MAX(0,CC26-CJ26)),CC26)</f>
        <v>0</v>
      </c>
      <c r="CN26" s="20" t="n">
        <f aca="false">CE26*(Slot7_Cost-CJ26)</f>
        <v>0</v>
      </c>
      <c r="CO26" s="20" t="n">
        <f aca="false">IF(AND(Slot8_On=1,D26=Slot8_Age),1,0)</f>
        <v>0</v>
      </c>
      <c r="CP26" s="20" t="n">
        <f aca="false">IF(AND(Slot8_On=1,Slot8_Age&gt;D26),1,0)</f>
        <v>0</v>
      </c>
      <c r="CQ26" s="20" t="n">
        <f aca="false">RO25</f>
        <v>0</v>
      </c>
      <c r="CR26" s="20" t="n">
        <f aca="false">CO26*MIN(Slot8_Cost,CQ26)</f>
        <v>0</v>
      </c>
      <c r="CS26" s="20" t="n">
        <f aca="false">CO26*Slot8_SpendLike*MIN(Slot8_Cost-CR26,CK26)</f>
        <v>0</v>
      </c>
      <c r="CT26" s="20" t="n">
        <f aca="false">CR26+CS26</f>
        <v>0</v>
      </c>
      <c r="CU26" s="20" t="n">
        <f aca="false">CK26-CS26+CO26*IF(Slot8_SpendLike=1,CQ26-CR26,IF(Slot8_PotFree=1,CQ26,0))</f>
        <v>25565.1840033356</v>
      </c>
      <c r="CV26" s="20" t="n">
        <f aca="false">CL26+CO26*Slot8_BufPot*CQ26</f>
        <v>13342.1175291283</v>
      </c>
      <c r="CW26" s="20" t="n">
        <f aca="false">IF(AND(CO26=1,Slot8_IsMfree=1),IF(CT26&gt;=Slot8_Cost-1,0,MAX(0,CM26-CT26)),CM26)</f>
        <v>0</v>
      </c>
      <c r="CX26" s="20" t="n">
        <f aca="false">CO26*(Slot8_Cost-CT26)</f>
        <v>0</v>
      </c>
      <c r="CY26" s="20" t="n">
        <f aca="false">IF(AND(Slot9_On=1,D26=Slot9_Age),1,0)</f>
        <v>0</v>
      </c>
      <c r="CZ26" s="20" t="n">
        <f aca="false">IF(AND(Slot9_On=1,Slot9_Age&gt;D26),1,0)</f>
        <v>0</v>
      </c>
      <c r="DA26" s="20" t="n">
        <f aca="false">RS25</f>
        <v>0</v>
      </c>
      <c r="DB26" s="20" t="n">
        <f aca="false">CY26*MIN(Slot9_Cost,DA26)</f>
        <v>0</v>
      </c>
      <c r="DC26" s="20" t="n">
        <f aca="false">CY26*Slot9_SpendLike*MIN(Slot9_Cost-DB26,CU26)</f>
        <v>0</v>
      </c>
      <c r="DD26" s="20" t="n">
        <f aca="false">DB26+DC26</f>
        <v>0</v>
      </c>
      <c r="DE26" s="20" t="n">
        <f aca="false">CU26-DC26+CY26*IF(Slot9_SpendLike=1,DA26-DB26,IF(Slot9_PotFree=1,DA26,0))</f>
        <v>25565.1840033356</v>
      </c>
      <c r="DF26" s="20" t="n">
        <f aca="false">CV26+CY26*Slot9_BufPot*DA26</f>
        <v>13342.1175291283</v>
      </c>
      <c r="DG26" s="20" t="n">
        <f aca="false">IF(AND(CY26=1,Slot9_IsMfree=1),IF(DD26&gt;=Slot9_Cost-1,0,MAX(0,CW26-DD26)),CW26)</f>
        <v>0</v>
      </c>
      <c r="DH26" s="20" t="n">
        <f aca="false">CY26*(Slot9_Cost-DD26)</f>
        <v>0</v>
      </c>
      <c r="DI26" s="20" t="n">
        <f aca="false">IF(AND(Slot10_On=1,D26=Slot10_Age),1,0)</f>
        <v>0</v>
      </c>
      <c r="DJ26" s="20" t="n">
        <f aca="false">IF(AND(Slot10_On=1,Slot10_Age&gt;D26),1,0)</f>
        <v>0</v>
      </c>
      <c r="DK26" s="20" t="n">
        <f aca="false">RW25</f>
        <v>0</v>
      </c>
      <c r="DL26" s="20" t="n">
        <f aca="false">DI26*MIN(Slot10_Cost,DK26)</f>
        <v>0</v>
      </c>
      <c r="DM26" s="20" t="n">
        <f aca="false">DI26*Slot10_SpendLike*MIN(Slot10_Cost-DL26,DE26)</f>
        <v>0</v>
      </c>
      <c r="DN26" s="20" t="n">
        <f aca="false">DL26+DM26</f>
        <v>0</v>
      </c>
      <c r="DO26" s="20" t="n">
        <f aca="false">DE26-DM26+DI26*IF(Slot10_SpendLike=1,DK26-DL26,IF(Slot10_PotFree=1,DK26,0))</f>
        <v>25565.1840033356</v>
      </c>
      <c r="DP26" s="20" t="n">
        <f aca="false">DF26+DI26*Slot10_BufPot*DK26</f>
        <v>13342.1175291283</v>
      </c>
      <c r="DQ26" s="20" t="n">
        <f aca="false">IF(AND(DI26=1,Slot10_IsMfree=1),IF(DN26&gt;=Slot10_Cost-1,0,MAX(0,DG26-DN26)),DG26)</f>
        <v>0</v>
      </c>
      <c r="DR26" s="20" t="n">
        <f aca="false">DI26*(Slot10_Cost-DN26)</f>
        <v>0</v>
      </c>
      <c r="DS26" s="20" t="n">
        <f aca="false">IF(AND(Slot11_On=1,D26=Slot11_Age),1,0)</f>
        <v>0</v>
      </c>
      <c r="DT26" s="20" t="n">
        <f aca="false">IF(AND(Slot11_On=1,Slot11_Age&gt;D26),1,0)</f>
        <v>0</v>
      </c>
      <c r="DU26" s="20" t="n">
        <f aca="false">SA25</f>
        <v>0</v>
      </c>
      <c r="DV26" s="20" t="n">
        <f aca="false">DS26*MIN(Slot11_Cost,DU26)</f>
        <v>0</v>
      </c>
      <c r="DW26" s="20" t="n">
        <f aca="false">DS26*Slot11_SpendLike*MIN(Slot11_Cost-DV26,DO26)</f>
        <v>0</v>
      </c>
      <c r="DX26" s="20" t="n">
        <f aca="false">DV26+DW26</f>
        <v>0</v>
      </c>
      <c r="DY26" s="20" t="n">
        <f aca="false">DO26-DW26+DS26*IF(Slot11_SpendLike=1,DU26-DV26,IF(Slot11_PotFree=1,DU26,0))</f>
        <v>25565.1840033356</v>
      </c>
      <c r="DZ26" s="20" t="n">
        <f aca="false">DP26+DS26*Slot11_BufPot*DU26</f>
        <v>13342.1175291283</v>
      </c>
      <c r="EA26" s="20" t="n">
        <f aca="false">IF(AND(DS26=1,Slot11_IsMfree=1),IF(DX26&gt;=Slot11_Cost-1,0,MAX(0,DQ26-DX26)),DQ26)</f>
        <v>0</v>
      </c>
      <c r="EB26" s="20" t="n">
        <f aca="false">DS26*(Slot11_Cost-DX26)</f>
        <v>0</v>
      </c>
      <c r="EC26" s="20" t="n">
        <f aca="false">IF(AND(Slot12_On=1,D26=Slot12_Age),1,0)</f>
        <v>0</v>
      </c>
      <c r="ED26" s="20" t="n">
        <f aca="false">IF(AND(Slot12_On=1,Slot12_Age&gt;D26),1,0)</f>
        <v>0</v>
      </c>
      <c r="EE26" s="20" t="n">
        <f aca="false">SE25</f>
        <v>0</v>
      </c>
      <c r="EF26" s="20" t="n">
        <f aca="false">EC26*MIN(Slot12_Cost,EE26)</f>
        <v>0</v>
      </c>
      <c r="EG26" s="20" t="n">
        <f aca="false">EC26*Slot12_SpendLike*MIN(Slot12_Cost-EF26,DY26)</f>
        <v>0</v>
      </c>
      <c r="EH26" s="20" t="n">
        <f aca="false">EF26+EG26</f>
        <v>0</v>
      </c>
      <c r="EI26" s="20" t="n">
        <f aca="false">DY26-EG26+EC26*IF(Slot12_SpendLike=1,EE26-EF26,IF(Slot12_PotFree=1,EE26,0))</f>
        <v>25565.1840033356</v>
      </c>
      <c r="EJ26" s="20" t="n">
        <f aca="false">DZ26+EC26*Slot12_BufPot*EE26</f>
        <v>13342.1175291283</v>
      </c>
      <c r="EK26" s="20" t="n">
        <f aca="false">IF(AND(EC26=1,Slot12_IsMfree=1),IF(EH26&gt;=Slot12_Cost-1,0,MAX(0,EA26-EH26)),EA26)</f>
        <v>0</v>
      </c>
      <c r="EL26" s="20" t="n">
        <f aca="false">EC26*(Slot12_Cost-EH26)</f>
        <v>0</v>
      </c>
      <c r="EM26" s="20" t="n">
        <f aca="false">IF(AND(Slot13_On=1,D26=Slot13_Age),1,0)</f>
        <v>0</v>
      </c>
      <c r="EN26" s="20" t="n">
        <f aca="false">IF(AND(Slot13_On=1,Slot13_Age&gt;D26),1,0)</f>
        <v>0</v>
      </c>
      <c r="EO26" s="20" t="n">
        <f aca="false">SI25</f>
        <v>0</v>
      </c>
      <c r="EP26" s="20" t="n">
        <f aca="false">EM26*MIN(Slot13_Cost,EO26)</f>
        <v>0</v>
      </c>
      <c r="EQ26" s="20" t="n">
        <f aca="false">EM26*Slot13_SpendLike*MIN(Slot13_Cost-EP26,EI26)</f>
        <v>0</v>
      </c>
      <c r="ER26" s="20" t="n">
        <f aca="false">EP26+EQ26</f>
        <v>0</v>
      </c>
      <c r="ES26" s="20" t="n">
        <f aca="false">EI26-EQ26+EM26*IF(Slot13_SpendLike=1,EO26-EP26,IF(Slot13_PotFree=1,EO26,0))</f>
        <v>25565.1840033356</v>
      </c>
      <c r="ET26" s="20" t="n">
        <f aca="false">EJ26+EM26*Slot13_BufPot*EO26</f>
        <v>13342.1175291283</v>
      </c>
      <c r="EU26" s="20" t="n">
        <f aca="false">IF(AND(EM26=1,Slot13_IsMfree=1),IF(ER26&gt;=Slot13_Cost-1,0,MAX(0,EK26-ER26)),EK26)</f>
        <v>0</v>
      </c>
      <c r="EV26" s="20" t="n">
        <f aca="false">EM26*(Slot13_Cost-ER26)</f>
        <v>0</v>
      </c>
      <c r="EW26" s="20" t="n">
        <f aca="false">IF(AND(Slot14_On=1,D26=Slot14_Age),1,0)</f>
        <v>0</v>
      </c>
      <c r="EX26" s="20" t="n">
        <f aca="false">IF(AND(Slot14_On=1,Slot14_Age&gt;D26),1,0)</f>
        <v>0</v>
      </c>
      <c r="EY26" s="20" t="n">
        <f aca="false">SM25</f>
        <v>0</v>
      </c>
      <c r="EZ26" s="20" t="n">
        <f aca="false">EW26*MIN(Slot14_Cost,EY26)</f>
        <v>0</v>
      </c>
      <c r="FA26" s="20" t="n">
        <f aca="false">EW26*Slot14_SpendLike*MIN(Slot14_Cost-EZ26,ES26)</f>
        <v>0</v>
      </c>
      <c r="FB26" s="20" t="n">
        <f aca="false">EZ26+FA26</f>
        <v>0</v>
      </c>
      <c r="FC26" s="20" t="n">
        <f aca="false">ES26-FA26+EW26*IF(Slot14_SpendLike=1,EY26-EZ26,IF(Slot14_PotFree=1,EY26,0))</f>
        <v>25565.1840033356</v>
      </c>
      <c r="FD26" s="20" t="n">
        <f aca="false">ET26+EW26*Slot14_BufPot*EY26</f>
        <v>13342.1175291283</v>
      </c>
      <c r="FE26" s="20" t="n">
        <f aca="false">IF(AND(EW26=1,Slot14_IsMfree=1),IF(FB26&gt;=Slot14_Cost-1,0,MAX(0,EU26-FB26)),EU26)</f>
        <v>0</v>
      </c>
      <c r="FF26" s="20" t="n">
        <f aca="false">EW26*(Slot14_Cost-FB26)</f>
        <v>0</v>
      </c>
      <c r="FG26" s="20" t="n">
        <f aca="false">IF(AND(Slot15_On=1,D26=Slot15_Age),1,0)</f>
        <v>0</v>
      </c>
      <c r="FH26" s="20" t="n">
        <f aca="false">IF(AND(Slot15_On=1,Slot15_Age&gt;D26),1,0)</f>
        <v>0</v>
      </c>
      <c r="FI26" s="20" t="n">
        <f aca="false">SQ25</f>
        <v>0</v>
      </c>
      <c r="FJ26" s="20" t="n">
        <f aca="false">FG26*MIN(Slot15_Cost,FI26)</f>
        <v>0</v>
      </c>
      <c r="FK26" s="20" t="n">
        <f aca="false">FG26*Slot15_SpendLike*MIN(Slot15_Cost-FJ26,FC26)</f>
        <v>0</v>
      </c>
      <c r="FL26" s="20" t="n">
        <f aca="false">FJ26+FK26</f>
        <v>0</v>
      </c>
      <c r="FM26" s="20" t="n">
        <f aca="false">FC26-FK26+FG26*IF(Slot15_SpendLike=1,FI26-FJ26,IF(Slot15_PotFree=1,FI26,0))</f>
        <v>25565.1840033356</v>
      </c>
      <c r="FN26" s="20" t="n">
        <f aca="false">FD26+FG26*Slot15_BufPot*FI26</f>
        <v>13342.1175291283</v>
      </c>
      <c r="FO26" s="20" t="n">
        <f aca="false">IF(AND(FG26=1,Slot15_IsMfree=1),IF(FL26&gt;=Slot15_Cost-1,0,MAX(0,FE26-FL26)),FE26)</f>
        <v>0</v>
      </c>
      <c r="FP26" s="20" t="n">
        <f aca="false">FG26*(Slot15_Cost-FL26)</f>
        <v>0</v>
      </c>
      <c r="FQ26" s="20" t="n">
        <f aca="false">IF(AND(Slot16_On=1,D26=Slot16_Age),1,0)</f>
        <v>0</v>
      </c>
      <c r="FR26" s="20" t="n">
        <f aca="false">IF(AND(Slot16_On=1,Slot16_Age&gt;D26),1,0)</f>
        <v>0</v>
      </c>
      <c r="FS26" s="20" t="n">
        <f aca="false">SU25</f>
        <v>0</v>
      </c>
      <c r="FT26" s="20" t="n">
        <f aca="false">FQ26*MIN(Slot16_Cost,FS26)</f>
        <v>0</v>
      </c>
      <c r="FU26" s="20" t="n">
        <f aca="false">FQ26*Slot16_SpendLike*MIN(Slot16_Cost-FT26,FM26)</f>
        <v>0</v>
      </c>
      <c r="FV26" s="20" t="n">
        <f aca="false">FT26+FU26</f>
        <v>0</v>
      </c>
      <c r="FW26" s="20" t="n">
        <f aca="false">FM26-FU26+FQ26*IF(Slot16_SpendLike=1,FS26-FT26,IF(Slot16_PotFree=1,FS26,0))</f>
        <v>25565.1840033356</v>
      </c>
      <c r="FX26" s="20" t="n">
        <f aca="false">FN26+FQ26*Slot16_BufPot*FS26</f>
        <v>13342.1175291283</v>
      </c>
      <c r="FY26" s="20" t="n">
        <f aca="false">IF(AND(FQ26=1,Slot16_IsMfree=1),IF(FV26&gt;=Slot16_Cost-1,0,MAX(0,FO26-FV26)),FO26)</f>
        <v>0</v>
      </c>
      <c r="FZ26" s="20" t="n">
        <f aca="false">FQ26*(Slot16_Cost-FV26)</f>
        <v>0</v>
      </c>
      <c r="GA26" s="20" t="n">
        <f aca="false">IF(AND(Slot17_On=1,D26=Slot17_Age),1,0)</f>
        <v>0</v>
      </c>
      <c r="GB26" s="20" t="n">
        <f aca="false">IF(AND(Slot17_On=1,Slot17_Age&gt;D26),1,0)</f>
        <v>0</v>
      </c>
      <c r="GC26" s="20" t="n">
        <f aca="false">SY25</f>
        <v>0</v>
      </c>
      <c r="GD26" s="20" t="n">
        <f aca="false">GA26*MIN(Slot17_Cost,GC26)</f>
        <v>0</v>
      </c>
      <c r="GE26" s="20" t="n">
        <f aca="false">GA26*Slot17_SpendLike*MIN(Slot17_Cost-GD26,FW26)</f>
        <v>0</v>
      </c>
      <c r="GF26" s="20" t="n">
        <f aca="false">GD26+GE26</f>
        <v>0</v>
      </c>
      <c r="GG26" s="20" t="n">
        <f aca="false">FW26-GE26+GA26*IF(Slot17_SpendLike=1,GC26-GD26,IF(Slot17_PotFree=1,GC26,0))</f>
        <v>25565.1840033356</v>
      </c>
      <c r="GH26" s="20" t="n">
        <f aca="false">FX26+GA26*Slot17_BufPot*GC26</f>
        <v>13342.1175291283</v>
      </c>
      <c r="GI26" s="20" t="n">
        <f aca="false">IF(AND(GA26=1,Slot17_IsMfree=1),IF(GF26&gt;=Slot17_Cost-1,0,MAX(0,FY26-GF26)),FY26)</f>
        <v>0</v>
      </c>
      <c r="GJ26" s="20" t="n">
        <f aca="false">GA26*(Slot17_Cost-GF26)</f>
        <v>0</v>
      </c>
      <c r="GK26" s="20" t="n">
        <f aca="false">IF(AND(Slot18_On=1,D26=Slot18_Age),1,0)</f>
        <v>0</v>
      </c>
      <c r="GL26" s="20" t="n">
        <f aca="false">IF(AND(Slot18_On=1,Slot18_Age&gt;D26),1,0)</f>
        <v>0</v>
      </c>
      <c r="GM26" s="20" t="n">
        <f aca="false">TC25</f>
        <v>0</v>
      </c>
      <c r="GN26" s="20" t="n">
        <f aca="false">GK26*MIN(Slot18_Cost,GM26)</f>
        <v>0</v>
      </c>
      <c r="GO26" s="20" t="n">
        <f aca="false">GK26*Slot18_SpendLike*MIN(Slot18_Cost-GN26,GG26)</f>
        <v>0</v>
      </c>
      <c r="GP26" s="20" t="n">
        <f aca="false">GN26+GO26</f>
        <v>0</v>
      </c>
      <c r="GQ26" s="20" t="n">
        <f aca="false">GG26-GO26+GK26*IF(Slot18_SpendLike=1,GM26-GN26,IF(Slot18_PotFree=1,GM26,0))</f>
        <v>25565.1840033356</v>
      </c>
      <c r="GR26" s="20" t="n">
        <f aca="false">GH26+GK26*Slot18_BufPot*GM26</f>
        <v>13342.1175291283</v>
      </c>
      <c r="GS26" s="20" t="n">
        <f aca="false">IF(AND(GK26=1,Slot18_IsMfree=1),IF(GP26&gt;=Slot18_Cost-1,0,MAX(0,GI26-GP26)),GI26)</f>
        <v>0</v>
      </c>
      <c r="GT26" s="20" t="n">
        <f aca="false">GK26*(Slot18_Cost-GP26)</f>
        <v>0</v>
      </c>
      <c r="GU26" s="20" t="n">
        <f aca="false">IF(AND(Slot19_On=1,D26=Slot19_Age),1,0)</f>
        <v>0</v>
      </c>
      <c r="GV26" s="20" t="n">
        <f aca="false">IF(AND(Slot19_On=1,Slot19_Age&gt;D26),1,0)</f>
        <v>0</v>
      </c>
      <c r="GW26" s="20" t="n">
        <f aca="false">TG25</f>
        <v>0</v>
      </c>
      <c r="GX26" s="20" t="n">
        <f aca="false">GU26*MIN(Slot19_Cost,GW26)</f>
        <v>0</v>
      </c>
      <c r="GY26" s="20" t="n">
        <f aca="false">GU26*Slot19_SpendLike*MIN(Slot19_Cost-GX26,GQ26)</f>
        <v>0</v>
      </c>
      <c r="GZ26" s="20" t="n">
        <f aca="false">GX26+GY26</f>
        <v>0</v>
      </c>
      <c r="HA26" s="20" t="n">
        <f aca="false">GQ26-GY26+GU26*IF(Slot19_SpendLike=1,GW26-GX26,IF(Slot19_PotFree=1,GW26,0))</f>
        <v>25565.1840033356</v>
      </c>
      <c r="HB26" s="20" t="n">
        <f aca="false">GR26+GU26*Slot19_BufPot*GW26</f>
        <v>13342.1175291283</v>
      </c>
      <c r="HC26" s="20" t="n">
        <f aca="false">IF(AND(GU26=1,Slot19_IsMfree=1),IF(GZ26&gt;=Slot19_Cost-1,0,MAX(0,GS26-GZ26)),GS26)</f>
        <v>0</v>
      </c>
      <c r="HD26" s="20" t="n">
        <f aca="false">GU26*(Slot19_Cost-GZ26)</f>
        <v>0</v>
      </c>
      <c r="HE26" s="20" t="n">
        <f aca="false">IF(AND(Slot20_On=1,D26=Slot20_Age),1,0)</f>
        <v>0</v>
      </c>
      <c r="HF26" s="20" t="n">
        <f aca="false">IF(AND(Slot20_On=1,Slot20_Age&gt;D26),1,0)</f>
        <v>0</v>
      </c>
      <c r="HG26" s="20" t="n">
        <f aca="false">TK25</f>
        <v>0</v>
      </c>
      <c r="HH26" s="20" t="n">
        <f aca="false">HE26*MIN(Slot20_Cost,HG26)</f>
        <v>0</v>
      </c>
      <c r="HI26" s="20" t="n">
        <f aca="false">HE26*Slot20_SpendLike*MIN(Slot20_Cost-HH26,HA26)</f>
        <v>0</v>
      </c>
      <c r="HJ26" s="20" t="n">
        <f aca="false">HH26+HI26</f>
        <v>0</v>
      </c>
      <c r="HK26" s="20" t="n">
        <f aca="false">HA26-HI26+HE26*IF(Slot20_SpendLike=1,HG26-HH26,IF(Slot20_PotFree=1,HG26,0))</f>
        <v>25565.1840033356</v>
      </c>
      <c r="HL26" s="20" t="n">
        <f aca="false">HB26+HE26*Slot20_BufPot*HG26</f>
        <v>13342.1175291283</v>
      </c>
      <c r="HM26" s="20" t="n">
        <f aca="false">IF(AND(HE26=1,Slot20_IsMfree=1),IF(HJ26&gt;=Slot20_Cost-1,0,MAX(0,HC26-HJ26)),HC26)</f>
        <v>0</v>
      </c>
      <c r="HN26" s="20" t="n">
        <f aca="false">HE26*(Slot20_Cost-HJ26)</f>
        <v>0</v>
      </c>
      <c r="HO26" s="20" t="n">
        <f aca="false">V26*Slot1_SpendLike*AA26+AG26*Slot2_SpendLike*AL26+AQ26*Slot3_SpendLike*AV26+BA26*Slot4_SpendLike*BF26+BK26*Slot5_SpendLike*BP26+BU26*Slot6_SpendLike*BZ26+CE26*Slot7_SpendLike*CJ26+CO26*Slot8_SpendLike*CT26+CY26*Slot9_SpendLike*DD26+DI26*Slot10_SpendLike*DN26+DS26*Slot11_SpendLike*DX26+EC26*Slot12_SpendLike*EH26+EM26*Slot13_SpendLike*ER26+EW26*Slot14_SpendLike*FB26+FG26*Slot15_SpendLike*FL26+FQ26*Slot16_SpendLike*FV26+GA26*Slot17_SpendLike*GF26+GK26*Slot18_SpendLike*GP26+GU26*Slot19_SpendLike*GZ26+HE26*Slot20_SpendLike*HJ26</f>
        <v>0</v>
      </c>
      <c r="HP26" s="20" t="n">
        <f aca="false">AE26+AP26+AZ26+BJ26+BT26+CD26+CN26+CX26+DH26+DR26+EB26+EL26+EV26+FF26+FP26+FZ26+GJ26+GT26+HD26+HN26</f>
        <v>0</v>
      </c>
      <c r="HQ26" s="20" t="n">
        <f aca="false">V26*Slot1_Cost+AG26*Slot2_Cost+AQ26*Slot3_Cost+BA26*Slot4_Cost+BK26*Slot5_Cost+BU26*Slot6_Cost+CE26*Slot7_Cost+CO26*Slot8_Cost+CY26*Slot9_Cost+DI26*Slot10_Cost+DS26*Slot11_Cost+EC26*Slot12_Cost+EM26*Slot13_Cost+EW26*Slot14_Cost+FG26*Slot15_Cost+FQ26*Slot16_Cost+GA26*Slot17_Cost+GK26*Slot18_Cost+GU26*Slot19_Cost+HE26*Slot20_Cost</f>
        <v>0</v>
      </c>
      <c r="HR26" s="20" t="n">
        <f aca="false">HM26</f>
        <v>0</v>
      </c>
      <c r="HS26" s="20" t="n">
        <f aca="false">H26-I26-S26</f>
        <v>36556.1306437449</v>
      </c>
      <c r="HT26" s="20" t="n">
        <f aca="false">IF(B26=0,IF(AND(Has_q6=1,In_q6=4),PR_ShareVaries*(MAX(0,HS26)/12),MIN(IF(Has_q6=1,CHOOSE(In_q6+1,PR_SaveB1,PR_SaveB2,PR_SaveB3,PR_SaveB4,0),AS_NoAnswer),AS_SaveShare*(MAX(0,HS26)/12))),HT25)</f>
        <v>67.3316893520437</v>
      </c>
      <c r="HU26" s="20" t="n">
        <f aca="false">IF(HS26&gt;=0,1,0)</f>
        <v>1</v>
      </c>
      <c r="HV26" s="20" t="n">
        <f aca="false">MAX(0,HS26/12/F26)</f>
        <v>2132.92646522384</v>
      </c>
      <c r="HW26" s="20" t="n">
        <f aca="false">IF(AND(Has_q6=1,In_q6=4),PR_ShareVaries*(HV26),MIN(IF(Has_q6=1,CHOOSE(In_q6+1,PR_SaveB1,PR_SaveB2,PR_SaveB3,PR_SaveB4,0),AS_NoAnswer),AS_SaveShare*(HV26)))</f>
        <v>500</v>
      </c>
      <c r="HX26" s="20" t="n">
        <f aca="false">IF(Has_saveM=1,IF(In_saveUp="Yes",1,IF(In_saveUp="No",0,IF(In_saveM&gt;=HT26-0.5,1,0))),0)</f>
        <v>0</v>
      </c>
      <c r="HY26" s="20" t="n">
        <f aca="false">IF(Has_saveM=1,MIN(HV26,IF(HX26=1,MAX(In_saveM,HW26),MIN(In_saveM,HW26))),HW26)</f>
        <v>500</v>
      </c>
      <c r="HZ26" s="20" t="n">
        <f aca="false">IF(G26=1,HY26*12*F26,0)</f>
        <v>8569.47748545764</v>
      </c>
      <c r="IA26" s="20" t="n">
        <f aca="false">MAX(0,HZ26+IF(AND(WI_Retire=0,WI_M&lt;0,G26=1),WI_M*12*F26,0))</f>
        <v>8569.47748545764</v>
      </c>
      <c r="IB26" s="20" t="n">
        <f aca="false">Slot1_IsWG*W26+Slot2_IsWG*AH26+Slot3_IsWG*AR26+Slot4_IsWG*BB26+Slot5_IsWG*BL26+Slot6_IsWG*BV26+Slot7_IsWG*CF26+Slot8_IsWG*CP26+Slot9_IsWG*CZ26+Slot10_IsWG*DJ26+Slot11_IsWG*DT26+Slot12_IsWG*ED26+Slot13_IsWG*EN26+Slot14_IsWG*EX26+Slot15_IsWG*FH26+Slot16_IsWG*FR26+Slot17_IsWG*GB26+Slot18_IsWG*GL26+Slot19_IsWG*GV26+Slot20_IsWG*HF26</f>
        <v>0</v>
      </c>
      <c r="IC26" s="20" t="n">
        <f aca="false">IF(AND(WI_Retire=0,WI_M&gt;0,G26=1,IB26&gt;=1),WI_M*12*F26,0)</f>
        <v>0</v>
      </c>
      <c r="ID26" s="20" t="n">
        <f aca="false">IF(HU26=1,MIN(IA26,HS26),0)</f>
        <v>8569.47748545764</v>
      </c>
      <c r="IE26" s="20" t="n">
        <f aca="false">IF(HU26=1,MIN(IC26,HS26-ID26),0)</f>
        <v>0</v>
      </c>
      <c r="IF26" s="20" t="n">
        <f aca="false">IF(W26=1,IF(ABS((1+AS_Wage)/(1+Slot1_Rate)-1)&lt;0.000000000001,(Slot1_Age-D26)*(1+Slot1_Rate)^(Slot1_Age-D26),(1+Slot1_Rate)^(Slot1_Age-D26)*(1-((1+AS_Wage)/(1+Slot1_Rate))^(Slot1_Age-D26))/(1-(1+AS_Wage)/(1+Slot1_Rate))),1)</f>
        <v>1</v>
      </c>
      <c r="IG26" s="20" t="n">
        <f aca="false">IF(AND(HU26=1,IE26&gt;0,Slot1_IsWG=1,W26=1),MAX(0,(Slot1_Cost-X26*(1+Slot1_Rate)^(Slot1_Age-D26))/IF26),0)</f>
        <v>0</v>
      </c>
      <c r="IH26" s="20" t="n">
        <f aca="false">IF(AND(HU26=1,IE26&gt;0,Slot1_IsWG=1,W26=1),MIN(IE26,IG26),0)</f>
        <v>0</v>
      </c>
      <c r="II26" s="20" t="n">
        <f aca="false">X26+IH26</f>
        <v>0</v>
      </c>
      <c r="IJ26" s="20" t="n">
        <f aca="false">IF(W26=1,MAX(0,(Slot1_Cost-II26*(1+Slot1_Rate)^(Slot1_Age-D26))/IF26),0)</f>
        <v>0</v>
      </c>
      <c r="IK26" s="20" t="n">
        <f aca="false">IF(W26=1,MAX(0,(Slot1_Cost-X26*(1+Slot1_Rate)^(Slot1_Age-D26))/IF26),0)</f>
        <v>0</v>
      </c>
      <c r="IL26" s="20" t="n">
        <f aca="false">IF(AND(HU26=1,W26=1),MIN(ID26,IJ26),0)</f>
        <v>0</v>
      </c>
      <c r="IM26" s="20" t="n">
        <f aca="false">ID26-IL26</f>
        <v>8569.47748545764</v>
      </c>
      <c r="IN26" s="20" t="n">
        <f aca="false">IF(AH26=1,IF(ABS((1+AS_Wage)/(1+Slot2_Rate)-1)&lt;0.000000000001,(Slot2_Age-D26)*(1+Slot2_Rate)^(Slot2_Age-D26),(1+Slot2_Rate)^(Slot2_Age-D26)*(1-((1+AS_Wage)/(1+Slot2_Rate))^(Slot2_Age-D26))/(1-(1+AS_Wage)/(1+Slot2_Rate))),1)</f>
        <v>1</v>
      </c>
      <c r="IO26" s="20" t="n">
        <f aca="false">IF(AND(HU26=1,IE26&gt;0,Slot2_IsWG=1,AH26=1),MAX(0,(Slot2_Cost-AI26*(1+Slot2_Rate)^(Slot2_Age-D26))/IN26),0)</f>
        <v>0</v>
      </c>
      <c r="IP26" s="20" t="n">
        <f aca="false">IF(AND(HU26=1,IE26&gt;0,Slot2_IsWG=1,AH26=1),MIN(IE26,IO26),0)</f>
        <v>0</v>
      </c>
      <c r="IQ26" s="20" t="n">
        <f aca="false">AI26+IP26</f>
        <v>0</v>
      </c>
      <c r="IR26" s="20" t="n">
        <f aca="false">IF(AH26=1,MAX(0,(Slot2_Cost-IQ26*(1+Slot2_Rate)^(Slot2_Age-D26))/IN26),0)</f>
        <v>0</v>
      </c>
      <c r="IS26" s="20" t="n">
        <f aca="false">IF(AH26=1,MAX(0,(Slot2_Cost-AI26*(1+Slot2_Rate)^(Slot2_Age-D26))/IN26),0)</f>
        <v>0</v>
      </c>
      <c r="IT26" s="20" t="n">
        <f aca="false">IF(AND(HU26=1,AH26=1),MIN(IM26,IR26),0)</f>
        <v>0</v>
      </c>
      <c r="IU26" s="20" t="n">
        <f aca="false">IM26-IT26</f>
        <v>8569.47748545764</v>
      </c>
      <c r="IV26" s="20" t="n">
        <f aca="false">IF(AR26=1,IF(ABS((1+AS_Wage)/(1+Slot3_Rate)-1)&lt;0.000000000001,(Slot3_Age-D26)*(1+Slot3_Rate)^(Slot3_Age-D26),(1+Slot3_Rate)^(Slot3_Age-D26)*(1-((1+AS_Wage)/(1+Slot3_Rate))^(Slot3_Age-D26))/(1-(1+AS_Wage)/(1+Slot3_Rate))),1)</f>
        <v>1</v>
      </c>
      <c r="IW26" s="20" t="n">
        <f aca="false">IF(AND(HU26=1,IE26&gt;0,Slot3_IsWG=1,AR26=1),MAX(0,(Slot3_Cost-AS26*(1+Slot3_Rate)^(Slot3_Age-D26))/IV26),0)</f>
        <v>0</v>
      </c>
      <c r="IX26" s="20" t="n">
        <f aca="false">IF(AND(HU26=1,IE26&gt;0,Slot3_IsWG=1,AR26=1),MIN(IE26,IW26),0)</f>
        <v>0</v>
      </c>
      <c r="IY26" s="20" t="n">
        <f aca="false">AS26+IX26</f>
        <v>0</v>
      </c>
      <c r="IZ26" s="20" t="n">
        <f aca="false">IF(AR26=1,MAX(0,(Slot3_Cost-IY26*(1+Slot3_Rate)^(Slot3_Age-D26))/IV26),0)</f>
        <v>0</v>
      </c>
      <c r="JA26" s="20" t="n">
        <f aca="false">IF(AR26=1,MAX(0,(Slot3_Cost-AS26*(1+Slot3_Rate)^(Slot3_Age-D26))/IV26),0)</f>
        <v>0</v>
      </c>
      <c r="JB26" s="20" t="n">
        <f aca="false">IF(AND(HU26=1,AR26=1),MIN(IU26,IZ26),0)</f>
        <v>0</v>
      </c>
      <c r="JC26" s="20" t="n">
        <f aca="false">IU26-JB26</f>
        <v>8569.47748545764</v>
      </c>
      <c r="JD26" s="20" t="n">
        <f aca="false">IF(BB26=1,IF(ABS((1+AS_Wage)/(1+Slot4_Rate)-1)&lt;0.000000000001,(Slot4_Age-D26)*(1+Slot4_Rate)^(Slot4_Age-D26),(1+Slot4_Rate)^(Slot4_Age-D26)*(1-((1+AS_Wage)/(1+Slot4_Rate))^(Slot4_Age-D26))/(1-(1+AS_Wage)/(1+Slot4_Rate))),1)</f>
        <v>1</v>
      </c>
      <c r="JE26" s="20" t="n">
        <f aca="false">IF(AND(HU26=1,IE26&gt;0,Slot4_IsWG=1,BB26=1),MAX(0,(Slot4_Cost-BC26*(1+Slot4_Rate)^(Slot4_Age-D26))/JD26),0)</f>
        <v>0</v>
      </c>
      <c r="JF26" s="20" t="n">
        <f aca="false">IF(AND(HU26=1,IE26&gt;0,Slot4_IsWG=1,BB26=1),MIN(IE26,JE26),0)</f>
        <v>0</v>
      </c>
      <c r="JG26" s="20" t="n">
        <f aca="false">BC26+JF26</f>
        <v>0</v>
      </c>
      <c r="JH26" s="20" t="n">
        <f aca="false">IF(BB26=1,MAX(0,(Slot4_Cost-JG26*(1+Slot4_Rate)^(Slot4_Age-D26))/JD26),0)</f>
        <v>0</v>
      </c>
      <c r="JI26" s="20" t="n">
        <f aca="false">IF(BB26=1,MAX(0,(Slot4_Cost-BC26*(1+Slot4_Rate)^(Slot4_Age-D26))/JD26),0)</f>
        <v>0</v>
      </c>
      <c r="JJ26" s="20" t="n">
        <f aca="false">IF(AND(HU26=1,BB26=1),MIN(JC26,JH26),0)</f>
        <v>0</v>
      </c>
      <c r="JK26" s="20" t="n">
        <f aca="false">JC26-JJ26</f>
        <v>8569.47748545764</v>
      </c>
      <c r="JL26" s="20" t="n">
        <f aca="false">IF(BL26=1,IF(ABS((1+AS_Wage)/(1+Slot5_Rate)-1)&lt;0.000000000001,(Slot5_Age-D26)*(1+Slot5_Rate)^(Slot5_Age-D26),(1+Slot5_Rate)^(Slot5_Age-D26)*(1-((1+AS_Wage)/(1+Slot5_Rate))^(Slot5_Age-D26))/(1-(1+AS_Wage)/(1+Slot5_Rate))),1)</f>
        <v>1</v>
      </c>
      <c r="JM26" s="20" t="n">
        <f aca="false">IF(AND(HU26=1,IE26&gt;0,Slot5_IsWG=1,BL26=1),MAX(0,(Slot5_Cost-BM26*(1+Slot5_Rate)^(Slot5_Age-D26))/JL26),0)</f>
        <v>0</v>
      </c>
      <c r="JN26" s="20" t="n">
        <f aca="false">IF(AND(HU26=1,IE26&gt;0,Slot5_IsWG=1,BL26=1),MIN(IE26,JM26),0)</f>
        <v>0</v>
      </c>
      <c r="JO26" s="20" t="n">
        <f aca="false">BM26+JN26</f>
        <v>0</v>
      </c>
      <c r="JP26" s="20" t="n">
        <f aca="false">IF(BL26=1,MAX(0,(Slot5_Cost-JO26*(1+Slot5_Rate)^(Slot5_Age-D26))/JL26),0)</f>
        <v>0</v>
      </c>
      <c r="JQ26" s="20" t="n">
        <f aca="false">IF(BL26=1,MAX(0,(Slot5_Cost-BM26*(1+Slot5_Rate)^(Slot5_Age-D26))/JL26),0)</f>
        <v>0</v>
      </c>
      <c r="JR26" s="20" t="n">
        <f aca="false">IF(AND(HU26=1,BL26=1),MIN(JK26,JP26),0)</f>
        <v>0</v>
      </c>
      <c r="JS26" s="20" t="n">
        <f aca="false">JK26-JR26</f>
        <v>8569.47748545764</v>
      </c>
      <c r="JT26" s="20" t="n">
        <f aca="false">IF(BV26=1,IF(ABS((1+AS_Wage)/(1+Slot6_Rate)-1)&lt;0.000000000001,(Slot6_Age-D26)*(1+Slot6_Rate)^(Slot6_Age-D26),(1+Slot6_Rate)^(Slot6_Age-D26)*(1-((1+AS_Wage)/(1+Slot6_Rate))^(Slot6_Age-D26))/(1-(1+AS_Wage)/(1+Slot6_Rate))),1)</f>
        <v>1</v>
      </c>
      <c r="JU26" s="20" t="n">
        <f aca="false">IF(AND(HU26=1,IE26&gt;0,Slot6_IsWG=1,BV26=1),MAX(0,(Slot6_Cost-BW26*(1+Slot6_Rate)^(Slot6_Age-D26))/JT26),0)</f>
        <v>0</v>
      </c>
      <c r="JV26" s="20" t="n">
        <f aca="false">IF(AND(HU26=1,IE26&gt;0,Slot6_IsWG=1,BV26=1),MIN(IE26,JU26),0)</f>
        <v>0</v>
      </c>
      <c r="JW26" s="20" t="n">
        <f aca="false">BW26+JV26</f>
        <v>0</v>
      </c>
      <c r="JX26" s="20" t="n">
        <f aca="false">IF(BV26=1,MAX(0,(Slot6_Cost-JW26*(1+Slot6_Rate)^(Slot6_Age-D26))/JT26),0)</f>
        <v>0</v>
      </c>
      <c r="JY26" s="20" t="n">
        <f aca="false">IF(BV26=1,MAX(0,(Slot6_Cost-BW26*(1+Slot6_Rate)^(Slot6_Age-D26))/JT26),0)</f>
        <v>0</v>
      </c>
      <c r="JZ26" s="20" t="n">
        <f aca="false">IF(AND(HU26=1,BV26=1),MIN(JS26,JX26),0)</f>
        <v>0</v>
      </c>
      <c r="KA26" s="20" t="n">
        <f aca="false">JS26-JZ26</f>
        <v>8569.47748545764</v>
      </c>
      <c r="KB26" s="20" t="n">
        <f aca="false">IF(CF26=1,IF(ABS((1+AS_Wage)/(1+Slot7_Rate)-1)&lt;0.000000000001,(Slot7_Age-D26)*(1+Slot7_Rate)^(Slot7_Age-D26),(1+Slot7_Rate)^(Slot7_Age-D26)*(1-((1+AS_Wage)/(1+Slot7_Rate))^(Slot7_Age-D26))/(1-(1+AS_Wage)/(1+Slot7_Rate))),1)</f>
        <v>1</v>
      </c>
      <c r="KC26" s="20" t="n">
        <f aca="false">IF(AND(HU26=1,IE26&gt;0,Slot7_IsWG=1,CF26=1),MAX(0,(Slot7_Cost-CG26*(1+Slot7_Rate)^(Slot7_Age-D26))/KB26),0)</f>
        <v>0</v>
      </c>
      <c r="KD26" s="20" t="n">
        <f aca="false">IF(AND(HU26=1,IE26&gt;0,Slot7_IsWG=1,CF26=1),MIN(IE26,KC26),0)</f>
        <v>0</v>
      </c>
      <c r="KE26" s="20" t="n">
        <f aca="false">CG26+KD26</f>
        <v>0</v>
      </c>
      <c r="KF26" s="20" t="n">
        <f aca="false">IF(CF26=1,MAX(0,(Slot7_Cost-KE26*(1+Slot7_Rate)^(Slot7_Age-D26))/KB26),0)</f>
        <v>0</v>
      </c>
      <c r="KG26" s="20" t="n">
        <f aca="false">IF(CF26=1,MAX(0,(Slot7_Cost-CG26*(1+Slot7_Rate)^(Slot7_Age-D26))/KB26),0)</f>
        <v>0</v>
      </c>
      <c r="KH26" s="20" t="n">
        <f aca="false">IF(AND(HU26=1,CF26=1),MIN(KA26,KF26),0)</f>
        <v>0</v>
      </c>
      <c r="KI26" s="20" t="n">
        <f aca="false">KA26-KH26</f>
        <v>8569.47748545764</v>
      </c>
      <c r="KJ26" s="20" t="n">
        <f aca="false">IF(CP26=1,IF(ABS((1+AS_Wage)/(1+Slot8_Rate)-1)&lt;0.000000000001,(Slot8_Age-D26)*(1+Slot8_Rate)^(Slot8_Age-D26),(1+Slot8_Rate)^(Slot8_Age-D26)*(1-((1+AS_Wage)/(1+Slot8_Rate))^(Slot8_Age-D26))/(1-(1+AS_Wage)/(1+Slot8_Rate))),1)</f>
        <v>1</v>
      </c>
      <c r="KK26" s="20" t="n">
        <f aca="false">IF(AND(HU26=1,IE26&gt;0,Slot8_IsWG=1,CP26=1),MAX(0,(Slot8_Cost-CQ26*(1+Slot8_Rate)^(Slot8_Age-D26))/KJ26),0)</f>
        <v>0</v>
      </c>
      <c r="KL26" s="20" t="n">
        <f aca="false">IF(AND(HU26=1,IE26&gt;0,Slot8_IsWG=1,CP26=1),MIN(IE26,KK26),0)</f>
        <v>0</v>
      </c>
      <c r="KM26" s="20" t="n">
        <f aca="false">CQ26+KL26</f>
        <v>0</v>
      </c>
      <c r="KN26" s="20" t="n">
        <f aca="false">IF(CP26=1,MAX(0,(Slot8_Cost-KM26*(1+Slot8_Rate)^(Slot8_Age-D26))/KJ26),0)</f>
        <v>0</v>
      </c>
      <c r="KO26" s="20" t="n">
        <f aca="false">IF(CP26=1,MAX(0,(Slot8_Cost-CQ26*(1+Slot8_Rate)^(Slot8_Age-D26))/KJ26),0)</f>
        <v>0</v>
      </c>
      <c r="KP26" s="20" t="n">
        <f aca="false">IF(AND(HU26=1,CP26=1),MIN(KI26,KN26),0)</f>
        <v>0</v>
      </c>
      <c r="KQ26" s="20" t="n">
        <f aca="false">KI26-KP26</f>
        <v>8569.47748545764</v>
      </c>
      <c r="KR26" s="20" t="n">
        <f aca="false">IF(CZ26=1,IF(ABS((1+AS_Wage)/(1+Slot9_Rate)-1)&lt;0.000000000001,(Slot9_Age-D26)*(1+Slot9_Rate)^(Slot9_Age-D26),(1+Slot9_Rate)^(Slot9_Age-D26)*(1-((1+AS_Wage)/(1+Slot9_Rate))^(Slot9_Age-D26))/(1-(1+AS_Wage)/(1+Slot9_Rate))),1)</f>
        <v>1</v>
      </c>
      <c r="KS26" s="20" t="n">
        <f aca="false">IF(AND(HU26=1,IE26&gt;0,Slot9_IsWG=1,CZ26=1),MAX(0,(Slot9_Cost-DA26*(1+Slot9_Rate)^(Slot9_Age-D26))/KR26),0)</f>
        <v>0</v>
      </c>
      <c r="KT26" s="20" t="n">
        <f aca="false">IF(AND(HU26=1,IE26&gt;0,Slot9_IsWG=1,CZ26=1),MIN(IE26,KS26),0)</f>
        <v>0</v>
      </c>
      <c r="KU26" s="20" t="n">
        <f aca="false">DA26+KT26</f>
        <v>0</v>
      </c>
      <c r="KV26" s="20" t="n">
        <f aca="false">IF(CZ26=1,MAX(0,(Slot9_Cost-KU26*(1+Slot9_Rate)^(Slot9_Age-D26))/KR26),0)</f>
        <v>0</v>
      </c>
      <c r="KW26" s="20" t="n">
        <f aca="false">IF(CZ26=1,MAX(0,(Slot9_Cost-DA26*(1+Slot9_Rate)^(Slot9_Age-D26))/KR26),0)</f>
        <v>0</v>
      </c>
      <c r="KX26" s="20" t="n">
        <f aca="false">IF(AND(HU26=1,CZ26=1),MIN(KQ26,KV26),0)</f>
        <v>0</v>
      </c>
      <c r="KY26" s="20" t="n">
        <f aca="false">KQ26-KX26</f>
        <v>8569.47748545764</v>
      </c>
      <c r="KZ26" s="20" t="n">
        <f aca="false">IF(DJ26=1,IF(ABS((1+AS_Wage)/(1+Slot10_Rate)-1)&lt;0.000000000001,(Slot10_Age-D26)*(1+Slot10_Rate)^(Slot10_Age-D26),(1+Slot10_Rate)^(Slot10_Age-D26)*(1-((1+AS_Wage)/(1+Slot10_Rate))^(Slot10_Age-D26))/(1-(1+AS_Wage)/(1+Slot10_Rate))),1)</f>
        <v>1</v>
      </c>
      <c r="LA26" s="20" t="n">
        <f aca="false">IF(AND(HU26=1,IE26&gt;0,Slot10_IsWG=1,DJ26=1),MAX(0,(Slot10_Cost-DK26*(1+Slot10_Rate)^(Slot10_Age-D26))/KZ26),0)</f>
        <v>0</v>
      </c>
      <c r="LB26" s="20" t="n">
        <f aca="false">IF(AND(HU26=1,IE26&gt;0,Slot10_IsWG=1,DJ26=1),MIN(IE26,LA26),0)</f>
        <v>0</v>
      </c>
      <c r="LC26" s="20" t="n">
        <f aca="false">DK26+LB26</f>
        <v>0</v>
      </c>
      <c r="LD26" s="20" t="n">
        <f aca="false">IF(DJ26=1,MAX(0,(Slot10_Cost-LC26*(1+Slot10_Rate)^(Slot10_Age-D26))/KZ26),0)</f>
        <v>0</v>
      </c>
      <c r="LE26" s="20" t="n">
        <f aca="false">IF(DJ26=1,MAX(0,(Slot10_Cost-DK26*(1+Slot10_Rate)^(Slot10_Age-D26))/KZ26),0)</f>
        <v>0</v>
      </c>
      <c r="LF26" s="20" t="n">
        <f aca="false">IF(AND(HU26=1,DJ26=1),MIN(KY26,LD26),0)</f>
        <v>0</v>
      </c>
      <c r="LG26" s="20" t="n">
        <f aca="false">KY26-LF26</f>
        <v>8569.47748545764</v>
      </c>
      <c r="LH26" s="20" t="n">
        <f aca="false">IF(DT26=1,IF(ABS((1+AS_Wage)/(1+Slot11_Rate)-1)&lt;0.000000000001,(Slot11_Age-D26)*(1+Slot11_Rate)^(Slot11_Age-D26),(1+Slot11_Rate)^(Slot11_Age-D26)*(1-((1+AS_Wage)/(1+Slot11_Rate))^(Slot11_Age-D26))/(1-(1+AS_Wage)/(1+Slot11_Rate))),1)</f>
        <v>1</v>
      </c>
      <c r="LI26" s="20" t="n">
        <f aca="false">IF(AND(HU26=1,IE26&gt;0,Slot11_IsWG=1,DT26=1),MAX(0,(Slot11_Cost-DU26*(1+Slot11_Rate)^(Slot11_Age-D26))/LH26),0)</f>
        <v>0</v>
      </c>
      <c r="LJ26" s="20" t="n">
        <f aca="false">IF(AND(HU26=1,IE26&gt;0,Slot11_IsWG=1,DT26=1),MIN(IE26,LI26),0)</f>
        <v>0</v>
      </c>
      <c r="LK26" s="20" t="n">
        <f aca="false">DU26+LJ26</f>
        <v>0</v>
      </c>
      <c r="LL26" s="20" t="n">
        <f aca="false">IF(DT26=1,MAX(0,(Slot11_Cost-LK26*(1+Slot11_Rate)^(Slot11_Age-D26))/LH26),0)</f>
        <v>0</v>
      </c>
      <c r="LM26" s="20" t="n">
        <f aca="false">IF(DT26=1,MAX(0,(Slot11_Cost-DU26*(1+Slot11_Rate)^(Slot11_Age-D26))/LH26),0)</f>
        <v>0</v>
      </c>
      <c r="LN26" s="20" t="n">
        <f aca="false">IF(AND(HU26=1,DT26=1),MIN(LG26,LL26),0)</f>
        <v>0</v>
      </c>
      <c r="LO26" s="20" t="n">
        <f aca="false">LG26-LN26</f>
        <v>8569.47748545764</v>
      </c>
      <c r="LP26" s="20" t="n">
        <f aca="false">IF(ED26=1,IF(ABS((1+AS_Wage)/(1+Slot12_Rate)-1)&lt;0.000000000001,(Slot12_Age-D26)*(1+Slot12_Rate)^(Slot12_Age-D26),(1+Slot12_Rate)^(Slot12_Age-D26)*(1-((1+AS_Wage)/(1+Slot12_Rate))^(Slot12_Age-D26))/(1-(1+AS_Wage)/(1+Slot12_Rate))),1)</f>
        <v>1</v>
      </c>
      <c r="LQ26" s="20" t="n">
        <f aca="false">IF(AND(HU26=1,IE26&gt;0,Slot12_IsWG=1,ED26=1),MAX(0,(Slot12_Cost-EE26*(1+Slot12_Rate)^(Slot12_Age-D26))/LP26),0)</f>
        <v>0</v>
      </c>
      <c r="LR26" s="20" t="n">
        <f aca="false">IF(AND(HU26=1,IE26&gt;0,Slot12_IsWG=1,ED26=1),MIN(IE26,LQ26),0)</f>
        <v>0</v>
      </c>
      <c r="LS26" s="20" t="n">
        <f aca="false">EE26+LR26</f>
        <v>0</v>
      </c>
      <c r="LT26" s="20" t="n">
        <f aca="false">IF(ED26=1,MAX(0,(Slot12_Cost-LS26*(1+Slot12_Rate)^(Slot12_Age-D26))/LP26),0)</f>
        <v>0</v>
      </c>
      <c r="LU26" s="20" t="n">
        <f aca="false">IF(ED26=1,MAX(0,(Slot12_Cost-EE26*(1+Slot12_Rate)^(Slot12_Age-D26))/LP26),0)</f>
        <v>0</v>
      </c>
      <c r="LV26" s="20" t="n">
        <f aca="false">IF(AND(HU26=1,ED26=1),MIN(LO26,LT26),0)</f>
        <v>0</v>
      </c>
      <c r="LW26" s="20" t="n">
        <f aca="false">LO26-LV26</f>
        <v>8569.47748545764</v>
      </c>
      <c r="LX26" s="20" t="n">
        <f aca="false">IF(EN26=1,IF(ABS((1+AS_Wage)/(1+Slot13_Rate)-1)&lt;0.000000000001,(Slot13_Age-D26)*(1+Slot13_Rate)^(Slot13_Age-D26),(1+Slot13_Rate)^(Slot13_Age-D26)*(1-((1+AS_Wage)/(1+Slot13_Rate))^(Slot13_Age-D26))/(1-(1+AS_Wage)/(1+Slot13_Rate))),1)</f>
        <v>1</v>
      </c>
      <c r="LY26" s="20" t="n">
        <f aca="false">IF(AND(HU26=1,IE26&gt;0,Slot13_IsWG=1,EN26=1),MAX(0,(Slot13_Cost-EO26*(1+Slot13_Rate)^(Slot13_Age-D26))/LX26),0)</f>
        <v>0</v>
      </c>
      <c r="LZ26" s="20" t="n">
        <f aca="false">IF(AND(HU26=1,IE26&gt;0,Slot13_IsWG=1,EN26=1),MIN(IE26,LY26),0)</f>
        <v>0</v>
      </c>
      <c r="MA26" s="20" t="n">
        <f aca="false">EO26+LZ26</f>
        <v>0</v>
      </c>
      <c r="MB26" s="20" t="n">
        <f aca="false">IF(EN26=1,MAX(0,(Slot13_Cost-MA26*(1+Slot13_Rate)^(Slot13_Age-D26))/LX26),0)</f>
        <v>0</v>
      </c>
      <c r="MC26" s="20" t="n">
        <f aca="false">IF(EN26=1,MAX(0,(Slot13_Cost-EO26*(1+Slot13_Rate)^(Slot13_Age-D26))/LX26),0)</f>
        <v>0</v>
      </c>
      <c r="MD26" s="20" t="n">
        <f aca="false">IF(AND(HU26=1,EN26=1),MIN(LW26,MB26),0)</f>
        <v>0</v>
      </c>
      <c r="ME26" s="20" t="n">
        <f aca="false">LW26-MD26</f>
        <v>8569.47748545764</v>
      </c>
      <c r="MF26" s="20" t="n">
        <f aca="false">IF(EX26=1,IF(ABS((1+AS_Wage)/(1+Slot14_Rate)-1)&lt;0.000000000001,(Slot14_Age-D26)*(1+Slot14_Rate)^(Slot14_Age-D26),(1+Slot14_Rate)^(Slot14_Age-D26)*(1-((1+AS_Wage)/(1+Slot14_Rate))^(Slot14_Age-D26))/(1-(1+AS_Wage)/(1+Slot14_Rate))),1)</f>
        <v>1</v>
      </c>
      <c r="MG26" s="20" t="n">
        <f aca="false">IF(AND(HU26=1,IE26&gt;0,Slot14_IsWG=1,EX26=1),MAX(0,(Slot14_Cost-EY26*(1+Slot14_Rate)^(Slot14_Age-D26))/MF26),0)</f>
        <v>0</v>
      </c>
      <c r="MH26" s="20" t="n">
        <f aca="false">IF(AND(HU26=1,IE26&gt;0,Slot14_IsWG=1,EX26=1),MIN(IE26,MG26),0)</f>
        <v>0</v>
      </c>
      <c r="MI26" s="20" t="n">
        <f aca="false">EY26+MH26</f>
        <v>0</v>
      </c>
      <c r="MJ26" s="20" t="n">
        <f aca="false">IF(EX26=1,MAX(0,(Slot14_Cost-MI26*(1+Slot14_Rate)^(Slot14_Age-D26))/MF26),0)</f>
        <v>0</v>
      </c>
      <c r="MK26" s="20" t="n">
        <f aca="false">IF(EX26=1,MAX(0,(Slot14_Cost-EY26*(1+Slot14_Rate)^(Slot14_Age-D26))/MF26),0)</f>
        <v>0</v>
      </c>
      <c r="ML26" s="20" t="n">
        <f aca="false">IF(AND(HU26=1,EX26=1),MIN(ME26,MJ26),0)</f>
        <v>0</v>
      </c>
      <c r="MM26" s="20" t="n">
        <f aca="false">ME26-ML26</f>
        <v>8569.47748545764</v>
      </c>
      <c r="MN26" s="20" t="n">
        <f aca="false">IF(FH26=1,IF(ABS((1+AS_Wage)/(1+Slot15_Rate)-1)&lt;0.000000000001,(Slot15_Age-D26)*(1+Slot15_Rate)^(Slot15_Age-D26),(1+Slot15_Rate)^(Slot15_Age-D26)*(1-((1+AS_Wage)/(1+Slot15_Rate))^(Slot15_Age-D26))/(1-(1+AS_Wage)/(1+Slot15_Rate))),1)</f>
        <v>1</v>
      </c>
      <c r="MO26" s="20" t="n">
        <f aca="false">IF(AND(HU26=1,IE26&gt;0,Slot15_IsWG=1,FH26=1),MAX(0,(Slot15_Cost-FI26*(1+Slot15_Rate)^(Slot15_Age-D26))/MN26),0)</f>
        <v>0</v>
      </c>
      <c r="MP26" s="20" t="n">
        <f aca="false">IF(AND(HU26=1,IE26&gt;0,Slot15_IsWG=1,FH26=1),MIN(IE26,MO26),0)</f>
        <v>0</v>
      </c>
      <c r="MQ26" s="20" t="n">
        <f aca="false">FI26+MP26</f>
        <v>0</v>
      </c>
      <c r="MR26" s="20" t="n">
        <f aca="false">IF(FH26=1,MAX(0,(Slot15_Cost-MQ26*(1+Slot15_Rate)^(Slot15_Age-D26))/MN26),0)</f>
        <v>0</v>
      </c>
      <c r="MS26" s="20" t="n">
        <f aca="false">IF(FH26=1,MAX(0,(Slot15_Cost-FI26*(1+Slot15_Rate)^(Slot15_Age-D26))/MN26),0)</f>
        <v>0</v>
      </c>
      <c r="MT26" s="20" t="n">
        <f aca="false">IF(AND(HU26=1,FH26=1),MIN(MM26,MR26),0)</f>
        <v>0</v>
      </c>
      <c r="MU26" s="20" t="n">
        <f aca="false">MM26-MT26</f>
        <v>8569.47748545764</v>
      </c>
      <c r="MV26" s="20" t="n">
        <f aca="false">IF(FR26=1,IF(ABS((1+AS_Wage)/(1+Slot16_Rate)-1)&lt;0.000000000001,(Slot16_Age-D26)*(1+Slot16_Rate)^(Slot16_Age-D26),(1+Slot16_Rate)^(Slot16_Age-D26)*(1-((1+AS_Wage)/(1+Slot16_Rate))^(Slot16_Age-D26))/(1-(1+AS_Wage)/(1+Slot16_Rate))),1)</f>
        <v>1</v>
      </c>
      <c r="MW26" s="20" t="n">
        <f aca="false">IF(AND(HU26=1,IE26&gt;0,Slot16_IsWG=1,FR26=1),MAX(0,(Slot16_Cost-FS26*(1+Slot16_Rate)^(Slot16_Age-D26))/MV26),0)</f>
        <v>0</v>
      </c>
      <c r="MX26" s="20" t="n">
        <f aca="false">IF(AND(HU26=1,IE26&gt;0,Slot16_IsWG=1,FR26=1),MIN(IE26,MW26),0)</f>
        <v>0</v>
      </c>
      <c r="MY26" s="20" t="n">
        <f aca="false">FS26+MX26</f>
        <v>0</v>
      </c>
      <c r="MZ26" s="20" t="n">
        <f aca="false">IF(FR26=1,MAX(0,(Slot16_Cost-MY26*(1+Slot16_Rate)^(Slot16_Age-D26))/MV26),0)</f>
        <v>0</v>
      </c>
      <c r="NA26" s="20" t="n">
        <f aca="false">IF(FR26=1,MAX(0,(Slot16_Cost-FS26*(1+Slot16_Rate)^(Slot16_Age-D26))/MV26),0)</f>
        <v>0</v>
      </c>
      <c r="NB26" s="20" t="n">
        <f aca="false">IF(AND(HU26=1,FR26=1),MIN(MU26,MZ26),0)</f>
        <v>0</v>
      </c>
      <c r="NC26" s="20" t="n">
        <f aca="false">MU26-NB26</f>
        <v>8569.47748545764</v>
      </c>
      <c r="ND26" s="20" t="n">
        <f aca="false">IF(GB26=1,IF(ABS((1+AS_Wage)/(1+Slot17_Rate)-1)&lt;0.000000000001,(Slot17_Age-D26)*(1+Slot17_Rate)^(Slot17_Age-D26),(1+Slot17_Rate)^(Slot17_Age-D26)*(1-((1+AS_Wage)/(1+Slot17_Rate))^(Slot17_Age-D26))/(1-(1+AS_Wage)/(1+Slot17_Rate))),1)</f>
        <v>1</v>
      </c>
      <c r="NE26" s="20" t="n">
        <f aca="false">IF(AND(HU26=1,IE26&gt;0,Slot17_IsWG=1,GB26=1),MAX(0,(Slot17_Cost-GC26*(1+Slot17_Rate)^(Slot17_Age-D26))/ND26),0)</f>
        <v>0</v>
      </c>
      <c r="NF26" s="20" t="n">
        <f aca="false">IF(AND(HU26=1,IE26&gt;0,Slot17_IsWG=1,GB26=1),MIN(IE26,NE26),0)</f>
        <v>0</v>
      </c>
      <c r="NG26" s="20" t="n">
        <f aca="false">GC26+NF26</f>
        <v>0</v>
      </c>
      <c r="NH26" s="20" t="n">
        <f aca="false">IF(GB26=1,MAX(0,(Slot17_Cost-NG26*(1+Slot17_Rate)^(Slot17_Age-D26))/ND26),0)</f>
        <v>0</v>
      </c>
      <c r="NI26" s="20" t="n">
        <f aca="false">IF(GB26=1,MAX(0,(Slot17_Cost-GC26*(1+Slot17_Rate)^(Slot17_Age-D26))/ND26),0)</f>
        <v>0</v>
      </c>
      <c r="NJ26" s="20" t="n">
        <f aca="false">IF(AND(HU26=1,GB26=1),MIN(NC26,NH26),0)</f>
        <v>0</v>
      </c>
      <c r="NK26" s="20" t="n">
        <f aca="false">NC26-NJ26</f>
        <v>8569.47748545764</v>
      </c>
      <c r="NL26" s="20" t="n">
        <f aca="false">IF(GL26=1,IF(ABS((1+AS_Wage)/(1+Slot18_Rate)-1)&lt;0.000000000001,(Slot18_Age-D26)*(1+Slot18_Rate)^(Slot18_Age-D26),(1+Slot18_Rate)^(Slot18_Age-D26)*(1-((1+AS_Wage)/(1+Slot18_Rate))^(Slot18_Age-D26))/(1-(1+AS_Wage)/(1+Slot18_Rate))),1)</f>
        <v>1</v>
      </c>
      <c r="NM26" s="20" t="n">
        <f aca="false">IF(AND(HU26=1,IE26&gt;0,Slot18_IsWG=1,GL26=1),MAX(0,(Slot18_Cost-GM26*(1+Slot18_Rate)^(Slot18_Age-D26))/NL26),0)</f>
        <v>0</v>
      </c>
      <c r="NN26" s="20" t="n">
        <f aca="false">IF(AND(HU26=1,IE26&gt;0,Slot18_IsWG=1,GL26=1),MIN(IE26,NM26),0)</f>
        <v>0</v>
      </c>
      <c r="NO26" s="20" t="n">
        <f aca="false">GM26+NN26</f>
        <v>0</v>
      </c>
      <c r="NP26" s="20" t="n">
        <f aca="false">IF(GL26=1,MAX(0,(Slot18_Cost-NO26*(1+Slot18_Rate)^(Slot18_Age-D26))/NL26),0)</f>
        <v>0</v>
      </c>
      <c r="NQ26" s="20" t="n">
        <f aca="false">IF(GL26=1,MAX(0,(Slot18_Cost-GM26*(1+Slot18_Rate)^(Slot18_Age-D26))/NL26),0)</f>
        <v>0</v>
      </c>
      <c r="NR26" s="20" t="n">
        <f aca="false">IF(AND(HU26=1,GL26=1),MIN(NK26,NP26),0)</f>
        <v>0</v>
      </c>
      <c r="NS26" s="20" t="n">
        <f aca="false">NK26-NR26</f>
        <v>8569.47748545764</v>
      </c>
      <c r="NT26" s="20" t="n">
        <f aca="false">IF(GV26=1,IF(ABS((1+AS_Wage)/(1+Slot19_Rate)-1)&lt;0.000000000001,(Slot19_Age-D26)*(1+Slot19_Rate)^(Slot19_Age-D26),(1+Slot19_Rate)^(Slot19_Age-D26)*(1-((1+AS_Wage)/(1+Slot19_Rate))^(Slot19_Age-D26))/(1-(1+AS_Wage)/(1+Slot19_Rate))),1)</f>
        <v>1</v>
      </c>
      <c r="NU26" s="20" t="n">
        <f aca="false">IF(AND(HU26=1,IE26&gt;0,Slot19_IsWG=1,GV26=1),MAX(0,(Slot19_Cost-GW26*(1+Slot19_Rate)^(Slot19_Age-D26))/NT26),0)</f>
        <v>0</v>
      </c>
      <c r="NV26" s="20" t="n">
        <f aca="false">IF(AND(HU26=1,IE26&gt;0,Slot19_IsWG=1,GV26=1),MIN(IE26,NU26),0)</f>
        <v>0</v>
      </c>
      <c r="NW26" s="20" t="n">
        <f aca="false">GW26+NV26</f>
        <v>0</v>
      </c>
      <c r="NX26" s="20" t="n">
        <f aca="false">IF(GV26=1,MAX(0,(Slot19_Cost-NW26*(1+Slot19_Rate)^(Slot19_Age-D26))/NT26),0)</f>
        <v>0</v>
      </c>
      <c r="NY26" s="20" t="n">
        <f aca="false">IF(GV26=1,MAX(0,(Slot19_Cost-GW26*(1+Slot19_Rate)^(Slot19_Age-D26))/NT26),0)</f>
        <v>0</v>
      </c>
      <c r="NZ26" s="20" t="n">
        <f aca="false">IF(AND(HU26=1,GV26=1),MIN(NS26,NX26),0)</f>
        <v>0</v>
      </c>
      <c r="OA26" s="20" t="n">
        <f aca="false">NS26-NZ26</f>
        <v>8569.47748545764</v>
      </c>
      <c r="OB26" s="20" t="n">
        <f aca="false">IF(HF26=1,IF(ABS((1+AS_Wage)/(1+Slot20_Rate)-1)&lt;0.000000000001,(Slot20_Age-D26)*(1+Slot20_Rate)^(Slot20_Age-D26),(1+Slot20_Rate)^(Slot20_Age-D26)*(1-((1+AS_Wage)/(1+Slot20_Rate))^(Slot20_Age-D26))/(1-(1+AS_Wage)/(1+Slot20_Rate))),1)</f>
        <v>1</v>
      </c>
      <c r="OC26" s="20" t="n">
        <f aca="false">IF(AND(HU26=1,IE26&gt;0,Slot20_IsWG=1,HF26=1),MAX(0,(Slot20_Cost-HG26*(1+Slot20_Rate)^(Slot20_Age-D26))/OB26),0)</f>
        <v>0</v>
      </c>
      <c r="OD26" s="20" t="n">
        <f aca="false">IF(AND(HU26=1,IE26&gt;0,Slot20_IsWG=1,HF26=1),MIN(IE26,OC26),0)</f>
        <v>0</v>
      </c>
      <c r="OE26" s="20" t="n">
        <f aca="false">HG26+OD26</f>
        <v>0</v>
      </c>
      <c r="OF26" s="20" t="n">
        <f aca="false">IF(HF26=1,MAX(0,(Slot20_Cost-OE26*(1+Slot20_Rate)^(Slot20_Age-D26))/OB26),0)</f>
        <v>0</v>
      </c>
      <c r="OG26" s="20" t="n">
        <f aca="false">IF(HF26=1,MAX(0,(Slot20_Cost-HG26*(1+Slot20_Rate)^(Slot20_Age-D26))/OB26),0)</f>
        <v>0</v>
      </c>
      <c r="OH26" s="20" t="n">
        <f aca="false">IF(AND(HU26=1,HF26=1),MIN(OA26,OF26),0)</f>
        <v>0</v>
      </c>
      <c r="OI26" s="20" t="n">
        <f aca="false">OA26-OH26</f>
        <v>8569.47748545764</v>
      </c>
      <c r="OJ26" s="20" t="n">
        <f aca="false">IE26-(IH26+IP26+IX26+JF26+JN26+JV26+KD26+KL26+KT26+LB26+LJ26+LR26+LZ26+MH26+MP26+MX26+NF26+NN26+NV26+OD26)</f>
        <v>0</v>
      </c>
      <c r="OK26" s="20" t="n">
        <f aca="false">IF(HU26=1,HS26-ID26-IE26,0)</f>
        <v>27986.6531582873</v>
      </c>
      <c r="OL26" s="20" t="n">
        <f aca="false">IF(HU26=0,-HS26,0)</f>
        <v>0</v>
      </c>
      <c r="OM26" s="20" t="n">
        <f aca="false">MIN(OL26,HK26)</f>
        <v>0</v>
      </c>
      <c r="ON26" s="20" t="n">
        <f aca="false">OL26-OM26</f>
        <v>0</v>
      </c>
      <c r="OO26" s="20" t="n">
        <f aca="false">MIN(ON26,HL26)</f>
        <v>0</v>
      </c>
      <c r="OP26" s="20" t="n">
        <f aca="false">ON26-OO26</f>
        <v>0</v>
      </c>
      <c r="OQ26" s="20" t="n">
        <f aca="false">IF(AND(HU26=0,HF26=1,OP26&gt;0),MIN(OP26,HG26),0)</f>
        <v>0</v>
      </c>
      <c r="OR26" s="20" t="n">
        <f aca="false">OP26-OQ26</f>
        <v>0</v>
      </c>
      <c r="OS26" s="20" t="n">
        <f aca="false">IF(AND(HU26=0,GV26=1,OR26&gt;0),MIN(OR26,GW26),0)</f>
        <v>0</v>
      </c>
      <c r="OT26" s="20" t="n">
        <f aca="false">OR26-OS26</f>
        <v>0</v>
      </c>
      <c r="OU26" s="20" t="n">
        <f aca="false">IF(AND(HU26=0,GL26=1,OT26&gt;0),MIN(OT26,GM26),0)</f>
        <v>0</v>
      </c>
      <c r="OV26" s="20" t="n">
        <f aca="false">OT26-OU26</f>
        <v>0</v>
      </c>
      <c r="OW26" s="20" t="n">
        <f aca="false">IF(AND(HU26=0,GB26=1,OV26&gt;0),MIN(OV26,GC26),0)</f>
        <v>0</v>
      </c>
      <c r="OX26" s="20" t="n">
        <f aca="false">OV26-OW26</f>
        <v>0</v>
      </c>
      <c r="OY26" s="20" t="n">
        <f aca="false">IF(AND(HU26=0,FR26=1,OX26&gt;0),MIN(OX26,FS26),0)</f>
        <v>0</v>
      </c>
      <c r="OZ26" s="20" t="n">
        <f aca="false">OX26-OY26</f>
        <v>0</v>
      </c>
      <c r="PA26" s="20" t="n">
        <f aca="false">IF(AND(HU26=0,FH26=1,OZ26&gt;0),MIN(OZ26,FI26),0)</f>
        <v>0</v>
      </c>
      <c r="PB26" s="20" t="n">
        <f aca="false">OZ26-PA26</f>
        <v>0</v>
      </c>
      <c r="PC26" s="20" t="n">
        <f aca="false">IF(AND(HU26=0,EX26=1,PB26&gt;0),MIN(PB26,EY26),0)</f>
        <v>0</v>
      </c>
      <c r="PD26" s="20" t="n">
        <f aca="false">PB26-PC26</f>
        <v>0</v>
      </c>
      <c r="PE26" s="20" t="n">
        <f aca="false">IF(AND(HU26=0,EN26=1,PD26&gt;0),MIN(PD26,EO26),0)</f>
        <v>0</v>
      </c>
      <c r="PF26" s="20" t="n">
        <f aca="false">PD26-PE26</f>
        <v>0</v>
      </c>
      <c r="PG26" s="20" t="n">
        <f aca="false">IF(AND(HU26=0,ED26=1,PF26&gt;0),MIN(PF26,EE26),0)</f>
        <v>0</v>
      </c>
      <c r="PH26" s="20" t="n">
        <f aca="false">PF26-PG26</f>
        <v>0</v>
      </c>
      <c r="PI26" s="20" t="n">
        <f aca="false">IF(AND(HU26=0,DT26=1,PH26&gt;0),MIN(PH26,DU26),0)</f>
        <v>0</v>
      </c>
      <c r="PJ26" s="20" t="n">
        <f aca="false">PH26-PI26</f>
        <v>0</v>
      </c>
      <c r="PK26" s="20" t="n">
        <f aca="false">IF(AND(HU26=0,DJ26=1,PJ26&gt;0),MIN(PJ26,DK26),0)</f>
        <v>0</v>
      </c>
      <c r="PL26" s="20" t="n">
        <f aca="false">PJ26-PK26</f>
        <v>0</v>
      </c>
      <c r="PM26" s="20" t="n">
        <f aca="false">IF(AND(HU26=0,CZ26=1,PL26&gt;0),MIN(PL26,DA26),0)</f>
        <v>0</v>
      </c>
      <c r="PN26" s="20" t="n">
        <f aca="false">PL26-PM26</f>
        <v>0</v>
      </c>
      <c r="PO26" s="20" t="n">
        <f aca="false">IF(AND(HU26=0,CP26=1,PN26&gt;0),MIN(PN26,CQ26),0)</f>
        <v>0</v>
      </c>
      <c r="PP26" s="20" t="n">
        <f aca="false">PN26-PO26</f>
        <v>0</v>
      </c>
      <c r="PQ26" s="20" t="n">
        <f aca="false">IF(AND(HU26=0,CF26=1,PP26&gt;0),MIN(PP26,CG26),0)</f>
        <v>0</v>
      </c>
      <c r="PR26" s="20" t="n">
        <f aca="false">PP26-PQ26</f>
        <v>0</v>
      </c>
      <c r="PS26" s="20" t="n">
        <f aca="false">IF(AND(HU26=0,BV26=1,PR26&gt;0),MIN(PR26,BW26),0)</f>
        <v>0</v>
      </c>
      <c r="PT26" s="20" t="n">
        <f aca="false">PR26-PS26</f>
        <v>0</v>
      </c>
      <c r="PU26" s="20" t="n">
        <f aca="false">IF(AND(HU26=0,BL26=1,PT26&gt;0),MIN(PT26,BM26),0)</f>
        <v>0</v>
      </c>
      <c r="PV26" s="20" t="n">
        <f aca="false">PT26-PU26</f>
        <v>0</v>
      </c>
      <c r="PW26" s="20" t="n">
        <f aca="false">IF(AND(HU26=0,BB26=1,PV26&gt;0),MIN(PV26,BC26),0)</f>
        <v>0</v>
      </c>
      <c r="PX26" s="20" t="n">
        <f aca="false">PV26-PW26</f>
        <v>0</v>
      </c>
      <c r="PY26" s="20" t="n">
        <f aca="false">IF(AND(HU26=0,AR26=1,PX26&gt;0),MIN(PX26,AS26),0)</f>
        <v>0</v>
      </c>
      <c r="PZ26" s="20" t="n">
        <f aca="false">PX26-PY26</f>
        <v>0</v>
      </c>
      <c r="QA26" s="20" t="n">
        <f aca="false">IF(AND(HU26=0,AH26=1,PZ26&gt;0),MIN(PZ26,AI26),0)</f>
        <v>0</v>
      </c>
      <c r="QB26" s="20" t="n">
        <f aca="false">PZ26-QA26</f>
        <v>0</v>
      </c>
      <c r="QC26" s="20" t="n">
        <f aca="false">IF(AND(HU26=0,W26=1,QB26&gt;0),MIN(QB26,X26),0)</f>
        <v>0</v>
      </c>
      <c r="QD26" s="20" t="n">
        <f aca="false">QB26-QC26</f>
        <v>0</v>
      </c>
      <c r="QE26" s="20" t="n">
        <f aca="false">IF(HU26=0,QD26,0)</f>
        <v>0</v>
      </c>
      <c r="QF26" s="20" t="n">
        <f aca="false">OM26+OO26+QC26+QA26+PY26+PW26+PU26+PS26+PQ26+PO26+PM26+PK26+PI26+PG26+PE26+PC26+PA26+OY26+OW26+OU26+OS26+OQ26</f>
        <v>0</v>
      </c>
      <c r="QG26" s="20" t="n">
        <f aca="false">IF(HU26=1,HK26+OJ26+OI26+IF(G26=1,0,OK26),HK26-OM26)</f>
        <v>34134.6614887932</v>
      </c>
      <c r="QH26" s="20" t="n">
        <f aca="false">HL26-OO26</f>
        <v>13342.1175291283</v>
      </c>
      <c r="QI26" s="20" t="n">
        <f aca="false">IF(HU26=1,IF(G26=1,ID26+IE26,HS26),0)</f>
        <v>8569.47748545764</v>
      </c>
      <c r="QJ26" s="20" t="n">
        <f aca="false">IF(HU26=1,IF(G26=1,HS26-ID26-IE26,0),0)</f>
        <v>27986.6531582873</v>
      </c>
      <c r="QK26" s="57" t="n">
        <f aca="false">'Plan holdings'!BM26</f>
        <v>35274.9222568479</v>
      </c>
      <c r="QL26" s="20" t="n">
        <f aca="false">QH26*(1+AS_Cash)</f>
        <v>13475.5387044196</v>
      </c>
      <c r="QM26" s="20" t="n">
        <f aca="false">IF(W26=1,IF(HU26=1,II26+IL26,X26-QC26)*(1+Slot1_Rate),0)</f>
        <v>0</v>
      </c>
      <c r="QN26" s="20" t="n">
        <f aca="false">IF(AND(HU26=1,W26=1),(IH26+IL26)/F26,0)</f>
        <v>0</v>
      </c>
      <c r="QO26" s="20" t="n">
        <f aca="false">IF(B26=0,IH26+IL26,0)</f>
        <v>0</v>
      </c>
      <c r="QP26" s="20" t="n">
        <f aca="false">IF(B26=0,IF(HU26=1,IJ26,IK26),0)</f>
        <v>0</v>
      </c>
      <c r="QQ26" s="20" t="n">
        <f aca="false">IF(AH26=1,IF(HU26=1,IQ26+IT26,AI26-QA26)*(1+Slot2_Rate),0)</f>
        <v>0</v>
      </c>
      <c r="QR26" s="20" t="n">
        <f aca="false">IF(AND(HU26=1,AH26=1),(IP26+IT26)/F26,0)</f>
        <v>0</v>
      </c>
      <c r="QS26" s="20" t="n">
        <f aca="false">IF(B26=0,IP26+IT26,0)</f>
        <v>0</v>
      </c>
      <c r="QT26" s="20" t="n">
        <f aca="false">IF(B26=0,IF(HU26=1,IR26,IS26),0)</f>
        <v>0</v>
      </c>
      <c r="QU26" s="20" t="n">
        <f aca="false">IF(AR26=1,IF(HU26=1,IY26+JB26,AS26-PY26)*(1+Slot3_Rate),0)</f>
        <v>0</v>
      </c>
      <c r="QV26" s="20" t="n">
        <f aca="false">IF(AND(HU26=1,AR26=1),(IX26+JB26)/F26,0)</f>
        <v>0</v>
      </c>
      <c r="QW26" s="20" t="n">
        <f aca="false">IF(B26=0,IX26+JB26,0)</f>
        <v>0</v>
      </c>
      <c r="QX26" s="20" t="n">
        <f aca="false">IF(B26=0,IF(HU26=1,IZ26,JA26),0)</f>
        <v>0</v>
      </c>
      <c r="QY26" s="20" t="n">
        <f aca="false">IF(BB26=1,IF(HU26=1,JG26+JJ26,BC26-PW26)*(1+Slot4_Rate),0)</f>
        <v>0</v>
      </c>
      <c r="QZ26" s="20" t="n">
        <f aca="false">IF(AND(HU26=1,BB26=1),(JF26+JJ26)/F26,0)</f>
        <v>0</v>
      </c>
      <c r="RA26" s="20" t="n">
        <f aca="false">IF(B26=0,JF26+JJ26,0)</f>
        <v>0</v>
      </c>
      <c r="RB26" s="20" t="n">
        <f aca="false">IF(B26=0,IF(HU26=1,JH26,JI26),0)</f>
        <v>0</v>
      </c>
      <c r="RC26" s="20" t="n">
        <f aca="false">IF(BL26=1,IF(HU26=1,JO26+JR26,BM26-PU26)*(1+Slot5_Rate),0)</f>
        <v>0</v>
      </c>
      <c r="RD26" s="20" t="n">
        <f aca="false">IF(AND(HU26=1,BL26=1),(JN26+JR26)/F26,0)</f>
        <v>0</v>
      </c>
      <c r="RE26" s="20" t="n">
        <f aca="false">IF(B26=0,JN26+JR26,0)</f>
        <v>0</v>
      </c>
      <c r="RF26" s="20" t="n">
        <f aca="false">IF(B26=0,IF(HU26=1,JP26,JQ26),0)</f>
        <v>0</v>
      </c>
      <c r="RG26" s="20" t="n">
        <f aca="false">IF(BV26=1,IF(HU26=1,JW26+JZ26,BW26-PS26)*(1+Slot6_Rate),0)</f>
        <v>0</v>
      </c>
      <c r="RH26" s="20" t="n">
        <f aca="false">IF(AND(HU26=1,BV26=1),(JV26+JZ26)/F26,0)</f>
        <v>0</v>
      </c>
      <c r="RI26" s="20" t="n">
        <f aca="false">IF(B26=0,JV26+JZ26,0)</f>
        <v>0</v>
      </c>
      <c r="RJ26" s="20" t="n">
        <f aca="false">IF(B26=0,IF(HU26=1,JX26,JY26),0)</f>
        <v>0</v>
      </c>
      <c r="RK26" s="20" t="n">
        <f aca="false">IF(CF26=1,IF(HU26=1,KE26+KH26,CG26-PQ26)*(1+Slot7_Rate),0)</f>
        <v>0</v>
      </c>
      <c r="RL26" s="20" t="n">
        <f aca="false">IF(AND(HU26=1,CF26=1),(KD26+KH26)/F26,0)</f>
        <v>0</v>
      </c>
      <c r="RM26" s="20" t="n">
        <f aca="false">IF(B26=0,KD26+KH26,0)</f>
        <v>0</v>
      </c>
      <c r="RN26" s="20" t="n">
        <f aca="false">IF(B26=0,IF(HU26=1,KF26,KG26),0)</f>
        <v>0</v>
      </c>
      <c r="RO26" s="20" t="n">
        <f aca="false">IF(CP26=1,IF(HU26=1,KM26+KP26,CQ26-PO26)*(1+Slot8_Rate),0)</f>
        <v>0</v>
      </c>
      <c r="RP26" s="20" t="n">
        <f aca="false">IF(AND(HU26=1,CP26=1),(KL26+KP26)/F26,0)</f>
        <v>0</v>
      </c>
      <c r="RQ26" s="20" t="n">
        <f aca="false">IF(B26=0,KL26+KP26,0)</f>
        <v>0</v>
      </c>
      <c r="RR26" s="20" t="n">
        <f aca="false">IF(B26=0,IF(HU26=1,KN26,KO26),0)</f>
        <v>0</v>
      </c>
      <c r="RS26" s="20" t="n">
        <f aca="false">IF(CZ26=1,IF(HU26=1,KU26+KX26,DA26-PM26)*(1+Slot9_Rate),0)</f>
        <v>0</v>
      </c>
      <c r="RT26" s="20" t="n">
        <f aca="false">IF(AND(HU26=1,CZ26=1),(KT26+KX26)/F26,0)</f>
        <v>0</v>
      </c>
      <c r="RU26" s="20" t="n">
        <f aca="false">IF(B26=0,KT26+KX26,0)</f>
        <v>0</v>
      </c>
      <c r="RV26" s="20" t="n">
        <f aca="false">IF(B26=0,IF(HU26=1,KV26,KW26),0)</f>
        <v>0</v>
      </c>
      <c r="RW26" s="20" t="n">
        <f aca="false">IF(DJ26=1,IF(HU26=1,LC26+LF26,DK26-PK26)*(1+Slot10_Rate),0)</f>
        <v>0</v>
      </c>
      <c r="RX26" s="20" t="n">
        <f aca="false">IF(AND(HU26=1,DJ26=1),(LB26+LF26)/F26,0)</f>
        <v>0</v>
      </c>
      <c r="RY26" s="20" t="n">
        <f aca="false">IF(B26=0,LB26+LF26,0)</f>
        <v>0</v>
      </c>
      <c r="RZ26" s="20" t="n">
        <f aca="false">IF(B26=0,IF(HU26=1,LD26,LE26),0)</f>
        <v>0</v>
      </c>
      <c r="SA26" s="20" t="n">
        <f aca="false">IF(DT26=1,IF(HU26=1,LK26+LN26,DU26-PI26)*(1+Slot11_Rate),0)</f>
        <v>0</v>
      </c>
      <c r="SB26" s="20" t="n">
        <f aca="false">IF(AND(HU26=1,DT26=1),(LJ26+LN26)/F26,0)</f>
        <v>0</v>
      </c>
      <c r="SC26" s="20" t="n">
        <f aca="false">IF(B26=0,LJ26+LN26,0)</f>
        <v>0</v>
      </c>
      <c r="SD26" s="20" t="n">
        <f aca="false">IF(B26=0,IF(HU26=1,LL26,LM26),0)</f>
        <v>0</v>
      </c>
      <c r="SE26" s="20" t="n">
        <f aca="false">IF(ED26=1,IF(HU26=1,LS26+LV26,EE26-PG26)*(1+Slot12_Rate),0)</f>
        <v>0</v>
      </c>
      <c r="SF26" s="20" t="n">
        <f aca="false">IF(AND(HU26=1,ED26=1),(LR26+LV26)/F26,0)</f>
        <v>0</v>
      </c>
      <c r="SG26" s="20" t="n">
        <f aca="false">IF(B26=0,LR26+LV26,0)</f>
        <v>0</v>
      </c>
      <c r="SH26" s="20" t="n">
        <f aca="false">IF(B26=0,IF(HU26=1,LT26,LU26),0)</f>
        <v>0</v>
      </c>
      <c r="SI26" s="20" t="n">
        <f aca="false">IF(EN26=1,IF(HU26=1,MA26+MD26,EO26-PE26)*(1+Slot13_Rate),0)</f>
        <v>0</v>
      </c>
      <c r="SJ26" s="20" t="n">
        <f aca="false">IF(AND(HU26=1,EN26=1),(LZ26+MD26)/F26,0)</f>
        <v>0</v>
      </c>
      <c r="SK26" s="20" t="n">
        <f aca="false">IF(B26=0,LZ26+MD26,0)</f>
        <v>0</v>
      </c>
      <c r="SL26" s="20" t="n">
        <f aca="false">IF(B26=0,IF(HU26=1,MB26,MC26),0)</f>
        <v>0</v>
      </c>
      <c r="SM26" s="20" t="n">
        <f aca="false">IF(EX26=1,IF(HU26=1,MI26+ML26,EY26-PC26)*(1+Slot14_Rate),0)</f>
        <v>0</v>
      </c>
      <c r="SN26" s="20" t="n">
        <f aca="false">IF(AND(HU26=1,EX26=1),(MH26+ML26)/F26,0)</f>
        <v>0</v>
      </c>
      <c r="SO26" s="20" t="n">
        <f aca="false">IF(B26=0,MH26+ML26,0)</f>
        <v>0</v>
      </c>
      <c r="SP26" s="20" t="n">
        <f aca="false">IF(B26=0,IF(HU26=1,MJ26,MK26),0)</f>
        <v>0</v>
      </c>
      <c r="SQ26" s="20" t="n">
        <f aca="false">IF(FH26=1,IF(HU26=1,MQ26+MT26,FI26-PA26)*(1+Slot15_Rate),0)</f>
        <v>0</v>
      </c>
      <c r="SR26" s="20" t="n">
        <f aca="false">IF(AND(HU26=1,FH26=1),(MP26+MT26)/F26,0)</f>
        <v>0</v>
      </c>
      <c r="SS26" s="20" t="n">
        <f aca="false">IF(B26=0,MP26+MT26,0)</f>
        <v>0</v>
      </c>
      <c r="ST26" s="20" t="n">
        <f aca="false">IF(B26=0,IF(HU26=1,MR26,MS26),0)</f>
        <v>0</v>
      </c>
      <c r="SU26" s="20" t="n">
        <f aca="false">IF(FR26=1,IF(HU26=1,MY26+NB26,FS26-OY26)*(1+Slot16_Rate),0)</f>
        <v>0</v>
      </c>
      <c r="SV26" s="20" t="n">
        <f aca="false">IF(AND(HU26=1,FR26=1),(MX26+NB26)/F26,0)</f>
        <v>0</v>
      </c>
      <c r="SW26" s="20" t="n">
        <f aca="false">IF(B26=0,MX26+NB26,0)</f>
        <v>0</v>
      </c>
      <c r="SX26" s="20" t="n">
        <f aca="false">IF(B26=0,IF(HU26=1,MZ26,NA26),0)</f>
        <v>0</v>
      </c>
      <c r="SY26" s="20" t="n">
        <f aca="false">IF(GB26=1,IF(HU26=1,NG26+NJ26,GC26-OW26)*(1+Slot17_Rate),0)</f>
        <v>0</v>
      </c>
      <c r="SZ26" s="20" t="n">
        <f aca="false">IF(AND(HU26=1,GB26=1),(NF26+NJ26)/F26,0)</f>
        <v>0</v>
      </c>
      <c r="TA26" s="20" t="n">
        <f aca="false">IF(B26=0,NF26+NJ26,0)</f>
        <v>0</v>
      </c>
      <c r="TB26" s="20" t="n">
        <f aca="false">IF(B26=0,IF(HU26=1,NH26,NI26),0)</f>
        <v>0</v>
      </c>
      <c r="TC26" s="20" t="n">
        <f aca="false">IF(GL26=1,IF(HU26=1,NO26+NR26,GM26-OU26)*(1+Slot18_Rate),0)</f>
        <v>0</v>
      </c>
      <c r="TD26" s="20" t="n">
        <f aca="false">IF(AND(HU26=1,GL26=1),(NN26+NR26)/F26,0)</f>
        <v>0</v>
      </c>
      <c r="TE26" s="20" t="n">
        <f aca="false">IF(B26=0,NN26+NR26,0)</f>
        <v>0</v>
      </c>
      <c r="TF26" s="20" t="n">
        <f aca="false">IF(B26=0,IF(HU26=1,NP26,NQ26),0)</f>
        <v>0</v>
      </c>
      <c r="TG26" s="20" t="n">
        <f aca="false">IF(GV26=1,IF(HU26=1,NW26+NZ26,GW26-OS26)*(1+Slot19_Rate),0)</f>
        <v>0</v>
      </c>
      <c r="TH26" s="20" t="n">
        <f aca="false">IF(AND(HU26=1,GV26=1),(NV26+NZ26)/F26,0)</f>
        <v>0</v>
      </c>
      <c r="TI26" s="20" t="n">
        <f aca="false">IF(B26=0,NV26+NZ26,0)</f>
        <v>0</v>
      </c>
      <c r="TJ26" s="20" t="n">
        <f aca="false">IF(B26=0,IF(HU26=1,NX26,NY26),0)</f>
        <v>0</v>
      </c>
      <c r="TK26" s="20" t="n">
        <f aca="false">IF(HF26=1,IF(HU26=1,OE26+OH26,HG26-OQ26)*(1+Slot20_Rate),0)</f>
        <v>0</v>
      </c>
      <c r="TL26" s="20" t="n">
        <f aca="false">IF(AND(HU26=1,HF26=1),(OD26+OH26)/F26,0)</f>
        <v>0</v>
      </c>
      <c r="TM26" s="20" t="n">
        <f aca="false">IF(B26=0,OD26+OH26,0)</f>
        <v>0</v>
      </c>
      <c r="TN26" s="20" t="n">
        <f aca="false">IF(B26=0,IF(HU26=1,OF26,OG26),0)</f>
        <v>0</v>
      </c>
      <c r="TO26" s="20" t="n">
        <f aca="false">QK26+QL26+QM26+QQ26+QU26+QY26+RC26+RG26+RK26+RO26+RS26+RW26+SA26+SE26+SI26+SM26+SQ26+SU26+SY26+TC26+TG26+TK26</f>
        <v>48750.4609612676</v>
      </c>
      <c r="TP26" s="20" t="n">
        <f aca="false">QE26+HP26</f>
        <v>0</v>
      </c>
      <c r="TQ26" s="20" t="n">
        <f aca="false">I26+S26</f>
        <v>64271.0811409323</v>
      </c>
      <c r="TR26" s="20" t="n">
        <f aca="false">1-G26</f>
        <v>0</v>
      </c>
      <c r="TS26" s="20" t="n">
        <f aca="false">IF(AND(RG_Exists=1,G26=0,C26=1),I26,0)</f>
        <v>0</v>
      </c>
      <c r="TT26" s="20" t="n">
        <f aca="false">IF(AND(RG_Exists=1,G26=0,C26=1),I26-MIN(QE26,I26),0)</f>
        <v>0</v>
      </c>
      <c r="TU26" s="20" t="n">
        <f aca="false">'Plan pay &amp; tax'!AD252</f>
        <v>396777.313614333</v>
      </c>
      <c r="TV26" s="20" t="n">
        <f aca="false">IF(AND(C26=1,QE26&gt;MAX(PR_Short1,TQ26*PR_Short2)),1,0)</f>
        <v>0</v>
      </c>
      <c r="TW26" s="20" t="n">
        <f aca="false">MIN(H26,I26+S26)</f>
        <v>64271.0811409323</v>
      </c>
      <c r="TX26" s="20" t="n">
        <f aca="false">QF26+MAX(0,HQ26-HP26)</f>
        <v>0</v>
      </c>
      <c r="TY26" s="20" t="n">
        <f aca="false">QE26+HP26</f>
        <v>0</v>
      </c>
      <c r="TZ26" s="20" t="n">
        <f aca="false">IF(AND(C26=1,TY26&gt;PR_MinShort),1,0)</f>
        <v>0</v>
      </c>
      <c r="UA26" s="20" t="n">
        <f aca="false">IF(AND(C26=1,TZ26=0,TX26&gt;PR_MinShort),1,0)</f>
        <v>0</v>
      </c>
      <c r="UB26" s="20" t="n">
        <f aca="false">IF(AND(C26=1,QE26&gt;PR_MinShort),1,0)</f>
        <v>0</v>
      </c>
      <c r="UC26" s="20" t="n">
        <f aca="false">IF(AND(C26=1,QF26&gt;1,UJ26=0),1,0)</f>
        <v>0</v>
      </c>
      <c r="UD26" s="20" t="str">
        <f aca="false">IF(C26=0,"",IF(UJ26=1,"Gap to plan for: short "&amp;"€"&amp;TEXT(ROUND(TP26,0),"#,##0"),IF(QF26&gt;1,"Using savings","Comfortable")))</f>
        <v>Comfortable</v>
      </c>
      <c r="UE26" s="20" t="n">
        <f aca="false">IF(AND(INT(D26/10)*10=90,B26&gt;0),80,INT(D26/10)*10)</f>
        <v>50</v>
      </c>
      <c r="UF26" s="20" t="n">
        <f aca="false">IF(B26=0,1,IF(UE26&lt;&gt;UE25,UF25+1,UF25))</f>
        <v>3</v>
      </c>
      <c r="UG26" s="20" t="n">
        <f aca="false">IF(AND(C26=1,G26=1,QE26&gt;MAX(PR_Short1,TQ26*PR_Short2)),1,0)</f>
        <v>0</v>
      </c>
      <c r="UH26" s="20" t="n">
        <f aca="false">TR26*TV26</f>
        <v>0</v>
      </c>
      <c r="UI26" s="20" t="n">
        <f aca="false">IF(AND(V26=1,Slot1_PctLow=1),1,0)+IF(AND(AG26=1,Slot2_PctLow=1),1,0)+IF(AND(AQ26=1,Slot3_PctLow=1),1,0)+IF(AND(BA26=1,Slot4_PctLow=1),1,0)+IF(AND(BK26=1,Slot5_PctLow=1),1,0)+IF(AND(BU26=1,Slot6_PctLow=1),1,0)+IF(AND(CE26=1,Slot7_PctLow=1),1,0)+IF(AND(CO26=1,Slot8_PctLow=1),1,0)+IF(AND(CY26=1,Slot9_PctLow=1),1,0)+IF(AND(DI26=1,Slot10_PctLow=1),1,0)+IF(AND(DS26=1,Slot11_PctLow=1),1,0)+IF(AND(EC26=1,Slot12_PctLow=1),1,0)+IF(AND(EM26=1,Slot13_PctLow=1),1,0)+IF(AND(EW26=1,Slot14_PctLow=1),1,0)+IF(AND(FG26=1,Slot15_PctLow=1),1,0)+IF(AND(FQ26=1,Slot16_PctLow=1),1,0)+IF(AND(GA26=1,Slot17_PctLow=1),1,0)+IF(AND(GK26=1,Slot18_PctLow=1),1,0)+IF(AND(GU26=1,Slot19_PctLow=1),1,0)+IF(AND(HE26=1,Slot20_PctLow=1),1,0)</f>
        <v>0</v>
      </c>
      <c r="UJ26" s="20" t="n">
        <f aca="false">IF(C26=1,IF(OR(TV26=1,UI26&gt;0),1,0),0)</f>
        <v>0</v>
      </c>
      <c r="UK26" s="20" t="n">
        <f aca="false">Z26+AK26+AU26+BE26+BO26+BY26+CI26+CS26+DC26+DM26+DW26+EG26+EQ26+FA26+FK26+FU26+GE26+GO26+GY26+HI26+OM26</f>
        <v>0</v>
      </c>
      <c r="UL26" s="20" t="n">
        <f aca="false">V26*IF(Slot1_SpendLike=1,X26-Y26,IF(Slot1_PotFree=1,X26,0))+AG26*IF(Slot2_SpendLike=1,AI26-AJ26,IF(Slot2_PotFree=1,AI26,0))+AQ26*IF(Slot3_SpendLike=1,AS26-AT26,IF(Slot3_PotFree=1,AS26,0))+BA26*IF(Slot4_SpendLike=1,BC26-BD26,IF(Slot4_PotFree=1,BC26,0))+BK26*IF(Slot5_SpendLike=1,BM26-BN26,IF(Slot5_PotFree=1,BM26,0))+BU26*IF(Slot6_SpendLike=1,BW26-BX26,IF(Slot6_PotFree=1,BW26,0))+CE26*IF(Slot7_SpendLike=1,CG26-CH26,IF(Slot7_PotFree=1,CG26,0))+CO26*IF(Slot8_SpendLike=1,CQ26-CR26,IF(Slot8_PotFree=1,CQ26,0))+CY26*IF(Slot9_SpendLike=1,DA26-DB26,IF(Slot9_PotFree=1,DA26,0))+DI26*IF(Slot10_SpendLike=1,DK26-DL26,IF(Slot10_PotFree=1,DK26,0))+DS26*IF(Slot11_SpendLike=1,DU26-DV26,IF(Slot11_PotFree=1,DU26,0))+EC26*IF(Slot12_SpendLike=1,EE26-EF26,IF(Slot12_PotFree=1,EE26,0))+EM26*IF(Slot13_SpendLike=1,EO26-EP26,IF(Slot13_PotFree=1,EO26,0))+EW26*IF(Slot14_SpendLike=1,EY26-EZ26,IF(Slot14_PotFree=1,EY26,0))+FG26*IF(Slot15_SpendLike=1,FI26-FJ26,IF(Slot15_PotFree=1,FI26,0))+FQ26*IF(Slot16_SpendLike=1,FS26-FT26,IF(Slot16_PotFree=1,FS26,0))+GA26*IF(Slot17_SpendLike=1,GC26-GD26,IF(Slot17_PotFree=1,GC26,0))+GK26*IF(Slot18_SpendLike=1,GM26-GN26,IF(Slot18_PotFree=1,GM26,0))+GU26*IF(Slot19_SpendLike=1,GW26-GX26,IF(Slot19_PotFree=1,GW26,0))+HE26*IF(Slot20_SpendLike=1,HG26-HH26,IF(Slot20_PotFree=1,HG26,0))</f>
        <v>0</v>
      </c>
      <c r="UM26" s="20" t="n">
        <f aca="false">QG26-T26+UK26-UL26</f>
        <v>8569.47748545764</v>
      </c>
      <c r="UN26" s="20" t="n">
        <f aca="false">IF(OR(UN25=1,AND(In_homeUse="Yes, I'd downsize",In_downAge&gt;0,D26=In_downAge,OR(In_home="Own outright",In_home="Own with mortgage"),In_homeValue&gt;0)),1,0)</f>
        <v>0</v>
      </c>
    </row>
    <row r="27" customFormat="false" ht="15" hidden="false" customHeight="true" outlineLevel="0" collapsed="false">
      <c r="B27" s="20" t="n">
        <v>19</v>
      </c>
      <c r="C27" s="20" t="n">
        <f aca="false">IF(B27&lt;=F_N,1,0)</f>
        <v>1</v>
      </c>
      <c r="D27" s="20" t="n">
        <f aca="false">'Plan pay &amp; tax'!C253</f>
        <v>57</v>
      </c>
      <c r="E27" s="20" t="str">
        <f aca="false">IF($C27=1,"Income tax "&amp;TEXT(N('Plan pay &amp; tax'!BK253),"#,##0")&amp;"; USC "&amp;TEXT(N('Plan pay &amp; tax'!BM253)+N('Plan pay &amp; tax'!BO253),"#,##0")&amp;"; PRSI "&amp;TEXT(N('Plan pay &amp; tax'!BP253)+N('Plan pay &amp; tax'!BQ253),"#,##0")&amp;IF(N('Plan holdings'!BO27)&gt;=0.5,"; DIRT "&amp;TEXT(('Plan holdings'!BO27)/$F27,"#,##0")&amp;" (already taken from the interest earned)","")&amp;IF(N('Plan holdings'!BP27)&gt;=0.5,"; exit tax at an 8-year anniversary "&amp;TEXT(('Plan holdings'!BP27)/$F27,"#,##0"),"")&amp;IF(N('Plan holdings'!BN27)&gt;=0.5,"; tax on assets sold (exit tax or capital gains tax) "&amp;TEXT(('Plan holdings'!BN27)/$F27,"#,##0"),"")&amp;IF(N('Plan pay &amp; tax'!X253)-N('Plan pay &amp; tax'!Y253)&gt;=0.5,"; tax on the pension lump sum "&amp;TEXT(('Plan pay &amp; tax'!X253-'Plan pay &amp; tax'!Y253)/$F27,"#,##0"),"")&amp;IF(N('Plan pay &amp; tax'!V253)&gt;=0.5,"; chargeable excess tax on the pension "&amp;TEXT(('Plan pay &amp; tax'!V253)/$F27,"#,##0"),"")&amp;".","")</f>
        <v>Income tax 14,919; USC 1,977; PRSI 4,526; DIRT 132 (already taken from the interest earned); exit tax at an 8-year anniversary 86.</v>
      </c>
      <c r="F27" s="50" t="n">
        <f aca="false">'Plan pay &amp; tax'!E253</f>
        <v>1.4568111725278</v>
      </c>
      <c r="G27" s="20" t="n">
        <f aca="false">'Plan pay &amp; tax'!G253</f>
        <v>1</v>
      </c>
      <c r="H27" s="20" t="n">
        <f aca="false">'Plan pay &amp; tax'!BT253-'Plan pay &amp; tax'!BS253-'Plan pay &amp; tax'!R253</f>
        <v>103602.836873716</v>
      </c>
      <c r="I27" s="20" t="n">
        <f aca="false">IF(G27=1,F_CostsM*12,IF(RG_Exists=1,RG_Amount,F_CostsM*12*AS_RetireSpend))*F27+F_OneOffY*F27</f>
        <v>65556.502763751</v>
      </c>
      <c r="J27" s="20" t="n">
        <f aca="false">IF(UN27=1,0,HR26)</f>
        <v>0</v>
      </c>
      <c r="K27" s="20" t="n">
        <f aca="false">IF(J27&gt;1,'Plan debt months'!AC27,0)</f>
        <v>0</v>
      </c>
      <c r="L27" s="20" t="n">
        <f aca="false">IF(J27&gt;1,'Plan debt months'!AB27,J27)</f>
        <v>0</v>
      </c>
      <c r="M27" s="20" t="n">
        <f aca="false">O26</f>
        <v>0</v>
      </c>
      <c r="N27" s="20" t="n">
        <f aca="false">IF(M27&gt;1,'Plan debt months'!BD27,0)</f>
        <v>0</v>
      </c>
      <c r="O27" s="20" t="n">
        <f aca="false">IF(M27&gt;1,'Plan debt months'!BC27,M27)</f>
        <v>0</v>
      </c>
      <c r="P27" s="20" t="n">
        <f aca="false">R26</f>
        <v>0</v>
      </c>
      <c r="Q27" s="20" t="n">
        <f aca="false">IF(P27&gt;1,'Plan debt months'!CE27,0)</f>
        <v>0</v>
      </c>
      <c r="R27" s="20" t="n">
        <f aca="false">IF(P27&gt;1,'Plan debt months'!CD27,P27)</f>
        <v>0</v>
      </c>
      <c r="S27" s="20" t="n">
        <f aca="false">K27+N27+Q27</f>
        <v>0</v>
      </c>
      <c r="T27" s="57" t="n">
        <f aca="false">'Plan holdings'!Y27</f>
        <v>34694.3575920851</v>
      </c>
      <c r="U27" s="57" t="n">
        <f aca="false">'Plan holdings'!BM26</f>
        <v>35274.9222568479</v>
      </c>
      <c r="V27" s="20" t="n">
        <f aca="false">IF(AND(Slot1_On=1,D27=Slot1_Age),1,0)</f>
        <v>0</v>
      </c>
      <c r="W27" s="20" t="n">
        <f aca="false">IF(AND(Slot1_On=1,Slot1_Age&gt;D27),1,0)</f>
        <v>0</v>
      </c>
      <c r="X27" s="20" t="n">
        <f aca="false">QM26</f>
        <v>0</v>
      </c>
      <c r="Y27" s="20" t="n">
        <f aca="false">V27*MIN(Slot1_Cost,X27)</f>
        <v>0</v>
      </c>
      <c r="Z27" s="20" t="n">
        <f aca="false">V27*Slot1_SpendLike*MIN(Slot1_Cost-Y27,T27)</f>
        <v>0</v>
      </c>
      <c r="AA27" s="20" t="n">
        <f aca="false">Y27+Z27</f>
        <v>0</v>
      </c>
      <c r="AB27" s="20" t="n">
        <f aca="false">T27-Z27+V27*IF(Slot1_SpendLike=1,X27-Y27,IF(Slot1_PotFree=1,X27,0))</f>
        <v>34694.3575920851</v>
      </c>
      <c r="AC27" s="20" t="n">
        <f aca="false">AF27+V27*Slot1_BufPot*X27</f>
        <v>13475.5387044196</v>
      </c>
      <c r="AD27" s="20" t="n">
        <f aca="false">IF(AND(V27=1,Slot1_IsMfree=1),IF(AA27&gt;=Slot1_Cost-1,0,MAX(0,L27-AA27)),L27)</f>
        <v>0</v>
      </c>
      <c r="AE27" s="20" t="n">
        <f aca="false">V27*(Slot1_Cost-AA27)</f>
        <v>0</v>
      </c>
      <c r="AF27" s="20" t="n">
        <f aca="false">QL26</f>
        <v>13475.5387044196</v>
      </c>
      <c r="AG27" s="20" t="n">
        <f aca="false">IF(AND(Slot2_On=1,D27=Slot2_Age),1,0)</f>
        <v>0</v>
      </c>
      <c r="AH27" s="20" t="n">
        <f aca="false">IF(AND(Slot2_On=1,Slot2_Age&gt;D27),1,0)</f>
        <v>0</v>
      </c>
      <c r="AI27" s="20" t="n">
        <f aca="false">QQ26</f>
        <v>0</v>
      </c>
      <c r="AJ27" s="20" t="n">
        <f aca="false">AG27*MIN(Slot2_Cost,AI27)</f>
        <v>0</v>
      </c>
      <c r="AK27" s="20" t="n">
        <f aca="false">AG27*Slot2_SpendLike*MIN(Slot2_Cost-AJ27,AB27)</f>
        <v>0</v>
      </c>
      <c r="AL27" s="20" t="n">
        <f aca="false">AJ27+AK27</f>
        <v>0</v>
      </c>
      <c r="AM27" s="20" t="n">
        <f aca="false">AB27-AK27+AG27*IF(Slot2_SpendLike=1,AI27-AJ27,IF(Slot2_PotFree=1,AI27,0))</f>
        <v>34694.3575920851</v>
      </c>
      <c r="AN27" s="20" t="n">
        <f aca="false">AC27+AG27*Slot2_BufPot*AI27</f>
        <v>13475.5387044196</v>
      </c>
      <c r="AO27" s="20" t="n">
        <f aca="false">IF(AND(AG27=1,Slot2_IsMfree=1),IF(AL27&gt;=Slot2_Cost-1,0,MAX(0,AD27-AL27)),AD27)</f>
        <v>0</v>
      </c>
      <c r="AP27" s="20" t="n">
        <f aca="false">AG27*(Slot2_Cost-AL27)</f>
        <v>0</v>
      </c>
      <c r="AQ27" s="20" t="n">
        <f aca="false">IF(AND(Slot3_On=1,D27=Slot3_Age),1,0)</f>
        <v>0</v>
      </c>
      <c r="AR27" s="20" t="n">
        <f aca="false">IF(AND(Slot3_On=1,Slot3_Age&gt;D27),1,0)</f>
        <v>0</v>
      </c>
      <c r="AS27" s="20" t="n">
        <f aca="false">QU26</f>
        <v>0</v>
      </c>
      <c r="AT27" s="20" t="n">
        <f aca="false">AQ27*MIN(Slot3_Cost,AS27)</f>
        <v>0</v>
      </c>
      <c r="AU27" s="20" t="n">
        <f aca="false">AQ27*Slot3_SpendLike*MIN(Slot3_Cost-AT27,AM27)</f>
        <v>0</v>
      </c>
      <c r="AV27" s="20" t="n">
        <f aca="false">AT27+AU27</f>
        <v>0</v>
      </c>
      <c r="AW27" s="20" t="n">
        <f aca="false">AM27-AU27+AQ27*IF(Slot3_SpendLike=1,AS27-AT27,IF(Slot3_PotFree=1,AS27,0))</f>
        <v>34694.3575920851</v>
      </c>
      <c r="AX27" s="20" t="n">
        <f aca="false">AN27+AQ27*Slot3_BufPot*AS27</f>
        <v>13475.5387044196</v>
      </c>
      <c r="AY27" s="20" t="n">
        <f aca="false">IF(AND(AQ27=1,Slot3_IsMfree=1),IF(AV27&gt;=Slot3_Cost-1,0,MAX(0,AO27-AV27)),AO27)</f>
        <v>0</v>
      </c>
      <c r="AZ27" s="20" t="n">
        <f aca="false">AQ27*(Slot3_Cost-AV27)</f>
        <v>0</v>
      </c>
      <c r="BA27" s="20" t="n">
        <f aca="false">IF(AND(Slot4_On=1,D27=Slot4_Age),1,0)</f>
        <v>0</v>
      </c>
      <c r="BB27" s="20" t="n">
        <f aca="false">IF(AND(Slot4_On=1,Slot4_Age&gt;D27),1,0)</f>
        <v>0</v>
      </c>
      <c r="BC27" s="20" t="n">
        <f aca="false">QY26</f>
        <v>0</v>
      </c>
      <c r="BD27" s="20" t="n">
        <f aca="false">BA27*MIN(Slot4_Cost,BC27)</f>
        <v>0</v>
      </c>
      <c r="BE27" s="20" t="n">
        <f aca="false">BA27*Slot4_SpendLike*MIN(Slot4_Cost-BD27,AW27)</f>
        <v>0</v>
      </c>
      <c r="BF27" s="20" t="n">
        <f aca="false">BD27+BE27</f>
        <v>0</v>
      </c>
      <c r="BG27" s="20" t="n">
        <f aca="false">AW27-BE27+BA27*IF(Slot4_SpendLike=1,BC27-BD27,IF(Slot4_PotFree=1,BC27,0))</f>
        <v>34694.3575920851</v>
      </c>
      <c r="BH27" s="20" t="n">
        <f aca="false">AX27+BA27*Slot4_BufPot*BC27</f>
        <v>13475.5387044196</v>
      </c>
      <c r="BI27" s="20" t="n">
        <f aca="false">IF(AND(BA27=1,Slot4_IsMfree=1),IF(BF27&gt;=Slot4_Cost-1,0,MAX(0,AY27-BF27)),AY27)</f>
        <v>0</v>
      </c>
      <c r="BJ27" s="20" t="n">
        <f aca="false">BA27*(Slot4_Cost-BF27)</f>
        <v>0</v>
      </c>
      <c r="BK27" s="20" t="n">
        <f aca="false">IF(AND(Slot5_On=1,D27=Slot5_Age),1,0)</f>
        <v>0</v>
      </c>
      <c r="BL27" s="20" t="n">
        <f aca="false">IF(AND(Slot5_On=1,Slot5_Age&gt;D27),1,0)</f>
        <v>0</v>
      </c>
      <c r="BM27" s="20" t="n">
        <f aca="false">RC26</f>
        <v>0</v>
      </c>
      <c r="BN27" s="20" t="n">
        <f aca="false">BK27*MIN(Slot5_Cost,BM27)</f>
        <v>0</v>
      </c>
      <c r="BO27" s="20" t="n">
        <f aca="false">BK27*Slot5_SpendLike*MIN(Slot5_Cost-BN27,BG27)</f>
        <v>0</v>
      </c>
      <c r="BP27" s="20" t="n">
        <f aca="false">BN27+BO27</f>
        <v>0</v>
      </c>
      <c r="BQ27" s="20" t="n">
        <f aca="false">BG27-BO27+BK27*IF(Slot5_SpendLike=1,BM27-BN27,IF(Slot5_PotFree=1,BM27,0))</f>
        <v>34694.3575920851</v>
      </c>
      <c r="BR27" s="20" t="n">
        <f aca="false">BH27+BK27*Slot5_BufPot*BM27</f>
        <v>13475.5387044196</v>
      </c>
      <c r="BS27" s="20" t="n">
        <f aca="false">IF(AND(BK27=1,Slot5_IsMfree=1),IF(BP27&gt;=Slot5_Cost-1,0,MAX(0,BI27-BP27)),BI27)</f>
        <v>0</v>
      </c>
      <c r="BT27" s="20" t="n">
        <f aca="false">BK27*(Slot5_Cost-BP27)</f>
        <v>0</v>
      </c>
      <c r="BU27" s="20" t="n">
        <f aca="false">IF(AND(Slot6_On=1,D27=Slot6_Age),1,0)</f>
        <v>0</v>
      </c>
      <c r="BV27" s="20" t="n">
        <f aca="false">IF(AND(Slot6_On=1,Slot6_Age&gt;D27),1,0)</f>
        <v>0</v>
      </c>
      <c r="BW27" s="20" t="n">
        <f aca="false">RG26</f>
        <v>0</v>
      </c>
      <c r="BX27" s="20" t="n">
        <f aca="false">BU27*MIN(Slot6_Cost,BW27)</f>
        <v>0</v>
      </c>
      <c r="BY27" s="20" t="n">
        <f aca="false">BU27*Slot6_SpendLike*MIN(Slot6_Cost-BX27,BQ27)</f>
        <v>0</v>
      </c>
      <c r="BZ27" s="20" t="n">
        <f aca="false">BX27+BY27</f>
        <v>0</v>
      </c>
      <c r="CA27" s="20" t="n">
        <f aca="false">BQ27-BY27+BU27*IF(Slot6_SpendLike=1,BW27-BX27,IF(Slot6_PotFree=1,BW27,0))</f>
        <v>34694.3575920851</v>
      </c>
      <c r="CB27" s="20" t="n">
        <f aca="false">BR27+BU27*Slot6_BufPot*BW27</f>
        <v>13475.5387044196</v>
      </c>
      <c r="CC27" s="20" t="n">
        <f aca="false">IF(AND(BU27=1,Slot6_IsMfree=1),IF(BZ27&gt;=Slot6_Cost-1,0,MAX(0,BS27-BZ27)),BS27)</f>
        <v>0</v>
      </c>
      <c r="CD27" s="20" t="n">
        <f aca="false">BU27*(Slot6_Cost-BZ27)</f>
        <v>0</v>
      </c>
      <c r="CE27" s="20" t="n">
        <f aca="false">IF(AND(Slot7_On=1,D27=Slot7_Age),1,0)</f>
        <v>0</v>
      </c>
      <c r="CF27" s="20" t="n">
        <f aca="false">IF(AND(Slot7_On=1,Slot7_Age&gt;D27),1,0)</f>
        <v>0</v>
      </c>
      <c r="CG27" s="20" t="n">
        <f aca="false">RK26</f>
        <v>0</v>
      </c>
      <c r="CH27" s="20" t="n">
        <f aca="false">CE27*MIN(Slot7_Cost,CG27)</f>
        <v>0</v>
      </c>
      <c r="CI27" s="20" t="n">
        <f aca="false">CE27*Slot7_SpendLike*MIN(Slot7_Cost-CH27,CA27)</f>
        <v>0</v>
      </c>
      <c r="CJ27" s="20" t="n">
        <f aca="false">CH27+CI27</f>
        <v>0</v>
      </c>
      <c r="CK27" s="20" t="n">
        <f aca="false">CA27-CI27+CE27*IF(Slot7_SpendLike=1,CG27-CH27,IF(Slot7_PotFree=1,CG27,0))</f>
        <v>34694.3575920851</v>
      </c>
      <c r="CL27" s="20" t="n">
        <f aca="false">CB27+CE27*Slot7_BufPot*CG27</f>
        <v>13475.5387044196</v>
      </c>
      <c r="CM27" s="20" t="n">
        <f aca="false">IF(AND(CE27=1,Slot7_IsMfree=1),IF(CJ27&gt;=Slot7_Cost-1,0,MAX(0,CC27-CJ27)),CC27)</f>
        <v>0</v>
      </c>
      <c r="CN27" s="20" t="n">
        <f aca="false">CE27*(Slot7_Cost-CJ27)</f>
        <v>0</v>
      </c>
      <c r="CO27" s="20" t="n">
        <f aca="false">IF(AND(Slot8_On=1,D27=Slot8_Age),1,0)</f>
        <v>0</v>
      </c>
      <c r="CP27" s="20" t="n">
        <f aca="false">IF(AND(Slot8_On=1,Slot8_Age&gt;D27),1,0)</f>
        <v>0</v>
      </c>
      <c r="CQ27" s="20" t="n">
        <f aca="false">RO26</f>
        <v>0</v>
      </c>
      <c r="CR27" s="20" t="n">
        <f aca="false">CO27*MIN(Slot8_Cost,CQ27)</f>
        <v>0</v>
      </c>
      <c r="CS27" s="20" t="n">
        <f aca="false">CO27*Slot8_SpendLike*MIN(Slot8_Cost-CR27,CK27)</f>
        <v>0</v>
      </c>
      <c r="CT27" s="20" t="n">
        <f aca="false">CR27+CS27</f>
        <v>0</v>
      </c>
      <c r="CU27" s="20" t="n">
        <f aca="false">CK27-CS27+CO27*IF(Slot8_SpendLike=1,CQ27-CR27,IF(Slot8_PotFree=1,CQ27,0))</f>
        <v>34694.3575920851</v>
      </c>
      <c r="CV27" s="20" t="n">
        <f aca="false">CL27+CO27*Slot8_BufPot*CQ27</f>
        <v>13475.5387044196</v>
      </c>
      <c r="CW27" s="20" t="n">
        <f aca="false">IF(AND(CO27=1,Slot8_IsMfree=1),IF(CT27&gt;=Slot8_Cost-1,0,MAX(0,CM27-CT27)),CM27)</f>
        <v>0</v>
      </c>
      <c r="CX27" s="20" t="n">
        <f aca="false">CO27*(Slot8_Cost-CT27)</f>
        <v>0</v>
      </c>
      <c r="CY27" s="20" t="n">
        <f aca="false">IF(AND(Slot9_On=1,D27=Slot9_Age),1,0)</f>
        <v>0</v>
      </c>
      <c r="CZ27" s="20" t="n">
        <f aca="false">IF(AND(Slot9_On=1,Slot9_Age&gt;D27),1,0)</f>
        <v>0</v>
      </c>
      <c r="DA27" s="20" t="n">
        <f aca="false">RS26</f>
        <v>0</v>
      </c>
      <c r="DB27" s="20" t="n">
        <f aca="false">CY27*MIN(Slot9_Cost,DA27)</f>
        <v>0</v>
      </c>
      <c r="DC27" s="20" t="n">
        <f aca="false">CY27*Slot9_SpendLike*MIN(Slot9_Cost-DB27,CU27)</f>
        <v>0</v>
      </c>
      <c r="DD27" s="20" t="n">
        <f aca="false">DB27+DC27</f>
        <v>0</v>
      </c>
      <c r="DE27" s="20" t="n">
        <f aca="false">CU27-DC27+CY27*IF(Slot9_SpendLike=1,DA27-DB27,IF(Slot9_PotFree=1,DA27,0))</f>
        <v>34694.3575920851</v>
      </c>
      <c r="DF27" s="20" t="n">
        <f aca="false">CV27+CY27*Slot9_BufPot*DA27</f>
        <v>13475.5387044196</v>
      </c>
      <c r="DG27" s="20" t="n">
        <f aca="false">IF(AND(CY27=1,Slot9_IsMfree=1),IF(DD27&gt;=Slot9_Cost-1,0,MAX(0,CW27-DD27)),CW27)</f>
        <v>0</v>
      </c>
      <c r="DH27" s="20" t="n">
        <f aca="false">CY27*(Slot9_Cost-DD27)</f>
        <v>0</v>
      </c>
      <c r="DI27" s="20" t="n">
        <f aca="false">IF(AND(Slot10_On=1,D27=Slot10_Age),1,0)</f>
        <v>0</v>
      </c>
      <c r="DJ27" s="20" t="n">
        <f aca="false">IF(AND(Slot10_On=1,Slot10_Age&gt;D27),1,0)</f>
        <v>0</v>
      </c>
      <c r="DK27" s="20" t="n">
        <f aca="false">RW26</f>
        <v>0</v>
      </c>
      <c r="DL27" s="20" t="n">
        <f aca="false">DI27*MIN(Slot10_Cost,DK27)</f>
        <v>0</v>
      </c>
      <c r="DM27" s="20" t="n">
        <f aca="false">DI27*Slot10_SpendLike*MIN(Slot10_Cost-DL27,DE27)</f>
        <v>0</v>
      </c>
      <c r="DN27" s="20" t="n">
        <f aca="false">DL27+DM27</f>
        <v>0</v>
      </c>
      <c r="DO27" s="20" t="n">
        <f aca="false">DE27-DM27+DI27*IF(Slot10_SpendLike=1,DK27-DL27,IF(Slot10_PotFree=1,DK27,0))</f>
        <v>34694.3575920851</v>
      </c>
      <c r="DP27" s="20" t="n">
        <f aca="false">DF27+DI27*Slot10_BufPot*DK27</f>
        <v>13475.5387044196</v>
      </c>
      <c r="DQ27" s="20" t="n">
        <f aca="false">IF(AND(DI27=1,Slot10_IsMfree=1),IF(DN27&gt;=Slot10_Cost-1,0,MAX(0,DG27-DN27)),DG27)</f>
        <v>0</v>
      </c>
      <c r="DR27" s="20" t="n">
        <f aca="false">DI27*(Slot10_Cost-DN27)</f>
        <v>0</v>
      </c>
      <c r="DS27" s="20" t="n">
        <f aca="false">IF(AND(Slot11_On=1,D27=Slot11_Age),1,0)</f>
        <v>0</v>
      </c>
      <c r="DT27" s="20" t="n">
        <f aca="false">IF(AND(Slot11_On=1,Slot11_Age&gt;D27),1,0)</f>
        <v>0</v>
      </c>
      <c r="DU27" s="20" t="n">
        <f aca="false">SA26</f>
        <v>0</v>
      </c>
      <c r="DV27" s="20" t="n">
        <f aca="false">DS27*MIN(Slot11_Cost,DU27)</f>
        <v>0</v>
      </c>
      <c r="DW27" s="20" t="n">
        <f aca="false">DS27*Slot11_SpendLike*MIN(Slot11_Cost-DV27,DO27)</f>
        <v>0</v>
      </c>
      <c r="DX27" s="20" t="n">
        <f aca="false">DV27+DW27</f>
        <v>0</v>
      </c>
      <c r="DY27" s="20" t="n">
        <f aca="false">DO27-DW27+DS27*IF(Slot11_SpendLike=1,DU27-DV27,IF(Slot11_PotFree=1,DU27,0))</f>
        <v>34694.3575920851</v>
      </c>
      <c r="DZ27" s="20" t="n">
        <f aca="false">DP27+DS27*Slot11_BufPot*DU27</f>
        <v>13475.5387044196</v>
      </c>
      <c r="EA27" s="20" t="n">
        <f aca="false">IF(AND(DS27=1,Slot11_IsMfree=1),IF(DX27&gt;=Slot11_Cost-1,0,MAX(0,DQ27-DX27)),DQ27)</f>
        <v>0</v>
      </c>
      <c r="EB27" s="20" t="n">
        <f aca="false">DS27*(Slot11_Cost-DX27)</f>
        <v>0</v>
      </c>
      <c r="EC27" s="20" t="n">
        <f aca="false">IF(AND(Slot12_On=1,D27=Slot12_Age),1,0)</f>
        <v>0</v>
      </c>
      <c r="ED27" s="20" t="n">
        <f aca="false">IF(AND(Slot12_On=1,Slot12_Age&gt;D27),1,0)</f>
        <v>0</v>
      </c>
      <c r="EE27" s="20" t="n">
        <f aca="false">SE26</f>
        <v>0</v>
      </c>
      <c r="EF27" s="20" t="n">
        <f aca="false">EC27*MIN(Slot12_Cost,EE27)</f>
        <v>0</v>
      </c>
      <c r="EG27" s="20" t="n">
        <f aca="false">EC27*Slot12_SpendLike*MIN(Slot12_Cost-EF27,DY27)</f>
        <v>0</v>
      </c>
      <c r="EH27" s="20" t="n">
        <f aca="false">EF27+EG27</f>
        <v>0</v>
      </c>
      <c r="EI27" s="20" t="n">
        <f aca="false">DY27-EG27+EC27*IF(Slot12_SpendLike=1,EE27-EF27,IF(Slot12_PotFree=1,EE27,0))</f>
        <v>34694.3575920851</v>
      </c>
      <c r="EJ27" s="20" t="n">
        <f aca="false">DZ27+EC27*Slot12_BufPot*EE27</f>
        <v>13475.5387044196</v>
      </c>
      <c r="EK27" s="20" t="n">
        <f aca="false">IF(AND(EC27=1,Slot12_IsMfree=1),IF(EH27&gt;=Slot12_Cost-1,0,MAX(0,EA27-EH27)),EA27)</f>
        <v>0</v>
      </c>
      <c r="EL27" s="20" t="n">
        <f aca="false">EC27*(Slot12_Cost-EH27)</f>
        <v>0</v>
      </c>
      <c r="EM27" s="20" t="n">
        <f aca="false">IF(AND(Slot13_On=1,D27=Slot13_Age),1,0)</f>
        <v>0</v>
      </c>
      <c r="EN27" s="20" t="n">
        <f aca="false">IF(AND(Slot13_On=1,Slot13_Age&gt;D27),1,0)</f>
        <v>0</v>
      </c>
      <c r="EO27" s="20" t="n">
        <f aca="false">SI26</f>
        <v>0</v>
      </c>
      <c r="EP27" s="20" t="n">
        <f aca="false">EM27*MIN(Slot13_Cost,EO27)</f>
        <v>0</v>
      </c>
      <c r="EQ27" s="20" t="n">
        <f aca="false">EM27*Slot13_SpendLike*MIN(Slot13_Cost-EP27,EI27)</f>
        <v>0</v>
      </c>
      <c r="ER27" s="20" t="n">
        <f aca="false">EP27+EQ27</f>
        <v>0</v>
      </c>
      <c r="ES27" s="20" t="n">
        <f aca="false">EI27-EQ27+EM27*IF(Slot13_SpendLike=1,EO27-EP27,IF(Slot13_PotFree=1,EO27,0))</f>
        <v>34694.3575920851</v>
      </c>
      <c r="ET27" s="20" t="n">
        <f aca="false">EJ27+EM27*Slot13_BufPot*EO27</f>
        <v>13475.5387044196</v>
      </c>
      <c r="EU27" s="20" t="n">
        <f aca="false">IF(AND(EM27=1,Slot13_IsMfree=1),IF(ER27&gt;=Slot13_Cost-1,0,MAX(0,EK27-ER27)),EK27)</f>
        <v>0</v>
      </c>
      <c r="EV27" s="20" t="n">
        <f aca="false">EM27*(Slot13_Cost-ER27)</f>
        <v>0</v>
      </c>
      <c r="EW27" s="20" t="n">
        <f aca="false">IF(AND(Slot14_On=1,D27=Slot14_Age),1,0)</f>
        <v>0</v>
      </c>
      <c r="EX27" s="20" t="n">
        <f aca="false">IF(AND(Slot14_On=1,Slot14_Age&gt;D27),1,0)</f>
        <v>0</v>
      </c>
      <c r="EY27" s="20" t="n">
        <f aca="false">SM26</f>
        <v>0</v>
      </c>
      <c r="EZ27" s="20" t="n">
        <f aca="false">EW27*MIN(Slot14_Cost,EY27)</f>
        <v>0</v>
      </c>
      <c r="FA27" s="20" t="n">
        <f aca="false">EW27*Slot14_SpendLike*MIN(Slot14_Cost-EZ27,ES27)</f>
        <v>0</v>
      </c>
      <c r="FB27" s="20" t="n">
        <f aca="false">EZ27+FA27</f>
        <v>0</v>
      </c>
      <c r="FC27" s="20" t="n">
        <f aca="false">ES27-FA27+EW27*IF(Slot14_SpendLike=1,EY27-EZ27,IF(Slot14_PotFree=1,EY27,0))</f>
        <v>34694.3575920851</v>
      </c>
      <c r="FD27" s="20" t="n">
        <f aca="false">ET27+EW27*Slot14_BufPot*EY27</f>
        <v>13475.5387044196</v>
      </c>
      <c r="FE27" s="20" t="n">
        <f aca="false">IF(AND(EW27=1,Slot14_IsMfree=1),IF(FB27&gt;=Slot14_Cost-1,0,MAX(0,EU27-FB27)),EU27)</f>
        <v>0</v>
      </c>
      <c r="FF27" s="20" t="n">
        <f aca="false">EW27*(Slot14_Cost-FB27)</f>
        <v>0</v>
      </c>
      <c r="FG27" s="20" t="n">
        <f aca="false">IF(AND(Slot15_On=1,D27=Slot15_Age),1,0)</f>
        <v>0</v>
      </c>
      <c r="FH27" s="20" t="n">
        <f aca="false">IF(AND(Slot15_On=1,Slot15_Age&gt;D27),1,0)</f>
        <v>0</v>
      </c>
      <c r="FI27" s="20" t="n">
        <f aca="false">SQ26</f>
        <v>0</v>
      </c>
      <c r="FJ27" s="20" t="n">
        <f aca="false">FG27*MIN(Slot15_Cost,FI27)</f>
        <v>0</v>
      </c>
      <c r="FK27" s="20" t="n">
        <f aca="false">FG27*Slot15_SpendLike*MIN(Slot15_Cost-FJ27,FC27)</f>
        <v>0</v>
      </c>
      <c r="FL27" s="20" t="n">
        <f aca="false">FJ27+FK27</f>
        <v>0</v>
      </c>
      <c r="FM27" s="20" t="n">
        <f aca="false">FC27-FK27+FG27*IF(Slot15_SpendLike=1,FI27-FJ27,IF(Slot15_PotFree=1,FI27,0))</f>
        <v>34694.3575920851</v>
      </c>
      <c r="FN27" s="20" t="n">
        <f aca="false">FD27+FG27*Slot15_BufPot*FI27</f>
        <v>13475.5387044196</v>
      </c>
      <c r="FO27" s="20" t="n">
        <f aca="false">IF(AND(FG27=1,Slot15_IsMfree=1),IF(FL27&gt;=Slot15_Cost-1,0,MAX(0,FE27-FL27)),FE27)</f>
        <v>0</v>
      </c>
      <c r="FP27" s="20" t="n">
        <f aca="false">FG27*(Slot15_Cost-FL27)</f>
        <v>0</v>
      </c>
      <c r="FQ27" s="20" t="n">
        <f aca="false">IF(AND(Slot16_On=1,D27=Slot16_Age),1,0)</f>
        <v>0</v>
      </c>
      <c r="FR27" s="20" t="n">
        <f aca="false">IF(AND(Slot16_On=1,Slot16_Age&gt;D27),1,0)</f>
        <v>0</v>
      </c>
      <c r="FS27" s="20" t="n">
        <f aca="false">SU26</f>
        <v>0</v>
      </c>
      <c r="FT27" s="20" t="n">
        <f aca="false">FQ27*MIN(Slot16_Cost,FS27)</f>
        <v>0</v>
      </c>
      <c r="FU27" s="20" t="n">
        <f aca="false">FQ27*Slot16_SpendLike*MIN(Slot16_Cost-FT27,FM27)</f>
        <v>0</v>
      </c>
      <c r="FV27" s="20" t="n">
        <f aca="false">FT27+FU27</f>
        <v>0</v>
      </c>
      <c r="FW27" s="20" t="n">
        <f aca="false">FM27-FU27+FQ27*IF(Slot16_SpendLike=1,FS27-FT27,IF(Slot16_PotFree=1,FS27,0))</f>
        <v>34694.3575920851</v>
      </c>
      <c r="FX27" s="20" t="n">
        <f aca="false">FN27+FQ27*Slot16_BufPot*FS27</f>
        <v>13475.5387044196</v>
      </c>
      <c r="FY27" s="20" t="n">
        <f aca="false">IF(AND(FQ27=1,Slot16_IsMfree=1),IF(FV27&gt;=Slot16_Cost-1,0,MAX(0,FO27-FV27)),FO27)</f>
        <v>0</v>
      </c>
      <c r="FZ27" s="20" t="n">
        <f aca="false">FQ27*(Slot16_Cost-FV27)</f>
        <v>0</v>
      </c>
      <c r="GA27" s="20" t="n">
        <f aca="false">IF(AND(Slot17_On=1,D27=Slot17_Age),1,0)</f>
        <v>0</v>
      </c>
      <c r="GB27" s="20" t="n">
        <f aca="false">IF(AND(Slot17_On=1,Slot17_Age&gt;D27),1,0)</f>
        <v>0</v>
      </c>
      <c r="GC27" s="20" t="n">
        <f aca="false">SY26</f>
        <v>0</v>
      </c>
      <c r="GD27" s="20" t="n">
        <f aca="false">GA27*MIN(Slot17_Cost,GC27)</f>
        <v>0</v>
      </c>
      <c r="GE27" s="20" t="n">
        <f aca="false">GA27*Slot17_SpendLike*MIN(Slot17_Cost-GD27,FW27)</f>
        <v>0</v>
      </c>
      <c r="GF27" s="20" t="n">
        <f aca="false">GD27+GE27</f>
        <v>0</v>
      </c>
      <c r="GG27" s="20" t="n">
        <f aca="false">FW27-GE27+GA27*IF(Slot17_SpendLike=1,GC27-GD27,IF(Slot17_PotFree=1,GC27,0))</f>
        <v>34694.3575920851</v>
      </c>
      <c r="GH27" s="20" t="n">
        <f aca="false">FX27+GA27*Slot17_BufPot*GC27</f>
        <v>13475.5387044196</v>
      </c>
      <c r="GI27" s="20" t="n">
        <f aca="false">IF(AND(GA27=1,Slot17_IsMfree=1),IF(GF27&gt;=Slot17_Cost-1,0,MAX(0,FY27-GF27)),FY27)</f>
        <v>0</v>
      </c>
      <c r="GJ27" s="20" t="n">
        <f aca="false">GA27*(Slot17_Cost-GF27)</f>
        <v>0</v>
      </c>
      <c r="GK27" s="20" t="n">
        <f aca="false">IF(AND(Slot18_On=1,D27=Slot18_Age),1,0)</f>
        <v>0</v>
      </c>
      <c r="GL27" s="20" t="n">
        <f aca="false">IF(AND(Slot18_On=1,Slot18_Age&gt;D27),1,0)</f>
        <v>0</v>
      </c>
      <c r="GM27" s="20" t="n">
        <f aca="false">TC26</f>
        <v>0</v>
      </c>
      <c r="GN27" s="20" t="n">
        <f aca="false">GK27*MIN(Slot18_Cost,GM27)</f>
        <v>0</v>
      </c>
      <c r="GO27" s="20" t="n">
        <f aca="false">GK27*Slot18_SpendLike*MIN(Slot18_Cost-GN27,GG27)</f>
        <v>0</v>
      </c>
      <c r="GP27" s="20" t="n">
        <f aca="false">GN27+GO27</f>
        <v>0</v>
      </c>
      <c r="GQ27" s="20" t="n">
        <f aca="false">GG27-GO27+GK27*IF(Slot18_SpendLike=1,GM27-GN27,IF(Slot18_PotFree=1,GM27,0))</f>
        <v>34694.3575920851</v>
      </c>
      <c r="GR27" s="20" t="n">
        <f aca="false">GH27+GK27*Slot18_BufPot*GM27</f>
        <v>13475.5387044196</v>
      </c>
      <c r="GS27" s="20" t="n">
        <f aca="false">IF(AND(GK27=1,Slot18_IsMfree=1),IF(GP27&gt;=Slot18_Cost-1,0,MAX(0,GI27-GP27)),GI27)</f>
        <v>0</v>
      </c>
      <c r="GT27" s="20" t="n">
        <f aca="false">GK27*(Slot18_Cost-GP27)</f>
        <v>0</v>
      </c>
      <c r="GU27" s="20" t="n">
        <f aca="false">IF(AND(Slot19_On=1,D27=Slot19_Age),1,0)</f>
        <v>0</v>
      </c>
      <c r="GV27" s="20" t="n">
        <f aca="false">IF(AND(Slot19_On=1,Slot19_Age&gt;D27),1,0)</f>
        <v>0</v>
      </c>
      <c r="GW27" s="20" t="n">
        <f aca="false">TG26</f>
        <v>0</v>
      </c>
      <c r="GX27" s="20" t="n">
        <f aca="false">GU27*MIN(Slot19_Cost,GW27)</f>
        <v>0</v>
      </c>
      <c r="GY27" s="20" t="n">
        <f aca="false">GU27*Slot19_SpendLike*MIN(Slot19_Cost-GX27,GQ27)</f>
        <v>0</v>
      </c>
      <c r="GZ27" s="20" t="n">
        <f aca="false">GX27+GY27</f>
        <v>0</v>
      </c>
      <c r="HA27" s="20" t="n">
        <f aca="false">GQ27-GY27+GU27*IF(Slot19_SpendLike=1,GW27-GX27,IF(Slot19_PotFree=1,GW27,0))</f>
        <v>34694.3575920851</v>
      </c>
      <c r="HB27" s="20" t="n">
        <f aca="false">GR27+GU27*Slot19_BufPot*GW27</f>
        <v>13475.5387044196</v>
      </c>
      <c r="HC27" s="20" t="n">
        <f aca="false">IF(AND(GU27=1,Slot19_IsMfree=1),IF(GZ27&gt;=Slot19_Cost-1,0,MAX(0,GS27-GZ27)),GS27)</f>
        <v>0</v>
      </c>
      <c r="HD27" s="20" t="n">
        <f aca="false">GU27*(Slot19_Cost-GZ27)</f>
        <v>0</v>
      </c>
      <c r="HE27" s="20" t="n">
        <f aca="false">IF(AND(Slot20_On=1,D27=Slot20_Age),1,0)</f>
        <v>0</v>
      </c>
      <c r="HF27" s="20" t="n">
        <f aca="false">IF(AND(Slot20_On=1,Slot20_Age&gt;D27),1,0)</f>
        <v>0</v>
      </c>
      <c r="HG27" s="20" t="n">
        <f aca="false">TK26</f>
        <v>0</v>
      </c>
      <c r="HH27" s="20" t="n">
        <f aca="false">HE27*MIN(Slot20_Cost,HG27)</f>
        <v>0</v>
      </c>
      <c r="HI27" s="20" t="n">
        <f aca="false">HE27*Slot20_SpendLike*MIN(Slot20_Cost-HH27,HA27)</f>
        <v>0</v>
      </c>
      <c r="HJ27" s="20" t="n">
        <f aca="false">HH27+HI27</f>
        <v>0</v>
      </c>
      <c r="HK27" s="20" t="n">
        <f aca="false">HA27-HI27+HE27*IF(Slot20_SpendLike=1,HG27-HH27,IF(Slot20_PotFree=1,HG27,0))</f>
        <v>34694.3575920851</v>
      </c>
      <c r="HL27" s="20" t="n">
        <f aca="false">HB27+HE27*Slot20_BufPot*HG27</f>
        <v>13475.5387044196</v>
      </c>
      <c r="HM27" s="20" t="n">
        <f aca="false">IF(AND(HE27=1,Slot20_IsMfree=1),IF(HJ27&gt;=Slot20_Cost-1,0,MAX(0,HC27-HJ27)),HC27)</f>
        <v>0</v>
      </c>
      <c r="HN27" s="20" t="n">
        <f aca="false">HE27*(Slot20_Cost-HJ27)</f>
        <v>0</v>
      </c>
      <c r="HO27" s="20" t="n">
        <f aca="false">V27*Slot1_SpendLike*AA27+AG27*Slot2_SpendLike*AL27+AQ27*Slot3_SpendLike*AV27+BA27*Slot4_SpendLike*BF27+BK27*Slot5_SpendLike*BP27+BU27*Slot6_SpendLike*BZ27+CE27*Slot7_SpendLike*CJ27+CO27*Slot8_SpendLike*CT27+CY27*Slot9_SpendLike*DD27+DI27*Slot10_SpendLike*DN27+DS27*Slot11_SpendLike*DX27+EC27*Slot12_SpendLike*EH27+EM27*Slot13_SpendLike*ER27+EW27*Slot14_SpendLike*FB27+FG27*Slot15_SpendLike*FL27+FQ27*Slot16_SpendLike*FV27+GA27*Slot17_SpendLike*GF27+GK27*Slot18_SpendLike*GP27+GU27*Slot19_SpendLike*GZ27+HE27*Slot20_SpendLike*HJ27</f>
        <v>0</v>
      </c>
      <c r="HP27" s="20" t="n">
        <f aca="false">AE27+AP27+AZ27+BJ27+BT27+CD27+CN27+CX27+DH27+DR27+EB27+EL27+EV27+FF27+FP27+FZ27+GJ27+GT27+HD27+HN27</f>
        <v>0</v>
      </c>
      <c r="HQ27" s="20" t="n">
        <f aca="false">V27*Slot1_Cost+AG27*Slot2_Cost+AQ27*Slot3_Cost+BA27*Slot4_Cost+BK27*Slot5_Cost+BU27*Slot6_Cost+CE27*Slot7_Cost+CO27*Slot8_Cost+CY27*Slot9_Cost+DI27*Slot10_Cost+DS27*Slot11_Cost+EC27*Slot12_Cost+EM27*Slot13_Cost+EW27*Slot14_Cost+FG27*Slot15_Cost+FQ27*Slot16_Cost+GA27*Slot17_Cost+GK27*Slot18_Cost+GU27*Slot19_Cost+HE27*Slot20_Cost</f>
        <v>0</v>
      </c>
      <c r="HR27" s="20" t="n">
        <f aca="false">HM27</f>
        <v>0</v>
      </c>
      <c r="HS27" s="20" t="n">
        <f aca="false">H27-I27-S27</f>
        <v>38046.3341099655</v>
      </c>
      <c r="HT27" s="20" t="n">
        <f aca="false">IF(B27=0,IF(AND(Has_q6=1,In_q6=4),PR_ShareVaries*(MAX(0,HS27)/12),MIN(IF(Has_q6=1,CHOOSE(In_q6+1,PR_SaveB1,PR_SaveB2,PR_SaveB3,PR_SaveB4,0),AS_NoAnswer),AS_SaveShare*(MAX(0,HS27)/12))),HT26)</f>
        <v>67.3316893520437</v>
      </c>
      <c r="HU27" s="20" t="n">
        <f aca="false">IF(HS27&gt;=0,1,0)</f>
        <v>1</v>
      </c>
      <c r="HV27" s="20" t="n">
        <f aca="false">MAX(0,HS27/12/F27)</f>
        <v>2176.34783579793</v>
      </c>
      <c r="HW27" s="20" t="n">
        <f aca="false">IF(AND(Has_q6=1,In_q6=4),PR_ShareVaries*(HV27),MIN(IF(Has_q6=1,CHOOSE(In_q6+1,PR_SaveB1,PR_SaveB2,PR_SaveB3,PR_SaveB4,0),AS_NoAnswer),AS_SaveShare*(HV27)))</f>
        <v>500</v>
      </c>
      <c r="HX27" s="20" t="n">
        <f aca="false">IF(Has_saveM=1,IF(In_saveUp="Yes",1,IF(In_saveUp="No",0,IF(In_saveM&gt;=HT27-0.5,1,0))),0)</f>
        <v>0</v>
      </c>
      <c r="HY27" s="20" t="n">
        <f aca="false">IF(Has_saveM=1,MIN(HV27,IF(HX27=1,MAX(In_saveM,HW27),MIN(In_saveM,HW27))),HW27)</f>
        <v>500</v>
      </c>
      <c r="HZ27" s="20" t="n">
        <f aca="false">IF(G27=1,HY27*12*F27,0)</f>
        <v>8740.86703516679</v>
      </c>
      <c r="IA27" s="20" t="n">
        <f aca="false">MAX(0,HZ27+IF(AND(WI_Retire=0,WI_M&lt;0,G27=1),WI_M*12*F27,0))</f>
        <v>8740.86703516679</v>
      </c>
      <c r="IB27" s="20" t="n">
        <f aca="false">Slot1_IsWG*W27+Slot2_IsWG*AH27+Slot3_IsWG*AR27+Slot4_IsWG*BB27+Slot5_IsWG*BL27+Slot6_IsWG*BV27+Slot7_IsWG*CF27+Slot8_IsWG*CP27+Slot9_IsWG*CZ27+Slot10_IsWG*DJ27+Slot11_IsWG*DT27+Slot12_IsWG*ED27+Slot13_IsWG*EN27+Slot14_IsWG*EX27+Slot15_IsWG*FH27+Slot16_IsWG*FR27+Slot17_IsWG*GB27+Slot18_IsWG*GL27+Slot19_IsWG*GV27+Slot20_IsWG*HF27</f>
        <v>0</v>
      </c>
      <c r="IC27" s="20" t="n">
        <f aca="false">IF(AND(WI_Retire=0,WI_M&gt;0,G27=1,IB27&gt;=1),WI_M*12*F27,0)</f>
        <v>0</v>
      </c>
      <c r="ID27" s="20" t="n">
        <f aca="false">IF(HU27=1,MIN(IA27,HS27),0)</f>
        <v>8740.86703516679</v>
      </c>
      <c r="IE27" s="20" t="n">
        <f aca="false">IF(HU27=1,MIN(IC27,HS27-ID27),0)</f>
        <v>0</v>
      </c>
      <c r="IF27" s="20" t="n">
        <f aca="false">IF(W27=1,IF(ABS((1+AS_Wage)/(1+Slot1_Rate)-1)&lt;0.000000000001,(Slot1_Age-D27)*(1+Slot1_Rate)^(Slot1_Age-D27),(1+Slot1_Rate)^(Slot1_Age-D27)*(1-((1+AS_Wage)/(1+Slot1_Rate))^(Slot1_Age-D27))/(1-(1+AS_Wage)/(1+Slot1_Rate))),1)</f>
        <v>1</v>
      </c>
      <c r="IG27" s="20" t="n">
        <f aca="false">IF(AND(HU27=1,IE27&gt;0,Slot1_IsWG=1,W27=1),MAX(0,(Slot1_Cost-X27*(1+Slot1_Rate)^(Slot1_Age-D27))/IF27),0)</f>
        <v>0</v>
      </c>
      <c r="IH27" s="20" t="n">
        <f aca="false">IF(AND(HU27=1,IE27&gt;0,Slot1_IsWG=1,W27=1),MIN(IE27,IG27),0)</f>
        <v>0</v>
      </c>
      <c r="II27" s="20" t="n">
        <f aca="false">X27+IH27</f>
        <v>0</v>
      </c>
      <c r="IJ27" s="20" t="n">
        <f aca="false">IF(W27=1,MAX(0,(Slot1_Cost-II27*(1+Slot1_Rate)^(Slot1_Age-D27))/IF27),0)</f>
        <v>0</v>
      </c>
      <c r="IK27" s="20" t="n">
        <f aca="false">IF(W27=1,MAX(0,(Slot1_Cost-X27*(1+Slot1_Rate)^(Slot1_Age-D27))/IF27),0)</f>
        <v>0</v>
      </c>
      <c r="IL27" s="20" t="n">
        <f aca="false">IF(AND(HU27=1,W27=1),MIN(ID27,IJ27),0)</f>
        <v>0</v>
      </c>
      <c r="IM27" s="20" t="n">
        <f aca="false">ID27-IL27</f>
        <v>8740.86703516679</v>
      </c>
      <c r="IN27" s="20" t="n">
        <f aca="false">IF(AH27=1,IF(ABS((1+AS_Wage)/(1+Slot2_Rate)-1)&lt;0.000000000001,(Slot2_Age-D27)*(1+Slot2_Rate)^(Slot2_Age-D27),(1+Slot2_Rate)^(Slot2_Age-D27)*(1-((1+AS_Wage)/(1+Slot2_Rate))^(Slot2_Age-D27))/(1-(1+AS_Wage)/(1+Slot2_Rate))),1)</f>
        <v>1</v>
      </c>
      <c r="IO27" s="20" t="n">
        <f aca="false">IF(AND(HU27=1,IE27&gt;0,Slot2_IsWG=1,AH27=1),MAX(0,(Slot2_Cost-AI27*(1+Slot2_Rate)^(Slot2_Age-D27))/IN27),0)</f>
        <v>0</v>
      </c>
      <c r="IP27" s="20" t="n">
        <f aca="false">IF(AND(HU27=1,IE27&gt;0,Slot2_IsWG=1,AH27=1),MIN(IE27,IO27),0)</f>
        <v>0</v>
      </c>
      <c r="IQ27" s="20" t="n">
        <f aca="false">AI27+IP27</f>
        <v>0</v>
      </c>
      <c r="IR27" s="20" t="n">
        <f aca="false">IF(AH27=1,MAX(0,(Slot2_Cost-IQ27*(1+Slot2_Rate)^(Slot2_Age-D27))/IN27),0)</f>
        <v>0</v>
      </c>
      <c r="IS27" s="20" t="n">
        <f aca="false">IF(AH27=1,MAX(0,(Slot2_Cost-AI27*(1+Slot2_Rate)^(Slot2_Age-D27))/IN27),0)</f>
        <v>0</v>
      </c>
      <c r="IT27" s="20" t="n">
        <f aca="false">IF(AND(HU27=1,AH27=1),MIN(IM27,IR27),0)</f>
        <v>0</v>
      </c>
      <c r="IU27" s="20" t="n">
        <f aca="false">IM27-IT27</f>
        <v>8740.86703516679</v>
      </c>
      <c r="IV27" s="20" t="n">
        <f aca="false">IF(AR27=1,IF(ABS((1+AS_Wage)/(1+Slot3_Rate)-1)&lt;0.000000000001,(Slot3_Age-D27)*(1+Slot3_Rate)^(Slot3_Age-D27),(1+Slot3_Rate)^(Slot3_Age-D27)*(1-((1+AS_Wage)/(1+Slot3_Rate))^(Slot3_Age-D27))/(1-(1+AS_Wage)/(1+Slot3_Rate))),1)</f>
        <v>1</v>
      </c>
      <c r="IW27" s="20" t="n">
        <f aca="false">IF(AND(HU27=1,IE27&gt;0,Slot3_IsWG=1,AR27=1),MAX(0,(Slot3_Cost-AS27*(1+Slot3_Rate)^(Slot3_Age-D27))/IV27),0)</f>
        <v>0</v>
      </c>
      <c r="IX27" s="20" t="n">
        <f aca="false">IF(AND(HU27=1,IE27&gt;0,Slot3_IsWG=1,AR27=1),MIN(IE27,IW27),0)</f>
        <v>0</v>
      </c>
      <c r="IY27" s="20" t="n">
        <f aca="false">AS27+IX27</f>
        <v>0</v>
      </c>
      <c r="IZ27" s="20" t="n">
        <f aca="false">IF(AR27=1,MAX(0,(Slot3_Cost-IY27*(1+Slot3_Rate)^(Slot3_Age-D27))/IV27),0)</f>
        <v>0</v>
      </c>
      <c r="JA27" s="20" t="n">
        <f aca="false">IF(AR27=1,MAX(0,(Slot3_Cost-AS27*(1+Slot3_Rate)^(Slot3_Age-D27))/IV27),0)</f>
        <v>0</v>
      </c>
      <c r="JB27" s="20" t="n">
        <f aca="false">IF(AND(HU27=1,AR27=1),MIN(IU27,IZ27),0)</f>
        <v>0</v>
      </c>
      <c r="JC27" s="20" t="n">
        <f aca="false">IU27-JB27</f>
        <v>8740.86703516679</v>
      </c>
      <c r="JD27" s="20" t="n">
        <f aca="false">IF(BB27=1,IF(ABS((1+AS_Wage)/(1+Slot4_Rate)-1)&lt;0.000000000001,(Slot4_Age-D27)*(1+Slot4_Rate)^(Slot4_Age-D27),(1+Slot4_Rate)^(Slot4_Age-D27)*(1-((1+AS_Wage)/(1+Slot4_Rate))^(Slot4_Age-D27))/(1-(1+AS_Wage)/(1+Slot4_Rate))),1)</f>
        <v>1</v>
      </c>
      <c r="JE27" s="20" t="n">
        <f aca="false">IF(AND(HU27=1,IE27&gt;0,Slot4_IsWG=1,BB27=1),MAX(0,(Slot4_Cost-BC27*(1+Slot4_Rate)^(Slot4_Age-D27))/JD27),0)</f>
        <v>0</v>
      </c>
      <c r="JF27" s="20" t="n">
        <f aca="false">IF(AND(HU27=1,IE27&gt;0,Slot4_IsWG=1,BB27=1),MIN(IE27,JE27),0)</f>
        <v>0</v>
      </c>
      <c r="JG27" s="20" t="n">
        <f aca="false">BC27+JF27</f>
        <v>0</v>
      </c>
      <c r="JH27" s="20" t="n">
        <f aca="false">IF(BB27=1,MAX(0,(Slot4_Cost-JG27*(1+Slot4_Rate)^(Slot4_Age-D27))/JD27),0)</f>
        <v>0</v>
      </c>
      <c r="JI27" s="20" t="n">
        <f aca="false">IF(BB27=1,MAX(0,(Slot4_Cost-BC27*(1+Slot4_Rate)^(Slot4_Age-D27))/JD27),0)</f>
        <v>0</v>
      </c>
      <c r="JJ27" s="20" t="n">
        <f aca="false">IF(AND(HU27=1,BB27=1),MIN(JC27,JH27),0)</f>
        <v>0</v>
      </c>
      <c r="JK27" s="20" t="n">
        <f aca="false">JC27-JJ27</f>
        <v>8740.86703516679</v>
      </c>
      <c r="JL27" s="20" t="n">
        <f aca="false">IF(BL27=1,IF(ABS((1+AS_Wage)/(1+Slot5_Rate)-1)&lt;0.000000000001,(Slot5_Age-D27)*(1+Slot5_Rate)^(Slot5_Age-D27),(1+Slot5_Rate)^(Slot5_Age-D27)*(1-((1+AS_Wage)/(1+Slot5_Rate))^(Slot5_Age-D27))/(1-(1+AS_Wage)/(1+Slot5_Rate))),1)</f>
        <v>1</v>
      </c>
      <c r="JM27" s="20" t="n">
        <f aca="false">IF(AND(HU27=1,IE27&gt;0,Slot5_IsWG=1,BL27=1),MAX(0,(Slot5_Cost-BM27*(1+Slot5_Rate)^(Slot5_Age-D27))/JL27),0)</f>
        <v>0</v>
      </c>
      <c r="JN27" s="20" t="n">
        <f aca="false">IF(AND(HU27=1,IE27&gt;0,Slot5_IsWG=1,BL27=1),MIN(IE27,JM27),0)</f>
        <v>0</v>
      </c>
      <c r="JO27" s="20" t="n">
        <f aca="false">BM27+JN27</f>
        <v>0</v>
      </c>
      <c r="JP27" s="20" t="n">
        <f aca="false">IF(BL27=1,MAX(0,(Slot5_Cost-JO27*(1+Slot5_Rate)^(Slot5_Age-D27))/JL27),0)</f>
        <v>0</v>
      </c>
      <c r="JQ27" s="20" t="n">
        <f aca="false">IF(BL27=1,MAX(0,(Slot5_Cost-BM27*(1+Slot5_Rate)^(Slot5_Age-D27))/JL27),0)</f>
        <v>0</v>
      </c>
      <c r="JR27" s="20" t="n">
        <f aca="false">IF(AND(HU27=1,BL27=1),MIN(JK27,JP27),0)</f>
        <v>0</v>
      </c>
      <c r="JS27" s="20" t="n">
        <f aca="false">JK27-JR27</f>
        <v>8740.86703516679</v>
      </c>
      <c r="JT27" s="20" t="n">
        <f aca="false">IF(BV27=1,IF(ABS((1+AS_Wage)/(1+Slot6_Rate)-1)&lt;0.000000000001,(Slot6_Age-D27)*(1+Slot6_Rate)^(Slot6_Age-D27),(1+Slot6_Rate)^(Slot6_Age-D27)*(1-((1+AS_Wage)/(1+Slot6_Rate))^(Slot6_Age-D27))/(1-(1+AS_Wage)/(1+Slot6_Rate))),1)</f>
        <v>1</v>
      </c>
      <c r="JU27" s="20" t="n">
        <f aca="false">IF(AND(HU27=1,IE27&gt;0,Slot6_IsWG=1,BV27=1),MAX(0,(Slot6_Cost-BW27*(1+Slot6_Rate)^(Slot6_Age-D27))/JT27),0)</f>
        <v>0</v>
      </c>
      <c r="JV27" s="20" t="n">
        <f aca="false">IF(AND(HU27=1,IE27&gt;0,Slot6_IsWG=1,BV27=1),MIN(IE27,JU27),0)</f>
        <v>0</v>
      </c>
      <c r="JW27" s="20" t="n">
        <f aca="false">BW27+JV27</f>
        <v>0</v>
      </c>
      <c r="JX27" s="20" t="n">
        <f aca="false">IF(BV27=1,MAX(0,(Slot6_Cost-JW27*(1+Slot6_Rate)^(Slot6_Age-D27))/JT27),0)</f>
        <v>0</v>
      </c>
      <c r="JY27" s="20" t="n">
        <f aca="false">IF(BV27=1,MAX(0,(Slot6_Cost-BW27*(1+Slot6_Rate)^(Slot6_Age-D27))/JT27),0)</f>
        <v>0</v>
      </c>
      <c r="JZ27" s="20" t="n">
        <f aca="false">IF(AND(HU27=1,BV27=1),MIN(JS27,JX27),0)</f>
        <v>0</v>
      </c>
      <c r="KA27" s="20" t="n">
        <f aca="false">JS27-JZ27</f>
        <v>8740.86703516679</v>
      </c>
      <c r="KB27" s="20" t="n">
        <f aca="false">IF(CF27=1,IF(ABS((1+AS_Wage)/(1+Slot7_Rate)-1)&lt;0.000000000001,(Slot7_Age-D27)*(1+Slot7_Rate)^(Slot7_Age-D27),(1+Slot7_Rate)^(Slot7_Age-D27)*(1-((1+AS_Wage)/(1+Slot7_Rate))^(Slot7_Age-D27))/(1-(1+AS_Wage)/(1+Slot7_Rate))),1)</f>
        <v>1</v>
      </c>
      <c r="KC27" s="20" t="n">
        <f aca="false">IF(AND(HU27=1,IE27&gt;0,Slot7_IsWG=1,CF27=1),MAX(0,(Slot7_Cost-CG27*(1+Slot7_Rate)^(Slot7_Age-D27))/KB27),0)</f>
        <v>0</v>
      </c>
      <c r="KD27" s="20" t="n">
        <f aca="false">IF(AND(HU27=1,IE27&gt;0,Slot7_IsWG=1,CF27=1),MIN(IE27,KC27),0)</f>
        <v>0</v>
      </c>
      <c r="KE27" s="20" t="n">
        <f aca="false">CG27+KD27</f>
        <v>0</v>
      </c>
      <c r="KF27" s="20" t="n">
        <f aca="false">IF(CF27=1,MAX(0,(Slot7_Cost-KE27*(1+Slot7_Rate)^(Slot7_Age-D27))/KB27),0)</f>
        <v>0</v>
      </c>
      <c r="KG27" s="20" t="n">
        <f aca="false">IF(CF27=1,MAX(0,(Slot7_Cost-CG27*(1+Slot7_Rate)^(Slot7_Age-D27))/KB27),0)</f>
        <v>0</v>
      </c>
      <c r="KH27" s="20" t="n">
        <f aca="false">IF(AND(HU27=1,CF27=1),MIN(KA27,KF27),0)</f>
        <v>0</v>
      </c>
      <c r="KI27" s="20" t="n">
        <f aca="false">KA27-KH27</f>
        <v>8740.86703516679</v>
      </c>
      <c r="KJ27" s="20" t="n">
        <f aca="false">IF(CP27=1,IF(ABS((1+AS_Wage)/(1+Slot8_Rate)-1)&lt;0.000000000001,(Slot8_Age-D27)*(1+Slot8_Rate)^(Slot8_Age-D27),(1+Slot8_Rate)^(Slot8_Age-D27)*(1-((1+AS_Wage)/(1+Slot8_Rate))^(Slot8_Age-D27))/(1-(1+AS_Wage)/(1+Slot8_Rate))),1)</f>
        <v>1</v>
      </c>
      <c r="KK27" s="20" t="n">
        <f aca="false">IF(AND(HU27=1,IE27&gt;0,Slot8_IsWG=1,CP27=1),MAX(0,(Slot8_Cost-CQ27*(1+Slot8_Rate)^(Slot8_Age-D27))/KJ27),0)</f>
        <v>0</v>
      </c>
      <c r="KL27" s="20" t="n">
        <f aca="false">IF(AND(HU27=1,IE27&gt;0,Slot8_IsWG=1,CP27=1),MIN(IE27,KK27),0)</f>
        <v>0</v>
      </c>
      <c r="KM27" s="20" t="n">
        <f aca="false">CQ27+KL27</f>
        <v>0</v>
      </c>
      <c r="KN27" s="20" t="n">
        <f aca="false">IF(CP27=1,MAX(0,(Slot8_Cost-KM27*(1+Slot8_Rate)^(Slot8_Age-D27))/KJ27),0)</f>
        <v>0</v>
      </c>
      <c r="KO27" s="20" t="n">
        <f aca="false">IF(CP27=1,MAX(0,(Slot8_Cost-CQ27*(1+Slot8_Rate)^(Slot8_Age-D27))/KJ27),0)</f>
        <v>0</v>
      </c>
      <c r="KP27" s="20" t="n">
        <f aca="false">IF(AND(HU27=1,CP27=1),MIN(KI27,KN27),0)</f>
        <v>0</v>
      </c>
      <c r="KQ27" s="20" t="n">
        <f aca="false">KI27-KP27</f>
        <v>8740.86703516679</v>
      </c>
      <c r="KR27" s="20" t="n">
        <f aca="false">IF(CZ27=1,IF(ABS((1+AS_Wage)/(1+Slot9_Rate)-1)&lt;0.000000000001,(Slot9_Age-D27)*(1+Slot9_Rate)^(Slot9_Age-D27),(1+Slot9_Rate)^(Slot9_Age-D27)*(1-((1+AS_Wage)/(1+Slot9_Rate))^(Slot9_Age-D27))/(1-(1+AS_Wage)/(1+Slot9_Rate))),1)</f>
        <v>1</v>
      </c>
      <c r="KS27" s="20" t="n">
        <f aca="false">IF(AND(HU27=1,IE27&gt;0,Slot9_IsWG=1,CZ27=1),MAX(0,(Slot9_Cost-DA27*(1+Slot9_Rate)^(Slot9_Age-D27))/KR27),0)</f>
        <v>0</v>
      </c>
      <c r="KT27" s="20" t="n">
        <f aca="false">IF(AND(HU27=1,IE27&gt;0,Slot9_IsWG=1,CZ27=1),MIN(IE27,KS27),0)</f>
        <v>0</v>
      </c>
      <c r="KU27" s="20" t="n">
        <f aca="false">DA27+KT27</f>
        <v>0</v>
      </c>
      <c r="KV27" s="20" t="n">
        <f aca="false">IF(CZ27=1,MAX(0,(Slot9_Cost-KU27*(1+Slot9_Rate)^(Slot9_Age-D27))/KR27),0)</f>
        <v>0</v>
      </c>
      <c r="KW27" s="20" t="n">
        <f aca="false">IF(CZ27=1,MAX(0,(Slot9_Cost-DA27*(1+Slot9_Rate)^(Slot9_Age-D27))/KR27),0)</f>
        <v>0</v>
      </c>
      <c r="KX27" s="20" t="n">
        <f aca="false">IF(AND(HU27=1,CZ27=1),MIN(KQ27,KV27),0)</f>
        <v>0</v>
      </c>
      <c r="KY27" s="20" t="n">
        <f aca="false">KQ27-KX27</f>
        <v>8740.86703516679</v>
      </c>
      <c r="KZ27" s="20" t="n">
        <f aca="false">IF(DJ27=1,IF(ABS((1+AS_Wage)/(1+Slot10_Rate)-1)&lt;0.000000000001,(Slot10_Age-D27)*(1+Slot10_Rate)^(Slot10_Age-D27),(1+Slot10_Rate)^(Slot10_Age-D27)*(1-((1+AS_Wage)/(1+Slot10_Rate))^(Slot10_Age-D27))/(1-(1+AS_Wage)/(1+Slot10_Rate))),1)</f>
        <v>1</v>
      </c>
      <c r="LA27" s="20" t="n">
        <f aca="false">IF(AND(HU27=1,IE27&gt;0,Slot10_IsWG=1,DJ27=1),MAX(0,(Slot10_Cost-DK27*(1+Slot10_Rate)^(Slot10_Age-D27))/KZ27),0)</f>
        <v>0</v>
      </c>
      <c r="LB27" s="20" t="n">
        <f aca="false">IF(AND(HU27=1,IE27&gt;0,Slot10_IsWG=1,DJ27=1),MIN(IE27,LA27),0)</f>
        <v>0</v>
      </c>
      <c r="LC27" s="20" t="n">
        <f aca="false">DK27+LB27</f>
        <v>0</v>
      </c>
      <c r="LD27" s="20" t="n">
        <f aca="false">IF(DJ27=1,MAX(0,(Slot10_Cost-LC27*(1+Slot10_Rate)^(Slot10_Age-D27))/KZ27),0)</f>
        <v>0</v>
      </c>
      <c r="LE27" s="20" t="n">
        <f aca="false">IF(DJ27=1,MAX(0,(Slot10_Cost-DK27*(1+Slot10_Rate)^(Slot10_Age-D27))/KZ27),0)</f>
        <v>0</v>
      </c>
      <c r="LF27" s="20" t="n">
        <f aca="false">IF(AND(HU27=1,DJ27=1),MIN(KY27,LD27),0)</f>
        <v>0</v>
      </c>
      <c r="LG27" s="20" t="n">
        <f aca="false">KY27-LF27</f>
        <v>8740.86703516679</v>
      </c>
      <c r="LH27" s="20" t="n">
        <f aca="false">IF(DT27=1,IF(ABS((1+AS_Wage)/(1+Slot11_Rate)-1)&lt;0.000000000001,(Slot11_Age-D27)*(1+Slot11_Rate)^(Slot11_Age-D27),(1+Slot11_Rate)^(Slot11_Age-D27)*(1-((1+AS_Wage)/(1+Slot11_Rate))^(Slot11_Age-D27))/(1-(1+AS_Wage)/(1+Slot11_Rate))),1)</f>
        <v>1</v>
      </c>
      <c r="LI27" s="20" t="n">
        <f aca="false">IF(AND(HU27=1,IE27&gt;0,Slot11_IsWG=1,DT27=1),MAX(0,(Slot11_Cost-DU27*(1+Slot11_Rate)^(Slot11_Age-D27))/LH27),0)</f>
        <v>0</v>
      </c>
      <c r="LJ27" s="20" t="n">
        <f aca="false">IF(AND(HU27=1,IE27&gt;0,Slot11_IsWG=1,DT27=1),MIN(IE27,LI27),0)</f>
        <v>0</v>
      </c>
      <c r="LK27" s="20" t="n">
        <f aca="false">DU27+LJ27</f>
        <v>0</v>
      </c>
      <c r="LL27" s="20" t="n">
        <f aca="false">IF(DT27=1,MAX(0,(Slot11_Cost-LK27*(1+Slot11_Rate)^(Slot11_Age-D27))/LH27),0)</f>
        <v>0</v>
      </c>
      <c r="LM27" s="20" t="n">
        <f aca="false">IF(DT27=1,MAX(0,(Slot11_Cost-DU27*(1+Slot11_Rate)^(Slot11_Age-D27))/LH27),0)</f>
        <v>0</v>
      </c>
      <c r="LN27" s="20" t="n">
        <f aca="false">IF(AND(HU27=1,DT27=1),MIN(LG27,LL27),0)</f>
        <v>0</v>
      </c>
      <c r="LO27" s="20" t="n">
        <f aca="false">LG27-LN27</f>
        <v>8740.86703516679</v>
      </c>
      <c r="LP27" s="20" t="n">
        <f aca="false">IF(ED27=1,IF(ABS((1+AS_Wage)/(1+Slot12_Rate)-1)&lt;0.000000000001,(Slot12_Age-D27)*(1+Slot12_Rate)^(Slot12_Age-D27),(1+Slot12_Rate)^(Slot12_Age-D27)*(1-((1+AS_Wage)/(1+Slot12_Rate))^(Slot12_Age-D27))/(1-(1+AS_Wage)/(1+Slot12_Rate))),1)</f>
        <v>1</v>
      </c>
      <c r="LQ27" s="20" t="n">
        <f aca="false">IF(AND(HU27=1,IE27&gt;0,Slot12_IsWG=1,ED27=1),MAX(0,(Slot12_Cost-EE27*(1+Slot12_Rate)^(Slot12_Age-D27))/LP27),0)</f>
        <v>0</v>
      </c>
      <c r="LR27" s="20" t="n">
        <f aca="false">IF(AND(HU27=1,IE27&gt;0,Slot12_IsWG=1,ED27=1),MIN(IE27,LQ27),0)</f>
        <v>0</v>
      </c>
      <c r="LS27" s="20" t="n">
        <f aca="false">EE27+LR27</f>
        <v>0</v>
      </c>
      <c r="LT27" s="20" t="n">
        <f aca="false">IF(ED27=1,MAX(0,(Slot12_Cost-LS27*(1+Slot12_Rate)^(Slot12_Age-D27))/LP27),0)</f>
        <v>0</v>
      </c>
      <c r="LU27" s="20" t="n">
        <f aca="false">IF(ED27=1,MAX(0,(Slot12_Cost-EE27*(1+Slot12_Rate)^(Slot12_Age-D27))/LP27),0)</f>
        <v>0</v>
      </c>
      <c r="LV27" s="20" t="n">
        <f aca="false">IF(AND(HU27=1,ED27=1),MIN(LO27,LT27),0)</f>
        <v>0</v>
      </c>
      <c r="LW27" s="20" t="n">
        <f aca="false">LO27-LV27</f>
        <v>8740.86703516679</v>
      </c>
      <c r="LX27" s="20" t="n">
        <f aca="false">IF(EN27=1,IF(ABS((1+AS_Wage)/(1+Slot13_Rate)-1)&lt;0.000000000001,(Slot13_Age-D27)*(1+Slot13_Rate)^(Slot13_Age-D27),(1+Slot13_Rate)^(Slot13_Age-D27)*(1-((1+AS_Wage)/(1+Slot13_Rate))^(Slot13_Age-D27))/(1-(1+AS_Wage)/(1+Slot13_Rate))),1)</f>
        <v>1</v>
      </c>
      <c r="LY27" s="20" t="n">
        <f aca="false">IF(AND(HU27=1,IE27&gt;0,Slot13_IsWG=1,EN27=1),MAX(0,(Slot13_Cost-EO27*(1+Slot13_Rate)^(Slot13_Age-D27))/LX27),0)</f>
        <v>0</v>
      </c>
      <c r="LZ27" s="20" t="n">
        <f aca="false">IF(AND(HU27=1,IE27&gt;0,Slot13_IsWG=1,EN27=1),MIN(IE27,LY27),0)</f>
        <v>0</v>
      </c>
      <c r="MA27" s="20" t="n">
        <f aca="false">EO27+LZ27</f>
        <v>0</v>
      </c>
      <c r="MB27" s="20" t="n">
        <f aca="false">IF(EN27=1,MAX(0,(Slot13_Cost-MA27*(1+Slot13_Rate)^(Slot13_Age-D27))/LX27),0)</f>
        <v>0</v>
      </c>
      <c r="MC27" s="20" t="n">
        <f aca="false">IF(EN27=1,MAX(0,(Slot13_Cost-EO27*(1+Slot13_Rate)^(Slot13_Age-D27))/LX27),0)</f>
        <v>0</v>
      </c>
      <c r="MD27" s="20" t="n">
        <f aca="false">IF(AND(HU27=1,EN27=1),MIN(LW27,MB27),0)</f>
        <v>0</v>
      </c>
      <c r="ME27" s="20" t="n">
        <f aca="false">LW27-MD27</f>
        <v>8740.86703516679</v>
      </c>
      <c r="MF27" s="20" t="n">
        <f aca="false">IF(EX27=1,IF(ABS((1+AS_Wage)/(1+Slot14_Rate)-1)&lt;0.000000000001,(Slot14_Age-D27)*(1+Slot14_Rate)^(Slot14_Age-D27),(1+Slot14_Rate)^(Slot14_Age-D27)*(1-((1+AS_Wage)/(1+Slot14_Rate))^(Slot14_Age-D27))/(1-(1+AS_Wage)/(1+Slot14_Rate))),1)</f>
        <v>1</v>
      </c>
      <c r="MG27" s="20" t="n">
        <f aca="false">IF(AND(HU27=1,IE27&gt;0,Slot14_IsWG=1,EX27=1),MAX(0,(Slot14_Cost-EY27*(1+Slot14_Rate)^(Slot14_Age-D27))/MF27),0)</f>
        <v>0</v>
      </c>
      <c r="MH27" s="20" t="n">
        <f aca="false">IF(AND(HU27=1,IE27&gt;0,Slot14_IsWG=1,EX27=1),MIN(IE27,MG27),0)</f>
        <v>0</v>
      </c>
      <c r="MI27" s="20" t="n">
        <f aca="false">EY27+MH27</f>
        <v>0</v>
      </c>
      <c r="MJ27" s="20" t="n">
        <f aca="false">IF(EX27=1,MAX(0,(Slot14_Cost-MI27*(1+Slot14_Rate)^(Slot14_Age-D27))/MF27),0)</f>
        <v>0</v>
      </c>
      <c r="MK27" s="20" t="n">
        <f aca="false">IF(EX27=1,MAX(0,(Slot14_Cost-EY27*(1+Slot14_Rate)^(Slot14_Age-D27))/MF27),0)</f>
        <v>0</v>
      </c>
      <c r="ML27" s="20" t="n">
        <f aca="false">IF(AND(HU27=1,EX27=1),MIN(ME27,MJ27),0)</f>
        <v>0</v>
      </c>
      <c r="MM27" s="20" t="n">
        <f aca="false">ME27-ML27</f>
        <v>8740.86703516679</v>
      </c>
      <c r="MN27" s="20" t="n">
        <f aca="false">IF(FH27=1,IF(ABS((1+AS_Wage)/(1+Slot15_Rate)-1)&lt;0.000000000001,(Slot15_Age-D27)*(1+Slot15_Rate)^(Slot15_Age-D27),(1+Slot15_Rate)^(Slot15_Age-D27)*(1-((1+AS_Wage)/(1+Slot15_Rate))^(Slot15_Age-D27))/(1-(1+AS_Wage)/(1+Slot15_Rate))),1)</f>
        <v>1</v>
      </c>
      <c r="MO27" s="20" t="n">
        <f aca="false">IF(AND(HU27=1,IE27&gt;0,Slot15_IsWG=1,FH27=1),MAX(0,(Slot15_Cost-FI27*(1+Slot15_Rate)^(Slot15_Age-D27))/MN27),0)</f>
        <v>0</v>
      </c>
      <c r="MP27" s="20" t="n">
        <f aca="false">IF(AND(HU27=1,IE27&gt;0,Slot15_IsWG=1,FH27=1),MIN(IE27,MO27),0)</f>
        <v>0</v>
      </c>
      <c r="MQ27" s="20" t="n">
        <f aca="false">FI27+MP27</f>
        <v>0</v>
      </c>
      <c r="MR27" s="20" t="n">
        <f aca="false">IF(FH27=1,MAX(0,(Slot15_Cost-MQ27*(1+Slot15_Rate)^(Slot15_Age-D27))/MN27),0)</f>
        <v>0</v>
      </c>
      <c r="MS27" s="20" t="n">
        <f aca="false">IF(FH27=1,MAX(0,(Slot15_Cost-FI27*(1+Slot15_Rate)^(Slot15_Age-D27))/MN27),0)</f>
        <v>0</v>
      </c>
      <c r="MT27" s="20" t="n">
        <f aca="false">IF(AND(HU27=1,FH27=1),MIN(MM27,MR27),0)</f>
        <v>0</v>
      </c>
      <c r="MU27" s="20" t="n">
        <f aca="false">MM27-MT27</f>
        <v>8740.86703516679</v>
      </c>
      <c r="MV27" s="20" t="n">
        <f aca="false">IF(FR27=1,IF(ABS((1+AS_Wage)/(1+Slot16_Rate)-1)&lt;0.000000000001,(Slot16_Age-D27)*(1+Slot16_Rate)^(Slot16_Age-D27),(1+Slot16_Rate)^(Slot16_Age-D27)*(1-((1+AS_Wage)/(1+Slot16_Rate))^(Slot16_Age-D27))/(1-(1+AS_Wage)/(1+Slot16_Rate))),1)</f>
        <v>1</v>
      </c>
      <c r="MW27" s="20" t="n">
        <f aca="false">IF(AND(HU27=1,IE27&gt;0,Slot16_IsWG=1,FR27=1),MAX(0,(Slot16_Cost-FS27*(1+Slot16_Rate)^(Slot16_Age-D27))/MV27),0)</f>
        <v>0</v>
      </c>
      <c r="MX27" s="20" t="n">
        <f aca="false">IF(AND(HU27=1,IE27&gt;0,Slot16_IsWG=1,FR27=1),MIN(IE27,MW27),0)</f>
        <v>0</v>
      </c>
      <c r="MY27" s="20" t="n">
        <f aca="false">FS27+MX27</f>
        <v>0</v>
      </c>
      <c r="MZ27" s="20" t="n">
        <f aca="false">IF(FR27=1,MAX(0,(Slot16_Cost-MY27*(1+Slot16_Rate)^(Slot16_Age-D27))/MV27),0)</f>
        <v>0</v>
      </c>
      <c r="NA27" s="20" t="n">
        <f aca="false">IF(FR27=1,MAX(0,(Slot16_Cost-FS27*(1+Slot16_Rate)^(Slot16_Age-D27))/MV27),0)</f>
        <v>0</v>
      </c>
      <c r="NB27" s="20" t="n">
        <f aca="false">IF(AND(HU27=1,FR27=1),MIN(MU27,MZ27),0)</f>
        <v>0</v>
      </c>
      <c r="NC27" s="20" t="n">
        <f aca="false">MU27-NB27</f>
        <v>8740.86703516679</v>
      </c>
      <c r="ND27" s="20" t="n">
        <f aca="false">IF(GB27=1,IF(ABS((1+AS_Wage)/(1+Slot17_Rate)-1)&lt;0.000000000001,(Slot17_Age-D27)*(1+Slot17_Rate)^(Slot17_Age-D27),(1+Slot17_Rate)^(Slot17_Age-D27)*(1-((1+AS_Wage)/(1+Slot17_Rate))^(Slot17_Age-D27))/(1-(1+AS_Wage)/(1+Slot17_Rate))),1)</f>
        <v>1</v>
      </c>
      <c r="NE27" s="20" t="n">
        <f aca="false">IF(AND(HU27=1,IE27&gt;0,Slot17_IsWG=1,GB27=1),MAX(0,(Slot17_Cost-GC27*(1+Slot17_Rate)^(Slot17_Age-D27))/ND27),0)</f>
        <v>0</v>
      </c>
      <c r="NF27" s="20" t="n">
        <f aca="false">IF(AND(HU27=1,IE27&gt;0,Slot17_IsWG=1,GB27=1),MIN(IE27,NE27),0)</f>
        <v>0</v>
      </c>
      <c r="NG27" s="20" t="n">
        <f aca="false">GC27+NF27</f>
        <v>0</v>
      </c>
      <c r="NH27" s="20" t="n">
        <f aca="false">IF(GB27=1,MAX(0,(Slot17_Cost-NG27*(1+Slot17_Rate)^(Slot17_Age-D27))/ND27),0)</f>
        <v>0</v>
      </c>
      <c r="NI27" s="20" t="n">
        <f aca="false">IF(GB27=1,MAX(0,(Slot17_Cost-GC27*(1+Slot17_Rate)^(Slot17_Age-D27))/ND27),0)</f>
        <v>0</v>
      </c>
      <c r="NJ27" s="20" t="n">
        <f aca="false">IF(AND(HU27=1,GB27=1),MIN(NC27,NH27),0)</f>
        <v>0</v>
      </c>
      <c r="NK27" s="20" t="n">
        <f aca="false">NC27-NJ27</f>
        <v>8740.86703516679</v>
      </c>
      <c r="NL27" s="20" t="n">
        <f aca="false">IF(GL27=1,IF(ABS((1+AS_Wage)/(1+Slot18_Rate)-1)&lt;0.000000000001,(Slot18_Age-D27)*(1+Slot18_Rate)^(Slot18_Age-D27),(1+Slot18_Rate)^(Slot18_Age-D27)*(1-((1+AS_Wage)/(1+Slot18_Rate))^(Slot18_Age-D27))/(1-(1+AS_Wage)/(1+Slot18_Rate))),1)</f>
        <v>1</v>
      </c>
      <c r="NM27" s="20" t="n">
        <f aca="false">IF(AND(HU27=1,IE27&gt;0,Slot18_IsWG=1,GL27=1),MAX(0,(Slot18_Cost-GM27*(1+Slot18_Rate)^(Slot18_Age-D27))/NL27),0)</f>
        <v>0</v>
      </c>
      <c r="NN27" s="20" t="n">
        <f aca="false">IF(AND(HU27=1,IE27&gt;0,Slot18_IsWG=1,GL27=1),MIN(IE27,NM27),0)</f>
        <v>0</v>
      </c>
      <c r="NO27" s="20" t="n">
        <f aca="false">GM27+NN27</f>
        <v>0</v>
      </c>
      <c r="NP27" s="20" t="n">
        <f aca="false">IF(GL27=1,MAX(0,(Slot18_Cost-NO27*(1+Slot18_Rate)^(Slot18_Age-D27))/NL27),0)</f>
        <v>0</v>
      </c>
      <c r="NQ27" s="20" t="n">
        <f aca="false">IF(GL27=1,MAX(0,(Slot18_Cost-GM27*(1+Slot18_Rate)^(Slot18_Age-D27))/NL27),0)</f>
        <v>0</v>
      </c>
      <c r="NR27" s="20" t="n">
        <f aca="false">IF(AND(HU27=1,GL27=1),MIN(NK27,NP27),0)</f>
        <v>0</v>
      </c>
      <c r="NS27" s="20" t="n">
        <f aca="false">NK27-NR27</f>
        <v>8740.86703516679</v>
      </c>
      <c r="NT27" s="20" t="n">
        <f aca="false">IF(GV27=1,IF(ABS((1+AS_Wage)/(1+Slot19_Rate)-1)&lt;0.000000000001,(Slot19_Age-D27)*(1+Slot19_Rate)^(Slot19_Age-D27),(1+Slot19_Rate)^(Slot19_Age-D27)*(1-((1+AS_Wage)/(1+Slot19_Rate))^(Slot19_Age-D27))/(1-(1+AS_Wage)/(1+Slot19_Rate))),1)</f>
        <v>1</v>
      </c>
      <c r="NU27" s="20" t="n">
        <f aca="false">IF(AND(HU27=1,IE27&gt;0,Slot19_IsWG=1,GV27=1),MAX(0,(Slot19_Cost-GW27*(1+Slot19_Rate)^(Slot19_Age-D27))/NT27),0)</f>
        <v>0</v>
      </c>
      <c r="NV27" s="20" t="n">
        <f aca="false">IF(AND(HU27=1,IE27&gt;0,Slot19_IsWG=1,GV27=1),MIN(IE27,NU27),0)</f>
        <v>0</v>
      </c>
      <c r="NW27" s="20" t="n">
        <f aca="false">GW27+NV27</f>
        <v>0</v>
      </c>
      <c r="NX27" s="20" t="n">
        <f aca="false">IF(GV27=1,MAX(0,(Slot19_Cost-NW27*(1+Slot19_Rate)^(Slot19_Age-D27))/NT27),0)</f>
        <v>0</v>
      </c>
      <c r="NY27" s="20" t="n">
        <f aca="false">IF(GV27=1,MAX(0,(Slot19_Cost-GW27*(1+Slot19_Rate)^(Slot19_Age-D27))/NT27),0)</f>
        <v>0</v>
      </c>
      <c r="NZ27" s="20" t="n">
        <f aca="false">IF(AND(HU27=1,GV27=1),MIN(NS27,NX27),0)</f>
        <v>0</v>
      </c>
      <c r="OA27" s="20" t="n">
        <f aca="false">NS27-NZ27</f>
        <v>8740.86703516679</v>
      </c>
      <c r="OB27" s="20" t="n">
        <f aca="false">IF(HF27=1,IF(ABS((1+AS_Wage)/(1+Slot20_Rate)-1)&lt;0.000000000001,(Slot20_Age-D27)*(1+Slot20_Rate)^(Slot20_Age-D27),(1+Slot20_Rate)^(Slot20_Age-D27)*(1-((1+AS_Wage)/(1+Slot20_Rate))^(Slot20_Age-D27))/(1-(1+AS_Wage)/(1+Slot20_Rate))),1)</f>
        <v>1</v>
      </c>
      <c r="OC27" s="20" t="n">
        <f aca="false">IF(AND(HU27=1,IE27&gt;0,Slot20_IsWG=1,HF27=1),MAX(0,(Slot20_Cost-HG27*(1+Slot20_Rate)^(Slot20_Age-D27))/OB27),0)</f>
        <v>0</v>
      </c>
      <c r="OD27" s="20" t="n">
        <f aca="false">IF(AND(HU27=1,IE27&gt;0,Slot20_IsWG=1,HF27=1),MIN(IE27,OC27),0)</f>
        <v>0</v>
      </c>
      <c r="OE27" s="20" t="n">
        <f aca="false">HG27+OD27</f>
        <v>0</v>
      </c>
      <c r="OF27" s="20" t="n">
        <f aca="false">IF(HF27=1,MAX(0,(Slot20_Cost-OE27*(1+Slot20_Rate)^(Slot20_Age-D27))/OB27),0)</f>
        <v>0</v>
      </c>
      <c r="OG27" s="20" t="n">
        <f aca="false">IF(HF27=1,MAX(0,(Slot20_Cost-HG27*(1+Slot20_Rate)^(Slot20_Age-D27))/OB27),0)</f>
        <v>0</v>
      </c>
      <c r="OH27" s="20" t="n">
        <f aca="false">IF(AND(HU27=1,HF27=1),MIN(OA27,OF27),0)</f>
        <v>0</v>
      </c>
      <c r="OI27" s="20" t="n">
        <f aca="false">OA27-OH27</f>
        <v>8740.86703516679</v>
      </c>
      <c r="OJ27" s="20" t="n">
        <f aca="false">IE27-(IH27+IP27+IX27+JF27+JN27+JV27+KD27+KL27+KT27+LB27+LJ27+LR27+LZ27+MH27+MP27+MX27+NF27+NN27+NV27+OD27)</f>
        <v>0</v>
      </c>
      <c r="OK27" s="20" t="n">
        <f aca="false">IF(HU27=1,HS27-ID27-IE27,0)</f>
        <v>29305.4670747987</v>
      </c>
      <c r="OL27" s="20" t="n">
        <f aca="false">IF(HU27=0,-HS27,0)</f>
        <v>0</v>
      </c>
      <c r="OM27" s="20" t="n">
        <f aca="false">MIN(OL27,HK27)</f>
        <v>0</v>
      </c>
      <c r="ON27" s="20" t="n">
        <f aca="false">OL27-OM27</f>
        <v>0</v>
      </c>
      <c r="OO27" s="20" t="n">
        <f aca="false">MIN(ON27,HL27)</f>
        <v>0</v>
      </c>
      <c r="OP27" s="20" t="n">
        <f aca="false">ON27-OO27</f>
        <v>0</v>
      </c>
      <c r="OQ27" s="20" t="n">
        <f aca="false">IF(AND(HU27=0,HF27=1,OP27&gt;0),MIN(OP27,HG27),0)</f>
        <v>0</v>
      </c>
      <c r="OR27" s="20" t="n">
        <f aca="false">OP27-OQ27</f>
        <v>0</v>
      </c>
      <c r="OS27" s="20" t="n">
        <f aca="false">IF(AND(HU27=0,GV27=1,OR27&gt;0),MIN(OR27,GW27),0)</f>
        <v>0</v>
      </c>
      <c r="OT27" s="20" t="n">
        <f aca="false">OR27-OS27</f>
        <v>0</v>
      </c>
      <c r="OU27" s="20" t="n">
        <f aca="false">IF(AND(HU27=0,GL27=1,OT27&gt;0),MIN(OT27,GM27),0)</f>
        <v>0</v>
      </c>
      <c r="OV27" s="20" t="n">
        <f aca="false">OT27-OU27</f>
        <v>0</v>
      </c>
      <c r="OW27" s="20" t="n">
        <f aca="false">IF(AND(HU27=0,GB27=1,OV27&gt;0),MIN(OV27,GC27),0)</f>
        <v>0</v>
      </c>
      <c r="OX27" s="20" t="n">
        <f aca="false">OV27-OW27</f>
        <v>0</v>
      </c>
      <c r="OY27" s="20" t="n">
        <f aca="false">IF(AND(HU27=0,FR27=1,OX27&gt;0),MIN(OX27,FS27),0)</f>
        <v>0</v>
      </c>
      <c r="OZ27" s="20" t="n">
        <f aca="false">OX27-OY27</f>
        <v>0</v>
      </c>
      <c r="PA27" s="20" t="n">
        <f aca="false">IF(AND(HU27=0,FH27=1,OZ27&gt;0),MIN(OZ27,FI27),0)</f>
        <v>0</v>
      </c>
      <c r="PB27" s="20" t="n">
        <f aca="false">OZ27-PA27</f>
        <v>0</v>
      </c>
      <c r="PC27" s="20" t="n">
        <f aca="false">IF(AND(HU27=0,EX27=1,PB27&gt;0),MIN(PB27,EY27),0)</f>
        <v>0</v>
      </c>
      <c r="PD27" s="20" t="n">
        <f aca="false">PB27-PC27</f>
        <v>0</v>
      </c>
      <c r="PE27" s="20" t="n">
        <f aca="false">IF(AND(HU27=0,EN27=1,PD27&gt;0),MIN(PD27,EO27),0)</f>
        <v>0</v>
      </c>
      <c r="PF27" s="20" t="n">
        <f aca="false">PD27-PE27</f>
        <v>0</v>
      </c>
      <c r="PG27" s="20" t="n">
        <f aca="false">IF(AND(HU27=0,ED27=1,PF27&gt;0),MIN(PF27,EE27),0)</f>
        <v>0</v>
      </c>
      <c r="PH27" s="20" t="n">
        <f aca="false">PF27-PG27</f>
        <v>0</v>
      </c>
      <c r="PI27" s="20" t="n">
        <f aca="false">IF(AND(HU27=0,DT27=1,PH27&gt;0),MIN(PH27,DU27),0)</f>
        <v>0</v>
      </c>
      <c r="PJ27" s="20" t="n">
        <f aca="false">PH27-PI27</f>
        <v>0</v>
      </c>
      <c r="PK27" s="20" t="n">
        <f aca="false">IF(AND(HU27=0,DJ27=1,PJ27&gt;0),MIN(PJ27,DK27),0)</f>
        <v>0</v>
      </c>
      <c r="PL27" s="20" t="n">
        <f aca="false">PJ27-PK27</f>
        <v>0</v>
      </c>
      <c r="PM27" s="20" t="n">
        <f aca="false">IF(AND(HU27=0,CZ27=1,PL27&gt;0),MIN(PL27,DA27),0)</f>
        <v>0</v>
      </c>
      <c r="PN27" s="20" t="n">
        <f aca="false">PL27-PM27</f>
        <v>0</v>
      </c>
      <c r="PO27" s="20" t="n">
        <f aca="false">IF(AND(HU27=0,CP27=1,PN27&gt;0),MIN(PN27,CQ27),0)</f>
        <v>0</v>
      </c>
      <c r="PP27" s="20" t="n">
        <f aca="false">PN27-PO27</f>
        <v>0</v>
      </c>
      <c r="PQ27" s="20" t="n">
        <f aca="false">IF(AND(HU27=0,CF27=1,PP27&gt;0),MIN(PP27,CG27),0)</f>
        <v>0</v>
      </c>
      <c r="PR27" s="20" t="n">
        <f aca="false">PP27-PQ27</f>
        <v>0</v>
      </c>
      <c r="PS27" s="20" t="n">
        <f aca="false">IF(AND(HU27=0,BV27=1,PR27&gt;0),MIN(PR27,BW27),0)</f>
        <v>0</v>
      </c>
      <c r="PT27" s="20" t="n">
        <f aca="false">PR27-PS27</f>
        <v>0</v>
      </c>
      <c r="PU27" s="20" t="n">
        <f aca="false">IF(AND(HU27=0,BL27=1,PT27&gt;0),MIN(PT27,BM27),0)</f>
        <v>0</v>
      </c>
      <c r="PV27" s="20" t="n">
        <f aca="false">PT27-PU27</f>
        <v>0</v>
      </c>
      <c r="PW27" s="20" t="n">
        <f aca="false">IF(AND(HU27=0,BB27=1,PV27&gt;0),MIN(PV27,BC27),0)</f>
        <v>0</v>
      </c>
      <c r="PX27" s="20" t="n">
        <f aca="false">PV27-PW27</f>
        <v>0</v>
      </c>
      <c r="PY27" s="20" t="n">
        <f aca="false">IF(AND(HU27=0,AR27=1,PX27&gt;0),MIN(PX27,AS27),0)</f>
        <v>0</v>
      </c>
      <c r="PZ27" s="20" t="n">
        <f aca="false">PX27-PY27</f>
        <v>0</v>
      </c>
      <c r="QA27" s="20" t="n">
        <f aca="false">IF(AND(HU27=0,AH27=1,PZ27&gt;0),MIN(PZ27,AI27),0)</f>
        <v>0</v>
      </c>
      <c r="QB27" s="20" t="n">
        <f aca="false">PZ27-QA27</f>
        <v>0</v>
      </c>
      <c r="QC27" s="20" t="n">
        <f aca="false">IF(AND(HU27=0,W27=1,QB27&gt;0),MIN(QB27,X27),0)</f>
        <v>0</v>
      </c>
      <c r="QD27" s="20" t="n">
        <f aca="false">QB27-QC27</f>
        <v>0</v>
      </c>
      <c r="QE27" s="20" t="n">
        <f aca="false">IF(HU27=0,QD27,0)</f>
        <v>0</v>
      </c>
      <c r="QF27" s="20" t="n">
        <f aca="false">OM27+OO27+QC27+QA27+PY27+PW27+PU27+PS27+PQ27+PO27+PM27+PK27+PI27+PG27+PE27+PC27+PA27+OY27+OW27+OU27+OS27+OQ27</f>
        <v>0</v>
      </c>
      <c r="QG27" s="20" t="n">
        <f aca="false">IF(HU27=1,HK27+OJ27+OI27+IF(G27=1,0,OK27),HK27-OM27)</f>
        <v>43435.2246272519</v>
      </c>
      <c r="QH27" s="20" t="n">
        <f aca="false">HL27-OO27</f>
        <v>13475.5387044196</v>
      </c>
      <c r="QI27" s="20" t="n">
        <f aca="false">IF(HU27=1,IF(G27=1,ID27+IE27,HS27),0)</f>
        <v>8740.86703516679</v>
      </c>
      <c r="QJ27" s="20" t="n">
        <f aca="false">IF(HU27=1,IF(G27=1,HS27-ID27-IE27,0),0)</f>
        <v>29305.4670747987</v>
      </c>
      <c r="QK27" s="57" t="n">
        <f aca="false">'Plan holdings'!BM27</f>
        <v>44883.7437143633</v>
      </c>
      <c r="QL27" s="20" t="n">
        <f aca="false">QH27*(1+AS_Cash)</f>
        <v>13610.2940914638</v>
      </c>
      <c r="QM27" s="20" t="n">
        <f aca="false">IF(W27=1,IF(HU27=1,II27+IL27,X27-QC27)*(1+Slot1_Rate),0)</f>
        <v>0</v>
      </c>
      <c r="QN27" s="20" t="n">
        <f aca="false">IF(AND(HU27=1,W27=1),(IH27+IL27)/F27,0)</f>
        <v>0</v>
      </c>
      <c r="QO27" s="20" t="n">
        <f aca="false">IF(B27=0,IH27+IL27,0)</f>
        <v>0</v>
      </c>
      <c r="QP27" s="20" t="n">
        <f aca="false">IF(B27=0,IF(HU27=1,IJ27,IK27),0)</f>
        <v>0</v>
      </c>
      <c r="QQ27" s="20" t="n">
        <f aca="false">IF(AH27=1,IF(HU27=1,IQ27+IT27,AI27-QA27)*(1+Slot2_Rate),0)</f>
        <v>0</v>
      </c>
      <c r="QR27" s="20" t="n">
        <f aca="false">IF(AND(HU27=1,AH27=1),(IP27+IT27)/F27,0)</f>
        <v>0</v>
      </c>
      <c r="QS27" s="20" t="n">
        <f aca="false">IF(B27=0,IP27+IT27,0)</f>
        <v>0</v>
      </c>
      <c r="QT27" s="20" t="n">
        <f aca="false">IF(B27=0,IF(HU27=1,IR27,IS27),0)</f>
        <v>0</v>
      </c>
      <c r="QU27" s="20" t="n">
        <f aca="false">IF(AR27=1,IF(HU27=1,IY27+JB27,AS27-PY27)*(1+Slot3_Rate),0)</f>
        <v>0</v>
      </c>
      <c r="QV27" s="20" t="n">
        <f aca="false">IF(AND(HU27=1,AR27=1),(IX27+JB27)/F27,0)</f>
        <v>0</v>
      </c>
      <c r="QW27" s="20" t="n">
        <f aca="false">IF(B27=0,IX27+JB27,0)</f>
        <v>0</v>
      </c>
      <c r="QX27" s="20" t="n">
        <f aca="false">IF(B27=0,IF(HU27=1,IZ27,JA27),0)</f>
        <v>0</v>
      </c>
      <c r="QY27" s="20" t="n">
        <f aca="false">IF(BB27=1,IF(HU27=1,JG27+JJ27,BC27-PW27)*(1+Slot4_Rate),0)</f>
        <v>0</v>
      </c>
      <c r="QZ27" s="20" t="n">
        <f aca="false">IF(AND(HU27=1,BB27=1),(JF27+JJ27)/F27,0)</f>
        <v>0</v>
      </c>
      <c r="RA27" s="20" t="n">
        <f aca="false">IF(B27=0,JF27+JJ27,0)</f>
        <v>0</v>
      </c>
      <c r="RB27" s="20" t="n">
        <f aca="false">IF(B27=0,IF(HU27=1,JH27,JI27),0)</f>
        <v>0</v>
      </c>
      <c r="RC27" s="20" t="n">
        <f aca="false">IF(BL27=1,IF(HU27=1,JO27+JR27,BM27-PU27)*(1+Slot5_Rate),0)</f>
        <v>0</v>
      </c>
      <c r="RD27" s="20" t="n">
        <f aca="false">IF(AND(HU27=1,BL27=1),(JN27+JR27)/F27,0)</f>
        <v>0</v>
      </c>
      <c r="RE27" s="20" t="n">
        <f aca="false">IF(B27=0,JN27+JR27,0)</f>
        <v>0</v>
      </c>
      <c r="RF27" s="20" t="n">
        <f aca="false">IF(B27=0,IF(HU27=1,JP27,JQ27),0)</f>
        <v>0</v>
      </c>
      <c r="RG27" s="20" t="n">
        <f aca="false">IF(BV27=1,IF(HU27=1,JW27+JZ27,BW27-PS27)*(1+Slot6_Rate),0)</f>
        <v>0</v>
      </c>
      <c r="RH27" s="20" t="n">
        <f aca="false">IF(AND(HU27=1,BV27=1),(JV27+JZ27)/F27,0)</f>
        <v>0</v>
      </c>
      <c r="RI27" s="20" t="n">
        <f aca="false">IF(B27=0,JV27+JZ27,0)</f>
        <v>0</v>
      </c>
      <c r="RJ27" s="20" t="n">
        <f aca="false">IF(B27=0,IF(HU27=1,JX27,JY27),0)</f>
        <v>0</v>
      </c>
      <c r="RK27" s="20" t="n">
        <f aca="false">IF(CF27=1,IF(HU27=1,KE27+KH27,CG27-PQ27)*(1+Slot7_Rate),0)</f>
        <v>0</v>
      </c>
      <c r="RL27" s="20" t="n">
        <f aca="false">IF(AND(HU27=1,CF27=1),(KD27+KH27)/F27,0)</f>
        <v>0</v>
      </c>
      <c r="RM27" s="20" t="n">
        <f aca="false">IF(B27=0,KD27+KH27,0)</f>
        <v>0</v>
      </c>
      <c r="RN27" s="20" t="n">
        <f aca="false">IF(B27=0,IF(HU27=1,KF27,KG27),0)</f>
        <v>0</v>
      </c>
      <c r="RO27" s="20" t="n">
        <f aca="false">IF(CP27=1,IF(HU27=1,KM27+KP27,CQ27-PO27)*(1+Slot8_Rate),0)</f>
        <v>0</v>
      </c>
      <c r="RP27" s="20" t="n">
        <f aca="false">IF(AND(HU27=1,CP27=1),(KL27+KP27)/F27,0)</f>
        <v>0</v>
      </c>
      <c r="RQ27" s="20" t="n">
        <f aca="false">IF(B27=0,KL27+KP27,0)</f>
        <v>0</v>
      </c>
      <c r="RR27" s="20" t="n">
        <f aca="false">IF(B27=0,IF(HU27=1,KN27,KO27),0)</f>
        <v>0</v>
      </c>
      <c r="RS27" s="20" t="n">
        <f aca="false">IF(CZ27=1,IF(HU27=1,KU27+KX27,DA27-PM27)*(1+Slot9_Rate),0)</f>
        <v>0</v>
      </c>
      <c r="RT27" s="20" t="n">
        <f aca="false">IF(AND(HU27=1,CZ27=1),(KT27+KX27)/F27,0)</f>
        <v>0</v>
      </c>
      <c r="RU27" s="20" t="n">
        <f aca="false">IF(B27=0,KT27+KX27,0)</f>
        <v>0</v>
      </c>
      <c r="RV27" s="20" t="n">
        <f aca="false">IF(B27=0,IF(HU27=1,KV27,KW27),0)</f>
        <v>0</v>
      </c>
      <c r="RW27" s="20" t="n">
        <f aca="false">IF(DJ27=1,IF(HU27=1,LC27+LF27,DK27-PK27)*(1+Slot10_Rate),0)</f>
        <v>0</v>
      </c>
      <c r="RX27" s="20" t="n">
        <f aca="false">IF(AND(HU27=1,DJ27=1),(LB27+LF27)/F27,0)</f>
        <v>0</v>
      </c>
      <c r="RY27" s="20" t="n">
        <f aca="false">IF(B27=0,LB27+LF27,0)</f>
        <v>0</v>
      </c>
      <c r="RZ27" s="20" t="n">
        <f aca="false">IF(B27=0,IF(HU27=1,LD27,LE27),0)</f>
        <v>0</v>
      </c>
      <c r="SA27" s="20" t="n">
        <f aca="false">IF(DT27=1,IF(HU27=1,LK27+LN27,DU27-PI27)*(1+Slot11_Rate),0)</f>
        <v>0</v>
      </c>
      <c r="SB27" s="20" t="n">
        <f aca="false">IF(AND(HU27=1,DT27=1),(LJ27+LN27)/F27,0)</f>
        <v>0</v>
      </c>
      <c r="SC27" s="20" t="n">
        <f aca="false">IF(B27=0,LJ27+LN27,0)</f>
        <v>0</v>
      </c>
      <c r="SD27" s="20" t="n">
        <f aca="false">IF(B27=0,IF(HU27=1,LL27,LM27),0)</f>
        <v>0</v>
      </c>
      <c r="SE27" s="20" t="n">
        <f aca="false">IF(ED27=1,IF(HU27=1,LS27+LV27,EE27-PG27)*(1+Slot12_Rate),0)</f>
        <v>0</v>
      </c>
      <c r="SF27" s="20" t="n">
        <f aca="false">IF(AND(HU27=1,ED27=1),(LR27+LV27)/F27,0)</f>
        <v>0</v>
      </c>
      <c r="SG27" s="20" t="n">
        <f aca="false">IF(B27=0,LR27+LV27,0)</f>
        <v>0</v>
      </c>
      <c r="SH27" s="20" t="n">
        <f aca="false">IF(B27=0,IF(HU27=1,LT27,LU27),0)</f>
        <v>0</v>
      </c>
      <c r="SI27" s="20" t="n">
        <f aca="false">IF(EN27=1,IF(HU27=1,MA27+MD27,EO27-PE27)*(1+Slot13_Rate),0)</f>
        <v>0</v>
      </c>
      <c r="SJ27" s="20" t="n">
        <f aca="false">IF(AND(HU27=1,EN27=1),(LZ27+MD27)/F27,0)</f>
        <v>0</v>
      </c>
      <c r="SK27" s="20" t="n">
        <f aca="false">IF(B27=0,LZ27+MD27,0)</f>
        <v>0</v>
      </c>
      <c r="SL27" s="20" t="n">
        <f aca="false">IF(B27=0,IF(HU27=1,MB27,MC27),0)</f>
        <v>0</v>
      </c>
      <c r="SM27" s="20" t="n">
        <f aca="false">IF(EX27=1,IF(HU27=1,MI27+ML27,EY27-PC27)*(1+Slot14_Rate),0)</f>
        <v>0</v>
      </c>
      <c r="SN27" s="20" t="n">
        <f aca="false">IF(AND(HU27=1,EX27=1),(MH27+ML27)/F27,0)</f>
        <v>0</v>
      </c>
      <c r="SO27" s="20" t="n">
        <f aca="false">IF(B27=0,MH27+ML27,0)</f>
        <v>0</v>
      </c>
      <c r="SP27" s="20" t="n">
        <f aca="false">IF(B27=0,IF(HU27=1,MJ27,MK27),0)</f>
        <v>0</v>
      </c>
      <c r="SQ27" s="20" t="n">
        <f aca="false">IF(FH27=1,IF(HU27=1,MQ27+MT27,FI27-PA27)*(1+Slot15_Rate),0)</f>
        <v>0</v>
      </c>
      <c r="SR27" s="20" t="n">
        <f aca="false">IF(AND(HU27=1,FH27=1),(MP27+MT27)/F27,0)</f>
        <v>0</v>
      </c>
      <c r="SS27" s="20" t="n">
        <f aca="false">IF(B27=0,MP27+MT27,0)</f>
        <v>0</v>
      </c>
      <c r="ST27" s="20" t="n">
        <f aca="false">IF(B27=0,IF(HU27=1,MR27,MS27),0)</f>
        <v>0</v>
      </c>
      <c r="SU27" s="20" t="n">
        <f aca="false">IF(FR27=1,IF(HU27=1,MY27+NB27,FS27-OY27)*(1+Slot16_Rate),0)</f>
        <v>0</v>
      </c>
      <c r="SV27" s="20" t="n">
        <f aca="false">IF(AND(HU27=1,FR27=1),(MX27+NB27)/F27,0)</f>
        <v>0</v>
      </c>
      <c r="SW27" s="20" t="n">
        <f aca="false">IF(B27=0,MX27+NB27,0)</f>
        <v>0</v>
      </c>
      <c r="SX27" s="20" t="n">
        <f aca="false">IF(B27=0,IF(HU27=1,MZ27,NA27),0)</f>
        <v>0</v>
      </c>
      <c r="SY27" s="20" t="n">
        <f aca="false">IF(GB27=1,IF(HU27=1,NG27+NJ27,GC27-OW27)*(1+Slot17_Rate),0)</f>
        <v>0</v>
      </c>
      <c r="SZ27" s="20" t="n">
        <f aca="false">IF(AND(HU27=1,GB27=1),(NF27+NJ27)/F27,0)</f>
        <v>0</v>
      </c>
      <c r="TA27" s="20" t="n">
        <f aca="false">IF(B27=0,NF27+NJ27,0)</f>
        <v>0</v>
      </c>
      <c r="TB27" s="20" t="n">
        <f aca="false">IF(B27=0,IF(HU27=1,NH27,NI27),0)</f>
        <v>0</v>
      </c>
      <c r="TC27" s="20" t="n">
        <f aca="false">IF(GL27=1,IF(HU27=1,NO27+NR27,GM27-OU27)*(1+Slot18_Rate),0)</f>
        <v>0</v>
      </c>
      <c r="TD27" s="20" t="n">
        <f aca="false">IF(AND(HU27=1,GL27=1),(NN27+NR27)/F27,0)</f>
        <v>0</v>
      </c>
      <c r="TE27" s="20" t="n">
        <f aca="false">IF(B27=0,NN27+NR27,0)</f>
        <v>0</v>
      </c>
      <c r="TF27" s="20" t="n">
        <f aca="false">IF(B27=0,IF(HU27=1,NP27,NQ27),0)</f>
        <v>0</v>
      </c>
      <c r="TG27" s="20" t="n">
        <f aca="false">IF(GV27=1,IF(HU27=1,NW27+NZ27,GW27-OS27)*(1+Slot19_Rate),0)</f>
        <v>0</v>
      </c>
      <c r="TH27" s="20" t="n">
        <f aca="false">IF(AND(HU27=1,GV27=1),(NV27+NZ27)/F27,0)</f>
        <v>0</v>
      </c>
      <c r="TI27" s="20" t="n">
        <f aca="false">IF(B27=0,NV27+NZ27,0)</f>
        <v>0</v>
      </c>
      <c r="TJ27" s="20" t="n">
        <f aca="false">IF(B27=0,IF(HU27=1,NX27,NY27),0)</f>
        <v>0</v>
      </c>
      <c r="TK27" s="20" t="n">
        <f aca="false">IF(HF27=1,IF(HU27=1,OE27+OH27,HG27-OQ27)*(1+Slot20_Rate),0)</f>
        <v>0</v>
      </c>
      <c r="TL27" s="20" t="n">
        <f aca="false">IF(AND(HU27=1,HF27=1),(OD27+OH27)/F27,0)</f>
        <v>0</v>
      </c>
      <c r="TM27" s="20" t="n">
        <f aca="false">IF(B27=0,OD27+OH27,0)</f>
        <v>0</v>
      </c>
      <c r="TN27" s="20" t="n">
        <f aca="false">IF(B27=0,IF(HU27=1,OF27,OG27),0)</f>
        <v>0</v>
      </c>
      <c r="TO27" s="20" t="n">
        <f aca="false">QK27+QL27+QM27+QQ27+QU27+QY27+RC27+RG27+RK27+RO27+RS27+RW27+SA27+SE27+SI27+SM27+SQ27+SU27+SY27+TC27+TG27+TK27</f>
        <v>58494.0378058272</v>
      </c>
      <c r="TP27" s="20" t="n">
        <f aca="false">QE27+HP27</f>
        <v>0</v>
      </c>
      <c r="TQ27" s="20" t="n">
        <f aca="false">I27+S27</f>
        <v>65556.502763751</v>
      </c>
      <c r="TR27" s="20" t="n">
        <f aca="false">1-G27</f>
        <v>0</v>
      </c>
      <c r="TS27" s="20" t="n">
        <f aca="false">IF(AND(RG_Exists=1,G27=0,C27=1),I27,0)</f>
        <v>0</v>
      </c>
      <c r="TT27" s="20" t="n">
        <f aca="false">IF(AND(RG_Exists=1,G27=0,C27=1),I27-MIN(QE27,I27),0)</f>
        <v>0</v>
      </c>
      <c r="TU27" s="20" t="n">
        <f aca="false">'Plan pay &amp; tax'!AD253</f>
        <v>425574.170498179</v>
      </c>
      <c r="TV27" s="20" t="n">
        <f aca="false">IF(AND(C27=1,QE27&gt;MAX(PR_Short1,TQ27*PR_Short2)),1,0)</f>
        <v>0</v>
      </c>
      <c r="TW27" s="20" t="n">
        <f aca="false">MIN(H27,I27+S27)</f>
        <v>65556.502763751</v>
      </c>
      <c r="TX27" s="20" t="n">
        <f aca="false">QF27+MAX(0,HQ27-HP27)</f>
        <v>0</v>
      </c>
      <c r="TY27" s="20" t="n">
        <f aca="false">QE27+HP27</f>
        <v>0</v>
      </c>
      <c r="TZ27" s="20" t="n">
        <f aca="false">IF(AND(C27=1,TY27&gt;PR_MinShort),1,0)</f>
        <v>0</v>
      </c>
      <c r="UA27" s="20" t="n">
        <f aca="false">IF(AND(C27=1,TZ27=0,TX27&gt;PR_MinShort),1,0)</f>
        <v>0</v>
      </c>
      <c r="UB27" s="20" t="n">
        <f aca="false">IF(AND(C27=1,QE27&gt;PR_MinShort),1,0)</f>
        <v>0</v>
      </c>
      <c r="UC27" s="20" t="n">
        <f aca="false">IF(AND(C27=1,QF27&gt;1,UJ27=0),1,0)</f>
        <v>0</v>
      </c>
      <c r="UD27" s="20" t="str">
        <f aca="false">IF(C27=0,"",IF(UJ27=1,"Gap to plan for: short "&amp;"€"&amp;TEXT(ROUND(TP27,0),"#,##0"),IF(QF27&gt;1,"Using savings","Comfortable")))</f>
        <v>Comfortable</v>
      </c>
      <c r="UE27" s="20" t="n">
        <f aca="false">IF(AND(INT(D27/10)*10=90,B27&gt;0),80,INT(D27/10)*10)</f>
        <v>50</v>
      </c>
      <c r="UF27" s="20" t="n">
        <f aca="false">IF(B27=0,1,IF(UE27&lt;&gt;UE26,UF26+1,UF26))</f>
        <v>3</v>
      </c>
      <c r="UG27" s="20" t="n">
        <f aca="false">IF(AND(C27=1,G27=1,QE27&gt;MAX(PR_Short1,TQ27*PR_Short2)),1,0)</f>
        <v>0</v>
      </c>
      <c r="UH27" s="20" t="n">
        <f aca="false">TR27*TV27</f>
        <v>0</v>
      </c>
      <c r="UI27" s="20" t="n">
        <f aca="false">IF(AND(V27=1,Slot1_PctLow=1),1,0)+IF(AND(AG27=1,Slot2_PctLow=1),1,0)+IF(AND(AQ27=1,Slot3_PctLow=1),1,0)+IF(AND(BA27=1,Slot4_PctLow=1),1,0)+IF(AND(BK27=1,Slot5_PctLow=1),1,0)+IF(AND(BU27=1,Slot6_PctLow=1),1,0)+IF(AND(CE27=1,Slot7_PctLow=1),1,0)+IF(AND(CO27=1,Slot8_PctLow=1),1,0)+IF(AND(CY27=1,Slot9_PctLow=1),1,0)+IF(AND(DI27=1,Slot10_PctLow=1),1,0)+IF(AND(DS27=1,Slot11_PctLow=1),1,0)+IF(AND(EC27=1,Slot12_PctLow=1),1,0)+IF(AND(EM27=1,Slot13_PctLow=1),1,0)+IF(AND(EW27=1,Slot14_PctLow=1),1,0)+IF(AND(FG27=1,Slot15_PctLow=1),1,0)+IF(AND(FQ27=1,Slot16_PctLow=1),1,0)+IF(AND(GA27=1,Slot17_PctLow=1),1,0)+IF(AND(GK27=1,Slot18_PctLow=1),1,0)+IF(AND(GU27=1,Slot19_PctLow=1),1,0)+IF(AND(HE27=1,Slot20_PctLow=1),1,0)</f>
        <v>0</v>
      </c>
      <c r="UJ27" s="20" t="n">
        <f aca="false">IF(C27=1,IF(OR(TV27=1,UI27&gt;0),1,0),0)</f>
        <v>0</v>
      </c>
      <c r="UK27" s="20" t="n">
        <f aca="false">Z27+AK27+AU27+BE27+BO27+BY27+CI27+CS27+DC27+DM27+DW27+EG27+EQ27+FA27+FK27+FU27+GE27+GO27+GY27+HI27+OM27</f>
        <v>0</v>
      </c>
      <c r="UL27" s="20" t="n">
        <f aca="false">V27*IF(Slot1_SpendLike=1,X27-Y27,IF(Slot1_PotFree=1,X27,0))+AG27*IF(Slot2_SpendLike=1,AI27-AJ27,IF(Slot2_PotFree=1,AI27,0))+AQ27*IF(Slot3_SpendLike=1,AS27-AT27,IF(Slot3_PotFree=1,AS27,0))+BA27*IF(Slot4_SpendLike=1,BC27-BD27,IF(Slot4_PotFree=1,BC27,0))+BK27*IF(Slot5_SpendLike=1,BM27-BN27,IF(Slot5_PotFree=1,BM27,0))+BU27*IF(Slot6_SpendLike=1,BW27-BX27,IF(Slot6_PotFree=1,BW27,0))+CE27*IF(Slot7_SpendLike=1,CG27-CH27,IF(Slot7_PotFree=1,CG27,0))+CO27*IF(Slot8_SpendLike=1,CQ27-CR27,IF(Slot8_PotFree=1,CQ27,0))+CY27*IF(Slot9_SpendLike=1,DA27-DB27,IF(Slot9_PotFree=1,DA27,0))+DI27*IF(Slot10_SpendLike=1,DK27-DL27,IF(Slot10_PotFree=1,DK27,0))+DS27*IF(Slot11_SpendLike=1,DU27-DV27,IF(Slot11_PotFree=1,DU27,0))+EC27*IF(Slot12_SpendLike=1,EE27-EF27,IF(Slot12_PotFree=1,EE27,0))+EM27*IF(Slot13_SpendLike=1,EO27-EP27,IF(Slot13_PotFree=1,EO27,0))+EW27*IF(Slot14_SpendLike=1,EY27-EZ27,IF(Slot14_PotFree=1,EY27,0))+FG27*IF(Slot15_SpendLike=1,FI27-FJ27,IF(Slot15_PotFree=1,FI27,0))+FQ27*IF(Slot16_SpendLike=1,FS27-FT27,IF(Slot16_PotFree=1,FS27,0))+GA27*IF(Slot17_SpendLike=1,GC27-GD27,IF(Slot17_PotFree=1,GC27,0))+GK27*IF(Slot18_SpendLike=1,GM27-GN27,IF(Slot18_PotFree=1,GM27,0))+GU27*IF(Slot19_SpendLike=1,GW27-GX27,IF(Slot19_PotFree=1,GW27,0))+HE27*IF(Slot20_SpendLike=1,HG27-HH27,IF(Slot20_PotFree=1,HG27,0))</f>
        <v>0</v>
      </c>
      <c r="UM27" s="20" t="n">
        <f aca="false">QG27-T27+UK27-UL27</f>
        <v>8740.8670351668</v>
      </c>
      <c r="UN27" s="20" t="n">
        <f aca="false">IF(OR(UN26=1,AND(In_homeUse="Yes, I'd downsize",In_downAge&gt;0,D27=In_downAge,OR(In_home="Own outright",In_home="Own with mortgage"),In_homeValue&gt;0)),1,0)</f>
        <v>0</v>
      </c>
    </row>
    <row r="28" customFormat="false" ht="15" hidden="false" customHeight="true" outlineLevel="0" collapsed="false">
      <c r="B28" s="20" t="n">
        <v>20</v>
      </c>
      <c r="C28" s="20" t="n">
        <f aca="false">IF(B28&lt;=F_N,1,0)</f>
        <v>1</v>
      </c>
      <c r="D28" s="20" t="n">
        <f aca="false">'Plan pay &amp; tax'!C254</f>
        <v>58</v>
      </c>
      <c r="E28" s="20" t="str">
        <f aca="false">IF($C28=1,"Income tax "&amp;TEXT(N('Plan pay &amp; tax'!BK254),"#,##0")&amp;"; USC "&amp;TEXT(N('Plan pay &amp; tax'!BM254)+N('Plan pay &amp; tax'!BO254),"#,##0")&amp;"; PRSI "&amp;TEXT(N('Plan pay &amp; tax'!BP254)+N('Plan pay &amp; tax'!BQ254),"#,##0")&amp;IF(N('Plan holdings'!BO28)&gt;=0.5,"; DIRT "&amp;TEXT(('Plan holdings'!BO28)/$F28,"#,##0")&amp;" (already taken from the interest earned)","")&amp;IF(N('Plan holdings'!BP28)&gt;=0.5,"; exit tax at an 8-year anniversary "&amp;TEXT(('Plan holdings'!BP28)/$F28,"#,##0"),"")&amp;IF(N('Plan holdings'!BN28)&gt;=0.5,"; tax on assets sold (exit tax or capital gains tax) "&amp;TEXT(('Plan holdings'!BN28)/$F28,"#,##0"),"")&amp;IF(N('Plan pay &amp; tax'!X254)-N('Plan pay &amp; tax'!Y254)&gt;=0.5,"; tax on the pension lump sum "&amp;TEXT(('Plan pay &amp; tax'!X254-'Plan pay &amp; tax'!Y254)/$F28,"#,##0"),"")&amp;IF(N('Plan pay &amp; tax'!V254)&gt;=0.5,"; chargeable excess tax on the pension "&amp;TEXT(('Plan pay &amp; tax'!V254)/$F28,"#,##0"),"")&amp;".","")</f>
        <v>Income tax 15,230; USC 2,025; PRSI 4,570; DIRT 149 (already taken from the interest earned); exit tax at an 8-year anniversary 98.</v>
      </c>
      <c r="F28" s="50" t="n">
        <f aca="false">'Plan pay &amp; tax'!E254</f>
        <v>1.48594739597836</v>
      </c>
      <c r="G28" s="20" t="n">
        <f aca="false">'Plan pay &amp; tax'!G254</f>
        <v>1</v>
      </c>
      <c r="H28" s="20" t="n">
        <f aca="false">'Plan pay &amp; tax'!BT254-'Plan pay &amp; tax'!BS254-'Plan pay &amp; tax'!R254</f>
        <v>106423.109279791</v>
      </c>
      <c r="I28" s="20" t="n">
        <f aca="false">IF(G28=1,F_CostsM*12,IF(RG_Exists=1,RG_Amount,F_CostsM*12*AS_RetireSpend))*F28+F_OneOffY*F28</f>
        <v>66867.632819026</v>
      </c>
      <c r="J28" s="20" t="n">
        <f aca="false">IF(UN28=1,0,HR27)</f>
        <v>0</v>
      </c>
      <c r="K28" s="20" t="n">
        <f aca="false">IF(J28&gt;1,'Plan debt months'!AC28,0)</f>
        <v>0</v>
      </c>
      <c r="L28" s="20" t="n">
        <f aca="false">IF(J28&gt;1,'Plan debt months'!AB28,J28)</f>
        <v>0</v>
      </c>
      <c r="M28" s="20" t="n">
        <f aca="false">O27</f>
        <v>0</v>
      </c>
      <c r="N28" s="20" t="n">
        <f aca="false">IF(M28&gt;1,'Plan debt months'!BD28,0)</f>
        <v>0</v>
      </c>
      <c r="O28" s="20" t="n">
        <f aca="false">IF(M28&gt;1,'Plan debt months'!BC28,M28)</f>
        <v>0</v>
      </c>
      <c r="P28" s="20" t="n">
        <f aca="false">R27</f>
        <v>0</v>
      </c>
      <c r="Q28" s="20" t="n">
        <f aca="false">IF(P28&gt;1,'Plan debt months'!CE28,0)</f>
        <v>0</v>
      </c>
      <c r="R28" s="20" t="n">
        <f aca="false">IF(P28&gt;1,'Plan debt months'!CD28,P28)</f>
        <v>0</v>
      </c>
      <c r="S28" s="20" t="n">
        <f aca="false">K28+N28+Q28</f>
        <v>0</v>
      </c>
      <c r="T28" s="57" t="n">
        <f aca="false">'Plan holdings'!Y28</f>
        <v>44147.9327183156</v>
      </c>
      <c r="U28" s="57" t="n">
        <f aca="false">'Plan holdings'!BM27</f>
        <v>44883.7437143633</v>
      </c>
      <c r="V28" s="20" t="n">
        <f aca="false">IF(AND(Slot1_On=1,D28=Slot1_Age),1,0)</f>
        <v>0</v>
      </c>
      <c r="W28" s="20" t="n">
        <f aca="false">IF(AND(Slot1_On=1,Slot1_Age&gt;D28),1,0)</f>
        <v>0</v>
      </c>
      <c r="X28" s="20" t="n">
        <f aca="false">QM27</f>
        <v>0</v>
      </c>
      <c r="Y28" s="20" t="n">
        <f aca="false">V28*MIN(Slot1_Cost,X28)</f>
        <v>0</v>
      </c>
      <c r="Z28" s="20" t="n">
        <f aca="false">V28*Slot1_SpendLike*MIN(Slot1_Cost-Y28,T28)</f>
        <v>0</v>
      </c>
      <c r="AA28" s="20" t="n">
        <f aca="false">Y28+Z28</f>
        <v>0</v>
      </c>
      <c r="AB28" s="20" t="n">
        <f aca="false">T28-Z28+V28*IF(Slot1_SpendLike=1,X28-Y28,IF(Slot1_PotFree=1,X28,0))</f>
        <v>44147.9327183156</v>
      </c>
      <c r="AC28" s="20" t="n">
        <f aca="false">AF28+V28*Slot1_BufPot*X28</f>
        <v>13610.2940914638</v>
      </c>
      <c r="AD28" s="20" t="n">
        <f aca="false">IF(AND(V28=1,Slot1_IsMfree=1),IF(AA28&gt;=Slot1_Cost-1,0,MAX(0,L28-AA28)),L28)</f>
        <v>0</v>
      </c>
      <c r="AE28" s="20" t="n">
        <f aca="false">V28*(Slot1_Cost-AA28)</f>
        <v>0</v>
      </c>
      <c r="AF28" s="20" t="n">
        <f aca="false">QL27</f>
        <v>13610.2940914638</v>
      </c>
      <c r="AG28" s="20" t="n">
        <f aca="false">IF(AND(Slot2_On=1,D28=Slot2_Age),1,0)</f>
        <v>0</v>
      </c>
      <c r="AH28" s="20" t="n">
        <f aca="false">IF(AND(Slot2_On=1,Slot2_Age&gt;D28),1,0)</f>
        <v>0</v>
      </c>
      <c r="AI28" s="20" t="n">
        <f aca="false">QQ27</f>
        <v>0</v>
      </c>
      <c r="AJ28" s="20" t="n">
        <f aca="false">AG28*MIN(Slot2_Cost,AI28)</f>
        <v>0</v>
      </c>
      <c r="AK28" s="20" t="n">
        <f aca="false">AG28*Slot2_SpendLike*MIN(Slot2_Cost-AJ28,AB28)</f>
        <v>0</v>
      </c>
      <c r="AL28" s="20" t="n">
        <f aca="false">AJ28+AK28</f>
        <v>0</v>
      </c>
      <c r="AM28" s="20" t="n">
        <f aca="false">AB28-AK28+AG28*IF(Slot2_SpendLike=1,AI28-AJ28,IF(Slot2_PotFree=1,AI28,0))</f>
        <v>44147.9327183156</v>
      </c>
      <c r="AN28" s="20" t="n">
        <f aca="false">AC28+AG28*Slot2_BufPot*AI28</f>
        <v>13610.2940914638</v>
      </c>
      <c r="AO28" s="20" t="n">
        <f aca="false">IF(AND(AG28=1,Slot2_IsMfree=1),IF(AL28&gt;=Slot2_Cost-1,0,MAX(0,AD28-AL28)),AD28)</f>
        <v>0</v>
      </c>
      <c r="AP28" s="20" t="n">
        <f aca="false">AG28*(Slot2_Cost-AL28)</f>
        <v>0</v>
      </c>
      <c r="AQ28" s="20" t="n">
        <f aca="false">IF(AND(Slot3_On=1,D28=Slot3_Age),1,0)</f>
        <v>0</v>
      </c>
      <c r="AR28" s="20" t="n">
        <f aca="false">IF(AND(Slot3_On=1,Slot3_Age&gt;D28),1,0)</f>
        <v>0</v>
      </c>
      <c r="AS28" s="20" t="n">
        <f aca="false">QU27</f>
        <v>0</v>
      </c>
      <c r="AT28" s="20" t="n">
        <f aca="false">AQ28*MIN(Slot3_Cost,AS28)</f>
        <v>0</v>
      </c>
      <c r="AU28" s="20" t="n">
        <f aca="false">AQ28*Slot3_SpendLike*MIN(Slot3_Cost-AT28,AM28)</f>
        <v>0</v>
      </c>
      <c r="AV28" s="20" t="n">
        <f aca="false">AT28+AU28</f>
        <v>0</v>
      </c>
      <c r="AW28" s="20" t="n">
        <f aca="false">AM28-AU28+AQ28*IF(Slot3_SpendLike=1,AS28-AT28,IF(Slot3_PotFree=1,AS28,0))</f>
        <v>44147.9327183156</v>
      </c>
      <c r="AX28" s="20" t="n">
        <f aca="false">AN28+AQ28*Slot3_BufPot*AS28</f>
        <v>13610.2940914638</v>
      </c>
      <c r="AY28" s="20" t="n">
        <f aca="false">IF(AND(AQ28=1,Slot3_IsMfree=1),IF(AV28&gt;=Slot3_Cost-1,0,MAX(0,AO28-AV28)),AO28)</f>
        <v>0</v>
      </c>
      <c r="AZ28" s="20" t="n">
        <f aca="false">AQ28*(Slot3_Cost-AV28)</f>
        <v>0</v>
      </c>
      <c r="BA28" s="20" t="n">
        <f aca="false">IF(AND(Slot4_On=1,D28=Slot4_Age),1,0)</f>
        <v>0</v>
      </c>
      <c r="BB28" s="20" t="n">
        <f aca="false">IF(AND(Slot4_On=1,Slot4_Age&gt;D28),1,0)</f>
        <v>0</v>
      </c>
      <c r="BC28" s="20" t="n">
        <f aca="false">QY27</f>
        <v>0</v>
      </c>
      <c r="BD28" s="20" t="n">
        <f aca="false">BA28*MIN(Slot4_Cost,BC28)</f>
        <v>0</v>
      </c>
      <c r="BE28" s="20" t="n">
        <f aca="false">BA28*Slot4_SpendLike*MIN(Slot4_Cost-BD28,AW28)</f>
        <v>0</v>
      </c>
      <c r="BF28" s="20" t="n">
        <f aca="false">BD28+BE28</f>
        <v>0</v>
      </c>
      <c r="BG28" s="20" t="n">
        <f aca="false">AW28-BE28+BA28*IF(Slot4_SpendLike=1,BC28-BD28,IF(Slot4_PotFree=1,BC28,0))</f>
        <v>44147.9327183156</v>
      </c>
      <c r="BH28" s="20" t="n">
        <f aca="false">AX28+BA28*Slot4_BufPot*BC28</f>
        <v>13610.2940914638</v>
      </c>
      <c r="BI28" s="20" t="n">
        <f aca="false">IF(AND(BA28=1,Slot4_IsMfree=1),IF(BF28&gt;=Slot4_Cost-1,0,MAX(0,AY28-BF28)),AY28)</f>
        <v>0</v>
      </c>
      <c r="BJ28" s="20" t="n">
        <f aca="false">BA28*(Slot4_Cost-BF28)</f>
        <v>0</v>
      </c>
      <c r="BK28" s="20" t="n">
        <f aca="false">IF(AND(Slot5_On=1,D28=Slot5_Age),1,0)</f>
        <v>0</v>
      </c>
      <c r="BL28" s="20" t="n">
        <f aca="false">IF(AND(Slot5_On=1,Slot5_Age&gt;D28),1,0)</f>
        <v>0</v>
      </c>
      <c r="BM28" s="20" t="n">
        <f aca="false">RC27</f>
        <v>0</v>
      </c>
      <c r="BN28" s="20" t="n">
        <f aca="false">BK28*MIN(Slot5_Cost,BM28)</f>
        <v>0</v>
      </c>
      <c r="BO28" s="20" t="n">
        <f aca="false">BK28*Slot5_SpendLike*MIN(Slot5_Cost-BN28,BG28)</f>
        <v>0</v>
      </c>
      <c r="BP28" s="20" t="n">
        <f aca="false">BN28+BO28</f>
        <v>0</v>
      </c>
      <c r="BQ28" s="20" t="n">
        <f aca="false">BG28-BO28+BK28*IF(Slot5_SpendLike=1,BM28-BN28,IF(Slot5_PotFree=1,BM28,0))</f>
        <v>44147.9327183156</v>
      </c>
      <c r="BR28" s="20" t="n">
        <f aca="false">BH28+BK28*Slot5_BufPot*BM28</f>
        <v>13610.2940914638</v>
      </c>
      <c r="BS28" s="20" t="n">
        <f aca="false">IF(AND(BK28=1,Slot5_IsMfree=1),IF(BP28&gt;=Slot5_Cost-1,0,MAX(0,BI28-BP28)),BI28)</f>
        <v>0</v>
      </c>
      <c r="BT28" s="20" t="n">
        <f aca="false">BK28*(Slot5_Cost-BP28)</f>
        <v>0</v>
      </c>
      <c r="BU28" s="20" t="n">
        <f aca="false">IF(AND(Slot6_On=1,D28=Slot6_Age),1,0)</f>
        <v>0</v>
      </c>
      <c r="BV28" s="20" t="n">
        <f aca="false">IF(AND(Slot6_On=1,Slot6_Age&gt;D28),1,0)</f>
        <v>0</v>
      </c>
      <c r="BW28" s="20" t="n">
        <f aca="false">RG27</f>
        <v>0</v>
      </c>
      <c r="BX28" s="20" t="n">
        <f aca="false">BU28*MIN(Slot6_Cost,BW28)</f>
        <v>0</v>
      </c>
      <c r="BY28" s="20" t="n">
        <f aca="false">BU28*Slot6_SpendLike*MIN(Slot6_Cost-BX28,BQ28)</f>
        <v>0</v>
      </c>
      <c r="BZ28" s="20" t="n">
        <f aca="false">BX28+BY28</f>
        <v>0</v>
      </c>
      <c r="CA28" s="20" t="n">
        <f aca="false">BQ28-BY28+BU28*IF(Slot6_SpendLike=1,BW28-BX28,IF(Slot6_PotFree=1,BW28,0))</f>
        <v>44147.9327183156</v>
      </c>
      <c r="CB28" s="20" t="n">
        <f aca="false">BR28+BU28*Slot6_BufPot*BW28</f>
        <v>13610.2940914638</v>
      </c>
      <c r="CC28" s="20" t="n">
        <f aca="false">IF(AND(BU28=1,Slot6_IsMfree=1),IF(BZ28&gt;=Slot6_Cost-1,0,MAX(0,BS28-BZ28)),BS28)</f>
        <v>0</v>
      </c>
      <c r="CD28" s="20" t="n">
        <f aca="false">BU28*(Slot6_Cost-BZ28)</f>
        <v>0</v>
      </c>
      <c r="CE28" s="20" t="n">
        <f aca="false">IF(AND(Slot7_On=1,D28=Slot7_Age),1,0)</f>
        <v>0</v>
      </c>
      <c r="CF28" s="20" t="n">
        <f aca="false">IF(AND(Slot7_On=1,Slot7_Age&gt;D28),1,0)</f>
        <v>0</v>
      </c>
      <c r="CG28" s="20" t="n">
        <f aca="false">RK27</f>
        <v>0</v>
      </c>
      <c r="CH28" s="20" t="n">
        <f aca="false">CE28*MIN(Slot7_Cost,CG28)</f>
        <v>0</v>
      </c>
      <c r="CI28" s="20" t="n">
        <f aca="false">CE28*Slot7_SpendLike*MIN(Slot7_Cost-CH28,CA28)</f>
        <v>0</v>
      </c>
      <c r="CJ28" s="20" t="n">
        <f aca="false">CH28+CI28</f>
        <v>0</v>
      </c>
      <c r="CK28" s="20" t="n">
        <f aca="false">CA28-CI28+CE28*IF(Slot7_SpendLike=1,CG28-CH28,IF(Slot7_PotFree=1,CG28,0))</f>
        <v>44147.9327183156</v>
      </c>
      <c r="CL28" s="20" t="n">
        <f aca="false">CB28+CE28*Slot7_BufPot*CG28</f>
        <v>13610.2940914638</v>
      </c>
      <c r="CM28" s="20" t="n">
        <f aca="false">IF(AND(CE28=1,Slot7_IsMfree=1),IF(CJ28&gt;=Slot7_Cost-1,0,MAX(0,CC28-CJ28)),CC28)</f>
        <v>0</v>
      </c>
      <c r="CN28" s="20" t="n">
        <f aca="false">CE28*(Slot7_Cost-CJ28)</f>
        <v>0</v>
      </c>
      <c r="CO28" s="20" t="n">
        <f aca="false">IF(AND(Slot8_On=1,D28=Slot8_Age),1,0)</f>
        <v>0</v>
      </c>
      <c r="CP28" s="20" t="n">
        <f aca="false">IF(AND(Slot8_On=1,Slot8_Age&gt;D28),1,0)</f>
        <v>0</v>
      </c>
      <c r="CQ28" s="20" t="n">
        <f aca="false">RO27</f>
        <v>0</v>
      </c>
      <c r="CR28" s="20" t="n">
        <f aca="false">CO28*MIN(Slot8_Cost,CQ28)</f>
        <v>0</v>
      </c>
      <c r="CS28" s="20" t="n">
        <f aca="false">CO28*Slot8_SpendLike*MIN(Slot8_Cost-CR28,CK28)</f>
        <v>0</v>
      </c>
      <c r="CT28" s="20" t="n">
        <f aca="false">CR28+CS28</f>
        <v>0</v>
      </c>
      <c r="CU28" s="20" t="n">
        <f aca="false">CK28-CS28+CO28*IF(Slot8_SpendLike=1,CQ28-CR28,IF(Slot8_PotFree=1,CQ28,0))</f>
        <v>44147.9327183156</v>
      </c>
      <c r="CV28" s="20" t="n">
        <f aca="false">CL28+CO28*Slot8_BufPot*CQ28</f>
        <v>13610.2940914638</v>
      </c>
      <c r="CW28" s="20" t="n">
        <f aca="false">IF(AND(CO28=1,Slot8_IsMfree=1),IF(CT28&gt;=Slot8_Cost-1,0,MAX(0,CM28-CT28)),CM28)</f>
        <v>0</v>
      </c>
      <c r="CX28" s="20" t="n">
        <f aca="false">CO28*(Slot8_Cost-CT28)</f>
        <v>0</v>
      </c>
      <c r="CY28" s="20" t="n">
        <f aca="false">IF(AND(Slot9_On=1,D28=Slot9_Age),1,0)</f>
        <v>0</v>
      </c>
      <c r="CZ28" s="20" t="n">
        <f aca="false">IF(AND(Slot9_On=1,Slot9_Age&gt;D28),1,0)</f>
        <v>0</v>
      </c>
      <c r="DA28" s="20" t="n">
        <f aca="false">RS27</f>
        <v>0</v>
      </c>
      <c r="DB28" s="20" t="n">
        <f aca="false">CY28*MIN(Slot9_Cost,DA28)</f>
        <v>0</v>
      </c>
      <c r="DC28" s="20" t="n">
        <f aca="false">CY28*Slot9_SpendLike*MIN(Slot9_Cost-DB28,CU28)</f>
        <v>0</v>
      </c>
      <c r="DD28" s="20" t="n">
        <f aca="false">DB28+DC28</f>
        <v>0</v>
      </c>
      <c r="DE28" s="20" t="n">
        <f aca="false">CU28-DC28+CY28*IF(Slot9_SpendLike=1,DA28-DB28,IF(Slot9_PotFree=1,DA28,0))</f>
        <v>44147.9327183156</v>
      </c>
      <c r="DF28" s="20" t="n">
        <f aca="false">CV28+CY28*Slot9_BufPot*DA28</f>
        <v>13610.2940914638</v>
      </c>
      <c r="DG28" s="20" t="n">
        <f aca="false">IF(AND(CY28=1,Slot9_IsMfree=1),IF(DD28&gt;=Slot9_Cost-1,0,MAX(0,CW28-DD28)),CW28)</f>
        <v>0</v>
      </c>
      <c r="DH28" s="20" t="n">
        <f aca="false">CY28*(Slot9_Cost-DD28)</f>
        <v>0</v>
      </c>
      <c r="DI28" s="20" t="n">
        <f aca="false">IF(AND(Slot10_On=1,D28=Slot10_Age),1,0)</f>
        <v>0</v>
      </c>
      <c r="DJ28" s="20" t="n">
        <f aca="false">IF(AND(Slot10_On=1,Slot10_Age&gt;D28),1,0)</f>
        <v>0</v>
      </c>
      <c r="DK28" s="20" t="n">
        <f aca="false">RW27</f>
        <v>0</v>
      </c>
      <c r="DL28" s="20" t="n">
        <f aca="false">DI28*MIN(Slot10_Cost,DK28)</f>
        <v>0</v>
      </c>
      <c r="DM28" s="20" t="n">
        <f aca="false">DI28*Slot10_SpendLike*MIN(Slot10_Cost-DL28,DE28)</f>
        <v>0</v>
      </c>
      <c r="DN28" s="20" t="n">
        <f aca="false">DL28+DM28</f>
        <v>0</v>
      </c>
      <c r="DO28" s="20" t="n">
        <f aca="false">DE28-DM28+DI28*IF(Slot10_SpendLike=1,DK28-DL28,IF(Slot10_PotFree=1,DK28,0))</f>
        <v>44147.9327183156</v>
      </c>
      <c r="DP28" s="20" t="n">
        <f aca="false">DF28+DI28*Slot10_BufPot*DK28</f>
        <v>13610.2940914638</v>
      </c>
      <c r="DQ28" s="20" t="n">
        <f aca="false">IF(AND(DI28=1,Slot10_IsMfree=1),IF(DN28&gt;=Slot10_Cost-1,0,MAX(0,DG28-DN28)),DG28)</f>
        <v>0</v>
      </c>
      <c r="DR28" s="20" t="n">
        <f aca="false">DI28*(Slot10_Cost-DN28)</f>
        <v>0</v>
      </c>
      <c r="DS28" s="20" t="n">
        <f aca="false">IF(AND(Slot11_On=1,D28=Slot11_Age),1,0)</f>
        <v>0</v>
      </c>
      <c r="DT28" s="20" t="n">
        <f aca="false">IF(AND(Slot11_On=1,Slot11_Age&gt;D28),1,0)</f>
        <v>0</v>
      </c>
      <c r="DU28" s="20" t="n">
        <f aca="false">SA27</f>
        <v>0</v>
      </c>
      <c r="DV28" s="20" t="n">
        <f aca="false">DS28*MIN(Slot11_Cost,DU28)</f>
        <v>0</v>
      </c>
      <c r="DW28" s="20" t="n">
        <f aca="false">DS28*Slot11_SpendLike*MIN(Slot11_Cost-DV28,DO28)</f>
        <v>0</v>
      </c>
      <c r="DX28" s="20" t="n">
        <f aca="false">DV28+DW28</f>
        <v>0</v>
      </c>
      <c r="DY28" s="20" t="n">
        <f aca="false">DO28-DW28+DS28*IF(Slot11_SpendLike=1,DU28-DV28,IF(Slot11_PotFree=1,DU28,0))</f>
        <v>44147.9327183156</v>
      </c>
      <c r="DZ28" s="20" t="n">
        <f aca="false">DP28+DS28*Slot11_BufPot*DU28</f>
        <v>13610.2940914638</v>
      </c>
      <c r="EA28" s="20" t="n">
        <f aca="false">IF(AND(DS28=1,Slot11_IsMfree=1),IF(DX28&gt;=Slot11_Cost-1,0,MAX(0,DQ28-DX28)),DQ28)</f>
        <v>0</v>
      </c>
      <c r="EB28" s="20" t="n">
        <f aca="false">DS28*(Slot11_Cost-DX28)</f>
        <v>0</v>
      </c>
      <c r="EC28" s="20" t="n">
        <f aca="false">IF(AND(Slot12_On=1,D28=Slot12_Age),1,0)</f>
        <v>0</v>
      </c>
      <c r="ED28" s="20" t="n">
        <f aca="false">IF(AND(Slot12_On=1,Slot12_Age&gt;D28),1,0)</f>
        <v>0</v>
      </c>
      <c r="EE28" s="20" t="n">
        <f aca="false">SE27</f>
        <v>0</v>
      </c>
      <c r="EF28" s="20" t="n">
        <f aca="false">EC28*MIN(Slot12_Cost,EE28)</f>
        <v>0</v>
      </c>
      <c r="EG28" s="20" t="n">
        <f aca="false">EC28*Slot12_SpendLike*MIN(Slot12_Cost-EF28,DY28)</f>
        <v>0</v>
      </c>
      <c r="EH28" s="20" t="n">
        <f aca="false">EF28+EG28</f>
        <v>0</v>
      </c>
      <c r="EI28" s="20" t="n">
        <f aca="false">DY28-EG28+EC28*IF(Slot12_SpendLike=1,EE28-EF28,IF(Slot12_PotFree=1,EE28,0))</f>
        <v>44147.9327183156</v>
      </c>
      <c r="EJ28" s="20" t="n">
        <f aca="false">DZ28+EC28*Slot12_BufPot*EE28</f>
        <v>13610.2940914638</v>
      </c>
      <c r="EK28" s="20" t="n">
        <f aca="false">IF(AND(EC28=1,Slot12_IsMfree=1),IF(EH28&gt;=Slot12_Cost-1,0,MAX(0,EA28-EH28)),EA28)</f>
        <v>0</v>
      </c>
      <c r="EL28" s="20" t="n">
        <f aca="false">EC28*(Slot12_Cost-EH28)</f>
        <v>0</v>
      </c>
      <c r="EM28" s="20" t="n">
        <f aca="false">IF(AND(Slot13_On=1,D28=Slot13_Age),1,0)</f>
        <v>0</v>
      </c>
      <c r="EN28" s="20" t="n">
        <f aca="false">IF(AND(Slot13_On=1,Slot13_Age&gt;D28),1,0)</f>
        <v>0</v>
      </c>
      <c r="EO28" s="20" t="n">
        <f aca="false">SI27</f>
        <v>0</v>
      </c>
      <c r="EP28" s="20" t="n">
        <f aca="false">EM28*MIN(Slot13_Cost,EO28)</f>
        <v>0</v>
      </c>
      <c r="EQ28" s="20" t="n">
        <f aca="false">EM28*Slot13_SpendLike*MIN(Slot13_Cost-EP28,EI28)</f>
        <v>0</v>
      </c>
      <c r="ER28" s="20" t="n">
        <f aca="false">EP28+EQ28</f>
        <v>0</v>
      </c>
      <c r="ES28" s="20" t="n">
        <f aca="false">EI28-EQ28+EM28*IF(Slot13_SpendLike=1,EO28-EP28,IF(Slot13_PotFree=1,EO28,0))</f>
        <v>44147.9327183156</v>
      </c>
      <c r="ET28" s="20" t="n">
        <f aca="false">EJ28+EM28*Slot13_BufPot*EO28</f>
        <v>13610.2940914638</v>
      </c>
      <c r="EU28" s="20" t="n">
        <f aca="false">IF(AND(EM28=1,Slot13_IsMfree=1),IF(ER28&gt;=Slot13_Cost-1,0,MAX(0,EK28-ER28)),EK28)</f>
        <v>0</v>
      </c>
      <c r="EV28" s="20" t="n">
        <f aca="false">EM28*(Slot13_Cost-ER28)</f>
        <v>0</v>
      </c>
      <c r="EW28" s="20" t="n">
        <f aca="false">IF(AND(Slot14_On=1,D28=Slot14_Age),1,0)</f>
        <v>0</v>
      </c>
      <c r="EX28" s="20" t="n">
        <f aca="false">IF(AND(Slot14_On=1,Slot14_Age&gt;D28),1,0)</f>
        <v>0</v>
      </c>
      <c r="EY28" s="20" t="n">
        <f aca="false">SM27</f>
        <v>0</v>
      </c>
      <c r="EZ28" s="20" t="n">
        <f aca="false">EW28*MIN(Slot14_Cost,EY28)</f>
        <v>0</v>
      </c>
      <c r="FA28" s="20" t="n">
        <f aca="false">EW28*Slot14_SpendLike*MIN(Slot14_Cost-EZ28,ES28)</f>
        <v>0</v>
      </c>
      <c r="FB28" s="20" t="n">
        <f aca="false">EZ28+FA28</f>
        <v>0</v>
      </c>
      <c r="FC28" s="20" t="n">
        <f aca="false">ES28-FA28+EW28*IF(Slot14_SpendLike=1,EY28-EZ28,IF(Slot14_PotFree=1,EY28,0))</f>
        <v>44147.9327183156</v>
      </c>
      <c r="FD28" s="20" t="n">
        <f aca="false">ET28+EW28*Slot14_BufPot*EY28</f>
        <v>13610.2940914638</v>
      </c>
      <c r="FE28" s="20" t="n">
        <f aca="false">IF(AND(EW28=1,Slot14_IsMfree=1),IF(FB28&gt;=Slot14_Cost-1,0,MAX(0,EU28-FB28)),EU28)</f>
        <v>0</v>
      </c>
      <c r="FF28" s="20" t="n">
        <f aca="false">EW28*(Slot14_Cost-FB28)</f>
        <v>0</v>
      </c>
      <c r="FG28" s="20" t="n">
        <f aca="false">IF(AND(Slot15_On=1,D28=Slot15_Age),1,0)</f>
        <v>0</v>
      </c>
      <c r="FH28" s="20" t="n">
        <f aca="false">IF(AND(Slot15_On=1,Slot15_Age&gt;D28),1,0)</f>
        <v>0</v>
      </c>
      <c r="FI28" s="20" t="n">
        <f aca="false">SQ27</f>
        <v>0</v>
      </c>
      <c r="FJ28" s="20" t="n">
        <f aca="false">FG28*MIN(Slot15_Cost,FI28)</f>
        <v>0</v>
      </c>
      <c r="FK28" s="20" t="n">
        <f aca="false">FG28*Slot15_SpendLike*MIN(Slot15_Cost-FJ28,FC28)</f>
        <v>0</v>
      </c>
      <c r="FL28" s="20" t="n">
        <f aca="false">FJ28+FK28</f>
        <v>0</v>
      </c>
      <c r="FM28" s="20" t="n">
        <f aca="false">FC28-FK28+FG28*IF(Slot15_SpendLike=1,FI28-FJ28,IF(Slot15_PotFree=1,FI28,0))</f>
        <v>44147.9327183156</v>
      </c>
      <c r="FN28" s="20" t="n">
        <f aca="false">FD28+FG28*Slot15_BufPot*FI28</f>
        <v>13610.2940914638</v>
      </c>
      <c r="FO28" s="20" t="n">
        <f aca="false">IF(AND(FG28=1,Slot15_IsMfree=1),IF(FL28&gt;=Slot15_Cost-1,0,MAX(0,FE28-FL28)),FE28)</f>
        <v>0</v>
      </c>
      <c r="FP28" s="20" t="n">
        <f aca="false">FG28*(Slot15_Cost-FL28)</f>
        <v>0</v>
      </c>
      <c r="FQ28" s="20" t="n">
        <f aca="false">IF(AND(Slot16_On=1,D28=Slot16_Age),1,0)</f>
        <v>0</v>
      </c>
      <c r="FR28" s="20" t="n">
        <f aca="false">IF(AND(Slot16_On=1,Slot16_Age&gt;D28),1,0)</f>
        <v>0</v>
      </c>
      <c r="FS28" s="20" t="n">
        <f aca="false">SU27</f>
        <v>0</v>
      </c>
      <c r="FT28" s="20" t="n">
        <f aca="false">FQ28*MIN(Slot16_Cost,FS28)</f>
        <v>0</v>
      </c>
      <c r="FU28" s="20" t="n">
        <f aca="false">FQ28*Slot16_SpendLike*MIN(Slot16_Cost-FT28,FM28)</f>
        <v>0</v>
      </c>
      <c r="FV28" s="20" t="n">
        <f aca="false">FT28+FU28</f>
        <v>0</v>
      </c>
      <c r="FW28" s="20" t="n">
        <f aca="false">FM28-FU28+FQ28*IF(Slot16_SpendLike=1,FS28-FT28,IF(Slot16_PotFree=1,FS28,0))</f>
        <v>44147.9327183156</v>
      </c>
      <c r="FX28" s="20" t="n">
        <f aca="false">FN28+FQ28*Slot16_BufPot*FS28</f>
        <v>13610.2940914638</v>
      </c>
      <c r="FY28" s="20" t="n">
        <f aca="false">IF(AND(FQ28=1,Slot16_IsMfree=1),IF(FV28&gt;=Slot16_Cost-1,0,MAX(0,FO28-FV28)),FO28)</f>
        <v>0</v>
      </c>
      <c r="FZ28" s="20" t="n">
        <f aca="false">FQ28*(Slot16_Cost-FV28)</f>
        <v>0</v>
      </c>
      <c r="GA28" s="20" t="n">
        <f aca="false">IF(AND(Slot17_On=1,D28=Slot17_Age),1,0)</f>
        <v>0</v>
      </c>
      <c r="GB28" s="20" t="n">
        <f aca="false">IF(AND(Slot17_On=1,Slot17_Age&gt;D28),1,0)</f>
        <v>0</v>
      </c>
      <c r="GC28" s="20" t="n">
        <f aca="false">SY27</f>
        <v>0</v>
      </c>
      <c r="GD28" s="20" t="n">
        <f aca="false">GA28*MIN(Slot17_Cost,GC28)</f>
        <v>0</v>
      </c>
      <c r="GE28" s="20" t="n">
        <f aca="false">GA28*Slot17_SpendLike*MIN(Slot17_Cost-GD28,FW28)</f>
        <v>0</v>
      </c>
      <c r="GF28" s="20" t="n">
        <f aca="false">GD28+GE28</f>
        <v>0</v>
      </c>
      <c r="GG28" s="20" t="n">
        <f aca="false">FW28-GE28+GA28*IF(Slot17_SpendLike=1,GC28-GD28,IF(Slot17_PotFree=1,GC28,0))</f>
        <v>44147.9327183156</v>
      </c>
      <c r="GH28" s="20" t="n">
        <f aca="false">FX28+GA28*Slot17_BufPot*GC28</f>
        <v>13610.2940914638</v>
      </c>
      <c r="GI28" s="20" t="n">
        <f aca="false">IF(AND(GA28=1,Slot17_IsMfree=1),IF(GF28&gt;=Slot17_Cost-1,0,MAX(0,FY28-GF28)),FY28)</f>
        <v>0</v>
      </c>
      <c r="GJ28" s="20" t="n">
        <f aca="false">GA28*(Slot17_Cost-GF28)</f>
        <v>0</v>
      </c>
      <c r="GK28" s="20" t="n">
        <f aca="false">IF(AND(Slot18_On=1,D28=Slot18_Age),1,0)</f>
        <v>0</v>
      </c>
      <c r="GL28" s="20" t="n">
        <f aca="false">IF(AND(Slot18_On=1,Slot18_Age&gt;D28),1,0)</f>
        <v>0</v>
      </c>
      <c r="GM28" s="20" t="n">
        <f aca="false">TC27</f>
        <v>0</v>
      </c>
      <c r="GN28" s="20" t="n">
        <f aca="false">GK28*MIN(Slot18_Cost,GM28)</f>
        <v>0</v>
      </c>
      <c r="GO28" s="20" t="n">
        <f aca="false">GK28*Slot18_SpendLike*MIN(Slot18_Cost-GN28,GG28)</f>
        <v>0</v>
      </c>
      <c r="GP28" s="20" t="n">
        <f aca="false">GN28+GO28</f>
        <v>0</v>
      </c>
      <c r="GQ28" s="20" t="n">
        <f aca="false">GG28-GO28+GK28*IF(Slot18_SpendLike=1,GM28-GN28,IF(Slot18_PotFree=1,GM28,0))</f>
        <v>44147.9327183156</v>
      </c>
      <c r="GR28" s="20" t="n">
        <f aca="false">GH28+GK28*Slot18_BufPot*GM28</f>
        <v>13610.2940914638</v>
      </c>
      <c r="GS28" s="20" t="n">
        <f aca="false">IF(AND(GK28=1,Slot18_IsMfree=1),IF(GP28&gt;=Slot18_Cost-1,0,MAX(0,GI28-GP28)),GI28)</f>
        <v>0</v>
      </c>
      <c r="GT28" s="20" t="n">
        <f aca="false">GK28*(Slot18_Cost-GP28)</f>
        <v>0</v>
      </c>
      <c r="GU28" s="20" t="n">
        <f aca="false">IF(AND(Slot19_On=1,D28=Slot19_Age),1,0)</f>
        <v>0</v>
      </c>
      <c r="GV28" s="20" t="n">
        <f aca="false">IF(AND(Slot19_On=1,Slot19_Age&gt;D28),1,0)</f>
        <v>0</v>
      </c>
      <c r="GW28" s="20" t="n">
        <f aca="false">TG27</f>
        <v>0</v>
      </c>
      <c r="GX28" s="20" t="n">
        <f aca="false">GU28*MIN(Slot19_Cost,GW28)</f>
        <v>0</v>
      </c>
      <c r="GY28" s="20" t="n">
        <f aca="false">GU28*Slot19_SpendLike*MIN(Slot19_Cost-GX28,GQ28)</f>
        <v>0</v>
      </c>
      <c r="GZ28" s="20" t="n">
        <f aca="false">GX28+GY28</f>
        <v>0</v>
      </c>
      <c r="HA28" s="20" t="n">
        <f aca="false">GQ28-GY28+GU28*IF(Slot19_SpendLike=1,GW28-GX28,IF(Slot19_PotFree=1,GW28,0))</f>
        <v>44147.9327183156</v>
      </c>
      <c r="HB28" s="20" t="n">
        <f aca="false">GR28+GU28*Slot19_BufPot*GW28</f>
        <v>13610.2940914638</v>
      </c>
      <c r="HC28" s="20" t="n">
        <f aca="false">IF(AND(GU28=1,Slot19_IsMfree=1),IF(GZ28&gt;=Slot19_Cost-1,0,MAX(0,GS28-GZ28)),GS28)</f>
        <v>0</v>
      </c>
      <c r="HD28" s="20" t="n">
        <f aca="false">GU28*(Slot19_Cost-GZ28)</f>
        <v>0</v>
      </c>
      <c r="HE28" s="20" t="n">
        <f aca="false">IF(AND(Slot20_On=1,D28=Slot20_Age),1,0)</f>
        <v>0</v>
      </c>
      <c r="HF28" s="20" t="n">
        <f aca="false">IF(AND(Slot20_On=1,Slot20_Age&gt;D28),1,0)</f>
        <v>0</v>
      </c>
      <c r="HG28" s="20" t="n">
        <f aca="false">TK27</f>
        <v>0</v>
      </c>
      <c r="HH28" s="20" t="n">
        <f aca="false">HE28*MIN(Slot20_Cost,HG28)</f>
        <v>0</v>
      </c>
      <c r="HI28" s="20" t="n">
        <f aca="false">HE28*Slot20_SpendLike*MIN(Slot20_Cost-HH28,HA28)</f>
        <v>0</v>
      </c>
      <c r="HJ28" s="20" t="n">
        <f aca="false">HH28+HI28</f>
        <v>0</v>
      </c>
      <c r="HK28" s="20" t="n">
        <f aca="false">HA28-HI28+HE28*IF(Slot20_SpendLike=1,HG28-HH28,IF(Slot20_PotFree=1,HG28,0))</f>
        <v>44147.9327183156</v>
      </c>
      <c r="HL28" s="20" t="n">
        <f aca="false">HB28+HE28*Slot20_BufPot*HG28</f>
        <v>13610.2940914638</v>
      </c>
      <c r="HM28" s="20" t="n">
        <f aca="false">IF(AND(HE28=1,Slot20_IsMfree=1),IF(HJ28&gt;=Slot20_Cost-1,0,MAX(0,HC28-HJ28)),HC28)</f>
        <v>0</v>
      </c>
      <c r="HN28" s="20" t="n">
        <f aca="false">HE28*(Slot20_Cost-HJ28)</f>
        <v>0</v>
      </c>
      <c r="HO28" s="20" t="n">
        <f aca="false">V28*Slot1_SpendLike*AA28+AG28*Slot2_SpendLike*AL28+AQ28*Slot3_SpendLike*AV28+BA28*Slot4_SpendLike*BF28+BK28*Slot5_SpendLike*BP28+BU28*Slot6_SpendLike*BZ28+CE28*Slot7_SpendLike*CJ28+CO28*Slot8_SpendLike*CT28+CY28*Slot9_SpendLike*DD28+DI28*Slot10_SpendLike*DN28+DS28*Slot11_SpendLike*DX28+EC28*Slot12_SpendLike*EH28+EM28*Slot13_SpendLike*ER28+EW28*Slot14_SpendLike*FB28+FG28*Slot15_SpendLike*FL28+FQ28*Slot16_SpendLike*FV28+GA28*Slot17_SpendLike*GF28+GK28*Slot18_SpendLike*GP28+GU28*Slot19_SpendLike*GZ28+HE28*Slot20_SpendLike*HJ28</f>
        <v>0</v>
      </c>
      <c r="HP28" s="20" t="n">
        <f aca="false">AE28+AP28+AZ28+BJ28+BT28+CD28+CN28+CX28+DH28+DR28+EB28+EL28+EV28+FF28+FP28+FZ28+GJ28+GT28+HD28+HN28</f>
        <v>0</v>
      </c>
      <c r="HQ28" s="20" t="n">
        <f aca="false">V28*Slot1_Cost+AG28*Slot2_Cost+AQ28*Slot3_Cost+BA28*Slot4_Cost+BK28*Slot5_Cost+BU28*Slot6_Cost+CE28*Slot7_Cost+CO28*Slot8_Cost+CY28*Slot9_Cost+DI28*Slot10_Cost+DS28*Slot11_Cost+EC28*Slot12_Cost+EM28*Slot13_Cost+EW28*Slot14_Cost+FG28*Slot15_Cost+FQ28*Slot16_Cost+GA28*Slot17_Cost+GK28*Slot18_Cost+GU28*Slot19_Cost+HE28*Slot20_Cost</f>
        <v>0</v>
      </c>
      <c r="HR28" s="20" t="n">
        <f aca="false">HM28</f>
        <v>0</v>
      </c>
      <c r="HS28" s="20" t="n">
        <f aca="false">H28-I28-S28</f>
        <v>39555.4764607649</v>
      </c>
      <c r="HT28" s="20" t="n">
        <f aca="false">IF(B28=0,IF(AND(Has_q6=1,In_q6=4),PR_ShareVaries*(MAX(0,HS28)/12),MIN(IF(Has_q6=1,CHOOSE(In_q6+1,PR_SaveB1,PR_SaveB2,PR_SaveB3,PR_SaveB4,0),AS_NoAnswer),AS_SaveShare*(MAX(0,HS28)/12))),HT27)</f>
        <v>67.3316893520437</v>
      </c>
      <c r="HU28" s="20" t="n">
        <f aca="false">IF(HS28&gt;=0,1,0)</f>
        <v>1</v>
      </c>
      <c r="HV28" s="20" t="n">
        <f aca="false">MAX(0,HS28/12/F28)</f>
        <v>2218.30847712711</v>
      </c>
      <c r="HW28" s="20" t="n">
        <f aca="false">IF(AND(Has_q6=1,In_q6=4),PR_ShareVaries*(HV28),MIN(IF(Has_q6=1,CHOOSE(In_q6+1,PR_SaveB1,PR_SaveB2,PR_SaveB3,PR_SaveB4,0),AS_NoAnswer),AS_SaveShare*(HV28)))</f>
        <v>500</v>
      </c>
      <c r="HX28" s="20" t="n">
        <f aca="false">IF(Has_saveM=1,IF(In_saveUp="Yes",1,IF(In_saveUp="No",0,IF(In_saveM&gt;=HT28-0.5,1,0))),0)</f>
        <v>0</v>
      </c>
      <c r="HY28" s="20" t="n">
        <f aca="false">IF(Has_saveM=1,MIN(HV28,IF(HX28=1,MAX(In_saveM,HW28),MIN(In_saveM,HW28))),HW28)</f>
        <v>500</v>
      </c>
      <c r="HZ28" s="20" t="n">
        <f aca="false">IF(G28=1,HY28*12*F28,0)</f>
        <v>8915.68437587013</v>
      </c>
      <c r="IA28" s="20" t="n">
        <f aca="false">MAX(0,HZ28+IF(AND(WI_Retire=0,WI_M&lt;0,G28=1),WI_M*12*F28,0))</f>
        <v>8915.68437587013</v>
      </c>
      <c r="IB28" s="20" t="n">
        <f aca="false">Slot1_IsWG*W28+Slot2_IsWG*AH28+Slot3_IsWG*AR28+Slot4_IsWG*BB28+Slot5_IsWG*BL28+Slot6_IsWG*BV28+Slot7_IsWG*CF28+Slot8_IsWG*CP28+Slot9_IsWG*CZ28+Slot10_IsWG*DJ28+Slot11_IsWG*DT28+Slot12_IsWG*ED28+Slot13_IsWG*EN28+Slot14_IsWG*EX28+Slot15_IsWG*FH28+Slot16_IsWG*FR28+Slot17_IsWG*GB28+Slot18_IsWG*GL28+Slot19_IsWG*GV28+Slot20_IsWG*HF28</f>
        <v>0</v>
      </c>
      <c r="IC28" s="20" t="n">
        <f aca="false">IF(AND(WI_Retire=0,WI_M&gt;0,G28=1,IB28&gt;=1),WI_M*12*F28,0)</f>
        <v>0</v>
      </c>
      <c r="ID28" s="20" t="n">
        <f aca="false">IF(HU28=1,MIN(IA28,HS28),0)</f>
        <v>8915.68437587013</v>
      </c>
      <c r="IE28" s="20" t="n">
        <f aca="false">IF(HU28=1,MIN(IC28,HS28-ID28),0)</f>
        <v>0</v>
      </c>
      <c r="IF28" s="20" t="n">
        <f aca="false">IF(W28=1,IF(ABS((1+AS_Wage)/(1+Slot1_Rate)-1)&lt;0.000000000001,(Slot1_Age-D28)*(1+Slot1_Rate)^(Slot1_Age-D28),(1+Slot1_Rate)^(Slot1_Age-D28)*(1-((1+AS_Wage)/(1+Slot1_Rate))^(Slot1_Age-D28))/(1-(1+AS_Wage)/(1+Slot1_Rate))),1)</f>
        <v>1</v>
      </c>
      <c r="IG28" s="20" t="n">
        <f aca="false">IF(AND(HU28=1,IE28&gt;0,Slot1_IsWG=1,W28=1),MAX(0,(Slot1_Cost-X28*(1+Slot1_Rate)^(Slot1_Age-D28))/IF28),0)</f>
        <v>0</v>
      </c>
      <c r="IH28" s="20" t="n">
        <f aca="false">IF(AND(HU28=1,IE28&gt;0,Slot1_IsWG=1,W28=1),MIN(IE28,IG28),0)</f>
        <v>0</v>
      </c>
      <c r="II28" s="20" t="n">
        <f aca="false">X28+IH28</f>
        <v>0</v>
      </c>
      <c r="IJ28" s="20" t="n">
        <f aca="false">IF(W28=1,MAX(0,(Slot1_Cost-II28*(1+Slot1_Rate)^(Slot1_Age-D28))/IF28),0)</f>
        <v>0</v>
      </c>
      <c r="IK28" s="20" t="n">
        <f aca="false">IF(W28=1,MAX(0,(Slot1_Cost-X28*(1+Slot1_Rate)^(Slot1_Age-D28))/IF28),0)</f>
        <v>0</v>
      </c>
      <c r="IL28" s="20" t="n">
        <f aca="false">IF(AND(HU28=1,W28=1),MIN(ID28,IJ28),0)</f>
        <v>0</v>
      </c>
      <c r="IM28" s="20" t="n">
        <f aca="false">ID28-IL28</f>
        <v>8915.68437587013</v>
      </c>
      <c r="IN28" s="20" t="n">
        <f aca="false">IF(AH28=1,IF(ABS((1+AS_Wage)/(1+Slot2_Rate)-1)&lt;0.000000000001,(Slot2_Age-D28)*(1+Slot2_Rate)^(Slot2_Age-D28),(1+Slot2_Rate)^(Slot2_Age-D28)*(1-((1+AS_Wage)/(1+Slot2_Rate))^(Slot2_Age-D28))/(1-(1+AS_Wage)/(1+Slot2_Rate))),1)</f>
        <v>1</v>
      </c>
      <c r="IO28" s="20" t="n">
        <f aca="false">IF(AND(HU28=1,IE28&gt;0,Slot2_IsWG=1,AH28=1),MAX(0,(Slot2_Cost-AI28*(1+Slot2_Rate)^(Slot2_Age-D28))/IN28),0)</f>
        <v>0</v>
      </c>
      <c r="IP28" s="20" t="n">
        <f aca="false">IF(AND(HU28=1,IE28&gt;0,Slot2_IsWG=1,AH28=1),MIN(IE28,IO28),0)</f>
        <v>0</v>
      </c>
      <c r="IQ28" s="20" t="n">
        <f aca="false">AI28+IP28</f>
        <v>0</v>
      </c>
      <c r="IR28" s="20" t="n">
        <f aca="false">IF(AH28=1,MAX(0,(Slot2_Cost-IQ28*(1+Slot2_Rate)^(Slot2_Age-D28))/IN28),0)</f>
        <v>0</v>
      </c>
      <c r="IS28" s="20" t="n">
        <f aca="false">IF(AH28=1,MAX(0,(Slot2_Cost-AI28*(1+Slot2_Rate)^(Slot2_Age-D28))/IN28),0)</f>
        <v>0</v>
      </c>
      <c r="IT28" s="20" t="n">
        <f aca="false">IF(AND(HU28=1,AH28=1),MIN(IM28,IR28),0)</f>
        <v>0</v>
      </c>
      <c r="IU28" s="20" t="n">
        <f aca="false">IM28-IT28</f>
        <v>8915.68437587013</v>
      </c>
      <c r="IV28" s="20" t="n">
        <f aca="false">IF(AR28=1,IF(ABS((1+AS_Wage)/(1+Slot3_Rate)-1)&lt;0.000000000001,(Slot3_Age-D28)*(1+Slot3_Rate)^(Slot3_Age-D28),(1+Slot3_Rate)^(Slot3_Age-D28)*(1-((1+AS_Wage)/(1+Slot3_Rate))^(Slot3_Age-D28))/(1-(1+AS_Wage)/(1+Slot3_Rate))),1)</f>
        <v>1</v>
      </c>
      <c r="IW28" s="20" t="n">
        <f aca="false">IF(AND(HU28=1,IE28&gt;0,Slot3_IsWG=1,AR28=1),MAX(0,(Slot3_Cost-AS28*(1+Slot3_Rate)^(Slot3_Age-D28))/IV28),0)</f>
        <v>0</v>
      </c>
      <c r="IX28" s="20" t="n">
        <f aca="false">IF(AND(HU28=1,IE28&gt;0,Slot3_IsWG=1,AR28=1),MIN(IE28,IW28),0)</f>
        <v>0</v>
      </c>
      <c r="IY28" s="20" t="n">
        <f aca="false">AS28+IX28</f>
        <v>0</v>
      </c>
      <c r="IZ28" s="20" t="n">
        <f aca="false">IF(AR28=1,MAX(0,(Slot3_Cost-IY28*(1+Slot3_Rate)^(Slot3_Age-D28))/IV28),0)</f>
        <v>0</v>
      </c>
      <c r="JA28" s="20" t="n">
        <f aca="false">IF(AR28=1,MAX(0,(Slot3_Cost-AS28*(1+Slot3_Rate)^(Slot3_Age-D28))/IV28),0)</f>
        <v>0</v>
      </c>
      <c r="JB28" s="20" t="n">
        <f aca="false">IF(AND(HU28=1,AR28=1),MIN(IU28,IZ28),0)</f>
        <v>0</v>
      </c>
      <c r="JC28" s="20" t="n">
        <f aca="false">IU28-JB28</f>
        <v>8915.68437587013</v>
      </c>
      <c r="JD28" s="20" t="n">
        <f aca="false">IF(BB28=1,IF(ABS((1+AS_Wage)/(1+Slot4_Rate)-1)&lt;0.000000000001,(Slot4_Age-D28)*(1+Slot4_Rate)^(Slot4_Age-D28),(1+Slot4_Rate)^(Slot4_Age-D28)*(1-((1+AS_Wage)/(1+Slot4_Rate))^(Slot4_Age-D28))/(1-(1+AS_Wage)/(1+Slot4_Rate))),1)</f>
        <v>1</v>
      </c>
      <c r="JE28" s="20" t="n">
        <f aca="false">IF(AND(HU28=1,IE28&gt;0,Slot4_IsWG=1,BB28=1),MAX(0,(Slot4_Cost-BC28*(1+Slot4_Rate)^(Slot4_Age-D28))/JD28),0)</f>
        <v>0</v>
      </c>
      <c r="JF28" s="20" t="n">
        <f aca="false">IF(AND(HU28=1,IE28&gt;0,Slot4_IsWG=1,BB28=1),MIN(IE28,JE28),0)</f>
        <v>0</v>
      </c>
      <c r="JG28" s="20" t="n">
        <f aca="false">BC28+JF28</f>
        <v>0</v>
      </c>
      <c r="JH28" s="20" t="n">
        <f aca="false">IF(BB28=1,MAX(0,(Slot4_Cost-JG28*(1+Slot4_Rate)^(Slot4_Age-D28))/JD28),0)</f>
        <v>0</v>
      </c>
      <c r="JI28" s="20" t="n">
        <f aca="false">IF(BB28=1,MAX(0,(Slot4_Cost-BC28*(1+Slot4_Rate)^(Slot4_Age-D28))/JD28),0)</f>
        <v>0</v>
      </c>
      <c r="JJ28" s="20" t="n">
        <f aca="false">IF(AND(HU28=1,BB28=1),MIN(JC28,JH28),0)</f>
        <v>0</v>
      </c>
      <c r="JK28" s="20" t="n">
        <f aca="false">JC28-JJ28</f>
        <v>8915.68437587013</v>
      </c>
      <c r="JL28" s="20" t="n">
        <f aca="false">IF(BL28=1,IF(ABS((1+AS_Wage)/(1+Slot5_Rate)-1)&lt;0.000000000001,(Slot5_Age-D28)*(1+Slot5_Rate)^(Slot5_Age-D28),(1+Slot5_Rate)^(Slot5_Age-D28)*(1-((1+AS_Wage)/(1+Slot5_Rate))^(Slot5_Age-D28))/(1-(1+AS_Wage)/(1+Slot5_Rate))),1)</f>
        <v>1</v>
      </c>
      <c r="JM28" s="20" t="n">
        <f aca="false">IF(AND(HU28=1,IE28&gt;0,Slot5_IsWG=1,BL28=1),MAX(0,(Slot5_Cost-BM28*(1+Slot5_Rate)^(Slot5_Age-D28))/JL28),0)</f>
        <v>0</v>
      </c>
      <c r="JN28" s="20" t="n">
        <f aca="false">IF(AND(HU28=1,IE28&gt;0,Slot5_IsWG=1,BL28=1),MIN(IE28,JM28),0)</f>
        <v>0</v>
      </c>
      <c r="JO28" s="20" t="n">
        <f aca="false">BM28+JN28</f>
        <v>0</v>
      </c>
      <c r="JP28" s="20" t="n">
        <f aca="false">IF(BL28=1,MAX(0,(Slot5_Cost-JO28*(1+Slot5_Rate)^(Slot5_Age-D28))/JL28),0)</f>
        <v>0</v>
      </c>
      <c r="JQ28" s="20" t="n">
        <f aca="false">IF(BL28=1,MAX(0,(Slot5_Cost-BM28*(1+Slot5_Rate)^(Slot5_Age-D28))/JL28),0)</f>
        <v>0</v>
      </c>
      <c r="JR28" s="20" t="n">
        <f aca="false">IF(AND(HU28=1,BL28=1),MIN(JK28,JP28),0)</f>
        <v>0</v>
      </c>
      <c r="JS28" s="20" t="n">
        <f aca="false">JK28-JR28</f>
        <v>8915.68437587013</v>
      </c>
      <c r="JT28" s="20" t="n">
        <f aca="false">IF(BV28=1,IF(ABS((1+AS_Wage)/(1+Slot6_Rate)-1)&lt;0.000000000001,(Slot6_Age-D28)*(1+Slot6_Rate)^(Slot6_Age-D28),(1+Slot6_Rate)^(Slot6_Age-D28)*(1-((1+AS_Wage)/(1+Slot6_Rate))^(Slot6_Age-D28))/(1-(1+AS_Wage)/(1+Slot6_Rate))),1)</f>
        <v>1</v>
      </c>
      <c r="JU28" s="20" t="n">
        <f aca="false">IF(AND(HU28=1,IE28&gt;0,Slot6_IsWG=1,BV28=1),MAX(0,(Slot6_Cost-BW28*(1+Slot6_Rate)^(Slot6_Age-D28))/JT28),0)</f>
        <v>0</v>
      </c>
      <c r="JV28" s="20" t="n">
        <f aca="false">IF(AND(HU28=1,IE28&gt;0,Slot6_IsWG=1,BV28=1),MIN(IE28,JU28),0)</f>
        <v>0</v>
      </c>
      <c r="JW28" s="20" t="n">
        <f aca="false">BW28+JV28</f>
        <v>0</v>
      </c>
      <c r="JX28" s="20" t="n">
        <f aca="false">IF(BV28=1,MAX(0,(Slot6_Cost-JW28*(1+Slot6_Rate)^(Slot6_Age-D28))/JT28),0)</f>
        <v>0</v>
      </c>
      <c r="JY28" s="20" t="n">
        <f aca="false">IF(BV28=1,MAX(0,(Slot6_Cost-BW28*(1+Slot6_Rate)^(Slot6_Age-D28))/JT28),0)</f>
        <v>0</v>
      </c>
      <c r="JZ28" s="20" t="n">
        <f aca="false">IF(AND(HU28=1,BV28=1),MIN(JS28,JX28),0)</f>
        <v>0</v>
      </c>
      <c r="KA28" s="20" t="n">
        <f aca="false">JS28-JZ28</f>
        <v>8915.68437587013</v>
      </c>
      <c r="KB28" s="20" t="n">
        <f aca="false">IF(CF28=1,IF(ABS((1+AS_Wage)/(1+Slot7_Rate)-1)&lt;0.000000000001,(Slot7_Age-D28)*(1+Slot7_Rate)^(Slot7_Age-D28),(1+Slot7_Rate)^(Slot7_Age-D28)*(1-((1+AS_Wage)/(1+Slot7_Rate))^(Slot7_Age-D28))/(1-(1+AS_Wage)/(1+Slot7_Rate))),1)</f>
        <v>1</v>
      </c>
      <c r="KC28" s="20" t="n">
        <f aca="false">IF(AND(HU28=1,IE28&gt;0,Slot7_IsWG=1,CF28=1),MAX(0,(Slot7_Cost-CG28*(1+Slot7_Rate)^(Slot7_Age-D28))/KB28),0)</f>
        <v>0</v>
      </c>
      <c r="KD28" s="20" t="n">
        <f aca="false">IF(AND(HU28=1,IE28&gt;0,Slot7_IsWG=1,CF28=1),MIN(IE28,KC28),0)</f>
        <v>0</v>
      </c>
      <c r="KE28" s="20" t="n">
        <f aca="false">CG28+KD28</f>
        <v>0</v>
      </c>
      <c r="KF28" s="20" t="n">
        <f aca="false">IF(CF28=1,MAX(0,(Slot7_Cost-KE28*(1+Slot7_Rate)^(Slot7_Age-D28))/KB28),0)</f>
        <v>0</v>
      </c>
      <c r="KG28" s="20" t="n">
        <f aca="false">IF(CF28=1,MAX(0,(Slot7_Cost-CG28*(1+Slot7_Rate)^(Slot7_Age-D28))/KB28),0)</f>
        <v>0</v>
      </c>
      <c r="KH28" s="20" t="n">
        <f aca="false">IF(AND(HU28=1,CF28=1),MIN(KA28,KF28),0)</f>
        <v>0</v>
      </c>
      <c r="KI28" s="20" t="n">
        <f aca="false">KA28-KH28</f>
        <v>8915.68437587013</v>
      </c>
      <c r="KJ28" s="20" t="n">
        <f aca="false">IF(CP28=1,IF(ABS((1+AS_Wage)/(1+Slot8_Rate)-1)&lt;0.000000000001,(Slot8_Age-D28)*(1+Slot8_Rate)^(Slot8_Age-D28),(1+Slot8_Rate)^(Slot8_Age-D28)*(1-((1+AS_Wage)/(1+Slot8_Rate))^(Slot8_Age-D28))/(1-(1+AS_Wage)/(1+Slot8_Rate))),1)</f>
        <v>1</v>
      </c>
      <c r="KK28" s="20" t="n">
        <f aca="false">IF(AND(HU28=1,IE28&gt;0,Slot8_IsWG=1,CP28=1),MAX(0,(Slot8_Cost-CQ28*(1+Slot8_Rate)^(Slot8_Age-D28))/KJ28),0)</f>
        <v>0</v>
      </c>
      <c r="KL28" s="20" t="n">
        <f aca="false">IF(AND(HU28=1,IE28&gt;0,Slot8_IsWG=1,CP28=1),MIN(IE28,KK28),0)</f>
        <v>0</v>
      </c>
      <c r="KM28" s="20" t="n">
        <f aca="false">CQ28+KL28</f>
        <v>0</v>
      </c>
      <c r="KN28" s="20" t="n">
        <f aca="false">IF(CP28=1,MAX(0,(Slot8_Cost-KM28*(1+Slot8_Rate)^(Slot8_Age-D28))/KJ28),0)</f>
        <v>0</v>
      </c>
      <c r="KO28" s="20" t="n">
        <f aca="false">IF(CP28=1,MAX(0,(Slot8_Cost-CQ28*(1+Slot8_Rate)^(Slot8_Age-D28))/KJ28),0)</f>
        <v>0</v>
      </c>
      <c r="KP28" s="20" t="n">
        <f aca="false">IF(AND(HU28=1,CP28=1),MIN(KI28,KN28),0)</f>
        <v>0</v>
      </c>
      <c r="KQ28" s="20" t="n">
        <f aca="false">KI28-KP28</f>
        <v>8915.68437587013</v>
      </c>
      <c r="KR28" s="20" t="n">
        <f aca="false">IF(CZ28=1,IF(ABS((1+AS_Wage)/(1+Slot9_Rate)-1)&lt;0.000000000001,(Slot9_Age-D28)*(1+Slot9_Rate)^(Slot9_Age-D28),(1+Slot9_Rate)^(Slot9_Age-D28)*(1-((1+AS_Wage)/(1+Slot9_Rate))^(Slot9_Age-D28))/(1-(1+AS_Wage)/(1+Slot9_Rate))),1)</f>
        <v>1</v>
      </c>
      <c r="KS28" s="20" t="n">
        <f aca="false">IF(AND(HU28=1,IE28&gt;0,Slot9_IsWG=1,CZ28=1),MAX(0,(Slot9_Cost-DA28*(1+Slot9_Rate)^(Slot9_Age-D28))/KR28),0)</f>
        <v>0</v>
      </c>
      <c r="KT28" s="20" t="n">
        <f aca="false">IF(AND(HU28=1,IE28&gt;0,Slot9_IsWG=1,CZ28=1),MIN(IE28,KS28),0)</f>
        <v>0</v>
      </c>
      <c r="KU28" s="20" t="n">
        <f aca="false">DA28+KT28</f>
        <v>0</v>
      </c>
      <c r="KV28" s="20" t="n">
        <f aca="false">IF(CZ28=1,MAX(0,(Slot9_Cost-KU28*(1+Slot9_Rate)^(Slot9_Age-D28))/KR28),0)</f>
        <v>0</v>
      </c>
      <c r="KW28" s="20" t="n">
        <f aca="false">IF(CZ28=1,MAX(0,(Slot9_Cost-DA28*(1+Slot9_Rate)^(Slot9_Age-D28))/KR28),0)</f>
        <v>0</v>
      </c>
      <c r="KX28" s="20" t="n">
        <f aca="false">IF(AND(HU28=1,CZ28=1),MIN(KQ28,KV28),0)</f>
        <v>0</v>
      </c>
      <c r="KY28" s="20" t="n">
        <f aca="false">KQ28-KX28</f>
        <v>8915.68437587013</v>
      </c>
      <c r="KZ28" s="20" t="n">
        <f aca="false">IF(DJ28=1,IF(ABS((1+AS_Wage)/(1+Slot10_Rate)-1)&lt;0.000000000001,(Slot10_Age-D28)*(1+Slot10_Rate)^(Slot10_Age-D28),(1+Slot10_Rate)^(Slot10_Age-D28)*(1-((1+AS_Wage)/(1+Slot10_Rate))^(Slot10_Age-D28))/(1-(1+AS_Wage)/(1+Slot10_Rate))),1)</f>
        <v>1</v>
      </c>
      <c r="LA28" s="20" t="n">
        <f aca="false">IF(AND(HU28=1,IE28&gt;0,Slot10_IsWG=1,DJ28=1),MAX(0,(Slot10_Cost-DK28*(1+Slot10_Rate)^(Slot10_Age-D28))/KZ28),0)</f>
        <v>0</v>
      </c>
      <c r="LB28" s="20" t="n">
        <f aca="false">IF(AND(HU28=1,IE28&gt;0,Slot10_IsWG=1,DJ28=1),MIN(IE28,LA28),0)</f>
        <v>0</v>
      </c>
      <c r="LC28" s="20" t="n">
        <f aca="false">DK28+LB28</f>
        <v>0</v>
      </c>
      <c r="LD28" s="20" t="n">
        <f aca="false">IF(DJ28=1,MAX(0,(Slot10_Cost-LC28*(1+Slot10_Rate)^(Slot10_Age-D28))/KZ28),0)</f>
        <v>0</v>
      </c>
      <c r="LE28" s="20" t="n">
        <f aca="false">IF(DJ28=1,MAX(0,(Slot10_Cost-DK28*(1+Slot10_Rate)^(Slot10_Age-D28))/KZ28),0)</f>
        <v>0</v>
      </c>
      <c r="LF28" s="20" t="n">
        <f aca="false">IF(AND(HU28=1,DJ28=1),MIN(KY28,LD28),0)</f>
        <v>0</v>
      </c>
      <c r="LG28" s="20" t="n">
        <f aca="false">KY28-LF28</f>
        <v>8915.68437587013</v>
      </c>
      <c r="LH28" s="20" t="n">
        <f aca="false">IF(DT28=1,IF(ABS((1+AS_Wage)/(1+Slot11_Rate)-1)&lt;0.000000000001,(Slot11_Age-D28)*(1+Slot11_Rate)^(Slot11_Age-D28),(1+Slot11_Rate)^(Slot11_Age-D28)*(1-((1+AS_Wage)/(1+Slot11_Rate))^(Slot11_Age-D28))/(1-(1+AS_Wage)/(1+Slot11_Rate))),1)</f>
        <v>1</v>
      </c>
      <c r="LI28" s="20" t="n">
        <f aca="false">IF(AND(HU28=1,IE28&gt;0,Slot11_IsWG=1,DT28=1),MAX(0,(Slot11_Cost-DU28*(1+Slot11_Rate)^(Slot11_Age-D28))/LH28),0)</f>
        <v>0</v>
      </c>
      <c r="LJ28" s="20" t="n">
        <f aca="false">IF(AND(HU28=1,IE28&gt;0,Slot11_IsWG=1,DT28=1),MIN(IE28,LI28),0)</f>
        <v>0</v>
      </c>
      <c r="LK28" s="20" t="n">
        <f aca="false">DU28+LJ28</f>
        <v>0</v>
      </c>
      <c r="LL28" s="20" t="n">
        <f aca="false">IF(DT28=1,MAX(0,(Slot11_Cost-LK28*(1+Slot11_Rate)^(Slot11_Age-D28))/LH28),0)</f>
        <v>0</v>
      </c>
      <c r="LM28" s="20" t="n">
        <f aca="false">IF(DT28=1,MAX(0,(Slot11_Cost-DU28*(1+Slot11_Rate)^(Slot11_Age-D28))/LH28),0)</f>
        <v>0</v>
      </c>
      <c r="LN28" s="20" t="n">
        <f aca="false">IF(AND(HU28=1,DT28=1),MIN(LG28,LL28),0)</f>
        <v>0</v>
      </c>
      <c r="LO28" s="20" t="n">
        <f aca="false">LG28-LN28</f>
        <v>8915.68437587013</v>
      </c>
      <c r="LP28" s="20" t="n">
        <f aca="false">IF(ED28=1,IF(ABS((1+AS_Wage)/(1+Slot12_Rate)-1)&lt;0.000000000001,(Slot12_Age-D28)*(1+Slot12_Rate)^(Slot12_Age-D28),(1+Slot12_Rate)^(Slot12_Age-D28)*(1-((1+AS_Wage)/(1+Slot12_Rate))^(Slot12_Age-D28))/(1-(1+AS_Wage)/(1+Slot12_Rate))),1)</f>
        <v>1</v>
      </c>
      <c r="LQ28" s="20" t="n">
        <f aca="false">IF(AND(HU28=1,IE28&gt;0,Slot12_IsWG=1,ED28=1),MAX(0,(Slot12_Cost-EE28*(1+Slot12_Rate)^(Slot12_Age-D28))/LP28),0)</f>
        <v>0</v>
      </c>
      <c r="LR28" s="20" t="n">
        <f aca="false">IF(AND(HU28=1,IE28&gt;0,Slot12_IsWG=1,ED28=1),MIN(IE28,LQ28),0)</f>
        <v>0</v>
      </c>
      <c r="LS28" s="20" t="n">
        <f aca="false">EE28+LR28</f>
        <v>0</v>
      </c>
      <c r="LT28" s="20" t="n">
        <f aca="false">IF(ED28=1,MAX(0,(Slot12_Cost-LS28*(1+Slot12_Rate)^(Slot12_Age-D28))/LP28),0)</f>
        <v>0</v>
      </c>
      <c r="LU28" s="20" t="n">
        <f aca="false">IF(ED28=1,MAX(0,(Slot12_Cost-EE28*(1+Slot12_Rate)^(Slot12_Age-D28))/LP28),0)</f>
        <v>0</v>
      </c>
      <c r="LV28" s="20" t="n">
        <f aca="false">IF(AND(HU28=1,ED28=1),MIN(LO28,LT28),0)</f>
        <v>0</v>
      </c>
      <c r="LW28" s="20" t="n">
        <f aca="false">LO28-LV28</f>
        <v>8915.68437587013</v>
      </c>
      <c r="LX28" s="20" t="n">
        <f aca="false">IF(EN28=1,IF(ABS((1+AS_Wage)/(1+Slot13_Rate)-1)&lt;0.000000000001,(Slot13_Age-D28)*(1+Slot13_Rate)^(Slot13_Age-D28),(1+Slot13_Rate)^(Slot13_Age-D28)*(1-((1+AS_Wage)/(1+Slot13_Rate))^(Slot13_Age-D28))/(1-(1+AS_Wage)/(1+Slot13_Rate))),1)</f>
        <v>1</v>
      </c>
      <c r="LY28" s="20" t="n">
        <f aca="false">IF(AND(HU28=1,IE28&gt;0,Slot13_IsWG=1,EN28=1),MAX(0,(Slot13_Cost-EO28*(1+Slot13_Rate)^(Slot13_Age-D28))/LX28),0)</f>
        <v>0</v>
      </c>
      <c r="LZ28" s="20" t="n">
        <f aca="false">IF(AND(HU28=1,IE28&gt;0,Slot13_IsWG=1,EN28=1),MIN(IE28,LY28),0)</f>
        <v>0</v>
      </c>
      <c r="MA28" s="20" t="n">
        <f aca="false">EO28+LZ28</f>
        <v>0</v>
      </c>
      <c r="MB28" s="20" t="n">
        <f aca="false">IF(EN28=1,MAX(0,(Slot13_Cost-MA28*(1+Slot13_Rate)^(Slot13_Age-D28))/LX28),0)</f>
        <v>0</v>
      </c>
      <c r="MC28" s="20" t="n">
        <f aca="false">IF(EN28=1,MAX(0,(Slot13_Cost-EO28*(1+Slot13_Rate)^(Slot13_Age-D28))/LX28),0)</f>
        <v>0</v>
      </c>
      <c r="MD28" s="20" t="n">
        <f aca="false">IF(AND(HU28=1,EN28=1),MIN(LW28,MB28),0)</f>
        <v>0</v>
      </c>
      <c r="ME28" s="20" t="n">
        <f aca="false">LW28-MD28</f>
        <v>8915.68437587013</v>
      </c>
      <c r="MF28" s="20" t="n">
        <f aca="false">IF(EX28=1,IF(ABS((1+AS_Wage)/(1+Slot14_Rate)-1)&lt;0.000000000001,(Slot14_Age-D28)*(1+Slot14_Rate)^(Slot14_Age-D28),(1+Slot14_Rate)^(Slot14_Age-D28)*(1-((1+AS_Wage)/(1+Slot14_Rate))^(Slot14_Age-D28))/(1-(1+AS_Wage)/(1+Slot14_Rate))),1)</f>
        <v>1</v>
      </c>
      <c r="MG28" s="20" t="n">
        <f aca="false">IF(AND(HU28=1,IE28&gt;0,Slot14_IsWG=1,EX28=1),MAX(0,(Slot14_Cost-EY28*(1+Slot14_Rate)^(Slot14_Age-D28))/MF28),0)</f>
        <v>0</v>
      </c>
      <c r="MH28" s="20" t="n">
        <f aca="false">IF(AND(HU28=1,IE28&gt;0,Slot14_IsWG=1,EX28=1),MIN(IE28,MG28),0)</f>
        <v>0</v>
      </c>
      <c r="MI28" s="20" t="n">
        <f aca="false">EY28+MH28</f>
        <v>0</v>
      </c>
      <c r="MJ28" s="20" t="n">
        <f aca="false">IF(EX28=1,MAX(0,(Slot14_Cost-MI28*(1+Slot14_Rate)^(Slot14_Age-D28))/MF28),0)</f>
        <v>0</v>
      </c>
      <c r="MK28" s="20" t="n">
        <f aca="false">IF(EX28=1,MAX(0,(Slot14_Cost-EY28*(1+Slot14_Rate)^(Slot14_Age-D28))/MF28),0)</f>
        <v>0</v>
      </c>
      <c r="ML28" s="20" t="n">
        <f aca="false">IF(AND(HU28=1,EX28=1),MIN(ME28,MJ28),0)</f>
        <v>0</v>
      </c>
      <c r="MM28" s="20" t="n">
        <f aca="false">ME28-ML28</f>
        <v>8915.68437587013</v>
      </c>
      <c r="MN28" s="20" t="n">
        <f aca="false">IF(FH28=1,IF(ABS((1+AS_Wage)/(1+Slot15_Rate)-1)&lt;0.000000000001,(Slot15_Age-D28)*(1+Slot15_Rate)^(Slot15_Age-D28),(1+Slot15_Rate)^(Slot15_Age-D28)*(1-((1+AS_Wage)/(1+Slot15_Rate))^(Slot15_Age-D28))/(1-(1+AS_Wage)/(1+Slot15_Rate))),1)</f>
        <v>1</v>
      </c>
      <c r="MO28" s="20" t="n">
        <f aca="false">IF(AND(HU28=1,IE28&gt;0,Slot15_IsWG=1,FH28=1),MAX(0,(Slot15_Cost-FI28*(1+Slot15_Rate)^(Slot15_Age-D28))/MN28),0)</f>
        <v>0</v>
      </c>
      <c r="MP28" s="20" t="n">
        <f aca="false">IF(AND(HU28=1,IE28&gt;0,Slot15_IsWG=1,FH28=1),MIN(IE28,MO28),0)</f>
        <v>0</v>
      </c>
      <c r="MQ28" s="20" t="n">
        <f aca="false">FI28+MP28</f>
        <v>0</v>
      </c>
      <c r="MR28" s="20" t="n">
        <f aca="false">IF(FH28=1,MAX(0,(Slot15_Cost-MQ28*(1+Slot15_Rate)^(Slot15_Age-D28))/MN28),0)</f>
        <v>0</v>
      </c>
      <c r="MS28" s="20" t="n">
        <f aca="false">IF(FH28=1,MAX(0,(Slot15_Cost-FI28*(1+Slot15_Rate)^(Slot15_Age-D28))/MN28),0)</f>
        <v>0</v>
      </c>
      <c r="MT28" s="20" t="n">
        <f aca="false">IF(AND(HU28=1,FH28=1),MIN(MM28,MR28),0)</f>
        <v>0</v>
      </c>
      <c r="MU28" s="20" t="n">
        <f aca="false">MM28-MT28</f>
        <v>8915.68437587013</v>
      </c>
      <c r="MV28" s="20" t="n">
        <f aca="false">IF(FR28=1,IF(ABS((1+AS_Wage)/(1+Slot16_Rate)-1)&lt;0.000000000001,(Slot16_Age-D28)*(1+Slot16_Rate)^(Slot16_Age-D28),(1+Slot16_Rate)^(Slot16_Age-D28)*(1-((1+AS_Wage)/(1+Slot16_Rate))^(Slot16_Age-D28))/(1-(1+AS_Wage)/(1+Slot16_Rate))),1)</f>
        <v>1</v>
      </c>
      <c r="MW28" s="20" t="n">
        <f aca="false">IF(AND(HU28=1,IE28&gt;0,Slot16_IsWG=1,FR28=1),MAX(0,(Slot16_Cost-FS28*(1+Slot16_Rate)^(Slot16_Age-D28))/MV28),0)</f>
        <v>0</v>
      </c>
      <c r="MX28" s="20" t="n">
        <f aca="false">IF(AND(HU28=1,IE28&gt;0,Slot16_IsWG=1,FR28=1),MIN(IE28,MW28),0)</f>
        <v>0</v>
      </c>
      <c r="MY28" s="20" t="n">
        <f aca="false">FS28+MX28</f>
        <v>0</v>
      </c>
      <c r="MZ28" s="20" t="n">
        <f aca="false">IF(FR28=1,MAX(0,(Slot16_Cost-MY28*(1+Slot16_Rate)^(Slot16_Age-D28))/MV28),0)</f>
        <v>0</v>
      </c>
      <c r="NA28" s="20" t="n">
        <f aca="false">IF(FR28=1,MAX(0,(Slot16_Cost-FS28*(1+Slot16_Rate)^(Slot16_Age-D28))/MV28),0)</f>
        <v>0</v>
      </c>
      <c r="NB28" s="20" t="n">
        <f aca="false">IF(AND(HU28=1,FR28=1),MIN(MU28,MZ28),0)</f>
        <v>0</v>
      </c>
      <c r="NC28" s="20" t="n">
        <f aca="false">MU28-NB28</f>
        <v>8915.68437587013</v>
      </c>
      <c r="ND28" s="20" t="n">
        <f aca="false">IF(GB28=1,IF(ABS((1+AS_Wage)/(1+Slot17_Rate)-1)&lt;0.000000000001,(Slot17_Age-D28)*(1+Slot17_Rate)^(Slot17_Age-D28),(1+Slot17_Rate)^(Slot17_Age-D28)*(1-((1+AS_Wage)/(1+Slot17_Rate))^(Slot17_Age-D28))/(1-(1+AS_Wage)/(1+Slot17_Rate))),1)</f>
        <v>1</v>
      </c>
      <c r="NE28" s="20" t="n">
        <f aca="false">IF(AND(HU28=1,IE28&gt;0,Slot17_IsWG=1,GB28=1),MAX(0,(Slot17_Cost-GC28*(1+Slot17_Rate)^(Slot17_Age-D28))/ND28),0)</f>
        <v>0</v>
      </c>
      <c r="NF28" s="20" t="n">
        <f aca="false">IF(AND(HU28=1,IE28&gt;0,Slot17_IsWG=1,GB28=1),MIN(IE28,NE28),0)</f>
        <v>0</v>
      </c>
      <c r="NG28" s="20" t="n">
        <f aca="false">GC28+NF28</f>
        <v>0</v>
      </c>
      <c r="NH28" s="20" t="n">
        <f aca="false">IF(GB28=1,MAX(0,(Slot17_Cost-NG28*(1+Slot17_Rate)^(Slot17_Age-D28))/ND28),0)</f>
        <v>0</v>
      </c>
      <c r="NI28" s="20" t="n">
        <f aca="false">IF(GB28=1,MAX(0,(Slot17_Cost-GC28*(1+Slot17_Rate)^(Slot17_Age-D28))/ND28),0)</f>
        <v>0</v>
      </c>
      <c r="NJ28" s="20" t="n">
        <f aca="false">IF(AND(HU28=1,GB28=1),MIN(NC28,NH28),0)</f>
        <v>0</v>
      </c>
      <c r="NK28" s="20" t="n">
        <f aca="false">NC28-NJ28</f>
        <v>8915.68437587013</v>
      </c>
      <c r="NL28" s="20" t="n">
        <f aca="false">IF(GL28=1,IF(ABS((1+AS_Wage)/(1+Slot18_Rate)-1)&lt;0.000000000001,(Slot18_Age-D28)*(1+Slot18_Rate)^(Slot18_Age-D28),(1+Slot18_Rate)^(Slot18_Age-D28)*(1-((1+AS_Wage)/(1+Slot18_Rate))^(Slot18_Age-D28))/(1-(1+AS_Wage)/(1+Slot18_Rate))),1)</f>
        <v>1</v>
      </c>
      <c r="NM28" s="20" t="n">
        <f aca="false">IF(AND(HU28=1,IE28&gt;0,Slot18_IsWG=1,GL28=1),MAX(0,(Slot18_Cost-GM28*(1+Slot18_Rate)^(Slot18_Age-D28))/NL28),0)</f>
        <v>0</v>
      </c>
      <c r="NN28" s="20" t="n">
        <f aca="false">IF(AND(HU28=1,IE28&gt;0,Slot18_IsWG=1,GL28=1),MIN(IE28,NM28),0)</f>
        <v>0</v>
      </c>
      <c r="NO28" s="20" t="n">
        <f aca="false">GM28+NN28</f>
        <v>0</v>
      </c>
      <c r="NP28" s="20" t="n">
        <f aca="false">IF(GL28=1,MAX(0,(Slot18_Cost-NO28*(1+Slot18_Rate)^(Slot18_Age-D28))/NL28),0)</f>
        <v>0</v>
      </c>
      <c r="NQ28" s="20" t="n">
        <f aca="false">IF(GL28=1,MAX(0,(Slot18_Cost-GM28*(1+Slot18_Rate)^(Slot18_Age-D28))/NL28),0)</f>
        <v>0</v>
      </c>
      <c r="NR28" s="20" t="n">
        <f aca="false">IF(AND(HU28=1,GL28=1),MIN(NK28,NP28),0)</f>
        <v>0</v>
      </c>
      <c r="NS28" s="20" t="n">
        <f aca="false">NK28-NR28</f>
        <v>8915.68437587013</v>
      </c>
      <c r="NT28" s="20" t="n">
        <f aca="false">IF(GV28=1,IF(ABS((1+AS_Wage)/(1+Slot19_Rate)-1)&lt;0.000000000001,(Slot19_Age-D28)*(1+Slot19_Rate)^(Slot19_Age-D28),(1+Slot19_Rate)^(Slot19_Age-D28)*(1-((1+AS_Wage)/(1+Slot19_Rate))^(Slot19_Age-D28))/(1-(1+AS_Wage)/(1+Slot19_Rate))),1)</f>
        <v>1</v>
      </c>
      <c r="NU28" s="20" t="n">
        <f aca="false">IF(AND(HU28=1,IE28&gt;0,Slot19_IsWG=1,GV28=1),MAX(0,(Slot19_Cost-GW28*(1+Slot19_Rate)^(Slot19_Age-D28))/NT28),0)</f>
        <v>0</v>
      </c>
      <c r="NV28" s="20" t="n">
        <f aca="false">IF(AND(HU28=1,IE28&gt;0,Slot19_IsWG=1,GV28=1),MIN(IE28,NU28),0)</f>
        <v>0</v>
      </c>
      <c r="NW28" s="20" t="n">
        <f aca="false">GW28+NV28</f>
        <v>0</v>
      </c>
      <c r="NX28" s="20" t="n">
        <f aca="false">IF(GV28=1,MAX(0,(Slot19_Cost-NW28*(1+Slot19_Rate)^(Slot19_Age-D28))/NT28),0)</f>
        <v>0</v>
      </c>
      <c r="NY28" s="20" t="n">
        <f aca="false">IF(GV28=1,MAX(0,(Slot19_Cost-GW28*(1+Slot19_Rate)^(Slot19_Age-D28))/NT28),0)</f>
        <v>0</v>
      </c>
      <c r="NZ28" s="20" t="n">
        <f aca="false">IF(AND(HU28=1,GV28=1),MIN(NS28,NX28),0)</f>
        <v>0</v>
      </c>
      <c r="OA28" s="20" t="n">
        <f aca="false">NS28-NZ28</f>
        <v>8915.68437587013</v>
      </c>
      <c r="OB28" s="20" t="n">
        <f aca="false">IF(HF28=1,IF(ABS((1+AS_Wage)/(1+Slot20_Rate)-1)&lt;0.000000000001,(Slot20_Age-D28)*(1+Slot20_Rate)^(Slot20_Age-D28),(1+Slot20_Rate)^(Slot20_Age-D28)*(1-((1+AS_Wage)/(1+Slot20_Rate))^(Slot20_Age-D28))/(1-(1+AS_Wage)/(1+Slot20_Rate))),1)</f>
        <v>1</v>
      </c>
      <c r="OC28" s="20" t="n">
        <f aca="false">IF(AND(HU28=1,IE28&gt;0,Slot20_IsWG=1,HF28=1),MAX(0,(Slot20_Cost-HG28*(1+Slot20_Rate)^(Slot20_Age-D28))/OB28),0)</f>
        <v>0</v>
      </c>
      <c r="OD28" s="20" t="n">
        <f aca="false">IF(AND(HU28=1,IE28&gt;0,Slot20_IsWG=1,HF28=1),MIN(IE28,OC28),0)</f>
        <v>0</v>
      </c>
      <c r="OE28" s="20" t="n">
        <f aca="false">HG28+OD28</f>
        <v>0</v>
      </c>
      <c r="OF28" s="20" t="n">
        <f aca="false">IF(HF28=1,MAX(0,(Slot20_Cost-OE28*(1+Slot20_Rate)^(Slot20_Age-D28))/OB28),0)</f>
        <v>0</v>
      </c>
      <c r="OG28" s="20" t="n">
        <f aca="false">IF(HF28=1,MAX(0,(Slot20_Cost-HG28*(1+Slot20_Rate)^(Slot20_Age-D28))/OB28),0)</f>
        <v>0</v>
      </c>
      <c r="OH28" s="20" t="n">
        <f aca="false">IF(AND(HU28=1,HF28=1),MIN(OA28,OF28),0)</f>
        <v>0</v>
      </c>
      <c r="OI28" s="20" t="n">
        <f aca="false">OA28-OH28</f>
        <v>8915.68437587013</v>
      </c>
      <c r="OJ28" s="20" t="n">
        <f aca="false">IE28-(IH28+IP28+IX28+JF28+JN28+JV28+KD28+KL28+KT28+LB28+LJ28+LR28+LZ28+MH28+MP28+MX28+NF28+NN28+NV28+OD28)</f>
        <v>0</v>
      </c>
      <c r="OK28" s="20" t="n">
        <f aca="false">IF(HU28=1,HS28-ID28-IE28,0)</f>
        <v>30639.7920848948</v>
      </c>
      <c r="OL28" s="20" t="n">
        <f aca="false">IF(HU28=0,-HS28,0)</f>
        <v>0</v>
      </c>
      <c r="OM28" s="20" t="n">
        <f aca="false">MIN(OL28,HK28)</f>
        <v>0</v>
      </c>
      <c r="ON28" s="20" t="n">
        <f aca="false">OL28-OM28</f>
        <v>0</v>
      </c>
      <c r="OO28" s="20" t="n">
        <f aca="false">MIN(ON28,HL28)</f>
        <v>0</v>
      </c>
      <c r="OP28" s="20" t="n">
        <f aca="false">ON28-OO28</f>
        <v>0</v>
      </c>
      <c r="OQ28" s="20" t="n">
        <f aca="false">IF(AND(HU28=0,HF28=1,OP28&gt;0),MIN(OP28,HG28),0)</f>
        <v>0</v>
      </c>
      <c r="OR28" s="20" t="n">
        <f aca="false">OP28-OQ28</f>
        <v>0</v>
      </c>
      <c r="OS28" s="20" t="n">
        <f aca="false">IF(AND(HU28=0,GV28=1,OR28&gt;0),MIN(OR28,GW28),0)</f>
        <v>0</v>
      </c>
      <c r="OT28" s="20" t="n">
        <f aca="false">OR28-OS28</f>
        <v>0</v>
      </c>
      <c r="OU28" s="20" t="n">
        <f aca="false">IF(AND(HU28=0,GL28=1,OT28&gt;0),MIN(OT28,GM28),0)</f>
        <v>0</v>
      </c>
      <c r="OV28" s="20" t="n">
        <f aca="false">OT28-OU28</f>
        <v>0</v>
      </c>
      <c r="OW28" s="20" t="n">
        <f aca="false">IF(AND(HU28=0,GB28=1,OV28&gt;0),MIN(OV28,GC28),0)</f>
        <v>0</v>
      </c>
      <c r="OX28" s="20" t="n">
        <f aca="false">OV28-OW28</f>
        <v>0</v>
      </c>
      <c r="OY28" s="20" t="n">
        <f aca="false">IF(AND(HU28=0,FR28=1,OX28&gt;0),MIN(OX28,FS28),0)</f>
        <v>0</v>
      </c>
      <c r="OZ28" s="20" t="n">
        <f aca="false">OX28-OY28</f>
        <v>0</v>
      </c>
      <c r="PA28" s="20" t="n">
        <f aca="false">IF(AND(HU28=0,FH28=1,OZ28&gt;0),MIN(OZ28,FI28),0)</f>
        <v>0</v>
      </c>
      <c r="PB28" s="20" t="n">
        <f aca="false">OZ28-PA28</f>
        <v>0</v>
      </c>
      <c r="PC28" s="20" t="n">
        <f aca="false">IF(AND(HU28=0,EX28=1,PB28&gt;0),MIN(PB28,EY28),0)</f>
        <v>0</v>
      </c>
      <c r="PD28" s="20" t="n">
        <f aca="false">PB28-PC28</f>
        <v>0</v>
      </c>
      <c r="PE28" s="20" t="n">
        <f aca="false">IF(AND(HU28=0,EN28=1,PD28&gt;0),MIN(PD28,EO28),0)</f>
        <v>0</v>
      </c>
      <c r="PF28" s="20" t="n">
        <f aca="false">PD28-PE28</f>
        <v>0</v>
      </c>
      <c r="PG28" s="20" t="n">
        <f aca="false">IF(AND(HU28=0,ED28=1,PF28&gt;0),MIN(PF28,EE28),0)</f>
        <v>0</v>
      </c>
      <c r="PH28" s="20" t="n">
        <f aca="false">PF28-PG28</f>
        <v>0</v>
      </c>
      <c r="PI28" s="20" t="n">
        <f aca="false">IF(AND(HU28=0,DT28=1,PH28&gt;0),MIN(PH28,DU28),0)</f>
        <v>0</v>
      </c>
      <c r="PJ28" s="20" t="n">
        <f aca="false">PH28-PI28</f>
        <v>0</v>
      </c>
      <c r="PK28" s="20" t="n">
        <f aca="false">IF(AND(HU28=0,DJ28=1,PJ28&gt;0),MIN(PJ28,DK28),0)</f>
        <v>0</v>
      </c>
      <c r="PL28" s="20" t="n">
        <f aca="false">PJ28-PK28</f>
        <v>0</v>
      </c>
      <c r="PM28" s="20" t="n">
        <f aca="false">IF(AND(HU28=0,CZ28=1,PL28&gt;0),MIN(PL28,DA28),0)</f>
        <v>0</v>
      </c>
      <c r="PN28" s="20" t="n">
        <f aca="false">PL28-PM28</f>
        <v>0</v>
      </c>
      <c r="PO28" s="20" t="n">
        <f aca="false">IF(AND(HU28=0,CP28=1,PN28&gt;0),MIN(PN28,CQ28),0)</f>
        <v>0</v>
      </c>
      <c r="PP28" s="20" t="n">
        <f aca="false">PN28-PO28</f>
        <v>0</v>
      </c>
      <c r="PQ28" s="20" t="n">
        <f aca="false">IF(AND(HU28=0,CF28=1,PP28&gt;0),MIN(PP28,CG28),0)</f>
        <v>0</v>
      </c>
      <c r="PR28" s="20" t="n">
        <f aca="false">PP28-PQ28</f>
        <v>0</v>
      </c>
      <c r="PS28" s="20" t="n">
        <f aca="false">IF(AND(HU28=0,BV28=1,PR28&gt;0),MIN(PR28,BW28),0)</f>
        <v>0</v>
      </c>
      <c r="PT28" s="20" t="n">
        <f aca="false">PR28-PS28</f>
        <v>0</v>
      </c>
      <c r="PU28" s="20" t="n">
        <f aca="false">IF(AND(HU28=0,BL28=1,PT28&gt;0),MIN(PT28,BM28),0)</f>
        <v>0</v>
      </c>
      <c r="PV28" s="20" t="n">
        <f aca="false">PT28-PU28</f>
        <v>0</v>
      </c>
      <c r="PW28" s="20" t="n">
        <f aca="false">IF(AND(HU28=0,BB28=1,PV28&gt;0),MIN(PV28,BC28),0)</f>
        <v>0</v>
      </c>
      <c r="PX28" s="20" t="n">
        <f aca="false">PV28-PW28</f>
        <v>0</v>
      </c>
      <c r="PY28" s="20" t="n">
        <f aca="false">IF(AND(HU28=0,AR28=1,PX28&gt;0),MIN(PX28,AS28),0)</f>
        <v>0</v>
      </c>
      <c r="PZ28" s="20" t="n">
        <f aca="false">PX28-PY28</f>
        <v>0</v>
      </c>
      <c r="QA28" s="20" t="n">
        <f aca="false">IF(AND(HU28=0,AH28=1,PZ28&gt;0),MIN(PZ28,AI28),0)</f>
        <v>0</v>
      </c>
      <c r="QB28" s="20" t="n">
        <f aca="false">PZ28-QA28</f>
        <v>0</v>
      </c>
      <c r="QC28" s="20" t="n">
        <f aca="false">IF(AND(HU28=0,W28=1,QB28&gt;0),MIN(QB28,X28),0)</f>
        <v>0</v>
      </c>
      <c r="QD28" s="20" t="n">
        <f aca="false">QB28-QC28</f>
        <v>0</v>
      </c>
      <c r="QE28" s="20" t="n">
        <f aca="false">IF(HU28=0,QD28,0)</f>
        <v>0</v>
      </c>
      <c r="QF28" s="20" t="n">
        <f aca="false">OM28+OO28+QC28+QA28+PY28+PW28+PU28+PS28+PQ28+PO28+PM28+PK28+PI28+PG28+PE28+PC28+PA28+OY28+OW28+OU28+OS28+OQ28</f>
        <v>0</v>
      </c>
      <c r="QG28" s="20" t="n">
        <f aca="false">IF(HU28=1,HK28+OJ28+OI28+IF(G28=1,0,OK28),HK28-OM28)</f>
        <v>53063.6170941858</v>
      </c>
      <c r="QH28" s="20" t="n">
        <f aca="false">HL28-OO28</f>
        <v>13610.2940914638</v>
      </c>
      <c r="QI28" s="20" t="n">
        <f aca="false">IF(HU28=1,IF(G28=1,ID28+IE28,HS28),0)</f>
        <v>8915.68437587013</v>
      </c>
      <c r="QJ28" s="20" t="n">
        <f aca="false">IF(HU28=1,IF(G28=1,HS28-ID28-IE28,0),0)</f>
        <v>30639.7920848948</v>
      </c>
      <c r="QK28" s="57" t="n">
        <f aca="false">'Plan holdings'!BM28</f>
        <v>54869.4359030911</v>
      </c>
      <c r="QL28" s="20" t="n">
        <f aca="false">QH28*(1+AS_Cash)</f>
        <v>13746.3970323785</v>
      </c>
      <c r="QM28" s="20" t="n">
        <f aca="false">IF(W28=1,IF(HU28=1,II28+IL28,X28-QC28)*(1+Slot1_Rate),0)</f>
        <v>0</v>
      </c>
      <c r="QN28" s="20" t="n">
        <f aca="false">IF(AND(HU28=1,W28=1),(IH28+IL28)/F28,0)</f>
        <v>0</v>
      </c>
      <c r="QO28" s="20" t="n">
        <f aca="false">IF(B28=0,IH28+IL28,0)</f>
        <v>0</v>
      </c>
      <c r="QP28" s="20" t="n">
        <f aca="false">IF(B28=0,IF(HU28=1,IJ28,IK28),0)</f>
        <v>0</v>
      </c>
      <c r="QQ28" s="20" t="n">
        <f aca="false">IF(AH28=1,IF(HU28=1,IQ28+IT28,AI28-QA28)*(1+Slot2_Rate),0)</f>
        <v>0</v>
      </c>
      <c r="QR28" s="20" t="n">
        <f aca="false">IF(AND(HU28=1,AH28=1),(IP28+IT28)/F28,0)</f>
        <v>0</v>
      </c>
      <c r="QS28" s="20" t="n">
        <f aca="false">IF(B28=0,IP28+IT28,0)</f>
        <v>0</v>
      </c>
      <c r="QT28" s="20" t="n">
        <f aca="false">IF(B28=0,IF(HU28=1,IR28,IS28),0)</f>
        <v>0</v>
      </c>
      <c r="QU28" s="20" t="n">
        <f aca="false">IF(AR28=1,IF(HU28=1,IY28+JB28,AS28-PY28)*(1+Slot3_Rate),0)</f>
        <v>0</v>
      </c>
      <c r="QV28" s="20" t="n">
        <f aca="false">IF(AND(HU28=1,AR28=1),(IX28+JB28)/F28,0)</f>
        <v>0</v>
      </c>
      <c r="QW28" s="20" t="n">
        <f aca="false">IF(B28=0,IX28+JB28,0)</f>
        <v>0</v>
      </c>
      <c r="QX28" s="20" t="n">
        <f aca="false">IF(B28=0,IF(HU28=1,IZ28,JA28),0)</f>
        <v>0</v>
      </c>
      <c r="QY28" s="20" t="n">
        <f aca="false">IF(BB28=1,IF(HU28=1,JG28+JJ28,BC28-PW28)*(1+Slot4_Rate),0)</f>
        <v>0</v>
      </c>
      <c r="QZ28" s="20" t="n">
        <f aca="false">IF(AND(HU28=1,BB28=1),(JF28+JJ28)/F28,0)</f>
        <v>0</v>
      </c>
      <c r="RA28" s="20" t="n">
        <f aca="false">IF(B28=0,JF28+JJ28,0)</f>
        <v>0</v>
      </c>
      <c r="RB28" s="20" t="n">
        <f aca="false">IF(B28=0,IF(HU28=1,JH28,JI28),0)</f>
        <v>0</v>
      </c>
      <c r="RC28" s="20" t="n">
        <f aca="false">IF(BL28=1,IF(HU28=1,JO28+JR28,BM28-PU28)*(1+Slot5_Rate),0)</f>
        <v>0</v>
      </c>
      <c r="RD28" s="20" t="n">
        <f aca="false">IF(AND(HU28=1,BL28=1),(JN28+JR28)/F28,0)</f>
        <v>0</v>
      </c>
      <c r="RE28" s="20" t="n">
        <f aca="false">IF(B28=0,JN28+JR28,0)</f>
        <v>0</v>
      </c>
      <c r="RF28" s="20" t="n">
        <f aca="false">IF(B28=0,IF(HU28=1,JP28,JQ28),0)</f>
        <v>0</v>
      </c>
      <c r="RG28" s="20" t="n">
        <f aca="false">IF(BV28=1,IF(HU28=1,JW28+JZ28,BW28-PS28)*(1+Slot6_Rate),0)</f>
        <v>0</v>
      </c>
      <c r="RH28" s="20" t="n">
        <f aca="false">IF(AND(HU28=1,BV28=1),(JV28+JZ28)/F28,0)</f>
        <v>0</v>
      </c>
      <c r="RI28" s="20" t="n">
        <f aca="false">IF(B28=0,JV28+JZ28,0)</f>
        <v>0</v>
      </c>
      <c r="RJ28" s="20" t="n">
        <f aca="false">IF(B28=0,IF(HU28=1,JX28,JY28),0)</f>
        <v>0</v>
      </c>
      <c r="RK28" s="20" t="n">
        <f aca="false">IF(CF28=1,IF(HU28=1,KE28+KH28,CG28-PQ28)*(1+Slot7_Rate),0)</f>
        <v>0</v>
      </c>
      <c r="RL28" s="20" t="n">
        <f aca="false">IF(AND(HU28=1,CF28=1),(KD28+KH28)/F28,0)</f>
        <v>0</v>
      </c>
      <c r="RM28" s="20" t="n">
        <f aca="false">IF(B28=0,KD28+KH28,0)</f>
        <v>0</v>
      </c>
      <c r="RN28" s="20" t="n">
        <f aca="false">IF(B28=0,IF(HU28=1,KF28,KG28),0)</f>
        <v>0</v>
      </c>
      <c r="RO28" s="20" t="n">
        <f aca="false">IF(CP28=1,IF(HU28=1,KM28+KP28,CQ28-PO28)*(1+Slot8_Rate),0)</f>
        <v>0</v>
      </c>
      <c r="RP28" s="20" t="n">
        <f aca="false">IF(AND(HU28=1,CP28=1),(KL28+KP28)/F28,0)</f>
        <v>0</v>
      </c>
      <c r="RQ28" s="20" t="n">
        <f aca="false">IF(B28=0,KL28+KP28,0)</f>
        <v>0</v>
      </c>
      <c r="RR28" s="20" t="n">
        <f aca="false">IF(B28=0,IF(HU28=1,KN28,KO28),0)</f>
        <v>0</v>
      </c>
      <c r="RS28" s="20" t="n">
        <f aca="false">IF(CZ28=1,IF(HU28=1,KU28+KX28,DA28-PM28)*(1+Slot9_Rate),0)</f>
        <v>0</v>
      </c>
      <c r="RT28" s="20" t="n">
        <f aca="false">IF(AND(HU28=1,CZ28=1),(KT28+KX28)/F28,0)</f>
        <v>0</v>
      </c>
      <c r="RU28" s="20" t="n">
        <f aca="false">IF(B28=0,KT28+KX28,0)</f>
        <v>0</v>
      </c>
      <c r="RV28" s="20" t="n">
        <f aca="false">IF(B28=0,IF(HU28=1,KV28,KW28),0)</f>
        <v>0</v>
      </c>
      <c r="RW28" s="20" t="n">
        <f aca="false">IF(DJ28=1,IF(HU28=1,LC28+LF28,DK28-PK28)*(1+Slot10_Rate),0)</f>
        <v>0</v>
      </c>
      <c r="RX28" s="20" t="n">
        <f aca="false">IF(AND(HU28=1,DJ28=1),(LB28+LF28)/F28,0)</f>
        <v>0</v>
      </c>
      <c r="RY28" s="20" t="n">
        <f aca="false">IF(B28=0,LB28+LF28,0)</f>
        <v>0</v>
      </c>
      <c r="RZ28" s="20" t="n">
        <f aca="false">IF(B28=0,IF(HU28=1,LD28,LE28),0)</f>
        <v>0</v>
      </c>
      <c r="SA28" s="20" t="n">
        <f aca="false">IF(DT28=1,IF(HU28=1,LK28+LN28,DU28-PI28)*(1+Slot11_Rate),0)</f>
        <v>0</v>
      </c>
      <c r="SB28" s="20" t="n">
        <f aca="false">IF(AND(HU28=1,DT28=1),(LJ28+LN28)/F28,0)</f>
        <v>0</v>
      </c>
      <c r="SC28" s="20" t="n">
        <f aca="false">IF(B28=0,LJ28+LN28,0)</f>
        <v>0</v>
      </c>
      <c r="SD28" s="20" t="n">
        <f aca="false">IF(B28=0,IF(HU28=1,LL28,LM28),0)</f>
        <v>0</v>
      </c>
      <c r="SE28" s="20" t="n">
        <f aca="false">IF(ED28=1,IF(HU28=1,LS28+LV28,EE28-PG28)*(1+Slot12_Rate),0)</f>
        <v>0</v>
      </c>
      <c r="SF28" s="20" t="n">
        <f aca="false">IF(AND(HU28=1,ED28=1),(LR28+LV28)/F28,0)</f>
        <v>0</v>
      </c>
      <c r="SG28" s="20" t="n">
        <f aca="false">IF(B28=0,LR28+LV28,0)</f>
        <v>0</v>
      </c>
      <c r="SH28" s="20" t="n">
        <f aca="false">IF(B28=0,IF(HU28=1,LT28,LU28),0)</f>
        <v>0</v>
      </c>
      <c r="SI28" s="20" t="n">
        <f aca="false">IF(EN28=1,IF(HU28=1,MA28+MD28,EO28-PE28)*(1+Slot13_Rate),0)</f>
        <v>0</v>
      </c>
      <c r="SJ28" s="20" t="n">
        <f aca="false">IF(AND(HU28=1,EN28=1),(LZ28+MD28)/F28,0)</f>
        <v>0</v>
      </c>
      <c r="SK28" s="20" t="n">
        <f aca="false">IF(B28=0,LZ28+MD28,0)</f>
        <v>0</v>
      </c>
      <c r="SL28" s="20" t="n">
        <f aca="false">IF(B28=0,IF(HU28=1,MB28,MC28),0)</f>
        <v>0</v>
      </c>
      <c r="SM28" s="20" t="n">
        <f aca="false">IF(EX28=1,IF(HU28=1,MI28+ML28,EY28-PC28)*(1+Slot14_Rate),0)</f>
        <v>0</v>
      </c>
      <c r="SN28" s="20" t="n">
        <f aca="false">IF(AND(HU28=1,EX28=1),(MH28+ML28)/F28,0)</f>
        <v>0</v>
      </c>
      <c r="SO28" s="20" t="n">
        <f aca="false">IF(B28=0,MH28+ML28,0)</f>
        <v>0</v>
      </c>
      <c r="SP28" s="20" t="n">
        <f aca="false">IF(B28=0,IF(HU28=1,MJ28,MK28),0)</f>
        <v>0</v>
      </c>
      <c r="SQ28" s="20" t="n">
        <f aca="false">IF(FH28=1,IF(HU28=1,MQ28+MT28,FI28-PA28)*(1+Slot15_Rate),0)</f>
        <v>0</v>
      </c>
      <c r="SR28" s="20" t="n">
        <f aca="false">IF(AND(HU28=1,FH28=1),(MP28+MT28)/F28,0)</f>
        <v>0</v>
      </c>
      <c r="SS28" s="20" t="n">
        <f aca="false">IF(B28=0,MP28+MT28,0)</f>
        <v>0</v>
      </c>
      <c r="ST28" s="20" t="n">
        <f aca="false">IF(B28=0,IF(HU28=1,MR28,MS28),0)</f>
        <v>0</v>
      </c>
      <c r="SU28" s="20" t="n">
        <f aca="false">IF(FR28=1,IF(HU28=1,MY28+NB28,FS28-OY28)*(1+Slot16_Rate),0)</f>
        <v>0</v>
      </c>
      <c r="SV28" s="20" t="n">
        <f aca="false">IF(AND(HU28=1,FR28=1),(MX28+NB28)/F28,0)</f>
        <v>0</v>
      </c>
      <c r="SW28" s="20" t="n">
        <f aca="false">IF(B28=0,MX28+NB28,0)</f>
        <v>0</v>
      </c>
      <c r="SX28" s="20" t="n">
        <f aca="false">IF(B28=0,IF(HU28=1,MZ28,NA28),0)</f>
        <v>0</v>
      </c>
      <c r="SY28" s="20" t="n">
        <f aca="false">IF(GB28=1,IF(HU28=1,NG28+NJ28,GC28-OW28)*(1+Slot17_Rate),0)</f>
        <v>0</v>
      </c>
      <c r="SZ28" s="20" t="n">
        <f aca="false">IF(AND(HU28=1,GB28=1),(NF28+NJ28)/F28,0)</f>
        <v>0</v>
      </c>
      <c r="TA28" s="20" t="n">
        <f aca="false">IF(B28=0,NF28+NJ28,0)</f>
        <v>0</v>
      </c>
      <c r="TB28" s="20" t="n">
        <f aca="false">IF(B28=0,IF(HU28=1,NH28,NI28),0)</f>
        <v>0</v>
      </c>
      <c r="TC28" s="20" t="n">
        <f aca="false">IF(GL28=1,IF(HU28=1,NO28+NR28,GM28-OU28)*(1+Slot18_Rate),0)</f>
        <v>0</v>
      </c>
      <c r="TD28" s="20" t="n">
        <f aca="false">IF(AND(HU28=1,GL28=1),(NN28+NR28)/F28,0)</f>
        <v>0</v>
      </c>
      <c r="TE28" s="20" t="n">
        <f aca="false">IF(B28=0,NN28+NR28,0)</f>
        <v>0</v>
      </c>
      <c r="TF28" s="20" t="n">
        <f aca="false">IF(B28=0,IF(HU28=1,NP28,NQ28),0)</f>
        <v>0</v>
      </c>
      <c r="TG28" s="20" t="n">
        <f aca="false">IF(GV28=1,IF(HU28=1,NW28+NZ28,GW28-OS28)*(1+Slot19_Rate),0)</f>
        <v>0</v>
      </c>
      <c r="TH28" s="20" t="n">
        <f aca="false">IF(AND(HU28=1,GV28=1),(NV28+NZ28)/F28,0)</f>
        <v>0</v>
      </c>
      <c r="TI28" s="20" t="n">
        <f aca="false">IF(B28=0,NV28+NZ28,0)</f>
        <v>0</v>
      </c>
      <c r="TJ28" s="20" t="n">
        <f aca="false">IF(B28=0,IF(HU28=1,NX28,NY28),0)</f>
        <v>0</v>
      </c>
      <c r="TK28" s="20" t="n">
        <f aca="false">IF(HF28=1,IF(HU28=1,OE28+OH28,HG28-OQ28)*(1+Slot20_Rate),0)</f>
        <v>0</v>
      </c>
      <c r="TL28" s="20" t="n">
        <f aca="false">IF(AND(HU28=1,HF28=1),(OD28+OH28)/F28,0)</f>
        <v>0</v>
      </c>
      <c r="TM28" s="20" t="n">
        <f aca="false">IF(B28=0,OD28+OH28,0)</f>
        <v>0</v>
      </c>
      <c r="TN28" s="20" t="n">
        <f aca="false">IF(B28=0,IF(HU28=1,OF28,OG28),0)</f>
        <v>0</v>
      </c>
      <c r="TO28" s="20" t="n">
        <f aca="false">QK28+QL28+QM28+QQ28+QU28+QY28+RC28+RG28+RK28+RO28+RS28+RW28+SA28+SE28+SI28+SM28+SQ28+SU28+SY28+TC28+TG28+TK28</f>
        <v>68615.8329354695</v>
      </c>
      <c r="TP28" s="20" t="n">
        <f aca="false">QE28+HP28</f>
        <v>0</v>
      </c>
      <c r="TQ28" s="20" t="n">
        <f aca="false">I28+S28</f>
        <v>66867.632819026</v>
      </c>
      <c r="TR28" s="20" t="n">
        <f aca="false">1-G28</f>
        <v>0</v>
      </c>
      <c r="TS28" s="20" t="n">
        <f aca="false">IF(AND(RG_Exists=1,G28=0,C28=1),I28,0)</f>
        <v>0</v>
      </c>
      <c r="TT28" s="20" t="n">
        <f aca="false">IF(AND(RG_Exists=1,G28=0,C28=1),I28-MIN(QE28,I28),0)</f>
        <v>0</v>
      </c>
      <c r="TU28" s="20" t="n">
        <f aca="false">'Plan pay &amp; tax'!AD254</f>
        <v>455995.142274934</v>
      </c>
      <c r="TV28" s="20" t="n">
        <f aca="false">IF(AND(C28=1,QE28&gt;MAX(PR_Short1,TQ28*PR_Short2)),1,0)</f>
        <v>0</v>
      </c>
      <c r="TW28" s="20" t="n">
        <f aca="false">MIN(H28,I28+S28)</f>
        <v>66867.632819026</v>
      </c>
      <c r="TX28" s="20" t="n">
        <f aca="false">QF28+MAX(0,HQ28-HP28)</f>
        <v>0</v>
      </c>
      <c r="TY28" s="20" t="n">
        <f aca="false">QE28+HP28</f>
        <v>0</v>
      </c>
      <c r="TZ28" s="20" t="n">
        <f aca="false">IF(AND(C28=1,TY28&gt;PR_MinShort),1,0)</f>
        <v>0</v>
      </c>
      <c r="UA28" s="20" t="n">
        <f aca="false">IF(AND(C28=1,TZ28=0,TX28&gt;PR_MinShort),1,0)</f>
        <v>0</v>
      </c>
      <c r="UB28" s="20" t="n">
        <f aca="false">IF(AND(C28=1,QE28&gt;PR_MinShort),1,0)</f>
        <v>0</v>
      </c>
      <c r="UC28" s="20" t="n">
        <f aca="false">IF(AND(C28=1,QF28&gt;1,UJ28=0),1,0)</f>
        <v>0</v>
      </c>
      <c r="UD28" s="20" t="str">
        <f aca="false">IF(C28=0,"",IF(UJ28=1,"Gap to plan for: short "&amp;"€"&amp;TEXT(ROUND(TP28,0),"#,##0"),IF(QF28&gt;1,"Using savings","Comfortable")))</f>
        <v>Comfortable</v>
      </c>
      <c r="UE28" s="20" t="n">
        <f aca="false">IF(AND(INT(D28/10)*10=90,B28&gt;0),80,INT(D28/10)*10)</f>
        <v>50</v>
      </c>
      <c r="UF28" s="20" t="n">
        <f aca="false">IF(B28=0,1,IF(UE28&lt;&gt;UE27,UF27+1,UF27))</f>
        <v>3</v>
      </c>
      <c r="UG28" s="20" t="n">
        <f aca="false">IF(AND(C28=1,G28=1,QE28&gt;MAX(PR_Short1,TQ28*PR_Short2)),1,0)</f>
        <v>0</v>
      </c>
      <c r="UH28" s="20" t="n">
        <f aca="false">TR28*TV28</f>
        <v>0</v>
      </c>
      <c r="UI28" s="20" t="n">
        <f aca="false">IF(AND(V28=1,Slot1_PctLow=1),1,0)+IF(AND(AG28=1,Slot2_PctLow=1),1,0)+IF(AND(AQ28=1,Slot3_PctLow=1),1,0)+IF(AND(BA28=1,Slot4_PctLow=1),1,0)+IF(AND(BK28=1,Slot5_PctLow=1),1,0)+IF(AND(BU28=1,Slot6_PctLow=1),1,0)+IF(AND(CE28=1,Slot7_PctLow=1),1,0)+IF(AND(CO28=1,Slot8_PctLow=1),1,0)+IF(AND(CY28=1,Slot9_PctLow=1),1,0)+IF(AND(DI28=1,Slot10_PctLow=1),1,0)+IF(AND(DS28=1,Slot11_PctLow=1),1,0)+IF(AND(EC28=1,Slot12_PctLow=1),1,0)+IF(AND(EM28=1,Slot13_PctLow=1),1,0)+IF(AND(EW28=1,Slot14_PctLow=1),1,0)+IF(AND(FG28=1,Slot15_PctLow=1),1,0)+IF(AND(FQ28=1,Slot16_PctLow=1),1,0)+IF(AND(GA28=1,Slot17_PctLow=1),1,0)+IF(AND(GK28=1,Slot18_PctLow=1),1,0)+IF(AND(GU28=1,Slot19_PctLow=1),1,0)+IF(AND(HE28=1,Slot20_PctLow=1),1,0)</f>
        <v>0</v>
      </c>
      <c r="UJ28" s="20" t="n">
        <f aca="false">IF(C28=1,IF(OR(TV28=1,UI28&gt;0),1,0),0)</f>
        <v>0</v>
      </c>
      <c r="UK28" s="20" t="n">
        <f aca="false">Z28+AK28+AU28+BE28+BO28+BY28+CI28+CS28+DC28+DM28+DW28+EG28+EQ28+FA28+FK28+FU28+GE28+GO28+GY28+HI28+OM28</f>
        <v>0</v>
      </c>
      <c r="UL28" s="20" t="n">
        <f aca="false">V28*IF(Slot1_SpendLike=1,X28-Y28,IF(Slot1_PotFree=1,X28,0))+AG28*IF(Slot2_SpendLike=1,AI28-AJ28,IF(Slot2_PotFree=1,AI28,0))+AQ28*IF(Slot3_SpendLike=1,AS28-AT28,IF(Slot3_PotFree=1,AS28,0))+BA28*IF(Slot4_SpendLike=1,BC28-BD28,IF(Slot4_PotFree=1,BC28,0))+BK28*IF(Slot5_SpendLike=1,BM28-BN28,IF(Slot5_PotFree=1,BM28,0))+BU28*IF(Slot6_SpendLike=1,BW28-BX28,IF(Slot6_PotFree=1,BW28,0))+CE28*IF(Slot7_SpendLike=1,CG28-CH28,IF(Slot7_PotFree=1,CG28,0))+CO28*IF(Slot8_SpendLike=1,CQ28-CR28,IF(Slot8_PotFree=1,CQ28,0))+CY28*IF(Slot9_SpendLike=1,DA28-DB28,IF(Slot9_PotFree=1,DA28,0))+DI28*IF(Slot10_SpendLike=1,DK28-DL28,IF(Slot10_PotFree=1,DK28,0))+DS28*IF(Slot11_SpendLike=1,DU28-DV28,IF(Slot11_PotFree=1,DU28,0))+EC28*IF(Slot12_SpendLike=1,EE28-EF28,IF(Slot12_PotFree=1,EE28,0))+EM28*IF(Slot13_SpendLike=1,EO28-EP28,IF(Slot13_PotFree=1,EO28,0))+EW28*IF(Slot14_SpendLike=1,EY28-EZ28,IF(Slot14_PotFree=1,EY28,0))+FG28*IF(Slot15_SpendLike=1,FI28-FJ28,IF(Slot15_PotFree=1,FI28,0))+FQ28*IF(Slot16_SpendLike=1,FS28-FT28,IF(Slot16_PotFree=1,FS28,0))+GA28*IF(Slot17_SpendLike=1,GC28-GD28,IF(Slot17_PotFree=1,GC28,0))+GK28*IF(Slot18_SpendLike=1,GM28-GN28,IF(Slot18_PotFree=1,GM28,0))+GU28*IF(Slot19_SpendLike=1,GW28-GX28,IF(Slot19_PotFree=1,GW28,0))+HE28*IF(Slot20_SpendLike=1,HG28-HH28,IF(Slot20_PotFree=1,HG28,0))</f>
        <v>0</v>
      </c>
      <c r="UM28" s="20" t="n">
        <f aca="false">QG28-T28+UK28-UL28</f>
        <v>8915.68437587013</v>
      </c>
      <c r="UN28" s="20" t="n">
        <f aca="false">IF(OR(UN27=1,AND(In_homeUse="Yes, I'd downsize",In_downAge&gt;0,D28=In_downAge,OR(In_home="Own outright",In_home="Own with mortgage"),In_homeValue&gt;0)),1,0)</f>
        <v>0</v>
      </c>
    </row>
    <row r="29" customFormat="false" ht="15" hidden="false" customHeight="true" outlineLevel="0" collapsed="false">
      <c r="B29" s="20" t="n">
        <v>21</v>
      </c>
      <c r="C29" s="20" t="n">
        <f aca="false">IF(B29&lt;=F_N,1,0)</f>
        <v>1</v>
      </c>
      <c r="D29" s="20" t="n">
        <f aca="false">'Plan pay &amp; tax'!C255</f>
        <v>59</v>
      </c>
      <c r="E29" s="20" t="str">
        <f aca="false">IF($C29=1,"Income tax "&amp;TEXT(N('Plan pay &amp; tax'!BK255),"#,##0")&amp;"; USC "&amp;TEXT(N('Plan pay &amp; tax'!BM255)+N('Plan pay &amp; tax'!BO255),"#,##0")&amp;"; PRSI "&amp;TEXT(N('Plan pay &amp; tax'!BP255)+N('Plan pay &amp; tax'!BQ255),"#,##0")&amp;IF(N('Plan holdings'!BO29)&gt;=0.5,"; DIRT "&amp;TEXT(('Plan holdings'!BO29)/$F29,"#,##0")&amp;" (already taken from the interest earned)","")&amp;IF(N('Plan holdings'!BP29)&gt;=0.5,"; exit tax at an 8-year anniversary "&amp;TEXT(('Plan holdings'!BP29)/$F29,"#,##0"),"")&amp;IF(N('Plan holdings'!BN29)&gt;=0.5,"; tax on assets sold (exit tax or capital gains tax) "&amp;TEXT(('Plan holdings'!BN29)/$F29,"#,##0"),"")&amp;IF(N('Plan pay &amp; tax'!X255)-N('Plan pay &amp; tax'!Y255)&gt;=0.5,"; tax on the pension lump sum "&amp;TEXT(('Plan pay &amp; tax'!X255-'Plan pay &amp; tax'!Y255)/$F29,"#,##0"),"")&amp;IF(N('Plan pay &amp; tax'!V255)&gt;=0.5,"; chargeable excess tax on the pension "&amp;TEXT(('Plan pay &amp; tax'!V255)/$F29,"#,##0"),"")&amp;".","")</f>
        <v>Income tax 15,544; USC 2,086; PRSI 4,615; DIRT 165 (already taken from the interest earned); exit tax at an 8-year anniversary 96.</v>
      </c>
      <c r="F29" s="50" t="n">
        <f aca="false">'Plan pay &amp; tax'!E255</f>
        <v>1.51566634389792</v>
      </c>
      <c r="G29" s="20" t="n">
        <f aca="false">'Plan pay &amp; tax'!G255</f>
        <v>1</v>
      </c>
      <c r="H29" s="20" t="n">
        <f aca="false">'Plan pay &amp; tax'!BT255-'Plan pay &amp; tax'!BS255-'Plan pay &amp; tax'!R255</f>
        <v>109304.503116896</v>
      </c>
      <c r="I29" s="20" t="n">
        <f aca="false">IF(G29=1,F_CostsM*12,IF(RG_Exists=1,RG_Amount,F_CostsM*12*AS_RetireSpend))*F29+F_OneOffY*F29</f>
        <v>68204.9854754065</v>
      </c>
      <c r="J29" s="20" t="n">
        <f aca="false">IF(UN29=1,0,HR28)</f>
        <v>0</v>
      </c>
      <c r="K29" s="20" t="n">
        <f aca="false">IF(J29&gt;1,'Plan debt months'!AC29,0)</f>
        <v>0</v>
      </c>
      <c r="L29" s="20" t="n">
        <f aca="false">IF(J29&gt;1,'Plan debt months'!AB29,J29)</f>
        <v>0</v>
      </c>
      <c r="M29" s="20" t="n">
        <f aca="false">O28</f>
        <v>0</v>
      </c>
      <c r="N29" s="20" t="n">
        <f aca="false">IF(M29&gt;1,'Plan debt months'!BD29,0)</f>
        <v>0</v>
      </c>
      <c r="O29" s="20" t="n">
        <f aca="false">IF(M29&gt;1,'Plan debt months'!BC29,M29)</f>
        <v>0</v>
      </c>
      <c r="P29" s="20" t="n">
        <f aca="false">R28</f>
        <v>0</v>
      </c>
      <c r="Q29" s="20" t="n">
        <f aca="false">IF(P29&gt;1,'Plan debt months'!CE29,0)</f>
        <v>0</v>
      </c>
      <c r="R29" s="20" t="n">
        <f aca="false">IF(P29&gt;1,'Plan debt months'!CD29,P29)</f>
        <v>0</v>
      </c>
      <c r="S29" s="20" t="n">
        <f aca="false">K29+N29+Q29</f>
        <v>0</v>
      </c>
      <c r="T29" s="57" t="n">
        <f aca="false">'Plan holdings'!Y29</f>
        <v>53935.9993153538</v>
      </c>
      <c r="U29" s="57" t="n">
        <f aca="false">'Plan holdings'!BM28</f>
        <v>54869.4359030911</v>
      </c>
      <c r="V29" s="20" t="n">
        <f aca="false">IF(AND(Slot1_On=1,D29=Slot1_Age),1,0)</f>
        <v>0</v>
      </c>
      <c r="W29" s="20" t="n">
        <f aca="false">IF(AND(Slot1_On=1,Slot1_Age&gt;D29),1,0)</f>
        <v>0</v>
      </c>
      <c r="X29" s="20" t="n">
        <f aca="false">QM28</f>
        <v>0</v>
      </c>
      <c r="Y29" s="20" t="n">
        <f aca="false">V29*MIN(Slot1_Cost,X29)</f>
        <v>0</v>
      </c>
      <c r="Z29" s="20" t="n">
        <f aca="false">V29*Slot1_SpendLike*MIN(Slot1_Cost-Y29,T29)</f>
        <v>0</v>
      </c>
      <c r="AA29" s="20" t="n">
        <f aca="false">Y29+Z29</f>
        <v>0</v>
      </c>
      <c r="AB29" s="20" t="n">
        <f aca="false">T29-Z29+V29*IF(Slot1_SpendLike=1,X29-Y29,IF(Slot1_PotFree=1,X29,0))</f>
        <v>53935.9993153538</v>
      </c>
      <c r="AC29" s="20" t="n">
        <f aca="false">AF29+V29*Slot1_BufPot*X29</f>
        <v>13746.3970323785</v>
      </c>
      <c r="AD29" s="20" t="n">
        <f aca="false">IF(AND(V29=1,Slot1_IsMfree=1),IF(AA29&gt;=Slot1_Cost-1,0,MAX(0,L29-AA29)),L29)</f>
        <v>0</v>
      </c>
      <c r="AE29" s="20" t="n">
        <f aca="false">V29*(Slot1_Cost-AA29)</f>
        <v>0</v>
      </c>
      <c r="AF29" s="20" t="n">
        <f aca="false">QL28</f>
        <v>13746.3970323785</v>
      </c>
      <c r="AG29" s="20" t="n">
        <f aca="false">IF(AND(Slot2_On=1,D29=Slot2_Age),1,0)</f>
        <v>0</v>
      </c>
      <c r="AH29" s="20" t="n">
        <f aca="false">IF(AND(Slot2_On=1,Slot2_Age&gt;D29),1,0)</f>
        <v>0</v>
      </c>
      <c r="AI29" s="20" t="n">
        <f aca="false">QQ28</f>
        <v>0</v>
      </c>
      <c r="AJ29" s="20" t="n">
        <f aca="false">AG29*MIN(Slot2_Cost,AI29)</f>
        <v>0</v>
      </c>
      <c r="AK29" s="20" t="n">
        <f aca="false">AG29*Slot2_SpendLike*MIN(Slot2_Cost-AJ29,AB29)</f>
        <v>0</v>
      </c>
      <c r="AL29" s="20" t="n">
        <f aca="false">AJ29+AK29</f>
        <v>0</v>
      </c>
      <c r="AM29" s="20" t="n">
        <f aca="false">AB29-AK29+AG29*IF(Slot2_SpendLike=1,AI29-AJ29,IF(Slot2_PotFree=1,AI29,0))</f>
        <v>53935.9993153538</v>
      </c>
      <c r="AN29" s="20" t="n">
        <f aca="false">AC29+AG29*Slot2_BufPot*AI29</f>
        <v>13746.3970323785</v>
      </c>
      <c r="AO29" s="20" t="n">
        <f aca="false">IF(AND(AG29=1,Slot2_IsMfree=1),IF(AL29&gt;=Slot2_Cost-1,0,MAX(0,AD29-AL29)),AD29)</f>
        <v>0</v>
      </c>
      <c r="AP29" s="20" t="n">
        <f aca="false">AG29*(Slot2_Cost-AL29)</f>
        <v>0</v>
      </c>
      <c r="AQ29" s="20" t="n">
        <f aca="false">IF(AND(Slot3_On=1,D29=Slot3_Age),1,0)</f>
        <v>0</v>
      </c>
      <c r="AR29" s="20" t="n">
        <f aca="false">IF(AND(Slot3_On=1,Slot3_Age&gt;D29),1,0)</f>
        <v>0</v>
      </c>
      <c r="AS29" s="20" t="n">
        <f aca="false">QU28</f>
        <v>0</v>
      </c>
      <c r="AT29" s="20" t="n">
        <f aca="false">AQ29*MIN(Slot3_Cost,AS29)</f>
        <v>0</v>
      </c>
      <c r="AU29" s="20" t="n">
        <f aca="false">AQ29*Slot3_SpendLike*MIN(Slot3_Cost-AT29,AM29)</f>
        <v>0</v>
      </c>
      <c r="AV29" s="20" t="n">
        <f aca="false">AT29+AU29</f>
        <v>0</v>
      </c>
      <c r="AW29" s="20" t="n">
        <f aca="false">AM29-AU29+AQ29*IF(Slot3_SpendLike=1,AS29-AT29,IF(Slot3_PotFree=1,AS29,0))</f>
        <v>53935.9993153538</v>
      </c>
      <c r="AX29" s="20" t="n">
        <f aca="false">AN29+AQ29*Slot3_BufPot*AS29</f>
        <v>13746.3970323785</v>
      </c>
      <c r="AY29" s="20" t="n">
        <f aca="false">IF(AND(AQ29=1,Slot3_IsMfree=1),IF(AV29&gt;=Slot3_Cost-1,0,MAX(0,AO29-AV29)),AO29)</f>
        <v>0</v>
      </c>
      <c r="AZ29" s="20" t="n">
        <f aca="false">AQ29*(Slot3_Cost-AV29)</f>
        <v>0</v>
      </c>
      <c r="BA29" s="20" t="n">
        <f aca="false">IF(AND(Slot4_On=1,D29=Slot4_Age),1,0)</f>
        <v>0</v>
      </c>
      <c r="BB29" s="20" t="n">
        <f aca="false">IF(AND(Slot4_On=1,Slot4_Age&gt;D29),1,0)</f>
        <v>0</v>
      </c>
      <c r="BC29" s="20" t="n">
        <f aca="false">QY28</f>
        <v>0</v>
      </c>
      <c r="BD29" s="20" t="n">
        <f aca="false">BA29*MIN(Slot4_Cost,BC29)</f>
        <v>0</v>
      </c>
      <c r="BE29" s="20" t="n">
        <f aca="false">BA29*Slot4_SpendLike*MIN(Slot4_Cost-BD29,AW29)</f>
        <v>0</v>
      </c>
      <c r="BF29" s="20" t="n">
        <f aca="false">BD29+BE29</f>
        <v>0</v>
      </c>
      <c r="BG29" s="20" t="n">
        <f aca="false">AW29-BE29+BA29*IF(Slot4_SpendLike=1,BC29-BD29,IF(Slot4_PotFree=1,BC29,0))</f>
        <v>53935.9993153538</v>
      </c>
      <c r="BH29" s="20" t="n">
        <f aca="false">AX29+BA29*Slot4_BufPot*BC29</f>
        <v>13746.3970323785</v>
      </c>
      <c r="BI29" s="20" t="n">
        <f aca="false">IF(AND(BA29=1,Slot4_IsMfree=1),IF(BF29&gt;=Slot4_Cost-1,0,MAX(0,AY29-BF29)),AY29)</f>
        <v>0</v>
      </c>
      <c r="BJ29" s="20" t="n">
        <f aca="false">BA29*(Slot4_Cost-BF29)</f>
        <v>0</v>
      </c>
      <c r="BK29" s="20" t="n">
        <f aca="false">IF(AND(Slot5_On=1,D29=Slot5_Age),1,0)</f>
        <v>0</v>
      </c>
      <c r="BL29" s="20" t="n">
        <f aca="false">IF(AND(Slot5_On=1,Slot5_Age&gt;D29),1,0)</f>
        <v>0</v>
      </c>
      <c r="BM29" s="20" t="n">
        <f aca="false">RC28</f>
        <v>0</v>
      </c>
      <c r="BN29" s="20" t="n">
        <f aca="false">BK29*MIN(Slot5_Cost,BM29)</f>
        <v>0</v>
      </c>
      <c r="BO29" s="20" t="n">
        <f aca="false">BK29*Slot5_SpendLike*MIN(Slot5_Cost-BN29,BG29)</f>
        <v>0</v>
      </c>
      <c r="BP29" s="20" t="n">
        <f aca="false">BN29+BO29</f>
        <v>0</v>
      </c>
      <c r="BQ29" s="20" t="n">
        <f aca="false">BG29-BO29+BK29*IF(Slot5_SpendLike=1,BM29-BN29,IF(Slot5_PotFree=1,BM29,0))</f>
        <v>53935.9993153538</v>
      </c>
      <c r="BR29" s="20" t="n">
        <f aca="false">BH29+BK29*Slot5_BufPot*BM29</f>
        <v>13746.3970323785</v>
      </c>
      <c r="BS29" s="20" t="n">
        <f aca="false">IF(AND(BK29=1,Slot5_IsMfree=1),IF(BP29&gt;=Slot5_Cost-1,0,MAX(0,BI29-BP29)),BI29)</f>
        <v>0</v>
      </c>
      <c r="BT29" s="20" t="n">
        <f aca="false">BK29*(Slot5_Cost-BP29)</f>
        <v>0</v>
      </c>
      <c r="BU29" s="20" t="n">
        <f aca="false">IF(AND(Slot6_On=1,D29=Slot6_Age),1,0)</f>
        <v>0</v>
      </c>
      <c r="BV29" s="20" t="n">
        <f aca="false">IF(AND(Slot6_On=1,Slot6_Age&gt;D29),1,0)</f>
        <v>0</v>
      </c>
      <c r="BW29" s="20" t="n">
        <f aca="false">RG28</f>
        <v>0</v>
      </c>
      <c r="BX29" s="20" t="n">
        <f aca="false">BU29*MIN(Slot6_Cost,BW29)</f>
        <v>0</v>
      </c>
      <c r="BY29" s="20" t="n">
        <f aca="false">BU29*Slot6_SpendLike*MIN(Slot6_Cost-BX29,BQ29)</f>
        <v>0</v>
      </c>
      <c r="BZ29" s="20" t="n">
        <f aca="false">BX29+BY29</f>
        <v>0</v>
      </c>
      <c r="CA29" s="20" t="n">
        <f aca="false">BQ29-BY29+BU29*IF(Slot6_SpendLike=1,BW29-BX29,IF(Slot6_PotFree=1,BW29,0))</f>
        <v>53935.9993153538</v>
      </c>
      <c r="CB29" s="20" t="n">
        <f aca="false">BR29+BU29*Slot6_BufPot*BW29</f>
        <v>13746.3970323785</v>
      </c>
      <c r="CC29" s="20" t="n">
        <f aca="false">IF(AND(BU29=1,Slot6_IsMfree=1),IF(BZ29&gt;=Slot6_Cost-1,0,MAX(0,BS29-BZ29)),BS29)</f>
        <v>0</v>
      </c>
      <c r="CD29" s="20" t="n">
        <f aca="false">BU29*(Slot6_Cost-BZ29)</f>
        <v>0</v>
      </c>
      <c r="CE29" s="20" t="n">
        <f aca="false">IF(AND(Slot7_On=1,D29=Slot7_Age),1,0)</f>
        <v>0</v>
      </c>
      <c r="CF29" s="20" t="n">
        <f aca="false">IF(AND(Slot7_On=1,Slot7_Age&gt;D29),1,0)</f>
        <v>0</v>
      </c>
      <c r="CG29" s="20" t="n">
        <f aca="false">RK28</f>
        <v>0</v>
      </c>
      <c r="CH29" s="20" t="n">
        <f aca="false">CE29*MIN(Slot7_Cost,CG29)</f>
        <v>0</v>
      </c>
      <c r="CI29" s="20" t="n">
        <f aca="false">CE29*Slot7_SpendLike*MIN(Slot7_Cost-CH29,CA29)</f>
        <v>0</v>
      </c>
      <c r="CJ29" s="20" t="n">
        <f aca="false">CH29+CI29</f>
        <v>0</v>
      </c>
      <c r="CK29" s="20" t="n">
        <f aca="false">CA29-CI29+CE29*IF(Slot7_SpendLike=1,CG29-CH29,IF(Slot7_PotFree=1,CG29,0))</f>
        <v>53935.9993153538</v>
      </c>
      <c r="CL29" s="20" t="n">
        <f aca="false">CB29+CE29*Slot7_BufPot*CG29</f>
        <v>13746.3970323785</v>
      </c>
      <c r="CM29" s="20" t="n">
        <f aca="false">IF(AND(CE29=1,Slot7_IsMfree=1),IF(CJ29&gt;=Slot7_Cost-1,0,MAX(0,CC29-CJ29)),CC29)</f>
        <v>0</v>
      </c>
      <c r="CN29" s="20" t="n">
        <f aca="false">CE29*(Slot7_Cost-CJ29)</f>
        <v>0</v>
      </c>
      <c r="CO29" s="20" t="n">
        <f aca="false">IF(AND(Slot8_On=1,D29=Slot8_Age),1,0)</f>
        <v>0</v>
      </c>
      <c r="CP29" s="20" t="n">
        <f aca="false">IF(AND(Slot8_On=1,Slot8_Age&gt;D29),1,0)</f>
        <v>0</v>
      </c>
      <c r="CQ29" s="20" t="n">
        <f aca="false">RO28</f>
        <v>0</v>
      </c>
      <c r="CR29" s="20" t="n">
        <f aca="false">CO29*MIN(Slot8_Cost,CQ29)</f>
        <v>0</v>
      </c>
      <c r="CS29" s="20" t="n">
        <f aca="false">CO29*Slot8_SpendLike*MIN(Slot8_Cost-CR29,CK29)</f>
        <v>0</v>
      </c>
      <c r="CT29" s="20" t="n">
        <f aca="false">CR29+CS29</f>
        <v>0</v>
      </c>
      <c r="CU29" s="20" t="n">
        <f aca="false">CK29-CS29+CO29*IF(Slot8_SpendLike=1,CQ29-CR29,IF(Slot8_PotFree=1,CQ29,0))</f>
        <v>53935.9993153538</v>
      </c>
      <c r="CV29" s="20" t="n">
        <f aca="false">CL29+CO29*Slot8_BufPot*CQ29</f>
        <v>13746.3970323785</v>
      </c>
      <c r="CW29" s="20" t="n">
        <f aca="false">IF(AND(CO29=1,Slot8_IsMfree=1),IF(CT29&gt;=Slot8_Cost-1,0,MAX(0,CM29-CT29)),CM29)</f>
        <v>0</v>
      </c>
      <c r="CX29" s="20" t="n">
        <f aca="false">CO29*(Slot8_Cost-CT29)</f>
        <v>0</v>
      </c>
      <c r="CY29" s="20" t="n">
        <f aca="false">IF(AND(Slot9_On=1,D29=Slot9_Age),1,0)</f>
        <v>0</v>
      </c>
      <c r="CZ29" s="20" t="n">
        <f aca="false">IF(AND(Slot9_On=1,Slot9_Age&gt;D29),1,0)</f>
        <v>0</v>
      </c>
      <c r="DA29" s="20" t="n">
        <f aca="false">RS28</f>
        <v>0</v>
      </c>
      <c r="DB29" s="20" t="n">
        <f aca="false">CY29*MIN(Slot9_Cost,DA29)</f>
        <v>0</v>
      </c>
      <c r="DC29" s="20" t="n">
        <f aca="false">CY29*Slot9_SpendLike*MIN(Slot9_Cost-DB29,CU29)</f>
        <v>0</v>
      </c>
      <c r="DD29" s="20" t="n">
        <f aca="false">DB29+DC29</f>
        <v>0</v>
      </c>
      <c r="DE29" s="20" t="n">
        <f aca="false">CU29-DC29+CY29*IF(Slot9_SpendLike=1,DA29-DB29,IF(Slot9_PotFree=1,DA29,0))</f>
        <v>53935.9993153538</v>
      </c>
      <c r="DF29" s="20" t="n">
        <f aca="false">CV29+CY29*Slot9_BufPot*DA29</f>
        <v>13746.3970323785</v>
      </c>
      <c r="DG29" s="20" t="n">
        <f aca="false">IF(AND(CY29=1,Slot9_IsMfree=1),IF(DD29&gt;=Slot9_Cost-1,0,MAX(0,CW29-DD29)),CW29)</f>
        <v>0</v>
      </c>
      <c r="DH29" s="20" t="n">
        <f aca="false">CY29*(Slot9_Cost-DD29)</f>
        <v>0</v>
      </c>
      <c r="DI29" s="20" t="n">
        <f aca="false">IF(AND(Slot10_On=1,D29=Slot10_Age),1,0)</f>
        <v>0</v>
      </c>
      <c r="DJ29" s="20" t="n">
        <f aca="false">IF(AND(Slot10_On=1,Slot10_Age&gt;D29),1,0)</f>
        <v>0</v>
      </c>
      <c r="DK29" s="20" t="n">
        <f aca="false">RW28</f>
        <v>0</v>
      </c>
      <c r="DL29" s="20" t="n">
        <f aca="false">DI29*MIN(Slot10_Cost,DK29)</f>
        <v>0</v>
      </c>
      <c r="DM29" s="20" t="n">
        <f aca="false">DI29*Slot10_SpendLike*MIN(Slot10_Cost-DL29,DE29)</f>
        <v>0</v>
      </c>
      <c r="DN29" s="20" t="n">
        <f aca="false">DL29+DM29</f>
        <v>0</v>
      </c>
      <c r="DO29" s="20" t="n">
        <f aca="false">DE29-DM29+DI29*IF(Slot10_SpendLike=1,DK29-DL29,IF(Slot10_PotFree=1,DK29,0))</f>
        <v>53935.9993153538</v>
      </c>
      <c r="DP29" s="20" t="n">
        <f aca="false">DF29+DI29*Slot10_BufPot*DK29</f>
        <v>13746.3970323785</v>
      </c>
      <c r="DQ29" s="20" t="n">
        <f aca="false">IF(AND(DI29=1,Slot10_IsMfree=1),IF(DN29&gt;=Slot10_Cost-1,0,MAX(0,DG29-DN29)),DG29)</f>
        <v>0</v>
      </c>
      <c r="DR29" s="20" t="n">
        <f aca="false">DI29*(Slot10_Cost-DN29)</f>
        <v>0</v>
      </c>
      <c r="DS29" s="20" t="n">
        <f aca="false">IF(AND(Slot11_On=1,D29=Slot11_Age),1,0)</f>
        <v>0</v>
      </c>
      <c r="DT29" s="20" t="n">
        <f aca="false">IF(AND(Slot11_On=1,Slot11_Age&gt;D29),1,0)</f>
        <v>0</v>
      </c>
      <c r="DU29" s="20" t="n">
        <f aca="false">SA28</f>
        <v>0</v>
      </c>
      <c r="DV29" s="20" t="n">
        <f aca="false">DS29*MIN(Slot11_Cost,DU29)</f>
        <v>0</v>
      </c>
      <c r="DW29" s="20" t="n">
        <f aca="false">DS29*Slot11_SpendLike*MIN(Slot11_Cost-DV29,DO29)</f>
        <v>0</v>
      </c>
      <c r="DX29" s="20" t="n">
        <f aca="false">DV29+DW29</f>
        <v>0</v>
      </c>
      <c r="DY29" s="20" t="n">
        <f aca="false">DO29-DW29+DS29*IF(Slot11_SpendLike=1,DU29-DV29,IF(Slot11_PotFree=1,DU29,0))</f>
        <v>53935.9993153538</v>
      </c>
      <c r="DZ29" s="20" t="n">
        <f aca="false">DP29+DS29*Slot11_BufPot*DU29</f>
        <v>13746.3970323785</v>
      </c>
      <c r="EA29" s="20" t="n">
        <f aca="false">IF(AND(DS29=1,Slot11_IsMfree=1),IF(DX29&gt;=Slot11_Cost-1,0,MAX(0,DQ29-DX29)),DQ29)</f>
        <v>0</v>
      </c>
      <c r="EB29" s="20" t="n">
        <f aca="false">DS29*(Slot11_Cost-DX29)</f>
        <v>0</v>
      </c>
      <c r="EC29" s="20" t="n">
        <f aca="false">IF(AND(Slot12_On=1,D29=Slot12_Age),1,0)</f>
        <v>0</v>
      </c>
      <c r="ED29" s="20" t="n">
        <f aca="false">IF(AND(Slot12_On=1,Slot12_Age&gt;D29),1,0)</f>
        <v>0</v>
      </c>
      <c r="EE29" s="20" t="n">
        <f aca="false">SE28</f>
        <v>0</v>
      </c>
      <c r="EF29" s="20" t="n">
        <f aca="false">EC29*MIN(Slot12_Cost,EE29)</f>
        <v>0</v>
      </c>
      <c r="EG29" s="20" t="n">
        <f aca="false">EC29*Slot12_SpendLike*MIN(Slot12_Cost-EF29,DY29)</f>
        <v>0</v>
      </c>
      <c r="EH29" s="20" t="n">
        <f aca="false">EF29+EG29</f>
        <v>0</v>
      </c>
      <c r="EI29" s="20" t="n">
        <f aca="false">DY29-EG29+EC29*IF(Slot12_SpendLike=1,EE29-EF29,IF(Slot12_PotFree=1,EE29,0))</f>
        <v>53935.9993153538</v>
      </c>
      <c r="EJ29" s="20" t="n">
        <f aca="false">DZ29+EC29*Slot12_BufPot*EE29</f>
        <v>13746.3970323785</v>
      </c>
      <c r="EK29" s="20" t="n">
        <f aca="false">IF(AND(EC29=1,Slot12_IsMfree=1),IF(EH29&gt;=Slot12_Cost-1,0,MAX(0,EA29-EH29)),EA29)</f>
        <v>0</v>
      </c>
      <c r="EL29" s="20" t="n">
        <f aca="false">EC29*(Slot12_Cost-EH29)</f>
        <v>0</v>
      </c>
      <c r="EM29" s="20" t="n">
        <f aca="false">IF(AND(Slot13_On=1,D29=Slot13_Age),1,0)</f>
        <v>0</v>
      </c>
      <c r="EN29" s="20" t="n">
        <f aca="false">IF(AND(Slot13_On=1,Slot13_Age&gt;D29),1,0)</f>
        <v>0</v>
      </c>
      <c r="EO29" s="20" t="n">
        <f aca="false">SI28</f>
        <v>0</v>
      </c>
      <c r="EP29" s="20" t="n">
        <f aca="false">EM29*MIN(Slot13_Cost,EO29)</f>
        <v>0</v>
      </c>
      <c r="EQ29" s="20" t="n">
        <f aca="false">EM29*Slot13_SpendLike*MIN(Slot13_Cost-EP29,EI29)</f>
        <v>0</v>
      </c>
      <c r="ER29" s="20" t="n">
        <f aca="false">EP29+EQ29</f>
        <v>0</v>
      </c>
      <c r="ES29" s="20" t="n">
        <f aca="false">EI29-EQ29+EM29*IF(Slot13_SpendLike=1,EO29-EP29,IF(Slot13_PotFree=1,EO29,0))</f>
        <v>53935.9993153538</v>
      </c>
      <c r="ET29" s="20" t="n">
        <f aca="false">EJ29+EM29*Slot13_BufPot*EO29</f>
        <v>13746.3970323785</v>
      </c>
      <c r="EU29" s="20" t="n">
        <f aca="false">IF(AND(EM29=1,Slot13_IsMfree=1),IF(ER29&gt;=Slot13_Cost-1,0,MAX(0,EK29-ER29)),EK29)</f>
        <v>0</v>
      </c>
      <c r="EV29" s="20" t="n">
        <f aca="false">EM29*(Slot13_Cost-ER29)</f>
        <v>0</v>
      </c>
      <c r="EW29" s="20" t="n">
        <f aca="false">IF(AND(Slot14_On=1,D29=Slot14_Age),1,0)</f>
        <v>0</v>
      </c>
      <c r="EX29" s="20" t="n">
        <f aca="false">IF(AND(Slot14_On=1,Slot14_Age&gt;D29),1,0)</f>
        <v>0</v>
      </c>
      <c r="EY29" s="20" t="n">
        <f aca="false">SM28</f>
        <v>0</v>
      </c>
      <c r="EZ29" s="20" t="n">
        <f aca="false">EW29*MIN(Slot14_Cost,EY29)</f>
        <v>0</v>
      </c>
      <c r="FA29" s="20" t="n">
        <f aca="false">EW29*Slot14_SpendLike*MIN(Slot14_Cost-EZ29,ES29)</f>
        <v>0</v>
      </c>
      <c r="FB29" s="20" t="n">
        <f aca="false">EZ29+FA29</f>
        <v>0</v>
      </c>
      <c r="FC29" s="20" t="n">
        <f aca="false">ES29-FA29+EW29*IF(Slot14_SpendLike=1,EY29-EZ29,IF(Slot14_PotFree=1,EY29,0))</f>
        <v>53935.9993153538</v>
      </c>
      <c r="FD29" s="20" t="n">
        <f aca="false">ET29+EW29*Slot14_BufPot*EY29</f>
        <v>13746.3970323785</v>
      </c>
      <c r="FE29" s="20" t="n">
        <f aca="false">IF(AND(EW29=1,Slot14_IsMfree=1),IF(FB29&gt;=Slot14_Cost-1,0,MAX(0,EU29-FB29)),EU29)</f>
        <v>0</v>
      </c>
      <c r="FF29" s="20" t="n">
        <f aca="false">EW29*(Slot14_Cost-FB29)</f>
        <v>0</v>
      </c>
      <c r="FG29" s="20" t="n">
        <f aca="false">IF(AND(Slot15_On=1,D29=Slot15_Age),1,0)</f>
        <v>0</v>
      </c>
      <c r="FH29" s="20" t="n">
        <f aca="false">IF(AND(Slot15_On=1,Slot15_Age&gt;D29),1,0)</f>
        <v>0</v>
      </c>
      <c r="FI29" s="20" t="n">
        <f aca="false">SQ28</f>
        <v>0</v>
      </c>
      <c r="FJ29" s="20" t="n">
        <f aca="false">FG29*MIN(Slot15_Cost,FI29)</f>
        <v>0</v>
      </c>
      <c r="FK29" s="20" t="n">
        <f aca="false">FG29*Slot15_SpendLike*MIN(Slot15_Cost-FJ29,FC29)</f>
        <v>0</v>
      </c>
      <c r="FL29" s="20" t="n">
        <f aca="false">FJ29+FK29</f>
        <v>0</v>
      </c>
      <c r="FM29" s="20" t="n">
        <f aca="false">FC29-FK29+FG29*IF(Slot15_SpendLike=1,FI29-FJ29,IF(Slot15_PotFree=1,FI29,0))</f>
        <v>53935.9993153538</v>
      </c>
      <c r="FN29" s="20" t="n">
        <f aca="false">FD29+FG29*Slot15_BufPot*FI29</f>
        <v>13746.3970323785</v>
      </c>
      <c r="FO29" s="20" t="n">
        <f aca="false">IF(AND(FG29=1,Slot15_IsMfree=1),IF(FL29&gt;=Slot15_Cost-1,0,MAX(0,FE29-FL29)),FE29)</f>
        <v>0</v>
      </c>
      <c r="FP29" s="20" t="n">
        <f aca="false">FG29*(Slot15_Cost-FL29)</f>
        <v>0</v>
      </c>
      <c r="FQ29" s="20" t="n">
        <f aca="false">IF(AND(Slot16_On=1,D29=Slot16_Age),1,0)</f>
        <v>0</v>
      </c>
      <c r="FR29" s="20" t="n">
        <f aca="false">IF(AND(Slot16_On=1,Slot16_Age&gt;D29),1,0)</f>
        <v>0</v>
      </c>
      <c r="FS29" s="20" t="n">
        <f aca="false">SU28</f>
        <v>0</v>
      </c>
      <c r="FT29" s="20" t="n">
        <f aca="false">FQ29*MIN(Slot16_Cost,FS29)</f>
        <v>0</v>
      </c>
      <c r="FU29" s="20" t="n">
        <f aca="false">FQ29*Slot16_SpendLike*MIN(Slot16_Cost-FT29,FM29)</f>
        <v>0</v>
      </c>
      <c r="FV29" s="20" t="n">
        <f aca="false">FT29+FU29</f>
        <v>0</v>
      </c>
      <c r="FW29" s="20" t="n">
        <f aca="false">FM29-FU29+FQ29*IF(Slot16_SpendLike=1,FS29-FT29,IF(Slot16_PotFree=1,FS29,0))</f>
        <v>53935.9993153538</v>
      </c>
      <c r="FX29" s="20" t="n">
        <f aca="false">FN29+FQ29*Slot16_BufPot*FS29</f>
        <v>13746.3970323785</v>
      </c>
      <c r="FY29" s="20" t="n">
        <f aca="false">IF(AND(FQ29=1,Slot16_IsMfree=1),IF(FV29&gt;=Slot16_Cost-1,0,MAX(0,FO29-FV29)),FO29)</f>
        <v>0</v>
      </c>
      <c r="FZ29" s="20" t="n">
        <f aca="false">FQ29*(Slot16_Cost-FV29)</f>
        <v>0</v>
      </c>
      <c r="GA29" s="20" t="n">
        <f aca="false">IF(AND(Slot17_On=1,D29=Slot17_Age),1,0)</f>
        <v>0</v>
      </c>
      <c r="GB29" s="20" t="n">
        <f aca="false">IF(AND(Slot17_On=1,Slot17_Age&gt;D29),1,0)</f>
        <v>0</v>
      </c>
      <c r="GC29" s="20" t="n">
        <f aca="false">SY28</f>
        <v>0</v>
      </c>
      <c r="GD29" s="20" t="n">
        <f aca="false">GA29*MIN(Slot17_Cost,GC29)</f>
        <v>0</v>
      </c>
      <c r="GE29" s="20" t="n">
        <f aca="false">GA29*Slot17_SpendLike*MIN(Slot17_Cost-GD29,FW29)</f>
        <v>0</v>
      </c>
      <c r="GF29" s="20" t="n">
        <f aca="false">GD29+GE29</f>
        <v>0</v>
      </c>
      <c r="GG29" s="20" t="n">
        <f aca="false">FW29-GE29+GA29*IF(Slot17_SpendLike=1,GC29-GD29,IF(Slot17_PotFree=1,GC29,0))</f>
        <v>53935.9993153538</v>
      </c>
      <c r="GH29" s="20" t="n">
        <f aca="false">FX29+GA29*Slot17_BufPot*GC29</f>
        <v>13746.3970323785</v>
      </c>
      <c r="GI29" s="20" t="n">
        <f aca="false">IF(AND(GA29=1,Slot17_IsMfree=1),IF(GF29&gt;=Slot17_Cost-1,0,MAX(0,FY29-GF29)),FY29)</f>
        <v>0</v>
      </c>
      <c r="GJ29" s="20" t="n">
        <f aca="false">GA29*(Slot17_Cost-GF29)</f>
        <v>0</v>
      </c>
      <c r="GK29" s="20" t="n">
        <f aca="false">IF(AND(Slot18_On=1,D29=Slot18_Age),1,0)</f>
        <v>0</v>
      </c>
      <c r="GL29" s="20" t="n">
        <f aca="false">IF(AND(Slot18_On=1,Slot18_Age&gt;D29),1,0)</f>
        <v>0</v>
      </c>
      <c r="GM29" s="20" t="n">
        <f aca="false">TC28</f>
        <v>0</v>
      </c>
      <c r="GN29" s="20" t="n">
        <f aca="false">GK29*MIN(Slot18_Cost,GM29)</f>
        <v>0</v>
      </c>
      <c r="GO29" s="20" t="n">
        <f aca="false">GK29*Slot18_SpendLike*MIN(Slot18_Cost-GN29,GG29)</f>
        <v>0</v>
      </c>
      <c r="GP29" s="20" t="n">
        <f aca="false">GN29+GO29</f>
        <v>0</v>
      </c>
      <c r="GQ29" s="20" t="n">
        <f aca="false">GG29-GO29+GK29*IF(Slot18_SpendLike=1,GM29-GN29,IF(Slot18_PotFree=1,GM29,0))</f>
        <v>53935.9993153538</v>
      </c>
      <c r="GR29" s="20" t="n">
        <f aca="false">GH29+GK29*Slot18_BufPot*GM29</f>
        <v>13746.3970323785</v>
      </c>
      <c r="GS29" s="20" t="n">
        <f aca="false">IF(AND(GK29=1,Slot18_IsMfree=1),IF(GP29&gt;=Slot18_Cost-1,0,MAX(0,GI29-GP29)),GI29)</f>
        <v>0</v>
      </c>
      <c r="GT29" s="20" t="n">
        <f aca="false">GK29*(Slot18_Cost-GP29)</f>
        <v>0</v>
      </c>
      <c r="GU29" s="20" t="n">
        <f aca="false">IF(AND(Slot19_On=1,D29=Slot19_Age),1,0)</f>
        <v>0</v>
      </c>
      <c r="GV29" s="20" t="n">
        <f aca="false">IF(AND(Slot19_On=1,Slot19_Age&gt;D29),1,0)</f>
        <v>0</v>
      </c>
      <c r="GW29" s="20" t="n">
        <f aca="false">TG28</f>
        <v>0</v>
      </c>
      <c r="GX29" s="20" t="n">
        <f aca="false">GU29*MIN(Slot19_Cost,GW29)</f>
        <v>0</v>
      </c>
      <c r="GY29" s="20" t="n">
        <f aca="false">GU29*Slot19_SpendLike*MIN(Slot19_Cost-GX29,GQ29)</f>
        <v>0</v>
      </c>
      <c r="GZ29" s="20" t="n">
        <f aca="false">GX29+GY29</f>
        <v>0</v>
      </c>
      <c r="HA29" s="20" t="n">
        <f aca="false">GQ29-GY29+GU29*IF(Slot19_SpendLike=1,GW29-GX29,IF(Slot19_PotFree=1,GW29,0))</f>
        <v>53935.9993153538</v>
      </c>
      <c r="HB29" s="20" t="n">
        <f aca="false">GR29+GU29*Slot19_BufPot*GW29</f>
        <v>13746.3970323785</v>
      </c>
      <c r="HC29" s="20" t="n">
        <f aca="false">IF(AND(GU29=1,Slot19_IsMfree=1),IF(GZ29&gt;=Slot19_Cost-1,0,MAX(0,GS29-GZ29)),GS29)</f>
        <v>0</v>
      </c>
      <c r="HD29" s="20" t="n">
        <f aca="false">GU29*(Slot19_Cost-GZ29)</f>
        <v>0</v>
      </c>
      <c r="HE29" s="20" t="n">
        <f aca="false">IF(AND(Slot20_On=1,D29=Slot20_Age),1,0)</f>
        <v>0</v>
      </c>
      <c r="HF29" s="20" t="n">
        <f aca="false">IF(AND(Slot20_On=1,Slot20_Age&gt;D29),1,0)</f>
        <v>0</v>
      </c>
      <c r="HG29" s="20" t="n">
        <f aca="false">TK28</f>
        <v>0</v>
      </c>
      <c r="HH29" s="20" t="n">
        <f aca="false">HE29*MIN(Slot20_Cost,HG29)</f>
        <v>0</v>
      </c>
      <c r="HI29" s="20" t="n">
        <f aca="false">HE29*Slot20_SpendLike*MIN(Slot20_Cost-HH29,HA29)</f>
        <v>0</v>
      </c>
      <c r="HJ29" s="20" t="n">
        <f aca="false">HH29+HI29</f>
        <v>0</v>
      </c>
      <c r="HK29" s="20" t="n">
        <f aca="false">HA29-HI29+HE29*IF(Slot20_SpendLike=1,HG29-HH29,IF(Slot20_PotFree=1,HG29,0))</f>
        <v>53935.9993153538</v>
      </c>
      <c r="HL29" s="20" t="n">
        <f aca="false">HB29+HE29*Slot20_BufPot*HG29</f>
        <v>13746.3970323785</v>
      </c>
      <c r="HM29" s="20" t="n">
        <f aca="false">IF(AND(HE29=1,Slot20_IsMfree=1),IF(HJ29&gt;=Slot20_Cost-1,0,MAX(0,HC29-HJ29)),HC29)</f>
        <v>0</v>
      </c>
      <c r="HN29" s="20" t="n">
        <f aca="false">HE29*(Slot20_Cost-HJ29)</f>
        <v>0</v>
      </c>
      <c r="HO29" s="20" t="n">
        <f aca="false">V29*Slot1_SpendLike*AA29+AG29*Slot2_SpendLike*AL29+AQ29*Slot3_SpendLike*AV29+BA29*Slot4_SpendLike*BF29+BK29*Slot5_SpendLike*BP29+BU29*Slot6_SpendLike*BZ29+CE29*Slot7_SpendLike*CJ29+CO29*Slot8_SpendLike*CT29+CY29*Slot9_SpendLike*DD29+DI29*Slot10_SpendLike*DN29+DS29*Slot11_SpendLike*DX29+EC29*Slot12_SpendLike*EH29+EM29*Slot13_SpendLike*ER29+EW29*Slot14_SpendLike*FB29+FG29*Slot15_SpendLike*FL29+FQ29*Slot16_SpendLike*FV29+GA29*Slot17_SpendLike*GF29+GK29*Slot18_SpendLike*GP29+GU29*Slot19_SpendLike*GZ29+HE29*Slot20_SpendLike*HJ29</f>
        <v>0</v>
      </c>
      <c r="HP29" s="20" t="n">
        <f aca="false">AE29+AP29+AZ29+BJ29+BT29+CD29+CN29+CX29+DH29+DR29+EB29+EL29+EV29+FF29+FP29+FZ29+GJ29+GT29+HD29+HN29</f>
        <v>0</v>
      </c>
      <c r="HQ29" s="20" t="n">
        <f aca="false">V29*Slot1_Cost+AG29*Slot2_Cost+AQ29*Slot3_Cost+BA29*Slot4_Cost+BK29*Slot5_Cost+BU29*Slot6_Cost+CE29*Slot7_Cost+CO29*Slot8_Cost+CY29*Slot9_Cost+DI29*Slot10_Cost+DS29*Slot11_Cost+EC29*Slot12_Cost+EM29*Slot13_Cost+EW29*Slot14_Cost+FG29*Slot15_Cost+FQ29*Slot16_Cost+GA29*Slot17_Cost+GK29*Slot18_Cost+GU29*Slot19_Cost+HE29*Slot20_Cost</f>
        <v>0</v>
      </c>
      <c r="HR29" s="20" t="n">
        <f aca="false">HM29</f>
        <v>0</v>
      </c>
      <c r="HS29" s="20" t="n">
        <f aca="false">H29-I29-S29</f>
        <v>41099.5176414892</v>
      </c>
      <c r="HT29" s="20" t="n">
        <f aca="false">IF(B29=0,IF(AND(Has_q6=1,In_q6=4),PR_ShareVaries*(MAX(0,HS29)/12),MIN(IF(Has_q6=1,CHOOSE(In_q6+1,PR_SaveB1,PR_SaveB2,PR_SaveB3,PR_SaveB4,0),AS_NoAnswer),AS_SaveShare*(MAX(0,HS29)/12))),HT28)</f>
        <v>67.3316893520437</v>
      </c>
      <c r="HU29" s="20" t="n">
        <f aca="false">IF(HS29&gt;=0,1,0)</f>
        <v>1</v>
      </c>
      <c r="HV29" s="20" t="n">
        <f aca="false">MAX(0,HS29/12/F29)</f>
        <v>2259.70565173947</v>
      </c>
      <c r="HW29" s="20" t="n">
        <f aca="false">IF(AND(Has_q6=1,In_q6=4),PR_ShareVaries*(HV29),MIN(IF(Has_q6=1,CHOOSE(In_q6+1,PR_SaveB1,PR_SaveB2,PR_SaveB3,PR_SaveB4,0),AS_NoAnswer),AS_SaveShare*(HV29)))</f>
        <v>500</v>
      </c>
      <c r="HX29" s="20" t="n">
        <f aca="false">IF(Has_saveM=1,IF(In_saveUp="Yes",1,IF(In_saveUp="No",0,IF(In_saveM&gt;=HT29-0.5,1,0))),0)</f>
        <v>0</v>
      </c>
      <c r="HY29" s="20" t="n">
        <f aca="false">IF(Has_saveM=1,MIN(HV29,IF(HX29=1,MAX(In_saveM,HW29),MIN(In_saveM,HW29))),HW29)</f>
        <v>500</v>
      </c>
      <c r="HZ29" s="20" t="n">
        <f aca="false">IF(G29=1,HY29*12*F29,0)</f>
        <v>9093.99806338753</v>
      </c>
      <c r="IA29" s="20" t="n">
        <f aca="false">MAX(0,HZ29+IF(AND(WI_Retire=0,WI_M&lt;0,G29=1),WI_M*12*F29,0))</f>
        <v>9093.99806338753</v>
      </c>
      <c r="IB29" s="20" t="n">
        <f aca="false">Slot1_IsWG*W29+Slot2_IsWG*AH29+Slot3_IsWG*AR29+Slot4_IsWG*BB29+Slot5_IsWG*BL29+Slot6_IsWG*BV29+Slot7_IsWG*CF29+Slot8_IsWG*CP29+Slot9_IsWG*CZ29+Slot10_IsWG*DJ29+Slot11_IsWG*DT29+Slot12_IsWG*ED29+Slot13_IsWG*EN29+Slot14_IsWG*EX29+Slot15_IsWG*FH29+Slot16_IsWG*FR29+Slot17_IsWG*GB29+Slot18_IsWG*GL29+Slot19_IsWG*GV29+Slot20_IsWG*HF29</f>
        <v>0</v>
      </c>
      <c r="IC29" s="20" t="n">
        <f aca="false">IF(AND(WI_Retire=0,WI_M&gt;0,G29=1,IB29&gt;=1),WI_M*12*F29,0)</f>
        <v>0</v>
      </c>
      <c r="ID29" s="20" t="n">
        <f aca="false">IF(HU29=1,MIN(IA29,HS29),0)</f>
        <v>9093.99806338753</v>
      </c>
      <c r="IE29" s="20" t="n">
        <f aca="false">IF(HU29=1,MIN(IC29,HS29-ID29),0)</f>
        <v>0</v>
      </c>
      <c r="IF29" s="20" t="n">
        <f aca="false">IF(W29=1,IF(ABS((1+AS_Wage)/(1+Slot1_Rate)-1)&lt;0.000000000001,(Slot1_Age-D29)*(1+Slot1_Rate)^(Slot1_Age-D29),(1+Slot1_Rate)^(Slot1_Age-D29)*(1-((1+AS_Wage)/(1+Slot1_Rate))^(Slot1_Age-D29))/(1-(1+AS_Wage)/(1+Slot1_Rate))),1)</f>
        <v>1</v>
      </c>
      <c r="IG29" s="20" t="n">
        <f aca="false">IF(AND(HU29=1,IE29&gt;0,Slot1_IsWG=1,W29=1),MAX(0,(Slot1_Cost-X29*(1+Slot1_Rate)^(Slot1_Age-D29))/IF29),0)</f>
        <v>0</v>
      </c>
      <c r="IH29" s="20" t="n">
        <f aca="false">IF(AND(HU29=1,IE29&gt;0,Slot1_IsWG=1,W29=1),MIN(IE29,IG29),0)</f>
        <v>0</v>
      </c>
      <c r="II29" s="20" t="n">
        <f aca="false">X29+IH29</f>
        <v>0</v>
      </c>
      <c r="IJ29" s="20" t="n">
        <f aca="false">IF(W29=1,MAX(0,(Slot1_Cost-II29*(1+Slot1_Rate)^(Slot1_Age-D29))/IF29),0)</f>
        <v>0</v>
      </c>
      <c r="IK29" s="20" t="n">
        <f aca="false">IF(W29=1,MAX(0,(Slot1_Cost-X29*(1+Slot1_Rate)^(Slot1_Age-D29))/IF29),0)</f>
        <v>0</v>
      </c>
      <c r="IL29" s="20" t="n">
        <f aca="false">IF(AND(HU29=1,W29=1),MIN(ID29,IJ29),0)</f>
        <v>0</v>
      </c>
      <c r="IM29" s="20" t="n">
        <f aca="false">ID29-IL29</f>
        <v>9093.99806338753</v>
      </c>
      <c r="IN29" s="20" t="n">
        <f aca="false">IF(AH29=1,IF(ABS((1+AS_Wage)/(1+Slot2_Rate)-1)&lt;0.000000000001,(Slot2_Age-D29)*(1+Slot2_Rate)^(Slot2_Age-D29),(1+Slot2_Rate)^(Slot2_Age-D29)*(1-((1+AS_Wage)/(1+Slot2_Rate))^(Slot2_Age-D29))/(1-(1+AS_Wage)/(1+Slot2_Rate))),1)</f>
        <v>1</v>
      </c>
      <c r="IO29" s="20" t="n">
        <f aca="false">IF(AND(HU29=1,IE29&gt;0,Slot2_IsWG=1,AH29=1),MAX(0,(Slot2_Cost-AI29*(1+Slot2_Rate)^(Slot2_Age-D29))/IN29),0)</f>
        <v>0</v>
      </c>
      <c r="IP29" s="20" t="n">
        <f aca="false">IF(AND(HU29=1,IE29&gt;0,Slot2_IsWG=1,AH29=1),MIN(IE29,IO29),0)</f>
        <v>0</v>
      </c>
      <c r="IQ29" s="20" t="n">
        <f aca="false">AI29+IP29</f>
        <v>0</v>
      </c>
      <c r="IR29" s="20" t="n">
        <f aca="false">IF(AH29=1,MAX(0,(Slot2_Cost-IQ29*(1+Slot2_Rate)^(Slot2_Age-D29))/IN29),0)</f>
        <v>0</v>
      </c>
      <c r="IS29" s="20" t="n">
        <f aca="false">IF(AH29=1,MAX(0,(Slot2_Cost-AI29*(1+Slot2_Rate)^(Slot2_Age-D29))/IN29),0)</f>
        <v>0</v>
      </c>
      <c r="IT29" s="20" t="n">
        <f aca="false">IF(AND(HU29=1,AH29=1),MIN(IM29,IR29),0)</f>
        <v>0</v>
      </c>
      <c r="IU29" s="20" t="n">
        <f aca="false">IM29-IT29</f>
        <v>9093.99806338753</v>
      </c>
      <c r="IV29" s="20" t="n">
        <f aca="false">IF(AR29=1,IF(ABS((1+AS_Wage)/(1+Slot3_Rate)-1)&lt;0.000000000001,(Slot3_Age-D29)*(1+Slot3_Rate)^(Slot3_Age-D29),(1+Slot3_Rate)^(Slot3_Age-D29)*(1-((1+AS_Wage)/(1+Slot3_Rate))^(Slot3_Age-D29))/(1-(1+AS_Wage)/(1+Slot3_Rate))),1)</f>
        <v>1</v>
      </c>
      <c r="IW29" s="20" t="n">
        <f aca="false">IF(AND(HU29=1,IE29&gt;0,Slot3_IsWG=1,AR29=1),MAX(0,(Slot3_Cost-AS29*(1+Slot3_Rate)^(Slot3_Age-D29))/IV29),0)</f>
        <v>0</v>
      </c>
      <c r="IX29" s="20" t="n">
        <f aca="false">IF(AND(HU29=1,IE29&gt;0,Slot3_IsWG=1,AR29=1),MIN(IE29,IW29),0)</f>
        <v>0</v>
      </c>
      <c r="IY29" s="20" t="n">
        <f aca="false">AS29+IX29</f>
        <v>0</v>
      </c>
      <c r="IZ29" s="20" t="n">
        <f aca="false">IF(AR29=1,MAX(0,(Slot3_Cost-IY29*(1+Slot3_Rate)^(Slot3_Age-D29))/IV29),0)</f>
        <v>0</v>
      </c>
      <c r="JA29" s="20" t="n">
        <f aca="false">IF(AR29=1,MAX(0,(Slot3_Cost-AS29*(1+Slot3_Rate)^(Slot3_Age-D29))/IV29),0)</f>
        <v>0</v>
      </c>
      <c r="JB29" s="20" t="n">
        <f aca="false">IF(AND(HU29=1,AR29=1),MIN(IU29,IZ29),0)</f>
        <v>0</v>
      </c>
      <c r="JC29" s="20" t="n">
        <f aca="false">IU29-JB29</f>
        <v>9093.99806338753</v>
      </c>
      <c r="JD29" s="20" t="n">
        <f aca="false">IF(BB29=1,IF(ABS((1+AS_Wage)/(1+Slot4_Rate)-1)&lt;0.000000000001,(Slot4_Age-D29)*(1+Slot4_Rate)^(Slot4_Age-D29),(1+Slot4_Rate)^(Slot4_Age-D29)*(1-((1+AS_Wage)/(1+Slot4_Rate))^(Slot4_Age-D29))/(1-(1+AS_Wage)/(1+Slot4_Rate))),1)</f>
        <v>1</v>
      </c>
      <c r="JE29" s="20" t="n">
        <f aca="false">IF(AND(HU29=1,IE29&gt;0,Slot4_IsWG=1,BB29=1),MAX(0,(Slot4_Cost-BC29*(1+Slot4_Rate)^(Slot4_Age-D29))/JD29),0)</f>
        <v>0</v>
      </c>
      <c r="JF29" s="20" t="n">
        <f aca="false">IF(AND(HU29=1,IE29&gt;0,Slot4_IsWG=1,BB29=1),MIN(IE29,JE29),0)</f>
        <v>0</v>
      </c>
      <c r="JG29" s="20" t="n">
        <f aca="false">BC29+JF29</f>
        <v>0</v>
      </c>
      <c r="JH29" s="20" t="n">
        <f aca="false">IF(BB29=1,MAX(0,(Slot4_Cost-JG29*(1+Slot4_Rate)^(Slot4_Age-D29))/JD29),0)</f>
        <v>0</v>
      </c>
      <c r="JI29" s="20" t="n">
        <f aca="false">IF(BB29=1,MAX(0,(Slot4_Cost-BC29*(1+Slot4_Rate)^(Slot4_Age-D29))/JD29),0)</f>
        <v>0</v>
      </c>
      <c r="JJ29" s="20" t="n">
        <f aca="false">IF(AND(HU29=1,BB29=1),MIN(JC29,JH29),0)</f>
        <v>0</v>
      </c>
      <c r="JK29" s="20" t="n">
        <f aca="false">JC29-JJ29</f>
        <v>9093.99806338753</v>
      </c>
      <c r="JL29" s="20" t="n">
        <f aca="false">IF(BL29=1,IF(ABS((1+AS_Wage)/(1+Slot5_Rate)-1)&lt;0.000000000001,(Slot5_Age-D29)*(1+Slot5_Rate)^(Slot5_Age-D29),(1+Slot5_Rate)^(Slot5_Age-D29)*(1-((1+AS_Wage)/(1+Slot5_Rate))^(Slot5_Age-D29))/(1-(1+AS_Wage)/(1+Slot5_Rate))),1)</f>
        <v>1</v>
      </c>
      <c r="JM29" s="20" t="n">
        <f aca="false">IF(AND(HU29=1,IE29&gt;0,Slot5_IsWG=1,BL29=1),MAX(0,(Slot5_Cost-BM29*(1+Slot5_Rate)^(Slot5_Age-D29))/JL29),0)</f>
        <v>0</v>
      </c>
      <c r="JN29" s="20" t="n">
        <f aca="false">IF(AND(HU29=1,IE29&gt;0,Slot5_IsWG=1,BL29=1),MIN(IE29,JM29),0)</f>
        <v>0</v>
      </c>
      <c r="JO29" s="20" t="n">
        <f aca="false">BM29+JN29</f>
        <v>0</v>
      </c>
      <c r="JP29" s="20" t="n">
        <f aca="false">IF(BL29=1,MAX(0,(Slot5_Cost-JO29*(1+Slot5_Rate)^(Slot5_Age-D29))/JL29),0)</f>
        <v>0</v>
      </c>
      <c r="JQ29" s="20" t="n">
        <f aca="false">IF(BL29=1,MAX(0,(Slot5_Cost-BM29*(1+Slot5_Rate)^(Slot5_Age-D29))/JL29),0)</f>
        <v>0</v>
      </c>
      <c r="JR29" s="20" t="n">
        <f aca="false">IF(AND(HU29=1,BL29=1),MIN(JK29,JP29),0)</f>
        <v>0</v>
      </c>
      <c r="JS29" s="20" t="n">
        <f aca="false">JK29-JR29</f>
        <v>9093.99806338753</v>
      </c>
      <c r="JT29" s="20" t="n">
        <f aca="false">IF(BV29=1,IF(ABS((1+AS_Wage)/(1+Slot6_Rate)-1)&lt;0.000000000001,(Slot6_Age-D29)*(1+Slot6_Rate)^(Slot6_Age-D29),(1+Slot6_Rate)^(Slot6_Age-D29)*(1-((1+AS_Wage)/(1+Slot6_Rate))^(Slot6_Age-D29))/(1-(1+AS_Wage)/(1+Slot6_Rate))),1)</f>
        <v>1</v>
      </c>
      <c r="JU29" s="20" t="n">
        <f aca="false">IF(AND(HU29=1,IE29&gt;0,Slot6_IsWG=1,BV29=1),MAX(0,(Slot6_Cost-BW29*(1+Slot6_Rate)^(Slot6_Age-D29))/JT29),0)</f>
        <v>0</v>
      </c>
      <c r="JV29" s="20" t="n">
        <f aca="false">IF(AND(HU29=1,IE29&gt;0,Slot6_IsWG=1,BV29=1),MIN(IE29,JU29),0)</f>
        <v>0</v>
      </c>
      <c r="JW29" s="20" t="n">
        <f aca="false">BW29+JV29</f>
        <v>0</v>
      </c>
      <c r="JX29" s="20" t="n">
        <f aca="false">IF(BV29=1,MAX(0,(Slot6_Cost-JW29*(1+Slot6_Rate)^(Slot6_Age-D29))/JT29),0)</f>
        <v>0</v>
      </c>
      <c r="JY29" s="20" t="n">
        <f aca="false">IF(BV29=1,MAX(0,(Slot6_Cost-BW29*(1+Slot6_Rate)^(Slot6_Age-D29))/JT29),0)</f>
        <v>0</v>
      </c>
      <c r="JZ29" s="20" t="n">
        <f aca="false">IF(AND(HU29=1,BV29=1),MIN(JS29,JX29),0)</f>
        <v>0</v>
      </c>
      <c r="KA29" s="20" t="n">
        <f aca="false">JS29-JZ29</f>
        <v>9093.99806338753</v>
      </c>
      <c r="KB29" s="20" t="n">
        <f aca="false">IF(CF29=1,IF(ABS((1+AS_Wage)/(1+Slot7_Rate)-1)&lt;0.000000000001,(Slot7_Age-D29)*(1+Slot7_Rate)^(Slot7_Age-D29),(1+Slot7_Rate)^(Slot7_Age-D29)*(1-((1+AS_Wage)/(1+Slot7_Rate))^(Slot7_Age-D29))/(1-(1+AS_Wage)/(1+Slot7_Rate))),1)</f>
        <v>1</v>
      </c>
      <c r="KC29" s="20" t="n">
        <f aca="false">IF(AND(HU29=1,IE29&gt;0,Slot7_IsWG=1,CF29=1),MAX(0,(Slot7_Cost-CG29*(1+Slot7_Rate)^(Slot7_Age-D29))/KB29),0)</f>
        <v>0</v>
      </c>
      <c r="KD29" s="20" t="n">
        <f aca="false">IF(AND(HU29=1,IE29&gt;0,Slot7_IsWG=1,CF29=1),MIN(IE29,KC29),0)</f>
        <v>0</v>
      </c>
      <c r="KE29" s="20" t="n">
        <f aca="false">CG29+KD29</f>
        <v>0</v>
      </c>
      <c r="KF29" s="20" t="n">
        <f aca="false">IF(CF29=1,MAX(0,(Slot7_Cost-KE29*(1+Slot7_Rate)^(Slot7_Age-D29))/KB29),0)</f>
        <v>0</v>
      </c>
      <c r="KG29" s="20" t="n">
        <f aca="false">IF(CF29=1,MAX(0,(Slot7_Cost-CG29*(1+Slot7_Rate)^(Slot7_Age-D29))/KB29),0)</f>
        <v>0</v>
      </c>
      <c r="KH29" s="20" t="n">
        <f aca="false">IF(AND(HU29=1,CF29=1),MIN(KA29,KF29),0)</f>
        <v>0</v>
      </c>
      <c r="KI29" s="20" t="n">
        <f aca="false">KA29-KH29</f>
        <v>9093.99806338753</v>
      </c>
      <c r="KJ29" s="20" t="n">
        <f aca="false">IF(CP29=1,IF(ABS((1+AS_Wage)/(1+Slot8_Rate)-1)&lt;0.000000000001,(Slot8_Age-D29)*(1+Slot8_Rate)^(Slot8_Age-D29),(1+Slot8_Rate)^(Slot8_Age-D29)*(1-((1+AS_Wage)/(1+Slot8_Rate))^(Slot8_Age-D29))/(1-(1+AS_Wage)/(1+Slot8_Rate))),1)</f>
        <v>1</v>
      </c>
      <c r="KK29" s="20" t="n">
        <f aca="false">IF(AND(HU29=1,IE29&gt;0,Slot8_IsWG=1,CP29=1),MAX(0,(Slot8_Cost-CQ29*(1+Slot8_Rate)^(Slot8_Age-D29))/KJ29),0)</f>
        <v>0</v>
      </c>
      <c r="KL29" s="20" t="n">
        <f aca="false">IF(AND(HU29=1,IE29&gt;0,Slot8_IsWG=1,CP29=1),MIN(IE29,KK29),0)</f>
        <v>0</v>
      </c>
      <c r="KM29" s="20" t="n">
        <f aca="false">CQ29+KL29</f>
        <v>0</v>
      </c>
      <c r="KN29" s="20" t="n">
        <f aca="false">IF(CP29=1,MAX(0,(Slot8_Cost-KM29*(1+Slot8_Rate)^(Slot8_Age-D29))/KJ29),0)</f>
        <v>0</v>
      </c>
      <c r="KO29" s="20" t="n">
        <f aca="false">IF(CP29=1,MAX(0,(Slot8_Cost-CQ29*(1+Slot8_Rate)^(Slot8_Age-D29))/KJ29),0)</f>
        <v>0</v>
      </c>
      <c r="KP29" s="20" t="n">
        <f aca="false">IF(AND(HU29=1,CP29=1),MIN(KI29,KN29),0)</f>
        <v>0</v>
      </c>
      <c r="KQ29" s="20" t="n">
        <f aca="false">KI29-KP29</f>
        <v>9093.99806338753</v>
      </c>
      <c r="KR29" s="20" t="n">
        <f aca="false">IF(CZ29=1,IF(ABS((1+AS_Wage)/(1+Slot9_Rate)-1)&lt;0.000000000001,(Slot9_Age-D29)*(1+Slot9_Rate)^(Slot9_Age-D29),(1+Slot9_Rate)^(Slot9_Age-D29)*(1-((1+AS_Wage)/(1+Slot9_Rate))^(Slot9_Age-D29))/(1-(1+AS_Wage)/(1+Slot9_Rate))),1)</f>
        <v>1</v>
      </c>
      <c r="KS29" s="20" t="n">
        <f aca="false">IF(AND(HU29=1,IE29&gt;0,Slot9_IsWG=1,CZ29=1),MAX(0,(Slot9_Cost-DA29*(1+Slot9_Rate)^(Slot9_Age-D29))/KR29),0)</f>
        <v>0</v>
      </c>
      <c r="KT29" s="20" t="n">
        <f aca="false">IF(AND(HU29=1,IE29&gt;0,Slot9_IsWG=1,CZ29=1),MIN(IE29,KS29),0)</f>
        <v>0</v>
      </c>
      <c r="KU29" s="20" t="n">
        <f aca="false">DA29+KT29</f>
        <v>0</v>
      </c>
      <c r="KV29" s="20" t="n">
        <f aca="false">IF(CZ29=1,MAX(0,(Slot9_Cost-KU29*(1+Slot9_Rate)^(Slot9_Age-D29))/KR29),0)</f>
        <v>0</v>
      </c>
      <c r="KW29" s="20" t="n">
        <f aca="false">IF(CZ29=1,MAX(0,(Slot9_Cost-DA29*(1+Slot9_Rate)^(Slot9_Age-D29))/KR29),0)</f>
        <v>0</v>
      </c>
      <c r="KX29" s="20" t="n">
        <f aca="false">IF(AND(HU29=1,CZ29=1),MIN(KQ29,KV29),0)</f>
        <v>0</v>
      </c>
      <c r="KY29" s="20" t="n">
        <f aca="false">KQ29-KX29</f>
        <v>9093.99806338753</v>
      </c>
      <c r="KZ29" s="20" t="n">
        <f aca="false">IF(DJ29=1,IF(ABS((1+AS_Wage)/(1+Slot10_Rate)-1)&lt;0.000000000001,(Slot10_Age-D29)*(1+Slot10_Rate)^(Slot10_Age-D29),(1+Slot10_Rate)^(Slot10_Age-D29)*(1-((1+AS_Wage)/(1+Slot10_Rate))^(Slot10_Age-D29))/(1-(1+AS_Wage)/(1+Slot10_Rate))),1)</f>
        <v>1</v>
      </c>
      <c r="LA29" s="20" t="n">
        <f aca="false">IF(AND(HU29=1,IE29&gt;0,Slot10_IsWG=1,DJ29=1),MAX(0,(Slot10_Cost-DK29*(1+Slot10_Rate)^(Slot10_Age-D29))/KZ29),0)</f>
        <v>0</v>
      </c>
      <c r="LB29" s="20" t="n">
        <f aca="false">IF(AND(HU29=1,IE29&gt;0,Slot10_IsWG=1,DJ29=1),MIN(IE29,LA29),0)</f>
        <v>0</v>
      </c>
      <c r="LC29" s="20" t="n">
        <f aca="false">DK29+LB29</f>
        <v>0</v>
      </c>
      <c r="LD29" s="20" t="n">
        <f aca="false">IF(DJ29=1,MAX(0,(Slot10_Cost-LC29*(1+Slot10_Rate)^(Slot10_Age-D29))/KZ29),0)</f>
        <v>0</v>
      </c>
      <c r="LE29" s="20" t="n">
        <f aca="false">IF(DJ29=1,MAX(0,(Slot10_Cost-DK29*(1+Slot10_Rate)^(Slot10_Age-D29))/KZ29),0)</f>
        <v>0</v>
      </c>
      <c r="LF29" s="20" t="n">
        <f aca="false">IF(AND(HU29=1,DJ29=1),MIN(KY29,LD29),0)</f>
        <v>0</v>
      </c>
      <c r="LG29" s="20" t="n">
        <f aca="false">KY29-LF29</f>
        <v>9093.99806338753</v>
      </c>
      <c r="LH29" s="20" t="n">
        <f aca="false">IF(DT29=1,IF(ABS((1+AS_Wage)/(1+Slot11_Rate)-1)&lt;0.000000000001,(Slot11_Age-D29)*(1+Slot11_Rate)^(Slot11_Age-D29),(1+Slot11_Rate)^(Slot11_Age-D29)*(1-((1+AS_Wage)/(1+Slot11_Rate))^(Slot11_Age-D29))/(1-(1+AS_Wage)/(1+Slot11_Rate))),1)</f>
        <v>1</v>
      </c>
      <c r="LI29" s="20" t="n">
        <f aca="false">IF(AND(HU29=1,IE29&gt;0,Slot11_IsWG=1,DT29=1),MAX(0,(Slot11_Cost-DU29*(1+Slot11_Rate)^(Slot11_Age-D29))/LH29),0)</f>
        <v>0</v>
      </c>
      <c r="LJ29" s="20" t="n">
        <f aca="false">IF(AND(HU29=1,IE29&gt;0,Slot11_IsWG=1,DT29=1),MIN(IE29,LI29),0)</f>
        <v>0</v>
      </c>
      <c r="LK29" s="20" t="n">
        <f aca="false">DU29+LJ29</f>
        <v>0</v>
      </c>
      <c r="LL29" s="20" t="n">
        <f aca="false">IF(DT29=1,MAX(0,(Slot11_Cost-LK29*(1+Slot11_Rate)^(Slot11_Age-D29))/LH29),0)</f>
        <v>0</v>
      </c>
      <c r="LM29" s="20" t="n">
        <f aca="false">IF(DT29=1,MAX(0,(Slot11_Cost-DU29*(1+Slot11_Rate)^(Slot11_Age-D29))/LH29),0)</f>
        <v>0</v>
      </c>
      <c r="LN29" s="20" t="n">
        <f aca="false">IF(AND(HU29=1,DT29=1),MIN(LG29,LL29),0)</f>
        <v>0</v>
      </c>
      <c r="LO29" s="20" t="n">
        <f aca="false">LG29-LN29</f>
        <v>9093.99806338753</v>
      </c>
      <c r="LP29" s="20" t="n">
        <f aca="false">IF(ED29=1,IF(ABS((1+AS_Wage)/(1+Slot12_Rate)-1)&lt;0.000000000001,(Slot12_Age-D29)*(1+Slot12_Rate)^(Slot12_Age-D29),(1+Slot12_Rate)^(Slot12_Age-D29)*(1-((1+AS_Wage)/(1+Slot12_Rate))^(Slot12_Age-D29))/(1-(1+AS_Wage)/(1+Slot12_Rate))),1)</f>
        <v>1</v>
      </c>
      <c r="LQ29" s="20" t="n">
        <f aca="false">IF(AND(HU29=1,IE29&gt;0,Slot12_IsWG=1,ED29=1),MAX(0,(Slot12_Cost-EE29*(1+Slot12_Rate)^(Slot12_Age-D29))/LP29),0)</f>
        <v>0</v>
      </c>
      <c r="LR29" s="20" t="n">
        <f aca="false">IF(AND(HU29=1,IE29&gt;0,Slot12_IsWG=1,ED29=1),MIN(IE29,LQ29),0)</f>
        <v>0</v>
      </c>
      <c r="LS29" s="20" t="n">
        <f aca="false">EE29+LR29</f>
        <v>0</v>
      </c>
      <c r="LT29" s="20" t="n">
        <f aca="false">IF(ED29=1,MAX(0,(Slot12_Cost-LS29*(1+Slot12_Rate)^(Slot12_Age-D29))/LP29),0)</f>
        <v>0</v>
      </c>
      <c r="LU29" s="20" t="n">
        <f aca="false">IF(ED29=1,MAX(0,(Slot12_Cost-EE29*(1+Slot12_Rate)^(Slot12_Age-D29))/LP29),0)</f>
        <v>0</v>
      </c>
      <c r="LV29" s="20" t="n">
        <f aca="false">IF(AND(HU29=1,ED29=1),MIN(LO29,LT29),0)</f>
        <v>0</v>
      </c>
      <c r="LW29" s="20" t="n">
        <f aca="false">LO29-LV29</f>
        <v>9093.99806338753</v>
      </c>
      <c r="LX29" s="20" t="n">
        <f aca="false">IF(EN29=1,IF(ABS((1+AS_Wage)/(1+Slot13_Rate)-1)&lt;0.000000000001,(Slot13_Age-D29)*(1+Slot13_Rate)^(Slot13_Age-D29),(1+Slot13_Rate)^(Slot13_Age-D29)*(1-((1+AS_Wage)/(1+Slot13_Rate))^(Slot13_Age-D29))/(1-(1+AS_Wage)/(1+Slot13_Rate))),1)</f>
        <v>1</v>
      </c>
      <c r="LY29" s="20" t="n">
        <f aca="false">IF(AND(HU29=1,IE29&gt;0,Slot13_IsWG=1,EN29=1),MAX(0,(Slot13_Cost-EO29*(1+Slot13_Rate)^(Slot13_Age-D29))/LX29),0)</f>
        <v>0</v>
      </c>
      <c r="LZ29" s="20" t="n">
        <f aca="false">IF(AND(HU29=1,IE29&gt;0,Slot13_IsWG=1,EN29=1),MIN(IE29,LY29),0)</f>
        <v>0</v>
      </c>
      <c r="MA29" s="20" t="n">
        <f aca="false">EO29+LZ29</f>
        <v>0</v>
      </c>
      <c r="MB29" s="20" t="n">
        <f aca="false">IF(EN29=1,MAX(0,(Slot13_Cost-MA29*(1+Slot13_Rate)^(Slot13_Age-D29))/LX29),0)</f>
        <v>0</v>
      </c>
      <c r="MC29" s="20" t="n">
        <f aca="false">IF(EN29=1,MAX(0,(Slot13_Cost-EO29*(1+Slot13_Rate)^(Slot13_Age-D29))/LX29),0)</f>
        <v>0</v>
      </c>
      <c r="MD29" s="20" t="n">
        <f aca="false">IF(AND(HU29=1,EN29=1),MIN(LW29,MB29),0)</f>
        <v>0</v>
      </c>
      <c r="ME29" s="20" t="n">
        <f aca="false">LW29-MD29</f>
        <v>9093.99806338753</v>
      </c>
      <c r="MF29" s="20" t="n">
        <f aca="false">IF(EX29=1,IF(ABS((1+AS_Wage)/(1+Slot14_Rate)-1)&lt;0.000000000001,(Slot14_Age-D29)*(1+Slot14_Rate)^(Slot14_Age-D29),(1+Slot14_Rate)^(Slot14_Age-D29)*(1-((1+AS_Wage)/(1+Slot14_Rate))^(Slot14_Age-D29))/(1-(1+AS_Wage)/(1+Slot14_Rate))),1)</f>
        <v>1</v>
      </c>
      <c r="MG29" s="20" t="n">
        <f aca="false">IF(AND(HU29=1,IE29&gt;0,Slot14_IsWG=1,EX29=1),MAX(0,(Slot14_Cost-EY29*(1+Slot14_Rate)^(Slot14_Age-D29))/MF29),0)</f>
        <v>0</v>
      </c>
      <c r="MH29" s="20" t="n">
        <f aca="false">IF(AND(HU29=1,IE29&gt;0,Slot14_IsWG=1,EX29=1),MIN(IE29,MG29),0)</f>
        <v>0</v>
      </c>
      <c r="MI29" s="20" t="n">
        <f aca="false">EY29+MH29</f>
        <v>0</v>
      </c>
      <c r="MJ29" s="20" t="n">
        <f aca="false">IF(EX29=1,MAX(0,(Slot14_Cost-MI29*(1+Slot14_Rate)^(Slot14_Age-D29))/MF29),0)</f>
        <v>0</v>
      </c>
      <c r="MK29" s="20" t="n">
        <f aca="false">IF(EX29=1,MAX(0,(Slot14_Cost-EY29*(1+Slot14_Rate)^(Slot14_Age-D29))/MF29),0)</f>
        <v>0</v>
      </c>
      <c r="ML29" s="20" t="n">
        <f aca="false">IF(AND(HU29=1,EX29=1),MIN(ME29,MJ29),0)</f>
        <v>0</v>
      </c>
      <c r="MM29" s="20" t="n">
        <f aca="false">ME29-ML29</f>
        <v>9093.99806338753</v>
      </c>
      <c r="MN29" s="20" t="n">
        <f aca="false">IF(FH29=1,IF(ABS((1+AS_Wage)/(1+Slot15_Rate)-1)&lt;0.000000000001,(Slot15_Age-D29)*(1+Slot15_Rate)^(Slot15_Age-D29),(1+Slot15_Rate)^(Slot15_Age-D29)*(1-((1+AS_Wage)/(1+Slot15_Rate))^(Slot15_Age-D29))/(1-(1+AS_Wage)/(1+Slot15_Rate))),1)</f>
        <v>1</v>
      </c>
      <c r="MO29" s="20" t="n">
        <f aca="false">IF(AND(HU29=1,IE29&gt;0,Slot15_IsWG=1,FH29=1),MAX(0,(Slot15_Cost-FI29*(1+Slot15_Rate)^(Slot15_Age-D29))/MN29),0)</f>
        <v>0</v>
      </c>
      <c r="MP29" s="20" t="n">
        <f aca="false">IF(AND(HU29=1,IE29&gt;0,Slot15_IsWG=1,FH29=1),MIN(IE29,MO29),0)</f>
        <v>0</v>
      </c>
      <c r="MQ29" s="20" t="n">
        <f aca="false">FI29+MP29</f>
        <v>0</v>
      </c>
      <c r="MR29" s="20" t="n">
        <f aca="false">IF(FH29=1,MAX(0,(Slot15_Cost-MQ29*(1+Slot15_Rate)^(Slot15_Age-D29))/MN29),0)</f>
        <v>0</v>
      </c>
      <c r="MS29" s="20" t="n">
        <f aca="false">IF(FH29=1,MAX(0,(Slot15_Cost-FI29*(1+Slot15_Rate)^(Slot15_Age-D29))/MN29),0)</f>
        <v>0</v>
      </c>
      <c r="MT29" s="20" t="n">
        <f aca="false">IF(AND(HU29=1,FH29=1),MIN(MM29,MR29),0)</f>
        <v>0</v>
      </c>
      <c r="MU29" s="20" t="n">
        <f aca="false">MM29-MT29</f>
        <v>9093.99806338753</v>
      </c>
      <c r="MV29" s="20" t="n">
        <f aca="false">IF(FR29=1,IF(ABS((1+AS_Wage)/(1+Slot16_Rate)-1)&lt;0.000000000001,(Slot16_Age-D29)*(1+Slot16_Rate)^(Slot16_Age-D29),(1+Slot16_Rate)^(Slot16_Age-D29)*(1-((1+AS_Wage)/(1+Slot16_Rate))^(Slot16_Age-D29))/(1-(1+AS_Wage)/(1+Slot16_Rate))),1)</f>
        <v>1</v>
      </c>
      <c r="MW29" s="20" t="n">
        <f aca="false">IF(AND(HU29=1,IE29&gt;0,Slot16_IsWG=1,FR29=1),MAX(0,(Slot16_Cost-FS29*(1+Slot16_Rate)^(Slot16_Age-D29))/MV29),0)</f>
        <v>0</v>
      </c>
      <c r="MX29" s="20" t="n">
        <f aca="false">IF(AND(HU29=1,IE29&gt;0,Slot16_IsWG=1,FR29=1),MIN(IE29,MW29),0)</f>
        <v>0</v>
      </c>
      <c r="MY29" s="20" t="n">
        <f aca="false">FS29+MX29</f>
        <v>0</v>
      </c>
      <c r="MZ29" s="20" t="n">
        <f aca="false">IF(FR29=1,MAX(0,(Slot16_Cost-MY29*(1+Slot16_Rate)^(Slot16_Age-D29))/MV29),0)</f>
        <v>0</v>
      </c>
      <c r="NA29" s="20" t="n">
        <f aca="false">IF(FR29=1,MAX(0,(Slot16_Cost-FS29*(1+Slot16_Rate)^(Slot16_Age-D29))/MV29),0)</f>
        <v>0</v>
      </c>
      <c r="NB29" s="20" t="n">
        <f aca="false">IF(AND(HU29=1,FR29=1),MIN(MU29,MZ29),0)</f>
        <v>0</v>
      </c>
      <c r="NC29" s="20" t="n">
        <f aca="false">MU29-NB29</f>
        <v>9093.99806338753</v>
      </c>
      <c r="ND29" s="20" t="n">
        <f aca="false">IF(GB29=1,IF(ABS((1+AS_Wage)/(1+Slot17_Rate)-1)&lt;0.000000000001,(Slot17_Age-D29)*(1+Slot17_Rate)^(Slot17_Age-D29),(1+Slot17_Rate)^(Slot17_Age-D29)*(1-((1+AS_Wage)/(1+Slot17_Rate))^(Slot17_Age-D29))/(1-(1+AS_Wage)/(1+Slot17_Rate))),1)</f>
        <v>1</v>
      </c>
      <c r="NE29" s="20" t="n">
        <f aca="false">IF(AND(HU29=1,IE29&gt;0,Slot17_IsWG=1,GB29=1),MAX(0,(Slot17_Cost-GC29*(1+Slot17_Rate)^(Slot17_Age-D29))/ND29),0)</f>
        <v>0</v>
      </c>
      <c r="NF29" s="20" t="n">
        <f aca="false">IF(AND(HU29=1,IE29&gt;0,Slot17_IsWG=1,GB29=1),MIN(IE29,NE29),0)</f>
        <v>0</v>
      </c>
      <c r="NG29" s="20" t="n">
        <f aca="false">GC29+NF29</f>
        <v>0</v>
      </c>
      <c r="NH29" s="20" t="n">
        <f aca="false">IF(GB29=1,MAX(0,(Slot17_Cost-NG29*(1+Slot17_Rate)^(Slot17_Age-D29))/ND29),0)</f>
        <v>0</v>
      </c>
      <c r="NI29" s="20" t="n">
        <f aca="false">IF(GB29=1,MAX(0,(Slot17_Cost-GC29*(1+Slot17_Rate)^(Slot17_Age-D29))/ND29),0)</f>
        <v>0</v>
      </c>
      <c r="NJ29" s="20" t="n">
        <f aca="false">IF(AND(HU29=1,GB29=1),MIN(NC29,NH29),0)</f>
        <v>0</v>
      </c>
      <c r="NK29" s="20" t="n">
        <f aca="false">NC29-NJ29</f>
        <v>9093.99806338753</v>
      </c>
      <c r="NL29" s="20" t="n">
        <f aca="false">IF(GL29=1,IF(ABS((1+AS_Wage)/(1+Slot18_Rate)-1)&lt;0.000000000001,(Slot18_Age-D29)*(1+Slot18_Rate)^(Slot18_Age-D29),(1+Slot18_Rate)^(Slot18_Age-D29)*(1-((1+AS_Wage)/(1+Slot18_Rate))^(Slot18_Age-D29))/(1-(1+AS_Wage)/(1+Slot18_Rate))),1)</f>
        <v>1</v>
      </c>
      <c r="NM29" s="20" t="n">
        <f aca="false">IF(AND(HU29=1,IE29&gt;0,Slot18_IsWG=1,GL29=1),MAX(0,(Slot18_Cost-GM29*(1+Slot18_Rate)^(Slot18_Age-D29))/NL29),0)</f>
        <v>0</v>
      </c>
      <c r="NN29" s="20" t="n">
        <f aca="false">IF(AND(HU29=1,IE29&gt;0,Slot18_IsWG=1,GL29=1),MIN(IE29,NM29),0)</f>
        <v>0</v>
      </c>
      <c r="NO29" s="20" t="n">
        <f aca="false">GM29+NN29</f>
        <v>0</v>
      </c>
      <c r="NP29" s="20" t="n">
        <f aca="false">IF(GL29=1,MAX(0,(Slot18_Cost-NO29*(1+Slot18_Rate)^(Slot18_Age-D29))/NL29),0)</f>
        <v>0</v>
      </c>
      <c r="NQ29" s="20" t="n">
        <f aca="false">IF(GL29=1,MAX(0,(Slot18_Cost-GM29*(1+Slot18_Rate)^(Slot18_Age-D29))/NL29),0)</f>
        <v>0</v>
      </c>
      <c r="NR29" s="20" t="n">
        <f aca="false">IF(AND(HU29=1,GL29=1),MIN(NK29,NP29),0)</f>
        <v>0</v>
      </c>
      <c r="NS29" s="20" t="n">
        <f aca="false">NK29-NR29</f>
        <v>9093.99806338753</v>
      </c>
      <c r="NT29" s="20" t="n">
        <f aca="false">IF(GV29=1,IF(ABS((1+AS_Wage)/(1+Slot19_Rate)-1)&lt;0.000000000001,(Slot19_Age-D29)*(1+Slot19_Rate)^(Slot19_Age-D29),(1+Slot19_Rate)^(Slot19_Age-D29)*(1-((1+AS_Wage)/(1+Slot19_Rate))^(Slot19_Age-D29))/(1-(1+AS_Wage)/(1+Slot19_Rate))),1)</f>
        <v>1</v>
      </c>
      <c r="NU29" s="20" t="n">
        <f aca="false">IF(AND(HU29=1,IE29&gt;0,Slot19_IsWG=1,GV29=1),MAX(0,(Slot19_Cost-GW29*(1+Slot19_Rate)^(Slot19_Age-D29))/NT29),0)</f>
        <v>0</v>
      </c>
      <c r="NV29" s="20" t="n">
        <f aca="false">IF(AND(HU29=1,IE29&gt;0,Slot19_IsWG=1,GV29=1),MIN(IE29,NU29),0)</f>
        <v>0</v>
      </c>
      <c r="NW29" s="20" t="n">
        <f aca="false">GW29+NV29</f>
        <v>0</v>
      </c>
      <c r="NX29" s="20" t="n">
        <f aca="false">IF(GV29=1,MAX(0,(Slot19_Cost-NW29*(1+Slot19_Rate)^(Slot19_Age-D29))/NT29),0)</f>
        <v>0</v>
      </c>
      <c r="NY29" s="20" t="n">
        <f aca="false">IF(GV29=1,MAX(0,(Slot19_Cost-GW29*(1+Slot19_Rate)^(Slot19_Age-D29))/NT29),0)</f>
        <v>0</v>
      </c>
      <c r="NZ29" s="20" t="n">
        <f aca="false">IF(AND(HU29=1,GV29=1),MIN(NS29,NX29),0)</f>
        <v>0</v>
      </c>
      <c r="OA29" s="20" t="n">
        <f aca="false">NS29-NZ29</f>
        <v>9093.99806338753</v>
      </c>
      <c r="OB29" s="20" t="n">
        <f aca="false">IF(HF29=1,IF(ABS((1+AS_Wage)/(1+Slot20_Rate)-1)&lt;0.000000000001,(Slot20_Age-D29)*(1+Slot20_Rate)^(Slot20_Age-D29),(1+Slot20_Rate)^(Slot20_Age-D29)*(1-((1+AS_Wage)/(1+Slot20_Rate))^(Slot20_Age-D29))/(1-(1+AS_Wage)/(1+Slot20_Rate))),1)</f>
        <v>1</v>
      </c>
      <c r="OC29" s="20" t="n">
        <f aca="false">IF(AND(HU29=1,IE29&gt;0,Slot20_IsWG=1,HF29=1),MAX(0,(Slot20_Cost-HG29*(1+Slot20_Rate)^(Slot20_Age-D29))/OB29),0)</f>
        <v>0</v>
      </c>
      <c r="OD29" s="20" t="n">
        <f aca="false">IF(AND(HU29=1,IE29&gt;0,Slot20_IsWG=1,HF29=1),MIN(IE29,OC29),0)</f>
        <v>0</v>
      </c>
      <c r="OE29" s="20" t="n">
        <f aca="false">HG29+OD29</f>
        <v>0</v>
      </c>
      <c r="OF29" s="20" t="n">
        <f aca="false">IF(HF29=1,MAX(0,(Slot20_Cost-OE29*(1+Slot20_Rate)^(Slot20_Age-D29))/OB29),0)</f>
        <v>0</v>
      </c>
      <c r="OG29" s="20" t="n">
        <f aca="false">IF(HF29=1,MAX(0,(Slot20_Cost-HG29*(1+Slot20_Rate)^(Slot20_Age-D29))/OB29),0)</f>
        <v>0</v>
      </c>
      <c r="OH29" s="20" t="n">
        <f aca="false">IF(AND(HU29=1,HF29=1),MIN(OA29,OF29),0)</f>
        <v>0</v>
      </c>
      <c r="OI29" s="20" t="n">
        <f aca="false">OA29-OH29</f>
        <v>9093.99806338753</v>
      </c>
      <c r="OJ29" s="20" t="n">
        <f aca="false">IE29-(IH29+IP29+IX29+JF29+JN29+JV29+KD29+KL29+KT29+LB29+LJ29+LR29+LZ29+MH29+MP29+MX29+NF29+NN29+NV29+OD29)</f>
        <v>0</v>
      </c>
      <c r="OK29" s="20" t="n">
        <f aca="false">IF(HU29=1,HS29-ID29-IE29,0)</f>
        <v>32005.5195781017</v>
      </c>
      <c r="OL29" s="20" t="n">
        <f aca="false">IF(HU29=0,-HS29,0)</f>
        <v>0</v>
      </c>
      <c r="OM29" s="20" t="n">
        <f aca="false">MIN(OL29,HK29)</f>
        <v>0</v>
      </c>
      <c r="ON29" s="20" t="n">
        <f aca="false">OL29-OM29</f>
        <v>0</v>
      </c>
      <c r="OO29" s="20" t="n">
        <f aca="false">MIN(ON29,HL29)</f>
        <v>0</v>
      </c>
      <c r="OP29" s="20" t="n">
        <f aca="false">ON29-OO29</f>
        <v>0</v>
      </c>
      <c r="OQ29" s="20" t="n">
        <f aca="false">IF(AND(HU29=0,HF29=1,OP29&gt;0),MIN(OP29,HG29),0)</f>
        <v>0</v>
      </c>
      <c r="OR29" s="20" t="n">
        <f aca="false">OP29-OQ29</f>
        <v>0</v>
      </c>
      <c r="OS29" s="20" t="n">
        <f aca="false">IF(AND(HU29=0,GV29=1,OR29&gt;0),MIN(OR29,GW29),0)</f>
        <v>0</v>
      </c>
      <c r="OT29" s="20" t="n">
        <f aca="false">OR29-OS29</f>
        <v>0</v>
      </c>
      <c r="OU29" s="20" t="n">
        <f aca="false">IF(AND(HU29=0,GL29=1,OT29&gt;0),MIN(OT29,GM29),0)</f>
        <v>0</v>
      </c>
      <c r="OV29" s="20" t="n">
        <f aca="false">OT29-OU29</f>
        <v>0</v>
      </c>
      <c r="OW29" s="20" t="n">
        <f aca="false">IF(AND(HU29=0,GB29=1,OV29&gt;0),MIN(OV29,GC29),0)</f>
        <v>0</v>
      </c>
      <c r="OX29" s="20" t="n">
        <f aca="false">OV29-OW29</f>
        <v>0</v>
      </c>
      <c r="OY29" s="20" t="n">
        <f aca="false">IF(AND(HU29=0,FR29=1,OX29&gt;0),MIN(OX29,FS29),0)</f>
        <v>0</v>
      </c>
      <c r="OZ29" s="20" t="n">
        <f aca="false">OX29-OY29</f>
        <v>0</v>
      </c>
      <c r="PA29" s="20" t="n">
        <f aca="false">IF(AND(HU29=0,FH29=1,OZ29&gt;0),MIN(OZ29,FI29),0)</f>
        <v>0</v>
      </c>
      <c r="PB29" s="20" t="n">
        <f aca="false">OZ29-PA29</f>
        <v>0</v>
      </c>
      <c r="PC29" s="20" t="n">
        <f aca="false">IF(AND(HU29=0,EX29=1,PB29&gt;0),MIN(PB29,EY29),0)</f>
        <v>0</v>
      </c>
      <c r="PD29" s="20" t="n">
        <f aca="false">PB29-PC29</f>
        <v>0</v>
      </c>
      <c r="PE29" s="20" t="n">
        <f aca="false">IF(AND(HU29=0,EN29=1,PD29&gt;0),MIN(PD29,EO29),0)</f>
        <v>0</v>
      </c>
      <c r="PF29" s="20" t="n">
        <f aca="false">PD29-PE29</f>
        <v>0</v>
      </c>
      <c r="PG29" s="20" t="n">
        <f aca="false">IF(AND(HU29=0,ED29=1,PF29&gt;0),MIN(PF29,EE29),0)</f>
        <v>0</v>
      </c>
      <c r="PH29" s="20" t="n">
        <f aca="false">PF29-PG29</f>
        <v>0</v>
      </c>
      <c r="PI29" s="20" t="n">
        <f aca="false">IF(AND(HU29=0,DT29=1,PH29&gt;0),MIN(PH29,DU29),0)</f>
        <v>0</v>
      </c>
      <c r="PJ29" s="20" t="n">
        <f aca="false">PH29-PI29</f>
        <v>0</v>
      </c>
      <c r="PK29" s="20" t="n">
        <f aca="false">IF(AND(HU29=0,DJ29=1,PJ29&gt;0),MIN(PJ29,DK29),0)</f>
        <v>0</v>
      </c>
      <c r="PL29" s="20" t="n">
        <f aca="false">PJ29-PK29</f>
        <v>0</v>
      </c>
      <c r="PM29" s="20" t="n">
        <f aca="false">IF(AND(HU29=0,CZ29=1,PL29&gt;0),MIN(PL29,DA29),0)</f>
        <v>0</v>
      </c>
      <c r="PN29" s="20" t="n">
        <f aca="false">PL29-PM29</f>
        <v>0</v>
      </c>
      <c r="PO29" s="20" t="n">
        <f aca="false">IF(AND(HU29=0,CP29=1,PN29&gt;0),MIN(PN29,CQ29),0)</f>
        <v>0</v>
      </c>
      <c r="PP29" s="20" t="n">
        <f aca="false">PN29-PO29</f>
        <v>0</v>
      </c>
      <c r="PQ29" s="20" t="n">
        <f aca="false">IF(AND(HU29=0,CF29=1,PP29&gt;0),MIN(PP29,CG29),0)</f>
        <v>0</v>
      </c>
      <c r="PR29" s="20" t="n">
        <f aca="false">PP29-PQ29</f>
        <v>0</v>
      </c>
      <c r="PS29" s="20" t="n">
        <f aca="false">IF(AND(HU29=0,BV29=1,PR29&gt;0),MIN(PR29,BW29),0)</f>
        <v>0</v>
      </c>
      <c r="PT29" s="20" t="n">
        <f aca="false">PR29-PS29</f>
        <v>0</v>
      </c>
      <c r="PU29" s="20" t="n">
        <f aca="false">IF(AND(HU29=0,BL29=1,PT29&gt;0),MIN(PT29,BM29),0)</f>
        <v>0</v>
      </c>
      <c r="PV29" s="20" t="n">
        <f aca="false">PT29-PU29</f>
        <v>0</v>
      </c>
      <c r="PW29" s="20" t="n">
        <f aca="false">IF(AND(HU29=0,BB29=1,PV29&gt;0),MIN(PV29,BC29),0)</f>
        <v>0</v>
      </c>
      <c r="PX29" s="20" t="n">
        <f aca="false">PV29-PW29</f>
        <v>0</v>
      </c>
      <c r="PY29" s="20" t="n">
        <f aca="false">IF(AND(HU29=0,AR29=1,PX29&gt;0),MIN(PX29,AS29),0)</f>
        <v>0</v>
      </c>
      <c r="PZ29" s="20" t="n">
        <f aca="false">PX29-PY29</f>
        <v>0</v>
      </c>
      <c r="QA29" s="20" t="n">
        <f aca="false">IF(AND(HU29=0,AH29=1,PZ29&gt;0),MIN(PZ29,AI29),0)</f>
        <v>0</v>
      </c>
      <c r="QB29" s="20" t="n">
        <f aca="false">PZ29-QA29</f>
        <v>0</v>
      </c>
      <c r="QC29" s="20" t="n">
        <f aca="false">IF(AND(HU29=0,W29=1,QB29&gt;0),MIN(QB29,X29),0)</f>
        <v>0</v>
      </c>
      <c r="QD29" s="20" t="n">
        <f aca="false">QB29-QC29</f>
        <v>0</v>
      </c>
      <c r="QE29" s="20" t="n">
        <f aca="false">IF(HU29=0,QD29,0)</f>
        <v>0</v>
      </c>
      <c r="QF29" s="20" t="n">
        <f aca="false">OM29+OO29+QC29+QA29+PY29+PW29+PU29+PS29+PQ29+PO29+PM29+PK29+PI29+PG29+PE29+PC29+PA29+OY29+OW29+OU29+OS29+OQ29</f>
        <v>0</v>
      </c>
      <c r="QG29" s="20" t="n">
        <f aca="false">IF(HU29=1,HK29+OJ29+OI29+IF(G29=1,0,OK29),HK29-OM29)</f>
        <v>63029.9973787413</v>
      </c>
      <c r="QH29" s="20" t="n">
        <f aca="false">HL29-OO29</f>
        <v>13746.3970323785</v>
      </c>
      <c r="QI29" s="20" t="n">
        <f aca="false">IF(HU29=1,IF(G29=1,ID29+IE29,HS29),0)</f>
        <v>9093.99806338753</v>
      </c>
      <c r="QJ29" s="20" t="n">
        <f aca="false">IF(HU29=1,IF(G29=1,HS29-ID29-IE29,0),0)</f>
        <v>32005.5195781017</v>
      </c>
      <c r="QK29" s="57" t="n">
        <f aca="false">'Plan holdings'!BM29</f>
        <v>65266.9226232386</v>
      </c>
      <c r="QL29" s="20" t="n">
        <f aca="false">QH29*(1+AS_Cash)</f>
        <v>13883.8610027022</v>
      </c>
      <c r="QM29" s="20" t="n">
        <f aca="false">IF(W29=1,IF(HU29=1,II29+IL29,X29-QC29)*(1+Slot1_Rate),0)</f>
        <v>0</v>
      </c>
      <c r="QN29" s="20" t="n">
        <f aca="false">IF(AND(HU29=1,W29=1),(IH29+IL29)/F29,0)</f>
        <v>0</v>
      </c>
      <c r="QO29" s="20" t="n">
        <f aca="false">IF(B29=0,IH29+IL29,0)</f>
        <v>0</v>
      </c>
      <c r="QP29" s="20" t="n">
        <f aca="false">IF(B29=0,IF(HU29=1,IJ29,IK29),0)</f>
        <v>0</v>
      </c>
      <c r="QQ29" s="20" t="n">
        <f aca="false">IF(AH29=1,IF(HU29=1,IQ29+IT29,AI29-QA29)*(1+Slot2_Rate),0)</f>
        <v>0</v>
      </c>
      <c r="QR29" s="20" t="n">
        <f aca="false">IF(AND(HU29=1,AH29=1),(IP29+IT29)/F29,0)</f>
        <v>0</v>
      </c>
      <c r="QS29" s="20" t="n">
        <f aca="false">IF(B29=0,IP29+IT29,0)</f>
        <v>0</v>
      </c>
      <c r="QT29" s="20" t="n">
        <f aca="false">IF(B29=0,IF(HU29=1,IR29,IS29),0)</f>
        <v>0</v>
      </c>
      <c r="QU29" s="20" t="n">
        <f aca="false">IF(AR29=1,IF(HU29=1,IY29+JB29,AS29-PY29)*(1+Slot3_Rate),0)</f>
        <v>0</v>
      </c>
      <c r="QV29" s="20" t="n">
        <f aca="false">IF(AND(HU29=1,AR29=1),(IX29+JB29)/F29,0)</f>
        <v>0</v>
      </c>
      <c r="QW29" s="20" t="n">
        <f aca="false">IF(B29=0,IX29+JB29,0)</f>
        <v>0</v>
      </c>
      <c r="QX29" s="20" t="n">
        <f aca="false">IF(B29=0,IF(HU29=1,IZ29,JA29),0)</f>
        <v>0</v>
      </c>
      <c r="QY29" s="20" t="n">
        <f aca="false">IF(BB29=1,IF(HU29=1,JG29+JJ29,BC29-PW29)*(1+Slot4_Rate),0)</f>
        <v>0</v>
      </c>
      <c r="QZ29" s="20" t="n">
        <f aca="false">IF(AND(HU29=1,BB29=1),(JF29+JJ29)/F29,0)</f>
        <v>0</v>
      </c>
      <c r="RA29" s="20" t="n">
        <f aca="false">IF(B29=0,JF29+JJ29,0)</f>
        <v>0</v>
      </c>
      <c r="RB29" s="20" t="n">
        <f aca="false">IF(B29=0,IF(HU29=1,JH29,JI29),0)</f>
        <v>0</v>
      </c>
      <c r="RC29" s="20" t="n">
        <f aca="false">IF(BL29=1,IF(HU29=1,JO29+JR29,BM29-PU29)*(1+Slot5_Rate),0)</f>
        <v>0</v>
      </c>
      <c r="RD29" s="20" t="n">
        <f aca="false">IF(AND(HU29=1,BL29=1),(JN29+JR29)/F29,0)</f>
        <v>0</v>
      </c>
      <c r="RE29" s="20" t="n">
        <f aca="false">IF(B29=0,JN29+JR29,0)</f>
        <v>0</v>
      </c>
      <c r="RF29" s="20" t="n">
        <f aca="false">IF(B29=0,IF(HU29=1,JP29,JQ29),0)</f>
        <v>0</v>
      </c>
      <c r="RG29" s="20" t="n">
        <f aca="false">IF(BV29=1,IF(HU29=1,JW29+JZ29,BW29-PS29)*(1+Slot6_Rate),0)</f>
        <v>0</v>
      </c>
      <c r="RH29" s="20" t="n">
        <f aca="false">IF(AND(HU29=1,BV29=1),(JV29+JZ29)/F29,0)</f>
        <v>0</v>
      </c>
      <c r="RI29" s="20" t="n">
        <f aca="false">IF(B29=0,JV29+JZ29,0)</f>
        <v>0</v>
      </c>
      <c r="RJ29" s="20" t="n">
        <f aca="false">IF(B29=0,IF(HU29=1,JX29,JY29),0)</f>
        <v>0</v>
      </c>
      <c r="RK29" s="20" t="n">
        <f aca="false">IF(CF29=1,IF(HU29=1,KE29+KH29,CG29-PQ29)*(1+Slot7_Rate),0)</f>
        <v>0</v>
      </c>
      <c r="RL29" s="20" t="n">
        <f aca="false">IF(AND(HU29=1,CF29=1),(KD29+KH29)/F29,0)</f>
        <v>0</v>
      </c>
      <c r="RM29" s="20" t="n">
        <f aca="false">IF(B29=0,KD29+KH29,0)</f>
        <v>0</v>
      </c>
      <c r="RN29" s="20" t="n">
        <f aca="false">IF(B29=0,IF(HU29=1,KF29,KG29),0)</f>
        <v>0</v>
      </c>
      <c r="RO29" s="20" t="n">
        <f aca="false">IF(CP29=1,IF(HU29=1,KM29+KP29,CQ29-PO29)*(1+Slot8_Rate),0)</f>
        <v>0</v>
      </c>
      <c r="RP29" s="20" t="n">
        <f aca="false">IF(AND(HU29=1,CP29=1),(KL29+KP29)/F29,0)</f>
        <v>0</v>
      </c>
      <c r="RQ29" s="20" t="n">
        <f aca="false">IF(B29=0,KL29+KP29,0)</f>
        <v>0</v>
      </c>
      <c r="RR29" s="20" t="n">
        <f aca="false">IF(B29=0,IF(HU29=1,KN29,KO29),0)</f>
        <v>0</v>
      </c>
      <c r="RS29" s="20" t="n">
        <f aca="false">IF(CZ29=1,IF(HU29=1,KU29+KX29,DA29-PM29)*(1+Slot9_Rate),0)</f>
        <v>0</v>
      </c>
      <c r="RT29" s="20" t="n">
        <f aca="false">IF(AND(HU29=1,CZ29=1),(KT29+KX29)/F29,0)</f>
        <v>0</v>
      </c>
      <c r="RU29" s="20" t="n">
        <f aca="false">IF(B29=0,KT29+KX29,0)</f>
        <v>0</v>
      </c>
      <c r="RV29" s="20" t="n">
        <f aca="false">IF(B29=0,IF(HU29=1,KV29,KW29),0)</f>
        <v>0</v>
      </c>
      <c r="RW29" s="20" t="n">
        <f aca="false">IF(DJ29=1,IF(HU29=1,LC29+LF29,DK29-PK29)*(1+Slot10_Rate),0)</f>
        <v>0</v>
      </c>
      <c r="RX29" s="20" t="n">
        <f aca="false">IF(AND(HU29=1,DJ29=1),(LB29+LF29)/F29,0)</f>
        <v>0</v>
      </c>
      <c r="RY29" s="20" t="n">
        <f aca="false">IF(B29=0,LB29+LF29,0)</f>
        <v>0</v>
      </c>
      <c r="RZ29" s="20" t="n">
        <f aca="false">IF(B29=0,IF(HU29=1,LD29,LE29),0)</f>
        <v>0</v>
      </c>
      <c r="SA29" s="20" t="n">
        <f aca="false">IF(DT29=1,IF(HU29=1,LK29+LN29,DU29-PI29)*(1+Slot11_Rate),0)</f>
        <v>0</v>
      </c>
      <c r="SB29" s="20" t="n">
        <f aca="false">IF(AND(HU29=1,DT29=1),(LJ29+LN29)/F29,0)</f>
        <v>0</v>
      </c>
      <c r="SC29" s="20" t="n">
        <f aca="false">IF(B29=0,LJ29+LN29,0)</f>
        <v>0</v>
      </c>
      <c r="SD29" s="20" t="n">
        <f aca="false">IF(B29=0,IF(HU29=1,LL29,LM29),0)</f>
        <v>0</v>
      </c>
      <c r="SE29" s="20" t="n">
        <f aca="false">IF(ED29=1,IF(HU29=1,LS29+LV29,EE29-PG29)*(1+Slot12_Rate),0)</f>
        <v>0</v>
      </c>
      <c r="SF29" s="20" t="n">
        <f aca="false">IF(AND(HU29=1,ED29=1),(LR29+LV29)/F29,0)</f>
        <v>0</v>
      </c>
      <c r="SG29" s="20" t="n">
        <f aca="false">IF(B29=0,LR29+LV29,0)</f>
        <v>0</v>
      </c>
      <c r="SH29" s="20" t="n">
        <f aca="false">IF(B29=0,IF(HU29=1,LT29,LU29),0)</f>
        <v>0</v>
      </c>
      <c r="SI29" s="20" t="n">
        <f aca="false">IF(EN29=1,IF(HU29=1,MA29+MD29,EO29-PE29)*(1+Slot13_Rate),0)</f>
        <v>0</v>
      </c>
      <c r="SJ29" s="20" t="n">
        <f aca="false">IF(AND(HU29=1,EN29=1),(LZ29+MD29)/F29,0)</f>
        <v>0</v>
      </c>
      <c r="SK29" s="20" t="n">
        <f aca="false">IF(B29=0,LZ29+MD29,0)</f>
        <v>0</v>
      </c>
      <c r="SL29" s="20" t="n">
        <f aca="false">IF(B29=0,IF(HU29=1,MB29,MC29),0)</f>
        <v>0</v>
      </c>
      <c r="SM29" s="20" t="n">
        <f aca="false">IF(EX29=1,IF(HU29=1,MI29+ML29,EY29-PC29)*(1+Slot14_Rate),0)</f>
        <v>0</v>
      </c>
      <c r="SN29" s="20" t="n">
        <f aca="false">IF(AND(HU29=1,EX29=1),(MH29+ML29)/F29,0)</f>
        <v>0</v>
      </c>
      <c r="SO29" s="20" t="n">
        <f aca="false">IF(B29=0,MH29+ML29,0)</f>
        <v>0</v>
      </c>
      <c r="SP29" s="20" t="n">
        <f aca="false">IF(B29=0,IF(HU29=1,MJ29,MK29),0)</f>
        <v>0</v>
      </c>
      <c r="SQ29" s="20" t="n">
        <f aca="false">IF(FH29=1,IF(HU29=1,MQ29+MT29,FI29-PA29)*(1+Slot15_Rate),0)</f>
        <v>0</v>
      </c>
      <c r="SR29" s="20" t="n">
        <f aca="false">IF(AND(HU29=1,FH29=1),(MP29+MT29)/F29,0)</f>
        <v>0</v>
      </c>
      <c r="SS29" s="20" t="n">
        <f aca="false">IF(B29=0,MP29+MT29,0)</f>
        <v>0</v>
      </c>
      <c r="ST29" s="20" t="n">
        <f aca="false">IF(B29=0,IF(HU29=1,MR29,MS29),0)</f>
        <v>0</v>
      </c>
      <c r="SU29" s="20" t="n">
        <f aca="false">IF(FR29=1,IF(HU29=1,MY29+NB29,FS29-OY29)*(1+Slot16_Rate),0)</f>
        <v>0</v>
      </c>
      <c r="SV29" s="20" t="n">
        <f aca="false">IF(AND(HU29=1,FR29=1),(MX29+NB29)/F29,0)</f>
        <v>0</v>
      </c>
      <c r="SW29" s="20" t="n">
        <f aca="false">IF(B29=0,MX29+NB29,0)</f>
        <v>0</v>
      </c>
      <c r="SX29" s="20" t="n">
        <f aca="false">IF(B29=0,IF(HU29=1,MZ29,NA29),0)</f>
        <v>0</v>
      </c>
      <c r="SY29" s="20" t="n">
        <f aca="false">IF(GB29=1,IF(HU29=1,NG29+NJ29,GC29-OW29)*(1+Slot17_Rate),0)</f>
        <v>0</v>
      </c>
      <c r="SZ29" s="20" t="n">
        <f aca="false">IF(AND(HU29=1,GB29=1),(NF29+NJ29)/F29,0)</f>
        <v>0</v>
      </c>
      <c r="TA29" s="20" t="n">
        <f aca="false">IF(B29=0,NF29+NJ29,0)</f>
        <v>0</v>
      </c>
      <c r="TB29" s="20" t="n">
        <f aca="false">IF(B29=0,IF(HU29=1,NH29,NI29),0)</f>
        <v>0</v>
      </c>
      <c r="TC29" s="20" t="n">
        <f aca="false">IF(GL29=1,IF(HU29=1,NO29+NR29,GM29-OU29)*(1+Slot18_Rate),0)</f>
        <v>0</v>
      </c>
      <c r="TD29" s="20" t="n">
        <f aca="false">IF(AND(HU29=1,GL29=1),(NN29+NR29)/F29,0)</f>
        <v>0</v>
      </c>
      <c r="TE29" s="20" t="n">
        <f aca="false">IF(B29=0,NN29+NR29,0)</f>
        <v>0</v>
      </c>
      <c r="TF29" s="20" t="n">
        <f aca="false">IF(B29=0,IF(HU29=1,NP29,NQ29),0)</f>
        <v>0</v>
      </c>
      <c r="TG29" s="20" t="n">
        <f aca="false">IF(GV29=1,IF(HU29=1,NW29+NZ29,GW29-OS29)*(1+Slot19_Rate),0)</f>
        <v>0</v>
      </c>
      <c r="TH29" s="20" t="n">
        <f aca="false">IF(AND(HU29=1,GV29=1),(NV29+NZ29)/F29,0)</f>
        <v>0</v>
      </c>
      <c r="TI29" s="20" t="n">
        <f aca="false">IF(B29=0,NV29+NZ29,0)</f>
        <v>0</v>
      </c>
      <c r="TJ29" s="20" t="n">
        <f aca="false">IF(B29=0,IF(HU29=1,NX29,NY29),0)</f>
        <v>0</v>
      </c>
      <c r="TK29" s="20" t="n">
        <f aca="false">IF(HF29=1,IF(HU29=1,OE29+OH29,HG29-OQ29)*(1+Slot20_Rate),0)</f>
        <v>0</v>
      </c>
      <c r="TL29" s="20" t="n">
        <f aca="false">IF(AND(HU29=1,HF29=1),(OD29+OH29)/F29,0)</f>
        <v>0</v>
      </c>
      <c r="TM29" s="20" t="n">
        <f aca="false">IF(B29=0,OD29+OH29,0)</f>
        <v>0</v>
      </c>
      <c r="TN29" s="20" t="n">
        <f aca="false">IF(B29=0,IF(HU29=1,OF29,OG29),0)</f>
        <v>0</v>
      </c>
      <c r="TO29" s="20" t="n">
        <f aca="false">QK29+QL29+QM29+QQ29+QU29+QY29+RC29+RG29+RK29+RO29+RS29+RW29+SA29+SE29+SI29+SM29+SQ29+SU29+SY29+TC29+TG29+TK29</f>
        <v>79150.7836259408</v>
      </c>
      <c r="TP29" s="20" t="n">
        <f aca="false">QE29+HP29</f>
        <v>0</v>
      </c>
      <c r="TQ29" s="20" t="n">
        <f aca="false">I29+S29</f>
        <v>68204.9854754065</v>
      </c>
      <c r="TR29" s="20" t="n">
        <f aca="false">1-G29</f>
        <v>0</v>
      </c>
      <c r="TS29" s="20" t="n">
        <f aca="false">IF(AND(RG_Exists=1,G29=0,C29=1),I29,0)</f>
        <v>0</v>
      </c>
      <c r="TT29" s="20" t="n">
        <f aca="false">IF(AND(RG_Exists=1,G29=0,C29=1),I29-MIN(QE29,I29),0)</f>
        <v>0</v>
      </c>
      <c r="TU29" s="20" t="n">
        <f aca="false">'Plan pay &amp; tax'!AD255</f>
        <v>488123.161804774</v>
      </c>
      <c r="TV29" s="20" t="n">
        <f aca="false">IF(AND(C29=1,QE29&gt;MAX(PR_Short1,TQ29*PR_Short2)),1,0)</f>
        <v>0</v>
      </c>
      <c r="TW29" s="20" t="n">
        <f aca="false">MIN(H29,I29+S29)</f>
        <v>68204.9854754065</v>
      </c>
      <c r="TX29" s="20" t="n">
        <f aca="false">QF29+MAX(0,HQ29-HP29)</f>
        <v>0</v>
      </c>
      <c r="TY29" s="20" t="n">
        <f aca="false">QE29+HP29</f>
        <v>0</v>
      </c>
      <c r="TZ29" s="20" t="n">
        <f aca="false">IF(AND(C29=1,TY29&gt;PR_MinShort),1,0)</f>
        <v>0</v>
      </c>
      <c r="UA29" s="20" t="n">
        <f aca="false">IF(AND(C29=1,TZ29=0,TX29&gt;PR_MinShort),1,0)</f>
        <v>0</v>
      </c>
      <c r="UB29" s="20" t="n">
        <f aca="false">IF(AND(C29=1,QE29&gt;PR_MinShort),1,0)</f>
        <v>0</v>
      </c>
      <c r="UC29" s="20" t="n">
        <f aca="false">IF(AND(C29=1,QF29&gt;1,UJ29=0),1,0)</f>
        <v>0</v>
      </c>
      <c r="UD29" s="20" t="str">
        <f aca="false">IF(C29=0,"",IF(UJ29=1,"Gap to plan for: short "&amp;"€"&amp;TEXT(ROUND(TP29,0),"#,##0"),IF(QF29&gt;1,"Using savings","Comfortable")))</f>
        <v>Comfortable</v>
      </c>
      <c r="UE29" s="20" t="n">
        <f aca="false">IF(AND(INT(D29/10)*10=90,B29&gt;0),80,INT(D29/10)*10)</f>
        <v>50</v>
      </c>
      <c r="UF29" s="20" t="n">
        <f aca="false">IF(B29=0,1,IF(UE29&lt;&gt;UE28,UF28+1,UF28))</f>
        <v>3</v>
      </c>
      <c r="UG29" s="20" t="n">
        <f aca="false">IF(AND(C29=1,G29=1,QE29&gt;MAX(PR_Short1,TQ29*PR_Short2)),1,0)</f>
        <v>0</v>
      </c>
      <c r="UH29" s="20" t="n">
        <f aca="false">TR29*TV29</f>
        <v>0</v>
      </c>
      <c r="UI29" s="20" t="n">
        <f aca="false">IF(AND(V29=1,Slot1_PctLow=1),1,0)+IF(AND(AG29=1,Slot2_PctLow=1),1,0)+IF(AND(AQ29=1,Slot3_PctLow=1),1,0)+IF(AND(BA29=1,Slot4_PctLow=1),1,0)+IF(AND(BK29=1,Slot5_PctLow=1),1,0)+IF(AND(BU29=1,Slot6_PctLow=1),1,0)+IF(AND(CE29=1,Slot7_PctLow=1),1,0)+IF(AND(CO29=1,Slot8_PctLow=1),1,0)+IF(AND(CY29=1,Slot9_PctLow=1),1,0)+IF(AND(DI29=1,Slot10_PctLow=1),1,0)+IF(AND(DS29=1,Slot11_PctLow=1),1,0)+IF(AND(EC29=1,Slot12_PctLow=1),1,0)+IF(AND(EM29=1,Slot13_PctLow=1),1,0)+IF(AND(EW29=1,Slot14_PctLow=1),1,0)+IF(AND(FG29=1,Slot15_PctLow=1),1,0)+IF(AND(FQ29=1,Slot16_PctLow=1),1,0)+IF(AND(GA29=1,Slot17_PctLow=1),1,0)+IF(AND(GK29=1,Slot18_PctLow=1),1,0)+IF(AND(GU29=1,Slot19_PctLow=1),1,0)+IF(AND(HE29=1,Slot20_PctLow=1),1,0)</f>
        <v>0</v>
      </c>
      <c r="UJ29" s="20" t="n">
        <f aca="false">IF(C29=1,IF(OR(TV29=1,UI29&gt;0),1,0),0)</f>
        <v>0</v>
      </c>
      <c r="UK29" s="20" t="n">
        <f aca="false">Z29+AK29+AU29+BE29+BO29+BY29+CI29+CS29+DC29+DM29+DW29+EG29+EQ29+FA29+FK29+FU29+GE29+GO29+GY29+HI29+OM29</f>
        <v>0</v>
      </c>
      <c r="UL29" s="20" t="n">
        <f aca="false">V29*IF(Slot1_SpendLike=1,X29-Y29,IF(Slot1_PotFree=1,X29,0))+AG29*IF(Slot2_SpendLike=1,AI29-AJ29,IF(Slot2_PotFree=1,AI29,0))+AQ29*IF(Slot3_SpendLike=1,AS29-AT29,IF(Slot3_PotFree=1,AS29,0))+BA29*IF(Slot4_SpendLike=1,BC29-BD29,IF(Slot4_PotFree=1,BC29,0))+BK29*IF(Slot5_SpendLike=1,BM29-BN29,IF(Slot5_PotFree=1,BM29,0))+BU29*IF(Slot6_SpendLike=1,BW29-BX29,IF(Slot6_PotFree=1,BW29,0))+CE29*IF(Slot7_SpendLike=1,CG29-CH29,IF(Slot7_PotFree=1,CG29,0))+CO29*IF(Slot8_SpendLike=1,CQ29-CR29,IF(Slot8_PotFree=1,CQ29,0))+CY29*IF(Slot9_SpendLike=1,DA29-DB29,IF(Slot9_PotFree=1,DA29,0))+DI29*IF(Slot10_SpendLike=1,DK29-DL29,IF(Slot10_PotFree=1,DK29,0))+DS29*IF(Slot11_SpendLike=1,DU29-DV29,IF(Slot11_PotFree=1,DU29,0))+EC29*IF(Slot12_SpendLike=1,EE29-EF29,IF(Slot12_PotFree=1,EE29,0))+EM29*IF(Slot13_SpendLike=1,EO29-EP29,IF(Slot13_PotFree=1,EO29,0))+EW29*IF(Slot14_SpendLike=1,EY29-EZ29,IF(Slot14_PotFree=1,EY29,0))+FG29*IF(Slot15_SpendLike=1,FI29-FJ29,IF(Slot15_PotFree=1,FI29,0))+FQ29*IF(Slot16_SpendLike=1,FS29-FT29,IF(Slot16_PotFree=1,FS29,0))+GA29*IF(Slot17_SpendLike=1,GC29-GD29,IF(Slot17_PotFree=1,GC29,0))+GK29*IF(Slot18_SpendLike=1,GM29-GN29,IF(Slot18_PotFree=1,GM29,0))+GU29*IF(Slot19_SpendLike=1,GW29-GX29,IF(Slot19_PotFree=1,GW29,0))+HE29*IF(Slot20_SpendLike=1,HG29-HH29,IF(Slot20_PotFree=1,HG29,0))</f>
        <v>0</v>
      </c>
      <c r="UM29" s="20" t="n">
        <f aca="false">QG29-T29+UK29-UL29</f>
        <v>9093.99806338753</v>
      </c>
      <c r="UN29" s="20" t="n">
        <f aca="false">IF(OR(UN28=1,AND(In_homeUse="Yes, I'd downsize",In_downAge&gt;0,D29=In_downAge,OR(In_home="Own outright",In_home="Own with mortgage"),In_homeValue&gt;0)),1,0)</f>
        <v>0</v>
      </c>
    </row>
    <row r="30" customFormat="false" ht="15" hidden="false" customHeight="true" outlineLevel="0" collapsed="false">
      <c r="B30" s="20" t="n">
        <v>22</v>
      </c>
      <c r="C30" s="20" t="n">
        <f aca="false">IF(B30&lt;=F_N,1,0)</f>
        <v>1</v>
      </c>
      <c r="D30" s="20" t="n">
        <f aca="false">'Plan pay &amp; tax'!C256</f>
        <v>60</v>
      </c>
      <c r="E30" s="20" t="str">
        <f aca="false">IF($C30=1,"Income tax "&amp;TEXT(N('Plan pay &amp; tax'!BK256),"#,##0")&amp;"; USC "&amp;TEXT(N('Plan pay &amp; tax'!BM256)+N('Plan pay &amp; tax'!BO256),"#,##0")&amp;"; PRSI "&amp;TEXT(N('Plan pay &amp; tax'!BP256)+N('Plan pay &amp; tax'!BQ256),"#,##0")&amp;IF(N('Plan holdings'!BO30)&gt;=0.5,"; DIRT "&amp;TEXT(('Plan holdings'!BO30)/$F30,"#,##0")&amp;" (already taken from the interest earned)","")&amp;IF(N('Plan holdings'!BP30)&gt;=0.5,"; exit tax at an 8-year anniversary "&amp;TEXT(('Plan holdings'!BP30)/$F30,"#,##0"),"")&amp;IF(N('Plan holdings'!BN30)&gt;=0.5,"; tax on assets sold (exit tax or capital gains tax) "&amp;TEXT(('Plan holdings'!BN30)/$F30,"#,##0"),"")&amp;IF(N('Plan pay &amp; tax'!X256)-N('Plan pay &amp; tax'!Y256)&gt;=0.5,"; tax on the pension lump sum "&amp;TEXT(('Plan pay &amp; tax'!X256-'Plan pay &amp; tax'!Y256)/$F30,"#,##0"),"")&amp;IF(N('Plan pay &amp; tax'!V256)&gt;=0.5,"; chargeable excess tax on the pension "&amp;TEXT(('Plan pay &amp; tax'!V256)/$F30,"#,##0"),"")&amp;".","")</f>
        <v>Income tax 15,861; USC 2,147; PRSI 4,660; DIRT 181 (already taken from the interest earned); exit tax at an 8-year anniversary 94.</v>
      </c>
      <c r="F30" s="50" t="n">
        <f aca="false">'Plan pay &amp; tax'!E256</f>
        <v>1.54597967077588</v>
      </c>
      <c r="G30" s="20" t="n">
        <f aca="false">'Plan pay &amp; tax'!G256</f>
        <v>1</v>
      </c>
      <c r="H30" s="20" t="n">
        <f aca="false">'Plan pay &amp; tax'!BT256-'Plan pay &amp; tax'!BS256-'Plan pay &amp; tax'!R256</f>
        <v>112266.112780288</v>
      </c>
      <c r="I30" s="20" t="n">
        <f aca="false">IF(G30=1,F_CostsM*12,IF(RG_Exists=1,RG_Amount,F_CostsM*12*AS_RetireSpend))*F30+F_OneOffY*F30</f>
        <v>69569.0851849146</v>
      </c>
      <c r="J30" s="20" t="n">
        <f aca="false">IF(UN30=1,0,HR29)</f>
        <v>0</v>
      </c>
      <c r="K30" s="20" t="n">
        <f aca="false">IF(J30&gt;1,'Plan debt months'!AC30,0)</f>
        <v>0</v>
      </c>
      <c r="L30" s="20" t="n">
        <f aca="false">IF(J30&gt;1,'Plan debt months'!AB30,J30)</f>
        <v>0</v>
      </c>
      <c r="M30" s="20" t="n">
        <f aca="false">O29</f>
        <v>0</v>
      </c>
      <c r="N30" s="20" t="n">
        <f aca="false">IF(M30&gt;1,'Plan debt months'!BD30,0)</f>
        <v>0</v>
      </c>
      <c r="O30" s="20" t="n">
        <f aca="false">IF(M30&gt;1,'Plan debt months'!BC30,M30)</f>
        <v>0</v>
      </c>
      <c r="P30" s="20" t="n">
        <f aca="false">R29</f>
        <v>0</v>
      </c>
      <c r="Q30" s="20" t="n">
        <f aca="false">IF(P30&gt;1,'Plan debt months'!CE30,0)</f>
        <v>0</v>
      </c>
      <c r="R30" s="20" t="n">
        <f aca="false">IF(P30&gt;1,'Plan debt months'!CD30,P30)</f>
        <v>0</v>
      </c>
      <c r="S30" s="20" t="n">
        <f aca="false">K30+N30+Q30</f>
        <v>0</v>
      </c>
      <c r="T30" s="57" t="n">
        <f aca="false">'Plan holdings'!Y30</f>
        <v>64069.0738068826</v>
      </c>
      <c r="U30" s="57" t="n">
        <f aca="false">'Plan holdings'!BM29</f>
        <v>65266.9226232386</v>
      </c>
      <c r="V30" s="20" t="n">
        <f aca="false">IF(AND(Slot1_On=1,D30=Slot1_Age),1,0)</f>
        <v>0</v>
      </c>
      <c r="W30" s="20" t="n">
        <f aca="false">IF(AND(Slot1_On=1,Slot1_Age&gt;D30),1,0)</f>
        <v>0</v>
      </c>
      <c r="X30" s="20" t="n">
        <f aca="false">QM29</f>
        <v>0</v>
      </c>
      <c r="Y30" s="20" t="n">
        <f aca="false">V30*MIN(Slot1_Cost,X30)</f>
        <v>0</v>
      </c>
      <c r="Z30" s="20" t="n">
        <f aca="false">V30*Slot1_SpendLike*MIN(Slot1_Cost-Y30,T30)</f>
        <v>0</v>
      </c>
      <c r="AA30" s="20" t="n">
        <f aca="false">Y30+Z30</f>
        <v>0</v>
      </c>
      <c r="AB30" s="20" t="n">
        <f aca="false">T30-Z30+V30*IF(Slot1_SpendLike=1,X30-Y30,IF(Slot1_PotFree=1,X30,0))</f>
        <v>64069.0738068826</v>
      </c>
      <c r="AC30" s="20" t="n">
        <f aca="false">AF30+V30*Slot1_BufPot*X30</f>
        <v>13883.8610027022</v>
      </c>
      <c r="AD30" s="20" t="n">
        <f aca="false">IF(AND(V30=1,Slot1_IsMfree=1),IF(AA30&gt;=Slot1_Cost-1,0,MAX(0,L30-AA30)),L30)</f>
        <v>0</v>
      </c>
      <c r="AE30" s="20" t="n">
        <f aca="false">V30*(Slot1_Cost-AA30)</f>
        <v>0</v>
      </c>
      <c r="AF30" s="20" t="n">
        <f aca="false">QL29</f>
        <v>13883.8610027022</v>
      </c>
      <c r="AG30" s="20" t="n">
        <f aca="false">IF(AND(Slot2_On=1,D30=Slot2_Age),1,0)</f>
        <v>0</v>
      </c>
      <c r="AH30" s="20" t="n">
        <f aca="false">IF(AND(Slot2_On=1,Slot2_Age&gt;D30),1,0)</f>
        <v>0</v>
      </c>
      <c r="AI30" s="20" t="n">
        <f aca="false">QQ29</f>
        <v>0</v>
      </c>
      <c r="AJ30" s="20" t="n">
        <f aca="false">AG30*MIN(Slot2_Cost,AI30)</f>
        <v>0</v>
      </c>
      <c r="AK30" s="20" t="n">
        <f aca="false">AG30*Slot2_SpendLike*MIN(Slot2_Cost-AJ30,AB30)</f>
        <v>0</v>
      </c>
      <c r="AL30" s="20" t="n">
        <f aca="false">AJ30+AK30</f>
        <v>0</v>
      </c>
      <c r="AM30" s="20" t="n">
        <f aca="false">AB30-AK30+AG30*IF(Slot2_SpendLike=1,AI30-AJ30,IF(Slot2_PotFree=1,AI30,0))</f>
        <v>64069.0738068826</v>
      </c>
      <c r="AN30" s="20" t="n">
        <f aca="false">AC30+AG30*Slot2_BufPot*AI30</f>
        <v>13883.8610027022</v>
      </c>
      <c r="AO30" s="20" t="n">
        <f aca="false">IF(AND(AG30=1,Slot2_IsMfree=1),IF(AL30&gt;=Slot2_Cost-1,0,MAX(0,AD30-AL30)),AD30)</f>
        <v>0</v>
      </c>
      <c r="AP30" s="20" t="n">
        <f aca="false">AG30*(Slot2_Cost-AL30)</f>
        <v>0</v>
      </c>
      <c r="AQ30" s="20" t="n">
        <f aca="false">IF(AND(Slot3_On=1,D30=Slot3_Age),1,0)</f>
        <v>0</v>
      </c>
      <c r="AR30" s="20" t="n">
        <f aca="false">IF(AND(Slot3_On=1,Slot3_Age&gt;D30),1,0)</f>
        <v>0</v>
      </c>
      <c r="AS30" s="20" t="n">
        <f aca="false">QU29</f>
        <v>0</v>
      </c>
      <c r="AT30" s="20" t="n">
        <f aca="false">AQ30*MIN(Slot3_Cost,AS30)</f>
        <v>0</v>
      </c>
      <c r="AU30" s="20" t="n">
        <f aca="false">AQ30*Slot3_SpendLike*MIN(Slot3_Cost-AT30,AM30)</f>
        <v>0</v>
      </c>
      <c r="AV30" s="20" t="n">
        <f aca="false">AT30+AU30</f>
        <v>0</v>
      </c>
      <c r="AW30" s="20" t="n">
        <f aca="false">AM30-AU30+AQ30*IF(Slot3_SpendLike=1,AS30-AT30,IF(Slot3_PotFree=1,AS30,0))</f>
        <v>64069.0738068826</v>
      </c>
      <c r="AX30" s="20" t="n">
        <f aca="false">AN30+AQ30*Slot3_BufPot*AS30</f>
        <v>13883.8610027022</v>
      </c>
      <c r="AY30" s="20" t="n">
        <f aca="false">IF(AND(AQ30=1,Slot3_IsMfree=1),IF(AV30&gt;=Slot3_Cost-1,0,MAX(0,AO30-AV30)),AO30)</f>
        <v>0</v>
      </c>
      <c r="AZ30" s="20" t="n">
        <f aca="false">AQ30*(Slot3_Cost-AV30)</f>
        <v>0</v>
      </c>
      <c r="BA30" s="20" t="n">
        <f aca="false">IF(AND(Slot4_On=1,D30=Slot4_Age),1,0)</f>
        <v>0</v>
      </c>
      <c r="BB30" s="20" t="n">
        <f aca="false">IF(AND(Slot4_On=1,Slot4_Age&gt;D30),1,0)</f>
        <v>0</v>
      </c>
      <c r="BC30" s="20" t="n">
        <f aca="false">QY29</f>
        <v>0</v>
      </c>
      <c r="BD30" s="20" t="n">
        <f aca="false">BA30*MIN(Slot4_Cost,BC30)</f>
        <v>0</v>
      </c>
      <c r="BE30" s="20" t="n">
        <f aca="false">BA30*Slot4_SpendLike*MIN(Slot4_Cost-BD30,AW30)</f>
        <v>0</v>
      </c>
      <c r="BF30" s="20" t="n">
        <f aca="false">BD30+BE30</f>
        <v>0</v>
      </c>
      <c r="BG30" s="20" t="n">
        <f aca="false">AW30-BE30+BA30*IF(Slot4_SpendLike=1,BC30-BD30,IF(Slot4_PotFree=1,BC30,0))</f>
        <v>64069.0738068826</v>
      </c>
      <c r="BH30" s="20" t="n">
        <f aca="false">AX30+BA30*Slot4_BufPot*BC30</f>
        <v>13883.8610027022</v>
      </c>
      <c r="BI30" s="20" t="n">
        <f aca="false">IF(AND(BA30=1,Slot4_IsMfree=1),IF(BF30&gt;=Slot4_Cost-1,0,MAX(0,AY30-BF30)),AY30)</f>
        <v>0</v>
      </c>
      <c r="BJ30" s="20" t="n">
        <f aca="false">BA30*(Slot4_Cost-BF30)</f>
        <v>0</v>
      </c>
      <c r="BK30" s="20" t="n">
        <f aca="false">IF(AND(Slot5_On=1,D30=Slot5_Age),1,0)</f>
        <v>0</v>
      </c>
      <c r="BL30" s="20" t="n">
        <f aca="false">IF(AND(Slot5_On=1,Slot5_Age&gt;D30),1,0)</f>
        <v>0</v>
      </c>
      <c r="BM30" s="20" t="n">
        <f aca="false">RC29</f>
        <v>0</v>
      </c>
      <c r="BN30" s="20" t="n">
        <f aca="false">BK30*MIN(Slot5_Cost,BM30)</f>
        <v>0</v>
      </c>
      <c r="BO30" s="20" t="n">
        <f aca="false">BK30*Slot5_SpendLike*MIN(Slot5_Cost-BN30,BG30)</f>
        <v>0</v>
      </c>
      <c r="BP30" s="20" t="n">
        <f aca="false">BN30+BO30</f>
        <v>0</v>
      </c>
      <c r="BQ30" s="20" t="n">
        <f aca="false">BG30-BO30+BK30*IF(Slot5_SpendLike=1,BM30-BN30,IF(Slot5_PotFree=1,BM30,0))</f>
        <v>64069.0738068826</v>
      </c>
      <c r="BR30" s="20" t="n">
        <f aca="false">BH30+BK30*Slot5_BufPot*BM30</f>
        <v>13883.8610027022</v>
      </c>
      <c r="BS30" s="20" t="n">
        <f aca="false">IF(AND(BK30=1,Slot5_IsMfree=1),IF(BP30&gt;=Slot5_Cost-1,0,MAX(0,BI30-BP30)),BI30)</f>
        <v>0</v>
      </c>
      <c r="BT30" s="20" t="n">
        <f aca="false">BK30*(Slot5_Cost-BP30)</f>
        <v>0</v>
      </c>
      <c r="BU30" s="20" t="n">
        <f aca="false">IF(AND(Slot6_On=1,D30=Slot6_Age),1,0)</f>
        <v>0</v>
      </c>
      <c r="BV30" s="20" t="n">
        <f aca="false">IF(AND(Slot6_On=1,Slot6_Age&gt;D30),1,0)</f>
        <v>0</v>
      </c>
      <c r="BW30" s="20" t="n">
        <f aca="false">RG29</f>
        <v>0</v>
      </c>
      <c r="BX30" s="20" t="n">
        <f aca="false">BU30*MIN(Slot6_Cost,BW30)</f>
        <v>0</v>
      </c>
      <c r="BY30" s="20" t="n">
        <f aca="false">BU30*Slot6_SpendLike*MIN(Slot6_Cost-BX30,BQ30)</f>
        <v>0</v>
      </c>
      <c r="BZ30" s="20" t="n">
        <f aca="false">BX30+BY30</f>
        <v>0</v>
      </c>
      <c r="CA30" s="20" t="n">
        <f aca="false">BQ30-BY30+BU30*IF(Slot6_SpendLike=1,BW30-BX30,IF(Slot6_PotFree=1,BW30,0))</f>
        <v>64069.0738068826</v>
      </c>
      <c r="CB30" s="20" t="n">
        <f aca="false">BR30+BU30*Slot6_BufPot*BW30</f>
        <v>13883.8610027022</v>
      </c>
      <c r="CC30" s="20" t="n">
        <f aca="false">IF(AND(BU30=1,Slot6_IsMfree=1),IF(BZ30&gt;=Slot6_Cost-1,0,MAX(0,BS30-BZ30)),BS30)</f>
        <v>0</v>
      </c>
      <c r="CD30" s="20" t="n">
        <f aca="false">BU30*(Slot6_Cost-BZ30)</f>
        <v>0</v>
      </c>
      <c r="CE30" s="20" t="n">
        <f aca="false">IF(AND(Slot7_On=1,D30=Slot7_Age),1,0)</f>
        <v>0</v>
      </c>
      <c r="CF30" s="20" t="n">
        <f aca="false">IF(AND(Slot7_On=1,Slot7_Age&gt;D30),1,0)</f>
        <v>0</v>
      </c>
      <c r="CG30" s="20" t="n">
        <f aca="false">RK29</f>
        <v>0</v>
      </c>
      <c r="CH30" s="20" t="n">
        <f aca="false">CE30*MIN(Slot7_Cost,CG30)</f>
        <v>0</v>
      </c>
      <c r="CI30" s="20" t="n">
        <f aca="false">CE30*Slot7_SpendLike*MIN(Slot7_Cost-CH30,CA30)</f>
        <v>0</v>
      </c>
      <c r="CJ30" s="20" t="n">
        <f aca="false">CH30+CI30</f>
        <v>0</v>
      </c>
      <c r="CK30" s="20" t="n">
        <f aca="false">CA30-CI30+CE30*IF(Slot7_SpendLike=1,CG30-CH30,IF(Slot7_PotFree=1,CG30,0))</f>
        <v>64069.0738068826</v>
      </c>
      <c r="CL30" s="20" t="n">
        <f aca="false">CB30+CE30*Slot7_BufPot*CG30</f>
        <v>13883.8610027022</v>
      </c>
      <c r="CM30" s="20" t="n">
        <f aca="false">IF(AND(CE30=1,Slot7_IsMfree=1),IF(CJ30&gt;=Slot7_Cost-1,0,MAX(0,CC30-CJ30)),CC30)</f>
        <v>0</v>
      </c>
      <c r="CN30" s="20" t="n">
        <f aca="false">CE30*(Slot7_Cost-CJ30)</f>
        <v>0</v>
      </c>
      <c r="CO30" s="20" t="n">
        <f aca="false">IF(AND(Slot8_On=1,D30=Slot8_Age),1,0)</f>
        <v>0</v>
      </c>
      <c r="CP30" s="20" t="n">
        <f aca="false">IF(AND(Slot8_On=1,Slot8_Age&gt;D30),1,0)</f>
        <v>0</v>
      </c>
      <c r="CQ30" s="20" t="n">
        <f aca="false">RO29</f>
        <v>0</v>
      </c>
      <c r="CR30" s="20" t="n">
        <f aca="false">CO30*MIN(Slot8_Cost,CQ30)</f>
        <v>0</v>
      </c>
      <c r="CS30" s="20" t="n">
        <f aca="false">CO30*Slot8_SpendLike*MIN(Slot8_Cost-CR30,CK30)</f>
        <v>0</v>
      </c>
      <c r="CT30" s="20" t="n">
        <f aca="false">CR30+CS30</f>
        <v>0</v>
      </c>
      <c r="CU30" s="20" t="n">
        <f aca="false">CK30-CS30+CO30*IF(Slot8_SpendLike=1,CQ30-CR30,IF(Slot8_PotFree=1,CQ30,0))</f>
        <v>64069.0738068826</v>
      </c>
      <c r="CV30" s="20" t="n">
        <f aca="false">CL30+CO30*Slot8_BufPot*CQ30</f>
        <v>13883.8610027022</v>
      </c>
      <c r="CW30" s="20" t="n">
        <f aca="false">IF(AND(CO30=1,Slot8_IsMfree=1),IF(CT30&gt;=Slot8_Cost-1,0,MAX(0,CM30-CT30)),CM30)</f>
        <v>0</v>
      </c>
      <c r="CX30" s="20" t="n">
        <f aca="false">CO30*(Slot8_Cost-CT30)</f>
        <v>0</v>
      </c>
      <c r="CY30" s="20" t="n">
        <f aca="false">IF(AND(Slot9_On=1,D30=Slot9_Age),1,0)</f>
        <v>0</v>
      </c>
      <c r="CZ30" s="20" t="n">
        <f aca="false">IF(AND(Slot9_On=1,Slot9_Age&gt;D30),1,0)</f>
        <v>0</v>
      </c>
      <c r="DA30" s="20" t="n">
        <f aca="false">RS29</f>
        <v>0</v>
      </c>
      <c r="DB30" s="20" t="n">
        <f aca="false">CY30*MIN(Slot9_Cost,DA30)</f>
        <v>0</v>
      </c>
      <c r="DC30" s="20" t="n">
        <f aca="false">CY30*Slot9_SpendLike*MIN(Slot9_Cost-DB30,CU30)</f>
        <v>0</v>
      </c>
      <c r="DD30" s="20" t="n">
        <f aca="false">DB30+DC30</f>
        <v>0</v>
      </c>
      <c r="DE30" s="20" t="n">
        <f aca="false">CU30-DC30+CY30*IF(Slot9_SpendLike=1,DA30-DB30,IF(Slot9_PotFree=1,DA30,0))</f>
        <v>64069.0738068826</v>
      </c>
      <c r="DF30" s="20" t="n">
        <f aca="false">CV30+CY30*Slot9_BufPot*DA30</f>
        <v>13883.8610027022</v>
      </c>
      <c r="DG30" s="20" t="n">
        <f aca="false">IF(AND(CY30=1,Slot9_IsMfree=1),IF(DD30&gt;=Slot9_Cost-1,0,MAX(0,CW30-DD30)),CW30)</f>
        <v>0</v>
      </c>
      <c r="DH30" s="20" t="n">
        <f aca="false">CY30*(Slot9_Cost-DD30)</f>
        <v>0</v>
      </c>
      <c r="DI30" s="20" t="n">
        <f aca="false">IF(AND(Slot10_On=1,D30=Slot10_Age),1,0)</f>
        <v>0</v>
      </c>
      <c r="DJ30" s="20" t="n">
        <f aca="false">IF(AND(Slot10_On=1,Slot10_Age&gt;D30),1,0)</f>
        <v>0</v>
      </c>
      <c r="DK30" s="20" t="n">
        <f aca="false">RW29</f>
        <v>0</v>
      </c>
      <c r="DL30" s="20" t="n">
        <f aca="false">DI30*MIN(Slot10_Cost,DK30)</f>
        <v>0</v>
      </c>
      <c r="DM30" s="20" t="n">
        <f aca="false">DI30*Slot10_SpendLike*MIN(Slot10_Cost-DL30,DE30)</f>
        <v>0</v>
      </c>
      <c r="DN30" s="20" t="n">
        <f aca="false">DL30+DM30</f>
        <v>0</v>
      </c>
      <c r="DO30" s="20" t="n">
        <f aca="false">DE30-DM30+DI30*IF(Slot10_SpendLike=1,DK30-DL30,IF(Slot10_PotFree=1,DK30,0))</f>
        <v>64069.0738068826</v>
      </c>
      <c r="DP30" s="20" t="n">
        <f aca="false">DF30+DI30*Slot10_BufPot*DK30</f>
        <v>13883.8610027022</v>
      </c>
      <c r="DQ30" s="20" t="n">
        <f aca="false">IF(AND(DI30=1,Slot10_IsMfree=1),IF(DN30&gt;=Slot10_Cost-1,0,MAX(0,DG30-DN30)),DG30)</f>
        <v>0</v>
      </c>
      <c r="DR30" s="20" t="n">
        <f aca="false">DI30*(Slot10_Cost-DN30)</f>
        <v>0</v>
      </c>
      <c r="DS30" s="20" t="n">
        <f aca="false">IF(AND(Slot11_On=1,D30=Slot11_Age),1,0)</f>
        <v>0</v>
      </c>
      <c r="DT30" s="20" t="n">
        <f aca="false">IF(AND(Slot11_On=1,Slot11_Age&gt;D30),1,0)</f>
        <v>0</v>
      </c>
      <c r="DU30" s="20" t="n">
        <f aca="false">SA29</f>
        <v>0</v>
      </c>
      <c r="DV30" s="20" t="n">
        <f aca="false">DS30*MIN(Slot11_Cost,DU30)</f>
        <v>0</v>
      </c>
      <c r="DW30" s="20" t="n">
        <f aca="false">DS30*Slot11_SpendLike*MIN(Slot11_Cost-DV30,DO30)</f>
        <v>0</v>
      </c>
      <c r="DX30" s="20" t="n">
        <f aca="false">DV30+DW30</f>
        <v>0</v>
      </c>
      <c r="DY30" s="20" t="n">
        <f aca="false">DO30-DW30+DS30*IF(Slot11_SpendLike=1,DU30-DV30,IF(Slot11_PotFree=1,DU30,0))</f>
        <v>64069.0738068826</v>
      </c>
      <c r="DZ30" s="20" t="n">
        <f aca="false">DP30+DS30*Slot11_BufPot*DU30</f>
        <v>13883.8610027022</v>
      </c>
      <c r="EA30" s="20" t="n">
        <f aca="false">IF(AND(DS30=1,Slot11_IsMfree=1),IF(DX30&gt;=Slot11_Cost-1,0,MAX(0,DQ30-DX30)),DQ30)</f>
        <v>0</v>
      </c>
      <c r="EB30" s="20" t="n">
        <f aca="false">DS30*(Slot11_Cost-DX30)</f>
        <v>0</v>
      </c>
      <c r="EC30" s="20" t="n">
        <f aca="false">IF(AND(Slot12_On=1,D30=Slot12_Age),1,0)</f>
        <v>0</v>
      </c>
      <c r="ED30" s="20" t="n">
        <f aca="false">IF(AND(Slot12_On=1,Slot12_Age&gt;D30),1,0)</f>
        <v>0</v>
      </c>
      <c r="EE30" s="20" t="n">
        <f aca="false">SE29</f>
        <v>0</v>
      </c>
      <c r="EF30" s="20" t="n">
        <f aca="false">EC30*MIN(Slot12_Cost,EE30)</f>
        <v>0</v>
      </c>
      <c r="EG30" s="20" t="n">
        <f aca="false">EC30*Slot12_SpendLike*MIN(Slot12_Cost-EF30,DY30)</f>
        <v>0</v>
      </c>
      <c r="EH30" s="20" t="n">
        <f aca="false">EF30+EG30</f>
        <v>0</v>
      </c>
      <c r="EI30" s="20" t="n">
        <f aca="false">DY30-EG30+EC30*IF(Slot12_SpendLike=1,EE30-EF30,IF(Slot12_PotFree=1,EE30,0))</f>
        <v>64069.0738068826</v>
      </c>
      <c r="EJ30" s="20" t="n">
        <f aca="false">DZ30+EC30*Slot12_BufPot*EE30</f>
        <v>13883.8610027022</v>
      </c>
      <c r="EK30" s="20" t="n">
        <f aca="false">IF(AND(EC30=1,Slot12_IsMfree=1),IF(EH30&gt;=Slot12_Cost-1,0,MAX(0,EA30-EH30)),EA30)</f>
        <v>0</v>
      </c>
      <c r="EL30" s="20" t="n">
        <f aca="false">EC30*(Slot12_Cost-EH30)</f>
        <v>0</v>
      </c>
      <c r="EM30" s="20" t="n">
        <f aca="false">IF(AND(Slot13_On=1,D30=Slot13_Age),1,0)</f>
        <v>0</v>
      </c>
      <c r="EN30" s="20" t="n">
        <f aca="false">IF(AND(Slot13_On=1,Slot13_Age&gt;D30),1,0)</f>
        <v>0</v>
      </c>
      <c r="EO30" s="20" t="n">
        <f aca="false">SI29</f>
        <v>0</v>
      </c>
      <c r="EP30" s="20" t="n">
        <f aca="false">EM30*MIN(Slot13_Cost,EO30)</f>
        <v>0</v>
      </c>
      <c r="EQ30" s="20" t="n">
        <f aca="false">EM30*Slot13_SpendLike*MIN(Slot13_Cost-EP30,EI30)</f>
        <v>0</v>
      </c>
      <c r="ER30" s="20" t="n">
        <f aca="false">EP30+EQ30</f>
        <v>0</v>
      </c>
      <c r="ES30" s="20" t="n">
        <f aca="false">EI30-EQ30+EM30*IF(Slot13_SpendLike=1,EO30-EP30,IF(Slot13_PotFree=1,EO30,0))</f>
        <v>64069.0738068826</v>
      </c>
      <c r="ET30" s="20" t="n">
        <f aca="false">EJ30+EM30*Slot13_BufPot*EO30</f>
        <v>13883.8610027022</v>
      </c>
      <c r="EU30" s="20" t="n">
        <f aca="false">IF(AND(EM30=1,Slot13_IsMfree=1),IF(ER30&gt;=Slot13_Cost-1,0,MAX(0,EK30-ER30)),EK30)</f>
        <v>0</v>
      </c>
      <c r="EV30" s="20" t="n">
        <f aca="false">EM30*(Slot13_Cost-ER30)</f>
        <v>0</v>
      </c>
      <c r="EW30" s="20" t="n">
        <f aca="false">IF(AND(Slot14_On=1,D30=Slot14_Age),1,0)</f>
        <v>0</v>
      </c>
      <c r="EX30" s="20" t="n">
        <f aca="false">IF(AND(Slot14_On=1,Slot14_Age&gt;D30),1,0)</f>
        <v>0</v>
      </c>
      <c r="EY30" s="20" t="n">
        <f aca="false">SM29</f>
        <v>0</v>
      </c>
      <c r="EZ30" s="20" t="n">
        <f aca="false">EW30*MIN(Slot14_Cost,EY30)</f>
        <v>0</v>
      </c>
      <c r="FA30" s="20" t="n">
        <f aca="false">EW30*Slot14_SpendLike*MIN(Slot14_Cost-EZ30,ES30)</f>
        <v>0</v>
      </c>
      <c r="FB30" s="20" t="n">
        <f aca="false">EZ30+FA30</f>
        <v>0</v>
      </c>
      <c r="FC30" s="20" t="n">
        <f aca="false">ES30-FA30+EW30*IF(Slot14_SpendLike=1,EY30-EZ30,IF(Slot14_PotFree=1,EY30,0))</f>
        <v>64069.0738068826</v>
      </c>
      <c r="FD30" s="20" t="n">
        <f aca="false">ET30+EW30*Slot14_BufPot*EY30</f>
        <v>13883.8610027022</v>
      </c>
      <c r="FE30" s="20" t="n">
        <f aca="false">IF(AND(EW30=1,Slot14_IsMfree=1),IF(FB30&gt;=Slot14_Cost-1,0,MAX(0,EU30-FB30)),EU30)</f>
        <v>0</v>
      </c>
      <c r="FF30" s="20" t="n">
        <f aca="false">EW30*(Slot14_Cost-FB30)</f>
        <v>0</v>
      </c>
      <c r="FG30" s="20" t="n">
        <f aca="false">IF(AND(Slot15_On=1,D30=Slot15_Age),1,0)</f>
        <v>0</v>
      </c>
      <c r="FH30" s="20" t="n">
        <f aca="false">IF(AND(Slot15_On=1,Slot15_Age&gt;D30),1,0)</f>
        <v>0</v>
      </c>
      <c r="FI30" s="20" t="n">
        <f aca="false">SQ29</f>
        <v>0</v>
      </c>
      <c r="FJ30" s="20" t="n">
        <f aca="false">FG30*MIN(Slot15_Cost,FI30)</f>
        <v>0</v>
      </c>
      <c r="FK30" s="20" t="n">
        <f aca="false">FG30*Slot15_SpendLike*MIN(Slot15_Cost-FJ30,FC30)</f>
        <v>0</v>
      </c>
      <c r="FL30" s="20" t="n">
        <f aca="false">FJ30+FK30</f>
        <v>0</v>
      </c>
      <c r="FM30" s="20" t="n">
        <f aca="false">FC30-FK30+FG30*IF(Slot15_SpendLike=1,FI30-FJ30,IF(Slot15_PotFree=1,FI30,0))</f>
        <v>64069.0738068826</v>
      </c>
      <c r="FN30" s="20" t="n">
        <f aca="false">FD30+FG30*Slot15_BufPot*FI30</f>
        <v>13883.8610027022</v>
      </c>
      <c r="FO30" s="20" t="n">
        <f aca="false">IF(AND(FG30=1,Slot15_IsMfree=1),IF(FL30&gt;=Slot15_Cost-1,0,MAX(0,FE30-FL30)),FE30)</f>
        <v>0</v>
      </c>
      <c r="FP30" s="20" t="n">
        <f aca="false">FG30*(Slot15_Cost-FL30)</f>
        <v>0</v>
      </c>
      <c r="FQ30" s="20" t="n">
        <f aca="false">IF(AND(Slot16_On=1,D30=Slot16_Age),1,0)</f>
        <v>0</v>
      </c>
      <c r="FR30" s="20" t="n">
        <f aca="false">IF(AND(Slot16_On=1,Slot16_Age&gt;D30),1,0)</f>
        <v>0</v>
      </c>
      <c r="FS30" s="20" t="n">
        <f aca="false">SU29</f>
        <v>0</v>
      </c>
      <c r="FT30" s="20" t="n">
        <f aca="false">FQ30*MIN(Slot16_Cost,FS30)</f>
        <v>0</v>
      </c>
      <c r="FU30" s="20" t="n">
        <f aca="false">FQ30*Slot16_SpendLike*MIN(Slot16_Cost-FT30,FM30)</f>
        <v>0</v>
      </c>
      <c r="FV30" s="20" t="n">
        <f aca="false">FT30+FU30</f>
        <v>0</v>
      </c>
      <c r="FW30" s="20" t="n">
        <f aca="false">FM30-FU30+FQ30*IF(Slot16_SpendLike=1,FS30-FT30,IF(Slot16_PotFree=1,FS30,0))</f>
        <v>64069.0738068826</v>
      </c>
      <c r="FX30" s="20" t="n">
        <f aca="false">FN30+FQ30*Slot16_BufPot*FS30</f>
        <v>13883.8610027022</v>
      </c>
      <c r="FY30" s="20" t="n">
        <f aca="false">IF(AND(FQ30=1,Slot16_IsMfree=1),IF(FV30&gt;=Slot16_Cost-1,0,MAX(0,FO30-FV30)),FO30)</f>
        <v>0</v>
      </c>
      <c r="FZ30" s="20" t="n">
        <f aca="false">FQ30*(Slot16_Cost-FV30)</f>
        <v>0</v>
      </c>
      <c r="GA30" s="20" t="n">
        <f aca="false">IF(AND(Slot17_On=1,D30=Slot17_Age),1,0)</f>
        <v>0</v>
      </c>
      <c r="GB30" s="20" t="n">
        <f aca="false">IF(AND(Slot17_On=1,Slot17_Age&gt;D30),1,0)</f>
        <v>0</v>
      </c>
      <c r="GC30" s="20" t="n">
        <f aca="false">SY29</f>
        <v>0</v>
      </c>
      <c r="GD30" s="20" t="n">
        <f aca="false">GA30*MIN(Slot17_Cost,GC30)</f>
        <v>0</v>
      </c>
      <c r="GE30" s="20" t="n">
        <f aca="false">GA30*Slot17_SpendLike*MIN(Slot17_Cost-GD30,FW30)</f>
        <v>0</v>
      </c>
      <c r="GF30" s="20" t="n">
        <f aca="false">GD30+GE30</f>
        <v>0</v>
      </c>
      <c r="GG30" s="20" t="n">
        <f aca="false">FW30-GE30+GA30*IF(Slot17_SpendLike=1,GC30-GD30,IF(Slot17_PotFree=1,GC30,0))</f>
        <v>64069.0738068826</v>
      </c>
      <c r="GH30" s="20" t="n">
        <f aca="false">FX30+GA30*Slot17_BufPot*GC30</f>
        <v>13883.8610027022</v>
      </c>
      <c r="GI30" s="20" t="n">
        <f aca="false">IF(AND(GA30=1,Slot17_IsMfree=1),IF(GF30&gt;=Slot17_Cost-1,0,MAX(0,FY30-GF30)),FY30)</f>
        <v>0</v>
      </c>
      <c r="GJ30" s="20" t="n">
        <f aca="false">GA30*(Slot17_Cost-GF30)</f>
        <v>0</v>
      </c>
      <c r="GK30" s="20" t="n">
        <f aca="false">IF(AND(Slot18_On=1,D30=Slot18_Age),1,0)</f>
        <v>0</v>
      </c>
      <c r="GL30" s="20" t="n">
        <f aca="false">IF(AND(Slot18_On=1,Slot18_Age&gt;D30),1,0)</f>
        <v>0</v>
      </c>
      <c r="GM30" s="20" t="n">
        <f aca="false">TC29</f>
        <v>0</v>
      </c>
      <c r="GN30" s="20" t="n">
        <f aca="false">GK30*MIN(Slot18_Cost,GM30)</f>
        <v>0</v>
      </c>
      <c r="GO30" s="20" t="n">
        <f aca="false">GK30*Slot18_SpendLike*MIN(Slot18_Cost-GN30,GG30)</f>
        <v>0</v>
      </c>
      <c r="GP30" s="20" t="n">
        <f aca="false">GN30+GO30</f>
        <v>0</v>
      </c>
      <c r="GQ30" s="20" t="n">
        <f aca="false">GG30-GO30+GK30*IF(Slot18_SpendLike=1,GM30-GN30,IF(Slot18_PotFree=1,GM30,0))</f>
        <v>64069.0738068826</v>
      </c>
      <c r="GR30" s="20" t="n">
        <f aca="false">GH30+GK30*Slot18_BufPot*GM30</f>
        <v>13883.8610027022</v>
      </c>
      <c r="GS30" s="20" t="n">
        <f aca="false">IF(AND(GK30=1,Slot18_IsMfree=1),IF(GP30&gt;=Slot18_Cost-1,0,MAX(0,GI30-GP30)),GI30)</f>
        <v>0</v>
      </c>
      <c r="GT30" s="20" t="n">
        <f aca="false">GK30*(Slot18_Cost-GP30)</f>
        <v>0</v>
      </c>
      <c r="GU30" s="20" t="n">
        <f aca="false">IF(AND(Slot19_On=1,D30=Slot19_Age),1,0)</f>
        <v>0</v>
      </c>
      <c r="GV30" s="20" t="n">
        <f aca="false">IF(AND(Slot19_On=1,Slot19_Age&gt;D30),1,0)</f>
        <v>0</v>
      </c>
      <c r="GW30" s="20" t="n">
        <f aca="false">TG29</f>
        <v>0</v>
      </c>
      <c r="GX30" s="20" t="n">
        <f aca="false">GU30*MIN(Slot19_Cost,GW30)</f>
        <v>0</v>
      </c>
      <c r="GY30" s="20" t="n">
        <f aca="false">GU30*Slot19_SpendLike*MIN(Slot19_Cost-GX30,GQ30)</f>
        <v>0</v>
      </c>
      <c r="GZ30" s="20" t="n">
        <f aca="false">GX30+GY30</f>
        <v>0</v>
      </c>
      <c r="HA30" s="20" t="n">
        <f aca="false">GQ30-GY30+GU30*IF(Slot19_SpendLike=1,GW30-GX30,IF(Slot19_PotFree=1,GW30,0))</f>
        <v>64069.0738068826</v>
      </c>
      <c r="HB30" s="20" t="n">
        <f aca="false">GR30+GU30*Slot19_BufPot*GW30</f>
        <v>13883.8610027022</v>
      </c>
      <c r="HC30" s="20" t="n">
        <f aca="false">IF(AND(GU30=1,Slot19_IsMfree=1),IF(GZ30&gt;=Slot19_Cost-1,0,MAX(0,GS30-GZ30)),GS30)</f>
        <v>0</v>
      </c>
      <c r="HD30" s="20" t="n">
        <f aca="false">GU30*(Slot19_Cost-GZ30)</f>
        <v>0</v>
      </c>
      <c r="HE30" s="20" t="n">
        <f aca="false">IF(AND(Slot20_On=1,D30=Slot20_Age),1,0)</f>
        <v>0</v>
      </c>
      <c r="HF30" s="20" t="n">
        <f aca="false">IF(AND(Slot20_On=1,Slot20_Age&gt;D30),1,0)</f>
        <v>0</v>
      </c>
      <c r="HG30" s="20" t="n">
        <f aca="false">TK29</f>
        <v>0</v>
      </c>
      <c r="HH30" s="20" t="n">
        <f aca="false">HE30*MIN(Slot20_Cost,HG30)</f>
        <v>0</v>
      </c>
      <c r="HI30" s="20" t="n">
        <f aca="false">HE30*Slot20_SpendLike*MIN(Slot20_Cost-HH30,HA30)</f>
        <v>0</v>
      </c>
      <c r="HJ30" s="20" t="n">
        <f aca="false">HH30+HI30</f>
        <v>0</v>
      </c>
      <c r="HK30" s="20" t="n">
        <f aca="false">HA30-HI30+HE30*IF(Slot20_SpendLike=1,HG30-HH30,IF(Slot20_PotFree=1,HG30,0))</f>
        <v>64069.0738068826</v>
      </c>
      <c r="HL30" s="20" t="n">
        <f aca="false">HB30+HE30*Slot20_BufPot*HG30</f>
        <v>13883.8610027022</v>
      </c>
      <c r="HM30" s="20" t="n">
        <f aca="false">IF(AND(HE30=1,Slot20_IsMfree=1),IF(HJ30&gt;=Slot20_Cost-1,0,MAX(0,HC30-HJ30)),HC30)</f>
        <v>0</v>
      </c>
      <c r="HN30" s="20" t="n">
        <f aca="false">HE30*(Slot20_Cost-HJ30)</f>
        <v>0</v>
      </c>
      <c r="HO30" s="20" t="n">
        <f aca="false">V30*Slot1_SpendLike*AA30+AG30*Slot2_SpendLike*AL30+AQ30*Slot3_SpendLike*AV30+BA30*Slot4_SpendLike*BF30+BK30*Slot5_SpendLike*BP30+BU30*Slot6_SpendLike*BZ30+CE30*Slot7_SpendLike*CJ30+CO30*Slot8_SpendLike*CT30+CY30*Slot9_SpendLike*DD30+DI30*Slot10_SpendLike*DN30+DS30*Slot11_SpendLike*DX30+EC30*Slot12_SpendLike*EH30+EM30*Slot13_SpendLike*ER30+EW30*Slot14_SpendLike*FB30+FG30*Slot15_SpendLike*FL30+FQ30*Slot16_SpendLike*FV30+GA30*Slot17_SpendLike*GF30+GK30*Slot18_SpendLike*GP30+GU30*Slot19_SpendLike*GZ30+HE30*Slot20_SpendLike*HJ30</f>
        <v>0</v>
      </c>
      <c r="HP30" s="20" t="n">
        <f aca="false">AE30+AP30+AZ30+BJ30+BT30+CD30+CN30+CX30+DH30+DR30+EB30+EL30+EV30+FF30+FP30+FZ30+GJ30+GT30+HD30+HN30</f>
        <v>0</v>
      </c>
      <c r="HQ30" s="20" t="n">
        <f aca="false">V30*Slot1_Cost+AG30*Slot2_Cost+AQ30*Slot3_Cost+BA30*Slot4_Cost+BK30*Slot5_Cost+BU30*Slot6_Cost+CE30*Slot7_Cost+CO30*Slot8_Cost+CY30*Slot9_Cost+DI30*Slot10_Cost+DS30*Slot11_Cost+EC30*Slot12_Cost+EM30*Slot13_Cost+EW30*Slot14_Cost+FG30*Slot15_Cost+FQ30*Slot16_Cost+GA30*Slot17_Cost+GK30*Slot18_Cost+GU30*Slot19_Cost+HE30*Slot20_Cost</f>
        <v>0</v>
      </c>
      <c r="HR30" s="20" t="n">
        <f aca="false">HM30</f>
        <v>0</v>
      </c>
      <c r="HS30" s="20" t="n">
        <f aca="false">H30-I30-S30</f>
        <v>42697.0275953732</v>
      </c>
      <c r="HT30" s="20" t="n">
        <f aca="false">IF(B30=0,IF(AND(Has_q6=1,In_q6=4),PR_ShareVaries*(MAX(0,HS30)/12),MIN(IF(Has_q6=1,CHOOSE(In_q6+1,PR_SaveB1,PR_SaveB2,PR_SaveB3,PR_SaveB4,0),AS_NoAnswer),AS_SaveShare*(MAX(0,HS30)/12))),HT29)</f>
        <v>67.3316893520437</v>
      </c>
      <c r="HU30" s="20" t="n">
        <f aca="false">IF(HS30&gt;=0,1,0)</f>
        <v>1</v>
      </c>
      <c r="HV30" s="20" t="n">
        <f aca="false">MAX(0,HS30/12/F30)</f>
        <v>2301.50868100489</v>
      </c>
      <c r="HW30" s="20" t="n">
        <f aca="false">IF(AND(Has_q6=1,In_q6=4),PR_ShareVaries*(HV30),MIN(IF(Has_q6=1,CHOOSE(In_q6+1,PR_SaveB1,PR_SaveB2,PR_SaveB3,PR_SaveB4,0),AS_NoAnswer),AS_SaveShare*(HV30)))</f>
        <v>500</v>
      </c>
      <c r="HX30" s="20" t="n">
        <f aca="false">IF(Has_saveM=1,IF(In_saveUp="Yes",1,IF(In_saveUp="No",0,IF(In_saveM&gt;=HT30-0.5,1,0))),0)</f>
        <v>0</v>
      </c>
      <c r="HY30" s="20" t="n">
        <f aca="false">IF(Has_saveM=1,MIN(HV30,IF(HX30=1,MAX(In_saveM,HW30),MIN(In_saveM,HW30))),HW30)</f>
        <v>500</v>
      </c>
      <c r="HZ30" s="20" t="n">
        <f aca="false">IF(G30=1,HY30*12*F30,0)</f>
        <v>9275.87802465528</v>
      </c>
      <c r="IA30" s="20" t="n">
        <f aca="false">MAX(0,HZ30+IF(AND(WI_Retire=0,WI_M&lt;0,G30=1),WI_M*12*F30,0))</f>
        <v>9275.87802465528</v>
      </c>
      <c r="IB30" s="20" t="n">
        <f aca="false">Slot1_IsWG*W30+Slot2_IsWG*AH30+Slot3_IsWG*AR30+Slot4_IsWG*BB30+Slot5_IsWG*BL30+Slot6_IsWG*BV30+Slot7_IsWG*CF30+Slot8_IsWG*CP30+Slot9_IsWG*CZ30+Slot10_IsWG*DJ30+Slot11_IsWG*DT30+Slot12_IsWG*ED30+Slot13_IsWG*EN30+Slot14_IsWG*EX30+Slot15_IsWG*FH30+Slot16_IsWG*FR30+Slot17_IsWG*GB30+Slot18_IsWG*GL30+Slot19_IsWG*GV30+Slot20_IsWG*HF30</f>
        <v>0</v>
      </c>
      <c r="IC30" s="20" t="n">
        <f aca="false">IF(AND(WI_Retire=0,WI_M&gt;0,G30=1,IB30&gt;=1),WI_M*12*F30,0)</f>
        <v>0</v>
      </c>
      <c r="ID30" s="20" t="n">
        <f aca="false">IF(HU30=1,MIN(IA30,HS30),0)</f>
        <v>9275.87802465528</v>
      </c>
      <c r="IE30" s="20" t="n">
        <f aca="false">IF(HU30=1,MIN(IC30,HS30-ID30),0)</f>
        <v>0</v>
      </c>
      <c r="IF30" s="20" t="n">
        <f aca="false">IF(W30=1,IF(ABS((1+AS_Wage)/(1+Slot1_Rate)-1)&lt;0.000000000001,(Slot1_Age-D30)*(1+Slot1_Rate)^(Slot1_Age-D30),(1+Slot1_Rate)^(Slot1_Age-D30)*(1-((1+AS_Wage)/(1+Slot1_Rate))^(Slot1_Age-D30))/(1-(1+AS_Wage)/(1+Slot1_Rate))),1)</f>
        <v>1</v>
      </c>
      <c r="IG30" s="20" t="n">
        <f aca="false">IF(AND(HU30=1,IE30&gt;0,Slot1_IsWG=1,W30=1),MAX(0,(Slot1_Cost-X30*(1+Slot1_Rate)^(Slot1_Age-D30))/IF30),0)</f>
        <v>0</v>
      </c>
      <c r="IH30" s="20" t="n">
        <f aca="false">IF(AND(HU30=1,IE30&gt;0,Slot1_IsWG=1,W30=1),MIN(IE30,IG30),0)</f>
        <v>0</v>
      </c>
      <c r="II30" s="20" t="n">
        <f aca="false">X30+IH30</f>
        <v>0</v>
      </c>
      <c r="IJ30" s="20" t="n">
        <f aca="false">IF(W30=1,MAX(0,(Slot1_Cost-II30*(1+Slot1_Rate)^(Slot1_Age-D30))/IF30),0)</f>
        <v>0</v>
      </c>
      <c r="IK30" s="20" t="n">
        <f aca="false">IF(W30=1,MAX(0,(Slot1_Cost-X30*(1+Slot1_Rate)^(Slot1_Age-D30))/IF30),0)</f>
        <v>0</v>
      </c>
      <c r="IL30" s="20" t="n">
        <f aca="false">IF(AND(HU30=1,W30=1),MIN(ID30,IJ30),0)</f>
        <v>0</v>
      </c>
      <c r="IM30" s="20" t="n">
        <f aca="false">ID30-IL30</f>
        <v>9275.87802465528</v>
      </c>
      <c r="IN30" s="20" t="n">
        <f aca="false">IF(AH30=1,IF(ABS((1+AS_Wage)/(1+Slot2_Rate)-1)&lt;0.000000000001,(Slot2_Age-D30)*(1+Slot2_Rate)^(Slot2_Age-D30),(1+Slot2_Rate)^(Slot2_Age-D30)*(1-((1+AS_Wage)/(1+Slot2_Rate))^(Slot2_Age-D30))/(1-(1+AS_Wage)/(1+Slot2_Rate))),1)</f>
        <v>1</v>
      </c>
      <c r="IO30" s="20" t="n">
        <f aca="false">IF(AND(HU30=1,IE30&gt;0,Slot2_IsWG=1,AH30=1),MAX(0,(Slot2_Cost-AI30*(1+Slot2_Rate)^(Slot2_Age-D30))/IN30),0)</f>
        <v>0</v>
      </c>
      <c r="IP30" s="20" t="n">
        <f aca="false">IF(AND(HU30=1,IE30&gt;0,Slot2_IsWG=1,AH30=1),MIN(IE30,IO30),0)</f>
        <v>0</v>
      </c>
      <c r="IQ30" s="20" t="n">
        <f aca="false">AI30+IP30</f>
        <v>0</v>
      </c>
      <c r="IR30" s="20" t="n">
        <f aca="false">IF(AH30=1,MAX(0,(Slot2_Cost-IQ30*(1+Slot2_Rate)^(Slot2_Age-D30))/IN30),0)</f>
        <v>0</v>
      </c>
      <c r="IS30" s="20" t="n">
        <f aca="false">IF(AH30=1,MAX(0,(Slot2_Cost-AI30*(1+Slot2_Rate)^(Slot2_Age-D30))/IN30),0)</f>
        <v>0</v>
      </c>
      <c r="IT30" s="20" t="n">
        <f aca="false">IF(AND(HU30=1,AH30=1),MIN(IM30,IR30),0)</f>
        <v>0</v>
      </c>
      <c r="IU30" s="20" t="n">
        <f aca="false">IM30-IT30</f>
        <v>9275.87802465528</v>
      </c>
      <c r="IV30" s="20" t="n">
        <f aca="false">IF(AR30=1,IF(ABS((1+AS_Wage)/(1+Slot3_Rate)-1)&lt;0.000000000001,(Slot3_Age-D30)*(1+Slot3_Rate)^(Slot3_Age-D30),(1+Slot3_Rate)^(Slot3_Age-D30)*(1-((1+AS_Wage)/(1+Slot3_Rate))^(Slot3_Age-D30))/(1-(1+AS_Wage)/(1+Slot3_Rate))),1)</f>
        <v>1</v>
      </c>
      <c r="IW30" s="20" t="n">
        <f aca="false">IF(AND(HU30=1,IE30&gt;0,Slot3_IsWG=1,AR30=1),MAX(0,(Slot3_Cost-AS30*(1+Slot3_Rate)^(Slot3_Age-D30))/IV30),0)</f>
        <v>0</v>
      </c>
      <c r="IX30" s="20" t="n">
        <f aca="false">IF(AND(HU30=1,IE30&gt;0,Slot3_IsWG=1,AR30=1),MIN(IE30,IW30),0)</f>
        <v>0</v>
      </c>
      <c r="IY30" s="20" t="n">
        <f aca="false">AS30+IX30</f>
        <v>0</v>
      </c>
      <c r="IZ30" s="20" t="n">
        <f aca="false">IF(AR30=1,MAX(0,(Slot3_Cost-IY30*(1+Slot3_Rate)^(Slot3_Age-D30))/IV30),0)</f>
        <v>0</v>
      </c>
      <c r="JA30" s="20" t="n">
        <f aca="false">IF(AR30=1,MAX(0,(Slot3_Cost-AS30*(1+Slot3_Rate)^(Slot3_Age-D30))/IV30),0)</f>
        <v>0</v>
      </c>
      <c r="JB30" s="20" t="n">
        <f aca="false">IF(AND(HU30=1,AR30=1),MIN(IU30,IZ30),0)</f>
        <v>0</v>
      </c>
      <c r="JC30" s="20" t="n">
        <f aca="false">IU30-JB30</f>
        <v>9275.87802465528</v>
      </c>
      <c r="JD30" s="20" t="n">
        <f aca="false">IF(BB30=1,IF(ABS((1+AS_Wage)/(1+Slot4_Rate)-1)&lt;0.000000000001,(Slot4_Age-D30)*(1+Slot4_Rate)^(Slot4_Age-D30),(1+Slot4_Rate)^(Slot4_Age-D30)*(1-((1+AS_Wage)/(1+Slot4_Rate))^(Slot4_Age-D30))/(1-(1+AS_Wage)/(1+Slot4_Rate))),1)</f>
        <v>1</v>
      </c>
      <c r="JE30" s="20" t="n">
        <f aca="false">IF(AND(HU30=1,IE30&gt;0,Slot4_IsWG=1,BB30=1),MAX(0,(Slot4_Cost-BC30*(1+Slot4_Rate)^(Slot4_Age-D30))/JD30),0)</f>
        <v>0</v>
      </c>
      <c r="JF30" s="20" t="n">
        <f aca="false">IF(AND(HU30=1,IE30&gt;0,Slot4_IsWG=1,BB30=1),MIN(IE30,JE30),0)</f>
        <v>0</v>
      </c>
      <c r="JG30" s="20" t="n">
        <f aca="false">BC30+JF30</f>
        <v>0</v>
      </c>
      <c r="JH30" s="20" t="n">
        <f aca="false">IF(BB30=1,MAX(0,(Slot4_Cost-JG30*(1+Slot4_Rate)^(Slot4_Age-D30))/JD30),0)</f>
        <v>0</v>
      </c>
      <c r="JI30" s="20" t="n">
        <f aca="false">IF(BB30=1,MAX(0,(Slot4_Cost-BC30*(1+Slot4_Rate)^(Slot4_Age-D30))/JD30),0)</f>
        <v>0</v>
      </c>
      <c r="JJ30" s="20" t="n">
        <f aca="false">IF(AND(HU30=1,BB30=1),MIN(JC30,JH30),0)</f>
        <v>0</v>
      </c>
      <c r="JK30" s="20" t="n">
        <f aca="false">JC30-JJ30</f>
        <v>9275.87802465528</v>
      </c>
      <c r="JL30" s="20" t="n">
        <f aca="false">IF(BL30=1,IF(ABS((1+AS_Wage)/(1+Slot5_Rate)-1)&lt;0.000000000001,(Slot5_Age-D30)*(1+Slot5_Rate)^(Slot5_Age-D30),(1+Slot5_Rate)^(Slot5_Age-D30)*(1-((1+AS_Wage)/(1+Slot5_Rate))^(Slot5_Age-D30))/(1-(1+AS_Wage)/(1+Slot5_Rate))),1)</f>
        <v>1</v>
      </c>
      <c r="JM30" s="20" t="n">
        <f aca="false">IF(AND(HU30=1,IE30&gt;0,Slot5_IsWG=1,BL30=1),MAX(0,(Slot5_Cost-BM30*(1+Slot5_Rate)^(Slot5_Age-D30))/JL30),0)</f>
        <v>0</v>
      </c>
      <c r="JN30" s="20" t="n">
        <f aca="false">IF(AND(HU30=1,IE30&gt;0,Slot5_IsWG=1,BL30=1),MIN(IE30,JM30),0)</f>
        <v>0</v>
      </c>
      <c r="JO30" s="20" t="n">
        <f aca="false">BM30+JN30</f>
        <v>0</v>
      </c>
      <c r="JP30" s="20" t="n">
        <f aca="false">IF(BL30=1,MAX(0,(Slot5_Cost-JO30*(1+Slot5_Rate)^(Slot5_Age-D30))/JL30),0)</f>
        <v>0</v>
      </c>
      <c r="JQ30" s="20" t="n">
        <f aca="false">IF(BL30=1,MAX(0,(Slot5_Cost-BM30*(1+Slot5_Rate)^(Slot5_Age-D30))/JL30),0)</f>
        <v>0</v>
      </c>
      <c r="JR30" s="20" t="n">
        <f aca="false">IF(AND(HU30=1,BL30=1),MIN(JK30,JP30),0)</f>
        <v>0</v>
      </c>
      <c r="JS30" s="20" t="n">
        <f aca="false">JK30-JR30</f>
        <v>9275.87802465528</v>
      </c>
      <c r="JT30" s="20" t="n">
        <f aca="false">IF(BV30=1,IF(ABS((1+AS_Wage)/(1+Slot6_Rate)-1)&lt;0.000000000001,(Slot6_Age-D30)*(1+Slot6_Rate)^(Slot6_Age-D30),(1+Slot6_Rate)^(Slot6_Age-D30)*(1-((1+AS_Wage)/(1+Slot6_Rate))^(Slot6_Age-D30))/(1-(1+AS_Wage)/(1+Slot6_Rate))),1)</f>
        <v>1</v>
      </c>
      <c r="JU30" s="20" t="n">
        <f aca="false">IF(AND(HU30=1,IE30&gt;0,Slot6_IsWG=1,BV30=1),MAX(0,(Slot6_Cost-BW30*(1+Slot6_Rate)^(Slot6_Age-D30))/JT30),0)</f>
        <v>0</v>
      </c>
      <c r="JV30" s="20" t="n">
        <f aca="false">IF(AND(HU30=1,IE30&gt;0,Slot6_IsWG=1,BV30=1),MIN(IE30,JU30),0)</f>
        <v>0</v>
      </c>
      <c r="JW30" s="20" t="n">
        <f aca="false">BW30+JV30</f>
        <v>0</v>
      </c>
      <c r="JX30" s="20" t="n">
        <f aca="false">IF(BV30=1,MAX(0,(Slot6_Cost-JW30*(1+Slot6_Rate)^(Slot6_Age-D30))/JT30),0)</f>
        <v>0</v>
      </c>
      <c r="JY30" s="20" t="n">
        <f aca="false">IF(BV30=1,MAX(0,(Slot6_Cost-BW30*(1+Slot6_Rate)^(Slot6_Age-D30))/JT30),0)</f>
        <v>0</v>
      </c>
      <c r="JZ30" s="20" t="n">
        <f aca="false">IF(AND(HU30=1,BV30=1),MIN(JS30,JX30),0)</f>
        <v>0</v>
      </c>
      <c r="KA30" s="20" t="n">
        <f aca="false">JS30-JZ30</f>
        <v>9275.87802465528</v>
      </c>
      <c r="KB30" s="20" t="n">
        <f aca="false">IF(CF30=1,IF(ABS((1+AS_Wage)/(1+Slot7_Rate)-1)&lt;0.000000000001,(Slot7_Age-D30)*(1+Slot7_Rate)^(Slot7_Age-D30),(1+Slot7_Rate)^(Slot7_Age-D30)*(1-((1+AS_Wage)/(1+Slot7_Rate))^(Slot7_Age-D30))/(1-(1+AS_Wage)/(1+Slot7_Rate))),1)</f>
        <v>1</v>
      </c>
      <c r="KC30" s="20" t="n">
        <f aca="false">IF(AND(HU30=1,IE30&gt;0,Slot7_IsWG=1,CF30=1),MAX(0,(Slot7_Cost-CG30*(1+Slot7_Rate)^(Slot7_Age-D30))/KB30),0)</f>
        <v>0</v>
      </c>
      <c r="KD30" s="20" t="n">
        <f aca="false">IF(AND(HU30=1,IE30&gt;0,Slot7_IsWG=1,CF30=1),MIN(IE30,KC30),0)</f>
        <v>0</v>
      </c>
      <c r="KE30" s="20" t="n">
        <f aca="false">CG30+KD30</f>
        <v>0</v>
      </c>
      <c r="KF30" s="20" t="n">
        <f aca="false">IF(CF30=1,MAX(0,(Slot7_Cost-KE30*(1+Slot7_Rate)^(Slot7_Age-D30))/KB30),0)</f>
        <v>0</v>
      </c>
      <c r="KG30" s="20" t="n">
        <f aca="false">IF(CF30=1,MAX(0,(Slot7_Cost-CG30*(1+Slot7_Rate)^(Slot7_Age-D30))/KB30),0)</f>
        <v>0</v>
      </c>
      <c r="KH30" s="20" t="n">
        <f aca="false">IF(AND(HU30=1,CF30=1),MIN(KA30,KF30),0)</f>
        <v>0</v>
      </c>
      <c r="KI30" s="20" t="n">
        <f aca="false">KA30-KH30</f>
        <v>9275.87802465528</v>
      </c>
      <c r="KJ30" s="20" t="n">
        <f aca="false">IF(CP30=1,IF(ABS((1+AS_Wage)/(1+Slot8_Rate)-1)&lt;0.000000000001,(Slot8_Age-D30)*(1+Slot8_Rate)^(Slot8_Age-D30),(1+Slot8_Rate)^(Slot8_Age-D30)*(1-((1+AS_Wage)/(1+Slot8_Rate))^(Slot8_Age-D30))/(1-(1+AS_Wage)/(1+Slot8_Rate))),1)</f>
        <v>1</v>
      </c>
      <c r="KK30" s="20" t="n">
        <f aca="false">IF(AND(HU30=1,IE30&gt;0,Slot8_IsWG=1,CP30=1),MAX(0,(Slot8_Cost-CQ30*(1+Slot8_Rate)^(Slot8_Age-D30))/KJ30),0)</f>
        <v>0</v>
      </c>
      <c r="KL30" s="20" t="n">
        <f aca="false">IF(AND(HU30=1,IE30&gt;0,Slot8_IsWG=1,CP30=1),MIN(IE30,KK30),0)</f>
        <v>0</v>
      </c>
      <c r="KM30" s="20" t="n">
        <f aca="false">CQ30+KL30</f>
        <v>0</v>
      </c>
      <c r="KN30" s="20" t="n">
        <f aca="false">IF(CP30=1,MAX(0,(Slot8_Cost-KM30*(1+Slot8_Rate)^(Slot8_Age-D30))/KJ30),0)</f>
        <v>0</v>
      </c>
      <c r="KO30" s="20" t="n">
        <f aca="false">IF(CP30=1,MAX(0,(Slot8_Cost-CQ30*(1+Slot8_Rate)^(Slot8_Age-D30))/KJ30),0)</f>
        <v>0</v>
      </c>
      <c r="KP30" s="20" t="n">
        <f aca="false">IF(AND(HU30=1,CP30=1),MIN(KI30,KN30),0)</f>
        <v>0</v>
      </c>
      <c r="KQ30" s="20" t="n">
        <f aca="false">KI30-KP30</f>
        <v>9275.87802465528</v>
      </c>
      <c r="KR30" s="20" t="n">
        <f aca="false">IF(CZ30=1,IF(ABS((1+AS_Wage)/(1+Slot9_Rate)-1)&lt;0.000000000001,(Slot9_Age-D30)*(1+Slot9_Rate)^(Slot9_Age-D30),(1+Slot9_Rate)^(Slot9_Age-D30)*(1-((1+AS_Wage)/(1+Slot9_Rate))^(Slot9_Age-D30))/(1-(1+AS_Wage)/(1+Slot9_Rate))),1)</f>
        <v>1</v>
      </c>
      <c r="KS30" s="20" t="n">
        <f aca="false">IF(AND(HU30=1,IE30&gt;0,Slot9_IsWG=1,CZ30=1),MAX(0,(Slot9_Cost-DA30*(1+Slot9_Rate)^(Slot9_Age-D30))/KR30),0)</f>
        <v>0</v>
      </c>
      <c r="KT30" s="20" t="n">
        <f aca="false">IF(AND(HU30=1,IE30&gt;0,Slot9_IsWG=1,CZ30=1),MIN(IE30,KS30),0)</f>
        <v>0</v>
      </c>
      <c r="KU30" s="20" t="n">
        <f aca="false">DA30+KT30</f>
        <v>0</v>
      </c>
      <c r="KV30" s="20" t="n">
        <f aca="false">IF(CZ30=1,MAX(0,(Slot9_Cost-KU30*(1+Slot9_Rate)^(Slot9_Age-D30))/KR30),0)</f>
        <v>0</v>
      </c>
      <c r="KW30" s="20" t="n">
        <f aca="false">IF(CZ30=1,MAX(0,(Slot9_Cost-DA30*(1+Slot9_Rate)^(Slot9_Age-D30))/KR30),0)</f>
        <v>0</v>
      </c>
      <c r="KX30" s="20" t="n">
        <f aca="false">IF(AND(HU30=1,CZ30=1),MIN(KQ30,KV30),0)</f>
        <v>0</v>
      </c>
      <c r="KY30" s="20" t="n">
        <f aca="false">KQ30-KX30</f>
        <v>9275.87802465528</v>
      </c>
      <c r="KZ30" s="20" t="n">
        <f aca="false">IF(DJ30=1,IF(ABS((1+AS_Wage)/(1+Slot10_Rate)-1)&lt;0.000000000001,(Slot10_Age-D30)*(1+Slot10_Rate)^(Slot10_Age-D30),(1+Slot10_Rate)^(Slot10_Age-D30)*(1-((1+AS_Wage)/(1+Slot10_Rate))^(Slot10_Age-D30))/(1-(1+AS_Wage)/(1+Slot10_Rate))),1)</f>
        <v>1</v>
      </c>
      <c r="LA30" s="20" t="n">
        <f aca="false">IF(AND(HU30=1,IE30&gt;0,Slot10_IsWG=1,DJ30=1),MAX(0,(Slot10_Cost-DK30*(1+Slot10_Rate)^(Slot10_Age-D30))/KZ30),0)</f>
        <v>0</v>
      </c>
      <c r="LB30" s="20" t="n">
        <f aca="false">IF(AND(HU30=1,IE30&gt;0,Slot10_IsWG=1,DJ30=1),MIN(IE30,LA30),0)</f>
        <v>0</v>
      </c>
      <c r="LC30" s="20" t="n">
        <f aca="false">DK30+LB30</f>
        <v>0</v>
      </c>
      <c r="LD30" s="20" t="n">
        <f aca="false">IF(DJ30=1,MAX(0,(Slot10_Cost-LC30*(1+Slot10_Rate)^(Slot10_Age-D30))/KZ30),0)</f>
        <v>0</v>
      </c>
      <c r="LE30" s="20" t="n">
        <f aca="false">IF(DJ30=1,MAX(0,(Slot10_Cost-DK30*(1+Slot10_Rate)^(Slot10_Age-D30))/KZ30),0)</f>
        <v>0</v>
      </c>
      <c r="LF30" s="20" t="n">
        <f aca="false">IF(AND(HU30=1,DJ30=1),MIN(KY30,LD30),0)</f>
        <v>0</v>
      </c>
      <c r="LG30" s="20" t="n">
        <f aca="false">KY30-LF30</f>
        <v>9275.87802465528</v>
      </c>
      <c r="LH30" s="20" t="n">
        <f aca="false">IF(DT30=1,IF(ABS((1+AS_Wage)/(1+Slot11_Rate)-1)&lt;0.000000000001,(Slot11_Age-D30)*(1+Slot11_Rate)^(Slot11_Age-D30),(1+Slot11_Rate)^(Slot11_Age-D30)*(1-((1+AS_Wage)/(1+Slot11_Rate))^(Slot11_Age-D30))/(1-(1+AS_Wage)/(1+Slot11_Rate))),1)</f>
        <v>1</v>
      </c>
      <c r="LI30" s="20" t="n">
        <f aca="false">IF(AND(HU30=1,IE30&gt;0,Slot11_IsWG=1,DT30=1),MAX(0,(Slot11_Cost-DU30*(1+Slot11_Rate)^(Slot11_Age-D30))/LH30),0)</f>
        <v>0</v>
      </c>
      <c r="LJ30" s="20" t="n">
        <f aca="false">IF(AND(HU30=1,IE30&gt;0,Slot11_IsWG=1,DT30=1),MIN(IE30,LI30),0)</f>
        <v>0</v>
      </c>
      <c r="LK30" s="20" t="n">
        <f aca="false">DU30+LJ30</f>
        <v>0</v>
      </c>
      <c r="LL30" s="20" t="n">
        <f aca="false">IF(DT30=1,MAX(0,(Slot11_Cost-LK30*(1+Slot11_Rate)^(Slot11_Age-D30))/LH30),0)</f>
        <v>0</v>
      </c>
      <c r="LM30" s="20" t="n">
        <f aca="false">IF(DT30=1,MAX(0,(Slot11_Cost-DU30*(1+Slot11_Rate)^(Slot11_Age-D30))/LH30),0)</f>
        <v>0</v>
      </c>
      <c r="LN30" s="20" t="n">
        <f aca="false">IF(AND(HU30=1,DT30=1),MIN(LG30,LL30),0)</f>
        <v>0</v>
      </c>
      <c r="LO30" s="20" t="n">
        <f aca="false">LG30-LN30</f>
        <v>9275.87802465528</v>
      </c>
      <c r="LP30" s="20" t="n">
        <f aca="false">IF(ED30=1,IF(ABS((1+AS_Wage)/(1+Slot12_Rate)-1)&lt;0.000000000001,(Slot12_Age-D30)*(1+Slot12_Rate)^(Slot12_Age-D30),(1+Slot12_Rate)^(Slot12_Age-D30)*(1-((1+AS_Wage)/(1+Slot12_Rate))^(Slot12_Age-D30))/(1-(1+AS_Wage)/(1+Slot12_Rate))),1)</f>
        <v>1</v>
      </c>
      <c r="LQ30" s="20" t="n">
        <f aca="false">IF(AND(HU30=1,IE30&gt;0,Slot12_IsWG=1,ED30=1),MAX(0,(Slot12_Cost-EE30*(1+Slot12_Rate)^(Slot12_Age-D30))/LP30),0)</f>
        <v>0</v>
      </c>
      <c r="LR30" s="20" t="n">
        <f aca="false">IF(AND(HU30=1,IE30&gt;0,Slot12_IsWG=1,ED30=1),MIN(IE30,LQ30),0)</f>
        <v>0</v>
      </c>
      <c r="LS30" s="20" t="n">
        <f aca="false">EE30+LR30</f>
        <v>0</v>
      </c>
      <c r="LT30" s="20" t="n">
        <f aca="false">IF(ED30=1,MAX(0,(Slot12_Cost-LS30*(1+Slot12_Rate)^(Slot12_Age-D30))/LP30),0)</f>
        <v>0</v>
      </c>
      <c r="LU30" s="20" t="n">
        <f aca="false">IF(ED30=1,MAX(0,(Slot12_Cost-EE30*(1+Slot12_Rate)^(Slot12_Age-D30))/LP30),0)</f>
        <v>0</v>
      </c>
      <c r="LV30" s="20" t="n">
        <f aca="false">IF(AND(HU30=1,ED30=1),MIN(LO30,LT30),0)</f>
        <v>0</v>
      </c>
      <c r="LW30" s="20" t="n">
        <f aca="false">LO30-LV30</f>
        <v>9275.87802465528</v>
      </c>
      <c r="LX30" s="20" t="n">
        <f aca="false">IF(EN30=1,IF(ABS((1+AS_Wage)/(1+Slot13_Rate)-1)&lt;0.000000000001,(Slot13_Age-D30)*(1+Slot13_Rate)^(Slot13_Age-D30),(1+Slot13_Rate)^(Slot13_Age-D30)*(1-((1+AS_Wage)/(1+Slot13_Rate))^(Slot13_Age-D30))/(1-(1+AS_Wage)/(1+Slot13_Rate))),1)</f>
        <v>1</v>
      </c>
      <c r="LY30" s="20" t="n">
        <f aca="false">IF(AND(HU30=1,IE30&gt;0,Slot13_IsWG=1,EN30=1),MAX(0,(Slot13_Cost-EO30*(1+Slot13_Rate)^(Slot13_Age-D30))/LX30),0)</f>
        <v>0</v>
      </c>
      <c r="LZ30" s="20" t="n">
        <f aca="false">IF(AND(HU30=1,IE30&gt;0,Slot13_IsWG=1,EN30=1),MIN(IE30,LY30),0)</f>
        <v>0</v>
      </c>
      <c r="MA30" s="20" t="n">
        <f aca="false">EO30+LZ30</f>
        <v>0</v>
      </c>
      <c r="MB30" s="20" t="n">
        <f aca="false">IF(EN30=1,MAX(0,(Slot13_Cost-MA30*(1+Slot13_Rate)^(Slot13_Age-D30))/LX30),0)</f>
        <v>0</v>
      </c>
      <c r="MC30" s="20" t="n">
        <f aca="false">IF(EN30=1,MAX(0,(Slot13_Cost-EO30*(1+Slot13_Rate)^(Slot13_Age-D30))/LX30),0)</f>
        <v>0</v>
      </c>
      <c r="MD30" s="20" t="n">
        <f aca="false">IF(AND(HU30=1,EN30=1),MIN(LW30,MB30),0)</f>
        <v>0</v>
      </c>
      <c r="ME30" s="20" t="n">
        <f aca="false">LW30-MD30</f>
        <v>9275.87802465528</v>
      </c>
      <c r="MF30" s="20" t="n">
        <f aca="false">IF(EX30=1,IF(ABS((1+AS_Wage)/(1+Slot14_Rate)-1)&lt;0.000000000001,(Slot14_Age-D30)*(1+Slot14_Rate)^(Slot14_Age-D30),(1+Slot14_Rate)^(Slot14_Age-D30)*(1-((1+AS_Wage)/(1+Slot14_Rate))^(Slot14_Age-D30))/(1-(1+AS_Wage)/(1+Slot14_Rate))),1)</f>
        <v>1</v>
      </c>
      <c r="MG30" s="20" t="n">
        <f aca="false">IF(AND(HU30=1,IE30&gt;0,Slot14_IsWG=1,EX30=1),MAX(0,(Slot14_Cost-EY30*(1+Slot14_Rate)^(Slot14_Age-D30))/MF30),0)</f>
        <v>0</v>
      </c>
      <c r="MH30" s="20" t="n">
        <f aca="false">IF(AND(HU30=1,IE30&gt;0,Slot14_IsWG=1,EX30=1),MIN(IE30,MG30),0)</f>
        <v>0</v>
      </c>
      <c r="MI30" s="20" t="n">
        <f aca="false">EY30+MH30</f>
        <v>0</v>
      </c>
      <c r="MJ30" s="20" t="n">
        <f aca="false">IF(EX30=1,MAX(0,(Slot14_Cost-MI30*(1+Slot14_Rate)^(Slot14_Age-D30))/MF30),0)</f>
        <v>0</v>
      </c>
      <c r="MK30" s="20" t="n">
        <f aca="false">IF(EX30=1,MAX(0,(Slot14_Cost-EY30*(1+Slot14_Rate)^(Slot14_Age-D30))/MF30),0)</f>
        <v>0</v>
      </c>
      <c r="ML30" s="20" t="n">
        <f aca="false">IF(AND(HU30=1,EX30=1),MIN(ME30,MJ30),0)</f>
        <v>0</v>
      </c>
      <c r="MM30" s="20" t="n">
        <f aca="false">ME30-ML30</f>
        <v>9275.87802465528</v>
      </c>
      <c r="MN30" s="20" t="n">
        <f aca="false">IF(FH30=1,IF(ABS((1+AS_Wage)/(1+Slot15_Rate)-1)&lt;0.000000000001,(Slot15_Age-D30)*(1+Slot15_Rate)^(Slot15_Age-D30),(1+Slot15_Rate)^(Slot15_Age-D30)*(1-((1+AS_Wage)/(1+Slot15_Rate))^(Slot15_Age-D30))/(1-(1+AS_Wage)/(1+Slot15_Rate))),1)</f>
        <v>1</v>
      </c>
      <c r="MO30" s="20" t="n">
        <f aca="false">IF(AND(HU30=1,IE30&gt;0,Slot15_IsWG=1,FH30=1),MAX(0,(Slot15_Cost-FI30*(1+Slot15_Rate)^(Slot15_Age-D30))/MN30),0)</f>
        <v>0</v>
      </c>
      <c r="MP30" s="20" t="n">
        <f aca="false">IF(AND(HU30=1,IE30&gt;0,Slot15_IsWG=1,FH30=1),MIN(IE30,MO30),0)</f>
        <v>0</v>
      </c>
      <c r="MQ30" s="20" t="n">
        <f aca="false">FI30+MP30</f>
        <v>0</v>
      </c>
      <c r="MR30" s="20" t="n">
        <f aca="false">IF(FH30=1,MAX(0,(Slot15_Cost-MQ30*(1+Slot15_Rate)^(Slot15_Age-D30))/MN30),0)</f>
        <v>0</v>
      </c>
      <c r="MS30" s="20" t="n">
        <f aca="false">IF(FH30=1,MAX(0,(Slot15_Cost-FI30*(1+Slot15_Rate)^(Slot15_Age-D30))/MN30),0)</f>
        <v>0</v>
      </c>
      <c r="MT30" s="20" t="n">
        <f aca="false">IF(AND(HU30=1,FH30=1),MIN(MM30,MR30),0)</f>
        <v>0</v>
      </c>
      <c r="MU30" s="20" t="n">
        <f aca="false">MM30-MT30</f>
        <v>9275.87802465528</v>
      </c>
      <c r="MV30" s="20" t="n">
        <f aca="false">IF(FR30=1,IF(ABS((1+AS_Wage)/(1+Slot16_Rate)-1)&lt;0.000000000001,(Slot16_Age-D30)*(1+Slot16_Rate)^(Slot16_Age-D30),(1+Slot16_Rate)^(Slot16_Age-D30)*(1-((1+AS_Wage)/(1+Slot16_Rate))^(Slot16_Age-D30))/(1-(1+AS_Wage)/(1+Slot16_Rate))),1)</f>
        <v>1</v>
      </c>
      <c r="MW30" s="20" t="n">
        <f aca="false">IF(AND(HU30=1,IE30&gt;0,Slot16_IsWG=1,FR30=1),MAX(0,(Slot16_Cost-FS30*(1+Slot16_Rate)^(Slot16_Age-D30))/MV30),0)</f>
        <v>0</v>
      </c>
      <c r="MX30" s="20" t="n">
        <f aca="false">IF(AND(HU30=1,IE30&gt;0,Slot16_IsWG=1,FR30=1),MIN(IE30,MW30),0)</f>
        <v>0</v>
      </c>
      <c r="MY30" s="20" t="n">
        <f aca="false">FS30+MX30</f>
        <v>0</v>
      </c>
      <c r="MZ30" s="20" t="n">
        <f aca="false">IF(FR30=1,MAX(0,(Slot16_Cost-MY30*(1+Slot16_Rate)^(Slot16_Age-D30))/MV30),0)</f>
        <v>0</v>
      </c>
      <c r="NA30" s="20" t="n">
        <f aca="false">IF(FR30=1,MAX(0,(Slot16_Cost-FS30*(1+Slot16_Rate)^(Slot16_Age-D30))/MV30),0)</f>
        <v>0</v>
      </c>
      <c r="NB30" s="20" t="n">
        <f aca="false">IF(AND(HU30=1,FR30=1),MIN(MU30,MZ30),0)</f>
        <v>0</v>
      </c>
      <c r="NC30" s="20" t="n">
        <f aca="false">MU30-NB30</f>
        <v>9275.87802465528</v>
      </c>
      <c r="ND30" s="20" t="n">
        <f aca="false">IF(GB30=1,IF(ABS((1+AS_Wage)/(1+Slot17_Rate)-1)&lt;0.000000000001,(Slot17_Age-D30)*(1+Slot17_Rate)^(Slot17_Age-D30),(1+Slot17_Rate)^(Slot17_Age-D30)*(1-((1+AS_Wage)/(1+Slot17_Rate))^(Slot17_Age-D30))/(1-(1+AS_Wage)/(1+Slot17_Rate))),1)</f>
        <v>1</v>
      </c>
      <c r="NE30" s="20" t="n">
        <f aca="false">IF(AND(HU30=1,IE30&gt;0,Slot17_IsWG=1,GB30=1),MAX(0,(Slot17_Cost-GC30*(1+Slot17_Rate)^(Slot17_Age-D30))/ND30),0)</f>
        <v>0</v>
      </c>
      <c r="NF30" s="20" t="n">
        <f aca="false">IF(AND(HU30=1,IE30&gt;0,Slot17_IsWG=1,GB30=1),MIN(IE30,NE30),0)</f>
        <v>0</v>
      </c>
      <c r="NG30" s="20" t="n">
        <f aca="false">GC30+NF30</f>
        <v>0</v>
      </c>
      <c r="NH30" s="20" t="n">
        <f aca="false">IF(GB30=1,MAX(0,(Slot17_Cost-NG30*(1+Slot17_Rate)^(Slot17_Age-D30))/ND30),0)</f>
        <v>0</v>
      </c>
      <c r="NI30" s="20" t="n">
        <f aca="false">IF(GB30=1,MAX(0,(Slot17_Cost-GC30*(1+Slot17_Rate)^(Slot17_Age-D30))/ND30),0)</f>
        <v>0</v>
      </c>
      <c r="NJ30" s="20" t="n">
        <f aca="false">IF(AND(HU30=1,GB30=1),MIN(NC30,NH30),0)</f>
        <v>0</v>
      </c>
      <c r="NK30" s="20" t="n">
        <f aca="false">NC30-NJ30</f>
        <v>9275.87802465528</v>
      </c>
      <c r="NL30" s="20" t="n">
        <f aca="false">IF(GL30=1,IF(ABS((1+AS_Wage)/(1+Slot18_Rate)-1)&lt;0.000000000001,(Slot18_Age-D30)*(1+Slot18_Rate)^(Slot18_Age-D30),(1+Slot18_Rate)^(Slot18_Age-D30)*(1-((1+AS_Wage)/(1+Slot18_Rate))^(Slot18_Age-D30))/(1-(1+AS_Wage)/(1+Slot18_Rate))),1)</f>
        <v>1</v>
      </c>
      <c r="NM30" s="20" t="n">
        <f aca="false">IF(AND(HU30=1,IE30&gt;0,Slot18_IsWG=1,GL30=1),MAX(0,(Slot18_Cost-GM30*(1+Slot18_Rate)^(Slot18_Age-D30))/NL30),0)</f>
        <v>0</v>
      </c>
      <c r="NN30" s="20" t="n">
        <f aca="false">IF(AND(HU30=1,IE30&gt;0,Slot18_IsWG=1,GL30=1),MIN(IE30,NM30),0)</f>
        <v>0</v>
      </c>
      <c r="NO30" s="20" t="n">
        <f aca="false">GM30+NN30</f>
        <v>0</v>
      </c>
      <c r="NP30" s="20" t="n">
        <f aca="false">IF(GL30=1,MAX(0,(Slot18_Cost-NO30*(1+Slot18_Rate)^(Slot18_Age-D30))/NL30),0)</f>
        <v>0</v>
      </c>
      <c r="NQ30" s="20" t="n">
        <f aca="false">IF(GL30=1,MAX(0,(Slot18_Cost-GM30*(1+Slot18_Rate)^(Slot18_Age-D30))/NL30),0)</f>
        <v>0</v>
      </c>
      <c r="NR30" s="20" t="n">
        <f aca="false">IF(AND(HU30=1,GL30=1),MIN(NK30,NP30),0)</f>
        <v>0</v>
      </c>
      <c r="NS30" s="20" t="n">
        <f aca="false">NK30-NR30</f>
        <v>9275.87802465528</v>
      </c>
      <c r="NT30" s="20" t="n">
        <f aca="false">IF(GV30=1,IF(ABS((1+AS_Wage)/(1+Slot19_Rate)-1)&lt;0.000000000001,(Slot19_Age-D30)*(1+Slot19_Rate)^(Slot19_Age-D30),(1+Slot19_Rate)^(Slot19_Age-D30)*(1-((1+AS_Wage)/(1+Slot19_Rate))^(Slot19_Age-D30))/(1-(1+AS_Wage)/(1+Slot19_Rate))),1)</f>
        <v>1</v>
      </c>
      <c r="NU30" s="20" t="n">
        <f aca="false">IF(AND(HU30=1,IE30&gt;0,Slot19_IsWG=1,GV30=1),MAX(0,(Slot19_Cost-GW30*(1+Slot19_Rate)^(Slot19_Age-D30))/NT30),0)</f>
        <v>0</v>
      </c>
      <c r="NV30" s="20" t="n">
        <f aca="false">IF(AND(HU30=1,IE30&gt;0,Slot19_IsWG=1,GV30=1),MIN(IE30,NU30),0)</f>
        <v>0</v>
      </c>
      <c r="NW30" s="20" t="n">
        <f aca="false">GW30+NV30</f>
        <v>0</v>
      </c>
      <c r="NX30" s="20" t="n">
        <f aca="false">IF(GV30=1,MAX(0,(Slot19_Cost-NW30*(1+Slot19_Rate)^(Slot19_Age-D30))/NT30),0)</f>
        <v>0</v>
      </c>
      <c r="NY30" s="20" t="n">
        <f aca="false">IF(GV30=1,MAX(0,(Slot19_Cost-GW30*(1+Slot19_Rate)^(Slot19_Age-D30))/NT30),0)</f>
        <v>0</v>
      </c>
      <c r="NZ30" s="20" t="n">
        <f aca="false">IF(AND(HU30=1,GV30=1),MIN(NS30,NX30),0)</f>
        <v>0</v>
      </c>
      <c r="OA30" s="20" t="n">
        <f aca="false">NS30-NZ30</f>
        <v>9275.87802465528</v>
      </c>
      <c r="OB30" s="20" t="n">
        <f aca="false">IF(HF30=1,IF(ABS((1+AS_Wage)/(1+Slot20_Rate)-1)&lt;0.000000000001,(Slot20_Age-D30)*(1+Slot20_Rate)^(Slot20_Age-D30),(1+Slot20_Rate)^(Slot20_Age-D30)*(1-((1+AS_Wage)/(1+Slot20_Rate))^(Slot20_Age-D30))/(1-(1+AS_Wage)/(1+Slot20_Rate))),1)</f>
        <v>1</v>
      </c>
      <c r="OC30" s="20" t="n">
        <f aca="false">IF(AND(HU30=1,IE30&gt;0,Slot20_IsWG=1,HF30=1),MAX(0,(Slot20_Cost-HG30*(1+Slot20_Rate)^(Slot20_Age-D30))/OB30),0)</f>
        <v>0</v>
      </c>
      <c r="OD30" s="20" t="n">
        <f aca="false">IF(AND(HU30=1,IE30&gt;0,Slot20_IsWG=1,HF30=1),MIN(IE30,OC30),0)</f>
        <v>0</v>
      </c>
      <c r="OE30" s="20" t="n">
        <f aca="false">HG30+OD30</f>
        <v>0</v>
      </c>
      <c r="OF30" s="20" t="n">
        <f aca="false">IF(HF30=1,MAX(0,(Slot20_Cost-OE30*(1+Slot20_Rate)^(Slot20_Age-D30))/OB30),0)</f>
        <v>0</v>
      </c>
      <c r="OG30" s="20" t="n">
        <f aca="false">IF(HF30=1,MAX(0,(Slot20_Cost-HG30*(1+Slot20_Rate)^(Slot20_Age-D30))/OB30),0)</f>
        <v>0</v>
      </c>
      <c r="OH30" s="20" t="n">
        <f aca="false">IF(AND(HU30=1,HF30=1),MIN(OA30,OF30),0)</f>
        <v>0</v>
      </c>
      <c r="OI30" s="20" t="n">
        <f aca="false">OA30-OH30</f>
        <v>9275.87802465528</v>
      </c>
      <c r="OJ30" s="20" t="n">
        <f aca="false">IE30-(IH30+IP30+IX30+JF30+JN30+JV30+KD30+KL30+KT30+LB30+LJ30+LR30+LZ30+MH30+MP30+MX30+NF30+NN30+NV30+OD30)</f>
        <v>0</v>
      </c>
      <c r="OK30" s="20" t="n">
        <f aca="false">IF(HU30=1,HS30-ID30-IE30,0)</f>
        <v>33421.1495707179</v>
      </c>
      <c r="OL30" s="20" t="n">
        <f aca="false">IF(HU30=0,-HS30,0)</f>
        <v>0</v>
      </c>
      <c r="OM30" s="20" t="n">
        <f aca="false">MIN(OL30,HK30)</f>
        <v>0</v>
      </c>
      <c r="ON30" s="20" t="n">
        <f aca="false">OL30-OM30</f>
        <v>0</v>
      </c>
      <c r="OO30" s="20" t="n">
        <f aca="false">MIN(ON30,HL30)</f>
        <v>0</v>
      </c>
      <c r="OP30" s="20" t="n">
        <f aca="false">ON30-OO30</f>
        <v>0</v>
      </c>
      <c r="OQ30" s="20" t="n">
        <f aca="false">IF(AND(HU30=0,HF30=1,OP30&gt;0),MIN(OP30,HG30),0)</f>
        <v>0</v>
      </c>
      <c r="OR30" s="20" t="n">
        <f aca="false">OP30-OQ30</f>
        <v>0</v>
      </c>
      <c r="OS30" s="20" t="n">
        <f aca="false">IF(AND(HU30=0,GV30=1,OR30&gt;0),MIN(OR30,GW30),0)</f>
        <v>0</v>
      </c>
      <c r="OT30" s="20" t="n">
        <f aca="false">OR30-OS30</f>
        <v>0</v>
      </c>
      <c r="OU30" s="20" t="n">
        <f aca="false">IF(AND(HU30=0,GL30=1,OT30&gt;0),MIN(OT30,GM30),0)</f>
        <v>0</v>
      </c>
      <c r="OV30" s="20" t="n">
        <f aca="false">OT30-OU30</f>
        <v>0</v>
      </c>
      <c r="OW30" s="20" t="n">
        <f aca="false">IF(AND(HU30=0,GB30=1,OV30&gt;0),MIN(OV30,GC30),0)</f>
        <v>0</v>
      </c>
      <c r="OX30" s="20" t="n">
        <f aca="false">OV30-OW30</f>
        <v>0</v>
      </c>
      <c r="OY30" s="20" t="n">
        <f aca="false">IF(AND(HU30=0,FR30=1,OX30&gt;0),MIN(OX30,FS30),0)</f>
        <v>0</v>
      </c>
      <c r="OZ30" s="20" t="n">
        <f aca="false">OX30-OY30</f>
        <v>0</v>
      </c>
      <c r="PA30" s="20" t="n">
        <f aca="false">IF(AND(HU30=0,FH30=1,OZ30&gt;0),MIN(OZ30,FI30),0)</f>
        <v>0</v>
      </c>
      <c r="PB30" s="20" t="n">
        <f aca="false">OZ30-PA30</f>
        <v>0</v>
      </c>
      <c r="PC30" s="20" t="n">
        <f aca="false">IF(AND(HU30=0,EX30=1,PB30&gt;0),MIN(PB30,EY30),0)</f>
        <v>0</v>
      </c>
      <c r="PD30" s="20" t="n">
        <f aca="false">PB30-PC30</f>
        <v>0</v>
      </c>
      <c r="PE30" s="20" t="n">
        <f aca="false">IF(AND(HU30=0,EN30=1,PD30&gt;0),MIN(PD30,EO30),0)</f>
        <v>0</v>
      </c>
      <c r="PF30" s="20" t="n">
        <f aca="false">PD30-PE30</f>
        <v>0</v>
      </c>
      <c r="PG30" s="20" t="n">
        <f aca="false">IF(AND(HU30=0,ED30=1,PF30&gt;0),MIN(PF30,EE30),0)</f>
        <v>0</v>
      </c>
      <c r="PH30" s="20" t="n">
        <f aca="false">PF30-PG30</f>
        <v>0</v>
      </c>
      <c r="PI30" s="20" t="n">
        <f aca="false">IF(AND(HU30=0,DT30=1,PH30&gt;0),MIN(PH30,DU30),0)</f>
        <v>0</v>
      </c>
      <c r="PJ30" s="20" t="n">
        <f aca="false">PH30-PI30</f>
        <v>0</v>
      </c>
      <c r="PK30" s="20" t="n">
        <f aca="false">IF(AND(HU30=0,DJ30=1,PJ30&gt;0),MIN(PJ30,DK30),0)</f>
        <v>0</v>
      </c>
      <c r="PL30" s="20" t="n">
        <f aca="false">PJ30-PK30</f>
        <v>0</v>
      </c>
      <c r="PM30" s="20" t="n">
        <f aca="false">IF(AND(HU30=0,CZ30=1,PL30&gt;0),MIN(PL30,DA30),0)</f>
        <v>0</v>
      </c>
      <c r="PN30" s="20" t="n">
        <f aca="false">PL30-PM30</f>
        <v>0</v>
      </c>
      <c r="PO30" s="20" t="n">
        <f aca="false">IF(AND(HU30=0,CP30=1,PN30&gt;0),MIN(PN30,CQ30),0)</f>
        <v>0</v>
      </c>
      <c r="PP30" s="20" t="n">
        <f aca="false">PN30-PO30</f>
        <v>0</v>
      </c>
      <c r="PQ30" s="20" t="n">
        <f aca="false">IF(AND(HU30=0,CF30=1,PP30&gt;0),MIN(PP30,CG30),0)</f>
        <v>0</v>
      </c>
      <c r="PR30" s="20" t="n">
        <f aca="false">PP30-PQ30</f>
        <v>0</v>
      </c>
      <c r="PS30" s="20" t="n">
        <f aca="false">IF(AND(HU30=0,BV30=1,PR30&gt;0),MIN(PR30,BW30),0)</f>
        <v>0</v>
      </c>
      <c r="PT30" s="20" t="n">
        <f aca="false">PR30-PS30</f>
        <v>0</v>
      </c>
      <c r="PU30" s="20" t="n">
        <f aca="false">IF(AND(HU30=0,BL30=1,PT30&gt;0),MIN(PT30,BM30),0)</f>
        <v>0</v>
      </c>
      <c r="PV30" s="20" t="n">
        <f aca="false">PT30-PU30</f>
        <v>0</v>
      </c>
      <c r="PW30" s="20" t="n">
        <f aca="false">IF(AND(HU30=0,BB30=1,PV30&gt;0),MIN(PV30,BC30),0)</f>
        <v>0</v>
      </c>
      <c r="PX30" s="20" t="n">
        <f aca="false">PV30-PW30</f>
        <v>0</v>
      </c>
      <c r="PY30" s="20" t="n">
        <f aca="false">IF(AND(HU30=0,AR30=1,PX30&gt;0),MIN(PX30,AS30),0)</f>
        <v>0</v>
      </c>
      <c r="PZ30" s="20" t="n">
        <f aca="false">PX30-PY30</f>
        <v>0</v>
      </c>
      <c r="QA30" s="20" t="n">
        <f aca="false">IF(AND(HU30=0,AH30=1,PZ30&gt;0),MIN(PZ30,AI30),0)</f>
        <v>0</v>
      </c>
      <c r="QB30" s="20" t="n">
        <f aca="false">PZ30-QA30</f>
        <v>0</v>
      </c>
      <c r="QC30" s="20" t="n">
        <f aca="false">IF(AND(HU30=0,W30=1,QB30&gt;0),MIN(QB30,X30),0)</f>
        <v>0</v>
      </c>
      <c r="QD30" s="20" t="n">
        <f aca="false">QB30-QC30</f>
        <v>0</v>
      </c>
      <c r="QE30" s="20" t="n">
        <f aca="false">IF(HU30=0,QD30,0)</f>
        <v>0</v>
      </c>
      <c r="QF30" s="20" t="n">
        <f aca="false">OM30+OO30+QC30+QA30+PY30+PW30+PU30+PS30+PQ30+PO30+PM30+PK30+PI30+PG30+PE30+PC30+PA30+OY30+OW30+OU30+OS30+OQ30</f>
        <v>0</v>
      </c>
      <c r="QG30" s="20" t="n">
        <f aca="false">IF(HU30=1,HK30+OJ30+OI30+IF(G30=1,0,OK30),HK30-OM30)</f>
        <v>73344.9518315379</v>
      </c>
      <c r="QH30" s="20" t="n">
        <f aca="false">HL30-OO30</f>
        <v>13883.8610027022</v>
      </c>
      <c r="QI30" s="20" t="n">
        <f aca="false">IF(HU30=1,IF(G30=1,ID30+IE30,HS30),0)</f>
        <v>9275.87802465528</v>
      </c>
      <c r="QJ30" s="20" t="n">
        <f aca="false">IF(HU30=1,IF(G30=1,HS30-ID30-IE30,0),0)</f>
        <v>33421.1495707179</v>
      </c>
      <c r="QK30" s="57" t="n">
        <f aca="false">'Plan holdings'!BM30</f>
        <v>76091.4663982048</v>
      </c>
      <c r="QL30" s="20" t="n">
        <f aca="false">QH30*(1+AS_Cash)</f>
        <v>14022.6996127293</v>
      </c>
      <c r="QM30" s="20" t="n">
        <f aca="false">IF(W30=1,IF(HU30=1,II30+IL30,X30-QC30)*(1+Slot1_Rate),0)</f>
        <v>0</v>
      </c>
      <c r="QN30" s="20" t="n">
        <f aca="false">IF(AND(HU30=1,W30=1),(IH30+IL30)/F30,0)</f>
        <v>0</v>
      </c>
      <c r="QO30" s="20" t="n">
        <f aca="false">IF(B30=0,IH30+IL30,0)</f>
        <v>0</v>
      </c>
      <c r="QP30" s="20" t="n">
        <f aca="false">IF(B30=0,IF(HU30=1,IJ30,IK30),0)</f>
        <v>0</v>
      </c>
      <c r="QQ30" s="20" t="n">
        <f aca="false">IF(AH30=1,IF(HU30=1,IQ30+IT30,AI30-QA30)*(1+Slot2_Rate),0)</f>
        <v>0</v>
      </c>
      <c r="QR30" s="20" t="n">
        <f aca="false">IF(AND(HU30=1,AH30=1),(IP30+IT30)/F30,0)</f>
        <v>0</v>
      </c>
      <c r="QS30" s="20" t="n">
        <f aca="false">IF(B30=0,IP30+IT30,0)</f>
        <v>0</v>
      </c>
      <c r="QT30" s="20" t="n">
        <f aca="false">IF(B30=0,IF(HU30=1,IR30,IS30),0)</f>
        <v>0</v>
      </c>
      <c r="QU30" s="20" t="n">
        <f aca="false">IF(AR30=1,IF(HU30=1,IY30+JB30,AS30-PY30)*(1+Slot3_Rate),0)</f>
        <v>0</v>
      </c>
      <c r="QV30" s="20" t="n">
        <f aca="false">IF(AND(HU30=1,AR30=1),(IX30+JB30)/F30,0)</f>
        <v>0</v>
      </c>
      <c r="QW30" s="20" t="n">
        <f aca="false">IF(B30=0,IX30+JB30,0)</f>
        <v>0</v>
      </c>
      <c r="QX30" s="20" t="n">
        <f aca="false">IF(B30=0,IF(HU30=1,IZ30,JA30),0)</f>
        <v>0</v>
      </c>
      <c r="QY30" s="20" t="n">
        <f aca="false">IF(BB30=1,IF(HU30=1,JG30+JJ30,BC30-PW30)*(1+Slot4_Rate),0)</f>
        <v>0</v>
      </c>
      <c r="QZ30" s="20" t="n">
        <f aca="false">IF(AND(HU30=1,BB30=1),(JF30+JJ30)/F30,0)</f>
        <v>0</v>
      </c>
      <c r="RA30" s="20" t="n">
        <f aca="false">IF(B30=0,JF30+JJ30,0)</f>
        <v>0</v>
      </c>
      <c r="RB30" s="20" t="n">
        <f aca="false">IF(B30=0,IF(HU30=1,JH30,JI30),0)</f>
        <v>0</v>
      </c>
      <c r="RC30" s="20" t="n">
        <f aca="false">IF(BL30=1,IF(HU30=1,JO30+JR30,BM30-PU30)*(1+Slot5_Rate),0)</f>
        <v>0</v>
      </c>
      <c r="RD30" s="20" t="n">
        <f aca="false">IF(AND(HU30=1,BL30=1),(JN30+JR30)/F30,0)</f>
        <v>0</v>
      </c>
      <c r="RE30" s="20" t="n">
        <f aca="false">IF(B30=0,JN30+JR30,0)</f>
        <v>0</v>
      </c>
      <c r="RF30" s="20" t="n">
        <f aca="false">IF(B30=0,IF(HU30=1,JP30,JQ30),0)</f>
        <v>0</v>
      </c>
      <c r="RG30" s="20" t="n">
        <f aca="false">IF(BV30=1,IF(HU30=1,JW30+JZ30,BW30-PS30)*(1+Slot6_Rate),0)</f>
        <v>0</v>
      </c>
      <c r="RH30" s="20" t="n">
        <f aca="false">IF(AND(HU30=1,BV30=1),(JV30+JZ30)/F30,0)</f>
        <v>0</v>
      </c>
      <c r="RI30" s="20" t="n">
        <f aca="false">IF(B30=0,JV30+JZ30,0)</f>
        <v>0</v>
      </c>
      <c r="RJ30" s="20" t="n">
        <f aca="false">IF(B30=0,IF(HU30=1,JX30,JY30),0)</f>
        <v>0</v>
      </c>
      <c r="RK30" s="20" t="n">
        <f aca="false">IF(CF30=1,IF(HU30=1,KE30+KH30,CG30-PQ30)*(1+Slot7_Rate),0)</f>
        <v>0</v>
      </c>
      <c r="RL30" s="20" t="n">
        <f aca="false">IF(AND(HU30=1,CF30=1),(KD30+KH30)/F30,0)</f>
        <v>0</v>
      </c>
      <c r="RM30" s="20" t="n">
        <f aca="false">IF(B30=0,KD30+KH30,0)</f>
        <v>0</v>
      </c>
      <c r="RN30" s="20" t="n">
        <f aca="false">IF(B30=0,IF(HU30=1,KF30,KG30),0)</f>
        <v>0</v>
      </c>
      <c r="RO30" s="20" t="n">
        <f aca="false">IF(CP30=1,IF(HU30=1,KM30+KP30,CQ30-PO30)*(1+Slot8_Rate),0)</f>
        <v>0</v>
      </c>
      <c r="RP30" s="20" t="n">
        <f aca="false">IF(AND(HU30=1,CP30=1),(KL30+KP30)/F30,0)</f>
        <v>0</v>
      </c>
      <c r="RQ30" s="20" t="n">
        <f aca="false">IF(B30=0,KL30+KP30,0)</f>
        <v>0</v>
      </c>
      <c r="RR30" s="20" t="n">
        <f aca="false">IF(B30=0,IF(HU30=1,KN30,KO30),0)</f>
        <v>0</v>
      </c>
      <c r="RS30" s="20" t="n">
        <f aca="false">IF(CZ30=1,IF(HU30=1,KU30+KX30,DA30-PM30)*(1+Slot9_Rate),0)</f>
        <v>0</v>
      </c>
      <c r="RT30" s="20" t="n">
        <f aca="false">IF(AND(HU30=1,CZ30=1),(KT30+KX30)/F30,0)</f>
        <v>0</v>
      </c>
      <c r="RU30" s="20" t="n">
        <f aca="false">IF(B30=0,KT30+KX30,0)</f>
        <v>0</v>
      </c>
      <c r="RV30" s="20" t="n">
        <f aca="false">IF(B30=0,IF(HU30=1,KV30,KW30),0)</f>
        <v>0</v>
      </c>
      <c r="RW30" s="20" t="n">
        <f aca="false">IF(DJ30=1,IF(HU30=1,LC30+LF30,DK30-PK30)*(1+Slot10_Rate),0)</f>
        <v>0</v>
      </c>
      <c r="RX30" s="20" t="n">
        <f aca="false">IF(AND(HU30=1,DJ30=1),(LB30+LF30)/F30,0)</f>
        <v>0</v>
      </c>
      <c r="RY30" s="20" t="n">
        <f aca="false">IF(B30=0,LB30+LF30,0)</f>
        <v>0</v>
      </c>
      <c r="RZ30" s="20" t="n">
        <f aca="false">IF(B30=0,IF(HU30=1,LD30,LE30),0)</f>
        <v>0</v>
      </c>
      <c r="SA30" s="20" t="n">
        <f aca="false">IF(DT30=1,IF(HU30=1,LK30+LN30,DU30-PI30)*(1+Slot11_Rate),0)</f>
        <v>0</v>
      </c>
      <c r="SB30" s="20" t="n">
        <f aca="false">IF(AND(HU30=1,DT30=1),(LJ30+LN30)/F30,0)</f>
        <v>0</v>
      </c>
      <c r="SC30" s="20" t="n">
        <f aca="false">IF(B30=0,LJ30+LN30,0)</f>
        <v>0</v>
      </c>
      <c r="SD30" s="20" t="n">
        <f aca="false">IF(B30=0,IF(HU30=1,LL30,LM30),0)</f>
        <v>0</v>
      </c>
      <c r="SE30" s="20" t="n">
        <f aca="false">IF(ED30=1,IF(HU30=1,LS30+LV30,EE30-PG30)*(1+Slot12_Rate),0)</f>
        <v>0</v>
      </c>
      <c r="SF30" s="20" t="n">
        <f aca="false">IF(AND(HU30=1,ED30=1),(LR30+LV30)/F30,0)</f>
        <v>0</v>
      </c>
      <c r="SG30" s="20" t="n">
        <f aca="false">IF(B30=0,LR30+LV30,0)</f>
        <v>0</v>
      </c>
      <c r="SH30" s="20" t="n">
        <f aca="false">IF(B30=0,IF(HU30=1,LT30,LU30),0)</f>
        <v>0</v>
      </c>
      <c r="SI30" s="20" t="n">
        <f aca="false">IF(EN30=1,IF(HU30=1,MA30+MD30,EO30-PE30)*(1+Slot13_Rate),0)</f>
        <v>0</v>
      </c>
      <c r="SJ30" s="20" t="n">
        <f aca="false">IF(AND(HU30=1,EN30=1),(LZ30+MD30)/F30,0)</f>
        <v>0</v>
      </c>
      <c r="SK30" s="20" t="n">
        <f aca="false">IF(B30=0,LZ30+MD30,0)</f>
        <v>0</v>
      </c>
      <c r="SL30" s="20" t="n">
        <f aca="false">IF(B30=0,IF(HU30=1,MB30,MC30),0)</f>
        <v>0</v>
      </c>
      <c r="SM30" s="20" t="n">
        <f aca="false">IF(EX30=1,IF(HU30=1,MI30+ML30,EY30-PC30)*(1+Slot14_Rate),0)</f>
        <v>0</v>
      </c>
      <c r="SN30" s="20" t="n">
        <f aca="false">IF(AND(HU30=1,EX30=1),(MH30+ML30)/F30,0)</f>
        <v>0</v>
      </c>
      <c r="SO30" s="20" t="n">
        <f aca="false">IF(B30=0,MH30+ML30,0)</f>
        <v>0</v>
      </c>
      <c r="SP30" s="20" t="n">
        <f aca="false">IF(B30=0,IF(HU30=1,MJ30,MK30),0)</f>
        <v>0</v>
      </c>
      <c r="SQ30" s="20" t="n">
        <f aca="false">IF(FH30=1,IF(HU30=1,MQ30+MT30,FI30-PA30)*(1+Slot15_Rate),0)</f>
        <v>0</v>
      </c>
      <c r="SR30" s="20" t="n">
        <f aca="false">IF(AND(HU30=1,FH30=1),(MP30+MT30)/F30,0)</f>
        <v>0</v>
      </c>
      <c r="SS30" s="20" t="n">
        <f aca="false">IF(B30=0,MP30+MT30,0)</f>
        <v>0</v>
      </c>
      <c r="ST30" s="20" t="n">
        <f aca="false">IF(B30=0,IF(HU30=1,MR30,MS30),0)</f>
        <v>0</v>
      </c>
      <c r="SU30" s="20" t="n">
        <f aca="false">IF(FR30=1,IF(HU30=1,MY30+NB30,FS30-OY30)*(1+Slot16_Rate),0)</f>
        <v>0</v>
      </c>
      <c r="SV30" s="20" t="n">
        <f aca="false">IF(AND(HU30=1,FR30=1),(MX30+NB30)/F30,0)</f>
        <v>0</v>
      </c>
      <c r="SW30" s="20" t="n">
        <f aca="false">IF(B30=0,MX30+NB30,0)</f>
        <v>0</v>
      </c>
      <c r="SX30" s="20" t="n">
        <f aca="false">IF(B30=0,IF(HU30=1,MZ30,NA30),0)</f>
        <v>0</v>
      </c>
      <c r="SY30" s="20" t="n">
        <f aca="false">IF(GB30=1,IF(HU30=1,NG30+NJ30,GC30-OW30)*(1+Slot17_Rate),0)</f>
        <v>0</v>
      </c>
      <c r="SZ30" s="20" t="n">
        <f aca="false">IF(AND(HU30=1,GB30=1),(NF30+NJ30)/F30,0)</f>
        <v>0</v>
      </c>
      <c r="TA30" s="20" t="n">
        <f aca="false">IF(B30=0,NF30+NJ30,0)</f>
        <v>0</v>
      </c>
      <c r="TB30" s="20" t="n">
        <f aca="false">IF(B30=0,IF(HU30=1,NH30,NI30),0)</f>
        <v>0</v>
      </c>
      <c r="TC30" s="20" t="n">
        <f aca="false">IF(GL30=1,IF(HU30=1,NO30+NR30,GM30-OU30)*(1+Slot18_Rate),0)</f>
        <v>0</v>
      </c>
      <c r="TD30" s="20" t="n">
        <f aca="false">IF(AND(HU30=1,GL30=1),(NN30+NR30)/F30,0)</f>
        <v>0</v>
      </c>
      <c r="TE30" s="20" t="n">
        <f aca="false">IF(B30=0,NN30+NR30,0)</f>
        <v>0</v>
      </c>
      <c r="TF30" s="20" t="n">
        <f aca="false">IF(B30=0,IF(HU30=1,NP30,NQ30),0)</f>
        <v>0</v>
      </c>
      <c r="TG30" s="20" t="n">
        <f aca="false">IF(GV30=1,IF(HU30=1,NW30+NZ30,GW30-OS30)*(1+Slot19_Rate),0)</f>
        <v>0</v>
      </c>
      <c r="TH30" s="20" t="n">
        <f aca="false">IF(AND(HU30=1,GV30=1),(NV30+NZ30)/F30,0)</f>
        <v>0</v>
      </c>
      <c r="TI30" s="20" t="n">
        <f aca="false">IF(B30=0,NV30+NZ30,0)</f>
        <v>0</v>
      </c>
      <c r="TJ30" s="20" t="n">
        <f aca="false">IF(B30=0,IF(HU30=1,NX30,NY30),0)</f>
        <v>0</v>
      </c>
      <c r="TK30" s="20" t="n">
        <f aca="false">IF(HF30=1,IF(HU30=1,OE30+OH30,HG30-OQ30)*(1+Slot20_Rate),0)</f>
        <v>0</v>
      </c>
      <c r="TL30" s="20" t="n">
        <f aca="false">IF(AND(HU30=1,HF30=1),(OD30+OH30)/F30,0)</f>
        <v>0</v>
      </c>
      <c r="TM30" s="20" t="n">
        <f aca="false">IF(B30=0,OD30+OH30,0)</f>
        <v>0</v>
      </c>
      <c r="TN30" s="20" t="n">
        <f aca="false">IF(B30=0,IF(HU30=1,OF30,OG30),0)</f>
        <v>0</v>
      </c>
      <c r="TO30" s="20" t="n">
        <f aca="false">QK30+QL30+QM30+QQ30+QU30+QY30+RC30+RG30+RK30+RO30+RS30+RW30+SA30+SE30+SI30+SM30+SQ30+SU30+SY30+TC30+TG30+TK30</f>
        <v>90114.1660109341</v>
      </c>
      <c r="TP30" s="20" t="n">
        <f aca="false">QE30+HP30</f>
        <v>0</v>
      </c>
      <c r="TQ30" s="20" t="n">
        <f aca="false">I30+S30</f>
        <v>69569.0851849146</v>
      </c>
      <c r="TR30" s="20" t="n">
        <f aca="false">1-G30</f>
        <v>0</v>
      </c>
      <c r="TS30" s="20" t="n">
        <f aca="false">IF(AND(RG_Exists=1,G30=0,C30=1),I30,0)</f>
        <v>0</v>
      </c>
      <c r="TT30" s="20" t="n">
        <f aca="false">IF(AND(RG_Exists=1,G30=0,C30=1),I30-MIN(QE30,I30),0)</f>
        <v>0</v>
      </c>
      <c r="TU30" s="20" t="n">
        <f aca="false">'Plan pay &amp; tax'!AD256</f>
        <v>522045.18935728</v>
      </c>
      <c r="TV30" s="20" t="n">
        <f aca="false">IF(AND(C30=1,QE30&gt;MAX(PR_Short1,TQ30*PR_Short2)),1,0)</f>
        <v>0</v>
      </c>
      <c r="TW30" s="20" t="n">
        <f aca="false">MIN(H30,I30+S30)</f>
        <v>69569.0851849146</v>
      </c>
      <c r="TX30" s="20" t="n">
        <f aca="false">QF30+MAX(0,HQ30-HP30)</f>
        <v>0</v>
      </c>
      <c r="TY30" s="20" t="n">
        <f aca="false">QE30+HP30</f>
        <v>0</v>
      </c>
      <c r="TZ30" s="20" t="n">
        <f aca="false">IF(AND(C30=1,TY30&gt;PR_MinShort),1,0)</f>
        <v>0</v>
      </c>
      <c r="UA30" s="20" t="n">
        <f aca="false">IF(AND(C30=1,TZ30=0,TX30&gt;PR_MinShort),1,0)</f>
        <v>0</v>
      </c>
      <c r="UB30" s="20" t="n">
        <f aca="false">IF(AND(C30=1,QE30&gt;PR_MinShort),1,0)</f>
        <v>0</v>
      </c>
      <c r="UC30" s="20" t="n">
        <f aca="false">IF(AND(C30=1,QF30&gt;1,UJ30=0),1,0)</f>
        <v>0</v>
      </c>
      <c r="UD30" s="20" t="str">
        <f aca="false">IF(C30=0,"",IF(UJ30=1,"Gap to plan for: short "&amp;"€"&amp;TEXT(ROUND(TP30,0),"#,##0"),IF(QF30&gt;1,"Using savings","Comfortable")))</f>
        <v>Comfortable</v>
      </c>
      <c r="UE30" s="20" t="n">
        <f aca="false">IF(AND(INT(D30/10)*10=90,B30&gt;0),80,INT(D30/10)*10)</f>
        <v>60</v>
      </c>
      <c r="UF30" s="20" t="n">
        <f aca="false">IF(B30=0,1,IF(UE30&lt;&gt;UE29,UF29+1,UF29))</f>
        <v>4</v>
      </c>
      <c r="UG30" s="20" t="n">
        <f aca="false">IF(AND(C30=1,G30=1,QE30&gt;MAX(PR_Short1,TQ30*PR_Short2)),1,0)</f>
        <v>0</v>
      </c>
      <c r="UH30" s="20" t="n">
        <f aca="false">TR30*TV30</f>
        <v>0</v>
      </c>
      <c r="UI30" s="20" t="n">
        <f aca="false">IF(AND(V30=1,Slot1_PctLow=1),1,0)+IF(AND(AG30=1,Slot2_PctLow=1),1,0)+IF(AND(AQ30=1,Slot3_PctLow=1),1,0)+IF(AND(BA30=1,Slot4_PctLow=1),1,0)+IF(AND(BK30=1,Slot5_PctLow=1),1,0)+IF(AND(BU30=1,Slot6_PctLow=1),1,0)+IF(AND(CE30=1,Slot7_PctLow=1),1,0)+IF(AND(CO30=1,Slot8_PctLow=1),1,0)+IF(AND(CY30=1,Slot9_PctLow=1),1,0)+IF(AND(DI30=1,Slot10_PctLow=1),1,0)+IF(AND(DS30=1,Slot11_PctLow=1),1,0)+IF(AND(EC30=1,Slot12_PctLow=1),1,0)+IF(AND(EM30=1,Slot13_PctLow=1),1,0)+IF(AND(EW30=1,Slot14_PctLow=1),1,0)+IF(AND(FG30=1,Slot15_PctLow=1),1,0)+IF(AND(FQ30=1,Slot16_PctLow=1),1,0)+IF(AND(GA30=1,Slot17_PctLow=1),1,0)+IF(AND(GK30=1,Slot18_PctLow=1),1,0)+IF(AND(GU30=1,Slot19_PctLow=1),1,0)+IF(AND(HE30=1,Slot20_PctLow=1),1,0)</f>
        <v>0</v>
      </c>
      <c r="UJ30" s="20" t="n">
        <f aca="false">IF(C30=1,IF(OR(TV30=1,UI30&gt;0),1,0),0)</f>
        <v>0</v>
      </c>
      <c r="UK30" s="20" t="n">
        <f aca="false">Z30+AK30+AU30+BE30+BO30+BY30+CI30+CS30+DC30+DM30+DW30+EG30+EQ30+FA30+FK30+FU30+GE30+GO30+GY30+HI30+OM30</f>
        <v>0</v>
      </c>
      <c r="UL30" s="20" t="n">
        <f aca="false">V30*IF(Slot1_SpendLike=1,X30-Y30,IF(Slot1_PotFree=1,X30,0))+AG30*IF(Slot2_SpendLike=1,AI30-AJ30,IF(Slot2_PotFree=1,AI30,0))+AQ30*IF(Slot3_SpendLike=1,AS30-AT30,IF(Slot3_PotFree=1,AS30,0))+BA30*IF(Slot4_SpendLike=1,BC30-BD30,IF(Slot4_PotFree=1,BC30,0))+BK30*IF(Slot5_SpendLike=1,BM30-BN30,IF(Slot5_PotFree=1,BM30,0))+BU30*IF(Slot6_SpendLike=1,BW30-BX30,IF(Slot6_PotFree=1,BW30,0))+CE30*IF(Slot7_SpendLike=1,CG30-CH30,IF(Slot7_PotFree=1,CG30,0))+CO30*IF(Slot8_SpendLike=1,CQ30-CR30,IF(Slot8_PotFree=1,CQ30,0))+CY30*IF(Slot9_SpendLike=1,DA30-DB30,IF(Slot9_PotFree=1,DA30,0))+DI30*IF(Slot10_SpendLike=1,DK30-DL30,IF(Slot10_PotFree=1,DK30,0))+DS30*IF(Slot11_SpendLike=1,DU30-DV30,IF(Slot11_PotFree=1,DU30,0))+EC30*IF(Slot12_SpendLike=1,EE30-EF30,IF(Slot12_PotFree=1,EE30,0))+EM30*IF(Slot13_SpendLike=1,EO30-EP30,IF(Slot13_PotFree=1,EO30,0))+EW30*IF(Slot14_SpendLike=1,EY30-EZ30,IF(Slot14_PotFree=1,EY30,0))+FG30*IF(Slot15_SpendLike=1,FI30-FJ30,IF(Slot15_PotFree=1,FI30,0))+FQ30*IF(Slot16_SpendLike=1,FS30-FT30,IF(Slot16_PotFree=1,FS30,0))+GA30*IF(Slot17_SpendLike=1,GC30-GD30,IF(Slot17_PotFree=1,GC30,0))+GK30*IF(Slot18_SpendLike=1,GM30-GN30,IF(Slot18_PotFree=1,GM30,0))+GU30*IF(Slot19_SpendLike=1,GW30-GX30,IF(Slot19_PotFree=1,GW30,0))+HE30*IF(Slot20_SpendLike=1,HG30-HH30,IF(Slot20_PotFree=1,HG30,0))</f>
        <v>0</v>
      </c>
      <c r="UM30" s="20" t="n">
        <f aca="false">QG30-T30+UK30-UL30</f>
        <v>9275.87802465528</v>
      </c>
      <c r="UN30" s="20" t="n">
        <f aca="false">IF(OR(UN29=1,AND(In_homeUse="Yes, I'd downsize",In_downAge&gt;0,D30=In_downAge,OR(In_home="Own outright",In_home="Own with mortgage"),In_homeValue&gt;0)),1,0)</f>
        <v>0</v>
      </c>
    </row>
    <row r="31" customFormat="false" ht="15" hidden="false" customHeight="true" outlineLevel="0" collapsed="false">
      <c r="B31" s="20" t="n">
        <v>23</v>
      </c>
      <c r="C31" s="20" t="n">
        <f aca="false">IF(B31&lt;=F_N,1,0)</f>
        <v>1</v>
      </c>
      <c r="D31" s="20" t="n">
        <f aca="false">'Plan pay &amp; tax'!C257</f>
        <v>61</v>
      </c>
      <c r="E31" s="20" t="str">
        <f aca="false">IF($C31=1,"Income tax "&amp;TEXT(N('Plan pay &amp; tax'!BK257),"#,##0")&amp;"; USC "&amp;TEXT(N('Plan pay &amp; tax'!BM257)+N('Plan pay &amp; tax'!BO257),"#,##0")&amp;"; PRSI "&amp;TEXT(N('Plan pay &amp; tax'!BP257)+N('Plan pay &amp; tax'!BQ257),"#,##0")&amp;IF(N('Plan holdings'!BO31)&gt;=0.5,"; DIRT "&amp;TEXT(('Plan holdings'!BO31)/$F31,"#,##0")&amp;" (already taken from the interest earned)","")&amp;IF(N('Plan holdings'!BP31)&gt;=0.5,"; exit tax at an 8-year anniversary "&amp;TEXT(('Plan holdings'!BP31)/$F31,"#,##0"),"")&amp;IF(N('Plan holdings'!BN31)&gt;=0.5,"; tax on assets sold (exit tax or capital gains tax) "&amp;TEXT(('Plan holdings'!BN31)/$F31,"#,##0"),"")&amp;IF(N('Plan pay &amp; tax'!X257)-N('Plan pay &amp; tax'!Y257)&gt;=0.5,"; tax on the pension lump sum "&amp;TEXT(('Plan pay &amp; tax'!X257-'Plan pay &amp; tax'!Y257)/$F31,"#,##0"),"")&amp;IF(N('Plan pay &amp; tax'!V257)&gt;=0.5,"; chargeable excess tax on the pension "&amp;TEXT(('Plan pay &amp; tax'!V257)/$F31,"#,##0"),"")&amp;".","")</f>
        <v>Income tax 16,181; USC 2,208; PRSI 4,706; DIRT 197 (already taken from the interest earned); exit tax at an 8-year anniversary 92.</v>
      </c>
      <c r="F31" s="50" t="n">
        <f aca="false">'Plan pay &amp; tax'!E257</f>
        <v>1.5768992641914</v>
      </c>
      <c r="G31" s="20" t="n">
        <f aca="false">'Plan pay &amp; tax'!G257</f>
        <v>1</v>
      </c>
      <c r="H31" s="20" t="n">
        <f aca="false">'Plan pay &amp; tax'!BT257-'Plan pay &amp; tax'!BS257-'Plan pay &amp; tax'!R257</f>
        <v>115310.22022498</v>
      </c>
      <c r="I31" s="20" t="n">
        <f aca="false">IF(G31=1,F_CostsM*12,IF(RG_Exists=1,RG_Amount,F_CostsM*12*AS_RetireSpend))*F31+F_OneOffY*F31</f>
        <v>70960.4668886129</v>
      </c>
      <c r="J31" s="20" t="n">
        <f aca="false">IF(UN31=1,0,HR30)</f>
        <v>0</v>
      </c>
      <c r="K31" s="20" t="n">
        <f aca="false">IF(J31&gt;1,'Plan debt months'!AC31,0)</f>
        <v>0</v>
      </c>
      <c r="L31" s="20" t="n">
        <f aca="false">IF(J31&gt;1,'Plan debt months'!AB31,J31)</f>
        <v>0</v>
      </c>
      <c r="M31" s="20" t="n">
        <f aca="false">O30</f>
        <v>0</v>
      </c>
      <c r="N31" s="20" t="n">
        <f aca="false">IF(M31&gt;1,'Plan debt months'!BD31,0)</f>
        <v>0</v>
      </c>
      <c r="O31" s="20" t="n">
        <f aca="false">IF(M31&gt;1,'Plan debt months'!BC31,M31)</f>
        <v>0</v>
      </c>
      <c r="P31" s="20" t="n">
        <f aca="false">R30</f>
        <v>0</v>
      </c>
      <c r="Q31" s="20" t="n">
        <f aca="false">IF(P31&gt;1,'Plan debt months'!CE31,0)</f>
        <v>0</v>
      </c>
      <c r="R31" s="20" t="n">
        <f aca="false">IF(P31&gt;1,'Plan debt months'!CD31,P31)</f>
        <v>0</v>
      </c>
      <c r="S31" s="20" t="n">
        <f aca="false">K31+N31+Q31</f>
        <v>0</v>
      </c>
      <c r="T31" s="57" t="n">
        <f aca="false">'Plan holdings'!Y31</f>
        <v>74558.5545891771</v>
      </c>
      <c r="U31" s="57" t="n">
        <f aca="false">'Plan holdings'!BM30</f>
        <v>76091.4663982048</v>
      </c>
      <c r="V31" s="20" t="n">
        <f aca="false">IF(AND(Slot1_On=1,D31=Slot1_Age),1,0)</f>
        <v>0</v>
      </c>
      <c r="W31" s="20" t="n">
        <f aca="false">IF(AND(Slot1_On=1,Slot1_Age&gt;D31),1,0)</f>
        <v>0</v>
      </c>
      <c r="X31" s="20" t="n">
        <f aca="false">QM30</f>
        <v>0</v>
      </c>
      <c r="Y31" s="20" t="n">
        <f aca="false">V31*MIN(Slot1_Cost,X31)</f>
        <v>0</v>
      </c>
      <c r="Z31" s="20" t="n">
        <f aca="false">V31*Slot1_SpendLike*MIN(Slot1_Cost-Y31,T31)</f>
        <v>0</v>
      </c>
      <c r="AA31" s="20" t="n">
        <f aca="false">Y31+Z31</f>
        <v>0</v>
      </c>
      <c r="AB31" s="20" t="n">
        <f aca="false">T31-Z31+V31*IF(Slot1_SpendLike=1,X31-Y31,IF(Slot1_PotFree=1,X31,0))</f>
        <v>74558.5545891771</v>
      </c>
      <c r="AC31" s="20" t="n">
        <f aca="false">AF31+V31*Slot1_BufPot*X31</f>
        <v>14022.6996127293</v>
      </c>
      <c r="AD31" s="20" t="n">
        <f aca="false">IF(AND(V31=1,Slot1_IsMfree=1),IF(AA31&gt;=Slot1_Cost-1,0,MAX(0,L31-AA31)),L31)</f>
        <v>0</v>
      </c>
      <c r="AE31" s="20" t="n">
        <f aca="false">V31*(Slot1_Cost-AA31)</f>
        <v>0</v>
      </c>
      <c r="AF31" s="20" t="n">
        <f aca="false">QL30</f>
        <v>14022.6996127293</v>
      </c>
      <c r="AG31" s="20" t="n">
        <f aca="false">IF(AND(Slot2_On=1,D31=Slot2_Age),1,0)</f>
        <v>0</v>
      </c>
      <c r="AH31" s="20" t="n">
        <f aca="false">IF(AND(Slot2_On=1,Slot2_Age&gt;D31),1,0)</f>
        <v>0</v>
      </c>
      <c r="AI31" s="20" t="n">
        <f aca="false">QQ30</f>
        <v>0</v>
      </c>
      <c r="AJ31" s="20" t="n">
        <f aca="false">AG31*MIN(Slot2_Cost,AI31)</f>
        <v>0</v>
      </c>
      <c r="AK31" s="20" t="n">
        <f aca="false">AG31*Slot2_SpendLike*MIN(Slot2_Cost-AJ31,AB31)</f>
        <v>0</v>
      </c>
      <c r="AL31" s="20" t="n">
        <f aca="false">AJ31+AK31</f>
        <v>0</v>
      </c>
      <c r="AM31" s="20" t="n">
        <f aca="false">AB31-AK31+AG31*IF(Slot2_SpendLike=1,AI31-AJ31,IF(Slot2_PotFree=1,AI31,0))</f>
        <v>74558.5545891771</v>
      </c>
      <c r="AN31" s="20" t="n">
        <f aca="false">AC31+AG31*Slot2_BufPot*AI31</f>
        <v>14022.6996127293</v>
      </c>
      <c r="AO31" s="20" t="n">
        <f aca="false">IF(AND(AG31=1,Slot2_IsMfree=1),IF(AL31&gt;=Slot2_Cost-1,0,MAX(0,AD31-AL31)),AD31)</f>
        <v>0</v>
      </c>
      <c r="AP31" s="20" t="n">
        <f aca="false">AG31*(Slot2_Cost-AL31)</f>
        <v>0</v>
      </c>
      <c r="AQ31" s="20" t="n">
        <f aca="false">IF(AND(Slot3_On=1,D31=Slot3_Age),1,0)</f>
        <v>0</v>
      </c>
      <c r="AR31" s="20" t="n">
        <f aca="false">IF(AND(Slot3_On=1,Slot3_Age&gt;D31),1,0)</f>
        <v>0</v>
      </c>
      <c r="AS31" s="20" t="n">
        <f aca="false">QU30</f>
        <v>0</v>
      </c>
      <c r="AT31" s="20" t="n">
        <f aca="false">AQ31*MIN(Slot3_Cost,AS31)</f>
        <v>0</v>
      </c>
      <c r="AU31" s="20" t="n">
        <f aca="false">AQ31*Slot3_SpendLike*MIN(Slot3_Cost-AT31,AM31)</f>
        <v>0</v>
      </c>
      <c r="AV31" s="20" t="n">
        <f aca="false">AT31+AU31</f>
        <v>0</v>
      </c>
      <c r="AW31" s="20" t="n">
        <f aca="false">AM31-AU31+AQ31*IF(Slot3_SpendLike=1,AS31-AT31,IF(Slot3_PotFree=1,AS31,0))</f>
        <v>74558.5545891771</v>
      </c>
      <c r="AX31" s="20" t="n">
        <f aca="false">AN31+AQ31*Slot3_BufPot*AS31</f>
        <v>14022.6996127293</v>
      </c>
      <c r="AY31" s="20" t="n">
        <f aca="false">IF(AND(AQ31=1,Slot3_IsMfree=1),IF(AV31&gt;=Slot3_Cost-1,0,MAX(0,AO31-AV31)),AO31)</f>
        <v>0</v>
      </c>
      <c r="AZ31" s="20" t="n">
        <f aca="false">AQ31*(Slot3_Cost-AV31)</f>
        <v>0</v>
      </c>
      <c r="BA31" s="20" t="n">
        <f aca="false">IF(AND(Slot4_On=1,D31=Slot4_Age),1,0)</f>
        <v>0</v>
      </c>
      <c r="BB31" s="20" t="n">
        <f aca="false">IF(AND(Slot4_On=1,Slot4_Age&gt;D31),1,0)</f>
        <v>0</v>
      </c>
      <c r="BC31" s="20" t="n">
        <f aca="false">QY30</f>
        <v>0</v>
      </c>
      <c r="BD31" s="20" t="n">
        <f aca="false">BA31*MIN(Slot4_Cost,BC31)</f>
        <v>0</v>
      </c>
      <c r="BE31" s="20" t="n">
        <f aca="false">BA31*Slot4_SpendLike*MIN(Slot4_Cost-BD31,AW31)</f>
        <v>0</v>
      </c>
      <c r="BF31" s="20" t="n">
        <f aca="false">BD31+BE31</f>
        <v>0</v>
      </c>
      <c r="BG31" s="20" t="n">
        <f aca="false">AW31-BE31+BA31*IF(Slot4_SpendLike=1,BC31-BD31,IF(Slot4_PotFree=1,BC31,0))</f>
        <v>74558.5545891771</v>
      </c>
      <c r="BH31" s="20" t="n">
        <f aca="false">AX31+BA31*Slot4_BufPot*BC31</f>
        <v>14022.6996127293</v>
      </c>
      <c r="BI31" s="20" t="n">
        <f aca="false">IF(AND(BA31=1,Slot4_IsMfree=1),IF(BF31&gt;=Slot4_Cost-1,0,MAX(0,AY31-BF31)),AY31)</f>
        <v>0</v>
      </c>
      <c r="BJ31" s="20" t="n">
        <f aca="false">BA31*(Slot4_Cost-BF31)</f>
        <v>0</v>
      </c>
      <c r="BK31" s="20" t="n">
        <f aca="false">IF(AND(Slot5_On=1,D31=Slot5_Age),1,0)</f>
        <v>0</v>
      </c>
      <c r="BL31" s="20" t="n">
        <f aca="false">IF(AND(Slot5_On=1,Slot5_Age&gt;D31),1,0)</f>
        <v>0</v>
      </c>
      <c r="BM31" s="20" t="n">
        <f aca="false">RC30</f>
        <v>0</v>
      </c>
      <c r="BN31" s="20" t="n">
        <f aca="false">BK31*MIN(Slot5_Cost,BM31)</f>
        <v>0</v>
      </c>
      <c r="BO31" s="20" t="n">
        <f aca="false">BK31*Slot5_SpendLike*MIN(Slot5_Cost-BN31,BG31)</f>
        <v>0</v>
      </c>
      <c r="BP31" s="20" t="n">
        <f aca="false">BN31+BO31</f>
        <v>0</v>
      </c>
      <c r="BQ31" s="20" t="n">
        <f aca="false">BG31-BO31+BK31*IF(Slot5_SpendLike=1,BM31-BN31,IF(Slot5_PotFree=1,BM31,0))</f>
        <v>74558.5545891771</v>
      </c>
      <c r="BR31" s="20" t="n">
        <f aca="false">BH31+BK31*Slot5_BufPot*BM31</f>
        <v>14022.6996127293</v>
      </c>
      <c r="BS31" s="20" t="n">
        <f aca="false">IF(AND(BK31=1,Slot5_IsMfree=1),IF(BP31&gt;=Slot5_Cost-1,0,MAX(0,BI31-BP31)),BI31)</f>
        <v>0</v>
      </c>
      <c r="BT31" s="20" t="n">
        <f aca="false">BK31*(Slot5_Cost-BP31)</f>
        <v>0</v>
      </c>
      <c r="BU31" s="20" t="n">
        <f aca="false">IF(AND(Slot6_On=1,D31=Slot6_Age),1,0)</f>
        <v>0</v>
      </c>
      <c r="BV31" s="20" t="n">
        <f aca="false">IF(AND(Slot6_On=1,Slot6_Age&gt;D31),1,0)</f>
        <v>0</v>
      </c>
      <c r="BW31" s="20" t="n">
        <f aca="false">RG30</f>
        <v>0</v>
      </c>
      <c r="BX31" s="20" t="n">
        <f aca="false">BU31*MIN(Slot6_Cost,BW31)</f>
        <v>0</v>
      </c>
      <c r="BY31" s="20" t="n">
        <f aca="false">BU31*Slot6_SpendLike*MIN(Slot6_Cost-BX31,BQ31)</f>
        <v>0</v>
      </c>
      <c r="BZ31" s="20" t="n">
        <f aca="false">BX31+BY31</f>
        <v>0</v>
      </c>
      <c r="CA31" s="20" t="n">
        <f aca="false">BQ31-BY31+BU31*IF(Slot6_SpendLike=1,BW31-BX31,IF(Slot6_PotFree=1,BW31,0))</f>
        <v>74558.5545891771</v>
      </c>
      <c r="CB31" s="20" t="n">
        <f aca="false">BR31+BU31*Slot6_BufPot*BW31</f>
        <v>14022.6996127293</v>
      </c>
      <c r="CC31" s="20" t="n">
        <f aca="false">IF(AND(BU31=1,Slot6_IsMfree=1),IF(BZ31&gt;=Slot6_Cost-1,0,MAX(0,BS31-BZ31)),BS31)</f>
        <v>0</v>
      </c>
      <c r="CD31" s="20" t="n">
        <f aca="false">BU31*(Slot6_Cost-BZ31)</f>
        <v>0</v>
      </c>
      <c r="CE31" s="20" t="n">
        <f aca="false">IF(AND(Slot7_On=1,D31=Slot7_Age),1,0)</f>
        <v>0</v>
      </c>
      <c r="CF31" s="20" t="n">
        <f aca="false">IF(AND(Slot7_On=1,Slot7_Age&gt;D31),1,0)</f>
        <v>0</v>
      </c>
      <c r="CG31" s="20" t="n">
        <f aca="false">RK30</f>
        <v>0</v>
      </c>
      <c r="CH31" s="20" t="n">
        <f aca="false">CE31*MIN(Slot7_Cost,CG31)</f>
        <v>0</v>
      </c>
      <c r="CI31" s="20" t="n">
        <f aca="false">CE31*Slot7_SpendLike*MIN(Slot7_Cost-CH31,CA31)</f>
        <v>0</v>
      </c>
      <c r="CJ31" s="20" t="n">
        <f aca="false">CH31+CI31</f>
        <v>0</v>
      </c>
      <c r="CK31" s="20" t="n">
        <f aca="false">CA31-CI31+CE31*IF(Slot7_SpendLike=1,CG31-CH31,IF(Slot7_PotFree=1,CG31,0))</f>
        <v>74558.5545891771</v>
      </c>
      <c r="CL31" s="20" t="n">
        <f aca="false">CB31+CE31*Slot7_BufPot*CG31</f>
        <v>14022.6996127293</v>
      </c>
      <c r="CM31" s="20" t="n">
        <f aca="false">IF(AND(CE31=1,Slot7_IsMfree=1),IF(CJ31&gt;=Slot7_Cost-1,0,MAX(0,CC31-CJ31)),CC31)</f>
        <v>0</v>
      </c>
      <c r="CN31" s="20" t="n">
        <f aca="false">CE31*(Slot7_Cost-CJ31)</f>
        <v>0</v>
      </c>
      <c r="CO31" s="20" t="n">
        <f aca="false">IF(AND(Slot8_On=1,D31=Slot8_Age),1,0)</f>
        <v>0</v>
      </c>
      <c r="CP31" s="20" t="n">
        <f aca="false">IF(AND(Slot8_On=1,Slot8_Age&gt;D31),1,0)</f>
        <v>0</v>
      </c>
      <c r="CQ31" s="20" t="n">
        <f aca="false">RO30</f>
        <v>0</v>
      </c>
      <c r="CR31" s="20" t="n">
        <f aca="false">CO31*MIN(Slot8_Cost,CQ31)</f>
        <v>0</v>
      </c>
      <c r="CS31" s="20" t="n">
        <f aca="false">CO31*Slot8_SpendLike*MIN(Slot8_Cost-CR31,CK31)</f>
        <v>0</v>
      </c>
      <c r="CT31" s="20" t="n">
        <f aca="false">CR31+CS31</f>
        <v>0</v>
      </c>
      <c r="CU31" s="20" t="n">
        <f aca="false">CK31-CS31+CO31*IF(Slot8_SpendLike=1,CQ31-CR31,IF(Slot8_PotFree=1,CQ31,0))</f>
        <v>74558.5545891771</v>
      </c>
      <c r="CV31" s="20" t="n">
        <f aca="false">CL31+CO31*Slot8_BufPot*CQ31</f>
        <v>14022.6996127293</v>
      </c>
      <c r="CW31" s="20" t="n">
        <f aca="false">IF(AND(CO31=1,Slot8_IsMfree=1),IF(CT31&gt;=Slot8_Cost-1,0,MAX(0,CM31-CT31)),CM31)</f>
        <v>0</v>
      </c>
      <c r="CX31" s="20" t="n">
        <f aca="false">CO31*(Slot8_Cost-CT31)</f>
        <v>0</v>
      </c>
      <c r="CY31" s="20" t="n">
        <f aca="false">IF(AND(Slot9_On=1,D31=Slot9_Age),1,0)</f>
        <v>0</v>
      </c>
      <c r="CZ31" s="20" t="n">
        <f aca="false">IF(AND(Slot9_On=1,Slot9_Age&gt;D31),1,0)</f>
        <v>0</v>
      </c>
      <c r="DA31" s="20" t="n">
        <f aca="false">RS30</f>
        <v>0</v>
      </c>
      <c r="DB31" s="20" t="n">
        <f aca="false">CY31*MIN(Slot9_Cost,DA31)</f>
        <v>0</v>
      </c>
      <c r="DC31" s="20" t="n">
        <f aca="false">CY31*Slot9_SpendLike*MIN(Slot9_Cost-DB31,CU31)</f>
        <v>0</v>
      </c>
      <c r="DD31" s="20" t="n">
        <f aca="false">DB31+DC31</f>
        <v>0</v>
      </c>
      <c r="DE31" s="20" t="n">
        <f aca="false">CU31-DC31+CY31*IF(Slot9_SpendLike=1,DA31-DB31,IF(Slot9_PotFree=1,DA31,0))</f>
        <v>74558.5545891771</v>
      </c>
      <c r="DF31" s="20" t="n">
        <f aca="false">CV31+CY31*Slot9_BufPot*DA31</f>
        <v>14022.6996127293</v>
      </c>
      <c r="DG31" s="20" t="n">
        <f aca="false">IF(AND(CY31=1,Slot9_IsMfree=1),IF(DD31&gt;=Slot9_Cost-1,0,MAX(0,CW31-DD31)),CW31)</f>
        <v>0</v>
      </c>
      <c r="DH31" s="20" t="n">
        <f aca="false">CY31*(Slot9_Cost-DD31)</f>
        <v>0</v>
      </c>
      <c r="DI31" s="20" t="n">
        <f aca="false">IF(AND(Slot10_On=1,D31=Slot10_Age),1,0)</f>
        <v>0</v>
      </c>
      <c r="DJ31" s="20" t="n">
        <f aca="false">IF(AND(Slot10_On=1,Slot10_Age&gt;D31),1,0)</f>
        <v>0</v>
      </c>
      <c r="DK31" s="20" t="n">
        <f aca="false">RW30</f>
        <v>0</v>
      </c>
      <c r="DL31" s="20" t="n">
        <f aca="false">DI31*MIN(Slot10_Cost,DK31)</f>
        <v>0</v>
      </c>
      <c r="DM31" s="20" t="n">
        <f aca="false">DI31*Slot10_SpendLike*MIN(Slot10_Cost-DL31,DE31)</f>
        <v>0</v>
      </c>
      <c r="DN31" s="20" t="n">
        <f aca="false">DL31+DM31</f>
        <v>0</v>
      </c>
      <c r="DO31" s="20" t="n">
        <f aca="false">DE31-DM31+DI31*IF(Slot10_SpendLike=1,DK31-DL31,IF(Slot10_PotFree=1,DK31,0))</f>
        <v>74558.5545891771</v>
      </c>
      <c r="DP31" s="20" t="n">
        <f aca="false">DF31+DI31*Slot10_BufPot*DK31</f>
        <v>14022.6996127293</v>
      </c>
      <c r="DQ31" s="20" t="n">
        <f aca="false">IF(AND(DI31=1,Slot10_IsMfree=1),IF(DN31&gt;=Slot10_Cost-1,0,MAX(0,DG31-DN31)),DG31)</f>
        <v>0</v>
      </c>
      <c r="DR31" s="20" t="n">
        <f aca="false">DI31*(Slot10_Cost-DN31)</f>
        <v>0</v>
      </c>
      <c r="DS31" s="20" t="n">
        <f aca="false">IF(AND(Slot11_On=1,D31=Slot11_Age),1,0)</f>
        <v>0</v>
      </c>
      <c r="DT31" s="20" t="n">
        <f aca="false">IF(AND(Slot11_On=1,Slot11_Age&gt;D31),1,0)</f>
        <v>0</v>
      </c>
      <c r="DU31" s="20" t="n">
        <f aca="false">SA30</f>
        <v>0</v>
      </c>
      <c r="DV31" s="20" t="n">
        <f aca="false">DS31*MIN(Slot11_Cost,DU31)</f>
        <v>0</v>
      </c>
      <c r="DW31" s="20" t="n">
        <f aca="false">DS31*Slot11_SpendLike*MIN(Slot11_Cost-DV31,DO31)</f>
        <v>0</v>
      </c>
      <c r="DX31" s="20" t="n">
        <f aca="false">DV31+DW31</f>
        <v>0</v>
      </c>
      <c r="DY31" s="20" t="n">
        <f aca="false">DO31-DW31+DS31*IF(Slot11_SpendLike=1,DU31-DV31,IF(Slot11_PotFree=1,DU31,0))</f>
        <v>74558.5545891771</v>
      </c>
      <c r="DZ31" s="20" t="n">
        <f aca="false">DP31+DS31*Slot11_BufPot*DU31</f>
        <v>14022.6996127293</v>
      </c>
      <c r="EA31" s="20" t="n">
        <f aca="false">IF(AND(DS31=1,Slot11_IsMfree=1),IF(DX31&gt;=Slot11_Cost-1,0,MAX(0,DQ31-DX31)),DQ31)</f>
        <v>0</v>
      </c>
      <c r="EB31" s="20" t="n">
        <f aca="false">DS31*(Slot11_Cost-DX31)</f>
        <v>0</v>
      </c>
      <c r="EC31" s="20" t="n">
        <f aca="false">IF(AND(Slot12_On=1,D31=Slot12_Age),1,0)</f>
        <v>0</v>
      </c>
      <c r="ED31" s="20" t="n">
        <f aca="false">IF(AND(Slot12_On=1,Slot12_Age&gt;D31),1,0)</f>
        <v>0</v>
      </c>
      <c r="EE31" s="20" t="n">
        <f aca="false">SE30</f>
        <v>0</v>
      </c>
      <c r="EF31" s="20" t="n">
        <f aca="false">EC31*MIN(Slot12_Cost,EE31)</f>
        <v>0</v>
      </c>
      <c r="EG31" s="20" t="n">
        <f aca="false">EC31*Slot12_SpendLike*MIN(Slot12_Cost-EF31,DY31)</f>
        <v>0</v>
      </c>
      <c r="EH31" s="20" t="n">
        <f aca="false">EF31+EG31</f>
        <v>0</v>
      </c>
      <c r="EI31" s="20" t="n">
        <f aca="false">DY31-EG31+EC31*IF(Slot12_SpendLike=1,EE31-EF31,IF(Slot12_PotFree=1,EE31,0))</f>
        <v>74558.5545891771</v>
      </c>
      <c r="EJ31" s="20" t="n">
        <f aca="false">DZ31+EC31*Slot12_BufPot*EE31</f>
        <v>14022.6996127293</v>
      </c>
      <c r="EK31" s="20" t="n">
        <f aca="false">IF(AND(EC31=1,Slot12_IsMfree=1),IF(EH31&gt;=Slot12_Cost-1,0,MAX(0,EA31-EH31)),EA31)</f>
        <v>0</v>
      </c>
      <c r="EL31" s="20" t="n">
        <f aca="false">EC31*(Slot12_Cost-EH31)</f>
        <v>0</v>
      </c>
      <c r="EM31" s="20" t="n">
        <f aca="false">IF(AND(Slot13_On=1,D31=Slot13_Age),1,0)</f>
        <v>0</v>
      </c>
      <c r="EN31" s="20" t="n">
        <f aca="false">IF(AND(Slot13_On=1,Slot13_Age&gt;D31),1,0)</f>
        <v>0</v>
      </c>
      <c r="EO31" s="20" t="n">
        <f aca="false">SI30</f>
        <v>0</v>
      </c>
      <c r="EP31" s="20" t="n">
        <f aca="false">EM31*MIN(Slot13_Cost,EO31)</f>
        <v>0</v>
      </c>
      <c r="EQ31" s="20" t="n">
        <f aca="false">EM31*Slot13_SpendLike*MIN(Slot13_Cost-EP31,EI31)</f>
        <v>0</v>
      </c>
      <c r="ER31" s="20" t="n">
        <f aca="false">EP31+EQ31</f>
        <v>0</v>
      </c>
      <c r="ES31" s="20" t="n">
        <f aca="false">EI31-EQ31+EM31*IF(Slot13_SpendLike=1,EO31-EP31,IF(Slot13_PotFree=1,EO31,0))</f>
        <v>74558.5545891771</v>
      </c>
      <c r="ET31" s="20" t="n">
        <f aca="false">EJ31+EM31*Slot13_BufPot*EO31</f>
        <v>14022.6996127293</v>
      </c>
      <c r="EU31" s="20" t="n">
        <f aca="false">IF(AND(EM31=1,Slot13_IsMfree=1),IF(ER31&gt;=Slot13_Cost-1,0,MAX(0,EK31-ER31)),EK31)</f>
        <v>0</v>
      </c>
      <c r="EV31" s="20" t="n">
        <f aca="false">EM31*(Slot13_Cost-ER31)</f>
        <v>0</v>
      </c>
      <c r="EW31" s="20" t="n">
        <f aca="false">IF(AND(Slot14_On=1,D31=Slot14_Age),1,0)</f>
        <v>0</v>
      </c>
      <c r="EX31" s="20" t="n">
        <f aca="false">IF(AND(Slot14_On=1,Slot14_Age&gt;D31),1,0)</f>
        <v>0</v>
      </c>
      <c r="EY31" s="20" t="n">
        <f aca="false">SM30</f>
        <v>0</v>
      </c>
      <c r="EZ31" s="20" t="n">
        <f aca="false">EW31*MIN(Slot14_Cost,EY31)</f>
        <v>0</v>
      </c>
      <c r="FA31" s="20" t="n">
        <f aca="false">EW31*Slot14_SpendLike*MIN(Slot14_Cost-EZ31,ES31)</f>
        <v>0</v>
      </c>
      <c r="FB31" s="20" t="n">
        <f aca="false">EZ31+FA31</f>
        <v>0</v>
      </c>
      <c r="FC31" s="20" t="n">
        <f aca="false">ES31-FA31+EW31*IF(Slot14_SpendLike=1,EY31-EZ31,IF(Slot14_PotFree=1,EY31,0))</f>
        <v>74558.5545891771</v>
      </c>
      <c r="FD31" s="20" t="n">
        <f aca="false">ET31+EW31*Slot14_BufPot*EY31</f>
        <v>14022.6996127293</v>
      </c>
      <c r="FE31" s="20" t="n">
        <f aca="false">IF(AND(EW31=1,Slot14_IsMfree=1),IF(FB31&gt;=Slot14_Cost-1,0,MAX(0,EU31-FB31)),EU31)</f>
        <v>0</v>
      </c>
      <c r="FF31" s="20" t="n">
        <f aca="false">EW31*(Slot14_Cost-FB31)</f>
        <v>0</v>
      </c>
      <c r="FG31" s="20" t="n">
        <f aca="false">IF(AND(Slot15_On=1,D31=Slot15_Age),1,0)</f>
        <v>0</v>
      </c>
      <c r="FH31" s="20" t="n">
        <f aca="false">IF(AND(Slot15_On=1,Slot15_Age&gt;D31),1,0)</f>
        <v>0</v>
      </c>
      <c r="FI31" s="20" t="n">
        <f aca="false">SQ30</f>
        <v>0</v>
      </c>
      <c r="FJ31" s="20" t="n">
        <f aca="false">FG31*MIN(Slot15_Cost,FI31)</f>
        <v>0</v>
      </c>
      <c r="FK31" s="20" t="n">
        <f aca="false">FG31*Slot15_SpendLike*MIN(Slot15_Cost-FJ31,FC31)</f>
        <v>0</v>
      </c>
      <c r="FL31" s="20" t="n">
        <f aca="false">FJ31+FK31</f>
        <v>0</v>
      </c>
      <c r="FM31" s="20" t="n">
        <f aca="false">FC31-FK31+FG31*IF(Slot15_SpendLike=1,FI31-FJ31,IF(Slot15_PotFree=1,FI31,0))</f>
        <v>74558.5545891771</v>
      </c>
      <c r="FN31" s="20" t="n">
        <f aca="false">FD31+FG31*Slot15_BufPot*FI31</f>
        <v>14022.6996127293</v>
      </c>
      <c r="FO31" s="20" t="n">
        <f aca="false">IF(AND(FG31=1,Slot15_IsMfree=1),IF(FL31&gt;=Slot15_Cost-1,0,MAX(0,FE31-FL31)),FE31)</f>
        <v>0</v>
      </c>
      <c r="FP31" s="20" t="n">
        <f aca="false">FG31*(Slot15_Cost-FL31)</f>
        <v>0</v>
      </c>
      <c r="FQ31" s="20" t="n">
        <f aca="false">IF(AND(Slot16_On=1,D31=Slot16_Age),1,0)</f>
        <v>0</v>
      </c>
      <c r="FR31" s="20" t="n">
        <f aca="false">IF(AND(Slot16_On=1,Slot16_Age&gt;D31),1,0)</f>
        <v>0</v>
      </c>
      <c r="FS31" s="20" t="n">
        <f aca="false">SU30</f>
        <v>0</v>
      </c>
      <c r="FT31" s="20" t="n">
        <f aca="false">FQ31*MIN(Slot16_Cost,FS31)</f>
        <v>0</v>
      </c>
      <c r="FU31" s="20" t="n">
        <f aca="false">FQ31*Slot16_SpendLike*MIN(Slot16_Cost-FT31,FM31)</f>
        <v>0</v>
      </c>
      <c r="FV31" s="20" t="n">
        <f aca="false">FT31+FU31</f>
        <v>0</v>
      </c>
      <c r="FW31" s="20" t="n">
        <f aca="false">FM31-FU31+FQ31*IF(Slot16_SpendLike=1,FS31-FT31,IF(Slot16_PotFree=1,FS31,0))</f>
        <v>74558.5545891771</v>
      </c>
      <c r="FX31" s="20" t="n">
        <f aca="false">FN31+FQ31*Slot16_BufPot*FS31</f>
        <v>14022.6996127293</v>
      </c>
      <c r="FY31" s="20" t="n">
        <f aca="false">IF(AND(FQ31=1,Slot16_IsMfree=1),IF(FV31&gt;=Slot16_Cost-1,0,MAX(0,FO31-FV31)),FO31)</f>
        <v>0</v>
      </c>
      <c r="FZ31" s="20" t="n">
        <f aca="false">FQ31*(Slot16_Cost-FV31)</f>
        <v>0</v>
      </c>
      <c r="GA31" s="20" t="n">
        <f aca="false">IF(AND(Slot17_On=1,D31=Slot17_Age),1,0)</f>
        <v>0</v>
      </c>
      <c r="GB31" s="20" t="n">
        <f aca="false">IF(AND(Slot17_On=1,Slot17_Age&gt;D31),1,0)</f>
        <v>0</v>
      </c>
      <c r="GC31" s="20" t="n">
        <f aca="false">SY30</f>
        <v>0</v>
      </c>
      <c r="GD31" s="20" t="n">
        <f aca="false">GA31*MIN(Slot17_Cost,GC31)</f>
        <v>0</v>
      </c>
      <c r="GE31" s="20" t="n">
        <f aca="false">GA31*Slot17_SpendLike*MIN(Slot17_Cost-GD31,FW31)</f>
        <v>0</v>
      </c>
      <c r="GF31" s="20" t="n">
        <f aca="false">GD31+GE31</f>
        <v>0</v>
      </c>
      <c r="GG31" s="20" t="n">
        <f aca="false">FW31-GE31+GA31*IF(Slot17_SpendLike=1,GC31-GD31,IF(Slot17_PotFree=1,GC31,0))</f>
        <v>74558.5545891771</v>
      </c>
      <c r="GH31" s="20" t="n">
        <f aca="false">FX31+GA31*Slot17_BufPot*GC31</f>
        <v>14022.6996127293</v>
      </c>
      <c r="GI31" s="20" t="n">
        <f aca="false">IF(AND(GA31=1,Slot17_IsMfree=1),IF(GF31&gt;=Slot17_Cost-1,0,MAX(0,FY31-GF31)),FY31)</f>
        <v>0</v>
      </c>
      <c r="GJ31" s="20" t="n">
        <f aca="false">GA31*(Slot17_Cost-GF31)</f>
        <v>0</v>
      </c>
      <c r="GK31" s="20" t="n">
        <f aca="false">IF(AND(Slot18_On=1,D31=Slot18_Age),1,0)</f>
        <v>0</v>
      </c>
      <c r="GL31" s="20" t="n">
        <f aca="false">IF(AND(Slot18_On=1,Slot18_Age&gt;D31),1,0)</f>
        <v>0</v>
      </c>
      <c r="GM31" s="20" t="n">
        <f aca="false">TC30</f>
        <v>0</v>
      </c>
      <c r="GN31" s="20" t="n">
        <f aca="false">GK31*MIN(Slot18_Cost,GM31)</f>
        <v>0</v>
      </c>
      <c r="GO31" s="20" t="n">
        <f aca="false">GK31*Slot18_SpendLike*MIN(Slot18_Cost-GN31,GG31)</f>
        <v>0</v>
      </c>
      <c r="GP31" s="20" t="n">
        <f aca="false">GN31+GO31</f>
        <v>0</v>
      </c>
      <c r="GQ31" s="20" t="n">
        <f aca="false">GG31-GO31+GK31*IF(Slot18_SpendLike=1,GM31-GN31,IF(Slot18_PotFree=1,GM31,0))</f>
        <v>74558.5545891771</v>
      </c>
      <c r="GR31" s="20" t="n">
        <f aca="false">GH31+GK31*Slot18_BufPot*GM31</f>
        <v>14022.6996127293</v>
      </c>
      <c r="GS31" s="20" t="n">
        <f aca="false">IF(AND(GK31=1,Slot18_IsMfree=1),IF(GP31&gt;=Slot18_Cost-1,0,MAX(0,GI31-GP31)),GI31)</f>
        <v>0</v>
      </c>
      <c r="GT31" s="20" t="n">
        <f aca="false">GK31*(Slot18_Cost-GP31)</f>
        <v>0</v>
      </c>
      <c r="GU31" s="20" t="n">
        <f aca="false">IF(AND(Slot19_On=1,D31=Slot19_Age),1,0)</f>
        <v>0</v>
      </c>
      <c r="GV31" s="20" t="n">
        <f aca="false">IF(AND(Slot19_On=1,Slot19_Age&gt;D31),1,0)</f>
        <v>0</v>
      </c>
      <c r="GW31" s="20" t="n">
        <f aca="false">TG30</f>
        <v>0</v>
      </c>
      <c r="GX31" s="20" t="n">
        <f aca="false">GU31*MIN(Slot19_Cost,GW31)</f>
        <v>0</v>
      </c>
      <c r="GY31" s="20" t="n">
        <f aca="false">GU31*Slot19_SpendLike*MIN(Slot19_Cost-GX31,GQ31)</f>
        <v>0</v>
      </c>
      <c r="GZ31" s="20" t="n">
        <f aca="false">GX31+GY31</f>
        <v>0</v>
      </c>
      <c r="HA31" s="20" t="n">
        <f aca="false">GQ31-GY31+GU31*IF(Slot19_SpendLike=1,GW31-GX31,IF(Slot19_PotFree=1,GW31,0))</f>
        <v>74558.5545891771</v>
      </c>
      <c r="HB31" s="20" t="n">
        <f aca="false">GR31+GU31*Slot19_BufPot*GW31</f>
        <v>14022.6996127293</v>
      </c>
      <c r="HC31" s="20" t="n">
        <f aca="false">IF(AND(GU31=1,Slot19_IsMfree=1),IF(GZ31&gt;=Slot19_Cost-1,0,MAX(0,GS31-GZ31)),GS31)</f>
        <v>0</v>
      </c>
      <c r="HD31" s="20" t="n">
        <f aca="false">GU31*(Slot19_Cost-GZ31)</f>
        <v>0</v>
      </c>
      <c r="HE31" s="20" t="n">
        <f aca="false">IF(AND(Slot20_On=1,D31=Slot20_Age),1,0)</f>
        <v>0</v>
      </c>
      <c r="HF31" s="20" t="n">
        <f aca="false">IF(AND(Slot20_On=1,Slot20_Age&gt;D31),1,0)</f>
        <v>0</v>
      </c>
      <c r="HG31" s="20" t="n">
        <f aca="false">TK30</f>
        <v>0</v>
      </c>
      <c r="HH31" s="20" t="n">
        <f aca="false">HE31*MIN(Slot20_Cost,HG31)</f>
        <v>0</v>
      </c>
      <c r="HI31" s="20" t="n">
        <f aca="false">HE31*Slot20_SpendLike*MIN(Slot20_Cost-HH31,HA31)</f>
        <v>0</v>
      </c>
      <c r="HJ31" s="20" t="n">
        <f aca="false">HH31+HI31</f>
        <v>0</v>
      </c>
      <c r="HK31" s="20" t="n">
        <f aca="false">HA31-HI31+HE31*IF(Slot20_SpendLike=1,HG31-HH31,IF(Slot20_PotFree=1,HG31,0))</f>
        <v>74558.5545891771</v>
      </c>
      <c r="HL31" s="20" t="n">
        <f aca="false">HB31+HE31*Slot20_BufPot*HG31</f>
        <v>14022.6996127293</v>
      </c>
      <c r="HM31" s="20" t="n">
        <f aca="false">IF(AND(HE31=1,Slot20_IsMfree=1),IF(HJ31&gt;=Slot20_Cost-1,0,MAX(0,HC31-HJ31)),HC31)</f>
        <v>0</v>
      </c>
      <c r="HN31" s="20" t="n">
        <f aca="false">HE31*(Slot20_Cost-HJ31)</f>
        <v>0</v>
      </c>
      <c r="HO31" s="20" t="n">
        <f aca="false">V31*Slot1_SpendLike*AA31+AG31*Slot2_SpendLike*AL31+AQ31*Slot3_SpendLike*AV31+BA31*Slot4_SpendLike*BF31+BK31*Slot5_SpendLike*BP31+BU31*Slot6_SpendLike*BZ31+CE31*Slot7_SpendLike*CJ31+CO31*Slot8_SpendLike*CT31+CY31*Slot9_SpendLike*DD31+DI31*Slot10_SpendLike*DN31+DS31*Slot11_SpendLike*DX31+EC31*Slot12_SpendLike*EH31+EM31*Slot13_SpendLike*ER31+EW31*Slot14_SpendLike*FB31+FG31*Slot15_SpendLike*FL31+FQ31*Slot16_SpendLike*FV31+GA31*Slot17_SpendLike*GF31+GK31*Slot18_SpendLike*GP31+GU31*Slot19_SpendLike*GZ31+HE31*Slot20_SpendLike*HJ31</f>
        <v>0</v>
      </c>
      <c r="HP31" s="20" t="n">
        <f aca="false">AE31+AP31+AZ31+BJ31+BT31+CD31+CN31+CX31+DH31+DR31+EB31+EL31+EV31+FF31+FP31+FZ31+GJ31+GT31+HD31+HN31</f>
        <v>0</v>
      </c>
      <c r="HQ31" s="20" t="n">
        <f aca="false">V31*Slot1_Cost+AG31*Slot2_Cost+AQ31*Slot3_Cost+BA31*Slot4_Cost+BK31*Slot5_Cost+BU31*Slot6_Cost+CE31*Slot7_Cost+CO31*Slot8_Cost+CY31*Slot9_Cost+DI31*Slot10_Cost+DS31*Slot11_Cost+EC31*Slot12_Cost+EM31*Slot13_Cost+EW31*Slot14_Cost+FG31*Slot15_Cost+FQ31*Slot16_Cost+GA31*Slot17_Cost+GK31*Slot18_Cost+GU31*Slot19_Cost+HE31*Slot20_Cost</f>
        <v>0</v>
      </c>
      <c r="HR31" s="20" t="n">
        <f aca="false">HM31</f>
        <v>0</v>
      </c>
      <c r="HS31" s="20" t="n">
        <f aca="false">H31-I31-S31</f>
        <v>44349.7533363666</v>
      </c>
      <c r="HT31" s="20" t="n">
        <f aca="false">IF(B31=0,IF(AND(Has_q6=1,In_q6=4),PR_ShareVaries*(MAX(0,HS31)/12),MIN(IF(Has_q6=1,CHOOSE(In_q6+1,PR_SaveB1,PR_SaveB2,PR_SaveB3,PR_SaveB4,0),AS_NoAnswer),AS_SaveShare*(MAX(0,HS31)/12))),HT30)</f>
        <v>67.3316893520437</v>
      </c>
      <c r="HU31" s="20" t="n">
        <f aca="false">IF(HS31&gt;=0,1,0)</f>
        <v>1</v>
      </c>
      <c r="HV31" s="20" t="n">
        <f aca="false">MAX(0,HS31/12/F31)</f>
        <v>2343.72154389056</v>
      </c>
      <c r="HW31" s="20" t="n">
        <f aca="false">IF(AND(Has_q6=1,In_q6=4),PR_ShareVaries*(HV31),MIN(IF(Has_q6=1,CHOOSE(In_q6+1,PR_SaveB1,PR_SaveB2,PR_SaveB3,PR_SaveB4,0),AS_NoAnswer),AS_SaveShare*(HV31)))</f>
        <v>500</v>
      </c>
      <c r="HX31" s="20" t="n">
        <f aca="false">IF(Has_saveM=1,IF(In_saveUp="Yes",1,IF(In_saveUp="No",0,IF(In_saveM&gt;=HT31-0.5,1,0))),0)</f>
        <v>0</v>
      </c>
      <c r="HY31" s="20" t="n">
        <f aca="false">IF(Has_saveM=1,MIN(HV31,IF(HX31=1,MAX(In_saveM,HW31),MIN(In_saveM,HW31))),HW31)</f>
        <v>500</v>
      </c>
      <c r="HZ31" s="20" t="n">
        <f aca="false">IF(G31=1,HY31*12*F31,0)</f>
        <v>9461.39558514839</v>
      </c>
      <c r="IA31" s="20" t="n">
        <f aca="false">MAX(0,HZ31+IF(AND(WI_Retire=0,WI_M&lt;0,G31=1),WI_M*12*F31,0))</f>
        <v>9461.39558514839</v>
      </c>
      <c r="IB31" s="20" t="n">
        <f aca="false">Slot1_IsWG*W31+Slot2_IsWG*AH31+Slot3_IsWG*AR31+Slot4_IsWG*BB31+Slot5_IsWG*BL31+Slot6_IsWG*BV31+Slot7_IsWG*CF31+Slot8_IsWG*CP31+Slot9_IsWG*CZ31+Slot10_IsWG*DJ31+Slot11_IsWG*DT31+Slot12_IsWG*ED31+Slot13_IsWG*EN31+Slot14_IsWG*EX31+Slot15_IsWG*FH31+Slot16_IsWG*FR31+Slot17_IsWG*GB31+Slot18_IsWG*GL31+Slot19_IsWG*GV31+Slot20_IsWG*HF31</f>
        <v>0</v>
      </c>
      <c r="IC31" s="20" t="n">
        <f aca="false">IF(AND(WI_Retire=0,WI_M&gt;0,G31=1,IB31&gt;=1),WI_M*12*F31,0)</f>
        <v>0</v>
      </c>
      <c r="ID31" s="20" t="n">
        <f aca="false">IF(HU31=1,MIN(IA31,HS31),0)</f>
        <v>9461.39558514839</v>
      </c>
      <c r="IE31" s="20" t="n">
        <f aca="false">IF(HU31=1,MIN(IC31,HS31-ID31),0)</f>
        <v>0</v>
      </c>
      <c r="IF31" s="20" t="n">
        <f aca="false">IF(W31=1,IF(ABS((1+AS_Wage)/(1+Slot1_Rate)-1)&lt;0.000000000001,(Slot1_Age-D31)*(1+Slot1_Rate)^(Slot1_Age-D31),(1+Slot1_Rate)^(Slot1_Age-D31)*(1-((1+AS_Wage)/(1+Slot1_Rate))^(Slot1_Age-D31))/(1-(1+AS_Wage)/(1+Slot1_Rate))),1)</f>
        <v>1</v>
      </c>
      <c r="IG31" s="20" t="n">
        <f aca="false">IF(AND(HU31=1,IE31&gt;0,Slot1_IsWG=1,W31=1),MAX(0,(Slot1_Cost-X31*(1+Slot1_Rate)^(Slot1_Age-D31))/IF31),0)</f>
        <v>0</v>
      </c>
      <c r="IH31" s="20" t="n">
        <f aca="false">IF(AND(HU31=1,IE31&gt;0,Slot1_IsWG=1,W31=1),MIN(IE31,IG31),0)</f>
        <v>0</v>
      </c>
      <c r="II31" s="20" t="n">
        <f aca="false">X31+IH31</f>
        <v>0</v>
      </c>
      <c r="IJ31" s="20" t="n">
        <f aca="false">IF(W31=1,MAX(0,(Slot1_Cost-II31*(1+Slot1_Rate)^(Slot1_Age-D31))/IF31),0)</f>
        <v>0</v>
      </c>
      <c r="IK31" s="20" t="n">
        <f aca="false">IF(W31=1,MAX(0,(Slot1_Cost-X31*(1+Slot1_Rate)^(Slot1_Age-D31))/IF31),0)</f>
        <v>0</v>
      </c>
      <c r="IL31" s="20" t="n">
        <f aca="false">IF(AND(HU31=1,W31=1),MIN(ID31,IJ31),0)</f>
        <v>0</v>
      </c>
      <c r="IM31" s="20" t="n">
        <f aca="false">ID31-IL31</f>
        <v>9461.39558514839</v>
      </c>
      <c r="IN31" s="20" t="n">
        <f aca="false">IF(AH31=1,IF(ABS((1+AS_Wage)/(1+Slot2_Rate)-1)&lt;0.000000000001,(Slot2_Age-D31)*(1+Slot2_Rate)^(Slot2_Age-D31),(1+Slot2_Rate)^(Slot2_Age-D31)*(1-((1+AS_Wage)/(1+Slot2_Rate))^(Slot2_Age-D31))/(1-(1+AS_Wage)/(1+Slot2_Rate))),1)</f>
        <v>1</v>
      </c>
      <c r="IO31" s="20" t="n">
        <f aca="false">IF(AND(HU31=1,IE31&gt;0,Slot2_IsWG=1,AH31=1),MAX(0,(Slot2_Cost-AI31*(1+Slot2_Rate)^(Slot2_Age-D31))/IN31),0)</f>
        <v>0</v>
      </c>
      <c r="IP31" s="20" t="n">
        <f aca="false">IF(AND(HU31=1,IE31&gt;0,Slot2_IsWG=1,AH31=1),MIN(IE31,IO31),0)</f>
        <v>0</v>
      </c>
      <c r="IQ31" s="20" t="n">
        <f aca="false">AI31+IP31</f>
        <v>0</v>
      </c>
      <c r="IR31" s="20" t="n">
        <f aca="false">IF(AH31=1,MAX(0,(Slot2_Cost-IQ31*(1+Slot2_Rate)^(Slot2_Age-D31))/IN31),0)</f>
        <v>0</v>
      </c>
      <c r="IS31" s="20" t="n">
        <f aca="false">IF(AH31=1,MAX(0,(Slot2_Cost-AI31*(1+Slot2_Rate)^(Slot2_Age-D31))/IN31),0)</f>
        <v>0</v>
      </c>
      <c r="IT31" s="20" t="n">
        <f aca="false">IF(AND(HU31=1,AH31=1),MIN(IM31,IR31),0)</f>
        <v>0</v>
      </c>
      <c r="IU31" s="20" t="n">
        <f aca="false">IM31-IT31</f>
        <v>9461.39558514839</v>
      </c>
      <c r="IV31" s="20" t="n">
        <f aca="false">IF(AR31=1,IF(ABS((1+AS_Wage)/(1+Slot3_Rate)-1)&lt;0.000000000001,(Slot3_Age-D31)*(1+Slot3_Rate)^(Slot3_Age-D31),(1+Slot3_Rate)^(Slot3_Age-D31)*(1-((1+AS_Wage)/(1+Slot3_Rate))^(Slot3_Age-D31))/(1-(1+AS_Wage)/(1+Slot3_Rate))),1)</f>
        <v>1</v>
      </c>
      <c r="IW31" s="20" t="n">
        <f aca="false">IF(AND(HU31=1,IE31&gt;0,Slot3_IsWG=1,AR31=1),MAX(0,(Slot3_Cost-AS31*(1+Slot3_Rate)^(Slot3_Age-D31))/IV31),0)</f>
        <v>0</v>
      </c>
      <c r="IX31" s="20" t="n">
        <f aca="false">IF(AND(HU31=1,IE31&gt;0,Slot3_IsWG=1,AR31=1),MIN(IE31,IW31),0)</f>
        <v>0</v>
      </c>
      <c r="IY31" s="20" t="n">
        <f aca="false">AS31+IX31</f>
        <v>0</v>
      </c>
      <c r="IZ31" s="20" t="n">
        <f aca="false">IF(AR31=1,MAX(0,(Slot3_Cost-IY31*(1+Slot3_Rate)^(Slot3_Age-D31))/IV31),0)</f>
        <v>0</v>
      </c>
      <c r="JA31" s="20" t="n">
        <f aca="false">IF(AR31=1,MAX(0,(Slot3_Cost-AS31*(1+Slot3_Rate)^(Slot3_Age-D31))/IV31),0)</f>
        <v>0</v>
      </c>
      <c r="JB31" s="20" t="n">
        <f aca="false">IF(AND(HU31=1,AR31=1),MIN(IU31,IZ31),0)</f>
        <v>0</v>
      </c>
      <c r="JC31" s="20" t="n">
        <f aca="false">IU31-JB31</f>
        <v>9461.39558514839</v>
      </c>
      <c r="JD31" s="20" t="n">
        <f aca="false">IF(BB31=1,IF(ABS((1+AS_Wage)/(1+Slot4_Rate)-1)&lt;0.000000000001,(Slot4_Age-D31)*(1+Slot4_Rate)^(Slot4_Age-D31),(1+Slot4_Rate)^(Slot4_Age-D31)*(1-((1+AS_Wage)/(1+Slot4_Rate))^(Slot4_Age-D31))/(1-(1+AS_Wage)/(1+Slot4_Rate))),1)</f>
        <v>1</v>
      </c>
      <c r="JE31" s="20" t="n">
        <f aca="false">IF(AND(HU31=1,IE31&gt;0,Slot4_IsWG=1,BB31=1),MAX(0,(Slot4_Cost-BC31*(1+Slot4_Rate)^(Slot4_Age-D31))/JD31),0)</f>
        <v>0</v>
      </c>
      <c r="JF31" s="20" t="n">
        <f aca="false">IF(AND(HU31=1,IE31&gt;0,Slot4_IsWG=1,BB31=1),MIN(IE31,JE31),0)</f>
        <v>0</v>
      </c>
      <c r="JG31" s="20" t="n">
        <f aca="false">BC31+JF31</f>
        <v>0</v>
      </c>
      <c r="JH31" s="20" t="n">
        <f aca="false">IF(BB31=1,MAX(0,(Slot4_Cost-JG31*(1+Slot4_Rate)^(Slot4_Age-D31))/JD31),0)</f>
        <v>0</v>
      </c>
      <c r="JI31" s="20" t="n">
        <f aca="false">IF(BB31=1,MAX(0,(Slot4_Cost-BC31*(1+Slot4_Rate)^(Slot4_Age-D31))/JD31),0)</f>
        <v>0</v>
      </c>
      <c r="JJ31" s="20" t="n">
        <f aca="false">IF(AND(HU31=1,BB31=1),MIN(JC31,JH31),0)</f>
        <v>0</v>
      </c>
      <c r="JK31" s="20" t="n">
        <f aca="false">JC31-JJ31</f>
        <v>9461.39558514839</v>
      </c>
      <c r="JL31" s="20" t="n">
        <f aca="false">IF(BL31=1,IF(ABS((1+AS_Wage)/(1+Slot5_Rate)-1)&lt;0.000000000001,(Slot5_Age-D31)*(1+Slot5_Rate)^(Slot5_Age-D31),(1+Slot5_Rate)^(Slot5_Age-D31)*(1-((1+AS_Wage)/(1+Slot5_Rate))^(Slot5_Age-D31))/(1-(1+AS_Wage)/(1+Slot5_Rate))),1)</f>
        <v>1</v>
      </c>
      <c r="JM31" s="20" t="n">
        <f aca="false">IF(AND(HU31=1,IE31&gt;0,Slot5_IsWG=1,BL31=1),MAX(0,(Slot5_Cost-BM31*(1+Slot5_Rate)^(Slot5_Age-D31))/JL31),0)</f>
        <v>0</v>
      </c>
      <c r="JN31" s="20" t="n">
        <f aca="false">IF(AND(HU31=1,IE31&gt;0,Slot5_IsWG=1,BL31=1),MIN(IE31,JM31),0)</f>
        <v>0</v>
      </c>
      <c r="JO31" s="20" t="n">
        <f aca="false">BM31+JN31</f>
        <v>0</v>
      </c>
      <c r="JP31" s="20" t="n">
        <f aca="false">IF(BL31=1,MAX(0,(Slot5_Cost-JO31*(1+Slot5_Rate)^(Slot5_Age-D31))/JL31),0)</f>
        <v>0</v>
      </c>
      <c r="JQ31" s="20" t="n">
        <f aca="false">IF(BL31=1,MAX(0,(Slot5_Cost-BM31*(1+Slot5_Rate)^(Slot5_Age-D31))/JL31),0)</f>
        <v>0</v>
      </c>
      <c r="JR31" s="20" t="n">
        <f aca="false">IF(AND(HU31=1,BL31=1),MIN(JK31,JP31),0)</f>
        <v>0</v>
      </c>
      <c r="JS31" s="20" t="n">
        <f aca="false">JK31-JR31</f>
        <v>9461.39558514839</v>
      </c>
      <c r="JT31" s="20" t="n">
        <f aca="false">IF(BV31=1,IF(ABS((1+AS_Wage)/(1+Slot6_Rate)-1)&lt;0.000000000001,(Slot6_Age-D31)*(1+Slot6_Rate)^(Slot6_Age-D31),(1+Slot6_Rate)^(Slot6_Age-D31)*(1-((1+AS_Wage)/(1+Slot6_Rate))^(Slot6_Age-D31))/(1-(1+AS_Wage)/(1+Slot6_Rate))),1)</f>
        <v>1</v>
      </c>
      <c r="JU31" s="20" t="n">
        <f aca="false">IF(AND(HU31=1,IE31&gt;0,Slot6_IsWG=1,BV31=1),MAX(0,(Slot6_Cost-BW31*(1+Slot6_Rate)^(Slot6_Age-D31))/JT31),0)</f>
        <v>0</v>
      </c>
      <c r="JV31" s="20" t="n">
        <f aca="false">IF(AND(HU31=1,IE31&gt;0,Slot6_IsWG=1,BV31=1),MIN(IE31,JU31),0)</f>
        <v>0</v>
      </c>
      <c r="JW31" s="20" t="n">
        <f aca="false">BW31+JV31</f>
        <v>0</v>
      </c>
      <c r="JX31" s="20" t="n">
        <f aca="false">IF(BV31=1,MAX(0,(Slot6_Cost-JW31*(1+Slot6_Rate)^(Slot6_Age-D31))/JT31),0)</f>
        <v>0</v>
      </c>
      <c r="JY31" s="20" t="n">
        <f aca="false">IF(BV31=1,MAX(0,(Slot6_Cost-BW31*(1+Slot6_Rate)^(Slot6_Age-D31))/JT31),0)</f>
        <v>0</v>
      </c>
      <c r="JZ31" s="20" t="n">
        <f aca="false">IF(AND(HU31=1,BV31=1),MIN(JS31,JX31),0)</f>
        <v>0</v>
      </c>
      <c r="KA31" s="20" t="n">
        <f aca="false">JS31-JZ31</f>
        <v>9461.39558514839</v>
      </c>
      <c r="KB31" s="20" t="n">
        <f aca="false">IF(CF31=1,IF(ABS((1+AS_Wage)/(1+Slot7_Rate)-1)&lt;0.000000000001,(Slot7_Age-D31)*(1+Slot7_Rate)^(Slot7_Age-D31),(1+Slot7_Rate)^(Slot7_Age-D31)*(1-((1+AS_Wage)/(1+Slot7_Rate))^(Slot7_Age-D31))/(1-(1+AS_Wage)/(1+Slot7_Rate))),1)</f>
        <v>1</v>
      </c>
      <c r="KC31" s="20" t="n">
        <f aca="false">IF(AND(HU31=1,IE31&gt;0,Slot7_IsWG=1,CF31=1),MAX(0,(Slot7_Cost-CG31*(1+Slot7_Rate)^(Slot7_Age-D31))/KB31),0)</f>
        <v>0</v>
      </c>
      <c r="KD31" s="20" t="n">
        <f aca="false">IF(AND(HU31=1,IE31&gt;0,Slot7_IsWG=1,CF31=1),MIN(IE31,KC31),0)</f>
        <v>0</v>
      </c>
      <c r="KE31" s="20" t="n">
        <f aca="false">CG31+KD31</f>
        <v>0</v>
      </c>
      <c r="KF31" s="20" t="n">
        <f aca="false">IF(CF31=1,MAX(0,(Slot7_Cost-KE31*(1+Slot7_Rate)^(Slot7_Age-D31))/KB31),0)</f>
        <v>0</v>
      </c>
      <c r="KG31" s="20" t="n">
        <f aca="false">IF(CF31=1,MAX(0,(Slot7_Cost-CG31*(1+Slot7_Rate)^(Slot7_Age-D31))/KB31),0)</f>
        <v>0</v>
      </c>
      <c r="KH31" s="20" t="n">
        <f aca="false">IF(AND(HU31=1,CF31=1),MIN(KA31,KF31),0)</f>
        <v>0</v>
      </c>
      <c r="KI31" s="20" t="n">
        <f aca="false">KA31-KH31</f>
        <v>9461.39558514839</v>
      </c>
      <c r="KJ31" s="20" t="n">
        <f aca="false">IF(CP31=1,IF(ABS((1+AS_Wage)/(1+Slot8_Rate)-1)&lt;0.000000000001,(Slot8_Age-D31)*(1+Slot8_Rate)^(Slot8_Age-D31),(1+Slot8_Rate)^(Slot8_Age-D31)*(1-((1+AS_Wage)/(1+Slot8_Rate))^(Slot8_Age-D31))/(1-(1+AS_Wage)/(1+Slot8_Rate))),1)</f>
        <v>1</v>
      </c>
      <c r="KK31" s="20" t="n">
        <f aca="false">IF(AND(HU31=1,IE31&gt;0,Slot8_IsWG=1,CP31=1),MAX(0,(Slot8_Cost-CQ31*(1+Slot8_Rate)^(Slot8_Age-D31))/KJ31),0)</f>
        <v>0</v>
      </c>
      <c r="KL31" s="20" t="n">
        <f aca="false">IF(AND(HU31=1,IE31&gt;0,Slot8_IsWG=1,CP31=1),MIN(IE31,KK31),0)</f>
        <v>0</v>
      </c>
      <c r="KM31" s="20" t="n">
        <f aca="false">CQ31+KL31</f>
        <v>0</v>
      </c>
      <c r="KN31" s="20" t="n">
        <f aca="false">IF(CP31=1,MAX(0,(Slot8_Cost-KM31*(1+Slot8_Rate)^(Slot8_Age-D31))/KJ31),0)</f>
        <v>0</v>
      </c>
      <c r="KO31" s="20" t="n">
        <f aca="false">IF(CP31=1,MAX(0,(Slot8_Cost-CQ31*(1+Slot8_Rate)^(Slot8_Age-D31))/KJ31),0)</f>
        <v>0</v>
      </c>
      <c r="KP31" s="20" t="n">
        <f aca="false">IF(AND(HU31=1,CP31=1),MIN(KI31,KN31),0)</f>
        <v>0</v>
      </c>
      <c r="KQ31" s="20" t="n">
        <f aca="false">KI31-KP31</f>
        <v>9461.39558514839</v>
      </c>
      <c r="KR31" s="20" t="n">
        <f aca="false">IF(CZ31=1,IF(ABS((1+AS_Wage)/(1+Slot9_Rate)-1)&lt;0.000000000001,(Slot9_Age-D31)*(1+Slot9_Rate)^(Slot9_Age-D31),(1+Slot9_Rate)^(Slot9_Age-D31)*(1-((1+AS_Wage)/(1+Slot9_Rate))^(Slot9_Age-D31))/(1-(1+AS_Wage)/(1+Slot9_Rate))),1)</f>
        <v>1</v>
      </c>
      <c r="KS31" s="20" t="n">
        <f aca="false">IF(AND(HU31=1,IE31&gt;0,Slot9_IsWG=1,CZ31=1),MAX(0,(Slot9_Cost-DA31*(1+Slot9_Rate)^(Slot9_Age-D31))/KR31),0)</f>
        <v>0</v>
      </c>
      <c r="KT31" s="20" t="n">
        <f aca="false">IF(AND(HU31=1,IE31&gt;0,Slot9_IsWG=1,CZ31=1),MIN(IE31,KS31),0)</f>
        <v>0</v>
      </c>
      <c r="KU31" s="20" t="n">
        <f aca="false">DA31+KT31</f>
        <v>0</v>
      </c>
      <c r="KV31" s="20" t="n">
        <f aca="false">IF(CZ31=1,MAX(0,(Slot9_Cost-KU31*(1+Slot9_Rate)^(Slot9_Age-D31))/KR31),0)</f>
        <v>0</v>
      </c>
      <c r="KW31" s="20" t="n">
        <f aca="false">IF(CZ31=1,MAX(0,(Slot9_Cost-DA31*(1+Slot9_Rate)^(Slot9_Age-D31))/KR31),0)</f>
        <v>0</v>
      </c>
      <c r="KX31" s="20" t="n">
        <f aca="false">IF(AND(HU31=1,CZ31=1),MIN(KQ31,KV31),0)</f>
        <v>0</v>
      </c>
      <c r="KY31" s="20" t="n">
        <f aca="false">KQ31-KX31</f>
        <v>9461.39558514839</v>
      </c>
      <c r="KZ31" s="20" t="n">
        <f aca="false">IF(DJ31=1,IF(ABS((1+AS_Wage)/(1+Slot10_Rate)-1)&lt;0.000000000001,(Slot10_Age-D31)*(1+Slot10_Rate)^(Slot10_Age-D31),(1+Slot10_Rate)^(Slot10_Age-D31)*(1-((1+AS_Wage)/(1+Slot10_Rate))^(Slot10_Age-D31))/(1-(1+AS_Wage)/(1+Slot10_Rate))),1)</f>
        <v>1</v>
      </c>
      <c r="LA31" s="20" t="n">
        <f aca="false">IF(AND(HU31=1,IE31&gt;0,Slot10_IsWG=1,DJ31=1),MAX(0,(Slot10_Cost-DK31*(1+Slot10_Rate)^(Slot10_Age-D31))/KZ31),0)</f>
        <v>0</v>
      </c>
      <c r="LB31" s="20" t="n">
        <f aca="false">IF(AND(HU31=1,IE31&gt;0,Slot10_IsWG=1,DJ31=1),MIN(IE31,LA31),0)</f>
        <v>0</v>
      </c>
      <c r="LC31" s="20" t="n">
        <f aca="false">DK31+LB31</f>
        <v>0</v>
      </c>
      <c r="LD31" s="20" t="n">
        <f aca="false">IF(DJ31=1,MAX(0,(Slot10_Cost-LC31*(1+Slot10_Rate)^(Slot10_Age-D31))/KZ31),0)</f>
        <v>0</v>
      </c>
      <c r="LE31" s="20" t="n">
        <f aca="false">IF(DJ31=1,MAX(0,(Slot10_Cost-DK31*(1+Slot10_Rate)^(Slot10_Age-D31))/KZ31),0)</f>
        <v>0</v>
      </c>
      <c r="LF31" s="20" t="n">
        <f aca="false">IF(AND(HU31=1,DJ31=1),MIN(KY31,LD31),0)</f>
        <v>0</v>
      </c>
      <c r="LG31" s="20" t="n">
        <f aca="false">KY31-LF31</f>
        <v>9461.39558514839</v>
      </c>
      <c r="LH31" s="20" t="n">
        <f aca="false">IF(DT31=1,IF(ABS((1+AS_Wage)/(1+Slot11_Rate)-1)&lt;0.000000000001,(Slot11_Age-D31)*(1+Slot11_Rate)^(Slot11_Age-D31),(1+Slot11_Rate)^(Slot11_Age-D31)*(1-((1+AS_Wage)/(1+Slot11_Rate))^(Slot11_Age-D31))/(1-(1+AS_Wage)/(1+Slot11_Rate))),1)</f>
        <v>1</v>
      </c>
      <c r="LI31" s="20" t="n">
        <f aca="false">IF(AND(HU31=1,IE31&gt;0,Slot11_IsWG=1,DT31=1),MAX(0,(Slot11_Cost-DU31*(1+Slot11_Rate)^(Slot11_Age-D31))/LH31),0)</f>
        <v>0</v>
      </c>
      <c r="LJ31" s="20" t="n">
        <f aca="false">IF(AND(HU31=1,IE31&gt;0,Slot11_IsWG=1,DT31=1),MIN(IE31,LI31),0)</f>
        <v>0</v>
      </c>
      <c r="LK31" s="20" t="n">
        <f aca="false">DU31+LJ31</f>
        <v>0</v>
      </c>
      <c r="LL31" s="20" t="n">
        <f aca="false">IF(DT31=1,MAX(0,(Slot11_Cost-LK31*(1+Slot11_Rate)^(Slot11_Age-D31))/LH31),0)</f>
        <v>0</v>
      </c>
      <c r="LM31" s="20" t="n">
        <f aca="false">IF(DT31=1,MAX(0,(Slot11_Cost-DU31*(1+Slot11_Rate)^(Slot11_Age-D31))/LH31),0)</f>
        <v>0</v>
      </c>
      <c r="LN31" s="20" t="n">
        <f aca="false">IF(AND(HU31=1,DT31=1),MIN(LG31,LL31),0)</f>
        <v>0</v>
      </c>
      <c r="LO31" s="20" t="n">
        <f aca="false">LG31-LN31</f>
        <v>9461.39558514839</v>
      </c>
      <c r="LP31" s="20" t="n">
        <f aca="false">IF(ED31=1,IF(ABS((1+AS_Wage)/(1+Slot12_Rate)-1)&lt;0.000000000001,(Slot12_Age-D31)*(1+Slot12_Rate)^(Slot12_Age-D31),(1+Slot12_Rate)^(Slot12_Age-D31)*(1-((1+AS_Wage)/(1+Slot12_Rate))^(Slot12_Age-D31))/(1-(1+AS_Wage)/(1+Slot12_Rate))),1)</f>
        <v>1</v>
      </c>
      <c r="LQ31" s="20" t="n">
        <f aca="false">IF(AND(HU31=1,IE31&gt;0,Slot12_IsWG=1,ED31=1),MAX(0,(Slot12_Cost-EE31*(1+Slot12_Rate)^(Slot12_Age-D31))/LP31),0)</f>
        <v>0</v>
      </c>
      <c r="LR31" s="20" t="n">
        <f aca="false">IF(AND(HU31=1,IE31&gt;0,Slot12_IsWG=1,ED31=1),MIN(IE31,LQ31),0)</f>
        <v>0</v>
      </c>
      <c r="LS31" s="20" t="n">
        <f aca="false">EE31+LR31</f>
        <v>0</v>
      </c>
      <c r="LT31" s="20" t="n">
        <f aca="false">IF(ED31=1,MAX(0,(Slot12_Cost-LS31*(1+Slot12_Rate)^(Slot12_Age-D31))/LP31),0)</f>
        <v>0</v>
      </c>
      <c r="LU31" s="20" t="n">
        <f aca="false">IF(ED31=1,MAX(0,(Slot12_Cost-EE31*(1+Slot12_Rate)^(Slot12_Age-D31))/LP31),0)</f>
        <v>0</v>
      </c>
      <c r="LV31" s="20" t="n">
        <f aca="false">IF(AND(HU31=1,ED31=1),MIN(LO31,LT31),0)</f>
        <v>0</v>
      </c>
      <c r="LW31" s="20" t="n">
        <f aca="false">LO31-LV31</f>
        <v>9461.39558514839</v>
      </c>
      <c r="LX31" s="20" t="n">
        <f aca="false">IF(EN31=1,IF(ABS((1+AS_Wage)/(1+Slot13_Rate)-1)&lt;0.000000000001,(Slot13_Age-D31)*(1+Slot13_Rate)^(Slot13_Age-D31),(1+Slot13_Rate)^(Slot13_Age-D31)*(1-((1+AS_Wage)/(1+Slot13_Rate))^(Slot13_Age-D31))/(1-(1+AS_Wage)/(1+Slot13_Rate))),1)</f>
        <v>1</v>
      </c>
      <c r="LY31" s="20" t="n">
        <f aca="false">IF(AND(HU31=1,IE31&gt;0,Slot13_IsWG=1,EN31=1),MAX(0,(Slot13_Cost-EO31*(1+Slot13_Rate)^(Slot13_Age-D31))/LX31),0)</f>
        <v>0</v>
      </c>
      <c r="LZ31" s="20" t="n">
        <f aca="false">IF(AND(HU31=1,IE31&gt;0,Slot13_IsWG=1,EN31=1),MIN(IE31,LY31),0)</f>
        <v>0</v>
      </c>
      <c r="MA31" s="20" t="n">
        <f aca="false">EO31+LZ31</f>
        <v>0</v>
      </c>
      <c r="MB31" s="20" t="n">
        <f aca="false">IF(EN31=1,MAX(0,(Slot13_Cost-MA31*(1+Slot13_Rate)^(Slot13_Age-D31))/LX31),0)</f>
        <v>0</v>
      </c>
      <c r="MC31" s="20" t="n">
        <f aca="false">IF(EN31=1,MAX(0,(Slot13_Cost-EO31*(1+Slot13_Rate)^(Slot13_Age-D31))/LX31),0)</f>
        <v>0</v>
      </c>
      <c r="MD31" s="20" t="n">
        <f aca="false">IF(AND(HU31=1,EN31=1),MIN(LW31,MB31),0)</f>
        <v>0</v>
      </c>
      <c r="ME31" s="20" t="n">
        <f aca="false">LW31-MD31</f>
        <v>9461.39558514839</v>
      </c>
      <c r="MF31" s="20" t="n">
        <f aca="false">IF(EX31=1,IF(ABS((1+AS_Wage)/(1+Slot14_Rate)-1)&lt;0.000000000001,(Slot14_Age-D31)*(1+Slot14_Rate)^(Slot14_Age-D31),(1+Slot14_Rate)^(Slot14_Age-D31)*(1-((1+AS_Wage)/(1+Slot14_Rate))^(Slot14_Age-D31))/(1-(1+AS_Wage)/(1+Slot14_Rate))),1)</f>
        <v>1</v>
      </c>
      <c r="MG31" s="20" t="n">
        <f aca="false">IF(AND(HU31=1,IE31&gt;0,Slot14_IsWG=1,EX31=1),MAX(0,(Slot14_Cost-EY31*(1+Slot14_Rate)^(Slot14_Age-D31))/MF31),0)</f>
        <v>0</v>
      </c>
      <c r="MH31" s="20" t="n">
        <f aca="false">IF(AND(HU31=1,IE31&gt;0,Slot14_IsWG=1,EX31=1),MIN(IE31,MG31),0)</f>
        <v>0</v>
      </c>
      <c r="MI31" s="20" t="n">
        <f aca="false">EY31+MH31</f>
        <v>0</v>
      </c>
      <c r="MJ31" s="20" t="n">
        <f aca="false">IF(EX31=1,MAX(0,(Slot14_Cost-MI31*(1+Slot14_Rate)^(Slot14_Age-D31))/MF31),0)</f>
        <v>0</v>
      </c>
      <c r="MK31" s="20" t="n">
        <f aca="false">IF(EX31=1,MAX(0,(Slot14_Cost-EY31*(1+Slot14_Rate)^(Slot14_Age-D31))/MF31),0)</f>
        <v>0</v>
      </c>
      <c r="ML31" s="20" t="n">
        <f aca="false">IF(AND(HU31=1,EX31=1),MIN(ME31,MJ31),0)</f>
        <v>0</v>
      </c>
      <c r="MM31" s="20" t="n">
        <f aca="false">ME31-ML31</f>
        <v>9461.39558514839</v>
      </c>
      <c r="MN31" s="20" t="n">
        <f aca="false">IF(FH31=1,IF(ABS((1+AS_Wage)/(1+Slot15_Rate)-1)&lt;0.000000000001,(Slot15_Age-D31)*(1+Slot15_Rate)^(Slot15_Age-D31),(1+Slot15_Rate)^(Slot15_Age-D31)*(1-((1+AS_Wage)/(1+Slot15_Rate))^(Slot15_Age-D31))/(1-(1+AS_Wage)/(1+Slot15_Rate))),1)</f>
        <v>1</v>
      </c>
      <c r="MO31" s="20" t="n">
        <f aca="false">IF(AND(HU31=1,IE31&gt;0,Slot15_IsWG=1,FH31=1),MAX(0,(Slot15_Cost-FI31*(1+Slot15_Rate)^(Slot15_Age-D31))/MN31),0)</f>
        <v>0</v>
      </c>
      <c r="MP31" s="20" t="n">
        <f aca="false">IF(AND(HU31=1,IE31&gt;0,Slot15_IsWG=1,FH31=1),MIN(IE31,MO31),0)</f>
        <v>0</v>
      </c>
      <c r="MQ31" s="20" t="n">
        <f aca="false">FI31+MP31</f>
        <v>0</v>
      </c>
      <c r="MR31" s="20" t="n">
        <f aca="false">IF(FH31=1,MAX(0,(Slot15_Cost-MQ31*(1+Slot15_Rate)^(Slot15_Age-D31))/MN31),0)</f>
        <v>0</v>
      </c>
      <c r="MS31" s="20" t="n">
        <f aca="false">IF(FH31=1,MAX(0,(Slot15_Cost-FI31*(1+Slot15_Rate)^(Slot15_Age-D31))/MN31),0)</f>
        <v>0</v>
      </c>
      <c r="MT31" s="20" t="n">
        <f aca="false">IF(AND(HU31=1,FH31=1),MIN(MM31,MR31),0)</f>
        <v>0</v>
      </c>
      <c r="MU31" s="20" t="n">
        <f aca="false">MM31-MT31</f>
        <v>9461.39558514839</v>
      </c>
      <c r="MV31" s="20" t="n">
        <f aca="false">IF(FR31=1,IF(ABS((1+AS_Wage)/(1+Slot16_Rate)-1)&lt;0.000000000001,(Slot16_Age-D31)*(1+Slot16_Rate)^(Slot16_Age-D31),(1+Slot16_Rate)^(Slot16_Age-D31)*(1-((1+AS_Wage)/(1+Slot16_Rate))^(Slot16_Age-D31))/(1-(1+AS_Wage)/(1+Slot16_Rate))),1)</f>
        <v>1</v>
      </c>
      <c r="MW31" s="20" t="n">
        <f aca="false">IF(AND(HU31=1,IE31&gt;0,Slot16_IsWG=1,FR31=1),MAX(0,(Slot16_Cost-FS31*(1+Slot16_Rate)^(Slot16_Age-D31))/MV31),0)</f>
        <v>0</v>
      </c>
      <c r="MX31" s="20" t="n">
        <f aca="false">IF(AND(HU31=1,IE31&gt;0,Slot16_IsWG=1,FR31=1),MIN(IE31,MW31),0)</f>
        <v>0</v>
      </c>
      <c r="MY31" s="20" t="n">
        <f aca="false">FS31+MX31</f>
        <v>0</v>
      </c>
      <c r="MZ31" s="20" t="n">
        <f aca="false">IF(FR31=1,MAX(0,(Slot16_Cost-MY31*(1+Slot16_Rate)^(Slot16_Age-D31))/MV31),0)</f>
        <v>0</v>
      </c>
      <c r="NA31" s="20" t="n">
        <f aca="false">IF(FR31=1,MAX(0,(Slot16_Cost-FS31*(1+Slot16_Rate)^(Slot16_Age-D31))/MV31),0)</f>
        <v>0</v>
      </c>
      <c r="NB31" s="20" t="n">
        <f aca="false">IF(AND(HU31=1,FR31=1),MIN(MU31,MZ31),0)</f>
        <v>0</v>
      </c>
      <c r="NC31" s="20" t="n">
        <f aca="false">MU31-NB31</f>
        <v>9461.39558514839</v>
      </c>
      <c r="ND31" s="20" t="n">
        <f aca="false">IF(GB31=1,IF(ABS((1+AS_Wage)/(1+Slot17_Rate)-1)&lt;0.000000000001,(Slot17_Age-D31)*(1+Slot17_Rate)^(Slot17_Age-D31),(1+Slot17_Rate)^(Slot17_Age-D31)*(1-((1+AS_Wage)/(1+Slot17_Rate))^(Slot17_Age-D31))/(1-(1+AS_Wage)/(1+Slot17_Rate))),1)</f>
        <v>1</v>
      </c>
      <c r="NE31" s="20" t="n">
        <f aca="false">IF(AND(HU31=1,IE31&gt;0,Slot17_IsWG=1,GB31=1),MAX(0,(Slot17_Cost-GC31*(1+Slot17_Rate)^(Slot17_Age-D31))/ND31),0)</f>
        <v>0</v>
      </c>
      <c r="NF31" s="20" t="n">
        <f aca="false">IF(AND(HU31=1,IE31&gt;0,Slot17_IsWG=1,GB31=1),MIN(IE31,NE31),0)</f>
        <v>0</v>
      </c>
      <c r="NG31" s="20" t="n">
        <f aca="false">GC31+NF31</f>
        <v>0</v>
      </c>
      <c r="NH31" s="20" t="n">
        <f aca="false">IF(GB31=1,MAX(0,(Slot17_Cost-NG31*(1+Slot17_Rate)^(Slot17_Age-D31))/ND31),0)</f>
        <v>0</v>
      </c>
      <c r="NI31" s="20" t="n">
        <f aca="false">IF(GB31=1,MAX(0,(Slot17_Cost-GC31*(1+Slot17_Rate)^(Slot17_Age-D31))/ND31),0)</f>
        <v>0</v>
      </c>
      <c r="NJ31" s="20" t="n">
        <f aca="false">IF(AND(HU31=1,GB31=1),MIN(NC31,NH31),0)</f>
        <v>0</v>
      </c>
      <c r="NK31" s="20" t="n">
        <f aca="false">NC31-NJ31</f>
        <v>9461.39558514839</v>
      </c>
      <c r="NL31" s="20" t="n">
        <f aca="false">IF(GL31=1,IF(ABS((1+AS_Wage)/(1+Slot18_Rate)-1)&lt;0.000000000001,(Slot18_Age-D31)*(1+Slot18_Rate)^(Slot18_Age-D31),(1+Slot18_Rate)^(Slot18_Age-D31)*(1-((1+AS_Wage)/(1+Slot18_Rate))^(Slot18_Age-D31))/(1-(1+AS_Wage)/(1+Slot18_Rate))),1)</f>
        <v>1</v>
      </c>
      <c r="NM31" s="20" t="n">
        <f aca="false">IF(AND(HU31=1,IE31&gt;0,Slot18_IsWG=1,GL31=1),MAX(0,(Slot18_Cost-GM31*(1+Slot18_Rate)^(Slot18_Age-D31))/NL31),0)</f>
        <v>0</v>
      </c>
      <c r="NN31" s="20" t="n">
        <f aca="false">IF(AND(HU31=1,IE31&gt;0,Slot18_IsWG=1,GL31=1),MIN(IE31,NM31),0)</f>
        <v>0</v>
      </c>
      <c r="NO31" s="20" t="n">
        <f aca="false">GM31+NN31</f>
        <v>0</v>
      </c>
      <c r="NP31" s="20" t="n">
        <f aca="false">IF(GL31=1,MAX(0,(Slot18_Cost-NO31*(1+Slot18_Rate)^(Slot18_Age-D31))/NL31),0)</f>
        <v>0</v>
      </c>
      <c r="NQ31" s="20" t="n">
        <f aca="false">IF(GL31=1,MAX(0,(Slot18_Cost-GM31*(1+Slot18_Rate)^(Slot18_Age-D31))/NL31),0)</f>
        <v>0</v>
      </c>
      <c r="NR31" s="20" t="n">
        <f aca="false">IF(AND(HU31=1,GL31=1),MIN(NK31,NP31),0)</f>
        <v>0</v>
      </c>
      <c r="NS31" s="20" t="n">
        <f aca="false">NK31-NR31</f>
        <v>9461.39558514839</v>
      </c>
      <c r="NT31" s="20" t="n">
        <f aca="false">IF(GV31=1,IF(ABS((1+AS_Wage)/(1+Slot19_Rate)-1)&lt;0.000000000001,(Slot19_Age-D31)*(1+Slot19_Rate)^(Slot19_Age-D31),(1+Slot19_Rate)^(Slot19_Age-D31)*(1-((1+AS_Wage)/(1+Slot19_Rate))^(Slot19_Age-D31))/(1-(1+AS_Wage)/(1+Slot19_Rate))),1)</f>
        <v>1</v>
      </c>
      <c r="NU31" s="20" t="n">
        <f aca="false">IF(AND(HU31=1,IE31&gt;0,Slot19_IsWG=1,GV31=1),MAX(0,(Slot19_Cost-GW31*(1+Slot19_Rate)^(Slot19_Age-D31))/NT31),0)</f>
        <v>0</v>
      </c>
      <c r="NV31" s="20" t="n">
        <f aca="false">IF(AND(HU31=1,IE31&gt;0,Slot19_IsWG=1,GV31=1),MIN(IE31,NU31),0)</f>
        <v>0</v>
      </c>
      <c r="NW31" s="20" t="n">
        <f aca="false">GW31+NV31</f>
        <v>0</v>
      </c>
      <c r="NX31" s="20" t="n">
        <f aca="false">IF(GV31=1,MAX(0,(Slot19_Cost-NW31*(1+Slot19_Rate)^(Slot19_Age-D31))/NT31),0)</f>
        <v>0</v>
      </c>
      <c r="NY31" s="20" t="n">
        <f aca="false">IF(GV31=1,MAX(0,(Slot19_Cost-GW31*(1+Slot19_Rate)^(Slot19_Age-D31))/NT31),0)</f>
        <v>0</v>
      </c>
      <c r="NZ31" s="20" t="n">
        <f aca="false">IF(AND(HU31=1,GV31=1),MIN(NS31,NX31),0)</f>
        <v>0</v>
      </c>
      <c r="OA31" s="20" t="n">
        <f aca="false">NS31-NZ31</f>
        <v>9461.39558514839</v>
      </c>
      <c r="OB31" s="20" t="n">
        <f aca="false">IF(HF31=1,IF(ABS((1+AS_Wage)/(1+Slot20_Rate)-1)&lt;0.000000000001,(Slot20_Age-D31)*(1+Slot20_Rate)^(Slot20_Age-D31),(1+Slot20_Rate)^(Slot20_Age-D31)*(1-((1+AS_Wage)/(1+Slot20_Rate))^(Slot20_Age-D31))/(1-(1+AS_Wage)/(1+Slot20_Rate))),1)</f>
        <v>1</v>
      </c>
      <c r="OC31" s="20" t="n">
        <f aca="false">IF(AND(HU31=1,IE31&gt;0,Slot20_IsWG=1,HF31=1),MAX(0,(Slot20_Cost-HG31*(1+Slot20_Rate)^(Slot20_Age-D31))/OB31),0)</f>
        <v>0</v>
      </c>
      <c r="OD31" s="20" t="n">
        <f aca="false">IF(AND(HU31=1,IE31&gt;0,Slot20_IsWG=1,HF31=1),MIN(IE31,OC31),0)</f>
        <v>0</v>
      </c>
      <c r="OE31" s="20" t="n">
        <f aca="false">HG31+OD31</f>
        <v>0</v>
      </c>
      <c r="OF31" s="20" t="n">
        <f aca="false">IF(HF31=1,MAX(0,(Slot20_Cost-OE31*(1+Slot20_Rate)^(Slot20_Age-D31))/OB31),0)</f>
        <v>0</v>
      </c>
      <c r="OG31" s="20" t="n">
        <f aca="false">IF(HF31=1,MAX(0,(Slot20_Cost-HG31*(1+Slot20_Rate)^(Slot20_Age-D31))/OB31),0)</f>
        <v>0</v>
      </c>
      <c r="OH31" s="20" t="n">
        <f aca="false">IF(AND(HU31=1,HF31=1),MIN(OA31,OF31),0)</f>
        <v>0</v>
      </c>
      <c r="OI31" s="20" t="n">
        <f aca="false">OA31-OH31</f>
        <v>9461.39558514839</v>
      </c>
      <c r="OJ31" s="20" t="n">
        <f aca="false">IE31-(IH31+IP31+IX31+JF31+JN31+JV31+KD31+KL31+KT31+LB31+LJ31+LR31+LZ31+MH31+MP31+MX31+NF31+NN31+NV31+OD31)</f>
        <v>0</v>
      </c>
      <c r="OK31" s="20" t="n">
        <f aca="false">IF(HU31=1,HS31-ID31-IE31,0)</f>
        <v>34888.3577512182</v>
      </c>
      <c r="OL31" s="20" t="n">
        <f aca="false">IF(HU31=0,-HS31,0)</f>
        <v>0</v>
      </c>
      <c r="OM31" s="20" t="n">
        <f aca="false">MIN(OL31,HK31)</f>
        <v>0</v>
      </c>
      <c r="ON31" s="20" t="n">
        <f aca="false">OL31-OM31</f>
        <v>0</v>
      </c>
      <c r="OO31" s="20" t="n">
        <f aca="false">MIN(ON31,HL31)</f>
        <v>0</v>
      </c>
      <c r="OP31" s="20" t="n">
        <f aca="false">ON31-OO31</f>
        <v>0</v>
      </c>
      <c r="OQ31" s="20" t="n">
        <f aca="false">IF(AND(HU31=0,HF31=1,OP31&gt;0),MIN(OP31,HG31),0)</f>
        <v>0</v>
      </c>
      <c r="OR31" s="20" t="n">
        <f aca="false">OP31-OQ31</f>
        <v>0</v>
      </c>
      <c r="OS31" s="20" t="n">
        <f aca="false">IF(AND(HU31=0,GV31=1,OR31&gt;0),MIN(OR31,GW31),0)</f>
        <v>0</v>
      </c>
      <c r="OT31" s="20" t="n">
        <f aca="false">OR31-OS31</f>
        <v>0</v>
      </c>
      <c r="OU31" s="20" t="n">
        <f aca="false">IF(AND(HU31=0,GL31=1,OT31&gt;0),MIN(OT31,GM31),0)</f>
        <v>0</v>
      </c>
      <c r="OV31" s="20" t="n">
        <f aca="false">OT31-OU31</f>
        <v>0</v>
      </c>
      <c r="OW31" s="20" t="n">
        <f aca="false">IF(AND(HU31=0,GB31=1,OV31&gt;0),MIN(OV31,GC31),0)</f>
        <v>0</v>
      </c>
      <c r="OX31" s="20" t="n">
        <f aca="false">OV31-OW31</f>
        <v>0</v>
      </c>
      <c r="OY31" s="20" t="n">
        <f aca="false">IF(AND(HU31=0,FR31=1,OX31&gt;0),MIN(OX31,FS31),0)</f>
        <v>0</v>
      </c>
      <c r="OZ31" s="20" t="n">
        <f aca="false">OX31-OY31</f>
        <v>0</v>
      </c>
      <c r="PA31" s="20" t="n">
        <f aca="false">IF(AND(HU31=0,FH31=1,OZ31&gt;0),MIN(OZ31,FI31),0)</f>
        <v>0</v>
      </c>
      <c r="PB31" s="20" t="n">
        <f aca="false">OZ31-PA31</f>
        <v>0</v>
      </c>
      <c r="PC31" s="20" t="n">
        <f aca="false">IF(AND(HU31=0,EX31=1,PB31&gt;0),MIN(PB31,EY31),0)</f>
        <v>0</v>
      </c>
      <c r="PD31" s="20" t="n">
        <f aca="false">PB31-PC31</f>
        <v>0</v>
      </c>
      <c r="PE31" s="20" t="n">
        <f aca="false">IF(AND(HU31=0,EN31=1,PD31&gt;0),MIN(PD31,EO31),0)</f>
        <v>0</v>
      </c>
      <c r="PF31" s="20" t="n">
        <f aca="false">PD31-PE31</f>
        <v>0</v>
      </c>
      <c r="PG31" s="20" t="n">
        <f aca="false">IF(AND(HU31=0,ED31=1,PF31&gt;0),MIN(PF31,EE31),0)</f>
        <v>0</v>
      </c>
      <c r="PH31" s="20" t="n">
        <f aca="false">PF31-PG31</f>
        <v>0</v>
      </c>
      <c r="PI31" s="20" t="n">
        <f aca="false">IF(AND(HU31=0,DT31=1,PH31&gt;0),MIN(PH31,DU31),0)</f>
        <v>0</v>
      </c>
      <c r="PJ31" s="20" t="n">
        <f aca="false">PH31-PI31</f>
        <v>0</v>
      </c>
      <c r="PK31" s="20" t="n">
        <f aca="false">IF(AND(HU31=0,DJ31=1,PJ31&gt;0),MIN(PJ31,DK31),0)</f>
        <v>0</v>
      </c>
      <c r="PL31" s="20" t="n">
        <f aca="false">PJ31-PK31</f>
        <v>0</v>
      </c>
      <c r="PM31" s="20" t="n">
        <f aca="false">IF(AND(HU31=0,CZ31=1,PL31&gt;0),MIN(PL31,DA31),0)</f>
        <v>0</v>
      </c>
      <c r="PN31" s="20" t="n">
        <f aca="false">PL31-PM31</f>
        <v>0</v>
      </c>
      <c r="PO31" s="20" t="n">
        <f aca="false">IF(AND(HU31=0,CP31=1,PN31&gt;0),MIN(PN31,CQ31),0)</f>
        <v>0</v>
      </c>
      <c r="PP31" s="20" t="n">
        <f aca="false">PN31-PO31</f>
        <v>0</v>
      </c>
      <c r="PQ31" s="20" t="n">
        <f aca="false">IF(AND(HU31=0,CF31=1,PP31&gt;0),MIN(PP31,CG31),0)</f>
        <v>0</v>
      </c>
      <c r="PR31" s="20" t="n">
        <f aca="false">PP31-PQ31</f>
        <v>0</v>
      </c>
      <c r="PS31" s="20" t="n">
        <f aca="false">IF(AND(HU31=0,BV31=1,PR31&gt;0),MIN(PR31,BW31),0)</f>
        <v>0</v>
      </c>
      <c r="PT31" s="20" t="n">
        <f aca="false">PR31-PS31</f>
        <v>0</v>
      </c>
      <c r="PU31" s="20" t="n">
        <f aca="false">IF(AND(HU31=0,BL31=1,PT31&gt;0),MIN(PT31,BM31),0)</f>
        <v>0</v>
      </c>
      <c r="PV31" s="20" t="n">
        <f aca="false">PT31-PU31</f>
        <v>0</v>
      </c>
      <c r="PW31" s="20" t="n">
        <f aca="false">IF(AND(HU31=0,BB31=1,PV31&gt;0),MIN(PV31,BC31),0)</f>
        <v>0</v>
      </c>
      <c r="PX31" s="20" t="n">
        <f aca="false">PV31-PW31</f>
        <v>0</v>
      </c>
      <c r="PY31" s="20" t="n">
        <f aca="false">IF(AND(HU31=0,AR31=1,PX31&gt;0),MIN(PX31,AS31),0)</f>
        <v>0</v>
      </c>
      <c r="PZ31" s="20" t="n">
        <f aca="false">PX31-PY31</f>
        <v>0</v>
      </c>
      <c r="QA31" s="20" t="n">
        <f aca="false">IF(AND(HU31=0,AH31=1,PZ31&gt;0),MIN(PZ31,AI31),0)</f>
        <v>0</v>
      </c>
      <c r="QB31" s="20" t="n">
        <f aca="false">PZ31-QA31</f>
        <v>0</v>
      </c>
      <c r="QC31" s="20" t="n">
        <f aca="false">IF(AND(HU31=0,W31=1,QB31&gt;0),MIN(QB31,X31),0)</f>
        <v>0</v>
      </c>
      <c r="QD31" s="20" t="n">
        <f aca="false">QB31-QC31</f>
        <v>0</v>
      </c>
      <c r="QE31" s="20" t="n">
        <f aca="false">IF(HU31=0,QD31,0)</f>
        <v>0</v>
      </c>
      <c r="QF31" s="20" t="n">
        <f aca="false">OM31+OO31+QC31+QA31+PY31+PW31+PU31+PS31+PQ31+PO31+PM31+PK31+PI31+PG31+PE31+PC31+PA31+OY31+OW31+OU31+OS31+OQ31</f>
        <v>0</v>
      </c>
      <c r="QG31" s="20" t="n">
        <f aca="false">IF(HU31=1,HK31+OJ31+OI31+IF(G31=1,0,OK31),HK31-OM31)</f>
        <v>84019.9501743255</v>
      </c>
      <c r="QH31" s="20" t="n">
        <f aca="false">HL31-OO31</f>
        <v>14022.6996127293</v>
      </c>
      <c r="QI31" s="20" t="n">
        <f aca="false">IF(HU31=1,IF(G31=1,ID31+IE31,HS31),0)</f>
        <v>9461.39558514839</v>
      </c>
      <c r="QJ31" s="20" t="n">
        <f aca="false">IF(HU31=1,IF(G31=1,HS31-ID31-IE31,0),0)</f>
        <v>34888.3577512182</v>
      </c>
      <c r="QK31" s="57" t="n">
        <f aca="false">'Plan holdings'!BM31</f>
        <v>87358.9032353797</v>
      </c>
      <c r="QL31" s="20" t="n">
        <f aca="false">QH31*(1+AS_Cash)</f>
        <v>14162.9266088566</v>
      </c>
      <c r="QM31" s="20" t="n">
        <f aca="false">IF(W31=1,IF(HU31=1,II31+IL31,X31-QC31)*(1+Slot1_Rate),0)</f>
        <v>0</v>
      </c>
      <c r="QN31" s="20" t="n">
        <f aca="false">IF(AND(HU31=1,W31=1),(IH31+IL31)/F31,0)</f>
        <v>0</v>
      </c>
      <c r="QO31" s="20" t="n">
        <f aca="false">IF(B31=0,IH31+IL31,0)</f>
        <v>0</v>
      </c>
      <c r="QP31" s="20" t="n">
        <f aca="false">IF(B31=0,IF(HU31=1,IJ31,IK31),0)</f>
        <v>0</v>
      </c>
      <c r="QQ31" s="20" t="n">
        <f aca="false">IF(AH31=1,IF(HU31=1,IQ31+IT31,AI31-QA31)*(1+Slot2_Rate),0)</f>
        <v>0</v>
      </c>
      <c r="QR31" s="20" t="n">
        <f aca="false">IF(AND(HU31=1,AH31=1),(IP31+IT31)/F31,0)</f>
        <v>0</v>
      </c>
      <c r="QS31" s="20" t="n">
        <f aca="false">IF(B31=0,IP31+IT31,0)</f>
        <v>0</v>
      </c>
      <c r="QT31" s="20" t="n">
        <f aca="false">IF(B31=0,IF(HU31=1,IR31,IS31),0)</f>
        <v>0</v>
      </c>
      <c r="QU31" s="20" t="n">
        <f aca="false">IF(AR31=1,IF(HU31=1,IY31+JB31,AS31-PY31)*(1+Slot3_Rate),0)</f>
        <v>0</v>
      </c>
      <c r="QV31" s="20" t="n">
        <f aca="false">IF(AND(HU31=1,AR31=1),(IX31+JB31)/F31,0)</f>
        <v>0</v>
      </c>
      <c r="QW31" s="20" t="n">
        <f aca="false">IF(B31=0,IX31+JB31,0)</f>
        <v>0</v>
      </c>
      <c r="QX31" s="20" t="n">
        <f aca="false">IF(B31=0,IF(HU31=1,IZ31,JA31),0)</f>
        <v>0</v>
      </c>
      <c r="QY31" s="20" t="n">
        <f aca="false">IF(BB31=1,IF(HU31=1,JG31+JJ31,BC31-PW31)*(1+Slot4_Rate),0)</f>
        <v>0</v>
      </c>
      <c r="QZ31" s="20" t="n">
        <f aca="false">IF(AND(HU31=1,BB31=1),(JF31+JJ31)/F31,0)</f>
        <v>0</v>
      </c>
      <c r="RA31" s="20" t="n">
        <f aca="false">IF(B31=0,JF31+JJ31,0)</f>
        <v>0</v>
      </c>
      <c r="RB31" s="20" t="n">
        <f aca="false">IF(B31=0,IF(HU31=1,JH31,JI31),0)</f>
        <v>0</v>
      </c>
      <c r="RC31" s="20" t="n">
        <f aca="false">IF(BL31=1,IF(HU31=1,JO31+JR31,BM31-PU31)*(1+Slot5_Rate),0)</f>
        <v>0</v>
      </c>
      <c r="RD31" s="20" t="n">
        <f aca="false">IF(AND(HU31=1,BL31=1),(JN31+JR31)/F31,0)</f>
        <v>0</v>
      </c>
      <c r="RE31" s="20" t="n">
        <f aca="false">IF(B31=0,JN31+JR31,0)</f>
        <v>0</v>
      </c>
      <c r="RF31" s="20" t="n">
        <f aca="false">IF(B31=0,IF(HU31=1,JP31,JQ31),0)</f>
        <v>0</v>
      </c>
      <c r="RG31" s="20" t="n">
        <f aca="false">IF(BV31=1,IF(HU31=1,JW31+JZ31,BW31-PS31)*(1+Slot6_Rate),0)</f>
        <v>0</v>
      </c>
      <c r="RH31" s="20" t="n">
        <f aca="false">IF(AND(HU31=1,BV31=1),(JV31+JZ31)/F31,0)</f>
        <v>0</v>
      </c>
      <c r="RI31" s="20" t="n">
        <f aca="false">IF(B31=0,JV31+JZ31,0)</f>
        <v>0</v>
      </c>
      <c r="RJ31" s="20" t="n">
        <f aca="false">IF(B31=0,IF(HU31=1,JX31,JY31),0)</f>
        <v>0</v>
      </c>
      <c r="RK31" s="20" t="n">
        <f aca="false">IF(CF31=1,IF(HU31=1,KE31+KH31,CG31-PQ31)*(1+Slot7_Rate),0)</f>
        <v>0</v>
      </c>
      <c r="RL31" s="20" t="n">
        <f aca="false">IF(AND(HU31=1,CF31=1),(KD31+KH31)/F31,0)</f>
        <v>0</v>
      </c>
      <c r="RM31" s="20" t="n">
        <f aca="false">IF(B31=0,KD31+KH31,0)</f>
        <v>0</v>
      </c>
      <c r="RN31" s="20" t="n">
        <f aca="false">IF(B31=0,IF(HU31=1,KF31,KG31),0)</f>
        <v>0</v>
      </c>
      <c r="RO31" s="20" t="n">
        <f aca="false">IF(CP31=1,IF(HU31=1,KM31+KP31,CQ31-PO31)*(1+Slot8_Rate),0)</f>
        <v>0</v>
      </c>
      <c r="RP31" s="20" t="n">
        <f aca="false">IF(AND(HU31=1,CP31=1),(KL31+KP31)/F31,0)</f>
        <v>0</v>
      </c>
      <c r="RQ31" s="20" t="n">
        <f aca="false">IF(B31=0,KL31+KP31,0)</f>
        <v>0</v>
      </c>
      <c r="RR31" s="20" t="n">
        <f aca="false">IF(B31=0,IF(HU31=1,KN31,KO31),0)</f>
        <v>0</v>
      </c>
      <c r="RS31" s="20" t="n">
        <f aca="false">IF(CZ31=1,IF(HU31=1,KU31+KX31,DA31-PM31)*(1+Slot9_Rate),0)</f>
        <v>0</v>
      </c>
      <c r="RT31" s="20" t="n">
        <f aca="false">IF(AND(HU31=1,CZ31=1),(KT31+KX31)/F31,0)</f>
        <v>0</v>
      </c>
      <c r="RU31" s="20" t="n">
        <f aca="false">IF(B31=0,KT31+KX31,0)</f>
        <v>0</v>
      </c>
      <c r="RV31" s="20" t="n">
        <f aca="false">IF(B31=0,IF(HU31=1,KV31,KW31),0)</f>
        <v>0</v>
      </c>
      <c r="RW31" s="20" t="n">
        <f aca="false">IF(DJ31=1,IF(HU31=1,LC31+LF31,DK31-PK31)*(1+Slot10_Rate),0)</f>
        <v>0</v>
      </c>
      <c r="RX31" s="20" t="n">
        <f aca="false">IF(AND(HU31=1,DJ31=1),(LB31+LF31)/F31,0)</f>
        <v>0</v>
      </c>
      <c r="RY31" s="20" t="n">
        <f aca="false">IF(B31=0,LB31+LF31,0)</f>
        <v>0</v>
      </c>
      <c r="RZ31" s="20" t="n">
        <f aca="false">IF(B31=0,IF(HU31=1,LD31,LE31),0)</f>
        <v>0</v>
      </c>
      <c r="SA31" s="20" t="n">
        <f aca="false">IF(DT31=1,IF(HU31=1,LK31+LN31,DU31-PI31)*(1+Slot11_Rate),0)</f>
        <v>0</v>
      </c>
      <c r="SB31" s="20" t="n">
        <f aca="false">IF(AND(HU31=1,DT31=1),(LJ31+LN31)/F31,0)</f>
        <v>0</v>
      </c>
      <c r="SC31" s="20" t="n">
        <f aca="false">IF(B31=0,LJ31+LN31,0)</f>
        <v>0</v>
      </c>
      <c r="SD31" s="20" t="n">
        <f aca="false">IF(B31=0,IF(HU31=1,LL31,LM31),0)</f>
        <v>0</v>
      </c>
      <c r="SE31" s="20" t="n">
        <f aca="false">IF(ED31=1,IF(HU31=1,LS31+LV31,EE31-PG31)*(1+Slot12_Rate),0)</f>
        <v>0</v>
      </c>
      <c r="SF31" s="20" t="n">
        <f aca="false">IF(AND(HU31=1,ED31=1),(LR31+LV31)/F31,0)</f>
        <v>0</v>
      </c>
      <c r="SG31" s="20" t="n">
        <f aca="false">IF(B31=0,LR31+LV31,0)</f>
        <v>0</v>
      </c>
      <c r="SH31" s="20" t="n">
        <f aca="false">IF(B31=0,IF(HU31=1,LT31,LU31),0)</f>
        <v>0</v>
      </c>
      <c r="SI31" s="20" t="n">
        <f aca="false">IF(EN31=1,IF(HU31=1,MA31+MD31,EO31-PE31)*(1+Slot13_Rate),0)</f>
        <v>0</v>
      </c>
      <c r="SJ31" s="20" t="n">
        <f aca="false">IF(AND(HU31=1,EN31=1),(LZ31+MD31)/F31,0)</f>
        <v>0</v>
      </c>
      <c r="SK31" s="20" t="n">
        <f aca="false">IF(B31=0,LZ31+MD31,0)</f>
        <v>0</v>
      </c>
      <c r="SL31" s="20" t="n">
        <f aca="false">IF(B31=0,IF(HU31=1,MB31,MC31),0)</f>
        <v>0</v>
      </c>
      <c r="SM31" s="20" t="n">
        <f aca="false">IF(EX31=1,IF(HU31=1,MI31+ML31,EY31-PC31)*(1+Slot14_Rate),0)</f>
        <v>0</v>
      </c>
      <c r="SN31" s="20" t="n">
        <f aca="false">IF(AND(HU31=1,EX31=1),(MH31+ML31)/F31,0)</f>
        <v>0</v>
      </c>
      <c r="SO31" s="20" t="n">
        <f aca="false">IF(B31=0,MH31+ML31,0)</f>
        <v>0</v>
      </c>
      <c r="SP31" s="20" t="n">
        <f aca="false">IF(B31=0,IF(HU31=1,MJ31,MK31),0)</f>
        <v>0</v>
      </c>
      <c r="SQ31" s="20" t="n">
        <f aca="false">IF(FH31=1,IF(HU31=1,MQ31+MT31,FI31-PA31)*(1+Slot15_Rate),0)</f>
        <v>0</v>
      </c>
      <c r="SR31" s="20" t="n">
        <f aca="false">IF(AND(HU31=1,FH31=1),(MP31+MT31)/F31,0)</f>
        <v>0</v>
      </c>
      <c r="SS31" s="20" t="n">
        <f aca="false">IF(B31=0,MP31+MT31,0)</f>
        <v>0</v>
      </c>
      <c r="ST31" s="20" t="n">
        <f aca="false">IF(B31=0,IF(HU31=1,MR31,MS31),0)</f>
        <v>0</v>
      </c>
      <c r="SU31" s="20" t="n">
        <f aca="false">IF(FR31=1,IF(HU31=1,MY31+NB31,FS31-OY31)*(1+Slot16_Rate),0)</f>
        <v>0</v>
      </c>
      <c r="SV31" s="20" t="n">
        <f aca="false">IF(AND(HU31=1,FR31=1),(MX31+NB31)/F31,0)</f>
        <v>0</v>
      </c>
      <c r="SW31" s="20" t="n">
        <f aca="false">IF(B31=0,MX31+NB31,0)</f>
        <v>0</v>
      </c>
      <c r="SX31" s="20" t="n">
        <f aca="false">IF(B31=0,IF(HU31=1,MZ31,NA31),0)</f>
        <v>0</v>
      </c>
      <c r="SY31" s="20" t="n">
        <f aca="false">IF(GB31=1,IF(HU31=1,NG31+NJ31,GC31-OW31)*(1+Slot17_Rate),0)</f>
        <v>0</v>
      </c>
      <c r="SZ31" s="20" t="n">
        <f aca="false">IF(AND(HU31=1,GB31=1),(NF31+NJ31)/F31,0)</f>
        <v>0</v>
      </c>
      <c r="TA31" s="20" t="n">
        <f aca="false">IF(B31=0,NF31+NJ31,0)</f>
        <v>0</v>
      </c>
      <c r="TB31" s="20" t="n">
        <f aca="false">IF(B31=0,IF(HU31=1,NH31,NI31),0)</f>
        <v>0</v>
      </c>
      <c r="TC31" s="20" t="n">
        <f aca="false">IF(GL31=1,IF(HU31=1,NO31+NR31,GM31-OU31)*(1+Slot18_Rate),0)</f>
        <v>0</v>
      </c>
      <c r="TD31" s="20" t="n">
        <f aca="false">IF(AND(HU31=1,GL31=1),(NN31+NR31)/F31,0)</f>
        <v>0</v>
      </c>
      <c r="TE31" s="20" t="n">
        <f aca="false">IF(B31=0,NN31+NR31,0)</f>
        <v>0</v>
      </c>
      <c r="TF31" s="20" t="n">
        <f aca="false">IF(B31=0,IF(HU31=1,NP31,NQ31),0)</f>
        <v>0</v>
      </c>
      <c r="TG31" s="20" t="n">
        <f aca="false">IF(GV31=1,IF(HU31=1,NW31+NZ31,GW31-OS31)*(1+Slot19_Rate),0)</f>
        <v>0</v>
      </c>
      <c r="TH31" s="20" t="n">
        <f aca="false">IF(AND(HU31=1,GV31=1),(NV31+NZ31)/F31,0)</f>
        <v>0</v>
      </c>
      <c r="TI31" s="20" t="n">
        <f aca="false">IF(B31=0,NV31+NZ31,0)</f>
        <v>0</v>
      </c>
      <c r="TJ31" s="20" t="n">
        <f aca="false">IF(B31=0,IF(HU31=1,NX31,NY31),0)</f>
        <v>0</v>
      </c>
      <c r="TK31" s="20" t="n">
        <f aca="false">IF(HF31=1,IF(HU31=1,OE31+OH31,HG31-OQ31)*(1+Slot20_Rate),0)</f>
        <v>0</v>
      </c>
      <c r="TL31" s="20" t="n">
        <f aca="false">IF(AND(HU31=1,HF31=1),(OD31+OH31)/F31,0)</f>
        <v>0</v>
      </c>
      <c r="TM31" s="20" t="n">
        <f aca="false">IF(B31=0,OD31+OH31,0)</f>
        <v>0</v>
      </c>
      <c r="TN31" s="20" t="n">
        <f aca="false">IF(B31=0,IF(HU31=1,OF31,OG31),0)</f>
        <v>0</v>
      </c>
      <c r="TO31" s="20" t="n">
        <f aca="false">QK31+QL31+QM31+QQ31+QU31+QY31+RC31+RG31+RK31+RO31+RS31+RW31+SA31+SE31+SI31+SM31+SQ31+SU31+SY31+TC31+TG31+TK31</f>
        <v>101521.829844236</v>
      </c>
      <c r="TP31" s="20" t="n">
        <f aca="false">QE31+HP31</f>
        <v>0</v>
      </c>
      <c r="TQ31" s="20" t="n">
        <f aca="false">I31+S31</f>
        <v>70960.4668886129</v>
      </c>
      <c r="TR31" s="20" t="n">
        <f aca="false">1-G31</f>
        <v>0</v>
      </c>
      <c r="TS31" s="20" t="n">
        <f aca="false">IF(AND(RG_Exists=1,G31=0,C31=1),I31,0)</f>
        <v>0</v>
      </c>
      <c r="TT31" s="20" t="n">
        <f aca="false">IF(AND(RG_Exists=1,G31=0,C31=1),I31-MIN(QE31,I31),0)</f>
        <v>0</v>
      </c>
      <c r="TU31" s="20" t="n">
        <f aca="false">'Plan pay &amp; tax'!AD257</f>
        <v>557852.402707787</v>
      </c>
      <c r="TV31" s="20" t="n">
        <f aca="false">IF(AND(C31=1,QE31&gt;MAX(PR_Short1,TQ31*PR_Short2)),1,0)</f>
        <v>0</v>
      </c>
      <c r="TW31" s="20" t="n">
        <f aca="false">MIN(H31,I31+S31)</f>
        <v>70960.4668886129</v>
      </c>
      <c r="TX31" s="20" t="n">
        <f aca="false">QF31+MAX(0,HQ31-HP31)</f>
        <v>0</v>
      </c>
      <c r="TY31" s="20" t="n">
        <f aca="false">QE31+HP31</f>
        <v>0</v>
      </c>
      <c r="TZ31" s="20" t="n">
        <f aca="false">IF(AND(C31=1,TY31&gt;PR_MinShort),1,0)</f>
        <v>0</v>
      </c>
      <c r="UA31" s="20" t="n">
        <f aca="false">IF(AND(C31=1,TZ31=0,TX31&gt;PR_MinShort),1,0)</f>
        <v>0</v>
      </c>
      <c r="UB31" s="20" t="n">
        <f aca="false">IF(AND(C31=1,QE31&gt;PR_MinShort),1,0)</f>
        <v>0</v>
      </c>
      <c r="UC31" s="20" t="n">
        <f aca="false">IF(AND(C31=1,QF31&gt;1,UJ31=0),1,0)</f>
        <v>0</v>
      </c>
      <c r="UD31" s="20" t="str">
        <f aca="false">IF(C31=0,"",IF(UJ31=1,"Gap to plan for: short "&amp;"€"&amp;TEXT(ROUND(TP31,0),"#,##0"),IF(QF31&gt;1,"Using savings","Comfortable")))</f>
        <v>Comfortable</v>
      </c>
      <c r="UE31" s="20" t="n">
        <f aca="false">IF(AND(INT(D31/10)*10=90,B31&gt;0),80,INT(D31/10)*10)</f>
        <v>60</v>
      </c>
      <c r="UF31" s="20" t="n">
        <f aca="false">IF(B31=0,1,IF(UE31&lt;&gt;UE30,UF30+1,UF30))</f>
        <v>4</v>
      </c>
      <c r="UG31" s="20" t="n">
        <f aca="false">IF(AND(C31=1,G31=1,QE31&gt;MAX(PR_Short1,TQ31*PR_Short2)),1,0)</f>
        <v>0</v>
      </c>
      <c r="UH31" s="20" t="n">
        <f aca="false">TR31*TV31</f>
        <v>0</v>
      </c>
      <c r="UI31" s="20" t="n">
        <f aca="false">IF(AND(V31=1,Slot1_PctLow=1),1,0)+IF(AND(AG31=1,Slot2_PctLow=1),1,0)+IF(AND(AQ31=1,Slot3_PctLow=1),1,0)+IF(AND(BA31=1,Slot4_PctLow=1),1,0)+IF(AND(BK31=1,Slot5_PctLow=1),1,0)+IF(AND(BU31=1,Slot6_PctLow=1),1,0)+IF(AND(CE31=1,Slot7_PctLow=1),1,0)+IF(AND(CO31=1,Slot8_PctLow=1),1,0)+IF(AND(CY31=1,Slot9_PctLow=1),1,0)+IF(AND(DI31=1,Slot10_PctLow=1),1,0)+IF(AND(DS31=1,Slot11_PctLow=1),1,0)+IF(AND(EC31=1,Slot12_PctLow=1),1,0)+IF(AND(EM31=1,Slot13_PctLow=1),1,0)+IF(AND(EW31=1,Slot14_PctLow=1),1,0)+IF(AND(FG31=1,Slot15_PctLow=1),1,0)+IF(AND(FQ31=1,Slot16_PctLow=1),1,0)+IF(AND(GA31=1,Slot17_PctLow=1),1,0)+IF(AND(GK31=1,Slot18_PctLow=1),1,0)+IF(AND(GU31=1,Slot19_PctLow=1),1,0)+IF(AND(HE31=1,Slot20_PctLow=1),1,0)</f>
        <v>0</v>
      </c>
      <c r="UJ31" s="20" t="n">
        <f aca="false">IF(C31=1,IF(OR(TV31=1,UI31&gt;0),1,0),0)</f>
        <v>0</v>
      </c>
      <c r="UK31" s="20" t="n">
        <f aca="false">Z31+AK31+AU31+BE31+BO31+BY31+CI31+CS31+DC31+DM31+DW31+EG31+EQ31+FA31+FK31+FU31+GE31+GO31+GY31+HI31+OM31</f>
        <v>0</v>
      </c>
      <c r="UL31" s="20" t="n">
        <f aca="false">V31*IF(Slot1_SpendLike=1,X31-Y31,IF(Slot1_PotFree=1,X31,0))+AG31*IF(Slot2_SpendLike=1,AI31-AJ31,IF(Slot2_PotFree=1,AI31,0))+AQ31*IF(Slot3_SpendLike=1,AS31-AT31,IF(Slot3_PotFree=1,AS31,0))+BA31*IF(Slot4_SpendLike=1,BC31-BD31,IF(Slot4_PotFree=1,BC31,0))+BK31*IF(Slot5_SpendLike=1,BM31-BN31,IF(Slot5_PotFree=1,BM31,0))+BU31*IF(Slot6_SpendLike=1,BW31-BX31,IF(Slot6_PotFree=1,BW31,0))+CE31*IF(Slot7_SpendLike=1,CG31-CH31,IF(Slot7_PotFree=1,CG31,0))+CO31*IF(Slot8_SpendLike=1,CQ31-CR31,IF(Slot8_PotFree=1,CQ31,0))+CY31*IF(Slot9_SpendLike=1,DA31-DB31,IF(Slot9_PotFree=1,DA31,0))+DI31*IF(Slot10_SpendLike=1,DK31-DL31,IF(Slot10_PotFree=1,DK31,0))+DS31*IF(Slot11_SpendLike=1,DU31-DV31,IF(Slot11_PotFree=1,DU31,0))+EC31*IF(Slot12_SpendLike=1,EE31-EF31,IF(Slot12_PotFree=1,EE31,0))+EM31*IF(Slot13_SpendLike=1,EO31-EP31,IF(Slot13_PotFree=1,EO31,0))+EW31*IF(Slot14_SpendLike=1,EY31-EZ31,IF(Slot14_PotFree=1,EY31,0))+FG31*IF(Slot15_SpendLike=1,FI31-FJ31,IF(Slot15_PotFree=1,FI31,0))+FQ31*IF(Slot16_SpendLike=1,FS31-FT31,IF(Slot16_PotFree=1,FS31,0))+GA31*IF(Slot17_SpendLike=1,GC31-GD31,IF(Slot17_PotFree=1,GC31,0))+GK31*IF(Slot18_SpendLike=1,GM31-GN31,IF(Slot18_PotFree=1,GM31,0))+GU31*IF(Slot19_SpendLike=1,GW31-GX31,IF(Slot19_PotFree=1,GW31,0))+HE31*IF(Slot20_SpendLike=1,HG31-HH31,IF(Slot20_PotFree=1,HG31,0))</f>
        <v>0</v>
      </c>
      <c r="UM31" s="20" t="n">
        <f aca="false">QG31-T31+UK31-UL31</f>
        <v>9461.39558514839</v>
      </c>
      <c r="UN31" s="20" t="n">
        <f aca="false">IF(OR(UN30=1,AND(In_homeUse="Yes, I'd downsize",In_downAge&gt;0,D31=In_downAge,OR(In_home="Own outright",In_home="Own with mortgage"),In_homeValue&gt;0)),1,0)</f>
        <v>0</v>
      </c>
    </row>
    <row r="32" customFormat="false" ht="15" hidden="false" customHeight="true" outlineLevel="0" collapsed="false">
      <c r="B32" s="20" t="n">
        <v>24</v>
      </c>
      <c r="C32" s="20" t="n">
        <f aca="false">IF(B32&lt;=F_N,1,0)</f>
        <v>1</v>
      </c>
      <c r="D32" s="20" t="n">
        <f aca="false">'Plan pay &amp; tax'!C258</f>
        <v>62</v>
      </c>
      <c r="E32" s="20" t="str">
        <f aca="false">IF($C32=1,"Income tax "&amp;TEXT(N('Plan pay &amp; tax'!BK258),"#,##0")&amp;"; USC "&amp;TEXT(N('Plan pay &amp; tax'!BM258)+N('Plan pay &amp; tax'!BO258),"#,##0")&amp;"; PRSI "&amp;TEXT(N('Plan pay &amp; tax'!BP258)+N('Plan pay &amp; tax'!BQ258),"#,##0")&amp;IF(N('Plan holdings'!BO32)&gt;=0.5,"; DIRT "&amp;TEXT(('Plan holdings'!BO32)/$F32,"#,##0")&amp;" (already taken from the interest earned)","")&amp;IF(N('Plan holdings'!BP32)&gt;=0.5,"; exit tax at an 8-year anniversary "&amp;TEXT(('Plan holdings'!BP32)/$F32,"#,##0"),"")&amp;IF(N('Plan holdings'!BN32)&gt;=0.5,"; tax on assets sold (exit tax or capital gains tax) "&amp;TEXT(('Plan holdings'!BN32)/$F32,"#,##0"),"")&amp;IF(N('Plan pay &amp; tax'!X258)-N('Plan pay &amp; tax'!Y258)&gt;=0.5,"; tax on the pension lump sum "&amp;TEXT(('Plan pay &amp; tax'!X258-'Plan pay &amp; tax'!Y258)/$F32,"#,##0"),"")&amp;IF(N('Plan pay &amp; tax'!V258)&gt;=0.5,"; chargeable excess tax on the pension "&amp;TEXT(('Plan pay &amp; tax'!V258)/$F32,"#,##0"),"")&amp;".","")</f>
        <v>Income tax 16,504; USC 2,271; PRSI 4,752; DIRT 213 (already taken from the interest earned); exit tax at an 8-year anniversary 293.</v>
      </c>
      <c r="F32" s="50" t="n">
        <f aca="false">'Plan pay &amp; tax'!E258</f>
        <v>1.60843724947523</v>
      </c>
      <c r="G32" s="20" t="n">
        <f aca="false">'Plan pay &amp; tax'!G258</f>
        <v>1</v>
      </c>
      <c r="H32" s="20" t="n">
        <f aca="false">'Plan pay &amp; tax'!BT258-'Plan pay &amp; tax'!BS258-'Plan pay &amp; tax'!R258</f>
        <v>118439.173374238</v>
      </c>
      <c r="I32" s="20" t="n">
        <f aca="false">IF(G32=1,F_CostsM*12,IF(RG_Exists=1,RG_Amount,F_CostsM*12*AS_RetireSpend))*F32+F_OneOffY*F32</f>
        <v>72379.6762263852</v>
      </c>
      <c r="J32" s="20" t="n">
        <f aca="false">IF(UN32=1,0,HR31)</f>
        <v>0</v>
      </c>
      <c r="K32" s="20" t="n">
        <f aca="false">IF(J32&gt;1,'Plan debt months'!AC32,0)</f>
        <v>0</v>
      </c>
      <c r="L32" s="20" t="n">
        <f aca="false">IF(J32&gt;1,'Plan debt months'!AB32,J32)</f>
        <v>0</v>
      </c>
      <c r="M32" s="20" t="n">
        <f aca="false">O31</f>
        <v>0</v>
      </c>
      <c r="N32" s="20" t="n">
        <f aca="false">IF(M32&gt;1,'Plan debt months'!BD32,0)</f>
        <v>0</v>
      </c>
      <c r="O32" s="20" t="n">
        <f aca="false">IF(M32&gt;1,'Plan debt months'!BC32,M32)</f>
        <v>0</v>
      </c>
      <c r="P32" s="20" t="n">
        <f aca="false">R31</f>
        <v>0</v>
      </c>
      <c r="Q32" s="20" t="n">
        <f aca="false">IF(P32&gt;1,'Plan debt months'!CE32,0)</f>
        <v>0</v>
      </c>
      <c r="R32" s="20" t="n">
        <f aca="false">IF(P32&gt;1,'Plan debt months'!CD32,P32)</f>
        <v>0</v>
      </c>
      <c r="S32" s="20" t="n">
        <f aca="false">K32+N32+Q32</f>
        <v>0</v>
      </c>
      <c r="T32" s="57" t="n">
        <f aca="false">'Plan holdings'!Y32</f>
        <v>85416.2346733037</v>
      </c>
      <c r="U32" s="57" t="n">
        <f aca="false">'Plan holdings'!BM31</f>
        <v>87358.9032353797</v>
      </c>
      <c r="V32" s="20" t="n">
        <f aca="false">IF(AND(Slot1_On=1,D32=Slot1_Age),1,0)</f>
        <v>0</v>
      </c>
      <c r="W32" s="20" t="n">
        <f aca="false">IF(AND(Slot1_On=1,Slot1_Age&gt;D32),1,0)</f>
        <v>0</v>
      </c>
      <c r="X32" s="20" t="n">
        <f aca="false">QM31</f>
        <v>0</v>
      </c>
      <c r="Y32" s="20" t="n">
        <f aca="false">V32*MIN(Slot1_Cost,X32)</f>
        <v>0</v>
      </c>
      <c r="Z32" s="20" t="n">
        <f aca="false">V32*Slot1_SpendLike*MIN(Slot1_Cost-Y32,T32)</f>
        <v>0</v>
      </c>
      <c r="AA32" s="20" t="n">
        <f aca="false">Y32+Z32</f>
        <v>0</v>
      </c>
      <c r="AB32" s="20" t="n">
        <f aca="false">T32-Z32+V32*IF(Slot1_SpendLike=1,X32-Y32,IF(Slot1_PotFree=1,X32,0))</f>
        <v>85416.2346733037</v>
      </c>
      <c r="AC32" s="20" t="n">
        <f aca="false">AF32+V32*Slot1_BufPot*X32</f>
        <v>14162.9266088566</v>
      </c>
      <c r="AD32" s="20" t="n">
        <f aca="false">IF(AND(V32=1,Slot1_IsMfree=1),IF(AA32&gt;=Slot1_Cost-1,0,MAX(0,L32-AA32)),L32)</f>
        <v>0</v>
      </c>
      <c r="AE32" s="20" t="n">
        <f aca="false">V32*(Slot1_Cost-AA32)</f>
        <v>0</v>
      </c>
      <c r="AF32" s="20" t="n">
        <f aca="false">QL31</f>
        <v>14162.9266088566</v>
      </c>
      <c r="AG32" s="20" t="n">
        <f aca="false">IF(AND(Slot2_On=1,D32=Slot2_Age),1,0)</f>
        <v>0</v>
      </c>
      <c r="AH32" s="20" t="n">
        <f aca="false">IF(AND(Slot2_On=1,Slot2_Age&gt;D32),1,0)</f>
        <v>0</v>
      </c>
      <c r="AI32" s="20" t="n">
        <f aca="false">QQ31</f>
        <v>0</v>
      </c>
      <c r="AJ32" s="20" t="n">
        <f aca="false">AG32*MIN(Slot2_Cost,AI32)</f>
        <v>0</v>
      </c>
      <c r="AK32" s="20" t="n">
        <f aca="false">AG32*Slot2_SpendLike*MIN(Slot2_Cost-AJ32,AB32)</f>
        <v>0</v>
      </c>
      <c r="AL32" s="20" t="n">
        <f aca="false">AJ32+AK32</f>
        <v>0</v>
      </c>
      <c r="AM32" s="20" t="n">
        <f aca="false">AB32-AK32+AG32*IF(Slot2_SpendLike=1,AI32-AJ32,IF(Slot2_PotFree=1,AI32,0))</f>
        <v>85416.2346733037</v>
      </c>
      <c r="AN32" s="20" t="n">
        <f aca="false">AC32+AG32*Slot2_BufPot*AI32</f>
        <v>14162.9266088566</v>
      </c>
      <c r="AO32" s="20" t="n">
        <f aca="false">IF(AND(AG32=1,Slot2_IsMfree=1),IF(AL32&gt;=Slot2_Cost-1,0,MAX(0,AD32-AL32)),AD32)</f>
        <v>0</v>
      </c>
      <c r="AP32" s="20" t="n">
        <f aca="false">AG32*(Slot2_Cost-AL32)</f>
        <v>0</v>
      </c>
      <c r="AQ32" s="20" t="n">
        <f aca="false">IF(AND(Slot3_On=1,D32=Slot3_Age),1,0)</f>
        <v>0</v>
      </c>
      <c r="AR32" s="20" t="n">
        <f aca="false">IF(AND(Slot3_On=1,Slot3_Age&gt;D32),1,0)</f>
        <v>0</v>
      </c>
      <c r="AS32" s="20" t="n">
        <f aca="false">QU31</f>
        <v>0</v>
      </c>
      <c r="AT32" s="20" t="n">
        <f aca="false">AQ32*MIN(Slot3_Cost,AS32)</f>
        <v>0</v>
      </c>
      <c r="AU32" s="20" t="n">
        <f aca="false">AQ32*Slot3_SpendLike*MIN(Slot3_Cost-AT32,AM32)</f>
        <v>0</v>
      </c>
      <c r="AV32" s="20" t="n">
        <f aca="false">AT32+AU32</f>
        <v>0</v>
      </c>
      <c r="AW32" s="20" t="n">
        <f aca="false">AM32-AU32+AQ32*IF(Slot3_SpendLike=1,AS32-AT32,IF(Slot3_PotFree=1,AS32,0))</f>
        <v>85416.2346733037</v>
      </c>
      <c r="AX32" s="20" t="n">
        <f aca="false">AN32+AQ32*Slot3_BufPot*AS32</f>
        <v>14162.9266088566</v>
      </c>
      <c r="AY32" s="20" t="n">
        <f aca="false">IF(AND(AQ32=1,Slot3_IsMfree=1),IF(AV32&gt;=Slot3_Cost-1,0,MAX(0,AO32-AV32)),AO32)</f>
        <v>0</v>
      </c>
      <c r="AZ32" s="20" t="n">
        <f aca="false">AQ32*(Slot3_Cost-AV32)</f>
        <v>0</v>
      </c>
      <c r="BA32" s="20" t="n">
        <f aca="false">IF(AND(Slot4_On=1,D32=Slot4_Age),1,0)</f>
        <v>0</v>
      </c>
      <c r="BB32" s="20" t="n">
        <f aca="false">IF(AND(Slot4_On=1,Slot4_Age&gt;D32),1,0)</f>
        <v>0</v>
      </c>
      <c r="BC32" s="20" t="n">
        <f aca="false">QY31</f>
        <v>0</v>
      </c>
      <c r="BD32" s="20" t="n">
        <f aca="false">BA32*MIN(Slot4_Cost,BC32)</f>
        <v>0</v>
      </c>
      <c r="BE32" s="20" t="n">
        <f aca="false">BA32*Slot4_SpendLike*MIN(Slot4_Cost-BD32,AW32)</f>
        <v>0</v>
      </c>
      <c r="BF32" s="20" t="n">
        <f aca="false">BD32+BE32</f>
        <v>0</v>
      </c>
      <c r="BG32" s="20" t="n">
        <f aca="false">AW32-BE32+BA32*IF(Slot4_SpendLike=1,BC32-BD32,IF(Slot4_PotFree=1,BC32,0))</f>
        <v>85416.2346733037</v>
      </c>
      <c r="BH32" s="20" t="n">
        <f aca="false">AX32+BA32*Slot4_BufPot*BC32</f>
        <v>14162.9266088566</v>
      </c>
      <c r="BI32" s="20" t="n">
        <f aca="false">IF(AND(BA32=1,Slot4_IsMfree=1),IF(BF32&gt;=Slot4_Cost-1,0,MAX(0,AY32-BF32)),AY32)</f>
        <v>0</v>
      </c>
      <c r="BJ32" s="20" t="n">
        <f aca="false">BA32*(Slot4_Cost-BF32)</f>
        <v>0</v>
      </c>
      <c r="BK32" s="20" t="n">
        <f aca="false">IF(AND(Slot5_On=1,D32=Slot5_Age),1,0)</f>
        <v>0</v>
      </c>
      <c r="BL32" s="20" t="n">
        <f aca="false">IF(AND(Slot5_On=1,Slot5_Age&gt;D32),1,0)</f>
        <v>0</v>
      </c>
      <c r="BM32" s="20" t="n">
        <f aca="false">RC31</f>
        <v>0</v>
      </c>
      <c r="BN32" s="20" t="n">
        <f aca="false">BK32*MIN(Slot5_Cost,BM32)</f>
        <v>0</v>
      </c>
      <c r="BO32" s="20" t="n">
        <f aca="false">BK32*Slot5_SpendLike*MIN(Slot5_Cost-BN32,BG32)</f>
        <v>0</v>
      </c>
      <c r="BP32" s="20" t="n">
        <f aca="false">BN32+BO32</f>
        <v>0</v>
      </c>
      <c r="BQ32" s="20" t="n">
        <f aca="false">BG32-BO32+BK32*IF(Slot5_SpendLike=1,BM32-BN32,IF(Slot5_PotFree=1,BM32,0))</f>
        <v>85416.2346733037</v>
      </c>
      <c r="BR32" s="20" t="n">
        <f aca="false">BH32+BK32*Slot5_BufPot*BM32</f>
        <v>14162.9266088566</v>
      </c>
      <c r="BS32" s="20" t="n">
        <f aca="false">IF(AND(BK32=1,Slot5_IsMfree=1),IF(BP32&gt;=Slot5_Cost-1,0,MAX(0,BI32-BP32)),BI32)</f>
        <v>0</v>
      </c>
      <c r="BT32" s="20" t="n">
        <f aca="false">BK32*(Slot5_Cost-BP32)</f>
        <v>0</v>
      </c>
      <c r="BU32" s="20" t="n">
        <f aca="false">IF(AND(Slot6_On=1,D32=Slot6_Age),1,0)</f>
        <v>0</v>
      </c>
      <c r="BV32" s="20" t="n">
        <f aca="false">IF(AND(Slot6_On=1,Slot6_Age&gt;D32),1,0)</f>
        <v>0</v>
      </c>
      <c r="BW32" s="20" t="n">
        <f aca="false">RG31</f>
        <v>0</v>
      </c>
      <c r="BX32" s="20" t="n">
        <f aca="false">BU32*MIN(Slot6_Cost,BW32)</f>
        <v>0</v>
      </c>
      <c r="BY32" s="20" t="n">
        <f aca="false">BU32*Slot6_SpendLike*MIN(Slot6_Cost-BX32,BQ32)</f>
        <v>0</v>
      </c>
      <c r="BZ32" s="20" t="n">
        <f aca="false">BX32+BY32</f>
        <v>0</v>
      </c>
      <c r="CA32" s="20" t="n">
        <f aca="false">BQ32-BY32+BU32*IF(Slot6_SpendLike=1,BW32-BX32,IF(Slot6_PotFree=1,BW32,0))</f>
        <v>85416.2346733037</v>
      </c>
      <c r="CB32" s="20" t="n">
        <f aca="false">BR32+BU32*Slot6_BufPot*BW32</f>
        <v>14162.9266088566</v>
      </c>
      <c r="CC32" s="20" t="n">
        <f aca="false">IF(AND(BU32=1,Slot6_IsMfree=1),IF(BZ32&gt;=Slot6_Cost-1,0,MAX(0,BS32-BZ32)),BS32)</f>
        <v>0</v>
      </c>
      <c r="CD32" s="20" t="n">
        <f aca="false">BU32*(Slot6_Cost-BZ32)</f>
        <v>0</v>
      </c>
      <c r="CE32" s="20" t="n">
        <f aca="false">IF(AND(Slot7_On=1,D32=Slot7_Age),1,0)</f>
        <v>0</v>
      </c>
      <c r="CF32" s="20" t="n">
        <f aca="false">IF(AND(Slot7_On=1,Slot7_Age&gt;D32),1,0)</f>
        <v>0</v>
      </c>
      <c r="CG32" s="20" t="n">
        <f aca="false">RK31</f>
        <v>0</v>
      </c>
      <c r="CH32" s="20" t="n">
        <f aca="false">CE32*MIN(Slot7_Cost,CG32)</f>
        <v>0</v>
      </c>
      <c r="CI32" s="20" t="n">
        <f aca="false">CE32*Slot7_SpendLike*MIN(Slot7_Cost-CH32,CA32)</f>
        <v>0</v>
      </c>
      <c r="CJ32" s="20" t="n">
        <f aca="false">CH32+CI32</f>
        <v>0</v>
      </c>
      <c r="CK32" s="20" t="n">
        <f aca="false">CA32-CI32+CE32*IF(Slot7_SpendLike=1,CG32-CH32,IF(Slot7_PotFree=1,CG32,0))</f>
        <v>85416.2346733037</v>
      </c>
      <c r="CL32" s="20" t="n">
        <f aca="false">CB32+CE32*Slot7_BufPot*CG32</f>
        <v>14162.9266088566</v>
      </c>
      <c r="CM32" s="20" t="n">
        <f aca="false">IF(AND(CE32=1,Slot7_IsMfree=1),IF(CJ32&gt;=Slot7_Cost-1,0,MAX(0,CC32-CJ32)),CC32)</f>
        <v>0</v>
      </c>
      <c r="CN32" s="20" t="n">
        <f aca="false">CE32*(Slot7_Cost-CJ32)</f>
        <v>0</v>
      </c>
      <c r="CO32" s="20" t="n">
        <f aca="false">IF(AND(Slot8_On=1,D32=Slot8_Age),1,0)</f>
        <v>0</v>
      </c>
      <c r="CP32" s="20" t="n">
        <f aca="false">IF(AND(Slot8_On=1,Slot8_Age&gt;D32),1,0)</f>
        <v>0</v>
      </c>
      <c r="CQ32" s="20" t="n">
        <f aca="false">RO31</f>
        <v>0</v>
      </c>
      <c r="CR32" s="20" t="n">
        <f aca="false">CO32*MIN(Slot8_Cost,CQ32)</f>
        <v>0</v>
      </c>
      <c r="CS32" s="20" t="n">
        <f aca="false">CO32*Slot8_SpendLike*MIN(Slot8_Cost-CR32,CK32)</f>
        <v>0</v>
      </c>
      <c r="CT32" s="20" t="n">
        <f aca="false">CR32+CS32</f>
        <v>0</v>
      </c>
      <c r="CU32" s="20" t="n">
        <f aca="false">CK32-CS32+CO32*IF(Slot8_SpendLike=1,CQ32-CR32,IF(Slot8_PotFree=1,CQ32,0))</f>
        <v>85416.2346733037</v>
      </c>
      <c r="CV32" s="20" t="n">
        <f aca="false">CL32+CO32*Slot8_BufPot*CQ32</f>
        <v>14162.9266088566</v>
      </c>
      <c r="CW32" s="20" t="n">
        <f aca="false">IF(AND(CO32=1,Slot8_IsMfree=1),IF(CT32&gt;=Slot8_Cost-1,0,MAX(0,CM32-CT32)),CM32)</f>
        <v>0</v>
      </c>
      <c r="CX32" s="20" t="n">
        <f aca="false">CO32*(Slot8_Cost-CT32)</f>
        <v>0</v>
      </c>
      <c r="CY32" s="20" t="n">
        <f aca="false">IF(AND(Slot9_On=1,D32=Slot9_Age),1,0)</f>
        <v>0</v>
      </c>
      <c r="CZ32" s="20" t="n">
        <f aca="false">IF(AND(Slot9_On=1,Slot9_Age&gt;D32),1,0)</f>
        <v>0</v>
      </c>
      <c r="DA32" s="20" t="n">
        <f aca="false">RS31</f>
        <v>0</v>
      </c>
      <c r="DB32" s="20" t="n">
        <f aca="false">CY32*MIN(Slot9_Cost,DA32)</f>
        <v>0</v>
      </c>
      <c r="DC32" s="20" t="n">
        <f aca="false">CY32*Slot9_SpendLike*MIN(Slot9_Cost-DB32,CU32)</f>
        <v>0</v>
      </c>
      <c r="DD32" s="20" t="n">
        <f aca="false">DB32+DC32</f>
        <v>0</v>
      </c>
      <c r="DE32" s="20" t="n">
        <f aca="false">CU32-DC32+CY32*IF(Slot9_SpendLike=1,DA32-DB32,IF(Slot9_PotFree=1,DA32,0))</f>
        <v>85416.2346733037</v>
      </c>
      <c r="DF32" s="20" t="n">
        <f aca="false">CV32+CY32*Slot9_BufPot*DA32</f>
        <v>14162.9266088566</v>
      </c>
      <c r="DG32" s="20" t="n">
        <f aca="false">IF(AND(CY32=1,Slot9_IsMfree=1),IF(DD32&gt;=Slot9_Cost-1,0,MAX(0,CW32-DD32)),CW32)</f>
        <v>0</v>
      </c>
      <c r="DH32" s="20" t="n">
        <f aca="false">CY32*(Slot9_Cost-DD32)</f>
        <v>0</v>
      </c>
      <c r="DI32" s="20" t="n">
        <f aca="false">IF(AND(Slot10_On=1,D32=Slot10_Age),1,0)</f>
        <v>0</v>
      </c>
      <c r="DJ32" s="20" t="n">
        <f aca="false">IF(AND(Slot10_On=1,Slot10_Age&gt;D32),1,0)</f>
        <v>0</v>
      </c>
      <c r="DK32" s="20" t="n">
        <f aca="false">RW31</f>
        <v>0</v>
      </c>
      <c r="DL32" s="20" t="n">
        <f aca="false">DI32*MIN(Slot10_Cost,DK32)</f>
        <v>0</v>
      </c>
      <c r="DM32" s="20" t="n">
        <f aca="false">DI32*Slot10_SpendLike*MIN(Slot10_Cost-DL32,DE32)</f>
        <v>0</v>
      </c>
      <c r="DN32" s="20" t="n">
        <f aca="false">DL32+DM32</f>
        <v>0</v>
      </c>
      <c r="DO32" s="20" t="n">
        <f aca="false">DE32-DM32+DI32*IF(Slot10_SpendLike=1,DK32-DL32,IF(Slot10_PotFree=1,DK32,0))</f>
        <v>85416.2346733037</v>
      </c>
      <c r="DP32" s="20" t="n">
        <f aca="false">DF32+DI32*Slot10_BufPot*DK32</f>
        <v>14162.9266088566</v>
      </c>
      <c r="DQ32" s="20" t="n">
        <f aca="false">IF(AND(DI32=1,Slot10_IsMfree=1),IF(DN32&gt;=Slot10_Cost-1,0,MAX(0,DG32-DN32)),DG32)</f>
        <v>0</v>
      </c>
      <c r="DR32" s="20" t="n">
        <f aca="false">DI32*(Slot10_Cost-DN32)</f>
        <v>0</v>
      </c>
      <c r="DS32" s="20" t="n">
        <f aca="false">IF(AND(Slot11_On=1,D32=Slot11_Age),1,0)</f>
        <v>0</v>
      </c>
      <c r="DT32" s="20" t="n">
        <f aca="false">IF(AND(Slot11_On=1,Slot11_Age&gt;D32),1,0)</f>
        <v>0</v>
      </c>
      <c r="DU32" s="20" t="n">
        <f aca="false">SA31</f>
        <v>0</v>
      </c>
      <c r="DV32" s="20" t="n">
        <f aca="false">DS32*MIN(Slot11_Cost,DU32)</f>
        <v>0</v>
      </c>
      <c r="DW32" s="20" t="n">
        <f aca="false">DS32*Slot11_SpendLike*MIN(Slot11_Cost-DV32,DO32)</f>
        <v>0</v>
      </c>
      <c r="DX32" s="20" t="n">
        <f aca="false">DV32+DW32</f>
        <v>0</v>
      </c>
      <c r="DY32" s="20" t="n">
        <f aca="false">DO32-DW32+DS32*IF(Slot11_SpendLike=1,DU32-DV32,IF(Slot11_PotFree=1,DU32,0))</f>
        <v>85416.2346733037</v>
      </c>
      <c r="DZ32" s="20" t="n">
        <f aca="false">DP32+DS32*Slot11_BufPot*DU32</f>
        <v>14162.9266088566</v>
      </c>
      <c r="EA32" s="20" t="n">
        <f aca="false">IF(AND(DS32=1,Slot11_IsMfree=1),IF(DX32&gt;=Slot11_Cost-1,0,MAX(0,DQ32-DX32)),DQ32)</f>
        <v>0</v>
      </c>
      <c r="EB32" s="20" t="n">
        <f aca="false">DS32*(Slot11_Cost-DX32)</f>
        <v>0</v>
      </c>
      <c r="EC32" s="20" t="n">
        <f aca="false">IF(AND(Slot12_On=1,D32=Slot12_Age),1,0)</f>
        <v>0</v>
      </c>
      <c r="ED32" s="20" t="n">
        <f aca="false">IF(AND(Slot12_On=1,Slot12_Age&gt;D32),1,0)</f>
        <v>0</v>
      </c>
      <c r="EE32" s="20" t="n">
        <f aca="false">SE31</f>
        <v>0</v>
      </c>
      <c r="EF32" s="20" t="n">
        <f aca="false">EC32*MIN(Slot12_Cost,EE32)</f>
        <v>0</v>
      </c>
      <c r="EG32" s="20" t="n">
        <f aca="false">EC32*Slot12_SpendLike*MIN(Slot12_Cost-EF32,DY32)</f>
        <v>0</v>
      </c>
      <c r="EH32" s="20" t="n">
        <f aca="false">EF32+EG32</f>
        <v>0</v>
      </c>
      <c r="EI32" s="20" t="n">
        <f aca="false">DY32-EG32+EC32*IF(Slot12_SpendLike=1,EE32-EF32,IF(Slot12_PotFree=1,EE32,0))</f>
        <v>85416.2346733037</v>
      </c>
      <c r="EJ32" s="20" t="n">
        <f aca="false">DZ32+EC32*Slot12_BufPot*EE32</f>
        <v>14162.9266088566</v>
      </c>
      <c r="EK32" s="20" t="n">
        <f aca="false">IF(AND(EC32=1,Slot12_IsMfree=1),IF(EH32&gt;=Slot12_Cost-1,0,MAX(0,EA32-EH32)),EA32)</f>
        <v>0</v>
      </c>
      <c r="EL32" s="20" t="n">
        <f aca="false">EC32*(Slot12_Cost-EH32)</f>
        <v>0</v>
      </c>
      <c r="EM32" s="20" t="n">
        <f aca="false">IF(AND(Slot13_On=1,D32=Slot13_Age),1,0)</f>
        <v>0</v>
      </c>
      <c r="EN32" s="20" t="n">
        <f aca="false">IF(AND(Slot13_On=1,Slot13_Age&gt;D32),1,0)</f>
        <v>0</v>
      </c>
      <c r="EO32" s="20" t="n">
        <f aca="false">SI31</f>
        <v>0</v>
      </c>
      <c r="EP32" s="20" t="n">
        <f aca="false">EM32*MIN(Slot13_Cost,EO32)</f>
        <v>0</v>
      </c>
      <c r="EQ32" s="20" t="n">
        <f aca="false">EM32*Slot13_SpendLike*MIN(Slot13_Cost-EP32,EI32)</f>
        <v>0</v>
      </c>
      <c r="ER32" s="20" t="n">
        <f aca="false">EP32+EQ32</f>
        <v>0</v>
      </c>
      <c r="ES32" s="20" t="n">
        <f aca="false">EI32-EQ32+EM32*IF(Slot13_SpendLike=1,EO32-EP32,IF(Slot13_PotFree=1,EO32,0))</f>
        <v>85416.2346733037</v>
      </c>
      <c r="ET32" s="20" t="n">
        <f aca="false">EJ32+EM32*Slot13_BufPot*EO32</f>
        <v>14162.9266088566</v>
      </c>
      <c r="EU32" s="20" t="n">
        <f aca="false">IF(AND(EM32=1,Slot13_IsMfree=1),IF(ER32&gt;=Slot13_Cost-1,0,MAX(0,EK32-ER32)),EK32)</f>
        <v>0</v>
      </c>
      <c r="EV32" s="20" t="n">
        <f aca="false">EM32*(Slot13_Cost-ER32)</f>
        <v>0</v>
      </c>
      <c r="EW32" s="20" t="n">
        <f aca="false">IF(AND(Slot14_On=1,D32=Slot14_Age),1,0)</f>
        <v>0</v>
      </c>
      <c r="EX32" s="20" t="n">
        <f aca="false">IF(AND(Slot14_On=1,Slot14_Age&gt;D32),1,0)</f>
        <v>0</v>
      </c>
      <c r="EY32" s="20" t="n">
        <f aca="false">SM31</f>
        <v>0</v>
      </c>
      <c r="EZ32" s="20" t="n">
        <f aca="false">EW32*MIN(Slot14_Cost,EY32)</f>
        <v>0</v>
      </c>
      <c r="FA32" s="20" t="n">
        <f aca="false">EW32*Slot14_SpendLike*MIN(Slot14_Cost-EZ32,ES32)</f>
        <v>0</v>
      </c>
      <c r="FB32" s="20" t="n">
        <f aca="false">EZ32+FA32</f>
        <v>0</v>
      </c>
      <c r="FC32" s="20" t="n">
        <f aca="false">ES32-FA32+EW32*IF(Slot14_SpendLike=1,EY32-EZ32,IF(Slot14_PotFree=1,EY32,0))</f>
        <v>85416.2346733037</v>
      </c>
      <c r="FD32" s="20" t="n">
        <f aca="false">ET32+EW32*Slot14_BufPot*EY32</f>
        <v>14162.9266088566</v>
      </c>
      <c r="FE32" s="20" t="n">
        <f aca="false">IF(AND(EW32=1,Slot14_IsMfree=1),IF(FB32&gt;=Slot14_Cost-1,0,MAX(0,EU32-FB32)),EU32)</f>
        <v>0</v>
      </c>
      <c r="FF32" s="20" t="n">
        <f aca="false">EW32*(Slot14_Cost-FB32)</f>
        <v>0</v>
      </c>
      <c r="FG32" s="20" t="n">
        <f aca="false">IF(AND(Slot15_On=1,D32=Slot15_Age),1,0)</f>
        <v>0</v>
      </c>
      <c r="FH32" s="20" t="n">
        <f aca="false">IF(AND(Slot15_On=1,Slot15_Age&gt;D32),1,0)</f>
        <v>0</v>
      </c>
      <c r="FI32" s="20" t="n">
        <f aca="false">SQ31</f>
        <v>0</v>
      </c>
      <c r="FJ32" s="20" t="n">
        <f aca="false">FG32*MIN(Slot15_Cost,FI32)</f>
        <v>0</v>
      </c>
      <c r="FK32" s="20" t="n">
        <f aca="false">FG32*Slot15_SpendLike*MIN(Slot15_Cost-FJ32,FC32)</f>
        <v>0</v>
      </c>
      <c r="FL32" s="20" t="n">
        <f aca="false">FJ32+FK32</f>
        <v>0</v>
      </c>
      <c r="FM32" s="20" t="n">
        <f aca="false">FC32-FK32+FG32*IF(Slot15_SpendLike=1,FI32-FJ32,IF(Slot15_PotFree=1,FI32,0))</f>
        <v>85416.2346733037</v>
      </c>
      <c r="FN32" s="20" t="n">
        <f aca="false">FD32+FG32*Slot15_BufPot*FI32</f>
        <v>14162.9266088566</v>
      </c>
      <c r="FO32" s="20" t="n">
        <f aca="false">IF(AND(FG32=1,Slot15_IsMfree=1),IF(FL32&gt;=Slot15_Cost-1,0,MAX(0,FE32-FL32)),FE32)</f>
        <v>0</v>
      </c>
      <c r="FP32" s="20" t="n">
        <f aca="false">FG32*(Slot15_Cost-FL32)</f>
        <v>0</v>
      </c>
      <c r="FQ32" s="20" t="n">
        <f aca="false">IF(AND(Slot16_On=1,D32=Slot16_Age),1,0)</f>
        <v>0</v>
      </c>
      <c r="FR32" s="20" t="n">
        <f aca="false">IF(AND(Slot16_On=1,Slot16_Age&gt;D32),1,0)</f>
        <v>0</v>
      </c>
      <c r="FS32" s="20" t="n">
        <f aca="false">SU31</f>
        <v>0</v>
      </c>
      <c r="FT32" s="20" t="n">
        <f aca="false">FQ32*MIN(Slot16_Cost,FS32)</f>
        <v>0</v>
      </c>
      <c r="FU32" s="20" t="n">
        <f aca="false">FQ32*Slot16_SpendLike*MIN(Slot16_Cost-FT32,FM32)</f>
        <v>0</v>
      </c>
      <c r="FV32" s="20" t="n">
        <f aca="false">FT32+FU32</f>
        <v>0</v>
      </c>
      <c r="FW32" s="20" t="n">
        <f aca="false">FM32-FU32+FQ32*IF(Slot16_SpendLike=1,FS32-FT32,IF(Slot16_PotFree=1,FS32,0))</f>
        <v>85416.2346733037</v>
      </c>
      <c r="FX32" s="20" t="n">
        <f aca="false">FN32+FQ32*Slot16_BufPot*FS32</f>
        <v>14162.9266088566</v>
      </c>
      <c r="FY32" s="20" t="n">
        <f aca="false">IF(AND(FQ32=1,Slot16_IsMfree=1),IF(FV32&gt;=Slot16_Cost-1,0,MAX(0,FO32-FV32)),FO32)</f>
        <v>0</v>
      </c>
      <c r="FZ32" s="20" t="n">
        <f aca="false">FQ32*(Slot16_Cost-FV32)</f>
        <v>0</v>
      </c>
      <c r="GA32" s="20" t="n">
        <f aca="false">IF(AND(Slot17_On=1,D32=Slot17_Age),1,0)</f>
        <v>0</v>
      </c>
      <c r="GB32" s="20" t="n">
        <f aca="false">IF(AND(Slot17_On=1,Slot17_Age&gt;D32),1,0)</f>
        <v>0</v>
      </c>
      <c r="GC32" s="20" t="n">
        <f aca="false">SY31</f>
        <v>0</v>
      </c>
      <c r="GD32" s="20" t="n">
        <f aca="false">GA32*MIN(Slot17_Cost,GC32)</f>
        <v>0</v>
      </c>
      <c r="GE32" s="20" t="n">
        <f aca="false">GA32*Slot17_SpendLike*MIN(Slot17_Cost-GD32,FW32)</f>
        <v>0</v>
      </c>
      <c r="GF32" s="20" t="n">
        <f aca="false">GD32+GE32</f>
        <v>0</v>
      </c>
      <c r="GG32" s="20" t="n">
        <f aca="false">FW32-GE32+GA32*IF(Slot17_SpendLike=1,GC32-GD32,IF(Slot17_PotFree=1,GC32,0))</f>
        <v>85416.2346733037</v>
      </c>
      <c r="GH32" s="20" t="n">
        <f aca="false">FX32+GA32*Slot17_BufPot*GC32</f>
        <v>14162.9266088566</v>
      </c>
      <c r="GI32" s="20" t="n">
        <f aca="false">IF(AND(GA32=1,Slot17_IsMfree=1),IF(GF32&gt;=Slot17_Cost-1,0,MAX(0,FY32-GF32)),FY32)</f>
        <v>0</v>
      </c>
      <c r="GJ32" s="20" t="n">
        <f aca="false">GA32*(Slot17_Cost-GF32)</f>
        <v>0</v>
      </c>
      <c r="GK32" s="20" t="n">
        <f aca="false">IF(AND(Slot18_On=1,D32=Slot18_Age),1,0)</f>
        <v>0</v>
      </c>
      <c r="GL32" s="20" t="n">
        <f aca="false">IF(AND(Slot18_On=1,Slot18_Age&gt;D32),1,0)</f>
        <v>0</v>
      </c>
      <c r="GM32" s="20" t="n">
        <f aca="false">TC31</f>
        <v>0</v>
      </c>
      <c r="GN32" s="20" t="n">
        <f aca="false">GK32*MIN(Slot18_Cost,GM32)</f>
        <v>0</v>
      </c>
      <c r="GO32" s="20" t="n">
        <f aca="false">GK32*Slot18_SpendLike*MIN(Slot18_Cost-GN32,GG32)</f>
        <v>0</v>
      </c>
      <c r="GP32" s="20" t="n">
        <f aca="false">GN32+GO32</f>
        <v>0</v>
      </c>
      <c r="GQ32" s="20" t="n">
        <f aca="false">GG32-GO32+GK32*IF(Slot18_SpendLike=1,GM32-GN32,IF(Slot18_PotFree=1,GM32,0))</f>
        <v>85416.2346733037</v>
      </c>
      <c r="GR32" s="20" t="n">
        <f aca="false">GH32+GK32*Slot18_BufPot*GM32</f>
        <v>14162.9266088566</v>
      </c>
      <c r="GS32" s="20" t="n">
        <f aca="false">IF(AND(GK32=1,Slot18_IsMfree=1),IF(GP32&gt;=Slot18_Cost-1,0,MAX(0,GI32-GP32)),GI32)</f>
        <v>0</v>
      </c>
      <c r="GT32" s="20" t="n">
        <f aca="false">GK32*(Slot18_Cost-GP32)</f>
        <v>0</v>
      </c>
      <c r="GU32" s="20" t="n">
        <f aca="false">IF(AND(Slot19_On=1,D32=Slot19_Age),1,0)</f>
        <v>0</v>
      </c>
      <c r="GV32" s="20" t="n">
        <f aca="false">IF(AND(Slot19_On=1,Slot19_Age&gt;D32),1,0)</f>
        <v>0</v>
      </c>
      <c r="GW32" s="20" t="n">
        <f aca="false">TG31</f>
        <v>0</v>
      </c>
      <c r="GX32" s="20" t="n">
        <f aca="false">GU32*MIN(Slot19_Cost,GW32)</f>
        <v>0</v>
      </c>
      <c r="GY32" s="20" t="n">
        <f aca="false">GU32*Slot19_SpendLike*MIN(Slot19_Cost-GX32,GQ32)</f>
        <v>0</v>
      </c>
      <c r="GZ32" s="20" t="n">
        <f aca="false">GX32+GY32</f>
        <v>0</v>
      </c>
      <c r="HA32" s="20" t="n">
        <f aca="false">GQ32-GY32+GU32*IF(Slot19_SpendLike=1,GW32-GX32,IF(Slot19_PotFree=1,GW32,0))</f>
        <v>85416.2346733037</v>
      </c>
      <c r="HB32" s="20" t="n">
        <f aca="false">GR32+GU32*Slot19_BufPot*GW32</f>
        <v>14162.9266088566</v>
      </c>
      <c r="HC32" s="20" t="n">
        <f aca="false">IF(AND(GU32=1,Slot19_IsMfree=1),IF(GZ32&gt;=Slot19_Cost-1,0,MAX(0,GS32-GZ32)),GS32)</f>
        <v>0</v>
      </c>
      <c r="HD32" s="20" t="n">
        <f aca="false">GU32*(Slot19_Cost-GZ32)</f>
        <v>0</v>
      </c>
      <c r="HE32" s="20" t="n">
        <f aca="false">IF(AND(Slot20_On=1,D32=Slot20_Age),1,0)</f>
        <v>0</v>
      </c>
      <c r="HF32" s="20" t="n">
        <f aca="false">IF(AND(Slot20_On=1,Slot20_Age&gt;D32),1,0)</f>
        <v>0</v>
      </c>
      <c r="HG32" s="20" t="n">
        <f aca="false">TK31</f>
        <v>0</v>
      </c>
      <c r="HH32" s="20" t="n">
        <f aca="false">HE32*MIN(Slot20_Cost,HG32)</f>
        <v>0</v>
      </c>
      <c r="HI32" s="20" t="n">
        <f aca="false">HE32*Slot20_SpendLike*MIN(Slot20_Cost-HH32,HA32)</f>
        <v>0</v>
      </c>
      <c r="HJ32" s="20" t="n">
        <f aca="false">HH32+HI32</f>
        <v>0</v>
      </c>
      <c r="HK32" s="20" t="n">
        <f aca="false">HA32-HI32+HE32*IF(Slot20_SpendLike=1,HG32-HH32,IF(Slot20_PotFree=1,HG32,0))</f>
        <v>85416.2346733037</v>
      </c>
      <c r="HL32" s="20" t="n">
        <f aca="false">HB32+HE32*Slot20_BufPot*HG32</f>
        <v>14162.9266088566</v>
      </c>
      <c r="HM32" s="20" t="n">
        <f aca="false">IF(AND(HE32=1,Slot20_IsMfree=1),IF(HJ32&gt;=Slot20_Cost-1,0,MAX(0,HC32-HJ32)),HC32)</f>
        <v>0</v>
      </c>
      <c r="HN32" s="20" t="n">
        <f aca="false">HE32*(Slot20_Cost-HJ32)</f>
        <v>0</v>
      </c>
      <c r="HO32" s="20" t="n">
        <f aca="false">V32*Slot1_SpendLike*AA32+AG32*Slot2_SpendLike*AL32+AQ32*Slot3_SpendLike*AV32+BA32*Slot4_SpendLike*BF32+BK32*Slot5_SpendLike*BP32+BU32*Slot6_SpendLike*BZ32+CE32*Slot7_SpendLike*CJ32+CO32*Slot8_SpendLike*CT32+CY32*Slot9_SpendLike*DD32+DI32*Slot10_SpendLike*DN32+DS32*Slot11_SpendLike*DX32+EC32*Slot12_SpendLike*EH32+EM32*Slot13_SpendLike*ER32+EW32*Slot14_SpendLike*FB32+FG32*Slot15_SpendLike*FL32+FQ32*Slot16_SpendLike*FV32+GA32*Slot17_SpendLike*GF32+GK32*Slot18_SpendLike*GP32+GU32*Slot19_SpendLike*GZ32+HE32*Slot20_SpendLike*HJ32</f>
        <v>0</v>
      </c>
      <c r="HP32" s="20" t="n">
        <f aca="false">AE32+AP32+AZ32+BJ32+BT32+CD32+CN32+CX32+DH32+DR32+EB32+EL32+EV32+FF32+FP32+FZ32+GJ32+GT32+HD32+HN32</f>
        <v>0</v>
      </c>
      <c r="HQ32" s="20" t="n">
        <f aca="false">V32*Slot1_Cost+AG32*Slot2_Cost+AQ32*Slot3_Cost+BA32*Slot4_Cost+BK32*Slot5_Cost+BU32*Slot6_Cost+CE32*Slot7_Cost+CO32*Slot8_Cost+CY32*Slot9_Cost+DI32*Slot10_Cost+DS32*Slot11_Cost+EC32*Slot12_Cost+EM32*Slot13_Cost+EW32*Slot14_Cost+FG32*Slot15_Cost+FQ32*Slot16_Cost+GA32*Slot17_Cost+GK32*Slot18_Cost+GU32*Slot19_Cost+HE32*Slot20_Cost</f>
        <v>0</v>
      </c>
      <c r="HR32" s="20" t="n">
        <f aca="false">HM32</f>
        <v>0</v>
      </c>
      <c r="HS32" s="20" t="n">
        <f aca="false">H32-I32-S32</f>
        <v>46059.4971478524</v>
      </c>
      <c r="HT32" s="20" t="n">
        <f aca="false">IF(B32=0,IF(AND(Has_q6=1,In_q6=4),PR_ShareVaries*(MAX(0,HS32)/12),MIN(IF(Has_q6=1,CHOOSE(In_q6+1,PR_SaveB1,PR_SaveB2,PR_SaveB3,PR_SaveB4,0),AS_NoAnswer),AS_SaveShare*(MAX(0,HS32)/12))),HT31)</f>
        <v>67.3316893520437</v>
      </c>
      <c r="HU32" s="20" t="n">
        <f aca="false">IF(HS32&gt;=0,1,0)</f>
        <v>1</v>
      </c>
      <c r="HV32" s="20" t="n">
        <f aca="false">MAX(0,HS32/12/F32)</f>
        <v>2386.34825837314</v>
      </c>
      <c r="HW32" s="20" t="n">
        <f aca="false">IF(AND(Has_q6=1,In_q6=4),PR_ShareVaries*(HV32),MIN(IF(Has_q6=1,CHOOSE(In_q6+1,PR_SaveB1,PR_SaveB2,PR_SaveB3,PR_SaveB4,0),AS_NoAnswer),AS_SaveShare*(HV32)))</f>
        <v>500</v>
      </c>
      <c r="HX32" s="20" t="n">
        <f aca="false">IF(Has_saveM=1,IF(In_saveUp="Yes",1,IF(In_saveUp="No",0,IF(In_saveM&gt;=HT32-0.5,1,0))),0)</f>
        <v>0</v>
      </c>
      <c r="HY32" s="20" t="n">
        <f aca="false">IF(Has_saveM=1,MIN(HV32,IF(HX32=1,MAX(In_saveM,HW32),MIN(In_saveM,HW32))),HW32)</f>
        <v>500</v>
      </c>
      <c r="HZ32" s="20" t="n">
        <f aca="false">IF(G32=1,HY32*12*F32,0)</f>
        <v>9650.62349685136</v>
      </c>
      <c r="IA32" s="20" t="n">
        <f aca="false">MAX(0,HZ32+IF(AND(WI_Retire=0,WI_M&lt;0,G32=1),WI_M*12*F32,0))</f>
        <v>9650.62349685136</v>
      </c>
      <c r="IB32" s="20" t="n">
        <f aca="false">Slot1_IsWG*W32+Slot2_IsWG*AH32+Slot3_IsWG*AR32+Slot4_IsWG*BB32+Slot5_IsWG*BL32+Slot6_IsWG*BV32+Slot7_IsWG*CF32+Slot8_IsWG*CP32+Slot9_IsWG*CZ32+Slot10_IsWG*DJ32+Slot11_IsWG*DT32+Slot12_IsWG*ED32+Slot13_IsWG*EN32+Slot14_IsWG*EX32+Slot15_IsWG*FH32+Slot16_IsWG*FR32+Slot17_IsWG*GB32+Slot18_IsWG*GL32+Slot19_IsWG*GV32+Slot20_IsWG*HF32</f>
        <v>0</v>
      </c>
      <c r="IC32" s="20" t="n">
        <f aca="false">IF(AND(WI_Retire=0,WI_M&gt;0,G32=1,IB32&gt;=1),WI_M*12*F32,0)</f>
        <v>0</v>
      </c>
      <c r="ID32" s="20" t="n">
        <f aca="false">IF(HU32=1,MIN(IA32,HS32),0)</f>
        <v>9650.62349685136</v>
      </c>
      <c r="IE32" s="20" t="n">
        <f aca="false">IF(HU32=1,MIN(IC32,HS32-ID32),0)</f>
        <v>0</v>
      </c>
      <c r="IF32" s="20" t="n">
        <f aca="false">IF(W32=1,IF(ABS((1+AS_Wage)/(1+Slot1_Rate)-1)&lt;0.000000000001,(Slot1_Age-D32)*(1+Slot1_Rate)^(Slot1_Age-D32),(1+Slot1_Rate)^(Slot1_Age-D32)*(1-((1+AS_Wage)/(1+Slot1_Rate))^(Slot1_Age-D32))/(1-(1+AS_Wage)/(1+Slot1_Rate))),1)</f>
        <v>1</v>
      </c>
      <c r="IG32" s="20" t="n">
        <f aca="false">IF(AND(HU32=1,IE32&gt;0,Slot1_IsWG=1,W32=1),MAX(0,(Slot1_Cost-X32*(1+Slot1_Rate)^(Slot1_Age-D32))/IF32),0)</f>
        <v>0</v>
      </c>
      <c r="IH32" s="20" t="n">
        <f aca="false">IF(AND(HU32=1,IE32&gt;0,Slot1_IsWG=1,W32=1),MIN(IE32,IG32),0)</f>
        <v>0</v>
      </c>
      <c r="II32" s="20" t="n">
        <f aca="false">X32+IH32</f>
        <v>0</v>
      </c>
      <c r="IJ32" s="20" t="n">
        <f aca="false">IF(W32=1,MAX(0,(Slot1_Cost-II32*(1+Slot1_Rate)^(Slot1_Age-D32))/IF32),0)</f>
        <v>0</v>
      </c>
      <c r="IK32" s="20" t="n">
        <f aca="false">IF(W32=1,MAX(0,(Slot1_Cost-X32*(1+Slot1_Rate)^(Slot1_Age-D32))/IF32),0)</f>
        <v>0</v>
      </c>
      <c r="IL32" s="20" t="n">
        <f aca="false">IF(AND(HU32=1,W32=1),MIN(ID32,IJ32),0)</f>
        <v>0</v>
      </c>
      <c r="IM32" s="20" t="n">
        <f aca="false">ID32-IL32</f>
        <v>9650.62349685136</v>
      </c>
      <c r="IN32" s="20" t="n">
        <f aca="false">IF(AH32=1,IF(ABS((1+AS_Wage)/(1+Slot2_Rate)-1)&lt;0.000000000001,(Slot2_Age-D32)*(1+Slot2_Rate)^(Slot2_Age-D32),(1+Slot2_Rate)^(Slot2_Age-D32)*(1-((1+AS_Wage)/(1+Slot2_Rate))^(Slot2_Age-D32))/(1-(1+AS_Wage)/(1+Slot2_Rate))),1)</f>
        <v>1</v>
      </c>
      <c r="IO32" s="20" t="n">
        <f aca="false">IF(AND(HU32=1,IE32&gt;0,Slot2_IsWG=1,AH32=1),MAX(0,(Slot2_Cost-AI32*(1+Slot2_Rate)^(Slot2_Age-D32))/IN32),0)</f>
        <v>0</v>
      </c>
      <c r="IP32" s="20" t="n">
        <f aca="false">IF(AND(HU32=1,IE32&gt;0,Slot2_IsWG=1,AH32=1),MIN(IE32,IO32),0)</f>
        <v>0</v>
      </c>
      <c r="IQ32" s="20" t="n">
        <f aca="false">AI32+IP32</f>
        <v>0</v>
      </c>
      <c r="IR32" s="20" t="n">
        <f aca="false">IF(AH32=1,MAX(0,(Slot2_Cost-IQ32*(1+Slot2_Rate)^(Slot2_Age-D32))/IN32),0)</f>
        <v>0</v>
      </c>
      <c r="IS32" s="20" t="n">
        <f aca="false">IF(AH32=1,MAX(0,(Slot2_Cost-AI32*(1+Slot2_Rate)^(Slot2_Age-D32))/IN32),0)</f>
        <v>0</v>
      </c>
      <c r="IT32" s="20" t="n">
        <f aca="false">IF(AND(HU32=1,AH32=1),MIN(IM32,IR32),0)</f>
        <v>0</v>
      </c>
      <c r="IU32" s="20" t="n">
        <f aca="false">IM32-IT32</f>
        <v>9650.62349685136</v>
      </c>
      <c r="IV32" s="20" t="n">
        <f aca="false">IF(AR32=1,IF(ABS((1+AS_Wage)/(1+Slot3_Rate)-1)&lt;0.000000000001,(Slot3_Age-D32)*(1+Slot3_Rate)^(Slot3_Age-D32),(1+Slot3_Rate)^(Slot3_Age-D32)*(1-((1+AS_Wage)/(1+Slot3_Rate))^(Slot3_Age-D32))/(1-(1+AS_Wage)/(1+Slot3_Rate))),1)</f>
        <v>1</v>
      </c>
      <c r="IW32" s="20" t="n">
        <f aca="false">IF(AND(HU32=1,IE32&gt;0,Slot3_IsWG=1,AR32=1),MAX(0,(Slot3_Cost-AS32*(1+Slot3_Rate)^(Slot3_Age-D32))/IV32),0)</f>
        <v>0</v>
      </c>
      <c r="IX32" s="20" t="n">
        <f aca="false">IF(AND(HU32=1,IE32&gt;0,Slot3_IsWG=1,AR32=1),MIN(IE32,IW32),0)</f>
        <v>0</v>
      </c>
      <c r="IY32" s="20" t="n">
        <f aca="false">AS32+IX32</f>
        <v>0</v>
      </c>
      <c r="IZ32" s="20" t="n">
        <f aca="false">IF(AR32=1,MAX(0,(Slot3_Cost-IY32*(1+Slot3_Rate)^(Slot3_Age-D32))/IV32),0)</f>
        <v>0</v>
      </c>
      <c r="JA32" s="20" t="n">
        <f aca="false">IF(AR32=1,MAX(0,(Slot3_Cost-AS32*(1+Slot3_Rate)^(Slot3_Age-D32))/IV32),0)</f>
        <v>0</v>
      </c>
      <c r="JB32" s="20" t="n">
        <f aca="false">IF(AND(HU32=1,AR32=1),MIN(IU32,IZ32),0)</f>
        <v>0</v>
      </c>
      <c r="JC32" s="20" t="n">
        <f aca="false">IU32-JB32</f>
        <v>9650.62349685136</v>
      </c>
      <c r="JD32" s="20" t="n">
        <f aca="false">IF(BB32=1,IF(ABS((1+AS_Wage)/(1+Slot4_Rate)-1)&lt;0.000000000001,(Slot4_Age-D32)*(1+Slot4_Rate)^(Slot4_Age-D32),(1+Slot4_Rate)^(Slot4_Age-D32)*(1-((1+AS_Wage)/(1+Slot4_Rate))^(Slot4_Age-D32))/(1-(1+AS_Wage)/(1+Slot4_Rate))),1)</f>
        <v>1</v>
      </c>
      <c r="JE32" s="20" t="n">
        <f aca="false">IF(AND(HU32=1,IE32&gt;0,Slot4_IsWG=1,BB32=1),MAX(0,(Slot4_Cost-BC32*(1+Slot4_Rate)^(Slot4_Age-D32))/JD32),0)</f>
        <v>0</v>
      </c>
      <c r="JF32" s="20" t="n">
        <f aca="false">IF(AND(HU32=1,IE32&gt;0,Slot4_IsWG=1,BB32=1),MIN(IE32,JE32),0)</f>
        <v>0</v>
      </c>
      <c r="JG32" s="20" t="n">
        <f aca="false">BC32+JF32</f>
        <v>0</v>
      </c>
      <c r="JH32" s="20" t="n">
        <f aca="false">IF(BB32=1,MAX(0,(Slot4_Cost-JG32*(1+Slot4_Rate)^(Slot4_Age-D32))/JD32),0)</f>
        <v>0</v>
      </c>
      <c r="JI32" s="20" t="n">
        <f aca="false">IF(BB32=1,MAX(0,(Slot4_Cost-BC32*(1+Slot4_Rate)^(Slot4_Age-D32))/JD32),0)</f>
        <v>0</v>
      </c>
      <c r="JJ32" s="20" t="n">
        <f aca="false">IF(AND(HU32=1,BB32=1),MIN(JC32,JH32),0)</f>
        <v>0</v>
      </c>
      <c r="JK32" s="20" t="n">
        <f aca="false">JC32-JJ32</f>
        <v>9650.62349685136</v>
      </c>
      <c r="JL32" s="20" t="n">
        <f aca="false">IF(BL32=1,IF(ABS((1+AS_Wage)/(1+Slot5_Rate)-1)&lt;0.000000000001,(Slot5_Age-D32)*(1+Slot5_Rate)^(Slot5_Age-D32),(1+Slot5_Rate)^(Slot5_Age-D32)*(1-((1+AS_Wage)/(1+Slot5_Rate))^(Slot5_Age-D32))/(1-(1+AS_Wage)/(1+Slot5_Rate))),1)</f>
        <v>1</v>
      </c>
      <c r="JM32" s="20" t="n">
        <f aca="false">IF(AND(HU32=1,IE32&gt;0,Slot5_IsWG=1,BL32=1),MAX(0,(Slot5_Cost-BM32*(1+Slot5_Rate)^(Slot5_Age-D32))/JL32),0)</f>
        <v>0</v>
      </c>
      <c r="JN32" s="20" t="n">
        <f aca="false">IF(AND(HU32=1,IE32&gt;0,Slot5_IsWG=1,BL32=1),MIN(IE32,JM32),0)</f>
        <v>0</v>
      </c>
      <c r="JO32" s="20" t="n">
        <f aca="false">BM32+JN32</f>
        <v>0</v>
      </c>
      <c r="JP32" s="20" t="n">
        <f aca="false">IF(BL32=1,MAX(0,(Slot5_Cost-JO32*(1+Slot5_Rate)^(Slot5_Age-D32))/JL32),0)</f>
        <v>0</v>
      </c>
      <c r="JQ32" s="20" t="n">
        <f aca="false">IF(BL32=1,MAX(0,(Slot5_Cost-BM32*(1+Slot5_Rate)^(Slot5_Age-D32))/JL32),0)</f>
        <v>0</v>
      </c>
      <c r="JR32" s="20" t="n">
        <f aca="false">IF(AND(HU32=1,BL32=1),MIN(JK32,JP32),0)</f>
        <v>0</v>
      </c>
      <c r="JS32" s="20" t="n">
        <f aca="false">JK32-JR32</f>
        <v>9650.62349685136</v>
      </c>
      <c r="JT32" s="20" t="n">
        <f aca="false">IF(BV32=1,IF(ABS((1+AS_Wage)/(1+Slot6_Rate)-1)&lt;0.000000000001,(Slot6_Age-D32)*(1+Slot6_Rate)^(Slot6_Age-D32),(1+Slot6_Rate)^(Slot6_Age-D32)*(1-((1+AS_Wage)/(1+Slot6_Rate))^(Slot6_Age-D32))/(1-(1+AS_Wage)/(1+Slot6_Rate))),1)</f>
        <v>1</v>
      </c>
      <c r="JU32" s="20" t="n">
        <f aca="false">IF(AND(HU32=1,IE32&gt;0,Slot6_IsWG=1,BV32=1),MAX(0,(Slot6_Cost-BW32*(1+Slot6_Rate)^(Slot6_Age-D32))/JT32),0)</f>
        <v>0</v>
      </c>
      <c r="JV32" s="20" t="n">
        <f aca="false">IF(AND(HU32=1,IE32&gt;0,Slot6_IsWG=1,BV32=1),MIN(IE32,JU32),0)</f>
        <v>0</v>
      </c>
      <c r="JW32" s="20" t="n">
        <f aca="false">BW32+JV32</f>
        <v>0</v>
      </c>
      <c r="JX32" s="20" t="n">
        <f aca="false">IF(BV32=1,MAX(0,(Slot6_Cost-JW32*(1+Slot6_Rate)^(Slot6_Age-D32))/JT32),0)</f>
        <v>0</v>
      </c>
      <c r="JY32" s="20" t="n">
        <f aca="false">IF(BV32=1,MAX(0,(Slot6_Cost-BW32*(1+Slot6_Rate)^(Slot6_Age-D32))/JT32),0)</f>
        <v>0</v>
      </c>
      <c r="JZ32" s="20" t="n">
        <f aca="false">IF(AND(HU32=1,BV32=1),MIN(JS32,JX32),0)</f>
        <v>0</v>
      </c>
      <c r="KA32" s="20" t="n">
        <f aca="false">JS32-JZ32</f>
        <v>9650.62349685136</v>
      </c>
      <c r="KB32" s="20" t="n">
        <f aca="false">IF(CF32=1,IF(ABS((1+AS_Wage)/(1+Slot7_Rate)-1)&lt;0.000000000001,(Slot7_Age-D32)*(1+Slot7_Rate)^(Slot7_Age-D32),(1+Slot7_Rate)^(Slot7_Age-D32)*(1-((1+AS_Wage)/(1+Slot7_Rate))^(Slot7_Age-D32))/(1-(1+AS_Wage)/(1+Slot7_Rate))),1)</f>
        <v>1</v>
      </c>
      <c r="KC32" s="20" t="n">
        <f aca="false">IF(AND(HU32=1,IE32&gt;0,Slot7_IsWG=1,CF32=1),MAX(0,(Slot7_Cost-CG32*(1+Slot7_Rate)^(Slot7_Age-D32))/KB32),0)</f>
        <v>0</v>
      </c>
      <c r="KD32" s="20" t="n">
        <f aca="false">IF(AND(HU32=1,IE32&gt;0,Slot7_IsWG=1,CF32=1),MIN(IE32,KC32),0)</f>
        <v>0</v>
      </c>
      <c r="KE32" s="20" t="n">
        <f aca="false">CG32+KD32</f>
        <v>0</v>
      </c>
      <c r="KF32" s="20" t="n">
        <f aca="false">IF(CF32=1,MAX(0,(Slot7_Cost-KE32*(1+Slot7_Rate)^(Slot7_Age-D32))/KB32),0)</f>
        <v>0</v>
      </c>
      <c r="KG32" s="20" t="n">
        <f aca="false">IF(CF32=1,MAX(0,(Slot7_Cost-CG32*(1+Slot7_Rate)^(Slot7_Age-D32))/KB32),0)</f>
        <v>0</v>
      </c>
      <c r="KH32" s="20" t="n">
        <f aca="false">IF(AND(HU32=1,CF32=1),MIN(KA32,KF32),0)</f>
        <v>0</v>
      </c>
      <c r="KI32" s="20" t="n">
        <f aca="false">KA32-KH32</f>
        <v>9650.62349685136</v>
      </c>
      <c r="KJ32" s="20" t="n">
        <f aca="false">IF(CP32=1,IF(ABS((1+AS_Wage)/(1+Slot8_Rate)-1)&lt;0.000000000001,(Slot8_Age-D32)*(1+Slot8_Rate)^(Slot8_Age-D32),(1+Slot8_Rate)^(Slot8_Age-D32)*(1-((1+AS_Wage)/(1+Slot8_Rate))^(Slot8_Age-D32))/(1-(1+AS_Wage)/(1+Slot8_Rate))),1)</f>
        <v>1</v>
      </c>
      <c r="KK32" s="20" t="n">
        <f aca="false">IF(AND(HU32=1,IE32&gt;0,Slot8_IsWG=1,CP32=1),MAX(0,(Slot8_Cost-CQ32*(1+Slot8_Rate)^(Slot8_Age-D32))/KJ32),0)</f>
        <v>0</v>
      </c>
      <c r="KL32" s="20" t="n">
        <f aca="false">IF(AND(HU32=1,IE32&gt;0,Slot8_IsWG=1,CP32=1),MIN(IE32,KK32),0)</f>
        <v>0</v>
      </c>
      <c r="KM32" s="20" t="n">
        <f aca="false">CQ32+KL32</f>
        <v>0</v>
      </c>
      <c r="KN32" s="20" t="n">
        <f aca="false">IF(CP32=1,MAX(0,(Slot8_Cost-KM32*(1+Slot8_Rate)^(Slot8_Age-D32))/KJ32),0)</f>
        <v>0</v>
      </c>
      <c r="KO32" s="20" t="n">
        <f aca="false">IF(CP32=1,MAX(0,(Slot8_Cost-CQ32*(1+Slot8_Rate)^(Slot8_Age-D32))/KJ32),0)</f>
        <v>0</v>
      </c>
      <c r="KP32" s="20" t="n">
        <f aca="false">IF(AND(HU32=1,CP32=1),MIN(KI32,KN32),0)</f>
        <v>0</v>
      </c>
      <c r="KQ32" s="20" t="n">
        <f aca="false">KI32-KP32</f>
        <v>9650.62349685136</v>
      </c>
      <c r="KR32" s="20" t="n">
        <f aca="false">IF(CZ32=1,IF(ABS((1+AS_Wage)/(1+Slot9_Rate)-1)&lt;0.000000000001,(Slot9_Age-D32)*(1+Slot9_Rate)^(Slot9_Age-D32),(1+Slot9_Rate)^(Slot9_Age-D32)*(1-((1+AS_Wage)/(1+Slot9_Rate))^(Slot9_Age-D32))/(1-(1+AS_Wage)/(1+Slot9_Rate))),1)</f>
        <v>1</v>
      </c>
      <c r="KS32" s="20" t="n">
        <f aca="false">IF(AND(HU32=1,IE32&gt;0,Slot9_IsWG=1,CZ32=1),MAX(0,(Slot9_Cost-DA32*(1+Slot9_Rate)^(Slot9_Age-D32))/KR32),0)</f>
        <v>0</v>
      </c>
      <c r="KT32" s="20" t="n">
        <f aca="false">IF(AND(HU32=1,IE32&gt;0,Slot9_IsWG=1,CZ32=1),MIN(IE32,KS32),0)</f>
        <v>0</v>
      </c>
      <c r="KU32" s="20" t="n">
        <f aca="false">DA32+KT32</f>
        <v>0</v>
      </c>
      <c r="KV32" s="20" t="n">
        <f aca="false">IF(CZ32=1,MAX(0,(Slot9_Cost-KU32*(1+Slot9_Rate)^(Slot9_Age-D32))/KR32),0)</f>
        <v>0</v>
      </c>
      <c r="KW32" s="20" t="n">
        <f aca="false">IF(CZ32=1,MAX(0,(Slot9_Cost-DA32*(1+Slot9_Rate)^(Slot9_Age-D32))/KR32),0)</f>
        <v>0</v>
      </c>
      <c r="KX32" s="20" t="n">
        <f aca="false">IF(AND(HU32=1,CZ32=1),MIN(KQ32,KV32),0)</f>
        <v>0</v>
      </c>
      <c r="KY32" s="20" t="n">
        <f aca="false">KQ32-KX32</f>
        <v>9650.62349685136</v>
      </c>
      <c r="KZ32" s="20" t="n">
        <f aca="false">IF(DJ32=1,IF(ABS((1+AS_Wage)/(1+Slot10_Rate)-1)&lt;0.000000000001,(Slot10_Age-D32)*(1+Slot10_Rate)^(Slot10_Age-D32),(1+Slot10_Rate)^(Slot10_Age-D32)*(1-((1+AS_Wage)/(1+Slot10_Rate))^(Slot10_Age-D32))/(1-(1+AS_Wage)/(1+Slot10_Rate))),1)</f>
        <v>1</v>
      </c>
      <c r="LA32" s="20" t="n">
        <f aca="false">IF(AND(HU32=1,IE32&gt;0,Slot10_IsWG=1,DJ32=1),MAX(0,(Slot10_Cost-DK32*(1+Slot10_Rate)^(Slot10_Age-D32))/KZ32),0)</f>
        <v>0</v>
      </c>
      <c r="LB32" s="20" t="n">
        <f aca="false">IF(AND(HU32=1,IE32&gt;0,Slot10_IsWG=1,DJ32=1),MIN(IE32,LA32),0)</f>
        <v>0</v>
      </c>
      <c r="LC32" s="20" t="n">
        <f aca="false">DK32+LB32</f>
        <v>0</v>
      </c>
      <c r="LD32" s="20" t="n">
        <f aca="false">IF(DJ32=1,MAX(0,(Slot10_Cost-LC32*(1+Slot10_Rate)^(Slot10_Age-D32))/KZ32),0)</f>
        <v>0</v>
      </c>
      <c r="LE32" s="20" t="n">
        <f aca="false">IF(DJ32=1,MAX(0,(Slot10_Cost-DK32*(1+Slot10_Rate)^(Slot10_Age-D32))/KZ32),0)</f>
        <v>0</v>
      </c>
      <c r="LF32" s="20" t="n">
        <f aca="false">IF(AND(HU32=1,DJ32=1),MIN(KY32,LD32),0)</f>
        <v>0</v>
      </c>
      <c r="LG32" s="20" t="n">
        <f aca="false">KY32-LF32</f>
        <v>9650.62349685136</v>
      </c>
      <c r="LH32" s="20" t="n">
        <f aca="false">IF(DT32=1,IF(ABS((1+AS_Wage)/(1+Slot11_Rate)-1)&lt;0.000000000001,(Slot11_Age-D32)*(1+Slot11_Rate)^(Slot11_Age-D32),(1+Slot11_Rate)^(Slot11_Age-D32)*(1-((1+AS_Wage)/(1+Slot11_Rate))^(Slot11_Age-D32))/(1-(1+AS_Wage)/(1+Slot11_Rate))),1)</f>
        <v>1</v>
      </c>
      <c r="LI32" s="20" t="n">
        <f aca="false">IF(AND(HU32=1,IE32&gt;0,Slot11_IsWG=1,DT32=1),MAX(0,(Slot11_Cost-DU32*(1+Slot11_Rate)^(Slot11_Age-D32))/LH32),0)</f>
        <v>0</v>
      </c>
      <c r="LJ32" s="20" t="n">
        <f aca="false">IF(AND(HU32=1,IE32&gt;0,Slot11_IsWG=1,DT32=1),MIN(IE32,LI32),0)</f>
        <v>0</v>
      </c>
      <c r="LK32" s="20" t="n">
        <f aca="false">DU32+LJ32</f>
        <v>0</v>
      </c>
      <c r="LL32" s="20" t="n">
        <f aca="false">IF(DT32=1,MAX(0,(Slot11_Cost-LK32*(1+Slot11_Rate)^(Slot11_Age-D32))/LH32),0)</f>
        <v>0</v>
      </c>
      <c r="LM32" s="20" t="n">
        <f aca="false">IF(DT32=1,MAX(0,(Slot11_Cost-DU32*(1+Slot11_Rate)^(Slot11_Age-D32))/LH32),0)</f>
        <v>0</v>
      </c>
      <c r="LN32" s="20" t="n">
        <f aca="false">IF(AND(HU32=1,DT32=1),MIN(LG32,LL32),0)</f>
        <v>0</v>
      </c>
      <c r="LO32" s="20" t="n">
        <f aca="false">LG32-LN32</f>
        <v>9650.62349685136</v>
      </c>
      <c r="LP32" s="20" t="n">
        <f aca="false">IF(ED32=1,IF(ABS((1+AS_Wage)/(1+Slot12_Rate)-1)&lt;0.000000000001,(Slot12_Age-D32)*(1+Slot12_Rate)^(Slot12_Age-D32),(1+Slot12_Rate)^(Slot12_Age-D32)*(1-((1+AS_Wage)/(1+Slot12_Rate))^(Slot12_Age-D32))/(1-(1+AS_Wage)/(1+Slot12_Rate))),1)</f>
        <v>1</v>
      </c>
      <c r="LQ32" s="20" t="n">
        <f aca="false">IF(AND(HU32=1,IE32&gt;0,Slot12_IsWG=1,ED32=1),MAX(0,(Slot12_Cost-EE32*(1+Slot12_Rate)^(Slot12_Age-D32))/LP32),0)</f>
        <v>0</v>
      </c>
      <c r="LR32" s="20" t="n">
        <f aca="false">IF(AND(HU32=1,IE32&gt;0,Slot12_IsWG=1,ED32=1),MIN(IE32,LQ32),0)</f>
        <v>0</v>
      </c>
      <c r="LS32" s="20" t="n">
        <f aca="false">EE32+LR32</f>
        <v>0</v>
      </c>
      <c r="LT32" s="20" t="n">
        <f aca="false">IF(ED32=1,MAX(0,(Slot12_Cost-LS32*(1+Slot12_Rate)^(Slot12_Age-D32))/LP32),0)</f>
        <v>0</v>
      </c>
      <c r="LU32" s="20" t="n">
        <f aca="false">IF(ED32=1,MAX(0,(Slot12_Cost-EE32*(1+Slot12_Rate)^(Slot12_Age-D32))/LP32),0)</f>
        <v>0</v>
      </c>
      <c r="LV32" s="20" t="n">
        <f aca="false">IF(AND(HU32=1,ED32=1),MIN(LO32,LT32),0)</f>
        <v>0</v>
      </c>
      <c r="LW32" s="20" t="n">
        <f aca="false">LO32-LV32</f>
        <v>9650.62349685136</v>
      </c>
      <c r="LX32" s="20" t="n">
        <f aca="false">IF(EN32=1,IF(ABS((1+AS_Wage)/(1+Slot13_Rate)-1)&lt;0.000000000001,(Slot13_Age-D32)*(1+Slot13_Rate)^(Slot13_Age-D32),(1+Slot13_Rate)^(Slot13_Age-D32)*(1-((1+AS_Wage)/(1+Slot13_Rate))^(Slot13_Age-D32))/(1-(1+AS_Wage)/(1+Slot13_Rate))),1)</f>
        <v>1</v>
      </c>
      <c r="LY32" s="20" t="n">
        <f aca="false">IF(AND(HU32=1,IE32&gt;0,Slot13_IsWG=1,EN32=1),MAX(0,(Slot13_Cost-EO32*(1+Slot13_Rate)^(Slot13_Age-D32))/LX32),0)</f>
        <v>0</v>
      </c>
      <c r="LZ32" s="20" t="n">
        <f aca="false">IF(AND(HU32=1,IE32&gt;0,Slot13_IsWG=1,EN32=1),MIN(IE32,LY32),0)</f>
        <v>0</v>
      </c>
      <c r="MA32" s="20" t="n">
        <f aca="false">EO32+LZ32</f>
        <v>0</v>
      </c>
      <c r="MB32" s="20" t="n">
        <f aca="false">IF(EN32=1,MAX(0,(Slot13_Cost-MA32*(1+Slot13_Rate)^(Slot13_Age-D32))/LX32),0)</f>
        <v>0</v>
      </c>
      <c r="MC32" s="20" t="n">
        <f aca="false">IF(EN32=1,MAX(0,(Slot13_Cost-EO32*(1+Slot13_Rate)^(Slot13_Age-D32))/LX32),0)</f>
        <v>0</v>
      </c>
      <c r="MD32" s="20" t="n">
        <f aca="false">IF(AND(HU32=1,EN32=1),MIN(LW32,MB32),0)</f>
        <v>0</v>
      </c>
      <c r="ME32" s="20" t="n">
        <f aca="false">LW32-MD32</f>
        <v>9650.62349685136</v>
      </c>
      <c r="MF32" s="20" t="n">
        <f aca="false">IF(EX32=1,IF(ABS((1+AS_Wage)/(1+Slot14_Rate)-1)&lt;0.000000000001,(Slot14_Age-D32)*(1+Slot14_Rate)^(Slot14_Age-D32),(1+Slot14_Rate)^(Slot14_Age-D32)*(1-((1+AS_Wage)/(1+Slot14_Rate))^(Slot14_Age-D32))/(1-(1+AS_Wage)/(1+Slot14_Rate))),1)</f>
        <v>1</v>
      </c>
      <c r="MG32" s="20" t="n">
        <f aca="false">IF(AND(HU32=1,IE32&gt;0,Slot14_IsWG=1,EX32=1),MAX(0,(Slot14_Cost-EY32*(1+Slot14_Rate)^(Slot14_Age-D32))/MF32),0)</f>
        <v>0</v>
      </c>
      <c r="MH32" s="20" t="n">
        <f aca="false">IF(AND(HU32=1,IE32&gt;0,Slot14_IsWG=1,EX32=1),MIN(IE32,MG32),0)</f>
        <v>0</v>
      </c>
      <c r="MI32" s="20" t="n">
        <f aca="false">EY32+MH32</f>
        <v>0</v>
      </c>
      <c r="MJ32" s="20" t="n">
        <f aca="false">IF(EX32=1,MAX(0,(Slot14_Cost-MI32*(1+Slot14_Rate)^(Slot14_Age-D32))/MF32),0)</f>
        <v>0</v>
      </c>
      <c r="MK32" s="20" t="n">
        <f aca="false">IF(EX32=1,MAX(0,(Slot14_Cost-EY32*(1+Slot14_Rate)^(Slot14_Age-D32))/MF32),0)</f>
        <v>0</v>
      </c>
      <c r="ML32" s="20" t="n">
        <f aca="false">IF(AND(HU32=1,EX32=1),MIN(ME32,MJ32),0)</f>
        <v>0</v>
      </c>
      <c r="MM32" s="20" t="n">
        <f aca="false">ME32-ML32</f>
        <v>9650.62349685136</v>
      </c>
      <c r="MN32" s="20" t="n">
        <f aca="false">IF(FH32=1,IF(ABS((1+AS_Wage)/(1+Slot15_Rate)-1)&lt;0.000000000001,(Slot15_Age-D32)*(1+Slot15_Rate)^(Slot15_Age-D32),(1+Slot15_Rate)^(Slot15_Age-D32)*(1-((1+AS_Wage)/(1+Slot15_Rate))^(Slot15_Age-D32))/(1-(1+AS_Wage)/(1+Slot15_Rate))),1)</f>
        <v>1</v>
      </c>
      <c r="MO32" s="20" t="n">
        <f aca="false">IF(AND(HU32=1,IE32&gt;0,Slot15_IsWG=1,FH32=1),MAX(0,(Slot15_Cost-FI32*(1+Slot15_Rate)^(Slot15_Age-D32))/MN32),0)</f>
        <v>0</v>
      </c>
      <c r="MP32" s="20" t="n">
        <f aca="false">IF(AND(HU32=1,IE32&gt;0,Slot15_IsWG=1,FH32=1),MIN(IE32,MO32),0)</f>
        <v>0</v>
      </c>
      <c r="MQ32" s="20" t="n">
        <f aca="false">FI32+MP32</f>
        <v>0</v>
      </c>
      <c r="MR32" s="20" t="n">
        <f aca="false">IF(FH32=1,MAX(0,(Slot15_Cost-MQ32*(1+Slot15_Rate)^(Slot15_Age-D32))/MN32),0)</f>
        <v>0</v>
      </c>
      <c r="MS32" s="20" t="n">
        <f aca="false">IF(FH32=1,MAX(0,(Slot15_Cost-FI32*(1+Slot15_Rate)^(Slot15_Age-D32))/MN32),0)</f>
        <v>0</v>
      </c>
      <c r="MT32" s="20" t="n">
        <f aca="false">IF(AND(HU32=1,FH32=1),MIN(MM32,MR32),0)</f>
        <v>0</v>
      </c>
      <c r="MU32" s="20" t="n">
        <f aca="false">MM32-MT32</f>
        <v>9650.62349685136</v>
      </c>
      <c r="MV32" s="20" t="n">
        <f aca="false">IF(FR32=1,IF(ABS((1+AS_Wage)/(1+Slot16_Rate)-1)&lt;0.000000000001,(Slot16_Age-D32)*(1+Slot16_Rate)^(Slot16_Age-D32),(1+Slot16_Rate)^(Slot16_Age-D32)*(1-((1+AS_Wage)/(1+Slot16_Rate))^(Slot16_Age-D32))/(1-(1+AS_Wage)/(1+Slot16_Rate))),1)</f>
        <v>1</v>
      </c>
      <c r="MW32" s="20" t="n">
        <f aca="false">IF(AND(HU32=1,IE32&gt;0,Slot16_IsWG=1,FR32=1),MAX(0,(Slot16_Cost-FS32*(1+Slot16_Rate)^(Slot16_Age-D32))/MV32),0)</f>
        <v>0</v>
      </c>
      <c r="MX32" s="20" t="n">
        <f aca="false">IF(AND(HU32=1,IE32&gt;0,Slot16_IsWG=1,FR32=1),MIN(IE32,MW32),0)</f>
        <v>0</v>
      </c>
      <c r="MY32" s="20" t="n">
        <f aca="false">FS32+MX32</f>
        <v>0</v>
      </c>
      <c r="MZ32" s="20" t="n">
        <f aca="false">IF(FR32=1,MAX(0,(Slot16_Cost-MY32*(1+Slot16_Rate)^(Slot16_Age-D32))/MV32),0)</f>
        <v>0</v>
      </c>
      <c r="NA32" s="20" t="n">
        <f aca="false">IF(FR32=1,MAX(0,(Slot16_Cost-FS32*(1+Slot16_Rate)^(Slot16_Age-D32))/MV32),0)</f>
        <v>0</v>
      </c>
      <c r="NB32" s="20" t="n">
        <f aca="false">IF(AND(HU32=1,FR32=1),MIN(MU32,MZ32),0)</f>
        <v>0</v>
      </c>
      <c r="NC32" s="20" t="n">
        <f aca="false">MU32-NB32</f>
        <v>9650.62349685136</v>
      </c>
      <c r="ND32" s="20" t="n">
        <f aca="false">IF(GB32=1,IF(ABS((1+AS_Wage)/(1+Slot17_Rate)-1)&lt;0.000000000001,(Slot17_Age-D32)*(1+Slot17_Rate)^(Slot17_Age-D32),(1+Slot17_Rate)^(Slot17_Age-D32)*(1-((1+AS_Wage)/(1+Slot17_Rate))^(Slot17_Age-D32))/(1-(1+AS_Wage)/(1+Slot17_Rate))),1)</f>
        <v>1</v>
      </c>
      <c r="NE32" s="20" t="n">
        <f aca="false">IF(AND(HU32=1,IE32&gt;0,Slot17_IsWG=1,GB32=1),MAX(0,(Slot17_Cost-GC32*(1+Slot17_Rate)^(Slot17_Age-D32))/ND32),0)</f>
        <v>0</v>
      </c>
      <c r="NF32" s="20" t="n">
        <f aca="false">IF(AND(HU32=1,IE32&gt;0,Slot17_IsWG=1,GB32=1),MIN(IE32,NE32),0)</f>
        <v>0</v>
      </c>
      <c r="NG32" s="20" t="n">
        <f aca="false">GC32+NF32</f>
        <v>0</v>
      </c>
      <c r="NH32" s="20" t="n">
        <f aca="false">IF(GB32=1,MAX(0,(Slot17_Cost-NG32*(1+Slot17_Rate)^(Slot17_Age-D32))/ND32),0)</f>
        <v>0</v>
      </c>
      <c r="NI32" s="20" t="n">
        <f aca="false">IF(GB32=1,MAX(0,(Slot17_Cost-GC32*(1+Slot17_Rate)^(Slot17_Age-D32))/ND32),0)</f>
        <v>0</v>
      </c>
      <c r="NJ32" s="20" t="n">
        <f aca="false">IF(AND(HU32=1,GB32=1),MIN(NC32,NH32),0)</f>
        <v>0</v>
      </c>
      <c r="NK32" s="20" t="n">
        <f aca="false">NC32-NJ32</f>
        <v>9650.62349685136</v>
      </c>
      <c r="NL32" s="20" t="n">
        <f aca="false">IF(GL32=1,IF(ABS((1+AS_Wage)/(1+Slot18_Rate)-1)&lt;0.000000000001,(Slot18_Age-D32)*(1+Slot18_Rate)^(Slot18_Age-D32),(1+Slot18_Rate)^(Slot18_Age-D32)*(1-((1+AS_Wage)/(1+Slot18_Rate))^(Slot18_Age-D32))/(1-(1+AS_Wage)/(1+Slot18_Rate))),1)</f>
        <v>1</v>
      </c>
      <c r="NM32" s="20" t="n">
        <f aca="false">IF(AND(HU32=1,IE32&gt;0,Slot18_IsWG=1,GL32=1),MAX(0,(Slot18_Cost-GM32*(1+Slot18_Rate)^(Slot18_Age-D32))/NL32),0)</f>
        <v>0</v>
      </c>
      <c r="NN32" s="20" t="n">
        <f aca="false">IF(AND(HU32=1,IE32&gt;0,Slot18_IsWG=1,GL32=1),MIN(IE32,NM32),0)</f>
        <v>0</v>
      </c>
      <c r="NO32" s="20" t="n">
        <f aca="false">GM32+NN32</f>
        <v>0</v>
      </c>
      <c r="NP32" s="20" t="n">
        <f aca="false">IF(GL32=1,MAX(0,(Slot18_Cost-NO32*(1+Slot18_Rate)^(Slot18_Age-D32))/NL32),0)</f>
        <v>0</v>
      </c>
      <c r="NQ32" s="20" t="n">
        <f aca="false">IF(GL32=1,MAX(0,(Slot18_Cost-GM32*(1+Slot18_Rate)^(Slot18_Age-D32))/NL32),0)</f>
        <v>0</v>
      </c>
      <c r="NR32" s="20" t="n">
        <f aca="false">IF(AND(HU32=1,GL32=1),MIN(NK32,NP32),0)</f>
        <v>0</v>
      </c>
      <c r="NS32" s="20" t="n">
        <f aca="false">NK32-NR32</f>
        <v>9650.62349685136</v>
      </c>
      <c r="NT32" s="20" t="n">
        <f aca="false">IF(GV32=1,IF(ABS((1+AS_Wage)/(1+Slot19_Rate)-1)&lt;0.000000000001,(Slot19_Age-D32)*(1+Slot19_Rate)^(Slot19_Age-D32),(1+Slot19_Rate)^(Slot19_Age-D32)*(1-((1+AS_Wage)/(1+Slot19_Rate))^(Slot19_Age-D32))/(1-(1+AS_Wage)/(1+Slot19_Rate))),1)</f>
        <v>1</v>
      </c>
      <c r="NU32" s="20" t="n">
        <f aca="false">IF(AND(HU32=1,IE32&gt;0,Slot19_IsWG=1,GV32=1),MAX(0,(Slot19_Cost-GW32*(1+Slot19_Rate)^(Slot19_Age-D32))/NT32),0)</f>
        <v>0</v>
      </c>
      <c r="NV32" s="20" t="n">
        <f aca="false">IF(AND(HU32=1,IE32&gt;0,Slot19_IsWG=1,GV32=1),MIN(IE32,NU32),0)</f>
        <v>0</v>
      </c>
      <c r="NW32" s="20" t="n">
        <f aca="false">GW32+NV32</f>
        <v>0</v>
      </c>
      <c r="NX32" s="20" t="n">
        <f aca="false">IF(GV32=1,MAX(0,(Slot19_Cost-NW32*(1+Slot19_Rate)^(Slot19_Age-D32))/NT32),0)</f>
        <v>0</v>
      </c>
      <c r="NY32" s="20" t="n">
        <f aca="false">IF(GV32=1,MAX(0,(Slot19_Cost-GW32*(1+Slot19_Rate)^(Slot19_Age-D32))/NT32),0)</f>
        <v>0</v>
      </c>
      <c r="NZ32" s="20" t="n">
        <f aca="false">IF(AND(HU32=1,GV32=1),MIN(NS32,NX32),0)</f>
        <v>0</v>
      </c>
      <c r="OA32" s="20" t="n">
        <f aca="false">NS32-NZ32</f>
        <v>9650.62349685136</v>
      </c>
      <c r="OB32" s="20" t="n">
        <f aca="false">IF(HF32=1,IF(ABS((1+AS_Wage)/(1+Slot20_Rate)-1)&lt;0.000000000001,(Slot20_Age-D32)*(1+Slot20_Rate)^(Slot20_Age-D32),(1+Slot20_Rate)^(Slot20_Age-D32)*(1-((1+AS_Wage)/(1+Slot20_Rate))^(Slot20_Age-D32))/(1-(1+AS_Wage)/(1+Slot20_Rate))),1)</f>
        <v>1</v>
      </c>
      <c r="OC32" s="20" t="n">
        <f aca="false">IF(AND(HU32=1,IE32&gt;0,Slot20_IsWG=1,HF32=1),MAX(0,(Slot20_Cost-HG32*(1+Slot20_Rate)^(Slot20_Age-D32))/OB32),0)</f>
        <v>0</v>
      </c>
      <c r="OD32" s="20" t="n">
        <f aca="false">IF(AND(HU32=1,IE32&gt;0,Slot20_IsWG=1,HF32=1),MIN(IE32,OC32),0)</f>
        <v>0</v>
      </c>
      <c r="OE32" s="20" t="n">
        <f aca="false">HG32+OD32</f>
        <v>0</v>
      </c>
      <c r="OF32" s="20" t="n">
        <f aca="false">IF(HF32=1,MAX(0,(Slot20_Cost-OE32*(1+Slot20_Rate)^(Slot20_Age-D32))/OB32),0)</f>
        <v>0</v>
      </c>
      <c r="OG32" s="20" t="n">
        <f aca="false">IF(HF32=1,MAX(0,(Slot20_Cost-HG32*(1+Slot20_Rate)^(Slot20_Age-D32))/OB32),0)</f>
        <v>0</v>
      </c>
      <c r="OH32" s="20" t="n">
        <f aca="false">IF(AND(HU32=1,HF32=1),MIN(OA32,OF32),0)</f>
        <v>0</v>
      </c>
      <c r="OI32" s="20" t="n">
        <f aca="false">OA32-OH32</f>
        <v>9650.62349685136</v>
      </c>
      <c r="OJ32" s="20" t="n">
        <f aca="false">IE32-(IH32+IP32+IX32+JF32+JN32+JV32+KD32+KL32+KT32+LB32+LJ32+LR32+LZ32+MH32+MP32+MX32+NF32+NN32+NV32+OD32)</f>
        <v>0</v>
      </c>
      <c r="OK32" s="20" t="n">
        <f aca="false">IF(HU32=1,HS32-ID32-IE32,0)</f>
        <v>36408.873651001</v>
      </c>
      <c r="OL32" s="20" t="n">
        <f aca="false">IF(HU32=0,-HS32,0)</f>
        <v>0</v>
      </c>
      <c r="OM32" s="20" t="n">
        <f aca="false">MIN(OL32,HK32)</f>
        <v>0</v>
      </c>
      <c r="ON32" s="20" t="n">
        <f aca="false">OL32-OM32</f>
        <v>0</v>
      </c>
      <c r="OO32" s="20" t="n">
        <f aca="false">MIN(ON32,HL32)</f>
        <v>0</v>
      </c>
      <c r="OP32" s="20" t="n">
        <f aca="false">ON32-OO32</f>
        <v>0</v>
      </c>
      <c r="OQ32" s="20" t="n">
        <f aca="false">IF(AND(HU32=0,HF32=1,OP32&gt;0),MIN(OP32,HG32),0)</f>
        <v>0</v>
      </c>
      <c r="OR32" s="20" t="n">
        <f aca="false">OP32-OQ32</f>
        <v>0</v>
      </c>
      <c r="OS32" s="20" t="n">
        <f aca="false">IF(AND(HU32=0,GV32=1,OR32&gt;0),MIN(OR32,GW32),0)</f>
        <v>0</v>
      </c>
      <c r="OT32" s="20" t="n">
        <f aca="false">OR32-OS32</f>
        <v>0</v>
      </c>
      <c r="OU32" s="20" t="n">
        <f aca="false">IF(AND(HU32=0,GL32=1,OT32&gt;0),MIN(OT32,GM32),0)</f>
        <v>0</v>
      </c>
      <c r="OV32" s="20" t="n">
        <f aca="false">OT32-OU32</f>
        <v>0</v>
      </c>
      <c r="OW32" s="20" t="n">
        <f aca="false">IF(AND(HU32=0,GB32=1,OV32&gt;0),MIN(OV32,GC32),0)</f>
        <v>0</v>
      </c>
      <c r="OX32" s="20" t="n">
        <f aca="false">OV32-OW32</f>
        <v>0</v>
      </c>
      <c r="OY32" s="20" t="n">
        <f aca="false">IF(AND(HU32=0,FR32=1,OX32&gt;0),MIN(OX32,FS32),0)</f>
        <v>0</v>
      </c>
      <c r="OZ32" s="20" t="n">
        <f aca="false">OX32-OY32</f>
        <v>0</v>
      </c>
      <c r="PA32" s="20" t="n">
        <f aca="false">IF(AND(HU32=0,FH32=1,OZ32&gt;0),MIN(OZ32,FI32),0)</f>
        <v>0</v>
      </c>
      <c r="PB32" s="20" t="n">
        <f aca="false">OZ32-PA32</f>
        <v>0</v>
      </c>
      <c r="PC32" s="20" t="n">
        <f aca="false">IF(AND(HU32=0,EX32=1,PB32&gt;0),MIN(PB32,EY32),0)</f>
        <v>0</v>
      </c>
      <c r="PD32" s="20" t="n">
        <f aca="false">PB32-PC32</f>
        <v>0</v>
      </c>
      <c r="PE32" s="20" t="n">
        <f aca="false">IF(AND(HU32=0,EN32=1,PD32&gt;0),MIN(PD32,EO32),0)</f>
        <v>0</v>
      </c>
      <c r="PF32" s="20" t="n">
        <f aca="false">PD32-PE32</f>
        <v>0</v>
      </c>
      <c r="PG32" s="20" t="n">
        <f aca="false">IF(AND(HU32=0,ED32=1,PF32&gt;0),MIN(PF32,EE32),0)</f>
        <v>0</v>
      </c>
      <c r="PH32" s="20" t="n">
        <f aca="false">PF32-PG32</f>
        <v>0</v>
      </c>
      <c r="PI32" s="20" t="n">
        <f aca="false">IF(AND(HU32=0,DT32=1,PH32&gt;0),MIN(PH32,DU32),0)</f>
        <v>0</v>
      </c>
      <c r="PJ32" s="20" t="n">
        <f aca="false">PH32-PI32</f>
        <v>0</v>
      </c>
      <c r="PK32" s="20" t="n">
        <f aca="false">IF(AND(HU32=0,DJ32=1,PJ32&gt;0),MIN(PJ32,DK32),0)</f>
        <v>0</v>
      </c>
      <c r="PL32" s="20" t="n">
        <f aca="false">PJ32-PK32</f>
        <v>0</v>
      </c>
      <c r="PM32" s="20" t="n">
        <f aca="false">IF(AND(HU32=0,CZ32=1,PL32&gt;0),MIN(PL32,DA32),0)</f>
        <v>0</v>
      </c>
      <c r="PN32" s="20" t="n">
        <f aca="false">PL32-PM32</f>
        <v>0</v>
      </c>
      <c r="PO32" s="20" t="n">
        <f aca="false">IF(AND(HU32=0,CP32=1,PN32&gt;0),MIN(PN32,CQ32),0)</f>
        <v>0</v>
      </c>
      <c r="PP32" s="20" t="n">
        <f aca="false">PN32-PO32</f>
        <v>0</v>
      </c>
      <c r="PQ32" s="20" t="n">
        <f aca="false">IF(AND(HU32=0,CF32=1,PP32&gt;0),MIN(PP32,CG32),0)</f>
        <v>0</v>
      </c>
      <c r="PR32" s="20" t="n">
        <f aca="false">PP32-PQ32</f>
        <v>0</v>
      </c>
      <c r="PS32" s="20" t="n">
        <f aca="false">IF(AND(HU32=0,BV32=1,PR32&gt;0),MIN(PR32,BW32),0)</f>
        <v>0</v>
      </c>
      <c r="PT32" s="20" t="n">
        <f aca="false">PR32-PS32</f>
        <v>0</v>
      </c>
      <c r="PU32" s="20" t="n">
        <f aca="false">IF(AND(HU32=0,BL32=1,PT32&gt;0),MIN(PT32,BM32),0)</f>
        <v>0</v>
      </c>
      <c r="PV32" s="20" t="n">
        <f aca="false">PT32-PU32</f>
        <v>0</v>
      </c>
      <c r="PW32" s="20" t="n">
        <f aca="false">IF(AND(HU32=0,BB32=1,PV32&gt;0),MIN(PV32,BC32),0)</f>
        <v>0</v>
      </c>
      <c r="PX32" s="20" t="n">
        <f aca="false">PV32-PW32</f>
        <v>0</v>
      </c>
      <c r="PY32" s="20" t="n">
        <f aca="false">IF(AND(HU32=0,AR32=1,PX32&gt;0),MIN(PX32,AS32),0)</f>
        <v>0</v>
      </c>
      <c r="PZ32" s="20" t="n">
        <f aca="false">PX32-PY32</f>
        <v>0</v>
      </c>
      <c r="QA32" s="20" t="n">
        <f aca="false">IF(AND(HU32=0,AH32=1,PZ32&gt;0),MIN(PZ32,AI32),0)</f>
        <v>0</v>
      </c>
      <c r="QB32" s="20" t="n">
        <f aca="false">PZ32-QA32</f>
        <v>0</v>
      </c>
      <c r="QC32" s="20" t="n">
        <f aca="false">IF(AND(HU32=0,W32=1,QB32&gt;0),MIN(QB32,X32),0)</f>
        <v>0</v>
      </c>
      <c r="QD32" s="20" t="n">
        <f aca="false">QB32-QC32</f>
        <v>0</v>
      </c>
      <c r="QE32" s="20" t="n">
        <f aca="false">IF(HU32=0,QD32,0)</f>
        <v>0</v>
      </c>
      <c r="QF32" s="20" t="n">
        <f aca="false">OM32+OO32+QC32+QA32+PY32+PW32+PU32+PS32+PQ32+PO32+PM32+PK32+PI32+PG32+PE32+PC32+PA32+OY32+OW32+OU32+OS32+OQ32</f>
        <v>0</v>
      </c>
      <c r="QG32" s="20" t="n">
        <f aca="false">IF(HU32=1,HK32+OJ32+OI32+IF(G32=1,0,OK32),HK32-OM32)</f>
        <v>95066.858170155</v>
      </c>
      <c r="QH32" s="20" t="n">
        <f aca="false">HL32-OO32</f>
        <v>14162.9266088566</v>
      </c>
      <c r="QI32" s="20" t="n">
        <f aca="false">IF(HU32=1,IF(G32=1,ID32+IE32,HS32),0)</f>
        <v>9650.62349685136</v>
      </c>
      <c r="QJ32" s="20" t="n">
        <f aca="false">IF(HU32=1,IF(G32=1,HS32-ID32-IE32,0),0)</f>
        <v>36408.873651001</v>
      </c>
      <c r="QK32" s="57" t="n">
        <f aca="false">'Plan holdings'!BM32</f>
        <v>98760.3627973604</v>
      </c>
      <c r="QL32" s="20" t="n">
        <f aca="false">QH32*(1+AS_Cash)</f>
        <v>14304.5558749451</v>
      </c>
      <c r="QM32" s="20" t="n">
        <f aca="false">IF(W32=1,IF(HU32=1,II32+IL32,X32-QC32)*(1+Slot1_Rate),0)</f>
        <v>0</v>
      </c>
      <c r="QN32" s="20" t="n">
        <f aca="false">IF(AND(HU32=1,W32=1),(IH32+IL32)/F32,0)</f>
        <v>0</v>
      </c>
      <c r="QO32" s="20" t="n">
        <f aca="false">IF(B32=0,IH32+IL32,0)</f>
        <v>0</v>
      </c>
      <c r="QP32" s="20" t="n">
        <f aca="false">IF(B32=0,IF(HU32=1,IJ32,IK32),0)</f>
        <v>0</v>
      </c>
      <c r="QQ32" s="20" t="n">
        <f aca="false">IF(AH32=1,IF(HU32=1,IQ32+IT32,AI32-QA32)*(1+Slot2_Rate),0)</f>
        <v>0</v>
      </c>
      <c r="QR32" s="20" t="n">
        <f aca="false">IF(AND(HU32=1,AH32=1),(IP32+IT32)/F32,0)</f>
        <v>0</v>
      </c>
      <c r="QS32" s="20" t="n">
        <f aca="false">IF(B32=0,IP32+IT32,0)</f>
        <v>0</v>
      </c>
      <c r="QT32" s="20" t="n">
        <f aca="false">IF(B32=0,IF(HU32=1,IR32,IS32),0)</f>
        <v>0</v>
      </c>
      <c r="QU32" s="20" t="n">
        <f aca="false">IF(AR32=1,IF(HU32=1,IY32+JB32,AS32-PY32)*(1+Slot3_Rate),0)</f>
        <v>0</v>
      </c>
      <c r="QV32" s="20" t="n">
        <f aca="false">IF(AND(HU32=1,AR32=1),(IX32+JB32)/F32,0)</f>
        <v>0</v>
      </c>
      <c r="QW32" s="20" t="n">
        <f aca="false">IF(B32=0,IX32+JB32,0)</f>
        <v>0</v>
      </c>
      <c r="QX32" s="20" t="n">
        <f aca="false">IF(B32=0,IF(HU32=1,IZ32,JA32),0)</f>
        <v>0</v>
      </c>
      <c r="QY32" s="20" t="n">
        <f aca="false">IF(BB32=1,IF(HU32=1,JG32+JJ32,BC32-PW32)*(1+Slot4_Rate),0)</f>
        <v>0</v>
      </c>
      <c r="QZ32" s="20" t="n">
        <f aca="false">IF(AND(HU32=1,BB32=1),(JF32+JJ32)/F32,0)</f>
        <v>0</v>
      </c>
      <c r="RA32" s="20" t="n">
        <f aca="false">IF(B32=0,JF32+JJ32,0)</f>
        <v>0</v>
      </c>
      <c r="RB32" s="20" t="n">
        <f aca="false">IF(B32=0,IF(HU32=1,JH32,JI32),0)</f>
        <v>0</v>
      </c>
      <c r="RC32" s="20" t="n">
        <f aca="false">IF(BL32=1,IF(HU32=1,JO32+JR32,BM32-PU32)*(1+Slot5_Rate),0)</f>
        <v>0</v>
      </c>
      <c r="RD32" s="20" t="n">
        <f aca="false">IF(AND(HU32=1,BL32=1),(JN32+JR32)/F32,0)</f>
        <v>0</v>
      </c>
      <c r="RE32" s="20" t="n">
        <f aca="false">IF(B32=0,JN32+JR32,0)</f>
        <v>0</v>
      </c>
      <c r="RF32" s="20" t="n">
        <f aca="false">IF(B32=0,IF(HU32=1,JP32,JQ32),0)</f>
        <v>0</v>
      </c>
      <c r="RG32" s="20" t="n">
        <f aca="false">IF(BV32=1,IF(HU32=1,JW32+JZ32,BW32-PS32)*(1+Slot6_Rate),0)</f>
        <v>0</v>
      </c>
      <c r="RH32" s="20" t="n">
        <f aca="false">IF(AND(HU32=1,BV32=1),(JV32+JZ32)/F32,0)</f>
        <v>0</v>
      </c>
      <c r="RI32" s="20" t="n">
        <f aca="false">IF(B32=0,JV32+JZ32,0)</f>
        <v>0</v>
      </c>
      <c r="RJ32" s="20" t="n">
        <f aca="false">IF(B32=0,IF(HU32=1,JX32,JY32),0)</f>
        <v>0</v>
      </c>
      <c r="RK32" s="20" t="n">
        <f aca="false">IF(CF32=1,IF(HU32=1,KE32+KH32,CG32-PQ32)*(1+Slot7_Rate),0)</f>
        <v>0</v>
      </c>
      <c r="RL32" s="20" t="n">
        <f aca="false">IF(AND(HU32=1,CF32=1),(KD32+KH32)/F32,0)</f>
        <v>0</v>
      </c>
      <c r="RM32" s="20" t="n">
        <f aca="false">IF(B32=0,KD32+KH32,0)</f>
        <v>0</v>
      </c>
      <c r="RN32" s="20" t="n">
        <f aca="false">IF(B32=0,IF(HU32=1,KF32,KG32),0)</f>
        <v>0</v>
      </c>
      <c r="RO32" s="20" t="n">
        <f aca="false">IF(CP32=1,IF(HU32=1,KM32+KP32,CQ32-PO32)*(1+Slot8_Rate),0)</f>
        <v>0</v>
      </c>
      <c r="RP32" s="20" t="n">
        <f aca="false">IF(AND(HU32=1,CP32=1),(KL32+KP32)/F32,0)</f>
        <v>0</v>
      </c>
      <c r="RQ32" s="20" t="n">
        <f aca="false">IF(B32=0,KL32+KP32,0)</f>
        <v>0</v>
      </c>
      <c r="RR32" s="20" t="n">
        <f aca="false">IF(B32=0,IF(HU32=1,KN32,KO32),0)</f>
        <v>0</v>
      </c>
      <c r="RS32" s="20" t="n">
        <f aca="false">IF(CZ32=1,IF(HU32=1,KU32+KX32,DA32-PM32)*(1+Slot9_Rate),0)</f>
        <v>0</v>
      </c>
      <c r="RT32" s="20" t="n">
        <f aca="false">IF(AND(HU32=1,CZ32=1),(KT32+KX32)/F32,0)</f>
        <v>0</v>
      </c>
      <c r="RU32" s="20" t="n">
        <f aca="false">IF(B32=0,KT32+KX32,0)</f>
        <v>0</v>
      </c>
      <c r="RV32" s="20" t="n">
        <f aca="false">IF(B32=0,IF(HU32=1,KV32,KW32),0)</f>
        <v>0</v>
      </c>
      <c r="RW32" s="20" t="n">
        <f aca="false">IF(DJ32=1,IF(HU32=1,LC32+LF32,DK32-PK32)*(1+Slot10_Rate),0)</f>
        <v>0</v>
      </c>
      <c r="RX32" s="20" t="n">
        <f aca="false">IF(AND(HU32=1,DJ32=1),(LB32+LF32)/F32,0)</f>
        <v>0</v>
      </c>
      <c r="RY32" s="20" t="n">
        <f aca="false">IF(B32=0,LB32+LF32,0)</f>
        <v>0</v>
      </c>
      <c r="RZ32" s="20" t="n">
        <f aca="false">IF(B32=0,IF(HU32=1,LD32,LE32),0)</f>
        <v>0</v>
      </c>
      <c r="SA32" s="20" t="n">
        <f aca="false">IF(DT32=1,IF(HU32=1,LK32+LN32,DU32-PI32)*(1+Slot11_Rate),0)</f>
        <v>0</v>
      </c>
      <c r="SB32" s="20" t="n">
        <f aca="false">IF(AND(HU32=1,DT32=1),(LJ32+LN32)/F32,0)</f>
        <v>0</v>
      </c>
      <c r="SC32" s="20" t="n">
        <f aca="false">IF(B32=0,LJ32+LN32,0)</f>
        <v>0</v>
      </c>
      <c r="SD32" s="20" t="n">
        <f aca="false">IF(B32=0,IF(HU32=1,LL32,LM32),0)</f>
        <v>0</v>
      </c>
      <c r="SE32" s="20" t="n">
        <f aca="false">IF(ED32=1,IF(HU32=1,LS32+LV32,EE32-PG32)*(1+Slot12_Rate),0)</f>
        <v>0</v>
      </c>
      <c r="SF32" s="20" t="n">
        <f aca="false">IF(AND(HU32=1,ED32=1),(LR32+LV32)/F32,0)</f>
        <v>0</v>
      </c>
      <c r="SG32" s="20" t="n">
        <f aca="false">IF(B32=0,LR32+LV32,0)</f>
        <v>0</v>
      </c>
      <c r="SH32" s="20" t="n">
        <f aca="false">IF(B32=0,IF(HU32=1,LT32,LU32),0)</f>
        <v>0</v>
      </c>
      <c r="SI32" s="20" t="n">
        <f aca="false">IF(EN32=1,IF(HU32=1,MA32+MD32,EO32-PE32)*(1+Slot13_Rate),0)</f>
        <v>0</v>
      </c>
      <c r="SJ32" s="20" t="n">
        <f aca="false">IF(AND(HU32=1,EN32=1),(LZ32+MD32)/F32,0)</f>
        <v>0</v>
      </c>
      <c r="SK32" s="20" t="n">
        <f aca="false">IF(B32=0,LZ32+MD32,0)</f>
        <v>0</v>
      </c>
      <c r="SL32" s="20" t="n">
        <f aca="false">IF(B32=0,IF(HU32=1,MB32,MC32),0)</f>
        <v>0</v>
      </c>
      <c r="SM32" s="20" t="n">
        <f aca="false">IF(EX32=1,IF(HU32=1,MI32+ML32,EY32-PC32)*(1+Slot14_Rate),0)</f>
        <v>0</v>
      </c>
      <c r="SN32" s="20" t="n">
        <f aca="false">IF(AND(HU32=1,EX32=1),(MH32+ML32)/F32,0)</f>
        <v>0</v>
      </c>
      <c r="SO32" s="20" t="n">
        <f aca="false">IF(B32=0,MH32+ML32,0)</f>
        <v>0</v>
      </c>
      <c r="SP32" s="20" t="n">
        <f aca="false">IF(B32=0,IF(HU32=1,MJ32,MK32),0)</f>
        <v>0</v>
      </c>
      <c r="SQ32" s="20" t="n">
        <f aca="false">IF(FH32=1,IF(HU32=1,MQ32+MT32,FI32-PA32)*(1+Slot15_Rate),0)</f>
        <v>0</v>
      </c>
      <c r="SR32" s="20" t="n">
        <f aca="false">IF(AND(HU32=1,FH32=1),(MP32+MT32)/F32,0)</f>
        <v>0</v>
      </c>
      <c r="SS32" s="20" t="n">
        <f aca="false">IF(B32=0,MP32+MT32,0)</f>
        <v>0</v>
      </c>
      <c r="ST32" s="20" t="n">
        <f aca="false">IF(B32=0,IF(HU32=1,MR32,MS32),0)</f>
        <v>0</v>
      </c>
      <c r="SU32" s="20" t="n">
        <f aca="false">IF(FR32=1,IF(HU32=1,MY32+NB32,FS32-OY32)*(1+Slot16_Rate),0)</f>
        <v>0</v>
      </c>
      <c r="SV32" s="20" t="n">
        <f aca="false">IF(AND(HU32=1,FR32=1),(MX32+NB32)/F32,0)</f>
        <v>0</v>
      </c>
      <c r="SW32" s="20" t="n">
        <f aca="false">IF(B32=0,MX32+NB32,0)</f>
        <v>0</v>
      </c>
      <c r="SX32" s="20" t="n">
        <f aca="false">IF(B32=0,IF(HU32=1,MZ32,NA32),0)</f>
        <v>0</v>
      </c>
      <c r="SY32" s="20" t="n">
        <f aca="false">IF(GB32=1,IF(HU32=1,NG32+NJ32,GC32-OW32)*(1+Slot17_Rate),0)</f>
        <v>0</v>
      </c>
      <c r="SZ32" s="20" t="n">
        <f aca="false">IF(AND(HU32=1,GB32=1),(NF32+NJ32)/F32,0)</f>
        <v>0</v>
      </c>
      <c r="TA32" s="20" t="n">
        <f aca="false">IF(B32=0,NF32+NJ32,0)</f>
        <v>0</v>
      </c>
      <c r="TB32" s="20" t="n">
        <f aca="false">IF(B32=0,IF(HU32=1,NH32,NI32),0)</f>
        <v>0</v>
      </c>
      <c r="TC32" s="20" t="n">
        <f aca="false">IF(GL32=1,IF(HU32=1,NO32+NR32,GM32-OU32)*(1+Slot18_Rate),0)</f>
        <v>0</v>
      </c>
      <c r="TD32" s="20" t="n">
        <f aca="false">IF(AND(HU32=1,GL32=1),(NN32+NR32)/F32,0)</f>
        <v>0</v>
      </c>
      <c r="TE32" s="20" t="n">
        <f aca="false">IF(B32=0,NN32+NR32,0)</f>
        <v>0</v>
      </c>
      <c r="TF32" s="20" t="n">
        <f aca="false">IF(B32=0,IF(HU32=1,NP32,NQ32),0)</f>
        <v>0</v>
      </c>
      <c r="TG32" s="20" t="n">
        <f aca="false">IF(GV32=1,IF(HU32=1,NW32+NZ32,GW32-OS32)*(1+Slot19_Rate),0)</f>
        <v>0</v>
      </c>
      <c r="TH32" s="20" t="n">
        <f aca="false">IF(AND(HU32=1,GV32=1),(NV32+NZ32)/F32,0)</f>
        <v>0</v>
      </c>
      <c r="TI32" s="20" t="n">
        <f aca="false">IF(B32=0,NV32+NZ32,0)</f>
        <v>0</v>
      </c>
      <c r="TJ32" s="20" t="n">
        <f aca="false">IF(B32=0,IF(HU32=1,NX32,NY32),0)</f>
        <v>0</v>
      </c>
      <c r="TK32" s="20" t="n">
        <f aca="false">IF(HF32=1,IF(HU32=1,OE32+OH32,HG32-OQ32)*(1+Slot20_Rate),0)</f>
        <v>0</v>
      </c>
      <c r="TL32" s="20" t="n">
        <f aca="false">IF(AND(HU32=1,HF32=1),(OD32+OH32)/F32,0)</f>
        <v>0</v>
      </c>
      <c r="TM32" s="20" t="n">
        <f aca="false">IF(B32=0,OD32+OH32,0)</f>
        <v>0</v>
      </c>
      <c r="TN32" s="20" t="n">
        <f aca="false">IF(B32=0,IF(HU32=1,OF32,OG32),0)</f>
        <v>0</v>
      </c>
      <c r="TO32" s="20" t="n">
        <f aca="false">QK32+QL32+QM32+QQ32+QU32+QY32+RC32+RG32+RK32+RO32+RS32+RW32+SA32+SE32+SI32+SM32+SQ32+SU32+SY32+TC32+TG32+TK32</f>
        <v>113064.918672306</v>
      </c>
      <c r="TP32" s="20" t="n">
        <f aca="false">QE32+HP32</f>
        <v>0</v>
      </c>
      <c r="TQ32" s="20" t="n">
        <f aca="false">I32+S32</f>
        <v>72379.6762263852</v>
      </c>
      <c r="TR32" s="20" t="n">
        <f aca="false">1-G32</f>
        <v>0</v>
      </c>
      <c r="TS32" s="20" t="n">
        <f aca="false">IF(AND(RG_Exists=1,G32=0,C32=1),I32,0)</f>
        <v>0</v>
      </c>
      <c r="TT32" s="20" t="n">
        <f aca="false">IF(AND(RG_Exists=1,G32=0,C32=1),I32-MIN(QE32,I32),0)</f>
        <v>0</v>
      </c>
      <c r="TU32" s="20" t="n">
        <f aca="false">'Plan pay &amp; tax'!AD258</f>
        <v>595640.396053951</v>
      </c>
      <c r="TV32" s="20" t="n">
        <f aca="false">IF(AND(C32=1,QE32&gt;MAX(PR_Short1,TQ32*PR_Short2)),1,0)</f>
        <v>0</v>
      </c>
      <c r="TW32" s="20" t="n">
        <f aca="false">MIN(H32,I32+S32)</f>
        <v>72379.6762263852</v>
      </c>
      <c r="TX32" s="20" t="n">
        <f aca="false">QF32+MAX(0,HQ32-HP32)</f>
        <v>0</v>
      </c>
      <c r="TY32" s="20" t="n">
        <f aca="false">QE32+HP32</f>
        <v>0</v>
      </c>
      <c r="TZ32" s="20" t="n">
        <f aca="false">IF(AND(C32=1,TY32&gt;PR_MinShort),1,0)</f>
        <v>0</v>
      </c>
      <c r="UA32" s="20" t="n">
        <f aca="false">IF(AND(C32=1,TZ32=0,TX32&gt;PR_MinShort),1,0)</f>
        <v>0</v>
      </c>
      <c r="UB32" s="20" t="n">
        <f aca="false">IF(AND(C32=1,QE32&gt;PR_MinShort),1,0)</f>
        <v>0</v>
      </c>
      <c r="UC32" s="20" t="n">
        <f aca="false">IF(AND(C32=1,QF32&gt;1,UJ32=0),1,0)</f>
        <v>0</v>
      </c>
      <c r="UD32" s="20" t="str">
        <f aca="false">IF(C32=0,"",IF(UJ32=1,"Gap to plan for: short "&amp;"€"&amp;TEXT(ROUND(TP32,0),"#,##0"),IF(QF32&gt;1,"Using savings","Comfortable")))</f>
        <v>Comfortable</v>
      </c>
      <c r="UE32" s="20" t="n">
        <f aca="false">IF(AND(INT(D32/10)*10=90,B32&gt;0),80,INT(D32/10)*10)</f>
        <v>60</v>
      </c>
      <c r="UF32" s="20" t="n">
        <f aca="false">IF(B32=0,1,IF(UE32&lt;&gt;UE31,UF31+1,UF31))</f>
        <v>4</v>
      </c>
      <c r="UG32" s="20" t="n">
        <f aca="false">IF(AND(C32=1,G32=1,QE32&gt;MAX(PR_Short1,TQ32*PR_Short2)),1,0)</f>
        <v>0</v>
      </c>
      <c r="UH32" s="20" t="n">
        <f aca="false">TR32*TV32</f>
        <v>0</v>
      </c>
      <c r="UI32" s="20" t="n">
        <f aca="false">IF(AND(V32=1,Slot1_PctLow=1),1,0)+IF(AND(AG32=1,Slot2_PctLow=1),1,0)+IF(AND(AQ32=1,Slot3_PctLow=1),1,0)+IF(AND(BA32=1,Slot4_PctLow=1),1,0)+IF(AND(BK32=1,Slot5_PctLow=1),1,0)+IF(AND(BU32=1,Slot6_PctLow=1),1,0)+IF(AND(CE32=1,Slot7_PctLow=1),1,0)+IF(AND(CO32=1,Slot8_PctLow=1),1,0)+IF(AND(CY32=1,Slot9_PctLow=1),1,0)+IF(AND(DI32=1,Slot10_PctLow=1),1,0)+IF(AND(DS32=1,Slot11_PctLow=1),1,0)+IF(AND(EC32=1,Slot12_PctLow=1),1,0)+IF(AND(EM32=1,Slot13_PctLow=1),1,0)+IF(AND(EW32=1,Slot14_PctLow=1),1,0)+IF(AND(FG32=1,Slot15_PctLow=1),1,0)+IF(AND(FQ32=1,Slot16_PctLow=1),1,0)+IF(AND(GA32=1,Slot17_PctLow=1),1,0)+IF(AND(GK32=1,Slot18_PctLow=1),1,0)+IF(AND(GU32=1,Slot19_PctLow=1),1,0)+IF(AND(HE32=1,Slot20_PctLow=1),1,0)</f>
        <v>0</v>
      </c>
      <c r="UJ32" s="20" t="n">
        <f aca="false">IF(C32=1,IF(OR(TV32=1,UI32&gt;0),1,0),0)</f>
        <v>0</v>
      </c>
      <c r="UK32" s="20" t="n">
        <f aca="false">Z32+AK32+AU32+BE32+BO32+BY32+CI32+CS32+DC32+DM32+DW32+EG32+EQ32+FA32+FK32+FU32+GE32+GO32+GY32+HI32+OM32</f>
        <v>0</v>
      </c>
      <c r="UL32" s="20" t="n">
        <f aca="false">V32*IF(Slot1_SpendLike=1,X32-Y32,IF(Slot1_PotFree=1,X32,0))+AG32*IF(Slot2_SpendLike=1,AI32-AJ32,IF(Slot2_PotFree=1,AI32,0))+AQ32*IF(Slot3_SpendLike=1,AS32-AT32,IF(Slot3_PotFree=1,AS32,0))+BA32*IF(Slot4_SpendLike=1,BC32-BD32,IF(Slot4_PotFree=1,BC32,0))+BK32*IF(Slot5_SpendLike=1,BM32-BN32,IF(Slot5_PotFree=1,BM32,0))+BU32*IF(Slot6_SpendLike=1,BW32-BX32,IF(Slot6_PotFree=1,BW32,0))+CE32*IF(Slot7_SpendLike=1,CG32-CH32,IF(Slot7_PotFree=1,CG32,0))+CO32*IF(Slot8_SpendLike=1,CQ32-CR32,IF(Slot8_PotFree=1,CQ32,0))+CY32*IF(Slot9_SpendLike=1,DA32-DB32,IF(Slot9_PotFree=1,DA32,0))+DI32*IF(Slot10_SpendLike=1,DK32-DL32,IF(Slot10_PotFree=1,DK32,0))+DS32*IF(Slot11_SpendLike=1,DU32-DV32,IF(Slot11_PotFree=1,DU32,0))+EC32*IF(Slot12_SpendLike=1,EE32-EF32,IF(Slot12_PotFree=1,EE32,0))+EM32*IF(Slot13_SpendLike=1,EO32-EP32,IF(Slot13_PotFree=1,EO32,0))+EW32*IF(Slot14_SpendLike=1,EY32-EZ32,IF(Slot14_PotFree=1,EY32,0))+FG32*IF(Slot15_SpendLike=1,FI32-FJ32,IF(Slot15_PotFree=1,FI32,0))+FQ32*IF(Slot16_SpendLike=1,FS32-FT32,IF(Slot16_PotFree=1,FS32,0))+GA32*IF(Slot17_SpendLike=1,GC32-GD32,IF(Slot17_PotFree=1,GC32,0))+GK32*IF(Slot18_SpendLike=1,GM32-GN32,IF(Slot18_PotFree=1,GM32,0))+GU32*IF(Slot19_SpendLike=1,GW32-GX32,IF(Slot19_PotFree=1,GW32,0))+HE32*IF(Slot20_SpendLike=1,HG32-HH32,IF(Slot20_PotFree=1,HG32,0))</f>
        <v>0</v>
      </c>
      <c r="UM32" s="20" t="n">
        <f aca="false">QG32-T32+UK32-UL32</f>
        <v>9650.62349685136</v>
      </c>
      <c r="UN32" s="20" t="n">
        <f aca="false">IF(OR(UN31=1,AND(In_homeUse="Yes, I'd downsize",In_downAge&gt;0,D32=In_downAge,OR(In_home="Own outright",In_home="Own with mortgage"),In_homeValue&gt;0)),1,0)</f>
        <v>0</v>
      </c>
    </row>
    <row r="33" customFormat="false" ht="15" hidden="false" customHeight="true" outlineLevel="0" collapsed="false">
      <c r="B33" s="20" t="n">
        <v>25</v>
      </c>
      <c r="C33" s="20" t="n">
        <f aca="false">IF(B33&lt;=F_N,1,0)</f>
        <v>1</v>
      </c>
      <c r="D33" s="20" t="n">
        <f aca="false">'Plan pay &amp; tax'!C259</f>
        <v>63</v>
      </c>
      <c r="E33" s="20" t="str">
        <f aca="false">IF($C33=1,"Income tax "&amp;TEXT(N('Plan pay &amp; tax'!BK259),"#,##0")&amp;"; USC "&amp;TEXT(N('Plan pay &amp; tax'!BM259)+N('Plan pay &amp; tax'!BO259),"#,##0")&amp;"; PRSI "&amp;TEXT(N('Plan pay &amp; tax'!BP259)+N('Plan pay &amp; tax'!BQ259),"#,##0")&amp;IF(N('Plan holdings'!BO33)&gt;=0.5,"; DIRT "&amp;TEXT(('Plan holdings'!BO33)/$F33,"#,##0")&amp;" (already taken from the interest earned)","")&amp;IF(N('Plan holdings'!BP33)&gt;=0.5,"; exit tax at an 8-year anniversary "&amp;TEXT(('Plan holdings'!BP33)/$F33,"#,##0"),"")&amp;IF(N('Plan holdings'!BN33)&gt;=0.5,"; tax on assets sold (exit tax or capital gains tax) "&amp;TEXT(('Plan holdings'!BN33)/$F33,"#,##0"),"")&amp;IF(N('Plan pay &amp; tax'!X259)-N('Plan pay &amp; tax'!Y259)&gt;=0.5,"; tax on the pension lump sum "&amp;TEXT(('Plan pay &amp; tax'!X259-'Plan pay &amp; tax'!Y259)/$F33,"#,##0"),"")&amp;IF(N('Plan pay &amp; tax'!V259)&gt;=0.5,"; chargeable excess tax on the pension "&amp;TEXT(('Plan pay &amp; tax'!V259)/$F33,"#,##0"),"")&amp;".","")</f>
        <v>Income tax 1,615; USC 381; PRSI 1,832; DIRT 416 (already taken from the interest earned); exit tax at an 8-year anniversary 350.</v>
      </c>
      <c r="F33" s="50" t="n">
        <f aca="false">'Plan pay &amp; tax'!E259</f>
        <v>1.64060599446473</v>
      </c>
      <c r="G33" s="20" t="n">
        <f aca="false">'Plan pay &amp; tax'!G259</f>
        <v>0</v>
      </c>
      <c r="H33" s="20" t="n">
        <f aca="false">'Plan pay &amp; tax'!BT259-'Plan pay &amp; tax'!BS259-'Plan pay &amp; tax'!R259</f>
        <v>57651.6501827279</v>
      </c>
      <c r="I33" s="20" t="n">
        <f aca="false">IF(G33=1,F_CostsM*12,IF(RG_Exists=1,RG_Amount,F_CostsM*12*AS_RetireSpend))*F33+F_OneOffY*F33</f>
        <v>78420.9665354141</v>
      </c>
      <c r="J33" s="20" t="n">
        <f aca="false">IF(UN33=1,0,HR32)</f>
        <v>0</v>
      </c>
      <c r="K33" s="20" t="n">
        <f aca="false">IF(J33&gt;1,'Plan debt months'!AC33,0)</f>
        <v>0</v>
      </c>
      <c r="L33" s="20" t="n">
        <f aca="false">IF(J33&gt;1,'Plan debt months'!AB33,J33)</f>
        <v>0</v>
      </c>
      <c r="M33" s="20" t="n">
        <f aca="false">O32</f>
        <v>0</v>
      </c>
      <c r="N33" s="20" t="n">
        <f aca="false">IF(M33&gt;1,'Plan debt months'!BD33,0)</f>
        <v>0</v>
      </c>
      <c r="O33" s="20" t="n">
        <f aca="false">IF(M33&gt;1,'Plan debt months'!BC33,M33)</f>
        <v>0</v>
      </c>
      <c r="P33" s="20" t="n">
        <f aca="false">R32</f>
        <v>0</v>
      </c>
      <c r="Q33" s="20" t="n">
        <f aca="false">IF(P33&gt;1,'Plan debt months'!CE33,0)</f>
        <v>0</v>
      </c>
      <c r="R33" s="20" t="n">
        <f aca="false">IF(P33&gt;1,'Plan debt months'!CD33,P33)</f>
        <v>0</v>
      </c>
      <c r="S33" s="20" t="n">
        <f aca="false">K33+N33+Q33</f>
        <v>0</v>
      </c>
      <c r="T33" s="57" t="n">
        <f aca="false">'Plan holdings'!Y33</f>
        <v>245564.415166959</v>
      </c>
      <c r="U33" s="57" t="n">
        <f aca="false">'Plan holdings'!BM32</f>
        <v>98760.3627973604</v>
      </c>
      <c r="V33" s="20" t="n">
        <f aca="false">IF(AND(Slot1_On=1,D33=Slot1_Age),1,0)</f>
        <v>0</v>
      </c>
      <c r="W33" s="20" t="n">
        <f aca="false">IF(AND(Slot1_On=1,Slot1_Age&gt;D33),1,0)</f>
        <v>0</v>
      </c>
      <c r="X33" s="20" t="n">
        <f aca="false">QM32</f>
        <v>0</v>
      </c>
      <c r="Y33" s="20" t="n">
        <f aca="false">V33*MIN(Slot1_Cost,X33)</f>
        <v>0</v>
      </c>
      <c r="Z33" s="20" t="n">
        <f aca="false">V33*Slot1_SpendLike*MIN(Slot1_Cost-Y33,T33)</f>
        <v>0</v>
      </c>
      <c r="AA33" s="20" t="n">
        <f aca="false">Y33+Z33</f>
        <v>0</v>
      </c>
      <c r="AB33" s="20" t="n">
        <f aca="false">T33-Z33+V33*IF(Slot1_SpendLike=1,X33-Y33,IF(Slot1_PotFree=1,X33,0))</f>
        <v>245564.415166959</v>
      </c>
      <c r="AC33" s="20" t="n">
        <f aca="false">AF33+V33*Slot1_BufPot*X33</f>
        <v>14304.5558749451</v>
      </c>
      <c r="AD33" s="20" t="n">
        <f aca="false">IF(AND(V33=1,Slot1_IsMfree=1),IF(AA33&gt;=Slot1_Cost-1,0,MAX(0,L33-AA33)),L33)</f>
        <v>0</v>
      </c>
      <c r="AE33" s="20" t="n">
        <f aca="false">V33*(Slot1_Cost-AA33)</f>
        <v>0</v>
      </c>
      <c r="AF33" s="20" t="n">
        <f aca="false">QL32</f>
        <v>14304.5558749451</v>
      </c>
      <c r="AG33" s="20" t="n">
        <f aca="false">IF(AND(Slot2_On=1,D33=Slot2_Age),1,0)</f>
        <v>0</v>
      </c>
      <c r="AH33" s="20" t="n">
        <f aca="false">IF(AND(Slot2_On=1,Slot2_Age&gt;D33),1,0)</f>
        <v>0</v>
      </c>
      <c r="AI33" s="20" t="n">
        <f aca="false">QQ32</f>
        <v>0</v>
      </c>
      <c r="AJ33" s="20" t="n">
        <f aca="false">AG33*MIN(Slot2_Cost,AI33)</f>
        <v>0</v>
      </c>
      <c r="AK33" s="20" t="n">
        <f aca="false">AG33*Slot2_SpendLike*MIN(Slot2_Cost-AJ33,AB33)</f>
        <v>0</v>
      </c>
      <c r="AL33" s="20" t="n">
        <f aca="false">AJ33+AK33</f>
        <v>0</v>
      </c>
      <c r="AM33" s="20" t="n">
        <f aca="false">AB33-AK33+AG33*IF(Slot2_SpendLike=1,AI33-AJ33,IF(Slot2_PotFree=1,AI33,0))</f>
        <v>245564.415166959</v>
      </c>
      <c r="AN33" s="20" t="n">
        <f aca="false">AC33+AG33*Slot2_BufPot*AI33</f>
        <v>14304.5558749451</v>
      </c>
      <c r="AO33" s="20" t="n">
        <f aca="false">IF(AND(AG33=1,Slot2_IsMfree=1),IF(AL33&gt;=Slot2_Cost-1,0,MAX(0,AD33-AL33)),AD33)</f>
        <v>0</v>
      </c>
      <c r="AP33" s="20" t="n">
        <f aca="false">AG33*(Slot2_Cost-AL33)</f>
        <v>0</v>
      </c>
      <c r="AQ33" s="20" t="n">
        <f aca="false">IF(AND(Slot3_On=1,D33=Slot3_Age),1,0)</f>
        <v>0</v>
      </c>
      <c r="AR33" s="20" t="n">
        <f aca="false">IF(AND(Slot3_On=1,Slot3_Age&gt;D33),1,0)</f>
        <v>0</v>
      </c>
      <c r="AS33" s="20" t="n">
        <f aca="false">QU32</f>
        <v>0</v>
      </c>
      <c r="AT33" s="20" t="n">
        <f aca="false">AQ33*MIN(Slot3_Cost,AS33)</f>
        <v>0</v>
      </c>
      <c r="AU33" s="20" t="n">
        <f aca="false">AQ33*Slot3_SpendLike*MIN(Slot3_Cost-AT33,AM33)</f>
        <v>0</v>
      </c>
      <c r="AV33" s="20" t="n">
        <f aca="false">AT33+AU33</f>
        <v>0</v>
      </c>
      <c r="AW33" s="20" t="n">
        <f aca="false">AM33-AU33+AQ33*IF(Slot3_SpendLike=1,AS33-AT33,IF(Slot3_PotFree=1,AS33,0))</f>
        <v>245564.415166959</v>
      </c>
      <c r="AX33" s="20" t="n">
        <f aca="false">AN33+AQ33*Slot3_BufPot*AS33</f>
        <v>14304.5558749451</v>
      </c>
      <c r="AY33" s="20" t="n">
        <f aca="false">IF(AND(AQ33=1,Slot3_IsMfree=1),IF(AV33&gt;=Slot3_Cost-1,0,MAX(0,AO33-AV33)),AO33)</f>
        <v>0</v>
      </c>
      <c r="AZ33" s="20" t="n">
        <f aca="false">AQ33*(Slot3_Cost-AV33)</f>
        <v>0</v>
      </c>
      <c r="BA33" s="20" t="n">
        <f aca="false">IF(AND(Slot4_On=1,D33=Slot4_Age),1,0)</f>
        <v>0</v>
      </c>
      <c r="BB33" s="20" t="n">
        <f aca="false">IF(AND(Slot4_On=1,Slot4_Age&gt;D33),1,0)</f>
        <v>0</v>
      </c>
      <c r="BC33" s="20" t="n">
        <f aca="false">QY32</f>
        <v>0</v>
      </c>
      <c r="BD33" s="20" t="n">
        <f aca="false">BA33*MIN(Slot4_Cost,BC33)</f>
        <v>0</v>
      </c>
      <c r="BE33" s="20" t="n">
        <f aca="false">BA33*Slot4_SpendLike*MIN(Slot4_Cost-BD33,AW33)</f>
        <v>0</v>
      </c>
      <c r="BF33" s="20" t="n">
        <f aca="false">BD33+BE33</f>
        <v>0</v>
      </c>
      <c r="BG33" s="20" t="n">
        <f aca="false">AW33-BE33+BA33*IF(Slot4_SpendLike=1,BC33-BD33,IF(Slot4_PotFree=1,BC33,0))</f>
        <v>245564.415166959</v>
      </c>
      <c r="BH33" s="20" t="n">
        <f aca="false">AX33+BA33*Slot4_BufPot*BC33</f>
        <v>14304.5558749451</v>
      </c>
      <c r="BI33" s="20" t="n">
        <f aca="false">IF(AND(BA33=1,Slot4_IsMfree=1),IF(BF33&gt;=Slot4_Cost-1,0,MAX(0,AY33-BF33)),AY33)</f>
        <v>0</v>
      </c>
      <c r="BJ33" s="20" t="n">
        <f aca="false">BA33*(Slot4_Cost-BF33)</f>
        <v>0</v>
      </c>
      <c r="BK33" s="20" t="n">
        <f aca="false">IF(AND(Slot5_On=1,D33=Slot5_Age),1,0)</f>
        <v>0</v>
      </c>
      <c r="BL33" s="20" t="n">
        <f aca="false">IF(AND(Slot5_On=1,Slot5_Age&gt;D33),1,0)</f>
        <v>0</v>
      </c>
      <c r="BM33" s="20" t="n">
        <f aca="false">RC32</f>
        <v>0</v>
      </c>
      <c r="BN33" s="20" t="n">
        <f aca="false">BK33*MIN(Slot5_Cost,BM33)</f>
        <v>0</v>
      </c>
      <c r="BO33" s="20" t="n">
        <f aca="false">BK33*Slot5_SpendLike*MIN(Slot5_Cost-BN33,BG33)</f>
        <v>0</v>
      </c>
      <c r="BP33" s="20" t="n">
        <f aca="false">BN33+BO33</f>
        <v>0</v>
      </c>
      <c r="BQ33" s="20" t="n">
        <f aca="false">BG33-BO33+BK33*IF(Slot5_SpendLike=1,BM33-BN33,IF(Slot5_PotFree=1,BM33,0))</f>
        <v>245564.415166959</v>
      </c>
      <c r="BR33" s="20" t="n">
        <f aca="false">BH33+BK33*Slot5_BufPot*BM33</f>
        <v>14304.5558749451</v>
      </c>
      <c r="BS33" s="20" t="n">
        <f aca="false">IF(AND(BK33=1,Slot5_IsMfree=1),IF(BP33&gt;=Slot5_Cost-1,0,MAX(0,BI33-BP33)),BI33)</f>
        <v>0</v>
      </c>
      <c r="BT33" s="20" t="n">
        <f aca="false">BK33*(Slot5_Cost-BP33)</f>
        <v>0</v>
      </c>
      <c r="BU33" s="20" t="n">
        <f aca="false">IF(AND(Slot6_On=1,D33=Slot6_Age),1,0)</f>
        <v>0</v>
      </c>
      <c r="BV33" s="20" t="n">
        <f aca="false">IF(AND(Slot6_On=1,Slot6_Age&gt;D33),1,0)</f>
        <v>0</v>
      </c>
      <c r="BW33" s="20" t="n">
        <f aca="false">RG32</f>
        <v>0</v>
      </c>
      <c r="BX33" s="20" t="n">
        <f aca="false">BU33*MIN(Slot6_Cost,BW33)</f>
        <v>0</v>
      </c>
      <c r="BY33" s="20" t="n">
        <f aca="false">BU33*Slot6_SpendLike*MIN(Slot6_Cost-BX33,BQ33)</f>
        <v>0</v>
      </c>
      <c r="BZ33" s="20" t="n">
        <f aca="false">BX33+BY33</f>
        <v>0</v>
      </c>
      <c r="CA33" s="20" t="n">
        <f aca="false">BQ33-BY33+BU33*IF(Slot6_SpendLike=1,BW33-BX33,IF(Slot6_PotFree=1,BW33,0))</f>
        <v>245564.415166959</v>
      </c>
      <c r="CB33" s="20" t="n">
        <f aca="false">BR33+BU33*Slot6_BufPot*BW33</f>
        <v>14304.5558749451</v>
      </c>
      <c r="CC33" s="20" t="n">
        <f aca="false">IF(AND(BU33=1,Slot6_IsMfree=1),IF(BZ33&gt;=Slot6_Cost-1,0,MAX(0,BS33-BZ33)),BS33)</f>
        <v>0</v>
      </c>
      <c r="CD33" s="20" t="n">
        <f aca="false">BU33*(Slot6_Cost-BZ33)</f>
        <v>0</v>
      </c>
      <c r="CE33" s="20" t="n">
        <f aca="false">IF(AND(Slot7_On=1,D33=Slot7_Age),1,0)</f>
        <v>0</v>
      </c>
      <c r="CF33" s="20" t="n">
        <f aca="false">IF(AND(Slot7_On=1,Slot7_Age&gt;D33),1,0)</f>
        <v>0</v>
      </c>
      <c r="CG33" s="20" t="n">
        <f aca="false">RK32</f>
        <v>0</v>
      </c>
      <c r="CH33" s="20" t="n">
        <f aca="false">CE33*MIN(Slot7_Cost,CG33)</f>
        <v>0</v>
      </c>
      <c r="CI33" s="20" t="n">
        <f aca="false">CE33*Slot7_SpendLike*MIN(Slot7_Cost-CH33,CA33)</f>
        <v>0</v>
      </c>
      <c r="CJ33" s="20" t="n">
        <f aca="false">CH33+CI33</f>
        <v>0</v>
      </c>
      <c r="CK33" s="20" t="n">
        <f aca="false">CA33-CI33+CE33*IF(Slot7_SpendLike=1,CG33-CH33,IF(Slot7_PotFree=1,CG33,0))</f>
        <v>245564.415166959</v>
      </c>
      <c r="CL33" s="20" t="n">
        <f aca="false">CB33+CE33*Slot7_BufPot*CG33</f>
        <v>14304.5558749451</v>
      </c>
      <c r="CM33" s="20" t="n">
        <f aca="false">IF(AND(CE33=1,Slot7_IsMfree=1),IF(CJ33&gt;=Slot7_Cost-1,0,MAX(0,CC33-CJ33)),CC33)</f>
        <v>0</v>
      </c>
      <c r="CN33" s="20" t="n">
        <f aca="false">CE33*(Slot7_Cost-CJ33)</f>
        <v>0</v>
      </c>
      <c r="CO33" s="20" t="n">
        <f aca="false">IF(AND(Slot8_On=1,D33=Slot8_Age),1,0)</f>
        <v>0</v>
      </c>
      <c r="CP33" s="20" t="n">
        <f aca="false">IF(AND(Slot8_On=1,Slot8_Age&gt;D33),1,0)</f>
        <v>0</v>
      </c>
      <c r="CQ33" s="20" t="n">
        <f aca="false">RO32</f>
        <v>0</v>
      </c>
      <c r="CR33" s="20" t="n">
        <f aca="false">CO33*MIN(Slot8_Cost,CQ33)</f>
        <v>0</v>
      </c>
      <c r="CS33" s="20" t="n">
        <f aca="false">CO33*Slot8_SpendLike*MIN(Slot8_Cost-CR33,CK33)</f>
        <v>0</v>
      </c>
      <c r="CT33" s="20" t="n">
        <f aca="false">CR33+CS33</f>
        <v>0</v>
      </c>
      <c r="CU33" s="20" t="n">
        <f aca="false">CK33-CS33+CO33*IF(Slot8_SpendLike=1,CQ33-CR33,IF(Slot8_PotFree=1,CQ33,0))</f>
        <v>245564.415166959</v>
      </c>
      <c r="CV33" s="20" t="n">
        <f aca="false">CL33+CO33*Slot8_BufPot*CQ33</f>
        <v>14304.5558749451</v>
      </c>
      <c r="CW33" s="20" t="n">
        <f aca="false">IF(AND(CO33=1,Slot8_IsMfree=1),IF(CT33&gt;=Slot8_Cost-1,0,MAX(0,CM33-CT33)),CM33)</f>
        <v>0</v>
      </c>
      <c r="CX33" s="20" t="n">
        <f aca="false">CO33*(Slot8_Cost-CT33)</f>
        <v>0</v>
      </c>
      <c r="CY33" s="20" t="n">
        <f aca="false">IF(AND(Slot9_On=1,D33=Slot9_Age),1,0)</f>
        <v>0</v>
      </c>
      <c r="CZ33" s="20" t="n">
        <f aca="false">IF(AND(Slot9_On=1,Slot9_Age&gt;D33),1,0)</f>
        <v>0</v>
      </c>
      <c r="DA33" s="20" t="n">
        <f aca="false">RS32</f>
        <v>0</v>
      </c>
      <c r="DB33" s="20" t="n">
        <f aca="false">CY33*MIN(Slot9_Cost,DA33)</f>
        <v>0</v>
      </c>
      <c r="DC33" s="20" t="n">
        <f aca="false">CY33*Slot9_SpendLike*MIN(Slot9_Cost-DB33,CU33)</f>
        <v>0</v>
      </c>
      <c r="DD33" s="20" t="n">
        <f aca="false">DB33+DC33</f>
        <v>0</v>
      </c>
      <c r="DE33" s="20" t="n">
        <f aca="false">CU33-DC33+CY33*IF(Slot9_SpendLike=1,DA33-DB33,IF(Slot9_PotFree=1,DA33,0))</f>
        <v>245564.415166959</v>
      </c>
      <c r="DF33" s="20" t="n">
        <f aca="false">CV33+CY33*Slot9_BufPot*DA33</f>
        <v>14304.5558749451</v>
      </c>
      <c r="DG33" s="20" t="n">
        <f aca="false">IF(AND(CY33=1,Slot9_IsMfree=1),IF(DD33&gt;=Slot9_Cost-1,0,MAX(0,CW33-DD33)),CW33)</f>
        <v>0</v>
      </c>
      <c r="DH33" s="20" t="n">
        <f aca="false">CY33*(Slot9_Cost-DD33)</f>
        <v>0</v>
      </c>
      <c r="DI33" s="20" t="n">
        <f aca="false">IF(AND(Slot10_On=1,D33=Slot10_Age),1,0)</f>
        <v>0</v>
      </c>
      <c r="DJ33" s="20" t="n">
        <f aca="false">IF(AND(Slot10_On=1,Slot10_Age&gt;D33),1,0)</f>
        <v>0</v>
      </c>
      <c r="DK33" s="20" t="n">
        <f aca="false">RW32</f>
        <v>0</v>
      </c>
      <c r="DL33" s="20" t="n">
        <f aca="false">DI33*MIN(Slot10_Cost,DK33)</f>
        <v>0</v>
      </c>
      <c r="DM33" s="20" t="n">
        <f aca="false">DI33*Slot10_SpendLike*MIN(Slot10_Cost-DL33,DE33)</f>
        <v>0</v>
      </c>
      <c r="DN33" s="20" t="n">
        <f aca="false">DL33+DM33</f>
        <v>0</v>
      </c>
      <c r="DO33" s="20" t="n">
        <f aca="false">DE33-DM33+DI33*IF(Slot10_SpendLike=1,DK33-DL33,IF(Slot10_PotFree=1,DK33,0))</f>
        <v>245564.415166959</v>
      </c>
      <c r="DP33" s="20" t="n">
        <f aca="false">DF33+DI33*Slot10_BufPot*DK33</f>
        <v>14304.5558749451</v>
      </c>
      <c r="DQ33" s="20" t="n">
        <f aca="false">IF(AND(DI33=1,Slot10_IsMfree=1),IF(DN33&gt;=Slot10_Cost-1,0,MAX(0,DG33-DN33)),DG33)</f>
        <v>0</v>
      </c>
      <c r="DR33" s="20" t="n">
        <f aca="false">DI33*(Slot10_Cost-DN33)</f>
        <v>0</v>
      </c>
      <c r="DS33" s="20" t="n">
        <f aca="false">IF(AND(Slot11_On=1,D33=Slot11_Age),1,0)</f>
        <v>0</v>
      </c>
      <c r="DT33" s="20" t="n">
        <f aca="false">IF(AND(Slot11_On=1,Slot11_Age&gt;D33),1,0)</f>
        <v>0</v>
      </c>
      <c r="DU33" s="20" t="n">
        <f aca="false">SA32</f>
        <v>0</v>
      </c>
      <c r="DV33" s="20" t="n">
        <f aca="false">DS33*MIN(Slot11_Cost,DU33)</f>
        <v>0</v>
      </c>
      <c r="DW33" s="20" t="n">
        <f aca="false">DS33*Slot11_SpendLike*MIN(Slot11_Cost-DV33,DO33)</f>
        <v>0</v>
      </c>
      <c r="DX33" s="20" t="n">
        <f aca="false">DV33+DW33</f>
        <v>0</v>
      </c>
      <c r="DY33" s="20" t="n">
        <f aca="false">DO33-DW33+DS33*IF(Slot11_SpendLike=1,DU33-DV33,IF(Slot11_PotFree=1,DU33,0))</f>
        <v>245564.415166959</v>
      </c>
      <c r="DZ33" s="20" t="n">
        <f aca="false">DP33+DS33*Slot11_BufPot*DU33</f>
        <v>14304.5558749451</v>
      </c>
      <c r="EA33" s="20" t="n">
        <f aca="false">IF(AND(DS33=1,Slot11_IsMfree=1),IF(DX33&gt;=Slot11_Cost-1,0,MAX(0,DQ33-DX33)),DQ33)</f>
        <v>0</v>
      </c>
      <c r="EB33" s="20" t="n">
        <f aca="false">DS33*(Slot11_Cost-DX33)</f>
        <v>0</v>
      </c>
      <c r="EC33" s="20" t="n">
        <f aca="false">IF(AND(Slot12_On=1,D33=Slot12_Age),1,0)</f>
        <v>0</v>
      </c>
      <c r="ED33" s="20" t="n">
        <f aca="false">IF(AND(Slot12_On=1,Slot12_Age&gt;D33),1,0)</f>
        <v>0</v>
      </c>
      <c r="EE33" s="20" t="n">
        <f aca="false">SE32</f>
        <v>0</v>
      </c>
      <c r="EF33" s="20" t="n">
        <f aca="false">EC33*MIN(Slot12_Cost,EE33)</f>
        <v>0</v>
      </c>
      <c r="EG33" s="20" t="n">
        <f aca="false">EC33*Slot12_SpendLike*MIN(Slot12_Cost-EF33,DY33)</f>
        <v>0</v>
      </c>
      <c r="EH33" s="20" t="n">
        <f aca="false">EF33+EG33</f>
        <v>0</v>
      </c>
      <c r="EI33" s="20" t="n">
        <f aca="false">DY33-EG33+EC33*IF(Slot12_SpendLike=1,EE33-EF33,IF(Slot12_PotFree=1,EE33,0))</f>
        <v>245564.415166959</v>
      </c>
      <c r="EJ33" s="20" t="n">
        <f aca="false">DZ33+EC33*Slot12_BufPot*EE33</f>
        <v>14304.5558749451</v>
      </c>
      <c r="EK33" s="20" t="n">
        <f aca="false">IF(AND(EC33=1,Slot12_IsMfree=1),IF(EH33&gt;=Slot12_Cost-1,0,MAX(0,EA33-EH33)),EA33)</f>
        <v>0</v>
      </c>
      <c r="EL33" s="20" t="n">
        <f aca="false">EC33*(Slot12_Cost-EH33)</f>
        <v>0</v>
      </c>
      <c r="EM33" s="20" t="n">
        <f aca="false">IF(AND(Slot13_On=1,D33=Slot13_Age),1,0)</f>
        <v>0</v>
      </c>
      <c r="EN33" s="20" t="n">
        <f aca="false">IF(AND(Slot13_On=1,Slot13_Age&gt;D33),1,0)</f>
        <v>0</v>
      </c>
      <c r="EO33" s="20" t="n">
        <f aca="false">SI32</f>
        <v>0</v>
      </c>
      <c r="EP33" s="20" t="n">
        <f aca="false">EM33*MIN(Slot13_Cost,EO33)</f>
        <v>0</v>
      </c>
      <c r="EQ33" s="20" t="n">
        <f aca="false">EM33*Slot13_SpendLike*MIN(Slot13_Cost-EP33,EI33)</f>
        <v>0</v>
      </c>
      <c r="ER33" s="20" t="n">
        <f aca="false">EP33+EQ33</f>
        <v>0</v>
      </c>
      <c r="ES33" s="20" t="n">
        <f aca="false">EI33-EQ33+EM33*IF(Slot13_SpendLike=1,EO33-EP33,IF(Slot13_PotFree=1,EO33,0))</f>
        <v>245564.415166959</v>
      </c>
      <c r="ET33" s="20" t="n">
        <f aca="false">EJ33+EM33*Slot13_BufPot*EO33</f>
        <v>14304.5558749451</v>
      </c>
      <c r="EU33" s="20" t="n">
        <f aca="false">IF(AND(EM33=1,Slot13_IsMfree=1),IF(ER33&gt;=Slot13_Cost-1,0,MAX(0,EK33-ER33)),EK33)</f>
        <v>0</v>
      </c>
      <c r="EV33" s="20" t="n">
        <f aca="false">EM33*(Slot13_Cost-ER33)</f>
        <v>0</v>
      </c>
      <c r="EW33" s="20" t="n">
        <f aca="false">IF(AND(Slot14_On=1,D33=Slot14_Age),1,0)</f>
        <v>0</v>
      </c>
      <c r="EX33" s="20" t="n">
        <f aca="false">IF(AND(Slot14_On=1,Slot14_Age&gt;D33),1,0)</f>
        <v>0</v>
      </c>
      <c r="EY33" s="20" t="n">
        <f aca="false">SM32</f>
        <v>0</v>
      </c>
      <c r="EZ33" s="20" t="n">
        <f aca="false">EW33*MIN(Slot14_Cost,EY33)</f>
        <v>0</v>
      </c>
      <c r="FA33" s="20" t="n">
        <f aca="false">EW33*Slot14_SpendLike*MIN(Slot14_Cost-EZ33,ES33)</f>
        <v>0</v>
      </c>
      <c r="FB33" s="20" t="n">
        <f aca="false">EZ33+FA33</f>
        <v>0</v>
      </c>
      <c r="FC33" s="20" t="n">
        <f aca="false">ES33-FA33+EW33*IF(Slot14_SpendLike=1,EY33-EZ33,IF(Slot14_PotFree=1,EY33,0))</f>
        <v>245564.415166959</v>
      </c>
      <c r="FD33" s="20" t="n">
        <f aca="false">ET33+EW33*Slot14_BufPot*EY33</f>
        <v>14304.5558749451</v>
      </c>
      <c r="FE33" s="20" t="n">
        <f aca="false">IF(AND(EW33=1,Slot14_IsMfree=1),IF(FB33&gt;=Slot14_Cost-1,0,MAX(0,EU33-FB33)),EU33)</f>
        <v>0</v>
      </c>
      <c r="FF33" s="20" t="n">
        <f aca="false">EW33*(Slot14_Cost-FB33)</f>
        <v>0</v>
      </c>
      <c r="FG33" s="20" t="n">
        <f aca="false">IF(AND(Slot15_On=1,D33=Slot15_Age),1,0)</f>
        <v>0</v>
      </c>
      <c r="FH33" s="20" t="n">
        <f aca="false">IF(AND(Slot15_On=1,Slot15_Age&gt;D33),1,0)</f>
        <v>0</v>
      </c>
      <c r="FI33" s="20" t="n">
        <f aca="false">SQ32</f>
        <v>0</v>
      </c>
      <c r="FJ33" s="20" t="n">
        <f aca="false">FG33*MIN(Slot15_Cost,FI33)</f>
        <v>0</v>
      </c>
      <c r="FK33" s="20" t="n">
        <f aca="false">FG33*Slot15_SpendLike*MIN(Slot15_Cost-FJ33,FC33)</f>
        <v>0</v>
      </c>
      <c r="FL33" s="20" t="n">
        <f aca="false">FJ33+FK33</f>
        <v>0</v>
      </c>
      <c r="FM33" s="20" t="n">
        <f aca="false">FC33-FK33+FG33*IF(Slot15_SpendLike=1,FI33-FJ33,IF(Slot15_PotFree=1,FI33,0))</f>
        <v>245564.415166959</v>
      </c>
      <c r="FN33" s="20" t="n">
        <f aca="false">FD33+FG33*Slot15_BufPot*FI33</f>
        <v>14304.5558749451</v>
      </c>
      <c r="FO33" s="20" t="n">
        <f aca="false">IF(AND(FG33=1,Slot15_IsMfree=1),IF(FL33&gt;=Slot15_Cost-1,0,MAX(0,FE33-FL33)),FE33)</f>
        <v>0</v>
      </c>
      <c r="FP33" s="20" t="n">
        <f aca="false">FG33*(Slot15_Cost-FL33)</f>
        <v>0</v>
      </c>
      <c r="FQ33" s="20" t="n">
        <f aca="false">IF(AND(Slot16_On=1,D33=Slot16_Age),1,0)</f>
        <v>0</v>
      </c>
      <c r="FR33" s="20" t="n">
        <f aca="false">IF(AND(Slot16_On=1,Slot16_Age&gt;D33),1,0)</f>
        <v>0</v>
      </c>
      <c r="FS33" s="20" t="n">
        <f aca="false">SU32</f>
        <v>0</v>
      </c>
      <c r="FT33" s="20" t="n">
        <f aca="false">FQ33*MIN(Slot16_Cost,FS33)</f>
        <v>0</v>
      </c>
      <c r="FU33" s="20" t="n">
        <f aca="false">FQ33*Slot16_SpendLike*MIN(Slot16_Cost-FT33,FM33)</f>
        <v>0</v>
      </c>
      <c r="FV33" s="20" t="n">
        <f aca="false">FT33+FU33</f>
        <v>0</v>
      </c>
      <c r="FW33" s="20" t="n">
        <f aca="false">FM33-FU33+FQ33*IF(Slot16_SpendLike=1,FS33-FT33,IF(Slot16_PotFree=1,FS33,0))</f>
        <v>245564.415166959</v>
      </c>
      <c r="FX33" s="20" t="n">
        <f aca="false">FN33+FQ33*Slot16_BufPot*FS33</f>
        <v>14304.5558749451</v>
      </c>
      <c r="FY33" s="20" t="n">
        <f aca="false">IF(AND(FQ33=1,Slot16_IsMfree=1),IF(FV33&gt;=Slot16_Cost-1,0,MAX(0,FO33-FV33)),FO33)</f>
        <v>0</v>
      </c>
      <c r="FZ33" s="20" t="n">
        <f aca="false">FQ33*(Slot16_Cost-FV33)</f>
        <v>0</v>
      </c>
      <c r="GA33" s="20" t="n">
        <f aca="false">IF(AND(Slot17_On=1,D33=Slot17_Age),1,0)</f>
        <v>0</v>
      </c>
      <c r="GB33" s="20" t="n">
        <f aca="false">IF(AND(Slot17_On=1,Slot17_Age&gt;D33),1,0)</f>
        <v>0</v>
      </c>
      <c r="GC33" s="20" t="n">
        <f aca="false">SY32</f>
        <v>0</v>
      </c>
      <c r="GD33" s="20" t="n">
        <f aca="false">GA33*MIN(Slot17_Cost,GC33)</f>
        <v>0</v>
      </c>
      <c r="GE33" s="20" t="n">
        <f aca="false">GA33*Slot17_SpendLike*MIN(Slot17_Cost-GD33,FW33)</f>
        <v>0</v>
      </c>
      <c r="GF33" s="20" t="n">
        <f aca="false">GD33+GE33</f>
        <v>0</v>
      </c>
      <c r="GG33" s="20" t="n">
        <f aca="false">FW33-GE33+GA33*IF(Slot17_SpendLike=1,GC33-GD33,IF(Slot17_PotFree=1,GC33,0))</f>
        <v>245564.415166959</v>
      </c>
      <c r="GH33" s="20" t="n">
        <f aca="false">FX33+GA33*Slot17_BufPot*GC33</f>
        <v>14304.5558749451</v>
      </c>
      <c r="GI33" s="20" t="n">
        <f aca="false">IF(AND(GA33=1,Slot17_IsMfree=1),IF(GF33&gt;=Slot17_Cost-1,0,MAX(0,FY33-GF33)),FY33)</f>
        <v>0</v>
      </c>
      <c r="GJ33" s="20" t="n">
        <f aca="false">GA33*(Slot17_Cost-GF33)</f>
        <v>0</v>
      </c>
      <c r="GK33" s="20" t="n">
        <f aca="false">IF(AND(Slot18_On=1,D33=Slot18_Age),1,0)</f>
        <v>0</v>
      </c>
      <c r="GL33" s="20" t="n">
        <f aca="false">IF(AND(Slot18_On=1,Slot18_Age&gt;D33),1,0)</f>
        <v>0</v>
      </c>
      <c r="GM33" s="20" t="n">
        <f aca="false">TC32</f>
        <v>0</v>
      </c>
      <c r="GN33" s="20" t="n">
        <f aca="false">GK33*MIN(Slot18_Cost,GM33)</f>
        <v>0</v>
      </c>
      <c r="GO33" s="20" t="n">
        <f aca="false">GK33*Slot18_SpendLike*MIN(Slot18_Cost-GN33,GG33)</f>
        <v>0</v>
      </c>
      <c r="GP33" s="20" t="n">
        <f aca="false">GN33+GO33</f>
        <v>0</v>
      </c>
      <c r="GQ33" s="20" t="n">
        <f aca="false">GG33-GO33+GK33*IF(Slot18_SpendLike=1,GM33-GN33,IF(Slot18_PotFree=1,GM33,0))</f>
        <v>245564.415166959</v>
      </c>
      <c r="GR33" s="20" t="n">
        <f aca="false">GH33+GK33*Slot18_BufPot*GM33</f>
        <v>14304.5558749451</v>
      </c>
      <c r="GS33" s="20" t="n">
        <f aca="false">IF(AND(GK33=1,Slot18_IsMfree=1),IF(GP33&gt;=Slot18_Cost-1,0,MAX(0,GI33-GP33)),GI33)</f>
        <v>0</v>
      </c>
      <c r="GT33" s="20" t="n">
        <f aca="false">GK33*(Slot18_Cost-GP33)</f>
        <v>0</v>
      </c>
      <c r="GU33" s="20" t="n">
        <f aca="false">IF(AND(Slot19_On=1,D33=Slot19_Age),1,0)</f>
        <v>0</v>
      </c>
      <c r="GV33" s="20" t="n">
        <f aca="false">IF(AND(Slot19_On=1,Slot19_Age&gt;D33),1,0)</f>
        <v>0</v>
      </c>
      <c r="GW33" s="20" t="n">
        <f aca="false">TG32</f>
        <v>0</v>
      </c>
      <c r="GX33" s="20" t="n">
        <f aca="false">GU33*MIN(Slot19_Cost,GW33)</f>
        <v>0</v>
      </c>
      <c r="GY33" s="20" t="n">
        <f aca="false">GU33*Slot19_SpendLike*MIN(Slot19_Cost-GX33,GQ33)</f>
        <v>0</v>
      </c>
      <c r="GZ33" s="20" t="n">
        <f aca="false">GX33+GY33</f>
        <v>0</v>
      </c>
      <c r="HA33" s="20" t="n">
        <f aca="false">GQ33-GY33+GU33*IF(Slot19_SpendLike=1,GW33-GX33,IF(Slot19_PotFree=1,GW33,0))</f>
        <v>245564.415166959</v>
      </c>
      <c r="HB33" s="20" t="n">
        <f aca="false">GR33+GU33*Slot19_BufPot*GW33</f>
        <v>14304.5558749451</v>
      </c>
      <c r="HC33" s="20" t="n">
        <f aca="false">IF(AND(GU33=1,Slot19_IsMfree=1),IF(GZ33&gt;=Slot19_Cost-1,0,MAX(0,GS33-GZ33)),GS33)</f>
        <v>0</v>
      </c>
      <c r="HD33" s="20" t="n">
        <f aca="false">GU33*(Slot19_Cost-GZ33)</f>
        <v>0</v>
      </c>
      <c r="HE33" s="20" t="n">
        <f aca="false">IF(AND(Slot20_On=1,D33=Slot20_Age),1,0)</f>
        <v>0</v>
      </c>
      <c r="HF33" s="20" t="n">
        <f aca="false">IF(AND(Slot20_On=1,Slot20_Age&gt;D33),1,0)</f>
        <v>0</v>
      </c>
      <c r="HG33" s="20" t="n">
        <f aca="false">TK32</f>
        <v>0</v>
      </c>
      <c r="HH33" s="20" t="n">
        <f aca="false">HE33*MIN(Slot20_Cost,HG33)</f>
        <v>0</v>
      </c>
      <c r="HI33" s="20" t="n">
        <f aca="false">HE33*Slot20_SpendLike*MIN(Slot20_Cost-HH33,HA33)</f>
        <v>0</v>
      </c>
      <c r="HJ33" s="20" t="n">
        <f aca="false">HH33+HI33</f>
        <v>0</v>
      </c>
      <c r="HK33" s="20" t="n">
        <f aca="false">HA33-HI33+HE33*IF(Slot20_SpendLike=1,HG33-HH33,IF(Slot20_PotFree=1,HG33,0))</f>
        <v>245564.415166959</v>
      </c>
      <c r="HL33" s="20" t="n">
        <f aca="false">HB33+HE33*Slot20_BufPot*HG33</f>
        <v>14304.5558749451</v>
      </c>
      <c r="HM33" s="20" t="n">
        <f aca="false">IF(AND(HE33=1,Slot20_IsMfree=1),IF(HJ33&gt;=Slot20_Cost-1,0,MAX(0,HC33-HJ33)),HC33)</f>
        <v>0</v>
      </c>
      <c r="HN33" s="20" t="n">
        <f aca="false">HE33*(Slot20_Cost-HJ33)</f>
        <v>0</v>
      </c>
      <c r="HO33" s="20" t="n">
        <f aca="false">V33*Slot1_SpendLike*AA33+AG33*Slot2_SpendLike*AL33+AQ33*Slot3_SpendLike*AV33+BA33*Slot4_SpendLike*BF33+BK33*Slot5_SpendLike*BP33+BU33*Slot6_SpendLike*BZ33+CE33*Slot7_SpendLike*CJ33+CO33*Slot8_SpendLike*CT33+CY33*Slot9_SpendLike*DD33+DI33*Slot10_SpendLike*DN33+DS33*Slot11_SpendLike*DX33+EC33*Slot12_SpendLike*EH33+EM33*Slot13_SpendLike*ER33+EW33*Slot14_SpendLike*FB33+FG33*Slot15_SpendLike*FL33+FQ33*Slot16_SpendLike*FV33+GA33*Slot17_SpendLike*GF33+GK33*Slot18_SpendLike*GP33+GU33*Slot19_SpendLike*GZ33+HE33*Slot20_SpendLike*HJ33</f>
        <v>0</v>
      </c>
      <c r="HP33" s="20" t="n">
        <f aca="false">AE33+AP33+AZ33+BJ33+BT33+CD33+CN33+CX33+DH33+DR33+EB33+EL33+EV33+FF33+FP33+FZ33+GJ33+GT33+HD33+HN33</f>
        <v>0</v>
      </c>
      <c r="HQ33" s="20" t="n">
        <f aca="false">V33*Slot1_Cost+AG33*Slot2_Cost+AQ33*Slot3_Cost+BA33*Slot4_Cost+BK33*Slot5_Cost+BU33*Slot6_Cost+CE33*Slot7_Cost+CO33*Slot8_Cost+CY33*Slot9_Cost+DI33*Slot10_Cost+DS33*Slot11_Cost+EC33*Slot12_Cost+EM33*Slot13_Cost+EW33*Slot14_Cost+FG33*Slot15_Cost+FQ33*Slot16_Cost+GA33*Slot17_Cost+GK33*Slot18_Cost+GU33*Slot19_Cost+HE33*Slot20_Cost</f>
        <v>0</v>
      </c>
      <c r="HR33" s="20" t="n">
        <f aca="false">HM33</f>
        <v>0</v>
      </c>
      <c r="HS33" s="20" t="n">
        <f aca="false">H33-I33-S33</f>
        <v>-20769.3163526862</v>
      </c>
      <c r="HT33" s="20" t="n">
        <f aca="false">IF(B33=0,IF(AND(Has_q6=1,In_q6=4),PR_ShareVaries*(MAX(0,HS33)/12),MIN(IF(Has_q6=1,CHOOSE(In_q6+1,PR_SaveB1,PR_SaveB2,PR_SaveB3,PR_SaveB4,0),AS_NoAnswer),AS_SaveShare*(MAX(0,HS33)/12))),HT32)</f>
        <v>67.3316893520437</v>
      </c>
      <c r="HU33" s="20" t="n">
        <f aca="false">IF(HS33&gt;=0,1,0)</f>
        <v>0</v>
      </c>
      <c r="HV33" s="20" t="n">
        <f aca="false">MAX(0,HS33/12/F33)</f>
        <v>0</v>
      </c>
      <c r="HW33" s="20" t="n">
        <f aca="false">IF(AND(Has_q6=1,In_q6=4),PR_ShareVaries*(HV33),MIN(IF(Has_q6=1,CHOOSE(In_q6+1,PR_SaveB1,PR_SaveB2,PR_SaveB3,PR_SaveB4,0),AS_NoAnswer),AS_SaveShare*(HV33)))</f>
        <v>0</v>
      </c>
      <c r="HX33" s="20" t="n">
        <f aca="false">IF(Has_saveM=1,IF(In_saveUp="Yes",1,IF(In_saveUp="No",0,IF(In_saveM&gt;=HT33-0.5,1,0))),0)</f>
        <v>0</v>
      </c>
      <c r="HY33" s="20" t="n">
        <f aca="false">IF(Has_saveM=1,MIN(HV33,IF(HX33=1,MAX(In_saveM,HW33),MIN(In_saveM,HW33))),HW33)</f>
        <v>0</v>
      </c>
      <c r="HZ33" s="20" t="n">
        <f aca="false">IF(G33=1,HY33*12*F33,0)</f>
        <v>0</v>
      </c>
      <c r="IA33" s="20" t="n">
        <f aca="false">MAX(0,HZ33+IF(AND(WI_Retire=0,WI_M&lt;0,G33=1),WI_M*12*F33,0))</f>
        <v>0</v>
      </c>
      <c r="IB33" s="20" t="n">
        <f aca="false">Slot1_IsWG*W33+Slot2_IsWG*AH33+Slot3_IsWG*AR33+Slot4_IsWG*BB33+Slot5_IsWG*BL33+Slot6_IsWG*BV33+Slot7_IsWG*CF33+Slot8_IsWG*CP33+Slot9_IsWG*CZ33+Slot10_IsWG*DJ33+Slot11_IsWG*DT33+Slot12_IsWG*ED33+Slot13_IsWG*EN33+Slot14_IsWG*EX33+Slot15_IsWG*FH33+Slot16_IsWG*FR33+Slot17_IsWG*GB33+Slot18_IsWG*GL33+Slot19_IsWG*GV33+Slot20_IsWG*HF33</f>
        <v>0</v>
      </c>
      <c r="IC33" s="20" t="n">
        <f aca="false">IF(AND(WI_Retire=0,WI_M&gt;0,G33=1,IB33&gt;=1),WI_M*12*F33,0)</f>
        <v>0</v>
      </c>
      <c r="ID33" s="20" t="n">
        <f aca="false">IF(HU33=1,MIN(IA33,HS33),0)</f>
        <v>0</v>
      </c>
      <c r="IE33" s="20" t="n">
        <f aca="false">IF(HU33=1,MIN(IC33,HS33-ID33),0)</f>
        <v>0</v>
      </c>
      <c r="IF33" s="20" t="n">
        <f aca="false">IF(W33=1,IF(ABS((1+AS_Wage)/(1+Slot1_Rate)-1)&lt;0.000000000001,(Slot1_Age-D33)*(1+Slot1_Rate)^(Slot1_Age-D33),(1+Slot1_Rate)^(Slot1_Age-D33)*(1-((1+AS_Wage)/(1+Slot1_Rate))^(Slot1_Age-D33))/(1-(1+AS_Wage)/(1+Slot1_Rate))),1)</f>
        <v>1</v>
      </c>
      <c r="IG33" s="20" t="n">
        <f aca="false">IF(AND(HU33=1,IE33&gt;0,Slot1_IsWG=1,W33=1),MAX(0,(Slot1_Cost-X33*(1+Slot1_Rate)^(Slot1_Age-D33))/IF33),0)</f>
        <v>0</v>
      </c>
      <c r="IH33" s="20" t="n">
        <f aca="false">IF(AND(HU33=1,IE33&gt;0,Slot1_IsWG=1,W33=1),MIN(IE33,IG33),0)</f>
        <v>0</v>
      </c>
      <c r="II33" s="20" t="n">
        <f aca="false">X33+IH33</f>
        <v>0</v>
      </c>
      <c r="IJ33" s="20" t="n">
        <f aca="false">IF(W33=1,MAX(0,(Slot1_Cost-II33*(1+Slot1_Rate)^(Slot1_Age-D33))/IF33),0)</f>
        <v>0</v>
      </c>
      <c r="IK33" s="20" t="n">
        <f aca="false">IF(W33=1,MAX(0,(Slot1_Cost-X33*(1+Slot1_Rate)^(Slot1_Age-D33))/IF33),0)</f>
        <v>0</v>
      </c>
      <c r="IL33" s="20" t="n">
        <f aca="false">IF(AND(HU33=1,W33=1),MIN(ID33,IJ33),0)</f>
        <v>0</v>
      </c>
      <c r="IM33" s="20" t="n">
        <f aca="false">ID33-IL33</f>
        <v>0</v>
      </c>
      <c r="IN33" s="20" t="n">
        <f aca="false">IF(AH33=1,IF(ABS((1+AS_Wage)/(1+Slot2_Rate)-1)&lt;0.000000000001,(Slot2_Age-D33)*(1+Slot2_Rate)^(Slot2_Age-D33),(1+Slot2_Rate)^(Slot2_Age-D33)*(1-((1+AS_Wage)/(1+Slot2_Rate))^(Slot2_Age-D33))/(1-(1+AS_Wage)/(1+Slot2_Rate))),1)</f>
        <v>1</v>
      </c>
      <c r="IO33" s="20" t="n">
        <f aca="false">IF(AND(HU33=1,IE33&gt;0,Slot2_IsWG=1,AH33=1),MAX(0,(Slot2_Cost-AI33*(1+Slot2_Rate)^(Slot2_Age-D33))/IN33),0)</f>
        <v>0</v>
      </c>
      <c r="IP33" s="20" t="n">
        <f aca="false">IF(AND(HU33=1,IE33&gt;0,Slot2_IsWG=1,AH33=1),MIN(IE33,IO33),0)</f>
        <v>0</v>
      </c>
      <c r="IQ33" s="20" t="n">
        <f aca="false">AI33+IP33</f>
        <v>0</v>
      </c>
      <c r="IR33" s="20" t="n">
        <f aca="false">IF(AH33=1,MAX(0,(Slot2_Cost-IQ33*(1+Slot2_Rate)^(Slot2_Age-D33))/IN33),0)</f>
        <v>0</v>
      </c>
      <c r="IS33" s="20" t="n">
        <f aca="false">IF(AH33=1,MAX(0,(Slot2_Cost-AI33*(1+Slot2_Rate)^(Slot2_Age-D33))/IN33),0)</f>
        <v>0</v>
      </c>
      <c r="IT33" s="20" t="n">
        <f aca="false">IF(AND(HU33=1,AH33=1),MIN(IM33,IR33),0)</f>
        <v>0</v>
      </c>
      <c r="IU33" s="20" t="n">
        <f aca="false">IM33-IT33</f>
        <v>0</v>
      </c>
      <c r="IV33" s="20" t="n">
        <f aca="false">IF(AR33=1,IF(ABS((1+AS_Wage)/(1+Slot3_Rate)-1)&lt;0.000000000001,(Slot3_Age-D33)*(1+Slot3_Rate)^(Slot3_Age-D33),(1+Slot3_Rate)^(Slot3_Age-D33)*(1-((1+AS_Wage)/(1+Slot3_Rate))^(Slot3_Age-D33))/(1-(1+AS_Wage)/(1+Slot3_Rate))),1)</f>
        <v>1</v>
      </c>
      <c r="IW33" s="20" t="n">
        <f aca="false">IF(AND(HU33=1,IE33&gt;0,Slot3_IsWG=1,AR33=1),MAX(0,(Slot3_Cost-AS33*(1+Slot3_Rate)^(Slot3_Age-D33))/IV33),0)</f>
        <v>0</v>
      </c>
      <c r="IX33" s="20" t="n">
        <f aca="false">IF(AND(HU33=1,IE33&gt;0,Slot3_IsWG=1,AR33=1),MIN(IE33,IW33),0)</f>
        <v>0</v>
      </c>
      <c r="IY33" s="20" t="n">
        <f aca="false">AS33+IX33</f>
        <v>0</v>
      </c>
      <c r="IZ33" s="20" t="n">
        <f aca="false">IF(AR33=1,MAX(0,(Slot3_Cost-IY33*(1+Slot3_Rate)^(Slot3_Age-D33))/IV33),0)</f>
        <v>0</v>
      </c>
      <c r="JA33" s="20" t="n">
        <f aca="false">IF(AR33=1,MAX(0,(Slot3_Cost-AS33*(1+Slot3_Rate)^(Slot3_Age-D33))/IV33),0)</f>
        <v>0</v>
      </c>
      <c r="JB33" s="20" t="n">
        <f aca="false">IF(AND(HU33=1,AR33=1),MIN(IU33,IZ33),0)</f>
        <v>0</v>
      </c>
      <c r="JC33" s="20" t="n">
        <f aca="false">IU33-JB33</f>
        <v>0</v>
      </c>
      <c r="JD33" s="20" t="n">
        <f aca="false">IF(BB33=1,IF(ABS((1+AS_Wage)/(1+Slot4_Rate)-1)&lt;0.000000000001,(Slot4_Age-D33)*(1+Slot4_Rate)^(Slot4_Age-D33),(1+Slot4_Rate)^(Slot4_Age-D33)*(1-((1+AS_Wage)/(1+Slot4_Rate))^(Slot4_Age-D33))/(1-(1+AS_Wage)/(1+Slot4_Rate))),1)</f>
        <v>1</v>
      </c>
      <c r="JE33" s="20" t="n">
        <f aca="false">IF(AND(HU33=1,IE33&gt;0,Slot4_IsWG=1,BB33=1),MAX(0,(Slot4_Cost-BC33*(1+Slot4_Rate)^(Slot4_Age-D33))/JD33),0)</f>
        <v>0</v>
      </c>
      <c r="JF33" s="20" t="n">
        <f aca="false">IF(AND(HU33=1,IE33&gt;0,Slot4_IsWG=1,BB33=1),MIN(IE33,JE33),0)</f>
        <v>0</v>
      </c>
      <c r="JG33" s="20" t="n">
        <f aca="false">BC33+JF33</f>
        <v>0</v>
      </c>
      <c r="JH33" s="20" t="n">
        <f aca="false">IF(BB33=1,MAX(0,(Slot4_Cost-JG33*(1+Slot4_Rate)^(Slot4_Age-D33))/JD33),0)</f>
        <v>0</v>
      </c>
      <c r="JI33" s="20" t="n">
        <f aca="false">IF(BB33=1,MAX(0,(Slot4_Cost-BC33*(1+Slot4_Rate)^(Slot4_Age-D33))/JD33),0)</f>
        <v>0</v>
      </c>
      <c r="JJ33" s="20" t="n">
        <f aca="false">IF(AND(HU33=1,BB33=1),MIN(JC33,JH33),0)</f>
        <v>0</v>
      </c>
      <c r="JK33" s="20" t="n">
        <f aca="false">JC33-JJ33</f>
        <v>0</v>
      </c>
      <c r="JL33" s="20" t="n">
        <f aca="false">IF(BL33=1,IF(ABS((1+AS_Wage)/(1+Slot5_Rate)-1)&lt;0.000000000001,(Slot5_Age-D33)*(1+Slot5_Rate)^(Slot5_Age-D33),(1+Slot5_Rate)^(Slot5_Age-D33)*(1-((1+AS_Wage)/(1+Slot5_Rate))^(Slot5_Age-D33))/(1-(1+AS_Wage)/(1+Slot5_Rate))),1)</f>
        <v>1</v>
      </c>
      <c r="JM33" s="20" t="n">
        <f aca="false">IF(AND(HU33=1,IE33&gt;0,Slot5_IsWG=1,BL33=1),MAX(0,(Slot5_Cost-BM33*(1+Slot5_Rate)^(Slot5_Age-D33))/JL33),0)</f>
        <v>0</v>
      </c>
      <c r="JN33" s="20" t="n">
        <f aca="false">IF(AND(HU33=1,IE33&gt;0,Slot5_IsWG=1,BL33=1),MIN(IE33,JM33),0)</f>
        <v>0</v>
      </c>
      <c r="JO33" s="20" t="n">
        <f aca="false">BM33+JN33</f>
        <v>0</v>
      </c>
      <c r="JP33" s="20" t="n">
        <f aca="false">IF(BL33=1,MAX(0,(Slot5_Cost-JO33*(1+Slot5_Rate)^(Slot5_Age-D33))/JL33),0)</f>
        <v>0</v>
      </c>
      <c r="JQ33" s="20" t="n">
        <f aca="false">IF(BL33=1,MAX(0,(Slot5_Cost-BM33*(1+Slot5_Rate)^(Slot5_Age-D33))/JL33),0)</f>
        <v>0</v>
      </c>
      <c r="JR33" s="20" t="n">
        <f aca="false">IF(AND(HU33=1,BL33=1),MIN(JK33,JP33),0)</f>
        <v>0</v>
      </c>
      <c r="JS33" s="20" t="n">
        <f aca="false">JK33-JR33</f>
        <v>0</v>
      </c>
      <c r="JT33" s="20" t="n">
        <f aca="false">IF(BV33=1,IF(ABS((1+AS_Wage)/(1+Slot6_Rate)-1)&lt;0.000000000001,(Slot6_Age-D33)*(1+Slot6_Rate)^(Slot6_Age-D33),(1+Slot6_Rate)^(Slot6_Age-D33)*(1-((1+AS_Wage)/(1+Slot6_Rate))^(Slot6_Age-D33))/(1-(1+AS_Wage)/(1+Slot6_Rate))),1)</f>
        <v>1</v>
      </c>
      <c r="JU33" s="20" t="n">
        <f aca="false">IF(AND(HU33=1,IE33&gt;0,Slot6_IsWG=1,BV33=1),MAX(0,(Slot6_Cost-BW33*(1+Slot6_Rate)^(Slot6_Age-D33))/JT33),0)</f>
        <v>0</v>
      </c>
      <c r="JV33" s="20" t="n">
        <f aca="false">IF(AND(HU33=1,IE33&gt;0,Slot6_IsWG=1,BV33=1),MIN(IE33,JU33),0)</f>
        <v>0</v>
      </c>
      <c r="JW33" s="20" t="n">
        <f aca="false">BW33+JV33</f>
        <v>0</v>
      </c>
      <c r="JX33" s="20" t="n">
        <f aca="false">IF(BV33=1,MAX(0,(Slot6_Cost-JW33*(1+Slot6_Rate)^(Slot6_Age-D33))/JT33),0)</f>
        <v>0</v>
      </c>
      <c r="JY33" s="20" t="n">
        <f aca="false">IF(BV33=1,MAX(0,(Slot6_Cost-BW33*(1+Slot6_Rate)^(Slot6_Age-D33))/JT33),0)</f>
        <v>0</v>
      </c>
      <c r="JZ33" s="20" t="n">
        <f aca="false">IF(AND(HU33=1,BV33=1),MIN(JS33,JX33),0)</f>
        <v>0</v>
      </c>
      <c r="KA33" s="20" t="n">
        <f aca="false">JS33-JZ33</f>
        <v>0</v>
      </c>
      <c r="KB33" s="20" t="n">
        <f aca="false">IF(CF33=1,IF(ABS((1+AS_Wage)/(1+Slot7_Rate)-1)&lt;0.000000000001,(Slot7_Age-D33)*(1+Slot7_Rate)^(Slot7_Age-D33),(1+Slot7_Rate)^(Slot7_Age-D33)*(1-((1+AS_Wage)/(1+Slot7_Rate))^(Slot7_Age-D33))/(1-(1+AS_Wage)/(1+Slot7_Rate))),1)</f>
        <v>1</v>
      </c>
      <c r="KC33" s="20" t="n">
        <f aca="false">IF(AND(HU33=1,IE33&gt;0,Slot7_IsWG=1,CF33=1),MAX(0,(Slot7_Cost-CG33*(1+Slot7_Rate)^(Slot7_Age-D33))/KB33),0)</f>
        <v>0</v>
      </c>
      <c r="KD33" s="20" t="n">
        <f aca="false">IF(AND(HU33=1,IE33&gt;0,Slot7_IsWG=1,CF33=1),MIN(IE33,KC33),0)</f>
        <v>0</v>
      </c>
      <c r="KE33" s="20" t="n">
        <f aca="false">CG33+KD33</f>
        <v>0</v>
      </c>
      <c r="KF33" s="20" t="n">
        <f aca="false">IF(CF33=1,MAX(0,(Slot7_Cost-KE33*(1+Slot7_Rate)^(Slot7_Age-D33))/KB33),0)</f>
        <v>0</v>
      </c>
      <c r="KG33" s="20" t="n">
        <f aca="false">IF(CF33=1,MAX(0,(Slot7_Cost-CG33*(1+Slot7_Rate)^(Slot7_Age-D33))/KB33),0)</f>
        <v>0</v>
      </c>
      <c r="KH33" s="20" t="n">
        <f aca="false">IF(AND(HU33=1,CF33=1),MIN(KA33,KF33),0)</f>
        <v>0</v>
      </c>
      <c r="KI33" s="20" t="n">
        <f aca="false">KA33-KH33</f>
        <v>0</v>
      </c>
      <c r="KJ33" s="20" t="n">
        <f aca="false">IF(CP33=1,IF(ABS((1+AS_Wage)/(1+Slot8_Rate)-1)&lt;0.000000000001,(Slot8_Age-D33)*(1+Slot8_Rate)^(Slot8_Age-D33),(1+Slot8_Rate)^(Slot8_Age-D33)*(1-((1+AS_Wage)/(1+Slot8_Rate))^(Slot8_Age-D33))/(1-(1+AS_Wage)/(1+Slot8_Rate))),1)</f>
        <v>1</v>
      </c>
      <c r="KK33" s="20" t="n">
        <f aca="false">IF(AND(HU33=1,IE33&gt;0,Slot8_IsWG=1,CP33=1),MAX(0,(Slot8_Cost-CQ33*(1+Slot8_Rate)^(Slot8_Age-D33))/KJ33),0)</f>
        <v>0</v>
      </c>
      <c r="KL33" s="20" t="n">
        <f aca="false">IF(AND(HU33=1,IE33&gt;0,Slot8_IsWG=1,CP33=1),MIN(IE33,KK33),0)</f>
        <v>0</v>
      </c>
      <c r="KM33" s="20" t="n">
        <f aca="false">CQ33+KL33</f>
        <v>0</v>
      </c>
      <c r="KN33" s="20" t="n">
        <f aca="false">IF(CP33=1,MAX(0,(Slot8_Cost-KM33*(1+Slot8_Rate)^(Slot8_Age-D33))/KJ33),0)</f>
        <v>0</v>
      </c>
      <c r="KO33" s="20" t="n">
        <f aca="false">IF(CP33=1,MAX(0,(Slot8_Cost-CQ33*(1+Slot8_Rate)^(Slot8_Age-D33))/KJ33),0)</f>
        <v>0</v>
      </c>
      <c r="KP33" s="20" t="n">
        <f aca="false">IF(AND(HU33=1,CP33=1),MIN(KI33,KN33),0)</f>
        <v>0</v>
      </c>
      <c r="KQ33" s="20" t="n">
        <f aca="false">KI33-KP33</f>
        <v>0</v>
      </c>
      <c r="KR33" s="20" t="n">
        <f aca="false">IF(CZ33=1,IF(ABS((1+AS_Wage)/(1+Slot9_Rate)-1)&lt;0.000000000001,(Slot9_Age-D33)*(1+Slot9_Rate)^(Slot9_Age-D33),(1+Slot9_Rate)^(Slot9_Age-D33)*(1-((1+AS_Wage)/(1+Slot9_Rate))^(Slot9_Age-D33))/(1-(1+AS_Wage)/(1+Slot9_Rate))),1)</f>
        <v>1</v>
      </c>
      <c r="KS33" s="20" t="n">
        <f aca="false">IF(AND(HU33=1,IE33&gt;0,Slot9_IsWG=1,CZ33=1),MAX(0,(Slot9_Cost-DA33*(1+Slot9_Rate)^(Slot9_Age-D33))/KR33),0)</f>
        <v>0</v>
      </c>
      <c r="KT33" s="20" t="n">
        <f aca="false">IF(AND(HU33=1,IE33&gt;0,Slot9_IsWG=1,CZ33=1),MIN(IE33,KS33),0)</f>
        <v>0</v>
      </c>
      <c r="KU33" s="20" t="n">
        <f aca="false">DA33+KT33</f>
        <v>0</v>
      </c>
      <c r="KV33" s="20" t="n">
        <f aca="false">IF(CZ33=1,MAX(0,(Slot9_Cost-KU33*(1+Slot9_Rate)^(Slot9_Age-D33))/KR33),0)</f>
        <v>0</v>
      </c>
      <c r="KW33" s="20" t="n">
        <f aca="false">IF(CZ33=1,MAX(0,(Slot9_Cost-DA33*(1+Slot9_Rate)^(Slot9_Age-D33))/KR33),0)</f>
        <v>0</v>
      </c>
      <c r="KX33" s="20" t="n">
        <f aca="false">IF(AND(HU33=1,CZ33=1),MIN(KQ33,KV33),0)</f>
        <v>0</v>
      </c>
      <c r="KY33" s="20" t="n">
        <f aca="false">KQ33-KX33</f>
        <v>0</v>
      </c>
      <c r="KZ33" s="20" t="n">
        <f aca="false">IF(DJ33=1,IF(ABS((1+AS_Wage)/(1+Slot10_Rate)-1)&lt;0.000000000001,(Slot10_Age-D33)*(1+Slot10_Rate)^(Slot10_Age-D33),(1+Slot10_Rate)^(Slot10_Age-D33)*(1-((1+AS_Wage)/(1+Slot10_Rate))^(Slot10_Age-D33))/(1-(1+AS_Wage)/(1+Slot10_Rate))),1)</f>
        <v>1</v>
      </c>
      <c r="LA33" s="20" t="n">
        <f aca="false">IF(AND(HU33=1,IE33&gt;0,Slot10_IsWG=1,DJ33=1),MAX(0,(Slot10_Cost-DK33*(1+Slot10_Rate)^(Slot10_Age-D33))/KZ33),0)</f>
        <v>0</v>
      </c>
      <c r="LB33" s="20" t="n">
        <f aca="false">IF(AND(HU33=1,IE33&gt;0,Slot10_IsWG=1,DJ33=1),MIN(IE33,LA33),0)</f>
        <v>0</v>
      </c>
      <c r="LC33" s="20" t="n">
        <f aca="false">DK33+LB33</f>
        <v>0</v>
      </c>
      <c r="LD33" s="20" t="n">
        <f aca="false">IF(DJ33=1,MAX(0,(Slot10_Cost-LC33*(1+Slot10_Rate)^(Slot10_Age-D33))/KZ33),0)</f>
        <v>0</v>
      </c>
      <c r="LE33" s="20" t="n">
        <f aca="false">IF(DJ33=1,MAX(0,(Slot10_Cost-DK33*(1+Slot10_Rate)^(Slot10_Age-D33))/KZ33),0)</f>
        <v>0</v>
      </c>
      <c r="LF33" s="20" t="n">
        <f aca="false">IF(AND(HU33=1,DJ33=1),MIN(KY33,LD33),0)</f>
        <v>0</v>
      </c>
      <c r="LG33" s="20" t="n">
        <f aca="false">KY33-LF33</f>
        <v>0</v>
      </c>
      <c r="LH33" s="20" t="n">
        <f aca="false">IF(DT33=1,IF(ABS((1+AS_Wage)/(1+Slot11_Rate)-1)&lt;0.000000000001,(Slot11_Age-D33)*(1+Slot11_Rate)^(Slot11_Age-D33),(1+Slot11_Rate)^(Slot11_Age-D33)*(1-((1+AS_Wage)/(1+Slot11_Rate))^(Slot11_Age-D33))/(1-(1+AS_Wage)/(1+Slot11_Rate))),1)</f>
        <v>1</v>
      </c>
      <c r="LI33" s="20" t="n">
        <f aca="false">IF(AND(HU33=1,IE33&gt;0,Slot11_IsWG=1,DT33=1),MAX(0,(Slot11_Cost-DU33*(1+Slot11_Rate)^(Slot11_Age-D33))/LH33),0)</f>
        <v>0</v>
      </c>
      <c r="LJ33" s="20" t="n">
        <f aca="false">IF(AND(HU33=1,IE33&gt;0,Slot11_IsWG=1,DT33=1),MIN(IE33,LI33),0)</f>
        <v>0</v>
      </c>
      <c r="LK33" s="20" t="n">
        <f aca="false">DU33+LJ33</f>
        <v>0</v>
      </c>
      <c r="LL33" s="20" t="n">
        <f aca="false">IF(DT33=1,MAX(0,(Slot11_Cost-LK33*(1+Slot11_Rate)^(Slot11_Age-D33))/LH33),0)</f>
        <v>0</v>
      </c>
      <c r="LM33" s="20" t="n">
        <f aca="false">IF(DT33=1,MAX(0,(Slot11_Cost-DU33*(1+Slot11_Rate)^(Slot11_Age-D33))/LH33),0)</f>
        <v>0</v>
      </c>
      <c r="LN33" s="20" t="n">
        <f aca="false">IF(AND(HU33=1,DT33=1),MIN(LG33,LL33),0)</f>
        <v>0</v>
      </c>
      <c r="LO33" s="20" t="n">
        <f aca="false">LG33-LN33</f>
        <v>0</v>
      </c>
      <c r="LP33" s="20" t="n">
        <f aca="false">IF(ED33=1,IF(ABS((1+AS_Wage)/(1+Slot12_Rate)-1)&lt;0.000000000001,(Slot12_Age-D33)*(1+Slot12_Rate)^(Slot12_Age-D33),(1+Slot12_Rate)^(Slot12_Age-D33)*(1-((1+AS_Wage)/(1+Slot12_Rate))^(Slot12_Age-D33))/(1-(1+AS_Wage)/(1+Slot12_Rate))),1)</f>
        <v>1</v>
      </c>
      <c r="LQ33" s="20" t="n">
        <f aca="false">IF(AND(HU33=1,IE33&gt;0,Slot12_IsWG=1,ED33=1),MAX(0,(Slot12_Cost-EE33*(1+Slot12_Rate)^(Slot12_Age-D33))/LP33),0)</f>
        <v>0</v>
      </c>
      <c r="LR33" s="20" t="n">
        <f aca="false">IF(AND(HU33=1,IE33&gt;0,Slot12_IsWG=1,ED33=1),MIN(IE33,LQ33),0)</f>
        <v>0</v>
      </c>
      <c r="LS33" s="20" t="n">
        <f aca="false">EE33+LR33</f>
        <v>0</v>
      </c>
      <c r="LT33" s="20" t="n">
        <f aca="false">IF(ED33=1,MAX(0,(Slot12_Cost-LS33*(1+Slot12_Rate)^(Slot12_Age-D33))/LP33),0)</f>
        <v>0</v>
      </c>
      <c r="LU33" s="20" t="n">
        <f aca="false">IF(ED33=1,MAX(0,(Slot12_Cost-EE33*(1+Slot12_Rate)^(Slot12_Age-D33))/LP33),0)</f>
        <v>0</v>
      </c>
      <c r="LV33" s="20" t="n">
        <f aca="false">IF(AND(HU33=1,ED33=1),MIN(LO33,LT33),0)</f>
        <v>0</v>
      </c>
      <c r="LW33" s="20" t="n">
        <f aca="false">LO33-LV33</f>
        <v>0</v>
      </c>
      <c r="LX33" s="20" t="n">
        <f aca="false">IF(EN33=1,IF(ABS((1+AS_Wage)/(1+Slot13_Rate)-1)&lt;0.000000000001,(Slot13_Age-D33)*(1+Slot13_Rate)^(Slot13_Age-D33),(1+Slot13_Rate)^(Slot13_Age-D33)*(1-((1+AS_Wage)/(1+Slot13_Rate))^(Slot13_Age-D33))/(1-(1+AS_Wage)/(1+Slot13_Rate))),1)</f>
        <v>1</v>
      </c>
      <c r="LY33" s="20" t="n">
        <f aca="false">IF(AND(HU33=1,IE33&gt;0,Slot13_IsWG=1,EN33=1),MAX(0,(Slot13_Cost-EO33*(1+Slot13_Rate)^(Slot13_Age-D33))/LX33),0)</f>
        <v>0</v>
      </c>
      <c r="LZ33" s="20" t="n">
        <f aca="false">IF(AND(HU33=1,IE33&gt;0,Slot13_IsWG=1,EN33=1),MIN(IE33,LY33),0)</f>
        <v>0</v>
      </c>
      <c r="MA33" s="20" t="n">
        <f aca="false">EO33+LZ33</f>
        <v>0</v>
      </c>
      <c r="MB33" s="20" t="n">
        <f aca="false">IF(EN33=1,MAX(0,(Slot13_Cost-MA33*(1+Slot13_Rate)^(Slot13_Age-D33))/LX33),0)</f>
        <v>0</v>
      </c>
      <c r="MC33" s="20" t="n">
        <f aca="false">IF(EN33=1,MAX(0,(Slot13_Cost-EO33*(1+Slot13_Rate)^(Slot13_Age-D33))/LX33),0)</f>
        <v>0</v>
      </c>
      <c r="MD33" s="20" t="n">
        <f aca="false">IF(AND(HU33=1,EN33=1),MIN(LW33,MB33),0)</f>
        <v>0</v>
      </c>
      <c r="ME33" s="20" t="n">
        <f aca="false">LW33-MD33</f>
        <v>0</v>
      </c>
      <c r="MF33" s="20" t="n">
        <f aca="false">IF(EX33=1,IF(ABS((1+AS_Wage)/(1+Slot14_Rate)-1)&lt;0.000000000001,(Slot14_Age-D33)*(1+Slot14_Rate)^(Slot14_Age-D33),(1+Slot14_Rate)^(Slot14_Age-D33)*(1-((1+AS_Wage)/(1+Slot14_Rate))^(Slot14_Age-D33))/(1-(1+AS_Wage)/(1+Slot14_Rate))),1)</f>
        <v>1</v>
      </c>
      <c r="MG33" s="20" t="n">
        <f aca="false">IF(AND(HU33=1,IE33&gt;0,Slot14_IsWG=1,EX33=1),MAX(0,(Slot14_Cost-EY33*(1+Slot14_Rate)^(Slot14_Age-D33))/MF33),0)</f>
        <v>0</v>
      </c>
      <c r="MH33" s="20" t="n">
        <f aca="false">IF(AND(HU33=1,IE33&gt;0,Slot14_IsWG=1,EX33=1),MIN(IE33,MG33),0)</f>
        <v>0</v>
      </c>
      <c r="MI33" s="20" t="n">
        <f aca="false">EY33+MH33</f>
        <v>0</v>
      </c>
      <c r="MJ33" s="20" t="n">
        <f aca="false">IF(EX33=1,MAX(0,(Slot14_Cost-MI33*(1+Slot14_Rate)^(Slot14_Age-D33))/MF33),0)</f>
        <v>0</v>
      </c>
      <c r="MK33" s="20" t="n">
        <f aca="false">IF(EX33=1,MAX(0,(Slot14_Cost-EY33*(1+Slot14_Rate)^(Slot14_Age-D33))/MF33),0)</f>
        <v>0</v>
      </c>
      <c r="ML33" s="20" t="n">
        <f aca="false">IF(AND(HU33=1,EX33=1),MIN(ME33,MJ33),0)</f>
        <v>0</v>
      </c>
      <c r="MM33" s="20" t="n">
        <f aca="false">ME33-ML33</f>
        <v>0</v>
      </c>
      <c r="MN33" s="20" t="n">
        <f aca="false">IF(FH33=1,IF(ABS((1+AS_Wage)/(1+Slot15_Rate)-1)&lt;0.000000000001,(Slot15_Age-D33)*(1+Slot15_Rate)^(Slot15_Age-D33),(1+Slot15_Rate)^(Slot15_Age-D33)*(1-((1+AS_Wage)/(1+Slot15_Rate))^(Slot15_Age-D33))/(1-(1+AS_Wage)/(1+Slot15_Rate))),1)</f>
        <v>1</v>
      </c>
      <c r="MO33" s="20" t="n">
        <f aca="false">IF(AND(HU33=1,IE33&gt;0,Slot15_IsWG=1,FH33=1),MAX(0,(Slot15_Cost-FI33*(1+Slot15_Rate)^(Slot15_Age-D33))/MN33),0)</f>
        <v>0</v>
      </c>
      <c r="MP33" s="20" t="n">
        <f aca="false">IF(AND(HU33=1,IE33&gt;0,Slot15_IsWG=1,FH33=1),MIN(IE33,MO33),0)</f>
        <v>0</v>
      </c>
      <c r="MQ33" s="20" t="n">
        <f aca="false">FI33+MP33</f>
        <v>0</v>
      </c>
      <c r="MR33" s="20" t="n">
        <f aca="false">IF(FH33=1,MAX(0,(Slot15_Cost-MQ33*(1+Slot15_Rate)^(Slot15_Age-D33))/MN33),0)</f>
        <v>0</v>
      </c>
      <c r="MS33" s="20" t="n">
        <f aca="false">IF(FH33=1,MAX(0,(Slot15_Cost-FI33*(1+Slot15_Rate)^(Slot15_Age-D33))/MN33),0)</f>
        <v>0</v>
      </c>
      <c r="MT33" s="20" t="n">
        <f aca="false">IF(AND(HU33=1,FH33=1),MIN(MM33,MR33),0)</f>
        <v>0</v>
      </c>
      <c r="MU33" s="20" t="n">
        <f aca="false">MM33-MT33</f>
        <v>0</v>
      </c>
      <c r="MV33" s="20" t="n">
        <f aca="false">IF(FR33=1,IF(ABS((1+AS_Wage)/(1+Slot16_Rate)-1)&lt;0.000000000001,(Slot16_Age-D33)*(1+Slot16_Rate)^(Slot16_Age-D33),(1+Slot16_Rate)^(Slot16_Age-D33)*(1-((1+AS_Wage)/(1+Slot16_Rate))^(Slot16_Age-D33))/(1-(1+AS_Wage)/(1+Slot16_Rate))),1)</f>
        <v>1</v>
      </c>
      <c r="MW33" s="20" t="n">
        <f aca="false">IF(AND(HU33=1,IE33&gt;0,Slot16_IsWG=1,FR33=1),MAX(0,(Slot16_Cost-FS33*(1+Slot16_Rate)^(Slot16_Age-D33))/MV33),0)</f>
        <v>0</v>
      </c>
      <c r="MX33" s="20" t="n">
        <f aca="false">IF(AND(HU33=1,IE33&gt;0,Slot16_IsWG=1,FR33=1),MIN(IE33,MW33),0)</f>
        <v>0</v>
      </c>
      <c r="MY33" s="20" t="n">
        <f aca="false">FS33+MX33</f>
        <v>0</v>
      </c>
      <c r="MZ33" s="20" t="n">
        <f aca="false">IF(FR33=1,MAX(0,(Slot16_Cost-MY33*(1+Slot16_Rate)^(Slot16_Age-D33))/MV33),0)</f>
        <v>0</v>
      </c>
      <c r="NA33" s="20" t="n">
        <f aca="false">IF(FR33=1,MAX(0,(Slot16_Cost-FS33*(1+Slot16_Rate)^(Slot16_Age-D33))/MV33),0)</f>
        <v>0</v>
      </c>
      <c r="NB33" s="20" t="n">
        <f aca="false">IF(AND(HU33=1,FR33=1),MIN(MU33,MZ33),0)</f>
        <v>0</v>
      </c>
      <c r="NC33" s="20" t="n">
        <f aca="false">MU33-NB33</f>
        <v>0</v>
      </c>
      <c r="ND33" s="20" t="n">
        <f aca="false">IF(GB33=1,IF(ABS((1+AS_Wage)/(1+Slot17_Rate)-1)&lt;0.000000000001,(Slot17_Age-D33)*(1+Slot17_Rate)^(Slot17_Age-D33),(1+Slot17_Rate)^(Slot17_Age-D33)*(1-((1+AS_Wage)/(1+Slot17_Rate))^(Slot17_Age-D33))/(1-(1+AS_Wage)/(1+Slot17_Rate))),1)</f>
        <v>1</v>
      </c>
      <c r="NE33" s="20" t="n">
        <f aca="false">IF(AND(HU33=1,IE33&gt;0,Slot17_IsWG=1,GB33=1),MAX(0,(Slot17_Cost-GC33*(1+Slot17_Rate)^(Slot17_Age-D33))/ND33),0)</f>
        <v>0</v>
      </c>
      <c r="NF33" s="20" t="n">
        <f aca="false">IF(AND(HU33=1,IE33&gt;0,Slot17_IsWG=1,GB33=1),MIN(IE33,NE33),0)</f>
        <v>0</v>
      </c>
      <c r="NG33" s="20" t="n">
        <f aca="false">GC33+NF33</f>
        <v>0</v>
      </c>
      <c r="NH33" s="20" t="n">
        <f aca="false">IF(GB33=1,MAX(0,(Slot17_Cost-NG33*(1+Slot17_Rate)^(Slot17_Age-D33))/ND33),0)</f>
        <v>0</v>
      </c>
      <c r="NI33" s="20" t="n">
        <f aca="false">IF(GB33=1,MAX(0,(Slot17_Cost-GC33*(1+Slot17_Rate)^(Slot17_Age-D33))/ND33),0)</f>
        <v>0</v>
      </c>
      <c r="NJ33" s="20" t="n">
        <f aca="false">IF(AND(HU33=1,GB33=1),MIN(NC33,NH33),0)</f>
        <v>0</v>
      </c>
      <c r="NK33" s="20" t="n">
        <f aca="false">NC33-NJ33</f>
        <v>0</v>
      </c>
      <c r="NL33" s="20" t="n">
        <f aca="false">IF(GL33=1,IF(ABS((1+AS_Wage)/(1+Slot18_Rate)-1)&lt;0.000000000001,(Slot18_Age-D33)*(1+Slot18_Rate)^(Slot18_Age-D33),(1+Slot18_Rate)^(Slot18_Age-D33)*(1-((1+AS_Wage)/(1+Slot18_Rate))^(Slot18_Age-D33))/(1-(1+AS_Wage)/(1+Slot18_Rate))),1)</f>
        <v>1</v>
      </c>
      <c r="NM33" s="20" t="n">
        <f aca="false">IF(AND(HU33=1,IE33&gt;0,Slot18_IsWG=1,GL33=1),MAX(0,(Slot18_Cost-GM33*(1+Slot18_Rate)^(Slot18_Age-D33))/NL33),0)</f>
        <v>0</v>
      </c>
      <c r="NN33" s="20" t="n">
        <f aca="false">IF(AND(HU33=1,IE33&gt;0,Slot18_IsWG=1,GL33=1),MIN(IE33,NM33),0)</f>
        <v>0</v>
      </c>
      <c r="NO33" s="20" t="n">
        <f aca="false">GM33+NN33</f>
        <v>0</v>
      </c>
      <c r="NP33" s="20" t="n">
        <f aca="false">IF(GL33=1,MAX(0,(Slot18_Cost-NO33*(1+Slot18_Rate)^(Slot18_Age-D33))/NL33),0)</f>
        <v>0</v>
      </c>
      <c r="NQ33" s="20" t="n">
        <f aca="false">IF(GL33=1,MAX(0,(Slot18_Cost-GM33*(1+Slot18_Rate)^(Slot18_Age-D33))/NL33),0)</f>
        <v>0</v>
      </c>
      <c r="NR33" s="20" t="n">
        <f aca="false">IF(AND(HU33=1,GL33=1),MIN(NK33,NP33),0)</f>
        <v>0</v>
      </c>
      <c r="NS33" s="20" t="n">
        <f aca="false">NK33-NR33</f>
        <v>0</v>
      </c>
      <c r="NT33" s="20" t="n">
        <f aca="false">IF(GV33=1,IF(ABS((1+AS_Wage)/(1+Slot19_Rate)-1)&lt;0.000000000001,(Slot19_Age-D33)*(1+Slot19_Rate)^(Slot19_Age-D33),(1+Slot19_Rate)^(Slot19_Age-D33)*(1-((1+AS_Wage)/(1+Slot19_Rate))^(Slot19_Age-D33))/(1-(1+AS_Wage)/(1+Slot19_Rate))),1)</f>
        <v>1</v>
      </c>
      <c r="NU33" s="20" t="n">
        <f aca="false">IF(AND(HU33=1,IE33&gt;0,Slot19_IsWG=1,GV33=1),MAX(0,(Slot19_Cost-GW33*(1+Slot19_Rate)^(Slot19_Age-D33))/NT33),0)</f>
        <v>0</v>
      </c>
      <c r="NV33" s="20" t="n">
        <f aca="false">IF(AND(HU33=1,IE33&gt;0,Slot19_IsWG=1,GV33=1),MIN(IE33,NU33),0)</f>
        <v>0</v>
      </c>
      <c r="NW33" s="20" t="n">
        <f aca="false">GW33+NV33</f>
        <v>0</v>
      </c>
      <c r="NX33" s="20" t="n">
        <f aca="false">IF(GV33=1,MAX(0,(Slot19_Cost-NW33*(1+Slot19_Rate)^(Slot19_Age-D33))/NT33),0)</f>
        <v>0</v>
      </c>
      <c r="NY33" s="20" t="n">
        <f aca="false">IF(GV33=1,MAX(0,(Slot19_Cost-GW33*(1+Slot19_Rate)^(Slot19_Age-D33))/NT33),0)</f>
        <v>0</v>
      </c>
      <c r="NZ33" s="20" t="n">
        <f aca="false">IF(AND(HU33=1,GV33=1),MIN(NS33,NX33),0)</f>
        <v>0</v>
      </c>
      <c r="OA33" s="20" t="n">
        <f aca="false">NS33-NZ33</f>
        <v>0</v>
      </c>
      <c r="OB33" s="20" t="n">
        <f aca="false">IF(HF33=1,IF(ABS((1+AS_Wage)/(1+Slot20_Rate)-1)&lt;0.000000000001,(Slot20_Age-D33)*(1+Slot20_Rate)^(Slot20_Age-D33),(1+Slot20_Rate)^(Slot20_Age-D33)*(1-((1+AS_Wage)/(1+Slot20_Rate))^(Slot20_Age-D33))/(1-(1+AS_Wage)/(1+Slot20_Rate))),1)</f>
        <v>1</v>
      </c>
      <c r="OC33" s="20" t="n">
        <f aca="false">IF(AND(HU33=1,IE33&gt;0,Slot20_IsWG=1,HF33=1),MAX(0,(Slot20_Cost-HG33*(1+Slot20_Rate)^(Slot20_Age-D33))/OB33),0)</f>
        <v>0</v>
      </c>
      <c r="OD33" s="20" t="n">
        <f aca="false">IF(AND(HU33=1,IE33&gt;0,Slot20_IsWG=1,HF33=1),MIN(IE33,OC33),0)</f>
        <v>0</v>
      </c>
      <c r="OE33" s="20" t="n">
        <f aca="false">HG33+OD33</f>
        <v>0</v>
      </c>
      <c r="OF33" s="20" t="n">
        <f aca="false">IF(HF33=1,MAX(0,(Slot20_Cost-OE33*(1+Slot20_Rate)^(Slot20_Age-D33))/OB33),0)</f>
        <v>0</v>
      </c>
      <c r="OG33" s="20" t="n">
        <f aca="false">IF(HF33=1,MAX(0,(Slot20_Cost-HG33*(1+Slot20_Rate)^(Slot20_Age-D33))/OB33),0)</f>
        <v>0</v>
      </c>
      <c r="OH33" s="20" t="n">
        <f aca="false">IF(AND(HU33=1,HF33=1),MIN(OA33,OF33),0)</f>
        <v>0</v>
      </c>
      <c r="OI33" s="20" t="n">
        <f aca="false">OA33-OH33</f>
        <v>0</v>
      </c>
      <c r="OJ33" s="20" t="n">
        <f aca="false">IE33-(IH33+IP33+IX33+JF33+JN33+JV33+KD33+KL33+KT33+LB33+LJ33+LR33+LZ33+MH33+MP33+MX33+NF33+NN33+NV33+OD33)</f>
        <v>0</v>
      </c>
      <c r="OK33" s="20" t="n">
        <f aca="false">IF(HU33=1,HS33-ID33-IE33,0)</f>
        <v>0</v>
      </c>
      <c r="OL33" s="20" t="n">
        <f aca="false">IF(HU33=0,-HS33,0)</f>
        <v>20769.3163526862</v>
      </c>
      <c r="OM33" s="20" t="n">
        <f aca="false">MIN(OL33,HK33)</f>
        <v>20769.3163526862</v>
      </c>
      <c r="ON33" s="20" t="n">
        <f aca="false">OL33-OM33</f>
        <v>0</v>
      </c>
      <c r="OO33" s="20" t="n">
        <f aca="false">MIN(ON33,HL33)</f>
        <v>0</v>
      </c>
      <c r="OP33" s="20" t="n">
        <f aca="false">ON33-OO33</f>
        <v>0</v>
      </c>
      <c r="OQ33" s="20" t="n">
        <f aca="false">IF(AND(HU33=0,HF33=1,OP33&gt;0),MIN(OP33,HG33),0)</f>
        <v>0</v>
      </c>
      <c r="OR33" s="20" t="n">
        <f aca="false">OP33-OQ33</f>
        <v>0</v>
      </c>
      <c r="OS33" s="20" t="n">
        <f aca="false">IF(AND(HU33=0,GV33=1,OR33&gt;0),MIN(OR33,GW33),0)</f>
        <v>0</v>
      </c>
      <c r="OT33" s="20" t="n">
        <f aca="false">OR33-OS33</f>
        <v>0</v>
      </c>
      <c r="OU33" s="20" t="n">
        <f aca="false">IF(AND(HU33=0,GL33=1,OT33&gt;0),MIN(OT33,GM33),0)</f>
        <v>0</v>
      </c>
      <c r="OV33" s="20" t="n">
        <f aca="false">OT33-OU33</f>
        <v>0</v>
      </c>
      <c r="OW33" s="20" t="n">
        <f aca="false">IF(AND(HU33=0,GB33=1,OV33&gt;0),MIN(OV33,GC33),0)</f>
        <v>0</v>
      </c>
      <c r="OX33" s="20" t="n">
        <f aca="false">OV33-OW33</f>
        <v>0</v>
      </c>
      <c r="OY33" s="20" t="n">
        <f aca="false">IF(AND(HU33=0,FR33=1,OX33&gt;0),MIN(OX33,FS33),0)</f>
        <v>0</v>
      </c>
      <c r="OZ33" s="20" t="n">
        <f aca="false">OX33-OY33</f>
        <v>0</v>
      </c>
      <c r="PA33" s="20" t="n">
        <f aca="false">IF(AND(HU33=0,FH33=1,OZ33&gt;0),MIN(OZ33,FI33),0)</f>
        <v>0</v>
      </c>
      <c r="PB33" s="20" t="n">
        <f aca="false">OZ33-PA33</f>
        <v>0</v>
      </c>
      <c r="PC33" s="20" t="n">
        <f aca="false">IF(AND(HU33=0,EX33=1,PB33&gt;0),MIN(PB33,EY33),0)</f>
        <v>0</v>
      </c>
      <c r="PD33" s="20" t="n">
        <f aca="false">PB33-PC33</f>
        <v>0</v>
      </c>
      <c r="PE33" s="20" t="n">
        <f aca="false">IF(AND(HU33=0,EN33=1,PD33&gt;0),MIN(PD33,EO33),0)</f>
        <v>0</v>
      </c>
      <c r="PF33" s="20" t="n">
        <f aca="false">PD33-PE33</f>
        <v>0</v>
      </c>
      <c r="PG33" s="20" t="n">
        <f aca="false">IF(AND(HU33=0,ED33=1,PF33&gt;0),MIN(PF33,EE33),0)</f>
        <v>0</v>
      </c>
      <c r="PH33" s="20" t="n">
        <f aca="false">PF33-PG33</f>
        <v>0</v>
      </c>
      <c r="PI33" s="20" t="n">
        <f aca="false">IF(AND(HU33=0,DT33=1,PH33&gt;0),MIN(PH33,DU33),0)</f>
        <v>0</v>
      </c>
      <c r="PJ33" s="20" t="n">
        <f aca="false">PH33-PI33</f>
        <v>0</v>
      </c>
      <c r="PK33" s="20" t="n">
        <f aca="false">IF(AND(HU33=0,DJ33=1,PJ33&gt;0),MIN(PJ33,DK33),0)</f>
        <v>0</v>
      </c>
      <c r="PL33" s="20" t="n">
        <f aca="false">PJ33-PK33</f>
        <v>0</v>
      </c>
      <c r="PM33" s="20" t="n">
        <f aca="false">IF(AND(HU33=0,CZ33=1,PL33&gt;0),MIN(PL33,DA33),0)</f>
        <v>0</v>
      </c>
      <c r="PN33" s="20" t="n">
        <f aca="false">PL33-PM33</f>
        <v>0</v>
      </c>
      <c r="PO33" s="20" t="n">
        <f aca="false">IF(AND(HU33=0,CP33=1,PN33&gt;0),MIN(PN33,CQ33),0)</f>
        <v>0</v>
      </c>
      <c r="PP33" s="20" t="n">
        <f aca="false">PN33-PO33</f>
        <v>0</v>
      </c>
      <c r="PQ33" s="20" t="n">
        <f aca="false">IF(AND(HU33=0,CF33=1,PP33&gt;0),MIN(PP33,CG33),0)</f>
        <v>0</v>
      </c>
      <c r="PR33" s="20" t="n">
        <f aca="false">PP33-PQ33</f>
        <v>0</v>
      </c>
      <c r="PS33" s="20" t="n">
        <f aca="false">IF(AND(HU33=0,BV33=1,PR33&gt;0),MIN(PR33,BW33),0)</f>
        <v>0</v>
      </c>
      <c r="PT33" s="20" t="n">
        <f aca="false">PR33-PS33</f>
        <v>0</v>
      </c>
      <c r="PU33" s="20" t="n">
        <f aca="false">IF(AND(HU33=0,BL33=1,PT33&gt;0),MIN(PT33,BM33),0)</f>
        <v>0</v>
      </c>
      <c r="PV33" s="20" t="n">
        <f aca="false">PT33-PU33</f>
        <v>0</v>
      </c>
      <c r="PW33" s="20" t="n">
        <f aca="false">IF(AND(HU33=0,BB33=1,PV33&gt;0),MIN(PV33,BC33),0)</f>
        <v>0</v>
      </c>
      <c r="PX33" s="20" t="n">
        <f aca="false">PV33-PW33</f>
        <v>0</v>
      </c>
      <c r="PY33" s="20" t="n">
        <f aca="false">IF(AND(HU33=0,AR33=1,PX33&gt;0),MIN(PX33,AS33),0)</f>
        <v>0</v>
      </c>
      <c r="PZ33" s="20" t="n">
        <f aca="false">PX33-PY33</f>
        <v>0</v>
      </c>
      <c r="QA33" s="20" t="n">
        <f aca="false">IF(AND(HU33=0,AH33=1,PZ33&gt;0),MIN(PZ33,AI33),0)</f>
        <v>0</v>
      </c>
      <c r="QB33" s="20" t="n">
        <f aca="false">PZ33-QA33</f>
        <v>0</v>
      </c>
      <c r="QC33" s="20" t="n">
        <f aca="false">IF(AND(HU33=0,W33=1,QB33&gt;0),MIN(QB33,X33),0)</f>
        <v>0</v>
      </c>
      <c r="QD33" s="20" t="n">
        <f aca="false">QB33-QC33</f>
        <v>0</v>
      </c>
      <c r="QE33" s="20" t="n">
        <f aca="false">IF(HU33=0,QD33,0)</f>
        <v>0</v>
      </c>
      <c r="QF33" s="20" t="n">
        <f aca="false">OM33+OO33+QC33+QA33+PY33+PW33+PU33+PS33+PQ33+PO33+PM33+PK33+PI33+PG33+PE33+PC33+PA33+OY33+OW33+OU33+OS33+OQ33</f>
        <v>20769.3163526862</v>
      </c>
      <c r="QG33" s="20" t="n">
        <f aca="false">IF(HU33=1,HK33+OJ33+OI33+IF(G33=1,0,OK33),HK33-OM33)</f>
        <v>224795.098814273</v>
      </c>
      <c r="QH33" s="20" t="n">
        <f aca="false">HL33-OO33</f>
        <v>14304.5558749451</v>
      </c>
      <c r="QI33" s="20" t="n">
        <f aca="false">IF(HU33=1,IF(G33=1,ID33+IE33,HS33),0)</f>
        <v>0</v>
      </c>
      <c r="QJ33" s="20" t="n">
        <f aca="false">IF(HU33=1,IF(G33=1,HS33-ID33-IE33,0),0)</f>
        <v>0</v>
      </c>
      <c r="QK33" s="57" t="n">
        <f aca="false">'Plan holdings'!BM33</f>
        <v>231670.280115275</v>
      </c>
      <c r="QL33" s="20" t="n">
        <f aca="false">QH33*(1+AS_Cash)</f>
        <v>14447.6014336946</v>
      </c>
      <c r="QM33" s="20" t="n">
        <f aca="false">IF(W33=1,IF(HU33=1,II33+IL33,X33-QC33)*(1+Slot1_Rate),0)</f>
        <v>0</v>
      </c>
      <c r="QN33" s="20" t="n">
        <f aca="false">IF(AND(HU33=1,W33=1),(IH33+IL33)/F33,0)</f>
        <v>0</v>
      </c>
      <c r="QO33" s="20" t="n">
        <f aca="false">IF(B33=0,IH33+IL33,0)</f>
        <v>0</v>
      </c>
      <c r="QP33" s="20" t="n">
        <f aca="false">IF(B33=0,IF(HU33=1,IJ33,IK33),0)</f>
        <v>0</v>
      </c>
      <c r="QQ33" s="20" t="n">
        <f aca="false">IF(AH33=1,IF(HU33=1,IQ33+IT33,AI33-QA33)*(1+Slot2_Rate),0)</f>
        <v>0</v>
      </c>
      <c r="QR33" s="20" t="n">
        <f aca="false">IF(AND(HU33=1,AH33=1),(IP33+IT33)/F33,0)</f>
        <v>0</v>
      </c>
      <c r="QS33" s="20" t="n">
        <f aca="false">IF(B33=0,IP33+IT33,0)</f>
        <v>0</v>
      </c>
      <c r="QT33" s="20" t="n">
        <f aca="false">IF(B33=0,IF(HU33=1,IR33,IS33),0)</f>
        <v>0</v>
      </c>
      <c r="QU33" s="20" t="n">
        <f aca="false">IF(AR33=1,IF(HU33=1,IY33+JB33,AS33-PY33)*(1+Slot3_Rate),0)</f>
        <v>0</v>
      </c>
      <c r="QV33" s="20" t="n">
        <f aca="false">IF(AND(HU33=1,AR33=1),(IX33+JB33)/F33,0)</f>
        <v>0</v>
      </c>
      <c r="QW33" s="20" t="n">
        <f aca="false">IF(B33=0,IX33+JB33,0)</f>
        <v>0</v>
      </c>
      <c r="QX33" s="20" t="n">
        <f aca="false">IF(B33=0,IF(HU33=1,IZ33,JA33),0)</f>
        <v>0</v>
      </c>
      <c r="QY33" s="20" t="n">
        <f aca="false">IF(BB33=1,IF(HU33=1,JG33+JJ33,BC33-PW33)*(1+Slot4_Rate),0)</f>
        <v>0</v>
      </c>
      <c r="QZ33" s="20" t="n">
        <f aca="false">IF(AND(HU33=1,BB33=1),(JF33+JJ33)/F33,0)</f>
        <v>0</v>
      </c>
      <c r="RA33" s="20" t="n">
        <f aca="false">IF(B33=0,JF33+JJ33,0)</f>
        <v>0</v>
      </c>
      <c r="RB33" s="20" t="n">
        <f aca="false">IF(B33=0,IF(HU33=1,JH33,JI33),0)</f>
        <v>0</v>
      </c>
      <c r="RC33" s="20" t="n">
        <f aca="false">IF(BL33=1,IF(HU33=1,JO33+JR33,BM33-PU33)*(1+Slot5_Rate),0)</f>
        <v>0</v>
      </c>
      <c r="RD33" s="20" t="n">
        <f aca="false">IF(AND(HU33=1,BL33=1),(JN33+JR33)/F33,0)</f>
        <v>0</v>
      </c>
      <c r="RE33" s="20" t="n">
        <f aca="false">IF(B33=0,JN33+JR33,0)</f>
        <v>0</v>
      </c>
      <c r="RF33" s="20" t="n">
        <f aca="false">IF(B33=0,IF(HU33=1,JP33,JQ33),0)</f>
        <v>0</v>
      </c>
      <c r="RG33" s="20" t="n">
        <f aca="false">IF(BV33=1,IF(HU33=1,JW33+JZ33,BW33-PS33)*(1+Slot6_Rate),0)</f>
        <v>0</v>
      </c>
      <c r="RH33" s="20" t="n">
        <f aca="false">IF(AND(HU33=1,BV33=1),(JV33+JZ33)/F33,0)</f>
        <v>0</v>
      </c>
      <c r="RI33" s="20" t="n">
        <f aca="false">IF(B33=0,JV33+JZ33,0)</f>
        <v>0</v>
      </c>
      <c r="RJ33" s="20" t="n">
        <f aca="false">IF(B33=0,IF(HU33=1,JX33,JY33),0)</f>
        <v>0</v>
      </c>
      <c r="RK33" s="20" t="n">
        <f aca="false">IF(CF33=1,IF(HU33=1,KE33+KH33,CG33-PQ33)*(1+Slot7_Rate),0)</f>
        <v>0</v>
      </c>
      <c r="RL33" s="20" t="n">
        <f aca="false">IF(AND(HU33=1,CF33=1),(KD33+KH33)/F33,0)</f>
        <v>0</v>
      </c>
      <c r="RM33" s="20" t="n">
        <f aca="false">IF(B33=0,KD33+KH33,0)</f>
        <v>0</v>
      </c>
      <c r="RN33" s="20" t="n">
        <f aca="false">IF(B33=0,IF(HU33=1,KF33,KG33),0)</f>
        <v>0</v>
      </c>
      <c r="RO33" s="20" t="n">
        <f aca="false">IF(CP33=1,IF(HU33=1,KM33+KP33,CQ33-PO33)*(1+Slot8_Rate),0)</f>
        <v>0</v>
      </c>
      <c r="RP33" s="20" t="n">
        <f aca="false">IF(AND(HU33=1,CP33=1),(KL33+KP33)/F33,0)</f>
        <v>0</v>
      </c>
      <c r="RQ33" s="20" t="n">
        <f aca="false">IF(B33=0,KL33+KP33,0)</f>
        <v>0</v>
      </c>
      <c r="RR33" s="20" t="n">
        <f aca="false">IF(B33=0,IF(HU33=1,KN33,KO33),0)</f>
        <v>0</v>
      </c>
      <c r="RS33" s="20" t="n">
        <f aca="false">IF(CZ33=1,IF(HU33=1,KU33+KX33,DA33-PM33)*(1+Slot9_Rate),0)</f>
        <v>0</v>
      </c>
      <c r="RT33" s="20" t="n">
        <f aca="false">IF(AND(HU33=1,CZ33=1),(KT33+KX33)/F33,0)</f>
        <v>0</v>
      </c>
      <c r="RU33" s="20" t="n">
        <f aca="false">IF(B33=0,KT33+KX33,0)</f>
        <v>0</v>
      </c>
      <c r="RV33" s="20" t="n">
        <f aca="false">IF(B33=0,IF(HU33=1,KV33,KW33),0)</f>
        <v>0</v>
      </c>
      <c r="RW33" s="20" t="n">
        <f aca="false">IF(DJ33=1,IF(HU33=1,LC33+LF33,DK33-PK33)*(1+Slot10_Rate),0)</f>
        <v>0</v>
      </c>
      <c r="RX33" s="20" t="n">
        <f aca="false">IF(AND(HU33=1,DJ33=1),(LB33+LF33)/F33,0)</f>
        <v>0</v>
      </c>
      <c r="RY33" s="20" t="n">
        <f aca="false">IF(B33=0,LB33+LF33,0)</f>
        <v>0</v>
      </c>
      <c r="RZ33" s="20" t="n">
        <f aca="false">IF(B33=0,IF(HU33=1,LD33,LE33),0)</f>
        <v>0</v>
      </c>
      <c r="SA33" s="20" t="n">
        <f aca="false">IF(DT33=1,IF(HU33=1,LK33+LN33,DU33-PI33)*(1+Slot11_Rate),0)</f>
        <v>0</v>
      </c>
      <c r="SB33" s="20" t="n">
        <f aca="false">IF(AND(HU33=1,DT33=1),(LJ33+LN33)/F33,0)</f>
        <v>0</v>
      </c>
      <c r="SC33" s="20" t="n">
        <f aca="false">IF(B33=0,LJ33+LN33,0)</f>
        <v>0</v>
      </c>
      <c r="SD33" s="20" t="n">
        <f aca="false">IF(B33=0,IF(HU33=1,LL33,LM33),0)</f>
        <v>0</v>
      </c>
      <c r="SE33" s="20" t="n">
        <f aca="false">IF(ED33=1,IF(HU33=1,LS33+LV33,EE33-PG33)*(1+Slot12_Rate),0)</f>
        <v>0</v>
      </c>
      <c r="SF33" s="20" t="n">
        <f aca="false">IF(AND(HU33=1,ED33=1),(LR33+LV33)/F33,0)</f>
        <v>0</v>
      </c>
      <c r="SG33" s="20" t="n">
        <f aca="false">IF(B33=0,LR33+LV33,0)</f>
        <v>0</v>
      </c>
      <c r="SH33" s="20" t="n">
        <f aca="false">IF(B33=0,IF(HU33=1,LT33,LU33),0)</f>
        <v>0</v>
      </c>
      <c r="SI33" s="20" t="n">
        <f aca="false">IF(EN33=1,IF(HU33=1,MA33+MD33,EO33-PE33)*(1+Slot13_Rate),0)</f>
        <v>0</v>
      </c>
      <c r="SJ33" s="20" t="n">
        <f aca="false">IF(AND(HU33=1,EN33=1),(LZ33+MD33)/F33,0)</f>
        <v>0</v>
      </c>
      <c r="SK33" s="20" t="n">
        <f aca="false">IF(B33=0,LZ33+MD33,0)</f>
        <v>0</v>
      </c>
      <c r="SL33" s="20" t="n">
        <f aca="false">IF(B33=0,IF(HU33=1,MB33,MC33),0)</f>
        <v>0</v>
      </c>
      <c r="SM33" s="20" t="n">
        <f aca="false">IF(EX33=1,IF(HU33=1,MI33+ML33,EY33-PC33)*(1+Slot14_Rate),0)</f>
        <v>0</v>
      </c>
      <c r="SN33" s="20" t="n">
        <f aca="false">IF(AND(HU33=1,EX33=1),(MH33+ML33)/F33,0)</f>
        <v>0</v>
      </c>
      <c r="SO33" s="20" t="n">
        <f aca="false">IF(B33=0,MH33+ML33,0)</f>
        <v>0</v>
      </c>
      <c r="SP33" s="20" t="n">
        <f aca="false">IF(B33=0,IF(HU33=1,MJ33,MK33),0)</f>
        <v>0</v>
      </c>
      <c r="SQ33" s="20" t="n">
        <f aca="false">IF(FH33=1,IF(HU33=1,MQ33+MT33,FI33-PA33)*(1+Slot15_Rate),0)</f>
        <v>0</v>
      </c>
      <c r="SR33" s="20" t="n">
        <f aca="false">IF(AND(HU33=1,FH33=1),(MP33+MT33)/F33,0)</f>
        <v>0</v>
      </c>
      <c r="SS33" s="20" t="n">
        <f aca="false">IF(B33=0,MP33+MT33,0)</f>
        <v>0</v>
      </c>
      <c r="ST33" s="20" t="n">
        <f aca="false">IF(B33=0,IF(HU33=1,MR33,MS33),0)</f>
        <v>0</v>
      </c>
      <c r="SU33" s="20" t="n">
        <f aca="false">IF(FR33=1,IF(HU33=1,MY33+NB33,FS33-OY33)*(1+Slot16_Rate),0)</f>
        <v>0</v>
      </c>
      <c r="SV33" s="20" t="n">
        <f aca="false">IF(AND(HU33=1,FR33=1),(MX33+NB33)/F33,0)</f>
        <v>0</v>
      </c>
      <c r="SW33" s="20" t="n">
        <f aca="false">IF(B33=0,MX33+NB33,0)</f>
        <v>0</v>
      </c>
      <c r="SX33" s="20" t="n">
        <f aca="false">IF(B33=0,IF(HU33=1,MZ33,NA33),0)</f>
        <v>0</v>
      </c>
      <c r="SY33" s="20" t="n">
        <f aca="false">IF(GB33=1,IF(HU33=1,NG33+NJ33,GC33-OW33)*(1+Slot17_Rate),0)</f>
        <v>0</v>
      </c>
      <c r="SZ33" s="20" t="n">
        <f aca="false">IF(AND(HU33=1,GB33=1),(NF33+NJ33)/F33,0)</f>
        <v>0</v>
      </c>
      <c r="TA33" s="20" t="n">
        <f aca="false">IF(B33=0,NF33+NJ33,0)</f>
        <v>0</v>
      </c>
      <c r="TB33" s="20" t="n">
        <f aca="false">IF(B33=0,IF(HU33=1,NH33,NI33),0)</f>
        <v>0</v>
      </c>
      <c r="TC33" s="20" t="n">
        <f aca="false">IF(GL33=1,IF(HU33=1,NO33+NR33,GM33-OU33)*(1+Slot18_Rate),0)</f>
        <v>0</v>
      </c>
      <c r="TD33" s="20" t="n">
        <f aca="false">IF(AND(HU33=1,GL33=1),(NN33+NR33)/F33,0)</f>
        <v>0</v>
      </c>
      <c r="TE33" s="20" t="n">
        <f aca="false">IF(B33=0,NN33+NR33,0)</f>
        <v>0</v>
      </c>
      <c r="TF33" s="20" t="n">
        <f aca="false">IF(B33=0,IF(HU33=1,NP33,NQ33),0)</f>
        <v>0</v>
      </c>
      <c r="TG33" s="20" t="n">
        <f aca="false">IF(GV33=1,IF(HU33=1,NW33+NZ33,GW33-OS33)*(1+Slot19_Rate),0)</f>
        <v>0</v>
      </c>
      <c r="TH33" s="20" t="n">
        <f aca="false">IF(AND(HU33=1,GV33=1),(NV33+NZ33)/F33,0)</f>
        <v>0</v>
      </c>
      <c r="TI33" s="20" t="n">
        <f aca="false">IF(B33=0,NV33+NZ33,0)</f>
        <v>0</v>
      </c>
      <c r="TJ33" s="20" t="n">
        <f aca="false">IF(B33=0,IF(HU33=1,NX33,NY33),0)</f>
        <v>0</v>
      </c>
      <c r="TK33" s="20" t="n">
        <f aca="false">IF(HF33=1,IF(HU33=1,OE33+OH33,HG33-OQ33)*(1+Slot20_Rate),0)</f>
        <v>0</v>
      </c>
      <c r="TL33" s="20" t="n">
        <f aca="false">IF(AND(HU33=1,HF33=1),(OD33+OH33)/F33,0)</f>
        <v>0</v>
      </c>
      <c r="TM33" s="20" t="n">
        <f aca="false">IF(B33=0,OD33+OH33,0)</f>
        <v>0</v>
      </c>
      <c r="TN33" s="20" t="n">
        <f aca="false">IF(B33=0,IF(HU33=1,OF33,OG33),0)</f>
        <v>0</v>
      </c>
      <c r="TO33" s="20" t="n">
        <f aca="false">QK33+QL33+QM33+QQ33+QU33+QY33+RC33+RG33+RK33+RO33+RS33+RW33+SA33+SE33+SI33+SM33+SQ33+SU33+SY33+TC33+TG33+TK33</f>
        <v>246117.881548969</v>
      </c>
      <c r="TP33" s="20" t="n">
        <f aca="false">QE33+HP33</f>
        <v>0</v>
      </c>
      <c r="TQ33" s="20" t="n">
        <f aca="false">I33+S33</f>
        <v>78420.9665354141</v>
      </c>
      <c r="TR33" s="20" t="n">
        <f aca="false">1-G33</f>
        <v>1</v>
      </c>
      <c r="TS33" s="20" t="n">
        <f aca="false">IF(AND(RG_Exists=1,G33=0,C33=1),I33,0)</f>
        <v>78420.9665354141</v>
      </c>
      <c r="TT33" s="20" t="n">
        <f aca="false">IF(AND(RG_Exists=1,G33=0,C33=1),I33-MIN(QE33,I33),0)</f>
        <v>78420.9665354141</v>
      </c>
      <c r="TU33" s="20" t="n">
        <f aca="false">'Plan pay &amp; tax'!AD259</f>
        <v>442370.209341348</v>
      </c>
      <c r="TV33" s="20" t="n">
        <f aca="false">IF(AND(C33=1,QE33&gt;MAX(PR_Short1,TQ33*PR_Short2)),1,0)</f>
        <v>0</v>
      </c>
      <c r="TW33" s="20" t="n">
        <f aca="false">MIN(H33,I33+S33)</f>
        <v>57651.6501827279</v>
      </c>
      <c r="TX33" s="20" t="n">
        <f aca="false">QF33+MAX(0,HQ33-HP33)</f>
        <v>20769.3163526862</v>
      </c>
      <c r="TY33" s="20" t="n">
        <f aca="false">QE33+HP33</f>
        <v>0</v>
      </c>
      <c r="TZ33" s="20" t="n">
        <f aca="false">IF(AND(C33=1,TY33&gt;PR_MinShort),1,0)</f>
        <v>0</v>
      </c>
      <c r="UA33" s="20" t="n">
        <f aca="false">IF(AND(C33=1,TZ33=0,TX33&gt;PR_MinShort),1,0)</f>
        <v>1</v>
      </c>
      <c r="UB33" s="20" t="n">
        <f aca="false">IF(AND(C33=1,QE33&gt;PR_MinShort),1,0)</f>
        <v>0</v>
      </c>
      <c r="UC33" s="20" t="n">
        <f aca="false">IF(AND(C33=1,QF33&gt;1,UJ33=0),1,0)</f>
        <v>1</v>
      </c>
      <c r="UD33" s="20" t="str">
        <f aca="false">IF(C33=0,"",IF(UJ33=1,"Gap to plan for: short "&amp;"€"&amp;TEXT(ROUND(TP33,0),"#,##0"),IF(QF33&gt;1,"Using savings","Comfortable")))</f>
        <v>Using savings</v>
      </c>
      <c r="UE33" s="20" t="n">
        <f aca="false">IF(AND(INT(D33/10)*10=90,B33&gt;0),80,INT(D33/10)*10)</f>
        <v>60</v>
      </c>
      <c r="UF33" s="20" t="n">
        <f aca="false">IF(B33=0,1,IF(UE33&lt;&gt;UE32,UF32+1,UF32))</f>
        <v>4</v>
      </c>
      <c r="UG33" s="20" t="n">
        <f aca="false">IF(AND(C33=1,G33=1,QE33&gt;MAX(PR_Short1,TQ33*PR_Short2)),1,0)</f>
        <v>0</v>
      </c>
      <c r="UH33" s="20" t="n">
        <f aca="false">TR33*TV33</f>
        <v>0</v>
      </c>
      <c r="UI33" s="20" t="n">
        <f aca="false">IF(AND(V33=1,Slot1_PctLow=1),1,0)+IF(AND(AG33=1,Slot2_PctLow=1),1,0)+IF(AND(AQ33=1,Slot3_PctLow=1),1,0)+IF(AND(BA33=1,Slot4_PctLow=1),1,0)+IF(AND(BK33=1,Slot5_PctLow=1),1,0)+IF(AND(BU33=1,Slot6_PctLow=1),1,0)+IF(AND(CE33=1,Slot7_PctLow=1),1,0)+IF(AND(CO33=1,Slot8_PctLow=1),1,0)+IF(AND(CY33=1,Slot9_PctLow=1),1,0)+IF(AND(DI33=1,Slot10_PctLow=1),1,0)+IF(AND(DS33=1,Slot11_PctLow=1),1,0)+IF(AND(EC33=1,Slot12_PctLow=1),1,0)+IF(AND(EM33=1,Slot13_PctLow=1),1,0)+IF(AND(EW33=1,Slot14_PctLow=1),1,0)+IF(AND(FG33=1,Slot15_PctLow=1),1,0)+IF(AND(FQ33=1,Slot16_PctLow=1),1,0)+IF(AND(GA33=1,Slot17_PctLow=1),1,0)+IF(AND(GK33=1,Slot18_PctLow=1),1,0)+IF(AND(GU33=1,Slot19_PctLow=1),1,0)+IF(AND(HE33=1,Slot20_PctLow=1),1,0)</f>
        <v>0</v>
      </c>
      <c r="UJ33" s="20" t="n">
        <f aca="false">IF(C33=1,IF(OR(TV33=1,UI33&gt;0),1,0),0)</f>
        <v>0</v>
      </c>
      <c r="UK33" s="20" t="n">
        <f aca="false">Z33+AK33+AU33+BE33+BO33+BY33+CI33+CS33+DC33+DM33+DW33+EG33+EQ33+FA33+FK33+FU33+GE33+GO33+GY33+HI33+OM33</f>
        <v>20769.3163526862</v>
      </c>
      <c r="UL33" s="20" t="n">
        <f aca="false">V33*IF(Slot1_SpendLike=1,X33-Y33,IF(Slot1_PotFree=1,X33,0))+AG33*IF(Slot2_SpendLike=1,AI33-AJ33,IF(Slot2_PotFree=1,AI33,0))+AQ33*IF(Slot3_SpendLike=1,AS33-AT33,IF(Slot3_PotFree=1,AS33,0))+BA33*IF(Slot4_SpendLike=1,BC33-BD33,IF(Slot4_PotFree=1,BC33,0))+BK33*IF(Slot5_SpendLike=1,BM33-BN33,IF(Slot5_PotFree=1,BM33,0))+BU33*IF(Slot6_SpendLike=1,BW33-BX33,IF(Slot6_PotFree=1,BW33,0))+CE33*IF(Slot7_SpendLike=1,CG33-CH33,IF(Slot7_PotFree=1,CG33,0))+CO33*IF(Slot8_SpendLike=1,CQ33-CR33,IF(Slot8_PotFree=1,CQ33,0))+CY33*IF(Slot9_SpendLike=1,DA33-DB33,IF(Slot9_PotFree=1,DA33,0))+DI33*IF(Slot10_SpendLike=1,DK33-DL33,IF(Slot10_PotFree=1,DK33,0))+DS33*IF(Slot11_SpendLike=1,DU33-DV33,IF(Slot11_PotFree=1,DU33,0))+EC33*IF(Slot12_SpendLike=1,EE33-EF33,IF(Slot12_PotFree=1,EE33,0))+EM33*IF(Slot13_SpendLike=1,EO33-EP33,IF(Slot13_PotFree=1,EO33,0))+EW33*IF(Slot14_SpendLike=1,EY33-EZ33,IF(Slot14_PotFree=1,EY33,0))+FG33*IF(Slot15_SpendLike=1,FI33-FJ33,IF(Slot15_PotFree=1,FI33,0))+FQ33*IF(Slot16_SpendLike=1,FS33-FT33,IF(Slot16_PotFree=1,FS33,0))+GA33*IF(Slot17_SpendLike=1,GC33-GD33,IF(Slot17_PotFree=1,GC33,0))+GK33*IF(Slot18_SpendLike=1,GM33-GN33,IF(Slot18_PotFree=1,GM33,0))+GU33*IF(Slot19_SpendLike=1,GW33-GX33,IF(Slot19_PotFree=1,GW33,0))+HE33*IF(Slot20_SpendLike=1,HG33-HH33,IF(Slot20_PotFree=1,HG33,0))</f>
        <v>0</v>
      </c>
      <c r="UM33" s="20" t="n">
        <f aca="false">QG33-T33+UK33-UL33</f>
        <v>0</v>
      </c>
      <c r="UN33" s="20" t="n">
        <f aca="false">IF(OR(UN32=1,AND(In_homeUse="Yes, I'd downsize",In_downAge&gt;0,D33=In_downAge,OR(In_home="Own outright",In_home="Own with mortgage"),In_homeValue&gt;0)),1,0)</f>
        <v>0</v>
      </c>
    </row>
    <row r="34" customFormat="false" ht="15" hidden="false" customHeight="true" outlineLevel="0" collapsed="false">
      <c r="B34" s="20" t="n">
        <v>26</v>
      </c>
      <c r="C34" s="20" t="n">
        <f aca="false">IF(B34&lt;=F_N,1,0)</f>
        <v>1</v>
      </c>
      <c r="D34" s="20" t="n">
        <f aca="false">'Plan pay &amp; tax'!C260</f>
        <v>64</v>
      </c>
      <c r="E34" s="20" t="str">
        <f aca="false">IF($C34=1,"Income tax "&amp;TEXT(N('Plan pay &amp; tax'!BK260),"#,##0")&amp;"; USC "&amp;TEXT(N('Plan pay &amp; tax'!BM260)+N('Plan pay &amp; tax'!BO260),"#,##0")&amp;"; PRSI "&amp;TEXT(N('Plan pay &amp; tax'!BP260)+N('Plan pay &amp; tax'!BQ260),"#,##0")&amp;IF(N('Plan holdings'!BO34)&gt;=0.5,"; DIRT "&amp;TEXT(('Plan holdings'!BO34)/$F34,"#,##0")&amp;" (already taken from the interest earned)","")&amp;IF(N('Plan holdings'!BP34)&gt;=0.5,"; exit tax at an 8-year anniversary "&amp;TEXT(('Plan holdings'!BP34)/$F34,"#,##0"),"")&amp;IF(N('Plan holdings'!BN34)&gt;=0.5,"; tax on assets sold (exit tax or capital gains tax) "&amp;TEXT(('Plan holdings'!BN34)/$F34,"#,##0"),"")&amp;IF(N('Plan pay &amp; tax'!X260)-N('Plan pay &amp; tax'!Y260)&gt;=0.5,"; tax on the pension lump sum "&amp;TEXT(('Plan pay &amp; tax'!X260-'Plan pay &amp; tax'!Y260)/$F34,"#,##0"),"")&amp;IF(N('Plan pay &amp; tax'!V260)&gt;=0.5,"; chargeable excess tax on the pension "&amp;TEXT(('Plan pay &amp; tax'!V260)/$F34,"#,##0"),"")&amp;".","")</f>
        <v>Income tax 1,670; USC 387; PRSI 1,830; DIRT 350 (already taken from the interest earned); exit tax at an 8-year anniversary 366.</v>
      </c>
      <c r="F34" s="50" t="n">
        <f aca="false">'Plan pay &amp; tax'!E260</f>
        <v>1.67341811435403</v>
      </c>
      <c r="G34" s="20" t="n">
        <f aca="false">'Plan pay &amp; tax'!G260</f>
        <v>0</v>
      </c>
      <c r="H34" s="20" t="n">
        <f aca="false">'Plan pay &amp; tax'!BT260-'Plan pay &amp; tax'!BS260-'Plan pay &amp; tax'!R260</f>
        <v>58635.5320937646</v>
      </c>
      <c r="I34" s="20" t="n">
        <f aca="false">IF(G34=1,F_CostsM*12,IF(RG_Exists=1,RG_Amount,F_CostsM*12*AS_RetireSpend))*F34+F_OneOffY*F34</f>
        <v>79989.3858661224</v>
      </c>
      <c r="J34" s="20" t="n">
        <f aca="false">IF(UN34=1,0,HR33)</f>
        <v>0</v>
      </c>
      <c r="K34" s="20" t="n">
        <f aca="false">IF(J34&gt;1,'Plan debt months'!AC34,0)</f>
        <v>0</v>
      </c>
      <c r="L34" s="20" t="n">
        <f aca="false">IF(J34&gt;1,'Plan debt months'!AB34,J34)</f>
        <v>0</v>
      </c>
      <c r="M34" s="20" t="n">
        <f aca="false">O33</f>
        <v>0</v>
      </c>
      <c r="N34" s="20" t="n">
        <f aca="false">IF(M34&gt;1,'Plan debt months'!BD34,0)</f>
        <v>0</v>
      </c>
      <c r="O34" s="20" t="n">
        <f aca="false">IF(M34&gt;1,'Plan debt months'!BC34,M34)</f>
        <v>0</v>
      </c>
      <c r="P34" s="20" t="n">
        <f aca="false">R33</f>
        <v>0</v>
      </c>
      <c r="Q34" s="20" t="n">
        <f aca="false">IF(P34&gt;1,'Plan debt months'!CE34,0)</f>
        <v>0</v>
      </c>
      <c r="R34" s="20" t="n">
        <f aca="false">IF(P34&gt;1,'Plan debt months'!CD34,P34)</f>
        <v>0</v>
      </c>
      <c r="S34" s="20" t="n">
        <f aca="false">K34+N34+Q34</f>
        <v>0</v>
      </c>
      <c r="T34" s="57" t="n">
        <f aca="false">'Plan holdings'!Y34</f>
        <v>228580.749361976</v>
      </c>
      <c r="U34" s="57" t="n">
        <f aca="false">'Plan holdings'!BM33</f>
        <v>231670.280115275</v>
      </c>
      <c r="V34" s="20" t="n">
        <f aca="false">IF(AND(Slot1_On=1,D34=Slot1_Age),1,0)</f>
        <v>0</v>
      </c>
      <c r="W34" s="20" t="n">
        <f aca="false">IF(AND(Slot1_On=1,Slot1_Age&gt;D34),1,0)</f>
        <v>0</v>
      </c>
      <c r="X34" s="20" t="n">
        <f aca="false">QM33</f>
        <v>0</v>
      </c>
      <c r="Y34" s="20" t="n">
        <f aca="false">V34*MIN(Slot1_Cost,X34)</f>
        <v>0</v>
      </c>
      <c r="Z34" s="20" t="n">
        <f aca="false">V34*Slot1_SpendLike*MIN(Slot1_Cost-Y34,T34)</f>
        <v>0</v>
      </c>
      <c r="AA34" s="20" t="n">
        <f aca="false">Y34+Z34</f>
        <v>0</v>
      </c>
      <c r="AB34" s="20" t="n">
        <f aca="false">T34-Z34+V34*IF(Slot1_SpendLike=1,X34-Y34,IF(Slot1_PotFree=1,X34,0))</f>
        <v>228580.749361976</v>
      </c>
      <c r="AC34" s="20" t="n">
        <f aca="false">AF34+V34*Slot1_BufPot*X34</f>
        <v>14447.6014336946</v>
      </c>
      <c r="AD34" s="20" t="n">
        <f aca="false">IF(AND(V34=1,Slot1_IsMfree=1),IF(AA34&gt;=Slot1_Cost-1,0,MAX(0,L34-AA34)),L34)</f>
        <v>0</v>
      </c>
      <c r="AE34" s="20" t="n">
        <f aca="false">V34*(Slot1_Cost-AA34)</f>
        <v>0</v>
      </c>
      <c r="AF34" s="20" t="n">
        <f aca="false">QL33</f>
        <v>14447.6014336946</v>
      </c>
      <c r="AG34" s="20" t="n">
        <f aca="false">IF(AND(Slot2_On=1,D34=Slot2_Age),1,0)</f>
        <v>0</v>
      </c>
      <c r="AH34" s="20" t="n">
        <f aca="false">IF(AND(Slot2_On=1,Slot2_Age&gt;D34),1,0)</f>
        <v>0</v>
      </c>
      <c r="AI34" s="20" t="n">
        <f aca="false">QQ33</f>
        <v>0</v>
      </c>
      <c r="AJ34" s="20" t="n">
        <f aca="false">AG34*MIN(Slot2_Cost,AI34)</f>
        <v>0</v>
      </c>
      <c r="AK34" s="20" t="n">
        <f aca="false">AG34*Slot2_SpendLike*MIN(Slot2_Cost-AJ34,AB34)</f>
        <v>0</v>
      </c>
      <c r="AL34" s="20" t="n">
        <f aca="false">AJ34+AK34</f>
        <v>0</v>
      </c>
      <c r="AM34" s="20" t="n">
        <f aca="false">AB34-AK34+AG34*IF(Slot2_SpendLike=1,AI34-AJ34,IF(Slot2_PotFree=1,AI34,0))</f>
        <v>228580.749361976</v>
      </c>
      <c r="AN34" s="20" t="n">
        <f aca="false">AC34+AG34*Slot2_BufPot*AI34</f>
        <v>14447.6014336946</v>
      </c>
      <c r="AO34" s="20" t="n">
        <f aca="false">IF(AND(AG34=1,Slot2_IsMfree=1),IF(AL34&gt;=Slot2_Cost-1,0,MAX(0,AD34-AL34)),AD34)</f>
        <v>0</v>
      </c>
      <c r="AP34" s="20" t="n">
        <f aca="false">AG34*(Slot2_Cost-AL34)</f>
        <v>0</v>
      </c>
      <c r="AQ34" s="20" t="n">
        <f aca="false">IF(AND(Slot3_On=1,D34=Slot3_Age),1,0)</f>
        <v>0</v>
      </c>
      <c r="AR34" s="20" t="n">
        <f aca="false">IF(AND(Slot3_On=1,Slot3_Age&gt;D34),1,0)</f>
        <v>0</v>
      </c>
      <c r="AS34" s="20" t="n">
        <f aca="false">QU33</f>
        <v>0</v>
      </c>
      <c r="AT34" s="20" t="n">
        <f aca="false">AQ34*MIN(Slot3_Cost,AS34)</f>
        <v>0</v>
      </c>
      <c r="AU34" s="20" t="n">
        <f aca="false">AQ34*Slot3_SpendLike*MIN(Slot3_Cost-AT34,AM34)</f>
        <v>0</v>
      </c>
      <c r="AV34" s="20" t="n">
        <f aca="false">AT34+AU34</f>
        <v>0</v>
      </c>
      <c r="AW34" s="20" t="n">
        <f aca="false">AM34-AU34+AQ34*IF(Slot3_SpendLike=1,AS34-AT34,IF(Slot3_PotFree=1,AS34,0))</f>
        <v>228580.749361976</v>
      </c>
      <c r="AX34" s="20" t="n">
        <f aca="false">AN34+AQ34*Slot3_BufPot*AS34</f>
        <v>14447.6014336946</v>
      </c>
      <c r="AY34" s="20" t="n">
        <f aca="false">IF(AND(AQ34=1,Slot3_IsMfree=1),IF(AV34&gt;=Slot3_Cost-1,0,MAX(0,AO34-AV34)),AO34)</f>
        <v>0</v>
      </c>
      <c r="AZ34" s="20" t="n">
        <f aca="false">AQ34*(Slot3_Cost-AV34)</f>
        <v>0</v>
      </c>
      <c r="BA34" s="20" t="n">
        <f aca="false">IF(AND(Slot4_On=1,D34=Slot4_Age),1,0)</f>
        <v>0</v>
      </c>
      <c r="BB34" s="20" t="n">
        <f aca="false">IF(AND(Slot4_On=1,Slot4_Age&gt;D34),1,0)</f>
        <v>0</v>
      </c>
      <c r="BC34" s="20" t="n">
        <f aca="false">QY33</f>
        <v>0</v>
      </c>
      <c r="BD34" s="20" t="n">
        <f aca="false">BA34*MIN(Slot4_Cost,BC34)</f>
        <v>0</v>
      </c>
      <c r="BE34" s="20" t="n">
        <f aca="false">BA34*Slot4_SpendLike*MIN(Slot4_Cost-BD34,AW34)</f>
        <v>0</v>
      </c>
      <c r="BF34" s="20" t="n">
        <f aca="false">BD34+BE34</f>
        <v>0</v>
      </c>
      <c r="BG34" s="20" t="n">
        <f aca="false">AW34-BE34+BA34*IF(Slot4_SpendLike=1,BC34-BD34,IF(Slot4_PotFree=1,BC34,0))</f>
        <v>228580.749361976</v>
      </c>
      <c r="BH34" s="20" t="n">
        <f aca="false">AX34+BA34*Slot4_BufPot*BC34</f>
        <v>14447.6014336946</v>
      </c>
      <c r="BI34" s="20" t="n">
        <f aca="false">IF(AND(BA34=1,Slot4_IsMfree=1),IF(BF34&gt;=Slot4_Cost-1,0,MAX(0,AY34-BF34)),AY34)</f>
        <v>0</v>
      </c>
      <c r="BJ34" s="20" t="n">
        <f aca="false">BA34*(Slot4_Cost-BF34)</f>
        <v>0</v>
      </c>
      <c r="BK34" s="20" t="n">
        <f aca="false">IF(AND(Slot5_On=1,D34=Slot5_Age),1,0)</f>
        <v>0</v>
      </c>
      <c r="BL34" s="20" t="n">
        <f aca="false">IF(AND(Slot5_On=1,Slot5_Age&gt;D34),1,0)</f>
        <v>0</v>
      </c>
      <c r="BM34" s="20" t="n">
        <f aca="false">RC33</f>
        <v>0</v>
      </c>
      <c r="BN34" s="20" t="n">
        <f aca="false">BK34*MIN(Slot5_Cost,BM34)</f>
        <v>0</v>
      </c>
      <c r="BO34" s="20" t="n">
        <f aca="false">BK34*Slot5_SpendLike*MIN(Slot5_Cost-BN34,BG34)</f>
        <v>0</v>
      </c>
      <c r="BP34" s="20" t="n">
        <f aca="false">BN34+BO34</f>
        <v>0</v>
      </c>
      <c r="BQ34" s="20" t="n">
        <f aca="false">BG34-BO34+BK34*IF(Slot5_SpendLike=1,BM34-BN34,IF(Slot5_PotFree=1,BM34,0))</f>
        <v>228580.749361976</v>
      </c>
      <c r="BR34" s="20" t="n">
        <f aca="false">BH34+BK34*Slot5_BufPot*BM34</f>
        <v>14447.6014336946</v>
      </c>
      <c r="BS34" s="20" t="n">
        <f aca="false">IF(AND(BK34=1,Slot5_IsMfree=1),IF(BP34&gt;=Slot5_Cost-1,0,MAX(0,BI34-BP34)),BI34)</f>
        <v>0</v>
      </c>
      <c r="BT34" s="20" t="n">
        <f aca="false">BK34*(Slot5_Cost-BP34)</f>
        <v>0</v>
      </c>
      <c r="BU34" s="20" t="n">
        <f aca="false">IF(AND(Slot6_On=1,D34=Slot6_Age),1,0)</f>
        <v>0</v>
      </c>
      <c r="BV34" s="20" t="n">
        <f aca="false">IF(AND(Slot6_On=1,Slot6_Age&gt;D34),1,0)</f>
        <v>0</v>
      </c>
      <c r="BW34" s="20" t="n">
        <f aca="false">RG33</f>
        <v>0</v>
      </c>
      <c r="BX34" s="20" t="n">
        <f aca="false">BU34*MIN(Slot6_Cost,BW34)</f>
        <v>0</v>
      </c>
      <c r="BY34" s="20" t="n">
        <f aca="false">BU34*Slot6_SpendLike*MIN(Slot6_Cost-BX34,BQ34)</f>
        <v>0</v>
      </c>
      <c r="BZ34" s="20" t="n">
        <f aca="false">BX34+BY34</f>
        <v>0</v>
      </c>
      <c r="CA34" s="20" t="n">
        <f aca="false">BQ34-BY34+BU34*IF(Slot6_SpendLike=1,BW34-BX34,IF(Slot6_PotFree=1,BW34,0))</f>
        <v>228580.749361976</v>
      </c>
      <c r="CB34" s="20" t="n">
        <f aca="false">BR34+BU34*Slot6_BufPot*BW34</f>
        <v>14447.6014336946</v>
      </c>
      <c r="CC34" s="20" t="n">
        <f aca="false">IF(AND(BU34=1,Slot6_IsMfree=1),IF(BZ34&gt;=Slot6_Cost-1,0,MAX(0,BS34-BZ34)),BS34)</f>
        <v>0</v>
      </c>
      <c r="CD34" s="20" t="n">
        <f aca="false">BU34*(Slot6_Cost-BZ34)</f>
        <v>0</v>
      </c>
      <c r="CE34" s="20" t="n">
        <f aca="false">IF(AND(Slot7_On=1,D34=Slot7_Age),1,0)</f>
        <v>0</v>
      </c>
      <c r="CF34" s="20" t="n">
        <f aca="false">IF(AND(Slot7_On=1,Slot7_Age&gt;D34),1,0)</f>
        <v>0</v>
      </c>
      <c r="CG34" s="20" t="n">
        <f aca="false">RK33</f>
        <v>0</v>
      </c>
      <c r="CH34" s="20" t="n">
        <f aca="false">CE34*MIN(Slot7_Cost,CG34)</f>
        <v>0</v>
      </c>
      <c r="CI34" s="20" t="n">
        <f aca="false">CE34*Slot7_SpendLike*MIN(Slot7_Cost-CH34,CA34)</f>
        <v>0</v>
      </c>
      <c r="CJ34" s="20" t="n">
        <f aca="false">CH34+CI34</f>
        <v>0</v>
      </c>
      <c r="CK34" s="20" t="n">
        <f aca="false">CA34-CI34+CE34*IF(Slot7_SpendLike=1,CG34-CH34,IF(Slot7_PotFree=1,CG34,0))</f>
        <v>228580.749361976</v>
      </c>
      <c r="CL34" s="20" t="n">
        <f aca="false">CB34+CE34*Slot7_BufPot*CG34</f>
        <v>14447.6014336946</v>
      </c>
      <c r="CM34" s="20" t="n">
        <f aca="false">IF(AND(CE34=1,Slot7_IsMfree=1),IF(CJ34&gt;=Slot7_Cost-1,0,MAX(0,CC34-CJ34)),CC34)</f>
        <v>0</v>
      </c>
      <c r="CN34" s="20" t="n">
        <f aca="false">CE34*(Slot7_Cost-CJ34)</f>
        <v>0</v>
      </c>
      <c r="CO34" s="20" t="n">
        <f aca="false">IF(AND(Slot8_On=1,D34=Slot8_Age),1,0)</f>
        <v>0</v>
      </c>
      <c r="CP34" s="20" t="n">
        <f aca="false">IF(AND(Slot8_On=1,Slot8_Age&gt;D34),1,0)</f>
        <v>0</v>
      </c>
      <c r="CQ34" s="20" t="n">
        <f aca="false">RO33</f>
        <v>0</v>
      </c>
      <c r="CR34" s="20" t="n">
        <f aca="false">CO34*MIN(Slot8_Cost,CQ34)</f>
        <v>0</v>
      </c>
      <c r="CS34" s="20" t="n">
        <f aca="false">CO34*Slot8_SpendLike*MIN(Slot8_Cost-CR34,CK34)</f>
        <v>0</v>
      </c>
      <c r="CT34" s="20" t="n">
        <f aca="false">CR34+CS34</f>
        <v>0</v>
      </c>
      <c r="CU34" s="20" t="n">
        <f aca="false">CK34-CS34+CO34*IF(Slot8_SpendLike=1,CQ34-CR34,IF(Slot8_PotFree=1,CQ34,0))</f>
        <v>228580.749361976</v>
      </c>
      <c r="CV34" s="20" t="n">
        <f aca="false">CL34+CO34*Slot8_BufPot*CQ34</f>
        <v>14447.6014336946</v>
      </c>
      <c r="CW34" s="20" t="n">
        <f aca="false">IF(AND(CO34=1,Slot8_IsMfree=1),IF(CT34&gt;=Slot8_Cost-1,0,MAX(0,CM34-CT34)),CM34)</f>
        <v>0</v>
      </c>
      <c r="CX34" s="20" t="n">
        <f aca="false">CO34*(Slot8_Cost-CT34)</f>
        <v>0</v>
      </c>
      <c r="CY34" s="20" t="n">
        <f aca="false">IF(AND(Slot9_On=1,D34=Slot9_Age),1,0)</f>
        <v>0</v>
      </c>
      <c r="CZ34" s="20" t="n">
        <f aca="false">IF(AND(Slot9_On=1,Slot9_Age&gt;D34),1,0)</f>
        <v>0</v>
      </c>
      <c r="DA34" s="20" t="n">
        <f aca="false">RS33</f>
        <v>0</v>
      </c>
      <c r="DB34" s="20" t="n">
        <f aca="false">CY34*MIN(Slot9_Cost,DA34)</f>
        <v>0</v>
      </c>
      <c r="DC34" s="20" t="n">
        <f aca="false">CY34*Slot9_SpendLike*MIN(Slot9_Cost-DB34,CU34)</f>
        <v>0</v>
      </c>
      <c r="DD34" s="20" t="n">
        <f aca="false">DB34+DC34</f>
        <v>0</v>
      </c>
      <c r="DE34" s="20" t="n">
        <f aca="false">CU34-DC34+CY34*IF(Slot9_SpendLike=1,DA34-DB34,IF(Slot9_PotFree=1,DA34,0))</f>
        <v>228580.749361976</v>
      </c>
      <c r="DF34" s="20" t="n">
        <f aca="false">CV34+CY34*Slot9_BufPot*DA34</f>
        <v>14447.6014336946</v>
      </c>
      <c r="DG34" s="20" t="n">
        <f aca="false">IF(AND(CY34=1,Slot9_IsMfree=1),IF(DD34&gt;=Slot9_Cost-1,0,MAX(0,CW34-DD34)),CW34)</f>
        <v>0</v>
      </c>
      <c r="DH34" s="20" t="n">
        <f aca="false">CY34*(Slot9_Cost-DD34)</f>
        <v>0</v>
      </c>
      <c r="DI34" s="20" t="n">
        <f aca="false">IF(AND(Slot10_On=1,D34=Slot10_Age),1,0)</f>
        <v>0</v>
      </c>
      <c r="DJ34" s="20" t="n">
        <f aca="false">IF(AND(Slot10_On=1,Slot10_Age&gt;D34),1,0)</f>
        <v>0</v>
      </c>
      <c r="DK34" s="20" t="n">
        <f aca="false">RW33</f>
        <v>0</v>
      </c>
      <c r="DL34" s="20" t="n">
        <f aca="false">DI34*MIN(Slot10_Cost,DK34)</f>
        <v>0</v>
      </c>
      <c r="DM34" s="20" t="n">
        <f aca="false">DI34*Slot10_SpendLike*MIN(Slot10_Cost-DL34,DE34)</f>
        <v>0</v>
      </c>
      <c r="DN34" s="20" t="n">
        <f aca="false">DL34+DM34</f>
        <v>0</v>
      </c>
      <c r="DO34" s="20" t="n">
        <f aca="false">DE34-DM34+DI34*IF(Slot10_SpendLike=1,DK34-DL34,IF(Slot10_PotFree=1,DK34,0))</f>
        <v>228580.749361976</v>
      </c>
      <c r="DP34" s="20" t="n">
        <f aca="false">DF34+DI34*Slot10_BufPot*DK34</f>
        <v>14447.6014336946</v>
      </c>
      <c r="DQ34" s="20" t="n">
        <f aca="false">IF(AND(DI34=1,Slot10_IsMfree=1),IF(DN34&gt;=Slot10_Cost-1,0,MAX(0,DG34-DN34)),DG34)</f>
        <v>0</v>
      </c>
      <c r="DR34" s="20" t="n">
        <f aca="false">DI34*(Slot10_Cost-DN34)</f>
        <v>0</v>
      </c>
      <c r="DS34" s="20" t="n">
        <f aca="false">IF(AND(Slot11_On=1,D34=Slot11_Age),1,0)</f>
        <v>0</v>
      </c>
      <c r="DT34" s="20" t="n">
        <f aca="false">IF(AND(Slot11_On=1,Slot11_Age&gt;D34),1,0)</f>
        <v>0</v>
      </c>
      <c r="DU34" s="20" t="n">
        <f aca="false">SA33</f>
        <v>0</v>
      </c>
      <c r="DV34" s="20" t="n">
        <f aca="false">DS34*MIN(Slot11_Cost,DU34)</f>
        <v>0</v>
      </c>
      <c r="DW34" s="20" t="n">
        <f aca="false">DS34*Slot11_SpendLike*MIN(Slot11_Cost-DV34,DO34)</f>
        <v>0</v>
      </c>
      <c r="DX34" s="20" t="n">
        <f aca="false">DV34+DW34</f>
        <v>0</v>
      </c>
      <c r="DY34" s="20" t="n">
        <f aca="false">DO34-DW34+DS34*IF(Slot11_SpendLike=1,DU34-DV34,IF(Slot11_PotFree=1,DU34,0))</f>
        <v>228580.749361976</v>
      </c>
      <c r="DZ34" s="20" t="n">
        <f aca="false">DP34+DS34*Slot11_BufPot*DU34</f>
        <v>14447.6014336946</v>
      </c>
      <c r="EA34" s="20" t="n">
        <f aca="false">IF(AND(DS34=1,Slot11_IsMfree=1),IF(DX34&gt;=Slot11_Cost-1,0,MAX(0,DQ34-DX34)),DQ34)</f>
        <v>0</v>
      </c>
      <c r="EB34" s="20" t="n">
        <f aca="false">DS34*(Slot11_Cost-DX34)</f>
        <v>0</v>
      </c>
      <c r="EC34" s="20" t="n">
        <f aca="false">IF(AND(Slot12_On=1,D34=Slot12_Age),1,0)</f>
        <v>0</v>
      </c>
      <c r="ED34" s="20" t="n">
        <f aca="false">IF(AND(Slot12_On=1,Slot12_Age&gt;D34),1,0)</f>
        <v>0</v>
      </c>
      <c r="EE34" s="20" t="n">
        <f aca="false">SE33</f>
        <v>0</v>
      </c>
      <c r="EF34" s="20" t="n">
        <f aca="false">EC34*MIN(Slot12_Cost,EE34)</f>
        <v>0</v>
      </c>
      <c r="EG34" s="20" t="n">
        <f aca="false">EC34*Slot12_SpendLike*MIN(Slot12_Cost-EF34,DY34)</f>
        <v>0</v>
      </c>
      <c r="EH34" s="20" t="n">
        <f aca="false">EF34+EG34</f>
        <v>0</v>
      </c>
      <c r="EI34" s="20" t="n">
        <f aca="false">DY34-EG34+EC34*IF(Slot12_SpendLike=1,EE34-EF34,IF(Slot12_PotFree=1,EE34,0))</f>
        <v>228580.749361976</v>
      </c>
      <c r="EJ34" s="20" t="n">
        <f aca="false">DZ34+EC34*Slot12_BufPot*EE34</f>
        <v>14447.6014336946</v>
      </c>
      <c r="EK34" s="20" t="n">
        <f aca="false">IF(AND(EC34=1,Slot12_IsMfree=1),IF(EH34&gt;=Slot12_Cost-1,0,MAX(0,EA34-EH34)),EA34)</f>
        <v>0</v>
      </c>
      <c r="EL34" s="20" t="n">
        <f aca="false">EC34*(Slot12_Cost-EH34)</f>
        <v>0</v>
      </c>
      <c r="EM34" s="20" t="n">
        <f aca="false">IF(AND(Slot13_On=1,D34=Slot13_Age),1,0)</f>
        <v>0</v>
      </c>
      <c r="EN34" s="20" t="n">
        <f aca="false">IF(AND(Slot13_On=1,Slot13_Age&gt;D34),1,0)</f>
        <v>0</v>
      </c>
      <c r="EO34" s="20" t="n">
        <f aca="false">SI33</f>
        <v>0</v>
      </c>
      <c r="EP34" s="20" t="n">
        <f aca="false">EM34*MIN(Slot13_Cost,EO34)</f>
        <v>0</v>
      </c>
      <c r="EQ34" s="20" t="n">
        <f aca="false">EM34*Slot13_SpendLike*MIN(Slot13_Cost-EP34,EI34)</f>
        <v>0</v>
      </c>
      <c r="ER34" s="20" t="n">
        <f aca="false">EP34+EQ34</f>
        <v>0</v>
      </c>
      <c r="ES34" s="20" t="n">
        <f aca="false">EI34-EQ34+EM34*IF(Slot13_SpendLike=1,EO34-EP34,IF(Slot13_PotFree=1,EO34,0))</f>
        <v>228580.749361976</v>
      </c>
      <c r="ET34" s="20" t="n">
        <f aca="false">EJ34+EM34*Slot13_BufPot*EO34</f>
        <v>14447.6014336946</v>
      </c>
      <c r="EU34" s="20" t="n">
        <f aca="false">IF(AND(EM34=1,Slot13_IsMfree=1),IF(ER34&gt;=Slot13_Cost-1,0,MAX(0,EK34-ER34)),EK34)</f>
        <v>0</v>
      </c>
      <c r="EV34" s="20" t="n">
        <f aca="false">EM34*(Slot13_Cost-ER34)</f>
        <v>0</v>
      </c>
      <c r="EW34" s="20" t="n">
        <f aca="false">IF(AND(Slot14_On=1,D34=Slot14_Age),1,0)</f>
        <v>0</v>
      </c>
      <c r="EX34" s="20" t="n">
        <f aca="false">IF(AND(Slot14_On=1,Slot14_Age&gt;D34),1,0)</f>
        <v>0</v>
      </c>
      <c r="EY34" s="20" t="n">
        <f aca="false">SM33</f>
        <v>0</v>
      </c>
      <c r="EZ34" s="20" t="n">
        <f aca="false">EW34*MIN(Slot14_Cost,EY34)</f>
        <v>0</v>
      </c>
      <c r="FA34" s="20" t="n">
        <f aca="false">EW34*Slot14_SpendLike*MIN(Slot14_Cost-EZ34,ES34)</f>
        <v>0</v>
      </c>
      <c r="FB34" s="20" t="n">
        <f aca="false">EZ34+FA34</f>
        <v>0</v>
      </c>
      <c r="FC34" s="20" t="n">
        <f aca="false">ES34-FA34+EW34*IF(Slot14_SpendLike=1,EY34-EZ34,IF(Slot14_PotFree=1,EY34,0))</f>
        <v>228580.749361976</v>
      </c>
      <c r="FD34" s="20" t="n">
        <f aca="false">ET34+EW34*Slot14_BufPot*EY34</f>
        <v>14447.6014336946</v>
      </c>
      <c r="FE34" s="20" t="n">
        <f aca="false">IF(AND(EW34=1,Slot14_IsMfree=1),IF(FB34&gt;=Slot14_Cost-1,0,MAX(0,EU34-FB34)),EU34)</f>
        <v>0</v>
      </c>
      <c r="FF34" s="20" t="n">
        <f aca="false">EW34*(Slot14_Cost-FB34)</f>
        <v>0</v>
      </c>
      <c r="FG34" s="20" t="n">
        <f aca="false">IF(AND(Slot15_On=1,D34=Slot15_Age),1,0)</f>
        <v>0</v>
      </c>
      <c r="FH34" s="20" t="n">
        <f aca="false">IF(AND(Slot15_On=1,Slot15_Age&gt;D34),1,0)</f>
        <v>0</v>
      </c>
      <c r="FI34" s="20" t="n">
        <f aca="false">SQ33</f>
        <v>0</v>
      </c>
      <c r="FJ34" s="20" t="n">
        <f aca="false">FG34*MIN(Slot15_Cost,FI34)</f>
        <v>0</v>
      </c>
      <c r="FK34" s="20" t="n">
        <f aca="false">FG34*Slot15_SpendLike*MIN(Slot15_Cost-FJ34,FC34)</f>
        <v>0</v>
      </c>
      <c r="FL34" s="20" t="n">
        <f aca="false">FJ34+FK34</f>
        <v>0</v>
      </c>
      <c r="FM34" s="20" t="n">
        <f aca="false">FC34-FK34+FG34*IF(Slot15_SpendLike=1,FI34-FJ34,IF(Slot15_PotFree=1,FI34,0))</f>
        <v>228580.749361976</v>
      </c>
      <c r="FN34" s="20" t="n">
        <f aca="false">FD34+FG34*Slot15_BufPot*FI34</f>
        <v>14447.6014336946</v>
      </c>
      <c r="FO34" s="20" t="n">
        <f aca="false">IF(AND(FG34=1,Slot15_IsMfree=1),IF(FL34&gt;=Slot15_Cost-1,0,MAX(0,FE34-FL34)),FE34)</f>
        <v>0</v>
      </c>
      <c r="FP34" s="20" t="n">
        <f aca="false">FG34*(Slot15_Cost-FL34)</f>
        <v>0</v>
      </c>
      <c r="FQ34" s="20" t="n">
        <f aca="false">IF(AND(Slot16_On=1,D34=Slot16_Age),1,0)</f>
        <v>0</v>
      </c>
      <c r="FR34" s="20" t="n">
        <f aca="false">IF(AND(Slot16_On=1,Slot16_Age&gt;D34),1,0)</f>
        <v>0</v>
      </c>
      <c r="FS34" s="20" t="n">
        <f aca="false">SU33</f>
        <v>0</v>
      </c>
      <c r="FT34" s="20" t="n">
        <f aca="false">FQ34*MIN(Slot16_Cost,FS34)</f>
        <v>0</v>
      </c>
      <c r="FU34" s="20" t="n">
        <f aca="false">FQ34*Slot16_SpendLike*MIN(Slot16_Cost-FT34,FM34)</f>
        <v>0</v>
      </c>
      <c r="FV34" s="20" t="n">
        <f aca="false">FT34+FU34</f>
        <v>0</v>
      </c>
      <c r="FW34" s="20" t="n">
        <f aca="false">FM34-FU34+FQ34*IF(Slot16_SpendLike=1,FS34-FT34,IF(Slot16_PotFree=1,FS34,0))</f>
        <v>228580.749361976</v>
      </c>
      <c r="FX34" s="20" t="n">
        <f aca="false">FN34+FQ34*Slot16_BufPot*FS34</f>
        <v>14447.6014336946</v>
      </c>
      <c r="FY34" s="20" t="n">
        <f aca="false">IF(AND(FQ34=1,Slot16_IsMfree=1),IF(FV34&gt;=Slot16_Cost-1,0,MAX(0,FO34-FV34)),FO34)</f>
        <v>0</v>
      </c>
      <c r="FZ34" s="20" t="n">
        <f aca="false">FQ34*(Slot16_Cost-FV34)</f>
        <v>0</v>
      </c>
      <c r="GA34" s="20" t="n">
        <f aca="false">IF(AND(Slot17_On=1,D34=Slot17_Age),1,0)</f>
        <v>0</v>
      </c>
      <c r="GB34" s="20" t="n">
        <f aca="false">IF(AND(Slot17_On=1,Slot17_Age&gt;D34),1,0)</f>
        <v>0</v>
      </c>
      <c r="GC34" s="20" t="n">
        <f aca="false">SY33</f>
        <v>0</v>
      </c>
      <c r="GD34" s="20" t="n">
        <f aca="false">GA34*MIN(Slot17_Cost,GC34)</f>
        <v>0</v>
      </c>
      <c r="GE34" s="20" t="n">
        <f aca="false">GA34*Slot17_SpendLike*MIN(Slot17_Cost-GD34,FW34)</f>
        <v>0</v>
      </c>
      <c r="GF34" s="20" t="n">
        <f aca="false">GD34+GE34</f>
        <v>0</v>
      </c>
      <c r="GG34" s="20" t="n">
        <f aca="false">FW34-GE34+GA34*IF(Slot17_SpendLike=1,GC34-GD34,IF(Slot17_PotFree=1,GC34,0))</f>
        <v>228580.749361976</v>
      </c>
      <c r="GH34" s="20" t="n">
        <f aca="false">FX34+GA34*Slot17_BufPot*GC34</f>
        <v>14447.6014336946</v>
      </c>
      <c r="GI34" s="20" t="n">
        <f aca="false">IF(AND(GA34=1,Slot17_IsMfree=1),IF(GF34&gt;=Slot17_Cost-1,0,MAX(0,FY34-GF34)),FY34)</f>
        <v>0</v>
      </c>
      <c r="GJ34" s="20" t="n">
        <f aca="false">GA34*(Slot17_Cost-GF34)</f>
        <v>0</v>
      </c>
      <c r="GK34" s="20" t="n">
        <f aca="false">IF(AND(Slot18_On=1,D34=Slot18_Age),1,0)</f>
        <v>0</v>
      </c>
      <c r="GL34" s="20" t="n">
        <f aca="false">IF(AND(Slot18_On=1,Slot18_Age&gt;D34),1,0)</f>
        <v>0</v>
      </c>
      <c r="GM34" s="20" t="n">
        <f aca="false">TC33</f>
        <v>0</v>
      </c>
      <c r="GN34" s="20" t="n">
        <f aca="false">GK34*MIN(Slot18_Cost,GM34)</f>
        <v>0</v>
      </c>
      <c r="GO34" s="20" t="n">
        <f aca="false">GK34*Slot18_SpendLike*MIN(Slot18_Cost-GN34,GG34)</f>
        <v>0</v>
      </c>
      <c r="GP34" s="20" t="n">
        <f aca="false">GN34+GO34</f>
        <v>0</v>
      </c>
      <c r="GQ34" s="20" t="n">
        <f aca="false">GG34-GO34+GK34*IF(Slot18_SpendLike=1,GM34-GN34,IF(Slot18_PotFree=1,GM34,0))</f>
        <v>228580.749361976</v>
      </c>
      <c r="GR34" s="20" t="n">
        <f aca="false">GH34+GK34*Slot18_BufPot*GM34</f>
        <v>14447.6014336946</v>
      </c>
      <c r="GS34" s="20" t="n">
        <f aca="false">IF(AND(GK34=1,Slot18_IsMfree=1),IF(GP34&gt;=Slot18_Cost-1,0,MAX(0,GI34-GP34)),GI34)</f>
        <v>0</v>
      </c>
      <c r="GT34" s="20" t="n">
        <f aca="false">GK34*(Slot18_Cost-GP34)</f>
        <v>0</v>
      </c>
      <c r="GU34" s="20" t="n">
        <f aca="false">IF(AND(Slot19_On=1,D34=Slot19_Age),1,0)</f>
        <v>0</v>
      </c>
      <c r="GV34" s="20" t="n">
        <f aca="false">IF(AND(Slot19_On=1,Slot19_Age&gt;D34),1,0)</f>
        <v>0</v>
      </c>
      <c r="GW34" s="20" t="n">
        <f aca="false">TG33</f>
        <v>0</v>
      </c>
      <c r="GX34" s="20" t="n">
        <f aca="false">GU34*MIN(Slot19_Cost,GW34)</f>
        <v>0</v>
      </c>
      <c r="GY34" s="20" t="n">
        <f aca="false">GU34*Slot19_SpendLike*MIN(Slot19_Cost-GX34,GQ34)</f>
        <v>0</v>
      </c>
      <c r="GZ34" s="20" t="n">
        <f aca="false">GX34+GY34</f>
        <v>0</v>
      </c>
      <c r="HA34" s="20" t="n">
        <f aca="false">GQ34-GY34+GU34*IF(Slot19_SpendLike=1,GW34-GX34,IF(Slot19_PotFree=1,GW34,0))</f>
        <v>228580.749361976</v>
      </c>
      <c r="HB34" s="20" t="n">
        <f aca="false">GR34+GU34*Slot19_BufPot*GW34</f>
        <v>14447.6014336946</v>
      </c>
      <c r="HC34" s="20" t="n">
        <f aca="false">IF(AND(GU34=1,Slot19_IsMfree=1),IF(GZ34&gt;=Slot19_Cost-1,0,MAX(0,GS34-GZ34)),GS34)</f>
        <v>0</v>
      </c>
      <c r="HD34" s="20" t="n">
        <f aca="false">GU34*(Slot19_Cost-GZ34)</f>
        <v>0</v>
      </c>
      <c r="HE34" s="20" t="n">
        <f aca="false">IF(AND(Slot20_On=1,D34=Slot20_Age),1,0)</f>
        <v>0</v>
      </c>
      <c r="HF34" s="20" t="n">
        <f aca="false">IF(AND(Slot20_On=1,Slot20_Age&gt;D34),1,0)</f>
        <v>0</v>
      </c>
      <c r="HG34" s="20" t="n">
        <f aca="false">TK33</f>
        <v>0</v>
      </c>
      <c r="HH34" s="20" t="n">
        <f aca="false">HE34*MIN(Slot20_Cost,HG34)</f>
        <v>0</v>
      </c>
      <c r="HI34" s="20" t="n">
        <f aca="false">HE34*Slot20_SpendLike*MIN(Slot20_Cost-HH34,HA34)</f>
        <v>0</v>
      </c>
      <c r="HJ34" s="20" t="n">
        <f aca="false">HH34+HI34</f>
        <v>0</v>
      </c>
      <c r="HK34" s="20" t="n">
        <f aca="false">HA34-HI34+HE34*IF(Slot20_SpendLike=1,HG34-HH34,IF(Slot20_PotFree=1,HG34,0))</f>
        <v>228580.749361976</v>
      </c>
      <c r="HL34" s="20" t="n">
        <f aca="false">HB34+HE34*Slot20_BufPot*HG34</f>
        <v>14447.6014336946</v>
      </c>
      <c r="HM34" s="20" t="n">
        <f aca="false">IF(AND(HE34=1,Slot20_IsMfree=1),IF(HJ34&gt;=Slot20_Cost-1,0,MAX(0,HC34-HJ34)),HC34)</f>
        <v>0</v>
      </c>
      <c r="HN34" s="20" t="n">
        <f aca="false">HE34*(Slot20_Cost-HJ34)</f>
        <v>0</v>
      </c>
      <c r="HO34" s="20" t="n">
        <f aca="false">V34*Slot1_SpendLike*AA34+AG34*Slot2_SpendLike*AL34+AQ34*Slot3_SpendLike*AV34+BA34*Slot4_SpendLike*BF34+BK34*Slot5_SpendLike*BP34+BU34*Slot6_SpendLike*BZ34+CE34*Slot7_SpendLike*CJ34+CO34*Slot8_SpendLike*CT34+CY34*Slot9_SpendLike*DD34+DI34*Slot10_SpendLike*DN34+DS34*Slot11_SpendLike*DX34+EC34*Slot12_SpendLike*EH34+EM34*Slot13_SpendLike*ER34+EW34*Slot14_SpendLike*FB34+FG34*Slot15_SpendLike*FL34+FQ34*Slot16_SpendLike*FV34+GA34*Slot17_SpendLike*GF34+GK34*Slot18_SpendLike*GP34+GU34*Slot19_SpendLike*GZ34+HE34*Slot20_SpendLike*HJ34</f>
        <v>0</v>
      </c>
      <c r="HP34" s="20" t="n">
        <f aca="false">AE34+AP34+AZ34+BJ34+BT34+CD34+CN34+CX34+DH34+DR34+EB34+EL34+EV34+FF34+FP34+FZ34+GJ34+GT34+HD34+HN34</f>
        <v>0</v>
      </c>
      <c r="HQ34" s="20" t="n">
        <f aca="false">V34*Slot1_Cost+AG34*Slot2_Cost+AQ34*Slot3_Cost+BA34*Slot4_Cost+BK34*Slot5_Cost+BU34*Slot6_Cost+CE34*Slot7_Cost+CO34*Slot8_Cost+CY34*Slot9_Cost+DI34*Slot10_Cost+DS34*Slot11_Cost+EC34*Slot12_Cost+EM34*Slot13_Cost+EW34*Slot14_Cost+FG34*Slot15_Cost+FQ34*Slot16_Cost+GA34*Slot17_Cost+GK34*Slot18_Cost+GU34*Slot19_Cost+HE34*Slot20_Cost</f>
        <v>0</v>
      </c>
      <c r="HR34" s="20" t="n">
        <f aca="false">HM34</f>
        <v>0</v>
      </c>
      <c r="HS34" s="20" t="n">
        <f aca="false">H34-I34-S34</f>
        <v>-21353.8537723578</v>
      </c>
      <c r="HT34" s="20" t="n">
        <f aca="false">IF(B34=0,IF(AND(Has_q6=1,In_q6=4),PR_ShareVaries*(MAX(0,HS34)/12),MIN(IF(Has_q6=1,CHOOSE(In_q6+1,PR_SaveB1,PR_SaveB2,PR_SaveB3,PR_SaveB4,0),AS_NoAnswer),AS_SaveShare*(MAX(0,HS34)/12))),HT33)</f>
        <v>67.3316893520437</v>
      </c>
      <c r="HU34" s="20" t="n">
        <f aca="false">IF(HS34&gt;=0,1,0)</f>
        <v>0</v>
      </c>
      <c r="HV34" s="20" t="n">
        <f aca="false">MAX(0,HS34/12/F34)</f>
        <v>0</v>
      </c>
      <c r="HW34" s="20" t="n">
        <f aca="false">IF(AND(Has_q6=1,In_q6=4),PR_ShareVaries*(HV34),MIN(IF(Has_q6=1,CHOOSE(In_q6+1,PR_SaveB1,PR_SaveB2,PR_SaveB3,PR_SaveB4,0),AS_NoAnswer),AS_SaveShare*(HV34)))</f>
        <v>0</v>
      </c>
      <c r="HX34" s="20" t="n">
        <f aca="false">IF(Has_saveM=1,IF(In_saveUp="Yes",1,IF(In_saveUp="No",0,IF(In_saveM&gt;=HT34-0.5,1,0))),0)</f>
        <v>0</v>
      </c>
      <c r="HY34" s="20" t="n">
        <f aca="false">IF(Has_saveM=1,MIN(HV34,IF(HX34=1,MAX(In_saveM,HW34),MIN(In_saveM,HW34))),HW34)</f>
        <v>0</v>
      </c>
      <c r="HZ34" s="20" t="n">
        <f aca="false">IF(G34=1,HY34*12*F34,0)</f>
        <v>0</v>
      </c>
      <c r="IA34" s="20" t="n">
        <f aca="false">MAX(0,HZ34+IF(AND(WI_Retire=0,WI_M&lt;0,G34=1),WI_M*12*F34,0))</f>
        <v>0</v>
      </c>
      <c r="IB34" s="20" t="n">
        <f aca="false">Slot1_IsWG*W34+Slot2_IsWG*AH34+Slot3_IsWG*AR34+Slot4_IsWG*BB34+Slot5_IsWG*BL34+Slot6_IsWG*BV34+Slot7_IsWG*CF34+Slot8_IsWG*CP34+Slot9_IsWG*CZ34+Slot10_IsWG*DJ34+Slot11_IsWG*DT34+Slot12_IsWG*ED34+Slot13_IsWG*EN34+Slot14_IsWG*EX34+Slot15_IsWG*FH34+Slot16_IsWG*FR34+Slot17_IsWG*GB34+Slot18_IsWG*GL34+Slot19_IsWG*GV34+Slot20_IsWG*HF34</f>
        <v>0</v>
      </c>
      <c r="IC34" s="20" t="n">
        <f aca="false">IF(AND(WI_Retire=0,WI_M&gt;0,G34=1,IB34&gt;=1),WI_M*12*F34,0)</f>
        <v>0</v>
      </c>
      <c r="ID34" s="20" t="n">
        <f aca="false">IF(HU34=1,MIN(IA34,HS34),0)</f>
        <v>0</v>
      </c>
      <c r="IE34" s="20" t="n">
        <f aca="false">IF(HU34=1,MIN(IC34,HS34-ID34),0)</f>
        <v>0</v>
      </c>
      <c r="IF34" s="20" t="n">
        <f aca="false">IF(W34=1,IF(ABS((1+AS_Wage)/(1+Slot1_Rate)-1)&lt;0.000000000001,(Slot1_Age-D34)*(1+Slot1_Rate)^(Slot1_Age-D34),(1+Slot1_Rate)^(Slot1_Age-D34)*(1-((1+AS_Wage)/(1+Slot1_Rate))^(Slot1_Age-D34))/(1-(1+AS_Wage)/(1+Slot1_Rate))),1)</f>
        <v>1</v>
      </c>
      <c r="IG34" s="20" t="n">
        <f aca="false">IF(AND(HU34=1,IE34&gt;0,Slot1_IsWG=1,W34=1),MAX(0,(Slot1_Cost-X34*(1+Slot1_Rate)^(Slot1_Age-D34))/IF34),0)</f>
        <v>0</v>
      </c>
      <c r="IH34" s="20" t="n">
        <f aca="false">IF(AND(HU34=1,IE34&gt;0,Slot1_IsWG=1,W34=1),MIN(IE34,IG34),0)</f>
        <v>0</v>
      </c>
      <c r="II34" s="20" t="n">
        <f aca="false">X34+IH34</f>
        <v>0</v>
      </c>
      <c r="IJ34" s="20" t="n">
        <f aca="false">IF(W34=1,MAX(0,(Slot1_Cost-II34*(1+Slot1_Rate)^(Slot1_Age-D34))/IF34),0)</f>
        <v>0</v>
      </c>
      <c r="IK34" s="20" t="n">
        <f aca="false">IF(W34=1,MAX(0,(Slot1_Cost-X34*(1+Slot1_Rate)^(Slot1_Age-D34))/IF34),0)</f>
        <v>0</v>
      </c>
      <c r="IL34" s="20" t="n">
        <f aca="false">IF(AND(HU34=1,W34=1),MIN(ID34,IJ34),0)</f>
        <v>0</v>
      </c>
      <c r="IM34" s="20" t="n">
        <f aca="false">ID34-IL34</f>
        <v>0</v>
      </c>
      <c r="IN34" s="20" t="n">
        <f aca="false">IF(AH34=1,IF(ABS((1+AS_Wage)/(1+Slot2_Rate)-1)&lt;0.000000000001,(Slot2_Age-D34)*(1+Slot2_Rate)^(Slot2_Age-D34),(1+Slot2_Rate)^(Slot2_Age-D34)*(1-((1+AS_Wage)/(1+Slot2_Rate))^(Slot2_Age-D34))/(1-(1+AS_Wage)/(1+Slot2_Rate))),1)</f>
        <v>1</v>
      </c>
      <c r="IO34" s="20" t="n">
        <f aca="false">IF(AND(HU34=1,IE34&gt;0,Slot2_IsWG=1,AH34=1),MAX(0,(Slot2_Cost-AI34*(1+Slot2_Rate)^(Slot2_Age-D34))/IN34),0)</f>
        <v>0</v>
      </c>
      <c r="IP34" s="20" t="n">
        <f aca="false">IF(AND(HU34=1,IE34&gt;0,Slot2_IsWG=1,AH34=1),MIN(IE34,IO34),0)</f>
        <v>0</v>
      </c>
      <c r="IQ34" s="20" t="n">
        <f aca="false">AI34+IP34</f>
        <v>0</v>
      </c>
      <c r="IR34" s="20" t="n">
        <f aca="false">IF(AH34=1,MAX(0,(Slot2_Cost-IQ34*(1+Slot2_Rate)^(Slot2_Age-D34))/IN34),0)</f>
        <v>0</v>
      </c>
      <c r="IS34" s="20" t="n">
        <f aca="false">IF(AH34=1,MAX(0,(Slot2_Cost-AI34*(1+Slot2_Rate)^(Slot2_Age-D34))/IN34),0)</f>
        <v>0</v>
      </c>
      <c r="IT34" s="20" t="n">
        <f aca="false">IF(AND(HU34=1,AH34=1),MIN(IM34,IR34),0)</f>
        <v>0</v>
      </c>
      <c r="IU34" s="20" t="n">
        <f aca="false">IM34-IT34</f>
        <v>0</v>
      </c>
      <c r="IV34" s="20" t="n">
        <f aca="false">IF(AR34=1,IF(ABS((1+AS_Wage)/(1+Slot3_Rate)-1)&lt;0.000000000001,(Slot3_Age-D34)*(1+Slot3_Rate)^(Slot3_Age-D34),(1+Slot3_Rate)^(Slot3_Age-D34)*(1-((1+AS_Wage)/(1+Slot3_Rate))^(Slot3_Age-D34))/(1-(1+AS_Wage)/(1+Slot3_Rate))),1)</f>
        <v>1</v>
      </c>
      <c r="IW34" s="20" t="n">
        <f aca="false">IF(AND(HU34=1,IE34&gt;0,Slot3_IsWG=1,AR34=1),MAX(0,(Slot3_Cost-AS34*(1+Slot3_Rate)^(Slot3_Age-D34))/IV34),0)</f>
        <v>0</v>
      </c>
      <c r="IX34" s="20" t="n">
        <f aca="false">IF(AND(HU34=1,IE34&gt;0,Slot3_IsWG=1,AR34=1),MIN(IE34,IW34),0)</f>
        <v>0</v>
      </c>
      <c r="IY34" s="20" t="n">
        <f aca="false">AS34+IX34</f>
        <v>0</v>
      </c>
      <c r="IZ34" s="20" t="n">
        <f aca="false">IF(AR34=1,MAX(0,(Slot3_Cost-IY34*(1+Slot3_Rate)^(Slot3_Age-D34))/IV34),0)</f>
        <v>0</v>
      </c>
      <c r="JA34" s="20" t="n">
        <f aca="false">IF(AR34=1,MAX(0,(Slot3_Cost-AS34*(1+Slot3_Rate)^(Slot3_Age-D34))/IV34),0)</f>
        <v>0</v>
      </c>
      <c r="JB34" s="20" t="n">
        <f aca="false">IF(AND(HU34=1,AR34=1),MIN(IU34,IZ34),0)</f>
        <v>0</v>
      </c>
      <c r="JC34" s="20" t="n">
        <f aca="false">IU34-JB34</f>
        <v>0</v>
      </c>
      <c r="JD34" s="20" t="n">
        <f aca="false">IF(BB34=1,IF(ABS((1+AS_Wage)/(1+Slot4_Rate)-1)&lt;0.000000000001,(Slot4_Age-D34)*(1+Slot4_Rate)^(Slot4_Age-D34),(1+Slot4_Rate)^(Slot4_Age-D34)*(1-((1+AS_Wage)/(1+Slot4_Rate))^(Slot4_Age-D34))/(1-(1+AS_Wage)/(1+Slot4_Rate))),1)</f>
        <v>1</v>
      </c>
      <c r="JE34" s="20" t="n">
        <f aca="false">IF(AND(HU34=1,IE34&gt;0,Slot4_IsWG=1,BB34=1),MAX(0,(Slot4_Cost-BC34*(1+Slot4_Rate)^(Slot4_Age-D34))/JD34),0)</f>
        <v>0</v>
      </c>
      <c r="JF34" s="20" t="n">
        <f aca="false">IF(AND(HU34=1,IE34&gt;0,Slot4_IsWG=1,BB34=1),MIN(IE34,JE34),0)</f>
        <v>0</v>
      </c>
      <c r="JG34" s="20" t="n">
        <f aca="false">BC34+JF34</f>
        <v>0</v>
      </c>
      <c r="JH34" s="20" t="n">
        <f aca="false">IF(BB34=1,MAX(0,(Slot4_Cost-JG34*(1+Slot4_Rate)^(Slot4_Age-D34))/JD34),0)</f>
        <v>0</v>
      </c>
      <c r="JI34" s="20" t="n">
        <f aca="false">IF(BB34=1,MAX(0,(Slot4_Cost-BC34*(1+Slot4_Rate)^(Slot4_Age-D34))/JD34),0)</f>
        <v>0</v>
      </c>
      <c r="JJ34" s="20" t="n">
        <f aca="false">IF(AND(HU34=1,BB34=1),MIN(JC34,JH34),0)</f>
        <v>0</v>
      </c>
      <c r="JK34" s="20" t="n">
        <f aca="false">JC34-JJ34</f>
        <v>0</v>
      </c>
      <c r="JL34" s="20" t="n">
        <f aca="false">IF(BL34=1,IF(ABS((1+AS_Wage)/(1+Slot5_Rate)-1)&lt;0.000000000001,(Slot5_Age-D34)*(1+Slot5_Rate)^(Slot5_Age-D34),(1+Slot5_Rate)^(Slot5_Age-D34)*(1-((1+AS_Wage)/(1+Slot5_Rate))^(Slot5_Age-D34))/(1-(1+AS_Wage)/(1+Slot5_Rate))),1)</f>
        <v>1</v>
      </c>
      <c r="JM34" s="20" t="n">
        <f aca="false">IF(AND(HU34=1,IE34&gt;0,Slot5_IsWG=1,BL34=1),MAX(0,(Slot5_Cost-BM34*(1+Slot5_Rate)^(Slot5_Age-D34))/JL34),0)</f>
        <v>0</v>
      </c>
      <c r="JN34" s="20" t="n">
        <f aca="false">IF(AND(HU34=1,IE34&gt;0,Slot5_IsWG=1,BL34=1),MIN(IE34,JM34),0)</f>
        <v>0</v>
      </c>
      <c r="JO34" s="20" t="n">
        <f aca="false">BM34+JN34</f>
        <v>0</v>
      </c>
      <c r="JP34" s="20" t="n">
        <f aca="false">IF(BL34=1,MAX(0,(Slot5_Cost-JO34*(1+Slot5_Rate)^(Slot5_Age-D34))/JL34),0)</f>
        <v>0</v>
      </c>
      <c r="JQ34" s="20" t="n">
        <f aca="false">IF(BL34=1,MAX(0,(Slot5_Cost-BM34*(1+Slot5_Rate)^(Slot5_Age-D34))/JL34),0)</f>
        <v>0</v>
      </c>
      <c r="JR34" s="20" t="n">
        <f aca="false">IF(AND(HU34=1,BL34=1),MIN(JK34,JP34),0)</f>
        <v>0</v>
      </c>
      <c r="JS34" s="20" t="n">
        <f aca="false">JK34-JR34</f>
        <v>0</v>
      </c>
      <c r="JT34" s="20" t="n">
        <f aca="false">IF(BV34=1,IF(ABS((1+AS_Wage)/(1+Slot6_Rate)-1)&lt;0.000000000001,(Slot6_Age-D34)*(1+Slot6_Rate)^(Slot6_Age-D34),(1+Slot6_Rate)^(Slot6_Age-D34)*(1-((1+AS_Wage)/(1+Slot6_Rate))^(Slot6_Age-D34))/(1-(1+AS_Wage)/(1+Slot6_Rate))),1)</f>
        <v>1</v>
      </c>
      <c r="JU34" s="20" t="n">
        <f aca="false">IF(AND(HU34=1,IE34&gt;0,Slot6_IsWG=1,BV34=1),MAX(0,(Slot6_Cost-BW34*(1+Slot6_Rate)^(Slot6_Age-D34))/JT34),0)</f>
        <v>0</v>
      </c>
      <c r="JV34" s="20" t="n">
        <f aca="false">IF(AND(HU34=1,IE34&gt;0,Slot6_IsWG=1,BV34=1),MIN(IE34,JU34),0)</f>
        <v>0</v>
      </c>
      <c r="JW34" s="20" t="n">
        <f aca="false">BW34+JV34</f>
        <v>0</v>
      </c>
      <c r="JX34" s="20" t="n">
        <f aca="false">IF(BV34=1,MAX(0,(Slot6_Cost-JW34*(1+Slot6_Rate)^(Slot6_Age-D34))/JT34),0)</f>
        <v>0</v>
      </c>
      <c r="JY34" s="20" t="n">
        <f aca="false">IF(BV34=1,MAX(0,(Slot6_Cost-BW34*(1+Slot6_Rate)^(Slot6_Age-D34))/JT34),0)</f>
        <v>0</v>
      </c>
      <c r="JZ34" s="20" t="n">
        <f aca="false">IF(AND(HU34=1,BV34=1),MIN(JS34,JX34),0)</f>
        <v>0</v>
      </c>
      <c r="KA34" s="20" t="n">
        <f aca="false">JS34-JZ34</f>
        <v>0</v>
      </c>
      <c r="KB34" s="20" t="n">
        <f aca="false">IF(CF34=1,IF(ABS((1+AS_Wage)/(1+Slot7_Rate)-1)&lt;0.000000000001,(Slot7_Age-D34)*(1+Slot7_Rate)^(Slot7_Age-D34),(1+Slot7_Rate)^(Slot7_Age-D34)*(1-((1+AS_Wage)/(1+Slot7_Rate))^(Slot7_Age-D34))/(1-(1+AS_Wage)/(1+Slot7_Rate))),1)</f>
        <v>1</v>
      </c>
      <c r="KC34" s="20" t="n">
        <f aca="false">IF(AND(HU34=1,IE34&gt;0,Slot7_IsWG=1,CF34=1),MAX(0,(Slot7_Cost-CG34*(1+Slot7_Rate)^(Slot7_Age-D34))/KB34),0)</f>
        <v>0</v>
      </c>
      <c r="KD34" s="20" t="n">
        <f aca="false">IF(AND(HU34=1,IE34&gt;0,Slot7_IsWG=1,CF34=1),MIN(IE34,KC34),0)</f>
        <v>0</v>
      </c>
      <c r="KE34" s="20" t="n">
        <f aca="false">CG34+KD34</f>
        <v>0</v>
      </c>
      <c r="KF34" s="20" t="n">
        <f aca="false">IF(CF34=1,MAX(0,(Slot7_Cost-KE34*(1+Slot7_Rate)^(Slot7_Age-D34))/KB34),0)</f>
        <v>0</v>
      </c>
      <c r="KG34" s="20" t="n">
        <f aca="false">IF(CF34=1,MAX(0,(Slot7_Cost-CG34*(1+Slot7_Rate)^(Slot7_Age-D34))/KB34),0)</f>
        <v>0</v>
      </c>
      <c r="KH34" s="20" t="n">
        <f aca="false">IF(AND(HU34=1,CF34=1),MIN(KA34,KF34),0)</f>
        <v>0</v>
      </c>
      <c r="KI34" s="20" t="n">
        <f aca="false">KA34-KH34</f>
        <v>0</v>
      </c>
      <c r="KJ34" s="20" t="n">
        <f aca="false">IF(CP34=1,IF(ABS((1+AS_Wage)/(1+Slot8_Rate)-1)&lt;0.000000000001,(Slot8_Age-D34)*(1+Slot8_Rate)^(Slot8_Age-D34),(1+Slot8_Rate)^(Slot8_Age-D34)*(1-((1+AS_Wage)/(1+Slot8_Rate))^(Slot8_Age-D34))/(1-(1+AS_Wage)/(1+Slot8_Rate))),1)</f>
        <v>1</v>
      </c>
      <c r="KK34" s="20" t="n">
        <f aca="false">IF(AND(HU34=1,IE34&gt;0,Slot8_IsWG=1,CP34=1),MAX(0,(Slot8_Cost-CQ34*(1+Slot8_Rate)^(Slot8_Age-D34))/KJ34),0)</f>
        <v>0</v>
      </c>
      <c r="KL34" s="20" t="n">
        <f aca="false">IF(AND(HU34=1,IE34&gt;0,Slot8_IsWG=1,CP34=1),MIN(IE34,KK34),0)</f>
        <v>0</v>
      </c>
      <c r="KM34" s="20" t="n">
        <f aca="false">CQ34+KL34</f>
        <v>0</v>
      </c>
      <c r="KN34" s="20" t="n">
        <f aca="false">IF(CP34=1,MAX(0,(Slot8_Cost-KM34*(1+Slot8_Rate)^(Slot8_Age-D34))/KJ34),0)</f>
        <v>0</v>
      </c>
      <c r="KO34" s="20" t="n">
        <f aca="false">IF(CP34=1,MAX(0,(Slot8_Cost-CQ34*(1+Slot8_Rate)^(Slot8_Age-D34))/KJ34),0)</f>
        <v>0</v>
      </c>
      <c r="KP34" s="20" t="n">
        <f aca="false">IF(AND(HU34=1,CP34=1),MIN(KI34,KN34),0)</f>
        <v>0</v>
      </c>
      <c r="KQ34" s="20" t="n">
        <f aca="false">KI34-KP34</f>
        <v>0</v>
      </c>
      <c r="KR34" s="20" t="n">
        <f aca="false">IF(CZ34=1,IF(ABS((1+AS_Wage)/(1+Slot9_Rate)-1)&lt;0.000000000001,(Slot9_Age-D34)*(1+Slot9_Rate)^(Slot9_Age-D34),(1+Slot9_Rate)^(Slot9_Age-D34)*(1-((1+AS_Wage)/(1+Slot9_Rate))^(Slot9_Age-D34))/(1-(1+AS_Wage)/(1+Slot9_Rate))),1)</f>
        <v>1</v>
      </c>
      <c r="KS34" s="20" t="n">
        <f aca="false">IF(AND(HU34=1,IE34&gt;0,Slot9_IsWG=1,CZ34=1),MAX(0,(Slot9_Cost-DA34*(1+Slot9_Rate)^(Slot9_Age-D34))/KR34),0)</f>
        <v>0</v>
      </c>
      <c r="KT34" s="20" t="n">
        <f aca="false">IF(AND(HU34=1,IE34&gt;0,Slot9_IsWG=1,CZ34=1),MIN(IE34,KS34),0)</f>
        <v>0</v>
      </c>
      <c r="KU34" s="20" t="n">
        <f aca="false">DA34+KT34</f>
        <v>0</v>
      </c>
      <c r="KV34" s="20" t="n">
        <f aca="false">IF(CZ34=1,MAX(0,(Slot9_Cost-KU34*(1+Slot9_Rate)^(Slot9_Age-D34))/KR34),0)</f>
        <v>0</v>
      </c>
      <c r="KW34" s="20" t="n">
        <f aca="false">IF(CZ34=1,MAX(0,(Slot9_Cost-DA34*(1+Slot9_Rate)^(Slot9_Age-D34))/KR34),0)</f>
        <v>0</v>
      </c>
      <c r="KX34" s="20" t="n">
        <f aca="false">IF(AND(HU34=1,CZ34=1),MIN(KQ34,KV34),0)</f>
        <v>0</v>
      </c>
      <c r="KY34" s="20" t="n">
        <f aca="false">KQ34-KX34</f>
        <v>0</v>
      </c>
      <c r="KZ34" s="20" t="n">
        <f aca="false">IF(DJ34=1,IF(ABS((1+AS_Wage)/(1+Slot10_Rate)-1)&lt;0.000000000001,(Slot10_Age-D34)*(1+Slot10_Rate)^(Slot10_Age-D34),(1+Slot10_Rate)^(Slot10_Age-D34)*(1-((1+AS_Wage)/(1+Slot10_Rate))^(Slot10_Age-D34))/(1-(1+AS_Wage)/(1+Slot10_Rate))),1)</f>
        <v>1</v>
      </c>
      <c r="LA34" s="20" t="n">
        <f aca="false">IF(AND(HU34=1,IE34&gt;0,Slot10_IsWG=1,DJ34=1),MAX(0,(Slot10_Cost-DK34*(1+Slot10_Rate)^(Slot10_Age-D34))/KZ34),0)</f>
        <v>0</v>
      </c>
      <c r="LB34" s="20" t="n">
        <f aca="false">IF(AND(HU34=1,IE34&gt;0,Slot10_IsWG=1,DJ34=1),MIN(IE34,LA34),0)</f>
        <v>0</v>
      </c>
      <c r="LC34" s="20" t="n">
        <f aca="false">DK34+LB34</f>
        <v>0</v>
      </c>
      <c r="LD34" s="20" t="n">
        <f aca="false">IF(DJ34=1,MAX(0,(Slot10_Cost-LC34*(1+Slot10_Rate)^(Slot10_Age-D34))/KZ34),0)</f>
        <v>0</v>
      </c>
      <c r="LE34" s="20" t="n">
        <f aca="false">IF(DJ34=1,MAX(0,(Slot10_Cost-DK34*(1+Slot10_Rate)^(Slot10_Age-D34))/KZ34),0)</f>
        <v>0</v>
      </c>
      <c r="LF34" s="20" t="n">
        <f aca="false">IF(AND(HU34=1,DJ34=1),MIN(KY34,LD34),0)</f>
        <v>0</v>
      </c>
      <c r="LG34" s="20" t="n">
        <f aca="false">KY34-LF34</f>
        <v>0</v>
      </c>
      <c r="LH34" s="20" t="n">
        <f aca="false">IF(DT34=1,IF(ABS((1+AS_Wage)/(1+Slot11_Rate)-1)&lt;0.000000000001,(Slot11_Age-D34)*(1+Slot11_Rate)^(Slot11_Age-D34),(1+Slot11_Rate)^(Slot11_Age-D34)*(1-((1+AS_Wage)/(1+Slot11_Rate))^(Slot11_Age-D34))/(1-(1+AS_Wage)/(1+Slot11_Rate))),1)</f>
        <v>1</v>
      </c>
      <c r="LI34" s="20" t="n">
        <f aca="false">IF(AND(HU34=1,IE34&gt;0,Slot11_IsWG=1,DT34=1),MAX(0,(Slot11_Cost-DU34*(1+Slot11_Rate)^(Slot11_Age-D34))/LH34),0)</f>
        <v>0</v>
      </c>
      <c r="LJ34" s="20" t="n">
        <f aca="false">IF(AND(HU34=1,IE34&gt;0,Slot11_IsWG=1,DT34=1),MIN(IE34,LI34),0)</f>
        <v>0</v>
      </c>
      <c r="LK34" s="20" t="n">
        <f aca="false">DU34+LJ34</f>
        <v>0</v>
      </c>
      <c r="LL34" s="20" t="n">
        <f aca="false">IF(DT34=1,MAX(0,(Slot11_Cost-LK34*(1+Slot11_Rate)^(Slot11_Age-D34))/LH34),0)</f>
        <v>0</v>
      </c>
      <c r="LM34" s="20" t="n">
        <f aca="false">IF(DT34=1,MAX(0,(Slot11_Cost-DU34*(1+Slot11_Rate)^(Slot11_Age-D34))/LH34),0)</f>
        <v>0</v>
      </c>
      <c r="LN34" s="20" t="n">
        <f aca="false">IF(AND(HU34=1,DT34=1),MIN(LG34,LL34),0)</f>
        <v>0</v>
      </c>
      <c r="LO34" s="20" t="n">
        <f aca="false">LG34-LN34</f>
        <v>0</v>
      </c>
      <c r="LP34" s="20" t="n">
        <f aca="false">IF(ED34=1,IF(ABS((1+AS_Wage)/(1+Slot12_Rate)-1)&lt;0.000000000001,(Slot12_Age-D34)*(1+Slot12_Rate)^(Slot12_Age-D34),(1+Slot12_Rate)^(Slot12_Age-D34)*(1-((1+AS_Wage)/(1+Slot12_Rate))^(Slot12_Age-D34))/(1-(1+AS_Wage)/(1+Slot12_Rate))),1)</f>
        <v>1</v>
      </c>
      <c r="LQ34" s="20" t="n">
        <f aca="false">IF(AND(HU34=1,IE34&gt;0,Slot12_IsWG=1,ED34=1),MAX(0,(Slot12_Cost-EE34*(1+Slot12_Rate)^(Slot12_Age-D34))/LP34),0)</f>
        <v>0</v>
      </c>
      <c r="LR34" s="20" t="n">
        <f aca="false">IF(AND(HU34=1,IE34&gt;0,Slot12_IsWG=1,ED34=1),MIN(IE34,LQ34),0)</f>
        <v>0</v>
      </c>
      <c r="LS34" s="20" t="n">
        <f aca="false">EE34+LR34</f>
        <v>0</v>
      </c>
      <c r="LT34" s="20" t="n">
        <f aca="false">IF(ED34=1,MAX(0,(Slot12_Cost-LS34*(1+Slot12_Rate)^(Slot12_Age-D34))/LP34),0)</f>
        <v>0</v>
      </c>
      <c r="LU34" s="20" t="n">
        <f aca="false">IF(ED34=1,MAX(0,(Slot12_Cost-EE34*(1+Slot12_Rate)^(Slot12_Age-D34))/LP34),0)</f>
        <v>0</v>
      </c>
      <c r="LV34" s="20" t="n">
        <f aca="false">IF(AND(HU34=1,ED34=1),MIN(LO34,LT34),0)</f>
        <v>0</v>
      </c>
      <c r="LW34" s="20" t="n">
        <f aca="false">LO34-LV34</f>
        <v>0</v>
      </c>
      <c r="LX34" s="20" t="n">
        <f aca="false">IF(EN34=1,IF(ABS((1+AS_Wage)/(1+Slot13_Rate)-1)&lt;0.000000000001,(Slot13_Age-D34)*(1+Slot13_Rate)^(Slot13_Age-D34),(1+Slot13_Rate)^(Slot13_Age-D34)*(1-((1+AS_Wage)/(1+Slot13_Rate))^(Slot13_Age-D34))/(1-(1+AS_Wage)/(1+Slot13_Rate))),1)</f>
        <v>1</v>
      </c>
      <c r="LY34" s="20" t="n">
        <f aca="false">IF(AND(HU34=1,IE34&gt;0,Slot13_IsWG=1,EN34=1),MAX(0,(Slot13_Cost-EO34*(1+Slot13_Rate)^(Slot13_Age-D34))/LX34),0)</f>
        <v>0</v>
      </c>
      <c r="LZ34" s="20" t="n">
        <f aca="false">IF(AND(HU34=1,IE34&gt;0,Slot13_IsWG=1,EN34=1),MIN(IE34,LY34),0)</f>
        <v>0</v>
      </c>
      <c r="MA34" s="20" t="n">
        <f aca="false">EO34+LZ34</f>
        <v>0</v>
      </c>
      <c r="MB34" s="20" t="n">
        <f aca="false">IF(EN34=1,MAX(0,(Slot13_Cost-MA34*(1+Slot13_Rate)^(Slot13_Age-D34))/LX34),0)</f>
        <v>0</v>
      </c>
      <c r="MC34" s="20" t="n">
        <f aca="false">IF(EN34=1,MAX(0,(Slot13_Cost-EO34*(1+Slot13_Rate)^(Slot13_Age-D34))/LX34),0)</f>
        <v>0</v>
      </c>
      <c r="MD34" s="20" t="n">
        <f aca="false">IF(AND(HU34=1,EN34=1),MIN(LW34,MB34),0)</f>
        <v>0</v>
      </c>
      <c r="ME34" s="20" t="n">
        <f aca="false">LW34-MD34</f>
        <v>0</v>
      </c>
      <c r="MF34" s="20" t="n">
        <f aca="false">IF(EX34=1,IF(ABS((1+AS_Wage)/(1+Slot14_Rate)-1)&lt;0.000000000001,(Slot14_Age-D34)*(1+Slot14_Rate)^(Slot14_Age-D34),(1+Slot14_Rate)^(Slot14_Age-D34)*(1-((1+AS_Wage)/(1+Slot14_Rate))^(Slot14_Age-D34))/(1-(1+AS_Wage)/(1+Slot14_Rate))),1)</f>
        <v>1</v>
      </c>
      <c r="MG34" s="20" t="n">
        <f aca="false">IF(AND(HU34=1,IE34&gt;0,Slot14_IsWG=1,EX34=1),MAX(0,(Slot14_Cost-EY34*(1+Slot14_Rate)^(Slot14_Age-D34))/MF34),0)</f>
        <v>0</v>
      </c>
      <c r="MH34" s="20" t="n">
        <f aca="false">IF(AND(HU34=1,IE34&gt;0,Slot14_IsWG=1,EX34=1),MIN(IE34,MG34),0)</f>
        <v>0</v>
      </c>
      <c r="MI34" s="20" t="n">
        <f aca="false">EY34+MH34</f>
        <v>0</v>
      </c>
      <c r="MJ34" s="20" t="n">
        <f aca="false">IF(EX34=1,MAX(0,(Slot14_Cost-MI34*(1+Slot14_Rate)^(Slot14_Age-D34))/MF34),0)</f>
        <v>0</v>
      </c>
      <c r="MK34" s="20" t="n">
        <f aca="false">IF(EX34=1,MAX(0,(Slot14_Cost-EY34*(1+Slot14_Rate)^(Slot14_Age-D34))/MF34),0)</f>
        <v>0</v>
      </c>
      <c r="ML34" s="20" t="n">
        <f aca="false">IF(AND(HU34=1,EX34=1),MIN(ME34,MJ34),0)</f>
        <v>0</v>
      </c>
      <c r="MM34" s="20" t="n">
        <f aca="false">ME34-ML34</f>
        <v>0</v>
      </c>
      <c r="MN34" s="20" t="n">
        <f aca="false">IF(FH34=1,IF(ABS((1+AS_Wage)/(1+Slot15_Rate)-1)&lt;0.000000000001,(Slot15_Age-D34)*(1+Slot15_Rate)^(Slot15_Age-D34),(1+Slot15_Rate)^(Slot15_Age-D34)*(1-((1+AS_Wage)/(1+Slot15_Rate))^(Slot15_Age-D34))/(1-(1+AS_Wage)/(1+Slot15_Rate))),1)</f>
        <v>1</v>
      </c>
      <c r="MO34" s="20" t="n">
        <f aca="false">IF(AND(HU34=1,IE34&gt;0,Slot15_IsWG=1,FH34=1),MAX(0,(Slot15_Cost-FI34*(1+Slot15_Rate)^(Slot15_Age-D34))/MN34),0)</f>
        <v>0</v>
      </c>
      <c r="MP34" s="20" t="n">
        <f aca="false">IF(AND(HU34=1,IE34&gt;0,Slot15_IsWG=1,FH34=1),MIN(IE34,MO34),0)</f>
        <v>0</v>
      </c>
      <c r="MQ34" s="20" t="n">
        <f aca="false">FI34+MP34</f>
        <v>0</v>
      </c>
      <c r="MR34" s="20" t="n">
        <f aca="false">IF(FH34=1,MAX(0,(Slot15_Cost-MQ34*(1+Slot15_Rate)^(Slot15_Age-D34))/MN34),0)</f>
        <v>0</v>
      </c>
      <c r="MS34" s="20" t="n">
        <f aca="false">IF(FH34=1,MAX(0,(Slot15_Cost-FI34*(1+Slot15_Rate)^(Slot15_Age-D34))/MN34),0)</f>
        <v>0</v>
      </c>
      <c r="MT34" s="20" t="n">
        <f aca="false">IF(AND(HU34=1,FH34=1),MIN(MM34,MR34),0)</f>
        <v>0</v>
      </c>
      <c r="MU34" s="20" t="n">
        <f aca="false">MM34-MT34</f>
        <v>0</v>
      </c>
      <c r="MV34" s="20" t="n">
        <f aca="false">IF(FR34=1,IF(ABS((1+AS_Wage)/(1+Slot16_Rate)-1)&lt;0.000000000001,(Slot16_Age-D34)*(1+Slot16_Rate)^(Slot16_Age-D34),(1+Slot16_Rate)^(Slot16_Age-D34)*(1-((1+AS_Wage)/(1+Slot16_Rate))^(Slot16_Age-D34))/(1-(1+AS_Wage)/(1+Slot16_Rate))),1)</f>
        <v>1</v>
      </c>
      <c r="MW34" s="20" t="n">
        <f aca="false">IF(AND(HU34=1,IE34&gt;0,Slot16_IsWG=1,FR34=1),MAX(0,(Slot16_Cost-FS34*(1+Slot16_Rate)^(Slot16_Age-D34))/MV34),0)</f>
        <v>0</v>
      </c>
      <c r="MX34" s="20" t="n">
        <f aca="false">IF(AND(HU34=1,IE34&gt;0,Slot16_IsWG=1,FR34=1),MIN(IE34,MW34),0)</f>
        <v>0</v>
      </c>
      <c r="MY34" s="20" t="n">
        <f aca="false">FS34+MX34</f>
        <v>0</v>
      </c>
      <c r="MZ34" s="20" t="n">
        <f aca="false">IF(FR34=1,MAX(0,(Slot16_Cost-MY34*(1+Slot16_Rate)^(Slot16_Age-D34))/MV34),0)</f>
        <v>0</v>
      </c>
      <c r="NA34" s="20" t="n">
        <f aca="false">IF(FR34=1,MAX(0,(Slot16_Cost-FS34*(1+Slot16_Rate)^(Slot16_Age-D34))/MV34),0)</f>
        <v>0</v>
      </c>
      <c r="NB34" s="20" t="n">
        <f aca="false">IF(AND(HU34=1,FR34=1),MIN(MU34,MZ34),0)</f>
        <v>0</v>
      </c>
      <c r="NC34" s="20" t="n">
        <f aca="false">MU34-NB34</f>
        <v>0</v>
      </c>
      <c r="ND34" s="20" t="n">
        <f aca="false">IF(GB34=1,IF(ABS((1+AS_Wage)/(1+Slot17_Rate)-1)&lt;0.000000000001,(Slot17_Age-D34)*(1+Slot17_Rate)^(Slot17_Age-D34),(1+Slot17_Rate)^(Slot17_Age-D34)*(1-((1+AS_Wage)/(1+Slot17_Rate))^(Slot17_Age-D34))/(1-(1+AS_Wage)/(1+Slot17_Rate))),1)</f>
        <v>1</v>
      </c>
      <c r="NE34" s="20" t="n">
        <f aca="false">IF(AND(HU34=1,IE34&gt;0,Slot17_IsWG=1,GB34=1),MAX(0,(Slot17_Cost-GC34*(1+Slot17_Rate)^(Slot17_Age-D34))/ND34),0)</f>
        <v>0</v>
      </c>
      <c r="NF34" s="20" t="n">
        <f aca="false">IF(AND(HU34=1,IE34&gt;0,Slot17_IsWG=1,GB34=1),MIN(IE34,NE34),0)</f>
        <v>0</v>
      </c>
      <c r="NG34" s="20" t="n">
        <f aca="false">GC34+NF34</f>
        <v>0</v>
      </c>
      <c r="NH34" s="20" t="n">
        <f aca="false">IF(GB34=1,MAX(0,(Slot17_Cost-NG34*(1+Slot17_Rate)^(Slot17_Age-D34))/ND34),0)</f>
        <v>0</v>
      </c>
      <c r="NI34" s="20" t="n">
        <f aca="false">IF(GB34=1,MAX(0,(Slot17_Cost-GC34*(1+Slot17_Rate)^(Slot17_Age-D34))/ND34),0)</f>
        <v>0</v>
      </c>
      <c r="NJ34" s="20" t="n">
        <f aca="false">IF(AND(HU34=1,GB34=1),MIN(NC34,NH34),0)</f>
        <v>0</v>
      </c>
      <c r="NK34" s="20" t="n">
        <f aca="false">NC34-NJ34</f>
        <v>0</v>
      </c>
      <c r="NL34" s="20" t="n">
        <f aca="false">IF(GL34=1,IF(ABS((1+AS_Wage)/(1+Slot18_Rate)-1)&lt;0.000000000001,(Slot18_Age-D34)*(1+Slot18_Rate)^(Slot18_Age-D34),(1+Slot18_Rate)^(Slot18_Age-D34)*(1-((1+AS_Wage)/(1+Slot18_Rate))^(Slot18_Age-D34))/(1-(1+AS_Wage)/(1+Slot18_Rate))),1)</f>
        <v>1</v>
      </c>
      <c r="NM34" s="20" t="n">
        <f aca="false">IF(AND(HU34=1,IE34&gt;0,Slot18_IsWG=1,GL34=1),MAX(0,(Slot18_Cost-GM34*(1+Slot18_Rate)^(Slot18_Age-D34))/NL34),0)</f>
        <v>0</v>
      </c>
      <c r="NN34" s="20" t="n">
        <f aca="false">IF(AND(HU34=1,IE34&gt;0,Slot18_IsWG=1,GL34=1),MIN(IE34,NM34),0)</f>
        <v>0</v>
      </c>
      <c r="NO34" s="20" t="n">
        <f aca="false">GM34+NN34</f>
        <v>0</v>
      </c>
      <c r="NP34" s="20" t="n">
        <f aca="false">IF(GL34=1,MAX(0,(Slot18_Cost-NO34*(1+Slot18_Rate)^(Slot18_Age-D34))/NL34),0)</f>
        <v>0</v>
      </c>
      <c r="NQ34" s="20" t="n">
        <f aca="false">IF(GL34=1,MAX(0,(Slot18_Cost-GM34*(1+Slot18_Rate)^(Slot18_Age-D34))/NL34),0)</f>
        <v>0</v>
      </c>
      <c r="NR34" s="20" t="n">
        <f aca="false">IF(AND(HU34=1,GL34=1),MIN(NK34,NP34),0)</f>
        <v>0</v>
      </c>
      <c r="NS34" s="20" t="n">
        <f aca="false">NK34-NR34</f>
        <v>0</v>
      </c>
      <c r="NT34" s="20" t="n">
        <f aca="false">IF(GV34=1,IF(ABS((1+AS_Wage)/(1+Slot19_Rate)-1)&lt;0.000000000001,(Slot19_Age-D34)*(1+Slot19_Rate)^(Slot19_Age-D34),(1+Slot19_Rate)^(Slot19_Age-D34)*(1-((1+AS_Wage)/(1+Slot19_Rate))^(Slot19_Age-D34))/(1-(1+AS_Wage)/(1+Slot19_Rate))),1)</f>
        <v>1</v>
      </c>
      <c r="NU34" s="20" t="n">
        <f aca="false">IF(AND(HU34=1,IE34&gt;0,Slot19_IsWG=1,GV34=1),MAX(0,(Slot19_Cost-GW34*(1+Slot19_Rate)^(Slot19_Age-D34))/NT34),0)</f>
        <v>0</v>
      </c>
      <c r="NV34" s="20" t="n">
        <f aca="false">IF(AND(HU34=1,IE34&gt;0,Slot19_IsWG=1,GV34=1),MIN(IE34,NU34),0)</f>
        <v>0</v>
      </c>
      <c r="NW34" s="20" t="n">
        <f aca="false">GW34+NV34</f>
        <v>0</v>
      </c>
      <c r="NX34" s="20" t="n">
        <f aca="false">IF(GV34=1,MAX(0,(Slot19_Cost-NW34*(1+Slot19_Rate)^(Slot19_Age-D34))/NT34),0)</f>
        <v>0</v>
      </c>
      <c r="NY34" s="20" t="n">
        <f aca="false">IF(GV34=1,MAX(0,(Slot19_Cost-GW34*(1+Slot19_Rate)^(Slot19_Age-D34))/NT34),0)</f>
        <v>0</v>
      </c>
      <c r="NZ34" s="20" t="n">
        <f aca="false">IF(AND(HU34=1,GV34=1),MIN(NS34,NX34),0)</f>
        <v>0</v>
      </c>
      <c r="OA34" s="20" t="n">
        <f aca="false">NS34-NZ34</f>
        <v>0</v>
      </c>
      <c r="OB34" s="20" t="n">
        <f aca="false">IF(HF34=1,IF(ABS((1+AS_Wage)/(1+Slot20_Rate)-1)&lt;0.000000000001,(Slot20_Age-D34)*(1+Slot20_Rate)^(Slot20_Age-D34),(1+Slot20_Rate)^(Slot20_Age-D34)*(1-((1+AS_Wage)/(1+Slot20_Rate))^(Slot20_Age-D34))/(1-(1+AS_Wage)/(1+Slot20_Rate))),1)</f>
        <v>1</v>
      </c>
      <c r="OC34" s="20" t="n">
        <f aca="false">IF(AND(HU34=1,IE34&gt;0,Slot20_IsWG=1,HF34=1),MAX(0,(Slot20_Cost-HG34*(1+Slot20_Rate)^(Slot20_Age-D34))/OB34),0)</f>
        <v>0</v>
      </c>
      <c r="OD34" s="20" t="n">
        <f aca="false">IF(AND(HU34=1,IE34&gt;0,Slot20_IsWG=1,HF34=1),MIN(IE34,OC34),0)</f>
        <v>0</v>
      </c>
      <c r="OE34" s="20" t="n">
        <f aca="false">HG34+OD34</f>
        <v>0</v>
      </c>
      <c r="OF34" s="20" t="n">
        <f aca="false">IF(HF34=1,MAX(0,(Slot20_Cost-OE34*(1+Slot20_Rate)^(Slot20_Age-D34))/OB34),0)</f>
        <v>0</v>
      </c>
      <c r="OG34" s="20" t="n">
        <f aca="false">IF(HF34=1,MAX(0,(Slot20_Cost-HG34*(1+Slot20_Rate)^(Slot20_Age-D34))/OB34),0)</f>
        <v>0</v>
      </c>
      <c r="OH34" s="20" t="n">
        <f aca="false">IF(AND(HU34=1,HF34=1),MIN(OA34,OF34),0)</f>
        <v>0</v>
      </c>
      <c r="OI34" s="20" t="n">
        <f aca="false">OA34-OH34</f>
        <v>0</v>
      </c>
      <c r="OJ34" s="20" t="n">
        <f aca="false">IE34-(IH34+IP34+IX34+JF34+JN34+JV34+KD34+KL34+KT34+LB34+LJ34+LR34+LZ34+MH34+MP34+MX34+NF34+NN34+NV34+OD34)</f>
        <v>0</v>
      </c>
      <c r="OK34" s="20" t="n">
        <f aca="false">IF(HU34=1,HS34-ID34-IE34,0)</f>
        <v>0</v>
      </c>
      <c r="OL34" s="20" t="n">
        <f aca="false">IF(HU34=0,-HS34,0)</f>
        <v>21353.8537723578</v>
      </c>
      <c r="OM34" s="20" t="n">
        <f aca="false">MIN(OL34,HK34)</f>
        <v>21353.8537723578</v>
      </c>
      <c r="ON34" s="20" t="n">
        <f aca="false">OL34-OM34</f>
        <v>0</v>
      </c>
      <c r="OO34" s="20" t="n">
        <f aca="false">MIN(ON34,HL34)</f>
        <v>0</v>
      </c>
      <c r="OP34" s="20" t="n">
        <f aca="false">ON34-OO34</f>
        <v>0</v>
      </c>
      <c r="OQ34" s="20" t="n">
        <f aca="false">IF(AND(HU34=0,HF34=1,OP34&gt;0),MIN(OP34,HG34),0)</f>
        <v>0</v>
      </c>
      <c r="OR34" s="20" t="n">
        <f aca="false">OP34-OQ34</f>
        <v>0</v>
      </c>
      <c r="OS34" s="20" t="n">
        <f aca="false">IF(AND(HU34=0,GV34=1,OR34&gt;0),MIN(OR34,GW34),0)</f>
        <v>0</v>
      </c>
      <c r="OT34" s="20" t="n">
        <f aca="false">OR34-OS34</f>
        <v>0</v>
      </c>
      <c r="OU34" s="20" t="n">
        <f aca="false">IF(AND(HU34=0,GL34=1,OT34&gt;0),MIN(OT34,GM34),0)</f>
        <v>0</v>
      </c>
      <c r="OV34" s="20" t="n">
        <f aca="false">OT34-OU34</f>
        <v>0</v>
      </c>
      <c r="OW34" s="20" t="n">
        <f aca="false">IF(AND(HU34=0,GB34=1,OV34&gt;0),MIN(OV34,GC34),0)</f>
        <v>0</v>
      </c>
      <c r="OX34" s="20" t="n">
        <f aca="false">OV34-OW34</f>
        <v>0</v>
      </c>
      <c r="OY34" s="20" t="n">
        <f aca="false">IF(AND(HU34=0,FR34=1,OX34&gt;0),MIN(OX34,FS34),0)</f>
        <v>0</v>
      </c>
      <c r="OZ34" s="20" t="n">
        <f aca="false">OX34-OY34</f>
        <v>0</v>
      </c>
      <c r="PA34" s="20" t="n">
        <f aca="false">IF(AND(HU34=0,FH34=1,OZ34&gt;0),MIN(OZ34,FI34),0)</f>
        <v>0</v>
      </c>
      <c r="PB34" s="20" t="n">
        <f aca="false">OZ34-PA34</f>
        <v>0</v>
      </c>
      <c r="PC34" s="20" t="n">
        <f aca="false">IF(AND(HU34=0,EX34=1,PB34&gt;0),MIN(PB34,EY34),0)</f>
        <v>0</v>
      </c>
      <c r="PD34" s="20" t="n">
        <f aca="false">PB34-PC34</f>
        <v>0</v>
      </c>
      <c r="PE34" s="20" t="n">
        <f aca="false">IF(AND(HU34=0,EN34=1,PD34&gt;0),MIN(PD34,EO34),0)</f>
        <v>0</v>
      </c>
      <c r="PF34" s="20" t="n">
        <f aca="false">PD34-PE34</f>
        <v>0</v>
      </c>
      <c r="PG34" s="20" t="n">
        <f aca="false">IF(AND(HU34=0,ED34=1,PF34&gt;0),MIN(PF34,EE34),0)</f>
        <v>0</v>
      </c>
      <c r="PH34" s="20" t="n">
        <f aca="false">PF34-PG34</f>
        <v>0</v>
      </c>
      <c r="PI34" s="20" t="n">
        <f aca="false">IF(AND(HU34=0,DT34=1,PH34&gt;0),MIN(PH34,DU34),0)</f>
        <v>0</v>
      </c>
      <c r="PJ34" s="20" t="n">
        <f aca="false">PH34-PI34</f>
        <v>0</v>
      </c>
      <c r="PK34" s="20" t="n">
        <f aca="false">IF(AND(HU34=0,DJ34=1,PJ34&gt;0),MIN(PJ34,DK34),0)</f>
        <v>0</v>
      </c>
      <c r="PL34" s="20" t="n">
        <f aca="false">PJ34-PK34</f>
        <v>0</v>
      </c>
      <c r="PM34" s="20" t="n">
        <f aca="false">IF(AND(HU34=0,CZ34=1,PL34&gt;0),MIN(PL34,DA34),0)</f>
        <v>0</v>
      </c>
      <c r="PN34" s="20" t="n">
        <f aca="false">PL34-PM34</f>
        <v>0</v>
      </c>
      <c r="PO34" s="20" t="n">
        <f aca="false">IF(AND(HU34=0,CP34=1,PN34&gt;0),MIN(PN34,CQ34),0)</f>
        <v>0</v>
      </c>
      <c r="PP34" s="20" t="n">
        <f aca="false">PN34-PO34</f>
        <v>0</v>
      </c>
      <c r="PQ34" s="20" t="n">
        <f aca="false">IF(AND(HU34=0,CF34=1,PP34&gt;0),MIN(PP34,CG34),0)</f>
        <v>0</v>
      </c>
      <c r="PR34" s="20" t="n">
        <f aca="false">PP34-PQ34</f>
        <v>0</v>
      </c>
      <c r="PS34" s="20" t="n">
        <f aca="false">IF(AND(HU34=0,BV34=1,PR34&gt;0),MIN(PR34,BW34),0)</f>
        <v>0</v>
      </c>
      <c r="PT34" s="20" t="n">
        <f aca="false">PR34-PS34</f>
        <v>0</v>
      </c>
      <c r="PU34" s="20" t="n">
        <f aca="false">IF(AND(HU34=0,BL34=1,PT34&gt;0),MIN(PT34,BM34),0)</f>
        <v>0</v>
      </c>
      <c r="PV34" s="20" t="n">
        <f aca="false">PT34-PU34</f>
        <v>0</v>
      </c>
      <c r="PW34" s="20" t="n">
        <f aca="false">IF(AND(HU34=0,BB34=1,PV34&gt;0),MIN(PV34,BC34),0)</f>
        <v>0</v>
      </c>
      <c r="PX34" s="20" t="n">
        <f aca="false">PV34-PW34</f>
        <v>0</v>
      </c>
      <c r="PY34" s="20" t="n">
        <f aca="false">IF(AND(HU34=0,AR34=1,PX34&gt;0),MIN(PX34,AS34),0)</f>
        <v>0</v>
      </c>
      <c r="PZ34" s="20" t="n">
        <f aca="false">PX34-PY34</f>
        <v>0</v>
      </c>
      <c r="QA34" s="20" t="n">
        <f aca="false">IF(AND(HU34=0,AH34=1,PZ34&gt;0),MIN(PZ34,AI34),0)</f>
        <v>0</v>
      </c>
      <c r="QB34" s="20" t="n">
        <f aca="false">PZ34-QA34</f>
        <v>0</v>
      </c>
      <c r="QC34" s="20" t="n">
        <f aca="false">IF(AND(HU34=0,W34=1,QB34&gt;0),MIN(QB34,X34),0)</f>
        <v>0</v>
      </c>
      <c r="QD34" s="20" t="n">
        <f aca="false">QB34-QC34</f>
        <v>0</v>
      </c>
      <c r="QE34" s="20" t="n">
        <f aca="false">IF(HU34=0,QD34,0)</f>
        <v>0</v>
      </c>
      <c r="QF34" s="20" t="n">
        <f aca="false">OM34+OO34+QC34+QA34+PY34+PW34+PU34+PS34+PQ34+PO34+PM34+PK34+PI34+PG34+PE34+PC34+PA34+OY34+OW34+OU34+OS34+OQ34</f>
        <v>21353.8537723578</v>
      </c>
      <c r="QG34" s="20" t="n">
        <f aca="false">IF(HU34=1,HK34+OJ34+OI34+IF(G34=1,0,OK34),HK34-OM34)</f>
        <v>207226.895589618</v>
      </c>
      <c r="QH34" s="20" t="n">
        <f aca="false">HL34-OO34</f>
        <v>14447.6014336946</v>
      </c>
      <c r="QI34" s="20" t="n">
        <f aca="false">IF(HU34=1,IF(G34=1,ID34+IE34,HS34),0)</f>
        <v>0</v>
      </c>
      <c r="QJ34" s="20" t="n">
        <f aca="false">IF(HU34=1,IF(G34=1,HS34-ID34-IE34,0),0)</f>
        <v>0</v>
      </c>
      <c r="QK34" s="57" t="n">
        <f aca="false">'Plan holdings'!BM34</f>
        <v>214986.8605241</v>
      </c>
      <c r="QL34" s="20" t="n">
        <f aca="false">QH34*(1+AS_Cash)</f>
        <v>14592.0774480315</v>
      </c>
      <c r="QM34" s="20" t="n">
        <f aca="false">IF(W34=1,IF(HU34=1,II34+IL34,X34-QC34)*(1+Slot1_Rate),0)</f>
        <v>0</v>
      </c>
      <c r="QN34" s="20" t="n">
        <f aca="false">IF(AND(HU34=1,W34=1),(IH34+IL34)/F34,0)</f>
        <v>0</v>
      </c>
      <c r="QO34" s="20" t="n">
        <f aca="false">IF(B34=0,IH34+IL34,0)</f>
        <v>0</v>
      </c>
      <c r="QP34" s="20" t="n">
        <f aca="false">IF(B34=0,IF(HU34=1,IJ34,IK34),0)</f>
        <v>0</v>
      </c>
      <c r="QQ34" s="20" t="n">
        <f aca="false">IF(AH34=1,IF(HU34=1,IQ34+IT34,AI34-QA34)*(1+Slot2_Rate),0)</f>
        <v>0</v>
      </c>
      <c r="QR34" s="20" t="n">
        <f aca="false">IF(AND(HU34=1,AH34=1),(IP34+IT34)/F34,0)</f>
        <v>0</v>
      </c>
      <c r="QS34" s="20" t="n">
        <f aca="false">IF(B34=0,IP34+IT34,0)</f>
        <v>0</v>
      </c>
      <c r="QT34" s="20" t="n">
        <f aca="false">IF(B34=0,IF(HU34=1,IR34,IS34),0)</f>
        <v>0</v>
      </c>
      <c r="QU34" s="20" t="n">
        <f aca="false">IF(AR34=1,IF(HU34=1,IY34+JB34,AS34-PY34)*(1+Slot3_Rate),0)</f>
        <v>0</v>
      </c>
      <c r="QV34" s="20" t="n">
        <f aca="false">IF(AND(HU34=1,AR34=1),(IX34+JB34)/F34,0)</f>
        <v>0</v>
      </c>
      <c r="QW34" s="20" t="n">
        <f aca="false">IF(B34=0,IX34+JB34,0)</f>
        <v>0</v>
      </c>
      <c r="QX34" s="20" t="n">
        <f aca="false">IF(B34=0,IF(HU34=1,IZ34,JA34),0)</f>
        <v>0</v>
      </c>
      <c r="QY34" s="20" t="n">
        <f aca="false">IF(BB34=1,IF(HU34=1,JG34+JJ34,BC34-PW34)*(1+Slot4_Rate),0)</f>
        <v>0</v>
      </c>
      <c r="QZ34" s="20" t="n">
        <f aca="false">IF(AND(HU34=1,BB34=1),(JF34+JJ34)/F34,0)</f>
        <v>0</v>
      </c>
      <c r="RA34" s="20" t="n">
        <f aca="false">IF(B34=0,JF34+JJ34,0)</f>
        <v>0</v>
      </c>
      <c r="RB34" s="20" t="n">
        <f aca="false">IF(B34=0,IF(HU34=1,JH34,JI34),0)</f>
        <v>0</v>
      </c>
      <c r="RC34" s="20" t="n">
        <f aca="false">IF(BL34=1,IF(HU34=1,JO34+JR34,BM34-PU34)*(1+Slot5_Rate),0)</f>
        <v>0</v>
      </c>
      <c r="RD34" s="20" t="n">
        <f aca="false">IF(AND(HU34=1,BL34=1),(JN34+JR34)/F34,0)</f>
        <v>0</v>
      </c>
      <c r="RE34" s="20" t="n">
        <f aca="false">IF(B34=0,JN34+JR34,0)</f>
        <v>0</v>
      </c>
      <c r="RF34" s="20" t="n">
        <f aca="false">IF(B34=0,IF(HU34=1,JP34,JQ34),0)</f>
        <v>0</v>
      </c>
      <c r="RG34" s="20" t="n">
        <f aca="false">IF(BV34=1,IF(HU34=1,JW34+JZ34,BW34-PS34)*(1+Slot6_Rate),0)</f>
        <v>0</v>
      </c>
      <c r="RH34" s="20" t="n">
        <f aca="false">IF(AND(HU34=1,BV34=1),(JV34+JZ34)/F34,0)</f>
        <v>0</v>
      </c>
      <c r="RI34" s="20" t="n">
        <f aca="false">IF(B34=0,JV34+JZ34,0)</f>
        <v>0</v>
      </c>
      <c r="RJ34" s="20" t="n">
        <f aca="false">IF(B34=0,IF(HU34=1,JX34,JY34),0)</f>
        <v>0</v>
      </c>
      <c r="RK34" s="20" t="n">
        <f aca="false">IF(CF34=1,IF(HU34=1,KE34+KH34,CG34-PQ34)*(1+Slot7_Rate),0)</f>
        <v>0</v>
      </c>
      <c r="RL34" s="20" t="n">
        <f aca="false">IF(AND(HU34=1,CF34=1),(KD34+KH34)/F34,0)</f>
        <v>0</v>
      </c>
      <c r="RM34" s="20" t="n">
        <f aca="false">IF(B34=0,KD34+KH34,0)</f>
        <v>0</v>
      </c>
      <c r="RN34" s="20" t="n">
        <f aca="false">IF(B34=0,IF(HU34=1,KF34,KG34),0)</f>
        <v>0</v>
      </c>
      <c r="RO34" s="20" t="n">
        <f aca="false">IF(CP34=1,IF(HU34=1,KM34+KP34,CQ34-PO34)*(1+Slot8_Rate),0)</f>
        <v>0</v>
      </c>
      <c r="RP34" s="20" t="n">
        <f aca="false">IF(AND(HU34=1,CP34=1),(KL34+KP34)/F34,0)</f>
        <v>0</v>
      </c>
      <c r="RQ34" s="20" t="n">
        <f aca="false">IF(B34=0,KL34+KP34,0)</f>
        <v>0</v>
      </c>
      <c r="RR34" s="20" t="n">
        <f aca="false">IF(B34=0,IF(HU34=1,KN34,KO34),0)</f>
        <v>0</v>
      </c>
      <c r="RS34" s="20" t="n">
        <f aca="false">IF(CZ34=1,IF(HU34=1,KU34+KX34,DA34-PM34)*(1+Slot9_Rate),0)</f>
        <v>0</v>
      </c>
      <c r="RT34" s="20" t="n">
        <f aca="false">IF(AND(HU34=1,CZ34=1),(KT34+KX34)/F34,0)</f>
        <v>0</v>
      </c>
      <c r="RU34" s="20" t="n">
        <f aca="false">IF(B34=0,KT34+KX34,0)</f>
        <v>0</v>
      </c>
      <c r="RV34" s="20" t="n">
        <f aca="false">IF(B34=0,IF(HU34=1,KV34,KW34),0)</f>
        <v>0</v>
      </c>
      <c r="RW34" s="20" t="n">
        <f aca="false">IF(DJ34=1,IF(HU34=1,LC34+LF34,DK34-PK34)*(1+Slot10_Rate),0)</f>
        <v>0</v>
      </c>
      <c r="RX34" s="20" t="n">
        <f aca="false">IF(AND(HU34=1,DJ34=1),(LB34+LF34)/F34,0)</f>
        <v>0</v>
      </c>
      <c r="RY34" s="20" t="n">
        <f aca="false">IF(B34=0,LB34+LF34,0)</f>
        <v>0</v>
      </c>
      <c r="RZ34" s="20" t="n">
        <f aca="false">IF(B34=0,IF(HU34=1,LD34,LE34),0)</f>
        <v>0</v>
      </c>
      <c r="SA34" s="20" t="n">
        <f aca="false">IF(DT34=1,IF(HU34=1,LK34+LN34,DU34-PI34)*(1+Slot11_Rate),0)</f>
        <v>0</v>
      </c>
      <c r="SB34" s="20" t="n">
        <f aca="false">IF(AND(HU34=1,DT34=1),(LJ34+LN34)/F34,0)</f>
        <v>0</v>
      </c>
      <c r="SC34" s="20" t="n">
        <f aca="false">IF(B34=0,LJ34+LN34,0)</f>
        <v>0</v>
      </c>
      <c r="SD34" s="20" t="n">
        <f aca="false">IF(B34=0,IF(HU34=1,LL34,LM34),0)</f>
        <v>0</v>
      </c>
      <c r="SE34" s="20" t="n">
        <f aca="false">IF(ED34=1,IF(HU34=1,LS34+LV34,EE34-PG34)*(1+Slot12_Rate),0)</f>
        <v>0</v>
      </c>
      <c r="SF34" s="20" t="n">
        <f aca="false">IF(AND(HU34=1,ED34=1),(LR34+LV34)/F34,0)</f>
        <v>0</v>
      </c>
      <c r="SG34" s="20" t="n">
        <f aca="false">IF(B34=0,LR34+LV34,0)</f>
        <v>0</v>
      </c>
      <c r="SH34" s="20" t="n">
        <f aca="false">IF(B34=0,IF(HU34=1,LT34,LU34),0)</f>
        <v>0</v>
      </c>
      <c r="SI34" s="20" t="n">
        <f aca="false">IF(EN34=1,IF(HU34=1,MA34+MD34,EO34-PE34)*(1+Slot13_Rate),0)</f>
        <v>0</v>
      </c>
      <c r="SJ34" s="20" t="n">
        <f aca="false">IF(AND(HU34=1,EN34=1),(LZ34+MD34)/F34,0)</f>
        <v>0</v>
      </c>
      <c r="SK34" s="20" t="n">
        <f aca="false">IF(B34=0,LZ34+MD34,0)</f>
        <v>0</v>
      </c>
      <c r="SL34" s="20" t="n">
        <f aca="false">IF(B34=0,IF(HU34=1,MB34,MC34),0)</f>
        <v>0</v>
      </c>
      <c r="SM34" s="20" t="n">
        <f aca="false">IF(EX34=1,IF(HU34=1,MI34+ML34,EY34-PC34)*(1+Slot14_Rate),0)</f>
        <v>0</v>
      </c>
      <c r="SN34" s="20" t="n">
        <f aca="false">IF(AND(HU34=1,EX34=1),(MH34+ML34)/F34,0)</f>
        <v>0</v>
      </c>
      <c r="SO34" s="20" t="n">
        <f aca="false">IF(B34=0,MH34+ML34,0)</f>
        <v>0</v>
      </c>
      <c r="SP34" s="20" t="n">
        <f aca="false">IF(B34=0,IF(HU34=1,MJ34,MK34),0)</f>
        <v>0</v>
      </c>
      <c r="SQ34" s="20" t="n">
        <f aca="false">IF(FH34=1,IF(HU34=1,MQ34+MT34,FI34-PA34)*(1+Slot15_Rate),0)</f>
        <v>0</v>
      </c>
      <c r="SR34" s="20" t="n">
        <f aca="false">IF(AND(HU34=1,FH34=1),(MP34+MT34)/F34,0)</f>
        <v>0</v>
      </c>
      <c r="SS34" s="20" t="n">
        <f aca="false">IF(B34=0,MP34+MT34,0)</f>
        <v>0</v>
      </c>
      <c r="ST34" s="20" t="n">
        <f aca="false">IF(B34=0,IF(HU34=1,MR34,MS34),0)</f>
        <v>0</v>
      </c>
      <c r="SU34" s="20" t="n">
        <f aca="false">IF(FR34=1,IF(HU34=1,MY34+NB34,FS34-OY34)*(1+Slot16_Rate),0)</f>
        <v>0</v>
      </c>
      <c r="SV34" s="20" t="n">
        <f aca="false">IF(AND(HU34=1,FR34=1),(MX34+NB34)/F34,0)</f>
        <v>0</v>
      </c>
      <c r="SW34" s="20" t="n">
        <f aca="false">IF(B34=0,MX34+NB34,0)</f>
        <v>0</v>
      </c>
      <c r="SX34" s="20" t="n">
        <f aca="false">IF(B34=0,IF(HU34=1,MZ34,NA34),0)</f>
        <v>0</v>
      </c>
      <c r="SY34" s="20" t="n">
        <f aca="false">IF(GB34=1,IF(HU34=1,NG34+NJ34,GC34-OW34)*(1+Slot17_Rate),0)</f>
        <v>0</v>
      </c>
      <c r="SZ34" s="20" t="n">
        <f aca="false">IF(AND(HU34=1,GB34=1),(NF34+NJ34)/F34,0)</f>
        <v>0</v>
      </c>
      <c r="TA34" s="20" t="n">
        <f aca="false">IF(B34=0,NF34+NJ34,0)</f>
        <v>0</v>
      </c>
      <c r="TB34" s="20" t="n">
        <f aca="false">IF(B34=0,IF(HU34=1,NH34,NI34),0)</f>
        <v>0</v>
      </c>
      <c r="TC34" s="20" t="n">
        <f aca="false">IF(GL34=1,IF(HU34=1,NO34+NR34,GM34-OU34)*(1+Slot18_Rate),0)</f>
        <v>0</v>
      </c>
      <c r="TD34" s="20" t="n">
        <f aca="false">IF(AND(HU34=1,GL34=1),(NN34+NR34)/F34,0)</f>
        <v>0</v>
      </c>
      <c r="TE34" s="20" t="n">
        <f aca="false">IF(B34=0,NN34+NR34,0)</f>
        <v>0</v>
      </c>
      <c r="TF34" s="20" t="n">
        <f aca="false">IF(B34=0,IF(HU34=1,NP34,NQ34),0)</f>
        <v>0</v>
      </c>
      <c r="TG34" s="20" t="n">
        <f aca="false">IF(GV34=1,IF(HU34=1,NW34+NZ34,GW34-OS34)*(1+Slot19_Rate),0)</f>
        <v>0</v>
      </c>
      <c r="TH34" s="20" t="n">
        <f aca="false">IF(AND(HU34=1,GV34=1),(NV34+NZ34)/F34,0)</f>
        <v>0</v>
      </c>
      <c r="TI34" s="20" t="n">
        <f aca="false">IF(B34=0,NV34+NZ34,0)</f>
        <v>0</v>
      </c>
      <c r="TJ34" s="20" t="n">
        <f aca="false">IF(B34=0,IF(HU34=1,NX34,NY34),0)</f>
        <v>0</v>
      </c>
      <c r="TK34" s="20" t="n">
        <f aca="false">IF(HF34=1,IF(HU34=1,OE34+OH34,HG34-OQ34)*(1+Slot20_Rate),0)</f>
        <v>0</v>
      </c>
      <c r="TL34" s="20" t="n">
        <f aca="false">IF(AND(HU34=1,HF34=1),(OD34+OH34)/F34,0)</f>
        <v>0</v>
      </c>
      <c r="TM34" s="20" t="n">
        <f aca="false">IF(B34=0,OD34+OH34,0)</f>
        <v>0</v>
      </c>
      <c r="TN34" s="20" t="n">
        <f aca="false">IF(B34=0,IF(HU34=1,OF34,OG34),0)</f>
        <v>0</v>
      </c>
      <c r="TO34" s="20" t="n">
        <f aca="false">QK34+QL34+QM34+QQ34+QU34+QY34+RC34+RG34+RK34+RO34+RS34+RW34+SA34+SE34+SI34+SM34+SQ34+SU34+SY34+TC34+TG34+TK34</f>
        <v>229578.937972132</v>
      </c>
      <c r="TP34" s="20" t="n">
        <f aca="false">QE34+HP34</f>
        <v>0</v>
      </c>
      <c r="TQ34" s="20" t="n">
        <f aca="false">I34+S34</f>
        <v>79989.3858661224</v>
      </c>
      <c r="TR34" s="20" t="n">
        <f aca="false">1-G34</f>
        <v>1</v>
      </c>
      <c r="TS34" s="20" t="n">
        <f aca="false">IF(AND(RG_Exists=1,G34=0,C34=1),I34,0)</f>
        <v>79989.3858661224</v>
      </c>
      <c r="TT34" s="20" t="n">
        <f aca="false">IF(AND(RG_Exists=1,G34=0,C34=1),I34-MIN(QE34,I34),0)</f>
        <v>79989.3858661224</v>
      </c>
      <c r="TU34" s="20" t="n">
        <f aca="false">'Plan pay &amp; tax'!AD260</f>
        <v>438052.676098176</v>
      </c>
      <c r="TV34" s="20" t="n">
        <f aca="false">IF(AND(C34=1,QE34&gt;MAX(PR_Short1,TQ34*PR_Short2)),1,0)</f>
        <v>0</v>
      </c>
      <c r="TW34" s="20" t="n">
        <f aca="false">MIN(H34,I34+S34)</f>
        <v>58635.5320937646</v>
      </c>
      <c r="TX34" s="20" t="n">
        <f aca="false">QF34+MAX(0,HQ34-HP34)</f>
        <v>21353.8537723578</v>
      </c>
      <c r="TY34" s="20" t="n">
        <f aca="false">QE34+HP34</f>
        <v>0</v>
      </c>
      <c r="TZ34" s="20" t="n">
        <f aca="false">IF(AND(C34=1,TY34&gt;PR_MinShort),1,0)</f>
        <v>0</v>
      </c>
      <c r="UA34" s="20" t="n">
        <f aca="false">IF(AND(C34=1,TZ34=0,TX34&gt;PR_MinShort),1,0)</f>
        <v>1</v>
      </c>
      <c r="UB34" s="20" t="n">
        <f aca="false">IF(AND(C34=1,QE34&gt;PR_MinShort),1,0)</f>
        <v>0</v>
      </c>
      <c r="UC34" s="20" t="n">
        <f aca="false">IF(AND(C34=1,QF34&gt;1,UJ34=0),1,0)</f>
        <v>1</v>
      </c>
      <c r="UD34" s="20" t="str">
        <f aca="false">IF(C34=0,"",IF(UJ34=1,"Gap to plan for: short "&amp;"€"&amp;TEXT(ROUND(TP34,0),"#,##0"),IF(QF34&gt;1,"Using savings","Comfortable")))</f>
        <v>Using savings</v>
      </c>
      <c r="UE34" s="20" t="n">
        <f aca="false">IF(AND(INT(D34/10)*10=90,B34&gt;0),80,INT(D34/10)*10)</f>
        <v>60</v>
      </c>
      <c r="UF34" s="20" t="n">
        <f aca="false">IF(B34=0,1,IF(UE34&lt;&gt;UE33,UF33+1,UF33))</f>
        <v>4</v>
      </c>
      <c r="UG34" s="20" t="n">
        <f aca="false">IF(AND(C34=1,G34=1,QE34&gt;MAX(PR_Short1,TQ34*PR_Short2)),1,0)</f>
        <v>0</v>
      </c>
      <c r="UH34" s="20" t="n">
        <f aca="false">TR34*TV34</f>
        <v>0</v>
      </c>
      <c r="UI34" s="20" t="n">
        <f aca="false">IF(AND(V34=1,Slot1_PctLow=1),1,0)+IF(AND(AG34=1,Slot2_PctLow=1),1,0)+IF(AND(AQ34=1,Slot3_PctLow=1),1,0)+IF(AND(BA34=1,Slot4_PctLow=1),1,0)+IF(AND(BK34=1,Slot5_PctLow=1),1,0)+IF(AND(BU34=1,Slot6_PctLow=1),1,0)+IF(AND(CE34=1,Slot7_PctLow=1),1,0)+IF(AND(CO34=1,Slot8_PctLow=1),1,0)+IF(AND(CY34=1,Slot9_PctLow=1),1,0)+IF(AND(DI34=1,Slot10_PctLow=1),1,0)+IF(AND(DS34=1,Slot11_PctLow=1),1,0)+IF(AND(EC34=1,Slot12_PctLow=1),1,0)+IF(AND(EM34=1,Slot13_PctLow=1),1,0)+IF(AND(EW34=1,Slot14_PctLow=1),1,0)+IF(AND(FG34=1,Slot15_PctLow=1),1,0)+IF(AND(FQ34=1,Slot16_PctLow=1),1,0)+IF(AND(GA34=1,Slot17_PctLow=1),1,0)+IF(AND(GK34=1,Slot18_PctLow=1),1,0)+IF(AND(GU34=1,Slot19_PctLow=1),1,0)+IF(AND(HE34=1,Slot20_PctLow=1),1,0)</f>
        <v>0</v>
      </c>
      <c r="UJ34" s="20" t="n">
        <f aca="false">IF(C34=1,IF(OR(TV34=1,UI34&gt;0),1,0),0)</f>
        <v>0</v>
      </c>
      <c r="UK34" s="20" t="n">
        <f aca="false">Z34+AK34+AU34+BE34+BO34+BY34+CI34+CS34+DC34+DM34+DW34+EG34+EQ34+FA34+FK34+FU34+GE34+GO34+GY34+HI34+OM34</f>
        <v>21353.8537723578</v>
      </c>
      <c r="UL34" s="20" t="n">
        <f aca="false">V34*IF(Slot1_SpendLike=1,X34-Y34,IF(Slot1_PotFree=1,X34,0))+AG34*IF(Slot2_SpendLike=1,AI34-AJ34,IF(Slot2_PotFree=1,AI34,0))+AQ34*IF(Slot3_SpendLike=1,AS34-AT34,IF(Slot3_PotFree=1,AS34,0))+BA34*IF(Slot4_SpendLike=1,BC34-BD34,IF(Slot4_PotFree=1,BC34,0))+BK34*IF(Slot5_SpendLike=1,BM34-BN34,IF(Slot5_PotFree=1,BM34,0))+BU34*IF(Slot6_SpendLike=1,BW34-BX34,IF(Slot6_PotFree=1,BW34,0))+CE34*IF(Slot7_SpendLike=1,CG34-CH34,IF(Slot7_PotFree=1,CG34,0))+CO34*IF(Slot8_SpendLike=1,CQ34-CR34,IF(Slot8_PotFree=1,CQ34,0))+CY34*IF(Slot9_SpendLike=1,DA34-DB34,IF(Slot9_PotFree=1,DA34,0))+DI34*IF(Slot10_SpendLike=1,DK34-DL34,IF(Slot10_PotFree=1,DK34,0))+DS34*IF(Slot11_SpendLike=1,DU34-DV34,IF(Slot11_PotFree=1,DU34,0))+EC34*IF(Slot12_SpendLike=1,EE34-EF34,IF(Slot12_PotFree=1,EE34,0))+EM34*IF(Slot13_SpendLike=1,EO34-EP34,IF(Slot13_PotFree=1,EO34,0))+EW34*IF(Slot14_SpendLike=1,EY34-EZ34,IF(Slot14_PotFree=1,EY34,0))+FG34*IF(Slot15_SpendLike=1,FI34-FJ34,IF(Slot15_PotFree=1,FI34,0))+FQ34*IF(Slot16_SpendLike=1,FS34-FT34,IF(Slot16_PotFree=1,FS34,0))+GA34*IF(Slot17_SpendLike=1,GC34-GD34,IF(Slot17_PotFree=1,GC34,0))+GK34*IF(Slot18_SpendLike=1,GM34-GN34,IF(Slot18_PotFree=1,GM34,0))+GU34*IF(Slot19_SpendLike=1,GW34-GX34,IF(Slot19_PotFree=1,GW34,0))+HE34*IF(Slot20_SpendLike=1,HG34-HH34,IF(Slot20_PotFree=1,HG34,0))</f>
        <v>0</v>
      </c>
      <c r="UM34" s="20" t="n">
        <f aca="false">QG34-T34+UK34-UL34</f>
        <v>0</v>
      </c>
      <c r="UN34" s="20" t="n">
        <f aca="false">IF(OR(UN33=1,AND(In_homeUse="Yes, I'd downsize",In_downAge&gt;0,D34=In_downAge,OR(In_home="Own outright",In_home="Own with mortgage"),In_homeValue&gt;0)),1,0)</f>
        <v>0</v>
      </c>
    </row>
    <row r="35" customFormat="false" ht="15" hidden="false" customHeight="true" outlineLevel="0" collapsed="false">
      <c r="B35" s="20" t="n">
        <v>27</v>
      </c>
      <c r="C35" s="20" t="n">
        <f aca="false">IF(B35&lt;=F_N,1,0)</f>
        <v>1</v>
      </c>
      <c r="D35" s="20" t="n">
        <f aca="false">'Plan pay &amp; tax'!C261</f>
        <v>65</v>
      </c>
      <c r="E35" s="20" t="str">
        <f aca="false">IF($C35=1,"Income tax "&amp;TEXT(N('Plan pay &amp; tax'!BK261),"#,##0")&amp;"; USC "&amp;TEXT(N('Plan pay &amp; tax'!BM261)+N('Plan pay &amp; tax'!BO261),"#,##0")&amp;"; PRSI "&amp;TEXT(N('Plan pay &amp; tax'!BP261)+N('Plan pay &amp; tax'!BQ261),"#,##0")&amp;IF(N('Plan holdings'!BO35)&gt;=0.5,"; DIRT "&amp;TEXT(('Plan holdings'!BO35)/$F35,"#,##0")&amp;" (already taken from the interest earned)","")&amp;IF(N('Plan holdings'!BP35)&gt;=0.5,"; exit tax at an 8-year anniversary "&amp;TEXT(('Plan holdings'!BP35)/$F35,"#,##0"),"")&amp;IF(N('Plan holdings'!BN35)&gt;=0.5,"; tax on assets sold (exit tax or capital gains tax) "&amp;TEXT(('Plan holdings'!BN35)/$F35,"#,##0"),"")&amp;IF(N('Plan pay &amp; tax'!X261)-N('Plan pay &amp; tax'!Y261)&gt;=0.5,"; tax on the pension lump sum "&amp;TEXT(('Plan pay &amp; tax'!X261-'Plan pay &amp; tax'!Y261)/$F35,"#,##0"),"")&amp;IF(N('Plan pay &amp; tax'!V261)&gt;=0.5,"; chargeable excess tax on the pension "&amp;TEXT(('Plan pay &amp; tax'!V261)/$F35,"#,##0"),"")&amp;".","")</f>
        <v>Income tax 1,726; USC 392; PRSI 1,828; DIRT 283 (already taken from the interest earned); exit tax at an 8-year anniversary 382.</v>
      </c>
      <c r="F35" s="50" t="n">
        <f aca="false">'Plan pay &amp; tax'!E261</f>
        <v>1.70688647664111</v>
      </c>
      <c r="G35" s="20" t="n">
        <f aca="false">'Plan pay &amp; tax'!G261</f>
        <v>0</v>
      </c>
      <c r="H35" s="20" t="n">
        <f aca="false">'Plan pay &amp; tax'!BT261-'Plan pay &amp; tax'!BS261-'Plan pay &amp; tax'!R261</f>
        <v>59654.1672286125</v>
      </c>
      <c r="I35" s="20" t="n">
        <f aca="false">IF(G35=1,F_CostsM*12,IF(RG_Exists=1,RG_Amount,F_CostsM*12*AS_RetireSpend))*F35+F_OneOffY*F35</f>
        <v>81589.1735834449</v>
      </c>
      <c r="J35" s="20" t="n">
        <f aca="false">IF(UN35=1,0,HR34)</f>
        <v>0</v>
      </c>
      <c r="K35" s="20" t="n">
        <f aca="false">IF(J35&gt;1,'Plan debt months'!AC35,0)</f>
        <v>0</v>
      </c>
      <c r="L35" s="20" t="n">
        <f aca="false">IF(J35&gt;1,'Plan debt months'!AB35,J35)</f>
        <v>0</v>
      </c>
      <c r="M35" s="20" t="n">
        <f aca="false">O34</f>
        <v>0</v>
      </c>
      <c r="N35" s="20" t="n">
        <f aca="false">IF(M35&gt;1,'Plan debt months'!BD35,0)</f>
        <v>0</v>
      </c>
      <c r="O35" s="20" t="n">
        <f aca="false">IF(M35&gt;1,'Plan debt months'!BC35,M35)</f>
        <v>0</v>
      </c>
      <c r="P35" s="20" t="n">
        <f aca="false">R34</f>
        <v>0</v>
      </c>
      <c r="Q35" s="20" t="n">
        <f aca="false">IF(P35&gt;1,'Plan debt months'!CE35,0)</f>
        <v>0</v>
      </c>
      <c r="R35" s="20" t="n">
        <f aca="false">IF(P35&gt;1,'Plan debt months'!CD35,P35)</f>
        <v>0</v>
      </c>
      <c r="S35" s="20" t="n">
        <f aca="false">K35+N35+Q35</f>
        <v>0</v>
      </c>
      <c r="T35" s="57" t="n">
        <f aca="false">'Plan holdings'!Y35</f>
        <v>210898.867160497</v>
      </c>
      <c r="U35" s="57" t="n">
        <f aca="false">'Plan holdings'!BM34</f>
        <v>214986.8605241</v>
      </c>
      <c r="V35" s="20" t="n">
        <f aca="false">IF(AND(Slot1_On=1,D35=Slot1_Age),1,0)</f>
        <v>0</v>
      </c>
      <c r="W35" s="20" t="n">
        <f aca="false">IF(AND(Slot1_On=1,Slot1_Age&gt;D35),1,0)</f>
        <v>0</v>
      </c>
      <c r="X35" s="20" t="n">
        <f aca="false">QM34</f>
        <v>0</v>
      </c>
      <c r="Y35" s="20" t="n">
        <f aca="false">V35*MIN(Slot1_Cost,X35)</f>
        <v>0</v>
      </c>
      <c r="Z35" s="20" t="n">
        <f aca="false">V35*Slot1_SpendLike*MIN(Slot1_Cost-Y35,T35)</f>
        <v>0</v>
      </c>
      <c r="AA35" s="20" t="n">
        <f aca="false">Y35+Z35</f>
        <v>0</v>
      </c>
      <c r="AB35" s="20" t="n">
        <f aca="false">T35-Z35+V35*IF(Slot1_SpendLike=1,X35-Y35,IF(Slot1_PotFree=1,X35,0))</f>
        <v>210898.867160497</v>
      </c>
      <c r="AC35" s="20" t="n">
        <f aca="false">AF35+V35*Slot1_BufPot*X35</f>
        <v>14592.0774480315</v>
      </c>
      <c r="AD35" s="20" t="n">
        <f aca="false">IF(AND(V35=1,Slot1_IsMfree=1),IF(AA35&gt;=Slot1_Cost-1,0,MAX(0,L35-AA35)),L35)</f>
        <v>0</v>
      </c>
      <c r="AE35" s="20" t="n">
        <f aca="false">V35*(Slot1_Cost-AA35)</f>
        <v>0</v>
      </c>
      <c r="AF35" s="20" t="n">
        <f aca="false">QL34</f>
        <v>14592.0774480315</v>
      </c>
      <c r="AG35" s="20" t="n">
        <f aca="false">IF(AND(Slot2_On=1,D35=Slot2_Age),1,0)</f>
        <v>0</v>
      </c>
      <c r="AH35" s="20" t="n">
        <f aca="false">IF(AND(Slot2_On=1,Slot2_Age&gt;D35),1,0)</f>
        <v>0</v>
      </c>
      <c r="AI35" s="20" t="n">
        <f aca="false">QQ34</f>
        <v>0</v>
      </c>
      <c r="AJ35" s="20" t="n">
        <f aca="false">AG35*MIN(Slot2_Cost,AI35)</f>
        <v>0</v>
      </c>
      <c r="AK35" s="20" t="n">
        <f aca="false">AG35*Slot2_SpendLike*MIN(Slot2_Cost-AJ35,AB35)</f>
        <v>0</v>
      </c>
      <c r="AL35" s="20" t="n">
        <f aca="false">AJ35+AK35</f>
        <v>0</v>
      </c>
      <c r="AM35" s="20" t="n">
        <f aca="false">AB35-AK35+AG35*IF(Slot2_SpendLike=1,AI35-AJ35,IF(Slot2_PotFree=1,AI35,0))</f>
        <v>210898.867160497</v>
      </c>
      <c r="AN35" s="20" t="n">
        <f aca="false">AC35+AG35*Slot2_BufPot*AI35</f>
        <v>14592.0774480315</v>
      </c>
      <c r="AO35" s="20" t="n">
        <f aca="false">IF(AND(AG35=1,Slot2_IsMfree=1),IF(AL35&gt;=Slot2_Cost-1,0,MAX(0,AD35-AL35)),AD35)</f>
        <v>0</v>
      </c>
      <c r="AP35" s="20" t="n">
        <f aca="false">AG35*(Slot2_Cost-AL35)</f>
        <v>0</v>
      </c>
      <c r="AQ35" s="20" t="n">
        <f aca="false">IF(AND(Slot3_On=1,D35=Slot3_Age),1,0)</f>
        <v>0</v>
      </c>
      <c r="AR35" s="20" t="n">
        <f aca="false">IF(AND(Slot3_On=1,Slot3_Age&gt;D35),1,0)</f>
        <v>0</v>
      </c>
      <c r="AS35" s="20" t="n">
        <f aca="false">QU34</f>
        <v>0</v>
      </c>
      <c r="AT35" s="20" t="n">
        <f aca="false">AQ35*MIN(Slot3_Cost,AS35)</f>
        <v>0</v>
      </c>
      <c r="AU35" s="20" t="n">
        <f aca="false">AQ35*Slot3_SpendLike*MIN(Slot3_Cost-AT35,AM35)</f>
        <v>0</v>
      </c>
      <c r="AV35" s="20" t="n">
        <f aca="false">AT35+AU35</f>
        <v>0</v>
      </c>
      <c r="AW35" s="20" t="n">
        <f aca="false">AM35-AU35+AQ35*IF(Slot3_SpendLike=1,AS35-AT35,IF(Slot3_PotFree=1,AS35,0))</f>
        <v>210898.867160497</v>
      </c>
      <c r="AX35" s="20" t="n">
        <f aca="false">AN35+AQ35*Slot3_BufPot*AS35</f>
        <v>14592.0774480315</v>
      </c>
      <c r="AY35" s="20" t="n">
        <f aca="false">IF(AND(AQ35=1,Slot3_IsMfree=1),IF(AV35&gt;=Slot3_Cost-1,0,MAX(0,AO35-AV35)),AO35)</f>
        <v>0</v>
      </c>
      <c r="AZ35" s="20" t="n">
        <f aca="false">AQ35*(Slot3_Cost-AV35)</f>
        <v>0</v>
      </c>
      <c r="BA35" s="20" t="n">
        <f aca="false">IF(AND(Slot4_On=1,D35=Slot4_Age),1,0)</f>
        <v>0</v>
      </c>
      <c r="BB35" s="20" t="n">
        <f aca="false">IF(AND(Slot4_On=1,Slot4_Age&gt;D35),1,0)</f>
        <v>0</v>
      </c>
      <c r="BC35" s="20" t="n">
        <f aca="false">QY34</f>
        <v>0</v>
      </c>
      <c r="BD35" s="20" t="n">
        <f aca="false">BA35*MIN(Slot4_Cost,BC35)</f>
        <v>0</v>
      </c>
      <c r="BE35" s="20" t="n">
        <f aca="false">BA35*Slot4_SpendLike*MIN(Slot4_Cost-BD35,AW35)</f>
        <v>0</v>
      </c>
      <c r="BF35" s="20" t="n">
        <f aca="false">BD35+BE35</f>
        <v>0</v>
      </c>
      <c r="BG35" s="20" t="n">
        <f aca="false">AW35-BE35+BA35*IF(Slot4_SpendLike=1,BC35-BD35,IF(Slot4_PotFree=1,BC35,0))</f>
        <v>210898.867160497</v>
      </c>
      <c r="BH35" s="20" t="n">
        <f aca="false">AX35+BA35*Slot4_BufPot*BC35</f>
        <v>14592.0774480315</v>
      </c>
      <c r="BI35" s="20" t="n">
        <f aca="false">IF(AND(BA35=1,Slot4_IsMfree=1),IF(BF35&gt;=Slot4_Cost-1,0,MAX(0,AY35-BF35)),AY35)</f>
        <v>0</v>
      </c>
      <c r="BJ35" s="20" t="n">
        <f aca="false">BA35*(Slot4_Cost-BF35)</f>
        <v>0</v>
      </c>
      <c r="BK35" s="20" t="n">
        <f aca="false">IF(AND(Slot5_On=1,D35=Slot5_Age),1,0)</f>
        <v>0</v>
      </c>
      <c r="BL35" s="20" t="n">
        <f aca="false">IF(AND(Slot5_On=1,Slot5_Age&gt;D35),1,0)</f>
        <v>0</v>
      </c>
      <c r="BM35" s="20" t="n">
        <f aca="false">RC34</f>
        <v>0</v>
      </c>
      <c r="BN35" s="20" t="n">
        <f aca="false">BK35*MIN(Slot5_Cost,BM35)</f>
        <v>0</v>
      </c>
      <c r="BO35" s="20" t="n">
        <f aca="false">BK35*Slot5_SpendLike*MIN(Slot5_Cost-BN35,BG35)</f>
        <v>0</v>
      </c>
      <c r="BP35" s="20" t="n">
        <f aca="false">BN35+BO35</f>
        <v>0</v>
      </c>
      <c r="BQ35" s="20" t="n">
        <f aca="false">BG35-BO35+BK35*IF(Slot5_SpendLike=1,BM35-BN35,IF(Slot5_PotFree=1,BM35,0))</f>
        <v>210898.867160497</v>
      </c>
      <c r="BR35" s="20" t="n">
        <f aca="false">BH35+BK35*Slot5_BufPot*BM35</f>
        <v>14592.0774480315</v>
      </c>
      <c r="BS35" s="20" t="n">
        <f aca="false">IF(AND(BK35=1,Slot5_IsMfree=1),IF(BP35&gt;=Slot5_Cost-1,0,MAX(0,BI35-BP35)),BI35)</f>
        <v>0</v>
      </c>
      <c r="BT35" s="20" t="n">
        <f aca="false">BK35*(Slot5_Cost-BP35)</f>
        <v>0</v>
      </c>
      <c r="BU35" s="20" t="n">
        <f aca="false">IF(AND(Slot6_On=1,D35=Slot6_Age),1,0)</f>
        <v>0</v>
      </c>
      <c r="BV35" s="20" t="n">
        <f aca="false">IF(AND(Slot6_On=1,Slot6_Age&gt;D35),1,0)</f>
        <v>0</v>
      </c>
      <c r="BW35" s="20" t="n">
        <f aca="false">RG34</f>
        <v>0</v>
      </c>
      <c r="BX35" s="20" t="n">
        <f aca="false">BU35*MIN(Slot6_Cost,BW35)</f>
        <v>0</v>
      </c>
      <c r="BY35" s="20" t="n">
        <f aca="false">BU35*Slot6_SpendLike*MIN(Slot6_Cost-BX35,BQ35)</f>
        <v>0</v>
      </c>
      <c r="BZ35" s="20" t="n">
        <f aca="false">BX35+BY35</f>
        <v>0</v>
      </c>
      <c r="CA35" s="20" t="n">
        <f aca="false">BQ35-BY35+BU35*IF(Slot6_SpendLike=1,BW35-BX35,IF(Slot6_PotFree=1,BW35,0))</f>
        <v>210898.867160497</v>
      </c>
      <c r="CB35" s="20" t="n">
        <f aca="false">BR35+BU35*Slot6_BufPot*BW35</f>
        <v>14592.0774480315</v>
      </c>
      <c r="CC35" s="20" t="n">
        <f aca="false">IF(AND(BU35=1,Slot6_IsMfree=1),IF(BZ35&gt;=Slot6_Cost-1,0,MAX(0,BS35-BZ35)),BS35)</f>
        <v>0</v>
      </c>
      <c r="CD35" s="20" t="n">
        <f aca="false">BU35*(Slot6_Cost-BZ35)</f>
        <v>0</v>
      </c>
      <c r="CE35" s="20" t="n">
        <f aca="false">IF(AND(Slot7_On=1,D35=Slot7_Age),1,0)</f>
        <v>0</v>
      </c>
      <c r="CF35" s="20" t="n">
        <f aca="false">IF(AND(Slot7_On=1,Slot7_Age&gt;D35),1,0)</f>
        <v>0</v>
      </c>
      <c r="CG35" s="20" t="n">
        <f aca="false">RK34</f>
        <v>0</v>
      </c>
      <c r="CH35" s="20" t="n">
        <f aca="false">CE35*MIN(Slot7_Cost,CG35)</f>
        <v>0</v>
      </c>
      <c r="CI35" s="20" t="n">
        <f aca="false">CE35*Slot7_SpendLike*MIN(Slot7_Cost-CH35,CA35)</f>
        <v>0</v>
      </c>
      <c r="CJ35" s="20" t="n">
        <f aca="false">CH35+CI35</f>
        <v>0</v>
      </c>
      <c r="CK35" s="20" t="n">
        <f aca="false">CA35-CI35+CE35*IF(Slot7_SpendLike=1,CG35-CH35,IF(Slot7_PotFree=1,CG35,0))</f>
        <v>210898.867160497</v>
      </c>
      <c r="CL35" s="20" t="n">
        <f aca="false">CB35+CE35*Slot7_BufPot*CG35</f>
        <v>14592.0774480315</v>
      </c>
      <c r="CM35" s="20" t="n">
        <f aca="false">IF(AND(CE35=1,Slot7_IsMfree=1),IF(CJ35&gt;=Slot7_Cost-1,0,MAX(0,CC35-CJ35)),CC35)</f>
        <v>0</v>
      </c>
      <c r="CN35" s="20" t="n">
        <f aca="false">CE35*(Slot7_Cost-CJ35)</f>
        <v>0</v>
      </c>
      <c r="CO35" s="20" t="n">
        <f aca="false">IF(AND(Slot8_On=1,D35=Slot8_Age),1,0)</f>
        <v>0</v>
      </c>
      <c r="CP35" s="20" t="n">
        <f aca="false">IF(AND(Slot8_On=1,Slot8_Age&gt;D35),1,0)</f>
        <v>0</v>
      </c>
      <c r="CQ35" s="20" t="n">
        <f aca="false">RO34</f>
        <v>0</v>
      </c>
      <c r="CR35" s="20" t="n">
        <f aca="false">CO35*MIN(Slot8_Cost,CQ35)</f>
        <v>0</v>
      </c>
      <c r="CS35" s="20" t="n">
        <f aca="false">CO35*Slot8_SpendLike*MIN(Slot8_Cost-CR35,CK35)</f>
        <v>0</v>
      </c>
      <c r="CT35" s="20" t="n">
        <f aca="false">CR35+CS35</f>
        <v>0</v>
      </c>
      <c r="CU35" s="20" t="n">
        <f aca="false">CK35-CS35+CO35*IF(Slot8_SpendLike=1,CQ35-CR35,IF(Slot8_PotFree=1,CQ35,0))</f>
        <v>210898.867160497</v>
      </c>
      <c r="CV35" s="20" t="n">
        <f aca="false">CL35+CO35*Slot8_BufPot*CQ35</f>
        <v>14592.0774480315</v>
      </c>
      <c r="CW35" s="20" t="n">
        <f aca="false">IF(AND(CO35=1,Slot8_IsMfree=1),IF(CT35&gt;=Slot8_Cost-1,0,MAX(0,CM35-CT35)),CM35)</f>
        <v>0</v>
      </c>
      <c r="CX35" s="20" t="n">
        <f aca="false">CO35*(Slot8_Cost-CT35)</f>
        <v>0</v>
      </c>
      <c r="CY35" s="20" t="n">
        <f aca="false">IF(AND(Slot9_On=1,D35=Slot9_Age),1,0)</f>
        <v>0</v>
      </c>
      <c r="CZ35" s="20" t="n">
        <f aca="false">IF(AND(Slot9_On=1,Slot9_Age&gt;D35),1,0)</f>
        <v>0</v>
      </c>
      <c r="DA35" s="20" t="n">
        <f aca="false">RS34</f>
        <v>0</v>
      </c>
      <c r="DB35" s="20" t="n">
        <f aca="false">CY35*MIN(Slot9_Cost,DA35)</f>
        <v>0</v>
      </c>
      <c r="DC35" s="20" t="n">
        <f aca="false">CY35*Slot9_SpendLike*MIN(Slot9_Cost-DB35,CU35)</f>
        <v>0</v>
      </c>
      <c r="DD35" s="20" t="n">
        <f aca="false">DB35+DC35</f>
        <v>0</v>
      </c>
      <c r="DE35" s="20" t="n">
        <f aca="false">CU35-DC35+CY35*IF(Slot9_SpendLike=1,DA35-DB35,IF(Slot9_PotFree=1,DA35,0))</f>
        <v>210898.867160497</v>
      </c>
      <c r="DF35" s="20" t="n">
        <f aca="false">CV35+CY35*Slot9_BufPot*DA35</f>
        <v>14592.0774480315</v>
      </c>
      <c r="DG35" s="20" t="n">
        <f aca="false">IF(AND(CY35=1,Slot9_IsMfree=1),IF(DD35&gt;=Slot9_Cost-1,0,MAX(0,CW35-DD35)),CW35)</f>
        <v>0</v>
      </c>
      <c r="DH35" s="20" t="n">
        <f aca="false">CY35*(Slot9_Cost-DD35)</f>
        <v>0</v>
      </c>
      <c r="DI35" s="20" t="n">
        <f aca="false">IF(AND(Slot10_On=1,D35=Slot10_Age),1,0)</f>
        <v>0</v>
      </c>
      <c r="DJ35" s="20" t="n">
        <f aca="false">IF(AND(Slot10_On=1,Slot10_Age&gt;D35),1,0)</f>
        <v>0</v>
      </c>
      <c r="DK35" s="20" t="n">
        <f aca="false">RW34</f>
        <v>0</v>
      </c>
      <c r="DL35" s="20" t="n">
        <f aca="false">DI35*MIN(Slot10_Cost,DK35)</f>
        <v>0</v>
      </c>
      <c r="DM35" s="20" t="n">
        <f aca="false">DI35*Slot10_SpendLike*MIN(Slot10_Cost-DL35,DE35)</f>
        <v>0</v>
      </c>
      <c r="DN35" s="20" t="n">
        <f aca="false">DL35+DM35</f>
        <v>0</v>
      </c>
      <c r="DO35" s="20" t="n">
        <f aca="false">DE35-DM35+DI35*IF(Slot10_SpendLike=1,DK35-DL35,IF(Slot10_PotFree=1,DK35,0))</f>
        <v>210898.867160497</v>
      </c>
      <c r="DP35" s="20" t="n">
        <f aca="false">DF35+DI35*Slot10_BufPot*DK35</f>
        <v>14592.0774480315</v>
      </c>
      <c r="DQ35" s="20" t="n">
        <f aca="false">IF(AND(DI35=1,Slot10_IsMfree=1),IF(DN35&gt;=Slot10_Cost-1,0,MAX(0,DG35-DN35)),DG35)</f>
        <v>0</v>
      </c>
      <c r="DR35" s="20" t="n">
        <f aca="false">DI35*(Slot10_Cost-DN35)</f>
        <v>0</v>
      </c>
      <c r="DS35" s="20" t="n">
        <f aca="false">IF(AND(Slot11_On=1,D35=Slot11_Age),1,0)</f>
        <v>0</v>
      </c>
      <c r="DT35" s="20" t="n">
        <f aca="false">IF(AND(Slot11_On=1,Slot11_Age&gt;D35),1,0)</f>
        <v>0</v>
      </c>
      <c r="DU35" s="20" t="n">
        <f aca="false">SA34</f>
        <v>0</v>
      </c>
      <c r="DV35" s="20" t="n">
        <f aca="false">DS35*MIN(Slot11_Cost,DU35)</f>
        <v>0</v>
      </c>
      <c r="DW35" s="20" t="n">
        <f aca="false">DS35*Slot11_SpendLike*MIN(Slot11_Cost-DV35,DO35)</f>
        <v>0</v>
      </c>
      <c r="DX35" s="20" t="n">
        <f aca="false">DV35+DW35</f>
        <v>0</v>
      </c>
      <c r="DY35" s="20" t="n">
        <f aca="false">DO35-DW35+DS35*IF(Slot11_SpendLike=1,DU35-DV35,IF(Slot11_PotFree=1,DU35,0))</f>
        <v>210898.867160497</v>
      </c>
      <c r="DZ35" s="20" t="n">
        <f aca="false">DP35+DS35*Slot11_BufPot*DU35</f>
        <v>14592.0774480315</v>
      </c>
      <c r="EA35" s="20" t="n">
        <f aca="false">IF(AND(DS35=1,Slot11_IsMfree=1),IF(DX35&gt;=Slot11_Cost-1,0,MAX(0,DQ35-DX35)),DQ35)</f>
        <v>0</v>
      </c>
      <c r="EB35" s="20" t="n">
        <f aca="false">DS35*(Slot11_Cost-DX35)</f>
        <v>0</v>
      </c>
      <c r="EC35" s="20" t="n">
        <f aca="false">IF(AND(Slot12_On=1,D35=Slot12_Age),1,0)</f>
        <v>0</v>
      </c>
      <c r="ED35" s="20" t="n">
        <f aca="false">IF(AND(Slot12_On=1,Slot12_Age&gt;D35),1,0)</f>
        <v>0</v>
      </c>
      <c r="EE35" s="20" t="n">
        <f aca="false">SE34</f>
        <v>0</v>
      </c>
      <c r="EF35" s="20" t="n">
        <f aca="false">EC35*MIN(Slot12_Cost,EE35)</f>
        <v>0</v>
      </c>
      <c r="EG35" s="20" t="n">
        <f aca="false">EC35*Slot12_SpendLike*MIN(Slot12_Cost-EF35,DY35)</f>
        <v>0</v>
      </c>
      <c r="EH35" s="20" t="n">
        <f aca="false">EF35+EG35</f>
        <v>0</v>
      </c>
      <c r="EI35" s="20" t="n">
        <f aca="false">DY35-EG35+EC35*IF(Slot12_SpendLike=1,EE35-EF35,IF(Slot12_PotFree=1,EE35,0))</f>
        <v>210898.867160497</v>
      </c>
      <c r="EJ35" s="20" t="n">
        <f aca="false">DZ35+EC35*Slot12_BufPot*EE35</f>
        <v>14592.0774480315</v>
      </c>
      <c r="EK35" s="20" t="n">
        <f aca="false">IF(AND(EC35=1,Slot12_IsMfree=1),IF(EH35&gt;=Slot12_Cost-1,0,MAX(0,EA35-EH35)),EA35)</f>
        <v>0</v>
      </c>
      <c r="EL35" s="20" t="n">
        <f aca="false">EC35*(Slot12_Cost-EH35)</f>
        <v>0</v>
      </c>
      <c r="EM35" s="20" t="n">
        <f aca="false">IF(AND(Slot13_On=1,D35=Slot13_Age),1,0)</f>
        <v>0</v>
      </c>
      <c r="EN35" s="20" t="n">
        <f aca="false">IF(AND(Slot13_On=1,Slot13_Age&gt;D35),1,0)</f>
        <v>0</v>
      </c>
      <c r="EO35" s="20" t="n">
        <f aca="false">SI34</f>
        <v>0</v>
      </c>
      <c r="EP35" s="20" t="n">
        <f aca="false">EM35*MIN(Slot13_Cost,EO35)</f>
        <v>0</v>
      </c>
      <c r="EQ35" s="20" t="n">
        <f aca="false">EM35*Slot13_SpendLike*MIN(Slot13_Cost-EP35,EI35)</f>
        <v>0</v>
      </c>
      <c r="ER35" s="20" t="n">
        <f aca="false">EP35+EQ35</f>
        <v>0</v>
      </c>
      <c r="ES35" s="20" t="n">
        <f aca="false">EI35-EQ35+EM35*IF(Slot13_SpendLike=1,EO35-EP35,IF(Slot13_PotFree=1,EO35,0))</f>
        <v>210898.867160497</v>
      </c>
      <c r="ET35" s="20" t="n">
        <f aca="false">EJ35+EM35*Slot13_BufPot*EO35</f>
        <v>14592.0774480315</v>
      </c>
      <c r="EU35" s="20" t="n">
        <f aca="false">IF(AND(EM35=1,Slot13_IsMfree=1),IF(ER35&gt;=Slot13_Cost-1,0,MAX(0,EK35-ER35)),EK35)</f>
        <v>0</v>
      </c>
      <c r="EV35" s="20" t="n">
        <f aca="false">EM35*(Slot13_Cost-ER35)</f>
        <v>0</v>
      </c>
      <c r="EW35" s="20" t="n">
        <f aca="false">IF(AND(Slot14_On=1,D35=Slot14_Age),1,0)</f>
        <v>0</v>
      </c>
      <c r="EX35" s="20" t="n">
        <f aca="false">IF(AND(Slot14_On=1,Slot14_Age&gt;D35),1,0)</f>
        <v>0</v>
      </c>
      <c r="EY35" s="20" t="n">
        <f aca="false">SM34</f>
        <v>0</v>
      </c>
      <c r="EZ35" s="20" t="n">
        <f aca="false">EW35*MIN(Slot14_Cost,EY35)</f>
        <v>0</v>
      </c>
      <c r="FA35" s="20" t="n">
        <f aca="false">EW35*Slot14_SpendLike*MIN(Slot14_Cost-EZ35,ES35)</f>
        <v>0</v>
      </c>
      <c r="FB35" s="20" t="n">
        <f aca="false">EZ35+FA35</f>
        <v>0</v>
      </c>
      <c r="FC35" s="20" t="n">
        <f aca="false">ES35-FA35+EW35*IF(Slot14_SpendLike=1,EY35-EZ35,IF(Slot14_PotFree=1,EY35,0))</f>
        <v>210898.867160497</v>
      </c>
      <c r="FD35" s="20" t="n">
        <f aca="false">ET35+EW35*Slot14_BufPot*EY35</f>
        <v>14592.0774480315</v>
      </c>
      <c r="FE35" s="20" t="n">
        <f aca="false">IF(AND(EW35=1,Slot14_IsMfree=1),IF(FB35&gt;=Slot14_Cost-1,0,MAX(0,EU35-FB35)),EU35)</f>
        <v>0</v>
      </c>
      <c r="FF35" s="20" t="n">
        <f aca="false">EW35*(Slot14_Cost-FB35)</f>
        <v>0</v>
      </c>
      <c r="FG35" s="20" t="n">
        <f aca="false">IF(AND(Slot15_On=1,D35=Slot15_Age),1,0)</f>
        <v>0</v>
      </c>
      <c r="FH35" s="20" t="n">
        <f aca="false">IF(AND(Slot15_On=1,Slot15_Age&gt;D35),1,0)</f>
        <v>0</v>
      </c>
      <c r="FI35" s="20" t="n">
        <f aca="false">SQ34</f>
        <v>0</v>
      </c>
      <c r="FJ35" s="20" t="n">
        <f aca="false">FG35*MIN(Slot15_Cost,FI35)</f>
        <v>0</v>
      </c>
      <c r="FK35" s="20" t="n">
        <f aca="false">FG35*Slot15_SpendLike*MIN(Slot15_Cost-FJ35,FC35)</f>
        <v>0</v>
      </c>
      <c r="FL35" s="20" t="n">
        <f aca="false">FJ35+FK35</f>
        <v>0</v>
      </c>
      <c r="FM35" s="20" t="n">
        <f aca="false">FC35-FK35+FG35*IF(Slot15_SpendLike=1,FI35-FJ35,IF(Slot15_PotFree=1,FI35,0))</f>
        <v>210898.867160497</v>
      </c>
      <c r="FN35" s="20" t="n">
        <f aca="false">FD35+FG35*Slot15_BufPot*FI35</f>
        <v>14592.0774480315</v>
      </c>
      <c r="FO35" s="20" t="n">
        <f aca="false">IF(AND(FG35=1,Slot15_IsMfree=1),IF(FL35&gt;=Slot15_Cost-1,0,MAX(0,FE35-FL35)),FE35)</f>
        <v>0</v>
      </c>
      <c r="FP35" s="20" t="n">
        <f aca="false">FG35*(Slot15_Cost-FL35)</f>
        <v>0</v>
      </c>
      <c r="FQ35" s="20" t="n">
        <f aca="false">IF(AND(Slot16_On=1,D35=Slot16_Age),1,0)</f>
        <v>0</v>
      </c>
      <c r="FR35" s="20" t="n">
        <f aca="false">IF(AND(Slot16_On=1,Slot16_Age&gt;D35),1,0)</f>
        <v>0</v>
      </c>
      <c r="FS35" s="20" t="n">
        <f aca="false">SU34</f>
        <v>0</v>
      </c>
      <c r="FT35" s="20" t="n">
        <f aca="false">FQ35*MIN(Slot16_Cost,FS35)</f>
        <v>0</v>
      </c>
      <c r="FU35" s="20" t="n">
        <f aca="false">FQ35*Slot16_SpendLike*MIN(Slot16_Cost-FT35,FM35)</f>
        <v>0</v>
      </c>
      <c r="FV35" s="20" t="n">
        <f aca="false">FT35+FU35</f>
        <v>0</v>
      </c>
      <c r="FW35" s="20" t="n">
        <f aca="false">FM35-FU35+FQ35*IF(Slot16_SpendLike=1,FS35-FT35,IF(Slot16_PotFree=1,FS35,0))</f>
        <v>210898.867160497</v>
      </c>
      <c r="FX35" s="20" t="n">
        <f aca="false">FN35+FQ35*Slot16_BufPot*FS35</f>
        <v>14592.0774480315</v>
      </c>
      <c r="FY35" s="20" t="n">
        <f aca="false">IF(AND(FQ35=1,Slot16_IsMfree=1),IF(FV35&gt;=Slot16_Cost-1,0,MAX(0,FO35-FV35)),FO35)</f>
        <v>0</v>
      </c>
      <c r="FZ35" s="20" t="n">
        <f aca="false">FQ35*(Slot16_Cost-FV35)</f>
        <v>0</v>
      </c>
      <c r="GA35" s="20" t="n">
        <f aca="false">IF(AND(Slot17_On=1,D35=Slot17_Age),1,0)</f>
        <v>0</v>
      </c>
      <c r="GB35" s="20" t="n">
        <f aca="false">IF(AND(Slot17_On=1,Slot17_Age&gt;D35),1,0)</f>
        <v>0</v>
      </c>
      <c r="GC35" s="20" t="n">
        <f aca="false">SY34</f>
        <v>0</v>
      </c>
      <c r="GD35" s="20" t="n">
        <f aca="false">GA35*MIN(Slot17_Cost,GC35)</f>
        <v>0</v>
      </c>
      <c r="GE35" s="20" t="n">
        <f aca="false">GA35*Slot17_SpendLike*MIN(Slot17_Cost-GD35,FW35)</f>
        <v>0</v>
      </c>
      <c r="GF35" s="20" t="n">
        <f aca="false">GD35+GE35</f>
        <v>0</v>
      </c>
      <c r="GG35" s="20" t="n">
        <f aca="false">FW35-GE35+GA35*IF(Slot17_SpendLike=1,GC35-GD35,IF(Slot17_PotFree=1,GC35,0))</f>
        <v>210898.867160497</v>
      </c>
      <c r="GH35" s="20" t="n">
        <f aca="false">FX35+GA35*Slot17_BufPot*GC35</f>
        <v>14592.0774480315</v>
      </c>
      <c r="GI35" s="20" t="n">
        <f aca="false">IF(AND(GA35=1,Slot17_IsMfree=1),IF(GF35&gt;=Slot17_Cost-1,0,MAX(0,FY35-GF35)),FY35)</f>
        <v>0</v>
      </c>
      <c r="GJ35" s="20" t="n">
        <f aca="false">GA35*(Slot17_Cost-GF35)</f>
        <v>0</v>
      </c>
      <c r="GK35" s="20" t="n">
        <f aca="false">IF(AND(Slot18_On=1,D35=Slot18_Age),1,0)</f>
        <v>0</v>
      </c>
      <c r="GL35" s="20" t="n">
        <f aca="false">IF(AND(Slot18_On=1,Slot18_Age&gt;D35),1,0)</f>
        <v>0</v>
      </c>
      <c r="GM35" s="20" t="n">
        <f aca="false">TC34</f>
        <v>0</v>
      </c>
      <c r="GN35" s="20" t="n">
        <f aca="false">GK35*MIN(Slot18_Cost,GM35)</f>
        <v>0</v>
      </c>
      <c r="GO35" s="20" t="n">
        <f aca="false">GK35*Slot18_SpendLike*MIN(Slot18_Cost-GN35,GG35)</f>
        <v>0</v>
      </c>
      <c r="GP35" s="20" t="n">
        <f aca="false">GN35+GO35</f>
        <v>0</v>
      </c>
      <c r="GQ35" s="20" t="n">
        <f aca="false">GG35-GO35+GK35*IF(Slot18_SpendLike=1,GM35-GN35,IF(Slot18_PotFree=1,GM35,0))</f>
        <v>210898.867160497</v>
      </c>
      <c r="GR35" s="20" t="n">
        <f aca="false">GH35+GK35*Slot18_BufPot*GM35</f>
        <v>14592.0774480315</v>
      </c>
      <c r="GS35" s="20" t="n">
        <f aca="false">IF(AND(GK35=1,Slot18_IsMfree=1),IF(GP35&gt;=Slot18_Cost-1,0,MAX(0,GI35-GP35)),GI35)</f>
        <v>0</v>
      </c>
      <c r="GT35" s="20" t="n">
        <f aca="false">GK35*(Slot18_Cost-GP35)</f>
        <v>0</v>
      </c>
      <c r="GU35" s="20" t="n">
        <f aca="false">IF(AND(Slot19_On=1,D35=Slot19_Age),1,0)</f>
        <v>0</v>
      </c>
      <c r="GV35" s="20" t="n">
        <f aca="false">IF(AND(Slot19_On=1,Slot19_Age&gt;D35),1,0)</f>
        <v>0</v>
      </c>
      <c r="GW35" s="20" t="n">
        <f aca="false">TG34</f>
        <v>0</v>
      </c>
      <c r="GX35" s="20" t="n">
        <f aca="false">GU35*MIN(Slot19_Cost,GW35)</f>
        <v>0</v>
      </c>
      <c r="GY35" s="20" t="n">
        <f aca="false">GU35*Slot19_SpendLike*MIN(Slot19_Cost-GX35,GQ35)</f>
        <v>0</v>
      </c>
      <c r="GZ35" s="20" t="n">
        <f aca="false">GX35+GY35</f>
        <v>0</v>
      </c>
      <c r="HA35" s="20" t="n">
        <f aca="false">GQ35-GY35+GU35*IF(Slot19_SpendLike=1,GW35-GX35,IF(Slot19_PotFree=1,GW35,0))</f>
        <v>210898.867160497</v>
      </c>
      <c r="HB35" s="20" t="n">
        <f aca="false">GR35+GU35*Slot19_BufPot*GW35</f>
        <v>14592.0774480315</v>
      </c>
      <c r="HC35" s="20" t="n">
        <f aca="false">IF(AND(GU35=1,Slot19_IsMfree=1),IF(GZ35&gt;=Slot19_Cost-1,0,MAX(0,GS35-GZ35)),GS35)</f>
        <v>0</v>
      </c>
      <c r="HD35" s="20" t="n">
        <f aca="false">GU35*(Slot19_Cost-GZ35)</f>
        <v>0</v>
      </c>
      <c r="HE35" s="20" t="n">
        <f aca="false">IF(AND(Slot20_On=1,D35=Slot20_Age),1,0)</f>
        <v>0</v>
      </c>
      <c r="HF35" s="20" t="n">
        <f aca="false">IF(AND(Slot20_On=1,Slot20_Age&gt;D35),1,0)</f>
        <v>0</v>
      </c>
      <c r="HG35" s="20" t="n">
        <f aca="false">TK34</f>
        <v>0</v>
      </c>
      <c r="HH35" s="20" t="n">
        <f aca="false">HE35*MIN(Slot20_Cost,HG35)</f>
        <v>0</v>
      </c>
      <c r="HI35" s="20" t="n">
        <f aca="false">HE35*Slot20_SpendLike*MIN(Slot20_Cost-HH35,HA35)</f>
        <v>0</v>
      </c>
      <c r="HJ35" s="20" t="n">
        <f aca="false">HH35+HI35</f>
        <v>0</v>
      </c>
      <c r="HK35" s="20" t="n">
        <f aca="false">HA35-HI35+HE35*IF(Slot20_SpendLike=1,HG35-HH35,IF(Slot20_PotFree=1,HG35,0))</f>
        <v>210898.867160497</v>
      </c>
      <c r="HL35" s="20" t="n">
        <f aca="false">HB35+HE35*Slot20_BufPot*HG35</f>
        <v>14592.0774480315</v>
      </c>
      <c r="HM35" s="20" t="n">
        <f aca="false">IF(AND(HE35=1,Slot20_IsMfree=1),IF(HJ35&gt;=Slot20_Cost-1,0,MAX(0,HC35-HJ35)),HC35)</f>
        <v>0</v>
      </c>
      <c r="HN35" s="20" t="n">
        <f aca="false">HE35*(Slot20_Cost-HJ35)</f>
        <v>0</v>
      </c>
      <c r="HO35" s="20" t="n">
        <f aca="false">V35*Slot1_SpendLike*AA35+AG35*Slot2_SpendLike*AL35+AQ35*Slot3_SpendLike*AV35+BA35*Slot4_SpendLike*BF35+BK35*Slot5_SpendLike*BP35+BU35*Slot6_SpendLike*BZ35+CE35*Slot7_SpendLike*CJ35+CO35*Slot8_SpendLike*CT35+CY35*Slot9_SpendLike*DD35+DI35*Slot10_SpendLike*DN35+DS35*Slot11_SpendLike*DX35+EC35*Slot12_SpendLike*EH35+EM35*Slot13_SpendLike*ER35+EW35*Slot14_SpendLike*FB35+FG35*Slot15_SpendLike*FL35+FQ35*Slot16_SpendLike*FV35+GA35*Slot17_SpendLike*GF35+GK35*Slot18_SpendLike*GP35+GU35*Slot19_SpendLike*GZ35+HE35*Slot20_SpendLike*HJ35</f>
        <v>0</v>
      </c>
      <c r="HP35" s="20" t="n">
        <f aca="false">AE35+AP35+AZ35+BJ35+BT35+CD35+CN35+CX35+DH35+DR35+EB35+EL35+EV35+FF35+FP35+FZ35+GJ35+GT35+HD35+HN35</f>
        <v>0</v>
      </c>
      <c r="HQ35" s="20" t="n">
        <f aca="false">V35*Slot1_Cost+AG35*Slot2_Cost+AQ35*Slot3_Cost+BA35*Slot4_Cost+BK35*Slot5_Cost+BU35*Slot6_Cost+CE35*Slot7_Cost+CO35*Slot8_Cost+CY35*Slot9_Cost+DI35*Slot10_Cost+DS35*Slot11_Cost+EC35*Slot12_Cost+EM35*Slot13_Cost+EW35*Slot14_Cost+FG35*Slot15_Cost+FQ35*Slot16_Cost+GA35*Slot17_Cost+GK35*Slot18_Cost+GU35*Slot19_Cost+HE35*Slot20_Cost</f>
        <v>0</v>
      </c>
      <c r="HR35" s="20" t="n">
        <f aca="false">HM35</f>
        <v>0</v>
      </c>
      <c r="HS35" s="20" t="n">
        <f aca="false">H35-I35-S35</f>
        <v>-21935.0063548324</v>
      </c>
      <c r="HT35" s="20" t="n">
        <f aca="false">IF(B35=0,IF(AND(Has_q6=1,In_q6=4),PR_ShareVaries*(MAX(0,HS35)/12),MIN(IF(Has_q6=1,CHOOSE(In_q6+1,PR_SaveB1,PR_SaveB2,PR_SaveB3,PR_SaveB4,0),AS_NoAnswer),AS_SaveShare*(MAX(0,HS35)/12))),HT34)</f>
        <v>67.3316893520437</v>
      </c>
      <c r="HU35" s="20" t="n">
        <f aca="false">IF(HS35&gt;=0,1,0)</f>
        <v>0</v>
      </c>
      <c r="HV35" s="20" t="n">
        <f aca="false">MAX(0,HS35/12/F35)</f>
        <v>0</v>
      </c>
      <c r="HW35" s="20" t="n">
        <f aca="false">IF(AND(Has_q6=1,In_q6=4),PR_ShareVaries*(HV35),MIN(IF(Has_q6=1,CHOOSE(In_q6+1,PR_SaveB1,PR_SaveB2,PR_SaveB3,PR_SaveB4,0),AS_NoAnswer),AS_SaveShare*(HV35)))</f>
        <v>0</v>
      </c>
      <c r="HX35" s="20" t="n">
        <f aca="false">IF(Has_saveM=1,IF(In_saveUp="Yes",1,IF(In_saveUp="No",0,IF(In_saveM&gt;=HT35-0.5,1,0))),0)</f>
        <v>0</v>
      </c>
      <c r="HY35" s="20" t="n">
        <f aca="false">IF(Has_saveM=1,MIN(HV35,IF(HX35=1,MAX(In_saveM,HW35),MIN(In_saveM,HW35))),HW35)</f>
        <v>0</v>
      </c>
      <c r="HZ35" s="20" t="n">
        <f aca="false">IF(G35=1,HY35*12*F35,0)</f>
        <v>0</v>
      </c>
      <c r="IA35" s="20" t="n">
        <f aca="false">MAX(0,HZ35+IF(AND(WI_Retire=0,WI_M&lt;0,G35=1),WI_M*12*F35,0))</f>
        <v>0</v>
      </c>
      <c r="IB35" s="20" t="n">
        <f aca="false">Slot1_IsWG*W35+Slot2_IsWG*AH35+Slot3_IsWG*AR35+Slot4_IsWG*BB35+Slot5_IsWG*BL35+Slot6_IsWG*BV35+Slot7_IsWG*CF35+Slot8_IsWG*CP35+Slot9_IsWG*CZ35+Slot10_IsWG*DJ35+Slot11_IsWG*DT35+Slot12_IsWG*ED35+Slot13_IsWG*EN35+Slot14_IsWG*EX35+Slot15_IsWG*FH35+Slot16_IsWG*FR35+Slot17_IsWG*GB35+Slot18_IsWG*GL35+Slot19_IsWG*GV35+Slot20_IsWG*HF35</f>
        <v>0</v>
      </c>
      <c r="IC35" s="20" t="n">
        <f aca="false">IF(AND(WI_Retire=0,WI_M&gt;0,G35=1,IB35&gt;=1),WI_M*12*F35,0)</f>
        <v>0</v>
      </c>
      <c r="ID35" s="20" t="n">
        <f aca="false">IF(HU35=1,MIN(IA35,HS35),0)</f>
        <v>0</v>
      </c>
      <c r="IE35" s="20" t="n">
        <f aca="false">IF(HU35=1,MIN(IC35,HS35-ID35),0)</f>
        <v>0</v>
      </c>
      <c r="IF35" s="20" t="n">
        <f aca="false">IF(W35=1,IF(ABS((1+AS_Wage)/(1+Slot1_Rate)-1)&lt;0.000000000001,(Slot1_Age-D35)*(1+Slot1_Rate)^(Slot1_Age-D35),(1+Slot1_Rate)^(Slot1_Age-D35)*(1-((1+AS_Wage)/(1+Slot1_Rate))^(Slot1_Age-D35))/(1-(1+AS_Wage)/(1+Slot1_Rate))),1)</f>
        <v>1</v>
      </c>
      <c r="IG35" s="20" t="n">
        <f aca="false">IF(AND(HU35=1,IE35&gt;0,Slot1_IsWG=1,W35=1),MAX(0,(Slot1_Cost-X35*(1+Slot1_Rate)^(Slot1_Age-D35))/IF35),0)</f>
        <v>0</v>
      </c>
      <c r="IH35" s="20" t="n">
        <f aca="false">IF(AND(HU35=1,IE35&gt;0,Slot1_IsWG=1,W35=1),MIN(IE35,IG35),0)</f>
        <v>0</v>
      </c>
      <c r="II35" s="20" t="n">
        <f aca="false">X35+IH35</f>
        <v>0</v>
      </c>
      <c r="IJ35" s="20" t="n">
        <f aca="false">IF(W35=1,MAX(0,(Slot1_Cost-II35*(1+Slot1_Rate)^(Slot1_Age-D35))/IF35),0)</f>
        <v>0</v>
      </c>
      <c r="IK35" s="20" t="n">
        <f aca="false">IF(W35=1,MAX(0,(Slot1_Cost-X35*(1+Slot1_Rate)^(Slot1_Age-D35))/IF35),0)</f>
        <v>0</v>
      </c>
      <c r="IL35" s="20" t="n">
        <f aca="false">IF(AND(HU35=1,W35=1),MIN(ID35,IJ35),0)</f>
        <v>0</v>
      </c>
      <c r="IM35" s="20" t="n">
        <f aca="false">ID35-IL35</f>
        <v>0</v>
      </c>
      <c r="IN35" s="20" t="n">
        <f aca="false">IF(AH35=1,IF(ABS((1+AS_Wage)/(1+Slot2_Rate)-1)&lt;0.000000000001,(Slot2_Age-D35)*(1+Slot2_Rate)^(Slot2_Age-D35),(1+Slot2_Rate)^(Slot2_Age-D35)*(1-((1+AS_Wage)/(1+Slot2_Rate))^(Slot2_Age-D35))/(1-(1+AS_Wage)/(1+Slot2_Rate))),1)</f>
        <v>1</v>
      </c>
      <c r="IO35" s="20" t="n">
        <f aca="false">IF(AND(HU35=1,IE35&gt;0,Slot2_IsWG=1,AH35=1),MAX(0,(Slot2_Cost-AI35*(1+Slot2_Rate)^(Slot2_Age-D35))/IN35),0)</f>
        <v>0</v>
      </c>
      <c r="IP35" s="20" t="n">
        <f aca="false">IF(AND(HU35=1,IE35&gt;0,Slot2_IsWG=1,AH35=1),MIN(IE35,IO35),0)</f>
        <v>0</v>
      </c>
      <c r="IQ35" s="20" t="n">
        <f aca="false">AI35+IP35</f>
        <v>0</v>
      </c>
      <c r="IR35" s="20" t="n">
        <f aca="false">IF(AH35=1,MAX(0,(Slot2_Cost-IQ35*(1+Slot2_Rate)^(Slot2_Age-D35))/IN35),0)</f>
        <v>0</v>
      </c>
      <c r="IS35" s="20" t="n">
        <f aca="false">IF(AH35=1,MAX(0,(Slot2_Cost-AI35*(1+Slot2_Rate)^(Slot2_Age-D35))/IN35),0)</f>
        <v>0</v>
      </c>
      <c r="IT35" s="20" t="n">
        <f aca="false">IF(AND(HU35=1,AH35=1),MIN(IM35,IR35),0)</f>
        <v>0</v>
      </c>
      <c r="IU35" s="20" t="n">
        <f aca="false">IM35-IT35</f>
        <v>0</v>
      </c>
      <c r="IV35" s="20" t="n">
        <f aca="false">IF(AR35=1,IF(ABS((1+AS_Wage)/(1+Slot3_Rate)-1)&lt;0.000000000001,(Slot3_Age-D35)*(1+Slot3_Rate)^(Slot3_Age-D35),(1+Slot3_Rate)^(Slot3_Age-D35)*(1-((1+AS_Wage)/(1+Slot3_Rate))^(Slot3_Age-D35))/(1-(1+AS_Wage)/(1+Slot3_Rate))),1)</f>
        <v>1</v>
      </c>
      <c r="IW35" s="20" t="n">
        <f aca="false">IF(AND(HU35=1,IE35&gt;0,Slot3_IsWG=1,AR35=1),MAX(0,(Slot3_Cost-AS35*(1+Slot3_Rate)^(Slot3_Age-D35))/IV35),0)</f>
        <v>0</v>
      </c>
      <c r="IX35" s="20" t="n">
        <f aca="false">IF(AND(HU35=1,IE35&gt;0,Slot3_IsWG=1,AR35=1),MIN(IE35,IW35),0)</f>
        <v>0</v>
      </c>
      <c r="IY35" s="20" t="n">
        <f aca="false">AS35+IX35</f>
        <v>0</v>
      </c>
      <c r="IZ35" s="20" t="n">
        <f aca="false">IF(AR35=1,MAX(0,(Slot3_Cost-IY35*(1+Slot3_Rate)^(Slot3_Age-D35))/IV35),0)</f>
        <v>0</v>
      </c>
      <c r="JA35" s="20" t="n">
        <f aca="false">IF(AR35=1,MAX(0,(Slot3_Cost-AS35*(1+Slot3_Rate)^(Slot3_Age-D35))/IV35),0)</f>
        <v>0</v>
      </c>
      <c r="JB35" s="20" t="n">
        <f aca="false">IF(AND(HU35=1,AR35=1),MIN(IU35,IZ35),0)</f>
        <v>0</v>
      </c>
      <c r="JC35" s="20" t="n">
        <f aca="false">IU35-JB35</f>
        <v>0</v>
      </c>
      <c r="JD35" s="20" t="n">
        <f aca="false">IF(BB35=1,IF(ABS((1+AS_Wage)/(1+Slot4_Rate)-1)&lt;0.000000000001,(Slot4_Age-D35)*(1+Slot4_Rate)^(Slot4_Age-D35),(1+Slot4_Rate)^(Slot4_Age-D35)*(1-((1+AS_Wage)/(1+Slot4_Rate))^(Slot4_Age-D35))/(1-(1+AS_Wage)/(1+Slot4_Rate))),1)</f>
        <v>1</v>
      </c>
      <c r="JE35" s="20" t="n">
        <f aca="false">IF(AND(HU35=1,IE35&gt;0,Slot4_IsWG=1,BB35=1),MAX(0,(Slot4_Cost-BC35*(1+Slot4_Rate)^(Slot4_Age-D35))/JD35),0)</f>
        <v>0</v>
      </c>
      <c r="JF35" s="20" t="n">
        <f aca="false">IF(AND(HU35=1,IE35&gt;0,Slot4_IsWG=1,BB35=1),MIN(IE35,JE35),0)</f>
        <v>0</v>
      </c>
      <c r="JG35" s="20" t="n">
        <f aca="false">BC35+JF35</f>
        <v>0</v>
      </c>
      <c r="JH35" s="20" t="n">
        <f aca="false">IF(BB35=1,MAX(0,(Slot4_Cost-JG35*(1+Slot4_Rate)^(Slot4_Age-D35))/JD35),0)</f>
        <v>0</v>
      </c>
      <c r="JI35" s="20" t="n">
        <f aca="false">IF(BB35=1,MAX(0,(Slot4_Cost-BC35*(1+Slot4_Rate)^(Slot4_Age-D35))/JD35),0)</f>
        <v>0</v>
      </c>
      <c r="JJ35" s="20" t="n">
        <f aca="false">IF(AND(HU35=1,BB35=1),MIN(JC35,JH35),0)</f>
        <v>0</v>
      </c>
      <c r="JK35" s="20" t="n">
        <f aca="false">JC35-JJ35</f>
        <v>0</v>
      </c>
      <c r="JL35" s="20" t="n">
        <f aca="false">IF(BL35=1,IF(ABS((1+AS_Wage)/(1+Slot5_Rate)-1)&lt;0.000000000001,(Slot5_Age-D35)*(1+Slot5_Rate)^(Slot5_Age-D35),(1+Slot5_Rate)^(Slot5_Age-D35)*(1-((1+AS_Wage)/(1+Slot5_Rate))^(Slot5_Age-D35))/(1-(1+AS_Wage)/(1+Slot5_Rate))),1)</f>
        <v>1</v>
      </c>
      <c r="JM35" s="20" t="n">
        <f aca="false">IF(AND(HU35=1,IE35&gt;0,Slot5_IsWG=1,BL35=1),MAX(0,(Slot5_Cost-BM35*(1+Slot5_Rate)^(Slot5_Age-D35))/JL35),0)</f>
        <v>0</v>
      </c>
      <c r="JN35" s="20" t="n">
        <f aca="false">IF(AND(HU35=1,IE35&gt;0,Slot5_IsWG=1,BL35=1),MIN(IE35,JM35),0)</f>
        <v>0</v>
      </c>
      <c r="JO35" s="20" t="n">
        <f aca="false">BM35+JN35</f>
        <v>0</v>
      </c>
      <c r="JP35" s="20" t="n">
        <f aca="false">IF(BL35=1,MAX(0,(Slot5_Cost-JO35*(1+Slot5_Rate)^(Slot5_Age-D35))/JL35),0)</f>
        <v>0</v>
      </c>
      <c r="JQ35" s="20" t="n">
        <f aca="false">IF(BL35=1,MAX(0,(Slot5_Cost-BM35*(1+Slot5_Rate)^(Slot5_Age-D35))/JL35),0)</f>
        <v>0</v>
      </c>
      <c r="JR35" s="20" t="n">
        <f aca="false">IF(AND(HU35=1,BL35=1),MIN(JK35,JP35),0)</f>
        <v>0</v>
      </c>
      <c r="JS35" s="20" t="n">
        <f aca="false">JK35-JR35</f>
        <v>0</v>
      </c>
      <c r="JT35" s="20" t="n">
        <f aca="false">IF(BV35=1,IF(ABS((1+AS_Wage)/(1+Slot6_Rate)-1)&lt;0.000000000001,(Slot6_Age-D35)*(1+Slot6_Rate)^(Slot6_Age-D35),(1+Slot6_Rate)^(Slot6_Age-D35)*(1-((1+AS_Wage)/(1+Slot6_Rate))^(Slot6_Age-D35))/(1-(1+AS_Wage)/(1+Slot6_Rate))),1)</f>
        <v>1</v>
      </c>
      <c r="JU35" s="20" t="n">
        <f aca="false">IF(AND(HU35=1,IE35&gt;0,Slot6_IsWG=1,BV35=1),MAX(0,(Slot6_Cost-BW35*(1+Slot6_Rate)^(Slot6_Age-D35))/JT35),0)</f>
        <v>0</v>
      </c>
      <c r="JV35" s="20" t="n">
        <f aca="false">IF(AND(HU35=1,IE35&gt;0,Slot6_IsWG=1,BV35=1),MIN(IE35,JU35),0)</f>
        <v>0</v>
      </c>
      <c r="JW35" s="20" t="n">
        <f aca="false">BW35+JV35</f>
        <v>0</v>
      </c>
      <c r="JX35" s="20" t="n">
        <f aca="false">IF(BV35=1,MAX(0,(Slot6_Cost-JW35*(1+Slot6_Rate)^(Slot6_Age-D35))/JT35),0)</f>
        <v>0</v>
      </c>
      <c r="JY35" s="20" t="n">
        <f aca="false">IF(BV35=1,MAX(0,(Slot6_Cost-BW35*(1+Slot6_Rate)^(Slot6_Age-D35))/JT35),0)</f>
        <v>0</v>
      </c>
      <c r="JZ35" s="20" t="n">
        <f aca="false">IF(AND(HU35=1,BV35=1),MIN(JS35,JX35),0)</f>
        <v>0</v>
      </c>
      <c r="KA35" s="20" t="n">
        <f aca="false">JS35-JZ35</f>
        <v>0</v>
      </c>
      <c r="KB35" s="20" t="n">
        <f aca="false">IF(CF35=1,IF(ABS((1+AS_Wage)/(1+Slot7_Rate)-1)&lt;0.000000000001,(Slot7_Age-D35)*(1+Slot7_Rate)^(Slot7_Age-D35),(1+Slot7_Rate)^(Slot7_Age-D35)*(1-((1+AS_Wage)/(1+Slot7_Rate))^(Slot7_Age-D35))/(1-(1+AS_Wage)/(1+Slot7_Rate))),1)</f>
        <v>1</v>
      </c>
      <c r="KC35" s="20" t="n">
        <f aca="false">IF(AND(HU35=1,IE35&gt;0,Slot7_IsWG=1,CF35=1),MAX(0,(Slot7_Cost-CG35*(1+Slot7_Rate)^(Slot7_Age-D35))/KB35),0)</f>
        <v>0</v>
      </c>
      <c r="KD35" s="20" t="n">
        <f aca="false">IF(AND(HU35=1,IE35&gt;0,Slot7_IsWG=1,CF35=1),MIN(IE35,KC35),0)</f>
        <v>0</v>
      </c>
      <c r="KE35" s="20" t="n">
        <f aca="false">CG35+KD35</f>
        <v>0</v>
      </c>
      <c r="KF35" s="20" t="n">
        <f aca="false">IF(CF35=1,MAX(0,(Slot7_Cost-KE35*(1+Slot7_Rate)^(Slot7_Age-D35))/KB35),0)</f>
        <v>0</v>
      </c>
      <c r="KG35" s="20" t="n">
        <f aca="false">IF(CF35=1,MAX(0,(Slot7_Cost-CG35*(1+Slot7_Rate)^(Slot7_Age-D35))/KB35),0)</f>
        <v>0</v>
      </c>
      <c r="KH35" s="20" t="n">
        <f aca="false">IF(AND(HU35=1,CF35=1),MIN(KA35,KF35),0)</f>
        <v>0</v>
      </c>
      <c r="KI35" s="20" t="n">
        <f aca="false">KA35-KH35</f>
        <v>0</v>
      </c>
      <c r="KJ35" s="20" t="n">
        <f aca="false">IF(CP35=1,IF(ABS((1+AS_Wage)/(1+Slot8_Rate)-1)&lt;0.000000000001,(Slot8_Age-D35)*(1+Slot8_Rate)^(Slot8_Age-D35),(1+Slot8_Rate)^(Slot8_Age-D35)*(1-((1+AS_Wage)/(1+Slot8_Rate))^(Slot8_Age-D35))/(1-(1+AS_Wage)/(1+Slot8_Rate))),1)</f>
        <v>1</v>
      </c>
      <c r="KK35" s="20" t="n">
        <f aca="false">IF(AND(HU35=1,IE35&gt;0,Slot8_IsWG=1,CP35=1),MAX(0,(Slot8_Cost-CQ35*(1+Slot8_Rate)^(Slot8_Age-D35))/KJ35),0)</f>
        <v>0</v>
      </c>
      <c r="KL35" s="20" t="n">
        <f aca="false">IF(AND(HU35=1,IE35&gt;0,Slot8_IsWG=1,CP35=1),MIN(IE35,KK35),0)</f>
        <v>0</v>
      </c>
      <c r="KM35" s="20" t="n">
        <f aca="false">CQ35+KL35</f>
        <v>0</v>
      </c>
      <c r="KN35" s="20" t="n">
        <f aca="false">IF(CP35=1,MAX(0,(Slot8_Cost-KM35*(1+Slot8_Rate)^(Slot8_Age-D35))/KJ35),0)</f>
        <v>0</v>
      </c>
      <c r="KO35" s="20" t="n">
        <f aca="false">IF(CP35=1,MAX(0,(Slot8_Cost-CQ35*(1+Slot8_Rate)^(Slot8_Age-D35))/KJ35),0)</f>
        <v>0</v>
      </c>
      <c r="KP35" s="20" t="n">
        <f aca="false">IF(AND(HU35=1,CP35=1),MIN(KI35,KN35),0)</f>
        <v>0</v>
      </c>
      <c r="KQ35" s="20" t="n">
        <f aca="false">KI35-KP35</f>
        <v>0</v>
      </c>
      <c r="KR35" s="20" t="n">
        <f aca="false">IF(CZ35=1,IF(ABS((1+AS_Wage)/(1+Slot9_Rate)-1)&lt;0.000000000001,(Slot9_Age-D35)*(1+Slot9_Rate)^(Slot9_Age-D35),(1+Slot9_Rate)^(Slot9_Age-D35)*(1-((1+AS_Wage)/(1+Slot9_Rate))^(Slot9_Age-D35))/(1-(1+AS_Wage)/(1+Slot9_Rate))),1)</f>
        <v>1</v>
      </c>
      <c r="KS35" s="20" t="n">
        <f aca="false">IF(AND(HU35=1,IE35&gt;0,Slot9_IsWG=1,CZ35=1),MAX(0,(Slot9_Cost-DA35*(1+Slot9_Rate)^(Slot9_Age-D35))/KR35),0)</f>
        <v>0</v>
      </c>
      <c r="KT35" s="20" t="n">
        <f aca="false">IF(AND(HU35=1,IE35&gt;0,Slot9_IsWG=1,CZ35=1),MIN(IE35,KS35),0)</f>
        <v>0</v>
      </c>
      <c r="KU35" s="20" t="n">
        <f aca="false">DA35+KT35</f>
        <v>0</v>
      </c>
      <c r="KV35" s="20" t="n">
        <f aca="false">IF(CZ35=1,MAX(0,(Slot9_Cost-KU35*(1+Slot9_Rate)^(Slot9_Age-D35))/KR35),0)</f>
        <v>0</v>
      </c>
      <c r="KW35" s="20" t="n">
        <f aca="false">IF(CZ35=1,MAX(0,(Slot9_Cost-DA35*(1+Slot9_Rate)^(Slot9_Age-D35))/KR35),0)</f>
        <v>0</v>
      </c>
      <c r="KX35" s="20" t="n">
        <f aca="false">IF(AND(HU35=1,CZ35=1),MIN(KQ35,KV35),0)</f>
        <v>0</v>
      </c>
      <c r="KY35" s="20" t="n">
        <f aca="false">KQ35-KX35</f>
        <v>0</v>
      </c>
      <c r="KZ35" s="20" t="n">
        <f aca="false">IF(DJ35=1,IF(ABS((1+AS_Wage)/(1+Slot10_Rate)-1)&lt;0.000000000001,(Slot10_Age-D35)*(1+Slot10_Rate)^(Slot10_Age-D35),(1+Slot10_Rate)^(Slot10_Age-D35)*(1-((1+AS_Wage)/(1+Slot10_Rate))^(Slot10_Age-D35))/(1-(1+AS_Wage)/(1+Slot10_Rate))),1)</f>
        <v>1</v>
      </c>
      <c r="LA35" s="20" t="n">
        <f aca="false">IF(AND(HU35=1,IE35&gt;0,Slot10_IsWG=1,DJ35=1),MAX(0,(Slot10_Cost-DK35*(1+Slot10_Rate)^(Slot10_Age-D35))/KZ35),0)</f>
        <v>0</v>
      </c>
      <c r="LB35" s="20" t="n">
        <f aca="false">IF(AND(HU35=1,IE35&gt;0,Slot10_IsWG=1,DJ35=1),MIN(IE35,LA35),0)</f>
        <v>0</v>
      </c>
      <c r="LC35" s="20" t="n">
        <f aca="false">DK35+LB35</f>
        <v>0</v>
      </c>
      <c r="LD35" s="20" t="n">
        <f aca="false">IF(DJ35=1,MAX(0,(Slot10_Cost-LC35*(1+Slot10_Rate)^(Slot10_Age-D35))/KZ35),0)</f>
        <v>0</v>
      </c>
      <c r="LE35" s="20" t="n">
        <f aca="false">IF(DJ35=1,MAX(0,(Slot10_Cost-DK35*(1+Slot10_Rate)^(Slot10_Age-D35))/KZ35),0)</f>
        <v>0</v>
      </c>
      <c r="LF35" s="20" t="n">
        <f aca="false">IF(AND(HU35=1,DJ35=1),MIN(KY35,LD35),0)</f>
        <v>0</v>
      </c>
      <c r="LG35" s="20" t="n">
        <f aca="false">KY35-LF35</f>
        <v>0</v>
      </c>
      <c r="LH35" s="20" t="n">
        <f aca="false">IF(DT35=1,IF(ABS((1+AS_Wage)/(1+Slot11_Rate)-1)&lt;0.000000000001,(Slot11_Age-D35)*(1+Slot11_Rate)^(Slot11_Age-D35),(1+Slot11_Rate)^(Slot11_Age-D35)*(1-((1+AS_Wage)/(1+Slot11_Rate))^(Slot11_Age-D35))/(1-(1+AS_Wage)/(1+Slot11_Rate))),1)</f>
        <v>1</v>
      </c>
      <c r="LI35" s="20" t="n">
        <f aca="false">IF(AND(HU35=1,IE35&gt;0,Slot11_IsWG=1,DT35=1),MAX(0,(Slot11_Cost-DU35*(1+Slot11_Rate)^(Slot11_Age-D35))/LH35),0)</f>
        <v>0</v>
      </c>
      <c r="LJ35" s="20" t="n">
        <f aca="false">IF(AND(HU35=1,IE35&gt;0,Slot11_IsWG=1,DT35=1),MIN(IE35,LI35),0)</f>
        <v>0</v>
      </c>
      <c r="LK35" s="20" t="n">
        <f aca="false">DU35+LJ35</f>
        <v>0</v>
      </c>
      <c r="LL35" s="20" t="n">
        <f aca="false">IF(DT35=1,MAX(0,(Slot11_Cost-LK35*(1+Slot11_Rate)^(Slot11_Age-D35))/LH35),0)</f>
        <v>0</v>
      </c>
      <c r="LM35" s="20" t="n">
        <f aca="false">IF(DT35=1,MAX(0,(Slot11_Cost-DU35*(1+Slot11_Rate)^(Slot11_Age-D35))/LH35),0)</f>
        <v>0</v>
      </c>
      <c r="LN35" s="20" t="n">
        <f aca="false">IF(AND(HU35=1,DT35=1),MIN(LG35,LL35),0)</f>
        <v>0</v>
      </c>
      <c r="LO35" s="20" t="n">
        <f aca="false">LG35-LN35</f>
        <v>0</v>
      </c>
      <c r="LP35" s="20" t="n">
        <f aca="false">IF(ED35=1,IF(ABS((1+AS_Wage)/(1+Slot12_Rate)-1)&lt;0.000000000001,(Slot12_Age-D35)*(1+Slot12_Rate)^(Slot12_Age-D35),(1+Slot12_Rate)^(Slot12_Age-D35)*(1-((1+AS_Wage)/(1+Slot12_Rate))^(Slot12_Age-D35))/(1-(1+AS_Wage)/(1+Slot12_Rate))),1)</f>
        <v>1</v>
      </c>
      <c r="LQ35" s="20" t="n">
        <f aca="false">IF(AND(HU35=1,IE35&gt;0,Slot12_IsWG=1,ED35=1),MAX(0,(Slot12_Cost-EE35*(1+Slot12_Rate)^(Slot12_Age-D35))/LP35),0)</f>
        <v>0</v>
      </c>
      <c r="LR35" s="20" t="n">
        <f aca="false">IF(AND(HU35=1,IE35&gt;0,Slot12_IsWG=1,ED35=1),MIN(IE35,LQ35),0)</f>
        <v>0</v>
      </c>
      <c r="LS35" s="20" t="n">
        <f aca="false">EE35+LR35</f>
        <v>0</v>
      </c>
      <c r="LT35" s="20" t="n">
        <f aca="false">IF(ED35=1,MAX(0,(Slot12_Cost-LS35*(1+Slot12_Rate)^(Slot12_Age-D35))/LP35),0)</f>
        <v>0</v>
      </c>
      <c r="LU35" s="20" t="n">
        <f aca="false">IF(ED35=1,MAX(0,(Slot12_Cost-EE35*(1+Slot12_Rate)^(Slot12_Age-D35))/LP35),0)</f>
        <v>0</v>
      </c>
      <c r="LV35" s="20" t="n">
        <f aca="false">IF(AND(HU35=1,ED35=1),MIN(LO35,LT35),0)</f>
        <v>0</v>
      </c>
      <c r="LW35" s="20" t="n">
        <f aca="false">LO35-LV35</f>
        <v>0</v>
      </c>
      <c r="LX35" s="20" t="n">
        <f aca="false">IF(EN35=1,IF(ABS((1+AS_Wage)/(1+Slot13_Rate)-1)&lt;0.000000000001,(Slot13_Age-D35)*(1+Slot13_Rate)^(Slot13_Age-D35),(1+Slot13_Rate)^(Slot13_Age-D35)*(1-((1+AS_Wage)/(1+Slot13_Rate))^(Slot13_Age-D35))/(1-(1+AS_Wage)/(1+Slot13_Rate))),1)</f>
        <v>1</v>
      </c>
      <c r="LY35" s="20" t="n">
        <f aca="false">IF(AND(HU35=1,IE35&gt;0,Slot13_IsWG=1,EN35=1),MAX(0,(Slot13_Cost-EO35*(1+Slot13_Rate)^(Slot13_Age-D35))/LX35),0)</f>
        <v>0</v>
      </c>
      <c r="LZ35" s="20" t="n">
        <f aca="false">IF(AND(HU35=1,IE35&gt;0,Slot13_IsWG=1,EN35=1),MIN(IE35,LY35),0)</f>
        <v>0</v>
      </c>
      <c r="MA35" s="20" t="n">
        <f aca="false">EO35+LZ35</f>
        <v>0</v>
      </c>
      <c r="MB35" s="20" t="n">
        <f aca="false">IF(EN35=1,MAX(0,(Slot13_Cost-MA35*(1+Slot13_Rate)^(Slot13_Age-D35))/LX35),0)</f>
        <v>0</v>
      </c>
      <c r="MC35" s="20" t="n">
        <f aca="false">IF(EN35=1,MAX(0,(Slot13_Cost-EO35*(1+Slot13_Rate)^(Slot13_Age-D35))/LX35),0)</f>
        <v>0</v>
      </c>
      <c r="MD35" s="20" t="n">
        <f aca="false">IF(AND(HU35=1,EN35=1),MIN(LW35,MB35),0)</f>
        <v>0</v>
      </c>
      <c r="ME35" s="20" t="n">
        <f aca="false">LW35-MD35</f>
        <v>0</v>
      </c>
      <c r="MF35" s="20" t="n">
        <f aca="false">IF(EX35=1,IF(ABS((1+AS_Wage)/(1+Slot14_Rate)-1)&lt;0.000000000001,(Slot14_Age-D35)*(1+Slot14_Rate)^(Slot14_Age-D35),(1+Slot14_Rate)^(Slot14_Age-D35)*(1-((1+AS_Wage)/(1+Slot14_Rate))^(Slot14_Age-D35))/(1-(1+AS_Wage)/(1+Slot14_Rate))),1)</f>
        <v>1</v>
      </c>
      <c r="MG35" s="20" t="n">
        <f aca="false">IF(AND(HU35=1,IE35&gt;0,Slot14_IsWG=1,EX35=1),MAX(0,(Slot14_Cost-EY35*(1+Slot14_Rate)^(Slot14_Age-D35))/MF35),0)</f>
        <v>0</v>
      </c>
      <c r="MH35" s="20" t="n">
        <f aca="false">IF(AND(HU35=1,IE35&gt;0,Slot14_IsWG=1,EX35=1),MIN(IE35,MG35),0)</f>
        <v>0</v>
      </c>
      <c r="MI35" s="20" t="n">
        <f aca="false">EY35+MH35</f>
        <v>0</v>
      </c>
      <c r="MJ35" s="20" t="n">
        <f aca="false">IF(EX35=1,MAX(0,(Slot14_Cost-MI35*(1+Slot14_Rate)^(Slot14_Age-D35))/MF35),0)</f>
        <v>0</v>
      </c>
      <c r="MK35" s="20" t="n">
        <f aca="false">IF(EX35=1,MAX(0,(Slot14_Cost-EY35*(1+Slot14_Rate)^(Slot14_Age-D35))/MF35),0)</f>
        <v>0</v>
      </c>
      <c r="ML35" s="20" t="n">
        <f aca="false">IF(AND(HU35=1,EX35=1),MIN(ME35,MJ35),0)</f>
        <v>0</v>
      </c>
      <c r="MM35" s="20" t="n">
        <f aca="false">ME35-ML35</f>
        <v>0</v>
      </c>
      <c r="MN35" s="20" t="n">
        <f aca="false">IF(FH35=1,IF(ABS((1+AS_Wage)/(1+Slot15_Rate)-1)&lt;0.000000000001,(Slot15_Age-D35)*(1+Slot15_Rate)^(Slot15_Age-D35),(1+Slot15_Rate)^(Slot15_Age-D35)*(1-((1+AS_Wage)/(1+Slot15_Rate))^(Slot15_Age-D35))/(1-(1+AS_Wage)/(1+Slot15_Rate))),1)</f>
        <v>1</v>
      </c>
      <c r="MO35" s="20" t="n">
        <f aca="false">IF(AND(HU35=1,IE35&gt;0,Slot15_IsWG=1,FH35=1),MAX(0,(Slot15_Cost-FI35*(1+Slot15_Rate)^(Slot15_Age-D35))/MN35),0)</f>
        <v>0</v>
      </c>
      <c r="MP35" s="20" t="n">
        <f aca="false">IF(AND(HU35=1,IE35&gt;0,Slot15_IsWG=1,FH35=1),MIN(IE35,MO35),0)</f>
        <v>0</v>
      </c>
      <c r="MQ35" s="20" t="n">
        <f aca="false">FI35+MP35</f>
        <v>0</v>
      </c>
      <c r="MR35" s="20" t="n">
        <f aca="false">IF(FH35=1,MAX(0,(Slot15_Cost-MQ35*(1+Slot15_Rate)^(Slot15_Age-D35))/MN35),0)</f>
        <v>0</v>
      </c>
      <c r="MS35" s="20" t="n">
        <f aca="false">IF(FH35=1,MAX(0,(Slot15_Cost-FI35*(1+Slot15_Rate)^(Slot15_Age-D35))/MN35),0)</f>
        <v>0</v>
      </c>
      <c r="MT35" s="20" t="n">
        <f aca="false">IF(AND(HU35=1,FH35=1),MIN(MM35,MR35),0)</f>
        <v>0</v>
      </c>
      <c r="MU35" s="20" t="n">
        <f aca="false">MM35-MT35</f>
        <v>0</v>
      </c>
      <c r="MV35" s="20" t="n">
        <f aca="false">IF(FR35=1,IF(ABS((1+AS_Wage)/(1+Slot16_Rate)-1)&lt;0.000000000001,(Slot16_Age-D35)*(1+Slot16_Rate)^(Slot16_Age-D35),(1+Slot16_Rate)^(Slot16_Age-D35)*(1-((1+AS_Wage)/(1+Slot16_Rate))^(Slot16_Age-D35))/(1-(1+AS_Wage)/(1+Slot16_Rate))),1)</f>
        <v>1</v>
      </c>
      <c r="MW35" s="20" t="n">
        <f aca="false">IF(AND(HU35=1,IE35&gt;0,Slot16_IsWG=1,FR35=1),MAX(0,(Slot16_Cost-FS35*(1+Slot16_Rate)^(Slot16_Age-D35))/MV35),0)</f>
        <v>0</v>
      </c>
      <c r="MX35" s="20" t="n">
        <f aca="false">IF(AND(HU35=1,IE35&gt;0,Slot16_IsWG=1,FR35=1),MIN(IE35,MW35),0)</f>
        <v>0</v>
      </c>
      <c r="MY35" s="20" t="n">
        <f aca="false">FS35+MX35</f>
        <v>0</v>
      </c>
      <c r="MZ35" s="20" t="n">
        <f aca="false">IF(FR35=1,MAX(0,(Slot16_Cost-MY35*(1+Slot16_Rate)^(Slot16_Age-D35))/MV35),0)</f>
        <v>0</v>
      </c>
      <c r="NA35" s="20" t="n">
        <f aca="false">IF(FR35=1,MAX(0,(Slot16_Cost-FS35*(1+Slot16_Rate)^(Slot16_Age-D35))/MV35),0)</f>
        <v>0</v>
      </c>
      <c r="NB35" s="20" t="n">
        <f aca="false">IF(AND(HU35=1,FR35=1),MIN(MU35,MZ35),0)</f>
        <v>0</v>
      </c>
      <c r="NC35" s="20" t="n">
        <f aca="false">MU35-NB35</f>
        <v>0</v>
      </c>
      <c r="ND35" s="20" t="n">
        <f aca="false">IF(GB35=1,IF(ABS((1+AS_Wage)/(1+Slot17_Rate)-1)&lt;0.000000000001,(Slot17_Age-D35)*(1+Slot17_Rate)^(Slot17_Age-D35),(1+Slot17_Rate)^(Slot17_Age-D35)*(1-((1+AS_Wage)/(1+Slot17_Rate))^(Slot17_Age-D35))/(1-(1+AS_Wage)/(1+Slot17_Rate))),1)</f>
        <v>1</v>
      </c>
      <c r="NE35" s="20" t="n">
        <f aca="false">IF(AND(HU35=1,IE35&gt;0,Slot17_IsWG=1,GB35=1),MAX(0,(Slot17_Cost-GC35*(1+Slot17_Rate)^(Slot17_Age-D35))/ND35),0)</f>
        <v>0</v>
      </c>
      <c r="NF35" s="20" t="n">
        <f aca="false">IF(AND(HU35=1,IE35&gt;0,Slot17_IsWG=1,GB35=1),MIN(IE35,NE35),0)</f>
        <v>0</v>
      </c>
      <c r="NG35" s="20" t="n">
        <f aca="false">GC35+NF35</f>
        <v>0</v>
      </c>
      <c r="NH35" s="20" t="n">
        <f aca="false">IF(GB35=1,MAX(0,(Slot17_Cost-NG35*(1+Slot17_Rate)^(Slot17_Age-D35))/ND35),0)</f>
        <v>0</v>
      </c>
      <c r="NI35" s="20" t="n">
        <f aca="false">IF(GB35=1,MAX(0,(Slot17_Cost-GC35*(1+Slot17_Rate)^(Slot17_Age-D35))/ND35),0)</f>
        <v>0</v>
      </c>
      <c r="NJ35" s="20" t="n">
        <f aca="false">IF(AND(HU35=1,GB35=1),MIN(NC35,NH35),0)</f>
        <v>0</v>
      </c>
      <c r="NK35" s="20" t="n">
        <f aca="false">NC35-NJ35</f>
        <v>0</v>
      </c>
      <c r="NL35" s="20" t="n">
        <f aca="false">IF(GL35=1,IF(ABS((1+AS_Wage)/(1+Slot18_Rate)-1)&lt;0.000000000001,(Slot18_Age-D35)*(1+Slot18_Rate)^(Slot18_Age-D35),(1+Slot18_Rate)^(Slot18_Age-D35)*(1-((1+AS_Wage)/(1+Slot18_Rate))^(Slot18_Age-D35))/(1-(1+AS_Wage)/(1+Slot18_Rate))),1)</f>
        <v>1</v>
      </c>
      <c r="NM35" s="20" t="n">
        <f aca="false">IF(AND(HU35=1,IE35&gt;0,Slot18_IsWG=1,GL35=1),MAX(0,(Slot18_Cost-GM35*(1+Slot18_Rate)^(Slot18_Age-D35))/NL35),0)</f>
        <v>0</v>
      </c>
      <c r="NN35" s="20" t="n">
        <f aca="false">IF(AND(HU35=1,IE35&gt;0,Slot18_IsWG=1,GL35=1),MIN(IE35,NM35),0)</f>
        <v>0</v>
      </c>
      <c r="NO35" s="20" t="n">
        <f aca="false">GM35+NN35</f>
        <v>0</v>
      </c>
      <c r="NP35" s="20" t="n">
        <f aca="false">IF(GL35=1,MAX(0,(Slot18_Cost-NO35*(1+Slot18_Rate)^(Slot18_Age-D35))/NL35),0)</f>
        <v>0</v>
      </c>
      <c r="NQ35" s="20" t="n">
        <f aca="false">IF(GL35=1,MAX(0,(Slot18_Cost-GM35*(1+Slot18_Rate)^(Slot18_Age-D35))/NL35),0)</f>
        <v>0</v>
      </c>
      <c r="NR35" s="20" t="n">
        <f aca="false">IF(AND(HU35=1,GL35=1),MIN(NK35,NP35),0)</f>
        <v>0</v>
      </c>
      <c r="NS35" s="20" t="n">
        <f aca="false">NK35-NR35</f>
        <v>0</v>
      </c>
      <c r="NT35" s="20" t="n">
        <f aca="false">IF(GV35=1,IF(ABS((1+AS_Wage)/(1+Slot19_Rate)-1)&lt;0.000000000001,(Slot19_Age-D35)*(1+Slot19_Rate)^(Slot19_Age-D35),(1+Slot19_Rate)^(Slot19_Age-D35)*(1-((1+AS_Wage)/(1+Slot19_Rate))^(Slot19_Age-D35))/(1-(1+AS_Wage)/(1+Slot19_Rate))),1)</f>
        <v>1</v>
      </c>
      <c r="NU35" s="20" t="n">
        <f aca="false">IF(AND(HU35=1,IE35&gt;0,Slot19_IsWG=1,GV35=1),MAX(0,(Slot19_Cost-GW35*(1+Slot19_Rate)^(Slot19_Age-D35))/NT35),0)</f>
        <v>0</v>
      </c>
      <c r="NV35" s="20" t="n">
        <f aca="false">IF(AND(HU35=1,IE35&gt;0,Slot19_IsWG=1,GV35=1),MIN(IE35,NU35),0)</f>
        <v>0</v>
      </c>
      <c r="NW35" s="20" t="n">
        <f aca="false">GW35+NV35</f>
        <v>0</v>
      </c>
      <c r="NX35" s="20" t="n">
        <f aca="false">IF(GV35=1,MAX(0,(Slot19_Cost-NW35*(1+Slot19_Rate)^(Slot19_Age-D35))/NT35),0)</f>
        <v>0</v>
      </c>
      <c r="NY35" s="20" t="n">
        <f aca="false">IF(GV35=1,MAX(0,(Slot19_Cost-GW35*(1+Slot19_Rate)^(Slot19_Age-D35))/NT35),0)</f>
        <v>0</v>
      </c>
      <c r="NZ35" s="20" t="n">
        <f aca="false">IF(AND(HU35=1,GV35=1),MIN(NS35,NX35),0)</f>
        <v>0</v>
      </c>
      <c r="OA35" s="20" t="n">
        <f aca="false">NS35-NZ35</f>
        <v>0</v>
      </c>
      <c r="OB35" s="20" t="n">
        <f aca="false">IF(HF35=1,IF(ABS((1+AS_Wage)/(1+Slot20_Rate)-1)&lt;0.000000000001,(Slot20_Age-D35)*(1+Slot20_Rate)^(Slot20_Age-D35),(1+Slot20_Rate)^(Slot20_Age-D35)*(1-((1+AS_Wage)/(1+Slot20_Rate))^(Slot20_Age-D35))/(1-(1+AS_Wage)/(1+Slot20_Rate))),1)</f>
        <v>1</v>
      </c>
      <c r="OC35" s="20" t="n">
        <f aca="false">IF(AND(HU35=1,IE35&gt;0,Slot20_IsWG=1,HF35=1),MAX(0,(Slot20_Cost-HG35*(1+Slot20_Rate)^(Slot20_Age-D35))/OB35),0)</f>
        <v>0</v>
      </c>
      <c r="OD35" s="20" t="n">
        <f aca="false">IF(AND(HU35=1,IE35&gt;0,Slot20_IsWG=1,HF35=1),MIN(IE35,OC35),0)</f>
        <v>0</v>
      </c>
      <c r="OE35" s="20" t="n">
        <f aca="false">HG35+OD35</f>
        <v>0</v>
      </c>
      <c r="OF35" s="20" t="n">
        <f aca="false">IF(HF35=1,MAX(0,(Slot20_Cost-OE35*(1+Slot20_Rate)^(Slot20_Age-D35))/OB35),0)</f>
        <v>0</v>
      </c>
      <c r="OG35" s="20" t="n">
        <f aca="false">IF(HF35=1,MAX(0,(Slot20_Cost-HG35*(1+Slot20_Rate)^(Slot20_Age-D35))/OB35),0)</f>
        <v>0</v>
      </c>
      <c r="OH35" s="20" t="n">
        <f aca="false">IF(AND(HU35=1,HF35=1),MIN(OA35,OF35),0)</f>
        <v>0</v>
      </c>
      <c r="OI35" s="20" t="n">
        <f aca="false">OA35-OH35</f>
        <v>0</v>
      </c>
      <c r="OJ35" s="20" t="n">
        <f aca="false">IE35-(IH35+IP35+IX35+JF35+JN35+JV35+KD35+KL35+KT35+LB35+LJ35+LR35+LZ35+MH35+MP35+MX35+NF35+NN35+NV35+OD35)</f>
        <v>0</v>
      </c>
      <c r="OK35" s="20" t="n">
        <f aca="false">IF(HU35=1,HS35-ID35-IE35,0)</f>
        <v>0</v>
      </c>
      <c r="OL35" s="20" t="n">
        <f aca="false">IF(HU35=0,-HS35,0)</f>
        <v>21935.0063548324</v>
      </c>
      <c r="OM35" s="20" t="n">
        <f aca="false">MIN(OL35,HK35)</f>
        <v>21935.0063548324</v>
      </c>
      <c r="ON35" s="20" t="n">
        <f aca="false">OL35-OM35</f>
        <v>0</v>
      </c>
      <c r="OO35" s="20" t="n">
        <f aca="false">MIN(ON35,HL35)</f>
        <v>0</v>
      </c>
      <c r="OP35" s="20" t="n">
        <f aca="false">ON35-OO35</f>
        <v>0</v>
      </c>
      <c r="OQ35" s="20" t="n">
        <f aca="false">IF(AND(HU35=0,HF35=1,OP35&gt;0),MIN(OP35,HG35),0)</f>
        <v>0</v>
      </c>
      <c r="OR35" s="20" t="n">
        <f aca="false">OP35-OQ35</f>
        <v>0</v>
      </c>
      <c r="OS35" s="20" t="n">
        <f aca="false">IF(AND(HU35=0,GV35=1,OR35&gt;0),MIN(OR35,GW35),0)</f>
        <v>0</v>
      </c>
      <c r="OT35" s="20" t="n">
        <f aca="false">OR35-OS35</f>
        <v>0</v>
      </c>
      <c r="OU35" s="20" t="n">
        <f aca="false">IF(AND(HU35=0,GL35=1,OT35&gt;0),MIN(OT35,GM35),0)</f>
        <v>0</v>
      </c>
      <c r="OV35" s="20" t="n">
        <f aca="false">OT35-OU35</f>
        <v>0</v>
      </c>
      <c r="OW35" s="20" t="n">
        <f aca="false">IF(AND(HU35=0,GB35=1,OV35&gt;0),MIN(OV35,GC35),0)</f>
        <v>0</v>
      </c>
      <c r="OX35" s="20" t="n">
        <f aca="false">OV35-OW35</f>
        <v>0</v>
      </c>
      <c r="OY35" s="20" t="n">
        <f aca="false">IF(AND(HU35=0,FR35=1,OX35&gt;0),MIN(OX35,FS35),0)</f>
        <v>0</v>
      </c>
      <c r="OZ35" s="20" t="n">
        <f aca="false">OX35-OY35</f>
        <v>0</v>
      </c>
      <c r="PA35" s="20" t="n">
        <f aca="false">IF(AND(HU35=0,FH35=1,OZ35&gt;0),MIN(OZ35,FI35),0)</f>
        <v>0</v>
      </c>
      <c r="PB35" s="20" t="n">
        <f aca="false">OZ35-PA35</f>
        <v>0</v>
      </c>
      <c r="PC35" s="20" t="n">
        <f aca="false">IF(AND(HU35=0,EX35=1,PB35&gt;0),MIN(PB35,EY35),0)</f>
        <v>0</v>
      </c>
      <c r="PD35" s="20" t="n">
        <f aca="false">PB35-PC35</f>
        <v>0</v>
      </c>
      <c r="PE35" s="20" t="n">
        <f aca="false">IF(AND(HU35=0,EN35=1,PD35&gt;0),MIN(PD35,EO35),0)</f>
        <v>0</v>
      </c>
      <c r="PF35" s="20" t="n">
        <f aca="false">PD35-PE35</f>
        <v>0</v>
      </c>
      <c r="PG35" s="20" t="n">
        <f aca="false">IF(AND(HU35=0,ED35=1,PF35&gt;0),MIN(PF35,EE35),0)</f>
        <v>0</v>
      </c>
      <c r="PH35" s="20" t="n">
        <f aca="false">PF35-PG35</f>
        <v>0</v>
      </c>
      <c r="PI35" s="20" t="n">
        <f aca="false">IF(AND(HU35=0,DT35=1,PH35&gt;0),MIN(PH35,DU35),0)</f>
        <v>0</v>
      </c>
      <c r="PJ35" s="20" t="n">
        <f aca="false">PH35-PI35</f>
        <v>0</v>
      </c>
      <c r="PK35" s="20" t="n">
        <f aca="false">IF(AND(HU35=0,DJ35=1,PJ35&gt;0),MIN(PJ35,DK35),0)</f>
        <v>0</v>
      </c>
      <c r="PL35" s="20" t="n">
        <f aca="false">PJ35-PK35</f>
        <v>0</v>
      </c>
      <c r="PM35" s="20" t="n">
        <f aca="false">IF(AND(HU35=0,CZ35=1,PL35&gt;0),MIN(PL35,DA35),0)</f>
        <v>0</v>
      </c>
      <c r="PN35" s="20" t="n">
        <f aca="false">PL35-PM35</f>
        <v>0</v>
      </c>
      <c r="PO35" s="20" t="n">
        <f aca="false">IF(AND(HU35=0,CP35=1,PN35&gt;0),MIN(PN35,CQ35),0)</f>
        <v>0</v>
      </c>
      <c r="PP35" s="20" t="n">
        <f aca="false">PN35-PO35</f>
        <v>0</v>
      </c>
      <c r="PQ35" s="20" t="n">
        <f aca="false">IF(AND(HU35=0,CF35=1,PP35&gt;0),MIN(PP35,CG35),0)</f>
        <v>0</v>
      </c>
      <c r="PR35" s="20" t="n">
        <f aca="false">PP35-PQ35</f>
        <v>0</v>
      </c>
      <c r="PS35" s="20" t="n">
        <f aca="false">IF(AND(HU35=0,BV35=1,PR35&gt;0),MIN(PR35,BW35),0)</f>
        <v>0</v>
      </c>
      <c r="PT35" s="20" t="n">
        <f aca="false">PR35-PS35</f>
        <v>0</v>
      </c>
      <c r="PU35" s="20" t="n">
        <f aca="false">IF(AND(HU35=0,BL35=1,PT35&gt;0),MIN(PT35,BM35),0)</f>
        <v>0</v>
      </c>
      <c r="PV35" s="20" t="n">
        <f aca="false">PT35-PU35</f>
        <v>0</v>
      </c>
      <c r="PW35" s="20" t="n">
        <f aca="false">IF(AND(HU35=0,BB35=1,PV35&gt;0),MIN(PV35,BC35),0)</f>
        <v>0</v>
      </c>
      <c r="PX35" s="20" t="n">
        <f aca="false">PV35-PW35</f>
        <v>0</v>
      </c>
      <c r="PY35" s="20" t="n">
        <f aca="false">IF(AND(HU35=0,AR35=1,PX35&gt;0),MIN(PX35,AS35),0)</f>
        <v>0</v>
      </c>
      <c r="PZ35" s="20" t="n">
        <f aca="false">PX35-PY35</f>
        <v>0</v>
      </c>
      <c r="QA35" s="20" t="n">
        <f aca="false">IF(AND(HU35=0,AH35=1,PZ35&gt;0),MIN(PZ35,AI35),0)</f>
        <v>0</v>
      </c>
      <c r="QB35" s="20" t="n">
        <f aca="false">PZ35-QA35</f>
        <v>0</v>
      </c>
      <c r="QC35" s="20" t="n">
        <f aca="false">IF(AND(HU35=0,W35=1,QB35&gt;0),MIN(QB35,X35),0)</f>
        <v>0</v>
      </c>
      <c r="QD35" s="20" t="n">
        <f aca="false">QB35-QC35</f>
        <v>0</v>
      </c>
      <c r="QE35" s="20" t="n">
        <f aca="false">IF(HU35=0,QD35,0)</f>
        <v>0</v>
      </c>
      <c r="QF35" s="20" t="n">
        <f aca="false">OM35+OO35+QC35+QA35+PY35+PW35+PU35+PS35+PQ35+PO35+PM35+PK35+PI35+PG35+PE35+PC35+PA35+OY35+OW35+OU35+OS35+OQ35</f>
        <v>21935.0063548324</v>
      </c>
      <c r="QG35" s="20" t="n">
        <f aca="false">IF(HU35=1,HK35+OJ35+OI35+IF(G35=1,0,OK35),HK35-OM35)</f>
        <v>188963.860805664</v>
      </c>
      <c r="QH35" s="20" t="n">
        <f aca="false">HL35-OO35</f>
        <v>14592.0774480315</v>
      </c>
      <c r="QI35" s="20" t="n">
        <f aca="false">IF(HU35=1,IF(G35=1,ID35+IE35,HS35),0)</f>
        <v>0</v>
      </c>
      <c r="QJ35" s="20" t="n">
        <f aca="false">IF(HU35=1,IF(G35=1,HS35-ID35-IE35,0),0)</f>
        <v>0</v>
      </c>
      <c r="QK35" s="57" t="n">
        <f aca="false">'Plan holdings'!BM35</f>
        <v>197618.568078932</v>
      </c>
      <c r="QL35" s="20" t="n">
        <f aca="false">QH35*(1+AS_Cash)</f>
        <v>14737.9982225118</v>
      </c>
      <c r="QM35" s="20" t="n">
        <f aca="false">IF(W35=1,IF(HU35=1,II35+IL35,X35-QC35)*(1+Slot1_Rate),0)</f>
        <v>0</v>
      </c>
      <c r="QN35" s="20" t="n">
        <f aca="false">IF(AND(HU35=1,W35=1),(IH35+IL35)/F35,0)</f>
        <v>0</v>
      </c>
      <c r="QO35" s="20" t="n">
        <f aca="false">IF(B35=0,IH35+IL35,0)</f>
        <v>0</v>
      </c>
      <c r="QP35" s="20" t="n">
        <f aca="false">IF(B35=0,IF(HU35=1,IJ35,IK35),0)</f>
        <v>0</v>
      </c>
      <c r="QQ35" s="20" t="n">
        <f aca="false">IF(AH35=1,IF(HU35=1,IQ35+IT35,AI35-QA35)*(1+Slot2_Rate),0)</f>
        <v>0</v>
      </c>
      <c r="QR35" s="20" t="n">
        <f aca="false">IF(AND(HU35=1,AH35=1),(IP35+IT35)/F35,0)</f>
        <v>0</v>
      </c>
      <c r="QS35" s="20" t="n">
        <f aca="false">IF(B35=0,IP35+IT35,0)</f>
        <v>0</v>
      </c>
      <c r="QT35" s="20" t="n">
        <f aca="false">IF(B35=0,IF(HU35=1,IR35,IS35),0)</f>
        <v>0</v>
      </c>
      <c r="QU35" s="20" t="n">
        <f aca="false">IF(AR35=1,IF(HU35=1,IY35+JB35,AS35-PY35)*(1+Slot3_Rate),0)</f>
        <v>0</v>
      </c>
      <c r="QV35" s="20" t="n">
        <f aca="false">IF(AND(HU35=1,AR35=1),(IX35+JB35)/F35,0)</f>
        <v>0</v>
      </c>
      <c r="QW35" s="20" t="n">
        <f aca="false">IF(B35=0,IX35+JB35,0)</f>
        <v>0</v>
      </c>
      <c r="QX35" s="20" t="n">
        <f aca="false">IF(B35=0,IF(HU35=1,IZ35,JA35),0)</f>
        <v>0</v>
      </c>
      <c r="QY35" s="20" t="n">
        <f aca="false">IF(BB35=1,IF(HU35=1,JG35+JJ35,BC35-PW35)*(1+Slot4_Rate),0)</f>
        <v>0</v>
      </c>
      <c r="QZ35" s="20" t="n">
        <f aca="false">IF(AND(HU35=1,BB35=1),(JF35+JJ35)/F35,0)</f>
        <v>0</v>
      </c>
      <c r="RA35" s="20" t="n">
        <f aca="false">IF(B35=0,JF35+JJ35,0)</f>
        <v>0</v>
      </c>
      <c r="RB35" s="20" t="n">
        <f aca="false">IF(B35=0,IF(HU35=1,JH35,JI35),0)</f>
        <v>0</v>
      </c>
      <c r="RC35" s="20" t="n">
        <f aca="false">IF(BL35=1,IF(HU35=1,JO35+JR35,BM35-PU35)*(1+Slot5_Rate),0)</f>
        <v>0</v>
      </c>
      <c r="RD35" s="20" t="n">
        <f aca="false">IF(AND(HU35=1,BL35=1),(JN35+JR35)/F35,0)</f>
        <v>0</v>
      </c>
      <c r="RE35" s="20" t="n">
        <f aca="false">IF(B35=0,JN35+JR35,0)</f>
        <v>0</v>
      </c>
      <c r="RF35" s="20" t="n">
        <f aca="false">IF(B35=0,IF(HU35=1,JP35,JQ35),0)</f>
        <v>0</v>
      </c>
      <c r="RG35" s="20" t="n">
        <f aca="false">IF(BV35=1,IF(HU35=1,JW35+JZ35,BW35-PS35)*(1+Slot6_Rate),0)</f>
        <v>0</v>
      </c>
      <c r="RH35" s="20" t="n">
        <f aca="false">IF(AND(HU35=1,BV35=1),(JV35+JZ35)/F35,0)</f>
        <v>0</v>
      </c>
      <c r="RI35" s="20" t="n">
        <f aca="false">IF(B35=0,JV35+JZ35,0)</f>
        <v>0</v>
      </c>
      <c r="RJ35" s="20" t="n">
        <f aca="false">IF(B35=0,IF(HU35=1,JX35,JY35),0)</f>
        <v>0</v>
      </c>
      <c r="RK35" s="20" t="n">
        <f aca="false">IF(CF35=1,IF(HU35=1,KE35+KH35,CG35-PQ35)*(1+Slot7_Rate),0)</f>
        <v>0</v>
      </c>
      <c r="RL35" s="20" t="n">
        <f aca="false">IF(AND(HU35=1,CF35=1),(KD35+KH35)/F35,0)</f>
        <v>0</v>
      </c>
      <c r="RM35" s="20" t="n">
        <f aca="false">IF(B35=0,KD35+KH35,0)</f>
        <v>0</v>
      </c>
      <c r="RN35" s="20" t="n">
        <f aca="false">IF(B35=0,IF(HU35=1,KF35,KG35),0)</f>
        <v>0</v>
      </c>
      <c r="RO35" s="20" t="n">
        <f aca="false">IF(CP35=1,IF(HU35=1,KM35+KP35,CQ35-PO35)*(1+Slot8_Rate),0)</f>
        <v>0</v>
      </c>
      <c r="RP35" s="20" t="n">
        <f aca="false">IF(AND(HU35=1,CP35=1),(KL35+KP35)/F35,0)</f>
        <v>0</v>
      </c>
      <c r="RQ35" s="20" t="n">
        <f aca="false">IF(B35=0,KL35+KP35,0)</f>
        <v>0</v>
      </c>
      <c r="RR35" s="20" t="n">
        <f aca="false">IF(B35=0,IF(HU35=1,KN35,KO35),0)</f>
        <v>0</v>
      </c>
      <c r="RS35" s="20" t="n">
        <f aca="false">IF(CZ35=1,IF(HU35=1,KU35+KX35,DA35-PM35)*(1+Slot9_Rate),0)</f>
        <v>0</v>
      </c>
      <c r="RT35" s="20" t="n">
        <f aca="false">IF(AND(HU35=1,CZ35=1),(KT35+KX35)/F35,0)</f>
        <v>0</v>
      </c>
      <c r="RU35" s="20" t="n">
        <f aca="false">IF(B35=0,KT35+KX35,0)</f>
        <v>0</v>
      </c>
      <c r="RV35" s="20" t="n">
        <f aca="false">IF(B35=0,IF(HU35=1,KV35,KW35),0)</f>
        <v>0</v>
      </c>
      <c r="RW35" s="20" t="n">
        <f aca="false">IF(DJ35=1,IF(HU35=1,LC35+LF35,DK35-PK35)*(1+Slot10_Rate),0)</f>
        <v>0</v>
      </c>
      <c r="RX35" s="20" t="n">
        <f aca="false">IF(AND(HU35=1,DJ35=1),(LB35+LF35)/F35,0)</f>
        <v>0</v>
      </c>
      <c r="RY35" s="20" t="n">
        <f aca="false">IF(B35=0,LB35+LF35,0)</f>
        <v>0</v>
      </c>
      <c r="RZ35" s="20" t="n">
        <f aca="false">IF(B35=0,IF(HU35=1,LD35,LE35),0)</f>
        <v>0</v>
      </c>
      <c r="SA35" s="20" t="n">
        <f aca="false">IF(DT35=1,IF(HU35=1,LK35+LN35,DU35-PI35)*(1+Slot11_Rate),0)</f>
        <v>0</v>
      </c>
      <c r="SB35" s="20" t="n">
        <f aca="false">IF(AND(HU35=1,DT35=1),(LJ35+LN35)/F35,0)</f>
        <v>0</v>
      </c>
      <c r="SC35" s="20" t="n">
        <f aca="false">IF(B35=0,LJ35+LN35,0)</f>
        <v>0</v>
      </c>
      <c r="SD35" s="20" t="n">
        <f aca="false">IF(B35=0,IF(HU35=1,LL35,LM35),0)</f>
        <v>0</v>
      </c>
      <c r="SE35" s="20" t="n">
        <f aca="false">IF(ED35=1,IF(HU35=1,LS35+LV35,EE35-PG35)*(1+Slot12_Rate),0)</f>
        <v>0</v>
      </c>
      <c r="SF35" s="20" t="n">
        <f aca="false">IF(AND(HU35=1,ED35=1),(LR35+LV35)/F35,0)</f>
        <v>0</v>
      </c>
      <c r="SG35" s="20" t="n">
        <f aca="false">IF(B35=0,LR35+LV35,0)</f>
        <v>0</v>
      </c>
      <c r="SH35" s="20" t="n">
        <f aca="false">IF(B35=0,IF(HU35=1,LT35,LU35),0)</f>
        <v>0</v>
      </c>
      <c r="SI35" s="20" t="n">
        <f aca="false">IF(EN35=1,IF(HU35=1,MA35+MD35,EO35-PE35)*(1+Slot13_Rate),0)</f>
        <v>0</v>
      </c>
      <c r="SJ35" s="20" t="n">
        <f aca="false">IF(AND(HU35=1,EN35=1),(LZ35+MD35)/F35,0)</f>
        <v>0</v>
      </c>
      <c r="SK35" s="20" t="n">
        <f aca="false">IF(B35=0,LZ35+MD35,0)</f>
        <v>0</v>
      </c>
      <c r="SL35" s="20" t="n">
        <f aca="false">IF(B35=0,IF(HU35=1,MB35,MC35),0)</f>
        <v>0</v>
      </c>
      <c r="SM35" s="20" t="n">
        <f aca="false">IF(EX35=1,IF(HU35=1,MI35+ML35,EY35-PC35)*(1+Slot14_Rate),0)</f>
        <v>0</v>
      </c>
      <c r="SN35" s="20" t="n">
        <f aca="false">IF(AND(HU35=1,EX35=1),(MH35+ML35)/F35,0)</f>
        <v>0</v>
      </c>
      <c r="SO35" s="20" t="n">
        <f aca="false">IF(B35=0,MH35+ML35,0)</f>
        <v>0</v>
      </c>
      <c r="SP35" s="20" t="n">
        <f aca="false">IF(B35=0,IF(HU35=1,MJ35,MK35),0)</f>
        <v>0</v>
      </c>
      <c r="SQ35" s="20" t="n">
        <f aca="false">IF(FH35=1,IF(HU35=1,MQ35+MT35,FI35-PA35)*(1+Slot15_Rate),0)</f>
        <v>0</v>
      </c>
      <c r="SR35" s="20" t="n">
        <f aca="false">IF(AND(HU35=1,FH35=1),(MP35+MT35)/F35,0)</f>
        <v>0</v>
      </c>
      <c r="SS35" s="20" t="n">
        <f aca="false">IF(B35=0,MP35+MT35,0)</f>
        <v>0</v>
      </c>
      <c r="ST35" s="20" t="n">
        <f aca="false">IF(B35=0,IF(HU35=1,MR35,MS35),0)</f>
        <v>0</v>
      </c>
      <c r="SU35" s="20" t="n">
        <f aca="false">IF(FR35=1,IF(HU35=1,MY35+NB35,FS35-OY35)*(1+Slot16_Rate),0)</f>
        <v>0</v>
      </c>
      <c r="SV35" s="20" t="n">
        <f aca="false">IF(AND(HU35=1,FR35=1),(MX35+NB35)/F35,0)</f>
        <v>0</v>
      </c>
      <c r="SW35" s="20" t="n">
        <f aca="false">IF(B35=0,MX35+NB35,0)</f>
        <v>0</v>
      </c>
      <c r="SX35" s="20" t="n">
        <f aca="false">IF(B35=0,IF(HU35=1,MZ35,NA35),0)</f>
        <v>0</v>
      </c>
      <c r="SY35" s="20" t="n">
        <f aca="false">IF(GB35=1,IF(HU35=1,NG35+NJ35,GC35-OW35)*(1+Slot17_Rate),0)</f>
        <v>0</v>
      </c>
      <c r="SZ35" s="20" t="n">
        <f aca="false">IF(AND(HU35=1,GB35=1),(NF35+NJ35)/F35,0)</f>
        <v>0</v>
      </c>
      <c r="TA35" s="20" t="n">
        <f aca="false">IF(B35=0,NF35+NJ35,0)</f>
        <v>0</v>
      </c>
      <c r="TB35" s="20" t="n">
        <f aca="false">IF(B35=0,IF(HU35=1,NH35,NI35),0)</f>
        <v>0</v>
      </c>
      <c r="TC35" s="20" t="n">
        <f aca="false">IF(GL35=1,IF(HU35=1,NO35+NR35,GM35-OU35)*(1+Slot18_Rate),0)</f>
        <v>0</v>
      </c>
      <c r="TD35" s="20" t="n">
        <f aca="false">IF(AND(HU35=1,GL35=1),(NN35+NR35)/F35,0)</f>
        <v>0</v>
      </c>
      <c r="TE35" s="20" t="n">
        <f aca="false">IF(B35=0,NN35+NR35,0)</f>
        <v>0</v>
      </c>
      <c r="TF35" s="20" t="n">
        <f aca="false">IF(B35=0,IF(HU35=1,NP35,NQ35),0)</f>
        <v>0</v>
      </c>
      <c r="TG35" s="20" t="n">
        <f aca="false">IF(GV35=1,IF(HU35=1,NW35+NZ35,GW35-OS35)*(1+Slot19_Rate),0)</f>
        <v>0</v>
      </c>
      <c r="TH35" s="20" t="n">
        <f aca="false">IF(AND(HU35=1,GV35=1),(NV35+NZ35)/F35,0)</f>
        <v>0</v>
      </c>
      <c r="TI35" s="20" t="n">
        <f aca="false">IF(B35=0,NV35+NZ35,0)</f>
        <v>0</v>
      </c>
      <c r="TJ35" s="20" t="n">
        <f aca="false">IF(B35=0,IF(HU35=1,NX35,NY35),0)</f>
        <v>0</v>
      </c>
      <c r="TK35" s="20" t="n">
        <f aca="false">IF(HF35=1,IF(HU35=1,OE35+OH35,HG35-OQ35)*(1+Slot20_Rate),0)</f>
        <v>0</v>
      </c>
      <c r="TL35" s="20" t="n">
        <f aca="false">IF(AND(HU35=1,HF35=1),(OD35+OH35)/F35,0)</f>
        <v>0</v>
      </c>
      <c r="TM35" s="20" t="n">
        <f aca="false">IF(B35=0,OD35+OH35,0)</f>
        <v>0</v>
      </c>
      <c r="TN35" s="20" t="n">
        <f aca="false">IF(B35=0,IF(HU35=1,OF35,OG35),0)</f>
        <v>0</v>
      </c>
      <c r="TO35" s="20" t="n">
        <f aca="false">QK35+QL35+QM35+QQ35+QU35+QY35+RC35+RG35+RK35+RO35+RS35+RW35+SA35+SE35+SI35+SM35+SQ35+SU35+SY35+TC35+TG35+TK35</f>
        <v>212356.566301444</v>
      </c>
      <c r="TP35" s="20" t="n">
        <f aca="false">QE35+HP35</f>
        <v>0</v>
      </c>
      <c r="TQ35" s="20" t="n">
        <f aca="false">I35+S35</f>
        <v>81589.1735834449</v>
      </c>
      <c r="TR35" s="20" t="n">
        <f aca="false">1-G35</f>
        <v>1</v>
      </c>
      <c r="TS35" s="20" t="n">
        <f aca="false">IF(AND(RG_Exists=1,G35=0,C35=1),I35,0)</f>
        <v>81589.1735834449</v>
      </c>
      <c r="TT35" s="20" t="n">
        <f aca="false">IF(AND(RG_Exists=1,G35=0,C35=1),I35-MIN(QE35,I35),0)</f>
        <v>81589.1735834449</v>
      </c>
      <c r="TU35" s="20" t="n">
        <f aca="false">'Plan pay &amp; tax'!AD261</f>
        <v>433777.281979458</v>
      </c>
      <c r="TV35" s="20" t="n">
        <f aca="false">IF(AND(C35=1,QE35&gt;MAX(PR_Short1,TQ35*PR_Short2)),1,0)</f>
        <v>0</v>
      </c>
      <c r="TW35" s="20" t="n">
        <f aca="false">MIN(H35,I35+S35)</f>
        <v>59654.1672286125</v>
      </c>
      <c r="TX35" s="20" t="n">
        <f aca="false">QF35+MAX(0,HQ35-HP35)</f>
        <v>21935.0063548324</v>
      </c>
      <c r="TY35" s="20" t="n">
        <f aca="false">QE35+HP35</f>
        <v>0</v>
      </c>
      <c r="TZ35" s="20" t="n">
        <f aca="false">IF(AND(C35=1,TY35&gt;PR_MinShort),1,0)</f>
        <v>0</v>
      </c>
      <c r="UA35" s="20" t="n">
        <f aca="false">IF(AND(C35=1,TZ35=0,TX35&gt;PR_MinShort),1,0)</f>
        <v>1</v>
      </c>
      <c r="UB35" s="20" t="n">
        <f aca="false">IF(AND(C35=1,QE35&gt;PR_MinShort),1,0)</f>
        <v>0</v>
      </c>
      <c r="UC35" s="20" t="n">
        <f aca="false">IF(AND(C35=1,QF35&gt;1,UJ35=0),1,0)</f>
        <v>1</v>
      </c>
      <c r="UD35" s="20" t="str">
        <f aca="false">IF(C35=0,"",IF(UJ35=1,"Gap to plan for: short "&amp;"€"&amp;TEXT(ROUND(TP35,0),"#,##0"),IF(QF35&gt;1,"Using savings","Comfortable")))</f>
        <v>Using savings</v>
      </c>
      <c r="UE35" s="20" t="n">
        <f aca="false">IF(AND(INT(D35/10)*10=90,B35&gt;0),80,INT(D35/10)*10)</f>
        <v>60</v>
      </c>
      <c r="UF35" s="20" t="n">
        <f aca="false">IF(B35=0,1,IF(UE35&lt;&gt;UE34,UF34+1,UF34))</f>
        <v>4</v>
      </c>
      <c r="UG35" s="20" t="n">
        <f aca="false">IF(AND(C35=1,G35=1,QE35&gt;MAX(PR_Short1,TQ35*PR_Short2)),1,0)</f>
        <v>0</v>
      </c>
      <c r="UH35" s="20" t="n">
        <f aca="false">TR35*TV35</f>
        <v>0</v>
      </c>
      <c r="UI35" s="20" t="n">
        <f aca="false">IF(AND(V35=1,Slot1_PctLow=1),1,0)+IF(AND(AG35=1,Slot2_PctLow=1),1,0)+IF(AND(AQ35=1,Slot3_PctLow=1),1,0)+IF(AND(BA35=1,Slot4_PctLow=1),1,0)+IF(AND(BK35=1,Slot5_PctLow=1),1,0)+IF(AND(BU35=1,Slot6_PctLow=1),1,0)+IF(AND(CE35=1,Slot7_PctLow=1),1,0)+IF(AND(CO35=1,Slot8_PctLow=1),1,0)+IF(AND(CY35=1,Slot9_PctLow=1),1,0)+IF(AND(DI35=1,Slot10_PctLow=1),1,0)+IF(AND(DS35=1,Slot11_PctLow=1),1,0)+IF(AND(EC35=1,Slot12_PctLow=1),1,0)+IF(AND(EM35=1,Slot13_PctLow=1),1,0)+IF(AND(EW35=1,Slot14_PctLow=1),1,0)+IF(AND(FG35=1,Slot15_PctLow=1),1,0)+IF(AND(FQ35=1,Slot16_PctLow=1),1,0)+IF(AND(GA35=1,Slot17_PctLow=1),1,0)+IF(AND(GK35=1,Slot18_PctLow=1),1,0)+IF(AND(GU35=1,Slot19_PctLow=1),1,0)+IF(AND(HE35=1,Slot20_PctLow=1),1,0)</f>
        <v>0</v>
      </c>
      <c r="UJ35" s="20" t="n">
        <f aca="false">IF(C35=1,IF(OR(TV35=1,UI35&gt;0),1,0),0)</f>
        <v>0</v>
      </c>
      <c r="UK35" s="20" t="n">
        <f aca="false">Z35+AK35+AU35+BE35+BO35+BY35+CI35+CS35+DC35+DM35+DW35+EG35+EQ35+FA35+FK35+FU35+GE35+GO35+GY35+HI35+OM35</f>
        <v>21935.0063548324</v>
      </c>
      <c r="UL35" s="20" t="n">
        <f aca="false">V35*IF(Slot1_SpendLike=1,X35-Y35,IF(Slot1_PotFree=1,X35,0))+AG35*IF(Slot2_SpendLike=1,AI35-AJ35,IF(Slot2_PotFree=1,AI35,0))+AQ35*IF(Slot3_SpendLike=1,AS35-AT35,IF(Slot3_PotFree=1,AS35,0))+BA35*IF(Slot4_SpendLike=1,BC35-BD35,IF(Slot4_PotFree=1,BC35,0))+BK35*IF(Slot5_SpendLike=1,BM35-BN35,IF(Slot5_PotFree=1,BM35,0))+BU35*IF(Slot6_SpendLike=1,BW35-BX35,IF(Slot6_PotFree=1,BW35,0))+CE35*IF(Slot7_SpendLike=1,CG35-CH35,IF(Slot7_PotFree=1,CG35,0))+CO35*IF(Slot8_SpendLike=1,CQ35-CR35,IF(Slot8_PotFree=1,CQ35,0))+CY35*IF(Slot9_SpendLike=1,DA35-DB35,IF(Slot9_PotFree=1,DA35,0))+DI35*IF(Slot10_SpendLike=1,DK35-DL35,IF(Slot10_PotFree=1,DK35,0))+DS35*IF(Slot11_SpendLike=1,DU35-DV35,IF(Slot11_PotFree=1,DU35,0))+EC35*IF(Slot12_SpendLike=1,EE35-EF35,IF(Slot12_PotFree=1,EE35,0))+EM35*IF(Slot13_SpendLike=1,EO35-EP35,IF(Slot13_PotFree=1,EO35,0))+EW35*IF(Slot14_SpendLike=1,EY35-EZ35,IF(Slot14_PotFree=1,EY35,0))+FG35*IF(Slot15_SpendLike=1,FI35-FJ35,IF(Slot15_PotFree=1,FI35,0))+FQ35*IF(Slot16_SpendLike=1,FS35-FT35,IF(Slot16_PotFree=1,FS35,0))+GA35*IF(Slot17_SpendLike=1,GC35-GD35,IF(Slot17_PotFree=1,GC35,0))+GK35*IF(Slot18_SpendLike=1,GM35-GN35,IF(Slot18_PotFree=1,GM35,0))+GU35*IF(Slot19_SpendLike=1,GW35-GX35,IF(Slot19_PotFree=1,GW35,0))+HE35*IF(Slot20_SpendLike=1,HG35-HH35,IF(Slot20_PotFree=1,HG35,0))</f>
        <v>0</v>
      </c>
      <c r="UM35" s="20" t="n">
        <f aca="false">QG35-T35+UK35-UL35</f>
        <v>0</v>
      </c>
      <c r="UN35" s="20" t="n">
        <f aca="false">IF(OR(UN34=1,AND(In_homeUse="Yes, I'd downsize",In_downAge&gt;0,D35=In_downAge,OR(In_home="Own outright",In_home="Own with mortgage"),In_homeValue&gt;0)),1,0)</f>
        <v>0</v>
      </c>
    </row>
    <row r="36" customFormat="false" ht="15" hidden="false" customHeight="true" outlineLevel="0" collapsed="false">
      <c r="B36" s="20" t="n">
        <v>28</v>
      </c>
      <c r="C36" s="20" t="n">
        <f aca="false">IF(B36&lt;=F_N,1,0)</f>
        <v>1</v>
      </c>
      <c r="D36" s="20" t="n">
        <f aca="false">'Plan pay &amp; tax'!C262</f>
        <v>66</v>
      </c>
      <c r="E36" s="20" t="str">
        <f aca="false">IF($C36=1,"Income tax "&amp;TEXT(N('Plan pay &amp; tax'!BK262),"#,##0")&amp;"; USC "&amp;TEXT(N('Plan pay &amp; tax'!BM262)+N('Plan pay &amp; tax'!BO262),"#,##0")&amp;"; PRSI "&amp;TEXT(N('Plan pay &amp; tax'!BP262)+N('Plan pay &amp; tax'!BQ262),"#,##0")&amp;IF(N('Plan holdings'!BO36)&gt;=0.5,"; DIRT "&amp;TEXT(('Plan holdings'!BO36)/$F36,"#,##0")&amp;" (already taken from the interest earned)","")&amp;IF(N('Plan holdings'!BP36)&gt;=0.5,"; exit tax at an 8-year anniversary "&amp;TEXT(('Plan holdings'!BP36)/$F36,"#,##0"),"")&amp;IF(N('Plan holdings'!BN36)&gt;=0.5,"; tax on assets sold (exit tax or capital gains tax) "&amp;TEXT(('Plan holdings'!BN36)/$F36,"#,##0"),"")&amp;IF(N('Plan pay &amp; tax'!X262)-N('Plan pay &amp; tax'!Y262)&gt;=0.5,"; tax on the pension lump sum "&amp;TEXT(('Plan pay &amp; tax'!X262-'Plan pay &amp; tax'!Y262)/$F36,"#,##0"),"")&amp;IF(N('Plan pay &amp; tax'!V262)&gt;=0.5,"; chargeable excess tax on the pension "&amp;TEXT(('Plan pay &amp; tax'!V262)/$F36,"#,##0"),"")&amp;".","")</f>
        <v>Income tax 2,398; USC 400; PRSI 1,359; DIRT 287 (already taken from the interest earned); exit tax at an 8-year anniversary 396.</v>
      </c>
      <c r="F36" s="50" t="n">
        <f aca="false">'Plan pay &amp; tax'!E262</f>
        <v>1.74102420617393</v>
      </c>
      <c r="G36" s="20" t="n">
        <f aca="false">'Plan pay &amp; tax'!G262</f>
        <v>0</v>
      </c>
      <c r="H36" s="20" t="n">
        <f aca="false">'Plan pay &amp; tax'!BT262-'Plan pay &amp; tax'!BS262-'Plan pay &amp; tax'!R262</f>
        <v>87544.6013008434</v>
      </c>
      <c r="I36" s="20" t="n">
        <f aca="false">IF(G36=1,F_CostsM*12,IF(RG_Exists=1,RG_Amount,F_CostsM*12*AS_RetireSpend))*F36+F_OneOffY*F36</f>
        <v>83220.9570551138</v>
      </c>
      <c r="J36" s="20" t="n">
        <f aca="false">IF(UN36=1,0,HR35)</f>
        <v>0</v>
      </c>
      <c r="K36" s="20" t="n">
        <f aca="false">IF(J36&gt;1,'Plan debt months'!AC36,0)</f>
        <v>0</v>
      </c>
      <c r="L36" s="20" t="n">
        <f aca="false">IF(J36&gt;1,'Plan debt months'!AB36,J36)</f>
        <v>0</v>
      </c>
      <c r="M36" s="20" t="n">
        <f aca="false">O35</f>
        <v>0</v>
      </c>
      <c r="N36" s="20" t="n">
        <f aca="false">IF(M36&gt;1,'Plan debt months'!BD36,0)</f>
        <v>0</v>
      </c>
      <c r="O36" s="20" t="n">
        <f aca="false">IF(M36&gt;1,'Plan debt months'!BC36,M36)</f>
        <v>0</v>
      </c>
      <c r="P36" s="20" t="n">
        <f aca="false">R35</f>
        <v>0</v>
      </c>
      <c r="Q36" s="20" t="n">
        <f aca="false">IF(P36&gt;1,'Plan debt months'!CE36,0)</f>
        <v>0</v>
      </c>
      <c r="R36" s="20" t="n">
        <f aca="false">IF(P36&gt;1,'Plan debt months'!CD36,P36)</f>
        <v>0</v>
      </c>
      <c r="S36" s="20" t="n">
        <f aca="false">K36+N36+Q36</f>
        <v>0</v>
      </c>
      <c r="T36" s="57" t="n">
        <f aca="false">'Plan holdings'!Y36</f>
        <v>192516.870322664</v>
      </c>
      <c r="U36" s="57" t="n">
        <f aca="false">'Plan holdings'!BM35</f>
        <v>197618.568078932</v>
      </c>
      <c r="V36" s="20" t="n">
        <f aca="false">IF(AND(Slot1_On=1,D36=Slot1_Age),1,0)</f>
        <v>0</v>
      </c>
      <c r="W36" s="20" t="n">
        <f aca="false">IF(AND(Slot1_On=1,Slot1_Age&gt;D36),1,0)</f>
        <v>0</v>
      </c>
      <c r="X36" s="20" t="n">
        <f aca="false">QM35</f>
        <v>0</v>
      </c>
      <c r="Y36" s="20" t="n">
        <f aca="false">V36*MIN(Slot1_Cost,X36)</f>
        <v>0</v>
      </c>
      <c r="Z36" s="20" t="n">
        <f aca="false">V36*Slot1_SpendLike*MIN(Slot1_Cost-Y36,T36)</f>
        <v>0</v>
      </c>
      <c r="AA36" s="20" t="n">
        <f aca="false">Y36+Z36</f>
        <v>0</v>
      </c>
      <c r="AB36" s="20" t="n">
        <f aca="false">T36-Z36+V36*IF(Slot1_SpendLike=1,X36-Y36,IF(Slot1_PotFree=1,X36,0))</f>
        <v>192516.870322664</v>
      </c>
      <c r="AC36" s="20" t="n">
        <f aca="false">AF36+V36*Slot1_BufPot*X36</f>
        <v>14737.9982225118</v>
      </c>
      <c r="AD36" s="20" t="n">
        <f aca="false">IF(AND(V36=1,Slot1_IsMfree=1),IF(AA36&gt;=Slot1_Cost-1,0,MAX(0,L36-AA36)),L36)</f>
        <v>0</v>
      </c>
      <c r="AE36" s="20" t="n">
        <f aca="false">V36*(Slot1_Cost-AA36)</f>
        <v>0</v>
      </c>
      <c r="AF36" s="20" t="n">
        <f aca="false">QL35</f>
        <v>14737.9982225118</v>
      </c>
      <c r="AG36" s="20" t="n">
        <f aca="false">IF(AND(Slot2_On=1,D36=Slot2_Age),1,0)</f>
        <v>0</v>
      </c>
      <c r="AH36" s="20" t="n">
        <f aca="false">IF(AND(Slot2_On=1,Slot2_Age&gt;D36),1,0)</f>
        <v>0</v>
      </c>
      <c r="AI36" s="20" t="n">
        <f aca="false">QQ35</f>
        <v>0</v>
      </c>
      <c r="AJ36" s="20" t="n">
        <f aca="false">AG36*MIN(Slot2_Cost,AI36)</f>
        <v>0</v>
      </c>
      <c r="AK36" s="20" t="n">
        <f aca="false">AG36*Slot2_SpendLike*MIN(Slot2_Cost-AJ36,AB36)</f>
        <v>0</v>
      </c>
      <c r="AL36" s="20" t="n">
        <f aca="false">AJ36+AK36</f>
        <v>0</v>
      </c>
      <c r="AM36" s="20" t="n">
        <f aca="false">AB36-AK36+AG36*IF(Slot2_SpendLike=1,AI36-AJ36,IF(Slot2_PotFree=1,AI36,0))</f>
        <v>192516.870322664</v>
      </c>
      <c r="AN36" s="20" t="n">
        <f aca="false">AC36+AG36*Slot2_BufPot*AI36</f>
        <v>14737.9982225118</v>
      </c>
      <c r="AO36" s="20" t="n">
        <f aca="false">IF(AND(AG36=1,Slot2_IsMfree=1),IF(AL36&gt;=Slot2_Cost-1,0,MAX(0,AD36-AL36)),AD36)</f>
        <v>0</v>
      </c>
      <c r="AP36" s="20" t="n">
        <f aca="false">AG36*(Slot2_Cost-AL36)</f>
        <v>0</v>
      </c>
      <c r="AQ36" s="20" t="n">
        <f aca="false">IF(AND(Slot3_On=1,D36=Slot3_Age),1,0)</f>
        <v>0</v>
      </c>
      <c r="AR36" s="20" t="n">
        <f aca="false">IF(AND(Slot3_On=1,Slot3_Age&gt;D36),1,0)</f>
        <v>0</v>
      </c>
      <c r="AS36" s="20" t="n">
        <f aca="false">QU35</f>
        <v>0</v>
      </c>
      <c r="AT36" s="20" t="n">
        <f aca="false">AQ36*MIN(Slot3_Cost,AS36)</f>
        <v>0</v>
      </c>
      <c r="AU36" s="20" t="n">
        <f aca="false">AQ36*Slot3_SpendLike*MIN(Slot3_Cost-AT36,AM36)</f>
        <v>0</v>
      </c>
      <c r="AV36" s="20" t="n">
        <f aca="false">AT36+AU36</f>
        <v>0</v>
      </c>
      <c r="AW36" s="20" t="n">
        <f aca="false">AM36-AU36+AQ36*IF(Slot3_SpendLike=1,AS36-AT36,IF(Slot3_PotFree=1,AS36,0))</f>
        <v>192516.870322664</v>
      </c>
      <c r="AX36" s="20" t="n">
        <f aca="false">AN36+AQ36*Slot3_BufPot*AS36</f>
        <v>14737.9982225118</v>
      </c>
      <c r="AY36" s="20" t="n">
        <f aca="false">IF(AND(AQ36=1,Slot3_IsMfree=1),IF(AV36&gt;=Slot3_Cost-1,0,MAX(0,AO36-AV36)),AO36)</f>
        <v>0</v>
      </c>
      <c r="AZ36" s="20" t="n">
        <f aca="false">AQ36*(Slot3_Cost-AV36)</f>
        <v>0</v>
      </c>
      <c r="BA36" s="20" t="n">
        <f aca="false">IF(AND(Slot4_On=1,D36=Slot4_Age),1,0)</f>
        <v>0</v>
      </c>
      <c r="BB36" s="20" t="n">
        <f aca="false">IF(AND(Slot4_On=1,Slot4_Age&gt;D36),1,0)</f>
        <v>0</v>
      </c>
      <c r="BC36" s="20" t="n">
        <f aca="false">QY35</f>
        <v>0</v>
      </c>
      <c r="BD36" s="20" t="n">
        <f aca="false">BA36*MIN(Slot4_Cost,BC36)</f>
        <v>0</v>
      </c>
      <c r="BE36" s="20" t="n">
        <f aca="false">BA36*Slot4_SpendLike*MIN(Slot4_Cost-BD36,AW36)</f>
        <v>0</v>
      </c>
      <c r="BF36" s="20" t="n">
        <f aca="false">BD36+BE36</f>
        <v>0</v>
      </c>
      <c r="BG36" s="20" t="n">
        <f aca="false">AW36-BE36+BA36*IF(Slot4_SpendLike=1,BC36-BD36,IF(Slot4_PotFree=1,BC36,0))</f>
        <v>192516.870322664</v>
      </c>
      <c r="BH36" s="20" t="n">
        <f aca="false">AX36+BA36*Slot4_BufPot*BC36</f>
        <v>14737.9982225118</v>
      </c>
      <c r="BI36" s="20" t="n">
        <f aca="false">IF(AND(BA36=1,Slot4_IsMfree=1),IF(BF36&gt;=Slot4_Cost-1,0,MAX(0,AY36-BF36)),AY36)</f>
        <v>0</v>
      </c>
      <c r="BJ36" s="20" t="n">
        <f aca="false">BA36*(Slot4_Cost-BF36)</f>
        <v>0</v>
      </c>
      <c r="BK36" s="20" t="n">
        <f aca="false">IF(AND(Slot5_On=1,D36=Slot5_Age),1,0)</f>
        <v>0</v>
      </c>
      <c r="BL36" s="20" t="n">
        <f aca="false">IF(AND(Slot5_On=1,Slot5_Age&gt;D36),1,0)</f>
        <v>0</v>
      </c>
      <c r="BM36" s="20" t="n">
        <f aca="false">RC35</f>
        <v>0</v>
      </c>
      <c r="BN36" s="20" t="n">
        <f aca="false">BK36*MIN(Slot5_Cost,BM36)</f>
        <v>0</v>
      </c>
      <c r="BO36" s="20" t="n">
        <f aca="false">BK36*Slot5_SpendLike*MIN(Slot5_Cost-BN36,BG36)</f>
        <v>0</v>
      </c>
      <c r="BP36" s="20" t="n">
        <f aca="false">BN36+BO36</f>
        <v>0</v>
      </c>
      <c r="BQ36" s="20" t="n">
        <f aca="false">BG36-BO36+BK36*IF(Slot5_SpendLike=1,BM36-BN36,IF(Slot5_PotFree=1,BM36,0))</f>
        <v>192516.870322664</v>
      </c>
      <c r="BR36" s="20" t="n">
        <f aca="false">BH36+BK36*Slot5_BufPot*BM36</f>
        <v>14737.9982225118</v>
      </c>
      <c r="BS36" s="20" t="n">
        <f aca="false">IF(AND(BK36=1,Slot5_IsMfree=1),IF(BP36&gt;=Slot5_Cost-1,0,MAX(0,BI36-BP36)),BI36)</f>
        <v>0</v>
      </c>
      <c r="BT36" s="20" t="n">
        <f aca="false">BK36*(Slot5_Cost-BP36)</f>
        <v>0</v>
      </c>
      <c r="BU36" s="20" t="n">
        <f aca="false">IF(AND(Slot6_On=1,D36=Slot6_Age),1,0)</f>
        <v>0</v>
      </c>
      <c r="BV36" s="20" t="n">
        <f aca="false">IF(AND(Slot6_On=1,Slot6_Age&gt;D36),1,0)</f>
        <v>0</v>
      </c>
      <c r="BW36" s="20" t="n">
        <f aca="false">RG35</f>
        <v>0</v>
      </c>
      <c r="BX36" s="20" t="n">
        <f aca="false">BU36*MIN(Slot6_Cost,BW36)</f>
        <v>0</v>
      </c>
      <c r="BY36" s="20" t="n">
        <f aca="false">BU36*Slot6_SpendLike*MIN(Slot6_Cost-BX36,BQ36)</f>
        <v>0</v>
      </c>
      <c r="BZ36" s="20" t="n">
        <f aca="false">BX36+BY36</f>
        <v>0</v>
      </c>
      <c r="CA36" s="20" t="n">
        <f aca="false">BQ36-BY36+BU36*IF(Slot6_SpendLike=1,BW36-BX36,IF(Slot6_PotFree=1,BW36,0))</f>
        <v>192516.870322664</v>
      </c>
      <c r="CB36" s="20" t="n">
        <f aca="false">BR36+BU36*Slot6_BufPot*BW36</f>
        <v>14737.9982225118</v>
      </c>
      <c r="CC36" s="20" t="n">
        <f aca="false">IF(AND(BU36=1,Slot6_IsMfree=1),IF(BZ36&gt;=Slot6_Cost-1,0,MAX(0,BS36-BZ36)),BS36)</f>
        <v>0</v>
      </c>
      <c r="CD36" s="20" t="n">
        <f aca="false">BU36*(Slot6_Cost-BZ36)</f>
        <v>0</v>
      </c>
      <c r="CE36" s="20" t="n">
        <f aca="false">IF(AND(Slot7_On=1,D36=Slot7_Age),1,0)</f>
        <v>0</v>
      </c>
      <c r="CF36" s="20" t="n">
        <f aca="false">IF(AND(Slot7_On=1,Slot7_Age&gt;D36),1,0)</f>
        <v>0</v>
      </c>
      <c r="CG36" s="20" t="n">
        <f aca="false">RK35</f>
        <v>0</v>
      </c>
      <c r="CH36" s="20" t="n">
        <f aca="false">CE36*MIN(Slot7_Cost,CG36)</f>
        <v>0</v>
      </c>
      <c r="CI36" s="20" t="n">
        <f aca="false">CE36*Slot7_SpendLike*MIN(Slot7_Cost-CH36,CA36)</f>
        <v>0</v>
      </c>
      <c r="CJ36" s="20" t="n">
        <f aca="false">CH36+CI36</f>
        <v>0</v>
      </c>
      <c r="CK36" s="20" t="n">
        <f aca="false">CA36-CI36+CE36*IF(Slot7_SpendLike=1,CG36-CH36,IF(Slot7_PotFree=1,CG36,0))</f>
        <v>192516.870322664</v>
      </c>
      <c r="CL36" s="20" t="n">
        <f aca="false">CB36+CE36*Slot7_BufPot*CG36</f>
        <v>14737.9982225118</v>
      </c>
      <c r="CM36" s="20" t="n">
        <f aca="false">IF(AND(CE36=1,Slot7_IsMfree=1),IF(CJ36&gt;=Slot7_Cost-1,0,MAX(0,CC36-CJ36)),CC36)</f>
        <v>0</v>
      </c>
      <c r="CN36" s="20" t="n">
        <f aca="false">CE36*(Slot7_Cost-CJ36)</f>
        <v>0</v>
      </c>
      <c r="CO36" s="20" t="n">
        <f aca="false">IF(AND(Slot8_On=1,D36=Slot8_Age),1,0)</f>
        <v>0</v>
      </c>
      <c r="CP36" s="20" t="n">
        <f aca="false">IF(AND(Slot8_On=1,Slot8_Age&gt;D36),1,0)</f>
        <v>0</v>
      </c>
      <c r="CQ36" s="20" t="n">
        <f aca="false">RO35</f>
        <v>0</v>
      </c>
      <c r="CR36" s="20" t="n">
        <f aca="false">CO36*MIN(Slot8_Cost,CQ36)</f>
        <v>0</v>
      </c>
      <c r="CS36" s="20" t="n">
        <f aca="false">CO36*Slot8_SpendLike*MIN(Slot8_Cost-CR36,CK36)</f>
        <v>0</v>
      </c>
      <c r="CT36" s="20" t="n">
        <f aca="false">CR36+CS36</f>
        <v>0</v>
      </c>
      <c r="CU36" s="20" t="n">
        <f aca="false">CK36-CS36+CO36*IF(Slot8_SpendLike=1,CQ36-CR36,IF(Slot8_PotFree=1,CQ36,0))</f>
        <v>192516.870322664</v>
      </c>
      <c r="CV36" s="20" t="n">
        <f aca="false">CL36+CO36*Slot8_BufPot*CQ36</f>
        <v>14737.9982225118</v>
      </c>
      <c r="CW36" s="20" t="n">
        <f aca="false">IF(AND(CO36=1,Slot8_IsMfree=1),IF(CT36&gt;=Slot8_Cost-1,0,MAX(0,CM36-CT36)),CM36)</f>
        <v>0</v>
      </c>
      <c r="CX36" s="20" t="n">
        <f aca="false">CO36*(Slot8_Cost-CT36)</f>
        <v>0</v>
      </c>
      <c r="CY36" s="20" t="n">
        <f aca="false">IF(AND(Slot9_On=1,D36=Slot9_Age),1,0)</f>
        <v>0</v>
      </c>
      <c r="CZ36" s="20" t="n">
        <f aca="false">IF(AND(Slot9_On=1,Slot9_Age&gt;D36),1,0)</f>
        <v>0</v>
      </c>
      <c r="DA36" s="20" t="n">
        <f aca="false">RS35</f>
        <v>0</v>
      </c>
      <c r="DB36" s="20" t="n">
        <f aca="false">CY36*MIN(Slot9_Cost,DA36)</f>
        <v>0</v>
      </c>
      <c r="DC36" s="20" t="n">
        <f aca="false">CY36*Slot9_SpendLike*MIN(Slot9_Cost-DB36,CU36)</f>
        <v>0</v>
      </c>
      <c r="DD36" s="20" t="n">
        <f aca="false">DB36+DC36</f>
        <v>0</v>
      </c>
      <c r="DE36" s="20" t="n">
        <f aca="false">CU36-DC36+CY36*IF(Slot9_SpendLike=1,DA36-DB36,IF(Slot9_PotFree=1,DA36,0))</f>
        <v>192516.870322664</v>
      </c>
      <c r="DF36" s="20" t="n">
        <f aca="false">CV36+CY36*Slot9_BufPot*DA36</f>
        <v>14737.9982225118</v>
      </c>
      <c r="DG36" s="20" t="n">
        <f aca="false">IF(AND(CY36=1,Slot9_IsMfree=1),IF(DD36&gt;=Slot9_Cost-1,0,MAX(0,CW36-DD36)),CW36)</f>
        <v>0</v>
      </c>
      <c r="DH36" s="20" t="n">
        <f aca="false">CY36*(Slot9_Cost-DD36)</f>
        <v>0</v>
      </c>
      <c r="DI36" s="20" t="n">
        <f aca="false">IF(AND(Slot10_On=1,D36=Slot10_Age),1,0)</f>
        <v>0</v>
      </c>
      <c r="DJ36" s="20" t="n">
        <f aca="false">IF(AND(Slot10_On=1,Slot10_Age&gt;D36),1,0)</f>
        <v>0</v>
      </c>
      <c r="DK36" s="20" t="n">
        <f aca="false">RW35</f>
        <v>0</v>
      </c>
      <c r="DL36" s="20" t="n">
        <f aca="false">DI36*MIN(Slot10_Cost,DK36)</f>
        <v>0</v>
      </c>
      <c r="DM36" s="20" t="n">
        <f aca="false">DI36*Slot10_SpendLike*MIN(Slot10_Cost-DL36,DE36)</f>
        <v>0</v>
      </c>
      <c r="DN36" s="20" t="n">
        <f aca="false">DL36+DM36</f>
        <v>0</v>
      </c>
      <c r="DO36" s="20" t="n">
        <f aca="false">DE36-DM36+DI36*IF(Slot10_SpendLike=1,DK36-DL36,IF(Slot10_PotFree=1,DK36,0))</f>
        <v>192516.870322664</v>
      </c>
      <c r="DP36" s="20" t="n">
        <f aca="false">DF36+DI36*Slot10_BufPot*DK36</f>
        <v>14737.9982225118</v>
      </c>
      <c r="DQ36" s="20" t="n">
        <f aca="false">IF(AND(DI36=1,Slot10_IsMfree=1),IF(DN36&gt;=Slot10_Cost-1,0,MAX(0,DG36-DN36)),DG36)</f>
        <v>0</v>
      </c>
      <c r="DR36" s="20" t="n">
        <f aca="false">DI36*(Slot10_Cost-DN36)</f>
        <v>0</v>
      </c>
      <c r="DS36" s="20" t="n">
        <f aca="false">IF(AND(Slot11_On=1,D36=Slot11_Age),1,0)</f>
        <v>0</v>
      </c>
      <c r="DT36" s="20" t="n">
        <f aca="false">IF(AND(Slot11_On=1,Slot11_Age&gt;D36),1,0)</f>
        <v>0</v>
      </c>
      <c r="DU36" s="20" t="n">
        <f aca="false">SA35</f>
        <v>0</v>
      </c>
      <c r="DV36" s="20" t="n">
        <f aca="false">DS36*MIN(Slot11_Cost,DU36)</f>
        <v>0</v>
      </c>
      <c r="DW36" s="20" t="n">
        <f aca="false">DS36*Slot11_SpendLike*MIN(Slot11_Cost-DV36,DO36)</f>
        <v>0</v>
      </c>
      <c r="DX36" s="20" t="n">
        <f aca="false">DV36+DW36</f>
        <v>0</v>
      </c>
      <c r="DY36" s="20" t="n">
        <f aca="false">DO36-DW36+DS36*IF(Slot11_SpendLike=1,DU36-DV36,IF(Slot11_PotFree=1,DU36,0))</f>
        <v>192516.870322664</v>
      </c>
      <c r="DZ36" s="20" t="n">
        <f aca="false">DP36+DS36*Slot11_BufPot*DU36</f>
        <v>14737.9982225118</v>
      </c>
      <c r="EA36" s="20" t="n">
        <f aca="false">IF(AND(DS36=1,Slot11_IsMfree=1),IF(DX36&gt;=Slot11_Cost-1,0,MAX(0,DQ36-DX36)),DQ36)</f>
        <v>0</v>
      </c>
      <c r="EB36" s="20" t="n">
        <f aca="false">DS36*(Slot11_Cost-DX36)</f>
        <v>0</v>
      </c>
      <c r="EC36" s="20" t="n">
        <f aca="false">IF(AND(Slot12_On=1,D36=Slot12_Age),1,0)</f>
        <v>0</v>
      </c>
      <c r="ED36" s="20" t="n">
        <f aca="false">IF(AND(Slot12_On=1,Slot12_Age&gt;D36),1,0)</f>
        <v>0</v>
      </c>
      <c r="EE36" s="20" t="n">
        <f aca="false">SE35</f>
        <v>0</v>
      </c>
      <c r="EF36" s="20" t="n">
        <f aca="false">EC36*MIN(Slot12_Cost,EE36)</f>
        <v>0</v>
      </c>
      <c r="EG36" s="20" t="n">
        <f aca="false">EC36*Slot12_SpendLike*MIN(Slot12_Cost-EF36,DY36)</f>
        <v>0</v>
      </c>
      <c r="EH36" s="20" t="n">
        <f aca="false">EF36+EG36</f>
        <v>0</v>
      </c>
      <c r="EI36" s="20" t="n">
        <f aca="false">DY36-EG36+EC36*IF(Slot12_SpendLike=1,EE36-EF36,IF(Slot12_PotFree=1,EE36,0))</f>
        <v>192516.870322664</v>
      </c>
      <c r="EJ36" s="20" t="n">
        <f aca="false">DZ36+EC36*Slot12_BufPot*EE36</f>
        <v>14737.9982225118</v>
      </c>
      <c r="EK36" s="20" t="n">
        <f aca="false">IF(AND(EC36=1,Slot12_IsMfree=1),IF(EH36&gt;=Slot12_Cost-1,0,MAX(0,EA36-EH36)),EA36)</f>
        <v>0</v>
      </c>
      <c r="EL36" s="20" t="n">
        <f aca="false">EC36*(Slot12_Cost-EH36)</f>
        <v>0</v>
      </c>
      <c r="EM36" s="20" t="n">
        <f aca="false">IF(AND(Slot13_On=1,D36=Slot13_Age),1,0)</f>
        <v>0</v>
      </c>
      <c r="EN36" s="20" t="n">
        <f aca="false">IF(AND(Slot13_On=1,Slot13_Age&gt;D36),1,0)</f>
        <v>0</v>
      </c>
      <c r="EO36" s="20" t="n">
        <f aca="false">SI35</f>
        <v>0</v>
      </c>
      <c r="EP36" s="20" t="n">
        <f aca="false">EM36*MIN(Slot13_Cost,EO36)</f>
        <v>0</v>
      </c>
      <c r="EQ36" s="20" t="n">
        <f aca="false">EM36*Slot13_SpendLike*MIN(Slot13_Cost-EP36,EI36)</f>
        <v>0</v>
      </c>
      <c r="ER36" s="20" t="n">
        <f aca="false">EP36+EQ36</f>
        <v>0</v>
      </c>
      <c r="ES36" s="20" t="n">
        <f aca="false">EI36-EQ36+EM36*IF(Slot13_SpendLike=1,EO36-EP36,IF(Slot13_PotFree=1,EO36,0))</f>
        <v>192516.870322664</v>
      </c>
      <c r="ET36" s="20" t="n">
        <f aca="false">EJ36+EM36*Slot13_BufPot*EO36</f>
        <v>14737.9982225118</v>
      </c>
      <c r="EU36" s="20" t="n">
        <f aca="false">IF(AND(EM36=1,Slot13_IsMfree=1),IF(ER36&gt;=Slot13_Cost-1,0,MAX(0,EK36-ER36)),EK36)</f>
        <v>0</v>
      </c>
      <c r="EV36" s="20" t="n">
        <f aca="false">EM36*(Slot13_Cost-ER36)</f>
        <v>0</v>
      </c>
      <c r="EW36" s="20" t="n">
        <f aca="false">IF(AND(Slot14_On=1,D36=Slot14_Age),1,0)</f>
        <v>0</v>
      </c>
      <c r="EX36" s="20" t="n">
        <f aca="false">IF(AND(Slot14_On=1,Slot14_Age&gt;D36),1,0)</f>
        <v>0</v>
      </c>
      <c r="EY36" s="20" t="n">
        <f aca="false">SM35</f>
        <v>0</v>
      </c>
      <c r="EZ36" s="20" t="n">
        <f aca="false">EW36*MIN(Slot14_Cost,EY36)</f>
        <v>0</v>
      </c>
      <c r="FA36" s="20" t="n">
        <f aca="false">EW36*Slot14_SpendLike*MIN(Slot14_Cost-EZ36,ES36)</f>
        <v>0</v>
      </c>
      <c r="FB36" s="20" t="n">
        <f aca="false">EZ36+FA36</f>
        <v>0</v>
      </c>
      <c r="FC36" s="20" t="n">
        <f aca="false">ES36-FA36+EW36*IF(Slot14_SpendLike=1,EY36-EZ36,IF(Slot14_PotFree=1,EY36,0))</f>
        <v>192516.870322664</v>
      </c>
      <c r="FD36" s="20" t="n">
        <f aca="false">ET36+EW36*Slot14_BufPot*EY36</f>
        <v>14737.9982225118</v>
      </c>
      <c r="FE36" s="20" t="n">
        <f aca="false">IF(AND(EW36=1,Slot14_IsMfree=1),IF(FB36&gt;=Slot14_Cost-1,0,MAX(0,EU36-FB36)),EU36)</f>
        <v>0</v>
      </c>
      <c r="FF36" s="20" t="n">
        <f aca="false">EW36*(Slot14_Cost-FB36)</f>
        <v>0</v>
      </c>
      <c r="FG36" s="20" t="n">
        <f aca="false">IF(AND(Slot15_On=1,D36=Slot15_Age),1,0)</f>
        <v>0</v>
      </c>
      <c r="FH36" s="20" t="n">
        <f aca="false">IF(AND(Slot15_On=1,Slot15_Age&gt;D36),1,0)</f>
        <v>0</v>
      </c>
      <c r="FI36" s="20" t="n">
        <f aca="false">SQ35</f>
        <v>0</v>
      </c>
      <c r="FJ36" s="20" t="n">
        <f aca="false">FG36*MIN(Slot15_Cost,FI36)</f>
        <v>0</v>
      </c>
      <c r="FK36" s="20" t="n">
        <f aca="false">FG36*Slot15_SpendLike*MIN(Slot15_Cost-FJ36,FC36)</f>
        <v>0</v>
      </c>
      <c r="FL36" s="20" t="n">
        <f aca="false">FJ36+FK36</f>
        <v>0</v>
      </c>
      <c r="FM36" s="20" t="n">
        <f aca="false">FC36-FK36+FG36*IF(Slot15_SpendLike=1,FI36-FJ36,IF(Slot15_PotFree=1,FI36,0))</f>
        <v>192516.870322664</v>
      </c>
      <c r="FN36" s="20" t="n">
        <f aca="false">FD36+FG36*Slot15_BufPot*FI36</f>
        <v>14737.9982225118</v>
      </c>
      <c r="FO36" s="20" t="n">
        <f aca="false">IF(AND(FG36=1,Slot15_IsMfree=1),IF(FL36&gt;=Slot15_Cost-1,0,MAX(0,FE36-FL36)),FE36)</f>
        <v>0</v>
      </c>
      <c r="FP36" s="20" t="n">
        <f aca="false">FG36*(Slot15_Cost-FL36)</f>
        <v>0</v>
      </c>
      <c r="FQ36" s="20" t="n">
        <f aca="false">IF(AND(Slot16_On=1,D36=Slot16_Age),1,0)</f>
        <v>0</v>
      </c>
      <c r="FR36" s="20" t="n">
        <f aca="false">IF(AND(Slot16_On=1,Slot16_Age&gt;D36),1,0)</f>
        <v>0</v>
      </c>
      <c r="FS36" s="20" t="n">
        <f aca="false">SU35</f>
        <v>0</v>
      </c>
      <c r="FT36" s="20" t="n">
        <f aca="false">FQ36*MIN(Slot16_Cost,FS36)</f>
        <v>0</v>
      </c>
      <c r="FU36" s="20" t="n">
        <f aca="false">FQ36*Slot16_SpendLike*MIN(Slot16_Cost-FT36,FM36)</f>
        <v>0</v>
      </c>
      <c r="FV36" s="20" t="n">
        <f aca="false">FT36+FU36</f>
        <v>0</v>
      </c>
      <c r="FW36" s="20" t="n">
        <f aca="false">FM36-FU36+FQ36*IF(Slot16_SpendLike=1,FS36-FT36,IF(Slot16_PotFree=1,FS36,0))</f>
        <v>192516.870322664</v>
      </c>
      <c r="FX36" s="20" t="n">
        <f aca="false">FN36+FQ36*Slot16_BufPot*FS36</f>
        <v>14737.9982225118</v>
      </c>
      <c r="FY36" s="20" t="n">
        <f aca="false">IF(AND(FQ36=1,Slot16_IsMfree=1),IF(FV36&gt;=Slot16_Cost-1,0,MAX(0,FO36-FV36)),FO36)</f>
        <v>0</v>
      </c>
      <c r="FZ36" s="20" t="n">
        <f aca="false">FQ36*(Slot16_Cost-FV36)</f>
        <v>0</v>
      </c>
      <c r="GA36" s="20" t="n">
        <f aca="false">IF(AND(Slot17_On=1,D36=Slot17_Age),1,0)</f>
        <v>0</v>
      </c>
      <c r="GB36" s="20" t="n">
        <f aca="false">IF(AND(Slot17_On=1,Slot17_Age&gt;D36),1,0)</f>
        <v>0</v>
      </c>
      <c r="GC36" s="20" t="n">
        <f aca="false">SY35</f>
        <v>0</v>
      </c>
      <c r="GD36" s="20" t="n">
        <f aca="false">GA36*MIN(Slot17_Cost,GC36)</f>
        <v>0</v>
      </c>
      <c r="GE36" s="20" t="n">
        <f aca="false">GA36*Slot17_SpendLike*MIN(Slot17_Cost-GD36,FW36)</f>
        <v>0</v>
      </c>
      <c r="GF36" s="20" t="n">
        <f aca="false">GD36+GE36</f>
        <v>0</v>
      </c>
      <c r="GG36" s="20" t="n">
        <f aca="false">FW36-GE36+GA36*IF(Slot17_SpendLike=1,GC36-GD36,IF(Slot17_PotFree=1,GC36,0))</f>
        <v>192516.870322664</v>
      </c>
      <c r="GH36" s="20" t="n">
        <f aca="false">FX36+GA36*Slot17_BufPot*GC36</f>
        <v>14737.9982225118</v>
      </c>
      <c r="GI36" s="20" t="n">
        <f aca="false">IF(AND(GA36=1,Slot17_IsMfree=1),IF(GF36&gt;=Slot17_Cost-1,0,MAX(0,FY36-GF36)),FY36)</f>
        <v>0</v>
      </c>
      <c r="GJ36" s="20" t="n">
        <f aca="false">GA36*(Slot17_Cost-GF36)</f>
        <v>0</v>
      </c>
      <c r="GK36" s="20" t="n">
        <f aca="false">IF(AND(Slot18_On=1,D36=Slot18_Age),1,0)</f>
        <v>0</v>
      </c>
      <c r="GL36" s="20" t="n">
        <f aca="false">IF(AND(Slot18_On=1,Slot18_Age&gt;D36),1,0)</f>
        <v>0</v>
      </c>
      <c r="GM36" s="20" t="n">
        <f aca="false">TC35</f>
        <v>0</v>
      </c>
      <c r="GN36" s="20" t="n">
        <f aca="false">GK36*MIN(Slot18_Cost,GM36)</f>
        <v>0</v>
      </c>
      <c r="GO36" s="20" t="n">
        <f aca="false">GK36*Slot18_SpendLike*MIN(Slot18_Cost-GN36,GG36)</f>
        <v>0</v>
      </c>
      <c r="GP36" s="20" t="n">
        <f aca="false">GN36+GO36</f>
        <v>0</v>
      </c>
      <c r="GQ36" s="20" t="n">
        <f aca="false">GG36-GO36+GK36*IF(Slot18_SpendLike=1,GM36-GN36,IF(Slot18_PotFree=1,GM36,0))</f>
        <v>192516.870322664</v>
      </c>
      <c r="GR36" s="20" t="n">
        <f aca="false">GH36+GK36*Slot18_BufPot*GM36</f>
        <v>14737.9982225118</v>
      </c>
      <c r="GS36" s="20" t="n">
        <f aca="false">IF(AND(GK36=1,Slot18_IsMfree=1),IF(GP36&gt;=Slot18_Cost-1,0,MAX(0,GI36-GP36)),GI36)</f>
        <v>0</v>
      </c>
      <c r="GT36" s="20" t="n">
        <f aca="false">GK36*(Slot18_Cost-GP36)</f>
        <v>0</v>
      </c>
      <c r="GU36" s="20" t="n">
        <f aca="false">IF(AND(Slot19_On=1,D36=Slot19_Age),1,0)</f>
        <v>0</v>
      </c>
      <c r="GV36" s="20" t="n">
        <f aca="false">IF(AND(Slot19_On=1,Slot19_Age&gt;D36),1,0)</f>
        <v>0</v>
      </c>
      <c r="GW36" s="20" t="n">
        <f aca="false">TG35</f>
        <v>0</v>
      </c>
      <c r="GX36" s="20" t="n">
        <f aca="false">GU36*MIN(Slot19_Cost,GW36)</f>
        <v>0</v>
      </c>
      <c r="GY36" s="20" t="n">
        <f aca="false">GU36*Slot19_SpendLike*MIN(Slot19_Cost-GX36,GQ36)</f>
        <v>0</v>
      </c>
      <c r="GZ36" s="20" t="n">
        <f aca="false">GX36+GY36</f>
        <v>0</v>
      </c>
      <c r="HA36" s="20" t="n">
        <f aca="false">GQ36-GY36+GU36*IF(Slot19_SpendLike=1,GW36-GX36,IF(Slot19_PotFree=1,GW36,0))</f>
        <v>192516.870322664</v>
      </c>
      <c r="HB36" s="20" t="n">
        <f aca="false">GR36+GU36*Slot19_BufPot*GW36</f>
        <v>14737.9982225118</v>
      </c>
      <c r="HC36" s="20" t="n">
        <f aca="false">IF(AND(GU36=1,Slot19_IsMfree=1),IF(GZ36&gt;=Slot19_Cost-1,0,MAX(0,GS36-GZ36)),GS36)</f>
        <v>0</v>
      </c>
      <c r="HD36" s="20" t="n">
        <f aca="false">GU36*(Slot19_Cost-GZ36)</f>
        <v>0</v>
      </c>
      <c r="HE36" s="20" t="n">
        <f aca="false">IF(AND(Slot20_On=1,D36=Slot20_Age),1,0)</f>
        <v>0</v>
      </c>
      <c r="HF36" s="20" t="n">
        <f aca="false">IF(AND(Slot20_On=1,Slot20_Age&gt;D36),1,0)</f>
        <v>0</v>
      </c>
      <c r="HG36" s="20" t="n">
        <f aca="false">TK35</f>
        <v>0</v>
      </c>
      <c r="HH36" s="20" t="n">
        <f aca="false">HE36*MIN(Slot20_Cost,HG36)</f>
        <v>0</v>
      </c>
      <c r="HI36" s="20" t="n">
        <f aca="false">HE36*Slot20_SpendLike*MIN(Slot20_Cost-HH36,HA36)</f>
        <v>0</v>
      </c>
      <c r="HJ36" s="20" t="n">
        <f aca="false">HH36+HI36</f>
        <v>0</v>
      </c>
      <c r="HK36" s="20" t="n">
        <f aca="false">HA36-HI36+HE36*IF(Slot20_SpendLike=1,HG36-HH36,IF(Slot20_PotFree=1,HG36,0))</f>
        <v>192516.870322664</v>
      </c>
      <c r="HL36" s="20" t="n">
        <f aca="false">HB36+HE36*Slot20_BufPot*HG36</f>
        <v>14737.9982225118</v>
      </c>
      <c r="HM36" s="20" t="n">
        <f aca="false">IF(AND(HE36=1,Slot20_IsMfree=1),IF(HJ36&gt;=Slot20_Cost-1,0,MAX(0,HC36-HJ36)),HC36)</f>
        <v>0</v>
      </c>
      <c r="HN36" s="20" t="n">
        <f aca="false">HE36*(Slot20_Cost-HJ36)</f>
        <v>0</v>
      </c>
      <c r="HO36" s="20" t="n">
        <f aca="false">V36*Slot1_SpendLike*AA36+AG36*Slot2_SpendLike*AL36+AQ36*Slot3_SpendLike*AV36+BA36*Slot4_SpendLike*BF36+BK36*Slot5_SpendLike*BP36+BU36*Slot6_SpendLike*BZ36+CE36*Slot7_SpendLike*CJ36+CO36*Slot8_SpendLike*CT36+CY36*Slot9_SpendLike*DD36+DI36*Slot10_SpendLike*DN36+DS36*Slot11_SpendLike*DX36+EC36*Slot12_SpendLike*EH36+EM36*Slot13_SpendLike*ER36+EW36*Slot14_SpendLike*FB36+FG36*Slot15_SpendLike*FL36+FQ36*Slot16_SpendLike*FV36+GA36*Slot17_SpendLike*GF36+GK36*Slot18_SpendLike*GP36+GU36*Slot19_SpendLike*GZ36+HE36*Slot20_SpendLike*HJ36</f>
        <v>0</v>
      </c>
      <c r="HP36" s="20" t="n">
        <f aca="false">AE36+AP36+AZ36+BJ36+BT36+CD36+CN36+CX36+DH36+DR36+EB36+EL36+EV36+FF36+FP36+FZ36+GJ36+GT36+HD36+HN36</f>
        <v>0</v>
      </c>
      <c r="HQ36" s="20" t="n">
        <f aca="false">V36*Slot1_Cost+AG36*Slot2_Cost+AQ36*Slot3_Cost+BA36*Slot4_Cost+BK36*Slot5_Cost+BU36*Slot6_Cost+CE36*Slot7_Cost+CO36*Slot8_Cost+CY36*Slot9_Cost+DI36*Slot10_Cost+DS36*Slot11_Cost+EC36*Slot12_Cost+EM36*Slot13_Cost+EW36*Slot14_Cost+FG36*Slot15_Cost+FQ36*Slot16_Cost+GA36*Slot17_Cost+GK36*Slot18_Cost+GU36*Slot19_Cost+HE36*Slot20_Cost</f>
        <v>0</v>
      </c>
      <c r="HR36" s="20" t="n">
        <f aca="false">HM36</f>
        <v>0</v>
      </c>
      <c r="HS36" s="20" t="n">
        <f aca="false">H36-I36-S36</f>
        <v>4323.64424572962</v>
      </c>
      <c r="HT36" s="20" t="n">
        <f aca="false">IF(B36=0,IF(AND(Has_q6=1,In_q6=4),PR_ShareVaries*(MAX(0,HS36)/12),MIN(IF(Has_q6=1,CHOOSE(In_q6+1,PR_SaveB1,PR_SaveB2,PR_SaveB3,PR_SaveB4,0),AS_NoAnswer),AS_SaveShare*(MAX(0,HS36)/12))),HT35)</f>
        <v>67.3316893520437</v>
      </c>
      <c r="HU36" s="20" t="n">
        <f aca="false">IF(HS36&gt;=0,1,0)</f>
        <v>1</v>
      </c>
      <c r="HV36" s="20" t="n">
        <f aca="false">MAX(0,HS36/12/F36)</f>
        <v>206.949269209725</v>
      </c>
      <c r="HW36" s="20" t="n">
        <f aca="false">IF(AND(Has_q6=1,In_q6=4),PR_ShareVaries*(HV36),MIN(IF(Has_q6=1,CHOOSE(In_q6+1,PR_SaveB1,PR_SaveB2,PR_SaveB3,PR_SaveB4,0),AS_NoAnswer),AS_SaveShare*(HV36)))</f>
        <v>103.474634604862</v>
      </c>
      <c r="HX36" s="20" t="n">
        <f aca="false">IF(Has_saveM=1,IF(In_saveUp="Yes",1,IF(In_saveUp="No",0,IF(In_saveM&gt;=HT36-0.5,1,0))),0)</f>
        <v>0</v>
      </c>
      <c r="HY36" s="20" t="n">
        <f aca="false">IF(Has_saveM=1,MIN(HV36,IF(HX36=1,MAX(In_saveM,HW36),MIN(In_saveM,HW36))),HW36)</f>
        <v>103.474634604862</v>
      </c>
      <c r="HZ36" s="20" t="n">
        <f aca="false">IF(G36=1,HY36*12*F36,0)</f>
        <v>0</v>
      </c>
      <c r="IA36" s="20" t="n">
        <f aca="false">MAX(0,HZ36+IF(AND(WI_Retire=0,WI_M&lt;0,G36=1),WI_M*12*F36,0))</f>
        <v>0</v>
      </c>
      <c r="IB36" s="20" t="n">
        <f aca="false">Slot1_IsWG*W36+Slot2_IsWG*AH36+Slot3_IsWG*AR36+Slot4_IsWG*BB36+Slot5_IsWG*BL36+Slot6_IsWG*BV36+Slot7_IsWG*CF36+Slot8_IsWG*CP36+Slot9_IsWG*CZ36+Slot10_IsWG*DJ36+Slot11_IsWG*DT36+Slot12_IsWG*ED36+Slot13_IsWG*EN36+Slot14_IsWG*EX36+Slot15_IsWG*FH36+Slot16_IsWG*FR36+Slot17_IsWG*GB36+Slot18_IsWG*GL36+Slot19_IsWG*GV36+Slot20_IsWG*HF36</f>
        <v>0</v>
      </c>
      <c r="IC36" s="20" t="n">
        <f aca="false">IF(AND(WI_Retire=0,WI_M&gt;0,G36=1,IB36&gt;=1),WI_M*12*F36,0)</f>
        <v>0</v>
      </c>
      <c r="ID36" s="20" t="n">
        <f aca="false">IF(HU36=1,MIN(IA36,HS36),0)</f>
        <v>0</v>
      </c>
      <c r="IE36" s="20" t="n">
        <f aca="false">IF(HU36=1,MIN(IC36,HS36-ID36),0)</f>
        <v>0</v>
      </c>
      <c r="IF36" s="20" t="n">
        <f aca="false">IF(W36=1,IF(ABS((1+AS_Wage)/(1+Slot1_Rate)-1)&lt;0.000000000001,(Slot1_Age-D36)*(1+Slot1_Rate)^(Slot1_Age-D36),(1+Slot1_Rate)^(Slot1_Age-D36)*(1-((1+AS_Wage)/(1+Slot1_Rate))^(Slot1_Age-D36))/(1-(1+AS_Wage)/(1+Slot1_Rate))),1)</f>
        <v>1</v>
      </c>
      <c r="IG36" s="20" t="n">
        <f aca="false">IF(AND(HU36=1,IE36&gt;0,Slot1_IsWG=1,W36=1),MAX(0,(Slot1_Cost-X36*(1+Slot1_Rate)^(Slot1_Age-D36))/IF36),0)</f>
        <v>0</v>
      </c>
      <c r="IH36" s="20" t="n">
        <f aca="false">IF(AND(HU36=1,IE36&gt;0,Slot1_IsWG=1,W36=1),MIN(IE36,IG36),0)</f>
        <v>0</v>
      </c>
      <c r="II36" s="20" t="n">
        <f aca="false">X36+IH36</f>
        <v>0</v>
      </c>
      <c r="IJ36" s="20" t="n">
        <f aca="false">IF(W36=1,MAX(0,(Slot1_Cost-II36*(1+Slot1_Rate)^(Slot1_Age-D36))/IF36),0)</f>
        <v>0</v>
      </c>
      <c r="IK36" s="20" t="n">
        <f aca="false">IF(W36=1,MAX(0,(Slot1_Cost-X36*(1+Slot1_Rate)^(Slot1_Age-D36))/IF36),0)</f>
        <v>0</v>
      </c>
      <c r="IL36" s="20" t="n">
        <f aca="false">IF(AND(HU36=1,W36=1),MIN(ID36,IJ36),0)</f>
        <v>0</v>
      </c>
      <c r="IM36" s="20" t="n">
        <f aca="false">ID36-IL36</f>
        <v>0</v>
      </c>
      <c r="IN36" s="20" t="n">
        <f aca="false">IF(AH36=1,IF(ABS((1+AS_Wage)/(1+Slot2_Rate)-1)&lt;0.000000000001,(Slot2_Age-D36)*(1+Slot2_Rate)^(Slot2_Age-D36),(1+Slot2_Rate)^(Slot2_Age-D36)*(1-((1+AS_Wage)/(1+Slot2_Rate))^(Slot2_Age-D36))/(1-(1+AS_Wage)/(1+Slot2_Rate))),1)</f>
        <v>1</v>
      </c>
      <c r="IO36" s="20" t="n">
        <f aca="false">IF(AND(HU36=1,IE36&gt;0,Slot2_IsWG=1,AH36=1),MAX(0,(Slot2_Cost-AI36*(1+Slot2_Rate)^(Slot2_Age-D36))/IN36),0)</f>
        <v>0</v>
      </c>
      <c r="IP36" s="20" t="n">
        <f aca="false">IF(AND(HU36=1,IE36&gt;0,Slot2_IsWG=1,AH36=1),MIN(IE36,IO36),0)</f>
        <v>0</v>
      </c>
      <c r="IQ36" s="20" t="n">
        <f aca="false">AI36+IP36</f>
        <v>0</v>
      </c>
      <c r="IR36" s="20" t="n">
        <f aca="false">IF(AH36=1,MAX(0,(Slot2_Cost-IQ36*(1+Slot2_Rate)^(Slot2_Age-D36))/IN36),0)</f>
        <v>0</v>
      </c>
      <c r="IS36" s="20" t="n">
        <f aca="false">IF(AH36=1,MAX(0,(Slot2_Cost-AI36*(1+Slot2_Rate)^(Slot2_Age-D36))/IN36),0)</f>
        <v>0</v>
      </c>
      <c r="IT36" s="20" t="n">
        <f aca="false">IF(AND(HU36=1,AH36=1),MIN(IM36,IR36),0)</f>
        <v>0</v>
      </c>
      <c r="IU36" s="20" t="n">
        <f aca="false">IM36-IT36</f>
        <v>0</v>
      </c>
      <c r="IV36" s="20" t="n">
        <f aca="false">IF(AR36=1,IF(ABS((1+AS_Wage)/(1+Slot3_Rate)-1)&lt;0.000000000001,(Slot3_Age-D36)*(1+Slot3_Rate)^(Slot3_Age-D36),(1+Slot3_Rate)^(Slot3_Age-D36)*(1-((1+AS_Wage)/(1+Slot3_Rate))^(Slot3_Age-D36))/(1-(1+AS_Wage)/(1+Slot3_Rate))),1)</f>
        <v>1</v>
      </c>
      <c r="IW36" s="20" t="n">
        <f aca="false">IF(AND(HU36=1,IE36&gt;0,Slot3_IsWG=1,AR36=1),MAX(0,(Slot3_Cost-AS36*(1+Slot3_Rate)^(Slot3_Age-D36))/IV36),0)</f>
        <v>0</v>
      </c>
      <c r="IX36" s="20" t="n">
        <f aca="false">IF(AND(HU36=1,IE36&gt;0,Slot3_IsWG=1,AR36=1),MIN(IE36,IW36),0)</f>
        <v>0</v>
      </c>
      <c r="IY36" s="20" t="n">
        <f aca="false">AS36+IX36</f>
        <v>0</v>
      </c>
      <c r="IZ36" s="20" t="n">
        <f aca="false">IF(AR36=1,MAX(0,(Slot3_Cost-IY36*(1+Slot3_Rate)^(Slot3_Age-D36))/IV36),0)</f>
        <v>0</v>
      </c>
      <c r="JA36" s="20" t="n">
        <f aca="false">IF(AR36=1,MAX(0,(Slot3_Cost-AS36*(1+Slot3_Rate)^(Slot3_Age-D36))/IV36),0)</f>
        <v>0</v>
      </c>
      <c r="JB36" s="20" t="n">
        <f aca="false">IF(AND(HU36=1,AR36=1),MIN(IU36,IZ36),0)</f>
        <v>0</v>
      </c>
      <c r="JC36" s="20" t="n">
        <f aca="false">IU36-JB36</f>
        <v>0</v>
      </c>
      <c r="JD36" s="20" t="n">
        <f aca="false">IF(BB36=1,IF(ABS((1+AS_Wage)/(1+Slot4_Rate)-1)&lt;0.000000000001,(Slot4_Age-D36)*(1+Slot4_Rate)^(Slot4_Age-D36),(1+Slot4_Rate)^(Slot4_Age-D36)*(1-((1+AS_Wage)/(1+Slot4_Rate))^(Slot4_Age-D36))/(1-(1+AS_Wage)/(1+Slot4_Rate))),1)</f>
        <v>1</v>
      </c>
      <c r="JE36" s="20" t="n">
        <f aca="false">IF(AND(HU36=1,IE36&gt;0,Slot4_IsWG=1,BB36=1),MAX(0,(Slot4_Cost-BC36*(1+Slot4_Rate)^(Slot4_Age-D36))/JD36),0)</f>
        <v>0</v>
      </c>
      <c r="JF36" s="20" t="n">
        <f aca="false">IF(AND(HU36=1,IE36&gt;0,Slot4_IsWG=1,BB36=1),MIN(IE36,JE36),0)</f>
        <v>0</v>
      </c>
      <c r="JG36" s="20" t="n">
        <f aca="false">BC36+JF36</f>
        <v>0</v>
      </c>
      <c r="JH36" s="20" t="n">
        <f aca="false">IF(BB36=1,MAX(0,(Slot4_Cost-JG36*(1+Slot4_Rate)^(Slot4_Age-D36))/JD36),0)</f>
        <v>0</v>
      </c>
      <c r="JI36" s="20" t="n">
        <f aca="false">IF(BB36=1,MAX(0,(Slot4_Cost-BC36*(1+Slot4_Rate)^(Slot4_Age-D36))/JD36),0)</f>
        <v>0</v>
      </c>
      <c r="JJ36" s="20" t="n">
        <f aca="false">IF(AND(HU36=1,BB36=1),MIN(JC36,JH36),0)</f>
        <v>0</v>
      </c>
      <c r="JK36" s="20" t="n">
        <f aca="false">JC36-JJ36</f>
        <v>0</v>
      </c>
      <c r="JL36" s="20" t="n">
        <f aca="false">IF(BL36=1,IF(ABS((1+AS_Wage)/(1+Slot5_Rate)-1)&lt;0.000000000001,(Slot5_Age-D36)*(1+Slot5_Rate)^(Slot5_Age-D36),(1+Slot5_Rate)^(Slot5_Age-D36)*(1-((1+AS_Wage)/(1+Slot5_Rate))^(Slot5_Age-D36))/(1-(1+AS_Wage)/(1+Slot5_Rate))),1)</f>
        <v>1</v>
      </c>
      <c r="JM36" s="20" t="n">
        <f aca="false">IF(AND(HU36=1,IE36&gt;0,Slot5_IsWG=1,BL36=1),MAX(0,(Slot5_Cost-BM36*(1+Slot5_Rate)^(Slot5_Age-D36))/JL36),0)</f>
        <v>0</v>
      </c>
      <c r="JN36" s="20" t="n">
        <f aca="false">IF(AND(HU36=1,IE36&gt;0,Slot5_IsWG=1,BL36=1),MIN(IE36,JM36),0)</f>
        <v>0</v>
      </c>
      <c r="JO36" s="20" t="n">
        <f aca="false">BM36+JN36</f>
        <v>0</v>
      </c>
      <c r="JP36" s="20" t="n">
        <f aca="false">IF(BL36=1,MAX(0,(Slot5_Cost-JO36*(1+Slot5_Rate)^(Slot5_Age-D36))/JL36),0)</f>
        <v>0</v>
      </c>
      <c r="JQ36" s="20" t="n">
        <f aca="false">IF(BL36=1,MAX(0,(Slot5_Cost-BM36*(1+Slot5_Rate)^(Slot5_Age-D36))/JL36),0)</f>
        <v>0</v>
      </c>
      <c r="JR36" s="20" t="n">
        <f aca="false">IF(AND(HU36=1,BL36=1),MIN(JK36,JP36),0)</f>
        <v>0</v>
      </c>
      <c r="JS36" s="20" t="n">
        <f aca="false">JK36-JR36</f>
        <v>0</v>
      </c>
      <c r="JT36" s="20" t="n">
        <f aca="false">IF(BV36=1,IF(ABS((1+AS_Wage)/(1+Slot6_Rate)-1)&lt;0.000000000001,(Slot6_Age-D36)*(1+Slot6_Rate)^(Slot6_Age-D36),(1+Slot6_Rate)^(Slot6_Age-D36)*(1-((1+AS_Wage)/(1+Slot6_Rate))^(Slot6_Age-D36))/(1-(1+AS_Wage)/(1+Slot6_Rate))),1)</f>
        <v>1</v>
      </c>
      <c r="JU36" s="20" t="n">
        <f aca="false">IF(AND(HU36=1,IE36&gt;0,Slot6_IsWG=1,BV36=1),MAX(0,(Slot6_Cost-BW36*(1+Slot6_Rate)^(Slot6_Age-D36))/JT36),0)</f>
        <v>0</v>
      </c>
      <c r="JV36" s="20" t="n">
        <f aca="false">IF(AND(HU36=1,IE36&gt;0,Slot6_IsWG=1,BV36=1),MIN(IE36,JU36),0)</f>
        <v>0</v>
      </c>
      <c r="JW36" s="20" t="n">
        <f aca="false">BW36+JV36</f>
        <v>0</v>
      </c>
      <c r="JX36" s="20" t="n">
        <f aca="false">IF(BV36=1,MAX(0,(Slot6_Cost-JW36*(1+Slot6_Rate)^(Slot6_Age-D36))/JT36),0)</f>
        <v>0</v>
      </c>
      <c r="JY36" s="20" t="n">
        <f aca="false">IF(BV36=1,MAX(0,(Slot6_Cost-BW36*(1+Slot6_Rate)^(Slot6_Age-D36))/JT36),0)</f>
        <v>0</v>
      </c>
      <c r="JZ36" s="20" t="n">
        <f aca="false">IF(AND(HU36=1,BV36=1),MIN(JS36,JX36),0)</f>
        <v>0</v>
      </c>
      <c r="KA36" s="20" t="n">
        <f aca="false">JS36-JZ36</f>
        <v>0</v>
      </c>
      <c r="KB36" s="20" t="n">
        <f aca="false">IF(CF36=1,IF(ABS((1+AS_Wage)/(1+Slot7_Rate)-1)&lt;0.000000000001,(Slot7_Age-D36)*(1+Slot7_Rate)^(Slot7_Age-D36),(1+Slot7_Rate)^(Slot7_Age-D36)*(1-((1+AS_Wage)/(1+Slot7_Rate))^(Slot7_Age-D36))/(1-(1+AS_Wage)/(1+Slot7_Rate))),1)</f>
        <v>1</v>
      </c>
      <c r="KC36" s="20" t="n">
        <f aca="false">IF(AND(HU36=1,IE36&gt;0,Slot7_IsWG=1,CF36=1),MAX(0,(Slot7_Cost-CG36*(1+Slot7_Rate)^(Slot7_Age-D36))/KB36),0)</f>
        <v>0</v>
      </c>
      <c r="KD36" s="20" t="n">
        <f aca="false">IF(AND(HU36=1,IE36&gt;0,Slot7_IsWG=1,CF36=1),MIN(IE36,KC36),0)</f>
        <v>0</v>
      </c>
      <c r="KE36" s="20" t="n">
        <f aca="false">CG36+KD36</f>
        <v>0</v>
      </c>
      <c r="KF36" s="20" t="n">
        <f aca="false">IF(CF36=1,MAX(0,(Slot7_Cost-KE36*(1+Slot7_Rate)^(Slot7_Age-D36))/KB36),0)</f>
        <v>0</v>
      </c>
      <c r="KG36" s="20" t="n">
        <f aca="false">IF(CF36=1,MAX(0,(Slot7_Cost-CG36*(1+Slot7_Rate)^(Slot7_Age-D36))/KB36),0)</f>
        <v>0</v>
      </c>
      <c r="KH36" s="20" t="n">
        <f aca="false">IF(AND(HU36=1,CF36=1),MIN(KA36,KF36),0)</f>
        <v>0</v>
      </c>
      <c r="KI36" s="20" t="n">
        <f aca="false">KA36-KH36</f>
        <v>0</v>
      </c>
      <c r="KJ36" s="20" t="n">
        <f aca="false">IF(CP36=1,IF(ABS((1+AS_Wage)/(1+Slot8_Rate)-1)&lt;0.000000000001,(Slot8_Age-D36)*(1+Slot8_Rate)^(Slot8_Age-D36),(1+Slot8_Rate)^(Slot8_Age-D36)*(1-((1+AS_Wage)/(1+Slot8_Rate))^(Slot8_Age-D36))/(1-(1+AS_Wage)/(1+Slot8_Rate))),1)</f>
        <v>1</v>
      </c>
      <c r="KK36" s="20" t="n">
        <f aca="false">IF(AND(HU36=1,IE36&gt;0,Slot8_IsWG=1,CP36=1),MAX(0,(Slot8_Cost-CQ36*(1+Slot8_Rate)^(Slot8_Age-D36))/KJ36),0)</f>
        <v>0</v>
      </c>
      <c r="KL36" s="20" t="n">
        <f aca="false">IF(AND(HU36=1,IE36&gt;0,Slot8_IsWG=1,CP36=1),MIN(IE36,KK36),0)</f>
        <v>0</v>
      </c>
      <c r="KM36" s="20" t="n">
        <f aca="false">CQ36+KL36</f>
        <v>0</v>
      </c>
      <c r="KN36" s="20" t="n">
        <f aca="false">IF(CP36=1,MAX(0,(Slot8_Cost-KM36*(1+Slot8_Rate)^(Slot8_Age-D36))/KJ36),0)</f>
        <v>0</v>
      </c>
      <c r="KO36" s="20" t="n">
        <f aca="false">IF(CP36=1,MAX(0,(Slot8_Cost-CQ36*(1+Slot8_Rate)^(Slot8_Age-D36))/KJ36),0)</f>
        <v>0</v>
      </c>
      <c r="KP36" s="20" t="n">
        <f aca="false">IF(AND(HU36=1,CP36=1),MIN(KI36,KN36),0)</f>
        <v>0</v>
      </c>
      <c r="KQ36" s="20" t="n">
        <f aca="false">KI36-KP36</f>
        <v>0</v>
      </c>
      <c r="KR36" s="20" t="n">
        <f aca="false">IF(CZ36=1,IF(ABS((1+AS_Wage)/(1+Slot9_Rate)-1)&lt;0.000000000001,(Slot9_Age-D36)*(1+Slot9_Rate)^(Slot9_Age-D36),(1+Slot9_Rate)^(Slot9_Age-D36)*(1-((1+AS_Wage)/(1+Slot9_Rate))^(Slot9_Age-D36))/(1-(1+AS_Wage)/(1+Slot9_Rate))),1)</f>
        <v>1</v>
      </c>
      <c r="KS36" s="20" t="n">
        <f aca="false">IF(AND(HU36=1,IE36&gt;0,Slot9_IsWG=1,CZ36=1),MAX(0,(Slot9_Cost-DA36*(1+Slot9_Rate)^(Slot9_Age-D36))/KR36),0)</f>
        <v>0</v>
      </c>
      <c r="KT36" s="20" t="n">
        <f aca="false">IF(AND(HU36=1,IE36&gt;0,Slot9_IsWG=1,CZ36=1),MIN(IE36,KS36),0)</f>
        <v>0</v>
      </c>
      <c r="KU36" s="20" t="n">
        <f aca="false">DA36+KT36</f>
        <v>0</v>
      </c>
      <c r="KV36" s="20" t="n">
        <f aca="false">IF(CZ36=1,MAX(0,(Slot9_Cost-KU36*(1+Slot9_Rate)^(Slot9_Age-D36))/KR36),0)</f>
        <v>0</v>
      </c>
      <c r="KW36" s="20" t="n">
        <f aca="false">IF(CZ36=1,MAX(0,(Slot9_Cost-DA36*(1+Slot9_Rate)^(Slot9_Age-D36))/KR36),0)</f>
        <v>0</v>
      </c>
      <c r="KX36" s="20" t="n">
        <f aca="false">IF(AND(HU36=1,CZ36=1),MIN(KQ36,KV36),0)</f>
        <v>0</v>
      </c>
      <c r="KY36" s="20" t="n">
        <f aca="false">KQ36-KX36</f>
        <v>0</v>
      </c>
      <c r="KZ36" s="20" t="n">
        <f aca="false">IF(DJ36=1,IF(ABS((1+AS_Wage)/(1+Slot10_Rate)-1)&lt;0.000000000001,(Slot10_Age-D36)*(1+Slot10_Rate)^(Slot10_Age-D36),(1+Slot10_Rate)^(Slot10_Age-D36)*(1-((1+AS_Wage)/(1+Slot10_Rate))^(Slot10_Age-D36))/(1-(1+AS_Wage)/(1+Slot10_Rate))),1)</f>
        <v>1</v>
      </c>
      <c r="LA36" s="20" t="n">
        <f aca="false">IF(AND(HU36=1,IE36&gt;0,Slot10_IsWG=1,DJ36=1),MAX(0,(Slot10_Cost-DK36*(1+Slot10_Rate)^(Slot10_Age-D36))/KZ36),0)</f>
        <v>0</v>
      </c>
      <c r="LB36" s="20" t="n">
        <f aca="false">IF(AND(HU36=1,IE36&gt;0,Slot10_IsWG=1,DJ36=1),MIN(IE36,LA36),0)</f>
        <v>0</v>
      </c>
      <c r="LC36" s="20" t="n">
        <f aca="false">DK36+LB36</f>
        <v>0</v>
      </c>
      <c r="LD36" s="20" t="n">
        <f aca="false">IF(DJ36=1,MAX(0,(Slot10_Cost-LC36*(1+Slot10_Rate)^(Slot10_Age-D36))/KZ36),0)</f>
        <v>0</v>
      </c>
      <c r="LE36" s="20" t="n">
        <f aca="false">IF(DJ36=1,MAX(0,(Slot10_Cost-DK36*(1+Slot10_Rate)^(Slot10_Age-D36))/KZ36),0)</f>
        <v>0</v>
      </c>
      <c r="LF36" s="20" t="n">
        <f aca="false">IF(AND(HU36=1,DJ36=1),MIN(KY36,LD36),0)</f>
        <v>0</v>
      </c>
      <c r="LG36" s="20" t="n">
        <f aca="false">KY36-LF36</f>
        <v>0</v>
      </c>
      <c r="LH36" s="20" t="n">
        <f aca="false">IF(DT36=1,IF(ABS((1+AS_Wage)/(1+Slot11_Rate)-1)&lt;0.000000000001,(Slot11_Age-D36)*(1+Slot11_Rate)^(Slot11_Age-D36),(1+Slot11_Rate)^(Slot11_Age-D36)*(1-((1+AS_Wage)/(1+Slot11_Rate))^(Slot11_Age-D36))/(1-(1+AS_Wage)/(1+Slot11_Rate))),1)</f>
        <v>1</v>
      </c>
      <c r="LI36" s="20" t="n">
        <f aca="false">IF(AND(HU36=1,IE36&gt;0,Slot11_IsWG=1,DT36=1),MAX(0,(Slot11_Cost-DU36*(1+Slot11_Rate)^(Slot11_Age-D36))/LH36),0)</f>
        <v>0</v>
      </c>
      <c r="LJ36" s="20" t="n">
        <f aca="false">IF(AND(HU36=1,IE36&gt;0,Slot11_IsWG=1,DT36=1),MIN(IE36,LI36),0)</f>
        <v>0</v>
      </c>
      <c r="LK36" s="20" t="n">
        <f aca="false">DU36+LJ36</f>
        <v>0</v>
      </c>
      <c r="LL36" s="20" t="n">
        <f aca="false">IF(DT36=1,MAX(0,(Slot11_Cost-LK36*(1+Slot11_Rate)^(Slot11_Age-D36))/LH36),0)</f>
        <v>0</v>
      </c>
      <c r="LM36" s="20" t="n">
        <f aca="false">IF(DT36=1,MAX(0,(Slot11_Cost-DU36*(1+Slot11_Rate)^(Slot11_Age-D36))/LH36),0)</f>
        <v>0</v>
      </c>
      <c r="LN36" s="20" t="n">
        <f aca="false">IF(AND(HU36=1,DT36=1),MIN(LG36,LL36),0)</f>
        <v>0</v>
      </c>
      <c r="LO36" s="20" t="n">
        <f aca="false">LG36-LN36</f>
        <v>0</v>
      </c>
      <c r="LP36" s="20" t="n">
        <f aca="false">IF(ED36=1,IF(ABS((1+AS_Wage)/(1+Slot12_Rate)-1)&lt;0.000000000001,(Slot12_Age-D36)*(1+Slot12_Rate)^(Slot12_Age-D36),(1+Slot12_Rate)^(Slot12_Age-D36)*(1-((1+AS_Wage)/(1+Slot12_Rate))^(Slot12_Age-D36))/(1-(1+AS_Wage)/(1+Slot12_Rate))),1)</f>
        <v>1</v>
      </c>
      <c r="LQ36" s="20" t="n">
        <f aca="false">IF(AND(HU36=1,IE36&gt;0,Slot12_IsWG=1,ED36=1),MAX(0,(Slot12_Cost-EE36*(1+Slot12_Rate)^(Slot12_Age-D36))/LP36),0)</f>
        <v>0</v>
      </c>
      <c r="LR36" s="20" t="n">
        <f aca="false">IF(AND(HU36=1,IE36&gt;0,Slot12_IsWG=1,ED36=1),MIN(IE36,LQ36),0)</f>
        <v>0</v>
      </c>
      <c r="LS36" s="20" t="n">
        <f aca="false">EE36+LR36</f>
        <v>0</v>
      </c>
      <c r="LT36" s="20" t="n">
        <f aca="false">IF(ED36=1,MAX(0,(Slot12_Cost-LS36*(1+Slot12_Rate)^(Slot12_Age-D36))/LP36),0)</f>
        <v>0</v>
      </c>
      <c r="LU36" s="20" t="n">
        <f aca="false">IF(ED36=1,MAX(0,(Slot12_Cost-EE36*(1+Slot12_Rate)^(Slot12_Age-D36))/LP36),0)</f>
        <v>0</v>
      </c>
      <c r="LV36" s="20" t="n">
        <f aca="false">IF(AND(HU36=1,ED36=1),MIN(LO36,LT36),0)</f>
        <v>0</v>
      </c>
      <c r="LW36" s="20" t="n">
        <f aca="false">LO36-LV36</f>
        <v>0</v>
      </c>
      <c r="LX36" s="20" t="n">
        <f aca="false">IF(EN36=1,IF(ABS((1+AS_Wage)/(1+Slot13_Rate)-1)&lt;0.000000000001,(Slot13_Age-D36)*(1+Slot13_Rate)^(Slot13_Age-D36),(1+Slot13_Rate)^(Slot13_Age-D36)*(1-((1+AS_Wage)/(1+Slot13_Rate))^(Slot13_Age-D36))/(1-(1+AS_Wage)/(1+Slot13_Rate))),1)</f>
        <v>1</v>
      </c>
      <c r="LY36" s="20" t="n">
        <f aca="false">IF(AND(HU36=1,IE36&gt;0,Slot13_IsWG=1,EN36=1),MAX(0,(Slot13_Cost-EO36*(1+Slot13_Rate)^(Slot13_Age-D36))/LX36),0)</f>
        <v>0</v>
      </c>
      <c r="LZ36" s="20" t="n">
        <f aca="false">IF(AND(HU36=1,IE36&gt;0,Slot13_IsWG=1,EN36=1),MIN(IE36,LY36),0)</f>
        <v>0</v>
      </c>
      <c r="MA36" s="20" t="n">
        <f aca="false">EO36+LZ36</f>
        <v>0</v>
      </c>
      <c r="MB36" s="20" t="n">
        <f aca="false">IF(EN36=1,MAX(0,(Slot13_Cost-MA36*(1+Slot13_Rate)^(Slot13_Age-D36))/LX36),0)</f>
        <v>0</v>
      </c>
      <c r="MC36" s="20" t="n">
        <f aca="false">IF(EN36=1,MAX(0,(Slot13_Cost-EO36*(1+Slot13_Rate)^(Slot13_Age-D36))/LX36),0)</f>
        <v>0</v>
      </c>
      <c r="MD36" s="20" t="n">
        <f aca="false">IF(AND(HU36=1,EN36=1),MIN(LW36,MB36),0)</f>
        <v>0</v>
      </c>
      <c r="ME36" s="20" t="n">
        <f aca="false">LW36-MD36</f>
        <v>0</v>
      </c>
      <c r="MF36" s="20" t="n">
        <f aca="false">IF(EX36=1,IF(ABS((1+AS_Wage)/(1+Slot14_Rate)-1)&lt;0.000000000001,(Slot14_Age-D36)*(1+Slot14_Rate)^(Slot14_Age-D36),(1+Slot14_Rate)^(Slot14_Age-D36)*(1-((1+AS_Wage)/(1+Slot14_Rate))^(Slot14_Age-D36))/(1-(1+AS_Wage)/(1+Slot14_Rate))),1)</f>
        <v>1</v>
      </c>
      <c r="MG36" s="20" t="n">
        <f aca="false">IF(AND(HU36=1,IE36&gt;0,Slot14_IsWG=1,EX36=1),MAX(0,(Slot14_Cost-EY36*(1+Slot14_Rate)^(Slot14_Age-D36))/MF36),0)</f>
        <v>0</v>
      </c>
      <c r="MH36" s="20" t="n">
        <f aca="false">IF(AND(HU36=1,IE36&gt;0,Slot14_IsWG=1,EX36=1),MIN(IE36,MG36),0)</f>
        <v>0</v>
      </c>
      <c r="MI36" s="20" t="n">
        <f aca="false">EY36+MH36</f>
        <v>0</v>
      </c>
      <c r="MJ36" s="20" t="n">
        <f aca="false">IF(EX36=1,MAX(0,(Slot14_Cost-MI36*(1+Slot14_Rate)^(Slot14_Age-D36))/MF36),0)</f>
        <v>0</v>
      </c>
      <c r="MK36" s="20" t="n">
        <f aca="false">IF(EX36=1,MAX(0,(Slot14_Cost-EY36*(1+Slot14_Rate)^(Slot14_Age-D36))/MF36),0)</f>
        <v>0</v>
      </c>
      <c r="ML36" s="20" t="n">
        <f aca="false">IF(AND(HU36=1,EX36=1),MIN(ME36,MJ36),0)</f>
        <v>0</v>
      </c>
      <c r="MM36" s="20" t="n">
        <f aca="false">ME36-ML36</f>
        <v>0</v>
      </c>
      <c r="MN36" s="20" t="n">
        <f aca="false">IF(FH36=1,IF(ABS((1+AS_Wage)/(1+Slot15_Rate)-1)&lt;0.000000000001,(Slot15_Age-D36)*(1+Slot15_Rate)^(Slot15_Age-D36),(1+Slot15_Rate)^(Slot15_Age-D36)*(1-((1+AS_Wage)/(1+Slot15_Rate))^(Slot15_Age-D36))/(1-(1+AS_Wage)/(1+Slot15_Rate))),1)</f>
        <v>1</v>
      </c>
      <c r="MO36" s="20" t="n">
        <f aca="false">IF(AND(HU36=1,IE36&gt;0,Slot15_IsWG=1,FH36=1),MAX(0,(Slot15_Cost-FI36*(1+Slot15_Rate)^(Slot15_Age-D36))/MN36),0)</f>
        <v>0</v>
      </c>
      <c r="MP36" s="20" t="n">
        <f aca="false">IF(AND(HU36=1,IE36&gt;0,Slot15_IsWG=1,FH36=1),MIN(IE36,MO36),0)</f>
        <v>0</v>
      </c>
      <c r="MQ36" s="20" t="n">
        <f aca="false">FI36+MP36</f>
        <v>0</v>
      </c>
      <c r="MR36" s="20" t="n">
        <f aca="false">IF(FH36=1,MAX(0,(Slot15_Cost-MQ36*(1+Slot15_Rate)^(Slot15_Age-D36))/MN36),0)</f>
        <v>0</v>
      </c>
      <c r="MS36" s="20" t="n">
        <f aca="false">IF(FH36=1,MAX(0,(Slot15_Cost-FI36*(1+Slot15_Rate)^(Slot15_Age-D36))/MN36),0)</f>
        <v>0</v>
      </c>
      <c r="MT36" s="20" t="n">
        <f aca="false">IF(AND(HU36=1,FH36=1),MIN(MM36,MR36),0)</f>
        <v>0</v>
      </c>
      <c r="MU36" s="20" t="n">
        <f aca="false">MM36-MT36</f>
        <v>0</v>
      </c>
      <c r="MV36" s="20" t="n">
        <f aca="false">IF(FR36=1,IF(ABS((1+AS_Wage)/(1+Slot16_Rate)-1)&lt;0.000000000001,(Slot16_Age-D36)*(1+Slot16_Rate)^(Slot16_Age-D36),(1+Slot16_Rate)^(Slot16_Age-D36)*(1-((1+AS_Wage)/(1+Slot16_Rate))^(Slot16_Age-D36))/(1-(1+AS_Wage)/(1+Slot16_Rate))),1)</f>
        <v>1</v>
      </c>
      <c r="MW36" s="20" t="n">
        <f aca="false">IF(AND(HU36=1,IE36&gt;0,Slot16_IsWG=1,FR36=1),MAX(0,(Slot16_Cost-FS36*(1+Slot16_Rate)^(Slot16_Age-D36))/MV36),0)</f>
        <v>0</v>
      </c>
      <c r="MX36" s="20" t="n">
        <f aca="false">IF(AND(HU36=1,IE36&gt;0,Slot16_IsWG=1,FR36=1),MIN(IE36,MW36),0)</f>
        <v>0</v>
      </c>
      <c r="MY36" s="20" t="n">
        <f aca="false">FS36+MX36</f>
        <v>0</v>
      </c>
      <c r="MZ36" s="20" t="n">
        <f aca="false">IF(FR36=1,MAX(0,(Slot16_Cost-MY36*(1+Slot16_Rate)^(Slot16_Age-D36))/MV36),0)</f>
        <v>0</v>
      </c>
      <c r="NA36" s="20" t="n">
        <f aca="false">IF(FR36=1,MAX(0,(Slot16_Cost-FS36*(1+Slot16_Rate)^(Slot16_Age-D36))/MV36),0)</f>
        <v>0</v>
      </c>
      <c r="NB36" s="20" t="n">
        <f aca="false">IF(AND(HU36=1,FR36=1),MIN(MU36,MZ36),0)</f>
        <v>0</v>
      </c>
      <c r="NC36" s="20" t="n">
        <f aca="false">MU36-NB36</f>
        <v>0</v>
      </c>
      <c r="ND36" s="20" t="n">
        <f aca="false">IF(GB36=1,IF(ABS((1+AS_Wage)/(1+Slot17_Rate)-1)&lt;0.000000000001,(Slot17_Age-D36)*(1+Slot17_Rate)^(Slot17_Age-D36),(1+Slot17_Rate)^(Slot17_Age-D36)*(1-((1+AS_Wage)/(1+Slot17_Rate))^(Slot17_Age-D36))/(1-(1+AS_Wage)/(1+Slot17_Rate))),1)</f>
        <v>1</v>
      </c>
      <c r="NE36" s="20" t="n">
        <f aca="false">IF(AND(HU36=1,IE36&gt;0,Slot17_IsWG=1,GB36=1),MAX(0,(Slot17_Cost-GC36*(1+Slot17_Rate)^(Slot17_Age-D36))/ND36),0)</f>
        <v>0</v>
      </c>
      <c r="NF36" s="20" t="n">
        <f aca="false">IF(AND(HU36=1,IE36&gt;0,Slot17_IsWG=1,GB36=1),MIN(IE36,NE36),0)</f>
        <v>0</v>
      </c>
      <c r="NG36" s="20" t="n">
        <f aca="false">GC36+NF36</f>
        <v>0</v>
      </c>
      <c r="NH36" s="20" t="n">
        <f aca="false">IF(GB36=1,MAX(0,(Slot17_Cost-NG36*(1+Slot17_Rate)^(Slot17_Age-D36))/ND36),0)</f>
        <v>0</v>
      </c>
      <c r="NI36" s="20" t="n">
        <f aca="false">IF(GB36=1,MAX(0,(Slot17_Cost-GC36*(1+Slot17_Rate)^(Slot17_Age-D36))/ND36),0)</f>
        <v>0</v>
      </c>
      <c r="NJ36" s="20" t="n">
        <f aca="false">IF(AND(HU36=1,GB36=1),MIN(NC36,NH36),0)</f>
        <v>0</v>
      </c>
      <c r="NK36" s="20" t="n">
        <f aca="false">NC36-NJ36</f>
        <v>0</v>
      </c>
      <c r="NL36" s="20" t="n">
        <f aca="false">IF(GL36=1,IF(ABS((1+AS_Wage)/(1+Slot18_Rate)-1)&lt;0.000000000001,(Slot18_Age-D36)*(1+Slot18_Rate)^(Slot18_Age-D36),(1+Slot18_Rate)^(Slot18_Age-D36)*(1-((1+AS_Wage)/(1+Slot18_Rate))^(Slot18_Age-D36))/(1-(1+AS_Wage)/(1+Slot18_Rate))),1)</f>
        <v>1</v>
      </c>
      <c r="NM36" s="20" t="n">
        <f aca="false">IF(AND(HU36=1,IE36&gt;0,Slot18_IsWG=1,GL36=1),MAX(0,(Slot18_Cost-GM36*(1+Slot18_Rate)^(Slot18_Age-D36))/NL36),0)</f>
        <v>0</v>
      </c>
      <c r="NN36" s="20" t="n">
        <f aca="false">IF(AND(HU36=1,IE36&gt;0,Slot18_IsWG=1,GL36=1),MIN(IE36,NM36),0)</f>
        <v>0</v>
      </c>
      <c r="NO36" s="20" t="n">
        <f aca="false">GM36+NN36</f>
        <v>0</v>
      </c>
      <c r="NP36" s="20" t="n">
        <f aca="false">IF(GL36=1,MAX(0,(Slot18_Cost-NO36*(1+Slot18_Rate)^(Slot18_Age-D36))/NL36),0)</f>
        <v>0</v>
      </c>
      <c r="NQ36" s="20" t="n">
        <f aca="false">IF(GL36=1,MAX(0,(Slot18_Cost-GM36*(1+Slot18_Rate)^(Slot18_Age-D36))/NL36),0)</f>
        <v>0</v>
      </c>
      <c r="NR36" s="20" t="n">
        <f aca="false">IF(AND(HU36=1,GL36=1),MIN(NK36,NP36),0)</f>
        <v>0</v>
      </c>
      <c r="NS36" s="20" t="n">
        <f aca="false">NK36-NR36</f>
        <v>0</v>
      </c>
      <c r="NT36" s="20" t="n">
        <f aca="false">IF(GV36=1,IF(ABS((1+AS_Wage)/(1+Slot19_Rate)-1)&lt;0.000000000001,(Slot19_Age-D36)*(1+Slot19_Rate)^(Slot19_Age-D36),(1+Slot19_Rate)^(Slot19_Age-D36)*(1-((1+AS_Wage)/(1+Slot19_Rate))^(Slot19_Age-D36))/(1-(1+AS_Wage)/(1+Slot19_Rate))),1)</f>
        <v>1</v>
      </c>
      <c r="NU36" s="20" t="n">
        <f aca="false">IF(AND(HU36=1,IE36&gt;0,Slot19_IsWG=1,GV36=1),MAX(0,(Slot19_Cost-GW36*(1+Slot19_Rate)^(Slot19_Age-D36))/NT36),0)</f>
        <v>0</v>
      </c>
      <c r="NV36" s="20" t="n">
        <f aca="false">IF(AND(HU36=1,IE36&gt;0,Slot19_IsWG=1,GV36=1),MIN(IE36,NU36),0)</f>
        <v>0</v>
      </c>
      <c r="NW36" s="20" t="n">
        <f aca="false">GW36+NV36</f>
        <v>0</v>
      </c>
      <c r="NX36" s="20" t="n">
        <f aca="false">IF(GV36=1,MAX(0,(Slot19_Cost-NW36*(1+Slot19_Rate)^(Slot19_Age-D36))/NT36),0)</f>
        <v>0</v>
      </c>
      <c r="NY36" s="20" t="n">
        <f aca="false">IF(GV36=1,MAX(0,(Slot19_Cost-GW36*(1+Slot19_Rate)^(Slot19_Age-D36))/NT36),0)</f>
        <v>0</v>
      </c>
      <c r="NZ36" s="20" t="n">
        <f aca="false">IF(AND(HU36=1,GV36=1),MIN(NS36,NX36),0)</f>
        <v>0</v>
      </c>
      <c r="OA36" s="20" t="n">
        <f aca="false">NS36-NZ36</f>
        <v>0</v>
      </c>
      <c r="OB36" s="20" t="n">
        <f aca="false">IF(HF36=1,IF(ABS((1+AS_Wage)/(1+Slot20_Rate)-1)&lt;0.000000000001,(Slot20_Age-D36)*(1+Slot20_Rate)^(Slot20_Age-D36),(1+Slot20_Rate)^(Slot20_Age-D36)*(1-((1+AS_Wage)/(1+Slot20_Rate))^(Slot20_Age-D36))/(1-(1+AS_Wage)/(1+Slot20_Rate))),1)</f>
        <v>1</v>
      </c>
      <c r="OC36" s="20" t="n">
        <f aca="false">IF(AND(HU36=1,IE36&gt;0,Slot20_IsWG=1,HF36=1),MAX(0,(Slot20_Cost-HG36*(1+Slot20_Rate)^(Slot20_Age-D36))/OB36),0)</f>
        <v>0</v>
      </c>
      <c r="OD36" s="20" t="n">
        <f aca="false">IF(AND(HU36=1,IE36&gt;0,Slot20_IsWG=1,HF36=1),MIN(IE36,OC36),0)</f>
        <v>0</v>
      </c>
      <c r="OE36" s="20" t="n">
        <f aca="false">HG36+OD36</f>
        <v>0</v>
      </c>
      <c r="OF36" s="20" t="n">
        <f aca="false">IF(HF36=1,MAX(0,(Slot20_Cost-OE36*(1+Slot20_Rate)^(Slot20_Age-D36))/OB36),0)</f>
        <v>0</v>
      </c>
      <c r="OG36" s="20" t="n">
        <f aca="false">IF(HF36=1,MAX(0,(Slot20_Cost-HG36*(1+Slot20_Rate)^(Slot20_Age-D36))/OB36),0)</f>
        <v>0</v>
      </c>
      <c r="OH36" s="20" t="n">
        <f aca="false">IF(AND(HU36=1,HF36=1),MIN(OA36,OF36),0)</f>
        <v>0</v>
      </c>
      <c r="OI36" s="20" t="n">
        <f aca="false">OA36-OH36</f>
        <v>0</v>
      </c>
      <c r="OJ36" s="20" t="n">
        <f aca="false">IE36-(IH36+IP36+IX36+JF36+JN36+JV36+KD36+KL36+KT36+LB36+LJ36+LR36+LZ36+MH36+MP36+MX36+NF36+NN36+NV36+OD36)</f>
        <v>0</v>
      </c>
      <c r="OK36" s="20" t="n">
        <f aca="false">IF(HU36=1,HS36-ID36-IE36,0)</f>
        <v>4323.64424572962</v>
      </c>
      <c r="OL36" s="20" t="n">
        <f aca="false">IF(HU36=0,-HS36,0)</f>
        <v>0</v>
      </c>
      <c r="OM36" s="20" t="n">
        <f aca="false">MIN(OL36,HK36)</f>
        <v>0</v>
      </c>
      <c r="ON36" s="20" t="n">
        <f aca="false">OL36-OM36</f>
        <v>0</v>
      </c>
      <c r="OO36" s="20" t="n">
        <f aca="false">MIN(ON36,HL36)</f>
        <v>0</v>
      </c>
      <c r="OP36" s="20" t="n">
        <f aca="false">ON36-OO36</f>
        <v>0</v>
      </c>
      <c r="OQ36" s="20" t="n">
        <f aca="false">IF(AND(HU36=0,HF36=1,OP36&gt;0),MIN(OP36,HG36),0)</f>
        <v>0</v>
      </c>
      <c r="OR36" s="20" t="n">
        <f aca="false">OP36-OQ36</f>
        <v>0</v>
      </c>
      <c r="OS36" s="20" t="n">
        <f aca="false">IF(AND(HU36=0,GV36=1,OR36&gt;0),MIN(OR36,GW36),0)</f>
        <v>0</v>
      </c>
      <c r="OT36" s="20" t="n">
        <f aca="false">OR36-OS36</f>
        <v>0</v>
      </c>
      <c r="OU36" s="20" t="n">
        <f aca="false">IF(AND(HU36=0,GL36=1,OT36&gt;0),MIN(OT36,GM36),0)</f>
        <v>0</v>
      </c>
      <c r="OV36" s="20" t="n">
        <f aca="false">OT36-OU36</f>
        <v>0</v>
      </c>
      <c r="OW36" s="20" t="n">
        <f aca="false">IF(AND(HU36=0,GB36=1,OV36&gt;0),MIN(OV36,GC36),0)</f>
        <v>0</v>
      </c>
      <c r="OX36" s="20" t="n">
        <f aca="false">OV36-OW36</f>
        <v>0</v>
      </c>
      <c r="OY36" s="20" t="n">
        <f aca="false">IF(AND(HU36=0,FR36=1,OX36&gt;0),MIN(OX36,FS36),0)</f>
        <v>0</v>
      </c>
      <c r="OZ36" s="20" t="n">
        <f aca="false">OX36-OY36</f>
        <v>0</v>
      </c>
      <c r="PA36" s="20" t="n">
        <f aca="false">IF(AND(HU36=0,FH36=1,OZ36&gt;0),MIN(OZ36,FI36),0)</f>
        <v>0</v>
      </c>
      <c r="PB36" s="20" t="n">
        <f aca="false">OZ36-PA36</f>
        <v>0</v>
      </c>
      <c r="PC36" s="20" t="n">
        <f aca="false">IF(AND(HU36=0,EX36=1,PB36&gt;0),MIN(PB36,EY36),0)</f>
        <v>0</v>
      </c>
      <c r="PD36" s="20" t="n">
        <f aca="false">PB36-PC36</f>
        <v>0</v>
      </c>
      <c r="PE36" s="20" t="n">
        <f aca="false">IF(AND(HU36=0,EN36=1,PD36&gt;0),MIN(PD36,EO36),0)</f>
        <v>0</v>
      </c>
      <c r="PF36" s="20" t="n">
        <f aca="false">PD36-PE36</f>
        <v>0</v>
      </c>
      <c r="PG36" s="20" t="n">
        <f aca="false">IF(AND(HU36=0,ED36=1,PF36&gt;0),MIN(PF36,EE36),0)</f>
        <v>0</v>
      </c>
      <c r="PH36" s="20" t="n">
        <f aca="false">PF36-PG36</f>
        <v>0</v>
      </c>
      <c r="PI36" s="20" t="n">
        <f aca="false">IF(AND(HU36=0,DT36=1,PH36&gt;0),MIN(PH36,DU36),0)</f>
        <v>0</v>
      </c>
      <c r="PJ36" s="20" t="n">
        <f aca="false">PH36-PI36</f>
        <v>0</v>
      </c>
      <c r="PK36" s="20" t="n">
        <f aca="false">IF(AND(HU36=0,DJ36=1,PJ36&gt;0),MIN(PJ36,DK36),0)</f>
        <v>0</v>
      </c>
      <c r="PL36" s="20" t="n">
        <f aca="false">PJ36-PK36</f>
        <v>0</v>
      </c>
      <c r="PM36" s="20" t="n">
        <f aca="false">IF(AND(HU36=0,CZ36=1,PL36&gt;0),MIN(PL36,DA36),0)</f>
        <v>0</v>
      </c>
      <c r="PN36" s="20" t="n">
        <f aca="false">PL36-PM36</f>
        <v>0</v>
      </c>
      <c r="PO36" s="20" t="n">
        <f aca="false">IF(AND(HU36=0,CP36=1,PN36&gt;0),MIN(PN36,CQ36),0)</f>
        <v>0</v>
      </c>
      <c r="PP36" s="20" t="n">
        <f aca="false">PN36-PO36</f>
        <v>0</v>
      </c>
      <c r="PQ36" s="20" t="n">
        <f aca="false">IF(AND(HU36=0,CF36=1,PP36&gt;0),MIN(PP36,CG36),0)</f>
        <v>0</v>
      </c>
      <c r="PR36" s="20" t="n">
        <f aca="false">PP36-PQ36</f>
        <v>0</v>
      </c>
      <c r="PS36" s="20" t="n">
        <f aca="false">IF(AND(HU36=0,BV36=1,PR36&gt;0),MIN(PR36,BW36),0)</f>
        <v>0</v>
      </c>
      <c r="PT36" s="20" t="n">
        <f aca="false">PR36-PS36</f>
        <v>0</v>
      </c>
      <c r="PU36" s="20" t="n">
        <f aca="false">IF(AND(HU36=0,BL36=1,PT36&gt;0),MIN(PT36,BM36),0)</f>
        <v>0</v>
      </c>
      <c r="PV36" s="20" t="n">
        <f aca="false">PT36-PU36</f>
        <v>0</v>
      </c>
      <c r="PW36" s="20" t="n">
        <f aca="false">IF(AND(HU36=0,BB36=1,PV36&gt;0),MIN(PV36,BC36),0)</f>
        <v>0</v>
      </c>
      <c r="PX36" s="20" t="n">
        <f aca="false">PV36-PW36</f>
        <v>0</v>
      </c>
      <c r="PY36" s="20" t="n">
        <f aca="false">IF(AND(HU36=0,AR36=1,PX36&gt;0),MIN(PX36,AS36),0)</f>
        <v>0</v>
      </c>
      <c r="PZ36" s="20" t="n">
        <f aca="false">PX36-PY36</f>
        <v>0</v>
      </c>
      <c r="QA36" s="20" t="n">
        <f aca="false">IF(AND(HU36=0,AH36=1,PZ36&gt;0),MIN(PZ36,AI36),0)</f>
        <v>0</v>
      </c>
      <c r="QB36" s="20" t="n">
        <f aca="false">PZ36-QA36</f>
        <v>0</v>
      </c>
      <c r="QC36" s="20" t="n">
        <f aca="false">IF(AND(HU36=0,W36=1,QB36&gt;0),MIN(QB36,X36),0)</f>
        <v>0</v>
      </c>
      <c r="QD36" s="20" t="n">
        <f aca="false">QB36-QC36</f>
        <v>0</v>
      </c>
      <c r="QE36" s="20" t="n">
        <f aca="false">IF(HU36=0,QD36,0)</f>
        <v>0</v>
      </c>
      <c r="QF36" s="20" t="n">
        <f aca="false">OM36+OO36+QC36+QA36+PY36+PW36+PU36+PS36+PQ36+PO36+PM36+PK36+PI36+PG36+PE36+PC36+PA36+OY36+OW36+OU36+OS36+OQ36</f>
        <v>0</v>
      </c>
      <c r="QG36" s="20" t="n">
        <f aca="false">IF(HU36=1,HK36+OJ36+OI36+IF(G36=1,0,OK36),HK36-OM36)</f>
        <v>196840.514568394</v>
      </c>
      <c r="QH36" s="20" t="n">
        <f aca="false">HL36-OO36</f>
        <v>14737.9982225118</v>
      </c>
      <c r="QI36" s="20" t="n">
        <f aca="false">IF(HU36=1,IF(G36=1,ID36+IE36,HS36),0)</f>
        <v>4323.64424572962</v>
      </c>
      <c r="QJ36" s="20" t="n">
        <f aca="false">IF(HU36=1,IF(G36=1,HS36-ID36-IE36,0),0)</f>
        <v>0</v>
      </c>
      <c r="QK36" s="57" t="n">
        <f aca="false">'Plan holdings'!BM36</f>
        <v>206725.739965007</v>
      </c>
      <c r="QL36" s="20" t="n">
        <f aca="false">QH36*(1+AS_Cash)</f>
        <v>14885.378204737</v>
      </c>
      <c r="QM36" s="20" t="n">
        <f aca="false">IF(W36=1,IF(HU36=1,II36+IL36,X36-QC36)*(1+Slot1_Rate),0)</f>
        <v>0</v>
      </c>
      <c r="QN36" s="20" t="n">
        <f aca="false">IF(AND(HU36=1,W36=1),(IH36+IL36)/F36,0)</f>
        <v>0</v>
      </c>
      <c r="QO36" s="20" t="n">
        <f aca="false">IF(B36=0,IH36+IL36,0)</f>
        <v>0</v>
      </c>
      <c r="QP36" s="20" t="n">
        <f aca="false">IF(B36=0,IF(HU36=1,IJ36,IK36),0)</f>
        <v>0</v>
      </c>
      <c r="QQ36" s="20" t="n">
        <f aca="false">IF(AH36=1,IF(HU36=1,IQ36+IT36,AI36-QA36)*(1+Slot2_Rate),0)</f>
        <v>0</v>
      </c>
      <c r="QR36" s="20" t="n">
        <f aca="false">IF(AND(HU36=1,AH36=1),(IP36+IT36)/F36,0)</f>
        <v>0</v>
      </c>
      <c r="QS36" s="20" t="n">
        <f aca="false">IF(B36=0,IP36+IT36,0)</f>
        <v>0</v>
      </c>
      <c r="QT36" s="20" t="n">
        <f aca="false">IF(B36=0,IF(HU36=1,IR36,IS36),0)</f>
        <v>0</v>
      </c>
      <c r="QU36" s="20" t="n">
        <f aca="false">IF(AR36=1,IF(HU36=1,IY36+JB36,AS36-PY36)*(1+Slot3_Rate),0)</f>
        <v>0</v>
      </c>
      <c r="QV36" s="20" t="n">
        <f aca="false">IF(AND(HU36=1,AR36=1),(IX36+JB36)/F36,0)</f>
        <v>0</v>
      </c>
      <c r="QW36" s="20" t="n">
        <f aca="false">IF(B36=0,IX36+JB36,0)</f>
        <v>0</v>
      </c>
      <c r="QX36" s="20" t="n">
        <f aca="false">IF(B36=0,IF(HU36=1,IZ36,JA36),0)</f>
        <v>0</v>
      </c>
      <c r="QY36" s="20" t="n">
        <f aca="false">IF(BB36=1,IF(HU36=1,JG36+JJ36,BC36-PW36)*(1+Slot4_Rate),0)</f>
        <v>0</v>
      </c>
      <c r="QZ36" s="20" t="n">
        <f aca="false">IF(AND(HU36=1,BB36=1),(JF36+JJ36)/F36,0)</f>
        <v>0</v>
      </c>
      <c r="RA36" s="20" t="n">
        <f aca="false">IF(B36=0,JF36+JJ36,0)</f>
        <v>0</v>
      </c>
      <c r="RB36" s="20" t="n">
        <f aca="false">IF(B36=0,IF(HU36=1,JH36,JI36),0)</f>
        <v>0</v>
      </c>
      <c r="RC36" s="20" t="n">
        <f aca="false">IF(BL36=1,IF(HU36=1,JO36+JR36,BM36-PU36)*(1+Slot5_Rate),0)</f>
        <v>0</v>
      </c>
      <c r="RD36" s="20" t="n">
        <f aca="false">IF(AND(HU36=1,BL36=1),(JN36+JR36)/F36,0)</f>
        <v>0</v>
      </c>
      <c r="RE36" s="20" t="n">
        <f aca="false">IF(B36=0,JN36+JR36,0)</f>
        <v>0</v>
      </c>
      <c r="RF36" s="20" t="n">
        <f aca="false">IF(B36=0,IF(HU36=1,JP36,JQ36),0)</f>
        <v>0</v>
      </c>
      <c r="RG36" s="20" t="n">
        <f aca="false">IF(BV36=1,IF(HU36=1,JW36+JZ36,BW36-PS36)*(1+Slot6_Rate),0)</f>
        <v>0</v>
      </c>
      <c r="RH36" s="20" t="n">
        <f aca="false">IF(AND(HU36=1,BV36=1),(JV36+JZ36)/F36,0)</f>
        <v>0</v>
      </c>
      <c r="RI36" s="20" t="n">
        <f aca="false">IF(B36=0,JV36+JZ36,0)</f>
        <v>0</v>
      </c>
      <c r="RJ36" s="20" t="n">
        <f aca="false">IF(B36=0,IF(HU36=1,JX36,JY36),0)</f>
        <v>0</v>
      </c>
      <c r="RK36" s="20" t="n">
        <f aca="false">IF(CF36=1,IF(HU36=1,KE36+KH36,CG36-PQ36)*(1+Slot7_Rate),0)</f>
        <v>0</v>
      </c>
      <c r="RL36" s="20" t="n">
        <f aca="false">IF(AND(HU36=1,CF36=1),(KD36+KH36)/F36,0)</f>
        <v>0</v>
      </c>
      <c r="RM36" s="20" t="n">
        <f aca="false">IF(B36=0,KD36+KH36,0)</f>
        <v>0</v>
      </c>
      <c r="RN36" s="20" t="n">
        <f aca="false">IF(B36=0,IF(HU36=1,KF36,KG36),0)</f>
        <v>0</v>
      </c>
      <c r="RO36" s="20" t="n">
        <f aca="false">IF(CP36=1,IF(HU36=1,KM36+KP36,CQ36-PO36)*(1+Slot8_Rate),0)</f>
        <v>0</v>
      </c>
      <c r="RP36" s="20" t="n">
        <f aca="false">IF(AND(HU36=1,CP36=1),(KL36+KP36)/F36,0)</f>
        <v>0</v>
      </c>
      <c r="RQ36" s="20" t="n">
        <f aca="false">IF(B36=0,KL36+KP36,0)</f>
        <v>0</v>
      </c>
      <c r="RR36" s="20" t="n">
        <f aca="false">IF(B36=0,IF(HU36=1,KN36,KO36),0)</f>
        <v>0</v>
      </c>
      <c r="RS36" s="20" t="n">
        <f aca="false">IF(CZ36=1,IF(HU36=1,KU36+KX36,DA36-PM36)*(1+Slot9_Rate),0)</f>
        <v>0</v>
      </c>
      <c r="RT36" s="20" t="n">
        <f aca="false">IF(AND(HU36=1,CZ36=1),(KT36+KX36)/F36,0)</f>
        <v>0</v>
      </c>
      <c r="RU36" s="20" t="n">
        <f aca="false">IF(B36=0,KT36+KX36,0)</f>
        <v>0</v>
      </c>
      <c r="RV36" s="20" t="n">
        <f aca="false">IF(B36=0,IF(HU36=1,KV36,KW36),0)</f>
        <v>0</v>
      </c>
      <c r="RW36" s="20" t="n">
        <f aca="false">IF(DJ36=1,IF(HU36=1,LC36+LF36,DK36-PK36)*(1+Slot10_Rate),0)</f>
        <v>0</v>
      </c>
      <c r="RX36" s="20" t="n">
        <f aca="false">IF(AND(HU36=1,DJ36=1),(LB36+LF36)/F36,0)</f>
        <v>0</v>
      </c>
      <c r="RY36" s="20" t="n">
        <f aca="false">IF(B36=0,LB36+LF36,0)</f>
        <v>0</v>
      </c>
      <c r="RZ36" s="20" t="n">
        <f aca="false">IF(B36=0,IF(HU36=1,LD36,LE36),0)</f>
        <v>0</v>
      </c>
      <c r="SA36" s="20" t="n">
        <f aca="false">IF(DT36=1,IF(HU36=1,LK36+LN36,DU36-PI36)*(1+Slot11_Rate),0)</f>
        <v>0</v>
      </c>
      <c r="SB36" s="20" t="n">
        <f aca="false">IF(AND(HU36=1,DT36=1),(LJ36+LN36)/F36,0)</f>
        <v>0</v>
      </c>
      <c r="SC36" s="20" t="n">
        <f aca="false">IF(B36=0,LJ36+LN36,0)</f>
        <v>0</v>
      </c>
      <c r="SD36" s="20" t="n">
        <f aca="false">IF(B36=0,IF(HU36=1,LL36,LM36),0)</f>
        <v>0</v>
      </c>
      <c r="SE36" s="20" t="n">
        <f aca="false">IF(ED36=1,IF(HU36=1,LS36+LV36,EE36-PG36)*(1+Slot12_Rate),0)</f>
        <v>0</v>
      </c>
      <c r="SF36" s="20" t="n">
        <f aca="false">IF(AND(HU36=1,ED36=1),(LR36+LV36)/F36,0)</f>
        <v>0</v>
      </c>
      <c r="SG36" s="20" t="n">
        <f aca="false">IF(B36=0,LR36+LV36,0)</f>
        <v>0</v>
      </c>
      <c r="SH36" s="20" t="n">
        <f aca="false">IF(B36=0,IF(HU36=1,LT36,LU36),0)</f>
        <v>0</v>
      </c>
      <c r="SI36" s="20" t="n">
        <f aca="false">IF(EN36=1,IF(HU36=1,MA36+MD36,EO36-PE36)*(1+Slot13_Rate),0)</f>
        <v>0</v>
      </c>
      <c r="SJ36" s="20" t="n">
        <f aca="false">IF(AND(HU36=1,EN36=1),(LZ36+MD36)/F36,0)</f>
        <v>0</v>
      </c>
      <c r="SK36" s="20" t="n">
        <f aca="false">IF(B36=0,LZ36+MD36,0)</f>
        <v>0</v>
      </c>
      <c r="SL36" s="20" t="n">
        <f aca="false">IF(B36=0,IF(HU36=1,MB36,MC36),0)</f>
        <v>0</v>
      </c>
      <c r="SM36" s="20" t="n">
        <f aca="false">IF(EX36=1,IF(HU36=1,MI36+ML36,EY36-PC36)*(1+Slot14_Rate),0)</f>
        <v>0</v>
      </c>
      <c r="SN36" s="20" t="n">
        <f aca="false">IF(AND(HU36=1,EX36=1),(MH36+ML36)/F36,0)</f>
        <v>0</v>
      </c>
      <c r="SO36" s="20" t="n">
        <f aca="false">IF(B36=0,MH36+ML36,0)</f>
        <v>0</v>
      </c>
      <c r="SP36" s="20" t="n">
        <f aca="false">IF(B36=0,IF(HU36=1,MJ36,MK36),0)</f>
        <v>0</v>
      </c>
      <c r="SQ36" s="20" t="n">
        <f aca="false">IF(FH36=1,IF(HU36=1,MQ36+MT36,FI36-PA36)*(1+Slot15_Rate),0)</f>
        <v>0</v>
      </c>
      <c r="SR36" s="20" t="n">
        <f aca="false">IF(AND(HU36=1,FH36=1),(MP36+MT36)/F36,0)</f>
        <v>0</v>
      </c>
      <c r="SS36" s="20" t="n">
        <f aca="false">IF(B36=0,MP36+MT36,0)</f>
        <v>0</v>
      </c>
      <c r="ST36" s="20" t="n">
        <f aca="false">IF(B36=0,IF(HU36=1,MR36,MS36),0)</f>
        <v>0</v>
      </c>
      <c r="SU36" s="20" t="n">
        <f aca="false">IF(FR36=1,IF(HU36=1,MY36+NB36,FS36-OY36)*(1+Slot16_Rate),0)</f>
        <v>0</v>
      </c>
      <c r="SV36" s="20" t="n">
        <f aca="false">IF(AND(HU36=1,FR36=1),(MX36+NB36)/F36,0)</f>
        <v>0</v>
      </c>
      <c r="SW36" s="20" t="n">
        <f aca="false">IF(B36=0,MX36+NB36,0)</f>
        <v>0</v>
      </c>
      <c r="SX36" s="20" t="n">
        <f aca="false">IF(B36=0,IF(HU36=1,MZ36,NA36),0)</f>
        <v>0</v>
      </c>
      <c r="SY36" s="20" t="n">
        <f aca="false">IF(GB36=1,IF(HU36=1,NG36+NJ36,GC36-OW36)*(1+Slot17_Rate),0)</f>
        <v>0</v>
      </c>
      <c r="SZ36" s="20" t="n">
        <f aca="false">IF(AND(HU36=1,GB36=1),(NF36+NJ36)/F36,0)</f>
        <v>0</v>
      </c>
      <c r="TA36" s="20" t="n">
        <f aca="false">IF(B36=0,NF36+NJ36,0)</f>
        <v>0</v>
      </c>
      <c r="TB36" s="20" t="n">
        <f aca="false">IF(B36=0,IF(HU36=1,NH36,NI36),0)</f>
        <v>0</v>
      </c>
      <c r="TC36" s="20" t="n">
        <f aca="false">IF(GL36=1,IF(HU36=1,NO36+NR36,GM36-OU36)*(1+Slot18_Rate),0)</f>
        <v>0</v>
      </c>
      <c r="TD36" s="20" t="n">
        <f aca="false">IF(AND(HU36=1,GL36=1),(NN36+NR36)/F36,0)</f>
        <v>0</v>
      </c>
      <c r="TE36" s="20" t="n">
        <f aca="false">IF(B36=0,NN36+NR36,0)</f>
        <v>0</v>
      </c>
      <c r="TF36" s="20" t="n">
        <f aca="false">IF(B36=0,IF(HU36=1,NP36,NQ36),0)</f>
        <v>0</v>
      </c>
      <c r="TG36" s="20" t="n">
        <f aca="false">IF(GV36=1,IF(HU36=1,NW36+NZ36,GW36-OS36)*(1+Slot19_Rate),0)</f>
        <v>0</v>
      </c>
      <c r="TH36" s="20" t="n">
        <f aca="false">IF(AND(HU36=1,GV36=1),(NV36+NZ36)/F36,0)</f>
        <v>0</v>
      </c>
      <c r="TI36" s="20" t="n">
        <f aca="false">IF(B36=0,NV36+NZ36,0)</f>
        <v>0</v>
      </c>
      <c r="TJ36" s="20" t="n">
        <f aca="false">IF(B36=0,IF(HU36=1,NX36,NY36),0)</f>
        <v>0</v>
      </c>
      <c r="TK36" s="20" t="n">
        <f aca="false">IF(HF36=1,IF(HU36=1,OE36+OH36,HG36-OQ36)*(1+Slot20_Rate),0)</f>
        <v>0</v>
      </c>
      <c r="TL36" s="20" t="n">
        <f aca="false">IF(AND(HU36=1,HF36=1),(OD36+OH36)/F36,0)</f>
        <v>0</v>
      </c>
      <c r="TM36" s="20" t="n">
        <f aca="false">IF(B36=0,OD36+OH36,0)</f>
        <v>0</v>
      </c>
      <c r="TN36" s="20" t="n">
        <f aca="false">IF(B36=0,IF(HU36=1,OF36,OG36),0)</f>
        <v>0</v>
      </c>
      <c r="TO36" s="20" t="n">
        <f aca="false">QK36+QL36+QM36+QQ36+QU36+QY36+RC36+RG36+RK36+RO36+RS36+RW36+SA36+SE36+SI36+SM36+SQ36+SU36+SY36+TC36+TG36+TK36</f>
        <v>221611.118169744</v>
      </c>
      <c r="TP36" s="20" t="n">
        <f aca="false">QE36+HP36</f>
        <v>0</v>
      </c>
      <c r="TQ36" s="20" t="n">
        <f aca="false">I36+S36</f>
        <v>83220.9570551138</v>
      </c>
      <c r="TR36" s="20" t="n">
        <f aca="false">1-G36</f>
        <v>1</v>
      </c>
      <c r="TS36" s="20" t="n">
        <f aca="false">IF(AND(RG_Exists=1,G36=0,C36=1),I36,0)</f>
        <v>83220.9570551138</v>
      </c>
      <c r="TT36" s="20" t="n">
        <f aca="false">IF(AND(RG_Exists=1,G36=0,C36=1),I36-MIN(QE36,I36),0)</f>
        <v>83220.9570551138</v>
      </c>
      <c r="TU36" s="20" t="n">
        <f aca="false">'Plan pay &amp; tax'!AD262</f>
        <v>429543.615707339</v>
      </c>
      <c r="TV36" s="20" t="n">
        <f aca="false">IF(AND(C36=1,QE36&gt;MAX(PR_Short1,TQ36*PR_Short2)),1,0)</f>
        <v>0</v>
      </c>
      <c r="TW36" s="20" t="n">
        <f aca="false">MIN(H36,I36+S36)</f>
        <v>83220.9570551138</v>
      </c>
      <c r="TX36" s="20" t="n">
        <f aca="false">QF36+MAX(0,HQ36-HP36)</f>
        <v>0</v>
      </c>
      <c r="TY36" s="20" t="n">
        <f aca="false">QE36+HP36</f>
        <v>0</v>
      </c>
      <c r="TZ36" s="20" t="n">
        <f aca="false">IF(AND(C36=1,TY36&gt;PR_MinShort),1,0)</f>
        <v>0</v>
      </c>
      <c r="UA36" s="20" t="n">
        <f aca="false">IF(AND(C36=1,TZ36=0,TX36&gt;PR_MinShort),1,0)</f>
        <v>0</v>
      </c>
      <c r="UB36" s="20" t="n">
        <f aca="false">IF(AND(C36=1,QE36&gt;PR_MinShort),1,0)</f>
        <v>0</v>
      </c>
      <c r="UC36" s="20" t="n">
        <f aca="false">IF(AND(C36=1,QF36&gt;1,UJ36=0),1,0)</f>
        <v>0</v>
      </c>
      <c r="UD36" s="20" t="str">
        <f aca="false">IF(C36=0,"",IF(UJ36=1,"Gap to plan for: short "&amp;"€"&amp;TEXT(ROUND(TP36,0),"#,##0"),IF(QF36&gt;1,"Using savings","Comfortable")))</f>
        <v>Comfortable</v>
      </c>
      <c r="UE36" s="20" t="n">
        <f aca="false">IF(AND(INT(D36/10)*10=90,B36&gt;0),80,INT(D36/10)*10)</f>
        <v>60</v>
      </c>
      <c r="UF36" s="20" t="n">
        <f aca="false">IF(B36=0,1,IF(UE36&lt;&gt;UE35,UF35+1,UF35))</f>
        <v>4</v>
      </c>
      <c r="UG36" s="20" t="n">
        <f aca="false">IF(AND(C36=1,G36=1,QE36&gt;MAX(PR_Short1,TQ36*PR_Short2)),1,0)</f>
        <v>0</v>
      </c>
      <c r="UH36" s="20" t="n">
        <f aca="false">TR36*TV36</f>
        <v>0</v>
      </c>
      <c r="UI36" s="20" t="n">
        <f aca="false">IF(AND(V36=1,Slot1_PctLow=1),1,0)+IF(AND(AG36=1,Slot2_PctLow=1),1,0)+IF(AND(AQ36=1,Slot3_PctLow=1),1,0)+IF(AND(BA36=1,Slot4_PctLow=1),1,0)+IF(AND(BK36=1,Slot5_PctLow=1),1,0)+IF(AND(BU36=1,Slot6_PctLow=1),1,0)+IF(AND(CE36=1,Slot7_PctLow=1),1,0)+IF(AND(CO36=1,Slot8_PctLow=1),1,0)+IF(AND(CY36=1,Slot9_PctLow=1),1,0)+IF(AND(DI36=1,Slot10_PctLow=1),1,0)+IF(AND(DS36=1,Slot11_PctLow=1),1,0)+IF(AND(EC36=1,Slot12_PctLow=1),1,0)+IF(AND(EM36=1,Slot13_PctLow=1),1,0)+IF(AND(EW36=1,Slot14_PctLow=1),1,0)+IF(AND(FG36=1,Slot15_PctLow=1),1,0)+IF(AND(FQ36=1,Slot16_PctLow=1),1,0)+IF(AND(GA36=1,Slot17_PctLow=1),1,0)+IF(AND(GK36=1,Slot18_PctLow=1),1,0)+IF(AND(GU36=1,Slot19_PctLow=1),1,0)+IF(AND(HE36=1,Slot20_PctLow=1),1,0)</f>
        <v>0</v>
      </c>
      <c r="UJ36" s="20" t="n">
        <f aca="false">IF(C36=1,IF(OR(TV36=1,UI36&gt;0),1,0),0)</f>
        <v>0</v>
      </c>
      <c r="UK36" s="20" t="n">
        <f aca="false">Z36+AK36+AU36+BE36+BO36+BY36+CI36+CS36+DC36+DM36+DW36+EG36+EQ36+FA36+FK36+FU36+GE36+GO36+GY36+HI36+OM36</f>
        <v>0</v>
      </c>
      <c r="UL36" s="20" t="n">
        <f aca="false">V36*IF(Slot1_SpendLike=1,X36-Y36,IF(Slot1_PotFree=1,X36,0))+AG36*IF(Slot2_SpendLike=1,AI36-AJ36,IF(Slot2_PotFree=1,AI36,0))+AQ36*IF(Slot3_SpendLike=1,AS36-AT36,IF(Slot3_PotFree=1,AS36,0))+BA36*IF(Slot4_SpendLike=1,BC36-BD36,IF(Slot4_PotFree=1,BC36,0))+BK36*IF(Slot5_SpendLike=1,BM36-BN36,IF(Slot5_PotFree=1,BM36,0))+BU36*IF(Slot6_SpendLike=1,BW36-BX36,IF(Slot6_PotFree=1,BW36,0))+CE36*IF(Slot7_SpendLike=1,CG36-CH36,IF(Slot7_PotFree=1,CG36,0))+CO36*IF(Slot8_SpendLike=1,CQ36-CR36,IF(Slot8_PotFree=1,CQ36,0))+CY36*IF(Slot9_SpendLike=1,DA36-DB36,IF(Slot9_PotFree=1,DA36,0))+DI36*IF(Slot10_SpendLike=1,DK36-DL36,IF(Slot10_PotFree=1,DK36,0))+DS36*IF(Slot11_SpendLike=1,DU36-DV36,IF(Slot11_PotFree=1,DU36,0))+EC36*IF(Slot12_SpendLike=1,EE36-EF36,IF(Slot12_PotFree=1,EE36,0))+EM36*IF(Slot13_SpendLike=1,EO36-EP36,IF(Slot13_PotFree=1,EO36,0))+EW36*IF(Slot14_SpendLike=1,EY36-EZ36,IF(Slot14_PotFree=1,EY36,0))+FG36*IF(Slot15_SpendLike=1,FI36-FJ36,IF(Slot15_PotFree=1,FI36,0))+FQ36*IF(Slot16_SpendLike=1,FS36-FT36,IF(Slot16_PotFree=1,FS36,0))+GA36*IF(Slot17_SpendLike=1,GC36-GD36,IF(Slot17_PotFree=1,GC36,0))+GK36*IF(Slot18_SpendLike=1,GM36-GN36,IF(Slot18_PotFree=1,GM36,0))+GU36*IF(Slot19_SpendLike=1,GW36-GX36,IF(Slot19_PotFree=1,GW36,0))+HE36*IF(Slot20_SpendLike=1,HG36-HH36,IF(Slot20_PotFree=1,HG36,0))</f>
        <v>0</v>
      </c>
      <c r="UM36" s="20" t="n">
        <f aca="false">QG36-T36+UK36-UL36</f>
        <v>4323.64424572961</v>
      </c>
      <c r="UN36" s="20" t="n">
        <f aca="false">IF(OR(UN35=1,AND(In_homeUse="Yes, I'd downsize",In_downAge&gt;0,D36=In_downAge,OR(In_home="Own outright",In_home="Own with mortgage"),In_homeValue&gt;0)),1,0)</f>
        <v>0</v>
      </c>
    </row>
    <row r="37" customFormat="false" ht="15" hidden="false" customHeight="true" outlineLevel="0" collapsed="false">
      <c r="B37" s="20" t="n">
        <v>29</v>
      </c>
      <c r="C37" s="20" t="n">
        <f aca="false">IF(B37&lt;=F_N,1,0)</f>
        <v>1</v>
      </c>
      <c r="D37" s="20" t="n">
        <f aca="false">'Plan pay &amp; tax'!C263</f>
        <v>67</v>
      </c>
      <c r="E37" s="20" t="str">
        <f aca="false">IF($C37=1,"Income tax "&amp;TEXT(N('Plan pay &amp; tax'!BK263),"#,##0")&amp;"; USC "&amp;TEXT(N('Plan pay &amp; tax'!BM263)+N('Plan pay &amp; tax'!BO263),"#,##0")&amp;"; PRSI "&amp;TEXT(N('Plan pay &amp; tax'!BP263)+N('Plan pay &amp; tax'!BQ263),"#,##0")&amp;IF(N('Plan holdings'!BO37)&gt;=0.5,"; DIRT "&amp;TEXT(('Plan holdings'!BO37)/$F37,"#,##0")&amp;" (already taken from the interest earned)","")&amp;IF(N('Plan holdings'!BP37)&gt;=0.5,"; exit tax at an 8-year anniversary "&amp;TEXT(('Plan holdings'!BP37)/$F37,"#,##0"),"")&amp;IF(N('Plan holdings'!BN37)&gt;=0.5,"; tax on assets sold (exit tax or capital gains tax) "&amp;TEXT(('Plan holdings'!BN37)/$F37,"#,##0"),"")&amp;IF(N('Plan pay &amp; tax'!X263)-N('Plan pay &amp; tax'!Y263)&gt;=0.5,"; tax on the pension lump sum "&amp;TEXT(('Plan pay &amp; tax'!X263-'Plan pay &amp; tax'!Y263)/$F37,"#,##0"),"")&amp;IF(N('Plan pay &amp; tax'!V263)&gt;=0.5,"; chargeable excess tax on the pension "&amp;TEXT(('Plan pay &amp; tax'!V263)/$F37,"#,##0"),"")&amp;".","")</f>
        <v>Income tax 803; USC 0; PRSI 0; DIRT 231 (already taken from the interest earned); exit tax at an 8-year anniversary 394.</v>
      </c>
      <c r="F37" s="50" t="n">
        <f aca="false">'Plan pay &amp; tax'!E263</f>
        <v>1.77584469029741</v>
      </c>
      <c r="G37" s="20" t="n">
        <f aca="false">'Plan pay &amp; tax'!G263</f>
        <v>0</v>
      </c>
      <c r="H37" s="20" t="n">
        <f aca="false">'Plan pay &amp; tax'!BT263-'Plan pay &amp; tax'!BS263-'Plan pay &amp; tax'!R263</f>
        <v>65505.5146880077</v>
      </c>
      <c r="I37" s="20" t="n">
        <f aca="false">IF(G37=1,F_CostsM*12,IF(RG_Exists=1,RG_Amount,F_CostsM*12*AS_RetireSpend))*F37+F_OneOffY*F37</f>
        <v>84885.376196216</v>
      </c>
      <c r="J37" s="20" t="n">
        <f aca="false">IF(UN37=1,0,HR36)</f>
        <v>0</v>
      </c>
      <c r="K37" s="20" t="n">
        <f aca="false">IF(J37&gt;1,'Plan debt months'!AC37,0)</f>
        <v>0</v>
      </c>
      <c r="L37" s="20" t="n">
        <f aca="false">IF(J37&gt;1,'Plan debt months'!AB37,J37)</f>
        <v>0</v>
      </c>
      <c r="M37" s="20" t="n">
        <f aca="false">O36</f>
        <v>0</v>
      </c>
      <c r="N37" s="20" t="n">
        <f aca="false">IF(M37&gt;1,'Plan debt months'!BD37,0)</f>
        <v>0</v>
      </c>
      <c r="O37" s="20" t="n">
        <f aca="false">IF(M37&gt;1,'Plan debt months'!BC37,M37)</f>
        <v>0</v>
      </c>
      <c r="P37" s="20" t="n">
        <f aca="false">R36</f>
        <v>0</v>
      </c>
      <c r="Q37" s="20" t="n">
        <f aca="false">IF(P37&gt;1,'Plan debt months'!CE37,0)</f>
        <v>0</v>
      </c>
      <c r="R37" s="20" t="n">
        <f aca="false">IF(P37&gt;1,'Plan debt months'!CD37,P37)</f>
        <v>0</v>
      </c>
      <c r="S37" s="20" t="n">
        <f aca="false">K37+N37+Q37</f>
        <v>0</v>
      </c>
      <c r="T37" s="57" t="n">
        <f aca="false">'Plan holdings'!Y37</f>
        <v>200563.264242081</v>
      </c>
      <c r="U37" s="57" t="n">
        <f aca="false">'Plan holdings'!BM36</f>
        <v>206725.739965007</v>
      </c>
      <c r="V37" s="20" t="n">
        <f aca="false">IF(AND(Slot1_On=1,D37=Slot1_Age),1,0)</f>
        <v>0</v>
      </c>
      <c r="W37" s="20" t="n">
        <f aca="false">IF(AND(Slot1_On=1,Slot1_Age&gt;D37),1,0)</f>
        <v>0</v>
      </c>
      <c r="X37" s="20" t="n">
        <f aca="false">QM36</f>
        <v>0</v>
      </c>
      <c r="Y37" s="20" t="n">
        <f aca="false">V37*MIN(Slot1_Cost,X37)</f>
        <v>0</v>
      </c>
      <c r="Z37" s="20" t="n">
        <f aca="false">V37*Slot1_SpendLike*MIN(Slot1_Cost-Y37,T37)</f>
        <v>0</v>
      </c>
      <c r="AA37" s="20" t="n">
        <f aca="false">Y37+Z37</f>
        <v>0</v>
      </c>
      <c r="AB37" s="20" t="n">
        <f aca="false">T37-Z37+V37*IF(Slot1_SpendLike=1,X37-Y37,IF(Slot1_PotFree=1,X37,0))</f>
        <v>200563.264242081</v>
      </c>
      <c r="AC37" s="20" t="n">
        <f aca="false">AF37+V37*Slot1_BufPot*X37</f>
        <v>14885.378204737</v>
      </c>
      <c r="AD37" s="20" t="n">
        <f aca="false">IF(AND(V37=1,Slot1_IsMfree=1),IF(AA37&gt;=Slot1_Cost-1,0,MAX(0,L37-AA37)),L37)</f>
        <v>0</v>
      </c>
      <c r="AE37" s="20" t="n">
        <f aca="false">V37*(Slot1_Cost-AA37)</f>
        <v>0</v>
      </c>
      <c r="AF37" s="20" t="n">
        <f aca="false">QL36</f>
        <v>14885.378204737</v>
      </c>
      <c r="AG37" s="20" t="n">
        <f aca="false">IF(AND(Slot2_On=1,D37=Slot2_Age),1,0)</f>
        <v>0</v>
      </c>
      <c r="AH37" s="20" t="n">
        <f aca="false">IF(AND(Slot2_On=1,Slot2_Age&gt;D37),1,0)</f>
        <v>0</v>
      </c>
      <c r="AI37" s="20" t="n">
        <f aca="false">QQ36</f>
        <v>0</v>
      </c>
      <c r="AJ37" s="20" t="n">
        <f aca="false">AG37*MIN(Slot2_Cost,AI37)</f>
        <v>0</v>
      </c>
      <c r="AK37" s="20" t="n">
        <f aca="false">AG37*Slot2_SpendLike*MIN(Slot2_Cost-AJ37,AB37)</f>
        <v>0</v>
      </c>
      <c r="AL37" s="20" t="n">
        <f aca="false">AJ37+AK37</f>
        <v>0</v>
      </c>
      <c r="AM37" s="20" t="n">
        <f aca="false">AB37-AK37+AG37*IF(Slot2_SpendLike=1,AI37-AJ37,IF(Slot2_PotFree=1,AI37,0))</f>
        <v>200563.264242081</v>
      </c>
      <c r="AN37" s="20" t="n">
        <f aca="false">AC37+AG37*Slot2_BufPot*AI37</f>
        <v>14885.378204737</v>
      </c>
      <c r="AO37" s="20" t="n">
        <f aca="false">IF(AND(AG37=1,Slot2_IsMfree=1),IF(AL37&gt;=Slot2_Cost-1,0,MAX(0,AD37-AL37)),AD37)</f>
        <v>0</v>
      </c>
      <c r="AP37" s="20" t="n">
        <f aca="false">AG37*(Slot2_Cost-AL37)</f>
        <v>0</v>
      </c>
      <c r="AQ37" s="20" t="n">
        <f aca="false">IF(AND(Slot3_On=1,D37=Slot3_Age),1,0)</f>
        <v>0</v>
      </c>
      <c r="AR37" s="20" t="n">
        <f aca="false">IF(AND(Slot3_On=1,Slot3_Age&gt;D37),1,0)</f>
        <v>0</v>
      </c>
      <c r="AS37" s="20" t="n">
        <f aca="false">QU36</f>
        <v>0</v>
      </c>
      <c r="AT37" s="20" t="n">
        <f aca="false">AQ37*MIN(Slot3_Cost,AS37)</f>
        <v>0</v>
      </c>
      <c r="AU37" s="20" t="n">
        <f aca="false">AQ37*Slot3_SpendLike*MIN(Slot3_Cost-AT37,AM37)</f>
        <v>0</v>
      </c>
      <c r="AV37" s="20" t="n">
        <f aca="false">AT37+AU37</f>
        <v>0</v>
      </c>
      <c r="AW37" s="20" t="n">
        <f aca="false">AM37-AU37+AQ37*IF(Slot3_SpendLike=1,AS37-AT37,IF(Slot3_PotFree=1,AS37,0))</f>
        <v>200563.264242081</v>
      </c>
      <c r="AX37" s="20" t="n">
        <f aca="false">AN37+AQ37*Slot3_BufPot*AS37</f>
        <v>14885.378204737</v>
      </c>
      <c r="AY37" s="20" t="n">
        <f aca="false">IF(AND(AQ37=1,Slot3_IsMfree=1),IF(AV37&gt;=Slot3_Cost-1,0,MAX(0,AO37-AV37)),AO37)</f>
        <v>0</v>
      </c>
      <c r="AZ37" s="20" t="n">
        <f aca="false">AQ37*(Slot3_Cost-AV37)</f>
        <v>0</v>
      </c>
      <c r="BA37" s="20" t="n">
        <f aca="false">IF(AND(Slot4_On=1,D37=Slot4_Age),1,0)</f>
        <v>0</v>
      </c>
      <c r="BB37" s="20" t="n">
        <f aca="false">IF(AND(Slot4_On=1,Slot4_Age&gt;D37),1,0)</f>
        <v>0</v>
      </c>
      <c r="BC37" s="20" t="n">
        <f aca="false">QY36</f>
        <v>0</v>
      </c>
      <c r="BD37" s="20" t="n">
        <f aca="false">BA37*MIN(Slot4_Cost,BC37)</f>
        <v>0</v>
      </c>
      <c r="BE37" s="20" t="n">
        <f aca="false">BA37*Slot4_SpendLike*MIN(Slot4_Cost-BD37,AW37)</f>
        <v>0</v>
      </c>
      <c r="BF37" s="20" t="n">
        <f aca="false">BD37+BE37</f>
        <v>0</v>
      </c>
      <c r="BG37" s="20" t="n">
        <f aca="false">AW37-BE37+BA37*IF(Slot4_SpendLike=1,BC37-BD37,IF(Slot4_PotFree=1,BC37,0))</f>
        <v>200563.264242081</v>
      </c>
      <c r="BH37" s="20" t="n">
        <f aca="false">AX37+BA37*Slot4_BufPot*BC37</f>
        <v>14885.378204737</v>
      </c>
      <c r="BI37" s="20" t="n">
        <f aca="false">IF(AND(BA37=1,Slot4_IsMfree=1),IF(BF37&gt;=Slot4_Cost-1,0,MAX(0,AY37-BF37)),AY37)</f>
        <v>0</v>
      </c>
      <c r="BJ37" s="20" t="n">
        <f aca="false">BA37*(Slot4_Cost-BF37)</f>
        <v>0</v>
      </c>
      <c r="BK37" s="20" t="n">
        <f aca="false">IF(AND(Slot5_On=1,D37=Slot5_Age),1,0)</f>
        <v>0</v>
      </c>
      <c r="BL37" s="20" t="n">
        <f aca="false">IF(AND(Slot5_On=1,Slot5_Age&gt;D37),1,0)</f>
        <v>0</v>
      </c>
      <c r="BM37" s="20" t="n">
        <f aca="false">RC36</f>
        <v>0</v>
      </c>
      <c r="BN37" s="20" t="n">
        <f aca="false">BK37*MIN(Slot5_Cost,BM37)</f>
        <v>0</v>
      </c>
      <c r="BO37" s="20" t="n">
        <f aca="false">BK37*Slot5_SpendLike*MIN(Slot5_Cost-BN37,BG37)</f>
        <v>0</v>
      </c>
      <c r="BP37" s="20" t="n">
        <f aca="false">BN37+BO37</f>
        <v>0</v>
      </c>
      <c r="BQ37" s="20" t="n">
        <f aca="false">BG37-BO37+BK37*IF(Slot5_SpendLike=1,BM37-BN37,IF(Slot5_PotFree=1,BM37,0))</f>
        <v>200563.264242081</v>
      </c>
      <c r="BR37" s="20" t="n">
        <f aca="false">BH37+BK37*Slot5_BufPot*BM37</f>
        <v>14885.378204737</v>
      </c>
      <c r="BS37" s="20" t="n">
        <f aca="false">IF(AND(BK37=1,Slot5_IsMfree=1),IF(BP37&gt;=Slot5_Cost-1,0,MAX(0,BI37-BP37)),BI37)</f>
        <v>0</v>
      </c>
      <c r="BT37" s="20" t="n">
        <f aca="false">BK37*(Slot5_Cost-BP37)</f>
        <v>0</v>
      </c>
      <c r="BU37" s="20" t="n">
        <f aca="false">IF(AND(Slot6_On=1,D37=Slot6_Age),1,0)</f>
        <v>0</v>
      </c>
      <c r="BV37" s="20" t="n">
        <f aca="false">IF(AND(Slot6_On=1,Slot6_Age&gt;D37),1,0)</f>
        <v>0</v>
      </c>
      <c r="BW37" s="20" t="n">
        <f aca="false">RG36</f>
        <v>0</v>
      </c>
      <c r="BX37" s="20" t="n">
        <f aca="false">BU37*MIN(Slot6_Cost,BW37)</f>
        <v>0</v>
      </c>
      <c r="BY37" s="20" t="n">
        <f aca="false">BU37*Slot6_SpendLike*MIN(Slot6_Cost-BX37,BQ37)</f>
        <v>0</v>
      </c>
      <c r="BZ37" s="20" t="n">
        <f aca="false">BX37+BY37</f>
        <v>0</v>
      </c>
      <c r="CA37" s="20" t="n">
        <f aca="false">BQ37-BY37+BU37*IF(Slot6_SpendLike=1,BW37-BX37,IF(Slot6_PotFree=1,BW37,0))</f>
        <v>200563.264242081</v>
      </c>
      <c r="CB37" s="20" t="n">
        <f aca="false">BR37+BU37*Slot6_BufPot*BW37</f>
        <v>14885.378204737</v>
      </c>
      <c r="CC37" s="20" t="n">
        <f aca="false">IF(AND(BU37=1,Slot6_IsMfree=1),IF(BZ37&gt;=Slot6_Cost-1,0,MAX(0,BS37-BZ37)),BS37)</f>
        <v>0</v>
      </c>
      <c r="CD37" s="20" t="n">
        <f aca="false">BU37*(Slot6_Cost-BZ37)</f>
        <v>0</v>
      </c>
      <c r="CE37" s="20" t="n">
        <f aca="false">IF(AND(Slot7_On=1,D37=Slot7_Age),1,0)</f>
        <v>0</v>
      </c>
      <c r="CF37" s="20" t="n">
        <f aca="false">IF(AND(Slot7_On=1,Slot7_Age&gt;D37),1,0)</f>
        <v>0</v>
      </c>
      <c r="CG37" s="20" t="n">
        <f aca="false">RK36</f>
        <v>0</v>
      </c>
      <c r="CH37" s="20" t="n">
        <f aca="false">CE37*MIN(Slot7_Cost,CG37)</f>
        <v>0</v>
      </c>
      <c r="CI37" s="20" t="n">
        <f aca="false">CE37*Slot7_SpendLike*MIN(Slot7_Cost-CH37,CA37)</f>
        <v>0</v>
      </c>
      <c r="CJ37" s="20" t="n">
        <f aca="false">CH37+CI37</f>
        <v>0</v>
      </c>
      <c r="CK37" s="20" t="n">
        <f aca="false">CA37-CI37+CE37*IF(Slot7_SpendLike=1,CG37-CH37,IF(Slot7_PotFree=1,CG37,0))</f>
        <v>200563.264242081</v>
      </c>
      <c r="CL37" s="20" t="n">
        <f aca="false">CB37+CE37*Slot7_BufPot*CG37</f>
        <v>14885.378204737</v>
      </c>
      <c r="CM37" s="20" t="n">
        <f aca="false">IF(AND(CE37=1,Slot7_IsMfree=1),IF(CJ37&gt;=Slot7_Cost-1,0,MAX(0,CC37-CJ37)),CC37)</f>
        <v>0</v>
      </c>
      <c r="CN37" s="20" t="n">
        <f aca="false">CE37*(Slot7_Cost-CJ37)</f>
        <v>0</v>
      </c>
      <c r="CO37" s="20" t="n">
        <f aca="false">IF(AND(Slot8_On=1,D37=Slot8_Age),1,0)</f>
        <v>0</v>
      </c>
      <c r="CP37" s="20" t="n">
        <f aca="false">IF(AND(Slot8_On=1,Slot8_Age&gt;D37),1,0)</f>
        <v>0</v>
      </c>
      <c r="CQ37" s="20" t="n">
        <f aca="false">RO36</f>
        <v>0</v>
      </c>
      <c r="CR37" s="20" t="n">
        <f aca="false">CO37*MIN(Slot8_Cost,CQ37)</f>
        <v>0</v>
      </c>
      <c r="CS37" s="20" t="n">
        <f aca="false">CO37*Slot8_SpendLike*MIN(Slot8_Cost-CR37,CK37)</f>
        <v>0</v>
      </c>
      <c r="CT37" s="20" t="n">
        <f aca="false">CR37+CS37</f>
        <v>0</v>
      </c>
      <c r="CU37" s="20" t="n">
        <f aca="false">CK37-CS37+CO37*IF(Slot8_SpendLike=1,CQ37-CR37,IF(Slot8_PotFree=1,CQ37,0))</f>
        <v>200563.264242081</v>
      </c>
      <c r="CV37" s="20" t="n">
        <f aca="false">CL37+CO37*Slot8_BufPot*CQ37</f>
        <v>14885.378204737</v>
      </c>
      <c r="CW37" s="20" t="n">
        <f aca="false">IF(AND(CO37=1,Slot8_IsMfree=1),IF(CT37&gt;=Slot8_Cost-1,0,MAX(0,CM37-CT37)),CM37)</f>
        <v>0</v>
      </c>
      <c r="CX37" s="20" t="n">
        <f aca="false">CO37*(Slot8_Cost-CT37)</f>
        <v>0</v>
      </c>
      <c r="CY37" s="20" t="n">
        <f aca="false">IF(AND(Slot9_On=1,D37=Slot9_Age),1,0)</f>
        <v>0</v>
      </c>
      <c r="CZ37" s="20" t="n">
        <f aca="false">IF(AND(Slot9_On=1,Slot9_Age&gt;D37),1,0)</f>
        <v>0</v>
      </c>
      <c r="DA37" s="20" t="n">
        <f aca="false">RS36</f>
        <v>0</v>
      </c>
      <c r="DB37" s="20" t="n">
        <f aca="false">CY37*MIN(Slot9_Cost,DA37)</f>
        <v>0</v>
      </c>
      <c r="DC37" s="20" t="n">
        <f aca="false">CY37*Slot9_SpendLike*MIN(Slot9_Cost-DB37,CU37)</f>
        <v>0</v>
      </c>
      <c r="DD37" s="20" t="n">
        <f aca="false">DB37+DC37</f>
        <v>0</v>
      </c>
      <c r="DE37" s="20" t="n">
        <f aca="false">CU37-DC37+CY37*IF(Slot9_SpendLike=1,DA37-DB37,IF(Slot9_PotFree=1,DA37,0))</f>
        <v>200563.264242081</v>
      </c>
      <c r="DF37" s="20" t="n">
        <f aca="false">CV37+CY37*Slot9_BufPot*DA37</f>
        <v>14885.378204737</v>
      </c>
      <c r="DG37" s="20" t="n">
        <f aca="false">IF(AND(CY37=1,Slot9_IsMfree=1),IF(DD37&gt;=Slot9_Cost-1,0,MAX(0,CW37-DD37)),CW37)</f>
        <v>0</v>
      </c>
      <c r="DH37" s="20" t="n">
        <f aca="false">CY37*(Slot9_Cost-DD37)</f>
        <v>0</v>
      </c>
      <c r="DI37" s="20" t="n">
        <f aca="false">IF(AND(Slot10_On=1,D37=Slot10_Age),1,0)</f>
        <v>0</v>
      </c>
      <c r="DJ37" s="20" t="n">
        <f aca="false">IF(AND(Slot10_On=1,Slot10_Age&gt;D37),1,0)</f>
        <v>0</v>
      </c>
      <c r="DK37" s="20" t="n">
        <f aca="false">RW36</f>
        <v>0</v>
      </c>
      <c r="DL37" s="20" t="n">
        <f aca="false">DI37*MIN(Slot10_Cost,DK37)</f>
        <v>0</v>
      </c>
      <c r="DM37" s="20" t="n">
        <f aca="false">DI37*Slot10_SpendLike*MIN(Slot10_Cost-DL37,DE37)</f>
        <v>0</v>
      </c>
      <c r="DN37" s="20" t="n">
        <f aca="false">DL37+DM37</f>
        <v>0</v>
      </c>
      <c r="DO37" s="20" t="n">
        <f aca="false">DE37-DM37+DI37*IF(Slot10_SpendLike=1,DK37-DL37,IF(Slot10_PotFree=1,DK37,0))</f>
        <v>200563.264242081</v>
      </c>
      <c r="DP37" s="20" t="n">
        <f aca="false">DF37+DI37*Slot10_BufPot*DK37</f>
        <v>14885.378204737</v>
      </c>
      <c r="DQ37" s="20" t="n">
        <f aca="false">IF(AND(DI37=1,Slot10_IsMfree=1),IF(DN37&gt;=Slot10_Cost-1,0,MAX(0,DG37-DN37)),DG37)</f>
        <v>0</v>
      </c>
      <c r="DR37" s="20" t="n">
        <f aca="false">DI37*(Slot10_Cost-DN37)</f>
        <v>0</v>
      </c>
      <c r="DS37" s="20" t="n">
        <f aca="false">IF(AND(Slot11_On=1,D37=Slot11_Age),1,0)</f>
        <v>0</v>
      </c>
      <c r="DT37" s="20" t="n">
        <f aca="false">IF(AND(Slot11_On=1,Slot11_Age&gt;D37),1,0)</f>
        <v>0</v>
      </c>
      <c r="DU37" s="20" t="n">
        <f aca="false">SA36</f>
        <v>0</v>
      </c>
      <c r="DV37" s="20" t="n">
        <f aca="false">DS37*MIN(Slot11_Cost,DU37)</f>
        <v>0</v>
      </c>
      <c r="DW37" s="20" t="n">
        <f aca="false">DS37*Slot11_SpendLike*MIN(Slot11_Cost-DV37,DO37)</f>
        <v>0</v>
      </c>
      <c r="DX37" s="20" t="n">
        <f aca="false">DV37+DW37</f>
        <v>0</v>
      </c>
      <c r="DY37" s="20" t="n">
        <f aca="false">DO37-DW37+DS37*IF(Slot11_SpendLike=1,DU37-DV37,IF(Slot11_PotFree=1,DU37,0))</f>
        <v>200563.264242081</v>
      </c>
      <c r="DZ37" s="20" t="n">
        <f aca="false">DP37+DS37*Slot11_BufPot*DU37</f>
        <v>14885.378204737</v>
      </c>
      <c r="EA37" s="20" t="n">
        <f aca="false">IF(AND(DS37=1,Slot11_IsMfree=1),IF(DX37&gt;=Slot11_Cost-1,0,MAX(0,DQ37-DX37)),DQ37)</f>
        <v>0</v>
      </c>
      <c r="EB37" s="20" t="n">
        <f aca="false">DS37*(Slot11_Cost-DX37)</f>
        <v>0</v>
      </c>
      <c r="EC37" s="20" t="n">
        <f aca="false">IF(AND(Slot12_On=1,D37=Slot12_Age),1,0)</f>
        <v>0</v>
      </c>
      <c r="ED37" s="20" t="n">
        <f aca="false">IF(AND(Slot12_On=1,Slot12_Age&gt;D37),1,0)</f>
        <v>0</v>
      </c>
      <c r="EE37" s="20" t="n">
        <f aca="false">SE36</f>
        <v>0</v>
      </c>
      <c r="EF37" s="20" t="n">
        <f aca="false">EC37*MIN(Slot12_Cost,EE37)</f>
        <v>0</v>
      </c>
      <c r="EG37" s="20" t="n">
        <f aca="false">EC37*Slot12_SpendLike*MIN(Slot12_Cost-EF37,DY37)</f>
        <v>0</v>
      </c>
      <c r="EH37" s="20" t="n">
        <f aca="false">EF37+EG37</f>
        <v>0</v>
      </c>
      <c r="EI37" s="20" t="n">
        <f aca="false">DY37-EG37+EC37*IF(Slot12_SpendLike=1,EE37-EF37,IF(Slot12_PotFree=1,EE37,0))</f>
        <v>200563.264242081</v>
      </c>
      <c r="EJ37" s="20" t="n">
        <f aca="false">DZ37+EC37*Slot12_BufPot*EE37</f>
        <v>14885.378204737</v>
      </c>
      <c r="EK37" s="20" t="n">
        <f aca="false">IF(AND(EC37=1,Slot12_IsMfree=1),IF(EH37&gt;=Slot12_Cost-1,0,MAX(0,EA37-EH37)),EA37)</f>
        <v>0</v>
      </c>
      <c r="EL37" s="20" t="n">
        <f aca="false">EC37*(Slot12_Cost-EH37)</f>
        <v>0</v>
      </c>
      <c r="EM37" s="20" t="n">
        <f aca="false">IF(AND(Slot13_On=1,D37=Slot13_Age),1,0)</f>
        <v>0</v>
      </c>
      <c r="EN37" s="20" t="n">
        <f aca="false">IF(AND(Slot13_On=1,Slot13_Age&gt;D37),1,0)</f>
        <v>0</v>
      </c>
      <c r="EO37" s="20" t="n">
        <f aca="false">SI36</f>
        <v>0</v>
      </c>
      <c r="EP37" s="20" t="n">
        <f aca="false">EM37*MIN(Slot13_Cost,EO37)</f>
        <v>0</v>
      </c>
      <c r="EQ37" s="20" t="n">
        <f aca="false">EM37*Slot13_SpendLike*MIN(Slot13_Cost-EP37,EI37)</f>
        <v>0</v>
      </c>
      <c r="ER37" s="20" t="n">
        <f aca="false">EP37+EQ37</f>
        <v>0</v>
      </c>
      <c r="ES37" s="20" t="n">
        <f aca="false">EI37-EQ37+EM37*IF(Slot13_SpendLike=1,EO37-EP37,IF(Slot13_PotFree=1,EO37,0))</f>
        <v>200563.264242081</v>
      </c>
      <c r="ET37" s="20" t="n">
        <f aca="false">EJ37+EM37*Slot13_BufPot*EO37</f>
        <v>14885.378204737</v>
      </c>
      <c r="EU37" s="20" t="n">
        <f aca="false">IF(AND(EM37=1,Slot13_IsMfree=1),IF(ER37&gt;=Slot13_Cost-1,0,MAX(0,EK37-ER37)),EK37)</f>
        <v>0</v>
      </c>
      <c r="EV37" s="20" t="n">
        <f aca="false">EM37*(Slot13_Cost-ER37)</f>
        <v>0</v>
      </c>
      <c r="EW37" s="20" t="n">
        <f aca="false">IF(AND(Slot14_On=1,D37=Slot14_Age),1,0)</f>
        <v>0</v>
      </c>
      <c r="EX37" s="20" t="n">
        <f aca="false">IF(AND(Slot14_On=1,Slot14_Age&gt;D37),1,0)</f>
        <v>0</v>
      </c>
      <c r="EY37" s="20" t="n">
        <f aca="false">SM36</f>
        <v>0</v>
      </c>
      <c r="EZ37" s="20" t="n">
        <f aca="false">EW37*MIN(Slot14_Cost,EY37)</f>
        <v>0</v>
      </c>
      <c r="FA37" s="20" t="n">
        <f aca="false">EW37*Slot14_SpendLike*MIN(Slot14_Cost-EZ37,ES37)</f>
        <v>0</v>
      </c>
      <c r="FB37" s="20" t="n">
        <f aca="false">EZ37+FA37</f>
        <v>0</v>
      </c>
      <c r="FC37" s="20" t="n">
        <f aca="false">ES37-FA37+EW37*IF(Slot14_SpendLike=1,EY37-EZ37,IF(Slot14_PotFree=1,EY37,0))</f>
        <v>200563.264242081</v>
      </c>
      <c r="FD37" s="20" t="n">
        <f aca="false">ET37+EW37*Slot14_BufPot*EY37</f>
        <v>14885.378204737</v>
      </c>
      <c r="FE37" s="20" t="n">
        <f aca="false">IF(AND(EW37=1,Slot14_IsMfree=1),IF(FB37&gt;=Slot14_Cost-1,0,MAX(0,EU37-FB37)),EU37)</f>
        <v>0</v>
      </c>
      <c r="FF37" s="20" t="n">
        <f aca="false">EW37*(Slot14_Cost-FB37)</f>
        <v>0</v>
      </c>
      <c r="FG37" s="20" t="n">
        <f aca="false">IF(AND(Slot15_On=1,D37=Slot15_Age),1,0)</f>
        <v>0</v>
      </c>
      <c r="FH37" s="20" t="n">
        <f aca="false">IF(AND(Slot15_On=1,Slot15_Age&gt;D37),1,0)</f>
        <v>0</v>
      </c>
      <c r="FI37" s="20" t="n">
        <f aca="false">SQ36</f>
        <v>0</v>
      </c>
      <c r="FJ37" s="20" t="n">
        <f aca="false">FG37*MIN(Slot15_Cost,FI37)</f>
        <v>0</v>
      </c>
      <c r="FK37" s="20" t="n">
        <f aca="false">FG37*Slot15_SpendLike*MIN(Slot15_Cost-FJ37,FC37)</f>
        <v>0</v>
      </c>
      <c r="FL37" s="20" t="n">
        <f aca="false">FJ37+FK37</f>
        <v>0</v>
      </c>
      <c r="FM37" s="20" t="n">
        <f aca="false">FC37-FK37+FG37*IF(Slot15_SpendLike=1,FI37-FJ37,IF(Slot15_PotFree=1,FI37,0))</f>
        <v>200563.264242081</v>
      </c>
      <c r="FN37" s="20" t="n">
        <f aca="false">FD37+FG37*Slot15_BufPot*FI37</f>
        <v>14885.378204737</v>
      </c>
      <c r="FO37" s="20" t="n">
        <f aca="false">IF(AND(FG37=1,Slot15_IsMfree=1),IF(FL37&gt;=Slot15_Cost-1,0,MAX(0,FE37-FL37)),FE37)</f>
        <v>0</v>
      </c>
      <c r="FP37" s="20" t="n">
        <f aca="false">FG37*(Slot15_Cost-FL37)</f>
        <v>0</v>
      </c>
      <c r="FQ37" s="20" t="n">
        <f aca="false">IF(AND(Slot16_On=1,D37=Slot16_Age),1,0)</f>
        <v>0</v>
      </c>
      <c r="FR37" s="20" t="n">
        <f aca="false">IF(AND(Slot16_On=1,Slot16_Age&gt;D37),1,0)</f>
        <v>0</v>
      </c>
      <c r="FS37" s="20" t="n">
        <f aca="false">SU36</f>
        <v>0</v>
      </c>
      <c r="FT37" s="20" t="n">
        <f aca="false">FQ37*MIN(Slot16_Cost,FS37)</f>
        <v>0</v>
      </c>
      <c r="FU37" s="20" t="n">
        <f aca="false">FQ37*Slot16_SpendLike*MIN(Slot16_Cost-FT37,FM37)</f>
        <v>0</v>
      </c>
      <c r="FV37" s="20" t="n">
        <f aca="false">FT37+FU37</f>
        <v>0</v>
      </c>
      <c r="FW37" s="20" t="n">
        <f aca="false">FM37-FU37+FQ37*IF(Slot16_SpendLike=1,FS37-FT37,IF(Slot16_PotFree=1,FS37,0))</f>
        <v>200563.264242081</v>
      </c>
      <c r="FX37" s="20" t="n">
        <f aca="false">FN37+FQ37*Slot16_BufPot*FS37</f>
        <v>14885.378204737</v>
      </c>
      <c r="FY37" s="20" t="n">
        <f aca="false">IF(AND(FQ37=1,Slot16_IsMfree=1),IF(FV37&gt;=Slot16_Cost-1,0,MAX(0,FO37-FV37)),FO37)</f>
        <v>0</v>
      </c>
      <c r="FZ37" s="20" t="n">
        <f aca="false">FQ37*(Slot16_Cost-FV37)</f>
        <v>0</v>
      </c>
      <c r="GA37" s="20" t="n">
        <f aca="false">IF(AND(Slot17_On=1,D37=Slot17_Age),1,0)</f>
        <v>0</v>
      </c>
      <c r="GB37" s="20" t="n">
        <f aca="false">IF(AND(Slot17_On=1,Slot17_Age&gt;D37),1,0)</f>
        <v>0</v>
      </c>
      <c r="GC37" s="20" t="n">
        <f aca="false">SY36</f>
        <v>0</v>
      </c>
      <c r="GD37" s="20" t="n">
        <f aca="false">GA37*MIN(Slot17_Cost,GC37)</f>
        <v>0</v>
      </c>
      <c r="GE37" s="20" t="n">
        <f aca="false">GA37*Slot17_SpendLike*MIN(Slot17_Cost-GD37,FW37)</f>
        <v>0</v>
      </c>
      <c r="GF37" s="20" t="n">
        <f aca="false">GD37+GE37</f>
        <v>0</v>
      </c>
      <c r="GG37" s="20" t="n">
        <f aca="false">FW37-GE37+GA37*IF(Slot17_SpendLike=1,GC37-GD37,IF(Slot17_PotFree=1,GC37,0))</f>
        <v>200563.264242081</v>
      </c>
      <c r="GH37" s="20" t="n">
        <f aca="false">FX37+GA37*Slot17_BufPot*GC37</f>
        <v>14885.378204737</v>
      </c>
      <c r="GI37" s="20" t="n">
        <f aca="false">IF(AND(GA37=1,Slot17_IsMfree=1),IF(GF37&gt;=Slot17_Cost-1,0,MAX(0,FY37-GF37)),FY37)</f>
        <v>0</v>
      </c>
      <c r="GJ37" s="20" t="n">
        <f aca="false">GA37*(Slot17_Cost-GF37)</f>
        <v>0</v>
      </c>
      <c r="GK37" s="20" t="n">
        <f aca="false">IF(AND(Slot18_On=1,D37=Slot18_Age),1,0)</f>
        <v>0</v>
      </c>
      <c r="GL37" s="20" t="n">
        <f aca="false">IF(AND(Slot18_On=1,Slot18_Age&gt;D37),1,0)</f>
        <v>0</v>
      </c>
      <c r="GM37" s="20" t="n">
        <f aca="false">TC36</f>
        <v>0</v>
      </c>
      <c r="GN37" s="20" t="n">
        <f aca="false">GK37*MIN(Slot18_Cost,GM37)</f>
        <v>0</v>
      </c>
      <c r="GO37" s="20" t="n">
        <f aca="false">GK37*Slot18_SpendLike*MIN(Slot18_Cost-GN37,GG37)</f>
        <v>0</v>
      </c>
      <c r="GP37" s="20" t="n">
        <f aca="false">GN37+GO37</f>
        <v>0</v>
      </c>
      <c r="GQ37" s="20" t="n">
        <f aca="false">GG37-GO37+GK37*IF(Slot18_SpendLike=1,GM37-GN37,IF(Slot18_PotFree=1,GM37,0))</f>
        <v>200563.264242081</v>
      </c>
      <c r="GR37" s="20" t="n">
        <f aca="false">GH37+GK37*Slot18_BufPot*GM37</f>
        <v>14885.378204737</v>
      </c>
      <c r="GS37" s="20" t="n">
        <f aca="false">IF(AND(GK37=1,Slot18_IsMfree=1),IF(GP37&gt;=Slot18_Cost-1,0,MAX(0,GI37-GP37)),GI37)</f>
        <v>0</v>
      </c>
      <c r="GT37" s="20" t="n">
        <f aca="false">GK37*(Slot18_Cost-GP37)</f>
        <v>0</v>
      </c>
      <c r="GU37" s="20" t="n">
        <f aca="false">IF(AND(Slot19_On=1,D37=Slot19_Age),1,0)</f>
        <v>0</v>
      </c>
      <c r="GV37" s="20" t="n">
        <f aca="false">IF(AND(Slot19_On=1,Slot19_Age&gt;D37),1,0)</f>
        <v>0</v>
      </c>
      <c r="GW37" s="20" t="n">
        <f aca="false">TG36</f>
        <v>0</v>
      </c>
      <c r="GX37" s="20" t="n">
        <f aca="false">GU37*MIN(Slot19_Cost,GW37)</f>
        <v>0</v>
      </c>
      <c r="GY37" s="20" t="n">
        <f aca="false">GU37*Slot19_SpendLike*MIN(Slot19_Cost-GX37,GQ37)</f>
        <v>0</v>
      </c>
      <c r="GZ37" s="20" t="n">
        <f aca="false">GX37+GY37</f>
        <v>0</v>
      </c>
      <c r="HA37" s="20" t="n">
        <f aca="false">GQ37-GY37+GU37*IF(Slot19_SpendLike=1,GW37-GX37,IF(Slot19_PotFree=1,GW37,0))</f>
        <v>200563.264242081</v>
      </c>
      <c r="HB37" s="20" t="n">
        <f aca="false">GR37+GU37*Slot19_BufPot*GW37</f>
        <v>14885.378204737</v>
      </c>
      <c r="HC37" s="20" t="n">
        <f aca="false">IF(AND(GU37=1,Slot19_IsMfree=1),IF(GZ37&gt;=Slot19_Cost-1,0,MAX(0,GS37-GZ37)),GS37)</f>
        <v>0</v>
      </c>
      <c r="HD37" s="20" t="n">
        <f aca="false">GU37*(Slot19_Cost-GZ37)</f>
        <v>0</v>
      </c>
      <c r="HE37" s="20" t="n">
        <f aca="false">IF(AND(Slot20_On=1,D37=Slot20_Age),1,0)</f>
        <v>0</v>
      </c>
      <c r="HF37" s="20" t="n">
        <f aca="false">IF(AND(Slot20_On=1,Slot20_Age&gt;D37),1,0)</f>
        <v>0</v>
      </c>
      <c r="HG37" s="20" t="n">
        <f aca="false">TK36</f>
        <v>0</v>
      </c>
      <c r="HH37" s="20" t="n">
        <f aca="false">HE37*MIN(Slot20_Cost,HG37)</f>
        <v>0</v>
      </c>
      <c r="HI37" s="20" t="n">
        <f aca="false">HE37*Slot20_SpendLike*MIN(Slot20_Cost-HH37,HA37)</f>
        <v>0</v>
      </c>
      <c r="HJ37" s="20" t="n">
        <f aca="false">HH37+HI37</f>
        <v>0</v>
      </c>
      <c r="HK37" s="20" t="n">
        <f aca="false">HA37-HI37+HE37*IF(Slot20_SpendLike=1,HG37-HH37,IF(Slot20_PotFree=1,HG37,0))</f>
        <v>200563.264242081</v>
      </c>
      <c r="HL37" s="20" t="n">
        <f aca="false">HB37+HE37*Slot20_BufPot*HG37</f>
        <v>14885.378204737</v>
      </c>
      <c r="HM37" s="20" t="n">
        <f aca="false">IF(AND(HE37=1,Slot20_IsMfree=1),IF(HJ37&gt;=Slot20_Cost-1,0,MAX(0,HC37-HJ37)),HC37)</f>
        <v>0</v>
      </c>
      <c r="HN37" s="20" t="n">
        <f aca="false">HE37*(Slot20_Cost-HJ37)</f>
        <v>0</v>
      </c>
      <c r="HO37" s="20" t="n">
        <f aca="false">V37*Slot1_SpendLike*AA37+AG37*Slot2_SpendLike*AL37+AQ37*Slot3_SpendLike*AV37+BA37*Slot4_SpendLike*BF37+BK37*Slot5_SpendLike*BP37+BU37*Slot6_SpendLike*BZ37+CE37*Slot7_SpendLike*CJ37+CO37*Slot8_SpendLike*CT37+CY37*Slot9_SpendLike*DD37+DI37*Slot10_SpendLike*DN37+DS37*Slot11_SpendLike*DX37+EC37*Slot12_SpendLike*EH37+EM37*Slot13_SpendLike*ER37+EW37*Slot14_SpendLike*FB37+FG37*Slot15_SpendLike*FL37+FQ37*Slot16_SpendLike*FV37+GA37*Slot17_SpendLike*GF37+GK37*Slot18_SpendLike*GP37+GU37*Slot19_SpendLike*GZ37+HE37*Slot20_SpendLike*HJ37</f>
        <v>0</v>
      </c>
      <c r="HP37" s="20" t="n">
        <f aca="false">AE37+AP37+AZ37+BJ37+BT37+CD37+CN37+CX37+DH37+DR37+EB37+EL37+EV37+FF37+FP37+FZ37+GJ37+GT37+HD37+HN37</f>
        <v>0</v>
      </c>
      <c r="HQ37" s="20" t="n">
        <f aca="false">V37*Slot1_Cost+AG37*Slot2_Cost+AQ37*Slot3_Cost+BA37*Slot4_Cost+BK37*Slot5_Cost+BU37*Slot6_Cost+CE37*Slot7_Cost+CO37*Slot8_Cost+CY37*Slot9_Cost+DI37*Slot10_Cost+DS37*Slot11_Cost+EC37*Slot12_Cost+EM37*Slot13_Cost+EW37*Slot14_Cost+FG37*Slot15_Cost+FQ37*Slot16_Cost+GA37*Slot17_Cost+GK37*Slot18_Cost+GU37*Slot19_Cost+HE37*Slot20_Cost</f>
        <v>0</v>
      </c>
      <c r="HR37" s="20" t="n">
        <f aca="false">HM37</f>
        <v>0</v>
      </c>
      <c r="HS37" s="20" t="n">
        <f aca="false">H37-I37-S37</f>
        <v>-19379.8615082084</v>
      </c>
      <c r="HT37" s="20" t="n">
        <f aca="false">IF(B37=0,IF(AND(Has_q6=1,In_q6=4),PR_ShareVaries*(MAX(0,HS37)/12),MIN(IF(Has_q6=1,CHOOSE(In_q6+1,PR_SaveB1,PR_SaveB2,PR_SaveB3,PR_SaveB4,0),AS_NoAnswer),AS_SaveShare*(MAX(0,HS37)/12))),HT36)</f>
        <v>67.3316893520437</v>
      </c>
      <c r="HU37" s="20" t="n">
        <f aca="false">IF(HS37&gt;=0,1,0)</f>
        <v>0</v>
      </c>
      <c r="HV37" s="20" t="n">
        <f aca="false">MAX(0,HS37/12/F37)</f>
        <v>0</v>
      </c>
      <c r="HW37" s="20" t="n">
        <f aca="false">IF(AND(Has_q6=1,In_q6=4),PR_ShareVaries*(HV37),MIN(IF(Has_q6=1,CHOOSE(In_q6+1,PR_SaveB1,PR_SaveB2,PR_SaveB3,PR_SaveB4,0),AS_NoAnswer),AS_SaveShare*(HV37)))</f>
        <v>0</v>
      </c>
      <c r="HX37" s="20" t="n">
        <f aca="false">IF(Has_saveM=1,IF(In_saveUp="Yes",1,IF(In_saveUp="No",0,IF(In_saveM&gt;=HT37-0.5,1,0))),0)</f>
        <v>0</v>
      </c>
      <c r="HY37" s="20" t="n">
        <f aca="false">IF(Has_saveM=1,MIN(HV37,IF(HX37=1,MAX(In_saveM,HW37),MIN(In_saveM,HW37))),HW37)</f>
        <v>0</v>
      </c>
      <c r="HZ37" s="20" t="n">
        <f aca="false">IF(G37=1,HY37*12*F37,0)</f>
        <v>0</v>
      </c>
      <c r="IA37" s="20" t="n">
        <f aca="false">MAX(0,HZ37+IF(AND(WI_Retire=0,WI_M&lt;0,G37=1),WI_M*12*F37,0))</f>
        <v>0</v>
      </c>
      <c r="IB37" s="20" t="n">
        <f aca="false">Slot1_IsWG*W37+Slot2_IsWG*AH37+Slot3_IsWG*AR37+Slot4_IsWG*BB37+Slot5_IsWG*BL37+Slot6_IsWG*BV37+Slot7_IsWG*CF37+Slot8_IsWG*CP37+Slot9_IsWG*CZ37+Slot10_IsWG*DJ37+Slot11_IsWG*DT37+Slot12_IsWG*ED37+Slot13_IsWG*EN37+Slot14_IsWG*EX37+Slot15_IsWG*FH37+Slot16_IsWG*FR37+Slot17_IsWG*GB37+Slot18_IsWG*GL37+Slot19_IsWG*GV37+Slot20_IsWG*HF37</f>
        <v>0</v>
      </c>
      <c r="IC37" s="20" t="n">
        <f aca="false">IF(AND(WI_Retire=0,WI_M&gt;0,G37=1,IB37&gt;=1),WI_M*12*F37,0)</f>
        <v>0</v>
      </c>
      <c r="ID37" s="20" t="n">
        <f aca="false">IF(HU37=1,MIN(IA37,HS37),0)</f>
        <v>0</v>
      </c>
      <c r="IE37" s="20" t="n">
        <f aca="false">IF(HU37=1,MIN(IC37,HS37-ID37),0)</f>
        <v>0</v>
      </c>
      <c r="IF37" s="20" t="n">
        <f aca="false">IF(W37=1,IF(ABS((1+AS_Wage)/(1+Slot1_Rate)-1)&lt;0.000000000001,(Slot1_Age-D37)*(1+Slot1_Rate)^(Slot1_Age-D37),(1+Slot1_Rate)^(Slot1_Age-D37)*(1-((1+AS_Wage)/(1+Slot1_Rate))^(Slot1_Age-D37))/(1-(1+AS_Wage)/(1+Slot1_Rate))),1)</f>
        <v>1</v>
      </c>
      <c r="IG37" s="20" t="n">
        <f aca="false">IF(AND(HU37=1,IE37&gt;0,Slot1_IsWG=1,W37=1),MAX(0,(Slot1_Cost-X37*(1+Slot1_Rate)^(Slot1_Age-D37))/IF37),0)</f>
        <v>0</v>
      </c>
      <c r="IH37" s="20" t="n">
        <f aca="false">IF(AND(HU37=1,IE37&gt;0,Slot1_IsWG=1,W37=1),MIN(IE37,IG37),0)</f>
        <v>0</v>
      </c>
      <c r="II37" s="20" t="n">
        <f aca="false">X37+IH37</f>
        <v>0</v>
      </c>
      <c r="IJ37" s="20" t="n">
        <f aca="false">IF(W37=1,MAX(0,(Slot1_Cost-II37*(1+Slot1_Rate)^(Slot1_Age-D37))/IF37),0)</f>
        <v>0</v>
      </c>
      <c r="IK37" s="20" t="n">
        <f aca="false">IF(W37=1,MAX(0,(Slot1_Cost-X37*(1+Slot1_Rate)^(Slot1_Age-D37))/IF37),0)</f>
        <v>0</v>
      </c>
      <c r="IL37" s="20" t="n">
        <f aca="false">IF(AND(HU37=1,W37=1),MIN(ID37,IJ37),0)</f>
        <v>0</v>
      </c>
      <c r="IM37" s="20" t="n">
        <f aca="false">ID37-IL37</f>
        <v>0</v>
      </c>
      <c r="IN37" s="20" t="n">
        <f aca="false">IF(AH37=1,IF(ABS((1+AS_Wage)/(1+Slot2_Rate)-1)&lt;0.000000000001,(Slot2_Age-D37)*(1+Slot2_Rate)^(Slot2_Age-D37),(1+Slot2_Rate)^(Slot2_Age-D37)*(1-((1+AS_Wage)/(1+Slot2_Rate))^(Slot2_Age-D37))/(1-(1+AS_Wage)/(1+Slot2_Rate))),1)</f>
        <v>1</v>
      </c>
      <c r="IO37" s="20" t="n">
        <f aca="false">IF(AND(HU37=1,IE37&gt;0,Slot2_IsWG=1,AH37=1),MAX(0,(Slot2_Cost-AI37*(1+Slot2_Rate)^(Slot2_Age-D37))/IN37),0)</f>
        <v>0</v>
      </c>
      <c r="IP37" s="20" t="n">
        <f aca="false">IF(AND(HU37=1,IE37&gt;0,Slot2_IsWG=1,AH37=1),MIN(IE37,IO37),0)</f>
        <v>0</v>
      </c>
      <c r="IQ37" s="20" t="n">
        <f aca="false">AI37+IP37</f>
        <v>0</v>
      </c>
      <c r="IR37" s="20" t="n">
        <f aca="false">IF(AH37=1,MAX(0,(Slot2_Cost-IQ37*(1+Slot2_Rate)^(Slot2_Age-D37))/IN37),0)</f>
        <v>0</v>
      </c>
      <c r="IS37" s="20" t="n">
        <f aca="false">IF(AH37=1,MAX(0,(Slot2_Cost-AI37*(1+Slot2_Rate)^(Slot2_Age-D37))/IN37),0)</f>
        <v>0</v>
      </c>
      <c r="IT37" s="20" t="n">
        <f aca="false">IF(AND(HU37=1,AH37=1),MIN(IM37,IR37),0)</f>
        <v>0</v>
      </c>
      <c r="IU37" s="20" t="n">
        <f aca="false">IM37-IT37</f>
        <v>0</v>
      </c>
      <c r="IV37" s="20" t="n">
        <f aca="false">IF(AR37=1,IF(ABS((1+AS_Wage)/(1+Slot3_Rate)-1)&lt;0.000000000001,(Slot3_Age-D37)*(1+Slot3_Rate)^(Slot3_Age-D37),(1+Slot3_Rate)^(Slot3_Age-D37)*(1-((1+AS_Wage)/(1+Slot3_Rate))^(Slot3_Age-D37))/(1-(1+AS_Wage)/(1+Slot3_Rate))),1)</f>
        <v>1</v>
      </c>
      <c r="IW37" s="20" t="n">
        <f aca="false">IF(AND(HU37=1,IE37&gt;0,Slot3_IsWG=1,AR37=1),MAX(0,(Slot3_Cost-AS37*(1+Slot3_Rate)^(Slot3_Age-D37))/IV37),0)</f>
        <v>0</v>
      </c>
      <c r="IX37" s="20" t="n">
        <f aca="false">IF(AND(HU37=1,IE37&gt;0,Slot3_IsWG=1,AR37=1),MIN(IE37,IW37),0)</f>
        <v>0</v>
      </c>
      <c r="IY37" s="20" t="n">
        <f aca="false">AS37+IX37</f>
        <v>0</v>
      </c>
      <c r="IZ37" s="20" t="n">
        <f aca="false">IF(AR37=1,MAX(0,(Slot3_Cost-IY37*(1+Slot3_Rate)^(Slot3_Age-D37))/IV37),0)</f>
        <v>0</v>
      </c>
      <c r="JA37" s="20" t="n">
        <f aca="false">IF(AR37=1,MAX(0,(Slot3_Cost-AS37*(1+Slot3_Rate)^(Slot3_Age-D37))/IV37),0)</f>
        <v>0</v>
      </c>
      <c r="JB37" s="20" t="n">
        <f aca="false">IF(AND(HU37=1,AR37=1),MIN(IU37,IZ37),0)</f>
        <v>0</v>
      </c>
      <c r="JC37" s="20" t="n">
        <f aca="false">IU37-JB37</f>
        <v>0</v>
      </c>
      <c r="JD37" s="20" t="n">
        <f aca="false">IF(BB37=1,IF(ABS((1+AS_Wage)/(1+Slot4_Rate)-1)&lt;0.000000000001,(Slot4_Age-D37)*(1+Slot4_Rate)^(Slot4_Age-D37),(1+Slot4_Rate)^(Slot4_Age-D37)*(1-((1+AS_Wage)/(1+Slot4_Rate))^(Slot4_Age-D37))/(1-(1+AS_Wage)/(1+Slot4_Rate))),1)</f>
        <v>1</v>
      </c>
      <c r="JE37" s="20" t="n">
        <f aca="false">IF(AND(HU37=1,IE37&gt;0,Slot4_IsWG=1,BB37=1),MAX(0,(Slot4_Cost-BC37*(1+Slot4_Rate)^(Slot4_Age-D37))/JD37),0)</f>
        <v>0</v>
      </c>
      <c r="JF37" s="20" t="n">
        <f aca="false">IF(AND(HU37=1,IE37&gt;0,Slot4_IsWG=1,BB37=1),MIN(IE37,JE37),0)</f>
        <v>0</v>
      </c>
      <c r="JG37" s="20" t="n">
        <f aca="false">BC37+JF37</f>
        <v>0</v>
      </c>
      <c r="JH37" s="20" t="n">
        <f aca="false">IF(BB37=1,MAX(0,(Slot4_Cost-JG37*(1+Slot4_Rate)^(Slot4_Age-D37))/JD37),0)</f>
        <v>0</v>
      </c>
      <c r="JI37" s="20" t="n">
        <f aca="false">IF(BB37=1,MAX(0,(Slot4_Cost-BC37*(1+Slot4_Rate)^(Slot4_Age-D37))/JD37),0)</f>
        <v>0</v>
      </c>
      <c r="JJ37" s="20" t="n">
        <f aca="false">IF(AND(HU37=1,BB37=1),MIN(JC37,JH37),0)</f>
        <v>0</v>
      </c>
      <c r="JK37" s="20" t="n">
        <f aca="false">JC37-JJ37</f>
        <v>0</v>
      </c>
      <c r="JL37" s="20" t="n">
        <f aca="false">IF(BL37=1,IF(ABS((1+AS_Wage)/(1+Slot5_Rate)-1)&lt;0.000000000001,(Slot5_Age-D37)*(1+Slot5_Rate)^(Slot5_Age-D37),(1+Slot5_Rate)^(Slot5_Age-D37)*(1-((1+AS_Wage)/(1+Slot5_Rate))^(Slot5_Age-D37))/(1-(1+AS_Wage)/(1+Slot5_Rate))),1)</f>
        <v>1</v>
      </c>
      <c r="JM37" s="20" t="n">
        <f aca="false">IF(AND(HU37=1,IE37&gt;0,Slot5_IsWG=1,BL37=1),MAX(0,(Slot5_Cost-BM37*(1+Slot5_Rate)^(Slot5_Age-D37))/JL37),0)</f>
        <v>0</v>
      </c>
      <c r="JN37" s="20" t="n">
        <f aca="false">IF(AND(HU37=1,IE37&gt;0,Slot5_IsWG=1,BL37=1),MIN(IE37,JM37),0)</f>
        <v>0</v>
      </c>
      <c r="JO37" s="20" t="n">
        <f aca="false">BM37+JN37</f>
        <v>0</v>
      </c>
      <c r="JP37" s="20" t="n">
        <f aca="false">IF(BL37=1,MAX(0,(Slot5_Cost-JO37*(1+Slot5_Rate)^(Slot5_Age-D37))/JL37),0)</f>
        <v>0</v>
      </c>
      <c r="JQ37" s="20" t="n">
        <f aca="false">IF(BL37=1,MAX(0,(Slot5_Cost-BM37*(1+Slot5_Rate)^(Slot5_Age-D37))/JL37),0)</f>
        <v>0</v>
      </c>
      <c r="JR37" s="20" t="n">
        <f aca="false">IF(AND(HU37=1,BL37=1),MIN(JK37,JP37),0)</f>
        <v>0</v>
      </c>
      <c r="JS37" s="20" t="n">
        <f aca="false">JK37-JR37</f>
        <v>0</v>
      </c>
      <c r="JT37" s="20" t="n">
        <f aca="false">IF(BV37=1,IF(ABS((1+AS_Wage)/(1+Slot6_Rate)-1)&lt;0.000000000001,(Slot6_Age-D37)*(1+Slot6_Rate)^(Slot6_Age-D37),(1+Slot6_Rate)^(Slot6_Age-D37)*(1-((1+AS_Wage)/(1+Slot6_Rate))^(Slot6_Age-D37))/(1-(1+AS_Wage)/(1+Slot6_Rate))),1)</f>
        <v>1</v>
      </c>
      <c r="JU37" s="20" t="n">
        <f aca="false">IF(AND(HU37=1,IE37&gt;0,Slot6_IsWG=1,BV37=1),MAX(0,(Slot6_Cost-BW37*(1+Slot6_Rate)^(Slot6_Age-D37))/JT37),0)</f>
        <v>0</v>
      </c>
      <c r="JV37" s="20" t="n">
        <f aca="false">IF(AND(HU37=1,IE37&gt;0,Slot6_IsWG=1,BV37=1),MIN(IE37,JU37),0)</f>
        <v>0</v>
      </c>
      <c r="JW37" s="20" t="n">
        <f aca="false">BW37+JV37</f>
        <v>0</v>
      </c>
      <c r="JX37" s="20" t="n">
        <f aca="false">IF(BV37=1,MAX(0,(Slot6_Cost-JW37*(1+Slot6_Rate)^(Slot6_Age-D37))/JT37),0)</f>
        <v>0</v>
      </c>
      <c r="JY37" s="20" t="n">
        <f aca="false">IF(BV37=1,MAX(0,(Slot6_Cost-BW37*(1+Slot6_Rate)^(Slot6_Age-D37))/JT37),0)</f>
        <v>0</v>
      </c>
      <c r="JZ37" s="20" t="n">
        <f aca="false">IF(AND(HU37=1,BV37=1),MIN(JS37,JX37),0)</f>
        <v>0</v>
      </c>
      <c r="KA37" s="20" t="n">
        <f aca="false">JS37-JZ37</f>
        <v>0</v>
      </c>
      <c r="KB37" s="20" t="n">
        <f aca="false">IF(CF37=1,IF(ABS((1+AS_Wage)/(1+Slot7_Rate)-1)&lt;0.000000000001,(Slot7_Age-D37)*(1+Slot7_Rate)^(Slot7_Age-D37),(1+Slot7_Rate)^(Slot7_Age-D37)*(1-((1+AS_Wage)/(1+Slot7_Rate))^(Slot7_Age-D37))/(1-(1+AS_Wage)/(1+Slot7_Rate))),1)</f>
        <v>1</v>
      </c>
      <c r="KC37" s="20" t="n">
        <f aca="false">IF(AND(HU37=1,IE37&gt;0,Slot7_IsWG=1,CF37=1),MAX(0,(Slot7_Cost-CG37*(1+Slot7_Rate)^(Slot7_Age-D37))/KB37),0)</f>
        <v>0</v>
      </c>
      <c r="KD37" s="20" t="n">
        <f aca="false">IF(AND(HU37=1,IE37&gt;0,Slot7_IsWG=1,CF37=1),MIN(IE37,KC37),0)</f>
        <v>0</v>
      </c>
      <c r="KE37" s="20" t="n">
        <f aca="false">CG37+KD37</f>
        <v>0</v>
      </c>
      <c r="KF37" s="20" t="n">
        <f aca="false">IF(CF37=1,MAX(0,(Slot7_Cost-KE37*(1+Slot7_Rate)^(Slot7_Age-D37))/KB37),0)</f>
        <v>0</v>
      </c>
      <c r="KG37" s="20" t="n">
        <f aca="false">IF(CF37=1,MAX(0,(Slot7_Cost-CG37*(1+Slot7_Rate)^(Slot7_Age-D37))/KB37),0)</f>
        <v>0</v>
      </c>
      <c r="KH37" s="20" t="n">
        <f aca="false">IF(AND(HU37=1,CF37=1),MIN(KA37,KF37),0)</f>
        <v>0</v>
      </c>
      <c r="KI37" s="20" t="n">
        <f aca="false">KA37-KH37</f>
        <v>0</v>
      </c>
      <c r="KJ37" s="20" t="n">
        <f aca="false">IF(CP37=1,IF(ABS((1+AS_Wage)/(1+Slot8_Rate)-1)&lt;0.000000000001,(Slot8_Age-D37)*(1+Slot8_Rate)^(Slot8_Age-D37),(1+Slot8_Rate)^(Slot8_Age-D37)*(1-((1+AS_Wage)/(1+Slot8_Rate))^(Slot8_Age-D37))/(1-(1+AS_Wage)/(1+Slot8_Rate))),1)</f>
        <v>1</v>
      </c>
      <c r="KK37" s="20" t="n">
        <f aca="false">IF(AND(HU37=1,IE37&gt;0,Slot8_IsWG=1,CP37=1),MAX(0,(Slot8_Cost-CQ37*(1+Slot8_Rate)^(Slot8_Age-D37))/KJ37),0)</f>
        <v>0</v>
      </c>
      <c r="KL37" s="20" t="n">
        <f aca="false">IF(AND(HU37=1,IE37&gt;0,Slot8_IsWG=1,CP37=1),MIN(IE37,KK37),0)</f>
        <v>0</v>
      </c>
      <c r="KM37" s="20" t="n">
        <f aca="false">CQ37+KL37</f>
        <v>0</v>
      </c>
      <c r="KN37" s="20" t="n">
        <f aca="false">IF(CP37=1,MAX(0,(Slot8_Cost-KM37*(1+Slot8_Rate)^(Slot8_Age-D37))/KJ37),0)</f>
        <v>0</v>
      </c>
      <c r="KO37" s="20" t="n">
        <f aca="false">IF(CP37=1,MAX(0,(Slot8_Cost-CQ37*(1+Slot8_Rate)^(Slot8_Age-D37))/KJ37),0)</f>
        <v>0</v>
      </c>
      <c r="KP37" s="20" t="n">
        <f aca="false">IF(AND(HU37=1,CP37=1),MIN(KI37,KN37),0)</f>
        <v>0</v>
      </c>
      <c r="KQ37" s="20" t="n">
        <f aca="false">KI37-KP37</f>
        <v>0</v>
      </c>
      <c r="KR37" s="20" t="n">
        <f aca="false">IF(CZ37=1,IF(ABS((1+AS_Wage)/(1+Slot9_Rate)-1)&lt;0.000000000001,(Slot9_Age-D37)*(1+Slot9_Rate)^(Slot9_Age-D37),(1+Slot9_Rate)^(Slot9_Age-D37)*(1-((1+AS_Wage)/(1+Slot9_Rate))^(Slot9_Age-D37))/(1-(1+AS_Wage)/(1+Slot9_Rate))),1)</f>
        <v>1</v>
      </c>
      <c r="KS37" s="20" t="n">
        <f aca="false">IF(AND(HU37=1,IE37&gt;0,Slot9_IsWG=1,CZ37=1),MAX(0,(Slot9_Cost-DA37*(1+Slot9_Rate)^(Slot9_Age-D37))/KR37),0)</f>
        <v>0</v>
      </c>
      <c r="KT37" s="20" t="n">
        <f aca="false">IF(AND(HU37=1,IE37&gt;0,Slot9_IsWG=1,CZ37=1),MIN(IE37,KS37),0)</f>
        <v>0</v>
      </c>
      <c r="KU37" s="20" t="n">
        <f aca="false">DA37+KT37</f>
        <v>0</v>
      </c>
      <c r="KV37" s="20" t="n">
        <f aca="false">IF(CZ37=1,MAX(0,(Slot9_Cost-KU37*(1+Slot9_Rate)^(Slot9_Age-D37))/KR37),0)</f>
        <v>0</v>
      </c>
      <c r="KW37" s="20" t="n">
        <f aca="false">IF(CZ37=1,MAX(0,(Slot9_Cost-DA37*(1+Slot9_Rate)^(Slot9_Age-D37))/KR37),0)</f>
        <v>0</v>
      </c>
      <c r="KX37" s="20" t="n">
        <f aca="false">IF(AND(HU37=1,CZ37=1),MIN(KQ37,KV37),0)</f>
        <v>0</v>
      </c>
      <c r="KY37" s="20" t="n">
        <f aca="false">KQ37-KX37</f>
        <v>0</v>
      </c>
      <c r="KZ37" s="20" t="n">
        <f aca="false">IF(DJ37=1,IF(ABS((1+AS_Wage)/(1+Slot10_Rate)-1)&lt;0.000000000001,(Slot10_Age-D37)*(1+Slot10_Rate)^(Slot10_Age-D37),(1+Slot10_Rate)^(Slot10_Age-D37)*(1-((1+AS_Wage)/(1+Slot10_Rate))^(Slot10_Age-D37))/(1-(1+AS_Wage)/(1+Slot10_Rate))),1)</f>
        <v>1</v>
      </c>
      <c r="LA37" s="20" t="n">
        <f aca="false">IF(AND(HU37=1,IE37&gt;0,Slot10_IsWG=1,DJ37=1),MAX(0,(Slot10_Cost-DK37*(1+Slot10_Rate)^(Slot10_Age-D37))/KZ37),0)</f>
        <v>0</v>
      </c>
      <c r="LB37" s="20" t="n">
        <f aca="false">IF(AND(HU37=1,IE37&gt;0,Slot10_IsWG=1,DJ37=1),MIN(IE37,LA37),0)</f>
        <v>0</v>
      </c>
      <c r="LC37" s="20" t="n">
        <f aca="false">DK37+LB37</f>
        <v>0</v>
      </c>
      <c r="LD37" s="20" t="n">
        <f aca="false">IF(DJ37=1,MAX(0,(Slot10_Cost-LC37*(1+Slot10_Rate)^(Slot10_Age-D37))/KZ37),0)</f>
        <v>0</v>
      </c>
      <c r="LE37" s="20" t="n">
        <f aca="false">IF(DJ37=1,MAX(0,(Slot10_Cost-DK37*(1+Slot10_Rate)^(Slot10_Age-D37))/KZ37),0)</f>
        <v>0</v>
      </c>
      <c r="LF37" s="20" t="n">
        <f aca="false">IF(AND(HU37=1,DJ37=1),MIN(KY37,LD37),0)</f>
        <v>0</v>
      </c>
      <c r="LG37" s="20" t="n">
        <f aca="false">KY37-LF37</f>
        <v>0</v>
      </c>
      <c r="LH37" s="20" t="n">
        <f aca="false">IF(DT37=1,IF(ABS((1+AS_Wage)/(1+Slot11_Rate)-1)&lt;0.000000000001,(Slot11_Age-D37)*(1+Slot11_Rate)^(Slot11_Age-D37),(1+Slot11_Rate)^(Slot11_Age-D37)*(1-((1+AS_Wage)/(1+Slot11_Rate))^(Slot11_Age-D37))/(1-(1+AS_Wage)/(1+Slot11_Rate))),1)</f>
        <v>1</v>
      </c>
      <c r="LI37" s="20" t="n">
        <f aca="false">IF(AND(HU37=1,IE37&gt;0,Slot11_IsWG=1,DT37=1),MAX(0,(Slot11_Cost-DU37*(1+Slot11_Rate)^(Slot11_Age-D37))/LH37),0)</f>
        <v>0</v>
      </c>
      <c r="LJ37" s="20" t="n">
        <f aca="false">IF(AND(HU37=1,IE37&gt;0,Slot11_IsWG=1,DT37=1),MIN(IE37,LI37),0)</f>
        <v>0</v>
      </c>
      <c r="LK37" s="20" t="n">
        <f aca="false">DU37+LJ37</f>
        <v>0</v>
      </c>
      <c r="LL37" s="20" t="n">
        <f aca="false">IF(DT37=1,MAX(0,(Slot11_Cost-LK37*(1+Slot11_Rate)^(Slot11_Age-D37))/LH37),0)</f>
        <v>0</v>
      </c>
      <c r="LM37" s="20" t="n">
        <f aca="false">IF(DT37=1,MAX(0,(Slot11_Cost-DU37*(1+Slot11_Rate)^(Slot11_Age-D37))/LH37),0)</f>
        <v>0</v>
      </c>
      <c r="LN37" s="20" t="n">
        <f aca="false">IF(AND(HU37=1,DT37=1),MIN(LG37,LL37),0)</f>
        <v>0</v>
      </c>
      <c r="LO37" s="20" t="n">
        <f aca="false">LG37-LN37</f>
        <v>0</v>
      </c>
      <c r="LP37" s="20" t="n">
        <f aca="false">IF(ED37=1,IF(ABS((1+AS_Wage)/(1+Slot12_Rate)-1)&lt;0.000000000001,(Slot12_Age-D37)*(1+Slot12_Rate)^(Slot12_Age-D37),(1+Slot12_Rate)^(Slot12_Age-D37)*(1-((1+AS_Wage)/(1+Slot12_Rate))^(Slot12_Age-D37))/(1-(1+AS_Wage)/(1+Slot12_Rate))),1)</f>
        <v>1</v>
      </c>
      <c r="LQ37" s="20" t="n">
        <f aca="false">IF(AND(HU37=1,IE37&gt;0,Slot12_IsWG=1,ED37=1),MAX(0,(Slot12_Cost-EE37*(1+Slot12_Rate)^(Slot12_Age-D37))/LP37),0)</f>
        <v>0</v>
      </c>
      <c r="LR37" s="20" t="n">
        <f aca="false">IF(AND(HU37=1,IE37&gt;0,Slot12_IsWG=1,ED37=1),MIN(IE37,LQ37),0)</f>
        <v>0</v>
      </c>
      <c r="LS37" s="20" t="n">
        <f aca="false">EE37+LR37</f>
        <v>0</v>
      </c>
      <c r="LT37" s="20" t="n">
        <f aca="false">IF(ED37=1,MAX(0,(Slot12_Cost-LS37*(1+Slot12_Rate)^(Slot12_Age-D37))/LP37),0)</f>
        <v>0</v>
      </c>
      <c r="LU37" s="20" t="n">
        <f aca="false">IF(ED37=1,MAX(0,(Slot12_Cost-EE37*(1+Slot12_Rate)^(Slot12_Age-D37))/LP37),0)</f>
        <v>0</v>
      </c>
      <c r="LV37" s="20" t="n">
        <f aca="false">IF(AND(HU37=1,ED37=1),MIN(LO37,LT37),0)</f>
        <v>0</v>
      </c>
      <c r="LW37" s="20" t="n">
        <f aca="false">LO37-LV37</f>
        <v>0</v>
      </c>
      <c r="LX37" s="20" t="n">
        <f aca="false">IF(EN37=1,IF(ABS((1+AS_Wage)/(1+Slot13_Rate)-1)&lt;0.000000000001,(Slot13_Age-D37)*(1+Slot13_Rate)^(Slot13_Age-D37),(1+Slot13_Rate)^(Slot13_Age-D37)*(1-((1+AS_Wage)/(1+Slot13_Rate))^(Slot13_Age-D37))/(1-(1+AS_Wage)/(1+Slot13_Rate))),1)</f>
        <v>1</v>
      </c>
      <c r="LY37" s="20" t="n">
        <f aca="false">IF(AND(HU37=1,IE37&gt;0,Slot13_IsWG=1,EN37=1),MAX(0,(Slot13_Cost-EO37*(1+Slot13_Rate)^(Slot13_Age-D37))/LX37),0)</f>
        <v>0</v>
      </c>
      <c r="LZ37" s="20" t="n">
        <f aca="false">IF(AND(HU37=1,IE37&gt;0,Slot13_IsWG=1,EN37=1),MIN(IE37,LY37),0)</f>
        <v>0</v>
      </c>
      <c r="MA37" s="20" t="n">
        <f aca="false">EO37+LZ37</f>
        <v>0</v>
      </c>
      <c r="MB37" s="20" t="n">
        <f aca="false">IF(EN37=1,MAX(0,(Slot13_Cost-MA37*(1+Slot13_Rate)^(Slot13_Age-D37))/LX37),0)</f>
        <v>0</v>
      </c>
      <c r="MC37" s="20" t="n">
        <f aca="false">IF(EN37=1,MAX(0,(Slot13_Cost-EO37*(1+Slot13_Rate)^(Slot13_Age-D37))/LX37),0)</f>
        <v>0</v>
      </c>
      <c r="MD37" s="20" t="n">
        <f aca="false">IF(AND(HU37=1,EN37=1),MIN(LW37,MB37),0)</f>
        <v>0</v>
      </c>
      <c r="ME37" s="20" t="n">
        <f aca="false">LW37-MD37</f>
        <v>0</v>
      </c>
      <c r="MF37" s="20" t="n">
        <f aca="false">IF(EX37=1,IF(ABS((1+AS_Wage)/(1+Slot14_Rate)-1)&lt;0.000000000001,(Slot14_Age-D37)*(1+Slot14_Rate)^(Slot14_Age-D37),(1+Slot14_Rate)^(Slot14_Age-D37)*(1-((1+AS_Wage)/(1+Slot14_Rate))^(Slot14_Age-D37))/(1-(1+AS_Wage)/(1+Slot14_Rate))),1)</f>
        <v>1</v>
      </c>
      <c r="MG37" s="20" t="n">
        <f aca="false">IF(AND(HU37=1,IE37&gt;0,Slot14_IsWG=1,EX37=1),MAX(0,(Slot14_Cost-EY37*(1+Slot14_Rate)^(Slot14_Age-D37))/MF37),0)</f>
        <v>0</v>
      </c>
      <c r="MH37" s="20" t="n">
        <f aca="false">IF(AND(HU37=1,IE37&gt;0,Slot14_IsWG=1,EX37=1),MIN(IE37,MG37),0)</f>
        <v>0</v>
      </c>
      <c r="MI37" s="20" t="n">
        <f aca="false">EY37+MH37</f>
        <v>0</v>
      </c>
      <c r="MJ37" s="20" t="n">
        <f aca="false">IF(EX37=1,MAX(0,(Slot14_Cost-MI37*(1+Slot14_Rate)^(Slot14_Age-D37))/MF37),0)</f>
        <v>0</v>
      </c>
      <c r="MK37" s="20" t="n">
        <f aca="false">IF(EX37=1,MAX(0,(Slot14_Cost-EY37*(1+Slot14_Rate)^(Slot14_Age-D37))/MF37),0)</f>
        <v>0</v>
      </c>
      <c r="ML37" s="20" t="n">
        <f aca="false">IF(AND(HU37=1,EX37=1),MIN(ME37,MJ37),0)</f>
        <v>0</v>
      </c>
      <c r="MM37" s="20" t="n">
        <f aca="false">ME37-ML37</f>
        <v>0</v>
      </c>
      <c r="MN37" s="20" t="n">
        <f aca="false">IF(FH37=1,IF(ABS((1+AS_Wage)/(1+Slot15_Rate)-1)&lt;0.000000000001,(Slot15_Age-D37)*(1+Slot15_Rate)^(Slot15_Age-D37),(1+Slot15_Rate)^(Slot15_Age-D37)*(1-((1+AS_Wage)/(1+Slot15_Rate))^(Slot15_Age-D37))/(1-(1+AS_Wage)/(1+Slot15_Rate))),1)</f>
        <v>1</v>
      </c>
      <c r="MO37" s="20" t="n">
        <f aca="false">IF(AND(HU37=1,IE37&gt;0,Slot15_IsWG=1,FH37=1),MAX(0,(Slot15_Cost-FI37*(1+Slot15_Rate)^(Slot15_Age-D37))/MN37),0)</f>
        <v>0</v>
      </c>
      <c r="MP37" s="20" t="n">
        <f aca="false">IF(AND(HU37=1,IE37&gt;0,Slot15_IsWG=1,FH37=1),MIN(IE37,MO37),0)</f>
        <v>0</v>
      </c>
      <c r="MQ37" s="20" t="n">
        <f aca="false">FI37+MP37</f>
        <v>0</v>
      </c>
      <c r="MR37" s="20" t="n">
        <f aca="false">IF(FH37=1,MAX(0,(Slot15_Cost-MQ37*(1+Slot15_Rate)^(Slot15_Age-D37))/MN37),0)</f>
        <v>0</v>
      </c>
      <c r="MS37" s="20" t="n">
        <f aca="false">IF(FH37=1,MAX(0,(Slot15_Cost-FI37*(1+Slot15_Rate)^(Slot15_Age-D37))/MN37),0)</f>
        <v>0</v>
      </c>
      <c r="MT37" s="20" t="n">
        <f aca="false">IF(AND(HU37=1,FH37=1),MIN(MM37,MR37),0)</f>
        <v>0</v>
      </c>
      <c r="MU37" s="20" t="n">
        <f aca="false">MM37-MT37</f>
        <v>0</v>
      </c>
      <c r="MV37" s="20" t="n">
        <f aca="false">IF(FR37=1,IF(ABS((1+AS_Wage)/(1+Slot16_Rate)-1)&lt;0.000000000001,(Slot16_Age-D37)*(1+Slot16_Rate)^(Slot16_Age-D37),(1+Slot16_Rate)^(Slot16_Age-D37)*(1-((1+AS_Wage)/(1+Slot16_Rate))^(Slot16_Age-D37))/(1-(1+AS_Wage)/(1+Slot16_Rate))),1)</f>
        <v>1</v>
      </c>
      <c r="MW37" s="20" t="n">
        <f aca="false">IF(AND(HU37=1,IE37&gt;0,Slot16_IsWG=1,FR37=1),MAX(0,(Slot16_Cost-FS37*(1+Slot16_Rate)^(Slot16_Age-D37))/MV37),0)</f>
        <v>0</v>
      </c>
      <c r="MX37" s="20" t="n">
        <f aca="false">IF(AND(HU37=1,IE37&gt;0,Slot16_IsWG=1,FR37=1),MIN(IE37,MW37),0)</f>
        <v>0</v>
      </c>
      <c r="MY37" s="20" t="n">
        <f aca="false">FS37+MX37</f>
        <v>0</v>
      </c>
      <c r="MZ37" s="20" t="n">
        <f aca="false">IF(FR37=1,MAX(0,(Slot16_Cost-MY37*(1+Slot16_Rate)^(Slot16_Age-D37))/MV37),0)</f>
        <v>0</v>
      </c>
      <c r="NA37" s="20" t="n">
        <f aca="false">IF(FR37=1,MAX(0,(Slot16_Cost-FS37*(1+Slot16_Rate)^(Slot16_Age-D37))/MV37),0)</f>
        <v>0</v>
      </c>
      <c r="NB37" s="20" t="n">
        <f aca="false">IF(AND(HU37=1,FR37=1),MIN(MU37,MZ37),0)</f>
        <v>0</v>
      </c>
      <c r="NC37" s="20" t="n">
        <f aca="false">MU37-NB37</f>
        <v>0</v>
      </c>
      <c r="ND37" s="20" t="n">
        <f aca="false">IF(GB37=1,IF(ABS((1+AS_Wage)/(1+Slot17_Rate)-1)&lt;0.000000000001,(Slot17_Age-D37)*(1+Slot17_Rate)^(Slot17_Age-D37),(1+Slot17_Rate)^(Slot17_Age-D37)*(1-((1+AS_Wage)/(1+Slot17_Rate))^(Slot17_Age-D37))/(1-(1+AS_Wage)/(1+Slot17_Rate))),1)</f>
        <v>1</v>
      </c>
      <c r="NE37" s="20" t="n">
        <f aca="false">IF(AND(HU37=1,IE37&gt;0,Slot17_IsWG=1,GB37=1),MAX(0,(Slot17_Cost-GC37*(1+Slot17_Rate)^(Slot17_Age-D37))/ND37),0)</f>
        <v>0</v>
      </c>
      <c r="NF37" s="20" t="n">
        <f aca="false">IF(AND(HU37=1,IE37&gt;0,Slot17_IsWG=1,GB37=1),MIN(IE37,NE37),0)</f>
        <v>0</v>
      </c>
      <c r="NG37" s="20" t="n">
        <f aca="false">GC37+NF37</f>
        <v>0</v>
      </c>
      <c r="NH37" s="20" t="n">
        <f aca="false">IF(GB37=1,MAX(0,(Slot17_Cost-NG37*(1+Slot17_Rate)^(Slot17_Age-D37))/ND37),0)</f>
        <v>0</v>
      </c>
      <c r="NI37" s="20" t="n">
        <f aca="false">IF(GB37=1,MAX(0,(Slot17_Cost-GC37*(1+Slot17_Rate)^(Slot17_Age-D37))/ND37),0)</f>
        <v>0</v>
      </c>
      <c r="NJ37" s="20" t="n">
        <f aca="false">IF(AND(HU37=1,GB37=1),MIN(NC37,NH37),0)</f>
        <v>0</v>
      </c>
      <c r="NK37" s="20" t="n">
        <f aca="false">NC37-NJ37</f>
        <v>0</v>
      </c>
      <c r="NL37" s="20" t="n">
        <f aca="false">IF(GL37=1,IF(ABS((1+AS_Wage)/(1+Slot18_Rate)-1)&lt;0.000000000001,(Slot18_Age-D37)*(1+Slot18_Rate)^(Slot18_Age-D37),(1+Slot18_Rate)^(Slot18_Age-D37)*(1-((1+AS_Wage)/(1+Slot18_Rate))^(Slot18_Age-D37))/(1-(1+AS_Wage)/(1+Slot18_Rate))),1)</f>
        <v>1</v>
      </c>
      <c r="NM37" s="20" t="n">
        <f aca="false">IF(AND(HU37=1,IE37&gt;0,Slot18_IsWG=1,GL37=1),MAX(0,(Slot18_Cost-GM37*(1+Slot18_Rate)^(Slot18_Age-D37))/NL37),0)</f>
        <v>0</v>
      </c>
      <c r="NN37" s="20" t="n">
        <f aca="false">IF(AND(HU37=1,IE37&gt;0,Slot18_IsWG=1,GL37=1),MIN(IE37,NM37),0)</f>
        <v>0</v>
      </c>
      <c r="NO37" s="20" t="n">
        <f aca="false">GM37+NN37</f>
        <v>0</v>
      </c>
      <c r="NP37" s="20" t="n">
        <f aca="false">IF(GL37=1,MAX(0,(Slot18_Cost-NO37*(1+Slot18_Rate)^(Slot18_Age-D37))/NL37),0)</f>
        <v>0</v>
      </c>
      <c r="NQ37" s="20" t="n">
        <f aca="false">IF(GL37=1,MAX(0,(Slot18_Cost-GM37*(1+Slot18_Rate)^(Slot18_Age-D37))/NL37),0)</f>
        <v>0</v>
      </c>
      <c r="NR37" s="20" t="n">
        <f aca="false">IF(AND(HU37=1,GL37=1),MIN(NK37,NP37),0)</f>
        <v>0</v>
      </c>
      <c r="NS37" s="20" t="n">
        <f aca="false">NK37-NR37</f>
        <v>0</v>
      </c>
      <c r="NT37" s="20" t="n">
        <f aca="false">IF(GV37=1,IF(ABS((1+AS_Wage)/(1+Slot19_Rate)-1)&lt;0.000000000001,(Slot19_Age-D37)*(1+Slot19_Rate)^(Slot19_Age-D37),(1+Slot19_Rate)^(Slot19_Age-D37)*(1-((1+AS_Wage)/(1+Slot19_Rate))^(Slot19_Age-D37))/(1-(1+AS_Wage)/(1+Slot19_Rate))),1)</f>
        <v>1</v>
      </c>
      <c r="NU37" s="20" t="n">
        <f aca="false">IF(AND(HU37=1,IE37&gt;0,Slot19_IsWG=1,GV37=1),MAX(0,(Slot19_Cost-GW37*(1+Slot19_Rate)^(Slot19_Age-D37))/NT37),0)</f>
        <v>0</v>
      </c>
      <c r="NV37" s="20" t="n">
        <f aca="false">IF(AND(HU37=1,IE37&gt;0,Slot19_IsWG=1,GV37=1),MIN(IE37,NU37),0)</f>
        <v>0</v>
      </c>
      <c r="NW37" s="20" t="n">
        <f aca="false">GW37+NV37</f>
        <v>0</v>
      </c>
      <c r="NX37" s="20" t="n">
        <f aca="false">IF(GV37=1,MAX(0,(Slot19_Cost-NW37*(1+Slot19_Rate)^(Slot19_Age-D37))/NT37),0)</f>
        <v>0</v>
      </c>
      <c r="NY37" s="20" t="n">
        <f aca="false">IF(GV37=1,MAX(0,(Slot19_Cost-GW37*(1+Slot19_Rate)^(Slot19_Age-D37))/NT37),0)</f>
        <v>0</v>
      </c>
      <c r="NZ37" s="20" t="n">
        <f aca="false">IF(AND(HU37=1,GV37=1),MIN(NS37,NX37),0)</f>
        <v>0</v>
      </c>
      <c r="OA37" s="20" t="n">
        <f aca="false">NS37-NZ37</f>
        <v>0</v>
      </c>
      <c r="OB37" s="20" t="n">
        <f aca="false">IF(HF37=1,IF(ABS((1+AS_Wage)/(1+Slot20_Rate)-1)&lt;0.000000000001,(Slot20_Age-D37)*(1+Slot20_Rate)^(Slot20_Age-D37),(1+Slot20_Rate)^(Slot20_Age-D37)*(1-((1+AS_Wage)/(1+Slot20_Rate))^(Slot20_Age-D37))/(1-(1+AS_Wage)/(1+Slot20_Rate))),1)</f>
        <v>1</v>
      </c>
      <c r="OC37" s="20" t="n">
        <f aca="false">IF(AND(HU37=1,IE37&gt;0,Slot20_IsWG=1,HF37=1),MAX(0,(Slot20_Cost-HG37*(1+Slot20_Rate)^(Slot20_Age-D37))/OB37),0)</f>
        <v>0</v>
      </c>
      <c r="OD37" s="20" t="n">
        <f aca="false">IF(AND(HU37=1,IE37&gt;0,Slot20_IsWG=1,HF37=1),MIN(IE37,OC37),0)</f>
        <v>0</v>
      </c>
      <c r="OE37" s="20" t="n">
        <f aca="false">HG37+OD37</f>
        <v>0</v>
      </c>
      <c r="OF37" s="20" t="n">
        <f aca="false">IF(HF37=1,MAX(0,(Slot20_Cost-OE37*(1+Slot20_Rate)^(Slot20_Age-D37))/OB37),0)</f>
        <v>0</v>
      </c>
      <c r="OG37" s="20" t="n">
        <f aca="false">IF(HF37=1,MAX(0,(Slot20_Cost-HG37*(1+Slot20_Rate)^(Slot20_Age-D37))/OB37),0)</f>
        <v>0</v>
      </c>
      <c r="OH37" s="20" t="n">
        <f aca="false">IF(AND(HU37=1,HF37=1),MIN(OA37,OF37),0)</f>
        <v>0</v>
      </c>
      <c r="OI37" s="20" t="n">
        <f aca="false">OA37-OH37</f>
        <v>0</v>
      </c>
      <c r="OJ37" s="20" t="n">
        <f aca="false">IE37-(IH37+IP37+IX37+JF37+JN37+JV37+KD37+KL37+KT37+LB37+LJ37+LR37+LZ37+MH37+MP37+MX37+NF37+NN37+NV37+OD37)</f>
        <v>0</v>
      </c>
      <c r="OK37" s="20" t="n">
        <f aca="false">IF(HU37=1,HS37-ID37-IE37,0)</f>
        <v>0</v>
      </c>
      <c r="OL37" s="20" t="n">
        <f aca="false">IF(HU37=0,-HS37,0)</f>
        <v>19379.8615082084</v>
      </c>
      <c r="OM37" s="20" t="n">
        <f aca="false">MIN(OL37,HK37)</f>
        <v>19379.8615082084</v>
      </c>
      <c r="ON37" s="20" t="n">
        <f aca="false">OL37-OM37</f>
        <v>0</v>
      </c>
      <c r="OO37" s="20" t="n">
        <f aca="false">MIN(ON37,HL37)</f>
        <v>0</v>
      </c>
      <c r="OP37" s="20" t="n">
        <f aca="false">ON37-OO37</f>
        <v>0</v>
      </c>
      <c r="OQ37" s="20" t="n">
        <f aca="false">IF(AND(HU37=0,HF37=1,OP37&gt;0),MIN(OP37,HG37),0)</f>
        <v>0</v>
      </c>
      <c r="OR37" s="20" t="n">
        <f aca="false">OP37-OQ37</f>
        <v>0</v>
      </c>
      <c r="OS37" s="20" t="n">
        <f aca="false">IF(AND(HU37=0,GV37=1,OR37&gt;0),MIN(OR37,GW37),0)</f>
        <v>0</v>
      </c>
      <c r="OT37" s="20" t="n">
        <f aca="false">OR37-OS37</f>
        <v>0</v>
      </c>
      <c r="OU37" s="20" t="n">
        <f aca="false">IF(AND(HU37=0,GL37=1,OT37&gt;0),MIN(OT37,GM37),0)</f>
        <v>0</v>
      </c>
      <c r="OV37" s="20" t="n">
        <f aca="false">OT37-OU37</f>
        <v>0</v>
      </c>
      <c r="OW37" s="20" t="n">
        <f aca="false">IF(AND(HU37=0,GB37=1,OV37&gt;0),MIN(OV37,GC37),0)</f>
        <v>0</v>
      </c>
      <c r="OX37" s="20" t="n">
        <f aca="false">OV37-OW37</f>
        <v>0</v>
      </c>
      <c r="OY37" s="20" t="n">
        <f aca="false">IF(AND(HU37=0,FR37=1,OX37&gt;0),MIN(OX37,FS37),0)</f>
        <v>0</v>
      </c>
      <c r="OZ37" s="20" t="n">
        <f aca="false">OX37-OY37</f>
        <v>0</v>
      </c>
      <c r="PA37" s="20" t="n">
        <f aca="false">IF(AND(HU37=0,FH37=1,OZ37&gt;0),MIN(OZ37,FI37),0)</f>
        <v>0</v>
      </c>
      <c r="PB37" s="20" t="n">
        <f aca="false">OZ37-PA37</f>
        <v>0</v>
      </c>
      <c r="PC37" s="20" t="n">
        <f aca="false">IF(AND(HU37=0,EX37=1,PB37&gt;0),MIN(PB37,EY37),0)</f>
        <v>0</v>
      </c>
      <c r="PD37" s="20" t="n">
        <f aca="false">PB37-PC37</f>
        <v>0</v>
      </c>
      <c r="PE37" s="20" t="n">
        <f aca="false">IF(AND(HU37=0,EN37=1,PD37&gt;0),MIN(PD37,EO37),0)</f>
        <v>0</v>
      </c>
      <c r="PF37" s="20" t="n">
        <f aca="false">PD37-PE37</f>
        <v>0</v>
      </c>
      <c r="PG37" s="20" t="n">
        <f aca="false">IF(AND(HU37=0,ED37=1,PF37&gt;0),MIN(PF37,EE37),0)</f>
        <v>0</v>
      </c>
      <c r="PH37" s="20" t="n">
        <f aca="false">PF37-PG37</f>
        <v>0</v>
      </c>
      <c r="PI37" s="20" t="n">
        <f aca="false">IF(AND(HU37=0,DT37=1,PH37&gt;0),MIN(PH37,DU37),0)</f>
        <v>0</v>
      </c>
      <c r="PJ37" s="20" t="n">
        <f aca="false">PH37-PI37</f>
        <v>0</v>
      </c>
      <c r="PK37" s="20" t="n">
        <f aca="false">IF(AND(HU37=0,DJ37=1,PJ37&gt;0),MIN(PJ37,DK37),0)</f>
        <v>0</v>
      </c>
      <c r="PL37" s="20" t="n">
        <f aca="false">PJ37-PK37</f>
        <v>0</v>
      </c>
      <c r="PM37" s="20" t="n">
        <f aca="false">IF(AND(HU37=0,CZ37=1,PL37&gt;0),MIN(PL37,DA37),0)</f>
        <v>0</v>
      </c>
      <c r="PN37" s="20" t="n">
        <f aca="false">PL37-PM37</f>
        <v>0</v>
      </c>
      <c r="PO37" s="20" t="n">
        <f aca="false">IF(AND(HU37=0,CP37=1,PN37&gt;0),MIN(PN37,CQ37),0)</f>
        <v>0</v>
      </c>
      <c r="PP37" s="20" t="n">
        <f aca="false">PN37-PO37</f>
        <v>0</v>
      </c>
      <c r="PQ37" s="20" t="n">
        <f aca="false">IF(AND(HU37=0,CF37=1,PP37&gt;0),MIN(PP37,CG37),0)</f>
        <v>0</v>
      </c>
      <c r="PR37" s="20" t="n">
        <f aca="false">PP37-PQ37</f>
        <v>0</v>
      </c>
      <c r="PS37" s="20" t="n">
        <f aca="false">IF(AND(HU37=0,BV37=1,PR37&gt;0),MIN(PR37,BW37),0)</f>
        <v>0</v>
      </c>
      <c r="PT37" s="20" t="n">
        <f aca="false">PR37-PS37</f>
        <v>0</v>
      </c>
      <c r="PU37" s="20" t="n">
        <f aca="false">IF(AND(HU37=0,BL37=1,PT37&gt;0),MIN(PT37,BM37),0)</f>
        <v>0</v>
      </c>
      <c r="PV37" s="20" t="n">
        <f aca="false">PT37-PU37</f>
        <v>0</v>
      </c>
      <c r="PW37" s="20" t="n">
        <f aca="false">IF(AND(HU37=0,BB37=1,PV37&gt;0),MIN(PV37,BC37),0)</f>
        <v>0</v>
      </c>
      <c r="PX37" s="20" t="n">
        <f aca="false">PV37-PW37</f>
        <v>0</v>
      </c>
      <c r="PY37" s="20" t="n">
        <f aca="false">IF(AND(HU37=0,AR37=1,PX37&gt;0),MIN(PX37,AS37),0)</f>
        <v>0</v>
      </c>
      <c r="PZ37" s="20" t="n">
        <f aca="false">PX37-PY37</f>
        <v>0</v>
      </c>
      <c r="QA37" s="20" t="n">
        <f aca="false">IF(AND(HU37=0,AH37=1,PZ37&gt;0),MIN(PZ37,AI37),0)</f>
        <v>0</v>
      </c>
      <c r="QB37" s="20" t="n">
        <f aca="false">PZ37-QA37</f>
        <v>0</v>
      </c>
      <c r="QC37" s="20" t="n">
        <f aca="false">IF(AND(HU37=0,W37=1,QB37&gt;0),MIN(QB37,X37),0)</f>
        <v>0</v>
      </c>
      <c r="QD37" s="20" t="n">
        <f aca="false">QB37-QC37</f>
        <v>0</v>
      </c>
      <c r="QE37" s="20" t="n">
        <f aca="false">IF(HU37=0,QD37,0)</f>
        <v>0</v>
      </c>
      <c r="QF37" s="20" t="n">
        <f aca="false">OM37+OO37+QC37+QA37+PY37+PW37+PU37+PS37+PQ37+PO37+PM37+PK37+PI37+PG37+PE37+PC37+PA37+OY37+OW37+OU37+OS37+OQ37</f>
        <v>19379.8615082084</v>
      </c>
      <c r="QG37" s="20" t="n">
        <f aca="false">IF(HU37=1,HK37+OJ37+OI37+IF(G37=1,0,OK37),HK37-OM37)</f>
        <v>181183.402733873</v>
      </c>
      <c r="QH37" s="20" t="n">
        <f aca="false">HL37-OO37</f>
        <v>14885.378204737</v>
      </c>
      <c r="QI37" s="20" t="n">
        <f aca="false">IF(HU37=1,IF(G37=1,ID37+IE37,HS37),0)</f>
        <v>0</v>
      </c>
      <c r="QJ37" s="20" t="n">
        <f aca="false">IF(HU37=1,IF(G37=1,HS37-ID37-IE37,0),0)</f>
        <v>0</v>
      </c>
      <c r="QK37" s="57" t="n">
        <f aca="false">'Plan holdings'!BM37</f>
        <v>192090.671852961</v>
      </c>
      <c r="QL37" s="20" t="n">
        <f aca="false">QH37*(1+AS_Cash)</f>
        <v>15034.2319867843</v>
      </c>
      <c r="QM37" s="20" t="n">
        <f aca="false">IF(W37=1,IF(HU37=1,II37+IL37,X37-QC37)*(1+Slot1_Rate),0)</f>
        <v>0</v>
      </c>
      <c r="QN37" s="20" t="n">
        <f aca="false">IF(AND(HU37=1,W37=1),(IH37+IL37)/F37,0)</f>
        <v>0</v>
      </c>
      <c r="QO37" s="20" t="n">
        <f aca="false">IF(B37=0,IH37+IL37,0)</f>
        <v>0</v>
      </c>
      <c r="QP37" s="20" t="n">
        <f aca="false">IF(B37=0,IF(HU37=1,IJ37,IK37),0)</f>
        <v>0</v>
      </c>
      <c r="QQ37" s="20" t="n">
        <f aca="false">IF(AH37=1,IF(HU37=1,IQ37+IT37,AI37-QA37)*(1+Slot2_Rate),0)</f>
        <v>0</v>
      </c>
      <c r="QR37" s="20" t="n">
        <f aca="false">IF(AND(HU37=1,AH37=1),(IP37+IT37)/F37,0)</f>
        <v>0</v>
      </c>
      <c r="QS37" s="20" t="n">
        <f aca="false">IF(B37=0,IP37+IT37,0)</f>
        <v>0</v>
      </c>
      <c r="QT37" s="20" t="n">
        <f aca="false">IF(B37=0,IF(HU37=1,IR37,IS37),0)</f>
        <v>0</v>
      </c>
      <c r="QU37" s="20" t="n">
        <f aca="false">IF(AR37=1,IF(HU37=1,IY37+JB37,AS37-PY37)*(1+Slot3_Rate),0)</f>
        <v>0</v>
      </c>
      <c r="QV37" s="20" t="n">
        <f aca="false">IF(AND(HU37=1,AR37=1),(IX37+JB37)/F37,0)</f>
        <v>0</v>
      </c>
      <c r="QW37" s="20" t="n">
        <f aca="false">IF(B37=0,IX37+JB37,0)</f>
        <v>0</v>
      </c>
      <c r="QX37" s="20" t="n">
        <f aca="false">IF(B37=0,IF(HU37=1,IZ37,JA37),0)</f>
        <v>0</v>
      </c>
      <c r="QY37" s="20" t="n">
        <f aca="false">IF(BB37=1,IF(HU37=1,JG37+JJ37,BC37-PW37)*(1+Slot4_Rate),0)</f>
        <v>0</v>
      </c>
      <c r="QZ37" s="20" t="n">
        <f aca="false">IF(AND(HU37=1,BB37=1),(JF37+JJ37)/F37,0)</f>
        <v>0</v>
      </c>
      <c r="RA37" s="20" t="n">
        <f aca="false">IF(B37=0,JF37+JJ37,0)</f>
        <v>0</v>
      </c>
      <c r="RB37" s="20" t="n">
        <f aca="false">IF(B37=0,IF(HU37=1,JH37,JI37),0)</f>
        <v>0</v>
      </c>
      <c r="RC37" s="20" t="n">
        <f aca="false">IF(BL37=1,IF(HU37=1,JO37+JR37,BM37-PU37)*(1+Slot5_Rate),0)</f>
        <v>0</v>
      </c>
      <c r="RD37" s="20" t="n">
        <f aca="false">IF(AND(HU37=1,BL37=1),(JN37+JR37)/F37,0)</f>
        <v>0</v>
      </c>
      <c r="RE37" s="20" t="n">
        <f aca="false">IF(B37=0,JN37+JR37,0)</f>
        <v>0</v>
      </c>
      <c r="RF37" s="20" t="n">
        <f aca="false">IF(B37=0,IF(HU37=1,JP37,JQ37),0)</f>
        <v>0</v>
      </c>
      <c r="RG37" s="20" t="n">
        <f aca="false">IF(BV37=1,IF(HU37=1,JW37+JZ37,BW37-PS37)*(1+Slot6_Rate),0)</f>
        <v>0</v>
      </c>
      <c r="RH37" s="20" t="n">
        <f aca="false">IF(AND(HU37=1,BV37=1),(JV37+JZ37)/F37,0)</f>
        <v>0</v>
      </c>
      <c r="RI37" s="20" t="n">
        <f aca="false">IF(B37=0,JV37+JZ37,0)</f>
        <v>0</v>
      </c>
      <c r="RJ37" s="20" t="n">
        <f aca="false">IF(B37=0,IF(HU37=1,JX37,JY37),0)</f>
        <v>0</v>
      </c>
      <c r="RK37" s="20" t="n">
        <f aca="false">IF(CF37=1,IF(HU37=1,KE37+KH37,CG37-PQ37)*(1+Slot7_Rate),0)</f>
        <v>0</v>
      </c>
      <c r="RL37" s="20" t="n">
        <f aca="false">IF(AND(HU37=1,CF37=1),(KD37+KH37)/F37,0)</f>
        <v>0</v>
      </c>
      <c r="RM37" s="20" t="n">
        <f aca="false">IF(B37=0,KD37+KH37,0)</f>
        <v>0</v>
      </c>
      <c r="RN37" s="20" t="n">
        <f aca="false">IF(B37=0,IF(HU37=1,KF37,KG37),0)</f>
        <v>0</v>
      </c>
      <c r="RO37" s="20" t="n">
        <f aca="false">IF(CP37=1,IF(HU37=1,KM37+KP37,CQ37-PO37)*(1+Slot8_Rate),0)</f>
        <v>0</v>
      </c>
      <c r="RP37" s="20" t="n">
        <f aca="false">IF(AND(HU37=1,CP37=1),(KL37+KP37)/F37,0)</f>
        <v>0</v>
      </c>
      <c r="RQ37" s="20" t="n">
        <f aca="false">IF(B37=0,KL37+KP37,0)</f>
        <v>0</v>
      </c>
      <c r="RR37" s="20" t="n">
        <f aca="false">IF(B37=0,IF(HU37=1,KN37,KO37),0)</f>
        <v>0</v>
      </c>
      <c r="RS37" s="20" t="n">
        <f aca="false">IF(CZ37=1,IF(HU37=1,KU37+KX37,DA37-PM37)*(1+Slot9_Rate),0)</f>
        <v>0</v>
      </c>
      <c r="RT37" s="20" t="n">
        <f aca="false">IF(AND(HU37=1,CZ37=1),(KT37+KX37)/F37,0)</f>
        <v>0</v>
      </c>
      <c r="RU37" s="20" t="n">
        <f aca="false">IF(B37=0,KT37+KX37,0)</f>
        <v>0</v>
      </c>
      <c r="RV37" s="20" t="n">
        <f aca="false">IF(B37=0,IF(HU37=1,KV37,KW37),0)</f>
        <v>0</v>
      </c>
      <c r="RW37" s="20" t="n">
        <f aca="false">IF(DJ37=1,IF(HU37=1,LC37+LF37,DK37-PK37)*(1+Slot10_Rate),0)</f>
        <v>0</v>
      </c>
      <c r="RX37" s="20" t="n">
        <f aca="false">IF(AND(HU37=1,DJ37=1),(LB37+LF37)/F37,0)</f>
        <v>0</v>
      </c>
      <c r="RY37" s="20" t="n">
        <f aca="false">IF(B37=0,LB37+LF37,0)</f>
        <v>0</v>
      </c>
      <c r="RZ37" s="20" t="n">
        <f aca="false">IF(B37=0,IF(HU37=1,LD37,LE37),0)</f>
        <v>0</v>
      </c>
      <c r="SA37" s="20" t="n">
        <f aca="false">IF(DT37=1,IF(HU37=1,LK37+LN37,DU37-PI37)*(1+Slot11_Rate),0)</f>
        <v>0</v>
      </c>
      <c r="SB37" s="20" t="n">
        <f aca="false">IF(AND(HU37=1,DT37=1),(LJ37+LN37)/F37,0)</f>
        <v>0</v>
      </c>
      <c r="SC37" s="20" t="n">
        <f aca="false">IF(B37=0,LJ37+LN37,0)</f>
        <v>0</v>
      </c>
      <c r="SD37" s="20" t="n">
        <f aca="false">IF(B37=0,IF(HU37=1,LL37,LM37),0)</f>
        <v>0</v>
      </c>
      <c r="SE37" s="20" t="n">
        <f aca="false">IF(ED37=1,IF(HU37=1,LS37+LV37,EE37-PG37)*(1+Slot12_Rate),0)</f>
        <v>0</v>
      </c>
      <c r="SF37" s="20" t="n">
        <f aca="false">IF(AND(HU37=1,ED37=1),(LR37+LV37)/F37,0)</f>
        <v>0</v>
      </c>
      <c r="SG37" s="20" t="n">
        <f aca="false">IF(B37=0,LR37+LV37,0)</f>
        <v>0</v>
      </c>
      <c r="SH37" s="20" t="n">
        <f aca="false">IF(B37=0,IF(HU37=1,LT37,LU37),0)</f>
        <v>0</v>
      </c>
      <c r="SI37" s="20" t="n">
        <f aca="false">IF(EN37=1,IF(HU37=1,MA37+MD37,EO37-PE37)*(1+Slot13_Rate),0)</f>
        <v>0</v>
      </c>
      <c r="SJ37" s="20" t="n">
        <f aca="false">IF(AND(HU37=1,EN37=1),(LZ37+MD37)/F37,0)</f>
        <v>0</v>
      </c>
      <c r="SK37" s="20" t="n">
        <f aca="false">IF(B37=0,LZ37+MD37,0)</f>
        <v>0</v>
      </c>
      <c r="SL37" s="20" t="n">
        <f aca="false">IF(B37=0,IF(HU37=1,MB37,MC37),0)</f>
        <v>0</v>
      </c>
      <c r="SM37" s="20" t="n">
        <f aca="false">IF(EX37=1,IF(HU37=1,MI37+ML37,EY37-PC37)*(1+Slot14_Rate),0)</f>
        <v>0</v>
      </c>
      <c r="SN37" s="20" t="n">
        <f aca="false">IF(AND(HU37=1,EX37=1),(MH37+ML37)/F37,0)</f>
        <v>0</v>
      </c>
      <c r="SO37" s="20" t="n">
        <f aca="false">IF(B37=0,MH37+ML37,0)</f>
        <v>0</v>
      </c>
      <c r="SP37" s="20" t="n">
        <f aca="false">IF(B37=0,IF(HU37=1,MJ37,MK37),0)</f>
        <v>0</v>
      </c>
      <c r="SQ37" s="20" t="n">
        <f aca="false">IF(FH37=1,IF(HU37=1,MQ37+MT37,FI37-PA37)*(1+Slot15_Rate),0)</f>
        <v>0</v>
      </c>
      <c r="SR37" s="20" t="n">
        <f aca="false">IF(AND(HU37=1,FH37=1),(MP37+MT37)/F37,0)</f>
        <v>0</v>
      </c>
      <c r="SS37" s="20" t="n">
        <f aca="false">IF(B37=0,MP37+MT37,0)</f>
        <v>0</v>
      </c>
      <c r="ST37" s="20" t="n">
        <f aca="false">IF(B37=0,IF(HU37=1,MR37,MS37),0)</f>
        <v>0</v>
      </c>
      <c r="SU37" s="20" t="n">
        <f aca="false">IF(FR37=1,IF(HU37=1,MY37+NB37,FS37-OY37)*(1+Slot16_Rate),0)</f>
        <v>0</v>
      </c>
      <c r="SV37" s="20" t="n">
        <f aca="false">IF(AND(HU37=1,FR37=1),(MX37+NB37)/F37,0)</f>
        <v>0</v>
      </c>
      <c r="SW37" s="20" t="n">
        <f aca="false">IF(B37=0,MX37+NB37,0)</f>
        <v>0</v>
      </c>
      <c r="SX37" s="20" t="n">
        <f aca="false">IF(B37=0,IF(HU37=1,MZ37,NA37),0)</f>
        <v>0</v>
      </c>
      <c r="SY37" s="20" t="n">
        <f aca="false">IF(GB37=1,IF(HU37=1,NG37+NJ37,GC37-OW37)*(1+Slot17_Rate),0)</f>
        <v>0</v>
      </c>
      <c r="SZ37" s="20" t="n">
        <f aca="false">IF(AND(HU37=1,GB37=1),(NF37+NJ37)/F37,0)</f>
        <v>0</v>
      </c>
      <c r="TA37" s="20" t="n">
        <f aca="false">IF(B37=0,NF37+NJ37,0)</f>
        <v>0</v>
      </c>
      <c r="TB37" s="20" t="n">
        <f aca="false">IF(B37=0,IF(HU37=1,NH37,NI37),0)</f>
        <v>0</v>
      </c>
      <c r="TC37" s="20" t="n">
        <f aca="false">IF(GL37=1,IF(HU37=1,NO37+NR37,GM37-OU37)*(1+Slot18_Rate),0)</f>
        <v>0</v>
      </c>
      <c r="TD37" s="20" t="n">
        <f aca="false">IF(AND(HU37=1,GL37=1),(NN37+NR37)/F37,0)</f>
        <v>0</v>
      </c>
      <c r="TE37" s="20" t="n">
        <f aca="false">IF(B37=0,NN37+NR37,0)</f>
        <v>0</v>
      </c>
      <c r="TF37" s="20" t="n">
        <f aca="false">IF(B37=0,IF(HU37=1,NP37,NQ37),0)</f>
        <v>0</v>
      </c>
      <c r="TG37" s="20" t="n">
        <f aca="false">IF(GV37=1,IF(HU37=1,NW37+NZ37,GW37-OS37)*(1+Slot19_Rate),0)</f>
        <v>0</v>
      </c>
      <c r="TH37" s="20" t="n">
        <f aca="false">IF(AND(HU37=1,GV37=1),(NV37+NZ37)/F37,0)</f>
        <v>0</v>
      </c>
      <c r="TI37" s="20" t="n">
        <f aca="false">IF(B37=0,NV37+NZ37,0)</f>
        <v>0</v>
      </c>
      <c r="TJ37" s="20" t="n">
        <f aca="false">IF(B37=0,IF(HU37=1,NX37,NY37),0)</f>
        <v>0</v>
      </c>
      <c r="TK37" s="20" t="n">
        <f aca="false">IF(HF37=1,IF(HU37=1,OE37+OH37,HG37-OQ37)*(1+Slot20_Rate),0)</f>
        <v>0</v>
      </c>
      <c r="TL37" s="20" t="n">
        <f aca="false">IF(AND(HU37=1,HF37=1),(OD37+OH37)/F37,0)</f>
        <v>0</v>
      </c>
      <c r="TM37" s="20" t="n">
        <f aca="false">IF(B37=0,OD37+OH37,0)</f>
        <v>0</v>
      </c>
      <c r="TN37" s="20" t="n">
        <f aca="false">IF(B37=0,IF(HU37=1,OF37,OG37),0)</f>
        <v>0</v>
      </c>
      <c r="TO37" s="20" t="n">
        <f aca="false">QK37+QL37+QM37+QQ37+QU37+QY37+RC37+RG37+RK37+RO37+RS37+RW37+SA37+SE37+SI37+SM37+SQ37+SU37+SY37+TC37+TG37+TK37</f>
        <v>207124.903839745</v>
      </c>
      <c r="TP37" s="20" t="n">
        <f aca="false">QE37+HP37</f>
        <v>0</v>
      </c>
      <c r="TQ37" s="20" t="n">
        <f aca="false">I37+S37</f>
        <v>84885.376196216</v>
      </c>
      <c r="TR37" s="20" t="n">
        <f aca="false">1-G37</f>
        <v>1</v>
      </c>
      <c r="TS37" s="20" t="n">
        <f aca="false">IF(AND(RG_Exists=1,G37=0,C37=1),I37,0)</f>
        <v>84885.376196216</v>
      </c>
      <c r="TT37" s="20" t="n">
        <f aca="false">IF(AND(RG_Exists=1,G37=0,C37=1),I37-MIN(QE37,I37),0)</f>
        <v>84885.376196216</v>
      </c>
      <c r="TU37" s="20" t="n">
        <f aca="false">'Plan pay &amp; tax'!AD263</f>
        <v>425351.270018035</v>
      </c>
      <c r="TV37" s="20" t="n">
        <f aca="false">IF(AND(C37=1,QE37&gt;MAX(PR_Short1,TQ37*PR_Short2)),1,0)</f>
        <v>0</v>
      </c>
      <c r="TW37" s="20" t="n">
        <f aca="false">MIN(H37,I37+S37)</f>
        <v>65505.5146880077</v>
      </c>
      <c r="TX37" s="20" t="n">
        <f aca="false">QF37+MAX(0,HQ37-HP37)</f>
        <v>19379.8615082084</v>
      </c>
      <c r="TY37" s="20" t="n">
        <f aca="false">QE37+HP37</f>
        <v>0</v>
      </c>
      <c r="TZ37" s="20" t="n">
        <f aca="false">IF(AND(C37=1,TY37&gt;PR_MinShort),1,0)</f>
        <v>0</v>
      </c>
      <c r="UA37" s="20" t="n">
        <f aca="false">IF(AND(C37=1,TZ37=0,TX37&gt;PR_MinShort),1,0)</f>
        <v>1</v>
      </c>
      <c r="UB37" s="20" t="n">
        <f aca="false">IF(AND(C37=1,QE37&gt;PR_MinShort),1,0)</f>
        <v>0</v>
      </c>
      <c r="UC37" s="20" t="n">
        <f aca="false">IF(AND(C37=1,QF37&gt;1,UJ37=0),1,0)</f>
        <v>1</v>
      </c>
      <c r="UD37" s="20" t="str">
        <f aca="false">IF(C37=0,"",IF(UJ37=1,"Gap to plan for: short "&amp;"€"&amp;TEXT(ROUND(TP37,0),"#,##0"),IF(QF37&gt;1,"Using savings","Comfortable")))</f>
        <v>Using savings</v>
      </c>
      <c r="UE37" s="20" t="n">
        <f aca="false">IF(AND(INT(D37/10)*10=90,B37&gt;0),80,INT(D37/10)*10)</f>
        <v>60</v>
      </c>
      <c r="UF37" s="20" t="n">
        <f aca="false">IF(B37=0,1,IF(UE37&lt;&gt;UE36,UF36+1,UF36))</f>
        <v>4</v>
      </c>
      <c r="UG37" s="20" t="n">
        <f aca="false">IF(AND(C37=1,G37=1,QE37&gt;MAX(PR_Short1,TQ37*PR_Short2)),1,0)</f>
        <v>0</v>
      </c>
      <c r="UH37" s="20" t="n">
        <f aca="false">TR37*TV37</f>
        <v>0</v>
      </c>
      <c r="UI37" s="20" t="n">
        <f aca="false">IF(AND(V37=1,Slot1_PctLow=1),1,0)+IF(AND(AG37=1,Slot2_PctLow=1),1,0)+IF(AND(AQ37=1,Slot3_PctLow=1),1,0)+IF(AND(BA37=1,Slot4_PctLow=1),1,0)+IF(AND(BK37=1,Slot5_PctLow=1),1,0)+IF(AND(BU37=1,Slot6_PctLow=1),1,0)+IF(AND(CE37=1,Slot7_PctLow=1),1,0)+IF(AND(CO37=1,Slot8_PctLow=1),1,0)+IF(AND(CY37=1,Slot9_PctLow=1),1,0)+IF(AND(DI37=1,Slot10_PctLow=1),1,0)+IF(AND(DS37=1,Slot11_PctLow=1),1,0)+IF(AND(EC37=1,Slot12_PctLow=1),1,0)+IF(AND(EM37=1,Slot13_PctLow=1),1,0)+IF(AND(EW37=1,Slot14_PctLow=1),1,0)+IF(AND(FG37=1,Slot15_PctLow=1),1,0)+IF(AND(FQ37=1,Slot16_PctLow=1),1,0)+IF(AND(GA37=1,Slot17_PctLow=1),1,0)+IF(AND(GK37=1,Slot18_PctLow=1),1,0)+IF(AND(GU37=1,Slot19_PctLow=1),1,0)+IF(AND(HE37=1,Slot20_PctLow=1),1,0)</f>
        <v>0</v>
      </c>
      <c r="UJ37" s="20" t="n">
        <f aca="false">IF(C37=1,IF(OR(TV37=1,UI37&gt;0),1,0),0)</f>
        <v>0</v>
      </c>
      <c r="UK37" s="20" t="n">
        <f aca="false">Z37+AK37+AU37+BE37+BO37+BY37+CI37+CS37+DC37+DM37+DW37+EG37+EQ37+FA37+FK37+FU37+GE37+GO37+GY37+HI37+OM37</f>
        <v>19379.8615082084</v>
      </c>
      <c r="UL37" s="20" t="n">
        <f aca="false">V37*IF(Slot1_SpendLike=1,X37-Y37,IF(Slot1_PotFree=1,X37,0))+AG37*IF(Slot2_SpendLike=1,AI37-AJ37,IF(Slot2_PotFree=1,AI37,0))+AQ37*IF(Slot3_SpendLike=1,AS37-AT37,IF(Slot3_PotFree=1,AS37,0))+BA37*IF(Slot4_SpendLike=1,BC37-BD37,IF(Slot4_PotFree=1,BC37,0))+BK37*IF(Slot5_SpendLike=1,BM37-BN37,IF(Slot5_PotFree=1,BM37,0))+BU37*IF(Slot6_SpendLike=1,BW37-BX37,IF(Slot6_PotFree=1,BW37,0))+CE37*IF(Slot7_SpendLike=1,CG37-CH37,IF(Slot7_PotFree=1,CG37,0))+CO37*IF(Slot8_SpendLike=1,CQ37-CR37,IF(Slot8_PotFree=1,CQ37,0))+CY37*IF(Slot9_SpendLike=1,DA37-DB37,IF(Slot9_PotFree=1,DA37,0))+DI37*IF(Slot10_SpendLike=1,DK37-DL37,IF(Slot10_PotFree=1,DK37,0))+DS37*IF(Slot11_SpendLike=1,DU37-DV37,IF(Slot11_PotFree=1,DU37,0))+EC37*IF(Slot12_SpendLike=1,EE37-EF37,IF(Slot12_PotFree=1,EE37,0))+EM37*IF(Slot13_SpendLike=1,EO37-EP37,IF(Slot13_PotFree=1,EO37,0))+EW37*IF(Slot14_SpendLike=1,EY37-EZ37,IF(Slot14_PotFree=1,EY37,0))+FG37*IF(Slot15_SpendLike=1,FI37-FJ37,IF(Slot15_PotFree=1,FI37,0))+FQ37*IF(Slot16_SpendLike=1,FS37-FT37,IF(Slot16_PotFree=1,FS37,0))+GA37*IF(Slot17_SpendLike=1,GC37-GD37,IF(Slot17_PotFree=1,GC37,0))+GK37*IF(Slot18_SpendLike=1,GM37-GN37,IF(Slot18_PotFree=1,GM37,0))+GU37*IF(Slot19_SpendLike=1,GW37-GX37,IF(Slot19_PotFree=1,GW37,0))+HE37*IF(Slot20_SpendLike=1,HG37-HH37,IF(Slot20_PotFree=1,HG37,0))</f>
        <v>0</v>
      </c>
      <c r="UM37" s="20" t="n">
        <f aca="false">QG37-T37+UK37-UL37</f>
        <v>0</v>
      </c>
      <c r="UN37" s="20" t="n">
        <f aca="false">IF(OR(UN36=1,AND(In_homeUse="Yes, I'd downsize",In_downAge&gt;0,D37=In_downAge,OR(In_home="Own outright",In_home="Own with mortgage"),In_homeValue&gt;0)),1,0)</f>
        <v>0</v>
      </c>
    </row>
    <row r="38" customFormat="false" ht="15" hidden="false" customHeight="true" outlineLevel="0" collapsed="false">
      <c r="B38" s="20" t="n">
        <v>30</v>
      </c>
      <c r="C38" s="20" t="n">
        <f aca="false">IF(B38&lt;=F_N,1,0)</f>
        <v>1</v>
      </c>
      <c r="D38" s="20" t="n">
        <f aca="false">'Plan pay &amp; tax'!C264</f>
        <v>68</v>
      </c>
      <c r="E38" s="20" t="str">
        <f aca="false">IF($C38=1,"Income tax "&amp;TEXT(N('Plan pay &amp; tax'!BK264),"#,##0")&amp;"; USC "&amp;TEXT(N('Plan pay &amp; tax'!BM264)+N('Plan pay &amp; tax'!BO264),"#,##0")&amp;"; PRSI "&amp;TEXT(N('Plan pay &amp; tax'!BP264)+N('Plan pay &amp; tax'!BQ264),"#,##0")&amp;IF(N('Plan holdings'!BO38)&gt;=0.5,"; DIRT "&amp;TEXT(('Plan holdings'!BO38)/$F38,"#,##0")&amp;" (already taken from the interest earned)","")&amp;IF(N('Plan holdings'!BP38)&gt;=0.5,"; exit tax at an 8-year anniversary "&amp;TEXT(('Plan holdings'!BP38)/$F38,"#,##0"),"")&amp;IF(N('Plan holdings'!BN38)&gt;=0.5,"; tax on assets sold (exit tax or capital gains tax) "&amp;TEXT(('Plan holdings'!BN38)/$F38,"#,##0"),"")&amp;IF(N('Plan pay &amp; tax'!X264)-N('Plan pay &amp; tax'!Y264)&gt;=0.5,"; tax on the pension lump sum "&amp;TEXT(('Plan pay &amp; tax'!X264-'Plan pay &amp; tax'!Y264)/$F38,"#,##0"),"")&amp;IF(N('Plan pay &amp; tax'!V264)&gt;=0.5,"; chargeable excess tax on the pension "&amp;TEXT(('Plan pay &amp; tax'!V264)/$F38,"#,##0"),"")&amp;".","")</f>
        <v>Income tax 746; USC 0; PRSI 0; DIRT 174 (already taken from the interest earned); exit tax at an 8-year anniversary 391.</v>
      </c>
      <c r="F38" s="50" t="n">
        <f aca="false">'Plan pay &amp; tax'!E264</f>
        <v>1.81136158410335</v>
      </c>
      <c r="G38" s="20" t="n">
        <f aca="false">'Plan pay &amp; tax'!G264</f>
        <v>0</v>
      </c>
      <c r="H38" s="20" t="n">
        <f aca="false">'Plan pay &amp; tax'!BT264-'Plan pay &amp; tax'!BS264-'Plan pay &amp; tax'!R264</f>
        <v>66406.5620056574</v>
      </c>
      <c r="I38" s="20" t="n">
        <f aca="false">IF(G38=1,F_CostsM*12,IF(RG_Exists=1,RG_Amount,F_CostsM*12*AS_RetireSpend))*F38+F_OneOffY*F38</f>
        <v>86583.0837201404</v>
      </c>
      <c r="J38" s="20" t="n">
        <f aca="false">IF(UN38=1,0,HR37)</f>
        <v>0</v>
      </c>
      <c r="K38" s="20" t="n">
        <f aca="false">IF(J38&gt;1,'Plan debt months'!AC38,0)</f>
        <v>0</v>
      </c>
      <c r="L38" s="20" t="n">
        <f aca="false">IF(J38&gt;1,'Plan debt months'!AB38,J38)</f>
        <v>0</v>
      </c>
      <c r="M38" s="20" t="n">
        <f aca="false">O37</f>
        <v>0</v>
      </c>
      <c r="N38" s="20" t="n">
        <f aca="false">IF(M38&gt;1,'Plan debt months'!BD38,0)</f>
        <v>0</v>
      </c>
      <c r="O38" s="20" t="n">
        <f aca="false">IF(M38&gt;1,'Plan debt months'!BC38,M38)</f>
        <v>0</v>
      </c>
      <c r="P38" s="20" t="n">
        <f aca="false">R37</f>
        <v>0</v>
      </c>
      <c r="Q38" s="20" t="n">
        <f aca="false">IF(P38&gt;1,'Plan debt months'!CE38,0)</f>
        <v>0</v>
      </c>
      <c r="R38" s="20" t="n">
        <f aca="false">IF(P38&gt;1,'Plan debt months'!CD38,P38)</f>
        <v>0</v>
      </c>
      <c r="S38" s="20" t="n">
        <f aca="false">K38+N38+Q38</f>
        <v>0</v>
      </c>
      <c r="T38" s="57" t="n">
        <f aca="false">'Plan holdings'!Y38</f>
        <v>184818.13110604</v>
      </c>
      <c r="U38" s="57" t="n">
        <f aca="false">'Plan holdings'!BM37</f>
        <v>192090.671852961</v>
      </c>
      <c r="V38" s="20" t="n">
        <f aca="false">IF(AND(Slot1_On=1,D38=Slot1_Age),1,0)</f>
        <v>0</v>
      </c>
      <c r="W38" s="20" t="n">
        <f aca="false">IF(AND(Slot1_On=1,Slot1_Age&gt;D38),1,0)</f>
        <v>0</v>
      </c>
      <c r="X38" s="20" t="n">
        <f aca="false">QM37</f>
        <v>0</v>
      </c>
      <c r="Y38" s="20" t="n">
        <f aca="false">V38*MIN(Slot1_Cost,X38)</f>
        <v>0</v>
      </c>
      <c r="Z38" s="20" t="n">
        <f aca="false">V38*Slot1_SpendLike*MIN(Slot1_Cost-Y38,T38)</f>
        <v>0</v>
      </c>
      <c r="AA38" s="20" t="n">
        <f aca="false">Y38+Z38</f>
        <v>0</v>
      </c>
      <c r="AB38" s="20" t="n">
        <f aca="false">T38-Z38+V38*IF(Slot1_SpendLike=1,X38-Y38,IF(Slot1_PotFree=1,X38,0))</f>
        <v>184818.13110604</v>
      </c>
      <c r="AC38" s="20" t="n">
        <f aca="false">AF38+V38*Slot1_BufPot*X38</f>
        <v>15034.2319867843</v>
      </c>
      <c r="AD38" s="20" t="n">
        <f aca="false">IF(AND(V38=1,Slot1_IsMfree=1),IF(AA38&gt;=Slot1_Cost-1,0,MAX(0,L38-AA38)),L38)</f>
        <v>0</v>
      </c>
      <c r="AE38" s="20" t="n">
        <f aca="false">V38*(Slot1_Cost-AA38)</f>
        <v>0</v>
      </c>
      <c r="AF38" s="20" t="n">
        <f aca="false">QL37</f>
        <v>15034.2319867843</v>
      </c>
      <c r="AG38" s="20" t="n">
        <f aca="false">IF(AND(Slot2_On=1,D38=Slot2_Age),1,0)</f>
        <v>0</v>
      </c>
      <c r="AH38" s="20" t="n">
        <f aca="false">IF(AND(Slot2_On=1,Slot2_Age&gt;D38),1,0)</f>
        <v>0</v>
      </c>
      <c r="AI38" s="20" t="n">
        <f aca="false">QQ37</f>
        <v>0</v>
      </c>
      <c r="AJ38" s="20" t="n">
        <f aca="false">AG38*MIN(Slot2_Cost,AI38)</f>
        <v>0</v>
      </c>
      <c r="AK38" s="20" t="n">
        <f aca="false">AG38*Slot2_SpendLike*MIN(Slot2_Cost-AJ38,AB38)</f>
        <v>0</v>
      </c>
      <c r="AL38" s="20" t="n">
        <f aca="false">AJ38+AK38</f>
        <v>0</v>
      </c>
      <c r="AM38" s="20" t="n">
        <f aca="false">AB38-AK38+AG38*IF(Slot2_SpendLike=1,AI38-AJ38,IF(Slot2_PotFree=1,AI38,0))</f>
        <v>184818.13110604</v>
      </c>
      <c r="AN38" s="20" t="n">
        <f aca="false">AC38+AG38*Slot2_BufPot*AI38</f>
        <v>15034.2319867843</v>
      </c>
      <c r="AO38" s="20" t="n">
        <f aca="false">IF(AND(AG38=1,Slot2_IsMfree=1),IF(AL38&gt;=Slot2_Cost-1,0,MAX(0,AD38-AL38)),AD38)</f>
        <v>0</v>
      </c>
      <c r="AP38" s="20" t="n">
        <f aca="false">AG38*(Slot2_Cost-AL38)</f>
        <v>0</v>
      </c>
      <c r="AQ38" s="20" t="n">
        <f aca="false">IF(AND(Slot3_On=1,D38=Slot3_Age),1,0)</f>
        <v>0</v>
      </c>
      <c r="AR38" s="20" t="n">
        <f aca="false">IF(AND(Slot3_On=1,Slot3_Age&gt;D38),1,0)</f>
        <v>0</v>
      </c>
      <c r="AS38" s="20" t="n">
        <f aca="false">QU37</f>
        <v>0</v>
      </c>
      <c r="AT38" s="20" t="n">
        <f aca="false">AQ38*MIN(Slot3_Cost,AS38)</f>
        <v>0</v>
      </c>
      <c r="AU38" s="20" t="n">
        <f aca="false">AQ38*Slot3_SpendLike*MIN(Slot3_Cost-AT38,AM38)</f>
        <v>0</v>
      </c>
      <c r="AV38" s="20" t="n">
        <f aca="false">AT38+AU38</f>
        <v>0</v>
      </c>
      <c r="AW38" s="20" t="n">
        <f aca="false">AM38-AU38+AQ38*IF(Slot3_SpendLike=1,AS38-AT38,IF(Slot3_PotFree=1,AS38,0))</f>
        <v>184818.13110604</v>
      </c>
      <c r="AX38" s="20" t="n">
        <f aca="false">AN38+AQ38*Slot3_BufPot*AS38</f>
        <v>15034.2319867843</v>
      </c>
      <c r="AY38" s="20" t="n">
        <f aca="false">IF(AND(AQ38=1,Slot3_IsMfree=1),IF(AV38&gt;=Slot3_Cost-1,0,MAX(0,AO38-AV38)),AO38)</f>
        <v>0</v>
      </c>
      <c r="AZ38" s="20" t="n">
        <f aca="false">AQ38*(Slot3_Cost-AV38)</f>
        <v>0</v>
      </c>
      <c r="BA38" s="20" t="n">
        <f aca="false">IF(AND(Slot4_On=1,D38=Slot4_Age),1,0)</f>
        <v>0</v>
      </c>
      <c r="BB38" s="20" t="n">
        <f aca="false">IF(AND(Slot4_On=1,Slot4_Age&gt;D38),1,0)</f>
        <v>0</v>
      </c>
      <c r="BC38" s="20" t="n">
        <f aca="false">QY37</f>
        <v>0</v>
      </c>
      <c r="BD38" s="20" t="n">
        <f aca="false">BA38*MIN(Slot4_Cost,BC38)</f>
        <v>0</v>
      </c>
      <c r="BE38" s="20" t="n">
        <f aca="false">BA38*Slot4_SpendLike*MIN(Slot4_Cost-BD38,AW38)</f>
        <v>0</v>
      </c>
      <c r="BF38" s="20" t="n">
        <f aca="false">BD38+BE38</f>
        <v>0</v>
      </c>
      <c r="BG38" s="20" t="n">
        <f aca="false">AW38-BE38+BA38*IF(Slot4_SpendLike=1,BC38-BD38,IF(Slot4_PotFree=1,BC38,0))</f>
        <v>184818.13110604</v>
      </c>
      <c r="BH38" s="20" t="n">
        <f aca="false">AX38+BA38*Slot4_BufPot*BC38</f>
        <v>15034.2319867843</v>
      </c>
      <c r="BI38" s="20" t="n">
        <f aca="false">IF(AND(BA38=1,Slot4_IsMfree=1),IF(BF38&gt;=Slot4_Cost-1,0,MAX(0,AY38-BF38)),AY38)</f>
        <v>0</v>
      </c>
      <c r="BJ38" s="20" t="n">
        <f aca="false">BA38*(Slot4_Cost-BF38)</f>
        <v>0</v>
      </c>
      <c r="BK38" s="20" t="n">
        <f aca="false">IF(AND(Slot5_On=1,D38=Slot5_Age),1,0)</f>
        <v>0</v>
      </c>
      <c r="BL38" s="20" t="n">
        <f aca="false">IF(AND(Slot5_On=1,Slot5_Age&gt;D38),1,0)</f>
        <v>0</v>
      </c>
      <c r="BM38" s="20" t="n">
        <f aca="false">RC37</f>
        <v>0</v>
      </c>
      <c r="BN38" s="20" t="n">
        <f aca="false">BK38*MIN(Slot5_Cost,BM38)</f>
        <v>0</v>
      </c>
      <c r="BO38" s="20" t="n">
        <f aca="false">BK38*Slot5_SpendLike*MIN(Slot5_Cost-BN38,BG38)</f>
        <v>0</v>
      </c>
      <c r="BP38" s="20" t="n">
        <f aca="false">BN38+BO38</f>
        <v>0</v>
      </c>
      <c r="BQ38" s="20" t="n">
        <f aca="false">BG38-BO38+BK38*IF(Slot5_SpendLike=1,BM38-BN38,IF(Slot5_PotFree=1,BM38,0))</f>
        <v>184818.13110604</v>
      </c>
      <c r="BR38" s="20" t="n">
        <f aca="false">BH38+BK38*Slot5_BufPot*BM38</f>
        <v>15034.2319867843</v>
      </c>
      <c r="BS38" s="20" t="n">
        <f aca="false">IF(AND(BK38=1,Slot5_IsMfree=1),IF(BP38&gt;=Slot5_Cost-1,0,MAX(0,BI38-BP38)),BI38)</f>
        <v>0</v>
      </c>
      <c r="BT38" s="20" t="n">
        <f aca="false">BK38*(Slot5_Cost-BP38)</f>
        <v>0</v>
      </c>
      <c r="BU38" s="20" t="n">
        <f aca="false">IF(AND(Slot6_On=1,D38=Slot6_Age),1,0)</f>
        <v>0</v>
      </c>
      <c r="BV38" s="20" t="n">
        <f aca="false">IF(AND(Slot6_On=1,Slot6_Age&gt;D38),1,0)</f>
        <v>0</v>
      </c>
      <c r="BW38" s="20" t="n">
        <f aca="false">RG37</f>
        <v>0</v>
      </c>
      <c r="BX38" s="20" t="n">
        <f aca="false">BU38*MIN(Slot6_Cost,BW38)</f>
        <v>0</v>
      </c>
      <c r="BY38" s="20" t="n">
        <f aca="false">BU38*Slot6_SpendLike*MIN(Slot6_Cost-BX38,BQ38)</f>
        <v>0</v>
      </c>
      <c r="BZ38" s="20" t="n">
        <f aca="false">BX38+BY38</f>
        <v>0</v>
      </c>
      <c r="CA38" s="20" t="n">
        <f aca="false">BQ38-BY38+BU38*IF(Slot6_SpendLike=1,BW38-BX38,IF(Slot6_PotFree=1,BW38,0))</f>
        <v>184818.13110604</v>
      </c>
      <c r="CB38" s="20" t="n">
        <f aca="false">BR38+BU38*Slot6_BufPot*BW38</f>
        <v>15034.2319867843</v>
      </c>
      <c r="CC38" s="20" t="n">
        <f aca="false">IF(AND(BU38=1,Slot6_IsMfree=1),IF(BZ38&gt;=Slot6_Cost-1,0,MAX(0,BS38-BZ38)),BS38)</f>
        <v>0</v>
      </c>
      <c r="CD38" s="20" t="n">
        <f aca="false">BU38*(Slot6_Cost-BZ38)</f>
        <v>0</v>
      </c>
      <c r="CE38" s="20" t="n">
        <f aca="false">IF(AND(Slot7_On=1,D38=Slot7_Age),1,0)</f>
        <v>0</v>
      </c>
      <c r="CF38" s="20" t="n">
        <f aca="false">IF(AND(Slot7_On=1,Slot7_Age&gt;D38),1,0)</f>
        <v>0</v>
      </c>
      <c r="CG38" s="20" t="n">
        <f aca="false">RK37</f>
        <v>0</v>
      </c>
      <c r="CH38" s="20" t="n">
        <f aca="false">CE38*MIN(Slot7_Cost,CG38)</f>
        <v>0</v>
      </c>
      <c r="CI38" s="20" t="n">
        <f aca="false">CE38*Slot7_SpendLike*MIN(Slot7_Cost-CH38,CA38)</f>
        <v>0</v>
      </c>
      <c r="CJ38" s="20" t="n">
        <f aca="false">CH38+CI38</f>
        <v>0</v>
      </c>
      <c r="CK38" s="20" t="n">
        <f aca="false">CA38-CI38+CE38*IF(Slot7_SpendLike=1,CG38-CH38,IF(Slot7_PotFree=1,CG38,0))</f>
        <v>184818.13110604</v>
      </c>
      <c r="CL38" s="20" t="n">
        <f aca="false">CB38+CE38*Slot7_BufPot*CG38</f>
        <v>15034.2319867843</v>
      </c>
      <c r="CM38" s="20" t="n">
        <f aca="false">IF(AND(CE38=1,Slot7_IsMfree=1),IF(CJ38&gt;=Slot7_Cost-1,0,MAX(0,CC38-CJ38)),CC38)</f>
        <v>0</v>
      </c>
      <c r="CN38" s="20" t="n">
        <f aca="false">CE38*(Slot7_Cost-CJ38)</f>
        <v>0</v>
      </c>
      <c r="CO38" s="20" t="n">
        <f aca="false">IF(AND(Slot8_On=1,D38=Slot8_Age),1,0)</f>
        <v>0</v>
      </c>
      <c r="CP38" s="20" t="n">
        <f aca="false">IF(AND(Slot8_On=1,Slot8_Age&gt;D38),1,0)</f>
        <v>0</v>
      </c>
      <c r="CQ38" s="20" t="n">
        <f aca="false">RO37</f>
        <v>0</v>
      </c>
      <c r="CR38" s="20" t="n">
        <f aca="false">CO38*MIN(Slot8_Cost,CQ38)</f>
        <v>0</v>
      </c>
      <c r="CS38" s="20" t="n">
        <f aca="false">CO38*Slot8_SpendLike*MIN(Slot8_Cost-CR38,CK38)</f>
        <v>0</v>
      </c>
      <c r="CT38" s="20" t="n">
        <f aca="false">CR38+CS38</f>
        <v>0</v>
      </c>
      <c r="CU38" s="20" t="n">
        <f aca="false">CK38-CS38+CO38*IF(Slot8_SpendLike=1,CQ38-CR38,IF(Slot8_PotFree=1,CQ38,0))</f>
        <v>184818.13110604</v>
      </c>
      <c r="CV38" s="20" t="n">
        <f aca="false">CL38+CO38*Slot8_BufPot*CQ38</f>
        <v>15034.2319867843</v>
      </c>
      <c r="CW38" s="20" t="n">
        <f aca="false">IF(AND(CO38=1,Slot8_IsMfree=1),IF(CT38&gt;=Slot8_Cost-1,0,MAX(0,CM38-CT38)),CM38)</f>
        <v>0</v>
      </c>
      <c r="CX38" s="20" t="n">
        <f aca="false">CO38*(Slot8_Cost-CT38)</f>
        <v>0</v>
      </c>
      <c r="CY38" s="20" t="n">
        <f aca="false">IF(AND(Slot9_On=1,D38=Slot9_Age),1,0)</f>
        <v>0</v>
      </c>
      <c r="CZ38" s="20" t="n">
        <f aca="false">IF(AND(Slot9_On=1,Slot9_Age&gt;D38),1,0)</f>
        <v>0</v>
      </c>
      <c r="DA38" s="20" t="n">
        <f aca="false">RS37</f>
        <v>0</v>
      </c>
      <c r="DB38" s="20" t="n">
        <f aca="false">CY38*MIN(Slot9_Cost,DA38)</f>
        <v>0</v>
      </c>
      <c r="DC38" s="20" t="n">
        <f aca="false">CY38*Slot9_SpendLike*MIN(Slot9_Cost-DB38,CU38)</f>
        <v>0</v>
      </c>
      <c r="DD38" s="20" t="n">
        <f aca="false">DB38+DC38</f>
        <v>0</v>
      </c>
      <c r="DE38" s="20" t="n">
        <f aca="false">CU38-DC38+CY38*IF(Slot9_SpendLike=1,DA38-DB38,IF(Slot9_PotFree=1,DA38,0))</f>
        <v>184818.13110604</v>
      </c>
      <c r="DF38" s="20" t="n">
        <f aca="false">CV38+CY38*Slot9_BufPot*DA38</f>
        <v>15034.2319867843</v>
      </c>
      <c r="DG38" s="20" t="n">
        <f aca="false">IF(AND(CY38=1,Slot9_IsMfree=1),IF(DD38&gt;=Slot9_Cost-1,0,MAX(0,CW38-DD38)),CW38)</f>
        <v>0</v>
      </c>
      <c r="DH38" s="20" t="n">
        <f aca="false">CY38*(Slot9_Cost-DD38)</f>
        <v>0</v>
      </c>
      <c r="DI38" s="20" t="n">
        <f aca="false">IF(AND(Slot10_On=1,D38=Slot10_Age),1,0)</f>
        <v>0</v>
      </c>
      <c r="DJ38" s="20" t="n">
        <f aca="false">IF(AND(Slot10_On=1,Slot10_Age&gt;D38),1,0)</f>
        <v>0</v>
      </c>
      <c r="DK38" s="20" t="n">
        <f aca="false">RW37</f>
        <v>0</v>
      </c>
      <c r="DL38" s="20" t="n">
        <f aca="false">DI38*MIN(Slot10_Cost,DK38)</f>
        <v>0</v>
      </c>
      <c r="DM38" s="20" t="n">
        <f aca="false">DI38*Slot10_SpendLike*MIN(Slot10_Cost-DL38,DE38)</f>
        <v>0</v>
      </c>
      <c r="DN38" s="20" t="n">
        <f aca="false">DL38+DM38</f>
        <v>0</v>
      </c>
      <c r="DO38" s="20" t="n">
        <f aca="false">DE38-DM38+DI38*IF(Slot10_SpendLike=1,DK38-DL38,IF(Slot10_PotFree=1,DK38,0))</f>
        <v>184818.13110604</v>
      </c>
      <c r="DP38" s="20" t="n">
        <f aca="false">DF38+DI38*Slot10_BufPot*DK38</f>
        <v>15034.2319867843</v>
      </c>
      <c r="DQ38" s="20" t="n">
        <f aca="false">IF(AND(DI38=1,Slot10_IsMfree=1),IF(DN38&gt;=Slot10_Cost-1,0,MAX(0,DG38-DN38)),DG38)</f>
        <v>0</v>
      </c>
      <c r="DR38" s="20" t="n">
        <f aca="false">DI38*(Slot10_Cost-DN38)</f>
        <v>0</v>
      </c>
      <c r="DS38" s="20" t="n">
        <f aca="false">IF(AND(Slot11_On=1,D38=Slot11_Age),1,0)</f>
        <v>0</v>
      </c>
      <c r="DT38" s="20" t="n">
        <f aca="false">IF(AND(Slot11_On=1,Slot11_Age&gt;D38),1,0)</f>
        <v>0</v>
      </c>
      <c r="DU38" s="20" t="n">
        <f aca="false">SA37</f>
        <v>0</v>
      </c>
      <c r="DV38" s="20" t="n">
        <f aca="false">DS38*MIN(Slot11_Cost,DU38)</f>
        <v>0</v>
      </c>
      <c r="DW38" s="20" t="n">
        <f aca="false">DS38*Slot11_SpendLike*MIN(Slot11_Cost-DV38,DO38)</f>
        <v>0</v>
      </c>
      <c r="DX38" s="20" t="n">
        <f aca="false">DV38+DW38</f>
        <v>0</v>
      </c>
      <c r="DY38" s="20" t="n">
        <f aca="false">DO38-DW38+DS38*IF(Slot11_SpendLike=1,DU38-DV38,IF(Slot11_PotFree=1,DU38,0))</f>
        <v>184818.13110604</v>
      </c>
      <c r="DZ38" s="20" t="n">
        <f aca="false">DP38+DS38*Slot11_BufPot*DU38</f>
        <v>15034.2319867843</v>
      </c>
      <c r="EA38" s="20" t="n">
        <f aca="false">IF(AND(DS38=1,Slot11_IsMfree=1),IF(DX38&gt;=Slot11_Cost-1,0,MAX(0,DQ38-DX38)),DQ38)</f>
        <v>0</v>
      </c>
      <c r="EB38" s="20" t="n">
        <f aca="false">DS38*(Slot11_Cost-DX38)</f>
        <v>0</v>
      </c>
      <c r="EC38" s="20" t="n">
        <f aca="false">IF(AND(Slot12_On=1,D38=Slot12_Age),1,0)</f>
        <v>0</v>
      </c>
      <c r="ED38" s="20" t="n">
        <f aca="false">IF(AND(Slot12_On=1,Slot12_Age&gt;D38),1,0)</f>
        <v>0</v>
      </c>
      <c r="EE38" s="20" t="n">
        <f aca="false">SE37</f>
        <v>0</v>
      </c>
      <c r="EF38" s="20" t="n">
        <f aca="false">EC38*MIN(Slot12_Cost,EE38)</f>
        <v>0</v>
      </c>
      <c r="EG38" s="20" t="n">
        <f aca="false">EC38*Slot12_SpendLike*MIN(Slot12_Cost-EF38,DY38)</f>
        <v>0</v>
      </c>
      <c r="EH38" s="20" t="n">
        <f aca="false">EF38+EG38</f>
        <v>0</v>
      </c>
      <c r="EI38" s="20" t="n">
        <f aca="false">DY38-EG38+EC38*IF(Slot12_SpendLike=1,EE38-EF38,IF(Slot12_PotFree=1,EE38,0))</f>
        <v>184818.13110604</v>
      </c>
      <c r="EJ38" s="20" t="n">
        <f aca="false">DZ38+EC38*Slot12_BufPot*EE38</f>
        <v>15034.2319867843</v>
      </c>
      <c r="EK38" s="20" t="n">
        <f aca="false">IF(AND(EC38=1,Slot12_IsMfree=1),IF(EH38&gt;=Slot12_Cost-1,0,MAX(0,EA38-EH38)),EA38)</f>
        <v>0</v>
      </c>
      <c r="EL38" s="20" t="n">
        <f aca="false">EC38*(Slot12_Cost-EH38)</f>
        <v>0</v>
      </c>
      <c r="EM38" s="20" t="n">
        <f aca="false">IF(AND(Slot13_On=1,D38=Slot13_Age),1,0)</f>
        <v>0</v>
      </c>
      <c r="EN38" s="20" t="n">
        <f aca="false">IF(AND(Slot13_On=1,Slot13_Age&gt;D38),1,0)</f>
        <v>0</v>
      </c>
      <c r="EO38" s="20" t="n">
        <f aca="false">SI37</f>
        <v>0</v>
      </c>
      <c r="EP38" s="20" t="n">
        <f aca="false">EM38*MIN(Slot13_Cost,EO38)</f>
        <v>0</v>
      </c>
      <c r="EQ38" s="20" t="n">
        <f aca="false">EM38*Slot13_SpendLike*MIN(Slot13_Cost-EP38,EI38)</f>
        <v>0</v>
      </c>
      <c r="ER38" s="20" t="n">
        <f aca="false">EP38+EQ38</f>
        <v>0</v>
      </c>
      <c r="ES38" s="20" t="n">
        <f aca="false">EI38-EQ38+EM38*IF(Slot13_SpendLike=1,EO38-EP38,IF(Slot13_PotFree=1,EO38,0))</f>
        <v>184818.13110604</v>
      </c>
      <c r="ET38" s="20" t="n">
        <f aca="false">EJ38+EM38*Slot13_BufPot*EO38</f>
        <v>15034.2319867843</v>
      </c>
      <c r="EU38" s="20" t="n">
        <f aca="false">IF(AND(EM38=1,Slot13_IsMfree=1),IF(ER38&gt;=Slot13_Cost-1,0,MAX(0,EK38-ER38)),EK38)</f>
        <v>0</v>
      </c>
      <c r="EV38" s="20" t="n">
        <f aca="false">EM38*(Slot13_Cost-ER38)</f>
        <v>0</v>
      </c>
      <c r="EW38" s="20" t="n">
        <f aca="false">IF(AND(Slot14_On=1,D38=Slot14_Age),1,0)</f>
        <v>0</v>
      </c>
      <c r="EX38" s="20" t="n">
        <f aca="false">IF(AND(Slot14_On=1,Slot14_Age&gt;D38),1,0)</f>
        <v>0</v>
      </c>
      <c r="EY38" s="20" t="n">
        <f aca="false">SM37</f>
        <v>0</v>
      </c>
      <c r="EZ38" s="20" t="n">
        <f aca="false">EW38*MIN(Slot14_Cost,EY38)</f>
        <v>0</v>
      </c>
      <c r="FA38" s="20" t="n">
        <f aca="false">EW38*Slot14_SpendLike*MIN(Slot14_Cost-EZ38,ES38)</f>
        <v>0</v>
      </c>
      <c r="FB38" s="20" t="n">
        <f aca="false">EZ38+FA38</f>
        <v>0</v>
      </c>
      <c r="FC38" s="20" t="n">
        <f aca="false">ES38-FA38+EW38*IF(Slot14_SpendLike=1,EY38-EZ38,IF(Slot14_PotFree=1,EY38,0))</f>
        <v>184818.13110604</v>
      </c>
      <c r="FD38" s="20" t="n">
        <f aca="false">ET38+EW38*Slot14_BufPot*EY38</f>
        <v>15034.2319867843</v>
      </c>
      <c r="FE38" s="20" t="n">
        <f aca="false">IF(AND(EW38=1,Slot14_IsMfree=1),IF(FB38&gt;=Slot14_Cost-1,0,MAX(0,EU38-FB38)),EU38)</f>
        <v>0</v>
      </c>
      <c r="FF38" s="20" t="n">
        <f aca="false">EW38*(Slot14_Cost-FB38)</f>
        <v>0</v>
      </c>
      <c r="FG38" s="20" t="n">
        <f aca="false">IF(AND(Slot15_On=1,D38=Slot15_Age),1,0)</f>
        <v>0</v>
      </c>
      <c r="FH38" s="20" t="n">
        <f aca="false">IF(AND(Slot15_On=1,Slot15_Age&gt;D38),1,0)</f>
        <v>0</v>
      </c>
      <c r="FI38" s="20" t="n">
        <f aca="false">SQ37</f>
        <v>0</v>
      </c>
      <c r="FJ38" s="20" t="n">
        <f aca="false">FG38*MIN(Slot15_Cost,FI38)</f>
        <v>0</v>
      </c>
      <c r="FK38" s="20" t="n">
        <f aca="false">FG38*Slot15_SpendLike*MIN(Slot15_Cost-FJ38,FC38)</f>
        <v>0</v>
      </c>
      <c r="FL38" s="20" t="n">
        <f aca="false">FJ38+FK38</f>
        <v>0</v>
      </c>
      <c r="FM38" s="20" t="n">
        <f aca="false">FC38-FK38+FG38*IF(Slot15_SpendLike=1,FI38-FJ38,IF(Slot15_PotFree=1,FI38,0))</f>
        <v>184818.13110604</v>
      </c>
      <c r="FN38" s="20" t="n">
        <f aca="false">FD38+FG38*Slot15_BufPot*FI38</f>
        <v>15034.2319867843</v>
      </c>
      <c r="FO38" s="20" t="n">
        <f aca="false">IF(AND(FG38=1,Slot15_IsMfree=1),IF(FL38&gt;=Slot15_Cost-1,0,MAX(0,FE38-FL38)),FE38)</f>
        <v>0</v>
      </c>
      <c r="FP38" s="20" t="n">
        <f aca="false">FG38*(Slot15_Cost-FL38)</f>
        <v>0</v>
      </c>
      <c r="FQ38" s="20" t="n">
        <f aca="false">IF(AND(Slot16_On=1,D38=Slot16_Age),1,0)</f>
        <v>0</v>
      </c>
      <c r="FR38" s="20" t="n">
        <f aca="false">IF(AND(Slot16_On=1,Slot16_Age&gt;D38),1,0)</f>
        <v>0</v>
      </c>
      <c r="FS38" s="20" t="n">
        <f aca="false">SU37</f>
        <v>0</v>
      </c>
      <c r="FT38" s="20" t="n">
        <f aca="false">FQ38*MIN(Slot16_Cost,FS38)</f>
        <v>0</v>
      </c>
      <c r="FU38" s="20" t="n">
        <f aca="false">FQ38*Slot16_SpendLike*MIN(Slot16_Cost-FT38,FM38)</f>
        <v>0</v>
      </c>
      <c r="FV38" s="20" t="n">
        <f aca="false">FT38+FU38</f>
        <v>0</v>
      </c>
      <c r="FW38" s="20" t="n">
        <f aca="false">FM38-FU38+FQ38*IF(Slot16_SpendLike=1,FS38-FT38,IF(Slot16_PotFree=1,FS38,0))</f>
        <v>184818.13110604</v>
      </c>
      <c r="FX38" s="20" t="n">
        <f aca="false">FN38+FQ38*Slot16_BufPot*FS38</f>
        <v>15034.2319867843</v>
      </c>
      <c r="FY38" s="20" t="n">
        <f aca="false">IF(AND(FQ38=1,Slot16_IsMfree=1),IF(FV38&gt;=Slot16_Cost-1,0,MAX(0,FO38-FV38)),FO38)</f>
        <v>0</v>
      </c>
      <c r="FZ38" s="20" t="n">
        <f aca="false">FQ38*(Slot16_Cost-FV38)</f>
        <v>0</v>
      </c>
      <c r="GA38" s="20" t="n">
        <f aca="false">IF(AND(Slot17_On=1,D38=Slot17_Age),1,0)</f>
        <v>0</v>
      </c>
      <c r="GB38" s="20" t="n">
        <f aca="false">IF(AND(Slot17_On=1,Slot17_Age&gt;D38),1,0)</f>
        <v>0</v>
      </c>
      <c r="GC38" s="20" t="n">
        <f aca="false">SY37</f>
        <v>0</v>
      </c>
      <c r="GD38" s="20" t="n">
        <f aca="false">GA38*MIN(Slot17_Cost,GC38)</f>
        <v>0</v>
      </c>
      <c r="GE38" s="20" t="n">
        <f aca="false">GA38*Slot17_SpendLike*MIN(Slot17_Cost-GD38,FW38)</f>
        <v>0</v>
      </c>
      <c r="GF38" s="20" t="n">
        <f aca="false">GD38+GE38</f>
        <v>0</v>
      </c>
      <c r="GG38" s="20" t="n">
        <f aca="false">FW38-GE38+GA38*IF(Slot17_SpendLike=1,GC38-GD38,IF(Slot17_PotFree=1,GC38,0))</f>
        <v>184818.13110604</v>
      </c>
      <c r="GH38" s="20" t="n">
        <f aca="false">FX38+GA38*Slot17_BufPot*GC38</f>
        <v>15034.2319867843</v>
      </c>
      <c r="GI38" s="20" t="n">
        <f aca="false">IF(AND(GA38=1,Slot17_IsMfree=1),IF(GF38&gt;=Slot17_Cost-1,0,MAX(0,FY38-GF38)),FY38)</f>
        <v>0</v>
      </c>
      <c r="GJ38" s="20" t="n">
        <f aca="false">GA38*(Slot17_Cost-GF38)</f>
        <v>0</v>
      </c>
      <c r="GK38" s="20" t="n">
        <f aca="false">IF(AND(Slot18_On=1,D38=Slot18_Age),1,0)</f>
        <v>0</v>
      </c>
      <c r="GL38" s="20" t="n">
        <f aca="false">IF(AND(Slot18_On=1,Slot18_Age&gt;D38),1,0)</f>
        <v>0</v>
      </c>
      <c r="GM38" s="20" t="n">
        <f aca="false">TC37</f>
        <v>0</v>
      </c>
      <c r="GN38" s="20" t="n">
        <f aca="false">GK38*MIN(Slot18_Cost,GM38)</f>
        <v>0</v>
      </c>
      <c r="GO38" s="20" t="n">
        <f aca="false">GK38*Slot18_SpendLike*MIN(Slot18_Cost-GN38,GG38)</f>
        <v>0</v>
      </c>
      <c r="GP38" s="20" t="n">
        <f aca="false">GN38+GO38</f>
        <v>0</v>
      </c>
      <c r="GQ38" s="20" t="n">
        <f aca="false">GG38-GO38+GK38*IF(Slot18_SpendLike=1,GM38-GN38,IF(Slot18_PotFree=1,GM38,0))</f>
        <v>184818.13110604</v>
      </c>
      <c r="GR38" s="20" t="n">
        <f aca="false">GH38+GK38*Slot18_BufPot*GM38</f>
        <v>15034.2319867843</v>
      </c>
      <c r="GS38" s="20" t="n">
        <f aca="false">IF(AND(GK38=1,Slot18_IsMfree=1),IF(GP38&gt;=Slot18_Cost-1,0,MAX(0,GI38-GP38)),GI38)</f>
        <v>0</v>
      </c>
      <c r="GT38" s="20" t="n">
        <f aca="false">GK38*(Slot18_Cost-GP38)</f>
        <v>0</v>
      </c>
      <c r="GU38" s="20" t="n">
        <f aca="false">IF(AND(Slot19_On=1,D38=Slot19_Age),1,0)</f>
        <v>0</v>
      </c>
      <c r="GV38" s="20" t="n">
        <f aca="false">IF(AND(Slot19_On=1,Slot19_Age&gt;D38),1,0)</f>
        <v>0</v>
      </c>
      <c r="GW38" s="20" t="n">
        <f aca="false">TG37</f>
        <v>0</v>
      </c>
      <c r="GX38" s="20" t="n">
        <f aca="false">GU38*MIN(Slot19_Cost,GW38)</f>
        <v>0</v>
      </c>
      <c r="GY38" s="20" t="n">
        <f aca="false">GU38*Slot19_SpendLike*MIN(Slot19_Cost-GX38,GQ38)</f>
        <v>0</v>
      </c>
      <c r="GZ38" s="20" t="n">
        <f aca="false">GX38+GY38</f>
        <v>0</v>
      </c>
      <c r="HA38" s="20" t="n">
        <f aca="false">GQ38-GY38+GU38*IF(Slot19_SpendLike=1,GW38-GX38,IF(Slot19_PotFree=1,GW38,0))</f>
        <v>184818.13110604</v>
      </c>
      <c r="HB38" s="20" t="n">
        <f aca="false">GR38+GU38*Slot19_BufPot*GW38</f>
        <v>15034.2319867843</v>
      </c>
      <c r="HC38" s="20" t="n">
        <f aca="false">IF(AND(GU38=1,Slot19_IsMfree=1),IF(GZ38&gt;=Slot19_Cost-1,0,MAX(0,GS38-GZ38)),GS38)</f>
        <v>0</v>
      </c>
      <c r="HD38" s="20" t="n">
        <f aca="false">GU38*(Slot19_Cost-GZ38)</f>
        <v>0</v>
      </c>
      <c r="HE38" s="20" t="n">
        <f aca="false">IF(AND(Slot20_On=1,D38=Slot20_Age),1,0)</f>
        <v>0</v>
      </c>
      <c r="HF38" s="20" t="n">
        <f aca="false">IF(AND(Slot20_On=1,Slot20_Age&gt;D38),1,0)</f>
        <v>0</v>
      </c>
      <c r="HG38" s="20" t="n">
        <f aca="false">TK37</f>
        <v>0</v>
      </c>
      <c r="HH38" s="20" t="n">
        <f aca="false">HE38*MIN(Slot20_Cost,HG38)</f>
        <v>0</v>
      </c>
      <c r="HI38" s="20" t="n">
        <f aca="false">HE38*Slot20_SpendLike*MIN(Slot20_Cost-HH38,HA38)</f>
        <v>0</v>
      </c>
      <c r="HJ38" s="20" t="n">
        <f aca="false">HH38+HI38</f>
        <v>0</v>
      </c>
      <c r="HK38" s="20" t="n">
        <f aca="false">HA38-HI38+HE38*IF(Slot20_SpendLike=1,HG38-HH38,IF(Slot20_PotFree=1,HG38,0))</f>
        <v>184818.13110604</v>
      </c>
      <c r="HL38" s="20" t="n">
        <f aca="false">HB38+HE38*Slot20_BufPot*HG38</f>
        <v>15034.2319867843</v>
      </c>
      <c r="HM38" s="20" t="n">
        <f aca="false">IF(AND(HE38=1,Slot20_IsMfree=1),IF(HJ38&gt;=Slot20_Cost-1,0,MAX(0,HC38-HJ38)),HC38)</f>
        <v>0</v>
      </c>
      <c r="HN38" s="20" t="n">
        <f aca="false">HE38*(Slot20_Cost-HJ38)</f>
        <v>0</v>
      </c>
      <c r="HO38" s="20" t="n">
        <f aca="false">V38*Slot1_SpendLike*AA38+AG38*Slot2_SpendLike*AL38+AQ38*Slot3_SpendLike*AV38+BA38*Slot4_SpendLike*BF38+BK38*Slot5_SpendLike*BP38+BU38*Slot6_SpendLike*BZ38+CE38*Slot7_SpendLike*CJ38+CO38*Slot8_SpendLike*CT38+CY38*Slot9_SpendLike*DD38+DI38*Slot10_SpendLike*DN38+DS38*Slot11_SpendLike*DX38+EC38*Slot12_SpendLike*EH38+EM38*Slot13_SpendLike*ER38+EW38*Slot14_SpendLike*FB38+FG38*Slot15_SpendLike*FL38+FQ38*Slot16_SpendLike*FV38+GA38*Slot17_SpendLike*GF38+GK38*Slot18_SpendLike*GP38+GU38*Slot19_SpendLike*GZ38+HE38*Slot20_SpendLike*HJ38</f>
        <v>0</v>
      </c>
      <c r="HP38" s="20" t="n">
        <f aca="false">AE38+AP38+AZ38+BJ38+BT38+CD38+CN38+CX38+DH38+DR38+EB38+EL38+EV38+FF38+FP38+FZ38+GJ38+GT38+HD38+HN38</f>
        <v>0</v>
      </c>
      <c r="HQ38" s="20" t="n">
        <f aca="false">V38*Slot1_Cost+AG38*Slot2_Cost+AQ38*Slot3_Cost+BA38*Slot4_Cost+BK38*Slot5_Cost+BU38*Slot6_Cost+CE38*Slot7_Cost+CO38*Slot8_Cost+CY38*Slot9_Cost+DI38*Slot10_Cost+DS38*Slot11_Cost+EC38*Slot12_Cost+EM38*Slot13_Cost+EW38*Slot14_Cost+FG38*Slot15_Cost+FQ38*Slot16_Cost+GA38*Slot17_Cost+GK38*Slot18_Cost+GU38*Slot19_Cost+HE38*Slot20_Cost</f>
        <v>0</v>
      </c>
      <c r="HR38" s="20" t="n">
        <f aca="false">HM38</f>
        <v>0</v>
      </c>
      <c r="HS38" s="20" t="n">
        <f aca="false">H38-I38-S38</f>
        <v>-20176.5217144829</v>
      </c>
      <c r="HT38" s="20" t="n">
        <f aca="false">IF(B38=0,IF(AND(Has_q6=1,In_q6=4),PR_ShareVaries*(MAX(0,HS38)/12),MIN(IF(Has_q6=1,CHOOSE(In_q6+1,PR_SaveB1,PR_SaveB2,PR_SaveB3,PR_SaveB4,0),AS_NoAnswer),AS_SaveShare*(MAX(0,HS38)/12))),HT37)</f>
        <v>67.3316893520437</v>
      </c>
      <c r="HU38" s="20" t="n">
        <f aca="false">IF(HS38&gt;=0,1,0)</f>
        <v>0</v>
      </c>
      <c r="HV38" s="20" t="n">
        <f aca="false">MAX(0,HS38/12/F38)</f>
        <v>0</v>
      </c>
      <c r="HW38" s="20" t="n">
        <f aca="false">IF(AND(Has_q6=1,In_q6=4),PR_ShareVaries*(HV38),MIN(IF(Has_q6=1,CHOOSE(In_q6+1,PR_SaveB1,PR_SaveB2,PR_SaveB3,PR_SaveB4,0),AS_NoAnswer),AS_SaveShare*(HV38)))</f>
        <v>0</v>
      </c>
      <c r="HX38" s="20" t="n">
        <f aca="false">IF(Has_saveM=1,IF(In_saveUp="Yes",1,IF(In_saveUp="No",0,IF(In_saveM&gt;=HT38-0.5,1,0))),0)</f>
        <v>0</v>
      </c>
      <c r="HY38" s="20" t="n">
        <f aca="false">IF(Has_saveM=1,MIN(HV38,IF(HX38=1,MAX(In_saveM,HW38),MIN(In_saveM,HW38))),HW38)</f>
        <v>0</v>
      </c>
      <c r="HZ38" s="20" t="n">
        <f aca="false">IF(G38=1,HY38*12*F38,0)</f>
        <v>0</v>
      </c>
      <c r="IA38" s="20" t="n">
        <f aca="false">MAX(0,HZ38+IF(AND(WI_Retire=0,WI_M&lt;0,G38=1),WI_M*12*F38,0))</f>
        <v>0</v>
      </c>
      <c r="IB38" s="20" t="n">
        <f aca="false">Slot1_IsWG*W38+Slot2_IsWG*AH38+Slot3_IsWG*AR38+Slot4_IsWG*BB38+Slot5_IsWG*BL38+Slot6_IsWG*BV38+Slot7_IsWG*CF38+Slot8_IsWG*CP38+Slot9_IsWG*CZ38+Slot10_IsWG*DJ38+Slot11_IsWG*DT38+Slot12_IsWG*ED38+Slot13_IsWG*EN38+Slot14_IsWG*EX38+Slot15_IsWG*FH38+Slot16_IsWG*FR38+Slot17_IsWG*GB38+Slot18_IsWG*GL38+Slot19_IsWG*GV38+Slot20_IsWG*HF38</f>
        <v>0</v>
      </c>
      <c r="IC38" s="20" t="n">
        <f aca="false">IF(AND(WI_Retire=0,WI_M&gt;0,G38=1,IB38&gt;=1),WI_M*12*F38,0)</f>
        <v>0</v>
      </c>
      <c r="ID38" s="20" t="n">
        <f aca="false">IF(HU38=1,MIN(IA38,HS38),0)</f>
        <v>0</v>
      </c>
      <c r="IE38" s="20" t="n">
        <f aca="false">IF(HU38=1,MIN(IC38,HS38-ID38),0)</f>
        <v>0</v>
      </c>
      <c r="IF38" s="20" t="n">
        <f aca="false">IF(W38=1,IF(ABS((1+AS_Wage)/(1+Slot1_Rate)-1)&lt;0.000000000001,(Slot1_Age-D38)*(1+Slot1_Rate)^(Slot1_Age-D38),(1+Slot1_Rate)^(Slot1_Age-D38)*(1-((1+AS_Wage)/(1+Slot1_Rate))^(Slot1_Age-D38))/(1-(1+AS_Wage)/(1+Slot1_Rate))),1)</f>
        <v>1</v>
      </c>
      <c r="IG38" s="20" t="n">
        <f aca="false">IF(AND(HU38=1,IE38&gt;0,Slot1_IsWG=1,W38=1),MAX(0,(Slot1_Cost-X38*(1+Slot1_Rate)^(Slot1_Age-D38))/IF38),0)</f>
        <v>0</v>
      </c>
      <c r="IH38" s="20" t="n">
        <f aca="false">IF(AND(HU38=1,IE38&gt;0,Slot1_IsWG=1,W38=1),MIN(IE38,IG38),0)</f>
        <v>0</v>
      </c>
      <c r="II38" s="20" t="n">
        <f aca="false">X38+IH38</f>
        <v>0</v>
      </c>
      <c r="IJ38" s="20" t="n">
        <f aca="false">IF(W38=1,MAX(0,(Slot1_Cost-II38*(1+Slot1_Rate)^(Slot1_Age-D38))/IF38),0)</f>
        <v>0</v>
      </c>
      <c r="IK38" s="20" t="n">
        <f aca="false">IF(W38=1,MAX(0,(Slot1_Cost-X38*(1+Slot1_Rate)^(Slot1_Age-D38))/IF38),0)</f>
        <v>0</v>
      </c>
      <c r="IL38" s="20" t="n">
        <f aca="false">IF(AND(HU38=1,W38=1),MIN(ID38,IJ38),0)</f>
        <v>0</v>
      </c>
      <c r="IM38" s="20" t="n">
        <f aca="false">ID38-IL38</f>
        <v>0</v>
      </c>
      <c r="IN38" s="20" t="n">
        <f aca="false">IF(AH38=1,IF(ABS((1+AS_Wage)/(1+Slot2_Rate)-1)&lt;0.000000000001,(Slot2_Age-D38)*(1+Slot2_Rate)^(Slot2_Age-D38),(1+Slot2_Rate)^(Slot2_Age-D38)*(1-((1+AS_Wage)/(1+Slot2_Rate))^(Slot2_Age-D38))/(1-(1+AS_Wage)/(1+Slot2_Rate))),1)</f>
        <v>1</v>
      </c>
      <c r="IO38" s="20" t="n">
        <f aca="false">IF(AND(HU38=1,IE38&gt;0,Slot2_IsWG=1,AH38=1),MAX(0,(Slot2_Cost-AI38*(1+Slot2_Rate)^(Slot2_Age-D38))/IN38),0)</f>
        <v>0</v>
      </c>
      <c r="IP38" s="20" t="n">
        <f aca="false">IF(AND(HU38=1,IE38&gt;0,Slot2_IsWG=1,AH38=1),MIN(IE38,IO38),0)</f>
        <v>0</v>
      </c>
      <c r="IQ38" s="20" t="n">
        <f aca="false">AI38+IP38</f>
        <v>0</v>
      </c>
      <c r="IR38" s="20" t="n">
        <f aca="false">IF(AH38=1,MAX(0,(Slot2_Cost-IQ38*(1+Slot2_Rate)^(Slot2_Age-D38))/IN38),0)</f>
        <v>0</v>
      </c>
      <c r="IS38" s="20" t="n">
        <f aca="false">IF(AH38=1,MAX(0,(Slot2_Cost-AI38*(1+Slot2_Rate)^(Slot2_Age-D38))/IN38),0)</f>
        <v>0</v>
      </c>
      <c r="IT38" s="20" t="n">
        <f aca="false">IF(AND(HU38=1,AH38=1),MIN(IM38,IR38),0)</f>
        <v>0</v>
      </c>
      <c r="IU38" s="20" t="n">
        <f aca="false">IM38-IT38</f>
        <v>0</v>
      </c>
      <c r="IV38" s="20" t="n">
        <f aca="false">IF(AR38=1,IF(ABS((1+AS_Wage)/(1+Slot3_Rate)-1)&lt;0.000000000001,(Slot3_Age-D38)*(1+Slot3_Rate)^(Slot3_Age-D38),(1+Slot3_Rate)^(Slot3_Age-D38)*(1-((1+AS_Wage)/(1+Slot3_Rate))^(Slot3_Age-D38))/(1-(1+AS_Wage)/(1+Slot3_Rate))),1)</f>
        <v>1</v>
      </c>
      <c r="IW38" s="20" t="n">
        <f aca="false">IF(AND(HU38=1,IE38&gt;0,Slot3_IsWG=1,AR38=1),MAX(0,(Slot3_Cost-AS38*(1+Slot3_Rate)^(Slot3_Age-D38))/IV38),0)</f>
        <v>0</v>
      </c>
      <c r="IX38" s="20" t="n">
        <f aca="false">IF(AND(HU38=1,IE38&gt;0,Slot3_IsWG=1,AR38=1),MIN(IE38,IW38),0)</f>
        <v>0</v>
      </c>
      <c r="IY38" s="20" t="n">
        <f aca="false">AS38+IX38</f>
        <v>0</v>
      </c>
      <c r="IZ38" s="20" t="n">
        <f aca="false">IF(AR38=1,MAX(0,(Slot3_Cost-IY38*(1+Slot3_Rate)^(Slot3_Age-D38))/IV38),0)</f>
        <v>0</v>
      </c>
      <c r="JA38" s="20" t="n">
        <f aca="false">IF(AR38=1,MAX(0,(Slot3_Cost-AS38*(1+Slot3_Rate)^(Slot3_Age-D38))/IV38),0)</f>
        <v>0</v>
      </c>
      <c r="JB38" s="20" t="n">
        <f aca="false">IF(AND(HU38=1,AR38=1),MIN(IU38,IZ38),0)</f>
        <v>0</v>
      </c>
      <c r="JC38" s="20" t="n">
        <f aca="false">IU38-JB38</f>
        <v>0</v>
      </c>
      <c r="JD38" s="20" t="n">
        <f aca="false">IF(BB38=1,IF(ABS((1+AS_Wage)/(1+Slot4_Rate)-1)&lt;0.000000000001,(Slot4_Age-D38)*(1+Slot4_Rate)^(Slot4_Age-D38),(1+Slot4_Rate)^(Slot4_Age-D38)*(1-((1+AS_Wage)/(1+Slot4_Rate))^(Slot4_Age-D38))/(1-(1+AS_Wage)/(1+Slot4_Rate))),1)</f>
        <v>1</v>
      </c>
      <c r="JE38" s="20" t="n">
        <f aca="false">IF(AND(HU38=1,IE38&gt;0,Slot4_IsWG=1,BB38=1),MAX(0,(Slot4_Cost-BC38*(1+Slot4_Rate)^(Slot4_Age-D38))/JD38),0)</f>
        <v>0</v>
      </c>
      <c r="JF38" s="20" t="n">
        <f aca="false">IF(AND(HU38=1,IE38&gt;0,Slot4_IsWG=1,BB38=1),MIN(IE38,JE38),0)</f>
        <v>0</v>
      </c>
      <c r="JG38" s="20" t="n">
        <f aca="false">BC38+JF38</f>
        <v>0</v>
      </c>
      <c r="JH38" s="20" t="n">
        <f aca="false">IF(BB38=1,MAX(0,(Slot4_Cost-JG38*(1+Slot4_Rate)^(Slot4_Age-D38))/JD38),0)</f>
        <v>0</v>
      </c>
      <c r="JI38" s="20" t="n">
        <f aca="false">IF(BB38=1,MAX(0,(Slot4_Cost-BC38*(1+Slot4_Rate)^(Slot4_Age-D38))/JD38),0)</f>
        <v>0</v>
      </c>
      <c r="JJ38" s="20" t="n">
        <f aca="false">IF(AND(HU38=1,BB38=1),MIN(JC38,JH38),0)</f>
        <v>0</v>
      </c>
      <c r="JK38" s="20" t="n">
        <f aca="false">JC38-JJ38</f>
        <v>0</v>
      </c>
      <c r="JL38" s="20" t="n">
        <f aca="false">IF(BL38=1,IF(ABS((1+AS_Wage)/(1+Slot5_Rate)-1)&lt;0.000000000001,(Slot5_Age-D38)*(1+Slot5_Rate)^(Slot5_Age-D38),(1+Slot5_Rate)^(Slot5_Age-D38)*(1-((1+AS_Wage)/(1+Slot5_Rate))^(Slot5_Age-D38))/(1-(1+AS_Wage)/(1+Slot5_Rate))),1)</f>
        <v>1</v>
      </c>
      <c r="JM38" s="20" t="n">
        <f aca="false">IF(AND(HU38=1,IE38&gt;0,Slot5_IsWG=1,BL38=1),MAX(0,(Slot5_Cost-BM38*(1+Slot5_Rate)^(Slot5_Age-D38))/JL38),0)</f>
        <v>0</v>
      </c>
      <c r="JN38" s="20" t="n">
        <f aca="false">IF(AND(HU38=1,IE38&gt;0,Slot5_IsWG=1,BL38=1),MIN(IE38,JM38),0)</f>
        <v>0</v>
      </c>
      <c r="JO38" s="20" t="n">
        <f aca="false">BM38+JN38</f>
        <v>0</v>
      </c>
      <c r="JP38" s="20" t="n">
        <f aca="false">IF(BL38=1,MAX(0,(Slot5_Cost-JO38*(1+Slot5_Rate)^(Slot5_Age-D38))/JL38),0)</f>
        <v>0</v>
      </c>
      <c r="JQ38" s="20" t="n">
        <f aca="false">IF(BL38=1,MAX(0,(Slot5_Cost-BM38*(1+Slot5_Rate)^(Slot5_Age-D38))/JL38),0)</f>
        <v>0</v>
      </c>
      <c r="JR38" s="20" t="n">
        <f aca="false">IF(AND(HU38=1,BL38=1),MIN(JK38,JP38),0)</f>
        <v>0</v>
      </c>
      <c r="JS38" s="20" t="n">
        <f aca="false">JK38-JR38</f>
        <v>0</v>
      </c>
      <c r="JT38" s="20" t="n">
        <f aca="false">IF(BV38=1,IF(ABS((1+AS_Wage)/(1+Slot6_Rate)-1)&lt;0.000000000001,(Slot6_Age-D38)*(1+Slot6_Rate)^(Slot6_Age-D38),(1+Slot6_Rate)^(Slot6_Age-D38)*(1-((1+AS_Wage)/(1+Slot6_Rate))^(Slot6_Age-D38))/(1-(1+AS_Wage)/(1+Slot6_Rate))),1)</f>
        <v>1</v>
      </c>
      <c r="JU38" s="20" t="n">
        <f aca="false">IF(AND(HU38=1,IE38&gt;0,Slot6_IsWG=1,BV38=1),MAX(0,(Slot6_Cost-BW38*(1+Slot6_Rate)^(Slot6_Age-D38))/JT38),0)</f>
        <v>0</v>
      </c>
      <c r="JV38" s="20" t="n">
        <f aca="false">IF(AND(HU38=1,IE38&gt;0,Slot6_IsWG=1,BV38=1),MIN(IE38,JU38),0)</f>
        <v>0</v>
      </c>
      <c r="JW38" s="20" t="n">
        <f aca="false">BW38+JV38</f>
        <v>0</v>
      </c>
      <c r="JX38" s="20" t="n">
        <f aca="false">IF(BV38=1,MAX(0,(Slot6_Cost-JW38*(1+Slot6_Rate)^(Slot6_Age-D38))/JT38),0)</f>
        <v>0</v>
      </c>
      <c r="JY38" s="20" t="n">
        <f aca="false">IF(BV38=1,MAX(0,(Slot6_Cost-BW38*(1+Slot6_Rate)^(Slot6_Age-D38))/JT38),0)</f>
        <v>0</v>
      </c>
      <c r="JZ38" s="20" t="n">
        <f aca="false">IF(AND(HU38=1,BV38=1),MIN(JS38,JX38),0)</f>
        <v>0</v>
      </c>
      <c r="KA38" s="20" t="n">
        <f aca="false">JS38-JZ38</f>
        <v>0</v>
      </c>
      <c r="KB38" s="20" t="n">
        <f aca="false">IF(CF38=1,IF(ABS((1+AS_Wage)/(1+Slot7_Rate)-1)&lt;0.000000000001,(Slot7_Age-D38)*(1+Slot7_Rate)^(Slot7_Age-D38),(1+Slot7_Rate)^(Slot7_Age-D38)*(1-((1+AS_Wage)/(1+Slot7_Rate))^(Slot7_Age-D38))/(1-(1+AS_Wage)/(1+Slot7_Rate))),1)</f>
        <v>1</v>
      </c>
      <c r="KC38" s="20" t="n">
        <f aca="false">IF(AND(HU38=1,IE38&gt;0,Slot7_IsWG=1,CF38=1),MAX(0,(Slot7_Cost-CG38*(1+Slot7_Rate)^(Slot7_Age-D38))/KB38),0)</f>
        <v>0</v>
      </c>
      <c r="KD38" s="20" t="n">
        <f aca="false">IF(AND(HU38=1,IE38&gt;0,Slot7_IsWG=1,CF38=1),MIN(IE38,KC38),0)</f>
        <v>0</v>
      </c>
      <c r="KE38" s="20" t="n">
        <f aca="false">CG38+KD38</f>
        <v>0</v>
      </c>
      <c r="KF38" s="20" t="n">
        <f aca="false">IF(CF38=1,MAX(0,(Slot7_Cost-KE38*(1+Slot7_Rate)^(Slot7_Age-D38))/KB38),0)</f>
        <v>0</v>
      </c>
      <c r="KG38" s="20" t="n">
        <f aca="false">IF(CF38=1,MAX(0,(Slot7_Cost-CG38*(1+Slot7_Rate)^(Slot7_Age-D38))/KB38),0)</f>
        <v>0</v>
      </c>
      <c r="KH38" s="20" t="n">
        <f aca="false">IF(AND(HU38=1,CF38=1),MIN(KA38,KF38),0)</f>
        <v>0</v>
      </c>
      <c r="KI38" s="20" t="n">
        <f aca="false">KA38-KH38</f>
        <v>0</v>
      </c>
      <c r="KJ38" s="20" t="n">
        <f aca="false">IF(CP38=1,IF(ABS((1+AS_Wage)/(1+Slot8_Rate)-1)&lt;0.000000000001,(Slot8_Age-D38)*(1+Slot8_Rate)^(Slot8_Age-D38),(1+Slot8_Rate)^(Slot8_Age-D38)*(1-((1+AS_Wage)/(1+Slot8_Rate))^(Slot8_Age-D38))/(1-(1+AS_Wage)/(1+Slot8_Rate))),1)</f>
        <v>1</v>
      </c>
      <c r="KK38" s="20" t="n">
        <f aca="false">IF(AND(HU38=1,IE38&gt;0,Slot8_IsWG=1,CP38=1),MAX(0,(Slot8_Cost-CQ38*(1+Slot8_Rate)^(Slot8_Age-D38))/KJ38),0)</f>
        <v>0</v>
      </c>
      <c r="KL38" s="20" t="n">
        <f aca="false">IF(AND(HU38=1,IE38&gt;0,Slot8_IsWG=1,CP38=1),MIN(IE38,KK38),0)</f>
        <v>0</v>
      </c>
      <c r="KM38" s="20" t="n">
        <f aca="false">CQ38+KL38</f>
        <v>0</v>
      </c>
      <c r="KN38" s="20" t="n">
        <f aca="false">IF(CP38=1,MAX(0,(Slot8_Cost-KM38*(1+Slot8_Rate)^(Slot8_Age-D38))/KJ38),0)</f>
        <v>0</v>
      </c>
      <c r="KO38" s="20" t="n">
        <f aca="false">IF(CP38=1,MAX(0,(Slot8_Cost-CQ38*(1+Slot8_Rate)^(Slot8_Age-D38))/KJ38),0)</f>
        <v>0</v>
      </c>
      <c r="KP38" s="20" t="n">
        <f aca="false">IF(AND(HU38=1,CP38=1),MIN(KI38,KN38),0)</f>
        <v>0</v>
      </c>
      <c r="KQ38" s="20" t="n">
        <f aca="false">KI38-KP38</f>
        <v>0</v>
      </c>
      <c r="KR38" s="20" t="n">
        <f aca="false">IF(CZ38=1,IF(ABS((1+AS_Wage)/(1+Slot9_Rate)-1)&lt;0.000000000001,(Slot9_Age-D38)*(1+Slot9_Rate)^(Slot9_Age-D38),(1+Slot9_Rate)^(Slot9_Age-D38)*(1-((1+AS_Wage)/(1+Slot9_Rate))^(Slot9_Age-D38))/(1-(1+AS_Wage)/(1+Slot9_Rate))),1)</f>
        <v>1</v>
      </c>
      <c r="KS38" s="20" t="n">
        <f aca="false">IF(AND(HU38=1,IE38&gt;0,Slot9_IsWG=1,CZ38=1),MAX(0,(Slot9_Cost-DA38*(1+Slot9_Rate)^(Slot9_Age-D38))/KR38),0)</f>
        <v>0</v>
      </c>
      <c r="KT38" s="20" t="n">
        <f aca="false">IF(AND(HU38=1,IE38&gt;0,Slot9_IsWG=1,CZ38=1),MIN(IE38,KS38),0)</f>
        <v>0</v>
      </c>
      <c r="KU38" s="20" t="n">
        <f aca="false">DA38+KT38</f>
        <v>0</v>
      </c>
      <c r="KV38" s="20" t="n">
        <f aca="false">IF(CZ38=1,MAX(0,(Slot9_Cost-KU38*(1+Slot9_Rate)^(Slot9_Age-D38))/KR38),0)</f>
        <v>0</v>
      </c>
      <c r="KW38" s="20" t="n">
        <f aca="false">IF(CZ38=1,MAX(0,(Slot9_Cost-DA38*(1+Slot9_Rate)^(Slot9_Age-D38))/KR38),0)</f>
        <v>0</v>
      </c>
      <c r="KX38" s="20" t="n">
        <f aca="false">IF(AND(HU38=1,CZ38=1),MIN(KQ38,KV38),0)</f>
        <v>0</v>
      </c>
      <c r="KY38" s="20" t="n">
        <f aca="false">KQ38-KX38</f>
        <v>0</v>
      </c>
      <c r="KZ38" s="20" t="n">
        <f aca="false">IF(DJ38=1,IF(ABS((1+AS_Wage)/(1+Slot10_Rate)-1)&lt;0.000000000001,(Slot10_Age-D38)*(1+Slot10_Rate)^(Slot10_Age-D38),(1+Slot10_Rate)^(Slot10_Age-D38)*(1-((1+AS_Wage)/(1+Slot10_Rate))^(Slot10_Age-D38))/(1-(1+AS_Wage)/(1+Slot10_Rate))),1)</f>
        <v>1</v>
      </c>
      <c r="LA38" s="20" t="n">
        <f aca="false">IF(AND(HU38=1,IE38&gt;0,Slot10_IsWG=1,DJ38=1),MAX(0,(Slot10_Cost-DK38*(1+Slot10_Rate)^(Slot10_Age-D38))/KZ38),0)</f>
        <v>0</v>
      </c>
      <c r="LB38" s="20" t="n">
        <f aca="false">IF(AND(HU38=1,IE38&gt;0,Slot10_IsWG=1,DJ38=1),MIN(IE38,LA38),0)</f>
        <v>0</v>
      </c>
      <c r="LC38" s="20" t="n">
        <f aca="false">DK38+LB38</f>
        <v>0</v>
      </c>
      <c r="LD38" s="20" t="n">
        <f aca="false">IF(DJ38=1,MAX(0,(Slot10_Cost-LC38*(1+Slot10_Rate)^(Slot10_Age-D38))/KZ38),0)</f>
        <v>0</v>
      </c>
      <c r="LE38" s="20" t="n">
        <f aca="false">IF(DJ38=1,MAX(0,(Slot10_Cost-DK38*(1+Slot10_Rate)^(Slot10_Age-D38))/KZ38),0)</f>
        <v>0</v>
      </c>
      <c r="LF38" s="20" t="n">
        <f aca="false">IF(AND(HU38=1,DJ38=1),MIN(KY38,LD38),0)</f>
        <v>0</v>
      </c>
      <c r="LG38" s="20" t="n">
        <f aca="false">KY38-LF38</f>
        <v>0</v>
      </c>
      <c r="LH38" s="20" t="n">
        <f aca="false">IF(DT38=1,IF(ABS((1+AS_Wage)/(1+Slot11_Rate)-1)&lt;0.000000000001,(Slot11_Age-D38)*(1+Slot11_Rate)^(Slot11_Age-D38),(1+Slot11_Rate)^(Slot11_Age-D38)*(1-((1+AS_Wage)/(1+Slot11_Rate))^(Slot11_Age-D38))/(1-(1+AS_Wage)/(1+Slot11_Rate))),1)</f>
        <v>1</v>
      </c>
      <c r="LI38" s="20" t="n">
        <f aca="false">IF(AND(HU38=1,IE38&gt;0,Slot11_IsWG=1,DT38=1),MAX(0,(Slot11_Cost-DU38*(1+Slot11_Rate)^(Slot11_Age-D38))/LH38),0)</f>
        <v>0</v>
      </c>
      <c r="LJ38" s="20" t="n">
        <f aca="false">IF(AND(HU38=1,IE38&gt;0,Slot11_IsWG=1,DT38=1),MIN(IE38,LI38),0)</f>
        <v>0</v>
      </c>
      <c r="LK38" s="20" t="n">
        <f aca="false">DU38+LJ38</f>
        <v>0</v>
      </c>
      <c r="LL38" s="20" t="n">
        <f aca="false">IF(DT38=1,MAX(0,(Slot11_Cost-LK38*(1+Slot11_Rate)^(Slot11_Age-D38))/LH38),0)</f>
        <v>0</v>
      </c>
      <c r="LM38" s="20" t="n">
        <f aca="false">IF(DT38=1,MAX(0,(Slot11_Cost-DU38*(1+Slot11_Rate)^(Slot11_Age-D38))/LH38),0)</f>
        <v>0</v>
      </c>
      <c r="LN38" s="20" t="n">
        <f aca="false">IF(AND(HU38=1,DT38=1),MIN(LG38,LL38),0)</f>
        <v>0</v>
      </c>
      <c r="LO38" s="20" t="n">
        <f aca="false">LG38-LN38</f>
        <v>0</v>
      </c>
      <c r="LP38" s="20" t="n">
        <f aca="false">IF(ED38=1,IF(ABS((1+AS_Wage)/(1+Slot12_Rate)-1)&lt;0.000000000001,(Slot12_Age-D38)*(1+Slot12_Rate)^(Slot12_Age-D38),(1+Slot12_Rate)^(Slot12_Age-D38)*(1-((1+AS_Wage)/(1+Slot12_Rate))^(Slot12_Age-D38))/(1-(1+AS_Wage)/(1+Slot12_Rate))),1)</f>
        <v>1</v>
      </c>
      <c r="LQ38" s="20" t="n">
        <f aca="false">IF(AND(HU38=1,IE38&gt;0,Slot12_IsWG=1,ED38=1),MAX(0,(Slot12_Cost-EE38*(1+Slot12_Rate)^(Slot12_Age-D38))/LP38),0)</f>
        <v>0</v>
      </c>
      <c r="LR38" s="20" t="n">
        <f aca="false">IF(AND(HU38=1,IE38&gt;0,Slot12_IsWG=1,ED38=1),MIN(IE38,LQ38),0)</f>
        <v>0</v>
      </c>
      <c r="LS38" s="20" t="n">
        <f aca="false">EE38+LR38</f>
        <v>0</v>
      </c>
      <c r="LT38" s="20" t="n">
        <f aca="false">IF(ED38=1,MAX(0,(Slot12_Cost-LS38*(1+Slot12_Rate)^(Slot12_Age-D38))/LP38),0)</f>
        <v>0</v>
      </c>
      <c r="LU38" s="20" t="n">
        <f aca="false">IF(ED38=1,MAX(0,(Slot12_Cost-EE38*(1+Slot12_Rate)^(Slot12_Age-D38))/LP38),0)</f>
        <v>0</v>
      </c>
      <c r="LV38" s="20" t="n">
        <f aca="false">IF(AND(HU38=1,ED38=1),MIN(LO38,LT38),0)</f>
        <v>0</v>
      </c>
      <c r="LW38" s="20" t="n">
        <f aca="false">LO38-LV38</f>
        <v>0</v>
      </c>
      <c r="LX38" s="20" t="n">
        <f aca="false">IF(EN38=1,IF(ABS((1+AS_Wage)/(1+Slot13_Rate)-1)&lt;0.000000000001,(Slot13_Age-D38)*(1+Slot13_Rate)^(Slot13_Age-D38),(1+Slot13_Rate)^(Slot13_Age-D38)*(1-((1+AS_Wage)/(1+Slot13_Rate))^(Slot13_Age-D38))/(1-(1+AS_Wage)/(1+Slot13_Rate))),1)</f>
        <v>1</v>
      </c>
      <c r="LY38" s="20" t="n">
        <f aca="false">IF(AND(HU38=1,IE38&gt;0,Slot13_IsWG=1,EN38=1),MAX(0,(Slot13_Cost-EO38*(1+Slot13_Rate)^(Slot13_Age-D38))/LX38),0)</f>
        <v>0</v>
      </c>
      <c r="LZ38" s="20" t="n">
        <f aca="false">IF(AND(HU38=1,IE38&gt;0,Slot13_IsWG=1,EN38=1),MIN(IE38,LY38),0)</f>
        <v>0</v>
      </c>
      <c r="MA38" s="20" t="n">
        <f aca="false">EO38+LZ38</f>
        <v>0</v>
      </c>
      <c r="MB38" s="20" t="n">
        <f aca="false">IF(EN38=1,MAX(0,(Slot13_Cost-MA38*(1+Slot13_Rate)^(Slot13_Age-D38))/LX38),0)</f>
        <v>0</v>
      </c>
      <c r="MC38" s="20" t="n">
        <f aca="false">IF(EN38=1,MAX(0,(Slot13_Cost-EO38*(1+Slot13_Rate)^(Slot13_Age-D38))/LX38),0)</f>
        <v>0</v>
      </c>
      <c r="MD38" s="20" t="n">
        <f aca="false">IF(AND(HU38=1,EN38=1),MIN(LW38,MB38),0)</f>
        <v>0</v>
      </c>
      <c r="ME38" s="20" t="n">
        <f aca="false">LW38-MD38</f>
        <v>0</v>
      </c>
      <c r="MF38" s="20" t="n">
        <f aca="false">IF(EX38=1,IF(ABS((1+AS_Wage)/(1+Slot14_Rate)-1)&lt;0.000000000001,(Slot14_Age-D38)*(1+Slot14_Rate)^(Slot14_Age-D38),(1+Slot14_Rate)^(Slot14_Age-D38)*(1-((1+AS_Wage)/(1+Slot14_Rate))^(Slot14_Age-D38))/(1-(1+AS_Wage)/(1+Slot14_Rate))),1)</f>
        <v>1</v>
      </c>
      <c r="MG38" s="20" t="n">
        <f aca="false">IF(AND(HU38=1,IE38&gt;0,Slot14_IsWG=1,EX38=1),MAX(0,(Slot14_Cost-EY38*(1+Slot14_Rate)^(Slot14_Age-D38))/MF38),0)</f>
        <v>0</v>
      </c>
      <c r="MH38" s="20" t="n">
        <f aca="false">IF(AND(HU38=1,IE38&gt;0,Slot14_IsWG=1,EX38=1),MIN(IE38,MG38),0)</f>
        <v>0</v>
      </c>
      <c r="MI38" s="20" t="n">
        <f aca="false">EY38+MH38</f>
        <v>0</v>
      </c>
      <c r="MJ38" s="20" t="n">
        <f aca="false">IF(EX38=1,MAX(0,(Slot14_Cost-MI38*(1+Slot14_Rate)^(Slot14_Age-D38))/MF38),0)</f>
        <v>0</v>
      </c>
      <c r="MK38" s="20" t="n">
        <f aca="false">IF(EX38=1,MAX(0,(Slot14_Cost-EY38*(1+Slot14_Rate)^(Slot14_Age-D38))/MF38),0)</f>
        <v>0</v>
      </c>
      <c r="ML38" s="20" t="n">
        <f aca="false">IF(AND(HU38=1,EX38=1),MIN(ME38,MJ38),0)</f>
        <v>0</v>
      </c>
      <c r="MM38" s="20" t="n">
        <f aca="false">ME38-ML38</f>
        <v>0</v>
      </c>
      <c r="MN38" s="20" t="n">
        <f aca="false">IF(FH38=1,IF(ABS((1+AS_Wage)/(1+Slot15_Rate)-1)&lt;0.000000000001,(Slot15_Age-D38)*(1+Slot15_Rate)^(Slot15_Age-D38),(1+Slot15_Rate)^(Slot15_Age-D38)*(1-((1+AS_Wage)/(1+Slot15_Rate))^(Slot15_Age-D38))/(1-(1+AS_Wage)/(1+Slot15_Rate))),1)</f>
        <v>1</v>
      </c>
      <c r="MO38" s="20" t="n">
        <f aca="false">IF(AND(HU38=1,IE38&gt;0,Slot15_IsWG=1,FH38=1),MAX(0,(Slot15_Cost-FI38*(1+Slot15_Rate)^(Slot15_Age-D38))/MN38),0)</f>
        <v>0</v>
      </c>
      <c r="MP38" s="20" t="n">
        <f aca="false">IF(AND(HU38=1,IE38&gt;0,Slot15_IsWG=1,FH38=1),MIN(IE38,MO38),0)</f>
        <v>0</v>
      </c>
      <c r="MQ38" s="20" t="n">
        <f aca="false">FI38+MP38</f>
        <v>0</v>
      </c>
      <c r="MR38" s="20" t="n">
        <f aca="false">IF(FH38=1,MAX(0,(Slot15_Cost-MQ38*(1+Slot15_Rate)^(Slot15_Age-D38))/MN38),0)</f>
        <v>0</v>
      </c>
      <c r="MS38" s="20" t="n">
        <f aca="false">IF(FH38=1,MAX(0,(Slot15_Cost-FI38*(1+Slot15_Rate)^(Slot15_Age-D38))/MN38),0)</f>
        <v>0</v>
      </c>
      <c r="MT38" s="20" t="n">
        <f aca="false">IF(AND(HU38=1,FH38=1),MIN(MM38,MR38),0)</f>
        <v>0</v>
      </c>
      <c r="MU38" s="20" t="n">
        <f aca="false">MM38-MT38</f>
        <v>0</v>
      </c>
      <c r="MV38" s="20" t="n">
        <f aca="false">IF(FR38=1,IF(ABS((1+AS_Wage)/(1+Slot16_Rate)-1)&lt;0.000000000001,(Slot16_Age-D38)*(1+Slot16_Rate)^(Slot16_Age-D38),(1+Slot16_Rate)^(Slot16_Age-D38)*(1-((1+AS_Wage)/(1+Slot16_Rate))^(Slot16_Age-D38))/(1-(1+AS_Wage)/(1+Slot16_Rate))),1)</f>
        <v>1</v>
      </c>
      <c r="MW38" s="20" t="n">
        <f aca="false">IF(AND(HU38=1,IE38&gt;0,Slot16_IsWG=1,FR38=1),MAX(0,(Slot16_Cost-FS38*(1+Slot16_Rate)^(Slot16_Age-D38))/MV38),0)</f>
        <v>0</v>
      </c>
      <c r="MX38" s="20" t="n">
        <f aca="false">IF(AND(HU38=1,IE38&gt;0,Slot16_IsWG=1,FR38=1),MIN(IE38,MW38),0)</f>
        <v>0</v>
      </c>
      <c r="MY38" s="20" t="n">
        <f aca="false">FS38+MX38</f>
        <v>0</v>
      </c>
      <c r="MZ38" s="20" t="n">
        <f aca="false">IF(FR38=1,MAX(0,(Slot16_Cost-MY38*(1+Slot16_Rate)^(Slot16_Age-D38))/MV38),0)</f>
        <v>0</v>
      </c>
      <c r="NA38" s="20" t="n">
        <f aca="false">IF(FR38=1,MAX(0,(Slot16_Cost-FS38*(1+Slot16_Rate)^(Slot16_Age-D38))/MV38),0)</f>
        <v>0</v>
      </c>
      <c r="NB38" s="20" t="n">
        <f aca="false">IF(AND(HU38=1,FR38=1),MIN(MU38,MZ38),0)</f>
        <v>0</v>
      </c>
      <c r="NC38" s="20" t="n">
        <f aca="false">MU38-NB38</f>
        <v>0</v>
      </c>
      <c r="ND38" s="20" t="n">
        <f aca="false">IF(GB38=1,IF(ABS((1+AS_Wage)/(1+Slot17_Rate)-1)&lt;0.000000000001,(Slot17_Age-D38)*(1+Slot17_Rate)^(Slot17_Age-D38),(1+Slot17_Rate)^(Slot17_Age-D38)*(1-((1+AS_Wage)/(1+Slot17_Rate))^(Slot17_Age-D38))/(1-(1+AS_Wage)/(1+Slot17_Rate))),1)</f>
        <v>1</v>
      </c>
      <c r="NE38" s="20" t="n">
        <f aca="false">IF(AND(HU38=1,IE38&gt;0,Slot17_IsWG=1,GB38=1),MAX(0,(Slot17_Cost-GC38*(1+Slot17_Rate)^(Slot17_Age-D38))/ND38),0)</f>
        <v>0</v>
      </c>
      <c r="NF38" s="20" t="n">
        <f aca="false">IF(AND(HU38=1,IE38&gt;0,Slot17_IsWG=1,GB38=1),MIN(IE38,NE38),0)</f>
        <v>0</v>
      </c>
      <c r="NG38" s="20" t="n">
        <f aca="false">GC38+NF38</f>
        <v>0</v>
      </c>
      <c r="NH38" s="20" t="n">
        <f aca="false">IF(GB38=1,MAX(0,(Slot17_Cost-NG38*(1+Slot17_Rate)^(Slot17_Age-D38))/ND38),0)</f>
        <v>0</v>
      </c>
      <c r="NI38" s="20" t="n">
        <f aca="false">IF(GB38=1,MAX(0,(Slot17_Cost-GC38*(1+Slot17_Rate)^(Slot17_Age-D38))/ND38),0)</f>
        <v>0</v>
      </c>
      <c r="NJ38" s="20" t="n">
        <f aca="false">IF(AND(HU38=1,GB38=1),MIN(NC38,NH38),0)</f>
        <v>0</v>
      </c>
      <c r="NK38" s="20" t="n">
        <f aca="false">NC38-NJ38</f>
        <v>0</v>
      </c>
      <c r="NL38" s="20" t="n">
        <f aca="false">IF(GL38=1,IF(ABS((1+AS_Wage)/(1+Slot18_Rate)-1)&lt;0.000000000001,(Slot18_Age-D38)*(1+Slot18_Rate)^(Slot18_Age-D38),(1+Slot18_Rate)^(Slot18_Age-D38)*(1-((1+AS_Wage)/(1+Slot18_Rate))^(Slot18_Age-D38))/(1-(1+AS_Wage)/(1+Slot18_Rate))),1)</f>
        <v>1</v>
      </c>
      <c r="NM38" s="20" t="n">
        <f aca="false">IF(AND(HU38=1,IE38&gt;0,Slot18_IsWG=1,GL38=1),MAX(0,(Slot18_Cost-GM38*(1+Slot18_Rate)^(Slot18_Age-D38))/NL38),0)</f>
        <v>0</v>
      </c>
      <c r="NN38" s="20" t="n">
        <f aca="false">IF(AND(HU38=1,IE38&gt;0,Slot18_IsWG=1,GL38=1),MIN(IE38,NM38),0)</f>
        <v>0</v>
      </c>
      <c r="NO38" s="20" t="n">
        <f aca="false">GM38+NN38</f>
        <v>0</v>
      </c>
      <c r="NP38" s="20" t="n">
        <f aca="false">IF(GL38=1,MAX(0,(Slot18_Cost-NO38*(1+Slot18_Rate)^(Slot18_Age-D38))/NL38),0)</f>
        <v>0</v>
      </c>
      <c r="NQ38" s="20" t="n">
        <f aca="false">IF(GL38=1,MAX(0,(Slot18_Cost-GM38*(1+Slot18_Rate)^(Slot18_Age-D38))/NL38),0)</f>
        <v>0</v>
      </c>
      <c r="NR38" s="20" t="n">
        <f aca="false">IF(AND(HU38=1,GL38=1),MIN(NK38,NP38),0)</f>
        <v>0</v>
      </c>
      <c r="NS38" s="20" t="n">
        <f aca="false">NK38-NR38</f>
        <v>0</v>
      </c>
      <c r="NT38" s="20" t="n">
        <f aca="false">IF(GV38=1,IF(ABS((1+AS_Wage)/(1+Slot19_Rate)-1)&lt;0.000000000001,(Slot19_Age-D38)*(1+Slot19_Rate)^(Slot19_Age-D38),(1+Slot19_Rate)^(Slot19_Age-D38)*(1-((1+AS_Wage)/(1+Slot19_Rate))^(Slot19_Age-D38))/(1-(1+AS_Wage)/(1+Slot19_Rate))),1)</f>
        <v>1</v>
      </c>
      <c r="NU38" s="20" t="n">
        <f aca="false">IF(AND(HU38=1,IE38&gt;0,Slot19_IsWG=1,GV38=1),MAX(0,(Slot19_Cost-GW38*(1+Slot19_Rate)^(Slot19_Age-D38))/NT38),0)</f>
        <v>0</v>
      </c>
      <c r="NV38" s="20" t="n">
        <f aca="false">IF(AND(HU38=1,IE38&gt;0,Slot19_IsWG=1,GV38=1),MIN(IE38,NU38),0)</f>
        <v>0</v>
      </c>
      <c r="NW38" s="20" t="n">
        <f aca="false">GW38+NV38</f>
        <v>0</v>
      </c>
      <c r="NX38" s="20" t="n">
        <f aca="false">IF(GV38=1,MAX(0,(Slot19_Cost-NW38*(1+Slot19_Rate)^(Slot19_Age-D38))/NT38),0)</f>
        <v>0</v>
      </c>
      <c r="NY38" s="20" t="n">
        <f aca="false">IF(GV38=1,MAX(0,(Slot19_Cost-GW38*(1+Slot19_Rate)^(Slot19_Age-D38))/NT38),0)</f>
        <v>0</v>
      </c>
      <c r="NZ38" s="20" t="n">
        <f aca="false">IF(AND(HU38=1,GV38=1),MIN(NS38,NX38),0)</f>
        <v>0</v>
      </c>
      <c r="OA38" s="20" t="n">
        <f aca="false">NS38-NZ38</f>
        <v>0</v>
      </c>
      <c r="OB38" s="20" t="n">
        <f aca="false">IF(HF38=1,IF(ABS((1+AS_Wage)/(1+Slot20_Rate)-1)&lt;0.000000000001,(Slot20_Age-D38)*(1+Slot20_Rate)^(Slot20_Age-D38),(1+Slot20_Rate)^(Slot20_Age-D38)*(1-((1+AS_Wage)/(1+Slot20_Rate))^(Slot20_Age-D38))/(1-(1+AS_Wage)/(1+Slot20_Rate))),1)</f>
        <v>1</v>
      </c>
      <c r="OC38" s="20" t="n">
        <f aca="false">IF(AND(HU38=1,IE38&gt;0,Slot20_IsWG=1,HF38=1),MAX(0,(Slot20_Cost-HG38*(1+Slot20_Rate)^(Slot20_Age-D38))/OB38),0)</f>
        <v>0</v>
      </c>
      <c r="OD38" s="20" t="n">
        <f aca="false">IF(AND(HU38=1,IE38&gt;0,Slot20_IsWG=1,HF38=1),MIN(IE38,OC38),0)</f>
        <v>0</v>
      </c>
      <c r="OE38" s="20" t="n">
        <f aca="false">HG38+OD38</f>
        <v>0</v>
      </c>
      <c r="OF38" s="20" t="n">
        <f aca="false">IF(HF38=1,MAX(0,(Slot20_Cost-OE38*(1+Slot20_Rate)^(Slot20_Age-D38))/OB38),0)</f>
        <v>0</v>
      </c>
      <c r="OG38" s="20" t="n">
        <f aca="false">IF(HF38=1,MAX(0,(Slot20_Cost-HG38*(1+Slot20_Rate)^(Slot20_Age-D38))/OB38),0)</f>
        <v>0</v>
      </c>
      <c r="OH38" s="20" t="n">
        <f aca="false">IF(AND(HU38=1,HF38=1),MIN(OA38,OF38),0)</f>
        <v>0</v>
      </c>
      <c r="OI38" s="20" t="n">
        <f aca="false">OA38-OH38</f>
        <v>0</v>
      </c>
      <c r="OJ38" s="20" t="n">
        <f aca="false">IE38-(IH38+IP38+IX38+JF38+JN38+JV38+KD38+KL38+KT38+LB38+LJ38+LR38+LZ38+MH38+MP38+MX38+NF38+NN38+NV38+OD38)</f>
        <v>0</v>
      </c>
      <c r="OK38" s="20" t="n">
        <f aca="false">IF(HU38=1,HS38-ID38-IE38,0)</f>
        <v>0</v>
      </c>
      <c r="OL38" s="20" t="n">
        <f aca="false">IF(HU38=0,-HS38,0)</f>
        <v>20176.5217144829</v>
      </c>
      <c r="OM38" s="20" t="n">
        <f aca="false">MIN(OL38,HK38)</f>
        <v>20176.5217144829</v>
      </c>
      <c r="ON38" s="20" t="n">
        <f aca="false">OL38-OM38</f>
        <v>0</v>
      </c>
      <c r="OO38" s="20" t="n">
        <f aca="false">MIN(ON38,HL38)</f>
        <v>0</v>
      </c>
      <c r="OP38" s="20" t="n">
        <f aca="false">ON38-OO38</f>
        <v>0</v>
      </c>
      <c r="OQ38" s="20" t="n">
        <f aca="false">IF(AND(HU38=0,HF38=1,OP38&gt;0),MIN(OP38,HG38),0)</f>
        <v>0</v>
      </c>
      <c r="OR38" s="20" t="n">
        <f aca="false">OP38-OQ38</f>
        <v>0</v>
      </c>
      <c r="OS38" s="20" t="n">
        <f aca="false">IF(AND(HU38=0,GV38=1,OR38&gt;0),MIN(OR38,GW38),0)</f>
        <v>0</v>
      </c>
      <c r="OT38" s="20" t="n">
        <f aca="false">OR38-OS38</f>
        <v>0</v>
      </c>
      <c r="OU38" s="20" t="n">
        <f aca="false">IF(AND(HU38=0,GL38=1,OT38&gt;0),MIN(OT38,GM38),0)</f>
        <v>0</v>
      </c>
      <c r="OV38" s="20" t="n">
        <f aca="false">OT38-OU38</f>
        <v>0</v>
      </c>
      <c r="OW38" s="20" t="n">
        <f aca="false">IF(AND(HU38=0,GB38=1,OV38&gt;0),MIN(OV38,GC38),0)</f>
        <v>0</v>
      </c>
      <c r="OX38" s="20" t="n">
        <f aca="false">OV38-OW38</f>
        <v>0</v>
      </c>
      <c r="OY38" s="20" t="n">
        <f aca="false">IF(AND(HU38=0,FR38=1,OX38&gt;0),MIN(OX38,FS38),0)</f>
        <v>0</v>
      </c>
      <c r="OZ38" s="20" t="n">
        <f aca="false">OX38-OY38</f>
        <v>0</v>
      </c>
      <c r="PA38" s="20" t="n">
        <f aca="false">IF(AND(HU38=0,FH38=1,OZ38&gt;0),MIN(OZ38,FI38),0)</f>
        <v>0</v>
      </c>
      <c r="PB38" s="20" t="n">
        <f aca="false">OZ38-PA38</f>
        <v>0</v>
      </c>
      <c r="PC38" s="20" t="n">
        <f aca="false">IF(AND(HU38=0,EX38=1,PB38&gt;0),MIN(PB38,EY38),0)</f>
        <v>0</v>
      </c>
      <c r="PD38" s="20" t="n">
        <f aca="false">PB38-PC38</f>
        <v>0</v>
      </c>
      <c r="PE38" s="20" t="n">
        <f aca="false">IF(AND(HU38=0,EN38=1,PD38&gt;0),MIN(PD38,EO38),0)</f>
        <v>0</v>
      </c>
      <c r="PF38" s="20" t="n">
        <f aca="false">PD38-PE38</f>
        <v>0</v>
      </c>
      <c r="PG38" s="20" t="n">
        <f aca="false">IF(AND(HU38=0,ED38=1,PF38&gt;0),MIN(PF38,EE38),0)</f>
        <v>0</v>
      </c>
      <c r="PH38" s="20" t="n">
        <f aca="false">PF38-PG38</f>
        <v>0</v>
      </c>
      <c r="PI38" s="20" t="n">
        <f aca="false">IF(AND(HU38=0,DT38=1,PH38&gt;0),MIN(PH38,DU38),0)</f>
        <v>0</v>
      </c>
      <c r="PJ38" s="20" t="n">
        <f aca="false">PH38-PI38</f>
        <v>0</v>
      </c>
      <c r="PK38" s="20" t="n">
        <f aca="false">IF(AND(HU38=0,DJ38=1,PJ38&gt;0),MIN(PJ38,DK38),0)</f>
        <v>0</v>
      </c>
      <c r="PL38" s="20" t="n">
        <f aca="false">PJ38-PK38</f>
        <v>0</v>
      </c>
      <c r="PM38" s="20" t="n">
        <f aca="false">IF(AND(HU38=0,CZ38=1,PL38&gt;0),MIN(PL38,DA38),0)</f>
        <v>0</v>
      </c>
      <c r="PN38" s="20" t="n">
        <f aca="false">PL38-PM38</f>
        <v>0</v>
      </c>
      <c r="PO38" s="20" t="n">
        <f aca="false">IF(AND(HU38=0,CP38=1,PN38&gt;0),MIN(PN38,CQ38),0)</f>
        <v>0</v>
      </c>
      <c r="PP38" s="20" t="n">
        <f aca="false">PN38-PO38</f>
        <v>0</v>
      </c>
      <c r="PQ38" s="20" t="n">
        <f aca="false">IF(AND(HU38=0,CF38=1,PP38&gt;0),MIN(PP38,CG38),0)</f>
        <v>0</v>
      </c>
      <c r="PR38" s="20" t="n">
        <f aca="false">PP38-PQ38</f>
        <v>0</v>
      </c>
      <c r="PS38" s="20" t="n">
        <f aca="false">IF(AND(HU38=0,BV38=1,PR38&gt;0),MIN(PR38,BW38),0)</f>
        <v>0</v>
      </c>
      <c r="PT38" s="20" t="n">
        <f aca="false">PR38-PS38</f>
        <v>0</v>
      </c>
      <c r="PU38" s="20" t="n">
        <f aca="false">IF(AND(HU38=0,BL38=1,PT38&gt;0),MIN(PT38,BM38),0)</f>
        <v>0</v>
      </c>
      <c r="PV38" s="20" t="n">
        <f aca="false">PT38-PU38</f>
        <v>0</v>
      </c>
      <c r="PW38" s="20" t="n">
        <f aca="false">IF(AND(HU38=0,BB38=1,PV38&gt;0),MIN(PV38,BC38),0)</f>
        <v>0</v>
      </c>
      <c r="PX38" s="20" t="n">
        <f aca="false">PV38-PW38</f>
        <v>0</v>
      </c>
      <c r="PY38" s="20" t="n">
        <f aca="false">IF(AND(HU38=0,AR38=1,PX38&gt;0),MIN(PX38,AS38),0)</f>
        <v>0</v>
      </c>
      <c r="PZ38" s="20" t="n">
        <f aca="false">PX38-PY38</f>
        <v>0</v>
      </c>
      <c r="QA38" s="20" t="n">
        <f aca="false">IF(AND(HU38=0,AH38=1,PZ38&gt;0),MIN(PZ38,AI38),0)</f>
        <v>0</v>
      </c>
      <c r="QB38" s="20" t="n">
        <f aca="false">PZ38-QA38</f>
        <v>0</v>
      </c>
      <c r="QC38" s="20" t="n">
        <f aca="false">IF(AND(HU38=0,W38=1,QB38&gt;0),MIN(QB38,X38),0)</f>
        <v>0</v>
      </c>
      <c r="QD38" s="20" t="n">
        <f aca="false">QB38-QC38</f>
        <v>0</v>
      </c>
      <c r="QE38" s="20" t="n">
        <f aca="false">IF(HU38=0,QD38,0)</f>
        <v>0</v>
      </c>
      <c r="QF38" s="20" t="n">
        <f aca="false">OM38+OO38+QC38+QA38+PY38+PW38+PU38+PS38+PQ38+PO38+PM38+PK38+PI38+PG38+PE38+PC38+PA38+OY38+OW38+OU38+OS38+OQ38</f>
        <v>20176.5217144829</v>
      </c>
      <c r="QG38" s="20" t="n">
        <f aca="false">IF(HU38=1,HK38+OJ38+OI38+IF(G38=1,0,OK38),HK38-OM38)</f>
        <v>164641.609391557</v>
      </c>
      <c r="QH38" s="20" t="n">
        <f aca="false">HL38-OO38</f>
        <v>15034.2319867843</v>
      </c>
      <c r="QI38" s="20" t="n">
        <f aca="false">IF(HU38=1,IF(G38=1,ID38+IE38,HS38),0)</f>
        <v>0</v>
      </c>
      <c r="QJ38" s="20" t="n">
        <f aca="false">IF(HU38=1,IF(G38=1,HS38-ID38-IE38,0),0)</f>
        <v>0</v>
      </c>
      <c r="QK38" s="57" t="n">
        <f aca="false">'Plan holdings'!BM38</f>
        <v>176616.148821779</v>
      </c>
      <c r="QL38" s="20" t="n">
        <f aca="false">QH38*(1+AS_Cash)</f>
        <v>15184.5743066522</v>
      </c>
      <c r="QM38" s="20" t="n">
        <f aca="false">IF(W38=1,IF(HU38=1,II38+IL38,X38-QC38)*(1+Slot1_Rate),0)</f>
        <v>0</v>
      </c>
      <c r="QN38" s="20" t="n">
        <f aca="false">IF(AND(HU38=1,W38=1),(IH38+IL38)/F38,0)</f>
        <v>0</v>
      </c>
      <c r="QO38" s="20" t="n">
        <f aca="false">IF(B38=0,IH38+IL38,0)</f>
        <v>0</v>
      </c>
      <c r="QP38" s="20" t="n">
        <f aca="false">IF(B38=0,IF(HU38=1,IJ38,IK38),0)</f>
        <v>0</v>
      </c>
      <c r="QQ38" s="20" t="n">
        <f aca="false">IF(AH38=1,IF(HU38=1,IQ38+IT38,AI38-QA38)*(1+Slot2_Rate),0)</f>
        <v>0</v>
      </c>
      <c r="QR38" s="20" t="n">
        <f aca="false">IF(AND(HU38=1,AH38=1),(IP38+IT38)/F38,0)</f>
        <v>0</v>
      </c>
      <c r="QS38" s="20" t="n">
        <f aca="false">IF(B38=0,IP38+IT38,0)</f>
        <v>0</v>
      </c>
      <c r="QT38" s="20" t="n">
        <f aca="false">IF(B38=0,IF(HU38=1,IR38,IS38),0)</f>
        <v>0</v>
      </c>
      <c r="QU38" s="20" t="n">
        <f aca="false">IF(AR38=1,IF(HU38=1,IY38+JB38,AS38-PY38)*(1+Slot3_Rate),0)</f>
        <v>0</v>
      </c>
      <c r="QV38" s="20" t="n">
        <f aca="false">IF(AND(HU38=1,AR38=1),(IX38+JB38)/F38,0)</f>
        <v>0</v>
      </c>
      <c r="QW38" s="20" t="n">
        <f aca="false">IF(B38=0,IX38+JB38,0)</f>
        <v>0</v>
      </c>
      <c r="QX38" s="20" t="n">
        <f aca="false">IF(B38=0,IF(HU38=1,IZ38,JA38),0)</f>
        <v>0</v>
      </c>
      <c r="QY38" s="20" t="n">
        <f aca="false">IF(BB38=1,IF(HU38=1,JG38+JJ38,BC38-PW38)*(1+Slot4_Rate),0)</f>
        <v>0</v>
      </c>
      <c r="QZ38" s="20" t="n">
        <f aca="false">IF(AND(HU38=1,BB38=1),(JF38+JJ38)/F38,0)</f>
        <v>0</v>
      </c>
      <c r="RA38" s="20" t="n">
        <f aca="false">IF(B38=0,JF38+JJ38,0)</f>
        <v>0</v>
      </c>
      <c r="RB38" s="20" t="n">
        <f aca="false">IF(B38=0,IF(HU38=1,JH38,JI38),0)</f>
        <v>0</v>
      </c>
      <c r="RC38" s="20" t="n">
        <f aca="false">IF(BL38=1,IF(HU38=1,JO38+JR38,BM38-PU38)*(1+Slot5_Rate),0)</f>
        <v>0</v>
      </c>
      <c r="RD38" s="20" t="n">
        <f aca="false">IF(AND(HU38=1,BL38=1),(JN38+JR38)/F38,0)</f>
        <v>0</v>
      </c>
      <c r="RE38" s="20" t="n">
        <f aca="false">IF(B38=0,JN38+JR38,0)</f>
        <v>0</v>
      </c>
      <c r="RF38" s="20" t="n">
        <f aca="false">IF(B38=0,IF(HU38=1,JP38,JQ38),0)</f>
        <v>0</v>
      </c>
      <c r="RG38" s="20" t="n">
        <f aca="false">IF(BV38=1,IF(HU38=1,JW38+JZ38,BW38-PS38)*(1+Slot6_Rate),0)</f>
        <v>0</v>
      </c>
      <c r="RH38" s="20" t="n">
        <f aca="false">IF(AND(HU38=1,BV38=1),(JV38+JZ38)/F38,0)</f>
        <v>0</v>
      </c>
      <c r="RI38" s="20" t="n">
        <f aca="false">IF(B38=0,JV38+JZ38,0)</f>
        <v>0</v>
      </c>
      <c r="RJ38" s="20" t="n">
        <f aca="false">IF(B38=0,IF(HU38=1,JX38,JY38),0)</f>
        <v>0</v>
      </c>
      <c r="RK38" s="20" t="n">
        <f aca="false">IF(CF38=1,IF(HU38=1,KE38+KH38,CG38-PQ38)*(1+Slot7_Rate),0)</f>
        <v>0</v>
      </c>
      <c r="RL38" s="20" t="n">
        <f aca="false">IF(AND(HU38=1,CF38=1),(KD38+KH38)/F38,0)</f>
        <v>0</v>
      </c>
      <c r="RM38" s="20" t="n">
        <f aca="false">IF(B38=0,KD38+KH38,0)</f>
        <v>0</v>
      </c>
      <c r="RN38" s="20" t="n">
        <f aca="false">IF(B38=0,IF(HU38=1,KF38,KG38),0)</f>
        <v>0</v>
      </c>
      <c r="RO38" s="20" t="n">
        <f aca="false">IF(CP38=1,IF(HU38=1,KM38+KP38,CQ38-PO38)*(1+Slot8_Rate),0)</f>
        <v>0</v>
      </c>
      <c r="RP38" s="20" t="n">
        <f aca="false">IF(AND(HU38=1,CP38=1),(KL38+KP38)/F38,0)</f>
        <v>0</v>
      </c>
      <c r="RQ38" s="20" t="n">
        <f aca="false">IF(B38=0,KL38+KP38,0)</f>
        <v>0</v>
      </c>
      <c r="RR38" s="20" t="n">
        <f aca="false">IF(B38=0,IF(HU38=1,KN38,KO38),0)</f>
        <v>0</v>
      </c>
      <c r="RS38" s="20" t="n">
        <f aca="false">IF(CZ38=1,IF(HU38=1,KU38+KX38,DA38-PM38)*(1+Slot9_Rate),0)</f>
        <v>0</v>
      </c>
      <c r="RT38" s="20" t="n">
        <f aca="false">IF(AND(HU38=1,CZ38=1),(KT38+KX38)/F38,0)</f>
        <v>0</v>
      </c>
      <c r="RU38" s="20" t="n">
        <f aca="false">IF(B38=0,KT38+KX38,0)</f>
        <v>0</v>
      </c>
      <c r="RV38" s="20" t="n">
        <f aca="false">IF(B38=0,IF(HU38=1,KV38,KW38),0)</f>
        <v>0</v>
      </c>
      <c r="RW38" s="20" t="n">
        <f aca="false">IF(DJ38=1,IF(HU38=1,LC38+LF38,DK38-PK38)*(1+Slot10_Rate),0)</f>
        <v>0</v>
      </c>
      <c r="RX38" s="20" t="n">
        <f aca="false">IF(AND(HU38=1,DJ38=1),(LB38+LF38)/F38,0)</f>
        <v>0</v>
      </c>
      <c r="RY38" s="20" t="n">
        <f aca="false">IF(B38=0,LB38+LF38,0)</f>
        <v>0</v>
      </c>
      <c r="RZ38" s="20" t="n">
        <f aca="false">IF(B38=0,IF(HU38=1,LD38,LE38),0)</f>
        <v>0</v>
      </c>
      <c r="SA38" s="20" t="n">
        <f aca="false">IF(DT38=1,IF(HU38=1,LK38+LN38,DU38-PI38)*(1+Slot11_Rate),0)</f>
        <v>0</v>
      </c>
      <c r="SB38" s="20" t="n">
        <f aca="false">IF(AND(HU38=1,DT38=1),(LJ38+LN38)/F38,0)</f>
        <v>0</v>
      </c>
      <c r="SC38" s="20" t="n">
        <f aca="false">IF(B38=0,LJ38+LN38,0)</f>
        <v>0</v>
      </c>
      <c r="SD38" s="20" t="n">
        <f aca="false">IF(B38=0,IF(HU38=1,LL38,LM38),0)</f>
        <v>0</v>
      </c>
      <c r="SE38" s="20" t="n">
        <f aca="false">IF(ED38=1,IF(HU38=1,LS38+LV38,EE38-PG38)*(1+Slot12_Rate),0)</f>
        <v>0</v>
      </c>
      <c r="SF38" s="20" t="n">
        <f aca="false">IF(AND(HU38=1,ED38=1),(LR38+LV38)/F38,0)</f>
        <v>0</v>
      </c>
      <c r="SG38" s="20" t="n">
        <f aca="false">IF(B38=0,LR38+LV38,0)</f>
        <v>0</v>
      </c>
      <c r="SH38" s="20" t="n">
        <f aca="false">IF(B38=0,IF(HU38=1,LT38,LU38),0)</f>
        <v>0</v>
      </c>
      <c r="SI38" s="20" t="n">
        <f aca="false">IF(EN38=1,IF(HU38=1,MA38+MD38,EO38-PE38)*(1+Slot13_Rate),0)</f>
        <v>0</v>
      </c>
      <c r="SJ38" s="20" t="n">
        <f aca="false">IF(AND(HU38=1,EN38=1),(LZ38+MD38)/F38,0)</f>
        <v>0</v>
      </c>
      <c r="SK38" s="20" t="n">
        <f aca="false">IF(B38=0,LZ38+MD38,0)</f>
        <v>0</v>
      </c>
      <c r="SL38" s="20" t="n">
        <f aca="false">IF(B38=0,IF(HU38=1,MB38,MC38),0)</f>
        <v>0</v>
      </c>
      <c r="SM38" s="20" t="n">
        <f aca="false">IF(EX38=1,IF(HU38=1,MI38+ML38,EY38-PC38)*(1+Slot14_Rate),0)</f>
        <v>0</v>
      </c>
      <c r="SN38" s="20" t="n">
        <f aca="false">IF(AND(HU38=1,EX38=1),(MH38+ML38)/F38,0)</f>
        <v>0</v>
      </c>
      <c r="SO38" s="20" t="n">
        <f aca="false">IF(B38=0,MH38+ML38,0)</f>
        <v>0</v>
      </c>
      <c r="SP38" s="20" t="n">
        <f aca="false">IF(B38=0,IF(HU38=1,MJ38,MK38),0)</f>
        <v>0</v>
      </c>
      <c r="SQ38" s="20" t="n">
        <f aca="false">IF(FH38=1,IF(HU38=1,MQ38+MT38,FI38-PA38)*(1+Slot15_Rate),0)</f>
        <v>0</v>
      </c>
      <c r="SR38" s="20" t="n">
        <f aca="false">IF(AND(HU38=1,FH38=1),(MP38+MT38)/F38,0)</f>
        <v>0</v>
      </c>
      <c r="SS38" s="20" t="n">
        <f aca="false">IF(B38=0,MP38+MT38,0)</f>
        <v>0</v>
      </c>
      <c r="ST38" s="20" t="n">
        <f aca="false">IF(B38=0,IF(HU38=1,MR38,MS38),0)</f>
        <v>0</v>
      </c>
      <c r="SU38" s="20" t="n">
        <f aca="false">IF(FR38=1,IF(HU38=1,MY38+NB38,FS38-OY38)*(1+Slot16_Rate),0)</f>
        <v>0</v>
      </c>
      <c r="SV38" s="20" t="n">
        <f aca="false">IF(AND(HU38=1,FR38=1),(MX38+NB38)/F38,0)</f>
        <v>0</v>
      </c>
      <c r="SW38" s="20" t="n">
        <f aca="false">IF(B38=0,MX38+NB38,0)</f>
        <v>0</v>
      </c>
      <c r="SX38" s="20" t="n">
        <f aca="false">IF(B38=0,IF(HU38=1,MZ38,NA38),0)</f>
        <v>0</v>
      </c>
      <c r="SY38" s="20" t="n">
        <f aca="false">IF(GB38=1,IF(HU38=1,NG38+NJ38,GC38-OW38)*(1+Slot17_Rate),0)</f>
        <v>0</v>
      </c>
      <c r="SZ38" s="20" t="n">
        <f aca="false">IF(AND(HU38=1,GB38=1),(NF38+NJ38)/F38,0)</f>
        <v>0</v>
      </c>
      <c r="TA38" s="20" t="n">
        <f aca="false">IF(B38=0,NF38+NJ38,0)</f>
        <v>0</v>
      </c>
      <c r="TB38" s="20" t="n">
        <f aca="false">IF(B38=0,IF(HU38=1,NH38,NI38),0)</f>
        <v>0</v>
      </c>
      <c r="TC38" s="20" t="n">
        <f aca="false">IF(GL38=1,IF(HU38=1,NO38+NR38,GM38-OU38)*(1+Slot18_Rate),0)</f>
        <v>0</v>
      </c>
      <c r="TD38" s="20" t="n">
        <f aca="false">IF(AND(HU38=1,GL38=1),(NN38+NR38)/F38,0)</f>
        <v>0</v>
      </c>
      <c r="TE38" s="20" t="n">
        <f aca="false">IF(B38=0,NN38+NR38,0)</f>
        <v>0</v>
      </c>
      <c r="TF38" s="20" t="n">
        <f aca="false">IF(B38=0,IF(HU38=1,NP38,NQ38),0)</f>
        <v>0</v>
      </c>
      <c r="TG38" s="20" t="n">
        <f aca="false">IF(GV38=1,IF(HU38=1,NW38+NZ38,GW38-OS38)*(1+Slot19_Rate),0)</f>
        <v>0</v>
      </c>
      <c r="TH38" s="20" t="n">
        <f aca="false">IF(AND(HU38=1,GV38=1),(NV38+NZ38)/F38,0)</f>
        <v>0</v>
      </c>
      <c r="TI38" s="20" t="n">
        <f aca="false">IF(B38=0,NV38+NZ38,0)</f>
        <v>0</v>
      </c>
      <c r="TJ38" s="20" t="n">
        <f aca="false">IF(B38=0,IF(HU38=1,NX38,NY38),0)</f>
        <v>0</v>
      </c>
      <c r="TK38" s="20" t="n">
        <f aca="false">IF(HF38=1,IF(HU38=1,OE38+OH38,HG38-OQ38)*(1+Slot20_Rate),0)</f>
        <v>0</v>
      </c>
      <c r="TL38" s="20" t="n">
        <f aca="false">IF(AND(HU38=1,HF38=1),(OD38+OH38)/F38,0)</f>
        <v>0</v>
      </c>
      <c r="TM38" s="20" t="n">
        <f aca="false">IF(B38=0,OD38+OH38,0)</f>
        <v>0</v>
      </c>
      <c r="TN38" s="20" t="n">
        <f aca="false">IF(B38=0,IF(HU38=1,OF38,OG38),0)</f>
        <v>0</v>
      </c>
      <c r="TO38" s="20" t="n">
        <f aca="false">QK38+QL38+QM38+QQ38+QU38+QY38+RC38+RG38+RK38+RO38+RS38+RW38+SA38+SE38+SI38+SM38+SQ38+SU38+SY38+TC38+TG38+TK38</f>
        <v>191800.723128431</v>
      </c>
      <c r="TP38" s="20" t="n">
        <f aca="false">QE38+HP38</f>
        <v>0</v>
      </c>
      <c r="TQ38" s="20" t="n">
        <f aca="false">I38+S38</f>
        <v>86583.0837201404</v>
      </c>
      <c r="TR38" s="20" t="n">
        <f aca="false">1-G38</f>
        <v>1</v>
      </c>
      <c r="TS38" s="20" t="n">
        <f aca="false">IF(AND(RG_Exists=1,G38=0,C38=1),I38,0)</f>
        <v>86583.0837201404</v>
      </c>
      <c r="TT38" s="20" t="n">
        <f aca="false">IF(AND(RG_Exists=1,G38=0,C38=1),I38-MIN(QE38,I38),0)</f>
        <v>86583.0837201404</v>
      </c>
      <c r="TU38" s="20" t="n">
        <f aca="false">'Plan pay &amp; tax'!AD264</f>
        <v>421199.841622659</v>
      </c>
      <c r="TV38" s="20" t="n">
        <f aca="false">IF(AND(C38=1,QE38&gt;MAX(PR_Short1,TQ38*PR_Short2)),1,0)</f>
        <v>0</v>
      </c>
      <c r="TW38" s="20" t="n">
        <f aca="false">MIN(H38,I38+S38)</f>
        <v>66406.5620056574</v>
      </c>
      <c r="TX38" s="20" t="n">
        <f aca="false">QF38+MAX(0,HQ38-HP38)</f>
        <v>20176.5217144829</v>
      </c>
      <c r="TY38" s="20" t="n">
        <f aca="false">QE38+HP38</f>
        <v>0</v>
      </c>
      <c r="TZ38" s="20" t="n">
        <f aca="false">IF(AND(C38=1,TY38&gt;PR_MinShort),1,0)</f>
        <v>0</v>
      </c>
      <c r="UA38" s="20" t="n">
        <f aca="false">IF(AND(C38=1,TZ38=0,TX38&gt;PR_MinShort),1,0)</f>
        <v>1</v>
      </c>
      <c r="UB38" s="20" t="n">
        <f aca="false">IF(AND(C38=1,QE38&gt;PR_MinShort),1,0)</f>
        <v>0</v>
      </c>
      <c r="UC38" s="20" t="n">
        <f aca="false">IF(AND(C38=1,QF38&gt;1,UJ38=0),1,0)</f>
        <v>1</v>
      </c>
      <c r="UD38" s="20" t="str">
        <f aca="false">IF(C38=0,"",IF(UJ38=1,"Gap to plan for: short "&amp;"€"&amp;TEXT(ROUND(TP38,0),"#,##0"),IF(QF38&gt;1,"Using savings","Comfortable")))</f>
        <v>Using savings</v>
      </c>
      <c r="UE38" s="20" t="n">
        <f aca="false">IF(AND(INT(D38/10)*10=90,B38&gt;0),80,INT(D38/10)*10)</f>
        <v>60</v>
      </c>
      <c r="UF38" s="20" t="n">
        <f aca="false">IF(B38=0,1,IF(UE38&lt;&gt;UE37,UF37+1,UF37))</f>
        <v>4</v>
      </c>
      <c r="UG38" s="20" t="n">
        <f aca="false">IF(AND(C38=1,G38=1,QE38&gt;MAX(PR_Short1,TQ38*PR_Short2)),1,0)</f>
        <v>0</v>
      </c>
      <c r="UH38" s="20" t="n">
        <f aca="false">TR38*TV38</f>
        <v>0</v>
      </c>
      <c r="UI38" s="20" t="n">
        <f aca="false">IF(AND(V38=1,Slot1_PctLow=1),1,0)+IF(AND(AG38=1,Slot2_PctLow=1),1,0)+IF(AND(AQ38=1,Slot3_PctLow=1),1,0)+IF(AND(BA38=1,Slot4_PctLow=1),1,0)+IF(AND(BK38=1,Slot5_PctLow=1),1,0)+IF(AND(BU38=1,Slot6_PctLow=1),1,0)+IF(AND(CE38=1,Slot7_PctLow=1),1,0)+IF(AND(CO38=1,Slot8_PctLow=1),1,0)+IF(AND(CY38=1,Slot9_PctLow=1),1,0)+IF(AND(DI38=1,Slot10_PctLow=1),1,0)+IF(AND(DS38=1,Slot11_PctLow=1),1,0)+IF(AND(EC38=1,Slot12_PctLow=1),1,0)+IF(AND(EM38=1,Slot13_PctLow=1),1,0)+IF(AND(EW38=1,Slot14_PctLow=1),1,0)+IF(AND(FG38=1,Slot15_PctLow=1),1,0)+IF(AND(FQ38=1,Slot16_PctLow=1),1,0)+IF(AND(GA38=1,Slot17_PctLow=1),1,0)+IF(AND(GK38=1,Slot18_PctLow=1),1,0)+IF(AND(GU38=1,Slot19_PctLow=1),1,0)+IF(AND(HE38=1,Slot20_PctLow=1),1,0)</f>
        <v>0</v>
      </c>
      <c r="UJ38" s="20" t="n">
        <f aca="false">IF(C38=1,IF(OR(TV38=1,UI38&gt;0),1,0),0)</f>
        <v>0</v>
      </c>
      <c r="UK38" s="20" t="n">
        <f aca="false">Z38+AK38+AU38+BE38+BO38+BY38+CI38+CS38+DC38+DM38+DW38+EG38+EQ38+FA38+FK38+FU38+GE38+GO38+GY38+HI38+OM38</f>
        <v>20176.5217144829</v>
      </c>
      <c r="UL38" s="20" t="n">
        <f aca="false">V38*IF(Slot1_SpendLike=1,X38-Y38,IF(Slot1_PotFree=1,X38,0))+AG38*IF(Slot2_SpendLike=1,AI38-AJ38,IF(Slot2_PotFree=1,AI38,0))+AQ38*IF(Slot3_SpendLike=1,AS38-AT38,IF(Slot3_PotFree=1,AS38,0))+BA38*IF(Slot4_SpendLike=1,BC38-BD38,IF(Slot4_PotFree=1,BC38,0))+BK38*IF(Slot5_SpendLike=1,BM38-BN38,IF(Slot5_PotFree=1,BM38,0))+BU38*IF(Slot6_SpendLike=1,BW38-BX38,IF(Slot6_PotFree=1,BW38,0))+CE38*IF(Slot7_SpendLike=1,CG38-CH38,IF(Slot7_PotFree=1,CG38,0))+CO38*IF(Slot8_SpendLike=1,CQ38-CR38,IF(Slot8_PotFree=1,CQ38,0))+CY38*IF(Slot9_SpendLike=1,DA38-DB38,IF(Slot9_PotFree=1,DA38,0))+DI38*IF(Slot10_SpendLike=1,DK38-DL38,IF(Slot10_PotFree=1,DK38,0))+DS38*IF(Slot11_SpendLike=1,DU38-DV38,IF(Slot11_PotFree=1,DU38,0))+EC38*IF(Slot12_SpendLike=1,EE38-EF38,IF(Slot12_PotFree=1,EE38,0))+EM38*IF(Slot13_SpendLike=1,EO38-EP38,IF(Slot13_PotFree=1,EO38,0))+EW38*IF(Slot14_SpendLike=1,EY38-EZ38,IF(Slot14_PotFree=1,EY38,0))+FG38*IF(Slot15_SpendLike=1,FI38-FJ38,IF(Slot15_PotFree=1,FI38,0))+FQ38*IF(Slot16_SpendLike=1,FS38-FT38,IF(Slot16_PotFree=1,FS38,0))+GA38*IF(Slot17_SpendLike=1,GC38-GD38,IF(Slot17_PotFree=1,GC38,0))+GK38*IF(Slot18_SpendLike=1,GM38-GN38,IF(Slot18_PotFree=1,GM38,0))+GU38*IF(Slot19_SpendLike=1,GW38-GX38,IF(Slot19_PotFree=1,GW38,0))+HE38*IF(Slot20_SpendLike=1,HG38-HH38,IF(Slot20_PotFree=1,HG38,0))</f>
        <v>0</v>
      </c>
      <c r="UM38" s="20" t="n">
        <f aca="false">QG38-T38+UK38-UL38</f>
        <v>0</v>
      </c>
      <c r="UN38" s="20" t="n">
        <f aca="false">IF(OR(UN37=1,AND(In_homeUse="Yes, I'd downsize",In_downAge&gt;0,D38=In_downAge,OR(In_home="Own outright",In_home="Own with mortgage"),In_homeValue&gt;0)),1,0)</f>
        <v>0</v>
      </c>
    </row>
    <row r="39" customFormat="false" ht="15" hidden="false" customHeight="true" outlineLevel="0" collapsed="false">
      <c r="B39" s="20" t="n">
        <v>31</v>
      </c>
      <c r="C39" s="20" t="n">
        <f aca="false">IF(B39&lt;=F_N,1,0)</f>
        <v>1</v>
      </c>
      <c r="D39" s="20" t="n">
        <f aca="false">'Plan pay &amp; tax'!C265</f>
        <v>69</v>
      </c>
      <c r="E39" s="20" t="str">
        <f aca="false">IF($C39=1,"Income tax "&amp;TEXT(N('Plan pay &amp; tax'!BK265),"#,##0")&amp;"; USC "&amp;TEXT(N('Plan pay &amp; tax'!BM265)+N('Plan pay &amp; tax'!BO265),"#,##0")&amp;"; PRSI "&amp;TEXT(N('Plan pay &amp; tax'!BP265)+N('Plan pay &amp; tax'!BQ265),"#,##0")&amp;IF(N('Plan holdings'!BO39)&gt;=0.5,"; DIRT "&amp;TEXT(('Plan holdings'!BO39)/$F39,"#,##0")&amp;" (already taken from the interest earned)","")&amp;IF(N('Plan holdings'!BP39)&gt;=0.5,"; exit tax at an 8-year anniversary "&amp;TEXT(('Plan holdings'!BP39)/$F39,"#,##0"),"")&amp;IF(N('Plan holdings'!BN39)&gt;=0.5,"; tax on assets sold (exit tax or capital gains tax) "&amp;TEXT(('Plan holdings'!BN39)/$F39,"#,##0"),"")&amp;IF(N('Plan pay &amp; tax'!X265)-N('Plan pay &amp; tax'!Y265)&gt;=0.5,"; tax on the pension lump sum "&amp;TEXT(('Plan pay &amp; tax'!X265-'Plan pay &amp; tax'!Y265)/$F39,"#,##0"),"")&amp;IF(N('Plan pay &amp; tax'!V265)&gt;=0.5,"; chargeable excess tax on the pension "&amp;TEXT(('Plan pay &amp; tax'!V265)/$F39,"#,##0"),"")&amp;".","")</f>
        <v>Income tax 692; USC 0; PRSI 0; DIRT 116 (already taken from the interest earned); exit tax at an 8-year anniversary 389.</v>
      </c>
      <c r="F39" s="50" t="n">
        <f aca="false">'Plan pay &amp; tax'!E265</f>
        <v>1.84758881578542</v>
      </c>
      <c r="G39" s="20" t="n">
        <f aca="false">'Plan pay &amp; tax'!G265</f>
        <v>0</v>
      </c>
      <c r="H39" s="20" t="n">
        <f aca="false">'Plan pay &amp; tax'!BT265-'Plan pay &amp; tax'!BS265-'Plan pay &amp; tax'!R265</f>
        <v>67329.622724307</v>
      </c>
      <c r="I39" s="20" t="n">
        <f aca="false">IF(G39=1,F_CostsM*12,IF(RG_Exists=1,RG_Amount,F_CostsM*12*AS_RetireSpend))*F39+F_OneOffY*F39</f>
        <v>88314.7453945432</v>
      </c>
      <c r="J39" s="20" t="n">
        <f aca="false">IF(UN39=1,0,HR38)</f>
        <v>0</v>
      </c>
      <c r="K39" s="20" t="n">
        <f aca="false">IF(J39&gt;1,'Plan debt months'!AC39,0)</f>
        <v>0</v>
      </c>
      <c r="L39" s="20" t="n">
        <f aca="false">IF(J39&gt;1,'Plan debt months'!AB39,J39)</f>
        <v>0</v>
      </c>
      <c r="M39" s="20" t="n">
        <f aca="false">O38</f>
        <v>0</v>
      </c>
      <c r="N39" s="20" t="n">
        <f aca="false">IF(M39&gt;1,'Plan debt months'!BD39,0)</f>
        <v>0</v>
      </c>
      <c r="O39" s="20" t="n">
        <f aca="false">IF(M39&gt;1,'Plan debt months'!BC39,M39)</f>
        <v>0</v>
      </c>
      <c r="P39" s="20" t="n">
        <f aca="false">R38</f>
        <v>0</v>
      </c>
      <c r="Q39" s="20" t="n">
        <f aca="false">IF(P39&gt;1,'Plan debt months'!CE39,0)</f>
        <v>0</v>
      </c>
      <c r="R39" s="20" t="n">
        <f aca="false">IF(P39&gt;1,'Plan debt months'!CD39,P39)</f>
        <v>0</v>
      </c>
      <c r="S39" s="20" t="n">
        <f aca="false">K39+N39+Q39</f>
        <v>0</v>
      </c>
      <c r="T39" s="57" t="n">
        <f aca="false">'Plan holdings'!Y39</f>
        <v>168182.128928667</v>
      </c>
      <c r="U39" s="57" t="n">
        <f aca="false">'Plan holdings'!BM38</f>
        <v>176616.148821779</v>
      </c>
      <c r="V39" s="20" t="n">
        <f aca="false">IF(AND(Slot1_On=1,D39=Slot1_Age),1,0)</f>
        <v>0</v>
      </c>
      <c r="W39" s="20" t="n">
        <f aca="false">IF(AND(Slot1_On=1,Slot1_Age&gt;D39),1,0)</f>
        <v>0</v>
      </c>
      <c r="X39" s="20" t="n">
        <f aca="false">QM38</f>
        <v>0</v>
      </c>
      <c r="Y39" s="20" t="n">
        <f aca="false">V39*MIN(Slot1_Cost,X39)</f>
        <v>0</v>
      </c>
      <c r="Z39" s="20" t="n">
        <f aca="false">V39*Slot1_SpendLike*MIN(Slot1_Cost-Y39,T39)</f>
        <v>0</v>
      </c>
      <c r="AA39" s="20" t="n">
        <f aca="false">Y39+Z39</f>
        <v>0</v>
      </c>
      <c r="AB39" s="20" t="n">
        <f aca="false">T39-Z39+V39*IF(Slot1_SpendLike=1,X39-Y39,IF(Slot1_PotFree=1,X39,0))</f>
        <v>168182.128928667</v>
      </c>
      <c r="AC39" s="20" t="n">
        <f aca="false">AF39+V39*Slot1_BufPot*X39</f>
        <v>15184.5743066522</v>
      </c>
      <c r="AD39" s="20" t="n">
        <f aca="false">IF(AND(V39=1,Slot1_IsMfree=1),IF(AA39&gt;=Slot1_Cost-1,0,MAX(0,L39-AA39)),L39)</f>
        <v>0</v>
      </c>
      <c r="AE39" s="20" t="n">
        <f aca="false">V39*(Slot1_Cost-AA39)</f>
        <v>0</v>
      </c>
      <c r="AF39" s="20" t="n">
        <f aca="false">QL38</f>
        <v>15184.5743066522</v>
      </c>
      <c r="AG39" s="20" t="n">
        <f aca="false">IF(AND(Slot2_On=1,D39=Slot2_Age),1,0)</f>
        <v>0</v>
      </c>
      <c r="AH39" s="20" t="n">
        <f aca="false">IF(AND(Slot2_On=1,Slot2_Age&gt;D39),1,0)</f>
        <v>0</v>
      </c>
      <c r="AI39" s="20" t="n">
        <f aca="false">QQ38</f>
        <v>0</v>
      </c>
      <c r="AJ39" s="20" t="n">
        <f aca="false">AG39*MIN(Slot2_Cost,AI39)</f>
        <v>0</v>
      </c>
      <c r="AK39" s="20" t="n">
        <f aca="false">AG39*Slot2_SpendLike*MIN(Slot2_Cost-AJ39,AB39)</f>
        <v>0</v>
      </c>
      <c r="AL39" s="20" t="n">
        <f aca="false">AJ39+AK39</f>
        <v>0</v>
      </c>
      <c r="AM39" s="20" t="n">
        <f aca="false">AB39-AK39+AG39*IF(Slot2_SpendLike=1,AI39-AJ39,IF(Slot2_PotFree=1,AI39,0))</f>
        <v>168182.128928667</v>
      </c>
      <c r="AN39" s="20" t="n">
        <f aca="false">AC39+AG39*Slot2_BufPot*AI39</f>
        <v>15184.5743066522</v>
      </c>
      <c r="AO39" s="20" t="n">
        <f aca="false">IF(AND(AG39=1,Slot2_IsMfree=1),IF(AL39&gt;=Slot2_Cost-1,0,MAX(0,AD39-AL39)),AD39)</f>
        <v>0</v>
      </c>
      <c r="AP39" s="20" t="n">
        <f aca="false">AG39*(Slot2_Cost-AL39)</f>
        <v>0</v>
      </c>
      <c r="AQ39" s="20" t="n">
        <f aca="false">IF(AND(Slot3_On=1,D39=Slot3_Age),1,0)</f>
        <v>0</v>
      </c>
      <c r="AR39" s="20" t="n">
        <f aca="false">IF(AND(Slot3_On=1,Slot3_Age&gt;D39),1,0)</f>
        <v>0</v>
      </c>
      <c r="AS39" s="20" t="n">
        <f aca="false">QU38</f>
        <v>0</v>
      </c>
      <c r="AT39" s="20" t="n">
        <f aca="false">AQ39*MIN(Slot3_Cost,AS39)</f>
        <v>0</v>
      </c>
      <c r="AU39" s="20" t="n">
        <f aca="false">AQ39*Slot3_SpendLike*MIN(Slot3_Cost-AT39,AM39)</f>
        <v>0</v>
      </c>
      <c r="AV39" s="20" t="n">
        <f aca="false">AT39+AU39</f>
        <v>0</v>
      </c>
      <c r="AW39" s="20" t="n">
        <f aca="false">AM39-AU39+AQ39*IF(Slot3_SpendLike=1,AS39-AT39,IF(Slot3_PotFree=1,AS39,0))</f>
        <v>168182.128928667</v>
      </c>
      <c r="AX39" s="20" t="n">
        <f aca="false">AN39+AQ39*Slot3_BufPot*AS39</f>
        <v>15184.5743066522</v>
      </c>
      <c r="AY39" s="20" t="n">
        <f aca="false">IF(AND(AQ39=1,Slot3_IsMfree=1),IF(AV39&gt;=Slot3_Cost-1,0,MAX(0,AO39-AV39)),AO39)</f>
        <v>0</v>
      </c>
      <c r="AZ39" s="20" t="n">
        <f aca="false">AQ39*(Slot3_Cost-AV39)</f>
        <v>0</v>
      </c>
      <c r="BA39" s="20" t="n">
        <f aca="false">IF(AND(Slot4_On=1,D39=Slot4_Age),1,0)</f>
        <v>0</v>
      </c>
      <c r="BB39" s="20" t="n">
        <f aca="false">IF(AND(Slot4_On=1,Slot4_Age&gt;D39),1,0)</f>
        <v>0</v>
      </c>
      <c r="BC39" s="20" t="n">
        <f aca="false">QY38</f>
        <v>0</v>
      </c>
      <c r="BD39" s="20" t="n">
        <f aca="false">BA39*MIN(Slot4_Cost,BC39)</f>
        <v>0</v>
      </c>
      <c r="BE39" s="20" t="n">
        <f aca="false">BA39*Slot4_SpendLike*MIN(Slot4_Cost-BD39,AW39)</f>
        <v>0</v>
      </c>
      <c r="BF39" s="20" t="n">
        <f aca="false">BD39+BE39</f>
        <v>0</v>
      </c>
      <c r="BG39" s="20" t="n">
        <f aca="false">AW39-BE39+BA39*IF(Slot4_SpendLike=1,BC39-BD39,IF(Slot4_PotFree=1,BC39,0))</f>
        <v>168182.128928667</v>
      </c>
      <c r="BH39" s="20" t="n">
        <f aca="false">AX39+BA39*Slot4_BufPot*BC39</f>
        <v>15184.5743066522</v>
      </c>
      <c r="BI39" s="20" t="n">
        <f aca="false">IF(AND(BA39=1,Slot4_IsMfree=1),IF(BF39&gt;=Slot4_Cost-1,0,MAX(0,AY39-BF39)),AY39)</f>
        <v>0</v>
      </c>
      <c r="BJ39" s="20" t="n">
        <f aca="false">BA39*(Slot4_Cost-BF39)</f>
        <v>0</v>
      </c>
      <c r="BK39" s="20" t="n">
        <f aca="false">IF(AND(Slot5_On=1,D39=Slot5_Age),1,0)</f>
        <v>0</v>
      </c>
      <c r="BL39" s="20" t="n">
        <f aca="false">IF(AND(Slot5_On=1,Slot5_Age&gt;D39),1,0)</f>
        <v>0</v>
      </c>
      <c r="BM39" s="20" t="n">
        <f aca="false">RC38</f>
        <v>0</v>
      </c>
      <c r="BN39" s="20" t="n">
        <f aca="false">BK39*MIN(Slot5_Cost,BM39)</f>
        <v>0</v>
      </c>
      <c r="BO39" s="20" t="n">
        <f aca="false">BK39*Slot5_SpendLike*MIN(Slot5_Cost-BN39,BG39)</f>
        <v>0</v>
      </c>
      <c r="BP39" s="20" t="n">
        <f aca="false">BN39+BO39</f>
        <v>0</v>
      </c>
      <c r="BQ39" s="20" t="n">
        <f aca="false">BG39-BO39+BK39*IF(Slot5_SpendLike=1,BM39-BN39,IF(Slot5_PotFree=1,BM39,0))</f>
        <v>168182.128928667</v>
      </c>
      <c r="BR39" s="20" t="n">
        <f aca="false">BH39+BK39*Slot5_BufPot*BM39</f>
        <v>15184.5743066522</v>
      </c>
      <c r="BS39" s="20" t="n">
        <f aca="false">IF(AND(BK39=1,Slot5_IsMfree=1),IF(BP39&gt;=Slot5_Cost-1,0,MAX(0,BI39-BP39)),BI39)</f>
        <v>0</v>
      </c>
      <c r="BT39" s="20" t="n">
        <f aca="false">BK39*(Slot5_Cost-BP39)</f>
        <v>0</v>
      </c>
      <c r="BU39" s="20" t="n">
        <f aca="false">IF(AND(Slot6_On=1,D39=Slot6_Age),1,0)</f>
        <v>0</v>
      </c>
      <c r="BV39" s="20" t="n">
        <f aca="false">IF(AND(Slot6_On=1,Slot6_Age&gt;D39),1,0)</f>
        <v>0</v>
      </c>
      <c r="BW39" s="20" t="n">
        <f aca="false">RG38</f>
        <v>0</v>
      </c>
      <c r="BX39" s="20" t="n">
        <f aca="false">BU39*MIN(Slot6_Cost,BW39)</f>
        <v>0</v>
      </c>
      <c r="BY39" s="20" t="n">
        <f aca="false">BU39*Slot6_SpendLike*MIN(Slot6_Cost-BX39,BQ39)</f>
        <v>0</v>
      </c>
      <c r="BZ39" s="20" t="n">
        <f aca="false">BX39+BY39</f>
        <v>0</v>
      </c>
      <c r="CA39" s="20" t="n">
        <f aca="false">BQ39-BY39+BU39*IF(Slot6_SpendLike=1,BW39-BX39,IF(Slot6_PotFree=1,BW39,0))</f>
        <v>168182.128928667</v>
      </c>
      <c r="CB39" s="20" t="n">
        <f aca="false">BR39+BU39*Slot6_BufPot*BW39</f>
        <v>15184.5743066522</v>
      </c>
      <c r="CC39" s="20" t="n">
        <f aca="false">IF(AND(BU39=1,Slot6_IsMfree=1),IF(BZ39&gt;=Slot6_Cost-1,0,MAX(0,BS39-BZ39)),BS39)</f>
        <v>0</v>
      </c>
      <c r="CD39" s="20" t="n">
        <f aca="false">BU39*(Slot6_Cost-BZ39)</f>
        <v>0</v>
      </c>
      <c r="CE39" s="20" t="n">
        <f aca="false">IF(AND(Slot7_On=1,D39=Slot7_Age),1,0)</f>
        <v>0</v>
      </c>
      <c r="CF39" s="20" t="n">
        <f aca="false">IF(AND(Slot7_On=1,Slot7_Age&gt;D39),1,0)</f>
        <v>0</v>
      </c>
      <c r="CG39" s="20" t="n">
        <f aca="false">RK38</f>
        <v>0</v>
      </c>
      <c r="CH39" s="20" t="n">
        <f aca="false">CE39*MIN(Slot7_Cost,CG39)</f>
        <v>0</v>
      </c>
      <c r="CI39" s="20" t="n">
        <f aca="false">CE39*Slot7_SpendLike*MIN(Slot7_Cost-CH39,CA39)</f>
        <v>0</v>
      </c>
      <c r="CJ39" s="20" t="n">
        <f aca="false">CH39+CI39</f>
        <v>0</v>
      </c>
      <c r="CK39" s="20" t="n">
        <f aca="false">CA39-CI39+CE39*IF(Slot7_SpendLike=1,CG39-CH39,IF(Slot7_PotFree=1,CG39,0))</f>
        <v>168182.128928667</v>
      </c>
      <c r="CL39" s="20" t="n">
        <f aca="false">CB39+CE39*Slot7_BufPot*CG39</f>
        <v>15184.5743066522</v>
      </c>
      <c r="CM39" s="20" t="n">
        <f aca="false">IF(AND(CE39=1,Slot7_IsMfree=1),IF(CJ39&gt;=Slot7_Cost-1,0,MAX(0,CC39-CJ39)),CC39)</f>
        <v>0</v>
      </c>
      <c r="CN39" s="20" t="n">
        <f aca="false">CE39*(Slot7_Cost-CJ39)</f>
        <v>0</v>
      </c>
      <c r="CO39" s="20" t="n">
        <f aca="false">IF(AND(Slot8_On=1,D39=Slot8_Age),1,0)</f>
        <v>0</v>
      </c>
      <c r="CP39" s="20" t="n">
        <f aca="false">IF(AND(Slot8_On=1,Slot8_Age&gt;D39),1,0)</f>
        <v>0</v>
      </c>
      <c r="CQ39" s="20" t="n">
        <f aca="false">RO38</f>
        <v>0</v>
      </c>
      <c r="CR39" s="20" t="n">
        <f aca="false">CO39*MIN(Slot8_Cost,CQ39)</f>
        <v>0</v>
      </c>
      <c r="CS39" s="20" t="n">
        <f aca="false">CO39*Slot8_SpendLike*MIN(Slot8_Cost-CR39,CK39)</f>
        <v>0</v>
      </c>
      <c r="CT39" s="20" t="n">
        <f aca="false">CR39+CS39</f>
        <v>0</v>
      </c>
      <c r="CU39" s="20" t="n">
        <f aca="false">CK39-CS39+CO39*IF(Slot8_SpendLike=1,CQ39-CR39,IF(Slot8_PotFree=1,CQ39,0))</f>
        <v>168182.128928667</v>
      </c>
      <c r="CV39" s="20" t="n">
        <f aca="false">CL39+CO39*Slot8_BufPot*CQ39</f>
        <v>15184.5743066522</v>
      </c>
      <c r="CW39" s="20" t="n">
        <f aca="false">IF(AND(CO39=1,Slot8_IsMfree=1),IF(CT39&gt;=Slot8_Cost-1,0,MAX(0,CM39-CT39)),CM39)</f>
        <v>0</v>
      </c>
      <c r="CX39" s="20" t="n">
        <f aca="false">CO39*(Slot8_Cost-CT39)</f>
        <v>0</v>
      </c>
      <c r="CY39" s="20" t="n">
        <f aca="false">IF(AND(Slot9_On=1,D39=Slot9_Age),1,0)</f>
        <v>0</v>
      </c>
      <c r="CZ39" s="20" t="n">
        <f aca="false">IF(AND(Slot9_On=1,Slot9_Age&gt;D39),1,0)</f>
        <v>0</v>
      </c>
      <c r="DA39" s="20" t="n">
        <f aca="false">RS38</f>
        <v>0</v>
      </c>
      <c r="DB39" s="20" t="n">
        <f aca="false">CY39*MIN(Slot9_Cost,DA39)</f>
        <v>0</v>
      </c>
      <c r="DC39" s="20" t="n">
        <f aca="false">CY39*Slot9_SpendLike*MIN(Slot9_Cost-DB39,CU39)</f>
        <v>0</v>
      </c>
      <c r="DD39" s="20" t="n">
        <f aca="false">DB39+DC39</f>
        <v>0</v>
      </c>
      <c r="DE39" s="20" t="n">
        <f aca="false">CU39-DC39+CY39*IF(Slot9_SpendLike=1,DA39-DB39,IF(Slot9_PotFree=1,DA39,0))</f>
        <v>168182.128928667</v>
      </c>
      <c r="DF39" s="20" t="n">
        <f aca="false">CV39+CY39*Slot9_BufPot*DA39</f>
        <v>15184.5743066522</v>
      </c>
      <c r="DG39" s="20" t="n">
        <f aca="false">IF(AND(CY39=1,Slot9_IsMfree=1),IF(DD39&gt;=Slot9_Cost-1,0,MAX(0,CW39-DD39)),CW39)</f>
        <v>0</v>
      </c>
      <c r="DH39" s="20" t="n">
        <f aca="false">CY39*(Slot9_Cost-DD39)</f>
        <v>0</v>
      </c>
      <c r="DI39" s="20" t="n">
        <f aca="false">IF(AND(Slot10_On=1,D39=Slot10_Age),1,0)</f>
        <v>0</v>
      </c>
      <c r="DJ39" s="20" t="n">
        <f aca="false">IF(AND(Slot10_On=1,Slot10_Age&gt;D39),1,0)</f>
        <v>0</v>
      </c>
      <c r="DK39" s="20" t="n">
        <f aca="false">RW38</f>
        <v>0</v>
      </c>
      <c r="DL39" s="20" t="n">
        <f aca="false">DI39*MIN(Slot10_Cost,DK39)</f>
        <v>0</v>
      </c>
      <c r="DM39" s="20" t="n">
        <f aca="false">DI39*Slot10_SpendLike*MIN(Slot10_Cost-DL39,DE39)</f>
        <v>0</v>
      </c>
      <c r="DN39" s="20" t="n">
        <f aca="false">DL39+DM39</f>
        <v>0</v>
      </c>
      <c r="DO39" s="20" t="n">
        <f aca="false">DE39-DM39+DI39*IF(Slot10_SpendLike=1,DK39-DL39,IF(Slot10_PotFree=1,DK39,0))</f>
        <v>168182.128928667</v>
      </c>
      <c r="DP39" s="20" t="n">
        <f aca="false">DF39+DI39*Slot10_BufPot*DK39</f>
        <v>15184.5743066522</v>
      </c>
      <c r="DQ39" s="20" t="n">
        <f aca="false">IF(AND(DI39=1,Slot10_IsMfree=1),IF(DN39&gt;=Slot10_Cost-1,0,MAX(0,DG39-DN39)),DG39)</f>
        <v>0</v>
      </c>
      <c r="DR39" s="20" t="n">
        <f aca="false">DI39*(Slot10_Cost-DN39)</f>
        <v>0</v>
      </c>
      <c r="DS39" s="20" t="n">
        <f aca="false">IF(AND(Slot11_On=1,D39=Slot11_Age),1,0)</f>
        <v>0</v>
      </c>
      <c r="DT39" s="20" t="n">
        <f aca="false">IF(AND(Slot11_On=1,Slot11_Age&gt;D39),1,0)</f>
        <v>0</v>
      </c>
      <c r="DU39" s="20" t="n">
        <f aca="false">SA38</f>
        <v>0</v>
      </c>
      <c r="DV39" s="20" t="n">
        <f aca="false">DS39*MIN(Slot11_Cost,DU39)</f>
        <v>0</v>
      </c>
      <c r="DW39" s="20" t="n">
        <f aca="false">DS39*Slot11_SpendLike*MIN(Slot11_Cost-DV39,DO39)</f>
        <v>0</v>
      </c>
      <c r="DX39" s="20" t="n">
        <f aca="false">DV39+DW39</f>
        <v>0</v>
      </c>
      <c r="DY39" s="20" t="n">
        <f aca="false">DO39-DW39+DS39*IF(Slot11_SpendLike=1,DU39-DV39,IF(Slot11_PotFree=1,DU39,0))</f>
        <v>168182.128928667</v>
      </c>
      <c r="DZ39" s="20" t="n">
        <f aca="false">DP39+DS39*Slot11_BufPot*DU39</f>
        <v>15184.5743066522</v>
      </c>
      <c r="EA39" s="20" t="n">
        <f aca="false">IF(AND(DS39=1,Slot11_IsMfree=1),IF(DX39&gt;=Slot11_Cost-1,0,MAX(0,DQ39-DX39)),DQ39)</f>
        <v>0</v>
      </c>
      <c r="EB39" s="20" t="n">
        <f aca="false">DS39*(Slot11_Cost-DX39)</f>
        <v>0</v>
      </c>
      <c r="EC39" s="20" t="n">
        <f aca="false">IF(AND(Slot12_On=1,D39=Slot12_Age),1,0)</f>
        <v>0</v>
      </c>
      <c r="ED39" s="20" t="n">
        <f aca="false">IF(AND(Slot12_On=1,Slot12_Age&gt;D39),1,0)</f>
        <v>0</v>
      </c>
      <c r="EE39" s="20" t="n">
        <f aca="false">SE38</f>
        <v>0</v>
      </c>
      <c r="EF39" s="20" t="n">
        <f aca="false">EC39*MIN(Slot12_Cost,EE39)</f>
        <v>0</v>
      </c>
      <c r="EG39" s="20" t="n">
        <f aca="false">EC39*Slot12_SpendLike*MIN(Slot12_Cost-EF39,DY39)</f>
        <v>0</v>
      </c>
      <c r="EH39" s="20" t="n">
        <f aca="false">EF39+EG39</f>
        <v>0</v>
      </c>
      <c r="EI39" s="20" t="n">
        <f aca="false">DY39-EG39+EC39*IF(Slot12_SpendLike=1,EE39-EF39,IF(Slot12_PotFree=1,EE39,0))</f>
        <v>168182.128928667</v>
      </c>
      <c r="EJ39" s="20" t="n">
        <f aca="false">DZ39+EC39*Slot12_BufPot*EE39</f>
        <v>15184.5743066522</v>
      </c>
      <c r="EK39" s="20" t="n">
        <f aca="false">IF(AND(EC39=1,Slot12_IsMfree=1),IF(EH39&gt;=Slot12_Cost-1,0,MAX(0,EA39-EH39)),EA39)</f>
        <v>0</v>
      </c>
      <c r="EL39" s="20" t="n">
        <f aca="false">EC39*(Slot12_Cost-EH39)</f>
        <v>0</v>
      </c>
      <c r="EM39" s="20" t="n">
        <f aca="false">IF(AND(Slot13_On=1,D39=Slot13_Age),1,0)</f>
        <v>0</v>
      </c>
      <c r="EN39" s="20" t="n">
        <f aca="false">IF(AND(Slot13_On=1,Slot13_Age&gt;D39),1,0)</f>
        <v>0</v>
      </c>
      <c r="EO39" s="20" t="n">
        <f aca="false">SI38</f>
        <v>0</v>
      </c>
      <c r="EP39" s="20" t="n">
        <f aca="false">EM39*MIN(Slot13_Cost,EO39)</f>
        <v>0</v>
      </c>
      <c r="EQ39" s="20" t="n">
        <f aca="false">EM39*Slot13_SpendLike*MIN(Slot13_Cost-EP39,EI39)</f>
        <v>0</v>
      </c>
      <c r="ER39" s="20" t="n">
        <f aca="false">EP39+EQ39</f>
        <v>0</v>
      </c>
      <c r="ES39" s="20" t="n">
        <f aca="false">EI39-EQ39+EM39*IF(Slot13_SpendLike=1,EO39-EP39,IF(Slot13_PotFree=1,EO39,0))</f>
        <v>168182.128928667</v>
      </c>
      <c r="ET39" s="20" t="n">
        <f aca="false">EJ39+EM39*Slot13_BufPot*EO39</f>
        <v>15184.5743066522</v>
      </c>
      <c r="EU39" s="20" t="n">
        <f aca="false">IF(AND(EM39=1,Slot13_IsMfree=1),IF(ER39&gt;=Slot13_Cost-1,0,MAX(0,EK39-ER39)),EK39)</f>
        <v>0</v>
      </c>
      <c r="EV39" s="20" t="n">
        <f aca="false">EM39*(Slot13_Cost-ER39)</f>
        <v>0</v>
      </c>
      <c r="EW39" s="20" t="n">
        <f aca="false">IF(AND(Slot14_On=1,D39=Slot14_Age),1,0)</f>
        <v>0</v>
      </c>
      <c r="EX39" s="20" t="n">
        <f aca="false">IF(AND(Slot14_On=1,Slot14_Age&gt;D39),1,0)</f>
        <v>0</v>
      </c>
      <c r="EY39" s="20" t="n">
        <f aca="false">SM38</f>
        <v>0</v>
      </c>
      <c r="EZ39" s="20" t="n">
        <f aca="false">EW39*MIN(Slot14_Cost,EY39)</f>
        <v>0</v>
      </c>
      <c r="FA39" s="20" t="n">
        <f aca="false">EW39*Slot14_SpendLike*MIN(Slot14_Cost-EZ39,ES39)</f>
        <v>0</v>
      </c>
      <c r="FB39" s="20" t="n">
        <f aca="false">EZ39+FA39</f>
        <v>0</v>
      </c>
      <c r="FC39" s="20" t="n">
        <f aca="false">ES39-FA39+EW39*IF(Slot14_SpendLike=1,EY39-EZ39,IF(Slot14_PotFree=1,EY39,0))</f>
        <v>168182.128928667</v>
      </c>
      <c r="FD39" s="20" t="n">
        <f aca="false">ET39+EW39*Slot14_BufPot*EY39</f>
        <v>15184.5743066522</v>
      </c>
      <c r="FE39" s="20" t="n">
        <f aca="false">IF(AND(EW39=1,Slot14_IsMfree=1),IF(FB39&gt;=Slot14_Cost-1,0,MAX(0,EU39-FB39)),EU39)</f>
        <v>0</v>
      </c>
      <c r="FF39" s="20" t="n">
        <f aca="false">EW39*(Slot14_Cost-FB39)</f>
        <v>0</v>
      </c>
      <c r="FG39" s="20" t="n">
        <f aca="false">IF(AND(Slot15_On=1,D39=Slot15_Age),1,0)</f>
        <v>0</v>
      </c>
      <c r="FH39" s="20" t="n">
        <f aca="false">IF(AND(Slot15_On=1,Slot15_Age&gt;D39),1,0)</f>
        <v>0</v>
      </c>
      <c r="FI39" s="20" t="n">
        <f aca="false">SQ38</f>
        <v>0</v>
      </c>
      <c r="FJ39" s="20" t="n">
        <f aca="false">FG39*MIN(Slot15_Cost,FI39)</f>
        <v>0</v>
      </c>
      <c r="FK39" s="20" t="n">
        <f aca="false">FG39*Slot15_SpendLike*MIN(Slot15_Cost-FJ39,FC39)</f>
        <v>0</v>
      </c>
      <c r="FL39" s="20" t="n">
        <f aca="false">FJ39+FK39</f>
        <v>0</v>
      </c>
      <c r="FM39" s="20" t="n">
        <f aca="false">FC39-FK39+FG39*IF(Slot15_SpendLike=1,FI39-FJ39,IF(Slot15_PotFree=1,FI39,0))</f>
        <v>168182.128928667</v>
      </c>
      <c r="FN39" s="20" t="n">
        <f aca="false">FD39+FG39*Slot15_BufPot*FI39</f>
        <v>15184.5743066522</v>
      </c>
      <c r="FO39" s="20" t="n">
        <f aca="false">IF(AND(FG39=1,Slot15_IsMfree=1),IF(FL39&gt;=Slot15_Cost-1,0,MAX(0,FE39-FL39)),FE39)</f>
        <v>0</v>
      </c>
      <c r="FP39" s="20" t="n">
        <f aca="false">FG39*(Slot15_Cost-FL39)</f>
        <v>0</v>
      </c>
      <c r="FQ39" s="20" t="n">
        <f aca="false">IF(AND(Slot16_On=1,D39=Slot16_Age),1,0)</f>
        <v>0</v>
      </c>
      <c r="FR39" s="20" t="n">
        <f aca="false">IF(AND(Slot16_On=1,Slot16_Age&gt;D39),1,0)</f>
        <v>0</v>
      </c>
      <c r="FS39" s="20" t="n">
        <f aca="false">SU38</f>
        <v>0</v>
      </c>
      <c r="FT39" s="20" t="n">
        <f aca="false">FQ39*MIN(Slot16_Cost,FS39)</f>
        <v>0</v>
      </c>
      <c r="FU39" s="20" t="n">
        <f aca="false">FQ39*Slot16_SpendLike*MIN(Slot16_Cost-FT39,FM39)</f>
        <v>0</v>
      </c>
      <c r="FV39" s="20" t="n">
        <f aca="false">FT39+FU39</f>
        <v>0</v>
      </c>
      <c r="FW39" s="20" t="n">
        <f aca="false">FM39-FU39+FQ39*IF(Slot16_SpendLike=1,FS39-FT39,IF(Slot16_PotFree=1,FS39,0))</f>
        <v>168182.128928667</v>
      </c>
      <c r="FX39" s="20" t="n">
        <f aca="false">FN39+FQ39*Slot16_BufPot*FS39</f>
        <v>15184.5743066522</v>
      </c>
      <c r="FY39" s="20" t="n">
        <f aca="false">IF(AND(FQ39=1,Slot16_IsMfree=1),IF(FV39&gt;=Slot16_Cost-1,0,MAX(0,FO39-FV39)),FO39)</f>
        <v>0</v>
      </c>
      <c r="FZ39" s="20" t="n">
        <f aca="false">FQ39*(Slot16_Cost-FV39)</f>
        <v>0</v>
      </c>
      <c r="GA39" s="20" t="n">
        <f aca="false">IF(AND(Slot17_On=1,D39=Slot17_Age),1,0)</f>
        <v>0</v>
      </c>
      <c r="GB39" s="20" t="n">
        <f aca="false">IF(AND(Slot17_On=1,Slot17_Age&gt;D39),1,0)</f>
        <v>0</v>
      </c>
      <c r="GC39" s="20" t="n">
        <f aca="false">SY38</f>
        <v>0</v>
      </c>
      <c r="GD39" s="20" t="n">
        <f aca="false">GA39*MIN(Slot17_Cost,GC39)</f>
        <v>0</v>
      </c>
      <c r="GE39" s="20" t="n">
        <f aca="false">GA39*Slot17_SpendLike*MIN(Slot17_Cost-GD39,FW39)</f>
        <v>0</v>
      </c>
      <c r="GF39" s="20" t="n">
        <f aca="false">GD39+GE39</f>
        <v>0</v>
      </c>
      <c r="GG39" s="20" t="n">
        <f aca="false">FW39-GE39+GA39*IF(Slot17_SpendLike=1,GC39-GD39,IF(Slot17_PotFree=1,GC39,0))</f>
        <v>168182.128928667</v>
      </c>
      <c r="GH39" s="20" t="n">
        <f aca="false">FX39+GA39*Slot17_BufPot*GC39</f>
        <v>15184.5743066522</v>
      </c>
      <c r="GI39" s="20" t="n">
        <f aca="false">IF(AND(GA39=1,Slot17_IsMfree=1),IF(GF39&gt;=Slot17_Cost-1,0,MAX(0,FY39-GF39)),FY39)</f>
        <v>0</v>
      </c>
      <c r="GJ39" s="20" t="n">
        <f aca="false">GA39*(Slot17_Cost-GF39)</f>
        <v>0</v>
      </c>
      <c r="GK39" s="20" t="n">
        <f aca="false">IF(AND(Slot18_On=1,D39=Slot18_Age),1,0)</f>
        <v>0</v>
      </c>
      <c r="GL39" s="20" t="n">
        <f aca="false">IF(AND(Slot18_On=1,Slot18_Age&gt;D39),1,0)</f>
        <v>0</v>
      </c>
      <c r="GM39" s="20" t="n">
        <f aca="false">TC38</f>
        <v>0</v>
      </c>
      <c r="GN39" s="20" t="n">
        <f aca="false">GK39*MIN(Slot18_Cost,GM39)</f>
        <v>0</v>
      </c>
      <c r="GO39" s="20" t="n">
        <f aca="false">GK39*Slot18_SpendLike*MIN(Slot18_Cost-GN39,GG39)</f>
        <v>0</v>
      </c>
      <c r="GP39" s="20" t="n">
        <f aca="false">GN39+GO39</f>
        <v>0</v>
      </c>
      <c r="GQ39" s="20" t="n">
        <f aca="false">GG39-GO39+GK39*IF(Slot18_SpendLike=1,GM39-GN39,IF(Slot18_PotFree=1,GM39,0))</f>
        <v>168182.128928667</v>
      </c>
      <c r="GR39" s="20" t="n">
        <f aca="false">GH39+GK39*Slot18_BufPot*GM39</f>
        <v>15184.5743066522</v>
      </c>
      <c r="GS39" s="20" t="n">
        <f aca="false">IF(AND(GK39=1,Slot18_IsMfree=1),IF(GP39&gt;=Slot18_Cost-1,0,MAX(0,GI39-GP39)),GI39)</f>
        <v>0</v>
      </c>
      <c r="GT39" s="20" t="n">
        <f aca="false">GK39*(Slot18_Cost-GP39)</f>
        <v>0</v>
      </c>
      <c r="GU39" s="20" t="n">
        <f aca="false">IF(AND(Slot19_On=1,D39=Slot19_Age),1,0)</f>
        <v>0</v>
      </c>
      <c r="GV39" s="20" t="n">
        <f aca="false">IF(AND(Slot19_On=1,Slot19_Age&gt;D39),1,0)</f>
        <v>0</v>
      </c>
      <c r="GW39" s="20" t="n">
        <f aca="false">TG38</f>
        <v>0</v>
      </c>
      <c r="GX39" s="20" t="n">
        <f aca="false">GU39*MIN(Slot19_Cost,GW39)</f>
        <v>0</v>
      </c>
      <c r="GY39" s="20" t="n">
        <f aca="false">GU39*Slot19_SpendLike*MIN(Slot19_Cost-GX39,GQ39)</f>
        <v>0</v>
      </c>
      <c r="GZ39" s="20" t="n">
        <f aca="false">GX39+GY39</f>
        <v>0</v>
      </c>
      <c r="HA39" s="20" t="n">
        <f aca="false">GQ39-GY39+GU39*IF(Slot19_SpendLike=1,GW39-GX39,IF(Slot19_PotFree=1,GW39,0))</f>
        <v>168182.128928667</v>
      </c>
      <c r="HB39" s="20" t="n">
        <f aca="false">GR39+GU39*Slot19_BufPot*GW39</f>
        <v>15184.5743066522</v>
      </c>
      <c r="HC39" s="20" t="n">
        <f aca="false">IF(AND(GU39=1,Slot19_IsMfree=1),IF(GZ39&gt;=Slot19_Cost-1,0,MAX(0,GS39-GZ39)),GS39)</f>
        <v>0</v>
      </c>
      <c r="HD39" s="20" t="n">
        <f aca="false">GU39*(Slot19_Cost-GZ39)</f>
        <v>0</v>
      </c>
      <c r="HE39" s="20" t="n">
        <f aca="false">IF(AND(Slot20_On=1,D39=Slot20_Age),1,0)</f>
        <v>0</v>
      </c>
      <c r="HF39" s="20" t="n">
        <f aca="false">IF(AND(Slot20_On=1,Slot20_Age&gt;D39),1,0)</f>
        <v>0</v>
      </c>
      <c r="HG39" s="20" t="n">
        <f aca="false">TK38</f>
        <v>0</v>
      </c>
      <c r="HH39" s="20" t="n">
        <f aca="false">HE39*MIN(Slot20_Cost,HG39)</f>
        <v>0</v>
      </c>
      <c r="HI39" s="20" t="n">
        <f aca="false">HE39*Slot20_SpendLike*MIN(Slot20_Cost-HH39,HA39)</f>
        <v>0</v>
      </c>
      <c r="HJ39" s="20" t="n">
        <f aca="false">HH39+HI39</f>
        <v>0</v>
      </c>
      <c r="HK39" s="20" t="n">
        <f aca="false">HA39-HI39+HE39*IF(Slot20_SpendLike=1,HG39-HH39,IF(Slot20_PotFree=1,HG39,0))</f>
        <v>168182.128928667</v>
      </c>
      <c r="HL39" s="20" t="n">
        <f aca="false">HB39+HE39*Slot20_BufPot*HG39</f>
        <v>15184.5743066522</v>
      </c>
      <c r="HM39" s="20" t="n">
        <f aca="false">IF(AND(HE39=1,Slot20_IsMfree=1),IF(HJ39&gt;=Slot20_Cost-1,0,MAX(0,HC39-HJ39)),HC39)</f>
        <v>0</v>
      </c>
      <c r="HN39" s="20" t="n">
        <f aca="false">HE39*(Slot20_Cost-HJ39)</f>
        <v>0</v>
      </c>
      <c r="HO39" s="20" t="n">
        <f aca="false">V39*Slot1_SpendLike*AA39+AG39*Slot2_SpendLike*AL39+AQ39*Slot3_SpendLike*AV39+BA39*Slot4_SpendLike*BF39+BK39*Slot5_SpendLike*BP39+BU39*Slot6_SpendLike*BZ39+CE39*Slot7_SpendLike*CJ39+CO39*Slot8_SpendLike*CT39+CY39*Slot9_SpendLike*DD39+DI39*Slot10_SpendLike*DN39+DS39*Slot11_SpendLike*DX39+EC39*Slot12_SpendLike*EH39+EM39*Slot13_SpendLike*ER39+EW39*Slot14_SpendLike*FB39+FG39*Slot15_SpendLike*FL39+FQ39*Slot16_SpendLike*FV39+GA39*Slot17_SpendLike*GF39+GK39*Slot18_SpendLike*GP39+GU39*Slot19_SpendLike*GZ39+HE39*Slot20_SpendLike*HJ39</f>
        <v>0</v>
      </c>
      <c r="HP39" s="20" t="n">
        <f aca="false">AE39+AP39+AZ39+BJ39+BT39+CD39+CN39+CX39+DH39+DR39+EB39+EL39+EV39+FF39+FP39+FZ39+GJ39+GT39+HD39+HN39</f>
        <v>0</v>
      </c>
      <c r="HQ39" s="20" t="n">
        <f aca="false">V39*Slot1_Cost+AG39*Slot2_Cost+AQ39*Slot3_Cost+BA39*Slot4_Cost+BK39*Slot5_Cost+BU39*Slot6_Cost+CE39*Slot7_Cost+CO39*Slot8_Cost+CY39*Slot9_Cost+DI39*Slot10_Cost+DS39*Slot11_Cost+EC39*Slot12_Cost+EM39*Slot13_Cost+EW39*Slot14_Cost+FG39*Slot15_Cost+FQ39*Slot16_Cost+GA39*Slot17_Cost+GK39*Slot18_Cost+GU39*Slot19_Cost+HE39*Slot20_Cost</f>
        <v>0</v>
      </c>
      <c r="HR39" s="20" t="n">
        <f aca="false">HM39</f>
        <v>0</v>
      </c>
      <c r="HS39" s="20" t="n">
        <f aca="false">H39-I39-S39</f>
        <v>-20985.1226702362</v>
      </c>
      <c r="HT39" s="20" t="n">
        <f aca="false">IF(B39=0,IF(AND(Has_q6=1,In_q6=4),PR_ShareVaries*(MAX(0,HS39)/12),MIN(IF(Has_q6=1,CHOOSE(In_q6+1,PR_SaveB1,PR_SaveB2,PR_SaveB3,PR_SaveB4,0),AS_NoAnswer),AS_SaveShare*(MAX(0,HS39)/12))),HT38)</f>
        <v>67.3316893520437</v>
      </c>
      <c r="HU39" s="20" t="n">
        <f aca="false">IF(HS39&gt;=0,1,0)</f>
        <v>0</v>
      </c>
      <c r="HV39" s="20" t="n">
        <f aca="false">MAX(0,HS39/12/F39)</f>
        <v>0</v>
      </c>
      <c r="HW39" s="20" t="n">
        <f aca="false">IF(AND(Has_q6=1,In_q6=4),PR_ShareVaries*(HV39),MIN(IF(Has_q6=1,CHOOSE(In_q6+1,PR_SaveB1,PR_SaveB2,PR_SaveB3,PR_SaveB4,0),AS_NoAnswer),AS_SaveShare*(HV39)))</f>
        <v>0</v>
      </c>
      <c r="HX39" s="20" t="n">
        <f aca="false">IF(Has_saveM=1,IF(In_saveUp="Yes",1,IF(In_saveUp="No",0,IF(In_saveM&gt;=HT39-0.5,1,0))),0)</f>
        <v>0</v>
      </c>
      <c r="HY39" s="20" t="n">
        <f aca="false">IF(Has_saveM=1,MIN(HV39,IF(HX39=1,MAX(In_saveM,HW39),MIN(In_saveM,HW39))),HW39)</f>
        <v>0</v>
      </c>
      <c r="HZ39" s="20" t="n">
        <f aca="false">IF(G39=1,HY39*12*F39,0)</f>
        <v>0</v>
      </c>
      <c r="IA39" s="20" t="n">
        <f aca="false">MAX(0,HZ39+IF(AND(WI_Retire=0,WI_M&lt;0,G39=1),WI_M*12*F39,0))</f>
        <v>0</v>
      </c>
      <c r="IB39" s="20" t="n">
        <f aca="false">Slot1_IsWG*W39+Slot2_IsWG*AH39+Slot3_IsWG*AR39+Slot4_IsWG*BB39+Slot5_IsWG*BL39+Slot6_IsWG*BV39+Slot7_IsWG*CF39+Slot8_IsWG*CP39+Slot9_IsWG*CZ39+Slot10_IsWG*DJ39+Slot11_IsWG*DT39+Slot12_IsWG*ED39+Slot13_IsWG*EN39+Slot14_IsWG*EX39+Slot15_IsWG*FH39+Slot16_IsWG*FR39+Slot17_IsWG*GB39+Slot18_IsWG*GL39+Slot19_IsWG*GV39+Slot20_IsWG*HF39</f>
        <v>0</v>
      </c>
      <c r="IC39" s="20" t="n">
        <f aca="false">IF(AND(WI_Retire=0,WI_M&gt;0,G39=1,IB39&gt;=1),WI_M*12*F39,0)</f>
        <v>0</v>
      </c>
      <c r="ID39" s="20" t="n">
        <f aca="false">IF(HU39=1,MIN(IA39,HS39),0)</f>
        <v>0</v>
      </c>
      <c r="IE39" s="20" t="n">
        <f aca="false">IF(HU39=1,MIN(IC39,HS39-ID39),0)</f>
        <v>0</v>
      </c>
      <c r="IF39" s="20" t="n">
        <f aca="false">IF(W39=1,IF(ABS((1+AS_Wage)/(1+Slot1_Rate)-1)&lt;0.000000000001,(Slot1_Age-D39)*(1+Slot1_Rate)^(Slot1_Age-D39),(1+Slot1_Rate)^(Slot1_Age-D39)*(1-((1+AS_Wage)/(1+Slot1_Rate))^(Slot1_Age-D39))/(1-(1+AS_Wage)/(1+Slot1_Rate))),1)</f>
        <v>1</v>
      </c>
      <c r="IG39" s="20" t="n">
        <f aca="false">IF(AND(HU39=1,IE39&gt;0,Slot1_IsWG=1,W39=1),MAX(0,(Slot1_Cost-X39*(1+Slot1_Rate)^(Slot1_Age-D39))/IF39),0)</f>
        <v>0</v>
      </c>
      <c r="IH39" s="20" t="n">
        <f aca="false">IF(AND(HU39=1,IE39&gt;0,Slot1_IsWG=1,W39=1),MIN(IE39,IG39),0)</f>
        <v>0</v>
      </c>
      <c r="II39" s="20" t="n">
        <f aca="false">X39+IH39</f>
        <v>0</v>
      </c>
      <c r="IJ39" s="20" t="n">
        <f aca="false">IF(W39=1,MAX(0,(Slot1_Cost-II39*(1+Slot1_Rate)^(Slot1_Age-D39))/IF39),0)</f>
        <v>0</v>
      </c>
      <c r="IK39" s="20" t="n">
        <f aca="false">IF(W39=1,MAX(0,(Slot1_Cost-X39*(1+Slot1_Rate)^(Slot1_Age-D39))/IF39),0)</f>
        <v>0</v>
      </c>
      <c r="IL39" s="20" t="n">
        <f aca="false">IF(AND(HU39=1,W39=1),MIN(ID39,IJ39),0)</f>
        <v>0</v>
      </c>
      <c r="IM39" s="20" t="n">
        <f aca="false">ID39-IL39</f>
        <v>0</v>
      </c>
      <c r="IN39" s="20" t="n">
        <f aca="false">IF(AH39=1,IF(ABS((1+AS_Wage)/(1+Slot2_Rate)-1)&lt;0.000000000001,(Slot2_Age-D39)*(1+Slot2_Rate)^(Slot2_Age-D39),(1+Slot2_Rate)^(Slot2_Age-D39)*(1-((1+AS_Wage)/(1+Slot2_Rate))^(Slot2_Age-D39))/(1-(1+AS_Wage)/(1+Slot2_Rate))),1)</f>
        <v>1</v>
      </c>
      <c r="IO39" s="20" t="n">
        <f aca="false">IF(AND(HU39=1,IE39&gt;0,Slot2_IsWG=1,AH39=1),MAX(0,(Slot2_Cost-AI39*(1+Slot2_Rate)^(Slot2_Age-D39))/IN39),0)</f>
        <v>0</v>
      </c>
      <c r="IP39" s="20" t="n">
        <f aca="false">IF(AND(HU39=1,IE39&gt;0,Slot2_IsWG=1,AH39=1),MIN(IE39,IO39),0)</f>
        <v>0</v>
      </c>
      <c r="IQ39" s="20" t="n">
        <f aca="false">AI39+IP39</f>
        <v>0</v>
      </c>
      <c r="IR39" s="20" t="n">
        <f aca="false">IF(AH39=1,MAX(0,(Slot2_Cost-IQ39*(1+Slot2_Rate)^(Slot2_Age-D39))/IN39),0)</f>
        <v>0</v>
      </c>
      <c r="IS39" s="20" t="n">
        <f aca="false">IF(AH39=1,MAX(0,(Slot2_Cost-AI39*(1+Slot2_Rate)^(Slot2_Age-D39))/IN39),0)</f>
        <v>0</v>
      </c>
      <c r="IT39" s="20" t="n">
        <f aca="false">IF(AND(HU39=1,AH39=1),MIN(IM39,IR39),0)</f>
        <v>0</v>
      </c>
      <c r="IU39" s="20" t="n">
        <f aca="false">IM39-IT39</f>
        <v>0</v>
      </c>
      <c r="IV39" s="20" t="n">
        <f aca="false">IF(AR39=1,IF(ABS((1+AS_Wage)/(1+Slot3_Rate)-1)&lt;0.000000000001,(Slot3_Age-D39)*(1+Slot3_Rate)^(Slot3_Age-D39),(1+Slot3_Rate)^(Slot3_Age-D39)*(1-((1+AS_Wage)/(1+Slot3_Rate))^(Slot3_Age-D39))/(1-(1+AS_Wage)/(1+Slot3_Rate))),1)</f>
        <v>1</v>
      </c>
      <c r="IW39" s="20" t="n">
        <f aca="false">IF(AND(HU39=1,IE39&gt;0,Slot3_IsWG=1,AR39=1),MAX(0,(Slot3_Cost-AS39*(1+Slot3_Rate)^(Slot3_Age-D39))/IV39),0)</f>
        <v>0</v>
      </c>
      <c r="IX39" s="20" t="n">
        <f aca="false">IF(AND(HU39=1,IE39&gt;0,Slot3_IsWG=1,AR39=1),MIN(IE39,IW39),0)</f>
        <v>0</v>
      </c>
      <c r="IY39" s="20" t="n">
        <f aca="false">AS39+IX39</f>
        <v>0</v>
      </c>
      <c r="IZ39" s="20" t="n">
        <f aca="false">IF(AR39=1,MAX(0,(Slot3_Cost-IY39*(1+Slot3_Rate)^(Slot3_Age-D39))/IV39),0)</f>
        <v>0</v>
      </c>
      <c r="JA39" s="20" t="n">
        <f aca="false">IF(AR39=1,MAX(0,(Slot3_Cost-AS39*(1+Slot3_Rate)^(Slot3_Age-D39))/IV39),0)</f>
        <v>0</v>
      </c>
      <c r="JB39" s="20" t="n">
        <f aca="false">IF(AND(HU39=1,AR39=1),MIN(IU39,IZ39),0)</f>
        <v>0</v>
      </c>
      <c r="JC39" s="20" t="n">
        <f aca="false">IU39-JB39</f>
        <v>0</v>
      </c>
      <c r="JD39" s="20" t="n">
        <f aca="false">IF(BB39=1,IF(ABS((1+AS_Wage)/(1+Slot4_Rate)-1)&lt;0.000000000001,(Slot4_Age-D39)*(1+Slot4_Rate)^(Slot4_Age-D39),(1+Slot4_Rate)^(Slot4_Age-D39)*(1-((1+AS_Wage)/(1+Slot4_Rate))^(Slot4_Age-D39))/(1-(1+AS_Wage)/(1+Slot4_Rate))),1)</f>
        <v>1</v>
      </c>
      <c r="JE39" s="20" t="n">
        <f aca="false">IF(AND(HU39=1,IE39&gt;0,Slot4_IsWG=1,BB39=1),MAX(0,(Slot4_Cost-BC39*(1+Slot4_Rate)^(Slot4_Age-D39))/JD39),0)</f>
        <v>0</v>
      </c>
      <c r="JF39" s="20" t="n">
        <f aca="false">IF(AND(HU39=1,IE39&gt;0,Slot4_IsWG=1,BB39=1),MIN(IE39,JE39),0)</f>
        <v>0</v>
      </c>
      <c r="JG39" s="20" t="n">
        <f aca="false">BC39+JF39</f>
        <v>0</v>
      </c>
      <c r="JH39" s="20" t="n">
        <f aca="false">IF(BB39=1,MAX(0,(Slot4_Cost-JG39*(1+Slot4_Rate)^(Slot4_Age-D39))/JD39),0)</f>
        <v>0</v>
      </c>
      <c r="JI39" s="20" t="n">
        <f aca="false">IF(BB39=1,MAX(0,(Slot4_Cost-BC39*(1+Slot4_Rate)^(Slot4_Age-D39))/JD39),0)</f>
        <v>0</v>
      </c>
      <c r="JJ39" s="20" t="n">
        <f aca="false">IF(AND(HU39=1,BB39=1),MIN(JC39,JH39),0)</f>
        <v>0</v>
      </c>
      <c r="JK39" s="20" t="n">
        <f aca="false">JC39-JJ39</f>
        <v>0</v>
      </c>
      <c r="JL39" s="20" t="n">
        <f aca="false">IF(BL39=1,IF(ABS((1+AS_Wage)/(1+Slot5_Rate)-1)&lt;0.000000000001,(Slot5_Age-D39)*(1+Slot5_Rate)^(Slot5_Age-D39),(1+Slot5_Rate)^(Slot5_Age-D39)*(1-((1+AS_Wage)/(1+Slot5_Rate))^(Slot5_Age-D39))/(1-(1+AS_Wage)/(1+Slot5_Rate))),1)</f>
        <v>1</v>
      </c>
      <c r="JM39" s="20" t="n">
        <f aca="false">IF(AND(HU39=1,IE39&gt;0,Slot5_IsWG=1,BL39=1),MAX(0,(Slot5_Cost-BM39*(1+Slot5_Rate)^(Slot5_Age-D39))/JL39),0)</f>
        <v>0</v>
      </c>
      <c r="JN39" s="20" t="n">
        <f aca="false">IF(AND(HU39=1,IE39&gt;0,Slot5_IsWG=1,BL39=1),MIN(IE39,JM39),0)</f>
        <v>0</v>
      </c>
      <c r="JO39" s="20" t="n">
        <f aca="false">BM39+JN39</f>
        <v>0</v>
      </c>
      <c r="JP39" s="20" t="n">
        <f aca="false">IF(BL39=1,MAX(0,(Slot5_Cost-JO39*(1+Slot5_Rate)^(Slot5_Age-D39))/JL39),0)</f>
        <v>0</v>
      </c>
      <c r="JQ39" s="20" t="n">
        <f aca="false">IF(BL39=1,MAX(0,(Slot5_Cost-BM39*(1+Slot5_Rate)^(Slot5_Age-D39))/JL39),0)</f>
        <v>0</v>
      </c>
      <c r="JR39" s="20" t="n">
        <f aca="false">IF(AND(HU39=1,BL39=1),MIN(JK39,JP39),0)</f>
        <v>0</v>
      </c>
      <c r="JS39" s="20" t="n">
        <f aca="false">JK39-JR39</f>
        <v>0</v>
      </c>
      <c r="JT39" s="20" t="n">
        <f aca="false">IF(BV39=1,IF(ABS((1+AS_Wage)/(1+Slot6_Rate)-1)&lt;0.000000000001,(Slot6_Age-D39)*(1+Slot6_Rate)^(Slot6_Age-D39),(1+Slot6_Rate)^(Slot6_Age-D39)*(1-((1+AS_Wage)/(1+Slot6_Rate))^(Slot6_Age-D39))/(1-(1+AS_Wage)/(1+Slot6_Rate))),1)</f>
        <v>1</v>
      </c>
      <c r="JU39" s="20" t="n">
        <f aca="false">IF(AND(HU39=1,IE39&gt;0,Slot6_IsWG=1,BV39=1),MAX(0,(Slot6_Cost-BW39*(1+Slot6_Rate)^(Slot6_Age-D39))/JT39),0)</f>
        <v>0</v>
      </c>
      <c r="JV39" s="20" t="n">
        <f aca="false">IF(AND(HU39=1,IE39&gt;0,Slot6_IsWG=1,BV39=1),MIN(IE39,JU39),0)</f>
        <v>0</v>
      </c>
      <c r="JW39" s="20" t="n">
        <f aca="false">BW39+JV39</f>
        <v>0</v>
      </c>
      <c r="JX39" s="20" t="n">
        <f aca="false">IF(BV39=1,MAX(0,(Slot6_Cost-JW39*(1+Slot6_Rate)^(Slot6_Age-D39))/JT39),0)</f>
        <v>0</v>
      </c>
      <c r="JY39" s="20" t="n">
        <f aca="false">IF(BV39=1,MAX(0,(Slot6_Cost-BW39*(1+Slot6_Rate)^(Slot6_Age-D39))/JT39),0)</f>
        <v>0</v>
      </c>
      <c r="JZ39" s="20" t="n">
        <f aca="false">IF(AND(HU39=1,BV39=1),MIN(JS39,JX39),0)</f>
        <v>0</v>
      </c>
      <c r="KA39" s="20" t="n">
        <f aca="false">JS39-JZ39</f>
        <v>0</v>
      </c>
      <c r="KB39" s="20" t="n">
        <f aca="false">IF(CF39=1,IF(ABS((1+AS_Wage)/(1+Slot7_Rate)-1)&lt;0.000000000001,(Slot7_Age-D39)*(1+Slot7_Rate)^(Slot7_Age-D39),(1+Slot7_Rate)^(Slot7_Age-D39)*(1-((1+AS_Wage)/(1+Slot7_Rate))^(Slot7_Age-D39))/(1-(1+AS_Wage)/(1+Slot7_Rate))),1)</f>
        <v>1</v>
      </c>
      <c r="KC39" s="20" t="n">
        <f aca="false">IF(AND(HU39=1,IE39&gt;0,Slot7_IsWG=1,CF39=1),MAX(0,(Slot7_Cost-CG39*(1+Slot7_Rate)^(Slot7_Age-D39))/KB39),0)</f>
        <v>0</v>
      </c>
      <c r="KD39" s="20" t="n">
        <f aca="false">IF(AND(HU39=1,IE39&gt;0,Slot7_IsWG=1,CF39=1),MIN(IE39,KC39),0)</f>
        <v>0</v>
      </c>
      <c r="KE39" s="20" t="n">
        <f aca="false">CG39+KD39</f>
        <v>0</v>
      </c>
      <c r="KF39" s="20" t="n">
        <f aca="false">IF(CF39=1,MAX(0,(Slot7_Cost-KE39*(1+Slot7_Rate)^(Slot7_Age-D39))/KB39),0)</f>
        <v>0</v>
      </c>
      <c r="KG39" s="20" t="n">
        <f aca="false">IF(CF39=1,MAX(0,(Slot7_Cost-CG39*(1+Slot7_Rate)^(Slot7_Age-D39))/KB39),0)</f>
        <v>0</v>
      </c>
      <c r="KH39" s="20" t="n">
        <f aca="false">IF(AND(HU39=1,CF39=1),MIN(KA39,KF39),0)</f>
        <v>0</v>
      </c>
      <c r="KI39" s="20" t="n">
        <f aca="false">KA39-KH39</f>
        <v>0</v>
      </c>
      <c r="KJ39" s="20" t="n">
        <f aca="false">IF(CP39=1,IF(ABS((1+AS_Wage)/(1+Slot8_Rate)-1)&lt;0.000000000001,(Slot8_Age-D39)*(1+Slot8_Rate)^(Slot8_Age-D39),(1+Slot8_Rate)^(Slot8_Age-D39)*(1-((1+AS_Wage)/(1+Slot8_Rate))^(Slot8_Age-D39))/(1-(1+AS_Wage)/(1+Slot8_Rate))),1)</f>
        <v>1</v>
      </c>
      <c r="KK39" s="20" t="n">
        <f aca="false">IF(AND(HU39=1,IE39&gt;0,Slot8_IsWG=1,CP39=1),MAX(0,(Slot8_Cost-CQ39*(1+Slot8_Rate)^(Slot8_Age-D39))/KJ39),0)</f>
        <v>0</v>
      </c>
      <c r="KL39" s="20" t="n">
        <f aca="false">IF(AND(HU39=1,IE39&gt;0,Slot8_IsWG=1,CP39=1),MIN(IE39,KK39),0)</f>
        <v>0</v>
      </c>
      <c r="KM39" s="20" t="n">
        <f aca="false">CQ39+KL39</f>
        <v>0</v>
      </c>
      <c r="KN39" s="20" t="n">
        <f aca="false">IF(CP39=1,MAX(0,(Slot8_Cost-KM39*(1+Slot8_Rate)^(Slot8_Age-D39))/KJ39),0)</f>
        <v>0</v>
      </c>
      <c r="KO39" s="20" t="n">
        <f aca="false">IF(CP39=1,MAX(0,(Slot8_Cost-CQ39*(1+Slot8_Rate)^(Slot8_Age-D39))/KJ39),0)</f>
        <v>0</v>
      </c>
      <c r="KP39" s="20" t="n">
        <f aca="false">IF(AND(HU39=1,CP39=1),MIN(KI39,KN39),0)</f>
        <v>0</v>
      </c>
      <c r="KQ39" s="20" t="n">
        <f aca="false">KI39-KP39</f>
        <v>0</v>
      </c>
      <c r="KR39" s="20" t="n">
        <f aca="false">IF(CZ39=1,IF(ABS((1+AS_Wage)/(1+Slot9_Rate)-1)&lt;0.000000000001,(Slot9_Age-D39)*(1+Slot9_Rate)^(Slot9_Age-D39),(1+Slot9_Rate)^(Slot9_Age-D39)*(1-((1+AS_Wage)/(1+Slot9_Rate))^(Slot9_Age-D39))/(1-(1+AS_Wage)/(1+Slot9_Rate))),1)</f>
        <v>1</v>
      </c>
      <c r="KS39" s="20" t="n">
        <f aca="false">IF(AND(HU39=1,IE39&gt;0,Slot9_IsWG=1,CZ39=1),MAX(0,(Slot9_Cost-DA39*(1+Slot9_Rate)^(Slot9_Age-D39))/KR39),0)</f>
        <v>0</v>
      </c>
      <c r="KT39" s="20" t="n">
        <f aca="false">IF(AND(HU39=1,IE39&gt;0,Slot9_IsWG=1,CZ39=1),MIN(IE39,KS39),0)</f>
        <v>0</v>
      </c>
      <c r="KU39" s="20" t="n">
        <f aca="false">DA39+KT39</f>
        <v>0</v>
      </c>
      <c r="KV39" s="20" t="n">
        <f aca="false">IF(CZ39=1,MAX(0,(Slot9_Cost-KU39*(1+Slot9_Rate)^(Slot9_Age-D39))/KR39),0)</f>
        <v>0</v>
      </c>
      <c r="KW39" s="20" t="n">
        <f aca="false">IF(CZ39=1,MAX(0,(Slot9_Cost-DA39*(1+Slot9_Rate)^(Slot9_Age-D39))/KR39),0)</f>
        <v>0</v>
      </c>
      <c r="KX39" s="20" t="n">
        <f aca="false">IF(AND(HU39=1,CZ39=1),MIN(KQ39,KV39),0)</f>
        <v>0</v>
      </c>
      <c r="KY39" s="20" t="n">
        <f aca="false">KQ39-KX39</f>
        <v>0</v>
      </c>
      <c r="KZ39" s="20" t="n">
        <f aca="false">IF(DJ39=1,IF(ABS((1+AS_Wage)/(1+Slot10_Rate)-1)&lt;0.000000000001,(Slot10_Age-D39)*(1+Slot10_Rate)^(Slot10_Age-D39),(1+Slot10_Rate)^(Slot10_Age-D39)*(1-((1+AS_Wage)/(1+Slot10_Rate))^(Slot10_Age-D39))/(1-(1+AS_Wage)/(1+Slot10_Rate))),1)</f>
        <v>1</v>
      </c>
      <c r="LA39" s="20" t="n">
        <f aca="false">IF(AND(HU39=1,IE39&gt;0,Slot10_IsWG=1,DJ39=1),MAX(0,(Slot10_Cost-DK39*(1+Slot10_Rate)^(Slot10_Age-D39))/KZ39),0)</f>
        <v>0</v>
      </c>
      <c r="LB39" s="20" t="n">
        <f aca="false">IF(AND(HU39=1,IE39&gt;0,Slot10_IsWG=1,DJ39=1),MIN(IE39,LA39),0)</f>
        <v>0</v>
      </c>
      <c r="LC39" s="20" t="n">
        <f aca="false">DK39+LB39</f>
        <v>0</v>
      </c>
      <c r="LD39" s="20" t="n">
        <f aca="false">IF(DJ39=1,MAX(0,(Slot10_Cost-LC39*(1+Slot10_Rate)^(Slot10_Age-D39))/KZ39),0)</f>
        <v>0</v>
      </c>
      <c r="LE39" s="20" t="n">
        <f aca="false">IF(DJ39=1,MAX(0,(Slot10_Cost-DK39*(1+Slot10_Rate)^(Slot10_Age-D39))/KZ39),0)</f>
        <v>0</v>
      </c>
      <c r="LF39" s="20" t="n">
        <f aca="false">IF(AND(HU39=1,DJ39=1),MIN(KY39,LD39),0)</f>
        <v>0</v>
      </c>
      <c r="LG39" s="20" t="n">
        <f aca="false">KY39-LF39</f>
        <v>0</v>
      </c>
      <c r="LH39" s="20" t="n">
        <f aca="false">IF(DT39=1,IF(ABS((1+AS_Wage)/(1+Slot11_Rate)-1)&lt;0.000000000001,(Slot11_Age-D39)*(1+Slot11_Rate)^(Slot11_Age-D39),(1+Slot11_Rate)^(Slot11_Age-D39)*(1-((1+AS_Wage)/(1+Slot11_Rate))^(Slot11_Age-D39))/(1-(1+AS_Wage)/(1+Slot11_Rate))),1)</f>
        <v>1</v>
      </c>
      <c r="LI39" s="20" t="n">
        <f aca="false">IF(AND(HU39=1,IE39&gt;0,Slot11_IsWG=1,DT39=1),MAX(0,(Slot11_Cost-DU39*(1+Slot11_Rate)^(Slot11_Age-D39))/LH39),0)</f>
        <v>0</v>
      </c>
      <c r="LJ39" s="20" t="n">
        <f aca="false">IF(AND(HU39=1,IE39&gt;0,Slot11_IsWG=1,DT39=1),MIN(IE39,LI39),0)</f>
        <v>0</v>
      </c>
      <c r="LK39" s="20" t="n">
        <f aca="false">DU39+LJ39</f>
        <v>0</v>
      </c>
      <c r="LL39" s="20" t="n">
        <f aca="false">IF(DT39=1,MAX(0,(Slot11_Cost-LK39*(1+Slot11_Rate)^(Slot11_Age-D39))/LH39),0)</f>
        <v>0</v>
      </c>
      <c r="LM39" s="20" t="n">
        <f aca="false">IF(DT39=1,MAX(0,(Slot11_Cost-DU39*(1+Slot11_Rate)^(Slot11_Age-D39))/LH39),0)</f>
        <v>0</v>
      </c>
      <c r="LN39" s="20" t="n">
        <f aca="false">IF(AND(HU39=1,DT39=1),MIN(LG39,LL39),0)</f>
        <v>0</v>
      </c>
      <c r="LO39" s="20" t="n">
        <f aca="false">LG39-LN39</f>
        <v>0</v>
      </c>
      <c r="LP39" s="20" t="n">
        <f aca="false">IF(ED39=1,IF(ABS((1+AS_Wage)/(1+Slot12_Rate)-1)&lt;0.000000000001,(Slot12_Age-D39)*(1+Slot12_Rate)^(Slot12_Age-D39),(1+Slot12_Rate)^(Slot12_Age-D39)*(1-((1+AS_Wage)/(1+Slot12_Rate))^(Slot12_Age-D39))/(1-(1+AS_Wage)/(1+Slot12_Rate))),1)</f>
        <v>1</v>
      </c>
      <c r="LQ39" s="20" t="n">
        <f aca="false">IF(AND(HU39=1,IE39&gt;0,Slot12_IsWG=1,ED39=1),MAX(0,(Slot12_Cost-EE39*(1+Slot12_Rate)^(Slot12_Age-D39))/LP39),0)</f>
        <v>0</v>
      </c>
      <c r="LR39" s="20" t="n">
        <f aca="false">IF(AND(HU39=1,IE39&gt;0,Slot12_IsWG=1,ED39=1),MIN(IE39,LQ39),0)</f>
        <v>0</v>
      </c>
      <c r="LS39" s="20" t="n">
        <f aca="false">EE39+LR39</f>
        <v>0</v>
      </c>
      <c r="LT39" s="20" t="n">
        <f aca="false">IF(ED39=1,MAX(0,(Slot12_Cost-LS39*(1+Slot12_Rate)^(Slot12_Age-D39))/LP39),0)</f>
        <v>0</v>
      </c>
      <c r="LU39" s="20" t="n">
        <f aca="false">IF(ED39=1,MAX(0,(Slot12_Cost-EE39*(1+Slot12_Rate)^(Slot12_Age-D39))/LP39),0)</f>
        <v>0</v>
      </c>
      <c r="LV39" s="20" t="n">
        <f aca="false">IF(AND(HU39=1,ED39=1),MIN(LO39,LT39),0)</f>
        <v>0</v>
      </c>
      <c r="LW39" s="20" t="n">
        <f aca="false">LO39-LV39</f>
        <v>0</v>
      </c>
      <c r="LX39" s="20" t="n">
        <f aca="false">IF(EN39=1,IF(ABS((1+AS_Wage)/(1+Slot13_Rate)-1)&lt;0.000000000001,(Slot13_Age-D39)*(1+Slot13_Rate)^(Slot13_Age-D39),(1+Slot13_Rate)^(Slot13_Age-D39)*(1-((1+AS_Wage)/(1+Slot13_Rate))^(Slot13_Age-D39))/(1-(1+AS_Wage)/(1+Slot13_Rate))),1)</f>
        <v>1</v>
      </c>
      <c r="LY39" s="20" t="n">
        <f aca="false">IF(AND(HU39=1,IE39&gt;0,Slot13_IsWG=1,EN39=1),MAX(0,(Slot13_Cost-EO39*(1+Slot13_Rate)^(Slot13_Age-D39))/LX39),0)</f>
        <v>0</v>
      </c>
      <c r="LZ39" s="20" t="n">
        <f aca="false">IF(AND(HU39=1,IE39&gt;0,Slot13_IsWG=1,EN39=1),MIN(IE39,LY39),0)</f>
        <v>0</v>
      </c>
      <c r="MA39" s="20" t="n">
        <f aca="false">EO39+LZ39</f>
        <v>0</v>
      </c>
      <c r="MB39" s="20" t="n">
        <f aca="false">IF(EN39=1,MAX(0,(Slot13_Cost-MA39*(1+Slot13_Rate)^(Slot13_Age-D39))/LX39),0)</f>
        <v>0</v>
      </c>
      <c r="MC39" s="20" t="n">
        <f aca="false">IF(EN39=1,MAX(0,(Slot13_Cost-EO39*(1+Slot13_Rate)^(Slot13_Age-D39))/LX39),0)</f>
        <v>0</v>
      </c>
      <c r="MD39" s="20" t="n">
        <f aca="false">IF(AND(HU39=1,EN39=1),MIN(LW39,MB39),0)</f>
        <v>0</v>
      </c>
      <c r="ME39" s="20" t="n">
        <f aca="false">LW39-MD39</f>
        <v>0</v>
      </c>
      <c r="MF39" s="20" t="n">
        <f aca="false">IF(EX39=1,IF(ABS((1+AS_Wage)/(1+Slot14_Rate)-1)&lt;0.000000000001,(Slot14_Age-D39)*(1+Slot14_Rate)^(Slot14_Age-D39),(1+Slot14_Rate)^(Slot14_Age-D39)*(1-((1+AS_Wage)/(1+Slot14_Rate))^(Slot14_Age-D39))/(1-(1+AS_Wage)/(1+Slot14_Rate))),1)</f>
        <v>1</v>
      </c>
      <c r="MG39" s="20" t="n">
        <f aca="false">IF(AND(HU39=1,IE39&gt;0,Slot14_IsWG=1,EX39=1),MAX(0,(Slot14_Cost-EY39*(1+Slot14_Rate)^(Slot14_Age-D39))/MF39),0)</f>
        <v>0</v>
      </c>
      <c r="MH39" s="20" t="n">
        <f aca="false">IF(AND(HU39=1,IE39&gt;0,Slot14_IsWG=1,EX39=1),MIN(IE39,MG39),0)</f>
        <v>0</v>
      </c>
      <c r="MI39" s="20" t="n">
        <f aca="false">EY39+MH39</f>
        <v>0</v>
      </c>
      <c r="MJ39" s="20" t="n">
        <f aca="false">IF(EX39=1,MAX(0,(Slot14_Cost-MI39*(1+Slot14_Rate)^(Slot14_Age-D39))/MF39),0)</f>
        <v>0</v>
      </c>
      <c r="MK39" s="20" t="n">
        <f aca="false">IF(EX39=1,MAX(0,(Slot14_Cost-EY39*(1+Slot14_Rate)^(Slot14_Age-D39))/MF39),0)</f>
        <v>0</v>
      </c>
      <c r="ML39" s="20" t="n">
        <f aca="false">IF(AND(HU39=1,EX39=1),MIN(ME39,MJ39),0)</f>
        <v>0</v>
      </c>
      <c r="MM39" s="20" t="n">
        <f aca="false">ME39-ML39</f>
        <v>0</v>
      </c>
      <c r="MN39" s="20" t="n">
        <f aca="false">IF(FH39=1,IF(ABS((1+AS_Wage)/(1+Slot15_Rate)-1)&lt;0.000000000001,(Slot15_Age-D39)*(1+Slot15_Rate)^(Slot15_Age-D39),(1+Slot15_Rate)^(Slot15_Age-D39)*(1-((1+AS_Wage)/(1+Slot15_Rate))^(Slot15_Age-D39))/(1-(1+AS_Wage)/(1+Slot15_Rate))),1)</f>
        <v>1</v>
      </c>
      <c r="MO39" s="20" t="n">
        <f aca="false">IF(AND(HU39=1,IE39&gt;0,Slot15_IsWG=1,FH39=1),MAX(0,(Slot15_Cost-FI39*(1+Slot15_Rate)^(Slot15_Age-D39))/MN39),0)</f>
        <v>0</v>
      </c>
      <c r="MP39" s="20" t="n">
        <f aca="false">IF(AND(HU39=1,IE39&gt;0,Slot15_IsWG=1,FH39=1),MIN(IE39,MO39),0)</f>
        <v>0</v>
      </c>
      <c r="MQ39" s="20" t="n">
        <f aca="false">FI39+MP39</f>
        <v>0</v>
      </c>
      <c r="MR39" s="20" t="n">
        <f aca="false">IF(FH39=1,MAX(0,(Slot15_Cost-MQ39*(1+Slot15_Rate)^(Slot15_Age-D39))/MN39),0)</f>
        <v>0</v>
      </c>
      <c r="MS39" s="20" t="n">
        <f aca="false">IF(FH39=1,MAX(0,(Slot15_Cost-FI39*(1+Slot15_Rate)^(Slot15_Age-D39))/MN39),0)</f>
        <v>0</v>
      </c>
      <c r="MT39" s="20" t="n">
        <f aca="false">IF(AND(HU39=1,FH39=1),MIN(MM39,MR39),0)</f>
        <v>0</v>
      </c>
      <c r="MU39" s="20" t="n">
        <f aca="false">MM39-MT39</f>
        <v>0</v>
      </c>
      <c r="MV39" s="20" t="n">
        <f aca="false">IF(FR39=1,IF(ABS((1+AS_Wage)/(1+Slot16_Rate)-1)&lt;0.000000000001,(Slot16_Age-D39)*(1+Slot16_Rate)^(Slot16_Age-D39),(1+Slot16_Rate)^(Slot16_Age-D39)*(1-((1+AS_Wage)/(1+Slot16_Rate))^(Slot16_Age-D39))/(1-(1+AS_Wage)/(1+Slot16_Rate))),1)</f>
        <v>1</v>
      </c>
      <c r="MW39" s="20" t="n">
        <f aca="false">IF(AND(HU39=1,IE39&gt;0,Slot16_IsWG=1,FR39=1),MAX(0,(Slot16_Cost-FS39*(1+Slot16_Rate)^(Slot16_Age-D39))/MV39),0)</f>
        <v>0</v>
      </c>
      <c r="MX39" s="20" t="n">
        <f aca="false">IF(AND(HU39=1,IE39&gt;0,Slot16_IsWG=1,FR39=1),MIN(IE39,MW39),0)</f>
        <v>0</v>
      </c>
      <c r="MY39" s="20" t="n">
        <f aca="false">FS39+MX39</f>
        <v>0</v>
      </c>
      <c r="MZ39" s="20" t="n">
        <f aca="false">IF(FR39=1,MAX(0,(Slot16_Cost-MY39*(1+Slot16_Rate)^(Slot16_Age-D39))/MV39),0)</f>
        <v>0</v>
      </c>
      <c r="NA39" s="20" t="n">
        <f aca="false">IF(FR39=1,MAX(0,(Slot16_Cost-FS39*(1+Slot16_Rate)^(Slot16_Age-D39))/MV39),0)</f>
        <v>0</v>
      </c>
      <c r="NB39" s="20" t="n">
        <f aca="false">IF(AND(HU39=1,FR39=1),MIN(MU39,MZ39),0)</f>
        <v>0</v>
      </c>
      <c r="NC39" s="20" t="n">
        <f aca="false">MU39-NB39</f>
        <v>0</v>
      </c>
      <c r="ND39" s="20" t="n">
        <f aca="false">IF(GB39=1,IF(ABS((1+AS_Wage)/(1+Slot17_Rate)-1)&lt;0.000000000001,(Slot17_Age-D39)*(1+Slot17_Rate)^(Slot17_Age-D39),(1+Slot17_Rate)^(Slot17_Age-D39)*(1-((1+AS_Wage)/(1+Slot17_Rate))^(Slot17_Age-D39))/(1-(1+AS_Wage)/(1+Slot17_Rate))),1)</f>
        <v>1</v>
      </c>
      <c r="NE39" s="20" t="n">
        <f aca="false">IF(AND(HU39=1,IE39&gt;0,Slot17_IsWG=1,GB39=1),MAX(0,(Slot17_Cost-GC39*(1+Slot17_Rate)^(Slot17_Age-D39))/ND39),0)</f>
        <v>0</v>
      </c>
      <c r="NF39" s="20" t="n">
        <f aca="false">IF(AND(HU39=1,IE39&gt;0,Slot17_IsWG=1,GB39=1),MIN(IE39,NE39),0)</f>
        <v>0</v>
      </c>
      <c r="NG39" s="20" t="n">
        <f aca="false">GC39+NF39</f>
        <v>0</v>
      </c>
      <c r="NH39" s="20" t="n">
        <f aca="false">IF(GB39=1,MAX(0,(Slot17_Cost-NG39*(1+Slot17_Rate)^(Slot17_Age-D39))/ND39),0)</f>
        <v>0</v>
      </c>
      <c r="NI39" s="20" t="n">
        <f aca="false">IF(GB39=1,MAX(0,(Slot17_Cost-GC39*(1+Slot17_Rate)^(Slot17_Age-D39))/ND39),0)</f>
        <v>0</v>
      </c>
      <c r="NJ39" s="20" t="n">
        <f aca="false">IF(AND(HU39=1,GB39=1),MIN(NC39,NH39),0)</f>
        <v>0</v>
      </c>
      <c r="NK39" s="20" t="n">
        <f aca="false">NC39-NJ39</f>
        <v>0</v>
      </c>
      <c r="NL39" s="20" t="n">
        <f aca="false">IF(GL39=1,IF(ABS((1+AS_Wage)/(1+Slot18_Rate)-1)&lt;0.000000000001,(Slot18_Age-D39)*(1+Slot18_Rate)^(Slot18_Age-D39),(1+Slot18_Rate)^(Slot18_Age-D39)*(1-((1+AS_Wage)/(1+Slot18_Rate))^(Slot18_Age-D39))/(1-(1+AS_Wage)/(1+Slot18_Rate))),1)</f>
        <v>1</v>
      </c>
      <c r="NM39" s="20" t="n">
        <f aca="false">IF(AND(HU39=1,IE39&gt;0,Slot18_IsWG=1,GL39=1),MAX(0,(Slot18_Cost-GM39*(1+Slot18_Rate)^(Slot18_Age-D39))/NL39),0)</f>
        <v>0</v>
      </c>
      <c r="NN39" s="20" t="n">
        <f aca="false">IF(AND(HU39=1,IE39&gt;0,Slot18_IsWG=1,GL39=1),MIN(IE39,NM39),0)</f>
        <v>0</v>
      </c>
      <c r="NO39" s="20" t="n">
        <f aca="false">GM39+NN39</f>
        <v>0</v>
      </c>
      <c r="NP39" s="20" t="n">
        <f aca="false">IF(GL39=1,MAX(0,(Slot18_Cost-NO39*(1+Slot18_Rate)^(Slot18_Age-D39))/NL39),0)</f>
        <v>0</v>
      </c>
      <c r="NQ39" s="20" t="n">
        <f aca="false">IF(GL39=1,MAX(0,(Slot18_Cost-GM39*(1+Slot18_Rate)^(Slot18_Age-D39))/NL39),0)</f>
        <v>0</v>
      </c>
      <c r="NR39" s="20" t="n">
        <f aca="false">IF(AND(HU39=1,GL39=1),MIN(NK39,NP39),0)</f>
        <v>0</v>
      </c>
      <c r="NS39" s="20" t="n">
        <f aca="false">NK39-NR39</f>
        <v>0</v>
      </c>
      <c r="NT39" s="20" t="n">
        <f aca="false">IF(GV39=1,IF(ABS((1+AS_Wage)/(1+Slot19_Rate)-1)&lt;0.000000000001,(Slot19_Age-D39)*(1+Slot19_Rate)^(Slot19_Age-D39),(1+Slot19_Rate)^(Slot19_Age-D39)*(1-((1+AS_Wage)/(1+Slot19_Rate))^(Slot19_Age-D39))/(1-(1+AS_Wage)/(1+Slot19_Rate))),1)</f>
        <v>1</v>
      </c>
      <c r="NU39" s="20" t="n">
        <f aca="false">IF(AND(HU39=1,IE39&gt;0,Slot19_IsWG=1,GV39=1),MAX(0,(Slot19_Cost-GW39*(1+Slot19_Rate)^(Slot19_Age-D39))/NT39),0)</f>
        <v>0</v>
      </c>
      <c r="NV39" s="20" t="n">
        <f aca="false">IF(AND(HU39=1,IE39&gt;0,Slot19_IsWG=1,GV39=1),MIN(IE39,NU39),0)</f>
        <v>0</v>
      </c>
      <c r="NW39" s="20" t="n">
        <f aca="false">GW39+NV39</f>
        <v>0</v>
      </c>
      <c r="NX39" s="20" t="n">
        <f aca="false">IF(GV39=1,MAX(0,(Slot19_Cost-NW39*(1+Slot19_Rate)^(Slot19_Age-D39))/NT39),0)</f>
        <v>0</v>
      </c>
      <c r="NY39" s="20" t="n">
        <f aca="false">IF(GV39=1,MAX(0,(Slot19_Cost-GW39*(1+Slot19_Rate)^(Slot19_Age-D39))/NT39),0)</f>
        <v>0</v>
      </c>
      <c r="NZ39" s="20" t="n">
        <f aca="false">IF(AND(HU39=1,GV39=1),MIN(NS39,NX39),0)</f>
        <v>0</v>
      </c>
      <c r="OA39" s="20" t="n">
        <f aca="false">NS39-NZ39</f>
        <v>0</v>
      </c>
      <c r="OB39" s="20" t="n">
        <f aca="false">IF(HF39=1,IF(ABS((1+AS_Wage)/(1+Slot20_Rate)-1)&lt;0.000000000001,(Slot20_Age-D39)*(1+Slot20_Rate)^(Slot20_Age-D39),(1+Slot20_Rate)^(Slot20_Age-D39)*(1-((1+AS_Wage)/(1+Slot20_Rate))^(Slot20_Age-D39))/(1-(1+AS_Wage)/(1+Slot20_Rate))),1)</f>
        <v>1</v>
      </c>
      <c r="OC39" s="20" t="n">
        <f aca="false">IF(AND(HU39=1,IE39&gt;0,Slot20_IsWG=1,HF39=1),MAX(0,(Slot20_Cost-HG39*(1+Slot20_Rate)^(Slot20_Age-D39))/OB39),0)</f>
        <v>0</v>
      </c>
      <c r="OD39" s="20" t="n">
        <f aca="false">IF(AND(HU39=1,IE39&gt;0,Slot20_IsWG=1,HF39=1),MIN(IE39,OC39),0)</f>
        <v>0</v>
      </c>
      <c r="OE39" s="20" t="n">
        <f aca="false">HG39+OD39</f>
        <v>0</v>
      </c>
      <c r="OF39" s="20" t="n">
        <f aca="false">IF(HF39=1,MAX(0,(Slot20_Cost-OE39*(1+Slot20_Rate)^(Slot20_Age-D39))/OB39),0)</f>
        <v>0</v>
      </c>
      <c r="OG39" s="20" t="n">
        <f aca="false">IF(HF39=1,MAX(0,(Slot20_Cost-HG39*(1+Slot20_Rate)^(Slot20_Age-D39))/OB39),0)</f>
        <v>0</v>
      </c>
      <c r="OH39" s="20" t="n">
        <f aca="false">IF(AND(HU39=1,HF39=1),MIN(OA39,OF39),0)</f>
        <v>0</v>
      </c>
      <c r="OI39" s="20" t="n">
        <f aca="false">OA39-OH39</f>
        <v>0</v>
      </c>
      <c r="OJ39" s="20" t="n">
        <f aca="false">IE39-(IH39+IP39+IX39+JF39+JN39+JV39+KD39+KL39+KT39+LB39+LJ39+LR39+LZ39+MH39+MP39+MX39+NF39+NN39+NV39+OD39)</f>
        <v>0</v>
      </c>
      <c r="OK39" s="20" t="n">
        <f aca="false">IF(HU39=1,HS39-ID39-IE39,0)</f>
        <v>0</v>
      </c>
      <c r="OL39" s="20" t="n">
        <f aca="false">IF(HU39=0,-HS39,0)</f>
        <v>20985.1226702362</v>
      </c>
      <c r="OM39" s="20" t="n">
        <f aca="false">MIN(OL39,HK39)</f>
        <v>20985.1226702362</v>
      </c>
      <c r="ON39" s="20" t="n">
        <f aca="false">OL39-OM39</f>
        <v>0</v>
      </c>
      <c r="OO39" s="20" t="n">
        <f aca="false">MIN(ON39,HL39)</f>
        <v>0</v>
      </c>
      <c r="OP39" s="20" t="n">
        <f aca="false">ON39-OO39</f>
        <v>0</v>
      </c>
      <c r="OQ39" s="20" t="n">
        <f aca="false">IF(AND(HU39=0,HF39=1,OP39&gt;0),MIN(OP39,HG39),0)</f>
        <v>0</v>
      </c>
      <c r="OR39" s="20" t="n">
        <f aca="false">OP39-OQ39</f>
        <v>0</v>
      </c>
      <c r="OS39" s="20" t="n">
        <f aca="false">IF(AND(HU39=0,GV39=1,OR39&gt;0),MIN(OR39,GW39),0)</f>
        <v>0</v>
      </c>
      <c r="OT39" s="20" t="n">
        <f aca="false">OR39-OS39</f>
        <v>0</v>
      </c>
      <c r="OU39" s="20" t="n">
        <f aca="false">IF(AND(HU39=0,GL39=1,OT39&gt;0),MIN(OT39,GM39),0)</f>
        <v>0</v>
      </c>
      <c r="OV39" s="20" t="n">
        <f aca="false">OT39-OU39</f>
        <v>0</v>
      </c>
      <c r="OW39" s="20" t="n">
        <f aca="false">IF(AND(HU39=0,GB39=1,OV39&gt;0),MIN(OV39,GC39),0)</f>
        <v>0</v>
      </c>
      <c r="OX39" s="20" t="n">
        <f aca="false">OV39-OW39</f>
        <v>0</v>
      </c>
      <c r="OY39" s="20" t="n">
        <f aca="false">IF(AND(HU39=0,FR39=1,OX39&gt;0),MIN(OX39,FS39),0)</f>
        <v>0</v>
      </c>
      <c r="OZ39" s="20" t="n">
        <f aca="false">OX39-OY39</f>
        <v>0</v>
      </c>
      <c r="PA39" s="20" t="n">
        <f aca="false">IF(AND(HU39=0,FH39=1,OZ39&gt;0),MIN(OZ39,FI39),0)</f>
        <v>0</v>
      </c>
      <c r="PB39" s="20" t="n">
        <f aca="false">OZ39-PA39</f>
        <v>0</v>
      </c>
      <c r="PC39" s="20" t="n">
        <f aca="false">IF(AND(HU39=0,EX39=1,PB39&gt;0),MIN(PB39,EY39),0)</f>
        <v>0</v>
      </c>
      <c r="PD39" s="20" t="n">
        <f aca="false">PB39-PC39</f>
        <v>0</v>
      </c>
      <c r="PE39" s="20" t="n">
        <f aca="false">IF(AND(HU39=0,EN39=1,PD39&gt;0),MIN(PD39,EO39),0)</f>
        <v>0</v>
      </c>
      <c r="PF39" s="20" t="n">
        <f aca="false">PD39-PE39</f>
        <v>0</v>
      </c>
      <c r="PG39" s="20" t="n">
        <f aca="false">IF(AND(HU39=0,ED39=1,PF39&gt;0),MIN(PF39,EE39),0)</f>
        <v>0</v>
      </c>
      <c r="PH39" s="20" t="n">
        <f aca="false">PF39-PG39</f>
        <v>0</v>
      </c>
      <c r="PI39" s="20" t="n">
        <f aca="false">IF(AND(HU39=0,DT39=1,PH39&gt;0),MIN(PH39,DU39),0)</f>
        <v>0</v>
      </c>
      <c r="PJ39" s="20" t="n">
        <f aca="false">PH39-PI39</f>
        <v>0</v>
      </c>
      <c r="PK39" s="20" t="n">
        <f aca="false">IF(AND(HU39=0,DJ39=1,PJ39&gt;0),MIN(PJ39,DK39),0)</f>
        <v>0</v>
      </c>
      <c r="PL39" s="20" t="n">
        <f aca="false">PJ39-PK39</f>
        <v>0</v>
      </c>
      <c r="PM39" s="20" t="n">
        <f aca="false">IF(AND(HU39=0,CZ39=1,PL39&gt;0),MIN(PL39,DA39),0)</f>
        <v>0</v>
      </c>
      <c r="PN39" s="20" t="n">
        <f aca="false">PL39-PM39</f>
        <v>0</v>
      </c>
      <c r="PO39" s="20" t="n">
        <f aca="false">IF(AND(HU39=0,CP39=1,PN39&gt;0),MIN(PN39,CQ39),0)</f>
        <v>0</v>
      </c>
      <c r="PP39" s="20" t="n">
        <f aca="false">PN39-PO39</f>
        <v>0</v>
      </c>
      <c r="PQ39" s="20" t="n">
        <f aca="false">IF(AND(HU39=0,CF39=1,PP39&gt;0),MIN(PP39,CG39),0)</f>
        <v>0</v>
      </c>
      <c r="PR39" s="20" t="n">
        <f aca="false">PP39-PQ39</f>
        <v>0</v>
      </c>
      <c r="PS39" s="20" t="n">
        <f aca="false">IF(AND(HU39=0,BV39=1,PR39&gt;0),MIN(PR39,BW39),0)</f>
        <v>0</v>
      </c>
      <c r="PT39" s="20" t="n">
        <f aca="false">PR39-PS39</f>
        <v>0</v>
      </c>
      <c r="PU39" s="20" t="n">
        <f aca="false">IF(AND(HU39=0,BL39=1,PT39&gt;0),MIN(PT39,BM39),0)</f>
        <v>0</v>
      </c>
      <c r="PV39" s="20" t="n">
        <f aca="false">PT39-PU39</f>
        <v>0</v>
      </c>
      <c r="PW39" s="20" t="n">
        <f aca="false">IF(AND(HU39=0,BB39=1,PV39&gt;0),MIN(PV39,BC39),0)</f>
        <v>0</v>
      </c>
      <c r="PX39" s="20" t="n">
        <f aca="false">PV39-PW39</f>
        <v>0</v>
      </c>
      <c r="PY39" s="20" t="n">
        <f aca="false">IF(AND(HU39=0,AR39=1,PX39&gt;0),MIN(PX39,AS39),0)</f>
        <v>0</v>
      </c>
      <c r="PZ39" s="20" t="n">
        <f aca="false">PX39-PY39</f>
        <v>0</v>
      </c>
      <c r="QA39" s="20" t="n">
        <f aca="false">IF(AND(HU39=0,AH39=1,PZ39&gt;0),MIN(PZ39,AI39),0)</f>
        <v>0</v>
      </c>
      <c r="QB39" s="20" t="n">
        <f aca="false">PZ39-QA39</f>
        <v>0</v>
      </c>
      <c r="QC39" s="20" t="n">
        <f aca="false">IF(AND(HU39=0,W39=1,QB39&gt;0),MIN(QB39,X39),0)</f>
        <v>0</v>
      </c>
      <c r="QD39" s="20" t="n">
        <f aca="false">QB39-QC39</f>
        <v>0</v>
      </c>
      <c r="QE39" s="20" t="n">
        <f aca="false">IF(HU39=0,QD39,0)</f>
        <v>0</v>
      </c>
      <c r="QF39" s="20" t="n">
        <f aca="false">OM39+OO39+QC39+QA39+PY39+PW39+PU39+PS39+PQ39+PO39+PM39+PK39+PI39+PG39+PE39+PC39+PA39+OY39+OW39+OU39+OS39+OQ39</f>
        <v>20985.1226702362</v>
      </c>
      <c r="QG39" s="20" t="n">
        <f aca="false">IF(HU39=1,HK39+OJ39+OI39+IF(G39=1,0,OK39),HK39-OM39)</f>
        <v>147197.006258431</v>
      </c>
      <c r="QH39" s="20" t="n">
        <f aca="false">HL39-OO39</f>
        <v>15184.5743066522</v>
      </c>
      <c r="QI39" s="20" t="n">
        <f aca="false">IF(HU39=1,IF(G39=1,ID39+IE39,HS39),0)</f>
        <v>0</v>
      </c>
      <c r="QJ39" s="20" t="n">
        <f aca="false">IF(HU39=1,IF(G39=1,HS39-ID39-IE39,0),0)</f>
        <v>0</v>
      </c>
      <c r="QK39" s="57" t="n">
        <f aca="false">'Plan holdings'!BM39</f>
        <v>160286.183596831</v>
      </c>
      <c r="QL39" s="20" t="n">
        <f aca="false">QH39*(1+AS_Cash)</f>
        <v>15336.4200497187</v>
      </c>
      <c r="QM39" s="20" t="n">
        <f aca="false">IF(W39=1,IF(HU39=1,II39+IL39,X39-QC39)*(1+Slot1_Rate),0)</f>
        <v>0</v>
      </c>
      <c r="QN39" s="20" t="n">
        <f aca="false">IF(AND(HU39=1,W39=1),(IH39+IL39)/F39,0)</f>
        <v>0</v>
      </c>
      <c r="QO39" s="20" t="n">
        <f aca="false">IF(B39=0,IH39+IL39,0)</f>
        <v>0</v>
      </c>
      <c r="QP39" s="20" t="n">
        <f aca="false">IF(B39=0,IF(HU39=1,IJ39,IK39),0)</f>
        <v>0</v>
      </c>
      <c r="QQ39" s="20" t="n">
        <f aca="false">IF(AH39=1,IF(HU39=1,IQ39+IT39,AI39-QA39)*(1+Slot2_Rate),0)</f>
        <v>0</v>
      </c>
      <c r="QR39" s="20" t="n">
        <f aca="false">IF(AND(HU39=1,AH39=1),(IP39+IT39)/F39,0)</f>
        <v>0</v>
      </c>
      <c r="QS39" s="20" t="n">
        <f aca="false">IF(B39=0,IP39+IT39,0)</f>
        <v>0</v>
      </c>
      <c r="QT39" s="20" t="n">
        <f aca="false">IF(B39=0,IF(HU39=1,IR39,IS39),0)</f>
        <v>0</v>
      </c>
      <c r="QU39" s="20" t="n">
        <f aca="false">IF(AR39=1,IF(HU39=1,IY39+JB39,AS39-PY39)*(1+Slot3_Rate),0)</f>
        <v>0</v>
      </c>
      <c r="QV39" s="20" t="n">
        <f aca="false">IF(AND(HU39=1,AR39=1),(IX39+JB39)/F39,0)</f>
        <v>0</v>
      </c>
      <c r="QW39" s="20" t="n">
        <f aca="false">IF(B39=0,IX39+JB39,0)</f>
        <v>0</v>
      </c>
      <c r="QX39" s="20" t="n">
        <f aca="false">IF(B39=0,IF(HU39=1,IZ39,JA39),0)</f>
        <v>0</v>
      </c>
      <c r="QY39" s="20" t="n">
        <f aca="false">IF(BB39=1,IF(HU39=1,JG39+JJ39,BC39-PW39)*(1+Slot4_Rate),0)</f>
        <v>0</v>
      </c>
      <c r="QZ39" s="20" t="n">
        <f aca="false">IF(AND(HU39=1,BB39=1),(JF39+JJ39)/F39,0)</f>
        <v>0</v>
      </c>
      <c r="RA39" s="20" t="n">
        <f aca="false">IF(B39=0,JF39+JJ39,0)</f>
        <v>0</v>
      </c>
      <c r="RB39" s="20" t="n">
        <f aca="false">IF(B39=0,IF(HU39=1,JH39,JI39),0)</f>
        <v>0</v>
      </c>
      <c r="RC39" s="20" t="n">
        <f aca="false">IF(BL39=1,IF(HU39=1,JO39+JR39,BM39-PU39)*(1+Slot5_Rate),0)</f>
        <v>0</v>
      </c>
      <c r="RD39" s="20" t="n">
        <f aca="false">IF(AND(HU39=1,BL39=1),(JN39+JR39)/F39,0)</f>
        <v>0</v>
      </c>
      <c r="RE39" s="20" t="n">
        <f aca="false">IF(B39=0,JN39+JR39,0)</f>
        <v>0</v>
      </c>
      <c r="RF39" s="20" t="n">
        <f aca="false">IF(B39=0,IF(HU39=1,JP39,JQ39),0)</f>
        <v>0</v>
      </c>
      <c r="RG39" s="20" t="n">
        <f aca="false">IF(BV39=1,IF(HU39=1,JW39+JZ39,BW39-PS39)*(1+Slot6_Rate),0)</f>
        <v>0</v>
      </c>
      <c r="RH39" s="20" t="n">
        <f aca="false">IF(AND(HU39=1,BV39=1),(JV39+JZ39)/F39,0)</f>
        <v>0</v>
      </c>
      <c r="RI39" s="20" t="n">
        <f aca="false">IF(B39=0,JV39+JZ39,0)</f>
        <v>0</v>
      </c>
      <c r="RJ39" s="20" t="n">
        <f aca="false">IF(B39=0,IF(HU39=1,JX39,JY39),0)</f>
        <v>0</v>
      </c>
      <c r="RK39" s="20" t="n">
        <f aca="false">IF(CF39=1,IF(HU39=1,KE39+KH39,CG39-PQ39)*(1+Slot7_Rate),0)</f>
        <v>0</v>
      </c>
      <c r="RL39" s="20" t="n">
        <f aca="false">IF(AND(HU39=1,CF39=1),(KD39+KH39)/F39,0)</f>
        <v>0</v>
      </c>
      <c r="RM39" s="20" t="n">
        <f aca="false">IF(B39=0,KD39+KH39,0)</f>
        <v>0</v>
      </c>
      <c r="RN39" s="20" t="n">
        <f aca="false">IF(B39=0,IF(HU39=1,KF39,KG39),0)</f>
        <v>0</v>
      </c>
      <c r="RO39" s="20" t="n">
        <f aca="false">IF(CP39=1,IF(HU39=1,KM39+KP39,CQ39-PO39)*(1+Slot8_Rate),0)</f>
        <v>0</v>
      </c>
      <c r="RP39" s="20" t="n">
        <f aca="false">IF(AND(HU39=1,CP39=1),(KL39+KP39)/F39,0)</f>
        <v>0</v>
      </c>
      <c r="RQ39" s="20" t="n">
        <f aca="false">IF(B39=0,KL39+KP39,0)</f>
        <v>0</v>
      </c>
      <c r="RR39" s="20" t="n">
        <f aca="false">IF(B39=0,IF(HU39=1,KN39,KO39),0)</f>
        <v>0</v>
      </c>
      <c r="RS39" s="20" t="n">
        <f aca="false">IF(CZ39=1,IF(HU39=1,KU39+KX39,DA39-PM39)*(1+Slot9_Rate),0)</f>
        <v>0</v>
      </c>
      <c r="RT39" s="20" t="n">
        <f aca="false">IF(AND(HU39=1,CZ39=1),(KT39+KX39)/F39,0)</f>
        <v>0</v>
      </c>
      <c r="RU39" s="20" t="n">
        <f aca="false">IF(B39=0,KT39+KX39,0)</f>
        <v>0</v>
      </c>
      <c r="RV39" s="20" t="n">
        <f aca="false">IF(B39=0,IF(HU39=1,KV39,KW39),0)</f>
        <v>0</v>
      </c>
      <c r="RW39" s="20" t="n">
        <f aca="false">IF(DJ39=1,IF(HU39=1,LC39+LF39,DK39-PK39)*(1+Slot10_Rate),0)</f>
        <v>0</v>
      </c>
      <c r="RX39" s="20" t="n">
        <f aca="false">IF(AND(HU39=1,DJ39=1),(LB39+LF39)/F39,0)</f>
        <v>0</v>
      </c>
      <c r="RY39" s="20" t="n">
        <f aca="false">IF(B39=0,LB39+LF39,0)</f>
        <v>0</v>
      </c>
      <c r="RZ39" s="20" t="n">
        <f aca="false">IF(B39=0,IF(HU39=1,LD39,LE39),0)</f>
        <v>0</v>
      </c>
      <c r="SA39" s="20" t="n">
        <f aca="false">IF(DT39=1,IF(HU39=1,LK39+LN39,DU39-PI39)*(1+Slot11_Rate),0)</f>
        <v>0</v>
      </c>
      <c r="SB39" s="20" t="n">
        <f aca="false">IF(AND(HU39=1,DT39=1),(LJ39+LN39)/F39,0)</f>
        <v>0</v>
      </c>
      <c r="SC39" s="20" t="n">
        <f aca="false">IF(B39=0,LJ39+LN39,0)</f>
        <v>0</v>
      </c>
      <c r="SD39" s="20" t="n">
        <f aca="false">IF(B39=0,IF(HU39=1,LL39,LM39),0)</f>
        <v>0</v>
      </c>
      <c r="SE39" s="20" t="n">
        <f aca="false">IF(ED39=1,IF(HU39=1,LS39+LV39,EE39-PG39)*(1+Slot12_Rate),0)</f>
        <v>0</v>
      </c>
      <c r="SF39" s="20" t="n">
        <f aca="false">IF(AND(HU39=1,ED39=1),(LR39+LV39)/F39,0)</f>
        <v>0</v>
      </c>
      <c r="SG39" s="20" t="n">
        <f aca="false">IF(B39=0,LR39+LV39,0)</f>
        <v>0</v>
      </c>
      <c r="SH39" s="20" t="n">
        <f aca="false">IF(B39=0,IF(HU39=1,LT39,LU39),0)</f>
        <v>0</v>
      </c>
      <c r="SI39" s="20" t="n">
        <f aca="false">IF(EN39=1,IF(HU39=1,MA39+MD39,EO39-PE39)*(1+Slot13_Rate),0)</f>
        <v>0</v>
      </c>
      <c r="SJ39" s="20" t="n">
        <f aca="false">IF(AND(HU39=1,EN39=1),(LZ39+MD39)/F39,0)</f>
        <v>0</v>
      </c>
      <c r="SK39" s="20" t="n">
        <f aca="false">IF(B39=0,LZ39+MD39,0)</f>
        <v>0</v>
      </c>
      <c r="SL39" s="20" t="n">
        <f aca="false">IF(B39=0,IF(HU39=1,MB39,MC39),0)</f>
        <v>0</v>
      </c>
      <c r="SM39" s="20" t="n">
        <f aca="false">IF(EX39=1,IF(HU39=1,MI39+ML39,EY39-PC39)*(1+Slot14_Rate),0)</f>
        <v>0</v>
      </c>
      <c r="SN39" s="20" t="n">
        <f aca="false">IF(AND(HU39=1,EX39=1),(MH39+ML39)/F39,0)</f>
        <v>0</v>
      </c>
      <c r="SO39" s="20" t="n">
        <f aca="false">IF(B39=0,MH39+ML39,0)</f>
        <v>0</v>
      </c>
      <c r="SP39" s="20" t="n">
        <f aca="false">IF(B39=0,IF(HU39=1,MJ39,MK39),0)</f>
        <v>0</v>
      </c>
      <c r="SQ39" s="20" t="n">
        <f aca="false">IF(FH39=1,IF(HU39=1,MQ39+MT39,FI39-PA39)*(1+Slot15_Rate),0)</f>
        <v>0</v>
      </c>
      <c r="SR39" s="20" t="n">
        <f aca="false">IF(AND(HU39=1,FH39=1),(MP39+MT39)/F39,0)</f>
        <v>0</v>
      </c>
      <c r="SS39" s="20" t="n">
        <f aca="false">IF(B39=0,MP39+MT39,0)</f>
        <v>0</v>
      </c>
      <c r="ST39" s="20" t="n">
        <f aca="false">IF(B39=0,IF(HU39=1,MR39,MS39),0)</f>
        <v>0</v>
      </c>
      <c r="SU39" s="20" t="n">
        <f aca="false">IF(FR39=1,IF(HU39=1,MY39+NB39,FS39-OY39)*(1+Slot16_Rate),0)</f>
        <v>0</v>
      </c>
      <c r="SV39" s="20" t="n">
        <f aca="false">IF(AND(HU39=1,FR39=1),(MX39+NB39)/F39,0)</f>
        <v>0</v>
      </c>
      <c r="SW39" s="20" t="n">
        <f aca="false">IF(B39=0,MX39+NB39,0)</f>
        <v>0</v>
      </c>
      <c r="SX39" s="20" t="n">
        <f aca="false">IF(B39=0,IF(HU39=1,MZ39,NA39),0)</f>
        <v>0</v>
      </c>
      <c r="SY39" s="20" t="n">
        <f aca="false">IF(GB39=1,IF(HU39=1,NG39+NJ39,GC39-OW39)*(1+Slot17_Rate),0)</f>
        <v>0</v>
      </c>
      <c r="SZ39" s="20" t="n">
        <f aca="false">IF(AND(HU39=1,GB39=1),(NF39+NJ39)/F39,0)</f>
        <v>0</v>
      </c>
      <c r="TA39" s="20" t="n">
        <f aca="false">IF(B39=0,NF39+NJ39,0)</f>
        <v>0</v>
      </c>
      <c r="TB39" s="20" t="n">
        <f aca="false">IF(B39=0,IF(HU39=1,NH39,NI39),0)</f>
        <v>0</v>
      </c>
      <c r="TC39" s="20" t="n">
        <f aca="false">IF(GL39=1,IF(HU39=1,NO39+NR39,GM39-OU39)*(1+Slot18_Rate),0)</f>
        <v>0</v>
      </c>
      <c r="TD39" s="20" t="n">
        <f aca="false">IF(AND(HU39=1,GL39=1),(NN39+NR39)/F39,0)</f>
        <v>0</v>
      </c>
      <c r="TE39" s="20" t="n">
        <f aca="false">IF(B39=0,NN39+NR39,0)</f>
        <v>0</v>
      </c>
      <c r="TF39" s="20" t="n">
        <f aca="false">IF(B39=0,IF(HU39=1,NP39,NQ39),0)</f>
        <v>0</v>
      </c>
      <c r="TG39" s="20" t="n">
        <f aca="false">IF(GV39=1,IF(HU39=1,NW39+NZ39,GW39-OS39)*(1+Slot19_Rate),0)</f>
        <v>0</v>
      </c>
      <c r="TH39" s="20" t="n">
        <f aca="false">IF(AND(HU39=1,GV39=1),(NV39+NZ39)/F39,0)</f>
        <v>0</v>
      </c>
      <c r="TI39" s="20" t="n">
        <f aca="false">IF(B39=0,NV39+NZ39,0)</f>
        <v>0</v>
      </c>
      <c r="TJ39" s="20" t="n">
        <f aca="false">IF(B39=0,IF(HU39=1,NX39,NY39),0)</f>
        <v>0</v>
      </c>
      <c r="TK39" s="20" t="n">
        <f aca="false">IF(HF39=1,IF(HU39=1,OE39+OH39,HG39-OQ39)*(1+Slot20_Rate),0)</f>
        <v>0</v>
      </c>
      <c r="TL39" s="20" t="n">
        <f aca="false">IF(AND(HU39=1,HF39=1),(OD39+OH39)/F39,0)</f>
        <v>0</v>
      </c>
      <c r="TM39" s="20" t="n">
        <f aca="false">IF(B39=0,OD39+OH39,0)</f>
        <v>0</v>
      </c>
      <c r="TN39" s="20" t="n">
        <f aca="false">IF(B39=0,IF(HU39=1,OF39,OG39),0)</f>
        <v>0</v>
      </c>
      <c r="TO39" s="20" t="n">
        <f aca="false">QK39+QL39+QM39+QQ39+QU39+QY39+RC39+RG39+RK39+RO39+RS39+RW39+SA39+SE39+SI39+SM39+SQ39+SU39+SY39+TC39+TG39+TK39</f>
        <v>175622.60364655</v>
      </c>
      <c r="TP39" s="20" t="n">
        <f aca="false">QE39+HP39</f>
        <v>0</v>
      </c>
      <c r="TQ39" s="20" t="n">
        <f aca="false">I39+S39</f>
        <v>88314.7453945432</v>
      </c>
      <c r="TR39" s="20" t="n">
        <f aca="false">1-G39</f>
        <v>1</v>
      </c>
      <c r="TS39" s="20" t="n">
        <f aca="false">IF(AND(RG_Exists=1,G39=0,C39=1),I39,0)</f>
        <v>88314.7453945432</v>
      </c>
      <c r="TT39" s="20" t="n">
        <f aca="false">IF(AND(RG_Exists=1,G39=0,C39=1),I39-MIN(QE39,I39),0)</f>
        <v>88314.7453945432</v>
      </c>
      <c r="TU39" s="20" t="n">
        <f aca="false">'Plan pay &amp; tax'!AD265</f>
        <v>417088.931168422</v>
      </c>
      <c r="TV39" s="20" t="n">
        <f aca="false">IF(AND(C39=1,QE39&gt;MAX(PR_Short1,TQ39*PR_Short2)),1,0)</f>
        <v>0</v>
      </c>
      <c r="TW39" s="20" t="n">
        <f aca="false">MIN(H39,I39+S39)</f>
        <v>67329.622724307</v>
      </c>
      <c r="TX39" s="20" t="n">
        <f aca="false">QF39+MAX(0,HQ39-HP39)</f>
        <v>20985.1226702362</v>
      </c>
      <c r="TY39" s="20" t="n">
        <f aca="false">QE39+HP39</f>
        <v>0</v>
      </c>
      <c r="TZ39" s="20" t="n">
        <f aca="false">IF(AND(C39=1,TY39&gt;PR_MinShort),1,0)</f>
        <v>0</v>
      </c>
      <c r="UA39" s="20" t="n">
        <f aca="false">IF(AND(C39=1,TZ39=0,TX39&gt;PR_MinShort),1,0)</f>
        <v>1</v>
      </c>
      <c r="UB39" s="20" t="n">
        <f aca="false">IF(AND(C39=1,QE39&gt;PR_MinShort),1,0)</f>
        <v>0</v>
      </c>
      <c r="UC39" s="20" t="n">
        <f aca="false">IF(AND(C39=1,QF39&gt;1,UJ39=0),1,0)</f>
        <v>1</v>
      </c>
      <c r="UD39" s="20" t="str">
        <f aca="false">IF(C39=0,"",IF(UJ39=1,"Gap to plan for: short "&amp;"€"&amp;TEXT(ROUND(TP39,0),"#,##0"),IF(QF39&gt;1,"Using savings","Comfortable")))</f>
        <v>Using savings</v>
      </c>
      <c r="UE39" s="20" t="n">
        <f aca="false">IF(AND(INT(D39/10)*10=90,B39&gt;0),80,INT(D39/10)*10)</f>
        <v>60</v>
      </c>
      <c r="UF39" s="20" t="n">
        <f aca="false">IF(B39=0,1,IF(UE39&lt;&gt;UE38,UF38+1,UF38))</f>
        <v>4</v>
      </c>
      <c r="UG39" s="20" t="n">
        <f aca="false">IF(AND(C39=1,G39=1,QE39&gt;MAX(PR_Short1,TQ39*PR_Short2)),1,0)</f>
        <v>0</v>
      </c>
      <c r="UH39" s="20" t="n">
        <f aca="false">TR39*TV39</f>
        <v>0</v>
      </c>
      <c r="UI39" s="20" t="n">
        <f aca="false">IF(AND(V39=1,Slot1_PctLow=1),1,0)+IF(AND(AG39=1,Slot2_PctLow=1),1,0)+IF(AND(AQ39=1,Slot3_PctLow=1),1,0)+IF(AND(BA39=1,Slot4_PctLow=1),1,0)+IF(AND(BK39=1,Slot5_PctLow=1),1,0)+IF(AND(BU39=1,Slot6_PctLow=1),1,0)+IF(AND(CE39=1,Slot7_PctLow=1),1,0)+IF(AND(CO39=1,Slot8_PctLow=1),1,0)+IF(AND(CY39=1,Slot9_PctLow=1),1,0)+IF(AND(DI39=1,Slot10_PctLow=1),1,0)+IF(AND(DS39=1,Slot11_PctLow=1),1,0)+IF(AND(EC39=1,Slot12_PctLow=1),1,0)+IF(AND(EM39=1,Slot13_PctLow=1),1,0)+IF(AND(EW39=1,Slot14_PctLow=1),1,0)+IF(AND(FG39=1,Slot15_PctLow=1),1,0)+IF(AND(FQ39=1,Slot16_PctLow=1),1,0)+IF(AND(GA39=1,Slot17_PctLow=1),1,0)+IF(AND(GK39=1,Slot18_PctLow=1),1,0)+IF(AND(GU39=1,Slot19_PctLow=1),1,0)+IF(AND(HE39=1,Slot20_PctLow=1),1,0)</f>
        <v>0</v>
      </c>
      <c r="UJ39" s="20" t="n">
        <f aca="false">IF(C39=1,IF(OR(TV39=1,UI39&gt;0),1,0),0)</f>
        <v>0</v>
      </c>
      <c r="UK39" s="20" t="n">
        <f aca="false">Z39+AK39+AU39+BE39+BO39+BY39+CI39+CS39+DC39+DM39+DW39+EG39+EQ39+FA39+FK39+FU39+GE39+GO39+GY39+HI39+OM39</f>
        <v>20985.1226702362</v>
      </c>
      <c r="UL39" s="20" t="n">
        <f aca="false">V39*IF(Slot1_SpendLike=1,X39-Y39,IF(Slot1_PotFree=1,X39,0))+AG39*IF(Slot2_SpendLike=1,AI39-AJ39,IF(Slot2_PotFree=1,AI39,0))+AQ39*IF(Slot3_SpendLike=1,AS39-AT39,IF(Slot3_PotFree=1,AS39,0))+BA39*IF(Slot4_SpendLike=1,BC39-BD39,IF(Slot4_PotFree=1,BC39,0))+BK39*IF(Slot5_SpendLike=1,BM39-BN39,IF(Slot5_PotFree=1,BM39,0))+BU39*IF(Slot6_SpendLike=1,BW39-BX39,IF(Slot6_PotFree=1,BW39,0))+CE39*IF(Slot7_SpendLike=1,CG39-CH39,IF(Slot7_PotFree=1,CG39,0))+CO39*IF(Slot8_SpendLike=1,CQ39-CR39,IF(Slot8_PotFree=1,CQ39,0))+CY39*IF(Slot9_SpendLike=1,DA39-DB39,IF(Slot9_PotFree=1,DA39,0))+DI39*IF(Slot10_SpendLike=1,DK39-DL39,IF(Slot10_PotFree=1,DK39,0))+DS39*IF(Slot11_SpendLike=1,DU39-DV39,IF(Slot11_PotFree=1,DU39,0))+EC39*IF(Slot12_SpendLike=1,EE39-EF39,IF(Slot12_PotFree=1,EE39,0))+EM39*IF(Slot13_SpendLike=1,EO39-EP39,IF(Slot13_PotFree=1,EO39,0))+EW39*IF(Slot14_SpendLike=1,EY39-EZ39,IF(Slot14_PotFree=1,EY39,0))+FG39*IF(Slot15_SpendLike=1,FI39-FJ39,IF(Slot15_PotFree=1,FI39,0))+FQ39*IF(Slot16_SpendLike=1,FS39-FT39,IF(Slot16_PotFree=1,FS39,0))+GA39*IF(Slot17_SpendLike=1,GC39-GD39,IF(Slot17_PotFree=1,GC39,0))+GK39*IF(Slot18_SpendLike=1,GM39-GN39,IF(Slot18_PotFree=1,GM39,0))+GU39*IF(Slot19_SpendLike=1,GW39-GX39,IF(Slot19_PotFree=1,GW39,0))+HE39*IF(Slot20_SpendLike=1,HG39-HH39,IF(Slot20_PotFree=1,HG39,0))</f>
        <v>0</v>
      </c>
      <c r="UM39" s="20" t="n">
        <f aca="false">QG39-T39+UK39-UL39</f>
        <v>0</v>
      </c>
      <c r="UN39" s="20" t="n">
        <f aca="false">IF(OR(UN38=1,AND(In_homeUse="Yes, I'd downsize",In_downAge&gt;0,D39=In_downAge,OR(In_home="Own outright",In_home="Own with mortgage"),In_homeValue&gt;0)),1,0)</f>
        <v>0</v>
      </c>
    </row>
    <row r="40" customFormat="false" ht="15" hidden="false" customHeight="true" outlineLevel="0" collapsed="false">
      <c r="B40" s="20" t="n">
        <v>32</v>
      </c>
      <c r="C40" s="20" t="n">
        <f aca="false">IF(B40&lt;=F_N,1,0)</f>
        <v>1</v>
      </c>
      <c r="D40" s="20" t="n">
        <f aca="false">'Plan pay &amp; tax'!C266</f>
        <v>70</v>
      </c>
      <c r="E40" s="20" t="str">
        <f aca="false">IF($C40=1,"Income tax "&amp;TEXT(N('Plan pay &amp; tax'!BK266),"#,##0")&amp;"; USC "&amp;TEXT(N('Plan pay &amp; tax'!BM266)+N('Plan pay &amp; tax'!BO266),"#,##0")&amp;"; PRSI "&amp;TEXT(N('Plan pay &amp; tax'!BP266)+N('Plan pay &amp; tax'!BQ266),"#,##0")&amp;IF(N('Plan holdings'!BO40)&gt;=0.5,"; DIRT "&amp;TEXT(('Plan holdings'!BO40)/$F40,"#,##0")&amp;" (already taken from the interest earned)","")&amp;IF(N('Plan holdings'!BP40)&gt;=0.5,"; exit tax at an 8-year anniversary "&amp;TEXT(('Plan holdings'!BP40)/$F40,"#,##0"),"")&amp;IF(N('Plan holdings'!BN40)&gt;=0.5,"; tax on assets sold (exit tax or capital gains tax) "&amp;TEXT(('Plan holdings'!BN40)/$F40,"#,##0"),"")&amp;IF(N('Plan pay &amp; tax'!X266)-N('Plan pay &amp; tax'!Y266)&gt;=0.5,"; tax on the pension lump sum "&amp;TEXT(('Plan pay &amp; tax'!X266-'Plan pay &amp; tax'!Y266)/$F40,"#,##0"),"")&amp;IF(N('Plan pay &amp; tax'!V266)&gt;=0.5,"; chargeable excess tax on the pension "&amp;TEXT(('Plan pay &amp; tax'!V266)/$F40,"#,##0"),"")&amp;".","")</f>
        <v>Income tax 638; USC 0; PRSI 0; DIRT 58 (already taken from the interest earned); exit tax at an 8-year anniversary 4,734.</v>
      </c>
      <c r="F40" s="50" t="n">
        <f aca="false">'Plan pay &amp; tax'!E266</f>
        <v>1.88454059210113</v>
      </c>
      <c r="G40" s="20" t="n">
        <f aca="false">'Plan pay &amp; tax'!G266</f>
        <v>0</v>
      </c>
      <c r="H40" s="20" t="n">
        <f aca="false">'Plan pay &amp; tax'!BT266-'Plan pay &amp; tax'!BS266-'Plan pay &amp; tax'!R266</f>
        <v>68275.0981456191</v>
      </c>
      <c r="I40" s="20" t="n">
        <f aca="false">IF(G40=1,F_CostsM*12,IF(RG_Exists=1,RG_Amount,F_CostsM*12*AS_RetireSpend))*F40+F_OneOffY*F40</f>
        <v>90081.040302434</v>
      </c>
      <c r="J40" s="20" t="n">
        <f aca="false">IF(UN40=1,0,HR39)</f>
        <v>0</v>
      </c>
      <c r="K40" s="20" t="n">
        <f aca="false">IF(J40&gt;1,'Plan debt months'!AC40,0)</f>
        <v>0</v>
      </c>
      <c r="L40" s="20" t="n">
        <f aca="false">IF(J40&gt;1,'Plan debt months'!AB40,J40)</f>
        <v>0</v>
      </c>
      <c r="M40" s="20" t="n">
        <f aca="false">O39</f>
        <v>0</v>
      </c>
      <c r="N40" s="20" t="n">
        <f aca="false">IF(M40&gt;1,'Plan debt months'!BD40,0)</f>
        <v>0</v>
      </c>
      <c r="O40" s="20" t="n">
        <f aca="false">IF(M40&gt;1,'Plan debt months'!BC40,M40)</f>
        <v>0</v>
      </c>
      <c r="P40" s="20" t="n">
        <f aca="false">R39</f>
        <v>0</v>
      </c>
      <c r="Q40" s="20" t="n">
        <f aca="false">IF(P40&gt;1,'Plan debt months'!CE40,0)</f>
        <v>0</v>
      </c>
      <c r="R40" s="20" t="n">
        <f aca="false">IF(P40&gt;1,'Plan debt months'!CD40,P40)</f>
        <v>0</v>
      </c>
      <c r="S40" s="20" t="n">
        <f aca="false">K40+N40+Q40</f>
        <v>0</v>
      </c>
      <c r="T40" s="57" t="n">
        <f aca="false">'Plan holdings'!Y40</f>
        <v>150637.054622322</v>
      </c>
      <c r="U40" s="57" t="n">
        <f aca="false">'Plan holdings'!BM39</f>
        <v>160286.183596831</v>
      </c>
      <c r="V40" s="20" t="n">
        <f aca="false">IF(AND(Slot1_On=1,D40=Slot1_Age),1,0)</f>
        <v>0</v>
      </c>
      <c r="W40" s="20" t="n">
        <f aca="false">IF(AND(Slot1_On=1,Slot1_Age&gt;D40),1,0)</f>
        <v>0</v>
      </c>
      <c r="X40" s="20" t="n">
        <f aca="false">QM39</f>
        <v>0</v>
      </c>
      <c r="Y40" s="20" t="n">
        <f aca="false">V40*MIN(Slot1_Cost,X40)</f>
        <v>0</v>
      </c>
      <c r="Z40" s="20" t="n">
        <f aca="false">V40*Slot1_SpendLike*MIN(Slot1_Cost-Y40,T40)</f>
        <v>0</v>
      </c>
      <c r="AA40" s="20" t="n">
        <f aca="false">Y40+Z40</f>
        <v>0</v>
      </c>
      <c r="AB40" s="20" t="n">
        <f aca="false">T40-Z40+V40*IF(Slot1_SpendLike=1,X40-Y40,IF(Slot1_PotFree=1,X40,0))</f>
        <v>150637.054622322</v>
      </c>
      <c r="AC40" s="20" t="n">
        <f aca="false">AF40+V40*Slot1_BufPot*X40</f>
        <v>15336.4200497187</v>
      </c>
      <c r="AD40" s="20" t="n">
        <f aca="false">IF(AND(V40=1,Slot1_IsMfree=1),IF(AA40&gt;=Slot1_Cost-1,0,MAX(0,L40-AA40)),L40)</f>
        <v>0</v>
      </c>
      <c r="AE40" s="20" t="n">
        <f aca="false">V40*(Slot1_Cost-AA40)</f>
        <v>0</v>
      </c>
      <c r="AF40" s="20" t="n">
        <f aca="false">QL39</f>
        <v>15336.4200497187</v>
      </c>
      <c r="AG40" s="20" t="n">
        <f aca="false">IF(AND(Slot2_On=1,D40=Slot2_Age),1,0)</f>
        <v>0</v>
      </c>
      <c r="AH40" s="20" t="n">
        <f aca="false">IF(AND(Slot2_On=1,Slot2_Age&gt;D40),1,0)</f>
        <v>0</v>
      </c>
      <c r="AI40" s="20" t="n">
        <f aca="false">QQ39</f>
        <v>0</v>
      </c>
      <c r="AJ40" s="20" t="n">
        <f aca="false">AG40*MIN(Slot2_Cost,AI40)</f>
        <v>0</v>
      </c>
      <c r="AK40" s="20" t="n">
        <f aca="false">AG40*Slot2_SpendLike*MIN(Slot2_Cost-AJ40,AB40)</f>
        <v>0</v>
      </c>
      <c r="AL40" s="20" t="n">
        <f aca="false">AJ40+AK40</f>
        <v>0</v>
      </c>
      <c r="AM40" s="20" t="n">
        <f aca="false">AB40-AK40+AG40*IF(Slot2_SpendLike=1,AI40-AJ40,IF(Slot2_PotFree=1,AI40,0))</f>
        <v>150637.054622322</v>
      </c>
      <c r="AN40" s="20" t="n">
        <f aca="false">AC40+AG40*Slot2_BufPot*AI40</f>
        <v>15336.4200497187</v>
      </c>
      <c r="AO40" s="20" t="n">
        <f aca="false">IF(AND(AG40=1,Slot2_IsMfree=1),IF(AL40&gt;=Slot2_Cost-1,0,MAX(0,AD40-AL40)),AD40)</f>
        <v>0</v>
      </c>
      <c r="AP40" s="20" t="n">
        <f aca="false">AG40*(Slot2_Cost-AL40)</f>
        <v>0</v>
      </c>
      <c r="AQ40" s="20" t="n">
        <f aca="false">IF(AND(Slot3_On=1,D40=Slot3_Age),1,0)</f>
        <v>0</v>
      </c>
      <c r="AR40" s="20" t="n">
        <f aca="false">IF(AND(Slot3_On=1,Slot3_Age&gt;D40),1,0)</f>
        <v>0</v>
      </c>
      <c r="AS40" s="20" t="n">
        <f aca="false">QU39</f>
        <v>0</v>
      </c>
      <c r="AT40" s="20" t="n">
        <f aca="false">AQ40*MIN(Slot3_Cost,AS40)</f>
        <v>0</v>
      </c>
      <c r="AU40" s="20" t="n">
        <f aca="false">AQ40*Slot3_SpendLike*MIN(Slot3_Cost-AT40,AM40)</f>
        <v>0</v>
      </c>
      <c r="AV40" s="20" t="n">
        <f aca="false">AT40+AU40</f>
        <v>0</v>
      </c>
      <c r="AW40" s="20" t="n">
        <f aca="false">AM40-AU40+AQ40*IF(Slot3_SpendLike=1,AS40-AT40,IF(Slot3_PotFree=1,AS40,0))</f>
        <v>150637.054622322</v>
      </c>
      <c r="AX40" s="20" t="n">
        <f aca="false">AN40+AQ40*Slot3_BufPot*AS40</f>
        <v>15336.4200497187</v>
      </c>
      <c r="AY40" s="20" t="n">
        <f aca="false">IF(AND(AQ40=1,Slot3_IsMfree=1),IF(AV40&gt;=Slot3_Cost-1,0,MAX(0,AO40-AV40)),AO40)</f>
        <v>0</v>
      </c>
      <c r="AZ40" s="20" t="n">
        <f aca="false">AQ40*(Slot3_Cost-AV40)</f>
        <v>0</v>
      </c>
      <c r="BA40" s="20" t="n">
        <f aca="false">IF(AND(Slot4_On=1,D40=Slot4_Age),1,0)</f>
        <v>0</v>
      </c>
      <c r="BB40" s="20" t="n">
        <f aca="false">IF(AND(Slot4_On=1,Slot4_Age&gt;D40),1,0)</f>
        <v>0</v>
      </c>
      <c r="BC40" s="20" t="n">
        <f aca="false">QY39</f>
        <v>0</v>
      </c>
      <c r="BD40" s="20" t="n">
        <f aca="false">BA40*MIN(Slot4_Cost,BC40)</f>
        <v>0</v>
      </c>
      <c r="BE40" s="20" t="n">
        <f aca="false">BA40*Slot4_SpendLike*MIN(Slot4_Cost-BD40,AW40)</f>
        <v>0</v>
      </c>
      <c r="BF40" s="20" t="n">
        <f aca="false">BD40+BE40</f>
        <v>0</v>
      </c>
      <c r="BG40" s="20" t="n">
        <f aca="false">AW40-BE40+BA40*IF(Slot4_SpendLike=1,BC40-BD40,IF(Slot4_PotFree=1,BC40,0))</f>
        <v>150637.054622322</v>
      </c>
      <c r="BH40" s="20" t="n">
        <f aca="false">AX40+BA40*Slot4_BufPot*BC40</f>
        <v>15336.4200497187</v>
      </c>
      <c r="BI40" s="20" t="n">
        <f aca="false">IF(AND(BA40=1,Slot4_IsMfree=1),IF(BF40&gt;=Slot4_Cost-1,0,MAX(0,AY40-BF40)),AY40)</f>
        <v>0</v>
      </c>
      <c r="BJ40" s="20" t="n">
        <f aca="false">BA40*(Slot4_Cost-BF40)</f>
        <v>0</v>
      </c>
      <c r="BK40" s="20" t="n">
        <f aca="false">IF(AND(Slot5_On=1,D40=Slot5_Age),1,0)</f>
        <v>0</v>
      </c>
      <c r="BL40" s="20" t="n">
        <f aca="false">IF(AND(Slot5_On=1,Slot5_Age&gt;D40),1,0)</f>
        <v>0</v>
      </c>
      <c r="BM40" s="20" t="n">
        <f aca="false">RC39</f>
        <v>0</v>
      </c>
      <c r="BN40" s="20" t="n">
        <f aca="false">BK40*MIN(Slot5_Cost,BM40)</f>
        <v>0</v>
      </c>
      <c r="BO40" s="20" t="n">
        <f aca="false">BK40*Slot5_SpendLike*MIN(Slot5_Cost-BN40,BG40)</f>
        <v>0</v>
      </c>
      <c r="BP40" s="20" t="n">
        <f aca="false">BN40+BO40</f>
        <v>0</v>
      </c>
      <c r="BQ40" s="20" t="n">
        <f aca="false">BG40-BO40+BK40*IF(Slot5_SpendLike=1,BM40-BN40,IF(Slot5_PotFree=1,BM40,0))</f>
        <v>150637.054622322</v>
      </c>
      <c r="BR40" s="20" t="n">
        <f aca="false">BH40+BK40*Slot5_BufPot*BM40</f>
        <v>15336.4200497187</v>
      </c>
      <c r="BS40" s="20" t="n">
        <f aca="false">IF(AND(BK40=1,Slot5_IsMfree=1),IF(BP40&gt;=Slot5_Cost-1,0,MAX(0,BI40-BP40)),BI40)</f>
        <v>0</v>
      </c>
      <c r="BT40" s="20" t="n">
        <f aca="false">BK40*(Slot5_Cost-BP40)</f>
        <v>0</v>
      </c>
      <c r="BU40" s="20" t="n">
        <f aca="false">IF(AND(Slot6_On=1,D40=Slot6_Age),1,0)</f>
        <v>0</v>
      </c>
      <c r="BV40" s="20" t="n">
        <f aca="false">IF(AND(Slot6_On=1,Slot6_Age&gt;D40),1,0)</f>
        <v>0</v>
      </c>
      <c r="BW40" s="20" t="n">
        <f aca="false">RG39</f>
        <v>0</v>
      </c>
      <c r="BX40" s="20" t="n">
        <f aca="false">BU40*MIN(Slot6_Cost,BW40)</f>
        <v>0</v>
      </c>
      <c r="BY40" s="20" t="n">
        <f aca="false">BU40*Slot6_SpendLike*MIN(Slot6_Cost-BX40,BQ40)</f>
        <v>0</v>
      </c>
      <c r="BZ40" s="20" t="n">
        <f aca="false">BX40+BY40</f>
        <v>0</v>
      </c>
      <c r="CA40" s="20" t="n">
        <f aca="false">BQ40-BY40+BU40*IF(Slot6_SpendLike=1,BW40-BX40,IF(Slot6_PotFree=1,BW40,0))</f>
        <v>150637.054622322</v>
      </c>
      <c r="CB40" s="20" t="n">
        <f aca="false">BR40+BU40*Slot6_BufPot*BW40</f>
        <v>15336.4200497187</v>
      </c>
      <c r="CC40" s="20" t="n">
        <f aca="false">IF(AND(BU40=1,Slot6_IsMfree=1),IF(BZ40&gt;=Slot6_Cost-1,0,MAX(0,BS40-BZ40)),BS40)</f>
        <v>0</v>
      </c>
      <c r="CD40" s="20" t="n">
        <f aca="false">BU40*(Slot6_Cost-BZ40)</f>
        <v>0</v>
      </c>
      <c r="CE40" s="20" t="n">
        <f aca="false">IF(AND(Slot7_On=1,D40=Slot7_Age),1,0)</f>
        <v>0</v>
      </c>
      <c r="CF40" s="20" t="n">
        <f aca="false">IF(AND(Slot7_On=1,Slot7_Age&gt;D40),1,0)</f>
        <v>0</v>
      </c>
      <c r="CG40" s="20" t="n">
        <f aca="false">RK39</f>
        <v>0</v>
      </c>
      <c r="CH40" s="20" t="n">
        <f aca="false">CE40*MIN(Slot7_Cost,CG40)</f>
        <v>0</v>
      </c>
      <c r="CI40" s="20" t="n">
        <f aca="false">CE40*Slot7_SpendLike*MIN(Slot7_Cost-CH40,CA40)</f>
        <v>0</v>
      </c>
      <c r="CJ40" s="20" t="n">
        <f aca="false">CH40+CI40</f>
        <v>0</v>
      </c>
      <c r="CK40" s="20" t="n">
        <f aca="false">CA40-CI40+CE40*IF(Slot7_SpendLike=1,CG40-CH40,IF(Slot7_PotFree=1,CG40,0))</f>
        <v>150637.054622322</v>
      </c>
      <c r="CL40" s="20" t="n">
        <f aca="false">CB40+CE40*Slot7_BufPot*CG40</f>
        <v>15336.4200497187</v>
      </c>
      <c r="CM40" s="20" t="n">
        <f aca="false">IF(AND(CE40=1,Slot7_IsMfree=1),IF(CJ40&gt;=Slot7_Cost-1,0,MAX(0,CC40-CJ40)),CC40)</f>
        <v>0</v>
      </c>
      <c r="CN40" s="20" t="n">
        <f aca="false">CE40*(Slot7_Cost-CJ40)</f>
        <v>0</v>
      </c>
      <c r="CO40" s="20" t="n">
        <f aca="false">IF(AND(Slot8_On=1,D40=Slot8_Age),1,0)</f>
        <v>0</v>
      </c>
      <c r="CP40" s="20" t="n">
        <f aca="false">IF(AND(Slot8_On=1,Slot8_Age&gt;D40),1,0)</f>
        <v>0</v>
      </c>
      <c r="CQ40" s="20" t="n">
        <f aca="false">RO39</f>
        <v>0</v>
      </c>
      <c r="CR40" s="20" t="n">
        <f aca="false">CO40*MIN(Slot8_Cost,CQ40)</f>
        <v>0</v>
      </c>
      <c r="CS40" s="20" t="n">
        <f aca="false">CO40*Slot8_SpendLike*MIN(Slot8_Cost-CR40,CK40)</f>
        <v>0</v>
      </c>
      <c r="CT40" s="20" t="n">
        <f aca="false">CR40+CS40</f>
        <v>0</v>
      </c>
      <c r="CU40" s="20" t="n">
        <f aca="false">CK40-CS40+CO40*IF(Slot8_SpendLike=1,CQ40-CR40,IF(Slot8_PotFree=1,CQ40,0))</f>
        <v>150637.054622322</v>
      </c>
      <c r="CV40" s="20" t="n">
        <f aca="false">CL40+CO40*Slot8_BufPot*CQ40</f>
        <v>15336.4200497187</v>
      </c>
      <c r="CW40" s="20" t="n">
        <f aca="false">IF(AND(CO40=1,Slot8_IsMfree=1),IF(CT40&gt;=Slot8_Cost-1,0,MAX(0,CM40-CT40)),CM40)</f>
        <v>0</v>
      </c>
      <c r="CX40" s="20" t="n">
        <f aca="false">CO40*(Slot8_Cost-CT40)</f>
        <v>0</v>
      </c>
      <c r="CY40" s="20" t="n">
        <f aca="false">IF(AND(Slot9_On=1,D40=Slot9_Age),1,0)</f>
        <v>0</v>
      </c>
      <c r="CZ40" s="20" t="n">
        <f aca="false">IF(AND(Slot9_On=1,Slot9_Age&gt;D40),1,0)</f>
        <v>0</v>
      </c>
      <c r="DA40" s="20" t="n">
        <f aca="false">RS39</f>
        <v>0</v>
      </c>
      <c r="DB40" s="20" t="n">
        <f aca="false">CY40*MIN(Slot9_Cost,DA40)</f>
        <v>0</v>
      </c>
      <c r="DC40" s="20" t="n">
        <f aca="false">CY40*Slot9_SpendLike*MIN(Slot9_Cost-DB40,CU40)</f>
        <v>0</v>
      </c>
      <c r="DD40" s="20" t="n">
        <f aca="false">DB40+DC40</f>
        <v>0</v>
      </c>
      <c r="DE40" s="20" t="n">
        <f aca="false">CU40-DC40+CY40*IF(Slot9_SpendLike=1,DA40-DB40,IF(Slot9_PotFree=1,DA40,0))</f>
        <v>150637.054622322</v>
      </c>
      <c r="DF40" s="20" t="n">
        <f aca="false">CV40+CY40*Slot9_BufPot*DA40</f>
        <v>15336.4200497187</v>
      </c>
      <c r="DG40" s="20" t="n">
        <f aca="false">IF(AND(CY40=1,Slot9_IsMfree=1),IF(DD40&gt;=Slot9_Cost-1,0,MAX(0,CW40-DD40)),CW40)</f>
        <v>0</v>
      </c>
      <c r="DH40" s="20" t="n">
        <f aca="false">CY40*(Slot9_Cost-DD40)</f>
        <v>0</v>
      </c>
      <c r="DI40" s="20" t="n">
        <f aca="false">IF(AND(Slot10_On=1,D40=Slot10_Age),1,0)</f>
        <v>0</v>
      </c>
      <c r="DJ40" s="20" t="n">
        <f aca="false">IF(AND(Slot10_On=1,Slot10_Age&gt;D40),1,0)</f>
        <v>0</v>
      </c>
      <c r="DK40" s="20" t="n">
        <f aca="false">RW39</f>
        <v>0</v>
      </c>
      <c r="DL40" s="20" t="n">
        <f aca="false">DI40*MIN(Slot10_Cost,DK40)</f>
        <v>0</v>
      </c>
      <c r="DM40" s="20" t="n">
        <f aca="false">DI40*Slot10_SpendLike*MIN(Slot10_Cost-DL40,DE40)</f>
        <v>0</v>
      </c>
      <c r="DN40" s="20" t="n">
        <f aca="false">DL40+DM40</f>
        <v>0</v>
      </c>
      <c r="DO40" s="20" t="n">
        <f aca="false">DE40-DM40+DI40*IF(Slot10_SpendLike=1,DK40-DL40,IF(Slot10_PotFree=1,DK40,0))</f>
        <v>150637.054622322</v>
      </c>
      <c r="DP40" s="20" t="n">
        <f aca="false">DF40+DI40*Slot10_BufPot*DK40</f>
        <v>15336.4200497187</v>
      </c>
      <c r="DQ40" s="20" t="n">
        <f aca="false">IF(AND(DI40=1,Slot10_IsMfree=1),IF(DN40&gt;=Slot10_Cost-1,0,MAX(0,DG40-DN40)),DG40)</f>
        <v>0</v>
      </c>
      <c r="DR40" s="20" t="n">
        <f aca="false">DI40*(Slot10_Cost-DN40)</f>
        <v>0</v>
      </c>
      <c r="DS40" s="20" t="n">
        <f aca="false">IF(AND(Slot11_On=1,D40=Slot11_Age),1,0)</f>
        <v>0</v>
      </c>
      <c r="DT40" s="20" t="n">
        <f aca="false">IF(AND(Slot11_On=1,Slot11_Age&gt;D40),1,0)</f>
        <v>0</v>
      </c>
      <c r="DU40" s="20" t="n">
        <f aca="false">SA39</f>
        <v>0</v>
      </c>
      <c r="DV40" s="20" t="n">
        <f aca="false">DS40*MIN(Slot11_Cost,DU40)</f>
        <v>0</v>
      </c>
      <c r="DW40" s="20" t="n">
        <f aca="false">DS40*Slot11_SpendLike*MIN(Slot11_Cost-DV40,DO40)</f>
        <v>0</v>
      </c>
      <c r="DX40" s="20" t="n">
        <f aca="false">DV40+DW40</f>
        <v>0</v>
      </c>
      <c r="DY40" s="20" t="n">
        <f aca="false">DO40-DW40+DS40*IF(Slot11_SpendLike=1,DU40-DV40,IF(Slot11_PotFree=1,DU40,0))</f>
        <v>150637.054622322</v>
      </c>
      <c r="DZ40" s="20" t="n">
        <f aca="false">DP40+DS40*Slot11_BufPot*DU40</f>
        <v>15336.4200497187</v>
      </c>
      <c r="EA40" s="20" t="n">
        <f aca="false">IF(AND(DS40=1,Slot11_IsMfree=1),IF(DX40&gt;=Slot11_Cost-1,0,MAX(0,DQ40-DX40)),DQ40)</f>
        <v>0</v>
      </c>
      <c r="EB40" s="20" t="n">
        <f aca="false">DS40*(Slot11_Cost-DX40)</f>
        <v>0</v>
      </c>
      <c r="EC40" s="20" t="n">
        <f aca="false">IF(AND(Slot12_On=1,D40=Slot12_Age),1,0)</f>
        <v>0</v>
      </c>
      <c r="ED40" s="20" t="n">
        <f aca="false">IF(AND(Slot12_On=1,Slot12_Age&gt;D40),1,0)</f>
        <v>0</v>
      </c>
      <c r="EE40" s="20" t="n">
        <f aca="false">SE39</f>
        <v>0</v>
      </c>
      <c r="EF40" s="20" t="n">
        <f aca="false">EC40*MIN(Slot12_Cost,EE40)</f>
        <v>0</v>
      </c>
      <c r="EG40" s="20" t="n">
        <f aca="false">EC40*Slot12_SpendLike*MIN(Slot12_Cost-EF40,DY40)</f>
        <v>0</v>
      </c>
      <c r="EH40" s="20" t="n">
        <f aca="false">EF40+EG40</f>
        <v>0</v>
      </c>
      <c r="EI40" s="20" t="n">
        <f aca="false">DY40-EG40+EC40*IF(Slot12_SpendLike=1,EE40-EF40,IF(Slot12_PotFree=1,EE40,0))</f>
        <v>150637.054622322</v>
      </c>
      <c r="EJ40" s="20" t="n">
        <f aca="false">DZ40+EC40*Slot12_BufPot*EE40</f>
        <v>15336.4200497187</v>
      </c>
      <c r="EK40" s="20" t="n">
        <f aca="false">IF(AND(EC40=1,Slot12_IsMfree=1),IF(EH40&gt;=Slot12_Cost-1,0,MAX(0,EA40-EH40)),EA40)</f>
        <v>0</v>
      </c>
      <c r="EL40" s="20" t="n">
        <f aca="false">EC40*(Slot12_Cost-EH40)</f>
        <v>0</v>
      </c>
      <c r="EM40" s="20" t="n">
        <f aca="false">IF(AND(Slot13_On=1,D40=Slot13_Age),1,0)</f>
        <v>0</v>
      </c>
      <c r="EN40" s="20" t="n">
        <f aca="false">IF(AND(Slot13_On=1,Slot13_Age&gt;D40),1,0)</f>
        <v>0</v>
      </c>
      <c r="EO40" s="20" t="n">
        <f aca="false">SI39</f>
        <v>0</v>
      </c>
      <c r="EP40" s="20" t="n">
        <f aca="false">EM40*MIN(Slot13_Cost,EO40)</f>
        <v>0</v>
      </c>
      <c r="EQ40" s="20" t="n">
        <f aca="false">EM40*Slot13_SpendLike*MIN(Slot13_Cost-EP40,EI40)</f>
        <v>0</v>
      </c>
      <c r="ER40" s="20" t="n">
        <f aca="false">EP40+EQ40</f>
        <v>0</v>
      </c>
      <c r="ES40" s="20" t="n">
        <f aca="false">EI40-EQ40+EM40*IF(Slot13_SpendLike=1,EO40-EP40,IF(Slot13_PotFree=1,EO40,0))</f>
        <v>150637.054622322</v>
      </c>
      <c r="ET40" s="20" t="n">
        <f aca="false">EJ40+EM40*Slot13_BufPot*EO40</f>
        <v>15336.4200497187</v>
      </c>
      <c r="EU40" s="20" t="n">
        <f aca="false">IF(AND(EM40=1,Slot13_IsMfree=1),IF(ER40&gt;=Slot13_Cost-1,0,MAX(0,EK40-ER40)),EK40)</f>
        <v>0</v>
      </c>
      <c r="EV40" s="20" t="n">
        <f aca="false">EM40*(Slot13_Cost-ER40)</f>
        <v>0</v>
      </c>
      <c r="EW40" s="20" t="n">
        <f aca="false">IF(AND(Slot14_On=1,D40=Slot14_Age),1,0)</f>
        <v>0</v>
      </c>
      <c r="EX40" s="20" t="n">
        <f aca="false">IF(AND(Slot14_On=1,Slot14_Age&gt;D40),1,0)</f>
        <v>0</v>
      </c>
      <c r="EY40" s="20" t="n">
        <f aca="false">SM39</f>
        <v>0</v>
      </c>
      <c r="EZ40" s="20" t="n">
        <f aca="false">EW40*MIN(Slot14_Cost,EY40)</f>
        <v>0</v>
      </c>
      <c r="FA40" s="20" t="n">
        <f aca="false">EW40*Slot14_SpendLike*MIN(Slot14_Cost-EZ40,ES40)</f>
        <v>0</v>
      </c>
      <c r="FB40" s="20" t="n">
        <f aca="false">EZ40+FA40</f>
        <v>0</v>
      </c>
      <c r="FC40" s="20" t="n">
        <f aca="false">ES40-FA40+EW40*IF(Slot14_SpendLike=1,EY40-EZ40,IF(Slot14_PotFree=1,EY40,0))</f>
        <v>150637.054622322</v>
      </c>
      <c r="FD40" s="20" t="n">
        <f aca="false">ET40+EW40*Slot14_BufPot*EY40</f>
        <v>15336.4200497187</v>
      </c>
      <c r="FE40" s="20" t="n">
        <f aca="false">IF(AND(EW40=1,Slot14_IsMfree=1),IF(FB40&gt;=Slot14_Cost-1,0,MAX(0,EU40-FB40)),EU40)</f>
        <v>0</v>
      </c>
      <c r="FF40" s="20" t="n">
        <f aca="false">EW40*(Slot14_Cost-FB40)</f>
        <v>0</v>
      </c>
      <c r="FG40" s="20" t="n">
        <f aca="false">IF(AND(Slot15_On=1,D40=Slot15_Age),1,0)</f>
        <v>0</v>
      </c>
      <c r="FH40" s="20" t="n">
        <f aca="false">IF(AND(Slot15_On=1,Slot15_Age&gt;D40),1,0)</f>
        <v>0</v>
      </c>
      <c r="FI40" s="20" t="n">
        <f aca="false">SQ39</f>
        <v>0</v>
      </c>
      <c r="FJ40" s="20" t="n">
        <f aca="false">FG40*MIN(Slot15_Cost,FI40)</f>
        <v>0</v>
      </c>
      <c r="FK40" s="20" t="n">
        <f aca="false">FG40*Slot15_SpendLike*MIN(Slot15_Cost-FJ40,FC40)</f>
        <v>0</v>
      </c>
      <c r="FL40" s="20" t="n">
        <f aca="false">FJ40+FK40</f>
        <v>0</v>
      </c>
      <c r="FM40" s="20" t="n">
        <f aca="false">FC40-FK40+FG40*IF(Slot15_SpendLike=1,FI40-FJ40,IF(Slot15_PotFree=1,FI40,0))</f>
        <v>150637.054622322</v>
      </c>
      <c r="FN40" s="20" t="n">
        <f aca="false">FD40+FG40*Slot15_BufPot*FI40</f>
        <v>15336.4200497187</v>
      </c>
      <c r="FO40" s="20" t="n">
        <f aca="false">IF(AND(FG40=1,Slot15_IsMfree=1),IF(FL40&gt;=Slot15_Cost-1,0,MAX(0,FE40-FL40)),FE40)</f>
        <v>0</v>
      </c>
      <c r="FP40" s="20" t="n">
        <f aca="false">FG40*(Slot15_Cost-FL40)</f>
        <v>0</v>
      </c>
      <c r="FQ40" s="20" t="n">
        <f aca="false">IF(AND(Slot16_On=1,D40=Slot16_Age),1,0)</f>
        <v>0</v>
      </c>
      <c r="FR40" s="20" t="n">
        <f aca="false">IF(AND(Slot16_On=1,Slot16_Age&gt;D40),1,0)</f>
        <v>0</v>
      </c>
      <c r="FS40" s="20" t="n">
        <f aca="false">SU39</f>
        <v>0</v>
      </c>
      <c r="FT40" s="20" t="n">
        <f aca="false">FQ40*MIN(Slot16_Cost,FS40)</f>
        <v>0</v>
      </c>
      <c r="FU40" s="20" t="n">
        <f aca="false">FQ40*Slot16_SpendLike*MIN(Slot16_Cost-FT40,FM40)</f>
        <v>0</v>
      </c>
      <c r="FV40" s="20" t="n">
        <f aca="false">FT40+FU40</f>
        <v>0</v>
      </c>
      <c r="FW40" s="20" t="n">
        <f aca="false">FM40-FU40+FQ40*IF(Slot16_SpendLike=1,FS40-FT40,IF(Slot16_PotFree=1,FS40,0))</f>
        <v>150637.054622322</v>
      </c>
      <c r="FX40" s="20" t="n">
        <f aca="false">FN40+FQ40*Slot16_BufPot*FS40</f>
        <v>15336.4200497187</v>
      </c>
      <c r="FY40" s="20" t="n">
        <f aca="false">IF(AND(FQ40=1,Slot16_IsMfree=1),IF(FV40&gt;=Slot16_Cost-1,0,MAX(0,FO40-FV40)),FO40)</f>
        <v>0</v>
      </c>
      <c r="FZ40" s="20" t="n">
        <f aca="false">FQ40*(Slot16_Cost-FV40)</f>
        <v>0</v>
      </c>
      <c r="GA40" s="20" t="n">
        <f aca="false">IF(AND(Slot17_On=1,D40=Slot17_Age),1,0)</f>
        <v>0</v>
      </c>
      <c r="GB40" s="20" t="n">
        <f aca="false">IF(AND(Slot17_On=1,Slot17_Age&gt;D40),1,0)</f>
        <v>0</v>
      </c>
      <c r="GC40" s="20" t="n">
        <f aca="false">SY39</f>
        <v>0</v>
      </c>
      <c r="GD40" s="20" t="n">
        <f aca="false">GA40*MIN(Slot17_Cost,GC40)</f>
        <v>0</v>
      </c>
      <c r="GE40" s="20" t="n">
        <f aca="false">GA40*Slot17_SpendLike*MIN(Slot17_Cost-GD40,FW40)</f>
        <v>0</v>
      </c>
      <c r="GF40" s="20" t="n">
        <f aca="false">GD40+GE40</f>
        <v>0</v>
      </c>
      <c r="GG40" s="20" t="n">
        <f aca="false">FW40-GE40+GA40*IF(Slot17_SpendLike=1,GC40-GD40,IF(Slot17_PotFree=1,GC40,0))</f>
        <v>150637.054622322</v>
      </c>
      <c r="GH40" s="20" t="n">
        <f aca="false">FX40+GA40*Slot17_BufPot*GC40</f>
        <v>15336.4200497187</v>
      </c>
      <c r="GI40" s="20" t="n">
        <f aca="false">IF(AND(GA40=1,Slot17_IsMfree=1),IF(GF40&gt;=Slot17_Cost-1,0,MAX(0,FY40-GF40)),FY40)</f>
        <v>0</v>
      </c>
      <c r="GJ40" s="20" t="n">
        <f aca="false">GA40*(Slot17_Cost-GF40)</f>
        <v>0</v>
      </c>
      <c r="GK40" s="20" t="n">
        <f aca="false">IF(AND(Slot18_On=1,D40=Slot18_Age),1,0)</f>
        <v>0</v>
      </c>
      <c r="GL40" s="20" t="n">
        <f aca="false">IF(AND(Slot18_On=1,Slot18_Age&gt;D40),1,0)</f>
        <v>0</v>
      </c>
      <c r="GM40" s="20" t="n">
        <f aca="false">TC39</f>
        <v>0</v>
      </c>
      <c r="GN40" s="20" t="n">
        <f aca="false">GK40*MIN(Slot18_Cost,GM40)</f>
        <v>0</v>
      </c>
      <c r="GO40" s="20" t="n">
        <f aca="false">GK40*Slot18_SpendLike*MIN(Slot18_Cost-GN40,GG40)</f>
        <v>0</v>
      </c>
      <c r="GP40" s="20" t="n">
        <f aca="false">GN40+GO40</f>
        <v>0</v>
      </c>
      <c r="GQ40" s="20" t="n">
        <f aca="false">GG40-GO40+GK40*IF(Slot18_SpendLike=1,GM40-GN40,IF(Slot18_PotFree=1,GM40,0))</f>
        <v>150637.054622322</v>
      </c>
      <c r="GR40" s="20" t="n">
        <f aca="false">GH40+GK40*Slot18_BufPot*GM40</f>
        <v>15336.4200497187</v>
      </c>
      <c r="GS40" s="20" t="n">
        <f aca="false">IF(AND(GK40=1,Slot18_IsMfree=1),IF(GP40&gt;=Slot18_Cost-1,0,MAX(0,GI40-GP40)),GI40)</f>
        <v>0</v>
      </c>
      <c r="GT40" s="20" t="n">
        <f aca="false">GK40*(Slot18_Cost-GP40)</f>
        <v>0</v>
      </c>
      <c r="GU40" s="20" t="n">
        <f aca="false">IF(AND(Slot19_On=1,D40=Slot19_Age),1,0)</f>
        <v>0</v>
      </c>
      <c r="GV40" s="20" t="n">
        <f aca="false">IF(AND(Slot19_On=1,Slot19_Age&gt;D40),1,0)</f>
        <v>0</v>
      </c>
      <c r="GW40" s="20" t="n">
        <f aca="false">TG39</f>
        <v>0</v>
      </c>
      <c r="GX40" s="20" t="n">
        <f aca="false">GU40*MIN(Slot19_Cost,GW40)</f>
        <v>0</v>
      </c>
      <c r="GY40" s="20" t="n">
        <f aca="false">GU40*Slot19_SpendLike*MIN(Slot19_Cost-GX40,GQ40)</f>
        <v>0</v>
      </c>
      <c r="GZ40" s="20" t="n">
        <f aca="false">GX40+GY40</f>
        <v>0</v>
      </c>
      <c r="HA40" s="20" t="n">
        <f aca="false">GQ40-GY40+GU40*IF(Slot19_SpendLike=1,GW40-GX40,IF(Slot19_PotFree=1,GW40,0))</f>
        <v>150637.054622322</v>
      </c>
      <c r="HB40" s="20" t="n">
        <f aca="false">GR40+GU40*Slot19_BufPot*GW40</f>
        <v>15336.4200497187</v>
      </c>
      <c r="HC40" s="20" t="n">
        <f aca="false">IF(AND(GU40=1,Slot19_IsMfree=1),IF(GZ40&gt;=Slot19_Cost-1,0,MAX(0,GS40-GZ40)),GS40)</f>
        <v>0</v>
      </c>
      <c r="HD40" s="20" t="n">
        <f aca="false">GU40*(Slot19_Cost-GZ40)</f>
        <v>0</v>
      </c>
      <c r="HE40" s="20" t="n">
        <f aca="false">IF(AND(Slot20_On=1,D40=Slot20_Age),1,0)</f>
        <v>0</v>
      </c>
      <c r="HF40" s="20" t="n">
        <f aca="false">IF(AND(Slot20_On=1,Slot20_Age&gt;D40),1,0)</f>
        <v>0</v>
      </c>
      <c r="HG40" s="20" t="n">
        <f aca="false">TK39</f>
        <v>0</v>
      </c>
      <c r="HH40" s="20" t="n">
        <f aca="false">HE40*MIN(Slot20_Cost,HG40)</f>
        <v>0</v>
      </c>
      <c r="HI40" s="20" t="n">
        <f aca="false">HE40*Slot20_SpendLike*MIN(Slot20_Cost-HH40,HA40)</f>
        <v>0</v>
      </c>
      <c r="HJ40" s="20" t="n">
        <f aca="false">HH40+HI40</f>
        <v>0</v>
      </c>
      <c r="HK40" s="20" t="n">
        <f aca="false">HA40-HI40+HE40*IF(Slot20_SpendLike=1,HG40-HH40,IF(Slot20_PotFree=1,HG40,0))</f>
        <v>150637.054622322</v>
      </c>
      <c r="HL40" s="20" t="n">
        <f aca="false">HB40+HE40*Slot20_BufPot*HG40</f>
        <v>15336.4200497187</v>
      </c>
      <c r="HM40" s="20" t="n">
        <f aca="false">IF(AND(HE40=1,Slot20_IsMfree=1),IF(HJ40&gt;=Slot20_Cost-1,0,MAX(0,HC40-HJ40)),HC40)</f>
        <v>0</v>
      </c>
      <c r="HN40" s="20" t="n">
        <f aca="false">HE40*(Slot20_Cost-HJ40)</f>
        <v>0</v>
      </c>
      <c r="HO40" s="20" t="n">
        <f aca="false">V40*Slot1_SpendLike*AA40+AG40*Slot2_SpendLike*AL40+AQ40*Slot3_SpendLike*AV40+BA40*Slot4_SpendLike*BF40+BK40*Slot5_SpendLike*BP40+BU40*Slot6_SpendLike*BZ40+CE40*Slot7_SpendLike*CJ40+CO40*Slot8_SpendLike*CT40+CY40*Slot9_SpendLike*DD40+DI40*Slot10_SpendLike*DN40+DS40*Slot11_SpendLike*DX40+EC40*Slot12_SpendLike*EH40+EM40*Slot13_SpendLike*ER40+EW40*Slot14_SpendLike*FB40+FG40*Slot15_SpendLike*FL40+FQ40*Slot16_SpendLike*FV40+GA40*Slot17_SpendLike*GF40+GK40*Slot18_SpendLike*GP40+GU40*Slot19_SpendLike*GZ40+HE40*Slot20_SpendLike*HJ40</f>
        <v>0</v>
      </c>
      <c r="HP40" s="20" t="n">
        <f aca="false">AE40+AP40+AZ40+BJ40+BT40+CD40+CN40+CX40+DH40+DR40+EB40+EL40+EV40+FF40+FP40+FZ40+GJ40+GT40+HD40+HN40</f>
        <v>0</v>
      </c>
      <c r="HQ40" s="20" t="n">
        <f aca="false">V40*Slot1_Cost+AG40*Slot2_Cost+AQ40*Slot3_Cost+BA40*Slot4_Cost+BK40*Slot5_Cost+BU40*Slot6_Cost+CE40*Slot7_Cost+CO40*Slot8_Cost+CY40*Slot9_Cost+DI40*Slot10_Cost+DS40*Slot11_Cost+EC40*Slot12_Cost+EM40*Slot13_Cost+EW40*Slot14_Cost+FG40*Slot15_Cost+FQ40*Slot16_Cost+GA40*Slot17_Cost+GK40*Slot18_Cost+GU40*Slot19_Cost+HE40*Slot20_Cost</f>
        <v>0</v>
      </c>
      <c r="HR40" s="20" t="n">
        <f aca="false">HM40</f>
        <v>0</v>
      </c>
      <c r="HS40" s="20" t="n">
        <f aca="false">H40-I40-S40</f>
        <v>-21805.942156815</v>
      </c>
      <c r="HT40" s="20" t="n">
        <f aca="false">IF(B40=0,IF(AND(Has_q6=1,In_q6=4),PR_ShareVaries*(MAX(0,HS40)/12),MIN(IF(Has_q6=1,CHOOSE(In_q6+1,PR_SaveB1,PR_SaveB2,PR_SaveB3,PR_SaveB4,0),AS_NoAnswer),AS_SaveShare*(MAX(0,HS40)/12))),HT39)</f>
        <v>67.3316893520437</v>
      </c>
      <c r="HU40" s="20" t="n">
        <f aca="false">IF(HS40&gt;=0,1,0)</f>
        <v>0</v>
      </c>
      <c r="HV40" s="20" t="n">
        <f aca="false">MAX(0,HS40/12/F40)</f>
        <v>0</v>
      </c>
      <c r="HW40" s="20" t="n">
        <f aca="false">IF(AND(Has_q6=1,In_q6=4),PR_ShareVaries*(HV40),MIN(IF(Has_q6=1,CHOOSE(In_q6+1,PR_SaveB1,PR_SaveB2,PR_SaveB3,PR_SaveB4,0),AS_NoAnswer),AS_SaveShare*(HV40)))</f>
        <v>0</v>
      </c>
      <c r="HX40" s="20" t="n">
        <f aca="false">IF(Has_saveM=1,IF(In_saveUp="Yes",1,IF(In_saveUp="No",0,IF(In_saveM&gt;=HT40-0.5,1,0))),0)</f>
        <v>0</v>
      </c>
      <c r="HY40" s="20" t="n">
        <f aca="false">IF(Has_saveM=1,MIN(HV40,IF(HX40=1,MAX(In_saveM,HW40),MIN(In_saveM,HW40))),HW40)</f>
        <v>0</v>
      </c>
      <c r="HZ40" s="20" t="n">
        <f aca="false">IF(G40=1,HY40*12*F40,0)</f>
        <v>0</v>
      </c>
      <c r="IA40" s="20" t="n">
        <f aca="false">MAX(0,HZ40+IF(AND(WI_Retire=0,WI_M&lt;0,G40=1),WI_M*12*F40,0))</f>
        <v>0</v>
      </c>
      <c r="IB40" s="20" t="n">
        <f aca="false">Slot1_IsWG*W40+Slot2_IsWG*AH40+Slot3_IsWG*AR40+Slot4_IsWG*BB40+Slot5_IsWG*BL40+Slot6_IsWG*BV40+Slot7_IsWG*CF40+Slot8_IsWG*CP40+Slot9_IsWG*CZ40+Slot10_IsWG*DJ40+Slot11_IsWG*DT40+Slot12_IsWG*ED40+Slot13_IsWG*EN40+Slot14_IsWG*EX40+Slot15_IsWG*FH40+Slot16_IsWG*FR40+Slot17_IsWG*GB40+Slot18_IsWG*GL40+Slot19_IsWG*GV40+Slot20_IsWG*HF40</f>
        <v>0</v>
      </c>
      <c r="IC40" s="20" t="n">
        <f aca="false">IF(AND(WI_Retire=0,WI_M&gt;0,G40=1,IB40&gt;=1),WI_M*12*F40,0)</f>
        <v>0</v>
      </c>
      <c r="ID40" s="20" t="n">
        <f aca="false">IF(HU40=1,MIN(IA40,HS40),0)</f>
        <v>0</v>
      </c>
      <c r="IE40" s="20" t="n">
        <f aca="false">IF(HU40=1,MIN(IC40,HS40-ID40),0)</f>
        <v>0</v>
      </c>
      <c r="IF40" s="20" t="n">
        <f aca="false">IF(W40=1,IF(ABS((1+AS_Wage)/(1+Slot1_Rate)-1)&lt;0.000000000001,(Slot1_Age-D40)*(1+Slot1_Rate)^(Slot1_Age-D40),(1+Slot1_Rate)^(Slot1_Age-D40)*(1-((1+AS_Wage)/(1+Slot1_Rate))^(Slot1_Age-D40))/(1-(1+AS_Wage)/(1+Slot1_Rate))),1)</f>
        <v>1</v>
      </c>
      <c r="IG40" s="20" t="n">
        <f aca="false">IF(AND(HU40=1,IE40&gt;0,Slot1_IsWG=1,W40=1),MAX(0,(Slot1_Cost-X40*(1+Slot1_Rate)^(Slot1_Age-D40))/IF40),0)</f>
        <v>0</v>
      </c>
      <c r="IH40" s="20" t="n">
        <f aca="false">IF(AND(HU40=1,IE40&gt;0,Slot1_IsWG=1,W40=1),MIN(IE40,IG40),0)</f>
        <v>0</v>
      </c>
      <c r="II40" s="20" t="n">
        <f aca="false">X40+IH40</f>
        <v>0</v>
      </c>
      <c r="IJ40" s="20" t="n">
        <f aca="false">IF(W40=1,MAX(0,(Slot1_Cost-II40*(1+Slot1_Rate)^(Slot1_Age-D40))/IF40),0)</f>
        <v>0</v>
      </c>
      <c r="IK40" s="20" t="n">
        <f aca="false">IF(W40=1,MAX(0,(Slot1_Cost-X40*(1+Slot1_Rate)^(Slot1_Age-D40))/IF40),0)</f>
        <v>0</v>
      </c>
      <c r="IL40" s="20" t="n">
        <f aca="false">IF(AND(HU40=1,W40=1),MIN(ID40,IJ40),0)</f>
        <v>0</v>
      </c>
      <c r="IM40" s="20" t="n">
        <f aca="false">ID40-IL40</f>
        <v>0</v>
      </c>
      <c r="IN40" s="20" t="n">
        <f aca="false">IF(AH40=1,IF(ABS((1+AS_Wage)/(1+Slot2_Rate)-1)&lt;0.000000000001,(Slot2_Age-D40)*(1+Slot2_Rate)^(Slot2_Age-D40),(1+Slot2_Rate)^(Slot2_Age-D40)*(1-((1+AS_Wage)/(1+Slot2_Rate))^(Slot2_Age-D40))/(1-(1+AS_Wage)/(1+Slot2_Rate))),1)</f>
        <v>1</v>
      </c>
      <c r="IO40" s="20" t="n">
        <f aca="false">IF(AND(HU40=1,IE40&gt;0,Slot2_IsWG=1,AH40=1),MAX(0,(Slot2_Cost-AI40*(1+Slot2_Rate)^(Slot2_Age-D40))/IN40),0)</f>
        <v>0</v>
      </c>
      <c r="IP40" s="20" t="n">
        <f aca="false">IF(AND(HU40=1,IE40&gt;0,Slot2_IsWG=1,AH40=1),MIN(IE40,IO40),0)</f>
        <v>0</v>
      </c>
      <c r="IQ40" s="20" t="n">
        <f aca="false">AI40+IP40</f>
        <v>0</v>
      </c>
      <c r="IR40" s="20" t="n">
        <f aca="false">IF(AH40=1,MAX(0,(Slot2_Cost-IQ40*(1+Slot2_Rate)^(Slot2_Age-D40))/IN40),0)</f>
        <v>0</v>
      </c>
      <c r="IS40" s="20" t="n">
        <f aca="false">IF(AH40=1,MAX(0,(Slot2_Cost-AI40*(1+Slot2_Rate)^(Slot2_Age-D40))/IN40),0)</f>
        <v>0</v>
      </c>
      <c r="IT40" s="20" t="n">
        <f aca="false">IF(AND(HU40=1,AH40=1),MIN(IM40,IR40),0)</f>
        <v>0</v>
      </c>
      <c r="IU40" s="20" t="n">
        <f aca="false">IM40-IT40</f>
        <v>0</v>
      </c>
      <c r="IV40" s="20" t="n">
        <f aca="false">IF(AR40=1,IF(ABS((1+AS_Wage)/(1+Slot3_Rate)-1)&lt;0.000000000001,(Slot3_Age-D40)*(1+Slot3_Rate)^(Slot3_Age-D40),(1+Slot3_Rate)^(Slot3_Age-D40)*(1-((1+AS_Wage)/(1+Slot3_Rate))^(Slot3_Age-D40))/(1-(1+AS_Wage)/(1+Slot3_Rate))),1)</f>
        <v>1</v>
      </c>
      <c r="IW40" s="20" t="n">
        <f aca="false">IF(AND(HU40=1,IE40&gt;0,Slot3_IsWG=1,AR40=1),MAX(0,(Slot3_Cost-AS40*(1+Slot3_Rate)^(Slot3_Age-D40))/IV40),0)</f>
        <v>0</v>
      </c>
      <c r="IX40" s="20" t="n">
        <f aca="false">IF(AND(HU40=1,IE40&gt;0,Slot3_IsWG=1,AR40=1),MIN(IE40,IW40),0)</f>
        <v>0</v>
      </c>
      <c r="IY40" s="20" t="n">
        <f aca="false">AS40+IX40</f>
        <v>0</v>
      </c>
      <c r="IZ40" s="20" t="n">
        <f aca="false">IF(AR40=1,MAX(0,(Slot3_Cost-IY40*(1+Slot3_Rate)^(Slot3_Age-D40))/IV40),0)</f>
        <v>0</v>
      </c>
      <c r="JA40" s="20" t="n">
        <f aca="false">IF(AR40=1,MAX(0,(Slot3_Cost-AS40*(1+Slot3_Rate)^(Slot3_Age-D40))/IV40),0)</f>
        <v>0</v>
      </c>
      <c r="JB40" s="20" t="n">
        <f aca="false">IF(AND(HU40=1,AR40=1),MIN(IU40,IZ40),0)</f>
        <v>0</v>
      </c>
      <c r="JC40" s="20" t="n">
        <f aca="false">IU40-JB40</f>
        <v>0</v>
      </c>
      <c r="JD40" s="20" t="n">
        <f aca="false">IF(BB40=1,IF(ABS((1+AS_Wage)/(1+Slot4_Rate)-1)&lt;0.000000000001,(Slot4_Age-D40)*(1+Slot4_Rate)^(Slot4_Age-D40),(1+Slot4_Rate)^(Slot4_Age-D40)*(1-((1+AS_Wage)/(1+Slot4_Rate))^(Slot4_Age-D40))/(1-(1+AS_Wage)/(1+Slot4_Rate))),1)</f>
        <v>1</v>
      </c>
      <c r="JE40" s="20" t="n">
        <f aca="false">IF(AND(HU40=1,IE40&gt;0,Slot4_IsWG=1,BB40=1),MAX(0,(Slot4_Cost-BC40*(1+Slot4_Rate)^(Slot4_Age-D40))/JD40),0)</f>
        <v>0</v>
      </c>
      <c r="JF40" s="20" t="n">
        <f aca="false">IF(AND(HU40=1,IE40&gt;0,Slot4_IsWG=1,BB40=1),MIN(IE40,JE40),0)</f>
        <v>0</v>
      </c>
      <c r="JG40" s="20" t="n">
        <f aca="false">BC40+JF40</f>
        <v>0</v>
      </c>
      <c r="JH40" s="20" t="n">
        <f aca="false">IF(BB40=1,MAX(0,(Slot4_Cost-JG40*(1+Slot4_Rate)^(Slot4_Age-D40))/JD40),0)</f>
        <v>0</v>
      </c>
      <c r="JI40" s="20" t="n">
        <f aca="false">IF(BB40=1,MAX(0,(Slot4_Cost-BC40*(1+Slot4_Rate)^(Slot4_Age-D40))/JD40),0)</f>
        <v>0</v>
      </c>
      <c r="JJ40" s="20" t="n">
        <f aca="false">IF(AND(HU40=1,BB40=1),MIN(JC40,JH40),0)</f>
        <v>0</v>
      </c>
      <c r="JK40" s="20" t="n">
        <f aca="false">JC40-JJ40</f>
        <v>0</v>
      </c>
      <c r="JL40" s="20" t="n">
        <f aca="false">IF(BL40=1,IF(ABS((1+AS_Wage)/(1+Slot5_Rate)-1)&lt;0.000000000001,(Slot5_Age-D40)*(1+Slot5_Rate)^(Slot5_Age-D40),(1+Slot5_Rate)^(Slot5_Age-D40)*(1-((1+AS_Wage)/(1+Slot5_Rate))^(Slot5_Age-D40))/(1-(1+AS_Wage)/(1+Slot5_Rate))),1)</f>
        <v>1</v>
      </c>
      <c r="JM40" s="20" t="n">
        <f aca="false">IF(AND(HU40=1,IE40&gt;0,Slot5_IsWG=1,BL40=1),MAX(0,(Slot5_Cost-BM40*(1+Slot5_Rate)^(Slot5_Age-D40))/JL40),0)</f>
        <v>0</v>
      </c>
      <c r="JN40" s="20" t="n">
        <f aca="false">IF(AND(HU40=1,IE40&gt;0,Slot5_IsWG=1,BL40=1),MIN(IE40,JM40),0)</f>
        <v>0</v>
      </c>
      <c r="JO40" s="20" t="n">
        <f aca="false">BM40+JN40</f>
        <v>0</v>
      </c>
      <c r="JP40" s="20" t="n">
        <f aca="false">IF(BL40=1,MAX(0,(Slot5_Cost-JO40*(1+Slot5_Rate)^(Slot5_Age-D40))/JL40),0)</f>
        <v>0</v>
      </c>
      <c r="JQ40" s="20" t="n">
        <f aca="false">IF(BL40=1,MAX(0,(Slot5_Cost-BM40*(1+Slot5_Rate)^(Slot5_Age-D40))/JL40),0)</f>
        <v>0</v>
      </c>
      <c r="JR40" s="20" t="n">
        <f aca="false">IF(AND(HU40=1,BL40=1),MIN(JK40,JP40),0)</f>
        <v>0</v>
      </c>
      <c r="JS40" s="20" t="n">
        <f aca="false">JK40-JR40</f>
        <v>0</v>
      </c>
      <c r="JT40" s="20" t="n">
        <f aca="false">IF(BV40=1,IF(ABS((1+AS_Wage)/(1+Slot6_Rate)-1)&lt;0.000000000001,(Slot6_Age-D40)*(1+Slot6_Rate)^(Slot6_Age-D40),(1+Slot6_Rate)^(Slot6_Age-D40)*(1-((1+AS_Wage)/(1+Slot6_Rate))^(Slot6_Age-D40))/(1-(1+AS_Wage)/(1+Slot6_Rate))),1)</f>
        <v>1</v>
      </c>
      <c r="JU40" s="20" t="n">
        <f aca="false">IF(AND(HU40=1,IE40&gt;0,Slot6_IsWG=1,BV40=1),MAX(0,(Slot6_Cost-BW40*(1+Slot6_Rate)^(Slot6_Age-D40))/JT40),0)</f>
        <v>0</v>
      </c>
      <c r="JV40" s="20" t="n">
        <f aca="false">IF(AND(HU40=1,IE40&gt;0,Slot6_IsWG=1,BV40=1),MIN(IE40,JU40),0)</f>
        <v>0</v>
      </c>
      <c r="JW40" s="20" t="n">
        <f aca="false">BW40+JV40</f>
        <v>0</v>
      </c>
      <c r="JX40" s="20" t="n">
        <f aca="false">IF(BV40=1,MAX(0,(Slot6_Cost-JW40*(1+Slot6_Rate)^(Slot6_Age-D40))/JT40),0)</f>
        <v>0</v>
      </c>
      <c r="JY40" s="20" t="n">
        <f aca="false">IF(BV40=1,MAX(0,(Slot6_Cost-BW40*(1+Slot6_Rate)^(Slot6_Age-D40))/JT40),0)</f>
        <v>0</v>
      </c>
      <c r="JZ40" s="20" t="n">
        <f aca="false">IF(AND(HU40=1,BV40=1),MIN(JS40,JX40),0)</f>
        <v>0</v>
      </c>
      <c r="KA40" s="20" t="n">
        <f aca="false">JS40-JZ40</f>
        <v>0</v>
      </c>
      <c r="KB40" s="20" t="n">
        <f aca="false">IF(CF40=1,IF(ABS((1+AS_Wage)/(1+Slot7_Rate)-1)&lt;0.000000000001,(Slot7_Age-D40)*(1+Slot7_Rate)^(Slot7_Age-D40),(1+Slot7_Rate)^(Slot7_Age-D40)*(1-((1+AS_Wage)/(1+Slot7_Rate))^(Slot7_Age-D40))/(1-(1+AS_Wage)/(1+Slot7_Rate))),1)</f>
        <v>1</v>
      </c>
      <c r="KC40" s="20" t="n">
        <f aca="false">IF(AND(HU40=1,IE40&gt;0,Slot7_IsWG=1,CF40=1),MAX(0,(Slot7_Cost-CG40*(1+Slot7_Rate)^(Slot7_Age-D40))/KB40),0)</f>
        <v>0</v>
      </c>
      <c r="KD40" s="20" t="n">
        <f aca="false">IF(AND(HU40=1,IE40&gt;0,Slot7_IsWG=1,CF40=1),MIN(IE40,KC40),0)</f>
        <v>0</v>
      </c>
      <c r="KE40" s="20" t="n">
        <f aca="false">CG40+KD40</f>
        <v>0</v>
      </c>
      <c r="KF40" s="20" t="n">
        <f aca="false">IF(CF40=1,MAX(0,(Slot7_Cost-KE40*(1+Slot7_Rate)^(Slot7_Age-D40))/KB40),0)</f>
        <v>0</v>
      </c>
      <c r="KG40" s="20" t="n">
        <f aca="false">IF(CF40=1,MAX(0,(Slot7_Cost-CG40*(1+Slot7_Rate)^(Slot7_Age-D40))/KB40),0)</f>
        <v>0</v>
      </c>
      <c r="KH40" s="20" t="n">
        <f aca="false">IF(AND(HU40=1,CF40=1),MIN(KA40,KF40),0)</f>
        <v>0</v>
      </c>
      <c r="KI40" s="20" t="n">
        <f aca="false">KA40-KH40</f>
        <v>0</v>
      </c>
      <c r="KJ40" s="20" t="n">
        <f aca="false">IF(CP40=1,IF(ABS((1+AS_Wage)/(1+Slot8_Rate)-1)&lt;0.000000000001,(Slot8_Age-D40)*(1+Slot8_Rate)^(Slot8_Age-D40),(1+Slot8_Rate)^(Slot8_Age-D40)*(1-((1+AS_Wage)/(1+Slot8_Rate))^(Slot8_Age-D40))/(1-(1+AS_Wage)/(1+Slot8_Rate))),1)</f>
        <v>1</v>
      </c>
      <c r="KK40" s="20" t="n">
        <f aca="false">IF(AND(HU40=1,IE40&gt;0,Slot8_IsWG=1,CP40=1),MAX(0,(Slot8_Cost-CQ40*(1+Slot8_Rate)^(Slot8_Age-D40))/KJ40),0)</f>
        <v>0</v>
      </c>
      <c r="KL40" s="20" t="n">
        <f aca="false">IF(AND(HU40=1,IE40&gt;0,Slot8_IsWG=1,CP40=1),MIN(IE40,KK40),0)</f>
        <v>0</v>
      </c>
      <c r="KM40" s="20" t="n">
        <f aca="false">CQ40+KL40</f>
        <v>0</v>
      </c>
      <c r="KN40" s="20" t="n">
        <f aca="false">IF(CP40=1,MAX(0,(Slot8_Cost-KM40*(1+Slot8_Rate)^(Slot8_Age-D40))/KJ40),0)</f>
        <v>0</v>
      </c>
      <c r="KO40" s="20" t="n">
        <f aca="false">IF(CP40=1,MAX(0,(Slot8_Cost-CQ40*(1+Slot8_Rate)^(Slot8_Age-D40))/KJ40),0)</f>
        <v>0</v>
      </c>
      <c r="KP40" s="20" t="n">
        <f aca="false">IF(AND(HU40=1,CP40=1),MIN(KI40,KN40),0)</f>
        <v>0</v>
      </c>
      <c r="KQ40" s="20" t="n">
        <f aca="false">KI40-KP40</f>
        <v>0</v>
      </c>
      <c r="KR40" s="20" t="n">
        <f aca="false">IF(CZ40=1,IF(ABS((1+AS_Wage)/(1+Slot9_Rate)-1)&lt;0.000000000001,(Slot9_Age-D40)*(1+Slot9_Rate)^(Slot9_Age-D40),(1+Slot9_Rate)^(Slot9_Age-D40)*(1-((1+AS_Wage)/(1+Slot9_Rate))^(Slot9_Age-D40))/(1-(1+AS_Wage)/(1+Slot9_Rate))),1)</f>
        <v>1</v>
      </c>
      <c r="KS40" s="20" t="n">
        <f aca="false">IF(AND(HU40=1,IE40&gt;0,Slot9_IsWG=1,CZ40=1),MAX(0,(Slot9_Cost-DA40*(1+Slot9_Rate)^(Slot9_Age-D40))/KR40),0)</f>
        <v>0</v>
      </c>
      <c r="KT40" s="20" t="n">
        <f aca="false">IF(AND(HU40=1,IE40&gt;0,Slot9_IsWG=1,CZ40=1),MIN(IE40,KS40),0)</f>
        <v>0</v>
      </c>
      <c r="KU40" s="20" t="n">
        <f aca="false">DA40+KT40</f>
        <v>0</v>
      </c>
      <c r="KV40" s="20" t="n">
        <f aca="false">IF(CZ40=1,MAX(0,(Slot9_Cost-KU40*(1+Slot9_Rate)^(Slot9_Age-D40))/KR40),0)</f>
        <v>0</v>
      </c>
      <c r="KW40" s="20" t="n">
        <f aca="false">IF(CZ40=1,MAX(0,(Slot9_Cost-DA40*(1+Slot9_Rate)^(Slot9_Age-D40))/KR40),0)</f>
        <v>0</v>
      </c>
      <c r="KX40" s="20" t="n">
        <f aca="false">IF(AND(HU40=1,CZ40=1),MIN(KQ40,KV40),0)</f>
        <v>0</v>
      </c>
      <c r="KY40" s="20" t="n">
        <f aca="false">KQ40-KX40</f>
        <v>0</v>
      </c>
      <c r="KZ40" s="20" t="n">
        <f aca="false">IF(DJ40=1,IF(ABS((1+AS_Wage)/(1+Slot10_Rate)-1)&lt;0.000000000001,(Slot10_Age-D40)*(1+Slot10_Rate)^(Slot10_Age-D40),(1+Slot10_Rate)^(Slot10_Age-D40)*(1-((1+AS_Wage)/(1+Slot10_Rate))^(Slot10_Age-D40))/(1-(1+AS_Wage)/(1+Slot10_Rate))),1)</f>
        <v>1</v>
      </c>
      <c r="LA40" s="20" t="n">
        <f aca="false">IF(AND(HU40=1,IE40&gt;0,Slot10_IsWG=1,DJ40=1),MAX(0,(Slot10_Cost-DK40*(1+Slot10_Rate)^(Slot10_Age-D40))/KZ40),0)</f>
        <v>0</v>
      </c>
      <c r="LB40" s="20" t="n">
        <f aca="false">IF(AND(HU40=1,IE40&gt;0,Slot10_IsWG=1,DJ40=1),MIN(IE40,LA40),0)</f>
        <v>0</v>
      </c>
      <c r="LC40" s="20" t="n">
        <f aca="false">DK40+LB40</f>
        <v>0</v>
      </c>
      <c r="LD40" s="20" t="n">
        <f aca="false">IF(DJ40=1,MAX(0,(Slot10_Cost-LC40*(1+Slot10_Rate)^(Slot10_Age-D40))/KZ40),0)</f>
        <v>0</v>
      </c>
      <c r="LE40" s="20" t="n">
        <f aca="false">IF(DJ40=1,MAX(0,(Slot10_Cost-DK40*(1+Slot10_Rate)^(Slot10_Age-D40))/KZ40),0)</f>
        <v>0</v>
      </c>
      <c r="LF40" s="20" t="n">
        <f aca="false">IF(AND(HU40=1,DJ40=1),MIN(KY40,LD40),0)</f>
        <v>0</v>
      </c>
      <c r="LG40" s="20" t="n">
        <f aca="false">KY40-LF40</f>
        <v>0</v>
      </c>
      <c r="LH40" s="20" t="n">
        <f aca="false">IF(DT40=1,IF(ABS((1+AS_Wage)/(1+Slot11_Rate)-1)&lt;0.000000000001,(Slot11_Age-D40)*(1+Slot11_Rate)^(Slot11_Age-D40),(1+Slot11_Rate)^(Slot11_Age-D40)*(1-((1+AS_Wage)/(1+Slot11_Rate))^(Slot11_Age-D40))/(1-(1+AS_Wage)/(1+Slot11_Rate))),1)</f>
        <v>1</v>
      </c>
      <c r="LI40" s="20" t="n">
        <f aca="false">IF(AND(HU40=1,IE40&gt;0,Slot11_IsWG=1,DT40=1),MAX(0,(Slot11_Cost-DU40*(1+Slot11_Rate)^(Slot11_Age-D40))/LH40),0)</f>
        <v>0</v>
      </c>
      <c r="LJ40" s="20" t="n">
        <f aca="false">IF(AND(HU40=1,IE40&gt;0,Slot11_IsWG=1,DT40=1),MIN(IE40,LI40),0)</f>
        <v>0</v>
      </c>
      <c r="LK40" s="20" t="n">
        <f aca="false">DU40+LJ40</f>
        <v>0</v>
      </c>
      <c r="LL40" s="20" t="n">
        <f aca="false">IF(DT40=1,MAX(0,(Slot11_Cost-LK40*(1+Slot11_Rate)^(Slot11_Age-D40))/LH40),0)</f>
        <v>0</v>
      </c>
      <c r="LM40" s="20" t="n">
        <f aca="false">IF(DT40=1,MAX(0,(Slot11_Cost-DU40*(1+Slot11_Rate)^(Slot11_Age-D40))/LH40),0)</f>
        <v>0</v>
      </c>
      <c r="LN40" s="20" t="n">
        <f aca="false">IF(AND(HU40=1,DT40=1),MIN(LG40,LL40),0)</f>
        <v>0</v>
      </c>
      <c r="LO40" s="20" t="n">
        <f aca="false">LG40-LN40</f>
        <v>0</v>
      </c>
      <c r="LP40" s="20" t="n">
        <f aca="false">IF(ED40=1,IF(ABS((1+AS_Wage)/(1+Slot12_Rate)-1)&lt;0.000000000001,(Slot12_Age-D40)*(1+Slot12_Rate)^(Slot12_Age-D40),(1+Slot12_Rate)^(Slot12_Age-D40)*(1-((1+AS_Wage)/(1+Slot12_Rate))^(Slot12_Age-D40))/(1-(1+AS_Wage)/(1+Slot12_Rate))),1)</f>
        <v>1</v>
      </c>
      <c r="LQ40" s="20" t="n">
        <f aca="false">IF(AND(HU40=1,IE40&gt;0,Slot12_IsWG=1,ED40=1),MAX(0,(Slot12_Cost-EE40*(1+Slot12_Rate)^(Slot12_Age-D40))/LP40),0)</f>
        <v>0</v>
      </c>
      <c r="LR40" s="20" t="n">
        <f aca="false">IF(AND(HU40=1,IE40&gt;0,Slot12_IsWG=1,ED40=1),MIN(IE40,LQ40),0)</f>
        <v>0</v>
      </c>
      <c r="LS40" s="20" t="n">
        <f aca="false">EE40+LR40</f>
        <v>0</v>
      </c>
      <c r="LT40" s="20" t="n">
        <f aca="false">IF(ED40=1,MAX(0,(Slot12_Cost-LS40*(1+Slot12_Rate)^(Slot12_Age-D40))/LP40),0)</f>
        <v>0</v>
      </c>
      <c r="LU40" s="20" t="n">
        <f aca="false">IF(ED40=1,MAX(0,(Slot12_Cost-EE40*(1+Slot12_Rate)^(Slot12_Age-D40))/LP40),0)</f>
        <v>0</v>
      </c>
      <c r="LV40" s="20" t="n">
        <f aca="false">IF(AND(HU40=1,ED40=1),MIN(LO40,LT40),0)</f>
        <v>0</v>
      </c>
      <c r="LW40" s="20" t="n">
        <f aca="false">LO40-LV40</f>
        <v>0</v>
      </c>
      <c r="LX40" s="20" t="n">
        <f aca="false">IF(EN40=1,IF(ABS((1+AS_Wage)/(1+Slot13_Rate)-1)&lt;0.000000000001,(Slot13_Age-D40)*(1+Slot13_Rate)^(Slot13_Age-D40),(1+Slot13_Rate)^(Slot13_Age-D40)*(1-((1+AS_Wage)/(1+Slot13_Rate))^(Slot13_Age-D40))/(1-(1+AS_Wage)/(1+Slot13_Rate))),1)</f>
        <v>1</v>
      </c>
      <c r="LY40" s="20" t="n">
        <f aca="false">IF(AND(HU40=1,IE40&gt;0,Slot13_IsWG=1,EN40=1),MAX(0,(Slot13_Cost-EO40*(1+Slot13_Rate)^(Slot13_Age-D40))/LX40),0)</f>
        <v>0</v>
      </c>
      <c r="LZ40" s="20" t="n">
        <f aca="false">IF(AND(HU40=1,IE40&gt;0,Slot13_IsWG=1,EN40=1),MIN(IE40,LY40),0)</f>
        <v>0</v>
      </c>
      <c r="MA40" s="20" t="n">
        <f aca="false">EO40+LZ40</f>
        <v>0</v>
      </c>
      <c r="MB40" s="20" t="n">
        <f aca="false">IF(EN40=1,MAX(0,(Slot13_Cost-MA40*(1+Slot13_Rate)^(Slot13_Age-D40))/LX40),0)</f>
        <v>0</v>
      </c>
      <c r="MC40" s="20" t="n">
        <f aca="false">IF(EN40=1,MAX(0,(Slot13_Cost-EO40*(1+Slot13_Rate)^(Slot13_Age-D40))/LX40),0)</f>
        <v>0</v>
      </c>
      <c r="MD40" s="20" t="n">
        <f aca="false">IF(AND(HU40=1,EN40=1),MIN(LW40,MB40),0)</f>
        <v>0</v>
      </c>
      <c r="ME40" s="20" t="n">
        <f aca="false">LW40-MD40</f>
        <v>0</v>
      </c>
      <c r="MF40" s="20" t="n">
        <f aca="false">IF(EX40=1,IF(ABS((1+AS_Wage)/(1+Slot14_Rate)-1)&lt;0.000000000001,(Slot14_Age-D40)*(1+Slot14_Rate)^(Slot14_Age-D40),(1+Slot14_Rate)^(Slot14_Age-D40)*(1-((1+AS_Wage)/(1+Slot14_Rate))^(Slot14_Age-D40))/(1-(1+AS_Wage)/(1+Slot14_Rate))),1)</f>
        <v>1</v>
      </c>
      <c r="MG40" s="20" t="n">
        <f aca="false">IF(AND(HU40=1,IE40&gt;0,Slot14_IsWG=1,EX40=1),MAX(0,(Slot14_Cost-EY40*(1+Slot14_Rate)^(Slot14_Age-D40))/MF40),0)</f>
        <v>0</v>
      </c>
      <c r="MH40" s="20" t="n">
        <f aca="false">IF(AND(HU40=1,IE40&gt;0,Slot14_IsWG=1,EX40=1),MIN(IE40,MG40),0)</f>
        <v>0</v>
      </c>
      <c r="MI40" s="20" t="n">
        <f aca="false">EY40+MH40</f>
        <v>0</v>
      </c>
      <c r="MJ40" s="20" t="n">
        <f aca="false">IF(EX40=1,MAX(0,(Slot14_Cost-MI40*(1+Slot14_Rate)^(Slot14_Age-D40))/MF40),0)</f>
        <v>0</v>
      </c>
      <c r="MK40" s="20" t="n">
        <f aca="false">IF(EX40=1,MAX(0,(Slot14_Cost-EY40*(1+Slot14_Rate)^(Slot14_Age-D40))/MF40),0)</f>
        <v>0</v>
      </c>
      <c r="ML40" s="20" t="n">
        <f aca="false">IF(AND(HU40=1,EX40=1),MIN(ME40,MJ40),0)</f>
        <v>0</v>
      </c>
      <c r="MM40" s="20" t="n">
        <f aca="false">ME40-ML40</f>
        <v>0</v>
      </c>
      <c r="MN40" s="20" t="n">
        <f aca="false">IF(FH40=1,IF(ABS((1+AS_Wage)/(1+Slot15_Rate)-1)&lt;0.000000000001,(Slot15_Age-D40)*(1+Slot15_Rate)^(Slot15_Age-D40),(1+Slot15_Rate)^(Slot15_Age-D40)*(1-((1+AS_Wage)/(1+Slot15_Rate))^(Slot15_Age-D40))/(1-(1+AS_Wage)/(1+Slot15_Rate))),1)</f>
        <v>1</v>
      </c>
      <c r="MO40" s="20" t="n">
        <f aca="false">IF(AND(HU40=1,IE40&gt;0,Slot15_IsWG=1,FH40=1),MAX(0,(Slot15_Cost-FI40*(1+Slot15_Rate)^(Slot15_Age-D40))/MN40),0)</f>
        <v>0</v>
      </c>
      <c r="MP40" s="20" t="n">
        <f aca="false">IF(AND(HU40=1,IE40&gt;0,Slot15_IsWG=1,FH40=1),MIN(IE40,MO40),0)</f>
        <v>0</v>
      </c>
      <c r="MQ40" s="20" t="n">
        <f aca="false">FI40+MP40</f>
        <v>0</v>
      </c>
      <c r="MR40" s="20" t="n">
        <f aca="false">IF(FH40=1,MAX(0,(Slot15_Cost-MQ40*(1+Slot15_Rate)^(Slot15_Age-D40))/MN40),0)</f>
        <v>0</v>
      </c>
      <c r="MS40" s="20" t="n">
        <f aca="false">IF(FH40=1,MAX(0,(Slot15_Cost-FI40*(1+Slot15_Rate)^(Slot15_Age-D40))/MN40),0)</f>
        <v>0</v>
      </c>
      <c r="MT40" s="20" t="n">
        <f aca="false">IF(AND(HU40=1,FH40=1),MIN(MM40,MR40),0)</f>
        <v>0</v>
      </c>
      <c r="MU40" s="20" t="n">
        <f aca="false">MM40-MT40</f>
        <v>0</v>
      </c>
      <c r="MV40" s="20" t="n">
        <f aca="false">IF(FR40=1,IF(ABS((1+AS_Wage)/(1+Slot16_Rate)-1)&lt;0.000000000001,(Slot16_Age-D40)*(1+Slot16_Rate)^(Slot16_Age-D40),(1+Slot16_Rate)^(Slot16_Age-D40)*(1-((1+AS_Wage)/(1+Slot16_Rate))^(Slot16_Age-D40))/(1-(1+AS_Wage)/(1+Slot16_Rate))),1)</f>
        <v>1</v>
      </c>
      <c r="MW40" s="20" t="n">
        <f aca="false">IF(AND(HU40=1,IE40&gt;0,Slot16_IsWG=1,FR40=1),MAX(0,(Slot16_Cost-FS40*(1+Slot16_Rate)^(Slot16_Age-D40))/MV40),0)</f>
        <v>0</v>
      </c>
      <c r="MX40" s="20" t="n">
        <f aca="false">IF(AND(HU40=1,IE40&gt;0,Slot16_IsWG=1,FR40=1),MIN(IE40,MW40),0)</f>
        <v>0</v>
      </c>
      <c r="MY40" s="20" t="n">
        <f aca="false">FS40+MX40</f>
        <v>0</v>
      </c>
      <c r="MZ40" s="20" t="n">
        <f aca="false">IF(FR40=1,MAX(0,(Slot16_Cost-MY40*(1+Slot16_Rate)^(Slot16_Age-D40))/MV40),0)</f>
        <v>0</v>
      </c>
      <c r="NA40" s="20" t="n">
        <f aca="false">IF(FR40=1,MAX(0,(Slot16_Cost-FS40*(1+Slot16_Rate)^(Slot16_Age-D40))/MV40),0)</f>
        <v>0</v>
      </c>
      <c r="NB40" s="20" t="n">
        <f aca="false">IF(AND(HU40=1,FR40=1),MIN(MU40,MZ40),0)</f>
        <v>0</v>
      </c>
      <c r="NC40" s="20" t="n">
        <f aca="false">MU40-NB40</f>
        <v>0</v>
      </c>
      <c r="ND40" s="20" t="n">
        <f aca="false">IF(GB40=1,IF(ABS((1+AS_Wage)/(1+Slot17_Rate)-1)&lt;0.000000000001,(Slot17_Age-D40)*(1+Slot17_Rate)^(Slot17_Age-D40),(1+Slot17_Rate)^(Slot17_Age-D40)*(1-((1+AS_Wage)/(1+Slot17_Rate))^(Slot17_Age-D40))/(1-(1+AS_Wage)/(1+Slot17_Rate))),1)</f>
        <v>1</v>
      </c>
      <c r="NE40" s="20" t="n">
        <f aca="false">IF(AND(HU40=1,IE40&gt;0,Slot17_IsWG=1,GB40=1),MAX(0,(Slot17_Cost-GC40*(1+Slot17_Rate)^(Slot17_Age-D40))/ND40),0)</f>
        <v>0</v>
      </c>
      <c r="NF40" s="20" t="n">
        <f aca="false">IF(AND(HU40=1,IE40&gt;0,Slot17_IsWG=1,GB40=1),MIN(IE40,NE40),0)</f>
        <v>0</v>
      </c>
      <c r="NG40" s="20" t="n">
        <f aca="false">GC40+NF40</f>
        <v>0</v>
      </c>
      <c r="NH40" s="20" t="n">
        <f aca="false">IF(GB40=1,MAX(0,(Slot17_Cost-NG40*(1+Slot17_Rate)^(Slot17_Age-D40))/ND40),0)</f>
        <v>0</v>
      </c>
      <c r="NI40" s="20" t="n">
        <f aca="false">IF(GB40=1,MAX(0,(Slot17_Cost-GC40*(1+Slot17_Rate)^(Slot17_Age-D40))/ND40),0)</f>
        <v>0</v>
      </c>
      <c r="NJ40" s="20" t="n">
        <f aca="false">IF(AND(HU40=1,GB40=1),MIN(NC40,NH40),0)</f>
        <v>0</v>
      </c>
      <c r="NK40" s="20" t="n">
        <f aca="false">NC40-NJ40</f>
        <v>0</v>
      </c>
      <c r="NL40" s="20" t="n">
        <f aca="false">IF(GL40=1,IF(ABS((1+AS_Wage)/(1+Slot18_Rate)-1)&lt;0.000000000001,(Slot18_Age-D40)*(1+Slot18_Rate)^(Slot18_Age-D40),(1+Slot18_Rate)^(Slot18_Age-D40)*(1-((1+AS_Wage)/(1+Slot18_Rate))^(Slot18_Age-D40))/(1-(1+AS_Wage)/(1+Slot18_Rate))),1)</f>
        <v>1</v>
      </c>
      <c r="NM40" s="20" t="n">
        <f aca="false">IF(AND(HU40=1,IE40&gt;0,Slot18_IsWG=1,GL40=1),MAX(0,(Slot18_Cost-GM40*(1+Slot18_Rate)^(Slot18_Age-D40))/NL40),0)</f>
        <v>0</v>
      </c>
      <c r="NN40" s="20" t="n">
        <f aca="false">IF(AND(HU40=1,IE40&gt;0,Slot18_IsWG=1,GL40=1),MIN(IE40,NM40),0)</f>
        <v>0</v>
      </c>
      <c r="NO40" s="20" t="n">
        <f aca="false">GM40+NN40</f>
        <v>0</v>
      </c>
      <c r="NP40" s="20" t="n">
        <f aca="false">IF(GL40=1,MAX(0,(Slot18_Cost-NO40*(1+Slot18_Rate)^(Slot18_Age-D40))/NL40),0)</f>
        <v>0</v>
      </c>
      <c r="NQ40" s="20" t="n">
        <f aca="false">IF(GL40=1,MAX(0,(Slot18_Cost-GM40*(1+Slot18_Rate)^(Slot18_Age-D40))/NL40),0)</f>
        <v>0</v>
      </c>
      <c r="NR40" s="20" t="n">
        <f aca="false">IF(AND(HU40=1,GL40=1),MIN(NK40,NP40),0)</f>
        <v>0</v>
      </c>
      <c r="NS40" s="20" t="n">
        <f aca="false">NK40-NR40</f>
        <v>0</v>
      </c>
      <c r="NT40" s="20" t="n">
        <f aca="false">IF(GV40=1,IF(ABS((1+AS_Wage)/(1+Slot19_Rate)-1)&lt;0.000000000001,(Slot19_Age-D40)*(1+Slot19_Rate)^(Slot19_Age-D40),(1+Slot19_Rate)^(Slot19_Age-D40)*(1-((1+AS_Wage)/(1+Slot19_Rate))^(Slot19_Age-D40))/(1-(1+AS_Wage)/(1+Slot19_Rate))),1)</f>
        <v>1</v>
      </c>
      <c r="NU40" s="20" t="n">
        <f aca="false">IF(AND(HU40=1,IE40&gt;0,Slot19_IsWG=1,GV40=1),MAX(0,(Slot19_Cost-GW40*(1+Slot19_Rate)^(Slot19_Age-D40))/NT40),0)</f>
        <v>0</v>
      </c>
      <c r="NV40" s="20" t="n">
        <f aca="false">IF(AND(HU40=1,IE40&gt;0,Slot19_IsWG=1,GV40=1),MIN(IE40,NU40),0)</f>
        <v>0</v>
      </c>
      <c r="NW40" s="20" t="n">
        <f aca="false">GW40+NV40</f>
        <v>0</v>
      </c>
      <c r="NX40" s="20" t="n">
        <f aca="false">IF(GV40=1,MAX(0,(Slot19_Cost-NW40*(1+Slot19_Rate)^(Slot19_Age-D40))/NT40),0)</f>
        <v>0</v>
      </c>
      <c r="NY40" s="20" t="n">
        <f aca="false">IF(GV40=1,MAX(0,(Slot19_Cost-GW40*(1+Slot19_Rate)^(Slot19_Age-D40))/NT40),0)</f>
        <v>0</v>
      </c>
      <c r="NZ40" s="20" t="n">
        <f aca="false">IF(AND(HU40=1,GV40=1),MIN(NS40,NX40),0)</f>
        <v>0</v>
      </c>
      <c r="OA40" s="20" t="n">
        <f aca="false">NS40-NZ40</f>
        <v>0</v>
      </c>
      <c r="OB40" s="20" t="n">
        <f aca="false">IF(HF40=1,IF(ABS((1+AS_Wage)/(1+Slot20_Rate)-1)&lt;0.000000000001,(Slot20_Age-D40)*(1+Slot20_Rate)^(Slot20_Age-D40),(1+Slot20_Rate)^(Slot20_Age-D40)*(1-((1+AS_Wage)/(1+Slot20_Rate))^(Slot20_Age-D40))/(1-(1+AS_Wage)/(1+Slot20_Rate))),1)</f>
        <v>1</v>
      </c>
      <c r="OC40" s="20" t="n">
        <f aca="false">IF(AND(HU40=1,IE40&gt;0,Slot20_IsWG=1,HF40=1),MAX(0,(Slot20_Cost-HG40*(1+Slot20_Rate)^(Slot20_Age-D40))/OB40),0)</f>
        <v>0</v>
      </c>
      <c r="OD40" s="20" t="n">
        <f aca="false">IF(AND(HU40=1,IE40&gt;0,Slot20_IsWG=1,HF40=1),MIN(IE40,OC40),0)</f>
        <v>0</v>
      </c>
      <c r="OE40" s="20" t="n">
        <f aca="false">HG40+OD40</f>
        <v>0</v>
      </c>
      <c r="OF40" s="20" t="n">
        <f aca="false">IF(HF40=1,MAX(0,(Slot20_Cost-OE40*(1+Slot20_Rate)^(Slot20_Age-D40))/OB40),0)</f>
        <v>0</v>
      </c>
      <c r="OG40" s="20" t="n">
        <f aca="false">IF(HF40=1,MAX(0,(Slot20_Cost-HG40*(1+Slot20_Rate)^(Slot20_Age-D40))/OB40),0)</f>
        <v>0</v>
      </c>
      <c r="OH40" s="20" t="n">
        <f aca="false">IF(AND(HU40=1,HF40=1),MIN(OA40,OF40),0)</f>
        <v>0</v>
      </c>
      <c r="OI40" s="20" t="n">
        <f aca="false">OA40-OH40</f>
        <v>0</v>
      </c>
      <c r="OJ40" s="20" t="n">
        <f aca="false">IE40-(IH40+IP40+IX40+JF40+JN40+JV40+KD40+KL40+KT40+LB40+LJ40+LR40+LZ40+MH40+MP40+MX40+NF40+NN40+NV40+OD40)</f>
        <v>0</v>
      </c>
      <c r="OK40" s="20" t="n">
        <f aca="false">IF(HU40=1,HS40-ID40-IE40,0)</f>
        <v>0</v>
      </c>
      <c r="OL40" s="20" t="n">
        <f aca="false">IF(HU40=0,-HS40,0)</f>
        <v>21805.942156815</v>
      </c>
      <c r="OM40" s="20" t="n">
        <f aca="false">MIN(OL40,HK40)</f>
        <v>21805.942156815</v>
      </c>
      <c r="ON40" s="20" t="n">
        <f aca="false">OL40-OM40</f>
        <v>0</v>
      </c>
      <c r="OO40" s="20" t="n">
        <f aca="false">MIN(ON40,HL40)</f>
        <v>0</v>
      </c>
      <c r="OP40" s="20" t="n">
        <f aca="false">ON40-OO40</f>
        <v>0</v>
      </c>
      <c r="OQ40" s="20" t="n">
        <f aca="false">IF(AND(HU40=0,HF40=1,OP40&gt;0),MIN(OP40,HG40),0)</f>
        <v>0</v>
      </c>
      <c r="OR40" s="20" t="n">
        <f aca="false">OP40-OQ40</f>
        <v>0</v>
      </c>
      <c r="OS40" s="20" t="n">
        <f aca="false">IF(AND(HU40=0,GV40=1,OR40&gt;0),MIN(OR40,GW40),0)</f>
        <v>0</v>
      </c>
      <c r="OT40" s="20" t="n">
        <f aca="false">OR40-OS40</f>
        <v>0</v>
      </c>
      <c r="OU40" s="20" t="n">
        <f aca="false">IF(AND(HU40=0,GL40=1,OT40&gt;0),MIN(OT40,GM40),0)</f>
        <v>0</v>
      </c>
      <c r="OV40" s="20" t="n">
        <f aca="false">OT40-OU40</f>
        <v>0</v>
      </c>
      <c r="OW40" s="20" t="n">
        <f aca="false">IF(AND(HU40=0,GB40=1,OV40&gt;0),MIN(OV40,GC40),0)</f>
        <v>0</v>
      </c>
      <c r="OX40" s="20" t="n">
        <f aca="false">OV40-OW40</f>
        <v>0</v>
      </c>
      <c r="OY40" s="20" t="n">
        <f aca="false">IF(AND(HU40=0,FR40=1,OX40&gt;0),MIN(OX40,FS40),0)</f>
        <v>0</v>
      </c>
      <c r="OZ40" s="20" t="n">
        <f aca="false">OX40-OY40</f>
        <v>0</v>
      </c>
      <c r="PA40" s="20" t="n">
        <f aca="false">IF(AND(HU40=0,FH40=1,OZ40&gt;0),MIN(OZ40,FI40),0)</f>
        <v>0</v>
      </c>
      <c r="PB40" s="20" t="n">
        <f aca="false">OZ40-PA40</f>
        <v>0</v>
      </c>
      <c r="PC40" s="20" t="n">
        <f aca="false">IF(AND(HU40=0,EX40=1,PB40&gt;0),MIN(PB40,EY40),0)</f>
        <v>0</v>
      </c>
      <c r="PD40" s="20" t="n">
        <f aca="false">PB40-PC40</f>
        <v>0</v>
      </c>
      <c r="PE40" s="20" t="n">
        <f aca="false">IF(AND(HU40=0,EN40=1,PD40&gt;0),MIN(PD40,EO40),0)</f>
        <v>0</v>
      </c>
      <c r="PF40" s="20" t="n">
        <f aca="false">PD40-PE40</f>
        <v>0</v>
      </c>
      <c r="PG40" s="20" t="n">
        <f aca="false">IF(AND(HU40=0,ED40=1,PF40&gt;0),MIN(PF40,EE40),0)</f>
        <v>0</v>
      </c>
      <c r="PH40" s="20" t="n">
        <f aca="false">PF40-PG40</f>
        <v>0</v>
      </c>
      <c r="PI40" s="20" t="n">
        <f aca="false">IF(AND(HU40=0,DT40=1,PH40&gt;0),MIN(PH40,DU40),0)</f>
        <v>0</v>
      </c>
      <c r="PJ40" s="20" t="n">
        <f aca="false">PH40-PI40</f>
        <v>0</v>
      </c>
      <c r="PK40" s="20" t="n">
        <f aca="false">IF(AND(HU40=0,DJ40=1,PJ40&gt;0),MIN(PJ40,DK40),0)</f>
        <v>0</v>
      </c>
      <c r="PL40" s="20" t="n">
        <f aca="false">PJ40-PK40</f>
        <v>0</v>
      </c>
      <c r="PM40" s="20" t="n">
        <f aca="false">IF(AND(HU40=0,CZ40=1,PL40&gt;0),MIN(PL40,DA40),0)</f>
        <v>0</v>
      </c>
      <c r="PN40" s="20" t="n">
        <f aca="false">PL40-PM40</f>
        <v>0</v>
      </c>
      <c r="PO40" s="20" t="n">
        <f aca="false">IF(AND(HU40=0,CP40=1,PN40&gt;0),MIN(PN40,CQ40),0)</f>
        <v>0</v>
      </c>
      <c r="PP40" s="20" t="n">
        <f aca="false">PN40-PO40</f>
        <v>0</v>
      </c>
      <c r="PQ40" s="20" t="n">
        <f aca="false">IF(AND(HU40=0,CF40=1,PP40&gt;0),MIN(PP40,CG40),0)</f>
        <v>0</v>
      </c>
      <c r="PR40" s="20" t="n">
        <f aca="false">PP40-PQ40</f>
        <v>0</v>
      </c>
      <c r="PS40" s="20" t="n">
        <f aca="false">IF(AND(HU40=0,BV40=1,PR40&gt;0),MIN(PR40,BW40),0)</f>
        <v>0</v>
      </c>
      <c r="PT40" s="20" t="n">
        <f aca="false">PR40-PS40</f>
        <v>0</v>
      </c>
      <c r="PU40" s="20" t="n">
        <f aca="false">IF(AND(HU40=0,BL40=1,PT40&gt;0),MIN(PT40,BM40),0)</f>
        <v>0</v>
      </c>
      <c r="PV40" s="20" t="n">
        <f aca="false">PT40-PU40</f>
        <v>0</v>
      </c>
      <c r="PW40" s="20" t="n">
        <f aca="false">IF(AND(HU40=0,BB40=1,PV40&gt;0),MIN(PV40,BC40),0)</f>
        <v>0</v>
      </c>
      <c r="PX40" s="20" t="n">
        <f aca="false">PV40-PW40</f>
        <v>0</v>
      </c>
      <c r="PY40" s="20" t="n">
        <f aca="false">IF(AND(HU40=0,AR40=1,PX40&gt;0),MIN(PX40,AS40),0)</f>
        <v>0</v>
      </c>
      <c r="PZ40" s="20" t="n">
        <f aca="false">PX40-PY40</f>
        <v>0</v>
      </c>
      <c r="QA40" s="20" t="n">
        <f aca="false">IF(AND(HU40=0,AH40=1,PZ40&gt;0),MIN(PZ40,AI40),0)</f>
        <v>0</v>
      </c>
      <c r="QB40" s="20" t="n">
        <f aca="false">PZ40-QA40</f>
        <v>0</v>
      </c>
      <c r="QC40" s="20" t="n">
        <f aca="false">IF(AND(HU40=0,W40=1,QB40&gt;0),MIN(QB40,X40),0)</f>
        <v>0</v>
      </c>
      <c r="QD40" s="20" t="n">
        <f aca="false">QB40-QC40</f>
        <v>0</v>
      </c>
      <c r="QE40" s="20" t="n">
        <f aca="false">IF(HU40=0,QD40,0)</f>
        <v>0</v>
      </c>
      <c r="QF40" s="20" t="n">
        <f aca="false">OM40+OO40+QC40+QA40+PY40+PW40+PU40+PS40+PQ40+PO40+PM40+PK40+PI40+PG40+PE40+PC40+PA40+OY40+OW40+OU40+OS40+OQ40</f>
        <v>21805.942156815</v>
      </c>
      <c r="QG40" s="20" t="n">
        <f aca="false">IF(HU40=1,HK40+OJ40+OI40+IF(G40=1,0,OK40),HK40-OM40)</f>
        <v>128831.112465507</v>
      </c>
      <c r="QH40" s="20" t="n">
        <f aca="false">HL40-OO40</f>
        <v>15336.4200497187</v>
      </c>
      <c r="QI40" s="20" t="n">
        <f aca="false">IF(HU40=1,IF(G40=1,ID40+IE40,HS40),0)</f>
        <v>0</v>
      </c>
      <c r="QJ40" s="20" t="n">
        <f aca="false">IF(HU40=1,IF(G40=1,HS40-ID40-IE40,0),0)</f>
        <v>0</v>
      </c>
      <c r="QK40" s="57" t="n">
        <f aca="false">'Plan holdings'!BM40</f>
        <v>134894.041556104</v>
      </c>
      <c r="QL40" s="20" t="n">
        <f aca="false">QH40*(1+AS_Cash)</f>
        <v>15489.7842502159</v>
      </c>
      <c r="QM40" s="20" t="n">
        <f aca="false">IF(W40=1,IF(HU40=1,II40+IL40,X40-QC40)*(1+Slot1_Rate),0)</f>
        <v>0</v>
      </c>
      <c r="QN40" s="20" t="n">
        <f aca="false">IF(AND(HU40=1,W40=1),(IH40+IL40)/F40,0)</f>
        <v>0</v>
      </c>
      <c r="QO40" s="20" t="n">
        <f aca="false">IF(B40=0,IH40+IL40,0)</f>
        <v>0</v>
      </c>
      <c r="QP40" s="20" t="n">
        <f aca="false">IF(B40=0,IF(HU40=1,IJ40,IK40),0)</f>
        <v>0</v>
      </c>
      <c r="QQ40" s="20" t="n">
        <f aca="false">IF(AH40=1,IF(HU40=1,IQ40+IT40,AI40-QA40)*(1+Slot2_Rate),0)</f>
        <v>0</v>
      </c>
      <c r="QR40" s="20" t="n">
        <f aca="false">IF(AND(HU40=1,AH40=1),(IP40+IT40)/F40,0)</f>
        <v>0</v>
      </c>
      <c r="QS40" s="20" t="n">
        <f aca="false">IF(B40=0,IP40+IT40,0)</f>
        <v>0</v>
      </c>
      <c r="QT40" s="20" t="n">
        <f aca="false">IF(B40=0,IF(HU40=1,IR40,IS40),0)</f>
        <v>0</v>
      </c>
      <c r="QU40" s="20" t="n">
        <f aca="false">IF(AR40=1,IF(HU40=1,IY40+JB40,AS40-PY40)*(1+Slot3_Rate),0)</f>
        <v>0</v>
      </c>
      <c r="QV40" s="20" t="n">
        <f aca="false">IF(AND(HU40=1,AR40=1),(IX40+JB40)/F40,0)</f>
        <v>0</v>
      </c>
      <c r="QW40" s="20" t="n">
        <f aca="false">IF(B40=0,IX40+JB40,0)</f>
        <v>0</v>
      </c>
      <c r="QX40" s="20" t="n">
        <f aca="false">IF(B40=0,IF(HU40=1,IZ40,JA40),0)</f>
        <v>0</v>
      </c>
      <c r="QY40" s="20" t="n">
        <f aca="false">IF(BB40=1,IF(HU40=1,JG40+JJ40,BC40-PW40)*(1+Slot4_Rate),0)</f>
        <v>0</v>
      </c>
      <c r="QZ40" s="20" t="n">
        <f aca="false">IF(AND(HU40=1,BB40=1),(JF40+JJ40)/F40,0)</f>
        <v>0</v>
      </c>
      <c r="RA40" s="20" t="n">
        <f aca="false">IF(B40=0,JF40+JJ40,0)</f>
        <v>0</v>
      </c>
      <c r="RB40" s="20" t="n">
        <f aca="false">IF(B40=0,IF(HU40=1,JH40,JI40),0)</f>
        <v>0</v>
      </c>
      <c r="RC40" s="20" t="n">
        <f aca="false">IF(BL40=1,IF(HU40=1,JO40+JR40,BM40-PU40)*(1+Slot5_Rate),0)</f>
        <v>0</v>
      </c>
      <c r="RD40" s="20" t="n">
        <f aca="false">IF(AND(HU40=1,BL40=1),(JN40+JR40)/F40,0)</f>
        <v>0</v>
      </c>
      <c r="RE40" s="20" t="n">
        <f aca="false">IF(B40=0,JN40+JR40,0)</f>
        <v>0</v>
      </c>
      <c r="RF40" s="20" t="n">
        <f aca="false">IF(B40=0,IF(HU40=1,JP40,JQ40),0)</f>
        <v>0</v>
      </c>
      <c r="RG40" s="20" t="n">
        <f aca="false">IF(BV40=1,IF(HU40=1,JW40+JZ40,BW40-PS40)*(1+Slot6_Rate),0)</f>
        <v>0</v>
      </c>
      <c r="RH40" s="20" t="n">
        <f aca="false">IF(AND(HU40=1,BV40=1),(JV40+JZ40)/F40,0)</f>
        <v>0</v>
      </c>
      <c r="RI40" s="20" t="n">
        <f aca="false">IF(B40=0,JV40+JZ40,0)</f>
        <v>0</v>
      </c>
      <c r="RJ40" s="20" t="n">
        <f aca="false">IF(B40=0,IF(HU40=1,JX40,JY40),0)</f>
        <v>0</v>
      </c>
      <c r="RK40" s="20" t="n">
        <f aca="false">IF(CF40=1,IF(HU40=1,KE40+KH40,CG40-PQ40)*(1+Slot7_Rate),0)</f>
        <v>0</v>
      </c>
      <c r="RL40" s="20" t="n">
        <f aca="false">IF(AND(HU40=1,CF40=1),(KD40+KH40)/F40,0)</f>
        <v>0</v>
      </c>
      <c r="RM40" s="20" t="n">
        <f aca="false">IF(B40=0,KD40+KH40,0)</f>
        <v>0</v>
      </c>
      <c r="RN40" s="20" t="n">
        <f aca="false">IF(B40=0,IF(HU40=1,KF40,KG40),0)</f>
        <v>0</v>
      </c>
      <c r="RO40" s="20" t="n">
        <f aca="false">IF(CP40=1,IF(HU40=1,KM40+KP40,CQ40-PO40)*(1+Slot8_Rate),0)</f>
        <v>0</v>
      </c>
      <c r="RP40" s="20" t="n">
        <f aca="false">IF(AND(HU40=1,CP40=1),(KL40+KP40)/F40,0)</f>
        <v>0</v>
      </c>
      <c r="RQ40" s="20" t="n">
        <f aca="false">IF(B40=0,KL40+KP40,0)</f>
        <v>0</v>
      </c>
      <c r="RR40" s="20" t="n">
        <f aca="false">IF(B40=0,IF(HU40=1,KN40,KO40),0)</f>
        <v>0</v>
      </c>
      <c r="RS40" s="20" t="n">
        <f aca="false">IF(CZ40=1,IF(HU40=1,KU40+KX40,DA40-PM40)*(1+Slot9_Rate),0)</f>
        <v>0</v>
      </c>
      <c r="RT40" s="20" t="n">
        <f aca="false">IF(AND(HU40=1,CZ40=1),(KT40+KX40)/F40,0)</f>
        <v>0</v>
      </c>
      <c r="RU40" s="20" t="n">
        <f aca="false">IF(B40=0,KT40+KX40,0)</f>
        <v>0</v>
      </c>
      <c r="RV40" s="20" t="n">
        <f aca="false">IF(B40=0,IF(HU40=1,KV40,KW40),0)</f>
        <v>0</v>
      </c>
      <c r="RW40" s="20" t="n">
        <f aca="false">IF(DJ40=1,IF(HU40=1,LC40+LF40,DK40-PK40)*(1+Slot10_Rate),0)</f>
        <v>0</v>
      </c>
      <c r="RX40" s="20" t="n">
        <f aca="false">IF(AND(HU40=1,DJ40=1),(LB40+LF40)/F40,0)</f>
        <v>0</v>
      </c>
      <c r="RY40" s="20" t="n">
        <f aca="false">IF(B40=0,LB40+LF40,0)</f>
        <v>0</v>
      </c>
      <c r="RZ40" s="20" t="n">
        <f aca="false">IF(B40=0,IF(HU40=1,LD40,LE40),0)</f>
        <v>0</v>
      </c>
      <c r="SA40" s="20" t="n">
        <f aca="false">IF(DT40=1,IF(HU40=1,LK40+LN40,DU40-PI40)*(1+Slot11_Rate),0)</f>
        <v>0</v>
      </c>
      <c r="SB40" s="20" t="n">
        <f aca="false">IF(AND(HU40=1,DT40=1),(LJ40+LN40)/F40,0)</f>
        <v>0</v>
      </c>
      <c r="SC40" s="20" t="n">
        <f aca="false">IF(B40=0,LJ40+LN40,0)</f>
        <v>0</v>
      </c>
      <c r="SD40" s="20" t="n">
        <f aca="false">IF(B40=0,IF(HU40=1,LL40,LM40),0)</f>
        <v>0</v>
      </c>
      <c r="SE40" s="20" t="n">
        <f aca="false">IF(ED40=1,IF(HU40=1,LS40+LV40,EE40-PG40)*(1+Slot12_Rate),0)</f>
        <v>0</v>
      </c>
      <c r="SF40" s="20" t="n">
        <f aca="false">IF(AND(HU40=1,ED40=1),(LR40+LV40)/F40,0)</f>
        <v>0</v>
      </c>
      <c r="SG40" s="20" t="n">
        <f aca="false">IF(B40=0,LR40+LV40,0)</f>
        <v>0</v>
      </c>
      <c r="SH40" s="20" t="n">
        <f aca="false">IF(B40=0,IF(HU40=1,LT40,LU40),0)</f>
        <v>0</v>
      </c>
      <c r="SI40" s="20" t="n">
        <f aca="false">IF(EN40=1,IF(HU40=1,MA40+MD40,EO40-PE40)*(1+Slot13_Rate),0)</f>
        <v>0</v>
      </c>
      <c r="SJ40" s="20" t="n">
        <f aca="false">IF(AND(HU40=1,EN40=1),(LZ40+MD40)/F40,0)</f>
        <v>0</v>
      </c>
      <c r="SK40" s="20" t="n">
        <f aca="false">IF(B40=0,LZ40+MD40,0)</f>
        <v>0</v>
      </c>
      <c r="SL40" s="20" t="n">
        <f aca="false">IF(B40=0,IF(HU40=1,MB40,MC40),0)</f>
        <v>0</v>
      </c>
      <c r="SM40" s="20" t="n">
        <f aca="false">IF(EX40=1,IF(HU40=1,MI40+ML40,EY40-PC40)*(1+Slot14_Rate),0)</f>
        <v>0</v>
      </c>
      <c r="SN40" s="20" t="n">
        <f aca="false">IF(AND(HU40=1,EX40=1),(MH40+ML40)/F40,0)</f>
        <v>0</v>
      </c>
      <c r="SO40" s="20" t="n">
        <f aca="false">IF(B40=0,MH40+ML40,0)</f>
        <v>0</v>
      </c>
      <c r="SP40" s="20" t="n">
        <f aca="false">IF(B40=0,IF(HU40=1,MJ40,MK40),0)</f>
        <v>0</v>
      </c>
      <c r="SQ40" s="20" t="n">
        <f aca="false">IF(FH40=1,IF(HU40=1,MQ40+MT40,FI40-PA40)*(1+Slot15_Rate),0)</f>
        <v>0</v>
      </c>
      <c r="SR40" s="20" t="n">
        <f aca="false">IF(AND(HU40=1,FH40=1),(MP40+MT40)/F40,0)</f>
        <v>0</v>
      </c>
      <c r="SS40" s="20" t="n">
        <f aca="false">IF(B40=0,MP40+MT40,0)</f>
        <v>0</v>
      </c>
      <c r="ST40" s="20" t="n">
        <f aca="false">IF(B40=0,IF(HU40=1,MR40,MS40),0)</f>
        <v>0</v>
      </c>
      <c r="SU40" s="20" t="n">
        <f aca="false">IF(FR40=1,IF(HU40=1,MY40+NB40,FS40-OY40)*(1+Slot16_Rate),0)</f>
        <v>0</v>
      </c>
      <c r="SV40" s="20" t="n">
        <f aca="false">IF(AND(HU40=1,FR40=1),(MX40+NB40)/F40,0)</f>
        <v>0</v>
      </c>
      <c r="SW40" s="20" t="n">
        <f aca="false">IF(B40=0,MX40+NB40,0)</f>
        <v>0</v>
      </c>
      <c r="SX40" s="20" t="n">
        <f aca="false">IF(B40=0,IF(HU40=1,MZ40,NA40),0)</f>
        <v>0</v>
      </c>
      <c r="SY40" s="20" t="n">
        <f aca="false">IF(GB40=1,IF(HU40=1,NG40+NJ40,GC40-OW40)*(1+Slot17_Rate),0)</f>
        <v>0</v>
      </c>
      <c r="SZ40" s="20" t="n">
        <f aca="false">IF(AND(HU40=1,GB40=1),(NF40+NJ40)/F40,0)</f>
        <v>0</v>
      </c>
      <c r="TA40" s="20" t="n">
        <f aca="false">IF(B40=0,NF40+NJ40,0)</f>
        <v>0</v>
      </c>
      <c r="TB40" s="20" t="n">
        <f aca="false">IF(B40=0,IF(HU40=1,NH40,NI40),0)</f>
        <v>0</v>
      </c>
      <c r="TC40" s="20" t="n">
        <f aca="false">IF(GL40=1,IF(HU40=1,NO40+NR40,GM40-OU40)*(1+Slot18_Rate),0)</f>
        <v>0</v>
      </c>
      <c r="TD40" s="20" t="n">
        <f aca="false">IF(AND(HU40=1,GL40=1),(NN40+NR40)/F40,0)</f>
        <v>0</v>
      </c>
      <c r="TE40" s="20" t="n">
        <f aca="false">IF(B40=0,NN40+NR40,0)</f>
        <v>0</v>
      </c>
      <c r="TF40" s="20" t="n">
        <f aca="false">IF(B40=0,IF(HU40=1,NP40,NQ40),0)</f>
        <v>0</v>
      </c>
      <c r="TG40" s="20" t="n">
        <f aca="false">IF(GV40=1,IF(HU40=1,NW40+NZ40,GW40-OS40)*(1+Slot19_Rate),0)</f>
        <v>0</v>
      </c>
      <c r="TH40" s="20" t="n">
        <f aca="false">IF(AND(HU40=1,GV40=1),(NV40+NZ40)/F40,0)</f>
        <v>0</v>
      </c>
      <c r="TI40" s="20" t="n">
        <f aca="false">IF(B40=0,NV40+NZ40,0)</f>
        <v>0</v>
      </c>
      <c r="TJ40" s="20" t="n">
        <f aca="false">IF(B40=0,IF(HU40=1,NX40,NY40),0)</f>
        <v>0</v>
      </c>
      <c r="TK40" s="20" t="n">
        <f aca="false">IF(HF40=1,IF(HU40=1,OE40+OH40,HG40-OQ40)*(1+Slot20_Rate),0)</f>
        <v>0</v>
      </c>
      <c r="TL40" s="20" t="n">
        <f aca="false">IF(AND(HU40=1,HF40=1),(OD40+OH40)/F40,0)</f>
        <v>0</v>
      </c>
      <c r="TM40" s="20" t="n">
        <f aca="false">IF(B40=0,OD40+OH40,0)</f>
        <v>0</v>
      </c>
      <c r="TN40" s="20" t="n">
        <f aca="false">IF(B40=0,IF(HU40=1,OF40,OG40),0)</f>
        <v>0</v>
      </c>
      <c r="TO40" s="20" t="n">
        <f aca="false">QK40+QL40+QM40+QQ40+QU40+QY40+RC40+RG40+RK40+RO40+RS40+RW40+SA40+SE40+SI40+SM40+SQ40+SU40+SY40+TC40+TG40+TK40</f>
        <v>150383.82580632</v>
      </c>
      <c r="TP40" s="20" t="n">
        <f aca="false">QE40+HP40</f>
        <v>0</v>
      </c>
      <c r="TQ40" s="20" t="n">
        <f aca="false">I40+S40</f>
        <v>90081.040302434</v>
      </c>
      <c r="TR40" s="20" t="n">
        <f aca="false">1-G40</f>
        <v>1</v>
      </c>
      <c r="TS40" s="20" t="n">
        <f aca="false">IF(AND(RG_Exists=1,G40=0,C40=1),I40,0)</f>
        <v>90081.040302434</v>
      </c>
      <c r="TT40" s="20" t="n">
        <f aca="false">IF(AND(RG_Exists=1,G40=0,C40=1),I40-MIN(QE40,I40),0)</f>
        <v>90081.040302434</v>
      </c>
      <c r="TU40" s="20" t="n">
        <f aca="false">'Plan pay &amp; tax'!AD266</f>
        <v>413018.143200218</v>
      </c>
      <c r="TV40" s="20" t="n">
        <f aca="false">IF(AND(C40=1,QE40&gt;MAX(PR_Short1,TQ40*PR_Short2)),1,0)</f>
        <v>0</v>
      </c>
      <c r="TW40" s="20" t="n">
        <f aca="false">MIN(H40,I40+S40)</f>
        <v>68275.0981456191</v>
      </c>
      <c r="TX40" s="20" t="n">
        <f aca="false">QF40+MAX(0,HQ40-HP40)</f>
        <v>21805.942156815</v>
      </c>
      <c r="TY40" s="20" t="n">
        <f aca="false">QE40+HP40</f>
        <v>0</v>
      </c>
      <c r="TZ40" s="20" t="n">
        <f aca="false">IF(AND(C40=1,TY40&gt;PR_MinShort),1,0)</f>
        <v>0</v>
      </c>
      <c r="UA40" s="20" t="n">
        <f aca="false">IF(AND(C40=1,TZ40=0,TX40&gt;PR_MinShort),1,0)</f>
        <v>1</v>
      </c>
      <c r="UB40" s="20" t="n">
        <f aca="false">IF(AND(C40=1,QE40&gt;PR_MinShort),1,0)</f>
        <v>0</v>
      </c>
      <c r="UC40" s="20" t="n">
        <f aca="false">IF(AND(C40=1,QF40&gt;1,UJ40=0),1,0)</f>
        <v>1</v>
      </c>
      <c r="UD40" s="20" t="str">
        <f aca="false">IF(C40=0,"",IF(UJ40=1,"Gap to plan for: short "&amp;"€"&amp;TEXT(ROUND(TP40,0),"#,##0"),IF(QF40&gt;1,"Using savings","Comfortable")))</f>
        <v>Using savings</v>
      </c>
      <c r="UE40" s="20" t="n">
        <f aca="false">IF(AND(INT(D40/10)*10=90,B40&gt;0),80,INT(D40/10)*10)</f>
        <v>70</v>
      </c>
      <c r="UF40" s="20" t="n">
        <f aca="false">IF(B40=0,1,IF(UE40&lt;&gt;UE39,UF39+1,UF39))</f>
        <v>5</v>
      </c>
      <c r="UG40" s="20" t="n">
        <f aca="false">IF(AND(C40=1,G40=1,QE40&gt;MAX(PR_Short1,TQ40*PR_Short2)),1,0)</f>
        <v>0</v>
      </c>
      <c r="UH40" s="20" t="n">
        <f aca="false">TR40*TV40</f>
        <v>0</v>
      </c>
      <c r="UI40" s="20" t="n">
        <f aca="false">IF(AND(V40=1,Slot1_PctLow=1),1,0)+IF(AND(AG40=1,Slot2_PctLow=1),1,0)+IF(AND(AQ40=1,Slot3_PctLow=1),1,0)+IF(AND(BA40=1,Slot4_PctLow=1),1,0)+IF(AND(BK40=1,Slot5_PctLow=1),1,0)+IF(AND(BU40=1,Slot6_PctLow=1),1,0)+IF(AND(CE40=1,Slot7_PctLow=1),1,0)+IF(AND(CO40=1,Slot8_PctLow=1),1,0)+IF(AND(CY40=1,Slot9_PctLow=1),1,0)+IF(AND(DI40=1,Slot10_PctLow=1),1,0)+IF(AND(DS40=1,Slot11_PctLow=1),1,0)+IF(AND(EC40=1,Slot12_PctLow=1),1,0)+IF(AND(EM40=1,Slot13_PctLow=1),1,0)+IF(AND(EW40=1,Slot14_PctLow=1),1,0)+IF(AND(FG40=1,Slot15_PctLow=1),1,0)+IF(AND(FQ40=1,Slot16_PctLow=1),1,0)+IF(AND(GA40=1,Slot17_PctLow=1),1,0)+IF(AND(GK40=1,Slot18_PctLow=1),1,0)+IF(AND(GU40=1,Slot19_PctLow=1),1,0)+IF(AND(HE40=1,Slot20_PctLow=1),1,0)</f>
        <v>0</v>
      </c>
      <c r="UJ40" s="20" t="n">
        <f aca="false">IF(C40=1,IF(OR(TV40=1,UI40&gt;0),1,0),0)</f>
        <v>0</v>
      </c>
      <c r="UK40" s="20" t="n">
        <f aca="false">Z40+AK40+AU40+BE40+BO40+BY40+CI40+CS40+DC40+DM40+DW40+EG40+EQ40+FA40+FK40+FU40+GE40+GO40+GY40+HI40+OM40</f>
        <v>21805.942156815</v>
      </c>
      <c r="UL40" s="20" t="n">
        <f aca="false">V40*IF(Slot1_SpendLike=1,X40-Y40,IF(Slot1_PotFree=1,X40,0))+AG40*IF(Slot2_SpendLike=1,AI40-AJ40,IF(Slot2_PotFree=1,AI40,0))+AQ40*IF(Slot3_SpendLike=1,AS40-AT40,IF(Slot3_PotFree=1,AS40,0))+BA40*IF(Slot4_SpendLike=1,BC40-BD40,IF(Slot4_PotFree=1,BC40,0))+BK40*IF(Slot5_SpendLike=1,BM40-BN40,IF(Slot5_PotFree=1,BM40,0))+BU40*IF(Slot6_SpendLike=1,BW40-BX40,IF(Slot6_PotFree=1,BW40,0))+CE40*IF(Slot7_SpendLike=1,CG40-CH40,IF(Slot7_PotFree=1,CG40,0))+CO40*IF(Slot8_SpendLike=1,CQ40-CR40,IF(Slot8_PotFree=1,CQ40,0))+CY40*IF(Slot9_SpendLike=1,DA40-DB40,IF(Slot9_PotFree=1,DA40,0))+DI40*IF(Slot10_SpendLike=1,DK40-DL40,IF(Slot10_PotFree=1,DK40,0))+DS40*IF(Slot11_SpendLike=1,DU40-DV40,IF(Slot11_PotFree=1,DU40,0))+EC40*IF(Slot12_SpendLike=1,EE40-EF40,IF(Slot12_PotFree=1,EE40,0))+EM40*IF(Slot13_SpendLike=1,EO40-EP40,IF(Slot13_PotFree=1,EO40,0))+EW40*IF(Slot14_SpendLike=1,EY40-EZ40,IF(Slot14_PotFree=1,EY40,0))+FG40*IF(Slot15_SpendLike=1,FI40-FJ40,IF(Slot15_PotFree=1,FI40,0))+FQ40*IF(Slot16_SpendLike=1,FS40-FT40,IF(Slot16_PotFree=1,FS40,0))+GA40*IF(Slot17_SpendLike=1,GC40-GD40,IF(Slot17_PotFree=1,GC40,0))+GK40*IF(Slot18_SpendLike=1,GM40-GN40,IF(Slot18_PotFree=1,GM40,0))+GU40*IF(Slot19_SpendLike=1,GW40-GX40,IF(Slot19_PotFree=1,GW40,0))+HE40*IF(Slot20_SpendLike=1,HG40-HH40,IF(Slot20_PotFree=1,HG40,0))</f>
        <v>0</v>
      </c>
      <c r="UM40" s="20" t="n">
        <f aca="false">QG40-T40+UK40-UL40</f>
        <v>0</v>
      </c>
      <c r="UN40" s="20" t="n">
        <f aca="false">IF(OR(UN39=1,AND(In_homeUse="Yes, I'd downsize",In_downAge&gt;0,D40=In_downAge,OR(In_home="Own outright",In_home="Own with mortgage"),In_homeValue&gt;0)),1,0)</f>
        <v>0</v>
      </c>
    </row>
    <row r="41" customFormat="false" ht="15" hidden="false" customHeight="true" outlineLevel="0" collapsed="false">
      <c r="B41" s="20" t="n">
        <v>33</v>
      </c>
      <c r="C41" s="20" t="n">
        <f aca="false">IF(B41&lt;=F_N,1,0)</f>
        <v>1</v>
      </c>
      <c r="D41" s="20" t="n">
        <f aca="false">'Plan pay &amp; tax'!C267</f>
        <v>71</v>
      </c>
      <c r="E41" s="20" t="str">
        <f aca="false">IF($C41=1,"Income tax "&amp;TEXT(N('Plan pay &amp; tax'!BK267),"#,##0")&amp;"; USC "&amp;TEXT(N('Plan pay &amp; tax'!BM267)+N('Plan pay &amp; tax'!BO267),"#,##0")&amp;"; PRSI "&amp;TEXT(N('Plan pay &amp; tax'!BP267)+N('Plan pay &amp; tax'!BQ267),"#,##0")&amp;IF(N('Plan holdings'!BO41)&gt;=0.5,"; DIRT "&amp;TEXT(('Plan holdings'!BO41)/$F41,"#,##0")&amp;" (already taken from the interest earned)","")&amp;IF(N('Plan holdings'!BP41)&gt;=0.5,"; exit tax at an 8-year anniversary "&amp;TEXT(('Plan holdings'!BP41)/$F41,"#,##0"),"")&amp;IF(N('Plan holdings'!BN41)&gt;=0.5,"; tax on assets sold (exit tax or capital gains tax) "&amp;TEXT(('Plan holdings'!BN41)/$F41,"#,##0"),"")&amp;IF(N('Plan pay &amp; tax'!X267)-N('Plan pay &amp; tax'!Y267)&gt;=0.5,"; tax on the pension lump sum "&amp;TEXT(('Plan pay &amp; tax'!X267-'Plan pay &amp; tax'!Y267)/$F41,"#,##0"),"")&amp;IF(N('Plan pay &amp; tax'!V267)&gt;=0.5,"; chargeable excess tax on the pension "&amp;TEXT(('Plan pay &amp; tax'!V267)/$F41,"#,##0"),"")&amp;".","")</f>
        <v>Income tax 1,016; USC 0; PRSI 0; DIRT 40 (already taken from the interest earned); exit tax at an 8-year anniversary 307; tax on assets sold (exit tax or capital gains tax) 295.</v>
      </c>
      <c r="F41" s="50" t="n">
        <f aca="false">'Plan pay &amp; tax'!E267</f>
        <v>1.92223140394315</v>
      </c>
      <c r="G41" s="20" t="n">
        <f aca="false">'Plan pay &amp; tax'!G267</f>
        <v>0</v>
      </c>
      <c r="H41" s="20" t="n">
        <f aca="false">'Plan pay &amp; tax'!BT267-'Plan pay &amp; tax'!BS267-'Plan pay &amp; tax'!R267</f>
        <v>72547.5431232029</v>
      </c>
      <c r="I41" s="20" t="n">
        <f aca="false">IF(G41=1,F_CostsM*12,IF(RG_Exists=1,RG_Amount,F_CostsM*12*AS_RetireSpend))*F41+F_OneOffY*F41</f>
        <v>91882.6611084827</v>
      </c>
      <c r="J41" s="20" t="n">
        <f aca="false">IF(UN41=1,0,HR40)</f>
        <v>0</v>
      </c>
      <c r="K41" s="20" t="n">
        <f aca="false">IF(J41&gt;1,'Plan debt months'!AC41,0)</f>
        <v>0</v>
      </c>
      <c r="L41" s="20" t="n">
        <f aca="false">IF(J41&gt;1,'Plan debt months'!AB41,J41)</f>
        <v>0</v>
      </c>
      <c r="M41" s="20" t="n">
        <f aca="false">O40</f>
        <v>0</v>
      </c>
      <c r="N41" s="20" t="n">
        <f aca="false">IF(M41&gt;1,'Plan debt months'!BD41,0)</f>
        <v>0</v>
      </c>
      <c r="O41" s="20" t="n">
        <f aca="false">IF(M41&gt;1,'Plan debt months'!BC41,M41)</f>
        <v>0</v>
      </c>
      <c r="P41" s="20" t="n">
        <f aca="false">R40</f>
        <v>0</v>
      </c>
      <c r="Q41" s="20" t="n">
        <f aca="false">IF(P41&gt;1,'Plan debt months'!CE41,0)</f>
        <v>0</v>
      </c>
      <c r="R41" s="20" t="n">
        <f aca="false">IF(P41&gt;1,'Plan debt months'!CD41,P41)</f>
        <v>0</v>
      </c>
      <c r="S41" s="20" t="n">
        <f aca="false">K41+N41+Q41</f>
        <v>0</v>
      </c>
      <c r="T41" s="57" t="n">
        <f aca="false">'Plan holdings'!Y41</f>
        <v>132164.353301627</v>
      </c>
      <c r="U41" s="57" t="n">
        <f aca="false">'Plan holdings'!BM40</f>
        <v>134894.041556104</v>
      </c>
      <c r="V41" s="20" t="n">
        <f aca="false">IF(AND(Slot1_On=1,D41=Slot1_Age),1,0)</f>
        <v>0</v>
      </c>
      <c r="W41" s="20" t="n">
        <f aca="false">IF(AND(Slot1_On=1,Slot1_Age&gt;D41),1,0)</f>
        <v>0</v>
      </c>
      <c r="X41" s="20" t="n">
        <f aca="false">QM40</f>
        <v>0</v>
      </c>
      <c r="Y41" s="20" t="n">
        <f aca="false">V41*MIN(Slot1_Cost,X41)</f>
        <v>0</v>
      </c>
      <c r="Z41" s="20" t="n">
        <f aca="false">V41*Slot1_SpendLike*MIN(Slot1_Cost-Y41,T41)</f>
        <v>0</v>
      </c>
      <c r="AA41" s="20" t="n">
        <f aca="false">Y41+Z41</f>
        <v>0</v>
      </c>
      <c r="AB41" s="20" t="n">
        <f aca="false">T41-Z41+V41*IF(Slot1_SpendLike=1,X41-Y41,IF(Slot1_PotFree=1,X41,0))</f>
        <v>132164.353301627</v>
      </c>
      <c r="AC41" s="20" t="n">
        <f aca="false">AF41+V41*Slot1_BufPot*X41</f>
        <v>15489.7842502159</v>
      </c>
      <c r="AD41" s="20" t="n">
        <f aca="false">IF(AND(V41=1,Slot1_IsMfree=1),IF(AA41&gt;=Slot1_Cost-1,0,MAX(0,L41-AA41)),L41)</f>
        <v>0</v>
      </c>
      <c r="AE41" s="20" t="n">
        <f aca="false">V41*(Slot1_Cost-AA41)</f>
        <v>0</v>
      </c>
      <c r="AF41" s="20" t="n">
        <f aca="false">QL40</f>
        <v>15489.7842502159</v>
      </c>
      <c r="AG41" s="20" t="n">
        <f aca="false">IF(AND(Slot2_On=1,D41=Slot2_Age),1,0)</f>
        <v>0</v>
      </c>
      <c r="AH41" s="20" t="n">
        <f aca="false">IF(AND(Slot2_On=1,Slot2_Age&gt;D41),1,0)</f>
        <v>0</v>
      </c>
      <c r="AI41" s="20" t="n">
        <f aca="false">QQ40</f>
        <v>0</v>
      </c>
      <c r="AJ41" s="20" t="n">
        <f aca="false">AG41*MIN(Slot2_Cost,AI41)</f>
        <v>0</v>
      </c>
      <c r="AK41" s="20" t="n">
        <f aca="false">AG41*Slot2_SpendLike*MIN(Slot2_Cost-AJ41,AB41)</f>
        <v>0</v>
      </c>
      <c r="AL41" s="20" t="n">
        <f aca="false">AJ41+AK41</f>
        <v>0</v>
      </c>
      <c r="AM41" s="20" t="n">
        <f aca="false">AB41-AK41+AG41*IF(Slot2_SpendLike=1,AI41-AJ41,IF(Slot2_PotFree=1,AI41,0))</f>
        <v>132164.353301627</v>
      </c>
      <c r="AN41" s="20" t="n">
        <f aca="false">AC41+AG41*Slot2_BufPot*AI41</f>
        <v>15489.7842502159</v>
      </c>
      <c r="AO41" s="20" t="n">
        <f aca="false">IF(AND(AG41=1,Slot2_IsMfree=1),IF(AL41&gt;=Slot2_Cost-1,0,MAX(0,AD41-AL41)),AD41)</f>
        <v>0</v>
      </c>
      <c r="AP41" s="20" t="n">
        <f aca="false">AG41*(Slot2_Cost-AL41)</f>
        <v>0</v>
      </c>
      <c r="AQ41" s="20" t="n">
        <f aca="false">IF(AND(Slot3_On=1,D41=Slot3_Age),1,0)</f>
        <v>0</v>
      </c>
      <c r="AR41" s="20" t="n">
        <f aca="false">IF(AND(Slot3_On=1,Slot3_Age&gt;D41),1,0)</f>
        <v>0</v>
      </c>
      <c r="AS41" s="20" t="n">
        <f aca="false">QU40</f>
        <v>0</v>
      </c>
      <c r="AT41" s="20" t="n">
        <f aca="false">AQ41*MIN(Slot3_Cost,AS41)</f>
        <v>0</v>
      </c>
      <c r="AU41" s="20" t="n">
        <f aca="false">AQ41*Slot3_SpendLike*MIN(Slot3_Cost-AT41,AM41)</f>
        <v>0</v>
      </c>
      <c r="AV41" s="20" t="n">
        <f aca="false">AT41+AU41</f>
        <v>0</v>
      </c>
      <c r="AW41" s="20" t="n">
        <f aca="false">AM41-AU41+AQ41*IF(Slot3_SpendLike=1,AS41-AT41,IF(Slot3_PotFree=1,AS41,0))</f>
        <v>132164.353301627</v>
      </c>
      <c r="AX41" s="20" t="n">
        <f aca="false">AN41+AQ41*Slot3_BufPot*AS41</f>
        <v>15489.7842502159</v>
      </c>
      <c r="AY41" s="20" t="n">
        <f aca="false">IF(AND(AQ41=1,Slot3_IsMfree=1),IF(AV41&gt;=Slot3_Cost-1,0,MAX(0,AO41-AV41)),AO41)</f>
        <v>0</v>
      </c>
      <c r="AZ41" s="20" t="n">
        <f aca="false">AQ41*(Slot3_Cost-AV41)</f>
        <v>0</v>
      </c>
      <c r="BA41" s="20" t="n">
        <f aca="false">IF(AND(Slot4_On=1,D41=Slot4_Age),1,0)</f>
        <v>0</v>
      </c>
      <c r="BB41" s="20" t="n">
        <f aca="false">IF(AND(Slot4_On=1,Slot4_Age&gt;D41),1,0)</f>
        <v>0</v>
      </c>
      <c r="BC41" s="20" t="n">
        <f aca="false">QY40</f>
        <v>0</v>
      </c>
      <c r="BD41" s="20" t="n">
        <f aca="false">BA41*MIN(Slot4_Cost,BC41)</f>
        <v>0</v>
      </c>
      <c r="BE41" s="20" t="n">
        <f aca="false">BA41*Slot4_SpendLike*MIN(Slot4_Cost-BD41,AW41)</f>
        <v>0</v>
      </c>
      <c r="BF41" s="20" t="n">
        <f aca="false">BD41+BE41</f>
        <v>0</v>
      </c>
      <c r="BG41" s="20" t="n">
        <f aca="false">AW41-BE41+BA41*IF(Slot4_SpendLike=1,BC41-BD41,IF(Slot4_PotFree=1,BC41,0))</f>
        <v>132164.353301627</v>
      </c>
      <c r="BH41" s="20" t="n">
        <f aca="false">AX41+BA41*Slot4_BufPot*BC41</f>
        <v>15489.7842502159</v>
      </c>
      <c r="BI41" s="20" t="n">
        <f aca="false">IF(AND(BA41=1,Slot4_IsMfree=1),IF(BF41&gt;=Slot4_Cost-1,0,MAX(0,AY41-BF41)),AY41)</f>
        <v>0</v>
      </c>
      <c r="BJ41" s="20" t="n">
        <f aca="false">BA41*(Slot4_Cost-BF41)</f>
        <v>0</v>
      </c>
      <c r="BK41" s="20" t="n">
        <f aca="false">IF(AND(Slot5_On=1,D41=Slot5_Age),1,0)</f>
        <v>0</v>
      </c>
      <c r="BL41" s="20" t="n">
        <f aca="false">IF(AND(Slot5_On=1,Slot5_Age&gt;D41),1,0)</f>
        <v>0</v>
      </c>
      <c r="BM41" s="20" t="n">
        <f aca="false">RC40</f>
        <v>0</v>
      </c>
      <c r="BN41" s="20" t="n">
        <f aca="false">BK41*MIN(Slot5_Cost,BM41)</f>
        <v>0</v>
      </c>
      <c r="BO41" s="20" t="n">
        <f aca="false">BK41*Slot5_SpendLike*MIN(Slot5_Cost-BN41,BG41)</f>
        <v>0</v>
      </c>
      <c r="BP41" s="20" t="n">
        <f aca="false">BN41+BO41</f>
        <v>0</v>
      </c>
      <c r="BQ41" s="20" t="n">
        <f aca="false">BG41-BO41+BK41*IF(Slot5_SpendLike=1,BM41-BN41,IF(Slot5_PotFree=1,BM41,0))</f>
        <v>132164.353301627</v>
      </c>
      <c r="BR41" s="20" t="n">
        <f aca="false">BH41+BK41*Slot5_BufPot*BM41</f>
        <v>15489.7842502159</v>
      </c>
      <c r="BS41" s="20" t="n">
        <f aca="false">IF(AND(BK41=1,Slot5_IsMfree=1),IF(BP41&gt;=Slot5_Cost-1,0,MAX(0,BI41-BP41)),BI41)</f>
        <v>0</v>
      </c>
      <c r="BT41" s="20" t="n">
        <f aca="false">BK41*(Slot5_Cost-BP41)</f>
        <v>0</v>
      </c>
      <c r="BU41" s="20" t="n">
        <f aca="false">IF(AND(Slot6_On=1,D41=Slot6_Age),1,0)</f>
        <v>0</v>
      </c>
      <c r="BV41" s="20" t="n">
        <f aca="false">IF(AND(Slot6_On=1,Slot6_Age&gt;D41),1,0)</f>
        <v>0</v>
      </c>
      <c r="BW41" s="20" t="n">
        <f aca="false">RG40</f>
        <v>0</v>
      </c>
      <c r="BX41" s="20" t="n">
        <f aca="false">BU41*MIN(Slot6_Cost,BW41)</f>
        <v>0</v>
      </c>
      <c r="BY41" s="20" t="n">
        <f aca="false">BU41*Slot6_SpendLike*MIN(Slot6_Cost-BX41,BQ41)</f>
        <v>0</v>
      </c>
      <c r="BZ41" s="20" t="n">
        <f aca="false">BX41+BY41</f>
        <v>0</v>
      </c>
      <c r="CA41" s="20" t="n">
        <f aca="false">BQ41-BY41+BU41*IF(Slot6_SpendLike=1,BW41-BX41,IF(Slot6_PotFree=1,BW41,0))</f>
        <v>132164.353301627</v>
      </c>
      <c r="CB41" s="20" t="n">
        <f aca="false">BR41+BU41*Slot6_BufPot*BW41</f>
        <v>15489.7842502159</v>
      </c>
      <c r="CC41" s="20" t="n">
        <f aca="false">IF(AND(BU41=1,Slot6_IsMfree=1),IF(BZ41&gt;=Slot6_Cost-1,0,MAX(0,BS41-BZ41)),BS41)</f>
        <v>0</v>
      </c>
      <c r="CD41" s="20" t="n">
        <f aca="false">BU41*(Slot6_Cost-BZ41)</f>
        <v>0</v>
      </c>
      <c r="CE41" s="20" t="n">
        <f aca="false">IF(AND(Slot7_On=1,D41=Slot7_Age),1,0)</f>
        <v>0</v>
      </c>
      <c r="CF41" s="20" t="n">
        <f aca="false">IF(AND(Slot7_On=1,Slot7_Age&gt;D41),1,0)</f>
        <v>0</v>
      </c>
      <c r="CG41" s="20" t="n">
        <f aca="false">RK40</f>
        <v>0</v>
      </c>
      <c r="CH41" s="20" t="n">
        <f aca="false">CE41*MIN(Slot7_Cost,CG41)</f>
        <v>0</v>
      </c>
      <c r="CI41" s="20" t="n">
        <f aca="false">CE41*Slot7_SpendLike*MIN(Slot7_Cost-CH41,CA41)</f>
        <v>0</v>
      </c>
      <c r="CJ41" s="20" t="n">
        <f aca="false">CH41+CI41</f>
        <v>0</v>
      </c>
      <c r="CK41" s="20" t="n">
        <f aca="false">CA41-CI41+CE41*IF(Slot7_SpendLike=1,CG41-CH41,IF(Slot7_PotFree=1,CG41,0))</f>
        <v>132164.353301627</v>
      </c>
      <c r="CL41" s="20" t="n">
        <f aca="false">CB41+CE41*Slot7_BufPot*CG41</f>
        <v>15489.7842502159</v>
      </c>
      <c r="CM41" s="20" t="n">
        <f aca="false">IF(AND(CE41=1,Slot7_IsMfree=1),IF(CJ41&gt;=Slot7_Cost-1,0,MAX(0,CC41-CJ41)),CC41)</f>
        <v>0</v>
      </c>
      <c r="CN41" s="20" t="n">
        <f aca="false">CE41*(Slot7_Cost-CJ41)</f>
        <v>0</v>
      </c>
      <c r="CO41" s="20" t="n">
        <f aca="false">IF(AND(Slot8_On=1,D41=Slot8_Age),1,0)</f>
        <v>0</v>
      </c>
      <c r="CP41" s="20" t="n">
        <f aca="false">IF(AND(Slot8_On=1,Slot8_Age&gt;D41),1,0)</f>
        <v>0</v>
      </c>
      <c r="CQ41" s="20" t="n">
        <f aca="false">RO40</f>
        <v>0</v>
      </c>
      <c r="CR41" s="20" t="n">
        <f aca="false">CO41*MIN(Slot8_Cost,CQ41)</f>
        <v>0</v>
      </c>
      <c r="CS41" s="20" t="n">
        <f aca="false">CO41*Slot8_SpendLike*MIN(Slot8_Cost-CR41,CK41)</f>
        <v>0</v>
      </c>
      <c r="CT41" s="20" t="n">
        <f aca="false">CR41+CS41</f>
        <v>0</v>
      </c>
      <c r="CU41" s="20" t="n">
        <f aca="false">CK41-CS41+CO41*IF(Slot8_SpendLike=1,CQ41-CR41,IF(Slot8_PotFree=1,CQ41,0))</f>
        <v>132164.353301627</v>
      </c>
      <c r="CV41" s="20" t="n">
        <f aca="false">CL41+CO41*Slot8_BufPot*CQ41</f>
        <v>15489.7842502159</v>
      </c>
      <c r="CW41" s="20" t="n">
        <f aca="false">IF(AND(CO41=1,Slot8_IsMfree=1),IF(CT41&gt;=Slot8_Cost-1,0,MAX(0,CM41-CT41)),CM41)</f>
        <v>0</v>
      </c>
      <c r="CX41" s="20" t="n">
        <f aca="false">CO41*(Slot8_Cost-CT41)</f>
        <v>0</v>
      </c>
      <c r="CY41" s="20" t="n">
        <f aca="false">IF(AND(Slot9_On=1,D41=Slot9_Age),1,0)</f>
        <v>0</v>
      </c>
      <c r="CZ41" s="20" t="n">
        <f aca="false">IF(AND(Slot9_On=1,Slot9_Age&gt;D41),1,0)</f>
        <v>0</v>
      </c>
      <c r="DA41" s="20" t="n">
        <f aca="false">RS40</f>
        <v>0</v>
      </c>
      <c r="DB41" s="20" t="n">
        <f aca="false">CY41*MIN(Slot9_Cost,DA41)</f>
        <v>0</v>
      </c>
      <c r="DC41" s="20" t="n">
        <f aca="false">CY41*Slot9_SpendLike*MIN(Slot9_Cost-DB41,CU41)</f>
        <v>0</v>
      </c>
      <c r="DD41" s="20" t="n">
        <f aca="false">DB41+DC41</f>
        <v>0</v>
      </c>
      <c r="DE41" s="20" t="n">
        <f aca="false">CU41-DC41+CY41*IF(Slot9_SpendLike=1,DA41-DB41,IF(Slot9_PotFree=1,DA41,0))</f>
        <v>132164.353301627</v>
      </c>
      <c r="DF41" s="20" t="n">
        <f aca="false">CV41+CY41*Slot9_BufPot*DA41</f>
        <v>15489.7842502159</v>
      </c>
      <c r="DG41" s="20" t="n">
        <f aca="false">IF(AND(CY41=1,Slot9_IsMfree=1),IF(DD41&gt;=Slot9_Cost-1,0,MAX(0,CW41-DD41)),CW41)</f>
        <v>0</v>
      </c>
      <c r="DH41" s="20" t="n">
        <f aca="false">CY41*(Slot9_Cost-DD41)</f>
        <v>0</v>
      </c>
      <c r="DI41" s="20" t="n">
        <f aca="false">IF(AND(Slot10_On=1,D41=Slot10_Age),1,0)</f>
        <v>0</v>
      </c>
      <c r="DJ41" s="20" t="n">
        <f aca="false">IF(AND(Slot10_On=1,Slot10_Age&gt;D41),1,0)</f>
        <v>0</v>
      </c>
      <c r="DK41" s="20" t="n">
        <f aca="false">RW40</f>
        <v>0</v>
      </c>
      <c r="DL41" s="20" t="n">
        <f aca="false">DI41*MIN(Slot10_Cost,DK41)</f>
        <v>0</v>
      </c>
      <c r="DM41" s="20" t="n">
        <f aca="false">DI41*Slot10_SpendLike*MIN(Slot10_Cost-DL41,DE41)</f>
        <v>0</v>
      </c>
      <c r="DN41" s="20" t="n">
        <f aca="false">DL41+DM41</f>
        <v>0</v>
      </c>
      <c r="DO41" s="20" t="n">
        <f aca="false">DE41-DM41+DI41*IF(Slot10_SpendLike=1,DK41-DL41,IF(Slot10_PotFree=1,DK41,0))</f>
        <v>132164.353301627</v>
      </c>
      <c r="DP41" s="20" t="n">
        <f aca="false">DF41+DI41*Slot10_BufPot*DK41</f>
        <v>15489.7842502159</v>
      </c>
      <c r="DQ41" s="20" t="n">
        <f aca="false">IF(AND(DI41=1,Slot10_IsMfree=1),IF(DN41&gt;=Slot10_Cost-1,0,MAX(0,DG41-DN41)),DG41)</f>
        <v>0</v>
      </c>
      <c r="DR41" s="20" t="n">
        <f aca="false">DI41*(Slot10_Cost-DN41)</f>
        <v>0</v>
      </c>
      <c r="DS41" s="20" t="n">
        <f aca="false">IF(AND(Slot11_On=1,D41=Slot11_Age),1,0)</f>
        <v>0</v>
      </c>
      <c r="DT41" s="20" t="n">
        <f aca="false">IF(AND(Slot11_On=1,Slot11_Age&gt;D41),1,0)</f>
        <v>0</v>
      </c>
      <c r="DU41" s="20" t="n">
        <f aca="false">SA40</f>
        <v>0</v>
      </c>
      <c r="DV41" s="20" t="n">
        <f aca="false">DS41*MIN(Slot11_Cost,DU41)</f>
        <v>0</v>
      </c>
      <c r="DW41" s="20" t="n">
        <f aca="false">DS41*Slot11_SpendLike*MIN(Slot11_Cost-DV41,DO41)</f>
        <v>0</v>
      </c>
      <c r="DX41" s="20" t="n">
        <f aca="false">DV41+DW41</f>
        <v>0</v>
      </c>
      <c r="DY41" s="20" t="n">
        <f aca="false">DO41-DW41+DS41*IF(Slot11_SpendLike=1,DU41-DV41,IF(Slot11_PotFree=1,DU41,0))</f>
        <v>132164.353301627</v>
      </c>
      <c r="DZ41" s="20" t="n">
        <f aca="false">DP41+DS41*Slot11_BufPot*DU41</f>
        <v>15489.7842502159</v>
      </c>
      <c r="EA41" s="20" t="n">
        <f aca="false">IF(AND(DS41=1,Slot11_IsMfree=1),IF(DX41&gt;=Slot11_Cost-1,0,MAX(0,DQ41-DX41)),DQ41)</f>
        <v>0</v>
      </c>
      <c r="EB41" s="20" t="n">
        <f aca="false">DS41*(Slot11_Cost-DX41)</f>
        <v>0</v>
      </c>
      <c r="EC41" s="20" t="n">
        <f aca="false">IF(AND(Slot12_On=1,D41=Slot12_Age),1,0)</f>
        <v>0</v>
      </c>
      <c r="ED41" s="20" t="n">
        <f aca="false">IF(AND(Slot12_On=1,Slot12_Age&gt;D41),1,0)</f>
        <v>0</v>
      </c>
      <c r="EE41" s="20" t="n">
        <f aca="false">SE40</f>
        <v>0</v>
      </c>
      <c r="EF41" s="20" t="n">
        <f aca="false">EC41*MIN(Slot12_Cost,EE41)</f>
        <v>0</v>
      </c>
      <c r="EG41" s="20" t="n">
        <f aca="false">EC41*Slot12_SpendLike*MIN(Slot12_Cost-EF41,DY41)</f>
        <v>0</v>
      </c>
      <c r="EH41" s="20" t="n">
        <f aca="false">EF41+EG41</f>
        <v>0</v>
      </c>
      <c r="EI41" s="20" t="n">
        <f aca="false">DY41-EG41+EC41*IF(Slot12_SpendLike=1,EE41-EF41,IF(Slot12_PotFree=1,EE41,0))</f>
        <v>132164.353301627</v>
      </c>
      <c r="EJ41" s="20" t="n">
        <f aca="false">DZ41+EC41*Slot12_BufPot*EE41</f>
        <v>15489.7842502159</v>
      </c>
      <c r="EK41" s="20" t="n">
        <f aca="false">IF(AND(EC41=1,Slot12_IsMfree=1),IF(EH41&gt;=Slot12_Cost-1,0,MAX(0,EA41-EH41)),EA41)</f>
        <v>0</v>
      </c>
      <c r="EL41" s="20" t="n">
        <f aca="false">EC41*(Slot12_Cost-EH41)</f>
        <v>0</v>
      </c>
      <c r="EM41" s="20" t="n">
        <f aca="false">IF(AND(Slot13_On=1,D41=Slot13_Age),1,0)</f>
        <v>0</v>
      </c>
      <c r="EN41" s="20" t="n">
        <f aca="false">IF(AND(Slot13_On=1,Slot13_Age&gt;D41),1,0)</f>
        <v>0</v>
      </c>
      <c r="EO41" s="20" t="n">
        <f aca="false">SI40</f>
        <v>0</v>
      </c>
      <c r="EP41" s="20" t="n">
        <f aca="false">EM41*MIN(Slot13_Cost,EO41)</f>
        <v>0</v>
      </c>
      <c r="EQ41" s="20" t="n">
        <f aca="false">EM41*Slot13_SpendLike*MIN(Slot13_Cost-EP41,EI41)</f>
        <v>0</v>
      </c>
      <c r="ER41" s="20" t="n">
        <f aca="false">EP41+EQ41</f>
        <v>0</v>
      </c>
      <c r="ES41" s="20" t="n">
        <f aca="false">EI41-EQ41+EM41*IF(Slot13_SpendLike=1,EO41-EP41,IF(Slot13_PotFree=1,EO41,0))</f>
        <v>132164.353301627</v>
      </c>
      <c r="ET41" s="20" t="n">
        <f aca="false">EJ41+EM41*Slot13_BufPot*EO41</f>
        <v>15489.7842502159</v>
      </c>
      <c r="EU41" s="20" t="n">
        <f aca="false">IF(AND(EM41=1,Slot13_IsMfree=1),IF(ER41&gt;=Slot13_Cost-1,0,MAX(0,EK41-ER41)),EK41)</f>
        <v>0</v>
      </c>
      <c r="EV41" s="20" t="n">
        <f aca="false">EM41*(Slot13_Cost-ER41)</f>
        <v>0</v>
      </c>
      <c r="EW41" s="20" t="n">
        <f aca="false">IF(AND(Slot14_On=1,D41=Slot14_Age),1,0)</f>
        <v>0</v>
      </c>
      <c r="EX41" s="20" t="n">
        <f aca="false">IF(AND(Slot14_On=1,Slot14_Age&gt;D41),1,0)</f>
        <v>0</v>
      </c>
      <c r="EY41" s="20" t="n">
        <f aca="false">SM40</f>
        <v>0</v>
      </c>
      <c r="EZ41" s="20" t="n">
        <f aca="false">EW41*MIN(Slot14_Cost,EY41)</f>
        <v>0</v>
      </c>
      <c r="FA41" s="20" t="n">
        <f aca="false">EW41*Slot14_SpendLike*MIN(Slot14_Cost-EZ41,ES41)</f>
        <v>0</v>
      </c>
      <c r="FB41" s="20" t="n">
        <f aca="false">EZ41+FA41</f>
        <v>0</v>
      </c>
      <c r="FC41" s="20" t="n">
        <f aca="false">ES41-FA41+EW41*IF(Slot14_SpendLike=1,EY41-EZ41,IF(Slot14_PotFree=1,EY41,0))</f>
        <v>132164.353301627</v>
      </c>
      <c r="FD41" s="20" t="n">
        <f aca="false">ET41+EW41*Slot14_BufPot*EY41</f>
        <v>15489.7842502159</v>
      </c>
      <c r="FE41" s="20" t="n">
        <f aca="false">IF(AND(EW41=1,Slot14_IsMfree=1),IF(FB41&gt;=Slot14_Cost-1,0,MAX(0,EU41-FB41)),EU41)</f>
        <v>0</v>
      </c>
      <c r="FF41" s="20" t="n">
        <f aca="false">EW41*(Slot14_Cost-FB41)</f>
        <v>0</v>
      </c>
      <c r="FG41" s="20" t="n">
        <f aca="false">IF(AND(Slot15_On=1,D41=Slot15_Age),1,0)</f>
        <v>0</v>
      </c>
      <c r="FH41" s="20" t="n">
        <f aca="false">IF(AND(Slot15_On=1,Slot15_Age&gt;D41),1,0)</f>
        <v>0</v>
      </c>
      <c r="FI41" s="20" t="n">
        <f aca="false">SQ40</f>
        <v>0</v>
      </c>
      <c r="FJ41" s="20" t="n">
        <f aca="false">FG41*MIN(Slot15_Cost,FI41)</f>
        <v>0</v>
      </c>
      <c r="FK41" s="20" t="n">
        <f aca="false">FG41*Slot15_SpendLike*MIN(Slot15_Cost-FJ41,FC41)</f>
        <v>0</v>
      </c>
      <c r="FL41" s="20" t="n">
        <f aca="false">FJ41+FK41</f>
        <v>0</v>
      </c>
      <c r="FM41" s="20" t="n">
        <f aca="false">FC41-FK41+FG41*IF(Slot15_SpendLike=1,FI41-FJ41,IF(Slot15_PotFree=1,FI41,0))</f>
        <v>132164.353301627</v>
      </c>
      <c r="FN41" s="20" t="n">
        <f aca="false">FD41+FG41*Slot15_BufPot*FI41</f>
        <v>15489.7842502159</v>
      </c>
      <c r="FO41" s="20" t="n">
        <f aca="false">IF(AND(FG41=1,Slot15_IsMfree=1),IF(FL41&gt;=Slot15_Cost-1,0,MAX(0,FE41-FL41)),FE41)</f>
        <v>0</v>
      </c>
      <c r="FP41" s="20" t="n">
        <f aca="false">FG41*(Slot15_Cost-FL41)</f>
        <v>0</v>
      </c>
      <c r="FQ41" s="20" t="n">
        <f aca="false">IF(AND(Slot16_On=1,D41=Slot16_Age),1,0)</f>
        <v>0</v>
      </c>
      <c r="FR41" s="20" t="n">
        <f aca="false">IF(AND(Slot16_On=1,Slot16_Age&gt;D41),1,0)</f>
        <v>0</v>
      </c>
      <c r="FS41" s="20" t="n">
        <f aca="false">SU40</f>
        <v>0</v>
      </c>
      <c r="FT41" s="20" t="n">
        <f aca="false">FQ41*MIN(Slot16_Cost,FS41)</f>
        <v>0</v>
      </c>
      <c r="FU41" s="20" t="n">
        <f aca="false">FQ41*Slot16_SpendLike*MIN(Slot16_Cost-FT41,FM41)</f>
        <v>0</v>
      </c>
      <c r="FV41" s="20" t="n">
        <f aca="false">FT41+FU41</f>
        <v>0</v>
      </c>
      <c r="FW41" s="20" t="n">
        <f aca="false">FM41-FU41+FQ41*IF(Slot16_SpendLike=1,FS41-FT41,IF(Slot16_PotFree=1,FS41,0))</f>
        <v>132164.353301627</v>
      </c>
      <c r="FX41" s="20" t="n">
        <f aca="false">FN41+FQ41*Slot16_BufPot*FS41</f>
        <v>15489.7842502159</v>
      </c>
      <c r="FY41" s="20" t="n">
        <f aca="false">IF(AND(FQ41=1,Slot16_IsMfree=1),IF(FV41&gt;=Slot16_Cost-1,0,MAX(0,FO41-FV41)),FO41)</f>
        <v>0</v>
      </c>
      <c r="FZ41" s="20" t="n">
        <f aca="false">FQ41*(Slot16_Cost-FV41)</f>
        <v>0</v>
      </c>
      <c r="GA41" s="20" t="n">
        <f aca="false">IF(AND(Slot17_On=1,D41=Slot17_Age),1,0)</f>
        <v>0</v>
      </c>
      <c r="GB41" s="20" t="n">
        <f aca="false">IF(AND(Slot17_On=1,Slot17_Age&gt;D41),1,0)</f>
        <v>0</v>
      </c>
      <c r="GC41" s="20" t="n">
        <f aca="false">SY40</f>
        <v>0</v>
      </c>
      <c r="GD41" s="20" t="n">
        <f aca="false">GA41*MIN(Slot17_Cost,GC41)</f>
        <v>0</v>
      </c>
      <c r="GE41" s="20" t="n">
        <f aca="false">GA41*Slot17_SpendLike*MIN(Slot17_Cost-GD41,FW41)</f>
        <v>0</v>
      </c>
      <c r="GF41" s="20" t="n">
        <f aca="false">GD41+GE41</f>
        <v>0</v>
      </c>
      <c r="GG41" s="20" t="n">
        <f aca="false">FW41-GE41+GA41*IF(Slot17_SpendLike=1,GC41-GD41,IF(Slot17_PotFree=1,GC41,0))</f>
        <v>132164.353301627</v>
      </c>
      <c r="GH41" s="20" t="n">
        <f aca="false">FX41+GA41*Slot17_BufPot*GC41</f>
        <v>15489.7842502159</v>
      </c>
      <c r="GI41" s="20" t="n">
        <f aca="false">IF(AND(GA41=1,Slot17_IsMfree=1),IF(GF41&gt;=Slot17_Cost-1,0,MAX(0,FY41-GF41)),FY41)</f>
        <v>0</v>
      </c>
      <c r="GJ41" s="20" t="n">
        <f aca="false">GA41*(Slot17_Cost-GF41)</f>
        <v>0</v>
      </c>
      <c r="GK41" s="20" t="n">
        <f aca="false">IF(AND(Slot18_On=1,D41=Slot18_Age),1,0)</f>
        <v>0</v>
      </c>
      <c r="GL41" s="20" t="n">
        <f aca="false">IF(AND(Slot18_On=1,Slot18_Age&gt;D41),1,0)</f>
        <v>0</v>
      </c>
      <c r="GM41" s="20" t="n">
        <f aca="false">TC40</f>
        <v>0</v>
      </c>
      <c r="GN41" s="20" t="n">
        <f aca="false">GK41*MIN(Slot18_Cost,GM41)</f>
        <v>0</v>
      </c>
      <c r="GO41" s="20" t="n">
        <f aca="false">GK41*Slot18_SpendLike*MIN(Slot18_Cost-GN41,GG41)</f>
        <v>0</v>
      </c>
      <c r="GP41" s="20" t="n">
        <f aca="false">GN41+GO41</f>
        <v>0</v>
      </c>
      <c r="GQ41" s="20" t="n">
        <f aca="false">GG41-GO41+GK41*IF(Slot18_SpendLike=1,GM41-GN41,IF(Slot18_PotFree=1,GM41,0))</f>
        <v>132164.353301627</v>
      </c>
      <c r="GR41" s="20" t="n">
        <f aca="false">GH41+GK41*Slot18_BufPot*GM41</f>
        <v>15489.7842502159</v>
      </c>
      <c r="GS41" s="20" t="n">
        <f aca="false">IF(AND(GK41=1,Slot18_IsMfree=1),IF(GP41&gt;=Slot18_Cost-1,0,MAX(0,GI41-GP41)),GI41)</f>
        <v>0</v>
      </c>
      <c r="GT41" s="20" t="n">
        <f aca="false">GK41*(Slot18_Cost-GP41)</f>
        <v>0</v>
      </c>
      <c r="GU41" s="20" t="n">
        <f aca="false">IF(AND(Slot19_On=1,D41=Slot19_Age),1,0)</f>
        <v>0</v>
      </c>
      <c r="GV41" s="20" t="n">
        <f aca="false">IF(AND(Slot19_On=1,Slot19_Age&gt;D41),1,0)</f>
        <v>0</v>
      </c>
      <c r="GW41" s="20" t="n">
        <f aca="false">TG40</f>
        <v>0</v>
      </c>
      <c r="GX41" s="20" t="n">
        <f aca="false">GU41*MIN(Slot19_Cost,GW41)</f>
        <v>0</v>
      </c>
      <c r="GY41" s="20" t="n">
        <f aca="false">GU41*Slot19_SpendLike*MIN(Slot19_Cost-GX41,GQ41)</f>
        <v>0</v>
      </c>
      <c r="GZ41" s="20" t="n">
        <f aca="false">GX41+GY41</f>
        <v>0</v>
      </c>
      <c r="HA41" s="20" t="n">
        <f aca="false">GQ41-GY41+GU41*IF(Slot19_SpendLike=1,GW41-GX41,IF(Slot19_PotFree=1,GW41,0))</f>
        <v>132164.353301627</v>
      </c>
      <c r="HB41" s="20" t="n">
        <f aca="false">GR41+GU41*Slot19_BufPot*GW41</f>
        <v>15489.7842502159</v>
      </c>
      <c r="HC41" s="20" t="n">
        <f aca="false">IF(AND(GU41=1,Slot19_IsMfree=1),IF(GZ41&gt;=Slot19_Cost-1,0,MAX(0,GS41-GZ41)),GS41)</f>
        <v>0</v>
      </c>
      <c r="HD41" s="20" t="n">
        <f aca="false">GU41*(Slot19_Cost-GZ41)</f>
        <v>0</v>
      </c>
      <c r="HE41" s="20" t="n">
        <f aca="false">IF(AND(Slot20_On=1,D41=Slot20_Age),1,0)</f>
        <v>0</v>
      </c>
      <c r="HF41" s="20" t="n">
        <f aca="false">IF(AND(Slot20_On=1,Slot20_Age&gt;D41),1,0)</f>
        <v>0</v>
      </c>
      <c r="HG41" s="20" t="n">
        <f aca="false">TK40</f>
        <v>0</v>
      </c>
      <c r="HH41" s="20" t="n">
        <f aca="false">HE41*MIN(Slot20_Cost,HG41)</f>
        <v>0</v>
      </c>
      <c r="HI41" s="20" t="n">
        <f aca="false">HE41*Slot20_SpendLike*MIN(Slot20_Cost-HH41,HA41)</f>
        <v>0</v>
      </c>
      <c r="HJ41" s="20" t="n">
        <f aca="false">HH41+HI41</f>
        <v>0</v>
      </c>
      <c r="HK41" s="20" t="n">
        <f aca="false">HA41-HI41+HE41*IF(Slot20_SpendLike=1,HG41-HH41,IF(Slot20_PotFree=1,HG41,0))</f>
        <v>132164.353301627</v>
      </c>
      <c r="HL41" s="20" t="n">
        <f aca="false">HB41+HE41*Slot20_BufPot*HG41</f>
        <v>15489.7842502159</v>
      </c>
      <c r="HM41" s="20" t="n">
        <f aca="false">IF(AND(HE41=1,Slot20_IsMfree=1),IF(HJ41&gt;=Slot20_Cost-1,0,MAX(0,HC41-HJ41)),HC41)</f>
        <v>0</v>
      </c>
      <c r="HN41" s="20" t="n">
        <f aca="false">HE41*(Slot20_Cost-HJ41)</f>
        <v>0</v>
      </c>
      <c r="HO41" s="20" t="n">
        <f aca="false">V41*Slot1_SpendLike*AA41+AG41*Slot2_SpendLike*AL41+AQ41*Slot3_SpendLike*AV41+BA41*Slot4_SpendLike*BF41+BK41*Slot5_SpendLike*BP41+BU41*Slot6_SpendLike*BZ41+CE41*Slot7_SpendLike*CJ41+CO41*Slot8_SpendLike*CT41+CY41*Slot9_SpendLike*DD41+DI41*Slot10_SpendLike*DN41+DS41*Slot11_SpendLike*DX41+EC41*Slot12_SpendLike*EH41+EM41*Slot13_SpendLike*ER41+EW41*Slot14_SpendLike*FB41+FG41*Slot15_SpendLike*FL41+FQ41*Slot16_SpendLike*FV41+GA41*Slot17_SpendLike*GF41+GK41*Slot18_SpendLike*GP41+GU41*Slot19_SpendLike*GZ41+HE41*Slot20_SpendLike*HJ41</f>
        <v>0</v>
      </c>
      <c r="HP41" s="20" t="n">
        <f aca="false">AE41+AP41+AZ41+BJ41+BT41+CD41+CN41+CX41+DH41+DR41+EB41+EL41+EV41+FF41+FP41+FZ41+GJ41+GT41+HD41+HN41</f>
        <v>0</v>
      </c>
      <c r="HQ41" s="20" t="n">
        <f aca="false">V41*Slot1_Cost+AG41*Slot2_Cost+AQ41*Slot3_Cost+BA41*Slot4_Cost+BK41*Slot5_Cost+BU41*Slot6_Cost+CE41*Slot7_Cost+CO41*Slot8_Cost+CY41*Slot9_Cost+DI41*Slot10_Cost+DS41*Slot11_Cost+EC41*Slot12_Cost+EM41*Slot13_Cost+EW41*Slot14_Cost+FG41*Slot15_Cost+FQ41*Slot16_Cost+GA41*Slot17_Cost+GK41*Slot18_Cost+GU41*Slot19_Cost+HE41*Slot20_Cost</f>
        <v>0</v>
      </c>
      <c r="HR41" s="20" t="n">
        <f aca="false">HM41</f>
        <v>0</v>
      </c>
      <c r="HS41" s="20" t="n">
        <f aca="false">H41-I41-S41</f>
        <v>-19335.1179852798</v>
      </c>
      <c r="HT41" s="20" t="n">
        <f aca="false">IF(B41=0,IF(AND(Has_q6=1,In_q6=4),PR_ShareVaries*(MAX(0,HS41)/12),MIN(IF(Has_q6=1,CHOOSE(In_q6+1,PR_SaveB1,PR_SaveB2,PR_SaveB3,PR_SaveB4,0),AS_NoAnswer),AS_SaveShare*(MAX(0,HS41)/12))),HT40)</f>
        <v>67.3316893520437</v>
      </c>
      <c r="HU41" s="20" t="n">
        <f aca="false">IF(HS41&gt;=0,1,0)</f>
        <v>0</v>
      </c>
      <c r="HV41" s="20" t="n">
        <f aca="false">MAX(0,HS41/12/F41)</f>
        <v>0</v>
      </c>
      <c r="HW41" s="20" t="n">
        <f aca="false">IF(AND(Has_q6=1,In_q6=4),PR_ShareVaries*(HV41),MIN(IF(Has_q6=1,CHOOSE(In_q6+1,PR_SaveB1,PR_SaveB2,PR_SaveB3,PR_SaveB4,0),AS_NoAnswer),AS_SaveShare*(HV41)))</f>
        <v>0</v>
      </c>
      <c r="HX41" s="20" t="n">
        <f aca="false">IF(Has_saveM=1,IF(In_saveUp="Yes",1,IF(In_saveUp="No",0,IF(In_saveM&gt;=HT41-0.5,1,0))),0)</f>
        <v>0</v>
      </c>
      <c r="HY41" s="20" t="n">
        <f aca="false">IF(Has_saveM=1,MIN(HV41,IF(HX41=1,MAX(In_saveM,HW41),MIN(In_saveM,HW41))),HW41)</f>
        <v>0</v>
      </c>
      <c r="HZ41" s="20" t="n">
        <f aca="false">IF(G41=1,HY41*12*F41,0)</f>
        <v>0</v>
      </c>
      <c r="IA41" s="20" t="n">
        <f aca="false">MAX(0,HZ41+IF(AND(WI_Retire=0,WI_M&lt;0,G41=1),WI_M*12*F41,0))</f>
        <v>0</v>
      </c>
      <c r="IB41" s="20" t="n">
        <f aca="false">Slot1_IsWG*W41+Slot2_IsWG*AH41+Slot3_IsWG*AR41+Slot4_IsWG*BB41+Slot5_IsWG*BL41+Slot6_IsWG*BV41+Slot7_IsWG*CF41+Slot8_IsWG*CP41+Slot9_IsWG*CZ41+Slot10_IsWG*DJ41+Slot11_IsWG*DT41+Slot12_IsWG*ED41+Slot13_IsWG*EN41+Slot14_IsWG*EX41+Slot15_IsWG*FH41+Slot16_IsWG*FR41+Slot17_IsWG*GB41+Slot18_IsWG*GL41+Slot19_IsWG*GV41+Slot20_IsWG*HF41</f>
        <v>0</v>
      </c>
      <c r="IC41" s="20" t="n">
        <f aca="false">IF(AND(WI_Retire=0,WI_M&gt;0,G41=1,IB41&gt;=1),WI_M*12*F41,0)</f>
        <v>0</v>
      </c>
      <c r="ID41" s="20" t="n">
        <f aca="false">IF(HU41=1,MIN(IA41,HS41),0)</f>
        <v>0</v>
      </c>
      <c r="IE41" s="20" t="n">
        <f aca="false">IF(HU41=1,MIN(IC41,HS41-ID41),0)</f>
        <v>0</v>
      </c>
      <c r="IF41" s="20" t="n">
        <f aca="false">IF(W41=1,IF(ABS((1+AS_Wage)/(1+Slot1_Rate)-1)&lt;0.000000000001,(Slot1_Age-D41)*(1+Slot1_Rate)^(Slot1_Age-D41),(1+Slot1_Rate)^(Slot1_Age-D41)*(1-((1+AS_Wage)/(1+Slot1_Rate))^(Slot1_Age-D41))/(1-(1+AS_Wage)/(1+Slot1_Rate))),1)</f>
        <v>1</v>
      </c>
      <c r="IG41" s="20" t="n">
        <f aca="false">IF(AND(HU41=1,IE41&gt;0,Slot1_IsWG=1,W41=1),MAX(0,(Slot1_Cost-X41*(1+Slot1_Rate)^(Slot1_Age-D41))/IF41),0)</f>
        <v>0</v>
      </c>
      <c r="IH41" s="20" t="n">
        <f aca="false">IF(AND(HU41=1,IE41&gt;0,Slot1_IsWG=1,W41=1),MIN(IE41,IG41),0)</f>
        <v>0</v>
      </c>
      <c r="II41" s="20" t="n">
        <f aca="false">X41+IH41</f>
        <v>0</v>
      </c>
      <c r="IJ41" s="20" t="n">
        <f aca="false">IF(W41=1,MAX(0,(Slot1_Cost-II41*(1+Slot1_Rate)^(Slot1_Age-D41))/IF41),0)</f>
        <v>0</v>
      </c>
      <c r="IK41" s="20" t="n">
        <f aca="false">IF(W41=1,MAX(0,(Slot1_Cost-X41*(1+Slot1_Rate)^(Slot1_Age-D41))/IF41),0)</f>
        <v>0</v>
      </c>
      <c r="IL41" s="20" t="n">
        <f aca="false">IF(AND(HU41=1,W41=1),MIN(ID41,IJ41),0)</f>
        <v>0</v>
      </c>
      <c r="IM41" s="20" t="n">
        <f aca="false">ID41-IL41</f>
        <v>0</v>
      </c>
      <c r="IN41" s="20" t="n">
        <f aca="false">IF(AH41=1,IF(ABS((1+AS_Wage)/(1+Slot2_Rate)-1)&lt;0.000000000001,(Slot2_Age-D41)*(1+Slot2_Rate)^(Slot2_Age-D41),(1+Slot2_Rate)^(Slot2_Age-D41)*(1-((1+AS_Wage)/(1+Slot2_Rate))^(Slot2_Age-D41))/(1-(1+AS_Wage)/(1+Slot2_Rate))),1)</f>
        <v>1</v>
      </c>
      <c r="IO41" s="20" t="n">
        <f aca="false">IF(AND(HU41=1,IE41&gt;0,Slot2_IsWG=1,AH41=1),MAX(0,(Slot2_Cost-AI41*(1+Slot2_Rate)^(Slot2_Age-D41))/IN41),0)</f>
        <v>0</v>
      </c>
      <c r="IP41" s="20" t="n">
        <f aca="false">IF(AND(HU41=1,IE41&gt;0,Slot2_IsWG=1,AH41=1),MIN(IE41,IO41),0)</f>
        <v>0</v>
      </c>
      <c r="IQ41" s="20" t="n">
        <f aca="false">AI41+IP41</f>
        <v>0</v>
      </c>
      <c r="IR41" s="20" t="n">
        <f aca="false">IF(AH41=1,MAX(0,(Slot2_Cost-IQ41*(1+Slot2_Rate)^(Slot2_Age-D41))/IN41),0)</f>
        <v>0</v>
      </c>
      <c r="IS41" s="20" t="n">
        <f aca="false">IF(AH41=1,MAX(0,(Slot2_Cost-AI41*(1+Slot2_Rate)^(Slot2_Age-D41))/IN41),0)</f>
        <v>0</v>
      </c>
      <c r="IT41" s="20" t="n">
        <f aca="false">IF(AND(HU41=1,AH41=1),MIN(IM41,IR41),0)</f>
        <v>0</v>
      </c>
      <c r="IU41" s="20" t="n">
        <f aca="false">IM41-IT41</f>
        <v>0</v>
      </c>
      <c r="IV41" s="20" t="n">
        <f aca="false">IF(AR41=1,IF(ABS((1+AS_Wage)/(1+Slot3_Rate)-1)&lt;0.000000000001,(Slot3_Age-D41)*(1+Slot3_Rate)^(Slot3_Age-D41),(1+Slot3_Rate)^(Slot3_Age-D41)*(1-((1+AS_Wage)/(1+Slot3_Rate))^(Slot3_Age-D41))/(1-(1+AS_Wage)/(1+Slot3_Rate))),1)</f>
        <v>1</v>
      </c>
      <c r="IW41" s="20" t="n">
        <f aca="false">IF(AND(HU41=1,IE41&gt;0,Slot3_IsWG=1,AR41=1),MAX(0,(Slot3_Cost-AS41*(1+Slot3_Rate)^(Slot3_Age-D41))/IV41),0)</f>
        <v>0</v>
      </c>
      <c r="IX41" s="20" t="n">
        <f aca="false">IF(AND(HU41=1,IE41&gt;0,Slot3_IsWG=1,AR41=1),MIN(IE41,IW41),0)</f>
        <v>0</v>
      </c>
      <c r="IY41" s="20" t="n">
        <f aca="false">AS41+IX41</f>
        <v>0</v>
      </c>
      <c r="IZ41" s="20" t="n">
        <f aca="false">IF(AR41=1,MAX(0,(Slot3_Cost-IY41*(1+Slot3_Rate)^(Slot3_Age-D41))/IV41),0)</f>
        <v>0</v>
      </c>
      <c r="JA41" s="20" t="n">
        <f aca="false">IF(AR41=1,MAX(0,(Slot3_Cost-AS41*(1+Slot3_Rate)^(Slot3_Age-D41))/IV41),0)</f>
        <v>0</v>
      </c>
      <c r="JB41" s="20" t="n">
        <f aca="false">IF(AND(HU41=1,AR41=1),MIN(IU41,IZ41),0)</f>
        <v>0</v>
      </c>
      <c r="JC41" s="20" t="n">
        <f aca="false">IU41-JB41</f>
        <v>0</v>
      </c>
      <c r="JD41" s="20" t="n">
        <f aca="false">IF(BB41=1,IF(ABS((1+AS_Wage)/(1+Slot4_Rate)-1)&lt;0.000000000001,(Slot4_Age-D41)*(1+Slot4_Rate)^(Slot4_Age-D41),(1+Slot4_Rate)^(Slot4_Age-D41)*(1-((1+AS_Wage)/(1+Slot4_Rate))^(Slot4_Age-D41))/(1-(1+AS_Wage)/(1+Slot4_Rate))),1)</f>
        <v>1</v>
      </c>
      <c r="JE41" s="20" t="n">
        <f aca="false">IF(AND(HU41=1,IE41&gt;0,Slot4_IsWG=1,BB41=1),MAX(0,(Slot4_Cost-BC41*(1+Slot4_Rate)^(Slot4_Age-D41))/JD41),0)</f>
        <v>0</v>
      </c>
      <c r="JF41" s="20" t="n">
        <f aca="false">IF(AND(HU41=1,IE41&gt;0,Slot4_IsWG=1,BB41=1),MIN(IE41,JE41),0)</f>
        <v>0</v>
      </c>
      <c r="JG41" s="20" t="n">
        <f aca="false">BC41+JF41</f>
        <v>0</v>
      </c>
      <c r="JH41" s="20" t="n">
        <f aca="false">IF(BB41=1,MAX(0,(Slot4_Cost-JG41*(1+Slot4_Rate)^(Slot4_Age-D41))/JD41),0)</f>
        <v>0</v>
      </c>
      <c r="JI41" s="20" t="n">
        <f aca="false">IF(BB41=1,MAX(0,(Slot4_Cost-BC41*(1+Slot4_Rate)^(Slot4_Age-D41))/JD41),0)</f>
        <v>0</v>
      </c>
      <c r="JJ41" s="20" t="n">
        <f aca="false">IF(AND(HU41=1,BB41=1),MIN(JC41,JH41),0)</f>
        <v>0</v>
      </c>
      <c r="JK41" s="20" t="n">
        <f aca="false">JC41-JJ41</f>
        <v>0</v>
      </c>
      <c r="JL41" s="20" t="n">
        <f aca="false">IF(BL41=1,IF(ABS((1+AS_Wage)/(1+Slot5_Rate)-1)&lt;0.000000000001,(Slot5_Age-D41)*(1+Slot5_Rate)^(Slot5_Age-D41),(1+Slot5_Rate)^(Slot5_Age-D41)*(1-((1+AS_Wage)/(1+Slot5_Rate))^(Slot5_Age-D41))/(1-(1+AS_Wage)/(1+Slot5_Rate))),1)</f>
        <v>1</v>
      </c>
      <c r="JM41" s="20" t="n">
        <f aca="false">IF(AND(HU41=1,IE41&gt;0,Slot5_IsWG=1,BL41=1),MAX(0,(Slot5_Cost-BM41*(1+Slot5_Rate)^(Slot5_Age-D41))/JL41),0)</f>
        <v>0</v>
      </c>
      <c r="JN41" s="20" t="n">
        <f aca="false">IF(AND(HU41=1,IE41&gt;0,Slot5_IsWG=1,BL41=1),MIN(IE41,JM41),0)</f>
        <v>0</v>
      </c>
      <c r="JO41" s="20" t="n">
        <f aca="false">BM41+JN41</f>
        <v>0</v>
      </c>
      <c r="JP41" s="20" t="n">
        <f aca="false">IF(BL41=1,MAX(0,(Slot5_Cost-JO41*(1+Slot5_Rate)^(Slot5_Age-D41))/JL41),0)</f>
        <v>0</v>
      </c>
      <c r="JQ41" s="20" t="n">
        <f aca="false">IF(BL41=1,MAX(0,(Slot5_Cost-BM41*(1+Slot5_Rate)^(Slot5_Age-D41))/JL41),0)</f>
        <v>0</v>
      </c>
      <c r="JR41" s="20" t="n">
        <f aca="false">IF(AND(HU41=1,BL41=1),MIN(JK41,JP41),0)</f>
        <v>0</v>
      </c>
      <c r="JS41" s="20" t="n">
        <f aca="false">JK41-JR41</f>
        <v>0</v>
      </c>
      <c r="JT41" s="20" t="n">
        <f aca="false">IF(BV41=1,IF(ABS((1+AS_Wage)/(1+Slot6_Rate)-1)&lt;0.000000000001,(Slot6_Age-D41)*(1+Slot6_Rate)^(Slot6_Age-D41),(1+Slot6_Rate)^(Slot6_Age-D41)*(1-((1+AS_Wage)/(1+Slot6_Rate))^(Slot6_Age-D41))/(1-(1+AS_Wage)/(1+Slot6_Rate))),1)</f>
        <v>1</v>
      </c>
      <c r="JU41" s="20" t="n">
        <f aca="false">IF(AND(HU41=1,IE41&gt;0,Slot6_IsWG=1,BV41=1),MAX(0,(Slot6_Cost-BW41*(1+Slot6_Rate)^(Slot6_Age-D41))/JT41),0)</f>
        <v>0</v>
      </c>
      <c r="JV41" s="20" t="n">
        <f aca="false">IF(AND(HU41=1,IE41&gt;0,Slot6_IsWG=1,BV41=1),MIN(IE41,JU41),0)</f>
        <v>0</v>
      </c>
      <c r="JW41" s="20" t="n">
        <f aca="false">BW41+JV41</f>
        <v>0</v>
      </c>
      <c r="JX41" s="20" t="n">
        <f aca="false">IF(BV41=1,MAX(0,(Slot6_Cost-JW41*(1+Slot6_Rate)^(Slot6_Age-D41))/JT41),0)</f>
        <v>0</v>
      </c>
      <c r="JY41" s="20" t="n">
        <f aca="false">IF(BV41=1,MAX(0,(Slot6_Cost-BW41*(1+Slot6_Rate)^(Slot6_Age-D41))/JT41),0)</f>
        <v>0</v>
      </c>
      <c r="JZ41" s="20" t="n">
        <f aca="false">IF(AND(HU41=1,BV41=1),MIN(JS41,JX41),0)</f>
        <v>0</v>
      </c>
      <c r="KA41" s="20" t="n">
        <f aca="false">JS41-JZ41</f>
        <v>0</v>
      </c>
      <c r="KB41" s="20" t="n">
        <f aca="false">IF(CF41=1,IF(ABS((1+AS_Wage)/(1+Slot7_Rate)-1)&lt;0.000000000001,(Slot7_Age-D41)*(1+Slot7_Rate)^(Slot7_Age-D41),(1+Slot7_Rate)^(Slot7_Age-D41)*(1-((1+AS_Wage)/(1+Slot7_Rate))^(Slot7_Age-D41))/(1-(1+AS_Wage)/(1+Slot7_Rate))),1)</f>
        <v>1</v>
      </c>
      <c r="KC41" s="20" t="n">
        <f aca="false">IF(AND(HU41=1,IE41&gt;0,Slot7_IsWG=1,CF41=1),MAX(0,(Slot7_Cost-CG41*(1+Slot7_Rate)^(Slot7_Age-D41))/KB41),0)</f>
        <v>0</v>
      </c>
      <c r="KD41" s="20" t="n">
        <f aca="false">IF(AND(HU41=1,IE41&gt;0,Slot7_IsWG=1,CF41=1),MIN(IE41,KC41),0)</f>
        <v>0</v>
      </c>
      <c r="KE41" s="20" t="n">
        <f aca="false">CG41+KD41</f>
        <v>0</v>
      </c>
      <c r="KF41" s="20" t="n">
        <f aca="false">IF(CF41=1,MAX(0,(Slot7_Cost-KE41*(1+Slot7_Rate)^(Slot7_Age-D41))/KB41),0)</f>
        <v>0</v>
      </c>
      <c r="KG41" s="20" t="n">
        <f aca="false">IF(CF41=1,MAX(0,(Slot7_Cost-CG41*(1+Slot7_Rate)^(Slot7_Age-D41))/KB41),0)</f>
        <v>0</v>
      </c>
      <c r="KH41" s="20" t="n">
        <f aca="false">IF(AND(HU41=1,CF41=1),MIN(KA41,KF41),0)</f>
        <v>0</v>
      </c>
      <c r="KI41" s="20" t="n">
        <f aca="false">KA41-KH41</f>
        <v>0</v>
      </c>
      <c r="KJ41" s="20" t="n">
        <f aca="false">IF(CP41=1,IF(ABS((1+AS_Wage)/(1+Slot8_Rate)-1)&lt;0.000000000001,(Slot8_Age-D41)*(1+Slot8_Rate)^(Slot8_Age-D41),(1+Slot8_Rate)^(Slot8_Age-D41)*(1-((1+AS_Wage)/(1+Slot8_Rate))^(Slot8_Age-D41))/(1-(1+AS_Wage)/(1+Slot8_Rate))),1)</f>
        <v>1</v>
      </c>
      <c r="KK41" s="20" t="n">
        <f aca="false">IF(AND(HU41=1,IE41&gt;0,Slot8_IsWG=1,CP41=1),MAX(0,(Slot8_Cost-CQ41*(1+Slot8_Rate)^(Slot8_Age-D41))/KJ41),0)</f>
        <v>0</v>
      </c>
      <c r="KL41" s="20" t="n">
        <f aca="false">IF(AND(HU41=1,IE41&gt;0,Slot8_IsWG=1,CP41=1),MIN(IE41,KK41),0)</f>
        <v>0</v>
      </c>
      <c r="KM41" s="20" t="n">
        <f aca="false">CQ41+KL41</f>
        <v>0</v>
      </c>
      <c r="KN41" s="20" t="n">
        <f aca="false">IF(CP41=1,MAX(0,(Slot8_Cost-KM41*(1+Slot8_Rate)^(Slot8_Age-D41))/KJ41),0)</f>
        <v>0</v>
      </c>
      <c r="KO41" s="20" t="n">
        <f aca="false">IF(CP41=1,MAX(0,(Slot8_Cost-CQ41*(1+Slot8_Rate)^(Slot8_Age-D41))/KJ41),0)</f>
        <v>0</v>
      </c>
      <c r="KP41" s="20" t="n">
        <f aca="false">IF(AND(HU41=1,CP41=1),MIN(KI41,KN41),0)</f>
        <v>0</v>
      </c>
      <c r="KQ41" s="20" t="n">
        <f aca="false">KI41-KP41</f>
        <v>0</v>
      </c>
      <c r="KR41" s="20" t="n">
        <f aca="false">IF(CZ41=1,IF(ABS((1+AS_Wage)/(1+Slot9_Rate)-1)&lt;0.000000000001,(Slot9_Age-D41)*(1+Slot9_Rate)^(Slot9_Age-D41),(1+Slot9_Rate)^(Slot9_Age-D41)*(1-((1+AS_Wage)/(1+Slot9_Rate))^(Slot9_Age-D41))/(1-(1+AS_Wage)/(1+Slot9_Rate))),1)</f>
        <v>1</v>
      </c>
      <c r="KS41" s="20" t="n">
        <f aca="false">IF(AND(HU41=1,IE41&gt;0,Slot9_IsWG=1,CZ41=1),MAX(0,(Slot9_Cost-DA41*(1+Slot9_Rate)^(Slot9_Age-D41))/KR41),0)</f>
        <v>0</v>
      </c>
      <c r="KT41" s="20" t="n">
        <f aca="false">IF(AND(HU41=1,IE41&gt;0,Slot9_IsWG=1,CZ41=1),MIN(IE41,KS41),0)</f>
        <v>0</v>
      </c>
      <c r="KU41" s="20" t="n">
        <f aca="false">DA41+KT41</f>
        <v>0</v>
      </c>
      <c r="KV41" s="20" t="n">
        <f aca="false">IF(CZ41=1,MAX(0,(Slot9_Cost-KU41*(1+Slot9_Rate)^(Slot9_Age-D41))/KR41),0)</f>
        <v>0</v>
      </c>
      <c r="KW41" s="20" t="n">
        <f aca="false">IF(CZ41=1,MAX(0,(Slot9_Cost-DA41*(1+Slot9_Rate)^(Slot9_Age-D41))/KR41),0)</f>
        <v>0</v>
      </c>
      <c r="KX41" s="20" t="n">
        <f aca="false">IF(AND(HU41=1,CZ41=1),MIN(KQ41,KV41),0)</f>
        <v>0</v>
      </c>
      <c r="KY41" s="20" t="n">
        <f aca="false">KQ41-KX41</f>
        <v>0</v>
      </c>
      <c r="KZ41" s="20" t="n">
        <f aca="false">IF(DJ41=1,IF(ABS((1+AS_Wage)/(1+Slot10_Rate)-1)&lt;0.000000000001,(Slot10_Age-D41)*(1+Slot10_Rate)^(Slot10_Age-D41),(1+Slot10_Rate)^(Slot10_Age-D41)*(1-((1+AS_Wage)/(1+Slot10_Rate))^(Slot10_Age-D41))/(1-(1+AS_Wage)/(1+Slot10_Rate))),1)</f>
        <v>1</v>
      </c>
      <c r="LA41" s="20" t="n">
        <f aca="false">IF(AND(HU41=1,IE41&gt;0,Slot10_IsWG=1,DJ41=1),MAX(0,(Slot10_Cost-DK41*(1+Slot10_Rate)^(Slot10_Age-D41))/KZ41),0)</f>
        <v>0</v>
      </c>
      <c r="LB41" s="20" t="n">
        <f aca="false">IF(AND(HU41=1,IE41&gt;0,Slot10_IsWG=1,DJ41=1),MIN(IE41,LA41),0)</f>
        <v>0</v>
      </c>
      <c r="LC41" s="20" t="n">
        <f aca="false">DK41+LB41</f>
        <v>0</v>
      </c>
      <c r="LD41" s="20" t="n">
        <f aca="false">IF(DJ41=1,MAX(0,(Slot10_Cost-LC41*(1+Slot10_Rate)^(Slot10_Age-D41))/KZ41),0)</f>
        <v>0</v>
      </c>
      <c r="LE41" s="20" t="n">
        <f aca="false">IF(DJ41=1,MAX(0,(Slot10_Cost-DK41*(1+Slot10_Rate)^(Slot10_Age-D41))/KZ41),0)</f>
        <v>0</v>
      </c>
      <c r="LF41" s="20" t="n">
        <f aca="false">IF(AND(HU41=1,DJ41=1),MIN(KY41,LD41),0)</f>
        <v>0</v>
      </c>
      <c r="LG41" s="20" t="n">
        <f aca="false">KY41-LF41</f>
        <v>0</v>
      </c>
      <c r="LH41" s="20" t="n">
        <f aca="false">IF(DT41=1,IF(ABS((1+AS_Wage)/(1+Slot11_Rate)-1)&lt;0.000000000001,(Slot11_Age-D41)*(1+Slot11_Rate)^(Slot11_Age-D41),(1+Slot11_Rate)^(Slot11_Age-D41)*(1-((1+AS_Wage)/(1+Slot11_Rate))^(Slot11_Age-D41))/(1-(1+AS_Wage)/(1+Slot11_Rate))),1)</f>
        <v>1</v>
      </c>
      <c r="LI41" s="20" t="n">
        <f aca="false">IF(AND(HU41=1,IE41&gt;0,Slot11_IsWG=1,DT41=1),MAX(0,(Slot11_Cost-DU41*(1+Slot11_Rate)^(Slot11_Age-D41))/LH41),0)</f>
        <v>0</v>
      </c>
      <c r="LJ41" s="20" t="n">
        <f aca="false">IF(AND(HU41=1,IE41&gt;0,Slot11_IsWG=1,DT41=1),MIN(IE41,LI41),0)</f>
        <v>0</v>
      </c>
      <c r="LK41" s="20" t="n">
        <f aca="false">DU41+LJ41</f>
        <v>0</v>
      </c>
      <c r="LL41" s="20" t="n">
        <f aca="false">IF(DT41=1,MAX(0,(Slot11_Cost-LK41*(1+Slot11_Rate)^(Slot11_Age-D41))/LH41),0)</f>
        <v>0</v>
      </c>
      <c r="LM41" s="20" t="n">
        <f aca="false">IF(DT41=1,MAX(0,(Slot11_Cost-DU41*(1+Slot11_Rate)^(Slot11_Age-D41))/LH41),0)</f>
        <v>0</v>
      </c>
      <c r="LN41" s="20" t="n">
        <f aca="false">IF(AND(HU41=1,DT41=1),MIN(LG41,LL41),0)</f>
        <v>0</v>
      </c>
      <c r="LO41" s="20" t="n">
        <f aca="false">LG41-LN41</f>
        <v>0</v>
      </c>
      <c r="LP41" s="20" t="n">
        <f aca="false">IF(ED41=1,IF(ABS((1+AS_Wage)/(1+Slot12_Rate)-1)&lt;0.000000000001,(Slot12_Age-D41)*(1+Slot12_Rate)^(Slot12_Age-D41),(1+Slot12_Rate)^(Slot12_Age-D41)*(1-((1+AS_Wage)/(1+Slot12_Rate))^(Slot12_Age-D41))/(1-(1+AS_Wage)/(1+Slot12_Rate))),1)</f>
        <v>1</v>
      </c>
      <c r="LQ41" s="20" t="n">
        <f aca="false">IF(AND(HU41=1,IE41&gt;0,Slot12_IsWG=1,ED41=1),MAX(0,(Slot12_Cost-EE41*(1+Slot12_Rate)^(Slot12_Age-D41))/LP41),0)</f>
        <v>0</v>
      </c>
      <c r="LR41" s="20" t="n">
        <f aca="false">IF(AND(HU41=1,IE41&gt;0,Slot12_IsWG=1,ED41=1),MIN(IE41,LQ41),0)</f>
        <v>0</v>
      </c>
      <c r="LS41" s="20" t="n">
        <f aca="false">EE41+LR41</f>
        <v>0</v>
      </c>
      <c r="LT41" s="20" t="n">
        <f aca="false">IF(ED41=1,MAX(0,(Slot12_Cost-LS41*(1+Slot12_Rate)^(Slot12_Age-D41))/LP41),0)</f>
        <v>0</v>
      </c>
      <c r="LU41" s="20" t="n">
        <f aca="false">IF(ED41=1,MAX(0,(Slot12_Cost-EE41*(1+Slot12_Rate)^(Slot12_Age-D41))/LP41),0)</f>
        <v>0</v>
      </c>
      <c r="LV41" s="20" t="n">
        <f aca="false">IF(AND(HU41=1,ED41=1),MIN(LO41,LT41),0)</f>
        <v>0</v>
      </c>
      <c r="LW41" s="20" t="n">
        <f aca="false">LO41-LV41</f>
        <v>0</v>
      </c>
      <c r="LX41" s="20" t="n">
        <f aca="false">IF(EN41=1,IF(ABS((1+AS_Wage)/(1+Slot13_Rate)-1)&lt;0.000000000001,(Slot13_Age-D41)*(1+Slot13_Rate)^(Slot13_Age-D41),(1+Slot13_Rate)^(Slot13_Age-D41)*(1-((1+AS_Wage)/(1+Slot13_Rate))^(Slot13_Age-D41))/(1-(1+AS_Wage)/(1+Slot13_Rate))),1)</f>
        <v>1</v>
      </c>
      <c r="LY41" s="20" t="n">
        <f aca="false">IF(AND(HU41=1,IE41&gt;0,Slot13_IsWG=1,EN41=1),MAX(0,(Slot13_Cost-EO41*(1+Slot13_Rate)^(Slot13_Age-D41))/LX41),0)</f>
        <v>0</v>
      </c>
      <c r="LZ41" s="20" t="n">
        <f aca="false">IF(AND(HU41=1,IE41&gt;0,Slot13_IsWG=1,EN41=1),MIN(IE41,LY41),0)</f>
        <v>0</v>
      </c>
      <c r="MA41" s="20" t="n">
        <f aca="false">EO41+LZ41</f>
        <v>0</v>
      </c>
      <c r="MB41" s="20" t="n">
        <f aca="false">IF(EN41=1,MAX(0,(Slot13_Cost-MA41*(1+Slot13_Rate)^(Slot13_Age-D41))/LX41),0)</f>
        <v>0</v>
      </c>
      <c r="MC41" s="20" t="n">
        <f aca="false">IF(EN41=1,MAX(0,(Slot13_Cost-EO41*(1+Slot13_Rate)^(Slot13_Age-D41))/LX41),0)</f>
        <v>0</v>
      </c>
      <c r="MD41" s="20" t="n">
        <f aca="false">IF(AND(HU41=1,EN41=1),MIN(LW41,MB41),0)</f>
        <v>0</v>
      </c>
      <c r="ME41" s="20" t="n">
        <f aca="false">LW41-MD41</f>
        <v>0</v>
      </c>
      <c r="MF41" s="20" t="n">
        <f aca="false">IF(EX41=1,IF(ABS((1+AS_Wage)/(1+Slot14_Rate)-1)&lt;0.000000000001,(Slot14_Age-D41)*(1+Slot14_Rate)^(Slot14_Age-D41),(1+Slot14_Rate)^(Slot14_Age-D41)*(1-((1+AS_Wage)/(1+Slot14_Rate))^(Slot14_Age-D41))/(1-(1+AS_Wage)/(1+Slot14_Rate))),1)</f>
        <v>1</v>
      </c>
      <c r="MG41" s="20" t="n">
        <f aca="false">IF(AND(HU41=1,IE41&gt;0,Slot14_IsWG=1,EX41=1),MAX(0,(Slot14_Cost-EY41*(1+Slot14_Rate)^(Slot14_Age-D41))/MF41),0)</f>
        <v>0</v>
      </c>
      <c r="MH41" s="20" t="n">
        <f aca="false">IF(AND(HU41=1,IE41&gt;0,Slot14_IsWG=1,EX41=1),MIN(IE41,MG41),0)</f>
        <v>0</v>
      </c>
      <c r="MI41" s="20" t="n">
        <f aca="false">EY41+MH41</f>
        <v>0</v>
      </c>
      <c r="MJ41" s="20" t="n">
        <f aca="false">IF(EX41=1,MAX(0,(Slot14_Cost-MI41*(1+Slot14_Rate)^(Slot14_Age-D41))/MF41),0)</f>
        <v>0</v>
      </c>
      <c r="MK41" s="20" t="n">
        <f aca="false">IF(EX41=1,MAX(0,(Slot14_Cost-EY41*(1+Slot14_Rate)^(Slot14_Age-D41))/MF41),0)</f>
        <v>0</v>
      </c>
      <c r="ML41" s="20" t="n">
        <f aca="false">IF(AND(HU41=1,EX41=1),MIN(ME41,MJ41),0)</f>
        <v>0</v>
      </c>
      <c r="MM41" s="20" t="n">
        <f aca="false">ME41-ML41</f>
        <v>0</v>
      </c>
      <c r="MN41" s="20" t="n">
        <f aca="false">IF(FH41=1,IF(ABS((1+AS_Wage)/(1+Slot15_Rate)-1)&lt;0.000000000001,(Slot15_Age-D41)*(1+Slot15_Rate)^(Slot15_Age-D41),(1+Slot15_Rate)^(Slot15_Age-D41)*(1-((1+AS_Wage)/(1+Slot15_Rate))^(Slot15_Age-D41))/(1-(1+AS_Wage)/(1+Slot15_Rate))),1)</f>
        <v>1</v>
      </c>
      <c r="MO41" s="20" t="n">
        <f aca="false">IF(AND(HU41=1,IE41&gt;0,Slot15_IsWG=1,FH41=1),MAX(0,(Slot15_Cost-FI41*(1+Slot15_Rate)^(Slot15_Age-D41))/MN41),0)</f>
        <v>0</v>
      </c>
      <c r="MP41" s="20" t="n">
        <f aca="false">IF(AND(HU41=1,IE41&gt;0,Slot15_IsWG=1,FH41=1),MIN(IE41,MO41),0)</f>
        <v>0</v>
      </c>
      <c r="MQ41" s="20" t="n">
        <f aca="false">FI41+MP41</f>
        <v>0</v>
      </c>
      <c r="MR41" s="20" t="n">
        <f aca="false">IF(FH41=1,MAX(0,(Slot15_Cost-MQ41*(1+Slot15_Rate)^(Slot15_Age-D41))/MN41),0)</f>
        <v>0</v>
      </c>
      <c r="MS41" s="20" t="n">
        <f aca="false">IF(FH41=1,MAX(0,(Slot15_Cost-FI41*(1+Slot15_Rate)^(Slot15_Age-D41))/MN41),0)</f>
        <v>0</v>
      </c>
      <c r="MT41" s="20" t="n">
        <f aca="false">IF(AND(HU41=1,FH41=1),MIN(MM41,MR41),0)</f>
        <v>0</v>
      </c>
      <c r="MU41" s="20" t="n">
        <f aca="false">MM41-MT41</f>
        <v>0</v>
      </c>
      <c r="MV41" s="20" t="n">
        <f aca="false">IF(FR41=1,IF(ABS((1+AS_Wage)/(1+Slot16_Rate)-1)&lt;0.000000000001,(Slot16_Age-D41)*(1+Slot16_Rate)^(Slot16_Age-D41),(1+Slot16_Rate)^(Slot16_Age-D41)*(1-((1+AS_Wage)/(1+Slot16_Rate))^(Slot16_Age-D41))/(1-(1+AS_Wage)/(1+Slot16_Rate))),1)</f>
        <v>1</v>
      </c>
      <c r="MW41" s="20" t="n">
        <f aca="false">IF(AND(HU41=1,IE41&gt;0,Slot16_IsWG=1,FR41=1),MAX(0,(Slot16_Cost-FS41*(1+Slot16_Rate)^(Slot16_Age-D41))/MV41),0)</f>
        <v>0</v>
      </c>
      <c r="MX41" s="20" t="n">
        <f aca="false">IF(AND(HU41=1,IE41&gt;0,Slot16_IsWG=1,FR41=1),MIN(IE41,MW41),0)</f>
        <v>0</v>
      </c>
      <c r="MY41" s="20" t="n">
        <f aca="false">FS41+MX41</f>
        <v>0</v>
      </c>
      <c r="MZ41" s="20" t="n">
        <f aca="false">IF(FR41=1,MAX(0,(Slot16_Cost-MY41*(1+Slot16_Rate)^(Slot16_Age-D41))/MV41),0)</f>
        <v>0</v>
      </c>
      <c r="NA41" s="20" t="n">
        <f aca="false">IF(FR41=1,MAX(0,(Slot16_Cost-FS41*(1+Slot16_Rate)^(Slot16_Age-D41))/MV41),0)</f>
        <v>0</v>
      </c>
      <c r="NB41" s="20" t="n">
        <f aca="false">IF(AND(HU41=1,FR41=1),MIN(MU41,MZ41),0)</f>
        <v>0</v>
      </c>
      <c r="NC41" s="20" t="n">
        <f aca="false">MU41-NB41</f>
        <v>0</v>
      </c>
      <c r="ND41" s="20" t="n">
        <f aca="false">IF(GB41=1,IF(ABS((1+AS_Wage)/(1+Slot17_Rate)-1)&lt;0.000000000001,(Slot17_Age-D41)*(1+Slot17_Rate)^(Slot17_Age-D41),(1+Slot17_Rate)^(Slot17_Age-D41)*(1-((1+AS_Wage)/(1+Slot17_Rate))^(Slot17_Age-D41))/(1-(1+AS_Wage)/(1+Slot17_Rate))),1)</f>
        <v>1</v>
      </c>
      <c r="NE41" s="20" t="n">
        <f aca="false">IF(AND(HU41=1,IE41&gt;0,Slot17_IsWG=1,GB41=1),MAX(0,(Slot17_Cost-GC41*(1+Slot17_Rate)^(Slot17_Age-D41))/ND41),0)</f>
        <v>0</v>
      </c>
      <c r="NF41" s="20" t="n">
        <f aca="false">IF(AND(HU41=1,IE41&gt;0,Slot17_IsWG=1,GB41=1),MIN(IE41,NE41),0)</f>
        <v>0</v>
      </c>
      <c r="NG41" s="20" t="n">
        <f aca="false">GC41+NF41</f>
        <v>0</v>
      </c>
      <c r="NH41" s="20" t="n">
        <f aca="false">IF(GB41=1,MAX(0,(Slot17_Cost-NG41*(1+Slot17_Rate)^(Slot17_Age-D41))/ND41),0)</f>
        <v>0</v>
      </c>
      <c r="NI41" s="20" t="n">
        <f aca="false">IF(GB41=1,MAX(0,(Slot17_Cost-GC41*(1+Slot17_Rate)^(Slot17_Age-D41))/ND41),0)</f>
        <v>0</v>
      </c>
      <c r="NJ41" s="20" t="n">
        <f aca="false">IF(AND(HU41=1,GB41=1),MIN(NC41,NH41),0)</f>
        <v>0</v>
      </c>
      <c r="NK41" s="20" t="n">
        <f aca="false">NC41-NJ41</f>
        <v>0</v>
      </c>
      <c r="NL41" s="20" t="n">
        <f aca="false">IF(GL41=1,IF(ABS((1+AS_Wage)/(1+Slot18_Rate)-1)&lt;0.000000000001,(Slot18_Age-D41)*(1+Slot18_Rate)^(Slot18_Age-D41),(1+Slot18_Rate)^(Slot18_Age-D41)*(1-((1+AS_Wage)/(1+Slot18_Rate))^(Slot18_Age-D41))/(1-(1+AS_Wage)/(1+Slot18_Rate))),1)</f>
        <v>1</v>
      </c>
      <c r="NM41" s="20" t="n">
        <f aca="false">IF(AND(HU41=1,IE41&gt;0,Slot18_IsWG=1,GL41=1),MAX(0,(Slot18_Cost-GM41*(1+Slot18_Rate)^(Slot18_Age-D41))/NL41),0)</f>
        <v>0</v>
      </c>
      <c r="NN41" s="20" t="n">
        <f aca="false">IF(AND(HU41=1,IE41&gt;0,Slot18_IsWG=1,GL41=1),MIN(IE41,NM41),0)</f>
        <v>0</v>
      </c>
      <c r="NO41" s="20" t="n">
        <f aca="false">GM41+NN41</f>
        <v>0</v>
      </c>
      <c r="NP41" s="20" t="n">
        <f aca="false">IF(GL41=1,MAX(0,(Slot18_Cost-NO41*(1+Slot18_Rate)^(Slot18_Age-D41))/NL41),0)</f>
        <v>0</v>
      </c>
      <c r="NQ41" s="20" t="n">
        <f aca="false">IF(GL41=1,MAX(0,(Slot18_Cost-GM41*(1+Slot18_Rate)^(Slot18_Age-D41))/NL41),0)</f>
        <v>0</v>
      </c>
      <c r="NR41" s="20" t="n">
        <f aca="false">IF(AND(HU41=1,GL41=1),MIN(NK41,NP41),0)</f>
        <v>0</v>
      </c>
      <c r="NS41" s="20" t="n">
        <f aca="false">NK41-NR41</f>
        <v>0</v>
      </c>
      <c r="NT41" s="20" t="n">
        <f aca="false">IF(GV41=1,IF(ABS((1+AS_Wage)/(1+Slot19_Rate)-1)&lt;0.000000000001,(Slot19_Age-D41)*(1+Slot19_Rate)^(Slot19_Age-D41),(1+Slot19_Rate)^(Slot19_Age-D41)*(1-((1+AS_Wage)/(1+Slot19_Rate))^(Slot19_Age-D41))/(1-(1+AS_Wage)/(1+Slot19_Rate))),1)</f>
        <v>1</v>
      </c>
      <c r="NU41" s="20" t="n">
        <f aca="false">IF(AND(HU41=1,IE41&gt;0,Slot19_IsWG=1,GV41=1),MAX(0,(Slot19_Cost-GW41*(1+Slot19_Rate)^(Slot19_Age-D41))/NT41),0)</f>
        <v>0</v>
      </c>
      <c r="NV41" s="20" t="n">
        <f aca="false">IF(AND(HU41=1,IE41&gt;0,Slot19_IsWG=1,GV41=1),MIN(IE41,NU41),0)</f>
        <v>0</v>
      </c>
      <c r="NW41" s="20" t="n">
        <f aca="false">GW41+NV41</f>
        <v>0</v>
      </c>
      <c r="NX41" s="20" t="n">
        <f aca="false">IF(GV41=1,MAX(0,(Slot19_Cost-NW41*(1+Slot19_Rate)^(Slot19_Age-D41))/NT41),0)</f>
        <v>0</v>
      </c>
      <c r="NY41" s="20" t="n">
        <f aca="false">IF(GV41=1,MAX(0,(Slot19_Cost-GW41*(1+Slot19_Rate)^(Slot19_Age-D41))/NT41),0)</f>
        <v>0</v>
      </c>
      <c r="NZ41" s="20" t="n">
        <f aca="false">IF(AND(HU41=1,GV41=1),MIN(NS41,NX41),0)</f>
        <v>0</v>
      </c>
      <c r="OA41" s="20" t="n">
        <f aca="false">NS41-NZ41</f>
        <v>0</v>
      </c>
      <c r="OB41" s="20" t="n">
        <f aca="false">IF(HF41=1,IF(ABS((1+AS_Wage)/(1+Slot20_Rate)-1)&lt;0.000000000001,(Slot20_Age-D41)*(1+Slot20_Rate)^(Slot20_Age-D41),(1+Slot20_Rate)^(Slot20_Age-D41)*(1-((1+AS_Wage)/(1+Slot20_Rate))^(Slot20_Age-D41))/(1-(1+AS_Wage)/(1+Slot20_Rate))),1)</f>
        <v>1</v>
      </c>
      <c r="OC41" s="20" t="n">
        <f aca="false">IF(AND(HU41=1,IE41&gt;0,Slot20_IsWG=1,HF41=1),MAX(0,(Slot20_Cost-HG41*(1+Slot20_Rate)^(Slot20_Age-D41))/OB41),0)</f>
        <v>0</v>
      </c>
      <c r="OD41" s="20" t="n">
        <f aca="false">IF(AND(HU41=1,IE41&gt;0,Slot20_IsWG=1,HF41=1),MIN(IE41,OC41),0)</f>
        <v>0</v>
      </c>
      <c r="OE41" s="20" t="n">
        <f aca="false">HG41+OD41</f>
        <v>0</v>
      </c>
      <c r="OF41" s="20" t="n">
        <f aca="false">IF(HF41=1,MAX(0,(Slot20_Cost-OE41*(1+Slot20_Rate)^(Slot20_Age-D41))/OB41),0)</f>
        <v>0</v>
      </c>
      <c r="OG41" s="20" t="n">
        <f aca="false">IF(HF41=1,MAX(0,(Slot20_Cost-HG41*(1+Slot20_Rate)^(Slot20_Age-D41))/OB41),0)</f>
        <v>0</v>
      </c>
      <c r="OH41" s="20" t="n">
        <f aca="false">IF(AND(HU41=1,HF41=1),MIN(OA41,OF41),0)</f>
        <v>0</v>
      </c>
      <c r="OI41" s="20" t="n">
        <f aca="false">OA41-OH41</f>
        <v>0</v>
      </c>
      <c r="OJ41" s="20" t="n">
        <f aca="false">IE41-(IH41+IP41+IX41+JF41+JN41+JV41+KD41+KL41+KT41+LB41+LJ41+LR41+LZ41+MH41+MP41+MX41+NF41+NN41+NV41+OD41)</f>
        <v>0</v>
      </c>
      <c r="OK41" s="20" t="n">
        <f aca="false">IF(HU41=1,HS41-ID41-IE41,0)</f>
        <v>0</v>
      </c>
      <c r="OL41" s="20" t="n">
        <f aca="false">IF(HU41=0,-HS41,0)</f>
        <v>19335.1179852798</v>
      </c>
      <c r="OM41" s="20" t="n">
        <f aca="false">MIN(OL41,HK41)</f>
        <v>19335.1179852798</v>
      </c>
      <c r="ON41" s="20" t="n">
        <f aca="false">OL41-OM41</f>
        <v>0</v>
      </c>
      <c r="OO41" s="20" t="n">
        <f aca="false">MIN(ON41,HL41)</f>
        <v>0</v>
      </c>
      <c r="OP41" s="20" t="n">
        <f aca="false">ON41-OO41</f>
        <v>0</v>
      </c>
      <c r="OQ41" s="20" t="n">
        <f aca="false">IF(AND(HU41=0,HF41=1,OP41&gt;0),MIN(OP41,HG41),0)</f>
        <v>0</v>
      </c>
      <c r="OR41" s="20" t="n">
        <f aca="false">OP41-OQ41</f>
        <v>0</v>
      </c>
      <c r="OS41" s="20" t="n">
        <f aca="false">IF(AND(HU41=0,GV41=1,OR41&gt;0),MIN(OR41,GW41),0)</f>
        <v>0</v>
      </c>
      <c r="OT41" s="20" t="n">
        <f aca="false">OR41-OS41</f>
        <v>0</v>
      </c>
      <c r="OU41" s="20" t="n">
        <f aca="false">IF(AND(HU41=0,GL41=1,OT41&gt;0),MIN(OT41,GM41),0)</f>
        <v>0</v>
      </c>
      <c r="OV41" s="20" t="n">
        <f aca="false">OT41-OU41</f>
        <v>0</v>
      </c>
      <c r="OW41" s="20" t="n">
        <f aca="false">IF(AND(HU41=0,GB41=1,OV41&gt;0),MIN(OV41,GC41),0)</f>
        <v>0</v>
      </c>
      <c r="OX41" s="20" t="n">
        <f aca="false">OV41-OW41</f>
        <v>0</v>
      </c>
      <c r="OY41" s="20" t="n">
        <f aca="false">IF(AND(HU41=0,FR41=1,OX41&gt;0),MIN(OX41,FS41),0)</f>
        <v>0</v>
      </c>
      <c r="OZ41" s="20" t="n">
        <f aca="false">OX41-OY41</f>
        <v>0</v>
      </c>
      <c r="PA41" s="20" t="n">
        <f aca="false">IF(AND(HU41=0,FH41=1,OZ41&gt;0),MIN(OZ41,FI41),0)</f>
        <v>0</v>
      </c>
      <c r="PB41" s="20" t="n">
        <f aca="false">OZ41-PA41</f>
        <v>0</v>
      </c>
      <c r="PC41" s="20" t="n">
        <f aca="false">IF(AND(HU41=0,EX41=1,PB41&gt;0),MIN(PB41,EY41),0)</f>
        <v>0</v>
      </c>
      <c r="PD41" s="20" t="n">
        <f aca="false">PB41-PC41</f>
        <v>0</v>
      </c>
      <c r="PE41" s="20" t="n">
        <f aca="false">IF(AND(HU41=0,EN41=1,PD41&gt;0),MIN(PD41,EO41),0)</f>
        <v>0</v>
      </c>
      <c r="PF41" s="20" t="n">
        <f aca="false">PD41-PE41</f>
        <v>0</v>
      </c>
      <c r="PG41" s="20" t="n">
        <f aca="false">IF(AND(HU41=0,ED41=1,PF41&gt;0),MIN(PF41,EE41),0)</f>
        <v>0</v>
      </c>
      <c r="PH41" s="20" t="n">
        <f aca="false">PF41-PG41</f>
        <v>0</v>
      </c>
      <c r="PI41" s="20" t="n">
        <f aca="false">IF(AND(HU41=0,DT41=1,PH41&gt;0),MIN(PH41,DU41),0)</f>
        <v>0</v>
      </c>
      <c r="PJ41" s="20" t="n">
        <f aca="false">PH41-PI41</f>
        <v>0</v>
      </c>
      <c r="PK41" s="20" t="n">
        <f aca="false">IF(AND(HU41=0,DJ41=1,PJ41&gt;0),MIN(PJ41,DK41),0)</f>
        <v>0</v>
      </c>
      <c r="PL41" s="20" t="n">
        <f aca="false">PJ41-PK41</f>
        <v>0</v>
      </c>
      <c r="PM41" s="20" t="n">
        <f aca="false">IF(AND(HU41=0,CZ41=1,PL41&gt;0),MIN(PL41,DA41),0)</f>
        <v>0</v>
      </c>
      <c r="PN41" s="20" t="n">
        <f aca="false">PL41-PM41</f>
        <v>0</v>
      </c>
      <c r="PO41" s="20" t="n">
        <f aca="false">IF(AND(HU41=0,CP41=1,PN41&gt;0),MIN(PN41,CQ41),0)</f>
        <v>0</v>
      </c>
      <c r="PP41" s="20" t="n">
        <f aca="false">PN41-PO41</f>
        <v>0</v>
      </c>
      <c r="PQ41" s="20" t="n">
        <f aca="false">IF(AND(HU41=0,CF41=1,PP41&gt;0),MIN(PP41,CG41),0)</f>
        <v>0</v>
      </c>
      <c r="PR41" s="20" t="n">
        <f aca="false">PP41-PQ41</f>
        <v>0</v>
      </c>
      <c r="PS41" s="20" t="n">
        <f aca="false">IF(AND(HU41=0,BV41=1,PR41&gt;0),MIN(PR41,BW41),0)</f>
        <v>0</v>
      </c>
      <c r="PT41" s="20" t="n">
        <f aca="false">PR41-PS41</f>
        <v>0</v>
      </c>
      <c r="PU41" s="20" t="n">
        <f aca="false">IF(AND(HU41=0,BL41=1,PT41&gt;0),MIN(PT41,BM41),0)</f>
        <v>0</v>
      </c>
      <c r="PV41" s="20" t="n">
        <f aca="false">PT41-PU41</f>
        <v>0</v>
      </c>
      <c r="PW41" s="20" t="n">
        <f aca="false">IF(AND(HU41=0,BB41=1,PV41&gt;0),MIN(PV41,BC41),0)</f>
        <v>0</v>
      </c>
      <c r="PX41" s="20" t="n">
        <f aca="false">PV41-PW41</f>
        <v>0</v>
      </c>
      <c r="PY41" s="20" t="n">
        <f aca="false">IF(AND(HU41=0,AR41=1,PX41&gt;0),MIN(PX41,AS41),0)</f>
        <v>0</v>
      </c>
      <c r="PZ41" s="20" t="n">
        <f aca="false">PX41-PY41</f>
        <v>0</v>
      </c>
      <c r="QA41" s="20" t="n">
        <f aca="false">IF(AND(HU41=0,AH41=1,PZ41&gt;0),MIN(PZ41,AI41),0)</f>
        <v>0</v>
      </c>
      <c r="QB41" s="20" t="n">
        <f aca="false">PZ41-QA41</f>
        <v>0</v>
      </c>
      <c r="QC41" s="20" t="n">
        <f aca="false">IF(AND(HU41=0,W41=1,QB41&gt;0),MIN(QB41,X41),0)</f>
        <v>0</v>
      </c>
      <c r="QD41" s="20" t="n">
        <f aca="false">QB41-QC41</f>
        <v>0</v>
      </c>
      <c r="QE41" s="20" t="n">
        <f aca="false">IF(HU41=0,QD41,0)</f>
        <v>0</v>
      </c>
      <c r="QF41" s="20" t="n">
        <f aca="false">OM41+OO41+QC41+QA41+PY41+PW41+PU41+PS41+PQ41+PO41+PM41+PK41+PI41+PG41+PE41+PC41+PA41+OY41+OW41+OU41+OS41+OQ41</f>
        <v>19335.1179852798</v>
      </c>
      <c r="QG41" s="20" t="n">
        <f aca="false">IF(HU41=1,HK41+OJ41+OI41+IF(G41=1,0,OK41),HK41-OM41)</f>
        <v>112829.235316347</v>
      </c>
      <c r="QH41" s="20" t="n">
        <f aca="false">HL41-OO41</f>
        <v>15489.7842502159</v>
      </c>
      <c r="QI41" s="20" t="n">
        <f aca="false">IF(HU41=1,IF(G41=1,ID41+IE41,HS41),0)</f>
        <v>0</v>
      </c>
      <c r="QJ41" s="20" t="n">
        <f aca="false">IF(HU41=1,IF(G41=1,HS41-ID41-IE41,0),0)</f>
        <v>0</v>
      </c>
      <c r="QK41" s="57" t="n">
        <f aca="false">'Plan holdings'!BM41</f>
        <v>119001.797093455</v>
      </c>
      <c r="QL41" s="20" t="n">
        <f aca="false">QH41*(1+AS_Cash)</f>
        <v>15644.682092718</v>
      </c>
      <c r="QM41" s="20" t="n">
        <f aca="false">IF(W41=1,IF(HU41=1,II41+IL41,X41-QC41)*(1+Slot1_Rate),0)</f>
        <v>0</v>
      </c>
      <c r="QN41" s="20" t="n">
        <f aca="false">IF(AND(HU41=1,W41=1),(IH41+IL41)/F41,0)</f>
        <v>0</v>
      </c>
      <c r="QO41" s="20" t="n">
        <f aca="false">IF(B41=0,IH41+IL41,0)</f>
        <v>0</v>
      </c>
      <c r="QP41" s="20" t="n">
        <f aca="false">IF(B41=0,IF(HU41=1,IJ41,IK41),0)</f>
        <v>0</v>
      </c>
      <c r="QQ41" s="20" t="n">
        <f aca="false">IF(AH41=1,IF(HU41=1,IQ41+IT41,AI41-QA41)*(1+Slot2_Rate),0)</f>
        <v>0</v>
      </c>
      <c r="QR41" s="20" t="n">
        <f aca="false">IF(AND(HU41=1,AH41=1),(IP41+IT41)/F41,0)</f>
        <v>0</v>
      </c>
      <c r="QS41" s="20" t="n">
        <f aca="false">IF(B41=0,IP41+IT41,0)</f>
        <v>0</v>
      </c>
      <c r="QT41" s="20" t="n">
        <f aca="false">IF(B41=0,IF(HU41=1,IR41,IS41),0)</f>
        <v>0</v>
      </c>
      <c r="QU41" s="20" t="n">
        <f aca="false">IF(AR41=1,IF(HU41=1,IY41+JB41,AS41-PY41)*(1+Slot3_Rate),0)</f>
        <v>0</v>
      </c>
      <c r="QV41" s="20" t="n">
        <f aca="false">IF(AND(HU41=1,AR41=1),(IX41+JB41)/F41,0)</f>
        <v>0</v>
      </c>
      <c r="QW41" s="20" t="n">
        <f aca="false">IF(B41=0,IX41+JB41,0)</f>
        <v>0</v>
      </c>
      <c r="QX41" s="20" t="n">
        <f aca="false">IF(B41=0,IF(HU41=1,IZ41,JA41),0)</f>
        <v>0</v>
      </c>
      <c r="QY41" s="20" t="n">
        <f aca="false">IF(BB41=1,IF(HU41=1,JG41+JJ41,BC41-PW41)*(1+Slot4_Rate),0)</f>
        <v>0</v>
      </c>
      <c r="QZ41" s="20" t="n">
        <f aca="false">IF(AND(HU41=1,BB41=1),(JF41+JJ41)/F41,0)</f>
        <v>0</v>
      </c>
      <c r="RA41" s="20" t="n">
        <f aca="false">IF(B41=0,JF41+JJ41,0)</f>
        <v>0</v>
      </c>
      <c r="RB41" s="20" t="n">
        <f aca="false">IF(B41=0,IF(HU41=1,JH41,JI41),0)</f>
        <v>0</v>
      </c>
      <c r="RC41" s="20" t="n">
        <f aca="false">IF(BL41=1,IF(HU41=1,JO41+JR41,BM41-PU41)*(1+Slot5_Rate),0)</f>
        <v>0</v>
      </c>
      <c r="RD41" s="20" t="n">
        <f aca="false">IF(AND(HU41=1,BL41=1),(JN41+JR41)/F41,0)</f>
        <v>0</v>
      </c>
      <c r="RE41" s="20" t="n">
        <f aca="false">IF(B41=0,JN41+JR41,0)</f>
        <v>0</v>
      </c>
      <c r="RF41" s="20" t="n">
        <f aca="false">IF(B41=0,IF(HU41=1,JP41,JQ41),0)</f>
        <v>0</v>
      </c>
      <c r="RG41" s="20" t="n">
        <f aca="false">IF(BV41=1,IF(HU41=1,JW41+JZ41,BW41-PS41)*(1+Slot6_Rate),0)</f>
        <v>0</v>
      </c>
      <c r="RH41" s="20" t="n">
        <f aca="false">IF(AND(HU41=1,BV41=1),(JV41+JZ41)/F41,0)</f>
        <v>0</v>
      </c>
      <c r="RI41" s="20" t="n">
        <f aca="false">IF(B41=0,JV41+JZ41,0)</f>
        <v>0</v>
      </c>
      <c r="RJ41" s="20" t="n">
        <f aca="false">IF(B41=0,IF(HU41=1,JX41,JY41),0)</f>
        <v>0</v>
      </c>
      <c r="RK41" s="20" t="n">
        <f aca="false">IF(CF41=1,IF(HU41=1,KE41+KH41,CG41-PQ41)*(1+Slot7_Rate),0)</f>
        <v>0</v>
      </c>
      <c r="RL41" s="20" t="n">
        <f aca="false">IF(AND(HU41=1,CF41=1),(KD41+KH41)/F41,0)</f>
        <v>0</v>
      </c>
      <c r="RM41" s="20" t="n">
        <f aca="false">IF(B41=0,KD41+KH41,0)</f>
        <v>0</v>
      </c>
      <c r="RN41" s="20" t="n">
        <f aca="false">IF(B41=0,IF(HU41=1,KF41,KG41),0)</f>
        <v>0</v>
      </c>
      <c r="RO41" s="20" t="n">
        <f aca="false">IF(CP41=1,IF(HU41=1,KM41+KP41,CQ41-PO41)*(1+Slot8_Rate),0)</f>
        <v>0</v>
      </c>
      <c r="RP41" s="20" t="n">
        <f aca="false">IF(AND(HU41=1,CP41=1),(KL41+KP41)/F41,0)</f>
        <v>0</v>
      </c>
      <c r="RQ41" s="20" t="n">
        <f aca="false">IF(B41=0,KL41+KP41,0)</f>
        <v>0</v>
      </c>
      <c r="RR41" s="20" t="n">
        <f aca="false">IF(B41=0,IF(HU41=1,KN41,KO41),0)</f>
        <v>0</v>
      </c>
      <c r="RS41" s="20" t="n">
        <f aca="false">IF(CZ41=1,IF(HU41=1,KU41+KX41,DA41-PM41)*(1+Slot9_Rate),0)</f>
        <v>0</v>
      </c>
      <c r="RT41" s="20" t="n">
        <f aca="false">IF(AND(HU41=1,CZ41=1),(KT41+KX41)/F41,0)</f>
        <v>0</v>
      </c>
      <c r="RU41" s="20" t="n">
        <f aca="false">IF(B41=0,KT41+KX41,0)</f>
        <v>0</v>
      </c>
      <c r="RV41" s="20" t="n">
        <f aca="false">IF(B41=0,IF(HU41=1,KV41,KW41),0)</f>
        <v>0</v>
      </c>
      <c r="RW41" s="20" t="n">
        <f aca="false">IF(DJ41=1,IF(HU41=1,LC41+LF41,DK41-PK41)*(1+Slot10_Rate),0)</f>
        <v>0</v>
      </c>
      <c r="RX41" s="20" t="n">
        <f aca="false">IF(AND(HU41=1,DJ41=1),(LB41+LF41)/F41,0)</f>
        <v>0</v>
      </c>
      <c r="RY41" s="20" t="n">
        <f aca="false">IF(B41=0,LB41+LF41,0)</f>
        <v>0</v>
      </c>
      <c r="RZ41" s="20" t="n">
        <f aca="false">IF(B41=0,IF(HU41=1,LD41,LE41),0)</f>
        <v>0</v>
      </c>
      <c r="SA41" s="20" t="n">
        <f aca="false">IF(DT41=1,IF(HU41=1,LK41+LN41,DU41-PI41)*(1+Slot11_Rate),0)</f>
        <v>0</v>
      </c>
      <c r="SB41" s="20" t="n">
        <f aca="false">IF(AND(HU41=1,DT41=1),(LJ41+LN41)/F41,0)</f>
        <v>0</v>
      </c>
      <c r="SC41" s="20" t="n">
        <f aca="false">IF(B41=0,LJ41+LN41,0)</f>
        <v>0</v>
      </c>
      <c r="SD41" s="20" t="n">
        <f aca="false">IF(B41=0,IF(HU41=1,LL41,LM41),0)</f>
        <v>0</v>
      </c>
      <c r="SE41" s="20" t="n">
        <f aca="false">IF(ED41=1,IF(HU41=1,LS41+LV41,EE41-PG41)*(1+Slot12_Rate),0)</f>
        <v>0</v>
      </c>
      <c r="SF41" s="20" t="n">
        <f aca="false">IF(AND(HU41=1,ED41=1),(LR41+LV41)/F41,0)</f>
        <v>0</v>
      </c>
      <c r="SG41" s="20" t="n">
        <f aca="false">IF(B41=0,LR41+LV41,0)</f>
        <v>0</v>
      </c>
      <c r="SH41" s="20" t="n">
        <f aca="false">IF(B41=0,IF(HU41=1,LT41,LU41),0)</f>
        <v>0</v>
      </c>
      <c r="SI41" s="20" t="n">
        <f aca="false">IF(EN41=1,IF(HU41=1,MA41+MD41,EO41-PE41)*(1+Slot13_Rate),0)</f>
        <v>0</v>
      </c>
      <c r="SJ41" s="20" t="n">
        <f aca="false">IF(AND(HU41=1,EN41=1),(LZ41+MD41)/F41,0)</f>
        <v>0</v>
      </c>
      <c r="SK41" s="20" t="n">
        <f aca="false">IF(B41=0,LZ41+MD41,0)</f>
        <v>0</v>
      </c>
      <c r="SL41" s="20" t="n">
        <f aca="false">IF(B41=0,IF(HU41=1,MB41,MC41),0)</f>
        <v>0</v>
      </c>
      <c r="SM41" s="20" t="n">
        <f aca="false">IF(EX41=1,IF(HU41=1,MI41+ML41,EY41-PC41)*(1+Slot14_Rate),0)</f>
        <v>0</v>
      </c>
      <c r="SN41" s="20" t="n">
        <f aca="false">IF(AND(HU41=1,EX41=1),(MH41+ML41)/F41,0)</f>
        <v>0</v>
      </c>
      <c r="SO41" s="20" t="n">
        <f aca="false">IF(B41=0,MH41+ML41,0)</f>
        <v>0</v>
      </c>
      <c r="SP41" s="20" t="n">
        <f aca="false">IF(B41=0,IF(HU41=1,MJ41,MK41),0)</f>
        <v>0</v>
      </c>
      <c r="SQ41" s="20" t="n">
        <f aca="false">IF(FH41=1,IF(HU41=1,MQ41+MT41,FI41-PA41)*(1+Slot15_Rate),0)</f>
        <v>0</v>
      </c>
      <c r="SR41" s="20" t="n">
        <f aca="false">IF(AND(HU41=1,FH41=1),(MP41+MT41)/F41,0)</f>
        <v>0</v>
      </c>
      <c r="SS41" s="20" t="n">
        <f aca="false">IF(B41=0,MP41+MT41,0)</f>
        <v>0</v>
      </c>
      <c r="ST41" s="20" t="n">
        <f aca="false">IF(B41=0,IF(HU41=1,MR41,MS41),0)</f>
        <v>0</v>
      </c>
      <c r="SU41" s="20" t="n">
        <f aca="false">IF(FR41=1,IF(HU41=1,MY41+NB41,FS41-OY41)*(1+Slot16_Rate),0)</f>
        <v>0</v>
      </c>
      <c r="SV41" s="20" t="n">
        <f aca="false">IF(AND(HU41=1,FR41=1),(MX41+NB41)/F41,0)</f>
        <v>0</v>
      </c>
      <c r="SW41" s="20" t="n">
        <f aca="false">IF(B41=0,MX41+NB41,0)</f>
        <v>0</v>
      </c>
      <c r="SX41" s="20" t="n">
        <f aca="false">IF(B41=0,IF(HU41=1,MZ41,NA41),0)</f>
        <v>0</v>
      </c>
      <c r="SY41" s="20" t="n">
        <f aca="false">IF(GB41=1,IF(HU41=1,NG41+NJ41,GC41-OW41)*(1+Slot17_Rate),0)</f>
        <v>0</v>
      </c>
      <c r="SZ41" s="20" t="n">
        <f aca="false">IF(AND(HU41=1,GB41=1),(NF41+NJ41)/F41,0)</f>
        <v>0</v>
      </c>
      <c r="TA41" s="20" t="n">
        <f aca="false">IF(B41=0,NF41+NJ41,0)</f>
        <v>0</v>
      </c>
      <c r="TB41" s="20" t="n">
        <f aca="false">IF(B41=0,IF(HU41=1,NH41,NI41),0)</f>
        <v>0</v>
      </c>
      <c r="TC41" s="20" t="n">
        <f aca="false">IF(GL41=1,IF(HU41=1,NO41+NR41,GM41-OU41)*(1+Slot18_Rate),0)</f>
        <v>0</v>
      </c>
      <c r="TD41" s="20" t="n">
        <f aca="false">IF(AND(HU41=1,GL41=1),(NN41+NR41)/F41,0)</f>
        <v>0</v>
      </c>
      <c r="TE41" s="20" t="n">
        <f aca="false">IF(B41=0,NN41+NR41,0)</f>
        <v>0</v>
      </c>
      <c r="TF41" s="20" t="n">
        <f aca="false">IF(B41=0,IF(HU41=1,NP41,NQ41),0)</f>
        <v>0</v>
      </c>
      <c r="TG41" s="20" t="n">
        <f aca="false">IF(GV41=1,IF(HU41=1,NW41+NZ41,GW41-OS41)*(1+Slot19_Rate),0)</f>
        <v>0</v>
      </c>
      <c r="TH41" s="20" t="n">
        <f aca="false">IF(AND(HU41=1,GV41=1),(NV41+NZ41)/F41,0)</f>
        <v>0</v>
      </c>
      <c r="TI41" s="20" t="n">
        <f aca="false">IF(B41=0,NV41+NZ41,0)</f>
        <v>0</v>
      </c>
      <c r="TJ41" s="20" t="n">
        <f aca="false">IF(B41=0,IF(HU41=1,NX41,NY41),0)</f>
        <v>0</v>
      </c>
      <c r="TK41" s="20" t="n">
        <f aca="false">IF(HF41=1,IF(HU41=1,OE41+OH41,HG41-OQ41)*(1+Slot20_Rate),0)</f>
        <v>0</v>
      </c>
      <c r="TL41" s="20" t="n">
        <f aca="false">IF(AND(HU41=1,HF41=1),(OD41+OH41)/F41,0)</f>
        <v>0</v>
      </c>
      <c r="TM41" s="20" t="n">
        <f aca="false">IF(B41=0,OD41+OH41,0)</f>
        <v>0</v>
      </c>
      <c r="TN41" s="20" t="n">
        <f aca="false">IF(B41=0,IF(HU41=1,OF41,OG41),0)</f>
        <v>0</v>
      </c>
      <c r="TO41" s="20" t="n">
        <f aca="false">QK41+QL41+QM41+QQ41+QU41+QY41+RC41+RG41+RK41+RO41+RS41+RW41+SA41+SE41+SI41+SM41+SQ41+SU41+SY41+TC41+TG41+TK41</f>
        <v>134646.479186173</v>
      </c>
      <c r="TP41" s="20" t="n">
        <f aca="false">QE41+HP41</f>
        <v>0</v>
      </c>
      <c r="TQ41" s="20" t="n">
        <f aca="false">I41+S41</f>
        <v>91882.6611084827</v>
      </c>
      <c r="TR41" s="20" t="n">
        <f aca="false">1-G41</f>
        <v>1</v>
      </c>
      <c r="TS41" s="20" t="n">
        <f aca="false">IF(AND(RG_Exists=1,G41=0,C41=1),I41,0)</f>
        <v>91882.6611084827</v>
      </c>
      <c r="TT41" s="20" t="n">
        <f aca="false">IF(AND(RG_Exists=1,G41=0,C41=1),I41-MIN(QE41,I41),0)</f>
        <v>91882.6611084827</v>
      </c>
      <c r="TU41" s="20" t="n">
        <f aca="false">'Plan pay &amp; tax'!AD267</f>
        <v>404726.803975474</v>
      </c>
      <c r="TV41" s="20" t="n">
        <f aca="false">IF(AND(C41=1,QE41&gt;MAX(PR_Short1,TQ41*PR_Short2)),1,0)</f>
        <v>0</v>
      </c>
      <c r="TW41" s="20" t="n">
        <f aca="false">MIN(H41,I41+S41)</f>
        <v>72547.5431232029</v>
      </c>
      <c r="TX41" s="20" t="n">
        <f aca="false">QF41+MAX(0,HQ41-HP41)</f>
        <v>19335.1179852798</v>
      </c>
      <c r="TY41" s="20" t="n">
        <f aca="false">QE41+HP41</f>
        <v>0</v>
      </c>
      <c r="TZ41" s="20" t="n">
        <f aca="false">IF(AND(C41=1,TY41&gt;PR_MinShort),1,0)</f>
        <v>0</v>
      </c>
      <c r="UA41" s="20" t="n">
        <f aca="false">IF(AND(C41=1,TZ41=0,TX41&gt;PR_MinShort),1,0)</f>
        <v>1</v>
      </c>
      <c r="UB41" s="20" t="n">
        <f aca="false">IF(AND(C41=1,QE41&gt;PR_MinShort),1,0)</f>
        <v>0</v>
      </c>
      <c r="UC41" s="20" t="n">
        <f aca="false">IF(AND(C41=1,QF41&gt;1,UJ41=0),1,0)</f>
        <v>1</v>
      </c>
      <c r="UD41" s="20" t="str">
        <f aca="false">IF(C41=0,"",IF(UJ41=1,"Gap to plan for: short "&amp;"€"&amp;TEXT(ROUND(TP41,0),"#,##0"),IF(QF41&gt;1,"Using savings","Comfortable")))</f>
        <v>Using savings</v>
      </c>
      <c r="UE41" s="20" t="n">
        <f aca="false">IF(AND(INT(D41/10)*10=90,B41&gt;0),80,INT(D41/10)*10)</f>
        <v>70</v>
      </c>
      <c r="UF41" s="20" t="n">
        <f aca="false">IF(B41=0,1,IF(UE41&lt;&gt;UE40,UF40+1,UF40))</f>
        <v>5</v>
      </c>
      <c r="UG41" s="20" t="n">
        <f aca="false">IF(AND(C41=1,G41=1,QE41&gt;MAX(PR_Short1,TQ41*PR_Short2)),1,0)</f>
        <v>0</v>
      </c>
      <c r="UH41" s="20" t="n">
        <f aca="false">TR41*TV41</f>
        <v>0</v>
      </c>
      <c r="UI41" s="20" t="n">
        <f aca="false">IF(AND(V41=1,Slot1_PctLow=1),1,0)+IF(AND(AG41=1,Slot2_PctLow=1),1,0)+IF(AND(AQ41=1,Slot3_PctLow=1),1,0)+IF(AND(BA41=1,Slot4_PctLow=1),1,0)+IF(AND(BK41=1,Slot5_PctLow=1),1,0)+IF(AND(BU41=1,Slot6_PctLow=1),1,0)+IF(AND(CE41=1,Slot7_PctLow=1),1,0)+IF(AND(CO41=1,Slot8_PctLow=1),1,0)+IF(AND(CY41=1,Slot9_PctLow=1),1,0)+IF(AND(DI41=1,Slot10_PctLow=1),1,0)+IF(AND(DS41=1,Slot11_PctLow=1),1,0)+IF(AND(EC41=1,Slot12_PctLow=1),1,0)+IF(AND(EM41=1,Slot13_PctLow=1),1,0)+IF(AND(EW41=1,Slot14_PctLow=1),1,0)+IF(AND(FG41=1,Slot15_PctLow=1),1,0)+IF(AND(FQ41=1,Slot16_PctLow=1),1,0)+IF(AND(GA41=1,Slot17_PctLow=1),1,0)+IF(AND(GK41=1,Slot18_PctLow=1),1,0)+IF(AND(GU41=1,Slot19_PctLow=1),1,0)+IF(AND(HE41=1,Slot20_PctLow=1),1,0)</f>
        <v>0</v>
      </c>
      <c r="UJ41" s="20" t="n">
        <f aca="false">IF(C41=1,IF(OR(TV41=1,UI41&gt;0),1,0),0)</f>
        <v>0</v>
      </c>
      <c r="UK41" s="20" t="n">
        <f aca="false">Z41+AK41+AU41+BE41+BO41+BY41+CI41+CS41+DC41+DM41+DW41+EG41+EQ41+FA41+FK41+FU41+GE41+GO41+GY41+HI41+OM41</f>
        <v>19335.1179852798</v>
      </c>
      <c r="UL41" s="20" t="n">
        <f aca="false">V41*IF(Slot1_SpendLike=1,X41-Y41,IF(Slot1_PotFree=1,X41,0))+AG41*IF(Slot2_SpendLike=1,AI41-AJ41,IF(Slot2_PotFree=1,AI41,0))+AQ41*IF(Slot3_SpendLike=1,AS41-AT41,IF(Slot3_PotFree=1,AS41,0))+BA41*IF(Slot4_SpendLike=1,BC41-BD41,IF(Slot4_PotFree=1,BC41,0))+BK41*IF(Slot5_SpendLike=1,BM41-BN41,IF(Slot5_PotFree=1,BM41,0))+BU41*IF(Slot6_SpendLike=1,BW41-BX41,IF(Slot6_PotFree=1,BW41,0))+CE41*IF(Slot7_SpendLike=1,CG41-CH41,IF(Slot7_PotFree=1,CG41,0))+CO41*IF(Slot8_SpendLike=1,CQ41-CR41,IF(Slot8_PotFree=1,CQ41,0))+CY41*IF(Slot9_SpendLike=1,DA41-DB41,IF(Slot9_PotFree=1,DA41,0))+DI41*IF(Slot10_SpendLike=1,DK41-DL41,IF(Slot10_PotFree=1,DK41,0))+DS41*IF(Slot11_SpendLike=1,DU41-DV41,IF(Slot11_PotFree=1,DU41,0))+EC41*IF(Slot12_SpendLike=1,EE41-EF41,IF(Slot12_PotFree=1,EE41,0))+EM41*IF(Slot13_SpendLike=1,EO41-EP41,IF(Slot13_PotFree=1,EO41,0))+EW41*IF(Slot14_SpendLike=1,EY41-EZ41,IF(Slot14_PotFree=1,EY41,0))+FG41*IF(Slot15_SpendLike=1,FI41-FJ41,IF(Slot15_PotFree=1,FI41,0))+FQ41*IF(Slot16_SpendLike=1,FS41-FT41,IF(Slot16_PotFree=1,FS41,0))+GA41*IF(Slot17_SpendLike=1,GC41-GD41,IF(Slot17_PotFree=1,GC41,0))+GK41*IF(Slot18_SpendLike=1,GM41-GN41,IF(Slot18_PotFree=1,GM41,0))+GU41*IF(Slot19_SpendLike=1,GW41-GX41,IF(Slot19_PotFree=1,GW41,0))+HE41*IF(Slot20_SpendLike=1,HG41-HH41,IF(Slot20_PotFree=1,HG41,0))</f>
        <v>0</v>
      </c>
      <c r="UM41" s="20" t="n">
        <f aca="false">QG41-T41+UK41-UL41</f>
        <v>0</v>
      </c>
      <c r="UN41" s="20" t="n">
        <f aca="false">IF(OR(UN40=1,AND(In_homeUse="Yes, I'd downsize",In_downAge&gt;0,D41=In_downAge,OR(In_home="Own outright",In_home="Own with mortgage"),In_homeValue&gt;0)),1,0)</f>
        <v>0</v>
      </c>
    </row>
    <row r="42" customFormat="false" ht="15" hidden="false" customHeight="true" outlineLevel="0" collapsed="false">
      <c r="B42" s="20" t="n">
        <v>34</v>
      </c>
      <c r="C42" s="20" t="n">
        <f aca="false">IF(B42&lt;=F_N,1,0)</f>
        <v>1</v>
      </c>
      <c r="D42" s="20" t="n">
        <f aca="false">'Plan pay &amp; tax'!C268</f>
        <v>72</v>
      </c>
      <c r="E42" s="20" t="str">
        <f aca="false">IF($C42=1,"Income tax "&amp;TEXT(N('Plan pay &amp; tax'!BK268),"#,##0")&amp;"; USC "&amp;TEXT(N('Plan pay &amp; tax'!BM268)+N('Plan pay &amp; tax'!BO268),"#,##0")&amp;"; PRSI "&amp;TEXT(N('Plan pay &amp; tax'!BP268)+N('Plan pay &amp; tax'!BQ268),"#,##0")&amp;IF(N('Plan holdings'!BO42)&gt;=0.5,"; DIRT "&amp;TEXT(('Plan holdings'!BO42)/$F42,"#,##0")&amp;" (already taken from the interest earned)","")&amp;IF(N('Plan holdings'!BP42)&gt;=0.5,"; exit tax at an 8-year anniversary "&amp;TEXT(('Plan holdings'!BP42)/$F42,"#,##0"),"")&amp;IF(N('Plan holdings'!BN42)&gt;=0.5,"; tax on assets sold (exit tax or capital gains tax) "&amp;TEXT(('Plan holdings'!BN42)/$F42,"#,##0"),"")&amp;IF(N('Plan pay &amp; tax'!X268)-N('Plan pay &amp; tax'!Y268)&gt;=0.5,"; tax on the pension lump sum "&amp;TEXT(('Plan pay &amp; tax'!X268-'Plan pay &amp; tax'!Y268)/$F42,"#,##0"),"")&amp;IF(N('Plan pay &amp; tax'!V268)&gt;=0.5,"; chargeable excess tax on the pension "&amp;TEXT(('Plan pay &amp; tax'!V268)/$F42,"#,##0"),"")&amp;".","")</f>
        <v>Income tax 932; USC 0; PRSI 0; DIRT 39 (already taken from the interest earned); tax on assets sold (exit tax or capital gains tax) 579.</v>
      </c>
      <c r="F42" s="50" t="n">
        <f aca="false">'Plan pay &amp; tax'!E268</f>
        <v>1.96067603202202</v>
      </c>
      <c r="G42" s="20" t="n">
        <f aca="false">'Plan pay &amp; tax'!G268</f>
        <v>0</v>
      </c>
      <c r="H42" s="20" t="n">
        <f aca="false">'Plan pay &amp; tax'!BT268-'Plan pay &amp; tax'!BS268-'Plan pay &amp; tax'!R268</f>
        <v>73336.425902117</v>
      </c>
      <c r="I42" s="20" t="n">
        <f aca="false">IF(G42=1,F_CostsM*12,IF(RG_Exists=1,RG_Amount,F_CostsM*12*AS_RetireSpend))*F42+F_OneOffY*F42</f>
        <v>93720.3143306524</v>
      </c>
      <c r="J42" s="20" t="n">
        <f aca="false">IF(UN42=1,0,HR41)</f>
        <v>0</v>
      </c>
      <c r="K42" s="20" t="n">
        <f aca="false">IF(J42&gt;1,'Plan debt months'!AC42,0)</f>
        <v>0</v>
      </c>
      <c r="L42" s="20" t="n">
        <f aca="false">IF(J42&gt;1,'Plan debt months'!AB42,J42)</f>
        <v>0</v>
      </c>
      <c r="M42" s="20" t="n">
        <f aca="false">O41</f>
        <v>0</v>
      </c>
      <c r="N42" s="20" t="n">
        <f aca="false">IF(M42&gt;1,'Plan debt months'!BD42,0)</f>
        <v>0</v>
      </c>
      <c r="O42" s="20" t="n">
        <f aca="false">IF(M42&gt;1,'Plan debt months'!BC42,M42)</f>
        <v>0</v>
      </c>
      <c r="P42" s="20" t="n">
        <f aca="false">R41</f>
        <v>0</v>
      </c>
      <c r="Q42" s="20" t="n">
        <f aca="false">IF(P42&gt;1,'Plan debt months'!CE42,0)</f>
        <v>0</v>
      </c>
      <c r="R42" s="20" t="n">
        <f aca="false">IF(P42&gt;1,'Plan debt months'!CD42,P42)</f>
        <v>0</v>
      </c>
      <c r="S42" s="20" t="n">
        <f aca="false">K42+N42+Q42</f>
        <v>0</v>
      </c>
      <c r="T42" s="57" t="n">
        <f aca="false">'Plan holdings'!Y42</f>
        <v>115681.03467105</v>
      </c>
      <c r="U42" s="57" t="n">
        <f aca="false">'Plan holdings'!BM41</f>
        <v>119001.797093455</v>
      </c>
      <c r="V42" s="20" t="n">
        <f aca="false">IF(AND(Slot1_On=1,D42=Slot1_Age),1,0)</f>
        <v>0</v>
      </c>
      <c r="W42" s="20" t="n">
        <f aca="false">IF(AND(Slot1_On=1,Slot1_Age&gt;D42),1,0)</f>
        <v>0</v>
      </c>
      <c r="X42" s="20" t="n">
        <f aca="false">QM41</f>
        <v>0</v>
      </c>
      <c r="Y42" s="20" t="n">
        <f aca="false">V42*MIN(Slot1_Cost,X42)</f>
        <v>0</v>
      </c>
      <c r="Z42" s="20" t="n">
        <f aca="false">V42*Slot1_SpendLike*MIN(Slot1_Cost-Y42,T42)</f>
        <v>0</v>
      </c>
      <c r="AA42" s="20" t="n">
        <f aca="false">Y42+Z42</f>
        <v>0</v>
      </c>
      <c r="AB42" s="20" t="n">
        <f aca="false">T42-Z42+V42*IF(Slot1_SpendLike=1,X42-Y42,IF(Slot1_PotFree=1,X42,0))</f>
        <v>115681.03467105</v>
      </c>
      <c r="AC42" s="20" t="n">
        <f aca="false">AF42+V42*Slot1_BufPot*X42</f>
        <v>15644.682092718</v>
      </c>
      <c r="AD42" s="20" t="n">
        <f aca="false">IF(AND(V42=1,Slot1_IsMfree=1),IF(AA42&gt;=Slot1_Cost-1,0,MAX(0,L42-AA42)),L42)</f>
        <v>0</v>
      </c>
      <c r="AE42" s="20" t="n">
        <f aca="false">V42*(Slot1_Cost-AA42)</f>
        <v>0</v>
      </c>
      <c r="AF42" s="20" t="n">
        <f aca="false">QL41</f>
        <v>15644.682092718</v>
      </c>
      <c r="AG42" s="20" t="n">
        <f aca="false">IF(AND(Slot2_On=1,D42=Slot2_Age),1,0)</f>
        <v>0</v>
      </c>
      <c r="AH42" s="20" t="n">
        <f aca="false">IF(AND(Slot2_On=1,Slot2_Age&gt;D42),1,0)</f>
        <v>0</v>
      </c>
      <c r="AI42" s="20" t="n">
        <f aca="false">QQ41</f>
        <v>0</v>
      </c>
      <c r="AJ42" s="20" t="n">
        <f aca="false">AG42*MIN(Slot2_Cost,AI42)</f>
        <v>0</v>
      </c>
      <c r="AK42" s="20" t="n">
        <f aca="false">AG42*Slot2_SpendLike*MIN(Slot2_Cost-AJ42,AB42)</f>
        <v>0</v>
      </c>
      <c r="AL42" s="20" t="n">
        <f aca="false">AJ42+AK42</f>
        <v>0</v>
      </c>
      <c r="AM42" s="20" t="n">
        <f aca="false">AB42-AK42+AG42*IF(Slot2_SpendLike=1,AI42-AJ42,IF(Slot2_PotFree=1,AI42,0))</f>
        <v>115681.03467105</v>
      </c>
      <c r="AN42" s="20" t="n">
        <f aca="false">AC42+AG42*Slot2_BufPot*AI42</f>
        <v>15644.682092718</v>
      </c>
      <c r="AO42" s="20" t="n">
        <f aca="false">IF(AND(AG42=1,Slot2_IsMfree=1),IF(AL42&gt;=Slot2_Cost-1,0,MAX(0,AD42-AL42)),AD42)</f>
        <v>0</v>
      </c>
      <c r="AP42" s="20" t="n">
        <f aca="false">AG42*(Slot2_Cost-AL42)</f>
        <v>0</v>
      </c>
      <c r="AQ42" s="20" t="n">
        <f aca="false">IF(AND(Slot3_On=1,D42=Slot3_Age),1,0)</f>
        <v>0</v>
      </c>
      <c r="AR42" s="20" t="n">
        <f aca="false">IF(AND(Slot3_On=1,Slot3_Age&gt;D42),1,0)</f>
        <v>0</v>
      </c>
      <c r="AS42" s="20" t="n">
        <f aca="false">QU41</f>
        <v>0</v>
      </c>
      <c r="AT42" s="20" t="n">
        <f aca="false">AQ42*MIN(Slot3_Cost,AS42)</f>
        <v>0</v>
      </c>
      <c r="AU42" s="20" t="n">
        <f aca="false">AQ42*Slot3_SpendLike*MIN(Slot3_Cost-AT42,AM42)</f>
        <v>0</v>
      </c>
      <c r="AV42" s="20" t="n">
        <f aca="false">AT42+AU42</f>
        <v>0</v>
      </c>
      <c r="AW42" s="20" t="n">
        <f aca="false">AM42-AU42+AQ42*IF(Slot3_SpendLike=1,AS42-AT42,IF(Slot3_PotFree=1,AS42,0))</f>
        <v>115681.03467105</v>
      </c>
      <c r="AX42" s="20" t="n">
        <f aca="false">AN42+AQ42*Slot3_BufPot*AS42</f>
        <v>15644.682092718</v>
      </c>
      <c r="AY42" s="20" t="n">
        <f aca="false">IF(AND(AQ42=1,Slot3_IsMfree=1),IF(AV42&gt;=Slot3_Cost-1,0,MAX(0,AO42-AV42)),AO42)</f>
        <v>0</v>
      </c>
      <c r="AZ42" s="20" t="n">
        <f aca="false">AQ42*(Slot3_Cost-AV42)</f>
        <v>0</v>
      </c>
      <c r="BA42" s="20" t="n">
        <f aca="false">IF(AND(Slot4_On=1,D42=Slot4_Age),1,0)</f>
        <v>0</v>
      </c>
      <c r="BB42" s="20" t="n">
        <f aca="false">IF(AND(Slot4_On=1,Slot4_Age&gt;D42),1,0)</f>
        <v>0</v>
      </c>
      <c r="BC42" s="20" t="n">
        <f aca="false">QY41</f>
        <v>0</v>
      </c>
      <c r="BD42" s="20" t="n">
        <f aca="false">BA42*MIN(Slot4_Cost,BC42)</f>
        <v>0</v>
      </c>
      <c r="BE42" s="20" t="n">
        <f aca="false">BA42*Slot4_SpendLike*MIN(Slot4_Cost-BD42,AW42)</f>
        <v>0</v>
      </c>
      <c r="BF42" s="20" t="n">
        <f aca="false">BD42+BE42</f>
        <v>0</v>
      </c>
      <c r="BG42" s="20" t="n">
        <f aca="false">AW42-BE42+BA42*IF(Slot4_SpendLike=1,BC42-BD42,IF(Slot4_PotFree=1,BC42,0))</f>
        <v>115681.03467105</v>
      </c>
      <c r="BH42" s="20" t="n">
        <f aca="false">AX42+BA42*Slot4_BufPot*BC42</f>
        <v>15644.682092718</v>
      </c>
      <c r="BI42" s="20" t="n">
        <f aca="false">IF(AND(BA42=1,Slot4_IsMfree=1),IF(BF42&gt;=Slot4_Cost-1,0,MAX(0,AY42-BF42)),AY42)</f>
        <v>0</v>
      </c>
      <c r="BJ42" s="20" t="n">
        <f aca="false">BA42*(Slot4_Cost-BF42)</f>
        <v>0</v>
      </c>
      <c r="BK42" s="20" t="n">
        <f aca="false">IF(AND(Slot5_On=1,D42=Slot5_Age),1,0)</f>
        <v>0</v>
      </c>
      <c r="BL42" s="20" t="n">
        <f aca="false">IF(AND(Slot5_On=1,Slot5_Age&gt;D42),1,0)</f>
        <v>0</v>
      </c>
      <c r="BM42" s="20" t="n">
        <f aca="false">RC41</f>
        <v>0</v>
      </c>
      <c r="BN42" s="20" t="n">
        <f aca="false">BK42*MIN(Slot5_Cost,BM42)</f>
        <v>0</v>
      </c>
      <c r="BO42" s="20" t="n">
        <f aca="false">BK42*Slot5_SpendLike*MIN(Slot5_Cost-BN42,BG42)</f>
        <v>0</v>
      </c>
      <c r="BP42" s="20" t="n">
        <f aca="false">BN42+BO42</f>
        <v>0</v>
      </c>
      <c r="BQ42" s="20" t="n">
        <f aca="false">BG42-BO42+BK42*IF(Slot5_SpendLike=1,BM42-BN42,IF(Slot5_PotFree=1,BM42,0))</f>
        <v>115681.03467105</v>
      </c>
      <c r="BR42" s="20" t="n">
        <f aca="false">BH42+BK42*Slot5_BufPot*BM42</f>
        <v>15644.682092718</v>
      </c>
      <c r="BS42" s="20" t="n">
        <f aca="false">IF(AND(BK42=1,Slot5_IsMfree=1),IF(BP42&gt;=Slot5_Cost-1,0,MAX(0,BI42-BP42)),BI42)</f>
        <v>0</v>
      </c>
      <c r="BT42" s="20" t="n">
        <f aca="false">BK42*(Slot5_Cost-BP42)</f>
        <v>0</v>
      </c>
      <c r="BU42" s="20" t="n">
        <f aca="false">IF(AND(Slot6_On=1,D42=Slot6_Age),1,0)</f>
        <v>0</v>
      </c>
      <c r="BV42" s="20" t="n">
        <f aca="false">IF(AND(Slot6_On=1,Slot6_Age&gt;D42),1,0)</f>
        <v>0</v>
      </c>
      <c r="BW42" s="20" t="n">
        <f aca="false">RG41</f>
        <v>0</v>
      </c>
      <c r="BX42" s="20" t="n">
        <f aca="false">BU42*MIN(Slot6_Cost,BW42)</f>
        <v>0</v>
      </c>
      <c r="BY42" s="20" t="n">
        <f aca="false">BU42*Slot6_SpendLike*MIN(Slot6_Cost-BX42,BQ42)</f>
        <v>0</v>
      </c>
      <c r="BZ42" s="20" t="n">
        <f aca="false">BX42+BY42</f>
        <v>0</v>
      </c>
      <c r="CA42" s="20" t="n">
        <f aca="false">BQ42-BY42+BU42*IF(Slot6_SpendLike=1,BW42-BX42,IF(Slot6_PotFree=1,BW42,0))</f>
        <v>115681.03467105</v>
      </c>
      <c r="CB42" s="20" t="n">
        <f aca="false">BR42+BU42*Slot6_BufPot*BW42</f>
        <v>15644.682092718</v>
      </c>
      <c r="CC42" s="20" t="n">
        <f aca="false">IF(AND(BU42=1,Slot6_IsMfree=1),IF(BZ42&gt;=Slot6_Cost-1,0,MAX(0,BS42-BZ42)),BS42)</f>
        <v>0</v>
      </c>
      <c r="CD42" s="20" t="n">
        <f aca="false">BU42*(Slot6_Cost-BZ42)</f>
        <v>0</v>
      </c>
      <c r="CE42" s="20" t="n">
        <f aca="false">IF(AND(Slot7_On=1,D42=Slot7_Age),1,0)</f>
        <v>0</v>
      </c>
      <c r="CF42" s="20" t="n">
        <f aca="false">IF(AND(Slot7_On=1,Slot7_Age&gt;D42),1,0)</f>
        <v>0</v>
      </c>
      <c r="CG42" s="20" t="n">
        <f aca="false">RK41</f>
        <v>0</v>
      </c>
      <c r="CH42" s="20" t="n">
        <f aca="false">CE42*MIN(Slot7_Cost,CG42)</f>
        <v>0</v>
      </c>
      <c r="CI42" s="20" t="n">
        <f aca="false">CE42*Slot7_SpendLike*MIN(Slot7_Cost-CH42,CA42)</f>
        <v>0</v>
      </c>
      <c r="CJ42" s="20" t="n">
        <f aca="false">CH42+CI42</f>
        <v>0</v>
      </c>
      <c r="CK42" s="20" t="n">
        <f aca="false">CA42-CI42+CE42*IF(Slot7_SpendLike=1,CG42-CH42,IF(Slot7_PotFree=1,CG42,0))</f>
        <v>115681.03467105</v>
      </c>
      <c r="CL42" s="20" t="n">
        <f aca="false">CB42+CE42*Slot7_BufPot*CG42</f>
        <v>15644.682092718</v>
      </c>
      <c r="CM42" s="20" t="n">
        <f aca="false">IF(AND(CE42=1,Slot7_IsMfree=1),IF(CJ42&gt;=Slot7_Cost-1,0,MAX(0,CC42-CJ42)),CC42)</f>
        <v>0</v>
      </c>
      <c r="CN42" s="20" t="n">
        <f aca="false">CE42*(Slot7_Cost-CJ42)</f>
        <v>0</v>
      </c>
      <c r="CO42" s="20" t="n">
        <f aca="false">IF(AND(Slot8_On=1,D42=Slot8_Age),1,0)</f>
        <v>0</v>
      </c>
      <c r="CP42" s="20" t="n">
        <f aca="false">IF(AND(Slot8_On=1,Slot8_Age&gt;D42),1,0)</f>
        <v>0</v>
      </c>
      <c r="CQ42" s="20" t="n">
        <f aca="false">RO41</f>
        <v>0</v>
      </c>
      <c r="CR42" s="20" t="n">
        <f aca="false">CO42*MIN(Slot8_Cost,CQ42)</f>
        <v>0</v>
      </c>
      <c r="CS42" s="20" t="n">
        <f aca="false">CO42*Slot8_SpendLike*MIN(Slot8_Cost-CR42,CK42)</f>
        <v>0</v>
      </c>
      <c r="CT42" s="20" t="n">
        <f aca="false">CR42+CS42</f>
        <v>0</v>
      </c>
      <c r="CU42" s="20" t="n">
        <f aca="false">CK42-CS42+CO42*IF(Slot8_SpendLike=1,CQ42-CR42,IF(Slot8_PotFree=1,CQ42,0))</f>
        <v>115681.03467105</v>
      </c>
      <c r="CV42" s="20" t="n">
        <f aca="false">CL42+CO42*Slot8_BufPot*CQ42</f>
        <v>15644.682092718</v>
      </c>
      <c r="CW42" s="20" t="n">
        <f aca="false">IF(AND(CO42=1,Slot8_IsMfree=1),IF(CT42&gt;=Slot8_Cost-1,0,MAX(0,CM42-CT42)),CM42)</f>
        <v>0</v>
      </c>
      <c r="CX42" s="20" t="n">
        <f aca="false">CO42*(Slot8_Cost-CT42)</f>
        <v>0</v>
      </c>
      <c r="CY42" s="20" t="n">
        <f aca="false">IF(AND(Slot9_On=1,D42=Slot9_Age),1,0)</f>
        <v>0</v>
      </c>
      <c r="CZ42" s="20" t="n">
        <f aca="false">IF(AND(Slot9_On=1,Slot9_Age&gt;D42),1,0)</f>
        <v>0</v>
      </c>
      <c r="DA42" s="20" t="n">
        <f aca="false">RS41</f>
        <v>0</v>
      </c>
      <c r="DB42" s="20" t="n">
        <f aca="false">CY42*MIN(Slot9_Cost,DA42)</f>
        <v>0</v>
      </c>
      <c r="DC42" s="20" t="n">
        <f aca="false">CY42*Slot9_SpendLike*MIN(Slot9_Cost-DB42,CU42)</f>
        <v>0</v>
      </c>
      <c r="DD42" s="20" t="n">
        <f aca="false">DB42+DC42</f>
        <v>0</v>
      </c>
      <c r="DE42" s="20" t="n">
        <f aca="false">CU42-DC42+CY42*IF(Slot9_SpendLike=1,DA42-DB42,IF(Slot9_PotFree=1,DA42,0))</f>
        <v>115681.03467105</v>
      </c>
      <c r="DF42" s="20" t="n">
        <f aca="false">CV42+CY42*Slot9_BufPot*DA42</f>
        <v>15644.682092718</v>
      </c>
      <c r="DG42" s="20" t="n">
        <f aca="false">IF(AND(CY42=1,Slot9_IsMfree=1),IF(DD42&gt;=Slot9_Cost-1,0,MAX(0,CW42-DD42)),CW42)</f>
        <v>0</v>
      </c>
      <c r="DH42" s="20" t="n">
        <f aca="false">CY42*(Slot9_Cost-DD42)</f>
        <v>0</v>
      </c>
      <c r="DI42" s="20" t="n">
        <f aca="false">IF(AND(Slot10_On=1,D42=Slot10_Age),1,0)</f>
        <v>0</v>
      </c>
      <c r="DJ42" s="20" t="n">
        <f aca="false">IF(AND(Slot10_On=1,Slot10_Age&gt;D42),1,0)</f>
        <v>0</v>
      </c>
      <c r="DK42" s="20" t="n">
        <f aca="false">RW41</f>
        <v>0</v>
      </c>
      <c r="DL42" s="20" t="n">
        <f aca="false">DI42*MIN(Slot10_Cost,DK42)</f>
        <v>0</v>
      </c>
      <c r="DM42" s="20" t="n">
        <f aca="false">DI42*Slot10_SpendLike*MIN(Slot10_Cost-DL42,DE42)</f>
        <v>0</v>
      </c>
      <c r="DN42" s="20" t="n">
        <f aca="false">DL42+DM42</f>
        <v>0</v>
      </c>
      <c r="DO42" s="20" t="n">
        <f aca="false">DE42-DM42+DI42*IF(Slot10_SpendLike=1,DK42-DL42,IF(Slot10_PotFree=1,DK42,0))</f>
        <v>115681.03467105</v>
      </c>
      <c r="DP42" s="20" t="n">
        <f aca="false">DF42+DI42*Slot10_BufPot*DK42</f>
        <v>15644.682092718</v>
      </c>
      <c r="DQ42" s="20" t="n">
        <f aca="false">IF(AND(DI42=1,Slot10_IsMfree=1),IF(DN42&gt;=Slot10_Cost-1,0,MAX(0,DG42-DN42)),DG42)</f>
        <v>0</v>
      </c>
      <c r="DR42" s="20" t="n">
        <f aca="false">DI42*(Slot10_Cost-DN42)</f>
        <v>0</v>
      </c>
      <c r="DS42" s="20" t="n">
        <f aca="false">IF(AND(Slot11_On=1,D42=Slot11_Age),1,0)</f>
        <v>0</v>
      </c>
      <c r="DT42" s="20" t="n">
        <f aca="false">IF(AND(Slot11_On=1,Slot11_Age&gt;D42),1,0)</f>
        <v>0</v>
      </c>
      <c r="DU42" s="20" t="n">
        <f aca="false">SA41</f>
        <v>0</v>
      </c>
      <c r="DV42" s="20" t="n">
        <f aca="false">DS42*MIN(Slot11_Cost,DU42)</f>
        <v>0</v>
      </c>
      <c r="DW42" s="20" t="n">
        <f aca="false">DS42*Slot11_SpendLike*MIN(Slot11_Cost-DV42,DO42)</f>
        <v>0</v>
      </c>
      <c r="DX42" s="20" t="n">
        <f aca="false">DV42+DW42</f>
        <v>0</v>
      </c>
      <c r="DY42" s="20" t="n">
        <f aca="false">DO42-DW42+DS42*IF(Slot11_SpendLike=1,DU42-DV42,IF(Slot11_PotFree=1,DU42,0))</f>
        <v>115681.03467105</v>
      </c>
      <c r="DZ42" s="20" t="n">
        <f aca="false">DP42+DS42*Slot11_BufPot*DU42</f>
        <v>15644.682092718</v>
      </c>
      <c r="EA42" s="20" t="n">
        <f aca="false">IF(AND(DS42=1,Slot11_IsMfree=1),IF(DX42&gt;=Slot11_Cost-1,0,MAX(0,DQ42-DX42)),DQ42)</f>
        <v>0</v>
      </c>
      <c r="EB42" s="20" t="n">
        <f aca="false">DS42*(Slot11_Cost-DX42)</f>
        <v>0</v>
      </c>
      <c r="EC42" s="20" t="n">
        <f aca="false">IF(AND(Slot12_On=1,D42=Slot12_Age),1,0)</f>
        <v>0</v>
      </c>
      <c r="ED42" s="20" t="n">
        <f aca="false">IF(AND(Slot12_On=1,Slot12_Age&gt;D42),1,0)</f>
        <v>0</v>
      </c>
      <c r="EE42" s="20" t="n">
        <f aca="false">SE41</f>
        <v>0</v>
      </c>
      <c r="EF42" s="20" t="n">
        <f aca="false">EC42*MIN(Slot12_Cost,EE42)</f>
        <v>0</v>
      </c>
      <c r="EG42" s="20" t="n">
        <f aca="false">EC42*Slot12_SpendLike*MIN(Slot12_Cost-EF42,DY42)</f>
        <v>0</v>
      </c>
      <c r="EH42" s="20" t="n">
        <f aca="false">EF42+EG42</f>
        <v>0</v>
      </c>
      <c r="EI42" s="20" t="n">
        <f aca="false">DY42-EG42+EC42*IF(Slot12_SpendLike=1,EE42-EF42,IF(Slot12_PotFree=1,EE42,0))</f>
        <v>115681.03467105</v>
      </c>
      <c r="EJ42" s="20" t="n">
        <f aca="false">DZ42+EC42*Slot12_BufPot*EE42</f>
        <v>15644.682092718</v>
      </c>
      <c r="EK42" s="20" t="n">
        <f aca="false">IF(AND(EC42=1,Slot12_IsMfree=1),IF(EH42&gt;=Slot12_Cost-1,0,MAX(0,EA42-EH42)),EA42)</f>
        <v>0</v>
      </c>
      <c r="EL42" s="20" t="n">
        <f aca="false">EC42*(Slot12_Cost-EH42)</f>
        <v>0</v>
      </c>
      <c r="EM42" s="20" t="n">
        <f aca="false">IF(AND(Slot13_On=1,D42=Slot13_Age),1,0)</f>
        <v>0</v>
      </c>
      <c r="EN42" s="20" t="n">
        <f aca="false">IF(AND(Slot13_On=1,Slot13_Age&gt;D42),1,0)</f>
        <v>0</v>
      </c>
      <c r="EO42" s="20" t="n">
        <f aca="false">SI41</f>
        <v>0</v>
      </c>
      <c r="EP42" s="20" t="n">
        <f aca="false">EM42*MIN(Slot13_Cost,EO42)</f>
        <v>0</v>
      </c>
      <c r="EQ42" s="20" t="n">
        <f aca="false">EM42*Slot13_SpendLike*MIN(Slot13_Cost-EP42,EI42)</f>
        <v>0</v>
      </c>
      <c r="ER42" s="20" t="n">
        <f aca="false">EP42+EQ42</f>
        <v>0</v>
      </c>
      <c r="ES42" s="20" t="n">
        <f aca="false">EI42-EQ42+EM42*IF(Slot13_SpendLike=1,EO42-EP42,IF(Slot13_PotFree=1,EO42,0))</f>
        <v>115681.03467105</v>
      </c>
      <c r="ET42" s="20" t="n">
        <f aca="false">EJ42+EM42*Slot13_BufPot*EO42</f>
        <v>15644.682092718</v>
      </c>
      <c r="EU42" s="20" t="n">
        <f aca="false">IF(AND(EM42=1,Slot13_IsMfree=1),IF(ER42&gt;=Slot13_Cost-1,0,MAX(0,EK42-ER42)),EK42)</f>
        <v>0</v>
      </c>
      <c r="EV42" s="20" t="n">
        <f aca="false">EM42*(Slot13_Cost-ER42)</f>
        <v>0</v>
      </c>
      <c r="EW42" s="20" t="n">
        <f aca="false">IF(AND(Slot14_On=1,D42=Slot14_Age),1,0)</f>
        <v>0</v>
      </c>
      <c r="EX42" s="20" t="n">
        <f aca="false">IF(AND(Slot14_On=1,Slot14_Age&gt;D42),1,0)</f>
        <v>0</v>
      </c>
      <c r="EY42" s="20" t="n">
        <f aca="false">SM41</f>
        <v>0</v>
      </c>
      <c r="EZ42" s="20" t="n">
        <f aca="false">EW42*MIN(Slot14_Cost,EY42)</f>
        <v>0</v>
      </c>
      <c r="FA42" s="20" t="n">
        <f aca="false">EW42*Slot14_SpendLike*MIN(Slot14_Cost-EZ42,ES42)</f>
        <v>0</v>
      </c>
      <c r="FB42" s="20" t="n">
        <f aca="false">EZ42+FA42</f>
        <v>0</v>
      </c>
      <c r="FC42" s="20" t="n">
        <f aca="false">ES42-FA42+EW42*IF(Slot14_SpendLike=1,EY42-EZ42,IF(Slot14_PotFree=1,EY42,0))</f>
        <v>115681.03467105</v>
      </c>
      <c r="FD42" s="20" t="n">
        <f aca="false">ET42+EW42*Slot14_BufPot*EY42</f>
        <v>15644.682092718</v>
      </c>
      <c r="FE42" s="20" t="n">
        <f aca="false">IF(AND(EW42=1,Slot14_IsMfree=1),IF(FB42&gt;=Slot14_Cost-1,0,MAX(0,EU42-FB42)),EU42)</f>
        <v>0</v>
      </c>
      <c r="FF42" s="20" t="n">
        <f aca="false">EW42*(Slot14_Cost-FB42)</f>
        <v>0</v>
      </c>
      <c r="FG42" s="20" t="n">
        <f aca="false">IF(AND(Slot15_On=1,D42=Slot15_Age),1,0)</f>
        <v>0</v>
      </c>
      <c r="FH42" s="20" t="n">
        <f aca="false">IF(AND(Slot15_On=1,Slot15_Age&gt;D42),1,0)</f>
        <v>0</v>
      </c>
      <c r="FI42" s="20" t="n">
        <f aca="false">SQ41</f>
        <v>0</v>
      </c>
      <c r="FJ42" s="20" t="n">
        <f aca="false">FG42*MIN(Slot15_Cost,FI42)</f>
        <v>0</v>
      </c>
      <c r="FK42" s="20" t="n">
        <f aca="false">FG42*Slot15_SpendLike*MIN(Slot15_Cost-FJ42,FC42)</f>
        <v>0</v>
      </c>
      <c r="FL42" s="20" t="n">
        <f aca="false">FJ42+FK42</f>
        <v>0</v>
      </c>
      <c r="FM42" s="20" t="n">
        <f aca="false">FC42-FK42+FG42*IF(Slot15_SpendLike=1,FI42-FJ42,IF(Slot15_PotFree=1,FI42,0))</f>
        <v>115681.03467105</v>
      </c>
      <c r="FN42" s="20" t="n">
        <f aca="false">FD42+FG42*Slot15_BufPot*FI42</f>
        <v>15644.682092718</v>
      </c>
      <c r="FO42" s="20" t="n">
        <f aca="false">IF(AND(FG42=1,Slot15_IsMfree=1),IF(FL42&gt;=Slot15_Cost-1,0,MAX(0,FE42-FL42)),FE42)</f>
        <v>0</v>
      </c>
      <c r="FP42" s="20" t="n">
        <f aca="false">FG42*(Slot15_Cost-FL42)</f>
        <v>0</v>
      </c>
      <c r="FQ42" s="20" t="n">
        <f aca="false">IF(AND(Slot16_On=1,D42=Slot16_Age),1,0)</f>
        <v>0</v>
      </c>
      <c r="FR42" s="20" t="n">
        <f aca="false">IF(AND(Slot16_On=1,Slot16_Age&gt;D42),1,0)</f>
        <v>0</v>
      </c>
      <c r="FS42" s="20" t="n">
        <f aca="false">SU41</f>
        <v>0</v>
      </c>
      <c r="FT42" s="20" t="n">
        <f aca="false">FQ42*MIN(Slot16_Cost,FS42)</f>
        <v>0</v>
      </c>
      <c r="FU42" s="20" t="n">
        <f aca="false">FQ42*Slot16_SpendLike*MIN(Slot16_Cost-FT42,FM42)</f>
        <v>0</v>
      </c>
      <c r="FV42" s="20" t="n">
        <f aca="false">FT42+FU42</f>
        <v>0</v>
      </c>
      <c r="FW42" s="20" t="n">
        <f aca="false">FM42-FU42+FQ42*IF(Slot16_SpendLike=1,FS42-FT42,IF(Slot16_PotFree=1,FS42,0))</f>
        <v>115681.03467105</v>
      </c>
      <c r="FX42" s="20" t="n">
        <f aca="false">FN42+FQ42*Slot16_BufPot*FS42</f>
        <v>15644.682092718</v>
      </c>
      <c r="FY42" s="20" t="n">
        <f aca="false">IF(AND(FQ42=1,Slot16_IsMfree=1),IF(FV42&gt;=Slot16_Cost-1,0,MAX(0,FO42-FV42)),FO42)</f>
        <v>0</v>
      </c>
      <c r="FZ42" s="20" t="n">
        <f aca="false">FQ42*(Slot16_Cost-FV42)</f>
        <v>0</v>
      </c>
      <c r="GA42" s="20" t="n">
        <f aca="false">IF(AND(Slot17_On=1,D42=Slot17_Age),1,0)</f>
        <v>0</v>
      </c>
      <c r="GB42" s="20" t="n">
        <f aca="false">IF(AND(Slot17_On=1,Slot17_Age&gt;D42),1,0)</f>
        <v>0</v>
      </c>
      <c r="GC42" s="20" t="n">
        <f aca="false">SY41</f>
        <v>0</v>
      </c>
      <c r="GD42" s="20" t="n">
        <f aca="false">GA42*MIN(Slot17_Cost,GC42)</f>
        <v>0</v>
      </c>
      <c r="GE42" s="20" t="n">
        <f aca="false">GA42*Slot17_SpendLike*MIN(Slot17_Cost-GD42,FW42)</f>
        <v>0</v>
      </c>
      <c r="GF42" s="20" t="n">
        <f aca="false">GD42+GE42</f>
        <v>0</v>
      </c>
      <c r="GG42" s="20" t="n">
        <f aca="false">FW42-GE42+GA42*IF(Slot17_SpendLike=1,GC42-GD42,IF(Slot17_PotFree=1,GC42,0))</f>
        <v>115681.03467105</v>
      </c>
      <c r="GH42" s="20" t="n">
        <f aca="false">FX42+GA42*Slot17_BufPot*GC42</f>
        <v>15644.682092718</v>
      </c>
      <c r="GI42" s="20" t="n">
        <f aca="false">IF(AND(GA42=1,Slot17_IsMfree=1),IF(GF42&gt;=Slot17_Cost-1,0,MAX(0,FY42-GF42)),FY42)</f>
        <v>0</v>
      </c>
      <c r="GJ42" s="20" t="n">
        <f aca="false">GA42*(Slot17_Cost-GF42)</f>
        <v>0</v>
      </c>
      <c r="GK42" s="20" t="n">
        <f aca="false">IF(AND(Slot18_On=1,D42=Slot18_Age),1,0)</f>
        <v>0</v>
      </c>
      <c r="GL42" s="20" t="n">
        <f aca="false">IF(AND(Slot18_On=1,Slot18_Age&gt;D42),1,0)</f>
        <v>0</v>
      </c>
      <c r="GM42" s="20" t="n">
        <f aca="false">TC41</f>
        <v>0</v>
      </c>
      <c r="GN42" s="20" t="n">
        <f aca="false">GK42*MIN(Slot18_Cost,GM42)</f>
        <v>0</v>
      </c>
      <c r="GO42" s="20" t="n">
        <f aca="false">GK42*Slot18_SpendLike*MIN(Slot18_Cost-GN42,GG42)</f>
        <v>0</v>
      </c>
      <c r="GP42" s="20" t="n">
        <f aca="false">GN42+GO42</f>
        <v>0</v>
      </c>
      <c r="GQ42" s="20" t="n">
        <f aca="false">GG42-GO42+GK42*IF(Slot18_SpendLike=1,GM42-GN42,IF(Slot18_PotFree=1,GM42,0))</f>
        <v>115681.03467105</v>
      </c>
      <c r="GR42" s="20" t="n">
        <f aca="false">GH42+GK42*Slot18_BufPot*GM42</f>
        <v>15644.682092718</v>
      </c>
      <c r="GS42" s="20" t="n">
        <f aca="false">IF(AND(GK42=1,Slot18_IsMfree=1),IF(GP42&gt;=Slot18_Cost-1,0,MAX(0,GI42-GP42)),GI42)</f>
        <v>0</v>
      </c>
      <c r="GT42" s="20" t="n">
        <f aca="false">GK42*(Slot18_Cost-GP42)</f>
        <v>0</v>
      </c>
      <c r="GU42" s="20" t="n">
        <f aca="false">IF(AND(Slot19_On=1,D42=Slot19_Age),1,0)</f>
        <v>0</v>
      </c>
      <c r="GV42" s="20" t="n">
        <f aca="false">IF(AND(Slot19_On=1,Slot19_Age&gt;D42),1,0)</f>
        <v>0</v>
      </c>
      <c r="GW42" s="20" t="n">
        <f aca="false">TG41</f>
        <v>0</v>
      </c>
      <c r="GX42" s="20" t="n">
        <f aca="false">GU42*MIN(Slot19_Cost,GW42)</f>
        <v>0</v>
      </c>
      <c r="GY42" s="20" t="n">
        <f aca="false">GU42*Slot19_SpendLike*MIN(Slot19_Cost-GX42,GQ42)</f>
        <v>0</v>
      </c>
      <c r="GZ42" s="20" t="n">
        <f aca="false">GX42+GY42</f>
        <v>0</v>
      </c>
      <c r="HA42" s="20" t="n">
        <f aca="false">GQ42-GY42+GU42*IF(Slot19_SpendLike=1,GW42-GX42,IF(Slot19_PotFree=1,GW42,0))</f>
        <v>115681.03467105</v>
      </c>
      <c r="HB42" s="20" t="n">
        <f aca="false">GR42+GU42*Slot19_BufPot*GW42</f>
        <v>15644.682092718</v>
      </c>
      <c r="HC42" s="20" t="n">
        <f aca="false">IF(AND(GU42=1,Slot19_IsMfree=1),IF(GZ42&gt;=Slot19_Cost-1,0,MAX(0,GS42-GZ42)),GS42)</f>
        <v>0</v>
      </c>
      <c r="HD42" s="20" t="n">
        <f aca="false">GU42*(Slot19_Cost-GZ42)</f>
        <v>0</v>
      </c>
      <c r="HE42" s="20" t="n">
        <f aca="false">IF(AND(Slot20_On=1,D42=Slot20_Age),1,0)</f>
        <v>0</v>
      </c>
      <c r="HF42" s="20" t="n">
        <f aca="false">IF(AND(Slot20_On=1,Slot20_Age&gt;D42),1,0)</f>
        <v>0</v>
      </c>
      <c r="HG42" s="20" t="n">
        <f aca="false">TK41</f>
        <v>0</v>
      </c>
      <c r="HH42" s="20" t="n">
        <f aca="false">HE42*MIN(Slot20_Cost,HG42)</f>
        <v>0</v>
      </c>
      <c r="HI42" s="20" t="n">
        <f aca="false">HE42*Slot20_SpendLike*MIN(Slot20_Cost-HH42,HA42)</f>
        <v>0</v>
      </c>
      <c r="HJ42" s="20" t="n">
        <f aca="false">HH42+HI42</f>
        <v>0</v>
      </c>
      <c r="HK42" s="20" t="n">
        <f aca="false">HA42-HI42+HE42*IF(Slot20_SpendLike=1,HG42-HH42,IF(Slot20_PotFree=1,HG42,0))</f>
        <v>115681.03467105</v>
      </c>
      <c r="HL42" s="20" t="n">
        <f aca="false">HB42+HE42*Slot20_BufPot*HG42</f>
        <v>15644.682092718</v>
      </c>
      <c r="HM42" s="20" t="n">
        <f aca="false">IF(AND(HE42=1,Slot20_IsMfree=1),IF(HJ42&gt;=Slot20_Cost-1,0,MAX(0,HC42-HJ42)),HC42)</f>
        <v>0</v>
      </c>
      <c r="HN42" s="20" t="n">
        <f aca="false">HE42*(Slot20_Cost-HJ42)</f>
        <v>0</v>
      </c>
      <c r="HO42" s="20" t="n">
        <f aca="false">V42*Slot1_SpendLike*AA42+AG42*Slot2_SpendLike*AL42+AQ42*Slot3_SpendLike*AV42+BA42*Slot4_SpendLike*BF42+BK42*Slot5_SpendLike*BP42+BU42*Slot6_SpendLike*BZ42+CE42*Slot7_SpendLike*CJ42+CO42*Slot8_SpendLike*CT42+CY42*Slot9_SpendLike*DD42+DI42*Slot10_SpendLike*DN42+DS42*Slot11_SpendLike*DX42+EC42*Slot12_SpendLike*EH42+EM42*Slot13_SpendLike*ER42+EW42*Slot14_SpendLike*FB42+FG42*Slot15_SpendLike*FL42+FQ42*Slot16_SpendLike*FV42+GA42*Slot17_SpendLike*GF42+GK42*Slot18_SpendLike*GP42+GU42*Slot19_SpendLike*GZ42+HE42*Slot20_SpendLike*HJ42</f>
        <v>0</v>
      </c>
      <c r="HP42" s="20" t="n">
        <f aca="false">AE42+AP42+AZ42+BJ42+BT42+CD42+CN42+CX42+DH42+DR42+EB42+EL42+EV42+FF42+FP42+FZ42+GJ42+GT42+HD42+HN42</f>
        <v>0</v>
      </c>
      <c r="HQ42" s="20" t="n">
        <f aca="false">V42*Slot1_Cost+AG42*Slot2_Cost+AQ42*Slot3_Cost+BA42*Slot4_Cost+BK42*Slot5_Cost+BU42*Slot6_Cost+CE42*Slot7_Cost+CO42*Slot8_Cost+CY42*Slot9_Cost+DI42*Slot10_Cost+DS42*Slot11_Cost+EC42*Slot12_Cost+EM42*Slot13_Cost+EW42*Slot14_Cost+FG42*Slot15_Cost+FQ42*Slot16_Cost+GA42*Slot17_Cost+GK42*Slot18_Cost+GU42*Slot19_Cost+HE42*Slot20_Cost</f>
        <v>0</v>
      </c>
      <c r="HR42" s="20" t="n">
        <f aca="false">HM42</f>
        <v>0</v>
      </c>
      <c r="HS42" s="20" t="n">
        <f aca="false">H42-I42-S42</f>
        <v>-20383.8884285354</v>
      </c>
      <c r="HT42" s="20" t="n">
        <f aca="false">IF(B42=0,IF(AND(Has_q6=1,In_q6=4),PR_ShareVaries*(MAX(0,HS42)/12),MIN(IF(Has_q6=1,CHOOSE(In_q6+1,PR_SaveB1,PR_SaveB2,PR_SaveB3,PR_SaveB4,0),AS_NoAnswer),AS_SaveShare*(MAX(0,HS42)/12))),HT41)</f>
        <v>67.3316893520437</v>
      </c>
      <c r="HU42" s="20" t="n">
        <f aca="false">IF(HS42&gt;=0,1,0)</f>
        <v>0</v>
      </c>
      <c r="HV42" s="20" t="n">
        <f aca="false">MAX(0,HS42/12/F42)</f>
        <v>0</v>
      </c>
      <c r="HW42" s="20" t="n">
        <f aca="false">IF(AND(Has_q6=1,In_q6=4),PR_ShareVaries*(HV42),MIN(IF(Has_q6=1,CHOOSE(In_q6+1,PR_SaveB1,PR_SaveB2,PR_SaveB3,PR_SaveB4,0),AS_NoAnswer),AS_SaveShare*(HV42)))</f>
        <v>0</v>
      </c>
      <c r="HX42" s="20" t="n">
        <f aca="false">IF(Has_saveM=1,IF(In_saveUp="Yes",1,IF(In_saveUp="No",0,IF(In_saveM&gt;=HT42-0.5,1,0))),0)</f>
        <v>0</v>
      </c>
      <c r="HY42" s="20" t="n">
        <f aca="false">IF(Has_saveM=1,MIN(HV42,IF(HX42=1,MAX(In_saveM,HW42),MIN(In_saveM,HW42))),HW42)</f>
        <v>0</v>
      </c>
      <c r="HZ42" s="20" t="n">
        <f aca="false">IF(G42=1,HY42*12*F42,0)</f>
        <v>0</v>
      </c>
      <c r="IA42" s="20" t="n">
        <f aca="false">MAX(0,HZ42+IF(AND(WI_Retire=0,WI_M&lt;0,G42=1),WI_M*12*F42,0))</f>
        <v>0</v>
      </c>
      <c r="IB42" s="20" t="n">
        <f aca="false">Slot1_IsWG*W42+Slot2_IsWG*AH42+Slot3_IsWG*AR42+Slot4_IsWG*BB42+Slot5_IsWG*BL42+Slot6_IsWG*BV42+Slot7_IsWG*CF42+Slot8_IsWG*CP42+Slot9_IsWG*CZ42+Slot10_IsWG*DJ42+Slot11_IsWG*DT42+Slot12_IsWG*ED42+Slot13_IsWG*EN42+Slot14_IsWG*EX42+Slot15_IsWG*FH42+Slot16_IsWG*FR42+Slot17_IsWG*GB42+Slot18_IsWG*GL42+Slot19_IsWG*GV42+Slot20_IsWG*HF42</f>
        <v>0</v>
      </c>
      <c r="IC42" s="20" t="n">
        <f aca="false">IF(AND(WI_Retire=0,WI_M&gt;0,G42=1,IB42&gt;=1),WI_M*12*F42,0)</f>
        <v>0</v>
      </c>
      <c r="ID42" s="20" t="n">
        <f aca="false">IF(HU42=1,MIN(IA42,HS42),0)</f>
        <v>0</v>
      </c>
      <c r="IE42" s="20" t="n">
        <f aca="false">IF(HU42=1,MIN(IC42,HS42-ID42),0)</f>
        <v>0</v>
      </c>
      <c r="IF42" s="20" t="n">
        <f aca="false">IF(W42=1,IF(ABS((1+AS_Wage)/(1+Slot1_Rate)-1)&lt;0.000000000001,(Slot1_Age-D42)*(1+Slot1_Rate)^(Slot1_Age-D42),(1+Slot1_Rate)^(Slot1_Age-D42)*(1-((1+AS_Wage)/(1+Slot1_Rate))^(Slot1_Age-D42))/(1-(1+AS_Wage)/(1+Slot1_Rate))),1)</f>
        <v>1</v>
      </c>
      <c r="IG42" s="20" t="n">
        <f aca="false">IF(AND(HU42=1,IE42&gt;0,Slot1_IsWG=1,W42=1),MAX(0,(Slot1_Cost-X42*(1+Slot1_Rate)^(Slot1_Age-D42))/IF42),0)</f>
        <v>0</v>
      </c>
      <c r="IH42" s="20" t="n">
        <f aca="false">IF(AND(HU42=1,IE42&gt;0,Slot1_IsWG=1,W42=1),MIN(IE42,IG42),0)</f>
        <v>0</v>
      </c>
      <c r="II42" s="20" t="n">
        <f aca="false">X42+IH42</f>
        <v>0</v>
      </c>
      <c r="IJ42" s="20" t="n">
        <f aca="false">IF(W42=1,MAX(0,(Slot1_Cost-II42*(1+Slot1_Rate)^(Slot1_Age-D42))/IF42),0)</f>
        <v>0</v>
      </c>
      <c r="IK42" s="20" t="n">
        <f aca="false">IF(W42=1,MAX(0,(Slot1_Cost-X42*(1+Slot1_Rate)^(Slot1_Age-D42))/IF42),0)</f>
        <v>0</v>
      </c>
      <c r="IL42" s="20" t="n">
        <f aca="false">IF(AND(HU42=1,W42=1),MIN(ID42,IJ42),0)</f>
        <v>0</v>
      </c>
      <c r="IM42" s="20" t="n">
        <f aca="false">ID42-IL42</f>
        <v>0</v>
      </c>
      <c r="IN42" s="20" t="n">
        <f aca="false">IF(AH42=1,IF(ABS((1+AS_Wage)/(1+Slot2_Rate)-1)&lt;0.000000000001,(Slot2_Age-D42)*(1+Slot2_Rate)^(Slot2_Age-D42),(1+Slot2_Rate)^(Slot2_Age-D42)*(1-((1+AS_Wage)/(1+Slot2_Rate))^(Slot2_Age-D42))/(1-(1+AS_Wage)/(1+Slot2_Rate))),1)</f>
        <v>1</v>
      </c>
      <c r="IO42" s="20" t="n">
        <f aca="false">IF(AND(HU42=1,IE42&gt;0,Slot2_IsWG=1,AH42=1),MAX(0,(Slot2_Cost-AI42*(1+Slot2_Rate)^(Slot2_Age-D42))/IN42),0)</f>
        <v>0</v>
      </c>
      <c r="IP42" s="20" t="n">
        <f aca="false">IF(AND(HU42=1,IE42&gt;0,Slot2_IsWG=1,AH42=1),MIN(IE42,IO42),0)</f>
        <v>0</v>
      </c>
      <c r="IQ42" s="20" t="n">
        <f aca="false">AI42+IP42</f>
        <v>0</v>
      </c>
      <c r="IR42" s="20" t="n">
        <f aca="false">IF(AH42=1,MAX(0,(Slot2_Cost-IQ42*(1+Slot2_Rate)^(Slot2_Age-D42))/IN42),0)</f>
        <v>0</v>
      </c>
      <c r="IS42" s="20" t="n">
        <f aca="false">IF(AH42=1,MAX(0,(Slot2_Cost-AI42*(1+Slot2_Rate)^(Slot2_Age-D42))/IN42),0)</f>
        <v>0</v>
      </c>
      <c r="IT42" s="20" t="n">
        <f aca="false">IF(AND(HU42=1,AH42=1),MIN(IM42,IR42),0)</f>
        <v>0</v>
      </c>
      <c r="IU42" s="20" t="n">
        <f aca="false">IM42-IT42</f>
        <v>0</v>
      </c>
      <c r="IV42" s="20" t="n">
        <f aca="false">IF(AR42=1,IF(ABS((1+AS_Wage)/(1+Slot3_Rate)-1)&lt;0.000000000001,(Slot3_Age-D42)*(1+Slot3_Rate)^(Slot3_Age-D42),(1+Slot3_Rate)^(Slot3_Age-D42)*(1-((1+AS_Wage)/(1+Slot3_Rate))^(Slot3_Age-D42))/(1-(1+AS_Wage)/(1+Slot3_Rate))),1)</f>
        <v>1</v>
      </c>
      <c r="IW42" s="20" t="n">
        <f aca="false">IF(AND(HU42=1,IE42&gt;0,Slot3_IsWG=1,AR42=1),MAX(0,(Slot3_Cost-AS42*(1+Slot3_Rate)^(Slot3_Age-D42))/IV42),0)</f>
        <v>0</v>
      </c>
      <c r="IX42" s="20" t="n">
        <f aca="false">IF(AND(HU42=1,IE42&gt;0,Slot3_IsWG=1,AR42=1),MIN(IE42,IW42),0)</f>
        <v>0</v>
      </c>
      <c r="IY42" s="20" t="n">
        <f aca="false">AS42+IX42</f>
        <v>0</v>
      </c>
      <c r="IZ42" s="20" t="n">
        <f aca="false">IF(AR42=1,MAX(0,(Slot3_Cost-IY42*(1+Slot3_Rate)^(Slot3_Age-D42))/IV42),0)</f>
        <v>0</v>
      </c>
      <c r="JA42" s="20" t="n">
        <f aca="false">IF(AR42=1,MAX(0,(Slot3_Cost-AS42*(1+Slot3_Rate)^(Slot3_Age-D42))/IV42),0)</f>
        <v>0</v>
      </c>
      <c r="JB42" s="20" t="n">
        <f aca="false">IF(AND(HU42=1,AR42=1),MIN(IU42,IZ42),0)</f>
        <v>0</v>
      </c>
      <c r="JC42" s="20" t="n">
        <f aca="false">IU42-JB42</f>
        <v>0</v>
      </c>
      <c r="JD42" s="20" t="n">
        <f aca="false">IF(BB42=1,IF(ABS((1+AS_Wage)/(1+Slot4_Rate)-1)&lt;0.000000000001,(Slot4_Age-D42)*(1+Slot4_Rate)^(Slot4_Age-D42),(1+Slot4_Rate)^(Slot4_Age-D42)*(1-((1+AS_Wage)/(1+Slot4_Rate))^(Slot4_Age-D42))/(1-(1+AS_Wage)/(1+Slot4_Rate))),1)</f>
        <v>1</v>
      </c>
      <c r="JE42" s="20" t="n">
        <f aca="false">IF(AND(HU42=1,IE42&gt;0,Slot4_IsWG=1,BB42=1),MAX(0,(Slot4_Cost-BC42*(1+Slot4_Rate)^(Slot4_Age-D42))/JD42),0)</f>
        <v>0</v>
      </c>
      <c r="JF42" s="20" t="n">
        <f aca="false">IF(AND(HU42=1,IE42&gt;0,Slot4_IsWG=1,BB42=1),MIN(IE42,JE42),0)</f>
        <v>0</v>
      </c>
      <c r="JG42" s="20" t="n">
        <f aca="false">BC42+JF42</f>
        <v>0</v>
      </c>
      <c r="JH42" s="20" t="n">
        <f aca="false">IF(BB42=1,MAX(0,(Slot4_Cost-JG42*(1+Slot4_Rate)^(Slot4_Age-D42))/JD42),0)</f>
        <v>0</v>
      </c>
      <c r="JI42" s="20" t="n">
        <f aca="false">IF(BB42=1,MAX(0,(Slot4_Cost-BC42*(1+Slot4_Rate)^(Slot4_Age-D42))/JD42),0)</f>
        <v>0</v>
      </c>
      <c r="JJ42" s="20" t="n">
        <f aca="false">IF(AND(HU42=1,BB42=1),MIN(JC42,JH42),0)</f>
        <v>0</v>
      </c>
      <c r="JK42" s="20" t="n">
        <f aca="false">JC42-JJ42</f>
        <v>0</v>
      </c>
      <c r="JL42" s="20" t="n">
        <f aca="false">IF(BL42=1,IF(ABS((1+AS_Wage)/(1+Slot5_Rate)-1)&lt;0.000000000001,(Slot5_Age-D42)*(1+Slot5_Rate)^(Slot5_Age-D42),(1+Slot5_Rate)^(Slot5_Age-D42)*(1-((1+AS_Wage)/(1+Slot5_Rate))^(Slot5_Age-D42))/(1-(1+AS_Wage)/(1+Slot5_Rate))),1)</f>
        <v>1</v>
      </c>
      <c r="JM42" s="20" t="n">
        <f aca="false">IF(AND(HU42=1,IE42&gt;0,Slot5_IsWG=1,BL42=1),MAX(0,(Slot5_Cost-BM42*(1+Slot5_Rate)^(Slot5_Age-D42))/JL42),0)</f>
        <v>0</v>
      </c>
      <c r="JN42" s="20" t="n">
        <f aca="false">IF(AND(HU42=1,IE42&gt;0,Slot5_IsWG=1,BL42=1),MIN(IE42,JM42),0)</f>
        <v>0</v>
      </c>
      <c r="JO42" s="20" t="n">
        <f aca="false">BM42+JN42</f>
        <v>0</v>
      </c>
      <c r="JP42" s="20" t="n">
        <f aca="false">IF(BL42=1,MAX(0,(Slot5_Cost-JO42*(1+Slot5_Rate)^(Slot5_Age-D42))/JL42),0)</f>
        <v>0</v>
      </c>
      <c r="JQ42" s="20" t="n">
        <f aca="false">IF(BL42=1,MAX(0,(Slot5_Cost-BM42*(1+Slot5_Rate)^(Slot5_Age-D42))/JL42),0)</f>
        <v>0</v>
      </c>
      <c r="JR42" s="20" t="n">
        <f aca="false">IF(AND(HU42=1,BL42=1),MIN(JK42,JP42),0)</f>
        <v>0</v>
      </c>
      <c r="JS42" s="20" t="n">
        <f aca="false">JK42-JR42</f>
        <v>0</v>
      </c>
      <c r="JT42" s="20" t="n">
        <f aca="false">IF(BV42=1,IF(ABS((1+AS_Wage)/(1+Slot6_Rate)-1)&lt;0.000000000001,(Slot6_Age-D42)*(1+Slot6_Rate)^(Slot6_Age-D42),(1+Slot6_Rate)^(Slot6_Age-D42)*(1-((1+AS_Wage)/(1+Slot6_Rate))^(Slot6_Age-D42))/(1-(1+AS_Wage)/(1+Slot6_Rate))),1)</f>
        <v>1</v>
      </c>
      <c r="JU42" s="20" t="n">
        <f aca="false">IF(AND(HU42=1,IE42&gt;0,Slot6_IsWG=1,BV42=1),MAX(0,(Slot6_Cost-BW42*(1+Slot6_Rate)^(Slot6_Age-D42))/JT42),0)</f>
        <v>0</v>
      </c>
      <c r="JV42" s="20" t="n">
        <f aca="false">IF(AND(HU42=1,IE42&gt;0,Slot6_IsWG=1,BV42=1),MIN(IE42,JU42),0)</f>
        <v>0</v>
      </c>
      <c r="JW42" s="20" t="n">
        <f aca="false">BW42+JV42</f>
        <v>0</v>
      </c>
      <c r="JX42" s="20" t="n">
        <f aca="false">IF(BV42=1,MAX(0,(Slot6_Cost-JW42*(1+Slot6_Rate)^(Slot6_Age-D42))/JT42),0)</f>
        <v>0</v>
      </c>
      <c r="JY42" s="20" t="n">
        <f aca="false">IF(BV42=1,MAX(0,(Slot6_Cost-BW42*(1+Slot6_Rate)^(Slot6_Age-D42))/JT42),0)</f>
        <v>0</v>
      </c>
      <c r="JZ42" s="20" t="n">
        <f aca="false">IF(AND(HU42=1,BV42=1),MIN(JS42,JX42),0)</f>
        <v>0</v>
      </c>
      <c r="KA42" s="20" t="n">
        <f aca="false">JS42-JZ42</f>
        <v>0</v>
      </c>
      <c r="KB42" s="20" t="n">
        <f aca="false">IF(CF42=1,IF(ABS((1+AS_Wage)/(1+Slot7_Rate)-1)&lt;0.000000000001,(Slot7_Age-D42)*(1+Slot7_Rate)^(Slot7_Age-D42),(1+Slot7_Rate)^(Slot7_Age-D42)*(1-((1+AS_Wage)/(1+Slot7_Rate))^(Slot7_Age-D42))/(1-(1+AS_Wage)/(1+Slot7_Rate))),1)</f>
        <v>1</v>
      </c>
      <c r="KC42" s="20" t="n">
        <f aca="false">IF(AND(HU42=1,IE42&gt;0,Slot7_IsWG=1,CF42=1),MAX(0,(Slot7_Cost-CG42*(1+Slot7_Rate)^(Slot7_Age-D42))/KB42),0)</f>
        <v>0</v>
      </c>
      <c r="KD42" s="20" t="n">
        <f aca="false">IF(AND(HU42=1,IE42&gt;0,Slot7_IsWG=1,CF42=1),MIN(IE42,KC42),0)</f>
        <v>0</v>
      </c>
      <c r="KE42" s="20" t="n">
        <f aca="false">CG42+KD42</f>
        <v>0</v>
      </c>
      <c r="KF42" s="20" t="n">
        <f aca="false">IF(CF42=1,MAX(0,(Slot7_Cost-KE42*(1+Slot7_Rate)^(Slot7_Age-D42))/KB42),0)</f>
        <v>0</v>
      </c>
      <c r="KG42" s="20" t="n">
        <f aca="false">IF(CF42=1,MAX(0,(Slot7_Cost-CG42*(1+Slot7_Rate)^(Slot7_Age-D42))/KB42),0)</f>
        <v>0</v>
      </c>
      <c r="KH42" s="20" t="n">
        <f aca="false">IF(AND(HU42=1,CF42=1),MIN(KA42,KF42),0)</f>
        <v>0</v>
      </c>
      <c r="KI42" s="20" t="n">
        <f aca="false">KA42-KH42</f>
        <v>0</v>
      </c>
      <c r="KJ42" s="20" t="n">
        <f aca="false">IF(CP42=1,IF(ABS((1+AS_Wage)/(1+Slot8_Rate)-1)&lt;0.000000000001,(Slot8_Age-D42)*(1+Slot8_Rate)^(Slot8_Age-D42),(1+Slot8_Rate)^(Slot8_Age-D42)*(1-((1+AS_Wage)/(1+Slot8_Rate))^(Slot8_Age-D42))/(1-(1+AS_Wage)/(1+Slot8_Rate))),1)</f>
        <v>1</v>
      </c>
      <c r="KK42" s="20" t="n">
        <f aca="false">IF(AND(HU42=1,IE42&gt;0,Slot8_IsWG=1,CP42=1),MAX(0,(Slot8_Cost-CQ42*(1+Slot8_Rate)^(Slot8_Age-D42))/KJ42),0)</f>
        <v>0</v>
      </c>
      <c r="KL42" s="20" t="n">
        <f aca="false">IF(AND(HU42=1,IE42&gt;0,Slot8_IsWG=1,CP42=1),MIN(IE42,KK42),0)</f>
        <v>0</v>
      </c>
      <c r="KM42" s="20" t="n">
        <f aca="false">CQ42+KL42</f>
        <v>0</v>
      </c>
      <c r="KN42" s="20" t="n">
        <f aca="false">IF(CP42=1,MAX(0,(Slot8_Cost-KM42*(1+Slot8_Rate)^(Slot8_Age-D42))/KJ42),0)</f>
        <v>0</v>
      </c>
      <c r="KO42" s="20" t="n">
        <f aca="false">IF(CP42=1,MAX(0,(Slot8_Cost-CQ42*(1+Slot8_Rate)^(Slot8_Age-D42))/KJ42),0)</f>
        <v>0</v>
      </c>
      <c r="KP42" s="20" t="n">
        <f aca="false">IF(AND(HU42=1,CP42=1),MIN(KI42,KN42),0)</f>
        <v>0</v>
      </c>
      <c r="KQ42" s="20" t="n">
        <f aca="false">KI42-KP42</f>
        <v>0</v>
      </c>
      <c r="KR42" s="20" t="n">
        <f aca="false">IF(CZ42=1,IF(ABS((1+AS_Wage)/(1+Slot9_Rate)-1)&lt;0.000000000001,(Slot9_Age-D42)*(1+Slot9_Rate)^(Slot9_Age-D42),(1+Slot9_Rate)^(Slot9_Age-D42)*(1-((1+AS_Wage)/(1+Slot9_Rate))^(Slot9_Age-D42))/(1-(1+AS_Wage)/(1+Slot9_Rate))),1)</f>
        <v>1</v>
      </c>
      <c r="KS42" s="20" t="n">
        <f aca="false">IF(AND(HU42=1,IE42&gt;0,Slot9_IsWG=1,CZ42=1),MAX(0,(Slot9_Cost-DA42*(1+Slot9_Rate)^(Slot9_Age-D42))/KR42),0)</f>
        <v>0</v>
      </c>
      <c r="KT42" s="20" t="n">
        <f aca="false">IF(AND(HU42=1,IE42&gt;0,Slot9_IsWG=1,CZ42=1),MIN(IE42,KS42),0)</f>
        <v>0</v>
      </c>
      <c r="KU42" s="20" t="n">
        <f aca="false">DA42+KT42</f>
        <v>0</v>
      </c>
      <c r="KV42" s="20" t="n">
        <f aca="false">IF(CZ42=1,MAX(0,(Slot9_Cost-KU42*(1+Slot9_Rate)^(Slot9_Age-D42))/KR42),0)</f>
        <v>0</v>
      </c>
      <c r="KW42" s="20" t="n">
        <f aca="false">IF(CZ42=1,MAX(0,(Slot9_Cost-DA42*(1+Slot9_Rate)^(Slot9_Age-D42))/KR42),0)</f>
        <v>0</v>
      </c>
      <c r="KX42" s="20" t="n">
        <f aca="false">IF(AND(HU42=1,CZ42=1),MIN(KQ42,KV42),0)</f>
        <v>0</v>
      </c>
      <c r="KY42" s="20" t="n">
        <f aca="false">KQ42-KX42</f>
        <v>0</v>
      </c>
      <c r="KZ42" s="20" t="n">
        <f aca="false">IF(DJ42=1,IF(ABS((1+AS_Wage)/(1+Slot10_Rate)-1)&lt;0.000000000001,(Slot10_Age-D42)*(1+Slot10_Rate)^(Slot10_Age-D42),(1+Slot10_Rate)^(Slot10_Age-D42)*(1-((1+AS_Wage)/(1+Slot10_Rate))^(Slot10_Age-D42))/(1-(1+AS_Wage)/(1+Slot10_Rate))),1)</f>
        <v>1</v>
      </c>
      <c r="LA42" s="20" t="n">
        <f aca="false">IF(AND(HU42=1,IE42&gt;0,Slot10_IsWG=1,DJ42=1),MAX(0,(Slot10_Cost-DK42*(1+Slot10_Rate)^(Slot10_Age-D42))/KZ42),0)</f>
        <v>0</v>
      </c>
      <c r="LB42" s="20" t="n">
        <f aca="false">IF(AND(HU42=1,IE42&gt;0,Slot10_IsWG=1,DJ42=1),MIN(IE42,LA42),0)</f>
        <v>0</v>
      </c>
      <c r="LC42" s="20" t="n">
        <f aca="false">DK42+LB42</f>
        <v>0</v>
      </c>
      <c r="LD42" s="20" t="n">
        <f aca="false">IF(DJ42=1,MAX(0,(Slot10_Cost-LC42*(1+Slot10_Rate)^(Slot10_Age-D42))/KZ42),0)</f>
        <v>0</v>
      </c>
      <c r="LE42" s="20" t="n">
        <f aca="false">IF(DJ42=1,MAX(0,(Slot10_Cost-DK42*(1+Slot10_Rate)^(Slot10_Age-D42))/KZ42),0)</f>
        <v>0</v>
      </c>
      <c r="LF42" s="20" t="n">
        <f aca="false">IF(AND(HU42=1,DJ42=1),MIN(KY42,LD42),0)</f>
        <v>0</v>
      </c>
      <c r="LG42" s="20" t="n">
        <f aca="false">KY42-LF42</f>
        <v>0</v>
      </c>
      <c r="LH42" s="20" t="n">
        <f aca="false">IF(DT42=1,IF(ABS((1+AS_Wage)/(1+Slot11_Rate)-1)&lt;0.000000000001,(Slot11_Age-D42)*(1+Slot11_Rate)^(Slot11_Age-D42),(1+Slot11_Rate)^(Slot11_Age-D42)*(1-((1+AS_Wage)/(1+Slot11_Rate))^(Slot11_Age-D42))/(1-(1+AS_Wage)/(1+Slot11_Rate))),1)</f>
        <v>1</v>
      </c>
      <c r="LI42" s="20" t="n">
        <f aca="false">IF(AND(HU42=1,IE42&gt;0,Slot11_IsWG=1,DT42=1),MAX(0,(Slot11_Cost-DU42*(1+Slot11_Rate)^(Slot11_Age-D42))/LH42),0)</f>
        <v>0</v>
      </c>
      <c r="LJ42" s="20" t="n">
        <f aca="false">IF(AND(HU42=1,IE42&gt;0,Slot11_IsWG=1,DT42=1),MIN(IE42,LI42),0)</f>
        <v>0</v>
      </c>
      <c r="LK42" s="20" t="n">
        <f aca="false">DU42+LJ42</f>
        <v>0</v>
      </c>
      <c r="LL42" s="20" t="n">
        <f aca="false">IF(DT42=1,MAX(0,(Slot11_Cost-LK42*(1+Slot11_Rate)^(Slot11_Age-D42))/LH42),0)</f>
        <v>0</v>
      </c>
      <c r="LM42" s="20" t="n">
        <f aca="false">IF(DT42=1,MAX(0,(Slot11_Cost-DU42*(1+Slot11_Rate)^(Slot11_Age-D42))/LH42),0)</f>
        <v>0</v>
      </c>
      <c r="LN42" s="20" t="n">
        <f aca="false">IF(AND(HU42=1,DT42=1),MIN(LG42,LL42),0)</f>
        <v>0</v>
      </c>
      <c r="LO42" s="20" t="n">
        <f aca="false">LG42-LN42</f>
        <v>0</v>
      </c>
      <c r="LP42" s="20" t="n">
        <f aca="false">IF(ED42=1,IF(ABS((1+AS_Wage)/(1+Slot12_Rate)-1)&lt;0.000000000001,(Slot12_Age-D42)*(1+Slot12_Rate)^(Slot12_Age-D42),(1+Slot12_Rate)^(Slot12_Age-D42)*(1-((1+AS_Wage)/(1+Slot12_Rate))^(Slot12_Age-D42))/(1-(1+AS_Wage)/(1+Slot12_Rate))),1)</f>
        <v>1</v>
      </c>
      <c r="LQ42" s="20" t="n">
        <f aca="false">IF(AND(HU42=1,IE42&gt;0,Slot12_IsWG=1,ED42=1),MAX(0,(Slot12_Cost-EE42*(1+Slot12_Rate)^(Slot12_Age-D42))/LP42),0)</f>
        <v>0</v>
      </c>
      <c r="LR42" s="20" t="n">
        <f aca="false">IF(AND(HU42=1,IE42&gt;0,Slot12_IsWG=1,ED42=1),MIN(IE42,LQ42),0)</f>
        <v>0</v>
      </c>
      <c r="LS42" s="20" t="n">
        <f aca="false">EE42+LR42</f>
        <v>0</v>
      </c>
      <c r="LT42" s="20" t="n">
        <f aca="false">IF(ED42=1,MAX(0,(Slot12_Cost-LS42*(1+Slot12_Rate)^(Slot12_Age-D42))/LP42),0)</f>
        <v>0</v>
      </c>
      <c r="LU42" s="20" t="n">
        <f aca="false">IF(ED42=1,MAX(0,(Slot12_Cost-EE42*(1+Slot12_Rate)^(Slot12_Age-D42))/LP42),0)</f>
        <v>0</v>
      </c>
      <c r="LV42" s="20" t="n">
        <f aca="false">IF(AND(HU42=1,ED42=1),MIN(LO42,LT42),0)</f>
        <v>0</v>
      </c>
      <c r="LW42" s="20" t="n">
        <f aca="false">LO42-LV42</f>
        <v>0</v>
      </c>
      <c r="LX42" s="20" t="n">
        <f aca="false">IF(EN42=1,IF(ABS((1+AS_Wage)/(1+Slot13_Rate)-1)&lt;0.000000000001,(Slot13_Age-D42)*(1+Slot13_Rate)^(Slot13_Age-D42),(1+Slot13_Rate)^(Slot13_Age-D42)*(1-((1+AS_Wage)/(1+Slot13_Rate))^(Slot13_Age-D42))/(1-(1+AS_Wage)/(1+Slot13_Rate))),1)</f>
        <v>1</v>
      </c>
      <c r="LY42" s="20" t="n">
        <f aca="false">IF(AND(HU42=1,IE42&gt;0,Slot13_IsWG=1,EN42=1),MAX(0,(Slot13_Cost-EO42*(1+Slot13_Rate)^(Slot13_Age-D42))/LX42),0)</f>
        <v>0</v>
      </c>
      <c r="LZ42" s="20" t="n">
        <f aca="false">IF(AND(HU42=1,IE42&gt;0,Slot13_IsWG=1,EN42=1),MIN(IE42,LY42),0)</f>
        <v>0</v>
      </c>
      <c r="MA42" s="20" t="n">
        <f aca="false">EO42+LZ42</f>
        <v>0</v>
      </c>
      <c r="MB42" s="20" t="n">
        <f aca="false">IF(EN42=1,MAX(0,(Slot13_Cost-MA42*(1+Slot13_Rate)^(Slot13_Age-D42))/LX42),0)</f>
        <v>0</v>
      </c>
      <c r="MC42" s="20" t="n">
        <f aca="false">IF(EN42=1,MAX(0,(Slot13_Cost-EO42*(1+Slot13_Rate)^(Slot13_Age-D42))/LX42),0)</f>
        <v>0</v>
      </c>
      <c r="MD42" s="20" t="n">
        <f aca="false">IF(AND(HU42=1,EN42=1),MIN(LW42,MB42),0)</f>
        <v>0</v>
      </c>
      <c r="ME42" s="20" t="n">
        <f aca="false">LW42-MD42</f>
        <v>0</v>
      </c>
      <c r="MF42" s="20" t="n">
        <f aca="false">IF(EX42=1,IF(ABS((1+AS_Wage)/(1+Slot14_Rate)-1)&lt;0.000000000001,(Slot14_Age-D42)*(1+Slot14_Rate)^(Slot14_Age-D42),(1+Slot14_Rate)^(Slot14_Age-D42)*(1-((1+AS_Wage)/(1+Slot14_Rate))^(Slot14_Age-D42))/(1-(1+AS_Wage)/(1+Slot14_Rate))),1)</f>
        <v>1</v>
      </c>
      <c r="MG42" s="20" t="n">
        <f aca="false">IF(AND(HU42=1,IE42&gt;0,Slot14_IsWG=1,EX42=1),MAX(0,(Slot14_Cost-EY42*(1+Slot14_Rate)^(Slot14_Age-D42))/MF42),0)</f>
        <v>0</v>
      </c>
      <c r="MH42" s="20" t="n">
        <f aca="false">IF(AND(HU42=1,IE42&gt;0,Slot14_IsWG=1,EX42=1),MIN(IE42,MG42),0)</f>
        <v>0</v>
      </c>
      <c r="MI42" s="20" t="n">
        <f aca="false">EY42+MH42</f>
        <v>0</v>
      </c>
      <c r="MJ42" s="20" t="n">
        <f aca="false">IF(EX42=1,MAX(0,(Slot14_Cost-MI42*(1+Slot14_Rate)^(Slot14_Age-D42))/MF42),0)</f>
        <v>0</v>
      </c>
      <c r="MK42" s="20" t="n">
        <f aca="false">IF(EX42=1,MAX(0,(Slot14_Cost-EY42*(1+Slot14_Rate)^(Slot14_Age-D42))/MF42),0)</f>
        <v>0</v>
      </c>
      <c r="ML42" s="20" t="n">
        <f aca="false">IF(AND(HU42=1,EX42=1),MIN(ME42,MJ42),0)</f>
        <v>0</v>
      </c>
      <c r="MM42" s="20" t="n">
        <f aca="false">ME42-ML42</f>
        <v>0</v>
      </c>
      <c r="MN42" s="20" t="n">
        <f aca="false">IF(FH42=1,IF(ABS((1+AS_Wage)/(1+Slot15_Rate)-1)&lt;0.000000000001,(Slot15_Age-D42)*(1+Slot15_Rate)^(Slot15_Age-D42),(1+Slot15_Rate)^(Slot15_Age-D42)*(1-((1+AS_Wage)/(1+Slot15_Rate))^(Slot15_Age-D42))/(1-(1+AS_Wage)/(1+Slot15_Rate))),1)</f>
        <v>1</v>
      </c>
      <c r="MO42" s="20" t="n">
        <f aca="false">IF(AND(HU42=1,IE42&gt;0,Slot15_IsWG=1,FH42=1),MAX(0,(Slot15_Cost-FI42*(1+Slot15_Rate)^(Slot15_Age-D42))/MN42),0)</f>
        <v>0</v>
      </c>
      <c r="MP42" s="20" t="n">
        <f aca="false">IF(AND(HU42=1,IE42&gt;0,Slot15_IsWG=1,FH42=1),MIN(IE42,MO42),0)</f>
        <v>0</v>
      </c>
      <c r="MQ42" s="20" t="n">
        <f aca="false">FI42+MP42</f>
        <v>0</v>
      </c>
      <c r="MR42" s="20" t="n">
        <f aca="false">IF(FH42=1,MAX(0,(Slot15_Cost-MQ42*(1+Slot15_Rate)^(Slot15_Age-D42))/MN42),0)</f>
        <v>0</v>
      </c>
      <c r="MS42" s="20" t="n">
        <f aca="false">IF(FH42=1,MAX(0,(Slot15_Cost-FI42*(1+Slot15_Rate)^(Slot15_Age-D42))/MN42),0)</f>
        <v>0</v>
      </c>
      <c r="MT42" s="20" t="n">
        <f aca="false">IF(AND(HU42=1,FH42=1),MIN(MM42,MR42),0)</f>
        <v>0</v>
      </c>
      <c r="MU42" s="20" t="n">
        <f aca="false">MM42-MT42</f>
        <v>0</v>
      </c>
      <c r="MV42" s="20" t="n">
        <f aca="false">IF(FR42=1,IF(ABS((1+AS_Wage)/(1+Slot16_Rate)-1)&lt;0.000000000001,(Slot16_Age-D42)*(1+Slot16_Rate)^(Slot16_Age-D42),(1+Slot16_Rate)^(Slot16_Age-D42)*(1-((1+AS_Wage)/(1+Slot16_Rate))^(Slot16_Age-D42))/(1-(1+AS_Wage)/(1+Slot16_Rate))),1)</f>
        <v>1</v>
      </c>
      <c r="MW42" s="20" t="n">
        <f aca="false">IF(AND(HU42=1,IE42&gt;0,Slot16_IsWG=1,FR42=1),MAX(0,(Slot16_Cost-FS42*(1+Slot16_Rate)^(Slot16_Age-D42))/MV42),0)</f>
        <v>0</v>
      </c>
      <c r="MX42" s="20" t="n">
        <f aca="false">IF(AND(HU42=1,IE42&gt;0,Slot16_IsWG=1,FR42=1),MIN(IE42,MW42),0)</f>
        <v>0</v>
      </c>
      <c r="MY42" s="20" t="n">
        <f aca="false">FS42+MX42</f>
        <v>0</v>
      </c>
      <c r="MZ42" s="20" t="n">
        <f aca="false">IF(FR42=1,MAX(0,(Slot16_Cost-MY42*(1+Slot16_Rate)^(Slot16_Age-D42))/MV42),0)</f>
        <v>0</v>
      </c>
      <c r="NA42" s="20" t="n">
        <f aca="false">IF(FR42=1,MAX(0,(Slot16_Cost-FS42*(1+Slot16_Rate)^(Slot16_Age-D42))/MV42),0)</f>
        <v>0</v>
      </c>
      <c r="NB42" s="20" t="n">
        <f aca="false">IF(AND(HU42=1,FR42=1),MIN(MU42,MZ42),0)</f>
        <v>0</v>
      </c>
      <c r="NC42" s="20" t="n">
        <f aca="false">MU42-NB42</f>
        <v>0</v>
      </c>
      <c r="ND42" s="20" t="n">
        <f aca="false">IF(GB42=1,IF(ABS((1+AS_Wage)/(1+Slot17_Rate)-1)&lt;0.000000000001,(Slot17_Age-D42)*(1+Slot17_Rate)^(Slot17_Age-D42),(1+Slot17_Rate)^(Slot17_Age-D42)*(1-((1+AS_Wage)/(1+Slot17_Rate))^(Slot17_Age-D42))/(1-(1+AS_Wage)/(1+Slot17_Rate))),1)</f>
        <v>1</v>
      </c>
      <c r="NE42" s="20" t="n">
        <f aca="false">IF(AND(HU42=1,IE42&gt;0,Slot17_IsWG=1,GB42=1),MAX(0,(Slot17_Cost-GC42*(1+Slot17_Rate)^(Slot17_Age-D42))/ND42),0)</f>
        <v>0</v>
      </c>
      <c r="NF42" s="20" t="n">
        <f aca="false">IF(AND(HU42=1,IE42&gt;0,Slot17_IsWG=1,GB42=1),MIN(IE42,NE42),0)</f>
        <v>0</v>
      </c>
      <c r="NG42" s="20" t="n">
        <f aca="false">GC42+NF42</f>
        <v>0</v>
      </c>
      <c r="NH42" s="20" t="n">
        <f aca="false">IF(GB42=1,MAX(0,(Slot17_Cost-NG42*(1+Slot17_Rate)^(Slot17_Age-D42))/ND42),0)</f>
        <v>0</v>
      </c>
      <c r="NI42" s="20" t="n">
        <f aca="false">IF(GB42=1,MAX(0,(Slot17_Cost-GC42*(1+Slot17_Rate)^(Slot17_Age-D42))/ND42),0)</f>
        <v>0</v>
      </c>
      <c r="NJ42" s="20" t="n">
        <f aca="false">IF(AND(HU42=1,GB42=1),MIN(NC42,NH42),0)</f>
        <v>0</v>
      </c>
      <c r="NK42" s="20" t="n">
        <f aca="false">NC42-NJ42</f>
        <v>0</v>
      </c>
      <c r="NL42" s="20" t="n">
        <f aca="false">IF(GL42=1,IF(ABS((1+AS_Wage)/(1+Slot18_Rate)-1)&lt;0.000000000001,(Slot18_Age-D42)*(1+Slot18_Rate)^(Slot18_Age-D42),(1+Slot18_Rate)^(Slot18_Age-D42)*(1-((1+AS_Wage)/(1+Slot18_Rate))^(Slot18_Age-D42))/(1-(1+AS_Wage)/(1+Slot18_Rate))),1)</f>
        <v>1</v>
      </c>
      <c r="NM42" s="20" t="n">
        <f aca="false">IF(AND(HU42=1,IE42&gt;0,Slot18_IsWG=1,GL42=1),MAX(0,(Slot18_Cost-GM42*(1+Slot18_Rate)^(Slot18_Age-D42))/NL42),0)</f>
        <v>0</v>
      </c>
      <c r="NN42" s="20" t="n">
        <f aca="false">IF(AND(HU42=1,IE42&gt;0,Slot18_IsWG=1,GL42=1),MIN(IE42,NM42),0)</f>
        <v>0</v>
      </c>
      <c r="NO42" s="20" t="n">
        <f aca="false">GM42+NN42</f>
        <v>0</v>
      </c>
      <c r="NP42" s="20" t="n">
        <f aca="false">IF(GL42=1,MAX(0,(Slot18_Cost-NO42*(1+Slot18_Rate)^(Slot18_Age-D42))/NL42),0)</f>
        <v>0</v>
      </c>
      <c r="NQ42" s="20" t="n">
        <f aca="false">IF(GL42=1,MAX(0,(Slot18_Cost-GM42*(1+Slot18_Rate)^(Slot18_Age-D42))/NL42),0)</f>
        <v>0</v>
      </c>
      <c r="NR42" s="20" t="n">
        <f aca="false">IF(AND(HU42=1,GL42=1),MIN(NK42,NP42),0)</f>
        <v>0</v>
      </c>
      <c r="NS42" s="20" t="n">
        <f aca="false">NK42-NR42</f>
        <v>0</v>
      </c>
      <c r="NT42" s="20" t="n">
        <f aca="false">IF(GV42=1,IF(ABS((1+AS_Wage)/(1+Slot19_Rate)-1)&lt;0.000000000001,(Slot19_Age-D42)*(1+Slot19_Rate)^(Slot19_Age-D42),(1+Slot19_Rate)^(Slot19_Age-D42)*(1-((1+AS_Wage)/(1+Slot19_Rate))^(Slot19_Age-D42))/(1-(1+AS_Wage)/(1+Slot19_Rate))),1)</f>
        <v>1</v>
      </c>
      <c r="NU42" s="20" t="n">
        <f aca="false">IF(AND(HU42=1,IE42&gt;0,Slot19_IsWG=1,GV42=1),MAX(0,(Slot19_Cost-GW42*(1+Slot19_Rate)^(Slot19_Age-D42))/NT42),0)</f>
        <v>0</v>
      </c>
      <c r="NV42" s="20" t="n">
        <f aca="false">IF(AND(HU42=1,IE42&gt;0,Slot19_IsWG=1,GV42=1),MIN(IE42,NU42),0)</f>
        <v>0</v>
      </c>
      <c r="NW42" s="20" t="n">
        <f aca="false">GW42+NV42</f>
        <v>0</v>
      </c>
      <c r="NX42" s="20" t="n">
        <f aca="false">IF(GV42=1,MAX(0,(Slot19_Cost-NW42*(1+Slot19_Rate)^(Slot19_Age-D42))/NT42),0)</f>
        <v>0</v>
      </c>
      <c r="NY42" s="20" t="n">
        <f aca="false">IF(GV42=1,MAX(0,(Slot19_Cost-GW42*(1+Slot19_Rate)^(Slot19_Age-D42))/NT42),0)</f>
        <v>0</v>
      </c>
      <c r="NZ42" s="20" t="n">
        <f aca="false">IF(AND(HU42=1,GV42=1),MIN(NS42,NX42),0)</f>
        <v>0</v>
      </c>
      <c r="OA42" s="20" t="n">
        <f aca="false">NS42-NZ42</f>
        <v>0</v>
      </c>
      <c r="OB42" s="20" t="n">
        <f aca="false">IF(HF42=1,IF(ABS((1+AS_Wage)/(1+Slot20_Rate)-1)&lt;0.000000000001,(Slot20_Age-D42)*(1+Slot20_Rate)^(Slot20_Age-D42),(1+Slot20_Rate)^(Slot20_Age-D42)*(1-((1+AS_Wage)/(1+Slot20_Rate))^(Slot20_Age-D42))/(1-(1+AS_Wage)/(1+Slot20_Rate))),1)</f>
        <v>1</v>
      </c>
      <c r="OC42" s="20" t="n">
        <f aca="false">IF(AND(HU42=1,IE42&gt;0,Slot20_IsWG=1,HF42=1),MAX(0,(Slot20_Cost-HG42*(1+Slot20_Rate)^(Slot20_Age-D42))/OB42),0)</f>
        <v>0</v>
      </c>
      <c r="OD42" s="20" t="n">
        <f aca="false">IF(AND(HU42=1,IE42&gt;0,Slot20_IsWG=1,HF42=1),MIN(IE42,OC42),0)</f>
        <v>0</v>
      </c>
      <c r="OE42" s="20" t="n">
        <f aca="false">HG42+OD42</f>
        <v>0</v>
      </c>
      <c r="OF42" s="20" t="n">
        <f aca="false">IF(HF42=1,MAX(0,(Slot20_Cost-OE42*(1+Slot20_Rate)^(Slot20_Age-D42))/OB42),0)</f>
        <v>0</v>
      </c>
      <c r="OG42" s="20" t="n">
        <f aca="false">IF(HF42=1,MAX(0,(Slot20_Cost-HG42*(1+Slot20_Rate)^(Slot20_Age-D42))/OB42),0)</f>
        <v>0</v>
      </c>
      <c r="OH42" s="20" t="n">
        <f aca="false">IF(AND(HU42=1,HF42=1),MIN(OA42,OF42),0)</f>
        <v>0</v>
      </c>
      <c r="OI42" s="20" t="n">
        <f aca="false">OA42-OH42</f>
        <v>0</v>
      </c>
      <c r="OJ42" s="20" t="n">
        <f aca="false">IE42-(IH42+IP42+IX42+JF42+JN42+JV42+KD42+KL42+KT42+LB42+LJ42+LR42+LZ42+MH42+MP42+MX42+NF42+NN42+NV42+OD42)</f>
        <v>0</v>
      </c>
      <c r="OK42" s="20" t="n">
        <f aca="false">IF(HU42=1,HS42-ID42-IE42,0)</f>
        <v>0</v>
      </c>
      <c r="OL42" s="20" t="n">
        <f aca="false">IF(HU42=0,-HS42,0)</f>
        <v>20383.8884285354</v>
      </c>
      <c r="OM42" s="20" t="n">
        <f aca="false">MIN(OL42,HK42)</f>
        <v>20383.8884285354</v>
      </c>
      <c r="ON42" s="20" t="n">
        <f aca="false">OL42-OM42</f>
        <v>0</v>
      </c>
      <c r="OO42" s="20" t="n">
        <f aca="false">MIN(ON42,HL42)</f>
        <v>0</v>
      </c>
      <c r="OP42" s="20" t="n">
        <f aca="false">ON42-OO42</f>
        <v>0</v>
      </c>
      <c r="OQ42" s="20" t="n">
        <f aca="false">IF(AND(HU42=0,HF42=1,OP42&gt;0),MIN(OP42,HG42),0)</f>
        <v>0</v>
      </c>
      <c r="OR42" s="20" t="n">
        <f aca="false">OP42-OQ42</f>
        <v>0</v>
      </c>
      <c r="OS42" s="20" t="n">
        <f aca="false">IF(AND(HU42=0,GV42=1,OR42&gt;0),MIN(OR42,GW42),0)</f>
        <v>0</v>
      </c>
      <c r="OT42" s="20" t="n">
        <f aca="false">OR42-OS42</f>
        <v>0</v>
      </c>
      <c r="OU42" s="20" t="n">
        <f aca="false">IF(AND(HU42=0,GL42=1,OT42&gt;0),MIN(OT42,GM42),0)</f>
        <v>0</v>
      </c>
      <c r="OV42" s="20" t="n">
        <f aca="false">OT42-OU42</f>
        <v>0</v>
      </c>
      <c r="OW42" s="20" t="n">
        <f aca="false">IF(AND(HU42=0,GB42=1,OV42&gt;0),MIN(OV42,GC42),0)</f>
        <v>0</v>
      </c>
      <c r="OX42" s="20" t="n">
        <f aca="false">OV42-OW42</f>
        <v>0</v>
      </c>
      <c r="OY42" s="20" t="n">
        <f aca="false">IF(AND(HU42=0,FR42=1,OX42&gt;0),MIN(OX42,FS42),0)</f>
        <v>0</v>
      </c>
      <c r="OZ42" s="20" t="n">
        <f aca="false">OX42-OY42</f>
        <v>0</v>
      </c>
      <c r="PA42" s="20" t="n">
        <f aca="false">IF(AND(HU42=0,FH42=1,OZ42&gt;0),MIN(OZ42,FI42),0)</f>
        <v>0</v>
      </c>
      <c r="PB42" s="20" t="n">
        <f aca="false">OZ42-PA42</f>
        <v>0</v>
      </c>
      <c r="PC42" s="20" t="n">
        <f aca="false">IF(AND(HU42=0,EX42=1,PB42&gt;0),MIN(PB42,EY42),0)</f>
        <v>0</v>
      </c>
      <c r="PD42" s="20" t="n">
        <f aca="false">PB42-PC42</f>
        <v>0</v>
      </c>
      <c r="PE42" s="20" t="n">
        <f aca="false">IF(AND(HU42=0,EN42=1,PD42&gt;0),MIN(PD42,EO42),0)</f>
        <v>0</v>
      </c>
      <c r="PF42" s="20" t="n">
        <f aca="false">PD42-PE42</f>
        <v>0</v>
      </c>
      <c r="PG42" s="20" t="n">
        <f aca="false">IF(AND(HU42=0,ED42=1,PF42&gt;0),MIN(PF42,EE42),0)</f>
        <v>0</v>
      </c>
      <c r="PH42" s="20" t="n">
        <f aca="false">PF42-PG42</f>
        <v>0</v>
      </c>
      <c r="PI42" s="20" t="n">
        <f aca="false">IF(AND(HU42=0,DT42=1,PH42&gt;0),MIN(PH42,DU42),0)</f>
        <v>0</v>
      </c>
      <c r="PJ42" s="20" t="n">
        <f aca="false">PH42-PI42</f>
        <v>0</v>
      </c>
      <c r="PK42" s="20" t="n">
        <f aca="false">IF(AND(HU42=0,DJ42=1,PJ42&gt;0),MIN(PJ42,DK42),0)</f>
        <v>0</v>
      </c>
      <c r="PL42" s="20" t="n">
        <f aca="false">PJ42-PK42</f>
        <v>0</v>
      </c>
      <c r="PM42" s="20" t="n">
        <f aca="false">IF(AND(HU42=0,CZ42=1,PL42&gt;0),MIN(PL42,DA42),0)</f>
        <v>0</v>
      </c>
      <c r="PN42" s="20" t="n">
        <f aca="false">PL42-PM42</f>
        <v>0</v>
      </c>
      <c r="PO42" s="20" t="n">
        <f aca="false">IF(AND(HU42=0,CP42=1,PN42&gt;0),MIN(PN42,CQ42),0)</f>
        <v>0</v>
      </c>
      <c r="PP42" s="20" t="n">
        <f aca="false">PN42-PO42</f>
        <v>0</v>
      </c>
      <c r="PQ42" s="20" t="n">
        <f aca="false">IF(AND(HU42=0,CF42=1,PP42&gt;0),MIN(PP42,CG42),0)</f>
        <v>0</v>
      </c>
      <c r="PR42" s="20" t="n">
        <f aca="false">PP42-PQ42</f>
        <v>0</v>
      </c>
      <c r="PS42" s="20" t="n">
        <f aca="false">IF(AND(HU42=0,BV42=1,PR42&gt;0),MIN(PR42,BW42),0)</f>
        <v>0</v>
      </c>
      <c r="PT42" s="20" t="n">
        <f aca="false">PR42-PS42</f>
        <v>0</v>
      </c>
      <c r="PU42" s="20" t="n">
        <f aca="false">IF(AND(HU42=0,BL42=1,PT42&gt;0),MIN(PT42,BM42),0)</f>
        <v>0</v>
      </c>
      <c r="PV42" s="20" t="n">
        <f aca="false">PT42-PU42</f>
        <v>0</v>
      </c>
      <c r="PW42" s="20" t="n">
        <f aca="false">IF(AND(HU42=0,BB42=1,PV42&gt;0),MIN(PV42,BC42),0)</f>
        <v>0</v>
      </c>
      <c r="PX42" s="20" t="n">
        <f aca="false">PV42-PW42</f>
        <v>0</v>
      </c>
      <c r="PY42" s="20" t="n">
        <f aca="false">IF(AND(HU42=0,AR42=1,PX42&gt;0),MIN(PX42,AS42),0)</f>
        <v>0</v>
      </c>
      <c r="PZ42" s="20" t="n">
        <f aca="false">PX42-PY42</f>
        <v>0</v>
      </c>
      <c r="QA42" s="20" t="n">
        <f aca="false">IF(AND(HU42=0,AH42=1,PZ42&gt;0),MIN(PZ42,AI42),0)</f>
        <v>0</v>
      </c>
      <c r="QB42" s="20" t="n">
        <f aca="false">PZ42-QA42</f>
        <v>0</v>
      </c>
      <c r="QC42" s="20" t="n">
        <f aca="false">IF(AND(HU42=0,W42=1,QB42&gt;0),MIN(QB42,X42),0)</f>
        <v>0</v>
      </c>
      <c r="QD42" s="20" t="n">
        <f aca="false">QB42-QC42</f>
        <v>0</v>
      </c>
      <c r="QE42" s="20" t="n">
        <f aca="false">IF(HU42=0,QD42,0)</f>
        <v>0</v>
      </c>
      <c r="QF42" s="20" t="n">
        <f aca="false">OM42+OO42+QC42+QA42+PY42+PW42+PU42+PS42+PQ42+PO42+PM42+PK42+PI42+PG42+PE42+PC42+PA42+OY42+OW42+OU42+OS42+OQ42</f>
        <v>20383.8884285354</v>
      </c>
      <c r="QG42" s="20" t="n">
        <f aca="false">IF(HU42=1,HK42+OJ42+OI42+IF(G42=1,0,OK42),HK42-OM42)</f>
        <v>95297.1462425151</v>
      </c>
      <c r="QH42" s="20" t="n">
        <f aca="false">HL42-OO42</f>
        <v>15644.682092718</v>
      </c>
      <c r="QI42" s="20" t="n">
        <f aca="false">IF(HU42=1,IF(G42=1,ID42+IE42,HS42),0)</f>
        <v>0</v>
      </c>
      <c r="QJ42" s="20" t="n">
        <f aca="false">IF(HU42=1,IF(G42=1,HS42-ID42-IE42,0),0)</f>
        <v>0</v>
      </c>
      <c r="QK42" s="57" t="n">
        <f aca="false">'Plan holdings'!BM42</f>
        <v>101381.802283764</v>
      </c>
      <c r="QL42" s="20" t="n">
        <f aca="false">QH42*(1+AS_Cash)</f>
        <v>15801.1289136452</v>
      </c>
      <c r="QM42" s="20" t="n">
        <f aca="false">IF(W42=1,IF(HU42=1,II42+IL42,X42-QC42)*(1+Slot1_Rate),0)</f>
        <v>0</v>
      </c>
      <c r="QN42" s="20" t="n">
        <f aca="false">IF(AND(HU42=1,W42=1),(IH42+IL42)/F42,0)</f>
        <v>0</v>
      </c>
      <c r="QO42" s="20" t="n">
        <f aca="false">IF(B42=0,IH42+IL42,0)</f>
        <v>0</v>
      </c>
      <c r="QP42" s="20" t="n">
        <f aca="false">IF(B42=0,IF(HU42=1,IJ42,IK42),0)</f>
        <v>0</v>
      </c>
      <c r="QQ42" s="20" t="n">
        <f aca="false">IF(AH42=1,IF(HU42=1,IQ42+IT42,AI42-QA42)*(1+Slot2_Rate),0)</f>
        <v>0</v>
      </c>
      <c r="QR42" s="20" t="n">
        <f aca="false">IF(AND(HU42=1,AH42=1),(IP42+IT42)/F42,0)</f>
        <v>0</v>
      </c>
      <c r="QS42" s="20" t="n">
        <f aca="false">IF(B42=0,IP42+IT42,0)</f>
        <v>0</v>
      </c>
      <c r="QT42" s="20" t="n">
        <f aca="false">IF(B42=0,IF(HU42=1,IR42,IS42),0)</f>
        <v>0</v>
      </c>
      <c r="QU42" s="20" t="n">
        <f aca="false">IF(AR42=1,IF(HU42=1,IY42+JB42,AS42-PY42)*(1+Slot3_Rate),0)</f>
        <v>0</v>
      </c>
      <c r="QV42" s="20" t="n">
        <f aca="false">IF(AND(HU42=1,AR42=1),(IX42+JB42)/F42,0)</f>
        <v>0</v>
      </c>
      <c r="QW42" s="20" t="n">
        <f aca="false">IF(B42=0,IX42+JB42,0)</f>
        <v>0</v>
      </c>
      <c r="QX42" s="20" t="n">
        <f aca="false">IF(B42=0,IF(HU42=1,IZ42,JA42),0)</f>
        <v>0</v>
      </c>
      <c r="QY42" s="20" t="n">
        <f aca="false">IF(BB42=1,IF(HU42=1,JG42+JJ42,BC42-PW42)*(1+Slot4_Rate),0)</f>
        <v>0</v>
      </c>
      <c r="QZ42" s="20" t="n">
        <f aca="false">IF(AND(HU42=1,BB42=1),(JF42+JJ42)/F42,0)</f>
        <v>0</v>
      </c>
      <c r="RA42" s="20" t="n">
        <f aca="false">IF(B42=0,JF42+JJ42,0)</f>
        <v>0</v>
      </c>
      <c r="RB42" s="20" t="n">
        <f aca="false">IF(B42=0,IF(HU42=1,JH42,JI42),0)</f>
        <v>0</v>
      </c>
      <c r="RC42" s="20" t="n">
        <f aca="false">IF(BL42=1,IF(HU42=1,JO42+JR42,BM42-PU42)*(1+Slot5_Rate),0)</f>
        <v>0</v>
      </c>
      <c r="RD42" s="20" t="n">
        <f aca="false">IF(AND(HU42=1,BL42=1),(JN42+JR42)/F42,0)</f>
        <v>0</v>
      </c>
      <c r="RE42" s="20" t="n">
        <f aca="false">IF(B42=0,JN42+JR42,0)</f>
        <v>0</v>
      </c>
      <c r="RF42" s="20" t="n">
        <f aca="false">IF(B42=0,IF(HU42=1,JP42,JQ42),0)</f>
        <v>0</v>
      </c>
      <c r="RG42" s="20" t="n">
        <f aca="false">IF(BV42=1,IF(HU42=1,JW42+JZ42,BW42-PS42)*(1+Slot6_Rate),0)</f>
        <v>0</v>
      </c>
      <c r="RH42" s="20" t="n">
        <f aca="false">IF(AND(HU42=1,BV42=1),(JV42+JZ42)/F42,0)</f>
        <v>0</v>
      </c>
      <c r="RI42" s="20" t="n">
        <f aca="false">IF(B42=0,JV42+JZ42,0)</f>
        <v>0</v>
      </c>
      <c r="RJ42" s="20" t="n">
        <f aca="false">IF(B42=0,IF(HU42=1,JX42,JY42),0)</f>
        <v>0</v>
      </c>
      <c r="RK42" s="20" t="n">
        <f aca="false">IF(CF42=1,IF(HU42=1,KE42+KH42,CG42-PQ42)*(1+Slot7_Rate),0)</f>
        <v>0</v>
      </c>
      <c r="RL42" s="20" t="n">
        <f aca="false">IF(AND(HU42=1,CF42=1),(KD42+KH42)/F42,0)</f>
        <v>0</v>
      </c>
      <c r="RM42" s="20" t="n">
        <f aca="false">IF(B42=0,KD42+KH42,0)</f>
        <v>0</v>
      </c>
      <c r="RN42" s="20" t="n">
        <f aca="false">IF(B42=0,IF(HU42=1,KF42,KG42),0)</f>
        <v>0</v>
      </c>
      <c r="RO42" s="20" t="n">
        <f aca="false">IF(CP42=1,IF(HU42=1,KM42+KP42,CQ42-PO42)*(1+Slot8_Rate),0)</f>
        <v>0</v>
      </c>
      <c r="RP42" s="20" t="n">
        <f aca="false">IF(AND(HU42=1,CP42=1),(KL42+KP42)/F42,0)</f>
        <v>0</v>
      </c>
      <c r="RQ42" s="20" t="n">
        <f aca="false">IF(B42=0,KL42+KP42,0)</f>
        <v>0</v>
      </c>
      <c r="RR42" s="20" t="n">
        <f aca="false">IF(B42=0,IF(HU42=1,KN42,KO42),0)</f>
        <v>0</v>
      </c>
      <c r="RS42" s="20" t="n">
        <f aca="false">IF(CZ42=1,IF(HU42=1,KU42+KX42,DA42-PM42)*(1+Slot9_Rate),0)</f>
        <v>0</v>
      </c>
      <c r="RT42" s="20" t="n">
        <f aca="false">IF(AND(HU42=1,CZ42=1),(KT42+KX42)/F42,0)</f>
        <v>0</v>
      </c>
      <c r="RU42" s="20" t="n">
        <f aca="false">IF(B42=0,KT42+KX42,0)</f>
        <v>0</v>
      </c>
      <c r="RV42" s="20" t="n">
        <f aca="false">IF(B42=0,IF(HU42=1,KV42,KW42),0)</f>
        <v>0</v>
      </c>
      <c r="RW42" s="20" t="n">
        <f aca="false">IF(DJ42=1,IF(HU42=1,LC42+LF42,DK42-PK42)*(1+Slot10_Rate),0)</f>
        <v>0</v>
      </c>
      <c r="RX42" s="20" t="n">
        <f aca="false">IF(AND(HU42=1,DJ42=1),(LB42+LF42)/F42,0)</f>
        <v>0</v>
      </c>
      <c r="RY42" s="20" t="n">
        <f aca="false">IF(B42=0,LB42+LF42,0)</f>
        <v>0</v>
      </c>
      <c r="RZ42" s="20" t="n">
        <f aca="false">IF(B42=0,IF(HU42=1,LD42,LE42),0)</f>
        <v>0</v>
      </c>
      <c r="SA42" s="20" t="n">
        <f aca="false">IF(DT42=1,IF(HU42=1,LK42+LN42,DU42-PI42)*(1+Slot11_Rate),0)</f>
        <v>0</v>
      </c>
      <c r="SB42" s="20" t="n">
        <f aca="false">IF(AND(HU42=1,DT42=1),(LJ42+LN42)/F42,0)</f>
        <v>0</v>
      </c>
      <c r="SC42" s="20" t="n">
        <f aca="false">IF(B42=0,LJ42+LN42,0)</f>
        <v>0</v>
      </c>
      <c r="SD42" s="20" t="n">
        <f aca="false">IF(B42=0,IF(HU42=1,LL42,LM42),0)</f>
        <v>0</v>
      </c>
      <c r="SE42" s="20" t="n">
        <f aca="false">IF(ED42=1,IF(HU42=1,LS42+LV42,EE42-PG42)*(1+Slot12_Rate),0)</f>
        <v>0</v>
      </c>
      <c r="SF42" s="20" t="n">
        <f aca="false">IF(AND(HU42=1,ED42=1),(LR42+LV42)/F42,0)</f>
        <v>0</v>
      </c>
      <c r="SG42" s="20" t="n">
        <f aca="false">IF(B42=0,LR42+LV42,0)</f>
        <v>0</v>
      </c>
      <c r="SH42" s="20" t="n">
        <f aca="false">IF(B42=0,IF(HU42=1,LT42,LU42),0)</f>
        <v>0</v>
      </c>
      <c r="SI42" s="20" t="n">
        <f aca="false">IF(EN42=1,IF(HU42=1,MA42+MD42,EO42-PE42)*(1+Slot13_Rate),0)</f>
        <v>0</v>
      </c>
      <c r="SJ42" s="20" t="n">
        <f aca="false">IF(AND(HU42=1,EN42=1),(LZ42+MD42)/F42,0)</f>
        <v>0</v>
      </c>
      <c r="SK42" s="20" t="n">
        <f aca="false">IF(B42=0,LZ42+MD42,0)</f>
        <v>0</v>
      </c>
      <c r="SL42" s="20" t="n">
        <f aca="false">IF(B42=0,IF(HU42=1,MB42,MC42),0)</f>
        <v>0</v>
      </c>
      <c r="SM42" s="20" t="n">
        <f aca="false">IF(EX42=1,IF(HU42=1,MI42+ML42,EY42-PC42)*(1+Slot14_Rate),0)</f>
        <v>0</v>
      </c>
      <c r="SN42" s="20" t="n">
        <f aca="false">IF(AND(HU42=1,EX42=1),(MH42+ML42)/F42,0)</f>
        <v>0</v>
      </c>
      <c r="SO42" s="20" t="n">
        <f aca="false">IF(B42=0,MH42+ML42,0)</f>
        <v>0</v>
      </c>
      <c r="SP42" s="20" t="n">
        <f aca="false">IF(B42=0,IF(HU42=1,MJ42,MK42),0)</f>
        <v>0</v>
      </c>
      <c r="SQ42" s="20" t="n">
        <f aca="false">IF(FH42=1,IF(HU42=1,MQ42+MT42,FI42-PA42)*(1+Slot15_Rate),0)</f>
        <v>0</v>
      </c>
      <c r="SR42" s="20" t="n">
        <f aca="false">IF(AND(HU42=1,FH42=1),(MP42+MT42)/F42,0)</f>
        <v>0</v>
      </c>
      <c r="SS42" s="20" t="n">
        <f aca="false">IF(B42=0,MP42+MT42,0)</f>
        <v>0</v>
      </c>
      <c r="ST42" s="20" t="n">
        <f aca="false">IF(B42=0,IF(HU42=1,MR42,MS42),0)</f>
        <v>0</v>
      </c>
      <c r="SU42" s="20" t="n">
        <f aca="false">IF(FR42=1,IF(HU42=1,MY42+NB42,FS42-OY42)*(1+Slot16_Rate),0)</f>
        <v>0</v>
      </c>
      <c r="SV42" s="20" t="n">
        <f aca="false">IF(AND(HU42=1,FR42=1),(MX42+NB42)/F42,0)</f>
        <v>0</v>
      </c>
      <c r="SW42" s="20" t="n">
        <f aca="false">IF(B42=0,MX42+NB42,0)</f>
        <v>0</v>
      </c>
      <c r="SX42" s="20" t="n">
        <f aca="false">IF(B42=0,IF(HU42=1,MZ42,NA42),0)</f>
        <v>0</v>
      </c>
      <c r="SY42" s="20" t="n">
        <f aca="false">IF(GB42=1,IF(HU42=1,NG42+NJ42,GC42-OW42)*(1+Slot17_Rate),0)</f>
        <v>0</v>
      </c>
      <c r="SZ42" s="20" t="n">
        <f aca="false">IF(AND(HU42=1,GB42=1),(NF42+NJ42)/F42,0)</f>
        <v>0</v>
      </c>
      <c r="TA42" s="20" t="n">
        <f aca="false">IF(B42=0,NF42+NJ42,0)</f>
        <v>0</v>
      </c>
      <c r="TB42" s="20" t="n">
        <f aca="false">IF(B42=0,IF(HU42=1,NH42,NI42),0)</f>
        <v>0</v>
      </c>
      <c r="TC42" s="20" t="n">
        <f aca="false">IF(GL42=1,IF(HU42=1,NO42+NR42,GM42-OU42)*(1+Slot18_Rate),0)</f>
        <v>0</v>
      </c>
      <c r="TD42" s="20" t="n">
        <f aca="false">IF(AND(HU42=1,GL42=1),(NN42+NR42)/F42,0)</f>
        <v>0</v>
      </c>
      <c r="TE42" s="20" t="n">
        <f aca="false">IF(B42=0,NN42+NR42,0)</f>
        <v>0</v>
      </c>
      <c r="TF42" s="20" t="n">
        <f aca="false">IF(B42=0,IF(HU42=1,NP42,NQ42),0)</f>
        <v>0</v>
      </c>
      <c r="TG42" s="20" t="n">
        <f aca="false">IF(GV42=1,IF(HU42=1,NW42+NZ42,GW42-OS42)*(1+Slot19_Rate),0)</f>
        <v>0</v>
      </c>
      <c r="TH42" s="20" t="n">
        <f aca="false">IF(AND(HU42=1,GV42=1),(NV42+NZ42)/F42,0)</f>
        <v>0</v>
      </c>
      <c r="TI42" s="20" t="n">
        <f aca="false">IF(B42=0,NV42+NZ42,0)</f>
        <v>0</v>
      </c>
      <c r="TJ42" s="20" t="n">
        <f aca="false">IF(B42=0,IF(HU42=1,NX42,NY42),0)</f>
        <v>0</v>
      </c>
      <c r="TK42" s="20" t="n">
        <f aca="false">IF(HF42=1,IF(HU42=1,OE42+OH42,HG42-OQ42)*(1+Slot20_Rate),0)</f>
        <v>0</v>
      </c>
      <c r="TL42" s="20" t="n">
        <f aca="false">IF(AND(HU42=1,HF42=1),(OD42+OH42)/F42,0)</f>
        <v>0</v>
      </c>
      <c r="TM42" s="20" t="n">
        <f aca="false">IF(B42=0,OD42+OH42,0)</f>
        <v>0</v>
      </c>
      <c r="TN42" s="20" t="n">
        <f aca="false">IF(B42=0,IF(HU42=1,OF42,OG42),0)</f>
        <v>0</v>
      </c>
      <c r="TO42" s="20" t="n">
        <f aca="false">QK42+QL42+QM42+QQ42+QU42+QY42+RC42+RG42+RK42+RO42+RS42+RW42+SA42+SE42+SI42+SM42+SQ42+SU42+SY42+TC42+TG42+TK42</f>
        <v>117182.931197409</v>
      </c>
      <c r="TP42" s="20" t="n">
        <f aca="false">QE42+HP42</f>
        <v>0</v>
      </c>
      <c r="TQ42" s="20" t="n">
        <f aca="false">I42+S42</f>
        <v>93720.3143306524</v>
      </c>
      <c r="TR42" s="20" t="n">
        <f aca="false">1-G42</f>
        <v>1</v>
      </c>
      <c r="TS42" s="20" t="n">
        <f aca="false">IF(AND(RG_Exists=1,G42=0,C42=1),I42,0)</f>
        <v>93720.3143306524</v>
      </c>
      <c r="TT42" s="20" t="n">
        <f aca="false">IF(AND(RG_Exists=1,G42=0,C42=1),I42-MIN(QE42,I42),0)</f>
        <v>93720.3143306524</v>
      </c>
      <c r="TU42" s="20" t="n">
        <f aca="false">'Plan pay &amp; tax'!AD268</f>
        <v>396601.913385666</v>
      </c>
      <c r="TV42" s="20" t="n">
        <f aca="false">IF(AND(C42=1,QE42&gt;MAX(PR_Short1,TQ42*PR_Short2)),1,0)</f>
        <v>0</v>
      </c>
      <c r="TW42" s="20" t="n">
        <f aca="false">MIN(H42,I42+S42)</f>
        <v>73336.425902117</v>
      </c>
      <c r="TX42" s="20" t="n">
        <f aca="false">QF42+MAX(0,HQ42-HP42)</f>
        <v>20383.8884285354</v>
      </c>
      <c r="TY42" s="20" t="n">
        <f aca="false">QE42+HP42</f>
        <v>0</v>
      </c>
      <c r="TZ42" s="20" t="n">
        <f aca="false">IF(AND(C42=1,TY42&gt;PR_MinShort),1,0)</f>
        <v>0</v>
      </c>
      <c r="UA42" s="20" t="n">
        <f aca="false">IF(AND(C42=1,TZ42=0,TX42&gt;PR_MinShort),1,0)</f>
        <v>1</v>
      </c>
      <c r="UB42" s="20" t="n">
        <f aca="false">IF(AND(C42=1,QE42&gt;PR_MinShort),1,0)</f>
        <v>0</v>
      </c>
      <c r="UC42" s="20" t="n">
        <f aca="false">IF(AND(C42=1,QF42&gt;1,UJ42=0),1,0)</f>
        <v>1</v>
      </c>
      <c r="UD42" s="20" t="str">
        <f aca="false">IF(C42=0,"",IF(UJ42=1,"Gap to plan for: short "&amp;"€"&amp;TEXT(ROUND(TP42,0),"#,##0"),IF(QF42&gt;1,"Using savings","Comfortable")))</f>
        <v>Using savings</v>
      </c>
      <c r="UE42" s="20" t="n">
        <f aca="false">IF(AND(INT(D42/10)*10=90,B42&gt;0),80,INT(D42/10)*10)</f>
        <v>70</v>
      </c>
      <c r="UF42" s="20" t="n">
        <f aca="false">IF(B42=0,1,IF(UE42&lt;&gt;UE41,UF41+1,UF41))</f>
        <v>5</v>
      </c>
      <c r="UG42" s="20" t="n">
        <f aca="false">IF(AND(C42=1,G42=1,QE42&gt;MAX(PR_Short1,TQ42*PR_Short2)),1,0)</f>
        <v>0</v>
      </c>
      <c r="UH42" s="20" t="n">
        <f aca="false">TR42*TV42</f>
        <v>0</v>
      </c>
      <c r="UI42" s="20" t="n">
        <f aca="false">IF(AND(V42=1,Slot1_PctLow=1),1,0)+IF(AND(AG42=1,Slot2_PctLow=1),1,0)+IF(AND(AQ42=1,Slot3_PctLow=1),1,0)+IF(AND(BA42=1,Slot4_PctLow=1),1,0)+IF(AND(BK42=1,Slot5_PctLow=1),1,0)+IF(AND(BU42=1,Slot6_PctLow=1),1,0)+IF(AND(CE42=1,Slot7_PctLow=1),1,0)+IF(AND(CO42=1,Slot8_PctLow=1),1,0)+IF(AND(CY42=1,Slot9_PctLow=1),1,0)+IF(AND(DI42=1,Slot10_PctLow=1),1,0)+IF(AND(DS42=1,Slot11_PctLow=1),1,0)+IF(AND(EC42=1,Slot12_PctLow=1),1,0)+IF(AND(EM42=1,Slot13_PctLow=1),1,0)+IF(AND(EW42=1,Slot14_PctLow=1),1,0)+IF(AND(FG42=1,Slot15_PctLow=1),1,0)+IF(AND(FQ42=1,Slot16_PctLow=1),1,0)+IF(AND(GA42=1,Slot17_PctLow=1),1,0)+IF(AND(GK42=1,Slot18_PctLow=1),1,0)+IF(AND(GU42=1,Slot19_PctLow=1),1,0)+IF(AND(HE42=1,Slot20_PctLow=1),1,0)</f>
        <v>0</v>
      </c>
      <c r="UJ42" s="20" t="n">
        <f aca="false">IF(C42=1,IF(OR(TV42=1,UI42&gt;0),1,0),0)</f>
        <v>0</v>
      </c>
      <c r="UK42" s="20" t="n">
        <f aca="false">Z42+AK42+AU42+BE42+BO42+BY42+CI42+CS42+DC42+DM42+DW42+EG42+EQ42+FA42+FK42+FU42+GE42+GO42+GY42+HI42+OM42</f>
        <v>20383.8884285354</v>
      </c>
      <c r="UL42" s="20" t="n">
        <f aca="false">V42*IF(Slot1_SpendLike=1,X42-Y42,IF(Slot1_PotFree=1,X42,0))+AG42*IF(Slot2_SpendLike=1,AI42-AJ42,IF(Slot2_PotFree=1,AI42,0))+AQ42*IF(Slot3_SpendLike=1,AS42-AT42,IF(Slot3_PotFree=1,AS42,0))+BA42*IF(Slot4_SpendLike=1,BC42-BD42,IF(Slot4_PotFree=1,BC42,0))+BK42*IF(Slot5_SpendLike=1,BM42-BN42,IF(Slot5_PotFree=1,BM42,0))+BU42*IF(Slot6_SpendLike=1,BW42-BX42,IF(Slot6_PotFree=1,BW42,0))+CE42*IF(Slot7_SpendLike=1,CG42-CH42,IF(Slot7_PotFree=1,CG42,0))+CO42*IF(Slot8_SpendLike=1,CQ42-CR42,IF(Slot8_PotFree=1,CQ42,0))+CY42*IF(Slot9_SpendLike=1,DA42-DB42,IF(Slot9_PotFree=1,DA42,0))+DI42*IF(Slot10_SpendLike=1,DK42-DL42,IF(Slot10_PotFree=1,DK42,0))+DS42*IF(Slot11_SpendLike=1,DU42-DV42,IF(Slot11_PotFree=1,DU42,0))+EC42*IF(Slot12_SpendLike=1,EE42-EF42,IF(Slot12_PotFree=1,EE42,0))+EM42*IF(Slot13_SpendLike=1,EO42-EP42,IF(Slot13_PotFree=1,EO42,0))+EW42*IF(Slot14_SpendLike=1,EY42-EZ42,IF(Slot14_PotFree=1,EY42,0))+FG42*IF(Slot15_SpendLike=1,FI42-FJ42,IF(Slot15_PotFree=1,FI42,0))+FQ42*IF(Slot16_SpendLike=1,FS42-FT42,IF(Slot16_PotFree=1,FS42,0))+GA42*IF(Slot17_SpendLike=1,GC42-GD42,IF(Slot17_PotFree=1,GC42,0))+GK42*IF(Slot18_SpendLike=1,GM42-GN42,IF(Slot18_PotFree=1,GM42,0))+GU42*IF(Slot19_SpendLike=1,GW42-GX42,IF(Slot19_PotFree=1,GW42,0))+HE42*IF(Slot20_SpendLike=1,HG42-HH42,IF(Slot20_PotFree=1,HG42,0))</f>
        <v>0</v>
      </c>
      <c r="UM42" s="20" t="n">
        <f aca="false">QG42-T42+UK42-UL42</f>
        <v>0</v>
      </c>
      <c r="UN42" s="20" t="n">
        <f aca="false">IF(OR(UN41=1,AND(In_homeUse="Yes, I'd downsize",In_downAge&gt;0,D42=In_downAge,OR(In_home="Own outright",In_home="Own with mortgage"),In_homeValue&gt;0)),1,0)</f>
        <v>0</v>
      </c>
    </row>
    <row r="43" customFormat="false" ht="15" hidden="false" customHeight="true" outlineLevel="0" collapsed="false">
      <c r="B43" s="20" t="n">
        <v>35</v>
      </c>
      <c r="C43" s="20" t="n">
        <f aca="false">IF(B43&lt;=F_N,1,0)</f>
        <v>1</v>
      </c>
      <c r="D43" s="20" t="n">
        <f aca="false">'Plan pay &amp; tax'!C269</f>
        <v>73</v>
      </c>
      <c r="E43" s="20" t="str">
        <f aca="false">IF($C43=1,"Income tax "&amp;TEXT(N('Plan pay &amp; tax'!BK269),"#,##0")&amp;"; USC "&amp;TEXT(N('Plan pay &amp; tax'!BM269)+N('Plan pay &amp; tax'!BO269),"#,##0")&amp;"; PRSI "&amp;TEXT(N('Plan pay &amp; tax'!BP269)+N('Plan pay &amp; tax'!BQ269),"#,##0")&amp;IF(N('Plan holdings'!BO43)&gt;=0.5,"; DIRT "&amp;TEXT(('Plan holdings'!BO43)/$F43,"#,##0")&amp;" (already taken from the interest earned)","")&amp;IF(N('Plan holdings'!BP43)&gt;=0.5,"; exit tax at an 8-year anniversary "&amp;TEXT(('Plan holdings'!BP43)/$F43,"#,##0"),"")&amp;IF(N('Plan holdings'!BN43)&gt;=0.5,"; tax on assets sold (exit tax or capital gains tax) "&amp;TEXT(('Plan holdings'!BN43)/$F43,"#,##0"),"")&amp;IF(N('Plan pay &amp; tax'!X269)-N('Plan pay &amp; tax'!Y269)&gt;=0.5,"; tax on the pension lump sum "&amp;TEXT(('Plan pay &amp; tax'!X269-'Plan pay &amp; tax'!Y269)/$F43,"#,##0"),"")&amp;IF(N('Plan pay &amp; tax'!V269)&gt;=0.5,"; chargeable excess tax on the pension "&amp;TEXT(('Plan pay &amp; tax'!V269)/$F43,"#,##0"),"")&amp;".","")</f>
        <v>Income tax 851; USC 0; PRSI 0; DIRT 39 (already taken from the interest earned); exit tax at an 8-year anniversary 121; tax on assets sold (exit tax or capital gains tax) 635.</v>
      </c>
      <c r="F43" s="50" t="n">
        <f aca="false">'Plan pay &amp; tax'!E269</f>
        <v>1.99988955266246</v>
      </c>
      <c r="G43" s="20" t="n">
        <f aca="false">'Plan pay &amp; tax'!G269</f>
        <v>0</v>
      </c>
      <c r="H43" s="20" t="n">
        <f aca="false">'Plan pay &amp; tax'!BT269-'Plan pay &amp; tax'!BS269-'Plan pay &amp; tax'!R269</f>
        <v>74154.3773533866</v>
      </c>
      <c r="I43" s="20" t="n">
        <f aca="false">IF(G43=1,F_CostsM*12,IF(RG_Exists=1,RG_Amount,F_CostsM*12*AS_RetireSpend))*F43+F_OneOffY*F43</f>
        <v>95594.7206172654</v>
      </c>
      <c r="J43" s="20" t="n">
        <f aca="false">IF(UN43=1,0,HR42)</f>
        <v>0</v>
      </c>
      <c r="K43" s="20" t="n">
        <f aca="false">IF(J43&gt;1,'Plan debt months'!AC43,0)</f>
        <v>0</v>
      </c>
      <c r="L43" s="20" t="n">
        <f aca="false">IF(J43&gt;1,'Plan debt months'!AB43,J43)</f>
        <v>0</v>
      </c>
      <c r="M43" s="20" t="n">
        <f aca="false">O42</f>
        <v>0</v>
      </c>
      <c r="N43" s="20" t="n">
        <f aca="false">IF(M43&gt;1,'Plan debt months'!BD43,0)</f>
        <v>0</v>
      </c>
      <c r="O43" s="20" t="n">
        <f aca="false">IF(M43&gt;1,'Plan debt months'!BC43,M43)</f>
        <v>0</v>
      </c>
      <c r="P43" s="20" t="n">
        <f aca="false">R42</f>
        <v>0</v>
      </c>
      <c r="Q43" s="20" t="n">
        <f aca="false">IF(P43&gt;1,'Plan debt months'!CE43,0)</f>
        <v>0</v>
      </c>
      <c r="R43" s="20" t="n">
        <f aca="false">IF(P43&gt;1,'Plan debt months'!CD43,P43)</f>
        <v>0</v>
      </c>
      <c r="S43" s="20" t="n">
        <f aca="false">K43+N43+Q43</f>
        <v>0</v>
      </c>
      <c r="T43" s="57" t="n">
        <f aca="false">'Plan holdings'!Y43</f>
        <v>97714.7122969741</v>
      </c>
      <c r="U43" s="57" t="n">
        <f aca="false">'Plan holdings'!BM42</f>
        <v>101381.802283764</v>
      </c>
      <c r="V43" s="20" t="n">
        <f aca="false">IF(AND(Slot1_On=1,D43=Slot1_Age),1,0)</f>
        <v>0</v>
      </c>
      <c r="W43" s="20" t="n">
        <f aca="false">IF(AND(Slot1_On=1,Slot1_Age&gt;D43),1,0)</f>
        <v>0</v>
      </c>
      <c r="X43" s="20" t="n">
        <f aca="false">QM42</f>
        <v>0</v>
      </c>
      <c r="Y43" s="20" t="n">
        <f aca="false">V43*MIN(Slot1_Cost,X43)</f>
        <v>0</v>
      </c>
      <c r="Z43" s="20" t="n">
        <f aca="false">V43*Slot1_SpendLike*MIN(Slot1_Cost-Y43,T43)</f>
        <v>0</v>
      </c>
      <c r="AA43" s="20" t="n">
        <f aca="false">Y43+Z43</f>
        <v>0</v>
      </c>
      <c r="AB43" s="20" t="n">
        <f aca="false">T43-Z43+V43*IF(Slot1_SpendLike=1,X43-Y43,IF(Slot1_PotFree=1,X43,0))</f>
        <v>97714.7122969741</v>
      </c>
      <c r="AC43" s="20" t="n">
        <f aca="false">AF43+V43*Slot1_BufPot*X43</f>
        <v>15801.1289136452</v>
      </c>
      <c r="AD43" s="20" t="n">
        <f aca="false">IF(AND(V43=1,Slot1_IsMfree=1),IF(AA43&gt;=Slot1_Cost-1,0,MAX(0,L43-AA43)),L43)</f>
        <v>0</v>
      </c>
      <c r="AE43" s="20" t="n">
        <f aca="false">V43*(Slot1_Cost-AA43)</f>
        <v>0</v>
      </c>
      <c r="AF43" s="20" t="n">
        <f aca="false">QL42</f>
        <v>15801.1289136452</v>
      </c>
      <c r="AG43" s="20" t="n">
        <f aca="false">IF(AND(Slot2_On=1,D43=Slot2_Age),1,0)</f>
        <v>0</v>
      </c>
      <c r="AH43" s="20" t="n">
        <f aca="false">IF(AND(Slot2_On=1,Slot2_Age&gt;D43),1,0)</f>
        <v>0</v>
      </c>
      <c r="AI43" s="20" t="n">
        <f aca="false">QQ42</f>
        <v>0</v>
      </c>
      <c r="AJ43" s="20" t="n">
        <f aca="false">AG43*MIN(Slot2_Cost,AI43)</f>
        <v>0</v>
      </c>
      <c r="AK43" s="20" t="n">
        <f aca="false">AG43*Slot2_SpendLike*MIN(Slot2_Cost-AJ43,AB43)</f>
        <v>0</v>
      </c>
      <c r="AL43" s="20" t="n">
        <f aca="false">AJ43+AK43</f>
        <v>0</v>
      </c>
      <c r="AM43" s="20" t="n">
        <f aca="false">AB43-AK43+AG43*IF(Slot2_SpendLike=1,AI43-AJ43,IF(Slot2_PotFree=1,AI43,0))</f>
        <v>97714.7122969741</v>
      </c>
      <c r="AN43" s="20" t="n">
        <f aca="false">AC43+AG43*Slot2_BufPot*AI43</f>
        <v>15801.1289136452</v>
      </c>
      <c r="AO43" s="20" t="n">
        <f aca="false">IF(AND(AG43=1,Slot2_IsMfree=1),IF(AL43&gt;=Slot2_Cost-1,0,MAX(0,AD43-AL43)),AD43)</f>
        <v>0</v>
      </c>
      <c r="AP43" s="20" t="n">
        <f aca="false">AG43*(Slot2_Cost-AL43)</f>
        <v>0</v>
      </c>
      <c r="AQ43" s="20" t="n">
        <f aca="false">IF(AND(Slot3_On=1,D43=Slot3_Age),1,0)</f>
        <v>0</v>
      </c>
      <c r="AR43" s="20" t="n">
        <f aca="false">IF(AND(Slot3_On=1,Slot3_Age&gt;D43),1,0)</f>
        <v>0</v>
      </c>
      <c r="AS43" s="20" t="n">
        <f aca="false">QU42</f>
        <v>0</v>
      </c>
      <c r="AT43" s="20" t="n">
        <f aca="false">AQ43*MIN(Slot3_Cost,AS43)</f>
        <v>0</v>
      </c>
      <c r="AU43" s="20" t="n">
        <f aca="false">AQ43*Slot3_SpendLike*MIN(Slot3_Cost-AT43,AM43)</f>
        <v>0</v>
      </c>
      <c r="AV43" s="20" t="n">
        <f aca="false">AT43+AU43</f>
        <v>0</v>
      </c>
      <c r="AW43" s="20" t="n">
        <f aca="false">AM43-AU43+AQ43*IF(Slot3_SpendLike=1,AS43-AT43,IF(Slot3_PotFree=1,AS43,0))</f>
        <v>97714.7122969741</v>
      </c>
      <c r="AX43" s="20" t="n">
        <f aca="false">AN43+AQ43*Slot3_BufPot*AS43</f>
        <v>15801.1289136452</v>
      </c>
      <c r="AY43" s="20" t="n">
        <f aca="false">IF(AND(AQ43=1,Slot3_IsMfree=1),IF(AV43&gt;=Slot3_Cost-1,0,MAX(0,AO43-AV43)),AO43)</f>
        <v>0</v>
      </c>
      <c r="AZ43" s="20" t="n">
        <f aca="false">AQ43*(Slot3_Cost-AV43)</f>
        <v>0</v>
      </c>
      <c r="BA43" s="20" t="n">
        <f aca="false">IF(AND(Slot4_On=1,D43=Slot4_Age),1,0)</f>
        <v>0</v>
      </c>
      <c r="BB43" s="20" t="n">
        <f aca="false">IF(AND(Slot4_On=1,Slot4_Age&gt;D43),1,0)</f>
        <v>0</v>
      </c>
      <c r="BC43" s="20" t="n">
        <f aca="false">QY42</f>
        <v>0</v>
      </c>
      <c r="BD43" s="20" t="n">
        <f aca="false">BA43*MIN(Slot4_Cost,BC43)</f>
        <v>0</v>
      </c>
      <c r="BE43" s="20" t="n">
        <f aca="false">BA43*Slot4_SpendLike*MIN(Slot4_Cost-BD43,AW43)</f>
        <v>0</v>
      </c>
      <c r="BF43" s="20" t="n">
        <f aca="false">BD43+BE43</f>
        <v>0</v>
      </c>
      <c r="BG43" s="20" t="n">
        <f aca="false">AW43-BE43+BA43*IF(Slot4_SpendLike=1,BC43-BD43,IF(Slot4_PotFree=1,BC43,0))</f>
        <v>97714.7122969741</v>
      </c>
      <c r="BH43" s="20" t="n">
        <f aca="false">AX43+BA43*Slot4_BufPot*BC43</f>
        <v>15801.1289136452</v>
      </c>
      <c r="BI43" s="20" t="n">
        <f aca="false">IF(AND(BA43=1,Slot4_IsMfree=1),IF(BF43&gt;=Slot4_Cost-1,0,MAX(0,AY43-BF43)),AY43)</f>
        <v>0</v>
      </c>
      <c r="BJ43" s="20" t="n">
        <f aca="false">BA43*(Slot4_Cost-BF43)</f>
        <v>0</v>
      </c>
      <c r="BK43" s="20" t="n">
        <f aca="false">IF(AND(Slot5_On=1,D43=Slot5_Age),1,0)</f>
        <v>0</v>
      </c>
      <c r="BL43" s="20" t="n">
        <f aca="false">IF(AND(Slot5_On=1,Slot5_Age&gt;D43),1,0)</f>
        <v>0</v>
      </c>
      <c r="BM43" s="20" t="n">
        <f aca="false">RC42</f>
        <v>0</v>
      </c>
      <c r="BN43" s="20" t="n">
        <f aca="false">BK43*MIN(Slot5_Cost,BM43)</f>
        <v>0</v>
      </c>
      <c r="BO43" s="20" t="n">
        <f aca="false">BK43*Slot5_SpendLike*MIN(Slot5_Cost-BN43,BG43)</f>
        <v>0</v>
      </c>
      <c r="BP43" s="20" t="n">
        <f aca="false">BN43+BO43</f>
        <v>0</v>
      </c>
      <c r="BQ43" s="20" t="n">
        <f aca="false">BG43-BO43+BK43*IF(Slot5_SpendLike=1,BM43-BN43,IF(Slot5_PotFree=1,BM43,0))</f>
        <v>97714.7122969741</v>
      </c>
      <c r="BR43" s="20" t="n">
        <f aca="false">BH43+BK43*Slot5_BufPot*BM43</f>
        <v>15801.1289136452</v>
      </c>
      <c r="BS43" s="20" t="n">
        <f aca="false">IF(AND(BK43=1,Slot5_IsMfree=1),IF(BP43&gt;=Slot5_Cost-1,0,MAX(0,BI43-BP43)),BI43)</f>
        <v>0</v>
      </c>
      <c r="BT43" s="20" t="n">
        <f aca="false">BK43*(Slot5_Cost-BP43)</f>
        <v>0</v>
      </c>
      <c r="BU43" s="20" t="n">
        <f aca="false">IF(AND(Slot6_On=1,D43=Slot6_Age),1,0)</f>
        <v>0</v>
      </c>
      <c r="BV43" s="20" t="n">
        <f aca="false">IF(AND(Slot6_On=1,Slot6_Age&gt;D43),1,0)</f>
        <v>0</v>
      </c>
      <c r="BW43" s="20" t="n">
        <f aca="false">RG42</f>
        <v>0</v>
      </c>
      <c r="BX43" s="20" t="n">
        <f aca="false">BU43*MIN(Slot6_Cost,BW43)</f>
        <v>0</v>
      </c>
      <c r="BY43" s="20" t="n">
        <f aca="false">BU43*Slot6_SpendLike*MIN(Slot6_Cost-BX43,BQ43)</f>
        <v>0</v>
      </c>
      <c r="BZ43" s="20" t="n">
        <f aca="false">BX43+BY43</f>
        <v>0</v>
      </c>
      <c r="CA43" s="20" t="n">
        <f aca="false">BQ43-BY43+BU43*IF(Slot6_SpendLike=1,BW43-BX43,IF(Slot6_PotFree=1,BW43,0))</f>
        <v>97714.7122969741</v>
      </c>
      <c r="CB43" s="20" t="n">
        <f aca="false">BR43+BU43*Slot6_BufPot*BW43</f>
        <v>15801.1289136452</v>
      </c>
      <c r="CC43" s="20" t="n">
        <f aca="false">IF(AND(BU43=1,Slot6_IsMfree=1),IF(BZ43&gt;=Slot6_Cost-1,0,MAX(0,BS43-BZ43)),BS43)</f>
        <v>0</v>
      </c>
      <c r="CD43" s="20" t="n">
        <f aca="false">BU43*(Slot6_Cost-BZ43)</f>
        <v>0</v>
      </c>
      <c r="CE43" s="20" t="n">
        <f aca="false">IF(AND(Slot7_On=1,D43=Slot7_Age),1,0)</f>
        <v>0</v>
      </c>
      <c r="CF43" s="20" t="n">
        <f aca="false">IF(AND(Slot7_On=1,Slot7_Age&gt;D43),1,0)</f>
        <v>0</v>
      </c>
      <c r="CG43" s="20" t="n">
        <f aca="false">RK42</f>
        <v>0</v>
      </c>
      <c r="CH43" s="20" t="n">
        <f aca="false">CE43*MIN(Slot7_Cost,CG43)</f>
        <v>0</v>
      </c>
      <c r="CI43" s="20" t="n">
        <f aca="false">CE43*Slot7_SpendLike*MIN(Slot7_Cost-CH43,CA43)</f>
        <v>0</v>
      </c>
      <c r="CJ43" s="20" t="n">
        <f aca="false">CH43+CI43</f>
        <v>0</v>
      </c>
      <c r="CK43" s="20" t="n">
        <f aca="false">CA43-CI43+CE43*IF(Slot7_SpendLike=1,CG43-CH43,IF(Slot7_PotFree=1,CG43,0))</f>
        <v>97714.7122969741</v>
      </c>
      <c r="CL43" s="20" t="n">
        <f aca="false">CB43+CE43*Slot7_BufPot*CG43</f>
        <v>15801.1289136452</v>
      </c>
      <c r="CM43" s="20" t="n">
        <f aca="false">IF(AND(CE43=1,Slot7_IsMfree=1),IF(CJ43&gt;=Slot7_Cost-1,0,MAX(0,CC43-CJ43)),CC43)</f>
        <v>0</v>
      </c>
      <c r="CN43" s="20" t="n">
        <f aca="false">CE43*(Slot7_Cost-CJ43)</f>
        <v>0</v>
      </c>
      <c r="CO43" s="20" t="n">
        <f aca="false">IF(AND(Slot8_On=1,D43=Slot8_Age),1,0)</f>
        <v>0</v>
      </c>
      <c r="CP43" s="20" t="n">
        <f aca="false">IF(AND(Slot8_On=1,Slot8_Age&gt;D43),1,0)</f>
        <v>0</v>
      </c>
      <c r="CQ43" s="20" t="n">
        <f aca="false">RO42</f>
        <v>0</v>
      </c>
      <c r="CR43" s="20" t="n">
        <f aca="false">CO43*MIN(Slot8_Cost,CQ43)</f>
        <v>0</v>
      </c>
      <c r="CS43" s="20" t="n">
        <f aca="false">CO43*Slot8_SpendLike*MIN(Slot8_Cost-CR43,CK43)</f>
        <v>0</v>
      </c>
      <c r="CT43" s="20" t="n">
        <f aca="false">CR43+CS43</f>
        <v>0</v>
      </c>
      <c r="CU43" s="20" t="n">
        <f aca="false">CK43-CS43+CO43*IF(Slot8_SpendLike=1,CQ43-CR43,IF(Slot8_PotFree=1,CQ43,0))</f>
        <v>97714.7122969741</v>
      </c>
      <c r="CV43" s="20" t="n">
        <f aca="false">CL43+CO43*Slot8_BufPot*CQ43</f>
        <v>15801.1289136452</v>
      </c>
      <c r="CW43" s="20" t="n">
        <f aca="false">IF(AND(CO43=1,Slot8_IsMfree=1),IF(CT43&gt;=Slot8_Cost-1,0,MAX(0,CM43-CT43)),CM43)</f>
        <v>0</v>
      </c>
      <c r="CX43" s="20" t="n">
        <f aca="false">CO43*(Slot8_Cost-CT43)</f>
        <v>0</v>
      </c>
      <c r="CY43" s="20" t="n">
        <f aca="false">IF(AND(Slot9_On=1,D43=Slot9_Age),1,0)</f>
        <v>0</v>
      </c>
      <c r="CZ43" s="20" t="n">
        <f aca="false">IF(AND(Slot9_On=1,Slot9_Age&gt;D43),1,0)</f>
        <v>0</v>
      </c>
      <c r="DA43" s="20" t="n">
        <f aca="false">RS42</f>
        <v>0</v>
      </c>
      <c r="DB43" s="20" t="n">
        <f aca="false">CY43*MIN(Slot9_Cost,DA43)</f>
        <v>0</v>
      </c>
      <c r="DC43" s="20" t="n">
        <f aca="false">CY43*Slot9_SpendLike*MIN(Slot9_Cost-DB43,CU43)</f>
        <v>0</v>
      </c>
      <c r="DD43" s="20" t="n">
        <f aca="false">DB43+DC43</f>
        <v>0</v>
      </c>
      <c r="DE43" s="20" t="n">
        <f aca="false">CU43-DC43+CY43*IF(Slot9_SpendLike=1,DA43-DB43,IF(Slot9_PotFree=1,DA43,0))</f>
        <v>97714.7122969741</v>
      </c>
      <c r="DF43" s="20" t="n">
        <f aca="false">CV43+CY43*Slot9_BufPot*DA43</f>
        <v>15801.1289136452</v>
      </c>
      <c r="DG43" s="20" t="n">
        <f aca="false">IF(AND(CY43=1,Slot9_IsMfree=1),IF(DD43&gt;=Slot9_Cost-1,0,MAX(0,CW43-DD43)),CW43)</f>
        <v>0</v>
      </c>
      <c r="DH43" s="20" t="n">
        <f aca="false">CY43*(Slot9_Cost-DD43)</f>
        <v>0</v>
      </c>
      <c r="DI43" s="20" t="n">
        <f aca="false">IF(AND(Slot10_On=1,D43=Slot10_Age),1,0)</f>
        <v>0</v>
      </c>
      <c r="DJ43" s="20" t="n">
        <f aca="false">IF(AND(Slot10_On=1,Slot10_Age&gt;D43),1,0)</f>
        <v>0</v>
      </c>
      <c r="DK43" s="20" t="n">
        <f aca="false">RW42</f>
        <v>0</v>
      </c>
      <c r="DL43" s="20" t="n">
        <f aca="false">DI43*MIN(Slot10_Cost,DK43)</f>
        <v>0</v>
      </c>
      <c r="DM43" s="20" t="n">
        <f aca="false">DI43*Slot10_SpendLike*MIN(Slot10_Cost-DL43,DE43)</f>
        <v>0</v>
      </c>
      <c r="DN43" s="20" t="n">
        <f aca="false">DL43+DM43</f>
        <v>0</v>
      </c>
      <c r="DO43" s="20" t="n">
        <f aca="false">DE43-DM43+DI43*IF(Slot10_SpendLike=1,DK43-DL43,IF(Slot10_PotFree=1,DK43,0))</f>
        <v>97714.7122969741</v>
      </c>
      <c r="DP43" s="20" t="n">
        <f aca="false">DF43+DI43*Slot10_BufPot*DK43</f>
        <v>15801.1289136452</v>
      </c>
      <c r="DQ43" s="20" t="n">
        <f aca="false">IF(AND(DI43=1,Slot10_IsMfree=1),IF(DN43&gt;=Slot10_Cost-1,0,MAX(0,DG43-DN43)),DG43)</f>
        <v>0</v>
      </c>
      <c r="DR43" s="20" t="n">
        <f aca="false">DI43*(Slot10_Cost-DN43)</f>
        <v>0</v>
      </c>
      <c r="DS43" s="20" t="n">
        <f aca="false">IF(AND(Slot11_On=1,D43=Slot11_Age),1,0)</f>
        <v>0</v>
      </c>
      <c r="DT43" s="20" t="n">
        <f aca="false">IF(AND(Slot11_On=1,Slot11_Age&gt;D43),1,0)</f>
        <v>0</v>
      </c>
      <c r="DU43" s="20" t="n">
        <f aca="false">SA42</f>
        <v>0</v>
      </c>
      <c r="DV43" s="20" t="n">
        <f aca="false">DS43*MIN(Slot11_Cost,DU43)</f>
        <v>0</v>
      </c>
      <c r="DW43" s="20" t="n">
        <f aca="false">DS43*Slot11_SpendLike*MIN(Slot11_Cost-DV43,DO43)</f>
        <v>0</v>
      </c>
      <c r="DX43" s="20" t="n">
        <f aca="false">DV43+DW43</f>
        <v>0</v>
      </c>
      <c r="DY43" s="20" t="n">
        <f aca="false">DO43-DW43+DS43*IF(Slot11_SpendLike=1,DU43-DV43,IF(Slot11_PotFree=1,DU43,0))</f>
        <v>97714.7122969741</v>
      </c>
      <c r="DZ43" s="20" t="n">
        <f aca="false">DP43+DS43*Slot11_BufPot*DU43</f>
        <v>15801.1289136452</v>
      </c>
      <c r="EA43" s="20" t="n">
        <f aca="false">IF(AND(DS43=1,Slot11_IsMfree=1),IF(DX43&gt;=Slot11_Cost-1,0,MAX(0,DQ43-DX43)),DQ43)</f>
        <v>0</v>
      </c>
      <c r="EB43" s="20" t="n">
        <f aca="false">DS43*(Slot11_Cost-DX43)</f>
        <v>0</v>
      </c>
      <c r="EC43" s="20" t="n">
        <f aca="false">IF(AND(Slot12_On=1,D43=Slot12_Age),1,0)</f>
        <v>0</v>
      </c>
      <c r="ED43" s="20" t="n">
        <f aca="false">IF(AND(Slot12_On=1,Slot12_Age&gt;D43),1,0)</f>
        <v>0</v>
      </c>
      <c r="EE43" s="20" t="n">
        <f aca="false">SE42</f>
        <v>0</v>
      </c>
      <c r="EF43" s="20" t="n">
        <f aca="false">EC43*MIN(Slot12_Cost,EE43)</f>
        <v>0</v>
      </c>
      <c r="EG43" s="20" t="n">
        <f aca="false">EC43*Slot12_SpendLike*MIN(Slot12_Cost-EF43,DY43)</f>
        <v>0</v>
      </c>
      <c r="EH43" s="20" t="n">
        <f aca="false">EF43+EG43</f>
        <v>0</v>
      </c>
      <c r="EI43" s="20" t="n">
        <f aca="false">DY43-EG43+EC43*IF(Slot12_SpendLike=1,EE43-EF43,IF(Slot12_PotFree=1,EE43,0))</f>
        <v>97714.7122969741</v>
      </c>
      <c r="EJ43" s="20" t="n">
        <f aca="false">DZ43+EC43*Slot12_BufPot*EE43</f>
        <v>15801.1289136452</v>
      </c>
      <c r="EK43" s="20" t="n">
        <f aca="false">IF(AND(EC43=1,Slot12_IsMfree=1),IF(EH43&gt;=Slot12_Cost-1,0,MAX(0,EA43-EH43)),EA43)</f>
        <v>0</v>
      </c>
      <c r="EL43" s="20" t="n">
        <f aca="false">EC43*(Slot12_Cost-EH43)</f>
        <v>0</v>
      </c>
      <c r="EM43" s="20" t="n">
        <f aca="false">IF(AND(Slot13_On=1,D43=Slot13_Age),1,0)</f>
        <v>0</v>
      </c>
      <c r="EN43" s="20" t="n">
        <f aca="false">IF(AND(Slot13_On=1,Slot13_Age&gt;D43),1,0)</f>
        <v>0</v>
      </c>
      <c r="EO43" s="20" t="n">
        <f aca="false">SI42</f>
        <v>0</v>
      </c>
      <c r="EP43" s="20" t="n">
        <f aca="false">EM43*MIN(Slot13_Cost,EO43)</f>
        <v>0</v>
      </c>
      <c r="EQ43" s="20" t="n">
        <f aca="false">EM43*Slot13_SpendLike*MIN(Slot13_Cost-EP43,EI43)</f>
        <v>0</v>
      </c>
      <c r="ER43" s="20" t="n">
        <f aca="false">EP43+EQ43</f>
        <v>0</v>
      </c>
      <c r="ES43" s="20" t="n">
        <f aca="false">EI43-EQ43+EM43*IF(Slot13_SpendLike=1,EO43-EP43,IF(Slot13_PotFree=1,EO43,0))</f>
        <v>97714.7122969741</v>
      </c>
      <c r="ET43" s="20" t="n">
        <f aca="false">EJ43+EM43*Slot13_BufPot*EO43</f>
        <v>15801.1289136452</v>
      </c>
      <c r="EU43" s="20" t="n">
        <f aca="false">IF(AND(EM43=1,Slot13_IsMfree=1),IF(ER43&gt;=Slot13_Cost-1,0,MAX(0,EK43-ER43)),EK43)</f>
        <v>0</v>
      </c>
      <c r="EV43" s="20" t="n">
        <f aca="false">EM43*(Slot13_Cost-ER43)</f>
        <v>0</v>
      </c>
      <c r="EW43" s="20" t="n">
        <f aca="false">IF(AND(Slot14_On=1,D43=Slot14_Age),1,0)</f>
        <v>0</v>
      </c>
      <c r="EX43" s="20" t="n">
        <f aca="false">IF(AND(Slot14_On=1,Slot14_Age&gt;D43),1,0)</f>
        <v>0</v>
      </c>
      <c r="EY43" s="20" t="n">
        <f aca="false">SM42</f>
        <v>0</v>
      </c>
      <c r="EZ43" s="20" t="n">
        <f aca="false">EW43*MIN(Slot14_Cost,EY43)</f>
        <v>0</v>
      </c>
      <c r="FA43" s="20" t="n">
        <f aca="false">EW43*Slot14_SpendLike*MIN(Slot14_Cost-EZ43,ES43)</f>
        <v>0</v>
      </c>
      <c r="FB43" s="20" t="n">
        <f aca="false">EZ43+FA43</f>
        <v>0</v>
      </c>
      <c r="FC43" s="20" t="n">
        <f aca="false">ES43-FA43+EW43*IF(Slot14_SpendLike=1,EY43-EZ43,IF(Slot14_PotFree=1,EY43,0))</f>
        <v>97714.7122969741</v>
      </c>
      <c r="FD43" s="20" t="n">
        <f aca="false">ET43+EW43*Slot14_BufPot*EY43</f>
        <v>15801.1289136452</v>
      </c>
      <c r="FE43" s="20" t="n">
        <f aca="false">IF(AND(EW43=1,Slot14_IsMfree=1),IF(FB43&gt;=Slot14_Cost-1,0,MAX(0,EU43-FB43)),EU43)</f>
        <v>0</v>
      </c>
      <c r="FF43" s="20" t="n">
        <f aca="false">EW43*(Slot14_Cost-FB43)</f>
        <v>0</v>
      </c>
      <c r="FG43" s="20" t="n">
        <f aca="false">IF(AND(Slot15_On=1,D43=Slot15_Age),1,0)</f>
        <v>0</v>
      </c>
      <c r="FH43" s="20" t="n">
        <f aca="false">IF(AND(Slot15_On=1,Slot15_Age&gt;D43),1,0)</f>
        <v>0</v>
      </c>
      <c r="FI43" s="20" t="n">
        <f aca="false">SQ42</f>
        <v>0</v>
      </c>
      <c r="FJ43" s="20" t="n">
        <f aca="false">FG43*MIN(Slot15_Cost,FI43)</f>
        <v>0</v>
      </c>
      <c r="FK43" s="20" t="n">
        <f aca="false">FG43*Slot15_SpendLike*MIN(Slot15_Cost-FJ43,FC43)</f>
        <v>0</v>
      </c>
      <c r="FL43" s="20" t="n">
        <f aca="false">FJ43+FK43</f>
        <v>0</v>
      </c>
      <c r="FM43" s="20" t="n">
        <f aca="false">FC43-FK43+FG43*IF(Slot15_SpendLike=1,FI43-FJ43,IF(Slot15_PotFree=1,FI43,0))</f>
        <v>97714.7122969741</v>
      </c>
      <c r="FN43" s="20" t="n">
        <f aca="false">FD43+FG43*Slot15_BufPot*FI43</f>
        <v>15801.1289136452</v>
      </c>
      <c r="FO43" s="20" t="n">
        <f aca="false">IF(AND(FG43=1,Slot15_IsMfree=1),IF(FL43&gt;=Slot15_Cost-1,0,MAX(0,FE43-FL43)),FE43)</f>
        <v>0</v>
      </c>
      <c r="FP43" s="20" t="n">
        <f aca="false">FG43*(Slot15_Cost-FL43)</f>
        <v>0</v>
      </c>
      <c r="FQ43" s="20" t="n">
        <f aca="false">IF(AND(Slot16_On=1,D43=Slot16_Age),1,0)</f>
        <v>0</v>
      </c>
      <c r="FR43" s="20" t="n">
        <f aca="false">IF(AND(Slot16_On=1,Slot16_Age&gt;D43),1,0)</f>
        <v>0</v>
      </c>
      <c r="FS43" s="20" t="n">
        <f aca="false">SU42</f>
        <v>0</v>
      </c>
      <c r="FT43" s="20" t="n">
        <f aca="false">FQ43*MIN(Slot16_Cost,FS43)</f>
        <v>0</v>
      </c>
      <c r="FU43" s="20" t="n">
        <f aca="false">FQ43*Slot16_SpendLike*MIN(Slot16_Cost-FT43,FM43)</f>
        <v>0</v>
      </c>
      <c r="FV43" s="20" t="n">
        <f aca="false">FT43+FU43</f>
        <v>0</v>
      </c>
      <c r="FW43" s="20" t="n">
        <f aca="false">FM43-FU43+FQ43*IF(Slot16_SpendLike=1,FS43-FT43,IF(Slot16_PotFree=1,FS43,0))</f>
        <v>97714.7122969741</v>
      </c>
      <c r="FX43" s="20" t="n">
        <f aca="false">FN43+FQ43*Slot16_BufPot*FS43</f>
        <v>15801.1289136452</v>
      </c>
      <c r="FY43" s="20" t="n">
        <f aca="false">IF(AND(FQ43=1,Slot16_IsMfree=1),IF(FV43&gt;=Slot16_Cost-1,0,MAX(0,FO43-FV43)),FO43)</f>
        <v>0</v>
      </c>
      <c r="FZ43" s="20" t="n">
        <f aca="false">FQ43*(Slot16_Cost-FV43)</f>
        <v>0</v>
      </c>
      <c r="GA43" s="20" t="n">
        <f aca="false">IF(AND(Slot17_On=1,D43=Slot17_Age),1,0)</f>
        <v>0</v>
      </c>
      <c r="GB43" s="20" t="n">
        <f aca="false">IF(AND(Slot17_On=1,Slot17_Age&gt;D43),1,0)</f>
        <v>0</v>
      </c>
      <c r="GC43" s="20" t="n">
        <f aca="false">SY42</f>
        <v>0</v>
      </c>
      <c r="GD43" s="20" t="n">
        <f aca="false">GA43*MIN(Slot17_Cost,GC43)</f>
        <v>0</v>
      </c>
      <c r="GE43" s="20" t="n">
        <f aca="false">GA43*Slot17_SpendLike*MIN(Slot17_Cost-GD43,FW43)</f>
        <v>0</v>
      </c>
      <c r="GF43" s="20" t="n">
        <f aca="false">GD43+GE43</f>
        <v>0</v>
      </c>
      <c r="GG43" s="20" t="n">
        <f aca="false">FW43-GE43+GA43*IF(Slot17_SpendLike=1,GC43-GD43,IF(Slot17_PotFree=1,GC43,0))</f>
        <v>97714.7122969741</v>
      </c>
      <c r="GH43" s="20" t="n">
        <f aca="false">FX43+GA43*Slot17_BufPot*GC43</f>
        <v>15801.1289136452</v>
      </c>
      <c r="GI43" s="20" t="n">
        <f aca="false">IF(AND(GA43=1,Slot17_IsMfree=1),IF(GF43&gt;=Slot17_Cost-1,0,MAX(0,FY43-GF43)),FY43)</f>
        <v>0</v>
      </c>
      <c r="GJ43" s="20" t="n">
        <f aca="false">GA43*(Slot17_Cost-GF43)</f>
        <v>0</v>
      </c>
      <c r="GK43" s="20" t="n">
        <f aca="false">IF(AND(Slot18_On=1,D43=Slot18_Age),1,0)</f>
        <v>0</v>
      </c>
      <c r="GL43" s="20" t="n">
        <f aca="false">IF(AND(Slot18_On=1,Slot18_Age&gt;D43),1,0)</f>
        <v>0</v>
      </c>
      <c r="GM43" s="20" t="n">
        <f aca="false">TC42</f>
        <v>0</v>
      </c>
      <c r="GN43" s="20" t="n">
        <f aca="false">GK43*MIN(Slot18_Cost,GM43)</f>
        <v>0</v>
      </c>
      <c r="GO43" s="20" t="n">
        <f aca="false">GK43*Slot18_SpendLike*MIN(Slot18_Cost-GN43,GG43)</f>
        <v>0</v>
      </c>
      <c r="GP43" s="20" t="n">
        <f aca="false">GN43+GO43</f>
        <v>0</v>
      </c>
      <c r="GQ43" s="20" t="n">
        <f aca="false">GG43-GO43+GK43*IF(Slot18_SpendLike=1,GM43-GN43,IF(Slot18_PotFree=1,GM43,0))</f>
        <v>97714.7122969741</v>
      </c>
      <c r="GR43" s="20" t="n">
        <f aca="false">GH43+GK43*Slot18_BufPot*GM43</f>
        <v>15801.1289136452</v>
      </c>
      <c r="GS43" s="20" t="n">
        <f aca="false">IF(AND(GK43=1,Slot18_IsMfree=1),IF(GP43&gt;=Slot18_Cost-1,0,MAX(0,GI43-GP43)),GI43)</f>
        <v>0</v>
      </c>
      <c r="GT43" s="20" t="n">
        <f aca="false">GK43*(Slot18_Cost-GP43)</f>
        <v>0</v>
      </c>
      <c r="GU43" s="20" t="n">
        <f aca="false">IF(AND(Slot19_On=1,D43=Slot19_Age),1,0)</f>
        <v>0</v>
      </c>
      <c r="GV43" s="20" t="n">
        <f aca="false">IF(AND(Slot19_On=1,Slot19_Age&gt;D43),1,0)</f>
        <v>0</v>
      </c>
      <c r="GW43" s="20" t="n">
        <f aca="false">TG42</f>
        <v>0</v>
      </c>
      <c r="GX43" s="20" t="n">
        <f aca="false">GU43*MIN(Slot19_Cost,GW43)</f>
        <v>0</v>
      </c>
      <c r="GY43" s="20" t="n">
        <f aca="false">GU43*Slot19_SpendLike*MIN(Slot19_Cost-GX43,GQ43)</f>
        <v>0</v>
      </c>
      <c r="GZ43" s="20" t="n">
        <f aca="false">GX43+GY43</f>
        <v>0</v>
      </c>
      <c r="HA43" s="20" t="n">
        <f aca="false">GQ43-GY43+GU43*IF(Slot19_SpendLike=1,GW43-GX43,IF(Slot19_PotFree=1,GW43,0))</f>
        <v>97714.7122969741</v>
      </c>
      <c r="HB43" s="20" t="n">
        <f aca="false">GR43+GU43*Slot19_BufPot*GW43</f>
        <v>15801.1289136452</v>
      </c>
      <c r="HC43" s="20" t="n">
        <f aca="false">IF(AND(GU43=1,Slot19_IsMfree=1),IF(GZ43&gt;=Slot19_Cost-1,0,MAX(0,GS43-GZ43)),GS43)</f>
        <v>0</v>
      </c>
      <c r="HD43" s="20" t="n">
        <f aca="false">GU43*(Slot19_Cost-GZ43)</f>
        <v>0</v>
      </c>
      <c r="HE43" s="20" t="n">
        <f aca="false">IF(AND(Slot20_On=1,D43=Slot20_Age),1,0)</f>
        <v>0</v>
      </c>
      <c r="HF43" s="20" t="n">
        <f aca="false">IF(AND(Slot20_On=1,Slot20_Age&gt;D43),1,0)</f>
        <v>0</v>
      </c>
      <c r="HG43" s="20" t="n">
        <f aca="false">TK42</f>
        <v>0</v>
      </c>
      <c r="HH43" s="20" t="n">
        <f aca="false">HE43*MIN(Slot20_Cost,HG43)</f>
        <v>0</v>
      </c>
      <c r="HI43" s="20" t="n">
        <f aca="false">HE43*Slot20_SpendLike*MIN(Slot20_Cost-HH43,HA43)</f>
        <v>0</v>
      </c>
      <c r="HJ43" s="20" t="n">
        <f aca="false">HH43+HI43</f>
        <v>0</v>
      </c>
      <c r="HK43" s="20" t="n">
        <f aca="false">HA43-HI43+HE43*IF(Slot20_SpendLike=1,HG43-HH43,IF(Slot20_PotFree=1,HG43,0))</f>
        <v>97714.7122969741</v>
      </c>
      <c r="HL43" s="20" t="n">
        <f aca="false">HB43+HE43*Slot20_BufPot*HG43</f>
        <v>15801.1289136452</v>
      </c>
      <c r="HM43" s="20" t="n">
        <f aca="false">IF(AND(HE43=1,Slot20_IsMfree=1),IF(HJ43&gt;=Slot20_Cost-1,0,MAX(0,HC43-HJ43)),HC43)</f>
        <v>0</v>
      </c>
      <c r="HN43" s="20" t="n">
        <f aca="false">HE43*(Slot20_Cost-HJ43)</f>
        <v>0</v>
      </c>
      <c r="HO43" s="20" t="n">
        <f aca="false">V43*Slot1_SpendLike*AA43+AG43*Slot2_SpendLike*AL43+AQ43*Slot3_SpendLike*AV43+BA43*Slot4_SpendLike*BF43+BK43*Slot5_SpendLike*BP43+BU43*Slot6_SpendLike*BZ43+CE43*Slot7_SpendLike*CJ43+CO43*Slot8_SpendLike*CT43+CY43*Slot9_SpendLike*DD43+DI43*Slot10_SpendLike*DN43+DS43*Slot11_SpendLike*DX43+EC43*Slot12_SpendLike*EH43+EM43*Slot13_SpendLike*ER43+EW43*Slot14_SpendLike*FB43+FG43*Slot15_SpendLike*FL43+FQ43*Slot16_SpendLike*FV43+GA43*Slot17_SpendLike*GF43+GK43*Slot18_SpendLike*GP43+GU43*Slot19_SpendLike*GZ43+HE43*Slot20_SpendLike*HJ43</f>
        <v>0</v>
      </c>
      <c r="HP43" s="20" t="n">
        <f aca="false">AE43+AP43+AZ43+BJ43+BT43+CD43+CN43+CX43+DH43+DR43+EB43+EL43+EV43+FF43+FP43+FZ43+GJ43+GT43+HD43+HN43</f>
        <v>0</v>
      </c>
      <c r="HQ43" s="20" t="n">
        <f aca="false">V43*Slot1_Cost+AG43*Slot2_Cost+AQ43*Slot3_Cost+BA43*Slot4_Cost+BK43*Slot5_Cost+BU43*Slot6_Cost+CE43*Slot7_Cost+CO43*Slot8_Cost+CY43*Slot9_Cost+DI43*Slot10_Cost+DS43*Slot11_Cost+EC43*Slot12_Cost+EM43*Slot13_Cost+EW43*Slot14_Cost+FG43*Slot15_Cost+FQ43*Slot16_Cost+GA43*Slot17_Cost+GK43*Slot18_Cost+GU43*Slot19_Cost+HE43*Slot20_Cost</f>
        <v>0</v>
      </c>
      <c r="HR43" s="20" t="n">
        <f aca="false">HM43</f>
        <v>0</v>
      </c>
      <c r="HS43" s="20" t="n">
        <f aca="false">H43-I43-S43</f>
        <v>-21440.3432638788</v>
      </c>
      <c r="HT43" s="20" t="n">
        <f aca="false">IF(B43=0,IF(AND(Has_q6=1,In_q6=4),PR_ShareVaries*(MAX(0,HS43)/12),MIN(IF(Has_q6=1,CHOOSE(In_q6+1,PR_SaveB1,PR_SaveB2,PR_SaveB3,PR_SaveB4,0),AS_NoAnswer),AS_SaveShare*(MAX(0,HS43)/12))),HT42)</f>
        <v>67.3316893520437</v>
      </c>
      <c r="HU43" s="20" t="n">
        <f aca="false">IF(HS43&gt;=0,1,0)</f>
        <v>0</v>
      </c>
      <c r="HV43" s="20" t="n">
        <f aca="false">MAX(0,HS43/12/F43)</f>
        <v>0</v>
      </c>
      <c r="HW43" s="20" t="n">
        <f aca="false">IF(AND(Has_q6=1,In_q6=4),PR_ShareVaries*(HV43),MIN(IF(Has_q6=1,CHOOSE(In_q6+1,PR_SaveB1,PR_SaveB2,PR_SaveB3,PR_SaveB4,0),AS_NoAnswer),AS_SaveShare*(HV43)))</f>
        <v>0</v>
      </c>
      <c r="HX43" s="20" t="n">
        <f aca="false">IF(Has_saveM=1,IF(In_saveUp="Yes",1,IF(In_saveUp="No",0,IF(In_saveM&gt;=HT43-0.5,1,0))),0)</f>
        <v>0</v>
      </c>
      <c r="HY43" s="20" t="n">
        <f aca="false">IF(Has_saveM=1,MIN(HV43,IF(HX43=1,MAX(In_saveM,HW43),MIN(In_saveM,HW43))),HW43)</f>
        <v>0</v>
      </c>
      <c r="HZ43" s="20" t="n">
        <f aca="false">IF(G43=1,HY43*12*F43,0)</f>
        <v>0</v>
      </c>
      <c r="IA43" s="20" t="n">
        <f aca="false">MAX(0,HZ43+IF(AND(WI_Retire=0,WI_M&lt;0,G43=1),WI_M*12*F43,0))</f>
        <v>0</v>
      </c>
      <c r="IB43" s="20" t="n">
        <f aca="false">Slot1_IsWG*W43+Slot2_IsWG*AH43+Slot3_IsWG*AR43+Slot4_IsWG*BB43+Slot5_IsWG*BL43+Slot6_IsWG*BV43+Slot7_IsWG*CF43+Slot8_IsWG*CP43+Slot9_IsWG*CZ43+Slot10_IsWG*DJ43+Slot11_IsWG*DT43+Slot12_IsWG*ED43+Slot13_IsWG*EN43+Slot14_IsWG*EX43+Slot15_IsWG*FH43+Slot16_IsWG*FR43+Slot17_IsWG*GB43+Slot18_IsWG*GL43+Slot19_IsWG*GV43+Slot20_IsWG*HF43</f>
        <v>0</v>
      </c>
      <c r="IC43" s="20" t="n">
        <f aca="false">IF(AND(WI_Retire=0,WI_M&gt;0,G43=1,IB43&gt;=1),WI_M*12*F43,0)</f>
        <v>0</v>
      </c>
      <c r="ID43" s="20" t="n">
        <f aca="false">IF(HU43=1,MIN(IA43,HS43),0)</f>
        <v>0</v>
      </c>
      <c r="IE43" s="20" t="n">
        <f aca="false">IF(HU43=1,MIN(IC43,HS43-ID43),0)</f>
        <v>0</v>
      </c>
      <c r="IF43" s="20" t="n">
        <f aca="false">IF(W43=1,IF(ABS((1+AS_Wage)/(1+Slot1_Rate)-1)&lt;0.000000000001,(Slot1_Age-D43)*(1+Slot1_Rate)^(Slot1_Age-D43),(1+Slot1_Rate)^(Slot1_Age-D43)*(1-((1+AS_Wage)/(1+Slot1_Rate))^(Slot1_Age-D43))/(1-(1+AS_Wage)/(1+Slot1_Rate))),1)</f>
        <v>1</v>
      </c>
      <c r="IG43" s="20" t="n">
        <f aca="false">IF(AND(HU43=1,IE43&gt;0,Slot1_IsWG=1,W43=1),MAX(0,(Slot1_Cost-X43*(1+Slot1_Rate)^(Slot1_Age-D43))/IF43),0)</f>
        <v>0</v>
      </c>
      <c r="IH43" s="20" t="n">
        <f aca="false">IF(AND(HU43=1,IE43&gt;0,Slot1_IsWG=1,W43=1),MIN(IE43,IG43),0)</f>
        <v>0</v>
      </c>
      <c r="II43" s="20" t="n">
        <f aca="false">X43+IH43</f>
        <v>0</v>
      </c>
      <c r="IJ43" s="20" t="n">
        <f aca="false">IF(W43=1,MAX(0,(Slot1_Cost-II43*(1+Slot1_Rate)^(Slot1_Age-D43))/IF43),0)</f>
        <v>0</v>
      </c>
      <c r="IK43" s="20" t="n">
        <f aca="false">IF(W43=1,MAX(0,(Slot1_Cost-X43*(1+Slot1_Rate)^(Slot1_Age-D43))/IF43),0)</f>
        <v>0</v>
      </c>
      <c r="IL43" s="20" t="n">
        <f aca="false">IF(AND(HU43=1,W43=1),MIN(ID43,IJ43),0)</f>
        <v>0</v>
      </c>
      <c r="IM43" s="20" t="n">
        <f aca="false">ID43-IL43</f>
        <v>0</v>
      </c>
      <c r="IN43" s="20" t="n">
        <f aca="false">IF(AH43=1,IF(ABS((1+AS_Wage)/(1+Slot2_Rate)-1)&lt;0.000000000001,(Slot2_Age-D43)*(1+Slot2_Rate)^(Slot2_Age-D43),(1+Slot2_Rate)^(Slot2_Age-D43)*(1-((1+AS_Wage)/(1+Slot2_Rate))^(Slot2_Age-D43))/(1-(1+AS_Wage)/(1+Slot2_Rate))),1)</f>
        <v>1</v>
      </c>
      <c r="IO43" s="20" t="n">
        <f aca="false">IF(AND(HU43=1,IE43&gt;0,Slot2_IsWG=1,AH43=1),MAX(0,(Slot2_Cost-AI43*(1+Slot2_Rate)^(Slot2_Age-D43))/IN43),0)</f>
        <v>0</v>
      </c>
      <c r="IP43" s="20" t="n">
        <f aca="false">IF(AND(HU43=1,IE43&gt;0,Slot2_IsWG=1,AH43=1),MIN(IE43,IO43),0)</f>
        <v>0</v>
      </c>
      <c r="IQ43" s="20" t="n">
        <f aca="false">AI43+IP43</f>
        <v>0</v>
      </c>
      <c r="IR43" s="20" t="n">
        <f aca="false">IF(AH43=1,MAX(0,(Slot2_Cost-IQ43*(1+Slot2_Rate)^(Slot2_Age-D43))/IN43),0)</f>
        <v>0</v>
      </c>
      <c r="IS43" s="20" t="n">
        <f aca="false">IF(AH43=1,MAX(0,(Slot2_Cost-AI43*(1+Slot2_Rate)^(Slot2_Age-D43))/IN43),0)</f>
        <v>0</v>
      </c>
      <c r="IT43" s="20" t="n">
        <f aca="false">IF(AND(HU43=1,AH43=1),MIN(IM43,IR43),0)</f>
        <v>0</v>
      </c>
      <c r="IU43" s="20" t="n">
        <f aca="false">IM43-IT43</f>
        <v>0</v>
      </c>
      <c r="IV43" s="20" t="n">
        <f aca="false">IF(AR43=1,IF(ABS((1+AS_Wage)/(1+Slot3_Rate)-1)&lt;0.000000000001,(Slot3_Age-D43)*(1+Slot3_Rate)^(Slot3_Age-D43),(1+Slot3_Rate)^(Slot3_Age-D43)*(1-((1+AS_Wage)/(1+Slot3_Rate))^(Slot3_Age-D43))/(1-(1+AS_Wage)/(1+Slot3_Rate))),1)</f>
        <v>1</v>
      </c>
      <c r="IW43" s="20" t="n">
        <f aca="false">IF(AND(HU43=1,IE43&gt;0,Slot3_IsWG=1,AR43=1),MAX(0,(Slot3_Cost-AS43*(1+Slot3_Rate)^(Slot3_Age-D43))/IV43),0)</f>
        <v>0</v>
      </c>
      <c r="IX43" s="20" t="n">
        <f aca="false">IF(AND(HU43=1,IE43&gt;0,Slot3_IsWG=1,AR43=1),MIN(IE43,IW43),0)</f>
        <v>0</v>
      </c>
      <c r="IY43" s="20" t="n">
        <f aca="false">AS43+IX43</f>
        <v>0</v>
      </c>
      <c r="IZ43" s="20" t="n">
        <f aca="false">IF(AR43=1,MAX(0,(Slot3_Cost-IY43*(1+Slot3_Rate)^(Slot3_Age-D43))/IV43),0)</f>
        <v>0</v>
      </c>
      <c r="JA43" s="20" t="n">
        <f aca="false">IF(AR43=1,MAX(0,(Slot3_Cost-AS43*(1+Slot3_Rate)^(Slot3_Age-D43))/IV43),0)</f>
        <v>0</v>
      </c>
      <c r="JB43" s="20" t="n">
        <f aca="false">IF(AND(HU43=1,AR43=1),MIN(IU43,IZ43),0)</f>
        <v>0</v>
      </c>
      <c r="JC43" s="20" t="n">
        <f aca="false">IU43-JB43</f>
        <v>0</v>
      </c>
      <c r="JD43" s="20" t="n">
        <f aca="false">IF(BB43=1,IF(ABS((1+AS_Wage)/(1+Slot4_Rate)-1)&lt;0.000000000001,(Slot4_Age-D43)*(1+Slot4_Rate)^(Slot4_Age-D43),(1+Slot4_Rate)^(Slot4_Age-D43)*(1-((1+AS_Wage)/(1+Slot4_Rate))^(Slot4_Age-D43))/(1-(1+AS_Wage)/(1+Slot4_Rate))),1)</f>
        <v>1</v>
      </c>
      <c r="JE43" s="20" t="n">
        <f aca="false">IF(AND(HU43=1,IE43&gt;0,Slot4_IsWG=1,BB43=1),MAX(0,(Slot4_Cost-BC43*(1+Slot4_Rate)^(Slot4_Age-D43))/JD43),0)</f>
        <v>0</v>
      </c>
      <c r="JF43" s="20" t="n">
        <f aca="false">IF(AND(HU43=1,IE43&gt;0,Slot4_IsWG=1,BB43=1),MIN(IE43,JE43),0)</f>
        <v>0</v>
      </c>
      <c r="JG43" s="20" t="n">
        <f aca="false">BC43+JF43</f>
        <v>0</v>
      </c>
      <c r="JH43" s="20" t="n">
        <f aca="false">IF(BB43=1,MAX(0,(Slot4_Cost-JG43*(1+Slot4_Rate)^(Slot4_Age-D43))/JD43),0)</f>
        <v>0</v>
      </c>
      <c r="JI43" s="20" t="n">
        <f aca="false">IF(BB43=1,MAX(0,(Slot4_Cost-BC43*(1+Slot4_Rate)^(Slot4_Age-D43))/JD43),0)</f>
        <v>0</v>
      </c>
      <c r="JJ43" s="20" t="n">
        <f aca="false">IF(AND(HU43=1,BB43=1),MIN(JC43,JH43),0)</f>
        <v>0</v>
      </c>
      <c r="JK43" s="20" t="n">
        <f aca="false">JC43-JJ43</f>
        <v>0</v>
      </c>
      <c r="JL43" s="20" t="n">
        <f aca="false">IF(BL43=1,IF(ABS((1+AS_Wage)/(1+Slot5_Rate)-1)&lt;0.000000000001,(Slot5_Age-D43)*(1+Slot5_Rate)^(Slot5_Age-D43),(1+Slot5_Rate)^(Slot5_Age-D43)*(1-((1+AS_Wage)/(1+Slot5_Rate))^(Slot5_Age-D43))/(1-(1+AS_Wage)/(1+Slot5_Rate))),1)</f>
        <v>1</v>
      </c>
      <c r="JM43" s="20" t="n">
        <f aca="false">IF(AND(HU43=1,IE43&gt;0,Slot5_IsWG=1,BL43=1),MAX(0,(Slot5_Cost-BM43*(1+Slot5_Rate)^(Slot5_Age-D43))/JL43),0)</f>
        <v>0</v>
      </c>
      <c r="JN43" s="20" t="n">
        <f aca="false">IF(AND(HU43=1,IE43&gt;0,Slot5_IsWG=1,BL43=1),MIN(IE43,JM43),0)</f>
        <v>0</v>
      </c>
      <c r="JO43" s="20" t="n">
        <f aca="false">BM43+JN43</f>
        <v>0</v>
      </c>
      <c r="JP43" s="20" t="n">
        <f aca="false">IF(BL43=1,MAX(0,(Slot5_Cost-JO43*(1+Slot5_Rate)^(Slot5_Age-D43))/JL43),0)</f>
        <v>0</v>
      </c>
      <c r="JQ43" s="20" t="n">
        <f aca="false">IF(BL43=1,MAX(0,(Slot5_Cost-BM43*(1+Slot5_Rate)^(Slot5_Age-D43))/JL43),0)</f>
        <v>0</v>
      </c>
      <c r="JR43" s="20" t="n">
        <f aca="false">IF(AND(HU43=1,BL43=1),MIN(JK43,JP43),0)</f>
        <v>0</v>
      </c>
      <c r="JS43" s="20" t="n">
        <f aca="false">JK43-JR43</f>
        <v>0</v>
      </c>
      <c r="JT43" s="20" t="n">
        <f aca="false">IF(BV43=1,IF(ABS((1+AS_Wage)/(1+Slot6_Rate)-1)&lt;0.000000000001,(Slot6_Age-D43)*(1+Slot6_Rate)^(Slot6_Age-D43),(1+Slot6_Rate)^(Slot6_Age-D43)*(1-((1+AS_Wage)/(1+Slot6_Rate))^(Slot6_Age-D43))/(1-(1+AS_Wage)/(1+Slot6_Rate))),1)</f>
        <v>1</v>
      </c>
      <c r="JU43" s="20" t="n">
        <f aca="false">IF(AND(HU43=1,IE43&gt;0,Slot6_IsWG=1,BV43=1),MAX(0,(Slot6_Cost-BW43*(1+Slot6_Rate)^(Slot6_Age-D43))/JT43),0)</f>
        <v>0</v>
      </c>
      <c r="JV43" s="20" t="n">
        <f aca="false">IF(AND(HU43=1,IE43&gt;0,Slot6_IsWG=1,BV43=1),MIN(IE43,JU43),0)</f>
        <v>0</v>
      </c>
      <c r="JW43" s="20" t="n">
        <f aca="false">BW43+JV43</f>
        <v>0</v>
      </c>
      <c r="JX43" s="20" t="n">
        <f aca="false">IF(BV43=1,MAX(0,(Slot6_Cost-JW43*(1+Slot6_Rate)^(Slot6_Age-D43))/JT43),0)</f>
        <v>0</v>
      </c>
      <c r="JY43" s="20" t="n">
        <f aca="false">IF(BV43=1,MAX(0,(Slot6_Cost-BW43*(1+Slot6_Rate)^(Slot6_Age-D43))/JT43),0)</f>
        <v>0</v>
      </c>
      <c r="JZ43" s="20" t="n">
        <f aca="false">IF(AND(HU43=1,BV43=1),MIN(JS43,JX43),0)</f>
        <v>0</v>
      </c>
      <c r="KA43" s="20" t="n">
        <f aca="false">JS43-JZ43</f>
        <v>0</v>
      </c>
      <c r="KB43" s="20" t="n">
        <f aca="false">IF(CF43=1,IF(ABS((1+AS_Wage)/(1+Slot7_Rate)-1)&lt;0.000000000001,(Slot7_Age-D43)*(1+Slot7_Rate)^(Slot7_Age-D43),(1+Slot7_Rate)^(Slot7_Age-D43)*(1-((1+AS_Wage)/(1+Slot7_Rate))^(Slot7_Age-D43))/(1-(1+AS_Wage)/(1+Slot7_Rate))),1)</f>
        <v>1</v>
      </c>
      <c r="KC43" s="20" t="n">
        <f aca="false">IF(AND(HU43=1,IE43&gt;0,Slot7_IsWG=1,CF43=1),MAX(0,(Slot7_Cost-CG43*(1+Slot7_Rate)^(Slot7_Age-D43))/KB43),0)</f>
        <v>0</v>
      </c>
      <c r="KD43" s="20" t="n">
        <f aca="false">IF(AND(HU43=1,IE43&gt;0,Slot7_IsWG=1,CF43=1),MIN(IE43,KC43),0)</f>
        <v>0</v>
      </c>
      <c r="KE43" s="20" t="n">
        <f aca="false">CG43+KD43</f>
        <v>0</v>
      </c>
      <c r="KF43" s="20" t="n">
        <f aca="false">IF(CF43=1,MAX(0,(Slot7_Cost-KE43*(1+Slot7_Rate)^(Slot7_Age-D43))/KB43),0)</f>
        <v>0</v>
      </c>
      <c r="KG43" s="20" t="n">
        <f aca="false">IF(CF43=1,MAX(0,(Slot7_Cost-CG43*(1+Slot7_Rate)^(Slot7_Age-D43))/KB43),0)</f>
        <v>0</v>
      </c>
      <c r="KH43" s="20" t="n">
        <f aca="false">IF(AND(HU43=1,CF43=1),MIN(KA43,KF43),0)</f>
        <v>0</v>
      </c>
      <c r="KI43" s="20" t="n">
        <f aca="false">KA43-KH43</f>
        <v>0</v>
      </c>
      <c r="KJ43" s="20" t="n">
        <f aca="false">IF(CP43=1,IF(ABS((1+AS_Wage)/(1+Slot8_Rate)-1)&lt;0.000000000001,(Slot8_Age-D43)*(1+Slot8_Rate)^(Slot8_Age-D43),(1+Slot8_Rate)^(Slot8_Age-D43)*(1-((1+AS_Wage)/(1+Slot8_Rate))^(Slot8_Age-D43))/(1-(1+AS_Wage)/(1+Slot8_Rate))),1)</f>
        <v>1</v>
      </c>
      <c r="KK43" s="20" t="n">
        <f aca="false">IF(AND(HU43=1,IE43&gt;0,Slot8_IsWG=1,CP43=1),MAX(0,(Slot8_Cost-CQ43*(1+Slot8_Rate)^(Slot8_Age-D43))/KJ43),0)</f>
        <v>0</v>
      </c>
      <c r="KL43" s="20" t="n">
        <f aca="false">IF(AND(HU43=1,IE43&gt;0,Slot8_IsWG=1,CP43=1),MIN(IE43,KK43),0)</f>
        <v>0</v>
      </c>
      <c r="KM43" s="20" t="n">
        <f aca="false">CQ43+KL43</f>
        <v>0</v>
      </c>
      <c r="KN43" s="20" t="n">
        <f aca="false">IF(CP43=1,MAX(0,(Slot8_Cost-KM43*(1+Slot8_Rate)^(Slot8_Age-D43))/KJ43),0)</f>
        <v>0</v>
      </c>
      <c r="KO43" s="20" t="n">
        <f aca="false">IF(CP43=1,MAX(0,(Slot8_Cost-CQ43*(1+Slot8_Rate)^(Slot8_Age-D43))/KJ43),0)</f>
        <v>0</v>
      </c>
      <c r="KP43" s="20" t="n">
        <f aca="false">IF(AND(HU43=1,CP43=1),MIN(KI43,KN43),0)</f>
        <v>0</v>
      </c>
      <c r="KQ43" s="20" t="n">
        <f aca="false">KI43-KP43</f>
        <v>0</v>
      </c>
      <c r="KR43" s="20" t="n">
        <f aca="false">IF(CZ43=1,IF(ABS((1+AS_Wage)/(1+Slot9_Rate)-1)&lt;0.000000000001,(Slot9_Age-D43)*(1+Slot9_Rate)^(Slot9_Age-D43),(1+Slot9_Rate)^(Slot9_Age-D43)*(1-((1+AS_Wage)/(1+Slot9_Rate))^(Slot9_Age-D43))/(1-(1+AS_Wage)/(1+Slot9_Rate))),1)</f>
        <v>1</v>
      </c>
      <c r="KS43" s="20" t="n">
        <f aca="false">IF(AND(HU43=1,IE43&gt;0,Slot9_IsWG=1,CZ43=1),MAX(0,(Slot9_Cost-DA43*(1+Slot9_Rate)^(Slot9_Age-D43))/KR43),0)</f>
        <v>0</v>
      </c>
      <c r="KT43" s="20" t="n">
        <f aca="false">IF(AND(HU43=1,IE43&gt;0,Slot9_IsWG=1,CZ43=1),MIN(IE43,KS43),0)</f>
        <v>0</v>
      </c>
      <c r="KU43" s="20" t="n">
        <f aca="false">DA43+KT43</f>
        <v>0</v>
      </c>
      <c r="KV43" s="20" t="n">
        <f aca="false">IF(CZ43=1,MAX(0,(Slot9_Cost-KU43*(1+Slot9_Rate)^(Slot9_Age-D43))/KR43),0)</f>
        <v>0</v>
      </c>
      <c r="KW43" s="20" t="n">
        <f aca="false">IF(CZ43=1,MAX(0,(Slot9_Cost-DA43*(1+Slot9_Rate)^(Slot9_Age-D43))/KR43),0)</f>
        <v>0</v>
      </c>
      <c r="KX43" s="20" t="n">
        <f aca="false">IF(AND(HU43=1,CZ43=1),MIN(KQ43,KV43),0)</f>
        <v>0</v>
      </c>
      <c r="KY43" s="20" t="n">
        <f aca="false">KQ43-KX43</f>
        <v>0</v>
      </c>
      <c r="KZ43" s="20" t="n">
        <f aca="false">IF(DJ43=1,IF(ABS((1+AS_Wage)/(1+Slot10_Rate)-1)&lt;0.000000000001,(Slot10_Age-D43)*(1+Slot10_Rate)^(Slot10_Age-D43),(1+Slot10_Rate)^(Slot10_Age-D43)*(1-((1+AS_Wage)/(1+Slot10_Rate))^(Slot10_Age-D43))/(1-(1+AS_Wage)/(1+Slot10_Rate))),1)</f>
        <v>1</v>
      </c>
      <c r="LA43" s="20" t="n">
        <f aca="false">IF(AND(HU43=1,IE43&gt;0,Slot10_IsWG=1,DJ43=1),MAX(0,(Slot10_Cost-DK43*(1+Slot10_Rate)^(Slot10_Age-D43))/KZ43),0)</f>
        <v>0</v>
      </c>
      <c r="LB43" s="20" t="n">
        <f aca="false">IF(AND(HU43=1,IE43&gt;0,Slot10_IsWG=1,DJ43=1),MIN(IE43,LA43),0)</f>
        <v>0</v>
      </c>
      <c r="LC43" s="20" t="n">
        <f aca="false">DK43+LB43</f>
        <v>0</v>
      </c>
      <c r="LD43" s="20" t="n">
        <f aca="false">IF(DJ43=1,MAX(0,(Slot10_Cost-LC43*(1+Slot10_Rate)^(Slot10_Age-D43))/KZ43),0)</f>
        <v>0</v>
      </c>
      <c r="LE43" s="20" t="n">
        <f aca="false">IF(DJ43=1,MAX(0,(Slot10_Cost-DK43*(1+Slot10_Rate)^(Slot10_Age-D43))/KZ43),0)</f>
        <v>0</v>
      </c>
      <c r="LF43" s="20" t="n">
        <f aca="false">IF(AND(HU43=1,DJ43=1),MIN(KY43,LD43),0)</f>
        <v>0</v>
      </c>
      <c r="LG43" s="20" t="n">
        <f aca="false">KY43-LF43</f>
        <v>0</v>
      </c>
      <c r="LH43" s="20" t="n">
        <f aca="false">IF(DT43=1,IF(ABS((1+AS_Wage)/(1+Slot11_Rate)-1)&lt;0.000000000001,(Slot11_Age-D43)*(1+Slot11_Rate)^(Slot11_Age-D43),(1+Slot11_Rate)^(Slot11_Age-D43)*(1-((1+AS_Wage)/(1+Slot11_Rate))^(Slot11_Age-D43))/(1-(1+AS_Wage)/(1+Slot11_Rate))),1)</f>
        <v>1</v>
      </c>
      <c r="LI43" s="20" t="n">
        <f aca="false">IF(AND(HU43=1,IE43&gt;0,Slot11_IsWG=1,DT43=1),MAX(0,(Slot11_Cost-DU43*(1+Slot11_Rate)^(Slot11_Age-D43))/LH43),0)</f>
        <v>0</v>
      </c>
      <c r="LJ43" s="20" t="n">
        <f aca="false">IF(AND(HU43=1,IE43&gt;0,Slot11_IsWG=1,DT43=1),MIN(IE43,LI43),0)</f>
        <v>0</v>
      </c>
      <c r="LK43" s="20" t="n">
        <f aca="false">DU43+LJ43</f>
        <v>0</v>
      </c>
      <c r="LL43" s="20" t="n">
        <f aca="false">IF(DT43=1,MAX(0,(Slot11_Cost-LK43*(1+Slot11_Rate)^(Slot11_Age-D43))/LH43),0)</f>
        <v>0</v>
      </c>
      <c r="LM43" s="20" t="n">
        <f aca="false">IF(DT43=1,MAX(0,(Slot11_Cost-DU43*(1+Slot11_Rate)^(Slot11_Age-D43))/LH43),0)</f>
        <v>0</v>
      </c>
      <c r="LN43" s="20" t="n">
        <f aca="false">IF(AND(HU43=1,DT43=1),MIN(LG43,LL43),0)</f>
        <v>0</v>
      </c>
      <c r="LO43" s="20" t="n">
        <f aca="false">LG43-LN43</f>
        <v>0</v>
      </c>
      <c r="LP43" s="20" t="n">
        <f aca="false">IF(ED43=1,IF(ABS((1+AS_Wage)/(1+Slot12_Rate)-1)&lt;0.000000000001,(Slot12_Age-D43)*(1+Slot12_Rate)^(Slot12_Age-D43),(1+Slot12_Rate)^(Slot12_Age-D43)*(1-((1+AS_Wage)/(1+Slot12_Rate))^(Slot12_Age-D43))/(1-(1+AS_Wage)/(1+Slot12_Rate))),1)</f>
        <v>1</v>
      </c>
      <c r="LQ43" s="20" t="n">
        <f aca="false">IF(AND(HU43=1,IE43&gt;0,Slot12_IsWG=1,ED43=1),MAX(0,(Slot12_Cost-EE43*(1+Slot12_Rate)^(Slot12_Age-D43))/LP43),0)</f>
        <v>0</v>
      </c>
      <c r="LR43" s="20" t="n">
        <f aca="false">IF(AND(HU43=1,IE43&gt;0,Slot12_IsWG=1,ED43=1),MIN(IE43,LQ43),0)</f>
        <v>0</v>
      </c>
      <c r="LS43" s="20" t="n">
        <f aca="false">EE43+LR43</f>
        <v>0</v>
      </c>
      <c r="LT43" s="20" t="n">
        <f aca="false">IF(ED43=1,MAX(0,(Slot12_Cost-LS43*(1+Slot12_Rate)^(Slot12_Age-D43))/LP43),0)</f>
        <v>0</v>
      </c>
      <c r="LU43" s="20" t="n">
        <f aca="false">IF(ED43=1,MAX(0,(Slot12_Cost-EE43*(1+Slot12_Rate)^(Slot12_Age-D43))/LP43),0)</f>
        <v>0</v>
      </c>
      <c r="LV43" s="20" t="n">
        <f aca="false">IF(AND(HU43=1,ED43=1),MIN(LO43,LT43),0)</f>
        <v>0</v>
      </c>
      <c r="LW43" s="20" t="n">
        <f aca="false">LO43-LV43</f>
        <v>0</v>
      </c>
      <c r="LX43" s="20" t="n">
        <f aca="false">IF(EN43=1,IF(ABS((1+AS_Wage)/(1+Slot13_Rate)-1)&lt;0.000000000001,(Slot13_Age-D43)*(1+Slot13_Rate)^(Slot13_Age-D43),(1+Slot13_Rate)^(Slot13_Age-D43)*(1-((1+AS_Wage)/(1+Slot13_Rate))^(Slot13_Age-D43))/(1-(1+AS_Wage)/(1+Slot13_Rate))),1)</f>
        <v>1</v>
      </c>
      <c r="LY43" s="20" t="n">
        <f aca="false">IF(AND(HU43=1,IE43&gt;0,Slot13_IsWG=1,EN43=1),MAX(0,(Slot13_Cost-EO43*(1+Slot13_Rate)^(Slot13_Age-D43))/LX43),0)</f>
        <v>0</v>
      </c>
      <c r="LZ43" s="20" t="n">
        <f aca="false">IF(AND(HU43=1,IE43&gt;0,Slot13_IsWG=1,EN43=1),MIN(IE43,LY43),0)</f>
        <v>0</v>
      </c>
      <c r="MA43" s="20" t="n">
        <f aca="false">EO43+LZ43</f>
        <v>0</v>
      </c>
      <c r="MB43" s="20" t="n">
        <f aca="false">IF(EN43=1,MAX(0,(Slot13_Cost-MA43*(1+Slot13_Rate)^(Slot13_Age-D43))/LX43),0)</f>
        <v>0</v>
      </c>
      <c r="MC43" s="20" t="n">
        <f aca="false">IF(EN43=1,MAX(0,(Slot13_Cost-EO43*(1+Slot13_Rate)^(Slot13_Age-D43))/LX43),0)</f>
        <v>0</v>
      </c>
      <c r="MD43" s="20" t="n">
        <f aca="false">IF(AND(HU43=1,EN43=1),MIN(LW43,MB43),0)</f>
        <v>0</v>
      </c>
      <c r="ME43" s="20" t="n">
        <f aca="false">LW43-MD43</f>
        <v>0</v>
      </c>
      <c r="MF43" s="20" t="n">
        <f aca="false">IF(EX43=1,IF(ABS((1+AS_Wage)/(1+Slot14_Rate)-1)&lt;0.000000000001,(Slot14_Age-D43)*(1+Slot14_Rate)^(Slot14_Age-D43),(1+Slot14_Rate)^(Slot14_Age-D43)*(1-((1+AS_Wage)/(1+Slot14_Rate))^(Slot14_Age-D43))/(1-(1+AS_Wage)/(1+Slot14_Rate))),1)</f>
        <v>1</v>
      </c>
      <c r="MG43" s="20" t="n">
        <f aca="false">IF(AND(HU43=1,IE43&gt;0,Slot14_IsWG=1,EX43=1),MAX(0,(Slot14_Cost-EY43*(1+Slot14_Rate)^(Slot14_Age-D43))/MF43),0)</f>
        <v>0</v>
      </c>
      <c r="MH43" s="20" t="n">
        <f aca="false">IF(AND(HU43=1,IE43&gt;0,Slot14_IsWG=1,EX43=1),MIN(IE43,MG43),0)</f>
        <v>0</v>
      </c>
      <c r="MI43" s="20" t="n">
        <f aca="false">EY43+MH43</f>
        <v>0</v>
      </c>
      <c r="MJ43" s="20" t="n">
        <f aca="false">IF(EX43=1,MAX(0,(Slot14_Cost-MI43*(1+Slot14_Rate)^(Slot14_Age-D43))/MF43),0)</f>
        <v>0</v>
      </c>
      <c r="MK43" s="20" t="n">
        <f aca="false">IF(EX43=1,MAX(0,(Slot14_Cost-EY43*(1+Slot14_Rate)^(Slot14_Age-D43))/MF43),0)</f>
        <v>0</v>
      </c>
      <c r="ML43" s="20" t="n">
        <f aca="false">IF(AND(HU43=1,EX43=1),MIN(ME43,MJ43),0)</f>
        <v>0</v>
      </c>
      <c r="MM43" s="20" t="n">
        <f aca="false">ME43-ML43</f>
        <v>0</v>
      </c>
      <c r="MN43" s="20" t="n">
        <f aca="false">IF(FH43=1,IF(ABS((1+AS_Wage)/(1+Slot15_Rate)-1)&lt;0.000000000001,(Slot15_Age-D43)*(1+Slot15_Rate)^(Slot15_Age-D43),(1+Slot15_Rate)^(Slot15_Age-D43)*(1-((1+AS_Wage)/(1+Slot15_Rate))^(Slot15_Age-D43))/(1-(1+AS_Wage)/(1+Slot15_Rate))),1)</f>
        <v>1</v>
      </c>
      <c r="MO43" s="20" t="n">
        <f aca="false">IF(AND(HU43=1,IE43&gt;0,Slot15_IsWG=1,FH43=1),MAX(0,(Slot15_Cost-FI43*(1+Slot15_Rate)^(Slot15_Age-D43))/MN43),0)</f>
        <v>0</v>
      </c>
      <c r="MP43" s="20" t="n">
        <f aca="false">IF(AND(HU43=1,IE43&gt;0,Slot15_IsWG=1,FH43=1),MIN(IE43,MO43),0)</f>
        <v>0</v>
      </c>
      <c r="MQ43" s="20" t="n">
        <f aca="false">FI43+MP43</f>
        <v>0</v>
      </c>
      <c r="MR43" s="20" t="n">
        <f aca="false">IF(FH43=1,MAX(0,(Slot15_Cost-MQ43*(1+Slot15_Rate)^(Slot15_Age-D43))/MN43),0)</f>
        <v>0</v>
      </c>
      <c r="MS43" s="20" t="n">
        <f aca="false">IF(FH43=1,MAX(0,(Slot15_Cost-FI43*(1+Slot15_Rate)^(Slot15_Age-D43))/MN43),0)</f>
        <v>0</v>
      </c>
      <c r="MT43" s="20" t="n">
        <f aca="false">IF(AND(HU43=1,FH43=1),MIN(MM43,MR43),0)</f>
        <v>0</v>
      </c>
      <c r="MU43" s="20" t="n">
        <f aca="false">MM43-MT43</f>
        <v>0</v>
      </c>
      <c r="MV43" s="20" t="n">
        <f aca="false">IF(FR43=1,IF(ABS((1+AS_Wage)/(1+Slot16_Rate)-1)&lt;0.000000000001,(Slot16_Age-D43)*(1+Slot16_Rate)^(Slot16_Age-D43),(1+Slot16_Rate)^(Slot16_Age-D43)*(1-((1+AS_Wage)/(1+Slot16_Rate))^(Slot16_Age-D43))/(1-(1+AS_Wage)/(1+Slot16_Rate))),1)</f>
        <v>1</v>
      </c>
      <c r="MW43" s="20" t="n">
        <f aca="false">IF(AND(HU43=1,IE43&gt;0,Slot16_IsWG=1,FR43=1),MAX(0,(Slot16_Cost-FS43*(1+Slot16_Rate)^(Slot16_Age-D43))/MV43),0)</f>
        <v>0</v>
      </c>
      <c r="MX43" s="20" t="n">
        <f aca="false">IF(AND(HU43=1,IE43&gt;0,Slot16_IsWG=1,FR43=1),MIN(IE43,MW43),0)</f>
        <v>0</v>
      </c>
      <c r="MY43" s="20" t="n">
        <f aca="false">FS43+MX43</f>
        <v>0</v>
      </c>
      <c r="MZ43" s="20" t="n">
        <f aca="false">IF(FR43=1,MAX(0,(Slot16_Cost-MY43*(1+Slot16_Rate)^(Slot16_Age-D43))/MV43),0)</f>
        <v>0</v>
      </c>
      <c r="NA43" s="20" t="n">
        <f aca="false">IF(FR43=1,MAX(0,(Slot16_Cost-FS43*(1+Slot16_Rate)^(Slot16_Age-D43))/MV43),0)</f>
        <v>0</v>
      </c>
      <c r="NB43" s="20" t="n">
        <f aca="false">IF(AND(HU43=1,FR43=1),MIN(MU43,MZ43),0)</f>
        <v>0</v>
      </c>
      <c r="NC43" s="20" t="n">
        <f aca="false">MU43-NB43</f>
        <v>0</v>
      </c>
      <c r="ND43" s="20" t="n">
        <f aca="false">IF(GB43=1,IF(ABS((1+AS_Wage)/(1+Slot17_Rate)-1)&lt;0.000000000001,(Slot17_Age-D43)*(1+Slot17_Rate)^(Slot17_Age-D43),(1+Slot17_Rate)^(Slot17_Age-D43)*(1-((1+AS_Wage)/(1+Slot17_Rate))^(Slot17_Age-D43))/(1-(1+AS_Wage)/(1+Slot17_Rate))),1)</f>
        <v>1</v>
      </c>
      <c r="NE43" s="20" t="n">
        <f aca="false">IF(AND(HU43=1,IE43&gt;0,Slot17_IsWG=1,GB43=1),MAX(0,(Slot17_Cost-GC43*(1+Slot17_Rate)^(Slot17_Age-D43))/ND43),0)</f>
        <v>0</v>
      </c>
      <c r="NF43" s="20" t="n">
        <f aca="false">IF(AND(HU43=1,IE43&gt;0,Slot17_IsWG=1,GB43=1),MIN(IE43,NE43),0)</f>
        <v>0</v>
      </c>
      <c r="NG43" s="20" t="n">
        <f aca="false">GC43+NF43</f>
        <v>0</v>
      </c>
      <c r="NH43" s="20" t="n">
        <f aca="false">IF(GB43=1,MAX(0,(Slot17_Cost-NG43*(1+Slot17_Rate)^(Slot17_Age-D43))/ND43),0)</f>
        <v>0</v>
      </c>
      <c r="NI43" s="20" t="n">
        <f aca="false">IF(GB43=1,MAX(0,(Slot17_Cost-GC43*(1+Slot17_Rate)^(Slot17_Age-D43))/ND43),0)</f>
        <v>0</v>
      </c>
      <c r="NJ43" s="20" t="n">
        <f aca="false">IF(AND(HU43=1,GB43=1),MIN(NC43,NH43),0)</f>
        <v>0</v>
      </c>
      <c r="NK43" s="20" t="n">
        <f aca="false">NC43-NJ43</f>
        <v>0</v>
      </c>
      <c r="NL43" s="20" t="n">
        <f aca="false">IF(GL43=1,IF(ABS((1+AS_Wage)/(1+Slot18_Rate)-1)&lt;0.000000000001,(Slot18_Age-D43)*(1+Slot18_Rate)^(Slot18_Age-D43),(1+Slot18_Rate)^(Slot18_Age-D43)*(1-((1+AS_Wage)/(1+Slot18_Rate))^(Slot18_Age-D43))/(1-(1+AS_Wage)/(1+Slot18_Rate))),1)</f>
        <v>1</v>
      </c>
      <c r="NM43" s="20" t="n">
        <f aca="false">IF(AND(HU43=1,IE43&gt;0,Slot18_IsWG=1,GL43=1),MAX(0,(Slot18_Cost-GM43*(1+Slot18_Rate)^(Slot18_Age-D43))/NL43),0)</f>
        <v>0</v>
      </c>
      <c r="NN43" s="20" t="n">
        <f aca="false">IF(AND(HU43=1,IE43&gt;0,Slot18_IsWG=1,GL43=1),MIN(IE43,NM43),0)</f>
        <v>0</v>
      </c>
      <c r="NO43" s="20" t="n">
        <f aca="false">GM43+NN43</f>
        <v>0</v>
      </c>
      <c r="NP43" s="20" t="n">
        <f aca="false">IF(GL43=1,MAX(0,(Slot18_Cost-NO43*(1+Slot18_Rate)^(Slot18_Age-D43))/NL43),0)</f>
        <v>0</v>
      </c>
      <c r="NQ43" s="20" t="n">
        <f aca="false">IF(GL43=1,MAX(0,(Slot18_Cost-GM43*(1+Slot18_Rate)^(Slot18_Age-D43))/NL43),0)</f>
        <v>0</v>
      </c>
      <c r="NR43" s="20" t="n">
        <f aca="false">IF(AND(HU43=1,GL43=1),MIN(NK43,NP43),0)</f>
        <v>0</v>
      </c>
      <c r="NS43" s="20" t="n">
        <f aca="false">NK43-NR43</f>
        <v>0</v>
      </c>
      <c r="NT43" s="20" t="n">
        <f aca="false">IF(GV43=1,IF(ABS((1+AS_Wage)/(1+Slot19_Rate)-1)&lt;0.000000000001,(Slot19_Age-D43)*(1+Slot19_Rate)^(Slot19_Age-D43),(1+Slot19_Rate)^(Slot19_Age-D43)*(1-((1+AS_Wage)/(1+Slot19_Rate))^(Slot19_Age-D43))/(1-(1+AS_Wage)/(1+Slot19_Rate))),1)</f>
        <v>1</v>
      </c>
      <c r="NU43" s="20" t="n">
        <f aca="false">IF(AND(HU43=1,IE43&gt;0,Slot19_IsWG=1,GV43=1),MAX(0,(Slot19_Cost-GW43*(1+Slot19_Rate)^(Slot19_Age-D43))/NT43),0)</f>
        <v>0</v>
      </c>
      <c r="NV43" s="20" t="n">
        <f aca="false">IF(AND(HU43=1,IE43&gt;0,Slot19_IsWG=1,GV43=1),MIN(IE43,NU43),0)</f>
        <v>0</v>
      </c>
      <c r="NW43" s="20" t="n">
        <f aca="false">GW43+NV43</f>
        <v>0</v>
      </c>
      <c r="NX43" s="20" t="n">
        <f aca="false">IF(GV43=1,MAX(0,(Slot19_Cost-NW43*(1+Slot19_Rate)^(Slot19_Age-D43))/NT43),0)</f>
        <v>0</v>
      </c>
      <c r="NY43" s="20" t="n">
        <f aca="false">IF(GV43=1,MAX(0,(Slot19_Cost-GW43*(1+Slot19_Rate)^(Slot19_Age-D43))/NT43),0)</f>
        <v>0</v>
      </c>
      <c r="NZ43" s="20" t="n">
        <f aca="false">IF(AND(HU43=1,GV43=1),MIN(NS43,NX43),0)</f>
        <v>0</v>
      </c>
      <c r="OA43" s="20" t="n">
        <f aca="false">NS43-NZ43</f>
        <v>0</v>
      </c>
      <c r="OB43" s="20" t="n">
        <f aca="false">IF(HF43=1,IF(ABS((1+AS_Wage)/(1+Slot20_Rate)-1)&lt;0.000000000001,(Slot20_Age-D43)*(1+Slot20_Rate)^(Slot20_Age-D43),(1+Slot20_Rate)^(Slot20_Age-D43)*(1-((1+AS_Wage)/(1+Slot20_Rate))^(Slot20_Age-D43))/(1-(1+AS_Wage)/(1+Slot20_Rate))),1)</f>
        <v>1</v>
      </c>
      <c r="OC43" s="20" t="n">
        <f aca="false">IF(AND(HU43=1,IE43&gt;0,Slot20_IsWG=1,HF43=1),MAX(0,(Slot20_Cost-HG43*(1+Slot20_Rate)^(Slot20_Age-D43))/OB43),0)</f>
        <v>0</v>
      </c>
      <c r="OD43" s="20" t="n">
        <f aca="false">IF(AND(HU43=1,IE43&gt;0,Slot20_IsWG=1,HF43=1),MIN(IE43,OC43),0)</f>
        <v>0</v>
      </c>
      <c r="OE43" s="20" t="n">
        <f aca="false">HG43+OD43</f>
        <v>0</v>
      </c>
      <c r="OF43" s="20" t="n">
        <f aca="false">IF(HF43=1,MAX(0,(Slot20_Cost-OE43*(1+Slot20_Rate)^(Slot20_Age-D43))/OB43),0)</f>
        <v>0</v>
      </c>
      <c r="OG43" s="20" t="n">
        <f aca="false">IF(HF43=1,MAX(0,(Slot20_Cost-HG43*(1+Slot20_Rate)^(Slot20_Age-D43))/OB43),0)</f>
        <v>0</v>
      </c>
      <c r="OH43" s="20" t="n">
        <f aca="false">IF(AND(HU43=1,HF43=1),MIN(OA43,OF43),0)</f>
        <v>0</v>
      </c>
      <c r="OI43" s="20" t="n">
        <f aca="false">OA43-OH43</f>
        <v>0</v>
      </c>
      <c r="OJ43" s="20" t="n">
        <f aca="false">IE43-(IH43+IP43+IX43+JF43+JN43+JV43+KD43+KL43+KT43+LB43+LJ43+LR43+LZ43+MH43+MP43+MX43+NF43+NN43+NV43+OD43)</f>
        <v>0</v>
      </c>
      <c r="OK43" s="20" t="n">
        <f aca="false">IF(HU43=1,HS43-ID43-IE43,0)</f>
        <v>0</v>
      </c>
      <c r="OL43" s="20" t="n">
        <f aca="false">IF(HU43=0,-HS43,0)</f>
        <v>21440.3432638788</v>
      </c>
      <c r="OM43" s="20" t="n">
        <f aca="false">MIN(OL43,HK43)</f>
        <v>21440.3432638788</v>
      </c>
      <c r="ON43" s="20" t="n">
        <f aca="false">OL43-OM43</f>
        <v>0</v>
      </c>
      <c r="OO43" s="20" t="n">
        <f aca="false">MIN(ON43,HL43)</f>
        <v>0</v>
      </c>
      <c r="OP43" s="20" t="n">
        <f aca="false">ON43-OO43</f>
        <v>0</v>
      </c>
      <c r="OQ43" s="20" t="n">
        <f aca="false">IF(AND(HU43=0,HF43=1,OP43&gt;0),MIN(OP43,HG43),0)</f>
        <v>0</v>
      </c>
      <c r="OR43" s="20" t="n">
        <f aca="false">OP43-OQ43</f>
        <v>0</v>
      </c>
      <c r="OS43" s="20" t="n">
        <f aca="false">IF(AND(HU43=0,GV43=1,OR43&gt;0),MIN(OR43,GW43),0)</f>
        <v>0</v>
      </c>
      <c r="OT43" s="20" t="n">
        <f aca="false">OR43-OS43</f>
        <v>0</v>
      </c>
      <c r="OU43" s="20" t="n">
        <f aca="false">IF(AND(HU43=0,GL43=1,OT43&gt;0),MIN(OT43,GM43),0)</f>
        <v>0</v>
      </c>
      <c r="OV43" s="20" t="n">
        <f aca="false">OT43-OU43</f>
        <v>0</v>
      </c>
      <c r="OW43" s="20" t="n">
        <f aca="false">IF(AND(HU43=0,GB43=1,OV43&gt;0),MIN(OV43,GC43),0)</f>
        <v>0</v>
      </c>
      <c r="OX43" s="20" t="n">
        <f aca="false">OV43-OW43</f>
        <v>0</v>
      </c>
      <c r="OY43" s="20" t="n">
        <f aca="false">IF(AND(HU43=0,FR43=1,OX43&gt;0),MIN(OX43,FS43),0)</f>
        <v>0</v>
      </c>
      <c r="OZ43" s="20" t="n">
        <f aca="false">OX43-OY43</f>
        <v>0</v>
      </c>
      <c r="PA43" s="20" t="n">
        <f aca="false">IF(AND(HU43=0,FH43=1,OZ43&gt;0),MIN(OZ43,FI43),0)</f>
        <v>0</v>
      </c>
      <c r="PB43" s="20" t="n">
        <f aca="false">OZ43-PA43</f>
        <v>0</v>
      </c>
      <c r="PC43" s="20" t="n">
        <f aca="false">IF(AND(HU43=0,EX43=1,PB43&gt;0),MIN(PB43,EY43),0)</f>
        <v>0</v>
      </c>
      <c r="PD43" s="20" t="n">
        <f aca="false">PB43-PC43</f>
        <v>0</v>
      </c>
      <c r="PE43" s="20" t="n">
        <f aca="false">IF(AND(HU43=0,EN43=1,PD43&gt;0),MIN(PD43,EO43),0)</f>
        <v>0</v>
      </c>
      <c r="PF43" s="20" t="n">
        <f aca="false">PD43-PE43</f>
        <v>0</v>
      </c>
      <c r="PG43" s="20" t="n">
        <f aca="false">IF(AND(HU43=0,ED43=1,PF43&gt;0),MIN(PF43,EE43),0)</f>
        <v>0</v>
      </c>
      <c r="PH43" s="20" t="n">
        <f aca="false">PF43-PG43</f>
        <v>0</v>
      </c>
      <c r="PI43" s="20" t="n">
        <f aca="false">IF(AND(HU43=0,DT43=1,PH43&gt;0),MIN(PH43,DU43),0)</f>
        <v>0</v>
      </c>
      <c r="PJ43" s="20" t="n">
        <f aca="false">PH43-PI43</f>
        <v>0</v>
      </c>
      <c r="PK43" s="20" t="n">
        <f aca="false">IF(AND(HU43=0,DJ43=1,PJ43&gt;0),MIN(PJ43,DK43),0)</f>
        <v>0</v>
      </c>
      <c r="PL43" s="20" t="n">
        <f aca="false">PJ43-PK43</f>
        <v>0</v>
      </c>
      <c r="PM43" s="20" t="n">
        <f aca="false">IF(AND(HU43=0,CZ43=1,PL43&gt;0),MIN(PL43,DA43),0)</f>
        <v>0</v>
      </c>
      <c r="PN43" s="20" t="n">
        <f aca="false">PL43-PM43</f>
        <v>0</v>
      </c>
      <c r="PO43" s="20" t="n">
        <f aca="false">IF(AND(HU43=0,CP43=1,PN43&gt;0),MIN(PN43,CQ43),0)</f>
        <v>0</v>
      </c>
      <c r="PP43" s="20" t="n">
        <f aca="false">PN43-PO43</f>
        <v>0</v>
      </c>
      <c r="PQ43" s="20" t="n">
        <f aca="false">IF(AND(HU43=0,CF43=1,PP43&gt;0),MIN(PP43,CG43),0)</f>
        <v>0</v>
      </c>
      <c r="PR43" s="20" t="n">
        <f aca="false">PP43-PQ43</f>
        <v>0</v>
      </c>
      <c r="PS43" s="20" t="n">
        <f aca="false">IF(AND(HU43=0,BV43=1,PR43&gt;0),MIN(PR43,BW43),0)</f>
        <v>0</v>
      </c>
      <c r="PT43" s="20" t="n">
        <f aca="false">PR43-PS43</f>
        <v>0</v>
      </c>
      <c r="PU43" s="20" t="n">
        <f aca="false">IF(AND(HU43=0,BL43=1,PT43&gt;0),MIN(PT43,BM43),0)</f>
        <v>0</v>
      </c>
      <c r="PV43" s="20" t="n">
        <f aca="false">PT43-PU43</f>
        <v>0</v>
      </c>
      <c r="PW43" s="20" t="n">
        <f aca="false">IF(AND(HU43=0,BB43=1,PV43&gt;0),MIN(PV43,BC43),0)</f>
        <v>0</v>
      </c>
      <c r="PX43" s="20" t="n">
        <f aca="false">PV43-PW43</f>
        <v>0</v>
      </c>
      <c r="PY43" s="20" t="n">
        <f aca="false">IF(AND(HU43=0,AR43=1,PX43&gt;0),MIN(PX43,AS43),0)</f>
        <v>0</v>
      </c>
      <c r="PZ43" s="20" t="n">
        <f aca="false">PX43-PY43</f>
        <v>0</v>
      </c>
      <c r="QA43" s="20" t="n">
        <f aca="false">IF(AND(HU43=0,AH43=1,PZ43&gt;0),MIN(PZ43,AI43),0)</f>
        <v>0</v>
      </c>
      <c r="QB43" s="20" t="n">
        <f aca="false">PZ43-QA43</f>
        <v>0</v>
      </c>
      <c r="QC43" s="20" t="n">
        <f aca="false">IF(AND(HU43=0,W43=1,QB43&gt;0),MIN(QB43,X43),0)</f>
        <v>0</v>
      </c>
      <c r="QD43" s="20" t="n">
        <f aca="false">QB43-QC43</f>
        <v>0</v>
      </c>
      <c r="QE43" s="20" t="n">
        <f aca="false">IF(HU43=0,QD43,0)</f>
        <v>0</v>
      </c>
      <c r="QF43" s="20" t="n">
        <f aca="false">OM43+OO43+QC43+QA43+PY43+PW43+PU43+PS43+PQ43+PO43+PM43+PK43+PI43+PG43+PE43+PC43+PA43+OY43+OW43+OU43+OS43+OQ43</f>
        <v>21440.3432638788</v>
      </c>
      <c r="QG43" s="20" t="n">
        <f aca="false">IF(HU43=1,HK43+OJ43+OI43+IF(G43=1,0,OK43),HK43-OM43)</f>
        <v>76274.3690330953</v>
      </c>
      <c r="QH43" s="20" t="n">
        <f aca="false">HL43-OO43</f>
        <v>15801.1289136452</v>
      </c>
      <c r="QI43" s="20" t="n">
        <f aca="false">IF(HU43=1,IF(G43=1,ID43+IE43,HS43),0)</f>
        <v>0</v>
      </c>
      <c r="QJ43" s="20" t="n">
        <f aca="false">IF(HU43=1,IF(G43=1,HS43-ID43-IE43,0),0)</f>
        <v>0</v>
      </c>
      <c r="QK43" s="57" t="n">
        <f aca="false">'Plan holdings'!BM43</f>
        <v>81576.8419364177</v>
      </c>
      <c r="QL43" s="20" t="n">
        <f aca="false">QH43*(1+AS_Cash)</f>
        <v>15959.1402027817</v>
      </c>
      <c r="QM43" s="20" t="n">
        <f aca="false">IF(W43=1,IF(HU43=1,II43+IL43,X43-QC43)*(1+Slot1_Rate),0)</f>
        <v>0</v>
      </c>
      <c r="QN43" s="20" t="n">
        <f aca="false">IF(AND(HU43=1,W43=1),(IH43+IL43)/F43,0)</f>
        <v>0</v>
      </c>
      <c r="QO43" s="20" t="n">
        <f aca="false">IF(B43=0,IH43+IL43,0)</f>
        <v>0</v>
      </c>
      <c r="QP43" s="20" t="n">
        <f aca="false">IF(B43=0,IF(HU43=1,IJ43,IK43),0)</f>
        <v>0</v>
      </c>
      <c r="QQ43" s="20" t="n">
        <f aca="false">IF(AH43=1,IF(HU43=1,IQ43+IT43,AI43-QA43)*(1+Slot2_Rate),0)</f>
        <v>0</v>
      </c>
      <c r="QR43" s="20" t="n">
        <f aca="false">IF(AND(HU43=1,AH43=1),(IP43+IT43)/F43,0)</f>
        <v>0</v>
      </c>
      <c r="QS43" s="20" t="n">
        <f aca="false">IF(B43=0,IP43+IT43,0)</f>
        <v>0</v>
      </c>
      <c r="QT43" s="20" t="n">
        <f aca="false">IF(B43=0,IF(HU43=1,IR43,IS43),0)</f>
        <v>0</v>
      </c>
      <c r="QU43" s="20" t="n">
        <f aca="false">IF(AR43=1,IF(HU43=1,IY43+JB43,AS43-PY43)*(1+Slot3_Rate),0)</f>
        <v>0</v>
      </c>
      <c r="QV43" s="20" t="n">
        <f aca="false">IF(AND(HU43=1,AR43=1),(IX43+JB43)/F43,0)</f>
        <v>0</v>
      </c>
      <c r="QW43" s="20" t="n">
        <f aca="false">IF(B43=0,IX43+JB43,0)</f>
        <v>0</v>
      </c>
      <c r="QX43" s="20" t="n">
        <f aca="false">IF(B43=0,IF(HU43=1,IZ43,JA43),0)</f>
        <v>0</v>
      </c>
      <c r="QY43" s="20" t="n">
        <f aca="false">IF(BB43=1,IF(HU43=1,JG43+JJ43,BC43-PW43)*(1+Slot4_Rate),0)</f>
        <v>0</v>
      </c>
      <c r="QZ43" s="20" t="n">
        <f aca="false">IF(AND(HU43=1,BB43=1),(JF43+JJ43)/F43,0)</f>
        <v>0</v>
      </c>
      <c r="RA43" s="20" t="n">
        <f aca="false">IF(B43=0,JF43+JJ43,0)</f>
        <v>0</v>
      </c>
      <c r="RB43" s="20" t="n">
        <f aca="false">IF(B43=0,IF(HU43=1,JH43,JI43),0)</f>
        <v>0</v>
      </c>
      <c r="RC43" s="20" t="n">
        <f aca="false">IF(BL43=1,IF(HU43=1,JO43+JR43,BM43-PU43)*(1+Slot5_Rate),0)</f>
        <v>0</v>
      </c>
      <c r="RD43" s="20" t="n">
        <f aca="false">IF(AND(HU43=1,BL43=1),(JN43+JR43)/F43,0)</f>
        <v>0</v>
      </c>
      <c r="RE43" s="20" t="n">
        <f aca="false">IF(B43=0,JN43+JR43,0)</f>
        <v>0</v>
      </c>
      <c r="RF43" s="20" t="n">
        <f aca="false">IF(B43=0,IF(HU43=1,JP43,JQ43),0)</f>
        <v>0</v>
      </c>
      <c r="RG43" s="20" t="n">
        <f aca="false">IF(BV43=1,IF(HU43=1,JW43+JZ43,BW43-PS43)*(1+Slot6_Rate),0)</f>
        <v>0</v>
      </c>
      <c r="RH43" s="20" t="n">
        <f aca="false">IF(AND(HU43=1,BV43=1),(JV43+JZ43)/F43,0)</f>
        <v>0</v>
      </c>
      <c r="RI43" s="20" t="n">
        <f aca="false">IF(B43=0,JV43+JZ43,0)</f>
        <v>0</v>
      </c>
      <c r="RJ43" s="20" t="n">
        <f aca="false">IF(B43=0,IF(HU43=1,JX43,JY43),0)</f>
        <v>0</v>
      </c>
      <c r="RK43" s="20" t="n">
        <f aca="false">IF(CF43=1,IF(HU43=1,KE43+KH43,CG43-PQ43)*(1+Slot7_Rate),0)</f>
        <v>0</v>
      </c>
      <c r="RL43" s="20" t="n">
        <f aca="false">IF(AND(HU43=1,CF43=1),(KD43+KH43)/F43,0)</f>
        <v>0</v>
      </c>
      <c r="RM43" s="20" t="n">
        <f aca="false">IF(B43=0,KD43+KH43,0)</f>
        <v>0</v>
      </c>
      <c r="RN43" s="20" t="n">
        <f aca="false">IF(B43=0,IF(HU43=1,KF43,KG43),0)</f>
        <v>0</v>
      </c>
      <c r="RO43" s="20" t="n">
        <f aca="false">IF(CP43=1,IF(HU43=1,KM43+KP43,CQ43-PO43)*(1+Slot8_Rate),0)</f>
        <v>0</v>
      </c>
      <c r="RP43" s="20" t="n">
        <f aca="false">IF(AND(HU43=1,CP43=1),(KL43+KP43)/F43,0)</f>
        <v>0</v>
      </c>
      <c r="RQ43" s="20" t="n">
        <f aca="false">IF(B43=0,KL43+KP43,0)</f>
        <v>0</v>
      </c>
      <c r="RR43" s="20" t="n">
        <f aca="false">IF(B43=0,IF(HU43=1,KN43,KO43),0)</f>
        <v>0</v>
      </c>
      <c r="RS43" s="20" t="n">
        <f aca="false">IF(CZ43=1,IF(HU43=1,KU43+KX43,DA43-PM43)*(1+Slot9_Rate),0)</f>
        <v>0</v>
      </c>
      <c r="RT43" s="20" t="n">
        <f aca="false">IF(AND(HU43=1,CZ43=1),(KT43+KX43)/F43,0)</f>
        <v>0</v>
      </c>
      <c r="RU43" s="20" t="n">
        <f aca="false">IF(B43=0,KT43+KX43,0)</f>
        <v>0</v>
      </c>
      <c r="RV43" s="20" t="n">
        <f aca="false">IF(B43=0,IF(HU43=1,KV43,KW43),0)</f>
        <v>0</v>
      </c>
      <c r="RW43" s="20" t="n">
        <f aca="false">IF(DJ43=1,IF(HU43=1,LC43+LF43,DK43-PK43)*(1+Slot10_Rate),0)</f>
        <v>0</v>
      </c>
      <c r="RX43" s="20" t="n">
        <f aca="false">IF(AND(HU43=1,DJ43=1),(LB43+LF43)/F43,0)</f>
        <v>0</v>
      </c>
      <c r="RY43" s="20" t="n">
        <f aca="false">IF(B43=0,LB43+LF43,0)</f>
        <v>0</v>
      </c>
      <c r="RZ43" s="20" t="n">
        <f aca="false">IF(B43=0,IF(HU43=1,LD43,LE43),0)</f>
        <v>0</v>
      </c>
      <c r="SA43" s="20" t="n">
        <f aca="false">IF(DT43=1,IF(HU43=1,LK43+LN43,DU43-PI43)*(1+Slot11_Rate),0)</f>
        <v>0</v>
      </c>
      <c r="SB43" s="20" t="n">
        <f aca="false">IF(AND(HU43=1,DT43=1),(LJ43+LN43)/F43,0)</f>
        <v>0</v>
      </c>
      <c r="SC43" s="20" t="n">
        <f aca="false">IF(B43=0,LJ43+LN43,0)</f>
        <v>0</v>
      </c>
      <c r="SD43" s="20" t="n">
        <f aca="false">IF(B43=0,IF(HU43=1,LL43,LM43),0)</f>
        <v>0</v>
      </c>
      <c r="SE43" s="20" t="n">
        <f aca="false">IF(ED43=1,IF(HU43=1,LS43+LV43,EE43-PG43)*(1+Slot12_Rate),0)</f>
        <v>0</v>
      </c>
      <c r="SF43" s="20" t="n">
        <f aca="false">IF(AND(HU43=1,ED43=1),(LR43+LV43)/F43,0)</f>
        <v>0</v>
      </c>
      <c r="SG43" s="20" t="n">
        <f aca="false">IF(B43=0,LR43+LV43,0)</f>
        <v>0</v>
      </c>
      <c r="SH43" s="20" t="n">
        <f aca="false">IF(B43=0,IF(HU43=1,LT43,LU43),0)</f>
        <v>0</v>
      </c>
      <c r="SI43" s="20" t="n">
        <f aca="false">IF(EN43=1,IF(HU43=1,MA43+MD43,EO43-PE43)*(1+Slot13_Rate),0)</f>
        <v>0</v>
      </c>
      <c r="SJ43" s="20" t="n">
        <f aca="false">IF(AND(HU43=1,EN43=1),(LZ43+MD43)/F43,0)</f>
        <v>0</v>
      </c>
      <c r="SK43" s="20" t="n">
        <f aca="false">IF(B43=0,LZ43+MD43,0)</f>
        <v>0</v>
      </c>
      <c r="SL43" s="20" t="n">
        <f aca="false">IF(B43=0,IF(HU43=1,MB43,MC43),0)</f>
        <v>0</v>
      </c>
      <c r="SM43" s="20" t="n">
        <f aca="false">IF(EX43=1,IF(HU43=1,MI43+ML43,EY43-PC43)*(1+Slot14_Rate),0)</f>
        <v>0</v>
      </c>
      <c r="SN43" s="20" t="n">
        <f aca="false">IF(AND(HU43=1,EX43=1),(MH43+ML43)/F43,0)</f>
        <v>0</v>
      </c>
      <c r="SO43" s="20" t="n">
        <f aca="false">IF(B43=0,MH43+ML43,0)</f>
        <v>0</v>
      </c>
      <c r="SP43" s="20" t="n">
        <f aca="false">IF(B43=0,IF(HU43=1,MJ43,MK43),0)</f>
        <v>0</v>
      </c>
      <c r="SQ43" s="20" t="n">
        <f aca="false">IF(FH43=1,IF(HU43=1,MQ43+MT43,FI43-PA43)*(1+Slot15_Rate),0)</f>
        <v>0</v>
      </c>
      <c r="SR43" s="20" t="n">
        <f aca="false">IF(AND(HU43=1,FH43=1),(MP43+MT43)/F43,0)</f>
        <v>0</v>
      </c>
      <c r="SS43" s="20" t="n">
        <f aca="false">IF(B43=0,MP43+MT43,0)</f>
        <v>0</v>
      </c>
      <c r="ST43" s="20" t="n">
        <f aca="false">IF(B43=0,IF(HU43=1,MR43,MS43),0)</f>
        <v>0</v>
      </c>
      <c r="SU43" s="20" t="n">
        <f aca="false">IF(FR43=1,IF(HU43=1,MY43+NB43,FS43-OY43)*(1+Slot16_Rate),0)</f>
        <v>0</v>
      </c>
      <c r="SV43" s="20" t="n">
        <f aca="false">IF(AND(HU43=1,FR43=1),(MX43+NB43)/F43,0)</f>
        <v>0</v>
      </c>
      <c r="SW43" s="20" t="n">
        <f aca="false">IF(B43=0,MX43+NB43,0)</f>
        <v>0</v>
      </c>
      <c r="SX43" s="20" t="n">
        <f aca="false">IF(B43=0,IF(HU43=1,MZ43,NA43),0)</f>
        <v>0</v>
      </c>
      <c r="SY43" s="20" t="n">
        <f aca="false">IF(GB43=1,IF(HU43=1,NG43+NJ43,GC43-OW43)*(1+Slot17_Rate),0)</f>
        <v>0</v>
      </c>
      <c r="SZ43" s="20" t="n">
        <f aca="false">IF(AND(HU43=1,GB43=1),(NF43+NJ43)/F43,0)</f>
        <v>0</v>
      </c>
      <c r="TA43" s="20" t="n">
        <f aca="false">IF(B43=0,NF43+NJ43,0)</f>
        <v>0</v>
      </c>
      <c r="TB43" s="20" t="n">
        <f aca="false">IF(B43=0,IF(HU43=1,NH43,NI43),0)</f>
        <v>0</v>
      </c>
      <c r="TC43" s="20" t="n">
        <f aca="false">IF(GL43=1,IF(HU43=1,NO43+NR43,GM43-OU43)*(1+Slot18_Rate),0)</f>
        <v>0</v>
      </c>
      <c r="TD43" s="20" t="n">
        <f aca="false">IF(AND(HU43=1,GL43=1),(NN43+NR43)/F43,0)</f>
        <v>0</v>
      </c>
      <c r="TE43" s="20" t="n">
        <f aca="false">IF(B43=0,NN43+NR43,0)</f>
        <v>0</v>
      </c>
      <c r="TF43" s="20" t="n">
        <f aca="false">IF(B43=0,IF(HU43=1,NP43,NQ43),0)</f>
        <v>0</v>
      </c>
      <c r="TG43" s="20" t="n">
        <f aca="false">IF(GV43=1,IF(HU43=1,NW43+NZ43,GW43-OS43)*(1+Slot19_Rate),0)</f>
        <v>0</v>
      </c>
      <c r="TH43" s="20" t="n">
        <f aca="false">IF(AND(HU43=1,GV43=1),(NV43+NZ43)/F43,0)</f>
        <v>0</v>
      </c>
      <c r="TI43" s="20" t="n">
        <f aca="false">IF(B43=0,NV43+NZ43,0)</f>
        <v>0</v>
      </c>
      <c r="TJ43" s="20" t="n">
        <f aca="false">IF(B43=0,IF(HU43=1,NX43,NY43),0)</f>
        <v>0</v>
      </c>
      <c r="TK43" s="20" t="n">
        <f aca="false">IF(HF43=1,IF(HU43=1,OE43+OH43,HG43-OQ43)*(1+Slot20_Rate),0)</f>
        <v>0</v>
      </c>
      <c r="TL43" s="20" t="n">
        <f aca="false">IF(AND(HU43=1,HF43=1),(OD43+OH43)/F43,0)</f>
        <v>0</v>
      </c>
      <c r="TM43" s="20" t="n">
        <f aca="false">IF(B43=0,OD43+OH43,0)</f>
        <v>0</v>
      </c>
      <c r="TN43" s="20" t="n">
        <f aca="false">IF(B43=0,IF(HU43=1,OF43,OG43),0)</f>
        <v>0</v>
      </c>
      <c r="TO43" s="20" t="n">
        <f aca="false">QK43+QL43+QM43+QQ43+QU43+QY43+RC43+RG43+RK43+RO43+RS43+RW43+SA43+SE43+SI43+SM43+SQ43+SU43+SY43+TC43+TG43+TK43</f>
        <v>97535.9821391993</v>
      </c>
      <c r="TP43" s="20" t="n">
        <f aca="false">QE43+HP43</f>
        <v>0</v>
      </c>
      <c r="TQ43" s="20" t="n">
        <f aca="false">I43+S43</f>
        <v>95594.7206172654</v>
      </c>
      <c r="TR43" s="20" t="n">
        <f aca="false">1-G43</f>
        <v>1</v>
      </c>
      <c r="TS43" s="20" t="n">
        <f aca="false">IF(AND(RG_Exists=1,G43=0,C43=1),I43,0)</f>
        <v>95594.7206172654</v>
      </c>
      <c r="TT43" s="20" t="n">
        <f aca="false">IF(AND(RG_Exists=1,G43=0,C43=1),I43-MIN(QE43,I43),0)</f>
        <v>95594.7206172654</v>
      </c>
      <c r="TU43" s="20" t="n">
        <f aca="false">'Plan pay &amp; tax'!AD269</f>
        <v>388640.129974449</v>
      </c>
      <c r="TV43" s="20" t="n">
        <f aca="false">IF(AND(C43=1,QE43&gt;MAX(PR_Short1,TQ43*PR_Short2)),1,0)</f>
        <v>0</v>
      </c>
      <c r="TW43" s="20" t="n">
        <f aca="false">MIN(H43,I43+S43)</f>
        <v>74154.3773533866</v>
      </c>
      <c r="TX43" s="20" t="n">
        <f aca="false">QF43+MAX(0,HQ43-HP43)</f>
        <v>21440.3432638788</v>
      </c>
      <c r="TY43" s="20" t="n">
        <f aca="false">QE43+HP43</f>
        <v>0</v>
      </c>
      <c r="TZ43" s="20" t="n">
        <f aca="false">IF(AND(C43=1,TY43&gt;PR_MinShort),1,0)</f>
        <v>0</v>
      </c>
      <c r="UA43" s="20" t="n">
        <f aca="false">IF(AND(C43=1,TZ43=0,TX43&gt;PR_MinShort),1,0)</f>
        <v>1</v>
      </c>
      <c r="UB43" s="20" t="n">
        <f aca="false">IF(AND(C43=1,QE43&gt;PR_MinShort),1,0)</f>
        <v>0</v>
      </c>
      <c r="UC43" s="20" t="n">
        <f aca="false">IF(AND(C43=1,QF43&gt;1,UJ43=0),1,0)</f>
        <v>1</v>
      </c>
      <c r="UD43" s="20" t="str">
        <f aca="false">IF(C43=0,"",IF(UJ43=1,"Gap to plan for: short "&amp;"€"&amp;TEXT(ROUND(TP43,0),"#,##0"),IF(QF43&gt;1,"Using savings","Comfortable")))</f>
        <v>Using savings</v>
      </c>
      <c r="UE43" s="20" t="n">
        <f aca="false">IF(AND(INT(D43/10)*10=90,B43&gt;0),80,INT(D43/10)*10)</f>
        <v>70</v>
      </c>
      <c r="UF43" s="20" t="n">
        <f aca="false">IF(B43=0,1,IF(UE43&lt;&gt;UE42,UF42+1,UF42))</f>
        <v>5</v>
      </c>
      <c r="UG43" s="20" t="n">
        <f aca="false">IF(AND(C43=1,G43=1,QE43&gt;MAX(PR_Short1,TQ43*PR_Short2)),1,0)</f>
        <v>0</v>
      </c>
      <c r="UH43" s="20" t="n">
        <f aca="false">TR43*TV43</f>
        <v>0</v>
      </c>
      <c r="UI43" s="20" t="n">
        <f aca="false">IF(AND(V43=1,Slot1_PctLow=1),1,0)+IF(AND(AG43=1,Slot2_PctLow=1),1,0)+IF(AND(AQ43=1,Slot3_PctLow=1),1,0)+IF(AND(BA43=1,Slot4_PctLow=1),1,0)+IF(AND(BK43=1,Slot5_PctLow=1),1,0)+IF(AND(BU43=1,Slot6_PctLow=1),1,0)+IF(AND(CE43=1,Slot7_PctLow=1),1,0)+IF(AND(CO43=1,Slot8_PctLow=1),1,0)+IF(AND(CY43=1,Slot9_PctLow=1),1,0)+IF(AND(DI43=1,Slot10_PctLow=1),1,0)+IF(AND(DS43=1,Slot11_PctLow=1),1,0)+IF(AND(EC43=1,Slot12_PctLow=1),1,0)+IF(AND(EM43=1,Slot13_PctLow=1),1,0)+IF(AND(EW43=1,Slot14_PctLow=1),1,0)+IF(AND(FG43=1,Slot15_PctLow=1),1,0)+IF(AND(FQ43=1,Slot16_PctLow=1),1,0)+IF(AND(GA43=1,Slot17_PctLow=1),1,0)+IF(AND(GK43=1,Slot18_PctLow=1),1,0)+IF(AND(GU43=1,Slot19_PctLow=1),1,0)+IF(AND(HE43=1,Slot20_PctLow=1),1,0)</f>
        <v>0</v>
      </c>
      <c r="UJ43" s="20" t="n">
        <f aca="false">IF(C43=1,IF(OR(TV43=1,UI43&gt;0),1,0),0)</f>
        <v>0</v>
      </c>
      <c r="UK43" s="20" t="n">
        <f aca="false">Z43+AK43+AU43+BE43+BO43+BY43+CI43+CS43+DC43+DM43+DW43+EG43+EQ43+FA43+FK43+FU43+GE43+GO43+GY43+HI43+OM43</f>
        <v>21440.3432638788</v>
      </c>
      <c r="UL43" s="20" t="n">
        <f aca="false">V43*IF(Slot1_SpendLike=1,X43-Y43,IF(Slot1_PotFree=1,X43,0))+AG43*IF(Slot2_SpendLike=1,AI43-AJ43,IF(Slot2_PotFree=1,AI43,0))+AQ43*IF(Slot3_SpendLike=1,AS43-AT43,IF(Slot3_PotFree=1,AS43,0))+BA43*IF(Slot4_SpendLike=1,BC43-BD43,IF(Slot4_PotFree=1,BC43,0))+BK43*IF(Slot5_SpendLike=1,BM43-BN43,IF(Slot5_PotFree=1,BM43,0))+BU43*IF(Slot6_SpendLike=1,BW43-BX43,IF(Slot6_PotFree=1,BW43,0))+CE43*IF(Slot7_SpendLike=1,CG43-CH43,IF(Slot7_PotFree=1,CG43,0))+CO43*IF(Slot8_SpendLike=1,CQ43-CR43,IF(Slot8_PotFree=1,CQ43,0))+CY43*IF(Slot9_SpendLike=1,DA43-DB43,IF(Slot9_PotFree=1,DA43,0))+DI43*IF(Slot10_SpendLike=1,DK43-DL43,IF(Slot10_PotFree=1,DK43,0))+DS43*IF(Slot11_SpendLike=1,DU43-DV43,IF(Slot11_PotFree=1,DU43,0))+EC43*IF(Slot12_SpendLike=1,EE43-EF43,IF(Slot12_PotFree=1,EE43,0))+EM43*IF(Slot13_SpendLike=1,EO43-EP43,IF(Slot13_PotFree=1,EO43,0))+EW43*IF(Slot14_SpendLike=1,EY43-EZ43,IF(Slot14_PotFree=1,EY43,0))+FG43*IF(Slot15_SpendLike=1,FI43-FJ43,IF(Slot15_PotFree=1,FI43,0))+FQ43*IF(Slot16_SpendLike=1,FS43-FT43,IF(Slot16_PotFree=1,FS43,0))+GA43*IF(Slot17_SpendLike=1,GC43-GD43,IF(Slot17_PotFree=1,GC43,0))+GK43*IF(Slot18_SpendLike=1,GM43-GN43,IF(Slot18_PotFree=1,GM43,0))+GU43*IF(Slot19_SpendLike=1,GW43-GX43,IF(Slot19_PotFree=1,GW43,0))+HE43*IF(Slot20_SpendLike=1,HG43-HH43,IF(Slot20_PotFree=1,HG43,0))</f>
        <v>0</v>
      </c>
      <c r="UM43" s="20" t="n">
        <f aca="false">QG43-T43+UK43-UL43</f>
        <v>0</v>
      </c>
      <c r="UN43" s="20" t="n">
        <f aca="false">IF(OR(UN42=1,AND(In_homeUse="Yes, I'd downsize",In_downAge&gt;0,D43=In_downAge,OR(In_home="Own outright",In_home="Own with mortgage"),In_homeValue&gt;0)),1,0)</f>
        <v>0</v>
      </c>
    </row>
    <row r="44" customFormat="false" ht="15" hidden="false" customHeight="true" outlineLevel="0" collapsed="false">
      <c r="B44" s="20" t="n">
        <v>36</v>
      </c>
      <c r="C44" s="20" t="n">
        <f aca="false">IF(B44&lt;=F_N,1,0)</f>
        <v>1</v>
      </c>
      <c r="D44" s="20" t="n">
        <f aca="false">'Plan pay &amp; tax'!C270</f>
        <v>74</v>
      </c>
      <c r="E44" s="20" t="str">
        <f aca="false">IF($C44=1,"Income tax "&amp;TEXT(N('Plan pay &amp; tax'!BK270),"#,##0")&amp;"; USC "&amp;TEXT(N('Plan pay &amp; tax'!BM270)+N('Plan pay &amp; tax'!BO270),"#,##0")&amp;"; PRSI "&amp;TEXT(N('Plan pay &amp; tax'!BP270)+N('Plan pay &amp; tax'!BQ270),"#,##0")&amp;IF(N('Plan holdings'!BO44)&gt;=0.5,"; DIRT "&amp;TEXT(('Plan holdings'!BO44)/$F44,"#,##0")&amp;" (already taken from the interest earned)","")&amp;IF(N('Plan holdings'!BP44)&gt;=0.5,"; exit tax at an 8-year anniversary "&amp;TEXT(('Plan holdings'!BP44)/$F44,"#,##0"),"")&amp;IF(N('Plan holdings'!BN44)&gt;=0.5,"; tax on assets sold (exit tax or capital gains tax) "&amp;TEXT(('Plan holdings'!BN44)/$F44,"#,##0"),"")&amp;IF(N('Plan pay &amp; tax'!X270)-N('Plan pay &amp; tax'!Y270)&gt;=0.5,"; tax on the pension lump sum "&amp;TEXT(('Plan pay &amp; tax'!X270-'Plan pay &amp; tax'!Y270)/$F44,"#,##0"),"")&amp;IF(N('Plan pay &amp; tax'!V270)&gt;=0.5,"; chargeable excess tax on the pension "&amp;TEXT(('Plan pay &amp; tax'!V270)/$F44,"#,##0"),"")&amp;".","")</f>
        <v>Income tax 773; USC 0; PRSI 0; DIRT 39 (already taken from the interest earned); tax on assets sold (exit tax or capital gains tax) 486.</v>
      </c>
      <c r="F44" s="50" t="n">
        <f aca="false">'Plan pay &amp; tax'!E270</f>
        <v>2.03988734371571</v>
      </c>
      <c r="G44" s="20" t="n">
        <f aca="false">'Plan pay &amp; tax'!G270</f>
        <v>0</v>
      </c>
      <c r="H44" s="20" t="n">
        <f aca="false">'Plan pay &amp; tax'!BT270-'Plan pay &amp; tax'!BS270-'Plan pay &amp; tax'!R270</f>
        <v>75001.7120332972</v>
      </c>
      <c r="I44" s="20" t="n">
        <f aca="false">IF(G44=1,F_CostsM*12,IF(RG_Exists=1,RG_Amount,F_CostsM*12*AS_RetireSpend))*F44+F_OneOffY*F44</f>
        <v>97506.6150296107</v>
      </c>
      <c r="J44" s="20" t="n">
        <f aca="false">IF(UN44=1,0,HR43)</f>
        <v>0</v>
      </c>
      <c r="K44" s="20" t="n">
        <f aca="false">IF(J44&gt;1,'Plan debt months'!AC44,0)</f>
        <v>0</v>
      </c>
      <c r="L44" s="20" t="n">
        <f aca="false">IF(J44&gt;1,'Plan debt months'!AB44,J44)</f>
        <v>0</v>
      </c>
      <c r="M44" s="20" t="n">
        <f aca="false">O43</f>
        <v>0</v>
      </c>
      <c r="N44" s="20" t="n">
        <f aca="false">IF(M44&gt;1,'Plan debt months'!BD44,0)</f>
        <v>0</v>
      </c>
      <c r="O44" s="20" t="n">
        <f aca="false">IF(M44&gt;1,'Plan debt months'!BC44,M44)</f>
        <v>0</v>
      </c>
      <c r="P44" s="20" t="n">
        <f aca="false">R43</f>
        <v>0</v>
      </c>
      <c r="Q44" s="20" t="n">
        <f aca="false">IF(P44&gt;1,'Plan debt months'!CE44,0)</f>
        <v>0</v>
      </c>
      <c r="R44" s="20" t="n">
        <f aca="false">IF(P44&gt;1,'Plan debt months'!CD44,P44)</f>
        <v>0</v>
      </c>
      <c r="S44" s="20" t="n">
        <f aca="false">K44+N44+Q44</f>
        <v>0</v>
      </c>
      <c r="T44" s="57" t="n">
        <f aca="false">'Plan holdings'!Y44</f>
        <v>78225.4390035568</v>
      </c>
      <c r="U44" s="57" t="n">
        <f aca="false">'Plan holdings'!BM43</f>
        <v>81576.8419364177</v>
      </c>
      <c r="V44" s="20" t="n">
        <f aca="false">IF(AND(Slot1_On=1,D44=Slot1_Age),1,0)</f>
        <v>0</v>
      </c>
      <c r="W44" s="20" t="n">
        <f aca="false">IF(AND(Slot1_On=1,Slot1_Age&gt;D44),1,0)</f>
        <v>0</v>
      </c>
      <c r="X44" s="20" t="n">
        <f aca="false">QM43</f>
        <v>0</v>
      </c>
      <c r="Y44" s="20" t="n">
        <f aca="false">V44*MIN(Slot1_Cost,X44)</f>
        <v>0</v>
      </c>
      <c r="Z44" s="20" t="n">
        <f aca="false">V44*Slot1_SpendLike*MIN(Slot1_Cost-Y44,T44)</f>
        <v>0</v>
      </c>
      <c r="AA44" s="20" t="n">
        <f aca="false">Y44+Z44</f>
        <v>0</v>
      </c>
      <c r="AB44" s="20" t="n">
        <f aca="false">T44-Z44+V44*IF(Slot1_SpendLike=1,X44-Y44,IF(Slot1_PotFree=1,X44,0))</f>
        <v>78225.4390035568</v>
      </c>
      <c r="AC44" s="20" t="n">
        <f aca="false">AF44+V44*Slot1_BufPot*X44</f>
        <v>15959.1402027817</v>
      </c>
      <c r="AD44" s="20" t="n">
        <f aca="false">IF(AND(V44=1,Slot1_IsMfree=1),IF(AA44&gt;=Slot1_Cost-1,0,MAX(0,L44-AA44)),L44)</f>
        <v>0</v>
      </c>
      <c r="AE44" s="20" t="n">
        <f aca="false">V44*(Slot1_Cost-AA44)</f>
        <v>0</v>
      </c>
      <c r="AF44" s="20" t="n">
        <f aca="false">QL43</f>
        <v>15959.1402027817</v>
      </c>
      <c r="AG44" s="20" t="n">
        <f aca="false">IF(AND(Slot2_On=1,D44=Slot2_Age),1,0)</f>
        <v>0</v>
      </c>
      <c r="AH44" s="20" t="n">
        <f aca="false">IF(AND(Slot2_On=1,Slot2_Age&gt;D44),1,0)</f>
        <v>0</v>
      </c>
      <c r="AI44" s="20" t="n">
        <f aca="false">QQ43</f>
        <v>0</v>
      </c>
      <c r="AJ44" s="20" t="n">
        <f aca="false">AG44*MIN(Slot2_Cost,AI44)</f>
        <v>0</v>
      </c>
      <c r="AK44" s="20" t="n">
        <f aca="false">AG44*Slot2_SpendLike*MIN(Slot2_Cost-AJ44,AB44)</f>
        <v>0</v>
      </c>
      <c r="AL44" s="20" t="n">
        <f aca="false">AJ44+AK44</f>
        <v>0</v>
      </c>
      <c r="AM44" s="20" t="n">
        <f aca="false">AB44-AK44+AG44*IF(Slot2_SpendLike=1,AI44-AJ44,IF(Slot2_PotFree=1,AI44,0))</f>
        <v>78225.4390035568</v>
      </c>
      <c r="AN44" s="20" t="n">
        <f aca="false">AC44+AG44*Slot2_BufPot*AI44</f>
        <v>15959.1402027817</v>
      </c>
      <c r="AO44" s="20" t="n">
        <f aca="false">IF(AND(AG44=1,Slot2_IsMfree=1),IF(AL44&gt;=Slot2_Cost-1,0,MAX(0,AD44-AL44)),AD44)</f>
        <v>0</v>
      </c>
      <c r="AP44" s="20" t="n">
        <f aca="false">AG44*(Slot2_Cost-AL44)</f>
        <v>0</v>
      </c>
      <c r="AQ44" s="20" t="n">
        <f aca="false">IF(AND(Slot3_On=1,D44=Slot3_Age),1,0)</f>
        <v>0</v>
      </c>
      <c r="AR44" s="20" t="n">
        <f aca="false">IF(AND(Slot3_On=1,Slot3_Age&gt;D44),1,0)</f>
        <v>0</v>
      </c>
      <c r="AS44" s="20" t="n">
        <f aca="false">QU43</f>
        <v>0</v>
      </c>
      <c r="AT44" s="20" t="n">
        <f aca="false">AQ44*MIN(Slot3_Cost,AS44)</f>
        <v>0</v>
      </c>
      <c r="AU44" s="20" t="n">
        <f aca="false">AQ44*Slot3_SpendLike*MIN(Slot3_Cost-AT44,AM44)</f>
        <v>0</v>
      </c>
      <c r="AV44" s="20" t="n">
        <f aca="false">AT44+AU44</f>
        <v>0</v>
      </c>
      <c r="AW44" s="20" t="n">
        <f aca="false">AM44-AU44+AQ44*IF(Slot3_SpendLike=1,AS44-AT44,IF(Slot3_PotFree=1,AS44,0))</f>
        <v>78225.4390035568</v>
      </c>
      <c r="AX44" s="20" t="n">
        <f aca="false">AN44+AQ44*Slot3_BufPot*AS44</f>
        <v>15959.1402027817</v>
      </c>
      <c r="AY44" s="20" t="n">
        <f aca="false">IF(AND(AQ44=1,Slot3_IsMfree=1),IF(AV44&gt;=Slot3_Cost-1,0,MAX(0,AO44-AV44)),AO44)</f>
        <v>0</v>
      </c>
      <c r="AZ44" s="20" t="n">
        <f aca="false">AQ44*(Slot3_Cost-AV44)</f>
        <v>0</v>
      </c>
      <c r="BA44" s="20" t="n">
        <f aca="false">IF(AND(Slot4_On=1,D44=Slot4_Age),1,0)</f>
        <v>0</v>
      </c>
      <c r="BB44" s="20" t="n">
        <f aca="false">IF(AND(Slot4_On=1,Slot4_Age&gt;D44),1,0)</f>
        <v>0</v>
      </c>
      <c r="BC44" s="20" t="n">
        <f aca="false">QY43</f>
        <v>0</v>
      </c>
      <c r="BD44" s="20" t="n">
        <f aca="false">BA44*MIN(Slot4_Cost,BC44)</f>
        <v>0</v>
      </c>
      <c r="BE44" s="20" t="n">
        <f aca="false">BA44*Slot4_SpendLike*MIN(Slot4_Cost-BD44,AW44)</f>
        <v>0</v>
      </c>
      <c r="BF44" s="20" t="n">
        <f aca="false">BD44+BE44</f>
        <v>0</v>
      </c>
      <c r="BG44" s="20" t="n">
        <f aca="false">AW44-BE44+BA44*IF(Slot4_SpendLike=1,BC44-BD44,IF(Slot4_PotFree=1,BC44,0))</f>
        <v>78225.4390035568</v>
      </c>
      <c r="BH44" s="20" t="n">
        <f aca="false">AX44+BA44*Slot4_BufPot*BC44</f>
        <v>15959.1402027817</v>
      </c>
      <c r="BI44" s="20" t="n">
        <f aca="false">IF(AND(BA44=1,Slot4_IsMfree=1),IF(BF44&gt;=Slot4_Cost-1,0,MAX(0,AY44-BF44)),AY44)</f>
        <v>0</v>
      </c>
      <c r="BJ44" s="20" t="n">
        <f aca="false">BA44*(Slot4_Cost-BF44)</f>
        <v>0</v>
      </c>
      <c r="BK44" s="20" t="n">
        <f aca="false">IF(AND(Slot5_On=1,D44=Slot5_Age),1,0)</f>
        <v>0</v>
      </c>
      <c r="BL44" s="20" t="n">
        <f aca="false">IF(AND(Slot5_On=1,Slot5_Age&gt;D44),1,0)</f>
        <v>0</v>
      </c>
      <c r="BM44" s="20" t="n">
        <f aca="false">RC43</f>
        <v>0</v>
      </c>
      <c r="BN44" s="20" t="n">
        <f aca="false">BK44*MIN(Slot5_Cost,BM44)</f>
        <v>0</v>
      </c>
      <c r="BO44" s="20" t="n">
        <f aca="false">BK44*Slot5_SpendLike*MIN(Slot5_Cost-BN44,BG44)</f>
        <v>0</v>
      </c>
      <c r="BP44" s="20" t="n">
        <f aca="false">BN44+BO44</f>
        <v>0</v>
      </c>
      <c r="BQ44" s="20" t="n">
        <f aca="false">BG44-BO44+BK44*IF(Slot5_SpendLike=1,BM44-BN44,IF(Slot5_PotFree=1,BM44,0))</f>
        <v>78225.4390035568</v>
      </c>
      <c r="BR44" s="20" t="n">
        <f aca="false">BH44+BK44*Slot5_BufPot*BM44</f>
        <v>15959.1402027817</v>
      </c>
      <c r="BS44" s="20" t="n">
        <f aca="false">IF(AND(BK44=1,Slot5_IsMfree=1),IF(BP44&gt;=Slot5_Cost-1,0,MAX(0,BI44-BP44)),BI44)</f>
        <v>0</v>
      </c>
      <c r="BT44" s="20" t="n">
        <f aca="false">BK44*(Slot5_Cost-BP44)</f>
        <v>0</v>
      </c>
      <c r="BU44" s="20" t="n">
        <f aca="false">IF(AND(Slot6_On=1,D44=Slot6_Age),1,0)</f>
        <v>0</v>
      </c>
      <c r="BV44" s="20" t="n">
        <f aca="false">IF(AND(Slot6_On=1,Slot6_Age&gt;D44),1,0)</f>
        <v>0</v>
      </c>
      <c r="BW44" s="20" t="n">
        <f aca="false">RG43</f>
        <v>0</v>
      </c>
      <c r="BX44" s="20" t="n">
        <f aca="false">BU44*MIN(Slot6_Cost,BW44)</f>
        <v>0</v>
      </c>
      <c r="BY44" s="20" t="n">
        <f aca="false">BU44*Slot6_SpendLike*MIN(Slot6_Cost-BX44,BQ44)</f>
        <v>0</v>
      </c>
      <c r="BZ44" s="20" t="n">
        <f aca="false">BX44+BY44</f>
        <v>0</v>
      </c>
      <c r="CA44" s="20" t="n">
        <f aca="false">BQ44-BY44+BU44*IF(Slot6_SpendLike=1,BW44-BX44,IF(Slot6_PotFree=1,BW44,0))</f>
        <v>78225.4390035568</v>
      </c>
      <c r="CB44" s="20" t="n">
        <f aca="false">BR44+BU44*Slot6_BufPot*BW44</f>
        <v>15959.1402027817</v>
      </c>
      <c r="CC44" s="20" t="n">
        <f aca="false">IF(AND(BU44=1,Slot6_IsMfree=1),IF(BZ44&gt;=Slot6_Cost-1,0,MAX(0,BS44-BZ44)),BS44)</f>
        <v>0</v>
      </c>
      <c r="CD44" s="20" t="n">
        <f aca="false">BU44*(Slot6_Cost-BZ44)</f>
        <v>0</v>
      </c>
      <c r="CE44" s="20" t="n">
        <f aca="false">IF(AND(Slot7_On=1,D44=Slot7_Age),1,0)</f>
        <v>0</v>
      </c>
      <c r="CF44" s="20" t="n">
        <f aca="false">IF(AND(Slot7_On=1,Slot7_Age&gt;D44),1,0)</f>
        <v>0</v>
      </c>
      <c r="CG44" s="20" t="n">
        <f aca="false">RK43</f>
        <v>0</v>
      </c>
      <c r="CH44" s="20" t="n">
        <f aca="false">CE44*MIN(Slot7_Cost,CG44)</f>
        <v>0</v>
      </c>
      <c r="CI44" s="20" t="n">
        <f aca="false">CE44*Slot7_SpendLike*MIN(Slot7_Cost-CH44,CA44)</f>
        <v>0</v>
      </c>
      <c r="CJ44" s="20" t="n">
        <f aca="false">CH44+CI44</f>
        <v>0</v>
      </c>
      <c r="CK44" s="20" t="n">
        <f aca="false">CA44-CI44+CE44*IF(Slot7_SpendLike=1,CG44-CH44,IF(Slot7_PotFree=1,CG44,0))</f>
        <v>78225.4390035568</v>
      </c>
      <c r="CL44" s="20" t="n">
        <f aca="false">CB44+CE44*Slot7_BufPot*CG44</f>
        <v>15959.1402027817</v>
      </c>
      <c r="CM44" s="20" t="n">
        <f aca="false">IF(AND(CE44=1,Slot7_IsMfree=1),IF(CJ44&gt;=Slot7_Cost-1,0,MAX(0,CC44-CJ44)),CC44)</f>
        <v>0</v>
      </c>
      <c r="CN44" s="20" t="n">
        <f aca="false">CE44*(Slot7_Cost-CJ44)</f>
        <v>0</v>
      </c>
      <c r="CO44" s="20" t="n">
        <f aca="false">IF(AND(Slot8_On=1,D44=Slot8_Age),1,0)</f>
        <v>0</v>
      </c>
      <c r="CP44" s="20" t="n">
        <f aca="false">IF(AND(Slot8_On=1,Slot8_Age&gt;D44),1,0)</f>
        <v>0</v>
      </c>
      <c r="CQ44" s="20" t="n">
        <f aca="false">RO43</f>
        <v>0</v>
      </c>
      <c r="CR44" s="20" t="n">
        <f aca="false">CO44*MIN(Slot8_Cost,CQ44)</f>
        <v>0</v>
      </c>
      <c r="CS44" s="20" t="n">
        <f aca="false">CO44*Slot8_SpendLike*MIN(Slot8_Cost-CR44,CK44)</f>
        <v>0</v>
      </c>
      <c r="CT44" s="20" t="n">
        <f aca="false">CR44+CS44</f>
        <v>0</v>
      </c>
      <c r="CU44" s="20" t="n">
        <f aca="false">CK44-CS44+CO44*IF(Slot8_SpendLike=1,CQ44-CR44,IF(Slot8_PotFree=1,CQ44,0))</f>
        <v>78225.4390035568</v>
      </c>
      <c r="CV44" s="20" t="n">
        <f aca="false">CL44+CO44*Slot8_BufPot*CQ44</f>
        <v>15959.1402027817</v>
      </c>
      <c r="CW44" s="20" t="n">
        <f aca="false">IF(AND(CO44=1,Slot8_IsMfree=1),IF(CT44&gt;=Slot8_Cost-1,0,MAX(0,CM44-CT44)),CM44)</f>
        <v>0</v>
      </c>
      <c r="CX44" s="20" t="n">
        <f aca="false">CO44*(Slot8_Cost-CT44)</f>
        <v>0</v>
      </c>
      <c r="CY44" s="20" t="n">
        <f aca="false">IF(AND(Slot9_On=1,D44=Slot9_Age),1,0)</f>
        <v>0</v>
      </c>
      <c r="CZ44" s="20" t="n">
        <f aca="false">IF(AND(Slot9_On=1,Slot9_Age&gt;D44),1,0)</f>
        <v>0</v>
      </c>
      <c r="DA44" s="20" t="n">
        <f aca="false">RS43</f>
        <v>0</v>
      </c>
      <c r="DB44" s="20" t="n">
        <f aca="false">CY44*MIN(Slot9_Cost,DA44)</f>
        <v>0</v>
      </c>
      <c r="DC44" s="20" t="n">
        <f aca="false">CY44*Slot9_SpendLike*MIN(Slot9_Cost-DB44,CU44)</f>
        <v>0</v>
      </c>
      <c r="DD44" s="20" t="n">
        <f aca="false">DB44+DC44</f>
        <v>0</v>
      </c>
      <c r="DE44" s="20" t="n">
        <f aca="false">CU44-DC44+CY44*IF(Slot9_SpendLike=1,DA44-DB44,IF(Slot9_PotFree=1,DA44,0))</f>
        <v>78225.4390035568</v>
      </c>
      <c r="DF44" s="20" t="n">
        <f aca="false">CV44+CY44*Slot9_BufPot*DA44</f>
        <v>15959.1402027817</v>
      </c>
      <c r="DG44" s="20" t="n">
        <f aca="false">IF(AND(CY44=1,Slot9_IsMfree=1),IF(DD44&gt;=Slot9_Cost-1,0,MAX(0,CW44-DD44)),CW44)</f>
        <v>0</v>
      </c>
      <c r="DH44" s="20" t="n">
        <f aca="false">CY44*(Slot9_Cost-DD44)</f>
        <v>0</v>
      </c>
      <c r="DI44" s="20" t="n">
        <f aca="false">IF(AND(Slot10_On=1,D44=Slot10_Age),1,0)</f>
        <v>0</v>
      </c>
      <c r="DJ44" s="20" t="n">
        <f aca="false">IF(AND(Slot10_On=1,Slot10_Age&gt;D44),1,0)</f>
        <v>0</v>
      </c>
      <c r="DK44" s="20" t="n">
        <f aca="false">RW43</f>
        <v>0</v>
      </c>
      <c r="DL44" s="20" t="n">
        <f aca="false">DI44*MIN(Slot10_Cost,DK44)</f>
        <v>0</v>
      </c>
      <c r="DM44" s="20" t="n">
        <f aca="false">DI44*Slot10_SpendLike*MIN(Slot10_Cost-DL44,DE44)</f>
        <v>0</v>
      </c>
      <c r="DN44" s="20" t="n">
        <f aca="false">DL44+DM44</f>
        <v>0</v>
      </c>
      <c r="DO44" s="20" t="n">
        <f aca="false">DE44-DM44+DI44*IF(Slot10_SpendLike=1,DK44-DL44,IF(Slot10_PotFree=1,DK44,0))</f>
        <v>78225.4390035568</v>
      </c>
      <c r="DP44" s="20" t="n">
        <f aca="false">DF44+DI44*Slot10_BufPot*DK44</f>
        <v>15959.1402027817</v>
      </c>
      <c r="DQ44" s="20" t="n">
        <f aca="false">IF(AND(DI44=1,Slot10_IsMfree=1),IF(DN44&gt;=Slot10_Cost-1,0,MAX(0,DG44-DN44)),DG44)</f>
        <v>0</v>
      </c>
      <c r="DR44" s="20" t="n">
        <f aca="false">DI44*(Slot10_Cost-DN44)</f>
        <v>0</v>
      </c>
      <c r="DS44" s="20" t="n">
        <f aca="false">IF(AND(Slot11_On=1,D44=Slot11_Age),1,0)</f>
        <v>0</v>
      </c>
      <c r="DT44" s="20" t="n">
        <f aca="false">IF(AND(Slot11_On=1,Slot11_Age&gt;D44),1,0)</f>
        <v>0</v>
      </c>
      <c r="DU44" s="20" t="n">
        <f aca="false">SA43</f>
        <v>0</v>
      </c>
      <c r="DV44" s="20" t="n">
        <f aca="false">DS44*MIN(Slot11_Cost,DU44)</f>
        <v>0</v>
      </c>
      <c r="DW44" s="20" t="n">
        <f aca="false">DS44*Slot11_SpendLike*MIN(Slot11_Cost-DV44,DO44)</f>
        <v>0</v>
      </c>
      <c r="DX44" s="20" t="n">
        <f aca="false">DV44+DW44</f>
        <v>0</v>
      </c>
      <c r="DY44" s="20" t="n">
        <f aca="false">DO44-DW44+DS44*IF(Slot11_SpendLike=1,DU44-DV44,IF(Slot11_PotFree=1,DU44,0))</f>
        <v>78225.4390035568</v>
      </c>
      <c r="DZ44" s="20" t="n">
        <f aca="false">DP44+DS44*Slot11_BufPot*DU44</f>
        <v>15959.1402027817</v>
      </c>
      <c r="EA44" s="20" t="n">
        <f aca="false">IF(AND(DS44=1,Slot11_IsMfree=1),IF(DX44&gt;=Slot11_Cost-1,0,MAX(0,DQ44-DX44)),DQ44)</f>
        <v>0</v>
      </c>
      <c r="EB44" s="20" t="n">
        <f aca="false">DS44*(Slot11_Cost-DX44)</f>
        <v>0</v>
      </c>
      <c r="EC44" s="20" t="n">
        <f aca="false">IF(AND(Slot12_On=1,D44=Slot12_Age),1,0)</f>
        <v>0</v>
      </c>
      <c r="ED44" s="20" t="n">
        <f aca="false">IF(AND(Slot12_On=1,Slot12_Age&gt;D44),1,0)</f>
        <v>0</v>
      </c>
      <c r="EE44" s="20" t="n">
        <f aca="false">SE43</f>
        <v>0</v>
      </c>
      <c r="EF44" s="20" t="n">
        <f aca="false">EC44*MIN(Slot12_Cost,EE44)</f>
        <v>0</v>
      </c>
      <c r="EG44" s="20" t="n">
        <f aca="false">EC44*Slot12_SpendLike*MIN(Slot12_Cost-EF44,DY44)</f>
        <v>0</v>
      </c>
      <c r="EH44" s="20" t="n">
        <f aca="false">EF44+EG44</f>
        <v>0</v>
      </c>
      <c r="EI44" s="20" t="n">
        <f aca="false">DY44-EG44+EC44*IF(Slot12_SpendLike=1,EE44-EF44,IF(Slot12_PotFree=1,EE44,0))</f>
        <v>78225.4390035568</v>
      </c>
      <c r="EJ44" s="20" t="n">
        <f aca="false">DZ44+EC44*Slot12_BufPot*EE44</f>
        <v>15959.1402027817</v>
      </c>
      <c r="EK44" s="20" t="n">
        <f aca="false">IF(AND(EC44=1,Slot12_IsMfree=1),IF(EH44&gt;=Slot12_Cost-1,0,MAX(0,EA44-EH44)),EA44)</f>
        <v>0</v>
      </c>
      <c r="EL44" s="20" t="n">
        <f aca="false">EC44*(Slot12_Cost-EH44)</f>
        <v>0</v>
      </c>
      <c r="EM44" s="20" t="n">
        <f aca="false">IF(AND(Slot13_On=1,D44=Slot13_Age),1,0)</f>
        <v>0</v>
      </c>
      <c r="EN44" s="20" t="n">
        <f aca="false">IF(AND(Slot13_On=1,Slot13_Age&gt;D44),1,0)</f>
        <v>0</v>
      </c>
      <c r="EO44" s="20" t="n">
        <f aca="false">SI43</f>
        <v>0</v>
      </c>
      <c r="EP44" s="20" t="n">
        <f aca="false">EM44*MIN(Slot13_Cost,EO44)</f>
        <v>0</v>
      </c>
      <c r="EQ44" s="20" t="n">
        <f aca="false">EM44*Slot13_SpendLike*MIN(Slot13_Cost-EP44,EI44)</f>
        <v>0</v>
      </c>
      <c r="ER44" s="20" t="n">
        <f aca="false">EP44+EQ44</f>
        <v>0</v>
      </c>
      <c r="ES44" s="20" t="n">
        <f aca="false">EI44-EQ44+EM44*IF(Slot13_SpendLike=1,EO44-EP44,IF(Slot13_PotFree=1,EO44,0))</f>
        <v>78225.4390035568</v>
      </c>
      <c r="ET44" s="20" t="n">
        <f aca="false">EJ44+EM44*Slot13_BufPot*EO44</f>
        <v>15959.1402027817</v>
      </c>
      <c r="EU44" s="20" t="n">
        <f aca="false">IF(AND(EM44=1,Slot13_IsMfree=1),IF(ER44&gt;=Slot13_Cost-1,0,MAX(0,EK44-ER44)),EK44)</f>
        <v>0</v>
      </c>
      <c r="EV44" s="20" t="n">
        <f aca="false">EM44*(Slot13_Cost-ER44)</f>
        <v>0</v>
      </c>
      <c r="EW44" s="20" t="n">
        <f aca="false">IF(AND(Slot14_On=1,D44=Slot14_Age),1,0)</f>
        <v>0</v>
      </c>
      <c r="EX44" s="20" t="n">
        <f aca="false">IF(AND(Slot14_On=1,Slot14_Age&gt;D44),1,0)</f>
        <v>0</v>
      </c>
      <c r="EY44" s="20" t="n">
        <f aca="false">SM43</f>
        <v>0</v>
      </c>
      <c r="EZ44" s="20" t="n">
        <f aca="false">EW44*MIN(Slot14_Cost,EY44)</f>
        <v>0</v>
      </c>
      <c r="FA44" s="20" t="n">
        <f aca="false">EW44*Slot14_SpendLike*MIN(Slot14_Cost-EZ44,ES44)</f>
        <v>0</v>
      </c>
      <c r="FB44" s="20" t="n">
        <f aca="false">EZ44+FA44</f>
        <v>0</v>
      </c>
      <c r="FC44" s="20" t="n">
        <f aca="false">ES44-FA44+EW44*IF(Slot14_SpendLike=1,EY44-EZ44,IF(Slot14_PotFree=1,EY44,0))</f>
        <v>78225.4390035568</v>
      </c>
      <c r="FD44" s="20" t="n">
        <f aca="false">ET44+EW44*Slot14_BufPot*EY44</f>
        <v>15959.1402027817</v>
      </c>
      <c r="FE44" s="20" t="n">
        <f aca="false">IF(AND(EW44=1,Slot14_IsMfree=1),IF(FB44&gt;=Slot14_Cost-1,0,MAX(0,EU44-FB44)),EU44)</f>
        <v>0</v>
      </c>
      <c r="FF44" s="20" t="n">
        <f aca="false">EW44*(Slot14_Cost-FB44)</f>
        <v>0</v>
      </c>
      <c r="FG44" s="20" t="n">
        <f aca="false">IF(AND(Slot15_On=1,D44=Slot15_Age),1,0)</f>
        <v>0</v>
      </c>
      <c r="FH44" s="20" t="n">
        <f aca="false">IF(AND(Slot15_On=1,Slot15_Age&gt;D44),1,0)</f>
        <v>0</v>
      </c>
      <c r="FI44" s="20" t="n">
        <f aca="false">SQ43</f>
        <v>0</v>
      </c>
      <c r="FJ44" s="20" t="n">
        <f aca="false">FG44*MIN(Slot15_Cost,FI44)</f>
        <v>0</v>
      </c>
      <c r="FK44" s="20" t="n">
        <f aca="false">FG44*Slot15_SpendLike*MIN(Slot15_Cost-FJ44,FC44)</f>
        <v>0</v>
      </c>
      <c r="FL44" s="20" t="n">
        <f aca="false">FJ44+FK44</f>
        <v>0</v>
      </c>
      <c r="FM44" s="20" t="n">
        <f aca="false">FC44-FK44+FG44*IF(Slot15_SpendLike=1,FI44-FJ44,IF(Slot15_PotFree=1,FI44,0))</f>
        <v>78225.4390035568</v>
      </c>
      <c r="FN44" s="20" t="n">
        <f aca="false">FD44+FG44*Slot15_BufPot*FI44</f>
        <v>15959.1402027817</v>
      </c>
      <c r="FO44" s="20" t="n">
        <f aca="false">IF(AND(FG44=1,Slot15_IsMfree=1),IF(FL44&gt;=Slot15_Cost-1,0,MAX(0,FE44-FL44)),FE44)</f>
        <v>0</v>
      </c>
      <c r="FP44" s="20" t="n">
        <f aca="false">FG44*(Slot15_Cost-FL44)</f>
        <v>0</v>
      </c>
      <c r="FQ44" s="20" t="n">
        <f aca="false">IF(AND(Slot16_On=1,D44=Slot16_Age),1,0)</f>
        <v>0</v>
      </c>
      <c r="FR44" s="20" t="n">
        <f aca="false">IF(AND(Slot16_On=1,Slot16_Age&gt;D44),1,0)</f>
        <v>0</v>
      </c>
      <c r="FS44" s="20" t="n">
        <f aca="false">SU43</f>
        <v>0</v>
      </c>
      <c r="FT44" s="20" t="n">
        <f aca="false">FQ44*MIN(Slot16_Cost,FS44)</f>
        <v>0</v>
      </c>
      <c r="FU44" s="20" t="n">
        <f aca="false">FQ44*Slot16_SpendLike*MIN(Slot16_Cost-FT44,FM44)</f>
        <v>0</v>
      </c>
      <c r="FV44" s="20" t="n">
        <f aca="false">FT44+FU44</f>
        <v>0</v>
      </c>
      <c r="FW44" s="20" t="n">
        <f aca="false">FM44-FU44+FQ44*IF(Slot16_SpendLike=1,FS44-FT44,IF(Slot16_PotFree=1,FS44,0))</f>
        <v>78225.4390035568</v>
      </c>
      <c r="FX44" s="20" t="n">
        <f aca="false">FN44+FQ44*Slot16_BufPot*FS44</f>
        <v>15959.1402027817</v>
      </c>
      <c r="FY44" s="20" t="n">
        <f aca="false">IF(AND(FQ44=1,Slot16_IsMfree=1),IF(FV44&gt;=Slot16_Cost-1,0,MAX(0,FO44-FV44)),FO44)</f>
        <v>0</v>
      </c>
      <c r="FZ44" s="20" t="n">
        <f aca="false">FQ44*(Slot16_Cost-FV44)</f>
        <v>0</v>
      </c>
      <c r="GA44" s="20" t="n">
        <f aca="false">IF(AND(Slot17_On=1,D44=Slot17_Age),1,0)</f>
        <v>0</v>
      </c>
      <c r="GB44" s="20" t="n">
        <f aca="false">IF(AND(Slot17_On=1,Slot17_Age&gt;D44),1,0)</f>
        <v>0</v>
      </c>
      <c r="GC44" s="20" t="n">
        <f aca="false">SY43</f>
        <v>0</v>
      </c>
      <c r="GD44" s="20" t="n">
        <f aca="false">GA44*MIN(Slot17_Cost,GC44)</f>
        <v>0</v>
      </c>
      <c r="GE44" s="20" t="n">
        <f aca="false">GA44*Slot17_SpendLike*MIN(Slot17_Cost-GD44,FW44)</f>
        <v>0</v>
      </c>
      <c r="GF44" s="20" t="n">
        <f aca="false">GD44+GE44</f>
        <v>0</v>
      </c>
      <c r="GG44" s="20" t="n">
        <f aca="false">FW44-GE44+GA44*IF(Slot17_SpendLike=1,GC44-GD44,IF(Slot17_PotFree=1,GC44,0))</f>
        <v>78225.4390035568</v>
      </c>
      <c r="GH44" s="20" t="n">
        <f aca="false">FX44+GA44*Slot17_BufPot*GC44</f>
        <v>15959.1402027817</v>
      </c>
      <c r="GI44" s="20" t="n">
        <f aca="false">IF(AND(GA44=1,Slot17_IsMfree=1),IF(GF44&gt;=Slot17_Cost-1,0,MAX(0,FY44-GF44)),FY44)</f>
        <v>0</v>
      </c>
      <c r="GJ44" s="20" t="n">
        <f aca="false">GA44*(Slot17_Cost-GF44)</f>
        <v>0</v>
      </c>
      <c r="GK44" s="20" t="n">
        <f aca="false">IF(AND(Slot18_On=1,D44=Slot18_Age),1,0)</f>
        <v>0</v>
      </c>
      <c r="GL44" s="20" t="n">
        <f aca="false">IF(AND(Slot18_On=1,Slot18_Age&gt;D44),1,0)</f>
        <v>0</v>
      </c>
      <c r="GM44" s="20" t="n">
        <f aca="false">TC43</f>
        <v>0</v>
      </c>
      <c r="GN44" s="20" t="n">
        <f aca="false">GK44*MIN(Slot18_Cost,GM44)</f>
        <v>0</v>
      </c>
      <c r="GO44" s="20" t="n">
        <f aca="false">GK44*Slot18_SpendLike*MIN(Slot18_Cost-GN44,GG44)</f>
        <v>0</v>
      </c>
      <c r="GP44" s="20" t="n">
        <f aca="false">GN44+GO44</f>
        <v>0</v>
      </c>
      <c r="GQ44" s="20" t="n">
        <f aca="false">GG44-GO44+GK44*IF(Slot18_SpendLike=1,GM44-GN44,IF(Slot18_PotFree=1,GM44,0))</f>
        <v>78225.4390035568</v>
      </c>
      <c r="GR44" s="20" t="n">
        <f aca="false">GH44+GK44*Slot18_BufPot*GM44</f>
        <v>15959.1402027817</v>
      </c>
      <c r="GS44" s="20" t="n">
        <f aca="false">IF(AND(GK44=1,Slot18_IsMfree=1),IF(GP44&gt;=Slot18_Cost-1,0,MAX(0,GI44-GP44)),GI44)</f>
        <v>0</v>
      </c>
      <c r="GT44" s="20" t="n">
        <f aca="false">GK44*(Slot18_Cost-GP44)</f>
        <v>0</v>
      </c>
      <c r="GU44" s="20" t="n">
        <f aca="false">IF(AND(Slot19_On=1,D44=Slot19_Age),1,0)</f>
        <v>0</v>
      </c>
      <c r="GV44" s="20" t="n">
        <f aca="false">IF(AND(Slot19_On=1,Slot19_Age&gt;D44),1,0)</f>
        <v>0</v>
      </c>
      <c r="GW44" s="20" t="n">
        <f aca="false">TG43</f>
        <v>0</v>
      </c>
      <c r="GX44" s="20" t="n">
        <f aca="false">GU44*MIN(Slot19_Cost,GW44)</f>
        <v>0</v>
      </c>
      <c r="GY44" s="20" t="n">
        <f aca="false">GU44*Slot19_SpendLike*MIN(Slot19_Cost-GX44,GQ44)</f>
        <v>0</v>
      </c>
      <c r="GZ44" s="20" t="n">
        <f aca="false">GX44+GY44</f>
        <v>0</v>
      </c>
      <c r="HA44" s="20" t="n">
        <f aca="false">GQ44-GY44+GU44*IF(Slot19_SpendLike=1,GW44-GX44,IF(Slot19_PotFree=1,GW44,0))</f>
        <v>78225.4390035568</v>
      </c>
      <c r="HB44" s="20" t="n">
        <f aca="false">GR44+GU44*Slot19_BufPot*GW44</f>
        <v>15959.1402027817</v>
      </c>
      <c r="HC44" s="20" t="n">
        <f aca="false">IF(AND(GU44=1,Slot19_IsMfree=1),IF(GZ44&gt;=Slot19_Cost-1,0,MAX(0,GS44-GZ44)),GS44)</f>
        <v>0</v>
      </c>
      <c r="HD44" s="20" t="n">
        <f aca="false">GU44*(Slot19_Cost-GZ44)</f>
        <v>0</v>
      </c>
      <c r="HE44" s="20" t="n">
        <f aca="false">IF(AND(Slot20_On=1,D44=Slot20_Age),1,0)</f>
        <v>0</v>
      </c>
      <c r="HF44" s="20" t="n">
        <f aca="false">IF(AND(Slot20_On=1,Slot20_Age&gt;D44),1,0)</f>
        <v>0</v>
      </c>
      <c r="HG44" s="20" t="n">
        <f aca="false">TK43</f>
        <v>0</v>
      </c>
      <c r="HH44" s="20" t="n">
        <f aca="false">HE44*MIN(Slot20_Cost,HG44)</f>
        <v>0</v>
      </c>
      <c r="HI44" s="20" t="n">
        <f aca="false">HE44*Slot20_SpendLike*MIN(Slot20_Cost-HH44,HA44)</f>
        <v>0</v>
      </c>
      <c r="HJ44" s="20" t="n">
        <f aca="false">HH44+HI44</f>
        <v>0</v>
      </c>
      <c r="HK44" s="20" t="n">
        <f aca="false">HA44-HI44+HE44*IF(Slot20_SpendLike=1,HG44-HH44,IF(Slot20_PotFree=1,HG44,0))</f>
        <v>78225.4390035568</v>
      </c>
      <c r="HL44" s="20" t="n">
        <f aca="false">HB44+HE44*Slot20_BufPot*HG44</f>
        <v>15959.1402027817</v>
      </c>
      <c r="HM44" s="20" t="n">
        <f aca="false">IF(AND(HE44=1,Slot20_IsMfree=1),IF(HJ44&gt;=Slot20_Cost-1,0,MAX(0,HC44-HJ44)),HC44)</f>
        <v>0</v>
      </c>
      <c r="HN44" s="20" t="n">
        <f aca="false">HE44*(Slot20_Cost-HJ44)</f>
        <v>0</v>
      </c>
      <c r="HO44" s="20" t="n">
        <f aca="false">V44*Slot1_SpendLike*AA44+AG44*Slot2_SpendLike*AL44+AQ44*Slot3_SpendLike*AV44+BA44*Slot4_SpendLike*BF44+BK44*Slot5_SpendLike*BP44+BU44*Slot6_SpendLike*BZ44+CE44*Slot7_SpendLike*CJ44+CO44*Slot8_SpendLike*CT44+CY44*Slot9_SpendLike*DD44+DI44*Slot10_SpendLike*DN44+DS44*Slot11_SpendLike*DX44+EC44*Slot12_SpendLike*EH44+EM44*Slot13_SpendLike*ER44+EW44*Slot14_SpendLike*FB44+FG44*Slot15_SpendLike*FL44+FQ44*Slot16_SpendLike*FV44+GA44*Slot17_SpendLike*GF44+GK44*Slot18_SpendLike*GP44+GU44*Slot19_SpendLike*GZ44+HE44*Slot20_SpendLike*HJ44</f>
        <v>0</v>
      </c>
      <c r="HP44" s="20" t="n">
        <f aca="false">AE44+AP44+AZ44+BJ44+BT44+CD44+CN44+CX44+DH44+DR44+EB44+EL44+EV44+FF44+FP44+FZ44+GJ44+GT44+HD44+HN44</f>
        <v>0</v>
      </c>
      <c r="HQ44" s="20" t="n">
        <f aca="false">V44*Slot1_Cost+AG44*Slot2_Cost+AQ44*Slot3_Cost+BA44*Slot4_Cost+BK44*Slot5_Cost+BU44*Slot6_Cost+CE44*Slot7_Cost+CO44*Slot8_Cost+CY44*Slot9_Cost+DI44*Slot10_Cost+DS44*Slot11_Cost+EC44*Slot12_Cost+EM44*Slot13_Cost+EW44*Slot14_Cost+FG44*Slot15_Cost+FQ44*Slot16_Cost+GA44*Slot17_Cost+GK44*Slot18_Cost+GU44*Slot19_Cost+HE44*Slot20_Cost</f>
        <v>0</v>
      </c>
      <c r="HR44" s="20" t="n">
        <f aca="false">HM44</f>
        <v>0</v>
      </c>
      <c r="HS44" s="20" t="n">
        <f aca="false">H44-I44-S44</f>
        <v>-22504.9029963136</v>
      </c>
      <c r="HT44" s="20" t="n">
        <f aca="false">IF(B44=0,IF(AND(Has_q6=1,In_q6=4),PR_ShareVaries*(MAX(0,HS44)/12),MIN(IF(Has_q6=1,CHOOSE(In_q6+1,PR_SaveB1,PR_SaveB2,PR_SaveB3,PR_SaveB4,0),AS_NoAnswer),AS_SaveShare*(MAX(0,HS44)/12))),HT43)</f>
        <v>67.3316893520437</v>
      </c>
      <c r="HU44" s="20" t="n">
        <f aca="false">IF(HS44&gt;=0,1,0)</f>
        <v>0</v>
      </c>
      <c r="HV44" s="20" t="n">
        <f aca="false">MAX(0,HS44/12/F44)</f>
        <v>0</v>
      </c>
      <c r="HW44" s="20" t="n">
        <f aca="false">IF(AND(Has_q6=1,In_q6=4),PR_ShareVaries*(HV44),MIN(IF(Has_q6=1,CHOOSE(In_q6+1,PR_SaveB1,PR_SaveB2,PR_SaveB3,PR_SaveB4,0),AS_NoAnswer),AS_SaveShare*(HV44)))</f>
        <v>0</v>
      </c>
      <c r="HX44" s="20" t="n">
        <f aca="false">IF(Has_saveM=1,IF(In_saveUp="Yes",1,IF(In_saveUp="No",0,IF(In_saveM&gt;=HT44-0.5,1,0))),0)</f>
        <v>0</v>
      </c>
      <c r="HY44" s="20" t="n">
        <f aca="false">IF(Has_saveM=1,MIN(HV44,IF(HX44=1,MAX(In_saveM,HW44),MIN(In_saveM,HW44))),HW44)</f>
        <v>0</v>
      </c>
      <c r="HZ44" s="20" t="n">
        <f aca="false">IF(G44=1,HY44*12*F44,0)</f>
        <v>0</v>
      </c>
      <c r="IA44" s="20" t="n">
        <f aca="false">MAX(0,HZ44+IF(AND(WI_Retire=0,WI_M&lt;0,G44=1),WI_M*12*F44,0))</f>
        <v>0</v>
      </c>
      <c r="IB44" s="20" t="n">
        <f aca="false">Slot1_IsWG*W44+Slot2_IsWG*AH44+Slot3_IsWG*AR44+Slot4_IsWG*BB44+Slot5_IsWG*BL44+Slot6_IsWG*BV44+Slot7_IsWG*CF44+Slot8_IsWG*CP44+Slot9_IsWG*CZ44+Slot10_IsWG*DJ44+Slot11_IsWG*DT44+Slot12_IsWG*ED44+Slot13_IsWG*EN44+Slot14_IsWG*EX44+Slot15_IsWG*FH44+Slot16_IsWG*FR44+Slot17_IsWG*GB44+Slot18_IsWG*GL44+Slot19_IsWG*GV44+Slot20_IsWG*HF44</f>
        <v>0</v>
      </c>
      <c r="IC44" s="20" t="n">
        <f aca="false">IF(AND(WI_Retire=0,WI_M&gt;0,G44=1,IB44&gt;=1),WI_M*12*F44,0)</f>
        <v>0</v>
      </c>
      <c r="ID44" s="20" t="n">
        <f aca="false">IF(HU44=1,MIN(IA44,HS44),0)</f>
        <v>0</v>
      </c>
      <c r="IE44" s="20" t="n">
        <f aca="false">IF(HU44=1,MIN(IC44,HS44-ID44),0)</f>
        <v>0</v>
      </c>
      <c r="IF44" s="20" t="n">
        <f aca="false">IF(W44=1,IF(ABS((1+AS_Wage)/(1+Slot1_Rate)-1)&lt;0.000000000001,(Slot1_Age-D44)*(1+Slot1_Rate)^(Slot1_Age-D44),(1+Slot1_Rate)^(Slot1_Age-D44)*(1-((1+AS_Wage)/(1+Slot1_Rate))^(Slot1_Age-D44))/(1-(1+AS_Wage)/(1+Slot1_Rate))),1)</f>
        <v>1</v>
      </c>
      <c r="IG44" s="20" t="n">
        <f aca="false">IF(AND(HU44=1,IE44&gt;0,Slot1_IsWG=1,W44=1),MAX(0,(Slot1_Cost-X44*(1+Slot1_Rate)^(Slot1_Age-D44))/IF44),0)</f>
        <v>0</v>
      </c>
      <c r="IH44" s="20" t="n">
        <f aca="false">IF(AND(HU44=1,IE44&gt;0,Slot1_IsWG=1,W44=1),MIN(IE44,IG44),0)</f>
        <v>0</v>
      </c>
      <c r="II44" s="20" t="n">
        <f aca="false">X44+IH44</f>
        <v>0</v>
      </c>
      <c r="IJ44" s="20" t="n">
        <f aca="false">IF(W44=1,MAX(0,(Slot1_Cost-II44*(1+Slot1_Rate)^(Slot1_Age-D44))/IF44),0)</f>
        <v>0</v>
      </c>
      <c r="IK44" s="20" t="n">
        <f aca="false">IF(W44=1,MAX(0,(Slot1_Cost-X44*(1+Slot1_Rate)^(Slot1_Age-D44))/IF44),0)</f>
        <v>0</v>
      </c>
      <c r="IL44" s="20" t="n">
        <f aca="false">IF(AND(HU44=1,W44=1),MIN(ID44,IJ44),0)</f>
        <v>0</v>
      </c>
      <c r="IM44" s="20" t="n">
        <f aca="false">ID44-IL44</f>
        <v>0</v>
      </c>
      <c r="IN44" s="20" t="n">
        <f aca="false">IF(AH44=1,IF(ABS((1+AS_Wage)/(1+Slot2_Rate)-1)&lt;0.000000000001,(Slot2_Age-D44)*(1+Slot2_Rate)^(Slot2_Age-D44),(1+Slot2_Rate)^(Slot2_Age-D44)*(1-((1+AS_Wage)/(1+Slot2_Rate))^(Slot2_Age-D44))/(1-(1+AS_Wage)/(1+Slot2_Rate))),1)</f>
        <v>1</v>
      </c>
      <c r="IO44" s="20" t="n">
        <f aca="false">IF(AND(HU44=1,IE44&gt;0,Slot2_IsWG=1,AH44=1),MAX(0,(Slot2_Cost-AI44*(1+Slot2_Rate)^(Slot2_Age-D44))/IN44),0)</f>
        <v>0</v>
      </c>
      <c r="IP44" s="20" t="n">
        <f aca="false">IF(AND(HU44=1,IE44&gt;0,Slot2_IsWG=1,AH44=1),MIN(IE44,IO44),0)</f>
        <v>0</v>
      </c>
      <c r="IQ44" s="20" t="n">
        <f aca="false">AI44+IP44</f>
        <v>0</v>
      </c>
      <c r="IR44" s="20" t="n">
        <f aca="false">IF(AH44=1,MAX(0,(Slot2_Cost-IQ44*(1+Slot2_Rate)^(Slot2_Age-D44))/IN44),0)</f>
        <v>0</v>
      </c>
      <c r="IS44" s="20" t="n">
        <f aca="false">IF(AH44=1,MAX(0,(Slot2_Cost-AI44*(1+Slot2_Rate)^(Slot2_Age-D44))/IN44),0)</f>
        <v>0</v>
      </c>
      <c r="IT44" s="20" t="n">
        <f aca="false">IF(AND(HU44=1,AH44=1),MIN(IM44,IR44),0)</f>
        <v>0</v>
      </c>
      <c r="IU44" s="20" t="n">
        <f aca="false">IM44-IT44</f>
        <v>0</v>
      </c>
      <c r="IV44" s="20" t="n">
        <f aca="false">IF(AR44=1,IF(ABS((1+AS_Wage)/(1+Slot3_Rate)-1)&lt;0.000000000001,(Slot3_Age-D44)*(1+Slot3_Rate)^(Slot3_Age-D44),(1+Slot3_Rate)^(Slot3_Age-D44)*(1-((1+AS_Wage)/(1+Slot3_Rate))^(Slot3_Age-D44))/(1-(1+AS_Wage)/(1+Slot3_Rate))),1)</f>
        <v>1</v>
      </c>
      <c r="IW44" s="20" t="n">
        <f aca="false">IF(AND(HU44=1,IE44&gt;0,Slot3_IsWG=1,AR44=1),MAX(0,(Slot3_Cost-AS44*(1+Slot3_Rate)^(Slot3_Age-D44))/IV44),0)</f>
        <v>0</v>
      </c>
      <c r="IX44" s="20" t="n">
        <f aca="false">IF(AND(HU44=1,IE44&gt;0,Slot3_IsWG=1,AR44=1),MIN(IE44,IW44),0)</f>
        <v>0</v>
      </c>
      <c r="IY44" s="20" t="n">
        <f aca="false">AS44+IX44</f>
        <v>0</v>
      </c>
      <c r="IZ44" s="20" t="n">
        <f aca="false">IF(AR44=1,MAX(0,(Slot3_Cost-IY44*(1+Slot3_Rate)^(Slot3_Age-D44))/IV44),0)</f>
        <v>0</v>
      </c>
      <c r="JA44" s="20" t="n">
        <f aca="false">IF(AR44=1,MAX(0,(Slot3_Cost-AS44*(1+Slot3_Rate)^(Slot3_Age-D44))/IV44),0)</f>
        <v>0</v>
      </c>
      <c r="JB44" s="20" t="n">
        <f aca="false">IF(AND(HU44=1,AR44=1),MIN(IU44,IZ44),0)</f>
        <v>0</v>
      </c>
      <c r="JC44" s="20" t="n">
        <f aca="false">IU44-JB44</f>
        <v>0</v>
      </c>
      <c r="JD44" s="20" t="n">
        <f aca="false">IF(BB44=1,IF(ABS((1+AS_Wage)/(1+Slot4_Rate)-1)&lt;0.000000000001,(Slot4_Age-D44)*(1+Slot4_Rate)^(Slot4_Age-D44),(1+Slot4_Rate)^(Slot4_Age-D44)*(1-((1+AS_Wage)/(1+Slot4_Rate))^(Slot4_Age-D44))/(1-(1+AS_Wage)/(1+Slot4_Rate))),1)</f>
        <v>1</v>
      </c>
      <c r="JE44" s="20" t="n">
        <f aca="false">IF(AND(HU44=1,IE44&gt;0,Slot4_IsWG=1,BB44=1),MAX(0,(Slot4_Cost-BC44*(1+Slot4_Rate)^(Slot4_Age-D44))/JD44),0)</f>
        <v>0</v>
      </c>
      <c r="JF44" s="20" t="n">
        <f aca="false">IF(AND(HU44=1,IE44&gt;0,Slot4_IsWG=1,BB44=1),MIN(IE44,JE44),0)</f>
        <v>0</v>
      </c>
      <c r="JG44" s="20" t="n">
        <f aca="false">BC44+JF44</f>
        <v>0</v>
      </c>
      <c r="JH44" s="20" t="n">
        <f aca="false">IF(BB44=1,MAX(0,(Slot4_Cost-JG44*(1+Slot4_Rate)^(Slot4_Age-D44))/JD44),0)</f>
        <v>0</v>
      </c>
      <c r="JI44" s="20" t="n">
        <f aca="false">IF(BB44=1,MAX(0,(Slot4_Cost-BC44*(1+Slot4_Rate)^(Slot4_Age-D44))/JD44),0)</f>
        <v>0</v>
      </c>
      <c r="JJ44" s="20" t="n">
        <f aca="false">IF(AND(HU44=1,BB44=1),MIN(JC44,JH44),0)</f>
        <v>0</v>
      </c>
      <c r="JK44" s="20" t="n">
        <f aca="false">JC44-JJ44</f>
        <v>0</v>
      </c>
      <c r="JL44" s="20" t="n">
        <f aca="false">IF(BL44=1,IF(ABS((1+AS_Wage)/(1+Slot5_Rate)-1)&lt;0.000000000001,(Slot5_Age-D44)*(1+Slot5_Rate)^(Slot5_Age-D44),(1+Slot5_Rate)^(Slot5_Age-D44)*(1-((1+AS_Wage)/(1+Slot5_Rate))^(Slot5_Age-D44))/(1-(1+AS_Wage)/(1+Slot5_Rate))),1)</f>
        <v>1</v>
      </c>
      <c r="JM44" s="20" t="n">
        <f aca="false">IF(AND(HU44=1,IE44&gt;0,Slot5_IsWG=1,BL44=1),MAX(0,(Slot5_Cost-BM44*(1+Slot5_Rate)^(Slot5_Age-D44))/JL44),0)</f>
        <v>0</v>
      </c>
      <c r="JN44" s="20" t="n">
        <f aca="false">IF(AND(HU44=1,IE44&gt;0,Slot5_IsWG=1,BL44=1),MIN(IE44,JM44),0)</f>
        <v>0</v>
      </c>
      <c r="JO44" s="20" t="n">
        <f aca="false">BM44+JN44</f>
        <v>0</v>
      </c>
      <c r="JP44" s="20" t="n">
        <f aca="false">IF(BL44=1,MAX(0,(Slot5_Cost-JO44*(1+Slot5_Rate)^(Slot5_Age-D44))/JL44),0)</f>
        <v>0</v>
      </c>
      <c r="JQ44" s="20" t="n">
        <f aca="false">IF(BL44=1,MAX(0,(Slot5_Cost-BM44*(1+Slot5_Rate)^(Slot5_Age-D44))/JL44),0)</f>
        <v>0</v>
      </c>
      <c r="JR44" s="20" t="n">
        <f aca="false">IF(AND(HU44=1,BL44=1),MIN(JK44,JP44),0)</f>
        <v>0</v>
      </c>
      <c r="JS44" s="20" t="n">
        <f aca="false">JK44-JR44</f>
        <v>0</v>
      </c>
      <c r="JT44" s="20" t="n">
        <f aca="false">IF(BV44=1,IF(ABS((1+AS_Wage)/(1+Slot6_Rate)-1)&lt;0.000000000001,(Slot6_Age-D44)*(1+Slot6_Rate)^(Slot6_Age-D44),(1+Slot6_Rate)^(Slot6_Age-D44)*(1-((1+AS_Wage)/(1+Slot6_Rate))^(Slot6_Age-D44))/(1-(1+AS_Wage)/(1+Slot6_Rate))),1)</f>
        <v>1</v>
      </c>
      <c r="JU44" s="20" t="n">
        <f aca="false">IF(AND(HU44=1,IE44&gt;0,Slot6_IsWG=1,BV44=1),MAX(0,(Slot6_Cost-BW44*(1+Slot6_Rate)^(Slot6_Age-D44))/JT44),0)</f>
        <v>0</v>
      </c>
      <c r="JV44" s="20" t="n">
        <f aca="false">IF(AND(HU44=1,IE44&gt;0,Slot6_IsWG=1,BV44=1),MIN(IE44,JU44),0)</f>
        <v>0</v>
      </c>
      <c r="JW44" s="20" t="n">
        <f aca="false">BW44+JV44</f>
        <v>0</v>
      </c>
      <c r="JX44" s="20" t="n">
        <f aca="false">IF(BV44=1,MAX(0,(Slot6_Cost-JW44*(1+Slot6_Rate)^(Slot6_Age-D44))/JT44),0)</f>
        <v>0</v>
      </c>
      <c r="JY44" s="20" t="n">
        <f aca="false">IF(BV44=1,MAX(0,(Slot6_Cost-BW44*(1+Slot6_Rate)^(Slot6_Age-D44))/JT44),0)</f>
        <v>0</v>
      </c>
      <c r="JZ44" s="20" t="n">
        <f aca="false">IF(AND(HU44=1,BV44=1),MIN(JS44,JX44),0)</f>
        <v>0</v>
      </c>
      <c r="KA44" s="20" t="n">
        <f aca="false">JS44-JZ44</f>
        <v>0</v>
      </c>
      <c r="KB44" s="20" t="n">
        <f aca="false">IF(CF44=1,IF(ABS((1+AS_Wage)/(1+Slot7_Rate)-1)&lt;0.000000000001,(Slot7_Age-D44)*(1+Slot7_Rate)^(Slot7_Age-D44),(1+Slot7_Rate)^(Slot7_Age-D44)*(1-((1+AS_Wage)/(1+Slot7_Rate))^(Slot7_Age-D44))/(1-(1+AS_Wage)/(1+Slot7_Rate))),1)</f>
        <v>1</v>
      </c>
      <c r="KC44" s="20" t="n">
        <f aca="false">IF(AND(HU44=1,IE44&gt;0,Slot7_IsWG=1,CF44=1),MAX(0,(Slot7_Cost-CG44*(1+Slot7_Rate)^(Slot7_Age-D44))/KB44),0)</f>
        <v>0</v>
      </c>
      <c r="KD44" s="20" t="n">
        <f aca="false">IF(AND(HU44=1,IE44&gt;0,Slot7_IsWG=1,CF44=1),MIN(IE44,KC44),0)</f>
        <v>0</v>
      </c>
      <c r="KE44" s="20" t="n">
        <f aca="false">CG44+KD44</f>
        <v>0</v>
      </c>
      <c r="KF44" s="20" t="n">
        <f aca="false">IF(CF44=1,MAX(0,(Slot7_Cost-KE44*(1+Slot7_Rate)^(Slot7_Age-D44))/KB44),0)</f>
        <v>0</v>
      </c>
      <c r="KG44" s="20" t="n">
        <f aca="false">IF(CF44=1,MAX(0,(Slot7_Cost-CG44*(1+Slot7_Rate)^(Slot7_Age-D44))/KB44),0)</f>
        <v>0</v>
      </c>
      <c r="KH44" s="20" t="n">
        <f aca="false">IF(AND(HU44=1,CF44=1),MIN(KA44,KF44),0)</f>
        <v>0</v>
      </c>
      <c r="KI44" s="20" t="n">
        <f aca="false">KA44-KH44</f>
        <v>0</v>
      </c>
      <c r="KJ44" s="20" t="n">
        <f aca="false">IF(CP44=1,IF(ABS((1+AS_Wage)/(1+Slot8_Rate)-1)&lt;0.000000000001,(Slot8_Age-D44)*(1+Slot8_Rate)^(Slot8_Age-D44),(1+Slot8_Rate)^(Slot8_Age-D44)*(1-((1+AS_Wage)/(1+Slot8_Rate))^(Slot8_Age-D44))/(1-(1+AS_Wage)/(1+Slot8_Rate))),1)</f>
        <v>1</v>
      </c>
      <c r="KK44" s="20" t="n">
        <f aca="false">IF(AND(HU44=1,IE44&gt;0,Slot8_IsWG=1,CP44=1),MAX(0,(Slot8_Cost-CQ44*(1+Slot8_Rate)^(Slot8_Age-D44))/KJ44),0)</f>
        <v>0</v>
      </c>
      <c r="KL44" s="20" t="n">
        <f aca="false">IF(AND(HU44=1,IE44&gt;0,Slot8_IsWG=1,CP44=1),MIN(IE44,KK44),0)</f>
        <v>0</v>
      </c>
      <c r="KM44" s="20" t="n">
        <f aca="false">CQ44+KL44</f>
        <v>0</v>
      </c>
      <c r="KN44" s="20" t="n">
        <f aca="false">IF(CP44=1,MAX(0,(Slot8_Cost-KM44*(1+Slot8_Rate)^(Slot8_Age-D44))/KJ44),0)</f>
        <v>0</v>
      </c>
      <c r="KO44" s="20" t="n">
        <f aca="false">IF(CP44=1,MAX(0,(Slot8_Cost-CQ44*(1+Slot8_Rate)^(Slot8_Age-D44))/KJ44),0)</f>
        <v>0</v>
      </c>
      <c r="KP44" s="20" t="n">
        <f aca="false">IF(AND(HU44=1,CP44=1),MIN(KI44,KN44),0)</f>
        <v>0</v>
      </c>
      <c r="KQ44" s="20" t="n">
        <f aca="false">KI44-KP44</f>
        <v>0</v>
      </c>
      <c r="KR44" s="20" t="n">
        <f aca="false">IF(CZ44=1,IF(ABS((1+AS_Wage)/(1+Slot9_Rate)-1)&lt;0.000000000001,(Slot9_Age-D44)*(1+Slot9_Rate)^(Slot9_Age-D44),(1+Slot9_Rate)^(Slot9_Age-D44)*(1-((1+AS_Wage)/(1+Slot9_Rate))^(Slot9_Age-D44))/(1-(1+AS_Wage)/(1+Slot9_Rate))),1)</f>
        <v>1</v>
      </c>
      <c r="KS44" s="20" t="n">
        <f aca="false">IF(AND(HU44=1,IE44&gt;0,Slot9_IsWG=1,CZ44=1),MAX(0,(Slot9_Cost-DA44*(1+Slot9_Rate)^(Slot9_Age-D44))/KR44),0)</f>
        <v>0</v>
      </c>
      <c r="KT44" s="20" t="n">
        <f aca="false">IF(AND(HU44=1,IE44&gt;0,Slot9_IsWG=1,CZ44=1),MIN(IE44,KS44),0)</f>
        <v>0</v>
      </c>
      <c r="KU44" s="20" t="n">
        <f aca="false">DA44+KT44</f>
        <v>0</v>
      </c>
      <c r="KV44" s="20" t="n">
        <f aca="false">IF(CZ44=1,MAX(0,(Slot9_Cost-KU44*(1+Slot9_Rate)^(Slot9_Age-D44))/KR44),0)</f>
        <v>0</v>
      </c>
      <c r="KW44" s="20" t="n">
        <f aca="false">IF(CZ44=1,MAX(0,(Slot9_Cost-DA44*(1+Slot9_Rate)^(Slot9_Age-D44))/KR44),0)</f>
        <v>0</v>
      </c>
      <c r="KX44" s="20" t="n">
        <f aca="false">IF(AND(HU44=1,CZ44=1),MIN(KQ44,KV44),0)</f>
        <v>0</v>
      </c>
      <c r="KY44" s="20" t="n">
        <f aca="false">KQ44-KX44</f>
        <v>0</v>
      </c>
      <c r="KZ44" s="20" t="n">
        <f aca="false">IF(DJ44=1,IF(ABS((1+AS_Wage)/(1+Slot10_Rate)-1)&lt;0.000000000001,(Slot10_Age-D44)*(1+Slot10_Rate)^(Slot10_Age-D44),(1+Slot10_Rate)^(Slot10_Age-D44)*(1-((1+AS_Wage)/(1+Slot10_Rate))^(Slot10_Age-D44))/(1-(1+AS_Wage)/(1+Slot10_Rate))),1)</f>
        <v>1</v>
      </c>
      <c r="LA44" s="20" t="n">
        <f aca="false">IF(AND(HU44=1,IE44&gt;0,Slot10_IsWG=1,DJ44=1),MAX(0,(Slot10_Cost-DK44*(1+Slot10_Rate)^(Slot10_Age-D44))/KZ44),0)</f>
        <v>0</v>
      </c>
      <c r="LB44" s="20" t="n">
        <f aca="false">IF(AND(HU44=1,IE44&gt;0,Slot10_IsWG=1,DJ44=1),MIN(IE44,LA44),0)</f>
        <v>0</v>
      </c>
      <c r="LC44" s="20" t="n">
        <f aca="false">DK44+LB44</f>
        <v>0</v>
      </c>
      <c r="LD44" s="20" t="n">
        <f aca="false">IF(DJ44=1,MAX(0,(Slot10_Cost-LC44*(1+Slot10_Rate)^(Slot10_Age-D44))/KZ44),0)</f>
        <v>0</v>
      </c>
      <c r="LE44" s="20" t="n">
        <f aca="false">IF(DJ44=1,MAX(0,(Slot10_Cost-DK44*(1+Slot10_Rate)^(Slot10_Age-D44))/KZ44),0)</f>
        <v>0</v>
      </c>
      <c r="LF44" s="20" t="n">
        <f aca="false">IF(AND(HU44=1,DJ44=1),MIN(KY44,LD44),0)</f>
        <v>0</v>
      </c>
      <c r="LG44" s="20" t="n">
        <f aca="false">KY44-LF44</f>
        <v>0</v>
      </c>
      <c r="LH44" s="20" t="n">
        <f aca="false">IF(DT44=1,IF(ABS((1+AS_Wage)/(1+Slot11_Rate)-1)&lt;0.000000000001,(Slot11_Age-D44)*(1+Slot11_Rate)^(Slot11_Age-D44),(1+Slot11_Rate)^(Slot11_Age-D44)*(1-((1+AS_Wage)/(1+Slot11_Rate))^(Slot11_Age-D44))/(1-(1+AS_Wage)/(1+Slot11_Rate))),1)</f>
        <v>1</v>
      </c>
      <c r="LI44" s="20" t="n">
        <f aca="false">IF(AND(HU44=1,IE44&gt;0,Slot11_IsWG=1,DT44=1),MAX(0,(Slot11_Cost-DU44*(1+Slot11_Rate)^(Slot11_Age-D44))/LH44),0)</f>
        <v>0</v>
      </c>
      <c r="LJ44" s="20" t="n">
        <f aca="false">IF(AND(HU44=1,IE44&gt;0,Slot11_IsWG=1,DT44=1),MIN(IE44,LI44),0)</f>
        <v>0</v>
      </c>
      <c r="LK44" s="20" t="n">
        <f aca="false">DU44+LJ44</f>
        <v>0</v>
      </c>
      <c r="LL44" s="20" t="n">
        <f aca="false">IF(DT44=1,MAX(0,(Slot11_Cost-LK44*(1+Slot11_Rate)^(Slot11_Age-D44))/LH44),0)</f>
        <v>0</v>
      </c>
      <c r="LM44" s="20" t="n">
        <f aca="false">IF(DT44=1,MAX(0,(Slot11_Cost-DU44*(1+Slot11_Rate)^(Slot11_Age-D44))/LH44),0)</f>
        <v>0</v>
      </c>
      <c r="LN44" s="20" t="n">
        <f aca="false">IF(AND(HU44=1,DT44=1),MIN(LG44,LL44),0)</f>
        <v>0</v>
      </c>
      <c r="LO44" s="20" t="n">
        <f aca="false">LG44-LN44</f>
        <v>0</v>
      </c>
      <c r="LP44" s="20" t="n">
        <f aca="false">IF(ED44=1,IF(ABS((1+AS_Wage)/(1+Slot12_Rate)-1)&lt;0.000000000001,(Slot12_Age-D44)*(1+Slot12_Rate)^(Slot12_Age-D44),(1+Slot12_Rate)^(Slot12_Age-D44)*(1-((1+AS_Wage)/(1+Slot12_Rate))^(Slot12_Age-D44))/(1-(1+AS_Wage)/(1+Slot12_Rate))),1)</f>
        <v>1</v>
      </c>
      <c r="LQ44" s="20" t="n">
        <f aca="false">IF(AND(HU44=1,IE44&gt;0,Slot12_IsWG=1,ED44=1),MAX(0,(Slot12_Cost-EE44*(1+Slot12_Rate)^(Slot12_Age-D44))/LP44),0)</f>
        <v>0</v>
      </c>
      <c r="LR44" s="20" t="n">
        <f aca="false">IF(AND(HU44=1,IE44&gt;0,Slot12_IsWG=1,ED44=1),MIN(IE44,LQ44),0)</f>
        <v>0</v>
      </c>
      <c r="LS44" s="20" t="n">
        <f aca="false">EE44+LR44</f>
        <v>0</v>
      </c>
      <c r="LT44" s="20" t="n">
        <f aca="false">IF(ED44=1,MAX(0,(Slot12_Cost-LS44*(1+Slot12_Rate)^(Slot12_Age-D44))/LP44),0)</f>
        <v>0</v>
      </c>
      <c r="LU44" s="20" t="n">
        <f aca="false">IF(ED44=1,MAX(0,(Slot12_Cost-EE44*(1+Slot12_Rate)^(Slot12_Age-D44))/LP44),0)</f>
        <v>0</v>
      </c>
      <c r="LV44" s="20" t="n">
        <f aca="false">IF(AND(HU44=1,ED44=1),MIN(LO44,LT44),0)</f>
        <v>0</v>
      </c>
      <c r="LW44" s="20" t="n">
        <f aca="false">LO44-LV44</f>
        <v>0</v>
      </c>
      <c r="LX44" s="20" t="n">
        <f aca="false">IF(EN44=1,IF(ABS((1+AS_Wage)/(1+Slot13_Rate)-1)&lt;0.000000000001,(Slot13_Age-D44)*(1+Slot13_Rate)^(Slot13_Age-D44),(1+Slot13_Rate)^(Slot13_Age-D44)*(1-((1+AS_Wage)/(1+Slot13_Rate))^(Slot13_Age-D44))/(1-(1+AS_Wage)/(1+Slot13_Rate))),1)</f>
        <v>1</v>
      </c>
      <c r="LY44" s="20" t="n">
        <f aca="false">IF(AND(HU44=1,IE44&gt;0,Slot13_IsWG=1,EN44=1),MAX(0,(Slot13_Cost-EO44*(1+Slot13_Rate)^(Slot13_Age-D44))/LX44),0)</f>
        <v>0</v>
      </c>
      <c r="LZ44" s="20" t="n">
        <f aca="false">IF(AND(HU44=1,IE44&gt;0,Slot13_IsWG=1,EN44=1),MIN(IE44,LY44),0)</f>
        <v>0</v>
      </c>
      <c r="MA44" s="20" t="n">
        <f aca="false">EO44+LZ44</f>
        <v>0</v>
      </c>
      <c r="MB44" s="20" t="n">
        <f aca="false">IF(EN44=1,MAX(0,(Slot13_Cost-MA44*(1+Slot13_Rate)^(Slot13_Age-D44))/LX44),0)</f>
        <v>0</v>
      </c>
      <c r="MC44" s="20" t="n">
        <f aca="false">IF(EN44=1,MAX(0,(Slot13_Cost-EO44*(1+Slot13_Rate)^(Slot13_Age-D44))/LX44),0)</f>
        <v>0</v>
      </c>
      <c r="MD44" s="20" t="n">
        <f aca="false">IF(AND(HU44=1,EN44=1),MIN(LW44,MB44),0)</f>
        <v>0</v>
      </c>
      <c r="ME44" s="20" t="n">
        <f aca="false">LW44-MD44</f>
        <v>0</v>
      </c>
      <c r="MF44" s="20" t="n">
        <f aca="false">IF(EX44=1,IF(ABS((1+AS_Wage)/(1+Slot14_Rate)-1)&lt;0.000000000001,(Slot14_Age-D44)*(1+Slot14_Rate)^(Slot14_Age-D44),(1+Slot14_Rate)^(Slot14_Age-D44)*(1-((1+AS_Wage)/(1+Slot14_Rate))^(Slot14_Age-D44))/(1-(1+AS_Wage)/(1+Slot14_Rate))),1)</f>
        <v>1</v>
      </c>
      <c r="MG44" s="20" t="n">
        <f aca="false">IF(AND(HU44=1,IE44&gt;0,Slot14_IsWG=1,EX44=1),MAX(0,(Slot14_Cost-EY44*(1+Slot14_Rate)^(Slot14_Age-D44))/MF44),0)</f>
        <v>0</v>
      </c>
      <c r="MH44" s="20" t="n">
        <f aca="false">IF(AND(HU44=1,IE44&gt;0,Slot14_IsWG=1,EX44=1),MIN(IE44,MG44),0)</f>
        <v>0</v>
      </c>
      <c r="MI44" s="20" t="n">
        <f aca="false">EY44+MH44</f>
        <v>0</v>
      </c>
      <c r="MJ44" s="20" t="n">
        <f aca="false">IF(EX44=1,MAX(0,(Slot14_Cost-MI44*(1+Slot14_Rate)^(Slot14_Age-D44))/MF44),0)</f>
        <v>0</v>
      </c>
      <c r="MK44" s="20" t="n">
        <f aca="false">IF(EX44=1,MAX(0,(Slot14_Cost-EY44*(1+Slot14_Rate)^(Slot14_Age-D44))/MF44),0)</f>
        <v>0</v>
      </c>
      <c r="ML44" s="20" t="n">
        <f aca="false">IF(AND(HU44=1,EX44=1),MIN(ME44,MJ44),0)</f>
        <v>0</v>
      </c>
      <c r="MM44" s="20" t="n">
        <f aca="false">ME44-ML44</f>
        <v>0</v>
      </c>
      <c r="MN44" s="20" t="n">
        <f aca="false">IF(FH44=1,IF(ABS((1+AS_Wage)/(1+Slot15_Rate)-1)&lt;0.000000000001,(Slot15_Age-D44)*(1+Slot15_Rate)^(Slot15_Age-D44),(1+Slot15_Rate)^(Slot15_Age-D44)*(1-((1+AS_Wage)/(1+Slot15_Rate))^(Slot15_Age-D44))/(1-(1+AS_Wage)/(1+Slot15_Rate))),1)</f>
        <v>1</v>
      </c>
      <c r="MO44" s="20" t="n">
        <f aca="false">IF(AND(HU44=1,IE44&gt;0,Slot15_IsWG=1,FH44=1),MAX(0,(Slot15_Cost-FI44*(1+Slot15_Rate)^(Slot15_Age-D44))/MN44),0)</f>
        <v>0</v>
      </c>
      <c r="MP44" s="20" t="n">
        <f aca="false">IF(AND(HU44=1,IE44&gt;0,Slot15_IsWG=1,FH44=1),MIN(IE44,MO44),0)</f>
        <v>0</v>
      </c>
      <c r="MQ44" s="20" t="n">
        <f aca="false">FI44+MP44</f>
        <v>0</v>
      </c>
      <c r="MR44" s="20" t="n">
        <f aca="false">IF(FH44=1,MAX(0,(Slot15_Cost-MQ44*(1+Slot15_Rate)^(Slot15_Age-D44))/MN44),0)</f>
        <v>0</v>
      </c>
      <c r="MS44" s="20" t="n">
        <f aca="false">IF(FH44=1,MAX(0,(Slot15_Cost-FI44*(1+Slot15_Rate)^(Slot15_Age-D44))/MN44),0)</f>
        <v>0</v>
      </c>
      <c r="MT44" s="20" t="n">
        <f aca="false">IF(AND(HU44=1,FH44=1),MIN(MM44,MR44),0)</f>
        <v>0</v>
      </c>
      <c r="MU44" s="20" t="n">
        <f aca="false">MM44-MT44</f>
        <v>0</v>
      </c>
      <c r="MV44" s="20" t="n">
        <f aca="false">IF(FR44=1,IF(ABS((1+AS_Wage)/(1+Slot16_Rate)-1)&lt;0.000000000001,(Slot16_Age-D44)*(1+Slot16_Rate)^(Slot16_Age-D44),(1+Slot16_Rate)^(Slot16_Age-D44)*(1-((1+AS_Wage)/(1+Slot16_Rate))^(Slot16_Age-D44))/(1-(1+AS_Wage)/(1+Slot16_Rate))),1)</f>
        <v>1</v>
      </c>
      <c r="MW44" s="20" t="n">
        <f aca="false">IF(AND(HU44=1,IE44&gt;0,Slot16_IsWG=1,FR44=1),MAX(0,(Slot16_Cost-FS44*(1+Slot16_Rate)^(Slot16_Age-D44))/MV44),0)</f>
        <v>0</v>
      </c>
      <c r="MX44" s="20" t="n">
        <f aca="false">IF(AND(HU44=1,IE44&gt;0,Slot16_IsWG=1,FR44=1),MIN(IE44,MW44),0)</f>
        <v>0</v>
      </c>
      <c r="MY44" s="20" t="n">
        <f aca="false">FS44+MX44</f>
        <v>0</v>
      </c>
      <c r="MZ44" s="20" t="n">
        <f aca="false">IF(FR44=1,MAX(0,(Slot16_Cost-MY44*(1+Slot16_Rate)^(Slot16_Age-D44))/MV44),0)</f>
        <v>0</v>
      </c>
      <c r="NA44" s="20" t="n">
        <f aca="false">IF(FR44=1,MAX(0,(Slot16_Cost-FS44*(1+Slot16_Rate)^(Slot16_Age-D44))/MV44),0)</f>
        <v>0</v>
      </c>
      <c r="NB44" s="20" t="n">
        <f aca="false">IF(AND(HU44=1,FR44=1),MIN(MU44,MZ44),0)</f>
        <v>0</v>
      </c>
      <c r="NC44" s="20" t="n">
        <f aca="false">MU44-NB44</f>
        <v>0</v>
      </c>
      <c r="ND44" s="20" t="n">
        <f aca="false">IF(GB44=1,IF(ABS((1+AS_Wage)/(1+Slot17_Rate)-1)&lt;0.000000000001,(Slot17_Age-D44)*(1+Slot17_Rate)^(Slot17_Age-D44),(1+Slot17_Rate)^(Slot17_Age-D44)*(1-((1+AS_Wage)/(1+Slot17_Rate))^(Slot17_Age-D44))/(1-(1+AS_Wage)/(1+Slot17_Rate))),1)</f>
        <v>1</v>
      </c>
      <c r="NE44" s="20" t="n">
        <f aca="false">IF(AND(HU44=1,IE44&gt;0,Slot17_IsWG=1,GB44=1),MAX(0,(Slot17_Cost-GC44*(1+Slot17_Rate)^(Slot17_Age-D44))/ND44),0)</f>
        <v>0</v>
      </c>
      <c r="NF44" s="20" t="n">
        <f aca="false">IF(AND(HU44=1,IE44&gt;0,Slot17_IsWG=1,GB44=1),MIN(IE44,NE44),0)</f>
        <v>0</v>
      </c>
      <c r="NG44" s="20" t="n">
        <f aca="false">GC44+NF44</f>
        <v>0</v>
      </c>
      <c r="NH44" s="20" t="n">
        <f aca="false">IF(GB44=1,MAX(0,(Slot17_Cost-NG44*(1+Slot17_Rate)^(Slot17_Age-D44))/ND44),0)</f>
        <v>0</v>
      </c>
      <c r="NI44" s="20" t="n">
        <f aca="false">IF(GB44=1,MAX(0,(Slot17_Cost-GC44*(1+Slot17_Rate)^(Slot17_Age-D44))/ND44),0)</f>
        <v>0</v>
      </c>
      <c r="NJ44" s="20" t="n">
        <f aca="false">IF(AND(HU44=1,GB44=1),MIN(NC44,NH44),0)</f>
        <v>0</v>
      </c>
      <c r="NK44" s="20" t="n">
        <f aca="false">NC44-NJ44</f>
        <v>0</v>
      </c>
      <c r="NL44" s="20" t="n">
        <f aca="false">IF(GL44=1,IF(ABS((1+AS_Wage)/(1+Slot18_Rate)-1)&lt;0.000000000001,(Slot18_Age-D44)*(1+Slot18_Rate)^(Slot18_Age-D44),(1+Slot18_Rate)^(Slot18_Age-D44)*(1-((1+AS_Wage)/(1+Slot18_Rate))^(Slot18_Age-D44))/(1-(1+AS_Wage)/(1+Slot18_Rate))),1)</f>
        <v>1</v>
      </c>
      <c r="NM44" s="20" t="n">
        <f aca="false">IF(AND(HU44=1,IE44&gt;0,Slot18_IsWG=1,GL44=1),MAX(0,(Slot18_Cost-GM44*(1+Slot18_Rate)^(Slot18_Age-D44))/NL44),0)</f>
        <v>0</v>
      </c>
      <c r="NN44" s="20" t="n">
        <f aca="false">IF(AND(HU44=1,IE44&gt;0,Slot18_IsWG=1,GL44=1),MIN(IE44,NM44),0)</f>
        <v>0</v>
      </c>
      <c r="NO44" s="20" t="n">
        <f aca="false">GM44+NN44</f>
        <v>0</v>
      </c>
      <c r="NP44" s="20" t="n">
        <f aca="false">IF(GL44=1,MAX(0,(Slot18_Cost-NO44*(1+Slot18_Rate)^(Slot18_Age-D44))/NL44),0)</f>
        <v>0</v>
      </c>
      <c r="NQ44" s="20" t="n">
        <f aca="false">IF(GL44=1,MAX(0,(Slot18_Cost-GM44*(1+Slot18_Rate)^(Slot18_Age-D44))/NL44),0)</f>
        <v>0</v>
      </c>
      <c r="NR44" s="20" t="n">
        <f aca="false">IF(AND(HU44=1,GL44=1),MIN(NK44,NP44),0)</f>
        <v>0</v>
      </c>
      <c r="NS44" s="20" t="n">
        <f aca="false">NK44-NR44</f>
        <v>0</v>
      </c>
      <c r="NT44" s="20" t="n">
        <f aca="false">IF(GV44=1,IF(ABS((1+AS_Wage)/(1+Slot19_Rate)-1)&lt;0.000000000001,(Slot19_Age-D44)*(1+Slot19_Rate)^(Slot19_Age-D44),(1+Slot19_Rate)^(Slot19_Age-D44)*(1-((1+AS_Wage)/(1+Slot19_Rate))^(Slot19_Age-D44))/(1-(1+AS_Wage)/(1+Slot19_Rate))),1)</f>
        <v>1</v>
      </c>
      <c r="NU44" s="20" t="n">
        <f aca="false">IF(AND(HU44=1,IE44&gt;0,Slot19_IsWG=1,GV44=1),MAX(0,(Slot19_Cost-GW44*(1+Slot19_Rate)^(Slot19_Age-D44))/NT44),0)</f>
        <v>0</v>
      </c>
      <c r="NV44" s="20" t="n">
        <f aca="false">IF(AND(HU44=1,IE44&gt;0,Slot19_IsWG=1,GV44=1),MIN(IE44,NU44),0)</f>
        <v>0</v>
      </c>
      <c r="NW44" s="20" t="n">
        <f aca="false">GW44+NV44</f>
        <v>0</v>
      </c>
      <c r="NX44" s="20" t="n">
        <f aca="false">IF(GV44=1,MAX(0,(Slot19_Cost-NW44*(1+Slot19_Rate)^(Slot19_Age-D44))/NT44),0)</f>
        <v>0</v>
      </c>
      <c r="NY44" s="20" t="n">
        <f aca="false">IF(GV44=1,MAX(0,(Slot19_Cost-GW44*(1+Slot19_Rate)^(Slot19_Age-D44))/NT44),0)</f>
        <v>0</v>
      </c>
      <c r="NZ44" s="20" t="n">
        <f aca="false">IF(AND(HU44=1,GV44=1),MIN(NS44,NX44),0)</f>
        <v>0</v>
      </c>
      <c r="OA44" s="20" t="n">
        <f aca="false">NS44-NZ44</f>
        <v>0</v>
      </c>
      <c r="OB44" s="20" t="n">
        <f aca="false">IF(HF44=1,IF(ABS((1+AS_Wage)/(1+Slot20_Rate)-1)&lt;0.000000000001,(Slot20_Age-D44)*(1+Slot20_Rate)^(Slot20_Age-D44),(1+Slot20_Rate)^(Slot20_Age-D44)*(1-((1+AS_Wage)/(1+Slot20_Rate))^(Slot20_Age-D44))/(1-(1+AS_Wage)/(1+Slot20_Rate))),1)</f>
        <v>1</v>
      </c>
      <c r="OC44" s="20" t="n">
        <f aca="false">IF(AND(HU44=1,IE44&gt;0,Slot20_IsWG=1,HF44=1),MAX(0,(Slot20_Cost-HG44*(1+Slot20_Rate)^(Slot20_Age-D44))/OB44),0)</f>
        <v>0</v>
      </c>
      <c r="OD44" s="20" t="n">
        <f aca="false">IF(AND(HU44=1,IE44&gt;0,Slot20_IsWG=1,HF44=1),MIN(IE44,OC44),0)</f>
        <v>0</v>
      </c>
      <c r="OE44" s="20" t="n">
        <f aca="false">HG44+OD44</f>
        <v>0</v>
      </c>
      <c r="OF44" s="20" t="n">
        <f aca="false">IF(HF44=1,MAX(0,(Slot20_Cost-OE44*(1+Slot20_Rate)^(Slot20_Age-D44))/OB44),0)</f>
        <v>0</v>
      </c>
      <c r="OG44" s="20" t="n">
        <f aca="false">IF(HF44=1,MAX(0,(Slot20_Cost-HG44*(1+Slot20_Rate)^(Slot20_Age-D44))/OB44),0)</f>
        <v>0</v>
      </c>
      <c r="OH44" s="20" t="n">
        <f aca="false">IF(AND(HU44=1,HF44=1),MIN(OA44,OF44),0)</f>
        <v>0</v>
      </c>
      <c r="OI44" s="20" t="n">
        <f aca="false">OA44-OH44</f>
        <v>0</v>
      </c>
      <c r="OJ44" s="20" t="n">
        <f aca="false">IE44-(IH44+IP44+IX44+JF44+JN44+JV44+KD44+KL44+KT44+LB44+LJ44+LR44+LZ44+MH44+MP44+MX44+NF44+NN44+NV44+OD44)</f>
        <v>0</v>
      </c>
      <c r="OK44" s="20" t="n">
        <f aca="false">IF(HU44=1,HS44-ID44-IE44,0)</f>
        <v>0</v>
      </c>
      <c r="OL44" s="20" t="n">
        <f aca="false">IF(HU44=0,-HS44,0)</f>
        <v>22504.9029963136</v>
      </c>
      <c r="OM44" s="20" t="n">
        <f aca="false">MIN(OL44,HK44)</f>
        <v>22504.9029963136</v>
      </c>
      <c r="ON44" s="20" t="n">
        <f aca="false">OL44-OM44</f>
        <v>0</v>
      </c>
      <c r="OO44" s="20" t="n">
        <f aca="false">MIN(ON44,HL44)</f>
        <v>0</v>
      </c>
      <c r="OP44" s="20" t="n">
        <f aca="false">ON44-OO44</f>
        <v>0</v>
      </c>
      <c r="OQ44" s="20" t="n">
        <f aca="false">IF(AND(HU44=0,HF44=1,OP44&gt;0),MIN(OP44,HG44),0)</f>
        <v>0</v>
      </c>
      <c r="OR44" s="20" t="n">
        <f aca="false">OP44-OQ44</f>
        <v>0</v>
      </c>
      <c r="OS44" s="20" t="n">
        <f aca="false">IF(AND(HU44=0,GV44=1,OR44&gt;0),MIN(OR44,GW44),0)</f>
        <v>0</v>
      </c>
      <c r="OT44" s="20" t="n">
        <f aca="false">OR44-OS44</f>
        <v>0</v>
      </c>
      <c r="OU44" s="20" t="n">
        <f aca="false">IF(AND(HU44=0,GL44=1,OT44&gt;0),MIN(OT44,GM44),0)</f>
        <v>0</v>
      </c>
      <c r="OV44" s="20" t="n">
        <f aca="false">OT44-OU44</f>
        <v>0</v>
      </c>
      <c r="OW44" s="20" t="n">
        <f aca="false">IF(AND(HU44=0,GB44=1,OV44&gt;0),MIN(OV44,GC44),0)</f>
        <v>0</v>
      </c>
      <c r="OX44" s="20" t="n">
        <f aca="false">OV44-OW44</f>
        <v>0</v>
      </c>
      <c r="OY44" s="20" t="n">
        <f aca="false">IF(AND(HU44=0,FR44=1,OX44&gt;0),MIN(OX44,FS44),0)</f>
        <v>0</v>
      </c>
      <c r="OZ44" s="20" t="n">
        <f aca="false">OX44-OY44</f>
        <v>0</v>
      </c>
      <c r="PA44" s="20" t="n">
        <f aca="false">IF(AND(HU44=0,FH44=1,OZ44&gt;0),MIN(OZ44,FI44),0)</f>
        <v>0</v>
      </c>
      <c r="PB44" s="20" t="n">
        <f aca="false">OZ44-PA44</f>
        <v>0</v>
      </c>
      <c r="PC44" s="20" t="n">
        <f aca="false">IF(AND(HU44=0,EX44=1,PB44&gt;0),MIN(PB44,EY44),0)</f>
        <v>0</v>
      </c>
      <c r="PD44" s="20" t="n">
        <f aca="false">PB44-PC44</f>
        <v>0</v>
      </c>
      <c r="PE44" s="20" t="n">
        <f aca="false">IF(AND(HU44=0,EN44=1,PD44&gt;0),MIN(PD44,EO44),0)</f>
        <v>0</v>
      </c>
      <c r="PF44" s="20" t="n">
        <f aca="false">PD44-PE44</f>
        <v>0</v>
      </c>
      <c r="PG44" s="20" t="n">
        <f aca="false">IF(AND(HU44=0,ED44=1,PF44&gt;0),MIN(PF44,EE44),0)</f>
        <v>0</v>
      </c>
      <c r="PH44" s="20" t="n">
        <f aca="false">PF44-PG44</f>
        <v>0</v>
      </c>
      <c r="PI44" s="20" t="n">
        <f aca="false">IF(AND(HU44=0,DT44=1,PH44&gt;0),MIN(PH44,DU44),0)</f>
        <v>0</v>
      </c>
      <c r="PJ44" s="20" t="n">
        <f aca="false">PH44-PI44</f>
        <v>0</v>
      </c>
      <c r="PK44" s="20" t="n">
        <f aca="false">IF(AND(HU44=0,DJ44=1,PJ44&gt;0),MIN(PJ44,DK44),0)</f>
        <v>0</v>
      </c>
      <c r="PL44" s="20" t="n">
        <f aca="false">PJ44-PK44</f>
        <v>0</v>
      </c>
      <c r="PM44" s="20" t="n">
        <f aca="false">IF(AND(HU44=0,CZ44=1,PL44&gt;0),MIN(PL44,DA44),0)</f>
        <v>0</v>
      </c>
      <c r="PN44" s="20" t="n">
        <f aca="false">PL44-PM44</f>
        <v>0</v>
      </c>
      <c r="PO44" s="20" t="n">
        <f aca="false">IF(AND(HU44=0,CP44=1,PN44&gt;0),MIN(PN44,CQ44),0)</f>
        <v>0</v>
      </c>
      <c r="PP44" s="20" t="n">
        <f aca="false">PN44-PO44</f>
        <v>0</v>
      </c>
      <c r="PQ44" s="20" t="n">
        <f aca="false">IF(AND(HU44=0,CF44=1,PP44&gt;0),MIN(PP44,CG44),0)</f>
        <v>0</v>
      </c>
      <c r="PR44" s="20" t="n">
        <f aca="false">PP44-PQ44</f>
        <v>0</v>
      </c>
      <c r="PS44" s="20" t="n">
        <f aca="false">IF(AND(HU44=0,BV44=1,PR44&gt;0),MIN(PR44,BW44),0)</f>
        <v>0</v>
      </c>
      <c r="PT44" s="20" t="n">
        <f aca="false">PR44-PS44</f>
        <v>0</v>
      </c>
      <c r="PU44" s="20" t="n">
        <f aca="false">IF(AND(HU44=0,BL44=1,PT44&gt;0),MIN(PT44,BM44),0)</f>
        <v>0</v>
      </c>
      <c r="PV44" s="20" t="n">
        <f aca="false">PT44-PU44</f>
        <v>0</v>
      </c>
      <c r="PW44" s="20" t="n">
        <f aca="false">IF(AND(HU44=0,BB44=1,PV44&gt;0),MIN(PV44,BC44),0)</f>
        <v>0</v>
      </c>
      <c r="PX44" s="20" t="n">
        <f aca="false">PV44-PW44</f>
        <v>0</v>
      </c>
      <c r="PY44" s="20" t="n">
        <f aca="false">IF(AND(HU44=0,AR44=1,PX44&gt;0),MIN(PX44,AS44),0)</f>
        <v>0</v>
      </c>
      <c r="PZ44" s="20" t="n">
        <f aca="false">PX44-PY44</f>
        <v>0</v>
      </c>
      <c r="QA44" s="20" t="n">
        <f aca="false">IF(AND(HU44=0,AH44=1,PZ44&gt;0),MIN(PZ44,AI44),0)</f>
        <v>0</v>
      </c>
      <c r="QB44" s="20" t="n">
        <f aca="false">PZ44-QA44</f>
        <v>0</v>
      </c>
      <c r="QC44" s="20" t="n">
        <f aca="false">IF(AND(HU44=0,W44=1,QB44&gt;0),MIN(QB44,X44),0)</f>
        <v>0</v>
      </c>
      <c r="QD44" s="20" t="n">
        <f aca="false">QB44-QC44</f>
        <v>0</v>
      </c>
      <c r="QE44" s="20" t="n">
        <f aca="false">IF(HU44=0,QD44,0)</f>
        <v>0</v>
      </c>
      <c r="QF44" s="20" t="n">
        <f aca="false">OM44+OO44+QC44+QA44+PY44+PW44+PU44+PS44+PQ44+PO44+PM44+PK44+PI44+PG44+PE44+PC44+PA44+OY44+OW44+OU44+OS44+OQ44</f>
        <v>22504.9029963136</v>
      </c>
      <c r="QG44" s="20" t="n">
        <f aca="false">IF(HU44=1,HK44+OJ44+OI44+IF(G44=1,0,OK44),HK44-OM44)</f>
        <v>55720.5360072432</v>
      </c>
      <c r="QH44" s="20" t="n">
        <f aca="false">HL44-OO44</f>
        <v>15959.1402027817</v>
      </c>
      <c r="QI44" s="20" t="n">
        <f aca="false">IF(HU44=1,IF(G44=1,ID44+IE44,HS44),0)</f>
        <v>0</v>
      </c>
      <c r="QJ44" s="20" t="n">
        <f aca="false">IF(HU44=1,IF(G44=1,HS44-ID44-IE44,0),0)</f>
        <v>0</v>
      </c>
      <c r="QK44" s="57" t="n">
        <f aca="false">'Plan holdings'!BM44</f>
        <v>60404.0791016314</v>
      </c>
      <c r="QL44" s="20" t="n">
        <f aca="false">QH44*(1+AS_Cash)</f>
        <v>16118.7316048095</v>
      </c>
      <c r="QM44" s="20" t="n">
        <f aca="false">IF(W44=1,IF(HU44=1,II44+IL44,X44-QC44)*(1+Slot1_Rate),0)</f>
        <v>0</v>
      </c>
      <c r="QN44" s="20" t="n">
        <f aca="false">IF(AND(HU44=1,W44=1),(IH44+IL44)/F44,0)</f>
        <v>0</v>
      </c>
      <c r="QO44" s="20" t="n">
        <f aca="false">IF(B44=0,IH44+IL44,0)</f>
        <v>0</v>
      </c>
      <c r="QP44" s="20" t="n">
        <f aca="false">IF(B44=0,IF(HU44=1,IJ44,IK44),0)</f>
        <v>0</v>
      </c>
      <c r="QQ44" s="20" t="n">
        <f aca="false">IF(AH44=1,IF(HU44=1,IQ44+IT44,AI44-QA44)*(1+Slot2_Rate),0)</f>
        <v>0</v>
      </c>
      <c r="QR44" s="20" t="n">
        <f aca="false">IF(AND(HU44=1,AH44=1),(IP44+IT44)/F44,0)</f>
        <v>0</v>
      </c>
      <c r="QS44" s="20" t="n">
        <f aca="false">IF(B44=0,IP44+IT44,0)</f>
        <v>0</v>
      </c>
      <c r="QT44" s="20" t="n">
        <f aca="false">IF(B44=0,IF(HU44=1,IR44,IS44),0)</f>
        <v>0</v>
      </c>
      <c r="QU44" s="20" t="n">
        <f aca="false">IF(AR44=1,IF(HU44=1,IY44+JB44,AS44-PY44)*(1+Slot3_Rate),0)</f>
        <v>0</v>
      </c>
      <c r="QV44" s="20" t="n">
        <f aca="false">IF(AND(HU44=1,AR44=1),(IX44+JB44)/F44,0)</f>
        <v>0</v>
      </c>
      <c r="QW44" s="20" t="n">
        <f aca="false">IF(B44=0,IX44+JB44,0)</f>
        <v>0</v>
      </c>
      <c r="QX44" s="20" t="n">
        <f aca="false">IF(B44=0,IF(HU44=1,IZ44,JA44),0)</f>
        <v>0</v>
      </c>
      <c r="QY44" s="20" t="n">
        <f aca="false">IF(BB44=1,IF(HU44=1,JG44+JJ44,BC44-PW44)*(1+Slot4_Rate),0)</f>
        <v>0</v>
      </c>
      <c r="QZ44" s="20" t="n">
        <f aca="false">IF(AND(HU44=1,BB44=1),(JF44+JJ44)/F44,0)</f>
        <v>0</v>
      </c>
      <c r="RA44" s="20" t="n">
        <f aca="false">IF(B44=0,JF44+JJ44,0)</f>
        <v>0</v>
      </c>
      <c r="RB44" s="20" t="n">
        <f aca="false">IF(B44=0,IF(HU44=1,JH44,JI44),0)</f>
        <v>0</v>
      </c>
      <c r="RC44" s="20" t="n">
        <f aca="false">IF(BL44=1,IF(HU44=1,JO44+JR44,BM44-PU44)*(1+Slot5_Rate),0)</f>
        <v>0</v>
      </c>
      <c r="RD44" s="20" t="n">
        <f aca="false">IF(AND(HU44=1,BL44=1),(JN44+JR44)/F44,0)</f>
        <v>0</v>
      </c>
      <c r="RE44" s="20" t="n">
        <f aca="false">IF(B44=0,JN44+JR44,0)</f>
        <v>0</v>
      </c>
      <c r="RF44" s="20" t="n">
        <f aca="false">IF(B44=0,IF(HU44=1,JP44,JQ44),0)</f>
        <v>0</v>
      </c>
      <c r="RG44" s="20" t="n">
        <f aca="false">IF(BV44=1,IF(HU44=1,JW44+JZ44,BW44-PS44)*(1+Slot6_Rate),0)</f>
        <v>0</v>
      </c>
      <c r="RH44" s="20" t="n">
        <f aca="false">IF(AND(HU44=1,BV44=1),(JV44+JZ44)/F44,0)</f>
        <v>0</v>
      </c>
      <c r="RI44" s="20" t="n">
        <f aca="false">IF(B44=0,JV44+JZ44,0)</f>
        <v>0</v>
      </c>
      <c r="RJ44" s="20" t="n">
        <f aca="false">IF(B44=0,IF(HU44=1,JX44,JY44),0)</f>
        <v>0</v>
      </c>
      <c r="RK44" s="20" t="n">
        <f aca="false">IF(CF44=1,IF(HU44=1,KE44+KH44,CG44-PQ44)*(1+Slot7_Rate),0)</f>
        <v>0</v>
      </c>
      <c r="RL44" s="20" t="n">
        <f aca="false">IF(AND(HU44=1,CF44=1),(KD44+KH44)/F44,0)</f>
        <v>0</v>
      </c>
      <c r="RM44" s="20" t="n">
        <f aca="false">IF(B44=0,KD44+KH44,0)</f>
        <v>0</v>
      </c>
      <c r="RN44" s="20" t="n">
        <f aca="false">IF(B44=0,IF(HU44=1,KF44,KG44),0)</f>
        <v>0</v>
      </c>
      <c r="RO44" s="20" t="n">
        <f aca="false">IF(CP44=1,IF(HU44=1,KM44+KP44,CQ44-PO44)*(1+Slot8_Rate),0)</f>
        <v>0</v>
      </c>
      <c r="RP44" s="20" t="n">
        <f aca="false">IF(AND(HU44=1,CP44=1),(KL44+KP44)/F44,0)</f>
        <v>0</v>
      </c>
      <c r="RQ44" s="20" t="n">
        <f aca="false">IF(B44=0,KL44+KP44,0)</f>
        <v>0</v>
      </c>
      <c r="RR44" s="20" t="n">
        <f aca="false">IF(B44=0,IF(HU44=1,KN44,KO44),0)</f>
        <v>0</v>
      </c>
      <c r="RS44" s="20" t="n">
        <f aca="false">IF(CZ44=1,IF(HU44=1,KU44+KX44,DA44-PM44)*(1+Slot9_Rate),0)</f>
        <v>0</v>
      </c>
      <c r="RT44" s="20" t="n">
        <f aca="false">IF(AND(HU44=1,CZ44=1),(KT44+KX44)/F44,0)</f>
        <v>0</v>
      </c>
      <c r="RU44" s="20" t="n">
        <f aca="false">IF(B44=0,KT44+KX44,0)</f>
        <v>0</v>
      </c>
      <c r="RV44" s="20" t="n">
        <f aca="false">IF(B44=0,IF(HU44=1,KV44,KW44),0)</f>
        <v>0</v>
      </c>
      <c r="RW44" s="20" t="n">
        <f aca="false">IF(DJ44=1,IF(HU44=1,LC44+LF44,DK44-PK44)*(1+Slot10_Rate),0)</f>
        <v>0</v>
      </c>
      <c r="RX44" s="20" t="n">
        <f aca="false">IF(AND(HU44=1,DJ44=1),(LB44+LF44)/F44,0)</f>
        <v>0</v>
      </c>
      <c r="RY44" s="20" t="n">
        <f aca="false">IF(B44=0,LB44+LF44,0)</f>
        <v>0</v>
      </c>
      <c r="RZ44" s="20" t="n">
        <f aca="false">IF(B44=0,IF(HU44=1,LD44,LE44),0)</f>
        <v>0</v>
      </c>
      <c r="SA44" s="20" t="n">
        <f aca="false">IF(DT44=1,IF(HU44=1,LK44+LN44,DU44-PI44)*(1+Slot11_Rate),0)</f>
        <v>0</v>
      </c>
      <c r="SB44" s="20" t="n">
        <f aca="false">IF(AND(HU44=1,DT44=1),(LJ44+LN44)/F44,0)</f>
        <v>0</v>
      </c>
      <c r="SC44" s="20" t="n">
        <f aca="false">IF(B44=0,LJ44+LN44,0)</f>
        <v>0</v>
      </c>
      <c r="SD44" s="20" t="n">
        <f aca="false">IF(B44=0,IF(HU44=1,LL44,LM44),0)</f>
        <v>0</v>
      </c>
      <c r="SE44" s="20" t="n">
        <f aca="false">IF(ED44=1,IF(HU44=1,LS44+LV44,EE44-PG44)*(1+Slot12_Rate),0)</f>
        <v>0</v>
      </c>
      <c r="SF44" s="20" t="n">
        <f aca="false">IF(AND(HU44=1,ED44=1),(LR44+LV44)/F44,0)</f>
        <v>0</v>
      </c>
      <c r="SG44" s="20" t="n">
        <f aca="false">IF(B44=0,LR44+LV44,0)</f>
        <v>0</v>
      </c>
      <c r="SH44" s="20" t="n">
        <f aca="false">IF(B44=0,IF(HU44=1,LT44,LU44),0)</f>
        <v>0</v>
      </c>
      <c r="SI44" s="20" t="n">
        <f aca="false">IF(EN44=1,IF(HU44=1,MA44+MD44,EO44-PE44)*(1+Slot13_Rate),0)</f>
        <v>0</v>
      </c>
      <c r="SJ44" s="20" t="n">
        <f aca="false">IF(AND(HU44=1,EN44=1),(LZ44+MD44)/F44,0)</f>
        <v>0</v>
      </c>
      <c r="SK44" s="20" t="n">
        <f aca="false">IF(B44=0,LZ44+MD44,0)</f>
        <v>0</v>
      </c>
      <c r="SL44" s="20" t="n">
        <f aca="false">IF(B44=0,IF(HU44=1,MB44,MC44),0)</f>
        <v>0</v>
      </c>
      <c r="SM44" s="20" t="n">
        <f aca="false">IF(EX44=1,IF(HU44=1,MI44+ML44,EY44-PC44)*(1+Slot14_Rate),0)</f>
        <v>0</v>
      </c>
      <c r="SN44" s="20" t="n">
        <f aca="false">IF(AND(HU44=1,EX44=1),(MH44+ML44)/F44,0)</f>
        <v>0</v>
      </c>
      <c r="SO44" s="20" t="n">
        <f aca="false">IF(B44=0,MH44+ML44,0)</f>
        <v>0</v>
      </c>
      <c r="SP44" s="20" t="n">
        <f aca="false">IF(B44=0,IF(HU44=1,MJ44,MK44),0)</f>
        <v>0</v>
      </c>
      <c r="SQ44" s="20" t="n">
        <f aca="false">IF(FH44=1,IF(HU44=1,MQ44+MT44,FI44-PA44)*(1+Slot15_Rate),0)</f>
        <v>0</v>
      </c>
      <c r="SR44" s="20" t="n">
        <f aca="false">IF(AND(HU44=1,FH44=1),(MP44+MT44)/F44,0)</f>
        <v>0</v>
      </c>
      <c r="SS44" s="20" t="n">
        <f aca="false">IF(B44=0,MP44+MT44,0)</f>
        <v>0</v>
      </c>
      <c r="ST44" s="20" t="n">
        <f aca="false">IF(B44=0,IF(HU44=1,MR44,MS44),0)</f>
        <v>0</v>
      </c>
      <c r="SU44" s="20" t="n">
        <f aca="false">IF(FR44=1,IF(HU44=1,MY44+NB44,FS44-OY44)*(1+Slot16_Rate),0)</f>
        <v>0</v>
      </c>
      <c r="SV44" s="20" t="n">
        <f aca="false">IF(AND(HU44=1,FR44=1),(MX44+NB44)/F44,0)</f>
        <v>0</v>
      </c>
      <c r="SW44" s="20" t="n">
        <f aca="false">IF(B44=0,MX44+NB44,0)</f>
        <v>0</v>
      </c>
      <c r="SX44" s="20" t="n">
        <f aca="false">IF(B44=0,IF(HU44=1,MZ44,NA44),0)</f>
        <v>0</v>
      </c>
      <c r="SY44" s="20" t="n">
        <f aca="false">IF(GB44=1,IF(HU44=1,NG44+NJ44,GC44-OW44)*(1+Slot17_Rate),0)</f>
        <v>0</v>
      </c>
      <c r="SZ44" s="20" t="n">
        <f aca="false">IF(AND(HU44=1,GB44=1),(NF44+NJ44)/F44,0)</f>
        <v>0</v>
      </c>
      <c r="TA44" s="20" t="n">
        <f aca="false">IF(B44=0,NF44+NJ44,0)</f>
        <v>0</v>
      </c>
      <c r="TB44" s="20" t="n">
        <f aca="false">IF(B44=0,IF(HU44=1,NH44,NI44),0)</f>
        <v>0</v>
      </c>
      <c r="TC44" s="20" t="n">
        <f aca="false">IF(GL44=1,IF(HU44=1,NO44+NR44,GM44-OU44)*(1+Slot18_Rate),0)</f>
        <v>0</v>
      </c>
      <c r="TD44" s="20" t="n">
        <f aca="false">IF(AND(HU44=1,GL44=1),(NN44+NR44)/F44,0)</f>
        <v>0</v>
      </c>
      <c r="TE44" s="20" t="n">
        <f aca="false">IF(B44=0,NN44+NR44,0)</f>
        <v>0</v>
      </c>
      <c r="TF44" s="20" t="n">
        <f aca="false">IF(B44=0,IF(HU44=1,NP44,NQ44),0)</f>
        <v>0</v>
      </c>
      <c r="TG44" s="20" t="n">
        <f aca="false">IF(GV44=1,IF(HU44=1,NW44+NZ44,GW44-OS44)*(1+Slot19_Rate),0)</f>
        <v>0</v>
      </c>
      <c r="TH44" s="20" t="n">
        <f aca="false">IF(AND(HU44=1,GV44=1),(NV44+NZ44)/F44,0)</f>
        <v>0</v>
      </c>
      <c r="TI44" s="20" t="n">
        <f aca="false">IF(B44=0,NV44+NZ44,0)</f>
        <v>0</v>
      </c>
      <c r="TJ44" s="20" t="n">
        <f aca="false">IF(B44=0,IF(HU44=1,NX44,NY44),0)</f>
        <v>0</v>
      </c>
      <c r="TK44" s="20" t="n">
        <f aca="false">IF(HF44=1,IF(HU44=1,OE44+OH44,HG44-OQ44)*(1+Slot20_Rate),0)</f>
        <v>0</v>
      </c>
      <c r="TL44" s="20" t="n">
        <f aca="false">IF(AND(HU44=1,HF44=1),(OD44+OH44)/F44,0)</f>
        <v>0</v>
      </c>
      <c r="TM44" s="20" t="n">
        <f aca="false">IF(B44=0,OD44+OH44,0)</f>
        <v>0</v>
      </c>
      <c r="TN44" s="20" t="n">
        <f aca="false">IF(B44=0,IF(HU44=1,OF44,OG44),0)</f>
        <v>0</v>
      </c>
      <c r="TO44" s="20" t="n">
        <f aca="false">QK44+QL44+QM44+QQ44+QU44+QY44+RC44+RG44+RK44+RO44+RS44+RW44+SA44+SE44+SI44+SM44+SQ44+SU44+SY44+TC44+TG44+TK44</f>
        <v>76522.8107064409</v>
      </c>
      <c r="TP44" s="20" t="n">
        <f aca="false">QE44+HP44</f>
        <v>0</v>
      </c>
      <c r="TQ44" s="20" t="n">
        <f aca="false">I44+S44</f>
        <v>97506.6150296107</v>
      </c>
      <c r="TR44" s="20" t="n">
        <f aca="false">1-G44</f>
        <v>1</v>
      </c>
      <c r="TS44" s="20" t="n">
        <f aca="false">IF(AND(RG_Exists=1,G44=0,C44=1),I44,0)</f>
        <v>97506.6150296107</v>
      </c>
      <c r="TT44" s="20" t="n">
        <f aca="false">IF(AND(RG_Exists=1,G44=0,C44=1),I44-MIN(QE44,I44),0)</f>
        <v>97506.6150296107</v>
      </c>
      <c r="TU44" s="20" t="n">
        <f aca="false">'Plan pay &amp; tax'!AD270</f>
        <v>380838.179365212</v>
      </c>
      <c r="TV44" s="20" t="n">
        <f aca="false">IF(AND(C44=1,QE44&gt;MAX(PR_Short1,TQ44*PR_Short2)),1,0)</f>
        <v>0</v>
      </c>
      <c r="TW44" s="20" t="n">
        <f aca="false">MIN(H44,I44+S44)</f>
        <v>75001.7120332972</v>
      </c>
      <c r="TX44" s="20" t="n">
        <f aca="false">QF44+MAX(0,HQ44-HP44)</f>
        <v>22504.9029963136</v>
      </c>
      <c r="TY44" s="20" t="n">
        <f aca="false">QE44+HP44</f>
        <v>0</v>
      </c>
      <c r="TZ44" s="20" t="n">
        <f aca="false">IF(AND(C44=1,TY44&gt;PR_MinShort),1,0)</f>
        <v>0</v>
      </c>
      <c r="UA44" s="20" t="n">
        <f aca="false">IF(AND(C44=1,TZ44=0,TX44&gt;PR_MinShort),1,0)</f>
        <v>1</v>
      </c>
      <c r="UB44" s="20" t="n">
        <f aca="false">IF(AND(C44=1,QE44&gt;PR_MinShort),1,0)</f>
        <v>0</v>
      </c>
      <c r="UC44" s="20" t="n">
        <f aca="false">IF(AND(C44=1,QF44&gt;1,UJ44=0),1,0)</f>
        <v>1</v>
      </c>
      <c r="UD44" s="20" t="str">
        <f aca="false">IF(C44=0,"",IF(UJ44=1,"Gap to plan for: short "&amp;"€"&amp;TEXT(ROUND(TP44,0),"#,##0"),IF(QF44&gt;1,"Using savings","Comfortable")))</f>
        <v>Using savings</v>
      </c>
      <c r="UE44" s="20" t="n">
        <f aca="false">IF(AND(INT(D44/10)*10=90,B44&gt;0),80,INT(D44/10)*10)</f>
        <v>70</v>
      </c>
      <c r="UF44" s="20" t="n">
        <f aca="false">IF(B44=0,1,IF(UE44&lt;&gt;UE43,UF43+1,UF43))</f>
        <v>5</v>
      </c>
      <c r="UG44" s="20" t="n">
        <f aca="false">IF(AND(C44=1,G44=1,QE44&gt;MAX(PR_Short1,TQ44*PR_Short2)),1,0)</f>
        <v>0</v>
      </c>
      <c r="UH44" s="20" t="n">
        <f aca="false">TR44*TV44</f>
        <v>0</v>
      </c>
      <c r="UI44" s="20" t="n">
        <f aca="false">IF(AND(V44=1,Slot1_PctLow=1),1,0)+IF(AND(AG44=1,Slot2_PctLow=1),1,0)+IF(AND(AQ44=1,Slot3_PctLow=1),1,0)+IF(AND(BA44=1,Slot4_PctLow=1),1,0)+IF(AND(BK44=1,Slot5_PctLow=1),1,0)+IF(AND(BU44=1,Slot6_PctLow=1),1,0)+IF(AND(CE44=1,Slot7_PctLow=1),1,0)+IF(AND(CO44=1,Slot8_PctLow=1),1,0)+IF(AND(CY44=1,Slot9_PctLow=1),1,0)+IF(AND(DI44=1,Slot10_PctLow=1),1,0)+IF(AND(DS44=1,Slot11_PctLow=1),1,0)+IF(AND(EC44=1,Slot12_PctLow=1),1,0)+IF(AND(EM44=1,Slot13_PctLow=1),1,0)+IF(AND(EW44=1,Slot14_PctLow=1),1,0)+IF(AND(FG44=1,Slot15_PctLow=1),1,0)+IF(AND(FQ44=1,Slot16_PctLow=1),1,0)+IF(AND(GA44=1,Slot17_PctLow=1),1,0)+IF(AND(GK44=1,Slot18_PctLow=1),1,0)+IF(AND(GU44=1,Slot19_PctLow=1),1,0)+IF(AND(HE44=1,Slot20_PctLow=1),1,0)</f>
        <v>0</v>
      </c>
      <c r="UJ44" s="20" t="n">
        <f aca="false">IF(C44=1,IF(OR(TV44=1,UI44&gt;0),1,0),0)</f>
        <v>0</v>
      </c>
      <c r="UK44" s="20" t="n">
        <f aca="false">Z44+AK44+AU44+BE44+BO44+BY44+CI44+CS44+DC44+DM44+DW44+EG44+EQ44+FA44+FK44+FU44+GE44+GO44+GY44+HI44+OM44</f>
        <v>22504.9029963136</v>
      </c>
      <c r="UL44" s="20" t="n">
        <f aca="false">V44*IF(Slot1_SpendLike=1,X44-Y44,IF(Slot1_PotFree=1,X44,0))+AG44*IF(Slot2_SpendLike=1,AI44-AJ44,IF(Slot2_PotFree=1,AI44,0))+AQ44*IF(Slot3_SpendLike=1,AS44-AT44,IF(Slot3_PotFree=1,AS44,0))+BA44*IF(Slot4_SpendLike=1,BC44-BD44,IF(Slot4_PotFree=1,BC44,0))+BK44*IF(Slot5_SpendLike=1,BM44-BN44,IF(Slot5_PotFree=1,BM44,0))+BU44*IF(Slot6_SpendLike=1,BW44-BX44,IF(Slot6_PotFree=1,BW44,0))+CE44*IF(Slot7_SpendLike=1,CG44-CH44,IF(Slot7_PotFree=1,CG44,0))+CO44*IF(Slot8_SpendLike=1,CQ44-CR44,IF(Slot8_PotFree=1,CQ44,0))+CY44*IF(Slot9_SpendLike=1,DA44-DB44,IF(Slot9_PotFree=1,DA44,0))+DI44*IF(Slot10_SpendLike=1,DK44-DL44,IF(Slot10_PotFree=1,DK44,0))+DS44*IF(Slot11_SpendLike=1,DU44-DV44,IF(Slot11_PotFree=1,DU44,0))+EC44*IF(Slot12_SpendLike=1,EE44-EF44,IF(Slot12_PotFree=1,EE44,0))+EM44*IF(Slot13_SpendLike=1,EO44-EP44,IF(Slot13_PotFree=1,EO44,0))+EW44*IF(Slot14_SpendLike=1,EY44-EZ44,IF(Slot14_PotFree=1,EY44,0))+FG44*IF(Slot15_SpendLike=1,FI44-FJ44,IF(Slot15_PotFree=1,FI44,0))+FQ44*IF(Slot16_SpendLike=1,FS44-FT44,IF(Slot16_PotFree=1,FS44,0))+GA44*IF(Slot17_SpendLike=1,GC44-GD44,IF(Slot17_PotFree=1,GC44,0))+GK44*IF(Slot18_SpendLike=1,GM44-GN44,IF(Slot18_PotFree=1,GM44,0))+GU44*IF(Slot19_SpendLike=1,GW44-GX44,IF(Slot19_PotFree=1,GW44,0))+HE44*IF(Slot20_SpendLike=1,HG44-HH44,IF(Slot20_PotFree=1,HG44,0))</f>
        <v>0</v>
      </c>
      <c r="UM44" s="20" t="n">
        <f aca="false">QG44-T44+UK44-UL44</f>
        <v>0</v>
      </c>
      <c r="UN44" s="20" t="n">
        <f aca="false">IF(OR(UN43=1,AND(In_homeUse="Yes, I'd downsize",In_downAge&gt;0,D44=In_downAge,OR(In_home="Own outright",In_home="Own with mortgage"),In_homeValue&gt;0)),1,0)</f>
        <v>0</v>
      </c>
    </row>
    <row r="45" customFormat="false" ht="15" hidden="false" customHeight="true" outlineLevel="0" collapsed="false">
      <c r="B45" s="20" t="n">
        <v>37</v>
      </c>
      <c r="C45" s="20" t="n">
        <f aca="false">IF(B45&lt;=F_N,1,0)</f>
        <v>1</v>
      </c>
      <c r="D45" s="20" t="n">
        <f aca="false">'Plan pay &amp; tax'!C271</f>
        <v>75</v>
      </c>
      <c r="E45" s="20" t="str">
        <f aca="false">IF($C45=1,"Income tax "&amp;TEXT(N('Plan pay &amp; tax'!BK271),"#,##0")&amp;"; USC "&amp;TEXT(N('Plan pay &amp; tax'!BM271)+N('Plan pay &amp; tax'!BO271),"#,##0")&amp;"; PRSI "&amp;TEXT(N('Plan pay &amp; tax'!BP271)+N('Plan pay &amp; tax'!BQ271),"#,##0")&amp;IF(N('Plan holdings'!BO45)&gt;=0.5,"; DIRT "&amp;TEXT(('Plan holdings'!BO45)/$F45,"#,##0")&amp;" (already taken from the interest earned)","")&amp;IF(N('Plan holdings'!BP45)&gt;=0.5,"; exit tax at an 8-year anniversary "&amp;TEXT(('Plan holdings'!BP45)/$F45,"#,##0"),"")&amp;IF(N('Plan holdings'!BN45)&gt;=0.5,"; tax on assets sold (exit tax or capital gains tax) "&amp;TEXT(('Plan holdings'!BN45)/$F45,"#,##0"),"")&amp;IF(N('Plan pay &amp; tax'!X271)-N('Plan pay &amp; tax'!Y271)&gt;=0.5,"; tax on the pension lump sum "&amp;TEXT(('Plan pay &amp; tax'!X271-'Plan pay &amp; tax'!Y271)/$F45,"#,##0"),"")&amp;IF(N('Plan pay &amp; tax'!V271)&gt;=0.5,"; chargeable excess tax on the pension "&amp;TEXT(('Plan pay &amp; tax'!V271)/$F45,"#,##0"),"")&amp;".","")</f>
        <v>Income tax 698; USC 0; PRSI 0; DIRT 38 (already taken from the interest earned); tax on assets sold (exit tax or capital gains tax) 662.</v>
      </c>
      <c r="F45" s="50" t="n">
        <f aca="false">'Plan pay &amp; tax'!E271</f>
        <v>2.08068509059002</v>
      </c>
      <c r="G45" s="20" t="n">
        <f aca="false">'Plan pay &amp; tax'!G271</f>
        <v>0</v>
      </c>
      <c r="H45" s="20" t="n">
        <f aca="false">'Plan pay &amp; tax'!BT271-'Plan pay &amp; tax'!BS271-'Plan pay &amp; tax'!R271</f>
        <v>75878.7561456141</v>
      </c>
      <c r="I45" s="20" t="n">
        <f aca="false">IF(G45=1,F_CostsM*12,IF(RG_Exists=1,RG_Amount,F_CostsM*12*AS_RetireSpend))*F45+F_OneOffY*F45</f>
        <v>99456.7473302029</v>
      </c>
      <c r="J45" s="20" t="n">
        <f aca="false">IF(UN45=1,0,HR44)</f>
        <v>0</v>
      </c>
      <c r="K45" s="20" t="n">
        <f aca="false">IF(J45&gt;1,'Plan debt months'!AC45,0)</f>
        <v>0</v>
      </c>
      <c r="L45" s="20" t="n">
        <f aca="false">IF(J45&gt;1,'Plan debt months'!AB45,J45)</f>
        <v>0</v>
      </c>
      <c r="M45" s="20" t="n">
        <f aca="false">O44</f>
        <v>0</v>
      </c>
      <c r="N45" s="20" t="n">
        <f aca="false">IF(M45&gt;1,'Plan debt months'!BD45,0)</f>
        <v>0</v>
      </c>
      <c r="O45" s="20" t="n">
        <f aca="false">IF(M45&gt;1,'Plan debt months'!BC45,M45)</f>
        <v>0</v>
      </c>
      <c r="P45" s="20" t="n">
        <f aca="false">R44</f>
        <v>0</v>
      </c>
      <c r="Q45" s="20" t="n">
        <f aca="false">IF(P45&gt;1,'Plan debt months'!CE45,0)</f>
        <v>0</v>
      </c>
      <c r="R45" s="20" t="n">
        <f aca="false">IF(P45&gt;1,'Plan debt months'!CD45,P45)</f>
        <v>0</v>
      </c>
      <c r="S45" s="20" t="n">
        <f aca="false">K45+N45+Q45</f>
        <v>0</v>
      </c>
      <c r="T45" s="57" t="n">
        <f aca="false">'Plan holdings'!Y45</f>
        <v>57160.940970436</v>
      </c>
      <c r="U45" s="57" t="n">
        <f aca="false">'Plan holdings'!BM44</f>
        <v>60404.0791016314</v>
      </c>
      <c r="V45" s="20" t="n">
        <f aca="false">IF(AND(Slot1_On=1,D45=Slot1_Age),1,0)</f>
        <v>0</v>
      </c>
      <c r="W45" s="20" t="n">
        <f aca="false">IF(AND(Slot1_On=1,Slot1_Age&gt;D45),1,0)</f>
        <v>0</v>
      </c>
      <c r="X45" s="20" t="n">
        <f aca="false">QM44</f>
        <v>0</v>
      </c>
      <c r="Y45" s="20" t="n">
        <f aca="false">V45*MIN(Slot1_Cost,X45)</f>
        <v>0</v>
      </c>
      <c r="Z45" s="20" t="n">
        <f aca="false">V45*Slot1_SpendLike*MIN(Slot1_Cost-Y45,T45)</f>
        <v>0</v>
      </c>
      <c r="AA45" s="20" t="n">
        <f aca="false">Y45+Z45</f>
        <v>0</v>
      </c>
      <c r="AB45" s="20" t="n">
        <f aca="false">T45-Z45+V45*IF(Slot1_SpendLike=1,X45-Y45,IF(Slot1_PotFree=1,X45,0))</f>
        <v>57160.940970436</v>
      </c>
      <c r="AC45" s="20" t="n">
        <f aca="false">AF45+V45*Slot1_BufPot*X45</f>
        <v>16118.7316048095</v>
      </c>
      <c r="AD45" s="20" t="n">
        <f aca="false">IF(AND(V45=1,Slot1_IsMfree=1),IF(AA45&gt;=Slot1_Cost-1,0,MAX(0,L45-AA45)),L45)</f>
        <v>0</v>
      </c>
      <c r="AE45" s="20" t="n">
        <f aca="false">V45*(Slot1_Cost-AA45)</f>
        <v>0</v>
      </c>
      <c r="AF45" s="20" t="n">
        <f aca="false">QL44</f>
        <v>16118.7316048095</v>
      </c>
      <c r="AG45" s="20" t="n">
        <f aca="false">IF(AND(Slot2_On=1,D45=Slot2_Age),1,0)</f>
        <v>0</v>
      </c>
      <c r="AH45" s="20" t="n">
        <f aca="false">IF(AND(Slot2_On=1,Slot2_Age&gt;D45),1,0)</f>
        <v>0</v>
      </c>
      <c r="AI45" s="20" t="n">
        <f aca="false">QQ44</f>
        <v>0</v>
      </c>
      <c r="AJ45" s="20" t="n">
        <f aca="false">AG45*MIN(Slot2_Cost,AI45)</f>
        <v>0</v>
      </c>
      <c r="AK45" s="20" t="n">
        <f aca="false">AG45*Slot2_SpendLike*MIN(Slot2_Cost-AJ45,AB45)</f>
        <v>0</v>
      </c>
      <c r="AL45" s="20" t="n">
        <f aca="false">AJ45+AK45</f>
        <v>0</v>
      </c>
      <c r="AM45" s="20" t="n">
        <f aca="false">AB45-AK45+AG45*IF(Slot2_SpendLike=1,AI45-AJ45,IF(Slot2_PotFree=1,AI45,0))</f>
        <v>57160.940970436</v>
      </c>
      <c r="AN45" s="20" t="n">
        <f aca="false">AC45+AG45*Slot2_BufPot*AI45</f>
        <v>16118.7316048095</v>
      </c>
      <c r="AO45" s="20" t="n">
        <f aca="false">IF(AND(AG45=1,Slot2_IsMfree=1),IF(AL45&gt;=Slot2_Cost-1,0,MAX(0,AD45-AL45)),AD45)</f>
        <v>0</v>
      </c>
      <c r="AP45" s="20" t="n">
        <f aca="false">AG45*(Slot2_Cost-AL45)</f>
        <v>0</v>
      </c>
      <c r="AQ45" s="20" t="n">
        <f aca="false">IF(AND(Slot3_On=1,D45=Slot3_Age),1,0)</f>
        <v>0</v>
      </c>
      <c r="AR45" s="20" t="n">
        <f aca="false">IF(AND(Slot3_On=1,Slot3_Age&gt;D45),1,0)</f>
        <v>0</v>
      </c>
      <c r="AS45" s="20" t="n">
        <f aca="false">QU44</f>
        <v>0</v>
      </c>
      <c r="AT45" s="20" t="n">
        <f aca="false">AQ45*MIN(Slot3_Cost,AS45)</f>
        <v>0</v>
      </c>
      <c r="AU45" s="20" t="n">
        <f aca="false">AQ45*Slot3_SpendLike*MIN(Slot3_Cost-AT45,AM45)</f>
        <v>0</v>
      </c>
      <c r="AV45" s="20" t="n">
        <f aca="false">AT45+AU45</f>
        <v>0</v>
      </c>
      <c r="AW45" s="20" t="n">
        <f aca="false">AM45-AU45+AQ45*IF(Slot3_SpendLike=1,AS45-AT45,IF(Slot3_PotFree=1,AS45,0))</f>
        <v>57160.940970436</v>
      </c>
      <c r="AX45" s="20" t="n">
        <f aca="false">AN45+AQ45*Slot3_BufPot*AS45</f>
        <v>16118.7316048095</v>
      </c>
      <c r="AY45" s="20" t="n">
        <f aca="false">IF(AND(AQ45=1,Slot3_IsMfree=1),IF(AV45&gt;=Slot3_Cost-1,0,MAX(0,AO45-AV45)),AO45)</f>
        <v>0</v>
      </c>
      <c r="AZ45" s="20" t="n">
        <f aca="false">AQ45*(Slot3_Cost-AV45)</f>
        <v>0</v>
      </c>
      <c r="BA45" s="20" t="n">
        <f aca="false">IF(AND(Slot4_On=1,D45=Slot4_Age),1,0)</f>
        <v>0</v>
      </c>
      <c r="BB45" s="20" t="n">
        <f aca="false">IF(AND(Slot4_On=1,Slot4_Age&gt;D45),1,0)</f>
        <v>0</v>
      </c>
      <c r="BC45" s="20" t="n">
        <f aca="false">QY44</f>
        <v>0</v>
      </c>
      <c r="BD45" s="20" t="n">
        <f aca="false">BA45*MIN(Slot4_Cost,BC45)</f>
        <v>0</v>
      </c>
      <c r="BE45" s="20" t="n">
        <f aca="false">BA45*Slot4_SpendLike*MIN(Slot4_Cost-BD45,AW45)</f>
        <v>0</v>
      </c>
      <c r="BF45" s="20" t="n">
        <f aca="false">BD45+BE45</f>
        <v>0</v>
      </c>
      <c r="BG45" s="20" t="n">
        <f aca="false">AW45-BE45+BA45*IF(Slot4_SpendLike=1,BC45-BD45,IF(Slot4_PotFree=1,BC45,0))</f>
        <v>57160.940970436</v>
      </c>
      <c r="BH45" s="20" t="n">
        <f aca="false">AX45+BA45*Slot4_BufPot*BC45</f>
        <v>16118.7316048095</v>
      </c>
      <c r="BI45" s="20" t="n">
        <f aca="false">IF(AND(BA45=1,Slot4_IsMfree=1),IF(BF45&gt;=Slot4_Cost-1,0,MAX(0,AY45-BF45)),AY45)</f>
        <v>0</v>
      </c>
      <c r="BJ45" s="20" t="n">
        <f aca="false">BA45*(Slot4_Cost-BF45)</f>
        <v>0</v>
      </c>
      <c r="BK45" s="20" t="n">
        <f aca="false">IF(AND(Slot5_On=1,D45=Slot5_Age),1,0)</f>
        <v>0</v>
      </c>
      <c r="BL45" s="20" t="n">
        <f aca="false">IF(AND(Slot5_On=1,Slot5_Age&gt;D45),1,0)</f>
        <v>0</v>
      </c>
      <c r="BM45" s="20" t="n">
        <f aca="false">RC44</f>
        <v>0</v>
      </c>
      <c r="BN45" s="20" t="n">
        <f aca="false">BK45*MIN(Slot5_Cost,BM45)</f>
        <v>0</v>
      </c>
      <c r="BO45" s="20" t="n">
        <f aca="false">BK45*Slot5_SpendLike*MIN(Slot5_Cost-BN45,BG45)</f>
        <v>0</v>
      </c>
      <c r="BP45" s="20" t="n">
        <f aca="false">BN45+BO45</f>
        <v>0</v>
      </c>
      <c r="BQ45" s="20" t="n">
        <f aca="false">BG45-BO45+BK45*IF(Slot5_SpendLike=1,BM45-BN45,IF(Slot5_PotFree=1,BM45,0))</f>
        <v>57160.940970436</v>
      </c>
      <c r="BR45" s="20" t="n">
        <f aca="false">BH45+BK45*Slot5_BufPot*BM45</f>
        <v>16118.7316048095</v>
      </c>
      <c r="BS45" s="20" t="n">
        <f aca="false">IF(AND(BK45=1,Slot5_IsMfree=1),IF(BP45&gt;=Slot5_Cost-1,0,MAX(0,BI45-BP45)),BI45)</f>
        <v>0</v>
      </c>
      <c r="BT45" s="20" t="n">
        <f aca="false">BK45*(Slot5_Cost-BP45)</f>
        <v>0</v>
      </c>
      <c r="BU45" s="20" t="n">
        <f aca="false">IF(AND(Slot6_On=1,D45=Slot6_Age),1,0)</f>
        <v>0</v>
      </c>
      <c r="BV45" s="20" t="n">
        <f aca="false">IF(AND(Slot6_On=1,Slot6_Age&gt;D45),1,0)</f>
        <v>0</v>
      </c>
      <c r="BW45" s="20" t="n">
        <f aca="false">RG44</f>
        <v>0</v>
      </c>
      <c r="BX45" s="20" t="n">
        <f aca="false">BU45*MIN(Slot6_Cost,BW45)</f>
        <v>0</v>
      </c>
      <c r="BY45" s="20" t="n">
        <f aca="false">BU45*Slot6_SpendLike*MIN(Slot6_Cost-BX45,BQ45)</f>
        <v>0</v>
      </c>
      <c r="BZ45" s="20" t="n">
        <f aca="false">BX45+BY45</f>
        <v>0</v>
      </c>
      <c r="CA45" s="20" t="n">
        <f aca="false">BQ45-BY45+BU45*IF(Slot6_SpendLike=1,BW45-BX45,IF(Slot6_PotFree=1,BW45,0))</f>
        <v>57160.940970436</v>
      </c>
      <c r="CB45" s="20" t="n">
        <f aca="false">BR45+BU45*Slot6_BufPot*BW45</f>
        <v>16118.7316048095</v>
      </c>
      <c r="CC45" s="20" t="n">
        <f aca="false">IF(AND(BU45=1,Slot6_IsMfree=1),IF(BZ45&gt;=Slot6_Cost-1,0,MAX(0,BS45-BZ45)),BS45)</f>
        <v>0</v>
      </c>
      <c r="CD45" s="20" t="n">
        <f aca="false">BU45*(Slot6_Cost-BZ45)</f>
        <v>0</v>
      </c>
      <c r="CE45" s="20" t="n">
        <f aca="false">IF(AND(Slot7_On=1,D45=Slot7_Age),1,0)</f>
        <v>0</v>
      </c>
      <c r="CF45" s="20" t="n">
        <f aca="false">IF(AND(Slot7_On=1,Slot7_Age&gt;D45),1,0)</f>
        <v>0</v>
      </c>
      <c r="CG45" s="20" t="n">
        <f aca="false">RK44</f>
        <v>0</v>
      </c>
      <c r="CH45" s="20" t="n">
        <f aca="false">CE45*MIN(Slot7_Cost,CG45)</f>
        <v>0</v>
      </c>
      <c r="CI45" s="20" t="n">
        <f aca="false">CE45*Slot7_SpendLike*MIN(Slot7_Cost-CH45,CA45)</f>
        <v>0</v>
      </c>
      <c r="CJ45" s="20" t="n">
        <f aca="false">CH45+CI45</f>
        <v>0</v>
      </c>
      <c r="CK45" s="20" t="n">
        <f aca="false">CA45-CI45+CE45*IF(Slot7_SpendLike=1,CG45-CH45,IF(Slot7_PotFree=1,CG45,0))</f>
        <v>57160.940970436</v>
      </c>
      <c r="CL45" s="20" t="n">
        <f aca="false">CB45+CE45*Slot7_BufPot*CG45</f>
        <v>16118.7316048095</v>
      </c>
      <c r="CM45" s="20" t="n">
        <f aca="false">IF(AND(CE45=1,Slot7_IsMfree=1),IF(CJ45&gt;=Slot7_Cost-1,0,MAX(0,CC45-CJ45)),CC45)</f>
        <v>0</v>
      </c>
      <c r="CN45" s="20" t="n">
        <f aca="false">CE45*(Slot7_Cost-CJ45)</f>
        <v>0</v>
      </c>
      <c r="CO45" s="20" t="n">
        <f aca="false">IF(AND(Slot8_On=1,D45=Slot8_Age),1,0)</f>
        <v>0</v>
      </c>
      <c r="CP45" s="20" t="n">
        <f aca="false">IF(AND(Slot8_On=1,Slot8_Age&gt;D45),1,0)</f>
        <v>0</v>
      </c>
      <c r="CQ45" s="20" t="n">
        <f aca="false">RO44</f>
        <v>0</v>
      </c>
      <c r="CR45" s="20" t="n">
        <f aca="false">CO45*MIN(Slot8_Cost,CQ45)</f>
        <v>0</v>
      </c>
      <c r="CS45" s="20" t="n">
        <f aca="false">CO45*Slot8_SpendLike*MIN(Slot8_Cost-CR45,CK45)</f>
        <v>0</v>
      </c>
      <c r="CT45" s="20" t="n">
        <f aca="false">CR45+CS45</f>
        <v>0</v>
      </c>
      <c r="CU45" s="20" t="n">
        <f aca="false">CK45-CS45+CO45*IF(Slot8_SpendLike=1,CQ45-CR45,IF(Slot8_PotFree=1,CQ45,0))</f>
        <v>57160.940970436</v>
      </c>
      <c r="CV45" s="20" t="n">
        <f aca="false">CL45+CO45*Slot8_BufPot*CQ45</f>
        <v>16118.7316048095</v>
      </c>
      <c r="CW45" s="20" t="n">
        <f aca="false">IF(AND(CO45=1,Slot8_IsMfree=1),IF(CT45&gt;=Slot8_Cost-1,0,MAX(0,CM45-CT45)),CM45)</f>
        <v>0</v>
      </c>
      <c r="CX45" s="20" t="n">
        <f aca="false">CO45*(Slot8_Cost-CT45)</f>
        <v>0</v>
      </c>
      <c r="CY45" s="20" t="n">
        <f aca="false">IF(AND(Slot9_On=1,D45=Slot9_Age),1,0)</f>
        <v>0</v>
      </c>
      <c r="CZ45" s="20" t="n">
        <f aca="false">IF(AND(Slot9_On=1,Slot9_Age&gt;D45),1,0)</f>
        <v>0</v>
      </c>
      <c r="DA45" s="20" t="n">
        <f aca="false">RS44</f>
        <v>0</v>
      </c>
      <c r="DB45" s="20" t="n">
        <f aca="false">CY45*MIN(Slot9_Cost,DA45)</f>
        <v>0</v>
      </c>
      <c r="DC45" s="20" t="n">
        <f aca="false">CY45*Slot9_SpendLike*MIN(Slot9_Cost-DB45,CU45)</f>
        <v>0</v>
      </c>
      <c r="DD45" s="20" t="n">
        <f aca="false">DB45+DC45</f>
        <v>0</v>
      </c>
      <c r="DE45" s="20" t="n">
        <f aca="false">CU45-DC45+CY45*IF(Slot9_SpendLike=1,DA45-DB45,IF(Slot9_PotFree=1,DA45,0))</f>
        <v>57160.940970436</v>
      </c>
      <c r="DF45" s="20" t="n">
        <f aca="false">CV45+CY45*Slot9_BufPot*DA45</f>
        <v>16118.7316048095</v>
      </c>
      <c r="DG45" s="20" t="n">
        <f aca="false">IF(AND(CY45=1,Slot9_IsMfree=1),IF(DD45&gt;=Slot9_Cost-1,0,MAX(0,CW45-DD45)),CW45)</f>
        <v>0</v>
      </c>
      <c r="DH45" s="20" t="n">
        <f aca="false">CY45*(Slot9_Cost-DD45)</f>
        <v>0</v>
      </c>
      <c r="DI45" s="20" t="n">
        <f aca="false">IF(AND(Slot10_On=1,D45=Slot10_Age),1,0)</f>
        <v>0</v>
      </c>
      <c r="DJ45" s="20" t="n">
        <f aca="false">IF(AND(Slot10_On=1,Slot10_Age&gt;D45),1,0)</f>
        <v>0</v>
      </c>
      <c r="DK45" s="20" t="n">
        <f aca="false">RW44</f>
        <v>0</v>
      </c>
      <c r="DL45" s="20" t="n">
        <f aca="false">DI45*MIN(Slot10_Cost,DK45)</f>
        <v>0</v>
      </c>
      <c r="DM45" s="20" t="n">
        <f aca="false">DI45*Slot10_SpendLike*MIN(Slot10_Cost-DL45,DE45)</f>
        <v>0</v>
      </c>
      <c r="DN45" s="20" t="n">
        <f aca="false">DL45+DM45</f>
        <v>0</v>
      </c>
      <c r="DO45" s="20" t="n">
        <f aca="false">DE45-DM45+DI45*IF(Slot10_SpendLike=1,DK45-DL45,IF(Slot10_PotFree=1,DK45,0))</f>
        <v>57160.940970436</v>
      </c>
      <c r="DP45" s="20" t="n">
        <f aca="false">DF45+DI45*Slot10_BufPot*DK45</f>
        <v>16118.7316048095</v>
      </c>
      <c r="DQ45" s="20" t="n">
        <f aca="false">IF(AND(DI45=1,Slot10_IsMfree=1),IF(DN45&gt;=Slot10_Cost-1,0,MAX(0,DG45-DN45)),DG45)</f>
        <v>0</v>
      </c>
      <c r="DR45" s="20" t="n">
        <f aca="false">DI45*(Slot10_Cost-DN45)</f>
        <v>0</v>
      </c>
      <c r="DS45" s="20" t="n">
        <f aca="false">IF(AND(Slot11_On=1,D45=Slot11_Age),1,0)</f>
        <v>0</v>
      </c>
      <c r="DT45" s="20" t="n">
        <f aca="false">IF(AND(Slot11_On=1,Slot11_Age&gt;D45),1,0)</f>
        <v>0</v>
      </c>
      <c r="DU45" s="20" t="n">
        <f aca="false">SA44</f>
        <v>0</v>
      </c>
      <c r="DV45" s="20" t="n">
        <f aca="false">DS45*MIN(Slot11_Cost,DU45)</f>
        <v>0</v>
      </c>
      <c r="DW45" s="20" t="n">
        <f aca="false">DS45*Slot11_SpendLike*MIN(Slot11_Cost-DV45,DO45)</f>
        <v>0</v>
      </c>
      <c r="DX45" s="20" t="n">
        <f aca="false">DV45+DW45</f>
        <v>0</v>
      </c>
      <c r="DY45" s="20" t="n">
        <f aca="false">DO45-DW45+DS45*IF(Slot11_SpendLike=1,DU45-DV45,IF(Slot11_PotFree=1,DU45,0))</f>
        <v>57160.940970436</v>
      </c>
      <c r="DZ45" s="20" t="n">
        <f aca="false">DP45+DS45*Slot11_BufPot*DU45</f>
        <v>16118.7316048095</v>
      </c>
      <c r="EA45" s="20" t="n">
        <f aca="false">IF(AND(DS45=1,Slot11_IsMfree=1),IF(DX45&gt;=Slot11_Cost-1,0,MAX(0,DQ45-DX45)),DQ45)</f>
        <v>0</v>
      </c>
      <c r="EB45" s="20" t="n">
        <f aca="false">DS45*(Slot11_Cost-DX45)</f>
        <v>0</v>
      </c>
      <c r="EC45" s="20" t="n">
        <f aca="false">IF(AND(Slot12_On=1,D45=Slot12_Age),1,0)</f>
        <v>0</v>
      </c>
      <c r="ED45" s="20" t="n">
        <f aca="false">IF(AND(Slot12_On=1,Slot12_Age&gt;D45),1,0)</f>
        <v>0</v>
      </c>
      <c r="EE45" s="20" t="n">
        <f aca="false">SE44</f>
        <v>0</v>
      </c>
      <c r="EF45" s="20" t="n">
        <f aca="false">EC45*MIN(Slot12_Cost,EE45)</f>
        <v>0</v>
      </c>
      <c r="EG45" s="20" t="n">
        <f aca="false">EC45*Slot12_SpendLike*MIN(Slot12_Cost-EF45,DY45)</f>
        <v>0</v>
      </c>
      <c r="EH45" s="20" t="n">
        <f aca="false">EF45+EG45</f>
        <v>0</v>
      </c>
      <c r="EI45" s="20" t="n">
        <f aca="false">DY45-EG45+EC45*IF(Slot12_SpendLike=1,EE45-EF45,IF(Slot12_PotFree=1,EE45,0))</f>
        <v>57160.940970436</v>
      </c>
      <c r="EJ45" s="20" t="n">
        <f aca="false">DZ45+EC45*Slot12_BufPot*EE45</f>
        <v>16118.7316048095</v>
      </c>
      <c r="EK45" s="20" t="n">
        <f aca="false">IF(AND(EC45=1,Slot12_IsMfree=1),IF(EH45&gt;=Slot12_Cost-1,0,MAX(0,EA45-EH45)),EA45)</f>
        <v>0</v>
      </c>
      <c r="EL45" s="20" t="n">
        <f aca="false">EC45*(Slot12_Cost-EH45)</f>
        <v>0</v>
      </c>
      <c r="EM45" s="20" t="n">
        <f aca="false">IF(AND(Slot13_On=1,D45=Slot13_Age),1,0)</f>
        <v>0</v>
      </c>
      <c r="EN45" s="20" t="n">
        <f aca="false">IF(AND(Slot13_On=1,Slot13_Age&gt;D45),1,0)</f>
        <v>0</v>
      </c>
      <c r="EO45" s="20" t="n">
        <f aca="false">SI44</f>
        <v>0</v>
      </c>
      <c r="EP45" s="20" t="n">
        <f aca="false">EM45*MIN(Slot13_Cost,EO45)</f>
        <v>0</v>
      </c>
      <c r="EQ45" s="20" t="n">
        <f aca="false">EM45*Slot13_SpendLike*MIN(Slot13_Cost-EP45,EI45)</f>
        <v>0</v>
      </c>
      <c r="ER45" s="20" t="n">
        <f aca="false">EP45+EQ45</f>
        <v>0</v>
      </c>
      <c r="ES45" s="20" t="n">
        <f aca="false">EI45-EQ45+EM45*IF(Slot13_SpendLike=1,EO45-EP45,IF(Slot13_PotFree=1,EO45,0))</f>
        <v>57160.940970436</v>
      </c>
      <c r="ET45" s="20" t="n">
        <f aca="false">EJ45+EM45*Slot13_BufPot*EO45</f>
        <v>16118.7316048095</v>
      </c>
      <c r="EU45" s="20" t="n">
        <f aca="false">IF(AND(EM45=1,Slot13_IsMfree=1),IF(ER45&gt;=Slot13_Cost-1,0,MAX(0,EK45-ER45)),EK45)</f>
        <v>0</v>
      </c>
      <c r="EV45" s="20" t="n">
        <f aca="false">EM45*(Slot13_Cost-ER45)</f>
        <v>0</v>
      </c>
      <c r="EW45" s="20" t="n">
        <f aca="false">IF(AND(Slot14_On=1,D45=Slot14_Age),1,0)</f>
        <v>0</v>
      </c>
      <c r="EX45" s="20" t="n">
        <f aca="false">IF(AND(Slot14_On=1,Slot14_Age&gt;D45),1,0)</f>
        <v>0</v>
      </c>
      <c r="EY45" s="20" t="n">
        <f aca="false">SM44</f>
        <v>0</v>
      </c>
      <c r="EZ45" s="20" t="n">
        <f aca="false">EW45*MIN(Slot14_Cost,EY45)</f>
        <v>0</v>
      </c>
      <c r="FA45" s="20" t="n">
        <f aca="false">EW45*Slot14_SpendLike*MIN(Slot14_Cost-EZ45,ES45)</f>
        <v>0</v>
      </c>
      <c r="FB45" s="20" t="n">
        <f aca="false">EZ45+FA45</f>
        <v>0</v>
      </c>
      <c r="FC45" s="20" t="n">
        <f aca="false">ES45-FA45+EW45*IF(Slot14_SpendLike=1,EY45-EZ45,IF(Slot14_PotFree=1,EY45,0))</f>
        <v>57160.940970436</v>
      </c>
      <c r="FD45" s="20" t="n">
        <f aca="false">ET45+EW45*Slot14_BufPot*EY45</f>
        <v>16118.7316048095</v>
      </c>
      <c r="FE45" s="20" t="n">
        <f aca="false">IF(AND(EW45=1,Slot14_IsMfree=1),IF(FB45&gt;=Slot14_Cost-1,0,MAX(0,EU45-FB45)),EU45)</f>
        <v>0</v>
      </c>
      <c r="FF45" s="20" t="n">
        <f aca="false">EW45*(Slot14_Cost-FB45)</f>
        <v>0</v>
      </c>
      <c r="FG45" s="20" t="n">
        <f aca="false">IF(AND(Slot15_On=1,D45=Slot15_Age),1,0)</f>
        <v>0</v>
      </c>
      <c r="FH45" s="20" t="n">
        <f aca="false">IF(AND(Slot15_On=1,Slot15_Age&gt;D45),1,0)</f>
        <v>0</v>
      </c>
      <c r="FI45" s="20" t="n">
        <f aca="false">SQ44</f>
        <v>0</v>
      </c>
      <c r="FJ45" s="20" t="n">
        <f aca="false">FG45*MIN(Slot15_Cost,FI45)</f>
        <v>0</v>
      </c>
      <c r="FK45" s="20" t="n">
        <f aca="false">FG45*Slot15_SpendLike*MIN(Slot15_Cost-FJ45,FC45)</f>
        <v>0</v>
      </c>
      <c r="FL45" s="20" t="n">
        <f aca="false">FJ45+FK45</f>
        <v>0</v>
      </c>
      <c r="FM45" s="20" t="n">
        <f aca="false">FC45-FK45+FG45*IF(Slot15_SpendLike=1,FI45-FJ45,IF(Slot15_PotFree=1,FI45,0))</f>
        <v>57160.940970436</v>
      </c>
      <c r="FN45" s="20" t="n">
        <f aca="false">FD45+FG45*Slot15_BufPot*FI45</f>
        <v>16118.7316048095</v>
      </c>
      <c r="FO45" s="20" t="n">
        <f aca="false">IF(AND(FG45=1,Slot15_IsMfree=1),IF(FL45&gt;=Slot15_Cost-1,0,MAX(0,FE45-FL45)),FE45)</f>
        <v>0</v>
      </c>
      <c r="FP45" s="20" t="n">
        <f aca="false">FG45*(Slot15_Cost-FL45)</f>
        <v>0</v>
      </c>
      <c r="FQ45" s="20" t="n">
        <f aca="false">IF(AND(Slot16_On=1,D45=Slot16_Age),1,0)</f>
        <v>0</v>
      </c>
      <c r="FR45" s="20" t="n">
        <f aca="false">IF(AND(Slot16_On=1,Slot16_Age&gt;D45),1,0)</f>
        <v>0</v>
      </c>
      <c r="FS45" s="20" t="n">
        <f aca="false">SU44</f>
        <v>0</v>
      </c>
      <c r="FT45" s="20" t="n">
        <f aca="false">FQ45*MIN(Slot16_Cost,FS45)</f>
        <v>0</v>
      </c>
      <c r="FU45" s="20" t="n">
        <f aca="false">FQ45*Slot16_SpendLike*MIN(Slot16_Cost-FT45,FM45)</f>
        <v>0</v>
      </c>
      <c r="FV45" s="20" t="n">
        <f aca="false">FT45+FU45</f>
        <v>0</v>
      </c>
      <c r="FW45" s="20" t="n">
        <f aca="false">FM45-FU45+FQ45*IF(Slot16_SpendLike=1,FS45-FT45,IF(Slot16_PotFree=1,FS45,0))</f>
        <v>57160.940970436</v>
      </c>
      <c r="FX45" s="20" t="n">
        <f aca="false">FN45+FQ45*Slot16_BufPot*FS45</f>
        <v>16118.7316048095</v>
      </c>
      <c r="FY45" s="20" t="n">
        <f aca="false">IF(AND(FQ45=1,Slot16_IsMfree=1),IF(FV45&gt;=Slot16_Cost-1,0,MAX(0,FO45-FV45)),FO45)</f>
        <v>0</v>
      </c>
      <c r="FZ45" s="20" t="n">
        <f aca="false">FQ45*(Slot16_Cost-FV45)</f>
        <v>0</v>
      </c>
      <c r="GA45" s="20" t="n">
        <f aca="false">IF(AND(Slot17_On=1,D45=Slot17_Age),1,0)</f>
        <v>0</v>
      </c>
      <c r="GB45" s="20" t="n">
        <f aca="false">IF(AND(Slot17_On=1,Slot17_Age&gt;D45),1,0)</f>
        <v>0</v>
      </c>
      <c r="GC45" s="20" t="n">
        <f aca="false">SY44</f>
        <v>0</v>
      </c>
      <c r="GD45" s="20" t="n">
        <f aca="false">GA45*MIN(Slot17_Cost,GC45)</f>
        <v>0</v>
      </c>
      <c r="GE45" s="20" t="n">
        <f aca="false">GA45*Slot17_SpendLike*MIN(Slot17_Cost-GD45,FW45)</f>
        <v>0</v>
      </c>
      <c r="GF45" s="20" t="n">
        <f aca="false">GD45+GE45</f>
        <v>0</v>
      </c>
      <c r="GG45" s="20" t="n">
        <f aca="false">FW45-GE45+GA45*IF(Slot17_SpendLike=1,GC45-GD45,IF(Slot17_PotFree=1,GC45,0))</f>
        <v>57160.940970436</v>
      </c>
      <c r="GH45" s="20" t="n">
        <f aca="false">FX45+GA45*Slot17_BufPot*GC45</f>
        <v>16118.7316048095</v>
      </c>
      <c r="GI45" s="20" t="n">
        <f aca="false">IF(AND(GA45=1,Slot17_IsMfree=1),IF(GF45&gt;=Slot17_Cost-1,0,MAX(0,FY45-GF45)),FY45)</f>
        <v>0</v>
      </c>
      <c r="GJ45" s="20" t="n">
        <f aca="false">GA45*(Slot17_Cost-GF45)</f>
        <v>0</v>
      </c>
      <c r="GK45" s="20" t="n">
        <f aca="false">IF(AND(Slot18_On=1,D45=Slot18_Age),1,0)</f>
        <v>0</v>
      </c>
      <c r="GL45" s="20" t="n">
        <f aca="false">IF(AND(Slot18_On=1,Slot18_Age&gt;D45),1,0)</f>
        <v>0</v>
      </c>
      <c r="GM45" s="20" t="n">
        <f aca="false">TC44</f>
        <v>0</v>
      </c>
      <c r="GN45" s="20" t="n">
        <f aca="false">GK45*MIN(Slot18_Cost,GM45)</f>
        <v>0</v>
      </c>
      <c r="GO45" s="20" t="n">
        <f aca="false">GK45*Slot18_SpendLike*MIN(Slot18_Cost-GN45,GG45)</f>
        <v>0</v>
      </c>
      <c r="GP45" s="20" t="n">
        <f aca="false">GN45+GO45</f>
        <v>0</v>
      </c>
      <c r="GQ45" s="20" t="n">
        <f aca="false">GG45-GO45+GK45*IF(Slot18_SpendLike=1,GM45-GN45,IF(Slot18_PotFree=1,GM45,0))</f>
        <v>57160.940970436</v>
      </c>
      <c r="GR45" s="20" t="n">
        <f aca="false">GH45+GK45*Slot18_BufPot*GM45</f>
        <v>16118.7316048095</v>
      </c>
      <c r="GS45" s="20" t="n">
        <f aca="false">IF(AND(GK45=1,Slot18_IsMfree=1),IF(GP45&gt;=Slot18_Cost-1,0,MAX(0,GI45-GP45)),GI45)</f>
        <v>0</v>
      </c>
      <c r="GT45" s="20" t="n">
        <f aca="false">GK45*(Slot18_Cost-GP45)</f>
        <v>0</v>
      </c>
      <c r="GU45" s="20" t="n">
        <f aca="false">IF(AND(Slot19_On=1,D45=Slot19_Age),1,0)</f>
        <v>0</v>
      </c>
      <c r="GV45" s="20" t="n">
        <f aca="false">IF(AND(Slot19_On=1,Slot19_Age&gt;D45),1,0)</f>
        <v>0</v>
      </c>
      <c r="GW45" s="20" t="n">
        <f aca="false">TG44</f>
        <v>0</v>
      </c>
      <c r="GX45" s="20" t="n">
        <f aca="false">GU45*MIN(Slot19_Cost,GW45)</f>
        <v>0</v>
      </c>
      <c r="GY45" s="20" t="n">
        <f aca="false">GU45*Slot19_SpendLike*MIN(Slot19_Cost-GX45,GQ45)</f>
        <v>0</v>
      </c>
      <c r="GZ45" s="20" t="n">
        <f aca="false">GX45+GY45</f>
        <v>0</v>
      </c>
      <c r="HA45" s="20" t="n">
        <f aca="false">GQ45-GY45+GU45*IF(Slot19_SpendLike=1,GW45-GX45,IF(Slot19_PotFree=1,GW45,0))</f>
        <v>57160.940970436</v>
      </c>
      <c r="HB45" s="20" t="n">
        <f aca="false">GR45+GU45*Slot19_BufPot*GW45</f>
        <v>16118.7316048095</v>
      </c>
      <c r="HC45" s="20" t="n">
        <f aca="false">IF(AND(GU45=1,Slot19_IsMfree=1),IF(GZ45&gt;=Slot19_Cost-1,0,MAX(0,GS45-GZ45)),GS45)</f>
        <v>0</v>
      </c>
      <c r="HD45" s="20" t="n">
        <f aca="false">GU45*(Slot19_Cost-GZ45)</f>
        <v>0</v>
      </c>
      <c r="HE45" s="20" t="n">
        <f aca="false">IF(AND(Slot20_On=1,D45=Slot20_Age),1,0)</f>
        <v>0</v>
      </c>
      <c r="HF45" s="20" t="n">
        <f aca="false">IF(AND(Slot20_On=1,Slot20_Age&gt;D45),1,0)</f>
        <v>0</v>
      </c>
      <c r="HG45" s="20" t="n">
        <f aca="false">TK44</f>
        <v>0</v>
      </c>
      <c r="HH45" s="20" t="n">
        <f aca="false">HE45*MIN(Slot20_Cost,HG45)</f>
        <v>0</v>
      </c>
      <c r="HI45" s="20" t="n">
        <f aca="false">HE45*Slot20_SpendLike*MIN(Slot20_Cost-HH45,HA45)</f>
        <v>0</v>
      </c>
      <c r="HJ45" s="20" t="n">
        <f aca="false">HH45+HI45</f>
        <v>0</v>
      </c>
      <c r="HK45" s="20" t="n">
        <f aca="false">HA45-HI45+HE45*IF(Slot20_SpendLike=1,HG45-HH45,IF(Slot20_PotFree=1,HG45,0))</f>
        <v>57160.940970436</v>
      </c>
      <c r="HL45" s="20" t="n">
        <f aca="false">HB45+HE45*Slot20_BufPot*HG45</f>
        <v>16118.7316048095</v>
      </c>
      <c r="HM45" s="20" t="n">
        <f aca="false">IF(AND(HE45=1,Slot20_IsMfree=1),IF(HJ45&gt;=Slot20_Cost-1,0,MAX(0,HC45-HJ45)),HC45)</f>
        <v>0</v>
      </c>
      <c r="HN45" s="20" t="n">
        <f aca="false">HE45*(Slot20_Cost-HJ45)</f>
        <v>0</v>
      </c>
      <c r="HO45" s="20" t="n">
        <f aca="false">V45*Slot1_SpendLike*AA45+AG45*Slot2_SpendLike*AL45+AQ45*Slot3_SpendLike*AV45+BA45*Slot4_SpendLike*BF45+BK45*Slot5_SpendLike*BP45+BU45*Slot6_SpendLike*BZ45+CE45*Slot7_SpendLike*CJ45+CO45*Slot8_SpendLike*CT45+CY45*Slot9_SpendLike*DD45+DI45*Slot10_SpendLike*DN45+DS45*Slot11_SpendLike*DX45+EC45*Slot12_SpendLike*EH45+EM45*Slot13_SpendLike*ER45+EW45*Slot14_SpendLike*FB45+FG45*Slot15_SpendLike*FL45+FQ45*Slot16_SpendLike*FV45+GA45*Slot17_SpendLike*GF45+GK45*Slot18_SpendLike*GP45+GU45*Slot19_SpendLike*GZ45+HE45*Slot20_SpendLike*HJ45</f>
        <v>0</v>
      </c>
      <c r="HP45" s="20" t="n">
        <f aca="false">AE45+AP45+AZ45+BJ45+BT45+CD45+CN45+CX45+DH45+DR45+EB45+EL45+EV45+FF45+FP45+FZ45+GJ45+GT45+HD45+HN45</f>
        <v>0</v>
      </c>
      <c r="HQ45" s="20" t="n">
        <f aca="false">V45*Slot1_Cost+AG45*Slot2_Cost+AQ45*Slot3_Cost+BA45*Slot4_Cost+BK45*Slot5_Cost+BU45*Slot6_Cost+CE45*Slot7_Cost+CO45*Slot8_Cost+CY45*Slot9_Cost+DI45*Slot10_Cost+DS45*Slot11_Cost+EC45*Slot12_Cost+EM45*Slot13_Cost+EW45*Slot14_Cost+FG45*Slot15_Cost+FQ45*Slot16_Cost+GA45*Slot17_Cost+GK45*Slot18_Cost+GU45*Slot19_Cost+HE45*Slot20_Cost</f>
        <v>0</v>
      </c>
      <c r="HR45" s="20" t="n">
        <f aca="false">HM45</f>
        <v>0</v>
      </c>
      <c r="HS45" s="20" t="n">
        <f aca="false">H45-I45-S45</f>
        <v>-23577.9911845889</v>
      </c>
      <c r="HT45" s="20" t="n">
        <f aca="false">IF(B45=0,IF(AND(Has_q6=1,In_q6=4),PR_ShareVaries*(MAX(0,HS45)/12),MIN(IF(Has_q6=1,CHOOSE(In_q6+1,PR_SaveB1,PR_SaveB2,PR_SaveB3,PR_SaveB4,0),AS_NoAnswer),AS_SaveShare*(MAX(0,HS45)/12))),HT44)</f>
        <v>67.3316893520437</v>
      </c>
      <c r="HU45" s="20" t="n">
        <f aca="false">IF(HS45&gt;=0,1,0)</f>
        <v>0</v>
      </c>
      <c r="HV45" s="20" t="n">
        <f aca="false">MAX(0,HS45/12/F45)</f>
        <v>0</v>
      </c>
      <c r="HW45" s="20" t="n">
        <f aca="false">IF(AND(Has_q6=1,In_q6=4),PR_ShareVaries*(HV45),MIN(IF(Has_q6=1,CHOOSE(In_q6+1,PR_SaveB1,PR_SaveB2,PR_SaveB3,PR_SaveB4,0),AS_NoAnswer),AS_SaveShare*(HV45)))</f>
        <v>0</v>
      </c>
      <c r="HX45" s="20" t="n">
        <f aca="false">IF(Has_saveM=1,IF(In_saveUp="Yes",1,IF(In_saveUp="No",0,IF(In_saveM&gt;=HT45-0.5,1,0))),0)</f>
        <v>0</v>
      </c>
      <c r="HY45" s="20" t="n">
        <f aca="false">IF(Has_saveM=1,MIN(HV45,IF(HX45=1,MAX(In_saveM,HW45),MIN(In_saveM,HW45))),HW45)</f>
        <v>0</v>
      </c>
      <c r="HZ45" s="20" t="n">
        <f aca="false">IF(G45=1,HY45*12*F45,0)</f>
        <v>0</v>
      </c>
      <c r="IA45" s="20" t="n">
        <f aca="false">MAX(0,HZ45+IF(AND(WI_Retire=0,WI_M&lt;0,G45=1),WI_M*12*F45,0))</f>
        <v>0</v>
      </c>
      <c r="IB45" s="20" t="n">
        <f aca="false">Slot1_IsWG*W45+Slot2_IsWG*AH45+Slot3_IsWG*AR45+Slot4_IsWG*BB45+Slot5_IsWG*BL45+Slot6_IsWG*BV45+Slot7_IsWG*CF45+Slot8_IsWG*CP45+Slot9_IsWG*CZ45+Slot10_IsWG*DJ45+Slot11_IsWG*DT45+Slot12_IsWG*ED45+Slot13_IsWG*EN45+Slot14_IsWG*EX45+Slot15_IsWG*FH45+Slot16_IsWG*FR45+Slot17_IsWG*GB45+Slot18_IsWG*GL45+Slot19_IsWG*GV45+Slot20_IsWG*HF45</f>
        <v>0</v>
      </c>
      <c r="IC45" s="20" t="n">
        <f aca="false">IF(AND(WI_Retire=0,WI_M&gt;0,G45=1,IB45&gt;=1),WI_M*12*F45,0)</f>
        <v>0</v>
      </c>
      <c r="ID45" s="20" t="n">
        <f aca="false">IF(HU45=1,MIN(IA45,HS45),0)</f>
        <v>0</v>
      </c>
      <c r="IE45" s="20" t="n">
        <f aca="false">IF(HU45=1,MIN(IC45,HS45-ID45),0)</f>
        <v>0</v>
      </c>
      <c r="IF45" s="20" t="n">
        <f aca="false">IF(W45=1,IF(ABS((1+AS_Wage)/(1+Slot1_Rate)-1)&lt;0.000000000001,(Slot1_Age-D45)*(1+Slot1_Rate)^(Slot1_Age-D45),(1+Slot1_Rate)^(Slot1_Age-D45)*(1-((1+AS_Wage)/(1+Slot1_Rate))^(Slot1_Age-D45))/(1-(1+AS_Wage)/(1+Slot1_Rate))),1)</f>
        <v>1</v>
      </c>
      <c r="IG45" s="20" t="n">
        <f aca="false">IF(AND(HU45=1,IE45&gt;0,Slot1_IsWG=1,W45=1),MAX(0,(Slot1_Cost-X45*(1+Slot1_Rate)^(Slot1_Age-D45))/IF45),0)</f>
        <v>0</v>
      </c>
      <c r="IH45" s="20" t="n">
        <f aca="false">IF(AND(HU45=1,IE45&gt;0,Slot1_IsWG=1,W45=1),MIN(IE45,IG45),0)</f>
        <v>0</v>
      </c>
      <c r="II45" s="20" t="n">
        <f aca="false">X45+IH45</f>
        <v>0</v>
      </c>
      <c r="IJ45" s="20" t="n">
        <f aca="false">IF(W45=1,MAX(0,(Slot1_Cost-II45*(1+Slot1_Rate)^(Slot1_Age-D45))/IF45),0)</f>
        <v>0</v>
      </c>
      <c r="IK45" s="20" t="n">
        <f aca="false">IF(W45=1,MAX(0,(Slot1_Cost-X45*(1+Slot1_Rate)^(Slot1_Age-D45))/IF45),0)</f>
        <v>0</v>
      </c>
      <c r="IL45" s="20" t="n">
        <f aca="false">IF(AND(HU45=1,W45=1),MIN(ID45,IJ45),0)</f>
        <v>0</v>
      </c>
      <c r="IM45" s="20" t="n">
        <f aca="false">ID45-IL45</f>
        <v>0</v>
      </c>
      <c r="IN45" s="20" t="n">
        <f aca="false">IF(AH45=1,IF(ABS((1+AS_Wage)/(1+Slot2_Rate)-1)&lt;0.000000000001,(Slot2_Age-D45)*(1+Slot2_Rate)^(Slot2_Age-D45),(1+Slot2_Rate)^(Slot2_Age-D45)*(1-((1+AS_Wage)/(1+Slot2_Rate))^(Slot2_Age-D45))/(1-(1+AS_Wage)/(1+Slot2_Rate))),1)</f>
        <v>1</v>
      </c>
      <c r="IO45" s="20" t="n">
        <f aca="false">IF(AND(HU45=1,IE45&gt;0,Slot2_IsWG=1,AH45=1),MAX(0,(Slot2_Cost-AI45*(1+Slot2_Rate)^(Slot2_Age-D45))/IN45),0)</f>
        <v>0</v>
      </c>
      <c r="IP45" s="20" t="n">
        <f aca="false">IF(AND(HU45=1,IE45&gt;0,Slot2_IsWG=1,AH45=1),MIN(IE45,IO45),0)</f>
        <v>0</v>
      </c>
      <c r="IQ45" s="20" t="n">
        <f aca="false">AI45+IP45</f>
        <v>0</v>
      </c>
      <c r="IR45" s="20" t="n">
        <f aca="false">IF(AH45=1,MAX(0,(Slot2_Cost-IQ45*(1+Slot2_Rate)^(Slot2_Age-D45))/IN45),0)</f>
        <v>0</v>
      </c>
      <c r="IS45" s="20" t="n">
        <f aca="false">IF(AH45=1,MAX(0,(Slot2_Cost-AI45*(1+Slot2_Rate)^(Slot2_Age-D45))/IN45),0)</f>
        <v>0</v>
      </c>
      <c r="IT45" s="20" t="n">
        <f aca="false">IF(AND(HU45=1,AH45=1),MIN(IM45,IR45),0)</f>
        <v>0</v>
      </c>
      <c r="IU45" s="20" t="n">
        <f aca="false">IM45-IT45</f>
        <v>0</v>
      </c>
      <c r="IV45" s="20" t="n">
        <f aca="false">IF(AR45=1,IF(ABS((1+AS_Wage)/(1+Slot3_Rate)-1)&lt;0.000000000001,(Slot3_Age-D45)*(1+Slot3_Rate)^(Slot3_Age-D45),(1+Slot3_Rate)^(Slot3_Age-D45)*(1-((1+AS_Wage)/(1+Slot3_Rate))^(Slot3_Age-D45))/(1-(1+AS_Wage)/(1+Slot3_Rate))),1)</f>
        <v>1</v>
      </c>
      <c r="IW45" s="20" t="n">
        <f aca="false">IF(AND(HU45=1,IE45&gt;0,Slot3_IsWG=1,AR45=1),MAX(0,(Slot3_Cost-AS45*(1+Slot3_Rate)^(Slot3_Age-D45))/IV45),0)</f>
        <v>0</v>
      </c>
      <c r="IX45" s="20" t="n">
        <f aca="false">IF(AND(HU45=1,IE45&gt;0,Slot3_IsWG=1,AR45=1),MIN(IE45,IW45),0)</f>
        <v>0</v>
      </c>
      <c r="IY45" s="20" t="n">
        <f aca="false">AS45+IX45</f>
        <v>0</v>
      </c>
      <c r="IZ45" s="20" t="n">
        <f aca="false">IF(AR45=1,MAX(0,(Slot3_Cost-IY45*(1+Slot3_Rate)^(Slot3_Age-D45))/IV45),0)</f>
        <v>0</v>
      </c>
      <c r="JA45" s="20" t="n">
        <f aca="false">IF(AR45=1,MAX(0,(Slot3_Cost-AS45*(1+Slot3_Rate)^(Slot3_Age-D45))/IV45),0)</f>
        <v>0</v>
      </c>
      <c r="JB45" s="20" t="n">
        <f aca="false">IF(AND(HU45=1,AR45=1),MIN(IU45,IZ45),0)</f>
        <v>0</v>
      </c>
      <c r="JC45" s="20" t="n">
        <f aca="false">IU45-JB45</f>
        <v>0</v>
      </c>
      <c r="JD45" s="20" t="n">
        <f aca="false">IF(BB45=1,IF(ABS((1+AS_Wage)/(1+Slot4_Rate)-1)&lt;0.000000000001,(Slot4_Age-D45)*(1+Slot4_Rate)^(Slot4_Age-D45),(1+Slot4_Rate)^(Slot4_Age-D45)*(1-((1+AS_Wage)/(1+Slot4_Rate))^(Slot4_Age-D45))/(1-(1+AS_Wage)/(1+Slot4_Rate))),1)</f>
        <v>1</v>
      </c>
      <c r="JE45" s="20" t="n">
        <f aca="false">IF(AND(HU45=1,IE45&gt;0,Slot4_IsWG=1,BB45=1),MAX(0,(Slot4_Cost-BC45*(1+Slot4_Rate)^(Slot4_Age-D45))/JD45),0)</f>
        <v>0</v>
      </c>
      <c r="JF45" s="20" t="n">
        <f aca="false">IF(AND(HU45=1,IE45&gt;0,Slot4_IsWG=1,BB45=1),MIN(IE45,JE45),0)</f>
        <v>0</v>
      </c>
      <c r="JG45" s="20" t="n">
        <f aca="false">BC45+JF45</f>
        <v>0</v>
      </c>
      <c r="JH45" s="20" t="n">
        <f aca="false">IF(BB45=1,MAX(0,(Slot4_Cost-JG45*(1+Slot4_Rate)^(Slot4_Age-D45))/JD45),0)</f>
        <v>0</v>
      </c>
      <c r="JI45" s="20" t="n">
        <f aca="false">IF(BB45=1,MAX(0,(Slot4_Cost-BC45*(1+Slot4_Rate)^(Slot4_Age-D45))/JD45),0)</f>
        <v>0</v>
      </c>
      <c r="JJ45" s="20" t="n">
        <f aca="false">IF(AND(HU45=1,BB45=1),MIN(JC45,JH45),0)</f>
        <v>0</v>
      </c>
      <c r="JK45" s="20" t="n">
        <f aca="false">JC45-JJ45</f>
        <v>0</v>
      </c>
      <c r="JL45" s="20" t="n">
        <f aca="false">IF(BL45=1,IF(ABS((1+AS_Wage)/(1+Slot5_Rate)-1)&lt;0.000000000001,(Slot5_Age-D45)*(1+Slot5_Rate)^(Slot5_Age-D45),(1+Slot5_Rate)^(Slot5_Age-D45)*(1-((1+AS_Wage)/(1+Slot5_Rate))^(Slot5_Age-D45))/(1-(1+AS_Wage)/(1+Slot5_Rate))),1)</f>
        <v>1</v>
      </c>
      <c r="JM45" s="20" t="n">
        <f aca="false">IF(AND(HU45=1,IE45&gt;0,Slot5_IsWG=1,BL45=1),MAX(0,(Slot5_Cost-BM45*(1+Slot5_Rate)^(Slot5_Age-D45))/JL45),0)</f>
        <v>0</v>
      </c>
      <c r="JN45" s="20" t="n">
        <f aca="false">IF(AND(HU45=1,IE45&gt;0,Slot5_IsWG=1,BL45=1),MIN(IE45,JM45),0)</f>
        <v>0</v>
      </c>
      <c r="JO45" s="20" t="n">
        <f aca="false">BM45+JN45</f>
        <v>0</v>
      </c>
      <c r="JP45" s="20" t="n">
        <f aca="false">IF(BL45=1,MAX(0,(Slot5_Cost-JO45*(1+Slot5_Rate)^(Slot5_Age-D45))/JL45),0)</f>
        <v>0</v>
      </c>
      <c r="JQ45" s="20" t="n">
        <f aca="false">IF(BL45=1,MAX(0,(Slot5_Cost-BM45*(1+Slot5_Rate)^(Slot5_Age-D45))/JL45),0)</f>
        <v>0</v>
      </c>
      <c r="JR45" s="20" t="n">
        <f aca="false">IF(AND(HU45=1,BL45=1),MIN(JK45,JP45),0)</f>
        <v>0</v>
      </c>
      <c r="JS45" s="20" t="n">
        <f aca="false">JK45-JR45</f>
        <v>0</v>
      </c>
      <c r="JT45" s="20" t="n">
        <f aca="false">IF(BV45=1,IF(ABS((1+AS_Wage)/(1+Slot6_Rate)-1)&lt;0.000000000001,(Slot6_Age-D45)*(1+Slot6_Rate)^(Slot6_Age-D45),(1+Slot6_Rate)^(Slot6_Age-D45)*(1-((1+AS_Wage)/(1+Slot6_Rate))^(Slot6_Age-D45))/(1-(1+AS_Wage)/(1+Slot6_Rate))),1)</f>
        <v>1</v>
      </c>
      <c r="JU45" s="20" t="n">
        <f aca="false">IF(AND(HU45=1,IE45&gt;0,Slot6_IsWG=1,BV45=1),MAX(0,(Slot6_Cost-BW45*(1+Slot6_Rate)^(Slot6_Age-D45))/JT45),0)</f>
        <v>0</v>
      </c>
      <c r="JV45" s="20" t="n">
        <f aca="false">IF(AND(HU45=1,IE45&gt;0,Slot6_IsWG=1,BV45=1),MIN(IE45,JU45),0)</f>
        <v>0</v>
      </c>
      <c r="JW45" s="20" t="n">
        <f aca="false">BW45+JV45</f>
        <v>0</v>
      </c>
      <c r="JX45" s="20" t="n">
        <f aca="false">IF(BV45=1,MAX(0,(Slot6_Cost-JW45*(1+Slot6_Rate)^(Slot6_Age-D45))/JT45),0)</f>
        <v>0</v>
      </c>
      <c r="JY45" s="20" t="n">
        <f aca="false">IF(BV45=1,MAX(0,(Slot6_Cost-BW45*(1+Slot6_Rate)^(Slot6_Age-D45))/JT45),0)</f>
        <v>0</v>
      </c>
      <c r="JZ45" s="20" t="n">
        <f aca="false">IF(AND(HU45=1,BV45=1),MIN(JS45,JX45),0)</f>
        <v>0</v>
      </c>
      <c r="KA45" s="20" t="n">
        <f aca="false">JS45-JZ45</f>
        <v>0</v>
      </c>
      <c r="KB45" s="20" t="n">
        <f aca="false">IF(CF45=1,IF(ABS((1+AS_Wage)/(1+Slot7_Rate)-1)&lt;0.000000000001,(Slot7_Age-D45)*(1+Slot7_Rate)^(Slot7_Age-D45),(1+Slot7_Rate)^(Slot7_Age-D45)*(1-((1+AS_Wage)/(1+Slot7_Rate))^(Slot7_Age-D45))/(1-(1+AS_Wage)/(1+Slot7_Rate))),1)</f>
        <v>1</v>
      </c>
      <c r="KC45" s="20" t="n">
        <f aca="false">IF(AND(HU45=1,IE45&gt;0,Slot7_IsWG=1,CF45=1),MAX(0,(Slot7_Cost-CG45*(1+Slot7_Rate)^(Slot7_Age-D45))/KB45),0)</f>
        <v>0</v>
      </c>
      <c r="KD45" s="20" t="n">
        <f aca="false">IF(AND(HU45=1,IE45&gt;0,Slot7_IsWG=1,CF45=1),MIN(IE45,KC45),0)</f>
        <v>0</v>
      </c>
      <c r="KE45" s="20" t="n">
        <f aca="false">CG45+KD45</f>
        <v>0</v>
      </c>
      <c r="KF45" s="20" t="n">
        <f aca="false">IF(CF45=1,MAX(0,(Slot7_Cost-KE45*(1+Slot7_Rate)^(Slot7_Age-D45))/KB45),0)</f>
        <v>0</v>
      </c>
      <c r="KG45" s="20" t="n">
        <f aca="false">IF(CF45=1,MAX(0,(Slot7_Cost-CG45*(1+Slot7_Rate)^(Slot7_Age-D45))/KB45),0)</f>
        <v>0</v>
      </c>
      <c r="KH45" s="20" t="n">
        <f aca="false">IF(AND(HU45=1,CF45=1),MIN(KA45,KF45),0)</f>
        <v>0</v>
      </c>
      <c r="KI45" s="20" t="n">
        <f aca="false">KA45-KH45</f>
        <v>0</v>
      </c>
      <c r="KJ45" s="20" t="n">
        <f aca="false">IF(CP45=1,IF(ABS((1+AS_Wage)/(1+Slot8_Rate)-1)&lt;0.000000000001,(Slot8_Age-D45)*(1+Slot8_Rate)^(Slot8_Age-D45),(1+Slot8_Rate)^(Slot8_Age-D45)*(1-((1+AS_Wage)/(1+Slot8_Rate))^(Slot8_Age-D45))/(1-(1+AS_Wage)/(1+Slot8_Rate))),1)</f>
        <v>1</v>
      </c>
      <c r="KK45" s="20" t="n">
        <f aca="false">IF(AND(HU45=1,IE45&gt;0,Slot8_IsWG=1,CP45=1),MAX(0,(Slot8_Cost-CQ45*(1+Slot8_Rate)^(Slot8_Age-D45))/KJ45),0)</f>
        <v>0</v>
      </c>
      <c r="KL45" s="20" t="n">
        <f aca="false">IF(AND(HU45=1,IE45&gt;0,Slot8_IsWG=1,CP45=1),MIN(IE45,KK45),0)</f>
        <v>0</v>
      </c>
      <c r="KM45" s="20" t="n">
        <f aca="false">CQ45+KL45</f>
        <v>0</v>
      </c>
      <c r="KN45" s="20" t="n">
        <f aca="false">IF(CP45=1,MAX(0,(Slot8_Cost-KM45*(1+Slot8_Rate)^(Slot8_Age-D45))/KJ45),0)</f>
        <v>0</v>
      </c>
      <c r="KO45" s="20" t="n">
        <f aca="false">IF(CP45=1,MAX(0,(Slot8_Cost-CQ45*(1+Slot8_Rate)^(Slot8_Age-D45))/KJ45),0)</f>
        <v>0</v>
      </c>
      <c r="KP45" s="20" t="n">
        <f aca="false">IF(AND(HU45=1,CP45=1),MIN(KI45,KN45),0)</f>
        <v>0</v>
      </c>
      <c r="KQ45" s="20" t="n">
        <f aca="false">KI45-KP45</f>
        <v>0</v>
      </c>
      <c r="KR45" s="20" t="n">
        <f aca="false">IF(CZ45=1,IF(ABS((1+AS_Wage)/(1+Slot9_Rate)-1)&lt;0.000000000001,(Slot9_Age-D45)*(1+Slot9_Rate)^(Slot9_Age-D45),(1+Slot9_Rate)^(Slot9_Age-D45)*(1-((1+AS_Wage)/(1+Slot9_Rate))^(Slot9_Age-D45))/(1-(1+AS_Wage)/(1+Slot9_Rate))),1)</f>
        <v>1</v>
      </c>
      <c r="KS45" s="20" t="n">
        <f aca="false">IF(AND(HU45=1,IE45&gt;0,Slot9_IsWG=1,CZ45=1),MAX(0,(Slot9_Cost-DA45*(1+Slot9_Rate)^(Slot9_Age-D45))/KR45),0)</f>
        <v>0</v>
      </c>
      <c r="KT45" s="20" t="n">
        <f aca="false">IF(AND(HU45=1,IE45&gt;0,Slot9_IsWG=1,CZ45=1),MIN(IE45,KS45),0)</f>
        <v>0</v>
      </c>
      <c r="KU45" s="20" t="n">
        <f aca="false">DA45+KT45</f>
        <v>0</v>
      </c>
      <c r="KV45" s="20" t="n">
        <f aca="false">IF(CZ45=1,MAX(0,(Slot9_Cost-KU45*(1+Slot9_Rate)^(Slot9_Age-D45))/KR45),0)</f>
        <v>0</v>
      </c>
      <c r="KW45" s="20" t="n">
        <f aca="false">IF(CZ45=1,MAX(0,(Slot9_Cost-DA45*(1+Slot9_Rate)^(Slot9_Age-D45))/KR45),0)</f>
        <v>0</v>
      </c>
      <c r="KX45" s="20" t="n">
        <f aca="false">IF(AND(HU45=1,CZ45=1),MIN(KQ45,KV45),0)</f>
        <v>0</v>
      </c>
      <c r="KY45" s="20" t="n">
        <f aca="false">KQ45-KX45</f>
        <v>0</v>
      </c>
      <c r="KZ45" s="20" t="n">
        <f aca="false">IF(DJ45=1,IF(ABS((1+AS_Wage)/(1+Slot10_Rate)-1)&lt;0.000000000001,(Slot10_Age-D45)*(1+Slot10_Rate)^(Slot10_Age-D45),(1+Slot10_Rate)^(Slot10_Age-D45)*(1-((1+AS_Wage)/(1+Slot10_Rate))^(Slot10_Age-D45))/(1-(1+AS_Wage)/(1+Slot10_Rate))),1)</f>
        <v>1</v>
      </c>
      <c r="LA45" s="20" t="n">
        <f aca="false">IF(AND(HU45=1,IE45&gt;0,Slot10_IsWG=1,DJ45=1),MAX(0,(Slot10_Cost-DK45*(1+Slot10_Rate)^(Slot10_Age-D45))/KZ45),0)</f>
        <v>0</v>
      </c>
      <c r="LB45" s="20" t="n">
        <f aca="false">IF(AND(HU45=1,IE45&gt;0,Slot10_IsWG=1,DJ45=1),MIN(IE45,LA45),0)</f>
        <v>0</v>
      </c>
      <c r="LC45" s="20" t="n">
        <f aca="false">DK45+LB45</f>
        <v>0</v>
      </c>
      <c r="LD45" s="20" t="n">
        <f aca="false">IF(DJ45=1,MAX(0,(Slot10_Cost-LC45*(1+Slot10_Rate)^(Slot10_Age-D45))/KZ45),0)</f>
        <v>0</v>
      </c>
      <c r="LE45" s="20" t="n">
        <f aca="false">IF(DJ45=1,MAX(0,(Slot10_Cost-DK45*(1+Slot10_Rate)^(Slot10_Age-D45))/KZ45),0)</f>
        <v>0</v>
      </c>
      <c r="LF45" s="20" t="n">
        <f aca="false">IF(AND(HU45=1,DJ45=1),MIN(KY45,LD45),0)</f>
        <v>0</v>
      </c>
      <c r="LG45" s="20" t="n">
        <f aca="false">KY45-LF45</f>
        <v>0</v>
      </c>
      <c r="LH45" s="20" t="n">
        <f aca="false">IF(DT45=1,IF(ABS((1+AS_Wage)/(1+Slot11_Rate)-1)&lt;0.000000000001,(Slot11_Age-D45)*(1+Slot11_Rate)^(Slot11_Age-D45),(1+Slot11_Rate)^(Slot11_Age-D45)*(1-((1+AS_Wage)/(1+Slot11_Rate))^(Slot11_Age-D45))/(1-(1+AS_Wage)/(1+Slot11_Rate))),1)</f>
        <v>1</v>
      </c>
      <c r="LI45" s="20" t="n">
        <f aca="false">IF(AND(HU45=1,IE45&gt;0,Slot11_IsWG=1,DT45=1),MAX(0,(Slot11_Cost-DU45*(1+Slot11_Rate)^(Slot11_Age-D45))/LH45),0)</f>
        <v>0</v>
      </c>
      <c r="LJ45" s="20" t="n">
        <f aca="false">IF(AND(HU45=1,IE45&gt;0,Slot11_IsWG=1,DT45=1),MIN(IE45,LI45),0)</f>
        <v>0</v>
      </c>
      <c r="LK45" s="20" t="n">
        <f aca="false">DU45+LJ45</f>
        <v>0</v>
      </c>
      <c r="LL45" s="20" t="n">
        <f aca="false">IF(DT45=1,MAX(0,(Slot11_Cost-LK45*(1+Slot11_Rate)^(Slot11_Age-D45))/LH45),0)</f>
        <v>0</v>
      </c>
      <c r="LM45" s="20" t="n">
        <f aca="false">IF(DT45=1,MAX(0,(Slot11_Cost-DU45*(1+Slot11_Rate)^(Slot11_Age-D45))/LH45),0)</f>
        <v>0</v>
      </c>
      <c r="LN45" s="20" t="n">
        <f aca="false">IF(AND(HU45=1,DT45=1),MIN(LG45,LL45),0)</f>
        <v>0</v>
      </c>
      <c r="LO45" s="20" t="n">
        <f aca="false">LG45-LN45</f>
        <v>0</v>
      </c>
      <c r="LP45" s="20" t="n">
        <f aca="false">IF(ED45=1,IF(ABS((1+AS_Wage)/(1+Slot12_Rate)-1)&lt;0.000000000001,(Slot12_Age-D45)*(1+Slot12_Rate)^(Slot12_Age-D45),(1+Slot12_Rate)^(Slot12_Age-D45)*(1-((1+AS_Wage)/(1+Slot12_Rate))^(Slot12_Age-D45))/(1-(1+AS_Wage)/(1+Slot12_Rate))),1)</f>
        <v>1</v>
      </c>
      <c r="LQ45" s="20" t="n">
        <f aca="false">IF(AND(HU45=1,IE45&gt;0,Slot12_IsWG=1,ED45=1),MAX(0,(Slot12_Cost-EE45*(1+Slot12_Rate)^(Slot12_Age-D45))/LP45),0)</f>
        <v>0</v>
      </c>
      <c r="LR45" s="20" t="n">
        <f aca="false">IF(AND(HU45=1,IE45&gt;0,Slot12_IsWG=1,ED45=1),MIN(IE45,LQ45),0)</f>
        <v>0</v>
      </c>
      <c r="LS45" s="20" t="n">
        <f aca="false">EE45+LR45</f>
        <v>0</v>
      </c>
      <c r="LT45" s="20" t="n">
        <f aca="false">IF(ED45=1,MAX(0,(Slot12_Cost-LS45*(1+Slot12_Rate)^(Slot12_Age-D45))/LP45),0)</f>
        <v>0</v>
      </c>
      <c r="LU45" s="20" t="n">
        <f aca="false">IF(ED45=1,MAX(0,(Slot12_Cost-EE45*(1+Slot12_Rate)^(Slot12_Age-D45))/LP45),0)</f>
        <v>0</v>
      </c>
      <c r="LV45" s="20" t="n">
        <f aca="false">IF(AND(HU45=1,ED45=1),MIN(LO45,LT45),0)</f>
        <v>0</v>
      </c>
      <c r="LW45" s="20" t="n">
        <f aca="false">LO45-LV45</f>
        <v>0</v>
      </c>
      <c r="LX45" s="20" t="n">
        <f aca="false">IF(EN45=1,IF(ABS((1+AS_Wage)/(1+Slot13_Rate)-1)&lt;0.000000000001,(Slot13_Age-D45)*(1+Slot13_Rate)^(Slot13_Age-D45),(1+Slot13_Rate)^(Slot13_Age-D45)*(1-((1+AS_Wage)/(1+Slot13_Rate))^(Slot13_Age-D45))/(1-(1+AS_Wage)/(1+Slot13_Rate))),1)</f>
        <v>1</v>
      </c>
      <c r="LY45" s="20" t="n">
        <f aca="false">IF(AND(HU45=1,IE45&gt;0,Slot13_IsWG=1,EN45=1),MAX(0,(Slot13_Cost-EO45*(1+Slot13_Rate)^(Slot13_Age-D45))/LX45),0)</f>
        <v>0</v>
      </c>
      <c r="LZ45" s="20" t="n">
        <f aca="false">IF(AND(HU45=1,IE45&gt;0,Slot13_IsWG=1,EN45=1),MIN(IE45,LY45),0)</f>
        <v>0</v>
      </c>
      <c r="MA45" s="20" t="n">
        <f aca="false">EO45+LZ45</f>
        <v>0</v>
      </c>
      <c r="MB45" s="20" t="n">
        <f aca="false">IF(EN45=1,MAX(0,(Slot13_Cost-MA45*(1+Slot13_Rate)^(Slot13_Age-D45))/LX45),0)</f>
        <v>0</v>
      </c>
      <c r="MC45" s="20" t="n">
        <f aca="false">IF(EN45=1,MAX(0,(Slot13_Cost-EO45*(1+Slot13_Rate)^(Slot13_Age-D45))/LX45),0)</f>
        <v>0</v>
      </c>
      <c r="MD45" s="20" t="n">
        <f aca="false">IF(AND(HU45=1,EN45=1),MIN(LW45,MB45),0)</f>
        <v>0</v>
      </c>
      <c r="ME45" s="20" t="n">
        <f aca="false">LW45-MD45</f>
        <v>0</v>
      </c>
      <c r="MF45" s="20" t="n">
        <f aca="false">IF(EX45=1,IF(ABS((1+AS_Wage)/(1+Slot14_Rate)-1)&lt;0.000000000001,(Slot14_Age-D45)*(1+Slot14_Rate)^(Slot14_Age-D45),(1+Slot14_Rate)^(Slot14_Age-D45)*(1-((1+AS_Wage)/(1+Slot14_Rate))^(Slot14_Age-D45))/(1-(1+AS_Wage)/(1+Slot14_Rate))),1)</f>
        <v>1</v>
      </c>
      <c r="MG45" s="20" t="n">
        <f aca="false">IF(AND(HU45=1,IE45&gt;0,Slot14_IsWG=1,EX45=1),MAX(0,(Slot14_Cost-EY45*(1+Slot14_Rate)^(Slot14_Age-D45))/MF45),0)</f>
        <v>0</v>
      </c>
      <c r="MH45" s="20" t="n">
        <f aca="false">IF(AND(HU45=1,IE45&gt;0,Slot14_IsWG=1,EX45=1),MIN(IE45,MG45),0)</f>
        <v>0</v>
      </c>
      <c r="MI45" s="20" t="n">
        <f aca="false">EY45+MH45</f>
        <v>0</v>
      </c>
      <c r="MJ45" s="20" t="n">
        <f aca="false">IF(EX45=1,MAX(0,(Slot14_Cost-MI45*(1+Slot14_Rate)^(Slot14_Age-D45))/MF45),0)</f>
        <v>0</v>
      </c>
      <c r="MK45" s="20" t="n">
        <f aca="false">IF(EX45=1,MAX(0,(Slot14_Cost-EY45*(1+Slot14_Rate)^(Slot14_Age-D45))/MF45),0)</f>
        <v>0</v>
      </c>
      <c r="ML45" s="20" t="n">
        <f aca="false">IF(AND(HU45=1,EX45=1),MIN(ME45,MJ45),0)</f>
        <v>0</v>
      </c>
      <c r="MM45" s="20" t="n">
        <f aca="false">ME45-ML45</f>
        <v>0</v>
      </c>
      <c r="MN45" s="20" t="n">
        <f aca="false">IF(FH45=1,IF(ABS((1+AS_Wage)/(1+Slot15_Rate)-1)&lt;0.000000000001,(Slot15_Age-D45)*(1+Slot15_Rate)^(Slot15_Age-D45),(1+Slot15_Rate)^(Slot15_Age-D45)*(1-((1+AS_Wage)/(1+Slot15_Rate))^(Slot15_Age-D45))/(1-(1+AS_Wage)/(1+Slot15_Rate))),1)</f>
        <v>1</v>
      </c>
      <c r="MO45" s="20" t="n">
        <f aca="false">IF(AND(HU45=1,IE45&gt;0,Slot15_IsWG=1,FH45=1),MAX(0,(Slot15_Cost-FI45*(1+Slot15_Rate)^(Slot15_Age-D45))/MN45),0)</f>
        <v>0</v>
      </c>
      <c r="MP45" s="20" t="n">
        <f aca="false">IF(AND(HU45=1,IE45&gt;0,Slot15_IsWG=1,FH45=1),MIN(IE45,MO45),0)</f>
        <v>0</v>
      </c>
      <c r="MQ45" s="20" t="n">
        <f aca="false">FI45+MP45</f>
        <v>0</v>
      </c>
      <c r="MR45" s="20" t="n">
        <f aca="false">IF(FH45=1,MAX(0,(Slot15_Cost-MQ45*(1+Slot15_Rate)^(Slot15_Age-D45))/MN45),0)</f>
        <v>0</v>
      </c>
      <c r="MS45" s="20" t="n">
        <f aca="false">IF(FH45=1,MAX(0,(Slot15_Cost-FI45*(1+Slot15_Rate)^(Slot15_Age-D45))/MN45),0)</f>
        <v>0</v>
      </c>
      <c r="MT45" s="20" t="n">
        <f aca="false">IF(AND(HU45=1,FH45=1),MIN(MM45,MR45),0)</f>
        <v>0</v>
      </c>
      <c r="MU45" s="20" t="n">
        <f aca="false">MM45-MT45</f>
        <v>0</v>
      </c>
      <c r="MV45" s="20" t="n">
        <f aca="false">IF(FR45=1,IF(ABS((1+AS_Wage)/(1+Slot16_Rate)-1)&lt;0.000000000001,(Slot16_Age-D45)*(1+Slot16_Rate)^(Slot16_Age-D45),(1+Slot16_Rate)^(Slot16_Age-D45)*(1-((1+AS_Wage)/(1+Slot16_Rate))^(Slot16_Age-D45))/(1-(1+AS_Wage)/(1+Slot16_Rate))),1)</f>
        <v>1</v>
      </c>
      <c r="MW45" s="20" t="n">
        <f aca="false">IF(AND(HU45=1,IE45&gt;0,Slot16_IsWG=1,FR45=1),MAX(0,(Slot16_Cost-FS45*(1+Slot16_Rate)^(Slot16_Age-D45))/MV45),0)</f>
        <v>0</v>
      </c>
      <c r="MX45" s="20" t="n">
        <f aca="false">IF(AND(HU45=1,IE45&gt;0,Slot16_IsWG=1,FR45=1),MIN(IE45,MW45),0)</f>
        <v>0</v>
      </c>
      <c r="MY45" s="20" t="n">
        <f aca="false">FS45+MX45</f>
        <v>0</v>
      </c>
      <c r="MZ45" s="20" t="n">
        <f aca="false">IF(FR45=1,MAX(0,(Slot16_Cost-MY45*(1+Slot16_Rate)^(Slot16_Age-D45))/MV45),0)</f>
        <v>0</v>
      </c>
      <c r="NA45" s="20" t="n">
        <f aca="false">IF(FR45=1,MAX(0,(Slot16_Cost-FS45*(1+Slot16_Rate)^(Slot16_Age-D45))/MV45),0)</f>
        <v>0</v>
      </c>
      <c r="NB45" s="20" t="n">
        <f aca="false">IF(AND(HU45=1,FR45=1),MIN(MU45,MZ45),0)</f>
        <v>0</v>
      </c>
      <c r="NC45" s="20" t="n">
        <f aca="false">MU45-NB45</f>
        <v>0</v>
      </c>
      <c r="ND45" s="20" t="n">
        <f aca="false">IF(GB45=1,IF(ABS((1+AS_Wage)/(1+Slot17_Rate)-1)&lt;0.000000000001,(Slot17_Age-D45)*(1+Slot17_Rate)^(Slot17_Age-D45),(1+Slot17_Rate)^(Slot17_Age-D45)*(1-((1+AS_Wage)/(1+Slot17_Rate))^(Slot17_Age-D45))/(1-(1+AS_Wage)/(1+Slot17_Rate))),1)</f>
        <v>1</v>
      </c>
      <c r="NE45" s="20" t="n">
        <f aca="false">IF(AND(HU45=1,IE45&gt;0,Slot17_IsWG=1,GB45=1),MAX(0,(Slot17_Cost-GC45*(1+Slot17_Rate)^(Slot17_Age-D45))/ND45),0)</f>
        <v>0</v>
      </c>
      <c r="NF45" s="20" t="n">
        <f aca="false">IF(AND(HU45=1,IE45&gt;0,Slot17_IsWG=1,GB45=1),MIN(IE45,NE45),0)</f>
        <v>0</v>
      </c>
      <c r="NG45" s="20" t="n">
        <f aca="false">GC45+NF45</f>
        <v>0</v>
      </c>
      <c r="NH45" s="20" t="n">
        <f aca="false">IF(GB45=1,MAX(0,(Slot17_Cost-NG45*(1+Slot17_Rate)^(Slot17_Age-D45))/ND45),0)</f>
        <v>0</v>
      </c>
      <c r="NI45" s="20" t="n">
        <f aca="false">IF(GB45=1,MAX(0,(Slot17_Cost-GC45*(1+Slot17_Rate)^(Slot17_Age-D45))/ND45),0)</f>
        <v>0</v>
      </c>
      <c r="NJ45" s="20" t="n">
        <f aca="false">IF(AND(HU45=1,GB45=1),MIN(NC45,NH45),0)</f>
        <v>0</v>
      </c>
      <c r="NK45" s="20" t="n">
        <f aca="false">NC45-NJ45</f>
        <v>0</v>
      </c>
      <c r="NL45" s="20" t="n">
        <f aca="false">IF(GL45=1,IF(ABS((1+AS_Wage)/(1+Slot18_Rate)-1)&lt;0.000000000001,(Slot18_Age-D45)*(1+Slot18_Rate)^(Slot18_Age-D45),(1+Slot18_Rate)^(Slot18_Age-D45)*(1-((1+AS_Wage)/(1+Slot18_Rate))^(Slot18_Age-D45))/(1-(1+AS_Wage)/(1+Slot18_Rate))),1)</f>
        <v>1</v>
      </c>
      <c r="NM45" s="20" t="n">
        <f aca="false">IF(AND(HU45=1,IE45&gt;0,Slot18_IsWG=1,GL45=1),MAX(0,(Slot18_Cost-GM45*(1+Slot18_Rate)^(Slot18_Age-D45))/NL45),0)</f>
        <v>0</v>
      </c>
      <c r="NN45" s="20" t="n">
        <f aca="false">IF(AND(HU45=1,IE45&gt;0,Slot18_IsWG=1,GL45=1),MIN(IE45,NM45),0)</f>
        <v>0</v>
      </c>
      <c r="NO45" s="20" t="n">
        <f aca="false">GM45+NN45</f>
        <v>0</v>
      </c>
      <c r="NP45" s="20" t="n">
        <f aca="false">IF(GL45=1,MAX(0,(Slot18_Cost-NO45*(1+Slot18_Rate)^(Slot18_Age-D45))/NL45),0)</f>
        <v>0</v>
      </c>
      <c r="NQ45" s="20" t="n">
        <f aca="false">IF(GL45=1,MAX(0,(Slot18_Cost-GM45*(1+Slot18_Rate)^(Slot18_Age-D45))/NL45),0)</f>
        <v>0</v>
      </c>
      <c r="NR45" s="20" t="n">
        <f aca="false">IF(AND(HU45=1,GL45=1),MIN(NK45,NP45),0)</f>
        <v>0</v>
      </c>
      <c r="NS45" s="20" t="n">
        <f aca="false">NK45-NR45</f>
        <v>0</v>
      </c>
      <c r="NT45" s="20" t="n">
        <f aca="false">IF(GV45=1,IF(ABS((1+AS_Wage)/(1+Slot19_Rate)-1)&lt;0.000000000001,(Slot19_Age-D45)*(1+Slot19_Rate)^(Slot19_Age-D45),(1+Slot19_Rate)^(Slot19_Age-D45)*(1-((1+AS_Wage)/(1+Slot19_Rate))^(Slot19_Age-D45))/(1-(1+AS_Wage)/(1+Slot19_Rate))),1)</f>
        <v>1</v>
      </c>
      <c r="NU45" s="20" t="n">
        <f aca="false">IF(AND(HU45=1,IE45&gt;0,Slot19_IsWG=1,GV45=1),MAX(0,(Slot19_Cost-GW45*(1+Slot19_Rate)^(Slot19_Age-D45))/NT45),0)</f>
        <v>0</v>
      </c>
      <c r="NV45" s="20" t="n">
        <f aca="false">IF(AND(HU45=1,IE45&gt;0,Slot19_IsWG=1,GV45=1),MIN(IE45,NU45),0)</f>
        <v>0</v>
      </c>
      <c r="NW45" s="20" t="n">
        <f aca="false">GW45+NV45</f>
        <v>0</v>
      </c>
      <c r="NX45" s="20" t="n">
        <f aca="false">IF(GV45=1,MAX(0,(Slot19_Cost-NW45*(1+Slot19_Rate)^(Slot19_Age-D45))/NT45),0)</f>
        <v>0</v>
      </c>
      <c r="NY45" s="20" t="n">
        <f aca="false">IF(GV45=1,MAX(0,(Slot19_Cost-GW45*(1+Slot19_Rate)^(Slot19_Age-D45))/NT45),0)</f>
        <v>0</v>
      </c>
      <c r="NZ45" s="20" t="n">
        <f aca="false">IF(AND(HU45=1,GV45=1),MIN(NS45,NX45),0)</f>
        <v>0</v>
      </c>
      <c r="OA45" s="20" t="n">
        <f aca="false">NS45-NZ45</f>
        <v>0</v>
      </c>
      <c r="OB45" s="20" t="n">
        <f aca="false">IF(HF45=1,IF(ABS((1+AS_Wage)/(1+Slot20_Rate)-1)&lt;0.000000000001,(Slot20_Age-D45)*(1+Slot20_Rate)^(Slot20_Age-D45),(1+Slot20_Rate)^(Slot20_Age-D45)*(1-((1+AS_Wage)/(1+Slot20_Rate))^(Slot20_Age-D45))/(1-(1+AS_Wage)/(1+Slot20_Rate))),1)</f>
        <v>1</v>
      </c>
      <c r="OC45" s="20" t="n">
        <f aca="false">IF(AND(HU45=1,IE45&gt;0,Slot20_IsWG=1,HF45=1),MAX(0,(Slot20_Cost-HG45*(1+Slot20_Rate)^(Slot20_Age-D45))/OB45),0)</f>
        <v>0</v>
      </c>
      <c r="OD45" s="20" t="n">
        <f aca="false">IF(AND(HU45=1,IE45&gt;0,Slot20_IsWG=1,HF45=1),MIN(IE45,OC45),0)</f>
        <v>0</v>
      </c>
      <c r="OE45" s="20" t="n">
        <f aca="false">HG45+OD45</f>
        <v>0</v>
      </c>
      <c r="OF45" s="20" t="n">
        <f aca="false">IF(HF45=1,MAX(0,(Slot20_Cost-OE45*(1+Slot20_Rate)^(Slot20_Age-D45))/OB45),0)</f>
        <v>0</v>
      </c>
      <c r="OG45" s="20" t="n">
        <f aca="false">IF(HF45=1,MAX(0,(Slot20_Cost-HG45*(1+Slot20_Rate)^(Slot20_Age-D45))/OB45),0)</f>
        <v>0</v>
      </c>
      <c r="OH45" s="20" t="n">
        <f aca="false">IF(AND(HU45=1,HF45=1),MIN(OA45,OF45),0)</f>
        <v>0</v>
      </c>
      <c r="OI45" s="20" t="n">
        <f aca="false">OA45-OH45</f>
        <v>0</v>
      </c>
      <c r="OJ45" s="20" t="n">
        <f aca="false">IE45-(IH45+IP45+IX45+JF45+JN45+JV45+KD45+KL45+KT45+LB45+LJ45+LR45+LZ45+MH45+MP45+MX45+NF45+NN45+NV45+OD45)</f>
        <v>0</v>
      </c>
      <c r="OK45" s="20" t="n">
        <f aca="false">IF(HU45=1,HS45-ID45-IE45,0)</f>
        <v>0</v>
      </c>
      <c r="OL45" s="20" t="n">
        <f aca="false">IF(HU45=0,-HS45,0)</f>
        <v>23577.9911845889</v>
      </c>
      <c r="OM45" s="20" t="n">
        <f aca="false">MIN(OL45,HK45)</f>
        <v>23577.9911845889</v>
      </c>
      <c r="ON45" s="20" t="n">
        <f aca="false">OL45-OM45</f>
        <v>0</v>
      </c>
      <c r="OO45" s="20" t="n">
        <f aca="false">MIN(ON45,HL45)</f>
        <v>0</v>
      </c>
      <c r="OP45" s="20" t="n">
        <f aca="false">ON45-OO45</f>
        <v>0</v>
      </c>
      <c r="OQ45" s="20" t="n">
        <f aca="false">IF(AND(HU45=0,HF45=1,OP45&gt;0),MIN(OP45,HG45),0)</f>
        <v>0</v>
      </c>
      <c r="OR45" s="20" t="n">
        <f aca="false">OP45-OQ45</f>
        <v>0</v>
      </c>
      <c r="OS45" s="20" t="n">
        <f aca="false">IF(AND(HU45=0,GV45=1,OR45&gt;0),MIN(OR45,GW45),0)</f>
        <v>0</v>
      </c>
      <c r="OT45" s="20" t="n">
        <f aca="false">OR45-OS45</f>
        <v>0</v>
      </c>
      <c r="OU45" s="20" t="n">
        <f aca="false">IF(AND(HU45=0,GL45=1,OT45&gt;0),MIN(OT45,GM45),0)</f>
        <v>0</v>
      </c>
      <c r="OV45" s="20" t="n">
        <f aca="false">OT45-OU45</f>
        <v>0</v>
      </c>
      <c r="OW45" s="20" t="n">
        <f aca="false">IF(AND(HU45=0,GB45=1,OV45&gt;0),MIN(OV45,GC45),0)</f>
        <v>0</v>
      </c>
      <c r="OX45" s="20" t="n">
        <f aca="false">OV45-OW45</f>
        <v>0</v>
      </c>
      <c r="OY45" s="20" t="n">
        <f aca="false">IF(AND(HU45=0,FR45=1,OX45&gt;0),MIN(OX45,FS45),0)</f>
        <v>0</v>
      </c>
      <c r="OZ45" s="20" t="n">
        <f aca="false">OX45-OY45</f>
        <v>0</v>
      </c>
      <c r="PA45" s="20" t="n">
        <f aca="false">IF(AND(HU45=0,FH45=1,OZ45&gt;0),MIN(OZ45,FI45),0)</f>
        <v>0</v>
      </c>
      <c r="PB45" s="20" t="n">
        <f aca="false">OZ45-PA45</f>
        <v>0</v>
      </c>
      <c r="PC45" s="20" t="n">
        <f aca="false">IF(AND(HU45=0,EX45=1,PB45&gt;0),MIN(PB45,EY45),0)</f>
        <v>0</v>
      </c>
      <c r="PD45" s="20" t="n">
        <f aca="false">PB45-PC45</f>
        <v>0</v>
      </c>
      <c r="PE45" s="20" t="n">
        <f aca="false">IF(AND(HU45=0,EN45=1,PD45&gt;0),MIN(PD45,EO45),0)</f>
        <v>0</v>
      </c>
      <c r="PF45" s="20" t="n">
        <f aca="false">PD45-PE45</f>
        <v>0</v>
      </c>
      <c r="PG45" s="20" t="n">
        <f aca="false">IF(AND(HU45=0,ED45=1,PF45&gt;0),MIN(PF45,EE45),0)</f>
        <v>0</v>
      </c>
      <c r="PH45" s="20" t="n">
        <f aca="false">PF45-PG45</f>
        <v>0</v>
      </c>
      <c r="PI45" s="20" t="n">
        <f aca="false">IF(AND(HU45=0,DT45=1,PH45&gt;0),MIN(PH45,DU45),0)</f>
        <v>0</v>
      </c>
      <c r="PJ45" s="20" t="n">
        <f aca="false">PH45-PI45</f>
        <v>0</v>
      </c>
      <c r="PK45" s="20" t="n">
        <f aca="false">IF(AND(HU45=0,DJ45=1,PJ45&gt;0),MIN(PJ45,DK45),0)</f>
        <v>0</v>
      </c>
      <c r="PL45" s="20" t="n">
        <f aca="false">PJ45-PK45</f>
        <v>0</v>
      </c>
      <c r="PM45" s="20" t="n">
        <f aca="false">IF(AND(HU45=0,CZ45=1,PL45&gt;0),MIN(PL45,DA45),0)</f>
        <v>0</v>
      </c>
      <c r="PN45" s="20" t="n">
        <f aca="false">PL45-PM45</f>
        <v>0</v>
      </c>
      <c r="PO45" s="20" t="n">
        <f aca="false">IF(AND(HU45=0,CP45=1,PN45&gt;0),MIN(PN45,CQ45),0)</f>
        <v>0</v>
      </c>
      <c r="PP45" s="20" t="n">
        <f aca="false">PN45-PO45</f>
        <v>0</v>
      </c>
      <c r="PQ45" s="20" t="n">
        <f aca="false">IF(AND(HU45=0,CF45=1,PP45&gt;0),MIN(PP45,CG45),0)</f>
        <v>0</v>
      </c>
      <c r="PR45" s="20" t="n">
        <f aca="false">PP45-PQ45</f>
        <v>0</v>
      </c>
      <c r="PS45" s="20" t="n">
        <f aca="false">IF(AND(HU45=0,BV45=1,PR45&gt;0),MIN(PR45,BW45),0)</f>
        <v>0</v>
      </c>
      <c r="PT45" s="20" t="n">
        <f aca="false">PR45-PS45</f>
        <v>0</v>
      </c>
      <c r="PU45" s="20" t="n">
        <f aca="false">IF(AND(HU45=0,BL45=1,PT45&gt;0),MIN(PT45,BM45),0)</f>
        <v>0</v>
      </c>
      <c r="PV45" s="20" t="n">
        <f aca="false">PT45-PU45</f>
        <v>0</v>
      </c>
      <c r="PW45" s="20" t="n">
        <f aca="false">IF(AND(HU45=0,BB45=1,PV45&gt;0),MIN(PV45,BC45),0)</f>
        <v>0</v>
      </c>
      <c r="PX45" s="20" t="n">
        <f aca="false">PV45-PW45</f>
        <v>0</v>
      </c>
      <c r="PY45" s="20" t="n">
        <f aca="false">IF(AND(HU45=0,AR45=1,PX45&gt;0),MIN(PX45,AS45),0)</f>
        <v>0</v>
      </c>
      <c r="PZ45" s="20" t="n">
        <f aca="false">PX45-PY45</f>
        <v>0</v>
      </c>
      <c r="QA45" s="20" t="n">
        <f aca="false">IF(AND(HU45=0,AH45=1,PZ45&gt;0),MIN(PZ45,AI45),0)</f>
        <v>0</v>
      </c>
      <c r="QB45" s="20" t="n">
        <f aca="false">PZ45-QA45</f>
        <v>0</v>
      </c>
      <c r="QC45" s="20" t="n">
        <f aca="false">IF(AND(HU45=0,W45=1,QB45&gt;0),MIN(QB45,X45),0)</f>
        <v>0</v>
      </c>
      <c r="QD45" s="20" t="n">
        <f aca="false">QB45-QC45</f>
        <v>0</v>
      </c>
      <c r="QE45" s="20" t="n">
        <f aca="false">IF(HU45=0,QD45,0)</f>
        <v>0</v>
      </c>
      <c r="QF45" s="20" t="n">
        <f aca="false">OM45+OO45+QC45+QA45+PY45+PW45+PU45+PS45+PQ45+PO45+PM45+PK45+PI45+PG45+PE45+PC45+PA45+OY45+OW45+OU45+OS45+OQ45</f>
        <v>23577.9911845889</v>
      </c>
      <c r="QG45" s="20" t="n">
        <f aca="false">IF(HU45=1,HK45+OJ45+OI45+IF(G45=1,0,OK45),HK45-OM45)</f>
        <v>33582.9497858471</v>
      </c>
      <c r="QH45" s="20" t="n">
        <f aca="false">HL45-OO45</f>
        <v>16118.7316048095</v>
      </c>
      <c r="QI45" s="20" t="n">
        <f aca="false">IF(HU45=1,IF(G45=1,ID45+IE45,HS45),0)</f>
        <v>0</v>
      </c>
      <c r="QJ45" s="20" t="n">
        <f aca="false">IF(HU45=1,IF(G45=1,HS45-ID45-IE45,0),0)</f>
        <v>0</v>
      </c>
      <c r="QK45" s="57" t="n">
        <f aca="false">'Plan holdings'!BM45</f>
        <v>36867.1869883514</v>
      </c>
      <c r="QL45" s="20" t="n">
        <f aca="false">QH45*(1+AS_Cash)</f>
        <v>16279.9189208576</v>
      </c>
      <c r="QM45" s="20" t="n">
        <f aca="false">IF(W45=1,IF(HU45=1,II45+IL45,X45-QC45)*(1+Slot1_Rate),0)</f>
        <v>0</v>
      </c>
      <c r="QN45" s="20" t="n">
        <f aca="false">IF(AND(HU45=1,W45=1),(IH45+IL45)/F45,0)</f>
        <v>0</v>
      </c>
      <c r="QO45" s="20" t="n">
        <f aca="false">IF(B45=0,IH45+IL45,0)</f>
        <v>0</v>
      </c>
      <c r="QP45" s="20" t="n">
        <f aca="false">IF(B45=0,IF(HU45=1,IJ45,IK45),0)</f>
        <v>0</v>
      </c>
      <c r="QQ45" s="20" t="n">
        <f aca="false">IF(AH45=1,IF(HU45=1,IQ45+IT45,AI45-QA45)*(1+Slot2_Rate),0)</f>
        <v>0</v>
      </c>
      <c r="QR45" s="20" t="n">
        <f aca="false">IF(AND(HU45=1,AH45=1),(IP45+IT45)/F45,0)</f>
        <v>0</v>
      </c>
      <c r="QS45" s="20" t="n">
        <f aca="false">IF(B45=0,IP45+IT45,0)</f>
        <v>0</v>
      </c>
      <c r="QT45" s="20" t="n">
        <f aca="false">IF(B45=0,IF(HU45=1,IR45,IS45),0)</f>
        <v>0</v>
      </c>
      <c r="QU45" s="20" t="n">
        <f aca="false">IF(AR45=1,IF(HU45=1,IY45+JB45,AS45-PY45)*(1+Slot3_Rate),0)</f>
        <v>0</v>
      </c>
      <c r="QV45" s="20" t="n">
        <f aca="false">IF(AND(HU45=1,AR45=1),(IX45+JB45)/F45,0)</f>
        <v>0</v>
      </c>
      <c r="QW45" s="20" t="n">
        <f aca="false">IF(B45=0,IX45+JB45,0)</f>
        <v>0</v>
      </c>
      <c r="QX45" s="20" t="n">
        <f aca="false">IF(B45=0,IF(HU45=1,IZ45,JA45),0)</f>
        <v>0</v>
      </c>
      <c r="QY45" s="20" t="n">
        <f aca="false">IF(BB45=1,IF(HU45=1,JG45+JJ45,BC45-PW45)*(1+Slot4_Rate),0)</f>
        <v>0</v>
      </c>
      <c r="QZ45" s="20" t="n">
        <f aca="false">IF(AND(HU45=1,BB45=1),(JF45+JJ45)/F45,0)</f>
        <v>0</v>
      </c>
      <c r="RA45" s="20" t="n">
        <f aca="false">IF(B45=0,JF45+JJ45,0)</f>
        <v>0</v>
      </c>
      <c r="RB45" s="20" t="n">
        <f aca="false">IF(B45=0,IF(HU45=1,JH45,JI45),0)</f>
        <v>0</v>
      </c>
      <c r="RC45" s="20" t="n">
        <f aca="false">IF(BL45=1,IF(HU45=1,JO45+JR45,BM45-PU45)*(1+Slot5_Rate),0)</f>
        <v>0</v>
      </c>
      <c r="RD45" s="20" t="n">
        <f aca="false">IF(AND(HU45=1,BL45=1),(JN45+JR45)/F45,0)</f>
        <v>0</v>
      </c>
      <c r="RE45" s="20" t="n">
        <f aca="false">IF(B45=0,JN45+JR45,0)</f>
        <v>0</v>
      </c>
      <c r="RF45" s="20" t="n">
        <f aca="false">IF(B45=0,IF(HU45=1,JP45,JQ45),0)</f>
        <v>0</v>
      </c>
      <c r="RG45" s="20" t="n">
        <f aca="false">IF(BV45=1,IF(HU45=1,JW45+JZ45,BW45-PS45)*(1+Slot6_Rate),0)</f>
        <v>0</v>
      </c>
      <c r="RH45" s="20" t="n">
        <f aca="false">IF(AND(HU45=1,BV45=1),(JV45+JZ45)/F45,0)</f>
        <v>0</v>
      </c>
      <c r="RI45" s="20" t="n">
        <f aca="false">IF(B45=0,JV45+JZ45,0)</f>
        <v>0</v>
      </c>
      <c r="RJ45" s="20" t="n">
        <f aca="false">IF(B45=0,IF(HU45=1,JX45,JY45),0)</f>
        <v>0</v>
      </c>
      <c r="RK45" s="20" t="n">
        <f aca="false">IF(CF45=1,IF(HU45=1,KE45+KH45,CG45-PQ45)*(1+Slot7_Rate),0)</f>
        <v>0</v>
      </c>
      <c r="RL45" s="20" t="n">
        <f aca="false">IF(AND(HU45=1,CF45=1),(KD45+KH45)/F45,0)</f>
        <v>0</v>
      </c>
      <c r="RM45" s="20" t="n">
        <f aca="false">IF(B45=0,KD45+KH45,0)</f>
        <v>0</v>
      </c>
      <c r="RN45" s="20" t="n">
        <f aca="false">IF(B45=0,IF(HU45=1,KF45,KG45),0)</f>
        <v>0</v>
      </c>
      <c r="RO45" s="20" t="n">
        <f aca="false">IF(CP45=1,IF(HU45=1,KM45+KP45,CQ45-PO45)*(1+Slot8_Rate),0)</f>
        <v>0</v>
      </c>
      <c r="RP45" s="20" t="n">
        <f aca="false">IF(AND(HU45=1,CP45=1),(KL45+KP45)/F45,0)</f>
        <v>0</v>
      </c>
      <c r="RQ45" s="20" t="n">
        <f aca="false">IF(B45=0,KL45+KP45,0)</f>
        <v>0</v>
      </c>
      <c r="RR45" s="20" t="n">
        <f aca="false">IF(B45=0,IF(HU45=1,KN45,KO45),0)</f>
        <v>0</v>
      </c>
      <c r="RS45" s="20" t="n">
        <f aca="false">IF(CZ45=1,IF(HU45=1,KU45+KX45,DA45-PM45)*(1+Slot9_Rate),0)</f>
        <v>0</v>
      </c>
      <c r="RT45" s="20" t="n">
        <f aca="false">IF(AND(HU45=1,CZ45=1),(KT45+KX45)/F45,0)</f>
        <v>0</v>
      </c>
      <c r="RU45" s="20" t="n">
        <f aca="false">IF(B45=0,KT45+KX45,0)</f>
        <v>0</v>
      </c>
      <c r="RV45" s="20" t="n">
        <f aca="false">IF(B45=0,IF(HU45=1,KV45,KW45),0)</f>
        <v>0</v>
      </c>
      <c r="RW45" s="20" t="n">
        <f aca="false">IF(DJ45=1,IF(HU45=1,LC45+LF45,DK45-PK45)*(1+Slot10_Rate),0)</f>
        <v>0</v>
      </c>
      <c r="RX45" s="20" t="n">
        <f aca="false">IF(AND(HU45=1,DJ45=1),(LB45+LF45)/F45,0)</f>
        <v>0</v>
      </c>
      <c r="RY45" s="20" t="n">
        <f aca="false">IF(B45=0,LB45+LF45,0)</f>
        <v>0</v>
      </c>
      <c r="RZ45" s="20" t="n">
        <f aca="false">IF(B45=0,IF(HU45=1,LD45,LE45),0)</f>
        <v>0</v>
      </c>
      <c r="SA45" s="20" t="n">
        <f aca="false">IF(DT45=1,IF(HU45=1,LK45+LN45,DU45-PI45)*(1+Slot11_Rate),0)</f>
        <v>0</v>
      </c>
      <c r="SB45" s="20" t="n">
        <f aca="false">IF(AND(HU45=1,DT45=1),(LJ45+LN45)/F45,0)</f>
        <v>0</v>
      </c>
      <c r="SC45" s="20" t="n">
        <f aca="false">IF(B45=0,LJ45+LN45,0)</f>
        <v>0</v>
      </c>
      <c r="SD45" s="20" t="n">
        <f aca="false">IF(B45=0,IF(HU45=1,LL45,LM45),0)</f>
        <v>0</v>
      </c>
      <c r="SE45" s="20" t="n">
        <f aca="false">IF(ED45=1,IF(HU45=1,LS45+LV45,EE45-PG45)*(1+Slot12_Rate),0)</f>
        <v>0</v>
      </c>
      <c r="SF45" s="20" t="n">
        <f aca="false">IF(AND(HU45=1,ED45=1),(LR45+LV45)/F45,0)</f>
        <v>0</v>
      </c>
      <c r="SG45" s="20" t="n">
        <f aca="false">IF(B45=0,LR45+LV45,0)</f>
        <v>0</v>
      </c>
      <c r="SH45" s="20" t="n">
        <f aca="false">IF(B45=0,IF(HU45=1,LT45,LU45),0)</f>
        <v>0</v>
      </c>
      <c r="SI45" s="20" t="n">
        <f aca="false">IF(EN45=1,IF(HU45=1,MA45+MD45,EO45-PE45)*(1+Slot13_Rate),0)</f>
        <v>0</v>
      </c>
      <c r="SJ45" s="20" t="n">
        <f aca="false">IF(AND(HU45=1,EN45=1),(LZ45+MD45)/F45,0)</f>
        <v>0</v>
      </c>
      <c r="SK45" s="20" t="n">
        <f aca="false">IF(B45=0,LZ45+MD45,0)</f>
        <v>0</v>
      </c>
      <c r="SL45" s="20" t="n">
        <f aca="false">IF(B45=0,IF(HU45=1,MB45,MC45),0)</f>
        <v>0</v>
      </c>
      <c r="SM45" s="20" t="n">
        <f aca="false">IF(EX45=1,IF(HU45=1,MI45+ML45,EY45-PC45)*(1+Slot14_Rate),0)</f>
        <v>0</v>
      </c>
      <c r="SN45" s="20" t="n">
        <f aca="false">IF(AND(HU45=1,EX45=1),(MH45+ML45)/F45,0)</f>
        <v>0</v>
      </c>
      <c r="SO45" s="20" t="n">
        <f aca="false">IF(B45=0,MH45+ML45,0)</f>
        <v>0</v>
      </c>
      <c r="SP45" s="20" t="n">
        <f aca="false">IF(B45=0,IF(HU45=1,MJ45,MK45),0)</f>
        <v>0</v>
      </c>
      <c r="SQ45" s="20" t="n">
        <f aca="false">IF(FH45=1,IF(HU45=1,MQ45+MT45,FI45-PA45)*(1+Slot15_Rate),0)</f>
        <v>0</v>
      </c>
      <c r="SR45" s="20" t="n">
        <f aca="false">IF(AND(HU45=1,FH45=1),(MP45+MT45)/F45,0)</f>
        <v>0</v>
      </c>
      <c r="SS45" s="20" t="n">
        <f aca="false">IF(B45=0,MP45+MT45,0)</f>
        <v>0</v>
      </c>
      <c r="ST45" s="20" t="n">
        <f aca="false">IF(B45=0,IF(HU45=1,MR45,MS45),0)</f>
        <v>0</v>
      </c>
      <c r="SU45" s="20" t="n">
        <f aca="false">IF(FR45=1,IF(HU45=1,MY45+NB45,FS45-OY45)*(1+Slot16_Rate),0)</f>
        <v>0</v>
      </c>
      <c r="SV45" s="20" t="n">
        <f aca="false">IF(AND(HU45=1,FR45=1),(MX45+NB45)/F45,0)</f>
        <v>0</v>
      </c>
      <c r="SW45" s="20" t="n">
        <f aca="false">IF(B45=0,MX45+NB45,0)</f>
        <v>0</v>
      </c>
      <c r="SX45" s="20" t="n">
        <f aca="false">IF(B45=0,IF(HU45=1,MZ45,NA45),0)</f>
        <v>0</v>
      </c>
      <c r="SY45" s="20" t="n">
        <f aca="false">IF(GB45=1,IF(HU45=1,NG45+NJ45,GC45-OW45)*(1+Slot17_Rate),0)</f>
        <v>0</v>
      </c>
      <c r="SZ45" s="20" t="n">
        <f aca="false">IF(AND(HU45=1,GB45=1),(NF45+NJ45)/F45,0)</f>
        <v>0</v>
      </c>
      <c r="TA45" s="20" t="n">
        <f aca="false">IF(B45=0,NF45+NJ45,0)</f>
        <v>0</v>
      </c>
      <c r="TB45" s="20" t="n">
        <f aca="false">IF(B45=0,IF(HU45=1,NH45,NI45),0)</f>
        <v>0</v>
      </c>
      <c r="TC45" s="20" t="n">
        <f aca="false">IF(GL45=1,IF(HU45=1,NO45+NR45,GM45-OU45)*(1+Slot18_Rate),0)</f>
        <v>0</v>
      </c>
      <c r="TD45" s="20" t="n">
        <f aca="false">IF(AND(HU45=1,GL45=1),(NN45+NR45)/F45,0)</f>
        <v>0</v>
      </c>
      <c r="TE45" s="20" t="n">
        <f aca="false">IF(B45=0,NN45+NR45,0)</f>
        <v>0</v>
      </c>
      <c r="TF45" s="20" t="n">
        <f aca="false">IF(B45=0,IF(HU45=1,NP45,NQ45),0)</f>
        <v>0</v>
      </c>
      <c r="TG45" s="20" t="n">
        <f aca="false">IF(GV45=1,IF(HU45=1,NW45+NZ45,GW45-OS45)*(1+Slot19_Rate),0)</f>
        <v>0</v>
      </c>
      <c r="TH45" s="20" t="n">
        <f aca="false">IF(AND(HU45=1,GV45=1),(NV45+NZ45)/F45,0)</f>
        <v>0</v>
      </c>
      <c r="TI45" s="20" t="n">
        <f aca="false">IF(B45=0,NV45+NZ45,0)</f>
        <v>0</v>
      </c>
      <c r="TJ45" s="20" t="n">
        <f aca="false">IF(B45=0,IF(HU45=1,NX45,NY45),0)</f>
        <v>0</v>
      </c>
      <c r="TK45" s="20" t="n">
        <f aca="false">IF(HF45=1,IF(HU45=1,OE45+OH45,HG45-OQ45)*(1+Slot20_Rate),0)</f>
        <v>0</v>
      </c>
      <c r="TL45" s="20" t="n">
        <f aca="false">IF(AND(HU45=1,HF45=1),(OD45+OH45)/F45,0)</f>
        <v>0</v>
      </c>
      <c r="TM45" s="20" t="n">
        <f aca="false">IF(B45=0,OD45+OH45,0)</f>
        <v>0</v>
      </c>
      <c r="TN45" s="20" t="n">
        <f aca="false">IF(B45=0,IF(HU45=1,OF45,OG45),0)</f>
        <v>0</v>
      </c>
      <c r="TO45" s="20" t="n">
        <f aca="false">QK45+QL45+QM45+QQ45+QU45+QY45+RC45+RG45+RK45+RO45+RS45+RW45+SA45+SE45+SI45+SM45+SQ45+SU45+SY45+TC45+TG45+TK45</f>
        <v>53147.1059092089</v>
      </c>
      <c r="TP45" s="20" t="n">
        <f aca="false">QE45+HP45</f>
        <v>0</v>
      </c>
      <c r="TQ45" s="20" t="n">
        <f aca="false">I45+S45</f>
        <v>99456.7473302029</v>
      </c>
      <c r="TR45" s="20" t="n">
        <f aca="false">1-G45</f>
        <v>1</v>
      </c>
      <c r="TS45" s="20" t="n">
        <f aca="false">IF(AND(RG_Exists=1,G45=0,C45=1),I45,0)</f>
        <v>99456.7473302029</v>
      </c>
      <c r="TT45" s="20" t="n">
        <f aca="false">IF(AND(RG_Exists=1,G45=0,C45=1),I45-MIN(QE45,I45),0)</f>
        <v>99456.7473302029</v>
      </c>
      <c r="TU45" s="20" t="n">
        <f aca="false">'Plan pay &amp; tax'!AD271</f>
        <v>373192.852914455</v>
      </c>
      <c r="TV45" s="20" t="n">
        <f aca="false">IF(AND(C45=1,QE45&gt;MAX(PR_Short1,TQ45*PR_Short2)),1,0)</f>
        <v>0</v>
      </c>
      <c r="TW45" s="20" t="n">
        <f aca="false">MIN(H45,I45+S45)</f>
        <v>75878.7561456141</v>
      </c>
      <c r="TX45" s="20" t="n">
        <f aca="false">QF45+MAX(0,HQ45-HP45)</f>
        <v>23577.9911845889</v>
      </c>
      <c r="TY45" s="20" t="n">
        <f aca="false">QE45+HP45</f>
        <v>0</v>
      </c>
      <c r="TZ45" s="20" t="n">
        <f aca="false">IF(AND(C45=1,TY45&gt;PR_MinShort),1,0)</f>
        <v>0</v>
      </c>
      <c r="UA45" s="20" t="n">
        <f aca="false">IF(AND(C45=1,TZ45=0,TX45&gt;PR_MinShort),1,0)</f>
        <v>1</v>
      </c>
      <c r="UB45" s="20" t="n">
        <f aca="false">IF(AND(C45=1,QE45&gt;PR_MinShort),1,0)</f>
        <v>0</v>
      </c>
      <c r="UC45" s="20" t="n">
        <f aca="false">IF(AND(C45=1,QF45&gt;1,UJ45=0),1,0)</f>
        <v>1</v>
      </c>
      <c r="UD45" s="20" t="str">
        <f aca="false">IF(C45=0,"",IF(UJ45=1,"Gap to plan for: short "&amp;"€"&amp;TEXT(ROUND(TP45,0),"#,##0"),IF(QF45&gt;1,"Using savings","Comfortable")))</f>
        <v>Using savings</v>
      </c>
      <c r="UE45" s="20" t="n">
        <f aca="false">IF(AND(INT(D45/10)*10=90,B45&gt;0),80,INT(D45/10)*10)</f>
        <v>70</v>
      </c>
      <c r="UF45" s="20" t="n">
        <f aca="false">IF(B45=0,1,IF(UE45&lt;&gt;UE44,UF44+1,UF44))</f>
        <v>5</v>
      </c>
      <c r="UG45" s="20" t="n">
        <f aca="false">IF(AND(C45=1,G45=1,QE45&gt;MAX(PR_Short1,TQ45*PR_Short2)),1,0)</f>
        <v>0</v>
      </c>
      <c r="UH45" s="20" t="n">
        <f aca="false">TR45*TV45</f>
        <v>0</v>
      </c>
      <c r="UI45" s="20" t="n">
        <f aca="false">IF(AND(V45=1,Slot1_PctLow=1),1,0)+IF(AND(AG45=1,Slot2_PctLow=1),1,0)+IF(AND(AQ45=1,Slot3_PctLow=1),1,0)+IF(AND(BA45=1,Slot4_PctLow=1),1,0)+IF(AND(BK45=1,Slot5_PctLow=1),1,0)+IF(AND(BU45=1,Slot6_PctLow=1),1,0)+IF(AND(CE45=1,Slot7_PctLow=1),1,0)+IF(AND(CO45=1,Slot8_PctLow=1),1,0)+IF(AND(CY45=1,Slot9_PctLow=1),1,0)+IF(AND(DI45=1,Slot10_PctLow=1),1,0)+IF(AND(DS45=1,Slot11_PctLow=1),1,0)+IF(AND(EC45=1,Slot12_PctLow=1),1,0)+IF(AND(EM45=1,Slot13_PctLow=1),1,0)+IF(AND(EW45=1,Slot14_PctLow=1),1,0)+IF(AND(FG45=1,Slot15_PctLow=1),1,0)+IF(AND(FQ45=1,Slot16_PctLow=1),1,0)+IF(AND(GA45=1,Slot17_PctLow=1),1,0)+IF(AND(GK45=1,Slot18_PctLow=1),1,0)+IF(AND(GU45=1,Slot19_PctLow=1),1,0)+IF(AND(HE45=1,Slot20_PctLow=1),1,0)</f>
        <v>0</v>
      </c>
      <c r="UJ45" s="20" t="n">
        <f aca="false">IF(C45=1,IF(OR(TV45=1,UI45&gt;0),1,0),0)</f>
        <v>0</v>
      </c>
      <c r="UK45" s="20" t="n">
        <f aca="false">Z45+AK45+AU45+BE45+BO45+BY45+CI45+CS45+DC45+DM45+DW45+EG45+EQ45+FA45+FK45+FU45+GE45+GO45+GY45+HI45+OM45</f>
        <v>23577.9911845889</v>
      </c>
      <c r="UL45" s="20" t="n">
        <f aca="false">V45*IF(Slot1_SpendLike=1,X45-Y45,IF(Slot1_PotFree=1,X45,0))+AG45*IF(Slot2_SpendLike=1,AI45-AJ45,IF(Slot2_PotFree=1,AI45,0))+AQ45*IF(Slot3_SpendLike=1,AS45-AT45,IF(Slot3_PotFree=1,AS45,0))+BA45*IF(Slot4_SpendLike=1,BC45-BD45,IF(Slot4_PotFree=1,BC45,0))+BK45*IF(Slot5_SpendLike=1,BM45-BN45,IF(Slot5_PotFree=1,BM45,0))+BU45*IF(Slot6_SpendLike=1,BW45-BX45,IF(Slot6_PotFree=1,BW45,0))+CE45*IF(Slot7_SpendLike=1,CG45-CH45,IF(Slot7_PotFree=1,CG45,0))+CO45*IF(Slot8_SpendLike=1,CQ45-CR45,IF(Slot8_PotFree=1,CQ45,0))+CY45*IF(Slot9_SpendLike=1,DA45-DB45,IF(Slot9_PotFree=1,DA45,0))+DI45*IF(Slot10_SpendLike=1,DK45-DL45,IF(Slot10_PotFree=1,DK45,0))+DS45*IF(Slot11_SpendLike=1,DU45-DV45,IF(Slot11_PotFree=1,DU45,0))+EC45*IF(Slot12_SpendLike=1,EE45-EF45,IF(Slot12_PotFree=1,EE45,0))+EM45*IF(Slot13_SpendLike=1,EO45-EP45,IF(Slot13_PotFree=1,EO45,0))+EW45*IF(Slot14_SpendLike=1,EY45-EZ45,IF(Slot14_PotFree=1,EY45,0))+FG45*IF(Slot15_SpendLike=1,FI45-FJ45,IF(Slot15_PotFree=1,FI45,0))+FQ45*IF(Slot16_SpendLike=1,FS45-FT45,IF(Slot16_PotFree=1,FS45,0))+GA45*IF(Slot17_SpendLike=1,GC45-GD45,IF(Slot17_PotFree=1,GC45,0))+GK45*IF(Slot18_SpendLike=1,GM45-GN45,IF(Slot18_PotFree=1,GM45,0))+GU45*IF(Slot19_SpendLike=1,GW45-GX45,IF(Slot19_PotFree=1,GW45,0))+HE45*IF(Slot20_SpendLike=1,HG45-HH45,IF(Slot20_PotFree=1,HG45,0))</f>
        <v>0</v>
      </c>
      <c r="UM45" s="20" t="n">
        <f aca="false">QG45-T45+UK45-UL45</f>
        <v>0</v>
      </c>
      <c r="UN45" s="20" t="n">
        <f aca="false">IF(OR(UN44=1,AND(In_homeUse="Yes, I'd downsize",In_downAge&gt;0,D45=In_downAge,OR(In_home="Own outright",In_home="Own with mortgage"),In_homeValue&gt;0)),1,0)</f>
        <v>0</v>
      </c>
    </row>
    <row r="46" customFormat="false" ht="15" hidden="false" customHeight="true" outlineLevel="0" collapsed="false">
      <c r="B46" s="20" t="n">
        <v>38</v>
      </c>
      <c r="C46" s="20" t="n">
        <f aca="false">IF(B46&lt;=F_N,1,0)</f>
        <v>1</v>
      </c>
      <c r="D46" s="20" t="n">
        <f aca="false">'Plan pay &amp; tax'!C272</f>
        <v>76</v>
      </c>
      <c r="E46" s="20" t="str">
        <f aca="false">IF($C46=1,"Income tax "&amp;TEXT(N('Plan pay &amp; tax'!BK272),"#,##0")&amp;"; USC "&amp;TEXT(N('Plan pay &amp; tax'!BM272)+N('Plan pay &amp; tax'!BO272),"#,##0")&amp;"; PRSI "&amp;TEXT(N('Plan pay &amp; tax'!BP272)+N('Plan pay &amp; tax'!BQ272),"#,##0")&amp;IF(N('Plan holdings'!BO46)&gt;=0.5,"; DIRT "&amp;TEXT(('Plan holdings'!BO46)/$F46,"#,##0")&amp;" (already taken from the interest earned)","")&amp;IF(N('Plan holdings'!BP46)&gt;=0.5,"; exit tax at an 8-year anniversary "&amp;TEXT(('Plan holdings'!BP46)/$F46,"#,##0"),"")&amp;IF(N('Plan holdings'!BN46)&gt;=0.5,"; tax on assets sold (exit tax or capital gains tax) "&amp;TEXT(('Plan holdings'!BN46)/$F46,"#,##0"),"")&amp;IF(N('Plan pay &amp; tax'!X272)-N('Plan pay &amp; tax'!Y272)&gt;=0.5,"; tax on the pension lump sum "&amp;TEXT(('Plan pay &amp; tax'!X272-'Plan pay &amp; tax'!Y272)/$F46,"#,##0"),"")&amp;IF(N('Plan pay &amp; tax'!V272)&gt;=0.5,"; chargeable excess tax on the pension "&amp;TEXT(('Plan pay &amp; tax'!V272)/$F46,"#,##0"),"")&amp;".","")</f>
        <v>Income tax 626; USC 0; PRSI 0; DIRT 38 (already taken from the interest earned); tax on assets sold (exit tax or capital gains tax) 843.</v>
      </c>
      <c r="F46" s="50" t="n">
        <f aca="false">'Plan pay &amp; tax'!E272</f>
        <v>2.12229879240182</v>
      </c>
      <c r="G46" s="20" t="n">
        <f aca="false">'Plan pay &amp; tax'!G272</f>
        <v>0</v>
      </c>
      <c r="H46" s="20" t="n">
        <f aca="false">'Plan pay &amp; tax'!BT272-'Plan pay &amp; tax'!BS272-'Plan pay &amp; tax'!R272</f>
        <v>76785.8476670039</v>
      </c>
      <c r="I46" s="20" t="n">
        <f aca="false">IF(G46=1,F_CostsM*12,IF(RG_Exists=1,RG_Amount,F_CostsM*12*AS_RetireSpend))*F46+F_OneOffY*F46</f>
        <v>101445.882276807</v>
      </c>
      <c r="J46" s="20" t="n">
        <f aca="false">IF(UN46=1,0,HR45)</f>
        <v>0</v>
      </c>
      <c r="K46" s="20" t="n">
        <f aca="false">IF(J46&gt;1,'Plan debt months'!AC46,0)</f>
        <v>0</v>
      </c>
      <c r="L46" s="20" t="n">
        <f aca="false">IF(J46&gt;1,'Plan debt months'!AB46,J46)</f>
        <v>0</v>
      </c>
      <c r="M46" s="20" t="n">
        <f aca="false">O45</f>
        <v>0</v>
      </c>
      <c r="N46" s="20" t="n">
        <f aca="false">IF(M46&gt;1,'Plan debt months'!BD46,0)</f>
        <v>0</v>
      </c>
      <c r="O46" s="20" t="n">
        <f aca="false">IF(M46&gt;1,'Plan debt months'!BC46,M46)</f>
        <v>0</v>
      </c>
      <c r="P46" s="20" t="n">
        <f aca="false">R45</f>
        <v>0</v>
      </c>
      <c r="Q46" s="20" t="n">
        <f aca="false">IF(P46&gt;1,'Plan debt months'!CE46,0)</f>
        <v>0</v>
      </c>
      <c r="R46" s="20" t="n">
        <f aca="false">IF(P46&gt;1,'Plan debt months'!CD46,P46)</f>
        <v>0</v>
      </c>
      <c r="S46" s="20" t="n">
        <f aca="false">K46+N46+Q46</f>
        <v>0</v>
      </c>
      <c r="T46" s="57" t="n">
        <f aca="false">'Plan holdings'!Y46</f>
        <v>34462.0903986462</v>
      </c>
      <c r="U46" s="57" t="n">
        <f aca="false">'Plan holdings'!BM45</f>
        <v>36867.1869883514</v>
      </c>
      <c r="V46" s="20" t="n">
        <f aca="false">IF(AND(Slot1_On=1,D46=Slot1_Age),1,0)</f>
        <v>0</v>
      </c>
      <c r="W46" s="20" t="n">
        <f aca="false">IF(AND(Slot1_On=1,Slot1_Age&gt;D46),1,0)</f>
        <v>0</v>
      </c>
      <c r="X46" s="20" t="n">
        <f aca="false">QM45</f>
        <v>0</v>
      </c>
      <c r="Y46" s="20" t="n">
        <f aca="false">V46*MIN(Slot1_Cost,X46)</f>
        <v>0</v>
      </c>
      <c r="Z46" s="20" t="n">
        <f aca="false">V46*Slot1_SpendLike*MIN(Slot1_Cost-Y46,T46)</f>
        <v>0</v>
      </c>
      <c r="AA46" s="20" t="n">
        <f aca="false">Y46+Z46</f>
        <v>0</v>
      </c>
      <c r="AB46" s="20" t="n">
        <f aca="false">T46-Z46+V46*IF(Slot1_SpendLike=1,X46-Y46,IF(Slot1_PotFree=1,X46,0))</f>
        <v>34462.0903986462</v>
      </c>
      <c r="AC46" s="20" t="n">
        <f aca="false">AF46+V46*Slot1_BufPot*X46</f>
        <v>16279.9189208576</v>
      </c>
      <c r="AD46" s="20" t="n">
        <f aca="false">IF(AND(V46=1,Slot1_IsMfree=1),IF(AA46&gt;=Slot1_Cost-1,0,MAX(0,L46-AA46)),L46)</f>
        <v>0</v>
      </c>
      <c r="AE46" s="20" t="n">
        <f aca="false">V46*(Slot1_Cost-AA46)</f>
        <v>0</v>
      </c>
      <c r="AF46" s="20" t="n">
        <f aca="false">QL45</f>
        <v>16279.9189208576</v>
      </c>
      <c r="AG46" s="20" t="n">
        <f aca="false">IF(AND(Slot2_On=1,D46=Slot2_Age),1,0)</f>
        <v>0</v>
      </c>
      <c r="AH46" s="20" t="n">
        <f aca="false">IF(AND(Slot2_On=1,Slot2_Age&gt;D46),1,0)</f>
        <v>0</v>
      </c>
      <c r="AI46" s="20" t="n">
        <f aca="false">QQ45</f>
        <v>0</v>
      </c>
      <c r="AJ46" s="20" t="n">
        <f aca="false">AG46*MIN(Slot2_Cost,AI46)</f>
        <v>0</v>
      </c>
      <c r="AK46" s="20" t="n">
        <f aca="false">AG46*Slot2_SpendLike*MIN(Slot2_Cost-AJ46,AB46)</f>
        <v>0</v>
      </c>
      <c r="AL46" s="20" t="n">
        <f aca="false">AJ46+AK46</f>
        <v>0</v>
      </c>
      <c r="AM46" s="20" t="n">
        <f aca="false">AB46-AK46+AG46*IF(Slot2_SpendLike=1,AI46-AJ46,IF(Slot2_PotFree=1,AI46,0))</f>
        <v>34462.0903986462</v>
      </c>
      <c r="AN46" s="20" t="n">
        <f aca="false">AC46+AG46*Slot2_BufPot*AI46</f>
        <v>16279.9189208576</v>
      </c>
      <c r="AO46" s="20" t="n">
        <f aca="false">IF(AND(AG46=1,Slot2_IsMfree=1),IF(AL46&gt;=Slot2_Cost-1,0,MAX(0,AD46-AL46)),AD46)</f>
        <v>0</v>
      </c>
      <c r="AP46" s="20" t="n">
        <f aca="false">AG46*(Slot2_Cost-AL46)</f>
        <v>0</v>
      </c>
      <c r="AQ46" s="20" t="n">
        <f aca="false">IF(AND(Slot3_On=1,D46=Slot3_Age),1,0)</f>
        <v>0</v>
      </c>
      <c r="AR46" s="20" t="n">
        <f aca="false">IF(AND(Slot3_On=1,Slot3_Age&gt;D46),1,0)</f>
        <v>0</v>
      </c>
      <c r="AS46" s="20" t="n">
        <f aca="false">QU45</f>
        <v>0</v>
      </c>
      <c r="AT46" s="20" t="n">
        <f aca="false">AQ46*MIN(Slot3_Cost,AS46)</f>
        <v>0</v>
      </c>
      <c r="AU46" s="20" t="n">
        <f aca="false">AQ46*Slot3_SpendLike*MIN(Slot3_Cost-AT46,AM46)</f>
        <v>0</v>
      </c>
      <c r="AV46" s="20" t="n">
        <f aca="false">AT46+AU46</f>
        <v>0</v>
      </c>
      <c r="AW46" s="20" t="n">
        <f aca="false">AM46-AU46+AQ46*IF(Slot3_SpendLike=1,AS46-AT46,IF(Slot3_PotFree=1,AS46,0))</f>
        <v>34462.0903986462</v>
      </c>
      <c r="AX46" s="20" t="n">
        <f aca="false">AN46+AQ46*Slot3_BufPot*AS46</f>
        <v>16279.9189208576</v>
      </c>
      <c r="AY46" s="20" t="n">
        <f aca="false">IF(AND(AQ46=1,Slot3_IsMfree=1),IF(AV46&gt;=Slot3_Cost-1,0,MAX(0,AO46-AV46)),AO46)</f>
        <v>0</v>
      </c>
      <c r="AZ46" s="20" t="n">
        <f aca="false">AQ46*(Slot3_Cost-AV46)</f>
        <v>0</v>
      </c>
      <c r="BA46" s="20" t="n">
        <f aca="false">IF(AND(Slot4_On=1,D46=Slot4_Age),1,0)</f>
        <v>0</v>
      </c>
      <c r="BB46" s="20" t="n">
        <f aca="false">IF(AND(Slot4_On=1,Slot4_Age&gt;D46),1,0)</f>
        <v>0</v>
      </c>
      <c r="BC46" s="20" t="n">
        <f aca="false">QY45</f>
        <v>0</v>
      </c>
      <c r="BD46" s="20" t="n">
        <f aca="false">BA46*MIN(Slot4_Cost,BC46)</f>
        <v>0</v>
      </c>
      <c r="BE46" s="20" t="n">
        <f aca="false">BA46*Slot4_SpendLike*MIN(Slot4_Cost-BD46,AW46)</f>
        <v>0</v>
      </c>
      <c r="BF46" s="20" t="n">
        <f aca="false">BD46+BE46</f>
        <v>0</v>
      </c>
      <c r="BG46" s="20" t="n">
        <f aca="false">AW46-BE46+BA46*IF(Slot4_SpendLike=1,BC46-BD46,IF(Slot4_PotFree=1,BC46,0))</f>
        <v>34462.0903986462</v>
      </c>
      <c r="BH46" s="20" t="n">
        <f aca="false">AX46+BA46*Slot4_BufPot*BC46</f>
        <v>16279.9189208576</v>
      </c>
      <c r="BI46" s="20" t="n">
        <f aca="false">IF(AND(BA46=1,Slot4_IsMfree=1),IF(BF46&gt;=Slot4_Cost-1,0,MAX(0,AY46-BF46)),AY46)</f>
        <v>0</v>
      </c>
      <c r="BJ46" s="20" t="n">
        <f aca="false">BA46*(Slot4_Cost-BF46)</f>
        <v>0</v>
      </c>
      <c r="BK46" s="20" t="n">
        <f aca="false">IF(AND(Slot5_On=1,D46=Slot5_Age),1,0)</f>
        <v>0</v>
      </c>
      <c r="BL46" s="20" t="n">
        <f aca="false">IF(AND(Slot5_On=1,Slot5_Age&gt;D46),1,0)</f>
        <v>0</v>
      </c>
      <c r="BM46" s="20" t="n">
        <f aca="false">RC45</f>
        <v>0</v>
      </c>
      <c r="BN46" s="20" t="n">
        <f aca="false">BK46*MIN(Slot5_Cost,BM46)</f>
        <v>0</v>
      </c>
      <c r="BO46" s="20" t="n">
        <f aca="false">BK46*Slot5_SpendLike*MIN(Slot5_Cost-BN46,BG46)</f>
        <v>0</v>
      </c>
      <c r="BP46" s="20" t="n">
        <f aca="false">BN46+BO46</f>
        <v>0</v>
      </c>
      <c r="BQ46" s="20" t="n">
        <f aca="false">BG46-BO46+BK46*IF(Slot5_SpendLike=1,BM46-BN46,IF(Slot5_PotFree=1,BM46,0))</f>
        <v>34462.0903986462</v>
      </c>
      <c r="BR46" s="20" t="n">
        <f aca="false">BH46+BK46*Slot5_BufPot*BM46</f>
        <v>16279.9189208576</v>
      </c>
      <c r="BS46" s="20" t="n">
        <f aca="false">IF(AND(BK46=1,Slot5_IsMfree=1),IF(BP46&gt;=Slot5_Cost-1,0,MAX(0,BI46-BP46)),BI46)</f>
        <v>0</v>
      </c>
      <c r="BT46" s="20" t="n">
        <f aca="false">BK46*(Slot5_Cost-BP46)</f>
        <v>0</v>
      </c>
      <c r="BU46" s="20" t="n">
        <f aca="false">IF(AND(Slot6_On=1,D46=Slot6_Age),1,0)</f>
        <v>0</v>
      </c>
      <c r="BV46" s="20" t="n">
        <f aca="false">IF(AND(Slot6_On=1,Slot6_Age&gt;D46),1,0)</f>
        <v>0</v>
      </c>
      <c r="BW46" s="20" t="n">
        <f aca="false">RG45</f>
        <v>0</v>
      </c>
      <c r="BX46" s="20" t="n">
        <f aca="false">BU46*MIN(Slot6_Cost,BW46)</f>
        <v>0</v>
      </c>
      <c r="BY46" s="20" t="n">
        <f aca="false">BU46*Slot6_SpendLike*MIN(Slot6_Cost-BX46,BQ46)</f>
        <v>0</v>
      </c>
      <c r="BZ46" s="20" t="n">
        <f aca="false">BX46+BY46</f>
        <v>0</v>
      </c>
      <c r="CA46" s="20" t="n">
        <f aca="false">BQ46-BY46+BU46*IF(Slot6_SpendLike=1,BW46-BX46,IF(Slot6_PotFree=1,BW46,0))</f>
        <v>34462.0903986462</v>
      </c>
      <c r="CB46" s="20" t="n">
        <f aca="false">BR46+BU46*Slot6_BufPot*BW46</f>
        <v>16279.9189208576</v>
      </c>
      <c r="CC46" s="20" t="n">
        <f aca="false">IF(AND(BU46=1,Slot6_IsMfree=1),IF(BZ46&gt;=Slot6_Cost-1,0,MAX(0,BS46-BZ46)),BS46)</f>
        <v>0</v>
      </c>
      <c r="CD46" s="20" t="n">
        <f aca="false">BU46*(Slot6_Cost-BZ46)</f>
        <v>0</v>
      </c>
      <c r="CE46" s="20" t="n">
        <f aca="false">IF(AND(Slot7_On=1,D46=Slot7_Age),1,0)</f>
        <v>0</v>
      </c>
      <c r="CF46" s="20" t="n">
        <f aca="false">IF(AND(Slot7_On=1,Slot7_Age&gt;D46),1,0)</f>
        <v>0</v>
      </c>
      <c r="CG46" s="20" t="n">
        <f aca="false">RK45</f>
        <v>0</v>
      </c>
      <c r="CH46" s="20" t="n">
        <f aca="false">CE46*MIN(Slot7_Cost,CG46)</f>
        <v>0</v>
      </c>
      <c r="CI46" s="20" t="n">
        <f aca="false">CE46*Slot7_SpendLike*MIN(Slot7_Cost-CH46,CA46)</f>
        <v>0</v>
      </c>
      <c r="CJ46" s="20" t="n">
        <f aca="false">CH46+CI46</f>
        <v>0</v>
      </c>
      <c r="CK46" s="20" t="n">
        <f aca="false">CA46-CI46+CE46*IF(Slot7_SpendLike=1,CG46-CH46,IF(Slot7_PotFree=1,CG46,0))</f>
        <v>34462.0903986462</v>
      </c>
      <c r="CL46" s="20" t="n">
        <f aca="false">CB46+CE46*Slot7_BufPot*CG46</f>
        <v>16279.9189208576</v>
      </c>
      <c r="CM46" s="20" t="n">
        <f aca="false">IF(AND(CE46=1,Slot7_IsMfree=1),IF(CJ46&gt;=Slot7_Cost-1,0,MAX(0,CC46-CJ46)),CC46)</f>
        <v>0</v>
      </c>
      <c r="CN46" s="20" t="n">
        <f aca="false">CE46*(Slot7_Cost-CJ46)</f>
        <v>0</v>
      </c>
      <c r="CO46" s="20" t="n">
        <f aca="false">IF(AND(Slot8_On=1,D46=Slot8_Age),1,0)</f>
        <v>0</v>
      </c>
      <c r="CP46" s="20" t="n">
        <f aca="false">IF(AND(Slot8_On=1,Slot8_Age&gt;D46),1,0)</f>
        <v>0</v>
      </c>
      <c r="CQ46" s="20" t="n">
        <f aca="false">RO45</f>
        <v>0</v>
      </c>
      <c r="CR46" s="20" t="n">
        <f aca="false">CO46*MIN(Slot8_Cost,CQ46)</f>
        <v>0</v>
      </c>
      <c r="CS46" s="20" t="n">
        <f aca="false">CO46*Slot8_SpendLike*MIN(Slot8_Cost-CR46,CK46)</f>
        <v>0</v>
      </c>
      <c r="CT46" s="20" t="n">
        <f aca="false">CR46+CS46</f>
        <v>0</v>
      </c>
      <c r="CU46" s="20" t="n">
        <f aca="false">CK46-CS46+CO46*IF(Slot8_SpendLike=1,CQ46-CR46,IF(Slot8_PotFree=1,CQ46,0))</f>
        <v>34462.0903986462</v>
      </c>
      <c r="CV46" s="20" t="n">
        <f aca="false">CL46+CO46*Slot8_BufPot*CQ46</f>
        <v>16279.9189208576</v>
      </c>
      <c r="CW46" s="20" t="n">
        <f aca="false">IF(AND(CO46=1,Slot8_IsMfree=1),IF(CT46&gt;=Slot8_Cost-1,0,MAX(0,CM46-CT46)),CM46)</f>
        <v>0</v>
      </c>
      <c r="CX46" s="20" t="n">
        <f aca="false">CO46*(Slot8_Cost-CT46)</f>
        <v>0</v>
      </c>
      <c r="CY46" s="20" t="n">
        <f aca="false">IF(AND(Slot9_On=1,D46=Slot9_Age),1,0)</f>
        <v>0</v>
      </c>
      <c r="CZ46" s="20" t="n">
        <f aca="false">IF(AND(Slot9_On=1,Slot9_Age&gt;D46),1,0)</f>
        <v>0</v>
      </c>
      <c r="DA46" s="20" t="n">
        <f aca="false">RS45</f>
        <v>0</v>
      </c>
      <c r="DB46" s="20" t="n">
        <f aca="false">CY46*MIN(Slot9_Cost,DA46)</f>
        <v>0</v>
      </c>
      <c r="DC46" s="20" t="n">
        <f aca="false">CY46*Slot9_SpendLike*MIN(Slot9_Cost-DB46,CU46)</f>
        <v>0</v>
      </c>
      <c r="DD46" s="20" t="n">
        <f aca="false">DB46+DC46</f>
        <v>0</v>
      </c>
      <c r="DE46" s="20" t="n">
        <f aca="false">CU46-DC46+CY46*IF(Slot9_SpendLike=1,DA46-DB46,IF(Slot9_PotFree=1,DA46,0))</f>
        <v>34462.0903986462</v>
      </c>
      <c r="DF46" s="20" t="n">
        <f aca="false">CV46+CY46*Slot9_BufPot*DA46</f>
        <v>16279.9189208576</v>
      </c>
      <c r="DG46" s="20" t="n">
        <f aca="false">IF(AND(CY46=1,Slot9_IsMfree=1),IF(DD46&gt;=Slot9_Cost-1,0,MAX(0,CW46-DD46)),CW46)</f>
        <v>0</v>
      </c>
      <c r="DH46" s="20" t="n">
        <f aca="false">CY46*(Slot9_Cost-DD46)</f>
        <v>0</v>
      </c>
      <c r="DI46" s="20" t="n">
        <f aca="false">IF(AND(Slot10_On=1,D46=Slot10_Age),1,0)</f>
        <v>0</v>
      </c>
      <c r="DJ46" s="20" t="n">
        <f aca="false">IF(AND(Slot10_On=1,Slot10_Age&gt;D46),1,0)</f>
        <v>0</v>
      </c>
      <c r="DK46" s="20" t="n">
        <f aca="false">RW45</f>
        <v>0</v>
      </c>
      <c r="DL46" s="20" t="n">
        <f aca="false">DI46*MIN(Slot10_Cost,DK46)</f>
        <v>0</v>
      </c>
      <c r="DM46" s="20" t="n">
        <f aca="false">DI46*Slot10_SpendLike*MIN(Slot10_Cost-DL46,DE46)</f>
        <v>0</v>
      </c>
      <c r="DN46" s="20" t="n">
        <f aca="false">DL46+DM46</f>
        <v>0</v>
      </c>
      <c r="DO46" s="20" t="n">
        <f aca="false">DE46-DM46+DI46*IF(Slot10_SpendLike=1,DK46-DL46,IF(Slot10_PotFree=1,DK46,0))</f>
        <v>34462.0903986462</v>
      </c>
      <c r="DP46" s="20" t="n">
        <f aca="false">DF46+DI46*Slot10_BufPot*DK46</f>
        <v>16279.9189208576</v>
      </c>
      <c r="DQ46" s="20" t="n">
        <f aca="false">IF(AND(DI46=1,Slot10_IsMfree=1),IF(DN46&gt;=Slot10_Cost-1,0,MAX(0,DG46-DN46)),DG46)</f>
        <v>0</v>
      </c>
      <c r="DR46" s="20" t="n">
        <f aca="false">DI46*(Slot10_Cost-DN46)</f>
        <v>0</v>
      </c>
      <c r="DS46" s="20" t="n">
        <f aca="false">IF(AND(Slot11_On=1,D46=Slot11_Age),1,0)</f>
        <v>0</v>
      </c>
      <c r="DT46" s="20" t="n">
        <f aca="false">IF(AND(Slot11_On=1,Slot11_Age&gt;D46),1,0)</f>
        <v>0</v>
      </c>
      <c r="DU46" s="20" t="n">
        <f aca="false">SA45</f>
        <v>0</v>
      </c>
      <c r="DV46" s="20" t="n">
        <f aca="false">DS46*MIN(Slot11_Cost,DU46)</f>
        <v>0</v>
      </c>
      <c r="DW46" s="20" t="n">
        <f aca="false">DS46*Slot11_SpendLike*MIN(Slot11_Cost-DV46,DO46)</f>
        <v>0</v>
      </c>
      <c r="DX46" s="20" t="n">
        <f aca="false">DV46+DW46</f>
        <v>0</v>
      </c>
      <c r="DY46" s="20" t="n">
        <f aca="false">DO46-DW46+DS46*IF(Slot11_SpendLike=1,DU46-DV46,IF(Slot11_PotFree=1,DU46,0))</f>
        <v>34462.0903986462</v>
      </c>
      <c r="DZ46" s="20" t="n">
        <f aca="false">DP46+DS46*Slot11_BufPot*DU46</f>
        <v>16279.9189208576</v>
      </c>
      <c r="EA46" s="20" t="n">
        <f aca="false">IF(AND(DS46=1,Slot11_IsMfree=1),IF(DX46&gt;=Slot11_Cost-1,0,MAX(0,DQ46-DX46)),DQ46)</f>
        <v>0</v>
      </c>
      <c r="EB46" s="20" t="n">
        <f aca="false">DS46*(Slot11_Cost-DX46)</f>
        <v>0</v>
      </c>
      <c r="EC46" s="20" t="n">
        <f aca="false">IF(AND(Slot12_On=1,D46=Slot12_Age),1,0)</f>
        <v>0</v>
      </c>
      <c r="ED46" s="20" t="n">
        <f aca="false">IF(AND(Slot12_On=1,Slot12_Age&gt;D46),1,0)</f>
        <v>0</v>
      </c>
      <c r="EE46" s="20" t="n">
        <f aca="false">SE45</f>
        <v>0</v>
      </c>
      <c r="EF46" s="20" t="n">
        <f aca="false">EC46*MIN(Slot12_Cost,EE46)</f>
        <v>0</v>
      </c>
      <c r="EG46" s="20" t="n">
        <f aca="false">EC46*Slot12_SpendLike*MIN(Slot12_Cost-EF46,DY46)</f>
        <v>0</v>
      </c>
      <c r="EH46" s="20" t="n">
        <f aca="false">EF46+EG46</f>
        <v>0</v>
      </c>
      <c r="EI46" s="20" t="n">
        <f aca="false">DY46-EG46+EC46*IF(Slot12_SpendLike=1,EE46-EF46,IF(Slot12_PotFree=1,EE46,0))</f>
        <v>34462.0903986462</v>
      </c>
      <c r="EJ46" s="20" t="n">
        <f aca="false">DZ46+EC46*Slot12_BufPot*EE46</f>
        <v>16279.9189208576</v>
      </c>
      <c r="EK46" s="20" t="n">
        <f aca="false">IF(AND(EC46=1,Slot12_IsMfree=1),IF(EH46&gt;=Slot12_Cost-1,0,MAX(0,EA46-EH46)),EA46)</f>
        <v>0</v>
      </c>
      <c r="EL46" s="20" t="n">
        <f aca="false">EC46*(Slot12_Cost-EH46)</f>
        <v>0</v>
      </c>
      <c r="EM46" s="20" t="n">
        <f aca="false">IF(AND(Slot13_On=1,D46=Slot13_Age),1,0)</f>
        <v>0</v>
      </c>
      <c r="EN46" s="20" t="n">
        <f aca="false">IF(AND(Slot13_On=1,Slot13_Age&gt;D46),1,0)</f>
        <v>0</v>
      </c>
      <c r="EO46" s="20" t="n">
        <f aca="false">SI45</f>
        <v>0</v>
      </c>
      <c r="EP46" s="20" t="n">
        <f aca="false">EM46*MIN(Slot13_Cost,EO46)</f>
        <v>0</v>
      </c>
      <c r="EQ46" s="20" t="n">
        <f aca="false">EM46*Slot13_SpendLike*MIN(Slot13_Cost-EP46,EI46)</f>
        <v>0</v>
      </c>
      <c r="ER46" s="20" t="n">
        <f aca="false">EP46+EQ46</f>
        <v>0</v>
      </c>
      <c r="ES46" s="20" t="n">
        <f aca="false">EI46-EQ46+EM46*IF(Slot13_SpendLike=1,EO46-EP46,IF(Slot13_PotFree=1,EO46,0))</f>
        <v>34462.0903986462</v>
      </c>
      <c r="ET46" s="20" t="n">
        <f aca="false">EJ46+EM46*Slot13_BufPot*EO46</f>
        <v>16279.9189208576</v>
      </c>
      <c r="EU46" s="20" t="n">
        <f aca="false">IF(AND(EM46=1,Slot13_IsMfree=1),IF(ER46&gt;=Slot13_Cost-1,0,MAX(0,EK46-ER46)),EK46)</f>
        <v>0</v>
      </c>
      <c r="EV46" s="20" t="n">
        <f aca="false">EM46*(Slot13_Cost-ER46)</f>
        <v>0</v>
      </c>
      <c r="EW46" s="20" t="n">
        <f aca="false">IF(AND(Slot14_On=1,D46=Slot14_Age),1,0)</f>
        <v>0</v>
      </c>
      <c r="EX46" s="20" t="n">
        <f aca="false">IF(AND(Slot14_On=1,Slot14_Age&gt;D46),1,0)</f>
        <v>0</v>
      </c>
      <c r="EY46" s="20" t="n">
        <f aca="false">SM45</f>
        <v>0</v>
      </c>
      <c r="EZ46" s="20" t="n">
        <f aca="false">EW46*MIN(Slot14_Cost,EY46)</f>
        <v>0</v>
      </c>
      <c r="FA46" s="20" t="n">
        <f aca="false">EW46*Slot14_SpendLike*MIN(Slot14_Cost-EZ46,ES46)</f>
        <v>0</v>
      </c>
      <c r="FB46" s="20" t="n">
        <f aca="false">EZ46+FA46</f>
        <v>0</v>
      </c>
      <c r="FC46" s="20" t="n">
        <f aca="false">ES46-FA46+EW46*IF(Slot14_SpendLike=1,EY46-EZ46,IF(Slot14_PotFree=1,EY46,0))</f>
        <v>34462.0903986462</v>
      </c>
      <c r="FD46" s="20" t="n">
        <f aca="false">ET46+EW46*Slot14_BufPot*EY46</f>
        <v>16279.9189208576</v>
      </c>
      <c r="FE46" s="20" t="n">
        <f aca="false">IF(AND(EW46=1,Slot14_IsMfree=1),IF(FB46&gt;=Slot14_Cost-1,0,MAX(0,EU46-FB46)),EU46)</f>
        <v>0</v>
      </c>
      <c r="FF46" s="20" t="n">
        <f aca="false">EW46*(Slot14_Cost-FB46)</f>
        <v>0</v>
      </c>
      <c r="FG46" s="20" t="n">
        <f aca="false">IF(AND(Slot15_On=1,D46=Slot15_Age),1,0)</f>
        <v>0</v>
      </c>
      <c r="FH46" s="20" t="n">
        <f aca="false">IF(AND(Slot15_On=1,Slot15_Age&gt;D46),1,0)</f>
        <v>0</v>
      </c>
      <c r="FI46" s="20" t="n">
        <f aca="false">SQ45</f>
        <v>0</v>
      </c>
      <c r="FJ46" s="20" t="n">
        <f aca="false">FG46*MIN(Slot15_Cost,FI46)</f>
        <v>0</v>
      </c>
      <c r="FK46" s="20" t="n">
        <f aca="false">FG46*Slot15_SpendLike*MIN(Slot15_Cost-FJ46,FC46)</f>
        <v>0</v>
      </c>
      <c r="FL46" s="20" t="n">
        <f aca="false">FJ46+FK46</f>
        <v>0</v>
      </c>
      <c r="FM46" s="20" t="n">
        <f aca="false">FC46-FK46+FG46*IF(Slot15_SpendLike=1,FI46-FJ46,IF(Slot15_PotFree=1,FI46,0))</f>
        <v>34462.0903986462</v>
      </c>
      <c r="FN46" s="20" t="n">
        <f aca="false">FD46+FG46*Slot15_BufPot*FI46</f>
        <v>16279.9189208576</v>
      </c>
      <c r="FO46" s="20" t="n">
        <f aca="false">IF(AND(FG46=1,Slot15_IsMfree=1),IF(FL46&gt;=Slot15_Cost-1,0,MAX(0,FE46-FL46)),FE46)</f>
        <v>0</v>
      </c>
      <c r="FP46" s="20" t="n">
        <f aca="false">FG46*(Slot15_Cost-FL46)</f>
        <v>0</v>
      </c>
      <c r="FQ46" s="20" t="n">
        <f aca="false">IF(AND(Slot16_On=1,D46=Slot16_Age),1,0)</f>
        <v>0</v>
      </c>
      <c r="FR46" s="20" t="n">
        <f aca="false">IF(AND(Slot16_On=1,Slot16_Age&gt;D46),1,0)</f>
        <v>0</v>
      </c>
      <c r="FS46" s="20" t="n">
        <f aca="false">SU45</f>
        <v>0</v>
      </c>
      <c r="FT46" s="20" t="n">
        <f aca="false">FQ46*MIN(Slot16_Cost,FS46)</f>
        <v>0</v>
      </c>
      <c r="FU46" s="20" t="n">
        <f aca="false">FQ46*Slot16_SpendLike*MIN(Slot16_Cost-FT46,FM46)</f>
        <v>0</v>
      </c>
      <c r="FV46" s="20" t="n">
        <f aca="false">FT46+FU46</f>
        <v>0</v>
      </c>
      <c r="FW46" s="20" t="n">
        <f aca="false">FM46-FU46+FQ46*IF(Slot16_SpendLike=1,FS46-FT46,IF(Slot16_PotFree=1,FS46,0))</f>
        <v>34462.0903986462</v>
      </c>
      <c r="FX46" s="20" t="n">
        <f aca="false">FN46+FQ46*Slot16_BufPot*FS46</f>
        <v>16279.9189208576</v>
      </c>
      <c r="FY46" s="20" t="n">
        <f aca="false">IF(AND(FQ46=1,Slot16_IsMfree=1),IF(FV46&gt;=Slot16_Cost-1,0,MAX(0,FO46-FV46)),FO46)</f>
        <v>0</v>
      </c>
      <c r="FZ46" s="20" t="n">
        <f aca="false">FQ46*(Slot16_Cost-FV46)</f>
        <v>0</v>
      </c>
      <c r="GA46" s="20" t="n">
        <f aca="false">IF(AND(Slot17_On=1,D46=Slot17_Age),1,0)</f>
        <v>0</v>
      </c>
      <c r="GB46" s="20" t="n">
        <f aca="false">IF(AND(Slot17_On=1,Slot17_Age&gt;D46),1,0)</f>
        <v>0</v>
      </c>
      <c r="GC46" s="20" t="n">
        <f aca="false">SY45</f>
        <v>0</v>
      </c>
      <c r="GD46" s="20" t="n">
        <f aca="false">GA46*MIN(Slot17_Cost,GC46)</f>
        <v>0</v>
      </c>
      <c r="GE46" s="20" t="n">
        <f aca="false">GA46*Slot17_SpendLike*MIN(Slot17_Cost-GD46,FW46)</f>
        <v>0</v>
      </c>
      <c r="GF46" s="20" t="n">
        <f aca="false">GD46+GE46</f>
        <v>0</v>
      </c>
      <c r="GG46" s="20" t="n">
        <f aca="false">FW46-GE46+GA46*IF(Slot17_SpendLike=1,GC46-GD46,IF(Slot17_PotFree=1,GC46,0))</f>
        <v>34462.0903986462</v>
      </c>
      <c r="GH46" s="20" t="n">
        <f aca="false">FX46+GA46*Slot17_BufPot*GC46</f>
        <v>16279.9189208576</v>
      </c>
      <c r="GI46" s="20" t="n">
        <f aca="false">IF(AND(GA46=1,Slot17_IsMfree=1),IF(GF46&gt;=Slot17_Cost-1,0,MAX(0,FY46-GF46)),FY46)</f>
        <v>0</v>
      </c>
      <c r="GJ46" s="20" t="n">
        <f aca="false">GA46*(Slot17_Cost-GF46)</f>
        <v>0</v>
      </c>
      <c r="GK46" s="20" t="n">
        <f aca="false">IF(AND(Slot18_On=1,D46=Slot18_Age),1,0)</f>
        <v>0</v>
      </c>
      <c r="GL46" s="20" t="n">
        <f aca="false">IF(AND(Slot18_On=1,Slot18_Age&gt;D46),1,0)</f>
        <v>0</v>
      </c>
      <c r="GM46" s="20" t="n">
        <f aca="false">TC45</f>
        <v>0</v>
      </c>
      <c r="GN46" s="20" t="n">
        <f aca="false">GK46*MIN(Slot18_Cost,GM46)</f>
        <v>0</v>
      </c>
      <c r="GO46" s="20" t="n">
        <f aca="false">GK46*Slot18_SpendLike*MIN(Slot18_Cost-GN46,GG46)</f>
        <v>0</v>
      </c>
      <c r="GP46" s="20" t="n">
        <f aca="false">GN46+GO46</f>
        <v>0</v>
      </c>
      <c r="GQ46" s="20" t="n">
        <f aca="false">GG46-GO46+GK46*IF(Slot18_SpendLike=1,GM46-GN46,IF(Slot18_PotFree=1,GM46,0))</f>
        <v>34462.0903986462</v>
      </c>
      <c r="GR46" s="20" t="n">
        <f aca="false">GH46+GK46*Slot18_BufPot*GM46</f>
        <v>16279.9189208576</v>
      </c>
      <c r="GS46" s="20" t="n">
        <f aca="false">IF(AND(GK46=1,Slot18_IsMfree=1),IF(GP46&gt;=Slot18_Cost-1,0,MAX(0,GI46-GP46)),GI46)</f>
        <v>0</v>
      </c>
      <c r="GT46" s="20" t="n">
        <f aca="false">GK46*(Slot18_Cost-GP46)</f>
        <v>0</v>
      </c>
      <c r="GU46" s="20" t="n">
        <f aca="false">IF(AND(Slot19_On=1,D46=Slot19_Age),1,0)</f>
        <v>0</v>
      </c>
      <c r="GV46" s="20" t="n">
        <f aca="false">IF(AND(Slot19_On=1,Slot19_Age&gt;D46),1,0)</f>
        <v>0</v>
      </c>
      <c r="GW46" s="20" t="n">
        <f aca="false">TG45</f>
        <v>0</v>
      </c>
      <c r="GX46" s="20" t="n">
        <f aca="false">GU46*MIN(Slot19_Cost,GW46)</f>
        <v>0</v>
      </c>
      <c r="GY46" s="20" t="n">
        <f aca="false">GU46*Slot19_SpendLike*MIN(Slot19_Cost-GX46,GQ46)</f>
        <v>0</v>
      </c>
      <c r="GZ46" s="20" t="n">
        <f aca="false">GX46+GY46</f>
        <v>0</v>
      </c>
      <c r="HA46" s="20" t="n">
        <f aca="false">GQ46-GY46+GU46*IF(Slot19_SpendLike=1,GW46-GX46,IF(Slot19_PotFree=1,GW46,0))</f>
        <v>34462.0903986462</v>
      </c>
      <c r="HB46" s="20" t="n">
        <f aca="false">GR46+GU46*Slot19_BufPot*GW46</f>
        <v>16279.9189208576</v>
      </c>
      <c r="HC46" s="20" t="n">
        <f aca="false">IF(AND(GU46=1,Slot19_IsMfree=1),IF(GZ46&gt;=Slot19_Cost-1,0,MAX(0,GS46-GZ46)),GS46)</f>
        <v>0</v>
      </c>
      <c r="HD46" s="20" t="n">
        <f aca="false">GU46*(Slot19_Cost-GZ46)</f>
        <v>0</v>
      </c>
      <c r="HE46" s="20" t="n">
        <f aca="false">IF(AND(Slot20_On=1,D46=Slot20_Age),1,0)</f>
        <v>0</v>
      </c>
      <c r="HF46" s="20" t="n">
        <f aca="false">IF(AND(Slot20_On=1,Slot20_Age&gt;D46),1,0)</f>
        <v>0</v>
      </c>
      <c r="HG46" s="20" t="n">
        <f aca="false">TK45</f>
        <v>0</v>
      </c>
      <c r="HH46" s="20" t="n">
        <f aca="false">HE46*MIN(Slot20_Cost,HG46)</f>
        <v>0</v>
      </c>
      <c r="HI46" s="20" t="n">
        <f aca="false">HE46*Slot20_SpendLike*MIN(Slot20_Cost-HH46,HA46)</f>
        <v>0</v>
      </c>
      <c r="HJ46" s="20" t="n">
        <f aca="false">HH46+HI46</f>
        <v>0</v>
      </c>
      <c r="HK46" s="20" t="n">
        <f aca="false">HA46-HI46+HE46*IF(Slot20_SpendLike=1,HG46-HH46,IF(Slot20_PotFree=1,HG46,0))</f>
        <v>34462.0903986462</v>
      </c>
      <c r="HL46" s="20" t="n">
        <f aca="false">HB46+HE46*Slot20_BufPot*HG46</f>
        <v>16279.9189208576</v>
      </c>
      <c r="HM46" s="20" t="n">
        <f aca="false">IF(AND(HE46=1,Slot20_IsMfree=1),IF(HJ46&gt;=Slot20_Cost-1,0,MAX(0,HC46-HJ46)),HC46)</f>
        <v>0</v>
      </c>
      <c r="HN46" s="20" t="n">
        <f aca="false">HE46*(Slot20_Cost-HJ46)</f>
        <v>0</v>
      </c>
      <c r="HO46" s="20" t="n">
        <f aca="false">V46*Slot1_SpendLike*AA46+AG46*Slot2_SpendLike*AL46+AQ46*Slot3_SpendLike*AV46+BA46*Slot4_SpendLike*BF46+BK46*Slot5_SpendLike*BP46+BU46*Slot6_SpendLike*BZ46+CE46*Slot7_SpendLike*CJ46+CO46*Slot8_SpendLike*CT46+CY46*Slot9_SpendLike*DD46+DI46*Slot10_SpendLike*DN46+DS46*Slot11_SpendLike*DX46+EC46*Slot12_SpendLike*EH46+EM46*Slot13_SpendLike*ER46+EW46*Slot14_SpendLike*FB46+FG46*Slot15_SpendLike*FL46+FQ46*Slot16_SpendLike*FV46+GA46*Slot17_SpendLike*GF46+GK46*Slot18_SpendLike*GP46+GU46*Slot19_SpendLike*GZ46+HE46*Slot20_SpendLike*HJ46</f>
        <v>0</v>
      </c>
      <c r="HP46" s="20" t="n">
        <f aca="false">AE46+AP46+AZ46+BJ46+BT46+CD46+CN46+CX46+DH46+DR46+EB46+EL46+EV46+FF46+FP46+FZ46+GJ46+GT46+HD46+HN46</f>
        <v>0</v>
      </c>
      <c r="HQ46" s="20" t="n">
        <f aca="false">V46*Slot1_Cost+AG46*Slot2_Cost+AQ46*Slot3_Cost+BA46*Slot4_Cost+BK46*Slot5_Cost+BU46*Slot6_Cost+CE46*Slot7_Cost+CO46*Slot8_Cost+CY46*Slot9_Cost+DI46*Slot10_Cost+DS46*Slot11_Cost+EC46*Slot12_Cost+EM46*Slot13_Cost+EW46*Slot14_Cost+FG46*Slot15_Cost+FQ46*Slot16_Cost+GA46*Slot17_Cost+GK46*Slot18_Cost+GU46*Slot19_Cost+HE46*Slot20_Cost</f>
        <v>0</v>
      </c>
      <c r="HR46" s="20" t="n">
        <f aca="false">HM46</f>
        <v>0</v>
      </c>
      <c r="HS46" s="20" t="n">
        <f aca="false">H46-I46-S46</f>
        <v>-24660.0346098031</v>
      </c>
      <c r="HT46" s="20" t="n">
        <f aca="false">IF(B46=0,IF(AND(Has_q6=1,In_q6=4),PR_ShareVaries*(MAX(0,HS46)/12),MIN(IF(Has_q6=1,CHOOSE(In_q6+1,PR_SaveB1,PR_SaveB2,PR_SaveB3,PR_SaveB4,0),AS_NoAnswer),AS_SaveShare*(MAX(0,HS46)/12))),HT45)</f>
        <v>67.3316893520437</v>
      </c>
      <c r="HU46" s="20" t="n">
        <f aca="false">IF(HS46&gt;=0,1,0)</f>
        <v>0</v>
      </c>
      <c r="HV46" s="20" t="n">
        <f aca="false">MAX(0,HS46/12/F46)</f>
        <v>0</v>
      </c>
      <c r="HW46" s="20" t="n">
        <f aca="false">IF(AND(Has_q6=1,In_q6=4),PR_ShareVaries*(HV46),MIN(IF(Has_q6=1,CHOOSE(In_q6+1,PR_SaveB1,PR_SaveB2,PR_SaveB3,PR_SaveB4,0),AS_NoAnswer),AS_SaveShare*(HV46)))</f>
        <v>0</v>
      </c>
      <c r="HX46" s="20" t="n">
        <f aca="false">IF(Has_saveM=1,IF(In_saveUp="Yes",1,IF(In_saveUp="No",0,IF(In_saveM&gt;=HT46-0.5,1,0))),0)</f>
        <v>0</v>
      </c>
      <c r="HY46" s="20" t="n">
        <f aca="false">IF(Has_saveM=1,MIN(HV46,IF(HX46=1,MAX(In_saveM,HW46),MIN(In_saveM,HW46))),HW46)</f>
        <v>0</v>
      </c>
      <c r="HZ46" s="20" t="n">
        <f aca="false">IF(G46=1,HY46*12*F46,0)</f>
        <v>0</v>
      </c>
      <c r="IA46" s="20" t="n">
        <f aca="false">MAX(0,HZ46+IF(AND(WI_Retire=0,WI_M&lt;0,G46=1),WI_M*12*F46,0))</f>
        <v>0</v>
      </c>
      <c r="IB46" s="20" t="n">
        <f aca="false">Slot1_IsWG*W46+Slot2_IsWG*AH46+Slot3_IsWG*AR46+Slot4_IsWG*BB46+Slot5_IsWG*BL46+Slot6_IsWG*BV46+Slot7_IsWG*CF46+Slot8_IsWG*CP46+Slot9_IsWG*CZ46+Slot10_IsWG*DJ46+Slot11_IsWG*DT46+Slot12_IsWG*ED46+Slot13_IsWG*EN46+Slot14_IsWG*EX46+Slot15_IsWG*FH46+Slot16_IsWG*FR46+Slot17_IsWG*GB46+Slot18_IsWG*GL46+Slot19_IsWG*GV46+Slot20_IsWG*HF46</f>
        <v>0</v>
      </c>
      <c r="IC46" s="20" t="n">
        <f aca="false">IF(AND(WI_Retire=0,WI_M&gt;0,G46=1,IB46&gt;=1),WI_M*12*F46,0)</f>
        <v>0</v>
      </c>
      <c r="ID46" s="20" t="n">
        <f aca="false">IF(HU46=1,MIN(IA46,HS46),0)</f>
        <v>0</v>
      </c>
      <c r="IE46" s="20" t="n">
        <f aca="false">IF(HU46=1,MIN(IC46,HS46-ID46),0)</f>
        <v>0</v>
      </c>
      <c r="IF46" s="20" t="n">
        <f aca="false">IF(W46=1,IF(ABS((1+AS_Wage)/(1+Slot1_Rate)-1)&lt;0.000000000001,(Slot1_Age-D46)*(1+Slot1_Rate)^(Slot1_Age-D46),(1+Slot1_Rate)^(Slot1_Age-D46)*(1-((1+AS_Wage)/(1+Slot1_Rate))^(Slot1_Age-D46))/(1-(1+AS_Wage)/(1+Slot1_Rate))),1)</f>
        <v>1</v>
      </c>
      <c r="IG46" s="20" t="n">
        <f aca="false">IF(AND(HU46=1,IE46&gt;0,Slot1_IsWG=1,W46=1),MAX(0,(Slot1_Cost-X46*(1+Slot1_Rate)^(Slot1_Age-D46))/IF46),0)</f>
        <v>0</v>
      </c>
      <c r="IH46" s="20" t="n">
        <f aca="false">IF(AND(HU46=1,IE46&gt;0,Slot1_IsWG=1,W46=1),MIN(IE46,IG46),0)</f>
        <v>0</v>
      </c>
      <c r="II46" s="20" t="n">
        <f aca="false">X46+IH46</f>
        <v>0</v>
      </c>
      <c r="IJ46" s="20" t="n">
        <f aca="false">IF(W46=1,MAX(0,(Slot1_Cost-II46*(1+Slot1_Rate)^(Slot1_Age-D46))/IF46),0)</f>
        <v>0</v>
      </c>
      <c r="IK46" s="20" t="n">
        <f aca="false">IF(W46=1,MAX(0,(Slot1_Cost-X46*(1+Slot1_Rate)^(Slot1_Age-D46))/IF46),0)</f>
        <v>0</v>
      </c>
      <c r="IL46" s="20" t="n">
        <f aca="false">IF(AND(HU46=1,W46=1),MIN(ID46,IJ46),0)</f>
        <v>0</v>
      </c>
      <c r="IM46" s="20" t="n">
        <f aca="false">ID46-IL46</f>
        <v>0</v>
      </c>
      <c r="IN46" s="20" t="n">
        <f aca="false">IF(AH46=1,IF(ABS((1+AS_Wage)/(1+Slot2_Rate)-1)&lt;0.000000000001,(Slot2_Age-D46)*(1+Slot2_Rate)^(Slot2_Age-D46),(1+Slot2_Rate)^(Slot2_Age-D46)*(1-((1+AS_Wage)/(1+Slot2_Rate))^(Slot2_Age-D46))/(1-(1+AS_Wage)/(1+Slot2_Rate))),1)</f>
        <v>1</v>
      </c>
      <c r="IO46" s="20" t="n">
        <f aca="false">IF(AND(HU46=1,IE46&gt;0,Slot2_IsWG=1,AH46=1),MAX(0,(Slot2_Cost-AI46*(1+Slot2_Rate)^(Slot2_Age-D46))/IN46),0)</f>
        <v>0</v>
      </c>
      <c r="IP46" s="20" t="n">
        <f aca="false">IF(AND(HU46=1,IE46&gt;0,Slot2_IsWG=1,AH46=1),MIN(IE46,IO46),0)</f>
        <v>0</v>
      </c>
      <c r="IQ46" s="20" t="n">
        <f aca="false">AI46+IP46</f>
        <v>0</v>
      </c>
      <c r="IR46" s="20" t="n">
        <f aca="false">IF(AH46=1,MAX(0,(Slot2_Cost-IQ46*(1+Slot2_Rate)^(Slot2_Age-D46))/IN46),0)</f>
        <v>0</v>
      </c>
      <c r="IS46" s="20" t="n">
        <f aca="false">IF(AH46=1,MAX(0,(Slot2_Cost-AI46*(1+Slot2_Rate)^(Slot2_Age-D46))/IN46),0)</f>
        <v>0</v>
      </c>
      <c r="IT46" s="20" t="n">
        <f aca="false">IF(AND(HU46=1,AH46=1),MIN(IM46,IR46),0)</f>
        <v>0</v>
      </c>
      <c r="IU46" s="20" t="n">
        <f aca="false">IM46-IT46</f>
        <v>0</v>
      </c>
      <c r="IV46" s="20" t="n">
        <f aca="false">IF(AR46=1,IF(ABS((1+AS_Wage)/(1+Slot3_Rate)-1)&lt;0.000000000001,(Slot3_Age-D46)*(1+Slot3_Rate)^(Slot3_Age-D46),(1+Slot3_Rate)^(Slot3_Age-D46)*(1-((1+AS_Wage)/(1+Slot3_Rate))^(Slot3_Age-D46))/(1-(1+AS_Wage)/(1+Slot3_Rate))),1)</f>
        <v>1</v>
      </c>
      <c r="IW46" s="20" t="n">
        <f aca="false">IF(AND(HU46=1,IE46&gt;0,Slot3_IsWG=1,AR46=1),MAX(0,(Slot3_Cost-AS46*(1+Slot3_Rate)^(Slot3_Age-D46))/IV46),0)</f>
        <v>0</v>
      </c>
      <c r="IX46" s="20" t="n">
        <f aca="false">IF(AND(HU46=1,IE46&gt;0,Slot3_IsWG=1,AR46=1),MIN(IE46,IW46),0)</f>
        <v>0</v>
      </c>
      <c r="IY46" s="20" t="n">
        <f aca="false">AS46+IX46</f>
        <v>0</v>
      </c>
      <c r="IZ46" s="20" t="n">
        <f aca="false">IF(AR46=1,MAX(0,(Slot3_Cost-IY46*(1+Slot3_Rate)^(Slot3_Age-D46))/IV46),0)</f>
        <v>0</v>
      </c>
      <c r="JA46" s="20" t="n">
        <f aca="false">IF(AR46=1,MAX(0,(Slot3_Cost-AS46*(1+Slot3_Rate)^(Slot3_Age-D46))/IV46),0)</f>
        <v>0</v>
      </c>
      <c r="JB46" s="20" t="n">
        <f aca="false">IF(AND(HU46=1,AR46=1),MIN(IU46,IZ46),0)</f>
        <v>0</v>
      </c>
      <c r="JC46" s="20" t="n">
        <f aca="false">IU46-JB46</f>
        <v>0</v>
      </c>
      <c r="JD46" s="20" t="n">
        <f aca="false">IF(BB46=1,IF(ABS((1+AS_Wage)/(1+Slot4_Rate)-1)&lt;0.000000000001,(Slot4_Age-D46)*(1+Slot4_Rate)^(Slot4_Age-D46),(1+Slot4_Rate)^(Slot4_Age-D46)*(1-((1+AS_Wage)/(1+Slot4_Rate))^(Slot4_Age-D46))/(1-(1+AS_Wage)/(1+Slot4_Rate))),1)</f>
        <v>1</v>
      </c>
      <c r="JE46" s="20" t="n">
        <f aca="false">IF(AND(HU46=1,IE46&gt;0,Slot4_IsWG=1,BB46=1),MAX(0,(Slot4_Cost-BC46*(1+Slot4_Rate)^(Slot4_Age-D46))/JD46),0)</f>
        <v>0</v>
      </c>
      <c r="JF46" s="20" t="n">
        <f aca="false">IF(AND(HU46=1,IE46&gt;0,Slot4_IsWG=1,BB46=1),MIN(IE46,JE46),0)</f>
        <v>0</v>
      </c>
      <c r="JG46" s="20" t="n">
        <f aca="false">BC46+JF46</f>
        <v>0</v>
      </c>
      <c r="JH46" s="20" t="n">
        <f aca="false">IF(BB46=1,MAX(0,(Slot4_Cost-JG46*(1+Slot4_Rate)^(Slot4_Age-D46))/JD46),0)</f>
        <v>0</v>
      </c>
      <c r="JI46" s="20" t="n">
        <f aca="false">IF(BB46=1,MAX(0,(Slot4_Cost-BC46*(1+Slot4_Rate)^(Slot4_Age-D46))/JD46),0)</f>
        <v>0</v>
      </c>
      <c r="JJ46" s="20" t="n">
        <f aca="false">IF(AND(HU46=1,BB46=1),MIN(JC46,JH46),0)</f>
        <v>0</v>
      </c>
      <c r="JK46" s="20" t="n">
        <f aca="false">JC46-JJ46</f>
        <v>0</v>
      </c>
      <c r="JL46" s="20" t="n">
        <f aca="false">IF(BL46=1,IF(ABS((1+AS_Wage)/(1+Slot5_Rate)-1)&lt;0.000000000001,(Slot5_Age-D46)*(1+Slot5_Rate)^(Slot5_Age-D46),(1+Slot5_Rate)^(Slot5_Age-D46)*(1-((1+AS_Wage)/(1+Slot5_Rate))^(Slot5_Age-D46))/(1-(1+AS_Wage)/(1+Slot5_Rate))),1)</f>
        <v>1</v>
      </c>
      <c r="JM46" s="20" t="n">
        <f aca="false">IF(AND(HU46=1,IE46&gt;0,Slot5_IsWG=1,BL46=1),MAX(0,(Slot5_Cost-BM46*(1+Slot5_Rate)^(Slot5_Age-D46))/JL46),0)</f>
        <v>0</v>
      </c>
      <c r="JN46" s="20" t="n">
        <f aca="false">IF(AND(HU46=1,IE46&gt;0,Slot5_IsWG=1,BL46=1),MIN(IE46,JM46),0)</f>
        <v>0</v>
      </c>
      <c r="JO46" s="20" t="n">
        <f aca="false">BM46+JN46</f>
        <v>0</v>
      </c>
      <c r="JP46" s="20" t="n">
        <f aca="false">IF(BL46=1,MAX(0,(Slot5_Cost-JO46*(1+Slot5_Rate)^(Slot5_Age-D46))/JL46),0)</f>
        <v>0</v>
      </c>
      <c r="JQ46" s="20" t="n">
        <f aca="false">IF(BL46=1,MAX(0,(Slot5_Cost-BM46*(1+Slot5_Rate)^(Slot5_Age-D46))/JL46),0)</f>
        <v>0</v>
      </c>
      <c r="JR46" s="20" t="n">
        <f aca="false">IF(AND(HU46=1,BL46=1),MIN(JK46,JP46),0)</f>
        <v>0</v>
      </c>
      <c r="JS46" s="20" t="n">
        <f aca="false">JK46-JR46</f>
        <v>0</v>
      </c>
      <c r="JT46" s="20" t="n">
        <f aca="false">IF(BV46=1,IF(ABS((1+AS_Wage)/(1+Slot6_Rate)-1)&lt;0.000000000001,(Slot6_Age-D46)*(1+Slot6_Rate)^(Slot6_Age-D46),(1+Slot6_Rate)^(Slot6_Age-D46)*(1-((1+AS_Wage)/(1+Slot6_Rate))^(Slot6_Age-D46))/(1-(1+AS_Wage)/(1+Slot6_Rate))),1)</f>
        <v>1</v>
      </c>
      <c r="JU46" s="20" t="n">
        <f aca="false">IF(AND(HU46=1,IE46&gt;0,Slot6_IsWG=1,BV46=1),MAX(0,(Slot6_Cost-BW46*(1+Slot6_Rate)^(Slot6_Age-D46))/JT46),0)</f>
        <v>0</v>
      </c>
      <c r="JV46" s="20" t="n">
        <f aca="false">IF(AND(HU46=1,IE46&gt;0,Slot6_IsWG=1,BV46=1),MIN(IE46,JU46),0)</f>
        <v>0</v>
      </c>
      <c r="JW46" s="20" t="n">
        <f aca="false">BW46+JV46</f>
        <v>0</v>
      </c>
      <c r="JX46" s="20" t="n">
        <f aca="false">IF(BV46=1,MAX(0,(Slot6_Cost-JW46*(1+Slot6_Rate)^(Slot6_Age-D46))/JT46),0)</f>
        <v>0</v>
      </c>
      <c r="JY46" s="20" t="n">
        <f aca="false">IF(BV46=1,MAX(0,(Slot6_Cost-BW46*(1+Slot6_Rate)^(Slot6_Age-D46))/JT46),0)</f>
        <v>0</v>
      </c>
      <c r="JZ46" s="20" t="n">
        <f aca="false">IF(AND(HU46=1,BV46=1),MIN(JS46,JX46),0)</f>
        <v>0</v>
      </c>
      <c r="KA46" s="20" t="n">
        <f aca="false">JS46-JZ46</f>
        <v>0</v>
      </c>
      <c r="KB46" s="20" t="n">
        <f aca="false">IF(CF46=1,IF(ABS((1+AS_Wage)/(1+Slot7_Rate)-1)&lt;0.000000000001,(Slot7_Age-D46)*(1+Slot7_Rate)^(Slot7_Age-D46),(1+Slot7_Rate)^(Slot7_Age-D46)*(1-((1+AS_Wage)/(1+Slot7_Rate))^(Slot7_Age-D46))/(1-(1+AS_Wage)/(1+Slot7_Rate))),1)</f>
        <v>1</v>
      </c>
      <c r="KC46" s="20" t="n">
        <f aca="false">IF(AND(HU46=1,IE46&gt;0,Slot7_IsWG=1,CF46=1),MAX(0,(Slot7_Cost-CG46*(1+Slot7_Rate)^(Slot7_Age-D46))/KB46),0)</f>
        <v>0</v>
      </c>
      <c r="KD46" s="20" t="n">
        <f aca="false">IF(AND(HU46=1,IE46&gt;0,Slot7_IsWG=1,CF46=1),MIN(IE46,KC46),0)</f>
        <v>0</v>
      </c>
      <c r="KE46" s="20" t="n">
        <f aca="false">CG46+KD46</f>
        <v>0</v>
      </c>
      <c r="KF46" s="20" t="n">
        <f aca="false">IF(CF46=1,MAX(0,(Slot7_Cost-KE46*(1+Slot7_Rate)^(Slot7_Age-D46))/KB46),0)</f>
        <v>0</v>
      </c>
      <c r="KG46" s="20" t="n">
        <f aca="false">IF(CF46=1,MAX(0,(Slot7_Cost-CG46*(1+Slot7_Rate)^(Slot7_Age-D46))/KB46),0)</f>
        <v>0</v>
      </c>
      <c r="KH46" s="20" t="n">
        <f aca="false">IF(AND(HU46=1,CF46=1),MIN(KA46,KF46),0)</f>
        <v>0</v>
      </c>
      <c r="KI46" s="20" t="n">
        <f aca="false">KA46-KH46</f>
        <v>0</v>
      </c>
      <c r="KJ46" s="20" t="n">
        <f aca="false">IF(CP46=1,IF(ABS((1+AS_Wage)/(1+Slot8_Rate)-1)&lt;0.000000000001,(Slot8_Age-D46)*(1+Slot8_Rate)^(Slot8_Age-D46),(1+Slot8_Rate)^(Slot8_Age-D46)*(1-((1+AS_Wage)/(1+Slot8_Rate))^(Slot8_Age-D46))/(1-(1+AS_Wage)/(1+Slot8_Rate))),1)</f>
        <v>1</v>
      </c>
      <c r="KK46" s="20" t="n">
        <f aca="false">IF(AND(HU46=1,IE46&gt;0,Slot8_IsWG=1,CP46=1),MAX(0,(Slot8_Cost-CQ46*(1+Slot8_Rate)^(Slot8_Age-D46))/KJ46),0)</f>
        <v>0</v>
      </c>
      <c r="KL46" s="20" t="n">
        <f aca="false">IF(AND(HU46=1,IE46&gt;0,Slot8_IsWG=1,CP46=1),MIN(IE46,KK46),0)</f>
        <v>0</v>
      </c>
      <c r="KM46" s="20" t="n">
        <f aca="false">CQ46+KL46</f>
        <v>0</v>
      </c>
      <c r="KN46" s="20" t="n">
        <f aca="false">IF(CP46=1,MAX(0,(Slot8_Cost-KM46*(1+Slot8_Rate)^(Slot8_Age-D46))/KJ46),0)</f>
        <v>0</v>
      </c>
      <c r="KO46" s="20" t="n">
        <f aca="false">IF(CP46=1,MAX(0,(Slot8_Cost-CQ46*(1+Slot8_Rate)^(Slot8_Age-D46))/KJ46),0)</f>
        <v>0</v>
      </c>
      <c r="KP46" s="20" t="n">
        <f aca="false">IF(AND(HU46=1,CP46=1),MIN(KI46,KN46),0)</f>
        <v>0</v>
      </c>
      <c r="KQ46" s="20" t="n">
        <f aca="false">KI46-KP46</f>
        <v>0</v>
      </c>
      <c r="KR46" s="20" t="n">
        <f aca="false">IF(CZ46=1,IF(ABS((1+AS_Wage)/(1+Slot9_Rate)-1)&lt;0.000000000001,(Slot9_Age-D46)*(1+Slot9_Rate)^(Slot9_Age-D46),(1+Slot9_Rate)^(Slot9_Age-D46)*(1-((1+AS_Wage)/(1+Slot9_Rate))^(Slot9_Age-D46))/(1-(1+AS_Wage)/(1+Slot9_Rate))),1)</f>
        <v>1</v>
      </c>
      <c r="KS46" s="20" t="n">
        <f aca="false">IF(AND(HU46=1,IE46&gt;0,Slot9_IsWG=1,CZ46=1),MAX(0,(Slot9_Cost-DA46*(1+Slot9_Rate)^(Slot9_Age-D46))/KR46),0)</f>
        <v>0</v>
      </c>
      <c r="KT46" s="20" t="n">
        <f aca="false">IF(AND(HU46=1,IE46&gt;0,Slot9_IsWG=1,CZ46=1),MIN(IE46,KS46),0)</f>
        <v>0</v>
      </c>
      <c r="KU46" s="20" t="n">
        <f aca="false">DA46+KT46</f>
        <v>0</v>
      </c>
      <c r="KV46" s="20" t="n">
        <f aca="false">IF(CZ46=1,MAX(0,(Slot9_Cost-KU46*(1+Slot9_Rate)^(Slot9_Age-D46))/KR46),0)</f>
        <v>0</v>
      </c>
      <c r="KW46" s="20" t="n">
        <f aca="false">IF(CZ46=1,MAX(0,(Slot9_Cost-DA46*(1+Slot9_Rate)^(Slot9_Age-D46))/KR46),0)</f>
        <v>0</v>
      </c>
      <c r="KX46" s="20" t="n">
        <f aca="false">IF(AND(HU46=1,CZ46=1),MIN(KQ46,KV46),0)</f>
        <v>0</v>
      </c>
      <c r="KY46" s="20" t="n">
        <f aca="false">KQ46-KX46</f>
        <v>0</v>
      </c>
      <c r="KZ46" s="20" t="n">
        <f aca="false">IF(DJ46=1,IF(ABS((1+AS_Wage)/(1+Slot10_Rate)-1)&lt;0.000000000001,(Slot10_Age-D46)*(1+Slot10_Rate)^(Slot10_Age-D46),(1+Slot10_Rate)^(Slot10_Age-D46)*(1-((1+AS_Wage)/(1+Slot10_Rate))^(Slot10_Age-D46))/(1-(1+AS_Wage)/(1+Slot10_Rate))),1)</f>
        <v>1</v>
      </c>
      <c r="LA46" s="20" t="n">
        <f aca="false">IF(AND(HU46=1,IE46&gt;0,Slot10_IsWG=1,DJ46=1),MAX(0,(Slot10_Cost-DK46*(1+Slot10_Rate)^(Slot10_Age-D46))/KZ46),0)</f>
        <v>0</v>
      </c>
      <c r="LB46" s="20" t="n">
        <f aca="false">IF(AND(HU46=1,IE46&gt;0,Slot10_IsWG=1,DJ46=1),MIN(IE46,LA46),0)</f>
        <v>0</v>
      </c>
      <c r="LC46" s="20" t="n">
        <f aca="false">DK46+LB46</f>
        <v>0</v>
      </c>
      <c r="LD46" s="20" t="n">
        <f aca="false">IF(DJ46=1,MAX(0,(Slot10_Cost-LC46*(1+Slot10_Rate)^(Slot10_Age-D46))/KZ46),0)</f>
        <v>0</v>
      </c>
      <c r="LE46" s="20" t="n">
        <f aca="false">IF(DJ46=1,MAX(0,(Slot10_Cost-DK46*(1+Slot10_Rate)^(Slot10_Age-D46))/KZ46),0)</f>
        <v>0</v>
      </c>
      <c r="LF46" s="20" t="n">
        <f aca="false">IF(AND(HU46=1,DJ46=1),MIN(KY46,LD46),0)</f>
        <v>0</v>
      </c>
      <c r="LG46" s="20" t="n">
        <f aca="false">KY46-LF46</f>
        <v>0</v>
      </c>
      <c r="LH46" s="20" t="n">
        <f aca="false">IF(DT46=1,IF(ABS((1+AS_Wage)/(1+Slot11_Rate)-1)&lt;0.000000000001,(Slot11_Age-D46)*(1+Slot11_Rate)^(Slot11_Age-D46),(1+Slot11_Rate)^(Slot11_Age-D46)*(1-((1+AS_Wage)/(1+Slot11_Rate))^(Slot11_Age-D46))/(1-(1+AS_Wage)/(1+Slot11_Rate))),1)</f>
        <v>1</v>
      </c>
      <c r="LI46" s="20" t="n">
        <f aca="false">IF(AND(HU46=1,IE46&gt;0,Slot11_IsWG=1,DT46=1),MAX(0,(Slot11_Cost-DU46*(1+Slot11_Rate)^(Slot11_Age-D46))/LH46),0)</f>
        <v>0</v>
      </c>
      <c r="LJ46" s="20" t="n">
        <f aca="false">IF(AND(HU46=1,IE46&gt;0,Slot11_IsWG=1,DT46=1),MIN(IE46,LI46),0)</f>
        <v>0</v>
      </c>
      <c r="LK46" s="20" t="n">
        <f aca="false">DU46+LJ46</f>
        <v>0</v>
      </c>
      <c r="LL46" s="20" t="n">
        <f aca="false">IF(DT46=1,MAX(0,(Slot11_Cost-LK46*(1+Slot11_Rate)^(Slot11_Age-D46))/LH46),0)</f>
        <v>0</v>
      </c>
      <c r="LM46" s="20" t="n">
        <f aca="false">IF(DT46=1,MAX(0,(Slot11_Cost-DU46*(1+Slot11_Rate)^(Slot11_Age-D46))/LH46),0)</f>
        <v>0</v>
      </c>
      <c r="LN46" s="20" t="n">
        <f aca="false">IF(AND(HU46=1,DT46=1),MIN(LG46,LL46),0)</f>
        <v>0</v>
      </c>
      <c r="LO46" s="20" t="n">
        <f aca="false">LG46-LN46</f>
        <v>0</v>
      </c>
      <c r="LP46" s="20" t="n">
        <f aca="false">IF(ED46=1,IF(ABS((1+AS_Wage)/(1+Slot12_Rate)-1)&lt;0.000000000001,(Slot12_Age-D46)*(1+Slot12_Rate)^(Slot12_Age-D46),(1+Slot12_Rate)^(Slot12_Age-D46)*(1-((1+AS_Wage)/(1+Slot12_Rate))^(Slot12_Age-D46))/(1-(1+AS_Wage)/(1+Slot12_Rate))),1)</f>
        <v>1</v>
      </c>
      <c r="LQ46" s="20" t="n">
        <f aca="false">IF(AND(HU46=1,IE46&gt;0,Slot12_IsWG=1,ED46=1),MAX(0,(Slot12_Cost-EE46*(1+Slot12_Rate)^(Slot12_Age-D46))/LP46),0)</f>
        <v>0</v>
      </c>
      <c r="LR46" s="20" t="n">
        <f aca="false">IF(AND(HU46=1,IE46&gt;0,Slot12_IsWG=1,ED46=1),MIN(IE46,LQ46),0)</f>
        <v>0</v>
      </c>
      <c r="LS46" s="20" t="n">
        <f aca="false">EE46+LR46</f>
        <v>0</v>
      </c>
      <c r="LT46" s="20" t="n">
        <f aca="false">IF(ED46=1,MAX(0,(Slot12_Cost-LS46*(1+Slot12_Rate)^(Slot12_Age-D46))/LP46),0)</f>
        <v>0</v>
      </c>
      <c r="LU46" s="20" t="n">
        <f aca="false">IF(ED46=1,MAX(0,(Slot12_Cost-EE46*(1+Slot12_Rate)^(Slot12_Age-D46))/LP46),0)</f>
        <v>0</v>
      </c>
      <c r="LV46" s="20" t="n">
        <f aca="false">IF(AND(HU46=1,ED46=1),MIN(LO46,LT46),0)</f>
        <v>0</v>
      </c>
      <c r="LW46" s="20" t="n">
        <f aca="false">LO46-LV46</f>
        <v>0</v>
      </c>
      <c r="LX46" s="20" t="n">
        <f aca="false">IF(EN46=1,IF(ABS((1+AS_Wage)/(1+Slot13_Rate)-1)&lt;0.000000000001,(Slot13_Age-D46)*(1+Slot13_Rate)^(Slot13_Age-D46),(1+Slot13_Rate)^(Slot13_Age-D46)*(1-((1+AS_Wage)/(1+Slot13_Rate))^(Slot13_Age-D46))/(1-(1+AS_Wage)/(1+Slot13_Rate))),1)</f>
        <v>1</v>
      </c>
      <c r="LY46" s="20" t="n">
        <f aca="false">IF(AND(HU46=1,IE46&gt;0,Slot13_IsWG=1,EN46=1),MAX(0,(Slot13_Cost-EO46*(1+Slot13_Rate)^(Slot13_Age-D46))/LX46),0)</f>
        <v>0</v>
      </c>
      <c r="LZ46" s="20" t="n">
        <f aca="false">IF(AND(HU46=1,IE46&gt;0,Slot13_IsWG=1,EN46=1),MIN(IE46,LY46),0)</f>
        <v>0</v>
      </c>
      <c r="MA46" s="20" t="n">
        <f aca="false">EO46+LZ46</f>
        <v>0</v>
      </c>
      <c r="MB46" s="20" t="n">
        <f aca="false">IF(EN46=1,MAX(0,(Slot13_Cost-MA46*(1+Slot13_Rate)^(Slot13_Age-D46))/LX46),0)</f>
        <v>0</v>
      </c>
      <c r="MC46" s="20" t="n">
        <f aca="false">IF(EN46=1,MAX(0,(Slot13_Cost-EO46*(1+Slot13_Rate)^(Slot13_Age-D46))/LX46),0)</f>
        <v>0</v>
      </c>
      <c r="MD46" s="20" t="n">
        <f aca="false">IF(AND(HU46=1,EN46=1),MIN(LW46,MB46),0)</f>
        <v>0</v>
      </c>
      <c r="ME46" s="20" t="n">
        <f aca="false">LW46-MD46</f>
        <v>0</v>
      </c>
      <c r="MF46" s="20" t="n">
        <f aca="false">IF(EX46=1,IF(ABS((1+AS_Wage)/(1+Slot14_Rate)-1)&lt;0.000000000001,(Slot14_Age-D46)*(1+Slot14_Rate)^(Slot14_Age-D46),(1+Slot14_Rate)^(Slot14_Age-D46)*(1-((1+AS_Wage)/(1+Slot14_Rate))^(Slot14_Age-D46))/(1-(1+AS_Wage)/(1+Slot14_Rate))),1)</f>
        <v>1</v>
      </c>
      <c r="MG46" s="20" t="n">
        <f aca="false">IF(AND(HU46=1,IE46&gt;0,Slot14_IsWG=1,EX46=1),MAX(0,(Slot14_Cost-EY46*(1+Slot14_Rate)^(Slot14_Age-D46))/MF46),0)</f>
        <v>0</v>
      </c>
      <c r="MH46" s="20" t="n">
        <f aca="false">IF(AND(HU46=1,IE46&gt;0,Slot14_IsWG=1,EX46=1),MIN(IE46,MG46),0)</f>
        <v>0</v>
      </c>
      <c r="MI46" s="20" t="n">
        <f aca="false">EY46+MH46</f>
        <v>0</v>
      </c>
      <c r="MJ46" s="20" t="n">
        <f aca="false">IF(EX46=1,MAX(0,(Slot14_Cost-MI46*(1+Slot14_Rate)^(Slot14_Age-D46))/MF46),0)</f>
        <v>0</v>
      </c>
      <c r="MK46" s="20" t="n">
        <f aca="false">IF(EX46=1,MAX(0,(Slot14_Cost-EY46*(1+Slot14_Rate)^(Slot14_Age-D46))/MF46),0)</f>
        <v>0</v>
      </c>
      <c r="ML46" s="20" t="n">
        <f aca="false">IF(AND(HU46=1,EX46=1),MIN(ME46,MJ46),0)</f>
        <v>0</v>
      </c>
      <c r="MM46" s="20" t="n">
        <f aca="false">ME46-ML46</f>
        <v>0</v>
      </c>
      <c r="MN46" s="20" t="n">
        <f aca="false">IF(FH46=1,IF(ABS((1+AS_Wage)/(1+Slot15_Rate)-1)&lt;0.000000000001,(Slot15_Age-D46)*(1+Slot15_Rate)^(Slot15_Age-D46),(1+Slot15_Rate)^(Slot15_Age-D46)*(1-((1+AS_Wage)/(1+Slot15_Rate))^(Slot15_Age-D46))/(1-(1+AS_Wage)/(1+Slot15_Rate))),1)</f>
        <v>1</v>
      </c>
      <c r="MO46" s="20" t="n">
        <f aca="false">IF(AND(HU46=1,IE46&gt;0,Slot15_IsWG=1,FH46=1),MAX(0,(Slot15_Cost-FI46*(1+Slot15_Rate)^(Slot15_Age-D46))/MN46),0)</f>
        <v>0</v>
      </c>
      <c r="MP46" s="20" t="n">
        <f aca="false">IF(AND(HU46=1,IE46&gt;0,Slot15_IsWG=1,FH46=1),MIN(IE46,MO46),0)</f>
        <v>0</v>
      </c>
      <c r="MQ46" s="20" t="n">
        <f aca="false">FI46+MP46</f>
        <v>0</v>
      </c>
      <c r="MR46" s="20" t="n">
        <f aca="false">IF(FH46=1,MAX(0,(Slot15_Cost-MQ46*(1+Slot15_Rate)^(Slot15_Age-D46))/MN46),0)</f>
        <v>0</v>
      </c>
      <c r="MS46" s="20" t="n">
        <f aca="false">IF(FH46=1,MAX(0,(Slot15_Cost-FI46*(1+Slot15_Rate)^(Slot15_Age-D46))/MN46),0)</f>
        <v>0</v>
      </c>
      <c r="MT46" s="20" t="n">
        <f aca="false">IF(AND(HU46=1,FH46=1),MIN(MM46,MR46),0)</f>
        <v>0</v>
      </c>
      <c r="MU46" s="20" t="n">
        <f aca="false">MM46-MT46</f>
        <v>0</v>
      </c>
      <c r="MV46" s="20" t="n">
        <f aca="false">IF(FR46=1,IF(ABS((1+AS_Wage)/(1+Slot16_Rate)-1)&lt;0.000000000001,(Slot16_Age-D46)*(1+Slot16_Rate)^(Slot16_Age-D46),(1+Slot16_Rate)^(Slot16_Age-D46)*(1-((1+AS_Wage)/(1+Slot16_Rate))^(Slot16_Age-D46))/(1-(1+AS_Wage)/(1+Slot16_Rate))),1)</f>
        <v>1</v>
      </c>
      <c r="MW46" s="20" t="n">
        <f aca="false">IF(AND(HU46=1,IE46&gt;0,Slot16_IsWG=1,FR46=1),MAX(0,(Slot16_Cost-FS46*(1+Slot16_Rate)^(Slot16_Age-D46))/MV46),0)</f>
        <v>0</v>
      </c>
      <c r="MX46" s="20" t="n">
        <f aca="false">IF(AND(HU46=1,IE46&gt;0,Slot16_IsWG=1,FR46=1),MIN(IE46,MW46),0)</f>
        <v>0</v>
      </c>
      <c r="MY46" s="20" t="n">
        <f aca="false">FS46+MX46</f>
        <v>0</v>
      </c>
      <c r="MZ46" s="20" t="n">
        <f aca="false">IF(FR46=1,MAX(0,(Slot16_Cost-MY46*(1+Slot16_Rate)^(Slot16_Age-D46))/MV46),0)</f>
        <v>0</v>
      </c>
      <c r="NA46" s="20" t="n">
        <f aca="false">IF(FR46=1,MAX(0,(Slot16_Cost-FS46*(1+Slot16_Rate)^(Slot16_Age-D46))/MV46),0)</f>
        <v>0</v>
      </c>
      <c r="NB46" s="20" t="n">
        <f aca="false">IF(AND(HU46=1,FR46=1),MIN(MU46,MZ46),0)</f>
        <v>0</v>
      </c>
      <c r="NC46" s="20" t="n">
        <f aca="false">MU46-NB46</f>
        <v>0</v>
      </c>
      <c r="ND46" s="20" t="n">
        <f aca="false">IF(GB46=1,IF(ABS((1+AS_Wage)/(1+Slot17_Rate)-1)&lt;0.000000000001,(Slot17_Age-D46)*(1+Slot17_Rate)^(Slot17_Age-D46),(1+Slot17_Rate)^(Slot17_Age-D46)*(1-((1+AS_Wage)/(1+Slot17_Rate))^(Slot17_Age-D46))/(1-(1+AS_Wage)/(1+Slot17_Rate))),1)</f>
        <v>1</v>
      </c>
      <c r="NE46" s="20" t="n">
        <f aca="false">IF(AND(HU46=1,IE46&gt;0,Slot17_IsWG=1,GB46=1),MAX(0,(Slot17_Cost-GC46*(1+Slot17_Rate)^(Slot17_Age-D46))/ND46),0)</f>
        <v>0</v>
      </c>
      <c r="NF46" s="20" t="n">
        <f aca="false">IF(AND(HU46=1,IE46&gt;0,Slot17_IsWG=1,GB46=1),MIN(IE46,NE46),0)</f>
        <v>0</v>
      </c>
      <c r="NG46" s="20" t="n">
        <f aca="false">GC46+NF46</f>
        <v>0</v>
      </c>
      <c r="NH46" s="20" t="n">
        <f aca="false">IF(GB46=1,MAX(0,(Slot17_Cost-NG46*(1+Slot17_Rate)^(Slot17_Age-D46))/ND46),0)</f>
        <v>0</v>
      </c>
      <c r="NI46" s="20" t="n">
        <f aca="false">IF(GB46=1,MAX(0,(Slot17_Cost-GC46*(1+Slot17_Rate)^(Slot17_Age-D46))/ND46),0)</f>
        <v>0</v>
      </c>
      <c r="NJ46" s="20" t="n">
        <f aca="false">IF(AND(HU46=1,GB46=1),MIN(NC46,NH46),0)</f>
        <v>0</v>
      </c>
      <c r="NK46" s="20" t="n">
        <f aca="false">NC46-NJ46</f>
        <v>0</v>
      </c>
      <c r="NL46" s="20" t="n">
        <f aca="false">IF(GL46=1,IF(ABS((1+AS_Wage)/(1+Slot18_Rate)-1)&lt;0.000000000001,(Slot18_Age-D46)*(1+Slot18_Rate)^(Slot18_Age-D46),(1+Slot18_Rate)^(Slot18_Age-D46)*(1-((1+AS_Wage)/(1+Slot18_Rate))^(Slot18_Age-D46))/(1-(1+AS_Wage)/(1+Slot18_Rate))),1)</f>
        <v>1</v>
      </c>
      <c r="NM46" s="20" t="n">
        <f aca="false">IF(AND(HU46=1,IE46&gt;0,Slot18_IsWG=1,GL46=1),MAX(0,(Slot18_Cost-GM46*(1+Slot18_Rate)^(Slot18_Age-D46))/NL46),0)</f>
        <v>0</v>
      </c>
      <c r="NN46" s="20" t="n">
        <f aca="false">IF(AND(HU46=1,IE46&gt;0,Slot18_IsWG=1,GL46=1),MIN(IE46,NM46),0)</f>
        <v>0</v>
      </c>
      <c r="NO46" s="20" t="n">
        <f aca="false">GM46+NN46</f>
        <v>0</v>
      </c>
      <c r="NP46" s="20" t="n">
        <f aca="false">IF(GL46=1,MAX(0,(Slot18_Cost-NO46*(1+Slot18_Rate)^(Slot18_Age-D46))/NL46),0)</f>
        <v>0</v>
      </c>
      <c r="NQ46" s="20" t="n">
        <f aca="false">IF(GL46=1,MAX(0,(Slot18_Cost-GM46*(1+Slot18_Rate)^(Slot18_Age-D46))/NL46),0)</f>
        <v>0</v>
      </c>
      <c r="NR46" s="20" t="n">
        <f aca="false">IF(AND(HU46=1,GL46=1),MIN(NK46,NP46),0)</f>
        <v>0</v>
      </c>
      <c r="NS46" s="20" t="n">
        <f aca="false">NK46-NR46</f>
        <v>0</v>
      </c>
      <c r="NT46" s="20" t="n">
        <f aca="false">IF(GV46=1,IF(ABS((1+AS_Wage)/(1+Slot19_Rate)-1)&lt;0.000000000001,(Slot19_Age-D46)*(1+Slot19_Rate)^(Slot19_Age-D46),(1+Slot19_Rate)^(Slot19_Age-D46)*(1-((1+AS_Wage)/(1+Slot19_Rate))^(Slot19_Age-D46))/(1-(1+AS_Wage)/(1+Slot19_Rate))),1)</f>
        <v>1</v>
      </c>
      <c r="NU46" s="20" t="n">
        <f aca="false">IF(AND(HU46=1,IE46&gt;0,Slot19_IsWG=1,GV46=1),MAX(0,(Slot19_Cost-GW46*(1+Slot19_Rate)^(Slot19_Age-D46))/NT46),0)</f>
        <v>0</v>
      </c>
      <c r="NV46" s="20" t="n">
        <f aca="false">IF(AND(HU46=1,IE46&gt;0,Slot19_IsWG=1,GV46=1),MIN(IE46,NU46),0)</f>
        <v>0</v>
      </c>
      <c r="NW46" s="20" t="n">
        <f aca="false">GW46+NV46</f>
        <v>0</v>
      </c>
      <c r="NX46" s="20" t="n">
        <f aca="false">IF(GV46=1,MAX(0,(Slot19_Cost-NW46*(1+Slot19_Rate)^(Slot19_Age-D46))/NT46),0)</f>
        <v>0</v>
      </c>
      <c r="NY46" s="20" t="n">
        <f aca="false">IF(GV46=1,MAX(0,(Slot19_Cost-GW46*(1+Slot19_Rate)^(Slot19_Age-D46))/NT46),0)</f>
        <v>0</v>
      </c>
      <c r="NZ46" s="20" t="n">
        <f aca="false">IF(AND(HU46=1,GV46=1),MIN(NS46,NX46),0)</f>
        <v>0</v>
      </c>
      <c r="OA46" s="20" t="n">
        <f aca="false">NS46-NZ46</f>
        <v>0</v>
      </c>
      <c r="OB46" s="20" t="n">
        <f aca="false">IF(HF46=1,IF(ABS((1+AS_Wage)/(1+Slot20_Rate)-1)&lt;0.000000000001,(Slot20_Age-D46)*(1+Slot20_Rate)^(Slot20_Age-D46),(1+Slot20_Rate)^(Slot20_Age-D46)*(1-((1+AS_Wage)/(1+Slot20_Rate))^(Slot20_Age-D46))/(1-(1+AS_Wage)/(1+Slot20_Rate))),1)</f>
        <v>1</v>
      </c>
      <c r="OC46" s="20" t="n">
        <f aca="false">IF(AND(HU46=1,IE46&gt;0,Slot20_IsWG=1,HF46=1),MAX(0,(Slot20_Cost-HG46*(1+Slot20_Rate)^(Slot20_Age-D46))/OB46),0)</f>
        <v>0</v>
      </c>
      <c r="OD46" s="20" t="n">
        <f aca="false">IF(AND(HU46=1,IE46&gt;0,Slot20_IsWG=1,HF46=1),MIN(IE46,OC46),0)</f>
        <v>0</v>
      </c>
      <c r="OE46" s="20" t="n">
        <f aca="false">HG46+OD46</f>
        <v>0</v>
      </c>
      <c r="OF46" s="20" t="n">
        <f aca="false">IF(HF46=1,MAX(0,(Slot20_Cost-OE46*(1+Slot20_Rate)^(Slot20_Age-D46))/OB46),0)</f>
        <v>0</v>
      </c>
      <c r="OG46" s="20" t="n">
        <f aca="false">IF(HF46=1,MAX(0,(Slot20_Cost-HG46*(1+Slot20_Rate)^(Slot20_Age-D46))/OB46),0)</f>
        <v>0</v>
      </c>
      <c r="OH46" s="20" t="n">
        <f aca="false">IF(AND(HU46=1,HF46=1),MIN(OA46,OF46),0)</f>
        <v>0</v>
      </c>
      <c r="OI46" s="20" t="n">
        <f aca="false">OA46-OH46</f>
        <v>0</v>
      </c>
      <c r="OJ46" s="20" t="n">
        <f aca="false">IE46-(IH46+IP46+IX46+JF46+JN46+JV46+KD46+KL46+KT46+LB46+LJ46+LR46+LZ46+MH46+MP46+MX46+NF46+NN46+NV46+OD46)</f>
        <v>0</v>
      </c>
      <c r="OK46" s="20" t="n">
        <f aca="false">IF(HU46=1,HS46-ID46-IE46,0)</f>
        <v>0</v>
      </c>
      <c r="OL46" s="20" t="n">
        <f aca="false">IF(HU46=0,-HS46,0)</f>
        <v>24660.0346098031</v>
      </c>
      <c r="OM46" s="20" t="n">
        <f aca="false">MIN(OL46,HK46)</f>
        <v>24660.0346098031</v>
      </c>
      <c r="ON46" s="20" t="n">
        <f aca="false">OL46-OM46</f>
        <v>0</v>
      </c>
      <c r="OO46" s="20" t="n">
        <f aca="false">MIN(ON46,HL46)</f>
        <v>0</v>
      </c>
      <c r="OP46" s="20" t="n">
        <f aca="false">ON46-OO46</f>
        <v>0</v>
      </c>
      <c r="OQ46" s="20" t="n">
        <f aca="false">IF(AND(HU46=0,HF46=1,OP46&gt;0),MIN(OP46,HG46),0)</f>
        <v>0</v>
      </c>
      <c r="OR46" s="20" t="n">
        <f aca="false">OP46-OQ46</f>
        <v>0</v>
      </c>
      <c r="OS46" s="20" t="n">
        <f aca="false">IF(AND(HU46=0,GV46=1,OR46&gt;0),MIN(OR46,GW46),0)</f>
        <v>0</v>
      </c>
      <c r="OT46" s="20" t="n">
        <f aca="false">OR46-OS46</f>
        <v>0</v>
      </c>
      <c r="OU46" s="20" t="n">
        <f aca="false">IF(AND(HU46=0,GL46=1,OT46&gt;0),MIN(OT46,GM46),0)</f>
        <v>0</v>
      </c>
      <c r="OV46" s="20" t="n">
        <f aca="false">OT46-OU46</f>
        <v>0</v>
      </c>
      <c r="OW46" s="20" t="n">
        <f aca="false">IF(AND(HU46=0,GB46=1,OV46&gt;0),MIN(OV46,GC46),0)</f>
        <v>0</v>
      </c>
      <c r="OX46" s="20" t="n">
        <f aca="false">OV46-OW46</f>
        <v>0</v>
      </c>
      <c r="OY46" s="20" t="n">
        <f aca="false">IF(AND(HU46=0,FR46=1,OX46&gt;0),MIN(OX46,FS46),0)</f>
        <v>0</v>
      </c>
      <c r="OZ46" s="20" t="n">
        <f aca="false">OX46-OY46</f>
        <v>0</v>
      </c>
      <c r="PA46" s="20" t="n">
        <f aca="false">IF(AND(HU46=0,FH46=1,OZ46&gt;0),MIN(OZ46,FI46),0)</f>
        <v>0</v>
      </c>
      <c r="PB46" s="20" t="n">
        <f aca="false">OZ46-PA46</f>
        <v>0</v>
      </c>
      <c r="PC46" s="20" t="n">
        <f aca="false">IF(AND(HU46=0,EX46=1,PB46&gt;0),MIN(PB46,EY46),0)</f>
        <v>0</v>
      </c>
      <c r="PD46" s="20" t="n">
        <f aca="false">PB46-PC46</f>
        <v>0</v>
      </c>
      <c r="PE46" s="20" t="n">
        <f aca="false">IF(AND(HU46=0,EN46=1,PD46&gt;0),MIN(PD46,EO46),0)</f>
        <v>0</v>
      </c>
      <c r="PF46" s="20" t="n">
        <f aca="false">PD46-PE46</f>
        <v>0</v>
      </c>
      <c r="PG46" s="20" t="n">
        <f aca="false">IF(AND(HU46=0,ED46=1,PF46&gt;0),MIN(PF46,EE46),0)</f>
        <v>0</v>
      </c>
      <c r="PH46" s="20" t="n">
        <f aca="false">PF46-PG46</f>
        <v>0</v>
      </c>
      <c r="PI46" s="20" t="n">
        <f aca="false">IF(AND(HU46=0,DT46=1,PH46&gt;0),MIN(PH46,DU46),0)</f>
        <v>0</v>
      </c>
      <c r="PJ46" s="20" t="n">
        <f aca="false">PH46-PI46</f>
        <v>0</v>
      </c>
      <c r="PK46" s="20" t="n">
        <f aca="false">IF(AND(HU46=0,DJ46=1,PJ46&gt;0),MIN(PJ46,DK46),0)</f>
        <v>0</v>
      </c>
      <c r="PL46" s="20" t="n">
        <f aca="false">PJ46-PK46</f>
        <v>0</v>
      </c>
      <c r="PM46" s="20" t="n">
        <f aca="false">IF(AND(HU46=0,CZ46=1,PL46&gt;0),MIN(PL46,DA46),0)</f>
        <v>0</v>
      </c>
      <c r="PN46" s="20" t="n">
        <f aca="false">PL46-PM46</f>
        <v>0</v>
      </c>
      <c r="PO46" s="20" t="n">
        <f aca="false">IF(AND(HU46=0,CP46=1,PN46&gt;0),MIN(PN46,CQ46),0)</f>
        <v>0</v>
      </c>
      <c r="PP46" s="20" t="n">
        <f aca="false">PN46-PO46</f>
        <v>0</v>
      </c>
      <c r="PQ46" s="20" t="n">
        <f aca="false">IF(AND(HU46=0,CF46=1,PP46&gt;0),MIN(PP46,CG46),0)</f>
        <v>0</v>
      </c>
      <c r="PR46" s="20" t="n">
        <f aca="false">PP46-PQ46</f>
        <v>0</v>
      </c>
      <c r="PS46" s="20" t="n">
        <f aca="false">IF(AND(HU46=0,BV46=1,PR46&gt;0),MIN(PR46,BW46),0)</f>
        <v>0</v>
      </c>
      <c r="PT46" s="20" t="n">
        <f aca="false">PR46-PS46</f>
        <v>0</v>
      </c>
      <c r="PU46" s="20" t="n">
        <f aca="false">IF(AND(HU46=0,BL46=1,PT46&gt;0),MIN(PT46,BM46),0)</f>
        <v>0</v>
      </c>
      <c r="PV46" s="20" t="n">
        <f aca="false">PT46-PU46</f>
        <v>0</v>
      </c>
      <c r="PW46" s="20" t="n">
        <f aca="false">IF(AND(HU46=0,BB46=1,PV46&gt;0),MIN(PV46,BC46),0)</f>
        <v>0</v>
      </c>
      <c r="PX46" s="20" t="n">
        <f aca="false">PV46-PW46</f>
        <v>0</v>
      </c>
      <c r="PY46" s="20" t="n">
        <f aca="false">IF(AND(HU46=0,AR46=1,PX46&gt;0),MIN(PX46,AS46),0)</f>
        <v>0</v>
      </c>
      <c r="PZ46" s="20" t="n">
        <f aca="false">PX46-PY46</f>
        <v>0</v>
      </c>
      <c r="QA46" s="20" t="n">
        <f aca="false">IF(AND(HU46=0,AH46=1,PZ46&gt;0),MIN(PZ46,AI46),0)</f>
        <v>0</v>
      </c>
      <c r="QB46" s="20" t="n">
        <f aca="false">PZ46-QA46</f>
        <v>0</v>
      </c>
      <c r="QC46" s="20" t="n">
        <f aca="false">IF(AND(HU46=0,W46=1,QB46&gt;0),MIN(QB46,X46),0)</f>
        <v>0</v>
      </c>
      <c r="QD46" s="20" t="n">
        <f aca="false">QB46-QC46</f>
        <v>0</v>
      </c>
      <c r="QE46" s="20" t="n">
        <f aca="false">IF(HU46=0,QD46,0)</f>
        <v>0</v>
      </c>
      <c r="QF46" s="20" t="n">
        <f aca="false">OM46+OO46+QC46+QA46+PY46+PW46+PU46+PS46+PQ46+PO46+PM46+PK46+PI46+PG46+PE46+PC46+PA46+OY46+OW46+OU46+OS46+OQ46</f>
        <v>24660.0346098031</v>
      </c>
      <c r="QG46" s="20" t="n">
        <f aca="false">IF(HU46=1,HK46+OJ46+OI46+IF(G46=1,0,OK46),HK46-OM46)</f>
        <v>9802.05578884313</v>
      </c>
      <c r="QH46" s="20" t="n">
        <f aca="false">HL46-OO46</f>
        <v>16279.9189208576</v>
      </c>
      <c r="QI46" s="20" t="n">
        <f aca="false">IF(HU46=1,IF(G46=1,ID46+IE46,HS46),0)</f>
        <v>0</v>
      </c>
      <c r="QJ46" s="20" t="n">
        <f aca="false">IF(HU46=1,IF(G46=1,HS46-ID46-IE46,0),0)</f>
        <v>0</v>
      </c>
      <c r="QK46" s="57" t="n">
        <f aca="false">'Plan holdings'!BM46</f>
        <v>10834.0470778491</v>
      </c>
      <c r="QL46" s="20" t="n">
        <f aca="false">QH46*(1+AS_Cash)</f>
        <v>16442.7181100662</v>
      </c>
      <c r="QM46" s="20" t="n">
        <f aca="false">IF(W46=1,IF(HU46=1,II46+IL46,X46-QC46)*(1+Slot1_Rate),0)</f>
        <v>0</v>
      </c>
      <c r="QN46" s="20" t="n">
        <f aca="false">IF(AND(HU46=1,W46=1),(IH46+IL46)/F46,0)</f>
        <v>0</v>
      </c>
      <c r="QO46" s="20" t="n">
        <f aca="false">IF(B46=0,IH46+IL46,0)</f>
        <v>0</v>
      </c>
      <c r="QP46" s="20" t="n">
        <f aca="false">IF(B46=0,IF(HU46=1,IJ46,IK46),0)</f>
        <v>0</v>
      </c>
      <c r="QQ46" s="20" t="n">
        <f aca="false">IF(AH46=1,IF(HU46=1,IQ46+IT46,AI46-QA46)*(1+Slot2_Rate),0)</f>
        <v>0</v>
      </c>
      <c r="QR46" s="20" t="n">
        <f aca="false">IF(AND(HU46=1,AH46=1),(IP46+IT46)/F46,0)</f>
        <v>0</v>
      </c>
      <c r="QS46" s="20" t="n">
        <f aca="false">IF(B46=0,IP46+IT46,0)</f>
        <v>0</v>
      </c>
      <c r="QT46" s="20" t="n">
        <f aca="false">IF(B46=0,IF(HU46=1,IR46,IS46),0)</f>
        <v>0</v>
      </c>
      <c r="QU46" s="20" t="n">
        <f aca="false">IF(AR46=1,IF(HU46=1,IY46+JB46,AS46-PY46)*(1+Slot3_Rate),0)</f>
        <v>0</v>
      </c>
      <c r="QV46" s="20" t="n">
        <f aca="false">IF(AND(HU46=1,AR46=1),(IX46+JB46)/F46,0)</f>
        <v>0</v>
      </c>
      <c r="QW46" s="20" t="n">
        <f aca="false">IF(B46=0,IX46+JB46,0)</f>
        <v>0</v>
      </c>
      <c r="QX46" s="20" t="n">
        <f aca="false">IF(B46=0,IF(HU46=1,IZ46,JA46),0)</f>
        <v>0</v>
      </c>
      <c r="QY46" s="20" t="n">
        <f aca="false">IF(BB46=1,IF(HU46=1,JG46+JJ46,BC46-PW46)*(1+Slot4_Rate),0)</f>
        <v>0</v>
      </c>
      <c r="QZ46" s="20" t="n">
        <f aca="false">IF(AND(HU46=1,BB46=1),(JF46+JJ46)/F46,0)</f>
        <v>0</v>
      </c>
      <c r="RA46" s="20" t="n">
        <f aca="false">IF(B46=0,JF46+JJ46,0)</f>
        <v>0</v>
      </c>
      <c r="RB46" s="20" t="n">
        <f aca="false">IF(B46=0,IF(HU46=1,JH46,JI46),0)</f>
        <v>0</v>
      </c>
      <c r="RC46" s="20" t="n">
        <f aca="false">IF(BL46=1,IF(HU46=1,JO46+JR46,BM46-PU46)*(1+Slot5_Rate),0)</f>
        <v>0</v>
      </c>
      <c r="RD46" s="20" t="n">
        <f aca="false">IF(AND(HU46=1,BL46=1),(JN46+JR46)/F46,0)</f>
        <v>0</v>
      </c>
      <c r="RE46" s="20" t="n">
        <f aca="false">IF(B46=0,JN46+JR46,0)</f>
        <v>0</v>
      </c>
      <c r="RF46" s="20" t="n">
        <f aca="false">IF(B46=0,IF(HU46=1,JP46,JQ46),0)</f>
        <v>0</v>
      </c>
      <c r="RG46" s="20" t="n">
        <f aca="false">IF(BV46=1,IF(HU46=1,JW46+JZ46,BW46-PS46)*(1+Slot6_Rate),0)</f>
        <v>0</v>
      </c>
      <c r="RH46" s="20" t="n">
        <f aca="false">IF(AND(HU46=1,BV46=1),(JV46+JZ46)/F46,0)</f>
        <v>0</v>
      </c>
      <c r="RI46" s="20" t="n">
        <f aca="false">IF(B46=0,JV46+JZ46,0)</f>
        <v>0</v>
      </c>
      <c r="RJ46" s="20" t="n">
        <f aca="false">IF(B46=0,IF(HU46=1,JX46,JY46),0)</f>
        <v>0</v>
      </c>
      <c r="RK46" s="20" t="n">
        <f aca="false">IF(CF46=1,IF(HU46=1,KE46+KH46,CG46-PQ46)*(1+Slot7_Rate),0)</f>
        <v>0</v>
      </c>
      <c r="RL46" s="20" t="n">
        <f aca="false">IF(AND(HU46=1,CF46=1),(KD46+KH46)/F46,0)</f>
        <v>0</v>
      </c>
      <c r="RM46" s="20" t="n">
        <f aca="false">IF(B46=0,KD46+KH46,0)</f>
        <v>0</v>
      </c>
      <c r="RN46" s="20" t="n">
        <f aca="false">IF(B46=0,IF(HU46=1,KF46,KG46),0)</f>
        <v>0</v>
      </c>
      <c r="RO46" s="20" t="n">
        <f aca="false">IF(CP46=1,IF(HU46=1,KM46+KP46,CQ46-PO46)*(1+Slot8_Rate),0)</f>
        <v>0</v>
      </c>
      <c r="RP46" s="20" t="n">
        <f aca="false">IF(AND(HU46=1,CP46=1),(KL46+KP46)/F46,0)</f>
        <v>0</v>
      </c>
      <c r="RQ46" s="20" t="n">
        <f aca="false">IF(B46=0,KL46+KP46,0)</f>
        <v>0</v>
      </c>
      <c r="RR46" s="20" t="n">
        <f aca="false">IF(B46=0,IF(HU46=1,KN46,KO46),0)</f>
        <v>0</v>
      </c>
      <c r="RS46" s="20" t="n">
        <f aca="false">IF(CZ46=1,IF(HU46=1,KU46+KX46,DA46-PM46)*(1+Slot9_Rate),0)</f>
        <v>0</v>
      </c>
      <c r="RT46" s="20" t="n">
        <f aca="false">IF(AND(HU46=1,CZ46=1),(KT46+KX46)/F46,0)</f>
        <v>0</v>
      </c>
      <c r="RU46" s="20" t="n">
        <f aca="false">IF(B46=0,KT46+KX46,0)</f>
        <v>0</v>
      </c>
      <c r="RV46" s="20" t="n">
        <f aca="false">IF(B46=0,IF(HU46=1,KV46,KW46),0)</f>
        <v>0</v>
      </c>
      <c r="RW46" s="20" t="n">
        <f aca="false">IF(DJ46=1,IF(HU46=1,LC46+LF46,DK46-PK46)*(1+Slot10_Rate),0)</f>
        <v>0</v>
      </c>
      <c r="RX46" s="20" t="n">
        <f aca="false">IF(AND(HU46=1,DJ46=1),(LB46+LF46)/F46,0)</f>
        <v>0</v>
      </c>
      <c r="RY46" s="20" t="n">
        <f aca="false">IF(B46=0,LB46+LF46,0)</f>
        <v>0</v>
      </c>
      <c r="RZ46" s="20" t="n">
        <f aca="false">IF(B46=0,IF(HU46=1,LD46,LE46),0)</f>
        <v>0</v>
      </c>
      <c r="SA46" s="20" t="n">
        <f aca="false">IF(DT46=1,IF(HU46=1,LK46+LN46,DU46-PI46)*(1+Slot11_Rate),0)</f>
        <v>0</v>
      </c>
      <c r="SB46" s="20" t="n">
        <f aca="false">IF(AND(HU46=1,DT46=1),(LJ46+LN46)/F46,0)</f>
        <v>0</v>
      </c>
      <c r="SC46" s="20" t="n">
        <f aca="false">IF(B46=0,LJ46+LN46,0)</f>
        <v>0</v>
      </c>
      <c r="SD46" s="20" t="n">
        <f aca="false">IF(B46=0,IF(HU46=1,LL46,LM46),0)</f>
        <v>0</v>
      </c>
      <c r="SE46" s="20" t="n">
        <f aca="false">IF(ED46=1,IF(HU46=1,LS46+LV46,EE46-PG46)*(1+Slot12_Rate),0)</f>
        <v>0</v>
      </c>
      <c r="SF46" s="20" t="n">
        <f aca="false">IF(AND(HU46=1,ED46=1),(LR46+LV46)/F46,0)</f>
        <v>0</v>
      </c>
      <c r="SG46" s="20" t="n">
        <f aca="false">IF(B46=0,LR46+LV46,0)</f>
        <v>0</v>
      </c>
      <c r="SH46" s="20" t="n">
        <f aca="false">IF(B46=0,IF(HU46=1,LT46,LU46),0)</f>
        <v>0</v>
      </c>
      <c r="SI46" s="20" t="n">
        <f aca="false">IF(EN46=1,IF(HU46=1,MA46+MD46,EO46-PE46)*(1+Slot13_Rate),0)</f>
        <v>0</v>
      </c>
      <c r="SJ46" s="20" t="n">
        <f aca="false">IF(AND(HU46=1,EN46=1),(LZ46+MD46)/F46,0)</f>
        <v>0</v>
      </c>
      <c r="SK46" s="20" t="n">
        <f aca="false">IF(B46=0,LZ46+MD46,0)</f>
        <v>0</v>
      </c>
      <c r="SL46" s="20" t="n">
        <f aca="false">IF(B46=0,IF(HU46=1,MB46,MC46),0)</f>
        <v>0</v>
      </c>
      <c r="SM46" s="20" t="n">
        <f aca="false">IF(EX46=1,IF(HU46=1,MI46+ML46,EY46-PC46)*(1+Slot14_Rate),0)</f>
        <v>0</v>
      </c>
      <c r="SN46" s="20" t="n">
        <f aca="false">IF(AND(HU46=1,EX46=1),(MH46+ML46)/F46,0)</f>
        <v>0</v>
      </c>
      <c r="SO46" s="20" t="n">
        <f aca="false">IF(B46=0,MH46+ML46,0)</f>
        <v>0</v>
      </c>
      <c r="SP46" s="20" t="n">
        <f aca="false">IF(B46=0,IF(HU46=1,MJ46,MK46),0)</f>
        <v>0</v>
      </c>
      <c r="SQ46" s="20" t="n">
        <f aca="false">IF(FH46=1,IF(HU46=1,MQ46+MT46,FI46-PA46)*(1+Slot15_Rate),0)</f>
        <v>0</v>
      </c>
      <c r="SR46" s="20" t="n">
        <f aca="false">IF(AND(HU46=1,FH46=1),(MP46+MT46)/F46,0)</f>
        <v>0</v>
      </c>
      <c r="SS46" s="20" t="n">
        <f aca="false">IF(B46=0,MP46+MT46,0)</f>
        <v>0</v>
      </c>
      <c r="ST46" s="20" t="n">
        <f aca="false">IF(B46=0,IF(HU46=1,MR46,MS46),0)</f>
        <v>0</v>
      </c>
      <c r="SU46" s="20" t="n">
        <f aca="false">IF(FR46=1,IF(HU46=1,MY46+NB46,FS46-OY46)*(1+Slot16_Rate),0)</f>
        <v>0</v>
      </c>
      <c r="SV46" s="20" t="n">
        <f aca="false">IF(AND(HU46=1,FR46=1),(MX46+NB46)/F46,0)</f>
        <v>0</v>
      </c>
      <c r="SW46" s="20" t="n">
        <f aca="false">IF(B46=0,MX46+NB46,0)</f>
        <v>0</v>
      </c>
      <c r="SX46" s="20" t="n">
        <f aca="false">IF(B46=0,IF(HU46=1,MZ46,NA46),0)</f>
        <v>0</v>
      </c>
      <c r="SY46" s="20" t="n">
        <f aca="false">IF(GB46=1,IF(HU46=1,NG46+NJ46,GC46-OW46)*(1+Slot17_Rate),0)</f>
        <v>0</v>
      </c>
      <c r="SZ46" s="20" t="n">
        <f aca="false">IF(AND(HU46=1,GB46=1),(NF46+NJ46)/F46,0)</f>
        <v>0</v>
      </c>
      <c r="TA46" s="20" t="n">
        <f aca="false">IF(B46=0,NF46+NJ46,0)</f>
        <v>0</v>
      </c>
      <c r="TB46" s="20" t="n">
        <f aca="false">IF(B46=0,IF(HU46=1,NH46,NI46),0)</f>
        <v>0</v>
      </c>
      <c r="TC46" s="20" t="n">
        <f aca="false">IF(GL46=1,IF(HU46=1,NO46+NR46,GM46-OU46)*(1+Slot18_Rate),0)</f>
        <v>0</v>
      </c>
      <c r="TD46" s="20" t="n">
        <f aca="false">IF(AND(HU46=1,GL46=1),(NN46+NR46)/F46,0)</f>
        <v>0</v>
      </c>
      <c r="TE46" s="20" t="n">
        <f aca="false">IF(B46=0,NN46+NR46,0)</f>
        <v>0</v>
      </c>
      <c r="TF46" s="20" t="n">
        <f aca="false">IF(B46=0,IF(HU46=1,NP46,NQ46),0)</f>
        <v>0</v>
      </c>
      <c r="TG46" s="20" t="n">
        <f aca="false">IF(GV46=1,IF(HU46=1,NW46+NZ46,GW46-OS46)*(1+Slot19_Rate),0)</f>
        <v>0</v>
      </c>
      <c r="TH46" s="20" t="n">
        <f aca="false">IF(AND(HU46=1,GV46=1),(NV46+NZ46)/F46,0)</f>
        <v>0</v>
      </c>
      <c r="TI46" s="20" t="n">
        <f aca="false">IF(B46=0,NV46+NZ46,0)</f>
        <v>0</v>
      </c>
      <c r="TJ46" s="20" t="n">
        <f aca="false">IF(B46=0,IF(HU46=1,NX46,NY46),0)</f>
        <v>0</v>
      </c>
      <c r="TK46" s="20" t="n">
        <f aca="false">IF(HF46=1,IF(HU46=1,OE46+OH46,HG46-OQ46)*(1+Slot20_Rate),0)</f>
        <v>0</v>
      </c>
      <c r="TL46" s="20" t="n">
        <f aca="false">IF(AND(HU46=1,HF46=1),(OD46+OH46)/F46,0)</f>
        <v>0</v>
      </c>
      <c r="TM46" s="20" t="n">
        <f aca="false">IF(B46=0,OD46+OH46,0)</f>
        <v>0</v>
      </c>
      <c r="TN46" s="20" t="n">
        <f aca="false">IF(B46=0,IF(HU46=1,OF46,OG46),0)</f>
        <v>0</v>
      </c>
      <c r="TO46" s="20" t="n">
        <f aca="false">QK46+QL46+QM46+QQ46+QU46+QY46+RC46+RG46+RK46+RO46+RS46+RW46+SA46+SE46+SI46+SM46+SQ46+SU46+SY46+TC46+TG46+TK46</f>
        <v>27276.7651879153</v>
      </c>
      <c r="TP46" s="20" t="n">
        <f aca="false">QE46+HP46</f>
        <v>0</v>
      </c>
      <c r="TQ46" s="20" t="n">
        <f aca="false">I46+S46</f>
        <v>101445.882276807</v>
      </c>
      <c r="TR46" s="20" t="n">
        <f aca="false">1-G46</f>
        <v>1</v>
      </c>
      <c r="TS46" s="20" t="n">
        <f aca="false">IF(AND(RG_Exists=1,G46=0,C46=1),I46,0)</f>
        <v>101445.882276807</v>
      </c>
      <c r="TT46" s="20" t="n">
        <f aca="false">IF(AND(RG_Exists=1,G46=0,C46=1),I46-MIN(QE46,I46),0)</f>
        <v>101445.882276807</v>
      </c>
      <c r="TU46" s="20" t="n">
        <f aca="false">'Plan pay &amp; tax'!AD272</f>
        <v>365701.006392198</v>
      </c>
      <c r="TV46" s="20" t="n">
        <f aca="false">IF(AND(C46=1,QE46&gt;MAX(PR_Short1,TQ46*PR_Short2)),1,0)</f>
        <v>0</v>
      </c>
      <c r="TW46" s="20" t="n">
        <f aca="false">MIN(H46,I46+S46)</f>
        <v>76785.8476670039</v>
      </c>
      <c r="TX46" s="20" t="n">
        <f aca="false">QF46+MAX(0,HQ46-HP46)</f>
        <v>24660.0346098031</v>
      </c>
      <c r="TY46" s="20" t="n">
        <f aca="false">QE46+HP46</f>
        <v>0</v>
      </c>
      <c r="TZ46" s="20" t="n">
        <f aca="false">IF(AND(C46=1,TY46&gt;PR_MinShort),1,0)</f>
        <v>0</v>
      </c>
      <c r="UA46" s="20" t="n">
        <f aca="false">IF(AND(C46=1,TZ46=0,TX46&gt;PR_MinShort),1,0)</f>
        <v>1</v>
      </c>
      <c r="UB46" s="20" t="n">
        <f aca="false">IF(AND(C46=1,QE46&gt;PR_MinShort),1,0)</f>
        <v>0</v>
      </c>
      <c r="UC46" s="20" t="n">
        <f aca="false">IF(AND(C46=1,QF46&gt;1,UJ46=0),1,0)</f>
        <v>1</v>
      </c>
      <c r="UD46" s="20" t="str">
        <f aca="false">IF(C46=0,"",IF(UJ46=1,"Gap to plan for: short "&amp;"€"&amp;TEXT(ROUND(TP46,0),"#,##0"),IF(QF46&gt;1,"Using savings","Comfortable")))</f>
        <v>Using savings</v>
      </c>
      <c r="UE46" s="20" t="n">
        <f aca="false">IF(AND(INT(D46/10)*10=90,B46&gt;0),80,INT(D46/10)*10)</f>
        <v>70</v>
      </c>
      <c r="UF46" s="20" t="n">
        <f aca="false">IF(B46=0,1,IF(UE46&lt;&gt;UE45,UF45+1,UF45))</f>
        <v>5</v>
      </c>
      <c r="UG46" s="20" t="n">
        <f aca="false">IF(AND(C46=1,G46=1,QE46&gt;MAX(PR_Short1,TQ46*PR_Short2)),1,0)</f>
        <v>0</v>
      </c>
      <c r="UH46" s="20" t="n">
        <f aca="false">TR46*TV46</f>
        <v>0</v>
      </c>
      <c r="UI46" s="20" t="n">
        <f aca="false">IF(AND(V46=1,Slot1_PctLow=1),1,0)+IF(AND(AG46=1,Slot2_PctLow=1),1,0)+IF(AND(AQ46=1,Slot3_PctLow=1),1,0)+IF(AND(BA46=1,Slot4_PctLow=1),1,0)+IF(AND(BK46=1,Slot5_PctLow=1),1,0)+IF(AND(BU46=1,Slot6_PctLow=1),1,0)+IF(AND(CE46=1,Slot7_PctLow=1),1,0)+IF(AND(CO46=1,Slot8_PctLow=1),1,0)+IF(AND(CY46=1,Slot9_PctLow=1),1,0)+IF(AND(DI46=1,Slot10_PctLow=1),1,0)+IF(AND(DS46=1,Slot11_PctLow=1),1,0)+IF(AND(EC46=1,Slot12_PctLow=1),1,0)+IF(AND(EM46=1,Slot13_PctLow=1),1,0)+IF(AND(EW46=1,Slot14_PctLow=1),1,0)+IF(AND(FG46=1,Slot15_PctLow=1),1,0)+IF(AND(FQ46=1,Slot16_PctLow=1),1,0)+IF(AND(GA46=1,Slot17_PctLow=1),1,0)+IF(AND(GK46=1,Slot18_PctLow=1),1,0)+IF(AND(GU46=1,Slot19_PctLow=1),1,0)+IF(AND(HE46=1,Slot20_PctLow=1),1,0)</f>
        <v>0</v>
      </c>
      <c r="UJ46" s="20" t="n">
        <f aca="false">IF(C46=1,IF(OR(TV46=1,UI46&gt;0),1,0),0)</f>
        <v>0</v>
      </c>
      <c r="UK46" s="20" t="n">
        <f aca="false">Z46+AK46+AU46+BE46+BO46+BY46+CI46+CS46+DC46+DM46+DW46+EG46+EQ46+FA46+FK46+FU46+GE46+GO46+GY46+HI46+OM46</f>
        <v>24660.0346098031</v>
      </c>
      <c r="UL46" s="20" t="n">
        <f aca="false">V46*IF(Slot1_SpendLike=1,X46-Y46,IF(Slot1_PotFree=1,X46,0))+AG46*IF(Slot2_SpendLike=1,AI46-AJ46,IF(Slot2_PotFree=1,AI46,0))+AQ46*IF(Slot3_SpendLike=1,AS46-AT46,IF(Slot3_PotFree=1,AS46,0))+BA46*IF(Slot4_SpendLike=1,BC46-BD46,IF(Slot4_PotFree=1,BC46,0))+BK46*IF(Slot5_SpendLike=1,BM46-BN46,IF(Slot5_PotFree=1,BM46,0))+BU46*IF(Slot6_SpendLike=1,BW46-BX46,IF(Slot6_PotFree=1,BW46,0))+CE46*IF(Slot7_SpendLike=1,CG46-CH46,IF(Slot7_PotFree=1,CG46,0))+CO46*IF(Slot8_SpendLike=1,CQ46-CR46,IF(Slot8_PotFree=1,CQ46,0))+CY46*IF(Slot9_SpendLike=1,DA46-DB46,IF(Slot9_PotFree=1,DA46,0))+DI46*IF(Slot10_SpendLike=1,DK46-DL46,IF(Slot10_PotFree=1,DK46,0))+DS46*IF(Slot11_SpendLike=1,DU46-DV46,IF(Slot11_PotFree=1,DU46,0))+EC46*IF(Slot12_SpendLike=1,EE46-EF46,IF(Slot12_PotFree=1,EE46,0))+EM46*IF(Slot13_SpendLike=1,EO46-EP46,IF(Slot13_PotFree=1,EO46,0))+EW46*IF(Slot14_SpendLike=1,EY46-EZ46,IF(Slot14_PotFree=1,EY46,0))+FG46*IF(Slot15_SpendLike=1,FI46-FJ46,IF(Slot15_PotFree=1,FI46,0))+FQ46*IF(Slot16_SpendLike=1,FS46-FT46,IF(Slot16_PotFree=1,FS46,0))+GA46*IF(Slot17_SpendLike=1,GC46-GD46,IF(Slot17_PotFree=1,GC46,0))+GK46*IF(Slot18_SpendLike=1,GM46-GN46,IF(Slot18_PotFree=1,GM46,0))+GU46*IF(Slot19_SpendLike=1,GW46-GX46,IF(Slot19_PotFree=1,GW46,0))+HE46*IF(Slot20_SpendLike=1,HG46-HH46,IF(Slot20_PotFree=1,HG46,0))</f>
        <v>0</v>
      </c>
      <c r="UM46" s="20" t="n">
        <f aca="false">QG46-T46+UK46-UL46</f>
        <v>0</v>
      </c>
      <c r="UN46" s="20" t="n">
        <f aca="false">IF(OR(UN45=1,AND(In_homeUse="Yes, I'd downsize",In_downAge&gt;0,D46=In_downAge,OR(In_home="Own outright",In_home="Own with mortgage"),In_homeValue&gt;0)),1,0)</f>
        <v>0</v>
      </c>
    </row>
    <row r="47" customFormat="false" ht="15" hidden="false" customHeight="true" outlineLevel="0" collapsed="false">
      <c r="B47" s="20" t="n">
        <v>39</v>
      </c>
      <c r="C47" s="20" t="n">
        <f aca="false">IF(B47&lt;=F_N,1,0)</f>
        <v>1</v>
      </c>
      <c r="D47" s="20" t="n">
        <f aca="false">'Plan pay &amp; tax'!C273</f>
        <v>77</v>
      </c>
      <c r="E47" s="20" t="str">
        <f aca="false">IF($C47=1,"Income tax "&amp;TEXT(N('Plan pay &amp; tax'!BK273),"#,##0")&amp;"; USC "&amp;TEXT(N('Plan pay &amp; tax'!BM273)+N('Plan pay &amp; tax'!BO273),"#,##0")&amp;"; PRSI "&amp;TEXT(N('Plan pay &amp; tax'!BP273)+N('Plan pay &amp; tax'!BQ273),"#,##0")&amp;IF(N('Plan holdings'!BO47)&gt;=0.5,"; DIRT "&amp;TEXT(('Plan holdings'!BO47)/$F47,"#,##0")&amp;" (already taken from the interest earned)","")&amp;IF(N('Plan holdings'!BP47)&gt;=0.5,"; exit tax at an 8-year anniversary "&amp;TEXT(('Plan holdings'!BP47)/$F47,"#,##0"),"")&amp;IF(N('Plan holdings'!BN47)&gt;=0.5,"; tax on assets sold (exit tax or capital gains tax) "&amp;TEXT(('Plan holdings'!BN47)/$F47,"#,##0"),"")&amp;IF(N('Plan pay &amp; tax'!X273)-N('Plan pay &amp; tax'!Y273)&gt;=0.5,"; tax on the pension lump sum "&amp;TEXT(('Plan pay &amp; tax'!X273-'Plan pay &amp; tax'!Y273)/$F47,"#,##0"),"")&amp;IF(N('Plan pay &amp; tax'!V273)&gt;=0.5,"; chargeable excess tax on the pension "&amp;TEXT(('Plan pay &amp; tax'!V273)/$F47,"#,##0"),"")&amp;".","")</f>
        <v>Income tax 646; USC 0; PRSI 0; DIRT 3 (already taken from the interest earned); tax on assets sold (exit tax or capital gains tax) 357.</v>
      </c>
      <c r="F47" s="50" t="n">
        <f aca="false">'Plan pay &amp; tax'!E273</f>
        <v>2.16474476824986</v>
      </c>
      <c r="G47" s="20" t="n">
        <f aca="false">'Plan pay &amp; tax'!G273</f>
        <v>0</v>
      </c>
      <c r="H47" s="20" t="n">
        <f aca="false">'Plan pay &amp; tax'!BT273-'Plan pay &amp; tax'!BS273-'Plan pay &amp; tax'!R273</f>
        <v>78493.2333326846</v>
      </c>
      <c r="I47" s="20" t="n">
        <f aca="false">IF(G47=1,F_CostsM*12,IF(RG_Exists=1,RG_Amount,F_CostsM*12*AS_RetireSpend))*F47+F_OneOffY*F47</f>
        <v>103474.799922343</v>
      </c>
      <c r="J47" s="20" t="n">
        <f aca="false">IF(UN47=1,0,HR46)</f>
        <v>0</v>
      </c>
      <c r="K47" s="20" t="n">
        <f aca="false">IF(J47&gt;1,'Plan debt months'!AC47,0)</f>
        <v>0</v>
      </c>
      <c r="L47" s="20" t="n">
        <f aca="false">IF(J47&gt;1,'Plan debt months'!AB47,J47)</f>
        <v>0</v>
      </c>
      <c r="M47" s="20" t="n">
        <f aca="false">O46</f>
        <v>0</v>
      </c>
      <c r="N47" s="20" t="n">
        <f aca="false">IF(M47&gt;1,'Plan debt months'!BD47,0)</f>
        <v>0</v>
      </c>
      <c r="O47" s="20" t="n">
        <f aca="false">IF(M47&gt;1,'Plan debt months'!BC47,M47)</f>
        <v>0</v>
      </c>
      <c r="P47" s="20" t="n">
        <f aca="false">R46</f>
        <v>0</v>
      </c>
      <c r="Q47" s="20" t="n">
        <f aca="false">IF(P47&gt;1,'Plan debt months'!CE47,0)</f>
        <v>0</v>
      </c>
      <c r="R47" s="20" t="n">
        <f aca="false">IF(P47&gt;1,'Plan debt months'!CD47,P47)</f>
        <v>0</v>
      </c>
      <c r="S47" s="20" t="n">
        <f aca="false">K47+N47+Q47</f>
        <v>0</v>
      </c>
      <c r="T47" s="57" t="n">
        <f aca="false">'Plan holdings'!Y47</f>
        <v>10060.406142238</v>
      </c>
      <c r="U47" s="57" t="n">
        <f aca="false">'Plan holdings'!BM46</f>
        <v>10834.0470778491</v>
      </c>
      <c r="V47" s="20" t="n">
        <f aca="false">IF(AND(Slot1_On=1,D47=Slot1_Age),1,0)</f>
        <v>0</v>
      </c>
      <c r="W47" s="20" t="n">
        <f aca="false">IF(AND(Slot1_On=1,Slot1_Age&gt;D47),1,0)</f>
        <v>0</v>
      </c>
      <c r="X47" s="20" t="n">
        <f aca="false">QM46</f>
        <v>0</v>
      </c>
      <c r="Y47" s="20" t="n">
        <f aca="false">V47*MIN(Slot1_Cost,X47)</f>
        <v>0</v>
      </c>
      <c r="Z47" s="20" t="n">
        <f aca="false">V47*Slot1_SpendLike*MIN(Slot1_Cost-Y47,T47)</f>
        <v>0</v>
      </c>
      <c r="AA47" s="20" t="n">
        <f aca="false">Y47+Z47</f>
        <v>0</v>
      </c>
      <c r="AB47" s="20" t="n">
        <f aca="false">T47-Z47+V47*IF(Slot1_SpendLike=1,X47-Y47,IF(Slot1_PotFree=1,X47,0))</f>
        <v>10060.406142238</v>
      </c>
      <c r="AC47" s="20" t="n">
        <f aca="false">AF47+V47*Slot1_BufPot*X47</f>
        <v>16442.7181100662</v>
      </c>
      <c r="AD47" s="20" t="n">
        <f aca="false">IF(AND(V47=1,Slot1_IsMfree=1),IF(AA47&gt;=Slot1_Cost-1,0,MAX(0,L47-AA47)),L47)</f>
        <v>0</v>
      </c>
      <c r="AE47" s="20" t="n">
        <f aca="false">V47*(Slot1_Cost-AA47)</f>
        <v>0</v>
      </c>
      <c r="AF47" s="20" t="n">
        <f aca="false">QL46</f>
        <v>16442.7181100662</v>
      </c>
      <c r="AG47" s="20" t="n">
        <f aca="false">IF(AND(Slot2_On=1,D47=Slot2_Age),1,0)</f>
        <v>0</v>
      </c>
      <c r="AH47" s="20" t="n">
        <f aca="false">IF(AND(Slot2_On=1,Slot2_Age&gt;D47),1,0)</f>
        <v>0</v>
      </c>
      <c r="AI47" s="20" t="n">
        <f aca="false">QQ46</f>
        <v>0</v>
      </c>
      <c r="AJ47" s="20" t="n">
        <f aca="false">AG47*MIN(Slot2_Cost,AI47)</f>
        <v>0</v>
      </c>
      <c r="AK47" s="20" t="n">
        <f aca="false">AG47*Slot2_SpendLike*MIN(Slot2_Cost-AJ47,AB47)</f>
        <v>0</v>
      </c>
      <c r="AL47" s="20" t="n">
        <f aca="false">AJ47+AK47</f>
        <v>0</v>
      </c>
      <c r="AM47" s="20" t="n">
        <f aca="false">AB47-AK47+AG47*IF(Slot2_SpendLike=1,AI47-AJ47,IF(Slot2_PotFree=1,AI47,0))</f>
        <v>10060.406142238</v>
      </c>
      <c r="AN47" s="20" t="n">
        <f aca="false">AC47+AG47*Slot2_BufPot*AI47</f>
        <v>16442.7181100662</v>
      </c>
      <c r="AO47" s="20" t="n">
        <f aca="false">IF(AND(AG47=1,Slot2_IsMfree=1),IF(AL47&gt;=Slot2_Cost-1,0,MAX(0,AD47-AL47)),AD47)</f>
        <v>0</v>
      </c>
      <c r="AP47" s="20" t="n">
        <f aca="false">AG47*(Slot2_Cost-AL47)</f>
        <v>0</v>
      </c>
      <c r="AQ47" s="20" t="n">
        <f aca="false">IF(AND(Slot3_On=1,D47=Slot3_Age),1,0)</f>
        <v>0</v>
      </c>
      <c r="AR47" s="20" t="n">
        <f aca="false">IF(AND(Slot3_On=1,Slot3_Age&gt;D47),1,0)</f>
        <v>0</v>
      </c>
      <c r="AS47" s="20" t="n">
        <f aca="false">QU46</f>
        <v>0</v>
      </c>
      <c r="AT47" s="20" t="n">
        <f aca="false">AQ47*MIN(Slot3_Cost,AS47)</f>
        <v>0</v>
      </c>
      <c r="AU47" s="20" t="n">
        <f aca="false">AQ47*Slot3_SpendLike*MIN(Slot3_Cost-AT47,AM47)</f>
        <v>0</v>
      </c>
      <c r="AV47" s="20" t="n">
        <f aca="false">AT47+AU47</f>
        <v>0</v>
      </c>
      <c r="AW47" s="20" t="n">
        <f aca="false">AM47-AU47+AQ47*IF(Slot3_SpendLike=1,AS47-AT47,IF(Slot3_PotFree=1,AS47,0))</f>
        <v>10060.406142238</v>
      </c>
      <c r="AX47" s="20" t="n">
        <f aca="false">AN47+AQ47*Slot3_BufPot*AS47</f>
        <v>16442.7181100662</v>
      </c>
      <c r="AY47" s="20" t="n">
        <f aca="false">IF(AND(AQ47=1,Slot3_IsMfree=1),IF(AV47&gt;=Slot3_Cost-1,0,MAX(0,AO47-AV47)),AO47)</f>
        <v>0</v>
      </c>
      <c r="AZ47" s="20" t="n">
        <f aca="false">AQ47*(Slot3_Cost-AV47)</f>
        <v>0</v>
      </c>
      <c r="BA47" s="20" t="n">
        <f aca="false">IF(AND(Slot4_On=1,D47=Slot4_Age),1,0)</f>
        <v>0</v>
      </c>
      <c r="BB47" s="20" t="n">
        <f aca="false">IF(AND(Slot4_On=1,Slot4_Age&gt;D47),1,0)</f>
        <v>0</v>
      </c>
      <c r="BC47" s="20" t="n">
        <f aca="false">QY46</f>
        <v>0</v>
      </c>
      <c r="BD47" s="20" t="n">
        <f aca="false">BA47*MIN(Slot4_Cost,BC47)</f>
        <v>0</v>
      </c>
      <c r="BE47" s="20" t="n">
        <f aca="false">BA47*Slot4_SpendLike*MIN(Slot4_Cost-BD47,AW47)</f>
        <v>0</v>
      </c>
      <c r="BF47" s="20" t="n">
        <f aca="false">BD47+BE47</f>
        <v>0</v>
      </c>
      <c r="BG47" s="20" t="n">
        <f aca="false">AW47-BE47+BA47*IF(Slot4_SpendLike=1,BC47-BD47,IF(Slot4_PotFree=1,BC47,0))</f>
        <v>10060.406142238</v>
      </c>
      <c r="BH47" s="20" t="n">
        <f aca="false">AX47+BA47*Slot4_BufPot*BC47</f>
        <v>16442.7181100662</v>
      </c>
      <c r="BI47" s="20" t="n">
        <f aca="false">IF(AND(BA47=1,Slot4_IsMfree=1),IF(BF47&gt;=Slot4_Cost-1,0,MAX(0,AY47-BF47)),AY47)</f>
        <v>0</v>
      </c>
      <c r="BJ47" s="20" t="n">
        <f aca="false">BA47*(Slot4_Cost-BF47)</f>
        <v>0</v>
      </c>
      <c r="BK47" s="20" t="n">
        <f aca="false">IF(AND(Slot5_On=1,D47=Slot5_Age),1,0)</f>
        <v>0</v>
      </c>
      <c r="BL47" s="20" t="n">
        <f aca="false">IF(AND(Slot5_On=1,Slot5_Age&gt;D47),1,0)</f>
        <v>0</v>
      </c>
      <c r="BM47" s="20" t="n">
        <f aca="false">RC46</f>
        <v>0</v>
      </c>
      <c r="BN47" s="20" t="n">
        <f aca="false">BK47*MIN(Slot5_Cost,BM47)</f>
        <v>0</v>
      </c>
      <c r="BO47" s="20" t="n">
        <f aca="false">BK47*Slot5_SpendLike*MIN(Slot5_Cost-BN47,BG47)</f>
        <v>0</v>
      </c>
      <c r="BP47" s="20" t="n">
        <f aca="false">BN47+BO47</f>
        <v>0</v>
      </c>
      <c r="BQ47" s="20" t="n">
        <f aca="false">BG47-BO47+BK47*IF(Slot5_SpendLike=1,BM47-BN47,IF(Slot5_PotFree=1,BM47,0))</f>
        <v>10060.406142238</v>
      </c>
      <c r="BR47" s="20" t="n">
        <f aca="false">BH47+BK47*Slot5_BufPot*BM47</f>
        <v>16442.7181100662</v>
      </c>
      <c r="BS47" s="20" t="n">
        <f aca="false">IF(AND(BK47=1,Slot5_IsMfree=1),IF(BP47&gt;=Slot5_Cost-1,0,MAX(0,BI47-BP47)),BI47)</f>
        <v>0</v>
      </c>
      <c r="BT47" s="20" t="n">
        <f aca="false">BK47*(Slot5_Cost-BP47)</f>
        <v>0</v>
      </c>
      <c r="BU47" s="20" t="n">
        <f aca="false">IF(AND(Slot6_On=1,D47=Slot6_Age),1,0)</f>
        <v>0</v>
      </c>
      <c r="BV47" s="20" t="n">
        <f aca="false">IF(AND(Slot6_On=1,Slot6_Age&gt;D47),1,0)</f>
        <v>0</v>
      </c>
      <c r="BW47" s="20" t="n">
        <f aca="false">RG46</f>
        <v>0</v>
      </c>
      <c r="BX47" s="20" t="n">
        <f aca="false">BU47*MIN(Slot6_Cost,BW47)</f>
        <v>0</v>
      </c>
      <c r="BY47" s="20" t="n">
        <f aca="false">BU47*Slot6_SpendLike*MIN(Slot6_Cost-BX47,BQ47)</f>
        <v>0</v>
      </c>
      <c r="BZ47" s="20" t="n">
        <f aca="false">BX47+BY47</f>
        <v>0</v>
      </c>
      <c r="CA47" s="20" t="n">
        <f aca="false">BQ47-BY47+BU47*IF(Slot6_SpendLike=1,BW47-BX47,IF(Slot6_PotFree=1,BW47,0))</f>
        <v>10060.406142238</v>
      </c>
      <c r="CB47" s="20" t="n">
        <f aca="false">BR47+BU47*Slot6_BufPot*BW47</f>
        <v>16442.7181100662</v>
      </c>
      <c r="CC47" s="20" t="n">
        <f aca="false">IF(AND(BU47=1,Slot6_IsMfree=1),IF(BZ47&gt;=Slot6_Cost-1,0,MAX(0,BS47-BZ47)),BS47)</f>
        <v>0</v>
      </c>
      <c r="CD47" s="20" t="n">
        <f aca="false">BU47*(Slot6_Cost-BZ47)</f>
        <v>0</v>
      </c>
      <c r="CE47" s="20" t="n">
        <f aca="false">IF(AND(Slot7_On=1,D47=Slot7_Age),1,0)</f>
        <v>0</v>
      </c>
      <c r="CF47" s="20" t="n">
        <f aca="false">IF(AND(Slot7_On=1,Slot7_Age&gt;D47),1,0)</f>
        <v>0</v>
      </c>
      <c r="CG47" s="20" t="n">
        <f aca="false">RK46</f>
        <v>0</v>
      </c>
      <c r="CH47" s="20" t="n">
        <f aca="false">CE47*MIN(Slot7_Cost,CG47)</f>
        <v>0</v>
      </c>
      <c r="CI47" s="20" t="n">
        <f aca="false">CE47*Slot7_SpendLike*MIN(Slot7_Cost-CH47,CA47)</f>
        <v>0</v>
      </c>
      <c r="CJ47" s="20" t="n">
        <f aca="false">CH47+CI47</f>
        <v>0</v>
      </c>
      <c r="CK47" s="20" t="n">
        <f aca="false">CA47-CI47+CE47*IF(Slot7_SpendLike=1,CG47-CH47,IF(Slot7_PotFree=1,CG47,0))</f>
        <v>10060.406142238</v>
      </c>
      <c r="CL47" s="20" t="n">
        <f aca="false">CB47+CE47*Slot7_BufPot*CG47</f>
        <v>16442.7181100662</v>
      </c>
      <c r="CM47" s="20" t="n">
        <f aca="false">IF(AND(CE47=1,Slot7_IsMfree=1),IF(CJ47&gt;=Slot7_Cost-1,0,MAX(0,CC47-CJ47)),CC47)</f>
        <v>0</v>
      </c>
      <c r="CN47" s="20" t="n">
        <f aca="false">CE47*(Slot7_Cost-CJ47)</f>
        <v>0</v>
      </c>
      <c r="CO47" s="20" t="n">
        <f aca="false">IF(AND(Slot8_On=1,D47=Slot8_Age),1,0)</f>
        <v>0</v>
      </c>
      <c r="CP47" s="20" t="n">
        <f aca="false">IF(AND(Slot8_On=1,Slot8_Age&gt;D47),1,0)</f>
        <v>0</v>
      </c>
      <c r="CQ47" s="20" t="n">
        <f aca="false">RO46</f>
        <v>0</v>
      </c>
      <c r="CR47" s="20" t="n">
        <f aca="false">CO47*MIN(Slot8_Cost,CQ47)</f>
        <v>0</v>
      </c>
      <c r="CS47" s="20" t="n">
        <f aca="false">CO47*Slot8_SpendLike*MIN(Slot8_Cost-CR47,CK47)</f>
        <v>0</v>
      </c>
      <c r="CT47" s="20" t="n">
        <f aca="false">CR47+CS47</f>
        <v>0</v>
      </c>
      <c r="CU47" s="20" t="n">
        <f aca="false">CK47-CS47+CO47*IF(Slot8_SpendLike=1,CQ47-CR47,IF(Slot8_PotFree=1,CQ47,0))</f>
        <v>10060.406142238</v>
      </c>
      <c r="CV47" s="20" t="n">
        <f aca="false">CL47+CO47*Slot8_BufPot*CQ47</f>
        <v>16442.7181100662</v>
      </c>
      <c r="CW47" s="20" t="n">
        <f aca="false">IF(AND(CO47=1,Slot8_IsMfree=1),IF(CT47&gt;=Slot8_Cost-1,0,MAX(0,CM47-CT47)),CM47)</f>
        <v>0</v>
      </c>
      <c r="CX47" s="20" t="n">
        <f aca="false">CO47*(Slot8_Cost-CT47)</f>
        <v>0</v>
      </c>
      <c r="CY47" s="20" t="n">
        <f aca="false">IF(AND(Slot9_On=1,D47=Slot9_Age),1,0)</f>
        <v>0</v>
      </c>
      <c r="CZ47" s="20" t="n">
        <f aca="false">IF(AND(Slot9_On=1,Slot9_Age&gt;D47),1,0)</f>
        <v>0</v>
      </c>
      <c r="DA47" s="20" t="n">
        <f aca="false">RS46</f>
        <v>0</v>
      </c>
      <c r="DB47" s="20" t="n">
        <f aca="false">CY47*MIN(Slot9_Cost,DA47)</f>
        <v>0</v>
      </c>
      <c r="DC47" s="20" t="n">
        <f aca="false">CY47*Slot9_SpendLike*MIN(Slot9_Cost-DB47,CU47)</f>
        <v>0</v>
      </c>
      <c r="DD47" s="20" t="n">
        <f aca="false">DB47+DC47</f>
        <v>0</v>
      </c>
      <c r="DE47" s="20" t="n">
        <f aca="false">CU47-DC47+CY47*IF(Slot9_SpendLike=1,DA47-DB47,IF(Slot9_PotFree=1,DA47,0))</f>
        <v>10060.406142238</v>
      </c>
      <c r="DF47" s="20" t="n">
        <f aca="false">CV47+CY47*Slot9_BufPot*DA47</f>
        <v>16442.7181100662</v>
      </c>
      <c r="DG47" s="20" t="n">
        <f aca="false">IF(AND(CY47=1,Slot9_IsMfree=1),IF(DD47&gt;=Slot9_Cost-1,0,MAX(0,CW47-DD47)),CW47)</f>
        <v>0</v>
      </c>
      <c r="DH47" s="20" t="n">
        <f aca="false">CY47*(Slot9_Cost-DD47)</f>
        <v>0</v>
      </c>
      <c r="DI47" s="20" t="n">
        <f aca="false">IF(AND(Slot10_On=1,D47=Slot10_Age),1,0)</f>
        <v>0</v>
      </c>
      <c r="DJ47" s="20" t="n">
        <f aca="false">IF(AND(Slot10_On=1,Slot10_Age&gt;D47),1,0)</f>
        <v>0</v>
      </c>
      <c r="DK47" s="20" t="n">
        <f aca="false">RW46</f>
        <v>0</v>
      </c>
      <c r="DL47" s="20" t="n">
        <f aca="false">DI47*MIN(Slot10_Cost,DK47)</f>
        <v>0</v>
      </c>
      <c r="DM47" s="20" t="n">
        <f aca="false">DI47*Slot10_SpendLike*MIN(Slot10_Cost-DL47,DE47)</f>
        <v>0</v>
      </c>
      <c r="DN47" s="20" t="n">
        <f aca="false">DL47+DM47</f>
        <v>0</v>
      </c>
      <c r="DO47" s="20" t="n">
        <f aca="false">DE47-DM47+DI47*IF(Slot10_SpendLike=1,DK47-DL47,IF(Slot10_PotFree=1,DK47,0))</f>
        <v>10060.406142238</v>
      </c>
      <c r="DP47" s="20" t="n">
        <f aca="false">DF47+DI47*Slot10_BufPot*DK47</f>
        <v>16442.7181100662</v>
      </c>
      <c r="DQ47" s="20" t="n">
        <f aca="false">IF(AND(DI47=1,Slot10_IsMfree=1),IF(DN47&gt;=Slot10_Cost-1,0,MAX(0,DG47-DN47)),DG47)</f>
        <v>0</v>
      </c>
      <c r="DR47" s="20" t="n">
        <f aca="false">DI47*(Slot10_Cost-DN47)</f>
        <v>0</v>
      </c>
      <c r="DS47" s="20" t="n">
        <f aca="false">IF(AND(Slot11_On=1,D47=Slot11_Age),1,0)</f>
        <v>0</v>
      </c>
      <c r="DT47" s="20" t="n">
        <f aca="false">IF(AND(Slot11_On=1,Slot11_Age&gt;D47),1,0)</f>
        <v>0</v>
      </c>
      <c r="DU47" s="20" t="n">
        <f aca="false">SA46</f>
        <v>0</v>
      </c>
      <c r="DV47" s="20" t="n">
        <f aca="false">DS47*MIN(Slot11_Cost,DU47)</f>
        <v>0</v>
      </c>
      <c r="DW47" s="20" t="n">
        <f aca="false">DS47*Slot11_SpendLike*MIN(Slot11_Cost-DV47,DO47)</f>
        <v>0</v>
      </c>
      <c r="DX47" s="20" t="n">
        <f aca="false">DV47+DW47</f>
        <v>0</v>
      </c>
      <c r="DY47" s="20" t="n">
        <f aca="false">DO47-DW47+DS47*IF(Slot11_SpendLike=1,DU47-DV47,IF(Slot11_PotFree=1,DU47,0))</f>
        <v>10060.406142238</v>
      </c>
      <c r="DZ47" s="20" t="n">
        <f aca="false">DP47+DS47*Slot11_BufPot*DU47</f>
        <v>16442.7181100662</v>
      </c>
      <c r="EA47" s="20" t="n">
        <f aca="false">IF(AND(DS47=1,Slot11_IsMfree=1),IF(DX47&gt;=Slot11_Cost-1,0,MAX(0,DQ47-DX47)),DQ47)</f>
        <v>0</v>
      </c>
      <c r="EB47" s="20" t="n">
        <f aca="false">DS47*(Slot11_Cost-DX47)</f>
        <v>0</v>
      </c>
      <c r="EC47" s="20" t="n">
        <f aca="false">IF(AND(Slot12_On=1,D47=Slot12_Age),1,0)</f>
        <v>0</v>
      </c>
      <c r="ED47" s="20" t="n">
        <f aca="false">IF(AND(Slot12_On=1,Slot12_Age&gt;D47),1,0)</f>
        <v>0</v>
      </c>
      <c r="EE47" s="20" t="n">
        <f aca="false">SE46</f>
        <v>0</v>
      </c>
      <c r="EF47" s="20" t="n">
        <f aca="false">EC47*MIN(Slot12_Cost,EE47)</f>
        <v>0</v>
      </c>
      <c r="EG47" s="20" t="n">
        <f aca="false">EC47*Slot12_SpendLike*MIN(Slot12_Cost-EF47,DY47)</f>
        <v>0</v>
      </c>
      <c r="EH47" s="20" t="n">
        <f aca="false">EF47+EG47</f>
        <v>0</v>
      </c>
      <c r="EI47" s="20" t="n">
        <f aca="false">DY47-EG47+EC47*IF(Slot12_SpendLike=1,EE47-EF47,IF(Slot12_PotFree=1,EE47,0))</f>
        <v>10060.406142238</v>
      </c>
      <c r="EJ47" s="20" t="n">
        <f aca="false">DZ47+EC47*Slot12_BufPot*EE47</f>
        <v>16442.7181100662</v>
      </c>
      <c r="EK47" s="20" t="n">
        <f aca="false">IF(AND(EC47=1,Slot12_IsMfree=1),IF(EH47&gt;=Slot12_Cost-1,0,MAX(0,EA47-EH47)),EA47)</f>
        <v>0</v>
      </c>
      <c r="EL47" s="20" t="n">
        <f aca="false">EC47*(Slot12_Cost-EH47)</f>
        <v>0</v>
      </c>
      <c r="EM47" s="20" t="n">
        <f aca="false">IF(AND(Slot13_On=1,D47=Slot13_Age),1,0)</f>
        <v>0</v>
      </c>
      <c r="EN47" s="20" t="n">
        <f aca="false">IF(AND(Slot13_On=1,Slot13_Age&gt;D47),1,0)</f>
        <v>0</v>
      </c>
      <c r="EO47" s="20" t="n">
        <f aca="false">SI46</f>
        <v>0</v>
      </c>
      <c r="EP47" s="20" t="n">
        <f aca="false">EM47*MIN(Slot13_Cost,EO47)</f>
        <v>0</v>
      </c>
      <c r="EQ47" s="20" t="n">
        <f aca="false">EM47*Slot13_SpendLike*MIN(Slot13_Cost-EP47,EI47)</f>
        <v>0</v>
      </c>
      <c r="ER47" s="20" t="n">
        <f aca="false">EP47+EQ47</f>
        <v>0</v>
      </c>
      <c r="ES47" s="20" t="n">
        <f aca="false">EI47-EQ47+EM47*IF(Slot13_SpendLike=1,EO47-EP47,IF(Slot13_PotFree=1,EO47,0))</f>
        <v>10060.406142238</v>
      </c>
      <c r="ET47" s="20" t="n">
        <f aca="false">EJ47+EM47*Slot13_BufPot*EO47</f>
        <v>16442.7181100662</v>
      </c>
      <c r="EU47" s="20" t="n">
        <f aca="false">IF(AND(EM47=1,Slot13_IsMfree=1),IF(ER47&gt;=Slot13_Cost-1,0,MAX(0,EK47-ER47)),EK47)</f>
        <v>0</v>
      </c>
      <c r="EV47" s="20" t="n">
        <f aca="false">EM47*(Slot13_Cost-ER47)</f>
        <v>0</v>
      </c>
      <c r="EW47" s="20" t="n">
        <f aca="false">IF(AND(Slot14_On=1,D47=Slot14_Age),1,0)</f>
        <v>0</v>
      </c>
      <c r="EX47" s="20" t="n">
        <f aca="false">IF(AND(Slot14_On=1,Slot14_Age&gt;D47),1,0)</f>
        <v>0</v>
      </c>
      <c r="EY47" s="20" t="n">
        <f aca="false">SM46</f>
        <v>0</v>
      </c>
      <c r="EZ47" s="20" t="n">
        <f aca="false">EW47*MIN(Slot14_Cost,EY47)</f>
        <v>0</v>
      </c>
      <c r="FA47" s="20" t="n">
        <f aca="false">EW47*Slot14_SpendLike*MIN(Slot14_Cost-EZ47,ES47)</f>
        <v>0</v>
      </c>
      <c r="FB47" s="20" t="n">
        <f aca="false">EZ47+FA47</f>
        <v>0</v>
      </c>
      <c r="FC47" s="20" t="n">
        <f aca="false">ES47-FA47+EW47*IF(Slot14_SpendLike=1,EY47-EZ47,IF(Slot14_PotFree=1,EY47,0))</f>
        <v>10060.406142238</v>
      </c>
      <c r="FD47" s="20" t="n">
        <f aca="false">ET47+EW47*Slot14_BufPot*EY47</f>
        <v>16442.7181100662</v>
      </c>
      <c r="FE47" s="20" t="n">
        <f aca="false">IF(AND(EW47=1,Slot14_IsMfree=1),IF(FB47&gt;=Slot14_Cost-1,0,MAX(0,EU47-FB47)),EU47)</f>
        <v>0</v>
      </c>
      <c r="FF47" s="20" t="n">
        <f aca="false">EW47*(Slot14_Cost-FB47)</f>
        <v>0</v>
      </c>
      <c r="FG47" s="20" t="n">
        <f aca="false">IF(AND(Slot15_On=1,D47=Slot15_Age),1,0)</f>
        <v>0</v>
      </c>
      <c r="FH47" s="20" t="n">
        <f aca="false">IF(AND(Slot15_On=1,Slot15_Age&gt;D47),1,0)</f>
        <v>0</v>
      </c>
      <c r="FI47" s="20" t="n">
        <f aca="false">SQ46</f>
        <v>0</v>
      </c>
      <c r="FJ47" s="20" t="n">
        <f aca="false">FG47*MIN(Slot15_Cost,FI47)</f>
        <v>0</v>
      </c>
      <c r="FK47" s="20" t="n">
        <f aca="false">FG47*Slot15_SpendLike*MIN(Slot15_Cost-FJ47,FC47)</f>
        <v>0</v>
      </c>
      <c r="FL47" s="20" t="n">
        <f aca="false">FJ47+FK47</f>
        <v>0</v>
      </c>
      <c r="FM47" s="20" t="n">
        <f aca="false">FC47-FK47+FG47*IF(Slot15_SpendLike=1,FI47-FJ47,IF(Slot15_PotFree=1,FI47,0))</f>
        <v>10060.406142238</v>
      </c>
      <c r="FN47" s="20" t="n">
        <f aca="false">FD47+FG47*Slot15_BufPot*FI47</f>
        <v>16442.7181100662</v>
      </c>
      <c r="FO47" s="20" t="n">
        <f aca="false">IF(AND(FG47=1,Slot15_IsMfree=1),IF(FL47&gt;=Slot15_Cost-1,0,MAX(0,FE47-FL47)),FE47)</f>
        <v>0</v>
      </c>
      <c r="FP47" s="20" t="n">
        <f aca="false">FG47*(Slot15_Cost-FL47)</f>
        <v>0</v>
      </c>
      <c r="FQ47" s="20" t="n">
        <f aca="false">IF(AND(Slot16_On=1,D47=Slot16_Age),1,0)</f>
        <v>0</v>
      </c>
      <c r="FR47" s="20" t="n">
        <f aca="false">IF(AND(Slot16_On=1,Slot16_Age&gt;D47),1,0)</f>
        <v>0</v>
      </c>
      <c r="FS47" s="20" t="n">
        <f aca="false">SU46</f>
        <v>0</v>
      </c>
      <c r="FT47" s="20" t="n">
        <f aca="false">FQ47*MIN(Slot16_Cost,FS47)</f>
        <v>0</v>
      </c>
      <c r="FU47" s="20" t="n">
        <f aca="false">FQ47*Slot16_SpendLike*MIN(Slot16_Cost-FT47,FM47)</f>
        <v>0</v>
      </c>
      <c r="FV47" s="20" t="n">
        <f aca="false">FT47+FU47</f>
        <v>0</v>
      </c>
      <c r="FW47" s="20" t="n">
        <f aca="false">FM47-FU47+FQ47*IF(Slot16_SpendLike=1,FS47-FT47,IF(Slot16_PotFree=1,FS47,0))</f>
        <v>10060.406142238</v>
      </c>
      <c r="FX47" s="20" t="n">
        <f aca="false">FN47+FQ47*Slot16_BufPot*FS47</f>
        <v>16442.7181100662</v>
      </c>
      <c r="FY47" s="20" t="n">
        <f aca="false">IF(AND(FQ47=1,Slot16_IsMfree=1),IF(FV47&gt;=Slot16_Cost-1,0,MAX(0,FO47-FV47)),FO47)</f>
        <v>0</v>
      </c>
      <c r="FZ47" s="20" t="n">
        <f aca="false">FQ47*(Slot16_Cost-FV47)</f>
        <v>0</v>
      </c>
      <c r="GA47" s="20" t="n">
        <f aca="false">IF(AND(Slot17_On=1,D47=Slot17_Age),1,0)</f>
        <v>0</v>
      </c>
      <c r="GB47" s="20" t="n">
        <f aca="false">IF(AND(Slot17_On=1,Slot17_Age&gt;D47),1,0)</f>
        <v>0</v>
      </c>
      <c r="GC47" s="20" t="n">
        <f aca="false">SY46</f>
        <v>0</v>
      </c>
      <c r="GD47" s="20" t="n">
        <f aca="false">GA47*MIN(Slot17_Cost,GC47)</f>
        <v>0</v>
      </c>
      <c r="GE47" s="20" t="n">
        <f aca="false">GA47*Slot17_SpendLike*MIN(Slot17_Cost-GD47,FW47)</f>
        <v>0</v>
      </c>
      <c r="GF47" s="20" t="n">
        <f aca="false">GD47+GE47</f>
        <v>0</v>
      </c>
      <c r="GG47" s="20" t="n">
        <f aca="false">FW47-GE47+GA47*IF(Slot17_SpendLike=1,GC47-GD47,IF(Slot17_PotFree=1,GC47,0))</f>
        <v>10060.406142238</v>
      </c>
      <c r="GH47" s="20" t="n">
        <f aca="false">FX47+GA47*Slot17_BufPot*GC47</f>
        <v>16442.7181100662</v>
      </c>
      <c r="GI47" s="20" t="n">
        <f aca="false">IF(AND(GA47=1,Slot17_IsMfree=1),IF(GF47&gt;=Slot17_Cost-1,0,MAX(0,FY47-GF47)),FY47)</f>
        <v>0</v>
      </c>
      <c r="GJ47" s="20" t="n">
        <f aca="false">GA47*(Slot17_Cost-GF47)</f>
        <v>0</v>
      </c>
      <c r="GK47" s="20" t="n">
        <f aca="false">IF(AND(Slot18_On=1,D47=Slot18_Age),1,0)</f>
        <v>0</v>
      </c>
      <c r="GL47" s="20" t="n">
        <f aca="false">IF(AND(Slot18_On=1,Slot18_Age&gt;D47),1,0)</f>
        <v>0</v>
      </c>
      <c r="GM47" s="20" t="n">
        <f aca="false">TC46</f>
        <v>0</v>
      </c>
      <c r="GN47" s="20" t="n">
        <f aca="false">GK47*MIN(Slot18_Cost,GM47)</f>
        <v>0</v>
      </c>
      <c r="GO47" s="20" t="n">
        <f aca="false">GK47*Slot18_SpendLike*MIN(Slot18_Cost-GN47,GG47)</f>
        <v>0</v>
      </c>
      <c r="GP47" s="20" t="n">
        <f aca="false">GN47+GO47</f>
        <v>0</v>
      </c>
      <c r="GQ47" s="20" t="n">
        <f aca="false">GG47-GO47+GK47*IF(Slot18_SpendLike=1,GM47-GN47,IF(Slot18_PotFree=1,GM47,0))</f>
        <v>10060.406142238</v>
      </c>
      <c r="GR47" s="20" t="n">
        <f aca="false">GH47+GK47*Slot18_BufPot*GM47</f>
        <v>16442.7181100662</v>
      </c>
      <c r="GS47" s="20" t="n">
        <f aca="false">IF(AND(GK47=1,Slot18_IsMfree=1),IF(GP47&gt;=Slot18_Cost-1,0,MAX(0,GI47-GP47)),GI47)</f>
        <v>0</v>
      </c>
      <c r="GT47" s="20" t="n">
        <f aca="false">GK47*(Slot18_Cost-GP47)</f>
        <v>0</v>
      </c>
      <c r="GU47" s="20" t="n">
        <f aca="false">IF(AND(Slot19_On=1,D47=Slot19_Age),1,0)</f>
        <v>0</v>
      </c>
      <c r="GV47" s="20" t="n">
        <f aca="false">IF(AND(Slot19_On=1,Slot19_Age&gt;D47),1,0)</f>
        <v>0</v>
      </c>
      <c r="GW47" s="20" t="n">
        <f aca="false">TG46</f>
        <v>0</v>
      </c>
      <c r="GX47" s="20" t="n">
        <f aca="false">GU47*MIN(Slot19_Cost,GW47)</f>
        <v>0</v>
      </c>
      <c r="GY47" s="20" t="n">
        <f aca="false">GU47*Slot19_SpendLike*MIN(Slot19_Cost-GX47,GQ47)</f>
        <v>0</v>
      </c>
      <c r="GZ47" s="20" t="n">
        <f aca="false">GX47+GY47</f>
        <v>0</v>
      </c>
      <c r="HA47" s="20" t="n">
        <f aca="false">GQ47-GY47+GU47*IF(Slot19_SpendLike=1,GW47-GX47,IF(Slot19_PotFree=1,GW47,0))</f>
        <v>10060.406142238</v>
      </c>
      <c r="HB47" s="20" t="n">
        <f aca="false">GR47+GU47*Slot19_BufPot*GW47</f>
        <v>16442.7181100662</v>
      </c>
      <c r="HC47" s="20" t="n">
        <f aca="false">IF(AND(GU47=1,Slot19_IsMfree=1),IF(GZ47&gt;=Slot19_Cost-1,0,MAX(0,GS47-GZ47)),GS47)</f>
        <v>0</v>
      </c>
      <c r="HD47" s="20" t="n">
        <f aca="false">GU47*(Slot19_Cost-GZ47)</f>
        <v>0</v>
      </c>
      <c r="HE47" s="20" t="n">
        <f aca="false">IF(AND(Slot20_On=1,D47=Slot20_Age),1,0)</f>
        <v>0</v>
      </c>
      <c r="HF47" s="20" t="n">
        <f aca="false">IF(AND(Slot20_On=1,Slot20_Age&gt;D47),1,0)</f>
        <v>0</v>
      </c>
      <c r="HG47" s="20" t="n">
        <f aca="false">TK46</f>
        <v>0</v>
      </c>
      <c r="HH47" s="20" t="n">
        <f aca="false">HE47*MIN(Slot20_Cost,HG47)</f>
        <v>0</v>
      </c>
      <c r="HI47" s="20" t="n">
        <f aca="false">HE47*Slot20_SpendLike*MIN(Slot20_Cost-HH47,HA47)</f>
        <v>0</v>
      </c>
      <c r="HJ47" s="20" t="n">
        <f aca="false">HH47+HI47</f>
        <v>0</v>
      </c>
      <c r="HK47" s="20" t="n">
        <f aca="false">HA47-HI47+HE47*IF(Slot20_SpendLike=1,HG47-HH47,IF(Slot20_PotFree=1,HG47,0))</f>
        <v>10060.406142238</v>
      </c>
      <c r="HL47" s="20" t="n">
        <f aca="false">HB47+HE47*Slot20_BufPot*HG47</f>
        <v>16442.7181100662</v>
      </c>
      <c r="HM47" s="20" t="n">
        <f aca="false">IF(AND(HE47=1,Slot20_IsMfree=1),IF(HJ47&gt;=Slot20_Cost-1,0,MAX(0,HC47-HJ47)),HC47)</f>
        <v>0</v>
      </c>
      <c r="HN47" s="20" t="n">
        <f aca="false">HE47*(Slot20_Cost-HJ47)</f>
        <v>0</v>
      </c>
      <c r="HO47" s="20" t="n">
        <f aca="false">V47*Slot1_SpendLike*AA47+AG47*Slot2_SpendLike*AL47+AQ47*Slot3_SpendLike*AV47+BA47*Slot4_SpendLike*BF47+BK47*Slot5_SpendLike*BP47+BU47*Slot6_SpendLike*BZ47+CE47*Slot7_SpendLike*CJ47+CO47*Slot8_SpendLike*CT47+CY47*Slot9_SpendLike*DD47+DI47*Slot10_SpendLike*DN47+DS47*Slot11_SpendLike*DX47+EC47*Slot12_SpendLike*EH47+EM47*Slot13_SpendLike*ER47+EW47*Slot14_SpendLike*FB47+FG47*Slot15_SpendLike*FL47+FQ47*Slot16_SpendLike*FV47+GA47*Slot17_SpendLike*GF47+GK47*Slot18_SpendLike*GP47+GU47*Slot19_SpendLike*GZ47+HE47*Slot20_SpendLike*HJ47</f>
        <v>0</v>
      </c>
      <c r="HP47" s="20" t="n">
        <f aca="false">AE47+AP47+AZ47+BJ47+BT47+CD47+CN47+CX47+DH47+DR47+EB47+EL47+EV47+FF47+FP47+FZ47+GJ47+GT47+HD47+HN47</f>
        <v>0</v>
      </c>
      <c r="HQ47" s="20" t="n">
        <f aca="false">V47*Slot1_Cost+AG47*Slot2_Cost+AQ47*Slot3_Cost+BA47*Slot4_Cost+BK47*Slot5_Cost+BU47*Slot6_Cost+CE47*Slot7_Cost+CO47*Slot8_Cost+CY47*Slot9_Cost+DI47*Slot10_Cost+DS47*Slot11_Cost+EC47*Slot12_Cost+EM47*Slot13_Cost+EW47*Slot14_Cost+FG47*Slot15_Cost+FQ47*Slot16_Cost+GA47*Slot17_Cost+GK47*Slot18_Cost+GU47*Slot19_Cost+HE47*Slot20_Cost</f>
        <v>0</v>
      </c>
      <c r="HR47" s="20" t="n">
        <f aca="false">HM47</f>
        <v>0</v>
      </c>
      <c r="HS47" s="20" t="n">
        <f aca="false">H47-I47-S47</f>
        <v>-24981.5665896585</v>
      </c>
      <c r="HT47" s="20" t="n">
        <f aca="false">IF(B47=0,IF(AND(Has_q6=1,In_q6=4),PR_ShareVaries*(MAX(0,HS47)/12),MIN(IF(Has_q6=1,CHOOSE(In_q6+1,PR_SaveB1,PR_SaveB2,PR_SaveB3,PR_SaveB4,0),AS_NoAnswer),AS_SaveShare*(MAX(0,HS47)/12))),HT46)</f>
        <v>67.3316893520437</v>
      </c>
      <c r="HU47" s="20" t="n">
        <f aca="false">IF(HS47&gt;=0,1,0)</f>
        <v>0</v>
      </c>
      <c r="HV47" s="20" t="n">
        <f aca="false">MAX(0,HS47/12/F47)</f>
        <v>0</v>
      </c>
      <c r="HW47" s="20" t="n">
        <f aca="false">IF(AND(Has_q6=1,In_q6=4),PR_ShareVaries*(HV47),MIN(IF(Has_q6=1,CHOOSE(In_q6+1,PR_SaveB1,PR_SaveB2,PR_SaveB3,PR_SaveB4,0),AS_NoAnswer),AS_SaveShare*(HV47)))</f>
        <v>0</v>
      </c>
      <c r="HX47" s="20" t="n">
        <f aca="false">IF(Has_saveM=1,IF(In_saveUp="Yes",1,IF(In_saveUp="No",0,IF(In_saveM&gt;=HT47-0.5,1,0))),0)</f>
        <v>0</v>
      </c>
      <c r="HY47" s="20" t="n">
        <f aca="false">IF(Has_saveM=1,MIN(HV47,IF(HX47=1,MAX(In_saveM,HW47),MIN(In_saveM,HW47))),HW47)</f>
        <v>0</v>
      </c>
      <c r="HZ47" s="20" t="n">
        <f aca="false">IF(G47=1,HY47*12*F47,0)</f>
        <v>0</v>
      </c>
      <c r="IA47" s="20" t="n">
        <f aca="false">MAX(0,HZ47+IF(AND(WI_Retire=0,WI_M&lt;0,G47=1),WI_M*12*F47,0))</f>
        <v>0</v>
      </c>
      <c r="IB47" s="20" t="n">
        <f aca="false">Slot1_IsWG*W47+Slot2_IsWG*AH47+Slot3_IsWG*AR47+Slot4_IsWG*BB47+Slot5_IsWG*BL47+Slot6_IsWG*BV47+Slot7_IsWG*CF47+Slot8_IsWG*CP47+Slot9_IsWG*CZ47+Slot10_IsWG*DJ47+Slot11_IsWG*DT47+Slot12_IsWG*ED47+Slot13_IsWG*EN47+Slot14_IsWG*EX47+Slot15_IsWG*FH47+Slot16_IsWG*FR47+Slot17_IsWG*GB47+Slot18_IsWG*GL47+Slot19_IsWG*GV47+Slot20_IsWG*HF47</f>
        <v>0</v>
      </c>
      <c r="IC47" s="20" t="n">
        <f aca="false">IF(AND(WI_Retire=0,WI_M&gt;0,G47=1,IB47&gt;=1),WI_M*12*F47,0)</f>
        <v>0</v>
      </c>
      <c r="ID47" s="20" t="n">
        <f aca="false">IF(HU47=1,MIN(IA47,HS47),0)</f>
        <v>0</v>
      </c>
      <c r="IE47" s="20" t="n">
        <f aca="false">IF(HU47=1,MIN(IC47,HS47-ID47),0)</f>
        <v>0</v>
      </c>
      <c r="IF47" s="20" t="n">
        <f aca="false">IF(W47=1,IF(ABS((1+AS_Wage)/(1+Slot1_Rate)-1)&lt;0.000000000001,(Slot1_Age-D47)*(1+Slot1_Rate)^(Slot1_Age-D47),(1+Slot1_Rate)^(Slot1_Age-D47)*(1-((1+AS_Wage)/(1+Slot1_Rate))^(Slot1_Age-D47))/(1-(1+AS_Wage)/(1+Slot1_Rate))),1)</f>
        <v>1</v>
      </c>
      <c r="IG47" s="20" t="n">
        <f aca="false">IF(AND(HU47=1,IE47&gt;0,Slot1_IsWG=1,W47=1),MAX(0,(Slot1_Cost-X47*(1+Slot1_Rate)^(Slot1_Age-D47))/IF47),0)</f>
        <v>0</v>
      </c>
      <c r="IH47" s="20" t="n">
        <f aca="false">IF(AND(HU47=1,IE47&gt;0,Slot1_IsWG=1,W47=1),MIN(IE47,IG47),0)</f>
        <v>0</v>
      </c>
      <c r="II47" s="20" t="n">
        <f aca="false">X47+IH47</f>
        <v>0</v>
      </c>
      <c r="IJ47" s="20" t="n">
        <f aca="false">IF(W47=1,MAX(0,(Slot1_Cost-II47*(1+Slot1_Rate)^(Slot1_Age-D47))/IF47),0)</f>
        <v>0</v>
      </c>
      <c r="IK47" s="20" t="n">
        <f aca="false">IF(W47=1,MAX(0,(Slot1_Cost-X47*(1+Slot1_Rate)^(Slot1_Age-D47))/IF47),0)</f>
        <v>0</v>
      </c>
      <c r="IL47" s="20" t="n">
        <f aca="false">IF(AND(HU47=1,W47=1),MIN(ID47,IJ47),0)</f>
        <v>0</v>
      </c>
      <c r="IM47" s="20" t="n">
        <f aca="false">ID47-IL47</f>
        <v>0</v>
      </c>
      <c r="IN47" s="20" t="n">
        <f aca="false">IF(AH47=1,IF(ABS((1+AS_Wage)/(1+Slot2_Rate)-1)&lt;0.000000000001,(Slot2_Age-D47)*(1+Slot2_Rate)^(Slot2_Age-D47),(1+Slot2_Rate)^(Slot2_Age-D47)*(1-((1+AS_Wage)/(1+Slot2_Rate))^(Slot2_Age-D47))/(1-(1+AS_Wage)/(1+Slot2_Rate))),1)</f>
        <v>1</v>
      </c>
      <c r="IO47" s="20" t="n">
        <f aca="false">IF(AND(HU47=1,IE47&gt;0,Slot2_IsWG=1,AH47=1),MAX(0,(Slot2_Cost-AI47*(1+Slot2_Rate)^(Slot2_Age-D47))/IN47),0)</f>
        <v>0</v>
      </c>
      <c r="IP47" s="20" t="n">
        <f aca="false">IF(AND(HU47=1,IE47&gt;0,Slot2_IsWG=1,AH47=1),MIN(IE47,IO47),0)</f>
        <v>0</v>
      </c>
      <c r="IQ47" s="20" t="n">
        <f aca="false">AI47+IP47</f>
        <v>0</v>
      </c>
      <c r="IR47" s="20" t="n">
        <f aca="false">IF(AH47=1,MAX(0,(Slot2_Cost-IQ47*(1+Slot2_Rate)^(Slot2_Age-D47))/IN47),0)</f>
        <v>0</v>
      </c>
      <c r="IS47" s="20" t="n">
        <f aca="false">IF(AH47=1,MAX(0,(Slot2_Cost-AI47*(1+Slot2_Rate)^(Slot2_Age-D47))/IN47),0)</f>
        <v>0</v>
      </c>
      <c r="IT47" s="20" t="n">
        <f aca="false">IF(AND(HU47=1,AH47=1),MIN(IM47,IR47),0)</f>
        <v>0</v>
      </c>
      <c r="IU47" s="20" t="n">
        <f aca="false">IM47-IT47</f>
        <v>0</v>
      </c>
      <c r="IV47" s="20" t="n">
        <f aca="false">IF(AR47=1,IF(ABS((1+AS_Wage)/(1+Slot3_Rate)-1)&lt;0.000000000001,(Slot3_Age-D47)*(1+Slot3_Rate)^(Slot3_Age-D47),(1+Slot3_Rate)^(Slot3_Age-D47)*(1-((1+AS_Wage)/(1+Slot3_Rate))^(Slot3_Age-D47))/(1-(1+AS_Wage)/(1+Slot3_Rate))),1)</f>
        <v>1</v>
      </c>
      <c r="IW47" s="20" t="n">
        <f aca="false">IF(AND(HU47=1,IE47&gt;0,Slot3_IsWG=1,AR47=1),MAX(0,(Slot3_Cost-AS47*(1+Slot3_Rate)^(Slot3_Age-D47))/IV47),0)</f>
        <v>0</v>
      </c>
      <c r="IX47" s="20" t="n">
        <f aca="false">IF(AND(HU47=1,IE47&gt;0,Slot3_IsWG=1,AR47=1),MIN(IE47,IW47),0)</f>
        <v>0</v>
      </c>
      <c r="IY47" s="20" t="n">
        <f aca="false">AS47+IX47</f>
        <v>0</v>
      </c>
      <c r="IZ47" s="20" t="n">
        <f aca="false">IF(AR47=1,MAX(0,(Slot3_Cost-IY47*(1+Slot3_Rate)^(Slot3_Age-D47))/IV47),0)</f>
        <v>0</v>
      </c>
      <c r="JA47" s="20" t="n">
        <f aca="false">IF(AR47=1,MAX(0,(Slot3_Cost-AS47*(1+Slot3_Rate)^(Slot3_Age-D47))/IV47),0)</f>
        <v>0</v>
      </c>
      <c r="JB47" s="20" t="n">
        <f aca="false">IF(AND(HU47=1,AR47=1),MIN(IU47,IZ47),0)</f>
        <v>0</v>
      </c>
      <c r="JC47" s="20" t="n">
        <f aca="false">IU47-JB47</f>
        <v>0</v>
      </c>
      <c r="JD47" s="20" t="n">
        <f aca="false">IF(BB47=1,IF(ABS((1+AS_Wage)/(1+Slot4_Rate)-1)&lt;0.000000000001,(Slot4_Age-D47)*(1+Slot4_Rate)^(Slot4_Age-D47),(1+Slot4_Rate)^(Slot4_Age-D47)*(1-((1+AS_Wage)/(1+Slot4_Rate))^(Slot4_Age-D47))/(1-(1+AS_Wage)/(1+Slot4_Rate))),1)</f>
        <v>1</v>
      </c>
      <c r="JE47" s="20" t="n">
        <f aca="false">IF(AND(HU47=1,IE47&gt;0,Slot4_IsWG=1,BB47=1),MAX(0,(Slot4_Cost-BC47*(1+Slot4_Rate)^(Slot4_Age-D47))/JD47),0)</f>
        <v>0</v>
      </c>
      <c r="JF47" s="20" t="n">
        <f aca="false">IF(AND(HU47=1,IE47&gt;0,Slot4_IsWG=1,BB47=1),MIN(IE47,JE47),0)</f>
        <v>0</v>
      </c>
      <c r="JG47" s="20" t="n">
        <f aca="false">BC47+JF47</f>
        <v>0</v>
      </c>
      <c r="JH47" s="20" t="n">
        <f aca="false">IF(BB47=1,MAX(0,(Slot4_Cost-JG47*(1+Slot4_Rate)^(Slot4_Age-D47))/JD47),0)</f>
        <v>0</v>
      </c>
      <c r="JI47" s="20" t="n">
        <f aca="false">IF(BB47=1,MAX(0,(Slot4_Cost-BC47*(1+Slot4_Rate)^(Slot4_Age-D47))/JD47),0)</f>
        <v>0</v>
      </c>
      <c r="JJ47" s="20" t="n">
        <f aca="false">IF(AND(HU47=1,BB47=1),MIN(JC47,JH47),0)</f>
        <v>0</v>
      </c>
      <c r="JK47" s="20" t="n">
        <f aca="false">JC47-JJ47</f>
        <v>0</v>
      </c>
      <c r="JL47" s="20" t="n">
        <f aca="false">IF(BL47=1,IF(ABS((1+AS_Wage)/(1+Slot5_Rate)-1)&lt;0.000000000001,(Slot5_Age-D47)*(1+Slot5_Rate)^(Slot5_Age-D47),(1+Slot5_Rate)^(Slot5_Age-D47)*(1-((1+AS_Wage)/(1+Slot5_Rate))^(Slot5_Age-D47))/(1-(1+AS_Wage)/(1+Slot5_Rate))),1)</f>
        <v>1</v>
      </c>
      <c r="JM47" s="20" t="n">
        <f aca="false">IF(AND(HU47=1,IE47&gt;0,Slot5_IsWG=1,BL47=1),MAX(0,(Slot5_Cost-BM47*(1+Slot5_Rate)^(Slot5_Age-D47))/JL47),0)</f>
        <v>0</v>
      </c>
      <c r="JN47" s="20" t="n">
        <f aca="false">IF(AND(HU47=1,IE47&gt;0,Slot5_IsWG=1,BL47=1),MIN(IE47,JM47),0)</f>
        <v>0</v>
      </c>
      <c r="JO47" s="20" t="n">
        <f aca="false">BM47+JN47</f>
        <v>0</v>
      </c>
      <c r="JP47" s="20" t="n">
        <f aca="false">IF(BL47=1,MAX(0,(Slot5_Cost-JO47*(1+Slot5_Rate)^(Slot5_Age-D47))/JL47),0)</f>
        <v>0</v>
      </c>
      <c r="JQ47" s="20" t="n">
        <f aca="false">IF(BL47=1,MAX(0,(Slot5_Cost-BM47*(1+Slot5_Rate)^(Slot5_Age-D47))/JL47),0)</f>
        <v>0</v>
      </c>
      <c r="JR47" s="20" t="n">
        <f aca="false">IF(AND(HU47=1,BL47=1),MIN(JK47,JP47),0)</f>
        <v>0</v>
      </c>
      <c r="JS47" s="20" t="n">
        <f aca="false">JK47-JR47</f>
        <v>0</v>
      </c>
      <c r="JT47" s="20" t="n">
        <f aca="false">IF(BV47=1,IF(ABS((1+AS_Wage)/(1+Slot6_Rate)-1)&lt;0.000000000001,(Slot6_Age-D47)*(1+Slot6_Rate)^(Slot6_Age-D47),(1+Slot6_Rate)^(Slot6_Age-D47)*(1-((1+AS_Wage)/(1+Slot6_Rate))^(Slot6_Age-D47))/(1-(1+AS_Wage)/(1+Slot6_Rate))),1)</f>
        <v>1</v>
      </c>
      <c r="JU47" s="20" t="n">
        <f aca="false">IF(AND(HU47=1,IE47&gt;0,Slot6_IsWG=1,BV47=1),MAX(0,(Slot6_Cost-BW47*(1+Slot6_Rate)^(Slot6_Age-D47))/JT47),0)</f>
        <v>0</v>
      </c>
      <c r="JV47" s="20" t="n">
        <f aca="false">IF(AND(HU47=1,IE47&gt;0,Slot6_IsWG=1,BV47=1),MIN(IE47,JU47),0)</f>
        <v>0</v>
      </c>
      <c r="JW47" s="20" t="n">
        <f aca="false">BW47+JV47</f>
        <v>0</v>
      </c>
      <c r="JX47" s="20" t="n">
        <f aca="false">IF(BV47=1,MAX(0,(Slot6_Cost-JW47*(1+Slot6_Rate)^(Slot6_Age-D47))/JT47),0)</f>
        <v>0</v>
      </c>
      <c r="JY47" s="20" t="n">
        <f aca="false">IF(BV47=1,MAX(0,(Slot6_Cost-BW47*(1+Slot6_Rate)^(Slot6_Age-D47))/JT47),0)</f>
        <v>0</v>
      </c>
      <c r="JZ47" s="20" t="n">
        <f aca="false">IF(AND(HU47=1,BV47=1),MIN(JS47,JX47),0)</f>
        <v>0</v>
      </c>
      <c r="KA47" s="20" t="n">
        <f aca="false">JS47-JZ47</f>
        <v>0</v>
      </c>
      <c r="KB47" s="20" t="n">
        <f aca="false">IF(CF47=1,IF(ABS((1+AS_Wage)/(1+Slot7_Rate)-1)&lt;0.000000000001,(Slot7_Age-D47)*(1+Slot7_Rate)^(Slot7_Age-D47),(1+Slot7_Rate)^(Slot7_Age-D47)*(1-((1+AS_Wage)/(1+Slot7_Rate))^(Slot7_Age-D47))/(1-(1+AS_Wage)/(1+Slot7_Rate))),1)</f>
        <v>1</v>
      </c>
      <c r="KC47" s="20" t="n">
        <f aca="false">IF(AND(HU47=1,IE47&gt;0,Slot7_IsWG=1,CF47=1),MAX(0,(Slot7_Cost-CG47*(1+Slot7_Rate)^(Slot7_Age-D47))/KB47),0)</f>
        <v>0</v>
      </c>
      <c r="KD47" s="20" t="n">
        <f aca="false">IF(AND(HU47=1,IE47&gt;0,Slot7_IsWG=1,CF47=1),MIN(IE47,KC47),0)</f>
        <v>0</v>
      </c>
      <c r="KE47" s="20" t="n">
        <f aca="false">CG47+KD47</f>
        <v>0</v>
      </c>
      <c r="KF47" s="20" t="n">
        <f aca="false">IF(CF47=1,MAX(0,(Slot7_Cost-KE47*(1+Slot7_Rate)^(Slot7_Age-D47))/KB47),0)</f>
        <v>0</v>
      </c>
      <c r="KG47" s="20" t="n">
        <f aca="false">IF(CF47=1,MAX(0,(Slot7_Cost-CG47*(1+Slot7_Rate)^(Slot7_Age-D47))/KB47),0)</f>
        <v>0</v>
      </c>
      <c r="KH47" s="20" t="n">
        <f aca="false">IF(AND(HU47=1,CF47=1),MIN(KA47,KF47),0)</f>
        <v>0</v>
      </c>
      <c r="KI47" s="20" t="n">
        <f aca="false">KA47-KH47</f>
        <v>0</v>
      </c>
      <c r="KJ47" s="20" t="n">
        <f aca="false">IF(CP47=1,IF(ABS((1+AS_Wage)/(1+Slot8_Rate)-1)&lt;0.000000000001,(Slot8_Age-D47)*(1+Slot8_Rate)^(Slot8_Age-D47),(1+Slot8_Rate)^(Slot8_Age-D47)*(1-((1+AS_Wage)/(1+Slot8_Rate))^(Slot8_Age-D47))/(1-(1+AS_Wage)/(1+Slot8_Rate))),1)</f>
        <v>1</v>
      </c>
      <c r="KK47" s="20" t="n">
        <f aca="false">IF(AND(HU47=1,IE47&gt;0,Slot8_IsWG=1,CP47=1),MAX(0,(Slot8_Cost-CQ47*(1+Slot8_Rate)^(Slot8_Age-D47))/KJ47),0)</f>
        <v>0</v>
      </c>
      <c r="KL47" s="20" t="n">
        <f aca="false">IF(AND(HU47=1,IE47&gt;0,Slot8_IsWG=1,CP47=1),MIN(IE47,KK47),0)</f>
        <v>0</v>
      </c>
      <c r="KM47" s="20" t="n">
        <f aca="false">CQ47+KL47</f>
        <v>0</v>
      </c>
      <c r="KN47" s="20" t="n">
        <f aca="false">IF(CP47=1,MAX(0,(Slot8_Cost-KM47*(1+Slot8_Rate)^(Slot8_Age-D47))/KJ47),0)</f>
        <v>0</v>
      </c>
      <c r="KO47" s="20" t="n">
        <f aca="false">IF(CP47=1,MAX(0,(Slot8_Cost-CQ47*(1+Slot8_Rate)^(Slot8_Age-D47))/KJ47),0)</f>
        <v>0</v>
      </c>
      <c r="KP47" s="20" t="n">
        <f aca="false">IF(AND(HU47=1,CP47=1),MIN(KI47,KN47),0)</f>
        <v>0</v>
      </c>
      <c r="KQ47" s="20" t="n">
        <f aca="false">KI47-KP47</f>
        <v>0</v>
      </c>
      <c r="KR47" s="20" t="n">
        <f aca="false">IF(CZ47=1,IF(ABS((1+AS_Wage)/(1+Slot9_Rate)-1)&lt;0.000000000001,(Slot9_Age-D47)*(1+Slot9_Rate)^(Slot9_Age-D47),(1+Slot9_Rate)^(Slot9_Age-D47)*(1-((1+AS_Wage)/(1+Slot9_Rate))^(Slot9_Age-D47))/(1-(1+AS_Wage)/(1+Slot9_Rate))),1)</f>
        <v>1</v>
      </c>
      <c r="KS47" s="20" t="n">
        <f aca="false">IF(AND(HU47=1,IE47&gt;0,Slot9_IsWG=1,CZ47=1),MAX(0,(Slot9_Cost-DA47*(1+Slot9_Rate)^(Slot9_Age-D47))/KR47),0)</f>
        <v>0</v>
      </c>
      <c r="KT47" s="20" t="n">
        <f aca="false">IF(AND(HU47=1,IE47&gt;0,Slot9_IsWG=1,CZ47=1),MIN(IE47,KS47),0)</f>
        <v>0</v>
      </c>
      <c r="KU47" s="20" t="n">
        <f aca="false">DA47+KT47</f>
        <v>0</v>
      </c>
      <c r="KV47" s="20" t="n">
        <f aca="false">IF(CZ47=1,MAX(0,(Slot9_Cost-KU47*(1+Slot9_Rate)^(Slot9_Age-D47))/KR47),0)</f>
        <v>0</v>
      </c>
      <c r="KW47" s="20" t="n">
        <f aca="false">IF(CZ47=1,MAX(0,(Slot9_Cost-DA47*(1+Slot9_Rate)^(Slot9_Age-D47))/KR47),0)</f>
        <v>0</v>
      </c>
      <c r="KX47" s="20" t="n">
        <f aca="false">IF(AND(HU47=1,CZ47=1),MIN(KQ47,KV47),0)</f>
        <v>0</v>
      </c>
      <c r="KY47" s="20" t="n">
        <f aca="false">KQ47-KX47</f>
        <v>0</v>
      </c>
      <c r="KZ47" s="20" t="n">
        <f aca="false">IF(DJ47=1,IF(ABS((1+AS_Wage)/(1+Slot10_Rate)-1)&lt;0.000000000001,(Slot10_Age-D47)*(1+Slot10_Rate)^(Slot10_Age-D47),(1+Slot10_Rate)^(Slot10_Age-D47)*(1-((1+AS_Wage)/(1+Slot10_Rate))^(Slot10_Age-D47))/(1-(1+AS_Wage)/(1+Slot10_Rate))),1)</f>
        <v>1</v>
      </c>
      <c r="LA47" s="20" t="n">
        <f aca="false">IF(AND(HU47=1,IE47&gt;0,Slot10_IsWG=1,DJ47=1),MAX(0,(Slot10_Cost-DK47*(1+Slot10_Rate)^(Slot10_Age-D47))/KZ47),0)</f>
        <v>0</v>
      </c>
      <c r="LB47" s="20" t="n">
        <f aca="false">IF(AND(HU47=1,IE47&gt;0,Slot10_IsWG=1,DJ47=1),MIN(IE47,LA47),0)</f>
        <v>0</v>
      </c>
      <c r="LC47" s="20" t="n">
        <f aca="false">DK47+LB47</f>
        <v>0</v>
      </c>
      <c r="LD47" s="20" t="n">
        <f aca="false">IF(DJ47=1,MAX(0,(Slot10_Cost-LC47*(1+Slot10_Rate)^(Slot10_Age-D47))/KZ47),0)</f>
        <v>0</v>
      </c>
      <c r="LE47" s="20" t="n">
        <f aca="false">IF(DJ47=1,MAX(0,(Slot10_Cost-DK47*(1+Slot10_Rate)^(Slot10_Age-D47))/KZ47),0)</f>
        <v>0</v>
      </c>
      <c r="LF47" s="20" t="n">
        <f aca="false">IF(AND(HU47=1,DJ47=1),MIN(KY47,LD47),0)</f>
        <v>0</v>
      </c>
      <c r="LG47" s="20" t="n">
        <f aca="false">KY47-LF47</f>
        <v>0</v>
      </c>
      <c r="LH47" s="20" t="n">
        <f aca="false">IF(DT47=1,IF(ABS((1+AS_Wage)/(1+Slot11_Rate)-1)&lt;0.000000000001,(Slot11_Age-D47)*(1+Slot11_Rate)^(Slot11_Age-D47),(1+Slot11_Rate)^(Slot11_Age-D47)*(1-((1+AS_Wage)/(1+Slot11_Rate))^(Slot11_Age-D47))/(1-(1+AS_Wage)/(1+Slot11_Rate))),1)</f>
        <v>1</v>
      </c>
      <c r="LI47" s="20" t="n">
        <f aca="false">IF(AND(HU47=1,IE47&gt;0,Slot11_IsWG=1,DT47=1),MAX(0,(Slot11_Cost-DU47*(1+Slot11_Rate)^(Slot11_Age-D47))/LH47),0)</f>
        <v>0</v>
      </c>
      <c r="LJ47" s="20" t="n">
        <f aca="false">IF(AND(HU47=1,IE47&gt;0,Slot11_IsWG=1,DT47=1),MIN(IE47,LI47),0)</f>
        <v>0</v>
      </c>
      <c r="LK47" s="20" t="n">
        <f aca="false">DU47+LJ47</f>
        <v>0</v>
      </c>
      <c r="LL47" s="20" t="n">
        <f aca="false">IF(DT47=1,MAX(0,(Slot11_Cost-LK47*(1+Slot11_Rate)^(Slot11_Age-D47))/LH47),0)</f>
        <v>0</v>
      </c>
      <c r="LM47" s="20" t="n">
        <f aca="false">IF(DT47=1,MAX(0,(Slot11_Cost-DU47*(1+Slot11_Rate)^(Slot11_Age-D47))/LH47),0)</f>
        <v>0</v>
      </c>
      <c r="LN47" s="20" t="n">
        <f aca="false">IF(AND(HU47=1,DT47=1),MIN(LG47,LL47),0)</f>
        <v>0</v>
      </c>
      <c r="LO47" s="20" t="n">
        <f aca="false">LG47-LN47</f>
        <v>0</v>
      </c>
      <c r="LP47" s="20" t="n">
        <f aca="false">IF(ED47=1,IF(ABS((1+AS_Wage)/(1+Slot12_Rate)-1)&lt;0.000000000001,(Slot12_Age-D47)*(1+Slot12_Rate)^(Slot12_Age-D47),(1+Slot12_Rate)^(Slot12_Age-D47)*(1-((1+AS_Wage)/(1+Slot12_Rate))^(Slot12_Age-D47))/(1-(1+AS_Wage)/(1+Slot12_Rate))),1)</f>
        <v>1</v>
      </c>
      <c r="LQ47" s="20" t="n">
        <f aca="false">IF(AND(HU47=1,IE47&gt;0,Slot12_IsWG=1,ED47=1),MAX(0,(Slot12_Cost-EE47*(1+Slot12_Rate)^(Slot12_Age-D47))/LP47),0)</f>
        <v>0</v>
      </c>
      <c r="LR47" s="20" t="n">
        <f aca="false">IF(AND(HU47=1,IE47&gt;0,Slot12_IsWG=1,ED47=1),MIN(IE47,LQ47),0)</f>
        <v>0</v>
      </c>
      <c r="LS47" s="20" t="n">
        <f aca="false">EE47+LR47</f>
        <v>0</v>
      </c>
      <c r="LT47" s="20" t="n">
        <f aca="false">IF(ED47=1,MAX(0,(Slot12_Cost-LS47*(1+Slot12_Rate)^(Slot12_Age-D47))/LP47),0)</f>
        <v>0</v>
      </c>
      <c r="LU47" s="20" t="n">
        <f aca="false">IF(ED47=1,MAX(0,(Slot12_Cost-EE47*(1+Slot12_Rate)^(Slot12_Age-D47))/LP47),0)</f>
        <v>0</v>
      </c>
      <c r="LV47" s="20" t="n">
        <f aca="false">IF(AND(HU47=1,ED47=1),MIN(LO47,LT47),0)</f>
        <v>0</v>
      </c>
      <c r="LW47" s="20" t="n">
        <f aca="false">LO47-LV47</f>
        <v>0</v>
      </c>
      <c r="LX47" s="20" t="n">
        <f aca="false">IF(EN47=1,IF(ABS((1+AS_Wage)/(1+Slot13_Rate)-1)&lt;0.000000000001,(Slot13_Age-D47)*(1+Slot13_Rate)^(Slot13_Age-D47),(1+Slot13_Rate)^(Slot13_Age-D47)*(1-((1+AS_Wage)/(1+Slot13_Rate))^(Slot13_Age-D47))/(1-(1+AS_Wage)/(1+Slot13_Rate))),1)</f>
        <v>1</v>
      </c>
      <c r="LY47" s="20" t="n">
        <f aca="false">IF(AND(HU47=1,IE47&gt;0,Slot13_IsWG=1,EN47=1),MAX(0,(Slot13_Cost-EO47*(1+Slot13_Rate)^(Slot13_Age-D47))/LX47),0)</f>
        <v>0</v>
      </c>
      <c r="LZ47" s="20" t="n">
        <f aca="false">IF(AND(HU47=1,IE47&gt;0,Slot13_IsWG=1,EN47=1),MIN(IE47,LY47),0)</f>
        <v>0</v>
      </c>
      <c r="MA47" s="20" t="n">
        <f aca="false">EO47+LZ47</f>
        <v>0</v>
      </c>
      <c r="MB47" s="20" t="n">
        <f aca="false">IF(EN47=1,MAX(0,(Slot13_Cost-MA47*(1+Slot13_Rate)^(Slot13_Age-D47))/LX47),0)</f>
        <v>0</v>
      </c>
      <c r="MC47" s="20" t="n">
        <f aca="false">IF(EN47=1,MAX(0,(Slot13_Cost-EO47*(1+Slot13_Rate)^(Slot13_Age-D47))/LX47),0)</f>
        <v>0</v>
      </c>
      <c r="MD47" s="20" t="n">
        <f aca="false">IF(AND(HU47=1,EN47=1),MIN(LW47,MB47),0)</f>
        <v>0</v>
      </c>
      <c r="ME47" s="20" t="n">
        <f aca="false">LW47-MD47</f>
        <v>0</v>
      </c>
      <c r="MF47" s="20" t="n">
        <f aca="false">IF(EX47=1,IF(ABS((1+AS_Wage)/(1+Slot14_Rate)-1)&lt;0.000000000001,(Slot14_Age-D47)*(1+Slot14_Rate)^(Slot14_Age-D47),(1+Slot14_Rate)^(Slot14_Age-D47)*(1-((1+AS_Wage)/(1+Slot14_Rate))^(Slot14_Age-D47))/(1-(1+AS_Wage)/(1+Slot14_Rate))),1)</f>
        <v>1</v>
      </c>
      <c r="MG47" s="20" t="n">
        <f aca="false">IF(AND(HU47=1,IE47&gt;0,Slot14_IsWG=1,EX47=1),MAX(0,(Slot14_Cost-EY47*(1+Slot14_Rate)^(Slot14_Age-D47))/MF47),0)</f>
        <v>0</v>
      </c>
      <c r="MH47" s="20" t="n">
        <f aca="false">IF(AND(HU47=1,IE47&gt;0,Slot14_IsWG=1,EX47=1),MIN(IE47,MG47),0)</f>
        <v>0</v>
      </c>
      <c r="MI47" s="20" t="n">
        <f aca="false">EY47+MH47</f>
        <v>0</v>
      </c>
      <c r="MJ47" s="20" t="n">
        <f aca="false">IF(EX47=1,MAX(0,(Slot14_Cost-MI47*(1+Slot14_Rate)^(Slot14_Age-D47))/MF47),0)</f>
        <v>0</v>
      </c>
      <c r="MK47" s="20" t="n">
        <f aca="false">IF(EX47=1,MAX(0,(Slot14_Cost-EY47*(1+Slot14_Rate)^(Slot14_Age-D47))/MF47),0)</f>
        <v>0</v>
      </c>
      <c r="ML47" s="20" t="n">
        <f aca="false">IF(AND(HU47=1,EX47=1),MIN(ME47,MJ47),0)</f>
        <v>0</v>
      </c>
      <c r="MM47" s="20" t="n">
        <f aca="false">ME47-ML47</f>
        <v>0</v>
      </c>
      <c r="MN47" s="20" t="n">
        <f aca="false">IF(FH47=1,IF(ABS((1+AS_Wage)/(1+Slot15_Rate)-1)&lt;0.000000000001,(Slot15_Age-D47)*(1+Slot15_Rate)^(Slot15_Age-D47),(1+Slot15_Rate)^(Slot15_Age-D47)*(1-((1+AS_Wage)/(1+Slot15_Rate))^(Slot15_Age-D47))/(1-(1+AS_Wage)/(1+Slot15_Rate))),1)</f>
        <v>1</v>
      </c>
      <c r="MO47" s="20" t="n">
        <f aca="false">IF(AND(HU47=1,IE47&gt;0,Slot15_IsWG=1,FH47=1),MAX(0,(Slot15_Cost-FI47*(1+Slot15_Rate)^(Slot15_Age-D47))/MN47),0)</f>
        <v>0</v>
      </c>
      <c r="MP47" s="20" t="n">
        <f aca="false">IF(AND(HU47=1,IE47&gt;0,Slot15_IsWG=1,FH47=1),MIN(IE47,MO47),0)</f>
        <v>0</v>
      </c>
      <c r="MQ47" s="20" t="n">
        <f aca="false">FI47+MP47</f>
        <v>0</v>
      </c>
      <c r="MR47" s="20" t="n">
        <f aca="false">IF(FH47=1,MAX(0,(Slot15_Cost-MQ47*(1+Slot15_Rate)^(Slot15_Age-D47))/MN47),0)</f>
        <v>0</v>
      </c>
      <c r="MS47" s="20" t="n">
        <f aca="false">IF(FH47=1,MAX(0,(Slot15_Cost-FI47*(1+Slot15_Rate)^(Slot15_Age-D47))/MN47),0)</f>
        <v>0</v>
      </c>
      <c r="MT47" s="20" t="n">
        <f aca="false">IF(AND(HU47=1,FH47=1),MIN(MM47,MR47),0)</f>
        <v>0</v>
      </c>
      <c r="MU47" s="20" t="n">
        <f aca="false">MM47-MT47</f>
        <v>0</v>
      </c>
      <c r="MV47" s="20" t="n">
        <f aca="false">IF(FR47=1,IF(ABS((1+AS_Wage)/(1+Slot16_Rate)-1)&lt;0.000000000001,(Slot16_Age-D47)*(1+Slot16_Rate)^(Slot16_Age-D47),(1+Slot16_Rate)^(Slot16_Age-D47)*(1-((1+AS_Wage)/(1+Slot16_Rate))^(Slot16_Age-D47))/(1-(1+AS_Wage)/(1+Slot16_Rate))),1)</f>
        <v>1</v>
      </c>
      <c r="MW47" s="20" t="n">
        <f aca="false">IF(AND(HU47=1,IE47&gt;0,Slot16_IsWG=1,FR47=1),MAX(0,(Slot16_Cost-FS47*(1+Slot16_Rate)^(Slot16_Age-D47))/MV47),0)</f>
        <v>0</v>
      </c>
      <c r="MX47" s="20" t="n">
        <f aca="false">IF(AND(HU47=1,IE47&gt;0,Slot16_IsWG=1,FR47=1),MIN(IE47,MW47),0)</f>
        <v>0</v>
      </c>
      <c r="MY47" s="20" t="n">
        <f aca="false">FS47+MX47</f>
        <v>0</v>
      </c>
      <c r="MZ47" s="20" t="n">
        <f aca="false">IF(FR47=1,MAX(0,(Slot16_Cost-MY47*(1+Slot16_Rate)^(Slot16_Age-D47))/MV47),0)</f>
        <v>0</v>
      </c>
      <c r="NA47" s="20" t="n">
        <f aca="false">IF(FR47=1,MAX(0,(Slot16_Cost-FS47*(1+Slot16_Rate)^(Slot16_Age-D47))/MV47),0)</f>
        <v>0</v>
      </c>
      <c r="NB47" s="20" t="n">
        <f aca="false">IF(AND(HU47=1,FR47=1),MIN(MU47,MZ47),0)</f>
        <v>0</v>
      </c>
      <c r="NC47" s="20" t="n">
        <f aca="false">MU47-NB47</f>
        <v>0</v>
      </c>
      <c r="ND47" s="20" t="n">
        <f aca="false">IF(GB47=1,IF(ABS((1+AS_Wage)/(1+Slot17_Rate)-1)&lt;0.000000000001,(Slot17_Age-D47)*(1+Slot17_Rate)^(Slot17_Age-D47),(1+Slot17_Rate)^(Slot17_Age-D47)*(1-((1+AS_Wage)/(1+Slot17_Rate))^(Slot17_Age-D47))/(1-(1+AS_Wage)/(1+Slot17_Rate))),1)</f>
        <v>1</v>
      </c>
      <c r="NE47" s="20" t="n">
        <f aca="false">IF(AND(HU47=1,IE47&gt;0,Slot17_IsWG=1,GB47=1),MAX(0,(Slot17_Cost-GC47*(1+Slot17_Rate)^(Slot17_Age-D47))/ND47),0)</f>
        <v>0</v>
      </c>
      <c r="NF47" s="20" t="n">
        <f aca="false">IF(AND(HU47=1,IE47&gt;0,Slot17_IsWG=1,GB47=1),MIN(IE47,NE47),0)</f>
        <v>0</v>
      </c>
      <c r="NG47" s="20" t="n">
        <f aca="false">GC47+NF47</f>
        <v>0</v>
      </c>
      <c r="NH47" s="20" t="n">
        <f aca="false">IF(GB47=1,MAX(0,(Slot17_Cost-NG47*(1+Slot17_Rate)^(Slot17_Age-D47))/ND47),0)</f>
        <v>0</v>
      </c>
      <c r="NI47" s="20" t="n">
        <f aca="false">IF(GB47=1,MAX(0,(Slot17_Cost-GC47*(1+Slot17_Rate)^(Slot17_Age-D47))/ND47),0)</f>
        <v>0</v>
      </c>
      <c r="NJ47" s="20" t="n">
        <f aca="false">IF(AND(HU47=1,GB47=1),MIN(NC47,NH47),0)</f>
        <v>0</v>
      </c>
      <c r="NK47" s="20" t="n">
        <f aca="false">NC47-NJ47</f>
        <v>0</v>
      </c>
      <c r="NL47" s="20" t="n">
        <f aca="false">IF(GL47=1,IF(ABS((1+AS_Wage)/(1+Slot18_Rate)-1)&lt;0.000000000001,(Slot18_Age-D47)*(1+Slot18_Rate)^(Slot18_Age-D47),(1+Slot18_Rate)^(Slot18_Age-D47)*(1-((1+AS_Wage)/(1+Slot18_Rate))^(Slot18_Age-D47))/(1-(1+AS_Wage)/(1+Slot18_Rate))),1)</f>
        <v>1</v>
      </c>
      <c r="NM47" s="20" t="n">
        <f aca="false">IF(AND(HU47=1,IE47&gt;0,Slot18_IsWG=1,GL47=1),MAX(0,(Slot18_Cost-GM47*(1+Slot18_Rate)^(Slot18_Age-D47))/NL47),0)</f>
        <v>0</v>
      </c>
      <c r="NN47" s="20" t="n">
        <f aca="false">IF(AND(HU47=1,IE47&gt;0,Slot18_IsWG=1,GL47=1),MIN(IE47,NM47),0)</f>
        <v>0</v>
      </c>
      <c r="NO47" s="20" t="n">
        <f aca="false">GM47+NN47</f>
        <v>0</v>
      </c>
      <c r="NP47" s="20" t="n">
        <f aca="false">IF(GL47=1,MAX(0,(Slot18_Cost-NO47*(1+Slot18_Rate)^(Slot18_Age-D47))/NL47),0)</f>
        <v>0</v>
      </c>
      <c r="NQ47" s="20" t="n">
        <f aca="false">IF(GL47=1,MAX(0,(Slot18_Cost-GM47*(1+Slot18_Rate)^(Slot18_Age-D47))/NL47),0)</f>
        <v>0</v>
      </c>
      <c r="NR47" s="20" t="n">
        <f aca="false">IF(AND(HU47=1,GL47=1),MIN(NK47,NP47),0)</f>
        <v>0</v>
      </c>
      <c r="NS47" s="20" t="n">
        <f aca="false">NK47-NR47</f>
        <v>0</v>
      </c>
      <c r="NT47" s="20" t="n">
        <f aca="false">IF(GV47=1,IF(ABS((1+AS_Wage)/(1+Slot19_Rate)-1)&lt;0.000000000001,(Slot19_Age-D47)*(1+Slot19_Rate)^(Slot19_Age-D47),(1+Slot19_Rate)^(Slot19_Age-D47)*(1-((1+AS_Wage)/(1+Slot19_Rate))^(Slot19_Age-D47))/(1-(1+AS_Wage)/(1+Slot19_Rate))),1)</f>
        <v>1</v>
      </c>
      <c r="NU47" s="20" t="n">
        <f aca="false">IF(AND(HU47=1,IE47&gt;0,Slot19_IsWG=1,GV47=1),MAX(0,(Slot19_Cost-GW47*(1+Slot19_Rate)^(Slot19_Age-D47))/NT47),0)</f>
        <v>0</v>
      </c>
      <c r="NV47" s="20" t="n">
        <f aca="false">IF(AND(HU47=1,IE47&gt;0,Slot19_IsWG=1,GV47=1),MIN(IE47,NU47),0)</f>
        <v>0</v>
      </c>
      <c r="NW47" s="20" t="n">
        <f aca="false">GW47+NV47</f>
        <v>0</v>
      </c>
      <c r="NX47" s="20" t="n">
        <f aca="false">IF(GV47=1,MAX(0,(Slot19_Cost-NW47*(1+Slot19_Rate)^(Slot19_Age-D47))/NT47),0)</f>
        <v>0</v>
      </c>
      <c r="NY47" s="20" t="n">
        <f aca="false">IF(GV47=1,MAX(0,(Slot19_Cost-GW47*(1+Slot19_Rate)^(Slot19_Age-D47))/NT47),0)</f>
        <v>0</v>
      </c>
      <c r="NZ47" s="20" t="n">
        <f aca="false">IF(AND(HU47=1,GV47=1),MIN(NS47,NX47),0)</f>
        <v>0</v>
      </c>
      <c r="OA47" s="20" t="n">
        <f aca="false">NS47-NZ47</f>
        <v>0</v>
      </c>
      <c r="OB47" s="20" t="n">
        <f aca="false">IF(HF47=1,IF(ABS((1+AS_Wage)/(1+Slot20_Rate)-1)&lt;0.000000000001,(Slot20_Age-D47)*(1+Slot20_Rate)^(Slot20_Age-D47),(1+Slot20_Rate)^(Slot20_Age-D47)*(1-((1+AS_Wage)/(1+Slot20_Rate))^(Slot20_Age-D47))/(1-(1+AS_Wage)/(1+Slot20_Rate))),1)</f>
        <v>1</v>
      </c>
      <c r="OC47" s="20" t="n">
        <f aca="false">IF(AND(HU47=1,IE47&gt;0,Slot20_IsWG=1,HF47=1),MAX(0,(Slot20_Cost-HG47*(1+Slot20_Rate)^(Slot20_Age-D47))/OB47),0)</f>
        <v>0</v>
      </c>
      <c r="OD47" s="20" t="n">
        <f aca="false">IF(AND(HU47=1,IE47&gt;0,Slot20_IsWG=1,HF47=1),MIN(IE47,OC47),0)</f>
        <v>0</v>
      </c>
      <c r="OE47" s="20" t="n">
        <f aca="false">HG47+OD47</f>
        <v>0</v>
      </c>
      <c r="OF47" s="20" t="n">
        <f aca="false">IF(HF47=1,MAX(0,(Slot20_Cost-OE47*(1+Slot20_Rate)^(Slot20_Age-D47))/OB47),0)</f>
        <v>0</v>
      </c>
      <c r="OG47" s="20" t="n">
        <f aca="false">IF(HF47=1,MAX(0,(Slot20_Cost-HG47*(1+Slot20_Rate)^(Slot20_Age-D47))/OB47),0)</f>
        <v>0</v>
      </c>
      <c r="OH47" s="20" t="n">
        <f aca="false">IF(AND(HU47=1,HF47=1),MIN(OA47,OF47),0)</f>
        <v>0</v>
      </c>
      <c r="OI47" s="20" t="n">
        <f aca="false">OA47-OH47</f>
        <v>0</v>
      </c>
      <c r="OJ47" s="20" t="n">
        <f aca="false">IE47-(IH47+IP47+IX47+JF47+JN47+JV47+KD47+KL47+KT47+LB47+LJ47+LR47+LZ47+MH47+MP47+MX47+NF47+NN47+NV47+OD47)</f>
        <v>0</v>
      </c>
      <c r="OK47" s="20" t="n">
        <f aca="false">IF(HU47=1,HS47-ID47-IE47,0)</f>
        <v>0</v>
      </c>
      <c r="OL47" s="20" t="n">
        <f aca="false">IF(HU47=0,-HS47,0)</f>
        <v>24981.5665896585</v>
      </c>
      <c r="OM47" s="20" t="n">
        <f aca="false">MIN(OL47,HK47)</f>
        <v>10060.406142238</v>
      </c>
      <c r="ON47" s="20" t="n">
        <f aca="false">OL47-OM47</f>
        <v>14921.1604474205</v>
      </c>
      <c r="OO47" s="20" t="n">
        <f aca="false">MIN(ON47,HL47)</f>
        <v>14921.1604474205</v>
      </c>
      <c r="OP47" s="20" t="n">
        <f aca="false">ON47-OO47</f>
        <v>0</v>
      </c>
      <c r="OQ47" s="20" t="n">
        <f aca="false">IF(AND(HU47=0,HF47=1,OP47&gt;0),MIN(OP47,HG47),0)</f>
        <v>0</v>
      </c>
      <c r="OR47" s="20" t="n">
        <f aca="false">OP47-OQ47</f>
        <v>0</v>
      </c>
      <c r="OS47" s="20" t="n">
        <f aca="false">IF(AND(HU47=0,GV47=1,OR47&gt;0),MIN(OR47,GW47),0)</f>
        <v>0</v>
      </c>
      <c r="OT47" s="20" t="n">
        <f aca="false">OR47-OS47</f>
        <v>0</v>
      </c>
      <c r="OU47" s="20" t="n">
        <f aca="false">IF(AND(HU47=0,GL47=1,OT47&gt;0),MIN(OT47,GM47),0)</f>
        <v>0</v>
      </c>
      <c r="OV47" s="20" t="n">
        <f aca="false">OT47-OU47</f>
        <v>0</v>
      </c>
      <c r="OW47" s="20" t="n">
        <f aca="false">IF(AND(HU47=0,GB47=1,OV47&gt;0),MIN(OV47,GC47),0)</f>
        <v>0</v>
      </c>
      <c r="OX47" s="20" t="n">
        <f aca="false">OV47-OW47</f>
        <v>0</v>
      </c>
      <c r="OY47" s="20" t="n">
        <f aca="false">IF(AND(HU47=0,FR47=1,OX47&gt;0),MIN(OX47,FS47),0)</f>
        <v>0</v>
      </c>
      <c r="OZ47" s="20" t="n">
        <f aca="false">OX47-OY47</f>
        <v>0</v>
      </c>
      <c r="PA47" s="20" t="n">
        <f aca="false">IF(AND(HU47=0,FH47=1,OZ47&gt;0),MIN(OZ47,FI47),0)</f>
        <v>0</v>
      </c>
      <c r="PB47" s="20" t="n">
        <f aca="false">OZ47-PA47</f>
        <v>0</v>
      </c>
      <c r="PC47" s="20" t="n">
        <f aca="false">IF(AND(HU47=0,EX47=1,PB47&gt;0),MIN(PB47,EY47),0)</f>
        <v>0</v>
      </c>
      <c r="PD47" s="20" t="n">
        <f aca="false">PB47-PC47</f>
        <v>0</v>
      </c>
      <c r="PE47" s="20" t="n">
        <f aca="false">IF(AND(HU47=0,EN47=1,PD47&gt;0),MIN(PD47,EO47),0)</f>
        <v>0</v>
      </c>
      <c r="PF47" s="20" t="n">
        <f aca="false">PD47-PE47</f>
        <v>0</v>
      </c>
      <c r="PG47" s="20" t="n">
        <f aca="false">IF(AND(HU47=0,ED47=1,PF47&gt;0),MIN(PF47,EE47),0)</f>
        <v>0</v>
      </c>
      <c r="PH47" s="20" t="n">
        <f aca="false">PF47-PG47</f>
        <v>0</v>
      </c>
      <c r="PI47" s="20" t="n">
        <f aca="false">IF(AND(HU47=0,DT47=1,PH47&gt;0),MIN(PH47,DU47),0)</f>
        <v>0</v>
      </c>
      <c r="PJ47" s="20" t="n">
        <f aca="false">PH47-PI47</f>
        <v>0</v>
      </c>
      <c r="PK47" s="20" t="n">
        <f aca="false">IF(AND(HU47=0,DJ47=1,PJ47&gt;0),MIN(PJ47,DK47),0)</f>
        <v>0</v>
      </c>
      <c r="PL47" s="20" t="n">
        <f aca="false">PJ47-PK47</f>
        <v>0</v>
      </c>
      <c r="PM47" s="20" t="n">
        <f aca="false">IF(AND(HU47=0,CZ47=1,PL47&gt;0),MIN(PL47,DA47),0)</f>
        <v>0</v>
      </c>
      <c r="PN47" s="20" t="n">
        <f aca="false">PL47-PM47</f>
        <v>0</v>
      </c>
      <c r="PO47" s="20" t="n">
        <f aca="false">IF(AND(HU47=0,CP47=1,PN47&gt;0),MIN(PN47,CQ47),0)</f>
        <v>0</v>
      </c>
      <c r="PP47" s="20" t="n">
        <f aca="false">PN47-PO47</f>
        <v>0</v>
      </c>
      <c r="PQ47" s="20" t="n">
        <f aca="false">IF(AND(HU47=0,CF47=1,PP47&gt;0),MIN(PP47,CG47),0)</f>
        <v>0</v>
      </c>
      <c r="PR47" s="20" t="n">
        <f aca="false">PP47-PQ47</f>
        <v>0</v>
      </c>
      <c r="PS47" s="20" t="n">
        <f aca="false">IF(AND(HU47=0,BV47=1,PR47&gt;0),MIN(PR47,BW47),0)</f>
        <v>0</v>
      </c>
      <c r="PT47" s="20" t="n">
        <f aca="false">PR47-PS47</f>
        <v>0</v>
      </c>
      <c r="PU47" s="20" t="n">
        <f aca="false">IF(AND(HU47=0,BL47=1,PT47&gt;0),MIN(PT47,BM47),0)</f>
        <v>0</v>
      </c>
      <c r="PV47" s="20" t="n">
        <f aca="false">PT47-PU47</f>
        <v>0</v>
      </c>
      <c r="PW47" s="20" t="n">
        <f aca="false">IF(AND(HU47=0,BB47=1,PV47&gt;0),MIN(PV47,BC47),0)</f>
        <v>0</v>
      </c>
      <c r="PX47" s="20" t="n">
        <f aca="false">PV47-PW47</f>
        <v>0</v>
      </c>
      <c r="PY47" s="20" t="n">
        <f aca="false">IF(AND(HU47=0,AR47=1,PX47&gt;0),MIN(PX47,AS47),0)</f>
        <v>0</v>
      </c>
      <c r="PZ47" s="20" t="n">
        <f aca="false">PX47-PY47</f>
        <v>0</v>
      </c>
      <c r="QA47" s="20" t="n">
        <f aca="false">IF(AND(HU47=0,AH47=1,PZ47&gt;0),MIN(PZ47,AI47),0)</f>
        <v>0</v>
      </c>
      <c r="QB47" s="20" t="n">
        <f aca="false">PZ47-QA47</f>
        <v>0</v>
      </c>
      <c r="QC47" s="20" t="n">
        <f aca="false">IF(AND(HU47=0,W47=1,QB47&gt;0),MIN(QB47,X47),0)</f>
        <v>0</v>
      </c>
      <c r="QD47" s="20" t="n">
        <f aca="false">QB47-QC47</f>
        <v>0</v>
      </c>
      <c r="QE47" s="20" t="n">
        <f aca="false">IF(HU47=0,QD47,0)</f>
        <v>0</v>
      </c>
      <c r="QF47" s="20" t="n">
        <f aca="false">OM47+OO47+QC47+QA47+PY47+PW47+PU47+PS47+PQ47+PO47+PM47+PK47+PI47+PG47+PE47+PC47+PA47+OY47+OW47+OU47+OS47+OQ47</f>
        <v>24981.5665896585</v>
      </c>
      <c r="QG47" s="20" t="n">
        <f aca="false">IF(HU47=1,HK47+OJ47+OI47+IF(G47=1,0,OK47),HK47-OM47)</f>
        <v>0</v>
      </c>
      <c r="QH47" s="20" t="n">
        <f aca="false">HL47-OO47</f>
        <v>1521.55766264562</v>
      </c>
      <c r="QI47" s="20" t="n">
        <f aca="false">IF(HU47=1,IF(G47=1,ID47+IE47,HS47),0)</f>
        <v>0</v>
      </c>
      <c r="QJ47" s="20" t="n">
        <f aca="false">IF(HU47=1,IF(G47=1,HS47-ID47-IE47,0),0)</f>
        <v>0</v>
      </c>
      <c r="QK47" s="57" t="n">
        <f aca="false">'Plan holdings'!BM47</f>
        <v>0</v>
      </c>
      <c r="QL47" s="20" t="n">
        <f aca="false">QH47*(1+AS_Cash)</f>
        <v>1536.77323927207</v>
      </c>
      <c r="QM47" s="20" t="n">
        <f aca="false">IF(W47=1,IF(HU47=1,II47+IL47,X47-QC47)*(1+Slot1_Rate),0)</f>
        <v>0</v>
      </c>
      <c r="QN47" s="20" t="n">
        <f aca="false">IF(AND(HU47=1,W47=1),(IH47+IL47)/F47,0)</f>
        <v>0</v>
      </c>
      <c r="QO47" s="20" t="n">
        <f aca="false">IF(B47=0,IH47+IL47,0)</f>
        <v>0</v>
      </c>
      <c r="QP47" s="20" t="n">
        <f aca="false">IF(B47=0,IF(HU47=1,IJ47,IK47),0)</f>
        <v>0</v>
      </c>
      <c r="QQ47" s="20" t="n">
        <f aca="false">IF(AH47=1,IF(HU47=1,IQ47+IT47,AI47-QA47)*(1+Slot2_Rate),0)</f>
        <v>0</v>
      </c>
      <c r="QR47" s="20" t="n">
        <f aca="false">IF(AND(HU47=1,AH47=1),(IP47+IT47)/F47,0)</f>
        <v>0</v>
      </c>
      <c r="QS47" s="20" t="n">
        <f aca="false">IF(B47=0,IP47+IT47,0)</f>
        <v>0</v>
      </c>
      <c r="QT47" s="20" t="n">
        <f aca="false">IF(B47=0,IF(HU47=1,IR47,IS47),0)</f>
        <v>0</v>
      </c>
      <c r="QU47" s="20" t="n">
        <f aca="false">IF(AR47=1,IF(HU47=1,IY47+JB47,AS47-PY47)*(1+Slot3_Rate),0)</f>
        <v>0</v>
      </c>
      <c r="QV47" s="20" t="n">
        <f aca="false">IF(AND(HU47=1,AR47=1),(IX47+JB47)/F47,0)</f>
        <v>0</v>
      </c>
      <c r="QW47" s="20" t="n">
        <f aca="false">IF(B47=0,IX47+JB47,0)</f>
        <v>0</v>
      </c>
      <c r="QX47" s="20" t="n">
        <f aca="false">IF(B47=0,IF(HU47=1,IZ47,JA47),0)</f>
        <v>0</v>
      </c>
      <c r="QY47" s="20" t="n">
        <f aca="false">IF(BB47=1,IF(HU47=1,JG47+JJ47,BC47-PW47)*(1+Slot4_Rate),0)</f>
        <v>0</v>
      </c>
      <c r="QZ47" s="20" t="n">
        <f aca="false">IF(AND(HU47=1,BB47=1),(JF47+JJ47)/F47,0)</f>
        <v>0</v>
      </c>
      <c r="RA47" s="20" t="n">
        <f aca="false">IF(B47=0,JF47+JJ47,0)</f>
        <v>0</v>
      </c>
      <c r="RB47" s="20" t="n">
        <f aca="false">IF(B47=0,IF(HU47=1,JH47,JI47),0)</f>
        <v>0</v>
      </c>
      <c r="RC47" s="20" t="n">
        <f aca="false">IF(BL47=1,IF(HU47=1,JO47+JR47,BM47-PU47)*(1+Slot5_Rate),0)</f>
        <v>0</v>
      </c>
      <c r="RD47" s="20" t="n">
        <f aca="false">IF(AND(HU47=1,BL47=1),(JN47+JR47)/F47,0)</f>
        <v>0</v>
      </c>
      <c r="RE47" s="20" t="n">
        <f aca="false">IF(B47=0,JN47+JR47,0)</f>
        <v>0</v>
      </c>
      <c r="RF47" s="20" t="n">
        <f aca="false">IF(B47=0,IF(HU47=1,JP47,JQ47),0)</f>
        <v>0</v>
      </c>
      <c r="RG47" s="20" t="n">
        <f aca="false">IF(BV47=1,IF(HU47=1,JW47+JZ47,BW47-PS47)*(1+Slot6_Rate),0)</f>
        <v>0</v>
      </c>
      <c r="RH47" s="20" t="n">
        <f aca="false">IF(AND(HU47=1,BV47=1),(JV47+JZ47)/F47,0)</f>
        <v>0</v>
      </c>
      <c r="RI47" s="20" t="n">
        <f aca="false">IF(B47=0,JV47+JZ47,0)</f>
        <v>0</v>
      </c>
      <c r="RJ47" s="20" t="n">
        <f aca="false">IF(B47=0,IF(HU47=1,JX47,JY47),0)</f>
        <v>0</v>
      </c>
      <c r="RK47" s="20" t="n">
        <f aca="false">IF(CF47=1,IF(HU47=1,KE47+KH47,CG47-PQ47)*(1+Slot7_Rate),0)</f>
        <v>0</v>
      </c>
      <c r="RL47" s="20" t="n">
        <f aca="false">IF(AND(HU47=1,CF47=1),(KD47+KH47)/F47,0)</f>
        <v>0</v>
      </c>
      <c r="RM47" s="20" t="n">
        <f aca="false">IF(B47=0,KD47+KH47,0)</f>
        <v>0</v>
      </c>
      <c r="RN47" s="20" t="n">
        <f aca="false">IF(B47=0,IF(HU47=1,KF47,KG47),0)</f>
        <v>0</v>
      </c>
      <c r="RO47" s="20" t="n">
        <f aca="false">IF(CP47=1,IF(HU47=1,KM47+KP47,CQ47-PO47)*(1+Slot8_Rate),0)</f>
        <v>0</v>
      </c>
      <c r="RP47" s="20" t="n">
        <f aca="false">IF(AND(HU47=1,CP47=1),(KL47+KP47)/F47,0)</f>
        <v>0</v>
      </c>
      <c r="RQ47" s="20" t="n">
        <f aca="false">IF(B47=0,KL47+KP47,0)</f>
        <v>0</v>
      </c>
      <c r="RR47" s="20" t="n">
        <f aca="false">IF(B47=0,IF(HU47=1,KN47,KO47),0)</f>
        <v>0</v>
      </c>
      <c r="RS47" s="20" t="n">
        <f aca="false">IF(CZ47=1,IF(HU47=1,KU47+KX47,DA47-PM47)*(1+Slot9_Rate),0)</f>
        <v>0</v>
      </c>
      <c r="RT47" s="20" t="n">
        <f aca="false">IF(AND(HU47=1,CZ47=1),(KT47+KX47)/F47,0)</f>
        <v>0</v>
      </c>
      <c r="RU47" s="20" t="n">
        <f aca="false">IF(B47=0,KT47+KX47,0)</f>
        <v>0</v>
      </c>
      <c r="RV47" s="20" t="n">
        <f aca="false">IF(B47=0,IF(HU47=1,KV47,KW47),0)</f>
        <v>0</v>
      </c>
      <c r="RW47" s="20" t="n">
        <f aca="false">IF(DJ47=1,IF(HU47=1,LC47+LF47,DK47-PK47)*(1+Slot10_Rate),0)</f>
        <v>0</v>
      </c>
      <c r="RX47" s="20" t="n">
        <f aca="false">IF(AND(HU47=1,DJ47=1),(LB47+LF47)/F47,0)</f>
        <v>0</v>
      </c>
      <c r="RY47" s="20" t="n">
        <f aca="false">IF(B47=0,LB47+LF47,0)</f>
        <v>0</v>
      </c>
      <c r="RZ47" s="20" t="n">
        <f aca="false">IF(B47=0,IF(HU47=1,LD47,LE47),0)</f>
        <v>0</v>
      </c>
      <c r="SA47" s="20" t="n">
        <f aca="false">IF(DT47=1,IF(HU47=1,LK47+LN47,DU47-PI47)*(1+Slot11_Rate),0)</f>
        <v>0</v>
      </c>
      <c r="SB47" s="20" t="n">
        <f aca="false">IF(AND(HU47=1,DT47=1),(LJ47+LN47)/F47,0)</f>
        <v>0</v>
      </c>
      <c r="SC47" s="20" t="n">
        <f aca="false">IF(B47=0,LJ47+LN47,0)</f>
        <v>0</v>
      </c>
      <c r="SD47" s="20" t="n">
        <f aca="false">IF(B47=0,IF(HU47=1,LL47,LM47),0)</f>
        <v>0</v>
      </c>
      <c r="SE47" s="20" t="n">
        <f aca="false">IF(ED47=1,IF(HU47=1,LS47+LV47,EE47-PG47)*(1+Slot12_Rate),0)</f>
        <v>0</v>
      </c>
      <c r="SF47" s="20" t="n">
        <f aca="false">IF(AND(HU47=1,ED47=1),(LR47+LV47)/F47,0)</f>
        <v>0</v>
      </c>
      <c r="SG47" s="20" t="n">
        <f aca="false">IF(B47=0,LR47+LV47,0)</f>
        <v>0</v>
      </c>
      <c r="SH47" s="20" t="n">
        <f aca="false">IF(B47=0,IF(HU47=1,LT47,LU47),0)</f>
        <v>0</v>
      </c>
      <c r="SI47" s="20" t="n">
        <f aca="false">IF(EN47=1,IF(HU47=1,MA47+MD47,EO47-PE47)*(1+Slot13_Rate),0)</f>
        <v>0</v>
      </c>
      <c r="SJ47" s="20" t="n">
        <f aca="false">IF(AND(HU47=1,EN47=1),(LZ47+MD47)/F47,0)</f>
        <v>0</v>
      </c>
      <c r="SK47" s="20" t="n">
        <f aca="false">IF(B47=0,LZ47+MD47,0)</f>
        <v>0</v>
      </c>
      <c r="SL47" s="20" t="n">
        <f aca="false">IF(B47=0,IF(HU47=1,MB47,MC47),0)</f>
        <v>0</v>
      </c>
      <c r="SM47" s="20" t="n">
        <f aca="false">IF(EX47=1,IF(HU47=1,MI47+ML47,EY47-PC47)*(1+Slot14_Rate),0)</f>
        <v>0</v>
      </c>
      <c r="SN47" s="20" t="n">
        <f aca="false">IF(AND(HU47=1,EX47=1),(MH47+ML47)/F47,0)</f>
        <v>0</v>
      </c>
      <c r="SO47" s="20" t="n">
        <f aca="false">IF(B47=0,MH47+ML47,0)</f>
        <v>0</v>
      </c>
      <c r="SP47" s="20" t="n">
        <f aca="false">IF(B47=0,IF(HU47=1,MJ47,MK47),0)</f>
        <v>0</v>
      </c>
      <c r="SQ47" s="20" t="n">
        <f aca="false">IF(FH47=1,IF(HU47=1,MQ47+MT47,FI47-PA47)*(1+Slot15_Rate),0)</f>
        <v>0</v>
      </c>
      <c r="SR47" s="20" t="n">
        <f aca="false">IF(AND(HU47=1,FH47=1),(MP47+MT47)/F47,0)</f>
        <v>0</v>
      </c>
      <c r="SS47" s="20" t="n">
        <f aca="false">IF(B47=0,MP47+MT47,0)</f>
        <v>0</v>
      </c>
      <c r="ST47" s="20" t="n">
        <f aca="false">IF(B47=0,IF(HU47=1,MR47,MS47),0)</f>
        <v>0</v>
      </c>
      <c r="SU47" s="20" t="n">
        <f aca="false">IF(FR47=1,IF(HU47=1,MY47+NB47,FS47-OY47)*(1+Slot16_Rate),0)</f>
        <v>0</v>
      </c>
      <c r="SV47" s="20" t="n">
        <f aca="false">IF(AND(HU47=1,FR47=1),(MX47+NB47)/F47,0)</f>
        <v>0</v>
      </c>
      <c r="SW47" s="20" t="n">
        <f aca="false">IF(B47=0,MX47+NB47,0)</f>
        <v>0</v>
      </c>
      <c r="SX47" s="20" t="n">
        <f aca="false">IF(B47=0,IF(HU47=1,MZ47,NA47),0)</f>
        <v>0</v>
      </c>
      <c r="SY47" s="20" t="n">
        <f aca="false">IF(GB47=1,IF(HU47=1,NG47+NJ47,GC47-OW47)*(1+Slot17_Rate),0)</f>
        <v>0</v>
      </c>
      <c r="SZ47" s="20" t="n">
        <f aca="false">IF(AND(HU47=1,GB47=1),(NF47+NJ47)/F47,0)</f>
        <v>0</v>
      </c>
      <c r="TA47" s="20" t="n">
        <f aca="false">IF(B47=0,NF47+NJ47,0)</f>
        <v>0</v>
      </c>
      <c r="TB47" s="20" t="n">
        <f aca="false">IF(B47=0,IF(HU47=1,NH47,NI47),0)</f>
        <v>0</v>
      </c>
      <c r="TC47" s="20" t="n">
        <f aca="false">IF(GL47=1,IF(HU47=1,NO47+NR47,GM47-OU47)*(1+Slot18_Rate),0)</f>
        <v>0</v>
      </c>
      <c r="TD47" s="20" t="n">
        <f aca="false">IF(AND(HU47=1,GL47=1),(NN47+NR47)/F47,0)</f>
        <v>0</v>
      </c>
      <c r="TE47" s="20" t="n">
        <f aca="false">IF(B47=0,NN47+NR47,0)</f>
        <v>0</v>
      </c>
      <c r="TF47" s="20" t="n">
        <f aca="false">IF(B47=0,IF(HU47=1,NP47,NQ47),0)</f>
        <v>0</v>
      </c>
      <c r="TG47" s="20" t="n">
        <f aca="false">IF(GV47=1,IF(HU47=1,NW47+NZ47,GW47-OS47)*(1+Slot19_Rate),0)</f>
        <v>0</v>
      </c>
      <c r="TH47" s="20" t="n">
        <f aca="false">IF(AND(HU47=1,GV47=1),(NV47+NZ47)/F47,0)</f>
        <v>0</v>
      </c>
      <c r="TI47" s="20" t="n">
        <f aca="false">IF(B47=0,NV47+NZ47,0)</f>
        <v>0</v>
      </c>
      <c r="TJ47" s="20" t="n">
        <f aca="false">IF(B47=0,IF(HU47=1,NX47,NY47),0)</f>
        <v>0</v>
      </c>
      <c r="TK47" s="20" t="n">
        <f aca="false">IF(HF47=1,IF(HU47=1,OE47+OH47,HG47-OQ47)*(1+Slot20_Rate),0)</f>
        <v>0</v>
      </c>
      <c r="TL47" s="20" t="n">
        <f aca="false">IF(AND(HU47=1,HF47=1),(OD47+OH47)/F47,0)</f>
        <v>0</v>
      </c>
      <c r="TM47" s="20" t="n">
        <f aca="false">IF(B47=0,OD47+OH47,0)</f>
        <v>0</v>
      </c>
      <c r="TN47" s="20" t="n">
        <f aca="false">IF(B47=0,IF(HU47=1,OF47,OG47),0)</f>
        <v>0</v>
      </c>
      <c r="TO47" s="20" t="n">
        <f aca="false">QK47+QL47+QM47+QQ47+QU47+QY47+RC47+RG47+RK47+RO47+RS47+RW47+SA47+SE47+SI47+SM47+SQ47+SU47+SY47+TC47+TG47+TK47</f>
        <v>1536.77323927207</v>
      </c>
      <c r="TP47" s="20" t="n">
        <f aca="false">QE47+HP47</f>
        <v>0</v>
      </c>
      <c r="TQ47" s="20" t="n">
        <f aca="false">I47+S47</f>
        <v>103474.799922343</v>
      </c>
      <c r="TR47" s="20" t="n">
        <f aca="false">1-G47</f>
        <v>1</v>
      </c>
      <c r="TS47" s="20" t="n">
        <f aca="false">IF(AND(RG_Exists=1,G47=0,C47=1),I47,0)</f>
        <v>103474.799922343</v>
      </c>
      <c r="TT47" s="20" t="n">
        <f aca="false">IF(AND(RG_Exists=1,G47=0,C47=1),I47-MIN(QE47,I47),0)</f>
        <v>103474.799922343</v>
      </c>
      <c r="TU47" s="20" t="n">
        <f aca="false">'Plan pay &amp; tax'!AD273</f>
        <v>357366.872930734</v>
      </c>
      <c r="TV47" s="20" t="n">
        <f aca="false">IF(AND(C47=1,QE47&gt;MAX(PR_Short1,TQ47*PR_Short2)),1,0)</f>
        <v>0</v>
      </c>
      <c r="TW47" s="20" t="n">
        <f aca="false">MIN(H47,I47+S47)</f>
        <v>78493.2333326846</v>
      </c>
      <c r="TX47" s="20" t="n">
        <f aca="false">QF47+MAX(0,HQ47-HP47)</f>
        <v>24981.5665896585</v>
      </c>
      <c r="TY47" s="20" t="n">
        <f aca="false">QE47+HP47</f>
        <v>0</v>
      </c>
      <c r="TZ47" s="20" t="n">
        <f aca="false">IF(AND(C47=1,TY47&gt;PR_MinShort),1,0)</f>
        <v>0</v>
      </c>
      <c r="UA47" s="20" t="n">
        <f aca="false">IF(AND(C47=1,TZ47=0,TX47&gt;PR_MinShort),1,0)</f>
        <v>1</v>
      </c>
      <c r="UB47" s="20" t="n">
        <f aca="false">IF(AND(C47=1,QE47&gt;PR_MinShort),1,0)</f>
        <v>0</v>
      </c>
      <c r="UC47" s="20" t="n">
        <f aca="false">IF(AND(C47=1,QF47&gt;1,UJ47=0),1,0)</f>
        <v>1</v>
      </c>
      <c r="UD47" s="20" t="str">
        <f aca="false">IF(C47=0,"",IF(UJ47=1,"Gap to plan for: short "&amp;"€"&amp;TEXT(ROUND(TP47,0),"#,##0"),IF(QF47&gt;1,"Using savings","Comfortable")))</f>
        <v>Using savings</v>
      </c>
      <c r="UE47" s="20" t="n">
        <f aca="false">IF(AND(INT(D47/10)*10=90,B47&gt;0),80,INT(D47/10)*10)</f>
        <v>70</v>
      </c>
      <c r="UF47" s="20" t="n">
        <f aca="false">IF(B47=0,1,IF(UE47&lt;&gt;UE46,UF46+1,UF46))</f>
        <v>5</v>
      </c>
      <c r="UG47" s="20" t="n">
        <f aca="false">IF(AND(C47=1,G47=1,QE47&gt;MAX(PR_Short1,TQ47*PR_Short2)),1,0)</f>
        <v>0</v>
      </c>
      <c r="UH47" s="20" t="n">
        <f aca="false">TR47*TV47</f>
        <v>0</v>
      </c>
      <c r="UI47" s="20" t="n">
        <f aca="false">IF(AND(V47=1,Slot1_PctLow=1),1,0)+IF(AND(AG47=1,Slot2_PctLow=1),1,0)+IF(AND(AQ47=1,Slot3_PctLow=1),1,0)+IF(AND(BA47=1,Slot4_PctLow=1),1,0)+IF(AND(BK47=1,Slot5_PctLow=1),1,0)+IF(AND(BU47=1,Slot6_PctLow=1),1,0)+IF(AND(CE47=1,Slot7_PctLow=1),1,0)+IF(AND(CO47=1,Slot8_PctLow=1),1,0)+IF(AND(CY47=1,Slot9_PctLow=1),1,0)+IF(AND(DI47=1,Slot10_PctLow=1),1,0)+IF(AND(DS47=1,Slot11_PctLow=1),1,0)+IF(AND(EC47=1,Slot12_PctLow=1),1,0)+IF(AND(EM47=1,Slot13_PctLow=1),1,0)+IF(AND(EW47=1,Slot14_PctLow=1),1,0)+IF(AND(FG47=1,Slot15_PctLow=1),1,0)+IF(AND(FQ47=1,Slot16_PctLow=1),1,0)+IF(AND(GA47=1,Slot17_PctLow=1),1,0)+IF(AND(GK47=1,Slot18_PctLow=1),1,0)+IF(AND(GU47=1,Slot19_PctLow=1),1,0)+IF(AND(HE47=1,Slot20_PctLow=1),1,0)</f>
        <v>0</v>
      </c>
      <c r="UJ47" s="20" t="n">
        <f aca="false">IF(C47=1,IF(OR(TV47=1,UI47&gt;0),1,0),0)</f>
        <v>0</v>
      </c>
      <c r="UK47" s="20" t="n">
        <f aca="false">Z47+AK47+AU47+BE47+BO47+BY47+CI47+CS47+DC47+DM47+DW47+EG47+EQ47+FA47+FK47+FU47+GE47+GO47+GY47+HI47+OM47</f>
        <v>10060.406142238</v>
      </c>
      <c r="UL47" s="20" t="n">
        <f aca="false">V47*IF(Slot1_SpendLike=1,X47-Y47,IF(Slot1_PotFree=1,X47,0))+AG47*IF(Slot2_SpendLike=1,AI47-AJ47,IF(Slot2_PotFree=1,AI47,0))+AQ47*IF(Slot3_SpendLike=1,AS47-AT47,IF(Slot3_PotFree=1,AS47,0))+BA47*IF(Slot4_SpendLike=1,BC47-BD47,IF(Slot4_PotFree=1,BC47,0))+BK47*IF(Slot5_SpendLike=1,BM47-BN47,IF(Slot5_PotFree=1,BM47,0))+BU47*IF(Slot6_SpendLike=1,BW47-BX47,IF(Slot6_PotFree=1,BW47,0))+CE47*IF(Slot7_SpendLike=1,CG47-CH47,IF(Slot7_PotFree=1,CG47,0))+CO47*IF(Slot8_SpendLike=1,CQ47-CR47,IF(Slot8_PotFree=1,CQ47,0))+CY47*IF(Slot9_SpendLike=1,DA47-DB47,IF(Slot9_PotFree=1,DA47,0))+DI47*IF(Slot10_SpendLike=1,DK47-DL47,IF(Slot10_PotFree=1,DK47,0))+DS47*IF(Slot11_SpendLike=1,DU47-DV47,IF(Slot11_PotFree=1,DU47,0))+EC47*IF(Slot12_SpendLike=1,EE47-EF47,IF(Slot12_PotFree=1,EE47,0))+EM47*IF(Slot13_SpendLike=1,EO47-EP47,IF(Slot13_PotFree=1,EO47,0))+EW47*IF(Slot14_SpendLike=1,EY47-EZ47,IF(Slot14_PotFree=1,EY47,0))+FG47*IF(Slot15_SpendLike=1,FI47-FJ47,IF(Slot15_PotFree=1,FI47,0))+FQ47*IF(Slot16_SpendLike=1,FS47-FT47,IF(Slot16_PotFree=1,FS47,0))+GA47*IF(Slot17_SpendLike=1,GC47-GD47,IF(Slot17_PotFree=1,GC47,0))+GK47*IF(Slot18_SpendLike=1,GM47-GN47,IF(Slot18_PotFree=1,GM47,0))+GU47*IF(Slot19_SpendLike=1,GW47-GX47,IF(Slot19_PotFree=1,GW47,0))+HE47*IF(Slot20_SpendLike=1,HG47-HH47,IF(Slot20_PotFree=1,HG47,0))</f>
        <v>0</v>
      </c>
      <c r="UM47" s="20" t="n">
        <f aca="false">QG47-T47+UK47-UL47</f>
        <v>0</v>
      </c>
      <c r="UN47" s="20" t="n">
        <f aca="false">IF(OR(UN46=1,AND(In_homeUse="Yes, I'd downsize",In_downAge&gt;0,D47=In_downAge,OR(In_home="Own outright",In_home="Own with mortgage"),In_homeValue&gt;0)),1,0)</f>
        <v>0</v>
      </c>
    </row>
    <row r="48" customFormat="false" ht="15" hidden="false" customHeight="true" outlineLevel="0" collapsed="false">
      <c r="B48" s="20" t="n">
        <v>40</v>
      </c>
      <c r="C48" s="20" t="n">
        <f aca="false">IF(B48&lt;=F_N,1,0)</f>
        <v>1</v>
      </c>
      <c r="D48" s="20" t="n">
        <f aca="false">'Plan pay &amp; tax'!C274</f>
        <v>78</v>
      </c>
      <c r="E48" s="20" t="str">
        <f aca="false">IF($C48=1,"Income tax "&amp;TEXT(N('Plan pay &amp; tax'!BK274),"#,##0")&amp;"; USC "&amp;TEXT(N('Plan pay &amp; tax'!BM274)+N('Plan pay &amp; tax'!BO274),"#,##0")&amp;"; PRSI "&amp;TEXT(N('Plan pay &amp; tax'!BP274)+N('Plan pay &amp; tax'!BQ274),"#,##0")&amp;IF(N('Plan holdings'!BO48)&gt;=0.5,"; DIRT "&amp;TEXT(('Plan holdings'!BO48)/$F48,"#,##0")&amp;" (already taken from the interest earned)","")&amp;IF(N('Plan holdings'!BP48)&gt;=0.5,"; exit tax at an 8-year anniversary "&amp;TEXT(('Plan holdings'!BP48)/$F48,"#,##0"),"")&amp;IF(N('Plan holdings'!BN48)&gt;=0.5,"; tax on assets sold (exit tax or capital gains tax) "&amp;TEXT(('Plan holdings'!BN48)/$F48,"#,##0"),"")&amp;IF(N('Plan pay &amp; tax'!X274)-N('Plan pay &amp; tax'!Y274)&gt;=0.5,"; tax on the pension lump sum "&amp;TEXT(('Plan pay &amp; tax'!X274-'Plan pay &amp; tax'!Y274)/$F48,"#,##0"),"")&amp;IF(N('Plan pay &amp; tax'!V274)&gt;=0.5,"; chargeable excess tax on the pension "&amp;TEXT(('Plan pay &amp; tax'!V274)/$F48,"#,##0"),"")&amp;".","")</f>
        <v>Income tax 666; USC 0; PRSI 0.</v>
      </c>
      <c r="F48" s="50" t="n">
        <f aca="false">'Plan pay &amp; tax'!E274</f>
        <v>2.20803966361485</v>
      </c>
      <c r="G48" s="20" t="n">
        <f aca="false">'Plan pay &amp; tax'!G274</f>
        <v>0</v>
      </c>
      <c r="H48" s="20" t="n">
        <f aca="false">'Plan pay &amp; tax'!BT274-'Plan pay &amp; tax'!BS274-'Plan pay &amp; tax'!R274</f>
        <v>80240.1742761177</v>
      </c>
      <c r="I48" s="20" t="n">
        <f aca="false">IF(G48=1,F_CostsM*12,IF(RG_Exists=1,RG_Amount,F_CostsM*12*AS_RetireSpend))*F48+F_OneOffY*F48</f>
        <v>105544.29592079</v>
      </c>
      <c r="J48" s="20" t="n">
        <f aca="false">IF(UN48=1,0,HR47)</f>
        <v>0</v>
      </c>
      <c r="K48" s="20" t="n">
        <f aca="false">IF(J48&gt;1,'Plan debt months'!AC48,0)</f>
        <v>0</v>
      </c>
      <c r="L48" s="20" t="n">
        <f aca="false">IF(J48&gt;1,'Plan debt months'!AB48,J48)</f>
        <v>0</v>
      </c>
      <c r="M48" s="20" t="n">
        <f aca="false">O47</f>
        <v>0</v>
      </c>
      <c r="N48" s="20" t="n">
        <f aca="false">IF(M48&gt;1,'Plan debt months'!BD48,0)</f>
        <v>0</v>
      </c>
      <c r="O48" s="20" t="n">
        <f aca="false">IF(M48&gt;1,'Plan debt months'!BC48,M48)</f>
        <v>0</v>
      </c>
      <c r="P48" s="20" t="n">
        <f aca="false">R47</f>
        <v>0</v>
      </c>
      <c r="Q48" s="20" t="n">
        <f aca="false">IF(P48&gt;1,'Plan debt months'!CE48,0)</f>
        <v>0</v>
      </c>
      <c r="R48" s="20" t="n">
        <f aca="false">IF(P48&gt;1,'Plan debt months'!CD48,P48)</f>
        <v>0</v>
      </c>
      <c r="S48" s="20" t="n">
        <f aca="false">K48+N48+Q48</f>
        <v>0</v>
      </c>
      <c r="T48" s="57" t="n">
        <f aca="false">'Plan holdings'!Y48</f>
        <v>0</v>
      </c>
      <c r="U48" s="57" t="n">
        <f aca="false">'Plan holdings'!BM47</f>
        <v>0</v>
      </c>
      <c r="V48" s="20" t="n">
        <f aca="false">IF(AND(Slot1_On=1,D48=Slot1_Age),1,0)</f>
        <v>0</v>
      </c>
      <c r="W48" s="20" t="n">
        <f aca="false">IF(AND(Slot1_On=1,Slot1_Age&gt;D48),1,0)</f>
        <v>0</v>
      </c>
      <c r="X48" s="20" t="n">
        <f aca="false">QM47</f>
        <v>0</v>
      </c>
      <c r="Y48" s="20" t="n">
        <f aca="false">V48*MIN(Slot1_Cost,X48)</f>
        <v>0</v>
      </c>
      <c r="Z48" s="20" t="n">
        <f aca="false">V48*Slot1_SpendLike*MIN(Slot1_Cost-Y48,T48)</f>
        <v>0</v>
      </c>
      <c r="AA48" s="20" t="n">
        <f aca="false">Y48+Z48</f>
        <v>0</v>
      </c>
      <c r="AB48" s="20" t="n">
        <f aca="false">T48-Z48+V48*IF(Slot1_SpendLike=1,X48-Y48,IF(Slot1_PotFree=1,X48,0))</f>
        <v>0</v>
      </c>
      <c r="AC48" s="20" t="n">
        <f aca="false">AF48+V48*Slot1_BufPot*X48</f>
        <v>1536.77323927207</v>
      </c>
      <c r="AD48" s="20" t="n">
        <f aca="false">IF(AND(V48=1,Slot1_IsMfree=1),IF(AA48&gt;=Slot1_Cost-1,0,MAX(0,L48-AA48)),L48)</f>
        <v>0</v>
      </c>
      <c r="AE48" s="20" t="n">
        <f aca="false">V48*(Slot1_Cost-AA48)</f>
        <v>0</v>
      </c>
      <c r="AF48" s="20" t="n">
        <f aca="false">QL47</f>
        <v>1536.77323927207</v>
      </c>
      <c r="AG48" s="20" t="n">
        <f aca="false">IF(AND(Slot2_On=1,D48=Slot2_Age),1,0)</f>
        <v>0</v>
      </c>
      <c r="AH48" s="20" t="n">
        <f aca="false">IF(AND(Slot2_On=1,Slot2_Age&gt;D48),1,0)</f>
        <v>0</v>
      </c>
      <c r="AI48" s="20" t="n">
        <f aca="false">QQ47</f>
        <v>0</v>
      </c>
      <c r="AJ48" s="20" t="n">
        <f aca="false">AG48*MIN(Slot2_Cost,AI48)</f>
        <v>0</v>
      </c>
      <c r="AK48" s="20" t="n">
        <f aca="false">AG48*Slot2_SpendLike*MIN(Slot2_Cost-AJ48,AB48)</f>
        <v>0</v>
      </c>
      <c r="AL48" s="20" t="n">
        <f aca="false">AJ48+AK48</f>
        <v>0</v>
      </c>
      <c r="AM48" s="20" t="n">
        <f aca="false">AB48-AK48+AG48*IF(Slot2_SpendLike=1,AI48-AJ48,IF(Slot2_PotFree=1,AI48,0))</f>
        <v>0</v>
      </c>
      <c r="AN48" s="20" t="n">
        <f aca="false">AC48+AG48*Slot2_BufPot*AI48</f>
        <v>1536.77323927207</v>
      </c>
      <c r="AO48" s="20" t="n">
        <f aca="false">IF(AND(AG48=1,Slot2_IsMfree=1),IF(AL48&gt;=Slot2_Cost-1,0,MAX(0,AD48-AL48)),AD48)</f>
        <v>0</v>
      </c>
      <c r="AP48" s="20" t="n">
        <f aca="false">AG48*(Slot2_Cost-AL48)</f>
        <v>0</v>
      </c>
      <c r="AQ48" s="20" t="n">
        <f aca="false">IF(AND(Slot3_On=1,D48=Slot3_Age),1,0)</f>
        <v>0</v>
      </c>
      <c r="AR48" s="20" t="n">
        <f aca="false">IF(AND(Slot3_On=1,Slot3_Age&gt;D48),1,0)</f>
        <v>0</v>
      </c>
      <c r="AS48" s="20" t="n">
        <f aca="false">QU47</f>
        <v>0</v>
      </c>
      <c r="AT48" s="20" t="n">
        <f aca="false">AQ48*MIN(Slot3_Cost,AS48)</f>
        <v>0</v>
      </c>
      <c r="AU48" s="20" t="n">
        <f aca="false">AQ48*Slot3_SpendLike*MIN(Slot3_Cost-AT48,AM48)</f>
        <v>0</v>
      </c>
      <c r="AV48" s="20" t="n">
        <f aca="false">AT48+AU48</f>
        <v>0</v>
      </c>
      <c r="AW48" s="20" t="n">
        <f aca="false">AM48-AU48+AQ48*IF(Slot3_SpendLike=1,AS48-AT48,IF(Slot3_PotFree=1,AS48,0))</f>
        <v>0</v>
      </c>
      <c r="AX48" s="20" t="n">
        <f aca="false">AN48+AQ48*Slot3_BufPot*AS48</f>
        <v>1536.77323927207</v>
      </c>
      <c r="AY48" s="20" t="n">
        <f aca="false">IF(AND(AQ48=1,Slot3_IsMfree=1),IF(AV48&gt;=Slot3_Cost-1,0,MAX(0,AO48-AV48)),AO48)</f>
        <v>0</v>
      </c>
      <c r="AZ48" s="20" t="n">
        <f aca="false">AQ48*(Slot3_Cost-AV48)</f>
        <v>0</v>
      </c>
      <c r="BA48" s="20" t="n">
        <f aca="false">IF(AND(Slot4_On=1,D48=Slot4_Age),1,0)</f>
        <v>0</v>
      </c>
      <c r="BB48" s="20" t="n">
        <f aca="false">IF(AND(Slot4_On=1,Slot4_Age&gt;D48),1,0)</f>
        <v>0</v>
      </c>
      <c r="BC48" s="20" t="n">
        <f aca="false">QY47</f>
        <v>0</v>
      </c>
      <c r="BD48" s="20" t="n">
        <f aca="false">BA48*MIN(Slot4_Cost,BC48)</f>
        <v>0</v>
      </c>
      <c r="BE48" s="20" t="n">
        <f aca="false">BA48*Slot4_SpendLike*MIN(Slot4_Cost-BD48,AW48)</f>
        <v>0</v>
      </c>
      <c r="BF48" s="20" t="n">
        <f aca="false">BD48+BE48</f>
        <v>0</v>
      </c>
      <c r="BG48" s="20" t="n">
        <f aca="false">AW48-BE48+BA48*IF(Slot4_SpendLike=1,BC48-BD48,IF(Slot4_PotFree=1,BC48,0))</f>
        <v>0</v>
      </c>
      <c r="BH48" s="20" t="n">
        <f aca="false">AX48+BA48*Slot4_BufPot*BC48</f>
        <v>1536.77323927207</v>
      </c>
      <c r="BI48" s="20" t="n">
        <f aca="false">IF(AND(BA48=1,Slot4_IsMfree=1),IF(BF48&gt;=Slot4_Cost-1,0,MAX(0,AY48-BF48)),AY48)</f>
        <v>0</v>
      </c>
      <c r="BJ48" s="20" t="n">
        <f aca="false">BA48*(Slot4_Cost-BF48)</f>
        <v>0</v>
      </c>
      <c r="BK48" s="20" t="n">
        <f aca="false">IF(AND(Slot5_On=1,D48=Slot5_Age),1,0)</f>
        <v>0</v>
      </c>
      <c r="BL48" s="20" t="n">
        <f aca="false">IF(AND(Slot5_On=1,Slot5_Age&gt;D48),1,0)</f>
        <v>0</v>
      </c>
      <c r="BM48" s="20" t="n">
        <f aca="false">RC47</f>
        <v>0</v>
      </c>
      <c r="BN48" s="20" t="n">
        <f aca="false">BK48*MIN(Slot5_Cost,BM48)</f>
        <v>0</v>
      </c>
      <c r="BO48" s="20" t="n">
        <f aca="false">BK48*Slot5_SpendLike*MIN(Slot5_Cost-BN48,BG48)</f>
        <v>0</v>
      </c>
      <c r="BP48" s="20" t="n">
        <f aca="false">BN48+BO48</f>
        <v>0</v>
      </c>
      <c r="BQ48" s="20" t="n">
        <f aca="false">BG48-BO48+BK48*IF(Slot5_SpendLike=1,BM48-BN48,IF(Slot5_PotFree=1,BM48,0))</f>
        <v>0</v>
      </c>
      <c r="BR48" s="20" t="n">
        <f aca="false">BH48+BK48*Slot5_BufPot*BM48</f>
        <v>1536.77323927207</v>
      </c>
      <c r="BS48" s="20" t="n">
        <f aca="false">IF(AND(BK48=1,Slot5_IsMfree=1),IF(BP48&gt;=Slot5_Cost-1,0,MAX(0,BI48-BP48)),BI48)</f>
        <v>0</v>
      </c>
      <c r="BT48" s="20" t="n">
        <f aca="false">BK48*(Slot5_Cost-BP48)</f>
        <v>0</v>
      </c>
      <c r="BU48" s="20" t="n">
        <f aca="false">IF(AND(Slot6_On=1,D48=Slot6_Age),1,0)</f>
        <v>0</v>
      </c>
      <c r="BV48" s="20" t="n">
        <f aca="false">IF(AND(Slot6_On=1,Slot6_Age&gt;D48),1,0)</f>
        <v>0</v>
      </c>
      <c r="BW48" s="20" t="n">
        <f aca="false">RG47</f>
        <v>0</v>
      </c>
      <c r="BX48" s="20" t="n">
        <f aca="false">BU48*MIN(Slot6_Cost,BW48)</f>
        <v>0</v>
      </c>
      <c r="BY48" s="20" t="n">
        <f aca="false">BU48*Slot6_SpendLike*MIN(Slot6_Cost-BX48,BQ48)</f>
        <v>0</v>
      </c>
      <c r="BZ48" s="20" t="n">
        <f aca="false">BX48+BY48</f>
        <v>0</v>
      </c>
      <c r="CA48" s="20" t="n">
        <f aca="false">BQ48-BY48+BU48*IF(Slot6_SpendLike=1,BW48-BX48,IF(Slot6_PotFree=1,BW48,0))</f>
        <v>0</v>
      </c>
      <c r="CB48" s="20" t="n">
        <f aca="false">BR48+BU48*Slot6_BufPot*BW48</f>
        <v>1536.77323927207</v>
      </c>
      <c r="CC48" s="20" t="n">
        <f aca="false">IF(AND(BU48=1,Slot6_IsMfree=1),IF(BZ48&gt;=Slot6_Cost-1,0,MAX(0,BS48-BZ48)),BS48)</f>
        <v>0</v>
      </c>
      <c r="CD48" s="20" t="n">
        <f aca="false">BU48*(Slot6_Cost-BZ48)</f>
        <v>0</v>
      </c>
      <c r="CE48" s="20" t="n">
        <f aca="false">IF(AND(Slot7_On=1,D48=Slot7_Age),1,0)</f>
        <v>0</v>
      </c>
      <c r="CF48" s="20" t="n">
        <f aca="false">IF(AND(Slot7_On=1,Slot7_Age&gt;D48),1,0)</f>
        <v>0</v>
      </c>
      <c r="CG48" s="20" t="n">
        <f aca="false">RK47</f>
        <v>0</v>
      </c>
      <c r="CH48" s="20" t="n">
        <f aca="false">CE48*MIN(Slot7_Cost,CG48)</f>
        <v>0</v>
      </c>
      <c r="CI48" s="20" t="n">
        <f aca="false">CE48*Slot7_SpendLike*MIN(Slot7_Cost-CH48,CA48)</f>
        <v>0</v>
      </c>
      <c r="CJ48" s="20" t="n">
        <f aca="false">CH48+CI48</f>
        <v>0</v>
      </c>
      <c r="CK48" s="20" t="n">
        <f aca="false">CA48-CI48+CE48*IF(Slot7_SpendLike=1,CG48-CH48,IF(Slot7_PotFree=1,CG48,0))</f>
        <v>0</v>
      </c>
      <c r="CL48" s="20" t="n">
        <f aca="false">CB48+CE48*Slot7_BufPot*CG48</f>
        <v>1536.77323927207</v>
      </c>
      <c r="CM48" s="20" t="n">
        <f aca="false">IF(AND(CE48=1,Slot7_IsMfree=1),IF(CJ48&gt;=Slot7_Cost-1,0,MAX(0,CC48-CJ48)),CC48)</f>
        <v>0</v>
      </c>
      <c r="CN48" s="20" t="n">
        <f aca="false">CE48*(Slot7_Cost-CJ48)</f>
        <v>0</v>
      </c>
      <c r="CO48" s="20" t="n">
        <f aca="false">IF(AND(Slot8_On=1,D48=Slot8_Age),1,0)</f>
        <v>0</v>
      </c>
      <c r="CP48" s="20" t="n">
        <f aca="false">IF(AND(Slot8_On=1,Slot8_Age&gt;D48),1,0)</f>
        <v>0</v>
      </c>
      <c r="CQ48" s="20" t="n">
        <f aca="false">RO47</f>
        <v>0</v>
      </c>
      <c r="CR48" s="20" t="n">
        <f aca="false">CO48*MIN(Slot8_Cost,CQ48)</f>
        <v>0</v>
      </c>
      <c r="CS48" s="20" t="n">
        <f aca="false">CO48*Slot8_SpendLike*MIN(Slot8_Cost-CR48,CK48)</f>
        <v>0</v>
      </c>
      <c r="CT48" s="20" t="n">
        <f aca="false">CR48+CS48</f>
        <v>0</v>
      </c>
      <c r="CU48" s="20" t="n">
        <f aca="false">CK48-CS48+CO48*IF(Slot8_SpendLike=1,CQ48-CR48,IF(Slot8_PotFree=1,CQ48,0))</f>
        <v>0</v>
      </c>
      <c r="CV48" s="20" t="n">
        <f aca="false">CL48+CO48*Slot8_BufPot*CQ48</f>
        <v>1536.77323927207</v>
      </c>
      <c r="CW48" s="20" t="n">
        <f aca="false">IF(AND(CO48=1,Slot8_IsMfree=1),IF(CT48&gt;=Slot8_Cost-1,0,MAX(0,CM48-CT48)),CM48)</f>
        <v>0</v>
      </c>
      <c r="CX48" s="20" t="n">
        <f aca="false">CO48*(Slot8_Cost-CT48)</f>
        <v>0</v>
      </c>
      <c r="CY48" s="20" t="n">
        <f aca="false">IF(AND(Slot9_On=1,D48=Slot9_Age),1,0)</f>
        <v>0</v>
      </c>
      <c r="CZ48" s="20" t="n">
        <f aca="false">IF(AND(Slot9_On=1,Slot9_Age&gt;D48),1,0)</f>
        <v>0</v>
      </c>
      <c r="DA48" s="20" t="n">
        <f aca="false">RS47</f>
        <v>0</v>
      </c>
      <c r="DB48" s="20" t="n">
        <f aca="false">CY48*MIN(Slot9_Cost,DA48)</f>
        <v>0</v>
      </c>
      <c r="DC48" s="20" t="n">
        <f aca="false">CY48*Slot9_SpendLike*MIN(Slot9_Cost-DB48,CU48)</f>
        <v>0</v>
      </c>
      <c r="DD48" s="20" t="n">
        <f aca="false">DB48+DC48</f>
        <v>0</v>
      </c>
      <c r="DE48" s="20" t="n">
        <f aca="false">CU48-DC48+CY48*IF(Slot9_SpendLike=1,DA48-DB48,IF(Slot9_PotFree=1,DA48,0))</f>
        <v>0</v>
      </c>
      <c r="DF48" s="20" t="n">
        <f aca="false">CV48+CY48*Slot9_BufPot*DA48</f>
        <v>1536.77323927207</v>
      </c>
      <c r="DG48" s="20" t="n">
        <f aca="false">IF(AND(CY48=1,Slot9_IsMfree=1),IF(DD48&gt;=Slot9_Cost-1,0,MAX(0,CW48-DD48)),CW48)</f>
        <v>0</v>
      </c>
      <c r="DH48" s="20" t="n">
        <f aca="false">CY48*(Slot9_Cost-DD48)</f>
        <v>0</v>
      </c>
      <c r="DI48" s="20" t="n">
        <f aca="false">IF(AND(Slot10_On=1,D48=Slot10_Age),1,0)</f>
        <v>0</v>
      </c>
      <c r="DJ48" s="20" t="n">
        <f aca="false">IF(AND(Slot10_On=1,Slot10_Age&gt;D48),1,0)</f>
        <v>0</v>
      </c>
      <c r="DK48" s="20" t="n">
        <f aca="false">RW47</f>
        <v>0</v>
      </c>
      <c r="DL48" s="20" t="n">
        <f aca="false">DI48*MIN(Slot10_Cost,DK48)</f>
        <v>0</v>
      </c>
      <c r="DM48" s="20" t="n">
        <f aca="false">DI48*Slot10_SpendLike*MIN(Slot10_Cost-DL48,DE48)</f>
        <v>0</v>
      </c>
      <c r="DN48" s="20" t="n">
        <f aca="false">DL48+DM48</f>
        <v>0</v>
      </c>
      <c r="DO48" s="20" t="n">
        <f aca="false">DE48-DM48+DI48*IF(Slot10_SpendLike=1,DK48-DL48,IF(Slot10_PotFree=1,DK48,0))</f>
        <v>0</v>
      </c>
      <c r="DP48" s="20" t="n">
        <f aca="false">DF48+DI48*Slot10_BufPot*DK48</f>
        <v>1536.77323927207</v>
      </c>
      <c r="DQ48" s="20" t="n">
        <f aca="false">IF(AND(DI48=1,Slot10_IsMfree=1),IF(DN48&gt;=Slot10_Cost-1,0,MAX(0,DG48-DN48)),DG48)</f>
        <v>0</v>
      </c>
      <c r="DR48" s="20" t="n">
        <f aca="false">DI48*(Slot10_Cost-DN48)</f>
        <v>0</v>
      </c>
      <c r="DS48" s="20" t="n">
        <f aca="false">IF(AND(Slot11_On=1,D48=Slot11_Age),1,0)</f>
        <v>0</v>
      </c>
      <c r="DT48" s="20" t="n">
        <f aca="false">IF(AND(Slot11_On=1,Slot11_Age&gt;D48),1,0)</f>
        <v>0</v>
      </c>
      <c r="DU48" s="20" t="n">
        <f aca="false">SA47</f>
        <v>0</v>
      </c>
      <c r="DV48" s="20" t="n">
        <f aca="false">DS48*MIN(Slot11_Cost,DU48)</f>
        <v>0</v>
      </c>
      <c r="DW48" s="20" t="n">
        <f aca="false">DS48*Slot11_SpendLike*MIN(Slot11_Cost-DV48,DO48)</f>
        <v>0</v>
      </c>
      <c r="DX48" s="20" t="n">
        <f aca="false">DV48+DW48</f>
        <v>0</v>
      </c>
      <c r="DY48" s="20" t="n">
        <f aca="false">DO48-DW48+DS48*IF(Slot11_SpendLike=1,DU48-DV48,IF(Slot11_PotFree=1,DU48,0))</f>
        <v>0</v>
      </c>
      <c r="DZ48" s="20" t="n">
        <f aca="false">DP48+DS48*Slot11_BufPot*DU48</f>
        <v>1536.77323927207</v>
      </c>
      <c r="EA48" s="20" t="n">
        <f aca="false">IF(AND(DS48=1,Slot11_IsMfree=1),IF(DX48&gt;=Slot11_Cost-1,0,MAX(0,DQ48-DX48)),DQ48)</f>
        <v>0</v>
      </c>
      <c r="EB48" s="20" t="n">
        <f aca="false">DS48*(Slot11_Cost-DX48)</f>
        <v>0</v>
      </c>
      <c r="EC48" s="20" t="n">
        <f aca="false">IF(AND(Slot12_On=1,D48=Slot12_Age),1,0)</f>
        <v>0</v>
      </c>
      <c r="ED48" s="20" t="n">
        <f aca="false">IF(AND(Slot12_On=1,Slot12_Age&gt;D48),1,0)</f>
        <v>0</v>
      </c>
      <c r="EE48" s="20" t="n">
        <f aca="false">SE47</f>
        <v>0</v>
      </c>
      <c r="EF48" s="20" t="n">
        <f aca="false">EC48*MIN(Slot12_Cost,EE48)</f>
        <v>0</v>
      </c>
      <c r="EG48" s="20" t="n">
        <f aca="false">EC48*Slot12_SpendLike*MIN(Slot12_Cost-EF48,DY48)</f>
        <v>0</v>
      </c>
      <c r="EH48" s="20" t="n">
        <f aca="false">EF48+EG48</f>
        <v>0</v>
      </c>
      <c r="EI48" s="20" t="n">
        <f aca="false">DY48-EG48+EC48*IF(Slot12_SpendLike=1,EE48-EF48,IF(Slot12_PotFree=1,EE48,0))</f>
        <v>0</v>
      </c>
      <c r="EJ48" s="20" t="n">
        <f aca="false">DZ48+EC48*Slot12_BufPot*EE48</f>
        <v>1536.77323927207</v>
      </c>
      <c r="EK48" s="20" t="n">
        <f aca="false">IF(AND(EC48=1,Slot12_IsMfree=1),IF(EH48&gt;=Slot12_Cost-1,0,MAX(0,EA48-EH48)),EA48)</f>
        <v>0</v>
      </c>
      <c r="EL48" s="20" t="n">
        <f aca="false">EC48*(Slot12_Cost-EH48)</f>
        <v>0</v>
      </c>
      <c r="EM48" s="20" t="n">
        <f aca="false">IF(AND(Slot13_On=1,D48=Slot13_Age),1,0)</f>
        <v>0</v>
      </c>
      <c r="EN48" s="20" t="n">
        <f aca="false">IF(AND(Slot13_On=1,Slot13_Age&gt;D48),1,0)</f>
        <v>0</v>
      </c>
      <c r="EO48" s="20" t="n">
        <f aca="false">SI47</f>
        <v>0</v>
      </c>
      <c r="EP48" s="20" t="n">
        <f aca="false">EM48*MIN(Slot13_Cost,EO48)</f>
        <v>0</v>
      </c>
      <c r="EQ48" s="20" t="n">
        <f aca="false">EM48*Slot13_SpendLike*MIN(Slot13_Cost-EP48,EI48)</f>
        <v>0</v>
      </c>
      <c r="ER48" s="20" t="n">
        <f aca="false">EP48+EQ48</f>
        <v>0</v>
      </c>
      <c r="ES48" s="20" t="n">
        <f aca="false">EI48-EQ48+EM48*IF(Slot13_SpendLike=1,EO48-EP48,IF(Slot13_PotFree=1,EO48,0))</f>
        <v>0</v>
      </c>
      <c r="ET48" s="20" t="n">
        <f aca="false">EJ48+EM48*Slot13_BufPot*EO48</f>
        <v>1536.77323927207</v>
      </c>
      <c r="EU48" s="20" t="n">
        <f aca="false">IF(AND(EM48=1,Slot13_IsMfree=1),IF(ER48&gt;=Slot13_Cost-1,0,MAX(0,EK48-ER48)),EK48)</f>
        <v>0</v>
      </c>
      <c r="EV48" s="20" t="n">
        <f aca="false">EM48*(Slot13_Cost-ER48)</f>
        <v>0</v>
      </c>
      <c r="EW48" s="20" t="n">
        <f aca="false">IF(AND(Slot14_On=1,D48=Slot14_Age),1,0)</f>
        <v>0</v>
      </c>
      <c r="EX48" s="20" t="n">
        <f aca="false">IF(AND(Slot14_On=1,Slot14_Age&gt;D48),1,0)</f>
        <v>0</v>
      </c>
      <c r="EY48" s="20" t="n">
        <f aca="false">SM47</f>
        <v>0</v>
      </c>
      <c r="EZ48" s="20" t="n">
        <f aca="false">EW48*MIN(Slot14_Cost,EY48)</f>
        <v>0</v>
      </c>
      <c r="FA48" s="20" t="n">
        <f aca="false">EW48*Slot14_SpendLike*MIN(Slot14_Cost-EZ48,ES48)</f>
        <v>0</v>
      </c>
      <c r="FB48" s="20" t="n">
        <f aca="false">EZ48+FA48</f>
        <v>0</v>
      </c>
      <c r="FC48" s="20" t="n">
        <f aca="false">ES48-FA48+EW48*IF(Slot14_SpendLike=1,EY48-EZ48,IF(Slot14_PotFree=1,EY48,0))</f>
        <v>0</v>
      </c>
      <c r="FD48" s="20" t="n">
        <f aca="false">ET48+EW48*Slot14_BufPot*EY48</f>
        <v>1536.77323927207</v>
      </c>
      <c r="FE48" s="20" t="n">
        <f aca="false">IF(AND(EW48=1,Slot14_IsMfree=1),IF(FB48&gt;=Slot14_Cost-1,0,MAX(0,EU48-FB48)),EU48)</f>
        <v>0</v>
      </c>
      <c r="FF48" s="20" t="n">
        <f aca="false">EW48*(Slot14_Cost-FB48)</f>
        <v>0</v>
      </c>
      <c r="FG48" s="20" t="n">
        <f aca="false">IF(AND(Slot15_On=1,D48=Slot15_Age),1,0)</f>
        <v>0</v>
      </c>
      <c r="FH48" s="20" t="n">
        <f aca="false">IF(AND(Slot15_On=1,Slot15_Age&gt;D48),1,0)</f>
        <v>0</v>
      </c>
      <c r="FI48" s="20" t="n">
        <f aca="false">SQ47</f>
        <v>0</v>
      </c>
      <c r="FJ48" s="20" t="n">
        <f aca="false">FG48*MIN(Slot15_Cost,FI48)</f>
        <v>0</v>
      </c>
      <c r="FK48" s="20" t="n">
        <f aca="false">FG48*Slot15_SpendLike*MIN(Slot15_Cost-FJ48,FC48)</f>
        <v>0</v>
      </c>
      <c r="FL48" s="20" t="n">
        <f aca="false">FJ48+FK48</f>
        <v>0</v>
      </c>
      <c r="FM48" s="20" t="n">
        <f aca="false">FC48-FK48+FG48*IF(Slot15_SpendLike=1,FI48-FJ48,IF(Slot15_PotFree=1,FI48,0))</f>
        <v>0</v>
      </c>
      <c r="FN48" s="20" t="n">
        <f aca="false">FD48+FG48*Slot15_BufPot*FI48</f>
        <v>1536.77323927207</v>
      </c>
      <c r="FO48" s="20" t="n">
        <f aca="false">IF(AND(FG48=1,Slot15_IsMfree=1),IF(FL48&gt;=Slot15_Cost-1,0,MAX(0,FE48-FL48)),FE48)</f>
        <v>0</v>
      </c>
      <c r="FP48" s="20" t="n">
        <f aca="false">FG48*(Slot15_Cost-FL48)</f>
        <v>0</v>
      </c>
      <c r="FQ48" s="20" t="n">
        <f aca="false">IF(AND(Slot16_On=1,D48=Slot16_Age),1,0)</f>
        <v>0</v>
      </c>
      <c r="FR48" s="20" t="n">
        <f aca="false">IF(AND(Slot16_On=1,Slot16_Age&gt;D48),1,0)</f>
        <v>0</v>
      </c>
      <c r="FS48" s="20" t="n">
        <f aca="false">SU47</f>
        <v>0</v>
      </c>
      <c r="FT48" s="20" t="n">
        <f aca="false">FQ48*MIN(Slot16_Cost,FS48)</f>
        <v>0</v>
      </c>
      <c r="FU48" s="20" t="n">
        <f aca="false">FQ48*Slot16_SpendLike*MIN(Slot16_Cost-FT48,FM48)</f>
        <v>0</v>
      </c>
      <c r="FV48" s="20" t="n">
        <f aca="false">FT48+FU48</f>
        <v>0</v>
      </c>
      <c r="FW48" s="20" t="n">
        <f aca="false">FM48-FU48+FQ48*IF(Slot16_SpendLike=1,FS48-FT48,IF(Slot16_PotFree=1,FS48,0))</f>
        <v>0</v>
      </c>
      <c r="FX48" s="20" t="n">
        <f aca="false">FN48+FQ48*Slot16_BufPot*FS48</f>
        <v>1536.77323927207</v>
      </c>
      <c r="FY48" s="20" t="n">
        <f aca="false">IF(AND(FQ48=1,Slot16_IsMfree=1),IF(FV48&gt;=Slot16_Cost-1,0,MAX(0,FO48-FV48)),FO48)</f>
        <v>0</v>
      </c>
      <c r="FZ48" s="20" t="n">
        <f aca="false">FQ48*(Slot16_Cost-FV48)</f>
        <v>0</v>
      </c>
      <c r="GA48" s="20" t="n">
        <f aca="false">IF(AND(Slot17_On=1,D48=Slot17_Age),1,0)</f>
        <v>0</v>
      </c>
      <c r="GB48" s="20" t="n">
        <f aca="false">IF(AND(Slot17_On=1,Slot17_Age&gt;D48),1,0)</f>
        <v>0</v>
      </c>
      <c r="GC48" s="20" t="n">
        <f aca="false">SY47</f>
        <v>0</v>
      </c>
      <c r="GD48" s="20" t="n">
        <f aca="false">GA48*MIN(Slot17_Cost,GC48)</f>
        <v>0</v>
      </c>
      <c r="GE48" s="20" t="n">
        <f aca="false">GA48*Slot17_SpendLike*MIN(Slot17_Cost-GD48,FW48)</f>
        <v>0</v>
      </c>
      <c r="GF48" s="20" t="n">
        <f aca="false">GD48+GE48</f>
        <v>0</v>
      </c>
      <c r="GG48" s="20" t="n">
        <f aca="false">FW48-GE48+GA48*IF(Slot17_SpendLike=1,GC48-GD48,IF(Slot17_PotFree=1,GC48,0))</f>
        <v>0</v>
      </c>
      <c r="GH48" s="20" t="n">
        <f aca="false">FX48+GA48*Slot17_BufPot*GC48</f>
        <v>1536.77323927207</v>
      </c>
      <c r="GI48" s="20" t="n">
        <f aca="false">IF(AND(GA48=1,Slot17_IsMfree=1),IF(GF48&gt;=Slot17_Cost-1,0,MAX(0,FY48-GF48)),FY48)</f>
        <v>0</v>
      </c>
      <c r="GJ48" s="20" t="n">
        <f aca="false">GA48*(Slot17_Cost-GF48)</f>
        <v>0</v>
      </c>
      <c r="GK48" s="20" t="n">
        <f aca="false">IF(AND(Slot18_On=1,D48=Slot18_Age),1,0)</f>
        <v>0</v>
      </c>
      <c r="GL48" s="20" t="n">
        <f aca="false">IF(AND(Slot18_On=1,Slot18_Age&gt;D48),1,0)</f>
        <v>0</v>
      </c>
      <c r="GM48" s="20" t="n">
        <f aca="false">TC47</f>
        <v>0</v>
      </c>
      <c r="GN48" s="20" t="n">
        <f aca="false">GK48*MIN(Slot18_Cost,GM48)</f>
        <v>0</v>
      </c>
      <c r="GO48" s="20" t="n">
        <f aca="false">GK48*Slot18_SpendLike*MIN(Slot18_Cost-GN48,GG48)</f>
        <v>0</v>
      </c>
      <c r="GP48" s="20" t="n">
        <f aca="false">GN48+GO48</f>
        <v>0</v>
      </c>
      <c r="GQ48" s="20" t="n">
        <f aca="false">GG48-GO48+GK48*IF(Slot18_SpendLike=1,GM48-GN48,IF(Slot18_PotFree=1,GM48,0))</f>
        <v>0</v>
      </c>
      <c r="GR48" s="20" t="n">
        <f aca="false">GH48+GK48*Slot18_BufPot*GM48</f>
        <v>1536.77323927207</v>
      </c>
      <c r="GS48" s="20" t="n">
        <f aca="false">IF(AND(GK48=1,Slot18_IsMfree=1),IF(GP48&gt;=Slot18_Cost-1,0,MAX(0,GI48-GP48)),GI48)</f>
        <v>0</v>
      </c>
      <c r="GT48" s="20" t="n">
        <f aca="false">GK48*(Slot18_Cost-GP48)</f>
        <v>0</v>
      </c>
      <c r="GU48" s="20" t="n">
        <f aca="false">IF(AND(Slot19_On=1,D48=Slot19_Age),1,0)</f>
        <v>0</v>
      </c>
      <c r="GV48" s="20" t="n">
        <f aca="false">IF(AND(Slot19_On=1,Slot19_Age&gt;D48),1,0)</f>
        <v>0</v>
      </c>
      <c r="GW48" s="20" t="n">
        <f aca="false">TG47</f>
        <v>0</v>
      </c>
      <c r="GX48" s="20" t="n">
        <f aca="false">GU48*MIN(Slot19_Cost,GW48)</f>
        <v>0</v>
      </c>
      <c r="GY48" s="20" t="n">
        <f aca="false">GU48*Slot19_SpendLike*MIN(Slot19_Cost-GX48,GQ48)</f>
        <v>0</v>
      </c>
      <c r="GZ48" s="20" t="n">
        <f aca="false">GX48+GY48</f>
        <v>0</v>
      </c>
      <c r="HA48" s="20" t="n">
        <f aca="false">GQ48-GY48+GU48*IF(Slot19_SpendLike=1,GW48-GX48,IF(Slot19_PotFree=1,GW48,0))</f>
        <v>0</v>
      </c>
      <c r="HB48" s="20" t="n">
        <f aca="false">GR48+GU48*Slot19_BufPot*GW48</f>
        <v>1536.77323927207</v>
      </c>
      <c r="HC48" s="20" t="n">
        <f aca="false">IF(AND(GU48=1,Slot19_IsMfree=1),IF(GZ48&gt;=Slot19_Cost-1,0,MAX(0,GS48-GZ48)),GS48)</f>
        <v>0</v>
      </c>
      <c r="HD48" s="20" t="n">
        <f aca="false">GU48*(Slot19_Cost-GZ48)</f>
        <v>0</v>
      </c>
      <c r="HE48" s="20" t="n">
        <f aca="false">IF(AND(Slot20_On=1,D48=Slot20_Age),1,0)</f>
        <v>0</v>
      </c>
      <c r="HF48" s="20" t="n">
        <f aca="false">IF(AND(Slot20_On=1,Slot20_Age&gt;D48),1,0)</f>
        <v>0</v>
      </c>
      <c r="HG48" s="20" t="n">
        <f aca="false">TK47</f>
        <v>0</v>
      </c>
      <c r="HH48" s="20" t="n">
        <f aca="false">HE48*MIN(Slot20_Cost,HG48)</f>
        <v>0</v>
      </c>
      <c r="HI48" s="20" t="n">
        <f aca="false">HE48*Slot20_SpendLike*MIN(Slot20_Cost-HH48,HA48)</f>
        <v>0</v>
      </c>
      <c r="HJ48" s="20" t="n">
        <f aca="false">HH48+HI48</f>
        <v>0</v>
      </c>
      <c r="HK48" s="20" t="n">
        <f aca="false">HA48-HI48+HE48*IF(Slot20_SpendLike=1,HG48-HH48,IF(Slot20_PotFree=1,HG48,0))</f>
        <v>0</v>
      </c>
      <c r="HL48" s="20" t="n">
        <f aca="false">HB48+HE48*Slot20_BufPot*HG48</f>
        <v>1536.77323927207</v>
      </c>
      <c r="HM48" s="20" t="n">
        <f aca="false">IF(AND(HE48=1,Slot20_IsMfree=1),IF(HJ48&gt;=Slot20_Cost-1,0,MAX(0,HC48-HJ48)),HC48)</f>
        <v>0</v>
      </c>
      <c r="HN48" s="20" t="n">
        <f aca="false">HE48*(Slot20_Cost-HJ48)</f>
        <v>0</v>
      </c>
      <c r="HO48" s="20" t="n">
        <f aca="false">V48*Slot1_SpendLike*AA48+AG48*Slot2_SpendLike*AL48+AQ48*Slot3_SpendLike*AV48+BA48*Slot4_SpendLike*BF48+BK48*Slot5_SpendLike*BP48+BU48*Slot6_SpendLike*BZ48+CE48*Slot7_SpendLike*CJ48+CO48*Slot8_SpendLike*CT48+CY48*Slot9_SpendLike*DD48+DI48*Slot10_SpendLike*DN48+DS48*Slot11_SpendLike*DX48+EC48*Slot12_SpendLike*EH48+EM48*Slot13_SpendLike*ER48+EW48*Slot14_SpendLike*FB48+FG48*Slot15_SpendLike*FL48+FQ48*Slot16_SpendLike*FV48+GA48*Slot17_SpendLike*GF48+GK48*Slot18_SpendLike*GP48+GU48*Slot19_SpendLike*GZ48+HE48*Slot20_SpendLike*HJ48</f>
        <v>0</v>
      </c>
      <c r="HP48" s="20" t="n">
        <f aca="false">AE48+AP48+AZ48+BJ48+BT48+CD48+CN48+CX48+DH48+DR48+EB48+EL48+EV48+FF48+FP48+FZ48+GJ48+GT48+HD48+HN48</f>
        <v>0</v>
      </c>
      <c r="HQ48" s="20" t="n">
        <f aca="false">V48*Slot1_Cost+AG48*Slot2_Cost+AQ48*Slot3_Cost+BA48*Slot4_Cost+BK48*Slot5_Cost+BU48*Slot6_Cost+CE48*Slot7_Cost+CO48*Slot8_Cost+CY48*Slot9_Cost+DI48*Slot10_Cost+DS48*Slot11_Cost+EC48*Slot12_Cost+EM48*Slot13_Cost+EW48*Slot14_Cost+FG48*Slot15_Cost+FQ48*Slot16_Cost+GA48*Slot17_Cost+GK48*Slot18_Cost+GU48*Slot19_Cost+HE48*Slot20_Cost</f>
        <v>0</v>
      </c>
      <c r="HR48" s="20" t="n">
        <f aca="false">HM48</f>
        <v>0</v>
      </c>
      <c r="HS48" s="20" t="n">
        <f aca="false">H48-I48-S48</f>
        <v>-25304.1216446723</v>
      </c>
      <c r="HT48" s="20" t="n">
        <f aca="false">IF(B48=0,IF(AND(Has_q6=1,In_q6=4),PR_ShareVaries*(MAX(0,HS48)/12),MIN(IF(Has_q6=1,CHOOSE(In_q6+1,PR_SaveB1,PR_SaveB2,PR_SaveB3,PR_SaveB4,0),AS_NoAnswer),AS_SaveShare*(MAX(0,HS48)/12))),HT47)</f>
        <v>67.3316893520437</v>
      </c>
      <c r="HU48" s="20" t="n">
        <f aca="false">IF(HS48&gt;=0,1,0)</f>
        <v>0</v>
      </c>
      <c r="HV48" s="20" t="n">
        <f aca="false">MAX(0,HS48/12/F48)</f>
        <v>0</v>
      </c>
      <c r="HW48" s="20" t="n">
        <f aca="false">IF(AND(Has_q6=1,In_q6=4),PR_ShareVaries*(HV48),MIN(IF(Has_q6=1,CHOOSE(In_q6+1,PR_SaveB1,PR_SaveB2,PR_SaveB3,PR_SaveB4,0),AS_NoAnswer),AS_SaveShare*(HV48)))</f>
        <v>0</v>
      </c>
      <c r="HX48" s="20" t="n">
        <f aca="false">IF(Has_saveM=1,IF(In_saveUp="Yes",1,IF(In_saveUp="No",0,IF(In_saveM&gt;=HT48-0.5,1,0))),0)</f>
        <v>0</v>
      </c>
      <c r="HY48" s="20" t="n">
        <f aca="false">IF(Has_saveM=1,MIN(HV48,IF(HX48=1,MAX(In_saveM,HW48),MIN(In_saveM,HW48))),HW48)</f>
        <v>0</v>
      </c>
      <c r="HZ48" s="20" t="n">
        <f aca="false">IF(G48=1,HY48*12*F48,0)</f>
        <v>0</v>
      </c>
      <c r="IA48" s="20" t="n">
        <f aca="false">MAX(0,HZ48+IF(AND(WI_Retire=0,WI_M&lt;0,G48=1),WI_M*12*F48,0))</f>
        <v>0</v>
      </c>
      <c r="IB48" s="20" t="n">
        <f aca="false">Slot1_IsWG*W48+Slot2_IsWG*AH48+Slot3_IsWG*AR48+Slot4_IsWG*BB48+Slot5_IsWG*BL48+Slot6_IsWG*BV48+Slot7_IsWG*CF48+Slot8_IsWG*CP48+Slot9_IsWG*CZ48+Slot10_IsWG*DJ48+Slot11_IsWG*DT48+Slot12_IsWG*ED48+Slot13_IsWG*EN48+Slot14_IsWG*EX48+Slot15_IsWG*FH48+Slot16_IsWG*FR48+Slot17_IsWG*GB48+Slot18_IsWG*GL48+Slot19_IsWG*GV48+Slot20_IsWG*HF48</f>
        <v>0</v>
      </c>
      <c r="IC48" s="20" t="n">
        <f aca="false">IF(AND(WI_Retire=0,WI_M&gt;0,G48=1,IB48&gt;=1),WI_M*12*F48,0)</f>
        <v>0</v>
      </c>
      <c r="ID48" s="20" t="n">
        <f aca="false">IF(HU48=1,MIN(IA48,HS48),0)</f>
        <v>0</v>
      </c>
      <c r="IE48" s="20" t="n">
        <f aca="false">IF(HU48=1,MIN(IC48,HS48-ID48),0)</f>
        <v>0</v>
      </c>
      <c r="IF48" s="20" t="n">
        <f aca="false">IF(W48=1,IF(ABS((1+AS_Wage)/(1+Slot1_Rate)-1)&lt;0.000000000001,(Slot1_Age-D48)*(1+Slot1_Rate)^(Slot1_Age-D48),(1+Slot1_Rate)^(Slot1_Age-D48)*(1-((1+AS_Wage)/(1+Slot1_Rate))^(Slot1_Age-D48))/(1-(1+AS_Wage)/(1+Slot1_Rate))),1)</f>
        <v>1</v>
      </c>
      <c r="IG48" s="20" t="n">
        <f aca="false">IF(AND(HU48=1,IE48&gt;0,Slot1_IsWG=1,W48=1),MAX(0,(Slot1_Cost-X48*(1+Slot1_Rate)^(Slot1_Age-D48))/IF48),0)</f>
        <v>0</v>
      </c>
      <c r="IH48" s="20" t="n">
        <f aca="false">IF(AND(HU48=1,IE48&gt;0,Slot1_IsWG=1,W48=1),MIN(IE48,IG48),0)</f>
        <v>0</v>
      </c>
      <c r="II48" s="20" t="n">
        <f aca="false">X48+IH48</f>
        <v>0</v>
      </c>
      <c r="IJ48" s="20" t="n">
        <f aca="false">IF(W48=1,MAX(0,(Slot1_Cost-II48*(1+Slot1_Rate)^(Slot1_Age-D48))/IF48),0)</f>
        <v>0</v>
      </c>
      <c r="IK48" s="20" t="n">
        <f aca="false">IF(W48=1,MAX(0,(Slot1_Cost-X48*(1+Slot1_Rate)^(Slot1_Age-D48))/IF48),0)</f>
        <v>0</v>
      </c>
      <c r="IL48" s="20" t="n">
        <f aca="false">IF(AND(HU48=1,W48=1),MIN(ID48,IJ48),0)</f>
        <v>0</v>
      </c>
      <c r="IM48" s="20" t="n">
        <f aca="false">ID48-IL48</f>
        <v>0</v>
      </c>
      <c r="IN48" s="20" t="n">
        <f aca="false">IF(AH48=1,IF(ABS((1+AS_Wage)/(1+Slot2_Rate)-1)&lt;0.000000000001,(Slot2_Age-D48)*(1+Slot2_Rate)^(Slot2_Age-D48),(1+Slot2_Rate)^(Slot2_Age-D48)*(1-((1+AS_Wage)/(1+Slot2_Rate))^(Slot2_Age-D48))/(1-(1+AS_Wage)/(1+Slot2_Rate))),1)</f>
        <v>1</v>
      </c>
      <c r="IO48" s="20" t="n">
        <f aca="false">IF(AND(HU48=1,IE48&gt;0,Slot2_IsWG=1,AH48=1),MAX(0,(Slot2_Cost-AI48*(1+Slot2_Rate)^(Slot2_Age-D48))/IN48),0)</f>
        <v>0</v>
      </c>
      <c r="IP48" s="20" t="n">
        <f aca="false">IF(AND(HU48=1,IE48&gt;0,Slot2_IsWG=1,AH48=1),MIN(IE48,IO48),0)</f>
        <v>0</v>
      </c>
      <c r="IQ48" s="20" t="n">
        <f aca="false">AI48+IP48</f>
        <v>0</v>
      </c>
      <c r="IR48" s="20" t="n">
        <f aca="false">IF(AH48=1,MAX(0,(Slot2_Cost-IQ48*(1+Slot2_Rate)^(Slot2_Age-D48))/IN48),0)</f>
        <v>0</v>
      </c>
      <c r="IS48" s="20" t="n">
        <f aca="false">IF(AH48=1,MAX(0,(Slot2_Cost-AI48*(1+Slot2_Rate)^(Slot2_Age-D48))/IN48),0)</f>
        <v>0</v>
      </c>
      <c r="IT48" s="20" t="n">
        <f aca="false">IF(AND(HU48=1,AH48=1),MIN(IM48,IR48),0)</f>
        <v>0</v>
      </c>
      <c r="IU48" s="20" t="n">
        <f aca="false">IM48-IT48</f>
        <v>0</v>
      </c>
      <c r="IV48" s="20" t="n">
        <f aca="false">IF(AR48=1,IF(ABS((1+AS_Wage)/(1+Slot3_Rate)-1)&lt;0.000000000001,(Slot3_Age-D48)*(1+Slot3_Rate)^(Slot3_Age-D48),(1+Slot3_Rate)^(Slot3_Age-D48)*(1-((1+AS_Wage)/(1+Slot3_Rate))^(Slot3_Age-D48))/(1-(1+AS_Wage)/(1+Slot3_Rate))),1)</f>
        <v>1</v>
      </c>
      <c r="IW48" s="20" t="n">
        <f aca="false">IF(AND(HU48=1,IE48&gt;0,Slot3_IsWG=1,AR48=1),MAX(0,(Slot3_Cost-AS48*(1+Slot3_Rate)^(Slot3_Age-D48))/IV48),0)</f>
        <v>0</v>
      </c>
      <c r="IX48" s="20" t="n">
        <f aca="false">IF(AND(HU48=1,IE48&gt;0,Slot3_IsWG=1,AR48=1),MIN(IE48,IW48),0)</f>
        <v>0</v>
      </c>
      <c r="IY48" s="20" t="n">
        <f aca="false">AS48+IX48</f>
        <v>0</v>
      </c>
      <c r="IZ48" s="20" t="n">
        <f aca="false">IF(AR48=1,MAX(0,(Slot3_Cost-IY48*(1+Slot3_Rate)^(Slot3_Age-D48))/IV48),0)</f>
        <v>0</v>
      </c>
      <c r="JA48" s="20" t="n">
        <f aca="false">IF(AR48=1,MAX(0,(Slot3_Cost-AS48*(1+Slot3_Rate)^(Slot3_Age-D48))/IV48),0)</f>
        <v>0</v>
      </c>
      <c r="JB48" s="20" t="n">
        <f aca="false">IF(AND(HU48=1,AR48=1),MIN(IU48,IZ48),0)</f>
        <v>0</v>
      </c>
      <c r="JC48" s="20" t="n">
        <f aca="false">IU48-JB48</f>
        <v>0</v>
      </c>
      <c r="JD48" s="20" t="n">
        <f aca="false">IF(BB48=1,IF(ABS((1+AS_Wage)/(1+Slot4_Rate)-1)&lt;0.000000000001,(Slot4_Age-D48)*(1+Slot4_Rate)^(Slot4_Age-D48),(1+Slot4_Rate)^(Slot4_Age-D48)*(1-((1+AS_Wage)/(1+Slot4_Rate))^(Slot4_Age-D48))/(1-(1+AS_Wage)/(1+Slot4_Rate))),1)</f>
        <v>1</v>
      </c>
      <c r="JE48" s="20" t="n">
        <f aca="false">IF(AND(HU48=1,IE48&gt;0,Slot4_IsWG=1,BB48=1),MAX(0,(Slot4_Cost-BC48*(1+Slot4_Rate)^(Slot4_Age-D48))/JD48),0)</f>
        <v>0</v>
      </c>
      <c r="JF48" s="20" t="n">
        <f aca="false">IF(AND(HU48=1,IE48&gt;0,Slot4_IsWG=1,BB48=1),MIN(IE48,JE48),0)</f>
        <v>0</v>
      </c>
      <c r="JG48" s="20" t="n">
        <f aca="false">BC48+JF48</f>
        <v>0</v>
      </c>
      <c r="JH48" s="20" t="n">
        <f aca="false">IF(BB48=1,MAX(0,(Slot4_Cost-JG48*(1+Slot4_Rate)^(Slot4_Age-D48))/JD48),0)</f>
        <v>0</v>
      </c>
      <c r="JI48" s="20" t="n">
        <f aca="false">IF(BB48=1,MAX(0,(Slot4_Cost-BC48*(1+Slot4_Rate)^(Slot4_Age-D48))/JD48),0)</f>
        <v>0</v>
      </c>
      <c r="JJ48" s="20" t="n">
        <f aca="false">IF(AND(HU48=1,BB48=1),MIN(JC48,JH48),0)</f>
        <v>0</v>
      </c>
      <c r="JK48" s="20" t="n">
        <f aca="false">JC48-JJ48</f>
        <v>0</v>
      </c>
      <c r="JL48" s="20" t="n">
        <f aca="false">IF(BL48=1,IF(ABS((1+AS_Wage)/(1+Slot5_Rate)-1)&lt;0.000000000001,(Slot5_Age-D48)*(1+Slot5_Rate)^(Slot5_Age-D48),(1+Slot5_Rate)^(Slot5_Age-D48)*(1-((1+AS_Wage)/(1+Slot5_Rate))^(Slot5_Age-D48))/(1-(1+AS_Wage)/(1+Slot5_Rate))),1)</f>
        <v>1</v>
      </c>
      <c r="JM48" s="20" t="n">
        <f aca="false">IF(AND(HU48=1,IE48&gt;0,Slot5_IsWG=1,BL48=1),MAX(0,(Slot5_Cost-BM48*(1+Slot5_Rate)^(Slot5_Age-D48))/JL48),0)</f>
        <v>0</v>
      </c>
      <c r="JN48" s="20" t="n">
        <f aca="false">IF(AND(HU48=1,IE48&gt;0,Slot5_IsWG=1,BL48=1),MIN(IE48,JM48),0)</f>
        <v>0</v>
      </c>
      <c r="JO48" s="20" t="n">
        <f aca="false">BM48+JN48</f>
        <v>0</v>
      </c>
      <c r="JP48" s="20" t="n">
        <f aca="false">IF(BL48=1,MAX(0,(Slot5_Cost-JO48*(1+Slot5_Rate)^(Slot5_Age-D48))/JL48),0)</f>
        <v>0</v>
      </c>
      <c r="JQ48" s="20" t="n">
        <f aca="false">IF(BL48=1,MAX(0,(Slot5_Cost-BM48*(1+Slot5_Rate)^(Slot5_Age-D48))/JL48),0)</f>
        <v>0</v>
      </c>
      <c r="JR48" s="20" t="n">
        <f aca="false">IF(AND(HU48=1,BL48=1),MIN(JK48,JP48),0)</f>
        <v>0</v>
      </c>
      <c r="JS48" s="20" t="n">
        <f aca="false">JK48-JR48</f>
        <v>0</v>
      </c>
      <c r="JT48" s="20" t="n">
        <f aca="false">IF(BV48=1,IF(ABS((1+AS_Wage)/(1+Slot6_Rate)-1)&lt;0.000000000001,(Slot6_Age-D48)*(1+Slot6_Rate)^(Slot6_Age-D48),(1+Slot6_Rate)^(Slot6_Age-D48)*(1-((1+AS_Wage)/(1+Slot6_Rate))^(Slot6_Age-D48))/(1-(1+AS_Wage)/(1+Slot6_Rate))),1)</f>
        <v>1</v>
      </c>
      <c r="JU48" s="20" t="n">
        <f aca="false">IF(AND(HU48=1,IE48&gt;0,Slot6_IsWG=1,BV48=1),MAX(0,(Slot6_Cost-BW48*(1+Slot6_Rate)^(Slot6_Age-D48))/JT48),0)</f>
        <v>0</v>
      </c>
      <c r="JV48" s="20" t="n">
        <f aca="false">IF(AND(HU48=1,IE48&gt;0,Slot6_IsWG=1,BV48=1),MIN(IE48,JU48),0)</f>
        <v>0</v>
      </c>
      <c r="JW48" s="20" t="n">
        <f aca="false">BW48+JV48</f>
        <v>0</v>
      </c>
      <c r="JX48" s="20" t="n">
        <f aca="false">IF(BV48=1,MAX(0,(Slot6_Cost-JW48*(1+Slot6_Rate)^(Slot6_Age-D48))/JT48),0)</f>
        <v>0</v>
      </c>
      <c r="JY48" s="20" t="n">
        <f aca="false">IF(BV48=1,MAX(0,(Slot6_Cost-BW48*(1+Slot6_Rate)^(Slot6_Age-D48))/JT48),0)</f>
        <v>0</v>
      </c>
      <c r="JZ48" s="20" t="n">
        <f aca="false">IF(AND(HU48=1,BV48=1),MIN(JS48,JX48),0)</f>
        <v>0</v>
      </c>
      <c r="KA48" s="20" t="n">
        <f aca="false">JS48-JZ48</f>
        <v>0</v>
      </c>
      <c r="KB48" s="20" t="n">
        <f aca="false">IF(CF48=1,IF(ABS((1+AS_Wage)/(1+Slot7_Rate)-1)&lt;0.000000000001,(Slot7_Age-D48)*(1+Slot7_Rate)^(Slot7_Age-D48),(1+Slot7_Rate)^(Slot7_Age-D48)*(1-((1+AS_Wage)/(1+Slot7_Rate))^(Slot7_Age-D48))/(1-(1+AS_Wage)/(1+Slot7_Rate))),1)</f>
        <v>1</v>
      </c>
      <c r="KC48" s="20" t="n">
        <f aca="false">IF(AND(HU48=1,IE48&gt;0,Slot7_IsWG=1,CF48=1),MAX(0,(Slot7_Cost-CG48*(1+Slot7_Rate)^(Slot7_Age-D48))/KB48),0)</f>
        <v>0</v>
      </c>
      <c r="KD48" s="20" t="n">
        <f aca="false">IF(AND(HU48=1,IE48&gt;0,Slot7_IsWG=1,CF48=1),MIN(IE48,KC48),0)</f>
        <v>0</v>
      </c>
      <c r="KE48" s="20" t="n">
        <f aca="false">CG48+KD48</f>
        <v>0</v>
      </c>
      <c r="KF48" s="20" t="n">
        <f aca="false">IF(CF48=1,MAX(0,(Slot7_Cost-KE48*(1+Slot7_Rate)^(Slot7_Age-D48))/KB48),0)</f>
        <v>0</v>
      </c>
      <c r="KG48" s="20" t="n">
        <f aca="false">IF(CF48=1,MAX(0,(Slot7_Cost-CG48*(1+Slot7_Rate)^(Slot7_Age-D48))/KB48),0)</f>
        <v>0</v>
      </c>
      <c r="KH48" s="20" t="n">
        <f aca="false">IF(AND(HU48=1,CF48=1),MIN(KA48,KF48),0)</f>
        <v>0</v>
      </c>
      <c r="KI48" s="20" t="n">
        <f aca="false">KA48-KH48</f>
        <v>0</v>
      </c>
      <c r="KJ48" s="20" t="n">
        <f aca="false">IF(CP48=1,IF(ABS((1+AS_Wage)/(1+Slot8_Rate)-1)&lt;0.000000000001,(Slot8_Age-D48)*(1+Slot8_Rate)^(Slot8_Age-D48),(1+Slot8_Rate)^(Slot8_Age-D48)*(1-((1+AS_Wage)/(1+Slot8_Rate))^(Slot8_Age-D48))/(1-(1+AS_Wage)/(1+Slot8_Rate))),1)</f>
        <v>1</v>
      </c>
      <c r="KK48" s="20" t="n">
        <f aca="false">IF(AND(HU48=1,IE48&gt;0,Slot8_IsWG=1,CP48=1),MAX(0,(Slot8_Cost-CQ48*(1+Slot8_Rate)^(Slot8_Age-D48))/KJ48),0)</f>
        <v>0</v>
      </c>
      <c r="KL48" s="20" t="n">
        <f aca="false">IF(AND(HU48=1,IE48&gt;0,Slot8_IsWG=1,CP48=1),MIN(IE48,KK48),0)</f>
        <v>0</v>
      </c>
      <c r="KM48" s="20" t="n">
        <f aca="false">CQ48+KL48</f>
        <v>0</v>
      </c>
      <c r="KN48" s="20" t="n">
        <f aca="false">IF(CP48=1,MAX(0,(Slot8_Cost-KM48*(1+Slot8_Rate)^(Slot8_Age-D48))/KJ48),0)</f>
        <v>0</v>
      </c>
      <c r="KO48" s="20" t="n">
        <f aca="false">IF(CP48=1,MAX(0,(Slot8_Cost-CQ48*(1+Slot8_Rate)^(Slot8_Age-D48))/KJ48),0)</f>
        <v>0</v>
      </c>
      <c r="KP48" s="20" t="n">
        <f aca="false">IF(AND(HU48=1,CP48=1),MIN(KI48,KN48),0)</f>
        <v>0</v>
      </c>
      <c r="KQ48" s="20" t="n">
        <f aca="false">KI48-KP48</f>
        <v>0</v>
      </c>
      <c r="KR48" s="20" t="n">
        <f aca="false">IF(CZ48=1,IF(ABS((1+AS_Wage)/(1+Slot9_Rate)-1)&lt;0.000000000001,(Slot9_Age-D48)*(1+Slot9_Rate)^(Slot9_Age-D48),(1+Slot9_Rate)^(Slot9_Age-D48)*(1-((1+AS_Wage)/(1+Slot9_Rate))^(Slot9_Age-D48))/(1-(1+AS_Wage)/(1+Slot9_Rate))),1)</f>
        <v>1</v>
      </c>
      <c r="KS48" s="20" t="n">
        <f aca="false">IF(AND(HU48=1,IE48&gt;0,Slot9_IsWG=1,CZ48=1),MAX(0,(Slot9_Cost-DA48*(1+Slot9_Rate)^(Slot9_Age-D48))/KR48),0)</f>
        <v>0</v>
      </c>
      <c r="KT48" s="20" t="n">
        <f aca="false">IF(AND(HU48=1,IE48&gt;0,Slot9_IsWG=1,CZ48=1),MIN(IE48,KS48),0)</f>
        <v>0</v>
      </c>
      <c r="KU48" s="20" t="n">
        <f aca="false">DA48+KT48</f>
        <v>0</v>
      </c>
      <c r="KV48" s="20" t="n">
        <f aca="false">IF(CZ48=1,MAX(0,(Slot9_Cost-KU48*(1+Slot9_Rate)^(Slot9_Age-D48))/KR48),0)</f>
        <v>0</v>
      </c>
      <c r="KW48" s="20" t="n">
        <f aca="false">IF(CZ48=1,MAX(0,(Slot9_Cost-DA48*(1+Slot9_Rate)^(Slot9_Age-D48))/KR48),0)</f>
        <v>0</v>
      </c>
      <c r="KX48" s="20" t="n">
        <f aca="false">IF(AND(HU48=1,CZ48=1),MIN(KQ48,KV48),0)</f>
        <v>0</v>
      </c>
      <c r="KY48" s="20" t="n">
        <f aca="false">KQ48-KX48</f>
        <v>0</v>
      </c>
      <c r="KZ48" s="20" t="n">
        <f aca="false">IF(DJ48=1,IF(ABS((1+AS_Wage)/(1+Slot10_Rate)-1)&lt;0.000000000001,(Slot10_Age-D48)*(1+Slot10_Rate)^(Slot10_Age-D48),(1+Slot10_Rate)^(Slot10_Age-D48)*(1-((1+AS_Wage)/(1+Slot10_Rate))^(Slot10_Age-D48))/(1-(1+AS_Wage)/(1+Slot10_Rate))),1)</f>
        <v>1</v>
      </c>
      <c r="LA48" s="20" t="n">
        <f aca="false">IF(AND(HU48=1,IE48&gt;0,Slot10_IsWG=1,DJ48=1),MAX(0,(Slot10_Cost-DK48*(1+Slot10_Rate)^(Slot10_Age-D48))/KZ48),0)</f>
        <v>0</v>
      </c>
      <c r="LB48" s="20" t="n">
        <f aca="false">IF(AND(HU48=1,IE48&gt;0,Slot10_IsWG=1,DJ48=1),MIN(IE48,LA48),0)</f>
        <v>0</v>
      </c>
      <c r="LC48" s="20" t="n">
        <f aca="false">DK48+LB48</f>
        <v>0</v>
      </c>
      <c r="LD48" s="20" t="n">
        <f aca="false">IF(DJ48=1,MAX(0,(Slot10_Cost-LC48*(1+Slot10_Rate)^(Slot10_Age-D48))/KZ48),0)</f>
        <v>0</v>
      </c>
      <c r="LE48" s="20" t="n">
        <f aca="false">IF(DJ48=1,MAX(0,(Slot10_Cost-DK48*(1+Slot10_Rate)^(Slot10_Age-D48))/KZ48),0)</f>
        <v>0</v>
      </c>
      <c r="LF48" s="20" t="n">
        <f aca="false">IF(AND(HU48=1,DJ48=1),MIN(KY48,LD48),0)</f>
        <v>0</v>
      </c>
      <c r="LG48" s="20" t="n">
        <f aca="false">KY48-LF48</f>
        <v>0</v>
      </c>
      <c r="LH48" s="20" t="n">
        <f aca="false">IF(DT48=1,IF(ABS((1+AS_Wage)/(1+Slot11_Rate)-1)&lt;0.000000000001,(Slot11_Age-D48)*(1+Slot11_Rate)^(Slot11_Age-D48),(1+Slot11_Rate)^(Slot11_Age-D48)*(1-((1+AS_Wage)/(1+Slot11_Rate))^(Slot11_Age-D48))/(1-(1+AS_Wage)/(1+Slot11_Rate))),1)</f>
        <v>1</v>
      </c>
      <c r="LI48" s="20" t="n">
        <f aca="false">IF(AND(HU48=1,IE48&gt;0,Slot11_IsWG=1,DT48=1),MAX(0,(Slot11_Cost-DU48*(1+Slot11_Rate)^(Slot11_Age-D48))/LH48),0)</f>
        <v>0</v>
      </c>
      <c r="LJ48" s="20" t="n">
        <f aca="false">IF(AND(HU48=1,IE48&gt;0,Slot11_IsWG=1,DT48=1),MIN(IE48,LI48),0)</f>
        <v>0</v>
      </c>
      <c r="LK48" s="20" t="n">
        <f aca="false">DU48+LJ48</f>
        <v>0</v>
      </c>
      <c r="LL48" s="20" t="n">
        <f aca="false">IF(DT48=1,MAX(0,(Slot11_Cost-LK48*(1+Slot11_Rate)^(Slot11_Age-D48))/LH48),0)</f>
        <v>0</v>
      </c>
      <c r="LM48" s="20" t="n">
        <f aca="false">IF(DT48=1,MAX(0,(Slot11_Cost-DU48*(1+Slot11_Rate)^(Slot11_Age-D48))/LH48),0)</f>
        <v>0</v>
      </c>
      <c r="LN48" s="20" t="n">
        <f aca="false">IF(AND(HU48=1,DT48=1),MIN(LG48,LL48),0)</f>
        <v>0</v>
      </c>
      <c r="LO48" s="20" t="n">
        <f aca="false">LG48-LN48</f>
        <v>0</v>
      </c>
      <c r="LP48" s="20" t="n">
        <f aca="false">IF(ED48=1,IF(ABS((1+AS_Wage)/(1+Slot12_Rate)-1)&lt;0.000000000001,(Slot12_Age-D48)*(1+Slot12_Rate)^(Slot12_Age-D48),(1+Slot12_Rate)^(Slot12_Age-D48)*(1-((1+AS_Wage)/(1+Slot12_Rate))^(Slot12_Age-D48))/(1-(1+AS_Wage)/(1+Slot12_Rate))),1)</f>
        <v>1</v>
      </c>
      <c r="LQ48" s="20" t="n">
        <f aca="false">IF(AND(HU48=1,IE48&gt;0,Slot12_IsWG=1,ED48=1),MAX(0,(Slot12_Cost-EE48*(1+Slot12_Rate)^(Slot12_Age-D48))/LP48),0)</f>
        <v>0</v>
      </c>
      <c r="LR48" s="20" t="n">
        <f aca="false">IF(AND(HU48=1,IE48&gt;0,Slot12_IsWG=1,ED48=1),MIN(IE48,LQ48),0)</f>
        <v>0</v>
      </c>
      <c r="LS48" s="20" t="n">
        <f aca="false">EE48+LR48</f>
        <v>0</v>
      </c>
      <c r="LT48" s="20" t="n">
        <f aca="false">IF(ED48=1,MAX(0,(Slot12_Cost-LS48*(1+Slot12_Rate)^(Slot12_Age-D48))/LP48),0)</f>
        <v>0</v>
      </c>
      <c r="LU48" s="20" t="n">
        <f aca="false">IF(ED48=1,MAX(0,(Slot12_Cost-EE48*(1+Slot12_Rate)^(Slot12_Age-D48))/LP48),0)</f>
        <v>0</v>
      </c>
      <c r="LV48" s="20" t="n">
        <f aca="false">IF(AND(HU48=1,ED48=1),MIN(LO48,LT48),0)</f>
        <v>0</v>
      </c>
      <c r="LW48" s="20" t="n">
        <f aca="false">LO48-LV48</f>
        <v>0</v>
      </c>
      <c r="LX48" s="20" t="n">
        <f aca="false">IF(EN48=1,IF(ABS((1+AS_Wage)/(1+Slot13_Rate)-1)&lt;0.000000000001,(Slot13_Age-D48)*(1+Slot13_Rate)^(Slot13_Age-D48),(1+Slot13_Rate)^(Slot13_Age-D48)*(1-((1+AS_Wage)/(1+Slot13_Rate))^(Slot13_Age-D48))/(1-(1+AS_Wage)/(1+Slot13_Rate))),1)</f>
        <v>1</v>
      </c>
      <c r="LY48" s="20" t="n">
        <f aca="false">IF(AND(HU48=1,IE48&gt;0,Slot13_IsWG=1,EN48=1),MAX(0,(Slot13_Cost-EO48*(1+Slot13_Rate)^(Slot13_Age-D48))/LX48),0)</f>
        <v>0</v>
      </c>
      <c r="LZ48" s="20" t="n">
        <f aca="false">IF(AND(HU48=1,IE48&gt;0,Slot13_IsWG=1,EN48=1),MIN(IE48,LY48),0)</f>
        <v>0</v>
      </c>
      <c r="MA48" s="20" t="n">
        <f aca="false">EO48+LZ48</f>
        <v>0</v>
      </c>
      <c r="MB48" s="20" t="n">
        <f aca="false">IF(EN48=1,MAX(0,(Slot13_Cost-MA48*(1+Slot13_Rate)^(Slot13_Age-D48))/LX48),0)</f>
        <v>0</v>
      </c>
      <c r="MC48" s="20" t="n">
        <f aca="false">IF(EN48=1,MAX(0,(Slot13_Cost-EO48*(1+Slot13_Rate)^(Slot13_Age-D48))/LX48),0)</f>
        <v>0</v>
      </c>
      <c r="MD48" s="20" t="n">
        <f aca="false">IF(AND(HU48=1,EN48=1),MIN(LW48,MB48),0)</f>
        <v>0</v>
      </c>
      <c r="ME48" s="20" t="n">
        <f aca="false">LW48-MD48</f>
        <v>0</v>
      </c>
      <c r="MF48" s="20" t="n">
        <f aca="false">IF(EX48=1,IF(ABS((1+AS_Wage)/(1+Slot14_Rate)-1)&lt;0.000000000001,(Slot14_Age-D48)*(1+Slot14_Rate)^(Slot14_Age-D48),(1+Slot14_Rate)^(Slot14_Age-D48)*(1-((1+AS_Wage)/(1+Slot14_Rate))^(Slot14_Age-D48))/(1-(1+AS_Wage)/(1+Slot14_Rate))),1)</f>
        <v>1</v>
      </c>
      <c r="MG48" s="20" t="n">
        <f aca="false">IF(AND(HU48=1,IE48&gt;0,Slot14_IsWG=1,EX48=1),MAX(0,(Slot14_Cost-EY48*(1+Slot14_Rate)^(Slot14_Age-D48))/MF48),0)</f>
        <v>0</v>
      </c>
      <c r="MH48" s="20" t="n">
        <f aca="false">IF(AND(HU48=1,IE48&gt;0,Slot14_IsWG=1,EX48=1),MIN(IE48,MG48),0)</f>
        <v>0</v>
      </c>
      <c r="MI48" s="20" t="n">
        <f aca="false">EY48+MH48</f>
        <v>0</v>
      </c>
      <c r="MJ48" s="20" t="n">
        <f aca="false">IF(EX48=1,MAX(0,(Slot14_Cost-MI48*(1+Slot14_Rate)^(Slot14_Age-D48))/MF48),0)</f>
        <v>0</v>
      </c>
      <c r="MK48" s="20" t="n">
        <f aca="false">IF(EX48=1,MAX(0,(Slot14_Cost-EY48*(1+Slot14_Rate)^(Slot14_Age-D48))/MF48),0)</f>
        <v>0</v>
      </c>
      <c r="ML48" s="20" t="n">
        <f aca="false">IF(AND(HU48=1,EX48=1),MIN(ME48,MJ48),0)</f>
        <v>0</v>
      </c>
      <c r="MM48" s="20" t="n">
        <f aca="false">ME48-ML48</f>
        <v>0</v>
      </c>
      <c r="MN48" s="20" t="n">
        <f aca="false">IF(FH48=1,IF(ABS((1+AS_Wage)/(1+Slot15_Rate)-1)&lt;0.000000000001,(Slot15_Age-D48)*(1+Slot15_Rate)^(Slot15_Age-D48),(1+Slot15_Rate)^(Slot15_Age-D48)*(1-((1+AS_Wage)/(1+Slot15_Rate))^(Slot15_Age-D48))/(1-(1+AS_Wage)/(1+Slot15_Rate))),1)</f>
        <v>1</v>
      </c>
      <c r="MO48" s="20" t="n">
        <f aca="false">IF(AND(HU48=1,IE48&gt;0,Slot15_IsWG=1,FH48=1),MAX(0,(Slot15_Cost-FI48*(1+Slot15_Rate)^(Slot15_Age-D48))/MN48),0)</f>
        <v>0</v>
      </c>
      <c r="MP48" s="20" t="n">
        <f aca="false">IF(AND(HU48=1,IE48&gt;0,Slot15_IsWG=1,FH48=1),MIN(IE48,MO48),0)</f>
        <v>0</v>
      </c>
      <c r="MQ48" s="20" t="n">
        <f aca="false">FI48+MP48</f>
        <v>0</v>
      </c>
      <c r="MR48" s="20" t="n">
        <f aca="false">IF(FH48=1,MAX(0,(Slot15_Cost-MQ48*(1+Slot15_Rate)^(Slot15_Age-D48))/MN48),0)</f>
        <v>0</v>
      </c>
      <c r="MS48" s="20" t="n">
        <f aca="false">IF(FH48=1,MAX(0,(Slot15_Cost-FI48*(1+Slot15_Rate)^(Slot15_Age-D48))/MN48),0)</f>
        <v>0</v>
      </c>
      <c r="MT48" s="20" t="n">
        <f aca="false">IF(AND(HU48=1,FH48=1),MIN(MM48,MR48),0)</f>
        <v>0</v>
      </c>
      <c r="MU48" s="20" t="n">
        <f aca="false">MM48-MT48</f>
        <v>0</v>
      </c>
      <c r="MV48" s="20" t="n">
        <f aca="false">IF(FR48=1,IF(ABS((1+AS_Wage)/(1+Slot16_Rate)-1)&lt;0.000000000001,(Slot16_Age-D48)*(1+Slot16_Rate)^(Slot16_Age-D48),(1+Slot16_Rate)^(Slot16_Age-D48)*(1-((1+AS_Wage)/(1+Slot16_Rate))^(Slot16_Age-D48))/(1-(1+AS_Wage)/(1+Slot16_Rate))),1)</f>
        <v>1</v>
      </c>
      <c r="MW48" s="20" t="n">
        <f aca="false">IF(AND(HU48=1,IE48&gt;0,Slot16_IsWG=1,FR48=1),MAX(0,(Slot16_Cost-FS48*(1+Slot16_Rate)^(Slot16_Age-D48))/MV48),0)</f>
        <v>0</v>
      </c>
      <c r="MX48" s="20" t="n">
        <f aca="false">IF(AND(HU48=1,IE48&gt;0,Slot16_IsWG=1,FR48=1),MIN(IE48,MW48),0)</f>
        <v>0</v>
      </c>
      <c r="MY48" s="20" t="n">
        <f aca="false">FS48+MX48</f>
        <v>0</v>
      </c>
      <c r="MZ48" s="20" t="n">
        <f aca="false">IF(FR48=1,MAX(0,(Slot16_Cost-MY48*(1+Slot16_Rate)^(Slot16_Age-D48))/MV48),0)</f>
        <v>0</v>
      </c>
      <c r="NA48" s="20" t="n">
        <f aca="false">IF(FR48=1,MAX(0,(Slot16_Cost-FS48*(1+Slot16_Rate)^(Slot16_Age-D48))/MV48),0)</f>
        <v>0</v>
      </c>
      <c r="NB48" s="20" t="n">
        <f aca="false">IF(AND(HU48=1,FR48=1),MIN(MU48,MZ48),0)</f>
        <v>0</v>
      </c>
      <c r="NC48" s="20" t="n">
        <f aca="false">MU48-NB48</f>
        <v>0</v>
      </c>
      <c r="ND48" s="20" t="n">
        <f aca="false">IF(GB48=1,IF(ABS((1+AS_Wage)/(1+Slot17_Rate)-1)&lt;0.000000000001,(Slot17_Age-D48)*(1+Slot17_Rate)^(Slot17_Age-D48),(1+Slot17_Rate)^(Slot17_Age-D48)*(1-((1+AS_Wage)/(1+Slot17_Rate))^(Slot17_Age-D48))/(1-(1+AS_Wage)/(1+Slot17_Rate))),1)</f>
        <v>1</v>
      </c>
      <c r="NE48" s="20" t="n">
        <f aca="false">IF(AND(HU48=1,IE48&gt;0,Slot17_IsWG=1,GB48=1),MAX(0,(Slot17_Cost-GC48*(1+Slot17_Rate)^(Slot17_Age-D48))/ND48),0)</f>
        <v>0</v>
      </c>
      <c r="NF48" s="20" t="n">
        <f aca="false">IF(AND(HU48=1,IE48&gt;0,Slot17_IsWG=1,GB48=1),MIN(IE48,NE48),0)</f>
        <v>0</v>
      </c>
      <c r="NG48" s="20" t="n">
        <f aca="false">GC48+NF48</f>
        <v>0</v>
      </c>
      <c r="NH48" s="20" t="n">
        <f aca="false">IF(GB48=1,MAX(0,(Slot17_Cost-NG48*(1+Slot17_Rate)^(Slot17_Age-D48))/ND48),0)</f>
        <v>0</v>
      </c>
      <c r="NI48" s="20" t="n">
        <f aca="false">IF(GB48=1,MAX(0,(Slot17_Cost-GC48*(1+Slot17_Rate)^(Slot17_Age-D48))/ND48),0)</f>
        <v>0</v>
      </c>
      <c r="NJ48" s="20" t="n">
        <f aca="false">IF(AND(HU48=1,GB48=1),MIN(NC48,NH48),0)</f>
        <v>0</v>
      </c>
      <c r="NK48" s="20" t="n">
        <f aca="false">NC48-NJ48</f>
        <v>0</v>
      </c>
      <c r="NL48" s="20" t="n">
        <f aca="false">IF(GL48=1,IF(ABS((1+AS_Wage)/(1+Slot18_Rate)-1)&lt;0.000000000001,(Slot18_Age-D48)*(1+Slot18_Rate)^(Slot18_Age-D48),(1+Slot18_Rate)^(Slot18_Age-D48)*(1-((1+AS_Wage)/(1+Slot18_Rate))^(Slot18_Age-D48))/(1-(1+AS_Wage)/(1+Slot18_Rate))),1)</f>
        <v>1</v>
      </c>
      <c r="NM48" s="20" t="n">
        <f aca="false">IF(AND(HU48=1,IE48&gt;0,Slot18_IsWG=1,GL48=1),MAX(0,(Slot18_Cost-GM48*(1+Slot18_Rate)^(Slot18_Age-D48))/NL48),0)</f>
        <v>0</v>
      </c>
      <c r="NN48" s="20" t="n">
        <f aca="false">IF(AND(HU48=1,IE48&gt;0,Slot18_IsWG=1,GL48=1),MIN(IE48,NM48),0)</f>
        <v>0</v>
      </c>
      <c r="NO48" s="20" t="n">
        <f aca="false">GM48+NN48</f>
        <v>0</v>
      </c>
      <c r="NP48" s="20" t="n">
        <f aca="false">IF(GL48=1,MAX(0,(Slot18_Cost-NO48*(1+Slot18_Rate)^(Slot18_Age-D48))/NL48),0)</f>
        <v>0</v>
      </c>
      <c r="NQ48" s="20" t="n">
        <f aca="false">IF(GL48=1,MAX(0,(Slot18_Cost-GM48*(1+Slot18_Rate)^(Slot18_Age-D48))/NL48),0)</f>
        <v>0</v>
      </c>
      <c r="NR48" s="20" t="n">
        <f aca="false">IF(AND(HU48=1,GL48=1),MIN(NK48,NP48),0)</f>
        <v>0</v>
      </c>
      <c r="NS48" s="20" t="n">
        <f aca="false">NK48-NR48</f>
        <v>0</v>
      </c>
      <c r="NT48" s="20" t="n">
        <f aca="false">IF(GV48=1,IF(ABS((1+AS_Wage)/(1+Slot19_Rate)-1)&lt;0.000000000001,(Slot19_Age-D48)*(1+Slot19_Rate)^(Slot19_Age-D48),(1+Slot19_Rate)^(Slot19_Age-D48)*(1-((1+AS_Wage)/(1+Slot19_Rate))^(Slot19_Age-D48))/(1-(1+AS_Wage)/(1+Slot19_Rate))),1)</f>
        <v>1</v>
      </c>
      <c r="NU48" s="20" t="n">
        <f aca="false">IF(AND(HU48=1,IE48&gt;0,Slot19_IsWG=1,GV48=1),MAX(0,(Slot19_Cost-GW48*(1+Slot19_Rate)^(Slot19_Age-D48))/NT48),0)</f>
        <v>0</v>
      </c>
      <c r="NV48" s="20" t="n">
        <f aca="false">IF(AND(HU48=1,IE48&gt;0,Slot19_IsWG=1,GV48=1),MIN(IE48,NU48),0)</f>
        <v>0</v>
      </c>
      <c r="NW48" s="20" t="n">
        <f aca="false">GW48+NV48</f>
        <v>0</v>
      </c>
      <c r="NX48" s="20" t="n">
        <f aca="false">IF(GV48=1,MAX(0,(Slot19_Cost-NW48*(1+Slot19_Rate)^(Slot19_Age-D48))/NT48),0)</f>
        <v>0</v>
      </c>
      <c r="NY48" s="20" t="n">
        <f aca="false">IF(GV48=1,MAX(0,(Slot19_Cost-GW48*(1+Slot19_Rate)^(Slot19_Age-D48))/NT48),0)</f>
        <v>0</v>
      </c>
      <c r="NZ48" s="20" t="n">
        <f aca="false">IF(AND(HU48=1,GV48=1),MIN(NS48,NX48),0)</f>
        <v>0</v>
      </c>
      <c r="OA48" s="20" t="n">
        <f aca="false">NS48-NZ48</f>
        <v>0</v>
      </c>
      <c r="OB48" s="20" t="n">
        <f aca="false">IF(HF48=1,IF(ABS((1+AS_Wage)/(1+Slot20_Rate)-1)&lt;0.000000000001,(Slot20_Age-D48)*(1+Slot20_Rate)^(Slot20_Age-D48),(1+Slot20_Rate)^(Slot20_Age-D48)*(1-((1+AS_Wage)/(1+Slot20_Rate))^(Slot20_Age-D48))/(1-(1+AS_Wage)/(1+Slot20_Rate))),1)</f>
        <v>1</v>
      </c>
      <c r="OC48" s="20" t="n">
        <f aca="false">IF(AND(HU48=1,IE48&gt;0,Slot20_IsWG=1,HF48=1),MAX(0,(Slot20_Cost-HG48*(1+Slot20_Rate)^(Slot20_Age-D48))/OB48),0)</f>
        <v>0</v>
      </c>
      <c r="OD48" s="20" t="n">
        <f aca="false">IF(AND(HU48=1,IE48&gt;0,Slot20_IsWG=1,HF48=1),MIN(IE48,OC48),0)</f>
        <v>0</v>
      </c>
      <c r="OE48" s="20" t="n">
        <f aca="false">HG48+OD48</f>
        <v>0</v>
      </c>
      <c r="OF48" s="20" t="n">
        <f aca="false">IF(HF48=1,MAX(0,(Slot20_Cost-OE48*(1+Slot20_Rate)^(Slot20_Age-D48))/OB48),0)</f>
        <v>0</v>
      </c>
      <c r="OG48" s="20" t="n">
        <f aca="false">IF(HF48=1,MAX(0,(Slot20_Cost-HG48*(1+Slot20_Rate)^(Slot20_Age-D48))/OB48),0)</f>
        <v>0</v>
      </c>
      <c r="OH48" s="20" t="n">
        <f aca="false">IF(AND(HU48=1,HF48=1),MIN(OA48,OF48),0)</f>
        <v>0</v>
      </c>
      <c r="OI48" s="20" t="n">
        <f aca="false">OA48-OH48</f>
        <v>0</v>
      </c>
      <c r="OJ48" s="20" t="n">
        <f aca="false">IE48-(IH48+IP48+IX48+JF48+JN48+JV48+KD48+KL48+KT48+LB48+LJ48+LR48+LZ48+MH48+MP48+MX48+NF48+NN48+NV48+OD48)</f>
        <v>0</v>
      </c>
      <c r="OK48" s="20" t="n">
        <f aca="false">IF(HU48=1,HS48-ID48-IE48,0)</f>
        <v>0</v>
      </c>
      <c r="OL48" s="20" t="n">
        <f aca="false">IF(HU48=0,-HS48,0)</f>
        <v>25304.1216446723</v>
      </c>
      <c r="OM48" s="20" t="n">
        <f aca="false">MIN(OL48,HK48)</f>
        <v>0</v>
      </c>
      <c r="ON48" s="20" t="n">
        <f aca="false">OL48-OM48</f>
        <v>25304.1216446723</v>
      </c>
      <c r="OO48" s="20" t="n">
        <f aca="false">MIN(ON48,HL48)</f>
        <v>1536.77323927207</v>
      </c>
      <c r="OP48" s="20" t="n">
        <f aca="false">ON48-OO48</f>
        <v>23767.3484054002</v>
      </c>
      <c r="OQ48" s="20" t="n">
        <f aca="false">IF(AND(HU48=0,HF48=1,OP48&gt;0),MIN(OP48,HG48),0)</f>
        <v>0</v>
      </c>
      <c r="OR48" s="20" t="n">
        <f aca="false">OP48-OQ48</f>
        <v>23767.3484054002</v>
      </c>
      <c r="OS48" s="20" t="n">
        <f aca="false">IF(AND(HU48=0,GV48=1,OR48&gt;0),MIN(OR48,GW48),0)</f>
        <v>0</v>
      </c>
      <c r="OT48" s="20" t="n">
        <f aca="false">OR48-OS48</f>
        <v>23767.3484054002</v>
      </c>
      <c r="OU48" s="20" t="n">
        <f aca="false">IF(AND(HU48=0,GL48=1,OT48&gt;0),MIN(OT48,GM48),0)</f>
        <v>0</v>
      </c>
      <c r="OV48" s="20" t="n">
        <f aca="false">OT48-OU48</f>
        <v>23767.3484054002</v>
      </c>
      <c r="OW48" s="20" t="n">
        <f aca="false">IF(AND(HU48=0,GB48=1,OV48&gt;0),MIN(OV48,GC48),0)</f>
        <v>0</v>
      </c>
      <c r="OX48" s="20" t="n">
        <f aca="false">OV48-OW48</f>
        <v>23767.3484054002</v>
      </c>
      <c r="OY48" s="20" t="n">
        <f aca="false">IF(AND(HU48=0,FR48=1,OX48&gt;0),MIN(OX48,FS48),0)</f>
        <v>0</v>
      </c>
      <c r="OZ48" s="20" t="n">
        <f aca="false">OX48-OY48</f>
        <v>23767.3484054002</v>
      </c>
      <c r="PA48" s="20" t="n">
        <f aca="false">IF(AND(HU48=0,FH48=1,OZ48&gt;0),MIN(OZ48,FI48),0)</f>
        <v>0</v>
      </c>
      <c r="PB48" s="20" t="n">
        <f aca="false">OZ48-PA48</f>
        <v>23767.3484054002</v>
      </c>
      <c r="PC48" s="20" t="n">
        <f aca="false">IF(AND(HU48=0,EX48=1,PB48&gt;0),MIN(PB48,EY48),0)</f>
        <v>0</v>
      </c>
      <c r="PD48" s="20" t="n">
        <f aca="false">PB48-PC48</f>
        <v>23767.3484054002</v>
      </c>
      <c r="PE48" s="20" t="n">
        <f aca="false">IF(AND(HU48=0,EN48=1,PD48&gt;0),MIN(PD48,EO48),0)</f>
        <v>0</v>
      </c>
      <c r="PF48" s="20" t="n">
        <f aca="false">PD48-PE48</f>
        <v>23767.3484054002</v>
      </c>
      <c r="PG48" s="20" t="n">
        <f aca="false">IF(AND(HU48=0,ED48=1,PF48&gt;0),MIN(PF48,EE48),0)</f>
        <v>0</v>
      </c>
      <c r="PH48" s="20" t="n">
        <f aca="false">PF48-PG48</f>
        <v>23767.3484054002</v>
      </c>
      <c r="PI48" s="20" t="n">
        <f aca="false">IF(AND(HU48=0,DT48=1,PH48&gt;0),MIN(PH48,DU48),0)</f>
        <v>0</v>
      </c>
      <c r="PJ48" s="20" t="n">
        <f aca="false">PH48-PI48</f>
        <v>23767.3484054002</v>
      </c>
      <c r="PK48" s="20" t="n">
        <f aca="false">IF(AND(HU48=0,DJ48=1,PJ48&gt;0),MIN(PJ48,DK48),0)</f>
        <v>0</v>
      </c>
      <c r="PL48" s="20" t="n">
        <f aca="false">PJ48-PK48</f>
        <v>23767.3484054002</v>
      </c>
      <c r="PM48" s="20" t="n">
        <f aca="false">IF(AND(HU48=0,CZ48=1,PL48&gt;0),MIN(PL48,DA48),0)</f>
        <v>0</v>
      </c>
      <c r="PN48" s="20" t="n">
        <f aca="false">PL48-PM48</f>
        <v>23767.3484054002</v>
      </c>
      <c r="PO48" s="20" t="n">
        <f aca="false">IF(AND(HU48=0,CP48=1,PN48&gt;0),MIN(PN48,CQ48),0)</f>
        <v>0</v>
      </c>
      <c r="PP48" s="20" t="n">
        <f aca="false">PN48-PO48</f>
        <v>23767.3484054002</v>
      </c>
      <c r="PQ48" s="20" t="n">
        <f aca="false">IF(AND(HU48=0,CF48=1,PP48&gt;0),MIN(PP48,CG48),0)</f>
        <v>0</v>
      </c>
      <c r="PR48" s="20" t="n">
        <f aca="false">PP48-PQ48</f>
        <v>23767.3484054002</v>
      </c>
      <c r="PS48" s="20" t="n">
        <f aca="false">IF(AND(HU48=0,BV48=1,PR48&gt;0),MIN(PR48,BW48),0)</f>
        <v>0</v>
      </c>
      <c r="PT48" s="20" t="n">
        <f aca="false">PR48-PS48</f>
        <v>23767.3484054002</v>
      </c>
      <c r="PU48" s="20" t="n">
        <f aca="false">IF(AND(HU48=0,BL48=1,PT48&gt;0),MIN(PT48,BM48),0)</f>
        <v>0</v>
      </c>
      <c r="PV48" s="20" t="n">
        <f aca="false">PT48-PU48</f>
        <v>23767.3484054002</v>
      </c>
      <c r="PW48" s="20" t="n">
        <f aca="false">IF(AND(HU48=0,BB48=1,PV48&gt;0),MIN(PV48,BC48),0)</f>
        <v>0</v>
      </c>
      <c r="PX48" s="20" t="n">
        <f aca="false">PV48-PW48</f>
        <v>23767.3484054002</v>
      </c>
      <c r="PY48" s="20" t="n">
        <f aca="false">IF(AND(HU48=0,AR48=1,PX48&gt;0),MIN(PX48,AS48),0)</f>
        <v>0</v>
      </c>
      <c r="PZ48" s="20" t="n">
        <f aca="false">PX48-PY48</f>
        <v>23767.3484054002</v>
      </c>
      <c r="QA48" s="20" t="n">
        <f aca="false">IF(AND(HU48=0,AH48=1,PZ48&gt;0),MIN(PZ48,AI48),0)</f>
        <v>0</v>
      </c>
      <c r="QB48" s="20" t="n">
        <f aca="false">PZ48-QA48</f>
        <v>23767.3484054002</v>
      </c>
      <c r="QC48" s="20" t="n">
        <f aca="false">IF(AND(HU48=0,W48=1,QB48&gt;0),MIN(QB48,X48),0)</f>
        <v>0</v>
      </c>
      <c r="QD48" s="20" t="n">
        <f aca="false">QB48-QC48</f>
        <v>23767.3484054002</v>
      </c>
      <c r="QE48" s="20" t="n">
        <f aca="false">IF(HU48=0,QD48,0)</f>
        <v>23767.3484054002</v>
      </c>
      <c r="QF48" s="20" t="n">
        <f aca="false">OM48+OO48+QC48+QA48+PY48+PW48+PU48+PS48+PQ48+PO48+PM48+PK48+PI48+PG48+PE48+PC48+PA48+OY48+OW48+OU48+OS48+OQ48</f>
        <v>1536.77323927207</v>
      </c>
      <c r="QG48" s="20" t="n">
        <f aca="false">IF(HU48=1,HK48+OJ48+OI48+IF(G48=1,0,OK48),HK48-OM48)</f>
        <v>0</v>
      </c>
      <c r="QH48" s="20" t="n">
        <f aca="false">HL48-OO48</f>
        <v>0</v>
      </c>
      <c r="QI48" s="20" t="n">
        <f aca="false">IF(HU48=1,IF(G48=1,ID48+IE48,HS48),0)</f>
        <v>0</v>
      </c>
      <c r="QJ48" s="20" t="n">
        <f aca="false">IF(HU48=1,IF(G48=1,HS48-ID48-IE48,0),0)</f>
        <v>0</v>
      </c>
      <c r="QK48" s="57" t="n">
        <f aca="false">'Plan holdings'!BM48</f>
        <v>0</v>
      </c>
      <c r="QL48" s="20" t="n">
        <f aca="false">QH48*(1+AS_Cash)</f>
        <v>0</v>
      </c>
      <c r="QM48" s="20" t="n">
        <f aca="false">IF(W48=1,IF(HU48=1,II48+IL48,X48-QC48)*(1+Slot1_Rate),0)</f>
        <v>0</v>
      </c>
      <c r="QN48" s="20" t="n">
        <f aca="false">IF(AND(HU48=1,W48=1),(IH48+IL48)/F48,0)</f>
        <v>0</v>
      </c>
      <c r="QO48" s="20" t="n">
        <f aca="false">IF(B48=0,IH48+IL48,0)</f>
        <v>0</v>
      </c>
      <c r="QP48" s="20" t="n">
        <f aca="false">IF(B48=0,IF(HU48=1,IJ48,IK48),0)</f>
        <v>0</v>
      </c>
      <c r="QQ48" s="20" t="n">
        <f aca="false">IF(AH48=1,IF(HU48=1,IQ48+IT48,AI48-QA48)*(1+Slot2_Rate),0)</f>
        <v>0</v>
      </c>
      <c r="QR48" s="20" t="n">
        <f aca="false">IF(AND(HU48=1,AH48=1),(IP48+IT48)/F48,0)</f>
        <v>0</v>
      </c>
      <c r="QS48" s="20" t="n">
        <f aca="false">IF(B48=0,IP48+IT48,0)</f>
        <v>0</v>
      </c>
      <c r="QT48" s="20" t="n">
        <f aca="false">IF(B48=0,IF(HU48=1,IR48,IS48),0)</f>
        <v>0</v>
      </c>
      <c r="QU48" s="20" t="n">
        <f aca="false">IF(AR48=1,IF(HU48=1,IY48+JB48,AS48-PY48)*(1+Slot3_Rate),0)</f>
        <v>0</v>
      </c>
      <c r="QV48" s="20" t="n">
        <f aca="false">IF(AND(HU48=1,AR48=1),(IX48+JB48)/F48,0)</f>
        <v>0</v>
      </c>
      <c r="QW48" s="20" t="n">
        <f aca="false">IF(B48=0,IX48+JB48,0)</f>
        <v>0</v>
      </c>
      <c r="QX48" s="20" t="n">
        <f aca="false">IF(B48=0,IF(HU48=1,IZ48,JA48),0)</f>
        <v>0</v>
      </c>
      <c r="QY48" s="20" t="n">
        <f aca="false">IF(BB48=1,IF(HU48=1,JG48+JJ48,BC48-PW48)*(1+Slot4_Rate),0)</f>
        <v>0</v>
      </c>
      <c r="QZ48" s="20" t="n">
        <f aca="false">IF(AND(HU48=1,BB48=1),(JF48+JJ48)/F48,0)</f>
        <v>0</v>
      </c>
      <c r="RA48" s="20" t="n">
        <f aca="false">IF(B48=0,JF48+JJ48,0)</f>
        <v>0</v>
      </c>
      <c r="RB48" s="20" t="n">
        <f aca="false">IF(B48=0,IF(HU48=1,JH48,JI48),0)</f>
        <v>0</v>
      </c>
      <c r="RC48" s="20" t="n">
        <f aca="false">IF(BL48=1,IF(HU48=1,JO48+JR48,BM48-PU48)*(1+Slot5_Rate),0)</f>
        <v>0</v>
      </c>
      <c r="RD48" s="20" t="n">
        <f aca="false">IF(AND(HU48=1,BL48=1),(JN48+JR48)/F48,0)</f>
        <v>0</v>
      </c>
      <c r="RE48" s="20" t="n">
        <f aca="false">IF(B48=0,JN48+JR48,0)</f>
        <v>0</v>
      </c>
      <c r="RF48" s="20" t="n">
        <f aca="false">IF(B48=0,IF(HU48=1,JP48,JQ48),0)</f>
        <v>0</v>
      </c>
      <c r="RG48" s="20" t="n">
        <f aca="false">IF(BV48=1,IF(HU48=1,JW48+JZ48,BW48-PS48)*(1+Slot6_Rate),0)</f>
        <v>0</v>
      </c>
      <c r="RH48" s="20" t="n">
        <f aca="false">IF(AND(HU48=1,BV48=1),(JV48+JZ48)/F48,0)</f>
        <v>0</v>
      </c>
      <c r="RI48" s="20" t="n">
        <f aca="false">IF(B48=0,JV48+JZ48,0)</f>
        <v>0</v>
      </c>
      <c r="RJ48" s="20" t="n">
        <f aca="false">IF(B48=0,IF(HU48=1,JX48,JY48),0)</f>
        <v>0</v>
      </c>
      <c r="RK48" s="20" t="n">
        <f aca="false">IF(CF48=1,IF(HU48=1,KE48+KH48,CG48-PQ48)*(1+Slot7_Rate),0)</f>
        <v>0</v>
      </c>
      <c r="RL48" s="20" t="n">
        <f aca="false">IF(AND(HU48=1,CF48=1),(KD48+KH48)/F48,0)</f>
        <v>0</v>
      </c>
      <c r="RM48" s="20" t="n">
        <f aca="false">IF(B48=0,KD48+KH48,0)</f>
        <v>0</v>
      </c>
      <c r="RN48" s="20" t="n">
        <f aca="false">IF(B48=0,IF(HU48=1,KF48,KG48),0)</f>
        <v>0</v>
      </c>
      <c r="RO48" s="20" t="n">
        <f aca="false">IF(CP48=1,IF(HU48=1,KM48+KP48,CQ48-PO48)*(1+Slot8_Rate),0)</f>
        <v>0</v>
      </c>
      <c r="RP48" s="20" t="n">
        <f aca="false">IF(AND(HU48=1,CP48=1),(KL48+KP48)/F48,0)</f>
        <v>0</v>
      </c>
      <c r="RQ48" s="20" t="n">
        <f aca="false">IF(B48=0,KL48+KP48,0)</f>
        <v>0</v>
      </c>
      <c r="RR48" s="20" t="n">
        <f aca="false">IF(B48=0,IF(HU48=1,KN48,KO48),0)</f>
        <v>0</v>
      </c>
      <c r="RS48" s="20" t="n">
        <f aca="false">IF(CZ48=1,IF(HU48=1,KU48+KX48,DA48-PM48)*(1+Slot9_Rate),0)</f>
        <v>0</v>
      </c>
      <c r="RT48" s="20" t="n">
        <f aca="false">IF(AND(HU48=1,CZ48=1),(KT48+KX48)/F48,0)</f>
        <v>0</v>
      </c>
      <c r="RU48" s="20" t="n">
        <f aca="false">IF(B48=0,KT48+KX48,0)</f>
        <v>0</v>
      </c>
      <c r="RV48" s="20" t="n">
        <f aca="false">IF(B48=0,IF(HU48=1,KV48,KW48),0)</f>
        <v>0</v>
      </c>
      <c r="RW48" s="20" t="n">
        <f aca="false">IF(DJ48=1,IF(HU48=1,LC48+LF48,DK48-PK48)*(1+Slot10_Rate),0)</f>
        <v>0</v>
      </c>
      <c r="RX48" s="20" t="n">
        <f aca="false">IF(AND(HU48=1,DJ48=1),(LB48+LF48)/F48,0)</f>
        <v>0</v>
      </c>
      <c r="RY48" s="20" t="n">
        <f aca="false">IF(B48=0,LB48+LF48,0)</f>
        <v>0</v>
      </c>
      <c r="RZ48" s="20" t="n">
        <f aca="false">IF(B48=0,IF(HU48=1,LD48,LE48),0)</f>
        <v>0</v>
      </c>
      <c r="SA48" s="20" t="n">
        <f aca="false">IF(DT48=1,IF(HU48=1,LK48+LN48,DU48-PI48)*(1+Slot11_Rate),0)</f>
        <v>0</v>
      </c>
      <c r="SB48" s="20" t="n">
        <f aca="false">IF(AND(HU48=1,DT48=1),(LJ48+LN48)/F48,0)</f>
        <v>0</v>
      </c>
      <c r="SC48" s="20" t="n">
        <f aca="false">IF(B48=0,LJ48+LN48,0)</f>
        <v>0</v>
      </c>
      <c r="SD48" s="20" t="n">
        <f aca="false">IF(B48=0,IF(HU48=1,LL48,LM48),0)</f>
        <v>0</v>
      </c>
      <c r="SE48" s="20" t="n">
        <f aca="false">IF(ED48=1,IF(HU48=1,LS48+LV48,EE48-PG48)*(1+Slot12_Rate),0)</f>
        <v>0</v>
      </c>
      <c r="SF48" s="20" t="n">
        <f aca="false">IF(AND(HU48=1,ED48=1),(LR48+LV48)/F48,0)</f>
        <v>0</v>
      </c>
      <c r="SG48" s="20" t="n">
        <f aca="false">IF(B48=0,LR48+LV48,0)</f>
        <v>0</v>
      </c>
      <c r="SH48" s="20" t="n">
        <f aca="false">IF(B48=0,IF(HU48=1,LT48,LU48),0)</f>
        <v>0</v>
      </c>
      <c r="SI48" s="20" t="n">
        <f aca="false">IF(EN48=1,IF(HU48=1,MA48+MD48,EO48-PE48)*(1+Slot13_Rate),0)</f>
        <v>0</v>
      </c>
      <c r="SJ48" s="20" t="n">
        <f aca="false">IF(AND(HU48=1,EN48=1),(LZ48+MD48)/F48,0)</f>
        <v>0</v>
      </c>
      <c r="SK48" s="20" t="n">
        <f aca="false">IF(B48=0,LZ48+MD48,0)</f>
        <v>0</v>
      </c>
      <c r="SL48" s="20" t="n">
        <f aca="false">IF(B48=0,IF(HU48=1,MB48,MC48),0)</f>
        <v>0</v>
      </c>
      <c r="SM48" s="20" t="n">
        <f aca="false">IF(EX48=1,IF(HU48=1,MI48+ML48,EY48-PC48)*(1+Slot14_Rate),0)</f>
        <v>0</v>
      </c>
      <c r="SN48" s="20" t="n">
        <f aca="false">IF(AND(HU48=1,EX48=1),(MH48+ML48)/F48,0)</f>
        <v>0</v>
      </c>
      <c r="SO48" s="20" t="n">
        <f aca="false">IF(B48=0,MH48+ML48,0)</f>
        <v>0</v>
      </c>
      <c r="SP48" s="20" t="n">
        <f aca="false">IF(B48=0,IF(HU48=1,MJ48,MK48),0)</f>
        <v>0</v>
      </c>
      <c r="SQ48" s="20" t="n">
        <f aca="false">IF(FH48=1,IF(HU48=1,MQ48+MT48,FI48-PA48)*(1+Slot15_Rate),0)</f>
        <v>0</v>
      </c>
      <c r="SR48" s="20" t="n">
        <f aca="false">IF(AND(HU48=1,FH48=1),(MP48+MT48)/F48,0)</f>
        <v>0</v>
      </c>
      <c r="SS48" s="20" t="n">
        <f aca="false">IF(B48=0,MP48+MT48,0)</f>
        <v>0</v>
      </c>
      <c r="ST48" s="20" t="n">
        <f aca="false">IF(B48=0,IF(HU48=1,MR48,MS48),0)</f>
        <v>0</v>
      </c>
      <c r="SU48" s="20" t="n">
        <f aca="false">IF(FR48=1,IF(HU48=1,MY48+NB48,FS48-OY48)*(1+Slot16_Rate),0)</f>
        <v>0</v>
      </c>
      <c r="SV48" s="20" t="n">
        <f aca="false">IF(AND(HU48=1,FR48=1),(MX48+NB48)/F48,0)</f>
        <v>0</v>
      </c>
      <c r="SW48" s="20" t="n">
        <f aca="false">IF(B48=0,MX48+NB48,0)</f>
        <v>0</v>
      </c>
      <c r="SX48" s="20" t="n">
        <f aca="false">IF(B48=0,IF(HU48=1,MZ48,NA48),0)</f>
        <v>0</v>
      </c>
      <c r="SY48" s="20" t="n">
        <f aca="false">IF(GB48=1,IF(HU48=1,NG48+NJ48,GC48-OW48)*(1+Slot17_Rate),0)</f>
        <v>0</v>
      </c>
      <c r="SZ48" s="20" t="n">
        <f aca="false">IF(AND(HU48=1,GB48=1),(NF48+NJ48)/F48,0)</f>
        <v>0</v>
      </c>
      <c r="TA48" s="20" t="n">
        <f aca="false">IF(B48=0,NF48+NJ48,0)</f>
        <v>0</v>
      </c>
      <c r="TB48" s="20" t="n">
        <f aca="false">IF(B48=0,IF(HU48=1,NH48,NI48),0)</f>
        <v>0</v>
      </c>
      <c r="TC48" s="20" t="n">
        <f aca="false">IF(GL48=1,IF(HU48=1,NO48+NR48,GM48-OU48)*(1+Slot18_Rate),0)</f>
        <v>0</v>
      </c>
      <c r="TD48" s="20" t="n">
        <f aca="false">IF(AND(HU48=1,GL48=1),(NN48+NR48)/F48,0)</f>
        <v>0</v>
      </c>
      <c r="TE48" s="20" t="n">
        <f aca="false">IF(B48=0,NN48+NR48,0)</f>
        <v>0</v>
      </c>
      <c r="TF48" s="20" t="n">
        <f aca="false">IF(B48=0,IF(HU48=1,NP48,NQ48),0)</f>
        <v>0</v>
      </c>
      <c r="TG48" s="20" t="n">
        <f aca="false">IF(GV48=1,IF(HU48=1,NW48+NZ48,GW48-OS48)*(1+Slot19_Rate),0)</f>
        <v>0</v>
      </c>
      <c r="TH48" s="20" t="n">
        <f aca="false">IF(AND(HU48=1,GV48=1),(NV48+NZ48)/F48,0)</f>
        <v>0</v>
      </c>
      <c r="TI48" s="20" t="n">
        <f aca="false">IF(B48=0,NV48+NZ48,0)</f>
        <v>0</v>
      </c>
      <c r="TJ48" s="20" t="n">
        <f aca="false">IF(B48=0,IF(HU48=1,NX48,NY48),0)</f>
        <v>0</v>
      </c>
      <c r="TK48" s="20" t="n">
        <f aca="false">IF(HF48=1,IF(HU48=1,OE48+OH48,HG48-OQ48)*(1+Slot20_Rate),0)</f>
        <v>0</v>
      </c>
      <c r="TL48" s="20" t="n">
        <f aca="false">IF(AND(HU48=1,HF48=1),(OD48+OH48)/F48,0)</f>
        <v>0</v>
      </c>
      <c r="TM48" s="20" t="n">
        <f aca="false">IF(B48=0,OD48+OH48,0)</f>
        <v>0</v>
      </c>
      <c r="TN48" s="20" t="n">
        <f aca="false">IF(B48=0,IF(HU48=1,OF48,OG48),0)</f>
        <v>0</v>
      </c>
      <c r="TO48" s="20" t="n">
        <f aca="false">QK48+QL48+QM48+QQ48+QU48+QY48+RC48+RG48+RK48+RO48+RS48+RW48+SA48+SE48+SI48+SM48+SQ48+SU48+SY48+TC48+TG48+TK48</f>
        <v>0</v>
      </c>
      <c r="TP48" s="20" t="n">
        <f aca="false">QE48+HP48</f>
        <v>23767.3484054002</v>
      </c>
      <c r="TQ48" s="20" t="n">
        <f aca="false">I48+S48</f>
        <v>105544.29592079</v>
      </c>
      <c r="TR48" s="20" t="n">
        <f aca="false">1-G48</f>
        <v>1</v>
      </c>
      <c r="TS48" s="20" t="n">
        <f aca="false">IF(AND(RG_Exists=1,G48=0,C48=1),I48,0)</f>
        <v>105544.29592079</v>
      </c>
      <c r="TT48" s="20" t="n">
        <f aca="false">IF(AND(RG_Exists=1,G48=0,C48=1),I48-MIN(QE48,I48),0)</f>
        <v>81776.9475153898</v>
      </c>
      <c r="TU48" s="20" t="n">
        <f aca="false">'Plan pay &amp; tax'!AD274</f>
        <v>348144.822237604</v>
      </c>
      <c r="TV48" s="20" t="n">
        <f aca="false">IF(AND(C48=1,QE48&gt;MAX(PR_Short1,TQ48*PR_Short2)),1,0)</f>
        <v>1</v>
      </c>
      <c r="TW48" s="20" t="n">
        <f aca="false">MIN(H48,I48+S48)</f>
        <v>80240.1742761177</v>
      </c>
      <c r="TX48" s="20" t="n">
        <f aca="false">QF48+MAX(0,HQ48-HP48)</f>
        <v>1536.77323927207</v>
      </c>
      <c r="TY48" s="20" t="n">
        <f aca="false">QE48+HP48</f>
        <v>23767.3484054002</v>
      </c>
      <c r="TZ48" s="20" t="n">
        <f aca="false">IF(AND(C48=1,TY48&gt;PR_MinShort),1,0)</f>
        <v>1</v>
      </c>
      <c r="UA48" s="20" t="n">
        <f aca="false">IF(AND(C48=1,TZ48=0,TX48&gt;PR_MinShort),1,0)</f>
        <v>0</v>
      </c>
      <c r="UB48" s="20" t="n">
        <f aca="false">IF(AND(C48=1,QE48&gt;PR_MinShort),1,0)</f>
        <v>1</v>
      </c>
      <c r="UC48" s="20" t="n">
        <f aca="false">IF(AND(C48=1,QF48&gt;1,UJ48=0),1,0)</f>
        <v>0</v>
      </c>
      <c r="UD48" s="20" t="str">
        <f aca="false">IF(C48=0,"",IF(UJ48=1,"Gap to plan for: short "&amp;"€"&amp;TEXT(ROUND(TP48,0),"#,##0"),IF(QF48&gt;1,"Using savings","Comfortable")))</f>
        <v>Gap to plan for: short €23,767</v>
      </c>
      <c r="UE48" s="20" t="n">
        <f aca="false">IF(AND(INT(D48/10)*10=90,B48&gt;0),80,INT(D48/10)*10)</f>
        <v>70</v>
      </c>
      <c r="UF48" s="20" t="n">
        <f aca="false">IF(B48=0,1,IF(UE48&lt;&gt;UE47,UF47+1,UF47))</f>
        <v>5</v>
      </c>
      <c r="UG48" s="20" t="n">
        <f aca="false">IF(AND(C48=1,G48=1,QE48&gt;MAX(PR_Short1,TQ48*PR_Short2)),1,0)</f>
        <v>0</v>
      </c>
      <c r="UH48" s="20" t="n">
        <f aca="false">TR48*TV48</f>
        <v>1</v>
      </c>
      <c r="UI48" s="20" t="n">
        <f aca="false">IF(AND(V48=1,Slot1_PctLow=1),1,0)+IF(AND(AG48=1,Slot2_PctLow=1),1,0)+IF(AND(AQ48=1,Slot3_PctLow=1),1,0)+IF(AND(BA48=1,Slot4_PctLow=1),1,0)+IF(AND(BK48=1,Slot5_PctLow=1),1,0)+IF(AND(BU48=1,Slot6_PctLow=1),1,0)+IF(AND(CE48=1,Slot7_PctLow=1),1,0)+IF(AND(CO48=1,Slot8_PctLow=1),1,0)+IF(AND(CY48=1,Slot9_PctLow=1),1,0)+IF(AND(DI48=1,Slot10_PctLow=1),1,0)+IF(AND(DS48=1,Slot11_PctLow=1),1,0)+IF(AND(EC48=1,Slot12_PctLow=1),1,0)+IF(AND(EM48=1,Slot13_PctLow=1),1,0)+IF(AND(EW48=1,Slot14_PctLow=1),1,0)+IF(AND(FG48=1,Slot15_PctLow=1),1,0)+IF(AND(FQ48=1,Slot16_PctLow=1),1,0)+IF(AND(GA48=1,Slot17_PctLow=1),1,0)+IF(AND(GK48=1,Slot18_PctLow=1),1,0)+IF(AND(GU48=1,Slot19_PctLow=1),1,0)+IF(AND(HE48=1,Slot20_PctLow=1),1,0)</f>
        <v>0</v>
      </c>
      <c r="UJ48" s="20" t="n">
        <f aca="false">IF(C48=1,IF(OR(TV48=1,UI48&gt;0),1,0),0)</f>
        <v>1</v>
      </c>
      <c r="UK48" s="20" t="n">
        <f aca="false">Z48+AK48+AU48+BE48+BO48+BY48+CI48+CS48+DC48+DM48+DW48+EG48+EQ48+FA48+FK48+FU48+GE48+GO48+GY48+HI48+OM48</f>
        <v>0</v>
      </c>
      <c r="UL48" s="20" t="n">
        <f aca="false">V48*IF(Slot1_SpendLike=1,X48-Y48,IF(Slot1_PotFree=1,X48,0))+AG48*IF(Slot2_SpendLike=1,AI48-AJ48,IF(Slot2_PotFree=1,AI48,0))+AQ48*IF(Slot3_SpendLike=1,AS48-AT48,IF(Slot3_PotFree=1,AS48,0))+BA48*IF(Slot4_SpendLike=1,BC48-BD48,IF(Slot4_PotFree=1,BC48,0))+BK48*IF(Slot5_SpendLike=1,BM48-BN48,IF(Slot5_PotFree=1,BM48,0))+BU48*IF(Slot6_SpendLike=1,BW48-BX48,IF(Slot6_PotFree=1,BW48,0))+CE48*IF(Slot7_SpendLike=1,CG48-CH48,IF(Slot7_PotFree=1,CG48,0))+CO48*IF(Slot8_SpendLike=1,CQ48-CR48,IF(Slot8_PotFree=1,CQ48,0))+CY48*IF(Slot9_SpendLike=1,DA48-DB48,IF(Slot9_PotFree=1,DA48,0))+DI48*IF(Slot10_SpendLike=1,DK48-DL48,IF(Slot10_PotFree=1,DK48,0))+DS48*IF(Slot11_SpendLike=1,DU48-DV48,IF(Slot11_PotFree=1,DU48,0))+EC48*IF(Slot12_SpendLike=1,EE48-EF48,IF(Slot12_PotFree=1,EE48,0))+EM48*IF(Slot13_SpendLike=1,EO48-EP48,IF(Slot13_PotFree=1,EO48,0))+EW48*IF(Slot14_SpendLike=1,EY48-EZ48,IF(Slot14_PotFree=1,EY48,0))+FG48*IF(Slot15_SpendLike=1,FI48-FJ48,IF(Slot15_PotFree=1,FI48,0))+FQ48*IF(Slot16_SpendLike=1,FS48-FT48,IF(Slot16_PotFree=1,FS48,0))+GA48*IF(Slot17_SpendLike=1,GC48-GD48,IF(Slot17_PotFree=1,GC48,0))+GK48*IF(Slot18_SpendLike=1,GM48-GN48,IF(Slot18_PotFree=1,GM48,0))+GU48*IF(Slot19_SpendLike=1,GW48-GX48,IF(Slot19_PotFree=1,GW48,0))+HE48*IF(Slot20_SpendLike=1,HG48-HH48,IF(Slot20_PotFree=1,HG48,0))</f>
        <v>0</v>
      </c>
      <c r="UM48" s="20" t="n">
        <f aca="false">QG48-T48+UK48-UL48</f>
        <v>0</v>
      </c>
      <c r="UN48" s="20" t="n">
        <f aca="false">IF(OR(UN47=1,AND(In_homeUse="Yes, I'd downsize",In_downAge&gt;0,D48=In_downAge,OR(In_home="Own outright",In_home="Own with mortgage"),In_homeValue&gt;0)),1,0)</f>
        <v>0</v>
      </c>
    </row>
    <row r="49" customFormat="false" ht="15" hidden="false" customHeight="true" outlineLevel="0" collapsed="false">
      <c r="B49" s="20" t="n">
        <v>41</v>
      </c>
      <c r="C49" s="20" t="n">
        <f aca="false">IF(B49&lt;=F_N,1,0)</f>
        <v>1</v>
      </c>
      <c r="D49" s="20" t="n">
        <f aca="false">'Plan pay &amp; tax'!C275</f>
        <v>79</v>
      </c>
      <c r="E49" s="20" t="str">
        <f aca="false">IF($C49=1,"Income tax "&amp;TEXT(N('Plan pay &amp; tax'!BK275),"#,##0")&amp;"; USC "&amp;TEXT(N('Plan pay &amp; tax'!BM275)+N('Plan pay &amp; tax'!BO275),"#,##0")&amp;"; PRSI "&amp;TEXT(N('Plan pay &amp; tax'!BP275)+N('Plan pay &amp; tax'!BQ275),"#,##0")&amp;IF(N('Plan holdings'!BO49)&gt;=0.5,"; DIRT "&amp;TEXT(('Plan holdings'!BO49)/$F49,"#,##0")&amp;" (already taken from the interest earned)","")&amp;IF(N('Plan holdings'!BP49)&gt;=0.5,"; exit tax at an 8-year anniversary "&amp;TEXT(('Plan holdings'!BP49)/$F49,"#,##0"),"")&amp;IF(N('Plan holdings'!BN49)&gt;=0.5,"; tax on assets sold (exit tax or capital gains tax) "&amp;TEXT(('Plan holdings'!BN49)/$F49,"#,##0"),"")&amp;IF(N('Plan pay &amp; tax'!X275)-N('Plan pay &amp; tax'!Y275)&gt;=0.5,"; tax on the pension lump sum "&amp;TEXT(('Plan pay &amp; tax'!X275-'Plan pay &amp; tax'!Y275)/$F49,"#,##0"),"")&amp;IF(N('Plan pay &amp; tax'!V275)&gt;=0.5,"; chargeable excess tax on the pension "&amp;TEXT(('Plan pay &amp; tax'!V275)/$F49,"#,##0"),"")&amp;".","")</f>
        <v>Income tax 686; USC 0; PRSI 0.</v>
      </c>
      <c r="F49" s="50" t="n">
        <f aca="false">'Plan pay &amp; tax'!E275</f>
        <v>2.25220045688715</v>
      </c>
      <c r="G49" s="20" t="n">
        <f aca="false">'Plan pay &amp; tax'!G275</f>
        <v>0</v>
      </c>
      <c r="H49" s="20" t="n">
        <f aca="false">'Plan pay &amp; tax'!BT275-'Plan pay &amp; tax'!BS275-'Plan pay &amp; tax'!R275</f>
        <v>82027.631941138</v>
      </c>
      <c r="I49" s="20" t="n">
        <f aca="false">IF(G49=1,F_CostsM*12,IF(RG_Exists=1,RG_Amount,F_CostsM*12*AS_RetireSpend))*F49+F_OneOffY*F49</f>
        <v>107655.181839206</v>
      </c>
      <c r="J49" s="20" t="n">
        <f aca="false">IF(UN49=1,0,HR48)</f>
        <v>0</v>
      </c>
      <c r="K49" s="20" t="n">
        <f aca="false">IF(J49&gt;1,'Plan debt months'!AC49,0)</f>
        <v>0</v>
      </c>
      <c r="L49" s="20" t="n">
        <f aca="false">IF(J49&gt;1,'Plan debt months'!AB49,J49)</f>
        <v>0</v>
      </c>
      <c r="M49" s="20" t="n">
        <f aca="false">O48</f>
        <v>0</v>
      </c>
      <c r="N49" s="20" t="n">
        <f aca="false">IF(M49&gt;1,'Plan debt months'!BD49,0)</f>
        <v>0</v>
      </c>
      <c r="O49" s="20" t="n">
        <f aca="false">IF(M49&gt;1,'Plan debt months'!BC49,M49)</f>
        <v>0</v>
      </c>
      <c r="P49" s="20" t="n">
        <f aca="false">R48</f>
        <v>0</v>
      </c>
      <c r="Q49" s="20" t="n">
        <f aca="false">IF(P49&gt;1,'Plan debt months'!CE49,0)</f>
        <v>0</v>
      </c>
      <c r="R49" s="20" t="n">
        <f aca="false">IF(P49&gt;1,'Plan debt months'!CD49,P49)</f>
        <v>0</v>
      </c>
      <c r="S49" s="20" t="n">
        <f aca="false">K49+N49+Q49</f>
        <v>0</v>
      </c>
      <c r="T49" s="57" t="n">
        <f aca="false">'Plan holdings'!Y49</f>
        <v>0</v>
      </c>
      <c r="U49" s="57" t="n">
        <f aca="false">'Plan holdings'!BM48</f>
        <v>0</v>
      </c>
      <c r="V49" s="20" t="n">
        <f aca="false">IF(AND(Slot1_On=1,D49=Slot1_Age),1,0)</f>
        <v>0</v>
      </c>
      <c r="W49" s="20" t="n">
        <f aca="false">IF(AND(Slot1_On=1,Slot1_Age&gt;D49),1,0)</f>
        <v>0</v>
      </c>
      <c r="X49" s="20" t="n">
        <f aca="false">QM48</f>
        <v>0</v>
      </c>
      <c r="Y49" s="20" t="n">
        <f aca="false">V49*MIN(Slot1_Cost,X49)</f>
        <v>0</v>
      </c>
      <c r="Z49" s="20" t="n">
        <f aca="false">V49*Slot1_SpendLike*MIN(Slot1_Cost-Y49,T49)</f>
        <v>0</v>
      </c>
      <c r="AA49" s="20" t="n">
        <f aca="false">Y49+Z49</f>
        <v>0</v>
      </c>
      <c r="AB49" s="20" t="n">
        <f aca="false">T49-Z49+V49*IF(Slot1_SpendLike=1,X49-Y49,IF(Slot1_PotFree=1,X49,0))</f>
        <v>0</v>
      </c>
      <c r="AC49" s="20" t="n">
        <f aca="false">AF49+V49*Slot1_BufPot*X49</f>
        <v>0</v>
      </c>
      <c r="AD49" s="20" t="n">
        <f aca="false">IF(AND(V49=1,Slot1_IsMfree=1),IF(AA49&gt;=Slot1_Cost-1,0,MAX(0,L49-AA49)),L49)</f>
        <v>0</v>
      </c>
      <c r="AE49" s="20" t="n">
        <f aca="false">V49*(Slot1_Cost-AA49)</f>
        <v>0</v>
      </c>
      <c r="AF49" s="20" t="n">
        <f aca="false">QL48</f>
        <v>0</v>
      </c>
      <c r="AG49" s="20" t="n">
        <f aca="false">IF(AND(Slot2_On=1,D49=Slot2_Age),1,0)</f>
        <v>0</v>
      </c>
      <c r="AH49" s="20" t="n">
        <f aca="false">IF(AND(Slot2_On=1,Slot2_Age&gt;D49),1,0)</f>
        <v>0</v>
      </c>
      <c r="AI49" s="20" t="n">
        <f aca="false">QQ48</f>
        <v>0</v>
      </c>
      <c r="AJ49" s="20" t="n">
        <f aca="false">AG49*MIN(Slot2_Cost,AI49)</f>
        <v>0</v>
      </c>
      <c r="AK49" s="20" t="n">
        <f aca="false">AG49*Slot2_SpendLike*MIN(Slot2_Cost-AJ49,AB49)</f>
        <v>0</v>
      </c>
      <c r="AL49" s="20" t="n">
        <f aca="false">AJ49+AK49</f>
        <v>0</v>
      </c>
      <c r="AM49" s="20" t="n">
        <f aca="false">AB49-AK49+AG49*IF(Slot2_SpendLike=1,AI49-AJ49,IF(Slot2_PotFree=1,AI49,0))</f>
        <v>0</v>
      </c>
      <c r="AN49" s="20" t="n">
        <f aca="false">AC49+AG49*Slot2_BufPot*AI49</f>
        <v>0</v>
      </c>
      <c r="AO49" s="20" t="n">
        <f aca="false">IF(AND(AG49=1,Slot2_IsMfree=1),IF(AL49&gt;=Slot2_Cost-1,0,MAX(0,AD49-AL49)),AD49)</f>
        <v>0</v>
      </c>
      <c r="AP49" s="20" t="n">
        <f aca="false">AG49*(Slot2_Cost-AL49)</f>
        <v>0</v>
      </c>
      <c r="AQ49" s="20" t="n">
        <f aca="false">IF(AND(Slot3_On=1,D49=Slot3_Age),1,0)</f>
        <v>0</v>
      </c>
      <c r="AR49" s="20" t="n">
        <f aca="false">IF(AND(Slot3_On=1,Slot3_Age&gt;D49),1,0)</f>
        <v>0</v>
      </c>
      <c r="AS49" s="20" t="n">
        <f aca="false">QU48</f>
        <v>0</v>
      </c>
      <c r="AT49" s="20" t="n">
        <f aca="false">AQ49*MIN(Slot3_Cost,AS49)</f>
        <v>0</v>
      </c>
      <c r="AU49" s="20" t="n">
        <f aca="false">AQ49*Slot3_SpendLike*MIN(Slot3_Cost-AT49,AM49)</f>
        <v>0</v>
      </c>
      <c r="AV49" s="20" t="n">
        <f aca="false">AT49+AU49</f>
        <v>0</v>
      </c>
      <c r="AW49" s="20" t="n">
        <f aca="false">AM49-AU49+AQ49*IF(Slot3_SpendLike=1,AS49-AT49,IF(Slot3_PotFree=1,AS49,0))</f>
        <v>0</v>
      </c>
      <c r="AX49" s="20" t="n">
        <f aca="false">AN49+AQ49*Slot3_BufPot*AS49</f>
        <v>0</v>
      </c>
      <c r="AY49" s="20" t="n">
        <f aca="false">IF(AND(AQ49=1,Slot3_IsMfree=1),IF(AV49&gt;=Slot3_Cost-1,0,MAX(0,AO49-AV49)),AO49)</f>
        <v>0</v>
      </c>
      <c r="AZ49" s="20" t="n">
        <f aca="false">AQ49*(Slot3_Cost-AV49)</f>
        <v>0</v>
      </c>
      <c r="BA49" s="20" t="n">
        <f aca="false">IF(AND(Slot4_On=1,D49=Slot4_Age),1,0)</f>
        <v>0</v>
      </c>
      <c r="BB49" s="20" t="n">
        <f aca="false">IF(AND(Slot4_On=1,Slot4_Age&gt;D49),1,0)</f>
        <v>0</v>
      </c>
      <c r="BC49" s="20" t="n">
        <f aca="false">QY48</f>
        <v>0</v>
      </c>
      <c r="BD49" s="20" t="n">
        <f aca="false">BA49*MIN(Slot4_Cost,BC49)</f>
        <v>0</v>
      </c>
      <c r="BE49" s="20" t="n">
        <f aca="false">BA49*Slot4_SpendLike*MIN(Slot4_Cost-BD49,AW49)</f>
        <v>0</v>
      </c>
      <c r="BF49" s="20" t="n">
        <f aca="false">BD49+BE49</f>
        <v>0</v>
      </c>
      <c r="BG49" s="20" t="n">
        <f aca="false">AW49-BE49+BA49*IF(Slot4_SpendLike=1,BC49-BD49,IF(Slot4_PotFree=1,BC49,0))</f>
        <v>0</v>
      </c>
      <c r="BH49" s="20" t="n">
        <f aca="false">AX49+BA49*Slot4_BufPot*BC49</f>
        <v>0</v>
      </c>
      <c r="BI49" s="20" t="n">
        <f aca="false">IF(AND(BA49=1,Slot4_IsMfree=1),IF(BF49&gt;=Slot4_Cost-1,0,MAX(0,AY49-BF49)),AY49)</f>
        <v>0</v>
      </c>
      <c r="BJ49" s="20" t="n">
        <f aca="false">BA49*(Slot4_Cost-BF49)</f>
        <v>0</v>
      </c>
      <c r="BK49" s="20" t="n">
        <f aca="false">IF(AND(Slot5_On=1,D49=Slot5_Age),1,0)</f>
        <v>0</v>
      </c>
      <c r="BL49" s="20" t="n">
        <f aca="false">IF(AND(Slot5_On=1,Slot5_Age&gt;D49),1,0)</f>
        <v>0</v>
      </c>
      <c r="BM49" s="20" t="n">
        <f aca="false">RC48</f>
        <v>0</v>
      </c>
      <c r="BN49" s="20" t="n">
        <f aca="false">BK49*MIN(Slot5_Cost,BM49)</f>
        <v>0</v>
      </c>
      <c r="BO49" s="20" t="n">
        <f aca="false">BK49*Slot5_SpendLike*MIN(Slot5_Cost-BN49,BG49)</f>
        <v>0</v>
      </c>
      <c r="BP49" s="20" t="n">
        <f aca="false">BN49+BO49</f>
        <v>0</v>
      </c>
      <c r="BQ49" s="20" t="n">
        <f aca="false">BG49-BO49+BK49*IF(Slot5_SpendLike=1,BM49-BN49,IF(Slot5_PotFree=1,BM49,0))</f>
        <v>0</v>
      </c>
      <c r="BR49" s="20" t="n">
        <f aca="false">BH49+BK49*Slot5_BufPot*BM49</f>
        <v>0</v>
      </c>
      <c r="BS49" s="20" t="n">
        <f aca="false">IF(AND(BK49=1,Slot5_IsMfree=1),IF(BP49&gt;=Slot5_Cost-1,0,MAX(0,BI49-BP49)),BI49)</f>
        <v>0</v>
      </c>
      <c r="BT49" s="20" t="n">
        <f aca="false">BK49*(Slot5_Cost-BP49)</f>
        <v>0</v>
      </c>
      <c r="BU49" s="20" t="n">
        <f aca="false">IF(AND(Slot6_On=1,D49=Slot6_Age),1,0)</f>
        <v>0</v>
      </c>
      <c r="BV49" s="20" t="n">
        <f aca="false">IF(AND(Slot6_On=1,Slot6_Age&gt;D49),1,0)</f>
        <v>0</v>
      </c>
      <c r="BW49" s="20" t="n">
        <f aca="false">RG48</f>
        <v>0</v>
      </c>
      <c r="BX49" s="20" t="n">
        <f aca="false">BU49*MIN(Slot6_Cost,BW49)</f>
        <v>0</v>
      </c>
      <c r="BY49" s="20" t="n">
        <f aca="false">BU49*Slot6_SpendLike*MIN(Slot6_Cost-BX49,BQ49)</f>
        <v>0</v>
      </c>
      <c r="BZ49" s="20" t="n">
        <f aca="false">BX49+BY49</f>
        <v>0</v>
      </c>
      <c r="CA49" s="20" t="n">
        <f aca="false">BQ49-BY49+BU49*IF(Slot6_SpendLike=1,BW49-BX49,IF(Slot6_PotFree=1,BW49,0))</f>
        <v>0</v>
      </c>
      <c r="CB49" s="20" t="n">
        <f aca="false">BR49+BU49*Slot6_BufPot*BW49</f>
        <v>0</v>
      </c>
      <c r="CC49" s="20" t="n">
        <f aca="false">IF(AND(BU49=1,Slot6_IsMfree=1),IF(BZ49&gt;=Slot6_Cost-1,0,MAX(0,BS49-BZ49)),BS49)</f>
        <v>0</v>
      </c>
      <c r="CD49" s="20" t="n">
        <f aca="false">BU49*(Slot6_Cost-BZ49)</f>
        <v>0</v>
      </c>
      <c r="CE49" s="20" t="n">
        <f aca="false">IF(AND(Slot7_On=1,D49=Slot7_Age),1,0)</f>
        <v>0</v>
      </c>
      <c r="CF49" s="20" t="n">
        <f aca="false">IF(AND(Slot7_On=1,Slot7_Age&gt;D49),1,0)</f>
        <v>0</v>
      </c>
      <c r="CG49" s="20" t="n">
        <f aca="false">RK48</f>
        <v>0</v>
      </c>
      <c r="CH49" s="20" t="n">
        <f aca="false">CE49*MIN(Slot7_Cost,CG49)</f>
        <v>0</v>
      </c>
      <c r="CI49" s="20" t="n">
        <f aca="false">CE49*Slot7_SpendLike*MIN(Slot7_Cost-CH49,CA49)</f>
        <v>0</v>
      </c>
      <c r="CJ49" s="20" t="n">
        <f aca="false">CH49+CI49</f>
        <v>0</v>
      </c>
      <c r="CK49" s="20" t="n">
        <f aca="false">CA49-CI49+CE49*IF(Slot7_SpendLike=1,CG49-CH49,IF(Slot7_PotFree=1,CG49,0))</f>
        <v>0</v>
      </c>
      <c r="CL49" s="20" t="n">
        <f aca="false">CB49+CE49*Slot7_BufPot*CG49</f>
        <v>0</v>
      </c>
      <c r="CM49" s="20" t="n">
        <f aca="false">IF(AND(CE49=1,Slot7_IsMfree=1),IF(CJ49&gt;=Slot7_Cost-1,0,MAX(0,CC49-CJ49)),CC49)</f>
        <v>0</v>
      </c>
      <c r="CN49" s="20" t="n">
        <f aca="false">CE49*(Slot7_Cost-CJ49)</f>
        <v>0</v>
      </c>
      <c r="CO49" s="20" t="n">
        <f aca="false">IF(AND(Slot8_On=1,D49=Slot8_Age),1,0)</f>
        <v>0</v>
      </c>
      <c r="CP49" s="20" t="n">
        <f aca="false">IF(AND(Slot8_On=1,Slot8_Age&gt;D49),1,0)</f>
        <v>0</v>
      </c>
      <c r="CQ49" s="20" t="n">
        <f aca="false">RO48</f>
        <v>0</v>
      </c>
      <c r="CR49" s="20" t="n">
        <f aca="false">CO49*MIN(Slot8_Cost,CQ49)</f>
        <v>0</v>
      </c>
      <c r="CS49" s="20" t="n">
        <f aca="false">CO49*Slot8_SpendLike*MIN(Slot8_Cost-CR49,CK49)</f>
        <v>0</v>
      </c>
      <c r="CT49" s="20" t="n">
        <f aca="false">CR49+CS49</f>
        <v>0</v>
      </c>
      <c r="CU49" s="20" t="n">
        <f aca="false">CK49-CS49+CO49*IF(Slot8_SpendLike=1,CQ49-CR49,IF(Slot8_PotFree=1,CQ49,0))</f>
        <v>0</v>
      </c>
      <c r="CV49" s="20" t="n">
        <f aca="false">CL49+CO49*Slot8_BufPot*CQ49</f>
        <v>0</v>
      </c>
      <c r="CW49" s="20" t="n">
        <f aca="false">IF(AND(CO49=1,Slot8_IsMfree=1),IF(CT49&gt;=Slot8_Cost-1,0,MAX(0,CM49-CT49)),CM49)</f>
        <v>0</v>
      </c>
      <c r="CX49" s="20" t="n">
        <f aca="false">CO49*(Slot8_Cost-CT49)</f>
        <v>0</v>
      </c>
      <c r="CY49" s="20" t="n">
        <f aca="false">IF(AND(Slot9_On=1,D49=Slot9_Age),1,0)</f>
        <v>0</v>
      </c>
      <c r="CZ49" s="20" t="n">
        <f aca="false">IF(AND(Slot9_On=1,Slot9_Age&gt;D49),1,0)</f>
        <v>0</v>
      </c>
      <c r="DA49" s="20" t="n">
        <f aca="false">RS48</f>
        <v>0</v>
      </c>
      <c r="DB49" s="20" t="n">
        <f aca="false">CY49*MIN(Slot9_Cost,DA49)</f>
        <v>0</v>
      </c>
      <c r="DC49" s="20" t="n">
        <f aca="false">CY49*Slot9_SpendLike*MIN(Slot9_Cost-DB49,CU49)</f>
        <v>0</v>
      </c>
      <c r="DD49" s="20" t="n">
        <f aca="false">DB49+DC49</f>
        <v>0</v>
      </c>
      <c r="DE49" s="20" t="n">
        <f aca="false">CU49-DC49+CY49*IF(Slot9_SpendLike=1,DA49-DB49,IF(Slot9_PotFree=1,DA49,0))</f>
        <v>0</v>
      </c>
      <c r="DF49" s="20" t="n">
        <f aca="false">CV49+CY49*Slot9_BufPot*DA49</f>
        <v>0</v>
      </c>
      <c r="DG49" s="20" t="n">
        <f aca="false">IF(AND(CY49=1,Slot9_IsMfree=1),IF(DD49&gt;=Slot9_Cost-1,0,MAX(0,CW49-DD49)),CW49)</f>
        <v>0</v>
      </c>
      <c r="DH49" s="20" t="n">
        <f aca="false">CY49*(Slot9_Cost-DD49)</f>
        <v>0</v>
      </c>
      <c r="DI49" s="20" t="n">
        <f aca="false">IF(AND(Slot10_On=1,D49=Slot10_Age),1,0)</f>
        <v>0</v>
      </c>
      <c r="DJ49" s="20" t="n">
        <f aca="false">IF(AND(Slot10_On=1,Slot10_Age&gt;D49),1,0)</f>
        <v>0</v>
      </c>
      <c r="DK49" s="20" t="n">
        <f aca="false">RW48</f>
        <v>0</v>
      </c>
      <c r="DL49" s="20" t="n">
        <f aca="false">DI49*MIN(Slot10_Cost,DK49)</f>
        <v>0</v>
      </c>
      <c r="DM49" s="20" t="n">
        <f aca="false">DI49*Slot10_SpendLike*MIN(Slot10_Cost-DL49,DE49)</f>
        <v>0</v>
      </c>
      <c r="DN49" s="20" t="n">
        <f aca="false">DL49+DM49</f>
        <v>0</v>
      </c>
      <c r="DO49" s="20" t="n">
        <f aca="false">DE49-DM49+DI49*IF(Slot10_SpendLike=1,DK49-DL49,IF(Slot10_PotFree=1,DK49,0))</f>
        <v>0</v>
      </c>
      <c r="DP49" s="20" t="n">
        <f aca="false">DF49+DI49*Slot10_BufPot*DK49</f>
        <v>0</v>
      </c>
      <c r="DQ49" s="20" t="n">
        <f aca="false">IF(AND(DI49=1,Slot10_IsMfree=1),IF(DN49&gt;=Slot10_Cost-1,0,MAX(0,DG49-DN49)),DG49)</f>
        <v>0</v>
      </c>
      <c r="DR49" s="20" t="n">
        <f aca="false">DI49*(Slot10_Cost-DN49)</f>
        <v>0</v>
      </c>
      <c r="DS49" s="20" t="n">
        <f aca="false">IF(AND(Slot11_On=1,D49=Slot11_Age),1,0)</f>
        <v>0</v>
      </c>
      <c r="DT49" s="20" t="n">
        <f aca="false">IF(AND(Slot11_On=1,Slot11_Age&gt;D49),1,0)</f>
        <v>0</v>
      </c>
      <c r="DU49" s="20" t="n">
        <f aca="false">SA48</f>
        <v>0</v>
      </c>
      <c r="DV49" s="20" t="n">
        <f aca="false">DS49*MIN(Slot11_Cost,DU49)</f>
        <v>0</v>
      </c>
      <c r="DW49" s="20" t="n">
        <f aca="false">DS49*Slot11_SpendLike*MIN(Slot11_Cost-DV49,DO49)</f>
        <v>0</v>
      </c>
      <c r="DX49" s="20" t="n">
        <f aca="false">DV49+DW49</f>
        <v>0</v>
      </c>
      <c r="DY49" s="20" t="n">
        <f aca="false">DO49-DW49+DS49*IF(Slot11_SpendLike=1,DU49-DV49,IF(Slot11_PotFree=1,DU49,0))</f>
        <v>0</v>
      </c>
      <c r="DZ49" s="20" t="n">
        <f aca="false">DP49+DS49*Slot11_BufPot*DU49</f>
        <v>0</v>
      </c>
      <c r="EA49" s="20" t="n">
        <f aca="false">IF(AND(DS49=1,Slot11_IsMfree=1),IF(DX49&gt;=Slot11_Cost-1,0,MAX(0,DQ49-DX49)),DQ49)</f>
        <v>0</v>
      </c>
      <c r="EB49" s="20" t="n">
        <f aca="false">DS49*(Slot11_Cost-DX49)</f>
        <v>0</v>
      </c>
      <c r="EC49" s="20" t="n">
        <f aca="false">IF(AND(Slot12_On=1,D49=Slot12_Age),1,0)</f>
        <v>0</v>
      </c>
      <c r="ED49" s="20" t="n">
        <f aca="false">IF(AND(Slot12_On=1,Slot12_Age&gt;D49),1,0)</f>
        <v>0</v>
      </c>
      <c r="EE49" s="20" t="n">
        <f aca="false">SE48</f>
        <v>0</v>
      </c>
      <c r="EF49" s="20" t="n">
        <f aca="false">EC49*MIN(Slot12_Cost,EE49)</f>
        <v>0</v>
      </c>
      <c r="EG49" s="20" t="n">
        <f aca="false">EC49*Slot12_SpendLike*MIN(Slot12_Cost-EF49,DY49)</f>
        <v>0</v>
      </c>
      <c r="EH49" s="20" t="n">
        <f aca="false">EF49+EG49</f>
        <v>0</v>
      </c>
      <c r="EI49" s="20" t="n">
        <f aca="false">DY49-EG49+EC49*IF(Slot12_SpendLike=1,EE49-EF49,IF(Slot12_PotFree=1,EE49,0))</f>
        <v>0</v>
      </c>
      <c r="EJ49" s="20" t="n">
        <f aca="false">DZ49+EC49*Slot12_BufPot*EE49</f>
        <v>0</v>
      </c>
      <c r="EK49" s="20" t="n">
        <f aca="false">IF(AND(EC49=1,Slot12_IsMfree=1),IF(EH49&gt;=Slot12_Cost-1,0,MAX(0,EA49-EH49)),EA49)</f>
        <v>0</v>
      </c>
      <c r="EL49" s="20" t="n">
        <f aca="false">EC49*(Slot12_Cost-EH49)</f>
        <v>0</v>
      </c>
      <c r="EM49" s="20" t="n">
        <f aca="false">IF(AND(Slot13_On=1,D49=Slot13_Age),1,0)</f>
        <v>0</v>
      </c>
      <c r="EN49" s="20" t="n">
        <f aca="false">IF(AND(Slot13_On=1,Slot13_Age&gt;D49),1,0)</f>
        <v>0</v>
      </c>
      <c r="EO49" s="20" t="n">
        <f aca="false">SI48</f>
        <v>0</v>
      </c>
      <c r="EP49" s="20" t="n">
        <f aca="false">EM49*MIN(Slot13_Cost,EO49)</f>
        <v>0</v>
      </c>
      <c r="EQ49" s="20" t="n">
        <f aca="false">EM49*Slot13_SpendLike*MIN(Slot13_Cost-EP49,EI49)</f>
        <v>0</v>
      </c>
      <c r="ER49" s="20" t="n">
        <f aca="false">EP49+EQ49</f>
        <v>0</v>
      </c>
      <c r="ES49" s="20" t="n">
        <f aca="false">EI49-EQ49+EM49*IF(Slot13_SpendLike=1,EO49-EP49,IF(Slot13_PotFree=1,EO49,0))</f>
        <v>0</v>
      </c>
      <c r="ET49" s="20" t="n">
        <f aca="false">EJ49+EM49*Slot13_BufPot*EO49</f>
        <v>0</v>
      </c>
      <c r="EU49" s="20" t="n">
        <f aca="false">IF(AND(EM49=1,Slot13_IsMfree=1),IF(ER49&gt;=Slot13_Cost-1,0,MAX(0,EK49-ER49)),EK49)</f>
        <v>0</v>
      </c>
      <c r="EV49" s="20" t="n">
        <f aca="false">EM49*(Slot13_Cost-ER49)</f>
        <v>0</v>
      </c>
      <c r="EW49" s="20" t="n">
        <f aca="false">IF(AND(Slot14_On=1,D49=Slot14_Age),1,0)</f>
        <v>0</v>
      </c>
      <c r="EX49" s="20" t="n">
        <f aca="false">IF(AND(Slot14_On=1,Slot14_Age&gt;D49),1,0)</f>
        <v>0</v>
      </c>
      <c r="EY49" s="20" t="n">
        <f aca="false">SM48</f>
        <v>0</v>
      </c>
      <c r="EZ49" s="20" t="n">
        <f aca="false">EW49*MIN(Slot14_Cost,EY49)</f>
        <v>0</v>
      </c>
      <c r="FA49" s="20" t="n">
        <f aca="false">EW49*Slot14_SpendLike*MIN(Slot14_Cost-EZ49,ES49)</f>
        <v>0</v>
      </c>
      <c r="FB49" s="20" t="n">
        <f aca="false">EZ49+FA49</f>
        <v>0</v>
      </c>
      <c r="FC49" s="20" t="n">
        <f aca="false">ES49-FA49+EW49*IF(Slot14_SpendLike=1,EY49-EZ49,IF(Slot14_PotFree=1,EY49,0))</f>
        <v>0</v>
      </c>
      <c r="FD49" s="20" t="n">
        <f aca="false">ET49+EW49*Slot14_BufPot*EY49</f>
        <v>0</v>
      </c>
      <c r="FE49" s="20" t="n">
        <f aca="false">IF(AND(EW49=1,Slot14_IsMfree=1),IF(FB49&gt;=Slot14_Cost-1,0,MAX(0,EU49-FB49)),EU49)</f>
        <v>0</v>
      </c>
      <c r="FF49" s="20" t="n">
        <f aca="false">EW49*(Slot14_Cost-FB49)</f>
        <v>0</v>
      </c>
      <c r="FG49" s="20" t="n">
        <f aca="false">IF(AND(Slot15_On=1,D49=Slot15_Age),1,0)</f>
        <v>0</v>
      </c>
      <c r="FH49" s="20" t="n">
        <f aca="false">IF(AND(Slot15_On=1,Slot15_Age&gt;D49),1,0)</f>
        <v>0</v>
      </c>
      <c r="FI49" s="20" t="n">
        <f aca="false">SQ48</f>
        <v>0</v>
      </c>
      <c r="FJ49" s="20" t="n">
        <f aca="false">FG49*MIN(Slot15_Cost,FI49)</f>
        <v>0</v>
      </c>
      <c r="FK49" s="20" t="n">
        <f aca="false">FG49*Slot15_SpendLike*MIN(Slot15_Cost-FJ49,FC49)</f>
        <v>0</v>
      </c>
      <c r="FL49" s="20" t="n">
        <f aca="false">FJ49+FK49</f>
        <v>0</v>
      </c>
      <c r="FM49" s="20" t="n">
        <f aca="false">FC49-FK49+FG49*IF(Slot15_SpendLike=1,FI49-FJ49,IF(Slot15_PotFree=1,FI49,0))</f>
        <v>0</v>
      </c>
      <c r="FN49" s="20" t="n">
        <f aca="false">FD49+FG49*Slot15_BufPot*FI49</f>
        <v>0</v>
      </c>
      <c r="FO49" s="20" t="n">
        <f aca="false">IF(AND(FG49=1,Slot15_IsMfree=1),IF(FL49&gt;=Slot15_Cost-1,0,MAX(0,FE49-FL49)),FE49)</f>
        <v>0</v>
      </c>
      <c r="FP49" s="20" t="n">
        <f aca="false">FG49*(Slot15_Cost-FL49)</f>
        <v>0</v>
      </c>
      <c r="FQ49" s="20" t="n">
        <f aca="false">IF(AND(Slot16_On=1,D49=Slot16_Age),1,0)</f>
        <v>0</v>
      </c>
      <c r="FR49" s="20" t="n">
        <f aca="false">IF(AND(Slot16_On=1,Slot16_Age&gt;D49),1,0)</f>
        <v>0</v>
      </c>
      <c r="FS49" s="20" t="n">
        <f aca="false">SU48</f>
        <v>0</v>
      </c>
      <c r="FT49" s="20" t="n">
        <f aca="false">FQ49*MIN(Slot16_Cost,FS49)</f>
        <v>0</v>
      </c>
      <c r="FU49" s="20" t="n">
        <f aca="false">FQ49*Slot16_SpendLike*MIN(Slot16_Cost-FT49,FM49)</f>
        <v>0</v>
      </c>
      <c r="FV49" s="20" t="n">
        <f aca="false">FT49+FU49</f>
        <v>0</v>
      </c>
      <c r="FW49" s="20" t="n">
        <f aca="false">FM49-FU49+FQ49*IF(Slot16_SpendLike=1,FS49-FT49,IF(Slot16_PotFree=1,FS49,0))</f>
        <v>0</v>
      </c>
      <c r="FX49" s="20" t="n">
        <f aca="false">FN49+FQ49*Slot16_BufPot*FS49</f>
        <v>0</v>
      </c>
      <c r="FY49" s="20" t="n">
        <f aca="false">IF(AND(FQ49=1,Slot16_IsMfree=1),IF(FV49&gt;=Slot16_Cost-1,0,MAX(0,FO49-FV49)),FO49)</f>
        <v>0</v>
      </c>
      <c r="FZ49" s="20" t="n">
        <f aca="false">FQ49*(Slot16_Cost-FV49)</f>
        <v>0</v>
      </c>
      <c r="GA49" s="20" t="n">
        <f aca="false">IF(AND(Slot17_On=1,D49=Slot17_Age),1,0)</f>
        <v>0</v>
      </c>
      <c r="GB49" s="20" t="n">
        <f aca="false">IF(AND(Slot17_On=1,Slot17_Age&gt;D49),1,0)</f>
        <v>0</v>
      </c>
      <c r="GC49" s="20" t="n">
        <f aca="false">SY48</f>
        <v>0</v>
      </c>
      <c r="GD49" s="20" t="n">
        <f aca="false">GA49*MIN(Slot17_Cost,GC49)</f>
        <v>0</v>
      </c>
      <c r="GE49" s="20" t="n">
        <f aca="false">GA49*Slot17_SpendLike*MIN(Slot17_Cost-GD49,FW49)</f>
        <v>0</v>
      </c>
      <c r="GF49" s="20" t="n">
        <f aca="false">GD49+GE49</f>
        <v>0</v>
      </c>
      <c r="GG49" s="20" t="n">
        <f aca="false">FW49-GE49+GA49*IF(Slot17_SpendLike=1,GC49-GD49,IF(Slot17_PotFree=1,GC49,0))</f>
        <v>0</v>
      </c>
      <c r="GH49" s="20" t="n">
        <f aca="false">FX49+GA49*Slot17_BufPot*GC49</f>
        <v>0</v>
      </c>
      <c r="GI49" s="20" t="n">
        <f aca="false">IF(AND(GA49=1,Slot17_IsMfree=1),IF(GF49&gt;=Slot17_Cost-1,0,MAX(0,FY49-GF49)),FY49)</f>
        <v>0</v>
      </c>
      <c r="GJ49" s="20" t="n">
        <f aca="false">GA49*(Slot17_Cost-GF49)</f>
        <v>0</v>
      </c>
      <c r="GK49" s="20" t="n">
        <f aca="false">IF(AND(Slot18_On=1,D49=Slot18_Age),1,0)</f>
        <v>0</v>
      </c>
      <c r="GL49" s="20" t="n">
        <f aca="false">IF(AND(Slot18_On=1,Slot18_Age&gt;D49),1,0)</f>
        <v>0</v>
      </c>
      <c r="GM49" s="20" t="n">
        <f aca="false">TC48</f>
        <v>0</v>
      </c>
      <c r="GN49" s="20" t="n">
        <f aca="false">GK49*MIN(Slot18_Cost,GM49)</f>
        <v>0</v>
      </c>
      <c r="GO49" s="20" t="n">
        <f aca="false">GK49*Slot18_SpendLike*MIN(Slot18_Cost-GN49,GG49)</f>
        <v>0</v>
      </c>
      <c r="GP49" s="20" t="n">
        <f aca="false">GN49+GO49</f>
        <v>0</v>
      </c>
      <c r="GQ49" s="20" t="n">
        <f aca="false">GG49-GO49+GK49*IF(Slot18_SpendLike=1,GM49-GN49,IF(Slot18_PotFree=1,GM49,0))</f>
        <v>0</v>
      </c>
      <c r="GR49" s="20" t="n">
        <f aca="false">GH49+GK49*Slot18_BufPot*GM49</f>
        <v>0</v>
      </c>
      <c r="GS49" s="20" t="n">
        <f aca="false">IF(AND(GK49=1,Slot18_IsMfree=1),IF(GP49&gt;=Slot18_Cost-1,0,MAX(0,GI49-GP49)),GI49)</f>
        <v>0</v>
      </c>
      <c r="GT49" s="20" t="n">
        <f aca="false">GK49*(Slot18_Cost-GP49)</f>
        <v>0</v>
      </c>
      <c r="GU49" s="20" t="n">
        <f aca="false">IF(AND(Slot19_On=1,D49=Slot19_Age),1,0)</f>
        <v>0</v>
      </c>
      <c r="GV49" s="20" t="n">
        <f aca="false">IF(AND(Slot19_On=1,Slot19_Age&gt;D49),1,0)</f>
        <v>0</v>
      </c>
      <c r="GW49" s="20" t="n">
        <f aca="false">TG48</f>
        <v>0</v>
      </c>
      <c r="GX49" s="20" t="n">
        <f aca="false">GU49*MIN(Slot19_Cost,GW49)</f>
        <v>0</v>
      </c>
      <c r="GY49" s="20" t="n">
        <f aca="false">GU49*Slot19_SpendLike*MIN(Slot19_Cost-GX49,GQ49)</f>
        <v>0</v>
      </c>
      <c r="GZ49" s="20" t="n">
        <f aca="false">GX49+GY49</f>
        <v>0</v>
      </c>
      <c r="HA49" s="20" t="n">
        <f aca="false">GQ49-GY49+GU49*IF(Slot19_SpendLike=1,GW49-GX49,IF(Slot19_PotFree=1,GW49,0))</f>
        <v>0</v>
      </c>
      <c r="HB49" s="20" t="n">
        <f aca="false">GR49+GU49*Slot19_BufPot*GW49</f>
        <v>0</v>
      </c>
      <c r="HC49" s="20" t="n">
        <f aca="false">IF(AND(GU49=1,Slot19_IsMfree=1),IF(GZ49&gt;=Slot19_Cost-1,0,MAX(0,GS49-GZ49)),GS49)</f>
        <v>0</v>
      </c>
      <c r="HD49" s="20" t="n">
        <f aca="false">GU49*(Slot19_Cost-GZ49)</f>
        <v>0</v>
      </c>
      <c r="HE49" s="20" t="n">
        <f aca="false">IF(AND(Slot20_On=1,D49=Slot20_Age),1,0)</f>
        <v>0</v>
      </c>
      <c r="HF49" s="20" t="n">
        <f aca="false">IF(AND(Slot20_On=1,Slot20_Age&gt;D49),1,0)</f>
        <v>0</v>
      </c>
      <c r="HG49" s="20" t="n">
        <f aca="false">TK48</f>
        <v>0</v>
      </c>
      <c r="HH49" s="20" t="n">
        <f aca="false">HE49*MIN(Slot20_Cost,HG49)</f>
        <v>0</v>
      </c>
      <c r="HI49" s="20" t="n">
        <f aca="false">HE49*Slot20_SpendLike*MIN(Slot20_Cost-HH49,HA49)</f>
        <v>0</v>
      </c>
      <c r="HJ49" s="20" t="n">
        <f aca="false">HH49+HI49</f>
        <v>0</v>
      </c>
      <c r="HK49" s="20" t="n">
        <f aca="false">HA49-HI49+HE49*IF(Slot20_SpendLike=1,HG49-HH49,IF(Slot20_PotFree=1,HG49,0))</f>
        <v>0</v>
      </c>
      <c r="HL49" s="20" t="n">
        <f aca="false">HB49+HE49*Slot20_BufPot*HG49</f>
        <v>0</v>
      </c>
      <c r="HM49" s="20" t="n">
        <f aca="false">IF(AND(HE49=1,Slot20_IsMfree=1),IF(HJ49&gt;=Slot20_Cost-1,0,MAX(0,HC49-HJ49)),HC49)</f>
        <v>0</v>
      </c>
      <c r="HN49" s="20" t="n">
        <f aca="false">HE49*(Slot20_Cost-HJ49)</f>
        <v>0</v>
      </c>
      <c r="HO49" s="20" t="n">
        <f aca="false">V49*Slot1_SpendLike*AA49+AG49*Slot2_SpendLike*AL49+AQ49*Slot3_SpendLike*AV49+BA49*Slot4_SpendLike*BF49+BK49*Slot5_SpendLike*BP49+BU49*Slot6_SpendLike*BZ49+CE49*Slot7_SpendLike*CJ49+CO49*Slot8_SpendLike*CT49+CY49*Slot9_SpendLike*DD49+DI49*Slot10_SpendLike*DN49+DS49*Slot11_SpendLike*DX49+EC49*Slot12_SpendLike*EH49+EM49*Slot13_SpendLike*ER49+EW49*Slot14_SpendLike*FB49+FG49*Slot15_SpendLike*FL49+FQ49*Slot16_SpendLike*FV49+GA49*Slot17_SpendLike*GF49+GK49*Slot18_SpendLike*GP49+GU49*Slot19_SpendLike*GZ49+HE49*Slot20_SpendLike*HJ49</f>
        <v>0</v>
      </c>
      <c r="HP49" s="20" t="n">
        <f aca="false">AE49+AP49+AZ49+BJ49+BT49+CD49+CN49+CX49+DH49+DR49+EB49+EL49+EV49+FF49+FP49+FZ49+GJ49+GT49+HD49+HN49</f>
        <v>0</v>
      </c>
      <c r="HQ49" s="20" t="n">
        <f aca="false">V49*Slot1_Cost+AG49*Slot2_Cost+AQ49*Slot3_Cost+BA49*Slot4_Cost+BK49*Slot5_Cost+BU49*Slot6_Cost+CE49*Slot7_Cost+CO49*Slot8_Cost+CY49*Slot9_Cost+DI49*Slot10_Cost+DS49*Slot11_Cost+EC49*Slot12_Cost+EM49*Slot13_Cost+EW49*Slot14_Cost+FG49*Slot15_Cost+FQ49*Slot16_Cost+GA49*Slot17_Cost+GK49*Slot18_Cost+GU49*Slot19_Cost+HE49*Slot20_Cost</f>
        <v>0</v>
      </c>
      <c r="HR49" s="20" t="n">
        <f aca="false">HM49</f>
        <v>0</v>
      </c>
      <c r="HS49" s="20" t="n">
        <f aca="false">H49-I49-S49</f>
        <v>-25627.5498980678</v>
      </c>
      <c r="HT49" s="20" t="n">
        <f aca="false">IF(B49=0,IF(AND(Has_q6=1,In_q6=4),PR_ShareVaries*(MAX(0,HS49)/12),MIN(IF(Has_q6=1,CHOOSE(In_q6+1,PR_SaveB1,PR_SaveB2,PR_SaveB3,PR_SaveB4,0),AS_NoAnswer),AS_SaveShare*(MAX(0,HS49)/12))),HT48)</f>
        <v>67.3316893520437</v>
      </c>
      <c r="HU49" s="20" t="n">
        <f aca="false">IF(HS49&gt;=0,1,0)</f>
        <v>0</v>
      </c>
      <c r="HV49" s="20" t="n">
        <f aca="false">MAX(0,HS49/12/F49)</f>
        <v>0</v>
      </c>
      <c r="HW49" s="20" t="n">
        <f aca="false">IF(AND(Has_q6=1,In_q6=4),PR_ShareVaries*(HV49),MIN(IF(Has_q6=1,CHOOSE(In_q6+1,PR_SaveB1,PR_SaveB2,PR_SaveB3,PR_SaveB4,0),AS_NoAnswer),AS_SaveShare*(HV49)))</f>
        <v>0</v>
      </c>
      <c r="HX49" s="20" t="n">
        <f aca="false">IF(Has_saveM=1,IF(In_saveUp="Yes",1,IF(In_saveUp="No",0,IF(In_saveM&gt;=HT49-0.5,1,0))),0)</f>
        <v>0</v>
      </c>
      <c r="HY49" s="20" t="n">
        <f aca="false">IF(Has_saveM=1,MIN(HV49,IF(HX49=1,MAX(In_saveM,HW49),MIN(In_saveM,HW49))),HW49)</f>
        <v>0</v>
      </c>
      <c r="HZ49" s="20" t="n">
        <f aca="false">IF(G49=1,HY49*12*F49,0)</f>
        <v>0</v>
      </c>
      <c r="IA49" s="20" t="n">
        <f aca="false">MAX(0,HZ49+IF(AND(WI_Retire=0,WI_M&lt;0,G49=1),WI_M*12*F49,0))</f>
        <v>0</v>
      </c>
      <c r="IB49" s="20" t="n">
        <f aca="false">Slot1_IsWG*W49+Slot2_IsWG*AH49+Slot3_IsWG*AR49+Slot4_IsWG*BB49+Slot5_IsWG*BL49+Slot6_IsWG*BV49+Slot7_IsWG*CF49+Slot8_IsWG*CP49+Slot9_IsWG*CZ49+Slot10_IsWG*DJ49+Slot11_IsWG*DT49+Slot12_IsWG*ED49+Slot13_IsWG*EN49+Slot14_IsWG*EX49+Slot15_IsWG*FH49+Slot16_IsWG*FR49+Slot17_IsWG*GB49+Slot18_IsWG*GL49+Slot19_IsWG*GV49+Slot20_IsWG*HF49</f>
        <v>0</v>
      </c>
      <c r="IC49" s="20" t="n">
        <f aca="false">IF(AND(WI_Retire=0,WI_M&gt;0,G49=1,IB49&gt;=1),WI_M*12*F49,0)</f>
        <v>0</v>
      </c>
      <c r="ID49" s="20" t="n">
        <f aca="false">IF(HU49=1,MIN(IA49,HS49),0)</f>
        <v>0</v>
      </c>
      <c r="IE49" s="20" t="n">
        <f aca="false">IF(HU49=1,MIN(IC49,HS49-ID49),0)</f>
        <v>0</v>
      </c>
      <c r="IF49" s="20" t="n">
        <f aca="false">IF(W49=1,IF(ABS((1+AS_Wage)/(1+Slot1_Rate)-1)&lt;0.000000000001,(Slot1_Age-D49)*(1+Slot1_Rate)^(Slot1_Age-D49),(1+Slot1_Rate)^(Slot1_Age-D49)*(1-((1+AS_Wage)/(1+Slot1_Rate))^(Slot1_Age-D49))/(1-(1+AS_Wage)/(1+Slot1_Rate))),1)</f>
        <v>1</v>
      </c>
      <c r="IG49" s="20" t="n">
        <f aca="false">IF(AND(HU49=1,IE49&gt;0,Slot1_IsWG=1,W49=1),MAX(0,(Slot1_Cost-X49*(1+Slot1_Rate)^(Slot1_Age-D49))/IF49),0)</f>
        <v>0</v>
      </c>
      <c r="IH49" s="20" t="n">
        <f aca="false">IF(AND(HU49=1,IE49&gt;0,Slot1_IsWG=1,W49=1),MIN(IE49,IG49),0)</f>
        <v>0</v>
      </c>
      <c r="II49" s="20" t="n">
        <f aca="false">X49+IH49</f>
        <v>0</v>
      </c>
      <c r="IJ49" s="20" t="n">
        <f aca="false">IF(W49=1,MAX(0,(Slot1_Cost-II49*(1+Slot1_Rate)^(Slot1_Age-D49))/IF49),0)</f>
        <v>0</v>
      </c>
      <c r="IK49" s="20" t="n">
        <f aca="false">IF(W49=1,MAX(0,(Slot1_Cost-X49*(1+Slot1_Rate)^(Slot1_Age-D49))/IF49),0)</f>
        <v>0</v>
      </c>
      <c r="IL49" s="20" t="n">
        <f aca="false">IF(AND(HU49=1,W49=1),MIN(ID49,IJ49),0)</f>
        <v>0</v>
      </c>
      <c r="IM49" s="20" t="n">
        <f aca="false">ID49-IL49</f>
        <v>0</v>
      </c>
      <c r="IN49" s="20" t="n">
        <f aca="false">IF(AH49=1,IF(ABS((1+AS_Wage)/(1+Slot2_Rate)-1)&lt;0.000000000001,(Slot2_Age-D49)*(1+Slot2_Rate)^(Slot2_Age-D49),(1+Slot2_Rate)^(Slot2_Age-D49)*(1-((1+AS_Wage)/(1+Slot2_Rate))^(Slot2_Age-D49))/(1-(1+AS_Wage)/(1+Slot2_Rate))),1)</f>
        <v>1</v>
      </c>
      <c r="IO49" s="20" t="n">
        <f aca="false">IF(AND(HU49=1,IE49&gt;0,Slot2_IsWG=1,AH49=1),MAX(0,(Slot2_Cost-AI49*(1+Slot2_Rate)^(Slot2_Age-D49))/IN49),0)</f>
        <v>0</v>
      </c>
      <c r="IP49" s="20" t="n">
        <f aca="false">IF(AND(HU49=1,IE49&gt;0,Slot2_IsWG=1,AH49=1),MIN(IE49,IO49),0)</f>
        <v>0</v>
      </c>
      <c r="IQ49" s="20" t="n">
        <f aca="false">AI49+IP49</f>
        <v>0</v>
      </c>
      <c r="IR49" s="20" t="n">
        <f aca="false">IF(AH49=1,MAX(0,(Slot2_Cost-IQ49*(1+Slot2_Rate)^(Slot2_Age-D49))/IN49),0)</f>
        <v>0</v>
      </c>
      <c r="IS49" s="20" t="n">
        <f aca="false">IF(AH49=1,MAX(0,(Slot2_Cost-AI49*(1+Slot2_Rate)^(Slot2_Age-D49))/IN49),0)</f>
        <v>0</v>
      </c>
      <c r="IT49" s="20" t="n">
        <f aca="false">IF(AND(HU49=1,AH49=1),MIN(IM49,IR49),0)</f>
        <v>0</v>
      </c>
      <c r="IU49" s="20" t="n">
        <f aca="false">IM49-IT49</f>
        <v>0</v>
      </c>
      <c r="IV49" s="20" t="n">
        <f aca="false">IF(AR49=1,IF(ABS((1+AS_Wage)/(1+Slot3_Rate)-1)&lt;0.000000000001,(Slot3_Age-D49)*(1+Slot3_Rate)^(Slot3_Age-D49),(1+Slot3_Rate)^(Slot3_Age-D49)*(1-((1+AS_Wage)/(1+Slot3_Rate))^(Slot3_Age-D49))/(1-(1+AS_Wage)/(1+Slot3_Rate))),1)</f>
        <v>1</v>
      </c>
      <c r="IW49" s="20" t="n">
        <f aca="false">IF(AND(HU49=1,IE49&gt;0,Slot3_IsWG=1,AR49=1),MAX(0,(Slot3_Cost-AS49*(1+Slot3_Rate)^(Slot3_Age-D49))/IV49),0)</f>
        <v>0</v>
      </c>
      <c r="IX49" s="20" t="n">
        <f aca="false">IF(AND(HU49=1,IE49&gt;0,Slot3_IsWG=1,AR49=1),MIN(IE49,IW49),0)</f>
        <v>0</v>
      </c>
      <c r="IY49" s="20" t="n">
        <f aca="false">AS49+IX49</f>
        <v>0</v>
      </c>
      <c r="IZ49" s="20" t="n">
        <f aca="false">IF(AR49=1,MAX(0,(Slot3_Cost-IY49*(1+Slot3_Rate)^(Slot3_Age-D49))/IV49),0)</f>
        <v>0</v>
      </c>
      <c r="JA49" s="20" t="n">
        <f aca="false">IF(AR49=1,MAX(0,(Slot3_Cost-AS49*(1+Slot3_Rate)^(Slot3_Age-D49))/IV49),0)</f>
        <v>0</v>
      </c>
      <c r="JB49" s="20" t="n">
        <f aca="false">IF(AND(HU49=1,AR49=1),MIN(IU49,IZ49),0)</f>
        <v>0</v>
      </c>
      <c r="JC49" s="20" t="n">
        <f aca="false">IU49-JB49</f>
        <v>0</v>
      </c>
      <c r="JD49" s="20" t="n">
        <f aca="false">IF(BB49=1,IF(ABS((1+AS_Wage)/(1+Slot4_Rate)-1)&lt;0.000000000001,(Slot4_Age-D49)*(1+Slot4_Rate)^(Slot4_Age-D49),(1+Slot4_Rate)^(Slot4_Age-D49)*(1-((1+AS_Wage)/(1+Slot4_Rate))^(Slot4_Age-D49))/(1-(1+AS_Wage)/(1+Slot4_Rate))),1)</f>
        <v>1</v>
      </c>
      <c r="JE49" s="20" t="n">
        <f aca="false">IF(AND(HU49=1,IE49&gt;0,Slot4_IsWG=1,BB49=1),MAX(0,(Slot4_Cost-BC49*(1+Slot4_Rate)^(Slot4_Age-D49))/JD49),0)</f>
        <v>0</v>
      </c>
      <c r="JF49" s="20" t="n">
        <f aca="false">IF(AND(HU49=1,IE49&gt;0,Slot4_IsWG=1,BB49=1),MIN(IE49,JE49),0)</f>
        <v>0</v>
      </c>
      <c r="JG49" s="20" t="n">
        <f aca="false">BC49+JF49</f>
        <v>0</v>
      </c>
      <c r="JH49" s="20" t="n">
        <f aca="false">IF(BB49=1,MAX(0,(Slot4_Cost-JG49*(1+Slot4_Rate)^(Slot4_Age-D49))/JD49),0)</f>
        <v>0</v>
      </c>
      <c r="JI49" s="20" t="n">
        <f aca="false">IF(BB49=1,MAX(0,(Slot4_Cost-BC49*(1+Slot4_Rate)^(Slot4_Age-D49))/JD49),0)</f>
        <v>0</v>
      </c>
      <c r="JJ49" s="20" t="n">
        <f aca="false">IF(AND(HU49=1,BB49=1),MIN(JC49,JH49),0)</f>
        <v>0</v>
      </c>
      <c r="JK49" s="20" t="n">
        <f aca="false">JC49-JJ49</f>
        <v>0</v>
      </c>
      <c r="JL49" s="20" t="n">
        <f aca="false">IF(BL49=1,IF(ABS((1+AS_Wage)/(1+Slot5_Rate)-1)&lt;0.000000000001,(Slot5_Age-D49)*(1+Slot5_Rate)^(Slot5_Age-D49),(1+Slot5_Rate)^(Slot5_Age-D49)*(1-((1+AS_Wage)/(1+Slot5_Rate))^(Slot5_Age-D49))/(1-(1+AS_Wage)/(1+Slot5_Rate))),1)</f>
        <v>1</v>
      </c>
      <c r="JM49" s="20" t="n">
        <f aca="false">IF(AND(HU49=1,IE49&gt;0,Slot5_IsWG=1,BL49=1),MAX(0,(Slot5_Cost-BM49*(1+Slot5_Rate)^(Slot5_Age-D49))/JL49),0)</f>
        <v>0</v>
      </c>
      <c r="JN49" s="20" t="n">
        <f aca="false">IF(AND(HU49=1,IE49&gt;0,Slot5_IsWG=1,BL49=1),MIN(IE49,JM49),0)</f>
        <v>0</v>
      </c>
      <c r="JO49" s="20" t="n">
        <f aca="false">BM49+JN49</f>
        <v>0</v>
      </c>
      <c r="JP49" s="20" t="n">
        <f aca="false">IF(BL49=1,MAX(0,(Slot5_Cost-JO49*(1+Slot5_Rate)^(Slot5_Age-D49))/JL49),0)</f>
        <v>0</v>
      </c>
      <c r="JQ49" s="20" t="n">
        <f aca="false">IF(BL49=1,MAX(0,(Slot5_Cost-BM49*(1+Slot5_Rate)^(Slot5_Age-D49))/JL49),0)</f>
        <v>0</v>
      </c>
      <c r="JR49" s="20" t="n">
        <f aca="false">IF(AND(HU49=1,BL49=1),MIN(JK49,JP49),0)</f>
        <v>0</v>
      </c>
      <c r="JS49" s="20" t="n">
        <f aca="false">JK49-JR49</f>
        <v>0</v>
      </c>
      <c r="JT49" s="20" t="n">
        <f aca="false">IF(BV49=1,IF(ABS((1+AS_Wage)/(1+Slot6_Rate)-1)&lt;0.000000000001,(Slot6_Age-D49)*(1+Slot6_Rate)^(Slot6_Age-D49),(1+Slot6_Rate)^(Slot6_Age-D49)*(1-((1+AS_Wage)/(1+Slot6_Rate))^(Slot6_Age-D49))/(1-(1+AS_Wage)/(1+Slot6_Rate))),1)</f>
        <v>1</v>
      </c>
      <c r="JU49" s="20" t="n">
        <f aca="false">IF(AND(HU49=1,IE49&gt;0,Slot6_IsWG=1,BV49=1),MAX(0,(Slot6_Cost-BW49*(1+Slot6_Rate)^(Slot6_Age-D49))/JT49),0)</f>
        <v>0</v>
      </c>
      <c r="JV49" s="20" t="n">
        <f aca="false">IF(AND(HU49=1,IE49&gt;0,Slot6_IsWG=1,BV49=1),MIN(IE49,JU49),0)</f>
        <v>0</v>
      </c>
      <c r="JW49" s="20" t="n">
        <f aca="false">BW49+JV49</f>
        <v>0</v>
      </c>
      <c r="JX49" s="20" t="n">
        <f aca="false">IF(BV49=1,MAX(0,(Slot6_Cost-JW49*(1+Slot6_Rate)^(Slot6_Age-D49))/JT49),0)</f>
        <v>0</v>
      </c>
      <c r="JY49" s="20" t="n">
        <f aca="false">IF(BV49=1,MAX(0,(Slot6_Cost-BW49*(1+Slot6_Rate)^(Slot6_Age-D49))/JT49),0)</f>
        <v>0</v>
      </c>
      <c r="JZ49" s="20" t="n">
        <f aca="false">IF(AND(HU49=1,BV49=1),MIN(JS49,JX49),0)</f>
        <v>0</v>
      </c>
      <c r="KA49" s="20" t="n">
        <f aca="false">JS49-JZ49</f>
        <v>0</v>
      </c>
      <c r="KB49" s="20" t="n">
        <f aca="false">IF(CF49=1,IF(ABS((1+AS_Wage)/(1+Slot7_Rate)-1)&lt;0.000000000001,(Slot7_Age-D49)*(1+Slot7_Rate)^(Slot7_Age-D49),(1+Slot7_Rate)^(Slot7_Age-D49)*(1-((1+AS_Wage)/(1+Slot7_Rate))^(Slot7_Age-D49))/(1-(1+AS_Wage)/(1+Slot7_Rate))),1)</f>
        <v>1</v>
      </c>
      <c r="KC49" s="20" t="n">
        <f aca="false">IF(AND(HU49=1,IE49&gt;0,Slot7_IsWG=1,CF49=1),MAX(0,(Slot7_Cost-CG49*(1+Slot7_Rate)^(Slot7_Age-D49))/KB49),0)</f>
        <v>0</v>
      </c>
      <c r="KD49" s="20" t="n">
        <f aca="false">IF(AND(HU49=1,IE49&gt;0,Slot7_IsWG=1,CF49=1),MIN(IE49,KC49),0)</f>
        <v>0</v>
      </c>
      <c r="KE49" s="20" t="n">
        <f aca="false">CG49+KD49</f>
        <v>0</v>
      </c>
      <c r="KF49" s="20" t="n">
        <f aca="false">IF(CF49=1,MAX(0,(Slot7_Cost-KE49*(1+Slot7_Rate)^(Slot7_Age-D49))/KB49),0)</f>
        <v>0</v>
      </c>
      <c r="KG49" s="20" t="n">
        <f aca="false">IF(CF49=1,MAX(0,(Slot7_Cost-CG49*(1+Slot7_Rate)^(Slot7_Age-D49))/KB49),0)</f>
        <v>0</v>
      </c>
      <c r="KH49" s="20" t="n">
        <f aca="false">IF(AND(HU49=1,CF49=1),MIN(KA49,KF49),0)</f>
        <v>0</v>
      </c>
      <c r="KI49" s="20" t="n">
        <f aca="false">KA49-KH49</f>
        <v>0</v>
      </c>
      <c r="KJ49" s="20" t="n">
        <f aca="false">IF(CP49=1,IF(ABS((1+AS_Wage)/(1+Slot8_Rate)-1)&lt;0.000000000001,(Slot8_Age-D49)*(1+Slot8_Rate)^(Slot8_Age-D49),(1+Slot8_Rate)^(Slot8_Age-D49)*(1-((1+AS_Wage)/(1+Slot8_Rate))^(Slot8_Age-D49))/(1-(1+AS_Wage)/(1+Slot8_Rate))),1)</f>
        <v>1</v>
      </c>
      <c r="KK49" s="20" t="n">
        <f aca="false">IF(AND(HU49=1,IE49&gt;0,Slot8_IsWG=1,CP49=1),MAX(0,(Slot8_Cost-CQ49*(1+Slot8_Rate)^(Slot8_Age-D49))/KJ49),0)</f>
        <v>0</v>
      </c>
      <c r="KL49" s="20" t="n">
        <f aca="false">IF(AND(HU49=1,IE49&gt;0,Slot8_IsWG=1,CP49=1),MIN(IE49,KK49),0)</f>
        <v>0</v>
      </c>
      <c r="KM49" s="20" t="n">
        <f aca="false">CQ49+KL49</f>
        <v>0</v>
      </c>
      <c r="KN49" s="20" t="n">
        <f aca="false">IF(CP49=1,MAX(0,(Slot8_Cost-KM49*(1+Slot8_Rate)^(Slot8_Age-D49))/KJ49),0)</f>
        <v>0</v>
      </c>
      <c r="KO49" s="20" t="n">
        <f aca="false">IF(CP49=1,MAX(0,(Slot8_Cost-CQ49*(1+Slot8_Rate)^(Slot8_Age-D49))/KJ49),0)</f>
        <v>0</v>
      </c>
      <c r="KP49" s="20" t="n">
        <f aca="false">IF(AND(HU49=1,CP49=1),MIN(KI49,KN49),0)</f>
        <v>0</v>
      </c>
      <c r="KQ49" s="20" t="n">
        <f aca="false">KI49-KP49</f>
        <v>0</v>
      </c>
      <c r="KR49" s="20" t="n">
        <f aca="false">IF(CZ49=1,IF(ABS((1+AS_Wage)/(1+Slot9_Rate)-1)&lt;0.000000000001,(Slot9_Age-D49)*(1+Slot9_Rate)^(Slot9_Age-D49),(1+Slot9_Rate)^(Slot9_Age-D49)*(1-((1+AS_Wage)/(1+Slot9_Rate))^(Slot9_Age-D49))/(1-(1+AS_Wage)/(1+Slot9_Rate))),1)</f>
        <v>1</v>
      </c>
      <c r="KS49" s="20" t="n">
        <f aca="false">IF(AND(HU49=1,IE49&gt;0,Slot9_IsWG=1,CZ49=1),MAX(0,(Slot9_Cost-DA49*(1+Slot9_Rate)^(Slot9_Age-D49))/KR49),0)</f>
        <v>0</v>
      </c>
      <c r="KT49" s="20" t="n">
        <f aca="false">IF(AND(HU49=1,IE49&gt;0,Slot9_IsWG=1,CZ49=1),MIN(IE49,KS49),0)</f>
        <v>0</v>
      </c>
      <c r="KU49" s="20" t="n">
        <f aca="false">DA49+KT49</f>
        <v>0</v>
      </c>
      <c r="KV49" s="20" t="n">
        <f aca="false">IF(CZ49=1,MAX(0,(Slot9_Cost-KU49*(1+Slot9_Rate)^(Slot9_Age-D49))/KR49),0)</f>
        <v>0</v>
      </c>
      <c r="KW49" s="20" t="n">
        <f aca="false">IF(CZ49=1,MAX(0,(Slot9_Cost-DA49*(1+Slot9_Rate)^(Slot9_Age-D49))/KR49),0)</f>
        <v>0</v>
      </c>
      <c r="KX49" s="20" t="n">
        <f aca="false">IF(AND(HU49=1,CZ49=1),MIN(KQ49,KV49),0)</f>
        <v>0</v>
      </c>
      <c r="KY49" s="20" t="n">
        <f aca="false">KQ49-KX49</f>
        <v>0</v>
      </c>
      <c r="KZ49" s="20" t="n">
        <f aca="false">IF(DJ49=1,IF(ABS((1+AS_Wage)/(1+Slot10_Rate)-1)&lt;0.000000000001,(Slot10_Age-D49)*(1+Slot10_Rate)^(Slot10_Age-D49),(1+Slot10_Rate)^(Slot10_Age-D49)*(1-((1+AS_Wage)/(1+Slot10_Rate))^(Slot10_Age-D49))/(1-(1+AS_Wage)/(1+Slot10_Rate))),1)</f>
        <v>1</v>
      </c>
      <c r="LA49" s="20" t="n">
        <f aca="false">IF(AND(HU49=1,IE49&gt;0,Slot10_IsWG=1,DJ49=1),MAX(0,(Slot10_Cost-DK49*(1+Slot10_Rate)^(Slot10_Age-D49))/KZ49),0)</f>
        <v>0</v>
      </c>
      <c r="LB49" s="20" t="n">
        <f aca="false">IF(AND(HU49=1,IE49&gt;0,Slot10_IsWG=1,DJ49=1),MIN(IE49,LA49),0)</f>
        <v>0</v>
      </c>
      <c r="LC49" s="20" t="n">
        <f aca="false">DK49+LB49</f>
        <v>0</v>
      </c>
      <c r="LD49" s="20" t="n">
        <f aca="false">IF(DJ49=1,MAX(0,(Slot10_Cost-LC49*(1+Slot10_Rate)^(Slot10_Age-D49))/KZ49),0)</f>
        <v>0</v>
      </c>
      <c r="LE49" s="20" t="n">
        <f aca="false">IF(DJ49=1,MAX(0,(Slot10_Cost-DK49*(1+Slot10_Rate)^(Slot10_Age-D49))/KZ49),0)</f>
        <v>0</v>
      </c>
      <c r="LF49" s="20" t="n">
        <f aca="false">IF(AND(HU49=1,DJ49=1),MIN(KY49,LD49),0)</f>
        <v>0</v>
      </c>
      <c r="LG49" s="20" t="n">
        <f aca="false">KY49-LF49</f>
        <v>0</v>
      </c>
      <c r="LH49" s="20" t="n">
        <f aca="false">IF(DT49=1,IF(ABS((1+AS_Wage)/(1+Slot11_Rate)-1)&lt;0.000000000001,(Slot11_Age-D49)*(1+Slot11_Rate)^(Slot11_Age-D49),(1+Slot11_Rate)^(Slot11_Age-D49)*(1-((1+AS_Wage)/(1+Slot11_Rate))^(Slot11_Age-D49))/(1-(1+AS_Wage)/(1+Slot11_Rate))),1)</f>
        <v>1</v>
      </c>
      <c r="LI49" s="20" t="n">
        <f aca="false">IF(AND(HU49=1,IE49&gt;0,Slot11_IsWG=1,DT49=1),MAX(0,(Slot11_Cost-DU49*(1+Slot11_Rate)^(Slot11_Age-D49))/LH49),0)</f>
        <v>0</v>
      </c>
      <c r="LJ49" s="20" t="n">
        <f aca="false">IF(AND(HU49=1,IE49&gt;0,Slot11_IsWG=1,DT49=1),MIN(IE49,LI49),0)</f>
        <v>0</v>
      </c>
      <c r="LK49" s="20" t="n">
        <f aca="false">DU49+LJ49</f>
        <v>0</v>
      </c>
      <c r="LL49" s="20" t="n">
        <f aca="false">IF(DT49=1,MAX(0,(Slot11_Cost-LK49*(1+Slot11_Rate)^(Slot11_Age-D49))/LH49),0)</f>
        <v>0</v>
      </c>
      <c r="LM49" s="20" t="n">
        <f aca="false">IF(DT49=1,MAX(0,(Slot11_Cost-DU49*(1+Slot11_Rate)^(Slot11_Age-D49))/LH49),0)</f>
        <v>0</v>
      </c>
      <c r="LN49" s="20" t="n">
        <f aca="false">IF(AND(HU49=1,DT49=1),MIN(LG49,LL49),0)</f>
        <v>0</v>
      </c>
      <c r="LO49" s="20" t="n">
        <f aca="false">LG49-LN49</f>
        <v>0</v>
      </c>
      <c r="LP49" s="20" t="n">
        <f aca="false">IF(ED49=1,IF(ABS((1+AS_Wage)/(1+Slot12_Rate)-1)&lt;0.000000000001,(Slot12_Age-D49)*(1+Slot12_Rate)^(Slot12_Age-D49),(1+Slot12_Rate)^(Slot12_Age-D49)*(1-((1+AS_Wage)/(1+Slot12_Rate))^(Slot12_Age-D49))/(1-(1+AS_Wage)/(1+Slot12_Rate))),1)</f>
        <v>1</v>
      </c>
      <c r="LQ49" s="20" t="n">
        <f aca="false">IF(AND(HU49=1,IE49&gt;0,Slot12_IsWG=1,ED49=1),MAX(0,(Slot12_Cost-EE49*(1+Slot12_Rate)^(Slot12_Age-D49))/LP49),0)</f>
        <v>0</v>
      </c>
      <c r="LR49" s="20" t="n">
        <f aca="false">IF(AND(HU49=1,IE49&gt;0,Slot12_IsWG=1,ED49=1),MIN(IE49,LQ49),0)</f>
        <v>0</v>
      </c>
      <c r="LS49" s="20" t="n">
        <f aca="false">EE49+LR49</f>
        <v>0</v>
      </c>
      <c r="LT49" s="20" t="n">
        <f aca="false">IF(ED49=1,MAX(0,(Slot12_Cost-LS49*(1+Slot12_Rate)^(Slot12_Age-D49))/LP49),0)</f>
        <v>0</v>
      </c>
      <c r="LU49" s="20" t="n">
        <f aca="false">IF(ED49=1,MAX(0,(Slot12_Cost-EE49*(1+Slot12_Rate)^(Slot12_Age-D49))/LP49),0)</f>
        <v>0</v>
      </c>
      <c r="LV49" s="20" t="n">
        <f aca="false">IF(AND(HU49=1,ED49=1),MIN(LO49,LT49),0)</f>
        <v>0</v>
      </c>
      <c r="LW49" s="20" t="n">
        <f aca="false">LO49-LV49</f>
        <v>0</v>
      </c>
      <c r="LX49" s="20" t="n">
        <f aca="false">IF(EN49=1,IF(ABS((1+AS_Wage)/(1+Slot13_Rate)-1)&lt;0.000000000001,(Slot13_Age-D49)*(1+Slot13_Rate)^(Slot13_Age-D49),(1+Slot13_Rate)^(Slot13_Age-D49)*(1-((1+AS_Wage)/(1+Slot13_Rate))^(Slot13_Age-D49))/(1-(1+AS_Wage)/(1+Slot13_Rate))),1)</f>
        <v>1</v>
      </c>
      <c r="LY49" s="20" t="n">
        <f aca="false">IF(AND(HU49=1,IE49&gt;0,Slot13_IsWG=1,EN49=1),MAX(0,(Slot13_Cost-EO49*(1+Slot13_Rate)^(Slot13_Age-D49))/LX49),0)</f>
        <v>0</v>
      </c>
      <c r="LZ49" s="20" t="n">
        <f aca="false">IF(AND(HU49=1,IE49&gt;0,Slot13_IsWG=1,EN49=1),MIN(IE49,LY49),0)</f>
        <v>0</v>
      </c>
      <c r="MA49" s="20" t="n">
        <f aca="false">EO49+LZ49</f>
        <v>0</v>
      </c>
      <c r="MB49" s="20" t="n">
        <f aca="false">IF(EN49=1,MAX(0,(Slot13_Cost-MA49*(1+Slot13_Rate)^(Slot13_Age-D49))/LX49),0)</f>
        <v>0</v>
      </c>
      <c r="MC49" s="20" t="n">
        <f aca="false">IF(EN49=1,MAX(0,(Slot13_Cost-EO49*(1+Slot13_Rate)^(Slot13_Age-D49))/LX49),0)</f>
        <v>0</v>
      </c>
      <c r="MD49" s="20" t="n">
        <f aca="false">IF(AND(HU49=1,EN49=1),MIN(LW49,MB49),0)</f>
        <v>0</v>
      </c>
      <c r="ME49" s="20" t="n">
        <f aca="false">LW49-MD49</f>
        <v>0</v>
      </c>
      <c r="MF49" s="20" t="n">
        <f aca="false">IF(EX49=1,IF(ABS((1+AS_Wage)/(1+Slot14_Rate)-1)&lt;0.000000000001,(Slot14_Age-D49)*(1+Slot14_Rate)^(Slot14_Age-D49),(1+Slot14_Rate)^(Slot14_Age-D49)*(1-((1+AS_Wage)/(1+Slot14_Rate))^(Slot14_Age-D49))/(1-(1+AS_Wage)/(1+Slot14_Rate))),1)</f>
        <v>1</v>
      </c>
      <c r="MG49" s="20" t="n">
        <f aca="false">IF(AND(HU49=1,IE49&gt;0,Slot14_IsWG=1,EX49=1),MAX(0,(Slot14_Cost-EY49*(1+Slot14_Rate)^(Slot14_Age-D49))/MF49),0)</f>
        <v>0</v>
      </c>
      <c r="MH49" s="20" t="n">
        <f aca="false">IF(AND(HU49=1,IE49&gt;0,Slot14_IsWG=1,EX49=1),MIN(IE49,MG49),0)</f>
        <v>0</v>
      </c>
      <c r="MI49" s="20" t="n">
        <f aca="false">EY49+MH49</f>
        <v>0</v>
      </c>
      <c r="MJ49" s="20" t="n">
        <f aca="false">IF(EX49=1,MAX(0,(Slot14_Cost-MI49*(1+Slot14_Rate)^(Slot14_Age-D49))/MF49),0)</f>
        <v>0</v>
      </c>
      <c r="MK49" s="20" t="n">
        <f aca="false">IF(EX49=1,MAX(0,(Slot14_Cost-EY49*(1+Slot14_Rate)^(Slot14_Age-D49))/MF49),0)</f>
        <v>0</v>
      </c>
      <c r="ML49" s="20" t="n">
        <f aca="false">IF(AND(HU49=1,EX49=1),MIN(ME49,MJ49),0)</f>
        <v>0</v>
      </c>
      <c r="MM49" s="20" t="n">
        <f aca="false">ME49-ML49</f>
        <v>0</v>
      </c>
      <c r="MN49" s="20" t="n">
        <f aca="false">IF(FH49=1,IF(ABS((1+AS_Wage)/(1+Slot15_Rate)-1)&lt;0.000000000001,(Slot15_Age-D49)*(1+Slot15_Rate)^(Slot15_Age-D49),(1+Slot15_Rate)^(Slot15_Age-D49)*(1-((1+AS_Wage)/(1+Slot15_Rate))^(Slot15_Age-D49))/(1-(1+AS_Wage)/(1+Slot15_Rate))),1)</f>
        <v>1</v>
      </c>
      <c r="MO49" s="20" t="n">
        <f aca="false">IF(AND(HU49=1,IE49&gt;0,Slot15_IsWG=1,FH49=1),MAX(0,(Slot15_Cost-FI49*(1+Slot15_Rate)^(Slot15_Age-D49))/MN49),0)</f>
        <v>0</v>
      </c>
      <c r="MP49" s="20" t="n">
        <f aca="false">IF(AND(HU49=1,IE49&gt;0,Slot15_IsWG=1,FH49=1),MIN(IE49,MO49),0)</f>
        <v>0</v>
      </c>
      <c r="MQ49" s="20" t="n">
        <f aca="false">FI49+MP49</f>
        <v>0</v>
      </c>
      <c r="MR49" s="20" t="n">
        <f aca="false">IF(FH49=1,MAX(0,(Slot15_Cost-MQ49*(1+Slot15_Rate)^(Slot15_Age-D49))/MN49),0)</f>
        <v>0</v>
      </c>
      <c r="MS49" s="20" t="n">
        <f aca="false">IF(FH49=1,MAX(0,(Slot15_Cost-FI49*(1+Slot15_Rate)^(Slot15_Age-D49))/MN49),0)</f>
        <v>0</v>
      </c>
      <c r="MT49" s="20" t="n">
        <f aca="false">IF(AND(HU49=1,FH49=1),MIN(MM49,MR49),0)</f>
        <v>0</v>
      </c>
      <c r="MU49" s="20" t="n">
        <f aca="false">MM49-MT49</f>
        <v>0</v>
      </c>
      <c r="MV49" s="20" t="n">
        <f aca="false">IF(FR49=1,IF(ABS((1+AS_Wage)/(1+Slot16_Rate)-1)&lt;0.000000000001,(Slot16_Age-D49)*(1+Slot16_Rate)^(Slot16_Age-D49),(1+Slot16_Rate)^(Slot16_Age-D49)*(1-((1+AS_Wage)/(1+Slot16_Rate))^(Slot16_Age-D49))/(1-(1+AS_Wage)/(1+Slot16_Rate))),1)</f>
        <v>1</v>
      </c>
      <c r="MW49" s="20" t="n">
        <f aca="false">IF(AND(HU49=1,IE49&gt;0,Slot16_IsWG=1,FR49=1),MAX(0,(Slot16_Cost-FS49*(1+Slot16_Rate)^(Slot16_Age-D49))/MV49),0)</f>
        <v>0</v>
      </c>
      <c r="MX49" s="20" t="n">
        <f aca="false">IF(AND(HU49=1,IE49&gt;0,Slot16_IsWG=1,FR49=1),MIN(IE49,MW49),0)</f>
        <v>0</v>
      </c>
      <c r="MY49" s="20" t="n">
        <f aca="false">FS49+MX49</f>
        <v>0</v>
      </c>
      <c r="MZ49" s="20" t="n">
        <f aca="false">IF(FR49=1,MAX(0,(Slot16_Cost-MY49*(1+Slot16_Rate)^(Slot16_Age-D49))/MV49),0)</f>
        <v>0</v>
      </c>
      <c r="NA49" s="20" t="n">
        <f aca="false">IF(FR49=1,MAX(0,(Slot16_Cost-FS49*(1+Slot16_Rate)^(Slot16_Age-D49))/MV49),0)</f>
        <v>0</v>
      </c>
      <c r="NB49" s="20" t="n">
        <f aca="false">IF(AND(HU49=1,FR49=1),MIN(MU49,MZ49),0)</f>
        <v>0</v>
      </c>
      <c r="NC49" s="20" t="n">
        <f aca="false">MU49-NB49</f>
        <v>0</v>
      </c>
      <c r="ND49" s="20" t="n">
        <f aca="false">IF(GB49=1,IF(ABS((1+AS_Wage)/(1+Slot17_Rate)-1)&lt;0.000000000001,(Slot17_Age-D49)*(1+Slot17_Rate)^(Slot17_Age-D49),(1+Slot17_Rate)^(Slot17_Age-D49)*(1-((1+AS_Wage)/(1+Slot17_Rate))^(Slot17_Age-D49))/(1-(1+AS_Wage)/(1+Slot17_Rate))),1)</f>
        <v>1</v>
      </c>
      <c r="NE49" s="20" t="n">
        <f aca="false">IF(AND(HU49=1,IE49&gt;0,Slot17_IsWG=1,GB49=1),MAX(0,(Slot17_Cost-GC49*(1+Slot17_Rate)^(Slot17_Age-D49))/ND49),0)</f>
        <v>0</v>
      </c>
      <c r="NF49" s="20" t="n">
        <f aca="false">IF(AND(HU49=1,IE49&gt;0,Slot17_IsWG=1,GB49=1),MIN(IE49,NE49),0)</f>
        <v>0</v>
      </c>
      <c r="NG49" s="20" t="n">
        <f aca="false">GC49+NF49</f>
        <v>0</v>
      </c>
      <c r="NH49" s="20" t="n">
        <f aca="false">IF(GB49=1,MAX(0,(Slot17_Cost-NG49*(1+Slot17_Rate)^(Slot17_Age-D49))/ND49),0)</f>
        <v>0</v>
      </c>
      <c r="NI49" s="20" t="n">
        <f aca="false">IF(GB49=1,MAX(0,(Slot17_Cost-GC49*(1+Slot17_Rate)^(Slot17_Age-D49))/ND49),0)</f>
        <v>0</v>
      </c>
      <c r="NJ49" s="20" t="n">
        <f aca="false">IF(AND(HU49=1,GB49=1),MIN(NC49,NH49),0)</f>
        <v>0</v>
      </c>
      <c r="NK49" s="20" t="n">
        <f aca="false">NC49-NJ49</f>
        <v>0</v>
      </c>
      <c r="NL49" s="20" t="n">
        <f aca="false">IF(GL49=1,IF(ABS((1+AS_Wage)/(1+Slot18_Rate)-1)&lt;0.000000000001,(Slot18_Age-D49)*(1+Slot18_Rate)^(Slot18_Age-D49),(1+Slot18_Rate)^(Slot18_Age-D49)*(1-((1+AS_Wage)/(1+Slot18_Rate))^(Slot18_Age-D49))/(1-(1+AS_Wage)/(1+Slot18_Rate))),1)</f>
        <v>1</v>
      </c>
      <c r="NM49" s="20" t="n">
        <f aca="false">IF(AND(HU49=1,IE49&gt;0,Slot18_IsWG=1,GL49=1),MAX(0,(Slot18_Cost-GM49*(1+Slot18_Rate)^(Slot18_Age-D49))/NL49),0)</f>
        <v>0</v>
      </c>
      <c r="NN49" s="20" t="n">
        <f aca="false">IF(AND(HU49=1,IE49&gt;0,Slot18_IsWG=1,GL49=1),MIN(IE49,NM49),0)</f>
        <v>0</v>
      </c>
      <c r="NO49" s="20" t="n">
        <f aca="false">GM49+NN49</f>
        <v>0</v>
      </c>
      <c r="NP49" s="20" t="n">
        <f aca="false">IF(GL49=1,MAX(0,(Slot18_Cost-NO49*(1+Slot18_Rate)^(Slot18_Age-D49))/NL49),0)</f>
        <v>0</v>
      </c>
      <c r="NQ49" s="20" t="n">
        <f aca="false">IF(GL49=1,MAX(0,(Slot18_Cost-GM49*(1+Slot18_Rate)^(Slot18_Age-D49))/NL49),0)</f>
        <v>0</v>
      </c>
      <c r="NR49" s="20" t="n">
        <f aca="false">IF(AND(HU49=1,GL49=1),MIN(NK49,NP49),0)</f>
        <v>0</v>
      </c>
      <c r="NS49" s="20" t="n">
        <f aca="false">NK49-NR49</f>
        <v>0</v>
      </c>
      <c r="NT49" s="20" t="n">
        <f aca="false">IF(GV49=1,IF(ABS((1+AS_Wage)/(1+Slot19_Rate)-1)&lt;0.000000000001,(Slot19_Age-D49)*(1+Slot19_Rate)^(Slot19_Age-D49),(1+Slot19_Rate)^(Slot19_Age-D49)*(1-((1+AS_Wage)/(1+Slot19_Rate))^(Slot19_Age-D49))/(1-(1+AS_Wage)/(1+Slot19_Rate))),1)</f>
        <v>1</v>
      </c>
      <c r="NU49" s="20" t="n">
        <f aca="false">IF(AND(HU49=1,IE49&gt;0,Slot19_IsWG=1,GV49=1),MAX(0,(Slot19_Cost-GW49*(1+Slot19_Rate)^(Slot19_Age-D49))/NT49),0)</f>
        <v>0</v>
      </c>
      <c r="NV49" s="20" t="n">
        <f aca="false">IF(AND(HU49=1,IE49&gt;0,Slot19_IsWG=1,GV49=1),MIN(IE49,NU49),0)</f>
        <v>0</v>
      </c>
      <c r="NW49" s="20" t="n">
        <f aca="false">GW49+NV49</f>
        <v>0</v>
      </c>
      <c r="NX49" s="20" t="n">
        <f aca="false">IF(GV49=1,MAX(0,(Slot19_Cost-NW49*(1+Slot19_Rate)^(Slot19_Age-D49))/NT49),0)</f>
        <v>0</v>
      </c>
      <c r="NY49" s="20" t="n">
        <f aca="false">IF(GV49=1,MAX(0,(Slot19_Cost-GW49*(1+Slot19_Rate)^(Slot19_Age-D49))/NT49),0)</f>
        <v>0</v>
      </c>
      <c r="NZ49" s="20" t="n">
        <f aca="false">IF(AND(HU49=1,GV49=1),MIN(NS49,NX49),0)</f>
        <v>0</v>
      </c>
      <c r="OA49" s="20" t="n">
        <f aca="false">NS49-NZ49</f>
        <v>0</v>
      </c>
      <c r="OB49" s="20" t="n">
        <f aca="false">IF(HF49=1,IF(ABS((1+AS_Wage)/(1+Slot20_Rate)-1)&lt;0.000000000001,(Slot20_Age-D49)*(1+Slot20_Rate)^(Slot20_Age-D49),(1+Slot20_Rate)^(Slot20_Age-D49)*(1-((1+AS_Wage)/(1+Slot20_Rate))^(Slot20_Age-D49))/(1-(1+AS_Wage)/(1+Slot20_Rate))),1)</f>
        <v>1</v>
      </c>
      <c r="OC49" s="20" t="n">
        <f aca="false">IF(AND(HU49=1,IE49&gt;0,Slot20_IsWG=1,HF49=1),MAX(0,(Slot20_Cost-HG49*(1+Slot20_Rate)^(Slot20_Age-D49))/OB49),0)</f>
        <v>0</v>
      </c>
      <c r="OD49" s="20" t="n">
        <f aca="false">IF(AND(HU49=1,IE49&gt;0,Slot20_IsWG=1,HF49=1),MIN(IE49,OC49),0)</f>
        <v>0</v>
      </c>
      <c r="OE49" s="20" t="n">
        <f aca="false">HG49+OD49</f>
        <v>0</v>
      </c>
      <c r="OF49" s="20" t="n">
        <f aca="false">IF(HF49=1,MAX(0,(Slot20_Cost-OE49*(1+Slot20_Rate)^(Slot20_Age-D49))/OB49),0)</f>
        <v>0</v>
      </c>
      <c r="OG49" s="20" t="n">
        <f aca="false">IF(HF49=1,MAX(0,(Slot20_Cost-HG49*(1+Slot20_Rate)^(Slot20_Age-D49))/OB49),0)</f>
        <v>0</v>
      </c>
      <c r="OH49" s="20" t="n">
        <f aca="false">IF(AND(HU49=1,HF49=1),MIN(OA49,OF49),0)</f>
        <v>0</v>
      </c>
      <c r="OI49" s="20" t="n">
        <f aca="false">OA49-OH49</f>
        <v>0</v>
      </c>
      <c r="OJ49" s="20" t="n">
        <f aca="false">IE49-(IH49+IP49+IX49+JF49+JN49+JV49+KD49+KL49+KT49+LB49+LJ49+LR49+LZ49+MH49+MP49+MX49+NF49+NN49+NV49+OD49)</f>
        <v>0</v>
      </c>
      <c r="OK49" s="20" t="n">
        <f aca="false">IF(HU49=1,HS49-ID49-IE49,0)</f>
        <v>0</v>
      </c>
      <c r="OL49" s="20" t="n">
        <f aca="false">IF(HU49=0,-HS49,0)</f>
        <v>25627.5498980678</v>
      </c>
      <c r="OM49" s="20" t="n">
        <f aca="false">MIN(OL49,HK49)</f>
        <v>0</v>
      </c>
      <c r="ON49" s="20" t="n">
        <f aca="false">OL49-OM49</f>
        <v>25627.5498980678</v>
      </c>
      <c r="OO49" s="20" t="n">
        <f aca="false">MIN(ON49,HL49)</f>
        <v>0</v>
      </c>
      <c r="OP49" s="20" t="n">
        <f aca="false">ON49-OO49</f>
        <v>25627.5498980678</v>
      </c>
      <c r="OQ49" s="20" t="n">
        <f aca="false">IF(AND(HU49=0,HF49=1,OP49&gt;0),MIN(OP49,HG49),0)</f>
        <v>0</v>
      </c>
      <c r="OR49" s="20" t="n">
        <f aca="false">OP49-OQ49</f>
        <v>25627.5498980678</v>
      </c>
      <c r="OS49" s="20" t="n">
        <f aca="false">IF(AND(HU49=0,GV49=1,OR49&gt;0),MIN(OR49,GW49),0)</f>
        <v>0</v>
      </c>
      <c r="OT49" s="20" t="n">
        <f aca="false">OR49-OS49</f>
        <v>25627.5498980678</v>
      </c>
      <c r="OU49" s="20" t="n">
        <f aca="false">IF(AND(HU49=0,GL49=1,OT49&gt;0),MIN(OT49,GM49),0)</f>
        <v>0</v>
      </c>
      <c r="OV49" s="20" t="n">
        <f aca="false">OT49-OU49</f>
        <v>25627.5498980678</v>
      </c>
      <c r="OW49" s="20" t="n">
        <f aca="false">IF(AND(HU49=0,GB49=1,OV49&gt;0),MIN(OV49,GC49),0)</f>
        <v>0</v>
      </c>
      <c r="OX49" s="20" t="n">
        <f aca="false">OV49-OW49</f>
        <v>25627.5498980678</v>
      </c>
      <c r="OY49" s="20" t="n">
        <f aca="false">IF(AND(HU49=0,FR49=1,OX49&gt;0),MIN(OX49,FS49),0)</f>
        <v>0</v>
      </c>
      <c r="OZ49" s="20" t="n">
        <f aca="false">OX49-OY49</f>
        <v>25627.5498980678</v>
      </c>
      <c r="PA49" s="20" t="n">
        <f aca="false">IF(AND(HU49=0,FH49=1,OZ49&gt;0),MIN(OZ49,FI49),0)</f>
        <v>0</v>
      </c>
      <c r="PB49" s="20" t="n">
        <f aca="false">OZ49-PA49</f>
        <v>25627.5498980678</v>
      </c>
      <c r="PC49" s="20" t="n">
        <f aca="false">IF(AND(HU49=0,EX49=1,PB49&gt;0),MIN(PB49,EY49),0)</f>
        <v>0</v>
      </c>
      <c r="PD49" s="20" t="n">
        <f aca="false">PB49-PC49</f>
        <v>25627.5498980678</v>
      </c>
      <c r="PE49" s="20" t="n">
        <f aca="false">IF(AND(HU49=0,EN49=1,PD49&gt;0),MIN(PD49,EO49),0)</f>
        <v>0</v>
      </c>
      <c r="PF49" s="20" t="n">
        <f aca="false">PD49-PE49</f>
        <v>25627.5498980678</v>
      </c>
      <c r="PG49" s="20" t="n">
        <f aca="false">IF(AND(HU49=0,ED49=1,PF49&gt;0),MIN(PF49,EE49),0)</f>
        <v>0</v>
      </c>
      <c r="PH49" s="20" t="n">
        <f aca="false">PF49-PG49</f>
        <v>25627.5498980678</v>
      </c>
      <c r="PI49" s="20" t="n">
        <f aca="false">IF(AND(HU49=0,DT49=1,PH49&gt;0),MIN(PH49,DU49),0)</f>
        <v>0</v>
      </c>
      <c r="PJ49" s="20" t="n">
        <f aca="false">PH49-PI49</f>
        <v>25627.5498980678</v>
      </c>
      <c r="PK49" s="20" t="n">
        <f aca="false">IF(AND(HU49=0,DJ49=1,PJ49&gt;0),MIN(PJ49,DK49),0)</f>
        <v>0</v>
      </c>
      <c r="PL49" s="20" t="n">
        <f aca="false">PJ49-PK49</f>
        <v>25627.5498980678</v>
      </c>
      <c r="PM49" s="20" t="n">
        <f aca="false">IF(AND(HU49=0,CZ49=1,PL49&gt;0),MIN(PL49,DA49),0)</f>
        <v>0</v>
      </c>
      <c r="PN49" s="20" t="n">
        <f aca="false">PL49-PM49</f>
        <v>25627.5498980678</v>
      </c>
      <c r="PO49" s="20" t="n">
        <f aca="false">IF(AND(HU49=0,CP49=1,PN49&gt;0),MIN(PN49,CQ49),0)</f>
        <v>0</v>
      </c>
      <c r="PP49" s="20" t="n">
        <f aca="false">PN49-PO49</f>
        <v>25627.5498980678</v>
      </c>
      <c r="PQ49" s="20" t="n">
        <f aca="false">IF(AND(HU49=0,CF49=1,PP49&gt;0),MIN(PP49,CG49),0)</f>
        <v>0</v>
      </c>
      <c r="PR49" s="20" t="n">
        <f aca="false">PP49-PQ49</f>
        <v>25627.5498980678</v>
      </c>
      <c r="PS49" s="20" t="n">
        <f aca="false">IF(AND(HU49=0,BV49=1,PR49&gt;0),MIN(PR49,BW49),0)</f>
        <v>0</v>
      </c>
      <c r="PT49" s="20" t="n">
        <f aca="false">PR49-PS49</f>
        <v>25627.5498980678</v>
      </c>
      <c r="PU49" s="20" t="n">
        <f aca="false">IF(AND(HU49=0,BL49=1,PT49&gt;0),MIN(PT49,BM49),0)</f>
        <v>0</v>
      </c>
      <c r="PV49" s="20" t="n">
        <f aca="false">PT49-PU49</f>
        <v>25627.5498980678</v>
      </c>
      <c r="PW49" s="20" t="n">
        <f aca="false">IF(AND(HU49=0,BB49=1,PV49&gt;0),MIN(PV49,BC49),0)</f>
        <v>0</v>
      </c>
      <c r="PX49" s="20" t="n">
        <f aca="false">PV49-PW49</f>
        <v>25627.5498980678</v>
      </c>
      <c r="PY49" s="20" t="n">
        <f aca="false">IF(AND(HU49=0,AR49=1,PX49&gt;0),MIN(PX49,AS49),0)</f>
        <v>0</v>
      </c>
      <c r="PZ49" s="20" t="n">
        <f aca="false">PX49-PY49</f>
        <v>25627.5498980678</v>
      </c>
      <c r="QA49" s="20" t="n">
        <f aca="false">IF(AND(HU49=0,AH49=1,PZ49&gt;0),MIN(PZ49,AI49),0)</f>
        <v>0</v>
      </c>
      <c r="QB49" s="20" t="n">
        <f aca="false">PZ49-QA49</f>
        <v>25627.5498980678</v>
      </c>
      <c r="QC49" s="20" t="n">
        <f aca="false">IF(AND(HU49=0,W49=1,QB49&gt;0),MIN(QB49,X49),0)</f>
        <v>0</v>
      </c>
      <c r="QD49" s="20" t="n">
        <f aca="false">QB49-QC49</f>
        <v>25627.5498980678</v>
      </c>
      <c r="QE49" s="20" t="n">
        <f aca="false">IF(HU49=0,QD49,0)</f>
        <v>25627.5498980678</v>
      </c>
      <c r="QF49" s="20" t="n">
        <f aca="false">OM49+OO49+QC49+QA49+PY49+PW49+PU49+PS49+PQ49+PO49+PM49+PK49+PI49+PG49+PE49+PC49+PA49+OY49+OW49+OU49+OS49+OQ49</f>
        <v>0</v>
      </c>
      <c r="QG49" s="20" t="n">
        <f aca="false">IF(HU49=1,HK49+OJ49+OI49+IF(G49=1,0,OK49),HK49-OM49)</f>
        <v>0</v>
      </c>
      <c r="QH49" s="20" t="n">
        <f aca="false">HL49-OO49</f>
        <v>0</v>
      </c>
      <c r="QI49" s="20" t="n">
        <f aca="false">IF(HU49=1,IF(G49=1,ID49+IE49,HS49),0)</f>
        <v>0</v>
      </c>
      <c r="QJ49" s="20" t="n">
        <f aca="false">IF(HU49=1,IF(G49=1,HS49-ID49-IE49,0),0)</f>
        <v>0</v>
      </c>
      <c r="QK49" s="57" t="n">
        <f aca="false">'Plan holdings'!BM49</f>
        <v>0</v>
      </c>
      <c r="QL49" s="20" t="n">
        <f aca="false">QH49*(1+AS_Cash)</f>
        <v>0</v>
      </c>
      <c r="QM49" s="20" t="n">
        <f aca="false">IF(W49=1,IF(HU49=1,II49+IL49,X49-QC49)*(1+Slot1_Rate),0)</f>
        <v>0</v>
      </c>
      <c r="QN49" s="20" t="n">
        <f aca="false">IF(AND(HU49=1,W49=1),(IH49+IL49)/F49,0)</f>
        <v>0</v>
      </c>
      <c r="QO49" s="20" t="n">
        <f aca="false">IF(B49=0,IH49+IL49,0)</f>
        <v>0</v>
      </c>
      <c r="QP49" s="20" t="n">
        <f aca="false">IF(B49=0,IF(HU49=1,IJ49,IK49),0)</f>
        <v>0</v>
      </c>
      <c r="QQ49" s="20" t="n">
        <f aca="false">IF(AH49=1,IF(HU49=1,IQ49+IT49,AI49-QA49)*(1+Slot2_Rate),0)</f>
        <v>0</v>
      </c>
      <c r="QR49" s="20" t="n">
        <f aca="false">IF(AND(HU49=1,AH49=1),(IP49+IT49)/F49,0)</f>
        <v>0</v>
      </c>
      <c r="QS49" s="20" t="n">
        <f aca="false">IF(B49=0,IP49+IT49,0)</f>
        <v>0</v>
      </c>
      <c r="QT49" s="20" t="n">
        <f aca="false">IF(B49=0,IF(HU49=1,IR49,IS49),0)</f>
        <v>0</v>
      </c>
      <c r="QU49" s="20" t="n">
        <f aca="false">IF(AR49=1,IF(HU49=1,IY49+JB49,AS49-PY49)*(1+Slot3_Rate),0)</f>
        <v>0</v>
      </c>
      <c r="QV49" s="20" t="n">
        <f aca="false">IF(AND(HU49=1,AR49=1),(IX49+JB49)/F49,0)</f>
        <v>0</v>
      </c>
      <c r="QW49" s="20" t="n">
        <f aca="false">IF(B49=0,IX49+JB49,0)</f>
        <v>0</v>
      </c>
      <c r="QX49" s="20" t="n">
        <f aca="false">IF(B49=0,IF(HU49=1,IZ49,JA49),0)</f>
        <v>0</v>
      </c>
      <c r="QY49" s="20" t="n">
        <f aca="false">IF(BB49=1,IF(HU49=1,JG49+JJ49,BC49-PW49)*(1+Slot4_Rate),0)</f>
        <v>0</v>
      </c>
      <c r="QZ49" s="20" t="n">
        <f aca="false">IF(AND(HU49=1,BB49=1),(JF49+JJ49)/F49,0)</f>
        <v>0</v>
      </c>
      <c r="RA49" s="20" t="n">
        <f aca="false">IF(B49=0,JF49+JJ49,0)</f>
        <v>0</v>
      </c>
      <c r="RB49" s="20" t="n">
        <f aca="false">IF(B49=0,IF(HU49=1,JH49,JI49),0)</f>
        <v>0</v>
      </c>
      <c r="RC49" s="20" t="n">
        <f aca="false">IF(BL49=1,IF(HU49=1,JO49+JR49,BM49-PU49)*(1+Slot5_Rate),0)</f>
        <v>0</v>
      </c>
      <c r="RD49" s="20" t="n">
        <f aca="false">IF(AND(HU49=1,BL49=1),(JN49+JR49)/F49,0)</f>
        <v>0</v>
      </c>
      <c r="RE49" s="20" t="n">
        <f aca="false">IF(B49=0,JN49+JR49,0)</f>
        <v>0</v>
      </c>
      <c r="RF49" s="20" t="n">
        <f aca="false">IF(B49=0,IF(HU49=1,JP49,JQ49),0)</f>
        <v>0</v>
      </c>
      <c r="RG49" s="20" t="n">
        <f aca="false">IF(BV49=1,IF(HU49=1,JW49+JZ49,BW49-PS49)*(1+Slot6_Rate),0)</f>
        <v>0</v>
      </c>
      <c r="RH49" s="20" t="n">
        <f aca="false">IF(AND(HU49=1,BV49=1),(JV49+JZ49)/F49,0)</f>
        <v>0</v>
      </c>
      <c r="RI49" s="20" t="n">
        <f aca="false">IF(B49=0,JV49+JZ49,0)</f>
        <v>0</v>
      </c>
      <c r="RJ49" s="20" t="n">
        <f aca="false">IF(B49=0,IF(HU49=1,JX49,JY49),0)</f>
        <v>0</v>
      </c>
      <c r="RK49" s="20" t="n">
        <f aca="false">IF(CF49=1,IF(HU49=1,KE49+KH49,CG49-PQ49)*(1+Slot7_Rate),0)</f>
        <v>0</v>
      </c>
      <c r="RL49" s="20" t="n">
        <f aca="false">IF(AND(HU49=1,CF49=1),(KD49+KH49)/F49,0)</f>
        <v>0</v>
      </c>
      <c r="RM49" s="20" t="n">
        <f aca="false">IF(B49=0,KD49+KH49,0)</f>
        <v>0</v>
      </c>
      <c r="RN49" s="20" t="n">
        <f aca="false">IF(B49=0,IF(HU49=1,KF49,KG49),0)</f>
        <v>0</v>
      </c>
      <c r="RO49" s="20" t="n">
        <f aca="false">IF(CP49=1,IF(HU49=1,KM49+KP49,CQ49-PO49)*(1+Slot8_Rate),0)</f>
        <v>0</v>
      </c>
      <c r="RP49" s="20" t="n">
        <f aca="false">IF(AND(HU49=1,CP49=1),(KL49+KP49)/F49,0)</f>
        <v>0</v>
      </c>
      <c r="RQ49" s="20" t="n">
        <f aca="false">IF(B49=0,KL49+KP49,0)</f>
        <v>0</v>
      </c>
      <c r="RR49" s="20" t="n">
        <f aca="false">IF(B49=0,IF(HU49=1,KN49,KO49),0)</f>
        <v>0</v>
      </c>
      <c r="RS49" s="20" t="n">
        <f aca="false">IF(CZ49=1,IF(HU49=1,KU49+KX49,DA49-PM49)*(1+Slot9_Rate),0)</f>
        <v>0</v>
      </c>
      <c r="RT49" s="20" t="n">
        <f aca="false">IF(AND(HU49=1,CZ49=1),(KT49+KX49)/F49,0)</f>
        <v>0</v>
      </c>
      <c r="RU49" s="20" t="n">
        <f aca="false">IF(B49=0,KT49+KX49,0)</f>
        <v>0</v>
      </c>
      <c r="RV49" s="20" t="n">
        <f aca="false">IF(B49=0,IF(HU49=1,KV49,KW49),0)</f>
        <v>0</v>
      </c>
      <c r="RW49" s="20" t="n">
        <f aca="false">IF(DJ49=1,IF(HU49=1,LC49+LF49,DK49-PK49)*(1+Slot10_Rate),0)</f>
        <v>0</v>
      </c>
      <c r="RX49" s="20" t="n">
        <f aca="false">IF(AND(HU49=1,DJ49=1),(LB49+LF49)/F49,0)</f>
        <v>0</v>
      </c>
      <c r="RY49" s="20" t="n">
        <f aca="false">IF(B49=0,LB49+LF49,0)</f>
        <v>0</v>
      </c>
      <c r="RZ49" s="20" t="n">
        <f aca="false">IF(B49=0,IF(HU49=1,LD49,LE49),0)</f>
        <v>0</v>
      </c>
      <c r="SA49" s="20" t="n">
        <f aca="false">IF(DT49=1,IF(HU49=1,LK49+LN49,DU49-PI49)*(1+Slot11_Rate),0)</f>
        <v>0</v>
      </c>
      <c r="SB49" s="20" t="n">
        <f aca="false">IF(AND(HU49=1,DT49=1),(LJ49+LN49)/F49,0)</f>
        <v>0</v>
      </c>
      <c r="SC49" s="20" t="n">
        <f aca="false">IF(B49=0,LJ49+LN49,0)</f>
        <v>0</v>
      </c>
      <c r="SD49" s="20" t="n">
        <f aca="false">IF(B49=0,IF(HU49=1,LL49,LM49),0)</f>
        <v>0</v>
      </c>
      <c r="SE49" s="20" t="n">
        <f aca="false">IF(ED49=1,IF(HU49=1,LS49+LV49,EE49-PG49)*(1+Slot12_Rate),0)</f>
        <v>0</v>
      </c>
      <c r="SF49" s="20" t="n">
        <f aca="false">IF(AND(HU49=1,ED49=1),(LR49+LV49)/F49,0)</f>
        <v>0</v>
      </c>
      <c r="SG49" s="20" t="n">
        <f aca="false">IF(B49=0,LR49+LV49,0)</f>
        <v>0</v>
      </c>
      <c r="SH49" s="20" t="n">
        <f aca="false">IF(B49=0,IF(HU49=1,LT49,LU49),0)</f>
        <v>0</v>
      </c>
      <c r="SI49" s="20" t="n">
        <f aca="false">IF(EN49=1,IF(HU49=1,MA49+MD49,EO49-PE49)*(1+Slot13_Rate),0)</f>
        <v>0</v>
      </c>
      <c r="SJ49" s="20" t="n">
        <f aca="false">IF(AND(HU49=1,EN49=1),(LZ49+MD49)/F49,0)</f>
        <v>0</v>
      </c>
      <c r="SK49" s="20" t="n">
        <f aca="false">IF(B49=0,LZ49+MD49,0)</f>
        <v>0</v>
      </c>
      <c r="SL49" s="20" t="n">
        <f aca="false">IF(B49=0,IF(HU49=1,MB49,MC49),0)</f>
        <v>0</v>
      </c>
      <c r="SM49" s="20" t="n">
        <f aca="false">IF(EX49=1,IF(HU49=1,MI49+ML49,EY49-PC49)*(1+Slot14_Rate),0)</f>
        <v>0</v>
      </c>
      <c r="SN49" s="20" t="n">
        <f aca="false">IF(AND(HU49=1,EX49=1),(MH49+ML49)/F49,0)</f>
        <v>0</v>
      </c>
      <c r="SO49" s="20" t="n">
        <f aca="false">IF(B49=0,MH49+ML49,0)</f>
        <v>0</v>
      </c>
      <c r="SP49" s="20" t="n">
        <f aca="false">IF(B49=0,IF(HU49=1,MJ49,MK49),0)</f>
        <v>0</v>
      </c>
      <c r="SQ49" s="20" t="n">
        <f aca="false">IF(FH49=1,IF(HU49=1,MQ49+MT49,FI49-PA49)*(1+Slot15_Rate),0)</f>
        <v>0</v>
      </c>
      <c r="SR49" s="20" t="n">
        <f aca="false">IF(AND(HU49=1,FH49=1),(MP49+MT49)/F49,0)</f>
        <v>0</v>
      </c>
      <c r="SS49" s="20" t="n">
        <f aca="false">IF(B49=0,MP49+MT49,0)</f>
        <v>0</v>
      </c>
      <c r="ST49" s="20" t="n">
        <f aca="false">IF(B49=0,IF(HU49=1,MR49,MS49),0)</f>
        <v>0</v>
      </c>
      <c r="SU49" s="20" t="n">
        <f aca="false">IF(FR49=1,IF(HU49=1,MY49+NB49,FS49-OY49)*(1+Slot16_Rate),0)</f>
        <v>0</v>
      </c>
      <c r="SV49" s="20" t="n">
        <f aca="false">IF(AND(HU49=1,FR49=1),(MX49+NB49)/F49,0)</f>
        <v>0</v>
      </c>
      <c r="SW49" s="20" t="n">
        <f aca="false">IF(B49=0,MX49+NB49,0)</f>
        <v>0</v>
      </c>
      <c r="SX49" s="20" t="n">
        <f aca="false">IF(B49=0,IF(HU49=1,MZ49,NA49),0)</f>
        <v>0</v>
      </c>
      <c r="SY49" s="20" t="n">
        <f aca="false">IF(GB49=1,IF(HU49=1,NG49+NJ49,GC49-OW49)*(1+Slot17_Rate),0)</f>
        <v>0</v>
      </c>
      <c r="SZ49" s="20" t="n">
        <f aca="false">IF(AND(HU49=1,GB49=1),(NF49+NJ49)/F49,0)</f>
        <v>0</v>
      </c>
      <c r="TA49" s="20" t="n">
        <f aca="false">IF(B49=0,NF49+NJ49,0)</f>
        <v>0</v>
      </c>
      <c r="TB49" s="20" t="n">
        <f aca="false">IF(B49=0,IF(HU49=1,NH49,NI49),0)</f>
        <v>0</v>
      </c>
      <c r="TC49" s="20" t="n">
        <f aca="false">IF(GL49=1,IF(HU49=1,NO49+NR49,GM49-OU49)*(1+Slot18_Rate),0)</f>
        <v>0</v>
      </c>
      <c r="TD49" s="20" t="n">
        <f aca="false">IF(AND(HU49=1,GL49=1),(NN49+NR49)/F49,0)</f>
        <v>0</v>
      </c>
      <c r="TE49" s="20" t="n">
        <f aca="false">IF(B49=0,NN49+NR49,0)</f>
        <v>0</v>
      </c>
      <c r="TF49" s="20" t="n">
        <f aca="false">IF(B49=0,IF(HU49=1,NP49,NQ49),0)</f>
        <v>0</v>
      </c>
      <c r="TG49" s="20" t="n">
        <f aca="false">IF(GV49=1,IF(HU49=1,NW49+NZ49,GW49-OS49)*(1+Slot19_Rate),0)</f>
        <v>0</v>
      </c>
      <c r="TH49" s="20" t="n">
        <f aca="false">IF(AND(HU49=1,GV49=1),(NV49+NZ49)/F49,0)</f>
        <v>0</v>
      </c>
      <c r="TI49" s="20" t="n">
        <f aca="false">IF(B49=0,NV49+NZ49,0)</f>
        <v>0</v>
      </c>
      <c r="TJ49" s="20" t="n">
        <f aca="false">IF(B49=0,IF(HU49=1,NX49,NY49),0)</f>
        <v>0</v>
      </c>
      <c r="TK49" s="20" t="n">
        <f aca="false">IF(HF49=1,IF(HU49=1,OE49+OH49,HG49-OQ49)*(1+Slot20_Rate),0)</f>
        <v>0</v>
      </c>
      <c r="TL49" s="20" t="n">
        <f aca="false">IF(AND(HU49=1,HF49=1),(OD49+OH49)/F49,0)</f>
        <v>0</v>
      </c>
      <c r="TM49" s="20" t="n">
        <f aca="false">IF(B49=0,OD49+OH49,0)</f>
        <v>0</v>
      </c>
      <c r="TN49" s="20" t="n">
        <f aca="false">IF(B49=0,IF(HU49=1,OF49,OG49),0)</f>
        <v>0</v>
      </c>
      <c r="TO49" s="20" t="n">
        <f aca="false">QK49+QL49+QM49+QQ49+QU49+QY49+RC49+RG49+RK49+RO49+RS49+RW49+SA49+SE49+SI49+SM49+SQ49+SU49+SY49+TC49+TG49+TK49</f>
        <v>0</v>
      </c>
      <c r="TP49" s="20" t="n">
        <f aca="false">QE49+HP49</f>
        <v>25627.5498980678</v>
      </c>
      <c r="TQ49" s="20" t="n">
        <f aca="false">I49+S49</f>
        <v>107655.181839206</v>
      </c>
      <c r="TR49" s="20" t="n">
        <f aca="false">1-G49</f>
        <v>1</v>
      </c>
      <c r="TS49" s="20" t="n">
        <f aca="false">IF(AND(RG_Exists=1,G49=0,C49=1),I49,0)</f>
        <v>107655.181839206</v>
      </c>
      <c r="TT49" s="20" t="n">
        <f aca="false">IF(AND(RG_Exists=1,G49=0,C49=1),I49-MIN(QE49,I49),0)</f>
        <v>82027.631941138</v>
      </c>
      <c r="TU49" s="20" t="n">
        <f aca="false">'Plan pay &amp; tax'!AD275</f>
        <v>337987.185071142</v>
      </c>
      <c r="TV49" s="20" t="n">
        <f aca="false">IF(AND(C49=1,QE49&gt;MAX(PR_Short1,TQ49*PR_Short2)),1,0)</f>
        <v>1</v>
      </c>
      <c r="TW49" s="20" t="n">
        <f aca="false">MIN(H49,I49+S49)</f>
        <v>82027.631941138</v>
      </c>
      <c r="TX49" s="20" t="n">
        <f aca="false">QF49+MAX(0,HQ49-HP49)</f>
        <v>0</v>
      </c>
      <c r="TY49" s="20" t="n">
        <f aca="false">QE49+HP49</f>
        <v>25627.5498980678</v>
      </c>
      <c r="TZ49" s="20" t="n">
        <f aca="false">IF(AND(C49=1,TY49&gt;PR_MinShort),1,0)</f>
        <v>1</v>
      </c>
      <c r="UA49" s="20" t="n">
        <f aca="false">IF(AND(C49=1,TZ49=0,TX49&gt;PR_MinShort),1,0)</f>
        <v>0</v>
      </c>
      <c r="UB49" s="20" t="n">
        <f aca="false">IF(AND(C49=1,QE49&gt;PR_MinShort),1,0)</f>
        <v>1</v>
      </c>
      <c r="UC49" s="20" t="n">
        <f aca="false">IF(AND(C49=1,QF49&gt;1,UJ49=0),1,0)</f>
        <v>0</v>
      </c>
      <c r="UD49" s="20" t="str">
        <f aca="false">IF(C49=0,"",IF(UJ49=1,"Gap to plan for: short "&amp;"€"&amp;TEXT(ROUND(TP49,0),"#,##0"),IF(QF49&gt;1,"Using savings","Comfortable")))</f>
        <v>Gap to plan for: short €25,628</v>
      </c>
      <c r="UE49" s="20" t="n">
        <f aca="false">IF(AND(INT(D49/10)*10=90,B49&gt;0),80,INT(D49/10)*10)</f>
        <v>70</v>
      </c>
      <c r="UF49" s="20" t="n">
        <f aca="false">IF(B49=0,1,IF(UE49&lt;&gt;UE48,UF48+1,UF48))</f>
        <v>5</v>
      </c>
      <c r="UG49" s="20" t="n">
        <f aca="false">IF(AND(C49=1,G49=1,QE49&gt;MAX(PR_Short1,TQ49*PR_Short2)),1,0)</f>
        <v>0</v>
      </c>
      <c r="UH49" s="20" t="n">
        <f aca="false">TR49*TV49</f>
        <v>1</v>
      </c>
      <c r="UI49" s="20" t="n">
        <f aca="false">IF(AND(V49=1,Slot1_PctLow=1),1,0)+IF(AND(AG49=1,Slot2_PctLow=1),1,0)+IF(AND(AQ49=1,Slot3_PctLow=1),1,0)+IF(AND(BA49=1,Slot4_PctLow=1),1,0)+IF(AND(BK49=1,Slot5_PctLow=1),1,0)+IF(AND(BU49=1,Slot6_PctLow=1),1,0)+IF(AND(CE49=1,Slot7_PctLow=1),1,0)+IF(AND(CO49=1,Slot8_PctLow=1),1,0)+IF(AND(CY49=1,Slot9_PctLow=1),1,0)+IF(AND(DI49=1,Slot10_PctLow=1),1,0)+IF(AND(DS49=1,Slot11_PctLow=1),1,0)+IF(AND(EC49=1,Slot12_PctLow=1),1,0)+IF(AND(EM49=1,Slot13_PctLow=1),1,0)+IF(AND(EW49=1,Slot14_PctLow=1),1,0)+IF(AND(FG49=1,Slot15_PctLow=1),1,0)+IF(AND(FQ49=1,Slot16_PctLow=1),1,0)+IF(AND(GA49=1,Slot17_PctLow=1),1,0)+IF(AND(GK49=1,Slot18_PctLow=1),1,0)+IF(AND(GU49=1,Slot19_PctLow=1),1,0)+IF(AND(HE49=1,Slot20_PctLow=1),1,0)</f>
        <v>0</v>
      </c>
      <c r="UJ49" s="20" t="n">
        <f aca="false">IF(C49=1,IF(OR(TV49=1,UI49&gt;0),1,0),0)</f>
        <v>1</v>
      </c>
      <c r="UK49" s="20" t="n">
        <f aca="false">Z49+AK49+AU49+BE49+BO49+BY49+CI49+CS49+DC49+DM49+DW49+EG49+EQ49+FA49+FK49+FU49+GE49+GO49+GY49+HI49+OM49</f>
        <v>0</v>
      </c>
      <c r="UL49" s="20" t="n">
        <f aca="false">V49*IF(Slot1_SpendLike=1,X49-Y49,IF(Slot1_PotFree=1,X49,0))+AG49*IF(Slot2_SpendLike=1,AI49-AJ49,IF(Slot2_PotFree=1,AI49,0))+AQ49*IF(Slot3_SpendLike=1,AS49-AT49,IF(Slot3_PotFree=1,AS49,0))+BA49*IF(Slot4_SpendLike=1,BC49-BD49,IF(Slot4_PotFree=1,BC49,0))+BK49*IF(Slot5_SpendLike=1,BM49-BN49,IF(Slot5_PotFree=1,BM49,0))+BU49*IF(Slot6_SpendLike=1,BW49-BX49,IF(Slot6_PotFree=1,BW49,0))+CE49*IF(Slot7_SpendLike=1,CG49-CH49,IF(Slot7_PotFree=1,CG49,0))+CO49*IF(Slot8_SpendLike=1,CQ49-CR49,IF(Slot8_PotFree=1,CQ49,0))+CY49*IF(Slot9_SpendLike=1,DA49-DB49,IF(Slot9_PotFree=1,DA49,0))+DI49*IF(Slot10_SpendLike=1,DK49-DL49,IF(Slot10_PotFree=1,DK49,0))+DS49*IF(Slot11_SpendLike=1,DU49-DV49,IF(Slot11_PotFree=1,DU49,0))+EC49*IF(Slot12_SpendLike=1,EE49-EF49,IF(Slot12_PotFree=1,EE49,0))+EM49*IF(Slot13_SpendLike=1,EO49-EP49,IF(Slot13_PotFree=1,EO49,0))+EW49*IF(Slot14_SpendLike=1,EY49-EZ49,IF(Slot14_PotFree=1,EY49,0))+FG49*IF(Slot15_SpendLike=1,FI49-FJ49,IF(Slot15_PotFree=1,FI49,0))+FQ49*IF(Slot16_SpendLike=1,FS49-FT49,IF(Slot16_PotFree=1,FS49,0))+GA49*IF(Slot17_SpendLike=1,GC49-GD49,IF(Slot17_PotFree=1,GC49,0))+GK49*IF(Slot18_SpendLike=1,GM49-GN49,IF(Slot18_PotFree=1,GM49,0))+GU49*IF(Slot19_SpendLike=1,GW49-GX49,IF(Slot19_PotFree=1,GW49,0))+HE49*IF(Slot20_SpendLike=1,HG49-HH49,IF(Slot20_PotFree=1,HG49,0))</f>
        <v>0</v>
      </c>
      <c r="UM49" s="20" t="n">
        <f aca="false">QG49-T49+UK49-UL49</f>
        <v>0</v>
      </c>
      <c r="UN49" s="20" t="n">
        <f aca="false">IF(OR(UN48=1,AND(In_homeUse="Yes, I'd downsize",In_downAge&gt;0,D49=In_downAge,OR(In_home="Own outright",In_home="Own with mortgage"),In_homeValue&gt;0)),1,0)</f>
        <v>0</v>
      </c>
    </row>
    <row r="50" customFormat="false" ht="15" hidden="false" customHeight="true" outlineLevel="0" collapsed="false">
      <c r="B50" s="20" t="n">
        <v>42</v>
      </c>
      <c r="C50" s="20" t="n">
        <f aca="false">IF(B50&lt;=F_N,1,0)</f>
        <v>1</v>
      </c>
      <c r="D50" s="20" t="n">
        <f aca="false">'Plan pay &amp; tax'!C276</f>
        <v>80</v>
      </c>
      <c r="E50" s="20" t="str">
        <f aca="false">IF($C50=1,"Income tax "&amp;TEXT(N('Plan pay &amp; tax'!BK276),"#,##0")&amp;"; USC "&amp;TEXT(N('Plan pay &amp; tax'!BM276)+N('Plan pay &amp; tax'!BO276),"#,##0")&amp;"; PRSI "&amp;TEXT(N('Plan pay &amp; tax'!BP276)+N('Plan pay &amp; tax'!BQ276),"#,##0")&amp;IF(N('Plan holdings'!BO50)&gt;=0.5,"; DIRT "&amp;TEXT(('Plan holdings'!BO50)/$F50,"#,##0")&amp;" (already taken from the interest earned)","")&amp;IF(N('Plan holdings'!BP50)&gt;=0.5,"; exit tax at an 8-year anniversary "&amp;TEXT(('Plan holdings'!BP50)/$F50,"#,##0"),"")&amp;IF(N('Plan holdings'!BN50)&gt;=0.5,"; tax on assets sold (exit tax or capital gains tax) "&amp;TEXT(('Plan holdings'!BN50)/$F50,"#,##0"),"")&amp;IF(N('Plan pay &amp; tax'!X276)-N('Plan pay &amp; tax'!Y276)&gt;=0.5,"; tax on the pension lump sum "&amp;TEXT(('Plan pay &amp; tax'!X276-'Plan pay &amp; tax'!Y276)/$F50,"#,##0"),"")&amp;IF(N('Plan pay &amp; tax'!V276)&gt;=0.5,"; chargeable excess tax on the pension "&amp;TEXT(('Plan pay &amp; tax'!V276)/$F50,"#,##0"),"")&amp;".","")</f>
        <v>Income tax 811; USC 0; PRSI 0.</v>
      </c>
      <c r="F50" s="50" t="n">
        <f aca="false">'Plan pay &amp; tax'!E276</f>
        <v>2.29724446602489</v>
      </c>
      <c r="G50" s="20" t="n">
        <f aca="false">'Plan pay &amp; tax'!G276</f>
        <v>0</v>
      </c>
      <c r="H50" s="20" t="n">
        <f aca="false">'Plan pay &amp; tax'!BT276-'Plan pay &amp; tax'!BS276-'Plan pay &amp; tax'!R276</f>
        <v>84812.2460639792</v>
      </c>
      <c r="I50" s="20" t="n">
        <f aca="false">IF(G50=1,F_CostsM*12,IF(RG_Exists=1,RG_Amount,F_CostsM*12*AS_RetireSpend))*F50+F_OneOffY*F50</f>
        <v>109808.28547599</v>
      </c>
      <c r="J50" s="20" t="n">
        <f aca="false">IF(UN50=1,0,HR49)</f>
        <v>0</v>
      </c>
      <c r="K50" s="20" t="n">
        <f aca="false">IF(J50&gt;1,'Plan debt months'!AC50,0)</f>
        <v>0</v>
      </c>
      <c r="L50" s="20" t="n">
        <f aca="false">IF(J50&gt;1,'Plan debt months'!AB50,J50)</f>
        <v>0</v>
      </c>
      <c r="M50" s="20" t="n">
        <f aca="false">O49</f>
        <v>0</v>
      </c>
      <c r="N50" s="20" t="n">
        <f aca="false">IF(M50&gt;1,'Plan debt months'!BD50,0)</f>
        <v>0</v>
      </c>
      <c r="O50" s="20" t="n">
        <f aca="false">IF(M50&gt;1,'Plan debt months'!BC50,M50)</f>
        <v>0</v>
      </c>
      <c r="P50" s="20" t="n">
        <f aca="false">R49</f>
        <v>0</v>
      </c>
      <c r="Q50" s="20" t="n">
        <f aca="false">IF(P50&gt;1,'Plan debt months'!CE50,0)</f>
        <v>0</v>
      </c>
      <c r="R50" s="20" t="n">
        <f aca="false">IF(P50&gt;1,'Plan debt months'!CD50,P50)</f>
        <v>0</v>
      </c>
      <c r="S50" s="20" t="n">
        <f aca="false">K50+N50+Q50</f>
        <v>0</v>
      </c>
      <c r="T50" s="57" t="n">
        <f aca="false">'Plan holdings'!Y50</f>
        <v>0</v>
      </c>
      <c r="U50" s="57" t="n">
        <f aca="false">'Plan holdings'!BM49</f>
        <v>0</v>
      </c>
      <c r="V50" s="20" t="n">
        <f aca="false">IF(AND(Slot1_On=1,D50=Slot1_Age),1,0)</f>
        <v>0</v>
      </c>
      <c r="W50" s="20" t="n">
        <f aca="false">IF(AND(Slot1_On=1,Slot1_Age&gt;D50),1,0)</f>
        <v>0</v>
      </c>
      <c r="X50" s="20" t="n">
        <f aca="false">QM49</f>
        <v>0</v>
      </c>
      <c r="Y50" s="20" t="n">
        <f aca="false">V50*MIN(Slot1_Cost,X50)</f>
        <v>0</v>
      </c>
      <c r="Z50" s="20" t="n">
        <f aca="false">V50*Slot1_SpendLike*MIN(Slot1_Cost-Y50,T50)</f>
        <v>0</v>
      </c>
      <c r="AA50" s="20" t="n">
        <f aca="false">Y50+Z50</f>
        <v>0</v>
      </c>
      <c r="AB50" s="20" t="n">
        <f aca="false">T50-Z50+V50*IF(Slot1_SpendLike=1,X50-Y50,IF(Slot1_PotFree=1,X50,0))</f>
        <v>0</v>
      </c>
      <c r="AC50" s="20" t="n">
        <f aca="false">AF50+V50*Slot1_BufPot*X50</f>
        <v>0</v>
      </c>
      <c r="AD50" s="20" t="n">
        <f aca="false">IF(AND(V50=1,Slot1_IsMfree=1),IF(AA50&gt;=Slot1_Cost-1,0,MAX(0,L50-AA50)),L50)</f>
        <v>0</v>
      </c>
      <c r="AE50" s="20" t="n">
        <f aca="false">V50*(Slot1_Cost-AA50)</f>
        <v>0</v>
      </c>
      <c r="AF50" s="20" t="n">
        <f aca="false">QL49</f>
        <v>0</v>
      </c>
      <c r="AG50" s="20" t="n">
        <f aca="false">IF(AND(Slot2_On=1,D50=Slot2_Age),1,0)</f>
        <v>0</v>
      </c>
      <c r="AH50" s="20" t="n">
        <f aca="false">IF(AND(Slot2_On=1,Slot2_Age&gt;D50),1,0)</f>
        <v>0</v>
      </c>
      <c r="AI50" s="20" t="n">
        <f aca="false">QQ49</f>
        <v>0</v>
      </c>
      <c r="AJ50" s="20" t="n">
        <f aca="false">AG50*MIN(Slot2_Cost,AI50)</f>
        <v>0</v>
      </c>
      <c r="AK50" s="20" t="n">
        <f aca="false">AG50*Slot2_SpendLike*MIN(Slot2_Cost-AJ50,AB50)</f>
        <v>0</v>
      </c>
      <c r="AL50" s="20" t="n">
        <f aca="false">AJ50+AK50</f>
        <v>0</v>
      </c>
      <c r="AM50" s="20" t="n">
        <f aca="false">AB50-AK50+AG50*IF(Slot2_SpendLike=1,AI50-AJ50,IF(Slot2_PotFree=1,AI50,0))</f>
        <v>0</v>
      </c>
      <c r="AN50" s="20" t="n">
        <f aca="false">AC50+AG50*Slot2_BufPot*AI50</f>
        <v>0</v>
      </c>
      <c r="AO50" s="20" t="n">
        <f aca="false">IF(AND(AG50=1,Slot2_IsMfree=1),IF(AL50&gt;=Slot2_Cost-1,0,MAX(0,AD50-AL50)),AD50)</f>
        <v>0</v>
      </c>
      <c r="AP50" s="20" t="n">
        <f aca="false">AG50*(Slot2_Cost-AL50)</f>
        <v>0</v>
      </c>
      <c r="AQ50" s="20" t="n">
        <f aca="false">IF(AND(Slot3_On=1,D50=Slot3_Age),1,0)</f>
        <v>0</v>
      </c>
      <c r="AR50" s="20" t="n">
        <f aca="false">IF(AND(Slot3_On=1,Slot3_Age&gt;D50),1,0)</f>
        <v>0</v>
      </c>
      <c r="AS50" s="20" t="n">
        <f aca="false">QU49</f>
        <v>0</v>
      </c>
      <c r="AT50" s="20" t="n">
        <f aca="false">AQ50*MIN(Slot3_Cost,AS50)</f>
        <v>0</v>
      </c>
      <c r="AU50" s="20" t="n">
        <f aca="false">AQ50*Slot3_SpendLike*MIN(Slot3_Cost-AT50,AM50)</f>
        <v>0</v>
      </c>
      <c r="AV50" s="20" t="n">
        <f aca="false">AT50+AU50</f>
        <v>0</v>
      </c>
      <c r="AW50" s="20" t="n">
        <f aca="false">AM50-AU50+AQ50*IF(Slot3_SpendLike=1,AS50-AT50,IF(Slot3_PotFree=1,AS50,0))</f>
        <v>0</v>
      </c>
      <c r="AX50" s="20" t="n">
        <f aca="false">AN50+AQ50*Slot3_BufPot*AS50</f>
        <v>0</v>
      </c>
      <c r="AY50" s="20" t="n">
        <f aca="false">IF(AND(AQ50=1,Slot3_IsMfree=1),IF(AV50&gt;=Slot3_Cost-1,0,MAX(0,AO50-AV50)),AO50)</f>
        <v>0</v>
      </c>
      <c r="AZ50" s="20" t="n">
        <f aca="false">AQ50*(Slot3_Cost-AV50)</f>
        <v>0</v>
      </c>
      <c r="BA50" s="20" t="n">
        <f aca="false">IF(AND(Slot4_On=1,D50=Slot4_Age),1,0)</f>
        <v>0</v>
      </c>
      <c r="BB50" s="20" t="n">
        <f aca="false">IF(AND(Slot4_On=1,Slot4_Age&gt;D50),1,0)</f>
        <v>0</v>
      </c>
      <c r="BC50" s="20" t="n">
        <f aca="false">QY49</f>
        <v>0</v>
      </c>
      <c r="BD50" s="20" t="n">
        <f aca="false">BA50*MIN(Slot4_Cost,BC50)</f>
        <v>0</v>
      </c>
      <c r="BE50" s="20" t="n">
        <f aca="false">BA50*Slot4_SpendLike*MIN(Slot4_Cost-BD50,AW50)</f>
        <v>0</v>
      </c>
      <c r="BF50" s="20" t="n">
        <f aca="false">BD50+BE50</f>
        <v>0</v>
      </c>
      <c r="BG50" s="20" t="n">
        <f aca="false">AW50-BE50+BA50*IF(Slot4_SpendLike=1,BC50-BD50,IF(Slot4_PotFree=1,BC50,0))</f>
        <v>0</v>
      </c>
      <c r="BH50" s="20" t="n">
        <f aca="false">AX50+BA50*Slot4_BufPot*BC50</f>
        <v>0</v>
      </c>
      <c r="BI50" s="20" t="n">
        <f aca="false">IF(AND(BA50=1,Slot4_IsMfree=1),IF(BF50&gt;=Slot4_Cost-1,0,MAX(0,AY50-BF50)),AY50)</f>
        <v>0</v>
      </c>
      <c r="BJ50" s="20" t="n">
        <f aca="false">BA50*(Slot4_Cost-BF50)</f>
        <v>0</v>
      </c>
      <c r="BK50" s="20" t="n">
        <f aca="false">IF(AND(Slot5_On=1,D50=Slot5_Age),1,0)</f>
        <v>0</v>
      </c>
      <c r="BL50" s="20" t="n">
        <f aca="false">IF(AND(Slot5_On=1,Slot5_Age&gt;D50),1,0)</f>
        <v>0</v>
      </c>
      <c r="BM50" s="20" t="n">
        <f aca="false">RC49</f>
        <v>0</v>
      </c>
      <c r="BN50" s="20" t="n">
        <f aca="false">BK50*MIN(Slot5_Cost,BM50)</f>
        <v>0</v>
      </c>
      <c r="BO50" s="20" t="n">
        <f aca="false">BK50*Slot5_SpendLike*MIN(Slot5_Cost-BN50,BG50)</f>
        <v>0</v>
      </c>
      <c r="BP50" s="20" t="n">
        <f aca="false">BN50+BO50</f>
        <v>0</v>
      </c>
      <c r="BQ50" s="20" t="n">
        <f aca="false">BG50-BO50+BK50*IF(Slot5_SpendLike=1,BM50-BN50,IF(Slot5_PotFree=1,BM50,0))</f>
        <v>0</v>
      </c>
      <c r="BR50" s="20" t="n">
        <f aca="false">BH50+BK50*Slot5_BufPot*BM50</f>
        <v>0</v>
      </c>
      <c r="BS50" s="20" t="n">
        <f aca="false">IF(AND(BK50=1,Slot5_IsMfree=1),IF(BP50&gt;=Slot5_Cost-1,0,MAX(0,BI50-BP50)),BI50)</f>
        <v>0</v>
      </c>
      <c r="BT50" s="20" t="n">
        <f aca="false">BK50*(Slot5_Cost-BP50)</f>
        <v>0</v>
      </c>
      <c r="BU50" s="20" t="n">
        <f aca="false">IF(AND(Slot6_On=1,D50=Slot6_Age),1,0)</f>
        <v>0</v>
      </c>
      <c r="BV50" s="20" t="n">
        <f aca="false">IF(AND(Slot6_On=1,Slot6_Age&gt;D50),1,0)</f>
        <v>0</v>
      </c>
      <c r="BW50" s="20" t="n">
        <f aca="false">RG49</f>
        <v>0</v>
      </c>
      <c r="BX50" s="20" t="n">
        <f aca="false">BU50*MIN(Slot6_Cost,BW50)</f>
        <v>0</v>
      </c>
      <c r="BY50" s="20" t="n">
        <f aca="false">BU50*Slot6_SpendLike*MIN(Slot6_Cost-BX50,BQ50)</f>
        <v>0</v>
      </c>
      <c r="BZ50" s="20" t="n">
        <f aca="false">BX50+BY50</f>
        <v>0</v>
      </c>
      <c r="CA50" s="20" t="n">
        <f aca="false">BQ50-BY50+BU50*IF(Slot6_SpendLike=1,BW50-BX50,IF(Slot6_PotFree=1,BW50,0))</f>
        <v>0</v>
      </c>
      <c r="CB50" s="20" t="n">
        <f aca="false">BR50+BU50*Slot6_BufPot*BW50</f>
        <v>0</v>
      </c>
      <c r="CC50" s="20" t="n">
        <f aca="false">IF(AND(BU50=1,Slot6_IsMfree=1),IF(BZ50&gt;=Slot6_Cost-1,0,MAX(0,BS50-BZ50)),BS50)</f>
        <v>0</v>
      </c>
      <c r="CD50" s="20" t="n">
        <f aca="false">BU50*(Slot6_Cost-BZ50)</f>
        <v>0</v>
      </c>
      <c r="CE50" s="20" t="n">
        <f aca="false">IF(AND(Slot7_On=1,D50=Slot7_Age),1,0)</f>
        <v>0</v>
      </c>
      <c r="CF50" s="20" t="n">
        <f aca="false">IF(AND(Slot7_On=1,Slot7_Age&gt;D50),1,0)</f>
        <v>0</v>
      </c>
      <c r="CG50" s="20" t="n">
        <f aca="false">RK49</f>
        <v>0</v>
      </c>
      <c r="CH50" s="20" t="n">
        <f aca="false">CE50*MIN(Slot7_Cost,CG50)</f>
        <v>0</v>
      </c>
      <c r="CI50" s="20" t="n">
        <f aca="false">CE50*Slot7_SpendLike*MIN(Slot7_Cost-CH50,CA50)</f>
        <v>0</v>
      </c>
      <c r="CJ50" s="20" t="n">
        <f aca="false">CH50+CI50</f>
        <v>0</v>
      </c>
      <c r="CK50" s="20" t="n">
        <f aca="false">CA50-CI50+CE50*IF(Slot7_SpendLike=1,CG50-CH50,IF(Slot7_PotFree=1,CG50,0))</f>
        <v>0</v>
      </c>
      <c r="CL50" s="20" t="n">
        <f aca="false">CB50+CE50*Slot7_BufPot*CG50</f>
        <v>0</v>
      </c>
      <c r="CM50" s="20" t="n">
        <f aca="false">IF(AND(CE50=1,Slot7_IsMfree=1),IF(CJ50&gt;=Slot7_Cost-1,0,MAX(0,CC50-CJ50)),CC50)</f>
        <v>0</v>
      </c>
      <c r="CN50" s="20" t="n">
        <f aca="false">CE50*(Slot7_Cost-CJ50)</f>
        <v>0</v>
      </c>
      <c r="CO50" s="20" t="n">
        <f aca="false">IF(AND(Slot8_On=1,D50=Slot8_Age),1,0)</f>
        <v>0</v>
      </c>
      <c r="CP50" s="20" t="n">
        <f aca="false">IF(AND(Slot8_On=1,Slot8_Age&gt;D50),1,0)</f>
        <v>0</v>
      </c>
      <c r="CQ50" s="20" t="n">
        <f aca="false">RO49</f>
        <v>0</v>
      </c>
      <c r="CR50" s="20" t="n">
        <f aca="false">CO50*MIN(Slot8_Cost,CQ50)</f>
        <v>0</v>
      </c>
      <c r="CS50" s="20" t="n">
        <f aca="false">CO50*Slot8_SpendLike*MIN(Slot8_Cost-CR50,CK50)</f>
        <v>0</v>
      </c>
      <c r="CT50" s="20" t="n">
        <f aca="false">CR50+CS50</f>
        <v>0</v>
      </c>
      <c r="CU50" s="20" t="n">
        <f aca="false">CK50-CS50+CO50*IF(Slot8_SpendLike=1,CQ50-CR50,IF(Slot8_PotFree=1,CQ50,0))</f>
        <v>0</v>
      </c>
      <c r="CV50" s="20" t="n">
        <f aca="false">CL50+CO50*Slot8_BufPot*CQ50</f>
        <v>0</v>
      </c>
      <c r="CW50" s="20" t="n">
        <f aca="false">IF(AND(CO50=1,Slot8_IsMfree=1),IF(CT50&gt;=Slot8_Cost-1,0,MAX(0,CM50-CT50)),CM50)</f>
        <v>0</v>
      </c>
      <c r="CX50" s="20" t="n">
        <f aca="false">CO50*(Slot8_Cost-CT50)</f>
        <v>0</v>
      </c>
      <c r="CY50" s="20" t="n">
        <f aca="false">IF(AND(Slot9_On=1,D50=Slot9_Age),1,0)</f>
        <v>0</v>
      </c>
      <c r="CZ50" s="20" t="n">
        <f aca="false">IF(AND(Slot9_On=1,Slot9_Age&gt;D50),1,0)</f>
        <v>0</v>
      </c>
      <c r="DA50" s="20" t="n">
        <f aca="false">RS49</f>
        <v>0</v>
      </c>
      <c r="DB50" s="20" t="n">
        <f aca="false">CY50*MIN(Slot9_Cost,DA50)</f>
        <v>0</v>
      </c>
      <c r="DC50" s="20" t="n">
        <f aca="false">CY50*Slot9_SpendLike*MIN(Slot9_Cost-DB50,CU50)</f>
        <v>0</v>
      </c>
      <c r="DD50" s="20" t="n">
        <f aca="false">DB50+DC50</f>
        <v>0</v>
      </c>
      <c r="DE50" s="20" t="n">
        <f aca="false">CU50-DC50+CY50*IF(Slot9_SpendLike=1,DA50-DB50,IF(Slot9_PotFree=1,DA50,0))</f>
        <v>0</v>
      </c>
      <c r="DF50" s="20" t="n">
        <f aca="false">CV50+CY50*Slot9_BufPot*DA50</f>
        <v>0</v>
      </c>
      <c r="DG50" s="20" t="n">
        <f aca="false">IF(AND(CY50=1,Slot9_IsMfree=1),IF(DD50&gt;=Slot9_Cost-1,0,MAX(0,CW50-DD50)),CW50)</f>
        <v>0</v>
      </c>
      <c r="DH50" s="20" t="n">
        <f aca="false">CY50*(Slot9_Cost-DD50)</f>
        <v>0</v>
      </c>
      <c r="DI50" s="20" t="n">
        <f aca="false">IF(AND(Slot10_On=1,D50=Slot10_Age),1,0)</f>
        <v>0</v>
      </c>
      <c r="DJ50" s="20" t="n">
        <f aca="false">IF(AND(Slot10_On=1,Slot10_Age&gt;D50),1,0)</f>
        <v>0</v>
      </c>
      <c r="DK50" s="20" t="n">
        <f aca="false">RW49</f>
        <v>0</v>
      </c>
      <c r="DL50" s="20" t="n">
        <f aca="false">DI50*MIN(Slot10_Cost,DK50)</f>
        <v>0</v>
      </c>
      <c r="DM50" s="20" t="n">
        <f aca="false">DI50*Slot10_SpendLike*MIN(Slot10_Cost-DL50,DE50)</f>
        <v>0</v>
      </c>
      <c r="DN50" s="20" t="n">
        <f aca="false">DL50+DM50</f>
        <v>0</v>
      </c>
      <c r="DO50" s="20" t="n">
        <f aca="false">DE50-DM50+DI50*IF(Slot10_SpendLike=1,DK50-DL50,IF(Slot10_PotFree=1,DK50,0))</f>
        <v>0</v>
      </c>
      <c r="DP50" s="20" t="n">
        <f aca="false">DF50+DI50*Slot10_BufPot*DK50</f>
        <v>0</v>
      </c>
      <c r="DQ50" s="20" t="n">
        <f aca="false">IF(AND(DI50=1,Slot10_IsMfree=1),IF(DN50&gt;=Slot10_Cost-1,0,MAX(0,DG50-DN50)),DG50)</f>
        <v>0</v>
      </c>
      <c r="DR50" s="20" t="n">
        <f aca="false">DI50*(Slot10_Cost-DN50)</f>
        <v>0</v>
      </c>
      <c r="DS50" s="20" t="n">
        <f aca="false">IF(AND(Slot11_On=1,D50=Slot11_Age),1,0)</f>
        <v>0</v>
      </c>
      <c r="DT50" s="20" t="n">
        <f aca="false">IF(AND(Slot11_On=1,Slot11_Age&gt;D50),1,0)</f>
        <v>0</v>
      </c>
      <c r="DU50" s="20" t="n">
        <f aca="false">SA49</f>
        <v>0</v>
      </c>
      <c r="DV50" s="20" t="n">
        <f aca="false">DS50*MIN(Slot11_Cost,DU50)</f>
        <v>0</v>
      </c>
      <c r="DW50" s="20" t="n">
        <f aca="false">DS50*Slot11_SpendLike*MIN(Slot11_Cost-DV50,DO50)</f>
        <v>0</v>
      </c>
      <c r="DX50" s="20" t="n">
        <f aca="false">DV50+DW50</f>
        <v>0</v>
      </c>
      <c r="DY50" s="20" t="n">
        <f aca="false">DO50-DW50+DS50*IF(Slot11_SpendLike=1,DU50-DV50,IF(Slot11_PotFree=1,DU50,0))</f>
        <v>0</v>
      </c>
      <c r="DZ50" s="20" t="n">
        <f aca="false">DP50+DS50*Slot11_BufPot*DU50</f>
        <v>0</v>
      </c>
      <c r="EA50" s="20" t="n">
        <f aca="false">IF(AND(DS50=1,Slot11_IsMfree=1),IF(DX50&gt;=Slot11_Cost-1,0,MAX(0,DQ50-DX50)),DQ50)</f>
        <v>0</v>
      </c>
      <c r="EB50" s="20" t="n">
        <f aca="false">DS50*(Slot11_Cost-DX50)</f>
        <v>0</v>
      </c>
      <c r="EC50" s="20" t="n">
        <f aca="false">IF(AND(Slot12_On=1,D50=Slot12_Age),1,0)</f>
        <v>0</v>
      </c>
      <c r="ED50" s="20" t="n">
        <f aca="false">IF(AND(Slot12_On=1,Slot12_Age&gt;D50),1,0)</f>
        <v>0</v>
      </c>
      <c r="EE50" s="20" t="n">
        <f aca="false">SE49</f>
        <v>0</v>
      </c>
      <c r="EF50" s="20" t="n">
        <f aca="false">EC50*MIN(Slot12_Cost,EE50)</f>
        <v>0</v>
      </c>
      <c r="EG50" s="20" t="n">
        <f aca="false">EC50*Slot12_SpendLike*MIN(Slot12_Cost-EF50,DY50)</f>
        <v>0</v>
      </c>
      <c r="EH50" s="20" t="n">
        <f aca="false">EF50+EG50</f>
        <v>0</v>
      </c>
      <c r="EI50" s="20" t="n">
        <f aca="false">DY50-EG50+EC50*IF(Slot12_SpendLike=1,EE50-EF50,IF(Slot12_PotFree=1,EE50,0))</f>
        <v>0</v>
      </c>
      <c r="EJ50" s="20" t="n">
        <f aca="false">DZ50+EC50*Slot12_BufPot*EE50</f>
        <v>0</v>
      </c>
      <c r="EK50" s="20" t="n">
        <f aca="false">IF(AND(EC50=1,Slot12_IsMfree=1),IF(EH50&gt;=Slot12_Cost-1,0,MAX(0,EA50-EH50)),EA50)</f>
        <v>0</v>
      </c>
      <c r="EL50" s="20" t="n">
        <f aca="false">EC50*(Slot12_Cost-EH50)</f>
        <v>0</v>
      </c>
      <c r="EM50" s="20" t="n">
        <f aca="false">IF(AND(Slot13_On=1,D50=Slot13_Age),1,0)</f>
        <v>0</v>
      </c>
      <c r="EN50" s="20" t="n">
        <f aca="false">IF(AND(Slot13_On=1,Slot13_Age&gt;D50),1,0)</f>
        <v>0</v>
      </c>
      <c r="EO50" s="20" t="n">
        <f aca="false">SI49</f>
        <v>0</v>
      </c>
      <c r="EP50" s="20" t="n">
        <f aca="false">EM50*MIN(Slot13_Cost,EO50)</f>
        <v>0</v>
      </c>
      <c r="EQ50" s="20" t="n">
        <f aca="false">EM50*Slot13_SpendLike*MIN(Slot13_Cost-EP50,EI50)</f>
        <v>0</v>
      </c>
      <c r="ER50" s="20" t="n">
        <f aca="false">EP50+EQ50</f>
        <v>0</v>
      </c>
      <c r="ES50" s="20" t="n">
        <f aca="false">EI50-EQ50+EM50*IF(Slot13_SpendLike=1,EO50-EP50,IF(Slot13_PotFree=1,EO50,0))</f>
        <v>0</v>
      </c>
      <c r="ET50" s="20" t="n">
        <f aca="false">EJ50+EM50*Slot13_BufPot*EO50</f>
        <v>0</v>
      </c>
      <c r="EU50" s="20" t="n">
        <f aca="false">IF(AND(EM50=1,Slot13_IsMfree=1),IF(ER50&gt;=Slot13_Cost-1,0,MAX(0,EK50-ER50)),EK50)</f>
        <v>0</v>
      </c>
      <c r="EV50" s="20" t="n">
        <f aca="false">EM50*(Slot13_Cost-ER50)</f>
        <v>0</v>
      </c>
      <c r="EW50" s="20" t="n">
        <f aca="false">IF(AND(Slot14_On=1,D50=Slot14_Age),1,0)</f>
        <v>0</v>
      </c>
      <c r="EX50" s="20" t="n">
        <f aca="false">IF(AND(Slot14_On=1,Slot14_Age&gt;D50),1,0)</f>
        <v>0</v>
      </c>
      <c r="EY50" s="20" t="n">
        <f aca="false">SM49</f>
        <v>0</v>
      </c>
      <c r="EZ50" s="20" t="n">
        <f aca="false">EW50*MIN(Slot14_Cost,EY50)</f>
        <v>0</v>
      </c>
      <c r="FA50" s="20" t="n">
        <f aca="false">EW50*Slot14_SpendLike*MIN(Slot14_Cost-EZ50,ES50)</f>
        <v>0</v>
      </c>
      <c r="FB50" s="20" t="n">
        <f aca="false">EZ50+FA50</f>
        <v>0</v>
      </c>
      <c r="FC50" s="20" t="n">
        <f aca="false">ES50-FA50+EW50*IF(Slot14_SpendLike=1,EY50-EZ50,IF(Slot14_PotFree=1,EY50,0))</f>
        <v>0</v>
      </c>
      <c r="FD50" s="20" t="n">
        <f aca="false">ET50+EW50*Slot14_BufPot*EY50</f>
        <v>0</v>
      </c>
      <c r="FE50" s="20" t="n">
        <f aca="false">IF(AND(EW50=1,Slot14_IsMfree=1),IF(FB50&gt;=Slot14_Cost-1,0,MAX(0,EU50-FB50)),EU50)</f>
        <v>0</v>
      </c>
      <c r="FF50" s="20" t="n">
        <f aca="false">EW50*(Slot14_Cost-FB50)</f>
        <v>0</v>
      </c>
      <c r="FG50" s="20" t="n">
        <f aca="false">IF(AND(Slot15_On=1,D50=Slot15_Age),1,0)</f>
        <v>0</v>
      </c>
      <c r="FH50" s="20" t="n">
        <f aca="false">IF(AND(Slot15_On=1,Slot15_Age&gt;D50),1,0)</f>
        <v>0</v>
      </c>
      <c r="FI50" s="20" t="n">
        <f aca="false">SQ49</f>
        <v>0</v>
      </c>
      <c r="FJ50" s="20" t="n">
        <f aca="false">FG50*MIN(Slot15_Cost,FI50)</f>
        <v>0</v>
      </c>
      <c r="FK50" s="20" t="n">
        <f aca="false">FG50*Slot15_SpendLike*MIN(Slot15_Cost-FJ50,FC50)</f>
        <v>0</v>
      </c>
      <c r="FL50" s="20" t="n">
        <f aca="false">FJ50+FK50</f>
        <v>0</v>
      </c>
      <c r="FM50" s="20" t="n">
        <f aca="false">FC50-FK50+FG50*IF(Slot15_SpendLike=1,FI50-FJ50,IF(Slot15_PotFree=1,FI50,0))</f>
        <v>0</v>
      </c>
      <c r="FN50" s="20" t="n">
        <f aca="false">FD50+FG50*Slot15_BufPot*FI50</f>
        <v>0</v>
      </c>
      <c r="FO50" s="20" t="n">
        <f aca="false">IF(AND(FG50=1,Slot15_IsMfree=1),IF(FL50&gt;=Slot15_Cost-1,0,MAX(0,FE50-FL50)),FE50)</f>
        <v>0</v>
      </c>
      <c r="FP50" s="20" t="n">
        <f aca="false">FG50*(Slot15_Cost-FL50)</f>
        <v>0</v>
      </c>
      <c r="FQ50" s="20" t="n">
        <f aca="false">IF(AND(Slot16_On=1,D50=Slot16_Age),1,0)</f>
        <v>0</v>
      </c>
      <c r="FR50" s="20" t="n">
        <f aca="false">IF(AND(Slot16_On=1,Slot16_Age&gt;D50),1,0)</f>
        <v>0</v>
      </c>
      <c r="FS50" s="20" t="n">
        <f aca="false">SU49</f>
        <v>0</v>
      </c>
      <c r="FT50" s="20" t="n">
        <f aca="false">FQ50*MIN(Slot16_Cost,FS50)</f>
        <v>0</v>
      </c>
      <c r="FU50" s="20" t="n">
        <f aca="false">FQ50*Slot16_SpendLike*MIN(Slot16_Cost-FT50,FM50)</f>
        <v>0</v>
      </c>
      <c r="FV50" s="20" t="n">
        <f aca="false">FT50+FU50</f>
        <v>0</v>
      </c>
      <c r="FW50" s="20" t="n">
        <f aca="false">FM50-FU50+FQ50*IF(Slot16_SpendLike=1,FS50-FT50,IF(Slot16_PotFree=1,FS50,0))</f>
        <v>0</v>
      </c>
      <c r="FX50" s="20" t="n">
        <f aca="false">FN50+FQ50*Slot16_BufPot*FS50</f>
        <v>0</v>
      </c>
      <c r="FY50" s="20" t="n">
        <f aca="false">IF(AND(FQ50=1,Slot16_IsMfree=1),IF(FV50&gt;=Slot16_Cost-1,0,MAX(0,FO50-FV50)),FO50)</f>
        <v>0</v>
      </c>
      <c r="FZ50" s="20" t="n">
        <f aca="false">FQ50*(Slot16_Cost-FV50)</f>
        <v>0</v>
      </c>
      <c r="GA50" s="20" t="n">
        <f aca="false">IF(AND(Slot17_On=1,D50=Slot17_Age),1,0)</f>
        <v>0</v>
      </c>
      <c r="GB50" s="20" t="n">
        <f aca="false">IF(AND(Slot17_On=1,Slot17_Age&gt;D50),1,0)</f>
        <v>0</v>
      </c>
      <c r="GC50" s="20" t="n">
        <f aca="false">SY49</f>
        <v>0</v>
      </c>
      <c r="GD50" s="20" t="n">
        <f aca="false">GA50*MIN(Slot17_Cost,GC50)</f>
        <v>0</v>
      </c>
      <c r="GE50" s="20" t="n">
        <f aca="false">GA50*Slot17_SpendLike*MIN(Slot17_Cost-GD50,FW50)</f>
        <v>0</v>
      </c>
      <c r="GF50" s="20" t="n">
        <f aca="false">GD50+GE50</f>
        <v>0</v>
      </c>
      <c r="GG50" s="20" t="n">
        <f aca="false">FW50-GE50+GA50*IF(Slot17_SpendLike=1,GC50-GD50,IF(Slot17_PotFree=1,GC50,0))</f>
        <v>0</v>
      </c>
      <c r="GH50" s="20" t="n">
        <f aca="false">FX50+GA50*Slot17_BufPot*GC50</f>
        <v>0</v>
      </c>
      <c r="GI50" s="20" t="n">
        <f aca="false">IF(AND(GA50=1,Slot17_IsMfree=1),IF(GF50&gt;=Slot17_Cost-1,0,MAX(0,FY50-GF50)),FY50)</f>
        <v>0</v>
      </c>
      <c r="GJ50" s="20" t="n">
        <f aca="false">GA50*(Slot17_Cost-GF50)</f>
        <v>0</v>
      </c>
      <c r="GK50" s="20" t="n">
        <f aca="false">IF(AND(Slot18_On=1,D50=Slot18_Age),1,0)</f>
        <v>0</v>
      </c>
      <c r="GL50" s="20" t="n">
        <f aca="false">IF(AND(Slot18_On=1,Slot18_Age&gt;D50),1,0)</f>
        <v>0</v>
      </c>
      <c r="GM50" s="20" t="n">
        <f aca="false">TC49</f>
        <v>0</v>
      </c>
      <c r="GN50" s="20" t="n">
        <f aca="false">GK50*MIN(Slot18_Cost,GM50)</f>
        <v>0</v>
      </c>
      <c r="GO50" s="20" t="n">
        <f aca="false">GK50*Slot18_SpendLike*MIN(Slot18_Cost-GN50,GG50)</f>
        <v>0</v>
      </c>
      <c r="GP50" s="20" t="n">
        <f aca="false">GN50+GO50</f>
        <v>0</v>
      </c>
      <c r="GQ50" s="20" t="n">
        <f aca="false">GG50-GO50+GK50*IF(Slot18_SpendLike=1,GM50-GN50,IF(Slot18_PotFree=1,GM50,0))</f>
        <v>0</v>
      </c>
      <c r="GR50" s="20" t="n">
        <f aca="false">GH50+GK50*Slot18_BufPot*GM50</f>
        <v>0</v>
      </c>
      <c r="GS50" s="20" t="n">
        <f aca="false">IF(AND(GK50=1,Slot18_IsMfree=1),IF(GP50&gt;=Slot18_Cost-1,0,MAX(0,GI50-GP50)),GI50)</f>
        <v>0</v>
      </c>
      <c r="GT50" s="20" t="n">
        <f aca="false">GK50*(Slot18_Cost-GP50)</f>
        <v>0</v>
      </c>
      <c r="GU50" s="20" t="n">
        <f aca="false">IF(AND(Slot19_On=1,D50=Slot19_Age),1,0)</f>
        <v>0</v>
      </c>
      <c r="GV50" s="20" t="n">
        <f aca="false">IF(AND(Slot19_On=1,Slot19_Age&gt;D50),1,0)</f>
        <v>0</v>
      </c>
      <c r="GW50" s="20" t="n">
        <f aca="false">TG49</f>
        <v>0</v>
      </c>
      <c r="GX50" s="20" t="n">
        <f aca="false">GU50*MIN(Slot19_Cost,GW50)</f>
        <v>0</v>
      </c>
      <c r="GY50" s="20" t="n">
        <f aca="false">GU50*Slot19_SpendLike*MIN(Slot19_Cost-GX50,GQ50)</f>
        <v>0</v>
      </c>
      <c r="GZ50" s="20" t="n">
        <f aca="false">GX50+GY50</f>
        <v>0</v>
      </c>
      <c r="HA50" s="20" t="n">
        <f aca="false">GQ50-GY50+GU50*IF(Slot19_SpendLike=1,GW50-GX50,IF(Slot19_PotFree=1,GW50,0))</f>
        <v>0</v>
      </c>
      <c r="HB50" s="20" t="n">
        <f aca="false">GR50+GU50*Slot19_BufPot*GW50</f>
        <v>0</v>
      </c>
      <c r="HC50" s="20" t="n">
        <f aca="false">IF(AND(GU50=1,Slot19_IsMfree=1),IF(GZ50&gt;=Slot19_Cost-1,0,MAX(0,GS50-GZ50)),GS50)</f>
        <v>0</v>
      </c>
      <c r="HD50" s="20" t="n">
        <f aca="false">GU50*(Slot19_Cost-GZ50)</f>
        <v>0</v>
      </c>
      <c r="HE50" s="20" t="n">
        <f aca="false">IF(AND(Slot20_On=1,D50=Slot20_Age),1,0)</f>
        <v>0</v>
      </c>
      <c r="HF50" s="20" t="n">
        <f aca="false">IF(AND(Slot20_On=1,Slot20_Age&gt;D50),1,0)</f>
        <v>0</v>
      </c>
      <c r="HG50" s="20" t="n">
        <f aca="false">TK49</f>
        <v>0</v>
      </c>
      <c r="HH50" s="20" t="n">
        <f aca="false">HE50*MIN(Slot20_Cost,HG50)</f>
        <v>0</v>
      </c>
      <c r="HI50" s="20" t="n">
        <f aca="false">HE50*Slot20_SpendLike*MIN(Slot20_Cost-HH50,HA50)</f>
        <v>0</v>
      </c>
      <c r="HJ50" s="20" t="n">
        <f aca="false">HH50+HI50</f>
        <v>0</v>
      </c>
      <c r="HK50" s="20" t="n">
        <f aca="false">HA50-HI50+HE50*IF(Slot20_SpendLike=1,HG50-HH50,IF(Slot20_PotFree=1,HG50,0))</f>
        <v>0</v>
      </c>
      <c r="HL50" s="20" t="n">
        <f aca="false">HB50+HE50*Slot20_BufPot*HG50</f>
        <v>0</v>
      </c>
      <c r="HM50" s="20" t="n">
        <f aca="false">IF(AND(HE50=1,Slot20_IsMfree=1),IF(HJ50&gt;=Slot20_Cost-1,0,MAX(0,HC50-HJ50)),HC50)</f>
        <v>0</v>
      </c>
      <c r="HN50" s="20" t="n">
        <f aca="false">HE50*(Slot20_Cost-HJ50)</f>
        <v>0</v>
      </c>
      <c r="HO50" s="20" t="n">
        <f aca="false">V50*Slot1_SpendLike*AA50+AG50*Slot2_SpendLike*AL50+AQ50*Slot3_SpendLike*AV50+BA50*Slot4_SpendLike*BF50+BK50*Slot5_SpendLike*BP50+BU50*Slot6_SpendLike*BZ50+CE50*Slot7_SpendLike*CJ50+CO50*Slot8_SpendLike*CT50+CY50*Slot9_SpendLike*DD50+DI50*Slot10_SpendLike*DN50+DS50*Slot11_SpendLike*DX50+EC50*Slot12_SpendLike*EH50+EM50*Slot13_SpendLike*ER50+EW50*Slot14_SpendLike*FB50+FG50*Slot15_SpendLike*FL50+FQ50*Slot16_SpendLike*FV50+GA50*Slot17_SpendLike*GF50+GK50*Slot18_SpendLike*GP50+GU50*Slot19_SpendLike*GZ50+HE50*Slot20_SpendLike*HJ50</f>
        <v>0</v>
      </c>
      <c r="HP50" s="20" t="n">
        <f aca="false">AE50+AP50+AZ50+BJ50+BT50+CD50+CN50+CX50+DH50+DR50+EB50+EL50+EV50+FF50+FP50+FZ50+GJ50+GT50+HD50+HN50</f>
        <v>0</v>
      </c>
      <c r="HQ50" s="20" t="n">
        <f aca="false">V50*Slot1_Cost+AG50*Slot2_Cost+AQ50*Slot3_Cost+BA50*Slot4_Cost+BK50*Slot5_Cost+BU50*Slot6_Cost+CE50*Slot7_Cost+CO50*Slot8_Cost+CY50*Slot9_Cost+DI50*Slot10_Cost+DS50*Slot11_Cost+EC50*Slot12_Cost+EM50*Slot13_Cost+EW50*Slot14_Cost+FG50*Slot15_Cost+FQ50*Slot16_Cost+GA50*Slot17_Cost+GK50*Slot18_Cost+GU50*Slot19_Cost+HE50*Slot20_Cost</f>
        <v>0</v>
      </c>
      <c r="HR50" s="20" t="n">
        <f aca="false">HM50</f>
        <v>0</v>
      </c>
      <c r="HS50" s="20" t="n">
        <f aca="false">H50-I50-S50</f>
        <v>-24996.0394120107</v>
      </c>
      <c r="HT50" s="20" t="n">
        <f aca="false">IF(B50=0,IF(AND(Has_q6=1,In_q6=4),PR_ShareVaries*(MAX(0,HS50)/12),MIN(IF(Has_q6=1,CHOOSE(In_q6+1,PR_SaveB1,PR_SaveB2,PR_SaveB3,PR_SaveB4,0),AS_NoAnswer),AS_SaveShare*(MAX(0,HS50)/12))),HT49)</f>
        <v>67.3316893520437</v>
      </c>
      <c r="HU50" s="20" t="n">
        <f aca="false">IF(HS50&gt;=0,1,0)</f>
        <v>0</v>
      </c>
      <c r="HV50" s="20" t="n">
        <f aca="false">MAX(0,HS50/12/F50)</f>
        <v>0</v>
      </c>
      <c r="HW50" s="20" t="n">
        <f aca="false">IF(AND(Has_q6=1,In_q6=4),PR_ShareVaries*(HV50),MIN(IF(Has_q6=1,CHOOSE(In_q6+1,PR_SaveB1,PR_SaveB2,PR_SaveB3,PR_SaveB4,0),AS_NoAnswer),AS_SaveShare*(HV50)))</f>
        <v>0</v>
      </c>
      <c r="HX50" s="20" t="n">
        <f aca="false">IF(Has_saveM=1,IF(In_saveUp="Yes",1,IF(In_saveUp="No",0,IF(In_saveM&gt;=HT50-0.5,1,0))),0)</f>
        <v>0</v>
      </c>
      <c r="HY50" s="20" t="n">
        <f aca="false">IF(Has_saveM=1,MIN(HV50,IF(HX50=1,MAX(In_saveM,HW50),MIN(In_saveM,HW50))),HW50)</f>
        <v>0</v>
      </c>
      <c r="HZ50" s="20" t="n">
        <f aca="false">IF(G50=1,HY50*12*F50,0)</f>
        <v>0</v>
      </c>
      <c r="IA50" s="20" t="n">
        <f aca="false">MAX(0,HZ50+IF(AND(WI_Retire=0,WI_M&lt;0,G50=1),WI_M*12*F50,0))</f>
        <v>0</v>
      </c>
      <c r="IB50" s="20" t="n">
        <f aca="false">Slot1_IsWG*W50+Slot2_IsWG*AH50+Slot3_IsWG*AR50+Slot4_IsWG*BB50+Slot5_IsWG*BL50+Slot6_IsWG*BV50+Slot7_IsWG*CF50+Slot8_IsWG*CP50+Slot9_IsWG*CZ50+Slot10_IsWG*DJ50+Slot11_IsWG*DT50+Slot12_IsWG*ED50+Slot13_IsWG*EN50+Slot14_IsWG*EX50+Slot15_IsWG*FH50+Slot16_IsWG*FR50+Slot17_IsWG*GB50+Slot18_IsWG*GL50+Slot19_IsWG*GV50+Slot20_IsWG*HF50</f>
        <v>0</v>
      </c>
      <c r="IC50" s="20" t="n">
        <f aca="false">IF(AND(WI_Retire=0,WI_M&gt;0,G50=1,IB50&gt;=1),WI_M*12*F50,0)</f>
        <v>0</v>
      </c>
      <c r="ID50" s="20" t="n">
        <f aca="false">IF(HU50=1,MIN(IA50,HS50),0)</f>
        <v>0</v>
      </c>
      <c r="IE50" s="20" t="n">
        <f aca="false">IF(HU50=1,MIN(IC50,HS50-ID50),0)</f>
        <v>0</v>
      </c>
      <c r="IF50" s="20" t="n">
        <f aca="false">IF(W50=1,IF(ABS((1+AS_Wage)/(1+Slot1_Rate)-1)&lt;0.000000000001,(Slot1_Age-D50)*(1+Slot1_Rate)^(Slot1_Age-D50),(1+Slot1_Rate)^(Slot1_Age-D50)*(1-((1+AS_Wage)/(1+Slot1_Rate))^(Slot1_Age-D50))/(1-(1+AS_Wage)/(1+Slot1_Rate))),1)</f>
        <v>1</v>
      </c>
      <c r="IG50" s="20" t="n">
        <f aca="false">IF(AND(HU50=1,IE50&gt;0,Slot1_IsWG=1,W50=1),MAX(0,(Slot1_Cost-X50*(1+Slot1_Rate)^(Slot1_Age-D50))/IF50),0)</f>
        <v>0</v>
      </c>
      <c r="IH50" s="20" t="n">
        <f aca="false">IF(AND(HU50=1,IE50&gt;0,Slot1_IsWG=1,W50=1),MIN(IE50,IG50),0)</f>
        <v>0</v>
      </c>
      <c r="II50" s="20" t="n">
        <f aca="false">X50+IH50</f>
        <v>0</v>
      </c>
      <c r="IJ50" s="20" t="n">
        <f aca="false">IF(W50=1,MAX(0,(Slot1_Cost-II50*(1+Slot1_Rate)^(Slot1_Age-D50))/IF50),0)</f>
        <v>0</v>
      </c>
      <c r="IK50" s="20" t="n">
        <f aca="false">IF(W50=1,MAX(0,(Slot1_Cost-X50*(1+Slot1_Rate)^(Slot1_Age-D50))/IF50),0)</f>
        <v>0</v>
      </c>
      <c r="IL50" s="20" t="n">
        <f aca="false">IF(AND(HU50=1,W50=1),MIN(ID50,IJ50),0)</f>
        <v>0</v>
      </c>
      <c r="IM50" s="20" t="n">
        <f aca="false">ID50-IL50</f>
        <v>0</v>
      </c>
      <c r="IN50" s="20" t="n">
        <f aca="false">IF(AH50=1,IF(ABS((1+AS_Wage)/(1+Slot2_Rate)-1)&lt;0.000000000001,(Slot2_Age-D50)*(1+Slot2_Rate)^(Slot2_Age-D50),(1+Slot2_Rate)^(Slot2_Age-D50)*(1-((1+AS_Wage)/(1+Slot2_Rate))^(Slot2_Age-D50))/(1-(1+AS_Wage)/(1+Slot2_Rate))),1)</f>
        <v>1</v>
      </c>
      <c r="IO50" s="20" t="n">
        <f aca="false">IF(AND(HU50=1,IE50&gt;0,Slot2_IsWG=1,AH50=1),MAX(0,(Slot2_Cost-AI50*(1+Slot2_Rate)^(Slot2_Age-D50))/IN50),0)</f>
        <v>0</v>
      </c>
      <c r="IP50" s="20" t="n">
        <f aca="false">IF(AND(HU50=1,IE50&gt;0,Slot2_IsWG=1,AH50=1),MIN(IE50,IO50),0)</f>
        <v>0</v>
      </c>
      <c r="IQ50" s="20" t="n">
        <f aca="false">AI50+IP50</f>
        <v>0</v>
      </c>
      <c r="IR50" s="20" t="n">
        <f aca="false">IF(AH50=1,MAX(0,(Slot2_Cost-IQ50*(1+Slot2_Rate)^(Slot2_Age-D50))/IN50),0)</f>
        <v>0</v>
      </c>
      <c r="IS50" s="20" t="n">
        <f aca="false">IF(AH50=1,MAX(0,(Slot2_Cost-AI50*(1+Slot2_Rate)^(Slot2_Age-D50))/IN50),0)</f>
        <v>0</v>
      </c>
      <c r="IT50" s="20" t="n">
        <f aca="false">IF(AND(HU50=1,AH50=1),MIN(IM50,IR50),0)</f>
        <v>0</v>
      </c>
      <c r="IU50" s="20" t="n">
        <f aca="false">IM50-IT50</f>
        <v>0</v>
      </c>
      <c r="IV50" s="20" t="n">
        <f aca="false">IF(AR50=1,IF(ABS((1+AS_Wage)/(1+Slot3_Rate)-1)&lt;0.000000000001,(Slot3_Age-D50)*(1+Slot3_Rate)^(Slot3_Age-D50),(1+Slot3_Rate)^(Slot3_Age-D50)*(1-((1+AS_Wage)/(1+Slot3_Rate))^(Slot3_Age-D50))/(1-(1+AS_Wage)/(1+Slot3_Rate))),1)</f>
        <v>1</v>
      </c>
      <c r="IW50" s="20" t="n">
        <f aca="false">IF(AND(HU50=1,IE50&gt;0,Slot3_IsWG=1,AR50=1),MAX(0,(Slot3_Cost-AS50*(1+Slot3_Rate)^(Slot3_Age-D50))/IV50),0)</f>
        <v>0</v>
      </c>
      <c r="IX50" s="20" t="n">
        <f aca="false">IF(AND(HU50=1,IE50&gt;0,Slot3_IsWG=1,AR50=1),MIN(IE50,IW50),0)</f>
        <v>0</v>
      </c>
      <c r="IY50" s="20" t="n">
        <f aca="false">AS50+IX50</f>
        <v>0</v>
      </c>
      <c r="IZ50" s="20" t="n">
        <f aca="false">IF(AR50=1,MAX(0,(Slot3_Cost-IY50*(1+Slot3_Rate)^(Slot3_Age-D50))/IV50),0)</f>
        <v>0</v>
      </c>
      <c r="JA50" s="20" t="n">
        <f aca="false">IF(AR50=1,MAX(0,(Slot3_Cost-AS50*(1+Slot3_Rate)^(Slot3_Age-D50))/IV50),0)</f>
        <v>0</v>
      </c>
      <c r="JB50" s="20" t="n">
        <f aca="false">IF(AND(HU50=1,AR50=1),MIN(IU50,IZ50),0)</f>
        <v>0</v>
      </c>
      <c r="JC50" s="20" t="n">
        <f aca="false">IU50-JB50</f>
        <v>0</v>
      </c>
      <c r="JD50" s="20" t="n">
        <f aca="false">IF(BB50=1,IF(ABS((1+AS_Wage)/(1+Slot4_Rate)-1)&lt;0.000000000001,(Slot4_Age-D50)*(1+Slot4_Rate)^(Slot4_Age-D50),(1+Slot4_Rate)^(Slot4_Age-D50)*(1-((1+AS_Wage)/(1+Slot4_Rate))^(Slot4_Age-D50))/(1-(1+AS_Wage)/(1+Slot4_Rate))),1)</f>
        <v>1</v>
      </c>
      <c r="JE50" s="20" t="n">
        <f aca="false">IF(AND(HU50=1,IE50&gt;0,Slot4_IsWG=1,BB50=1),MAX(0,(Slot4_Cost-BC50*(1+Slot4_Rate)^(Slot4_Age-D50))/JD50),0)</f>
        <v>0</v>
      </c>
      <c r="JF50" s="20" t="n">
        <f aca="false">IF(AND(HU50=1,IE50&gt;0,Slot4_IsWG=1,BB50=1),MIN(IE50,JE50),0)</f>
        <v>0</v>
      </c>
      <c r="JG50" s="20" t="n">
        <f aca="false">BC50+JF50</f>
        <v>0</v>
      </c>
      <c r="JH50" s="20" t="n">
        <f aca="false">IF(BB50=1,MAX(0,(Slot4_Cost-JG50*(1+Slot4_Rate)^(Slot4_Age-D50))/JD50),0)</f>
        <v>0</v>
      </c>
      <c r="JI50" s="20" t="n">
        <f aca="false">IF(BB50=1,MAX(0,(Slot4_Cost-BC50*(1+Slot4_Rate)^(Slot4_Age-D50))/JD50),0)</f>
        <v>0</v>
      </c>
      <c r="JJ50" s="20" t="n">
        <f aca="false">IF(AND(HU50=1,BB50=1),MIN(JC50,JH50),0)</f>
        <v>0</v>
      </c>
      <c r="JK50" s="20" t="n">
        <f aca="false">JC50-JJ50</f>
        <v>0</v>
      </c>
      <c r="JL50" s="20" t="n">
        <f aca="false">IF(BL50=1,IF(ABS((1+AS_Wage)/(1+Slot5_Rate)-1)&lt;0.000000000001,(Slot5_Age-D50)*(1+Slot5_Rate)^(Slot5_Age-D50),(1+Slot5_Rate)^(Slot5_Age-D50)*(1-((1+AS_Wage)/(1+Slot5_Rate))^(Slot5_Age-D50))/(1-(1+AS_Wage)/(1+Slot5_Rate))),1)</f>
        <v>1</v>
      </c>
      <c r="JM50" s="20" t="n">
        <f aca="false">IF(AND(HU50=1,IE50&gt;0,Slot5_IsWG=1,BL50=1),MAX(0,(Slot5_Cost-BM50*(1+Slot5_Rate)^(Slot5_Age-D50))/JL50),0)</f>
        <v>0</v>
      </c>
      <c r="JN50" s="20" t="n">
        <f aca="false">IF(AND(HU50=1,IE50&gt;0,Slot5_IsWG=1,BL50=1),MIN(IE50,JM50),0)</f>
        <v>0</v>
      </c>
      <c r="JO50" s="20" t="n">
        <f aca="false">BM50+JN50</f>
        <v>0</v>
      </c>
      <c r="JP50" s="20" t="n">
        <f aca="false">IF(BL50=1,MAX(0,(Slot5_Cost-JO50*(1+Slot5_Rate)^(Slot5_Age-D50))/JL50),0)</f>
        <v>0</v>
      </c>
      <c r="JQ50" s="20" t="n">
        <f aca="false">IF(BL50=1,MAX(0,(Slot5_Cost-BM50*(1+Slot5_Rate)^(Slot5_Age-D50))/JL50),0)</f>
        <v>0</v>
      </c>
      <c r="JR50" s="20" t="n">
        <f aca="false">IF(AND(HU50=1,BL50=1),MIN(JK50,JP50),0)</f>
        <v>0</v>
      </c>
      <c r="JS50" s="20" t="n">
        <f aca="false">JK50-JR50</f>
        <v>0</v>
      </c>
      <c r="JT50" s="20" t="n">
        <f aca="false">IF(BV50=1,IF(ABS((1+AS_Wage)/(1+Slot6_Rate)-1)&lt;0.000000000001,(Slot6_Age-D50)*(1+Slot6_Rate)^(Slot6_Age-D50),(1+Slot6_Rate)^(Slot6_Age-D50)*(1-((1+AS_Wage)/(1+Slot6_Rate))^(Slot6_Age-D50))/(1-(1+AS_Wage)/(1+Slot6_Rate))),1)</f>
        <v>1</v>
      </c>
      <c r="JU50" s="20" t="n">
        <f aca="false">IF(AND(HU50=1,IE50&gt;0,Slot6_IsWG=1,BV50=1),MAX(0,(Slot6_Cost-BW50*(1+Slot6_Rate)^(Slot6_Age-D50))/JT50),0)</f>
        <v>0</v>
      </c>
      <c r="JV50" s="20" t="n">
        <f aca="false">IF(AND(HU50=1,IE50&gt;0,Slot6_IsWG=1,BV50=1),MIN(IE50,JU50),0)</f>
        <v>0</v>
      </c>
      <c r="JW50" s="20" t="n">
        <f aca="false">BW50+JV50</f>
        <v>0</v>
      </c>
      <c r="JX50" s="20" t="n">
        <f aca="false">IF(BV50=1,MAX(0,(Slot6_Cost-JW50*(1+Slot6_Rate)^(Slot6_Age-D50))/JT50),0)</f>
        <v>0</v>
      </c>
      <c r="JY50" s="20" t="n">
        <f aca="false">IF(BV50=1,MAX(0,(Slot6_Cost-BW50*(1+Slot6_Rate)^(Slot6_Age-D50))/JT50),0)</f>
        <v>0</v>
      </c>
      <c r="JZ50" s="20" t="n">
        <f aca="false">IF(AND(HU50=1,BV50=1),MIN(JS50,JX50),0)</f>
        <v>0</v>
      </c>
      <c r="KA50" s="20" t="n">
        <f aca="false">JS50-JZ50</f>
        <v>0</v>
      </c>
      <c r="KB50" s="20" t="n">
        <f aca="false">IF(CF50=1,IF(ABS((1+AS_Wage)/(1+Slot7_Rate)-1)&lt;0.000000000001,(Slot7_Age-D50)*(1+Slot7_Rate)^(Slot7_Age-D50),(1+Slot7_Rate)^(Slot7_Age-D50)*(1-((1+AS_Wage)/(1+Slot7_Rate))^(Slot7_Age-D50))/(1-(1+AS_Wage)/(1+Slot7_Rate))),1)</f>
        <v>1</v>
      </c>
      <c r="KC50" s="20" t="n">
        <f aca="false">IF(AND(HU50=1,IE50&gt;0,Slot7_IsWG=1,CF50=1),MAX(0,(Slot7_Cost-CG50*(1+Slot7_Rate)^(Slot7_Age-D50))/KB50),0)</f>
        <v>0</v>
      </c>
      <c r="KD50" s="20" t="n">
        <f aca="false">IF(AND(HU50=1,IE50&gt;0,Slot7_IsWG=1,CF50=1),MIN(IE50,KC50),0)</f>
        <v>0</v>
      </c>
      <c r="KE50" s="20" t="n">
        <f aca="false">CG50+KD50</f>
        <v>0</v>
      </c>
      <c r="KF50" s="20" t="n">
        <f aca="false">IF(CF50=1,MAX(0,(Slot7_Cost-KE50*(1+Slot7_Rate)^(Slot7_Age-D50))/KB50),0)</f>
        <v>0</v>
      </c>
      <c r="KG50" s="20" t="n">
        <f aca="false">IF(CF50=1,MAX(0,(Slot7_Cost-CG50*(1+Slot7_Rate)^(Slot7_Age-D50))/KB50),0)</f>
        <v>0</v>
      </c>
      <c r="KH50" s="20" t="n">
        <f aca="false">IF(AND(HU50=1,CF50=1),MIN(KA50,KF50),0)</f>
        <v>0</v>
      </c>
      <c r="KI50" s="20" t="n">
        <f aca="false">KA50-KH50</f>
        <v>0</v>
      </c>
      <c r="KJ50" s="20" t="n">
        <f aca="false">IF(CP50=1,IF(ABS((1+AS_Wage)/(1+Slot8_Rate)-1)&lt;0.000000000001,(Slot8_Age-D50)*(1+Slot8_Rate)^(Slot8_Age-D50),(1+Slot8_Rate)^(Slot8_Age-D50)*(1-((1+AS_Wage)/(1+Slot8_Rate))^(Slot8_Age-D50))/(1-(1+AS_Wage)/(1+Slot8_Rate))),1)</f>
        <v>1</v>
      </c>
      <c r="KK50" s="20" t="n">
        <f aca="false">IF(AND(HU50=1,IE50&gt;0,Slot8_IsWG=1,CP50=1),MAX(0,(Slot8_Cost-CQ50*(1+Slot8_Rate)^(Slot8_Age-D50))/KJ50),0)</f>
        <v>0</v>
      </c>
      <c r="KL50" s="20" t="n">
        <f aca="false">IF(AND(HU50=1,IE50&gt;0,Slot8_IsWG=1,CP50=1),MIN(IE50,KK50),0)</f>
        <v>0</v>
      </c>
      <c r="KM50" s="20" t="n">
        <f aca="false">CQ50+KL50</f>
        <v>0</v>
      </c>
      <c r="KN50" s="20" t="n">
        <f aca="false">IF(CP50=1,MAX(0,(Slot8_Cost-KM50*(1+Slot8_Rate)^(Slot8_Age-D50))/KJ50),0)</f>
        <v>0</v>
      </c>
      <c r="KO50" s="20" t="n">
        <f aca="false">IF(CP50=1,MAX(0,(Slot8_Cost-CQ50*(1+Slot8_Rate)^(Slot8_Age-D50))/KJ50),0)</f>
        <v>0</v>
      </c>
      <c r="KP50" s="20" t="n">
        <f aca="false">IF(AND(HU50=1,CP50=1),MIN(KI50,KN50),0)</f>
        <v>0</v>
      </c>
      <c r="KQ50" s="20" t="n">
        <f aca="false">KI50-KP50</f>
        <v>0</v>
      </c>
      <c r="KR50" s="20" t="n">
        <f aca="false">IF(CZ50=1,IF(ABS((1+AS_Wage)/(1+Slot9_Rate)-1)&lt;0.000000000001,(Slot9_Age-D50)*(1+Slot9_Rate)^(Slot9_Age-D50),(1+Slot9_Rate)^(Slot9_Age-D50)*(1-((1+AS_Wage)/(1+Slot9_Rate))^(Slot9_Age-D50))/(1-(1+AS_Wage)/(1+Slot9_Rate))),1)</f>
        <v>1</v>
      </c>
      <c r="KS50" s="20" t="n">
        <f aca="false">IF(AND(HU50=1,IE50&gt;0,Slot9_IsWG=1,CZ50=1),MAX(0,(Slot9_Cost-DA50*(1+Slot9_Rate)^(Slot9_Age-D50))/KR50),0)</f>
        <v>0</v>
      </c>
      <c r="KT50" s="20" t="n">
        <f aca="false">IF(AND(HU50=1,IE50&gt;0,Slot9_IsWG=1,CZ50=1),MIN(IE50,KS50),0)</f>
        <v>0</v>
      </c>
      <c r="KU50" s="20" t="n">
        <f aca="false">DA50+KT50</f>
        <v>0</v>
      </c>
      <c r="KV50" s="20" t="n">
        <f aca="false">IF(CZ50=1,MAX(0,(Slot9_Cost-KU50*(1+Slot9_Rate)^(Slot9_Age-D50))/KR50),0)</f>
        <v>0</v>
      </c>
      <c r="KW50" s="20" t="n">
        <f aca="false">IF(CZ50=1,MAX(0,(Slot9_Cost-DA50*(1+Slot9_Rate)^(Slot9_Age-D50))/KR50),0)</f>
        <v>0</v>
      </c>
      <c r="KX50" s="20" t="n">
        <f aca="false">IF(AND(HU50=1,CZ50=1),MIN(KQ50,KV50),0)</f>
        <v>0</v>
      </c>
      <c r="KY50" s="20" t="n">
        <f aca="false">KQ50-KX50</f>
        <v>0</v>
      </c>
      <c r="KZ50" s="20" t="n">
        <f aca="false">IF(DJ50=1,IF(ABS((1+AS_Wage)/(1+Slot10_Rate)-1)&lt;0.000000000001,(Slot10_Age-D50)*(1+Slot10_Rate)^(Slot10_Age-D50),(1+Slot10_Rate)^(Slot10_Age-D50)*(1-((1+AS_Wage)/(1+Slot10_Rate))^(Slot10_Age-D50))/(1-(1+AS_Wage)/(1+Slot10_Rate))),1)</f>
        <v>1</v>
      </c>
      <c r="LA50" s="20" t="n">
        <f aca="false">IF(AND(HU50=1,IE50&gt;0,Slot10_IsWG=1,DJ50=1),MAX(0,(Slot10_Cost-DK50*(1+Slot10_Rate)^(Slot10_Age-D50))/KZ50),0)</f>
        <v>0</v>
      </c>
      <c r="LB50" s="20" t="n">
        <f aca="false">IF(AND(HU50=1,IE50&gt;0,Slot10_IsWG=1,DJ50=1),MIN(IE50,LA50),0)</f>
        <v>0</v>
      </c>
      <c r="LC50" s="20" t="n">
        <f aca="false">DK50+LB50</f>
        <v>0</v>
      </c>
      <c r="LD50" s="20" t="n">
        <f aca="false">IF(DJ50=1,MAX(0,(Slot10_Cost-LC50*(1+Slot10_Rate)^(Slot10_Age-D50))/KZ50),0)</f>
        <v>0</v>
      </c>
      <c r="LE50" s="20" t="n">
        <f aca="false">IF(DJ50=1,MAX(0,(Slot10_Cost-DK50*(1+Slot10_Rate)^(Slot10_Age-D50))/KZ50),0)</f>
        <v>0</v>
      </c>
      <c r="LF50" s="20" t="n">
        <f aca="false">IF(AND(HU50=1,DJ50=1),MIN(KY50,LD50),0)</f>
        <v>0</v>
      </c>
      <c r="LG50" s="20" t="n">
        <f aca="false">KY50-LF50</f>
        <v>0</v>
      </c>
      <c r="LH50" s="20" t="n">
        <f aca="false">IF(DT50=1,IF(ABS((1+AS_Wage)/(1+Slot11_Rate)-1)&lt;0.000000000001,(Slot11_Age-D50)*(1+Slot11_Rate)^(Slot11_Age-D50),(1+Slot11_Rate)^(Slot11_Age-D50)*(1-((1+AS_Wage)/(1+Slot11_Rate))^(Slot11_Age-D50))/(1-(1+AS_Wage)/(1+Slot11_Rate))),1)</f>
        <v>1</v>
      </c>
      <c r="LI50" s="20" t="n">
        <f aca="false">IF(AND(HU50=1,IE50&gt;0,Slot11_IsWG=1,DT50=1),MAX(0,(Slot11_Cost-DU50*(1+Slot11_Rate)^(Slot11_Age-D50))/LH50),0)</f>
        <v>0</v>
      </c>
      <c r="LJ50" s="20" t="n">
        <f aca="false">IF(AND(HU50=1,IE50&gt;0,Slot11_IsWG=1,DT50=1),MIN(IE50,LI50),0)</f>
        <v>0</v>
      </c>
      <c r="LK50" s="20" t="n">
        <f aca="false">DU50+LJ50</f>
        <v>0</v>
      </c>
      <c r="LL50" s="20" t="n">
        <f aca="false">IF(DT50=1,MAX(0,(Slot11_Cost-LK50*(1+Slot11_Rate)^(Slot11_Age-D50))/LH50),0)</f>
        <v>0</v>
      </c>
      <c r="LM50" s="20" t="n">
        <f aca="false">IF(DT50=1,MAX(0,(Slot11_Cost-DU50*(1+Slot11_Rate)^(Slot11_Age-D50))/LH50),0)</f>
        <v>0</v>
      </c>
      <c r="LN50" s="20" t="n">
        <f aca="false">IF(AND(HU50=1,DT50=1),MIN(LG50,LL50),0)</f>
        <v>0</v>
      </c>
      <c r="LO50" s="20" t="n">
        <f aca="false">LG50-LN50</f>
        <v>0</v>
      </c>
      <c r="LP50" s="20" t="n">
        <f aca="false">IF(ED50=1,IF(ABS((1+AS_Wage)/(1+Slot12_Rate)-1)&lt;0.000000000001,(Slot12_Age-D50)*(1+Slot12_Rate)^(Slot12_Age-D50),(1+Slot12_Rate)^(Slot12_Age-D50)*(1-((1+AS_Wage)/(1+Slot12_Rate))^(Slot12_Age-D50))/(1-(1+AS_Wage)/(1+Slot12_Rate))),1)</f>
        <v>1</v>
      </c>
      <c r="LQ50" s="20" t="n">
        <f aca="false">IF(AND(HU50=1,IE50&gt;0,Slot12_IsWG=1,ED50=1),MAX(0,(Slot12_Cost-EE50*(1+Slot12_Rate)^(Slot12_Age-D50))/LP50),0)</f>
        <v>0</v>
      </c>
      <c r="LR50" s="20" t="n">
        <f aca="false">IF(AND(HU50=1,IE50&gt;0,Slot12_IsWG=1,ED50=1),MIN(IE50,LQ50),0)</f>
        <v>0</v>
      </c>
      <c r="LS50" s="20" t="n">
        <f aca="false">EE50+LR50</f>
        <v>0</v>
      </c>
      <c r="LT50" s="20" t="n">
        <f aca="false">IF(ED50=1,MAX(0,(Slot12_Cost-LS50*(1+Slot12_Rate)^(Slot12_Age-D50))/LP50),0)</f>
        <v>0</v>
      </c>
      <c r="LU50" s="20" t="n">
        <f aca="false">IF(ED50=1,MAX(0,(Slot12_Cost-EE50*(1+Slot12_Rate)^(Slot12_Age-D50))/LP50),0)</f>
        <v>0</v>
      </c>
      <c r="LV50" s="20" t="n">
        <f aca="false">IF(AND(HU50=1,ED50=1),MIN(LO50,LT50),0)</f>
        <v>0</v>
      </c>
      <c r="LW50" s="20" t="n">
        <f aca="false">LO50-LV50</f>
        <v>0</v>
      </c>
      <c r="LX50" s="20" t="n">
        <f aca="false">IF(EN50=1,IF(ABS((1+AS_Wage)/(1+Slot13_Rate)-1)&lt;0.000000000001,(Slot13_Age-D50)*(1+Slot13_Rate)^(Slot13_Age-D50),(1+Slot13_Rate)^(Slot13_Age-D50)*(1-((1+AS_Wage)/(1+Slot13_Rate))^(Slot13_Age-D50))/(1-(1+AS_Wage)/(1+Slot13_Rate))),1)</f>
        <v>1</v>
      </c>
      <c r="LY50" s="20" t="n">
        <f aca="false">IF(AND(HU50=1,IE50&gt;0,Slot13_IsWG=1,EN50=1),MAX(0,(Slot13_Cost-EO50*(1+Slot13_Rate)^(Slot13_Age-D50))/LX50),0)</f>
        <v>0</v>
      </c>
      <c r="LZ50" s="20" t="n">
        <f aca="false">IF(AND(HU50=1,IE50&gt;0,Slot13_IsWG=1,EN50=1),MIN(IE50,LY50),0)</f>
        <v>0</v>
      </c>
      <c r="MA50" s="20" t="n">
        <f aca="false">EO50+LZ50</f>
        <v>0</v>
      </c>
      <c r="MB50" s="20" t="n">
        <f aca="false">IF(EN50=1,MAX(0,(Slot13_Cost-MA50*(1+Slot13_Rate)^(Slot13_Age-D50))/LX50),0)</f>
        <v>0</v>
      </c>
      <c r="MC50" s="20" t="n">
        <f aca="false">IF(EN50=1,MAX(0,(Slot13_Cost-EO50*(1+Slot13_Rate)^(Slot13_Age-D50))/LX50),0)</f>
        <v>0</v>
      </c>
      <c r="MD50" s="20" t="n">
        <f aca="false">IF(AND(HU50=1,EN50=1),MIN(LW50,MB50),0)</f>
        <v>0</v>
      </c>
      <c r="ME50" s="20" t="n">
        <f aca="false">LW50-MD50</f>
        <v>0</v>
      </c>
      <c r="MF50" s="20" t="n">
        <f aca="false">IF(EX50=1,IF(ABS((1+AS_Wage)/(1+Slot14_Rate)-1)&lt;0.000000000001,(Slot14_Age-D50)*(1+Slot14_Rate)^(Slot14_Age-D50),(1+Slot14_Rate)^(Slot14_Age-D50)*(1-((1+AS_Wage)/(1+Slot14_Rate))^(Slot14_Age-D50))/(1-(1+AS_Wage)/(1+Slot14_Rate))),1)</f>
        <v>1</v>
      </c>
      <c r="MG50" s="20" t="n">
        <f aca="false">IF(AND(HU50=1,IE50&gt;0,Slot14_IsWG=1,EX50=1),MAX(0,(Slot14_Cost-EY50*(1+Slot14_Rate)^(Slot14_Age-D50))/MF50),0)</f>
        <v>0</v>
      </c>
      <c r="MH50" s="20" t="n">
        <f aca="false">IF(AND(HU50=1,IE50&gt;0,Slot14_IsWG=1,EX50=1),MIN(IE50,MG50),0)</f>
        <v>0</v>
      </c>
      <c r="MI50" s="20" t="n">
        <f aca="false">EY50+MH50</f>
        <v>0</v>
      </c>
      <c r="MJ50" s="20" t="n">
        <f aca="false">IF(EX50=1,MAX(0,(Slot14_Cost-MI50*(1+Slot14_Rate)^(Slot14_Age-D50))/MF50),0)</f>
        <v>0</v>
      </c>
      <c r="MK50" s="20" t="n">
        <f aca="false">IF(EX50=1,MAX(0,(Slot14_Cost-EY50*(1+Slot14_Rate)^(Slot14_Age-D50))/MF50),0)</f>
        <v>0</v>
      </c>
      <c r="ML50" s="20" t="n">
        <f aca="false">IF(AND(HU50=1,EX50=1),MIN(ME50,MJ50),0)</f>
        <v>0</v>
      </c>
      <c r="MM50" s="20" t="n">
        <f aca="false">ME50-ML50</f>
        <v>0</v>
      </c>
      <c r="MN50" s="20" t="n">
        <f aca="false">IF(FH50=1,IF(ABS((1+AS_Wage)/(1+Slot15_Rate)-1)&lt;0.000000000001,(Slot15_Age-D50)*(1+Slot15_Rate)^(Slot15_Age-D50),(1+Slot15_Rate)^(Slot15_Age-D50)*(1-((1+AS_Wage)/(1+Slot15_Rate))^(Slot15_Age-D50))/(1-(1+AS_Wage)/(1+Slot15_Rate))),1)</f>
        <v>1</v>
      </c>
      <c r="MO50" s="20" t="n">
        <f aca="false">IF(AND(HU50=1,IE50&gt;0,Slot15_IsWG=1,FH50=1),MAX(0,(Slot15_Cost-FI50*(1+Slot15_Rate)^(Slot15_Age-D50))/MN50),0)</f>
        <v>0</v>
      </c>
      <c r="MP50" s="20" t="n">
        <f aca="false">IF(AND(HU50=1,IE50&gt;0,Slot15_IsWG=1,FH50=1),MIN(IE50,MO50),0)</f>
        <v>0</v>
      </c>
      <c r="MQ50" s="20" t="n">
        <f aca="false">FI50+MP50</f>
        <v>0</v>
      </c>
      <c r="MR50" s="20" t="n">
        <f aca="false">IF(FH50=1,MAX(0,(Slot15_Cost-MQ50*(1+Slot15_Rate)^(Slot15_Age-D50))/MN50),0)</f>
        <v>0</v>
      </c>
      <c r="MS50" s="20" t="n">
        <f aca="false">IF(FH50=1,MAX(0,(Slot15_Cost-FI50*(1+Slot15_Rate)^(Slot15_Age-D50))/MN50),0)</f>
        <v>0</v>
      </c>
      <c r="MT50" s="20" t="n">
        <f aca="false">IF(AND(HU50=1,FH50=1),MIN(MM50,MR50),0)</f>
        <v>0</v>
      </c>
      <c r="MU50" s="20" t="n">
        <f aca="false">MM50-MT50</f>
        <v>0</v>
      </c>
      <c r="MV50" s="20" t="n">
        <f aca="false">IF(FR50=1,IF(ABS((1+AS_Wage)/(1+Slot16_Rate)-1)&lt;0.000000000001,(Slot16_Age-D50)*(1+Slot16_Rate)^(Slot16_Age-D50),(1+Slot16_Rate)^(Slot16_Age-D50)*(1-((1+AS_Wage)/(1+Slot16_Rate))^(Slot16_Age-D50))/(1-(1+AS_Wage)/(1+Slot16_Rate))),1)</f>
        <v>1</v>
      </c>
      <c r="MW50" s="20" t="n">
        <f aca="false">IF(AND(HU50=1,IE50&gt;0,Slot16_IsWG=1,FR50=1),MAX(0,(Slot16_Cost-FS50*(1+Slot16_Rate)^(Slot16_Age-D50))/MV50),0)</f>
        <v>0</v>
      </c>
      <c r="MX50" s="20" t="n">
        <f aca="false">IF(AND(HU50=1,IE50&gt;0,Slot16_IsWG=1,FR50=1),MIN(IE50,MW50),0)</f>
        <v>0</v>
      </c>
      <c r="MY50" s="20" t="n">
        <f aca="false">FS50+MX50</f>
        <v>0</v>
      </c>
      <c r="MZ50" s="20" t="n">
        <f aca="false">IF(FR50=1,MAX(0,(Slot16_Cost-MY50*(1+Slot16_Rate)^(Slot16_Age-D50))/MV50),0)</f>
        <v>0</v>
      </c>
      <c r="NA50" s="20" t="n">
        <f aca="false">IF(FR50=1,MAX(0,(Slot16_Cost-FS50*(1+Slot16_Rate)^(Slot16_Age-D50))/MV50),0)</f>
        <v>0</v>
      </c>
      <c r="NB50" s="20" t="n">
        <f aca="false">IF(AND(HU50=1,FR50=1),MIN(MU50,MZ50),0)</f>
        <v>0</v>
      </c>
      <c r="NC50" s="20" t="n">
        <f aca="false">MU50-NB50</f>
        <v>0</v>
      </c>
      <c r="ND50" s="20" t="n">
        <f aca="false">IF(GB50=1,IF(ABS((1+AS_Wage)/(1+Slot17_Rate)-1)&lt;0.000000000001,(Slot17_Age-D50)*(1+Slot17_Rate)^(Slot17_Age-D50),(1+Slot17_Rate)^(Slot17_Age-D50)*(1-((1+AS_Wage)/(1+Slot17_Rate))^(Slot17_Age-D50))/(1-(1+AS_Wage)/(1+Slot17_Rate))),1)</f>
        <v>1</v>
      </c>
      <c r="NE50" s="20" t="n">
        <f aca="false">IF(AND(HU50=1,IE50&gt;0,Slot17_IsWG=1,GB50=1),MAX(0,(Slot17_Cost-GC50*(1+Slot17_Rate)^(Slot17_Age-D50))/ND50),0)</f>
        <v>0</v>
      </c>
      <c r="NF50" s="20" t="n">
        <f aca="false">IF(AND(HU50=1,IE50&gt;0,Slot17_IsWG=1,GB50=1),MIN(IE50,NE50),0)</f>
        <v>0</v>
      </c>
      <c r="NG50" s="20" t="n">
        <f aca="false">GC50+NF50</f>
        <v>0</v>
      </c>
      <c r="NH50" s="20" t="n">
        <f aca="false">IF(GB50=1,MAX(0,(Slot17_Cost-NG50*(1+Slot17_Rate)^(Slot17_Age-D50))/ND50),0)</f>
        <v>0</v>
      </c>
      <c r="NI50" s="20" t="n">
        <f aca="false">IF(GB50=1,MAX(0,(Slot17_Cost-GC50*(1+Slot17_Rate)^(Slot17_Age-D50))/ND50),0)</f>
        <v>0</v>
      </c>
      <c r="NJ50" s="20" t="n">
        <f aca="false">IF(AND(HU50=1,GB50=1),MIN(NC50,NH50),0)</f>
        <v>0</v>
      </c>
      <c r="NK50" s="20" t="n">
        <f aca="false">NC50-NJ50</f>
        <v>0</v>
      </c>
      <c r="NL50" s="20" t="n">
        <f aca="false">IF(GL50=1,IF(ABS((1+AS_Wage)/(1+Slot18_Rate)-1)&lt;0.000000000001,(Slot18_Age-D50)*(1+Slot18_Rate)^(Slot18_Age-D50),(1+Slot18_Rate)^(Slot18_Age-D50)*(1-((1+AS_Wage)/(1+Slot18_Rate))^(Slot18_Age-D50))/(1-(1+AS_Wage)/(1+Slot18_Rate))),1)</f>
        <v>1</v>
      </c>
      <c r="NM50" s="20" t="n">
        <f aca="false">IF(AND(HU50=1,IE50&gt;0,Slot18_IsWG=1,GL50=1),MAX(0,(Slot18_Cost-GM50*(1+Slot18_Rate)^(Slot18_Age-D50))/NL50),0)</f>
        <v>0</v>
      </c>
      <c r="NN50" s="20" t="n">
        <f aca="false">IF(AND(HU50=1,IE50&gt;0,Slot18_IsWG=1,GL50=1),MIN(IE50,NM50),0)</f>
        <v>0</v>
      </c>
      <c r="NO50" s="20" t="n">
        <f aca="false">GM50+NN50</f>
        <v>0</v>
      </c>
      <c r="NP50" s="20" t="n">
        <f aca="false">IF(GL50=1,MAX(0,(Slot18_Cost-NO50*(1+Slot18_Rate)^(Slot18_Age-D50))/NL50),0)</f>
        <v>0</v>
      </c>
      <c r="NQ50" s="20" t="n">
        <f aca="false">IF(GL50=1,MAX(0,(Slot18_Cost-GM50*(1+Slot18_Rate)^(Slot18_Age-D50))/NL50),0)</f>
        <v>0</v>
      </c>
      <c r="NR50" s="20" t="n">
        <f aca="false">IF(AND(HU50=1,GL50=1),MIN(NK50,NP50),0)</f>
        <v>0</v>
      </c>
      <c r="NS50" s="20" t="n">
        <f aca="false">NK50-NR50</f>
        <v>0</v>
      </c>
      <c r="NT50" s="20" t="n">
        <f aca="false">IF(GV50=1,IF(ABS((1+AS_Wage)/(1+Slot19_Rate)-1)&lt;0.000000000001,(Slot19_Age-D50)*(1+Slot19_Rate)^(Slot19_Age-D50),(1+Slot19_Rate)^(Slot19_Age-D50)*(1-((1+AS_Wage)/(1+Slot19_Rate))^(Slot19_Age-D50))/(1-(1+AS_Wage)/(1+Slot19_Rate))),1)</f>
        <v>1</v>
      </c>
      <c r="NU50" s="20" t="n">
        <f aca="false">IF(AND(HU50=1,IE50&gt;0,Slot19_IsWG=1,GV50=1),MAX(0,(Slot19_Cost-GW50*(1+Slot19_Rate)^(Slot19_Age-D50))/NT50),0)</f>
        <v>0</v>
      </c>
      <c r="NV50" s="20" t="n">
        <f aca="false">IF(AND(HU50=1,IE50&gt;0,Slot19_IsWG=1,GV50=1),MIN(IE50,NU50),0)</f>
        <v>0</v>
      </c>
      <c r="NW50" s="20" t="n">
        <f aca="false">GW50+NV50</f>
        <v>0</v>
      </c>
      <c r="NX50" s="20" t="n">
        <f aca="false">IF(GV50=1,MAX(0,(Slot19_Cost-NW50*(1+Slot19_Rate)^(Slot19_Age-D50))/NT50),0)</f>
        <v>0</v>
      </c>
      <c r="NY50" s="20" t="n">
        <f aca="false">IF(GV50=1,MAX(0,(Slot19_Cost-GW50*(1+Slot19_Rate)^(Slot19_Age-D50))/NT50),0)</f>
        <v>0</v>
      </c>
      <c r="NZ50" s="20" t="n">
        <f aca="false">IF(AND(HU50=1,GV50=1),MIN(NS50,NX50),0)</f>
        <v>0</v>
      </c>
      <c r="OA50" s="20" t="n">
        <f aca="false">NS50-NZ50</f>
        <v>0</v>
      </c>
      <c r="OB50" s="20" t="n">
        <f aca="false">IF(HF50=1,IF(ABS((1+AS_Wage)/(1+Slot20_Rate)-1)&lt;0.000000000001,(Slot20_Age-D50)*(1+Slot20_Rate)^(Slot20_Age-D50),(1+Slot20_Rate)^(Slot20_Age-D50)*(1-((1+AS_Wage)/(1+Slot20_Rate))^(Slot20_Age-D50))/(1-(1+AS_Wage)/(1+Slot20_Rate))),1)</f>
        <v>1</v>
      </c>
      <c r="OC50" s="20" t="n">
        <f aca="false">IF(AND(HU50=1,IE50&gt;0,Slot20_IsWG=1,HF50=1),MAX(0,(Slot20_Cost-HG50*(1+Slot20_Rate)^(Slot20_Age-D50))/OB50),0)</f>
        <v>0</v>
      </c>
      <c r="OD50" s="20" t="n">
        <f aca="false">IF(AND(HU50=1,IE50&gt;0,Slot20_IsWG=1,HF50=1),MIN(IE50,OC50),0)</f>
        <v>0</v>
      </c>
      <c r="OE50" s="20" t="n">
        <f aca="false">HG50+OD50</f>
        <v>0</v>
      </c>
      <c r="OF50" s="20" t="n">
        <f aca="false">IF(HF50=1,MAX(0,(Slot20_Cost-OE50*(1+Slot20_Rate)^(Slot20_Age-D50))/OB50),0)</f>
        <v>0</v>
      </c>
      <c r="OG50" s="20" t="n">
        <f aca="false">IF(HF50=1,MAX(0,(Slot20_Cost-HG50*(1+Slot20_Rate)^(Slot20_Age-D50))/OB50),0)</f>
        <v>0</v>
      </c>
      <c r="OH50" s="20" t="n">
        <f aca="false">IF(AND(HU50=1,HF50=1),MIN(OA50,OF50),0)</f>
        <v>0</v>
      </c>
      <c r="OI50" s="20" t="n">
        <f aca="false">OA50-OH50</f>
        <v>0</v>
      </c>
      <c r="OJ50" s="20" t="n">
        <f aca="false">IE50-(IH50+IP50+IX50+JF50+JN50+JV50+KD50+KL50+KT50+LB50+LJ50+LR50+LZ50+MH50+MP50+MX50+NF50+NN50+NV50+OD50)</f>
        <v>0</v>
      </c>
      <c r="OK50" s="20" t="n">
        <f aca="false">IF(HU50=1,HS50-ID50-IE50,0)</f>
        <v>0</v>
      </c>
      <c r="OL50" s="20" t="n">
        <f aca="false">IF(HU50=0,-HS50,0)</f>
        <v>24996.0394120107</v>
      </c>
      <c r="OM50" s="20" t="n">
        <f aca="false">MIN(OL50,HK50)</f>
        <v>0</v>
      </c>
      <c r="ON50" s="20" t="n">
        <f aca="false">OL50-OM50</f>
        <v>24996.0394120107</v>
      </c>
      <c r="OO50" s="20" t="n">
        <f aca="false">MIN(ON50,HL50)</f>
        <v>0</v>
      </c>
      <c r="OP50" s="20" t="n">
        <f aca="false">ON50-OO50</f>
        <v>24996.0394120107</v>
      </c>
      <c r="OQ50" s="20" t="n">
        <f aca="false">IF(AND(HU50=0,HF50=1,OP50&gt;0),MIN(OP50,HG50),0)</f>
        <v>0</v>
      </c>
      <c r="OR50" s="20" t="n">
        <f aca="false">OP50-OQ50</f>
        <v>24996.0394120107</v>
      </c>
      <c r="OS50" s="20" t="n">
        <f aca="false">IF(AND(HU50=0,GV50=1,OR50&gt;0),MIN(OR50,GW50),0)</f>
        <v>0</v>
      </c>
      <c r="OT50" s="20" t="n">
        <f aca="false">OR50-OS50</f>
        <v>24996.0394120107</v>
      </c>
      <c r="OU50" s="20" t="n">
        <f aca="false">IF(AND(HU50=0,GL50=1,OT50&gt;0),MIN(OT50,GM50),0)</f>
        <v>0</v>
      </c>
      <c r="OV50" s="20" t="n">
        <f aca="false">OT50-OU50</f>
        <v>24996.0394120107</v>
      </c>
      <c r="OW50" s="20" t="n">
        <f aca="false">IF(AND(HU50=0,GB50=1,OV50&gt;0),MIN(OV50,GC50),0)</f>
        <v>0</v>
      </c>
      <c r="OX50" s="20" t="n">
        <f aca="false">OV50-OW50</f>
        <v>24996.0394120107</v>
      </c>
      <c r="OY50" s="20" t="n">
        <f aca="false">IF(AND(HU50=0,FR50=1,OX50&gt;0),MIN(OX50,FS50),0)</f>
        <v>0</v>
      </c>
      <c r="OZ50" s="20" t="n">
        <f aca="false">OX50-OY50</f>
        <v>24996.0394120107</v>
      </c>
      <c r="PA50" s="20" t="n">
        <f aca="false">IF(AND(HU50=0,FH50=1,OZ50&gt;0),MIN(OZ50,FI50),0)</f>
        <v>0</v>
      </c>
      <c r="PB50" s="20" t="n">
        <f aca="false">OZ50-PA50</f>
        <v>24996.0394120107</v>
      </c>
      <c r="PC50" s="20" t="n">
        <f aca="false">IF(AND(HU50=0,EX50=1,PB50&gt;0),MIN(PB50,EY50),0)</f>
        <v>0</v>
      </c>
      <c r="PD50" s="20" t="n">
        <f aca="false">PB50-PC50</f>
        <v>24996.0394120107</v>
      </c>
      <c r="PE50" s="20" t="n">
        <f aca="false">IF(AND(HU50=0,EN50=1,PD50&gt;0),MIN(PD50,EO50),0)</f>
        <v>0</v>
      </c>
      <c r="PF50" s="20" t="n">
        <f aca="false">PD50-PE50</f>
        <v>24996.0394120107</v>
      </c>
      <c r="PG50" s="20" t="n">
        <f aca="false">IF(AND(HU50=0,ED50=1,PF50&gt;0),MIN(PF50,EE50),0)</f>
        <v>0</v>
      </c>
      <c r="PH50" s="20" t="n">
        <f aca="false">PF50-PG50</f>
        <v>24996.0394120107</v>
      </c>
      <c r="PI50" s="20" t="n">
        <f aca="false">IF(AND(HU50=0,DT50=1,PH50&gt;0),MIN(PH50,DU50),0)</f>
        <v>0</v>
      </c>
      <c r="PJ50" s="20" t="n">
        <f aca="false">PH50-PI50</f>
        <v>24996.0394120107</v>
      </c>
      <c r="PK50" s="20" t="n">
        <f aca="false">IF(AND(HU50=0,DJ50=1,PJ50&gt;0),MIN(PJ50,DK50),0)</f>
        <v>0</v>
      </c>
      <c r="PL50" s="20" t="n">
        <f aca="false">PJ50-PK50</f>
        <v>24996.0394120107</v>
      </c>
      <c r="PM50" s="20" t="n">
        <f aca="false">IF(AND(HU50=0,CZ50=1,PL50&gt;0),MIN(PL50,DA50),0)</f>
        <v>0</v>
      </c>
      <c r="PN50" s="20" t="n">
        <f aca="false">PL50-PM50</f>
        <v>24996.0394120107</v>
      </c>
      <c r="PO50" s="20" t="n">
        <f aca="false">IF(AND(HU50=0,CP50=1,PN50&gt;0),MIN(PN50,CQ50),0)</f>
        <v>0</v>
      </c>
      <c r="PP50" s="20" t="n">
        <f aca="false">PN50-PO50</f>
        <v>24996.0394120107</v>
      </c>
      <c r="PQ50" s="20" t="n">
        <f aca="false">IF(AND(HU50=0,CF50=1,PP50&gt;0),MIN(PP50,CG50),0)</f>
        <v>0</v>
      </c>
      <c r="PR50" s="20" t="n">
        <f aca="false">PP50-PQ50</f>
        <v>24996.0394120107</v>
      </c>
      <c r="PS50" s="20" t="n">
        <f aca="false">IF(AND(HU50=0,BV50=1,PR50&gt;0),MIN(PR50,BW50),0)</f>
        <v>0</v>
      </c>
      <c r="PT50" s="20" t="n">
        <f aca="false">PR50-PS50</f>
        <v>24996.0394120107</v>
      </c>
      <c r="PU50" s="20" t="n">
        <f aca="false">IF(AND(HU50=0,BL50=1,PT50&gt;0),MIN(PT50,BM50),0)</f>
        <v>0</v>
      </c>
      <c r="PV50" s="20" t="n">
        <f aca="false">PT50-PU50</f>
        <v>24996.0394120107</v>
      </c>
      <c r="PW50" s="20" t="n">
        <f aca="false">IF(AND(HU50=0,BB50=1,PV50&gt;0),MIN(PV50,BC50),0)</f>
        <v>0</v>
      </c>
      <c r="PX50" s="20" t="n">
        <f aca="false">PV50-PW50</f>
        <v>24996.0394120107</v>
      </c>
      <c r="PY50" s="20" t="n">
        <f aca="false">IF(AND(HU50=0,AR50=1,PX50&gt;0),MIN(PX50,AS50),0)</f>
        <v>0</v>
      </c>
      <c r="PZ50" s="20" t="n">
        <f aca="false">PX50-PY50</f>
        <v>24996.0394120107</v>
      </c>
      <c r="QA50" s="20" t="n">
        <f aca="false">IF(AND(HU50=0,AH50=1,PZ50&gt;0),MIN(PZ50,AI50),0)</f>
        <v>0</v>
      </c>
      <c r="QB50" s="20" t="n">
        <f aca="false">PZ50-QA50</f>
        <v>24996.0394120107</v>
      </c>
      <c r="QC50" s="20" t="n">
        <f aca="false">IF(AND(HU50=0,W50=1,QB50&gt;0),MIN(QB50,X50),0)</f>
        <v>0</v>
      </c>
      <c r="QD50" s="20" t="n">
        <f aca="false">QB50-QC50</f>
        <v>24996.0394120107</v>
      </c>
      <c r="QE50" s="20" t="n">
        <f aca="false">IF(HU50=0,QD50,0)</f>
        <v>24996.0394120107</v>
      </c>
      <c r="QF50" s="20" t="n">
        <f aca="false">OM50+OO50+QC50+QA50+PY50+PW50+PU50+PS50+PQ50+PO50+PM50+PK50+PI50+PG50+PE50+PC50+PA50+OY50+OW50+OU50+OS50+OQ50</f>
        <v>0</v>
      </c>
      <c r="QG50" s="20" t="n">
        <f aca="false">IF(HU50=1,HK50+OJ50+OI50+IF(G50=1,0,OK50),HK50-OM50)</f>
        <v>0</v>
      </c>
      <c r="QH50" s="20" t="n">
        <f aca="false">HL50-OO50</f>
        <v>0</v>
      </c>
      <c r="QI50" s="20" t="n">
        <f aca="false">IF(HU50=1,IF(G50=1,ID50+IE50,HS50),0)</f>
        <v>0</v>
      </c>
      <c r="QJ50" s="20" t="n">
        <f aca="false">IF(HU50=1,IF(G50=1,HS50-ID50-IE50,0),0)</f>
        <v>0</v>
      </c>
      <c r="QK50" s="57" t="n">
        <f aca="false">'Plan holdings'!BM50</f>
        <v>0</v>
      </c>
      <c r="QL50" s="20" t="n">
        <f aca="false">QH50*(1+AS_Cash)</f>
        <v>0</v>
      </c>
      <c r="QM50" s="20" t="n">
        <f aca="false">IF(W50=1,IF(HU50=1,II50+IL50,X50-QC50)*(1+Slot1_Rate),0)</f>
        <v>0</v>
      </c>
      <c r="QN50" s="20" t="n">
        <f aca="false">IF(AND(HU50=1,W50=1),(IH50+IL50)/F50,0)</f>
        <v>0</v>
      </c>
      <c r="QO50" s="20" t="n">
        <f aca="false">IF(B50=0,IH50+IL50,0)</f>
        <v>0</v>
      </c>
      <c r="QP50" s="20" t="n">
        <f aca="false">IF(B50=0,IF(HU50=1,IJ50,IK50),0)</f>
        <v>0</v>
      </c>
      <c r="QQ50" s="20" t="n">
        <f aca="false">IF(AH50=1,IF(HU50=1,IQ50+IT50,AI50-QA50)*(1+Slot2_Rate),0)</f>
        <v>0</v>
      </c>
      <c r="QR50" s="20" t="n">
        <f aca="false">IF(AND(HU50=1,AH50=1),(IP50+IT50)/F50,0)</f>
        <v>0</v>
      </c>
      <c r="QS50" s="20" t="n">
        <f aca="false">IF(B50=0,IP50+IT50,0)</f>
        <v>0</v>
      </c>
      <c r="QT50" s="20" t="n">
        <f aca="false">IF(B50=0,IF(HU50=1,IR50,IS50),0)</f>
        <v>0</v>
      </c>
      <c r="QU50" s="20" t="n">
        <f aca="false">IF(AR50=1,IF(HU50=1,IY50+JB50,AS50-PY50)*(1+Slot3_Rate),0)</f>
        <v>0</v>
      </c>
      <c r="QV50" s="20" t="n">
        <f aca="false">IF(AND(HU50=1,AR50=1),(IX50+JB50)/F50,0)</f>
        <v>0</v>
      </c>
      <c r="QW50" s="20" t="n">
        <f aca="false">IF(B50=0,IX50+JB50,0)</f>
        <v>0</v>
      </c>
      <c r="QX50" s="20" t="n">
        <f aca="false">IF(B50=0,IF(HU50=1,IZ50,JA50),0)</f>
        <v>0</v>
      </c>
      <c r="QY50" s="20" t="n">
        <f aca="false">IF(BB50=1,IF(HU50=1,JG50+JJ50,BC50-PW50)*(1+Slot4_Rate),0)</f>
        <v>0</v>
      </c>
      <c r="QZ50" s="20" t="n">
        <f aca="false">IF(AND(HU50=1,BB50=1),(JF50+JJ50)/F50,0)</f>
        <v>0</v>
      </c>
      <c r="RA50" s="20" t="n">
        <f aca="false">IF(B50=0,JF50+JJ50,0)</f>
        <v>0</v>
      </c>
      <c r="RB50" s="20" t="n">
        <f aca="false">IF(B50=0,IF(HU50=1,JH50,JI50),0)</f>
        <v>0</v>
      </c>
      <c r="RC50" s="20" t="n">
        <f aca="false">IF(BL50=1,IF(HU50=1,JO50+JR50,BM50-PU50)*(1+Slot5_Rate),0)</f>
        <v>0</v>
      </c>
      <c r="RD50" s="20" t="n">
        <f aca="false">IF(AND(HU50=1,BL50=1),(JN50+JR50)/F50,0)</f>
        <v>0</v>
      </c>
      <c r="RE50" s="20" t="n">
        <f aca="false">IF(B50=0,JN50+JR50,0)</f>
        <v>0</v>
      </c>
      <c r="RF50" s="20" t="n">
        <f aca="false">IF(B50=0,IF(HU50=1,JP50,JQ50),0)</f>
        <v>0</v>
      </c>
      <c r="RG50" s="20" t="n">
        <f aca="false">IF(BV50=1,IF(HU50=1,JW50+JZ50,BW50-PS50)*(1+Slot6_Rate),0)</f>
        <v>0</v>
      </c>
      <c r="RH50" s="20" t="n">
        <f aca="false">IF(AND(HU50=1,BV50=1),(JV50+JZ50)/F50,0)</f>
        <v>0</v>
      </c>
      <c r="RI50" s="20" t="n">
        <f aca="false">IF(B50=0,JV50+JZ50,0)</f>
        <v>0</v>
      </c>
      <c r="RJ50" s="20" t="n">
        <f aca="false">IF(B50=0,IF(HU50=1,JX50,JY50),0)</f>
        <v>0</v>
      </c>
      <c r="RK50" s="20" t="n">
        <f aca="false">IF(CF50=1,IF(HU50=1,KE50+KH50,CG50-PQ50)*(1+Slot7_Rate),0)</f>
        <v>0</v>
      </c>
      <c r="RL50" s="20" t="n">
        <f aca="false">IF(AND(HU50=1,CF50=1),(KD50+KH50)/F50,0)</f>
        <v>0</v>
      </c>
      <c r="RM50" s="20" t="n">
        <f aca="false">IF(B50=0,KD50+KH50,0)</f>
        <v>0</v>
      </c>
      <c r="RN50" s="20" t="n">
        <f aca="false">IF(B50=0,IF(HU50=1,KF50,KG50),0)</f>
        <v>0</v>
      </c>
      <c r="RO50" s="20" t="n">
        <f aca="false">IF(CP50=1,IF(HU50=1,KM50+KP50,CQ50-PO50)*(1+Slot8_Rate),0)</f>
        <v>0</v>
      </c>
      <c r="RP50" s="20" t="n">
        <f aca="false">IF(AND(HU50=1,CP50=1),(KL50+KP50)/F50,0)</f>
        <v>0</v>
      </c>
      <c r="RQ50" s="20" t="n">
        <f aca="false">IF(B50=0,KL50+KP50,0)</f>
        <v>0</v>
      </c>
      <c r="RR50" s="20" t="n">
        <f aca="false">IF(B50=0,IF(HU50=1,KN50,KO50),0)</f>
        <v>0</v>
      </c>
      <c r="RS50" s="20" t="n">
        <f aca="false">IF(CZ50=1,IF(HU50=1,KU50+KX50,DA50-PM50)*(1+Slot9_Rate),0)</f>
        <v>0</v>
      </c>
      <c r="RT50" s="20" t="n">
        <f aca="false">IF(AND(HU50=1,CZ50=1),(KT50+KX50)/F50,0)</f>
        <v>0</v>
      </c>
      <c r="RU50" s="20" t="n">
        <f aca="false">IF(B50=0,KT50+KX50,0)</f>
        <v>0</v>
      </c>
      <c r="RV50" s="20" t="n">
        <f aca="false">IF(B50=0,IF(HU50=1,KV50,KW50),0)</f>
        <v>0</v>
      </c>
      <c r="RW50" s="20" t="n">
        <f aca="false">IF(DJ50=1,IF(HU50=1,LC50+LF50,DK50-PK50)*(1+Slot10_Rate),0)</f>
        <v>0</v>
      </c>
      <c r="RX50" s="20" t="n">
        <f aca="false">IF(AND(HU50=1,DJ50=1),(LB50+LF50)/F50,0)</f>
        <v>0</v>
      </c>
      <c r="RY50" s="20" t="n">
        <f aca="false">IF(B50=0,LB50+LF50,0)</f>
        <v>0</v>
      </c>
      <c r="RZ50" s="20" t="n">
        <f aca="false">IF(B50=0,IF(HU50=1,LD50,LE50),0)</f>
        <v>0</v>
      </c>
      <c r="SA50" s="20" t="n">
        <f aca="false">IF(DT50=1,IF(HU50=1,LK50+LN50,DU50-PI50)*(1+Slot11_Rate),0)</f>
        <v>0</v>
      </c>
      <c r="SB50" s="20" t="n">
        <f aca="false">IF(AND(HU50=1,DT50=1),(LJ50+LN50)/F50,0)</f>
        <v>0</v>
      </c>
      <c r="SC50" s="20" t="n">
        <f aca="false">IF(B50=0,LJ50+LN50,0)</f>
        <v>0</v>
      </c>
      <c r="SD50" s="20" t="n">
        <f aca="false">IF(B50=0,IF(HU50=1,LL50,LM50),0)</f>
        <v>0</v>
      </c>
      <c r="SE50" s="20" t="n">
        <f aca="false">IF(ED50=1,IF(HU50=1,LS50+LV50,EE50-PG50)*(1+Slot12_Rate),0)</f>
        <v>0</v>
      </c>
      <c r="SF50" s="20" t="n">
        <f aca="false">IF(AND(HU50=1,ED50=1),(LR50+LV50)/F50,0)</f>
        <v>0</v>
      </c>
      <c r="SG50" s="20" t="n">
        <f aca="false">IF(B50=0,LR50+LV50,0)</f>
        <v>0</v>
      </c>
      <c r="SH50" s="20" t="n">
        <f aca="false">IF(B50=0,IF(HU50=1,LT50,LU50),0)</f>
        <v>0</v>
      </c>
      <c r="SI50" s="20" t="n">
        <f aca="false">IF(EN50=1,IF(HU50=1,MA50+MD50,EO50-PE50)*(1+Slot13_Rate),0)</f>
        <v>0</v>
      </c>
      <c r="SJ50" s="20" t="n">
        <f aca="false">IF(AND(HU50=1,EN50=1),(LZ50+MD50)/F50,0)</f>
        <v>0</v>
      </c>
      <c r="SK50" s="20" t="n">
        <f aca="false">IF(B50=0,LZ50+MD50,0)</f>
        <v>0</v>
      </c>
      <c r="SL50" s="20" t="n">
        <f aca="false">IF(B50=0,IF(HU50=1,MB50,MC50),0)</f>
        <v>0</v>
      </c>
      <c r="SM50" s="20" t="n">
        <f aca="false">IF(EX50=1,IF(HU50=1,MI50+ML50,EY50-PC50)*(1+Slot14_Rate),0)</f>
        <v>0</v>
      </c>
      <c r="SN50" s="20" t="n">
        <f aca="false">IF(AND(HU50=1,EX50=1),(MH50+ML50)/F50,0)</f>
        <v>0</v>
      </c>
      <c r="SO50" s="20" t="n">
        <f aca="false">IF(B50=0,MH50+ML50,0)</f>
        <v>0</v>
      </c>
      <c r="SP50" s="20" t="n">
        <f aca="false">IF(B50=0,IF(HU50=1,MJ50,MK50),0)</f>
        <v>0</v>
      </c>
      <c r="SQ50" s="20" t="n">
        <f aca="false">IF(FH50=1,IF(HU50=1,MQ50+MT50,FI50-PA50)*(1+Slot15_Rate),0)</f>
        <v>0</v>
      </c>
      <c r="SR50" s="20" t="n">
        <f aca="false">IF(AND(HU50=1,FH50=1),(MP50+MT50)/F50,0)</f>
        <v>0</v>
      </c>
      <c r="SS50" s="20" t="n">
        <f aca="false">IF(B50=0,MP50+MT50,0)</f>
        <v>0</v>
      </c>
      <c r="ST50" s="20" t="n">
        <f aca="false">IF(B50=0,IF(HU50=1,MR50,MS50),0)</f>
        <v>0</v>
      </c>
      <c r="SU50" s="20" t="n">
        <f aca="false">IF(FR50=1,IF(HU50=1,MY50+NB50,FS50-OY50)*(1+Slot16_Rate),0)</f>
        <v>0</v>
      </c>
      <c r="SV50" s="20" t="n">
        <f aca="false">IF(AND(HU50=1,FR50=1),(MX50+NB50)/F50,0)</f>
        <v>0</v>
      </c>
      <c r="SW50" s="20" t="n">
        <f aca="false">IF(B50=0,MX50+NB50,0)</f>
        <v>0</v>
      </c>
      <c r="SX50" s="20" t="n">
        <f aca="false">IF(B50=0,IF(HU50=1,MZ50,NA50),0)</f>
        <v>0</v>
      </c>
      <c r="SY50" s="20" t="n">
        <f aca="false">IF(GB50=1,IF(HU50=1,NG50+NJ50,GC50-OW50)*(1+Slot17_Rate),0)</f>
        <v>0</v>
      </c>
      <c r="SZ50" s="20" t="n">
        <f aca="false">IF(AND(HU50=1,GB50=1),(NF50+NJ50)/F50,0)</f>
        <v>0</v>
      </c>
      <c r="TA50" s="20" t="n">
        <f aca="false">IF(B50=0,NF50+NJ50,0)</f>
        <v>0</v>
      </c>
      <c r="TB50" s="20" t="n">
        <f aca="false">IF(B50=0,IF(HU50=1,NH50,NI50),0)</f>
        <v>0</v>
      </c>
      <c r="TC50" s="20" t="n">
        <f aca="false">IF(GL50=1,IF(HU50=1,NO50+NR50,GM50-OU50)*(1+Slot18_Rate),0)</f>
        <v>0</v>
      </c>
      <c r="TD50" s="20" t="n">
        <f aca="false">IF(AND(HU50=1,GL50=1),(NN50+NR50)/F50,0)</f>
        <v>0</v>
      </c>
      <c r="TE50" s="20" t="n">
        <f aca="false">IF(B50=0,NN50+NR50,0)</f>
        <v>0</v>
      </c>
      <c r="TF50" s="20" t="n">
        <f aca="false">IF(B50=0,IF(HU50=1,NP50,NQ50),0)</f>
        <v>0</v>
      </c>
      <c r="TG50" s="20" t="n">
        <f aca="false">IF(GV50=1,IF(HU50=1,NW50+NZ50,GW50-OS50)*(1+Slot19_Rate),0)</f>
        <v>0</v>
      </c>
      <c r="TH50" s="20" t="n">
        <f aca="false">IF(AND(HU50=1,GV50=1),(NV50+NZ50)/F50,0)</f>
        <v>0</v>
      </c>
      <c r="TI50" s="20" t="n">
        <f aca="false">IF(B50=0,NV50+NZ50,0)</f>
        <v>0</v>
      </c>
      <c r="TJ50" s="20" t="n">
        <f aca="false">IF(B50=0,IF(HU50=1,NX50,NY50),0)</f>
        <v>0</v>
      </c>
      <c r="TK50" s="20" t="n">
        <f aca="false">IF(HF50=1,IF(HU50=1,OE50+OH50,HG50-OQ50)*(1+Slot20_Rate),0)</f>
        <v>0</v>
      </c>
      <c r="TL50" s="20" t="n">
        <f aca="false">IF(AND(HU50=1,HF50=1),(OD50+OH50)/F50,0)</f>
        <v>0</v>
      </c>
      <c r="TM50" s="20" t="n">
        <f aca="false">IF(B50=0,OD50+OH50,0)</f>
        <v>0</v>
      </c>
      <c r="TN50" s="20" t="n">
        <f aca="false">IF(B50=0,IF(HU50=1,OF50,OG50),0)</f>
        <v>0</v>
      </c>
      <c r="TO50" s="20" t="n">
        <f aca="false">QK50+QL50+QM50+QQ50+QU50+QY50+RC50+RG50+RK50+RO50+RS50+RW50+SA50+SE50+SI50+SM50+SQ50+SU50+SY50+TC50+TG50+TK50</f>
        <v>0</v>
      </c>
      <c r="TP50" s="20" t="n">
        <f aca="false">QE50+HP50</f>
        <v>24996.0394120107</v>
      </c>
      <c r="TQ50" s="20" t="n">
        <f aca="false">I50+S50</f>
        <v>109808.28547599</v>
      </c>
      <c r="TR50" s="20" t="n">
        <f aca="false">1-G50</f>
        <v>1</v>
      </c>
      <c r="TS50" s="20" t="n">
        <f aca="false">IF(AND(RG_Exists=1,G50=0,C50=1),I50,0)</f>
        <v>109808.28547599</v>
      </c>
      <c r="TT50" s="20" t="n">
        <f aca="false">IF(AND(RG_Exists=1,G50=0,C50=1),I50-MIN(QE50,I50),0)</f>
        <v>84812.2460639792</v>
      </c>
      <c r="TU50" s="20" t="n">
        <f aca="false">'Plan pay &amp; tax'!AD276</f>
        <v>326844.170063328</v>
      </c>
      <c r="TV50" s="20" t="n">
        <f aca="false">IF(AND(C50=1,QE50&gt;MAX(PR_Short1,TQ50*PR_Short2)),1,0)</f>
        <v>1</v>
      </c>
      <c r="TW50" s="20" t="n">
        <f aca="false">MIN(H50,I50+S50)</f>
        <v>84812.2460639792</v>
      </c>
      <c r="TX50" s="20" t="n">
        <f aca="false">QF50+MAX(0,HQ50-HP50)</f>
        <v>0</v>
      </c>
      <c r="TY50" s="20" t="n">
        <f aca="false">QE50+HP50</f>
        <v>24996.0394120107</v>
      </c>
      <c r="TZ50" s="20" t="n">
        <f aca="false">IF(AND(C50=1,TY50&gt;PR_MinShort),1,0)</f>
        <v>1</v>
      </c>
      <c r="UA50" s="20" t="n">
        <f aca="false">IF(AND(C50=1,TZ50=0,TX50&gt;PR_MinShort),1,0)</f>
        <v>0</v>
      </c>
      <c r="UB50" s="20" t="n">
        <f aca="false">IF(AND(C50=1,QE50&gt;PR_MinShort),1,0)</f>
        <v>1</v>
      </c>
      <c r="UC50" s="20" t="n">
        <f aca="false">IF(AND(C50=1,QF50&gt;1,UJ50=0),1,0)</f>
        <v>0</v>
      </c>
      <c r="UD50" s="20" t="str">
        <f aca="false">IF(C50=0,"",IF(UJ50=1,"Gap to plan for: short "&amp;"€"&amp;TEXT(ROUND(TP50,0),"#,##0"),IF(QF50&gt;1,"Using savings","Comfortable")))</f>
        <v>Gap to plan for: short €24,996</v>
      </c>
      <c r="UE50" s="20" t="n">
        <f aca="false">IF(AND(INT(D50/10)*10=90,B50&gt;0),80,INT(D50/10)*10)</f>
        <v>80</v>
      </c>
      <c r="UF50" s="20" t="n">
        <f aca="false">IF(B50=0,1,IF(UE50&lt;&gt;UE49,UF49+1,UF49))</f>
        <v>6</v>
      </c>
      <c r="UG50" s="20" t="n">
        <f aca="false">IF(AND(C50=1,G50=1,QE50&gt;MAX(PR_Short1,TQ50*PR_Short2)),1,0)</f>
        <v>0</v>
      </c>
      <c r="UH50" s="20" t="n">
        <f aca="false">TR50*TV50</f>
        <v>1</v>
      </c>
      <c r="UI50" s="20" t="n">
        <f aca="false">IF(AND(V50=1,Slot1_PctLow=1),1,0)+IF(AND(AG50=1,Slot2_PctLow=1),1,0)+IF(AND(AQ50=1,Slot3_PctLow=1),1,0)+IF(AND(BA50=1,Slot4_PctLow=1),1,0)+IF(AND(BK50=1,Slot5_PctLow=1),1,0)+IF(AND(BU50=1,Slot6_PctLow=1),1,0)+IF(AND(CE50=1,Slot7_PctLow=1),1,0)+IF(AND(CO50=1,Slot8_PctLow=1),1,0)+IF(AND(CY50=1,Slot9_PctLow=1),1,0)+IF(AND(DI50=1,Slot10_PctLow=1),1,0)+IF(AND(DS50=1,Slot11_PctLow=1),1,0)+IF(AND(EC50=1,Slot12_PctLow=1),1,0)+IF(AND(EM50=1,Slot13_PctLow=1),1,0)+IF(AND(EW50=1,Slot14_PctLow=1),1,0)+IF(AND(FG50=1,Slot15_PctLow=1),1,0)+IF(AND(FQ50=1,Slot16_PctLow=1),1,0)+IF(AND(GA50=1,Slot17_PctLow=1),1,0)+IF(AND(GK50=1,Slot18_PctLow=1),1,0)+IF(AND(GU50=1,Slot19_PctLow=1),1,0)+IF(AND(HE50=1,Slot20_PctLow=1),1,0)</f>
        <v>0</v>
      </c>
      <c r="UJ50" s="20" t="n">
        <f aca="false">IF(C50=1,IF(OR(TV50=1,UI50&gt;0),1,0),0)</f>
        <v>1</v>
      </c>
      <c r="UK50" s="20" t="n">
        <f aca="false">Z50+AK50+AU50+BE50+BO50+BY50+CI50+CS50+DC50+DM50+DW50+EG50+EQ50+FA50+FK50+FU50+GE50+GO50+GY50+HI50+OM50</f>
        <v>0</v>
      </c>
      <c r="UL50" s="20" t="n">
        <f aca="false">V50*IF(Slot1_SpendLike=1,X50-Y50,IF(Slot1_PotFree=1,X50,0))+AG50*IF(Slot2_SpendLike=1,AI50-AJ50,IF(Slot2_PotFree=1,AI50,0))+AQ50*IF(Slot3_SpendLike=1,AS50-AT50,IF(Slot3_PotFree=1,AS50,0))+BA50*IF(Slot4_SpendLike=1,BC50-BD50,IF(Slot4_PotFree=1,BC50,0))+BK50*IF(Slot5_SpendLike=1,BM50-BN50,IF(Slot5_PotFree=1,BM50,0))+BU50*IF(Slot6_SpendLike=1,BW50-BX50,IF(Slot6_PotFree=1,BW50,0))+CE50*IF(Slot7_SpendLike=1,CG50-CH50,IF(Slot7_PotFree=1,CG50,0))+CO50*IF(Slot8_SpendLike=1,CQ50-CR50,IF(Slot8_PotFree=1,CQ50,0))+CY50*IF(Slot9_SpendLike=1,DA50-DB50,IF(Slot9_PotFree=1,DA50,0))+DI50*IF(Slot10_SpendLike=1,DK50-DL50,IF(Slot10_PotFree=1,DK50,0))+DS50*IF(Slot11_SpendLike=1,DU50-DV50,IF(Slot11_PotFree=1,DU50,0))+EC50*IF(Slot12_SpendLike=1,EE50-EF50,IF(Slot12_PotFree=1,EE50,0))+EM50*IF(Slot13_SpendLike=1,EO50-EP50,IF(Slot13_PotFree=1,EO50,0))+EW50*IF(Slot14_SpendLike=1,EY50-EZ50,IF(Slot14_PotFree=1,EY50,0))+FG50*IF(Slot15_SpendLike=1,FI50-FJ50,IF(Slot15_PotFree=1,FI50,0))+FQ50*IF(Slot16_SpendLike=1,FS50-FT50,IF(Slot16_PotFree=1,FS50,0))+GA50*IF(Slot17_SpendLike=1,GC50-GD50,IF(Slot17_PotFree=1,GC50,0))+GK50*IF(Slot18_SpendLike=1,GM50-GN50,IF(Slot18_PotFree=1,GM50,0))+GU50*IF(Slot19_SpendLike=1,GW50-GX50,IF(Slot19_PotFree=1,GW50,0))+HE50*IF(Slot20_SpendLike=1,HG50-HH50,IF(Slot20_PotFree=1,HG50,0))</f>
        <v>0</v>
      </c>
      <c r="UM50" s="20" t="n">
        <f aca="false">QG50-T50+UK50-UL50</f>
        <v>0</v>
      </c>
      <c r="UN50" s="20" t="n">
        <f aca="false">IF(OR(UN49=1,AND(In_homeUse="Yes, I'd downsize",In_downAge&gt;0,D50=In_downAge,OR(In_home="Own outright",In_home="Own with mortgage"),In_homeValue&gt;0)),1,0)</f>
        <v>0</v>
      </c>
    </row>
    <row r="51" customFormat="false" ht="15" hidden="false" customHeight="true" outlineLevel="0" collapsed="false">
      <c r="B51" s="20" t="n">
        <v>43</v>
      </c>
      <c r="C51" s="20" t="n">
        <f aca="false">IF(B51&lt;=F_N,1,0)</f>
        <v>1</v>
      </c>
      <c r="D51" s="20" t="n">
        <f aca="false">'Plan pay &amp; tax'!C277</f>
        <v>81</v>
      </c>
      <c r="E51" s="20" t="str">
        <f aca="false">IF($C51=1,"Income tax "&amp;TEXT(N('Plan pay &amp; tax'!BK277),"#,##0")&amp;"; USC "&amp;TEXT(N('Plan pay &amp; tax'!BM277)+N('Plan pay &amp; tax'!BO277),"#,##0")&amp;"; PRSI "&amp;TEXT(N('Plan pay &amp; tax'!BP277)+N('Plan pay &amp; tax'!BQ277),"#,##0")&amp;IF(N('Plan holdings'!BO51)&gt;=0.5,"; DIRT "&amp;TEXT(('Plan holdings'!BO51)/$F51,"#,##0")&amp;" (already taken from the interest earned)","")&amp;IF(N('Plan holdings'!BP51)&gt;=0.5,"; exit tax at an 8-year anniversary "&amp;TEXT(('Plan holdings'!BP51)/$F51,"#,##0"),"")&amp;IF(N('Plan holdings'!BN51)&gt;=0.5,"; tax on assets sold (exit tax or capital gains tax) "&amp;TEXT(('Plan holdings'!BN51)/$F51,"#,##0"),"")&amp;IF(N('Plan pay &amp; tax'!X277)-N('Plan pay &amp; tax'!Y277)&gt;=0.5,"; tax on the pension lump sum "&amp;TEXT(('Plan pay &amp; tax'!X277-'Plan pay &amp; tax'!Y277)/$F51,"#,##0"),"")&amp;IF(N('Plan pay &amp; tax'!V277)&gt;=0.5,"; chargeable excess tax on the pension "&amp;TEXT(('Plan pay &amp; tax'!V277)/$F51,"#,##0"),"")&amp;".","")</f>
        <v>Income tax 832; USC 0; PRSI 0.</v>
      </c>
      <c r="F51" s="50" t="n">
        <f aca="false">'Plan pay &amp; tax'!E277</f>
        <v>2.34318935534539</v>
      </c>
      <c r="G51" s="20" t="n">
        <f aca="false">'Plan pay &amp; tax'!G277</f>
        <v>0</v>
      </c>
      <c r="H51" s="20" t="n">
        <f aca="false">'Plan pay &amp; tax'!BT277-'Plan pay &amp; tax'!BS277-'Plan pay &amp; tax'!R277</f>
        <v>86702.8336166747</v>
      </c>
      <c r="I51" s="20" t="n">
        <f aca="false">IF(G51=1,F_CostsM*12,IF(RG_Exists=1,RG_Amount,F_CostsM*12*AS_RetireSpend))*F51+F_OneOffY*F51</f>
        <v>112004.45118551</v>
      </c>
      <c r="J51" s="20" t="n">
        <f aca="false">IF(UN51=1,0,HR50)</f>
        <v>0</v>
      </c>
      <c r="K51" s="20" t="n">
        <f aca="false">IF(J51&gt;1,'Plan debt months'!AC51,0)</f>
        <v>0</v>
      </c>
      <c r="L51" s="20" t="n">
        <f aca="false">IF(J51&gt;1,'Plan debt months'!AB51,J51)</f>
        <v>0</v>
      </c>
      <c r="M51" s="20" t="n">
        <f aca="false">O50</f>
        <v>0</v>
      </c>
      <c r="N51" s="20" t="n">
        <f aca="false">IF(M51&gt;1,'Plan debt months'!BD51,0)</f>
        <v>0</v>
      </c>
      <c r="O51" s="20" t="n">
        <f aca="false">IF(M51&gt;1,'Plan debt months'!BC51,M51)</f>
        <v>0</v>
      </c>
      <c r="P51" s="20" t="n">
        <f aca="false">R50</f>
        <v>0</v>
      </c>
      <c r="Q51" s="20" t="n">
        <f aca="false">IF(P51&gt;1,'Plan debt months'!CE51,0)</f>
        <v>0</v>
      </c>
      <c r="R51" s="20" t="n">
        <f aca="false">IF(P51&gt;1,'Plan debt months'!CD51,P51)</f>
        <v>0</v>
      </c>
      <c r="S51" s="20" t="n">
        <f aca="false">K51+N51+Q51</f>
        <v>0</v>
      </c>
      <c r="T51" s="57" t="n">
        <f aca="false">'Plan holdings'!Y51</f>
        <v>0</v>
      </c>
      <c r="U51" s="57" t="n">
        <f aca="false">'Plan holdings'!BM50</f>
        <v>0</v>
      </c>
      <c r="V51" s="20" t="n">
        <f aca="false">IF(AND(Slot1_On=1,D51=Slot1_Age),1,0)</f>
        <v>0</v>
      </c>
      <c r="W51" s="20" t="n">
        <f aca="false">IF(AND(Slot1_On=1,Slot1_Age&gt;D51),1,0)</f>
        <v>0</v>
      </c>
      <c r="X51" s="20" t="n">
        <f aca="false">QM50</f>
        <v>0</v>
      </c>
      <c r="Y51" s="20" t="n">
        <f aca="false">V51*MIN(Slot1_Cost,X51)</f>
        <v>0</v>
      </c>
      <c r="Z51" s="20" t="n">
        <f aca="false">V51*Slot1_SpendLike*MIN(Slot1_Cost-Y51,T51)</f>
        <v>0</v>
      </c>
      <c r="AA51" s="20" t="n">
        <f aca="false">Y51+Z51</f>
        <v>0</v>
      </c>
      <c r="AB51" s="20" t="n">
        <f aca="false">T51-Z51+V51*IF(Slot1_SpendLike=1,X51-Y51,IF(Slot1_PotFree=1,X51,0))</f>
        <v>0</v>
      </c>
      <c r="AC51" s="20" t="n">
        <f aca="false">AF51+V51*Slot1_BufPot*X51</f>
        <v>0</v>
      </c>
      <c r="AD51" s="20" t="n">
        <f aca="false">IF(AND(V51=1,Slot1_IsMfree=1),IF(AA51&gt;=Slot1_Cost-1,0,MAX(0,L51-AA51)),L51)</f>
        <v>0</v>
      </c>
      <c r="AE51" s="20" t="n">
        <f aca="false">V51*(Slot1_Cost-AA51)</f>
        <v>0</v>
      </c>
      <c r="AF51" s="20" t="n">
        <f aca="false">QL50</f>
        <v>0</v>
      </c>
      <c r="AG51" s="20" t="n">
        <f aca="false">IF(AND(Slot2_On=1,D51=Slot2_Age),1,0)</f>
        <v>0</v>
      </c>
      <c r="AH51" s="20" t="n">
        <f aca="false">IF(AND(Slot2_On=1,Slot2_Age&gt;D51),1,0)</f>
        <v>0</v>
      </c>
      <c r="AI51" s="20" t="n">
        <f aca="false">QQ50</f>
        <v>0</v>
      </c>
      <c r="AJ51" s="20" t="n">
        <f aca="false">AG51*MIN(Slot2_Cost,AI51)</f>
        <v>0</v>
      </c>
      <c r="AK51" s="20" t="n">
        <f aca="false">AG51*Slot2_SpendLike*MIN(Slot2_Cost-AJ51,AB51)</f>
        <v>0</v>
      </c>
      <c r="AL51" s="20" t="n">
        <f aca="false">AJ51+AK51</f>
        <v>0</v>
      </c>
      <c r="AM51" s="20" t="n">
        <f aca="false">AB51-AK51+AG51*IF(Slot2_SpendLike=1,AI51-AJ51,IF(Slot2_PotFree=1,AI51,0))</f>
        <v>0</v>
      </c>
      <c r="AN51" s="20" t="n">
        <f aca="false">AC51+AG51*Slot2_BufPot*AI51</f>
        <v>0</v>
      </c>
      <c r="AO51" s="20" t="n">
        <f aca="false">IF(AND(AG51=1,Slot2_IsMfree=1),IF(AL51&gt;=Slot2_Cost-1,0,MAX(0,AD51-AL51)),AD51)</f>
        <v>0</v>
      </c>
      <c r="AP51" s="20" t="n">
        <f aca="false">AG51*(Slot2_Cost-AL51)</f>
        <v>0</v>
      </c>
      <c r="AQ51" s="20" t="n">
        <f aca="false">IF(AND(Slot3_On=1,D51=Slot3_Age),1,0)</f>
        <v>0</v>
      </c>
      <c r="AR51" s="20" t="n">
        <f aca="false">IF(AND(Slot3_On=1,Slot3_Age&gt;D51),1,0)</f>
        <v>0</v>
      </c>
      <c r="AS51" s="20" t="n">
        <f aca="false">QU50</f>
        <v>0</v>
      </c>
      <c r="AT51" s="20" t="n">
        <f aca="false">AQ51*MIN(Slot3_Cost,AS51)</f>
        <v>0</v>
      </c>
      <c r="AU51" s="20" t="n">
        <f aca="false">AQ51*Slot3_SpendLike*MIN(Slot3_Cost-AT51,AM51)</f>
        <v>0</v>
      </c>
      <c r="AV51" s="20" t="n">
        <f aca="false">AT51+AU51</f>
        <v>0</v>
      </c>
      <c r="AW51" s="20" t="n">
        <f aca="false">AM51-AU51+AQ51*IF(Slot3_SpendLike=1,AS51-AT51,IF(Slot3_PotFree=1,AS51,0))</f>
        <v>0</v>
      </c>
      <c r="AX51" s="20" t="n">
        <f aca="false">AN51+AQ51*Slot3_BufPot*AS51</f>
        <v>0</v>
      </c>
      <c r="AY51" s="20" t="n">
        <f aca="false">IF(AND(AQ51=1,Slot3_IsMfree=1),IF(AV51&gt;=Slot3_Cost-1,0,MAX(0,AO51-AV51)),AO51)</f>
        <v>0</v>
      </c>
      <c r="AZ51" s="20" t="n">
        <f aca="false">AQ51*(Slot3_Cost-AV51)</f>
        <v>0</v>
      </c>
      <c r="BA51" s="20" t="n">
        <f aca="false">IF(AND(Slot4_On=1,D51=Slot4_Age),1,0)</f>
        <v>0</v>
      </c>
      <c r="BB51" s="20" t="n">
        <f aca="false">IF(AND(Slot4_On=1,Slot4_Age&gt;D51),1,0)</f>
        <v>0</v>
      </c>
      <c r="BC51" s="20" t="n">
        <f aca="false">QY50</f>
        <v>0</v>
      </c>
      <c r="BD51" s="20" t="n">
        <f aca="false">BA51*MIN(Slot4_Cost,BC51)</f>
        <v>0</v>
      </c>
      <c r="BE51" s="20" t="n">
        <f aca="false">BA51*Slot4_SpendLike*MIN(Slot4_Cost-BD51,AW51)</f>
        <v>0</v>
      </c>
      <c r="BF51" s="20" t="n">
        <f aca="false">BD51+BE51</f>
        <v>0</v>
      </c>
      <c r="BG51" s="20" t="n">
        <f aca="false">AW51-BE51+BA51*IF(Slot4_SpendLike=1,BC51-BD51,IF(Slot4_PotFree=1,BC51,0))</f>
        <v>0</v>
      </c>
      <c r="BH51" s="20" t="n">
        <f aca="false">AX51+BA51*Slot4_BufPot*BC51</f>
        <v>0</v>
      </c>
      <c r="BI51" s="20" t="n">
        <f aca="false">IF(AND(BA51=1,Slot4_IsMfree=1),IF(BF51&gt;=Slot4_Cost-1,0,MAX(0,AY51-BF51)),AY51)</f>
        <v>0</v>
      </c>
      <c r="BJ51" s="20" t="n">
        <f aca="false">BA51*(Slot4_Cost-BF51)</f>
        <v>0</v>
      </c>
      <c r="BK51" s="20" t="n">
        <f aca="false">IF(AND(Slot5_On=1,D51=Slot5_Age),1,0)</f>
        <v>0</v>
      </c>
      <c r="BL51" s="20" t="n">
        <f aca="false">IF(AND(Slot5_On=1,Slot5_Age&gt;D51),1,0)</f>
        <v>0</v>
      </c>
      <c r="BM51" s="20" t="n">
        <f aca="false">RC50</f>
        <v>0</v>
      </c>
      <c r="BN51" s="20" t="n">
        <f aca="false">BK51*MIN(Slot5_Cost,BM51)</f>
        <v>0</v>
      </c>
      <c r="BO51" s="20" t="n">
        <f aca="false">BK51*Slot5_SpendLike*MIN(Slot5_Cost-BN51,BG51)</f>
        <v>0</v>
      </c>
      <c r="BP51" s="20" t="n">
        <f aca="false">BN51+BO51</f>
        <v>0</v>
      </c>
      <c r="BQ51" s="20" t="n">
        <f aca="false">BG51-BO51+BK51*IF(Slot5_SpendLike=1,BM51-BN51,IF(Slot5_PotFree=1,BM51,0))</f>
        <v>0</v>
      </c>
      <c r="BR51" s="20" t="n">
        <f aca="false">BH51+BK51*Slot5_BufPot*BM51</f>
        <v>0</v>
      </c>
      <c r="BS51" s="20" t="n">
        <f aca="false">IF(AND(BK51=1,Slot5_IsMfree=1),IF(BP51&gt;=Slot5_Cost-1,0,MAX(0,BI51-BP51)),BI51)</f>
        <v>0</v>
      </c>
      <c r="BT51" s="20" t="n">
        <f aca="false">BK51*(Slot5_Cost-BP51)</f>
        <v>0</v>
      </c>
      <c r="BU51" s="20" t="n">
        <f aca="false">IF(AND(Slot6_On=1,D51=Slot6_Age),1,0)</f>
        <v>0</v>
      </c>
      <c r="BV51" s="20" t="n">
        <f aca="false">IF(AND(Slot6_On=1,Slot6_Age&gt;D51),1,0)</f>
        <v>0</v>
      </c>
      <c r="BW51" s="20" t="n">
        <f aca="false">RG50</f>
        <v>0</v>
      </c>
      <c r="BX51" s="20" t="n">
        <f aca="false">BU51*MIN(Slot6_Cost,BW51)</f>
        <v>0</v>
      </c>
      <c r="BY51" s="20" t="n">
        <f aca="false">BU51*Slot6_SpendLike*MIN(Slot6_Cost-BX51,BQ51)</f>
        <v>0</v>
      </c>
      <c r="BZ51" s="20" t="n">
        <f aca="false">BX51+BY51</f>
        <v>0</v>
      </c>
      <c r="CA51" s="20" t="n">
        <f aca="false">BQ51-BY51+BU51*IF(Slot6_SpendLike=1,BW51-BX51,IF(Slot6_PotFree=1,BW51,0))</f>
        <v>0</v>
      </c>
      <c r="CB51" s="20" t="n">
        <f aca="false">BR51+BU51*Slot6_BufPot*BW51</f>
        <v>0</v>
      </c>
      <c r="CC51" s="20" t="n">
        <f aca="false">IF(AND(BU51=1,Slot6_IsMfree=1),IF(BZ51&gt;=Slot6_Cost-1,0,MAX(0,BS51-BZ51)),BS51)</f>
        <v>0</v>
      </c>
      <c r="CD51" s="20" t="n">
        <f aca="false">BU51*(Slot6_Cost-BZ51)</f>
        <v>0</v>
      </c>
      <c r="CE51" s="20" t="n">
        <f aca="false">IF(AND(Slot7_On=1,D51=Slot7_Age),1,0)</f>
        <v>0</v>
      </c>
      <c r="CF51" s="20" t="n">
        <f aca="false">IF(AND(Slot7_On=1,Slot7_Age&gt;D51),1,0)</f>
        <v>0</v>
      </c>
      <c r="CG51" s="20" t="n">
        <f aca="false">RK50</f>
        <v>0</v>
      </c>
      <c r="CH51" s="20" t="n">
        <f aca="false">CE51*MIN(Slot7_Cost,CG51)</f>
        <v>0</v>
      </c>
      <c r="CI51" s="20" t="n">
        <f aca="false">CE51*Slot7_SpendLike*MIN(Slot7_Cost-CH51,CA51)</f>
        <v>0</v>
      </c>
      <c r="CJ51" s="20" t="n">
        <f aca="false">CH51+CI51</f>
        <v>0</v>
      </c>
      <c r="CK51" s="20" t="n">
        <f aca="false">CA51-CI51+CE51*IF(Slot7_SpendLike=1,CG51-CH51,IF(Slot7_PotFree=1,CG51,0))</f>
        <v>0</v>
      </c>
      <c r="CL51" s="20" t="n">
        <f aca="false">CB51+CE51*Slot7_BufPot*CG51</f>
        <v>0</v>
      </c>
      <c r="CM51" s="20" t="n">
        <f aca="false">IF(AND(CE51=1,Slot7_IsMfree=1),IF(CJ51&gt;=Slot7_Cost-1,0,MAX(0,CC51-CJ51)),CC51)</f>
        <v>0</v>
      </c>
      <c r="CN51" s="20" t="n">
        <f aca="false">CE51*(Slot7_Cost-CJ51)</f>
        <v>0</v>
      </c>
      <c r="CO51" s="20" t="n">
        <f aca="false">IF(AND(Slot8_On=1,D51=Slot8_Age),1,0)</f>
        <v>0</v>
      </c>
      <c r="CP51" s="20" t="n">
        <f aca="false">IF(AND(Slot8_On=1,Slot8_Age&gt;D51),1,0)</f>
        <v>0</v>
      </c>
      <c r="CQ51" s="20" t="n">
        <f aca="false">RO50</f>
        <v>0</v>
      </c>
      <c r="CR51" s="20" t="n">
        <f aca="false">CO51*MIN(Slot8_Cost,CQ51)</f>
        <v>0</v>
      </c>
      <c r="CS51" s="20" t="n">
        <f aca="false">CO51*Slot8_SpendLike*MIN(Slot8_Cost-CR51,CK51)</f>
        <v>0</v>
      </c>
      <c r="CT51" s="20" t="n">
        <f aca="false">CR51+CS51</f>
        <v>0</v>
      </c>
      <c r="CU51" s="20" t="n">
        <f aca="false">CK51-CS51+CO51*IF(Slot8_SpendLike=1,CQ51-CR51,IF(Slot8_PotFree=1,CQ51,0))</f>
        <v>0</v>
      </c>
      <c r="CV51" s="20" t="n">
        <f aca="false">CL51+CO51*Slot8_BufPot*CQ51</f>
        <v>0</v>
      </c>
      <c r="CW51" s="20" t="n">
        <f aca="false">IF(AND(CO51=1,Slot8_IsMfree=1),IF(CT51&gt;=Slot8_Cost-1,0,MAX(0,CM51-CT51)),CM51)</f>
        <v>0</v>
      </c>
      <c r="CX51" s="20" t="n">
        <f aca="false">CO51*(Slot8_Cost-CT51)</f>
        <v>0</v>
      </c>
      <c r="CY51" s="20" t="n">
        <f aca="false">IF(AND(Slot9_On=1,D51=Slot9_Age),1,0)</f>
        <v>0</v>
      </c>
      <c r="CZ51" s="20" t="n">
        <f aca="false">IF(AND(Slot9_On=1,Slot9_Age&gt;D51),1,0)</f>
        <v>0</v>
      </c>
      <c r="DA51" s="20" t="n">
        <f aca="false">RS50</f>
        <v>0</v>
      </c>
      <c r="DB51" s="20" t="n">
        <f aca="false">CY51*MIN(Slot9_Cost,DA51)</f>
        <v>0</v>
      </c>
      <c r="DC51" s="20" t="n">
        <f aca="false">CY51*Slot9_SpendLike*MIN(Slot9_Cost-DB51,CU51)</f>
        <v>0</v>
      </c>
      <c r="DD51" s="20" t="n">
        <f aca="false">DB51+DC51</f>
        <v>0</v>
      </c>
      <c r="DE51" s="20" t="n">
        <f aca="false">CU51-DC51+CY51*IF(Slot9_SpendLike=1,DA51-DB51,IF(Slot9_PotFree=1,DA51,0))</f>
        <v>0</v>
      </c>
      <c r="DF51" s="20" t="n">
        <f aca="false">CV51+CY51*Slot9_BufPot*DA51</f>
        <v>0</v>
      </c>
      <c r="DG51" s="20" t="n">
        <f aca="false">IF(AND(CY51=1,Slot9_IsMfree=1),IF(DD51&gt;=Slot9_Cost-1,0,MAX(0,CW51-DD51)),CW51)</f>
        <v>0</v>
      </c>
      <c r="DH51" s="20" t="n">
        <f aca="false">CY51*(Slot9_Cost-DD51)</f>
        <v>0</v>
      </c>
      <c r="DI51" s="20" t="n">
        <f aca="false">IF(AND(Slot10_On=1,D51=Slot10_Age),1,0)</f>
        <v>0</v>
      </c>
      <c r="DJ51" s="20" t="n">
        <f aca="false">IF(AND(Slot10_On=1,Slot10_Age&gt;D51),1,0)</f>
        <v>0</v>
      </c>
      <c r="DK51" s="20" t="n">
        <f aca="false">RW50</f>
        <v>0</v>
      </c>
      <c r="DL51" s="20" t="n">
        <f aca="false">DI51*MIN(Slot10_Cost,DK51)</f>
        <v>0</v>
      </c>
      <c r="DM51" s="20" t="n">
        <f aca="false">DI51*Slot10_SpendLike*MIN(Slot10_Cost-DL51,DE51)</f>
        <v>0</v>
      </c>
      <c r="DN51" s="20" t="n">
        <f aca="false">DL51+DM51</f>
        <v>0</v>
      </c>
      <c r="DO51" s="20" t="n">
        <f aca="false">DE51-DM51+DI51*IF(Slot10_SpendLike=1,DK51-DL51,IF(Slot10_PotFree=1,DK51,0))</f>
        <v>0</v>
      </c>
      <c r="DP51" s="20" t="n">
        <f aca="false">DF51+DI51*Slot10_BufPot*DK51</f>
        <v>0</v>
      </c>
      <c r="DQ51" s="20" t="n">
        <f aca="false">IF(AND(DI51=1,Slot10_IsMfree=1),IF(DN51&gt;=Slot10_Cost-1,0,MAX(0,DG51-DN51)),DG51)</f>
        <v>0</v>
      </c>
      <c r="DR51" s="20" t="n">
        <f aca="false">DI51*(Slot10_Cost-DN51)</f>
        <v>0</v>
      </c>
      <c r="DS51" s="20" t="n">
        <f aca="false">IF(AND(Slot11_On=1,D51=Slot11_Age),1,0)</f>
        <v>0</v>
      </c>
      <c r="DT51" s="20" t="n">
        <f aca="false">IF(AND(Slot11_On=1,Slot11_Age&gt;D51),1,0)</f>
        <v>0</v>
      </c>
      <c r="DU51" s="20" t="n">
        <f aca="false">SA50</f>
        <v>0</v>
      </c>
      <c r="DV51" s="20" t="n">
        <f aca="false">DS51*MIN(Slot11_Cost,DU51)</f>
        <v>0</v>
      </c>
      <c r="DW51" s="20" t="n">
        <f aca="false">DS51*Slot11_SpendLike*MIN(Slot11_Cost-DV51,DO51)</f>
        <v>0</v>
      </c>
      <c r="DX51" s="20" t="n">
        <f aca="false">DV51+DW51</f>
        <v>0</v>
      </c>
      <c r="DY51" s="20" t="n">
        <f aca="false">DO51-DW51+DS51*IF(Slot11_SpendLike=1,DU51-DV51,IF(Slot11_PotFree=1,DU51,0))</f>
        <v>0</v>
      </c>
      <c r="DZ51" s="20" t="n">
        <f aca="false">DP51+DS51*Slot11_BufPot*DU51</f>
        <v>0</v>
      </c>
      <c r="EA51" s="20" t="n">
        <f aca="false">IF(AND(DS51=1,Slot11_IsMfree=1),IF(DX51&gt;=Slot11_Cost-1,0,MAX(0,DQ51-DX51)),DQ51)</f>
        <v>0</v>
      </c>
      <c r="EB51" s="20" t="n">
        <f aca="false">DS51*(Slot11_Cost-DX51)</f>
        <v>0</v>
      </c>
      <c r="EC51" s="20" t="n">
        <f aca="false">IF(AND(Slot12_On=1,D51=Slot12_Age),1,0)</f>
        <v>0</v>
      </c>
      <c r="ED51" s="20" t="n">
        <f aca="false">IF(AND(Slot12_On=1,Slot12_Age&gt;D51),1,0)</f>
        <v>0</v>
      </c>
      <c r="EE51" s="20" t="n">
        <f aca="false">SE50</f>
        <v>0</v>
      </c>
      <c r="EF51" s="20" t="n">
        <f aca="false">EC51*MIN(Slot12_Cost,EE51)</f>
        <v>0</v>
      </c>
      <c r="EG51" s="20" t="n">
        <f aca="false">EC51*Slot12_SpendLike*MIN(Slot12_Cost-EF51,DY51)</f>
        <v>0</v>
      </c>
      <c r="EH51" s="20" t="n">
        <f aca="false">EF51+EG51</f>
        <v>0</v>
      </c>
      <c r="EI51" s="20" t="n">
        <f aca="false">DY51-EG51+EC51*IF(Slot12_SpendLike=1,EE51-EF51,IF(Slot12_PotFree=1,EE51,0))</f>
        <v>0</v>
      </c>
      <c r="EJ51" s="20" t="n">
        <f aca="false">DZ51+EC51*Slot12_BufPot*EE51</f>
        <v>0</v>
      </c>
      <c r="EK51" s="20" t="n">
        <f aca="false">IF(AND(EC51=1,Slot12_IsMfree=1),IF(EH51&gt;=Slot12_Cost-1,0,MAX(0,EA51-EH51)),EA51)</f>
        <v>0</v>
      </c>
      <c r="EL51" s="20" t="n">
        <f aca="false">EC51*(Slot12_Cost-EH51)</f>
        <v>0</v>
      </c>
      <c r="EM51" s="20" t="n">
        <f aca="false">IF(AND(Slot13_On=1,D51=Slot13_Age),1,0)</f>
        <v>0</v>
      </c>
      <c r="EN51" s="20" t="n">
        <f aca="false">IF(AND(Slot13_On=1,Slot13_Age&gt;D51),1,0)</f>
        <v>0</v>
      </c>
      <c r="EO51" s="20" t="n">
        <f aca="false">SI50</f>
        <v>0</v>
      </c>
      <c r="EP51" s="20" t="n">
        <f aca="false">EM51*MIN(Slot13_Cost,EO51)</f>
        <v>0</v>
      </c>
      <c r="EQ51" s="20" t="n">
        <f aca="false">EM51*Slot13_SpendLike*MIN(Slot13_Cost-EP51,EI51)</f>
        <v>0</v>
      </c>
      <c r="ER51" s="20" t="n">
        <f aca="false">EP51+EQ51</f>
        <v>0</v>
      </c>
      <c r="ES51" s="20" t="n">
        <f aca="false">EI51-EQ51+EM51*IF(Slot13_SpendLike=1,EO51-EP51,IF(Slot13_PotFree=1,EO51,0))</f>
        <v>0</v>
      </c>
      <c r="ET51" s="20" t="n">
        <f aca="false">EJ51+EM51*Slot13_BufPot*EO51</f>
        <v>0</v>
      </c>
      <c r="EU51" s="20" t="n">
        <f aca="false">IF(AND(EM51=1,Slot13_IsMfree=1),IF(ER51&gt;=Slot13_Cost-1,0,MAX(0,EK51-ER51)),EK51)</f>
        <v>0</v>
      </c>
      <c r="EV51" s="20" t="n">
        <f aca="false">EM51*(Slot13_Cost-ER51)</f>
        <v>0</v>
      </c>
      <c r="EW51" s="20" t="n">
        <f aca="false">IF(AND(Slot14_On=1,D51=Slot14_Age),1,0)</f>
        <v>0</v>
      </c>
      <c r="EX51" s="20" t="n">
        <f aca="false">IF(AND(Slot14_On=1,Slot14_Age&gt;D51),1,0)</f>
        <v>0</v>
      </c>
      <c r="EY51" s="20" t="n">
        <f aca="false">SM50</f>
        <v>0</v>
      </c>
      <c r="EZ51" s="20" t="n">
        <f aca="false">EW51*MIN(Slot14_Cost,EY51)</f>
        <v>0</v>
      </c>
      <c r="FA51" s="20" t="n">
        <f aca="false">EW51*Slot14_SpendLike*MIN(Slot14_Cost-EZ51,ES51)</f>
        <v>0</v>
      </c>
      <c r="FB51" s="20" t="n">
        <f aca="false">EZ51+FA51</f>
        <v>0</v>
      </c>
      <c r="FC51" s="20" t="n">
        <f aca="false">ES51-FA51+EW51*IF(Slot14_SpendLike=1,EY51-EZ51,IF(Slot14_PotFree=1,EY51,0))</f>
        <v>0</v>
      </c>
      <c r="FD51" s="20" t="n">
        <f aca="false">ET51+EW51*Slot14_BufPot*EY51</f>
        <v>0</v>
      </c>
      <c r="FE51" s="20" t="n">
        <f aca="false">IF(AND(EW51=1,Slot14_IsMfree=1),IF(FB51&gt;=Slot14_Cost-1,0,MAX(0,EU51-FB51)),EU51)</f>
        <v>0</v>
      </c>
      <c r="FF51" s="20" t="n">
        <f aca="false">EW51*(Slot14_Cost-FB51)</f>
        <v>0</v>
      </c>
      <c r="FG51" s="20" t="n">
        <f aca="false">IF(AND(Slot15_On=1,D51=Slot15_Age),1,0)</f>
        <v>0</v>
      </c>
      <c r="FH51" s="20" t="n">
        <f aca="false">IF(AND(Slot15_On=1,Slot15_Age&gt;D51),1,0)</f>
        <v>0</v>
      </c>
      <c r="FI51" s="20" t="n">
        <f aca="false">SQ50</f>
        <v>0</v>
      </c>
      <c r="FJ51" s="20" t="n">
        <f aca="false">FG51*MIN(Slot15_Cost,FI51)</f>
        <v>0</v>
      </c>
      <c r="FK51" s="20" t="n">
        <f aca="false">FG51*Slot15_SpendLike*MIN(Slot15_Cost-FJ51,FC51)</f>
        <v>0</v>
      </c>
      <c r="FL51" s="20" t="n">
        <f aca="false">FJ51+FK51</f>
        <v>0</v>
      </c>
      <c r="FM51" s="20" t="n">
        <f aca="false">FC51-FK51+FG51*IF(Slot15_SpendLike=1,FI51-FJ51,IF(Slot15_PotFree=1,FI51,0))</f>
        <v>0</v>
      </c>
      <c r="FN51" s="20" t="n">
        <f aca="false">FD51+FG51*Slot15_BufPot*FI51</f>
        <v>0</v>
      </c>
      <c r="FO51" s="20" t="n">
        <f aca="false">IF(AND(FG51=1,Slot15_IsMfree=1),IF(FL51&gt;=Slot15_Cost-1,0,MAX(0,FE51-FL51)),FE51)</f>
        <v>0</v>
      </c>
      <c r="FP51" s="20" t="n">
        <f aca="false">FG51*(Slot15_Cost-FL51)</f>
        <v>0</v>
      </c>
      <c r="FQ51" s="20" t="n">
        <f aca="false">IF(AND(Slot16_On=1,D51=Slot16_Age),1,0)</f>
        <v>0</v>
      </c>
      <c r="FR51" s="20" t="n">
        <f aca="false">IF(AND(Slot16_On=1,Slot16_Age&gt;D51),1,0)</f>
        <v>0</v>
      </c>
      <c r="FS51" s="20" t="n">
        <f aca="false">SU50</f>
        <v>0</v>
      </c>
      <c r="FT51" s="20" t="n">
        <f aca="false">FQ51*MIN(Slot16_Cost,FS51)</f>
        <v>0</v>
      </c>
      <c r="FU51" s="20" t="n">
        <f aca="false">FQ51*Slot16_SpendLike*MIN(Slot16_Cost-FT51,FM51)</f>
        <v>0</v>
      </c>
      <c r="FV51" s="20" t="n">
        <f aca="false">FT51+FU51</f>
        <v>0</v>
      </c>
      <c r="FW51" s="20" t="n">
        <f aca="false">FM51-FU51+FQ51*IF(Slot16_SpendLike=1,FS51-FT51,IF(Slot16_PotFree=1,FS51,0))</f>
        <v>0</v>
      </c>
      <c r="FX51" s="20" t="n">
        <f aca="false">FN51+FQ51*Slot16_BufPot*FS51</f>
        <v>0</v>
      </c>
      <c r="FY51" s="20" t="n">
        <f aca="false">IF(AND(FQ51=1,Slot16_IsMfree=1),IF(FV51&gt;=Slot16_Cost-1,0,MAX(0,FO51-FV51)),FO51)</f>
        <v>0</v>
      </c>
      <c r="FZ51" s="20" t="n">
        <f aca="false">FQ51*(Slot16_Cost-FV51)</f>
        <v>0</v>
      </c>
      <c r="GA51" s="20" t="n">
        <f aca="false">IF(AND(Slot17_On=1,D51=Slot17_Age),1,0)</f>
        <v>0</v>
      </c>
      <c r="GB51" s="20" t="n">
        <f aca="false">IF(AND(Slot17_On=1,Slot17_Age&gt;D51),1,0)</f>
        <v>0</v>
      </c>
      <c r="GC51" s="20" t="n">
        <f aca="false">SY50</f>
        <v>0</v>
      </c>
      <c r="GD51" s="20" t="n">
        <f aca="false">GA51*MIN(Slot17_Cost,GC51)</f>
        <v>0</v>
      </c>
      <c r="GE51" s="20" t="n">
        <f aca="false">GA51*Slot17_SpendLike*MIN(Slot17_Cost-GD51,FW51)</f>
        <v>0</v>
      </c>
      <c r="GF51" s="20" t="n">
        <f aca="false">GD51+GE51</f>
        <v>0</v>
      </c>
      <c r="GG51" s="20" t="n">
        <f aca="false">FW51-GE51+GA51*IF(Slot17_SpendLike=1,GC51-GD51,IF(Slot17_PotFree=1,GC51,0))</f>
        <v>0</v>
      </c>
      <c r="GH51" s="20" t="n">
        <f aca="false">FX51+GA51*Slot17_BufPot*GC51</f>
        <v>0</v>
      </c>
      <c r="GI51" s="20" t="n">
        <f aca="false">IF(AND(GA51=1,Slot17_IsMfree=1),IF(GF51&gt;=Slot17_Cost-1,0,MAX(0,FY51-GF51)),FY51)</f>
        <v>0</v>
      </c>
      <c r="GJ51" s="20" t="n">
        <f aca="false">GA51*(Slot17_Cost-GF51)</f>
        <v>0</v>
      </c>
      <c r="GK51" s="20" t="n">
        <f aca="false">IF(AND(Slot18_On=1,D51=Slot18_Age),1,0)</f>
        <v>0</v>
      </c>
      <c r="GL51" s="20" t="n">
        <f aca="false">IF(AND(Slot18_On=1,Slot18_Age&gt;D51),1,0)</f>
        <v>0</v>
      </c>
      <c r="GM51" s="20" t="n">
        <f aca="false">TC50</f>
        <v>0</v>
      </c>
      <c r="GN51" s="20" t="n">
        <f aca="false">GK51*MIN(Slot18_Cost,GM51)</f>
        <v>0</v>
      </c>
      <c r="GO51" s="20" t="n">
        <f aca="false">GK51*Slot18_SpendLike*MIN(Slot18_Cost-GN51,GG51)</f>
        <v>0</v>
      </c>
      <c r="GP51" s="20" t="n">
        <f aca="false">GN51+GO51</f>
        <v>0</v>
      </c>
      <c r="GQ51" s="20" t="n">
        <f aca="false">GG51-GO51+GK51*IF(Slot18_SpendLike=1,GM51-GN51,IF(Slot18_PotFree=1,GM51,0))</f>
        <v>0</v>
      </c>
      <c r="GR51" s="20" t="n">
        <f aca="false">GH51+GK51*Slot18_BufPot*GM51</f>
        <v>0</v>
      </c>
      <c r="GS51" s="20" t="n">
        <f aca="false">IF(AND(GK51=1,Slot18_IsMfree=1),IF(GP51&gt;=Slot18_Cost-1,0,MAX(0,GI51-GP51)),GI51)</f>
        <v>0</v>
      </c>
      <c r="GT51" s="20" t="n">
        <f aca="false">GK51*(Slot18_Cost-GP51)</f>
        <v>0</v>
      </c>
      <c r="GU51" s="20" t="n">
        <f aca="false">IF(AND(Slot19_On=1,D51=Slot19_Age),1,0)</f>
        <v>0</v>
      </c>
      <c r="GV51" s="20" t="n">
        <f aca="false">IF(AND(Slot19_On=1,Slot19_Age&gt;D51),1,0)</f>
        <v>0</v>
      </c>
      <c r="GW51" s="20" t="n">
        <f aca="false">TG50</f>
        <v>0</v>
      </c>
      <c r="GX51" s="20" t="n">
        <f aca="false">GU51*MIN(Slot19_Cost,GW51)</f>
        <v>0</v>
      </c>
      <c r="GY51" s="20" t="n">
        <f aca="false">GU51*Slot19_SpendLike*MIN(Slot19_Cost-GX51,GQ51)</f>
        <v>0</v>
      </c>
      <c r="GZ51" s="20" t="n">
        <f aca="false">GX51+GY51</f>
        <v>0</v>
      </c>
      <c r="HA51" s="20" t="n">
        <f aca="false">GQ51-GY51+GU51*IF(Slot19_SpendLike=1,GW51-GX51,IF(Slot19_PotFree=1,GW51,0))</f>
        <v>0</v>
      </c>
      <c r="HB51" s="20" t="n">
        <f aca="false">GR51+GU51*Slot19_BufPot*GW51</f>
        <v>0</v>
      </c>
      <c r="HC51" s="20" t="n">
        <f aca="false">IF(AND(GU51=1,Slot19_IsMfree=1),IF(GZ51&gt;=Slot19_Cost-1,0,MAX(0,GS51-GZ51)),GS51)</f>
        <v>0</v>
      </c>
      <c r="HD51" s="20" t="n">
        <f aca="false">GU51*(Slot19_Cost-GZ51)</f>
        <v>0</v>
      </c>
      <c r="HE51" s="20" t="n">
        <f aca="false">IF(AND(Slot20_On=1,D51=Slot20_Age),1,0)</f>
        <v>0</v>
      </c>
      <c r="HF51" s="20" t="n">
        <f aca="false">IF(AND(Slot20_On=1,Slot20_Age&gt;D51),1,0)</f>
        <v>0</v>
      </c>
      <c r="HG51" s="20" t="n">
        <f aca="false">TK50</f>
        <v>0</v>
      </c>
      <c r="HH51" s="20" t="n">
        <f aca="false">HE51*MIN(Slot20_Cost,HG51)</f>
        <v>0</v>
      </c>
      <c r="HI51" s="20" t="n">
        <f aca="false">HE51*Slot20_SpendLike*MIN(Slot20_Cost-HH51,HA51)</f>
        <v>0</v>
      </c>
      <c r="HJ51" s="20" t="n">
        <f aca="false">HH51+HI51</f>
        <v>0</v>
      </c>
      <c r="HK51" s="20" t="n">
        <f aca="false">HA51-HI51+HE51*IF(Slot20_SpendLike=1,HG51-HH51,IF(Slot20_PotFree=1,HG51,0))</f>
        <v>0</v>
      </c>
      <c r="HL51" s="20" t="n">
        <f aca="false">HB51+HE51*Slot20_BufPot*HG51</f>
        <v>0</v>
      </c>
      <c r="HM51" s="20" t="n">
        <f aca="false">IF(AND(HE51=1,Slot20_IsMfree=1),IF(HJ51&gt;=Slot20_Cost-1,0,MAX(0,HC51-HJ51)),HC51)</f>
        <v>0</v>
      </c>
      <c r="HN51" s="20" t="n">
        <f aca="false">HE51*(Slot20_Cost-HJ51)</f>
        <v>0</v>
      </c>
      <c r="HO51" s="20" t="n">
        <f aca="false">V51*Slot1_SpendLike*AA51+AG51*Slot2_SpendLike*AL51+AQ51*Slot3_SpendLike*AV51+BA51*Slot4_SpendLike*BF51+BK51*Slot5_SpendLike*BP51+BU51*Slot6_SpendLike*BZ51+CE51*Slot7_SpendLike*CJ51+CO51*Slot8_SpendLike*CT51+CY51*Slot9_SpendLike*DD51+DI51*Slot10_SpendLike*DN51+DS51*Slot11_SpendLike*DX51+EC51*Slot12_SpendLike*EH51+EM51*Slot13_SpendLike*ER51+EW51*Slot14_SpendLike*FB51+FG51*Slot15_SpendLike*FL51+FQ51*Slot16_SpendLike*FV51+GA51*Slot17_SpendLike*GF51+GK51*Slot18_SpendLike*GP51+GU51*Slot19_SpendLike*GZ51+HE51*Slot20_SpendLike*HJ51</f>
        <v>0</v>
      </c>
      <c r="HP51" s="20" t="n">
        <f aca="false">AE51+AP51+AZ51+BJ51+BT51+CD51+CN51+CX51+DH51+DR51+EB51+EL51+EV51+FF51+FP51+FZ51+GJ51+GT51+HD51+HN51</f>
        <v>0</v>
      </c>
      <c r="HQ51" s="20" t="n">
        <f aca="false">V51*Slot1_Cost+AG51*Slot2_Cost+AQ51*Slot3_Cost+BA51*Slot4_Cost+BK51*Slot5_Cost+BU51*Slot6_Cost+CE51*Slot7_Cost+CO51*Slot8_Cost+CY51*Slot9_Cost+DI51*Slot10_Cost+DS51*Slot11_Cost+EC51*Slot12_Cost+EM51*Slot13_Cost+EW51*Slot14_Cost+FG51*Slot15_Cost+FQ51*Slot16_Cost+GA51*Slot17_Cost+GK51*Slot18_Cost+GU51*Slot19_Cost+HE51*Slot20_Cost</f>
        <v>0</v>
      </c>
      <c r="HR51" s="20" t="n">
        <f aca="false">HM51</f>
        <v>0</v>
      </c>
      <c r="HS51" s="20" t="n">
        <f aca="false">H51-I51-S51</f>
        <v>-25301.617568835</v>
      </c>
      <c r="HT51" s="20" t="n">
        <f aca="false">IF(B51=0,IF(AND(Has_q6=1,In_q6=4),PR_ShareVaries*(MAX(0,HS51)/12),MIN(IF(Has_q6=1,CHOOSE(In_q6+1,PR_SaveB1,PR_SaveB2,PR_SaveB3,PR_SaveB4,0),AS_NoAnswer),AS_SaveShare*(MAX(0,HS51)/12))),HT50)</f>
        <v>67.3316893520437</v>
      </c>
      <c r="HU51" s="20" t="n">
        <f aca="false">IF(HS51&gt;=0,1,0)</f>
        <v>0</v>
      </c>
      <c r="HV51" s="20" t="n">
        <f aca="false">MAX(0,HS51/12/F51)</f>
        <v>0</v>
      </c>
      <c r="HW51" s="20" t="n">
        <f aca="false">IF(AND(Has_q6=1,In_q6=4),PR_ShareVaries*(HV51),MIN(IF(Has_q6=1,CHOOSE(In_q6+1,PR_SaveB1,PR_SaveB2,PR_SaveB3,PR_SaveB4,0),AS_NoAnswer),AS_SaveShare*(HV51)))</f>
        <v>0</v>
      </c>
      <c r="HX51" s="20" t="n">
        <f aca="false">IF(Has_saveM=1,IF(In_saveUp="Yes",1,IF(In_saveUp="No",0,IF(In_saveM&gt;=HT51-0.5,1,0))),0)</f>
        <v>0</v>
      </c>
      <c r="HY51" s="20" t="n">
        <f aca="false">IF(Has_saveM=1,MIN(HV51,IF(HX51=1,MAX(In_saveM,HW51),MIN(In_saveM,HW51))),HW51)</f>
        <v>0</v>
      </c>
      <c r="HZ51" s="20" t="n">
        <f aca="false">IF(G51=1,HY51*12*F51,0)</f>
        <v>0</v>
      </c>
      <c r="IA51" s="20" t="n">
        <f aca="false">MAX(0,HZ51+IF(AND(WI_Retire=0,WI_M&lt;0,G51=1),WI_M*12*F51,0))</f>
        <v>0</v>
      </c>
      <c r="IB51" s="20" t="n">
        <f aca="false">Slot1_IsWG*W51+Slot2_IsWG*AH51+Slot3_IsWG*AR51+Slot4_IsWG*BB51+Slot5_IsWG*BL51+Slot6_IsWG*BV51+Slot7_IsWG*CF51+Slot8_IsWG*CP51+Slot9_IsWG*CZ51+Slot10_IsWG*DJ51+Slot11_IsWG*DT51+Slot12_IsWG*ED51+Slot13_IsWG*EN51+Slot14_IsWG*EX51+Slot15_IsWG*FH51+Slot16_IsWG*FR51+Slot17_IsWG*GB51+Slot18_IsWG*GL51+Slot19_IsWG*GV51+Slot20_IsWG*HF51</f>
        <v>0</v>
      </c>
      <c r="IC51" s="20" t="n">
        <f aca="false">IF(AND(WI_Retire=0,WI_M&gt;0,G51=1,IB51&gt;=1),WI_M*12*F51,0)</f>
        <v>0</v>
      </c>
      <c r="ID51" s="20" t="n">
        <f aca="false">IF(HU51=1,MIN(IA51,HS51),0)</f>
        <v>0</v>
      </c>
      <c r="IE51" s="20" t="n">
        <f aca="false">IF(HU51=1,MIN(IC51,HS51-ID51),0)</f>
        <v>0</v>
      </c>
      <c r="IF51" s="20" t="n">
        <f aca="false">IF(W51=1,IF(ABS((1+AS_Wage)/(1+Slot1_Rate)-1)&lt;0.000000000001,(Slot1_Age-D51)*(1+Slot1_Rate)^(Slot1_Age-D51),(1+Slot1_Rate)^(Slot1_Age-D51)*(1-((1+AS_Wage)/(1+Slot1_Rate))^(Slot1_Age-D51))/(1-(1+AS_Wage)/(1+Slot1_Rate))),1)</f>
        <v>1</v>
      </c>
      <c r="IG51" s="20" t="n">
        <f aca="false">IF(AND(HU51=1,IE51&gt;0,Slot1_IsWG=1,W51=1),MAX(0,(Slot1_Cost-X51*(1+Slot1_Rate)^(Slot1_Age-D51))/IF51),0)</f>
        <v>0</v>
      </c>
      <c r="IH51" s="20" t="n">
        <f aca="false">IF(AND(HU51=1,IE51&gt;0,Slot1_IsWG=1,W51=1),MIN(IE51,IG51),0)</f>
        <v>0</v>
      </c>
      <c r="II51" s="20" t="n">
        <f aca="false">X51+IH51</f>
        <v>0</v>
      </c>
      <c r="IJ51" s="20" t="n">
        <f aca="false">IF(W51=1,MAX(0,(Slot1_Cost-II51*(1+Slot1_Rate)^(Slot1_Age-D51))/IF51),0)</f>
        <v>0</v>
      </c>
      <c r="IK51" s="20" t="n">
        <f aca="false">IF(W51=1,MAX(0,(Slot1_Cost-X51*(1+Slot1_Rate)^(Slot1_Age-D51))/IF51),0)</f>
        <v>0</v>
      </c>
      <c r="IL51" s="20" t="n">
        <f aca="false">IF(AND(HU51=1,W51=1),MIN(ID51,IJ51),0)</f>
        <v>0</v>
      </c>
      <c r="IM51" s="20" t="n">
        <f aca="false">ID51-IL51</f>
        <v>0</v>
      </c>
      <c r="IN51" s="20" t="n">
        <f aca="false">IF(AH51=1,IF(ABS((1+AS_Wage)/(1+Slot2_Rate)-1)&lt;0.000000000001,(Slot2_Age-D51)*(1+Slot2_Rate)^(Slot2_Age-D51),(1+Slot2_Rate)^(Slot2_Age-D51)*(1-((1+AS_Wage)/(1+Slot2_Rate))^(Slot2_Age-D51))/(1-(1+AS_Wage)/(1+Slot2_Rate))),1)</f>
        <v>1</v>
      </c>
      <c r="IO51" s="20" t="n">
        <f aca="false">IF(AND(HU51=1,IE51&gt;0,Slot2_IsWG=1,AH51=1),MAX(0,(Slot2_Cost-AI51*(1+Slot2_Rate)^(Slot2_Age-D51))/IN51),0)</f>
        <v>0</v>
      </c>
      <c r="IP51" s="20" t="n">
        <f aca="false">IF(AND(HU51=1,IE51&gt;0,Slot2_IsWG=1,AH51=1),MIN(IE51,IO51),0)</f>
        <v>0</v>
      </c>
      <c r="IQ51" s="20" t="n">
        <f aca="false">AI51+IP51</f>
        <v>0</v>
      </c>
      <c r="IR51" s="20" t="n">
        <f aca="false">IF(AH51=1,MAX(0,(Slot2_Cost-IQ51*(1+Slot2_Rate)^(Slot2_Age-D51))/IN51),0)</f>
        <v>0</v>
      </c>
      <c r="IS51" s="20" t="n">
        <f aca="false">IF(AH51=1,MAX(0,(Slot2_Cost-AI51*(1+Slot2_Rate)^(Slot2_Age-D51))/IN51),0)</f>
        <v>0</v>
      </c>
      <c r="IT51" s="20" t="n">
        <f aca="false">IF(AND(HU51=1,AH51=1),MIN(IM51,IR51),0)</f>
        <v>0</v>
      </c>
      <c r="IU51" s="20" t="n">
        <f aca="false">IM51-IT51</f>
        <v>0</v>
      </c>
      <c r="IV51" s="20" t="n">
        <f aca="false">IF(AR51=1,IF(ABS((1+AS_Wage)/(1+Slot3_Rate)-1)&lt;0.000000000001,(Slot3_Age-D51)*(1+Slot3_Rate)^(Slot3_Age-D51),(1+Slot3_Rate)^(Slot3_Age-D51)*(1-((1+AS_Wage)/(1+Slot3_Rate))^(Slot3_Age-D51))/(1-(1+AS_Wage)/(1+Slot3_Rate))),1)</f>
        <v>1</v>
      </c>
      <c r="IW51" s="20" t="n">
        <f aca="false">IF(AND(HU51=1,IE51&gt;0,Slot3_IsWG=1,AR51=1),MAX(0,(Slot3_Cost-AS51*(1+Slot3_Rate)^(Slot3_Age-D51))/IV51),0)</f>
        <v>0</v>
      </c>
      <c r="IX51" s="20" t="n">
        <f aca="false">IF(AND(HU51=1,IE51&gt;0,Slot3_IsWG=1,AR51=1),MIN(IE51,IW51),0)</f>
        <v>0</v>
      </c>
      <c r="IY51" s="20" t="n">
        <f aca="false">AS51+IX51</f>
        <v>0</v>
      </c>
      <c r="IZ51" s="20" t="n">
        <f aca="false">IF(AR51=1,MAX(0,(Slot3_Cost-IY51*(1+Slot3_Rate)^(Slot3_Age-D51))/IV51),0)</f>
        <v>0</v>
      </c>
      <c r="JA51" s="20" t="n">
        <f aca="false">IF(AR51=1,MAX(0,(Slot3_Cost-AS51*(1+Slot3_Rate)^(Slot3_Age-D51))/IV51),0)</f>
        <v>0</v>
      </c>
      <c r="JB51" s="20" t="n">
        <f aca="false">IF(AND(HU51=1,AR51=1),MIN(IU51,IZ51),0)</f>
        <v>0</v>
      </c>
      <c r="JC51" s="20" t="n">
        <f aca="false">IU51-JB51</f>
        <v>0</v>
      </c>
      <c r="JD51" s="20" t="n">
        <f aca="false">IF(BB51=1,IF(ABS((1+AS_Wage)/(1+Slot4_Rate)-1)&lt;0.000000000001,(Slot4_Age-D51)*(1+Slot4_Rate)^(Slot4_Age-D51),(1+Slot4_Rate)^(Slot4_Age-D51)*(1-((1+AS_Wage)/(1+Slot4_Rate))^(Slot4_Age-D51))/(1-(1+AS_Wage)/(1+Slot4_Rate))),1)</f>
        <v>1</v>
      </c>
      <c r="JE51" s="20" t="n">
        <f aca="false">IF(AND(HU51=1,IE51&gt;0,Slot4_IsWG=1,BB51=1),MAX(0,(Slot4_Cost-BC51*(1+Slot4_Rate)^(Slot4_Age-D51))/JD51),0)</f>
        <v>0</v>
      </c>
      <c r="JF51" s="20" t="n">
        <f aca="false">IF(AND(HU51=1,IE51&gt;0,Slot4_IsWG=1,BB51=1),MIN(IE51,JE51),0)</f>
        <v>0</v>
      </c>
      <c r="JG51" s="20" t="n">
        <f aca="false">BC51+JF51</f>
        <v>0</v>
      </c>
      <c r="JH51" s="20" t="n">
        <f aca="false">IF(BB51=1,MAX(0,(Slot4_Cost-JG51*(1+Slot4_Rate)^(Slot4_Age-D51))/JD51),0)</f>
        <v>0</v>
      </c>
      <c r="JI51" s="20" t="n">
        <f aca="false">IF(BB51=1,MAX(0,(Slot4_Cost-BC51*(1+Slot4_Rate)^(Slot4_Age-D51))/JD51),0)</f>
        <v>0</v>
      </c>
      <c r="JJ51" s="20" t="n">
        <f aca="false">IF(AND(HU51=1,BB51=1),MIN(JC51,JH51),0)</f>
        <v>0</v>
      </c>
      <c r="JK51" s="20" t="n">
        <f aca="false">JC51-JJ51</f>
        <v>0</v>
      </c>
      <c r="JL51" s="20" t="n">
        <f aca="false">IF(BL51=1,IF(ABS((1+AS_Wage)/(1+Slot5_Rate)-1)&lt;0.000000000001,(Slot5_Age-D51)*(1+Slot5_Rate)^(Slot5_Age-D51),(1+Slot5_Rate)^(Slot5_Age-D51)*(1-((1+AS_Wage)/(1+Slot5_Rate))^(Slot5_Age-D51))/(1-(1+AS_Wage)/(1+Slot5_Rate))),1)</f>
        <v>1</v>
      </c>
      <c r="JM51" s="20" t="n">
        <f aca="false">IF(AND(HU51=1,IE51&gt;0,Slot5_IsWG=1,BL51=1),MAX(0,(Slot5_Cost-BM51*(1+Slot5_Rate)^(Slot5_Age-D51))/JL51),0)</f>
        <v>0</v>
      </c>
      <c r="JN51" s="20" t="n">
        <f aca="false">IF(AND(HU51=1,IE51&gt;0,Slot5_IsWG=1,BL51=1),MIN(IE51,JM51),0)</f>
        <v>0</v>
      </c>
      <c r="JO51" s="20" t="n">
        <f aca="false">BM51+JN51</f>
        <v>0</v>
      </c>
      <c r="JP51" s="20" t="n">
        <f aca="false">IF(BL51=1,MAX(0,(Slot5_Cost-JO51*(1+Slot5_Rate)^(Slot5_Age-D51))/JL51),0)</f>
        <v>0</v>
      </c>
      <c r="JQ51" s="20" t="n">
        <f aca="false">IF(BL51=1,MAX(0,(Slot5_Cost-BM51*(1+Slot5_Rate)^(Slot5_Age-D51))/JL51),0)</f>
        <v>0</v>
      </c>
      <c r="JR51" s="20" t="n">
        <f aca="false">IF(AND(HU51=1,BL51=1),MIN(JK51,JP51),0)</f>
        <v>0</v>
      </c>
      <c r="JS51" s="20" t="n">
        <f aca="false">JK51-JR51</f>
        <v>0</v>
      </c>
      <c r="JT51" s="20" t="n">
        <f aca="false">IF(BV51=1,IF(ABS((1+AS_Wage)/(1+Slot6_Rate)-1)&lt;0.000000000001,(Slot6_Age-D51)*(1+Slot6_Rate)^(Slot6_Age-D51),(1+Slot6_Rate)^(Slot6_Age-D51)*(1-((1+AS_Wage)/(1+Slot6_Rate))^(Slot6_Age-D51))/(1-(1+AS_Wage)/(1+Slot6_Rate))),1)</f>
        <v>1</v>
      </c>
      <c r="JU51" s="20" t="n">
        <f aca="false">IF(AND(HU51=1,IE51&gt;0,Slot6_IsWG=1,BV51=1),MAX(0,(Slot6_Cost-BW51*(1+Slot6_Rate)^(Slot6_Age-D51))/JT51),0)</f>
        <v>0</v>
      </c>
      <c r="JV51" s="20" t="n">
        <f aca="false">IF(AND(HU51=1,IE51&gt;0,Slot6_IsWG=1,BV51=1),MIN(IE51,JU51),0)</f>
        <v>0</v>
      </c>
      <c r="JW51" s="20" t="n">
        <f aca="false">BW51+JV51</f>
        <v>0</v>
      </c>
      <c r="JX51" s="20" t="n">
        <f aca="false">IF(BV51=1,MAX(0,(Slot6_Cost-JW51*(1+Slot6_Rate)^(Slot6_Age-D51))/JT51),0)</f>
        <v>0</v>
      </c>
      <c r="JY51" s="20" t="n">
        <f aca="false">IF(BV51=1,MAX(0,(Slot6_Cost-BW51*(1+Slot6_Rate)^(Slot6_Age-D51))/JT51),0)</f>
        <v>0</v>
      </c>
      <c r="JZ51" s="20" t="n">
        <f aca="false">IF(AND(HU51=1,BV51=1),MIN(JS51,JX51),0)</f>
        <v>0</v>
      </c>
      <c r="KA51" s="20" t="n">
        <f aca="false">JS51-JZ51</f>
        <v>0</v>
      </c>
      <c r="KB51" s="20" t="n">
        <f aca="false">IF(CF51=1,IF(ABS((1+AS_Wage)/(1+Slot7_Rate)-1)&lt;0.000000000001,(Slot7_Age-D51)*(1+Slot7_Rate)^(Slot7_Age-D51),(1+Slot7_Rate)^(Slot7_Age-D51)*(1-((1+AS_Wage)/(1+Slot7_Rate))^(Slot7_Age-D51))/(1-(1+AS_Wage)/(1+Slot7_Rate))),1)</f>
        <v>1</v>
      </c>
      <c r="KC51" s="20" t="n">
        <f aca="false">IF(AND(HU51=1,IE51&gt;0,Slot7_IsWG=1,CF51=1),MAX(0,(Slot7_Cost-CG51*(1+Slot7_Rate)^(Slot7_Age-D51))/KB51),0)</f>
        <v>0</v>
      </c>
      <c r="KD51" s="20" t="n">
        <f aca="false">IF(AND(HU51=1,IE51&gt;0,Slot7_IsWG=1,CF51=1),MIN(IE51,KC51),0)</f>
        <v>0</v>
      </c>
      <c r="KE51" s="20" t="n">
        <f aca="false">CG51+KD51</f>
        <v>0</v>
      </c>
      <c r="KF51" s="20" t="n">
        <f aca="false">IF(CF51=1,MAX(0,(Slot7_Cost-KE51*(1+Slot7_Rate)^(Slot7_Age-D51))/KB51),0)</f>
        <v>0</v>
      </c>
      <c r="KG51" s="20" t="n">
        <f aca="false">IF(CF51=1,MAX(0,(Slot7_Cost-CG51*(1+Slot7_Rate)^(Slot7_Age-D51))/KB51),0)</f>
        <v>0</v>
      </c>
      <c r="KH51" s="20" t="n">
        <f aca="false">IF(AND(HU51=1,CF51=1),MIN(KA51,KF51),0)</f>
        <v>0</v>
      </c>
      <c r="KI51" s="20" t="n">
        <f aca="false">KA51-KH51</f>
        <v>0</v>
      </c>
      <c r="KJ51" s="20" t="n">
        <f aca="false">IF(CP51=1,IF(ABS((1+AS_Wage)/(1+Slot8_Rate)-1)&lt;0.000000000001,(Slot8_Age-D51)*(1+Slot8_Rate)^(Slot8_Age-D51),(1+Slot8_Rate)^(Slot8_Age-D51)*(1-((1+AS_Wage)/(1+Slot8_Rate))^(Slot8_Age-D51))/(1-(1+AS_Wage)/(1+Slot8_Rate))),1)</f>
        <v>1</v>
      </c>
      <c r="KK51" s="20" t="n">
        <f aca="false">IF(AND(HU51=1,IE51&gt;0,Slot8_IsWG=1,CP51=1),MAX(0,(Slot8_Cost-CQ51*(1+Slot8_Rate)^(Slot8_Age-D51))/KJ51),0)</f>
        <v>0</v>
      </c>
      <c r="KL51" s="20" t="n">
        <f aca="false">IF(AND(HU51=1,IE51&gt;0,Slot8_IsWG=1,CP51=1),MIN(IE51,KK51),0)</f>
        <v>0</v>
      </c>
      <c r="KM51" s="20" t="n">
        <f aca="false">CQ51+KL51</f>
        <v>0</v>
      </c>
      <c r="KN51" s="20" t="n">
        <f aca="false">IF(CP51=1,MAX(0,(Slot8_Cost-KM51*(1+Slot8_Rate)^(Slot8_Age-D51))/KJ51),0)</f>
        <v>0</v>
      </c>
      <c r="KO51" s="20" t="n">
        <f aca="false">IF(CP51=1,MAX(0,(Slot8_Cost-CQ51*(1+Slot8_Rate)^(Slot8_Age-D51))/KJ51),0)</f>
        <v>0</v>
      </c>
      <c r="KP51" s="20" t="n">
        <f aca="false">IF(AND(HU51=1,CP51=1),MIN(KI51,KN51),0)</f>
        <v>0</v>
      </c>
      <c r="KQ51" s="20" t="n">
        <f aca="false">KI51-KP51</f>
        <v>0</v>
      </c>
      <c r="KR51" s="20" t="n">
        <f aca="false">IF(CZ51=1,IF(ABS((1+AS_Wage)/(1+Slot9_Rate)-1)&lt;0.000000000001,(Slot9_Age-D51)*(1+Slot9_Rate)^(Slot9_Age-D51),(1+Slot9_Rate)^(Slot9_Age-D51)*(1-((1+AS_Wage)/(1+Slot9_Rate))^(Slot9_Age-D51))/(1-(1+AS_Wage)/(1+Slot9_Rate))),1)</f>
        <v>1</v>
      </c>
      <c r="KS51" s="20" t="n">
        <f aca="false">IF(AND(HU51=1,IE51&gt;0,Slot9_IsWG=1,CZ51=1),MAX(0,(Slot9_Cost-DA51*(1+Slot9_Rate)^(Slot9_Age-D51))/KR51),0)</f>
        <v>0</v>
      </c>
      <c r="KT51" s="20" t="n">
        <f aca="false">IF(AND(HU51=1,IE51&gt;0,Slot9_IsWG=1,CZ51=1),MIN(IE51,KS51),0)</f>
        <v>0</v>
      </c>
      <c r="KU51" s="20" t="n">
        <f aca="false">DA51+KT51</f>
        <v>0</v>
      </c>
      <c r="KV51" s="20" t="n">
        <f aca="false">IF(CZ51=1,MAX(0,(Slot9_Cost-KU51*(1+Slot9_Rate)^(Slot9_Age-D51))/KR51),0)</f>
        <v>0</v>
      </c>
      <c r="KW51" s="20" t="n">
        <f aca="false">IF(CZ51=1,MAX(0,(Slot9_Cost-DA51*(1+Slot9_Rate)^(Slot9_Age-D51))/KR51),0)</f>
        <v>0</v>
      </c>
      <c r="KX51" s="20" t="n">
        <f aca="false">IF(AND(HU51=1,CZ51=1),MIN(KQ51,KV51),0)</f>
        <v>0</v>
      </c>
      <c r="KY51" s="20" t="n">
        <f aca="false">KQ51-KX51</f>
        <v>0</v>
      </c>
      <c r="KZ51" s="20" t="n">
        <f aca="false">IF(DJ51=1,IF(ABS((1+AS_Wage)/(1+Slot10_Rate)-1)&lt;0.000000000001,(Slot10_Age-D51)*(1+Slot10_Rate)^(Slot10_Age-D51),(1+Slot10_Rate)^(Slot10_Age-D51)*(1-((1+AS_Wage)/(1+Slot10_Rate))^(Slot10_Age-D51))/(1-(1+AS_Wage)/(1+Slot10_Rate))),1)</f>
        <v>1</v>
      </c>
      <c r="LA51" s="20" t="n">
        <f aca="false">IF(AND(HU51=1,IE51&gt;0,Slot10_IsWG=1,DJ51=1),MAX(0,(Slot10_Cost-DK51*(1+Slot10_Rate)^(Slot10_Age-D51))/KZ51),0)</f>
        <v>0</v>
      </c>
      <c r="LB51" s="20" t="n">
        <f aca="false">IF(AND(HU51=1,IE51&gt;0,Slot10_IsWG=1,DJ51=1),MIN(IE51,LA51),0)</f>
        <v>0</v>
      </c>
      <c r="LC51" s="20" t="n">
        <f aca="false">DK51+LB51</f>
        <v>0</v>
      </c>
      <c r="LD51" s="20" t="n">
        <f aca="false">IF(DJ51=1,MAX(0,(Slot10_Cost-LC51*(1+Slot10_Rate)^(Slot10_Age-D51))/KZ51),0)</f>
        <v>0</v>
      </c>
      <c r="LE51" s="20" t="n">
        <f aca="false">IF(DJ51=1,MAX(0,(Slot10_Cost-DK51*(1+Slot10_Rate)^(Slot10_Age-D51))/KZ51),0)</f>
        <v>0</v>
      </c>
      <c r="LF51" s="20" t="n">
        <f aca="false">IF(AND(HU51=1,DJ51=1),MIN(KY51,LD51),0)</f>
        <v>0</v>
      </c>
      <c r="LG51" s="20" t="n">
        <f aca="false">KY51-LF51</f>
        <v>0</v>
      </c>
      <c r="LH51" s="20" t="n">
        <f aca="false">IF(DT51=1,IF(ABS((1+AS_Wage)/(1+Slot11_Rate)-1)&lt;0.000000000001,(Slot11_Age-D51)*(1+Slot11_Rate)^(Slot11_Age-D51),(1+Slot11_Rate)^(Slot11_Age-D51)*(1-((1+AS_Wage)/(1+Slot11_Rate))^(Slot11_Age-D51))/(1-(1+AS_Wage)/(1+Slot11_Rate))),1)</f>
        <v>1</v>
      </c>
      <c r="LI51" s="20" t="n">
        <f aca="false">IF(AND(HU51=1,IE51&gt;0,Slot11_IsWG=1,DT51=1),MAX(0,(Slot11_Cost-DU51*(1+Slot11_Rate)^(Slot11_Age-D51))/LH51),0)</f>
        <v>0</v>
      </c>
      <c r="LJ51" s="20" t="n">
        <f aca="false">IF(AND(HU51=1,IE51&gt;0,Slot11_IsWG=1,DT51=1),MIN(IE51,LI51),0)</f>
        <v>0</v>
      </c>
      <c r="LK51" s="20" t="n">
        <f aca="false">DU51+LJ51</f>
        <v>0</v>
      </c>
      <c r="LL51" s="20" t="n">
        <f aca="false">IF(DT51=1,MAX(0,(Slot11_Cost-LK51*(1+Slot11_Rate)^(Slot11_Age-D51))/LH51),0)</f>
        <v>0</v>
      </c>
      <c r="LM51" s="20" t="n">
        <f aca="false">IF(DT51=1,MAX(0,(Slot11_Cost-DU51*(1+Slot11_Rate)^(Slot11_Age-D51))/LH51),0)</f>
        <v>0</v>
      </c>
      <c r="LN51" s="20" t="n">
        <f aca="false">IF(AND(HU51=1,DT51=1),MIN(LG51,LL51),0)</f>
        <v>0</v>
      </c>
      <c r="LO51" s="20" t="n">
        <f aca="false">LG51-LN51</f>
        <v>0</v>
      </c>
      <c r="LP51" s="20" t="n">
        <f aca="false">IF(ED51=1,IF(ABS((1+AS_Wage)/(1+Slot12_Rate)-1)&lt;0.000000000001,(Slot12_Age-D51)*(1+Slot12_Rate)^(Slot12_Age-D51),(1+Slot12_Rate)^(Slot12_Age-D51)*(1-((1+AS_Wage)/(1+Slot12_Rate))^(Slot12_Age-D51))/(1-(1+AS_Wage)/(1+Slot12_Rate))),1)</f>
        <v>1</v>
      </c>
      <c r="LQ51" s="20" t="n">
        <f aca="false">IF(AND(HU51=1,IE51&gt;0,Slot12_IsWG=1,ED51=1),MAX(0,(Slot12_Cost-EE51*(1+Slot12_Rate)^(Slot12_Age-D51))/LP51),0)</f>
        <v>0</v>
      </c>
      <c r="LR51" s="20" t="n">
        <f aca="false">IF(AND(HU51=1,IE51&gt;0,Slot12_IsWG=1,ED51=1),MIN(IE51,LQ51),0)</f>
        <v>0</v>
      </c>
      <c r="LS51" s="20" t="n">
        <f aca="false">EE51+LR51</f>
        <v>0</v>
      </c>
      <c r="LT51" s="20" t="n">
        <f aca="false">IF(ED51=1,MAX(0,(Slot12_Cost-LS51*(1+Slot12_Rate)^(Slot12_Age-D51))/LP51),0)</f>
        <v>0</v>
      </c>
      <c r="LU51" s="20" t="n">
        <f aca="false">IF(ED51=1,MAX(0,(Slot12_Cost-EE51*(1+Slot12_Rate)^(Slot12_Age-D51))/LP51),0)</f>
        <v>0</v>
      </c>
      <c r="LV51" s="20" t="n">
        <f aca="false">IF(AND(HU51=1,ED51=1),MIN(LO51,LT51),0)</f>
        <v>0</v>
      </c>
      <c r="LW51" s="20" t="n">
        <f aca="false">LO51-LV51</f>
        <v>0</v>
      </c>
      <c r="LX51" s="20" t="n">
        <f aca="false">IF(EN51=1,IF(ABS((1+AS_Wage)/(1+Slot13_Rate)-1)&lt;0.000000000001,(Slot13_Age-D51)*(1+Slot13_Rate)^(Slot13_Age-D51),(1+Slot13_Rate)^(Slot13_Age-D51)*(1-((1+AS_Wage)/(1+Slot13_Rate))^(Slot13_Age-D51))/(1-(1+AS_Wage)/(1+Slot13_Rate))),1)</f>
        <v>1</v>
      </c>
      <c r="LY51" s="20" t="n">
        <f aca="false">IF(AND(HU51=1,IE51&gt;0,Slot13_IsWG=1,EN51=1),MAX(0,(Slot13_Cost-EO51*(1+Slot13_Rate)^(Slot13_Age-D51))/LX51),0)</f>
        <v>0</v>
      </c>
      <c r="LZ51" s="20" t="n">
        <f aca="false">IF(AND(HU51=1,IE51&gt;0,Slot13_IsWG=1,EN51=1),MIN(IE51,LY51),0)</f>
        <v>0</v>
      </c>
      <c r="MA51" s="20" t="n">
        <f aca="false">EO51+LZ51</f>
        <v>0</v>
      </c>
      <c r="MB51" s="20" t="n">
        <f aca="false">IF(EN51=1,MAX(0,(Slot13_Cost-MA51*(1+Slot13_Rate)^(Slot13_Age-D51))/LX51),0)</f>
        <v>0</v>
      </c>
      <c r="MC51" s="20" t="n">
        <f aca="false">IF(EN51=1,MAX(0,(Slot13_Cost-EO51*(1+Slot13_Rate)^(Slot13_Age-D51))/LX51),0)</f>
        <v>0</v>
      </c>
      <c r="MD51" s="20" t="n">
        <f aca="false">IF(AND(HU51=1,EN51=1),MIN(LW51,MB51),0)</f>
        <v>0</v>
      </c>
      <c r="ME51" s="20" t="n">
        <f aca="false">LW51-MD51</f>
        <v>0</v>
      </c>
      <c r="MF51" s="20" t="n">
        <f aca="false">IF(EX51=1,IF(ABS((1+AS_Wage)/(1+Slot14_Rate)-1)&lt;0.000000000001,(Slot14_Age-D51)*(1+Slot14_Rate)^(Slot14_Age-D51),(1+Slot14_Rate)^(Slot14_Age-D51)*(1-((1+AS_Wage)/(1+Slot14_Rate))^(Slot14_Age-D51))/(1-(1+AS_Wage)/(1+Slot14_Rate))),1)</f>
        <v>1</v>
      </c>
      <c r="MG51" s="20" t="n">
        <f aca="false">IF(AND(HU51=1,IE51&gt;0,Slot14_IsWG=1,EX51=1),MAX(0,(Slot14_Cost-EY51*(1+Slot14_Rate)^(Slot14_Age-D51))/MF51),0)</f>
        <v>0</v>
      </c>
      <c r="MH51" s="20" t="n">
        <f aca="false">IF(AND(HU51=1,IE51&gt;0,Slot14_IsWG=1,EX51=1),MIN(IE51,MG51),0)</f>
        <v>0</v>
      </c>
      <c r="MI51" s="20" t="n">
        <f aca="false">EY51+MH51</f>
        <v>0</v>
      </c>
      <c r="MJ51" s="20" t="n">
        <f aca="false">IF(EX51=1,MAX(0,(Slot14_Cost-MI51*(1+Slot14_Rate)^(Slot14_Age-D51))/MF51),0)</f>
        <v>0</v>
      </c>
      <c r="MK51" s="20" t="n">
        <f aca="false">IF(EX51=1,MAX(0,(Slot14_Cost-EY51*(1+Slot14_Rate)^(Slot14_Age-D51))/MF51),0)</f>
        <v>0</v>
      </c>
      <c r="ML51" s="20" t="n">
        <f aca="false">IF(AND(HU51=1,EX51=1),MIN(ME51,MJ51),0)</f>
        <v>0</v>
      </c>
      <c r="MM51" s="20" t="n">
        <f aca="false">ME51-ML51</f>
        <v>0</v>
      </c>
      <c r="MN51" s="20" t="n">
        <f aca="false">IF(FH51=1,IF(ABS((1+AS_Wage)/(1+Slot15_Rate)-1)&lt;0.000000000001,(Slot15_Age-D51)*(1+Slot15_Rate)^(Slot15_Age-D51),(1+Slot15_Rate)^(Slot15_Age-D51)*(1-((1+AS_Wage)/(1+Slot15_Rate))^(Slot15_Age-D51))/(1-(1+AS_Wage)/(1+Slot15_Rate))),1)</f>
        <v>1</v>
      </c>
      <c r="MO51" s="20" t="n">
        <f aca="false">IF(AND(HU51=1,IE51&gt;0,Slot15_IsWG=1,FH51=1),MAX(0,(Slot15_Cost-FI51*(1+Slot15_Rate)^(Slot15_Age-D51))/MN51),0)</f>
        <v>0</v>
      </c>
      <c r="MP51" s="20" t="n">
        <f aca="false">IF(AND(HU51=1,IE51&gt;0,Slot15_IsWG=1,FH51=1),MIN(IE51,MO51),0)</f>
        <v>0</v>
      </c>
      <c r="MQ51" s="20" t="n">
        <f aca="false">FI51+MP51</f>
        <v>0</v>
      </c>
      <c r="MR51" s="20" t="n">
        <f aca="false">IF(FH51=1,MAX(0,(Slot15_Cost-MQ51*(1+Slot15_Rate)^(Slot15_Age-D51))/MN51),0)</f>
        <v>0</v>
      </c>
      <c r="MS51" s="20" t="n">
        <f aca="false">IF(FH51=1,MAX(0,(Slot15_Cost-FI51*(1+Slot15_Rate)^(Slot15_Age-D51))/MN51),0)</f>
        <v>0</v>
      </c>
      <c r="MT51" s="20" t="n">
        <f aca="false">IF(AND(HU51=1,FH51=1),MIN(MM51,MR51),0)</f>
        <v>0</v>
      </c>
      <c r="MU51" s="20" t="n">
        <f aca="false">MM51-MT51</f>
        <v>0</v>
      </c>
      <c r="MV51" s="20" t="n">
        <f aca="false">IF(FR51=1,IF(ABS((1+AS_Wage)/(1+Slot16_Rate)-1)&lt;0.000000000001,(Slot16_Age-D51)*(1+Slot16_Rate)^(Slot16_Age-D51),(1+Slot16_Rate)^(Slot16_Age-D51)*(1-((1+AS_Wage)/(1+Slot16_Rate))^(Slot16_Age-D51))/(1-(1+AS_Wage)/(1+Slot16_Rate))),1)</f>
        <v>1</v>
      </c>
      <c r="MW51" s="20" t="n">
        <f aca="false">IF(AND(HU51=1,IE51&gt;0,Slot16_IsWG=1,FR51=1),MAX(0,(Slot16_Cost-FS51*(1+Slot16_Rate)^(Slot16_Age-D51))/MV51),0)</f>
        <v>0</v>
      </c>
      <c r="MX51" s="20" t="n">
        <f aca="false">IF(AND(HU51=1,IE51&gt;0,Slot16_IsWG=1,FR51=1),MIN(IE51,MW51),0)</f>
        <v>0</v>
      </c>
      <c r="MY51" s="20" t="n">
        <f aca="false">FS51+MX51</f>
        <v>0</v>
      </c>
      <c r="MZ51" s="20" t="n">
        <f aca="false">IF(FR51=1,MAX(0,(Slot16_Cost-MY51*(1+Slot16_Rate)^(Slot16_Age-D51))/MV51),0)</f>
        <v>0</v>
      </c>
      <c r="NA51" s="20" t="n">
        <f aca="false">IF(FR51=1,MAX(0,(Slot16_Cost-FS51*(1+Slot16_Rate)^(Slot16_Age-D51))/MV51),0)</f>
        <v>0</v>
      </c>
      <c r="NB51" s="20" t="n">
        <f aca="false">IF(AND(HU51=1,FR51=1),MIN(MU51,MZ51),0)</f>
        <v>0</v>
      </c>
      <c r="NC51" s="20" t="n">
        <f aca="false">MU51-NB51</f>
        <v>0</v>
      </c>
      <c r="ND51" s="20" t="n">
        <f aca="false">IF(GB51=1,IF(ABS((1+AS_Wage)/(1+Slot17_Rate)-1)&lt;0.000000000001,(Slot17_Age-D51)*(1+Slot17_Rate)^(Slot17_Age-D51),(1+Slot17_Rate)^(Slot17_Age-D51)*(1-((1+AS_Wage)/(1+Slot17_Rate))^(Slot17_Age-D51))/(1-(1+AS_Wage)/(1+Slot17_Rate))),1)</f>
        <v>1</v>
      </c>
      <c r="NE51" s="20" t="n">
        <f aca="false">IF(AND(HU51=1,IE51&gt;0,Slot17_IsWG=1,GB51=1),MAX(0,(Slot17_Cost-GC51*(1+Slot17_Rate)^(Slot17_Age-D51))/ND51),0)</f>
        <v>0</v>
      </c>
      <c r="NF51" s="20" t="n">
        <f aca="false">IF(AND(HU51=1,IE51&gt;0,Slot17_IsWG=1,GB51=1),MIN(IE51,NE51),0)</f>
        <v>0</v>
      </c>
      <c r="NG51" s="20" t="n">
        <f aca="false">GC51+NF51</f>
        <v>0</v>
      </c>
      <c r="NH51" s="20" t="n">
        <f aca="false">IF(GB51=1,MAX(0,(Slot17_Cost-NG51*(1+Slot17_Rate)^(Slot17_Age-D51))/ND51),0)</f>
        <v>0</v>
      </c>
      <c r="NI51" s="20" t="n">
        <f aca="false">IF(GB51=1,MAX(0,(Slot17_Cost-GC51*(1+Slot17_Rate)^(Slot17_Age-D51))/ND51),0)</f>
        <v>0</v>
      </c>
      <c r="NJ51" s="20" t="n">
        <f aca="false">IF(AND(HU51=1,GB51=1),MIN(NC51,NH51),0)</f>
        <v>0</v>
      </c>
      <c r="NK51" s="20" t="n">
        <f aca="false">NC51-NJ51</f>
        <v>0</v>
      </c>
      <c r="NL51" s="20" t="n">
        <f aca="false">IF(GL51=1,IF(ABS((1+AS_Wage)/(1+Slot18_Rate)-1)&lt;0.000000000001,(Slot18_Age-D51)*(1+Slot18_Rate)^(Slot18_Age-D51),(1+Slot18_Rate)^(Slot18_Age-D51)*(1-((1+AS_Wage)/(1+Slot18_Rate))^(Slot18_Age-D51))/(1-(1+AS_Wage)/(1+Slot18_Rate))),1)</f>
        <v>1</v>
      </c>
      <c r="NM51" s="20" t="n">
        <f aca="false">IF(AND(HU51=1,IE51&gt;0,Slot18_IsWG=1,GL51=1),MAX(0,(Slot18_Cost-GM51*(1+Slot18_Rate)^(Slot18_Age-D51))/NL51),0)</f>
        <v>0</v>
      </c>
      <c r="NN51" s="20" t="n">
        <f aca="false">IF(AND(HU51=1,IE51&gt;0,Slot18_IsWG=1,GL51=1),MIN(IE51,NM51),0)</f>
        <v>0</v>
      </c>
      <c r="NO51" s="20" t="n">
        <f aca="false">GM51+NN51</f>
        <v>0</v>
      </c>
      <c r="NP51" s="20" t="n">
        <f aca="false">IF(GL51=1,MAX(0,(Slot18_Cost-NO51*(1+Slot18_Rate)^(Slot18_Age-D51))/NL51),0)</f>
        <v>0</v>
      </c>
      <c r="NQ51" s="20" t="n">
        <f aca="false">IF(GL51=1,MAX(0,(Slot18_Cost-GM51*(1+Slot18_Rate)^(Slot18_Age-D51))/NL51),0)</f>
        <v>0</v>
      </c>
      <c r="NR51" s="20" t="n">
        <f aca="false">IF(AND(HU51=1,GL51=1),MIN(NK51,NP51),0)</f>
        <v>0</v>
      </c>
      <c r="NS51" s="20" t="n">
        <f aca="false">NK51-NR51</f>
        <v>0</v>
      </c>
      <c r="NT51" s="20" t="n">
        <f aca="false">IF(GV51=1,IF(ABS((1+AS_Wage)/(1+Slot19_Rate)-1)&lt;0.000000000001,(Slot19_Age-D51)*(1+Slot19_Rate)^(Slot19_Age-D51),(1+Slot19_Rate)^(Slot19_Age-D51)*(1-((1+AS_Wage)/(1+Slot19_Rate))^(Slot19_Age-D51))/(1-(1+AS_Wage)/(1+Slot19_Rate))),1)</f>
        <v>1</v>
      </c>
      <c r="NU51" s="20" t="n">
        <f aca="false">IF(AND(HU51=1,IE51&gt;0,Slot19_IsWG=1,GV51=1),MAX(0,(Slot19_Cost-GW51*(1+Slot19_Rate)^(Slot19_Age-D51))/NT51),0)</f>
        <v>0</v>
      </c>
      <c r="NV51" s="20" t="n">
        <f aca="false">IF(AND(HU51=1,IE51&gt;0,Slot19_IsWG=1,GV51=1),MIN(IE51,NU51),0)</f>
        <v>0</v>
      </c>
      <c r="NW51" s="20" t="n">
        <f aca="false">GW51+NV51</f>
        <v>0</v>
      </c>
      <c r="NX51" s="20" t="n">
        <f aca="false">IF(GV51=1,MAX(0,(Slot19_Cost-NW51*(1+Slot19_Rate)^(Slot19_Age-D51))/NT51),0)</f>
        <v>0</v>
      </c>
      <c r="NY51" s="20" t="n">
        <f aca="false">IF(GV51=1,MAX(0,(Slot19_Cost-GW51*(1+Slot19_Rate)^(Slot19_Age-D51))/NT51),0)</f>
        <v>0</v>
      </c>
      <c r="NZ51" s="20" t="n">
        <f aca="false">IF(AND(HU51=1,GV51=1),MIN(NS51,NX51),0)</f>
        <v>0</v>
      </c>
      <c r="OA51" s="20" t="n">
        <f aca="false">NS51-NZ51</f>
        <v>0</v>
      </c>
      <c r="OB51" s="20" t="n">
        <f aca="false">IF(HF51=1,IF(ABS((1+AS_Wage)/(1+Slot20_Rate)-1)&lt;0.000000000001,(Slot20_Age-D51)*(1+Slot20_Rate)^(Slot20_Age-D51),(1+Slot20_Rate)^(Slot20_Age-D51)*(1-((1+AS_Wage)/(1+Slot20_Rate))^(Slot20_Age-D51))/(1-(1+AS_Wage)/(1+Slot20_Rate))),1)</f>
        <v>1</v>
      </c>
      <c r="OC51" s="20" t="n">
        <f aca="false">IF(AND(HU51=1,IE51&gt;0,Slot20_IsWG=1,HF51=1),MAX(0,(Slot20_Cost-HG51*(1+Slot20_Rate)^(Slot20_Age-D51))/OB51),0)</f>
        <v>0</v>
      </c>
      <c r="OD51" s="20" t="n">
        <f aca="false">IF(AND(HU51=1,IE51&gt;0,Slot20_IsWG=1,HF51=1),MIN(IE51,OC51),0)</f>
        <v>0</v>
      </c>
      <c r="OE51" s="20" t="n">
        <f aca="false">HG51+OD51</f>
        <v>0</v>
      </c>
      <c r="OF51" s="20" t="n">
        <f aca="false">IF(HF51=1,MAX(0,(Slot20_Cost-OE51*(1+Slot20_Rate)^(Slot20_Age-D51))/OB51),0)</f>
        <v>0</v>
      </c>
      <c r="OG51" s="20" t="n">
        <f aca="false">IF(HF51=1,MAX(0,(Slot20_Cost-HG51*(1+Slot20_Rate)^(Slot20_Age-D51))/OB51),0)</f>
        <v>0</v>
      </c>
      <c r="OH51" s="20" t="n">
        <f aca="false">IF(AND(HU51=1,HF51=1),MIN(OA51,OF51),0)</f>
        <v>0</v>
      </c>
      <c r="OI51" s="20" t="n">
        <f aca="false">OA51-OH51</f>
        <v>0</v>
      </c>
      <c r="OJ51" s="20" t="n">
        <f aca="false">IE51-(IH51+IP51+IX51+JF51+JN51+JV51+KD51+KL51+KT51+LB51+LJ51+LR51+LZ51+MH51+MP51+MX51+NF51+NN51+NV51+OD51)</f>
        <v>0</v>
      </c>
      <c r="OK51" s="20" t="n">
        <f aca="false">IF(HU51=1,HS51-ID51-IE51,0)</f>
        <v>0</v>
      </c>
      <c r="OL51" s="20" t="n">
        <f aca="false">IF(HU51=0,-HS51,0)</f>
        <v>25301.617568835</v>
      </c>
      <c r="OM51" s="20" t="n">
        <f aca="false">MIN(OL51,HK51)</f>
        <v>0</v>
      </c>
      <c r="ON51" s="20" t="n">
        <f aca="false">OL51-OM51</f>
        <v>25301.617568835</v>
      </c>
      <c r="OO51" s="20" t="n">
        <f aca="false">MIN(ON51,HL51)</f>
        <v>0</v>
      </c>
      <c r="OP51" s="20" t="n">
        <f aca="false">ON51-OO51</f>
        <v>25301.617568835</v>
      </c>
      <c r="OQ51" s="20" t="n">
        <f aca="false">IF(AND(HU51=0,HF51=1,OP51&gt;0),MIN(OP51,HG51),0)</f>
        <v>0</v>
      </c>
      <c r="OR51" s="20" t="n">
        <f aca="false">OP51-OQ51</f>
        <v>25301.617568835</v>
      </c>
      <c r="OS51" s="20" t="n">
        <f aca="false">IF(AND(HU51=0,GV51=1,OR51&gt;0),MIN(OR51,GW51),0)</f>
        <v>0</v>
      </c>
      <c r="OT51" s="20" t="n">
        <f aca="false">OR51-OS51</f>
        <v>25301.617568835</v>
      </c>
      <c r="OU51" s="20" t="n">
        <f aca="false">IF(AND(HU51=0,GL51=1,OT51&gt;0),MIN(OT51,GM51),0)</f>
        <v>0</v>
      </c>
      <c r="OV51" s="20" t="n">
        <f aca="false">OT51-OU51</f>
        <v>25301.617568835</v>
      </c>
      <c r="OW51" s="20" t="n">
        <f aca="false">IF(AND(HU51=0,GB51=1,OV51&gt;0),MIN(OV51,GC51),0)</f>
        <v>0</v>
      </c>
      <c r="OX51" s="20" t="n">
        <f aca="false">OV51-OW51</f>
        <v>25301.617568835</v>
      </c>
      <c r="OY51" s="20" t="n">
        <f aca="false">IF(AND(HU51=0,FR51=1,OX51&gt;0),MIN(OX51,FS51),0)</f>
        <v>0</v>
      </c>
      <c r="OZ51" s="20" t="n">
        <f aca="false">OX51-OY51</f>
        <v>25301.617568835</v>
      </c>
      <c r="PA51" s="20" t="n">
        <f aca="false">IF(AND(HU51=0,FH51=1,OZ51&gt;0),MIN(OZ51,FI51),0)</f>
        <v>0</v>
      </c>
      <c r="PB51" s="20" t="n">
        <f aca="false">OZ51-PA51</f>
        <v>25301.617568835</v>
      </c>
      <c r="PC51" s="20" t="n">
        <f aca="false">IF(AND(HU51=0,EX51=1,PB51&gt;0),MIN(PB51,EY51),0)</f>
        <v>0</v>
      </c>
      <c r="PD51" s="20" t="n">
        <f aca="false">PB51-PC51</f>
        <v>25301.617568835</v>
      </c>
      <c r="PE51" s="20" t="n">
        <f aca="false">IF(AND(HU51=0,EN51=1,PD51&gt;0),MIN(PD51,EO51),0)</f>
        <v>0</v>
      </c>
      <c r="PF51" s="20" t="n">
        <f aca="false">PD51-PE51</f>
        <v>25301.617568835</v>
      </c>
      <c r="PG51" s="20" t="n">
        <f aca="false">IF(AND(HU51=0,ED51=1,PF51&gt;0),MIN(PF51,EE51),0)</f>
        <v>0</v>
      </c>
      <c r="PH51" s="20" t="n">
        <f aca="false">PF51-PG51</f>
        <v>25301.617568835</v>
      </c>
      <c r="PI51" s="20" t="n">
        <f aca="false">IF(AND(HU51=0,DT51=1,PH51&gt;0),MIN(PH51,DU51),0)</f>
        <v>0</v>
      </c>
      <c r="PJ51" s="20" t="n">
        <f aca="false">PH51-PI51</f>
        <v>25301.617568835</v>
      </c>
      <c r="PK51" s="20" t="n">
        <f aca="false">IF(AND(HU51=0,DJ51=1,PJ51&gt;0),MIN(PJ51,DK51),0)</f>
        <v>0</v>
      </c>
      <c r="PL51" s="20" t="n">
        <f aca="false">PJ51-PK51</f>
        <v>25301.617568835</v>
      </c>
      <c r="PM51" s="20" t="n">
        <f aca="false">IF(AND(HU51=0,CZ51=1,PL51&gt;0),MIN(PL51,DA51),0)</f>
        <v>0</v>
      </c>
      <c r="PN51" s="20" t="n">
        <f aca="false">PL51-PM51</f>
        <v>25301.617568835</v>
      </c>
      <c r="PO51" s="20" t="n">
        <f aca="false">IF(AND(HU51=0,CP51=1,PN51&gt;0),MIN(PN51,CQ51),0)</f>
        <v>0</v>
      </c>
      <c r="PP51" s="20" t="n">
        <f aca="false">PN51-PO51</f>
        <v>25301.617568835</v>
      </c>
      <c r="PQ51" s="20" t="n">
        <f aca="false">IF(AND(HU51=0,CF51=1,PP51&gt;0),MIN(PP51,CG51),0)</f>
        <v>0</v>
      </c>
      <c r="PR51" s="20" t="n">
        <f aca="false">PP51-PQ51</f>
        <v>25301.617568835</v>
      </c>
      <c r="PS51" s="20" t="n">
        <f aca="false">IF(AND(HU51=0,BV51=1,PR51&gt;0),MIN(PR51,BW51),0)</f>
        <v>0</v>
      </c>
      <c r="PT51" s="20" t="n">
        <f aca="false">PR51-PS51</f>
        <v>25301.617568835</v>
      </c>
      <c r="PU51" s="20" t="n">
        <f aca="false">IF(AND(HU51=0,BL51=1,PT51&gt;0),MIN(PT51,BM51),0)</f>
        <v>0</v>
      </c>
      <c r="PV51" s="20" t="n">
        <f aca="false">PT51-PU51</f>
        <v>25301.617568835</v>
      </c>
      <c r="PW51" s="20" t="n">
        <f aca="false">IF(AND(HU51=0,BB51=1,PV51&gt;0),MIN(PV51,BC51),0)</f>
        <v>0</v>
      </c>
      <c r="PX51" s="20" t="n">
        <f aca="false">PV51-PW51</f>
        <v>25301.617568835</v>
      </c>
      <c r="PY51" s="20" t="n">
        <f aca="false">IF(AND(HU51=0,AR51=1,PX51&gt;0),MIN(PX51,AS51),0)</f>
        <v>0</v>
      </c>
      <c r="PZ51" s="20" t="n">
        <f aca="false">PX51-PY51</f>
        <v>25301.617568835</v>
      </c>
      <c r="QA51" s="20" t="n">
        <f aca="false">IF(AND(HU51=0,AH51=1,PZ51&gt;0),MIN(PZ51,AI51),0)</f>
        <v>0</v>
      </c>
      <c r="QB51" s="20" t="n">
        <f aca="false">PZ51-QA51</f>
        <v>25301.617568835</v>
      </c>
      <c r="QC51" s="20" t="n">
        <f aca="false">IF(AND(HU51=0,W51=1,QB51&gt;0),MIN(QB51,X51),0)</f>
        <v>0</v>
      </c>
      <c r="QD51" s="20" t="n">
        <f aca="false">QB51-QC51</f>
        <v>25301.617568835</v>
      </c>
      <c r="QE51" s="20" t="n">
        <f aca="false">IF(HU51=0,QD51,0)</f>
        <v>25301.617568835</v>
      </c>
      <c r="QF51" s="20" t="n">
        <f aca="false">OM51+OO51+QC51+QA51+PY51+PW51+PU51+PS51+PQ51+PO51+PM51+PK51+PI51+PG51+PE51+PC51+PA51+OY51+OW51+OU51+OS51+OQ51</f>
        <v>0</v>
      </c>
      <c r="QG51" s="20" t="n">
        <f aca="false">IF(HU51=1,HK51+OJ51+OI51+IF(G51=1,0,OK51),HK51-OM51)</f>
        <v>0</v>
      </c>
      <c r="QH51" s="20" t="n">
        <f aca="false">HL51-OO51</f>
        <v>0</v>
      </c>
      <c r="QI51" s="20" t="n">
        <f aca="false">IF(HU51=1,IF(G51=1,ID51+IE51,HS51),0)</f>
        <v>0</v>
      </c>
      <c r="QJ51" s="20" t="n">
        <f aca="false">IF(HU51=1,IF(G51=1,HS51-ID51-IE51,0),0)</f>
        <v>0</v>
      </c>
      <c r="QK51" s="57" t="n">
        <f aca="false">'Plan holdings'!BM51</f>
        <v>0</v>
      </c>
      <c r="QL51" s="20" t="n">
        <f aca="false">QH51*(1+AS_Cash)</f>
        <v>0</v>
      </c>
      <c r="QM51" s="20" t="n">
        <f aca="false">IF(W51=1,IF(HU51=1,II51+IL51,X51-QC51)*(1+Slot1_Rate),0)</f>
        <v>0</v>
      </c>
      <c r="QN51" s="20" t="n">
        <f aca="false">IF(AND(HU51=1,W51=1),(IH51+IL51)/F51,0)</f>
        <v>0</v>
      </c>
      <c r="QO51" s="20" t="n">
        <f aca="false">IF(B51=0,IH51+IL51,0)</f>
        <v>0</v>
      </c>
      <c r="QP51" s="20" t="n">
        <f aca="false">IF(B51=0,IF(HU51=1,IJ51,IK51),0)</f>
        <v>0</v>
      </c>
      <c r="QQ51" s="20" t="n">
        <f aca="false">IF(AH51=1,IF(HU51=1,IQ51+IT51,AI51-QA51)*(1+Slot2_Rate),0)</f>
        <v>0</v>
      </c>
      <c r="QR51" s="20" t="n">
        <f aca="false">IF(AND(HU51=1,AH51=1),(IP51+IT51)/F51,0)</f>
        <v>0</v>
      </c>
      <c r="QS51" s="20" t="n">
        <f aca="false">IF(B51=0,IP51+IT51,0)</f>
        <v>0</v>
      </c>
      <c r="QT51" s="20" t="n">
        <f aca="false">IF(B51=0,IF(HU51=1,IR51,IS51),0)</f>
        <v>0</v>
      </c>
      <c r="QU51" s="20" t="n">
        <f aca="false">IF(AR51=1,IF(HU51=1,IY51+JB51,AS51-PY51)*(1+Slot3_Rate),0)</f>
        <v>0</v>
      </c>
      <c r="QV51" s="20" t="n">
        <f aca="false">IF(AND(HU51=1,AR51=1),(IX51+JB51)/F51,0)</f>
        <v>0</v>
      </c>
      <c r="QW51" s="20" t="n">
        <f aca="false">IF(B51=0,IX51+JB51,0)</f>
        <v>0</v>
      </c>
      <c r="QX51" s="20" t="n">
        <f aca="false">IF(B51=0,IF(HU51=1,IZ51,JA51),0)</f>
        <v>0</v>
      </c>
      <c r="QY51" s="20" t="n">
        <f aca="false">IF(BB51=1,IF(HU51=1,JG51+JJ51,BC51-PW51)*(1+Slot4_Rate),0)</f>
        <v>0</v>
      </c>
      <c r="QZ51" s="20" t="n">
        <f aca="false">IF(AND(HU51=1,BB51=1),(JF51+JJ51)/F51,0)</f>
        <v>0</v>
      </c>
      <c r="RA51" s="20" t="n">
        <f aca="false">IF(B51=0,JF51+JJ51,0)</f>
        <v>0</v>
      </c>
      <c r="RB51" s="20" t="n">
        <f aca="false">IF(B51=0,IF(HU51=1,JH51,JI51),0)</f>
        <v>0</v>
      </c>
      <c r="RC51" s="20" t="n">
        <f aca="false">IF(BL51=1,IF(HU51=1,JO51+JR51,BM51-PU51)*(1+Slot5_Rate),0)</f>
        <v>0</v>
      </c>
      <c r="RD51" s="20" t="n">
        <f aca="false">IF(AND(HU51=1,BL51=1),(JN51+JR51)/F51,0)</f>
        <v>0</v>
      </c>
      <c r="RE51" s="20" t="n">
        <f aca="false">IF(B51=0,JN51+JR51,0)</f>
        <v>0</v>
      </c>
      <c r="RF51" s="20" t="n">
        <f aca="false">IF(B51=0,IF(HU51=1,JP51,JQ51),0)</f>
        <v>0</v>
      </c>
      <c r="RG51" s="20" t="n">
        <f aca="false">IF(BV51=1,IF(HU51=1,JW51+JZ51,BW51-PS51)*(1+Slot6_Rate),0)</f>
        <v>0</v>
      </c>
      <c r="RH51" s="20" t="n">
        <f aca="false">IF(AND(HU51=1,BV51=1),(JV51+JZ51)/F51,0)</f>
        <v>0</v>
      </c>
      <c r="RI51" s="20" t="n">
        <f aca="false">IF(B51=0,JV51+JZ51,0)</f>
        <v>0</v>
      </c>
      <c r="RJ51" s="20" t="n">
        <f aca="false">IF(B51=0,IF(HU51=1,JX51,JY51),0)</f>
        <v>0</v>
      </c>
      <c r="RK51" s="20" t="n">
        <f aca="false">IF(CF51=1,IF(HU51=1,KE51+KH51,CG51-PQ51)*(1+Slot7_Rate),0)</f>
        <v>0</v>
      </c>
      <c r="RL51" s="20" t="n">
        <f aca="false">IF(AND(HU51=1,CF51=1),(KD51+KH51)/F51,0)</f>
        <v>0</v>
      </c>
      <c r="RM51" s="20" t="n">
        <f aca="false">IF(B51=0,KD51+KH51,0)</f>
        <v>0</v>
      </c>
      <c r="RN51" s="20" t="n">
        <f aca="false">IF(B51=0,IF(HU51=1,KF51,KG51),0)</f>
        <v>0</v>
      </c>
      <c r="RO51" s="20" t="n">
        <f aca="false">IF(CP51=1,IF(HU51=1,KM51+KP51,CQ51-PO51)*(1+Slot8_Rate),0)</f>
        <v>0</v>
      </c>
      <c r="RP51" s="20" t="n">
        <f aca="false">IF(AND(HU51=1,CP51=1),(KL51+KP51)/F51,0)</f>
        <v>0</v>
      </c>
      <c r="RQ51" s="20" t="n">
        <f aca="false">IF(B51=0,KL51+KP51,0)</f>
        <v>0</v>
      </c>
      <c r="RR51" s="20" t="n">
        <f aca="false">IF(B51=0,IF(HU51=1,KN51,KO51),0)</f>
        <v>0</v>
      </c>
      <c r="RS51" s="20" t="n">
        <f aca="false">IF(CZ51=1,IF(HU51=1,KU51+KX51,DA51-PM51)*(1+Slot9_Rate),0)</f>
        <v>0</v>
      </c>
      <c r="RT51" s="20" t="n">
        <f aca="false">IF(AND(HU51=1,CZ51=1),(KT51+KX51)/F51,0)</f>
        <v>0</v>
      </c>
      <c r="RU51" s="20" t="n">
        <f aca="false">IF(B51=0,KT51+KX51,0)</f>
        <v>0</v>
      </c>
      <c r="RV51" s="20" t="n">
        <f aca="false">IF(B51=0,IF(HU51=1,KV51,KW51),0)</f>
        <v>0</v>
      </c>
      <c r="RW51" s="20" t="n">
        <f aca="false">IF(DJ51=1,IF(HU51=1,LC51+LF51,DK51-PK51)*(1+Slot10_Rate),0)</f>
        <v>0</v>
      </c>
      <c r="RX51" s="20" t="n">
        <f aca="false">IF(AND(HU51=1,DJ51=1),(LB51+LF51)/F51,0)</f>
        <v>0</v>
      </c>
      <c r="RY51" s="20" t="n">
        <f aca="false">IF(B51=0,LB51+LF51,0)</f>
        <v>0</v>
      </c>
      <c r="RZ51" s="20" t="n">
        <f aca="false">IF(B51=0,IF(HU51=1,LD51,LE51),0)</f>
        <v>0</v>
      </c>
      <c r="SA51" s="20" t="n">
        <f aca="false">IF(DT51=1,IF(HU51=1,LK51+LN51,DU51-PI51)*(1+Slot11_Rate),0)</f>
        <v>0</v>
      </c>
      <c r="SB51" s="20" t="n">
        <f aca="false">IF(AND(HU51=1,DT51=1),(LJ51+LN51)/F51,0)</f>
        <v>0</v>
      </c>
      <c r="SC51" s="20" t="n">
        <f aca="false">IF(B51=0,LJ51+LN51,0)</f>
        <v>0</v>
      </c>
      <c r="SD51" s="20" t="n">
        <f aca="false">IF(B51=0,IF(HU51=1,LL51,LM51),0)</f>
        <v>0</v>
      </c>
      <c r="SE51" s="20" t="n">
        <f aca="false">IF(ED51=1,IF(HU51=1,LS51+LV51,EE51-PG51)*(1+Slot12_Rate),0)</f>
        <v>0</v>
      </c>
      <c r="SF51" s="20" t="n">
        <f aca="false">IF(AND(HU51=1,ED51=1),(LR51+LV51)/F51,0)</f>
        <v>0</v>
      </c>
      <c r="SG51" s="20" t="n">
        <f aca="false">IF(B51=0,LR51+LV51,0)</f>
        <v>0</v>
      </c>
      <c r="SH51" s="20" t="n">
        <f aca="false">IF(B51=0,IF(HU51=1,LT51,LU51),0)</f>
        <v>0</v>
      </c>
      <c r="SI51" s="20" t="n">
        <f aca="false">IF(EN51=1,IF(HU51=1,MA51+MD51,EO51-PE51)*(1+Slot13_Rate),0)</f>
        <v>0</v>
      </c>
      <c r="SJ51" s="20" t="n">
        <f aca="false">IF(AND(HU51=1,EN51=1),(LZ51+MD51)/F51,0)</f>
        <v>0</v>
      </c>
      <c r="SK51" s="20" t="n">
        <f aca="false">IF(B51=0,LZ51+MD51,0)</f>
        <v>0</v>
      </c>
      <c r="SL51" s="20" t="n">
        <f aca="false">IF(B51=0,IF(HU51=1,MB51,MC51),0)</f>
        <v>0</v>
      </c>
      <c r="SM51" s="20" t="n">
        <f aca="false">IF(EX51=1,IF(HU51=1,MI51+ML51,EY51-PC51)*(1+Slot14_Rate),0)</f>
        <v>0</v>
      </c>
      <c r="SN51" s="20" t="n">
        <f aca="false">IF(AND(HU51=1,EX51=1),(MH51+ML51)/F51,0)</f>
        <v>0</v>
      </c>
      <c r="SO51" s="20" t="n">
        <f aca="false">IF(B51=0,MH51+ML51,0)</f>
        <v>0</v>
      </c>
      <c r="SP51" s="20" t="n">
        <f aca="false">IF(B51=0,IF(HU51=1,MJ51,MK51),0)</f>
        <v>0</v>
      </c>
      <c r="SQ51" s="20" t="n">
        <f aca="false">IF(FH51=1,IF(HU51=1,MQ51+MT51,FI51-PA51)*(1+Slot15_Rate),0)</f>
        <v>0</v>
      </c>
      <c r="SR51" s="20" t="n">
        <f aca="false">IF(AND(HU51=1,FH51=1),(MP51+MT51)/F51,0)</f>
        <v>0</v>
      </c>
      <c r="SS51" s="20" t="n">
        <f aca="false">IF(B51=0,MP51+MT51,0)</f>
        <v>0</v>
      </c>
      <c r="ST51" s="20" t="n">
        <f aca="false">IF(B51=0,IF(HU51=1,MR51,MS51),0)</f>
        <v>0</v>
      </c>
      <c r="SU51" s="20" t="n">
        <f aca="false">IF(FR51=1,IF(HU51=1,MY51+NB51,FS51-OY51)*(1+Slot16_Rate),0)</f>
        <v>0</v>
      </c>
      <c r="SV51" s="20" t="n">
        <f aca="false">IF(AND(HU51=1,FR51=1),(MX51+NB51)/F51,0)</f>
        <v>0</v>
      </c>
      <c r="SW51" s="20" t="n">
        <f aca="false">IF(B51=0,MX51+NB51,0)</f>
        <v>0</v>
      </c>
      <c r="SX51" s="20" t="n">
        <f aca="false">IF(B51=0,IF(HU51=1,MZ51,NA51),0)</f>
        <v>0</v>
      </c>
      <c r="SY51" s="20" t="n">
        <f aca="false">IF(GB51=1,IF(HU51=1,NG51+NJ51,GC51-OW51)*(1+Slot17_Rate),0)</f>
        <v>0</v>
      </c>
      <c r="SZ51" s="20" t="n">
        <f aca="false">IF(AND(HU51=1,GB51=1),(NF51+NJ51)/F51,0)</f>
        <v>0</v>
      </c>
      <c r="TA51" s="20" t="n">
        <f aca="false">IF(B51=0,NF51+NJ51,0)</f>
        <v>0</v>
      </c>
      <c r="TB51" s="20" t="n">
        <f aca="false">IF(B51=0,IF(HU51=1,NH51,NI51),0)</f>
        <v>0</v>
      </c>
      <c r="TC51" s="20" t="n">
        <f aca="false">IF(GL51=1,IF(HU51=1,NO51+NR51,GM51-OU51)*(1+Slot18_Rate),0)</f>
        <v>0</v>
      </c>
      <c r="TD51" s="20" t="n">
        <f aca="false">IF(AND(HU51=1,GL51=1),(NN51+NR51)/F51,0)</f>
        <v>0</v>
      </c>
      <c r="TE51" s="20" t="n">
        <f aca="false">IF(B51=0,NN51+NR51,0)</f>
        <v>0</v>
      </c>
      <c r="TF51" s="20" t="n">
        <f aca="false">IF(B51=0,IF(HU51=1,NP51,NQ51),0)</f>
        <v>0</v>
      </c>
      <c r="TG51" s="20" t="n">
        <f aca="false">IF(GV51=1,IF(HU51=1,NW51+NZ51,GW51-OS51)*(1+Slot19_Rate),0)</f>
        <v>0</v>
      </c>
      <c r="TH51" s="20" t="n">
        <f aca="false">IF(AND(HU51=1,GV51=1),(NV51+NZ51)/F51,0)</f>
        <v>0</v>
      </c>
      <c r="TI51" s="20" t="n">
        <f aca="false">IF(B51=0,NV51+NZ51,0)</f>
        <v>0</v>
      </c>
      <c r="TJ51" s="20" t="n">
        <f aca="false">IF(B51=0,IF(HU51=1,NX51,NY51),0)</f>
        <v>0</v>
      </c>
      <c r="TK51" s="20" t="n">
        <f aca="false">IF(HF51=1,IF(HU51=1,OE51+OH51,HG51-OQ51)*(1+Slot20_Rate),0)</f>
        <v>0</v>
      </c>
      <c r="TL51" s="20" t="n">
        <f aca="false">IF(AND(HU51=1,HF51=1),(OD51+OH51)/F51,0)</f>
        <v>0</v>
      </c>
      <c r="TM51" s="20" t="n">
        <f aca="false">IF(B51=0,OD51+OH51,0)</f>
        <v>0</v>
      </c>
      <c r="TN51" s="20" t="n">
        <f aca="false">IF(B51=0,IF(HU51=1,OF51,OG51),0)</f>
        <v>0</v>
      </c>
      <c r="TO51" s="20" t="n">
        <f aca="false">QK51+QL51+QM51+QQ51+QU51+QY51+RC51+RG51+RK51+RO51+RS51+RW51+SA51+SE51+SI51+SM51+SQ51+SU51+SY51+TC51+TG51+TK51</f>
        <v>0</v>
      </c>
      <c r="TP51" s="20" t="n">
        <f aca="false">QE51+HP51</f>
        <v>25301.617568835</v>
      </c>
      <c r="TQ51" s="20" t="n">
        <f aca="false">I51+S51</f>
        <v>112004.45118551</v>
      </c>
      <c r="TR51" s="20" t="n">
        <f aca="false">1-G51</f>
        <v>1</v>
      </c>
      <c r="TS51" s="20" t="n">
        <f aca="false">IF(AND(RG_Exists=1,G51=0,C51=1),I51,0)</f>
        <v>112004.45118551</v>
      </c>
      <c r="TT51" s="20" t="n">
        <f aca="false">IF(AND(RG_Exists=1,G51=0,C51=1),I51-MIN(QE51,I51),0)</f>
        <v>86702.8336166747</v>
      </c>
      <c r="TU51" s="20" t="n">
        <f aca="false">'Plan pay &amp; tax'!AD277</f>
        <v>314663.777325635</v>
      </c>
      <c r="TV51" s="20" t="n">
        <f aca="false">IF(AND(C51=1,QE51&gt;MAX(PR_Short1,TQ51*PR_Short2)),1,0)</f>
        <v>1</v>
      </c>
      <c r="TW51" s="20" t="n">
        <f aca="false">MIN(H51,I51+S51)</f>
        <v>86702.8336166747</v>
      </c>
      <c r="TX51" s="20" t="n">
        <f aca="false">QF51+MAX(0,HQ51-HP51)</f>
        <v>0</v>
      </c>
      <c r="TY51" s="20" t="n">
        <f aca="false">QE51+HP51</f>
        <v>25301.617568835</v>
      </c>
      <c r="TZ51" s="20" t="n">
        <f aca="false">IF(AND(C51=1,TY51&gt;PR_MinShort),1,0)</f>
        <v>1</v>
      </c>
      <c r="UA51" s="20" t="n">
        <f aca="false">IF(AND(C51=1,TZ51=0,TX51&gt;PR_MinShort),1,0)</f>
        <v>0</v>
      </c>
      <c r="UB51" s="20" t="n">
        <f aca="false">IF(AND(C51=1,QE51&gt;PR_MinShort),1,0)</f>
        <v>1</v>
      </c>
      <c r="UC51" s="20" t="n">
        <f aca="false">IF(AND(C51=1,QF51&gt;1,UJ51=0),1,0)</f>
        <v>0</v>
      </c>
      <c r="UD51" s="20" t="str">
        <f aca="false">IF(C51=0,"",IF(UJ51=1,"Gap to plan for: short "&amp;"€"&amp;TEXT(ROUND(TP51,0),"#,##0"),IF(QF51&gt;1,"Using savings","Comfortable")))</f>
        <v>Gap to plan for: short €25,302</v>
      </c>
      <c r="UE51" s="20" t="n">
        <f aca="false">IF(AND(INT(D51/10)*10=90,B51&gt;0),80,INT(D51/10)*10)</f>
        <v>80</v>
      </c>
      <c r="UF51" s="20" t="n">
        <f aca="false">IF(B51=0,1,IF(UE51&lt;&gt;UE50,UF50+1,UF50))</f>
        <v>6</v>
      </c>
      <c r="UG51" s="20" t="n">
        <f aca="false">IF(AND(C51=1,G51=1,QE51&gt;MAX(PR_Short1,TQ51*PR_Short2)),1,0)</f>
        <v>0</v>
      </c>
      <c r="UH51" s="20" t="n">
        <f aca="false">TR51*TV51</f>
        <v>1</v>
      </c>
      <c r="UI51" s="20" t="n">
        <f aca="false">IF(AND(V51=1,Slot1_PctLow=1),1,0)+IF(AND(AG51=1,Slot2_PctLow=1),1,0)+IF(AND(AQ51=1,Slot3_PctLow=1),1,0)+IF(AND(BA51=1,Slot4_PctLow=1),1,0)+IF(AND(BK51=1,Slot5_PctLow=1),1,0)+IF(AND(BU51=1,Slot6_PctLow=1),1,0)+IF(AND(CE51=1,Slot7_PctLow=1),1,0)+IF(AND(CO51=1,Slot8_PctLow=1),1,0)+IF(AND(CY51=1,Slot9_PctLow=1),1,0)+IF(AND(DI51=1,Slot10_PctLow=1),1,0)+IF(AND(DS51=1,Slot11_PctLow=1),1,0)+IF(AND(EC51=1,Slot12_PctLow=1),1,0)+IF(AND(EM51=1,Slot13_PctLow=1),1,0)+IF(AND(EW51=1,Slot14_PctLow=1),1,0)+IF(AND(FG51=1,Slot15_PctLow=1),1,0)+IF(AND(FQ51=1,Slot16_PctLow=1),1,0)+IF(AND(GA51=1,Slot17_PctLow=1),1,0)+IF(AND(GK51=1,Slot18_PctLow=1),1,0)+IF(AND(GU51=1,Slot19_PctLow=1),1,0)+IF(AND(HE51=1,Slot20_PctLow=1),1,0)</f>
        <v>0</v>
      </c>
      <c r="UJ51" s="20" t="n">
        <f aca="false">IF(C51=1,IF(OR(TV51=1,UI51&gt;0),1,0),0)</f>
        <v>1</v>
      </c>
      <c r="UK51" s="20" t="n">
        <f aca="false">Z51+AK51+AU51+BE51+BO51+BY51+CI51+CS51+DC51+DM51+DW51+EG51+EQ51+FA51+FK51+FU51+GE51+GO51+GY51+HI51+OM51</f>
        <v>0</v>
      </c>
      <c r="UL51" s="20" t="n">
        <f aca="false">V51*IF(Slot1_SpendLike=1,X51-Y51,IF(Slot1_PotFree=1,X51,0))+AG51*IF(Slot2_SpendLike=1,AI51-AJ51,IF(Slot2_PotFree=1,AI51,0))+AQ51*IF(Slot3_SpendLike=1,AS51-AT51,IF(Slot3_PotFree=1,AS51,0))+BA51*IF(Slot4_SpendLike=1,BC51-BD51,IF(Slot4_PotFree=1,BC51,0))+BK51*IF(Slot5_SpendLike=1,BM51-BN51,IF(Slot5_PotFree=1,BM51,0))+BU51*IF(Slot6_SpendLike=1,BW51-BX51,IF(Slot6_PotFree=1,BW51,0))+CE51*IF(Slot7_SpendLike=1,CG51-CH51,IF(Slot7_PotFree=1,CG51,0))+CO51*IF(Slot8_SpendLike=1,CQ51-CR51,IF(Slot8_PotFree=1,CQ51,0))+CY51*IF(Slot9_SpendLike=1,DA51-DB51,IF(Slot9_PotFree=1,DA51,0))+DI51*IF(Slot10_SpendLike=1,DK51-DL51,IF(Slot10_PotFree=1,DK51,0))+DS51*IF(Slot11_SpendLike=1,DU51-DV51,IF(Slot11_PotFree=1,DU51,0))+EC51*IF(Slot12_SpendLike=1,EE51-EF51,IF(Slot12_PotFree=1,EE51,0))+EM51*IF(Slot13_SpendLike=1,EO51-EP51,IF(Slot13_PotFree=1,EO51,0))+EW51*IF(Slot14_SpendLike=1,EY51-EZ51,IF(Slot14_PotFree=1,EY51,0))+FG51*IF(Slot15_SpendLike=1,FI51-FJ51,IF(Slot15_PotFree=1,FI51,0))+FQ51*IF(Slot16_SpendLike=1,FS51-FT51,IF(Slot16_PotFree=1,FS51,0))+GA51*IF(Slot17_SpendLike=1,GC51-GD51,IF(Slot17_PotFree=1,GC51,0))+GK51*IF(Slot18_SpendLike=1,GM51-GN51,IF(Slot18_PotFree=1,GM51,0))+GU51*IF(Slot19_SpendLike=1,GW51-GX51,IF(Slot19_PotFree=1,GW51,0))+HE51*IF(Slot20_SpendLike=1,HG51-HH51,IF(Slot20_PotFree=1,HG51,0))</f>
        <v>0</v>
      </c>
      <c r="UM51" s="20" t="n">
        <f aca="false">QG51-T51+UK51-UL51</f>
        <v>0</v>
      </c>
      <c r="UN51" s="20" t="n">
        <f aca="false">IF(OR(UN50=1,AND(In_homeUse="Yes, I'd downsize",In_downAge&gt;0,D51=In_downAge,OR(In_home="Own outright",In_home="Own with mortgage"),In_homeValue&gt;0)),1,0)</f>
        <v>0</v>
      </c>
    </row>
    <row r="52" customFormat="false" ht="15" hidden="false" customHeight="true" outlineLevel="0" collapsed="false">
      <c r="B52" s="20" t="n">
        <v>44</v>
      </c>
      <c r="C52" s="20" t="n">
        <f aca="false">IF(B52&lt;=F_N,1,0)</f>
        <v>1</v>
      </c>
      <c r="D52" s="20" t="n">
        <f aca="false">'Plan pay &amp; tax'!C278</f>
        <v>82</v>
      </c>
      <c r="E52" s="20" t="str">
        <f aca="false">IF($C52=1,"Income tax "&amp;TEXT(N('Plan pay &amp; tax'!BK278),"#,##0")&amp;"; USC "&amp;TEXT(N('Plan pay &amp; tax'!BM278)+N('Plan pay &amp; tax'!BO278),"#,##0")&amp;"; PRSI "&amp;TEXT(N('Plan pay &amp; tax'!BP278)+N('Plan pay &amp; tax'!BQ278),"#,##0")&amp;IF(N('Plan holdings'!BO52)&gt;=0.5,"; DIRT "&amp;TEXT(('Plan holdings'!BO52)/$F52,"#,##0")&amp;" (already taken from the interest earned)","")&amp;IF(N('Plan holdings'!BP52)&gt;=0.5,"; exit tax at an 8-year anniversary "&amp;TEXT(('Plan holdings'!BP52)/$F52,"#,##0"),"")&amp;IF(N('Plan holdings'!BN52)&gt;=0.5,"; tax on assets sold (exit tax or capital gains tax) "&amp;TEXT(('Plan holdings'!BN52)/$F52,"#,##0"),"")&amp;IF(N('Plan pay &amp; tax'!X278)-N('Plan pay &amp; tax'!Y278)&gt;=0.5,"; tax on the pension lump sum "&amp;TEXT(('Plan pay &amp; tax'!X278-'Plan pay &amp; tax'!Y278)/$F52,"#,##0"),"")&amp;IF(N('Plan pay &amp; tax'!V278)&gt;=0.5,"; chargeable excess tax on the pension "&amp;TEXT(('Plan pay &amp; tax'!V278)/$F52,"#,##0"),"")&amp;".","")</f>
        <v>Income tax 853; USC 0; PRSI 0.</v>
      </c>
      <c r="F52" s="50" t="n">
        <f aca="false">'Plan pay &amp; tax'!E278</f>
        <v>2.3900531424523</v>
      </c>
      <c r="G52" s="20" t="n">
        <f aca="false">'Plan pay &amp; tax'!G278</f>
        <v>0</v>
      </c>
      <c r="H52" s="20" t="n">
        <f aca="false">'Plan pay &amp; tax'!BT278-'Plan pay &amp; tax'!BS278-'Plan pay &amp; tax'!R278</f>
        <v>88637.3547133137</v>
      </c>
      <c r="I52" s="20" t="n">
        <f aca="false">IF(G52=1,F_CostsM*12,IF(RG_Exists=1,RG_Amount,F_CostsM*12*AS_RetireSpend))*F52+F_OneOffY*F52</f>
        <v>114244.54020922</v>
      </c>
      <c r="J52" s="20" t="n">
        <f aca="false">IF(UN52=1,0,HR51)</f>
        <v>0</v>
      </c>
      <c r="K52" s="20" t="n">
        <f aca="false">IF(J52&gt;1,'Plan debt months'!AC52,0)</f>
        <v>0</v>
      </c>
      <c r="L52" s="20" t="n">
        <f aca="false">IF(J52&gt;1,'Plan debt months'!AB52,J52)</f>
        <v>0</v>
      </c>
      <c r="M52" s="20" t="n">
        <f aca="false">O51</f>
        <v>0</v>
      </c>
      <c r="N52" s="20" t="n">
        <f aca="false">IF(M52&gt;1,'Plan debt months'!BD52,0)</f>
        <v>0</v>
      </c>
      <c r="O52" s="20" t="n">
        <f aca="false">IF(M52&gt;1,'Plan debt months'!BC52,M52)</f>
        <v>0</v>
      </c>
      <c r="P52" s="20" t="n">
        <f aca="false">R51</f>
        <v>0</v>
      </c>
      <c r="Q52" s="20" t="n">
        <f aca="false">IF(P52&gt;1,'Plan debt months'!CE52,0)</f>
        <v>0</v>
      </c>
      <c r="R52" s="20" t="n">
        <f aca="false">IF(P52&gt;1,'Plan debt months'!CD52,P52)</f>
        <v>0</v>
      </c>
      <c r="S52" s="20" t="n">
        <f aca="false">K52+N52+Q52</f>
        <v>0</v>
      </c>
      <c r="T52" s="57" t="n">
        <f aca="false">'Plan holdings'!Y52</f>
        <v>0</v>
      </c>
      <c r="U52" s="57" t="n">
        <f aca="false">'Plan holdings'!BM51</f>
        <v>0</v>
      </c>
      <c r="V52" s="20" t="n">
        <f aca="false">IF(AND(Slot1_On=1,D52=Slot1_Age),1,0)</f>
        <v>0</v>
      </c>
      <c r="W52" s="20" t="n">
        <f aca="false">IF(AND(Slot1_On=1,Slot1_Age&gt;D52),1,0)</f>
        <v>0</v>
      </c>
      <c r="X52" s="20" t="n">
        <f aca="false">QM51</f>
        <v>0</v>
      </c>
      <c r="Y52" s="20" t="n">
        <f aca="false">V52*MIN(Slot1_Cost,X52)</f>
        <v>0</v>
      </c>
      <c r="Z52" s="20" t="n">
        <f aca="false">V52*Slot1_SpendLike*MIN(Slot1_Cost-Y52,T52)</f>
        <v>0</v>
      </c>
      <c r="AA52" s="20" t="n">
        <f aca="false">Y52+Z52</f>
        <v>0</v>
      </c>
      <c r="AB52" s="20" t="n">
        <f aca="false">T52-Z52+V52*IF(Slot1_SpendLike=1,X52-Y52,IF(Slot1_PotFree=1,X52,0))</f>
        <v>0</v>
      </c>
      <c r="AC52" s="20" t="n">
        <f aca="false">AF52+V52*Slot1_BufPot*X52</f>
        <v>0</v>
      </c>
      <c r="AD52" s="20" t="n">
        <f aca="false">IF(AND(V52=1,Slot1_IsMfree=1),IF(AA52&gt;=Slot1_Cost-1,0,MAX(0,L52-AA52)),L52)</f>
        <v>0</v>
      </c>
      <c r="AE52" s="20" t="n">
        <f aca="false">V52*(Slot1_Cost-AA52)</f>
        <v>0</v>
      </c>
      <c r="AF52" s="20" t="n">
        <f aca="false">QL51</f>
        <v>0</v>
      </c>
      <c r="AG52" s="20" t="n">
        <f aca="false">IF(AND(Slot2_On=1,D52=Slot2_Age),1,0)</f>
        <v>0</v>
      </c>
      <c r="AH52" s="20" t="n">
        <f aca="false">IF(AND(Slot2_On=1,Slot2_Age&gt;D52),1,0)</f>
        <v>0</v>
      </c>
      <c r="AI52" s="20" t="n">
        <f aca="false">QQ51</f>
        <v>0</v>
      </c>
      <c r="AJ52" s="20" t="n">
        <f aca="false">AG52*MIN(Slot2_Cost,AI52)</f>
        <v>0</v>
      </c>
      <c r="AK52" s="20" t="n">
        <f aca="false">AG52*Slot2_SpendLike*MIN(Slot2_Cost-AJ52,AB52)</f>
        <v>0</v>
      </c>
      <c r="AL52" s="20" t="n">
        <f aca="false">AJ52+AK52</f>
        <v>0</v>
      </c>
      <c r="AM52" s="20" t="n">
        <f aca="false">AB52-AK52+AG52*IF(Slot2_SpendLike=1,AI52-AJ52,IF(Slot2_PotFree=1,AI52,0))</f>
        <v>0</v>
      </c>
      <c r="AN52" s="20" t="n">
        <f aca="false">AC52+AG52*Slot2_BufPot*AI52</f>
        <v>0</v>
      </c>
      <c r="AO52" s="20" t="n">
        <f aca="false">IF(AND(AG52=1,Slot2_IsMfree=1),IF(AL52&gt;=Slot2_Cost-1,0,MAX(0,AD52-AL52)),AD52)</f>
        <v>0</v>
      </c>
      <c r="AP52" s="20" t="n">
        <f aca="false">AG52*(Slot2_Cost-AL52)</f>
        <v>0</v>
      </c>
      <c r="AQ52" s="20" t="n">
        <f aca="false">IF(AND(Slot3_On=1,D52=Slot3_Age),1,0)</f>
        <v>0</v>
      </c>
      <c r="AR52" s="20" t="n">
        <f aca="false">IF(AND(Slot3_On=1,Slot3_Age&gt;D52),1,0)</f>
        <v>0</v>
      </c>
      <c r="AS52" s="20" t="n">
        <f aca="false">QU51</f>
        <v>0</v>
      </c>
      <c r="AT52" s="20" t="n">
        <f aca="false">AQ52*MIN(Slot3_Cost,AS52)</f>
        <v>0</v>
      </c>
      <c r="AU52" s="20" t="n">
        <f aca="false">AQ52*Slot3_SpendLike*MIN(Slot3_Cost-AT52,AM52)</f>
        <v>0</v>
      </c>
      <c r="AV52" s="20" t="n">
        <f aca="false">AT52+AU52</f>
        <v>0</v>
      </c>
      <c r="AW52" s="20" t="n">
        <f aca="false">AM52-AU52+AQ52*IF(Slot3_SpendLike=1,AS52-AT52,IF(Slot3_PotFree=1,AS52,0))</f>
        <v>0</v>
      </c>
      <c r="AX52" s="20" t="n">
        <f aca="false">AN52+AQ52*Slot3_BufPot*AS52</f>
        <v>0</v>
      </c>
      <c r="AY52" s="20" t="n">
        <f aca="false">IF(AND(AQ52=1,Slot3_IsMfree=1),IF(AV52&gt;=Slot3_Cost-1,0,MAX(0,AO52-AV52)),AO52)</f>
        <v>0</v>
      </c>
      <c r="AZ52" s="20" t="n">
        <f aca="false">AQ52*(Slot3_Cost-AV52)</f>
        <v>0</v>
      </c>
      <c r="BA52" s="20" t="n">
        <f aca="false">IF(AND(Slot4_On=1,D52=Slot4_Age),1,0)</f>
        <v>0</v>
      </c>
      <c r="BB52" s="20" t="n">
        <f aca="false">IF(AND(Slot4_On=1,Slot4_Age&gt;D52),1,0)</f>
        <v>0</v>
      </c>
      <c r="BC52" s="20" t="n">
        <f aca="false">QY51</f>
        <v>0</v>
      </c>
      <c r="BD52" s="20" t="n">
        <f aca="false">BA52*MIN(Slot4_Cost,BC52)</f>
        <v>0</v>
      </c>
      <c r="BE52" s="20" t="n">
        <f aca="false">BA52*Slot4_SpendLike*MIN(Slot4_Cost-BD52,AW52)</f>
        <v>0</v>
      </c>
      <c r="BF52" s="20" t="n">
        <f aca="false">BD52+BE52</f>
        <v>0</v>
      </c>
      <c r="BG52" s="20" t="n">
        <f aca="false">AW52-BE52+BA52*IF(Slot4_SpendLike=1,BC52-BD52,IF(Slot4_PotFree=1,BC52,0))</f>
        <v>0</v>
      </c>
      <c r="BH52" s="20" t="n">
        <f aca="false">AX52+BA52*Slot4_BufPot*BC52</f>
        <v>0</v>
      </c>
      <c r="BI52" s="20" t="n">
        <f aca="false">IF(AND(BA52=1,Slot4_IsMfree=1),IF(BF52&gt;=Slot4_Cost-1,0,MAX(0,AY52-BF52)),AY52)</f>
        <v>0</v>
      </c>
      <c r="BJ52" s="20" t="n">
        <f aca="false">BA52*(Slot4_Cost-BF52)</f>
        <v>0</v>
      </c>
      <c r="BK52" s="20" t="n">
        <f aca="false">IF(AND(Slot5_On=1,D52=Slot5_Age),1,0)</f>
        <v>0</v>
      </c>
      <c r="BL52" s="20" t="n">
        <f aca="false">IF(AND(Slot5_On=1,Slot5_Age&gt;D52),1,0)</f>
        <v>0</v>
      </c>
      <c r="BM52" s="20" t="n">
        <f aca="false">RC51</f>
        <v>0</v>
      </c>
      <c r="BN52" s="20" t="n">
        <f aca="false">BK52*MIN(Slot5_Cost,BM52)</f>
        <v>0</v>
      </c>
      <c r="BO52" s="20" t="n">
        <f aca="false">BK52*Slot5_SpendLike*MIN(Slot5_Cost-BN52,BG52)</f>
        <v>0</v>
      </c>
      <c r="BP52" s="20" t="n">
        <f aca="false">BN52+BO52</f>
        <v>0</v>
      </c>
      <c r="BQ52" s="20" t="n">
        <f aca="false">BG52-BO52+BK52*IF(Slot5_SpendLike=1,BM52-BN52,IF(Slot5_PotFree=1,BM52,0))</f>
        <v>0</v>
      </c>
      <c r="BR52" s="20" t="n">
        <f aca="false">BH52+BK52*Slot5_BufPot*BM52</f>
        <v>0</v>
      </c>
      <c r="BS52" s="20" t="n">
        <f aca="false">IF(AND(BK52=1,Slot5_IsMfree=1),IF(BP52&gt;=Slot5_Cost-1,0,MAX(0,BI52-BP52)),BI52)</f>
        <v>0</v>
      </c>
      <c r="BT52" s="20" t="n">
        <f aca="false">BK52*(Slot5_Cost-BP52)</f>
        <v>0</v>
      </c>
      <c r="BU52" s="20" t="n">
        <f aca="false">IF(AND(Slot6_On=1,D52=Slot6_Age),1,0)</f>
        <v>0</v>
      </c>
      <c r="BV52" s="20" t="n">
        <f aca="false">IF(AND(Slot6_On=1,Slot6_Age&gt;D52),1,0)</f>
        <v>0</v>
      </c>
      <c r="BW52" s="20" t="n">
        <f aca="false">RG51</f>
        <v>0</v>
      </c>
      <c r="BX52" s="20" t="n">
        <f aca="false">BU52*MIN(Slot6_Cost,BW52)</f>
        <v>0</v>
      </c>
      <c r="BY52" s="20" t="n">
        <f aca="false">BU52*Slot6_SpendLike*MIN(Slot6_Cost-BX52,BQ52)</f>
        <v>0</v>
      </c>
      <c r="BZ52" s="20" t="n">
        <f aca="false">BX52+BY52</f>
        <v>0</v>
      </c>
      <c r="CA52" s="20" t="n">
        <f aca="false">BQ52-BY52+BU52*IF(Slot6_SpendLike=1,BW52-BX52,IF(Slot6_PotFree=1,BW52,0))</f>
        <v>0</v>
      </c>
      <c r="CB52" s="20" t="n">
        <f aca="false">BR52+BU52*Slot6_BufPot*BW52</f>
        <v>0</v>
      </c>
      <c r="CC52" s="20" t="n">
        <f aca="false">IF(AND(BU52=1,Slot6_IsMfree=1),IF(BZ52&gt;=Slot6_Cost-1,0,MAX(0,BS52-BZ52)),BS52)</f>
        <v>0</v>
      </c>
      <c r="CD52" s="20" t="n">
        <f aca="false">BU52*(Slot6_Cost-BZ52)</f>
        <v>0</v>
      </c>
      <c r="CE52" s="20" t="n">
        <f aca="false">IF(AND(Slot7_On=1,D52=Slot7_Age),1,0)</f>
        <v>0</v>
      </c>
      <c r="CF52" s="20" t="n">
        <f aca="false">IF(AND(Slot7_On=1,Slot7_Age&gt;D52),1,0)</f>
        <v>0</v>
      </c>
      <c r="CG52" s="20" t="n">
        <f aca="false">RK51</f>
        <v>0</v>
      </c>
      <c r="CH52" s="20" t="n">
        <f aca="false">CE52*MIN(Slot7_Cost,CG52)</f>
        <v>0</v>
      </c>
      <c r="CI52" s="20" t="n">
        <f aca="false">CE52*Slot7_SpendLike*MIN(Slot7_Cost-CH52,CA52)</f>
        <v>0</v>
      </c>
      <c r="CJ52" s="20" t="n">
        <f aca="false">CH52+CI52</f>
        <v>0</v>
      </c>
      <c r="CK52" s="20" t="n">
        <f aca="false">CA52-CI52+CE52*IF(Slot7_SpendLike=1,CG52-CH52,IF(Slot7_PotFree=1,CG52,0))</f>
        <v>0</v>
      </c>
      <c r="CL52" s="20" t="n">
        <f aca="false">CB52+CE52*Slot7_BufPot*CG52</f>
        <v>0</v>
      </c>
      <c r="CM52" s="20" t="n">
        <f aca="false">IF(AND(CE52=1,Slot7_IsMfree=1),IF(CJ52&gt;=Slot7_Cost-1,0,MAX(0,CC52-CJ52)),CC52)</f>
        <v>0</v>
      </c>
      <c r="CN52" s="20" t="n">
        <f aca="false">CE52*(Slot7_Cost-CJ52)</f>
        <v>0</v>
      </c>
      <c r="CO52" s="20" t="n">
        <f aca="false">IF(AND(Slot8_On=1,D52=Slot8_Age),1,0)</f>
        <v>0</v>
      </c>
      <c r="CP52" s="20" t="n">
        <f aca="false">IF(AND(Slot8_On=1,Slot8_Age&gt;D52),1,0)</f>
        <v>0</v>
      </c>
      <c r="CQ52" s="20" t="n">
        <f aca="false">RO51</f>
        <v>0</v>
      </c>
      <c r="CR52" s="20" t="n">
        <f aca="false">CO52*MIN(Slot8_Cost,CQ52)</f>
        <v>0</v>
      </c>
      <c r="CS52" s="20" t="n">
        <f aca="false">CO52*Slot8_SpendLike*MIN(Slot8_Cost-CR52,CK52)</f>
        <v>0</v>
      </c>
      <c r="CT52" s="20" t="n">
        <f aca="false">CR52+CS52</f>
        <v>0</v>
      </c>
      <c r="CU52" s="20" t="n">
        <f aca="false">CK52-CS52+CO52*IF(Slot8_SpendLike=1,CQ52-CR52,IF(Slot8_PotFree=1,CQ52,0))</f>
        <v>0</v>
      </c>
      <c r="CV52" s="20" t="n">
        <f aca="false">CL52+CO52*Slot8_BufPot*CQ52</f>
        <v>0</v>
      </c>
      <c r="CW52" s="20" t="n">
        <f aca="false">IF(AND(CO52=1,Slot8_IsMfree=1),IF(CT52&gt;=Slot8_Cost-1,0,MAX(0,CM52-CT52)),CM52)</f>
        <v>0</v>
      </c>
      <c r="CX52" s="20" t="n">
        <f aca="false">CO52*(Slot8_Cost-CT52)</f>
        <v>0</v>
      </c>
      <c r="CY52" s="20" t="n">
        <f aca="false">IF(AND(Slot9_On=1,D52=Slot9_Age),1,0)</f>
        <v>0</v>
      </c>
      <c r="CZ52" s="20" t="n">
        <f aca="false">IF(AND(Slot9_On=1,Slot9_Age&gt;D52),1,0)</f>
        <v>0</v>
      </c>
      <c r="DA52" s="20" t="n">
        <f aca="false">RS51</f>
        <v>0</v>
      </c>
      <c r="DB52" s="20" t="n">
        <f aca="false">CY52*MIN(Slot9_Cost,DA52)</f>
        <v>0</v>
      </c>
      <c r="DC52" s="20" t="n">
        <f aca="false">CY52*Slot9_SpendLike*MIN(Slot9_Cost-DB52,CU52)</f>
        <v>0</v>
      </c>
      <c r="DD52" s="20" t="n">
        <f aca="false">DB52+DC52</f>
        <v>0</v>
      </c>
      <c r="DE52" s="20" t="n">
        <f aca="false">CU52-DC52+CY52*IF(Slot9_SpendLike=1,DA52-DB52,IF(Slot9_PotFree=1,DA52,0))</f>
        <v>0</v>
      </c>
      <c r="DF52" s="20" t="n">
        <f aca="false">CV52+CY52*Slot9_BufPot*DA52</f>
        <v>0</v>
      </c>
      <c r="DG52" s="20" t="n">
        <f aca="false">IF(AND(CY52=1,Slot9_IsMfree=1),IF(DD52&gt;=Slot9_Cost-1,0,MAX(0,CW52-DD52)),CW52)</f>
        <v>0</v>
      </c>
      <c r="DH52" s="20" t="n">
        <f aca="false">CY52*(Slot9_Cost-DD52)</f>
        <v>0</v>
      </c>
      <c r="DI52" s="20" t="n">
        <f aca="false">IF(AND(Slot10_On=1,D52=Slot10_Age),1,0)</f>
        <v>0</v>
      </c>
      <c r="DJ52" s="20" t="n">
        <f aca="false">IF(AND(Slot10_On=1,Slot10_Age&gt;D52),1,0)</f>
        <v>0</v>
      </c>
      <c r="DK52" s="20" t="n">
        <f aca="false">RW51</f>
        <v>0</v>
      </c>
      <c r="DL52" s="20" t="n">
        <f aca="false">DI52*MIN(Slot10_Cost,DK52)</f>
        <v>0</v>
      </c>
      <c r="DM52" s="20" t="n">
        <f aca="false">DI52*Slot10_SpendLike*MIN(Slot10_Cost-DL52,DE52)</f>
        <v>0</v>
      </c>
      <c r="DN52" s="20" t="n">
        <f aca="false">DL52+DM52</f>
        <v>0</v>
      </c>
      <c r="DO52" s="20" t="n">
        <f aca="false">DE52-DM52+DI52*IF(Slot10_SpendLike=1,DK52-DL52,IF(Slot10_PotFree=1,DK52,0))</f>
        <v>0</v>
      </c>
      <c r="DP52" s="20" t="n">
        <f aca="false">DF52+DI52*Slot10_BufPot*DK52</f>
        <v>0</v>
      </c>
      <c r="DQ52" s="20" t="n">
        <f aca="false">IF(AND(DI52=1,Slot10_IsMfree=1),IF(DN52&gt;=Slot10_Cost-1,0,MAX(0,DG52-DN52)),DG52)</f>
        <v>0</v>
      </c>
      <c r="DR52" s="20" t="n">
        <f aca="false">DI52*(Slot10_Cost-DN52)</f>
        <v>0</v>
      </c>
      <c r="DS52" s="20" t="n">
        <f aca="false">IF(AND(Slot11_On=1,D52=Slot11_Age),1,0)</f>
        <v>0</v>
      </c>
      <c r="DT52" s="20" t="n">
        <f aca="false">IF(AND(Slot11_On=1,Slot11_Age&gt;D52),1,0)</f>
        <v>0</v>
      </c>
      <c r="DU52" s="20" t="n">
        <f aca="false">SA51</f>
        <v>0</v>
      </c>
      <c r="DV52" s="20" t="n">
        <f aca="false">DS52*MIN(Slot11_Cost,DU52)</f>
        <v>0</v>
      </c>
      <c r="DW52" s="20" t="n">
        <f aca="false">DS52*Slot11_SpendLike*MIN(Slot11_Cost-DV52,DO52)</f>
        <v>0</v>
      </c>
      <c r="DX52" s="20" t="n">
        <f aca="false">DV52+DW52</f>
        <v>0</v>
      </c>
      <c r="DY52" s="20" t="n">
        <f aca="false">DO52-DW52+DS52*IF(Slot11_SpendLike=1,DU52-DV52,IF(Slot11_PotFree=1,DU52,0))</f>
        <v>0</v>
      </c>
      <c r="DZ52" s="20" t="n">
        <f aca="false">DP52+DS52*Slot11_BufPot*DU52</f>
        <v>0</v>
      </c>
      <c r="EA52" s="20" t="n">
        <f aca="false">IF(AND(DS52=1,Slot11_IsMfree=1),IF(DX52&gt;=Slot11_Cost-1,0,MAX(0,DQ52-DX52)),DQ52)</f>
        <v>0</v>
      </c>
      <c r="EB52" s="20" t="n">
        <f aca="false">DS52*(Slot11_Cost-DX52)</f>
        <v>0</v>
      </c>
      <c r="EC52" s="20" t="n">
        <f aca="false">IF(AND(Slot12_On=1,D52=Slot12_Age),1,0)</f>
        <v>0</v>
      </c>
      <c r="ED52" s="20" t="n">
        <f aca="false">IF(AND(Slot12_On=1,Slot12_Age&gt;D52),1,0)</f>
        <v>0</v>
      </c>
      <c r="EE52" s="20" t="n">
        <f aca="false">SE51</f>
        <v>0</v>
      </c>
      <c r="EF52" s="20" t="n">
        <f aca="false">EC52*MIN(Slot12_Cost,EE52)</f>
        <v>0</v>
      </c>
      <c r="EG52" s="20" t="n">
        <f aca="false">EC52*Slot12_SpendLike*MIN(Slot12_Cost-EF52,DY52)</f>
        <v>0</v>
      </c>
      <c r="EH52" s="20" t="n">
        <f aca="false">EF52+EG52</f>
        <v>0</v>
      </c>
      <c r="EI52" s="20" t="n">
        <f aca="false">DY52-EG52+EC52*IF(Slot12_SpendLike=1,EE52-EF52,IF(Slot12_PotFree=1,EE52,0))</f>
        <v>0</v>
      </c>
      <c r="EJ52" s="20" t="n">
        <f aca="false">DZ52+EC52*Slot12_BufPot*EE52</f>
        <v>0</v>
      </c>
      <c r="EK52" s="20" t="n">
        <f aca="false">IF(AND(EC52=1,Slot12_IsMfree=1),IF(EH52&gt;=Slot12_Cost-1,0,MAX(0,EA52-EH52)),EA52)</f>
        <v>0</v>
      </c>
      <c r="EL52" s="20" t="n">
        <f aca="false">EC52*(Slot12_Cost-EH52)</f>
        <v>0</v>
      </c>
      <c r="EM52" s="20" t="n">
        <f aca="false">IF(AND(Slot13_On=1,D52=Slot13_Age),1,0)</f>
        <v>0</v>
      </c>
      <c r="EN52" s="20" t="n">
        <f aca="false">IF(AND(Slot13_On=1,Slot13_Age&gt;D52),1,0)</f>
        <v>0</v>
      </c>
      <c r="EO52" s="20" t="n">
        <f aca="false">SI51</f>
        <v>0</v>
      </c>
      <c r="EP52" s="20" t="n">
        <f aca="false">EM52*MIN(Slot13_Cost,EO52)</f>
        <v>0</v>
      </c>
      <c r="EQ52" s="20" t="n">
        <f aca="false">EM52*Slot13_SpendLike*MIN(Slot13_Cost-EP52,EI52)</f>
        <v>0</v>
      </c>
      <c r="ER52" s="20" t="n">
        <f aca="false">EP52+EQ52</f>
        <v>0</v>
      </c>
      <c r="ES52" s="20" t="n">
        <f aca="false">EI52-EQ52+EM52*IF(Slot13_SpendLike=1,EO52-EP52,IF(Slot13_PotFree=1,EO52,0))</f>
        <v>0</v>
      </c>
      <c r="ET52" s="20" t="n">
        <f aca="false">EJ52+EM52*Slot13_BufPot*EO52</f>
        <v>0</v>
      </c>
      <c r="EU52" s="20" t="n">
        <f aca="false">IF(AND(EM52=1,Slot13_IsMfree=1),IF(ER52&gt;=Slot13_Cost-1,0,MAX(0,EK52-ER52)),EK52)</f>
        <v>0</v>
      </c>
      <c r="EV52" s="20" t="n">
        <f aca="false">EM52*(Slot13_Cost-ER52)</f>
        <v>0</v>
      </c>
      <c r="EW52" s="20" t="n">
        <f aca="false">IF(AND(Slot14_On=1,D52=Slot14_Age),1,0)</f>
        <v>0</v>
      </c>
      <c r="EX52" s="20" t="n">
        <f aca="false">IF(AND(Slot14_On=1,Slot14_Age&gt;D52),1,0)</f>
        <v>0</v>
      </c>
      <c r="EY52" s="20" t="n">
        <f aca="false">SM51</f>
        <v>0</v>
      </c>
      <c r="EZ52" s="20" t="n">
        <f aca="false">EW52*MIN(Slot14_Cost,EY52)</f>
        <v>0</v>
      </c>
      <c r="FA52" s="20" t="n">
        <f aca="false">EW52*Slot14_SpendLike*MIN(Slot14_Cost-EZ52,ES52)</f>
        <v>0</v>
      </c>
      <c r="FB52" s="20" t="n">
        <f aca="false">EZ52+FA52</f>
        <v>0</v>
      </c>
      <c r="FC52" s="20" t="n">
        <f aca="false">ES52-FA52+EW52*IF(Slot14_SpendLike=1,EY52-EZ52,IF(Slot14_PotFree=1,EY52,0))</f>
        <v>0</v>
      </c>
      <c r="FD52" s="20" t="n">
        <f aca="false">ET52+EW52*Slot14_BufPot*EY52</f>
        <v>0</v>
      </c>
      <c r="FE52" s="20" t="n">
        <f aca="false">IF(AND(EW52=1,Slot14_IsMfree=1),IF(FB52&gt;=Slot14_Cost-1,0,MAX(0,EU52-FB52)),EU52)</f>
        <v>0</v>
      </c>
      <c r="FF52" s="20" t="n">
        <f aca="false">EW52*(Slot14_Cost-FB52)</f>
        <v>0</v>
      </c>
      <c r="FG52" s="20" t="n">
        <f aca="false">IF(AND(Slot15_On=1,D52=Slot15_Age),1,0)</f>
        <v>0</v>
      </c>
      <c r="FH52" s="20" t="n">
        <f aca="false">IF(AND(Slot15_On=1,Slot15_Age&gt;D52),1,0)</f>
        <v>0</v>
      </c>
      <c r="FI52" s="20" t="n">
        <f aca="false">SQ51</f>
        <v>0</v>
      </c>
      <c r="FJ52" s="20" t="n">
        <f aca="false">FG52*MIN(Slot15_Cost,FI52)</f>
        <v>0</v>
      </c>
      <c r="FK52" s="20" t="n">
        <f aca="false">FG52*Slot15_SpendLike*MIN(Slot15_Cost-FJ52,FC52)</f>
        <v>0</v>
      </c>
      <c r="FL52" s="20" t="n">
        <f aca="false">FJ52+FK52</f>
        <v>0</v>
      </c>
      <c r="FM52" s="20" t="n">
        <f aca="false">FC52-FK52+FG52*IF(Slot15_SpendLike=1,FI52-FJ52,IF(Slot15_PotFree=1,FI52,0))</f>
        <v>0</v>
      </c>
      <c r="FN52" s="20" t="n">
        <f aca="false">FD52+FG52*Slot15_BufPot*FI52</f>
        <v>0</v>
      </c>
      <c r="FO52" s="20" t="n">
        <f aca="false">IF(AND(FG52=1,Slot15_IsMfree=1),IF(FL52&gt;=Slot15_Cost-1,0,MAX(0,FE52-FL52)),FE52)</f>
        <v>0</v>
      </c>
      <c r="FP52" s="20" t="n">
        <f aca="false">FG52*(Slot15_Cost-FL52)</f>
        <v>0</v>
      </c>
      <c r="FQ52" s="20" t="n">
        <f aca="false">IF(AND(Slot16_On=1,D52=Slot16_Age),1,0)</f>
        <v>0</v>
      </c>
      <c r="FR52" s="20" t="n">
        <f aca="false">IF(AND(Slot16_On=1,Slot16_Age&gt;D52),1,0)</f>
        <v>0</v>
      </c>
      <c r="FS52" s="20" t="n">
        <f aca="false">SU51</f>
        <v>0</v>
      </c>
      <c r="FT52" s="20" t="n">
        <f aca="false">FQ52*MIN(Slot16_Cost,FS52)</f>
        <v>0</v>
      </c>
      <c r="FU52" s="20" t="n">
        <f aca="false">FQ52*Slot16_SpendLike*MIN(Slot16_Cost-FT52,FM52)</f>
        <v>0</v>
      </c>
      <c r="FV52" s="20" t="n">
        <f aca="false">FT52+FU52</f>
        <v>0</v>
      </c>
      <c r="FW52" s="20" t="n">
        <f aca="false">FM52-FU52+FQ52*IF(Slot16_SpendLike=1,FS52-FT52,IF(Slot16_PotFree=1,FS52,0))</f>
        <v>0</v>
      </c>
      <c r="FX52" s="20" t="n">
        <f aca="false">FN52+FQ52*Slot16_BufPot*FS52</f>
        <v>0</v>
      </c>
      <c r="FY52" s="20" t="n">
        <f aca="false">IF(AND(FQ52=1,Slot16_IsMfree=1),IF(FV52&gt;=Slot16_Cost-1,0,MAX(0,FO52-FV52)),FO52)</f>
        <v>0</v>
      </c>
      <c r="FZ52" s="20" t="n">
        <f aca="false">FQ52*(Slot16_Cost-FV52)</f>
        <v>0</v>
      </c>
      <c r="GA52" s="20" t="n">
        <f aca="false">IF(AND(Slot17_On=1,D52=Slot17_Age),1,0)</f>
        <v>0</v>
      </c>
      <c r="GB52" s="20" t="n">
        <f aca="false">IF(AND(Slot17_On=1,Slot17_Age&gt;D52),1,0)</f>
        <v>0</v>
      </c>
      <c r="GC52" s="20" t="n">
        <f aca="false">SY51</f>
        <v>0</v>
      </c>
      <c r="GD52" s="20" t="n">
        <f aca="false">GA52*MIN(Slot17_Cost,GC52)</f>
        <v>0</v>
      </c>
      <c r="GE52" s="20" t="n">
        <f aca="false">GA52*Slot17_SpendLike*MIN(Slot17_Cost-GD52,FW52)</f>
        <v>0</v>
      </c>
      <c r="GF52" s="20" t="n">
        <f aca="false">GD52+GE52</f>
        <v>0</v>
      </c>
      <c r="GG52" s="20" t="n">
        <f aca="false">FW52-GE52+GA52*IF(Slot17_SpendLike=1,GC52-GD52,IF(Slot17_PotFree=1,GC52,0))</f>
        <v>0</v>
      </c>
      <c r="GH52" s="20" t="n">
        <f aca="false">FX52+GA52*Slot17_BufPot*GC52</f>
        <v>0</v>
      </c>
      <c r="GI52" s="20" t="n">
        <f aca="false">IF(AND(GA52=1,Slot17_IsMfree=1),IF(GF52&gt;=Slot17_Cost-1,0,MAX(0,FY52-GF52)),FY52)</f>
        <v>0</v>
      </c>
      <c r="GJ52" s="20" t="n">
        <f aca="false">GA52*(Slot17_Cost-GF52)</f>
        <v>0</v>
      </c>
      <c r="GK52" s="20" t="n">
        <f aca="false">IF(AND(Slot18_On=1,D52=Slot18_Age),1,0)</f>
        <v>0</v>
      </c>
      <c r="GL52" s="20" t="n">
        <f aca="false">IF(AND(Slot18_On=1,Slot18_Age&gt;D52),1,0)</f>
        <v>0</v>
      </c>
      <c r="GM52" s="20" t="n">
        <f aca="false">TC51</f>
        <v>0</v>
      </c>
      <c r="GN52" s="20" t="n">
        <f aca="false">GK52*MIN(Slot18_Cost,GM52)</f>
        <v>0</v>
      </c>
      <c r="GO52" s="20" t="n">
        <f aca="false">GK52*Slot18_SpendLike*MIN(Slot18_Cost-GN52,GG52)</f>
        <v>0</v>
      </c>
      <c r="GP52" s="20" t="n">
        <f aca="false">GN52+GO52</f>
        <v>0</v>
      </c>
      <c r="GQ52" s="20" t="n">
        <f aca="false">GG52-GO52+GK52*IF(Slot18_SpendLike=1,GM52-GN52,IF(Slot18_PotFree=1,GM52,0))</f>
        <v>0</v>
      </c>
      <c r="GR52" s="20" t="n">
        <f aca="false">GH52+GK52*Slot18_BufPot*GM52</f>
        <v>0</v>
      </c>
      <c r="GS52" s="20" t="n">
        <f aca="false">IF(AND(GK52=1,Slot18_IsMfree=1),IF(GP52&gt;=Slot18_Cost-1,0,MAX(0,GI52-GP52)),GI52)</f>
        <v>0</v>
      </c>
      <c r="GT52" s="20" t="n">
        <f aca="false">GK52*(Slot18_Cost-GP52)</f>
        <v>0</v>
      </c>
      <c r="GU52" s="20" t="n">
        <f aca="false">IF(AND(Slot19_On=1,D52=Slot19_Age),1,0)</f>
        <v>0</v>
      </c>
      <c r="GV52" s="20" t="n">
        <f aca="false">IF(AND(Slot19_On=1,Slot19_Age&gt;D52),1,0)</f>
        <v>0</v>
      </c>
      <c r="GW52" s="20" t="n">
        <f aca="false">TG51</f>
        <v>0</v>
      </c>
      <c r="GX52" s="20" t="n">
        <f aca="false">GU52*MIN(Slot19_Cost,GW52)</f>
        <v>0</v>
      </c>
      <c r="GY52" s="20" t="n">
        <f aca="false">GU52*Slot19_SpendLike*MIN(Slot19_Cost-GX52,GQ52)</f>
        <v>0</v>
      </c>
      <c r="GZ52" s="20" t="n">
        <f aca="false">GX52+GY52</f>
        <v>0</v>
      </c>
      <c r="HA52" s="20" t="n">
        <f aca="false">GQ52-GY52+GU52*IF(Slot19_SpendLike=1,GW52-GX52,IF(Slot19_PotFree=1,GW52,0))</f>
        <v>0</v>
      </c>
      <c r="HB52" s="20" t="n">
        <f aca="false">GR52+GU52*Slot19_BufPot*GW52</f>
        <v>0</v>
      </c>
      <c r="HC52" s="20" t="n">
        <f aca="false">IF(AND(GU52=1,Slot19_IsMfree=1),IF(GZ52&gt;=Slot19_Cost-1,0,MAX(0,GS52-GZ52)),GS52)</f>
        <v>0</v>
      </c>
      <c r="HD52" s="20" t="n">
        <f aca="false">GU52*(Slot19_Cost-GZ52)</f>
        <v>0</v>
      </c>
      <c r="HE52" s="20" t="n">
        <f aca="false">IF(AND(Slot20_On=1,D52=Slot20_Age),1,0)</f>
        <v>0</v>
      </c>
      <c r="HF52" s="20" t="n">
        <f aca="false">IF(AND(Slot20_On=1,Slot20_Age&gt;D52),1,0)</f>
        <v>0</v>
      </c>
      <c r="HG52" s="20" t="n">
        <f aca="false">TK51</f>
        <v>0</v>
      </c>
      <c r="HH52" s="20" t="n">
        <f aca="false">HE52*MIN(Slot20_Cost,HG52)</f>
        <v>0</v>
      </c>
      <c r="HI52" s="20" t="n">
        <f aca="false">HE52*Slot20_SpendLike*MIN(Slot20_Cost-HH52,HA52)</f>
        <v>0</v>
      </c>
      <c r="HJ52" s="20" t="n">
        <f aca="false">HH52+HI52</f>
        <v>0</v>
      </c>
      <c r="HK52" s="20" t="n">
        <f aca="false">HA52-HI52+HE52*IF(Slot20_SpendLike=1,HG52-HH52,IF(Slot20_PotFree=1,HG52,0))</f>
        <v>0</v>
      </c>
      <c r="HL52" s="20" t="n">
        <f aca="false">HB52+HE52*Slot20_BufPot*HG52</f>
        <v>0</v>
      </c>
      <c r="HM52" s="20" t="n">
        <f aca="false">IF(AND(HE52=1,Slot20_IsMfree=1),IF(HJ52&gt;=Slot20_Cost-1,0,MAX(0,HC52-HJ52)),HC52)</f>
        <v>0</v>
      </c>
      <c r="HN52" s="20" t="n">
        <f aca="false">HE52*(Slot20_Cost-HJ52)</f>
        <v>0</v>
      </c>
      <c r="HO52" s="20" t="n">
        <f aca="false">V52*Slot1_SpendLike*AA52+AG52*Slot2_SpendLike*AL52+AQ52*Slot3_SpendLike*AV52+BA52*Slot4_SpendLike*BF52+BK52*Slot5_SpendLike*BP52+BU52*Slot6_SpendLike*BZ52+CE52*Slot7_SpendLike*CJ52+CO52*Slot8_SpendLike*CT52+CY52*Slot9_SpendLike*DD52+DI52*Slot10_SpendLike*DN52+DS52*Slot11_SpendLike*DX52+EC52*Slot12_SpendLike*EH52+EM52*Slot13_SpendLike*ER52+EW52*Slot14_SpendLike*FB52+FG52*Slot15_SpendLike*FL52+FQ52*Slot16_SpendLike*FV52+GA52*Slot17_SpendLike*GF52+GK52*Slot18_SpendLike*GP52+GU52*Slot19_SpendLike*GZ52+HE52*Slot20_SpendLike*HJ52</f>
        <v>0</v>
      </c>
      <c r="HP52" s="20" t="n">
        <f aca="false">AE52+AP52+AZ52+BJ52+BT52+CD52+CN52+CX52+DH52+DR52+EB52+EL52+EV52+FF52+FP52+FZ52+GJ52+GT52+HD52+HN52</f>
        <v>0</v>
      </c>
      <c r="HQ52" s="20" t="n">
        <f aca="false">V52*Slot1_Cost+AG52*Slot2_Cost+AQ52*Slot3_Cost+BA52*Slot4_Cost+BK52*Slot5_Cost+BU52*Slot6_Cost+CE52*Slot7_Cost+CO52*Slot8_Cost+CY52*Slot9_Cost+DI52*Slot10_Cost+DS52*Slot11_Cost+EC52*Slot12_Cost+EM52*Slot13_Cost+EW52*Slot14_Cost+FG52*Slot15_Cost+FQ52*Slot16_Cost+GA52*Slot17_Cost+GK52*Slot18_Cost+GU52*Slot19_Cost+HE52*Slot20_Cost</f>
        <v>0</v>
      </c>
      <c r="HR52" s="20" t="n">
        <f aca="false">HM52</f>
        <v>0</v>
      </c>
      <c r="HS52" s="20" t="n">
        <f aca="false">H52-I52-S52</f>
        <v>-25607.1854959062</v>
      </c>
      <c r="HT52" s="20" t="n">
        <f aca="false">IF(B52=0,IF(AND(Has_q6=1,In_q6=4),PR_ShareVaries*(MAX(0,HS52)/12),MIN(IF(Has_q6=1,CHOOSE(In_q6+1,PR_SaveB1,PR_SaveB2,PR_SaveB3,PR_SaveB4,0),AS_NoAnswer),AS_SaveShare*(MAX(0,HS52)/12))),HT51)</f>
        <v>67.3316893520437</v>
      </c>
      <c r="HU52" s="20" t="n">
        <f aca="false">IF(HS52&gt;=0,1,0)</f>
        <v>0</v>
      </c>
      <c r="HV52" s="20" t="n">
        <f aca="false">MAX(0,HS52/12/F52)</f>
        <v>0</v>
      </c>
      <c r="HW52" s="20" t="n">
        <f aca="false">IF(AND(Has_q6=1,In_q6=4),PR_ShareVaries*(HV52),MIN(IF(Has_q6=1,CHOOSE(In_q6+1,PR_SaveB1,PR_SaveB2,PR_SaveB3,PR_SaveB4,0),AS_NoAnswer),AS_SaveShare*(HV52)))</f>
        <v>0</v>
      </c>
      <c r="HX52" s="20" t="n">
        <f aca="false">IF(Has_saveM=1,IF(In_saveUp="Yes",1,IF(In_saveUp="No",0,IF(In_saveM&gt;=HT52-0.5,1,0))),0)</f>
        <v>0</v>
      </c>
      <c r="HY52" s="20" t="n">
        <f aca="false">IF(Has_saveM=1,MIN(HV52,IF(HX52=1,MAX(In_saveM,HW52),MIN(In_saveM,HW52))),HW52)</f>
        <v>0</v>
      </c>
      <c r="HZ52" s="20" t="n">
        <f aca="false">IF(G52=1,HY52*12*F52,0)</f>
        <v>0</v>
      </c>
      <c r="IA52" s="20" t="n">
        <f aca="false">MAX(0,HZ52+IF(AND(WI_Retire=0,WI_M&lt;0,G52=1),WI_M*12*F52,0))</f>
        <v>0</v>
      </c>
      <c r="IB52" s="20" t="n">
        <f aca="false">Slot1_IsWG*W52+Slot2_IsWG*AH52+Slot3_IsWG*AR52+Slot4_IsWG*BB52+Slot5_IsWG*BL52+Slot6_IsWG*BV52+Slot7_IsWG*CF52+Slot8_IsWG*CP52+Slot9_IsWG*CZ52+Slot10_IsWG*DJ52+Slot11_IsWG*DT52+Slot12_IsWG*ED52+Slot13_IsWG*EN52+Slot14_IsWG*EX52+Slot15_IsWG*FH52+Slot16_IsWG*FR52+Slot17_IsWG*GB52+Slot18_IsWG*GL52+Slot19_IsWG*GV52+Slot20_IsWG*HF52</f>
        <v>0</v>
      </c>
      <c r="IC52" s="20" t="n">
        <f aca="false">IF(AND(WI_Retire=0,WI_M&gt;0,G52=1,IB52&gt;=1),WI_M*12*F52,0)</f>
        <v>0</v>
      </c>
      <c r="ID52" s="20" t="n">
        <f aca="false">IF(HU52=1,MIN(IA52,HS52),0)</f>
        <v>0</v>
      </c>
      <c r="IE52" s="20" t="n">
        <f aca="false">IF(HU52=1,MIN(IC52,HS52-ID52),0)</f>
        <v>0</v>
      </c>
      <c r="IF52" s="20" t="n">
        <f aca="false">IF(W52=1,IF(ABS((1+AS_Wage)/(1+Slot1_Rate)-1)&lt;0.000000000001,(Slot1_Age-D52)*(1+Slot1_Rate)^(Slot1_Age-D52),(1+Slot1_Rate)^(Slot1_Age-D52)*(1-((1+AS_Wage)/(1+Slot1_Rate))^(Slot1_Age-D52))/(1-(1+AS_Wage)/(1+Slot1_Rate))),1)</f>
        <v>1</v>
      </c>
      <c r="IG52" s="20" t="n">
        <f aca="false">IF(AND(HU52=1,IE52&gt;0,Slot1_IsWG=1,W52=1),MAX(0,(Slot1_Cost-X52*(1+Slot1_Rate)^(Slot1_Age-D52))/IF52),0)</f>
        <v>0</v>
      </c>
      <c r="IH52" s="20" t="n">
        <f aca="false">IF(AND(HU52=1,IE52&gt;0,Slot1_IsWG=1,W52=1),MIN(IE52,IG52),0)</f>
        <v>0</v>
      </c>
      <c r="II52" s="20" t="n">
        <f aca="false">X52+IH52</f>
        <v>0</v>
      </c>
      <c r="IJ52" s="20" t="n">
        <f aca="false">IF(W52=1,MAX(0,(Slot1_Cost-II52*(1+Slot1_Rate)^(Slot1_Age-D52))/IF52),0)</f>
        <v>0</v>
      </c>
      <c r="IK52" s="20" t="n">
        <f aca="false">IF(W52=1,MAX(0,(Slot1_Cost-X52*(1+Slot1_Rate)^(Slot1_Age-D52))/IF52),0)</f>
        <v>0</v>
      </c>
      <c r="IL52" s="20" t="n">
        <f aca="false">IF(AND(HU52=1,W52=1),MIN(ID52,IJ52),0)</f>
        <v>0</v>
      </c>
      <c r="IM52" s="20" t="n">
        <f aca="false">ID52-IL52</f>
        <v>0</v>
      </c>
      <c r="IN52" s="20" t="n">
        <f aca="false">IF(AH52=1,IF(ABS((1+AS_Wage)/(1+Slot2_Rate)-1)&lt;0.000000000001,(Slot2_Age-D52)*(1+Slot2_Rate)^(Slot2_Age-D52),(1+Slot2_Rate)^(Slot2_Age-D52)*(1-((1+AS_Wage)/(1+Slot2_Rate))^(Slot2_Age-D52))/(1-(1+AS_Wage)/(1+Slot2_Rate))),1)</f>
        <v>1</v>
      </c>
      <c r="IO52" s="20" t="n">
        <f aca="false">IF(AND(HU52=1,IE52&gt;0,Slot2_IsWG=1,AH52=1),MAX(0,(Slot2_Cost-AI52*(1+Slot2_Rate)^(Slot2_Age-D52))/IN52),0)</f>
        <v>0</v>
      </c>
      <c r="IP52" s="20" t="n">
        <f aca="false">IF(AND(HU52=1,IE52&gt;0,Slot2_IsWG=1,AH52=1),MIN(IE52,IO52),0)</f>
        <v>0</v>
      </c>
      <c r="IQ52" s="20" t="n">
        <f aca="false">AI52+IP52</f>
        <v>0</v>
      </c>
      <c r="IR52" s="20" t="n">
        <f aca="false">IF(AH52=1,MAX(0,(Slot2_Cost-IQ52*(1+Slot2_Rate)^(Slot2_Age-D52))/IN52),0)</f>
        <v>0</v>
      </c>
      <c r="IS52" s="20" t="n">
        <f aca="false">IF(AH52=1,MAX(0,(Slot2_Cost-AI52*(1+Slot2_Rate)^(Slot2_Age-D52))/IN52),0)</f>
        <v>0</v>
      </c>
      <c r="IT52" s="20" t="n">
        <f aca="false">IF(AND(HU52=1,AH52=1),MIN(IM52,IR52),0)</f>
        <v>0</v>
      </c>
      <c r="IU52" s="20" t="n">
        <f aca="false">IM52-IT52</f>
        <v>0</v>
      </c>
      <c r="IV52" s="20" t="n">
        <f aca="false">IF(AR52=1,IF(ABS((1+AS_Wage)/(1+Slot3_Rate)-1)&lt;0.000000000001,(Slot3_Age-D52)*(1+Slot3_Rate)^(Slot3_Age-D52),(1+Slot3_Rate)^(Slot3_Age-D52)*(1-((1+AS_Wage)/(1+Slot3_Rate))^(Slot3_Age-D52))/(1-(1+AS_Wage)/(1+Slot3_Rate))),1)</f>
        <v>1</v>
      </c>
      <c r="IW52" s="20" t="n">
        <f aca="false">IF(AND(HU52=1,IE52&gt;0,Slot3_IsWG=1,AR52=1),MAX(0,(Slot3_Cost-AS52*(1+Slot3_Rate)^(Slot3_Age-D52))/IV52),0)</f>
        <v>0</v>
      </c>
      <c r="IX52" s="20" t="n">
        <f aca="false">IF(AND(HU52=1,IE52&gt;0,Slot3_IsWG=1,AR52=1),MIN(IE52,IW52),0)</f>
        <v>0</v>
      </c>
      <c r="IY52" s="20" t="n">
        <f aca="false">AS52+IX52</f>
        <v>0</v>
      </c>
      <c r="IZ52" s="20" t="n">
        <f aca="false">IF(AR52=1,MAX(0,(Slot3_Cost-IY52*(1+Slot3_Rate)^(Slot3_Age-D52))/IV52),0)</f>
        <v>0</v>
      </c>
      <c r="JA52" s="20" t="n">
        <f aca="false">IF(AR52=1,MAX(0,(Slot3_Cost-AS52*(1+Slot3_Rate)^(Slot3_Age-D52))/IV52),0)</f>
        <v>0</v>
      </c>
      <c r="JB52" s="20" t="n">
        <f aca="false">IF(AND(HU52=1,AR52=1),MIN(IU52,IZ52),0)</f>
        <v>0</v>
      </c>
      <c r="JC52" s="20" t="n">
        <f aca="false">IU52-JB52</f>
        <v>0</v>
      </c>
      <c r="JD52" s="20" t="n">
        <f aca="false">IF(BB52=1,IF(ABS((1+AS_Wage)/(1+Slot4_Rate)-1)&lt;0.000000000001,(Slot4_Age-D52)*(1+Slot4_Rate)^(Slot4_Age-D52),(1+Slot4_Rate)^(Slot4_Age-D52)*(1-((1+AS_Wage)/(1+Slot4_Rate))^(Slot4_Age-D52))/(1-(1+AS_Wage)/(1+Slot4_Rate))),1)</f>
        <v>1</v>
      </c>
      <c r="JE52" s="20" t="n">
        <f aca="false">IF(AND(HU52=1,IE52&gt;0,Slot4_IsWG=1,BB52=1),MAX(0,(Slot4_Cost-BC52*(1+Slot4_Rate)^(Slot4_Age-D52))/JD52),0)</f>
        <v>0</v>
      </c>
      <c r="JF52" s="20" t="n">
        <f aca="false">IF(AND(HU52=1,IE52&gt;0,Slot4_IsWG=1,BB52=1),MIN(IE52,JE52),0)</f>
        <v>0</v>
      </c>
      <c r="JG52" s="20" t="n">
        <f aca="false">BC52+JF52</f>
        <v>0</v>
      </c>
      <c r="JH52" s="20" t="n">
        <f aca="false">IF(BB52=1,MAX(0,(Slot4_Cost-JG52*(1+Slot4_Rate)^(Slot4_Age-D52))/JD52),0)</f>
        <v>0</v>
      </c>
      <c r="JI52" s="20" t="n">
        <f aca="false">IF(BB52=1,MAX(0,(Slot4_Cost-BC52*(1+Slot4_Rate)^(Slot4_Age-D52))/JD52),0)</f>
        <v>0</v>
      </c>
      <c r="JJ52" s="20" t="n">
        <f aca="false">IF(AND(HU52=1,BB52=1),MIN(JC52,JH52),0)</f>
        <v>0</v>
      </c>
      <c r="JK52" s="20" t="n">
        <f aca="false">JC52-JJ52</f>
        <v>0</v>
      </c>
      <c r="JL52" s="20" t="n">
        <f aca="false">IF(BL52=1,IF(ABS((1+AS_Wage)/(1+Slot5_Rate)-1)&lt;0.000000000001,(Slot5_Age-D52)*(1+Slot5_Rate)^(Slot5_Age-D52),(1+Slot5_Rate)^(Slot5_Age-D52)*(1-((1+AS_Wage)/(1+Slot5_Rate))^(Slot5_Age-D52))/(1-(1+AS_Wage)/(1+Slot5_Rate))),1)</f>
        <v>1</v>
      </c>
      <c r="JM52" s="20" t="n">
        <f aca="false">IF(AND(HU52=1,IE52&gt;0,Slot5_IsWG=1,BL52=1),MAX(0,(Slot5_Cost-BM52*(1+Slot5_Rate)^(Slot5_Age-D52))/JL52),0)</f>
        <v>0</v>
      </c>
      <c r="JN52" s="20" t="n">
        <f aca="false">IF(AND(HU52=1,IE52&gt;0,Slot5_IsWG=1,BL52=1),MIN(IE52,JM52),0)</f>
        <v>0</v>
      </c>
      <c r="JO52" s="20" t="n">
        <f aca="false">BM52+JN52</f>
        <v>0</v>
      </c>
      <c r="JP52" s="20" t="n">
        <f aca="false">IF(BL52=1,MAX(0,(Slot5_Cost-JO52*(1+Slot5_Rate)^(Slot5_Age-D52))/JL52),0)</f>
        <v>0</v>
      </c>
      <c r="JQ52" s="20" t="n">
        <f aca="false">IF(BL52=1,MAX(0,(Slot5_Cost-BM52*(1+Slot5_Rate)^(Slot5_Age-D52))/JL52),0)</f>
        <v>0</v>
      </c>
      <c r="JR52" s="20" t="n">
        <f aca="false">IF(AND(HU52=1,BL52=1),MIN(JK52,JP52),0)</f>
        <v>0</v>
      </c>
      <c r="JS52" s="20" t="n">
        <f aca="false">JK52-JR52</f>
        <v>0</v>
      </c>
      <c r="JT52" s="20" t="n">
        <f aca="false">IF(BV52=1,IF(ABS((1+AS_Wage)/(1+Slot6_Rate)-1)&lt;0.000000000001,(Slot6_Age-D52)*(1+Slot6_Rate)^(Slot6_Age-D52),(1+Slot6_Rate)^(Slot6_Age-D52)*(1-((1+AS_Wage)/(1+Slot6_Rate))^(Slot6_Age-D52))/(1-(1+AS_Wage)/(1+Slot6_Rate))),1)</f>
        <v>1</v>
      </c>
      <c r="JU52" s="20" t="n">
        <f aca="false">IF(AND(HU52=1,IE52&gt;0,Slot6_IsWG=1,BV52=1),MAX(0,(Slot6_Cost-BW52*(1+Slot6_Rate)^(Slot6_Age-D52))/JT52),0)</f>
        <v>0</v>
      </c>
      <c r="JV52" s="20" t="n">
        <f aca="false">IF(AND(HU52=1,IE52&gt;0,Slot6_IsWG=1,BV52=1),MIN(IE52,JU52),0)</f>
        <v>0</v>
      </c>
      <c r="JW52" s="20" t="n">
        <f aca="false">BW52+JV52</f>
        <v>0</v>
      </c>
      <c r="JX52" s="20" t="n">
        <f aca="false">IF(BV52=1,MAX(0,(Slot6_Cost-JW52*(1+Slot6_Rate)^(Slot6_Age-D52))/JT52),0)</f>
        <v>0</v>
      </c>
      <c r="JY52" s="20" t="n">
        <f aca="false">IF(BV52=1,MAX(0,(Slot6_Cost-BW52*(1+Slot6_Rate)^(Slot6_Age-D52))/JT52),0)</f>
        <v>0</v>
      </c>
      <c r="JZ52" s="20" t="n">
        <f aca="false">IF(AND(HU52=1,BV52=1),MIN(JS52,JX52),0)</f>
        <v>0</v>
      </c>
      <c r="KA52" s="20" t="n">
        <f aca="false">JS52-JZ52</f>
        <v>0</v>
      </c>
      <c r="KB52" s="20" t="n">
        <f aca="false">IF(CF52=1,IF(ABS((1+AS_Wage)/(1+Slot7_Rate)-1)&lt;0.000000000001,(Slot7_Age-D52)*(1+Slot7_Rate)^(Slot7_Age-D52),(1+Slot7_Rate)^(Slot7_Age-D52)*(1-((1+AS_Wage)/(1+Slot7_Rate))^(Slot7_Age-D52))/(1-(1+AS_Wage)/(1+Slot7_Rate))),1)</f>
        <v>1</v>
      </c>
      <c r="KC52" s="20" t="n">
        <f aca="false">IF(AND(HU52=1,IE52&gt;0,Slot7_IsWG=1,CF52=1),MAX(0,(Slot7_Cost-CG52*(1+Slot7_Rate)^(Slot7_Age-D52))/KB52),0)</f>
        <v>0</v>
      </c>
      <c r="KD52" s="20" t="n">
        <f aca="false">IF(AND(HU52=1,IE52&gt;0,Slot7_IsWG=1,CF52=1),MIN(IE52,KC52),0)</f>
        <v>0</v>
      </c>
      <c r="KE52" s="20" t="n">
        <f aca="false">CG52+KD52</f>
        <v>0</v>
      </c>
      <c r="KF52" s="20" t="n">
        <f aca="false">IF(CF52=1,MAX(0,(Slot7_Cost-KE52*(1+Slot7_Rate)^(Slot7_Age-D52))/KB52),0)</f>
        <v>0</v>
      </c>
      <c r="KG52" s="20" t="n">
        <f aca="false">IF(CF52=1,MAX(0,(Slot7_Cost-CG52*(1+Slot7_Rate)^(Slot7_Age-D52))/KB52),0)</f>
        <v>0</v>
      </c>
      <c r="KH52" s="20" t="n">
        <f aca="false">IF(AND(HU52=1,CF52=1),MIN(KA52,KF52),0)</f>
        <v>0</v>
      </c>
      <c r="KI52" s="20" t="n">
        <f aca="false">KA52-KH52</f>
        <v>0</v>
      </c>
      <c r="KJ52" s="20" t="n">
        <f aca="false">IF(CP52=1,IF(ABS((1+AS_Wage)/(1+Slot8_Rate)-1)&lt;0.000000000001,(Slot8_Age-D52)*(1+Slot8_Rate)^(Slot8_Age-D52),(1+Slot8_Rate)^(Slot8_Age-D52)*(1-((1+AS_Wage)/(1+Slot8_Rate))^(Slot8_Age-D52))/(1-(1+AS_Wage)/(1+Slot8_Rate))),1)</f>
        <v>1</v>
      </c>
      <c r="KK52" s="20" t="n">
        <f aca="false">IF(AND(HU52=1,IE52&gt;0,Slot8_IsWG=1,CP52=1),MAX(0,(Slot8_Cost-CQ52*(1+Slot8_Rate)^(Slot8_Age-D52))/KJ52),0)</f>
        <v>0</v>
      </c>
      <c r="KL52" s="20" t="n">
        <f aca="false">IF(AND(HU52=1,IE52&gt;0,Slot8_IsWG=1,CP52=1),MIN(IE52,KK52),0)</f>
        <v>0</v>
      </c>
      <c r="KM52" s="20" t="n">
        <f aca="false">CQ52+KL52</f>
        <v>0</v>
      </c>
      <c r="KN52" s="20" t="n">
        <f aca="false">IF(CP52=1,MAX(0,(Slot8_Cost-KM52*(1+Slot8_Rate)^(Slot8_Age-D52))/KJ52),0)</f>
        <v>0</v>
      </c>
      <c r="KO52" s="20" t="n">
        <f aca="false">IF(CP52=1,MAX(0,(Slot8_Cost-CQ52*(1+Slot8_Rate)^(Slot8_Age-D52))/KJ52),0)</f>
        <v>0</v>
      </c>
      <c r="KP52" s="20" t="n">
        <f aca="false">IF(AND(HU52=1,CP52=1),MIN(KI52,KN52),0)</f>
        <v>0</v>
      </c>
      <c r="KQ52" s="20" t="n">
        <f aca="false">KI52-KP52</f>
        <v>0</v>
      </c>
      <c r="KR52" s="20" t="n">
        <f aca="false">IF(CZ52=1,IF(ABS((1+AS_Wage)/(1+Slot9_Rate)-1)&lt;0.000000000001,(Slot9_Age-D52)*(1+Slot9_Rate)^(Slot9_Age-D52),(1+Slot9_Rate)^(Slot9_Age-D52)*(1-((1+AS_Wage)/(1+Slot9_Rate))^(Slot9_Age-D52))/(1-(1+AS_Wage)/(1+Slot9_Rate))),1)</f>
        <v>1</v>
      </c>
      <c r="KS52" s="20" t="n">
        <f aca="false">IF(AND(HU52=1,IE52&gt;0,Slot9_IsWG=1,CZ52=1),MAX(0,(Slot9_Cost-DA52*(1+Slot9_Rate)^(Slot9_Age-D52))/KR52),0)</f>
        <v>0</v>
      </c>
      <c r="KT52" s="20" t="n">
        <f aca="false">IF(AND(HU52=1,IE52&gt;0,Slot9_IsWG=1,CZ52=1),MIN(IE52,KS52),0)</f>
        <v>0</v>
      </c>
      <c r="KU52" s="20" t="n">
        <f aca="false">DA52+KT52</f>
        <v>0</v>
      </c>
      <c r="KV52" s="20" t="n">
        <f aca="false">IF(CZ52=1,MAX(0,(Slot9_Cost-KU52*(1+Slot9_Rate)^(Slot9_Age-D52))/KR52),0)</f>
        <v>0</v>
      </c>
      <c r="KW52" s="20" t="n">
        <f aca="false">IF(CZ52=1,MAX(0,(Slot9_Cost-DA52*(1+Slot9_Rate)^(Slot9_Age-D52))/KR52),0)</f>
        <v>0</v>
      </c>
      <c r="KX52" s="20" t="n">
        <f aca="false">IF(AND(HU52=1,CZ52=1),MIN(KQ52,KV52),0)</f>
        <v>0</v>
      </c>
      <c r="KY52" s="20" t="n">
        <f aca="false">KQ52-KX52</f>
        <v>0</v>
      </c>
      <c r="KZ52" s="20" t="n">
        <f aca="false">IF(DJ52=1,IF(ABS((1+AS_Wage)/(1+Slot10_Rate)-1)&lt;0.000000000001,(Slot10_Age-D52)*(1+Slot10_Rate)^(Slot10_Age-D52),(1+Slot10_Rate)^(Slot10_Age-D52)*(1-((1+AS_Wage)/(1+Slot10_Rate))^(Slot10_Age-D52))/(1-(1+AS_Wage)/(1+Slot10_Rate))),1)</f>
        <v>1</v>
      </c>
      <c r="LA52" s="20" t="n">
        <f aca="false">IF(AND(HU52=1,IE52&gt;0,Slot10_IsWG=1,DJ52=1),MAX(0,(Slot10_Cost-DK52*(1+Slot10_Rate)^(Slot10_Age-D52))/KZ52),0)</f>
        <v>0</v>
      </c>
      <c r="LB52" s="20" t="n">
        <f aca="false">IF(AND(HU52=1,IE52&gt;0,Slot10_IsWG=1,DJ52=1),MIN(IE52,LA52),0)</f>
        <v>0</v>
      </c>
      <c r="LC52" s="20" t="n">
        <f aca="false">DK52+LB52</f>
        <v>0</v>
      </c>
      <c r="LD52" s="20" t="n">
        <f aca="false">IF(DJ52=1,MAX(0,(Slot10_Cost-LC52*(1+Slot10_Rate)^(Slot10_Age-D52))/KZ52),0)</f>
        <v>0</v>
      </c>
      <c r="LE52" s="20" t="n">
        <f aca="false">IF(DJ52=1,MAX(0,(Slot10_Cost-DK52*(1+Slot10_Rate)^(Slot10_Age-D52))/KZ52),0)</f>
        <v>0</v>
      </c>
      <c r="LF52" s="20" t="n">
        <f aca="false">IF(AND(HU52=1,DJ52=1),MIN(KY52,LD52),0)</f>
        <v>0</v>
      </c>
      <c r="LG52" s="20" t="n">
        <f aca="false">KY52-LF52</f>
        <v>0</v>
      </c>
      <c r="LH52" s="20" t="n">
        <f aca="false">IF(DT52=1,IF(ABS((1+AS_Wage)/(1+Slot11_Rate)-1)&lt;0.000000000001,(Slot11_Age-D52)*(1+Slot11_Rate)^(Slot11_Age-D52),(1+Slot11_Rate)^(Slot11_Age-D52)*(1-((1+AS_Wage)/(1+Slot11_Rate))^(Slot11_Age-D52))/(1-(1+AS_Wage)/(1+Slot11_Rate))),1)</f>
        <v>1</v>
      </c>
      <c r="LI52" s="20" t="n">
        <f aca="false">IF(AND(HU52=1,IE52&gt;0,Slot11_IsWG=1,DT52=1),MAX(0,(Slot11_Cost-DU52*(1+Slot11_Rate)^(Slot11_Age-D52))/LH52),0)</f>
        <v>0</v>
      </c>
      <c r="LJ52" s="20" t="n">
        <f aca="false">IF(AND(HU52=1,IE52&gt;0,Slot11_IsWG=1,DT52=1),MIN(IE52,LI52),0)</f>
        <v>0</v>
      </c>
      <c r="LK52" s="20" t="n">
        <f aca="false">DU52+LJ52</f>
        <v>0</v>
      </c>
      <c r="LL52" s="20" t="n">
        <f aca="false">IF(DT52=1,MAX(0,(Slot11_Cost-LK52*(1+Slot11_Rate)^(Slot11_Age-D52))/LH52),0)</f>
        <v>0</v>
      </c>
      <c r="LM52" s="20" t="n">
        <f aca="false">IF(DT52=1,MAX(0,(Slot11_Cost-DU52*(1+Slot11_Rate)^(Slot11_Age-D52))/LH52),0)</f>
        <v>0</v>
      </c>
      <c r="LN52" s="20" t="n">
        <f aca="false">IF(AND(HU52=1,DT52=1),MIN(LG52,LL52),0)</f>
        <v>0</v>
      </c>
      <c r="LO52" s="20" t="n">
        <f aca="false">LG52-LN52</f>
        <v>0</v>
      </c>
      <c r="LP52" s="20" t="n">
        <f aca="false">IF(ED52=1,IF(ABS((1+AS_Wage)/(1+Slot12_Rate)-1)&lt;0.000000000001,(Slot12_Age-D52)*(1+Slot12_Rate)^(Slot12_Age-D52),(1+Slot12_Rate)^(Slot12_Age-D52)*(1-((1+AS_Wage)/(1+Slot12_Rate))^(Slot12_Age-D52))/(1-(1+AS_Wage)/(1+Slot12_Rate))),1)</f>
        <v>1</v>
      </c>
      <c r="LQ52" s="20" t="n">
        <f aca="false">IF(AND(HU52=1,IE52&gt;0,Slot12_IsWG=1,ED52=1),MAX(0,(Slot12_Cost-EE52*(1+Slot12_Rate)^(Slot12_Age-D52))/LP52),0)</f>
        <v>0</v>
      </c>
      <c r="LR52" s="20" t="n">
        <f aca="false">IF(AND(HU52=1,IE52&gt;0,Slot12_IsWG=1,ED52=1),MIN(IE52,LQ52),0)</f>
        <v>0</v>
      </c>
      <c r="LS52" s="20" t="n">
        <f aca="false">EE52+LR52</f>
        <v>0</v>
      </c>
      <c r="LT52" s="20" t="n">
        <f aca="false">IF(ED52=1,MAX(0,(Slot12_Cost-LS52*(1+Slot12_Rate)^(Slot12_Age-D52))/LP52),0)</f>
        <v>0</v>
      </c>
      <c r="LU52" s="20" t="n">
        <f aca="false">IF(ED52=1,MAX(0,(Slot12_Cost-EE52*(1+Slot12_Rate)^(Slot12_Age-D52))/LP52),0)</f>
        <v>0</v>
      </c>
      <c r="LV52" s="20" t="n">
        <f aca="false">IF(AND(HU52=1,ED52=1),MIN(LO52,LT52),0)</f>
        <v>0</v>
      </c>
      <c r="LW52" s="20" t="n">
        <f aca="false">LO52-LV52</f>
        <v>0</v>
      </c>
      <c r="LX52" s="20" t="n">
        <f aca="false">IF(EN52=1,IF(ABS((1+AS_Wage)/(1+Slot13_Rate)-1)&lt;0.000000000001,(Slot13_Age-D52)*(1+Slot13_Rate)^(Slot13_Age-D52),(1+Slot13_Rate)^(Slot13_Age-D52)*(1-((1+AS_Wage)/(1+Slot13_Rate))^(Slot13_Age-D52))/(1-(1+AS_Wage)/(1+Slot13_Rate))),1)</f>
        <v>1</v>
      </c>
      <c r="LY52" s="20" t="n">
        <f aca="false">IF(AND(HU52=1,IE52&gt;0,Slot13_IsWG=1,EN52=1),MAX(0,(Slot13_Cost-EO52*(1+Slot13_Rate)^(Slot13_Age-D52))/LX52),0)</f>
        <v>0</v>
      </c>
      <c r="LZ52" s="20" t="n">
        <f aca="false">IF(AND(HU52=1,IE52&gt;0,Slot13_IsWG=1,EN52=1),MIN(IE52,LY52),0)</f>
        <v>0</v>
      </c>
      <c r="MA52" s="20" t="n">
        <f aca="false">EO52+LZ52</f>
        <v>0</v>
      </c>
      <c r="MB52" s="20" t="n">
        <f aca="false">IF(EN52=1,MAX(0,(Slot13_Cost-MA52*(1+Slot13_Rate)^(Slot13_Age-D52))/LX52),0)</f>
        <v>0</v>
      </c>
      <c r="MC52" s="20" t="n">
        <f aca="false">IF(EN52=1,MAX(0,(Slot13_Cost-EO52*(1+Slot13_Rate)^(Slot13_Age-D52))/LX52),0)</f>
        <v>0</v>
      </c>
      <c r="MD52" s="20" t="n">
        <f aca="false">IF(AND(HU52=1,EN52=1),MIN(LW52,MB52),0)</f>
        <v>0</v>
      </c>
      <c r="ME52" s="20" t="n">
        <f aca="false">LW52-MD52</f>
        <v>0</v>
      </c>
      <c r="MF52" s="20" t="n">
        <f aca="false">IF(EX52=1,IF(ABS((1+AS_Wage)/(1+Slot14_Rate)-1)&lt;0.000000000001,(Slot14_Age-D52)*(1+Slot14_Rate)^(Slot14_Age-D52),(1+Slot14_Rate)^(Slot14_Age-D52)*(1-((1+AS_Wage)/(1+Slot14_Rate))^(Slot14_Age-D52))/(1-(1+AS_Wage)/(1+Slot14_Rate))),1)</f>
        <v>1</v>
      </c>
      <c r="MG52" s="20" t="n">
        <f aca="false">IF(AND(HU52=1,IE52&gt;0,Slot14_IsWG=1,EX52=1),MAX(0,(Slot14_Cost-EY52*(1+Slot14_Rate)^(Slot14_Age-D52))/MF52),0)</f>
        <v>0</v>
      </c>
      <c r="MH52" s="20" t="n">
        <f aca="false">IF(AND(HU52=1,IE52&gt;0,Slot14_IsWG=1,EX52=1),MIN(IE52,MG52),0)</f>
        <v>0</v>
      </c>
      <c r="MI52" s="20" t="n">
        <f aca="false">EY52+MH52</f>
        <v>0</v>
      </c>
      <c r="MJ52" s="20" t="n">
        <f aca="false">IF(EX52=1,MAX(0,(Slot14_Cost-MI52*(1+Slot14_Rate)^(Slot14_Age-D52))/MF52),0)</f>
        <v>0</v>
      </c>
      <c r="MK52" s="20" t="n">
        <f aca="false">IF(EX52=1,MAX(0,(Slot14_Cost-EY52*(1+Slot14_Rate)^(Slot14_Age-D52))/MF52),0)</f>
        <v>0</v>
      </c>
      <c r="ML52" s="20" t="n">
        <f aca="false">IF(AND(HU52=1,EX52=1),MIN(ME52,MJ52),0)</f>
        <v>0</v>
      </c>
      <c r="MM52" s="20" t="n">
        <f aca="false">ME52-ML52</f>
        <v>0</v>
      </c>
      <c r="MN52" s="20" t="n">
        <f aca="false">IF(FH52=1,IF(ABS((1+AS_Wage)/(1+Slot15_Rate)-1)&lt;0.000000000001,(Slot15_Age-D52)*(1+Slot15_Rate)^(Slot15_Age-D52),(1+Slot15_Rate)^(Slot15_Age-D52)*(1-((1+AS_Wage)/(1+Slot15_Rate))^(Slot15_Age-D52))/(1-(1+AS_Wage)/(1+Slot15_Rate))),1)</f>
        <v>1</v>
      </c>
      <c r="MO52" s="20" t="n">
        <f aca="false">IF(AND(HU52=1,IE52&gt;0,Slot15_IsWG=1,FH52=1),MAX(0,(Slot15_Cost-FI52*(1+Slot15_Rate)^(Slot15_Age-D52))/MN52),0)</f>
        <v>0</v>
      </c>
      <c r="MP52" s="20" t="n">
        <f aca="false">IF(AND(HU52=1,IE52&gt;0,Slot15_IsWG=1,FH52=1),MIN(IE52,MO52),0)</f>
        <v>0</v>
      </c>
      <c r="MQ52" s="20" t="n">
        <f aca="false">FI52+MP52</f>
        <v>0</v>
      </c>
      <c r="MR52" s="20" t="n">
        <f aca="false">IF(FH52=1,MAX(0,(Slot15_Cost-MQ52*(1+Slot15_Rate)^(Slot15_Age-D52))/MN52),0)</f>
        <v>0</v>
      </c>
      <c r="MS52" s="20" t="n">
        <f aca="false">IF(FH52=1,MAX(0,(Slot15_Cost-FI52*(1+Slot15_Rate)^(Slot15_Age-D52))/MN52),0)</f>
        <v>0</v>
      </c>
      <c r="MT52" s="20" t="n">
        <f aca="false">IF(AND(HU52=1,FH52=1),MIN(MM52,MR52),0)</f>
        <v>0</v>
      </c>
      <c r="MU52" s="20" t="n">
        <f aca="false">MM52-MT52</f>
        <v>0</v>
      </c>
      <c r="MV52" s="20" t="n">
        <f aca="false">IF(FR52=1,IF(ABS((1+AS_Wage)/(1+Slot16_Rate)-1)&lt;0.000000000001,(Slot16_Age-D52)*(1+Slot16_Rate)^(Slot16_Age-D52),(1+Slot16_Rate)^(Slot16_Age-D52)*(1-((1+AS_Wage)/(1+Slot16_Rate))^(Slot16_Age-D52))/(1-(1+AS_Wage)/(1+Slot16_Rate))),1)</f>
        <v>1</v>
      </c>
      <c r="MW52" s="20" t="n">
        <f aca="false">IF(AND(HU52=1,IE52&gt;0,Slot16_IsWG=1,FR52=1),MAX(0,(Slot16_Cost-FS52*(1+Slot16_Rate)^(Slot16_Age-D52))/MV52),0)</f>
        <v>0</v>
      </c>
      <c r="MX52" s="20" t="n">
        <f aca="false">IF(AND(HU52=1,IE52&gt;0,Slot16_IsWG=1,FR52=1),MIN(IE52,MW52),0)</f>
        <v>0</v>
      </c>
      <c r="MY52" s="20" t="n">
        <f aca="false">FS52+MX52</f>
        <v>0</v>
      </c>
      <c r="MZ52" s="20" t="n">
        <f aca="false">IF(FR52=1,MAX(0,(Slot16_Cost-MY52*(1+Slot16_Rate)^(Slot16_Age-D52))/MV52),0)</f>
        <v>0</v>
      </c>
      <c r="NA52" s="20" t="n">
        <f aca="false">IF(FR52=1,MAX(0,(Slot16_Cost-FS52*(1+Slot16_Rate)^(Slot16_Age-D52))/MV52),0)</f>
        <v>0</v>
      </c>
      <c r="NB52" s="20" t="n">
        <f aca="false">IF(AND(HU52=1,FR52=1),MIN(MU52,MZ52),0)</f>
        <v>0</v>
      </c>
      <c r="NC52" s="20" t="n">
        <f aca="false">MU52-NB52</f>
        <v>0</v>
      </c>
      <c r="ND52" s="20" t="n">
        <f aca="false">IF(GB52=1,IF(ABS((1+AS_Wage)/(1+Slot17_Rate)-1)&lt;0.000000000001,(Slot17_Age-D52)*(1+Slot17_Rate)^(Slot17_Age-D52),(1+Slot17_Rate)^(Slot17_Age-D52)*(1-((1+AS_Wage)/(1+Slot17_Rate))^(Slot17_Age-D52))/(1-(1+AS_Wage)/(1+Slot17_Rate))),1)</f>
        <v>1</v>
      </c>
      <c r="NE52" s="20" t="n">
        <f aca="false">IF(AND(HU52=1,IE52&gt;0,Slot17_IsWG=1,GB52=1),MAX(0,(Slot17_Cost-GC52*(1+Slot17_Rate)^(Slot17_Age-D52))/ND52),0)</f>
        <v>0</v>
      </c>
      <c r="NF52" s="20" t="n">
        <f aca="false">IF(AND(HU52=1,IE52&gt;0,Slot17_IsWG=1,GB52=1),MIN(IE52,NE52),0)</f>
        <v>0</v>
      </c>
      <c r="NG52" s="20" t="n">
        <f aca="false">GC52+NF52</f>
        <v>0</v>
      </c>
      <c r="NH52" s="20" t="n">
        <f aca="false">IF(GB52=1,MAX(0,(Slot17_Cost-NG52*(1+Slot17_Rate)^(Slot17_Age-D52))/ND52),0)</f>
        <v>0</v>
      </c>
      <c r="NI52" s="20" t="n">
        <f aca="false">IF(GB52=1,MAX(0,(Slot17_Cost-GC52*(1+Slot17_Rate)^(Slot17_Age-D52))/ND52),0)</f>
        <v>0</v>
      </c>
      <c r="NJ52" s="20" t="n">
        <f aca="false">IF(AND(HU52=1,GB52=1),MIN(NC52,NH52),0)</f>
        <v>0</v>
      </c>
      <c r="NK52" s="20" t="n">
        <f aca="false">NC52-NJ52</f>
        <v>0</v>
      </c>
      <c r="NL52" s="20" t="n">
        <f aca="false">IF(GL52=1,IF(ABS((1+AS_Wage)/(1+Slot18_Rate)-1)&lt;0.000000000001,(Slot18_Age-D52)*(1+Slot18_Rate)^(Slot18_Age-D52),(1+Slot18_Rate)^(Slot18_Age-D52)*(1-((1+AS_Wage)/(1+Slot18_Rate))^(Slot18_Age-D52))/(1-(1+AS_Wage)/(1+Slot18_Rate))),1)</f>
        <v>1</v>
      </c>
      <c r="NM52" s="20" t="n">
        <f aca="false">IF(AND(HU52=1,IE52&gt;0,Slot18_IsWG=1,GL52=1),MAX(0,(Slot18_Cost-GM52*(1+Slot18_Rate)^(Slot18_Age-D52))/NL52),0)</f>
        <v>0</v>
      </c>
      <c r="NN52" s="20" t="n">
        <f aca="false">IF(AND(HU52=1,IE52&gt;0,Slot18_IsWG=1,GL52=1),MIN(IE52,NM52),0)</f>
        <v>0</v>
      </c>
      <c r="NO52" s="20" t="n">
        <f aca="false">GM52+NN52</f>
        <v>0</v>
      </c>
      <c r="NP52" s="20" t="n">
        <f aca="false">IF(GL52=1,MAX(0,(Slot18_Cost-NO52*(1+Slot18_Rate)^(Slot18_Age-D52))/NL52),0)</f>
        <v>0</v>
      </c>
      <c r="NQ52" s="20" t="n">
        <f aca="false">IF(GL52=1,MAX(0,(Slot18_Cost-GM52*(1+Slot18_Rate)^(Slot18_Age-D52))/NL52),0)</f>
        <v>0</v>
      </c>
      <c r="NR52" s="20" t="n">
        <f aca="false">IF(AND(HU52=1,GL52=1),MIN(NK52,NP52),0)</f>
        <v>0</v>
      </c>
      <c r="NS52" s="20" t="n">
        <f aca="false">NK52-NR52</f>
        <v>0</v>
      </c>
      <c r="NT52" s="20" t="n">
        <f aca="false">IF(GV52=1,IF(ABS((1+AS_Wage)/(1+Slot19_Rate)-1)&lt;0.000000000001,(Slot19_Age-D52)*(1+Slot19_Rate)^(Slot19_Age-D52),(1+Slot19_Rate)^(Slot19_Age-D52)*(1-((1+AS_Wage)/(1+Slot19_Rate))^(Slot19_Age-D52))/(1-(1+AS_Wage)/(1+Slot19_Rate))),1)</f>
        <v>1</v>
      </c>
      <c r="NU52" s="20" t="n">
        <f aca="false">IF(AND(HU52=1,IE52&gt;0,Slot19_IsWG=1,GV52=1),MAX(0,(Slot19_Cost-GW52*(1+Slot19_Rate)^(Slot19_Age-D52))/NT52),0)</f>
        <v>0</v>
      </c>
      <c r="NV52" s="20" t="n">
        <f aca="false">IF(AND(HU52=1,IE52&gt;0,Slot19_IsWG=1,GV52=1),MIN(IE52,NU52),0)</f>
        <v>0</v>
      </c>
      <c r="NW52" s="20" t="n">
        <f aca="false">GW52+NV52</f>
        <v>0</v>
      </c>
      <c r="NX52" s="20" t="n">
        <f aca="false">IF(GV52=1,MAX(0,(Slot19_Cost-NW52*(1+Slot19_Rate)^(Slot19_Age-D52))/NT52),0)</f>
        <v>0</v>
      </c>
      <c r="NY52" s="20" t="n">
        <f aca="false">IF(GV52=1,MAX(0,(Slot19_Cost-GW52*(1+Slot19_Rate)^(Slot19_Age-D52))/NT52),0)</f>
        <v>0</v>
      </c>
      <c r="NZ52" s="20" t="n">
        <f aca="false">IF(AND(HU52=1,GV52=1),MIN(NS52,NX52),0)</f>
        <v>0</v>
      </c>
      <c r="OA52" s="20" t="n">
        <f aca="false">NS52-NZ52</f>
        <v>0</v>
      </c>
      <c r="OB52" s="20" t="n">
        <f aca="false">IF(HF52=1,IF(ABS((1+AS_Wage)/(1+Slot20_Rate)-1)&lt;0.000000000001,(Slot20_Age-D52)*(1+Slot20_Rate)^(Slot20_Age-D52),(1+Slot20_Rate)^(Slot20_Age-D52)*(1-((1+AS_Wage)/(1+Slot20_Rate))^(Slot20_Age-D52))/(1-(1+AS_Wage)/(1+Slot20_Rate))),1)</f>
        <v>1</v>
      </c>
      <c r="OC52" s="20" t="n">
        <f aca="false">IF(AND(HU52=1,IE52&gt;0,Slot20_IsWG=1,HF52=1),MAX(0,(Slot20_Cost-HG52*(1+Slot20_Rate)^(Slot20_Age-D52))/OB52),0)</f>
        <v>0</v>
      </c>
      <c r="OD52" s="20" t="n">
        <f aca="false">IF(AND(HU52=1,IE52&gt;0,Slot20_IsWG=1,HF52=1),MIN(IE52,OC52),0)</f>
        <v>0</v>
      </c>
      <c r="OE52" s="20" t="n">
        <f aca="false">HG52+OD52</f>
        <v>0</v>
      </c>
      <c r="OF52" s="20" t="n">
        <f aca="false">IF(HF52=1,MAX(0,(Slot20_Cost-OE52*(1+Slot20_Rate)^(Slot20_Age-D52))/OB52),0)</f>
        <v>0</v>
      </c>
      <c r="OG52" s="20" t="n">
        <f aca="false">IF(HF52=1,MAX(0,(Slot20_Cost-HG52*(1+Slot20_Rate)^(Slot20_Age-D52))/OB52),0)</f>
        <v>0</v>
      </c>
      <c r="OH52" s="20" t="n">
        <f aca="false">IF(AND(HU52=1,HF52=1),MIN(OA52,OF52),0)</f>
        <v>0</v>
      </c>
      <c r="OI52" s="20" t="n">
        <f aca="false">OA52-OH52</f>
        <v>0</v>
      </c>
      <c r="OJ52" s="20" t="n">
        <f aca="false">IE52-(IH52+IP52+IX52+JF52+JN52+JV52+KD52+KL52+KT52+LB52+LJ52+LR52+LZ52+MH52+MP52+MX52+NF52+NN52+NV52+OD52)</f>
        <v>0</v>
      </c>
      <c r="OK52" s="20" t="n">
        <f aca="false">IF(HU52=1,HS52-ID52-IE52,0)</f>
        <v>0</v>
      </c>
      <c r="OL52" s="20" t="n">
        <f aca="false">IF(HU52=0,-HS52,0)</f>
        <v>25607.1854959062</v>
      </c>
      <c r="OM52" s="20" t="n">
        <f aca="false">MIN(OL52,HK52)</f>
        <v>0</v>
      </c>
      <c r="ON52" s="20" t="n">
        <f aca="false">OL52-OM52</f>
        <v>25607.1854959062</v>
      </c>
      <c r="OO52" s="20" t="n">
        <f aca="false">MIN(ON52,HL52)</f>
        <v>0</v>
      </c>
      <c r="OP52" s="20" t="n">
        <f aca="false">ON52-OO52</f>
        <v>25607.1854959062</v>
      </c>
      <c r="OQ52" s="20" t="n">
        <f aca="false">IF(AND(HU52=0,HF52=1,OP52&gt;0),MIN(OP52,HG52),0)</f>
        <v>0</v>
      </c>
      <c r="OR52" s="20" t="n">
        <f aca="false">OP52-OQ52</f>
        <v>25607.1854959062</v>
      </c>
      <c r="OS52" s="20" t="n">
        <f aca="false">IF(AND(HU52=0,GV52=1,OR52&gt;0),MIN(OR52,GW52),0)</f>
        <v>0</v>
      </c>
      <c r="OT52" s="20" t="n">
        <f aca="false">OR52-OS52</f>
        <v>25607.1854959062</v>
      </c>
      <c r="OU52" s="20" t="n">
        <f aca="false">IF(AND(HU52=0,GL52=1,OT52&gt;0),MIN(OT52,GM52),0)</f>
        <v>0</v>
      </c>
      <c r="OV52" s="20" t="n">
        <f aca="false">OT52-OU52</f>
        <v>25607.1854959062</v>
      </c>
      <c r="OW52" s="20" t="n">
        <f aca="false">IF(AND(HU52=0,GB52=1,OV52&gt;0),MIN(OV52,GC52),0)</f>
        <v>0</v>
      </c>
      <c r="OX52" s="20" t="n">
        <f aca="false">OV52-OW52</f>
        <v>25607.1854959062</v>
      </c>
      <c r="OY52" s="20" t="n">
        <f aca="false">IF(AND(HU52=0,FR52=1,OX52&gt;0),MIN(OX52,FS52),0)</f>
        <v>0</v>
      </c>
      <c r="OZ52" s="20" t="n">
        <f aca="false">OX52-OY52</f>
        <v>25607.1854959062</v>
      </c>
      <c r="PA52" s="20" t="n">
        <f aca="false">IF(AND(HU52=0,FH52=1,OZ52&gt;0),MIN(OZ52,FI52),0)</f>
        <v>0</v>
      </c>
      <c r="PB52" s="20" t="n">
        <f aca="false">OZ52-PA52</f>
        <v>25607.1854959062</v>
      </c>
      <c r="PC52" s="20" t="n">
        <f aca="false">IF(AND(HU52=0,EX52=1,PB52&gt;0),MIN(PB52,EY52),0)</f>
        <v>0</v>
      </c>
      <c r="PD52" s="20" t="n">
        <f aca="false">PB52-PC52</f>
        <v>25607.1854959062</v>
      </c>
      <c r="PE52" s="20" t="n">
        <f aca="false">IF(AND(HU52=0,EN52=1,PD52&gt;0),MIN(PD52,EO52),0)</f>
        <v>0</v>
      </c>
      <c r="PF52" s="20" t="n">
        <f aca="false">PD52-PE52</f>
        <v>25607.1854959062</v>
      </c>
      <c r="PG52" s="20" t="n">
        <f aca="false">IF(AND(HU52=0,ED52=1,PF52&gt;0),MIN(PF52,EE52),0)</f>
        <v>0</v>
      </c>
      <c r="PH52" s="20" t="n">
        <f aca="false">PF52-PG52</f>
        <v>25607.1854959062</v>
      </c>
      <c r="PI52" s="20" t="n">
        <f aca="false">IF(AND(HU52=0,DT52=1,PH52&gt;0),MIN(PH52,DU52),0)</f>
        <v>0</v>
      </c>
      <c r="PJ52" s="20" t="n">
        <f aca="false">PH52-PI52</f>
        <v>25607.1854959062</v>
      </c>
      <c r="PK52" s="20" t="n">
        <f aca="false">IF(AND(HU52=0,DJ52=1,PJ52&gt;0),MIN(PJ52,DK52),0)</f>
        <v>0</v>
      </c>
      <c r="PL52" s="20" t="n">
        <f aca="false">PJ52-PK52</f>
        <v>25607.1854959062</v>
      </c>
      <c r="PM52" s="20" t="n">
        <f aca="false">IF(AND(HU52=0,CZ52=1,PL52&gt;0),MIN(PL52,DA52),0)</f>
        <v>0</v>
      </c>
      <c r="PN52" s="20" t="n">
        <f aca="false">PL52-PM52</f>
        <v>25607.1854959062</v>
      </c>
      <c r="PO52" s="20" t="n">
        <f aca="false">IF(AND(HU52=0,CP52=1,PN52&gt;0),MIN(PN52,CQ52),0)</f>
        <v>0</v>
      </c>
      <c r="PP52" s="20" t="n">
        <f aca="false">PN52-PO52</f>
        <v>25607.1854959062</v>
      </c>
      <c r="PQ52" s="20" t="n">
        <f aca="false">IF(AND(HU52=0,CF52=1,PP52&gt;0),MIN(PP52,CG52),0)</f>
        <v>0</v>
      </c>
      <c r="PR52" s="20" t="n">
        <f aca="false">PP52-PQ52</f>
        <v>25607.1854959062</v>
      </c>
      <c r="PS52" s="20" t="n">
        <f aca="false">IF(AND(HU52=0,BV52=1,PR52&gt;0),MIN(PR52,BW52),0)</f>
        <v>0</v>
      </c>
      <c r="PT52" s="20" t="n">
        <f aca="false">PR52-PS52</f>
        <v>25607.1854959062</v>
      </c>
      <c r="PU52" s="20" t="n">
        <f aca="false">IF(AND(HU52=0,BL52=1,PT52&gt;0),MIN(PT52,BM52),0)</f>
        <v>0</v>
      </c>
      <c r="PV52" s="20" t="n">
        <f aca="false">PT52-PU52</f>
        <v>25607.1854959062</v>
      </c>
      <c r="PW52" s="20" t="n">
        <f aca="false">IF(AND(HU52=0,BB52=1,PV52&gt;0),MIN(PV52,BC52),0)</f>
        <v>0</v>
      </c>
      <c r="PX52" s="20" t="n">
        <f aca="false">PV52-PW52</f>
        <v>25607.1854959062</v>
      </c>
      <c r="PY52" s="20" t="n">
        <f aca="false">IF(AND(HU52=0,AR52=1,PX52&gt;0),MIN(PX52,AS52),0)</f>
        <v>0</v>
      </c>
      <c r="PZ52" s="20" t="n">
        <f aca="false">PX52-PY52</f>
        <v>25607.1854959062</v>
      </c>
      <c r="QA52" s="20" t="n">
        <f aca="false">IF(AND(HU52=0,AH52=1,PZ52&gt;0),MIN(PZ52,AI52),0)</f>
        <v>0</v>
      </c>
      <c r="QB52" s="20" t="n">
        <f aca="false">PZ52-QA52</f>
        <v>25607.1854959062</v>
      </c>
      <c r="QC52" s="20" t="n">
        <f aca="false">IF(AND(HU52=0,W52=1,QB52&gt;0),MIN(QB52,X52),0)</f>
        <v>0</v>
      </c>
      <c r="QD52" s="20" t="n">
        <f aca="false">QB52-QC52</f>
        <v>25607.1854959062</v>
      </c>
      <c r="QE52" s="20" t="n">
        <f aca="false">IF(HU52=0,QD52,0)</f>
        <v>25607.1854959062</v>
      </c>
      <c r="QF52" s="20" t="n">
        <f aca="false">OM52+OO52+QC52+QA52+PY52+PW52+PU52+PS52+PQ52+PO52+PM52+PK52+PI52+PG52+PE52+PC52+PA52+OY52+OW52+OU52+OS52+OQ52</f>
        <v>0</v>
      </c>
      <c r="QG52" s="20" t="n">
        <f aca="false">IF(HU52=1,HK52+OJ52+OI52+IF(G52=1,0,OK52),HK52-OM52)</f>
        <v>0</v>
      </c>
      <c r="QH52" s="20" t="n">
        <f aca="false">HL52-OO52</f>
        <v>0</v>
      </c>
      <c r="QI52" s="20" t="n">
        <f aca="false">IF(HU52=1,IF(G52=1,ID52+IE52,HS52),0)</f>
        <v>0</v>
      </c>
      <c r="QJ52" s="20" t="n">
        <f aca="false">IF(HU52=1,IF(G52=1,HS52-ID52-IE52,0),0)</f>
        <v>0</v>
      </c>
      <c r="QK52" s="57" t="n">
        <f aca="false">'Plan holdings'!BM52</f>
        <v>0</v>
      </c>
      <c r="QL52" s="20" t="n">
        <f aca="false">QH52*(1+AS_Cash)</f>
        <v>0</v>
      </c>
      <c r="QM52" s="20" t="n">
        <f aca="false">IF(W52=1,IF(HU52=1,II52+IL52,X52-QC52)*(1+Slot1_Rate),0)</f>
        <v>0</v>
      </c>
      <c r="QN52" s="20" t="n">
        <f aca="false">IF(AND(HU52=1,W52=1),(IH52+IL52)/F52,0)</f>
        <v>0</v>
      </c>
      <c r="QO52" s="20" t="n">
        <f aca="false">IF(B52=0,IH52+IL52,0)</f>
        <v>0</v>
      </c>
      <c r="QP52" s="20" t="n">
        <f aca="false">IF(B52=0,IF(HU52=1,IJ52,IK52),0)</f>
        <v>0</v>
      </c>
      <c r="QQ52" s="20" t="n">
        <f aca="false">IF(AH52=1,IF(HU52=1,IQ52+IT52,AI52-QA52)*(1+Slot2_Rate),0)</f>
        <v>0</v>
      </c>
      <c r="QR52" s="20" t="n">
        <f aca="false">IF(AND(HU52=1,AH52=1),(IP52+IT52)/F52,0)</f>
        <v>0</v>
      </c>
      <c r="QS52" s="20" t="n">
        <f aca="false">IF(B52=0,IP52+IT52,0)</f>
        <v>0</v>
      </c>
      <c r="QT52" s="20" t="n">
        <f aca="false">IF(B52=0,IF(HU52=1,IR52,IS52),0)</f>
        <v>0</v>
      </c>
      <c r="QU52" s="20" t="n">
        <f aca="false">IF(AR52=1,IF(HU52=1,IY52+JB52,AS52-PY52)*(1+Slot3_Rate),0)</f>
        <v>0</v>
      </c>
      <c r="QV52" s="20" t="n">
        <f aca="false">IF(AND(HU52=1,AR52=1),(IX52+JB52)/F52,0)</f>
        <v>0</v>
      </c>
      <c r="QW52" s="20" t="n">
        <f aca="false">IF(B52=0,IX52+JB52,0)</f>
        <v>0</v>
      </c>
      <c r="QX52" s="20" t="n">
        <f aca="false">IF(B52=0,IF(HU52=1,IZ52,JA52),0)</f>
        <v>0</v>
      </c>
      <c r="QY52" s="20" t="n">
        <f aca="false">IF(BB52=1,IF(HU52=1,JG52+JJ52,BC52-PW52)*(1+Slot4_Rate),0)</f>
        <v>0</v>
      </c>
      <c r="QZ52" s="20" t="n">
        <f aca="false">IF(AND(HU52=1,BB52=1),(JF52+JJ52)/F52,0)</f>
        <v>0</v>
      </c>
      <c r="RA52" s="20" t="n">
        <f aca="false">IF(B52=0,JF52+JJ52,0)</f>
        <v>0</v>
      </c>
      <c r="RB52" s="20" t="n">
        <f aca="false">IF(B52=0,IF(HU52=1,JH52,JI52),0)</f>
        <v>0</v>
      </c>
      <c r="RC52" s="20" t="n">
        <f aca="false">IF(BL52=1,IF(HU52=1,JO52+JR52,BM52-PU52)*(1+Slot5_Rate),0)</f>
        <v>0</v>
      </c>
      <c r="RD52" s="20" t="n">
        <f aca="false">IF(AND(HU52=1,BL52=1),(JN52+JR52)/F52,0)</f>
        <v>0</v>
      </c>
      <c r="RE52" s="20" t="n">
        <f aca="false">IF(B52=0,JN52+JR52,0)</f>
        <v>0</v>
      </c>
      <c r="RF52" s="20" t="n">
        <f aca="false">IF(B52=0,IF(HU52=1,JP52,JQ52),0)</f>
        <v>0</v>
      </c>
      <c r="RG52" s="20" t="n">
        <f aca="false">IF(BV52=1,IF(HU52=1,JW52+JZ52,BW52-PS52)*(1+Slot6_Rate),0)</f>
        <v>0</v>
      </c>
      <c r="RH52" s="20" t="n">
        <f aca="false">IF(AND(HU52=1,BV52=1),(JV52+JZ52)/F52,0)</f>
        <v>0</v>
      </c>
      <c r="RI52" s="20" t="n">
        <f aca="false">IF(B52=0,JV52+JZ52,0)</f>
        <v>0</v>
      </c>
      <c r="RJ52" s="20" t="n">
        <f aca="false">IF(B52=0,IF(HU52=1,JX52,JY52),0)</f>
        <v>0</v>
      </c>
      <c r="RK52" s="20" t="n">
        <f aca="false">IF(CF52=1,IF(HU52=1,KE52+KH52,CG52-PQ52)*(1+Slot7_Rate),0)</f>
        <v>0</v>
      </c>
      <c r="RL52" s="20" t="n">
        <f aca="false">IF(AND(HU52=1,CF52=1),(KD52+KH52)/F52,0)</f>
        <v>0</v>
      </c>
      <c r="RM52" s="20" t="n">
        <f aca="false">IF(B52=0,KD52+KH52,0)</f>
        <v>0</v>
      </c>
      <c r="RN52" s="20" t="n">
        <f aca="false">IF(B52=0,IF(HU52=1,KF52,KG52),0)</f>
        <v>0</v>
      </c>
      <c r="RO52" s="20" t="n">
        <f aca="false">IF(CP52=1,IF(HU52=1,KM52+KP52,CQ52-PO52)*(1+Slot8_Rate),0)</f>
        <v>0</v>
      </c>
      <c r="RP52" s="20" t="n">
        <f aca="false">IF(AND(HU52=1,CP52=1),(KL52+KP52)/F52,0)</f>
        <v>0</v>
      </c>
      <c r="RQ52" s="20" t="n">
        <f aca="false">IF(B52=0,KL52+KP52,0)</f>
        <v>0</v>
      </c>
      <c r="RR52" s="20" t="n">
        <f aca="false">IF(B52=0,IF(HU52=1,KN52,KO52),0)</f>
        <v>0</v>
      </c>
      <c r="RS52" s="20" t="n">
        <f aca="false">IF(CZ52=1,IF(HU52=1,KU52+KX52,DA52-PM52)*(1+Slot9_Rate),0)</f>
        <v>0</v>
      </c>
      <c r="RT52" s="20" t="n">
        <f aca="false">IF(AND(HU52=1,CZ52=1),(KT52+KX52)/F52,0)</f>
        <v>0</v>
      </c>
      <c r="RU52" s="20" t="n">
        <f aca="false">IF(B52=0,KT52+KX52,0)</f>
        <v>0</v>
      </c>
      <c r="RV52" s="20" t="n">
        <f aca="false">IF(B52=0,IF(HU52=1,KV52,KW52),0)</f>
        <v>0</v>
      </c>
      <c r="RW52" s="20" t="n">
        <f aca="false">IF(DJ52=1,IF(HU52=1,LC52+LF52,DK52-PK52)*(1+Slot10_Rate),0)</f>
        <v>0</v>
      </c>
      <c r="RX52" s="20" t="n">
        <f aca="false">IF(AND(HU52=1,DJ52=1),(LB52+LF52)/F52,0)</f>
        <v>0</v>
      </c>
      <c r="RY52" s="20" t="n">
        <f aca="false">IF(B52=0,LB52+LF52,0)</f>
        <v>0</v>
      </c>
      <c r="RZ52" s="20" t="n">
        <f aca="false">IF(B52=0,IF(HU52=1,LD52,LE52),0)</f>
        <v>0</v>
      </c>
      <c r="SA52" s="20" t="n">
        <f aca="false">IF(DT52=1,IF(HU52=1,LK52+LN52,DU52-PI52)*(1+Slot11_Rate),0)</f>
        <v>0</v>
      </c>
      <c r="SB52" s="20" t="n">
        <f aca="false">IF(AND(HU52=1,DT52=1),(LJ52+LN52)/F52,0)</f>
        <v>0</v>
      </c>
      <c r="SC52" s="20" t="n">
        <f aca="false">IF(B52=0,LJ52+LN52,0)</f>
        <v>0</v>
      </c>
      <c r="SD52" s="20" t="n">
        <f aca="false">IF(B52=0,IF(HU52=1,LL52,LM52),0)</f>
        <v>0</v>
      </c>
      <c r="SE52" s="20" t="n">
        <f aca="false">IF(ED52=1,IF(HU52=1,LS52+LV52,EE52-PG52)*(1+Slot12_Rate),0)</f>
        <v>0</v>
      </c>
      <c r="SF52" s="20" t="n">
        <f aca="false">IF(AND(HU52=1,ED52=1),(LR52+LV52)/F52,0)</f>
        <v>0</v>
      </c>
      <c r="SG52" s="20" t="n">
        <f aca="false">IF(B52=0,LR52+LV52,0)</f>
        <v>0</v>
      </c>
      <c r="SH52" s="20" t="n">
        <f aca="false">IF(B52=0,IF(HU52=1,LT52,LU52),0)</f>
        <v>0</v>
      </c>
      <c r="SI52" s="20" t="n">
        <f aca="false">IF(EN52=1,IF(HU52=1,MA52+MD52,EO52-PE52)*(1+Slot13_Rate),0)</f>
        <v>0</v>
      </c>
      <c r="SJ52" s="20" t="n">
        <f aca="false">IF(AND(HU52=1,EN52=1),(LZ52+MD52)/F52,0)</f>
        <v>0</v>
      </c>
      <c r="SK52" s="20" t="n">
        <f aca="false">IF(B52=0,LZ52+MD52,0)</f>
        <v>0</v>
      </c>
      <c r="SL52" s="20" t="n">
        <f aca="false">IF(B52=0,IF(HU52=1,MB52,MC52),0)</f>
        <v>0</v>
      </c>
      <c r="SM52" s="20" t="n">
        <f aca="false">IF(EX52=1,IF(HU52=1,MI52+ML52,EY52-PC52)*(1+Slot14_Rate),0)</f>
        <v>0</v>
      </c>
      <c r="SN52" s="20" t="n">
        <f aca="false">IF(AND(HU52=1,EX52=1),(MH52+ML52)/F52,0)</f>
        <v>0</v>
      </c>
      <c r="SO52" s="20" t="n">
        <f aca="false">IF(B52=0,MH52+ML52,0)</f>
        <v>0</v>
      </c>
      <c r="SP52" s="20" t="n">
        <f aca="false">IF(B52=0,IF(HU52=1,MJ52,MK52),0)</f>
        <v>0</v>
      </c>
      <c r="SQ52" s="20" t="n">
        <f aca="false">IF(FH52=1,IF(HU52=1,MQ52+MT52,FI52-PA52)*(1+Slot15_Rate),0)</f>
        <v>0</v>
      </c>
      <c r="SR52" s="20" t="n">
        <f aca="false">IF(AND(HU52=1,FH52=1),(MP52+MT52)/F52,0)</f>
        <v>0</v>
      </c>
      <c r="SS52" s="20" t="n">
        <f aca="false">IF(B52=0,MP52+MT52,0)</f>
        <v>0</v>
      </c>
      <c r="ST52" s="20" t="n">
        <f aca="false">IF(B52=0,IF(HU52=1,MR52,MS52),0)</f>
        <v>0</v>
      </c>
      <c r="SU52" s="20" t="n">
        <f aca="false">IF(FR52=1,IF(HU52=1,MY52+NB52,FS52-OY52)*(1+Slot16_Rate),0)</f>
        <v>0</v>
      </c>
      <c r="SV52" s="20" t="n">
        <f aca="false">IF(AND(HU52=1,FR52=1),(MX52+NB52)/F52,0)</f>
        <v>0</v>
      </c>
      <c r="SW52" s="20" t="n">
        <f aca="false">IF(B52=0,MX52+NB52,0)</f>
        <v>0</v>
      </c>
      <c r="SX52" s="20" t="n">
        <f aca="false">IF(B52=0,IF(HU52=1,MZ52,NA52),0)</f>
        <v>0</v>
      </c>
      <c r="SY52" s="20" t="n">
        <f aca="false">IF(GB52=1,IF(HU52=1,NG52+NJ52,GC52-OW52)*(1+Slot17_Rate),0)</f>
        <v>0</v>
      </c>
      <c r="SZ52" s="20" t="n">
        <f aca="false">IF(AND(HU52=1,GB52=1),(NF52+NJ52)/F52,0)</f>
        <v>0</v>
      </c>
      <c r="TA52" s="20" t="n">
        <f aca="false">IF(B52=0,NF52+NJ52,0)</f>
        <v>0</v>
      </c>
      <c r="TB52" s="20" t="n">
        <f aca="false">IF(B52=0,IF(HU52=1,NH52,NI52),0)</f>
        <v>0</v>
      </c>
      <c r="TC52" s="20" t="n">
        <f aca="false">IF(GL52=1,IF(HU52=1,NO52+NR52,GM52-OU52)*(1+Slot18_Rate),0)</f>
        <v>0</v>
      </c>
      <c r="TD52" s="20" t="n">
        <f aca="false">IF(AND(HU52=1,GL52=1),(NN52+NR52)/F52,0)</f>
        <v>0</v>
      </c>
      <c r="TE52" s="20" t="n">
        <f aca="false">IF(B52=0,NN52+NR52,0)</f>
        <v>0</v>
      </c>
      <c r="TF52" s="20" t="n">
        <f aca="false">IF(B52=0,IF(HU52=1,NP52,NQ52),0)</f>
        <v>0</v>
      </c>
      <c r="TG52" s="20" t="n">
        <f aca="false">IF(GV52=1,IF(HU52=1,NW52+NZ52,GW52-OS52)*(1+Slot19_Rate),0)</f>
        <v>0</v>
      </c>
      <c r="TH52" s="20" t="n">
        <f aca="false">IF(AND(HU52=1,GV52=1),(NV52+NZ52)/F52,0)</f>
        <v>0</v>
      </c>
      <c r="TI52" s="20" t="n">
        <f aca="false">IF(B52=0,NV52+NZ52,0)</f>
        <v>0</v>
      </c>
      <c r="TJ52" s="20" t="n">
        <f aca="false">IF(B52=0,IF(HU52=1,NX52,NY52),0)</f>
        <v>0</v>
      </c>
      <c r="TK52" s="20" t="n">
        <f aca="false">IF(HF52=1,IF(HU52=1,OE52+OH52,HG52-OQ52)*(1+Slot20_Rate),0)</f>
        <v>0</v>
      </c>
      <c r="TL52" s="20" t="n">
        <f aca="false">IF(AND(HU52=1,HF52=1),(OD52+OH52)/F52,0)</f>
        <v>0</v>
      </c>
      <c r="TM52" s="20" t="n">
        <f aca="false">IF(B52=0,OD52+OH52,0)</f>
        <v>0</v>
      </c>
      <c r="TN52" s="20" t="n">
        <f aca="false">IF(B52=0,IF(HU52=1,OF52,OG52),0)</f>
        <v>0</v>
      </c>
      <c r="TO52" s="20" t="n">
        <f aca="false">QK52+QL52+QM52+QQ52+QU52+QY52+RC52+RG52+RK52+RO52+RS52+RW52+SA52+SE52+SI52+SM52+SQ52+SU52+SY52+TC52+TG52+TK52</f>
        <v>0</v>
      </c>
      <c r="TP52" s="20" t="n">
        <f aca="false">QE52+HP52</f>
        <v>25607.1854959062</v>
      </c>
      <c r="TQ52" s="20" t="n">
        <f aca="false">I52+S52</f>
        <v>114244.54020922</v>
      </c>
      <c r="TR52" s="20" t="n">
        <f aca="false">1-G52</f>
        <v>1</v>
      </c>
      <c r="TS52" s="20" t="n">
        <f aca="false">IF(AND(RG_Exists=1,G52=0,C52=1),I52,0)</f>
        <v>114244.54020922</v>
      </c>
      <c r="TT52" s="20" t="n">
        <f aca="false">IF(AND(RG_Exists=1,G52=0,C52=1),I52-MIN(QE52,I52),0)</f>
        <v>88637.3547133137</v>
      </c>
      <c r="TU52" s="20" t="n">
        <f aca="false">'Plan pay &amp; tax'!AD278</f>
        <v>301391.708717722</v>
      </c>
      <c r="TV52" s="20" t="n">
        <f aca="false">IF(AND(C52=1,QE52&gt;MAX(PR_Short1,TQ52*PR_Short2)),1,0)</f>
        <v>1</v>
      </c>
      <c r="TW52" s="20" t="n">
        <f aca="false">MIN(H52,I52+S52)</f>
        <v>88637.3547133137</v>
      </c>
      <c r="TX52" s="20" t="n">
        <f aca="false">QF52+MAX(0,HQ52-HP52)</f>
        <v>0</v>
      </c>
      <c r="TY52" s="20" t="n">
        <f aca="false">QE52+HP52</f>
        <v>25607.1854959062</v>
      </c>
      <c r="TZ52" s="20" t="n">
        <f aca="false">IF(AND(C52=1,TY52&gt;PR_MinShort),1,0)</f>
        <v>1</v>
      </c>
      <c r="UA52" s="20" t="n">
        <f aca="false">IF(AND(C52=1,TZ52=0,TX52&gt;PR_MinShort),1,0)</f>
        <v>0</v>
      </c>
      <c r="UB52" s="20" t="n">
        <f aca="false">IF(AND(C52=1,QE52&gt;PR_MinShort),1,0)</f>
        <v>1</v>
      </c>
      <c r="UC52" s="20" t="n">
        <f aca="false">IF(AND(C52=1,QF52&gt;1,UJ52=0),1,0)</f>
        <v>0</v>
      </c>
      <c r="UD52" s="20" t="str">
        <f aca="false">IF(C52=0,"",IF(UJ52=1,"Gap to plan for: short "&amp;"€"&amp;TEXT(ROUND(TP52,0),"#,##0"),IF(QF52&gt;1,"Using savings","Comfortable")))</f>
        <v>Gap to plan for: short €25,607</v>
      </c>
      <c r="UE52" s="20" t="n">
        <f aca="false">IF(AND(INT(D52/10)*10=90,B52&gt;0),80,INT(D52/10)*10)</f>
        <v>80</v>
      </c>
      <c r="UF52" s="20" t="n">
        <f aca="false">IF(B52=0,1,IF(UE52&lt;&gt;UE51,UF51+1,UF51))</f>
        <v>6</v>
      </c>
      <c r="UG52" s="20" t="n">
        <f aca="false">IF(AND(C52=1,G52=1,QE52&gt;MAX(PR_Short1,TQ52*PR_Short2)),1,0)</f>
        <v>0</v>
      </c>
      <c r="UH52" s="20" t="n">
        <f aca="false">TR52*TV52</f>
        <v>1</v>
      </c>
      <c r="UI52" s="20" t="n">
        <f aca="false">IF(AND(V52=1,Slot1_PctLow=1),1,0)+IF(AND(AG52=1,Slot2_PctLow=1),1,0)+IF(AND(AQ52=1,Slot3_PctLow=1),1,0)+IF(AND(BA52=1,Slot4_PctLow=1),1,0)+IF(AND(BK52=1,Slot5_PctLow=1),1,0)+IF(AND(BU52=1,Slot6_PctLow=1),1,0)+IF(AND(CE52=1,Slot7_PctLow=1),1,0)+IF(AND(CO52=1,Slot8_PctLow=1),1,0)+IF(AND(CY52=1,Slot9_PctLow=1),1,0)+IF(AND(DI52=1,Slot10_PctLow=1),1,0)+IF(AND(DS52=1,Slot11_PctLow=1),1,0)+IF(AND(EC52=1,Slot12_PctLow=1),1,0)+IF(AND(EM52=1,Slot13_PctLow=1),1,0)+IF(AND(EW52=1,Slot14_PctLow=1),1,0)+IF(AND(FG52=1,Slot15_PctLow=1),1,0)+IF(AND(FQ52=1,Slot16_PctLow=1),1,0)+IF(AND(GA52=1,Slot17_PctLow=1),1,0)+IF(AND(GK52=1,Slot18_PctLow=1),1,0)+IF(AND(GU52=1,Slot19_PctLow=1),1,0)+IF(AND(HE52=1,Slot20_PctLow=1),1,0)</f>
        <v>0</v>
      </c>
      <c r="UJ52" s="20" t="n">
        <f aca="false">IF(C52=1,IF(OR(TV52=1,UI52&gt;0),1,0),0)</f>
        <v>1</v>
      </c>
      <c r="UK52" s="20" t="n">
        <f aca="false">Z52+AK52+AU52+BE52+BO52+BY52+CI52+CS52+DC52+DM52+DW52+EG52+EQ52+FA52+FK52+FU52+GE52+GO52+GY52+HI52+OM52</f>
        <v>0</v>
      </c>
      <c r="UL52" s="20" t="n">
        <f aca="false">V52*IF(Slot1_SpendLike=1,X52-Y52,IF(Slot1_PotFree=1,X52,0))+AG52*IF(Slot2_SpendLike=1,AI52-AJ52,IF(Slot2_PotFree=1,AI52,0))+AQ52*IF(Slot3_SpendLike=1,AS52-AT52,IF(Slot3_PotFree=1,AS52,0))+BA52*IF(Slot4_SpendLike=1,BC52-BD52,IF(Slot4_PotFree=1,BC52,0))+BK52*IF(Slot5_SpendLike=1,BM52-BN52,IF(Slot5_PotFree=1,BM52,0))+BU52*IF(Slot6_SpendLike=1,BW52-BX52,IF(Slot6_PotFree=1,BW52,0))+CE52*IF(Slot7_SpendLike=1,CG52-CH52,IF(Slot7_PotFree=1,CG52,0))+CO52*IF(Slot8_SpendLike=1,CQ52-CR52,IF(Slot8_PotFree=1,CQ52,0))+CY52*IF(Slot9_SpendLike=1,DA52-DB52,IF(Slot9_PotFree=1,DA52,0))+DI52*IF(Slot10_SpendLike=1,DK52-DL52,IF(Slot10_PotFree=1,DK52,0))+DS52*IF(Slot11_SpendLike=1,DU52-DV52,IF(Slot11_PotFree=1,DU52,0))+EC52*IF(Slot12_SpendLike=1,EE52-EF52,IF(Slot12_PotFree=1,EE52,0))+EM52*IF(Slot13_SpendLike=1,EO52-EP52,IF(Slot13_PotFree=1,EO52,0))+EW52*IF(Slot14_SpendLike=1,EY52-EZ52,IF(Slot14_PotFree=1,EY52,0))+FG52*IF(Slot15_SpendLike=1,FI52-FJ52,IF(Slot15_PotFree=1,FI52,0))+FQ52*IF(Slot16_SpendLike=1,FS52-FT52,IF(Slot16_PotFree=1,FS52,0))+GA52*IF(Slot17_SpendLike=1,GC52-GD52,IF(Slot17_PotFree=1,GC52,0))+GK52*IF(Slot18_SpendLike=1,GM52-GN52,IF(Slot18_PotFree=1,GM52,0))+GU52*IF(Slot19_SpendLike=1,GW52-GX52,IF(Slot19_PotFree=1,GW52,0))+HE52*IF(Slot20_SpendLike=1,HG52-HH52,IF(Slot20_PotFree=1,HG52,0))</f>
        <v>0</v>
      </c>
      <c r="UM52" s="20" t="n">
        <f aca="false">QG52-T52+UK52-UL52</f>
        <v>0</v>
      </c>
      <c r="UN52" s="20" t="n">
        <f aca="false">IF(OR(UN51=1,AND(In_homeUse="Yes, I'd downsize",In_downAge&gt;0,D52=In_downAge,OR(In_home="Own outright",In_home="Own with mortgage"),In_homeValue&gt;0)),1,0)</f>
        <v>0</v>
      </c>
    </row>
    <row r="53" customFormat="false" ht="15" hidden="false" customHeight="true" outlineLevel="0" collapsed="false">
      <c r="B53" s="20" t="n">
        <v>45</v>
      </c>
      <c r="C53" s="20" t="n">
        <f aca="false">IF(B53&lt;=F_N,1,0)</f>
        <v>1</v>
      </c>
      <c r="D53" s="20" t="n">
        <f aca="false">'Plan pay &amp; tax'!C279</f>
        <v>83</v>
      </c>
      <c r="E53" s="20" t="str">
        <f aca="false">IF($C53=1,"Income tax "&amp;TEXT(N('Plan pay &amp; tax'!BK279),"#,##0")&amp;"; USC "&amp;TEXT(N('Plan pay &amp; tax'!BM279)+N('Plan pay &amp; tax'!BO279),"#,##0")&amp;"; PRSI "&amp;TEXT(N('Plan pay &amp; tax'!BP279)+N('Plan pay &amp; tax'!BQ279),"#,##0")&amp;IF(N('Plan holdings'!BO53)&gt;=0.5,"; DIRT "&amp;TEXT(('Plan holdings'!BO53)/$F53,"#,##0")&amp;" (already taken from the interest earned)","")&amp;IF(N('Plan holdings'!BP53)&gt;=0.5,"; exit tax at an 8-year anniversary "&amp;TEXT(('Plan holdings'!BP53)/$F53,"#,##0"),"")&amp;IF(N('Plan holdings'!BN53)&gt;=0.5,"; tax on assets sold (exit tax or capital gains tax) "&amp;TEXT(('Plan holdings'!BN53)/$F53,"#,##0"),"")&amp;IF(N('Plan pay &amp; tax'!X279)-N('Plan pay &amp; tax'!Y279)&gt;=0.5,"; tax on the pension lump sum "&amp;TEXT(('Plan pay &amp; tax'!X279-'Plan pay &amp; tax'!Y279)/$F53,"#,##0"),"")&amp;IF(N('Plan pay &amp; tax'!V279)&gt;=0.5,"; chargeable excess tax on the pension "&amp;TEXT(('Plan pay &amp; tax'!V279)/$F53,"#,##0"),"")&amp;".","")</f>
        <v>Income tax 874; USC 0; PRSI 0.</v>
      </c>
      <c r="F53" s="50" t="n">
        <f aca="false">'Plan pay &amp; tax'!E279</f>
        <v>2.43785420530135</v>
      </c>
      <c r="G53" s="20" t="n">
        <f aca="false">'Plan pay &amp; tax'!G279</f>
        <v>0</v>
      </c>
      <c r="H53" s="20" t="n">
        <f aca="false">'Plan pay &amp; tax'!BT279-'Plan pay &amp; tax'!BS279-'Plan pay &amp; tax'!R279</f>
        <v>90616.8808612511</v>
      </c>
      <c r="I53" s="20" t="n">
        <f aca="false">IF(G53=1,F_CostsM*12,IF(RG_Exists=1,RG_Amount,F_CostsM*12*AS_RetireSpend))*F53+F_OneOffY*F53</f>
        <v>116529.431013404</v>
      </c>
      <c r="J53" s="20" t="n">
        <f aca="false">IF(UN53=1,0,HR52)</f>
        <v>0</v>
      </c>
      <c r="K53" s="20" t="n">
        <f aca="false">IF(J53&gt;1,'Plan debt months'!AC53,0)</f>
        <v>0</v>
      </c>
      <c r="L53" s="20" t="n">
        <f aca="false">IF(J53&gt;1,'Plan debt months'!AB53,J53)</f>
        <v>0</v>
      </c>
      <c r="M53" s="20" t="n">
        <f aca="false">O52</f>
        <v>0</v>
      </c>
      <c r="N53" s="20" t="n">
        <f aca="false">IF(M53&gt;1,'Plan debt months'!BD53,0)</f>
        <v>0</v>
      </c>
      <c r="O53" s="20" t="n">
        <f aca="false">IF(M53&gt;1,'Plan debt months'!BC53,M53)</f>
        <v>0</v>
      </c>
      <c r="P53" s="20" t="n">
        <f aca="false">R52</f>
        <v>0</v>
      </c>
      <c r="Q53" s="20" t="n">
        <f aca="false">IF(P53&gt;1,'Plan debt months'!CE53,0)</f>
        <v>0</v>
      </c>
      <c r="R53" s="20" t="n">
        <f aca="false">IF(P53&gt;1,'Plan debt months'!CD53,P53)</f>
        <v>0</v>
      </c>
      <c r="S53" s="20" t="n">
        <f aca="false">K53+N53+Q53</f>
        <v>0</v>
      </c>
      <c r="T53" s="57" t="n">
        <f aca="false">'Plan holdings'!Y53</f>
        <v>0</v>
      </c>
      <c r="U53" s="57" t="n">
        <f aca="false">'Plan holdings'!BM52</f>
        <v>0</v>
      </c>
      <c r="V53" s="20" t="n">
        <f aca="false">IF(AND(Slot1_On=1,D53=Slot1_Age),1,0)</f>
        <v>0</v>
      </c>
      <c r="W53" s="20" t="n">
        <f aca="false">IF(AND(Slot1_On=1,Slot1_Age&gt;D53),1,0)</f>
        <v>0</v>
      </c>
      <c r="X53" s="20" t="n">
        <f aca="false">QM52</f>
        <v>0</v>
      </c>
      <c r="Y53" s="20" t="n">
        <f aca="false">V53*MIN(Slot1_Cost,X53)</f>
        <v>0</v>
      </c>
      <c r="Z53" s="20" t="n">
        <f aca="false">V53*Slot1_SpendLike*MIN(Slot1_Cost-Y53,T53)</f>
        <v>0</v>
      </c>
      <c r="AA53" s="20" t="n">
        <f aca="false">Y53+Z53</f>
        <v>0</v>
      </c>
      <c r="AB53" s="20" t="n">
        <f aca="false">T53-Z53+V53*IF(Slot1_SpendLike=1,X53-Y53,IF(Slot1_PotFree=1,X53,0))</f>
        <v>0</v>
      </c>
      <c r="AC53" s="20" t="n">
        <f aca="false">AF53+V53*Slot1_BufPot*X53</f>
        <v>0</v>
      </c>
      <c r="AD53" s="20" t="n">
        <f aca="false">IF(AND(V53=1,Slot1_IsMfree=1),IF(AA53&gt;=Slot1_Cost-1,0,MAX(0,L53-AA53)),L53)</f>
        <v>0</v>
      </c>
      <c r="AE53" s="20" t="n">
        <f aca="false">V53*(Slot1_Cost-AA53)</f>
        <v>0</v>
      </c>
      <c r="AF53" s="20" t="n">
        <f aca="false">QL52</f>
        <v>0</v>
      </c>
      <c r="AG53" s="20" t="n">
        <f aca="false">IF(AND(Slot2_On=1,D53=Slot2_Age),1,0)</f>
        <v>0</v>
      </c>
      <c r="AH53" s="20" t="n">
        <f aca="false">IF(AND(Slot2_On=1,Slot2_Age&gt;D53),1,0)</f>
        <v>0</v>
      </c>
      <c r="AI53" s="20" t="n">
        <f aca="false">QQ52</f>
        <v>0</v>
      </c>
      <c r="AJ53" s="20" t="n">
        <f aca="false">AG53*MIN(Slot2_Cost,AI53)</f>
        <v>0</v>
      </c>
      <c r="AK53" s="20" t="n">
        <f aca="false">AG53*Slot2_SpendLike*MIN(Slot2_Cost-AJ53,AB53)</f>
        <v>0</v>
      </c>
      <c r="AL53" s="20" t="n">
        <f aca="false">AJ53+AK53</f>
        <v>0</v>
      </c>
      <c r="AM53" s="20" t="n">
        <f aca="false">AB53-AK53+AG53*IF(Slot2_SpendLike=1,AI53-AJ53,IF(Slot2_PotFree=1,AI53,0))</f>
        <v>0</v>
      </c>
      <c r="AN53" s="20" t="n">
        <f aca="false">AC53+AG53*Slot2_BufPot*AI53</f>
        <v>0</v>
      </c>
      <c r="AO53" s="20" t="n">
        <f aca="false">IF(AND(AG53=1,Slot2_IsMfree=1),IF(AL53&gt;=Slot2_Cost-1,0,MAX(0,AD53-AL53)),AD53)</f>
        <v>0</v>
      </c>
      <c r="AP53" s="20" t="n">
        <f aca="false">AG53*(Slot2_Cost-AL53)</f>
        <v>0</v>
      </c>
      <c r="AQ53" s="20" t="n">
        <f aca="false">IF(AND(Slot3_On=1,D53=Slot3_Age),1,0)</f>
        <v>0</v>
      </c>
      <c r="AR53" s="20" t="n">
        <f aca="false">IF(AND(Slot3_On=1,Slot3_Age&gt;D53),1,0)</f>
        <v>0</v>
      </c>
      <c r="AS53" s="20" t="n">
        <f aca="false">QU52</f>
        <v>0</v>
      </c>
      <c r="AT53" s="20" t="n">
        <f aca="false">AQ53*MIN(Slot3_Cost,AS53)</f>
        <v>0</v>
      </c>
      <c r="AU53" s="20" t="n">
        <f aca="false">AQ53*Slot3_SpendLike*MIN(Slot3_Cost-AT53,AM53)</f>
        <v>0</v>
      </c>
      <c r="AV53" s="20" t="n">
        <f aca="false">AT53+AU53</f>
        <v>0</v>
      </c>
      <c r="AW53" s="20" t="n">
        <f aca="false">AM53-AU53+AQ53*IF(Slot3_SpendLike=1,AS53-AT53,IF(Slot3_PotFree=1,AS53,0))</f>
        <v>0</v>
      </c>
      <c r="AX53" s="20" t="n">
        <f aca="false">AN53+AQ53*Slot3_BufPot*AS53</f>
        <v>0</v>
      </c>
      <c r="AY53" s="20" t="n">
        <f aca="false">IF(AND(AQ53=1,Slot3_IsMfree=1),IF(AV53&gt;=Slot3_Cost-1,0,MAX(0,AO53-AV53)),AO53)</f>
        <v>0</v>
      </c>
      <c r="AZ53" s="20" t="n">
        <f aca="false">AQ53*(Slot3_Cost-AV53)</f>
        <v>0</v>
      </c>
      <c r="BA53" s="20" t="n">
        <f aca="false">IF(AND(Slot4_On=1,D53=Slot4_Age),1,0)</f>
        <v>0</v>
      </c>
      <c r="BB53" s="20" t="n">
        <f aca="false">IF(AND(Slot4_On=1,Slot4_Age&gt;D53),1,0)</f>
        <v>0</v>
      </c>
      <c r="BC53" s="20" t="n">
        <f aca="false">QY52</f>
        <v>0</v>
      </c>
      <c r="BD53" s="20" t="n">
        <f aca="false">BA53*MIN(Slot4_Cost,BC53)</f>
        <v>0</v>
      </c>
      <c r="BE53" s="20" t="n">
        <f aca="false">BA53*Slot4_SpendLike*MIN(Slot4_Cost-BD53,AW53)</f>
        <v>0</v>
      </c>
      <c r="BF53" s="20" t="n">
        <f aca="false">BD53+BE53</f>
        <v>0</v>
      </c>
      <c r="BG53" s="20" t="n">
        <f aca="false">AW53-BE53+BA53*IF(Slot4_SpendLike=1,BC53-BD53,IF(Slot4_PotFree=1,BC53,0))</f>
        <v>0</v>
      </c>
      <c r="BH53" s="20" t="n">
        <f aca="false">AX53+BA53*Slot4_BufPot*BC53</f>
        <v>0</v>
      </c>
      <c r="BI53" s="20" t="n">
        <f aca="false">IF(AND(BA53=1,Slot4_IsMfree=1),IF(BF53&gt;=Slot4_Cost-1,0,MAX(0,AY53-BF53)),AY53)</f>
        <v>0</v>
      </c>
      <c r="BJ53" s="20" t="n">
        <f aca="false">BA53*(Slot4_Cost-BF53)</f>
        <v>0</v>
      </c>
      <c r="BK53" s="20" t="n">
        <f aca="false">IF(AND(Slot5_On=1,D53=Slot5_Age),1,0)</f>
        <v>0</v>
      </c>
      <c r="BL53" s="20" t="n">
        <f aca="false">IF(AND(Slot5_On=1,Slot5_Age&gt;D53),1,0)</f>
        <v>0</v>
      </c>
      <c r="BM53" s="20" t="n">
        <f aca="false">RC52</f>
        <v>0</v>
      </c>
      <c r="BN53" s="20" t="n">
        <f aca="false">BK53*MIN(Slot5_Cost,BM53)</f>
        <v>0</v>
      </c>
      <c r="BO53" s="20" t="n">
        <f aca="false">BK53*Slot5_SpendLike*MIN(Slot5_Cost-BN53,BG53)</f>
        <v>0</v>
      </c>
      <c r="BP53" s="20" t="n">
        <f aca="false">BN53+BO53</f>
        <v>0</v>
      </c>
      <c r="BQ53" s="20" t="n">
        <f aca="false">BG53-BO53+BK53*IF(Slot5_SpendLike=1,BM53-BN53,IF(Slot5_PotFree=1,BM53,0))</f>
        <v>0</v>
      </c>
      <c r="BR53" s="20" t="n">
        <f aca="false">BH53+BK53*Slot5_BufPot*BM53</f>
        <v>0</v>
      </c>
      <c r="BS53" s="20" t="n">
        <f aca="false">IF(AND(BK53=1,Slot5_IsMfree=1),IF(BP53&gt;=Slot5_Cost-1,0,MAX(0,BI53-BP53)),BI53)</f>
        <v>0</v>
      </c>
      <c r="BT53" s="20" t="n">
        <f aca="false">BK53*(Slot5_Cost-BP53)</f>
        <v>0</v>
      </c>
      <c r="BU53" s="20" t="n">
        <f aca="false">IF(AND(Slot6_On=1,D53=Slot6_Age),1,0)</f>
        <v>0</v>
      </c>
      <c r="BV53" s="20" t="n">
        <f aca="false">IF(AND(Slot6_On=1,Slot6_Age&gt;D53),1,0)</f>
        <v>0</v>
      </c>
      <c r="BW53" s="20" t="n">
        <f aca="false">RG52</f>
        <v>0</v>
      </c>
      <c r="BX53" s="20" t="n">
        <f aca="false">BU53*MIN(Slot6_Cost,BW53)</f>
        <v>0</v>
      </c>
      <c r="BY53" s="20" t="n">
        <f aca="false">BU53*Slot6_SpendLike*MIN(Slot6_Cost-BX53,BQ53)</f>
        <v>0</v>
      </c>
      <c r="BZ53" s="20" t="n">
        <f aca="false">BX53+BY53</f>
        <v>0</v>
      </c>
      <c r="CA53" s="20" t="n">
        <f aca="false">BQ53-BY53+BU53*IF(Slot6_SpendLike=1,BW53-BX53,IF(Slot6_PotFree=1,BW53,0))</f>
        <v>0</v>
      </c>
      <c r="CB53" s="20" t="n">
        <f aca="false">BR53+BU53*Slot6_BufPot*BW53</f>
        <v>0</v>
      </c>
      <c r="CC53" s="20" t="n">
        <f aca="false">IF(AND(BU53=1,Slot6_IsMfree=1),IF(BZ53&gt;=Slot6_Cost-1,0,MAX(0,BS53-BZ53)),BS53)</f>
        <v>0</v>
      </c>
      <c r="CD53" s="20" t="n">
        <f aca="false">BU53*(Slot6_Cost-BZ53)</f>
        <v>0</v>
      </c>
      <c r="CE53" s="20" t="n">
        <f aca="false">IF(AND(Slot7_On=1,D53=Slot7_Age),1,0)</f>
        <v>0</v>
      </c>
      <c r="CF53" s="20" t="n">
        <f aca="false">IF(AND(Slot7_On=1,Slot7_Age&gt;D53),1,0)</f>
        <v>0</v>
      </c>
      <c r="CG53" s="20" t="n">
        <f aca="false">RK52</f>
        <v>0</v>
      </c>
      <c r="CH53" s="20" t="n">
        <f aca="false">CE53*MIN(Slot7_Cost,CG53)</f>
        <v>0</v>
      </c>
      <c r="CI53" s="20" t="n">
        <f aca="false">CE53*Slot7_SpendLike*MIN(Slot7_Cost-CH53,CA53)</f>
        <v>0</v>
      </c>
      <c r="CJ53" s="20" t="n">
        <f aca="false">CH53+CI53</f>
        <v>0</v>
      </c>
      <c r="CK53" s="20" t="n">
        <f aca="false">CA53-CI53+CE53*IF(Slot7_SpendLike=1,CG53-CH53,IF(Slot7_PotFree=1,CG53,0))</f>
        <v>0</v>
      </c>
      <c r="CL53" s="20" t="n">
        <f aca="false">CB53+CE53*Slot7_BufPot*CG53</f>
        <v>0</v>
      </c>
      <c r="CM53" s="20" t="n">
        <f aca="false">IF(AND(CE53=1,Slot7_IsMfree=1),IF(CJ53&gt;=Slot7_Cost-1,0,MAX(0,CC53-CJ53)),CC53)</f>
        <v>0</v>
      </c>
      <c r="CN53" s="20" t="n">
        <f aca="false">CE53*(Slot7_Cost-CJ53)</f>
        <v>0</v>
      </c>
      <c r="CO53" s="20" t="n">
        <f aca="false">IF(AND(Slot8_On=1,D53=Slot8_Age),1,0)</f>
        <v>0</v>
      </c>
      <c r="CP53" s="20" t="n">
        <f aca="false">IF(AND(Slot8_On=1,Slot8_Age&gt;D53),1,0)</f>
        <v>0</v>
      </c>
      <c r="CQ53" s="20" t="n">
        <f aca="false">RO52</f>
        <v>0</v>
      </c>
      <c r="CR53" s="20" t="n">
        <f aca="false">CO53*MIN(Slot8_Cost,CQ53)</f>
        <v>0</v>
      </c>
      <c r="CS53" s="20" t="n">
        <f aca="false">CO53*Slot8_SpendLike*MIN(Slot8_Cost-CR53,CK53)</f>
        <v>0</v>
      </c>
      <c r="CT53" s="20" t="n">
        <f aca="false">CR53+CS53</f>
        <v>0</v>
      </c>
      <c r="CU53" s="20" t="n">
        <f aca="false">CK53-CS53+CO53*IF(Slot8_SpendLike=1,CQ53-CR53,IF(Slot8_PotFree=1,CQ53,0))</f>
        <v>0</v>
      </c>
      <c r="CV53" s="20" t="n">
        <f aca="false">CL53+CO53*Slot8_BufPot*CQ53</f>
        <v>0</v>
      </c>
      <c r="CW53" s="20" t="n">
        <f aca="false">IF(AND(CO53=1,Slot8_IsMfree=1),IF(CT53&gt;=Slot8_Cost-1,0,MAX(0,CM53-CT53)),CM53)</f>
        <v>0</v>
      </c>
      <c r="CX53" s="20" t="n">
        <f aca="false">CO53*(Slot8_Cost-CT53)</f>
        <v>0</v>
      </c>
      <c r="CY53" s="20" t="n">
        <f aca="false">IF(AND(Slot9_On=1,D53=Slot9_Age),1,0)</f>
        <v>0</v>
      </c>
      <c r="CZ53" s="20" t="n">
        <f aca="false">IF(AND(Slot9_On=1,Slot9_Age&gt;D53),1,0)</f>
        <v>0</v>
      </c>
      <c r="DA53" s="20" t="n">
        <f aca="false">RS52</f>
        <v>0</v>
      </c>
      <c r="DB53" s="20" t="n">
        <f aca="false">CY53*MIN(Slot9_Cost,DA53)</f>
        <v>0</v>
      </c>
      <c r="DC53" s="20" t="n">
        <f aca="false">CY53*Slot9_SpendLike*MIN(Slot9_Cost-DB53,CU53)</f>
        <v>0</v>
      </c>
      <c r="DD53" s="20" t="n">
        <f aca="false">DB53+DC53</f>
        <v>0</v>
      </c>
      <c r="DE53" s="20" t="n">
        <f aca="false">CU53-DC53+CY53*IF(Slot9_SpendLike=1,DA53-DB53,IF(Slot9_PotFree=1,DA53,0))</f>
        <v>0</v>
      </c>
      <c r="DF53" s="20" t="n">
        <f aca="false">CV53+CY53*Slot9_BufPot*DA53</f>
        <v>0</v>
      </c>
      <c r="DG53" s="20" t="n">
        <f aca="false">IF(AND(CY53=1,Slot9_IsMfree=1),IF(DD53&gt;=Slot9_Cost-1,0,MAX(0,CW53-DD53)),CW53)</f>
        <v>0</v>
      </c>
      <c r="DH53" s="20" t="n">
        <f aca="false">CY53*(Slot9_Cost-DD53)</f>
        <v>0</v>
      </c>
      <c r="DI53" s="20" t="n">
        <f aca="false">IF(AND(Slot10_On=1,D53=Slot10_Age),1,0)</f>
        <v>0</v>
      </c>
      <c r="DJ53" s="20" t="n">
        <f aca="false">IF(AND(Slot10_On=1,Slot10_Age&gt;D53),1,0)</f>
        <v>0</v>
      </c>
      <c r="DK53" s="20" t="n">
        <f aca="false">RW52</f>
        <v>0</v>
      </c>
      <c r="DL53" s="20" t="n">
        <f aca="false">DI53*MIN(Slot10_Cost,DK53)</f>
        <v>0</v>
      </c>
      <c r="DM53" s="20" t="n">
        <f aca="false">DI53*Slot10_SpendLike*MIN(Slot10_Cost-DL53,DE53)</f>
        <v>0</v>
      </c>
      <c r="DN53" s="20" t="n">
        <f aca="false">DL53+DM53</f>
        <v>0</v>
      </c>
      <c r="DO53" s="20" t="n">
        <f aca="false">DE53-DM53+DI53*IF(Slot10_SpendLike=1,DK53-DL53,IF(Slot10_PotFree=1,DK53,0))</f>
        <v>0</v>
      </c>
      <c r="DP53" s="20" t="n">
        <f aca="false">DF53+DI53*Slot10_BufPot*DK53</f>
        <v>0</v>
      </c>
      <c r="DQ53" s="20" t="n">
        <f aca="false">IF(AND(DI53=1,Slot10_IsMfree=1),IF(DN53&gt;=Slot10_Cost-1,0,MAX(0,DG53-DN53)),DG53)</f>
        <v>0</v>
      </c>
      <c r="DR53" s="20" t="n">
        <f aca="false">DI53*(Slot10_Cost-DN53)</f>
        <v>0</v>
      </c>
      <c r="DS53" s="20" t="n">
        <f aca="false">IF(AND(Slot11_On=1,D53=Slot11_Age),1,0)</f>
        <v>0</v>
      </c>
      <c r="DT53" s="20" t="n">
        <f aca="false">IF(AND(Slot11_On=1,Slot11_Age&gt;D53),1,0)</f>
        <v>0</v>
      </c>
      <c r="DU53" s="20" t="n">
        <f aca="false">SA52</f>
        <v>0</v>
      </c>
      <c r="DV53" s="20" t="n">
        <f aca="false">DS53*MIN(Slot11_Cost,DU53)</f>
        <v>0</v>
      </c>
      <c r="DW53" s="20" t="n">
        <f aca="false">DS53*Slot11_SpendLike*MIN(Slot11_Cost-DV53,DO53)</f>
        <v>0</v>
      </c>
      <c r="DX53" s="20" t="n">
        <f aca="false">DV53+DW53</f>
        <v>0</v>
      </c>
      <c r="DY53" s="20" t="n">
        <f aca="false">DO53-DW53+DS53*IF(Slot11_SpendLike=1,DU53-DV53,IF(Slot11_PotFree=1,DU53,0))</f>
        <v>0</v>
      </c>
      <c r="DZ53" s="20" t="n">
        <f aca="false">DP53+DS53*Slot11_BufPot*DU53</f>
        <v>0</v>
      </c>
      <c r="EA53" s="20" t="n">
        <f aca="false">IF(AND(DS53=1,Slot11_IsMfree=1),IF(DX53&gt;=Slot11_Cost-1,0,MAX(0,DQ53-DX53)),DQ53)</f>
        <v>0</v>
      </c>
      <c r="EB53" s="20" t="n">
        <f aca="false">DS53*(Slot11_Cost-DX53)</f>
        <v>0</v>
      </c>
      <c r="EC53" s="20" t="n">
        <f aca="false">IF(AND(Slot12_On=1,D53=Slot12_Age),1,0)</f>
        <v>0</v>
      </c>
      <c r="ED53" s="20" t="n">
        <f aca="false">IF(AND(Slot12_On=1,Slot12_Age&gt;D53),1,0)</f>
        <v>0</v>
      </c>
      <c r="EE53" s="20" t="n">
        <f aca="false">SE52</f>
        <v>0</v>
      </c>
      <c r="EF53" s="20" t="n">
        <f aca="false">EC53*MIN(Slot12_Cost,EE53)</f>
        <v>0</v>
      </c>
      <c r="EG53" s="20" t="n">
        <f aca="false">EC53*Slot12_SpendLike*MIN(Slot12_Cost-EF53,DY53)</f>
        <v>0</v>
      </c>
      <c r="EH53" s="20" t="n">
        <f aca="false">EF53+EG53</f>
        <v>0</v>
      </c>
      <c r="EI53" s="20" t="n">
        <f aca="false">DY53-EG53+EC53*IF(Slot12_SpendLike=1,EE53-EF53,IF(Slot12_PotFree=1,EE53,0))</f>
        <v>0</v>
      </c>
      <c r="EJ53" s="20" t="n">
        <f aca="false">DZ53+EC53*Slot12_BufPot*EE53</f>
        <v>0</v>
      </c>
      <c r="EK53" s="20" t="n">
        <f aca="false">IF(AND(EC53=1,Slot12_IsMfree=1),IF(EH53&gt;=Slot12_Cost-1,0,MAX(0,EA53-EH53)),EA53)</f>
        <v>0</v>
      </c>
      <c r="EL53" s="20" t="n">
        <f aca="false">EC53*(Slot12_Cost-EH53)</f>
        <v>0</v>
      </c>
      <c r="EM53" s="20" t="n">
        <f aca="false">IF(AND(Slot13_On=1,D53=Slot13_Age),1,0)</f>
        <v>0</v>
      </c>
      <c r="EN53" s="20" t="n">
        <f aca="false">IF(AND(Slot13_On=1,Slot13_Age&gt;D53),1,0)</f>
        <v>0</v>
      </c>
      <c r="EO53" s="20" t="n">
        <f aca="false">SI52</f>
        <v>0</v>
      </c>
      <c r="EP53" s="20" t="n">
        <f aca="false">EM53*MIN(Slot13_Cost,EO53)</f>
        <v>0</v>
      </c>
      <c r="EQ53" s="20" t="n">
        <f aca="false">EM53*Slot13_SpendLike*MIN(Slot13_Cost-EP53,EI53)</f>
        <v>0</v>
      </c>
      <c r="ER53" s="20" t="n">
        <f aca="false">EP53+EQ53</f>
        <v>0</v>
      </c>
      <c r="ES53" s="20" t="n">
        <f aca="false">EI53-EQ53+EM53*IF(Slot13_SpendLike=1,EO53-EP53,IF(Slot13_PotFree=1,EO53,0))</f>
        <v>0</v>
      </c>
      <c r="ET53" s="20" t="n">
        <f aca="false">EJ53+EM53*Slot13_BufPot*EO53</f>
        <v>0</v>
      </c>
      <c r="EU53" s="20" t="n">
        <f aca="false">IF(AND(EM53=1,Slot13_IsMfree=1),IF(ER53&gt;=Slot13_Cost-1,0,MAX(0,EK53-ER53)),EK53)</f>
        <v>0</v>
      </c>
      <c r="EV53" s="20" t="n">
        <f aca="false">EM53*(Slot13_Cost-ER53)</f>
        <v>0</v>
      </c>
      <c r="EW53" s="20" t="n">
        <f aca="false">IF(AND(Slot14_On=1,D53=Slot14_Age),1,0)</f>
        <v>0</v>
      </c>
      <c r="EX53" s="20" t="n">
        <f aca="false">IF(AND(Slot14_On=1,Slot14_Age&gt;D53),1,0)</f>
        <v>0</v>
      </c>
      <c r="EY53" s="20" t="n">
        <f aca="false">SM52</f>
        <v>0</v>
      </c>
      <c r="EZ53" s="20" t="n">
        <f aca="false">EW53*MIN(Slot14_Cost,EY53)</f>
        <v>0</v>
      </c>
      <c r="FA53" s="20" t="n">
        <f aca="false">EW53*Slot14_SpendLike*MIN(Slot14_Cost-EZ53,ES53)</f>
        <v>0</v>
      </c>
      <c r="FB53" s="20" t="n">
        <f aca="false">EZ53+FA53</f>
        <v>0</v>
      </c>
      <c r="FC53" s="20" t="n">
        <f aca="false">ES53-FA53+EW53*IF(Slot14_SpendLike=1,EY53-EZ53,IF(Slot14_PotFree=1,EY53,0))</f>
        <v>0</v>
      </c>
      <c r="FD53" s="20" t="n">
        <f aca="false">ET53+EW53*Slot14_BufPot*EY53</f>
        <v>0</v>
      </c>
      <c r="FE53" s="20" t="n">
        <f aca="false">IF(AND(EW53=1,Slot14_IsMfree=1),IF(FB53&gt;=Slot14_Cost-1,0,MAX(0,EU53-FB53)),EU53)</f>
        <v>0</v>
      </c>
      <c r="FF53" s="20" t="n">
        <f aca="false">EW53*(Slot14_Cost-FB53)</f>
        <v>0</v>
      </c>
      <c r="FG53" s="20" t="n">
        <f aca="false">IF(AND(Slot15_On=1,D53=Slot15_Age),1,0)</f>
        <v>0</v>
      </c>
      <c r="FH53" s="20" t="n">
        <f aca="false">IF(AND(Slot15_On=1,Slot15_Age&gt;D53),1,0)</f>
        <v>0</v>
      </c>
      <c r="FI53" s="20" t="n">
        <f aca="false">SQ52</f>
        <v>0</v>
      </c>
      <c r="FJ53" s="20" t="n">
        <f aca="false">FG53*MIN(Slot15_Cost,FI53)</f>
        <v>0</v>
      </c>
      <c r="FK53" s="20" t="n">
        <f aca="false">FG53*Slot15_SpendLike*MIN(Slot15_Cost-FJ53,FC53)</f>
        <v>0</v>
      </c>
      <c r="FL53" s="20" t="n">
        <f aca="false">FJ53+FK53</f>
        <v>0</v>
      </c>
      <c r="FM53" s="20" t="n">
        <f aca="false">FC53-FK53+FG53*IF(Slot15_SpendLike=1,FI53-FJ53,IF(Slot15_PotFree=1,FI53,0))</f>
        <v>0</v>
      </c>
      <c r="FN53" s="20" t="n">
        <f aca="false">FD53+FG53*Slot15_BufPot*FI53</f>
        <v>0</v>
      </c>
      <c r="FO53" s="20" t="n">
        <f aca="false">IF(AND(FG53=1,Slot15_IsMfree=1),IF(FL53&gt;=Slot15_Cost-1,0,MAX(0,FE53-FL53)),FE53)</f>
        <v>0</v>
      </c>
      <c r="FP53" s="20" t="n">
        <f aca="false">FG53*(Slot15_Cost-FL53)</f>
        <v>0</v>
      </c>
      <c r="FQ53" s="20" t="n">
        <f aca="false">IF(AND(Slot16_On=1,D53=Slot16_Age),1,0)</f>
        <v>0</v>
      </c>
      <c r="FR53" s="20" t="n">
        <f aca="false">IF(AND(Slot16_On=1,Slot16_Age&gt;D53),1,0)</f>
        <v>0</v>
      </c>
      <c r="FS53" s="20" t="n">
        <f aca="false">SU52</f>
        <v>0</v>
      </c>
      <c r="FT53" s="20" t="n">
        <f aca="false">FQ53*MIN(Slot16_Cost,FS53)</f>
        <v>0</v>
      </c>
      <c r="FU53" s="20" t="n">
        <f aca="false">FQ53*Slot16_SpendLike*MIN(Slot16_Cost-FT53,FM53)</f>
        <v>0</v>
      </c>
      <c r="FV53" s="20" t="n">
        <f aca="false">FT53+FU53</f>
        <v>0</v>
      </c>
      <c r="FW53" s="20" t="n">
        <f aca="false">FM53-FU53+FQ53*IF(Slot16_SpendLike=1,FS53-FT53,IF(Slot16_PotFree=1,FS53,0))</f>
        <v>0</v>
      </c>
      <c r="FX53" s="20" t="n">
        <f aca="false">FN53+FQ53*Slot16_BufPot*FS53</f>
        <v>0</v>
      </c>
      <c r="FY53" s="20" t="n">
        <f aca="false">IF(AND(FQ53=1,Slot16_IsMfree=1),IF(FV53&gt;=Slot16_Cost-1,0,MAX(0,FO53-FV53)),FO53)</f>
        <v>0</v>
      </c>
      <c r="FZ53" s="20" t="n">
        <f aca="false">FQ53*(Slot16_Cost-FV53)</f>
        <v>0</v>
      </c>
      <c r="GA53" s="20" t="n">
        <f aca="false">IF(AND(Slot17_On=1,D53=Slot17_Age),1,0)</f>
        <v>0</v>
      </c>
      <c r="GB53" s="20" t="n">
        <f aca="false">IF(AND(Slot17_On=1,Slot17_Age&gt;D53),1,0)</f>
        <v>0</v>
      </c>
      <c r="GC53" s="20" t="n">
        <f aca="false">SY52</f>
        <v>0</v>
      </c>
      <c r="GD53" s="20" t="n">
        <f aca="false">GA53*MIN(Slot17_Cost,GC53)</f>
        <v>0</v>
      </c>
      <c r="GE53" s="20" t="n">
        <f aca="false">GA53*Slot17_SpendLike*MIN(Slot17_Cost-GD53,FW53)</f>
        <v>0</v>
      </c>
      <c r="GF53" s="20" t="n">
        <f aca="false">GD53+GE53</f>
        <v>0</v>
      </c>
      <c r="GG53" s="20" t="n">
        <f aca="false">FW53-GE53+GA53*IF(Slot17_SpendLike=1,GC53-GD53,IF(Slot17_PotFree=1,GC53,0))</f>
        <v>0</v>
      </c>
      <c r="GH53" s="20" t="n">
        <f aca="false">FX53+GA53*Slot17_BufPot*GC53</f>
        <v>0</v>
      </c>
      <c r="GI53" s="20" t="n">
        <f aca="false">IF(AND(GA53=1,Slot17_IsMfree=1),IF(GF53&gt;=Slot17_Cost-1,0,MAX(0,FY53-GF53)),FY53)</f>
        <v>0</v>
      </c>
      <c r="GJ53" s="20" t="n">
        <f aca="false">GA53*(Slot17_Cost-GF53)</f>
        <v>0</v>
      </c>
      <c r="GK53" s="20" t="n">
        <f aca="false">IF(AND(Slot18_On=1,D53=Slot18_Age),1,0)</f>
        <v>0</v>
      </c>
      <c r="GL53" s="20" t="n">
        <f aca="false">IF(AND(Slot18_On=1,Slot18_Age&gt;D53),1,0)</f>
        <v>0</v>
      </c>
      <c r="GM53" s="20" t="n">
        <f aca="false">TC52</f>
        <v>0</v>
      </c>
      <c r="GN53" s="20" t="n">
        <f aca="false">GK53*MIN(Slot18_Cost,GM53)</f>
        <v>0</v>
      </c>
      <c r="GO53" s="20" t="n">
        <f aca="false">GK53*Slot18_SpendLike*MIN(Slot18_Cost-GN53,GG53)</f>
        <v>0</v>
      </c>
      <c r="GP53" s="20" t="n">
        <f aca="false">GN53+GO53</f>
        <v>0</v>
      </c>
      <c r="GQ53" s="20" t="n">
        <f aca="false">GG53-GO53+GK53*IF(Slot18_SpendLike=1,GM53-GN53,IF(Slot18_PotFree=1,GM53,0))</f>
        <v>0</v>
      </c>
      <c r="GR53" s="20" t="n">
        <f aca="false">GH53+GK53*Slot18_BufPot*GM53</f>
        <v>0</v>
      </c>
      <c r="GS53" s="20" t="n">
        <f aca="false">IF(AND(GK53=1,Slot18_IsMfree=1),IF(GP53&gt;=Slot18_Cost-1,0,MAX(0,GI53-GP53)),GI53)</f>
        <v>0</v>
      </c>
      <c r="GT53" s="20" t="n">
        <f aca="false">GK53*(Slot18_Cost-GP53)</f>
        <v>0</v>
      </c>
      <c r="GU53" s="20" t="n">
        <f aca="false">IF(AND(Slot19_On=1,D53=Slot19_Age),1,0)</f>
        <v>0</v>
      </c>
      <c r="GV53" s="20" t="n">
        <f aca="false">IF(AND(Slot19_On=1,Slot19_Age&gt;D53),1,0)</f>
        <v>0</v>
      </c>
      <c r="GW53" s="20" t="n">
        <f aca="false">TG52</f>
        <v>0</v>
      </c>
      <c r="GX53" s="20" t="n">
        <f aca="false">GU53*MIN(Slot19_Cost,GW53)</f>
        <v>0</v>
      </c>
      <c r="GY53" s="20" t="n">
        <f aca="false">GU53*Slot19_SpendLike*MIN(Slot19_Cost-GX53,GQ53)</f>
        <v>0</v>
      </c>
      <c r="GZ53" s="20" t="n">
        <f aca="false">GX53+GY53</f>
        <v>0</v>
      </c>
      <c r="HA53" s="20" t="n">
        <f aca="false">GQ53-GY53+GU53*IF(Slot19_SpendLike=1,GW53-GX53,IF(Slot19_PotFree=1,GW53,0))</f>
        <v>0</v>
      </c>
      <c r="HB53" s="20" t="n">
        <f aca="false">GR53+GU53*Slot19_BufPot*GW53</f>
        <v>0</v>
      </c>
      <c r="HC53" s="20" t="n">
        <f aca="false">IF(AND(GU53=1,Slot19_IsMfree=1),IF(GZ53&gt;=Slot19_Cost-1,0,MAX(0,GS53-GZ53)),GS53)</f>
        <v>0</v>
      </c>
      <c r="HD53" s="20" t="n">
        <f aca="false">GU53*(Slot19_Cost-GZ53)</f>
        <v>0</v>
      </c>
      <c r="HE53" s="20" t="n">
        <f aca="false">IF(AND(Slot20_On=1,D53=Slot20_Age),1,0)</f>
        <v>0</v>
      </c>
      <c r="HF53" s="20" t="n">
        <f aca="false">IF(AND(Slot20_On=1,Slot20_Age&gt;D53),1,0)</f>
        <v>0</v>
      </c>
      <c r="HG53" s="20" t="n">
        <f aca="false">TK52</f>
        <v>0</v>
      </c>
      <c r="HH53" s="20" t="n">
        <f aca="false">HE53*MIN(Slot20_Cost,HG53)</f>
        <v>0</v>
      </c>
      <c r="HI53" s="20" t="n">
        <f aca="false">HE53*Slot20_SpendLike*MIN(Slot20_Cost-HH53,HA53)</f>
        <v>0</v>
      </c>
      <c r="HJ53" s="20" t="n">
        <f aca="false">HH53+HI53</f>
        <v>0</v>
      </c>
      <c r="HK53" s="20" t="n">
        <f aca="false">HA53-HI53+HE53*IF(Slot20_SpendLike=1,HG53-HH53,IF(Slot20_PotFree=1,HG53,0))</f>
        <v>0</v>
      </c>
      <c r="HL53" s="20" t="n">
        <f aca="false">HB53+HE53*Slot20_BufPot*HG53</f>
        <v>0</v>
      </c>
      <c r="HM53" s="20" t="n">
        <f aca="false">IF(AND(HE53=1,Slot20_IsMfree=1),IF(HJ53&gt;=Slot20_Cost-1,0,MAX(0,HC53-HJ53)),HC53)</f>
        <v>0</v>
      </c>
      <c r="HN53" s="20" t="n">
        <f aca="false">HE53*(Slot20_Cost-HJ53)</f>
        <v>0</v>
      </c>
      <c r="HO53" s="20" t="n">
        <f aca="false">V53*Slot1_SpendLike*AA53+AG53*Slot2_SpendLike*AL53+AQ53*Slot3_SpendLike*AV53+BA53*Slot4_SpendLike*BF53+BK53*Slot5_SpendLike*BP53+BU53*Slot6_SpendLike*BZ53+CE53*Slot7_SpendLike*CJ53+CO53*Slot8_SpendLike*CT53+CY53*Slot9_SpendLike*DD53+DI53*Slot10_SpendLike*DN53+DS53*Slot11_SpendLike*DX53+EC53*Slot12_SpendLike*EH53+EM53*Slot13_SpendLike*ER53+EW53*Slot14_SpendLike*FB53+FG53*Slot15_SpendLike*FL53+FQ53*Slot16_SpendLike*FV53+GA53*Slot17_SpendLike*GF53+GK53*Slot18_SpendLike*GP53+GU53*Slot19_SpendLike*GZ53+HE53*Slot20_SpendLike*HJ53</f>
        <v>0</v>
      </c>
      <c r="HP53" s="20" t="n">
        <f aca="false">AE53+AP53+AZ53+BJ53+BT53+CD53+CN53+CX53+DH53+DR53+EB53+EL53+EV53+FF53+FP53+FZ53+GJ53+GT53+HD53+HN53</f>
        <v>0</v>
      </c>
      <c r="HQ53" s="20" t="n">
        <f aca="false">V53*Slot1_Cost+AG53*Slot2_Cost+AQ53*Slot3_Cost+BA53*Slot4_Cost+BK53*Slot5_Cost+BU53*Slot6_Cost+CE53*Slot7_Cost+CO53*Slot8_Cost+CY53*Slot9_Cost+DI53*Slot10_Cost+DS53*Slot11_Cost+EC53*Slot12_Cost+EM53*Slot13_Cost+EW53*Slot14_Cost+FG53*Slot15_Cost+FQ53*Slot16_Cost+GA53*Slot17_Cost+GK53*Slot18_Cost+GU53*Slot19_Cost+HE53*Slot20_Cost</f>
        <v>0</v>
      </c>
      <c r="HR53" s="20" t="n">
        <f aca="false">HM53</f>
        <v>0</v>
      </c>
      <c r="HS53" s="20" t="n">
        <f aca="false">H53-I53-S53</f>
        <v>-25912.5501521532</v>
      </c>
      <c r="HT53" s="20" t="n">
        <f aca="false">IF(B53=0,IF(AND(Has_q6=1,In_q6=4),PR_ShareVaries*(MAX(0,HS53)/12),MIN(IF(Has_q6=1,CHOOSE(In_q6+1,PR_SaveB1,PR_SaveB2,PR_SaveB3,PR_SaveB4,0),AS_NoAnswer),AS_SaveShare*(MAX(0,HS53)/12))),HT52)</f>
        <v>67.3316893520437</v>
      </c>
      <c r="HU53" s="20" t="n">
        <f aca="false">IF(HS53&gt;=0,1,0)</f>
        <v>0</v>
      </c>
      <c r="HV53" s="20" t="n">
        <f aca="false">MAX(0,HS53/12/F53)</f>
        <v>0</v>
      </c>
      <c r="HW53" s="20" t="n">
        <f aca="false">IF(AND(Has_q6=1,In_q6=4),PR_ShareVaries*(HV53),MIN(IF(Has_q6=1,CHOOSE(In_q6+1,PR_SaveB1,PR_SaveB2,PR_SaveB3,PR_SaveB4,0),AS_NoAnswer),AS_SaveShare*(HV53)))</f>
        <v>0</v>
      </c>
      <c r="HX53" s="20" t="n">
        <f aca="false">IF(Has_saveM=1,IF(In_saveUp="Yes",1,IF(In_saveUp="No",0,IF(In_saveM&gt;=HT53-0.5,1,0))),0)</f>
        <v>0</v>
      </c>
      <c r="HY53" s="20" t="n">
        <f aca="false">IF(Has_saveM=1,MIN(HV53,IF(HX53=1,MAX(In_saveM,HW53),MIN(In_saveM,HW53))),HW53)</f>
        <v>0</v>
      </c>
      <c r="HZ53" s="20" t="n">
        <f aca="false">IF(G53=1,HY53*12*F53,0)</f>
        <v>0</v>
      </c>
      <c r="IA53" s="20" t="n">
        <f aca="false">MAX(0,HZ53+IF(AND(WI_Retire=0,WI_M&lt;0,G53=1),WI_M*12*F53,0))</f>
        <v>0</v>
      </c>
      <c r="IB53" s="20" t="n">
        <f aca="false">Slot1_IsWG*W53+Slot2_IsWG*AH53+Slot3_IsWG*AR53+Slot4_IsWG*BB53+Slot5_IsWG*BL53+Slot6_IsWG*BV53+Slot7_IsWG*CF53+Slot8_IsWG*CP53+Slot9_IsWG*CZ53+Slot10_IsWG*DJ53+Slot11_IsWG*DT53+Slot12_IsWG*ED53+Slot13_IsWG*EN53+Slot14_IsWG*EX53+Slot15_IsWG*FH53+Slot16_IsWG*FR53+Slot17_IsWG*GB53+Slot18_IsWG*GL53+Slot19_IsWG*GV53+Slot20_IsWG*HF53</f>
        <v>0</v>
      </c>
      <c r="IC53" s="20" t="n">
        <f aca="false">IF(AND(WI_Retire=0,WI_M&gt;0,G53=1,IB53&gt;=1),WI_M*12*F53,0)</f>
        <v>0</v>
      </c>
      <c r="ID53" s="20" t="n">
        <f aca="false">IF(HU53=1,MIN(IA53,HS53),0)</f>
        <v>0</v>
      </c>
      <c r="IE53" s="20" t="n">
        <f aca="false">IF(HU53=1,MIN(IC53,HS53-ID53),0)</f>
        <v>0</v>
      </c>
      <c r="IF53" s="20" t="n">
        <f aca="false">IF(W53=1,IF(ABS((1+AS_Wage)/(1+Slot1_Rate)-1)&lt;0.000000000001,(Slot1_Age-D53)*(1+Slot1_Rate)^(Slot1_Age-D53),(1+Slot1_Rate)^(Slot1_Age-D53)*(1-((1+AS_Wage)/(1+Slot1_Rate))^(Slot1_Age-D53))/(1-(1+AS_Wage)/(1+Slot1_Rate))),1)</f>
        <v>1</v>
      </c>
      <c r="IG53" s="20" t="n">
        <f aca="false">IF(AND(HU53=1,IE53&gt;0,Slot1_IsWG=1,W53=1),MAX(0,(Slot1_Cost-X53*(1+Slot1_Rate)^(Slot1_Age-D53))/IF53),0)</f>
        <v>0</v>
      </c>
      <c r="IH53" s="20" t="n">
        <f aca="false">IF(AND(HU53=1,IE53&gt;0,Slot1_IsWG=1,W53=1),MIN(IE53,IG53),0)</f>
        <v>0</v>
      </c>
      <c r="II53" s="20" t="n">
        <f aca="false">X53+IH53</f>
        <v>0</v>
      </c>
      <c r="IJ53" s="20" t="n">
        <f aca="false">IF(W53=1,MAX(0,(Slot1_Cost-II53*(1+Slot1_Rate)^(Slot1_Age-D53))/IF53),0)</f>
        <v>0</v>
      </c>
      <c r="IK53" s="20" t="n">
        <f aca="false">IF(W53=1,MAX(0,(Slot1_Cost-X53*(1+Slot1_Rate)^(Slot1_Age-D53))/IF53),0)</f>
        <v>0</v>
      </c>
      <c r="IL53" s="20" t="n">
        <f aca="false">IF(AND(HU53=1,W53=1),MIN(ID53,IJ53),0)</f>
        <v>0</v>
      </c>
      <c r="IM53" s="20" t="n">
        <f aca="false">ID53-IL53</f>
        <v>0</v>
      </c>
      <c r="IN53" s="20" t="n">
        <f aca="false">IF(AH53=1,IF(ABS((1+AS_Wage)/(1+Slot2_Rate)-1)&lt;0.000000000001,(Slot2_Age-D53)*(1+Slot2_Rate)^(Slot2_Age-D53),(1+Slot2_Rate)^(Slot2_Age-D53)*(1-((1+AS_Wage)/(1+Slot2_Rate))^(Slot2_Age-D53))/(1-(1+AS_Wage)/(1+Slot2_Rate))),1)</f>
        <v>1</v>
      </c>
      <c r="IO53" s="20" t="n">
        <f aca="false">IF(AND(HU53=1,IE53&gt;0,Slot2_IsWG=1,AH53=1),MAX(0,(Slot2_Cost-AI53*(1+Slot2_Rate)^(Slot2_Age-D53))/IN53),0)</f>
        <v>0</v>
      </c>
      <c r="IP53" s="20" t="n">
        <f aca="false">IF(AND(HU53=1,IE53&gt;0,Slot2_IsWG=1,AH53=1),MIN(IE53,IO53),0)</f>
        <v>0</v>
      </c>
      <c r="IQ53" s="20" t="n">
        <f aca="false">AI53+IP53</f>
        <v>0</v>
      </c>
      <c r="IR53" s="20" t="n">
        <f aca="false">IF(AH53=1,MAX(0,(Slot2_Cost-IQ53*(1+Slot2_Rate)^(Slot2_Age-D53))/IN53),0)</f>
        <v>0</v>
      </c>
      <c r="IS53" s="20" t="n">
        <f aca="false">IF(AH53=1,MAX(0,(Slot2_Cost-AI53*(1+Slot2_Rate)^(Slot2_Age-D53))/IN53),0)</f>
        <v>0</v>
      </c>
      <c r="IT53" s="20" t="n">
        <f aca="false">IF(AND(HU53=1,AH53=1),MIN(IM53,IR53),0)</f>
        <v>0</v>
      </c>
      <c r="IU53" s="20" t="n">
        <f aca="false">IM53-IT53</f>
        <v>0</v>
      </c>
      <c r="IV53" s="20" t="n">
        <f aca="false">IF(AR53=1,IF(ABS((1+AS_Wage)/(1+Slot3_Rate)-1)&lt;0.000000000001,(Slot3_Age-D53)*(1+Slot3_Rate)^(Slot3_Age-D53),(1+Slot3_Rate)^(Slot3_Age-D53)*(1-((1+AS_Wage)/(1+Slot3_Rate))^(Slot3_Age-D53))/(1-(1+AS_Wage)/(1+Slot3_Rate))),1)</f>
        <v>1</v>
      </c>
      <c r="IW53" s="20" t="n">
        <f aca="false">IF(AND(HU53=1,IE53&gt;0,Slot3_IsWG=1,AR53=1),MAX(0,(Slot3_Cost-AS53*(1+Slot3_Rate)^(Slot3_Age-D53))/IV53),0)</f>
        <v>0</v>
      </c>
      <c r="IX53" s="20" t="n">
        <f aca="false">IF(AND(HU53=1,IE53&gt;0,Slot3_IsWG=1,AR53=1),MIN(IE53,IW53),0)</f>
        <v>0</v>
      </c>
      <c r="IY53" s="20" t="n">
        <f aca="false">AS53+IX53</f>
        <v>0</v>
      </c>
      <c r="IZ53" s="20" t="n">
        <f aca="false">IF(AR53=1,MAX(0,(Slot3_Cost-IY53*(1+Slot3_Rate)^(Slot3_Age-D53))/IV53),0)</f>
        <v>0</v>
      </c>
      <c r="JA53" s="20" t="n">
        <f aca="false">IF(AR53=1,MAX(0,(Slot3_Cost-AS53*(1+Slot3_Rate)^(Slot3_Age-D53))/IV53),0)</f>
        <v>0</v>
      </c>
      <c r="JB53" s="20" t="n">
        <f aca="false">IF(AND(HU53=1,AR53=1),MIN(IU53,IZ53),0)</f>
        <v>0</v>
      </c>
      <c r="JC53" s="20" t="n">
        <f aca="false">IU53-JB53</f>
        <v>0</v>
      </c>
      <c r="JD53" s="20" t="n">
        <f aca="false">IF(BB53=1,IF(ABS((1+AS_Wage)/(1+Slot4_Rate)-1)&lt;0.000000000001,(Slot4_Age-D53)*(1+Slot4_Rate)^(Slot4_Age-D53),(1+Slot4_Rate)^(Slot4_Age-D53)*(1-((1+AS_Wage)/(1+Slot4_Rate))^(Slot4_Age-D53))/(1-(1+AS_Wage)/(1+Slot4_Rate))),1)</f>
        <v>1</v>
      </c>
      <c r="JE53" s="20" t="n">
        <f aca="false">IF(AND(HU53=1,IE53&gt;0,Slot4_IsWG=1,BB53=1),MAX(0,(Slot4_Cost-BC53*(1+Slot4_Rate)^(Slot4_Age-D53))/JD53),0)</f>
        <v>0</v>
      </c>
      <c r="JF53" s="20" t="n">
        <f aca="false">IF(AND(HU53=1,IE53&gt;0,Slot4_IsWG=1,BB53=1),MIN(IE53,JE53),0)</f>
        <v>0</v>
      </c>
      <c r="JG53" s="20" t="n">
        <f aca="false">BC53+JF53</f>
        <v>0</v>
      </c>
      <c r="JH53" s="20" t="n">
        <f aca="false">IF(BB53=1,MAX(0,(Slot4_Cost-JG53*(1+Slot4_Rate)^(Slot4_Age-D53))/JD53),0)</f>
        <v>0</v>
      </c>
      <c r="JI53" s="20" t="n">
        <f aca="false">IF(BB53=1,MAX(0,(Slot4_Cost-BC53*(1+Slot4_Rate)^(Slot4_Age-D53))/JD53),0)</f>
        <v>0</v>
      </c>
      <c r="JJ53" s="20" t="n">
        <f aca="false">IF(AND(HU53=1,BB53=1),MIN(JC53,JH53),0)</f>
        <v>0</v>
      </c>
      <c r="JK53" s="20" t="n">
        <f aca="false">JC53-JJ53</f>
        <v>0</v>
      </c>
      <c r="JL53" s="20" t="n">
        <f aca="false">IF(BL53=1,IF(ABS((1+AS_Wage)/(1+Slot5_Rate)-1)&lt;0.000000000001,(Slot5_Age-D53)*(1+Slot5_Rate)^(Slot5_Age-D53),(1+Slot5_Rate)^(Slot5_Age-D53)*(1-((1+AS_Wage)/(1+Slot5_Rate))^(Slot5_Age-D53))/(1-(1+AS_Wage)/(1+Slot5_Rate))),1)</f>
        <v>1</v>
      </c>
      <c r="JM53" s="20" t="n">
        <f aca="false">IF(AND(HU53=1,IE53&gt;0,Slot5_IsWG=1,BL53=1),MAX(0,(Slot5_Cost-BM53*(1+Slot5_Rate)^(Slot5_Age-D53))/JL53),0)</f>
        <v>0</v>
      </c>
      <c r="JN53" s="20" t="n">
        <f aca="false">IF(AND(HU53=1,IE53&gt;0,Slot5_IsWG=1,BL53=1),MIN(IE53,JM53),0)</f>
        <v>0</v>
      </c>
      <c r="JO53" s="20" t="n">
        <f aca="false">BM53+JN53</f>
        <v>0</v>
      </c>
      <c r="JP53" s="20" t="n">
        <f aca="false">IF(BL53=1,MAX(0,(Slot5_Cost-JO53*(1+Slot5_Rate)^(Slot5_Age-D53))/JL53),0)</f>
        <v>0</v>
      </c>
      <c r="JQ53" s="20" t="n">
        <f aca="false">IF(BL53=1,MAX(0,(Slot5_Cost-BM53*(1+Slot5_Rate)^(Slot5_Age-D53))/JL53),0)</f>
        <v>0</v>
      </c>
      <c r="JR53" s="20" t="n">
        <f aca="false">IF(AND(HU53=1,BL53=1),MIN(JK53,JP53),0)</f>
        <v>0</v>
      </c>
      <c r="JS53" s="20" t="n">
        <f aca="false">JK53-JR53</f>
        <v>0</v>
      </c>
      <c r="JT53" s="20" t="n">
        <f aca="false">IF(BV53=1,IF(ABS((1+AS_Wage)/(1+Slot6_Rate)-1)&lt;0.000000000001,(Slot6_Age-D53)*(1+Slot6_Rate)^(Slot6_Age-D53),(1+Slot6_Rate)^(Slot6_Age-D53)*(1-((1+AS_Wage)/(1+Slot6_Rate))^(Slot6_Age-D53))/(1-(1+AS_Wage)/(1+Slot6_Rate))),1)</f>
        <v>1</v>
      </c>
      <c r="JU53" s="20" t="n">
        <f aca="false">IF(AND(HU53=1,IE53&gt;0,Slot6_IsWG=1,BV53=1),MAX(0,(Slot6_Cost-BW53*(1+Slot6_Rate)^(Slot6_Age-D53))/JT53),0)</f>
        <v>0</v>
      </c>
      <c r="JV53" s="20" t="n">
        <f aca="false">IF(AND(HU53=1,IE53&gt;0,Slot6_IsWG=1,BV53=1),MIN(IE53,JU53),0)</f>
        <v>0</v>
      </c>
      <c r="JW53" s="20" t="n">
        <f aca="false">BW53+JV53</f>
        <v>0</v>
      </c>
      <c r="JX53" s="20" t="n">
        <f aca="false">IF(BV53=1,MAX(0,(Slot6_Cost-JW53*(1+Slot6_Rate)^(Slot6_Age-D53))/JT53),0)</f>
        <v>0</v>
      </c>
      <c r="JY53" s="20" t="n">
        <f aca="false">IF(BV53=1,MAX(0,(Slot6_Cost-BW53*(1+Slot6_Rate)^(Slot6_Age-D53))/JT53),0)</f>
        <v>0</v>
      </c>
      <c r="JZ53" s="20" t="n">
        <f aca="false">IF(AND(HU53=1,BV53=1),MIN(JS53,JX53),0)</f>
        <v>0</v>
      </c>
      <c r="KA53" s="20" t="n">
        <f aca="false">JS53-JZ53</f>
        <v>0</v>
      </c>
      <c r="KB53" s="20" t="n">
        <f aca="false">IF(CF53=1,IF(ABS((1+AS_Wage)/(1+Slot7_Rate)-1)&lt;0.000000000001,(Slot7_Age-D53)*(1+Slot7_Rate)^(Slot7_Age-D53),(1+Slot7_Rate)^(Slot7_Age-D53)*(1-((1+AS_Wage)/(1+Slot7_Rate))^(Slot7_Age-D53))/(1-(1+AS_Wage)/(1+Slot7_Rate))),1)</f>
        <v>1</v>
      </c>
      <c r="KC53" s="20" t="n">
        <f aca="false">IF(AND(HU53=1,IE53&gt;0,Slot7_IsWG=1,CF53=1),MAX(0,(Slot7_Cost-CG53*(1+Slot7_Rate)^(Slot7_Age-D53))/KB53),0)</f>
        <v>0</v>
      </c>
      <c r="KD53" s="20" t="n">
        <f aca="false">IF(AND(HU53=1,IE53&gt;0,Slot7_IsWG=1,CF53=1),MIN(IE53,KC53),0)</f>
        <v>0</v>
      </c>
      <c r="KE53" s="20" t="n">
        <f aca="false">CG53+KD53</f>
        <v>0</v>
      </c>
      <c r="KF53" s="20" t="n">
        <f aca="false">IF(CF53=1,MAX(0,(Slot7_Cost-KE53*(1+Slot7_Rate)^(Slot7_Age-D53))/KB53),0)</f>
        <v>0</v>
      </c>
      <c r="KG53" s="20" t="n">
        <f aca="false">IF(CF53=1,MAX(0,(Slot7_Cost-CG53*(1+Slot7_Rate)^(Slot7_Age-D53))/KB53),0)</f>
        <v>0</v>
      </c>
      <c r="KH53" s="20" t="n">
        <f aca="false">IF(AND(HU53=1,CF53=1),MIN(KA53,KF53),0)</f>
        <v>0</v>
      </c>
      <c r="KI53" s="20" t="n">
        <f aca="false">KA53-KH53</f>
        <v>0</v>
      </c>
      <c r="KJ53" s="20" t="n">
        <f aca="false">IF(CP53=1,IF(ABS((1+AS_Wage)/(1+Slot8_Rate)-1)&lt;0.000000000001,(Slot8_Age-D53)*(1+Slot8_Rate)^(Slot8_Age-D53),(1+Slot8_Rate)^(Slot8_Age-D53)*(1-((1+AS_Wage)/(1+Slot8_Rate))^(Slot8_Age-D53))/(1-(1+AS_Wage)/(1+Slot8_Rate))),1)</f>
        <v>1</v>
      </c>
      <c r="KK53" s="20" t="n">
        <f aca="false">IF(AND(HU53=1,IE53&gt;0,Slot8_IsWG=1,CP53=1),MAX(0,(Slot8_Cost-CQ53*(1+Slot8_Rate)^(Slot8_Age-D53))/KJ53),0)</f>
        <v>0</v>
      </c>
      <c r="KL53" s="20" t="n">
        <f aca="false">IF(AND(HU53=1,IE53&gt;0,Slot8_IsWG=1,CP53=1),MIN(IE53,KK53),0)</f>
        <v>0</v>
      </c>
      <c r="KM53" s="20" t="n">
        <f aca="false">CQ53+KL53</f>
        <v>0</v>
      </c>
      <c r="KN53" s="20" t="n">
        <f aca="false">IF(CP53=1,MAX(0,(Slot8_Cost-KM53*(1+Slot8_Rate)^(Slot8_Age-D53))/KJ53),0)</f>
        <v>0</v>
      </c>
      <c r="KO53" s="20" t="n">
        <f aca="false">IF(CP53=1,MAX(0,(Slot8_Cost-CQ53*(1+Slot8_Rate)^(Slot8_Age-D53))/KJ53),0)</f>
        <v>0</v>
      </c>
      <c r="KP53" s="20" t="n">
        <f aca="false">IF(AND(HU53=1,CP53=1),MIN(KI53,KN53),0)</f>
        <v>0</v>
      </c>
      <c r="KQ53" s="20" t="n">
        <f aca="false">KI53-KP53</f>
        <v>0</v>
      </c>
      <c r="KR53" s="20" t="n">
        <f aca="false">IF(CZ53=1,IF(ABS((1+AS_Wage)/(1+Slot9_Rate)-1)&lt;0.000000000001,(Slot9_Age-D53)*(1+Slot9_Rate)^(Slot9_Age-D53),(1+Slot9_Rate)^(Slot9_Age-D53)*(1-((1+AS_Wage)/(1+Slot9_Rate))^(Slot9_Age-D53))/(1-(1+AS_Wage)/(1+Slot9_Rate))),1)</f>
        <v>1</v>
      </c>
      <c r="KS53" s="20" t="n">
        <f aca="false">IF(AND(HU53=1,IE53&gt;0,Slot9_IsWG=1,CZ53=1),MAX(0,(Slot9_Cost-DA53*(1+Slot9_Rate)^(Slot9_Age-D53))/KR53),0)</f>
        <v>0</v>
      </c>
      <c r="KT53" s="20" t="n">
        <f aca="false">IF(AND(HU53=1,IE53&gt;0,Slot9_IsWG=1,CZ53=1),MIN(IE53,KS53),0)</f>
        <v>0</v>
      </c>
      <c r="KU53" s="20" t="n">
        <f aca="false">DA53+KT53</f>
        <v>0</v>
      </c>
      <c r="KV53" s="20" t="n">
        <f aca="false">IF(CZ53=1,MAX(0,(Slot9_Cost-KU53*(1+Slot9_Rate)^(Slot9_Age-D53))/KR53),0)</f>
        <v>0</v>
      </c>
      <c r="KW53" s="20" t="n">
        <f aca="false">IF(CZ53=1,MAX(0,(Slot9_Cost-DA53*(1+Slot9_Rate)^(Slot9_Age-D53))/KR53),0)</f>
        <v>0</v>
      </c>
      <c r="KX53" s="20" t="n">
        <f aca="false">IF(AND(HU53=1,CZ53=1),MIN(KQ53,KV53),0)</f>
        <v>0</v>
      </c>
      <c r="KY53" s="20" t="n">
        <f aca="false">KQ53-KX53</f>
        <v>0</v>
      </c>
      <c r="KZ53" s="20" t="n">
        <f aca="false">IF(DJ53=1,IF(ABS((1+AS_Wage)/(1+Slot10_Rate)-1)&lt;0.000000000001,(Slot10_Age-D53)*(1+Slot10_Rate)^(Slot10_Age-D53),(1+Slot10_Rate)^(Slot10_Age-D53)*(1-((1+AS_Wage)/(1+Slot10_Rate))^(Slot10_Age-D53))/(1-(1+AS_Wage)/(1+Slot10_Rate))),1)</f>
        <v>1</v>
      </c>
      <c r="LA53" s="20" t="n">
        <f aca="false">IF(AND(HU53=1,IE53&gt;0,Slot10_IsWG=1,DJ53=1),MAX(0,(Slot10_Cost-DK53*(1+Slot10_Rate)^(Slot10_Age-D53))/KZ53),0)</f>
        <v>0</v>
      </c>
      <c r="LB53" s="20" t="n">
        <f aca="false">IF(AND(HU53=1,IE53&gt;0,Slot10_IsWG=1,DJ53=1),MIN(IE53,LA53),0)</f>
        <v>0</v>
      </c>
      <c r="LC53" s="20" t="n">
        <f aca="false">DK53+LB53</f>
        <v>0</v>
      </c>
      <c r="LD53" s="20" t="n">
        <f aca="false">IF(DJ53=1,MAX(0,(Slot10_Cost-LC53*(1+Slot10_Rate)^(Slot10_Age-D53))/KZ53),0)</f>
        <v>0</v>
      </c>
      <c r="LE53" s="20" t="n">
        <f aca="false">IF(DJ53=1,MAX(0,(Slot10_Cost-DK53*(1+Slot10_Rate)^(Slot10_Age-D53))/KZ53),0)</f>
        <v>0</v>
      </c>
      <c r="LF53" s="20" t="n">
        <f aca="false">IF(AND(HU53=1,DJ53=1),MIN(KY53,LD53),0)</f>
        <v>0</v>
      </c>
      <c r="LG53" s="20" t="n">
        <f aca="false">KY53-LF53</f>
        <v>0</v>
      </c>
      <c r="LH53" s="20" t="n">
        <f aca="false">IF(DT53=1,IF(ABS((1+AS_Wage)/(1+Slot11_Rate)-1)&lt;0.000000000001,(Slot11_Age-D53)*(1+Slot11_Rate)^(Slot11_Age-D53),(1+Slot11_Rate)^(Slot11_Age-D53)*(1-((1+AS_Wage)/(1+Slot11_Rate))^(Slot11_Age-D53))/(1-(1+AS_Wage)/(1+Slot11_Rate))),1)</f>
        <v>1</v>
      </c>
      <c r="LI53" s="20" t="n">
        <f aca="false">IF(AND(HU53=1,IE53&gt;0,Slot11_IsWG=1,DT53=1),MAX(0,(Slot11_Cost-DU53*(1+Slot11_Rate)^(Slot11_Age-D53))/LH53),0)</f>
        <v>0</v>
      </c>
      <c r="LJ53" s="20" t="n">
        <f aca="false">IF(AND(HU53=1,IE53&gt;0,Slot11_IsWG=1,DT53=1),MIN(IE53,LI53),0)</f>
        <v>0</v>
      </c>
      <c r="LK53" s="20" t="n">
        <f aca="false">DU53+LJ53</f>
        <v>0</v>
      </c>
      <c r="LL53" s="20" t="n">
        <f aca="false">IF(DT53=1,MAX(0,(Slot11_Cost-LK53*(1+Slot11_Rate)^(Slot11_Age-D53))/LH53),0)</f>
        <v>0</v>
      </c>
      <c r="LM53" s="20" t="n">
        <f aca="false">IF(DT53=1,MAX(0,(Slot11_Cost-DU53*(1+Slot11_Rate)^(Slot11_Age-D53))/LH53),0)</f>
        <v>0</v>
      </c>
      <c r="LN53" s="20" t="n">
        <f aca="false">IF(AND(HU53=1,DT53=1),MIN(LG53,LL53),0)</f>
        <v>0</v>
      </c>
      <c r="LO53" s="20" t="n">
        <f aca="false">LG53-LN53</f>
        <v>0</v>
      </c>
      <c r="LP53" s="20" t="n">
        <f aca="false">IF(ED53=1,IF(ABS((1+AS_Wage)/(1+Slot12_Rate)-1)&lt;0.000000000001,(Slot12_Age-D53)*(1+Slot12_Rate)^(Slot12_Age-D53),(1+Slot12_Rate)^(Slot12_Age-D53)*(1-((1+AS_Wage)/(1+Slot12_Rate))^(Slot12_Age-D53))/(1-(1+AS_Wage)/(1+Slot12_Rate))),1)</f>
        <v>1</v>
      </c>
      <c r="LQ53" s="20" t="n">
        <f aca="false">IF(AND(HU53=1,IE53&gt;0,Slot12_IsWG=1,ED53=1),MAX(0,(Slot12_Cost-EE53*(1+Slot12_Rate)^(Slot12_Age-D53))/LP53),0)</f>
        <v>0</v>
      </c>
      <c r="LR53" s="20" t="n">
        <f aca="false">IF(AND(HU53=1,IE53&gt;0,Slot12_IsWG=1,ED53=1),MIN(IE53,LQ53),0)</f>
        <v>0</v>
      </c>
      <c r="LS53" s="20" t="n">
        <f aca="false">EE53+LR53</f>
        <v>0</v>
      </c>
      <c r="LT53" s="20" t="n">
        <f aca="false">IF(ED53=1,MAX(0,(Slot12_Cost-LS53*(1+Slot12_Rate)^(Slot12_Age-D53))/LP53),0)</f>
        <v>0</v>
      </c>
      <c r="LU53" s="20" t="n">
        <f aca="false">IF(ED53=1,MAX(0,(Slot12_Cost-EE53*(1+Slot12_Rate)^(Slot12_Age-D53))/LP53),0)</f>
        <v>0</v>
      </c>
      <c r="LV53" s="20" t="n">
        <f aca="false">IF(AND(HU53=1,ED53=1),MIN(LO53,LT53),0)</f>
        <v>0</v>
      </c>
      <c r="LW53" s="20" t="n">
        <f aca="false">LO53-LV53</f>
        <v>0</v>
      </c>
      <c r="LX53" s="20" t="n">
        <f aca="false">IF(EN53=1,IF(ABS((1+AS_Wage)/(1+Slot13_Rate)-1)&lt;0.000000000001,(Slot13_Age-D53)*(1+Slot13_Rate)^(Slot13_Age-D53),(1+Slot13_Rate)^(Slot13_Age-D53)*(1-((1+AS_Wage)/(1+Slot13_Rate))^(Slot13_Age-D53))/(1-(1+AS_Wage)/(1+Slot13_Rate))),1)</f>
        <v>1</v>
      </c>
      <c r="LY53" s="20" t="n">
        <f aca="false">IF(AND(HU53=1,IE53&gt;0,Slot13_IsWG=1,EN53=1),MAX(0,(Slot13_Cost-EO53*(1+Slot13_Rate)^(Slot13_Age-D53))/LX53),0)</f>
        <v>0</v>
      </c>
      <c r="LZ53" s="20" t="n">
        <f aca="false">IF(AND(HU53=1,IE53&gt;0,Slot13_IsWG=1,EN53=1),MIN(IE53,LY53),0)</f>
        <v>0</v>
      </c>
      <c r="MA53" s="20" t="n">
        <f aca="false">EO53+LZ53</f>
        <v>0</v>
      </c>
      <c r="MB53" s="20" t="n">
        <f aca="false">IF(EN53=1,MAX(0,(Slot13_Cost-MA53*(1+Slot13_Rate)^(Slot13_Age-D53))/LX53),0)</f>
        <v>0</v>
      </c>
      <c r="MC53" s="20" t="n">
        <f aca="false">IF(EN53=1,MAX(0,(Slot13_Cost-EO53*(1+Slot13_Rate)^(Slot13_Age-D53))/LX53),0)</f>
        <v>0</v>
      </c>
      <c r="MD53" s="20" t="n">
        <f aca="false">IF(AND(HU53=1,EN53=1),MIN(LW53,MB53),0)</f>
        <v>0</v>
      </c>
      <c r="ME53" s="20" t="n">
        <f aca="false">LW53-MD53</f>
        <v>0</v>
      </c>
      <c r="MF53" s="20" t="n">
        <f aca="false">IF(EX53=1,IF(ABS((1+AS_Wage)/(1+Slot14_Rate)-1)&lt;0.000000000001,(Slot14_Age-D53)*(1+Slot14_Rate)^(Slot14_Age-D53),(1+Slot14_Rate)^(Slot14_Age-D53)*(1-((1+AS_Wage)/(1+Slot14_Rate))^(Slot14_Age-D53))/(1-(1+AS_Wage)/(1+Slot14_Rate))),1)</f>
        <v>1</v>
      </c>
      <c r="MG53" s="20" t="n">
        <f aca="false">IF(AND(HU53=1,IE53&gt;0,Slot14_IsWG=1,EX53=1),MAX(0,(Slot14_Cost-EY53*(1+Slot14_Rate)^(Slot14_Age-D53))/MF53),0)</f>
        <v>0</v>
      </c>
      <c r="MH53" s="20" t="n">
        <f aca="false">IF(AND(HU53=1,IE53&gt;0,Slot14_IsWG=1,EX53=1),MIN(IE53,MG53),0)</f>
        <v>0</v>
      </c>
      <c r="MI53" s="20" t="n">
        <f aca="false">EY53+MH53</f>
        <v>0</v>
      </c>
      <c r="MJ53" s="20" t="n">
        <f aca="false">IF(EX53=1,MAX(0,(Slot14_Cost-MI53*(1+Slot14_Rate)^(Slot14_Age-D53))/MF53),0)</f>
        <v>0</v>
      </c>
      <c r="MK53" s="20" t="n">
        <f aca="false">IF(EX53=1,MAX(0,(Slot14_Cost-EY53*(1+Slot14_Rate)^(Slot14_Age-D53))/MF53),0)</f>
        <v>0</v>
      </c>
      <c r="ML53" s="20" t="n">
        <f aca="false">IF(AND(HU53=1,EX53=1),MIN(ME53,MJ53),0)</f>
        <v>0</v>
      </c>
      <c r="MM53" s="20" t="n">
        <f aca="false">ME53-ML53</f>
        <v>0</v>
      </c>
      <c r="MN53" s="20" t="n">
        <f aca="false">IF(FH53=1,IF(ABS((1+AS_Wage)/(1+Slot15_Rate)-1)&lt;0.000000000001,(Slot15_Age-D53)*(1+Slot15_Rate)^(Slot15_Age-D53),(1+Slot15_Rate)^(Slot15_Age-D53)*(1-((1+AS_Wage)/(1+Slot15_Rate))^(Slot15_Age-D53))/(1-(1+AS_Wage)/(1+Slot15_Rate))),1)</f>
        <v>1</v>
      </c>
      <c r="MO53" s="20" t="n">
        <f aca="false">IF(AND(HU53=1,IE53&gt;0,Slot15_IsWG=1,FH53=1),MAX(0,(Slot15_Cost-FI53*(1+Slot15_Rate)^(Slot15_Age-D53))/MN53),0)</f>
        <v>0</v>
      </c>
      <c r="MP53" s="20" t="n">
        <f aca="false">IF(AND(HU53=1,IE53&gt;0,Slot15_IsWG=1,FH53=1),MIN(IE53,MO53),0)</f>
        <v>0</v>
      </c>
      <c r="MQ53" s="20" t="n">
        <f aca="false">FI53+MP53</f>
        <v>0</v>
      </c>
      <c r="MR53" s="20" t="n">
        <f aca="false">IF(FH53=1,MAX(0,(Slot15_Cost-MQ53*(1+Slot15_Rate)^(Slot15_Age-D53))/MN53),0)</f>
        <v>0</v>
      </c>
      <c r="MS53" s="20" t="n">
        <f aca="false">IF(FH53=1,MAX(0,(Slot15_Cost-FI53*(1+Slot15_Rate)^(Slot15_Age-D53))/MN53),0)</f>
        <v>0</v>
      </c>
      <c r="MT53" s="20" t="n">
        <f aca="false">IF(AND(HU53=1,FH53=1),MIN(MM53,MR53),0)</f>
        <v>0</v>
      </c>
      <c r="MU53" s="20" t="n">
        <f aca="false">MM53-MT53</f>
        <v>0</v>
      </c>
      <c r="MV53" s="20" t="n">
        <f aca="false">IF(FR53=1,IF(ABS((1+AS_Wage)/(1+Slot16_Rate)-1)&lt;0.000000000001,(Slot16_Age-D53)*(1+Slot16_Rate)^(Slot16_Age-D53),(1+Slot16_Rate)^(Slot16_Age-D53)*(1-((1+AS_Wage)/(1+Slot16_Rate))^(Slot16_Age-D53))/(1-(1+AS_Wage)/(1+Slot16_Rate))),1)</f>
        <v>1</v>
      </c>
      <c r="MW53" s="20" t="n">
        <f aca="false">IF(AND(HU53=1,IE53&gt;0,Slot16_IsWG=1,FR53=1),MAX(0,(Slot16_Cost-FS53*(1+Slot16_Rate)^(Slot16_Age-D53))/MV53),0)</f>
        <v>0</v>
      </c>
      <c r="MX53" s="20" t="n">
        <f aca="false">IF(AND(HU53=1,IE53&gt;0,Slot16_IsWG=1,FR53=1),MIN(IE53,MW53),0)</f>
        <v>0</v>
      </c>
      <c r="MY53" s="20" t="n">
        <f aca="false">FS53+MX53</f>
        <v>0</v>
      </c>
      <c r="MZ53" s="20" t="n">
        <f aca="false">IF(FR53=1,MAX(0,(Slot16_Cost-MY53*(1+Slot16_Rate)^(Slot16_Age-D53))/MV53),0)</f>
        <v>0</v>
      </c>
      <c r="NA53" s="20" t="n">
        <f aca="false">IF(FR53=1,MAX(0,(Slot16_Cost-FS53*(1+Slot16_Rate)^(Slot16_Age-D53))/MV53),0)</f>
        <v>0</v>
      </c>
      <c r="NB53" s="20" t="n">
        <f aca="false">IF(AND(HU53=1,FR53=1),MIN(MU53,MZ53),0)</f>
        <v>0</v>
      </c>
      <c r="NC53" s="20" t="n">
        <f aca="false">MU53-NB53</f>
        <v>0</v>
      </c>
      <c r="ND53" s="20" t="n">
        <f aca="false">IF(GB53=1,IF(ABS((1+AS_Wage)/(1+Slot17_Rate)-1)&lt;0.000000000001,(Slot17_Age-D53)*(1+Slot17_Rate)^(Slot17_Age-D53),(1+Slot17_Rate)^(Slot17_Age-D53)*(1-((1+AS_Wage)/(1+Slot17_Rate))^(Slot17_Age-D53))/(1-(1+AS_Wage)/(1+Slot17_Rate))),1)</f>
        <v>1</v>
      </c>
      <c r="NE53" s="20" t="n">
        <f aca="false">IF(AND(HU53=1,IE53&gt;0,Slot17_IsWG=1,GB53=1),MAX(0,(Slot17_Cost-GC53*(1+Slot17_Rate)^(Slot17_Age-D53))/ND53),0)</f>
        <v>0</v>
      </c>
      <c r="NF53" s="20" t="n">
        <f aca="false">IF(AND(HU53=1,IE53&gt;0,Slot17_IsWG=1,GB53=1),MIN(IE53,NE53),0)</f>
        <v>0</v>
      </c>
      <c r="NG53" s="20" t="n">
        <f aca="false">GC53+NF53</f>
        <v>0</v>
      </c>
      <c r="NH53" s="20" t="n">
        <f aca="false">IF(GB53=1,MAX(0,(Slot17_Cost-NG53*(1+Slot17_Rate)^(Slot17_Age-D53))/ND53),0)</f>
        <v>0</v>
      </c>
      <c r="NI53" s="20" t="n">
        <f aca="false">IF(GB53=1,MAX(0,(Slot17_Cost-GC53*(1+Slot17_Rate)^(Slot17_Age-D53))/ND53),0)</f>
        <v>0</v>
      </c>
      <c r="NJ53" s="20" t="n">
        <f aca="false">IF(AND(HU53=1,GB53=1),MIN(NC53,NH53),0)</f>
        <v>0</v>
      </c>
      <c r="NK53" s="20" t="n">
        <f aca="false">NC53-NJ53</f>
        <v>0</v>
      </c>
      <c r="NL53" s="20" t="n">
        <f aca="false">IF(GL53=1,IF(ABS((1+AS_Wage)/(1+Slot18_Rate)-1)&lt;0.000000000001,(Slot18_Age-D53)*(1+Slot18_Rate)^(Slot18_Age-D53),(1+Slot18_Rate)^(Slot18_Age-D53)*(1-((1+AS_Wage)/(1+Slot18_Rate))^(Slot18_Age-D53))/(1-(1+AS_Wage)/(1+Slot18_Rate))),1)</f>
        <v>1</v>
      </c>
      <c r="NM53" s="20" t="n">
        <f aca="false">IF(AND(HU53=1,IE53&gt;0,Slot18_IsWG=1,GL53=1),MAX(0,(Slot18_Cost-GM53*(1+Slot18_Rate)^(Slot18_Age-D53))/NL53),0)</f>
        <v>0</v>
      </c>
      <c r="NN53" s="20" t="n">
        <f aca="false">IF(AND(HU53=1,IE53&gt;0,Slot18_IsWG=1,GL53=1),MIN(IE53,NM53),0)</f>
        <v>0</v>
      </c>
      <c r="NO53" s="20" t="n">
        <f aca="false">GM53+NN53</f>
        <v>0</v>
      </c>
      <c r="NP53" s="20" t="n">
        <f aca="false">IF(GL53=1,MAX(0,(Slot18_Cost-NO53*(1+Slot18_Rate)^(Slot18_Age-D53))/NL53),0)</f>
        <v>0</v>
      </c>
      <c r="NQ53" s="20" t="n">
        <f aca="false">IF(GL53=1,MAX(0,(Slot18_Cost-GM53*(1+Slot18_Rate)^(Slot18_Age-D53))/NL53),0)</f>
        <v>0</v>
      </c>
      <c r="NR53" s="20" t="n">
        <f aca="false">IF(AND(HU53=1,GL53=1),MIN(NK53,NP53),0)</f>
        <v>0</v>
      </c>
      <c r="NS53" s="20" t="n">
        <f aca="false">NK53-NR53</f>
        <v>0</v>
      </c>
      <c r="NT53" s="20" t="n">
        <f aca="false">IF(GV53=1,IF(ABS((1+AS_Wage)/(1+Slot19_Rate)-1)&lt;0.000000000001,(Slot19_Age-D53)*(1+Slot19_Rate)^(Slot19_Age-D53),(1+Slot19_Rate)^(Slot19_Age-D53)*(1-((1+AS_Wage)/(1+Slot19_Rate))^(Slot19_Age-D53))/(1-(1+AS_Wage)/(1+Slot19_Rate))),1)</f>
        <v>1</v>
      </c>
      <c r="NU53" s="20" t="n">
        <f aca="false">IF(AND(HU53=1,IE53&gt;0,Slot19_IsWG=1,GV53=1),MAX(0,(Slot19_Cost-GW53*(1+Slot19_Rate)^(Slot19_Age-D53))/NT53),0)</f>
        <v>0</v>
      </c>
      <c r="NV53" s="20" t="n">
        <f aca="false">IF(AND(HU53=1,IE53&gt;0,Slot19_IsWG=1,GV53=1),MIN(IE53,NU53),0)</f>
        <v>0</v>
      </c>
      <c r="NW53" s="20" t="n">
        <f aca="false">GW53+NV53</f>
        <v>0</v>
      </c>
      <c r="NX53" s="20" t="n">
        <f aca="false">IF(GV53=1,MAX(0,(Slot19_Cost-NW53*(1+Slot19_Rate)^(Slot19_Age-D53))/NT53),0)</f>
        <v>0</v>
      </c>
      <c r="NY53" s="20" t="n">
        <f aca="false">IF(GV53=1,MAX(0,(Slot19_Cost-GW53*(1+Slot19_Rate)^(Slot19_Age-D53))/NT53),0)</f>
        <v>0</v>
      </c>
      <c r="NZ53" s="20" t="n">
        <f aca="false">IF(AND(HU53=1,GV53=1),MIN(NS53,NX53),0)</f>
        <v>0</v>
      </c>
      <c r="OA53" s="20" t="n">
        <f aca="false">NS53-NZ53</f>
        <v>0</v>
      </c>
      <c r="OB53" s="20" t="n">
        <f aca="false">IF(HF53=1,IF(ABS((1+AS_Wage)/(1+Slot20_Rate)-1)&lt;0.000000000001,(Slot20_Age-D53)*(1+Slot20_Rate)^(Slot20_Age-D53),(1+Slot20_Rate)^(Slot20_Age-D53)*(1-((1+AS_Wage)/(1+Slot20_Rate))^(Slot20_Age-D53))/(1-(1+AS_Wage)/(1+Slot20_Rate))),1)</f>
        <v>1</v>
      </c>
      <c r="OC53" s="20" t="n">
        <f aca="false">IF(AND(HU53=1,IE53&gt;0,Slot20_IsWG=1,HF53=1),MAX(0,(Slot20_Cost-HG53*(1+Slot20_Rate)^(Slot20_Age-D53))/OB53),0)</f>
        <v>0</v>
      </c>
      <c r="OD53" s="20" t="n">
        <f aca="false">IF(AND(HU53=1,IE53&gt;0,Slot20_IsWG=1,HF53=1),MIN(IE53,OC53),0)</f>
        <v>0</v>
      </c>
      <c r="OE53" s="20" t="n">
        <f aca="false">HG53+OD53</f>
        <v>0</v>
      </c>
      <c r="OF53" s="20" t="n">
        <f aca="false">IF(HF53=1,MAX(0,(Slot20_Cost-OE53*(1+Slot20_Rate)^(Slot20_Age-D53))/OB53),0)</f>
        <v>0</v>
      </c>
      <c r="OG53" s="20" t="n">
        <f aca="false">IF(HF53=1,MAX(0,(Slot20_Cost-HG53*(1+Slot20_Rate)^(Slot20_Age-D53))/OB53),0)</f>
        <v>0</v>
      </c>
      <c r="OH53" s="20" t="n">
        <f aca="false">IF(AND(HU53=1,HF53=1),MIN(OA53,OF53),0)</f>
        <v>0</v>
      </c>
      <c r="OI53" s="20" t="n">
        <f aca="false">OA53-OH53</f>
        <v>0</v>
      </c>
      <c r="OJ53" s="20" t="n">
        <f aca="false">IE53-(IH53+IP53+IX53+JF53+JN53+JV53+KD53+KL53+KT53+LB53+LJ53+LR53+LZ53+MH53+MP53+MX53+NF53+NN53+NV53+OD53)</f>
        <v>0</v>
      </c>
      <c r="OK53" s="20" t="n">
        <f aca="false">IF(HU53=1,HS53-ID53-IE53,0)</f>
        <v>0</v>
      </c>
      <c r="OL53" s="20" t="n">
        <f aca="false">IF(HU53=0,-HS53,0)</f>
        <v>25912.5501521532</v>
      </c>
      <c r="OM53" s="20" t="n">
        <f aca="false">MIN(OL53,HK53)</f>
        <v>0</v>
      </c>
      <c r="ON53" s="20" t="n">
        <f aca="false">OL53-OM53</f>
        <v>25912.5501521532</v>
      </c>
      <c r="OO53" s="20" t="n">
        <f aca="false">MIN(ON53,HL53)</f>
        <v>0</v>
      </c>
      <c r="OP53" s="20" t="n">
        <f aca="false">ON53-OO53</f>
        <v>25912.5501521532</v>
      </c>
      <c r="OQ53" s="20" t="n">
        <f aca="false">IF(AND(HU53=0,HF53=1,OP53&gt;0),MIN(OP53,HG53),0)</f>
        <v>0</v>
      </c>
      <c r="OR53" s="20" t="n">
        <f aca="false">OP53-OQ53</f>
        <v>25912.5501521532</v>
      </c>
      <c r="OS53" s="20" t="n">
        <f aca="false">IF(AND(HU53=0,GV53=1,OR53&gt;0),MIN(OR53,GW53),0)</f>
        <v>0</v>
      </c>
      <c r="OT53" s="20" t="n">
        <f aca="false">OR53-OS53</f>
        <v>25912.5501521532</v>
      </c>
      <c r="OU53" s="20" t="n">
        <f aca="false">IF(AND(HU53=0,GL53=1,OT53&gt;0),MIN(OT53,GM53),0)</f>
        <v>0</v>
      </c>
      <c r="OV53" s="20" t="n">
        <f aca="false">OT53-OU53</f>
        <v>25912.5501521532</v>
      </c>
      <c r="OW53" s="20" t="n">
        <f aca="false">IF(AND(HU53=0,GB53=1,OV53&gt;0),MIN(OV53,GC53),0)</f>
        <v>0</v>
      </c>
      <c r="OX53" s="20" t="n">
        <f aca="false">OV53-OW53</f>
        <v>25912.5501521532</v>
      </c>
      <c r="OY53" s="20" t="n">
        <f aca="false">IF(AND(HU53=0,FR53=1,OX53&gt;0),MIN(OX53,FS53),0)</f>
        <v>0</v>
      </c>
      <c r="OZ53" s="20" t="n">
        <f aca="false">OX53-OY53</f>
        <v>25912.5501521532</v>
      </c>
      <c r="PA53" s="20" t="n">
        <f aca="false">IF(AND(HU53=0,FH53=1,OZ53&gt;0),MIN(OZ53,FI53),0)</f>
        <v>0</v>
      </c>
      <c r="PB53" s="20" t="n">
        <f aca="false">OZ53-PA53</f>
        <v>25912.5501521532</v>
      </c>
      <c r="PC53" s="20" t="n">
        <f aca="false">IF(AND(HU53=0,EX53=1,PB53&gt;0),MIN(PB53,EY53),0)</f>
        <v>0</v>
      </c>
      <c r="PD53" s="20" t="n">
        <f aca="false">PB53-PC53</f>
        <v>25912.5501521532</v>
      </c>
      <c r="PE53" s="20" t="n">
        <f aca="false">IF(AND(HU53=0,EN53=1,PD53&gt;0),MIN(PD53,EO53),0)</f>
        <v>0</v>
      </c>
      <c r="PF53" s="20" t="n">
        <f aca="false">PD53-PE53</f>
        <v>25912.5501521532</v>
      </c>
      <c r="PG53" s="20" t="n">
        <f aca="false">IF(AND(HU53=0,ED53=1,PF53&gt;0),MIN(PF53,EE53),0)</f>
        <v>0</v>
      </c>
      <c r="PH53" s="20" t="n">
        <f aca="false">PF53-PG53</f>
        <v>25912.5501521532</v>
      </c>
      <c r="PI53" s="20" t="n">
        <f aca="false">IF(AND(HU53=0,DT53=1,PH53&gt;0),MIN(PH53,DU53),0)</f>
        <v>0</v>
      </c>
      <c r="PJ53" s="20" t="n">
        <f aca="false">PH53-PI53</f>
        <v>25912.5501521532</v>
      </c>
      <c r="PK53" s="20" t="n">
        <f aca="false">IF(AND(HU53=0,DJ53=1,PJ53&gt;0),MIN(PJ53,DK53),0)</f>
        <v>0</v>
      </c>
      <c r="PL53" s="20" t="n">
        <f aca="false">PJ53-PK53</f>
        <v>25912.5501521532</v>
      </c>
      <c r="PM53" s="20" t="n">
        <f aca="false">IF(AND(HU53=0,CZ53=1,PL53&gt;0),MIN(PL53,DA53),0)</f>
        <v>0</v>
      </c>
      <c r="PN53" s="20" t="n">
        <f aca="false">PL53-PM53</f>
        <v>25912.5501521532</v>
      </c>
      <c r="PO53" s="20" t="n">
        <f aca="false">IF(AND(HU53=0,CP53=1,PN53&gt;0),MIN(PN53,CQ53),0)</f>
        <v>0</v>
      </c>
      <c r="PP53" s="20" t="n">
        <f aca="false">PN53-PO53</f>
        <v>25912.5501521532</v>
      </c>
      <c r="PQ53" s="20" t="n">
        <f aca="false">IF(AND(HU53=0,CF53=1,PP53&gt;0),MIN(PP53,CG53),0)</f>
        <v>0</v>
      </c>
      <c r="PR53" s="20" t="n">
        <f aca="false">PP53-PQ53</f>
        <v>25912.5501521532</v>
      </c>
      <c r="PS53" s="20" t="n">
        <f aca="false">IF(AND(HU53=0,BV53=1,PR53&gt;0),MIN(PR53,BW53),0)</f>
        <v>0</v>
      </c>
      <c r="PT53" s="20" t="n">
        <f aca="false">PR53-PS53</f>
        <v>25912.5501521532</v>
      </c>
      <c r="PU53" s="20" t="n">
        <f aca="false">IF(AND(HU53=0,BL53=1,PT53&gt;0),MIN(PT53,BM53),0)</f>
        <v>0</v>
      </c>
      <c r="PV53" s="20" t="n">
        <f aca="false">PT53-PU53</f>
        <v>25912.5501521532</v>
      </c>
      <c r="PW53" s="20" t="n">
        <f aca="false">IF(AND(HU53=0,BB53=1,PV53&gt;0),MIN(PV53,BC53),0)</f>
        <v>0</v>
      </c>
      <c r="PX53" s="20" t="n">
        <f aca="false">PV53-PW53</f>
        <v>25912.5501521532</v>
      </c>
      <c r="PY53" s="20" t="n">
        <f aca="false">IF(AND(HU53=0,AR53=1,PX53&gt;0),MIN(PX53,AS53),0)</f>
        <v>0</v>
      </c>
      <c r="PZ53" s="20" t="n">
        <f aca="false">PX53-PY53</f>
        <v>25912.5501521532</v>
      </c>
      <c r="QA53" s="20" t="n">
        <f aca="false">IF(AND(HU53=0,AH53=1,PZ53&gt;0),MIN(PZ53,AI53),0)</f>
        <v>0</v>
      </c>
      <c r="QB53" s="20" t="n">
        <f aca="false">PZ53-QA53</f>
        <v>25912.5501521532</v>
      </c>
      <c r="QC53" s="20" t="n">
        <f aca="false">IF(AND(HU53=0,W53=1,QB53&gt;0),MIN(QB53,X53),0)</f>
        <v>0</v>
      </c>
      <c r="QD53" s="20" t="n">
        <f aca="false">QB53-QC53</f>
        <v>25912.5501521532</v>
      </c>
      <c r="QE53" s="20" t="n">
        <f aca="false">IF(HU53=0,QD53,0)</f>
        <v>25912.5501521532</v>
      </c>
      <c r="QF53" s="20" t="n">
        <f aca="false">OM53+OO53+QC53+QA53+PY53+PW53+PU53+PS53+PQ53+PO53+PM53+PK53+PI53+PG53+PE53+PC53+PA53+OY53+OW53+OU53+OS53+OQ53</f>
        <v>0</v>
      </c>
      <c r="QG53" s="20" t="n">
        <f aca="false">IF(HU53=1,HK53+OJ53+OI53+IF(G53=1,0,OK53),HK53-OM53)</f>
        <v>0</v>
      </c>
      <c r="QH53" s="20" t="n">
        <f aca="false">HL53-OO53</f>
        <v>0</v>
      </c>
      <c r="QI53" s="20" t="n">
        <f aca="false">IF(HU53=1,IF(G53=1,ID53+IE53,HS53),0)</f>
        <v>0</v>
      </c>
      <c r="QJ53" s="20" t="n">
        <f aca="false">IF(HU53=1,IF(G53=1,HS53-ID53-IE53,0),0)</f>
        <v>0</v>
      </c>
      <c r="QK53" s="57" t="n">
        <f aca="false">'Plan holdings'!BM53</f>
        <v>0</v>
      </c>
      <c r="QL53" s="20" t="n">
        <f aca="false">QH53*(1+AS_Cash)</f>
        <v>0</v>
      </c>
      <c r="QM53" s="20" t="n">
        <f aca="false">IF(W53=1,IF(HU53=1,II53+IL53,X53-QC53)*(1+Slot1_Rate),0)</f>
        <v>0</v>
      </c>
      <c r="QN53" s="20" t="n">
        <f aca="false">IF(AND(HU53=1,W53=1),(IH53+IL53)/F53,0)</f>
        <v>0</v>
      </c>
      <c r="QO53" s="20" t="n">
        <f aca="false">IF(B53=0,IH53+IL53,0)</f>
        <v>0</v>
      </c>
      <c r="QP53" s="20" t="n">
        <f aca="false">IF(B53=0,IF(HU53=1,IJ53,IK53),0)</f>
        <v>0</v>
      </c>
      <c r="QQ53" s="20" t="n">
        <f aca="false">IF(AH53=1,IF(HU53=1,IQ53+IT53,AI53-QA53)*(1+Slot2_Rate),0)</f>
        <v>0</v>
      </c>
      <c r="QR53" s="20" t="n">
        <f aca="false">IF(AND(HU53=1,AH53=1),(IP53+IT53)/F53,0)</f>
        <v>0</v>
      </c>
      <c r="QS53" s="20" t="n">
        <f aca="false">IF(B53=0,IP53+IT53,0)</f>
        <v>0</v>
      </c>
      <c r="QT53" s="20" t="n">
        <f aca="false">IF(B53=0,IF(HU53=1,IR53,IS53),0)</f>
        <v>0</v>
      </c>
      <c r="QU53" s="20" t="n">
        <f aca="false">IF(AR53=1,IF(HU53=1,IY53+JB53,AS53-PY53)*(1+Slot3_Rate),0)</f>
        <v>0</v>
      </c>
      <c r="QV53" s="20" t="n">
        <f aca="false">IF(AND(HU53=1,AR53=1),(IX53+JB53)/F53,0)</f>
        <v>0</v>
      </c>
      <c r="QW53" s="20" t="n">
        <f aca="false">IF(B53=0,IX53+JB53,0)</f>
        <v>0</v>
      </c>
      <c r="QX53" s="20" t="n">
        <f aca="false">IF(B53=0,IF(HU53=1,IZ53,JA53),0)</f>
        <v>0</v>
      </c>
      <c r="QY53" s="20" t="n">
        <f aca="false">IF(BB53=1,IF(HU53=1,JG53+JJ53,BC53-PW53)*(1+Slot4_Rate),0)</f>
        <v>0</v>
      </c>
      <c r="QZ53" s="20" t="n">
        <f aca="false">IF(AND(HU53=1,BB53=1),(JF53+JJ53)/F53,0)</f>
        <v>0</v>
      </c>
      <c r="RA53" s="20" t="n">
        <f aca="false">IF(B53=0,JF53+JJ53,0)</f>
        <v>0</v>
      </c>
      <c r="RB53" s="20" t="n">
        <f aca="false">IF(B53=0,IF(HU53=1,JH53,JI53),0)</f>
        <v>0</v>
      </c>
      <c r="RC53" s="20" t="n">
        <f aca="false">IF(BL53=1,IF(HU53=1,JO53+JR53,BM53-PU53)*(1+Slot5_Rate),0)</f>
        <v>0</v>
      </c>
      <c r="RD53" s="20" t="n">
        <f aca="false">IF(AND(HU53=1,BL53=1),(JN53+JR53)/F53,0)</f>
        <v>0</v>
      </c>
      <c r="RE53" s="20" t="n">
        <f aca="false">IF(B53=0,JN53+JR53,0)</f>
        <v>0</v>
      </c>
      <c r="RF53" s="20" t="n">
        <f aca="false">IF(B53=0,IF(HU53=1,JP53,JQ53),0)</f>
        <v>0</v>
      </c>
      <c r="RG53" s="20" t="n">
        <f aca="false">IF(BV53=1,IF(HU53=1,JW53+JZ53,BW53-PS53)*(1+Slot6_Rate),0)</f>
        <v>0</v>
      </c>
      <c r="RH53" s="20" t="n">
        <f aca="false">IF(AND(HU53=1,BV53=1),(JV53+JZ53)/F53,0)</f>
        <v>0</v>
      </c>
      <c r="RI53" s="20" t="n">
        <f aca="false">IF(B53=0,JV53+JZ53,0)</f>
        <v>0</v>
      </c>
      <c r="RJ53" s="20" t="n">
        <f aca="false">IF(B53=0,IF(HU53=1,JX53,JY53),0)</f>
        <v>0</v>
      </c>
      <c r="RK53" s="20" t="n">
        <f aca="false">IF(CF53=1,IF(HU53=1,KE53+KH53,CG53-PQ53)*(1+Slot7_Rate),0)</f>
        <v>0</v>
      </c>
      <c r="RL53" s="20" t="n">
        <f aca="false">IF(AND(HU53=1,CF53=1),(KD53+KH53)/F53,0)</f>
        <v>0</v>
      </c>
      <c r="RM53" s="20" t="n">
        <f aca="false">IF(B53=0,KD53+KH53,0)</f>
        <v>0</v>
      </c>
      <c r="RN53" s="20" t="n">
        <f aca="false">IF(B53=0,IF(HU53=1,KF53,KG53),0)</f>
        <v>0</v>
      </c>
      <c r="RO53" s="20" t="n">
        <f aca="false">IF(CP53=1,IF(HU53=1,KM53+KP53,CQ53-PO53)*(1+Slot8_Rate),0)</f>
        <v>0</v>
      </c>
      <c r="RP53" s="20" t="n">
        <f aca="false">IF(AND(HU53=1,CP53=1),(KL53+KP53)/F53,0)</f>
        <v>0</v>
      </c>
      <c r="RQ53" s="20" t="n">
        <f aca="false">IF(B53=0,KL53+KP53,0)</f>
        <v>0</v>
      </c>
      <c r="RR53" s="20" t="n">
        <f aca="false">IF(B53=0,IF(HU53=1,KN53,KO53),0)</f>
        <v>0</v>
      </c>
      <c r="RS53" s="20" t="n">
        <f aca="false">IF(CZ53=1,IF(HU53=1,KU53+KX53,DA53-PM53)*(1+Slot9_Rate),0)</f>
        <v>0</v>
      </c>
      <c r="RT53" s="20" t="n">
        <f aca="false">IF(AND(HU53=1,CZ53=1),(KT53+KX53)/F53,0)</f>
        <v>0</v>
      </c>
      <c r="RU53" s="20" t="n">
        <f aca="false">IF(B53=0,KT53+KX53,0)</f>
        <v>0</v>
      </c>
      <c r="RV53" s="20" t="n">
        <f aca="false">IF(B53=0,IF(HU53=1,KV53,KW53),0)</f>
        <v>0</v>
      </c>
      <c r="RW53" s="20" t="n">
        <f aca="false">IF(DJ53=1,IF(HU53=1,LC53+LF53,DK53-PK53)*(1+Slot10_Rate),0)</f>
        <v>0</v>
      </c>
      <c r="RX53" s="20" t="n">
        <f aca="false">IF(AND(HU53=1,DJ53=1),(LB53+LF53)/F53,0)</f>
        <v>0</v>
      </c>
      <c r="RY53" s="20" t="n">
        <f aca="false">IF(B53=0,LB53+LF53,0)</f>
        <v>0</v>
      </c>
      <c r="RZ53" s="20" t="n">
        <f aca="false">IF(B53=0,IF(HU53=1,LD53,LE53),0)</f>
        <v>0</v>
      </c>
      <c r="SA53" s="20" t="n">
        <f aca="false">IF(DT53=1,IF(HU53=1,LK53+LN53,DU53-PI53)*(1+Slot11_Rate),0)</f>
        <v>0</v>
      </c>
      <c r="SB53" s="20" t="n">
        <f aca="false">IF(AND(HU53=1,DT53=1),(LJ53+LN53)/F53,0)</f>
        <v>0</v>
      </c>
      <c r="SC53" s="20" t="n">
        <f aca="false">IF(B53=0,LJ53+LN53,0)</f>
        <v>0</v>
      </c>
      <c r="SD53" s="20" t="n">
        <f aca="false">IF(B53=0,IF(HU53=1,LL53,LM53),0)</f>
        <v>0</v>
      </c>
      <c r="SE53" s="20" t="n">
        <f aca="false">IF(ED53=1,IF(HU53=1,LS53+LV53,EE53-PG53)*(1+Slot12_Rate),0)</f>
        <v>0</v>
      </c>
      <c r="SF53" s="20" t="n">
        <f aca="false">IF(AND(HU53=1,ED53=1),(LR53+LV53)/F53,0)</f>
        <v>0</v>
      </c>
      <c r="SG53" s="20" t="n">
        <f aca="false">IF(B53=0,LR53+LV53,0)</f>
        <v>0</v>
      </c>
      <c r="SH53" s="20" t="n">
        <f aca="false">IF(B53=0,IF(HU53=1,LT53,LU53),0)</f>
        <v>0</v>
      </c>
      <c r="SI53" s="20" t="n">
        <f aca="false">IF(EN53=1,IF(HU53=1,MA53+MD53,EO53-PE53)*(1+Slot13_Rate),0)</f>
        <v>0</v>
      </c>
      <c r="SJ53" s="20" t="n">
        <f aca="false">IF(AND(HU53=1,EN53=1),(LZ53+MD53)/F53,0)</f>
        <v>0</v>
      </c>
      <c r="SK53" s="20" t="n">
        <f aca="false">IF(B53=0,LZ53+MD53,0)</f>
        <v>0</v>
      </c>
      <c r="SL53" s="20" t="n">
        <f aca="false">IF(B53=0,IF(HU53=1,MB53,MC53),0)</f>
        <v>0</v>
      </c>
      <c r="SM53" s="20" t="n">
        <f aca="false">IF(EX53=1,IF(HU53=1,MI53+ML53,EY53-PC53)*(1+Slot14_Rate),0)</f>
        <v>0</v>
      </c>
      <c r="SN53" s="20" t="n">
        <f aca="false">IF(AND(HU53=1,EX53=1),(MH53+ML53)/F53,0)</f>
        <v>0</v>
      </c>
      <c r="SO53" s="20" t="n">
        <f aca="false">IF(B53=0,MH53+ML53,0)</f>
        <v>0</v>
      </c>
      <c r="SP53" s="20" t="n">
        <f aca="false">IF(B53=0,IF(HU53=1,MJ53,MK53),0)</f>
        <v>0</v>
      </c>
      <c r="SQ53" s="20" t="n">
        <f aca="false">IF(FH53=1,IF(HU53=1,MQ53+MT53,FI53-PA53)*(1+Slot15_Rate),0)</f>
        <v>0</v>
      </c>
      <c r="SR53" s="20" t="n">
        <f aca="false">IF(AND(HU53=1,FH53=1),(MP53+MT53)/F53,0)</f>
        <v>0</v>
      </c>
      <c r="SS53" s="20" t="n">
        <f aca="false">IF(B53=0,MP53+MT53,0)</f>
        <v>0</v>
      </c>
      <c r="ST53" s="20" t="n">
        <f aca="false">IF(B53=0,IF(HU53=1,MR53,MS53),0)</f>
        <v>0</v>
      </c>
      <c r="SU53" s="20" t="n">
        <f aca="false">IF(FR53=1,IF(HU53=1,MY53+NB53,FS53-OY53)*(1+Slot16_Rate),0)</f>
        <v>0</v>
      </c>
      <c r="SV53" s="20" t="n">
        <f aca="false">IF(AND(HU53=1,FR53=1),(MX53+NB53)/F53,0)</f>
        <v>0</v>
      </c>
      <c r="SW53" s="20" t="n">
        <f aca="false">IF(B53=0,MX53+NB53,0)</f>
        <v>0</v>
      </c>
      <c r="SX53" s="20" t="n">
        <f aca="false">IF(B53=0,IF(HU53=1,MZ53,NA53),0)</f>
        <v>0</v>
      </c>
      <c r="SY53" s="20" t="n">
        <f aca="false">IF(GB53=1,IF(HU53=1,NG53+NJ53,GC53-OW53)*(1+Slot17_Rate),0)</f>
        <v>0</v>
      </c>
      <c r="SZ53" s="20" t="n">
        <f aca="false">IF(AND(HU53=1,GB53=1),(NF53+NJ53)/F53,0)</f>
        <v>0</v>
      </c>
      <c r="TA53" s="20" t="n">
        <f aca="false">IF(B53=0,NF53+NJ53,0)</f>
        <v>0</v>
      </c>
      <c r="TB53" s="20" t="n">
        <f aca="false">IF(B53=0,IF(HU53=1,NH53,NI53),0)</f>
        <v>0</v>
      </c>
      <c r="TC53" s="20" t="n">
        <f aca="false">IF(GL53=1,IF(HU53=1,NO53+NR53,GM53-OU53)*(1+Slot18_Rate),0)</f>
        <v>0</v>
      </c>
      <c r="TD53" s="20" t="n">
        <f aca="false">IF(AND(HU53=1,GL53=1),(NN53+NR53)/F53,0)</f>
        <v>0</v>
      </c>
      <c r="TE53" s="20" t="n">
        <f aca="false">IF(B53=0,NN53+NR53,0)</f>
        <v>0</v>
      </c>
      <c r="TF53" s="20" t="n">
        <f aca="false">IF(B53=0,IF(HU53=1,NP53,NQ53),0)</f>
        <v>0</v>
      </c>
      <c r="TG53" s="20" t="n">
        <f aca="false">IF(GV53=1,IF(HU53=1,NW53+NZ53,GW53-OS53)*(1+Slot19_Rate),0)</f>
        <v>0</v>
      </c>
      <c r="TH53" s="20" t="n">
        <f aca="false">IF(AND(HU53=1,GV53=1),(NV53+NZ53)/F53,0)</f>
        <v>0</v>
      </c>
      <c r="TI53" s="20" t="n">
        <f aca="false">IF(B53=0,NV53+NZ53,0)</f>
        <v>0</v>
      </c>
      <c r="TJ53" s="20" t="n">
        <f aca="false">IF(B53=0,IF(HU53=1,NX53,NY53),0)</f>
        <v>0</v>
      </c>
      <c r="TK53" s="20" t="n">
        <f aca="false">IF(HF53=1,IF(HU53=1,OE53+OH53,HG53-OQ53)*(1+Slot20_Rate),0)</f>
        <v>0</v>
      </c>
      <c r="TL53" s="20" t="n">
        <f aca="false">IF(AND(HU53=1,HF53=1),(OD53+OH53)/F53,0)</f>
        <v>0</v>
      </c>
      <c r="TM53" s="20" t="n">
        <f aca="false">IF(B53=0,OD53+OH53,0)</f>
        <v>0</v>
      </c>
      <c r="TN53" s="20" t="n">
        <f aca="false">IF(B53=0,IF(HU53=1,OF53,OG53),0)</f>
        <v>0</v>
      </c>
      <c r="TO53" s="20" t="n">
        <f aca="false">QK53+QL53+QM53+QQ53+QU53+QY53+RC53+RG53+RK53+RO53+RS53+RW53+SA53+SE53+SI53+SM53+SQ53+SU53+SY53+TC53+TG53+TK53</f>
        <v>0</v>
      </c>
      <c r="TP53" s="20" t="n">
        <f aca="false">QE53+HP53</f>
        <v>25912.5501521532</v>
      </c>
      <c r="TQ53" s="20" t="n">
        <f aca="false">I53+S53</f>
        <v>116529.431013404</v>
      </c>
      <c r="TR53" s="20" t="n">
        <f aca="false">1-G53</f>
        <v>1</v>
      </c>
      <c r="TS53" s="20" t="n">
        <f aca="false">IF(AND(RG_Exists=1,G53=0,C53=1),I53,0)</f>
        <v>116529.431013404</v>
      </c>
      <c r="TT53" s="20" t="n">
        <f aca="false">IF(AND(RG_Exists=1,G53=0,C53=1),I53-MIN(QE53,I53),0)</f>
        <v>90616.8808612511</v>
      </c>
      <c r="TU53" s="20" t="n">
        <f aca="false">'Plan pay &amp; tax'!AD279</f>
        <v>286971.274654458</v>
      </c>
      <c r="TV53" s="20" t="n">
        <f aca="false">IF(AND(C53=1,QE53&gt;MAX(PR_Short1,TQ53*PR_Short2)),1,0)</f>
        <v>1</v>
      </c>
      <c r="TW53" s="20" t="n">
        <f aca="false">MIN(H53,I53+S53)</f>
        <v>90616.8808612511</v>
      </c>
      <c r="TX53" s="20" t="n">
        <f aca="false">QF53+MAX(0,HQ53-HP53)</f>
        <v>0</v>
      </c>
      <c r="TY53" s="20" t="n">
        <f aca="false">QE53+HP53</f>
        <v>25912.5501521532</v>
      </c>
      <c r="TZ53" s="20" t="n">
        <f aca="false">IF(AND(C53=1,TY53&gt;PR_MinShort),1,0)</f>
        <v>1</v>
      </c>
      <c r="UA53" s="20" t="n">
        <f aca="false">IF(AND(C53=1,TZ53=0,TX53&gt;PR_MinShort),1,0)</f>
        <v>0</v>
      </c>
      <c r="UB53" s="20" t="n">
        <f aca="false">IF(AND(C53=1,QE53&gt;PR_MinShort),1,0)</f>
        <v>1</v>
      </c>
      <c r="UC53" s="20" t="n">
        <f aca="false">IF(AND(C53=1,QF53&gt;1,UJ53=0),1,0)</f>
        <v>0</v>
      </c>
      <c r="UD53" s="20" t="str">
        <f aca="false">IF(C53=0,"",IF(UJ53=1,"Gap to plan for: short "&amp;"€"&amp;TEXT(ROUND(TP53,0),"#,##0"),IF(QF53&gt;1,"Using savings","Comfortable")))</f>
        <v>Gap to plan for: short €25,913</v>
      </c>
      <c r="UE53" s="20" t="n">
        <f aca="false">IF(AND(INT(D53/10)*10=90,B53&gt;0),80,INT(D53/10)*10)</f>
        <v>80</v>
      </c>
      <c r="UF53" s="20" t="n">
        <f aca="false">IF(B53=0,1,IF(UE53&lt;&gt;UE52,UF52+1,UF52))</f>
        <v>6</v>
      </c>
      <c r="UG53" s="20" t="n">
        <f aca="false">IF(AND(C53=1,G53=1,QE53&gt;MAX(PR_Short1,TQ53*PR_Short2)),1,0)</f>
        <v>0</v>
      </c>
      <c r="UH53" s="20" t="n">
        <f aca="false">TR53*TV53</f>
        <v>1</v>
      </c>
      <c r="UI53" s="20" t="n">
        <f aca="false">IF(AND(V53=1,Slot1_PctLow=1),1,0)+IF(AND(AG53=1,Slot2_PctLow=1),1,0)+IF(AND(AQ53=1,Slot3_PctLow=1),1,0)+IF(AND(BA53=1,Slot4_PctLow=1),1,0)+IF(AND(BK53=1,Slot5_PctLow=1),1,0)+IF(AND(BU53=1,Slot6_PctLow=1),1,0)+IF(AND(CE53=1,Slot7_PctLow=1),1,0)+IF(AND(CO53=1,Slot8_PctLow=1),1,0)+IF(AND(CY53=1,Slot9_PctLow=1),1,0)+IF(AND(DI53=1,Slot10_PctLow=1),1,0)+IF(AND(DS53=1,Slot11_PctLow=1),1,0)+IF(AND(EC53=1,Slot12_PctLow=1),1,0)+IF(AND(EM53=1,Slot13_PctLow=1),1,0)+IF(AND(EW53=1,Slot14_PctLow=1),1,0)+IF(AND(FG53=1,Slot15_PctLow=1),1,0)+IF(AND(FQ53=1,Slot16_PctLow=1),1,0)+IF(AND(GA53=1,Slot17_PctLow=1),1,0)+IF(AND(GK53=1,Slot18_PctLow=1),1,0)+IF(AND(GU53=1,Slot19_PctLow=1),1,0)+IF(AND(HE53=1,Slot20_PctLow=1),1,0)</f>
        <v>0</v>
      </c>
      <c r="UJ53" s="20" t="n">
        <f aca="false">IF(C53=1,IF(OR(TV53=1,UI53&gt;0),1,0),0)</f>
        <v>1</v>
      </c>
      <c r="UK53" s="20" t="n">
        <f aca="false">Z53+AK53+AU53+BE53+BO53+BY53+CI53+CS53+DC53+DM53+DW53+EG53+EQ53+FA53+FK53+FU53+GE53+GO53+GY53+HI53+OM53</f>
        <v>0</v>
      </c>
      <c r="UL53" s="20" t="n">
        <f aca="false">V53*IF(Slot1_SpendLike=1,X53-Y53,IF(Slot1_PotFree=1,X53,0))+AG53*IF(Slot2_SpendLike=1,AI53-AJ53,IF(Slot2_PotFree=1,AI53,0))+AQ53*IF(Slot3_SpendLike=1,AS53-AT53,IF(Slot3_PotFree=1,AS53,0))+BA53*IF(Slot4_SpendLike=1,BC53-BD53,IF(Slot4_PotFree=1,BC53,0))+BK53*IF(Slot5_SpendLike=1,BM53-BN53,IF(Slot5_PotFree=1,BM53,0))+BU53*IF(Slot6_SpendLike=1,BW53-BX53,IF(Slot6_PotFree=1,BW53,0))+CE53*IF(Slot7_SpendLike=1,CG53-CH53,IF(Slot7_PotFree=1,CG53,0))+CO53*IF(Slot8_SpendLike=1,CQ53-CR53,IF(Slot8_PotFree=1,CQ53,0))+CY53*IF(Slot9_SpendLike=1,DA53-DB53,IF(Slot9_PotFree=1,DA53,0))+DI53*IF(Slot10_SpendLike=1,DK53-DL53,IF(Slot10_PotFree=1,DK53,0))+DS53*IF(Slot11_SpendLike=1,DU53-DV53,IF(Slot11_PotFree=1,DU53,0))+EC53*IF(Slot12_SpendLike=1,EE53-EF53,IF(Slot12_PotFree=1,EE53,0))+EM53*IF(Slot13_SpendLike=1,EO53-EP53,IF(Slot13_PotFree=1,EO53,0))+EW53*IF(Slot14_SpendLike=1,EY53-EZ53,IF(Slot14_PotFree=1,EY53,0))+FG53*IF(Slot15_SpendLike=1,FI53-FJ53,IF(Slot15_PotFree=1,FI53,0))+FQ53*IF(Slot16_SpendLike=1,FS53-FT53,IF(Slot16_PotFree=1,FS53,0))+GA53*IF(Slot17_SpendLike=1,GC53-GD53,IF(Slot17_PotFree=1,GC53,0))+GK53*IF(Slot18_SpendLike=1,GM53-GN53,IF(Slot18_PotFree=1,GM53,0))+GU53*IF(Slot19_SpendLike=1,GW53-GX53,IF(Slot19_PotFree=1,GW53,0))+HE53*IF(Slot20_SpendLike=1,HG53-HH53,IF(Slot20_PotFree=1,HG53,0))</f>
        <v>0</v>
      </c>
      <c r="UM53" s="20" t="n">
        <f aca="false">QG53-T53+UK53-UL53</f>
        <v>0</v>
      </c>
      <c r="UN53" s="20" t="n">
        <f aca="false">IF(OR(UN52=1,AND(In_homeUse="Yes, I'd downsize",In_downAge&gt;0,D53=In_downAge,OR(In_home="Own outright",In_home="Own with mortgage"),In_homeValue&gt;0)),1,0)</f>
        <v>0</v>
      </c>
    </row>
    <row r="54" customFormat="false" ht="15" hidden="false" customHeight="true" outlineLevel="0" collapsed="false">
      <c r="B54" s="20" t="n">
        <v>46</v>
      </c>
      <c r="C54" s="20" t="n">
        <f aca="false">IF(B54&lt;=F_N,1,0)</f>
        <v>1</v>
      </c>
      <c r="D54" s="20" t="n">
        <f aca="false">'Plan pay &amp; tax'!C280</f>
        <v>84</v>
      </c>
      <c r="E54" s="20" t="str">
        <f aca="false">IF($C54=1,"Income tax "&amp;TEXT(N('Plan pay &amp; tax'!BK280),"#,##0")&amp;"; USC "&amp;TEXT(N('Plan pay &amp; tax'!BM280)+N('Plan pay &amp; tax'!BO280),"#,##0")&amp;"; PRSI "&amp;TEXT(N('Plan pay &amp; tax'!BP280)+N('Plan pay &amp; tax'!BQ280),"#,##0")&amp;IF(N('Plan holdings'!BO54)&gt;=0.5,"; DIRT "&amp;TEXT(('Plan holdings'!BO54)/$F54,"#,##0")&amp;" (already taken from the interest earned)","")&amp;IF(N('Plan holdings'!BP54)&gt;=0.5,"; exit tax at an 8-year anniversary "&amp;TEXT(('Plan holdings'!BP54)/$F54,"#,##0"),"")&amp;IF(N('Plan holdings'!BN54)&gt;=0.5,"; tax on assets sold (exit tax or capital gains tax) "&amp;TEXT(('Plan holdings'!BN54)/$F54,"#,##0"),"")&amp;IF(N('Plan pay &amp; tax'!X280)-N('Plan pay &amp; tax'!Y280)&gt;=0.5,"; tax on the pension lump sum "&amp;TEXT(('Plan pay &amp; tax'!X280-'Plan pay &amp; tax'!Y280)/$F54,"#,##0"),"")&amp;IF(N('Plan pay &amp; tax'!V280)&gt;=0.5,"; chargeable excess tax on the pension "&amp;TEXT(('Plan pay &amp; tax'!V280)/$F54,"#,##0"),"")&amp;".","")</f>
        <v>Income tax 895; USC 0; PRSI 0.</v>
      </c>
      <c r="F54" s="50" t="n">
        <f aca="false">'Plan pay &amp; tax'!E280</f>
        <v>2.48661128940737</v>
      </c>
      <c r="G54" s="20" t="n">
        <f aca="false">'Plan pay &amp; tax'!G280</f>
        <v>0</v>
      </c>
      <c r="H54" s="20" t="n">
        <f aca="false">'Plan pay &amp; tax'!BT280-'Plan pay &amp; tax'!BS280-'Plan pay &amp; tax'!R280</f>
        <v>92642.5110723379</v>
      </c>
      <c r="I54" s="20" t="n">
        <f aca="false">IF(G54=1,F_CostsM*12,IF(RG_Exists=1,RG_Amount,F_CostsM*12*AS_RetireSpend))*F54+F_OneOffY*F54</f>
        <v>118860.019633672</v>
      </c>
      <c r="J54" s="20" t="n">
        <f aca="false">IF(UN54=1,0,HR53)</f>
        <v>0</v>
      </c>
      <c r="K54" s="20" t="n">
        <f aca="false">IF(J54&gt;1,'Plan debt months'!AC54,0)</f>
        <v>0</v>
      </c>
      <c r="L54" s="20" t="n">
        <f aca="false">IF(J54&gt;1,'Plan debt months'!AB54,J54)</f>
        <v>0</v>
      </c>
      <c r="M54" s="20" t="n">
        <f aca="false">O53</f>
        <v>0</v>
      </c>
      <c r="N54" s="20" t="n">
        <f aca="false">IF(M54&gt;1,'Plan debt months'!BD54,0)</f>
        <v>0</v>
      </c>
      <c r="O54" s="20" t="n">
        <f aca="false">IF(M54&gt;1,'Plan debt months'!BC54,M54)</f>
        <v>0</v>
      </c>
      <c r="P54" s="20" t="n">
        <f aca="false">R53</f>
        <v>0</v>
      </c>
      <c r="Q54" s="20" t="n">
        <f aca="false">IF(P54&gt;1,'Plan debt months'!CE54,0)</f>
        <v>0</v>
      </c>
      <c r="R54" s="20" t="n">
        <f aca="false">IF(P54&gt;1,'Plan debt months'!CD54,P54)</f>
        <v>0</v>
      </c>
      <c r="S54" s="20" t="n">
        <f aca="false">K54+N54+Q54</f>
        <v>0</v>
      </c>
      <c r="T54" s="57" t="n">
        <f aca="false">'Plan holdings'!Y54</f>
        <v>0</v>
      </c>
      <c r="U54" s="57" t="n">
        <f aca="false">'Plan holdings'!BM53</f>
        <v>0</v>
      </c>
      <c r="V54" s="20" t="n">
        <f aca="false">IF(AND(Slot1_On=1,D54=Slot1_Age),1,0)</f>
        <v>0</v>
      </c>
      <c r="W54" s="20" t="n">
        <f aca="false">IF(AND(Slot1_On=1,Slot1_Age&gt;D54),1,0)</f>
        <v>0</v>
      </c>
      <c r="X54" s="20" t="n">
        <f aca="false">QM53</f>
        <v>0</v>
      </c>
      <c r="Y54" s="20" t="n">
        <f aca="false">V54*MIN(Slot1_Cost,X54)</f>
        <v>0</v>
      </c>
      <c r="Z54" s="20" t="n">
        <f aca="false">V54*Slot1_SpendLike*MIN(Slot1_Cost-Y54,T54)</f>
        <v>0</v>
      </c>
      <c r="AA54" s="20" t="n">
        <f aca="false">Y54+Z54</f>
        <v>0</v>
      </c>
      <c r="AB54" s="20" t="n">
        <f aca="false">T54-Z54+V54*IF(Slot1_SpendLike=1,X54-Y54,IF(Slot1_PotFree=1,X54,0))</f>
        <v>0</v>
      </c>
      <c r="AC54" s="20" t="n">
        <f aca="false">AF54+V54*Slot1_BufPot*X54</f>
        <v>0</v>
      </c>
      <c r="AD54" s="20" t="n">
        <f aca="false">IF(AND(V54=1,Slot1_IsMfree=1),IF(AA54&gt;=Slot1_Cost-1,0,MAX(0,L54-AA54)),L54)</f>
        <v>0</v>
      </c>
      <c r="AE54" s="20" t="n">
        <f aca="false">V54*(Slot1_Cost-AA54)</f>
        <v>0</v>
      </c>
      <c r="AF54" s="20" t="n">
        <f aca="false">QL53</f>
        <v>0</v>
      </c>
      <c r="AG54" s="20" t="n">
        <f aca="false">IF(AND(Slot2_On=1,D54=Slot2_Age),1,0)</f>
        <v>0</v>
      </c>
      <c r="AH54" s="20" t="n">
        <f aca="false">IF(AND(Slot2_On=1,Slot2_Age&gt;D54),1,0)</f>
        <v>0</v>
      </c>
      <c r="AI54" s="20" t="n">
        <f aca="false">QQ53</f>
        <v>0</v>
      </c>
      <c r="AJ54" s="20" t="n">
        <f aca="false">AG54*MIN(Slot2_Cost,AI54)</f>
        <v>0</v>
      </c>
      <c r="AK54" s="20" t="n">
        <f aca="false">AG54*Slot2_SpendLike*MIN(Slot2_Cost-AJ54,AB54)</f>
        <v>0</v>
      </c>
      <c r="AL54" s="20" t="n">
        <f aca="false">AJ54+AK54</f>
        <v>0</v>
      </c>
      <c r="AM54" s="20" t="n">
        <f aca="false">AB54-AK54+AG54*IF(Slot2_SpendLike=1,AI54-AJ54,IF(Slot2_PotFree=1,AI54,0))</f>
        <v>0</v>
      </c>
      <c r="AN54" s="20" t="n">
        <f aca="false">AC54+AG54*Slot2_BufPot*AI54</f>
        <v>0</v>
      </c>
      <c r="AO54" s="20" t="n">
        <f aca="false">IF(AND(AG54=1,Slot2_IsMfree=1),IF(AL54&gt;=Slot2_Cost-1,0,MAX(0,AD54-AL54)),AD54)</f>
        <v>0</v>
      </c>
      <c r="AP54" s="20" t="n">
        <f aca="false">AG54*(Slot2_Cost-AL54)</f>
        <v>0</v>
      </c>
      <c r="AQ54" s="20" t="n">
        <f aca="false">IF(AND(Slot3_On=1,D54=Slot3_Age),1,0)</f>
        <v>0</v>
      </c>
      <c r="AR54" s="20" t="n">
        <f aca="false">IF(AND(Slot3_On=1,Slot3_Age&gt;D54),1,0)</f>
        <v>0</v>
      </c>
      <c r="AS54" s="20" t="n">
        <f aca="false">QU53</f>
        <v>0</v>
      </c>
      <c r="AT54" s="20" t="n">
        <f aca="false">AQ54*MIN(Slot3_Cost,AS54)</f>
        <v>0</v>
      </c>
      <c r="AU54" s="20" t="n">
        <f aca="false">AQ54*Slot3_SpendLike*MIN(Slot3_Cost-AT54,AM54)</f>
        <v>0</v>
      </c>
      <c r="AV54" s="20" t="n">
        <f aca="false">AT54+AU54</f>
        <v>0</v>
      </c>
      <c r="AW54" s="20" t="n">
        <f aca="false">AM54-AU54+AQ54*IF(Slot3_SpendLike=1,AS54-AT54,IF(Slot3_PotFree=1,AS54,0))</f>
        <v>0</v>
      </c>
      <c r="AX54" s="20" t="n">
        <f aca="false">AN54+AQ54*Slot3_BufPot*AS54</f>
        <v>0</v>
      </c>
      <c r="AY54" s="20" t="n">
        <f aca="false">IF(AND(AQ54=1,Slot3_IsMfree=1),IF(AV54&gt;=Slot3_Cost-1,0,MAX(0,AO54-AV54)),AO54)</f>
        <v>0</v>
      </c>
      <c r="AZ54" s="20" t="n">
        <f aca="false">AQ54*(Slot3_Cost-AV54)</f>
        <v>0</v>
      </c>
      <c r="BA54" s="20" t="n">
        <f aca="false">IF(AND(Slot4_On=1,D54=Slot4_Age),1,0)</f>
        <v>0</v>
      </c>
      <c r="BB54" s="20" t="n">
        <f aca="false">IF(AND(Slot4_On=1,Slot4_Age&gt;D54),1,0)</f>
        <v>0</v>
      </c>
      <c r="BC54" s="20" t="n">
        <f aca="false">QY53</f>
        <v>0</v>
      </c>
      <c r="BD54" s="20" t="n">
        <f aca="false">BA54*MIN(Slot4_Cost,BC54)</f>
        <v>0</v>
      </c>
      <c r="BE54" s="20" t="n">
        <f aca="false">BA54*Slot4_SpendLike*MIN(Slot4_Cost-BD54,AW54)</f>
        <v>0</v>
      </c>
      <c r="BF54" s="20" t="n">
        <f aca="false">BD54+BE54</f>
        <v>0</v>
      </c>
      <c r="BG54" s="20" t="n">
        <f aca="false">AW54-BE54+BA54*IF(Slot4_SpendLike=1,BC54-BD54,IF(Slot4_PotFree=1,BC54,0))</f>
        <v>0</v>
      </c>
      <c r="BH54" s="20" t="n">
        <f aca="false">AX54+BA54*Slot4_BufPot*BC54</f>
        <v>0</v>
      </c>
      <c r="BI54" s="20" t="n">
        <f aca="false">IF(AND(BA54=1,Slot4_IsMfree=1),IF(BF54&gt;=Slot4_Cost-1,0,MAX(0,AY54-BF54)),AY54)</f>
        <v>0</v>
      </c>
      <c r="BJ54" s="20" t="n">
        <f aca="false">BA54*(Slot4_Cost-BF54)</f>
        <v>0</v>
      </c>
      <c r="BK54" s="20" t="n">
        <f aca="false">IF(AND(Slot5_On=1,D54=Slot5_Age),1,0)</f>
        <v>0</v>
      </c>
      <c r="BL54" s="20" t="n">
        <f aca="false">IF(AND(Slot5_On=1,Slot5_Age&gt;D54),1,0)</f>
        <v>0</v>
      </c>
      <c r="BM54" s="20" t="n">
        <f aca="false">RC53</f>
        <v>0</v>
      </c>
      <c r="BN54" s="20" t="n">
        <f aca="false">BK54*MIN(Slot5_Cost,BM54)</f>
        <v>0</v>
      </c>
      <c r="BO54" s="20" t="n">
        <f aca="false">BK54*Slot5_SpendLike*MIN(Slot5_Cost-BN54,BG54)</f>
        <v>0</v>
      </c>
      <c r="BP54" s="20" t="n">
        <f aca="false">BN54+BO54</f>
        <v>0</v>
      </c>
      <c r="BQ54" s="20" t="n">
        <f aca="false">BG54-BO54+BK54*IF(Slot5_SpendLike=1,BM54-BN54,IF(Slot5_PotFree=1,BM54,0))</f>
        <v>0</v>
      </c>
      <c r="BR54" s="20" t="n">
        <f aca="false">BH54+BK54*Slot5_BufPot*BM54</f>
        <v>0</v>
      </c>
      <c r="BS54" s="20" t="n">
        <f aca="false">IF(AND(BK54=1,Slot5_IsMfree=1),IF(BP54&gt;=Slot5_Cost-1,0,MAX(0,BI54-BP54)),BI54)</f>
        <v>0</v>
      </c>
      <c r="BT54" s="20" t="n">
        <f aca="false">BK54*(Slot5_Cost-BP54)</f>
        <v>0</v>
      </c>
      <c r="BU54" s="20" t="n">
        <f aca="false">IF(AND(Slot6_On=1,D54=Slot6_Age),1,0)</f>
        <v>0</v>
      </c>
      <c r="BV54" s="20" t="n">
        <f aca="false">IF(AND(Slot6_On=1,Slot6_Age&gt;D54),1,0)</f>
        <v>0</v>
      </c>
      <c r="BW54" s="20" t="n">
        <f aca="false">RG53</f>
        <v>0</v>
      </c>
      <c r="BX54" s="20" t="n">
        <f aca="false">BU54*MIN(Slot6_Cost,BW54)</f>
        <v>0</v>
      </c>
      <c r="BY54" s="20" t="n">
        <f aca="false">BU54*Slot6_SpendLike*MIN(Slot6_Cost-BX54,BQ54)</f>
        <v>0</v>
      </c>
      <c r="BZ54" s="20" t="n">
        <f aca="false">BX54+BY54</f>
        <v>0</v>
      </c>
      <c r="CA54" s="20" t="n">
        <f aca="false">BQ54-BY54+BU54*IF(Slot6_SpendLike=1,BW54-BX54,IF(Slot6_PotFree=1,BW54,0))</f>
        <v>0</v>
      </c>
      <c r="CB54" s="20" t="n">
        <f aca="false">BR54+BU54*Slot6_BufPot*BW54</f>
        <v>0</v>
      </c>
      <c r="CC54" s="20" t="n">
        <f aca="false">IF(AND(BU54=1,Slot6_IsMfree=1),IF(BZ54&gt;=Slot6_Cost-1,0,MAX(0,BS54-BZ54)),BS54)</f>
        <v>0</v>
      </c>
      <c r="CD54" s="20" t="n">
        <f aca="false">BU54*(Slot6_Cost-BZ54)</f>
        <v>0</v>
      </c>
      <c r="CE54" s="20" t="n">
        <f aca="false">IF(AND(Slot7_On=1,D54=Slot7_Age),1,0)</f>
        <v>0</v>
      </c>
      <c r="CF54" s="20" t="n">
        <f aca="false">IF(AND(Slot7_On=1,Slot7_Age&gt;D54),1,0)</f>
        <v>0</v>
      </c>
      <c r="CG54" s="20" t="n">
        <f aca="false">RK53</f>
        <v>0</v>
      </c>
      <c r="CH54" s="20" t="n">
        <f aca="false">CE54*MIN(Slot7_Cost,CG54)</f>
        <v>0</v>
      </c>
      <c r="CI54" s="20" t="n">
        <f aca="false">CE54*Slot7_SpendLike*MIN(Slot7_Cost-CH54,CA54)</f>
        <v>0</v>
      </c>
      <c r="CJ54" s="20" t="n">
        <f aca="false">CH54+CI54</f>
        <v>0</v>
      </c>
      <c r="CK54" s="20" t="n">
        <f aca="false">CA54-CI54+CE54*IF(Slot7_SpendLike=1,CG54-CH54,IF(Slot7_PotFree=1,CG54,0))</f>
        <v>0</v>
      </c>
      <c r="CL54" s="20" t="n">
        <f aca="false">CB54+CE54*Slot7_BufPot*CG54</f>
        <v>0</v>
      </c>
      <c r="CM54" s="20" t="n">
        <f aca="false">IF(AND(CE54=1,Slot7_IsMfree=1),IF(CJ54&gt;=Slot7_Cost-1,0,MAX(0,CC54-CJ54)),CC54)</f>
        <v>0</v>
      </c>
      <c r="CN54" s="20" t="n">
        <f aca="false">CE54*(Slot7_Cost-CJ54)</f>
        <v>0</v>
      </c>
      <c r="CO54" s="20" t="n">
        <f aca="false">IF(AND(Slot8_On=1,D54=Slot8_Age),1,0)</f>
        <v>0</v>
      </c>
      <c r="CP54" s="20" t="n">
        <f aca="false">IF(AND(Slot8_On=1,Slot8_Age&gt;D54),1,0)</f>
        <v>0</v>
      </c>
      <c r="CQ54" s="20" t="n">
        <f aca="false">RO53</f>
        <v>0</v>
      </c>
      <c r="CR54" s="20" t="n">
        <f aca="false">CO54*MIN(Slot8_Cost,CQ54)</f>
        <v>0</v>
      </c>
      <c r="CS54" s="20" t="n">
        <f aca="false">CO54*Slot8_SpendLike*MIN(Slot8_Cost-CR54,CK54)</f>
        <v>0</v>
      </c>
      <c r="CT54" s="20" t="n">
        <f aca="false">CR54+CS54</f>
        <v>0</v>
      </c>
      <c r="CU54" s="20" t="n">
        <f aca="false">CK54-CS54+CO54*IF(Slot8_SpendLike=1,CQ54-CR54,IF(Slot8_PotFree=1,CQ54,0))</f>
        <v>0</v>
      </c>
      <c r="CV54" s="20" t="n">
        <f aca="false">CL54+CO54*Slot8_BufPot*CQ54</f>
        <v>0</v>
      </c>
      <c r="CW54" s="20" t="n">
        <f aca="false">IF(AND(CO54=1,Slot8_IsMfree=1),IF(CT54&gt;=Slot8_Cost-1,0,MAX(0,CM54-CT54)),CM54)</f>
        <v>0</v>
      </c>
      <c r="CX54" s="20" t="n">
        <f aca="false">CO54*(Slot8_Cost-CT54)</f>
        <v>0</v>
      </c>
      <c r="CY54" s="20" t="n">
        <f aca="false">IF(AND(Slot9_On=1,D54=Slot9_Age),1,0)</f>
        <v>0</v>
      </c>
      <c r="CZ54" s="20" t="n">
        <f aca="false">IF(AND(Slot9_On=1,Slot9_Age&gt;D54),1,0)</f>
        <v>0</v>
      </c>
      <c r="DA54" s="20" t="n">
        <f aca="false">RS53</f>
        <v>0</v>
      </c>
      <c r="DB54" s="20" t="n">
        <f aca="false">CY54*MIN(Slot9_Cost,DA54)</f>
        <v>0</v>
      </c>
      <c r="DC54" s="20" t="n">
        <f aca="false">CY54*Slot9_SpendLike*MIN(Slot9_Cost-DB54,CU54)</f>
        <v>0</v>
      </c>
      <c r="DD54" s="20" t="n">
        <f aca="false">DB54+DC54</f>
        <v>0</v>
      </c>
      <c r="DE54" s="20" t="n">
        <f aca="false">CU54-DC54+CY54*IF(Slot9_SpendLike=1,DA54-DB54,IF(Slot9_PotFree=1,DA54,0))</f>
        <v>0</v>
      </c>
      <c r="DF54" s="20" t="n">
        <f aca="false">CV54+CY54*Slot9_BufPot*DA54</f>
        <v>0</v>
      </c>
      <c r="DG54" s="20" t="n">
        <f aca="false">IF(AND(CY54=1,Slot9_IsMfree=1),IF(DD54&gt;=Slot9_Cost-1,0,MAX(0,CW54-DD54)),CW54)</f>
        <v>0</v>
      </c>
      <c r="DH54" s="20" t="n">
        <f aca="false">CY54*(Slot9_Cost-DD54)</f>
        <v>0</v>
      </c>
      <c r="DI54" s="20" t="n">
        <f aca="false">IF(AND(Slot10_On=1,D54=Slot10_Age),1,0)</f>
        <v>0</v>
      </c>
      <c r="DJ54" s="20" t="n">
        <f aca="false">IF(AND(Slot10_On=1,Slot10_Age&gt;D54),1,0)</f>
        <v>0</v>
      </c>
      <c r="DK54" s="20" t="n">
        <f aca="false">RW53</f>
        <v>0</v>
      </c>
      <c r="DL54" s="20" t="n">
        <f aca="false">DI54*MIN(Slot10_Cost,DK54)</f>
        <v>0</v>
      </c>
      <c r="DM54" s="20" t="n">
        <f aca="false">DI54*Slot10_SpendLike*MIN(Slot10_Cost-DL54,DE54)</f>
        <v>0</v>
      </c>
      <c r="DN54" s="20" t="n">
        <f aca="false">DL54+DM54</f>
        <v>0</v>
      </c>
      <c r="DO54" s="20" t="n">
        <f aca="false">DE54-DM54+DI54*IF(Slot10_SpendLike=1,DK54-DL54,IF(Slot10_PotFree=1,DK54,0))</f>
        <v>0</v>
      </c>
      <c r="DP54" s="20" t="n">
        <f aca="false">DF54+DI54*Slot10_BufPot*DK54</f>
        <v>0</v>
      </c>
      <c r="DQ54" s="20" t="n">
        <f aca="false">IF(AND(DI54=1,Slot10_IsMfree=1),IF(DN54&gt;=Slot10_Cost-1,0,MAX(0,DG54-DN54)),DG54)</f>
        <v>0</v>
      </c>
      <c r="DR54" s="20" t="n">
        <f aca="false">DI54*(Slot10_Cost-DN54)</f>
        <v>0</v>
      </c>
      <c r="DS54" s="20" t="n">
        <f aca="false">IF(AND(Slot11_On=1,D54=Slot11_Age),1,0)</f>
        <v>0</v>
      </c>
      <c r="DT54" s="20" t="n">
        <f aca="false">IF(AND(Slot11_On=1,Slot11_Age&gt;D54),1,0)</f>
        <v>0</v>
      </c>
      <c r="DU54" s="20" t="n">
        <f aca="false">SA53</f>
        <v>0</v>
      </c>
      <c r="DV54" s="20" t="n">
        <f aca="false">DS54*MIN(Slot11_Cost,DU54)</f>
        <v>0</v>
      </c>
      <c r="DW54" s="20" t="n">
        <f aca="false">DS54*Slot11_SpendLike*MIN(Slot11_Cost-DV54,DO54)</f>
        <v>0</v>
      </c>
      <c r="DX54" s="20" t="n">
        <f aca="false">DV54+DW54</f>
        <v>0</v>
      </c>
      <c r="DY54" s="20" t="n">
        <f aca="false">DO54-DW54+DS54*IF(Slot11_SpendLike=1,DU54-DV54,IF(Slot11_PotFree=1,DU54,0))</f>
        <v>0</v>
      </c>
      <c r="DZ54" s="20" t="n">
        <f aca="false">DP54+DS54*Slot11_BufPot*DU54</f>
        <v>0</v>
      </c>
      <c r="EA54" s="20" t="n">
        <f aca="false">IF(AND(DS54=1,Slot11_IsMfree=1),IF(DX54&gt;=Slot11_Cost-1,0,MAX(0,DQ54-DX54)),DQ54)</f>
        <v>0</v>
      </c>
      <c r="EB54" s="20" t="n">
        <f aca="false">DS54*(Slot11_Cost-DX54)</f>
        <v>0</v>
      </c>
      <c r="EC54" s="20" t="n">
        <f aca="false">IF(AND(Slot12_On=1,D54=Slot12_Age),1,0)</f>
        <v>0</v>
      </c>
      <c r="ED54" s="20" t="n">
        <f aca="false">IF(AND(Slot12_On=1,Slot12_Age&gt;D54),1,0)</f>
        <v>0</v>
      </c>
      <c r="EE54" s="20" t="n">
        <f aca="false">SE53</f>
        <v>0</v>
      </c>
      <c r="EF54" s="20" t="n">
        <f aca="false">EC54*MIN(Slot12_Cost,EE54)</f>
        <v>0</v>
      </c>
      <c r="EG54" s="20" t="n">
        <f aca="false">EC54*Slot12_SpendLike*MIN(Slot12_Cost-EF54,DY54)</f>
        <v>0</v>
      </c>
      <c r="EH54" s="20" t="n">
        <f aca="false">EF54+EG54</f>
        <v>0</v>
      </c>
      <c r="EI54" s="20" t="n">
        <f aca="false">DY54-EG54+EC54*IF(Slot12_SpendLike=1,EE54-EF54,IF(Slot12_PotFree=1,EE54,0))</f>
        <v>0</v>
      </c>
      <c r="EJ54" s="20" t="n">
        <f aca="false">DZ54+EC54*Slot12_BufPot*EE54</f>
        <v>0</v>
      </c>
      <c r="EK54" s="20" t="n">
        <f aca="false">IF(AND(EC54=1,Slot12_IsMfree=1),IF(EH54&gt;=Slot12_Cost-1,0,MAX(0,EA54-EH54)),EA54)</f>
        <v>0</v>
      </c>
      <c r="EL54" s="20" t="n">
        <f aca="false">EC54*(Slot12_Cost-EH54)</f>
        <v>0</v>
      </c>
      <c r="EM54" s="20" t="n">
        <f aca="false">IF(AND(Slot13_On=1,D54=Slot13_Age),1,0)</f>
        <v>0</v>
      </c>
      <c r="EN54" s="20" t="n">
        <f aca="false">IF(AND(Slot13_On=1,Slot13_Age&gt;D54),1,0)</f>
        <v>0</v>
      </c>
      <c r="EO54" s="20" t="n">
        <f aca="false">SI53</f>
        <v>0</v>
      </c>
      <c r="EP54" s="20" t="n">
        <f aca="false">EM54*MIN(Slot13_Cost,EO54)</f>
        <v>0</v>
      </c>
      <c r="EQ54" s="20" t="n">
        <f aca="false">EM54*Slot13_SpendLike*MIN(Slot13_Cost-EP54,EI54)</f>
        <v>0</v>
      </c>
      <c r="ER54" s="20" t="n">
        <f aca="false">EP54+EQ54</f>
        <v>0</v>
      </c>
      <c r="ES54" s="20" t="n">
        <f aca="false">EI54-EQ54+EM54*IF(Slot13_SpendLike=1,EO54-EP54,IF(Slot13_PotFree=1,EO54,0))</f>
        <v>0</v>
      </c>
      <c r="ET54" s="20" t="n">
        <f aca="false">EJ54+EM54*Slot13_BufPot*EO54</f>
        <v>0</v>
      </c>
      <c r="EU54" s="20" t="n">
        <f aca="false">IF(AND(EM54=1,Slot13_IsMfree=1),IF(ER54&gt;=Slot13_Cost-1,0,MAX(0,EK54-ER54)),EK54)</f>
        <v>0</v>
      </c>
      <c r="EV54" s="20" t="n">
        <f aca="false">EM54*(Slot13_Cost-ER54)</f>
        <v>0</v>
      </c>
      <c r="EW54" s="20" t="n">
        <f aca="false">IF(AND(Slot14_On=1,D54=Slot14_Age),1,0)</f>
        <v>0</v>
      </c>
      <c r="EX54" s="20" t="n">
        <f aca="false">IF(AND(Slot14_On=1,Slot14_Age&gt;D54),1,0)</f>
        <v>0</v>
      </c>
      <c r="EY54" s="20" t="n">
        <f aca="false">SM53</f>
        <v>0</v>
      </c>
      <c r="EZ54" s="20" t="n">
        <f aca="false">EW54*MIN(Slot14_Cost,EY54)</f>
        <v>0</v>
      </c>
      <c r="FA54" s="20" t="n">
        <f aca="false">EW54*Slot14_SpendLike*MIN(Slot14_Cost-EZ54,ES54)</f>
        <v>0</v>
      </c>
      <c r="FB54" s="20" t="n">
        <f aca="false">EZ54+FA54</f>
        <v>0</v>
      </c>
      <c r="FC54" s="20" t="n">
        <f aca="false">ES54-FA54+EW54*IF(Slot14_SpendLike=1,EY54-EZ54,IF(Slot14_PotFree=1,EY54,0))</f>
        <v>0</v>
      </c>
      <c r="FD54" s="20" t="n">
        <f aca="false">ET54+EW54*Slot14_BufPot*EY54</f>
        <v>0</v>
      </c>
      <c r="FE54" s="20" t="n">
        <f aca="false">IF(AND(EW54=1,Slot14_IsMfree=1),IF(FB54&gt;=Slot14_Cost-1,0,MAX(0,EU54-FB54)),EU54)</f>
        <v>0</v>
      </c>
      <c r="FF54" s="20" t="n">
        <f aca="false">EW54*(Slot14_Cost-FB54)</f>
        <v>0</v>
      </c>
      <c r="FG54" s="20" t="n">
        <f aca="false">IF(AND(Slot15_On=1,D54=Slot15_Age),1,0)</f>
        <v>0</v>
      </c>
      <c r="FH54" s="20" t="n">
        <f aca="false">IF(AND(Slot15_On=1,Slot15_Age&gt;D54),1,0)</f>
        <v>0</v>
      </c>
      <c r="FI54" s="20" t="n">
        <f aca="false">SQ53</f>
        <v>0</v>
      </c>
      <c r="FJ54" s="20" t="n">
        <f aca="false">FG54*MIN(Slot15_Cost,FI54)</f>
        <v>0</v>
      </c>
      <c r="FK54" s="20" t="n">
        <f aca="false">FG54*Slot15_SpendLike*MIN(Slot15_Cost-FJ54,FC54)</f>
        <v>0</v>
      </c>
      <c r="FL54" s="20" t="n">
        <f aca="false">FJ54+FK54</f>
        <v>0</v>
      </c>
      <c r="FM54" s="20" t="n">
        <f aca="false">FC54-FK54+FG54*IF(Slot15_SpendLike=1,FI54-FJ54,IF(Slot15_PotFree=1,FI54,0))</f>
        <v>0</v>
      </c>
      <c r="FN54" s="20" t="n">
        <f aca="false">FD54+FG54*Slot15_BufPot*FI54</f>
        <v>0</v>
      </c>
      <c r="FO54" s="20" t="n">
        <f aca="false">IF(AND(FG54=1,Slot15_IsMfree=1),IF(FL54&gt;=Slot15_Cost-1,0,MAX(0,FE54-FL54)),FE54)</f>
        <v>0</v>
      </c>
      <c r="FP54" s="20" t="n">
        <f aca="false">FG54*(Slot15_Cost-FL54)</f>
        <v>0</v>
      </c>
      <c r="FQ54" s="20" t="n">
        <f aca="false">IF(AND(Slot16_On=1,D54=Slot16_Age),1,0)</f>
        <v>0</v>
      </c>
      <c r="FR54" s="20" t="n">
        <f aca="false">IF(AND(Slot16_On=1,Slot16_Age&gt;D54),1,0)</f>
        <v>0</v>
      </c>
      <c r="FS54" s="20" t="n">
        <f aca="false">SU53</f>
        <v>0</v>
      </c>
      <c r="FT54" s="20" t="n">
        <f aca="false">FQ54*MIN(Slot16_Cost,FS54)</f>
        <v>0</v>
      </c>
      <c r="FU54" s="20" t="n">
        <f aca="false">FQ54*Slot16_SpendLike*MIN(Slot16_Cost-FT54,FM54)</f>
        <v>0</v>
      </c>
      <c r="FV54" s="20" t="n">
        <f aca="false">FT54+FU54</f>
        <v>0</v>
      </c>
      <c r="FW54" s="20" t="n">
        <f aca="false">FM54-FU54+FQ54*IF(Slot16_SpendLike=1,FS54-FT54,IF(Slot16_PotFree=1,FS54,0))</f>
        <v>0</v>
      </c>
      <c r="FX54" s="20" t="n">
        <f aca="false">FN54+FQ54*Slot16_BufPot*FS54</f>
        <v>0</v>
      </c>
      <c r="FY54" s="20" t="n">
        <f aca="false">IF(AND(FQ54=1,Slot16_IsMfree=1),IF(FV54&gt;=Slot16_Cost-1,0,MAX(0,FO54-FV54)),FO54)</f>
        <v>0</v>
      </c>
      <c r="FZ54" s="20" t="n">
        <f aca="false">FQ54*(Slot16_Cost-FV54)</f>
        <v>0</v>
      </c>
      <c r="GA54" s="20" t="n">
        <f aca="false">IF(AND(Slot17_On=1,D54=Slot17_Age),1,0)</f>
        <v>0</v>
      </c>
      <c r="GB54" s="20" t="n">
        <f aca="false">IF(AND(Slot17_On=1,Slot17_Age&gt;D54),1,0)</f>
        <v>0</v>
      </c>
      <c r="GC54" s="20" t="n">
        <f aca="false">SY53</f>
        <v>0</v>
      </c>
      <c r="GD54" s="20" t="n">
        <f aca="false">GA54*MIN(Slot17_Cost,GC54)</f>
        <v>0</v>
      </c>
      <c r="GE54" s="20" t="n">
        <f aca="false">GA54*Slot17_SpendLike*MIN(Slot17_Cost-GD54,FW54)</f>
        <v>0</v>
      </c>
      <c r="GF54" s="20" t="n">
        <f aca="false">GD54+GE54</f>
        <v>0</v>
      </c>
      <c r="GG54" s="20" t="n">
        <f aca="false">FW54-GE54+GA54*IF(Slot17_SpendLike=1,GC54-GD54,IF(Slot17_PotFree=1,GC54,0))</f>
        <v>0</v>
      </c>
      <c r="GH54" s="20" t="n">
        <f aca="false">FX54+GA54*Slot17_BufPot*GC54</f>
        <v>0</v>
      </c>
      <c r="GI54" s="20" t="n">
        <f aca="false">IF(AND(GA54=1,Slot17_IsMfree=1),IF(GF54&gt;=Slot17_Cost-1,0,MAX(0,FY54-GF54)),FY54)</f>
        <v>0</v>
      </c>
      <c r="GJ54" s="20" t="n">
        <f aca="false">GA54*(Slot17_Cost-GF54)</f>
        <v>0</v>
      </c>
      <c r="GK54" s="20" t="n">
        <f aca="false">IF(AND(Slot18_On=1,D54=Slot18_Age),1,0)</f>
        <v>0</v>
      </c>
      <c r="GL54" s="20" t="n">
        <f aca="false">IF(AND(Slot18_On=1,Slot18_Age&gt;D54),1,0)</f>
        <v>0</v>
      </c>
      <c r="GM54" s="20" t="n">
        <f aca="false">TC53</f>
        <v>0</v>
      </c>
      <c r="GN54" s="20" t="n">
        <f aca="false">GK54*MIN(Slot18_Cost,GM54)</f>
        <v>0</v>
      </c>
      <c r="GO54" s="20" t="n">
        <f aca="false">GK54*Slot18_SpendLike*MIN(Slot18_Cost-GN54,GG54)</f>
        <v>0</v>
      </c>
      <c r="GP54" s="20" t="n">
        <f aca="false">GN54+GO54</f>
        <v>0</v>
      </c>
      <c r="GQ54" s="20" t="n">
        <f aca="false">GG54-GO54+GK54*IF(Slot18_SpendLike=1,GM54-GN54,IF(Slot18_PotFree=1,GM54,0))</f>
        <v>0</v>
      </c>
      <c r="GR54" s="20" t="n">
        <f aca="false">GH54+GK54*Slot18_BufPot*GM54</f>
        <v>0</v>
      </c>
      <c r="GS54" s="20" t="n">
        <f aca="false">IF(AND(GK54=1,Slot18_IsMfree=1),IF(GP54&gt;=Slot18_Cost-1,0,MAX(0,GI54-GP54)),GI54)</f>
        <v>0</v>
      </c>
      <c r="GT54" s="20" t="n">
        <f aca="false">GK54*(Slot18_Cost-GP54)</f>
        <v>0</v>
      </c>
      <c r="GU54" s="20" t="n">
        <f aca="false">IF(AND(Slot19_On=1,D54=Slot19_Age),1,0)</f>
        <v>0</v>
      </c>
      <c r="GV54" s="20" t="n">
        <f aca="false">IF(AND(Slot19_On=1,Slot19_Age&gt;D54),1,0)</f>
        <v>0</v>
      </c>
      <c r="GW54" s="20" t="n">
        <f aca="false">TG53</f>
        <v>0</v>
      </c>
      <c r="GX54" s="20" t="n">
        <f aca="false">GU54*MIN(Slot19_Cost,GW54)</f>
        <v>0</v>
      </c>
      <c r="GY54" s="20" t="n">
        <f aca="false">GU54*Slot19_SpendLike*MIN(Slot19_Cost-GX54,GQ54)</f>
        <v>0</v>
      </c>
      <c r="GZ54" s="20" t="n">
        <f aca="false">GX54+GY54</f>
        <v>0</v>
      </c>
      <c r="HA54" s="20" t="n">
        <f aca="false">GQ54-GY54+GU54*IF(Slot19_SpendLike=1,GW54-GX54,IF(Slot19_PotFree=1,GW54,0))</f>
        <v>0</v>
      </c>
      <c r="HB54" s="20" t="n">
        <f aca="false">GR54+GU54*Slot19_BufPot*GW54</f>
        <v>0</v>
      </c>
      <c r="HC54" s="20" t="n">
        <f aca="false">IF(AND(GU54=1,Slot19_IsMfree=1),IF(GZ54&gt;=Slot19_Cost-1,0,MAX(0,GS54-GZ54)),GS54)</f>
        <v>0</v>
      </c>
      <c r="HD54" s="20" t="n">
        <f aca="false">GU54*(Slot19_Cost-GZ54)</f>
        <v>0</v>
      </c>
      <c r="HE54" s="20" t="n">
        <f aca="false">IF(AND(Slot20_On=1,D54=Slot20_Age),1,0)</f>
        <v>0</v>
      </c>
      <c r="HF54" s="20" t="n">
        <f aca="false">IF(AND(Slot20_On=1,Slot20_Age&gt;D54),1,0)</f>
        <v>0</v>
      </c>
      <c r="HG54" s="20" t="n">
        <f aca="false">TK53</f>
        <v>0</v>
      </c>
      <c r="HH54" s="20" t="n">
        <f aca="false">HE54*MIN(Slot20_Cost,HG54)</f>
        <v>0</v>
      </c>
      <c r="HI54" s="20" t="n">
        <f aca="false">HE54*Slot20_SpendLike*MIN(Slot20_Cost-HH54,HA54)</f>
        <v>0</v>
      </c>
      <c r="HJ54" s="20" t="n">
        <f aca="false">HH54+HI54</f>
        <v>0</v>
      </c>
      <c r="HK54" s="20" t="n">
        <f aca="false">HA54-HI54+HE54*IF(Slot20_SpendLike=1,HG54-HH54,IF(Slot20_PotFree=1,HG54,0))</f>
        <v>0</v>
      </c>
      <c r="HL54" s="20" t="n">
        <f aca="false">HB54+HE54*Slot20_BufPot*HG54</f>
        <v>0</v>
      </c>
      <c r="HM54" s="20" t="n">
        <f aca="false">IF(AND(HE54=1,Slot20_IsMfree=1),IF(HJ54&gt;=Slot20_Cost-1,0,MAX(0,HC54-HJ54)),HC54)</f>
        <v>0</v>
      </c>
      <c r="HN54" s="20" t="n">
        <f aca="false">HE54*(Slot20_Cost-HJ54)</f>
        <v>0</v>
      </c>
      <c r="HO54" s="20" t="n">
        <f aca="false">V54*Slot1_SpendLike*AA54+AG54*Slot2_SpendLike*AL54+AQ54*Slot3_SpendLike*AV54+BA54*Slot4_SpendLike*BF54+BK54*Slot5_SpendLike*BP54+BU54*Slot6_SpendLike*BZ54+CE54*Slot7_SpendLike*CJ54+CO54*Slot8_SpendLike*CT54+CY54*Slot9_SpendLike*DD54+DI54*Slot10_SpendLike*DN54+DS54*Slot11_SpendLike*DX54+EC54*Slot12_SpendLike*EH54+EM54*Slot13_SpendLike*ER54+EW54*Slot14_SpendLike*FB54+FG54*Slot15_SpendLike*FL54+FQ54*Slot16_SpendLike*FV54+GA54*Slot17_SpendLike*GF54+GK54*Slot18_SpendLike*GP54+GU54*Slot19_SpendLike*GZ54+HE54*Slot20_SpendLike*HJ54</f>
        <v>0</v>
      </c>
      <c r="HP54" s="20" t="n">
        <f aca="false">AE54+AP54+AZ54+BJ54+BT54+CD54+CN54+CX54+DH54+DR54+EB54+EL54+EV54+FF54+FP54+FZ54+GJ54+GT54+HD54+HN54</f>
        <v>0</v>
      </c>
      <c r="HQ54" s="20" t="n">
        <f aca="false">V54*Slot1_Cost+AG54*Slot2_Cost+AQ54*Slot3_Cost+BA54*Slot4_Cost+BK54*Slot5_Cost+BU54*Slot6_Cost+CE54*Slot7_Cost+CO54*Slot8_Cost+CY54*Slot9_Cost+DI54*Slot10_Cost+DS54*Slot11_Cost+EC54*Slot12_Cost+EM54*Slot13_Cost+EW54*Slot14_Cost+FG54*Slot15_Cost+FQ54*Slot16_Cost+GA54*Slot17_Cost+GK54*Slot18_Cost+GU54*Slot19_Cost+HE54*Slot20_Cost</f>
        <v>0</v>
      </c>
      <c r="HR54" s="20" t="n">
        <f aca="false">HM54</f>
        <v>0</v>
      </c>
      <c r="HS54" s="20" t="n">
        <f aca="false">H54-I54-S54</f>
        <v>-26217.5085613345</v>
      </c>
      <c r="HT54" s="20" t="n">
        <f aca="false">IF(B54=0,IF(AND(Has_q6=1,In_q6=4),PR_ShareVaries*(MAX(0,HS54)/12),MIN(IF(Has_q6=1,CHOOSE(In_q6+1,PR_SaveB1,PR_SaveB2,PR_SaveB3,PR_SaveB4,0),AS_NoAnswer),AS_SaveShare*(MAX(0,HS54)/12))),HT53)</f>
        <v>67.3316893520437</v>
      </c>
      <c r="HU54" s="20" t="n">
        <f aca="false">IF(HS54&gt;=0,1,0)</f>
        <v>0</v>
      </c>
      <c r="HV54" s="20" t="n">
        <f aca="false">MAX(0,HS54/12/F54)</f>
        <v>0</v>
      </c>
      <c r="HW54" s="20" t="n">
        <f aca="false">IF(AND(Has_q6=1,In_q6=4),PR_ShareVaries*(HV54),MIN(IF(Has_q6=1,CHOOSE(In_q6+1,PR_SaveB1,PR_SaveB2,PR_SaveB3,PR_SaveB4,0),AS_NoAnswer),AS_SaveShare*(HV54)))</f>
        <v>0</v>
      </c>
      <c r="HX54" s="20" t="n">
        <f aca="false">IF(Has_saveM=1,IF(In_saveUp="Yes",1,IF(In_saveUp="No",0,IF(In_saveM&gt;=HT54-0.5,1,0))),0)</f>
        <v>0</v>
      </c>
      <c r="HY54" s="20" t="n">
        <f aca="false">IF(Has_saveM=1,MIN(HV54,IF(HX54=1,MAX(In_saveM,HW54),MIN(In_saveM,HW54))),HW54)</f>
        <v>0</v>
      </c>
      <c r="HZ54" s="20" t="n">
        <f aca="false">IF(G54=1,HY54*12*F54,0)</f>
        <v>0</v>
      </c>
      <c r="IA54" s="20" t="n">
        <f aca="false">MAX(0,HZ54+IF(AND(WI_Retire=0,WI_M&lt;0,G54=1),WI_M*12*F54,0))</f>
        <v>0</v>
      </c>
      <c r="IB54" s="20" t="n">
        <f aca="false">Slot1_IsWG*W54+Slot2_IsWG*AH54+Slot3_IsWG*AR54+Slot4_IsWG*BB54+Slot5_IsWG*BL54+Slot6_IsWG*BV54+Slot7_IsWG*CF54+Slot8_IsWG*CP54+Slot9_IsWG*CZ54+Slot10_IsWG*DJ54+Slot11_IsWG*DT54+Slot12_IsWG*ED54+Slot13_IsWG*EN54+Slot14_IsWG*EX54+Slot15_IsWG*FH54+Slot16_IsWG*FR54+Slot17_IsWG*GB54+Slot18_IsWG*GL54+Slot19_IsWG*GV54+Slot20_IsWG*HF54</f>
        <v>0</v>
      </c>
      <c r="IC54" s="20" t="n">
        <f aca="false">IF(AND(WI_Retire=0,WI_M&gt;0,G54=1,IB54&gt;=1),WI_M*12*F54,0)</f>
        <v>0</v>
      </c>
      <c r="ID54" s="20" t="n">
        <f aca="false">IF(HU54=1,MIN(IA54,HS54),0)</f>
        <v>0</v>
      </c>
      <c r="IE54" s="20" t="n">
        <f aca="false">IF(HU54=1,MIN(IC54,HS54-ID54),0)</f>
        <v>0</v>
      </c>
      <c r="IF54" s="20" t="n">
        <f aca="false">IF(W54=1,IF(ABS((1+AS_Wage)/(1+Slot1_Rate)-1)&lt;0.000000000001,(Slot1_Age-D54)*(1+Slot1_Rate)^(Slot1_Age-D54),(1+Slot1_Rate)^(Slot1_Age-D54)*(1-((1+AS_Wage)/(1+Slot1_Rate))^(Slot1_Age-D54))/(1-(1+AS_Wage)/(1+Slot1_Rate))),1)</f>
        <v>1</v>
      </c>
      <c r="IG54" s="20" t="n">
        <f aca="false">IF(AND(HU54=1,IE54&gt;0,Slot1_IsWG=1,W54=1),MAX(0,(Slot1_Cost-X54*(1+Slot1_Rate)^(Slot1_Age-D54))/IF54),0)</f>
        <v>0</v>
      </c>
      <c r="IH54" s="20" t="n">
        <f aca="false">IF(AND(HU54=1,IE54&gt;0,Slot1_IsWG=1,W54=1),MIN(IE54,IG54),0)</f>
        <v>0</v>
      </c>
      <c r="II54" s="20" t="n">
        <f aca="false">X54+IH54</f>
        <v>0</v>
      </c>
      <c r="IJ54" s="20" t="n">
        <f aca="false">IF(W54=1,MAX(0,(Slot1_Cost-II54*(1+Slot1_Rate)^(Slot1_Age-D54))/IF54),0)</f>
        <v>0</v>
      </c>
      <c r="IK54" s="20" t="n">
        <f aca="false">IF(W54=1,MAX(0,(Slot1_Cost-X54*(1+Slot1_Rate)^(Slot1_Age-D54))/IF54),0)</f>
        <v>0</v>
      </c>
      <c r="IL54" s="20" t="n">
        <f aca="false">IF(AND(HU54=1,W54=1),MIN(ID54,IJ54),0)</f>
        <v>0</v>
      </c>
      <c r="IM54" s="20" t="n">
        <f aca="false">ID54-IL54</f>
        <v>0</v>
      </c>
      <c r="IN54" s="20" t="n">
        <f aca="false">IF(AH54=1,IF(ABS((1+AS_Wage)/(1+Slot2_Rate)-1)&lt;0.000000000001,(Slot2_Age-D54)*(1+Slot2_Rate)^(Slot2_Age-D54),(1+Slot2_Rate)^(Slot2_Age-D54)*(1-((1+AS_Wage)/(1+Slot2_Rate))^(Slot2_Age-D54))/(1-(1+AS_Wage)/(1+Slot2_Rate))),1)</f>
        <v>1</v>
      </c>
      <c r="IO54" s="20" t="n">
        <f aca="false">IF(AND(HU54=1,IE54&gt;0,Slot2_IsWG=1,AH54=1),MAX(0,(Slot2_Cost-AI54*(1+Slot2_Rate)^(Slot2_Age-D54))/IN54),0)</f>
        <v>0</v>
      </c>
      <c r="IP54" s="20" t="n">
        <f aca="false">IF(AND(HU54=1,IE54&gt;0,Slot2_IsWG=1,AH54=1),MIN(IE54,IO54),0)</f>
        <v>0</v>
      </c>
      <c r="IQ54" s="20" t="n">
        <f aca="false">AI54+IP54</f>
        <v>0</v>
      </c>
      <c r="IR54" s="20" t="n">
        <f aca="false">IF(AH54=1,MAX(0,(Slot2_Cost-IQ54*(1+Slot2_Rate)^(Slot2_Age-D54))/IN54),0)</f>
        <v>0</v>
      </c>
      <c r="IS54" s="20" t="n">
        <f aca="false">IF(AH54=1,MAX(0,(Slot2_Cost-AI54*(1+Slot2_Rate)^(Slot2_Age-D54))/IN54),0)</f>
        <v>0</v>
      </c>
      <c r="IT54" s="20" t="n">
        <f aca="false">IF(AND(HU54=1,AH54=1),MIN(IM54,IR54),0)</f>
        <v>0</v>
      </c>
      <c r="IU54" s="20" t="n">
        <f aca="false">IM54-IT54</f>
        <v>0</v>
      </c>
      <c r="IV54" s="20" t="n">
        <f aca="false">IF(AR54=1,IF(ABS((1+AS_Wage)/(1+Slot3_Rate)-1)&lt;0.000000000001,(Slot3_Age-D54)*(1+Slot3_Rate)^(Slot3_Age-D54),(1+Slot3_Rate)^(Slot3_Age-D54)*(1-((1+AS_Wage)/(1+Slot3_Rate))^(Slot3_Age-D54))/(1-(1+AS_Wage)/(1+Slot3_Rate))),1)</f>
        <v>1</v>
      </c>
      <c r="IW54" s="20" t="n">
        <f aca="false">IF(AND(HU54=1,IE54&gt;0,Slot3_IsWG=1,AR54=1),MAX(0,(Slot3_Cost-AS54*(1+Slot3_Rate)^(Slot3_Age-D54))/IV54),0)</f>
        <v>0</v>
      </c>
      <c r="IX54" s="20" t="n">
        <f aca="false">IF(AND(HU54=1,IE54&gt;0,Slot3_IsWG=1,AR54=1),MIN(IE54,IW54),0)</f>
        <v>0</v>
      </c>
      <c r="IY54" s="20" t="n">
        <f aca="false">AS54+IX54</f>
        <v>0</v>
      </c>
      <c r="IZ54" s="20" t="n">
        <f aca="false">IF(AR54=1,MAX(0,(Slot3_Cost-IY54*(1+Slot3_Rate)^(Slot3_Age-D54))/IV54),0)</f>
        <v>0</v>
      </c>
      <c r="JA54" s="20" t="n">
        <f aca="false">IF(AR54=1,MAX(0,(Slot3_Cost-AS54*(1+Slot3_Rate)^(Slot3_Age-D54))/IV54),0)</f>
        <v>0</v>
      </c>
      <c r="JB54" s="20" t="n">
        <f aca="false">IF(AND(HU54=1,AR54=1),MIN(IU54,IZ54),0)</f>
        <v>0</v>
      </c>
      <c r="JC54" s="20" t="n">
        <f aca="false">IU54-JB54</f>
        <v>0</v>
      </c>
      <c r="JD54" s="20" t="n">
        <f aca="false">IF(BB54=1,IF(ABS((1+AS_Wage)/(1+Slot4_Rate)-1)&lt;0.000000000001,(Slot4_Age-D54)*(1+Slot4_Rate)^(Slot4_Age-D54),(1+Slot4_Rate)^(Slot4_Age-D54)*(1-((1+AS_Wage)/(1+Slot4_Rate))^(Slot4_Age-D54))/(1-(1+AS_Wage)/(1+Slot4_Rate))),1)</f>
        <v>1</v>
      </c>
      <c r="JE54" s="20" t="n">
        <f aca="false">IF(AND(HU54=1,IE54&gt;0,Slot4_IsWG=1,BB54=1),MAX(0,(Slot4_Cost-BC54*(1+Slot4_Rate)^(Slot4_Age-D54))/JD54),0)</f>
        <v>0</v>
      </c>
      <c r="JF54" s="20" t="n">
        <f aca="false">IF(AND(HU54=1,IE54&gt;0,Slot4_IsWG=1,BB54=1),MIN(IE54,JE54),0)</f>
        <v>0</v>
      </c>
      <c r="JG54" s="20" t="n">
        <f aca="false">BC54+JF54</f>
        <v>0</v>
      </c>
      <c r="JH54" s="20" t="n">
        <f aca="false">IF(BB54=1,MAX(0,(Slot4_Cost-JG54*(1+Slot4_Rate)^(Slot4_Age-D54))/JD54),0)</f>
        <v>0</v>
      </c>
      <c r="JI54" s="20" t="n">
        <f aca="false">IF(BB54=1,MAX(0,(Slot4_Cost-BC54*(1+Slot4_Rate)^(Slot4_Age-D54))/JD54),0)</f>
        <v>0</v>
      </c>
      <c r="JJ54" s="20" t="n">
        <f aca="false">IF(AND(HU54=1,BB54=1),MIN(JC54,JH54),0)</f>
        <v>0</v>
      </c>
      <c r="JK54" s="20" t="n">
        <f aca="false">JC54-JJ54</f>
        <v>0</v>
      </c>
      <c r="JL54" s="20" t="n">
        <f aca="false">IF(BL54=1,IF(ABS((1+AS_Wage)/(1+Slot5_Rate)-1)&lt;0.000000000001,(Slot5_Age-D54)*(1+Slot5_Rate)^(Slot5_Age-D54),(1+Slot5_Rate)^(Slot5_Age-D54)*(1-((1+AS_Wage)/(1+Slot5_Rate))^(Slot5_Age-D54))/(1-(1+AS_Wage)/(1+Slot5_Rate))),1)</f>
        <v>1</v>
      </c>
      <c r="JM54" s="20" t="n">
        <f aca="false">IF(AND(HU54=1,IE54&gt;0,Slot5_IsWG=1,BL54=1),MAX(0,(Slot5_Cost-BM54*(1+Slot5_Rate)^(Slot5_Age-D54))/JL54),0)</f>
        <v>0</v>
      </c>
      <c r="JN54" s="20" t="n">
        <f aca="false">IF(AND(HU54=1,IE54&gt;0,Slot5_IsWG=1,BL54=1),MIN(IE54,JM54),0)</f>
        <v>0</v>
      </c>
      <c r="JO54" s="20" t="n">
        <f aca="false">BM54+JN54</f>
        <v>0</v>
      </c>
      <c r="JP54" s="20" t="n">
        <f aca="false">IF(BL54=1,MAX(0,(Slot5_Cost-JO54*(1+Slot5_Rate)^(Slot5_Age-D54))/JL54),0)</f>
        <v>0</v>
      </c>
      <c r="JQ54" s="20" t="n">
        <f aca="false">IF(BL54=1,MAX(0,(Slot5_Cost-BM54*(1+Slot5_Rate)^(Slot5_Age-D54))/JL54),0)</f>
        <v>0</v>
      </c>
      <c r="JR54" s="20" t="n">
        <f aca="false">IF(AND(HU54=1,BL54=1),MIN(JK54,JP54),0)</f>
        <v>0</v>
      </c>
      <c r="JS54" s="20" t="n">
        <f aca="false">JK54-JR54</f>
        <v>0</v>
      </c>
      <c r="JT54" s="20" t="n">
        <f aca="false">IF(BV54=1,IF(ABS((1+AS_Wage)/(1+Slot6_Rate)-1)&lt;0.000000000001,(Slot6_Age-D54)*(1+Slot6_Rate)^(Slot6_Age-D54),(1+Slot6_Rate)^(Slot6_Age-D54)*(1-((1+AS_Wage)/(1+Slot6_Rate))^(Slot6_Age-D54))/(1-(1+AS_Wage)/(1+Slot6_Rate))),1)</f>
        <v>1</v>
      </c>
      <c r="JU54" s="20" t="n">
        <f aca="false">IF(AND(HU54=1,IE54&gt;0,Slot6_IsWG=1,BV54=1),MAX(0,(Slot6_Cost-BW54*(1+Slot6_Rate)^(Slot6_Age-D54))/JT54),0)</f>
        <v>0</v>
      </c>
      <c r="JV54" s="20" t="n">
        <f aca="false">IF(AND(HU54=1,IE54&gt;0,Slot6_IsWG=1,BV54=1),MIN(IE54,JU54),0)</f>
        <v>0</v>
      </c>
      <c r="JW54" s="20" t="n">
        <f aca="false">BW54+JV54</f>
        <v>0</v>
      </c>
      <c r="JX54" s="20" t="n">
        <f aca="false">IF(BV54=1,MAX(0,(Slot6_Cost-JW54*(1+Slot6_Rate)^(Slot6_Age-D54))/JT54),0)</f>
        <v>0</v>
      </c>
      <c r="JY54" s="20" t="n">
        <f aca="false">IF(BV54=1,MAX(0,(Slot6_Cost-BW54*(1+Slot6_Rate)^(Slot6_Age-D54))/JT54),0)</f>
        <v>0</v>
      </c>
      <c r="JZ54" s="20" t="n">
        <f aca="false">IF(AND(HU54=1,BV54=1),MIN(JS54,JX54),0)</f>
        <v>0</v>
      </c>
      <c r="KA54" s="20" t="n">
        <f aca="false">JS54-JZ54</f>
        <v>0</v>
      </c>
      <c r="KB54" s="20" t="n">
        <f aca="false">IF(CF54=1,IF(ABS((1+AS_Wage)/(1+Slot7_Rate)-1)&lt;0.000000000001,(Slot7_Age-D54)*(1+Slot7_Rate)^(Slot7_Age-D54),(1+Slot7_Rate)^(Slot7_Age-D54)*(1-((1+AS_Wage)/(1+Slot7_Rate))^(Slot7_Age-D54))/(1-(1+AS_Wage)/(1+Slot7_Rate))),1)</f>
        <v>1</v>
      </c>
      <c r="KC54" s="20" t="n">
        <f aca="false">IF(AND(HU54=1,IE54&gt;0,Slot7_IsWG=1,CF54=1),MAX(0,(Slot7_Cost-CG54*(1+Slot7_Rate)^(Slot7_Age-D54))/KB54),0)</f>
        <v>0</v>
      </c>
      <c r="KD54" s="20" t="n">
        <f aca="false">IF(AND(HU54=1,IE54&gt;0,Slot7_IsWG=1,CF54=1),MIN(IE54,KC54),0)</f>
        <v>0</v>
      </c>
      <c r="KE54" s="20" t="n">
        <f aca="false">CG54+KD54</f>
        <v>0</v>
      </c>
      <c r="KF54" s="20" t="n">
        <f aca="false">IF(CF54=1,MAX(0,(Slot7_Cost-KE54*(1+Slot7_Rate)^(Slot7_Age-D54))/KB54),0)</f>
        <v>0</v>
      </c>
      <c r="KG54" s="20" t="n">
        <f aca="false">IF(CF54=1,MAX(0,(Slot7_Cost-CG54*(1+Slot7_Rate)^(Slot7_Age-D54))/KB54),0)</f>
        <v>0</v>
      </c>
      <c r="KH54" s="20" t="n">
        <f aca="false">IF(AND(HU54=1,CF54=1),MIN(KA54,KF54),0)</f>
        <v>0</v>
      </c>
      <c r="KI54" s="20" t="n">
        <f aca="false">KA54-KH54</f>
        <v>0</v>
      </c>
      <c r="KJ54" s="20" t="n">
        <f aca="false">IF(CP54=1,IF(ABS((1+AS_Wage)/(1+Slot8_Rate)-1)&lt;0.000000000001,(Slot8_Age-D54)*(1+Slot8_Rate)^(Slot8_Age-D54),(1+Slot8_Rate)^(Slot8_Age-D54)*(1-((1+AS_Wage)/(1+Slot8_Rate))^(Slot8_Age-D54))/(1-(1+AS_Wage)/(1+Slot8_Rate))),1)</f>
        <v>1</v>
      </c>
      <c r="KK54" s="20" t="n">
        <f aca="false">IF(AND(HU54=1,IE54&gt;0,Slot8_IsWG=1,CP54=1),MAX(0,(Slot8_Cost-CQ54*(1+Slot8_Rate)^(Slot8_Age-D54))/KJ54),0)</f>
        <v>0</v>
      </c>
      <c r="KL54" s="20" t="n">
        <f aca="false">IF(AND(HU54=1,IE54&gt;0,Slot8_IsWG=1,CP54=1),MIN(IE54,KK54),0)</f>
        <v>0</v>
      </c>
      <c r="KM54" s="20" t="n">
        <f aca="false">CQ54+KL54</f>
        <v>0</v>
      </c>
      <c r="KN54" s="20" t="n">
        <f aca="false">IF(CP54=1,MAX(0,(Slot8_Cost-KM54*(1+Slot8_Rate)^(Slot8_Age-D54))/KJ54),0)</f>
        <v>0</v>
      </c>
      <c r="KO54" s="20" t="n">
        <f aca="false">IF(CP54=1,MAX(0,(Slot8_Cost-CQ54*(1+Slot8_Rate)^(Slot8_Age-D54))/KJ54),0)</f>
        <v>0</v>
      </c>
      <c r="KP54" s="20" t="n">
        <f aca="false">IF(AND(HU54=1,CP54=1),MIN(KI54,KN54),0)</f>
        <v>0</v>
      </c>
      <c r="KQ54" s="20" t="n">
        <f aca="false">KI54-KP54</f>
        <v>0</v>
      </c>
      <c r="KR54" s="20" t="n">
        <f aca="false">IF(CZ54=1,IF(ABS((1+AS_Wage)/(1+Slot9_Rate)-1)&lt;0.000000000001,(Slot9_Age-D54)*(1+Slot9_Rate)^(Slot9_Age-D54),(1+Slot9_Rate)^(Slot9_Age-D54)*(1-((1+AS_Wage)/(1+Slot9_Rate))^(Slot9_Age-D54))/(1-(1+AS_Wage)/(1+Slot9_Rate))),1)</f>
        <v>1</v>
      </c>
      <c r="KS54" s="20" t="n">
        <f aca="false">IF(AND(HU54=1,IE54&gt;0,Slot9_IsWG=1,CZ54=1),MAX(0,(Slot9_Cost-DA54*(1+Slot9_Rate)^(Slot9_Age-D54))/KR54),0)</f>
        <v>0</v>
      </c>
      <c r="KT54" s="20" t="n">
        <f aca="false">IF(AND(HU54=1,IE54&gt;0,Slot9_IsWG=1,CZ54=1),MIN(IE54,KS54),0)</f>
        <v>0</v>
      </c>
      <c r="KU54" s="20" t="n">
        <f aca="false">DA54+KT54</f>
        <v>0</v>
      </c>
      <c r="KV54" s="20" t="n">
        <f aca="false">IF(CZ54=1,MAX(0,(Slot9_Cost-KU54*(1+Slot9_Rate)^(Slot9_Age-D54))/KR54),0)</f>
        <v>0</v>
      </c>
      <c r="KW54" s="20" t="n">
        <f aca="false">IF(CZ54=1,MAX(0,(Slot9_Cost-DA54*(1+Slot9_Rate)^(Slot9_Age-D54))/KR54),0)</f>
        <v>0</v>
      </c>
      <c r="KX54" s="20" t="n">
        <f aca="false">IF(AND(HU54=1,CZ54=1),MIN(KQ54,KV54),0)</f>
        <v>0</v>
      </c>
      <c r="KY54" s="20" t="n">
        <f aca="false">KQ54-KX54</f>
        <v>0</v>
      </c>
      <c r="KZ54" s="20" t="n">
        <f aca="false">IF(DJ54=1,IF(ABS((1+AS_Wage)/(1+Slot10_Rate)-1)&lt;0.000000000001,(Slot10_Age-D54)*(1+Slot10_Rate)^(Slot10_Age-D54),(1+Slot10_Rate)^(Slot10_Age-D54)*(1-((1+AS_Wage)/(1+Slot10_Rate))^(Slot10_Age-D54))/(1-(1+AS_Wage)/(1+Slot10_Rate))),1)</f>
        <v>1</v>
      </c>
      <c r="LA54" s="20" t="n">
        <f aca="false">IF(AND(HU54=1,IE54&gt;0,Slot10_IsWG=1,DJ54=1),MAX(0,(Slot10_Cost-DK54*(1+Slot10_Rate)^(Slot10_Age-D54))/KZ54),0)</f>
        <v>0</v>
      </c>
      <c r="LB54" s="20" t="n">
        <f aca="false">IF(AND(HU54=1,IE54&gt;0,Slot10_IsWG=1,DJ54=1),MIN(IE54,LA54),0)</f>
        <v>0</v>
      </c>
      <c r="LC54" s="20" t="n">
        <f aca="false">DK54+LB54</f>
        <v>0</v>
      </c>
      <c r="LD54" s="20" t="n">
        <f aca="false">IF(DJ54=1,MAX(0,(Slot10_Cost-LC54*(1+Slot10_Rate)^(Slot10_Age-D54))/KZ54),0)</f>
        <v>0</v>
      </c>
      <c r="LE54" s="20" t="n">
        <f aca="false">IF(DJ54=1,MAX(0,(Slot10_Cost-DK54*(1+Slot10_Rate)^(Slot10_Age-D54))/KZ54),0)</f>
        <v>0</v>
      </c>
      <c r="LF54" s="20" t="n">
        <f aca="false">IF(AND(HU54=1,DJ54=1),MIN(KY54,LD54),0)</f>
        <v>0</v>
      </c>
      <c r="LG54" s="20" t="n">
        <f aca="false">KY54-LF54</f>
        <v>0</v>
      </c>
      <c r="LH54" s="20" t="n">
        <f aca="false">IF(DT54=1,IF(ABS((1+AS_Wage)/(1+Slot11_Rate)-1)&lt;0.000000000001,(Slot11_Age-D54)*(1+Slot11_Rate)^(Slot11_Age-D54),(1+Slot11_Rate)^(Slot11_Age-D54)*(1-((1+AS_Wage)/(1+Slot11_Rate))^(Slot11_Age-D54))/(1-(1+AS_Wage)/(1+Slot11_Rate))),1)</f>
        <v>1</v>
      </c>
      <c r="LI54" s="20" t="n">
        <f aca="false">IF(AND(HU54=1,IE54&gt;0,Slot11_IsWG=1,DT54=1),MAX(0,(Slot11_Cost-DU54*(1+Slot11_Rate)^(Slot11_Age-D54))/LH54),0)</f>
        <v>0</v>
      </c>
      <c r="LJ54" s="20" t="n">
        <f aca="false">IF(AND(HU54=1,IE54&gt;0,Slot11_IsWG=1,DT54=1),MIN(IE54,LI54),0)</f>
        <v>0</v>
      </c>
      <c r="LK54" s="20" t="n">
        <f aca="false">DU54+LJ54</f>
        <v>0</v>
      </c>
      <c r="LL54" s="20" t="n">
        <f aca="false">IF(DT54=1,MAX(0,(Slot11_Cost-LK54*(1+Slot11_Rate)^(Slot11_Age-D54))/LH54),0)</f>
        <v>0</v>
      </c>
      <c r="LM54" s="20" t="n">
        <f aca="false">IF(DT54=1,MAX(0,(Slot11_Cost-DU54*(1+Slot11_Rate)^(Slot11_Age-D54))/LH54),0)</f>
        <v>0</v>
      </c>
      <c r="LN54" s="20" t="n">
        <f aca="false">IF(AND(HU54=1,DT54=1),MIN(LG54,LL54),0)</f>
        <v>0</v>
      </c>
      <c r="LO54" s="20" t="n">
        <f aca="false">LG54-LN54</f>
        <v>0</v>
      </c>
      <c r="LP54" s="20" t="n">
        <f aca="false">IF(ED54=1,IF(ABS((1+AS_Wage)/(1+Slot12_Rate)-1)&lt;0.000000000001,(Slot12_Age-D54)*(1+Slot12_Rate)^(Slot12_Age-D54),(1+Slot12_Rate)^(Slot12_Age-D54)*(1-((1+AS_Wage)/(1+Slot12_Rate))^(Slot12_Age-D54))/(1-(1+AS_Wage)/(1+Slot12_Rate))),1)</f>
        <v>1</v>
      </c>
      <c r="LQ54" s="20" t="n">
        <f aca="false">IF(AND(HU54=1,IE54&gt;0,Slot12_IsWG=1,ED54=1),MAX(0,(Slot12_Cost-EE54*(1+Slot12_Rate)^(Slot12_Age-D54))/LP54),0)</f>
        <v>0</v>
      </c>
      <c r="LR54" s="20" t="n">
        <f aca="false">IF(AND(HU54=1,IE54&gt;0,Slot12_IsWG=1,ED54=1),MIN(IE54,LQ54),0)</f>
        <v>0</v>
      </c>
      <c r="LS54" s="20" t="n">
        <f aca="false">EE54+LR54</f>
        <v>0</v>
      </c>
      <c r="LT54" s="20" t="n">
        <f aca="false">IF(ED54=1,MAX(0,(Slot12_Cost-LS54*(1+Slot12_Rate)^(Slot12_Age-D54))/LP54),0)</f>
        <v>0</v>
      </c>
      <c r="LU54" s="20" t="n">
        <f aca="false">IF(ED54=1,MAX(0,(Slot12_Cost-EE54*(1+Slot12_Rate)^(Slot12_Age-D54))/LP54),0)</f>
        <v>0</v>
      </c>
      <c r="LV54" s="20" t="n">
        <f aca="false">IF(AND(HU54=1,ED54=1),MIN(LO54,LT54),0)</f>
        <v>0</v>
      </c>
      <c r="LW54" s="20" t="n">
        <f aca="false">LO54-LV54</f>
        <v>0</v>
      </c>
      <c r="LX54" s="20" t="n">
        <f aca="false">IF(EN54=1,IF(ABS((1+AS_Wage)/(1+Slot13_Rate)-1)&lt;0.000000000001,(Slot13_Age-D54)*(1+Slot13_Rate)^(Slot13_Age-D54),(1+Slot13_Rate)^(Slot13_Age-D54)*(1-((1+AS_Wage)/(1+Slot13_Rate))^(Slot13_Age-D54))/(1-(1+AS_Wage)/(1+Slot13_Rate))),1)</f>
        <v>1</v>
      </c>
      <c r="LY54" s="20" t="n">
        <f aca="false">IF(AND(HU54=1,IE54&gt;0,Slot13_IsWG=1,EN54=1),MAX(0,(Slot13_Cost-EO54*(1+Slot13_Rate)^(Slot13_Age-D54))/LX54),0)</f>
        <v>0</v>
      </c>
      <c r="LZ54" s="20" t="n">
        <f aca="false">IF(AND(HU54=1,IE54&gt;0,Slot13_IsWG=1,EN54=1),MIN(IE54,LY54),0)</f>
        <v>0</v>
      </c>
      <c r="MA54" s="20" t="n">
        <f aca="false">EO54+LZ54</f>
        <v>0</v>
      </c>
      <c r="MB54" s="20" t="n">
        <f aca="false">IF(EN54=1,MAX(0,(Slot13_Cost-MA54*(1+Slot13_Rate)^(Slot13_Age-D54))/LX54),0)</f>
        <v>0</v>
      </c>
      <c r="MC54" s="20" t="n">
        <f aca="false">IF(EN54=1,MAX(0,(Slot13_Cost-EO54*(1+Slot13_Rate)^(Slot13_Age-D54))/LX54),0)</f>
        <v>0</v>
      </c>
      <c r="MD54" s="20" t="n">
        <f aca="false">IF(AND(HU54=1,EN54=1),MIN(LW54,MB54),0)</f>
        <v>0</v>
      </c>
      <c r="ME54" s="20" t="n">
        <f aca="false">LW54-MD54</f>
        <v>0</v>
      </c>
      <c r="MF54" s="20" t="n">
        <f aca="false">IF(EX54=1,IF(ABS((1+AS_Wage)/(1+Slot14_Rate)-1)&lt;0.000000000001,(Slot14_Age-D54)*(1+Slot14_Rate)^(Slot14_Age-D54),(1+Slot14_Rate)^(Slot14_Age-D54)*(1-((1+AS_Wage)/(1+Slot14_Rate))^(Slot14_Age-D54))/(1-(1+AS_Wage)/(1+Slot14_Rate))),1)</f>
        <v>1</v>
      </c>
      <c r="MG54" s="20" t="n">
        <f aca="false">IF(AND(HU54=1,IE54&gt;0,Slot14_IsWG=1,EX54=1),MAX(0,(Slot14_Cost-EY54*(1+Slot14_Rate)^(Slot14_Age-D54))/MF54),0)</f>
        <v>0</v>
      </c>
      <c r="MH54" s="20" t="n">
        <f aca="false">IF(AND(HU54=1,IE54&gt;0,Slot14_IsWG=1,EX54=1),MIN(IE54,MG54),0)</f>
        <v>0</v>
      </c>
      <c r="MI54" s="20" t="n">
        <f aca="false">EY54+MH54</f>
        <v>0</v>
      </c>
      <c r="MJ54" s="20" t="n">
        <f aca="false">IF(EX54=1,MAX(0,(Slot14_Cost-MI54*(1+Slot14_Rate)^(Slot14_Age-D54))/MF54),0)</f>
        <v>0</v>
      </c>
      <c r="MK54" s="20" t="n">
        <f aca="false">IF(EX54=1,MAX(0,(Slot14_Cost-EY54*(1+Slot14_Rate)^(Slot14_Age-D54))/MF54),0)</f>
        <v>0</v>
      </c>
      <c r="ML54" s="20" t="n">
        <f aca="false">IF(AND(HU54=1,EX54=1),MIN(ME54,MJ54),0)</f>
        <v>0</v>
      </c>
      <c r="MM54" s="20" t="n">
        <f aca="false">ME54-ML54</f>
        <v>0</v>
      </c>
      <c r="MN54" s="20" t="n">
        <f aca="false">IF(FH54=1,IF(ABS((1+AS_Wage)/(1+Slot15_Rate)-1)&lt;0.000000000001,(Slot15_Age-D54)*(1+Slot15_Rate)^(Slot15_Age-D54),(1+Slot15_Rate)^(Slot15_Age-D54)*(1-((1+AS_Wage)/(1+Slot15_Rate))^(Slot15_Age-D54))/(1-(1+AS_Wage)/(1+Slot15_Rate))),1)</f>
        <v>1</v>
      </c>
      <c r="MO54" s="20" t="n">
        <f aca="false">IF(AND(HU54=1,IE54&gt;0,Slot15_IsWG=1,FH54=1),MAX(0,(Slot15_Cost-FI54*(1+Slot15_Rate)^(Slot15_Age-D54))/MN54),0)</f>
        <v>0</v>
      </c>
      <c r="MP54" s="20" t="n">
        <f aca="false">IF(AND(HU54=1,IE54&gt;0,Slot15_IsWG=1,FH54=1),MIN(IE54,MO54),0)</f>
        <v>0</v>
      </c>
      <c r="MQ54" s="20" t="n">
        <f aca="false">FI54+MP54</f>
        <v>0</v>
      </c>
      <c r="MR54" s="20" t="n">
        <f aca="false">IF(FH54=1,MAX(0,(Slot15_Cost-MQ54*(1+Slot15_Rate)^(Slot15_Age-D54))/MN54),0)</f>
        <v>0</v>
      </c>
      <c r="MS54" s="20" t="n">
        <f aca="false">IF(FH54=1,MAX(0,(Slot15_Cost-FI54*(1+Slot15_Rate)^(Slot15_Age-D54))/MN54),0)</f>
        <v>0</v>
      </c>
      <c r="MT54" s="20" t="n">
        <f aca="false">IF(AND(HU54=1,FH54=1),MIN(MM54,MR54),0)</f>
        <v>0</v>
      </c>
      <c r="MU54" s="20" t="n">
        <f aca="false">MM54-MT54</f>
        <v>0</v>
      </c>
      <c r="MV54" s="20" t="n">
        <f aca="false">IF(FR54=1,IF(ABS((1+AS_Wage)/(1+Slot16_Rate)-1)&lt;0.000000000001,(Slot16_Age-D54)*(1+Slot16_Rate)^(Slot16_Age-D54),(1+Slot16_Rate)^(Slot16_Age-D54)*(1-((1+AS_Wage)/(1+Slot16_Rate))^(Slot16_Age-D54))/(1-(1+AS_Wage)/(1+Slot16_Rate))),1)</f>
        <v>1</v>
      </c>
      <c r="MW54" s="20" t="n">
        <f aca="false">IF(AND(HU54=1,IE54&gt;0,Slot16_IsWG=1,FR54=1),MAX(0,(Slot16_Cost-FS54*(1+Slot16_Rate)^(Slot16_Age-D54))/MV54),0)</f>
        <v>0</v>
      </c>
      <c r="MX54" s="20" t="n">
        <f aca="false">IF(AND(HU54=1,IE54&gt;0,Slot16_IsWG=1,FR54=1),MIN(IE54,MW54),0)</f>
        <v>0</v>
      </c>
      <c r="MY54" s="20" t="n">
        <f aca="false">FS54+MX54</f>
        <v>0</v>
      </c>
      <c r="MZ54" s="20" t="n">
        <f aca="false">IF(FR54=1,MAX(0,(Slot16_Cost-MY54*(1+Slot16_Rate)^(Slot16_Age-D54))/MV54),0)</f>
        <v>0</v>
      </c>
      <c r="NA54" s="20" t="n">
        <f aca="false">IF(FR54=1,MAX(0,(Slot16_Cost-FS54*(1+Slot16_Rate)^(Slot16_Age-D54))/MV54),0)</f>
        <v>0</v>
      </c>
      <c r="NB54" s="20" t="n">
        <f aca="false">IF(AND(HU54=1,FR54=1),MIN(MU54,MZ54),0)</f>
        <v>0</v>
      </c>
      <c r="NC54" s="20" t="n">
        <f aca="false">MU54-NB54</f>
        <v>0</v>
      </c>
      <c r="ND54" s="20" t="n">
        <f aca="false">IF(GB54=1,IF(ABS((1+AS_Wage)/(1+Slot17_Rate)-1)&lt;0.000000000001,(Slot17_Age-D54)*(1+Slot17_Rate)^(Slot17_Age-D54),(1+Slot17_Rate)^(Slot17_Age-D54)*(1-((1+AS_Wage)/(1+Slot17_Rate))^(Slot17_Age-D54))/(1-(1+AS_Wage)/(1+Slot17_Rate))),1)</f>
        <v>1</v>
      </c>
      <c r="NE54" s="20" t="n">
        <f aca="false">IF(AND(HU54=1,IE54&gt;0,Slot17_IsWG=1,GB54=1),MAX(0,(Slot17_Cost-GC54*(1+Slot17_Rate)^(Slot17_Age-D54))/ND54),0)</f>
        <v>0</v>
      </c>
      <c r="NF54" s="20" t="n">
        <f aca="false">IF(AND(HU54=1,IE54&gt;0,Slot17_IsWG=1,GB54=1),MIN(IE54,NE54),0)</f>
        <v>0</v>
      </c>
      <c r="NG54" s="20" t="n">
        <f aca="false">GC54+NF54</f>
        <v>0</v>
      </c>
      <c r="NH54" s="20" t="n">
        <f aca="false">IF(GB54=1,MAX(0,(Slot17_Cost-NG54*(1+Slot17_Rate)^(Slot17_Age-D54))/ND54),0)</f>
        <v>0</v>
      </c>
      <c r="NI54" s="20" t="n">
        <f aca="false">IF(GB54=1,MAX(0,(Slot17_Cost-GC54*(1+Slot17_Rate)^(Slot17_Age-D54))/ND54),0)</f>
        <v>0</v>
      </c>
      <c r="NJ54" s="20" t="n">
        <f aca="false">IF(AND(HU54=1,GB54=1),MIN(NC54,NH54),0)</f>
        <v>0</v>
      </c>
      <c r="NK54" s="20" t="n">
        <f aca="false">NC54-NJ54</f>
        <v>0</v>
      </c>
      <c r="NL54" s="20" t="n">
        <f aca="false">IF(GL54=1,IF(ABS((1+AS_Wage)/(1+Slot18_Rate)-1)&lt;0.000000000001,(Slot18_Age-D54)*(1+Slot18_Rate)^(Slot18_Age-D54),(1+Slot18_Rate)^(Slot18_Age-D54)*(1-((1+AS_Wage)/(1+Slot18_Rate))^(Slot18_Age-D54))/(1-(1+AS_Wage)/(1+Slot18_Rate))),1)</f>
        <v>1</v>
      </c>
      <c r="NM54" s="20" t="n">
        <f aca="false">IF(AND(HU54=1,IE54&gt;0,Slot18_IsWG=1,GL54=1),MAX(0,(Slot18_Cost-GM54*(1+Slot18_Rate)^(Slot18_Age-D54))/NL54),0)</f>
        <v>0</v>
      </c>
      <c r="NN54" s="20" t="n">
        <f aca="false">IF(AND(HU54=1,IE54&gt;0,Slot18_IsWG=1,GL54=1),MIN(IE54,NM54),0)</f>
        <v>0</v>
      </c>
      <c r="NO54" s="20" t="n">
        <f aca="false">GM54+NN54</f>
        <v>0</v>
      </c>
      <c r="NP54" s="20" t="n">
        <f aca="false">IF(GL54=1,MAX(0,(Slot18_Cost-NO54*(1+Slot18_Rate)^(Slot18_Age-D54))/NL54),0)</f>
        <v>0</v>
      </c>
      <c r="NQ54" s="20" t="n">
        <f aca="false">IF(GL54=1,MAX(0,(Slot18_Cost-GM54*(1+Slot18_Rate)^(Slot18_Age-D54))/NL54),0)</f>
        <v>0</v>
      </c>
      <c r="NR54" s="20" t="n">
        <f aca="false">IF(AND(HU54=1,GL54=1),MIN(NK54,NP54),0)</f>
        <v>0</v>
      </c>
      <c r="NS54" s="20" t="n">
        <f aca="false">NK54-NR54</f>
        <v>0</v>
      </c>
      <c r="NT54" s="20" t="n">
        <f aca="false">IF(GV54=1,IF(ABS((1+AS_Wage)/(1+Slot19_Rate)-1)&lt;0.000000000001,(Slot19_Age-D54)*(1+Slot19_Rate)^(Slot19_Age-D54),(1+Slot19_Rate)^(Slot19_Age-D54)*(1-((1+AS_Wage)/(1+Slot19_Rate))^(Slot19_Age-D54))/(1-(1+AS_Wage)/(1+Slot19_Rate))),1)</f>
        <v>1</v>
      </c>
      <c r="NU54" s="20" t="n">
        <f aca="false">IF(AND(HU54=1,IE54&gt;0,Slot19_IsWG=1,GV54=1),MAX(0,(Slot19_Cost-GW54*(1+Slot19_Rate)^(Slot19_Age-D54))/NT54),0)</f>
        <v>0</v>
      </c>
      <c r="NV54" s="20" t="n">
        <f aca="false">IF(AND(HU54=1,IE54&gt;0,Slot19_IsWG=1,GV54=1),MIN(IE54,NU54),0)</f>
        <v>0</v>
      </c>
      <c r="NW54" s="20" t="n">
        <f aca="false">GW54+NV54</f>
        <v>0</v>
      </c>
      <c r="NX54" s="20" t="n">
        <f aca="false">IF(GV54=1,MAX(0,(Slot19_Cost-NW54*(1+Slot19_Rate)^(Slot19_Age-D54))/NT54),0)</f>
        <v>0</v>
      </c>
      <c r="NY54" s="20" t="n">
        <f aca="false">IF(GV54=1,MAX(0,(Slot19_Cost-GW54*(1+Slot19_Rate)^(Slot19_Age-D54))/NT54),0)</f>
        <v>0</v>
      </c>
      <c r="NZ54" s="20" t="n">
        <f aca="false">IF(AND(HU54=1,GV54=1),MIN(NS54,NX54),0)</f>
        <v>0</v>
      </c>
      <c r="OA54" s="20" t="n">
        <f aca="false">NS54-NZ54</f>
        <v>0</v>
      </c>
      <c r="OB54" s="20" t="n">
        <f aca="false">IF(HF54=1,IF(ABS((1+AS_Wage)/(1+Slot20_Rate)-1)&lt;0.000000000001,(Slot20_Age-D54)*(1+Slot20_Rate)^(Slot20_Age-D54),(1+Slot20_Rate)^(Slot20_Age-D54)*(1-((1+AS_Wage)/(1+Slot20_Rate))^(Slot20_Age-D54))/(1-(1+AS_Wage)/(1+Slot20_Rate))),1)</f>
        <v>1</v>
      </c>
      <c r="OC54" s="20" t="n">
        <f aca="false">IF(AND(HU54=1,IE54&gt;0,Slot20_IsWG=1,HF54=1),MAX(0,(Slot20_Cost-HG54*(1+Slot20_Rate)^(Slot20_Age-D54))/OB54),0)</f>
        <v>0</v>
      </c>
      <c r="OD54" s="20" t="n">
        <f aca="false">IF(AND(HU54=1,IE54&gt;0,Slot20_IsWG=1,HF54=1),MIN(IE54,OC54),0)</f>
        <v>0</v>
      </c>
      <c r="OE54" s="20" t="n">
        <f aca="false">HG54+OD54</f>
        <v>0</v>
      </c>
      <c r="OF54" s="20" t="n">
        <f aca="false">IF(HF54=1,MAX(0,(Slot20_Cost-OE54*(1+Slot20_Rate)^(Slot20_Age-D54))/OB54),0)</f>
        <v>0</v>
      </c>
      <c r="OG54" s="20" t="n">
        <f aca="false">IF(HF54=1,MAX(0,(Slot20_Cost-HG54*(1+Slot20_Rate)^(Slot20_Age-D54))/OB54),0)</f>
        <v>0</v>
      </c>
      <c r="OH54" s="20" t="n">
        <f aca="false">IF(AND(HU54=1,HF54=1),MIN(OA54,OF54),0)</f>
        <v>0</v>
      </c>
      <c r="OI54" s="20" t="n">
        <f aca="false">OA54-OH54</f>
        <v>0</v>
      </c>
      <c r="OJ54" s="20" t="n">
        <f aca="false">IE54-(IH54+IP54+IX54+JF54+JN54+JV54+KD54+KL54+KT54+LB54+LJ54+LR54+LZ54+MH54+MP54+MX54+NF54+NN54+NV54+OD54)</f>
        <v>0</v>
      </c>
      <c r="OK54" s="20" t="n">
        <f aca="false">IF(HU54=1,HS54-ID54-IE54,0)</f>
        <v>0</v>
      </c>
      <c r="OL54" s="20" t="n">
        <f aca="false">IF(HU54=0,-HS54,0)</f>
        <v>26217.5085613345</v>
      </c>
      <c r="OM54" s="20" t="n">
        <f aca="false">MIN(OL54,HK54)</f>
        <v>0</v>
      </c>
      <c r="ON54" s="20" t="n">
        <f aca="false">OL54-OM54</f>
        <v>26217.5085613345</v>
      </c>
      <c r="OO54" s="20" t="n">
        <f aca="false">MIN(ON54,HL54)</f>
        <v>0</v>
      </c>
      <c r="OP54" s="20" t="n">
        <f aca="false">ON54-OO54</f>
        <v>26217.5085613345</v>
      </c>
      <c r="OQ54" s="20" t="n">
        <f aca="false">IF(AND(HU54=0,HF54=1,OP54&gt;0),MIN(OP54,HG54),0)</f>
        <v>0</v>
      </c>
      <c r="OR54" s="20" t="n">
        <f aca="false">OP54-OQ54</f>
        <v>26217.5085613345</v>
      </c>
      <c r="OS54" s="20" t="n">
        <f aca="false">IF(AND(HU54=0,GV54=1,OR54&gt;0),MIN(OR54,GW54),0)</f>
        <v>0</v>
      </c>
      <c r="OT54" s="20" t="n">
        <f aca="false">OR54-OS54</f>
        <v>26217.5085613345</v>
      </c>
      <c r="OU54" s="20" t="n">
        <f aca="false">IF(AND(HU54=0,GL54=1,OT54&gt;0),MIN(OT54,GM54),0)</f>
        <v>0</v>
      </c>
      <c r="OV54" s="20" t="n">
        <f aca="false">OT54-OU54</f>
        <v>26217.5085613345</v>
      </c>
      <c r="OW54" s="20" t="n">
        <f aca="false">IF(AND(HU54=0,GB54=1,OV54&gt;0),MIN(OV54,GC54),0)</f>
        <v>0</v>
      </c>
      <c r="OX54" s="20" t="n">
        <f aca="false">OV54-OW54</f>
        <v>26217.5085613345</v>
      </c>
      <c r="OY54" s="20" t="n">
        <f aca="false">IF(AND(HU54=0,FR54=1,OX54&gt;0),MIN(OX54,FS54),0)</f>
        <v>0</v>
      </c>
      <c r="OZ54" s="20" t="n">
        <f aca="false">OX54-OY54</f>
        <v>26217.5085613345</v>
      </c>
      <c r="PA54" s="20" t="n">
        <f aca="false">IF(AND(HU54=0,FH54=1,OZ54&gt;0),MIN(OZ54,FI54),0)</f>
        <v>0</v>
      </c>
      <c r="PB54" s="20" t="n">
        <f aca="false">OZ54-PA54</f>
        <v>26217.5085613345</v>
      </c>
      <c r="PC54" s="20" t="n">
        <f aca="false">IF(AND(HU54=0,EX54=1,PB54&gt;0),MIN(PB54,EY54),0)</f>
        <v>0</v>
      </c>
      <c r="PD54" s="20" t="n">
        <f aca="false">PB54-PC54</f>
        <v>26217.5085613345</v>
      </c>
      <c r="PE54" s="20" t="n">
        <f aca="false">IF(AND(HU54=0,EN54=1,PD54&gt;0),MIN(PD54,EO54),0)</f>
        <v>0</v>
      </c>
      <c r="PF54" s="20" t="n">
        <f aca="false">PD54-PE54</f>
        <v>26217.5085613345</v>
      </c>
      <c r="PG54" s="20" t="n">
        <f aca="false">IF(AND(HU54=0,ED54=1,PF54&gt;0),MIN(PF54,EE54),0)</f>
        <v>0</v>
      </c>
      <c r="PH54" s="20" t="n">
        <f aca="false">PF54-PG54</f>
        <v>26217.5085613345</v>
      </c>
      <c r="PI54" s="20" t="n">
        <f aca="false">IF(AND(HU54=0,DT54=1,PH54&gt;0),MIN(PH54,DU54),0)</f>
        <v>0</v>
      </c>
      <c r="PJ54" s="20" t="n">
        <f aca="false">PH54-PI54</f>
        <v>26217.5085613345</v>
      </c>
      <c r="PK54" s="20" t="n">
        <f aca="false">IF(AND(HU54=0,DJ54=1,PJ54&gt;0),MIN(PJ54,DK54),0)</f>
        <v>0</v>
      </c>
      <c r="PL54" s="20" t="n">
        <f aca="false">PJ54-PK54</f>
        <v>26217.5085613345</v>
      </c>
      <c r="PM54" s="20" t="n">
        <f aca="false">IF(AND(HU54=0,CZ54=1,PL54&gt;0),MIN(PL54,DA54),0)</f>
        <v>0</v>
      </c>
      <c r="PN54" s="20" t="n">
        <f aca="false">PL54-PM54</f>
        <v>26217.5085613345</v>
      </c>
      <c r="PO54" s="20" t="n">
        <f aca="false">IF(AND(HU54=0,CP54=1,PN54&gt;0),MIN(PN54,CQ54),0)</f>
        <v>0</v>
      </c>
      <c r="PP54" s="20" t="n">
        <f aca="false">PN54-PO54</f>
        <v>26217.5085613345</v>
      </c>
      <c r="PQ54" s="20" t="n">
        <f aca="false">IF(AND(HU54=0,CF54=1,PP54&gt;0),MIN(PP54,CG54),0)</f>
        <v>0</v>
      </c>
      <c r="PR54" s="20" t="n">
        <f aca="false">PP54-PQ54</f>
        <v>26217.5085613345</v>
      </c>
      <c r="PS54" s="20" t="n">
        <f aca="false">IF(AND(HU54=0,BV54=1,PR54&gt;0),MIN(PR54,BW54),0)</f>
        <v>0</v>
      </c>
      <c r="PT54" s="20" t="n">
        <f aca="false">PR54-PS54</f>
        <v>26217.5085613345</v>
      </c>
      <c r="PU54" s="20" t="n">
        <f aca="false">IF(AND(HU54=0,BL54=1,PT54&gt;0),MIN(PT54,BM54),0)</f>
        <v>0</v>
      </c>
      <c r="PV54" s="20" t="n">
        <f aca="false">PT54-PU54</f>
        <v>26217.5085613345</v>
      </c>
      <c r="PW54" s="20" t="n">
        <f aca="false">IF(AND(HU54=0,BB54=1,PV54&gt;0),MIN(PV54,BC54),0)</f>
        <v>0</v>
      </c>
      <c r="PX54" s="20" t="n">
        <f aca="false">PV54-PW54</f>
        <v>26217.5085613345</v>
      </c>
      <c r="PY54" s="20" t="n">
        <f aca="false">IF(AND(HU54=0,AR54=1,PX54&gt;0),MIN(PX54,AS54),0)</f>
        <v>0</v>
      </c>
      <c r="PZ54" s="20" t="n">
        <f aca="false">PX54-PY54</f>
        <v>26217.5085613345</v>
      </c>
      <c r="QA54" s="20" t="n">
        <f aca="false">IF(AND(HU54=0,AH54=1,PZ54&gt;0),MIN(PZ54,AI54),0)</f>
        <v>0</v>
      </c>
      <c r="QB54" s="20" t="n">
        <f aca="false">PZ54-QA54</f>
        <v>26217.5085613345</v>
      </c>
      <c r="QC54" s="20" t="n">
        <f aca="false">IF(AND(HU54=0,W54=1,QB54&gt;0),MIN(QB54,X54),0)</f>
        <v>0</v>
      </c>
      <c r="QD54" s="20" t="n">
        <f aca="false">QB54-QC54</f>
        <v>26217.5085613345</v>
      </c>
      <c r="QE54" s="20" t="n">
        <f aca="false">IF(HU54=0,QD54,0)</f>
        <v>26217.5085613345</v>
      </c>
      <c r="QF54" s="20" t="n">
        <f aca="false">OM54+OO54+QC54+QA54+PY54+PW54+PU54+PS54+PQ54+PO54+PM54+PK54+PI54+PG54+PE54+PC54+PA54+OY54+OW54+OU54+OS54+OQ54</f>
        <v>0</v>
      </c>
      <c r="QG54" s="20" t="n">
        <f aca="false">IF(HU54=1,HK54+OJ54+OI54+IF(G54=1,0,OK54),HK54-OM54)</f>
        <v>0</v>
      </c>
      <c r="QH54" s="20" t="n">
        <f aca="false">HL54-OO54</f>
        <v>0</v>
      </c>
      <c r="QI54" s="20" t="n">
        <f aca="false">IF(HU54=1,IF(G54=1,ID54+IE54,HS54),0)</f>
        <v>0</v>
      </c>
      <c r="QJ54" s="20" t="n">
        <f aca="false">IF(HU54=1,IF(G54=1,HS54-ID54-IE54,0),0)</f>
        <v>0</v>
      </c>
      <c r="QK54" s="57" t="n">
        <f aca="false">'Plan holdings'!BM54</f>
        <v>0</v>
      </c>
      <c r="QL54" s="20" t="n">
        <f aca="false">QH54*(1+AS_Cash)</f>
        <v>0</v>
      </c>
      <c r="QM54" s="20" t="n">
        <f aca="false">IF(W54=1,IF(HU54=1,II54+IL54,X54-QC54)*(1+Slot1_Rate),0)</f>
        <v>0</v>
      </c>
      <c r="QN54" s="20" t="n">
        <f aca="false">IF(AND(HU54=1,W54=1),(IH54+IL54)/F54,0)</f>
        <v>0</v>
      </c>
      <c r="QO54" s="20" t="n">
        <f aca="false">IF(B54=0,IH54+IL54,0)</f>
        <v>0</v>
      </c>
      <c r="QP54" s="20" t="n">
        <f aca="false">IF(B54=0,IF(HU54=1,IJ54,IK54),0)</f>
        <v>0</v>
      </c>
      <c r="QQ54" s="20" t="n">
        <f aca="false">IF(AH54=1,IF(HU54=1,IQ54+IT54,AI54-QA54)*(1+Slot2_Rate),0)</f>
        <v>0</v>
      </c>
      <c r="QR54" s="20" t="n">
        <f aca="false">IF(AND(HU54=1,AH54=1),(IP54+IT54)/F54,0)</f>
        <v>0</v>
      </c>
      <c r="QS54" s="20" t="n">
        <f aca="false">IF(B54=0,IP54+IT54,0)</f>
        <v>0</v>
      </c>
      <c r="QT54" s="20" t="n">
        <f aca="false">IF(B54=0,IF(HU54=1,IR54,IS54),0)</f>
        <v>0</v>
      </c>
      <c r="QU54" s="20" t="n">
        <f aca="false">IF(AR54=1,IF(HU54=1,IY54+JB54,AS54-PY54)*(1+Slot3_Rate),0)</f>
        <v>0</v>
      </c>
      <c r="QV54" s="20" t="n">
        <f aca="false">IF(AND(HU54=1,AR54=1),(IX54+JB54)/F54,0)</f>
        <v>0</v>
      </c>
      <c r="QW54" s="20" t="n">
        <f aca="false">IF(B54=0,IX54+JB54,0)</f>
        <v>0</v>
      </c>
      <c r="QX54" s="20" t="n">
        <f aca="false">IF(B54=0,IF(HU54=1,IZ54,JA54),0)</f>
        <v>0</v>
      </c>
      <c r="QY54" s="20" t="n">
        <f aca="false">IF(BB54=1,IF(HU54=1,JG54+JJ54,BC54-PW54)*(1+Slot4_Rate),0)</f>
        <v>0</v>
      </c>
      <c r="QZ54" s="20" t="n">
        <f aca="false">IF(AND(HU54=1,BB54=1),(JF54+JJ54)/F54,0)</f>
        <v>0</v>
      </c>
      <c r="RA54" s="20" t="n">
        <f aca="false">IF(B54=0,JF54+JJ54,0)</f>
        <v>0</v>
      </c>
      <c r="RB54" s="20" t="n">
        <f aca="false">IF(B54=0,IF(HU54=1,JH54,JI54),0)</f>
        <v>0</v>
      </c>
      <c r="RC54" s="20" t="n">
        <f aca="false">IF(BL54=1,IF(HU54=1,JO54+JR54,BM54-PU54)*(1+Slot5_Rate),0)</f>
        <v>0</v>
      </c>
      <c r="RD54" s="20" t="n">
        <f aca="false">IF(AND(HU54=1,BL54=1),(JN54+JR54)/F54,0)</f>
        <v>0</v>
      </c>
      <c r="RE54" s="20" t="n">
        <f aca="false">IF(B54=0,JN54+JR54,0)</f>
        <v>0</v>
      </c>
      <c r="RF54" s="20" t="n">
        <f aca="false">IF(B54=0,IF(HU54=1,JP54,JQ54),0)</f>
        <v>0</v>
      </c>
      <c r="RG54" s="20" t="n">
        <f aca="false">IF(BV54=1,IF(HU54=1,JW54+JZ54,BW54-PS54)*(1+Slot6_Rate),0)</f>
        <v>0</v>
      </c>
      <c r="RH54" s="20" t="n">
        <f aca="false">IF(AND(HU54=1,BV54=1),(JV54+JZ54)/F54,0)</f>
        <v>0</v>
      </c>
      <c r="RI54" s="20" t="n">
        <f aca="false">IF(B54=0,JV54+JZ54,0)</f>
        <v>0</v>
      </c>
      <c r="RJ54" s="20" t="n">
        <f aca="false">IF(B54=0,IF(HU54=1,JX54,JY54),0)</f>
        <v>0</v>
      </c>
      <c r="RK54" s="20" t="n">
        <f aca="false">IF(CF54=1,IF(HU54=1,KE54+KH54,CG54-PQ54)*(1+Slot7_Rate),0)</f>
        <v>0</v>
      </c>
      <c r="RL54" s="20" t="n">
        <f aca="false">IF(AND(HU54=1,CF54=1),(KD54+KH54)/F54,0)</f>
        <v>0</v>
      </c>
      <c r="RM54" s="20" t="n">
        <f aca="false">IF(B54=0,KD54+KH54,0)</f>
        <v>0</v>
      </c>
      <c r="RN54" s="20" t="n">
        <f aca="false">IF(B54=0,IF(HU54=1,KF54,KG54),0)</f>
        <v>0</v>
      </c>
      <c r="RO54" s="20" t="n">
        <f aca="false">IF(CP54=1,IF(HU54=1,KM54+KP54,CQ54-PO54)*(1+Slot8_Rate),0)</f>
        <v>0</v>
      </c>
      <c r="RP54" s="20" t="n">
        <f aca="false">IF(AND(HU54=1,CP54=1),(KL54+KP54)/F54,0)</f>
        <v>0</v>
      </c>
      <c r="RQ54" s="20" t="n">
        <f aca="false">IF(B54=0,KL54+KP54,0)</f>
        <v>0</v>
      </c>
      <c r="RR54" s="20" t="n">
        <f aca="false">IF(B54=0,IF(HU54=1,KN54,KO54),0)</f>
        <v>0</v>
      </c>
      <c r="RS54" s="20" t="n">
        <f aca="false">IF(CZ54=1,IF(HU54=1,KU54+KX54,DA54-PM54)*(1+Slot9_Rate),0)</f>
        <v>0</v>
      </c>
      <c r="RT54" s="20" t="n">
        <f aca="false">IF(AND(HU54=1,CZ54=1),(KT54+KX54)/F54,0)</f>
        <v>0</v>
      </c>
      <c r="RU54" s="20" t="n">
        <f aca="false">IF(B54=0,KT54+KX54,0)</f>
        <v>0</v>
      </c>
      <c r="RV54" s="20" t="n">
        <f aca="false">IF(B54=0,IF(HU54=1,KV54,KW54),0)</f>
        <v>0</v>
      </c>
      <c r="RW54" s="20" t="n">
        <f aca="false">IF(DJ54=1,IF(HU54=1,LC54+LF54,DK54-PK54)*(1+Slot10_Rate),0)</f>
        <v>0</v>
      </c>
      <c r="RX54" s="20" t="n">
        <f aca="false">IF(AND(HU54=1,DJ54=1),(LB54+LF54)/F54,0)</f>
        <v>0</v>
      </c>
      <c r="RY54" s="20" t="n">
        <f aca="false">IF(B54=0,LB54+LF54,0)</f>
        <v>0</v>
      </c>
      <c r="RZ54" s="20" t="n">
        <f aca="false">IF(B54=0,IF(HU54=1,LD54,LE54),0)</f>
        <v>0</v>
      </c>
      <c r="SA54" s="20" t="n">
        <f aca="false">IF(DT54=1,IF(HU54=1,LK54+LN54,DU54-PI54)*(1+Slot11_Rate),0)</f>
        <v>0</v>
      </c>
      <c r="SB54" s="20" t="n">
        <f aca="false">IF(AND(HU54=1,DT54=1),(LJ54+LN54)/F54,0)</f>
        <v>0</v>
      </c>
      <c r="SC54" s="20" t="n">
        <f aca="false">IF(B54=0,LJ54+LN54,0)</f>
        <v>0</v>
      </c>
      <c r="SD54" s="20" t="n">
        <f aca="false">IF(B54=0,IF(HU54=1,LL54,LM54),0)</f>
        <v>0</v>
      </c>
      <c r="SE54" s="20" t="n">
        <f aca="false">IF(ED54=1,IF(HU54=1,LS54+LV54,EE54-PG54)*(1+Slot12_Rate),0)</f>
        <v>0</v>
      </c>
      <c r="SF54" s="20" t="n">
        <f aca="false">IF(AND(HU54=1,ED54=1),(LR54+LV54)/F54,0)</f>
        <v>0</v>
      </c>
      <c r="SG54" s="20" t="n">
        <f aca="false">IF(B54=0,LR54+LV54,0)</f>
        <v>0</v>
      </c>
      <c r="SH54" s="20" t="n">
        <f aca="false">IF(B54=0,IF(HU54=1,LT54,LU54),0)</f>
        <v>0</v>
      </c>
      <c r="SI54" s="20" t="n">
        <f aca="false">IF(EN54=1,IF(HU54=1,MA54+MD54,EO54-PE54)*(1+Slot13_Rate),0)</f>
        <v>0</v>
      </c>
      <c r="SJ54" s="20" t="n">
        <f aca="false">IF(AND(HU54=1,EN54=1),(LZ54+MD54)/F54,0)</f>
        <v>0</v>
      </c>
      <c r="SK54" s="20" t="n">
        <f aca="false">IF(B54=0,LZ54+MD54,0)</f>
        <v>0</v>
      </c>
      <c r="SL54" s="20" t="n">
        <f aca="false">IF(B54=0,IF(HU54=1,MB54,MC54),0)</f>
        <v>0</v>
      </c>
      <c r="SM54" s="20" t="n">
        <f aca="false">IF(EX54=1,IF(HU54=1,MI54+ML54,EY54-PC54)*(1+Slot14_Rate),0)</f>
        <v>0</v>
      </c>
      <c r="SN54" s="20" t="n">
        <f aca="false">IF(AND(HU54=1,EX54=1),(MH54+ML54)/F54,0)</f>
        <v>0</v>
      </c>
      <c r="SO54" s="20" t="n">
        <f aca="false">IF(B54=0,MH54+ML54,0)</f>
        <v>0</v>
      </c>
      <c r="SP54" s="20" t="n">
        <f aca="false">IF(B54=0,IF(HU54=1,MJ54,MK54),0)</f>
        <v>0</v>
      </c>
      <c r="SQ54" s="20" t="n">
        <f aca="false">IF(FH54=1,IF(HU54=1,MQ54+MT54,FI54-PA54)*(1+Slot15_Rate),0)</f>
        <v>0</v>
      </c>
      <c r="SR54" s="20" t="n">
        <f aca="false">IF(AND(HU54=1,FH54=1),(MP54+MT54)/F54,0)</f>
        <v>0</v>
      </c>
      <c r="SS54" s="20" t="n">
        <f aca="false">IF(B54=0,MP54+MT54,0)</f>
        <v>0</v>
      </c>
      <c r="ST54" s="20" t="n">
        <f aca="false">IF(B54=0,IF(HU54=1,MR54,MS54),0)</f>
        <v>0</v>
      </c>
      <c r="SU54" s="20" t="n">
        <f aca="false">IF(FR54=1,IF(HU54=1,MY54+NB54,FS54-OY54)*(1+Slot16_Rate),0)</f>
        <v>0</v>
      </c>
      <c r="SV54" s="20" t="n">
        <f aca="false">IF(AND(HU54=1,FR54=1),(MX54+NB54)/F54,0)</f>
        <v>0</v>
      </c>
      <c r="SW54" s="20" t="n">
        <f aca="false">IF(B54=0,MX54+NB54,0)</f>
        <v>0</v>
      </c>
      <c r="SX54" s="20" t="n">
        <f aca="false">IF(B54=0,IF(HU54=1,MZ54,NA54),0)</f>
        <v>0</v>
      </c>
      <c r="SY54" s="20" t="n">
        <f aca="false">IF(GB54=1,IF(HU54=1,NG54+NJ54,GC54-OW54)*(1+Slot17_Rate),0)</f>
        <v>0</v>
      </c>
      <c r="SZ54" s="20" t="n">
        <f aca="false">IF(AND(HU54=1,GB54=1),(NF54+NJ54)/F54,0)</f>
        <v>0</v>
      </c>
      <c r="TA54" s="20" t="n">
        <f aca="false">IF(B54=0,NF54+NJ54,0)</f>
        <v>0</v>
      </c>
      <c r="TB54" s="20" t="n">
        <f aca="false">IF(B54=0,IF(HU54=1,NH54,NI54),0)</f>
        <v>0</v>
      </c>
      <c r="TC54" s="20" t="n">
        <f aca="false">IF(GL54=1,IF(HU54=1,NO54+NR54,GM54-OU54)*(1+Slot18_Rate),0)</f>
        <v>0</v>
      </c>
      <c r="TD54" s="20" t="n">
        <f aca="false">IF(AND(HU54=1,GL54=1),(NN54+NR54)/F54,0)</f>
        <v>0</v>
      </c>
      <c r="TE54" s="20" t="n">
        <f aca="false">IF(B54=0,NN54+NR54,0)</f>
        <v>0</v>
      </c>
      <c r="TF54" s="20" t="n">
        <f aca="false">IF(B54=0,IF(HU54=1,NP54,NQ54),0)</f>
        <v>0</v>
      </c>
      <c r="TG54" s="20" t="n">
        <f aca="false">IF(GV54=1,IF(HU54=1,NW54+NZ54,GW54-OS54)*(1+Slot19_Rate),0)</f>
        <v>0</v>
      </c>
      <c r="TH54" s="20" t="n">
        <f aca="false">IF(AND(HU54=1,GV54=1),(NV54+NZ54)/F54,0)</f>
        <v>0</v>
      </c>
      <c r="TI54" s="20" t="n">
        <f aca="false">IF(B54=0,NV54+NZ54,0)</f>
        <v>0</v>
      </c>
      <c r="TJ54" s="20" t="n">
        <f aca="false">IF(B54=0,IF(HU54=1,NX54,NY54),0)</f>
        <v>0</v>
      </c>
      <c r="TK54" s="20" t="n">
        <f aca="false">IF(HF54=1,IF(HU54=1,OE54+OH54,HG54-OQ54)*(1+Slot20_Rate),0)</f>
        <v>0</v>
      </c>
      <c r="TL54" s="20" t="n">
        <f aca="false">IF(AND(HU54=1,HF54=1),(OD54+OH54)/F54,0)</f>
        <v>0</v>
      </c>
      <c r="TM54" s="20" t="n">
        <f aca="false">IF(B54=0,OD54+OH54,0)</f>
        <v>0</v>
      </c>
      <c r="TN54" s="20" t="n">
        <f aca="false">IF(B54=0,IF(HU54=1,OF54,OG54),0)</f>
        <v>0</v>
      </c>
      <c r="TO54" s="20" t="n">
        <f aca="false">QK54+QL54+QM54+QQ54+QU54+QY54+RC54+RG54+RK54+RO54+RS54+RW54+SA54+SE54+SI54+SM54+SQ54+SU54+SY54+TC54+TG54+TK54</f>
        <v>0</v>
      </c>
      <c r="TP54" s="20" t="n">
        <f aca="false">QE54+HP54</f>
        <v>26217.5085613345</v>
      </c>
      <c r="TQ54" s="20" t="n">
        <f aca="false">I54+S54</f>
        <v>118860.019633672</v>
      </c>
      <c r="TR54" s="20" t="n">
        <f aca="false">1-G54</f>
        <v>1</v>
      </c>
      <c r="TS54" s="20" t="n">
        <f aca="false">IF(AND(RG_Exists=1,G54=0,C54=1),I54,0)</f>
        <v>118860.019633672</v>
      </c>
      <c r="TT54" s="20" t="n">
        <f aca="false">IF(AND(RG_Exists=1,G54=0,C54=1),I54-MIN(QE54,I54),0)</f>
        <v>92642.5110723379</v>
      </c>
      <c r="TU54" s="20" t="n">
        <f aca="false">'Plan pay &amp; tax'!AD280</f>
        <v>271343.297322234</v>
      </c>
      <c r="TV54" s="20" t="n">
        <f aca="false">IF(AND(C54=1,QE54&gt;MAX(PR_Short1,TQ54*PR_Short2)),1,0)</f>
        <v>1</v>
      </c>
      <c r="TW54" s="20" t="n">
        <f aca="false">MIN(H54,I54+S54)</f>
        <v>92642.5110723379</v>
      </c>
      <c r="TX54" s="20" t="n">
        <f aca="false">QF54+MAX(0,HQ54-HP54)</f>
        <v>0</v>
      </c>
      <c r="TY54" s="20" t="n">
        <f aca="false">QE54+HP54</f>
        <v>26217.5085613345</v>
      </c>
      <c r="TZ54" s="20" t="n">
        <f aca="false">IF(AND(C54=1,TY54&gt;PR_MinShort),1,0)</f>
        <v>1</v>
      </c>
      <c r="UA54" s="20" t="n">
        <f aca="false">IF(AND(C54=1,TZ54=0,TX54&gt;PR_MinShort),1,0)</f>
        <v>0</v>
      </c>
      <c r="UB54" s="20" t="n">
        <f aca="false">IF(AND(C54=1,QE54&gt;PR_MinShort),1,0)</f>
        <v>1</v>
      </c>
      <c r="UC54" s="20" t="n">
        <f aca="false">IF(AND(C54=1,QF54&gt;1,UJ54=0),1,0)</f>
        <v>0</v>
      </c>
      <c r="UD54" s="20" t="str">
        <f aca="false">IF(C54=0,"",IF(UJ54=1,"Gap to plan for: short "&amp;"€"&amp;TEXT(ROUND(TP54,0),"#,##0"),IF(QF54&gt;1,"Using savings","Comfortable")))</f>
        <v>Gap to plan for: short €26,218</v>
      </c>
      <c r="UE54" s="20" t="n">
        <f aca="false">IF(AND(INT(D54/10)*10=90,B54&gt;0),80,INT(D54/10)*10)</f>
        <v>80</v>
      </c>
      <c r="UF54" s="20" t="n">
        <f aca="false">IF(B54=0,1,IF(UE54&lt;&gt;UE53,UF53+1,UF53))</f>
        <v>6</v>
      </c>
      <c r="UG54" s="20" t="n">
        <f aca="false">IF(AND(C54=1,G54=1,QE54&gt;MAX(PR_Short1,TQ54*PR_Short2)),1,0)</f>
        <v>0</v>
      </c>
      <c r="UH54" s="20" t="n">
        <f aca="false">TR54*TV54</f>
        <v>1</v>
      </c>
      <c r="UI54" s="20" t="n">
        <f aca="false">IF(AND(V54=1,Slot1_PctLow=1),1,0)+IF(AND(AG54=1,Slot2_PctLow=1),1,0)+IF(AND(AQ54=1,Slot3_PctLow=1),1,0)+IF(AND(BA54=1,Slot4_PctLow=1),1,0)+IF(AND(BK54=1,Slot5_PctLow=1),1,0)+IF(AND(BU54=1,Slot6_PctLow=1),1,0)+IF(AND(CE54=1,Slot7_PctLow=1),1,0)+IF(AND(CO54=1,Slot8_PctLow=1),1,0)+IF(AND(CY54=1,Slot9_PctLow=1),1,0)+IF(AND(DI54=1,Slot10_PctLow=1),1,0)+IF(AND(DS54=1,Slot11_PctLow=1),1,0)+IF(AND(EC54=1,Slot12_PctLow=1),1,0)+IF(AND(EM54=1,Slot13_PctLow=1),1,0)+IF(AND(EW54=1,Slot14_PctLow=1),1,0)+IF(AND(FG54=1,Slot15_PctLow=1),1,0)+IF(AND(FQ54=1,Slot16_PctLow=1),1,0)+IF(AND(GA54=1,Slot17_PctLow=1),1,0)+IF(AND(GK54=1,Slot18_PctLow=1),1,0)+IF(AND(GU54=1,Slot19_PctLow=1),1,0)+IF(AND(HE54=1,Slot20_PctLow=1),1,0)</f>
        <v>0</v>
      </c>
      <c r="UJ54" s="20" t="n">
        <f aca="false">IF(C54=1,IF(OR(TV54=1,UI54&gt;0),1,0),0)</f>
        <v>1</v>
      </c>
      <c r="UK54" s="20" t="n">
        <f aca="false">Z54+AK54+AU54+BE54+BO54+BY54+CI54+CS54+DC54+DM54+DW54+EG54+EQ54+FA54+FK54+FU54+GE54+GO54+GY54+HI54+OM54</f>
        <v>0</v>
      </c>
      <c r="UL54" s="20" t="n">
        <f aca="false">V54*IF(Slot1_SpendLike=1,X54-Y54,IF(Slot1_PotFree=1,X54,0))+AG54*IF(Slot2_SpendLike=1,AI54-AJ54,IF(Slot2_PotFree=1,AI54,0))+AQ54*IF(Slot3_SpendLike=1,AS54-AT54,IF(Slot3_PotFree=1,AS54,0))+BA54*IF(Slot4_SpendLike=1,BC54-BD54,IF(Slot4_PotFree=1,BC54,0))+BK54*IF(Slot5_SpendLike=1,BM54-BN54,IF(Slot5_PotFree=1,BM54,0))+BU54*IF(Slot6_SpendLike=1,BW54-BX54,IF(Slot6_PotFree=1,BW54,0))+CE54*IF(Slot7_SpendLike=1,CG54-CH54,IF(Slot7_PotFree=1,CG54,0))+CO54*IF(Slot8_SpendLike=1,CQ54-CR54,IF(Slot8_PotFree=1,CQ54,0))+CY54*IF(Slot9_SpendLike=1,DA54-DB54,IF(Slot9_PotFree=1,DA54,0))+DI54*IF(Slot10_SpendLike=1,DK54-DL54,IF(Slot10_PotFree=1,DK54,0))+DS54*IF(Slot11_SpendLike=1,DU54-DV54,IF(Slot11_PotFree=1,DU54,0))+EC54*IF(Slot12_SpendLike=1,EE54-EF54,IF(Slot12_PotFree=1,EE54,0))+EM54*IF(Slot13_SpendLike=1,EO54-EP54,IF(Slot13_PotFree=1,EO54,0))+EW54*IF(Slot14_SpendLike=1,EY54-EZ54,IF(Slot14_PotFree=1,EY54,0))+FG54*IF(Slot15_SpendLike=1,FI54-FJ54,IF(Slot15_PotFree=1,FI54,0))+FQ54*IF(Slot16_SpendLike=1,FS54-FT54,IF(Slot16_PotFree=1,FS54,0))+GA54*IF(Slot17_SpendLike=1,GC54-GD54,IF(Slot17_PotFree=1,GC54,0))+GK54*IF(Slot18_SpendLike=1,GM54-GN54,IF(Slot18_PotFree=1,GM54,0))+GU54*IF(Slot19_SpendLike=1,GW54-GX54,IF(Slot19_PotFree=1,GW54,0))+HE54*IF(Slot20_SpendLike=1,HG54-HH54,IF(Slot20_PotFree=1,HG54,0))</f>
        <v>0</v>
      </c>
      <c r="UM54" s="20" t="n">
        <f aca="false">QG54-T54+UK54-UL54</f>
        <v>0</v>
      </c>
      <c r="UN54" s="20" t="n">
        <f aca="false">IF(OR(UN53=1,AND(In_homeUse="Yes, I'd downsize",In_downAge&gt;0,D54=In_downAge,OR(In_home="Own outright",In_home="Own with mortgage"),In_homeValue&gt;0)),1,0)</f>
        <v>0</v>
      </c>
    </row>
    <row r="55" customFormat="false" ht="15" hidden="false" customHeight="true" outlineLevel="0" collapsed="false">
      <c r="B55" s="20" t="n">
        <v>47</v>
      </c>
      <c r="C55" s="20" t="n">
        <f aca="false">IF(B55&lt;=F_N,1,0)</f>
        <v>1</v>
      </c>
      <c r="D55" s="20" t="n">
        <f aca="false">'Plan pay &amp; tax'!C281</f>
        <v>85</v>
      </c>
      <c r="E55" s="20" t="str">
        <f aca="false">IF($C55=1,"Income tax "&amp;TEXT(N('Plan pay &amp; tax'!BK281),"#,##0")&amp;"; USC "&amp;TEXT(N('Plan pay &amp; tax'!BM281)+N('Plan pay &amp; tax'!BO281),"#,##0")&amp;"; PRSI "&amp;TEXT(N('Plan pay &amp; tax'!BP281)+N('Plan pay &amp; tax'!BQ281),"#,##0")&amp;IF(N('Plan holdings'!BO55)&gt;=0.5,"; DIRT "&amp;TEXT(('Plan holdings'!BO55)/$F55,"#,##0")&amp;" (already taken from the interest earned)","")&amp;IF(N('Plan holdings'!BP55)&gt;=0.5,"; exit tax at an 8-year anniversary "&amp;TEXT(('Plan holdings'!BP55)/$F55,"#,##0"),"")&amp;IF(N('Plan holdings'!BN55)&gt;=0.5,"; tax on assets sold (exit tax or capital gains tax) "&amp;TEXT(('Plan holdings'!BN55)/$F55,"#,##0"),"")&amp;IF(N('Plan pay &amp; tax'!X281)-N('Plan pay &amp; tax'!Y281)&gt;=0.5,"; tax on the pension lump sum "&amp;TEXT(('Plan pay &amp; tax'!X281-'Plan pay &amp; tax'!Y281)/$F55,"#,##0"),"")&amp;IF(N('Plan pay &amp; tax'!V281)&gt;=0.5,"; chargeable excess tax on the pension "&amp;TEXT(('Plan pay &amp; tax'!V281)/$F55,"#,##0"),"")&amp;".","")</f>
        <v>Income tax 917; USC 0; PRSI 0.</v>
      </c>
      <c r="F55" s="50" t="n">
        <f aca="false">'Plan pay &amp; tax'!E281</f>
        <v>2.53634351519552</v>
      </c>
      <c r="G55" s="20" t="n">
        <f aca="false">'Plan pay &amp; tax'!G281</f>
        <v>0</v>
      </c>
      <c r="H55" s="20" t="n">
        <f aca="false">'Plan pay &amp; tax'!BT281-'Plan pay &amp; tax'!BS281-'Plan pay &amp; tax'!R281</f>
        <v>94715.3726043531</v>
      </c>
      <c r="I55" s="20" t="n">
        <f aca="false">IF(G55=1,F_CostsM*12,IF(RG_Exists=1,RG_Amount,F_CostsM*12*AS_RetireSpend))*F55+F_OneOffY*F55</f>
        <v>121237.220026346</v>
      </c>
      <c r="J55" s="20" t="n">
        <f aca="false">IF(UN55=1,0,HR54)</f>
        <v>0</v>
      </c>
      <c r="K55" s="20" t="n">
        <f aca="false">IF(J55&gt;1,'Plan debt months'!AC55,0)</f>
        <v>0</v>
      </c>
      <c r="L55" s="20" t="n">
        <f aca="false">IF(J55&gt;1,'Plan debt months'!AB55,J55)</f>
        <v>0</v>
      </c>
      <c r="M55" s="20" t="n">
        <f aca="false">O54</f>
        <v>0</v>
      </c>
      <c r="N55" s="20" t="n">
        <f aca="false">IF(M55&gt;1,'Plan debt months'!BD55,0)</f>
        <v>0</v>
      </c>
      <c r="O55" s="20" t="n">
        <f aca="false">IF(M55&gt;1,'Plan debt months'!BC55,M55)</f>
        <v>0</v>
      </c>
      <c r="P55" s="20" t="n">
        <f aca="false">R54</f>
        <v>0</v>
      </c>
      <c r="Q55" s="20" t="n">
        <f aca="false">IF(P55&gt;1,'Plan debt months'!CE55,0)</f>
        <v>0</v>
      </c>
      <c r="R55" s="20" t="n">
        <f aca="false">IF(P55&gt;1,'Plan debt months'!CD55,P55)</f>
        <v>0</v>
      </c>
      <c r="S55" s="20" t="n">
        <f aca="false">K55+N55+Q55</f>
        <v>0</v>
      </c>
      <c r="T55" s="57" t="n">
        <f aca="false">'Plan holdings'!Y55</f>
        <v>0</v>
      </c>
      <c r="U55" s="57" t="n">
        <f aca="false">'Plan holdings'!BM54</f>
        <v>0</v>
      </c>
      <c r="V55" s="20" t="n">
        <f aca="false">IF(AND(Slot1_On=1,D55=Slot1_Age),1,0)</f>
        <v>0</v>
      </c>
      <c r="W55" s="20" t="n">
        <f aca="false">IF(AND(Slot1_On=1,Slot1_Age&gt;D55),1,0)</f>
        <v>0</v>
      </c>
      <c r="X55" s="20" t="n">
        <f aca="false">QM54</f>
        <v>0</v>
      </c>
      <c r="Y55" s="20" t="n">
        <f aca="false">V55*MIN(Slot1_Cost,X55)</f>
        <v>0</v>
      </c>
      <c r="Z55" s="20" t="n">
        <f aca="false">V55*Slot1_SpendLike*MIN(Slot1_Cost-Y55,T55)</f>
        <v>0</v>
      </c>
      <c r="AA55" s="20" t="n">
        <f aca="false">Y55+Z55</f>
        <v>0</v>
      </c>
      <c r="AB55" s="20" t="n">
        <f aca="false">T55-Z55+V55*IF(Slot1_SpendLike=1,X55-Y55,IF(Slot1_PotFree=1,X55,0))</f>
        <v>0</v>
      </c>
      <c r="AC55" s="20" t="n">
        <f aca="false">AF55+V55*Slot1_BufPot*X55</f>
        <v>0</v>
      </c>
      <c r="AD55" s="20" t="n">
        <f aca="false">IF(AND(V55=1,Slot1_IsMfree=1),IF(AA55&gt;=Slot1_Cost-1,0,MAX(0,L55-AA55)),L55)</f>
        <v>0</v>
      </c>
      <c r="AE55" s="20" t="n">
        <f aca="false">V55*(Slot1_Cost-AA55)</f>
        <v>0</v>
      </c>
      <c r="AF55" s="20" t="n">
        <f aca="false">QL54</f>
        <v>0</v>
      </c>
      <c r="AG55" s="20" t="n">
        <f aca="false">IF(AND(Slot2_On=1,D55=Slot2_Age),1,0)</f>
        <v>0</v>
      </c>
      <c r="AH55" s="20" t="n">
        <f aca="false">IF(AND(Slot2_On=1,Slot2_Age&gt;D55),1,0)</f>
        <v>0</v>
      </c>
      <c r="AI55" s="20" t="n">
        <f aca="false">QQ54</f>
        <v>0</v>
      </c>
      <c r="AJ55" s="20" t="n">
        <f aca="false">AG55*MIN(Slot2_Cost,AI55)</f>
        <v>0</v>
      </c>
      <c r="AK55" s="20" t="n">
        <f aca="false">AG55*Slot2_SpendLike*MIN(Slot2_Cost-AJ55,AB55)</f>
        <v>0</v>
      </c>
      <c r="AL55" s="20" t="n">
        <f aca="false">AJ55+AK55</f>
        <v>0</v>
      </c>
      <c r="AM55" s="20" t="n">
        <f aca="false">AB55-AK55+AG55*IF(Slot2_SpendLike=1,AI55-AJ55,IF(Slot2_PotFree=1,AI55,0))</f>
        <v>0</v>
      </c>
      <c r="AN55" s="20" t="n">
        <f aca="false">AC55+AG55*Slot2_BufPot*AI55</f>
        <v>0</v>
      </c>
      <c r="AO55" s="20" t="n">
        <f aca="false">IF(AND(AG55=1,Slot2_IsMfree=1),IF(AL55&gt;=Slot2_Cost-1,0,MAX(0,AD55-AL55)),AD55)</f>
        <v>0</v>
      </c>
      <c r="AP55" s="20" t="n">
        <f aca="false">AG55*(Slot2_Cost-AL55)</f>
        <v>0</v>
      </c>
      <c r="AQ55" s="20" t="n">
        <f aca="false">IF(AND(Slot3_On=1,D55=Slot3_Age),1,0)</f>
        <v>0</v>
      </c>
      <c r="AR55" s="20" t="n">
        <f aca="false">IF(AND(Slot3_On=1,Slot3_Age&gt;D55),1,0)</f>
        <v>0</v>
      </c>
      <c r="AS55" s="20" t="n">
        <f aca="false">QU54</f>
        <v>0</v>
      </c>
      <c r="AT55" s="20" t="n">
        <f aca="false">AQ55*MIN(Slot3_Cost,AS55)</f>
        <v>0</v>
      </c>
      <c r="AU55" s="20" t="n">
        <f aca="false">AQ55*Slot3_SpendLike*MIN(Slot3_Cost-AT55,AM55)</f>
        <v>0</v>
      </c>
      <c r="AV55" s="20" t="n">
        <f aca="false">AT55+AU55</f>
        <v>0</v>
      </c>
      <c r="AW55" s="20" t="n">
        <f aca="false">AM55-AU55+AQ55*IF(Slot3_SpendLike=1,AS55-AT55,IF(Slot3_PotFree=1,AS55,0))</f>
        <v>0</v>
      </c>
      <c r="AX55" s="20" t="n">
        <f aca="false">AN55+AQ55*Slot3_BufPot*AS55</f>
        <v>0</v>
      </c>
      <c r="AY55" s="20" t="n">
        <f aca="false">IF(AND(AQ55=1,Slot3_IsMfree=1),IF(AV55&gt;=Slot3_Cost-1,0,MAX(0,AO55-AV55)),AO55)</f>
        <v>0</v>
      </c>
      <c r="AZ55" s="20" t="n">
        <f aca="false">AQ55*(Slot3_Cost-AV55)</f>
        <v>0</v>
      </c>
      <c r="BA55" s="20" t="n">
        <f aca="false">IF(AND(Slot4_On=1,D55=Slot4_Age),1,0)</f>
        <v>0</v>
      </c>
      <c r="BB55" s="20" t="n">
        <f aca="false">IF(AND(Slot4_On=1,Slot4_Age&gt;D55),1,0)</f>
        <v>0</v>
      </c>
      <c r="BC55" s="20" t="n">
        <f aca="false">QY54</f>
        <v>0</v>
      </c>
      <c r="BD55" s="20" t="n">
        <f aca="false">BA55*MIN(Slot4_Cost,BC55)</f>
        <v>0</v>
      </c>
      <c r="BE55" s="20" t="n">
        <f aca="false">BA55*Slot4_SpendLike*MIN(Slot4_Cost-BD55,AW55)</f>
        <v>0</v>
      </c>
      <c r="BF55" s="20" t="n">
        <f aca="false">BD55+BE55</f>
        <v>0</v>
      </c>
      <c r="BG55" s="20" t="n">
        <f aca="false">AW55-BE55+BA55*IF(Slot4_SpendLike=1,BC55-BD55,IF(Slot4_PotFree=1,BC55,0))</f>
        <v>0</v>
      </c>
      <c r="BH55" s="20" t="n">
        <f aca="false">AX55+BA55*Slot4_BufPot*BC55</f>
        <v>0</v>
      </c>
      <c r="BI55" s="20" t="n">
        <f aca="false">IF(AND(BA55=1,Slot4_IsMfree=1),IF(BF55&gt;=Slot4_Cost-1,0,MAX(0,AY55-BF55)),AY55)</f>
        <v>0</v>
      </c>
      <c r="BJ55" s="20" t="n">
        <f aca="false">BA55*(Slot4_Cost-BF55)</f>
        <v>0</v>
      </c>
      <c r="BK55" s="20" t="n">
        <f aca="false">IF(AND(Slot5_On=1,D55=Slot5_Age),1,0)</f>
        <v>0</v>
      </c>
      <c r="BL55" s="20" t="n">
        <f aca="false">IF(AND(Slot5_On=1,Slot5_Age&gt;D55),1,0)</f>
        <v>0</v>
      </c>
      <c r="BM55" s="20" t="n">
        <f aca="false">RC54</f>
        <v>0</v>
      </c>
      <c r="BN55" s="20" t="n">
        <f aca="false">BK55*MIN(Slot5_Cost,BM55)</f>
        <v>0</v>
      </c>
      <c r="BO55" s="20" t="n">
        <f aca="false">BK55*Slot5_SpendLike*MIN(Slot5_Cost-BN55,BG55)</f>
        <v>0</v>
      </c>
      <c r="BP55" s="20" t="n">
        <f aca="false">BN55+BO55</f>
        <v>0</v>
      </c>
      <c r="BQ55" s="20" t="n">
        <f aca="false">BG55-BO55+BK55*IF(Slot5_SpendLike=1,BM55-BN55,IF(Slot5_PotFree=1,BM55,0))</f>
        <v>0</v>
      </c>
      <c r="BR55" s="20" t="n">
        <f aca="false">BH55+BK55*Slot5_BufPot*BM55</f>
        <v>0</v>
      </c>
      <c r="BS55" s="20" t="n">
        <f aca="false">IF(AND(BK55=1,Slot5_IsMfree=1),IF(BP55&gt;=Slot5_Cost-1,0,MAX(0,BI55-BP55)),BI55)</f>
        <v>0</v>
      </c>
      <c r="BT55" s="20" t="n">
        <f aca="false">BK55*(Slot5_Cost-BP55)</f>
        <v>0</v>
      </c>
      <c r="BU55" s="20" t="n">
        <f aca="false">IF(AND(Slot6_On=1,D55=Slot6_Age),1,0)</f>
        <v>0</v>
      </c>
      <c r="BV55" s="20" t="n">
        <f aca="false">IF(AND(Slot6_On=1,Slot6_Age&gt;D55),1,0)</f>
        <v>0</v>
      </c>
      <c r="BW55" s="20" t="n">
        <f aca="false">RG54</f>
        <v>0</v>
      </c>
      <c r="BX55" s="20" t="n">
        <f aca="false">BU55*MIN(Slot6_Cost,BW55)</f>
        <v>0</v>
      </c>
      <c r="BY55" s="20" t="n">
        <f aca="false">BU55*Slot6_SpendLike*MIN(Slot6_Cost-BX55,BQ55)</f>
        <v>0</v>
      </c>
      <c r="BZ55" s="20" t="n">
        <f aca="false">BX55+BY55</f>
        <v>0</v>
      </c>
      <c r="CA55" s="20" t="n">
        <f aca="false">BQ55-BY55+BU55*IF(Slot6_SpendLike=1,BW55-BX55,IF(Slot6_PotFree=1,BW55,0))</f>
        <v>0</v>
      </c>
      <c r="CB55" s="20" t="n">
        <f aca="false">BR55+BU55*Slot6_BufPot*BW55</f>
        <v>0</v>
      </c>
      <c r="CC55" s="20" t="n">
        <f aca="false">IF(AND(BU55=1,Slot6_IsMfree=1),IF(BZ55&gt;=Slot6_Cost-1,0,MAX(0,BS55-BZ55)),BS55)</f>
        <v>0</v>
      </c>
      <c r="CD55" s="20" t="n">
        <f aca="false">BU55*(Slot6_Cost-BZ55)</f>
        <v>0</v>
      </c>
      <c r="CE55" s="20" t="n">
        <f aca="false">IF(AND(Slot7_On=1,D55=Slot7_Age),1,0)</f>
        <v>0</v>
      </c>
      <c r="CF55" s="20" t="n">
        <f aca="false">IF(AND(Slot7_On=1,Slot7_Age&gt;D55),1,0)</f>
        <v>0</v>
      </c>
      <c r="CG55" s="20" t="n">
        <f aca="false">RK54</f>
        <v>0</v>
      </c>
      <c r="CH55" s="20" t="n">
        <f aca="false">CE55*MIN(Slot7_Cost,CG55)</f>
        <v>0</v>
      </c>
      <c r="CI55" s="20" t="n">
        <f aca="false">CE55*Slot7_SpendLike*MIN(Slot7_Cost-CH55,CA55)</f>
        <v>0</v>
      </c>
      <c r="CJ55" s="20" t="n">
        <f aca="false">CH55+CI55</f>
        <v>0</v>
      </c>
      <c r="CK55" s="20" t="n">
        <f aca="false">CA55-CI55+CE55*IF(Slot7_SpendLike=1,CG55-CH55,IF(Slot7_PotFree=1,CG55,0))</f>
        <v>0</v>
      </c>
      <c r="CL55" s="20" t="n">
        <f aca="false">CB55+CE55*Slot7_BufPot*CG55</f>
        <v>0</v>
      </c>
      <c r="CM55" s="20" t="n">
        <f aca="false">IF(AND(CE55=1,Slot7_IsMfree=1),IF(CJ55&gt;=Slot7_Cost-1,0,MAX(0,CC55-CJ55)),CC55)</f>
        <v>0</v>
      </c>
      <c r="CN55" s="20" t="n">
        <f aca="false">CE55*(Slot7_Cost-CJ55)</f>
        <v>0</v>
      </c>
      <c r="CO55" s="20" t="n">
        <f aca="false">IF(AND(Slot8_On=1,D55=Slot8_Age),1,0)</f>
        <v>0</v>
      </c>
      <c r="CP55" s="20" t="n">
        <f aca="false">IF(AND(Slot8_On=1,Slot8_Age&gt;D55),1,0)</f>
        <v>0</v>
      </c>
      <c r="CQ55" s="20" t="n">
        <f aca="false">RO54</f>
        <v>0</v>
      </c>
      <c r="CR55" s="20" t="n">
        <f aca="false">CO55*MIN(Slot8_Cost,CQ55)</f>
        <v>0</v>
      </c>
      <c r="CS55" s="20" t="n">
        <f aca="false">CO55*Slot8_SpendLike*MIN(Slot8_Cost-CR55,CK55)</f>
        <v>0</v>
      </c>
      <c r="CT55" s="20" t="n">
        <f aca="false">CR55+CS55</f>
        <v>0</v>
      </c>
      <c r="CU55" s="20" t="n">
        <f aca="false">CK55-CS55+CO55*IF(Slot8_SpendLike=1,CQ55-CR55,IF(Slot8_PotFree=1,CQ55,0))</f>
        <v>0</v>
      </c>
      <c r="CV55" s="20" t="n">
        <f aca="false">CL55+CO55*Slot8_BufPot*CQ55</f>
        <v>0</v>
      </c>
      <c r="CW55" s="20" t="n">
        <f aca="false">IF(AND(CO55=1,Slot8_IsMfree=1),IF(CT55&gt;=Slot8_Cost-1,0,MAX(0,CM55-CT55)),CM55)</f>
        <v>0</v>
      </c>
      <c r="CX55" s="20" t="n">
        <f aca="false">CO55*(Slot8_Cost-CT55)</f>
        <v>0</v>
      </c>
      <c r="CY55" s="20" t="n">
        <f aca="false">IF(AND(Slot9_On=1,D55=Slot9_Age),1,0)</f>
        <v>0</v>
      </c>
      <c r="CZ55" s="20" t="n">
        <f aca="false">IF(AND(Slot9_On=1,Slot9_Age&gt;D55),1,0)</f>
        <v>0</v>
      </c>
      <c r="DA55" s="20" t="n">
        <f aca="false">RS54</f>
        <v>0</v>
      </c>
      <c r="DB55" s="20" t="n">
        <f aca="false">CY55*MIN(Slot9_Cost,DA55)</f>
        <v>0</v>
      </c>
      <c r="DC55" s="20" t="n">
        <f aca="false">CY55*Slot9_SpendLike*MIN(Slot9_Cost-DB55,CU55)</f>
        <v>0</v>
      </c>
      <c r="DD55" s="20" t="n">
        <f aca="false">DB55+DC55</f>
        <v>0</v>
      </c>
      <c r="DE55" s="20" t="n">
        <f aca="false">CU55-DC55+CY55*IF(Slot9_SpendLike=1,DA55-DB55,IF(Slot9_PotFree=1,DA55,0))</f>
        <v>0</v>
      </c>
      <c r="DF55" s="20" t="n">
        <f aca="false">CV55+CY55*Slot9_BufPot*DA55</f>
        <v>0</v>
      </c>
      <c r="DG55" s="20" t="n">
        <f aca="false">IF(AND(CY55=1,Slot9_IsMfree=1),IF(DD55&gt;=Slot9_Cost-1,0,MAX(0,CW55-DD55)),CW55)</f>
        <v>0</v>
      </c>
      <c r="DH55" s="20" t="n">
        <f aca="false">CY55*(Slot9_Cost-DD55)</f>
        <v>0</v>
      </c>
      <c r="DI55" s="20" t="n">
        <f aca="false">IF(AND(Slot10_On=1,D55=Slot10_Age),1,0)</f>
        <v>0</v>
      </c>
      <c r="DJ55" s="20" t="n">
        <f aca="false">IF(AND(Slot10_On=1,Slot10_Age&gt;D55),1,0)</f>
        <v>0</v>
      </c>
      <c r="DK55" s="20" t="n">
        <f aca="false">RW54</f>
        <v>0</v>
      </c>
      <c r="DL55" s="20" t="n">
        <f aca="false">DI55*MIN(Slot10_Cost,DK55)</f>
        <v>0</v>
      </c>
      <c r="DM55" s="20" t="n">
        <f aca="false">DI55*Slot10_SpendLike*MIN(Slot10_Cost-DL55,DE55)</f>
        <v>0</v>
      </c>
      <c r="DN55" s="20" t="n">
        <f aca="false">DL55+DM55</f>
        <v>0</v>
      </c>
      <c r="DO55" s="20" t="n">
        <f aca="false">DE55-DM55+DI55*IF(Slot10_SpendLike=1,DK55-DL55,IF(Slot10_PotFree=1,DK55,0))</f>
        <v>0</v>
      </c>
      <c r="DP55" s="20" t="n">
        <f aca="false">DF55+DI55*Slot10_BufPot*DK55</f>
        <v>0</v>
      </c>
      <c r="DQ55" s="20" t="n">
        <f aca="false">IF(AND(DI55=1,Slot10_IsMfree=1),IF(DN55&gt;=Slot10_Cost-1,0,MAX(0,DG55-DN55)),DG55)</f>
        <v>0</v>
      </c>
      <c r="DR55" s="20" t="n">
        <f aca="false">DI55*(Slot10_Cost-DN55)</f>
        <v>0</v>
      </c>
      <c r="DS55" s="20" t="n">
        <f aca="false">IF(AND(Slot11_On=1,D55=Slot11_Age),1,0)</f>
        <v>0</v>
      </c>
      <c r="DT55" s="20" t="n">
        <f aca="false">IF(AND(Slot11_On=1,Slot11_Age&gt;D55),1,0)</f>
        <v>0</v>
      </c>
      <c r="DU55" s="20" t="n">
        <f aca="false">SA54</f>
        <v>0</v>
      </c>
      <c r="DV55" s="20" t="n">
        <f aca="false">DS55*MIN(Slot11_Cost,DU55)</f>
        <v>0</v>
      </c>
      <c r="DW55" s="20" t="n">
        <f aca="false">DS55*Slot11_SpendLike*MIN(Slot11_Cost-DV55,DO55)</f>
        <v>0</v>
      </c>
      <c r="DX55" s="20" t="n">
        <f aca="false">DV55+DW55</f>
        <v>0</v>
      </c>
      <c r="DY55" s="20" t="n">
        <f aca="false">DO55-DW55+DS55*IF(Slot11_SpendLike=1,DU55-DV55,IF(Slot11_PotFree=1,DU55,0))</f>
        <v>0</v>
      </c>
      <c r="DZ55" s="20" t="n">
        <f aca="false">DP55+DS55*Slot11_BufPot*DU55</f>
        <v>0</v>
      </c>
      <c r="EA55" s="20" t="n">
        <f aca="false">IF(AND(DS55=1,Slot11_IsMfree=1),IF(DX55&gt;=Slot11_Cost-1,0,MAX(0,DQ55-DX55)),DQ55)</f>
        <v>0</v>
      </c>
      <c r="EB55" s="20" t="n">
        <f aca="false">DS55*(Slot11_Cost-DX55)</f>
        <v>0</v>
      </c>
      <c r="EC55" s="20" t="n">
        <f aca="false">IF(AND(Slot12_On=1,D55=Slot12_Age),1,0)</f>
        <v>0</v>
      </c>
      <c r="ED55" s="20" t="n">
        <f aca="false">IF(AND(Slot12_On=1,Slot12_Age&gt;D55),1,0)</f>
        <v>0</v>
      </c>
      <c r="EE55" s="20" t="n">
        <f aca="false">SE54</f>
        <v>0</v>
      </c>
      <c r="EF55" s="20" t="n">
        <f aca="false">EC55*MIN(Slot12_Cost,EE55)</f>
        <v>0</v>
      </c>
      <c r="EG55" s="20" t="n">
        <f aca="false">EC55*Slot12_SpendLike*MIN(Slot12_Cost-EF55,DY55)</f>
        <v>0</v>
      </c>
      <c r="EH55" s="20" t="n">
        <f aca="false">EF55+EG55</f>
        <v>0</v>
      </c>
      <c r="EI55" s="20" t="n">
        <f aca="false">DY55-EG55+EC55*IF(Slot12_SpendLike=1,EE55-EF55,IF(Slot12_PotFree=1,EE55,0))</f>
        <v>0</v>
      </c>
      <c r="EJ55" s="20" t="n">
        <f aca="false">DZ55+EC55*Slot12_BufPot*EE55</f>
        <v>0</v>
      </c>
      <c r="EK55" s="20" t="n">
        <f aca="false">IF(AND(EC55=1,Slot12_IsMfree=1),IF(EH55&gt;=Slot12_Cost-1,0,MAX(0,EA55-EH55)),EA55)</f>
        <v>0</v>
      </c>
      <c r="EL55" s="20" t="n">
        <f aca="false">EC55*(Slot12_Cost-EH55)</f>
        <v>0</v>
      </c>
      <c r="EM55" s="20" t="n">
        <f aca="false">IF(AND(Slot13_On=1,D55=Slot13_Age),1,0)</f>
        <v>0</v>
      </c>
      <c r="EN55" s="20" t="n">
        <f aca="false">IF(AND(Slot13_On=1,Slot13_Age&gt;D55),1,0)</f>
        <v>0</v>
      </c>
      <c r="EO55" s="20" t="n">
        <f aca="false">SI54</f>
        <v>0</v>
      </c>
      <c r="EP55" s="20" t="n">
        <f aca="false">EM55*MIN(Slot13_Cost,EO55)</f>
        <v>0</v>
      </c>
      <c r="EQ55" s="20" t="n">
        <f aca="false">EM55*Slot13_SpendLike*MIN(Slot13_Cost-EP55,EI55)</f>
        <v>0</v>
      </c>
      <c r="ER55" s="20" t="n">
        <f aca="false">EP55+EQ55</f>
        <v>0</v>
      </c>
      <c r="ES55" s="20" t="n">
        <f aca="false">EI55-EQ55+EM55*IF(Slot13_SpendLike=1,EO55-EP55,IF(Slot13_PotFree=1,EO55,0))</f>
        <v>0</v>
      </c>
      <c r="ET55" s="20" t="n">
        <f aca="false">EJ55+EM55*Slot13_BufPot*EO55</f>
        <v>0</v>
      </c>
      <c r="EU55" s="20" t="n">
        <f aca="false">IF(AND(EM55=1,Slot13_IsMfree=1),IF(ER55&gt;=Slot13_Cost-1,0,MAX(0,EK55-ER55)),EK55)</f>
        <v>0</v>
      </c>
      <c r="EV55" s="20" t="n">
        <f aca="false">EM55*(Slot13_Cost-ER55)</f>
        <v>0</v>
      </c>
      <c r="EW55" s="20" t="n">
        <f aca="false">IF(AND(Slot14_On=1,D55=Slot14_Age),1,0)</f>
        <v>0</v>
      </c>
      <c r="EX55" s="20" t="n">
        <f aca="false">IF(AND(Slot14_On=1,Slot14_Age&gt;D55),1,0)</f>
        <v>0</v>
      </c>
      <c r="EY55" s="20" t="n">
        <f aca="false">SM54</f>
        <v>0</v>
      </c>
      <c r="EZ55" s="20" t="n">
        <f aca="false">EW55*MIN(Slot14_Cost,EY55)</f>
        <v>0</v>
      </c>
      <c r="FA55" s="20" t="n">
        <f aca="false">EW55*Slot14_SpendLike*MIN(Slot14_Cost-EZ55,ES55)</f>
        <v>0</v>
      </c>
      <c r="FB55" s="20" t="n">
        <f aca="false">EZ55+FA55</f>
        <v>0</v>
      </c>
      <c r="FC55" s="20" t="n">
        <f aca="false">ES55-FA55+EW55*IF(Slot14_SpendLike=1,EY55-EZ55,IF(Slot14_PotFree=1,EY55,0))</f>
        <v>0</v>
      </c>
      <c r="FD55" s="20" t="n">
        <f aca="false">ET55+EW55*Slot14_BufPot*EY55</f>
        <v>0</v>
      </c>
      <c r="FE55" s="20" t="n">
        <f aca="false">IF(AND(EW55=1,Slot14_IsMfree=1),IF(FB55&gt;=Slot14_Cost-1,0,MAX(0,EU55-FB55)),EU55)</f>
        <v>0</v>
      </c>
      <c r="FF55" s="20" t="n">
        <f aca="false">EW55*(Slot14_Cost-FB55)</f>
        <v>0</v>
      </c>
      <c r="FG55" s="20" t="n">
        <f aca="false">IF(AND(Slot15_On=1,D55=Slot15_Age),1,0)</f>
        <v>0</v>
      </c>
      <c r="FH55" s="20" t="n">
        <f aca="false">IF(AND(Slot15_On=1,Slot15_Age&gt;D55),1,0)</f>
        <v>0</v>
      </c>
      <c r="FI55" s="20" t="n">
        <f aca="false">SQ54</f>
        <v>0</v>
      </c>
      <c r="FJ55" s="20" t="n">
        <f aca="false">FG55*MIN(Slot15_Cost,FI55)</f>
        <v>0</v>
      </c>
      <c r="FK55" s="20" t="n">
        <f aca="false">FG55*Slot15_SpendLike*MIN(Slot15_Cost-FJ55,FC55)</f>
        <v>0</v>
      </c>
      <c r="FL55" s="20" t="n">
        <f aca="false">FJ55+FK55</f>
        <v>0</v>
      </c>
      <c r="FM55" s="20" t="n">
        <f aca="false">FC55-FK55+FG55*IF(Slot15_SpendLike=1,FI55-FJ55,IF(Slot15_PotFree=1,FI55,0))</f>
        <v>0</v>
      </c>
      <c r="FN55" s="20" t="n">
        <f aca="false">FD55+FG55*Slot15_BufPot*FI55</f>
        <v>0</v>
      </c>
      <c r="FO55" s="20" t="n">
        <f aca="false">IF(AND(FG55=1,Slot15_IsMfree=1),IF(FL55&gt;=Slot15_Cost-1,0,MAX(0,FE55-FL55)),FE55)</f>
        <v>0</v>
      </c>
      <c r="FP55" s="20" t="n">
        <f aca="false">FG55*(Slot15_Cost-FL55)</f>
        <v>0</v>
      </c>
      <c r="FQ55" s="20" t="n">
        <f aca="false">IF(AND(Slot16_On=1,D55=Slot16_Age),1,0)</f>
        <v>0</v>
      </c>
      <c r="FR55" s="20" t="n">
        <f aca="false">IF(AND(Slot16_On=1,Slot16_Age&gt;D55),1,0)</f>
        <v>0</v>
      </c>
      <c r="FS55" s="20" t="n">
        <f aca="false">SU54</f>
        <v>0</v>
      </c>
      <c r="FT55" s="20" t="n">
        <f aca="false">FQ55*MIN(Slot16_Cost,FS55)</f>
        <v>0</v>
      </c>
      <c r="FU55" s="20" t="n">
        <f aca="false">FQ55*Slot16_SpendLike*MIN(Slot16_Cost-FT55,FM55)</f>
        <v>0</v>
      </c>
      <c r="FV55" s="20" t="n">
        <f aca="false">FT55+FU55</f>
        <v>0</v>
      </c>
      <c r="FW55" s="20" t="n">
        <f aca="false">FM55-FU55+FQ55*IF(Slot16_SpendLike=1,FS55-FT55,IF(Slot16_PotFree=1,FS55,0))</f>
        <v>0</v>
      </c>
      <c r="FX55" s="20" t="n">
        <f aca="false">FN55+FQ55*Slot16_BufPot*FS55</f>
        <v>0</v>
      </c>
      <c r="FY55" s="20" t="n">
        <f aca="false">IF(AND(FQ55=1,Slot16_IsMfree=1),IF(FV55&gt;=Slot16_Cost-1,0,MAX(0,FO55-FV55)),FO55)</f>
        <v>0</v>
      </c>
      <c r="FZ55" s="20" t="n">
        <f aca="false">FQ55*(Slot16_Cost-FV55)</f>
        <v>0</v>
      </c>
      <c r="GA55" s="20" t="n">
        <f aca="false">IF(AND(Slot17_On=1,D55=Slot17_Age),1,0)</f>
        <v>0</v>
      </c>
      <c r="GB55" s="20" t="n">
        <f aca="false">IF(AND(Slot17_On=1,Slot17_Age&gt;D55),1,0)</f>
        <v>0</v>
      </c>
      <c r="GC55" s="20" t="n">
        <f aca="false">SY54</f>
        <v>0</v>
      </c>
      <c r="GD55" s="20" t="n">
        <f aca="false">GA55*MIN(Slot17_Cost,GC55)</f>
        <v>0</v>
      </c>
      <c r="GE55" s="20" t="n">
        <f aca="false">GA55*Slot17_SpendLike*MIN(Slot17_Cost-GD55,FW55)</f>
        <v>0</v>
      </c>
      <c r="GF55" s="20" t="n">
        <f aca="false">GD55+GE55</f>
        <v>0</v>
      </c>
      <c r="GG55" s="20" t="n">
        <f aca="false">FW55-GE55+GA55*IF(Slot17_SpendLike=1,GC55-GD55,IF(Slot17_PotFree=1,GC55,0))</f>
        <v>0</v>
      </c>
      <c r="GH55" s="20" t="n">
        <f aca="false">FX55+GA55*Slot17_BufPot*GC55</f>
        <v>0</v>
      </c>
      <c r="GI55" s="20" t="n">
        <f aca="false">IF(AND(GA55=1,Slot17_IsMfree=1),IF(GF55&gt;=Slot17_Cost-1,0,MAX(0,FY55-GF55)),FY55)</f>
        <v>0</v>
      </c>
      <c r="GJ55" s="20" t="n">
        <f aca="false">GA55*(Slot17_Cost-GF55)</f>
        <v>0</v>
      </c>
      <c r="GK55" s="20" t="n">
        <f aca="false">IF(AND(Slot18_On=1,D55=Slot18_Age),1,0)</f>
        <v>0</v>
      </c>
      <c r="GL55" s="20" t="n">
        <f aca="false">IF(AND(Slot18_On=1,Slot18_Age&gt;D55),1,0)</f>
        <v>0</v>
      </c>
      <c r="GM55" s="20" t="n">
        <f aca="false">TC54</f>
        <v>0</v>
      </c>
      <c r="GN55" s="20" t="n">
        <f aca="false">GK55*MIN(Slot18_Cost,GM55)</f>
        <v>0</v>
      </c>
      <c r="GO55" s="20" t="n">
        <f aca="false">GK55*Slot18_SpendLike*MIN(Slot18_Cost-GN55,GG55)</f>
        <v>0</v>
      </c>
      <c r="GP55" s="20" t="n">
        <f aca="false">GN55+GO55</f>
        <v>0</v>
      </c>
      <c r="GQ55" s="20" t="n">
        <f aca="false">GG55-GO55+GK55*IF(Slot18_SpendLike=1,GM55-GN55,IF(Slot18_PotFree=1,GM55,0))</f>
        <v>0</v>
      </c>
      <c r="GR55" s="20" t="n">
        <f aca="false">GH55+GK55*Slot18_BufPot*GM55</f>
        <v>0</v>
      </c>
      <c r="GS55" s="20" t="n">
        <f aca="false">IF(AND(GK55=1,Slot18_IsMfree=1),IF(GP55&gt;=Slot18_Cost-1,0,MAX(0,GI55-GP55)),GI55)</f>
        <v>0</v>
      </c>
      <c r="GT55" s="20" t="n">
        <f aca="false">GK55*(Slot18_Cost-GP55)</f>
        <v>0</v>
      </c>
      <c r="GU55" s="20" t="n">
        <f aca="false">IF(AND(Slot19_On=1,D55=Slot19_Age),1,0)</f>
        <v>0</v>
      </c>
      <c r="GV55" s="20" t="n">
        <f aca="false">IF(AND(Slot19_On=1,Slot19_Age&gt;D55),1,0)</f>
        <v>0</v>
      </c>
      <c r="GW55" s="20" t="n">
        <f aca="false">TG54</f>
        <v>0</v>
      </c>
      <c r="GX55" s="20" t="n">
        <f aca="false">GU55*MIN(Slot19_Cost,GW55)</f>
        <v>0</v>
      </c>
      <c r="GY55" s="20" t="n">
        <f aca="false">GU55*Slot19_SpendLike*MIN(Slot19_Cost-GX55,GQ55)</f>
        <v>0</v>
      </c>
      <c r="GZ55" s="20" t="n">
        <f aca="false">GX55+GY55</f>
        <v>0</v>
      </c>
      <c r="HA55" s="20" t="n">
        <f aca="false">GQ55-GY55+GU55*IF(Slot19_SpendLike=1,GW55-GX55,IF(Slot19_PotFree=1,GW55,0))</f>
        <v>0</v>
      </c>
      <c r="HB55" s="20" t="n">
        <f aca="false">GR55+GU55*Slot19_BufPot*GW55</f>
        <v>0</v>
      </c>
      <c r="HC55" s="20" t="n">
        <f aca="false">IF(AND(GU55=1,Slot19_IsMfree=1),IF(GZ55&gt;=Slot19_Cost-1,0,MAX(0,GS55-GZ55)),GS55)</f>
        <v>0</v>
      </c>
      <c r="HD55" s="20" t="n">
        <f aca="false">GU55*(Slot19_Cost-GZ55)</f>
        <v>0</v>
      </c>
      <c r="HE55" s="20" t="n">
        <f aca="false">IF(AND(Slot20_On=1,D55=Slot20_Age),1,0)</f>
        <v>0</v>
      </c>
      <c r="HF55" s="20" t="n">
        <f aca="false">IF(AND(Slot20_On=1,Slot20_Age&gt;D55),1,0)</f>
        <v>0</v>
      </c>
      <c r="HG55" s="20" t="n">
        <f aca="false">TK54</f>
        <v>0</v>
      </c>
      <c r="HH55" s="20" t="n">
        <f aca="false">HE55*MIN(Slot20_Cost,HG55)</f>
        <v>0</v>
      </c>
      <c r="HI55" s="20" t="n">
        <f aca="false">HE55*Slot20_SpendLike*MIN(Slot20_Cost-HH55,HA55)</f>
        <v>0</v>
      </c>
      <c r="HJ55" s="20" t="n">
        <f aca="false">HH55+HI55</f>
        <v>0</v>
      </c>
      <c r="HK55" s="20" t="n">
        <f aca="false">HA55-HI55+HE55*IF(Slot20_SpendLike=1,HG55-HH55,IF(Slot20_PotFree=1,HG55,0))</f>
        <v>0</v>
      </c>
      <c r="HL55" s="20" t="n">
        <f aca="false">HB55+HE55*Slot20_BufPot*HG55</f>
        <v>0</v>
      </c>
      <c r="HM55" s="20" t="n">
        <f aca="false">IF(AND(HE55=1,Slot20_IsMfree=1),IF(HJ55&gt;=Slot20_Cost-1,0,MAX(0,HC55-HJ55)),HC55)</f>
        <v>0</v>
      </c>
      <c r="HN55" s="20" t="n">
        <f aca="false">HE55*(Slot20_Cost-HJ55)</f>
        <v>0</v>
      </c>
      <c r="HO55" s="20" t="n">
        <f aca="false">V55*Slot1_SpendLike*AA55+AG55*Slot2_SpendLike*AL55+AQ55*Slot3_SpendLike*AV55+BA55*Slot4_SpendLike*BF55+BK55*Slot5_SpendLike*BP55+BU55*Slot6_SpendLike*BZ55+CE55*Slot7_SpendLike*CJ55+CO55*Slot8_SpendLike*CT55+CY55*Slot9_SpendLike*DD55+DI55*Slot10_SpendLike*DN55+DS55*Slot11_SpendLike*DX55+EC55*Slot12_SpendLike*EH55+EM55*Slot13_SpendLike*ER55+EW55*Slot14_SpendLike*FB55+FG55*Slot15_SpendLike*FL55+FQ55*Slot16_SpendLike*FV55+GA55*Slot17_SpendLike*GF55+GK55*Slot18_SpendLike*GP55+GU55*Slot19_SpendLike*GZ55+HE55*Slot20_SpendLike*HJ55</f>
        <v>0</v>
      </c>
      <c r="HP55" s="20" t="n">
        <f aca="false">AE55+AP55+AZ55+BJ55+BT55+CD55+CN55+CX55+DH55+DR55+EB55+EL55+EV55+FF55+FP55+FZ55+GJ55+GT55+HD55+HN55</f>
        <v>0</v>
      </c>
      <c r="HQ55" s="20" t="n">
        <f aca="false">V55*Slot1_Cost+AG55*Slot2_Cost+AQ55*Slot3_Cost+BA55*Slot4_Cost+BK55*Slot5_Cost+BU55*Slot6_Cost+CE55*Slot7_Cost+CO55*Slot8_Cost+CY55*Slot9_Cost+DI55*Slot10_Cost+DS55*Slot11_Cost+EC55*Slot12_Cost+EM55*Slot13_Cost+EW55*Slot14_Cost+FG55*Slot15_Cost+FQ55*Slot16_Cost+GA55*Slot17_Cost+GK55*Slot18_Cost+GU55*Slot19_Cost+HE55*Slot20_Cost</f>
        <v>0</v>
      </c>
      <c r="HR55" s="20" t="n">
        <f aca="false">HM55</f>
        <v>0</v>
      </c>
      <c r="HS55" s="20" t="n">
        <f aca="false">H55-I55-S55</f>
        <v>-26521.8474219928</v>
      </c>
      <c r="HT55" s="20" t="n">
        <f aca="false">IF(B55=0,IF(AND(Has_q6=1,In_q6=4),PR_ShareVaries*(MAX(0,HS55)/12),MIN(IF(Has_q6=1,CHOOSE(In_q6+1,PR_SaveB1,PR_SaveB2,PR_SaveB3,PR_SaveB4,0),AS_NoAnswer),AS_SaveShare*(MAX(0,HS55)/12))),HT54)</f>
        <v>67.3316893520437</v>
      </c>
      <c r="HU55" s="20" t="n">
        <f aca="false">IF(HS55&gt;=0,1,0)</f>
        <v>0</v>
      </c>
      <c r="HV55" s="20" t="n">
        <f aca="false">MAX(0,HS55/12/F55)</f>
        <v>0</v>
      </c>
      <c r="HW55" s="20" t="n">
        <f aca="false">IF(AND(Has_q6=1,In_q6=4),PR_ShareVaries*(HV55),MIN(IF(Has_q6=1,CHOOSE(In_q6+1,PR_SaveB1,PR_SaveB2,PR_SaveB3,PR_SaveB4,0),AS_NoAnswer),AS_SaveShare*(HV55)))</f>
        <v>0</v>
      </c>
      <c r="HX55" s="20" t="n">
        <f aca="false">IF(Has_saveM=1,IF(In_saveUp="Yes",1,IF(In_saveUp="No",0,IF(In_saveM&gt;=HT55-0.5,1,0))),0)</f>
        <v>0</v>
      </c>
      <c r="HY55" s="20" t="n">
        <f aca="false">IF(Has_saveM=1,MIN(HV55,IF(HX55=1,MAX(In_saveM,HW55),MIN(In_saveM,HW55))),HW55)</f>
        <v>0</v>
      </c>
      <c r="HZ55" s="20" t="n">
        <f aca="false">IF(G55=1,HY55*12*F55,0)</f>
        <v>0</v>
      </c>
      <c r="IA55" s="20" t="n">
        <f aca="false">MAX(0,HZ55+IF(AND(WI_Retire=0,WI_M&lt;0,G55=1),WI_M*12*F55,0))</f>
        <v>0</v>
      </c>
      <c r="IB55" s="20" t="n">
        <f aca="false">Slot1_IsWG*W55+Slot2_IsWG*AH55+Slot3_IsWG*AR55+Slot4_IsWG*BB55+Slot5_IsWG*BL55+Slot6_IsWG*BV55+Slot7_IsWG*CF55+Slot8_IsWG*CP55+Slot9_IsWG*CZ55+Slot10_IsWG*DJ55+Slot11_IsWG*DT55+Slot12_IsWG*ED55+Slot13_IsWG*EN55+Slot14_IsWG*EX55+Slot15_IsWG*FH55+Slot16_IsWG*FR55+Slot17_IsWG*GB55+Slot18_IsWG*GL55+Slot19_IsWG*GV55+Slot20_IsWG*HF55</f>
        <v>0</v>
      </c>
      <c r="IC55" s="20" t="n">
        <f aca="false">IF(AND(WI_Retire=0,WI_M&gt;0,G55=1,IB55&gt;=1),WI_M*12*F55,0)</f>
        <v>0</v>
      </c>
      <c r="ID55" s="20" t="n">
        <f aca="false">IF(HU55=1,MIN(IA55,HS55),0)</f>
        <v>0</v>
      </c>
      <c r="IE55" s="20" t="n">
        <f aca="false">IF(HU55=1,MIN(IC55,HS55-ID55),0)</f>
        <v>0</v>
      </c>
      <c r="IF55" s="20" t="n">
        <f aca="false">IF(W55=1,IF(ABS((1+AS_Wage)/(1+Slot1_Rate)-1)&lt;0.000000000001,(Slot1_Age-D55)*(1+Slot1_Rate)^(Slot1_Age-D55),(1+Slot1_Rate)^(Slot1_Age-D55)*(1-((1+AS_Wage)/(1+Slot1_Rate))^(Slot1_Age-D55))/(1-(1+AS_Wage)/(1+Slot1_Rate))),1)</f>
        <v>1</v>
      </c>
      <c r="IG55" s="20" t="n">
        <f aca="false">IF(AND(HU55=1,IE55&gt;0,Slot1_IsWG=1,W55=1),MAX(0,(Slot1_Cost-X55*(1+Slot1_Rate)^(Slot1_Age-D55))/IF55),0)</f>
        <v>0</v>
      </c>
      <c r="IH55" s="20" t="n">
        <f aca="false">IF(AND(HU55=1,IE55&gt;0,Slot1_IsWG=1,W55=1),MIN(IE55,IG55),0)</f>
        <v>0</v>
      </c>
      <c r="II55" s="20" t="n">
        <f aca="false">X55+IH55</f>
        <v>0</v>
      </c>
      <c r="IJ55" s="20" t="n">
        <f aca="false">IF(W55=1,MAX(0,(Slot1_Cost-II55*(1+Slot1_Rate)^(Slot1_Age-D55))/IF55),0)</f>
        <v>0</v>
      </c>
      <c r="IK55" s="20" t="n">
        <f aca="false">IF(W55=1,MAX(0,(Slot1_Cost-X55*(1+Slot1_Rate)^(Slot1_Age-D55))/IF55),0)</f>
        <v>0</v>
      </c>
      <c r="IL55" s="20" t="n">
        <f aca="false">IF(AND(HU55=1,W55=1),MIN(ID55,IJ55),0)</f>
        <v>0</v>
      </c>
      <c r="IM55" s="20" t="n">
        <f aca="false">ID55-IL55</f>
        <v>0</v>
      </c>
      <c r="IN55" s="20" t="n">
        <f aca="false">IF(AH55=1,IF(ABS((1+AS_Wage)/(1+Slot2_Rate)-1)&lt;0.000000000001,(Slot2_Age-D55)*(1+Slot2_Rate)^(Slot2_Age-D55),(1+Slot2_Rate)^(Slot2_Age-D55)*(1-((1+AS_Wage)/(1+Slot2_Rate))^(Slot2_Age-D55))/(1-(1+AS_Wage)/(1+Slot2_Rate))),1)</f>
        <v>1</v>
      </c>
      <c r="IO55" s="20" t="n">
        <f aca="false">IF(AND(HU55=1,IE55&gt;0,Slot2_IsWG=1,AH55=1),MAX(0,(Slot2_Cost-AI55*(1+Slot2_Rate)^(Slot2_Age-D55))/IN55),0)</f>
        <v>0</v>
      </c>
      <c r="IP55" s="20" t="n">
        <f aca="false">IF(AND(HU55=1,IE55&gt;0,Slot2_IsWG=1,AH55=1),MIN(IE55,IO55),0)</f>
        <v>0</v>
      </c>
      <c r="IQ55" s="20" t="n">
        <f aca="false">AI55+IP55</f>
        <v>0</v>
      </c>
      <c r="IR55" s="20" t="n">
        <f aca="false">IF(AH55=1,MAX(0,(Slot2_Cost-IQ55*(1+Slot2_Rate)^(Slot2_Age-D55))/IN55),0)</f>
        <v>0</v>
      </c>
      <c r="IS55" s="20" t="n">
        <f aca="false">IF(AH55=1,MAX(0,(Slot2_Cost-AI55*(1+Slot2_Rate)^(Slot2_Age-D55))/IN55),0)</f>
        <v>0</v>
      </c>
      <c r="IT55" s="20" t="n">
        <f aca="false">IF(AND(HU55=1,AH55=1),MIN(IM55,IR55),0)</f>
        <v>0</v>
      </c>
      <c r="IU55" s="20" t="n">
        <f aca="false">IM55-IT55</f>
        <v>0</v>
      </c>
      <c r="IV55" s="20" t="n">
        <f aca="false">IF(AR55=1,IF(ABS((1+AS_Wage)/(1+Slot3_Rate)-1)&lt;0.000000000001,(Slot3_Age-D55)*(1+Slot3_Rate)^(Slot3_Age-D55),(1+Slot3_Rate)^(Slot3_Age-D55)*(1-((1+AS_Wage)/(1+Slot3_Rate))^(Slot3_Age-D55))/(1-(1+AS_Wage)/(1+Slot3_Rate))),1)</f>
        <v>1</v>
      </c>
      <c r="IW55" s="20" t="n">
        <f aca="false">IF(AND(HU55=1,IE55&gt;0,Slot3_IsWG=1,AR55=1),MAX(0,(Slot3_Cost-AS55*(1+Slot3_Rate)^(Slot3_Age-D55))/IV55),0)</f>
        <v>0</v>
      </c>
      <c r="IX55" s="20" t="n">
        <f aca="false">IF(AND(HU55=1,IE55&gt;0,Slot3_IsWG=1,AR55=1),MIN(IE55,IW55),0)</f>
        <v>0</v>
      </c>
      <c r="IY55" s="20" t="n">
        <f aca="false">AS55+IX55</f>
        <v>0</v>
      </c>
      <c r="IZ55" s="20" t="n">
        <f aca="false">IF(AR55=1,MAX(0,(Slot3_Cost-IY55*(1+Slot3_Rate)^(Slot3_Age-D55))/IV55),0)</f>
        <v>0</v>
      </c>
      <c r="JA55" s="20" t="n">
        <f aca="false">IF(AR55=1,MAX(0,(Slot3_Cost-AS55*(1+Slot3_Rate)^(Slot3_Age-D55))/IV55),0)</f>
        <v>0</v>
      </c>
      <c r="JB55" s="20" t="n">
        <f aca="false">IF(AND(HU55=1,AR55=1),MIN(IU55,IZ55),0)</f>
        <v>0</v>
      </c>
      <c r="JC55" s="20" t="n">
        <f aca="false">IU55-JB55</f>
        <v>0</v>
      </c>
      <c r="JD55" s="20" t="n">
        <f aca="false">IF(BB55=1,IF(ABS((1+AS_Wage)/(1+Slot4_Rate)-1)&lt;0.000000000001,(Slot4_Age-D55)*(1+Slot4_Rate)^(Slot4_Age-D55),(1+Slot4_Rate)^(Slot4_Age-D55)*(1-((1+AS_Wage)/(1+Slot4_Rate))^(Slot4_Age-D55))/(1-(1+AS_Wage)/(1+Slot4_Rate))),1)</f>
        <v>1</v>
      </c>
      <c r="JE55" s="20" t="n">
        <f aca="false">IF(AND(HU55=1,IE55&gt;0,Slot4_IsWG=1,BB55=1),MAX(0,(Slot4_Cost-BC55*(1+Slot4_Rate)^(Slot4_Age-D55))/JD55),0)</f>
        <v>0</v>
      </c>
      <c r="JF55" s="20" t="n">
        <f aca="false">IF(AND(HU55=1,IE55&gt;0,Slot4_IsWG=1,BB55=1),MIN(IE55,JE55),0)</f>
        <v>0</v>
      </c>
      <c r="JG55" s="20" t="n">
        <f aca="false">BC55+JF55</f>
        <v>0</v>
      </c>
      <c r="JH55" s="20" t="n">
        <f aca="false">IF(BB55=1,MAX(0,(Slot4_Cost-JG55*(1+Slot4_Rate)^(Slot4_Age-D55))/JD55),0)</f>
        <v>0</v>
      </c>
      <c r="JI55" s="20" t="n">
        <f aca="false">IF(BB55=1,MAX(0,(Slot4_Cost-BC55*(1+Slot4_Rate)^(Slot4_Age-D55))/JD55),0)</f>
        <v>0</v>
      </c>
      <c r="JJ55" s="20" t="n">
        <f aca="false">IF(AND(HU55=1,BB55=1),MIN(JC55,JH55),0)</f>
        <v>0</v>
      </c>
      <c r="JK55" s="20" t="n">
        <f aca="false">JC55-JJ55</f>
        <v>0</v>
      </c>
      <c r="JL55" s="20" t="n">
        <f aca="false">IF(BL55=1,IF(ABS((1+AS_Wage)/(1+Slot5_Rate)-1)&lt;0.000000000001,(Slot5_Age-D55)*(1+Slot5_Rate)^(Slot5_Age-D55),(1+Slot5_Rate)^(Slot5_Age-D55)*(1-((1+AS_Wage)/(1+Slot5_Rate))^(Slot5_Age-D55))/(1-(1+AS_Wage)/(1+Slot5_Rate))),1)</f>
        <v>1</v>
      </c>
      <c r="JM55" s="20" t="n">
        <f aca="false">IF(AND(HU55=1,IE55&gt;0,Slot5_IsWG=1,BL55=1),MAX(0,(Slot5_Cost-BM55*(1+Slot5_Rate)^(Slot5_Age-D55))/JL55),0)</f>
        <v>0</v>
      </c>
      <c r="JN55" s="20" t="n">
        <f aca="false">IF(AND(HU55=1,IE55&gt;0,Slot5_IsWG=1,BL55=1),MIN(IE55,JM55),0)</f>
        <v>0</v>
      </c>
      <c r="JO55" s="20" t="n">
        <f aca="false">BM55+JN55</f>
        <v>0</v>
      </c>
      <c r="JP55" s="20" t="n">
        <f aca="false">IF(BL55=1,MAX(0,(Slot5_Cost-JO55*(1+Slot5_Rate)^(Slot5_Age-D55))/JL55),0)</f>
        <v>0</v>
      </c>
      <c r="JQ55" s="20" t="n">
        <f aca="false">IF(BL55=1,MAX(0,(Slot5_Cost-BM55*(1+Slot5_Rate)^(Slot5_Age-D55))/JL55),0)</f>
        <v>0</v>
      </c>
      <c r="JR55" s="20" t="n">
        <f aca="false">IF(AND(HU55=1,BL55=1),MIN(JK55,JP55),0)</f>
        <v>0</v>
      </c>
      <c r="JS55" s="20" t="n">
        <f aca="false">JK55-JR55</f>
        <v>0</v>
      </c>
      <c r="JT55" s="20" t="n">
        <f aca="false">IF(BV55=1,IF(ABS((1+AS_Wage)/(1+Slot6_Rate)-1)&lt;0.000000000001,(Slot6_Age-D55)*(1+Slot6_Rate)^(Slot6_Age-D55),(1+Slot6_Rate)^(Slot6_Age-D55)*(1-((1+AS_Wage)/(1+Slot6_Rate))^(Slot6_Age-D55))/(1-(1+AS_Wage)/(1+Slot6_Rate))),1)</f>
        <v>1</v>
      </c>
      <c r="JU55" s="20" t="n">
        <f aca="false">IF(AND(HU55=1,IE55&gt;0,Slot6_IsWG=1,BV55=1),MAX(0,(Slot6_Cost-BW55*(1+Slot6_Rate)^(Slot6_Age-D55))/JT55),0)</f>
        <v>0</v>
      </c>
      <c r="JV55" s="20" t="n">
        <f aca="false">IF(AND(HU55=1,IE55&gt;0,Slot6_IsWG=1,BV55=1),MIN(IE55,JU55),0)</f>
        <v>0</v>
      </c>
      <c r="JW55" s="20" t="n">
        <f aca="false">BW55+JV55</f>
        <v>0</v>
      </c>
      <c r="JX55" s="20" t="n">
        <f aca="false">IF(BV55=1,MAX(0,(Slot6_Cost-JW55*(1+Slot6_Rate)^(Slot6_Age-D55))/JT55),0)</f>
        <v>0</v>
      </c>
      <c r="JY55" s="20" t="n">
        <f aca="false">IF(BV55=1,MAX(0,(Slot6_Cost-BW55*(1+Slot6_Rate)^(Slot6_Age-D55))/JT55),0)</f>
        <v>0</v>
      </c>
      <c r="JZ55" s="20" t="n">
        <f aca="false">IF(AND(HU55=1,BV55=1),MIN(JS55,JX55),0)</f>
        <v>0</v>
      </c>
      <c r="KA55" s="20" t="n">
        <f aca="false">JS55-JZ55</f>
        <v>0</v>
      </c>
      <c r="KB55" s="20" t="n">
        <f aca="false">IF(CF55=1,IF(ABS((1+AS_Wage)/(1+Slot7_Rate)-1)&lt;0.000000000001,(Slot7_Age-D55)*(1+Slot7_Rate)^(Slot7_Age-D55),(1+Slot7_Rate)^(Slot7_Age-D55)*(1-((1+AS_Wage)/(1+Slot7_Rate))^(Slot7_Age-D55))/(1-(1+AS_Wage)/(1+Slot7_Rate))),1)</f>
        <v>1</v>
      </c>
      <c r="KC55" s="20" t="n">
        <f aca="false">IF(AND(HU55=1,IE55&gt;0,Slot7_IsWG=1,CF55=1),MAX(0,(Slot7_Cost-CG55*(1+Slot7_Rate)^(Slot7_Age-D55))/KB55),0)</f>
        <v>0</v>
      </c>
      <c r="KD55" s="20" t="n">
        <f aca="false">IF(AND(HU55=1,IE55&gt;0,Slot7_IsWG=1,CF55=1),MIN(IE55,KC55),0)</f>
        <v>0</v>
      </c>
      <c r="KE55" s="20" t="n">
        <f aca="false">CG55+KD55</f>
        <v>0</v>
      </c>
      <c r="KF55" s="20" t="n">
        <f aca="false">IF(CF55=1,MAX(0,(Slot7_Cost-KE55*(1+Slot7_Rate)^(Slot7_Age-D55))/KB55),0)</f>
        <v>0</v>
      </c>
      <c r="KG55" s="20" t="n">
        <f aca="false">IF(CF55=1,MAX(0,(Slot7_Cost-CG55*(1+Slot7_Rate)^(Slot7_Age-D55))/KB55),0)</f>
        <v>0</v>
      </c>
      <c r="KH55" s="20" t="n">
        <f aca="false">IF(AND(HU55=1,CF55=1),MIN(KA55,KF55),0)</f>
        <v>0</v>
      </c>
      <c r="KI55" s="20" t="n">
        <f aca="false">KA55-KH55</f>
        <v>0</v>
      </c>
      <c r="KJ55" s="20" t="n">
        <f aca="false">IF(CP55=1,IF(ABS((1+AS_Wage)/(1+Slot8_Rate)-1)&lt;0.000000000001,(Slot8_Age-D55)*(1+Slot8_Rate)^(Slot8_Age-D55),(1+Slot8_Rate)^(Slot8_Age-D55)*(1-((1+AS_Wage)/(1+Slot8_Rate))^(Slot8_Age-D55))/(1-(1+AS_Wage)/(1+Slot8_Rate))),1)</f>
        <v>1</v>
      </c>
      <c r="KK55" s="20" t="n">
        <f aca="false">IF(AND(HU55=1,IE55&gt;0,Slot8_IsWG=1,CP55=1),MAX(0,(Slot8_Cost-CQ55*(1+Slot8_Rate)^(Slot8_Age-D55))/KJ55),0)</f>
        <v>0</v>
      </c>
      <c r="KL55" s="20" t="n">
        <f aca="false">IF(AND(HU55=1,IE55&gt;0,Slot8_IsWG=1,CP55=1),MIN(IE55,KK55),0)</f>
        <v>0</v>
      </c>
      <c r="KM55" s="20" t="n">
        <f aca="false">CQ55+KL55</f>
        <v>0</v>
      </c>
      <c r="KN55" s="20" t="n">
        <f aca="false">IF(CP55=1,MAX(0,(Slot8_Cost-KM55*(1+Slot8_Rate)^(Slot8_Age-D55))/KJ55),0)</f>
        <v>0</v>
      </c>
      <c r="KO55" s="20" t="n">
        <f aca="false">IF(CP55=1,MAX(0,(Slot8_Cost-CQ55*(1+Slot8_Rate)^(Slot8_Age-D55))/KJ55),0)</f>
        <v>0</v>
      </c>
      <c r="KP55" s="20" t="n">
        <f aca="false">IF(AND(HU55=1,CP55=1),MIN(KI55,KN55),0)</f>
        <v>0</v>
      </c>
      <c r="KQ55" s="20" t="n">
        <f aca="false">KI55-KP55</f>
        <v>0</v>
      </c>
      <c r="KR55" s="20" t="n">
        <f aca="false">IF(CZ55=1,IF(ABS((1+AS_Wage)/(1+Slot9_Rate)-1)&lt;0.000000000001,(Slot9_Age-D55)*(1+Slot9_Rate)^(Slot9_Age-D55),(1+Slot9_Rate)^(Slot9_Age-D55)*(1-((1+AS_Wage)/(1+Slot9_Rate))^(Slot9_Age-D55))/(1-(1+AS_Wage)/(1+Slot9_Rate))),1)</f>
        <v>1</v>
      </c>
      <c r="KS55" s="20" t="n">
        <f aca="false">IF(AND(HU55=1,IE55&gt;0,Slot9_IsWG=1,CZ55=1),MAX(0,(Slot9_Cost-DA55*(1+Slot9_Rate)^(Slot9_Age-D55))/KR55),0)</f>
        <v>0</v>
      </c>
      <c r="KT55" s="20" t="n">
        <f aca="false">IF(AND(HU55=1,IE55&gt;0,Slot9_IsWG=1,CZ55=1),MIN(IE55,KS55),0)</f>
        <v>0</v>
      </c>
      <c r="KU55" s="20" t="n">
        <f aca="false">DA55+KT55</f>
        <v>0</v>
      </c>
      <c r="KV55" s="20" t="n">
        <f aca="false">IF(CZ55=1,MAX(0,(Slot9_Cost-KU55*(1+Slot9_Rate)^(Slot9_Age-D55))/KR55),0)</f>
        <v>0</v>
      </c>
      <c r="KW55" s="20" t="n">
        <f aca="false">IF(CZ55=1,MAX(0,(Slot9_Cost-DA55*(1+Slot9_Rate)^(Slot9_Age-D55))/KR55),0)</f>
        <v>0</v>
      </c>
      <c r="KX55" s="20" t="n">
        <f aca="false">IF(AND(HU55=1,CZ55=1),MIN(KQ55,KV55),0)</f>
        <v>0</v>
      </c>
      <c r="KY55" s="20" t="n">
        <f aca="false">KQ55-KX55</f>
        <v>0</v>
      </c>
      <c r="KZ55" s="20" t="n">
        <f aca="false">IF(DJ55=1,IF(ABS((1+AS_Wage)/(1+Slot10_Rate)-1)&lt;0.000000000001,(Slot10_Age-D55)*(1+Slot10_Rate)^(Slot10_Age-D55),(1+Slot10_Rate)^(Slot10_Age-D55)*(1-((1+AS_Wage)/(1+Slot10_Rate))^(Slot10_Age-D55))/(1-(1+AS_Wage)/(1+Slot10_Rate))),1)</f>
        <v>1</v>
      </c>
      <c r="LA55" s="20" t="n">
        <f aca="false">IF(AND(HU55=1,IE55&gt;0,Slot10_IsWG=1,DJ55=1),MAX(0,(Slot10_Cost-DK55*(1+Slot10_Rate)^(Slot10_Age-D55))/KZ55),0)</f>
        <v>0</v>
      </c>
      <c r="LB55" s="20" t="n">
        <f aca="false">IF(AND(HU55=1,IE55&gt;0,Slot10_IsWG=1,DJ55=1),MIN(IE55,LA55),0)</f>
        <v>0</v>
      </c>
      <c r="LC55" s="20" t="n">
        <f aca="false">DK55+LB55</f>
        <v>0</v>
      </c>
      <c r="LD55" s="20" t="n">
        <f aca="false">IF(DJ55=1,MAX(0,(Slot10_Cost-LC55*(1+Slot10_Rate)^(Slot10_Age-D55))/KZ55),0)</f>
        <v>0</v>
      </c>
      <c r="LE55" s="20" t="n">
        <f aca="false">IF(DJ55=1,MAX(0,(Slot10_Cost-DK55*(1+Slot10_Rate)^(Slot10_Age-D55))/KZ55),0)</f>
        <v>0</v>
      </c>
      <c r="LF55" s="20" t="n">
        <f aca="false">IF(AND(HU55=1,DJ55=1),MIN(KY55,LD55),0)</f>
        <v>0</v>
      </c>
      <c r="LG55" s="20" t="n">
        <f aca="false">KY55-LF55</f>
        <v>0</v>
      </c>
      <c r="LH55" s="20" t="n">
        <f aca="false">IF(DT55=1,IF(ABS((1+AS_Wage)/(1+Slot11_Rate)-1)&lt;0.000000000001,(Slot11_Age-D55)*(1+Slot11_Rate)^(Slot11_Age-D55),(1+Slot11_Rate)^(Slot11_Age-D55)*(1-((1+AS_Wage)/(1+Slot11_Rate))^(Slot11_Age-D55))/(1-(1+AS_Wage)/(1+Slot11_Rate))),1)</f>
        <v>1</v>
      </c>
      <c r="LI55" s="20" t="n">
        <f aca="false">IF(AND(HU55=1,IE55&gt;0,Slot11_IsWG=1,DT55=1),MAX(0,(Slot11_Cost-DU55*(1+Slot11_Rate)^(Slot11_Age-D55))/LH55),0)</f>
        <v>0</v>
      </c>
      <c r="LJ55" s="20" t="n">
        <f aca="false">IF(AND(HU55=1,IE55&gt;0,Slot11_IsWG=1,DT55=1),MIN(IE55,LI55),0)</f>
        <v>0</v>
      </c>
      <c r="LK55" s="20" t="n">
        <f aca="false">DU55+LJ55</f>
        <v>0</v>
      </c>
      <c r="LL55" s="20" t="n">
        <f aca="false">IF(DT55=1,MAX(0,(Slot11_Cost-LK55*(1+Slot11_Rate)^(Slot11_Age-D55))/LH55),0)</f>
        <v>0</v>
      </c>
      <c r="LM55" s="20" t="n">
        <f aca="false">IF(DT55=1,MAX(0,(Slot11_Cost-DU55*(1+Slot11_Rate)^(Slot11_Age-D55))/LH55),0)</f>
        <v>0</v>
      </c>
      <c r="LN55" s="20" t="n">
        <f aca="false">IF(AND(HU55=1,DT55=1),MIN(LG55,LL55),0)</f>
        <v>0</v>
      </c>
      <c r="LO55" s="20" t="n">
        <f aca="false">LG55-LN55</f>
        <v>0</v>
      </c>
      <c r="LP55" s="20" t="n">
        <f aca="false">IF(ED55=1,IF(ABS((1+AS_Wage)/(1+Slot12_Rate)-1)&lt;0.000000000001,(Slot12_Age-D55)*(1+Slot12_Rate)^(Slot12_Age-D55),(1+Slot12_Rate)^(Slot12_Age-D55)*(1-((1+AS_Wage)/(1+Slot12_Rate))^(Slot12_Age-D55))/(1-(1+AS_Wage)/(1+Slot12_Rate))),1)</f>
        <v>1</v>
      </c>
      <c r="LQ55" s="20" t="n">
        <f aca="false">IF(AND(HU55=1,IE55&gt;0,Slot12_IsWG=1,ED55=1),MAX(0,(Slot12_Cost-EE55*(1+Slot12_Rate)^(Slot12_Age-D55))/LP55),0)</f>
        <v>0</v>
      </c>
      <c r="LR55" s="20" t="n">
        <f aca="false">IF(AND(HU55=1,IE55&gt;0,Slot12_IsWG=1,ED55=1),MIN(IE55,LQ55),0)</f>
        <v>0</v>
      </c>
      <c r="LS55" s="20" t="n">
        <f aca="false">EE55+LR55</f>
        <v>0</v>
      </c>
      <c r="LT55" s="20" t="n">
        <f aca="false">IF(ED55=1,MAX(0,(Slot12_Cost-LS55*(1+Slot12_Rate)^(Slot12_Age-D55))/LP55),0)</f>
        <v>0</v>
      </c>
      <c r="LU55" s="20" t="n">
        <f aca="false">IF(ED55=1,MAX(0,(Slot12_Cost-EE55*(1+Slot12_Rate)^(Slot12_Age-D55))/LP55),0)</f>
        <v>0</v>
      </c>
      <c r="LV55" s="20" t="n">
        <f aca="false">IF(AND(HU55=1,ED55=1),MIN(LO55,LT55),0)</f>
        <v>0</v>
      </c>
      <c r="LW55" s="20" t="n">
        <f aca="false">LO55-LV55</f>
        <v>0</v>
      </c>
      <c r="LX55" s="20" t="n">
        <f aca="false">IF(EN55=1,IF(ABS((1+AS_Wage)/(1+Slot13_Rate)-1)&lt;0.000000000001,(Slot13_Age-D55)*(1+Slot13_Rate)^(Slot13_Age-D55),(1+Slot13_Rate)^(Slot13_Age-D55)*(1-((1+AS_Wage)/(1+Slot13_Rate))^(Slot13_Age-D55))/(1-(1+AS_Wage)/(1+Slot13_Rate))),1)</f>
        <v>1</v>
      </c>
      <c r="LY55" s="20" t="n">
        <f aca="false">IF(AND(HU55=1,IE55&gt;0,Slot13_IsWG=1,EN55=1),MAX(0,(Slot13_Cost-EO55*(1+Slot13_Rate)^(Slot13_Age-D55))/LX55),0)</f>
        <v>0</v>
      </c>
      <c r="LZ55" s="20" t="n">
        <f aca="false">IF(AND(HU55=1,IE55&gt;0,Slot13_IsWG=1,EN55=1),MIN(IE55,LY55),0)</f>
        <v>0</v>
      </c>
      <c r="MA55" s="20" t="n">
        <f aca="false">EO55+LZ55</f>
        <v>0</v>
      </c>
      <c r="MB55" s="20" t="n">
        <f aca="false">IF(EN55=1,MAX(0,(Slot13_Cost-MA55*(1+Slot13_Rate)^(Slot13_Age-D55))/LX55),0)</f>
        <v>0</v>
      </c>
      <c r="MC55" s="20" t="n">
        <f aca="false">IF(EN55=1,MAX(0,(Slot13_Cost-EO55*(1+Slot13_Rate)^(Slot13_Age-D55))/LX55),0)</f>
        <v>0</v>
      </c>
      <c r="MD55" s="20" t="n">
        <f aca="false">IF(AND(HU55=1,EN55=1),MIN(LW55,MB55),0)</f>
        <v>0</v>
      </c>
      <c r="ME55" s="20" t="n">
        <f aca="false">LW55-MD55</f>
        <v>0</v>
      </c>
      <c r="MF55" s="20" t="n">
        <f aca="false">IF(EX55=1,IF(ABS((1+AS_Wage)/(1+Slot14_Rate)-1)&lt;0.000000000001,(Slot14_Age-D55)*(1+Slot14_Rate)^(Slot14_Age-D55),(1+Slot14_Rate)^(Slot14_Age-D55)*(1-((1+AS_Wage)/(1+Slot14_Rate))^(Slot14_Age-D55))/(1-(1+AS_Wage)/(1+Slot14_Rate))),1)</f>
        <v>1</v>
      </c>
      <c r="MG55" s="20" t="n">
        <f aca="false">IF(AND(HU55=1,IE55&gt;0,Slot14_IsWG=1,EX55=1),MAX(0,(Slot14_Cost-EY55*(1+Slot14_Rate)^(Slot14_Age-D55))/MF55),0)</f>
        <v>0</v>
      </c>
      <c r="MH55" s="20" t="n">
        <f aca="false">IF(AND(HU55=1,IE55&gt;0,Slot14_IsWG=1,EX55=1),MIN(IE55,MG55),0)</f>
        <v>0</v>
      </c>
      <c r="MI55" s="20" t="n">
        <f aca="false">EY55+MH55</f>
        <v>0</v>
      </c>
      <c r="MJ55" s="20" t="n">
        <f aca="false">IF(EX55=1,MAX(0,(Slot14_Cost-MI55*(1+Slot14_Rate)^(Slot14_Age-D55))/MF55),0)</f>
        <v>0</v>
      </c>
      <c r="MK55" s="20" t="n">
        <f aca="false">IF(EX55=1,MAX(0,(Slot14_Cost-EY55*(1+Slot14_Rate)^(Slot14_Age-D55))/MF55),0)</f>
        <v>0</v>
      </c>
      <c r="ML55" s="20" t="n">
        <f aca="false">IF(AND(HU55=1,EX55=1),MIN(ME55,MJ55),0)</f>
        <v>0</v>
      </c>
      <c r="MM55" s="20" t="n">
        <f aca="false">ME55-ML55</f>
        <v>0</v>
      </c>
      <c r="MN55" s="20" t="n">
        <f aca="false">IF(FH55=1,IF(ABS((1+AS_Wage)/(1+Slot15_Rate)-1)&lt;0.000000000001,(Slot15_Age-D55)*(1+Slot15_Rate)^(Slot15_Age-D55),(1+Slot15_Rate)^(Slot15_Age-D55)*(1-((1+AS_Wage)/(1+Slot15_Rate))^(Slot15_Age-D55))/(1-(1+AS_Wage)/(1+Slot15_Rate))),1)</f>
        <v>1</v>
      </c>
      <c r="MO55" s="20" t="n">
        <f aca="false">IF(AND(HU55=1,IE55&gt;0,Slot15_IsWG=1,FH55=1),MAX(0,(Slot15_Cost-FI55*(1+Slot15_Rate)^(Slot15_Age-D55))/MN55),0)</f>
        <v>0</v>
      </c>
      <c r="MP55" s="20" t="n">
        <f aca="false">IF(AND(HU55=1,IE55&gt;0,Slot15_IsWG=1,FH55=1),MIN(IE55,MO55),0)</f>
        <v>0</v>
      </c>
      <c r="MQ55" s="20" t="n">
        <f aca="false">FI55+MP55</f>
        <v>0</v>
      </c>
      <c r="MR55" s="20" t="n">
        <f aca="false">IF(FH55=1,MAX(0,(Slot15_Cost-MQ55*(1+Slot15_Rate)^(Slot15_Age-D55))/MN55),0)</f>
        <v>0</v>
      </c>
      <c r="MS55" s="20" t="n">
        <f aca="false">IF(FH55=1,MAX(0,(Slot15_Cost-FI55*(1+Slot15_Rate)^(Slot15_Age-D55))/MN55),0)</f>
        <v>0</v>
      </c>
      <c r="MT55" s="20" t="n">
        <f aca="false">IF(AND(HU55=1,FH55=1),MIN(MM55,MR55),0)</f>
        <v>0</v>
      </c>
      <c r="MU55" s="20" t="n">
        <f aca="false">MM55-MT55</f>
        <v>0</v>
      </c>
      <c r="MV55" s="20" t="n">
        <f aca="false">IF(FR55=1,IF(ABS((1+AS_Wage)/(1+Slot16_Rate)-1)&lt;0.000000000001,(Slot16_Age-D55)*(1+Slot16_Rate)^(Slot16_Age-D55),(1+Slot16_Rate)^(Slot16_Age-D55)*(1-((1+AS_Wage)/(1+Slot16_Rate))^(Slot16_Age-D55))/(1-(1+AS_Wage)/(1+Slot16_Rate))),1)</f>
        <v>1</v>
      </c>
      <c r="MW55" s="20" t="n">
        <f aca="false">IF(AND(HU55=1,IE55&gt;0,Slot16_IsWG=1,FR55=1),MAX(0,(Slot16_Cost-FS55*(1+Slot16_Rate)^(Slot16_Age-D55))/MV55),0)</f>
        <v>0</v>
      </c>
      <c r="MX55" s="20" t="n">
        <f aca="false">IF(AND(HU55=1,IE55&gt;0,Slot16_IsWG=1,FR55=1),MIN(IE55,MW55),0)</f>
        <v>0</v>
      </c>
      <c r="MY55" s="20" t="n">
        <f aca="false">FS55+MX55</f>
        <v>0</v>
      </c>
      <c r="MZ55" s="20" t="n">
        <f aca="false">IF(FR55=1,MAX(0,(Slot16_Cost-MY55*(1+Slot16_Rate)^(Slot16_Age-D55))/MV55),0)</f>
        <v>0</v>
      </c>
      <c r="NA55" s="20" t="n">
        <f aca="false">IF(FR55=1,MAX(0,(Slot16_Cost-FS55*(1+Slot16_Rate)^(Slot16_Age-D55))/MV55),0)</f>
        <v>0</v>
      </c>
      <c r="NB55" s="20" t="n">
        <f aca="false">IF(AND(HU55=1,FR55=1),MIN(MU55,MZ55),0)</f>
        <v>0</v>
      </c>
      <c r="NC55" s="20" t="n">
        <f aca="false">MU55-NB55</f>
        <v>0</v>
      </c>
      <c r="ND55" s="20" t="n">
        <f aca="false">IF(GB55=1,IF(ABS((1+AS_Wage)/(1+Slot17_Rate)-1)&lt;0.000000000001,(Slot17_Age-D55)*(1+Slot17_Rate)^(Slot17_Age-D55),(1+Slot17_Rate)^(Slot17_Age-D55)*(1-((1+AS_Wage)/(1+Slot17_Rate))^(Slot17_Age-D55))/(1-(1+AS_Wage)/(1+Slot17_Rate))),1)</f>
        <v>1</v>
      </c>
      <c r="NE55" s="20" t="n">
        <f aca="false">IF(AND(HU55=1,IE55&gt;0,Slot17_IsWG=1,GB55=1),MAX(0,(Slot17_Cost-GC55*(1+Slot17_Rate)^(Slot17_Age-D55))/ND55),0)</f>
        <v>0</v>
      </c>
      <c r="NF55" s="20" t="n">
        <f aca="false">IF(AND(HU55=1,IE55&gt;0,Slot17_IsWG=1,GB55=1),MIN(IE55,NE55),0)</f>
        <v>0</v>
      </c>
      <c r="NG55" s="20" t="n">
        <f aca="false">GC55+NF55</f>
        <v>0</v>
      </c>
      <c r="NH55" s="20" t="n">
        <f aca="false">IF(GB55=1,MAX(0,(Slot17_Cost-NG55*(1+Slot17_Rate)^(Slot17_Age-D55))/ND55),0)</f>
        <v>0</v>
      </c>
      <c r="NI55" s="20" t="n">
        <f aca="false">IF(GB55=1,MAX(0,(Slot17_Cost-GC55*(1+Slot17_Rate)^(Slot17_Age-D55))/ND55),0)</f>
        <v>0</v>
      </c>
      <c r="NJ55" s="20" t="n">
        <f aca="false">IF(AND(HU55=1,GB55=1),MIN(NC55,NH55),0)</f>
        <v>0</v>
      </c>
      <c r="NK55" s="20" t="n">
        <f aca="false">NC55-NJ55</f>
        <v>0</v>
      </c>
      <c r="NL55" s="20" t="n">
        <f aca="false">IF(GL55=1,IF(ABS((1+AS_Wage)/(1+Slot18_Rate)-1)&lt;0.000000000001,(Slot18_Age-D55)*(1+Slot18_Rate)^(Slot18_Age-D55),(1+Slot18_Rate)^(Slot18_Age-D55)*(1-((1+AS_Wage)/(1+Slot18_Rate))^(Slot18_Age-D55))/(1-(1+AS_Wage)/(1+Slot18_Rate))),1)</f>
        <v>1</v>
      </c>
      <c r="NM55" s="20" t="n">
        <f aca="false">IF(AND(HU55=1,IE55&gt;0,Slot18_IsWG=1,GL55=1),MAX(0,(Slot18_Cost-GM55*(1+Slot18_Rate)^(Slot18_Age-D55))/NL55),0)</f>
        <v>0</v>
      </c>
      <c r="NN55" s="20" t="n">
        <f aca="false">IF(AND(HU55=1,IE55&gt;0,Slot18_IsWG=1,GL55=1),MIN(IE55,NM55),0)</f>
        <v>0</v>
      </c>
      <c r="NO55" s="20" t="n">
        <f aca="false">GM55+NN55</f>
        <v>0</v>
      </c>
      <c r="NP55" s="20" t="n">
        <f aca="false">IF(GL55=1,MAX(0,(Slot18_Cost-NO55*(1+Slot18_Rate)^(Slot18_Age-D55))/NL55),0)</f>
        <v>0</v>
      </c>
      <c r="NQ55" s="20" t="n">
        <f aca="false">IF(GL55=1,MAX(0,(Slot18_Cost-GM55*(1+Slot18_Rate)^(Slot18_Age-D55))/NL55),0)</f>
        <v>0</v>
      </c>
      <c r="NR55" s="20" t="n">
        <f aca="false">IF(AND(HU55=1,GL55=1),MIN(NK55,NP55),0)</f>
        <v>0</v>
      </c>
      <c r="NS55" s="20" t="n">
        <f aca="false">NK55-NR55</f>
        <v>0</v>
      </c>
      <c r="NT55" s="20" t="n">
        <f aca="false">IF(GV55=1,IF(ABS((1+AS_Wage)/(1+Slot19_Rate)-1)&lt;0.000000000001,(Slot19_Age-D55)*(1+Slot19_Rate)^(Slot19_Age-D55),(1+Slot19_Rate)^(Slot19_Age-D55)*(1-((1+AS_Wage)/(1+Slot19_Rate))^(Slot19_Age-D55))/(1-(1+AS_Wage)/(1+Slot19_Rate))),1)</f>
        <v>1</v>
      </c>
      <c r="NU55" s="20" t="n">
        <f aca="false">IF(AND(HU55=1,IE55&gt;0,Slot19_IsWG=1,GV55=1),MAX(0,(Slot19_Cost-GW55*(1+Slot19_Rate)^(Slot19_Age-D55))/NT55),0)</f>
        <v>0</v>
      </c>
      <c r="NV55" s="20" t="n">
        <f aca="false">IF(AND(HU55=1,IE55&gt;0,Slot19_IsWG=1,GV55=1),MIN(IE55,NU55),0)</f>
        <v>0</v>
      </c>
      <c r="NW55" s="20" t="n">
        <f aca="false">GW55+NV55</f>
        <v>0</v>
      </c>
      <c r="NX55" s="20" t="n">
        <f aca="false">IF(GV55=1,MAX(0,(Slot19_Cost-NW55*(1+Slot19_Rate)^(Slot19_Age-D55))/NT55),0)</f>
        <v>0</v>
      </c>
      <c r="NY55" s="20" t="n">
        <f aca="false">IF(GV55=1,MAX(0,(Slot19_Cost-GW55*(1+Slot19_Rate)^(Slot19_Age-D55))/NT55),0)</f>
        <v>0</v>
      </c>
      <c r="NZ55" s="20" t="n">
        <f aca="false">IF(AND(HU55=1,GV55=1),MIN(NS55,NX55),0)</f>
        <v>0</v>
      </c>
      <c r="OA55" s="20" t="n">
        <f aca="false">NS55-NZ55</f>
        <v>0</v>
      </c>
      <c r="OB55" s="20" t="n">
        <f aca="false">IF(HF55=1,IF(ABS((1+AS_Wage)/(1+Slot20_Rate)-1)&lt;0.000000000001,(Slot20_Age-D55)*(1+Slot20_Rate)^(Slot20_Age-D55),(1+Slot20_Rate)^(Slot20_Age-D55)*(1-((1+AS_Wage)/(1+Slot20_Rate))^(Slot20_Age-D55))/(1-(1+AS_Wage)/(1+Slot20_Rate))),1)</f>
        <v>1</v>
      </c>
      <c r="OC55" s="20" t="n">
        <f aca="false">IF(AND(HU55=1,IE55&gt;0,Slot20_IsWG=1,HF55=1),MAX(0,(Slot20_Cost-HG55*(1+Slot20_Rate)^(Slot20_Age-D55))/OB55),0)</f>
        <v>0</v>
      </c>
      <c r="OD55" s="20" t="n">
        <f aca="false">IF(AND(HU55=1,IE55&gt;0,Slot20_IsWG=1,HF55=1),MIN(IE55,OC55),0)</f>
        <v>0</v>
      </c>
      <c r="OE55" s="20" t="n">
        <f aca="false">HG55+OD55</f>
        <v>0</v>
      </c>
      <c r="OF55" s="20" t="n">
        <f aca="false">IF(HF55=1,MAX(0,(Slot20_Cost-OE55*(1+Slot20_Rate)^(Slot20_Age-D55))/OB55),0)</f>
        <v>0</v>
      </c>
      <c r="OG55" s="20" t="n">
        <f aca="false">IF(HF55=1,MAX(0,(Slot20_Cost-HG55*(1+Slot20_Rate)^(Slot20_Age-D55))/OB55),0)</f>
        <v>0</v>
      </c>
      <c r="OH55" s="20" t="n">
        <f aca="false">IF(AND(HU55=1,HF55=1),MIN(OA55,OF55),0)</f>
        <v>0</v>
      </c>
      <c r="OI55" s="20" t="n">
        <f aca="false">OA55-OH55</f>
        <v>0</v>
      </c>
      <c r="OJ55" s="20" t="n">
        <f aca="false">IE55-(IH55+IP55+IX55+JF55+JN55+JV55+KD55+KL55+KT55+LB55+LJ55+LR55+LZ55+MH55+MP55+MX55+NF55+NN55+NV55+OD55)</f>
        <v>0</v>
      </c>
      <c r="OK55" s="20" t="n">
        <f aca="false">IF(HU55=1,HS55-ID55-IE55,0)</f>
        <v>0</v>
      </c>
      <c r="OL55" s="20" t="n">
        <f aca="false">IF(HU55=0,-HS55,0)</f>
        <v>26521.8474219928</v>
      </c>
      <c r="OM55" s="20" t="n">
        <f aca="false">MIN(OL55,HK55)</f>
        <v>0</v>
      </c>
      <c r="ON55" s="20" t="n">
        <f aca="false">OL55-OM55</f>
        <v>26521.8474219928</v>
      </c>
      <c r="OO55" s="20" t="n">
        <f aca="false">MIN(ON55,HL55)</f>
        <v>0</v>
      </c>
      <c r="OP55" s="20" t="n">
        <f aca="false">ON55-OO55</f>
        <v>26521.8474219928</v>
      </c>
      <c r="OQ55" s="20" t="n">
        <f aca="false">IF(AND(HU55=0,HF55=1,OP55&gt;0),MIN(OP55,HG55),0)</f>
        <v>0</v>
      </c>
      <c r="OR55" s="20" t="n">
        <f aca="false">OP55-OQ55</f>
        <v>26521.8474219928</v>
      </c>
      <c r="OS55" s="20" t="n">
        <f aca="false">IF(AND(HU55=0,GV55=1,OR55&gt;0),MIN(OR55,GW55),0)</f>
        <v>0</v>
      </c>
      <c r="OT55" s="20" t="n">
        <f aca="false">OR55-OS55</f>
        <v>26521.8474219928</v>
      </c>
      <c r="OU55" s="20" t="n">
        <f aca="false">IF(AND(HU55=0,GL55=1,OT55&gt;0),MIN(OT55,GM55),0)</f>
        <v>0</v>
      </c>
      <c r="OV55" s="20" t="n">
        <f aca="false">OT55-OU55</f>
        <v>26521.8474219928</v>
      </c>
      <c r="OW55" s="20" t="n">
        <f aca="false">IF(AND(HU55=0,GB55=1,OV55&gt;0),MIN(OV55,GC55),0)</f>
        <v>0</v>
      </c>
      <c r="OX55" s="20" t="n">
        <f aca="false">OV55-OW55</f>
        <v>26521.8474219928</v>
      </c>
      <c r="OY55" s="20" t="n">
        <f aca="false">IF(AND(HU55=0,FR55=1,OX55&gt;0),MIN(OX55,FS55),0)</f>
        <v>0</v>
      </c>
      <c r="OZ55" s="20" t="n">
        <f aca="false">OX55-OY55</f>
        <v>26521.8474219928</v>
      </c>
      <c r="PA55" s="20" t="n">
        <f aca="false">IF(AND(HU55=0,FH55=1,OZ55&gt;0),MIN(OZ55,FI55),0)</f>
        <v>0</v>
      </c>
      <c r="PB55" s="20" t="n">
        <f aca="false">OZ55-PA55</f>
        <v>26521.8474219928</v>
      </c>
      <c r="PC55" s="20" t="n">
        <f aca="false">IF(AND(HU55=0,EX55=1,PB55&gt;0),MIN(PB55,EY55),0)</f>
        <v>0</v>
      </c>
      <c r="PD55" s="20" t="n">
        <f aca="false">PB55-PC55</f>
        <v>26521.8474219928</v>
      </c>
      <c r="PE55" s="20" t="n">
        <f aca="false">IF(AND(HU55=0,EN55=1,PD55&gt;0),MIN(PD55,EO55),0)</f>
        <v>0</v>
      </c>
      <c r="PF55" s="20" t="n">
        <f aca="false">PD55-PE55</f>
        <v>26521.8474219928</v>
      </c>
      <c r="PG55" s="20" t="n">
        <f aca="false">IF(AND(HU55=0,ED55=1,PF55&gt;0),MIN(PF55,EE55),0)</f>
        <v>0</v>
      </c>
      <c r="PH55" s="20" t="n">
        <f aca="false">PF55-PG55</f>
        <v>26521.8474219928</v>
      </c>
      <c r="PI55" s="20" t="n">
        <f aca="false">IF(AND(HU55=0,DT55=1,PH55&gt;0),MIN(PH55,DU55),0)</f>
        <v>0</v>
      </c>
      <c r="PJ55" s="20" t="n">
        <f aca="false">PH55-PI55</f>
        <v>26521.8474219928</v>
      </c>
      <c r="PK55" s="20" t="n">
        <f aca="false">IF(AND(HU55=0,DJ55=1,PJ55&gt;0),MIN(PJ55,DK55),0)</f>
        <v>0</v>
      </c>
      <c r="PL55" s="20" t="n">
        <f aca="false">PJ55-PK55</f>
        <v>26521.8474219928</v>
      </c>
      <c r="PM55" s="20" t="n">
        <f aca="false">IF(AND(HU55=0,CZ55=1,PL55&gt;0),MIN(PL55,DA55),0)</f>
        <v>0</v>
      </c>
      <c r="PN55" s="20" t="n">
        <f aca="false">PL55-PM55</f>
        <v>26521.8474219928</v>
      </c>
      <c r="PO55" s="20" t="n">
        <f aca="false">IF(AND(HU55=0,CP55=1,PN55&gt;0),MIN(PN55,CQ55),0)</f>
        <v>0</v>
      </c>
      <c r="PP55" s="20" t="n">
        <f aca="false">PN55-PO55</f>
        <v>26521.8474219928</v>
      </c>
      <c r="PQ55" s="20" t="n">
        <f aca="false">IF(AND(HU55=0,CF55=1,PP55&gt;0),MIN(PP55,CG55),0)</f>
        <v>0</v>
      </c>
      <c r="PR55" s="20" t="n">
        <f aca="false">PP55-PQ55</f>
        <v>26521.8474219928</v>
      </c>
      <c r="PS55" s="20" t="n">
        <f aca="false">IF(AND(HU55=0,BV55=1,PR55&gt;0),MIN(PR55,BW55),0)</f>
        <v>0</v>
      </c>
      <c r="PT55" s="20" t="n">
        <f aca="false">PR55-PS55</f>
        <v>26521.8474219928</v>
      </c>
      <c r="PU55" s="20" t="n">
        <f aca="false">IF(AND(HU55=0,BL55=1,PT55&gt;0),MIN(PT55,BM55),0)</f>
        <v>0</v>
      </c>
      <c r="PV55" s="20" t="n">
        <f aca="false">PT55-PU55</f>
        <v>26521.8474219928</v>
      </c>
      <c r="PW55" s="20" t="n">
        <f aca="false">IF(AND(HU55=0,BB55=1,PV55&gt;0),MIN(PV55,BC55),0)</f>
        <v>0</v>
      </c>
      <c r="PX55" s="20" t="n">
        <f aca="false">PV55-PW55</f>
        <v>26521.8474219928</v>
      </c>
      <c r="PY55" s="20" t="n">
        <f aca="false">IF(AND(HU55=0,AR55=1,PX55&gt;0),MIN(PX55,AS55),0)</f>
        <v>0</v>
      </c>
      <c r="PZ55" s="20" t="n">
        <f aca="false">PX55-PY55</f>
        <v>26521.8474219928</v>
      </c>
      <c r="QA55" s="20" t="n">
        <f aca="false">IF(AND(HU55=0,AH55=1,PZ55&gt;0),MIN(PZ55,AI55),0)</f>
        <v>0</v>
      </c>
      <c r="QB55" s="20" t="n">
        <f aca="false">PZ55-QA55</f>
        <v>26521.8474219928</v>
      </c>
      <c r="QC55" s="20" t="n">
        <f aca="false">IF(AND(HU55=0,W55=1,QB55&gt;0),MIN(QB55,X55),0)</f>
        <v>0</v>
      </c>
      <c r="QD55" s="20" t="n">
        <f aca="false">QB55-QC55</f>
        <v>26521.8474219928</v>
      </c>
      <c r="QE55" s="20" t="n">
        <f aca="false">IF(HU55=0,QD55,0)</f>
        <v>26521.8474219928</v>
      </c>
      <c r="QF55" s="20" t="n">
        <f aca="false">OM55+OO55+QC55+QA55+PY55+PW55+PU55+PS55+PQ55+PO55+PM55+PK55+PI55+PG55+PE55+PC55+PA55+OY55+OW55+OU55+OS55+OQ55</f>
        <v>0</v>
      </c>
      <c r="QG55" s="20" t="n">
        <f aca="false">IF(HU55=1,HK55+OJ55+OI55+IF(G55=1,0,OK55),HK55-OM55)</f>
        <v>0</v>
      </c>
      <c r="QH55" s="20" t="n">
        <f aca="false">HL55-OO55</f>
        <v>0</v>
      </c>
      <c r="QI55" s="20" t="n">
        <f aca="false">IF(HU55=1,IF(G55=1,ID55+IE55,HS55),0)</f>
        <v>0</v>
      </c>
      <c r="QJ55" s="20" t="n">
        <f aca="false">IF(HU55=1,IF(G55=1,HS55-ID55-IE55,0),0)</f>
        <v>0</v>
      </c>
      <c r="QK55" s="57" t="n">
        <f aca="false">'Plan holdings'!BM55</f>
        <v>0</v>
      </c>
      <c r="QL55" s="20" t="n">
        <f aca="false">QH55*(1+AS_Cash)</f>
        <v>0</v>
      </c>
      <c r="QM55" s="20" t="n">
        <f aca="false">IF(W55=1,IF(HU55=1,II55+IL55,X55-QC55)*(1+Slot1_Rate),0)</f>
        <v>0</v>
      </c>
      <c r="QN55" s="20" t="n">
        <f aca="false">IF(AND(HU55=1,W55=1),(IH55+IL55)/F55,0)</f>
        <v>0</v>
      </c>
      <c r="QO55" s="20" t="n">
        <f aca="false">IF(B55=0,IH55+IL55,0)</f>
        <v>0</v>
      </c>
      <c r="QP55" s="20" t="n">
        <f aca="false">IF(B55=0,IF(HU55=1,IJ55,IK55),0)</f>
        <v>0</v>
      </c>
      <c r="QQ55" s="20" t="n">
        <f aca="false">IF(AH55=1,IF(HU55=1,IQ55+IT55,AI55-QA55)*(1+Slot2_Rate),0)</f>
        <v>0</v>
      </c>
      <c r="QR55" s="20" t="n">
        <f aca="false">IF(AND(HU55=1,AH55=1),(IP55+IT55)/F55,0)</f>
        <v>0</v>
      </c>
      <c r="QS55" s="20" t="n">
        <f aca="false">IF(B55=0,IP55+IT55,0)</f>
        <v>0</v>
      </c>
      <c r="QT55" s="20" t="n">
        <f aca="false">IF(B55=0,IF(HU55=1,IR55,IS55),0)</f>
        <v>0</v>
      </c>
      <c r="QU55" s="20" t="n">
        <f aca="false">IF(AR55=1,IF(HU55=1,IY55+JB55,AS55-PY55)*(1+Slot3_Rate),0)</f>
        <v>0</v>
      </c>
      <c r="QV55" s="20" t="n">
        <f aca="false">IF(AND(HU55=1,AR55=1),(IX55+JB55)/F55,0)</f>
        <v>0</v>
      </c>
      <c r="QW55" s="20" t="n">
        <f aca="false">IF(B55=0,IX55+JB55,0)</f>
        <v>0</v>
      </c>
      <c r="QX55" s="20" t="n">
        <f aca="false">IF(B55=0,IF(HU55=1,IZ55,JA55),0)</f>
        <v>0</v>
      </c>
      <c r="QY55" s="20" t="n">
        <f aca="false">IF(BB55=1,IF(HU55=1,JG55+JJ55,BC55-PW55)*(1+Slot4_Rate),0)</f>
        <v>0</v>
      </c>
      <c r="QZ55" s="20" t="n">
        <f aca="false">IF(AND(HU55=1,BB55=1),(JF55+JJ55)/F55,0)</f>
        <v>0</v>
      </c>
      <c r="RA55" s="20" t="n">
        <f aca="false">IF(B55=0,JF55+JJ55,0)</f>
        <v>0</v>
      </c>
      <c r="RB55" s="20" t="n">
        <f aca="false">IF(B55=0,IF(HU55=1,JH55,JI55),0)</f>
        <v>0</v>
      </c>
      <c r="RC55" s="20" t="n">
        <f aca="false">IF(BL55=1,IF(HU55=1,JO55+JR55,BM55-PU55)*(1+Slot5_Rate),0)</f>
        <v>0</v>
      </c>
      <c r="RD55" s="20" t="n">
        <f aca="false">IF(AND(HU55=1,BL55=1),(JN55+JR55)/F55,0)</f>
        <v>0</v>
      </c>
      <c r="RE55" s="20" t="n">
        <f aca="false">IF(B55=0,JN55+JR55,0)</f>
        <v>0</v>
      </c>
      <c r="RF55" s="20" t="n">
        <f aca="false">IF(B55=0,IF(HU55=1,JP55,JQ55),0)</f>
        <v>0</v>
      </c>
      <c r="RG55" s="20" t="n">
        <f aca="false">IF(BV55=1,IF(HU55=1,JW55+JZ55,BW55-PS55)*(1+Slot6_Rate),0)</f>
        <v>0</v>
      </c>
      <c r="RH55" s="20" t="n">
        <f aca="false">IF(AND(HU55=1,BV55=1),(JV55+JZ55)/F55,0)</f>
        <v>0</v>
      </c>
      <c r="RI55" s="20" t="n">
        <f aca="false">IF(B55=0,JV55+JZ55,0)</f>
        <v>0</v>
      </c>
      <c r="RJ55" s="20" t="n">
        <f aca="false">IF(B55=0,IF(HU55=1,JX55,JY55),0)</f>
        <v>0</v>
      </c>
      <c r="RK55" s="20" t="n">
        <f aca="false">IF(CF55=1,IF(HU55=1,KE55+KH55,CG55-PQ55)*(1+Slot7_Rate),0)</f>
        <v>0</v>
      </c>
      <c r="RL55" s="20" t="n">
        <f aca="false">IF(AND(HU55=1,CF55=1),(KD55+KH55)/F55,0)</f>
        <v>0</v>
      </c>
      <c r="RM55" s="20" t="n">
        <f aca="false">IF(B55=0,KD55+KH55,0)</f>
        <v>0</v>
      </c>
      <c r="RN55" s="20" t="n">
        <f aca="false">IF(B55=0,IF(HU55=1,KF55,KG55),0)</f>
        <v>0</v>
      </c>
      <c r="RO55" s="20" t="n">
        <f aca="false">IF(CP55=1,IF(HU55=1,KM55+KP55,CQ55-PO55)*(1+Slot8_Rate),0)</f>
        <v>0</v>
      </c>
      <c r="RP55" s="20" t="n">
        <f aca="false">IF(AND(HU55=1,CP55=1),(KL55+KP55)/F55,0)</f>
        <v>0</v>
      </c>
      <c r="RQ55" s="20" t="n">
        <f aca="false">IF(B55=0,KL55+KP55,0)</f>
        <v>0</v>
      </c>
      <c r="RR55" s="20" t="n">
        <f aca="false">IF(B55=0,IF(HU55=1,KN55,KO55),0)</f>
        <v>0</v>
      </c>
      <c r="RS55" s="20" t="n">
        <f aca="false">IF(CZ55=1,IF(HU55=1,KU55+KX55,DA55-PM55)*(1+Slot9_Rate),0)</f>
        <v>0</v>
      </c>
      <c r="RT55" s="20" t="n">
        <f aca="false">IF(AND(HU55=1,CZ55=1),(KT55+KX55)/F55,0)</f>
        <v>0</v>
      </c>
      <c r="RU55" s="20" t="n">
        <f aca="false">IF(B55=0,KT55+KX55,0)</f>
        <v>0</v>
      </c>
      <c r="RV55" s="20" t="n">
        <f aca="false">IF(B55=0,IF(HU55=1,KV55,KW55),0)</f>
        <v>0</v>
      </c>
      <c r="RW55" s="20" t="n">
        <f aca="false">IF(DJ55=1,IF(HU55=1,LC55+LF55,DK55-PK55)*(1+Slot10_Rate),0)</f>
        <v>0</v>
      </c>
      <c r="RX55" s="20" t="n">
        <f aca="false">IF(AND(HU55=1,DJ55=1),(LB55+LF55)/F55,0)</f>
        <v>0</v>
      </c>
      <c r="RY55" s="20" t="n">
        <f aca="false">IF(B55=0,LB55+LF55,0)</f>
        <v>0</v>
      </c>
      <c r="RZ55" s="20" t="n">
        <f aca="false">IF(B55=0,IF(HU55=1,LD55,LE55),0)</f>
        <v>0</v>
      </c>
      <c r="SA55" s="20" t="n">
        <f aca="false">IF(DT55=1,IF(HU55=1,LK55+LN55,DU55-PI55)*(1+Slot11_Rate),0)</f>
        <v>0</v>
      </c>
      <c r="SB55" s="20" t="n">
        <f aca="false">IF(AND(HU55=1,DT55=1),(LJ55+LN55)/F55,0)</f>
        <v>0</v>
      </c>
      <c r="SC55" s="20" t="n">
        <f aca="false">IF(B55=0,LJ55+LN55,0)</f>
        <v>0</v>
      </c>
      <c r="SD55" s="20" t="n">
        <f aca="false">IF(B55=0,IF(HU55=1,LL55,LM55),0)</f>
        <v>0</v>
      </c>
      <c r="SE55" s="20" t="n">
        <f aca="false">IF(ED55=1,IF(HU55=1,LS55+LV55,EE55-PG55)*(1+Slot12_Rate),0)</f>
        <v>0</v>
      </c>
      <c r="SF55" s="20" t="n">
        <f aca="false">IF(AND(HU55=1,ED55=1),(LR55+LV55)/F55,0)</f>
        <v>0</v>
      </c>
      <c r="SG55" s="20" t="n">
        <f aca="false">IF(B55=0,LR55+LV55,0)</f>
        <v>0</v>
      </c>
      <c r="SH55" s="20" t="n">
        <f aca="false">IF(B55=0,IF(HU55=1,LT55,LU55),0)</f>
        <v>0</v>
      </c>
      <c r="SI55" s="20" t="n">
        <f aca="false">IF(EN55=1,IF(HU55=1,MA55+MD55,EO55-PE55)*(1+Slot13_Rate),0)</f>
        <v>0</v>
      </c>
      <c r="SJ55" s="20" t="n">
        <f aca="false">IF(AND(HU55=1,EN55=1),(LZ55+MD55)/F55,0)</f>
        <v>0</v>
      </c>
      <c r="SK55" s="20" t="n">
        <f aca="false">IF(B55=0,LZ55+MD55,0)</f>
        <v>0</v>
      </c>
      <c r="SL55" s="20" t="n">
        <f aca="false">IF(B55=0,IF(HU55=1,MB55,MC55),0)</f>
        <v>0</v>
      </c>
      <c r="SM55" s="20" t="n">
        <f aca="false">IF(EX55=1,IF(HU55=1,MI55+ML55,EY55-PC55)*(1+Slot14_Rate),0)</f>
        <v>0</v>
      </c>
      <c r="SN55" s="20" t="n">
        <f aca="false">IF(AND(HU55=1,EX55=1),(MH55+ML55)/F55,0)</f>
        <v>0</v>
      </c>
      <c r="SO55" s="20" t="n">
        <f aca="false">IF(B55=0,MH55+ML55,0)</f>
        <v>0</v>
      </c>
      <c r="SP55" s="20" t="n">
        <f aca="false">IF(B55=0,IF(HU55=1,MJ55,MK55),0)</f>
        <v>0</v>
      </c>
      <c r="SQ55" s="20" t="n">
        <f aca="false">IF(FH55=1,IF(HU55=1,MQ55+MT55,FI55-PA55)*(1+Slot15_Rate),0)</f>
        <v>0</v>
      </c>
      <c r="SR55" s="20" t="n">
        <f aca="false">IF(AND(HU55=1,FH55=1),(MP55+MT55)/F55,0)</f>
        <v>0</v>
      </c>
      <c r="SS55" s="20" t="n">
        <f aca="false">IF(B55=0,MP55+MT55,0)</f>
        <v>0</v>
      </c>
      <c r="ST55" s="20" t="n">
        <f aca="false">IF(B55=0,IF(HU55=1,MR55,MS55),0)</f>
        <v>0</v>
      </c>
      <c r="SU55" s="20" t="n">
        <f aca="false">IF(FR55=1,IF(HU55=1,MY55+NB55,FS55-OY55)*(1+Slot16_Rate),0)</f>
        <v>0</v>
      </c>
      <c r="SV55" s="20" t="n">
        <f aca="false">IF(AND(HU55=1,FR55=1),(MX55+NB55)/F55,0)</f>
        <v>0</v>
      </c>
      <c r="SW55" s="20" t="n">
        <f aca="false">IF(B55=0,MX55+NB55,0)</f>
        <v>0</v>
      </c>
      <c r="SX55" s="20" t="n">
        <f aca="false">IF(B55=0,IF(HU55=1,MZ55,NA55),0)</f>
        <v>0</v>
      </c>
      <c r="SY55" s="20" t="n">
        <f aca="false">IF(GB55=1,IF(HU55=1,NG55+NJ55,GC55-OW55)*(1+Slot17_Rate),0)</f>
        <v>0</v>
      </c>
      <c r="SZ55" s="20" t="n">
        <f aca="false">IF(AND(HU55=1,GB55=1),(NF55+NJ55)/F55,0)</f>
        <v>0</v>
      </c>
      <c r="TA55" s="20" t="n">
        <f aca="false">IF(B55=0,NF55+NJ55,0)</f>
        <v>0</v>
      </c>
      <c r="TB55" s="20" t="n">
        <f aca="false">IF(B55=0,IF(HU55=1,NH55,NI55),0)</f>
        <v>0</v>
      </c>
      <c r="TC55" s="20" t="n">
        <f aca="false">IF(GL55=1,IF(HU55=1,NO55+NR55,GM55-OU55)*(1+Slot18_Rate),0)</f>
        <v>0</v>
      </c>
      <c r="TD55" s="20" t="n">
        <f aca="false">IF(AND(HU55=1,GL55=1),(NN55+NR55)/F55,0)</f>
        <v>0</v>
      </c>
      <c r="TE55" s="20" t="n">
        <f aca="false">IF(B55=0,NN55+NR55,0)</f>
        <v>0</v>
      </c>
      <c r="TF55" s="20" t="n">
        <f aca="false">IF(B55=0,IF(HU55=1,NP55,NQ55),0)</f>
        <v>0</v>
      </c>
      <c r="TG55" s="20" t="n">
        <f aca="false">IF(GV55=1,IF(HU55=1,NW55+NZ55,GW55-OS55)*(1+Slot19_Rate),0)</f>
        <v>0</v>
      </c>
      <c r="TH55" s="20" t="n">
        <f aca="false">IF(AND(HU55=1,GV55=1),(NV55+NZ55)/F55,0)</f>
        <v>0</v>
      </c>
      <c r="TI55" s="20" t="n">
        <f aca="false">IF(B55=0,NV55+NZ55,0)</f>
        <v>0</v>
      </c>
      <c r="TJ55" s="20" t="n">
        <f aca="false">IF(B55=0,IF(HU55=1,NX55,NY55),0)</f>
        <v>0</v>
      </c>
      <c r="TK55" s="20" t="n">
        <f aca="false">IF(HF55=1,IF(HU55=1,OE55+OH55,HG55-OQ55)*(1+Slot20_Rate),0)</f>
        <v>0</v>
      </c>
      <c r="TL55" s="20" t="n">
        <f aca="false">IF(AND(HU55=1,HF55=1),(OD55+OH55)/F55,0)</f>
        <v>0</v>
      </c>
      <c r="TM55" s="20" t="n">
        <f aca="false">IF(B55=0,OD55+OH55,0)</f>
        <v>0</v>
      </c>
      <c r="TN55" s="20" t="n">
        <f aca="false">IF(B55=0,IF(HU55=1,OF55,OG55),0)</f>
        <v>0</v>
      </c>
      <c r="TO55" s="20" t="n">
        <f aca="false">QK55+QL55+QM55+QQ55+QU55+QY55+RC55+RG55+RK55+RO55+RS55+RW55+SA55+SE55+SI55+SM55+SQ55+SU55+SY55+TC55+TG55+TK55</f>
        <v>0</v>
      </c>
      <c r="TP55" s="20" t="n">
        <f aca="false">QE55+HP55</f>
        <v>26521.8474219928</v>
      </c>
      <c r="TQ55" s="20" t="n">
        <f aca="false">I55+S55</f>
        <v>121237.220026346</v>
      </c>
      <c r="TR55" s="20" t="n">
        <f aca="false">1-G55</f>
        <v>1</v>
      </c>
      <c r="TS55" s="20" t="n">
        <f aca="false">IF(AND(RG_Exists=1,G55=0,C55=1),I55,0)</f>
        <v>121237.220026346</v>
      </c>
      <c r="TT55" s="20" t="n">
        <f aca="false">IF(AND(RG_Exists=1,G55=0,C55=1),I55-MIN(QE55,I55),0)</f>
        <v>94715.3726043531</v>
      </c>
      <c r="TU55" s="20" t="n">
        <f aca="false">'Plan pay &amp; tax'!AD281</f>
        <v>254446.010170804</v>
      </c>
      <c r="TV55" s="20" t="n">
        <f aca="false">IF(AND(C55=1,QE55&gt;MAX(PR_Short1,TQ55*PR_Short2)),1,0)</f>
        <v>1</v>
      </c>
      <c r="TW55" s="20" t="n">
        <f aca="false">MIN(H55,I55+S55)</f>
        <v>94715.3726043531</v>
      </c>
      <c r="TX55" s="20" t="n">
        <f aca="false">QF55+MAX(0,HQ55-HP55)</f>
        <v>0</v>
      </c>
      <c r="TY55" s="20" t="n">
        <f aca="false">QE55+HP55</f>
        <v>26521.8474219928</v>
      </c>
      <c r="TZ55" s="20" t="n">
        <f aca="false">IF(AND(C55=1,TY55&gt;PR_MinShort),1,0)</f>
        <v>1</v>
      </c>
      <c r="UA55" s="20" t="n">
        <f aca="false">IF(AND(C55=1,TZ55=0,TX55&gt;PR_MinShort),1,0)</f>
        <v>0</v>
      </c>
      <c r="UB55" s="20" t="n">
        <f aca="false">IF(AND(C55=1,QE55&gt;PR_MinShort),1,0)</f>
        <v>1</v>
      </c>
      <c r="UC55" s="20" t="n">
        <f aca="false">IF(AND(C55=1,QF55&gt;1,UJ55=0),1,0)</f>
        <v>0</v>
      </c>
      <c r="UD55" s="20" t="str">
        <f aca="false">IF(C55=0,"",IF(UJ55=1,"Gap to plan for: short "&amp;"€"&amp;TEXT(ROUND(TP55,0),"#,##0"),IF(QF55&gt;1,"Using savings","Comfortable")))</f>
        <v>Gap to plan for: short €26,522</v>
      </c>
      <c r="UE55" s="20" t="n">
        <f aca="false">IF(AND(INT(D55/10)*10=90,B55&gt;0),80,INT(D55/10)*10)</f>
        <v>80</v>
      </c>
      <c r="UF55" s="20" t="n">
        <f aca="false">IF(B55=0,1,IF(UE55&lt;&gt;UE54,UF54+1,UF54))</f>
        <v>6</v>
      </c>
      <c r="UG55" s="20" t="n">
        <f aca="false">IF(AND(C55=1,G55=1,QE55&gt;MAX(PR_Short1,TQ55*PR_Short2)),1,0)</f>
        <v>0</v>
      </c>
      <c r="UH55" s="20" t="n">
        <f aca="false">TR55*TV55</f>
        <v>1</v>
      </c>
      <c r="UI55" s="20" t="n">
        <f aca="false">IF(AND(V55=1,Slot1_PctLow=1),1,0)+IF(AND(AG55=1,Slot2_PctLow=1),1,0)+IF(AND(AQ55=1,Slot3_PctLow=1),1,0)+IF(AND(BA55=1,Slot4_PctLow=1),1,0)+IF(AND(BK55=1,Slot5_PctLow=1),1,0)+IF(AND(BU55=1,Slot6_PctLow=1),1,0)+IF(AND(CE55=1,Slot7_PctLow=1),1,0)+IF(AND(CO55=1,Slot8_PctLow=1),1,0)+IF(AND(CY55=1,Slot9_PctLow=1),1,0)+IF(AND(DI55=1,Slot10_PctLow=1),1,0)+IF(AND(DS55=1,Slot11_PctLow=1),1,0)+IF(AND(EC55=1,Slot12_PctLow=1),1,0)+IF(AND(EM55=1,Slot13_PctLow=1),1,0)+IF(AND(EW55=1,Slot14_PctLow=1),1,0)+IF(AND(FG55=1,Slot15_PctLow=1),1,0)+IF(AND(FQ55=1,Slot16_PctLow=1),1,0)+IF(AND(GA55=1,Slot17_PctLow=1),1,0)+IF(AND(GK55=1,Slot18_PctLow=1),1,0)+IF(AND(GU55=1,Slot19_PctLow=1),1,0)+IF(AND(HE55=1,Slot20_PctLow=1),1,0)</f>
        <v>0</v>
      </c>
      <c r="UJ55" s="20" t="n">
        <f aca="false">IF(C55=1,IF(OR(TV55=1,UI55&gt;0),1,0),0)</f>
        <v>1</v>
      </c>
      <c r="UK55" s="20" t="n">
        <f aca="false">Z55+AK55+AU55+BE55+BO55+BY55+CI55+CS55+DC55+DM55+DW55+EG55+EQ55+FA55+FK55+FU55+GE55+GO55+GY55+HI55+OM55</f>
        <v>0</v>
      </c>
      <c r="UL55" s="20" t="n">
        <f aca="false">V55*IF(Slot1_SpendLike=1,X55-Y55,IF(Slot1_PotFree=1,X55,0))+AG55*IF(Slot2_SpendLike=1,AI55-AJ55,IF(Slot2_PotFree=1,AI55,0))+AQ55*IF(Slot3_SpendLike=1,AS55-AT55,IF(Slot3_PotFree=1,AS55,0))+BA55*IF(Slot4_SpendLike=1,BC55-BD55,IF(Slot4_PotFree=1,BC55,0))+BK55*IF(Slot5_SpendLike=1,BM55-BN55,IF(Slot5_PotFree=1,BM55,0))+BU55*IF(Slot6_SpendLike=1,BW55-BX55,IF(Slot6_PotFree=1,BW55,0))+CE55*IF(Slot7_SpendLike=1,CG55-CH55,IF(Slot7_PotFree=1,CG55,0))+CO55*IF(Slot8_SpendLike=1,CQ55-CR55,IF(Slot8_PotFree=1,CQ55,0))+CY55*IF(Slot9_SpendLike=1,DA55-DB55,IF(Slot9_PotFree=1,DA55,0))+DI55*IF(Slot10_SpendLike=1,DK55-DL55,IF(Slot10_PotFree=1,DK55,0))+DS55*IF(Slot11_SpendLike=1,DU55-DV55,IF(Slot11_PotFree=1,DU55,0))+EC55*IF(Slot12_SpendLike=1,EE55-EF55,IF(Slot12_PotFree=1,EE55,0))+EM55*IF(Slot13_SpendLike=1,EO55-EP55,IF(Slot13_PotFree=1,EO55,0))+EW55*IF(Slot14_SpendLike=1,EY55-EZ55,IF(Slot14_PotFree=1,EY55,0))+FG55*IF(Slot15_SpendLike=1,FI55-FJ55,IF(Slot15_PotFree=1,FI55,0))+FQ55*IF(Slot16_SpendLike=1,FS55-FT55,IF(Slot16_PotFree=1,FS55,0))+GA55*IF(Slot17_SpendLike=1,GC55-GD55,IF(Slot17_PotFree=1,GC55,0))+GK55*IF(Slot18_SpendLike=1,GM55-GN55,IF(Slot18_PotFree=1,GM55,0))+GU55*IF(Slot19_SpendLike=1,GW55-GX55,IF(Slot19_PotFree=1,GW55,0))+HE55*IF(Slot20_SpendLike=1,HG55-HH55,IF(Slot20_PotFree=1,HG55,0))</f>
        <v>0</v>
      </c>
      <c r="UM55" s="20" t="n">
        <f aca="false">QG55-T55+UK55-UL55</f>
        <v>0</v>
      </c>
      <c r="UN55" s="20" t="n">
        <f aca="false">IF(OR(UN54=1,AND(In_homeUse="Yes, I'd downsize",In_downAge&gt;0,D55=In_downAge,OR(In_home="Own outright",In_home="Own with mortgage"),In_homeValue&gt;0)),1,0)</f>
        <v>0</v>
      </c>
    </row>
    <row r="56" customFormat="false" ht="15" hidden="false" customHeight="true" outlineLevel="0" collapsed="false">
      <c r="B56" s="20" t="n">
        <v>48</v>
      </c>
      <c r="C56" s="20" t="n">
        <f aca="false">IF(B56&lt;=F_N,1,0)</f>
        <v>1</v>
      </c>
      <c r="D56" s="20" t="n">
        <f aca="false">'Plan pay &amp; tax'!C282</f>
        <v>86</v>
      </c>
      <c r="E56" s="20" t="str">
        <f aca="false">IF($C56=1,"Income tax "&amp;TEXT(N('Plan pay &amp; tax'!BK282),"#,##0")&amp;"; USC "&amp;TEXT(N('Plan pay &amp; tax'!BM282)+N('Plan pay &amp; tax'!BO282),"#,##0")&amp;"; PRSI "&amp;TEXT(N('Plan pay &amp; tax'!BP282)+N('Plan pay &amp; tax'!BQ282),"#,##0")&amp;IF(N('Plan holdings'!BO56)&gt;=0.5,"; DIRT "&amp;TEXT(('Plan holdings'!BO56)/$F56,"#,##0")&amp;" (already taken from the interest earned)","")&amp;IF(N('Plan holdings'!BP56)&gt;=0.5,"; exit tax at an 8-year anniversary "&amp;TEXT(('Plan holdings'!BP56)/$F56,"#,##0"),"")&amp;IF(N('Plan holdings'!BN56)&gt;=0.5,"; tax on assets sold (exit tax or capital gains tax) "&amp;TEXT(('Plan holdings'!BN56)/$F56,"#,##0"),"")&amp;IF(N('Plan pay &amp; tax'!X282)-N('Plan pay &amp; tax'!Y282)&gt;=0.5,"; tax on the pension lump sum "&amp;TEXT(('Plan pay &amp; tax'!X282-'Plan pay &amp; tax'!Y282)/$F56,"#,##0"),"")&amp;IF(N('Plan pay &amp; tax'!V282)&gt;=0.5,"; chargeable excess tax on the pension "&amp;TEXT(('Plan pay &amp; tax'!V282)/$F56,"#,##0"),"")&amp;".","")</f>
        <v>Income tax 939; USC 0; PRSI 0.</v>
      </c>
      <c r="F56" s="50" t="n">
        <f aca="false">'Plan pay &amp; tax'!E282</f>
        <v>2.58707038549943</v>
      </c>
      <c r="G56" s="20" t="n">
        <f aca="false">'Plan pay &amp; tax'!G282</f>
        <v>0</v>
      </c>
      <c r="H56" s="20" t="n">
        <f aca="false">'Plan pay &amp; tax'!BT282-'Plan pay &amp; tax'!BS282-'Plan pay &amp; tax'!R282</f>
        <v>96836.6217232915</v>
      </c>
      <c r="I56" s="20" t="n">
        <f aca="false">IF(G56=1,F_CostsM*12,IF(RG_Exists=1,RG_Amount,F_CostsM*12*AS_RetireSpend))*F56+F_OneOffY*F56</f>
        <v>123661.964426873</v>
      </c>
      <c r="J56" s="20" t="n">
        <f aca="false">IF(UN56=1,0,HR55)</f>
        <v>0</v>
      </c>
      <c r="K56" s="20" t="n">
        <f aca="false">IF(J56&gt;1,'Plan debt months'!AC56,0)</f>
        <v>0</v>
      </c>
      <c r="L56" s="20" t="n">
        <f aca="false">IF(J56&gt;1,'Plan debt months'!AB56,J56)</f>
        <v>0</v>
      </c>
      <c r="M56" s="20" t="n">
        <f aca="false">O55</f>
        <v>0</v>
      </c>
      <c r="N56" s="20" t="n">
        <f aca="false">IF(M56&gt;1,'Plan debt months'!BD56,0)</f>
        <v>0</v>
      </c>
      <c r="O56" s="20" t="n">
        <f aca="false">IF(M56&gt;1,'Plan debt months'!BC56,M56)</f>
        <v>0</v>
      </c>
      <c r="P56" s="20" t="n">
        <f aca="false">R55</f>
        <v>0</v>
      </c>
      <c r="Q56" s="20" t="n">
        <f aca="false">IF(P56&gt;1,'Plan debt months'!CE56,0)</f>
        <v>0</v>
      </c>
      <c r="R56" s="20" t="n">
        <f aca="false">IF(P56&gt;1,'Plan debt months'!CD56,P56)</f>
        <v>0</v>
      </c>
      <c r="S56" s="20" t="n">
        <f aca="false">K56+N56+Q56</f>
        <v>0</v>
      </c>
      <c r="T56" s="57" t="n">
        <f aca="false">'Plan holdings'!Y56</f>
        <v>0</v>
      </c>
      <c r="U56" s="57" t="n">
        <f aca="false">'Plan holdings'!BM55</f>
        <v>0</v>
      </c>
      <c r="V56" s="20" t="n">
        <f aca="false">IF(AND(Slot1_On=1,D56=Slot1_Age),1,0)</f>
        <v>0</v>
      </c>
      <c r="W56" s="20" t="n">
        <f aca="false">IF(AND(Slot1_On=1,Slot1_Age&gt;D56),1,0)</f>
        <v>0</v>
      </c>
      <c r="X56" s="20" t="n">
        <f aca="false">QM55</f>
        <v>0</v>
      </c>
      <c r="Y56" s="20" t="n">
        <f aca="false">V56*MIN(Slot1_Cost,X56)</f>
        <v>0</v>
      </c>
      <c r="Z56" s="20" t="n">
        <f aca="false">V56*Slot1_SpendLike*MIN(Slot1_Cost-Y56,T56)</f>
        <v>0</v>
      </c>
      <c r="AA56" s="20" t="n">
        <f aca="false">Y56+Z56</f>
        <v>0</v>
      </c>
      <c r="AB56" s="20" t="n">
        <f aca="false">T56-Z56+V56*IF(Slot1_SpendLike=1,X56-Y56,IF(Slot1_PotFree=1,X56,0))</f>
        <v>0</v>
      </c>
      <c r="AC56" s="20" t="n">
        <f aca="false">AF56+V56*Slot1_BufPot*X56</f>
        <v>0</v>
      </c>
      <c r="AD56" s="20" t="n">
        <f aca="false">IF(AND(V56=1,Slot1_IsMfree=1),IF(AA56&gt;=Slot1_Cost-1,0,MAX(0,L56-AA56)),L56)</f>
        <v>0</v>
      </c>
      <c r="AE56" s="20" t="n">
        <f aca="false">V56*(Slot1_Cost-AA56)</f>
        <v>0</v>
      </c>
      <c r="AF56" s="20" t="n">
        <f aca="false">QL55</f>
        <v>0</v>
      </c>
      <c r="AG56" s="20" t="n">
        <f aca="false">IF(AND(Slot2_On=1,D56=Slot2_Age),1,0)</f>
        <v>0</v>
      </c>
      <c r="AH56" s="20" t="n">
        <f aca="false">IF(AND(Slot2_On=1,Slot2_Age&gt;D56),1,0)</f>
        <v>0</v>
      </c>
      <c r="AI56" s="20" t="n">
        <f aca="false">QQ55</f>
        <v>0</v>
      </c>
      <c r="AJ56" s="20" t="n">
        <f aca="false">AG56*MIN(Slot2_Cost,AI56)</f>
        <v>0</v>
      </c>
      <c r="AK56" s="20" t="n">
        <f aca="false">AG56*Slot2_SpendLike*MIN(Slot2_Cost-AJ56,AB56)</f>
        <v>0</v>
      </c>
      <c r="AL56" s="20" t="n">
        <f aca="false">AJ56+AK56</f>
        <v>0</v>
      </c>
      <c r="AM56" s="20" t="n">
        <f aca="false">AB56-AK56+AG56*IF(Slot2_SpendLike=1,AI56-AJ56,IF(Slot2_PotFree=1,AI56,0))</f>
        <v>0</v>
      </c>
      <c r="AN56" s="20" t="n">
        <f aca="false">AC56+AG56*Slot2_BufPot*AI56</f>
        <v>0</v>
      </c>
      <c r="AO56" s="20" t="n">
        <f aca="false">IF(AND(AG56=1,Slot2_IsMfree=1),IF(AL56&gt;=Slot2_Cost-1,0,MAX(0,AD56-AL56)),AD56)</f>
        <v>0</v>
      </c>
      <c r="AP56" s="20" t="n">
        <f aca="false">AG56*(Slot2_Cost-AL56)</f>
        <v>0</v>
      </c>
      <c r="AQ56" s="20" t="n">
        <f aca="false">IF(AND(Slot3_On=1,D56=Slot3_Age),1,0)</f>
        <v>0</v>
      </c>
      <c r="AR56" s="20" t="n">
        <f aca="false">IF(AND(Slot3_On=1,Slot3_Age&gt;D56),1,0)</f>
        <v>0</v>
      </c>
      <c r="AS56" s="20" t="n">
        <f aca="false">QU55</f>
        <v>0</v>
      </c>
      <c r="AT56" s="20" t="n">
        <f aca="false">AQ56*MIN(Slot3_Cost,AS56)</f>
        <v>0</v>
      </c>
      <c r="AU56" s="20" t="n">
        <f aca="false">AQ56*Slot3_SpendLike*MIN(Slot3_Cost-AT56,AM56)</f>
        <v>0</v>
      </c>
      <c r="AV56" s="20" t="n">
        <f aca="false">AT56+AU56</f>
        <v>0</v>
      </c>
      <c r="AW56" s="20" t="n">
        <f aca="false">AM56-AU56+AQ56*IF(Slot3_SpendLike=1,AS56-AT56,IF(Slot3_PotFree=1,AS56,0))</f>
        <v>0</v>
      </c>
      <c r="AX56" s="20" t="n">
        <f aca="false">AN56+AQ56*Slot3_BufPot*AS56</f>
        <v>0</v>
      </c>
      <c r="AY56" s="20" t="n">
        <f aca="false">IF(AND(AQ56=1,Slot3_IsMfree=1),IF(AV56&gt;=Slot3_Cost-1,0,MAX(0,AO56-AV56)),AO56)</f>
        <v>0</v>
      </c>
      <c r="AZ56" s="20" t="n">
        <f aca="false">AQ56*(Slot3_Cost-AV56)</f>
        <v>0</v>
      </c>
      <c r="BA56" s="20" t="n">
        <f aca="false">IF(AND(Slot4_On=1,D56=Slot4_Age),1,0)</f>
        <v>0</v>
      </c>
      <c r="BB56" s="20" t="n">
        <f aca="false">IF(AND(Slot4_On=1,Slot4_Age&gt;D56),1,0)</f>
        <v>0</v>
      </c>
      <c r="BC56" s="20" t="n">
        <f aca="false">QY55</f>
        <v>0</v>
      </c>
      <c r="BD56" s="20" t="n">
        <f aca="false">BA56*MIN(Slot4_Cost,BC56)</f>
        <v>0</v>
      </c>
      <c r="BE56" s="20" t="n">
        <f aca="false">BA56*Slot4_SpendLike*MIN(Slot4_Cost-BD56,AW56)</f>
        <v>0</v>
      </c>
      <c r="BF56" s="20" t="n">
        <f aca="false">BD56+BE56</f>
        <v>0</v>
      </c>
      <c r="BG56" s="20" t="n">
        <f aca="false">AW56-BE56+BA56*IF(Slot4_SpendLike=1,BC56-BD56,IF(Slot4_PotFree=1,BC56,0))</f>
        <v>0</v>
      </c>
      <c r="BH56" s="20" t="n">
        <f aca="false">AX56+BA56*Slot4_BufPot*BC56</f>
        <v>0</v>
      </c>
      <c r="BI56" s="20" t="n">
        <f aca="false">IF(AND(BA56=1,Slot4_IsMfree=1),IF(BF56&gt;=Slot4_Cost-1,0,MAX(0,AY56-BF56)),AY56)</f>
        <v>0</v>
      </c>
      <c r="BJ56" s="20" t="n">
        <f aca="false">BA56*(Slot4_Cost-BF56)</f>
        <v>0</v>
      </c>
      <c r="BK56" s="20" t="n">
        <f aca="false">IF(AND(Slot5_On=1,D56=Slot5_Age),1,0)</f>
        <v>0</v>
      </c>
      <c r="BL56" s="20" t="n">
        <f aca="false">IF(AND(Slot5_On=1,Slot5_Age&gt;D56),1,0)</f>
        <v>0</v>
      </c>
      <c r="BM56" s="20" t="n">
        <f aca="false">RC55</f>
        <v>0</v>
      </c>
      <c r="BN56" s="20" t="n">
        <f aca="false">BK56*MIN(Slot5_Cost,BM56)</f>
        <v>0</v>
      </c>
      <c r="BO56" s="20" t="n">
        <f aca="false">BK56*Slot5_SpendLike*MIN(Slot5_Cost-BN56,BG56)</f>
        <v>0</v>
      </c>
      <c r="BP56" s="20" t="n">
        <f aca="false">BN56+BO56</f>
        <v>0</v>
      </c>
      <c r="BQ56" s="20" t="n">
        <f aca="false">BG56-BO56+BK56*IF(Slot5_SpendLike=1,BM56-BN56,IF(Slot5_PotFree=1,BM56,0))</f>
        <v>0</v>
      </c>
      <c r="BR56" s="20" t="n">
        <f aca="false">BH56+BK56*Slot5_BufPot*BM56</f>
        <v>0</v>
      </c>
      <c r="BS56" s="20" t="n">
        <f aca="false">IF(AND(BK56=1,Slot5_IsMfree=1),IF(BP56&gt;=Slot5_Cost-1,0,MAX(0,BI56-BP56)),BI56)</f>
        <v>0</v>
      </c>
      <c r="BT56" s="20" t="n">
        <f aca="false">BK56*(Slot5_Cost-BP56)</f>
        <v>0</v>
      </c>
      <c r="BU56" s="20" t="n">
        <f aca="false">IF(AND(Slot6_On=1,D56=Slot6_Age),1,0)</f>
        <v>0</v>
      </c>
      <c r="BV56" s="20" t="n">
        <f aca="false">IF(AND(Slot6_On=1,Slot6_Age&gt;D56),1,0)</f>
        <v>0</v>
      </c>
      <c r="BW56" s="20" t="n">
        <f aca="false">RG55</f>
        <v>0</v>
      </c>
      <c r="BX56" s="20" t="n">
        <f aca="false">BU56*MIN(Slot6_Cost,BW56)</f>
        <v>0</v>
      </c>
      <c r="BY56" s="20" t="n">
        <f aca="false">BU56*Slot6_SpendLike*MIN(Slot6_Cost-BX56,BQ56)</f>
        <v>0</v>
      </c>
      <c r="BZ56" s="20" t="n">
        <f aca="false">BX56+BY56</f>
        <v>0</v>
      </c>
      <c r="CA56" s="20" t="n">
        <f aca="false">BQ56-BY56+BU56*IF(Slot6_SpendLike=1,BW56-BX56,IF(Slot6_PotFree=1,BW56,0))</f>
        <v>0</v>
      </c>
      <c r="CB56" s="20" t="n">
        <f aca="false">BR56+BU56*Slot6_BufPot*BW56</f>
        <v>0</v>
      </c>
      <c r="CC56" s="20" t="n">
        <f aca="false">IF(AND(BU56=1,Slot6_IsMfree=1),IF(BZ56&gt;=Slot6_Cost-1,0,MAX(0,BS56-BZ56)),BS56)</f>
        <v>0</v>
      </c>
      <c r="CD56" s="20" t="n">
        <f aca="false">BU56*(Slot6_Cost-BZ56)</f>
        <v>0</v>
      </c>
      <c r="CE56" s="20" t="n">
        <f aca="false">IF(AND(Slot7_On=1,D56=Slot7_Age),1,0)</f>
        <v>0</v>
      </c>
      <c r="CF56" s="20" t="n">
        <f aca="false">IF(AND(Slot7_On=1,Slot7_Age&gt;D56),1,0)</f>
        <v>0</v>
      </c>
      <c r="CG56" s="20" t="n">
        <f aca="false">RK55</f>
        <v>0</v>
      </c>
      <c r="CH56" s="20" t="n">
        <f aca="false">CE56*MIN(Slot7_Cost,CG56)</f>
        <v>0</v>
      </c>
      <c r="CI56" s="20" t="n">
        <f aca="false">CE56*Slot7_SpendLike*MIN(Slot7_Cost-CH56,CA56)</f>
        <v>0</v>
      </c>
      <c r="CJ56" s="20" t="n">
        <f aca="false">CH56+CI56</f>
        <v>0</v>
      </c>
      <c r="CK56" s="20" t="n">
        <f aca="false">CA56-CI56+CE56*IF(Slot7_SpendLike=1,CG56-CH56,IF(Slot7_PotFree=1,CG56,0))</f>
        <v>0</v>
      </c>
      <c r="CL56" s="20" t="n">
        <f aca="false">CB56+CE56*Slot7_BufPot*CG56</f>
        <v>0</v>
      </c>
      <c r="CM56" s="20" t="n">
        <f aca="false">IF(AND(CE56=1,Slot7_IsMfree=1),IF(CJ56&gt;=Slot7_Cost-1,0,MAX(0,CC56-CJ56)),CC56)</f>
        <v>0</v>
      </c>
      <c r="CN56" s="20" t="n">
        <f aca="false">CE56*(Slot7_Cost-CJ56)</f>
        <v>0</v>
      </c>
      <c r="CO56" s="20" t="n">
        <f aca="false">IF(AND(Slot8_On=1,D56=Slot8_Age),1,0)</f>
        <v>0</v>
      </c>
      <c r="CP56" s="20" t="n">
        <f aca="false">IF(AND(Slot8_On=1,Slot8_Age&gt;D56),1,0)</f>
        <v>0</v>
      </c>
      <c r="CQ56" s="20" t="n">
        <f aca="false">RO55</f>
        <v>0</v>
      </c>
      <c r="CR56" s="20" t="n">
        <f aca="false">CO56*MIN(Slot8_Cost,CQ56)</f>
        <v>0</v>
      </c>
      <c r="CS56" s="20" t="n">
        <f aca="false">CO56*Slot8_SpendLike*MIN(Slot8_Cost-CR56,CK56)</f>
        <v>0</v>
      </c>
      <c r="CT56" s="20" t="n">
        <f aca="false">CR56+CS56</f>
        <v>0</v>
      </c>
      <c r="CU56" s="20" t="n">
        <f aca="false">CK56-CS56+CO56*IF(Slot8_SpendLike=1,CQ56-CR56,IF(Slot8_PotFree=1,CQ56,0))</f>
        <v>0</v>
      </c>
      <c r="CV56" s="20" t="n">
        <f aca="false">CL56+CO56*Slot8_BufPot*CQ56</f>
        <v>0</v>
      </c>
      <c r="CW56" s="20" t="n">
        <f aca="false">IF(AND(CO56=1,Slot8_IsMfree=1),IF(CT56&gt;=Slot8_Cost-1,0,MAX(0,CM56-CT56)),CM56)</f>
        <v>0</v>
      </c>
      <c r="CX56" s="20" t="n">
        <f aca="false">CO56*(Slot8_Cost-CT56)</f>
        <v>0</v>
      </c>
      <c r="CY56" s="20" t="n">
        <f aca="false">IF(AND(Slot9_On=1,D56=Slot9_Age),1,0)</f>
        <v>0</v>
      </c>
      <c r="CZ56" s="20" t="n">
        <f aca="false">IF(AND(Slot9_On=1,Slot9_Age&gt;D56),1,0)</f>
        <v>0</v>
      </c>
      <c r="DA56" s="20" t="n">
        <f aca="false">RS55</f>
        <v>0</v>
      </c>
      <c r="DB56" s="20" t="n">
        <f aca="false">CY56*MIN(Slot9_Cost,DA56)</f>
        <v>0</v>
      </c>
      <c r="DC56" s="20" t="n">
        <f aca="false">CY56*Slot9_SpendLike*MIN(Slot9_Cost-DB56,CU56)</f>
        <v>0</v>
      </c>
      <c r="DD56" s="20" t="n">
        <f aca="false">DB56+DC56</f>
        <v>0</v>
      </c>
      <c r="DE56" s="20" t="n">
        <f aca="false">CU56-DC56+CY56*IF(Slot9_SpendLike=1,DA56-DB56,IF(Slot9_PotFree=1,DA56,0))</f>
        <v>0</v>
      </c>
      <c r="DF56" s="20" t="n">
        <f aca="false">CV56+CY56*Slot9_BufPot*DA56</f>
        <v>0</v>
      </c>
      <c r="DG56" s="20" t="n">
        <f aca="false">IF(AND(CY56=1,Slot9_IsMfree=1),IF(DD56&gt;=Slot9_Cost-1,0,MAX(0,CW56-DD56)),CW56)</f>
        <v>0</v>
      </c>
      <c r="DH56" s="20" t="n">
        <f aca="false">CY56*(Slot9_Cost-DD56)</f>
        <v>0</v>
      </c>
      <c r="DI56" s="20" t="n">
        <f aca="false">IF(AND(Slot10_On=1,D56=Slot10_Age),1,0)</f>
        <v>0</v>
      </c>
      <c r="DJ56" s="20" t="n">
        <f aca="false">IF(AND(Slot10_On=1,Slot10_Age&gt;D56),1,0)</f>
        <v>0</v>
      </c>
      <c r="DK56" s="20" t="n">
        <f aca="false">RW55</f>
        <v>0</v>
      </c>
      <c r="DL56" s="20" t="n">
        <f aca="false">DI56*MIN(Slot10_Cost,DK56)</f>
        <v>0</v>
      </c>
      <c r="DM56" s="20" t="n">
        <f aca="false">DI56*Slot10_SpendLike*MIN(Slot10_Cost-DL56,DE56)</f>
        <v>0</v>
      </c>
      <c r="DN56" s="20" t="n">
        <f aca="false">DL56+DM56</f>
        <v>0</v>
      </c>
      <c r="DO56" s="20" t="n">
        <f aca="false">DE56-DM56+DI56*IF(Slot10_SpendLike=1,DK56-DL56,IF(Slot10_PotFree=1,DK56,0))</f>
        <v>0</v>
      </c>
      <c r="DP56" s="20" t="n">
        <f aca="false">DF56+DI56*Slot10_BufPot*DK56</f>
        <v>0</v>
      </c>
      <c r="DQ56" s="20" t="n">
        <f aca="false">IF(AND(DI56=1,Slot10_IsMfree=1),IF(DN56&gt;=Slot10_Cost-1,0,MAX(0,DG56-DN56)),DG56)</f>
        <v>0</v>
      </c>
      <c r="DR56" s="20" t="n">
        <f aca="false">DI56*(Slot10_Cost-DN56)</f>
        <v>0</v>
      </c>
      <c r="DS56" s="20" t="n">
        <f aca="false">IF(AND(Slot11_On=1,D56=Slot11_Age),1,0)</f>
        <v>0</v>
      </c>
      <c r="DT56" s="20" t="n">
        <f aca="false">IF(AND(Slot11_On=1,Slot11_Age&gt;D56),1,0)</f>
        <v>0</v>
      </c>
      <c r="DU56" s="20" t="n">
        <f aca="false">SA55</f>
        <v>0</v>
      </c>
      <c r="DV56" s="20" t="n">
        <f aca="false">DS56*MIN(Slot11_Cost,DU56)</f>
        <v>0</v>
      </c>
      <c r="DW56" s="20" t="n">
        <f aca="false">DS56*Slot11_SpendLike*MIN(Slot11_Cost-DV56,DO56)</f>
        <v>0</v>
      </c>
      <c r="DX56" s="20" t="n">
        <f aca="false">DV56+DW56</f>
        <v>0</v>
      </c>
      <c r="DY56" s="20" t="n">
        <f aca="false">DO56-DW56+DS56*IF(Slot11_SpendLike=1,DU56-DV56,IF(Slot11_PotFree=1,DU56,0))</f>
        <v>0</v>
      </c>
      <c r="DZ56" s="20" t="n">
        <f aca="false">DP56+DS56*Slot11_BufPot*DU56</f>
        <v>0</v>
      </c>
      <c r="EA56" s="20" t="n">
        <f aca="false">IF(AND(DS56=1,Slot11_IsMfree=1),IF(DX56&gt;=Slot11_Cost-1,0,MAX(0,DQ56-DX56)),DQ56)</f>
        <v>0</v>
      </c>
      <c r="EB56" s="20" t="n">
        <f aca="false">DS56*(Slot11_Cost-DX56)</f>
        <v>0</v>
      </c>
      <c r="EC56" s="20" t="n">
        <f aca="false">IF(AND(Slot12_On=1,D56=Slot12_Age),1,0)</f>
        <v>0</v>
      </c>
      <c r="ED56" s="20" t="n">
        <f aca="false">IF(AND(Slot12_On=1,Slot12_Age&gt;D56),1,0)</f>
        <v>0</v>
      </c>
      <c r="EE56" s="20" t="n">
        <f aca="false">SE55</f>
        <v>0</v>
      </c>
      <c r="EF56" s="20" t="n">
        <f aca="false">EC56*MIN(Slot12_Cost,EE56)</f>
        <v>0</v>
      </c>
      <c r="EG56" s="20" t="n">
        <f aca="false">EC56*Slot12_SpendLike*MIN(Slot12_Cost-EF56,DY56)</f>
        <v>0</v>
      </c>
      <c r="EH56" s="20" t="n">
        <f aca="false">EF56+EG56</f>
        <v>0</v>
      </c>
      <c r="EI56" s="20" t="n">
        <f aca="false">DY56-EG56+EC56*IF(Slot12_SpendLike=1,EE56-EF56,IF(Slot12_PotFree=1,EE56,0))</f>
        <v>0</v>
      </c>
      <c r="EJ56" s="20" t="n">
        <f aca="false">DZ56+EC56*Slot12_BufPot*EE56</f>
        <v>0</v>
      </c>
      <c r="EK56" s="20" t="n">
        <f aca="false">IF(AND(EC56=1,Slot12_IsMfree=1),IF(EH56&gt;=Slot12_Cost-1,0,MAX(0,EA56-EH56)),EA56)</f>
        <v>0</v>
      </c>
      <c r="EL56" s="20" t="n">
        <f aca="false">EC56*(Slot12_Cost-EH56)</f>
        <v>0</v>
      </c>
      <c r="EM56" s="20" t="n">
        <f aca="false">IF(AND(Slot13_On=1,D56=Slot13_Age),1,0)</f>
        <v>0</v>
      </c>
      <c r="EN56" s="20" t="n">
        <f aca="false">IF(AND(Slot13_On=1,Slot13_Age&gt;D56),1,0)</f>
        <v>0</v>
      </c>
      <c r="EO56" s="20" t="n">
        <f aca="false">SI55</f>
        <v>0</v>
      </c>
      <c r="EP56" s="20" t="n">
        <f aca="false">EM56*MIN(Slot13_Cost,EO56)</f>
        <v>0</v>
      </c>
      <c r="EQ56" s="20" t="n">
        <f aca="false">EM56*Slot13_SpendLike*MIN(Slot13_Cost-EP56,EI56)</f>
        <v>0</v>
      </c>
      <c r="ER56" s="20" t="n">
        <f aca="false">EP56+EQ56</f>
        <v>0</v>
      </c>
      <c r="ES56" s="20" t="n">
        <f aca="false">EI56-EQ56+EM56*IF(Slot13_SpendLike=1,EO56-EP56,IF(Slot13_PotFree=1,EO56,0))</f>
        <v>0</v>
      </c>
      <c r="ET56" s="20" t="n">
        <f aca="false">EJ56+EM56*Slot13_BufPot*EO56</f>
        <v>0</v>
      </c>
      <c r="EU56" s="20" t="n">
        <f aca="false">IF(AND(EM56=1,Slot13_IsMfree=1),IF(ER56&gt;=Slot13_Cost-1,0,MAX(0,EK56-ER56)),EK56)</f>
        <v>0</v>
      </c>
      <c r="EV56" s="20" t="n">
        <f aca="false">EM56*(Slot13_Cost-ER56)</f>
        <v>0</v>
      </c>
      <c r="EW56" s="20" t="n">
        <f aca="false">IF(AND(Slot14_On=1,D56=Slot14_Age),1,0)</f>
        <v>0</v>
      </c>
      <c r="EX56" s="20" t="n">
        <f aca="false">IF(AND(Slot14_On=1,Slot14_Age&gt;D56),1,0)</f>
        <v>0</v>
      </c>
      <c r="EY56" s="20" t="n">
        <f aca="false">SM55</f>
        <v>0</v>
      </c>
      <c r="EZ56" s="20" t="n">
        <f aca="false">EW56*MIN(Slot14_Cost,EY56)</f>
        <v>0</v>
      </c>
      <c r="FA56" s="20" t="n">
        <f aca="false">EW56*Slot14_SpendLike*MIN(Slot14_Cost-EZ56,ES56)</f>
        <v>0</v>
      </c>
      <c r="FB56" s="20" t="n">
        <f aca="false">EZ56+FA56</f>
        <v>0</v>
      </c>
      <c r="FC56" s="20" t="n">
        <f aca="false">ES56-FA56+EW56*IF(Slot14_SpendLike=1,EY56-EZ56,IF(Slot14_PotFree=1,EY56,0))</f>
        <v>0</v>
      </c>
      <c r="FD56" s="20" t="n">
        <f aca="false">ET56+EW56*Slot14_BufPot*EY56</f>
        <v>0</v>
      </c>
      <c r="FE56" s="20" t="n">
        <f aca="false">IF(AND(EW56=1,Slot14_IsMfree=1),IF(FB56&gt;=Slot14_Cost-1,0,MAX(0,EU56-FB56)),EU56)</f>
        <v>0</v>
      </c>
      <c r="FF56" s="20" t="n">
        <f aca="false">EW56*(Slot14_Cost-FB56)</f>
        <v>0</v>
      </c>
      <c r="FG56" s="20" t="n">
        <f aca="false">IF(AND(Slot15_On=1,D56=Slot15_Age),1,0)</f>
        <v>0</v>
      </c>
      <c r="FH56" s="20" t="n">
        <f aca="false">IF(AND(Slot15_On=1,Slot15_Age&gt;D56),1,0)</f>
        <v>0</v>
      </c>
      <c r="FI56" s="20" t="n">
        <f aca="false">SQ55</f>
        <v>0</v>
      </c>
      <c r="FJ56" s="20" t="n">
        <f aca="false">FG56*MIN(Slot15_Cost,FI56)</f>
        <v>0</v>
      </c>
      <c r="FK56" s="20" t="n">
        <f aca="false">FG56*Slot15_SpendLike*MIN(Slot15_Cost-FJ56,FC56)</f>
        <v>0</v>
      </c>
      <c r="FL56" s="20" t="n">
        <f aca="false">FJ56+FK56</f>
        <v>0</v>
      </c>
      <c r="FM56" s="20" t="n">
        <f aca="false">FC56-FK56+FG56*IF(Slot15_SpendLike=1,FI56-FJ56,IF(Slot15_PotFree=1,FI56,0))</f>
        <v>0</v>
      </c>
      <c r="FN56" s="20" t="n">
        <f aca="false">FD56+FG56*Slot15_BufPot*FI56</f>
        <v>0</v>
      </c>
      <c r="FO56" s="20" t="n">
        <f aca="false">IF(AND(FG56=1,Slot15_IsMfree=1),IF(FL56&gt;=Slot15_Cost-1,0,MAX(0,FE56-FL56)),FE56)</f>
        <v>0</v>
      </c>
      <c r="FP56" s="20" t="n">
        <f aca="false">FG56*(Slot15_Cost-FL56)</f>
        <v>0</v>
      </c>
      <c r="FQ56" s="20" t="n">
        <f aca="false">IF(AND(Slot16_On=1,D56=Slot16_Age),1,0)</f>
        <v>0</v>
      </c>
      <c r="FR56" s="20" t="n">
        <f aca="false">IF(AND(Slot16_On=1,Slot16_Age&gt;D56),1,0)</f>
        <v>0</v>
      </c>
      <c r="FS56" s="20" t="n">
        <f aca="false">SU55</f>
        <v>0</v>
      </c>
      <c r="FT56" s="20" t="n">
        <f aca="false">FQ56*MIN(Slot16_Cost,FS56)</f>
        <v>0</v>
      </c>
      <c r="FU56" s="20" t="n">
        <f aca="false">FQ56*Slot16_SpendLike*MIN(Slot16_Cost-FT56,FM56)</f>
        <v>0</v>
      </c>
      <c r="FV56" s="20" t="n">
        <f aca="false">FT56+FU56</f>
        <v>0</v>
      </c>
      <c r="FW56" s="20" t="n">
        <f aca="false">FM56-FU56+FQ56*IF(Slot16_SpendLike=1,FS56-FT56,IF(Slot16_PotFree=1,FS56,0))</f>
        <v>0</v>
      </c>
      <c r="FX56" s="20" t="n">
        <f aca="false">FN56+FQ56*Slot16_BufPot*FS56</f>
        <v>0</v>
      </c>
      <c r="FY56" s="20" t="n">
        <f aca="false">IF(AND(FQ56=1,Slot16_IsMfree=1),IF(FV56&gt;=Slot16_Cost-1,0,MAX(0,FO56-FV56)),FO56)</f>
        <v>0</v>
      </c>
      <c r="FZ56" s="20" t="n">
        <f aca="false">FQ56*(Slot16_Cost-FV56)</f>
        <v>0</v>
      </c>
      <c r="GA56" s="20" t="n">
        <f aca="false">IF(AND(Slot17_On=1,D56=Slot17_Age),1,0)</f>
        <v>0</v>
      </c>
      <c r="GB56" s="20" t="n">
        <f aca="false">IF(AND(Slot17_On=1,Slot17_Age&gt;D56),1,0)</f>
        <v>0</v>
      </c>
      <c r="GC56" s="20" t="n">
        <f aca="false">SY55</f>
        <v>0</v>
      </c>
      <c r="GD56" s="20" t="n">
        <f aca="false">GA56*MIN(Slot17_Cost,GC56)</f>
        <v>0</v>
      </c>
      <c r="GE56" s="20" t="n">
        <f aca="false">GA56*Slot17_SpendLike*MIN(Slot17_Cost-GD56,FW56)</f>
        <v>0</v>
      </c>
      <c r="GF56" s="20" t="n">
        <f aca="false">GD56+GE56</f>
        <v>0</v>
      </c>
      <c r="GG56" s="20" t="n">
        <f aca="false">FW56-GE56+GA56*IF(Slot17_SpendLike=1,GC56-GD56,IF(Slot17_PotFree=1,GC56,0))</f>
        <v>0</v>
      </c>
      <c r="GH56" s="20" t="n">
        <f aca="false">FX56+GA56*Slot17_BufPot*GC56</f>
        <v>0</v>
      </c>
      <c r="GI56" s="20" t="n">
        <f aca="false">IF(AND(GA56=1,Slot17_IsMfree=1),IF(GF56&gt;=Slot17_Cost-1,0,MAX(0,FY56-GF56)),FY56)</f>
        <v>0</v>
      </c>
      <c r="GJ56" s="20" t="n">
        <f aca="false">GA56*(Slot17_Cost-GF56)</f>
        <v>0</v>
      </c>
      <c r="GK56" s="20" t="n">
        <f aca="false">IF(AND(Slot18_On=1,D56=Slot18_Age),1,0)</f>
        <v>0</v>
      </c>
      <c r="GL56" s="20" t="n">
        <f aca="false">IF(AND(Slot18_On=1,Slot18_Age&gt;D56),1,0)</f>
        <v>0</v>
      </c>
      <c r="GM56" s="20" t="n">
        <f aca="false">TC55</f>
        <v>0</v>
      </c>
      <c r="GN56" s="20" t="n">
        <f aca="false">GK56*MIN(Slot18_Cost,GM56)</f>
        <v>0</v>
      </c>
      <c r="GO56" s="20" t="n">
        <f aca="false">GK56*Slot18_SpendLike*MIN(Slot18_Cost-GN56,GG56)</f>
        <v>0</v>
      </c>
      <c r="GP56" s="20" t="n">
        <f aca="false">GN56+GO56</f>
        <v>0</v>
      </c>
      <c r="GQ56" s="20" t="n">
        <f aca="false">GG56-GO56+GK56*IF(Slot18_SpendLike=1,GM56-GN56,IF(Slot18_PotFree=1,GM56,0))</f>
        <v>0</v>
      </c>
      <c r="GR56" s="20" t="n">
        <f aca="false">GH56+GK56*Slot18_BufPot*GM56</f>
        <v>0</v>
      </c>
      <c r="GS56" s="20" t="n">
        <f aca="false">IF(AND(GK56=1,Slot18_IsMfree=1),IF(GP56&gt;=Slot18_Cost-1,0,MAX(0,GI56-GP56)),GI56)</f>
        <v>0</v>
      </c>
      <c r="GT56" s="20" t="n">
        <f aca="false">GK56*(Slot18_Cost-GP56)</f>
        <v>0</v>
      </c>
      <c r="GU56" s="20" t="n">
        <f aca="false">IF(AND(Slot19_On=1,D56=Slot19_Age),1,0)</f>
        <v>0</v>
      </c>
      <c r="GV56" s="20" t="n">
        <f aca="false">IF(AND(Slot19_On=1,Slot19_Age&gt;D56),1,0)</f>
        <v>0</v>
      </c>
      <c r="GW56" s="20" t="n">
        <f aca="false">TG55</f>
        <v>0</v>
      </c>
      <c r="GX56" s="20" t="n">
        <f aca="false">GU56*MIN(Slot19_Cost,GW56)</f>
        <v>0</v>
      </c>
      <c r="GY56" s="20" t="n">
        <f aca="false">GU56*Slot19_SpendLike*MIN(Slot19_Cost-GX56,GQ56)</f>
        <v>0</v>
      </c>
      <c r="GZ56" s="20" t="n">
        <f aca="false">GX56+GY56</f>
        <v>0</v>
      </c>
      <c r="HA56" s="20" t="n">
        <f aca="false">GQ56-GY56+GU56*IF(Slot19_SpendLike=1,GW56-GX56,IF(Slot19_PotFree=1,GW56,0))</f>
        <v>0</v>
      </c>
      <c r="HB56" s="20" t="n">
        <f aca="false">GR56+GU56*Slot19_BufPot*GW56</f>
        <v>0</v>
      </c>
      <c r="HC56" s="20" t="n">
        <f aca="false">IF(AND(GU56=1,Slot19_IsMfree=1),IF(GZ56&gt;=Slot19_Cost-1,0,MAX(0,GS56-GZ56)),GS56)</f>
        <v>0</v>
      </c>
      <c r="HD56" s="20" t="n">
        <f aca="false">GU56*(Slot19_Cost-GZ56)</f>
        <v>0</v>
      </c>
      <c r="HE56" s="20" t="n">
        <f aca="false">IF(AND(Slot20_On=1,D56=Slot20_Age),1,0)</f>
        <v>0</v>
      </c>
      <c r="HF56" s="20" t="n">
        <f aca="false">IF(AND(Slot20_On=1,Slot20_Age&gt;D56),1,0)</f>
        <v>0</v>
      </c>
      <c r="HG56" s="20" t="n">
        <f aca="false">TK55</f>
        <v>0</v>
      </c>
      <c r="HH56" s="20" t="n">
        <f aca="false">HE56*MIN(Slot20_Cost,HG56)</f>
        <v>0</v>
      </c>
      <c r="HI56" s="20" t="n">
        <f aca="false">HE56*Slot20_SpendLike*MIN(Slot20_Cost-HH56,HA56)</f>
        <v>0</v>
      </c>
      <c r="HJ56" s="20" t="n">
        <f aca="false">HH56+HI56</f>
        <v>0</v>
      </c>
      <c r="HK56" s="20" t="n">
        <f aca="false">HA56-HI56+HE56*IF(Slot20_SpendLike=1,HG56-HH56,IF(Slot20_PotFree=1,HG56,0))</f>
        <v>0</v>
      </c>
      <c r="HL56" s="20" t="n">
        <f aca="false">HB56+HE56*Slot20_BufPot*HG56</f>
        <v>0</v>
      </c>
      <c r="HM56" s="20" t="n">
        <f aca="false">IF(AND(HE56=1,Slot20_IsMfree=1),IF(HJ56&gt;=Slot20_Cost-1,0,MAX(0,HC56-HJ56)),HC56)</f>
        <v>0</v>
      </c>
      <c r="HN56" s="20" t="n">
        <f aca="false">HE56*(Slot20_Cost-HJ56)</f>
        <v>0</v>
      </c>
      <c r="HO56" s="20" t="n">
        <f aca="false">V56*Slot1_SpendLike*AA56+AG56*Slot2_SpendLike*AL56+AQ56*Slot3_SpendLike*AV56+BA56*Slot4_SpendLike*BF56+BK56*Slot5_SpendLike*BP56+BU56*Slot6_SpendLike*BZ56+CE56*Slot7_SpendLike*CJ56+CO56*Slot8_SpendLike*CT56+CY56*Slot9_SpendLike*DD56+DI56*Slot10_SpendLike*DN56+DS56*Slot11_SpendLike*DX56+EC56*Slot12_SpendLike*EH56+EM56*Slot13_SpendLike*ER56+EW56*Slot14_SpendLike*FB56+FG56*Slot15_SpendLike*FL56+FQ56*Slot16_SpendLike*FV56+GA56*Slot17_SpendLike*GF56+GK56*Slot18_SpendLike*GP56+GU56*Slot19_SpendLike*GZ56+HE56*Slot20_SpendLike*HJ56</f>
        <v>0</v>
      </c>
      <c r="HP56" s="20" t="n">
        <f aca="false">AE56+AP56+AZ56+BJ56+BT56+CD56+CN56+CX56+DH56+DR56+EB56+EL56+EV56+FF56+FP56+FZ56+GJ56+GT56+HD56+HN56</f>
        <v>0</v>
      </c>
      <c r="HQ56" s="20" t="n">
        <f aca="false">V56*Slot1_Cost+AG56*Slot2_Cost+AQ56*Slot3_Cost+BA56*Slot4_Cost+BK56*Slot5_Cost+BU56*Slot6_Cost+CE56*Slot7_Cost+CO56*Slot8_Cost+CY56*Slot9_Cost+DI56*Slot10_Cost+DS56*Slot11_Cost+EC56*Slot12_Cost+EM56*Slot13_Cost+EW56*Slot14_Cost+FG56*Slot15_Cost+FQ56*Slot16_Cost+GA56*Slot17_Cost+GK56*Slot18_Cost+GU56*Slot19_Cost+HE56*Slot20_Cost</f>
        <v>0</v>
      </c>
      <c r="HR56" s="20" t="n">
        <f aca="false">HM56</f>
        <v>0</v>
      </c>
      <c r="HS56" s="20" t="n">
        <f aca="false">H56-I56-S56</f>
        <v>-26825.3427035813</v>
      </c>
      <c r="HT56" s="20" t="n">
        <f aca="false">IF(B56=0,IF(AND(Has_q6=1,In_q6=4),PR_ShareVaries*(MAX(0,HS56)/12),MIN(IF(Has_q6=1,CHOOSE(In_q6+1,PR_SaveB1,PR_SaveB2,PR_SaveB3,PR_SaveB4,0),AS_NoAnswer),AS_SaveShare*(MAX(0,HS56)/12))),HT55)</f>
        <v>67.3316893520437</v>
      </c>
      <c r="HU56" s="20" t="n">
        <f aca="false">IF(HS56&gt;=0,1,0)</f>
        <v>0</v>
      </c>
      <c r="HV56" s="20" t="n">
        <f aca="false">MAX(0,HS56/12/F56)</f>
        <v>0</v>
      </c>
      <c r="HW56" s="20" t="n">
        <f aca="false">IF(AND(Has_q6=1,In_q6=4),PR_ShareVaries*(HV56),MIN(IF(Has_q6=1,CHOOSE(In_q6+1,PR_SaveB1,PR_SaveB2,PR_SaveB3,PR_SaveB4,0),AS_NoAnswer),AS_SaveShare*(HV56)))</f>
        <v>0</v>
      </c>
      <c r="HX56" s="20" t="n">
        <f aca="false">IF(Has_saveM=1,IF(In_saveUp="Yes",1,IF(In_saveUp="No",0,IF(In_saveM&gt;=HT56-0.5,1,0))),0)</f>
        <v>0</v>
      </c>
      <c r="HY56" s="20" t="n">
        <f aca="false">IF(Has_saveM=1,MIN(HV56,IF(HX56=1,MAX(In_saveM,HW56),MIN(In_saveM,HW56))),HW56)</f>
        <v>0</v>
      </c>
      <c r="HZ56" s="20" t="n">
        <f aca="false">IF(G56=1,HY56*12*F56,0)</f>
        <v>0</v>
      </c>
      <c r="IA56" s="20" t="n">
        <f aca="false">MAX(0,HZ56+IF(AND(WI_Retire=0,WI_M&lt;0,G56=1),WI_M*12*F56,0))</f>
        <v>0</v>
      </c>
      <c r="IB56" s="20" t="n">
        <f aca="false">Slot1_IsWG*W56+Slot2_IsWG*AH56+Slot3_IsWG*AR56+Slot4_IsWG*BB56+Slot5_IsWG*BL56+Slot6_IsWG*BV56+Slot7_IsWG*CF56+Slot8_IsWG*CP56+Slot9_IsWG*CZ56+Slot10_IsWG*DJ56+Slot11_IsWG*DT56+Slot12_IsWG*ED56+Slot13_IsWG*EN56+Slot14_IsWG*EX56+Slot15_IsWG*FH56+Slot16_IsWG*FR56+Slot17_IsWG*GB56+Slot18_IsWG*GL56+Slot19_IsWG*GV56+Slot20_IsWG*HF56</f>
        <v>0</v>
      </c>
      <c r="IC56" s="20" t="n">
        <f aca="false">IF(AND(WI_Retire=0,WI_M&gt;0,G56=1,IB56&gt;=1),WI_M*12*F56,0)</f>
        <v>0</v>
      </c>
      <c r="ID56" s="20" t="n">
        <f aca="false">IF(HU56=1,MIN(IA56,HS56),0)</f>
        <v>0</v>
      </c>
      <c r="IE56" s="20" t="n">
        <f aca="false">IF(HU56=1,MIN(IC56,HS56-ID56),0)</f>
        <v>0</v>
      </c>
      <c r="IF56" s="20" t="n">
        <f aca="false">IF(W56=1,IF(ABS((1+AS_Wage)/(1+Slot1_Rate)-1)&lt;0.000000000001,(Slot1_Age-D56)*(1+Slot1_Rate)^(Slot1_Age-D56),(1+Slot1_Rate)^(Slot1_Age-D56)*(1-((1+AS_Wage)/(1+Slot1_Rate))^(Slot1_Age-D56))/(1-(1+AS_Wage)/(1+Slot1_Rate))),1)</f>
        <v>1</v>
      </c>
      <c r="IG56" s="20" t="n">
        <f aca="false">IF(AND(HU56=1,IE56&gt;0,Slot1_IsWG=1,W56=1),MAX(0,(Slot1_Cost-X56*(1+Slot1_Rate)^(Slot1_Age-D56))/IF56),0)</f>
        <v>0</v>
      </c>
      <c r="IH56" s="20" t="n">
        <f aca="false">IF(AND(HU56=1,IE56&gt;0,Slot1_IsWG=1,W56=1),MIN(IE56,IG56),0)</f>
        <v>0</v>
      </c>
      <c r="II56" s="20" t="n">
        <f aca="false">X56+IH56</f>
        <v>0</v>
      </c>
      <c r="IJ56" s="20" t="n">
        <f aca="false">IF(W56=1,MAX(0,(Slot1_Cost-II56*(1+Slot1_Rate)^(Slot1_Age-D56))/IF56),0)</f>
        <v>0</v>
      </c>
      <c r="IK56" s="20" t="n">
        <f aca="false">IF(W56=1,MAX(0,(Slot1_Cost-X56*(1+Slot1_Rate)^(Slot1_Age-D56))/IF56),0)</f>
        <v>0</v>
      </c>
      <c r="IL56" s="20" t="n">
        <f aca="false">IF(AND(HU56=1,W56=1),MIN(ID56,IJ56),0)</f>
        <v>0</v>
      </c>
      <c r="IM56" s="20" t="n">
        <f aca="false">ID56-IL56</f>
        <v>0</v>
      </c>
      <c r="IN56" s="20" t="n">
        <f aca="false">IF(AH56=1,IF(ABS((1+AS_Wage)/(1+Slot2_Rate)-1)&lt;0.000000000001,(Slot2_Age-D56)*(1+Slot2_Rate)^(Slot2_Age-D56),(1+Slot2_Rate)^(Slot2_Age-D56)*(1-((1+AS_Wage)/(1+Slot2_Rate))^(Slot2_Age-D56))/(1-(1+AS_Wage)/(1+Slot2_Rate))),1)</f>
        <v>1</v>
      </c>
      <c r="IO56" s="20" t="n">
        <f aca="false">IF(AND(HU56=1,IE56&gt;0,Slot2_IsWG=1,AH56=1),MAX(0,(Slot2_Cost-AI56*(1+Slot2_Rate)^(Slot2_Age-D56))/IN56),0)</f>
        <v>0</v>
      </c>
      <c r="IP56" s="20" t="n">
        <f aca="false">IF(AND(HU56=1,IE56&gt;0,Slot2_IsWG=1,AH56=1),MIN(IE56,IO56),0)</f>
        <v>0</v>
      </c>
      <c r="IQ56" s="20" t="n">
        <f aca="false">AI56+IP56</f>
        <v>0</v>
      </c>
      <c r="IR56" s="20" t="n">
        <f aca="false">IF(AH56=1,MAX(0,(Slot2_Cost-IQ56*(1+Slot2_Rate)^(Slot2_Age-D56))/IN56),0)</f>
        <v>0</v>
      </c>
      <c r="IS56" s="20" t="n">
        <f aca="false">IF(AH56=1,MAX(0,(Slot2_Cost-AI56*(1+Slot2_Rate)^(Slot2_Age-D56))/IN56),0)</f>
        <v>0</v>
      </c>
      <c r="IT56" s="20" t="n">
        <f aca="false">IF(AND(HU56=1,AH56=1),MIN(IM56,IR56),0)</f>
        <v>0</v>
      </c>
      <c r="IU56" s="20" t="n">
        <f aca="false">IM56-IT56</f>
        <v>0</v>
      </c>
      <c r="IV56" s="20" t="n">
        <f aca="false">IF(AR56=1,IF(ABS((1+AS_Wage)/(1+Slot3_Rate)-1)&lt;0.000000000001,(Slot3_Age-D56)*(1+Slot3_Rate)^(Slot3_Age-D56),(1+Slot3_Rate)^(Slot3_Age-D56)*(1-((1+AS_Wage)/(1+Slot3_Rate))^(Slot3_Age-D56))/(1-(1+AS_Wage)/(1+Slot3_Rate))),1)</f>
        <v>1</v>
      </c>
      <c r="IW56" s="20" t="n">
        <f aca="false">IF(AND(HU56=1,IE56&gt;0,Slot3_IsWG=1,AR56=1),MAX(0,(Slot3_Cost-AS56*(1+Slot3_Rate)^(Slot3_Age-D56))/IV56),0)</f>
        <v>0</v>
      </c>
      <c r="IX56" s="20" t="n">
        <f aca="false">IF(AND(HU56=1,IE56&gt;0,Slot3_IsWG=1,AR56=1),MIN(IE56,IW56),0)</f>
        <v>0</v>
      </c>
      <c r="IY56" s="20" t="n">
        <f aca="false">AS56+IX56</f>
        <v>0</v>
      </c>
      <c r="IZ56" s="20" t="n">
        <f aca="false">IF(AR56=1,MAX(0,(Slot3_Cost-IY56*(1+Slot3_Rate)^(Slot3_Age-D56))/IV56),0)</f>
        <v>0</v>
      </c>
      <c r="JA56" s="20" t="n">
        <f aca="false">IF(AR56=1,MAX(0,(Slot3_Cost-AS56*(1+Slot3_Rate)^(Slot3_Age-D56))/IV56),0)</f>
        <v>0</v>
      </c>
      <c r="JB56" s="20" t="n">
        <f aca="false">IF(AND(HU56=1,AR56=1),MIN(IU56,IZ56),0)</f>
        <v>0</v>
      </c>
      <c r="JC56" s="20" t="n">
        <f aca="false">IU56-JB56</f>
        <v>0</v>
      </c>
      <c r="JD56" s="20" t="n">
        <f aca="false">IF(BB56=1,IF(ABS((1+AS_Wage)/(1+Slot4_Rate)-1)&lt;0.000000000001,(Slot4_Age-D56)*(1+Slot4_Rate)^(Slot4_Age-D56),(1+Slot4_Rate)^(Slot4_Age-D56)*(1-((1+AS_Wage)/(1+Slot4_Rate))^(Slot4_Age-D56))/(1-(1+AS_Wage)/(1+Slot4_Rate))),1)</f>
        <v>1</v>
      </c>
      <c r="JE56" s="20" t="n">
        <f aca="false">IF(AND(HU56=1,IE56&gt;0,Slot4_IsWG=1,BB56=1),MAX(0,(Slot4_Cost-BC56*(1+Slot4_Rate)^(Slot4_Age-D56))/JD56),0)</f>
        <v>0</v>
      </c>
      <c r="JF56" s="20" t="n">
        <f aca="false">IF(AND(HU56=1,IE56&gt;0,Slot4_IsWG=1,BB56=1),MIN(IE56,JE56),0)</f>
        <v>0</v>
      </c>
      <c r="JG56" s="20" t="n">
        <f aca="false">BC56+JF56</f>
        <v>0</v>
      </c>
      <c r="JH56" s="20" t="n">
        <f aca="false">IF(BB56=1,MAX(0,(Slot4_Cost-JG56*(1+Slot4_Rate)^(Slot4_Age-D56))/JD56),0)</f>
        <v>0</v>
      </c>
      <c r="JI56" s="20" t="n">
        <f aca="false">IF(BB56=1,MAX(0,(Slot4_Cost-BC56*(1+Slot4_Rate)^(Slot4_Age-D56))/JD56),0)</f>
        <v>0</v>
      </c>
      <c r="JJ56" s="20" t="n">
        <f aca="false">IF(AND(HU56=1,BB56=1),MIN(JC56,JH56),0)</f>
        <v>0</v>
      </c>
      <c r="JK56" s="20" t="n">
        <f aca="false">JC56-JJ56</f>
        <v>0</v>
      </c>
      <c r="JL56" s="20" t="n">
        <f aca="false">IF(BL56=1,IF(ABS((1+AS_Wage)/(1+Slot5_Rate)-1)&lt;0.000000000001,(Slot5_Age-D56)*(1+Slot5_Rate)^(Slot5_Age-D56),(1+Slot5_Rate)^(Slot5_Age-D56)*(1-((1+AS_Wage)/(1+Slot5_Rate))^(Slot5_Age-D56))/(1-(1+AS_Wage)/(1+Slot5_Rate))),1)</f>
        <v>1</v>
      </c>
      <c r="JM56" s="20" t="n">
        <f aca="false">IF(AND(HU56=1,IE56&gt;0,Slot5_IsWG=1,BL56=1),MAX(0,(Slot5_Cost-BM56*(1+Slot5_Rate)^(Slot5_Age-D56))/JL56),0)</f>
        <v>0</v>
      </c>
      <c r="JN56" s="20" t="n">
        <f aca="false">IF(AND(HU56=1,IE56&gt;0,Slot5_IsWG=1,BL56=1),MIN(IE56,JM56),0)</f>
        <v>0</v>
      </c>
      <c r="JO56" s="20" t="n">
        <f aca="false">BM56+JN56</f>
        <v>0</v>
      </c>
      <c r="JP56" s="20" t="n">
        <f aca="false">IF(BL56=1,MAX(0,(Slot5_Cost-JO56*(1+Slot5_Rate)^(Slot5_Age-D56))/JL56),0)</f>
        <v>0</v>
      </c>
      <c r="JQ56" s="20" t="n">
        <f aca="false">IF(BL56=1,MAX(0,(Slot5_Cost-BM56*(1+Slot5_Rate)^(Slot5_Age-D56))/JL56),0)</f>
        <v>0</v>
      </c>
      <c r="JR56" s="20" t="n">
        <f aca="false">IF(AND(HU56=1,BL56=1),MIN(JK56,JP56),0)</f>
        <v>0</v>
      </c>
      <c r="JS56" s="20" t="n">
        <f aca="false">JK56-JR56</f>
        <v>0</v>
      </c>
      <c r="JT56" s="20" t="n">
        <f aca="false">IF(BV56=1,IF(ABS((1+AS_Wage)/(1+Slot6_Rate)-1)&lt;0.000000000001,(Slot6_Age-D56)*(1+Slot6_Rate)^(Slot6_Age-D56),(1+Slot6_Rate)^(Slot6_Age-D56)*(1-((1+AS_Wage)/(1+Slot6_Rate))^(Slot6_Age-D56))/(1-(1+AS_Wage)/(1+Slot6_Rate))),1)</f>
        <v>1</v>
      </c>
      <c r="JU56" s="20" t="n">
        <f aca="false">IF(AND(HU56=1,IE56&gt;0,Slot6_IsWG=1,BV56=1),MAX(0,(Slot6_Cost-BW56*(1+Slot6_Rate)^(Slot6_Age-D56))/JT56),0)</f>
        <v>0</v>
      </c>
      <c r="JV56" s="20" t="n">
        <f aca="false">IF(AND(HU56=1,IE56&gt;0,Slot6_IsWG=1,BV56=1),MIN(IE56,JU56),0)</f>
        <v>0</v>
      </c>
      <c r="JW56" s="20" t="n">
        <f aca="false">BW56+JV56</f>
        <v>0</v>
      </c>
      <c r="JX56" s="20" t="n">
        <f aca="false">IF(BV56=1,MAX(0,(Slot6_Cost-JW56*(1+Slot6_Rate)^(Slot6_Age-D56))/JT56),0)</f>
        <v>0</v>
      </c>
      <c r="JY56" s="20" t="n">
        <f aca="false">IF(BV56=1,MAX(0,(Slot6_Cost-BW56*(1+Slot6_Rate)^(Slot6_Age-D56))/JT56),0)</f>
        <v>0</v>
      </c>
      <c r="JZ56" s="20" t="n">
        <f aca="false">IF(AND(HU56=1,BV56=1),MIN(JS56,JX56),0)</f>
        <v>0</v>
      </c>
      <c r="KA56" s="20" t="n">
        <f aca="false">JS56-JZ56</f>
        <v>0</v>
      </c>
      <c r="KB56" s="20" t="n">
        <f aca="false">IF(CF56=1,IF(ABS((1+AS_Wage)/(1+Slot7_Rate)-1)&lt;0.000000000001,(Slot7_Age-D56)*(1+Slot7_Rate)^(Slot7_Age-D56),(1+Slot7_Rate)^(Slot7_Age-D56)*(1-((1+AS_Wage)/(1+Slot7_Rate))^(Slot7_Age-D56))/(1-(1+AS_Wage)/(1+Slot7_Rate))),1)</f>
        <v>1</v>
      </c>
      <c r="KC56" s="20" t="n">
        <f aca="false">IF(AND(HU56=1,IE56&gt;0,Slot7_IsWG=1,CF56=1),MAX(0,(Slot7_Cost-CG56*(1+Slot7_Rate)^(Slot7_Age-D56))/KB56),0)</f>
        <v>0</v>
      </c>
      <c r="KD56" s="20" t="n">
        <f aca="false">IF(AND(HU56=1,IE56&gt;0,Slot7_IsWG=1,CF56=1),MIN(IE56,KC56),0)</f>
        <v>0</v>
      </c>
      <c r="KE56" s="20" t="n">
        <f aca="false">CG56+KD56</f>
        <v>0</v>
      </c>
      <c r="KF56" s="20" t="n">
        <f aca="false">IF(CF56=1,MAX(0,(Slot7_Cost-KE56*(1+Slot7_Rate)^(Slot7_Age-D56))/KB56),0)</f>
        <v>0</v>
      </c>
      <c r="KG56" s="20" t="n">
        <f aca="false">IF(CF56=1,MAX(0,(Slot7_Cost-CG56*(1+Slot7_Rate)^(Slot7_Age-D56))/KB56),0)</f>
        <v>0</v>
      </c>
      <c r="KH56" s="20" t="n">
        <f aca="false">IF(AND(HU56=1,CF56=1),MIN(KA56,KF56),0)</f>
        <v>0</v>
      </c>
      <c r="KI56" s="20" t="n">
        <f aca="false">KA56-KH56</f>
        <v>0</v>
      </c>
      <c r="KJ56" s="20" t="n">
        <f aca="false">IF(CP56=1,IF(ABS((1+AS_Wage)/(1+Slot8_Rate)-1)&lt;0.000000000001,(Slot8_Age-D56)*(1+Slot8_Rate)^(Slot8_Age-D56),(1+Slot8_Rate)^(Slot8_Age-D56)*(1-((1+AS_Wage)/(1+Slot8_Rate))^(Slot8_Age-D56))/(1-(1+AS_Wage)/(1+Slot8_Rate))),1)</f>
        <v>1</v>
      </c>
      <c r="KK56" s="20" t="n">
        <f aca="false">IF(AND(HU56=1,IE56&gt;0,Slot8_IsWG=1,CP56=1),MAX(0,(Slot8_Cost-CQ56*(1+Slot8_Rate)^(Slot8_Age-D56))/KJ56),0)</f>
        <v>0</v>
      </c>
      <c r="KL56" s="20" t="n">
        <f aca="false">IF(AND(HU56=1,IE56&gt;0,Slot8_IsWG=1,CP56=1),MIN(IE56,KK56),0)</f>
        <v>0</v>
      </c>
      <c r="KM56" s="20" t="n">
        <f aca="false">CQ56+KL56</f>
        <v>0</v>
      </c>
      <c r="KN56" s="20" t="n">
        <f aca="false">IF(CP56=1,MAX(0,(Slot8_Cost-KM56*(1+Slot8_Rate)^(Slot8_Age-D56))/KJ56),0)</f>
        <v>0</v>
      </c>
      <c r="KO56" s="20" t="n">
        <f aca="false">IF(CP56=1,MAX(0,(Slot8_Cost-CQ56*(1+Slot8_Rate)^(Slot8_Age-D56))/KJ56),0)</f>
        <v>0</v>
      </c>
      <c r="KP56" s="20" t="n">
        <f aca="false">IF(AND(HU56=1,CP56=1),MIN(KI56,KN56),0)</f>
        <v>0</v>
      </c>
      <c r="KQ56" s="20" t="n">
        <f aca="false">KI56-KP56</f>
        <v>0</v>
      </c>
      <c r="KR56" s="20" t="n">
        <f aca="false">IF(CZ56=1,IF(ABS((1+AS_Wage)/(1+Slot9_Rate)-1)&lt;0.000000000001,(Slot9_Age-D56)*(1+Slot9_Rate)^(Slot9_Age-D56),(1+Slot9_Rate)^(Slot9_Age-D56)*(1-((1+AS_Wage)/(1+Slot9_Rate))^(Slot9_Age-D56))/(1-(1+AS_Wage)/(1+Slot9_Rate))),1)</f>
        <v>1</v>
      </c>
      <c r="KS56" s="20" t="n">
        <f aca="false">IF(AND(HU56=1,IE56&gt;0,Slot9_IsWG=1,CZ56=1),MAX(0,(Slot9_Cost-DA56*(1+Slot9_Rate)^(Slot9_Age-D56))/KR56),0)</f>
        <v>0</v>
      </c>
      <c r="KT56" s="20" t="n">
        <f aca="false">IF(AND(HU56=1,IE56&gt;0,Slot9_IsWG=1,CZ56=1),MIN(IE56,KS56),0)</f>
        <v>0</v>
      </c>
      <c r="KU56" s="20" t="n">
        <f aca="false">DA56+KT56</f>
        <v>0</v>
      </c>
      <c r="KV56" s="20" t="n">
        <f aca="false">IF(CZ56=1,MAX(0,(Slot9_Cost-KU56*(1+Slot9_Rate)^(Slot9_Age-D56))/KR56),0)</f>
        <v>0</v>
      </c>
      <c r="KW56" s="20" t="n">
        <f aca="false">IF(CZ56=1,MAX(0,(Slot9_Cost-DA56*(1+Slot9_Rate)^(Slot9_Age-D56))/KR56),0)</f>
        <v>0</v>
      </c>
      <c r="KX56" s="20" t="n">
        <f aca="false">IF(AND(HU56=1,CZ56=1),MIN(KQ56,KV56),0)</f>
        <v>0</v>
      </c>
      <c r="KY56" s="20" t="n">
        <f aca="false">KQ56-KX56</f>
        <v>0</v>
      </c>
      <c r="KZ56" s="20" t="n">
        <f aca="false">IF(DJ56=1,IF(ABS((1+AS_Wage)/(1+Slot10_Rate)-1)&lt;0.000000000001,(Slot10_Age-D56)*(1+Slot10_Rate)^(Slot10_Age-D56),(1+Slot10_Rate)^(Slot10_Age-D56)*(1-((1+AS_Wage)/(1+Slot10_Rate))^(Slot10_Age-D56))/(1-(1+AS_Wage)/(1+Slot10_Rate))),1)</f>
        <v>1</v>
      </c>
      <c r="LA56" s="20" t="n">
        <f aca="false">IF(AND(HU56=1,IE56&gt;0,Slot10_IsWG=1,DJ56=1),MAX(0,(Slot10_Cost-DK56*(1+Slot10_Rate)^(Slot10_Age-D56))/KZ56),0)</f>
        <v>0</v>
      </c>
      <c r="LB56" s="20" t="n">
        <f aca="false">IF(AND(HU56=1,IE56&gt;0,Slot10_IsWG=1,DJ56=1),MIN(IE56,LA56),0)</f>
        <v>0</v>
      </c>
      <c r="LC56" s="20" t="n">
        <f aca="false">DK56+LB56</f>
        <v>0</v>
      </c>
      <c r="LD56" s="20" t="n">
        <f aca="false">IF(DJ56=1,MAX(0,(Slot10_Cost-LC56*(1+Slot10_Rate)^(Slot10_Age-D56))/KZ56),0)</f>
        <v>0</v>
      </c>
      <c r="LE56" s="20" t="n">
        <f aca="false">IF(DJ56=1,MAX(0,(Slot10_Cost-DK56*(1+Slot10_Rate)^(Slot10_Age-D56))/KZ56),0)</f>
        <v>0</v>
      </c>
      <c r="LF56" s="20" t="n">
        <f aca="false">IF(AND(HU56=1,DJ56=1),MIN(KY56,LD56),0)</f>
        <v>0</v>
      </c>
      <c r="LG56" s="20" t="n">
        <f aca="false">KY56-LF56</f>
        <v>0</v>
      </c>
      <c r="LH56" s="20" t="n">
        <f aca="false">IF(DT56=1,IF(ABS((1+AS_Wage)/(1+Slot11_Rate)-1)&lt;0.000000000001,(Slot11_Age-D56)*(1+Slot11_Rate)^(Slot11_Age-D56),(1+Slot11_Rate)^(Slot11_Age-D56)*(1-((1+AS_Wage)/(1+Slot11_Rate))^(Slot11_Age-D56))/(1-(1+AS_Wage)/(1+Slot11_Rate))),1)</f>
        <v>1</v>
      </c>
      <c r="LI56" s="20" t="n">
        <f aca="false">IF(AND(HU56=1,IE56&gt;0,Slot11_IsWG=1,DT56=1),MAX(0,(Slot11_Cost-DU56*(1+Slot11_Rate)^(Slot11_Age-D56))/LH56),0)</f>
        <v>0</v>
      </c>
      <c r="LJ56" s="20" t="n">
        <f aca="false">IF(AND(HU56=1,IE56&gt;0,Slot11_IsWG=1,DT56=1),MIN(IE56,LI56),0)</f>
        <v>0</v>
      </c>
      <c r="LK56" s="20" t="n">
        <f aca="false">DU56+LJ56</f>
        <v>0</v>
      </c>
      <c r="LL56" s="20" t="n">
        <f aca="false">IF(DT56=1,MAX(0,(Slot11_Cost-LK56*(1+Slot11_Rate)^(Slot11_Age-D56))/LH56),0)</f>
        <v>0</v>
      </c>
      <c r="LM56" s="20" t="n">
        <f aca="false">IF(DT56=1,MAX(0,(Slot11_Cost-DU56*(1+Slot11_Rate)^(Slot11_Age-D56))/LH56),0)</f>
        <v>0</v>
      </c>
      <c r="LN56" s="20" t="n">
        <f aca="false">IF(AND(HU56=1,DT56=1),MIN(LG56,LL56),0)</f>
        <v>0</v>
      </c>
      <c r="LO56" s="20" t="n">
        <f aca="false">LG56-LN56</f>
        <v>0</v>
      </c>
      <c r="LP56" s="20" t="n">
        <f aca="false">IF(ED56=1,IF(ABS((1+AS_Wage)/(1+Slot12_Rate)-1)&lt;0.000000000001,(Slot12_Age-D56)*(1+Slot12_Rate)^(Slot12_Age-D56),(1+Slot12_Rate)^(Slot12_Age-D56)*(1-((1+AS_Wage)/(1+Slot12_Rate))^(Slot12_Age-D56))/(1-(1+AS_Wage)/(1+Slot12_Rate))),1)</f>
        <v>1</v>
      </c>
      <c r="LQ56" s="20" t="n">
        <f aca="false">IF(AND(HU56=1,IE56&gt;0,Slot12_IsWG=1,ED56=1),MAX(0,(Slot12_Cost-EE56*(1+Slot12_Rate)^(Slot12_Age-D56))/LP56),0)</f>
        <v>0</v>
      </c>
      <c r="LR56" s="20" t="n">
        <f aca="false">IF(AND(HU56=1,IE56&gt;0,Slot12_IsWG=1,ED56=1),MIN(IE56,LQ56),0)</f>
        <v>0</v>
      </c>
      <c r="LS56" s="20" t="n">
        <f aca="false">EE56+LR56</f>
        <v>0</v>
      </c>
      <c r="LT56" s="20" t="n">
        <f aca="false">IF(ED56=1,MAX(0,(Slot12_Cost-LS56*(1+Slot12_Rate)^(Slot12_Age-D56))/LP56),0)</f>
        <v>0</v>
      </c>
      <c r="LU56" s="20" t="n">
        <f aca="false">IF(ED56=1,MAX(0,(Slot12_Cost-EE56*(1+Slot12_Rate)^(Slot12_Age-D56))/LP56),0)</f>
        <v>0</v>
      </c>
      <c r="LV56" s="20" t="n">
        <f aca="false">IF(AND(HU56=1,ED56=1),MIN(LO56,LT56),0)</f>
        <v>0</v>
      </c>
      <c r="LW56" s="20" t="n">
        <f aca="false">LO56-LV56</f>
        <v>0</v>
      </c>
      <c r="LX56" s="20" t="n">
        <f aca="false">IF(EN56=1,IF(ABS((1+AS_Wage)/(1+Slot13_Rate)-1)&lt;0.000000000001,(Slot13_Age-D56)*(1+Slot13_Rate)^(Slot13_Age-D56),(1+Slot13_Rate)^(Slot13_Age-D56)*(1-((1+AS_Wage)/(1+Slot13_Rate))^(Slot13_Age-D56))/(1-(1+AS_Wage)/(1+Slot13_Rate))),1)</f>
        <v>1</v>
      </c>
      <c r="LY56" s="20" t="n">
        <f aca="false">IF(AND(HU56=1,IE56&gt;0,Slot13_IsWG=1,EN56=1),MAX(0,(Slot13_Cost-EO56*(1+Slot13_Rate)^(Slot13_Age-D56))/LX56),0)</f>
        <v>0</v>
      </c>
      <c r="LZ56" s="20" t="n">
        <f aca="false">IF(AND(HU56=1,IE56&gt;0,Slot13_IsWG=1,EN56=1),MIN(IE56,LY56),0)</f>
        <v>0</v>
      </c>
      <c r="MA56" s="20" t="n">
        <f aca="false">EO56+LZ56</f>
        <v>0</v>
      </c>
      <c r="MB56" s="20" t="n">
        <f aca="false">IF(EN56=1,MAX(0,(Slot13_Cost-MA56*(1+Slot13_Rate)^(Slot13_Age-D56))/LX56),0)</f>
        <v>0</v>
      </c>
      <c r="MC56" s="20" t="n">
        <f aca="false">IF(EN56=1,MAX(0,(Slot13_Cost-EO56*(1+Slot13_Rate)^(Slot13_Age-D56))/LX56),0)</f>
        <v>0</v>
      </c>
      <c r="MD56" s="20" t="n">
        <f aca="false">IF(AND(HU56=1,EN56=1),MIN(LW56,MB56),0)</f>
        <v>0</v>
      </c>
      <c r="ME56" s="20" t="n">
        <f aca="false">LW56-MD56</f>
        <v>0</v>
      </c>
      <c r="MF56" s="20" t="n">
        <f aca="false">IF(EX56=1,IF(ABS((1+AS_Wage)/(1+Slot14_Rate)-1)&lt;0.000000000001,(Slot14_Age-D56)*(1+Slot14_Rate)^(Slot14_Age-D56),(1+Slot14_Rate)^(Slot14_Age-D56)*(1-((1+AS_Wage)/(1+Slot14_Rate))^(Slot14_Age-D56))/(1-(1+AS_Wage)/(1+Slot14_Rate))),1)</f>
        <v>1</v>
      </c>
      <c r="MG56" s="20" t="n">
        <f aca="false">IF(AND(HU56=1,IE56&gt;0,Slot14_IsWG=1,EX56=1),MAX(0,(Slot14_Cost-EY56*(1+Slot14_Rate)^(Slot14_Age-D56))/MF56),0)</f>
        <v>0</v>
      </c>
      <c r="MH56" s="20" t="n">
        <f aca="false">IF(AND(HU56=1,IE56&gt;0,Slot14_IsWG=1,EX56=1),MIN(IE56,MG56),0)</f>
        <v>0</v>
      </c>
      <c r="MI56" s="20" t="n">
        <f aca="false">EY56+MH56</f>
        <v>0</v>
      </c>
      <c r="MJ56" s="20" t="n">
        <f aca="false">IF(EX56=1,MAX(0,(Slot14_Cost-MI56*(1+Slot14_Rate)^(Slot14_Age-D56))/MF56),0)</f>
        <v>0</v>
      </c>
      <c r="MK56" s="20" t="n">
        <f aca="false">IF(EX56=1,MAX(0,(Slot14_Cost-EY56*(1+Slot14_Rate)^(Slot14_Age-D56))/MF56),0)</f>
        <v>0</v>
      </c>
      <c r="ML56" s="20" t="n">
        <f aca="false">IF(AND(HU56=1,EX56=1),MIN(ME56,MJ56),0)</f>
        <v>0</v>
      </c>
      <c r="MM56" s="20" t="n">
        <f aca="false">ME56-ML56</f>
        <v>0</v>
      </c>
      <c r="MN56" s="20" t="n">
        <f aca="false">IF(FH56=1,IF(ABS((1+AS_Wage)/(1+Slot15_Rate)-1)&lt;0.000000000001,(Slot15_Age-D56)*(1+Slot15_Rate)^(Slot15_Age-D56),(1+Slot15_Rate)^(Slot15_Age-D56)*(1-((1+AS_Wage)/(1+Slot15_Rate))^(Slot15_Age-D56))/(1-(1+AS_Wage)/(1+Slot15_Rate))),1)</f>
        <v>1</v>
      </c>
      <c r="MO56" s="20" t="n">
        <f aca="false">IF(AND(HU56=1,IE56&gt;0,Slot15_IsWG=1,FH56=1),MAX(0,(Slot15_Cost-FI56*(1+Slot15_Rate)^(Slot15_Age-D56))/MN56),0)</f>
        <v>0</v>
      </c>
      <c r="MP56" s="20" t="n">
        <f aca="false">IF(AND(HU56=1,IE56&gt;0,Slot15_IsWG=1,FH56=1),MIN(IE56,MO56),0)</f>
        <v>0</v>
      </c>
      <c r="MQ56" s="20" t="n">
        <f aca="false">FI56+MP56</f>
        <v>0</v>
      </c>
      <c r="MR56" s="20" t="n">
        <f aca="false">IF(FH56=1,MAX(0,(Slot15_Cost-MQ56*(1+Slot15_Rate)^(Slot15_Age-D56))/MN56),0)</f>
        <v>0</v>
      </c>
      <c r="MS56" s="20" t="n">
        <f aca="false">IF(FH56=1,MAX(0,(Slot15_Cost-FI56*(1+Slot15_Rate)^(Slot15_Age-D56))/MN56),0)</f>
        <v>0</v>
      </c>
      <c r="MT56" s="20" t="n">
        <f aca="false">IF(AND(HU56=1,FH56=1),MIN(MM56,MR56),0)</f>
        <v>0</v>
      </c>
      <c r="MU56" s="20" t="n">
        <f aca="false">MM56-MT56</f>
        <v>0</v>
      </c>
      <c r="MV56" s="20" t="n">
        <f aca="false">IF(FR56=1,IF(ABS((1+AS_Wage)/(1+Slot16_Rate)-1)&lt;0.000000000001,(Slot16_Age-D56)*(1+Slot16_Rate)^(Slot16_Age-D56),(1+Slot16_Rate)^(Slot16_Age-D56)*(1-((1+AS_Wage)/(1+Slot16_Rate))^(Slot16_Age-D56))/(1-(1+AS_Wage)/(1+Slot16_Rate))),1)</f>
        <v>1</v>
      </c>
      <c r="MW56" s="20" t="n">
        <f aca="false">IF(AND(HU56=1,IE56&gt;0,Slot16_IsWG=1,FR56=1),MAX(0,(Slot16_Cost-FS56*(1+Slot16_Rate)^(Slot16_Age-D56))/MV56),0)</f>
        <v>0</v>
      </c>
      <c r="MX56" s="20" t="n">
        <f aca="false">IF(AND(HU56=1,IE56&gt;0,Slot16_IsWG=1,FR56=1),MIN(IE56,MW56),0)</f>
        <v>0</v>
      </c>
      <c r="MY56" s="20" t="n">
        <f aca="false">FS56+MX56</f>
        <v>0</v>
      </c>
      <c r="MZ56" s="20" t="n">
        <f aca="false">IF(FR56=1,MAX(0,(Slot16_Cost-MY56*(1+Slot16_Rate)^(Slot16_Age-D56))/MV56),0)</f>
        <v>0</v>
      </c>
      <c r="NA56" s="20" t="n">
        <f aca="false">IF(FR56=1,MAX(0,(Slot16_Cost-FS56*(1+Slot16_Rate)^(Slot16_Age-D56))/MV56),0)</f>
        <v>0</v>
      </c>
      <c r="NB56" s="20" t="n">
        <f aca="false">IF(AND(HU56=1,FR56=1),MIN(MU56,MZ56),0)</f>
        <v>0</v>
      </c>
      <c r="NC56" s="20" t="n">
        <f aca="false">MU56-NB56</f>
        <v>0</v>
      </c>
      <c r="ND56" s="20" t="n">
        <f aca="false">IF(GB56=1,IF(ABS((1+AS_Wage)/(1+Slot17_Rate)-1)&lt;0.000000000001,(Slot17_Age-D56)*(1+Slot17_Rate)^(Slot17_Age-D56),(1+Slot17_Rate)^(Slot17_Age-D56)*(1-((1+AS_Wage)/(1+Slot17_Rate))^(Slot17_Age-D56))/(1-(1+AS_Wage)/(1+Slot17_Rate))),1)</f>
        <v>1</v>
      </c>
      <c r="NE56" s="20" t="n">
        <f aca="false">IF(AND(HU56=1,IE56&gt;0,Slot17_IsWG=1,GB56=1),MAX(0,(Slot17_Cost-GC56*(1+Slot17_Rate)^(Slot17_Age-D56))/ND56),0)</f>
        <v>0</v>
      </c>
      <c r="NF56" s="20" t="n">
        <f aca="false">IF(AND(HU56=1,IE56&gt;0,Slot17_IsWG=1,GB56=1),MIN(IE56,NE56),0)</f>
        <v>0</v>
      </c>
      <c r="NG56" s="20" t="n">
        <f aca="false">GC56+NF56</f>
        <v>0</v>
      </c>
      <c r="NH56" s="20" t="n">
        <f aca="false">IF(GB56=1,MAX(0,(Slot17_Cost-NG56*(1+Slot17_Rate)^(Slot17_Age-D56))/ND56),0)</f>
        <v>0</v>
      </c>
      <c r="NI56" s="20" t="n">
        <f aca="false">IF(GB56=1,MAX(0,(Slot17_Cost-GC56*(1+Slot17_Rate)^(Slot17_Age-D56))/ND56),0)</f>
        <v>0</v>
      </c>
      <c r="NJ56" s="20" t="n">
        <f aca="false">IF(AND(HU56=1,GB56=1),MIN(NC56,NH56),0)</f>
        <v>0</v>
      </c>
      <c r="NK56" s="20" t="n">
        <f aca="false">NC56-NJ56</f>
        <v>0</v>
      </c>
      <c r="NL56" s="20" t="n">
        <f aca="false">IF(GL56=1,IF(ABS((1+AS_Wage)/(1+Slot18_Rate)-1)&lt;0.000000000001,(Slot18_Age-D56)*(1+Slot18_Rate)^(Slot18_Age-D56),(1+Slot18_Rate)^(Slot18_Age-D56)*(1-((1+AS_Wage)/(1+Slot18_Rate))^(Slot18_Age-D56))/(1-(1+AS_Wage)/(1+Slot18_Rate))),1)</f>
        <v>1</v>
      </c>
      <c r="NM56" s="20" t="n">
        <f aca="false">IF(AND(HU56=1,IE56&gt;0,Slot18_IsWG=1,GL56=1),MAX(0,(Slot18_Cost-GM56*(1+Slot18_Rate)^(Slot18_Age-D56))/NL56),0)</f>
        <v>0</v>
      </c>
      <c r="NN56" s="20" t="n">
        <f aca="false">IF(AND(HU56=1,IE56&gt;0,Slot18_IsWG=1,GL56=1),MIN(IE56,NM56),0)</f>
        <v>0</v>
      </c>
      <c r="NO56" s="20" t="n">
        <f aca="false">GM56+NN56</f>
        <v>0</v>
      </c>
      <c r="NP56" s="20" t="n">
        <f aca="false">IF(GL56=1,MAX(0,(Slot18_Cost-NO56*(1+Slot18_Rate)^(Slot18_Age-D56))/NL56),0)</f>
        <v>0</v>
      </c>
      <c r="NQ56" s="20" t="n">
        <f aca="false">IF(GL56=1,MAX(0,(Slot18_Cost-GM56*(1+Slot18_Rate)^(Slot18_Age-D56))/NL56),0)</f>
        <v>0</v>
      </c>
      <c r="NR56" s="20" t="n">
        <f aca="false">IF(AND(HU56=1,GL56=1),MIN(NK56,NP56),0)</f>
        <v>0</v>
      </c>
      <c r="NS56" s="20" t="n">
        <f aca="false">NK56-NR56</f>
        <v>0</v>
      </c>
      <c r="NT56" s="20" t="n">
        <f aca="false">IF(GV56=1,IF(ABS((1+AS_Wage)/(1+Slot19_Rate)-1)&lt;0.000000000001,(Slot19_Age-D56)*(1+Slot19_Rate)^(Slot19_Age-D56),(1+Slot19_Rate)^(Slot19_Age-D56)*(1-((1+AS_Wage)/(1+Slot19_Rate))^(Slot19_Age-D56))/(1-(1+AS_Wage)/(1+Slot19_Rate))),1)</f>
        <v>1</v>
      </c>
      <c r="NU56" s="20" t="n">
        <f aca="false">IF(AND(HU56=1,IE56&gt;0,Slot19_IsWG=1,GV56=1),MAX(0,(Slot19_Cost-GW56*(1+Slot19_Rate)^(Slot19_Age-D56))/NT56),0)</f>
        <v>0</v>
      </c>
      <c r="NV56" s="20" t="n">
        <f aca="false">IF(AND(HU56=1,IE56&gt;0,Slot19_IsWG=1,GV56=1),MIN(IE56,NU56),0)</f>
        <v>0</v>
      </c>
      <c r="NW56" s="20" t="n">
        <f aca="false">GW56+NV56</f>
        <v>0</v>
      </c>
      <c r="NX56" s="20" t="n">
        <f aca="false">IF(GV56=1,MAX(0,(Slot19_Cost-NW56*(1+Slot19_Rate)^(Slot19_Age-D56))/NT56),0)</f>
        <v>0</v>
      </c>
      <c r="NY56" s="20" t="n">
        <f aca="false">IF(GV56=1,MAX(0,(Slot19_Cost-GW56*(1+Slot19_Rate)^(Slot19_Age-D56))/NT56),0)</f>
        <v>0</v>
      </c>
      <c r="NZ56" s="20" t="n">
        <f aca="false">IF(AND(HU56=1,GV56=1),MIN(NS56,NX56),0)</f>
        <v>0</v>
      </c>
      <c r="OA56" s="20" t="n">
        <f aca="false">NS56-NZ56</f>
        <v>0</v>
      </c>
      <c r="OB56" s="20" t="n">
        <f aca="false">IF(HF56=1,IF(ABS((1+AS_Wage)/(1+Slot20_Rate)-1)&lt;0.000000000001,(Slot20_Age-D56)*(1+Slot20_Rate)^(Slot20_Age-D56),(1+Slot20_Rate)^(Slot20_Age-D56)*(1-((1+AS_Wage)/(1+Slot20_Rate))^(Slot20_Age-D56))/(1-(1+AS_Wage)/(1+Slot20_Rate))),1)</f>
        <v>1</v>
      </c>
      <c r="OC56" s="20" t="n">
        <f aca="false">IF(AND(HU56=1,IE56&gt;0,Slot20_IsWG=1,HF56=1),MAX(0,(Slot20_Cost-HG56*(1+Slot20_Rate)^(Slot20_Age-D56))/OB56),0)</f>
        <v>0</v>
      </c>
      <c r="OD56" s="20" t="n">
        <f aca="false">IF(AND(HU56=1,IE56&gt;0,Slot20_IsWG=1,HF56=1),MIN(IE56,OC56),0)</f>
        <v>0</v>
      </c>
      <c r="OE56" s="20" t="n">
        <f aca="false">HG56+OD56</f>
        <v>0</v>
      </c>
      <c r="OF56" s="20" t="n">
        <f aca="false">IF(HF56=1,MAX(0,(Slot20_Cost-OE56*(1+Slot20_Rate)^(Slot20_Age-D56))/OB56),0)</f>
        <v>0</v>
      </c>
      <c r="OG56" s="20" t="n">
        <f aca="false">IF(HF56=1,MAX(0,(Slot20_Cost-HG56*(1+Slot20_Rate)^(Slot20_Age-D56))/OB56),0)</f>
        <v>0</v>
      </c>
      <c r="OH56" s="20" t="n">
        <f aca="false">IF(AND(HU56=1,HF56=1),MIN(OA56,OF56),0)</f>
        <v>0</v>
      </c>
      <c r="OI56" s="20" t="n">
        <f aca="false">OA56-OH56</f>
        <v>0</v>
      </c>
      <c r="OJ56" s="20" t="n">
        <f aca="false">IE56-(IH56+IP56+IX56+JF56+JN56+JV56+KD56+KL56+KT56+LB56+LJ56+LR56+LZ56+MH56+MP56+MX56+NF56+NN56+NV56+OD56)</f>
        <v>0</v>
      </c>
      <c r="OK56" s="20" t="n">
        <f aca="false">IF(HU56=1,HS56-ID56-IE56,0)</f>
        <v>0</v>
      </c>
      <c r="OL56" s="20" t="n">
        <f aca="false">IF(HU56=0,-HS56,0)</f>
        <v>26825.3427035813</v>
      </c>
      <c r="OM56" s="20" t="n">
        <f aca="false">MIN(OL56,HK56)</f>
        <v>0</v>
      </c>
      <c r="ON56" s="20" t="n">
        <f aca="false">OL56-OM56</f>
        <v>26825.3427035813</v>
      </c>
      <c r="OO56" s="20" t="n">
        <f aca="false">MIN(ON56,HL56)</f>
        <v>0</v>
      </c>
      <c r="OP56" s="20" t="n">
        <f aca="false">ON56-OO56</f>
        <v>26825.3427035813</v>
      </c>
      <c r="OQ56" s="20" t="n">
        <f aca="false">IF(AND(HU56=0,HF56=1,OP56&gt;0),MIN(OP56,HG56),0)</f>
        <v>0</v>
      </c>
      <c r="OR56" s="20" t="n">
        <f aca="false">OP56-OQ56</f>
        <v>26825.3427035813</v>
      </c>
      <c r="OS56" s="20" t="n">
        <f aca="false">IF(AND(HU56=0,GV56=1,OR56&gt;0),MIN(OR56,GW56),0)</f>
        <v>0</v>
      </c>
      <c r="OT56" s="20" t="n">
        <f aca="false">OR56-OS56</f>
        <v>26825.3427035813</v>
      </c>
      <c r="OU56" s="20" t="n">
        <f aca="false">IF(AND(HU56=0,GL56=1,OT56&gt;0),MIN(OT56,GM56),0)</f>
        <v>0</v>
      </c>
      <c r="OV56" s="20" t="n">
        <f aca="false">OT56-OU56</f>
        <v>26825.3427035813</v>
      </c>
      <c r="OW56" s="20" t="n">
        <f aca="false">IF(AND(HU56=0,GB56=1,OV56&gt;0),MIN(OV56,GC56),0)</f>
        <v>0</v>
      </c>
      <c r="OX56" s="20" t="n">
        <f aca="false">OV56-OW56</f>
        <v>26825.3427035813</v>
      </c>
      <c r="OY56" s="20" t="n">
        <f aca="false">IF(AND(HU56=0,FR56=1,OX56&gt;0),MIN(OX56,FS56),0)</f>
        <v>0</v>
      </c>
      <c r="OZ56" s="20" t="n">
        <f aca="false">OX56-OY56</f>
        <v>26825.3427035813</v>
      </c>
      <c r="PA56" s="20" t="n">
        <f aca="false">IF(AND(HU56=0,FH56=1,OZ56&gt;0),MIN(OZ56,FI56),0)</f>
        <v>0</v>
      </c>
      <c r="PB56" s="20" t="n">
        <f aca="false">OZ56-PA56</f>
        <v>26825.3427035813</v>
      </c>
      <c r="PC56" s="20" t="n">
        <f aca="false">IF(AND(HU56=0,EX56=1,PB56&gt;0),MIN(PB56,EY56),0)</f>
        <v>0</v>
      </c>
      <c r="PD56" s="20" t="n">
        <f aca="false">PB56-PC56</f>
        <v>26825.3427035813</v>
      </c>
      <c r="PE56" s="20" t="n">
        <f aca="false">IF(AND(HU56=0,EN56=1,PD56&gt;0),MIN(PD56,EO56),0)</f>
        <v>0</v>
      </c>
      <c r="PF56" s="20" t="n">
        <f aca="false">PD56-PE56</f>
        <v>26825.3427035813</v>
      </c>
      <c r="PG56" s="20" t="n">
        <f aca="false">IF(AND(HU56=0,ED56=1,PF56&gt;0),MIN(PF56,EE56),0)</f>
        <v>0</v>
      </c>
      <c r="PH56" s="20" t="n">
        <f aca="false">PF56-PG56</f>
        <v>26825.3427035813</v>
      </c>
      <c r="PI56" s="20" t="n">
        <f aca="false">IF(AND(HU56=0,DT56=1,PH56&gt;0),MIN(PH56,DU56),0)</f>
        <v>0</v>
      </c>
      <c r="PJ56" s="20" t="n">
        <f aca="false">PH56-PI56</f>
        <v>26825.3427035813</v>
      </c>
      <c r="PK56" s="20" t="n">
        <f aca="false">IF(AND(HU56=0,DJ56=1,PJ56&gt;0),MIN(PJ56,DK56),0)</f>
        <v>0</v>
      </c>
      <c r="PL56" s="20" t="n">
        <f aca="false">PJ56-PK56</f>
        <v>26825.3427035813</v>
      </c>
      <c r="PM56" s="20" t="n">
        <f aca="false">IF(AND(HU56=0,CZ56=1,PL56&gt;0),MIN(PL56,DA56),0)</f>
        <v>0</v>
      </c>
      <c r="PN56" s="20" t="n">
        <f aca="false">PL56-PM56</f>
        <v>26825.3427035813</v>
      </c>
      <c r="PO56" s="20" t="n">
        <f aca="false">IF(AND(HU56=0,CP56=1,PN56&gt;0),MIN(PN56,CQ56),0)</f>
        <v>0</v>
      </c>
      <c r="PP56" s="20" t="n">
        <f aca="false">PN56-PO56</f>
        <v>26825.3427035813</v>
      </c>
      <c r="PQ56" s="20" t="n">
        <f aca="false">IF(AND(HU56=0,CF56=1,PP56&gt;0),MIN(PP56,CG56),0)</f>
        <v>0</v>
      </c>
      <c r="PR56" s="20" t="n">
        <f aca="false">PP56-PQ56</f>
        <v>26825.3427035813</v>
      </c>
      <c r="PS56" s="20" t="n">
        <f aca="false">IF(AND(HU56=0,BV56=1,PR56&gt;0),MIN(PR56,BW56),0)</f>
        <v>0</v>
      </c>
      <c r="PT56" s="20" t="n">
        <f aca="false">PR56-PS56</f>
        <v>26825.3427035813</v>
      </c>
      <c r="PU56" s="20" t="n">
        <f aca="false">IF(AND(HU56=0,BL56=1,PT56&gt;0),MIN(PT56,BM56),0)</f>
        <v>0</v>
      </c>
      <c r="PV56" s="20" t="n">
        <f aca="false">PT56-PU56</f>
        <v>26825.3427035813</v>
      </c>
      <c r="PW56" s="20" t="n">
        <f aca="false">IF(AND(HU56=0,BB56=1,PV56&gt;0),MIN(PV56,BC56),0)</f>
        <v>0</v>
      </c>
      <c r="PX56" s="20" t="n">
        <f aca="false">PV56-PW56</f>
        <v>26825.3427035813</v>
      </c>
      <c r="PY56" s="20" t="n">
        <f aca="false">IF(AND(HU56=0,AR56=1,PX56&gt;0),MIN(PX56,AS56),0)</f>
        <v>0</v>
      </c>
      <c r="PZ56" s="20" t="n">
        <f aca="false">PX56-PY56</f>
        <v>26825.3427035813</v>
      </c>
      <c r="QA56" s="20" t="n">
        <f aca="false">IF(AND(HU56=0,AH56=1,PZ56&gt;0),MIN(PZ56,AI56),0)</f>
        <v>0</v>
      </c>
      <c r="QB56" s="20" t="n">
        <f aca="false">PZ56-QA56</f>
        <v>26825.3427035813</v>
      </c>
      <c r="QC56" s="20" t="n">
        <f aca="false">IF(AND(HU56=0,W56=1,QB56&gt;0),MIN(QB56,X56),0)</f>
        <v>0</v>
      </c>
      <c r="QD56" s="20" t="n">
        <f aca="false">QB56-QC56</f>
        <v>26825.3427035813</v>
      </c>
      <c r="QE56" s="20" t="n">
        <f aca="false">IF(HU56=0,QD56,0)</f>
        <v>26825.3427035813</v>
      </c>
      <c r="QF56" s="20" t="n">
        <f aca="false">OM56+OO56+QC56+QA56+PY56+PW56+PU56+PS56+PQ56+PO56+PM56+PK56+PI56+PG56+PE56+PC56+PA56+OY56+OW56+OU56+OS56+OQ56</f>
        <v>0</v>
      </c>
      <c r="QG56" s="20" t="n">
        <f aca="false">IF(HU56=1,HK56+OJ56+OI56+IF(G56=1,0,OK56),HK56-OM56)</f>
        <v>0</v>
      </c>
      <c r="QH56" s="20" t="n">
        <f aca="false">HL56-OO56</f>
        <v>0</v>
      </c>
      <c r="QI56" s="20" t="n">
        <f aca="false">IF(HU56=1,IF(G56=1,ID56+IE56,HS56),0)</f>
        <v>0</v>
      </c>
      <c r="QJ56" s="20" t="n">
        <f aca="false">IF(HU56=1,IF(G56=1,HS56-ID56-IE56,0),0)</f>
        <v>0</v>
      </c>
      <c r="QK56" s="57" t="n">
        <f aca="false">'Plan holdings'!BM56</f>
        <v>0</v>
      </c>
      <c r="QL56" s="20" t="n">
        <f aca="false">QH56*(1+AS_Cash)</f>
        <v>0</v>
      </c>
      <c r="QM56" s="20" t="n">
        <f aca="false">IF(W56=1,IF(HU56=1,II56+IL56,X56-QC56)*(1+Slot1_Rate),0)</f>
        <v>0</v>
      </c>
      <c r="QN56" s="20" t="n">
        <f aca="false">IF(AND(HU56=1,W56=1),(IH56+IL56)/F56,0)</f>
        <v>0</v>
      </c>
      <c r="QO56" s="20" t="n">
        <f aca="false">IF(B56=0,IH56+IL56,0)</f>
        <v>0</v>
      </c>
      <c r="QP56" s="20" t="n">
        <f aca="false">IF(B56=0,IF(HU56=1,IJ56,IK56),0)</f>
        <v>0</v>
      </c>
      <c r="QQ56" s="20" t="n">
        <f aca="false">IF(AH56=1,IF(HU56=1,IQ56+IT56,AI56-QA56)*(1+Slot2_Rate),0)</f>
        <v>0</v>
      </c>
      <c r="QR56" s="20" t="n">
        <f aca="false">IF(AND(HU56=1,AH56=1),(IP56+IT56)/F56,0)</f>
        <v>0</v>
      </c>
      <c r="QS56" s="20" t="n">
        <f aca="false">IF(B56=0,IP56+IT56,0)</f>
        <v>0</v>
      </c>
      <c r="QT56" s="20" t="n">
        <f aca="false">IF(B56=0,IF(HU56=1,IR56,IS56),0)</f>
        <v>0</v>
      </c>
      <c r="QU56" s="20" t="n">
        <f aca="false">IF(AR56=1,IF(HU56=1,IY56+JB56,AS56-PY56)*(1+Slot3_Rate),0)</f>
        <v>0</v>
      </c>
      <c r="QV56" s="20" t="n">
        <f aca="false">IF(AND(HU56=1,AR56=1),(IX56+JB56)/F56,0)</f>
        <v>0</v>
      </c>
      <c r="QW56" s="20" t="n">
        <f aca="false">IF(B56=0,IX56+JB56,0)</f>
        <v>0</v>
      </c>
      <c r="QX56" s="20" t="n">
        <f aca="false">IF(B56=0,IF(HU56=1,IZ56,JA56),0)</f>
        <v>0</v>
      </c>
      <c r="QY56" s="20" t="n">
        <f aca="false">IF(BB56=1,IF(HU56=1,JG56+JJ56,BC56-PW56)*(1+Slot4_Rate),0)</f>
        <v>0</v>
      </c>
      <c r="QZ56" s="20" t="n">
        <f aca="false">IF(AND(HU56=1,BB56=1),(JF56+JJ56)/F56,0)</f>
        <v>0</v>
      </c>
      <c r="RA56" s="20" t="n">
        <f aca="false">IF(B56=0,JF56+JJ56,0)</f>
        <v>0</v>
      </c>
      <c r="RB56" s="20" t="n">
        <f aca="false">IF(B56=0,IF(HU56=1,JH56,JI56),0)</f>
        <v>0</v>
      </c>
      <c r="RC56" s="20" t="n">
        <f aca="false">IF(BL56=1,IF(HU56=1,JO56+JR56,BM56-PU56)*(1+Slot5_Rate),0)</f>
        <v>0</v>
      </c>
      <c r="RD56" s="20" t="n">
        <f aca="false">IF(AND(HU56=1,BL56=1),(JN56+JR56)/F56,0)</f>
        <v>0</v>
      </c>
      <c r="RE56" s="20" t="n">
        <f aca="false">IF(B56=0,JN56+JR56,0)</f>
        <v>0</v>
      </c>
      <c r="RF56" s="20" t="n">
        <f aca="false">IF(B56=0,IF(HU56=1,JP56,JQ56),0)</f>
        <v>0</v>
      </c>
      <c r="RG56" s="20" t="n">
        <f aca="false">IF(BV56=1,IF(HU56=1,JW56+JZ56,BW56-PS56)*(1+Slot6_Rate),0)</f>
        <v>0</v>
      </c>
      <c r="RH56" s="20" t="n">
        <f aca="false">IF(AND(HU56=1,BV56=1),(JV56+JZ56)/F56,0)</f>
        <v>0</v>
      </c>
      <c r="RI56" s="20" t="n">
        <f aca="false">IF(B56=0,JV56+JZ56,0)</f>
        <v>0</v>
      </c>
      <c r="RJ56" s="20" t="n">
        <f aca="false">IF(B56=0,IF(HU56=1,JX56,JY56),0)</f>
        <v>0</v>
      </c>
      <c r="RK56" s="20" t="n">
        <f aca="false">IF(CF56=1,IF(HU56=1,KE56+KH56,CG56-PQ56)*(1+Slot7_Rate),0)</f>
        <v>0</v>
      </c>
      <c r="RL56" s="20" t="n">
        <f aca="false">IF(AND(HU56=1,CF56=1),(KD56+KH56)/F56,0)</f>
        <v>0</v>
      </c>
      <c r="RM56" s="20" t="n">
        <f aca="false">IF(B56=0,KD56+KH56,0)</f>
        <v>0</v>
      </c>
      <c r="RN56" s="20" t="n">
        <f aca="false">IF(B56=0,IF(HU56=1,KF56,KG56),0)</f>
        <v>0</v>
      </c>
      <c r="RO56" s="20" t="n">
        <f aca="false">IF(CP56=1,IF(HU56=1,KM56+KP56,CQ56-PO56)*(1+Slot8_Rate),0)</f>
        <v>0</v>
      </c>
      <c r="RP56" s="20" t="n">
        <f aca="false">IF(AND(HU56=1,CP56=1),(KL56+KP56)/F56,0)</f>
        <v>0</v>
      </c>
      <c r="RQ56" s="20" t="n">
        <f aca="false">IF(B56=0,KL56+KP56,0)</f>
        <v>0</v>
      </c>
      <c r="RR56" s="20" t="n">
        <f aca="false">IF(B56=0,IF(HU56=1,KN56,KO56),0)</f>
        <v>0</v>
      </c>
      <c r="RS56" s="20" t="n">
        <f aca="false">IF(CZ56=1,IF(HU56=1,KU56+KX56,DA56-PM56)*(1+Slot9_Rate),0)</f>
        <v>0</v>
      </c>
      <c r="RT56" s="20" t="n">
        <f aca="false">IF(AND(HU56=1,CZ56=1),(KT56+KX56)/F56,0)</f>
        <v>0</v>
      </c>
      <c r="RU56" s="20" t="n">
        <f aca="false">IF(B56=0,KT56+KX56,0)</f>
        <v>0</v>
      </c>
      <c r="RV56" s="20" t="n">
        <f aca="false">IF(B56=0,IF(HU56=1,KV56,KW56),0)</f>
        <v>0</v>
      </c>
      <c r="RW56" s="20" t="n">
        <f aca="false">IF(DJ56=1,IF(HU56=1,LC56+LF56,DK56-PK56)*(1+Slot10_Rate),0)</f>
        <v>0</v>
      </c>
      <c r="RX56" s="20" t="n">
        <f aca="false">IF(AND(HU56=1,DJ56=1),(LB56+LF56)/F56,0)</f>
        <v>0</v>
      </c>
      <c r="RY56" s="20" t="n">
        <f aca="false">IF(B56=0,LB56+LF56,0)</f>
        <v>0</v>
      </c>
      <c r="RZ56" s="20" t="n">
        <f aca="false">IF(B56=0,IF(HU56=1,LD56,LE56),0)</f>
        <v>0</v>
      </c>
      <c r="SA56" s="20" t="n">
        <f aca="false">IF(DT56=1,IF(HU56=1,LK56+LN56,DU56-PI56)*(1+Slot11_Rate),0)</f>
        <v>0</v>
      </c>
      <c r="SB56" s="20" t="n">
        <f aca="false">IF(AND(HU56=1,DT56=1),(LJ56+LN56)/F56,0)</f>
        <v>0</v>
      </c>
      <c r="SC56" s="20" t="n">
        <f aca="false">IF(B56=0,LJ56+LN56,0)</f>
        <v>0</v>
      </c>
      <c r="SD56" s="20" t="n">
        <f aca="false">IF(B56=0,IF(HU56=1,LL56,LM56),0)</f>
        <v>0</v>
      </c>
      <c r="SE56" s="20" t="n">
        <f aca="false">IF(ED56=1,IF(HU56=1,LS56+LV56,EE56-PG56)*(1+Slot12_Rate),0)</f>
        <v>0</v>
      </c>
      <c r="SF56" s="20" t="n">
        <f aca="false">IF(AND(HU56=1,ED56=1),(LR56+LV56)/F56,0)</f>
        <v>0</v>
      </c>
      <c r="SG56" s="20" t="n">
        <f aca="false">IF(B56=0,LR56+LV56,0)</f>
        <v>0</v>
      </c>
      <c r="SH56" s="20" t="n">
        <f aca="false">IF(B56=0,IF(HU56=1,LT56,LU56),0)</f>
        <v>0</v>
      </c>
      <c r="SI56" s="20" t="n">
        <f aca="false">IF(EN56=1,IF(HU56=1,MA56+MD56,EO56-PE56)*(1+Slot13_Rate),0)</f>
        <v>0</v>
      </c>
      <c r="SJ56" s="20" t="n">
        <f aca="false">IF(AND(HU56=1,EN56=1),(LZ56+MD56)/F56,0)</f>
        <v>0</v>
      </c>
      <c r="SK56" s="20" t="n">
        <f aca="false">IF(B56=0,LZ56+MD56,0)</f>
        <v>0</v>
      </c>
      <c r="SL56" s="20" t="n">
        <f aca="false">IF(B56=0,IF(HU56=1,MB56,MC56),0)</f>
        <v>0</v>
      </c>
      <c r="SM56" s="20" t="n">
        <f aca="false">IF(EX56=1,IF(HU56=1,MI56+ML56,EY56-PC56)*(1+Slot14_Rate),0)</f>
        <v>0</v>
      </c>
      <c r="SN56" s="20" t="n">
        <f aca="false">IF(AND(HU56=1,EX56=1),(MH56+ML56)/F56,0)</f>
        <v>0</v>
      </c>
      <c r="SO56" s="20" t="n">
        <f aca="false">IF(B56=0,MH56+ML56,0)</f>
        <v>0</v>
      </c>
      <c r="SP56" s="20" t="n">
        <f aca="false">IF(B56=0,IF(HU56=1,MJ56,MK56),0)</f>
        <v>0</v>
      </c>
      <c r="SQ56" s="20" t="n">
        <f aca="false">IF(FH56=1,IF(HU56=1,MQ56+MT56,FI56-PA56)*(1+Slot15_Rate),0)</f>
        <v>0</v>
      </c>
      <c r="SR56" s="20" t="n">
        <f aca="false">IF(AND(HU56=1,FH56=1),(MP56+MT56)/F56,0)</f>
        <v>0</v>
      </c>
      <c r="SS56" s="20" t="n">
        <f aca="false">IF(B56=0,MP56+MT56,0)</f>
        <v>0</v>
      </c>
      <c r="ST56" s="20" t="n">
        <f aca="false">IF(B56=0,IF(HU56=1,MR56,MS56),0)</f>
        <v>0</v>
      </c>
      <c r="SU56" s="20" t="n">
        <f aca="false">IF(FR56=1,IF(HU56=1,MY56+NB56,FS56-OY56)*(1+Slot16_Rate),0)</f>
        <v>0</v>
      </c>
      <c r="SV56" s="20" t="n">
        <f aca="false">IF(AND(HU56=1,FR56=1),(MX56+NB56)/F56,0)</f>
        <v>0</v>
      </c>
      <c r="SW56" s="20" t="n">
        <f aca="false">IF(B56=0,MX56+NB56,0)</f>
        <v>0</v>
      </c>
      <c r="SX56" s="20" t="n">
        <f aca="false">IF(B56=0,IF(HU56=1,MZ56,NA56),0)</f>
        <v>0</v>
      </c>
      <c r="SY56" s="20" t="n">
        <f aca="false">IF(GB56=1,IF(HU56=1,NG56+NJ56,GC56-OW56)*(1+Slot17_Rate),0)</f>
        <v>0</v>
      </c>
      <c r="SZ56" s="20" t="n">
        <f aca="false">IF(AND(HU56=1,GB56=1),(NF56+NJ56)/F56,0)</f>
        <v>0</v>
      </c>
      <c r="TA56" s="20" t="n">
        <f aca="false">IF(B56=0,NF56+NJ56,0)</f>
        <v>0</v>
      </c>
      <c r="TB56" s="20" t="n">
        <f aca="false">IF(B56=0,IF(HU56=1,NH56,NI56),0)</f>
        <v>0</v>
      </c>
      <c r="TC56" s="20" t="n">
        <f aca="false">IF(GL56=1,IF(HU56=1,NO56+NR56,GM56-OU56)*(1+Slot18_Rate),0)</f>
        <v>0</v>
      </c>
      <c r="TD56" s="20" t="n">
        <f aca="false">IF(AND(HU56=1,GL56=1),(NN56+NR56)/F56,0)</f>
        <v>0</v>
      </c>
      <c r="TE56" s="20" t="n">
        <f aca="false">IF(B56=0,NN56+NR56,0)</f>
        <v>0</v>
      </c>
      <c r="TF56" s="20" t="n">
        <f aca="false">IF(B56=0,IF(HU56=1,NP56,NQ56),0)</f>
        <v>0</v>
      </c>
      <c r="TG56" s="20" t="n">
        <f aca="false">IF(GV56=1,IF(HU56=1,NW56+NZ56,GW56-OS56)*(1+Slot19_Rate),0)</f>
        <v>0</v>
      </c>
      <c r="TH56" s="20" t="n">
        <f aca="false">IF(AND(HU56=1,GV56=1),(NV56+NZ56)/F56,0)</f>
        <v>0</v>
      </c>
      <c r="TI56" s="20" t="n">
        <f aca="false">IF(B56=0,NV56+NZ56,0)</f>
        <v>0</v>
      </c>
      <c r="TJ56" s="20" t="n">
        <f aca="false">IF(B56=0,IF(HU56=1,NX56,NY56),0)</f>
        <v>0</v>
      </c>
      <c r="TK56" s="20" t="n">
        <f aca="false">IF(HF56=1,IF(HU56=1,OE56+OH56,HG56-OQ56)*(1+Slot20_Rate),0)</f>
        <v>0</v>
      </c>
      <c r="TL56" s="20" t="n">
        <f aca="false">IF(AND(HU56=1,HF56=1),(OD56+OH56)/F56,0)</f>
        <v>0</v>
      </c>
      <c r="TM56" s="20" t="n">
        <f aca="false">IF(B56=0,OD56+OH56,0)</f>
        <v>0</v>
      </c>
      <c r="TN56" s="20" t="n">
        <f aca="false">IF(B56=0,IF(HU56=1,OF56,OG56),0)</f>
        <v>0</v>
      </c>
      <c r="TO56" s="20" t="n">
        <f aca="false">QK56+QL56+QM56+QQ56+QU56+QY56+RC56+RG56+RK56+RO56+RS56+RW56+SA56+SE56+SI56+SM56+SQ56+SU56+SY56+TC56+TG56+TK56</f>
        <v>0</v>
      </c>
      <c r="TP56" s="20" t="n">
        <f aca="false">QE56+HP56</f>
        <v>26825.3427035813</v>
      </c>
      <c r="TQ56" s="20" t="n">
        <f aca="false">I56+S56</f>
        <v>123661.964426873</v>
      </c>
      <c r="TR56" s="20" t="n">
        <f aca="false">1-G56</f>
        <v>1</v>
      </c>
      <c r="TS56" s="20" t="n">
        <f aca="false">IF(AND(RG_Exists=1,G56=0,C56=1),I56,0)</f>
        <v>123661.964426873</v>
      </c>
      <c r="TT56" s="20" t="n">
        <f aca="false">IF(AND(RG_Exists=1,G56=0,C56=1),I56-MIN(QE56,I56),0)</f>
        <v>96836.6217232915</v>
      </c>
      <c r="TU56" s="20" t="n">
        <f aca="false">'Plan pay &amp; tax'!AD282</f>
        <v>236214.953542066</v>
      </c>
      <c r="TV56" s="20" t="n">
        <f aca="false">IF(AND(C56=1,QE56&gt;MAX(PR_Short1,TQ56*PR_Short2)),1,0)</f>
        <v>1</v>
      </c>
      <c r="TW56" s="20" t="n">
        <f aca="false">MIN(H56,I56+S56)</f>
        <v>96836.6217232915</v>
      </c>
      <c r="TX56" s="20" t="n">
        <f aca="false">QF56+MAX(0,HQ56-HP56)</f>
        <v>0</v>
      </c>
      <c r="TY56" s="20" t="n">
        <f aca="false">QE56+HP56</f>
        <v>26825.3427035813</v>
      </c>
      <c r="TZ56" s="20" t="n">
        <f aca="false">IF(AND(C56=1,TY56&gt;PR_MinShort),1,0)</f>
        <v>1</v>
      </c>
      <c r="UA56" s="20" t="n">
        <f aca="false">IF(AND(C56=1,TZ56=0,TX56&gt;PR_MinShort),1,0)</f>
        <v>0</v>
      </c>
      <c r="UB56" s="20" t="n">
        <f aca="false">IF(AND(C56=1,QE56&gt;PR_MinShort),1,0)</f>
        <v>1</v>
      </c>
      <c r="UC56" s="20" t="n">
        <f aca="false">IF(AND(C56=1,QF56&gt;1,UJ56=0),1,0)</f>
        <v>0</v>
      </c>
      <c r="UD56" s="20" t="str">
        <f aca="false">IF(C56=0,"",IF(UJ56=1,"Gap to plan for: short "&amp;"€"&amp;TEXT(ROUND(TP56,0),"#,##0"),IF(QF56&gt;1,"Using savings","Comfortable")))</f>
        <v>Gap to plan for: short €26,825</v>
      </c>
      <c r="UE56" s="20" t="n">
        <f aca="false">IF(AND(INT(D56/10)*10=90,B56&gt;0),80,INT(D56/10)*10)</f>
        <v>80</v>
      </c>
      <c r="UF56" s="20" t="n">
        <f aca="false">IF(B56=0,1,IF(UE56&lt;&gt;UE55,UF55+1,UF55))</f>
        <v>6</v>
      </c>
      <c r="UG56" s="20" t="n">
        <f aca="false">IF(AND(C56=1,G56=1,QE56&gt;MAX(PR_Short1,TQ56*PR_Short2)),1,0)</f>
        <v>0</v>
      </c>
      <c r="UH56" s="20" t="n">
        <f aca="false">TR56*TV56</f>
        <v>1</v>
      </c>
      <c r="UI56" s="20" t="n">
        <f aca="false">IF(AND(V56=1,Slot1_PctLow=1),1,0)+IF(AND(AG56=1,Slot2_PctLow=1),1,0)+IF(AND(AQ56=1,Slot3_PctLow=1),1,0)+IF(AND(BA56=1,Slot4_PctLow=1),1,0)+IF(AND(BK56=1,Slot5_PctLow=1),1,0)+IF(AND(BU56=1,Slot6_PctLow=1),1,0)+IF(AND(CE56=1,Slot7_PctLow=1),1,0)+IF(AND(CO56=1,Slot8_PctLow=1),1,0)+IF(AND(CY56=1,Slot9_PctLow=1),1,0)+IF(AND(DI56=1,Slot10_PctLow=1),1,0)+IF(AND(DS56=1,Slot11_PctLow=1),1,0)+IF(AND(EC56=1,Slot12_PctLow=1),1,0)+IF(AND(EM56=1,Slot13_PctLow=1),1,0)+IF(AND(EW56=1,Slot14_PctLow=1),1,0)+IF(AND(FG56=1,Slot15_PctLow=1),1,0)+IF(AND(FQ56=1,Slot16_PctLow=1),1,0)+IF(AND(GA56=1,Slot17_PctLow=1),1,0)+IF(AND(GK56=1,Slot18_PctLow=1),1,0)+IF(AND(GU56=1,Slot19_PctLow=1),1,0)+IF(AND(HE56=1,Slot20_PctLow=1),1,0)</f>
        <v>0</v>
      </c>
      <c r="UJ56" s="20" t="n">
        <f aca="false">IF(C56=1,IF(OR(TV56=1,UI56&gt;0),1,0),0)</f>
        <v>1</v>
      </c>
      <c r="UK56" s="20" t="n">
        <f aca="false">Z56+AK56+AU56+BE56+BO56+BY56+CI56+CS56+DC56+DM56+DW56+EG56+EQ56+FA56+FK56+FU56+GE56+GO56+GY56+HI56+OM56</f>
        <v>0</v>
      </c>
      <c r="UL56" s="20" t="n">
        <f aca="false">V56*IF(Slot1_SpendLike=1,X56-Y56,IF(Slot1_PotFree=1,X56,0))+AG56*IF(Slot2_SpendLike=1,AI56-AJ56,IF(Slot2_PotFree=1,AI56,0))+AQ56*IF(Slot3_SpendLike=1,AS56-AT56,IF(Slot3_PotFree=1,AS56,0))+BA56*IF(Slot4_SpendLike=1,BC56-BD56,IF(Slot4_PotFree=1,BC56,0))+BK56*IF(Slot5_SpendLike=1,BM56-BN56,IF(Slot5_PotFree=1,BM56,0))+BU56*IF(Slot6_SpendLike=1,BW56-BX56,IF(Slot6_PotFree=1,BW56,0))+CE56*IF(Slot7_SpendLike=1,CG56-CH56,IF(Slot7_PotFree=1,CG56,0))+CO56*IF(Slot8_SpendLike=1,CQ56-CR56,IF(Slot8_PotFree=1,CQ56,0))+CY56*IF(Slot9_SpendLike=1,DA56-DB56,IF(Slot9_PotFree=1,DA56,0))+DI56*IF(Slot10_SpendLike=1,DK56-DL56,IF(Slot10_PotFree=1,DK56,0))+DS56*IF(Slot11_SpendLike=1,DU56-DV56,IF(Slot11_PotFree=1,DU56,0))+EC56*IF(Slot12_SpendLike=1,EE56-EF56,IF(Slot12_PotFree=1,EE56,0))+EM56*IF(Slot13_SpendLike=1,EO56-EP56,IF(Slot13_PotFree=1,EO56,0))+EW56*IF(Slot14_SpendLike=1,EY56-EZ56,IF(Slot14_PotFree=1,EY56,0))+FG56*IF(Slot15_SpendLike=1,FI56-FJ56,IF(Slot15_PotFree=1,FI56,0))+FQ56*IF(Slot16_SpendLike=1,FS56-FT56,IF(Slot16_PotFree=1,FS56,0))+GA56*IF(Slot17_SpendLike=1,GC56-GD56,IF(Slot17_PotFree=1,GC56,0))+GK56*IF(Slot18_SpendLike=1,GM56-GN56,IF(Slot18_PotFree=1,GM56,0))+GU56*IF(Slot19_SpendLike=1,GW56-GX56,IF(Slot19_PotFree=1,GW56,0))+HE56*IF(Slot20_SpendLike=1,HG56-HH56,IF(Slot20_PotFree=1,HG56,0))</f>
        <v>0</v>
      </c>
      <c r="UM56" s="20" t="n">
        <f aca="false">QG56-T56+UK56-UL56</f>
        <v>0</v>
      </c>
      <c r="UN56" s="20" t="n">
        <f aca="false">IF(OR(UN55=1,AND(In_homeUse="Yes, I'd downsize",In_downAge&gt;0,D56=In_downAge,OR(In_home="Own outright",In_home="Own with mortgage"),In_homeValue&gt;0)),1,0)</f>
        <v>0</v>
      </c>
    </row>
    <row r="57" customFormat="false" ht="15" hidden="false" customHeight="true" outlineLevel="0" collapsed="false">
      <c r="B57" s="20" t="n">
        <v>49</v>
      </c>
      <c r="C57" s="20" t="n">
        <f aca="false">IF(B57&lt;=F_N,1,0)</f>
        <v>1</v>
      </c>
      <c r="D57" s="20" t="n">
        <f aca="false">'Plan pay &amp; tax'!C283</f>
        <v>87</v>
      </c>
      <c r="E57" s="20" t="str">
        <f aca="false">IF($C57=1,"Income tax "&amp;TEXT(N('Plan pay &amp; tax'!BK283),"#,##0")&amp;"; USC "&amp;TEXT(N('Plan pay &amp; tax'!BM283)+N('Plan pay &amp; tax'!BO283),"#,##0")&amp;"; PRSI "&amp;TEXT(N('Plan pay &amp; tax'!BP283)+N('Plan pay &amp; tax'!BQ283),"#,##0")&amp;IF(N('Plan holdings'!BO57)&gt;=0.5,"; DIRT "&amp;TEXT(('Plan holdings'!BO57)/$F57,"#,##0")&amp;" (already taken from the interest earned)","")&amp;IF(N('Plan holdings'!BP57)&gt;=0.5,"; exit tax at an 8-year anniversary "&amp;TEXT(('Plan holdings'!BP57)/$F57,"#,##0"),"")&amp;IF(N('Plan holdings'!BN57)&gt;=0.5,"; tax on assets sold (exit tax or capital gains tax) "&amp;TEXT(('Plan holdings'!BN57)/$F57,"#,##0"),"")&amp;IF(N('Plan pay &amp; tax'!X283)-N('Plan pay &amp; tax'!Y283)&gt;=0.5,"; tax on the pension lump sum "&amp;TEXT(('Plan pay &amp; tax'!X283-'Plan pay &amp; tax'!Y283)/$F57,"#,##0"),"")&amp;IF(N('Plan pay &amp; tax'!V283)&gt;=0.5,"; chargeable excess tax on the pension "&amp;TEXT(('Plan pay &amp; tax'!V283)/$F57,"#,##0"),"")&amp;".","")</f>
        <v>Income tax 961; USC 0; PRSI 0.</v>
      </c>
      <c r="F57" s="50" t="n">
        <f aca="false">'Plan pay &amp; tax'!E283</f>
        <v>2.63881179320942</v>
      </c>
      <c r="G57" s="20" t="n">
        <f aca="false">'Plan pay &amp; tax'!G283</f>
        <v>0</v>
      </c>
      <c r="H57" s="20" t="n">
        <f aca="false">'Plan pay &amp; tax'!BT283-'Plan pay &amp; tax'!BS283-'Plan pay &amp; tax'!R283</f>
        <v>99007.4444871145</v>
      </c>
      <c r="I57" s="20" t="n">
        <f aca="false">IF(G57=1,F_CostsM*12,IF(RG_Exists=1,RG_Amount,F_CostsM*12*AS_RetireSpend))*F57+F_OneOffY*F57</f>
        <v>126135.20371541</v>
      </c>
      <c r="J57" s="20" t="n">
        <f aca="false">IF(UN57=1,0,HR56)</f>
        <v>0</v>
      </c>
      <c r="K57" s="20" t="n">
        <f aca="false">IF(J57&gt;1,'Plan debt months'!AC57,0)</f>
        <v>0</v>
      </c>
      <c r="L57" s="20" t="n">
        <f aca="false">IF(J57&gt;1,'Plan debt months'!AB57,J57)</f>
        <v>0</v>
      </c>
      <c r="M57" s="20" t="n">
        <f aca="false">O56</f>
        <v>0</v>
      </c>
      <c r="N57" s="20" t="n">
        <f aca="false">IF(M57&gt;1,'Plan debt months'!BD57,0)</f>
        <v>0</v>
      </c>
      <c r="O57" s="20" t="n">
        <f aca="false">IF(M57&gt;1,'Plan debt months'!BC57,M57)</f>
        <v>0</v>
      </c>
      <c r="P57" s="20" t="n">
        <f aca="false">R56</f>
        <v>0</v>
      </c>
      <c r="Q57" s="20" t="n">
        <f aca="false">IF(P57&gt;1,'Plan debt months'!CE57,0)</f>
        <v>0</v>
      </c>
      <c r="R57" s="20" t="n">
        <f aca="false">IF(P57&gt;1,'Plan debt months'!CD57,P57)</f>
        <v>0</v>
      </c>
      <c r="S57" s="20" t="n">
        <f aca="false">K57+N57+Q57</f>
        <v>0</v>
      </c>
      <c r="T57" s="57" t="n">
        <f aca="false">'Plan holdings'!Y57</f>
        <v>0</v>
      </c>
      <c r="U57" s="57" t="n">
        <f aca="false">'Plan holdings'!BM56</f>
        <v>0</v>
      </c>
      <c r="V57" s="20" t="n">
        <f aca="false">IF(AND(Slot1_On=1,D57=Slot1_Age),1,0)</f>
        <v>0</v>
      </c>
      <c r="W57" s="20" t="n">
        <f aca="false">IF(AND(Slot1_On=1,Slot1_Age&gt;D57),1,0)</f>
        <v>0</v>
      </c>
      <c r="X57" s="20" t="n">
        <f aca="false">QM56</f>
        <v>0</v>
      </c>
      <c r="Y57" s="20" t="n">
        <f aca="false">V57*MIN(Slot1_Cost,X57)</f>
        <v>0</v>
      </c>
      <c r="Z57" s="20" t="n">
        <f aca="false">V57*Slot1_SpendLike*MIN(Slot1_Cost-Y57,T57)</f>
        <v>0</v>
      </c>
      <c r="AA57" s="20" t="n">
        <f aca="false">Y57+Z57</f>
        <v>0</v>
      </c>
      <c r="AB57" s="20" t="n">
        <f aca="false">T57-Z57+V57*IF(Slot1_SpendLike=1,X57-Y57,IF(Slot1_PotFree=1,X57,0))</f>
        <v>0</v>
      </c>
      <c r="AC57" s="20" t="n">
        <f aca="false">AF57+V57*Slot1_BufPot*X57</f>
        <v>0</v>
      </c>
      <c r="AD57" s="20" t="n">
        <f aca="false">IF(AND(V57=1,Slot1_IsMfree=1),IF(AA57&gt;=Slot1_Cost-1,0,MAX(0,L57-AA57)),L57)</f>
        <v>0</v>
      </c>
      <c r="AE57" s="20" t="n">
        <f aca="false">V57*(Slot1_Cost-AA57)</f>
        <v>0</v>
      </c>
      <c r="AF57" s="20" t="n">
        <f aca="false">QL56</f>
        <v>0</v>
      </c>
      <c r="AG57" s="20" t="n">
        <f aca="false">IF(AND(Slot2_On=1,D57=Slot2_Age),1,0)</f>
        <v>0</v>
      </c>
      <c r="AH57" s="20" t="n">
        <f aca="false">IF(AND(Slot2_On=1,Slot2_Age&gt;D57),1,0)</f>
        <v>0</v>
      </c>
      <c r="AI57" s="20" t="n">
        <f aca="false">QQ56</f>
        <v>0</v>
      </c>
      <c r="AJ57" s="20" t="n">
        <f aca="false">AG57*MIN(Slot2_Cost,AI57)</f>
        <v>0</v>
      </c>
      <c r="AK57" s="20" t="n">
        <f aca="false">AG57*Slot2_SpendLike*MIN(Slot2_Cost-AJ57,AB57)</f>
        <v>0</v>
      </c>
      <c r="AL57" s="20" t="n">
        <f aca="false">AJ57+AK57</f>
        <v>0</v>
      </c>
      <c r="AM57" s="20" t="n">
        <f aca="false">AB57-AK57+AG57*IF(Slot2_SpendLike=1,AI57-AJ57,IF(Slot2_PotFree=1,AI57,0))</f>
        <v>0</v>
      </c>
      <c r="AN57" s="20" t="n">
        <f aca="false">AC57+AG57*Slot2_BufPot*AI57</f>
        <v>0</v>
      </c>
      <c r="AO57" s="20" t="n">
        <f aca="false">IF(AND(AG57=1,Slot2_IsMfree=1),IF(AL57&gt;=Slot2_Cost-1,0,MAX(0,AD57-AL57)),AD57)</f>
        <v>0</v>
      </c>
      <c r="AP57" s="20" t="n">
        <f aca="false">AG57*(Slot2_Cost-AL57)</f>
        <v>0</v>
      </c>
      <c r="AQ57" s="20" t="n">
        <f aca="false">IF(AND(Slot3_On=1,D57=Slot3_Age),1,0)</f>
        <v>0</v>
      </c>
      <c r="AR57" s="20" t="n">
        <f aca="false">IF(AND(Slot3_On=1,Slot3_Age&gt;D57),1,0)</f>
        <v>0</v>
      </c>
      <c r="AS57" s="20" t="n">
        <f aca="false">QU56</f>
        <v>0</v>
      </c>
      <c r="AT57" s="20" t="n">
        <f aca="false">AQ57*MIN(Slot3_Cost,AS57)</f>
        <v>0</v>
      </c>
      <c r="AU57" s="20" t="n">
        <f aca="false">AQ57*Slot3_SpendLike*MIN(Slot3_Cost-AT57,AM57)</f>
        <v>0</v>
      </c>
      <c r="AV57" s="20" t="n">
        <f aca="false">AT57+AU57</f>
        <v>0</v>
      </c>
      <c r="AW57" s="20" t="n">
        <f aca="false">AM57-AU57+AQ57*IF(Slot3_SpendLike=1,AS57-AT57,IF(Slot3_PotFree=1,AS57,0))</f>
        <v>0</v>
      </c>
      <c r="AX57" s="20" t="n">
        <f aca="false">AN57+AQ57*Slot3_BufPot*AS57</f>
        <v>0</v>
      </c>
      <c r="AY57" s="20" t="n">
        <f aca="false">IF(AND(AQ57=1,Slot3_IsMfree=1),IF(AV57&gt;=Slot3_Cost-1,0,MAX(0,AO57-AV57)),AO57)</f>
        <v>0</v>
      </c>
      <c r="AZ57" s="20" t="n">
        <f aca="false">AQ57*(Slot3_Cost-AV57)</f>
        <v>0</v>
      </c>
      <c r="BA57" s="20" t="n">
        <f aca="false">IF(AND(Slot4_On=1,D57=Slot4_Age),1,0)</f>
        <v>0</v>
      </c>
      <c r="BB57" s="20" t="n">
        <f aca="false">IF(AND(Slot4_On=1,Slot4_Age&gt;D57),1,0)</f>
        <v>0</v>
      </c>
      <c r="BC57" s="20" t="n">
        <f aca="false">QY56</f>
        <v>0</v>
      </c>
      <c r="BD57" s="20" t="n">
        <f aca="false">BA57*MIN(Slot4_Cost,BC57)</f>
        <v>0</v>
      </c>
      <c r="BE57" s="20" t="n">
        <f aca="false">BA57*Slot4_SpendLike*MIN(Slot4_Cost-BD57,AW57)</f>
        <v>0</v>
      </c>
      <c r="BF57" s="20" t="n">
        <f aca="false">BD57+BE57</f>
        <v>0</v>
      </c>
      <c r="BG57" s="20" t="n">
        <f aca="false">AW57-BE57+BA57*IF(Slot4_SpendLike=1,BC57-BD57,IF(Slot4_PotFree=1,BC57,0))</f>
        <v>0</v>
      </c>
      <c r="BH57" s="20" t="n">
        <f aca="false">AX57+BA57*Slot4_BufPot*BC57</f>
        <v>0</v>
      </c>
      <c r="BI57" s="20" t="n">
        <f aca="false">IF(AND(BA57=1,Slot4_IsMfree=1),IF(BF57&gt;=Slot4_Cost-1,0,MAX(0,AY57-BF57)),AY57)</f>
        <v>0</v>
      </c>
      <c r="BJ57" s="20" t="n">
        <f aca="false">BA57*(Slot4_Cost-BF57)</f>
        <v>0</v>
      </c>
      <c r="BK57" s="20" t="n">
        <f aca="false">IF(AND(Slot5_On=1,D57=Slot5_Age),1,0)</f>
        <v>0</v>
      </c>
      <c r="BL57" s="20" t="n">
        <f aca="false">IF(AND(Slot5_On=1,Slot5_Age&gt;D57),1,0)</f>
        <v>0</v>
      </c>
      <c r="BM57" s="20" t="n">
        <f aca="false">RC56</f>
        <v>0</v>
      </c>
      <c r="BN57" s="20" t="n">
        <f aca="false">BK57*MIN(Slot5_Cost,BM57)</f>
        <v>0</v>
      </c>
      <c r="BO57" s="20" t="n">
        <f aca="false">BK57*Slot5_SpendLike*MIN(Slot5_Cost-BN57,BG57)</f>
        <v>0</v>
      </c>
      <c r="BP57" s="20" t="n">
        <f aca="false">BN57+BO57</f>
        <v>0</v>
      </c>
      <c r="BQ57" s="20" t="n">
        <f aca="false">BG57-BO57+BK57*IF(Slot5_SpendLike=1,BM57-BN57,IF(Slot5_PotFree=1,BM57,0))</f>
        <v>0</v>
      </c>
      <c r="BR57" s="20" t="n">
        <f aca="false">BH57+BK57*Slot5_BufPot*BM57</f>
        <v>0</v>
      </c>
      <c r="BS57" s="20" t="n">
        <f aca="false">IF(AND(BK57=1,Slot5_IsMfree=1),IF(BP57&gt;=Slot5_Cost-1,0,MAX(0,BI57-BP57)),BI57)</f>
        <v>0</v>
      </c>
      <c r="BT57" s="20" t="n">
        <f aca="false">BK57*(Slot5_Cost-BP57)</f>
        <v>0</v>
      </c>
      <c r="BU57" s="20" t="n">
        <f aca="false">IF(AND(Slot6_On=1,D57=Slot6_Age),1,0)</f>
        <v>0</v>
      </c>
      <c r="BV57" s="20" t="n">
        <f aca="false">IF(AND(Slot6_On=1,Slot6_Age&gt;D57),1,0)</f>
        <v>0</v>
      </c>
      <c r="BW57" s="20" t="n">
        <f aca="false">RG56</f>
        <v>0</v>
      </c>
      <c r="BX57" s="20" t="n">
        <f aca="false">BU57*MIN(Slot6_Cost,BW57)</f>
        <v>0</v>
      </c>
      <c r="BY57" s="20" t="n">
        <f aca="false">BU57*Slot6_SpendLike*MIN(Slot6_Cost-BX57,BQ57)</f>
        <v>0</v>
      </c>
      <c r="BZ57" s="20" t="n">
        <f aca="false">BX57+BY57</f>
        <v>0</v>
      </c>
      <c r="CA57" s="20" t="n">
        <f aca="false">BQ57-BY57+BU57*IF(Slot6_SpendLike=1,BW57-BX57,IF(Slot6_PotFree=1,BW57,0))</f>
        <v>0</v>
      </c>
      <c r="CB57" s="20" t="n">
        <f aca="false">BR57+BU57*Slot6_BufPot*BW57</f>
        <v>0</v>
      </c>
      <c r="CC57" s="20" t="n">
        <f aca="false">IF(AND(BU57=1,Slot6_IsMfree=1),IF(BZ57&gt;=Slot6_Cost-1,0,MAX(0,BS57-BZ57)),BS57)</f>
        <v>0</v>
      </c>
      <c r="CD57" s="20" t="n">
        <f aca="false">BU57*(Slot6_Cost-BZ57)</f>
        <v>0</v>
      </c>
      <c r="CE57" s="20" t="n">
        <f aca="false">IF(AND(Slot7_On=1,D57=Slot7_Age),1,0)</f>
        <v>0</v>
      </c>
      <c r="CF57" s="20" t="n">
        <f aca="false">IF(AND(Slot7_On=1,Slot7_Age&gt;D57),1,0)</f>
        <v>0</v>
      </c>
      <c r="CG57" s="20" t="n">
        <f aca="false">RK56</f>
        <v>0</v>
      </c>
      <c r="CH57" s="20" t="n">
        <f aca="false">CE57*MIN(Slot7_Cost,CG57)</f>
        <v>0</v>
      </c>
      <c r="CI57" s="20" t="n">
        <f aca="false">CE57*Slot7_SpendLike*MIN(Slot7_Cost-CH57,CA57)</f>
        <v>0</v>
      </c>
      <c r="CJ57" s="20" t="n">
        <f aca="false">CH57+CI57</f>
        <v>0</v>
      </c>
      <c r="CK57" s="20" t="n">
        <f aca="false">CA57-CI57+CE57*IF(Slot7_SpendLike=1,CG57-CH57,IF(Slot7_PotFree=1,CG57,0))</f>
        <v>0</v>
      </c>
      <c r="CL57" s="20" t="n">
        <f aca="false">CB57+CE57*Slot7_BufPot*CG57</f>
        <v>0</v>
      </c>
      <c r="CM57" s="20" t="n">
        <f aca="false">IF(AND(CE57=1,Slot7_IsMfree=1),IF(CJ57&gt;=Slot7_Cost-1,0,MAX(0,CC57-CJ57)),CC57)</f>
        <v>0</v>
      </c>
      <c r="CN57" s="20" t="n">
        <f aca="false">CE57*(Slot7_Cost-CJ57)</f>
        <v>0</v>
      </c>
      <c r="CO57" s="20" t="n">
        <f aca="false">IF(AND(Slot8_On=1,D57=Slot8_Age),1,0)</f>
        <v>0</v>
      </c>
      <c r="CP57" s="20" t="n">
        <f aca="false">IF(AND(Slot8_On=1,Slot8_Age&gt;D57),1,0)</f>
        <v>0</v>
      </c>
      <c r="CQ57" s="20" t="n">
        <f aca="false">RO56</f>
        <v>0</v>
      </c>
      <c r="CR57" s="20" t="n">
        <f aca="false">CO57*MIN(Slot8_Cost,CQ57)</f>
        <v>0</v>
      </c>
      <c r="CS57" s="20" t="n">
        <f aca="false">CO57*Slot8_SpendLike*MIN(Slot8_Cost-CR57,CK57)</f>
        <v>0</v>
      </c>
      <c r="CT57" s="20" t="n">
        <f aca="false">CR57+CS57</f>
        <v>0</v>
      </c>
      <c r="CU57" s="20" t="n">
        <f aca="false">CK57-CS57+CO57*IF(Slot8_SpendLike=1,CQ57-CR57,IF(Slot8_PotFree=1,CQ57,0))</f>
        <v>0</v>
      </c>
      <c r="CV57" s="20" t="n">
        <f aca="false">CL57+CO57*Slot8_BufPot*CQ57</f>
        <v>0</v>
      </c>
      <c r="CW57" s="20" t="n">
        <f aca="false">IF(AND(CO57=1,Slot8_IsMfree=1),IF(CT57&gt;=Slot8_Cost-1,0,MAX(0,CM57-CT57)),CM57)</f>
        <v>0</v>
      </c>
      <c r="CX57" s="20" t="n">
        <f aca="false">CO57*(Slot8_Cost-CT57)</f>
        <v>0</v>
      </c>
      <c r="CY57" s="20" t="n">
        <f aca="false">IF(AND(Slot9_On=1,D57=Slot9_Age),1,0)</f>
        <v>0</v>
      </c>
      <c r="CZ57" s="20" t="n">
        <f aca="false">IF(AND(Slot9_On=1,Slot9_Age&gt;D57),1,0)</f>
        <v>0</v>
      </c>
      <c r="DA57" s="20" t="n">
        <f aca="false">RS56</f>
        <v>0</v>
      </c>
      <c r="DB57" s="20" t="n">
        <f aca="false">CY57*MIN(Slot9_Cost,DA57)</f>
        <v>0</v>
      </c>
      <c r="DC57" s="20" t="n">
        <f aca="false">CY57*Slot9_SpendLike*MIN(Slot9_Cost-DB57,CU57)</f>
        <v>0</v>
      </c>
      <c r="DD57" s="20" t="n">
        <f aca="false">DB57+DC57</f>
        <v>0</v>
      </c>
      <c r="DE57" s="20" t="n">
        <f aca="false">CU57-DC57+CY57*IF(Slot9_SpendLike=1,DA57-DB57,IF(Slot9_PotFree=1,DA57,0))</f>
        <v>0</v>
      </c>
      <c r="DF57" s="20" t="n">
        <f aca="false">CV57+CY57*Slot9_BufPot*DA57</f>
        <v>0</v>
      </c>
      <c r="DG57" s="20" t="n">
        <f aca="false">IF(AND(CY57=1,Slot9_IsMfree=1),IF(DD57&gt;=Slot9_Cost-1,0,MAX(0,CW57-DD57)),CW57)</f>
        <v>0</v>
      </c>
      <c r="DH57" s="20" t="n">
        <f aca="false">CY57*(Slot9_Cost-DD57)</f>
        <v>0</v>
      </c>
      <c r="DI57" s="20" t="n">
        <f aca="false">IF(AND(Slot10_On=1,D57=Slot10_Age),1,0)</f>
        <v>0</v>
      </c>
      <c r="DJ57" s="20" t="n">
        <f aca="false">IF(AND(Slot10_On=1,Slot10_Age&gt;D57),1,0)</f>
        <v>0</v>
      </c>
      <c r="DK57" s="20" t="n">
        <f aca="false">RW56</f>
        <v>0</v>
      </c>
      <c r="DL57" s="20" t="n">
        <f aca="false">DI57*MIN(Slot10_Cost,DK57)</f>
        <v>0</v>
      </c>
      <c r="DM57" s="20" t="n">
        <f aca="false">DI57*Slot10_SpendLike*MIN(Slot10_Cost-DL57,DE57)</f>
        <v>0</v>
      </c>
      <c r="DN57" s="20" t="n">
        <f aca="false">DL57+DM57</f>
        <v>0</v>
      </c>
      <c r="DO57" s="20" t="n">
        <f aca="false">DE57-DM57+DI57*IF(Slot10_SpendLike=1,DK57-DL57,IF(Slot10_PotFree=1,DK57,0))</f>
        <v>0</v>
      </c>
      <c r="DP57" s="20" t="n">
        <f aca="false">DF57+DI57*Slot10_BufPot*DK57</f>
        <v>0</v>
      </c>
      <c r="DQ57" s="20" t="n">
        <f aca="false">IF(AND(DI57=1,Slot10_IsMfree=1),IF(DN57&gt;=Slot10_Cost-1,0,MAX(0,DG57-DN57)),DG57)</f>
        <v>0</v>
      </c>
      <c r="DR57" s="20" t="n">
        <f aca="false">DI57*(Slot10_Cost-DN57)</f>
        <v>0</v>
      </c>
      <c r="DS57" s="20" t="n">
        <f aca="false">IF(AND(Slot11_On=1,D57=Slot11_Age),1,0)</f>
        <v>0</v>
      </c>
      <c r="DT57" s="20" t="n">
        <f aca="false">IF(AND(Slot11_On=1,Slot11_Age&gt;D57),1,0)</f>
        <v>0</v>
      </c>
      <c r="DU57" s="20" t="n">
        <f aca="false">SA56</f>
        <v>0</v>
      </c>
      <c r="DV57" s="20" t="n">
        <f aca="false">DS57*MIN(Slot11_Cost,DU57)</f>
        <v>0</v>
      </c>
      <c r="DW57" s="20" t="n">
        <f aca="false">DS57*Slot11_SpendLike*MIN(Slot11_Cost-DV57,DO57)</f>
        <v>0</v>
      </c>
      <c r="DX57" s="20" t="n">
        <f aca="false">DV57+DW57</f>
        <v>0</v>
      </c>
      <c r="DY57" s="20" t="n">
        <f aca="false">DO57-DW57+DS57*IF(Slot11_SpendLike=1,DU57-DV57,IF(Slot11_PotFree=1,DU57,0))</f>
        <v>0</v>
      </c>
      <c r="DZ57" s="20" t="n">
        <f aca="false">DP57+DS57*Slot11_BufPot*DU57</f>
        <v>0</v>
      </c>
      <c r="EA57" s="20" t="n">
        <f aca="false">IF(AND(DS57=1,Slot11_IsMfree=1),IF(DX57&gt;=Slot11_Cost-1,0,MAX(0,DQ57-DX57)),DQ57)</f>
        <v>0</v>
      </c>
      <c r="EB57" s="20" t="n">
        <f aca="false">DS57*(Slot11_Cost-DX57)</f>
        <v>0</v>
      </c>
      <c r="EC57" s="20" t="n">
        <f aca="false">IF(AND(Slot12_On=1,D57=Slot12_Age),1,0)</f>
        <v>0</v>
      </c>
      <c r="ED57" s="20" t="n">
        <f aca="false">IF(AND(Slot12_On=1,Slot12_Age&gt;D57),1,0)</f>
        <v>0</v>
      </c>
      <c r="EE57" s="20" t="n">
        <f aca="false">SE56</f>
        <v>0</v>
      </c>
      <c r="EF57" s="20" t="n">
        <f aca="false">EC57*MIN(Slot12_Cost,EE57)</f>
        <v>0</v>
      </c>
      <c r="EG57" s="20" t="n">
        <f aca="false">EC57*Slot12_SpendLike*MIN(Slot12_Cost-EF57,DY57)</f>
        <v>0</v>
      </c>
      <c r="EH57" s="20" t="n">
        <f aca="false">EF57+EG57</f>
        <v>0</v>
      </c>
      <c r="EI57" s="20" t="n">
        <f aca="false">DY57-EG57+EC57*IF(Slot12_SpendLike=1,EE57-EF57,IF(Slot12_PotFree=1,EE57,0))</f>
        <v>0</v>
      </c>
      <c r="EJ57" s="20" t="n">
        <f aca="false">DZ57+EC57*Slot12_BufPot*EE57</f>
        <v>0</v>
      </c>
      <c r="EK57" s="20" t="n">
        <f aca="false">IF(AND(EC57=1,Slot12_IsMfree=1),IF(EH57&gt;=Slot12_Cost-1,0,MAX(0,EA57-EH57)),EA57)</f>
        <v>0</v>
      </c>
      <c r="EL57" s="20" t="n">
        <f aca="false">EC57*(Slot12_Cost-EH57)</f>
        <v>0</v>
      </c>
      <c r="EM57" s="20" t="n">
        <f aca="false">IF(AND(Slot13_On=1,D57=Slot13_Age),1,0)</f>
        <v>0</v>
      </c>
      <c r="EN57" s="20" t="n">
        <f aca="false">IF(AND(Slot13_On=1,Slot13_Age&gt;D57),1,0)</f>
        <v>0</v>
      </c>
      <c r="EO57" s="20" t="n">
        <f aca="false">SI56</f>
        <v>0</v>
      </c>
      <c r="EP57" s="20" t="n">
        <f aca="false">EM57*MIN(Slot13_Cost,EO57)</f>
        <v>0</v>
      </c>
      <c r="EQ57" s="20" t="n">
        <f aca="false">EM57*Slot13_SpendLike*MIN(Slot13_Cost-EP57,EI57)</f>
        <v>0</v>
      </c>
      <c r="ER57" s="20" t="n">
        <f aca="false">EP57+EQ57</f>
        <v>0</v>
      </c>
      <c r="ES57" s="20" t="n">
        <f aca="false">EI57-EQ57+EM57*IF(Slot13_SpendLike=1,EO57-EP57,IF(Slot13_PotFree=1,EO57,0))</f>
        <v>0</v>
      </c>
      <c r="ET57" s="20" t="n">
        <f aca="false">EJ57+EM57*Slot13_BufPot*EO57</f>
        <v>0</v>
      </c>
      <c r="EU57" s="20" t="n">
        <f aca="false">IF(AND(EM57=1,Slot13_IsMfree=1),IF(ER57&gt;=Slot13_Cost-1,0,MAX(0,EK57-ER57)),EK57)</f>
        <v>0</v>
      </c>
      <c r="EV57" s="20" t="n">
        <f aca="false">EM57*(Slot13_Cost-ER57)</f>
        <v>0</v>
      </c>
      <c r="EW57" s="20" t="n">
        <f aca="false">IF(AND(Slot14_On=1,D57=Slot14_Age),1,0)</f>
        <v>0</v>
      </c>
      <c r="EX57" s="20" t="n">
        <f aca="false">IF(AND(Slot14_On=1,Slot14_Age&gt;D57),1,0)</f>
        <v>0</v>
      </c>
      <c r="EY57" s="20" t="n">
        <f aca="false">SM56</f>
        <v>0</v>
      </c>
      <c r="EZ57" s="20" t="n">
        <f aca="false">EW57*MIN(Slot14_Cost,EY57)</f>
        <v>0</v>
      </c>
      <c r="FA57" s="20" t="n">
        <f aca="false">EW57*Slot14_SpendLike*MIN(Slot14_Cost-EZ57,ES57)</f>
        <v>0</v>
      </c>
      <c r="FB57" s="20" t="n">
        <f aca="false">EZ57+FA57</f>
        <v>0</v>
      </c>
      <c r="FC57" s="20" t="n">
        <f aca="false">ES57-FA57+EW57*IF(Slot14_SpendLike=1,EY57-EZ57,IF(Slot14_PotFree=1,EY57,0))</f>
        <v>0</v>
      </c>
      <c r="FD57" s="20" t="n">
        <f aca="false">ET57+EW57*Slot14_BufPot*EY57</f>
        <v>0</v>
      </c>
      <c r="FE57" s="20" t="n">
        <f aca="false">IF(AND(EW57=1,Slot14_IsMfree=1),IF(FB57&gt;=Slot14_Cost-1,0,MAX(0,EU57-FB57)),EU57)</f>
        <v>0</v>
      </c>
      <c r="FF57" s="20" t="n">
        <f aca="false">EW57*(Slot14_Cost-FB57)</f>
        <v>0</v>
      </c>
      <c r="FG57" s="20" t="n">
        <f aca="false">IF(AND(Slot15_On=1,D57=Slot15_Age),1,0)</f>
        <v>0</v>
      </c>
      <c r="FH57" s="20" t="n">
        <f aca="false">IF(AND(Slot15_On=1,Slot15_Age&gt;D57),1,0)</f>
        <v>0</v>
      </c>
      <c r="FI57" s="20" t="n">
        <f aca="false">SQ56</f>
        <v>0</v>
      </c>
      <c r="FJ57" s="20" t="n">
        <f aca="false">FG57*MIN(Slot15_Cost,FI57)</f>
        <v>0</v>
      </c>
      <c r="FK57" s="20" t="n">
        <f aca="false">FG57*Slot15_SpendLike*MIN(Slot15_Cost-FJ57,FC57)</f>
        <v>0</v>
      </c>
      <c r="FL57" s="20" t="n">
        <f aca="false">FJ57+FK57</f>
        <v>0</v>
      </c>
      <c r="FM57" s="20" t="n">
        <f aca="false">FC57-FK57+FG57*IF(Slot15_SpendLike=1,FI57-FJ57,IF(Slot15_PotFree=1,FI57,0))</f>
        <v>0</v>
      </c>
      <c r="FN57" s="20" t="n">
        <f aca="false">FD57+FG57*Slot15_BufPot*FI57</f>
        <v>0</v>
      </c>
      <c r="FO57" s="20" t="n">
        <f aca="false">IF(AND(FG57=1,Slot15_IsMfree=1),IF(FL57&gt;=Slot15_Cost-1,0,MAX(0,FE57-FL57)),FE57)</f>
        <v>0</v>
      </c>
      <c r="FP57" s="20" t="n">
        <f aca="false">FG57*(Slot15_Cost-FL57)</f>
        <v>0</v>
      </c>
      <c r="FQ57" s="20" t="n">
        <f aca="false">IF(AND(Slot16_On=1,D57=Slot16_Age),1,0)</f>
        <v>0</v>
      </c>
      <c r="FR57" s="20" t="n">
        <f aca="false">IF(AND(Slot16_On=1,Slot16_Age&gt;D57),1,0)</f>
        <v>0</v>
      </c>
      <c r="FS57" s="20" t="n">
        <f aca="false">SU56</f>
        <v>0</v>
      </c>
      <c r="FT57" s="20" t="n">
        <f aca="false">FQ57*MIN(Slot16_Cost,FS57)</f>
        <v>0</v>
      </c>
      <c r="FU57" s="20" t="n">
        <f aca="false">FQ57*Slot16_SpendLike*MIN(Slot16_Cost-FT57,FM57)</f>
        <v>0</v>
      </c>
      <c r="FV57" s="20" t="n">
        <f aca="false">FT57+FU57</f>
        <v>0</v>
      </c>
      <c r="FW57" s="20" t="n">
        <f aca="false">FM57-FU57+FQ57*IF(Slot16_SpendLike=1,FS57-FT57,IF(Slot16_PotFree=1,FS57,0))</f>
        <v>0</v>
      </c>
      <c r="FX57" s="20" t="n">
        <f aca="false">FN57+FQ57*Slot16_BufPot*FS57</f>
        <v>0</v>
      </c>
      <c r="FY57" s="20" t="n">
        <f aca="false">IF(AND(FQ57=1,Slot16_IsMfree=1),IF(FV57&gt;=Slot16_Cost-1,0,MAX(0,FO57-FV57)),FO57)</f>
        <v>0</v>
      </c>
      <c r="FZ57" s="20" t="n">
        <f aca="false">FQ57*(Slot16_Cost-FV57)</f>
        <v>0</v>
      </c>
      <c r="GA57" s="20" t="n">
        <f aca="false">IF(AND(Slot17_On=1,D57=Slot17_Age),1,0)</f>
        <v>0</v>
      </c>
      <c r="GB57" s="20" t="n">
        <f aca="false">IF(AND(Slot17_On=1,Slot17_Age&gt;D57),1,0)</f>
        <v>0</v>
      </c>
      <c r="GC57" s="20" t="n">
        <f aca="false">SY56</f>
        <v>0</v>
      </c>
      <c r="GD57" s="20" t="n">
        <f aca="false">GA57*MIN(Slot17_Cost,GC57)</f>
        <v>0</v>
      </c>
      <c r="GE57" s="20" t="n">
        <f aca="false">GA57*Slot17_SpendLike*MIN(Slot17_Cost-GD57,FW57)</f>
        <v>0</v>
      </c>
      <c r="GF57" s="20" t="n">
        <f aca="false">GD57+GE57</f>
        <v>0</v>
      </c>
      <c r="GG57" s="20" t="n">
        <f aca="false">FW57-GE57+GA57*IF(Slot17_SpendLike=1,GC57-GD57,IF(Slot17_PotFree=1,GC57,0))</f>
        <v>0</v>
      </c>
      <c r="GH57" s="20" t="n">
        <f aca="false">FX57+GA57*Slot17_BufPot*GC57</f>
        <v>0</v>
      </c>
      <c r="GI57" s="20" t="n">
        <f aca="false">IF(AND(GA57=1,Slot17_IsMfree=1),IF(GF57&gt;=Slot17_Cost-1,0,MAX(0,FY57-GF57)),FY57)</f>
        <v>0</v>
      </c>
      <c r="GJ57" s="20" t="n">
        <f aca="false">GA57*(Slot17_Cost-GF57)</f>
        <v>0</v>
      </c>
      <c r="GK57" s="20" t="n">
        <f aca="false">IF(AND(Slot18_On=1,D57=Slot18_Age),1,0)</f>
        <v>0</v>
      </c>
      <c r="GL57" s="20" t="n">
        <f aca="false">IF(AND(Slot18_On=1,Slot18_Age&gt;D57),1,0)</f>
        <v>0</v>
      </c>
      <c r="GM57" s="20" t="n">
        <f aca="false">TC56</f>
        <v>0</v>
      </c>
      <c r="GN57" s="20" t="n">
        <f aca="false">GK57*MIN(Slot18_Cost,GM57)</f>
        <v>0</v>
      </c>
      <c r="GO57" s="20" t="n">
        <f aca="false">GK57*Slot18_SpendLike*MIN(Slot18_Cost-GN57,GG57)</f>
        <v>0</v>
      </c>
      <c r="GP57" s="20" t="n">
        <f aca="false">GN57+GO57</f>
        <v>0</v>
      </c>
      <c r="GQ57" s="20" t="n">
        <f aca="false">GG57-GO57+GK57*IF(Slot18_SpendLike=1,GM57-GN57,IF(Slot18_PotFree=1,GM57,0))</f>
        <v>0</v>
      </c>
      <c r="GR57" s="20" t="n">
        <f aca="false">GH57+GK57*Slot18_BufPot*GM57</f>
        <v>0</v>
      </c>
      <c r="GS57" s="20" t="n">
        <f aca="false">IF(AND(GK57=1,Slot18_IsMfree=1),IF(GP57&gt;=Slot18_Cost-1,0,MAX(0,GI57-GP57)),GI57)</f>
        <v>0</v>
      </c>
      <c r="GT57" s="20" t="n">
        <f aca="false">GK57*(Slot18_Cost-GP57)</f>
        <v>0</v>
      </c>
      <c r="GU57" s="20" t="n">
        <f aca="false">IF(AND(Slot19_On=1,D57=Slot19_Age),1,0)</f>
        <v>0</v>
      </c>
      <c r="GV57" s="20" t="n">
        <f aca="false">IF(AND(Slot19_On=1,Slot19_Age&gt;D57),1,0)</f>
        <v>0</v>
      </c>
      <c r="GW57" s="20" t="n">
        <f aca="false">TG56</f>
        <v>0</v>
      </c>
      <c r="GX57" s="20" t="n">
        <f aca="false">GU57*MIN(Slot19_Cost,GW57)</f>
        <v>0</v>
      </c>
      <c r="GY57" s="20" t="n">
        <f aca="false">GU57*Slot19_SpendLike*MIN(Slot19_Cost-GX57,GQ57)</f>
        <v>0</v>
      </c>
      <c r="GZ57" s="20" t="n">
        <f aca="false">GX57+GY57</f>
        <v>0</v>
      </c>
      <c r="HA57" s="20" t="n">
        <f aca="false">GQ57-GY57+GU57*IF(Slot19_SpendLike=1,GW57-GX57,IF(Slot19_PotFree=1,GW57,0))</f>
        <v>0</v>
      </c>
      <c r="HB57" s="20" t="n">
        <f aca="false">GR57+GU57*Slot19_BufPot*GW57</f>
        <v>0</v>
      </c>
      <c r="HC57" s="20" t="n">
        <f aca="false">IF(AND(GU57=1,Slot19_IsMfree=1),IF(GZ57&gt;=Slot19_Cost-1,0,MAX(0,GS57-GZ57)),GS57)</f>
        <v>0</v>
      </c>
      <c r="HD57" s="20" t="n">
        <f aca="false">GU57*(Slot19_Cost-GZ57)</f>
        <v>0</v>
      </c>
      <c r="HE57" s="20" t="n">
        <f aca="false">IF(AND(Slot20_On=1,D57=Slot20_Age),1,0)</f>
        <v>0</v>
      </c>
      <c r="HF57" s="20" t="n">
        <f aca="false">IF(AND(Slot20_On=1,Slot20_Age&gt;D57),1,0)</f>
        <v>0</v>
      </c>
      <c r="HG57" s="20" t="n">
        <f aca="false">TK56</f>
        <v>0</v>
      </c>
      <c r="HH57" s="20" t="n">
        <f aca="false">HE57*MIN(Slot20_Cost,HG57)</f>
        <v>0</v>
      </c>
      <c r="HI57" s="20" t="n">
        <f aca="false">HE57*Slot20_SpendLike*MIN(Slot20_Cost-HH57,HA57)</f>
        <v>0</v>
      </c>
      <c r="HJ57" s="20" t="n">
        <f aca="false">HH57+HI57</f>
        <v>0</v>
      </c>
      <c r="HK57" s="20" t="n">
        <f aca="false">HA57-HI57+HE57*IF(Slot20_SpendLike=1,HG57-HH57,IF(Slot20_PotFree=1,HG57,0))</f>
        <v>0</v>
      </c>
      <c r="HL57" s="20" t="n">
        <f aca="false">HB57+HE57*Slot20_BufPot*HG57</f>
        <v>0</v>
      </c>
      <c r="HM57" s="20" t="n">
        <f aca="false">IF(AND(HE57=1,Slot20_IsMfree=1),IF(HJ57&gt;=Slot20_Cost-1,0,MAX(0,HC57-HJ57)),HC57)</f>
        <v>0</v>
      </c>
      <c r="HN57" s="20" t="n">
        <f aca="false">HE57*(Slot20_Cost-HJ57)</f>
        <v>0</v>
      </c>
      <c r="HO57" s="20" t="n">
        <f aca="false">V57*Slot1_SpendLike*AA57+AG57*Slot2_SpendLike*AL57+AQ57*Slot3_SpendLike*AV57+BA57*Slot4_SpendLike*BF57+BK57*Slot5_SpendLike*BP57+BU57*Slot6_SpendLike*BZ57+CE57*Slot7_SpendLike*CJ57+CO57*Slot8_SpendLike*CT57+CY57*Slot9_SpendLike*DD57+DI57*Slot10_SpendLike*DN57+DS57*Slot11_SpendLike*DX57+EC57*Slot12_SpendLike*EH57+EM57*Slot13_SpendLike*ER57+EW57*Slot14_SpendLike*FB57+FG57*Slot15_SpendLike*FL57+FQ57*Slot16_SpendLike*FV57+GA57*Slot17_SpendLike*GF57+GK57*Slot18_SpendLike*GP57+GU57*Slot19_SpendLike*GZ57+HE57*Slot20_SpendLike*HJ57</f>
        <v>0</v>
      </c>
      <c r="HP57" s="20" t="n">
        <f aca="false">AE57+AP57+AZ57+BJ57+BT57+CD57+CN57+CX57+DH57+DR57+EB57+EL57+EV57+FF57+FP57+FZ57+GJ57+GT57+HD57+HN57</f>
        <v>0</v>
      </c>
      <c r="HQ57" s="20" t="n">
        <f aca="false">V57*Slot1_Cost+AG57*Slot2_Cost+AQ57*Slot3_Cost+BA57*Slot4_Cost+BK57*Slot5_Cost+BU57*Slot6_Cost+CE57*Slot7_Cost+CO57*Slot8_Cost+CY57*Slot9_Cost+DI57*Slot10_Cost+DS57*Slot11_Cost+EC57*Slot12_Cost+EM57*Slot13_Cost+EW57*Slot14_Cost+FG57*Slot15_Cost+FQ57*Slot16_Cost+GA57*Slot17_Cost+GK57*Slot18_Cost+GU57*Slot19_Cost+HE57*Slot20_Cost</f>
        <v>0</v>
      </c>
      <c r="HR57" s="20" t="n">
        <f aca="false">HM57</f>
        <v>0</v>
      </c>
      <c r="HS57" s="20" t="n">
        <f aca="false">H57-I57-S57</f>
        <v>-27127.7592282958</v>
      </c>
      <c r="HT57" s="20" t="n">
        <f aca="false">IF(B57=0,IF(AND(Has_q6=1,In_q6=4),PR_ShareVaries*(MAX(0,HS57)/12),MIN(IF(Has_q6=1,CHOOSE(In_q6+1,PR_SaveB1,PR_SaveB2,PR_SaveB3,PR_SaveB4,0),AS_NoAnswer),AS_SaveShare*(MAX(0,HS57)/12))),HT56)</f>
        <v>67.3316893520437</v>
      </c>
      <c r="HU57" s="20" t="n">
        <f aca="false">IF(HS57&gt;=0,1,0)</f>
        <v>0</v>
      </c>
      <c r="HV57" s="20" t="n">
        <f aca="false">MAX(0,HS57/12/F57)</f>
        <v>0</v>
      </c>
      <c r="HW57" s="20" t="n">
        <f aca="false">IF(AND(Has_q6=1,In_q6=4),PR_ShareVaries*(HV57),MIN(IF(Has_q6=1,CHOOSE(In_q6+1,PR_SaveB1,PR_SaveB2,PR_SaveB3,PR_SaveB4,0),AS_NoAnswer),AS_SaveShare*(HV57)))</f>
        <v>0</v>
      </c>
      <c r="HX57" s="20" t="n">
        <f aca="false">IF(Has_saveM=1,IF(In_saveUp="Yes",1,IF(In_saveUp="No",0,IF(In_saveM&gt;=HT57-0.5,1,0))),0)</f>
        <v>0</v>
      </c>
      <c r="HY57" s="20" t="n">
        <f aca="false">IF(Has_saveM=1,MIN(HV57,IF(HX57=1,MAX(In_saveM,HW57),MIN(In_saveM,HW57))),HW57)</f>
        <v>0</v>
      </c>
      <c r="HZ57" s="20" t="n">
        <f aca="false">IF(G57=1,HY57*12*F57,0)</f>
        <v>0</v>
      </c>
      <c r="IA57" s="20" t="n">
        <f aca="false">MAX(0,HZ57+IF(AND(WI_Retire=0,WI_M&lt;0,G57=1),WI_M*12*F57,0))</f>
        <v>0</v>
      </c>
      <c r="IB57" s="20" t="n">
        <f aca="false">Slot1_IsWG*W57+Slot2_IsWG*AH57+Slot3_IsWG*AR57+Slot4_IsWG*BB57+Slot5_IsWG*BL57+Slot6_IsWG*BV57+Slot7_IsWG*CF57+Slot8_IsWG*CP57+Slot9_IsWG*CZ57+Slot10_IsWG*DJ57+Slot11_IsWG*DT57+Slot12_IsWG*ED57+Slot13_IsWG*EN57+Slot14_IsWG*EX57+Slot15_IsWG*FH57+Slot16_IsWG*FR57+Slot17_IsWG*GB57+Slot18_IsWG*GL57+Slot19_IsWG*GV57+Slot20_IsWG*HF57</f>
        <v>0</v>
      </c>
      <c r="IC57" s="20" t="n">
        <f aca="false">IF(AND(WI_Retire=0,WI_M&gt;0,G57=1,IB57&gt;=1),WI_M*12*F57,0)</f>
        <v>0</v>
      </c>
      <c r="ID57" s="20" t="n">
        <f aca="false">IF(HU57=1,MIN(IA57,HS57),0)</f>
        <v>0</v>
      </c>
      <c r="IE57" s="20" t="n">
        <f aca="false">IF(HU57=1,MIN(IC57,HS57-ID57),0)</f>
        <v>0</v>
      </c>
      <c r="IF57" s="20" t="n">
        <f aca="false">IF(W57=1,IF(ABS((1+AS_Wage)/(1+Slot1_Rate)-1)&lt;0.000000000001,(Slot1_Age-D57)*(1+Slot1_Rate)^(Slot1_Age-D57),(1+Slot1_Rate)^(Slot1_Age-D57)*(1-((1+AS_Wage)/(1+Slot1_Rate))^(Slot1_Age-D57))/(1-(1+AS_Wage)/(1+Slot1_Rate))),1)</f>
        <v>1</v>
      </c>
      <c r="IG57" s="20" t="n">
        <f aca="false">IF(AND(HU57=1,IE57&gt;0,Slot1_IsWG=1,W57=1),MAX(0,(Slot1_Cost-X57*(1+Slot1_Rate)^(Slot1_Age-D57))/IF57),0)</f>
        <v>0</v>
      </c>
      <c r="IH57" s="20" t="n">
        <f aca="false">IF(AND(HU57=1,IE57&gt;0,Slot1_IsWG=1,W57=1),MIN(IE57,IG57),0)</f>
        <v>0</v>
      </c>
      <c r="II57" s="20" t="n">
        <f aca="false">X57+IH57</f>
        <v>0</v>
      </c>
      <c r="IJ57" s="20" t="n">
        <f aca="false">IF(W57=1,MAX(0,(Slot1_Cost-II57*(1+Slot1_Rate)^(Slot1_Age-D57))/IF57),0)</f>
        <v>0</v>
      </c>
      <c r="IK57" s="20" t="n">
        <f aca="false">IF(W57=1,MAX(0,(Slot1_Cost-X57*(1+Slot1_Rate)^(Slot1_Age-D57))/IF57),0)</f>
        <v>0</v>
      </c>
      <c r="IL57" s="20" t="n">
        <f aca="false">IF(AND(HU57=1,W57=1),MIN(ID57,IJ57),0)</f>
        <v>0</v>
      </c>
      <c r="IM57" s="20" t="n">
        <f aca="false">ID57-IL57</f>
        <v>0</v>
      </c>
      <c r="IN57" s="20" t="n">
        <f aca="false">IF(AH57=1,IF(ABS((1+AS_Wage)/(1+Slot2_Rate)-1)&lt;0.000000000001,(Slot2_Age-D57)*(1+Slot2_Rate)^(Slot2_Age-D57),(1+Slot2_Rate)^(Slot2_Age-D57)*(1-((1+AS_Wage)/(1+Slot2_Rate))^(Slot2_Age-D57))/(1-(1+AS_Wage)/(1+Slot2_Rate))),1)</f>
        <v>1</v>
      </c>
      <c r="IO57" s="20" t="n">
        <f aca="false">IF(AND(HU57=1,IE57&gt;0,Slot2_IsWG=1,AH57=1),MAX(0,(Slot2_Cost-AI57*(1+Slot2_Rate)^(Slot2_Age-D57))/IN57),0)</f>
        <v>0</v>
      </c>
      <c r="IP57" s="20" t="n">
        <f aca="false">IF(AND(HU57=1,IE57&gt;0,Slot2_IsWG=1,AH57=1),MIN(IE57,IO57),0)</f>
        <v>0</v>
      </c>
      <c r="IQ57" s="20" t="n">
        <f aca="false">AI57+IP57</f>
        <v>0</v>
      </c>
      <c r="IR57" s="20" t="n">
        <f aca="false">IF(AH57=1,MAX(0,(Slot2_Cost-IQ57*(1+Slot2_Rate)^(Slot2_Age-D57))/IN57),0)</f>
        <v>0</v>
      </c>
      <c r="IS57" s="20" t="n">
        <f aca="false">IF(AH57=1,MAX(0,(Slot2_Cost-AI57*(1+Slot2_Rate)^(Slot2_Age-D57))/IN57),0)</f>
        <v>0</v>
      </c>
      <c r="IT57" s="20" t="n">
        <f aca="false">IF(AND(HU57=1,AH57=1),MIN(IM57,IR57),0)</f>
        <v>0</v>
      </c>
      <c r="IU57" s="20" t="n">
        <f aca="false">IM57-IT57</f>
        <v>0</v>
      </c>
      <c r="IV57" s="20" t="n">
        <f aca="false">IF(AR57=1,IF(ABS((1+AS_Wage)/(1+Slot3_Rate)-1)&lt;0.000000000001,(Slot3_Age-D57)*(1+Slot3_Rate)^(Slot3_Age-D57),(1+Slot3_Rate)^(Slot3_Age-D57)*(1-((1+AS_Wage)/(1+Slot3_Rate))^(Slot3_Age-D57))/(1-(1+AS_Wage)/(1+Slot3_Rate))),1)</f>
        <v>1</v>
      </c>
      <c r="IW57" s="20" t="n">
        <f aca="false">IF(AND(HU57=1,IE57&gt;0,Slot3_IsWG=1,AR57=1),MAX(0,(Slot3_Cost-AS57*(1+Slot3_Rate)^(Slot3_Age-D57))/IV57),0)</f>
        <v>0</v>
      </c>
      <c r="IX57" s="20" t="n">
        <f aca="false">IF(AND(HU57=1,IE57&gt;0,Slot3_IsWG=1,AR57=1),MIN(IE57,IW57),0)</f>
        <v>0</v>
      </c>
      <c r="IY57" s="20" t="n">
        <f aca="false">AS57+IX57</f>
        <v>0</v>
      </c>
      <c r="IZ57" s="20" t="n">
        <f aca="false">IF(AR57=1,MAX(0,(Slot3_Cost-IY57*(1+Slot3_Rate)^(Slot3_Age-D57))/IV57),0)</f>
        <v>0</v>
      </c>
      <c r="JA57" s="20" t="n">
        <f aca="false">IF(AR57=1,MAX(0,(Slot3_Cost-AS57*(1+Slot3_Rate)^(Slot3_Age-D57))/IV57),0)</f>
        <v>0</v>
      </c>
      <c r="JB57" s="20" t="n">
        <f aca="false">IF(AND(HU57=1,AR57=1),MIN(IU57,IZ57),0)</f>
        <v>0</v>
      </c>
      <c r="JC57" s="20" t="n">
        <f aca="false">IU57-JB57</f>
        <v>0</v>
      </c>
      <c r="JD57" s="20" t="n">
        <f aca="false">IF(BB57=1,IF(ABS((1+AS_Wage)/(1+Slot4_Rate)-1)&lt;0.000000000001,(Slot4_Age-D57)*(1+Slot4_Rate)^(Slot4_Age-D57),(1+Slot4_Rate)^(Slot4_Age-D57)*(1-((1+AS_Wage)/(1+Slot4_Rate))^(Slot4_Age-D57))/(1-(1+AS_Wage)/(1+Slot4_Rate))),1)</f>
        <v>1</v>
      </c>
      <c r="JE57" s="20" t="n">
        <f aca="false">IF(AND(HU57=1,IE57&gt;0,Slot4_IsWG=1,BB57=1),MAX(0,(Slot4_Cost-BC57*(1+Slot4_Rate)^(Slot4_Age-D57))/JD57),0)</f>
        <v>0</v>
      </c>
      <c r="JF57" s="20" t="n">
        <f aca="false">IF(AND(HU57=1,IE57&gt;0,Slot4_IsWG=1,BB57=1),MIN(IE57,JE57),0)</f>
        <v>0</v>
      </c>
      <c r="JG57" s="20" t="n">
        <f aca="false">BC57+JF57</f>
        <v>0</v>
      </c>
      <c r="JH57" s="20" t="n">
        <f aca="false">IF(BB57=1,MAX(0,(Slot4_Cost-JG57*(1+Slot4_Rate)^(Slot4_Age-D57))/JD57),0)</f>
        <v>0</v>
      </c>
      <c r="JI57" s="20" t="n">
        <f aca="false">IF(BB57=1,MAX(0,(Slot4_Cost-BC57*(1+Slot4_Rate)^(Slot4_Age-D57))/JD57),0)</f>
        <v>0</v>
      </c>
      <c r="JJ57" s="20" t="n">
        <f aca="false">IF(AND(HU57=1,BB57=1),MIN(JC57,JH57),0)</f>
        <v>0</v>
      </c>
      <c r="JK57" s="20" t="n">
        <f aca="false">JC57-JJ57</f>
        <v>0</v>
      </c>
      <c r="JL57" s="20" t="n">
        <f aca="false">IF(BL57=1,IF(ABS((1+AS_Wage)/(1+Slot5_Rate)-1)&lt;0.000000000001,(Slot5_Age-D57)*(1+Slot5_Rate)^(Slot5_Age-D57),(1+Slot5_Rate)^(Slot5_Age-D57)*(1-((1+AS_Wage)/(1+Slot5_Rate))^(Slot5_Age-D57))/(1-(1+AS_Wage)/(1+Slot5_Rate))),1)</f>
        <v>1</v>
      </c>
      <c r="JM57" s="20" t="n">
        <f aca="false">IF(AND(HU57=1,IE57&gt;0,Slot5_IsWG=1,BL57=1),MAX(0,(Slot5_Cost-BM57*(1+Slot5_Rate)^(Slot5_Age-D57))/JL57),0)</f>
        <v>0</v>
      </c>
      <c r="JN57" s="20" t="n">
        <f aca="false">IF(AND(HU57=1,IE57&gt;0,Slot5_IsWG=1,BL57=1),MIN(IE57,JM57),0)</f>
        <v>0</v>
      </c>
      <c r="JO57" s="20" t="n">
        <f aca="false">BM57+JN57</f>
        <v>0</v>
      </c>
      <c r="JP57" s="20" t="n">
        <f aca="false">IF(BL57=1,MAX(0,(Slot5_Cost-JO57*(1+Slot5_Rate)^(Slot5_Age-D57))/JL57),0)</f>
        <v>0</v>
      </c>
      <c r="JQ57" s="20" t="n">
        <f aca="false">IF(BL57=1,MAX(0,(Slot5_Cost-BM57*(1+Slot5_Rate)^(Slot5_Age-D57))/JL57),0)</f>
        <v>0</v>
      </c>
      <c r="JR57" s="20" t="n">
        <f aca="false">IF(AND(HU57=1,BL57=1),MIN(JK57,JP57),0)</f>
        <v>0</v>
      </c>
      <c r="JS57" s="20" t="n">
        <f aca="false">JK57-JR57</f>
        <v>0</v>
      </c>
      <c r="JT57" s="20" t="n">
        <f aca="false">IF(BV57=1,IF(ABS((1+AS_Wage)/(1+Slot6_Rate)-1)&lt;0.000000000001,(Slot6_Age-D57)*(1+Slot6_Rate)^(Slot6_Age-D57),(1+Slot6_Rate)^(Slot6_Age-D57)*(1-((1+AS_Wage)/(1+Slot6_Rate))^(Slot6_Age-D57))/(1-(1+AS_Wage)/(1+Slot6_Rate))),1)</f>
        <v>1</v>
      </c>
      <c r="JU57" s="20" t="n">
        <f aca="false">IF(AND(HU57=1,IE57&gt;0,Slot6_IsWG=1,BV57=1),MAX(0,(Slot6_Cost-BW57*(1+Slot6_Rate)^(Slot6_Age-D57))/JT57),0)</f>
        <v>0</v>
      </c>
      <c r="JV57" s="20" t="n">
        <f aca="false">IF(AND(HU57=1,IE57&gt;0,Slot6_IsWG=1,BV57=1),MIN(IE57,JU57),0)</f>
        <v>0</v>
      </c>
      <c r="JW57" s="20" t="n">
        <f aca="false">BW57+JV57</f>
        <v>0</v>
      </c>
      <c r="JX57" s="20" t="n">
        <f aca="false">IF(BV57=1,MAX(0,(Slot6_Cost-JW57*(1+Slot6_Rate)^(Slot6_Age-D57))/JT57),0)</f>
        <v>0</v>
      </c>
      <c r="JY57" s="20" t="n">
        <f aca="false">IF(BV57=1,MAX(0,(Slot6_Cost-BW57*(1+Slot6_Rate)^(Slot6_Age-D57))/JT57),0)</f>
        <v>0</v>
      </c>
      <c r="JZ57" s="20" t="n">
        <f aca="false">IF(AND(HU57=1,BV57=1),MIN(JS57,JX57),0)</f>
        <v>0</v>
      </c>
      <c r="KA57" s="20" t="n">
        <f aca="false">JS57-JZ57</f>
        <v>0</v>
      </c>
      <c r="KB57" s="20" t="n">
        <f aca="false">IF(CF57=1,IF(ABS((1+AS_Wage)/(1+Slot7_Rate)-1)&lt;0.000000000001,(Slot7_Age-D57)*(1+Slot7_Rate)^(Slot7_Age-D57),(1+Slot7_Rate)^(Slot7_Age-D57)*(1-((1+AS_Wage)/(1+Slot7_Rate))^(Slot7_Age-D57))/(1-(1+AS_Wage)/(1+Slot7_Rate))),1)</f>
        <v>1</v>
      </c>
      <c r="KC57" s="20" t="n">
        <f aca="false">IF(AND(HU57=1,IE57&gt;0,Slot7_IsWG=1,CF57=1),MAX(0,(Slot7_Cost-CG57*(1+Slot7_Rate)^(Slot7_Age-D57))/KB57),0)</f>
        <v>0</v>
      </c>
      <c r="KD57" s="20" t="n">
        <f aca="false">IF(AND(HU57=1,IE57&gt;0,Slot7_IsWG=1,CF57=1),MIN(IE57,KC57),0)</f>
        <v>0</v>
      </c>
      <c r="KE57" s="20" t="n">
        <f aca="false">CG57+KD57</f>
        <v>0</v>
      </c>
      <c r="KF57" s="20" t="n">
        <f aca="false">IF(CF57=1,MAX(0,(Slot7_Cost-KE57*(1+Slot7_Rate)^(Slot7_Age-D57))/KB57),0)</f>
        <v>0</v>
      </c>
      <c r="KG57" s="20" t="n">
        <f aca="false">IF(CF57=1,MAX(0,(Slot7_Cost-CG57*(1+Slot7_Rate)^(Slot7_Age-D57))/KB57),0)</f>
        <v>0</v>
      </c>
      <c r="KH57" s="20" t="n">
        <f aca="false">IF(AND(HU57=1,CF57=1),MIN(KA57,KF57),0)</f>
        <v>0</v>
      </c>
      <c r="KI57" s="20" t="n">
        <f aca="false">KA57-KH57</f>
        <v>0</v>
      </c>
      <c r="KJ57" s="20" t="n">
        <f aca="false">IF(CP57=1,IF(ABS((1+AS_Wage)/(1+Slot8_Rate)-1)&lt;0.000000000001,(Slot8_Age-D57)*(1+Slot8_Rate)^(Slot8_Age-D57),(1+Slot8_Rate)^(Slot8_Age-D57)*(1-((1+AS_Wage)/(1+Slot8_Rate))^(Slot8_Age-D57))/(1-(1+AS_Wage)/(1+Slot8_Rate))),1)</f>
        <v>1</v>
      </c>
      <c r="KK57" s="20" t="n">
        <f aca="false">IF(AND(HU57=1,IE57&gt;0,Slot8_IsWG=1,CP57=1),MAX(0,(Slot8_Cost-CQ57*(1+Slot8_Rate)^(Slot8_Age-D57))/KJ57),0)</f>
        <v>0</v>
      </c>
      <c r="KL57" s="20" t="n">
        <f aca="false">IF(AND(HU57=1,IE57&gt;0,Slot8_IsWG=1,CP57=1),MIN(IE57,KK57),0)</f>
        <v>0</v>
      </c>
      <c r="KM57" s="20" t="n">
        <f aca="false">CQ57+KL57</f>
        <v>0</v>
      </c>
      <c r="KN57" s="20" t="n">
        <f aca="false">IF(CP57=1,MAX(0,(Slot8_Cost-KM57*(1+Slot8_Rate)^(Slot8_Age-D57))/KJ57),0)</f>
        <v>0</v>
      </c>
      <c r="KO57" s="20" t="n">
        <f aca="false">IF(CP57=1,MAX(0,(Slot8_Cost-CQ57*(1+Slot8_Rate)^(Slot8_Age-D57))/KJ57),0)</f>
        <v>0</v>
      </c>
      <c r="KP57" s="20" t="n">
        <f aca="false">IF(AND(HU57=1,CP57=1),MIN(KI57,KN57),0)</f>
        <v>0</v>
      </c>
      <c r="KQ57" s="20" t="n">
        <f aca="false">KI57-KP57</f>
        <v>0</v>
      </c>
      <c r="KR57" s="20" t="n">
        <f aca="false">IF(CZ57=1,IF(ABS((1+AS_Wage)/(1+Slot9_Rate)-1)&lt;0.000000000001,(Slot9_Age-D57)*(1+Slot9_Rate)^(Slot9_Age-D57),(1+Slot9_Rate)^(Slot9_Age-D57)*(1-((1+AS_Wage)/(1+Slot9_Rate))^(Slot9_Age-D57))/(1-(1+AS_Wage)/(1+Slot9_Rate))),1)</f>
        <v>1</v>
      </c>
      <c r="KS57" s="20" t="n">
        <f aca="false">IF(AND(HU57=1,IE57&gt;0,Slot9_IsWG=1,CZ57=1),MAX(0,(Slot9_Cost-DA57*(1+Slot9_Rate)^(Slot9_Age-D57))/KR57),0)</f>
        <v>0</v>
      </c>
      <c r="KT57" s="20" t="n">
        <f aca="false">IF(AND(HU57=1,IE57&gt;0,Slot9_IsWG=1,CZ57=1),MIN(IE57,KS57),0)</f>
        <v>0</v>
      </c>
      <c r="KU57" s="20" t="n">
        <f aca="false">DA57+KT57</f>
        <v>0</v>
      </c>
      <c r="KV57" s="20" t="n">
        <f aca="false">IF(CZ57=1,MAX(0,(Slot9_Cost-KU57*(1+Slot9_Rate)^(Slot9_Age-D57))/KR57),0)</f>
        <v>0</v>
      </c>
      <c r="KW57" s="20" t="n">
        <f aca="false">IF(CZ57=1,MAX(0,(Slot9_Cost-DA57*(1+Slot9_Rate)^(Slot9_Age-D57))/KR57),0)</f>
        <v>0</v>
      </c>
      <c r="KX57" s="20" t="n">
        <f aca="false">IF(AND(HU57=1,CZ57=1),MIN(KQ57,KV57),0)</f>
        <v>0</v>
      </c>
      <c r="KY57" s="20" t="n">
        <f aca="false">KQ57-KX57</f>
        <v>0</v>
      </c>
      <c r="KZ57" s="20" t="n">
        <f aca="false">IF(DJ57=1,IF(ABS((1+AS_Wage)/(1+Slot10_Rate)-1)&lt;0.000000000001,(Slot10_Age-D57)*(1+Slot10_Rate)^(Slot10_Age-D57),(1+Slot10_Rate)^(Slot10_Age-D57)*(1-((1+AS_Wage)/(1+Slot10_Rate))^(Slot10_Age-D57))/(1-(1+AS_Wage)/(1+Slot10_Rate))),1)</f>
        <v>1</v>
      </c>
      <c r="LA57" s="20" t="n">
        <f aca="false">IF(AND(HU57=1,IE57&gt;0,Slot10_IsWG=1,DJ57=1),MAX(0,(Slot10_Cost-DK57*(1+Slot10_Rate)^(Slot10_Age-D57))/KZ57),0)</f>
        <v>0</v>
      </c>
      <c r="LB57" s="20" t="n">
        <f aca="false">IF(AND(HU57=1,IE57&gt;0,Slot10_IsWG=1,DJ57=1),MIN(IE57,LA57),0)</f>
        <v>0</v>
      </c>
      <c r="LC57" s="20" t="n">
        <f aca="false">DK57+LB57</f>
        <v>0</v>
      </c>
      <c r="LD57" s="20" t="n">
        <f aca="false">IF(DJ57=1,MAX(0,(Slot10_Cost-LC57*(1+Slot10_Rate)^(Slot10_Age-D57))/KZ57),0)</f>
        <v>0</v>
      </c>
      <c r="LE57" s="20" t="n">
        <f aca="false">IF(DJ57=1,MAX(0,(Slot10_Cost-DK57*(1+Slot10_Rate)^(Slot10_Age-D57))/KZ57),0)</f>
        <v>0</v>
      </c>
      <c r="LF57" s="20" t="n">
        <f aca="false">IF(AND(HU57=1,DJ57=1),MIN(KY57,LD57),0)</f>
        <v>0</v>
      </c>
      <c r="LG57" s="20" t="n">
        <f aca="false">KY57-LF57</f>
        <v>0</v>
      </c>
      <c r="LH57" s="20" t="n">
        <f aca="false">IF(DT57=1,IF(ABS((1+AS_Wage)/(1+Slot11_Rate)-1)&lt;0.000000000001,(Slot11_Age-D57)*(1+Slot11_Rate)^(Slot11_Age-D57),(1+Slot11_Rate)^(Slot11_Age-D57)*(1-((1+AS_Wage)/(1+Slot11_Rate))^(Slot11_Age-D57))/(1-(1+AS_Wage)/(1+Slot11_Rate))),1)</f>
        <v>1</v>
      </c>
      <c r="LI57" s="20" t="n">
        <f aca="false">IF(AND(HU57=1,IE57&gt;0,Slot11_IsWG=1,DT57=1),MAX(0,(Slot11_Cost-DU57*(1+Slot11_Rate)^(Slot11_Age-D57))/LH57),0)</f>
        <v>0</v>
      </c>
      <c r="LJ57" s="20" t="n">
        <f aca="false">IF(AND(HU57=1,IE57&gt;0,Slot11_IsWG=1,DT57=1),MIN(IE57,LI57),0)</f>
        <v>0</v>
      </c>
      <c r="LK57" s="20" t="n">
        <f aca="false">DU57+LJ57</f>
        <v>0</v>
      </c>
      <c r="LL57" s="20" t="n">
        <f aca="false">IF(DT57=1,MAX(0,(Slot11_Cost-LK57*(1+Slot11_Rate)^(Slot11_Age-D57))/LH57),0)</f>
        <v>0</v>
      </c>
      <c r="LM57" s="20" t="n">
        <f aca="false">IF(DT57=1,MAX(0,(Slot11_Cost-DU57*(1+Slot11_Rate)^(Slot11_Age-D57))/LH57),0)</f>
        <v>0</v>
      </c>
      <c r="LN57" s="20" t="n">
        <f aca="false">IF(AND(HU57=1,DT57=1),MIN(LG57,LL57),0)</f>
        <v>0</v>
      </c>
      <c r="LO57" s="20" t="n">
        <f aca="false">LG57-LN57</f>
        <v>0</v>
      </c>
      <c r="LP57" s="20" t="n">
        <f aca="false">IF(ED57=1,IF(ABS((1+AS_Wage)/(1+Slot12_Rate)-1)&lt;0.000000000001,(Slot12_Age-D57)*(1+Slot12_Rate)^(Slot12_Age-D57),(1+Slot12_Rate)^(Slot12_Age-D57)*(1-((1+AS_Wage)/(1+Slot12_Rate))^(Slot12_Age-D57))/(1-(1+AS_Wage)/(1+Slot12_Rate))),1)</f>
        <v>1</v>
      </c>
      <c r="LQ57" s="20" t="n">
        <f aca="false">IF(AND(HU57=1,IE57&gt;0,Slot12_IsWG=1,ED57=1),MAX(0,(Slot12_Cost-EE57*(1+Slot12_Rate)^(Slot12_Age-D57))/LP57),0)</f>
        <v>0</v>
      </c>
      <c r="LR57" s="20" t="n">
        <f aca="false">IF(AND(HU57=1,IE57&gt;0,Slot12_IsWG=1,ED57=1),MIN(IE57,LQ57),0)</f>
        <v>0</v>
      </c>
      <c r="LS57" s="20" t="n">
        <f aca="false">EE57+LR57</f>
        <v>0</v>
      </c>
      <c r="LT57" s="20" t="n">
        <f aca="false">IF(ED57=1,MAX(0,(Slot12_Cost-LS57*(1+Slot12_Rate)^(Slot12_Age-D57))/LP57),0)</f>
        <v>0</v>
      </c>
      <c r="LU57" s="20" t="n">
        <f aca="false">IF(ED57=1,MAX(0,(Slot12_Cost-EE57*(1+Slot12_Rate)^(Slot12_Age-D57))/LP57),0)</f>
        <v>0</v>
      </c>
      <c r="LV57" s="20" t="n">
        <f aca="false">IF(AND(HU57=1,ED57=1),MIN(LO57,LT57),0)</f>
        <v>0</v>
      </c>
      <c r="LW57" s="20" t="n">
        <f aca="false">LO57-LV57</f>
        <v>0</v>
      </c>
      <c r="LX57" s="20" t="n">
        <f aca="false">IF(EN57=1,IF(ABS((1+AS_Wage)/(1+Slot13_Rate)-1)&lt;0.000000000001,(Slot13_Age-D57)*(1+Slot13_Rate)^(Slot13_Age-D57),(1+Slot13_Rate)^(Slot13_Age-D57)*(1-((1+AS_Wage)/(1+Slot13_Rate))^(Slot13_Age-D57))/(1-(1+AS_Wage)/(1+Slot13_Rate))),1)</f>
        <v>1</v>
      </c>
      <c r="LY57" s="20" t="n">
        <f aca="false">IF(AND(HU57=1,IE57&gt;0,Slot13_IsWG=1,EN57=1),MAX(0,(Slot13_Cost-EO57*(1+Slot13_Rate)^(Slot13_Age-D57))/LX57),0)</f>
        <v>0</v>
      </c>
      <c r="LZ57" s="20" t="n">
        <f aca="false">IF(AND(HU57=1,IE57&gt;0,Slot13_IsWG=1,EN57=1),MIN(IE57,LY57),0)</f>
        <v>0</v>
      </c>
      <c r="MA57" s="20" t="n">
        <f aca="false">EO57+LZ57</f>
        <v>0</v>
      </c>
      <c r="MB57" s="20" t="n">
        <f aca="false">IF(EN57=1,MAX(0,(Slot13_Cost-MA57*(1+Slot13_Rate)^(Slot13_Age-D57))/LX57),0)</f>
        <v>0</v>
      </c>
      <c r="MC57" s="20" t="n">
        <f aca="false">IF(EN57=1,MAX(0,(Slot13_Cost-EO57*(1+Slot13_Rate)^(Slot13_Age-D57))/LX57),0)</f>
        <v>0</v>
      </c>
      <c r="MD57" s="20" t="n">
        <f aca="false">IF(AND(HU57=1,EN57=1),MIN(LW57,MB57),0)</f>
        <v>0</v>
      </c>
      <c r="ME57" s="20" t="n">
        <f aca="false">LW57-MD57</f>
        <v>0</v>
      </c>
      <c r="MF57" s="20" t="n">
        <f aca="false">IF(EX57=1,IF(ABS((1+AS_Wage)/(1+Slot14_Rate)-1)&lt;0.000000000001,(Slot14_Age-D57)*(1+Slot14_Rate)^(Slot14_Age-D57),(1+Slot14_Rate)^(Slot14_Age-D57)*(1-((1+AS_Wage)/(1+Slot14_Rate))^(Slot14_Age-D57))/(1-(1+AS_Wage)/(1+Slot14_Rate))),1)</f>
        <v>1</v>
      </c>
      <c r="MG57" s="20" t="n">
        <f aca="false">IF(AND(HU57=1,IE57&gt;0,Slot14_IsWG=1,EX57=1),MAX(0,(Slot14_Cost-EY57*(1+Slot14_Rate)^(Slot14_Age-D57))/MF57),0)</f>
        <v>0</v>
      </c>
      <c r="MH57" s="20" t="n">
        <f aca="false">IF(AND(HU57=1,IE57&gt;0,Slot14_IsWG=1,EX57=1),MIN(IE57,MG57),0)</f>
        <v>0</v>
      </c>
      <c r="MI57" s="20" t="n">
        <f aca="false">EY57+MH57</f>
        <v>0</v>
      </c>
      <c r="MJ57" s="20" t="n">
        <f aca="false">IF(EX57=1,MAX(0,(Slot14_Cost-MI57*(1+Slot14_Rate)^(Slot14_Age-D57))/MF57),0)</f>
        <v>0</v>
      </c>
      <c r="MK57" s="20" t="n">
        <f aca="false">IF(EX57=1,MAX(0,(Slot14_Cost-EY57*(1+Slot14_Rate)^(Slot14_Age-D57))/MF57),0)</f>
        <v>0</v>
      </c>
      <c r="ML57" s="20" t="n">
        <f aca="false">IF(AND(HU57=1,EX57=1),MIN(ME57,MJ57),0)</f>
        <v>0</v>
      </c>
      <c r="MM57" s="20" t="n">
        <f aca="false">ME57-ML57</f>
        <v>0</v>
      </c>
      <c r="MN57" s="20" t="n">
        <f aca="false">IF(FH57=1,IF(ABS((1+AS_Wage)/(1+Slot15_Rate)-1)&lt;0.000000000001,(Slot15_Age-D57)*(1+Slot15_Rate)^(Slot15_Age-D57),(1+Slot15_Rate)^(Slot15_Age-D57)*(1-((1+AS_Wage)/(1+Slot15_Rate))^(Slot15_Age-D57))/(1-(1+AS_Wage)/(1+Slot15_Rate))),1)</f>
        <v>1</v>
      </c>
      <c r="MO57" s="20" t="n">
        <f aca="false">IF(AND(HU57=1,IE57&gt;0,Slot15_IsWG=1,FH57=1),MAX(0,(Slot15_Cost-FI57*(1+Slot15_Rate)^(Slot15_Age-D57))/MN57),0)</f>
        <v>0</v>
      </c>
      <c r="MP57" s="20" t="n">
        <f aca="false">IF(AND(HU57=1,IE57&gt;0,Slot15_IsWG=1,FH57=1),MIN(IE57,MO57),0)</f>
        <v>0</v>
      </c>
      <c r="MQ57" s="20" t="n">
        <f aca="false">FI57+MP57</f>
        <v>0</v>
      </c>
      <c r="MR57" s="20" t="n">
        <f aca="false">IF(FH57=1,MAX(0,(Slot15_Cost-MQ57*(1+Slot15_Rate)^(Slot15_Age-D57))/MN57),0)</f>
        <v>0</v>
      </c>
      <c r="MS57" s="20" t="n">
        <f aca="false">IF(FH57=1,MAX(0,(Slot15_Cost-FI57*(1+Slot15_Rate)^(Slot15_Age-D57))/MN57),0)</f>
        <v>0</v>
      </c>
      <c r="MT57" s="20" t="n">
        <f aca="false">IF(AND(HU57=1,FH57=1),MIN(MM57,MR57),0)</f>
        <v>0</v>
      </c>
      <c r="MU57" s="20" t="n">
        <f aca="false">MM57-MT57</f>
        <v>0</v>
      </c>
      <c r="MV57" s="20" t="n">
        <f aca="false">IF(FR57=1,IF(ABS((1+AS_Wage)/(1+Slot16_Rate)-1)&lt;0.000000000001,(Slot16_Age-D57)*(1+Slot16_Rate)^(Slot16_Age-D57),(1+Slot16_Rate)^(Slot16_Age-D57)*(1-((1+AS_Wage)/(1+Slot16_Rate))^(Slot16_Age-D57))/(1-(1+AS_Wage)/(1+Slot16_Rate))),1)</f>
        <v>1</v>
      </c>
      <c r="MW57" s="20" t="n">
        <f aca="false">IF(AND(HU57=1,IE57&gt;0,Slot16_IsWG=1,FR57=1),MAX(0,(Slot16_Cost-FS57*(1+Slot16_Rate)^(Slot16_Age-D57))/MV57),0)</f>
        <v>0</v>
      </c>
      <c r="MX57" s="20" t="n">
        <f aca="false">IF(AND(HU57=1,IE57&gt;0,Slot16_IsWG=1,FR57=1),MIN(IE57,MW57),0)</f>
        <v>0</v>
      </c>
      <c r="MY57" s="20" t="n">
        <f aca="false">FS57+MX57</f>
        <v>0</v>
      </c>
      <c r="MZ57" s="20" t="n">
        <f aca="false">IF(FR57=1,MAX(0,(Slot16_Cost-MY57*(1+Slot16_Rate)^(Slot16_Age-D57))/MV57),0)</f>
        <v>0</v>
      </c>
      <c r="NA57" s="20" t="n">
        <f aca="false">IF(FR57=1,MAX(0,(Slot16_Cost-FS57*(1+Slot16_Rate)^(Slot16_Age-D57))/MV57),0)</f>
        <v>0</v>
      </c>
      <c r="NB57" s="20" t="n">
        <f aca="false">IF(AND(HU57=1,FR57=1),MIN(MU57,MZ57),0)</f>
        <v>0</v>
      </c>
      <c r="NC57" s="20" t="n">
        <f aca="false">MU57-NB57</f>
        <v>0</v>
      </c>
      <c r="ND57" s="20" t="n">
        <f aca="false">IF(GB57=1,IF(ABS((1+AS_Wage)/(1+Slot17_Rate)-1)&lt;0.000000000001,(Slot17_Age-D57)*(1+Slot17_Rate)^(Slot17_Age-D57),(1+Slot17_Rate)^(Slot17_Age-D57)*(1-((1+AS_Wage)/(1+Slot17_Rate))^(Slot17_Age-D57))/(1-(1+AS_Wage)/(1+Slot17_Rate))),1)</f>
        <v>1</v>
      </c>
      <c r="NE57" s="20" t="n">
        <f aca="false">IF(AND(HU57=1,IE57&gt;0,Slot17_IsWG=1,GB57=1),MAX(0,(Slot17_Cost-GC57*(1+Slot17_Rate)^(Slot17_Age-D57))/ND57),0)</f>
        <v>0</v>
      </c>
      <c r="NF57" s="20" t="n">
        <f aca="false">IF(AND(HU57=1,IE57&gt;0,Slot17_IsWG=1,GB57=1),MIN(IE57,NE57),0)</f>
        <v>0</v>
      </c>
      <c r="NG57" s="20" t="n">
        <f aca="false">GC57+NF57</f>
        <v>0</v>
      </c>
      <c r="NH57" s="20" t="n">
        <f aca="false">IF(GB57=1,MAX(0,(Slot17_Cost-NG57*(1+Slot17_Rate)^(Slot17_Age-D57))/ND57),0)</f>
        <v>0</v>
      </c>
      <c r="NI57" s="20" t="n">
        <f aca="false">IF(GB57=1,MAX(0,(Slot17_Cost-GC57*(1+Slot17_Rate)^(Slot17_Age-D57))/ND57),0)</f>
        <v>0</v>
      </c>
      <c r="NJ57" s="20" t="n">
        <f aca="false">IF(AND(HU57=1,GB57=1),MIN(NC57,NH57),0)</f>
        <v>0</v>
      </c>
      <c r="NK57" s="20" t="n">
        <f aca="false">NC57-NJ57</f>
        <v>0</v>
      </c>
      <c r="NL57" s="20" t="n">
        <f aca="false">IF(GL57=1,IF(ABS((1+AS_Wage)/(1+Slot18_Rate)-1)&lt;0.000000000001,(Slot18_Age-D57)*(1+Slot18_Rate)^(Slot18_Age-D57),(1+Slot18_Rate)^(Slot18_Age-D57)*(1-((1+AS_Wage)/(1+Slot18_Rate))^(Slot18_Age-D57))/(1-(1+AS_Wage)/(1+Slot18_Rate))),1)</f>
        <v>1</v>
      </c>
      <c r="NM57" s="20" t="n">
        <f aca="false">IF(AND(HU57=1,IE57&gt;0,Slot18_IsWG=1,GL57=1),MAX(0,(Slot18_Cost-GM57*(1+Slot18_Rate)^(Slot18_Age-D57))/NL57),0)</f>
        <v>0</v>
      </c>
      <c r="NN57" s="20" t="n">
        <f aca="false">IF(AND(HU57=1,IE57&gt;0,Slot18_IsWG=1,GL57=1),MIN(IE57,NM57),0)</f>
        <v>0</v>
      </c>
      <c r="NO57" s="20" t="n">
        <f aca="false">GM57+NN57</f>
        <v>0</v>
      </c>
      <c r="NP57" s="20" t="n">
        <f aca="false">IF(GL57=1,MAX(0,(Slot18_Cost-NO57*(1+Slot18_Rate)^(Slot18_Age-D57))/NL57),0)</f>
        <v>0</v>
      </c>
      <c r="NQ57" s="20" t="n">
        <f aca="false">IF(GL57=1,MAX(0,(Slot18_Cost-GM57*(1+Slot18_Rate)^(Slot18_Age-D57))/NL57),0)</f>
        <v>0</v>
      </c>
      <c r="NR57" s="20" t="n">
        <f aca="false">IF(AND(HU57=1,GL57=1),MIN(NK57,NP57),0)</f>
        <v>0</v>
      </c>
      <c r="NS57" s="20" t="n">
        <f aca="false">NK57-NR57</f>
        <v>0</v>
      </c>
      <c r="NT57" s="20" t="n">
        <f aca="false">IF(GV57=1,IF(ABS((1+AS_Wage)/(1+Slot19_Rate)-1)&lt;0.000000000001,(Slot19_Age-D57)*(1+Slot19_Rate)^(Slot19_Age-D57),(1+Slot19_Rate)^(Slot19_Age-D57)*(1-((1+AS_Wage)/(1+Slot19_Rate))^(Slot19_Age-D57))/(1-(1+AS_Wage)/(1+Slot19_Rate))),1)</f>
        <v>1</v>
      </c>
      <c r="NU57" s="20" t="n">
        <f aca="false">IF(AND(HU57=1,IE57&gt;0,Slot19_IsWG=1,GV57=1),MAX(0,(Slot19_Cost-GW57*(1+Slot19_Rate)^(Slot19_Age-D57))/NT57),0)</f>
        <v>0</v>
      </c>
      <c r="NV57" s="20" t="n">
        <f aca="false">IF(AND(HU57=1,IE57&gt;0,Slot19_IsWG=1,GV57=1),MIN(IE57,NU57),0)</f>
        <v>0</v>
      </c>
      <c r="NW57" s="20" t="n">
        <f aca="false">GW57+NV57</f>
        <v>0</v>
      </c>
      <c r="NX57" s="20" t="n">
        <f aca="false">IF(GV57=1,MAX(0,(Slot19_Cost-NW57*(1+Slot19_Rate)^(Slot19_Age-D57))/NT57),0)</f>
        <v>0</v>
      </c>
      <c r="NY57" s="20" t="n">
        <f aca="false">IF(GV57=1,MAX(0,(Slot19_Cost-GW57*(1+Slot19_Rate)^(Slot19_Age-D57))/NT57),0)</f>
        <v>0</v>
      </c>
      <c r="NZ57" s="20" t="n">
        <f aca="false">IF(AND(HU57=1,GV57=1),MIN(NS57,NX57),0)</f>
        <v>0</v>
      </c>
      <c r="OA57" s="20" t="n">
        <f aca="false">NS57-NZ57</f>
        <v>0</v>
      </c>
      <c r="OB57" s="20" t="n">
        <f aca="false">IF(HF57=1,IF(ABS((1+AS_Wage)/(1+Slot20_Rate)-1)&lt;0.000000000001,(Slot20_Age-D57)*(1+Slot20_Rate)^(Slot20_Age-D57),(1+Slot20_Rate)^(Slot20_Age-D57)*(1-((1+AS_Wage)/(1+Slot20_Rate))^(Slot20_Age-D57))/(1-(1+AS_Wage)/(1+Slot20_Rate))),1)</f>
        <v>1</v>
      </c>
      <c r="OC57" s="20" t="n">
        <f aca="false">IF(AND(HU57=1,IE57&gt;0,Slot20_IsWG=1,HF57=1),MAX(0,(Slot20_Cost-HG57*(1+Slot20_Rate)^(Slot20_Age-D57))/OB57),0)</f>
        <v>0</v>
      </c>
      <c r="OD57" s="20" t="n">
        <f aca="false">IF(AND(HU57=1,IE57&gt;0,Slot20_IsWG=1,HF57=1),MIN(IE57,OC57),0)</f>
        <v>0</v>
      </c>
      <c r="OE57" s="20" t="n">
        <f aca="false">HG57+OD57</f>
        <v>0</v>
      </c>
      <c r="OF57" s="20" t="n">
        <f aca="false">IF(HF57=1,MAX(0,(Slot20_Cost-OE57*(1+Slot20_Rate)^(Slot20_Age-D57))/OB57),0)</f>
        <v>0</v>
      </c>
      <c r="OG57" s="20" t="n">
        <f aca="false">IF(HF57=1,MAX(0,(Slot20_Cost-HG57*(1+Slot20_Rate)^(Slot20_Age-D57))/OB57),0)</f>
        <v>0</v>
      </c>
      <c r="OH57" s="20" t="n">
        <f aca="false">IF(AND(HU57=1,HF57=1),MIN(OA57,OF57),0)</f>
        <v>0</v>
      </c>
      <c r="OI57" s="20" t="n">
        <f aca="false">OA57-OH57</f>
        <v>0</v>
      </c>
      <c r="OJ57" s="20" t="n">
        <f aca="false">IE57-(IH57+IP57+IX57+JF57+JN57+JV57+KD57+KL57+KT57+LB57+LJ57+LR57+LZ57+MH57+MP57+MX57+NF57+NN57+NV57+OD57)</f>
        <v>0</v>
      </c>
      <c r="OK57" s="20" t="n">
        <f aca="false">IF(HU57=1,HS57-ID57-IE57,0)</f>
        <v>0</v>
      </c>
      <c r="OL57" s="20" t="n">
        <f aca="false">IF(HU57=0,-HS57,0)</f>
        <v>27127.7592282958</v>
      </c>
      <c r="OM57" s="20" t="n">
        <f aca="false">MIN(OL57,HK57)</f>
        <v>0</v>
      </c>
      <c r="ON57" s="20" t="n">
        <f aca="false">OL57-OM57</f>
        <v>27127.7592282958</v>
      </c>
      <c r="OO57" s="20" t="n">
        <f aca="false">MIN(ON57,HL57)</f>
        <v>0</v>
      </c>
      <c r="OP57" s="20" t="n">
        <f aca="false">ON57-OO57</f>
        <v>27127.7592282958</v>
      </c>
      <c r="OQ57" s="20" t="n">
        <f aca="false">IF(AND(HU57=0,HF57=1,OP57&gt;0),MIN(OP57,HG57),0)</f>
        <v>0</v>
      </c>
      <c r="OR57" s="20" t="n">
        <f aca="false">OP57-OQ57</f>
        <v>27127.7592282958</v>
      </c>
      <c r="OS57" s="20" t="n">
        <f aca="false">IF(AND(HU57=0,GV57=1,OR57&gt;0),MIN(OR57,GW57),0)</f>
        <v>0</v>
      </c>
      <c r="OT57" s="20" t="n">
        <f aca="false">OR57-OS57</f>
        <v>27127.7592282958</v>
      </c>
      <c r="OU57" s="20" t="n">
        <f aca="false">IF(AND(HU57=0,GL57=1,OT57&gt;0),MIN(OT57,GM57),0)</f>
        <v>0</v>
      </c>
      <c r="OV57" s="20" t="n">
        <f aca="false">OT57-OU57</f>
        <v>27127.7592282958</v>
      </c>
      <c r="OW57" s="20" t="n">
        <f aca="false">IF(AND(HU57=0,GB57=1,OV57&gt;0),MIN(OV57,GC57),0)</f>
        <v>0</v>
      </c>
      <c r="OX57" s="20" t="n">
        <f aca="false">OV57-OW57</f>
        <v>27127.7592282958</v>
      </c>
      <c r="OY57" s="20" t="n">
        <f aca="false">IF(AND(HU57=0,FR57=1,OX57&gt;0),MIN(OX57,FS57),0)</f>
        <v>0</v>
      </c>
      <c r="OZ57" s="20" t="n">
        <f aca="false">OX57-OY57</f>
        <v>27127.7592282958</v>
      </c>
      <c r="PA57" s="20" t="n">
        <f aca="false">IF(AND(HU57=0,FH57=1,OZ57&gt;0),MIN(OZ57,FI57),0)</f>
        <v>0</v>
      </c>
      <c r="PB57" s="20" t="n">
        <f aca="false">OZ57-PA57</f>
        <v>27127.7592282958</v>
      </c>
      <c r="PC57" s="20" t="n">
        <f aca="false">IF(AND(HU57=0,EX57=1,PB57&gt;0),MIN(PB57,EY57),0)</f>
        <v>0</v>
      </c>
      <c r="PD57" s="20" t="n">
        <f aca="false">PB57-PC57</f>
        <v>27127.7592282958</v>
      </c>
      <c r="PE57" s="20" t="n">
        <f aca="false">IF(AND(HU57=0,EN57=1,PD57&gt;0),MIN(PD57,EO57),0)</f>
        <v>0</v>
      </c>
      <c r="PF57" s="20" t="n">
        <f aca="false">PD57-PE57</f>
        <v>27127.7592282958</v>
      </c>
      <c r="PG57" s="20" t="n">
        <f aca="false">IF(AND(HU57=0,ED57=1,PF57&gt;0),MIN(PF57,EE57),0)</f>
        <v>0</v>
      </c>
      <c r="PH57" s="20" t="n">
        <f aca="false">PF57-PG57</f>
        <v>27127.7592282958</v>
      </c>
      <c r="PI57" s="20" t="n">
        <f aca="false">IF(AND(HU57=0,DT57=1,PH57&gt;0),MIN(PH57,DU57),0)</f>
        <v>0</v>
      </c>
      <c r="PJ57" s="20" t="n">
        <f aca="false">PH57-PI57</f>
        <v>27127.7592282958</v>
      </c>
      <c r="PK57" s="20" t="n">
        <f aca="false">IF(AND(HU57=0,DJ57=1,PJ57&gt;0),MIN(PJ57,DK57),0)</f>
        <v>0</v>
      </c>
      <c r="PL57" s="20" t="n">
        <f aca="false">PJ57-PK57</f>
        <v>27127.7592282958</v>
      </c>
      <c r="PM57" s="20" t="n">
        <f aca="false">IF(AND(HU57=0,CZ57=1,PL57&gt;0),MIN(PL57,DA57),0)</f>
        <v>0</v>
      </c>
      <c r="PN57" s="20" t="n">
        <f aca="false">PL57-PM57</f>
        <v>27127.7592282958</v>
      </c>
      <c r="PO57" s="20" t="n">
        <f aca="false">IF(AND(HU57=0,CP57=1,PN57&gt;0),MIN(PN57,CQ57),0)</f>
        <v>0</v>
      </c>
      <c r="PP57" s="20" t="n">
        <f aca="false">PN57-PO57</f>
        <v>27127.7592282958</v>
      </c>
      <c r="PQ57" s="20" t="n">
        <f aca="false">IF(AND(HU57=0,CF57=1,PP57&gt;0),MIN(PP57,CG57),0)</f>
        <v>0</v>
      </c>
      <c r="PR57" s="20" t="n">
        <f aca="false">PP57-PQ57</f>
        <v>27127.7592282958</v>
      </c>
      <c r="PS57" s="20" t="n">
        <f aca="false">IF(AND(HU57=0,BV57=1,PR57&gt;0),MIN(PR57,BW57),0)</f>
        <v>0</v>
      </c>
      <c r="PT57" s="20" t="n">
        <f aca="false">PR57-PS57</f>
        <v>27127.7592282958</v>
      </c>
      <c r="PU57" s="20" t="n">
        <f aca="false">IF(AND(HU57=0,BL57=1,PT57&gt;0),MIN(PT57,BM57),0)</f>
        <v>0</v>
      </c>
      <c r="PV57" s="20" t="n">
        <f aca="false">PT57-PU57</f>
        <v>27127.7592282958</v>
      </c>
      <c r="PW57" s="20" t="n">
        <f aca="false">IF(AND(HU57=0,BB57=1,PV57&gt;0),MIN(PV57,BC57),0)</f>
        <v>0</v>
      </c>
      <c r="PX57" s="20" t="n">
        <f aca="false">PV57-PW57</f>
        <v>27127.7592282958</v>
      </c>
      <c r="PY57" s="20" t="n">
        <f aca="false">IF(AND(HU57=0,AR57=1,PX57&gt;0),MIN(PX57,AS57),0)</f>
        <v>0</v>
      </c>
      <c r="PZ57" s="20" t="n">
        <f aca="false">PX57-PY57</f>
        <v>27127.7592282958</v>
      </c>
      <c r="QA57" s="20" t="n">
        <f aca="false">IF(AND(HU57=0,AH57=1,PZ57&gt;0),MIN(PZ57,AI57),0)</f>
        <v>0</v>
      </c>
      <c r="QB57" s="20" t="n">
        <f aca="false">PZ57-QA57</f>
        <v>27127.7592282958</v>
      </c>
      <c r="QC57" s="20" t="n">
        <f aca="false">IF(AND(HU57=0,W57=1,QB57&gt;0),MIN(QB57,X57),0)</f>
        <v>0</v>
      </c>
      <c r="QD57" s="20" t="n">
        <f aca="false">QB57-QC57</f>
        <v>27127.7592282958</v>
      </c>
      <c r="QE57" s="20" t="n">
        <f aca="false">IF(HU57=0,QD57,0)</f>
        <v>27127.7592282958</v>
      </c>
      <c r="QF57" s="20" t="n">
        <f aca="false">OM57+OO57+QC57+QA57+PY57+PW57+PU57+PS57+PQ57+PO57+PM57+PK57+PI57+PG57+PE57+PC57+PA57+OY57+OW57+OU57+OS57+OQ57</f>
        <v>0</v>
      </c>
      <c r="QG57" s="20" t="n">
        <f aca="false">IF(HU57=1,HK57+OJ57+OI57+IF(G57=1,0,OK57),HK57-OM57)</f>
        <v>0</v>
      </c>
      <c r="QH57" s="20" t="n">
        <f aca="false">HL57-OO57</f>
        <v>0</v>
      </c>
      <c r="QI57" s="20" t="n">
        <f aca="false">IF(HU57=1,IF(G57=1,ID57+IE57,HS57),0)</f>
        <v>0</v>
      </c>
      <c r="QJ57" s="20" t="n">
        <f aca="false">IF(HU57=1,IF(G57=1,HS57-ID57-IE57,0),0)</f>
        <v>0</v>
      </c>
      <c r="QK57" s="57" t="n">
        <f aca="false">'Plan holdings'!BM57</f>
        <v>0</v>
      </c>
      <c r="QL57" s="20" t="n">
        <f aca="false">QH57*(1+AS_Cash)</f>
        <v>0</v>
      </c>
      <c r="QM57" s="20" t="n">
        <f aca="false">IF(W57=1,IF(HU57=1,II57+IL57,X57-QC57)*(1+Slot1_Rate),0)</f>
        <v>0</v>
      </c>
      <c r="QN57" s="20" t="n">
        <f aca="false">IF(AND(HU57=1,W57=1),(IH57+IL57)/F57,0)</f>
        <v>0</v>
      </c>
      <c r="QO57" s="20" t="n">
        <f aca="false">IF(B57=0,IH57+IL57,0)</f>
        <v>0</v>
      </c>
      <c r="QP57" s="20" t="n">
        <f aca="false">IF(B57=0,IF(HU57=1,IJ57,IK57),0)</f>
        <v>0</v>
      </c>
      <c r="QQ57" s="20" t="n">
        <f aca="false">IF(AH57=1,IF(HU57=1,IQ57+IT57,AI57-QA57)*(1+Slot2_Rate),0)</f>
        <v>0</v>
      </c>
      <c r="QR57" s="20" t="n">
        <f aca="false">IF(AND(HU57=1,AH57=1),(IP57+IT57)/F57,0)</f>
        <v>0</v>
      </c>
      <c r="QS57" s="20" t="n">
        <f aca="false">IF(B57=0,IP57+IT57,0)</f>
        <v>0</v>
      </c>
      <c r="QT57" s="20" t="n">
        <f aca="false">IF(B57=0,IF(HU57=1,IR57,IS57),0)</f>
        <v>0</v>
      </c>
      <c r="QU57" s="20" t="n">
        <f aca="false">IF(AR57=1,IF(HU57=1,IY57+JB57,AS57-PY57)*(1+Slot3_Rate),0)</f>
        <v>0</v>
      </c>
      <c r="QV57" s="20" t="n">
        <f aca="false">IF(AND(HU57=1,AR57=1),(IX57+JB57)/F57,0)</f>
        <v>0</v>
      </c>
      <c r="QW57" s="20" t="n">
        <f aca="false">IF(B57=0,IX57+JB57,0)</f>
        <v>0</v>
      </c>
      <c r="QX57" s="20" t="n">
        <f aca="false">IF(B57=0,IF(HU57=1,IZ57,JA57),0)</f>
        <v>0</v>
      </c>
      <c r="QY57" s="20" t="n">
        <f aca="false">IF(BB57=1,IF(HU57=1,JG57+JJ57,BC57-PW57)*(1+Slot4_Rate),0)</f>
        <v>0</v>
      </c>
      <c r="QZ57" s="20" t="n">
        <f aca="false">IF(AND(HU57=1,BB57=1),(JF57+JJ57)/F57,0)</f>
        <v>0</v>
      </c>
      <c r="RA57" s="20" t="n">
        <f aca="false">IF(B57=0,JF57+JJ57,0)</f>
        <v>0</v>
      </c>
      <c r="RB57" s="20" t="n">
        <f aca="false">IF(B57=0,IF(HU57=1,JH57,JI57),0)</f>
        <v>0</v>
      </c>
      <c r="RC57" s="20" t="n">
        <f aca="false">IF(BL57=1,IF(HU57=1,JO57+JR57,BM57-PU57)*(1+Slot5_Rate),0)</f>
        <v>0</v>
      </c>
      <c r="RD57" s="20" t="n">
        <f aca="false">IF(AND(HU57=1,BL57=1),(JN57+JR57)/F57,0)</f>
        <v>0</v>
      </c>
      <c r="RE57" s="20" t="n">
        <f aca="false">IF(B57=0,JN57+JR57,0)</f>
        <v>0</v>
      </c>
      <c r="RF57" s="20" t="n">
        <f aca="false">IF(B57=0,IF(HU57=1,JP57,JQ57),0)</f>
        <v>0</v>
      </c>
      <c r="RG57" s="20" t="n">
        <f aca="false">IF(BV57=1,IF(HU57=1,JW57+JZ57,BW57-PS57)*(1+Slot6_Rate),0)</f>
        <v>0</v>
      </c>
      <c r="RH57" s="20" t="n">
        <f aca="false">IF(AND(HU57=1,BV57=1),(JV57+JZ57)/F57,0)</f>
        <v>0</v>
      </c>
      <c r="RI57" s="20" t="n">
        <f aca="false">IF(B57=0,JV57+JZ57,0)</f>
        <v>0</v>
      </c>
      <c r="RJ57" s="20" t="n">
        <f aca="false">IF(B57=0,IF(HU57=1,JX57,JY57),0)</f>
        <v>0</v>
      </c>
      <c r="RK57" s="20" t="n">
        <f aca="false">IF(CF57=1,IF(HU57=1,KE57+KH57,CG57-PQ57)*(1+Slot7_Rate),0)</f>
        <v>0</v>
      </c>
      <c r="RL57" s="20" t="n">
        <f aca="false">IF(AND(HU57=1,CF57=1),(KD57+KH57)/F57,0)</f>
        <v>0</v>
      </c>
      <c r="RM57" s="20" t="n">
        <f aca="false">IF(B57=0,KD57+KH57,0)</f>
        <v>0</v>
      </c>
      <c r="RN57" s="20" t="n">
        <f aca="false">IF(B57=0,IF(HU57=1,KF57,KG57),0)</f>
        <v>0</v>
      </c>
      <c r="RO57" s="20" t="n">
        <f aca="false">IF(CP57=1,IF(HU57=1,KM57+KP57,CQ57-PO57)*(1+Slot8_Rate),0)</f>
        <v>0</v>
      </c>
      <c r="RP57" s="20" t="n">
        <f aca="false">IF(AND(HU57=1,CP57=1),(KL57+KP57)/F57,0)</f>
        <v>0</v>
      </c>
      <c r="RQ57" s="20" t="n">
        <f aca="false">IF(B57=0,KL57+KP57,0)</f>
        <v>0</v>
      </c>
      <c r="RR57" s="20" t="n">
        <f aca="false">IF(B57=0,IF(HU57=1,KN57,KO57),0)</f>
        <v>0</v>
      </c>
      <c r="RS57" s="20" t="n">
        <f aca="false">IF(CZ57=1,IF(HU57=1,KU57+KX57,DA57-PM57)*(1+Slot9_Rate),0)</f>
        <v>0</v>
      </c>
      <c r="RT57" s="20" t="n">
        <f aca="false">IF(AND(HU57=1,CZ57=1),(KT57+KX57)/F57,0)</f>
        <v>0</v>
      </c>
      <c r="RU57" s="20" t="n">
        <f aca="false">IF(B57=0,KT57+KX57,0)</f>
        <v>0</v>
      </c>
      <c r="RV57" s="20" t="n">
        <f aca="false">IF(B57=0,IF(HU57=1,KV57,KW57),0)</f>
        <v>0</v>
      </c>
      <c r="RW57" s="20" t="n">
        <f aca="false">IF(DJ57=1,IF(HU57=1,LC57+LF57,DK57-PK57)*(1+Slot10_Rate),0)</f>
        <v>0</v>
      </c>
      <c r="RX57" s="20" t="n">
        <f aca="false">IF(AND(HU57=1,DJ57=1),(LB57+LF57)/F57,0)</f>
        <v>0</v>
      </c>
      <c r="RY57" s="20" t="n">
        <f aca="false">IF(B57=0,LB57+LF57,0)</f>
        <v>0</v>
      </c>
      <c r="RZ57" s="20" t="n">
        <f aca="false">IF(B57=0,IF(HU57=1,LD57,LE57),0)</f>
        <v>0</v>
      </c>
      <c r="SA57" s="20" t="n">
        <f aca="false">IF(DT57=1,IF(HU57=1,LK57+LN57,DU57-PI57)*(1+Slot11_Rate),0)</f>
        <v>0</v>
      </c>
      <c r="SB57" s="20" t="n">
        <f aca="false">IF(AND(HU57=1,DT57=1),(LJ57+LN57)/F57,0)</f>
        <v>0</v>
      </c>
      <c r="SC57" s="20" t="n">
        <f aca="false">IF(B57=0,LJ57+LN57,0)</f>
        <v>0</v>
      </c>
      <c r="SD57" s="20" t="n">
        <f aca="false">IF(B57=0,IF(HU57=1,LL57,LM57),0)</f>
        <v>0</v>
      </c>
      <c r="SE57" s="20" t="n">
        <f aca="false">IF(ED57=1,IF(HU57=1,LS57+LV57,EE57-PG57)*(1+Slot12_Rate),0)</f>
        <v>0</v>
      </c>
      <c r="SF57" s="20" t="n">
        <f aca="false">IF(AND(HU57=1,ED57=1),(LR57+LV57)/F57,0)</f>
        <v>0</v>
      </c>
      <c r="SG57" s="20" t="n">
        <f aca="false">IF(B57=0,LR57+LV57,0)</f>
        <v>0</v>
      </c>
      <c r="SH57" s="20" t="n">
        <f aca="false">IF(B57=0,IF(HU57=1,LT57,LU57),0)</f>
        <v>0</v>
      </c>
      <c r="SI57" s="20" t="n">
        <f aca="false">IF(EN57=1,IF(HU57=1,MA57+MD57,EO57-PE57)*(1+Slot13_Rate),0)</f>
        <v>0</v>
      </c>
      <c r="SJ57" s="20" t="n">
        <f aca="false">IF(AND(HU57=1,EN57=1),(LZ57+MD57)/F57,0)</f>
        <v>0</v>
      </c>
      <c r="SK57" s="20" t="n">
        <f aca="false">IF(B57=0,LZ57+MD57,0)</f>
        <v>0</v>
      </c>
      <c r="SL57" s="20" t="n">
        <f aca="false">IF(B57=0,IF(HU57=1,MB57,MC57),0)</f>
        <v>0</v>
      </c>
      <c r="SM57" s="20" t="n">
        <f aca="false">IF(EX57=1,IF(HU57=1,MI57+ML57,EY57-PC57)*(1+Slot14_Rate),0)</f>
        <v>0</v>
      </c>
      <c r="SN57" s="20" t="n">
        <f aca="false">IF(AND(HU57=1,EX57=1),(MH57+ML57)/F57,0)</f>
        <v>0</v>
      </c>
      <c r="SO57" s="20" t="n">
        <f aca="false">IF(B57=0,MH57+ML57,0)</f>
        <v>0</v>
      </c>
      <c r="SP57" s="20" t="n">
        <f aca="false">IF(B57=0,IF(HU57=1,MJ57,MK57),0)</f>
        <v>0</v>
      </c>
      <c r="SQ57" s="20" t="n">
        <f aca="false">IF(FH57=1,IF(HU57=1,MQ57+MT57,FI57-PA57)*(1+Slot15_Rate),0)</f>
        <v>0</v>
      </c>
      <c r="SR57" s="20" t="n">
        <f aca="false">IF(AND(HU57=1,FH57=1),(MP57+MT57)/F57,0)</f>
        <v>0</v>
      </c>
      <c r="SS57" s="20" t="n">
        <f aca="false">IF(B57=0,MP57+MT57,0)</f>
        <v>0</v>
      </c>
      <c r="ST57" s="20" t="n">
        <f aca="false">IF(B57=0,IF(HU57=1,MR57,MS57),0)</f>
        <v>0</v>
      </c>
      <c r="SU57" s="20" t="n">
        <f aca="false">IF(FR57=1,IF(HU57=1,MY57+NB57,FS57-OY57)*(1+Slot16_Rate),0)</f>
        <v>0</v>
      </c>
      <c r="SV57" s="20" t="n">
        <f aca="false">IF(AND(HU57=1,FR57=1),(MX57+NB57)/F57,0)</f>
        <v>0</v>
      </c>
      <c r="SW57" s="20" t="n">
        <f aca="false">IF(B57=0,MX57+NB57,0)</f>
        <v>0</v>
      </c>
      <c r="SX57" s="20" t="n">
        <f aca="false">IF(B57=0,IF(HU57=1,MZ57,NA57),0)</f>
        <v>0</v>
      </c>
      <c r="SY57" s="20" t="n">
        <f aca="false">IF(GB57=1,IF(HU57=1,NG57+NJ57,GC57-OW57)*(1+Slot17_Rate),0)</f>
        <v>0</v>
      </c>
      <c r="SZ57" s="20" t="n">
        <f aca="false">IF(AND(HU57=1,GB57=1),(NF57+NJ57)/F57,0)</f>
        <v>0</v>
      </c>
      <c r="TA57" s="20" t="n">
        <f aca="false">IF(B57=0,NF57+NJ57,0)</f>
        <v>0</v>
      </c>
      <c r="TB57" s="20" t="n">
        <f aca="false">IF(B57=0,IF(HU57=1,NH57,NI57),0)</f>
        <v>0</v>
      </c>
      <c r="TC57" s="20" t="n">
        <f aca="false">IF(GL57=1,IF(HU57=1,NO57+NR57,GM57-OU57)*(1+Slot18_Rate),0)</f>
        <v>0</v>
      </c>
      <c r="TD57" s="20" t="n">
        <f aca="false">IF(AND(HU57=1,GL57=1),(NN57+NR57)/F57,0)</f>
        <v>0</v>
      </c>
      <c r="TE57" s="20" t="n">
        <f aca="false">IF(B57=0,NN57+NR57,0)</f>
        <v>0</v>
      </c>
      <c r="TF57" s="20" t="n">
        <f aca="false">IF(B57=0,IF(HU57=1,NP57,NQ57),0)</f>
        <v>0</v>
      </c>
      <c r="TG57" s="20" t="n">
        <f aca="false">IF(GV57=1,IF(HU57=1,NW57+NZ57,GW57-OS57)*(1+Slot19_Rate),0)</f>
        <v>0</v>
      </c>
      <c r="TH57" s="20" t="n">
        <f aca="false">IF(AND(HU57=1,GV57=1),(NV57+NZ57)/F57,0)</f>
        <v>0</v>
      </c>
      <c r="TI57" s="20" t="n">
        <f aca="false">IF(B57=0,NV57+NZ57,0)</f>
        <v>0</v>
      </c>
      <c r="TJ57" s="20" t="n">
        <f aca="false">IF(B57=0,IF(HU57=1,NX57,NY57),0)</f>
        <v>0</v>
      </c>
      <c r="TK57" s="20" t="n">
        <f aca="false">IF(HF57=1,IF(HU57=1,OE57+OH57,HG57-OQ57)*(1+Slot20_Rate),0)</f>
        <v>0</v>
      </c>
      <c r="TL57" s="20" t="n">
        <f aca="false">IF(AND(HU57=1,HF57=1),(OD57+OH57)/F57,0)</f>
        <v>0</v>
      </c>
      <c r="TM57" s="20" t="n">
        <f aca="false">IF(B57=0,OD57+OH57,0)</f>
        <v>0</v>
      </c>
      <c r="TN57" s="20" t="n">
        <f aca="false">IF(B57=0,IF(HU57=1,OF57,OG57),0)</f>
        <v>0</v>
      </c>
      <c r="TO57" s="20" t="n">
        <f aca="false">QK57+QL57+QM57+QQ57+QU57+QY57+RC57+RG57+RK57+RO57+RS57+RW57+SA57+SE57+SI57+SM57+SQ57+SU57+SY57+TC57+TG57+TK57</f>
        <v>0</v>
      </c>
      <c r="TP57" s="20" t="n">
        <f aca="false">QE57+HP57</f>
        <v>27127.7592282958</v>
      </c>
      <c r="TQ57" s="20" t="n">
        <f aca="false">I57+S57</f>
        <v>126135.20371541</v>
      </c>
      <c r="TR57" s="20" t="n">
        <f aca="false">1-G57</f>
        <v>1</v>
      </c>
      <c r="TS57" s="20" t="n">
        <f aca="false">IF(AND(RG_Exists=1,G57=0,C57=1),I57,0)</f>
        <v>126135.20371541</v>
      </c>
      <c r="TT57" s="20" t="n">
        <f aca="false">IF(AND(RG_Exists=1,G57=0,C57=1),I57-MIN(QE57,I57),0)</f>
        <v>99007.4444871145</v>
      </c>
      <c r="TU57" s="20" t="n">
        <f aca="false">'Plan pay &amp; tax'!AD283</f>
        <v>216582.866292126</v>
      </c>
      <c r="TV57" s="20" t="n">
        <f aca="false">IF(AND(C57=1,QE57&gt;MAX(PR_Short1,TQ57*PR_Short2)),1,0)</f>
        <v>1</v>
      </c>
      <c r="TW57" s="20" t="n">
        <f aca="false">MIN(H57,I57+S57)</f>
        <v>99007.4444871145</v>
      </c>
      <c r="TX57" s="20" t="n">
        <f aca="false">QF57+MAX(0,HQ57-HP57)</f>
        <v>0</v>
      </c>
      <c r="TY57" s="20" t="n">
        <f aca="false">QE57+HP57</f>
        <v>27127.7592282958</v>
      </c>
      <c r="TZ57" s="20" t="n">
        <f aca="false">IF(AND(C57=1,TY57&gt;PR_MinShort),1,0)</f>
        <v>1</v>
      </c>
      <c r="UA57" s="20" t="n">
        <f aca="false">IF(AND(C57=1,TZ57=0,TX57&gt;PR_MinShort),1,0)</f>
        <v>0</v>
      </c>
      <c r="UB57" s="20" t="n">
        <f aca="false">IF(AND(C57=1,QE57&gt;PR_MinShort),1,0)</f>
        <v>1</v>
      </c>
      <c r="UC57" s="20" t="n">
        <f aca="false">IF(AND(C57=1,QF57&gt;1,UJ57=0),1,0)</f>
        <v>0</v>
      </c>
      <c r="UD57" s="20" t="str">
        <f aca="false">IF(C57=0,"",IF(UJ57=1,"Gap to plan for: short "&amp;"€"&amp;TEXT(ROUND(TP57,0),"#,##0"),IF(QF57&gt;1,"Using savings","Comfortable")))</f>
        <v>Gap to plan for: short €27,128</v>
      </c>
      <c r="UE57" s="20" t="n">
        <f aca="false">IF(AND(INT(D57/10)*10=90,B57&gt;0),80,INT(D57/10)*10)</f>
        <v>80</v>
      </c>
      <c r="UF57" s="20" t="n">
        <f aca="false">IF(B57=0,1,IF(UE57&lt;&gt;UE56,UF56+1,UF56))</f>
        <v>6</v>
      </c>
      <c r="UG57" s="20" t="n">
        <f aca="false">IF(AND(C57=1,G57=1,QE57&gt;MAX(PR_Short1,TQ57*PR_Short2)),1,0)</f>
        <v>0</v>
      </c>
      <c r="UH57" s="20" t="n">
        <f aca="false">TR57*TV57</f>
        <v>1</v>
      </c>
      <c r="UI57" s="20" t="n">
        <f aca="false">IF(AND(V57=1,Slot1_PctLow=1),1,0)+IF(AND(AG57=1,Slot2_PctLow=1),1,0)+IF(AND(AQ57=1,Slot3_PctLow=1),1,0)+IF(AND(BA57=1,Slot4_PctLow=1),1,0)+IF(AND(BK57=1,Slot5_PctLow=1),1,0)+IF(AND(BU57=1,Slot6_PctLow=1),1,0)+IF(AND(CE57=1,Slot7_PctLow=1),1,0)+IF(AND(CO57=1,Slot8_PctLow=1),1,0)+IF(AND(CY57=1,Slot9_PctLow=1),1,0)+IF(AND(DI57=1,Slot10_PctLow=1),1,0)+IF(AND(DS57=1,Slot11_PctLow=1),1,0)+IF(AND(EC57=1,Slot12_PctLow=1),1,0)+IF(AND(EM57=1,Slot13_PctLow=1),1,0)+IF(AND(EW57=1,Slot14_PctLow=1),1,0)+IF(AND(FG57=1,Slot15_PctLow=1),1,0)+IF(AND(FQ57=1,Slot16_PctLow=1),1,0)+IF(AND(GA57=1,Slot17_PctLow=1),1,0)+IF(AND(GK57=1,Slot18_PctLow=1),1,0)+IF(AND(GU57=1,Slot19_PctLow=1),1,0)+IF(AND(HE57=1,Slot20_PctLow=1),1,0)</f>
        <v>0</v>
      </c>
      <c r="UJ57" s="20" t="n">
        <f aca="false">IF(C57=1,IF(OR(TV57=1,UI57&gt;0),1,0),0)</f>
        <v>1</v>
      </c>
      <c r="UK57" s="20" t="n">
        <f aca="false">Z57+AK57+AU57+BE57+BO57+BY57+CI57+CS57+DC57+DM57+DW57+EG57+EQ57+FA57+FK57+FU57+GE57+GO57+GY57+HI57+OM57</f>
        <v>0</v>
      </c>
      <c r="UL57" s="20" t="n">
        <f aca="false">V57*IF(Slot1_SpendLike=1,X57-Y57,IF(Slot1_PotFree=1,X57,0))+AG57*IF(Slot2_SpendLike=1,AI57-AJ57,IF(Slot2_PotFree=1,AI57,0))+AQ57*IF(Slot3_SpendLike=1,AS57-AT57,IF(Slot3_PotFree=1,AS57,0))+BA57*IF(Slot4_SpendLike=1,BC57-BD57,IF(Slot4_PotFree=1,BC57,0))+BK57*IF(Slot5_SpendLike=1,BM57-BN57,IF(Slot5_PotFree=1,BM57,0))+BU57*IF(Slot6_SpendLike=1,BW57-BX57,IF(Slot6_PotFree=1,BW57,0))+CE57*IF(Slot7_SpendLike=1,CG57-CH57,IF(Slot7_PotFree=1,CG57,0))+CO57*IF(Slot8_SpendLike=1,CQ57-CR57,IF(Slot8_PotFree=1,CQ57,0))+CY57*IF(Slot9_SpendLike=1,DA57-DB57,IF(Slot9_PotFree=1,DA57,0))+DI57*IF(Slot10_SpendLike=1,DK57-DL57,IF(Slot10_PotFree=1,DK57,0))+DS57*IF(Slot11_SpendLike=1,DU57-DV57,IF(Slot11_PotFree=1,DU57,0))+EC57*IF(Slot12_SpendLike=1,EE57-EF57,IF(Slot12_PotFree=1,EE57,0))+EM57*IF(Slot13_SpendLike=1,EO57-EP57,IF(Slot13_PotFree=1,EO57,0))+EW57*IF(Slot14_SpendLike=1,EY57-EZ57,IF(Slot14_PotFree=1,EY57,0))+FG57*IF(Slot15_SpendLike=1,FI57-FJ57,IF(Slot15_PotFree=1,FI57,0))+FQ57*IF(Slot16_SpendLike=1,FS57-FT57,IF(Slot16_PotFree=1,FS57,0))+GA57*IF(Slot17_SpendLike=1,GC57-GD57,IF(Slot17_PotFree=1,GC57,0))+GK57*IF(Slot18_SpendLike=1,GM57-GN57,IF(Slot18_PotFree=1,GM57,0))+GU57*IF(Slot19_SpendLike=1,GW57-GX57,IF(Slot19_PotFree=1,GW57,0))+HE57*IF(Slot20_SpendLike=1,HG57-HH57,IF(Slot20_PotFree=1,HG57,0))</f>
        <v>0</v>
      </c>
      <c r="UM57" s="20" t="n">
        <f aca="false">QG57-T57+UK57-UL57</f>
        <v>0</v>
      </c>
      <c r="UN57" s="20" t="n">
        <f aca="false">IF(OR(UN56=1,AND(In_homeUse="Yes, I'd downsize",In_downAge&gt;0,D57=In_downAge,OR(In_home="Own outright",In_home="Own with mortgage"),In_homeValue&gt;0)),1,0)</f>
        <v>0</v>
      </c>
    </row>
    <row r="58" customFormat="false" ht="15" hidden="false" customHeight="true" outlineLevel="0" collapsed="false">
      <c r="B58" s="20" t="n">
        <v>50</v>
      </c>
      <c r="C58" s="20" t="n">
        <f aca="false">IF(B58&lt;=F_N,1,0)</f>
        <v>1</v>
      </c>
      <c r="D58" s="20" t="n">
        <f aca="false">'Plan pay &amp; tax'!C284</f>
        <v>88</v>
      </c>
      <c r="E58" s="20" t="str">
        <f aca="false">IF($C58=1,"Income tax "&amp;TEXT(N('Plan pay &amp; tax'!BK284),"#,##0")&amp;"; USC "&amp;TEXT(N('Plan pay &amp; tax'!BM284)+N('Plan pay &amp; tax'!BO284),"#,##0")&amp;"; PRSI "&amp;TEXT(N('Plan pay &amp; tax'!BP284)+N('Plan pay &amp; tax'!BQ284),"#,##0")&amp;IF(N('Plan holdings'!BO58)&gt;=0.5,"; DIRT "&amp;TEXT(('Plan holdings'!BO58)/$F58,"#,##0")&amp;" (already taken from the interest earned)","")&amp;IF(N('Plan holdings'!BP58)&gt;=0.5,"; exit tax at an 8-year anniversary "&amp;TEXT(('Plan holdings'!BP58)/$F58,"#,##0"),"")&amp;IF(N('Plan holdings'!BN58)&gt;=0.5,"; tax on assets sold (exit tax or capital gains tax) "&amp;TEXT(('Plan holdings'!BN58)/$F58,"#,##0"),"")&amp;IF(N('Plan pay &amp; tax'!X284)-N('Plan pay &amp; tax'!Y284)&gt;=0.5,"; tax on the pension lump sum "&amp;TEXT(('Plan pay &amp; tax'!X284-'Plan pay &amp; tax'!Y284)/$F58,"#,##0"),"")&amp;IF(N('Plan pay &amp; tax'!V284)&gt;=0.5,"; chargeable excess tax on the pension "&amp;TEXT(('Plan pay &amp; tax'!V284)/$F58,"#,##0"),"")&amp;".","")</f>
        <v>Income tax 983; USC 0; PRSI 0.</v>
      </c>
      <c r="F58" s="50" t="n">
        <f aca="false">'Plan pay &amp; tax'!E284</f>
        <v>2.69158802907361</v>
      </c>
      <c r="G58" s="20" t="n">
        <f aca="false">'Plan pay &amp; tax'!G284</f>
        <v>0</v>
      </c>
      <c r="H58" s="20" t="n">
        <f aca="false">'Plan pay &amp; tax'!BT284-'Plan pay &amp; tax'!BS284-'Plan pay &amp; tax'!R284</f>
        <v>101229.057551589</v>
      </c>
      <c r="I58" s="20" t="n">
        <f aca="false">IF(G58=1,F_CostsM*12,IF(RG_Exists=1,RG_Amount,F_CostsM*12*AS_RetireSpend))*F58+F_OneOffY*F58</f>
        <v>128657.907789718</v>
      </c>
      <c r="J58" s="20" t="n">
        <f aca="false">IF(UN58=1,0,HR57)</f>
        <v>0</v>
      </c>
      <c r="K58" s="20" t="n">
        <f aca="false">IF(J58&gt;1,'Plan debt months'!AC58,0)</f>
        <v>0</v>
      </c>
      <c r="L58" s="20" t="n">
        <f aca="false">IF(J58&gt;1,'Plan debt months'!AB58,J58)</f>
        <v>0</v>
      </c>
      <c r="M58" s="20" t="n">
        <f aca="false">O57</f>
        <v>0</v>
      </c>
      <c r="N58" s="20" t="n">
        <f aca="false">IF(M58&gt;1,'Plan debt months'!BD58,0)</f>
        <v>0</v>
      </c>
      <c r="O58" s="20" t="n">
        <f aca="false">IF(M58&gt;1,'Plan debt months'!BC58,M58)</f>
        <v>0</v>
      </c>
      <c r="P58" s="20" t="n">
        <f aca="false">R57</f>
        <v>0</v>
      </c>
      <c r="Q58" s="20" t="n">
        <f aca="false">IF(P58&gt;1,'Plan debt months'!CE58,0)</f>
        <v>0</v>
      </c>
      <c r="R58" s="20" t="n">
        <f aca="false">IF(P58&gt;1,'Plan debt months'!CD58,P58)</f>
        <v>0</v>
      </c>
      <c r="S58" s="20" t="n">
        <f aca="false">K58+N58+Q58</f>
        <v>0</v>
      </c>
      <c r="T58" s="57" t="n">
        <f aca="false">'Plan holdings'!Y58</f>
        <v>0</v>
      </c>
      <c r="U58" s="57" t="n">
        <f aca="false">'Plan holdings'!BM57</f>
        <v>0</v>
      </c>
      <c r="V58" s="20" t="n">
        <f aca="false">IF(AND(Slot1_On=1,D58=Slot1_Age),1,0)</f>
        <v>0</v>
      </c>
      <c r="W58" s="20" t="n">
        <f aca="false">IF(AND(Slot1_On=1,Slot1_Age&gt;D58),1,0)</f>
        <v>0</v>
      </c>
      <c r="X58" s="20" t="n">
        <f aca="false">QM57</f>
        <v>0</v>
      </c>
      <c r="Y58" s="20" t="n">
        <f aca="false">V58*MIN(Slot1_Cost,X58)</f>
        <v>0</v>
      </c>
      <c r="Z58" s="20" t="n">
        <f aca="false">V58*Slot1_SpendLike*MIN(Slot1_Cost-Y58,T58)</f>
        <v>0</v>
      </c>
      <c r="AA58" s="20" t="n">
        <f aca="false">Y58+Z58</f>
        <v>0</v>
      </c>
      <c r="AB58" s="20" t="n">
        <f aca="false">T58-Z58+V58*IF(Slot1_SpendLike=1,X58-Y58,IF(Slot1_PotFree=1,X58,0))</f>
        <v>0</v>
      </c>
      <c r="AC58" s="20" t="n">
        <f aca="false">AF58+V58*Slot1_BufPot*X58</f>
        <v>0</v>
      </c>
      <c r="AD58" s="20" t="n">
        <f aca="false">IF(AND(V58=1,Slot1_IsMfree=1),IF(AA58&gt;=Slot1_Cost-1,0,MAX(0,L58-AA58)),L58)</f>
        <v>0</v>
      </c>
      <c r="AE58" s="20" t="n">
        <f aca="false">V58*(Slot1_Cost-AA58)</f>
        <v>0</v>
      </c>
      <c r="AF58" s="20" t="n">
        <f aca="false">QL57</f>
        <v>0</v>
      </c>
      <c r="AG58" s="20" t="n">
        <f aca="false">IF(AND(Slot2_On=1,D58=Slot2_Age),1,0)</f>
        <v>0</v>
      </c>
      <c r="AH58" s="20" t="n">
        <f aca="false">IF(AND(Slot2_On=1,Slot2_Age&gt;D58),1,0)</f>
        <v>0</v>
      </c>
      <c r="AI58" s="20" t="n">
        <f aca="false">QQ57</f>
        <v>0</v>
      </c>
      <c r="AJ58" s="20" t="n">
        <f aca="false">AG58*MIN(Slot2_Cost,AI58)</f>
        <v>0</v>
      </c>
      <c r="AK58" s="20" t="n">
        <f aca="false">AG58*Slot2_SpendLike*MIN(Slot2_Cost-AJ58,AB58)</f>
        <v>0</v>
      </c>
      <c r="AL58" s="20" t="n">
        <f aca="false">AJ58+AK58</f>
        <v>0</v>
      </c>
      <c r="AM58" s="20" t="n">
        <f aca="false">AB58-AK58+AG58*IF(Slot2_SpendLike=1,AI58-AJ58,IF(Slot2_PotFree=1,AI58,0))</f>
        <v>0</v>
      </c>
      <c r="AN58" s="20" t="n">
        <f aca="false">AC58+AG58*Slot2_BufPot*AI58</f>
        <v>0</v>
      </c>
      <c r="AO58" s="20" t="n">
        <f aca="false">IF(AND(AG58=1,Slot2_IsMfree=1),IF(AL58&gt;=Slot2_Cost-1,0,MAX(0,AD58-AL58)),AD58)</f>
        <v>0</v>
      </c>
      <c r="AP58" s="20" t="n">
        <f aca="false">AG58*(Slot2_Cost-AL58)</f>
        <v>0</v>
      </c>
      <c r="AQ58" s="20" t="n">
        <f aca="false">IF(AND(Slot3_On=1,D58=Slot3_Age),1,0)</f>
        <v>0</v>
      </c>
      <c r="AR58" s="20" t="n">
        <f aca="false">IF(AND(Slot3_On=1,Slot3_Age&gt;D58),1,0)</f>
        <v>0</v>
      </c>
      <c r="AS58" s="20" t="n">
        <f aca="false">QU57</f>
        <v>0</v>
      </c>
      <c r="AT58" s="20" t="n">
        <f aca="false">AQ58*MIN(Slot3_Cost,AS58)</f>
        <v>0</v>
      </c>
      <c r="AU58" s="20" t="n">
        <f aca="false">AQ58*Slot3_SpendLike*MIN(Slot3_Cost-AT58,AM58)</f>
        <v>0</v>
      </c>
      <c r="AV58" s="20" t="n">
        <f aca="false">AT58+AU58</f>
        <v>0</v>
      </c>
      <c r="AW58" s="20" t="n">
        <f aca="false">AM58-AU58+AQ58*IF(Slot3_SpendLike=1,AS58-AT58,IF(Slot3_PotFree=1,AS58,0))</f>
        <v>0</v>
      </c>
      <c r="AX58" s="20" t="n">
        <f aca="false">AN58+AQ58*Slot3_BufPot*AS58</f>
        <v>0</v>
      </c>
      <c r="AY58" s="20" t="n">
        <f aca="false">IF(AND(AQ58=1,Slot3_IsMfree=1),IF(AV58&gt;=Slot3_Cost-1,0,MAX(0,AO58-AV58)),AO58)</f>
        <v>0</v>
      </c>
      <c r="AZ58" s="20" t="n">
        <f aca="false">AQ58*(Slot3_Cost-AV58)</f>
        <v>0</v>
      </c>
      <c r="BA58" s="20" t="n">
        <f aca="false">IF(AND(Slot4_On=1,D58=Slot4_Age),1,0)</f>
        <v>0</v>
      </c>
      <c r="BB58" s="20" t="n">
        <f aca="false">IF(AND(Slot4_On=1,Slot4_Age&gt;D58),1,0)</f>
        <v>0</v>
      </c>
      <c r="BC58" s="20" t="n">
        <f aca="false">QY57</f>
        <v>0</v>
      </c>
      <c r="BD58" s="20" t="n">
        <f aca="false">BA58*MIN(Slot4_Cost,BC58)</f>
        <v>0</v>
      </c>
      <c r="BE58" s="20" t="n">
        <f aca="false">BA58*Slot4_SpendLike*MIN(Slot4_Cost-BD58,AW58)</f>
        <v>0</v>
      </c>
      <c r="BF58" s="20" t="n">
        <f aca="false">BD58+BE58</f>
        <v>0</v>
      </c>
      <c r="BG58" s="20" t="n">
        <f aca="false">AW58-BE58+BA58*IF(Slot4_SpendLike=1,BC58-BD58,IF(Slot4_PotFree=1,BC58,0))</f>
        <v>0</v>
      </c>
      <c r="BH58" s="20" t="n">
        <f aca="false">AX58+BA58*Slot4_BufPot*BC58</f>
        <v>0</v>
      </c>
      <c r="BI58" s="20" t="n">
        <f aca="false">IF(AND(BA58=1,Slot4_IsMfree=1),IF(BF58&gt;=Slot4_Cost-1,0,MAX(0,AY58-BF58)),AY58)</f>
        <v>0</v>
      </c>
      <c r="BJ58" s="20" t="n">
        <f aca="false">BA58*(Slot4_Cost-BF58)</f>
        <v>0</v>
      </c>
      <c r="BK58" s="20" t="n">
        <f aca="false">IF(AND(Slot5_On=1,D58=Slot5_Age),1,0)</f>
        <v>0</v>
      </c>
      <c r="BL58" s="20" t="n">
        <f aca="false">IF(AND(Slot5_On=1,Slot5_Age&gt;D58),1,0)</f>
        <v>0</v>
      </c>
      <c r="BM58" s="20" t="n">
        <f aca="false">RC57</f>
        <v>0</v>
      </c>
      <c r="BN58" s="20" t="n">
        <f aca="false">BK58*MIN(Slot5_Cost,BM58)</f>
        <v>0</v>
      </c>
      <c r="BO58" s="20" t="n">
        <f aca="false">BK58*Slot5_SpendLike*MIN(Slot5_Cost-BN58,BG58)</f>
        <v>0</v>
      </c>
      <c r="BP58" s="20" t="n">
        <f aca="false">BN58+BO58</f>
        <v>0</v>
      </c>
      <c r="BQ58" s="20" t="n">
        <f aca="false">BG58-BO58+BK58*IF(Slot5_SpendLike=1,BM58-BN58,IF(Slot5_PotFree=1,BM58,0))</f>
        <v>0</v>
      </c>
      <c r="BR58" s="20" t="n">
        <f aca="false">BH58+BK58*Slot5_BufPot*BM58</f>
        <v>0</v>
      </c>
      <c r="BS58" s="20" t="n">
        <f aca="false">IF(AND(BK58=1,Slot5_IsMfree=1),IF(BP58&gt;=Slot5_Cost-1,0,MAX(0,BI58-BP58)),BI58)</f>
        <v>0</v>
      </c>
      <c r="BT58" s="20" t="n">
        <f aca="false">BK58*(Slot5_Cost-BP58)</f>
        <v>0</v>
      </c>
      <c r="BU58" s="20" t="n">
        <f aca="false">IF(AND(Slot6_On=1,D58=Slot6_Age),1,0)</f>
        <v>0</v>
      </c>
      <c r="BV58" s="20" t="n">
        <f aca="false">IF(AND(Slot6_On=1,Slot6_Age&gt;D58),1,0)</f>
        <v>0</v>
      </c>
      <c r="BW58" s="20" t="n">
        <f aca="false">RG57</f>
        <v>0</v>
      </c>
      <c r="BX58" s="20" t="n">
        <f aca="false">BU58*MIN(Slot6_Cost,BW58)</f>
        <v>0</v>
      </c>
      <c r="BY58" s="20" t="n">
        <f aca="false">BU58*Slot6_SpendLike*MIN(Slot6_Cost-BX58,BQ58)</f>
        <v>0</v>
      </c>
      <c r="BZ58" s="20" t="n">
        <f aca="false">BX58+BY58</f>
        <v>0</v>
      </c>
      <c r="CA58" s="20" t="n">
        <f aca="false">BQ58-BY58+BU58*IF(Slot6_SpendLike=1,BW58-BX58,IF(Slot6_PotFree=1,BW58,0))</f>
        <v>0</v>
      </c>
      <c r="CB58" s="20" t="n">
        <f aca="false">BR58+BU58*Slot6_BufPot*BW58</f>
        <v>0</v>
      </c>
      <c r="CC58" s="20" t="n">
        <f aca="false">IF(AND(BU58=1,Slot6_IsMfree=1),IF(BZ58&gt;=Slot6_Cost-1,0,MAX(0,BS58-BZ58)),BS58)</f>
        <v>0</v>
      </c>
      <c r="CD58" s="20" t="n">
        <f aca="false">BU58*(Slot6_Cost-BZ58)</f>
        <v>0</v>
      </c>
      <c r="CE58" s="20" t="n">
        <f aca="false">IF(AND(Slot7_On=1,D58=Slot7_Age),1,0)</f>
        <v>0</v>
      </c>
      <c r="CF58" s="20" t="n">
        <f aca="false">IF(AND(Slot7_On=1,Slot7_Age&gt;D58),1,0)</f>
        <v>0</v>
      </c>
      <c r="CG58" s="20" t="n">
        <f aca="false">RK57</f>
        <v>0</v>
      </c>
      <c r="CH58" s="20" t="n">
        <f aca="false">CE58*MIN(Slot7_Cost,CG58)</f>
        <v>0</v>
      </c>
      <c r="CI58" s="20" t="n">
        <f aca="false">CE58*Slot7_SpendLike*MIN(Slot7_Cost-CH58,CA58)</f>
        <v>0</v>
      </c>
      <c r="CJ58" s="20" t="n">
        <f aca="false">CH58+CI58</f>
        <v>0</v>
      </c>
      <c r="CK58" s="20" t="n">
        <f aca="false">CA58-CI58+CE58*IF(Slot7_SpendLike=1,CG58-CH58,IF(Slot7_PotFree=1,CG58,0))</f>
        <v>0</v>
      </c>
      <c r="CL58" s="20" t="n">
        <f aca="false">CB58+CE58*Slot7_BufPot*CG58</f>
        <v>0</v>
      </c>
      <c r="CM58" s="20" t="n">
        <f aca="false">IF(AND(CE58=1,Slot7_IsMfree=1),IF(CJ58&gt;=Slot7_Cost-1,0,MAX(0,CC58-CJ58)),CC58)</f>
        <v>0</v>
      </c>
      <c r="CN58" s="20" t="n">
        <f aca="false">CE58*(Slot7_Cost-CJ58)</f>
        <v>0</v>
      </c>
      <c r="CO58" s="20" t="n">
        <f aca="false">IF(AND(Slot8_On=1,D58=Slot8_Age),1,0)</f>
        <v>0</v>
      </c>
      <c r="CP58" s="20" t="n">
        <f aca="false">IF(AND(Slot8_On=1,Slot8_Age&gt;D58),1,0)</f>
        <v>0</v>
      </c>
      <c r="CQ58" s="20" t="n">
        <f aca="false">RO57</f>
        <v>0</v>
      </c>
      <c r="CR58" s="20" t="n">
        <f aca="false">CO58*MIN(Slot8_Cost,CQ58)</f>
        <v>0</v>
      </c>
      <c r="CS58" s="20" t="n">
        <f aca="false">CO58*Slot8_SpendLike*MIN(Slot8_Cost-CR58,CK58)</f>
        <v>0</v>
      </c>
      <c r="CT58" s="20" t="n">
        <f aca="false">CR58+CS58</f>
        <v>0</v>
      </c>
      <c r="CU58" s="20" t="n">
        <f aca="false">CK58-CS58+CO58*IF(Slot8_SpendLike=1,CQ58-CR58,IF(Slot8_PotFree=1,CQ58,0))</f>
        <v>0</v>
      </c>
      <c r="CV58" s="20" t="n">
        <f aca="false">CL58+CO58*Slot8_BufPot*CQ58</f>
        <v>0</v>
      </c>
      <c r="CW58" s="20" t="n">
        <f aca="false">IF(AND(CO58=1,Slot8_IsMfree=1),IF(CT58&gt;=Slot8_Cost-1,0,MAX(0,CM58-CT58)),CM58)</f>
        <v>0</v>
      </c>
      <c r="CX58" s="20" t="n">
        <f aca="false">CO58*(Slot8_Cost-CT58)</f>
        <v>0</v>
      </c>
      <c r="CY58" s="20" t="n">
        <f aca="false">IF(AND(Slot9_On=1,D58=Slot9_Age),1,0)</f>
        <v>0</v>
      </c>
      <c r="CZ58" s="20" t="n">
        <f aca="false">IF(AND(Slot9_On=1,Slot9_Age&gt;D58),1,0)</f>
        <v>0</v>
      </c>
      <c r="DA58" s="20" t="n">
        <f aca="false">RS57</f>
        <v>0</v>
      </c>
      <c r="DB58" s="20" t="n">
        <f aca="false">CY58*MIN(Slot9_Cost,DA58)</f>
        <v>0</v>
      </c>
      <c r="DC58" s="20" t="n">
        <f aca="false">CY58*Slot9_SpendLike*MIN(Slot9_Cost-DB58,CU58)</f>
        <v>0</v>
      </c>
      <c r="DD58" s="20" t="n">
        <f aca="false">DB58+DC58</f>
        <v>0</v>
      </c>
      <c r="DE58" s="20" t="n">
        <f aca="false">CU58-DC58+CY58*IF(Slot9_SpendLike=1,DA58-DB58,IF(Slot9_PotFree=1,DA58,0))</f>
        <v>0</v>
      </c>
      <c r="DF58" s="20" t="n">
        <f aca="false">CV58+CY58*Slot9_BufPot*DA58</f>
        <v>0</v>
      </c>
      <c r="DG58" s="20" t="n">
        <f aca="false">IF(AND(CY58=1,Slot9_IsMfree=1),IF(DD58&gt;=Slot9_Cost-1,0,MAX(0,CW58-DD58)),CW58)</f>
        <v>0</v>
      </c>
      <c r="DH58" s="20" t="n">
        <f aca="false">CY58*(Slot9_Cost-DD58)</f>
        <v>0</v>
      </c>
      <c r="DI58" s="20" t="n">
        <f aca="false">IF(AND(Slot10_On=1,D58=Slot10_Age),1,0)</f>
        <v>0</v>
      </c>
      <c r="DJ58" s="20" t="n">
        <f aca="false">IF(AND(Slot10_On=1,Slot10_Age&gt;D58),1,0)</f>
        <v>0</v>
      </c>
      <c r="DK58" s="20" t="n">
        <f aca="false">RW57</f>
        <v>0</v>
      </c>
      <c r="DL58" s="20" t="n">
        <f aca="false">DI58*MIN(Slot10_Cost,DK58)</f>
        <v>0</v>
      </c>
      <c r="DM58" s="20" t="n">
        <f aca="false">DI58*Slot10_SpendLike*MIN(Slot10_Cost-DL58,DE58)</f>
        <v>0</v>
      </c>
      <c r="DN58" s="20" t="n">
        <f aca="false">DL58+DM58</f>
        <v>0</v>
      </c>
      <c r="DO58" s="20" t="n">
        <f aca="false">DE58-DM58+DI58*IF(Slot10_SpendLike=1,DK58-DL58,IF(Slot10_PotFree=1,DK58,0))</f>
        <v>0</v>
      </c>
      <c r="DP58" s="20" t="n">
        <f aca="false">DF58+DI58*Slot10_BufPot*DK58</f>
        <v>0</v>
      </c>
      <c r="DQ58" s="20" t="n">
        <f aca="false">IF(AND(DI58=1,Slot10_IsMfree=1),IF(DN58&gt;=Slot10_Cost-1,0,MAX(0,DG58-DN58)),DG58)</f>
        <v>0</v>
      </c>
      <c r="DR58" s="20" t="n">
        <f aca="false">DI58*(Slot10_Cost-DN58)</f>
        <v>0</v>
      </c>
      <c r="DS58" s="20" t="n">
        <f aca="false">IF(AND(Slot11_On=1,D58=Slot11_Age),1,0)</f>
        <v>0</v>
      </c>
      <c r="DT58" s="20" t="n">
        <f aca="false">IF(AND(Slot11_On=1,Slot11_Age&gt;D58),1,0)</f>
        <v>0</v>
      </c>
      <c r="DU58" s="20" t="n">
        <f aca="false">SA57</f>
        <v>0</v>
      </c>
      <c r="DV58" s="20" t="n">
        <f aca="false">DS58*MIN(Slot11_Cost,DU58)</f>
        <v>0</v>
      </c>
      <c r="DW58" s="20" t="n">
        <f aca="false">DS58*Slot11_SpendLike*MIN(Slot11_Cost-DV58,DO58)</f>
        <v>0</v>
      </c>
      <c r="DX58" s="20" t="n">
        <f aca="false">DV58+DW58</f>
        <v>0</v>
      </c>
      <c r="DY58" s="20" t="n">
        <f aca="false">DO58-DW58+DS58*IF(Slot11_SpendLike=1,DU58-DV58,IF(Slot11_PotFree=1,DU58,0))</f>
        <v>0</v>
      </c>
      <c r="DZ58" s="20" t="n">
        <f aca="false">DP58+DS58*Slot11_BufPot*DU58</f>
        <v>0</v>
      </c>
      <c r="EA58" s="20" t="n">
        <f aca="false">IF(AND(DS58=1,Slot11_IsMfree=1),IF(DX58&gt;=Slot11_Cost-1,0,MAX(0,DQ58-DX58)),DQ58)</f>
        <v>0</v>
      </c>
      <c r="EB58" s="20" t="n">
        <f aca="false">DS58*(Slot11_Cost-DX58)</f>
        <v>0</v>
      </c>
      <c r="EC58" s="20" t="n">
        <f aca="false">IF(AND(Slot12_On=1,D58=Slot12_Age),1,0)</f>
        <v>0</v>
      </c>
      <c r="ED58" s="20" t="n">
        <f aca="false">IF(AND(Slot12_On=1,Slot12_Age&gt;D58),1,0)</f>
        <v>0</v>
      </c>
      <c r="EE58" s="20" t="n">
        <f aca="false">SE57</f>
        <v>0</v>
      </c>
      <c r="EF58" s="20" t="n">
        <f aca="false">EC58*MIN(Slot12_Cost,EE58)</f>
        <v>0</v>
      </c>
      <c r="EG58" s="20" t="n">
        <f aca="false">EC58*Slot12_SpendLike*MIN(Slot12_Cost-EF58,DY58)</f>
        <v>0</v>
      </c>
      <c r="EH58" s="20" t="n">
        <f aca="false">EF58+EG58</f>
        <v>0</v>
      </c>
      <c r="EI58" s="20" t="n">
        <f aca="false">DY58-EG58+EC58*IF(Slot12_SpendLike=1,EE58-EF58,IF(Slot12_PotFree=1,EE58,0))</f>
        <v>0</v>
      </c>
      <c r="EJ58" s="20" t="n">
        <f aca="false">DZ58+EC58*Slot12_BufPot*EE58</f>
        <v>0</v>
      </c>
      <c r="EK58" s="20" t="n">
        <f aca="false">IF(AND(EC58=1,Slot12_IsMfree=1),IF(EH58&gt;=Slot12_Cost-1,0,MAX(0,EA58-EH58)),EA58)</f>
        <v>0</v>
      </c>
      <c r="EL58" s="20" t="n">
        <f aca="false">EC58*(Slot12_Cost-EH58)</f>
        <v>0</v>
      </c>
      <c r="EM58" s="20" t="n">
        <f aca="false">IF(AND(Slot13_On=1,D58=Slot13_Age),1,0)</f>
        <v>0</v>
      </c>
      <c r="EN58" s="20" t="n">
        <f aca="false">IF(AND(Slot13_On=1,Slot13_Age&gt;D58),1,0)</f>
        <v>0</v>
      </c>
      <c r="EO58" s="20" t="n">
        <f aca="false">SI57</f>
        <v>0</v>
      </c>
      <c r="EP58" s="20" t="n">
        <f aca="false">EM58*MIN(Slot13_Cost,EO58)</f>
        <v>0</v>
      </c>
      <c r="EQ58" s="20" t="n">
        <f aca="false">EM58*Slot13_SpendLike*MIN(Slot13_Cost-EP58,EI58)</f>
        <v>0</v>
      </c>
      <c r="ER58" s="20" t="n">
        <f aca="false">EP58+EQ58</f>
        <v>0</v>
      </c>
      <c r="ES58" s="20" t="n">
        <f aca="false">EI58-EQ58+EM58*IF(Slot13_SpendLike=1,EO58-EP58,IF(Slot13_PotFree=1,EO58,0))</f>
        <v>0</v>
      </c>
      <c r="ET58" s="20" t="n">
        <f aca="false">EJ58+EM58*Slot13_BufPot*EO58</f>
        <v>0</v>
      </c>
      <c r="EU58" s="20" t="n">
        <f aca="false">IF(AND(EM58=1,Slot13_IsMfree=1),IF(ER58&gt;=Slot13_Cost-1,0,MAX(0,EK58-ER58)),EK58)</f>
        <v>0</v>
      </c>
      <c r="EV58" s="20" t="n">
        <f aca="false">EM58*(Slot13_Cost-ER58)</f>
        <v>0</v>
      </c>
      <c r="EW58" s="20" t="n">
        <f aca="false">IF(AND(Slot14_On=1,D58=Slot14_Age),1,0)</f>
        <v>0</v>
      </c>
      <c r="EX58" s="20" t="n">
        <f aca="false">IF(AND(Slot14_On=1,Slot14_Age&gt;D58),1,0)</f>
        <v>0</v>
      </c>
      <c r="EY58" s="20" t="n">
        <f aca="false">SM57</f>
        <v>0</v>
      </c>
      <c r="EZ58" s="20" t="n">
        <f aca="false">EW58*MIN(Slot14_Cost,EY58)</f>
        <v>0</v>
      </c>
      <c r="FA58" s="20" t="n">
        <f aca="false">EW58*Slot14_SpendLike*MIN(Slot14_Cost-EZ58,ES58)</f>
        <v>0</v>
      </c>
      <c r="FB58" s="20" t="n">
        <f aca="false">EZ58+FA58</f>
        <v>0</v>
      </c>
      <c r="FC58" s="20" t="n">
        <f aca="false">ES58-FA58+EW58*IF(Slot14_SpendLike=1,EY58-EZ58,IF(Slot14_PotFree=1,EY58,0))</f>
        <v>0</v>
      </c>
      <c r="FD58" s="20" t="n">
        <f aca="false">ET58+EW58*Slot14_BufPot*EY58</f>
        <v>0</v>
      </c>
      <c r="FE58" s="20" t="n">
        <f aca="false">IF(AND(EW58=1,Slot14_IsMfree=1),IF(FB58&gt;=Slot14_Cost-1,0,MAX(0,EU58-FB58)),EU58)</f>
        <v>0</v>
      </c>
      <c r="FF58" s="20" t="n">
        <f aca="false">EW58*(Slot14_Cost-FB58)</f>
        <v>0</v>
      </c>
      <c r="FG58" s="20" t="n">
        <f aca="false">IF(AND(Slot15_On=1,D58=Slot15_Age),1,0)</f>
        <v>0</v>
      </c>
      <c r="FH58" s="20" t="n">
        <f aca="false">IF(AND(Slot15_On=1,Slot15_Age&gt;D58),1,0)</f>
        <v>0</v>
      </c>
      <c r="FI58" s="20" t="n">
        <f aca="false">SQ57</f>
        <v>0</v>
      </c>
      <c r="FJ58" s="20" t="n">
        <f aca="false">FG58*MIN(Slot15_Cost,FI58)</f>
        <v>0</v>
      </c>
      <c r="FK58" s="20" t="n">
        <f aca="false">FG58*Slot15_SpendLike*MIN(Slot15_Cost-FJ58,FC58)</f>
        <v>0</v>
      </c>
      <c r="FL58" s="20" t="n">
        <f aca="false">FJ58+FK58</f>
        <v>0</v>
      </c>
      <c r="FM58" s="20" t="n">
        <f aca="false">FC58-FK58+FG58*IF(Slot15_SpendLike=1,FI58-FJ58,IF(Slot15_PotFree=1,FI58,0))</f>
        <v>0</v>
      </c>
      <c r="FN58" s="20" t="n">
        <f aca="false">FD58+FG58*Slot15_BufPot*FI58</f>
        <v>0</v>
      </c>
      <c r="FO58" s="20" t="n">
        <f aca="false">IF(AND(FG58=1,Slot15_IsMfree=1),IF(FL58&gt;=Slot15_Cost-1,0,MAX(0,FE58-FL58)),FE58)</f>
        <v>0</v>
      </c>
      <c r="FP58" s="20" t="n">
        <f aca="false">FG58*(Slot15_Cost-FL58)</f>
        <v>0</v>
      </c>
      <c r="FQ58" s="20" t="n">
        <f aca="false">IF(AND(Slot16_On=1,D58=Slot16_Age),1,0)</f>
        <v>0</v>
      </c>
      <c r="FR58" s="20" t="n">
        <f aca="false">IF(AND(Slot16_On=1,Slot16_Age&gt;D58),1,0)</f>
        <v>0</v>
      </c>
      <c r="FS58" s="20" t="n">
        <f aca="false">SU57</f>
        <v>0</v>
      </c>
      <c r="FT58" s="20" t="n">
        <f aca="false">FQ58*MIN(Slot16_Cost,FS58)</f>
        <v>0</v>
      </c>
      <c r="FU58" s="20" t="n">
        <f aca="false">FQ58*Slot16_SpendLike*MIN(Slot16_Cost-FT58,FM58)</f>
        <v>0</v>
      </c>
      <c r="FV58" s="20" t="n">
        <f aca="false">FT58+FU58</f>
        <v>0</v>
      </c>
      <c r="FW58" s="20" t="n">
        <f aca="false">FM58-FU58+FQ58*IF(Slot16_SpendLike=1,FS58-FT58,IF(Slot16_PotFree=1,FS58,0))</f>
        <v>0</v>
      </c>
      <c r="FX58" s="20" t="n">
        <f aca="false">FN58+FQ58*Slot16_BufPot*FS58</f>
        <v>0</v>
      </c>
      <c r="FY58" s="20" t="n">
        <f aca="false">IF(AND(FQ58=1,Slot16_IsMfree=1),IF(FV58&gt;=Slot16_Cost-1,0,MAX(0,FO58-FV58)),FO58)</f>
        <v>0</v>
      </c>
      <c r="FZ58" s="20" t="n">
        <f aca="false">FQ58*(Slot16_Cost-FV58)</f>
        <v>0</v>
      </c>
      <c r="GA58" s="20" t="n">
        <f aca="false">IF(AND(Slot17_On=1,D58=Slot17_Age),1,0)</f>
        <v>0</v>
      </c>
      <c r="GB58" s="20" t="n">
        <f aca="false">IF(AND(Slot17_On=1,Slot17_Age&gt;D58),1,0)</f>
        <v>0</v>
      </c>
      <c r="GC58" s="20" t="n">
        <f aca="false">SY57</f>
        <v>0</v>
      </c>
      <c r="GD58" s="20" t="n">
        <f aca="false">GA58*MIN(Slot17_Cost,GC58)</f>
        <v>0</v>
      </c>
      <c r="GE58" s="20" t="n">
        <f aca="false">GA58*Slot17_SpendLike*MIN(Slot17_Cost-GD58,FW58)</f>
        <v>0</v>
      </c>
      <c r="GF58" s="20" t="n">
        <f aca="false">GD58+GE58</f>
        <v>0</v>
      </c>
      <c r="GG58" s="20" t="n">
        <f aca="false">FW58-GE58+GA58*IF(Slot17_SpendLike=1,GC58-GD58,IF(Slot17_PotFree=1,GC58,0))</f>
        <v>0</v>
      </c>
      <c r="GH58" s="20" t="n">
        <f aca="false">FX58+GA58*Slot17_BufPot*GC58</f>
        <v>0</v>
      </c>
      <c r="GI58" s="20" t="n">
        <f aca="false">IF(AND(GA58=1,Slot17_IsMfree=1),IF(GF58&gt;=Slot17_Cost-1,0,MAX(0,FY58-GF58)),FY58)</f>
        <v>0</v>
      </c>
      <c r="GJ58" s="20" t="n">
        <f aca="false">GA58*(Slot17_Cost-GF58)</f>
        <v>0</v>
      </c>
      <c r="GK58" s="20" t="n">
        <f aca="false">IF(AND(Slot18_On=1,D58=Slot18_Age),1,0)</f>
        <v>0</v>
      </c>
      <c r="GL58" s="20" t="n">
        <f aca="false">IF(AND(Slot18_On=1,Slot18_Age&gt;D58),1,0)</f>
        <v>0</v>
      </c>
      <c r="GM58" s="20" t="n">
        <f aca="false">TC57</f>
        <v>0</v>
      </c>
      <c r="GN58" s="20" t="n">
        <f aca="false">GK58*MIN(Slot18_Cost,GM58)</f>
        <v>0</v>
      </c>
      <c r="GO58" s="20" t="n">
        <f aca="false">GK58*Slot18_SpendLike*MIN(Slot18_Cost-GN58,GG58)</f>
        <v>0</v>
      </c>
      <c r="GP58" s="20" t="n">
        <f aca="false">GN58+GO58</f>
        <v>0</v>
      </c>
      <c r="GQ58" s="20" t="n">
        <f aca="false">GG58-GO58+GK58*IF(Slot18_SpendLike=1,GM58-GN58,IF(Slot18_PotFree=1,GM58,0))</f>
        <v>0</v>
      </c>
      <c r="GR58" s="20" t="n">
        <f aca="false">GH58+GK58*Slot18_BufPot*GM58</f>
        <v>0</v>
      </c>
      <c r="GS58" s="20" t="n">
        <f aca="false">IF(AND(GK58=1,Slot18_IsMfree=1),IF(GP58&gt;=Slot18_Cost-1,0,MAX(0,GI58-GP58)),GI58)</f>
        <v>0</v>
      </c>
      <c r="GT58" s="20" t="n">
        <f aca="false">GK58*(Slot18_Cost-GP58)</f>
        <v>0</v>
      </c>
      <c r="GU58" s="20" t="n">
        <f aca="false">IF(AND(Slot19_On=1,D58=Slot19_Age),1,0)</f>
        <v>0</v>
      </c>
      <c r="GV58" s="20" t="n">
        <f aca="false">IF(AND(Slot19_On=1,Slot19_Age&gt;D58),1,0)</f>
        <v>0</v>
      </c>
      <c r="GW58" s="20" t="n">
        <f aca="false">TG57</f>
        <v>0</v>
      </c>
      <c r="GX58" s="20" t="n">
        <f aca="false">GU58*MIN(Slot19_Cost,GW58)</f>
        <v>0</v>
      </c>
      <c r="GY58" s="20" t="n">
        <f aca="false">GU58*Slot19_SpendLike*MIN(Slot19_Cost-GX58,GQ58)</f>
        <v>0</v>
      </c>
      <c r="GZ58" s="20" t="n">
        <f aca="false">GX58+GY58</f>
        <v>0</v>
      </c>
      <c r="HA58" s="20" t="n">
        <f aca="false">GQ58-GY58+GU58*IF(Slot19_SpendLike=1,GW58-GX58,IF(Slot19_PotFree=1,GW58,0))</f>
        <v>0</v>
      </c>
      <c r="HB58" s="20" t="n">
        <f aca="false">GR58+GU58*Slot19_BufPot*GW58</f>
        <v>0</v>
      </c>
      <c r="HC58" s="20" t="n">
        <f aca="false">IF(AND(GU58=1,Slot19_IsMfree=1),IF(GZ58&gt;=Slot19_Cost-1,0,MAX(0,GS58-GZ58)),GS58)</f>
        <v>0</v>
      </c>
      <c r="HD58" s="20" t="n">
        <f aca="false">GU58*(Slot19_Cost-GZ58)</f>
        <v>0</v>
      </c>
      <c r="HE58" s="20" t="n">
        <f aca="false">IF(AND(Slot20_On=1,D58=Slot20_Age),1,0)</f>
        <v>0</v>
      </c>
      <c r="HF58" s="20" t="n">
        <f aca="false">IF(AND(Slot20_On=1,Slot20_Age&gt;D58),1,0)</f>
        <v>0</v>
      </c>
      <c r="HG58" s="20" t="n">
        <f aca="false">TK57</f>
        <v>0</v>
      </c>
      <c r="HH58" s="20" t="n">
        <f aca="false">HE58*MIN(Slot20_Cost,HG58)</f>
        <v>0</v>
      </c>
      <c r="HI58" s="20" t="n">
        <f aca="false">HE58*Slot20_SpendLike*MIN(Slot20_Cost-HH58,HA58)</f>
        <v>0</v>
      </c>
      <c r="HJ58" s="20" t="n">
        <f aca="false">HH58+HI58</f>
        <v>0</v>
      </c>
      <c r="HK58" s="20" t="n">
        <f aca="false">HA58-HI58+HE58*IF(Slot20_SpendLike=1,HG58-HH58,IF(Slot20_PotFree=1,HG58,0))</f>
        <v>0</v>
      </c>
      <c r="HL58" s="20" t="n">
        <f aca="false">HB58+HE58*Slot20_BufPot*HG58</f>
        <v>0</v>
      </c>
      <c r="HM58" s="20" t="n">
        <f aca="false">IF(AND(HE58=1,Slot20_IsMfree=1),IF(HJ58&gt;=Slot20_Cost-1,0,MAX(0,HC58-HJ58)),HC58)</f>
        <v>0</v>
      </c>
      <c r="HN58" s="20" t="n">
        <f aca="false">HE58*(Slot20_Cost-HJ58)</f>
        <v>0</v>
      </c>
      <c r="HO58" s="20" t="n">
        <f aca="false">V58*Slot1_SpendLike*AA58+AG58*Slot2_SpendLike*AL58+AQ58*Slot3_SpendLike*AV58+BA58*Slot4_SpendLike*BF58+BK58*Slot5_SpendLike*BP58+BU58*Slot6_SpendLike*BZ58+CE58*Slot7_SpendLike*CJ58+CO58*Slot8_SpendLike*CT58+CY58*Slot9_SpendLike*DD58+DI58*Slot10_SpendLike*DN58+DS58*Slot11_SpendLike*DX58+EC58*Slot12_SpendLike*EH58+EM58*Slot13_SpendLike*ER58+EW58*Slot14_SpendLike*FB58+FG58*Slot15_SpendLike*FL58+FQ58*Slot16_SpendLike*FV58+GA58*Slot17_SpendLike*GF58+GK58*Slot18_SpendLike*GP58+GU58*Slot19_SpendLike*GZ58+HE58*Slot20_SpendLike*HJ58</f>
        <v>0</v>
      </c>
      <c r="HP58" s="20" t="n">
        <f aca="false">AE58+AP58+AZ58+BJ58+BT58+CD58+CN58+CX58+DH58+DR58+EB58+EL58+EV58+FF58+FP58+FZ58+GJ58+GT58+HD58+HN58</f>
        <v>0</v>
      </c>
      <c r="HQ58" s="20" t="n">
        <f aca="false">V58*Slot1_Cost+AG58*Slot2_Cost+AQ58*Slot3_Cost+BA58*Slot4_Cost+BK58*Slot5_Cost+BU58*Slot6_Cost+CE58*Slot7_Cost+CO58*Slot8_Cost+CY58*Slot9_Cost+DI58*Slot10_Cost+DS58*Slot11_Cost+EC58*Slot12_Cost+EM58*Slot13_Cost+EW58*Slot14_Cost+FG58*Slot15_Cost+FQ58*Slot16_Cost+GA58*Slot17_Cost+GK58*Slot18_Cost+GU58*Slot19_Cost+HE58*Slot20_Cost</f>
        <v>0</v>
      </c>
      <c r="HR58" s="20" t="n">
        <f aca="false">HM58</f>
        <v>0</v>
      </c>
      <c r="HS58" s="20" t="n">
        <f aca="false">H58-I58-S58</f>
        <v>-27428.8502381298</v>
      </c>
      <c r="HT58" s="20" t="n">
        <f aca="false">IF(B58=0,IF(AND(Has_q6=1,In_q6=4),PR_ShareVaries*(MAX(0,HS58)/12),MIN(IF(Has_q6=1,CHOOSE(In_q6+1,PR_SaveB1,PR_SaveB2,PR_SaveB3,PR_SaveB4,0),AS_NoAnswer),AS_SaveShare*(MAX(0,HS58)/12))),HT57)</f>
        <v>67.3316893520437</v>
      </c>
      <c r="HU58" s="20" t="n">
        <f aca="false">IF(HS58&gt;=0,1,0)</f>
        <v>0</v>
      </c>
      <c r="HV58" s="20" t="n">
        <f aca="false">MAX(0,HS58/12/F58)</f>
        <v>0</v>
      </c>
      <c r="HW58" s="20" t="n">
        <f aca="false">IF(AND(Has_q6=1,In_q6=4),PR_ShareVaries*(HV58),MIN(IF(Has_q6=1,CHOOSE(In_q6+1,PR_SaveB1,PR_SaveB2,PR_SaveB3,PR_SaveB4,0),AS_NoAnswer),AS_SaveShare*(HV58)))</f>
        <v>0</v>
      </c>
      <c r="HX58" s="20" t="n">
        <f aca="false">IF(Has_saveM=1,IF(In_saveUp="Yes",1,IF(In_saveUp="No",0,IF(In_saveM&gt;=HT58-0.5,1,0))),0)</f>
        <v>0</v>
      </c>
      <c r="HY58" s="20" t="n">
        <f aca="false">IF(Has_saveM=1,MIN(HV58,IF(HX58=1,MAX(In_saveM,HW58),MIN(In_saveM,HW58))),HW58)</f>
        <v>0</v>
      </c>
      <c r="HZ58" s="20" t="n">
        <f aca="false">IF(G58=1,HY58*12*F58,0)</f>
        <v>0</v>
      </c>
      <c r="IA58" s="20" t="n">
        <f aca="false">MAX(0,HZ58+IF(AND(WI_Retire=0,WI_M&lt;0,G58=1),WI_M*12*F58,0))</f>
        <v>0</v>
      </c>
      <c r="IB58" s="20" t="n">
        <f aca="false">Slot1_IsWG*W58+Slot2_IsWG*AH58+Slot3_IsWG*AR58+Slot4_IsWG*BB58+Slot5_IsWG*BL58+Slot6_IsWG*BV58+Slot7_IsWG*CF58+Slot8_IsWG*CP58+Slot9_IsWG*CZ58+Slot10_IsWG*DJ58+Slot11_IsWG*DT58+Slot12_IsWG*ED58+Slot13_IsWG*EN58+Slot14_IsWG*EX58+Slot15_IsWG*FH58+Slot16_IsWG*FR58+Slot17_IsWG*GB58+Slot18_IsWG*GL58+Slot19_IsWG*GV58+Slot20_IsWG*HF58</f>
        <v>0</v>
      </c>
      <c r="IC58" s="20" t="n">
        <f aca="false">IF(AND(WI_Retire=0,WI_M&gt;0,G58=1,IB58&gt;=1),WI_M*12*F58,0)</f>
        <v>0</v>
      </c>
      <c r="ID58" s="20" t="n">
        <f aca="false">IF(HU58=1,MIN(IA58,HS58),0)</f>
        <v>0</v>
      </c>
      <c r="IE58" s="20" t="n">
        <f aca="false">IF(HU58=1,MIN(IC58,HS58-ID58),0)</f>
        <v>0</v>
      </c>
      <c r="IF58" s="20" t="n">
        <f aca="false">IF(W58=1,IF(ABS((1+AS_Wage)/(1+Slot1_Rate)-1)&lt;0.000000000001,(Slot1_Age-D58)*(1+Slot1_Rate)^(Slot1_Age-D58),(1+Slot1_Rate)^(Slot1_Age-D58)*(1-((1+AS_Wage)/(1+Slot1_Rate))^(Slot1_Age-D58))/(1-(1+AS_Wage)/(1+Slot1_Rate))),1)</f>
        <v>1</v>
      </c>
      <c r="IG58" s="20" t="n">
        <f aca="false">IF(AND(HU58=1,IE58&gt;0,Slot1_IsWG=1,W58=1),MAX(0,(Slot1_Cost-X58*(1+Slot1_Rate)^(Slot1_Age-D58))/IF58),0)</f>
        <v>0</v>
      </c>
      <c r="IH58" s="20" t="n">
        <f aca="false">IF(AND(HU58=1,IE58&gt;0,Slot1_IsWG=1,W58=1),MIN(IE58,IG58),0)</f>
        <v>0</v>
      </c>
      <c r="II58" s="20" t="n">
        <f aca="false">X58+IH58</f>
        <v>0</v>
      </c>
      <c r="IJ58" s="20" t="n">
        <f aca="false">IF(W58=1,MAX(0,(Slot1_Cost-II58*(1+Slot1_Rate)^(Slot1_Age-D58))/IF58),0)</f>
        <v>0</v>
      </c>
      <c r="IK58" s="20" t="n">
        <f aca="false">IF(W58=1,MAX(0,(Slot1_Cost-X58*(1+Slot1_Rate)^(Slot1_Age-D58))/IF58),0)</f>
        <v>0</v>
      </c>
      <c r="IL58" s="20" t="n">
        <f aca="false">IF(AND(HU58=1,W58=1),MIN(ID58,IJ58),0)</f>
        <v>0</v>
      </c>
      <c r="IM58" s="20" t="n">
        <f aca="false">ID58-IL58</f>
        <v>0</v>
      </c>
      <c r="IN58" s="20" t="n">
        <f aca="false">IF(AH58=1,IF(ABS((1+AS_Wage)/(1+Slot2_Rate)-1)&lt;0.000000000001,(Slot2_Age-D58)*(1+Slot2_Rate)^(Slot2_Age-D58),(1+Slot2_Rate)^(Slot2_Age-D58)*(1-((1+AS_Wage)/(1+Slot2_Rate))^(Slot2_Age-D58))/(1-(1+AS_Wage)/(1+Slot2_Rate))),1)</f>
        <v>1</v>
      </c>
      <c r="IO58" s="20" t="n">
        <f aca="false">IF(AND(HU58=1,IE58&gt;0,Slot2_IsWG=1,AH58=1),MAX(0,(Slot2_Cost-AI58*(1+Slot2_Rate)^(Slot2_Age-D58))/IN58),0)</f>
        <v>0</v>
      </c>
      <c r="IP58" s="20" t="n">
        <f aca="false">IF(AND(HU58=1,IE58&gt;0,Slot2_IsWG=1,AH58=1),MIN(IE58,IO58),0)</f>
        <v>0</v>
      </c>
      <c r="IQ58" s="20" t="n">
        <f aca="false">AI58+IP58</f>
        <v>0</v>
      </c>
      <c r="IR58" s="20" t="n">
        <f aca="false">IF(AH58=1,MAX(0,(Slot2_Cost-IQ58*(1+Slot2_Rate)^(Slot2_Age-D58))/IN58),0)</f>
        <v>0</v>
      </c>
      <c r="IS58" s="20" t="n">
        <f aca="false">IF(AH58=1,MAX(0,(Slot2_Cost-AI58*(1+Slot2_Rate)^(Slot2_Age-D58))/IN58),0)</f>
        <v>0</v>
      </c>
      <c r="IT58" s="20" t="n">
        <f aca="false">IF(AND(HU58=1,AH58=1),MIN(IM58,IR58),0)</f>
        <v>0</v>
      </c>
      <c r="IU58" s="20" t="n">
        <f aca="false">IM58-IT58</f>
        <v>0</v>
      </c>
      <c r="IV58" s="20" t="n">
        <f aca="false">IF(AR58=1,IF(ABS((1+AS_Wage)/(1+Slot3_Rate)-1)&lt;0.000000000001,(Slot3_Age-D58)*(1+Slot3_Rate)^(Slot3_Age-D58),(1+Slot3_Rate)^(Slot3_Age-D58)*(1-((1+AS_Wage)/(1+Slot3_Rate))^(Slot3_Age-D58))/(1-(1+AS_Wage)/(1+Slot3_Rate))),1)</f>
        <v>1</v>
      </c>
      <c r="IW58" s="20" t="n">
        <f aca="false">IF(AND(HU58=1,IE58&gt;0,Slot3_IsWG=1,AR58=1),MAX(0,(Slot3_Cost-AS58*(1+Slot3_Rate)^(Slot3_Age-D58))/IV58),0)</f>
        <v>0</v>
      </c>
      <c r="IX58" s="20" t="n">
        <f aca="false">IF(AND(HU58=1,IE58&gt;0,Slot3_IsWG=1,AR58=1),MIN(IE58,IW58),0)</f>
        <v>0</v>
      </c>
      <c r="IY58" s="20" t="n">
        <f aca="false">AS58+IX58</f>
        <v>0</v>
      </c>
      <c r="IZ58" s="20" t="n">
        <f aca="false">IF(AR58=1,MAX(0,(Slot3_Cost-IY58*(1+Slot3_Rate)^(Slot3_Age-D58))/IV58),0)</f>
        <v>0</v>
      </c>
      <c r="JA58" s="20" t="n">
        <f aca="false">IF(AR58=1,MAX(0,(Slot3_Cost-AS58*(1+Slot3_Rate)^(Slot3_Age-D58))/IV58),0)</f>
        <v>0</v>
      </c>
      <c r="JB58" s="20" t="n">
        <f aca="false">IF(AND(HU58=1,AR58=1),MIN(IU58,IZ58),0)</f>
        <v>0</v>
      </c>
      <c r="JC58" s="20" t="n">
        <f aca="false">IU58-JB58</f>
        <v>0</v>
      </c>
      <c r="JD58" s="20" t="n">
        <f aca="false">IF(BB58=1,IF(ABS((1+AS_Wage)/(1+Slot4_Rate)-1)&lt;0.000000000001,(Slot4_Age-D58)*(1+Slot4_Rate)^(Slot4_Age-D58),(1+Slot4_Rate)^(Slot4_Age-D58)*(1-((1+AS_Wage)/(1+Slot4_Rate))^(Slot4_Age-D58))/(1-(1+AS_Wage)/(1+Slot4_Rate))),1)</f>
        <v>1</v>
      </c>
      <c r="JE58" s="20" t="n">
        <f aca="false">IF(AND(HU58=1,IE58&gt;0,Slot4_IsWG=1,BB58=1),MAX(0,(Slot4_Cost-BC58*(1+Slot4_Rate)^(Slot4_Age-D58))/JD58),0)</f>
        <v>0</v>
      </c>
      <c r="JF58" s="20" t="n">
        <f aca="false">IF(AND(HU58=1,IE58&gt;0,Slot4_IsWG=1,BB58=1),MIN(IE58,JE58),0)</f>
        <v>0</v>
      </c>
      <c r="JG58" s="20" t="n">
        <f aca="false">BC58+JF58</f>
        <v>0</v>
      </c>
      <c r="JH58" s="20" t="n">
        <f aca="false">IF(BB58=1,MAX(0,(Slot4_Cost-JG58*(1+Slot4_Rate)^(Slot4_Age-D58))/JD58),0)</f>
        <v>0</v>
      </c>
      <c r="JI58" s="20" t="n">
        <f aca="false">IF(BB58=1,MAX(0,(Slot4_Cost-BC58*(1+Slot4_Rate)^(Slot4_Age-D58))/JD58),0)</f>
        <v>0</v>
      </c>
      <c r="JJ58" s="20" t="n">
        <f aca="false">IF(AND(HU58=1,BB58=1),MIN(JC58,JH58),0)</f>
        <v>0</v>
      </c>
      <c r="JK58" s="20" t="n">
        <f aca="false">JC58-JJ58</f>
        <v>0</v>
      </c>
      <c r="JL58" s="20" t="n">
        <f aca="false">IF(BL58=1,IF(ABS((1+AS_Wage)/(1+Slot5_Rate)-1)&lt;0.000000000001,(Slot5_Age-D58)*(1+Slot5_Rate)^(Slot5_Age-D58),(1+Slot5_Rate)^(Slot5_Age-D58)*(1-((1+AS_Wage)/(1+Slot5_Rate))^(Slot5_Age-D58))/(1-(1+AS_Wage)/(1+Slot5_Rate))),1)</f>
        <v>1</v>
      </c>
      <c r="JM58" s="20" t="n">
        <f aca="false">IF(AND(HU58=1,IE58&gt;0,Slot5_IsWG=1,BL58=1),MAX(0,(Slot5_Cost-BM58*(1+Slot5_Rate)^(Slot5_Age-D58))/JL58),0)</f>
        <v>0</v>
      </c>
      <c r="JN58" s="20" t="n">
        <f aca="false">IF(AND(HU58=1,IE58&gt;0,Slot5_IsWG=1,BL58=1),MIN(IE58,JM58),0)</f>
        <v>0</v>
      </c>
      <c r="JO58" s="20" t="n">
        <f aca="false">BM58+JN58</f>
        <v>0</v>
      </c>
      <c r="JP58" s="20" t="n">
        <f aca="false">IF(BL58=1,MAX(0,(Slot5_Cost-JO58*(1+Slot5_Rate)^(Slot5_Age-D58))/JL58),0)</f>
        <v>0</v>
      </c>
      <c r="JQ58" s="20" t="n">
        <f aca="false">IF(BL58=1,MAX(0,(Slot5_Cost-BM58*(1+Slot5_Rate)^(Slot5_Age-D58))/JL58),0)</f>
        <v>0</v>
      </c>
      <c r="JR58" s="20" t="n">
        <f aca="false">IF(AND(HU58=1,BL58=1),MIN(JK58,JP58),0)</f>
        <v>0</v>
      </c>
      <c r="JS58" s="20" t="n">
        <f aca="false">JK58-JR58</f>
        <v>0</v>
      </c>
      <c r="JT58" s="20" t="n">
        <f aca="false">IF(BV58=1,IF(ABS((1+AS_Wage)/(1+Slot6_Rate)-1)&lt;0.000000000001,(Slot6_Age-D58)*(1+Slot6_Rate)^(Slot6_Age-D58),(1+Slot6_Rate)^(Slot6_Age-D58)*(1-((1+AS_Wage)/(1+Slot6_Rate))^(Slot6_Age-D58))/(1-(1+AS_Wage)/(1+Slot6_Rate))),1)</f>
        <v>1</v>
      </c>
      <c r="JU58" s="20" t="n">
        <f aca="false">IF(AND(HU58=1,IE58&gt;0,Slot6_IsWG=1,BV58=1),MAX(0,(Slot6_Cost-BW58*(1+Slot6_Rate)^(Slot6_Age-D58))/JT58),0)</f>
        <v>0</v>
      </c>
      <c r="JV58" s="20" t="n">
        <f aca="false">IF(AND(HU58=1,IE58&gt;0,Slot6_IsWG=1,BV58=1),MIN(IE58,JU58),0)</f>
        <v>0</v>
      </c>
      <c r="JW58" s="20" t="n">
        <f aca="false">BW58+JV58</f>
        <v>0</v>
      </c>
      <c r="JX58" s="20" t="n">
        <f aca="false">IF(BV58=1,MAX(0,(Slot6_Cost-JW58*(1+Slot6_Rate)^(Slot6_Age-D58))/JT58),0)</f>
        <v>0</v>
      </c>
      <c r="JY58" s="20" t="n">
        <f aca="false">IF(BV58=1,MAX(0,(Slot6_Cost-BW58*(1+Slot6_Rate)^(Slot6_Age-D58))/JT58),0)</f>
        <v>0</v>
      </c>
      <c r="JZ58" s="20" t="n">
        <f aca="false">IF(AND(HU58=1,BV58=1),MIN(JS58,JX58),0)</f>
        <v>0</v>
      </c>
      <c r="KA58" s="20" t="n">
        <f aca="false">JS58-JZ58</f>
        <v>0</v>
      </c>
      <c r="KB58" s="20" t="n">
        <f aca="false">IF(CF58=1,IF(ABS((1+AS_Wage)/(1+Slot7_Rate)-1)&lt;0.000000000001,(Slot7_Age-D58)*(1+Slot7_Rate)^(Slot7_Age-D58),(1+Slot7_Rate)^(Slot7_Age-D58)*(1-((1+AS_Wage)/(1+Slot7_Rate))^(Slot7_Age-D58))/(1-(1+AS_Wage)/(1+Slot7_Rate))),1)</f>
        <v>1</v>
      </c>
      <c r="KC58" s="20" t="n">
        <f aca="false">IF(AND(HU58=1,IE58&gt;0,Slot7_IsWG=1,CF58=1),MAX(0,(Slot7_Cost-CG58*(1+Slot7_Rate)^(Slot7_Age-D58))/KB58),0)</f>
        <v>0</v>
      </c>
      <c r="KD58" s="20" t="n">
        <f aca="false">IF(AND(HU58=1,IE58&gt;0,Slot7_IsWG=1,CF58=1),MIN(IE58,KC58),0)</f>
        <v>0</v>
      </c>
      <c r="KE58" s="20" t="n">
        <f aca="false">CG58+KD58</f>
        <v>0</v>
      </c>
      <c r="KF58" s="20" t="n">
        <f aca="false">IF(CF58=1,MAX(0,(Slot7_Cost-KE58*(1+Slot7_Rate)^(Slot7_Age-D58))/KB58),0)</f>
        <v>0</v>
      </c>
      <c r="KG58" s="20" t="n">
        <f aca="false">IF(CF58=1,MAX(0,(Slot7_Cost-CG58*(1+Slot7_Rate)^(Slot7_Age-D58))/KB58),0)</f>
        <v>0</v>
      </c>
      <c r="KH58" s="20" t="n">
        <f aca="false">IF(AND(HU58=1,CF58=1),MIN(KA58,KF58),0)</f>
        <v>0</v>
      </c>
      <c r="KI58" s="20" t="n">
        <f aca="false">KA58-KH58</f>
        <v>0</v>
      </c>
      <c r="KJ58" s="20" t="n">
        <f aca="false">IF(CP58=1,IF(ABS((1+AS_Wage)/(1+Slot8_Rate)-1)&lt;0.000000000001,(Slot8_Age-D58)*(1+Slot8_Rate)^(Slot8_Age-D58),(1+Slot8_Rate)^(Slot8_Age-D58)*(1-((1+AS_Wage)/(1+Slot8_Rate))^(Slot8_Age-D58))/(1-(1+AS_Wage)/(1+Slot8_Rate))),1)</f>
        <v>1</v>
      </c>
      <c r="KK58" s="20" t="n">
        <f aca="false">IF(AND(HU58=1,IE58&gt;0,Slot8_IsWG=1,CP58=1),MAX(0,(Slot8_Cost-CQ58*(1+Slot8_Rate)^(Slot8_Age-D58))/KJ58),0)</f>
        <v>0</v>
      </c>
      <c r="KL58" s="20" t="n">
        <f aca="false">IF(AND(HU58=1,IE58&gt;0,Slot8_IsWG=1,CP58=1),MIN(IE58,KK58),0)</f>
        <v>0</v>
      </c>
      <c r="KM58" s="20" t="n">
        <f aca="false">CQ58+KL58</f>
        <v>0</v>
      </c>
      <c r="KN58" s="20" t="n">
        <f aca="false">IF(CP58=1,MAX(0,(Slot8_Cost-KM58*(1+Slot8_Rate)^(Slot8_Age-D58))/KJ58),0)</f>
        <v>0</v>
      </c>
      <c r="KO58" s="20" t="n">
        <f aca="false">IF(CP58=1,MAX(0,(Slot8_Cost-CQ58*(1+Slot8_Rate)^(Slot8_Age-D58))/KJ58),0)</f>
        <v>0</v>
      </c>
      <c r="KP58" s="20" t="n">
        <f aca="false">IF(AND(HU58=1,CP58=1),MIN(KI58,KN58),0)</f>
        <v>0</v>
      </c>
      <c r="KQ58" s="20" t="n">
        <f aca="false">KI58-KP58</f>
        <v>0</v>
      </c>
      <c r="KR58" s="20" t="n">
        <f aca="false">IF(CZ58=1,IF(ABS((1+AS_Wage)/(1+Slot9_Rate)-1)&lt;0.000000000001,(Slot9_Age-D58)*(1+Slot9_Rate)^(Slot9_Age-D58),(1+Slot9_Rate)^(Slot9_Age-D58)*(1-((1+AS_Wage)/(1+Slot9_Rate))^(Slot9_Age-D58))/(1-(1+AS_Wage)/(1+Slot9_Rate))),1)</f>
        <v>1</v>
      </c>
      <c r="KS58" s="20" t="n">
        <f aca="false">IF(AND(HU58=1,IE58&gt;0,Slot9_IsWG=1,CZ58=1),MAX(0,(Slot9_Cost-DA58*(1+Slot9_Rate)^(Slot9_Age-D58))/KR58),0)</f>
        <v>0</v>
      </c>
      <c r="KT58" s="20" t="n">
        <f aca="false">IF(AND(HU58=1,IE58&gt;0,Slot9_IsWG=1,CZ58=1),MIN(IE58,KS58),0)</f>
        <v>0</v>
      </c>
      <c r="KU58" s="20" t="n">
        <f aca="false">DA58+KT58</f>
        <v>0</v>
      </c>
      <c r="KV58" s="20" t="n">
        <f aca="false">IF(CZ58=1,MAX(0,(Slot9_Cost-KU58*(1+Slot9_Rate)^(Slot9_Age-D58))/KR58),0)</f>
        <v>0</v>
      </c>
      <c r="KW58" s="20" t="n">
        <f aca="false">IF(CZ58=1,MAX(0,(Slot9_Cost-DA58*(1+Slot9_Rate)^(Slot9_Age-D58))/KR58),0)</f>
        <v>0</v>
      </c>
      <c r="KX58" s="20" t="n">
        <f aca="false">IF(AND(HU58=1,CZ58=1),MIN(KQ58,KV58),0)</f>
        <v>0</v>
      </c>
      <c r="KY58" s="20" t="n">
        <f aca="false">KQ58-KX58</f>
        <v>0</v>
      </c>
      <c r="KZ58" s="20" t="n">
        <f aca="false">IF(DJ58=1,IF(ABS((1+AS_Wage)/(1+Slot10_Rate)-1)&lt;0.000000000001,(Slot10_Age-D58)*(1+Slot10_Rate)^(Slot10_Age-D58),(1+Slot10_Rate)^(Slot10_Age-D58)*(1-((1+AS_Wage)/(1+Slot10_Rate))^(Slot10_Age-D58))/(1-(1+AS_Wage)/(1+Slot10_Rate))),1)</f>
        <v>1</v>
      </c>
      <c r="LA58" s="20" t="n">
        <f aca="false">IF(AND(HU58=1,IE58&gt;0,Slot10_IsWG=1,DJ58=1),MAX(0,(Slot10_Cost-DK58*(1+Slot10_Rate)^(Slot10_Age-D58))/KZ58),0)</f>
        <v>0</v>
      </c>
      <c r="LB58" s="20" t="n">
        <f aca="false">IF(AND(HU58=1,IE58&gt;0,Slot10_IsWG=1,DJ58=1),MIN(IE58,LA58),0)</f>
        <v>0</v>
      </c>
      <c r="LC58" s="20" t="n">
        <f aca="false">DK58+LB58</f>
        <v>0</v>
      </c>
      <c r="LD58" s="20" t="n">
        <f aca="false">IF(DJ58=1,MAX(0,(Slot10_Cost-LC58*(1+Slot10_Rate)^(Slot10_Age-D58))/KZ58),0)</f>
        <v>0</v>
      </c>
      <c r="LE58" s="20" t="n">
        <f aca="false">IF(DJ58=1,MAX(0,(Slot10_Cost-DK58*(1+Slot10_Rate)^(Slot10_Age-D58))/KZ58),0)</f>
        <v>0</v>
      </c>
      <c r="LF58" s="20" t="n">
        <f aca="false">IF(AND(HU58=1,DJ58=1),MIN(KY58,LD58),0)</f>
        <v>0</v>
      </c>
      <c r="LG58" s="20" t="n">
        <f aca="false">KY58-LF58</f>
        <v>0</v>
      </c>
      <c r="LH58" s="20" t="n">
        <f aca="false">IF(DT58=1,IF(ABS((1+AS_Wage)/(1+Slot11_Rate)-1)&lt;0.000000000001,(Slot11_Age-D58)*(1+Slot11_Rate)^(Slot11_Age-D58),(1+Slot11_Rate)^(Slot11_Age-D58)*(1-((1+AS_Wage)/(1+Slot11_Rate))^(Slot11_Age-D58))/(1-(1+AS_Wage)/(1+Slot11_Rate))),1)</f>
        <v>1</v>
      </c>
      <c r="LI58" s="20" t="n">
        <f aca="false">IF(AND(HU58=1,IE58&gt;0,Slot11_IsWG=1,DT58=1),MAX(0,(Slot11_Cost-DU58*(1+Slot11_Rate)^(Slot11_Age-D58))/LH58),0)</f>
        <v>0</v>
      </c>
      <c r="LJ58" s="20" t="n">
        <f aca="false">IF(AND(HU58=1,IE58&gt;0,Slot11_IsWG=1,DT58=1),MIN(IE58,LI58),0)</f>
        <v>0</v>
      </c>
      <c r="LK58" s="20" t="n">
        <f aca="false">DU58+LJ58</f>
        <v>0</v>
      </c>
      <c r="LL58" s="20" t="n">
        <f aca="false">IF(DT58=1,MAX(0,(Slot11_Cost-LK58*(1+Slot11_Rate)^(Slot11_Age-D58))/LH58),0)</f>
        <v>0</v>
      </c>
      <c r="LM58" s="20" t="n">
        <f aca="false">IF(DT58=1,MAX(0,(Slot11_Cost-DU58*(1+Slot11_Rate)^(Slot11_Age-D58))/LH58),0)</f>
        <v>0</v>
      </c>
      <c r="LN58" s="20" t="n">
        <f aca="false">IF(AND(HU58=1,DT58=1),MIN(LG58,LL58),0)</f>
        <v>0</v>
      </c>
      <c r="LO58" s="20" t="n">
        <f aca="false">LG58-LN58</f>
        <v>0</v>
      </c>
      <c r="LP58" s="20" t="n">
        <f aca="false">IF(ED58=1,IF(ABS((1+AS_Wage)/(1+Slot12_Rate)-1)&lt;0.000000000001,(Slot12_Age-D58)*(1+Slot12_Rate)^(Slot12_Age-D58),(1+Slot12_Rate)^(Slot12_Age-D58)*(1-((1+AS_Wage)/(1+Slot12_Rate))^(Slot12_Age-D58))/(1-(1+AS_Wage)/(1+Slot12_Rate))),1)</f>
        <v>1</v>
      </c>
      <c r="LQ58" s="20" t="n">
        <f aca="false">IF(AND(HU58=1,IE58&gt;0,Slot12_IsWG=1,ED58=1),MAX(0,(Slot12_Cost-EE58*(1+Slot12_Rate)^(Slot12_Age-D58))/LP58),0)</f>
        <v>0</v>
      </c>
      <c r="LR58" s="20" t="n">
        <f aca="false">IF(AND(HU58=1,IE58&gt;0,Slot12_IsWG=1,ED58=1),MIN(IE58,LQ58),0)</f>
        <v>0</v>
      </c>
      <c r="LS58" s="20" t="n">
        <f aca="false">EE58+LR58</f>
        <v>0</v>
      </c>
      <c r="LT58" s="20" t="n">
        <f aca="false">IF(ED58=1,MAX(0,(Slot12_Cost-LS58*(1+Slot12_Rate)^(Slot12_Age-D58))/LP58),0)</f>
        <v>0</v>
      </c>
      <c r="LU58" s="20" t="n">
        <f aca="false">IF(ED58=1,MAX(0,(Slot12_Cost-EE58*(1+Slot12_Rate)^(Slot12_Age-D58))/LP58),0)</f>
        <v>0</v>
      </c>
      <c r="LV58" s="20" t="n">
        <f aca="false">IF(AND(HU58=1,ED58=1),MIN(LO58,LT58),0)</f>
        <v>0</v>
      </c>
      <c r="LW58" s="20" t="n">
        <f aca="false">LO58-LV58</f>
        <v>0</v>
      </c>
      <c r="LX58" s="20" t="n">
        <f aca="false">IF(EN58=1,IF(ABS((1+AS_Wage)/(1+Slot13_Rate)-1)&lt;0.000000000001,(Slot13_Age-D58)*(1+Slot13_Rate)^(Slot13_Age-D58),(1+Slot13_Rate)^(Slot13_Age-D58)*(1-((1+AS_Wage)/(1+Slot13_Rate))^(Slot13_Age-D58))/(1-(1+AS_Wage)/(1+Slot13_Rate))),1)</f>
        <v>1</v>
      </c>
      <c r="LY58" s="20" t="n">
        <f aca="false">IF(AND(HU58=1,IE58&gt;0,Slot13_IsWG=1,EN58=1),MAX(0,(Slot13_Cost-EO58*(1+Slot13_Rate)^(Slot13_Age-D58))/LX58),0)</f>
        <v>0</v>
      </c>
      <c r="LZ58" s="20" t="n">
        <f aca="false">IF(AND(HU58=1,IE58&gt;0,Slot13_IsWG=1,EN58=1),MIN(IE58,LY58),0)</f>
        <v>0</v>
      </c>
      <c r="MA58" s="20" t="n">
        <f aca="false">EO58+LZ58</f>
        <v>0</v>
      </c>
      <c r="MB58" s="20" t="n">
        <f aca="false">IF(EN58=1,MAX(0,(Slot13_Cost-MA58*(1+Slot13_Rate)^(Slot13_Age-D58))/LX58),0)</f>
        <v>0</v>
      </c>
      <c r="MC58" s="20" t="n">
        <f aca="false">IF(EN58=1,MAX(0,(Slot13_Cost-EO58*(1+Slot13_Rate)^(Slot13_Age-D58))/LX58),0)</f>
        <v>0</v>
      </c>
      <c r="MD58" s="20" t="n">
        <f aca="false">IF(AND(HU58=1,EN58=1),MIN(LW58,MB58),0)</f>
        <v>0</v>
      </c>
      <c r="ME58" s="20" t="n">
        <f aca="false">LW58-MD58</f>
        <v>0</v>
      </c>
      <c r="MF58" s="20" t="n">
        <f aca="false">IF(EX58=1,IF(ABS((1+AS_Wage)/(1+Slot14_Rate)-1)&lt;0.000000000001,(Slot14_Age-D58)*(1+Slot14_Rate)^(Slot14_Age-D58),(1+Slot14_Rate)^(Slot14_Age-D58)*(1-((1+AS_Wage)/(1+Slot14_Rate))^(Slot14_Age-D58))/(1-(1+AS_Wage)/(1+Slot14_Rate))),1)</f>
        <v>1</v>
      </c>
      <c r="MG58" s="20" t="n">
        <f aca="false">IF(AND(HU58=1,IE58&gt;0,Slot14_IsWG=1,EX58=1),MAX(0,(Slot14_Cost-EY58*(1+Slot14_Rate)^(Slot14_Age-D58))/MF58),0)</f>
        <v>0</v>
      </c>
      <c r="MH58" s="20" t="n">
        <f aca="false">IF(AND(HU58=1,IE58&gt;0,Slot14_IsWG=1,EX58=1),MIN(IE58,MG58),0)</f>
        <v>0</v>
      </c>
      <c r="MI58" s="20" t="n">
        <f aca="false">EY58+MH58</f>
        <v>0</v>
      </c>
      <c r="MJ58" s="20" t="n">
        <f aca="false">IF(EX58=1,MAX(0,(Slot14_Cost-MI58*(1+Slot14_Rate)^(Slot14_Age-D58))/MF58),0)</f>
        <v>0</v>
      </c>
      <c r="MK58" s="20" t="n">
        <f aca="false">IF(EX58=1,MAX(0,(Slot14_Cost-EY58*(1+Slot14_Rate)^(Slot14_Age-D58))/MF58),0)</f>
        <v>0</v>
      </c>
      <c r="ML58" s="20" t="n">
        <f aca="false">IF(AND(HU58=1,EX58=1),MIN(ME58,MJ58),0)</f>
        <v>0</v>
      </c>
      <c r="MM58" s="20" t="n">
        <f aca="false">ME58-ML58</f>
        <v>0</v>
      </c>
      <c r="MN58" s="20" t="n">
        <f aca="false">IF(FH58=1,IF(ABS((1+AS_Wage)/(1+Slot15_Rate)-1)&lt;0.000000000001,(Slot15_Age-D58)*(1+Slot15_Rate)^(Slot15_Age-D58),(1+Slot15_Rate)^(Slot15_Age-D58)*(1-((1+AS_Wage)/(1+Slot15_Rate))^(Slot15_Age-D58))/(1-(1+AS_Wage)/(1+Slot15_Rate))),1)</f>
        <v>1</v>
      </c>
      <c r="MO58" s="20" t="n">
        <f aca="false">IF(AND(HU58=1,IE58&gt;0,Slot15_IsWG=1,FH58=1),MAX(0,(Slot15_Cost-FI58*(1+Slot15_Rate)^(Slot15_Age-D58))/MN58),0)</f>
        <v>0</v>
      </c>
      <c r="MP58" s="20" t="n">
        <f aca="false">IF(AND(HU58=1,IE58&gt;0,Slot15_IsWG=1,FH58=1),MIN(IE58,MO58),0)</f>
        <v>0</v>
      </c>
      <c r="MQ58" s="20" t="n">
        <f aca="false">FI58+MP58</f>
        <v>0</v>
      </c>
      <c r="MR58" s="20" t="n">
        <f aca="false">IF(FH58=1,MAX(0,(Slot15_Cost-MQ58*(1+Slot15_Rate)^(Slot15_Age-D58))/MN58),0)</f>
        <v>0</v>
      </c>
      <c r="MS58" s="20" t="n">
        <f aca="false">IF(FH58=1,MAX(0,(Slot15_Cost-FI58*(1+Slot15_Rate)^(Slot15_Age-D58))/MN58),0)</f>
        <v>0</v>
      </c>
      <c r="MT58" s="20" t="n">
        <f aca="false">IF(AND(HU58=1,FH58=1),MIN(MM58,MR58),0)</f>
        <v>0</v>
      </c>
      <c r="MU58" s="20" t="n">
        <f aca="false">MM58-MT58</f>
        <v>0</v>
      </c>
      <c r="MV58" s="20" t="n">
        <f aca="false">IF(FR58=1,IF(ABS((1+AS_Wage)/(1+Slot16_Rate)-1)&lt;0.000000000001,(Slot16_Age-D58)*(1+Slot16_Rate)^(Slot16_Age-D58),(1+Slot16_Rate)^(Slot16_Age-D58)*(1-((1+AS_Wage)/(1+Slot16_Rate))^(Slot16_Age-D58))/(1-(1+AS_Wage)/(1+Slot16_Rate))),1)</f>
        <v>1</v>
      </c>
      <c r="MW58" s="20" t="n">
        <f aca="false">IF(AND(HU58=1,IE58&gt;0,Slot16_IsWG=1,FR58=1),MAX(0,(Slot16_Cost-FS58*(1+Slot16_Rate)^(Slot16_Age-D58))/MV58),0)</f>
        <v>0</v>
      </c>
      <c r="MX58" s="20" t="n">
        <f aca="false">IF(AND(HU58=1,IE58&gt;0,Slot16_IsWG=1,FR58=1),MIN(IE58,MW58),0)</f>
        <v>0</v>
      </c>
      <c r="MY58" s="20" t="n">
        <f aca="false">FS58+MX58</f>
        <v>0</v>
      </c>
      <c r="MZ58" s="20" t="n">
        <f aca="false">IF(FR58=1,MAX(0,(Slot16_Cost-MY58*(1+Slot16_Rate)^(Slot16_Age-D58))/MV58),0)</f>
        <v>0</v>
      </c>
      <c r="NA58" s="20" t="n">
        <f aca="false">IF(FR58=1,MAX(0,(Slot16_Cost-FS58*(1+Slot16_Rate)^(Slot16_Age-D58))/MV58),0)</f>
        <v>0</v>
      </c>
      <c r="NB58" s="20" t="n">
        <f aca="false">IF(AND(HU58=1,FR58=1),MIN(MU58,MZ58),0)</f>
        <v>0</v>
      </c>
      <c r="NC58" s="20" t="n">
        <f aca="false">MU58-NB58</f>
        <v>0</v>
      </c>
      <c r="ND58" s="20" t="n">
        <f aca="false">IF(GB58=1,IF(ABS((1+AS_Wage)/(1+Slot17_Rate)-1)&lt;0.000000000001,(Slot17_Age-D58)*(1+Slot17_Rate)^(Slot17_Age-D58),(1+Slot17_Rate)^(Slot17_Age-D58)*(1-((1+AS_Wage)/(1+Slot17_Rate))^(Slot17_Age-D58))/(1-(1+AS_Wage)/(1+Slot17_Rate))),1)</f>
        <v>1</v>
      </c>
      <c r="NE58" s="20" t="n">
        <f aca="false">IF(AND(HU58=1,IE58&gt;0,Slot17_IsWG=1,GB58=1),MAX(0,(Slot17_Cost-GC58*(1+Slot17_Rate)^(Slot17_Age-D58))/ND58),0)</f>
        <v>0</v>
      </c>
      <c r="NF58" s="20" t="n">
        <f aca="false">IF(AND(HU58=1,IE58&gt;0,Slot17_IsWG=1,GB58=1),MIN(IE58,NE58),0)</f>
        <v>0</v>
      </c>
      <c r="NG58" s="20" t="n">
        <f aca="false">GC58+NF58</f>
        <v>0</v>
      </c>
      <c r="NH58" s="20" t="n">
        <f aca="false">IF(GB58=1,MAX(0,(Slot17_Cost-NG58*(1+Slot17_Rate)^(Slot17_Age-D58))/ND58),0)</f>
        <v>0</v>
      </c>
      <c r="NI58" s="20" t="n">
        <f aca="false">IF(GB58=1,MAX(0,(Slot17_Cost-GC58*(1+Slot17_Rate)^(Slot17_Age-D58))/ND58),0)</f>
        <v>0</v>
      </c>
      <c r="NJ58" s="20" t="n">
        <f aca="false">IF(AND(HU58=1,GB58=1),MIN(NC58,NH58),0)</f>
        <v>0</v>
      </c>
      <c r="NK58" s="20" t="n">
        <f aca="false">NC58-NJ58</f>
        <v>0</v>
      </c>
      <c r="NL58" s="20" t="n">
        <f aca="false">IF(GL58=1,IF(ABS((1+AS_Wage)/(1+Slot18_Rate)-1)&lt;0.000000000001,(Slot18_Age-D58)*(1+Slot18_Rate)^(Slot18_Age-D58),(1+Slot18_Rate)^(Slot18_Age-D58)*(1-((1+AS_Wage)/(1+Slot18_Rate))^(Slot18_Age-D58))/(1-(1+AS_Wage)/(1+Slot18_Rate))),1)</f>
        <v>1</v>
      </c>
      <c r="NM58" s="20" t="n">
        <f aca="false">IF(AND(HU58=1,IE58&gt;0,Slot18_IsWG=1,GL58=1),MAX(0,(Slot18_Cost-GM58*(1+Slot18_Rate)^(Slot18_Age-D58))/NL58),0)</f>
        <v>0</v>
      </c>
      <c r="NN58" s="20" t="n">
        <f aca="false">IF(AND(HU58=1,IE58&gt;0,Slot18_IsWG=1,GL58=1),MIN(IE58,NM58),0)</f>
        <v>0</v>
      </c>
      <c r="NO58" s="20" t="n">
        <f aca="false">GM58+NN58</f>
        <v>0</v>
      </c>
      <c r="NP58" s="20" t="n">
        <f aca="false">IF(GL58=1,MAX(0,(Slot18_Cost-NO58*(1+Slot18_Rate)^(Slot18_Age-D58))/NL58),0)</f>
        <v>0</v>
      </c>
      <c r="NQ58" s="20" t="n">
        <f aca="false">IF(GL58=1,MAX(0,(Slot18_Cost-GM58*(1+Slot18_Rate)^(Slot18_Age-D58))/NL58),0)</f>
        <v>0</v>
      </c>
      <c r="NR58" s="20" t="n">
        <f aca="false">IF(AND(HU58=1,GL58=1),MIN(NK58,NP58),0)</f>
        <v>0</v>
      </c>
      <c r="NS58" s="20" t="n">
        <f aca="false">NK58-NR58</f>
        <v>0</v>
      </c>
      <c r="NT58" s="20" t="n">
        <f aca="false">IF(GV58=1,IF(ABS((1+AS_Wage)/(1+Slot19_Rate)-1)&lt;0.000000000001,(Slot19_Age-D58)*(1+Slot19_Rate)^(Slot19_Age-D58),(1+Slot19_Rate)^(Slot19_Age-D58)*(1-((1+AS_Wage)/(1+Slot19_Rate))^(Slot19_Age-D58))/(1-(1+AS_Wage)/(1+Slot19_Rate))),1)</f>
        <v>1</v>
      </c>
      <c r="NU58" s="20" t="n">
        <f aca="false">IF(AND(HU58=1,IE58&gt;0,Slot19_IsWG=1,GV58=1),MAX(0,(Slot19_Cost-GW58*(1+Slot19_Rate)^(Slot19_Age-D58))/NT58),0)</f>
        <v>0</v>
      </c>
      <c r="NV58" s="20" t="n">
        <f aca="false">IF(AND(HU58=1,IE58&gt;0,Slot19_IsWG=1,GV58=1),MIN(IE58,NU58),0)</f>
        <v>0</v>
      </c>
      <c r="NW58" s="20" t="n">
        <f aca="false">GW58+NV58</f>
        <v>0</v>
      </c>
      <c r="NX58" s="20" t="n">
        <f aca="false">IF(GV58=1,MAX(0,(Slot19_Cost-NW58*(1+Slot19_Rate)^(Slot19_Age-D58))/NT58),0)</f>
        <v>0</v>
      </c>
      <c r="NY58" s="20" t="n">
        <f aca="false">IF(GV58=1,MAX(0,(Slot19_Cost-GW58*(1+Slot19_Rate)^(Slot19_Age-D58))/NT58),0)</f>
        <v>0</v>
      </c>
      <c r="NZ58" s="20" t="n">
        <f aca="false">IF(AND(HU58=1,GV58=1),MIN(NS58,NX58),0)</f>
        <v>0</v>
      </c>
      <c r="OA58" s="20" t="n">
        <f aca="false">NS58-NZ58</f>
        <v>0</v>
      </c>
      <c r="OB58" s="20" t="n">
        <f aca="false">IF(HF58=1,IF(ABS((1+AS_Wage)/(1+Slot20_Rate)-1)&lt;0.000000000001,(Slot20_Age-D58)*(1+Slot20_Rate)^(Slot20_Age-D58),(1+Slot20_Rate)^(Slot20_Age-D58)*(1-((1+AS_Wage)/(1+Slot20_Rate))^(Slot20_Age-D58))/(1-(1+AS_Wage)/(1+Slot20_Rate))),1)</f>
        <v>1</v>
      </c>
      <c r="OC58" s="20" t="n">
        <f aca="false">IF(AND(HU58=1,IE58&gt;0,Slot20_IsWG=1,HF58=1),MAX(0,(Slot20_Cost-HG58*(1+Slot20_Rate)^(Slot20_Age-D58))/OB58),0)</f>
        <v>0</v>
      </c>
      <c r="OD58" s="20" t="n">
        <f aca="false">IF(AND(HU58=1,IE58&gt;0,Slot20_IsWG=1,HF58=1),MIN(IE58,OC58),0)</f>
        <v>0</v>
      </c>
      <c r="OE58" s="20" t="n">
        <f aca="false">HG58+OD58</f>
        <v>0</v>
      </c>
      <c r="OF58" s="20" t="n">
        <f aca="false">IF(HF58=1,MAX(0,(Slot20_Cost-OE58*(1+Slot20_Rate)^(Slot20_Age-D58))/OB58),0)</f>
        <v>0</v>
      </c>
      <c r="OG58" s="20" t="n">
        <f aca="false">IF(HF58=1,MAX(0,(Slot20_Cost-HG58*(1+Slot20_Rate)^(Slot20_Age-D58))/OB58),0)</f>
        <v>0</v>
      </c>
      <c r="OH58" s="20" t="n">
        <f aca="false">IF(AND(HU58=1,HF58=1),MIN(OA58,OF58),0)</f>
        <v>0</v>
      </c>
      <c r="OI58" s="20" t="n">
        <f aca="false">OA58-OH58</f>
        <v>0</v>
      </c>
      <c r="OJ58" s="20" t="n">
        <f aca="false">IE58-(IH58+IP58+IX58+JF58+JN58+JV58+KD58+KL58+KT58+LB58+LJ58+LR58+LZ58+MH58+MP58+MX58+NF58+NN58+NV58+OD58)</f>
        <v>0</v>
      </c>
      <c r="OK58" s="20" t="n">
        <f aca="false">IF(HU58=1,HS58-ID58-IE58,0)</f>
        <v>0</v>
      </c>
      <c r="OL58" s="20" t="n">
        <f aca="false">IF(HU58=0,-HS58,0)</f>
        <v>27428.8502381298</v>
      </c>
      <c r="OM58" s="20" t="n">
        <f aca="false">MIN(OL58,HK58)</f>
        <v>0</v>
      </c>
      <c r="ON58" s="20" t="n">
        <f aca="false">OL58-OM58</f>
        <v>27428.8502381298</v>
      </c>
      <c r="OO58" s="20" t="n">
        <f aca="false">MIN(ON58,HL58)</f>
        <v>0</v>
      </c>
      <c r="OP58" s="20" t="n">
        <f aca="false">ON58-OO58</f>
        <v>27428.8502381298</v>
      </c>
      <c r="OQ58" s="20" t="n">
        <f aca="false">IF(AND(HU58=0,HF58=1,OP58&gt;0),MIN(OP58,HG58),0)</f>
        <v>0</v>
      </c>
      <c r="OR58" s="20" t="n">
        <f aca="false">OP58-OQ58</f>
        <v>27428.8502381298</v>
      </c>
      <c r="OS58" s="20" t="n">
        <f aca="false">IF(AND(HU58=0,GV58=1,OR58&gt;0),MIN(OR58,GW58),0)</f>
        <v>0</v>
      </c>
      <c r="OT58" s="20" t="n">
        <f aca="false">OR58-OS58</f>
        <v>27428.8502381298</v>
      </c>
      <c r="OU58" s="20" t="n">
        <f aca="false">IF(AND(HU58=0,GL58=1,OT58&gt;0),MIN(OT58,GM58),0)</f>
        <v>0</v>
      </c>
      <c r="OV58" s="20" t="n">
        <f aca="false">OT58-OU58</f>
        <v>27428.8502381298</v>
      </c>
      <c r="OW58" s="20" t="n">
        <f aca="false">IF(AND(HU58=0,GB58=1,OV58&gt;0),MIN(OV58,GC58),0)</f>
        <v>0</v>
      </c>
      <c r="OX58" s="20" t="n">
        <f aca="false">OV58-OW58</f>
        <v>27428.8502381298</v>
      </c>
      <c r="OY58" s="20" t="n">
        <f aca="false">IF(AND(HU58=0,FR58=1,OX58&gt;0),MIN(OX58,FS58),0)</f>
        <v>0</v>
      </c>
      <c r="OZ58" s="20" t="n">
        <f aca="false">OX58-OY58</f>
        <v>27428.8502381298</v>
      </c>
      <c r="PA58" s="20" t="n">
        <f aca="false">IF(AND(HU58=0,FH58=1,OZ58&gt;0),MIN(OZ58,FI58),0)</f>
        <v>0</v>
      </c>
      <c r="PB58" s="20" t="n">
        <f aca="false">OZ58-PA58</f>
        <v>27428.8502381298</v>
      </c>
      <c r="PC58" s="20" t="n">
        <f aca="false">IF(AND(HU58=0,EX58=1,PB58&gt;0),MIN(PB58,EY58),0)</f>
        <v>0</v>
      </c>
      <c r="PD58" s="20" t="n">
        <f aca="false">PB58-PC58</f>
        <v>27428.8502381298</v>
      </c>
      <c r="PE58" s="20" t="n">
        <f aca="false">IF(AND(HU58=0,EN58=1,PD58&gt;0),MIN(PD58,EO58),0)</f>
        <v>0</v>
      </c>
      <c r="PF58" s="20" t="n">
        <f aca="false">PD58-PE58</f>
        <v>27428.8502381298</v>
      </c>
      <c r="PG58" s="20" t="n">
        <f aca="false">IF(AND(HU58=0,ED58=1,PF58&gt;0),MIN(PF58,EE58),0)</f>
        <v>0</v>
      </c>
      <c r="PH58" s="20" t="n">
        <f aca="false">PF58-PG58</f>
        <v>27428.8502381298</v>
      </c>
      <c r="PI58" s="20" t="n">
        <f aca="false">IF(AND(HU58=0,DT58=1,PH58&gt;0),MIN(PH58,DU58),0)</f>
        <v>0</v>
      </c>
      <c r="PJ58" s="20" t="n">
        <f aca="false">PH58-PI58</f>
        <v>27428.8502381298</v>
      </c>
      <c r="PK58" s="20" t="n">
        <f aca="false">IF(AND(HU58=0,DJ58=1,PJ58&gt;0),MIN(PJ58,DK58),0)</f>
        <v>0</v>
      </c>
      <c r="PL58" s="20" t="n">
        <f aca="false">PJ58-PK58</f>
        <v>27428.8502381298</v>
      </c>
      <c r="PM58" s="20" t="n">
        <f aca="false">IF(AND(HU58=0,CZ58=1,PL58&gt;0),MIN(PL58,DA58),0)</f>
        <v>0</v>
      </c>
      <c r="PN58" s="20" t="n">
        <f aca="false">PL58-PM58</f>
        <v>27428.8502381298</v>
      </c>
      <c r="PO58" s="20" t="n">
        <f aca="false">IF(AND(HU58=0,CP58=1,PN58&gt;0),MIN(PN58,CQ58),0)</f>
        <v>0</v>
      </c>
      <c r="PP58" s="20" t="n">
        <f aca="false">PN58-PO58</f>
        <v>27428.8502381298</v>
      </c>
      <c r="PQ58" s="20" t="n">
        <f aca="false">IF(AND(HU58=0,CF58=1,PP58&gt;0),MIN(PP58,CG58),0)</f>
        <v>0</v>
      </c>
      <c r="PR58" s="20" t="n">
        <f aca="false">PP58-PQ58</f>
        <v>27428.8502381298</v>
      </c>
      <c r="PS58" s="20" t="n">
        <f aca="false">IF(AND(HU58=0,BV58=1,PR58&gt;0),MIN(PR58,BW58),0)</f>
        <v>0</v>
      </c>
      <c r="PT58" s="20" t="n">
        <f aca="false">PR58-PS58</f>
        <v>27428.8502381298</v>
      </c>
      <c r="PU58" s="20" t="n">
        <f aca="false">IF(AND(HU58=0,BL58=1,PT58&gt;0),MIN(PT58,BM58),0)</f>
        <v>0</v>
      </c>
      <c r="PV58" s="20" t="n">
        <f aca="false">PT58-PU58</f>
        <v>27428.8502381298</v>
      </c>
      <c r="PW58" s="20" t="n">
        <f aca="false">IF(AND(HU58=0,BB58=1,PV58&gt;0),MIN(PV58,BC58),0)</f>
        <v>0</v>
      </c>
      <c r="PX58" s="20" t="n">
        <f aca="false">PV58-PW58</f>
        <v>27428.8502381298</v>
      </c>
      <c r="PY58" s="20" t="n">
        <f aca="false">IF(AND(HU58=0,AR58=1,PX58&gt;0),MIN(PX58,AS58),0)</f>
        <v>0</v>
      </c>
      <c r="PZ58" s="20" t="n">
        <f aca="false">PX58-PY58</f>
        <v>27428.8502381298</v>
      </c>
      <c r="QA58" s="20" t="n">
        <f aca="false">IF(AND(HU58=0,AH58=1,PZ58&gt;0),MIN(PZ58,AI58),0)</f>
        <v>0</v>
      </c>
      <c r="QB58" s="20" t="n">
        <f aca="false">PZ58-QA58</f>
        <v>27428.8502381298</v>
      </c>
      <c r="QC58" s="20" t="n">
        <f aca="false">IF(AND(HU58=0,W58=1,QB58&gt;0),MIN(QB58,X58),0)</f>
        <v>0</v>
      </c>
      <c r="QD58" s="20" t="n">
        <f aca="false">QB58-QC58</f>
        <v>27428.8502381298</v>
      </c>
      <c r="QE58" s="20" t="n">
        <f aca="false">IF(HU58=0,QD58,0)</f>
        <v>27428.8502381298</v>
      </c>
      <c r="QF58" s="20" t="n">
        <f aca="false">OM58+OO58+QC58+QA58+PY58+PW58+PU58+PS58+PQ58+PO58+PM58+PK58+PI58+PG58+PE58+PC58+PA58+OY58+OW58+OU58+OS58+OQ58</f>
        <v>0</v>
      </c>
      <c r="QG58" s="20" t="n">
        <f aca="false">IF(HU58=1,HK58+OJ58+OI58+IF(G58=1,0,OK58),HK58-OM58)</f>
        <v>0</v>
      </c>
      <c r="QH58" s="20" t="n">
        <f aca="false">HL58-OO58</f>
        <v>0</v>
      </c>
      <c r="QI58" s="20" t="n">
        <f aca="false">IF(HU58=1,IF(G58=1,ID58+IE58,HS58),0)</f>
        <v>0</v>
      </c>
      <c r="QJ58" s="20" t="n">
        <f aca="false">IF(HU58=1,IF(G58=1,HS58-ID58-IE58,0),0)</f>
        <v>0</v>
      </c>
      <c r="QK58" s="57" t="n">
        <f aca="false">'Plan holdings'!BM58</f>
        <v>0</v>
      </c>
      <c r="QL58" s="20" t="n">
        <f aca="false">QH58*(1+AS_Cash)</f>
        <v>0</v>
      </c>
      <c r="QM58" s="20" t="n">
        <f aca="false">IF(W58=1,IF(HU58=1,II58+IL58,X58-QC58)*(1+Slot1_Rate),0)</f>
        <v>0</v>
      </c>
      <c r="QN58" s="20" t="n">
        <f aca="false">IF(AND(HU58=1,W58=1),(IH58+IL58)/F58,0)</f>
        <v>0</v>
      </c>
      <c r="QO58" s="20" t="n">
        <f aca="false">IF(B58=0,IH58+IL58,0)</f>
        <v>0</v>
      </c>
      <c r="QP58" s="20" t="n">
        <f aca="false">IF(B58=0,IF(HU58=1,IJ58,IK58),0)</f>
        <v>0</v>
      </c>
      <c r="QQ58" s="20" t="n">
        <f aca="false">IF(AH58=1,IF(HU58=1,IQ58+IT58,AI58-QA58)*(1+Slot2_Rate),0)</f>
        <v>0</v>
      </c>
      <c r="QR58" s="20" t="n">
        <f aca="false">IF(AND(HU58=1,AH58=1),(IP58+IT58)/F58,0)</f>
        <v>0</v>
      </c>
      <c r="QS58" s="20" t="n">
        <f aca="false">IF(B58=0,IP58+IT58,0)</f>
        <v>0</v>
      </c>
      <c r="QT58" s="20" t="n">
        <f aca="false">IF(B58=0,IF(HU58=1,IR58,IS58),0)</f>
        <v>0</v>
      </c>
      <c r="QU58" s="20" t="n">
        <f aca="false">IF(AR58=1,IF(HU58=1,IY58+JB58,AS58-PY58)*(1+Slot3_Rate),0)</f>
        <v>0</v>
      </c>
      <c r="QV58" s="20" t="n">
        <f aca="false">IF(AND(HU58=1,AR58=1),(IX58+JB58)/F58,0)</f>
        <v>0</v>
      </c>
      <c r="QW58" s="20" t="n">
        <f aca="false">IF(B58=0,IX58+JB58,0)</f>
        <v>0</v>
      </c>
      <c r="QX58" s="20" t="n">
        <f aca="false">IF(B58=0,IF(HU58=1,IZ58,JA58),0)</f>
        <v>0</v>
      </c>
      <c r="QY58" s="20" t="n">
        <f aca="false">IF(BB58=1,IF(HU58=1,JG58+JJ58,BC58-PW58)*(1+Slot4_Rate),0)</f>
        <v>0</v>
      </c>
      <c r="QZ58" s="20" t="n">
        <f aca="false">IF(AND(HU58=1,BB58=1),(JF58+JJ58)/F58,0)</f>
        <v>0</v>
      </c>
      <c r="RA58" s="20" t="n">
        <f aca="false">IF(B58=0,JF58+JJ58,0)</f>
        <v>0</v>
      </c>
      <c r="RB58" s="20" t="n">
        <f aca="false">IF(B58=0,IF(HU58=1,JH58,JI58),0)</f>
        <v>0</v>
      </c>
      <c r="RC58" s="20" t="n">
        <f aca="false">IF(BL58=1,IF(HU58=1,JO58+JR58,BM58-PU58)*(1+Slot5_Rate),0)</f>
        <v>0</v>
      </c>
      <c r="RD58" s="20" t="n">
        <f aca="false">IF(AND(HU58=1,BL58=1),(JN58+JR58)/F58,0)</f>
        <v>0</v>
      </c>
      <c r="RE58" s="20" t="n">
        <f aca="false">IF(B58=0,JN58+JR58,0)</f>
        <v>0</v>
      </c>
      <c r="RF58" s="20" t="n">
        <f aca="false">IF(B58=0,IF(HU58=1,JP58,JQ58),0)</f>
        <v>0</v>
      </c>
      <c r="RG58" s="20" t="n">
        <f aca="false">IF(BV58=1,IF(HU58=1,JW58+JZ58,BW58-PS58)*(1+Slot6_Rate),0)</f>
        <v>0</v>
      </c>
      <c r="RH58" s="20" t="n">
        <f aca="false">IF(AND(HU58=1,BV58=1),(JV58+JZ58)/F58,0)</f>
        <v>0</v>
      </c>
      <c r="RI58" s="20" t="n">
        <f aca="false">IF(B58=0,JV58+JZ58,0)</f>
        <v>0</v>
      </c>
      <c r="RJ58" s="20" t="n">
        <f aca="false">IF(B58=0,IF(HU58=1,JX58,JY58),0)</f>
        <v>0</v>
      </c>
      <c r="RK58" s="20" t="n">
        <f aca="false">IF(CF58=1,IF(HU58=1,KE58+KH58,CG58-PQ58)*(1+Slot7_Rate),0)</f>
        <v>0</v>
      </c>
      <c r="RL58" s="20" t="n">
        <f aca="false">IF(AND(HU58=1,CF58=1),(KD58+KH58)/F58,0)</f>
        <v>0</v>
      </c>
      <c r="RM58" s="20" t="n">
        <f aca="false">IF(B58=0,KD58+KH58,0)</f>
        <v>0</v>
      </c>
      <c r="RN58" s="20" t="n">
        <f aca="false">IF(B58=0,IF(HU58=1,KF58,KG58),0)</f>
        <v>0</v>
      </c>
      <c r="RO58" s="20" t="n">
        <f aca="false">IF(CP58=1,IF(HU58=1,KM58+KP58,CQ58-PO58)*(1+Slot8_Rate),0)</f>
        <v>0</v>
      </c>
      <c r="RP58" s="20" t="n">
        <f aca="false">IF(AND(HU58=1,CP58=1),(KL58+KP58)/F58,0)</f>
        <v>0</v>
      </c>
      <c r="RQ58" s="20" t="n">
        <f aca="false">IF(B58=0,KL58+KP58,0)</f>
        <v>0</v>
      </c>
      <c r="RR58" s="20" t="n">
        <f aca="false">IF(B58=0,IF(HU58=1,KN58,KO58),0)</f>
        <v>0</v>
      </c>
      <c r="RS58" s="20" t="n">
        <f aca="false">IF(CZ58=1,IF(HU58=1,KU58+KX58,DA58-PM58)*(1+Slot9_Rate),0)</f>
        <v>0</v>
      </c>
      <c r="RT58" s="20" t="n">
        <f aca="false">IF(AND(HU58=1,CZ58=1),(KT58+KX58)/F58,0)</f>
        <v>0</v>
      </c>
      <c r="RU58" s="20" t="n">
        <f aca="false">IF(B58=0,KT58+KX58,0)</f>
        <v>0</v>
      </c>
      <c r="RV58" s="20" t="n">
        <f aca="false">IF(B58=0,IF(HU58=1,KV58,KW58),0)</f>
        <v>0</v>
      </c>
      <c r="RW58" s="20" t="n">
        <f aca="false">IF(DJ58=1,IF(HU58=1,LC58+LF58,DK58-PK58)*(1+Slot10_Rate),0)</f>
        <v>0</v>
      </c>
      <c r="RX58" s="20" t="n">
        <f aca="false">IF(AND(HU58=1,DJ58=1),(LB58+LF58)/F58,0)</f>
        <v>0</v>
      </c>
      <c r="RY58" s="20" t="n">
        <f aca="false">IF(B58=0,LB58+LF58,0)</f>
        <v>0</v>
      </c>
      <c r="RZ58" s="20" t="n">
        <f aca="false">IF(B58=0,IF(HU58=1,LD58,LE58),0)</f>
        <v>0</v>
      </c>
      <c r="SA58" s="20" t="n">
        <f aca="false">IF(DT58=1,IF(HU58=1,LK58+LN58,DU58-PI58)*(1+Slot11_Rate),0)</f>
        <v>0</v>
      </c>
      <c r="SB58" s="20" t="n">
        <f aca="false">IF(AND(HU58=1,DT58=1),(LJ58+LN58)/F58,0)</f>
        <v>0</v>
      </c>
      <c r="SC58" s="20" t="n">
        <f aca="false">IF(B58=0,LJ58+LN58,0)</f>
        <v>0</v>
      </c>
      <c r="SD58" s="20" t="n">
        <f aca="false">IF(B58=0,IF(HU58=1,LL58,LM58),0)</f>
        <v>0</v>
      </c>
      <c r="SE58" s="20" t="n">
        <f aca="false">IF(ED58=1,IF(HU58=1,LS58+LV58,EE58-PG58)*(1+Slot12_Rate),0)</f>
        <v>0</v>
      </c>
      <c r="SF58" s="20" t="n">
        <f aca="false">IF(AND(HU58=1,ED58=1),(LR58+LV58)/F58,0)</f>
        <v>0</v>
      </c>
      <c r="SG58" s="20" t="n">
        <f aca="false">IF(B58=0,LR58+LV58,0)</f>
        <v>0</v>
      </c>
      <c r="SH58" s="20" t="n">
        <f aca="false">IF(B58=0,IF(HU58=1,LT58,LU58),0)</f>
        <v>0</v>
      </c>
      <c r="SI58" s="20" t="n">
        <f aca="false">IF(EN58=1,IF(HU58=1,MA58+MD58,EO58-PE58)*(1+Slot13_Rate),0)</f>
        <v>0</v>
      </c>
      <c r="SJ58" s="20" t="n">
        <f aca="false">IF(AND(HU58=1,EN58=1),(LZ58+MD58)/F58,0)</f>
        <v>0</v>
      </c>
      <c r="SK58" s="20" t="n">
        <f aca="false">IF(B58=0,LZ58+MD58,0)</f>
        <v>0</v>
      </c>
      <c r="SL58" s="20" t="n">
        <f aca="false">IF(B58=0,IF(HU58=1,MB58,MC58),0)</f>
        <v>0</v>
      </c>
      <c r="SM58" s="20" t="n">
        <f aca="false">IF(EX58=1,IF(HU58=1,MI58+ML58,EY58-PC58)*(1+Slot14_Rate),0)</f>
        <v>0</v>
      </c>
      <c r="SN58" s="20" t="n">
        <f aca="false">IF(AND(HU58=1,EX58=1),(MH58+ML58)/F58,0)</f>
        <v>0</v>
      </c>
      <c r="SO58" s="20" t="n">
        <f aca="false">IF(B58=0,MH58+ML58,0)</f>
        <v>0</v>
      </c>
      <c r="SP58" s="20" t="n">
        <f aca="false">IF(B58=0,IF(HU58=1,MJ58,MK58),0)</f>
        <v>0</v>
      </c>
      <c r="SQ58" s="20" t="n">
        <f aca="false">IF(FH58=1,IF(HU58=1,MQ58+MT58,FI58-PA58)*(1+Slot15_Rate),0)</f>
        <v>0</v>
      </c>
      <c r="SR58" s="20" t="n">
        <f aca="false">IF(AND(HU58=1,FH58=1),(MP58+MT58)/F58,0)</f>
        <v>0</v>
      </c>
      <c r="SS58" s="20" t="n">
        <f aca="false">IF(B58=0,MP58+MT58,0)</f>
        <v>0</v>
      </c>
      <c r="ST58" s="20" t="n">
        <f aca="false">IF(B58=0,IF(HU58=1,MR58,MS58),0)</f>
        <v>0</v>
      </c>
      <c r="SU58" s="20" t="n">
        <f aca="false">IF(FR58=1,IF(HU58=1,MY58+NB58,FS58-OY58)*(1+Slot16_Rate),0)</f>
        <v>0</v>
      </c>
      <c r="SV58" s="20" t="n">
        <f aca="false">IF(AND(HU58=1,FR58=1),(MX58+NB58)/F58,0)</f>
        <v>0</v>
      </c>
      <c r="SW58" s="20" t="n">
        <f aca="false">IF(B58=0,MX58+NB58,0)</f>
        <v>0</v>
      </c>
      <c r="SX58" s="20" t="n">
        <f aca="false">IF(B58=0,IF(HU58=1,MZ58,NA58),0)</f>
        <v>0</v>
      </c>
      <c r="SY58" s="20" t="n">
        <f aca="false">IF(GB58=1,IF(HU58=1,NG58+NJ58,GC58-OW58)*(1+Slot17_Rate),0)</f>
        <v>0</v>
      </c>
      <c r="SZ58" s="20" t="n">
        <f aca="false">IF(AND(HU58=1,GB58=1),(NF58+NJ58)/F58,0)</f>
        <v>0</v>
      </c>
      <c r="TA58" s="20" t="n">
        <f aca="false">IF(B58=0,NF58+NJ58,0)</f>
        <v>0</v>
      </c>
      <c r="TB58" s="20" t="n">
        <f aca="false">IF(B58=0,IF(HU58=1,NH58,NI58),0)</f>
        <v>0</v>
      </c>
      <c r="TC58" s="20" t="n">
        <f aca="false">IF(GL58=1,IF(HU58=1,NO58+NR58,GM58-OU58)*(1+Slot18_Rate),0)</f>
        <v>0</v>
      </c>
      <c r="TD58" s="20" t="n">
        <f aca="false">IF(AND(HU58=1,GL58=1),(NN58+NR58)/F58,0)</f>
        <v>0</v>
      </c>
      <c r="TE58" s="20" t="n">
        <f aca="false">IF(B58=0,NN58+NR58,0)</f>
        <v>0</v>
      </c>
      <c r="TF58" s="20" t="n">
        <f aca="false">IF(B58=0,IF(HU58=1,NP58,NQ58),0)</f>
        <v>0</v>
      </c>
      <c r="TG58" s="20" t="n">
        <f aca="false">IF(GV58=1,IF(HU58=1,NW58+NZ58,GW58-OS58)*(1+Slot19_Rate),0)</f>
        <v>0</v>
      </c>
      <c r="TH58" s="20" t="n">
        <f aca="false">IF(AND(HU58=1,GV58=1),(NV58+NZ58)/F58,0)</f>
        <v>0</v>
      </c>
      <c r="TI58" s="20" t="n">
        <f aca="false">IF(B58=0,NV58+NZ58,0)</f>
        <v>0</v>
      </c>
      <c r="TJ58" s="20" t="n">
        <f aca="false">IF(B58=0,IF(HU58=1,NX58,NY58),0)</f>
        <v>0</v>
      </c>
      <c r="TK58" s="20" t="n">
        <f aca="false">IF(HF58=1,IF(HU58=1,OE58+OH58,HG58-OQ58)*(1+Slot20_Rate),0)</f>
        <v>0</v>
      </c>
      <c r="TL58" s="20" t="n">
        <f aca="false">IF(AND(HU58=1,HF58=1),(OD58+OH58)/F58,0)</f>
        <v>0</v>
      </c>
      <c r="TM58" s="20" t="n">
        <f aca="false">IF(B58=0,OD58+OH58,0)</f>
        <v>0</v>
      </c>
      <c r="TN58" s="20" t="n">
        <f aca="false">IF(B58=0,IF(HU58=1,OF58,OG58),0)</f>
        <v>0</v>
      </c>
      <c r="TO58" s="20" t="n">
        <f aca="false">QK58+QL58+QM58+QQ58+QU58+QY58+RC58+RG58+RK58+RO58+RS58+RW58+SA58+SE58+SI58+SM58+SQ58+SU58+SY58+TC58+TG58+TK58</f>
        <v>0</v>
      </c>
      <c r="TP58" s="20" t="n">
        <f aca="false">QE58+HP58</f>
        <v>27428.8502381298</v>
      </c>
      <c r="TQ58" s="20" t="n">
        <f aca="false">I58+S58</f>
        <v>128657.907789718</v>
      </c>
      <c r="TR58" s="20" t="n">
        <f aca="false">1-G58</f>
        <v>1</v>
      </c>
      <c r="TS58" s="20" t="n">
        <f aca="false">IF(AND(RG_Exists=1,G58=0,C58=1),I58,0)</f>
        <v>128657.907789718</v>
      </c>
      <c r="TT58" s="20" t="n">
        <f aca="false">IF(AND(RG_Exists=1,G58=0,C58=1),I58-MIN(QE58,I58),0)</f>
        <v>101229.057551589</v>
      </c>
      <c r="TU58" s="20" t="n">
        <f aca="false">'Plan pay &amp; tax'!AD284</f>
        <v>195479.573257787</v>
      </c>
      <c r="TV58" s="20" t="n">
        <f aca="false">IF(AND(C58=1,QE58&gt;MAX(PR_Short1,TQ58*PR_Short2)),1,0)</f>
        <v>1</v>
      </c>
      <c r="TW58" s="20" t="n">
        <f aca="false">MIN(H58,I58+S58)</f>
        <v>101229.057551589</v>
      </c>
      <c r="TX58" s="20" t="n">
        <f aca="false">QF58+MAX(0,HQ58-HP58)</f>
        <v>0</v>
      </c>
      <c r="TY58" s="20" t="n">
        <f aca="false">QE58+HP58</f>
        <v>27428.8502381298</v>
      </c>
      <c r="TZ58" s="20" t="n">
        <f aca="false">IF(AND(C58=1,TY58&gt;PR_MinShort),1,0)</f>
        <v>1</v>
      </c>
      <c r="UA58" s="20" t="n">
        <f aca="false">IF(AND(C58=1,TZ58=0,TX58&gt;PR_MinShort),1,0)</f>
        <v>0</v>
      </c>
      <c r="UB58" s="20" t="n">
        <f aca="false">IF(AND(C58=1,QE58&gt;PR_MinShort),1,0)</f>
        <v>1</v>
      </c>
      <c r="UC58" s="20" t="n">
        <f aca="false">IF(AND(C58=1,QF58&gt;1,UJ58=0),1,0)</f>
        <v>0</v>
      </c>
      <c r="UD58" s="20" t="str">
        <f aca="false">IF(C58=0,"",IF(UJ58=1,"Gap to plan for: short "&amp;"€"&amp;TEXT(ROUND(TP58,0),"#,##0"),IF(QF58&gt;1,"Using savings","Comfortable")))</f>
        <v>Gap to plan for: short €27,429</v>
      </c>
      <c r="UE58" s="20" t="n">
        <f aca="false">IF(AND(INT(D58/10)*10=90,B58&gt;0),80,INT(D58/10)*10)</f>
        <v>80</v>
      </c>
      <c r="UF58" s="20" t="n">
        <f aca="false">IF(B58=0,1,IF(UE58&lt;&gt;UE57,UF57+1,UF57))</f>
        <v>6</v>
      </c>
      <c r="UG58" s="20" t="n">
        <f aca="false">IF(AND(C58=1,G58=1,QE58&gt;MAX(PR_Short1,TQ58*PR_Short2)),1,0)</f>
        <v>0</v>
      </c>
      <c r="UH58" s="20" t="n">
        <f aca="false">TR58*TV58</f>
        <v>1</v>
      </c>
      <c r="UI58" s="20" t="n">
        <f aca="false">IF(AND(V58=1,Slot1_PctLow=1),1,0)+IF(AND(AG58=1,Slot2_PctLow=1),1,0)+IF(AND(AQ58=1,Slot3_PctLow=1),1,0)+IF(AND(BA58=1,Slot4_PctLow=1),1,0)+IF(AND(BK58=1,Slot5_PctLow=1),1,0)+IF(AND(BU58=1,Slot6_PctLow=1),1,0)+IF(AND(CE58=1,Slot7_PctLow=1),1,0)+IF(AND(CO58=1,Slot8_PctLow=1),1,0)+IF(AND(CY58=1,Slot9_PctLow=1),1,0)+IF(AND(DI58=1,Slot10_PctLow=1),1,0)+IF(AND(DS58=1,Slot11_PctLow=1),1,0)+IF(AND(EC58=1,Slot12_PctLow=1),1,0)+IF(AND(EM58=1,Slot13_PctLow=1),1,0)+IF(AND(EW58=1,Slot14_PctLow=1),1,0)+IF(AND(FG58=1,Slot15_PctLow=1),1,0)+IF(AND(FQ58=1,Slot16_PctLow=1),1,0)+IF(AND(GA58=1,Slot17_PctLow=1),1,0)+IF(AND(GK58=1,Slot18_PctLow=1),1,0)+IF(AND(GU58=1,Slot19_PctLow=1),1,0)+IF(AND(HE58=1,Slot20_PctLow=1),1,0)</f>
        <v>0</v>
      </c>
      <c r="UJ58" s="20" t="n">
        <f aca="false">IF(C58=1,IF(OR(TV58=1,UI58&gt;0),1,0),0)</f>
        <v>1</v>
      </c>
      <c r="UK58" s="20" t="n">
        <f aca="false">Z58+AK58+AU58+BE58+BO58+BY58+CI58+CS58+DC58+DM58+DW58+EG58+EQ58+FA58+FK58+FU58+GE58+GO58+GY58+HI58+OM58</f>
        <v>0</v>
      </c>
      <c r="UL58" s="20" t="n">
        <f aca="false">V58*IF(Slot1_SpendLike=1,X58-Y58,IF(Slot1_PotFree=1,X58,0))+AG58*IF(Slot2_SpendLike=1,AI58-AJ58,IF(Slot2_PotFree=1,AI58,0))+AQ58*IF(Slot3_SpendLike=1,AS58-AT58,IF(Slot3_PotFree=1,AS58,0))+BA58*IF(Slot4_SpendLike=1,BC58-BD58,IF(Slot4_PotFree=1,BC58,0))+BK58*IF(Slot5_SpendLike=1,BM58-BN58,IF(Slot5_PotFree=1,BM58,0))+BU58*IF(Slot6_SpendLike=1,BW58-BX58,IF(Slot6_PotFree=1,BW58,0))+CE58*IF(Slot7_SpendLike=1,CG58-CH58,IF(Slot7_PotFree=1,CG58,0))+CO58*IF(Slot8_SpendLike=1,CQ58-CR58,IF(Slot8_PotFree=1,CQ58,0))+CY58*IF(Slot9_SpendLike=1,DA58-DB58,IF(Slot9_PotFree=1,DA58,0))+DI58*IF(Slot10_SpendLike=1,DK58-DL58,IF(Slot10_PotFree=1,DK58,0))+DS58*IF(Slot11_SpendLike=1,DU58-DV58,IF(Slot11_PotFree=1,DU58,0))+EC58*IF(Slot12_SpendLike=1,EE58-EF58,IF(Slot12_PotFree=1,EE58,0))+EM58*IF(Slot13_SpendLike=1,EO58-EP58,IF(Slot13_PotFree=1,EO58,0))+EW58*IF(Slot14_SpendLike=1,EY58-EZ58,IF(Slot14_PotFree=1,EY58,0))+FG58*IF(Slot15_SpendLike=1,FI58-FJ58,IF(Slot15_PotFree=1,FI58,0))+FQ58*IF(Slot16_SpendLike=1,FS58-FT58,IF(Slot16_PotFree=1,FS58,0))+GA58*IF(Slot17_SpendLike=1,GC58-GD58,IF(Slot17_PotFree=1,GC58,0))+GK58*IF(Slot18_SpendLike=1,GM58-GN58,IF(Slot18_PotFree=1,GM58,0))+GU58*IF(Slot19_SpendLike=1,GW58-GX58,IF(Slot19_PotFree=1,GW58,0))+HE58*IF(Slot20_SpendLike=1,HG58-HH58,IF(Slot20_PotFree=1,HG58,0))</f>
        <v>0</v>
      </c>
      <c r="UM58" s="20" t="n">
        <f aca="false">QG58-T58+UK58-UL58</f>
        <v>0</v>
      </c>
      <c r="UN58" s="20" t="n">
        <f aca="false">IF(OR(UN57=1,AND(In_homeUse="Yes, I'd downsize",In_downAge&gt;0,D58=In_downAge,OR(In_home="Own outright",In_home="Own with mortgage"),In_homeValue&gt;0)),1,0)</f>
        <v>0</v>
      </c>
    </row>
    <row r="59" customFormat="false" ht="15" hidden="false" customHeight="true" outlineLevel="0" collapsed="false">
      <c r="B59" s="20" t="n">
        <v>51</v>
      </c>
      <c r="C59" s="20" t="n">
        <f aca="false">IF(B59&lt;=F_N,1,0)</f>
        <v>1</v>
      </c>
      <c r="D59" s="20" t="n">
        <f aca="false">'Plan pay &amp; tax'!C285</f>
        <v>89</v>
      </c>
      <c r="E59" s="20" t="str">
        <f aca="false">IF($C59=1,"Income tax "&amp;TEXT(N('Plan pay &amp; tax'!BK285),"#,##0")&amp;"; USC "&amp;TEXT(N('Plan pay &amp; tax'!BM285)+N('Plan pay &amp; tax'!BO285),"#,##0")&amp;"; PRSI "&amp;TEXT(N('Plan pay &amp; tax'!BP285)+N('Plan pay &amp; tax'!BQ285),"#,##0")&amp;IF(N('Plan holdings'!BO59)&gt;=0.5,"; DIRT "&amp;TEXT(('Plan holdings'!BO59)/$F59,"#,##0")&amp;" (already taken from the interest earned)","")&amp;IF(N('Plan holdings'!BP59)&gt;=0.5,"; exit tax at an 8-year anniversary "&amp;TEXT(('Plan holdings'!BP59)/$F59,"#,##0"),"")&amp;IF(N('Plan holdings'!BN59)&gt;=0.5,"; tax on assets sold (exit tax or capital gains tax) "&amp;TEXT(('Plan holdings'!BN59)/$F59,"#,##0"),"")&amp;IF(N('Plan pay &amp; tax'!X285)-N('Plan pay &amp; tax'!Y285)&gt;=0.5,"; tax on the pension lump sum "&amp;TEXT(('Plan pay &amp; tax'!X285-'Plan pay &amp; tax'!Y285)/$F59,"#,##0"),"")&amp;IF(N('Plan pay &amp; tax'!V285)&gt;=0.5,"; chargeable excess tax on the pension "&amp;TEXT(('Plan pay &amp; tax'!V285)/$F59,"#,##0"),"")&amp;".","")</f>
        <v>Income tax 1,006; USC 0; PRSI 0.</v>
      </c>
      <c r="F59" s="50" t="n">
        <f aca="false">'Plan pay &amp; tax'!E285</f>
        <v>2.74541978965508</v>
      </c>
      <c r="G59" s="20" t="n">
        <f aca="false">'Plan pay &amp; tax'!G285</f>
        <v>0</v>
      </c>
      <c r="H59" s="20" t="n">
        <f aca="false">'Plan pay &amp; tax'!BT285-'Plan pay &amp; tax'!BS285-'Plan pay &amp; tax'!R285</f>
        <v>103502.708998856</v>
      </c>
      <c r="I59" s="20" t="n">
        <f aca="false">IF(G59=1,F_CostsM*12,IF(RG_Exists=1,RG_Amount,F_CostsM*12*AS_RetireSpend))*F59+F_OneOffY*F59</f>
        <v>131231.065945513</v>
      </c>
      <c r="J59" s="20" t="n">
        <f aca="false">IF(UN59=1,0,HR58)</f>
        <v>0</v>
      </c>
      <c r="K59" s="20" t="n">
        <f aca="false">IF(J59&gt;1,'Plan debt months'!AC59,0)</f>
        <v>0</v>
      </c>
      <c r="L59" s="20" t="n">
        <f aca="false">IF(J59&gt;1,'Plan debt months'!AB59,J59)</f>
        <v>0</v>
      </c>
      <c r="M59" s="20" t="n">
        <f aca="false">O58</f>
        <v>0</v>
      </c>
      <c r="N59" s="20" t="n">
        <f aca="false">IF(M59&gt;1,'Plan debt months'!BD59,0)</f>
        <v>0</v>
      </c>
      <c r="O59" s="20" t="n">
        <f aca="false">IF(M59&gt;1,'Plan debt months'!BC59,M59)</f>
        <v>0</v>
      </c>
      <c r="P59" s="20" t="n">
        <f aca="false">R58</f>
        <v>0</v>
      </c>
      <c r="Q59" s="20" t="n">
        <f aca="false">IF(P59&gt;1,'Plan debt months'!CE59,0)</f>
        <v>0</v>
      </c>
      <c r="R59" s="20" t="n">
        <f aca="false">IF(P59&gt;1,'Plan debt months'!CD59,P59)</f>
        <v>0</v>
      </c>
      <c r="S59" s="20" t="n">
        <f aca="false">K59+N59+Q59</f>
        <v>0</v>
      </c>
      <c r="T59" s="57" t="n">
        <f aca="false">'Plan holdings'!Y59</f>
        <v>0</v>
      </c>
      <c r="U59" s="57" t="n">
        <f aca="false">'Plan holdings'!BM58</f>
        <v>0</v>
      </c>
      <c r="V59" s="20" t="n">
        <f aca="false">IF(AND(Slot1_On=1,D59=Slot1_Age),1,0)</f>
        <v>0</v>
      </c>
      <c r="W59" s="20" t="n">
        <f aca="false">IF(AND(Slot1_On=1,Slot1_Age&gt;D59),1,0)</f>
        <v>0</v>
      </c>
      <c r="X59" s="20" t="n">
        <f aca="false">QM58</f>
        <v>0</v>
      </c>
      <c r="Y59" s="20" t="n">
        <f aca="false">V59*MIN(Slot1_Cost,X59)</f>
        <v>0</v>
      </c>
      <c r="Z59" s="20" t="n">
        <f aca="false">V59*Slot1_SpendLike*MIN(Slot1_Cost-Y59,T59)</f>
        <v>0</v>
      </c>
      <c r="AA59" s="20" t="n">
        <f aca="false">Y59+Z59</f>
        <v>0</v>
      </c>
      <c r="AB59" s="20" t="n">
        <f aca="false">T59-Z59+V59*IF(Slot1_SpendLike=1,X59-Y59,IF(Slot1_PotFree=1,X59,0))</f>
        <v>0</v>
      </c>
      <c r="AC59" s="20" t="n">
        <f aca="false">AF59+V59*Slot1_BufPot*X59</f>
        <v>0</v>
      </c>
      <c r="AD59" s="20" t="n">
        <f aca="false">IF(AND(V59=1,Slot1_IsMfree=1),IF(AA59&gt;=Slot1_Cost-1,0,MAX(0,L59-AA59)),L59)</f>
        <v>0</v>
      </c>
      <c r="AE59" s="20" t="n">
        <f aca="false">V59*(Slot1_Cost-AA59)</f>
        <v>0</v>
      </c>
      <c r="AF59" s="20" t="n">
        <f aca="false">QL58</f>
        <v>0</v>
      </c>
      <c r="AG59" s="20" t="n">
        <f aca="false">IF(AND(Slot2_On=1,D59=Slot2_Age),1,0)</f>
        <v>0</v>
      </c>
      <c r="AH59" s="20" t="n">
        <f aca="false">IF(AND(Slot2_On=1,Slot2_Age&gt;D59),1,0)</f>
        <v>0</v>
      </c>
      <c r="AI59" s="20" t="n">
        <f aca="false">QQ58</f>
        <v>0</v>
      </c>
      <c r="AJ59" s="20" t="n">
        <f aca="false">AG59*MIN(Slot2_Cost,AI59)</f>
        <v>0</v>
      </c>
      <c r="AK59" s="20" t="n">
        <f aca="false">AG59*Slot2_SpendLike*MIN(Slot2_Cost-AJ59,AB59)</f>
        <v>0</v>
      </c>
      <c r="AL59" s="20" t="n">
        <f aca="false">AJ59+AK59</f>
        <v>0</v>
      </c>
      <c r="AM59" s="20" t="n">
        <f aca="false">AB59-AK59+AG59*IF(Slot2_SpendLike=1,AI59-AJ59,IF(Slot2_PotFree=1,AI59,0))</f>
        <v>0</v>
      </c>
      <c r="AN59" s="20" t="n">
        <f aca="false">AC59+AG59*Slot2_BufPot*AI59</f>
        <v>0</v>
      </c>
      <c r="AO59" s="20" t="n">
        <f aca="false">IF(AND(AG59=1,Slot2_IsMfree=1),IF(AL59&gt;=Slot2_Cost-1,0,MAX(0,AD59-AL59)),AD59)</f>
        <v>0</v>
      </c>
      <c r="AP59" s="20" t="n">
        <f aca="false">AG59*(Slot2_Cost-AL59)</f>
        <v>0</v>
      </c>
      <c r="AQ59" s="20" t="n">
        <f aca="false">IF(AND(Slot3_On=1,D59=Slot3_Age),1,0)</f>
        <v>0</v>
      </c>
      <c r="AR59" s="20" t="n">
        <f aca="false">IF(AND(Slot3_On=1,Slot3_Age&gt;D59),1,0)</f>
        <v>0</v>
      </c>
      <c r="AS59" s="20" t="n">
        <f aca="false">QU58</f>
        <v>0</v>
      </c>
      <c r="AT59" s="20" t="n">
        <f aca="false">AQ59*MIN(Slot3_Cost,AS59)</f>
        <v>0</v>
      </c>
      <c r="AU59" s="20" t="n">
        <f aca="false">AQ59*Slot3_SpendLike*MIN(Slot3_Cost-AT59,AM59)</f>
        <v>0</v>
      </c>
      <c r="AV59" s="20" t="n">
        <f aca="false">AT59+AU59</f>
        <v>0</v>
      </c>
      <c r="AW59" s="20" t="n">
        <f aca="false">AM59-AU59+AQ59*IF(Slot3_SpendLike=1,AS59-AT59,IF(Slot3_PotFree=1,AS59,0))</f>
        <v>0</v>
      </c>
      <c r="AX59" s="20" t="n">
        <f aca="false">AN59+AQ59*Slot3_BufPot*AS59</f>
        <v>0</v>
      </c>
      <c r="AY59" s="20" t="n">
        <f aca="false">IF(AND(AQ59=1,Slot3_IsMfree=1),IF(AV59&gt;=Slot3_Cost-1,0,MAX(0,AO59-AV59)),AO59)</f>
        <v>0</v>
      </c>
      <c r="AZ59" s="20" t="n">
        <f aca="false">AQ59*(Slot3_Cost-AV59)</f>
        <v>0</v>
      </c>
      <c r="BA59" s="20" t="n">
        <f aca="false">IF(AND(Slot4_On=1,D59=Slot4_Age),1,0)</f>
        <v>0</v>
      </c>
      <c r="BB59" s="20" t="n">
        <f aca="false">IF(AND(Slot4_On=1,Slot4_Age&gt;D59),1,0)</f>
        <v>0</v>
      </c>
      <c r="BC59" s="20" t="n">
        <f aca="false">QY58</f>
        <v>0</v>
      </c>
      <c r="BD59" s="20" t="n">
        <f aca="false">BA59*MIN(Slot4_Cost,BC59)</f>
        <v>0</v>
      </c>
      <c r="BE59" s="20" t="n">
        <f aca="false">BA59*Slot4_SpendLike*MIN(Slot4_Cost-BD59,AW59)</f>
        <v>0</v>
      </c>
      <c r="BF59" s="20" t="n">
        <f aca="false">BD59+BE59</f>
        <v>0</v>
      </c>
      <c r="BG59" s="20" t="n">
        <f aca="false">AW59-BE59+BA59*IF(Slot4_SpendLike=1,BC59-BD59,IF(Slot4_PotFree=1,BC59,0))</f>
        <v>0</v>
      </c>
      <c r="BH59" s="20" t="n">
        <f aca="false">AX59+BA59*Slot4_BufPot*BC59</f>
        <v>0</v>
      </c>
      <c r="BI59" s="20" t="n">
        <f aca="false">IF(AND(BA59=1,Slot4_IsMfree=1),IF(BF59&gt;=Slot4_Cost-1,0,MAX(0,AY59-BF59)),AY59)</f>
        <v>0</v>
      </c>
      <c r="BJ59" s="20" t="n">
        <f aca="false">BA59*(Slot4_Cost-BF59)</f>
        <v>0</v>
      </c>
      <c r="BK59" s="20" t="n">
        <f aca="false">IF(AND(Slot5_On=1,D59=Slot5_Age),1,0)</f>
        <v>0</v>
      </c>
      <c r="BL59" s="20" t="n">
        <f aca="false">IF(AND(Slot5_On=1,Slot5_Age&gt;D59),1,0)</f>
        <v>0</v>
      </c>
      <c r="BM59" s="20" t="n">
        <f aca="false">RC58</f>
        <v>0</v>
      </c>
      <c r="BN59" s="20" t="n">
        <f aca="false">BK59*MIN(Slot5_Cost,BM59)</f>
        <v>0</v>
      </c>
      <c r="BO59" s="20" t="n">
        <f aca="false">BK59*Slot5_SpendLike*MIN(Slot5_Cost-BN59,BG59)</f>
        <v>0</v>
      </c>
      <c r="BP59" s="20" t="n">
        <f aca="false">BN59+BO59</f>
        <v>0</v>
      </c>
      <c r="BQ59" s="20" t="n">
        <f aca="false">BG59-BO59+BK59*IF(Slot5_SpendLike=1,BM59-BN59,IF(Slot5_PotFree=1,BM59,0))</f>
        <v>0</v>
      </c>
      <c r="BR59" s="20" t="n">
        <f aca="false">BH59+BK59*Slot5_BufPot*BM59</f>
        <v>0</v>
      </c>
      <c r="BS59" s="20" t="n">
        <f aca="false">IF(AND(BK59=1,Slot5_IsMfree=1),IF(BP59&gt;=Slot5_Cost-1,0,MAX(0,BI59-BP59)),BI59)</f>
        <v>0</v>
      </c>
      <c r="BT59" s="20" t="n">
        <f aca="false">BK59*(Slot5_Cost-BP59)</f>
        <v>0</v>
      </c>
      <c r="BU59" s="20" t="n">
        <f aca="false">IF(AND(Slot6_On=1,D59=Slot6_Age),1,0)</f>
        <v>0</v>
      </c>
      <c r="BV59" s="20" t="n">
        <f aca="false">IF(AND(Slot6_On=1,Slot6_Age&gt;D59),1,0)</f>
        <v>0</v>
      </c>
      <c r="BW59" s="20" t="n">
        <f aca="false">RG58</f>
        <v>0</v>
      </c>
      <c r="BX59" s="20" t="n">
        <f aca="false">BU59*MIN(Slot6_Cost,BW59)</f>
        <v>0</v>
      </c>
      <c r="BY59" s="20" t="n">
        <f aca="false">BU59*Slot6_SpendLike*MIN(Slot6_Cost-BX59,BQ59)</f>
        <v>0</v>
      </c>
      <c r="BZ59" s="20" t="n">
        <f aca="false">BX59+BY59</f>
        <v>0</v>
      </c>
      <c r="CA59" s="20" t="n">
        <f aca="false">BQ59-BY59+BU59*IF(Slot6_SpendLike=1,BW59-BX59,IF(Slot6_PotFree=1,BW59,0))</f>
        <v>0</v>
      </c>
      <c r="CB59" s="20" t="n">
        <f aca="false">BR59+BU59*Slot6_BufPot*BW59</f>
        <v>0</v>
      </c>
      <c r="CC59" s="20" t="n">
        <f aca="false">IF(AND(BU59=1,Slot6_IsMfree=1),IF(BZ59&gt;=Slot6_Cost-1,0,MAX(0,BS59-BZ59)),BS59)</f>
        <v>0</v>
      </c>
      <c r="CD59" s="20" t="n">
        <f aca="false">BU59*(Slot6_Cost-BZ59)</f>
        <v>0</v>
      </c>
      <c r="CE59" s="20" t="n">
        <f aca="false">IF(AND(Slot7_On=1,D59=Slot7_Age),1,0)</f>
        <v>0</v>
      </c>
      <c r="CF59" s="20" t="n">
        <f aca="false">IF(AND(Slot7_On=1,Slot7_Age&gt;D59),1,0)</f>
        <v>0</v>
      </c>
      <c r="CG59" s="20" t="n">
        <f aca="false">RK58</f>
        <v>0</v>
      </c>
      <c r="CH59" s="20" t="n">
        <f aca="false">CE59*MIN(Slot7_Cost,CG59)</f>
        <v>0</v>
      </c>
      <c r="CI59" s="20" t="n">
        <f aca="false">CE59*Slot7_SpendLike*MIN(Slot7_Cost-CH59,CA59)</f>
        <v>0</v>
      </c>
      <c r="CJ59" s="20" t="n">
        <f aca="false">CH59+CI59</f>
        <v>0</v>
      </c>
      <c r="CK59" s="20" t="n">
        <f aca="false">CA59-CI59+CE59*IF(Slot7_SpendLike=1,CG59-CH59,IF(Slot7_PotFree=1,CG59,0))</f>
        <v>0</v>
      </c>
      <c r="CL59" s="20" t="n">
        <f aca="false">CB59+CE59*Slot7_BufPot*CG59</f>
        <v>0</v>
      </c>
      <c r="CM59" s="20" t="n">
        <f aca="false">IF(AND(CE59=1,Slot7_IsMfree=1),IF(CJ59&gt;=Slot7_Cost-1,0,MAX(0,CC59-CJ59)),CC59)</f>
        <v>0</v>
      </c>
      <c r="CN59" s="20" t="n">
        <f aca="false">CE59*(Slot7_Cost-CJ59)</f>
        <v>0</v>
      </c>
      <c r="CO59" s="20" t="n">
        <f aca="false">IF(AND(Slot8_On=1,D59=Slot8_Age),1,0)</f>
        <v>0</v>
      </c>
      <c r="CP59" s="20" t="n">
        <f aca="false">IF(AND(Slot8_On=1,Slot8_Age&gt;D59),1,0)</f>
        <v>0</v>
      </c>
      <c r="CQ59" s="20" t="n">
        <f aca="false">RO58</f>
        <v>0</v>
      </c>
      <c r="CR59" s="20" t="n">
        <f aca="false">CO59*MIN(Slot8_Cost,CQ59)</f>
        <v>0</v>
      </c>
      <c r="CS59" s="20" t="n">
        <f aca="false">CO59*Slot8_SpendLike*MIN(Slot8_Cost-CR59,CK59)</f>
        <v>0</v>
      </c>
      <c r="CT59" s="20" t="n">
        <f aca="false">CR59+CS59</f>
        <v>0</v>
      </c>
      <c r="CU59" s="20" t="n">
        <f aca="false">CK59-CS59+CO59*IF(Slot8_SpendLike=1,CQ59-CR59,IF(Slot8_PotFree=1,CQ59,0))</f>
        <v>0</v>
      </c>
      <c r="CV59" s="20" t="n">
        <f aca="false">CL59+CO59*Slot8_BufPot*CQ59</f>
        <v>0</v>
      </c>
      <c r="CW59" s="20" t="n">
        <f aca="false">IF(AND(CO59=1,Slot8_IsMfree=1),IF(CT59&gt;=Slot8_Cost-1,0,MAX(0,CM59-CT59)),CM59)</f>
        <v>0</v>
      </c>
      <c r="CX59" s="20" t="n">
        <f aca="false">CO59*(Slot8_Cost-CT59)</f>
        <v>0</v>
      </c>
      <c r="CY59" s="20" t="n">
        <f aca="false">IF(AND(Slot9_On=1,D59=Slot9_Age),1,0)</f>
        <v>0</v>
      </c>
      <c r="CZ59" s="20" t="n">
        <f aca="false">IF(AND(Slot9_On=1,Slot9_Age&gt;D59),1,0)</f>
        <v>0</v>
      </c>
      <c r="DA59" s="20" t="n">
        <f aca="false">RS58</f>
        <v>0</v>
      </c>
      <c r="DB59" s="20" t="n">
        <f aca="false">CY59*MIN(Slot9_Cost,DA59)</f>
        <v>0</v>
      </c>
      <c r="DC59" s="20" t="n">
        <f aca="false">CY59*Slot9_SpendLike*MIN(Slot9_Cost-DB59,CU59)</f>
        <v>0</v>
      </c>
      <c r="DD59" s="20" t="n">
        <f aca="false">DB59+DC59</f>
        <v>0</v>
      </c>
      <c r="DE59" s="20" t="n">
        <f aca="false">CU59-DC59+CY59*IF(Slot9_SpendLike=1,DA59-DB59,IF(Slot9_PotFree=1,DA59,0))</f>
        <v>0</v>
      </c>
      <c r="DF59" s="20" t="n">
        <f aca="false">CV59+CY59*Slot9_BufPot*DA59</f>
        <v>0</v>
      </c>
      <c r="DG59" s="20" t="n">
        <f aca="false">IF(AND(CY59=1,Slot9_IsMfree=1),IF(DD59&gt;=Slot9_Cost-1,0,MAX(0,CW59-DD59)),CW59)</f>
        <v>0</v>
      </c>
      <c r="DH59" s="20" t="n">
        <f aca="false">CY59*(Slot9_Cost-DD59)</f>
        <v>0</v>
      </c>
      <c r="DI59" s="20" t="n">
        <f aca="false">IF(AND(Slot10_On=1,D59=Slot10_Age),1,0)</f>
        <v>0</v>
      </c>
      <c r="DJ59" s="20" t="n">
        <f aca="false">IF(AND(Slot10_On=1,Slot10_Age&gt;D59),1,0)</f>
        <v>0</v>
      </c>
      <c r="DK59" s="20" t="n">
        <f aca="false">RW58</f>
        <v>0</v>
      </c>
      <c r="DL59" s="20" t="n">
        <f aca="false">DI59*MIN(Slot10_Cost,DK59)</f>
        <v>0</v>
      </c>
      <c r="DM59" s="20" t="n">
        <f aca="false">DI59*Slot10_SpendLike*MIN(Slot10_Cost-DL59,DE59)</f>
        <v>0</v>
      </c>
      <c r="DN59" s="20" t="n">
        <f aca="false">DL59+DM59</f>
        <v>0</v>
      </c>
      <c r="DO59" s="20" t="n">
        <f aca="false">DE59-DM59+DI59*IF(Slot10_SpendLike=1,DK59-DL59,IF(Slot10_PotFree=1,DK59,0))</f>
        <v>0</v>
      </c>
      <c r="DP59" s="20" t="n">
        <f aca="false">DF59+DI59*Slot10_BufPot*DK59</f>
        <v>0</v>
      </c>
      <c r="DQ59" s="20" t="n">
        <f aca="false">IF(AND(DI59=1,Slot10_IsMfree=1),IF(DN59&gt;=Slot10_Cost-1,0,MAX(0,DG59-DN59)),DG59)</f>
        <v>0</v>
      </c>
      <c r="DR59" s="20" t="n">
        <f aca="false">DI59*(Slot10_Cost-DN59)</f>
        <v>0</v>
      </c>
      <c r="DS59" s="20" t="n">
        <f aca="false">IF(AND(Slot11_On=1,D59=Slot11_Age),1,0)</f>
        <v>0</v>
      </c>
      <c r="DT59" s="20" t="n">
        <f aca="false">IF(AND(Slot11_On=1,Slot11_Age&gt;D59),1,0)</f>
        <v>0</v>
      </c>
      <c r="DU59" s="20" t="n">
        <f aca="false">SA58</f>
        <v>0</v>
      </c>
      <c r="DV59" s="20" t="n">
        <f aca="false">DS59*MIN(Slot11_Cost,DU59)</f>
        <v>0</v>
      </c>
      <c r="DW59" s="20" t="n">
        <f aca="false">DS59*Slot11_SpendLike*MIN(Slot11_Cost-DV59,DO59)</f>
        <v>0</v>
      </c>
      <c r="DX59" s="20" t="n">
        <f aca="false">DV59+DW59</f>
        <v>0</v>
      </c>
      <c r="DY59" s="20" t="n">
        <f aca="false">DO59-DW59+DS59*IF(Slot11_SpendLike=1,DU59-DV59,IF(Slot11_PotFree=1,DU59,0))</f>
        <v>0</v>
      </c>
      <c r="DZ59" s="20" t="n">
        <f aca="false">DP59+DS59*Slot11_BufPot*DU59</f>
        <v>0</v>
      </c>
      <c r="EA59" s="20" t="n">
        <f aca="false">IF(AND(DS59=1,Slot11_IsMfree=1),IF(DX59&gt;=Slot11_Cost-1,0,MAX(0,DQ59-DX59)),DQ59)</f>
        <v>0</v>
      </c>
      <c r="EB59" s="20" t="n">
        <f aca="false">DS59*(Slot11_Cost-DX59)</f>
        <v>0</v>
      </c>
      <c r="EC59" s="20" t="n">
        <f aca="false">IF(AND(Slot12_On=1,D59=Slot12_Age),1,0)</f>
        <v>0</v>
      </c>
      <c r="ED59" s="20" t="n">
        <f aca="false">IF(AND(Slot12_On=1,Slot12_Age&gt;D59),1,0)</f>
        <v>0</v>
      </c>
      <c r="EE59" s="20" t="n">
        <f aca="false">SE58</f>
        <v>0</v>
      </c>
      <c r="EF59" s="20" t="n">
        <f aca="false">EC59*MIN(Slot12_Cost,EE59)</f>
        <v>0</v>
      </c>
      <c r="EG59" s="20" t="n">
        <f aca="false">EC59*Slot12_SpendLike*MIN(Slot12_Cost-EF59,DY59)</f>
        <v>0</v>
      </c>
      <c r="EH59" s="20" t="n">
        <f aca="false">EF59+EG59</f>
        <v>0</v>
      </c>
      <c r="EI59" s="20" t="n">
        <f aca="false">DY59-EG59+EC59*IF(Slot12_SpendLike=1,EE59-EF59,IF(Slot12_PotFree=1,EE59,0))</f>
        <v>0</v>
      </c>
      <c r="EJ59" s="20" t="n">
        <f aca="false">DZ59+EC59*Slot12_BufPot*EE59</f>
        <v>0</v>
      </c>
      <c r="EK59" s="20" t="n">
        <f aca="false">IF(AND(EC59=1,Slot12_IsMfree=1),IF(EH59&gt;=Slot12_Cost-1,0,MAX(0,EA59-EH59)),EA59)</f>
        <v>0</v>
      </c>
      <c r="EL59" s="20" t="n">
        <f aca="false">EC59*(Slot12_Cost-EH59)</f>
        <v>0</v>
      </c>
      <c r="EM59" s="20" t="n">
        <f aca="false">IF(AND(Slot13_On=1,D59=Slot13_Age),1,0)</f>
        <v>0</v>
      </c>
      <c r="EN59" s="20" t="n">
        <f aca="false">IF(AND(Slot13_On=1,Slot13_Age&gt;D59),1,0)</f>
        <v>0</v>
      </c>
      <c r="EO59" s="20" t="n">
        <f aca="false">SI58</f>
        <v>0</v>
      </c>
      <c r="EP59" s="20" t="n">
        <f aca="false">EM59*MIN(Slot13_Cost,EO59)</f>
        <v>0</v>
      </c>
      <c r="EQ59" s="20" t="n">
        <f aca="false">EM59*Slot13_SpendLike*MIN(Slot13_Cost-EP59,EI59)</f>
        <v>0</v>
      </c>
      <c r="ER59" s="20" t="n">
        <f aca="false">EP59+EQ59</f>
        <v>0</v>
      </c>
      <c r="ES59" s="20" t="n">
        <f aca="false">EI59-EQ59+EM59*IF(Slot13_SpendLike=1,EO59-EP59,IF(Slot13_PotFree=1,EO59,0))</f>
        <v>0</v>
      </c>
      <c r="ET59" s="20" t="n">
        <f aca="false">EJ59+EM59*Slot13_BufPot*EO59</f>
        <v>0</v>
      </c>
      <c r="EU59" s="20" t="n">
        <f aca="false">IF(AND(EM59=1,Slot13_IsMfree=1),IF(ER59&gt;=Slot13_Cost-1,0,MAX(0,EK59-ER59)),EK59)</f>
        <v>0</v>
      </c>
      <c r="EV59" s="20" t="n">
        <f aca="false">EM59*(Slot13_Cost-ER59)</f>
        <v>0</v>
      </c>
      <c r="EW59" s="20" t="n">
        <f aca="false">IF(AND(Slot14_On=1,D59=Slot14_Age),1,0)</f>
        <v>0</v>
      </c>
      <c r="EX59" s="20" t="n">
        <f aca="false">IF(AND(Slot14_On=1,Slot14_Age&gt;D59),1,0)</f>
        <v>0</v>
      </c>
      <c r="EY59" s="20" t="n">
        <f aca="false">SM58</f>
        <v>0</v>
      </c>
      <c r="EZ59" s="20" t="n">
        <f aca="false">EW59*MIN(Slot14_Cost,EY59)</f>
        <v>0</v>
      </c>
      <c r="FA59" s="20" t="n">
        <f aca="false">EW59*Slot14_SpendLike*MIN(Slot14_Cost-EZ59,ES59)</f>
        <v>0</v>
      </c>
      <c r="FB59" s="20" t="n">
        <f aca="false">EZ59+FA59</f>
        <v>0</v>
      </c>
      <c r="FC59" s="20" t="n">
        <f aca="false">ES59-FA59+EW59*IF(Slot14_SpendLike=1,EY59-EZ59,IF(Slot14_PotFree=1,EY59,0))</f>
        <v>0</v>
      </c>
      <c r="FD59" s="20" t="n">
        <f aca="false">ET59+EW59*Slot14_BufPot*EY59</f>
        <v>0</v>
      </c>
      <c r="FE59" s="20" t="n">
        <f aca="false">IF(AND(EW59=1,Slot14_IsMfree=1),IF(FB59&gt;=Slot14_Cost-1,0,MAX(0,EU59-FB59)),EU59)</f>
        <v>0</v>
      </c>
      <c r="FF59" s="20" t="n">
        <f aca="false">EW59*(Slot14_Cost-FB59)</f>
        <v>0</v>
      </c>
      <c r="FG59" s="20" t="n">
        <f aca="false">IF(AND(Slot15_On=1,D59=Slot15_Age),1,0)</f>
        <v>0</v>
      </c>
      <c r="FH59" s="20" t="n">
        <f aca="false">IF(AND(Slot15_On=1,Slot15_Age&gt;D59),1,0)</f>
        <v>0</v>
      </c>
      <c r="FI59" s="20" t="n">
        <f aca="false">SQ58</f>
        <v>0</v>
      </c>
      <c r="FJ59" s="20" t="n">
        <f aca="false">FG59*MIN(Slot15_Cost,FI59)</f>
        <v>0</v>
      </c>
      <c r="FK59" s="20" t="n">
        <f aca="false">FG59*Slot15_SpendLike*MIN(Slot15_Cost-FJ59,FC59)</f>
        <v>0</v>
      </c>
      <c r="FL59" s="20" t="n">
        <f aca="false">FJ59+FK59</f>
        <v>0</v>
      </c>
      <c r="FM59" s="20" t="n">
        <f aca="false">FC59-FK59+FG59*IF(Slot15_SpendLike=1,FI59-FJ59,IF(Slot15_PotFree=1,FI59,0))</f>
        <v>0</v>
      </c>
      <c r="FN59" s="20" t="n">
        <f aca="false">FD59+FG59*Slot15_BufPot*FI59</f>
        <v>0</v>
      </c>
      <c r="FO59" s="20" t="n">
        <f aca="false">IF(AND(FG59=1,Slot15_IsMfree=1),IF(FL59&gt;=Slot15_Cost-1,0,MAX(0,FE59-FL59)),FE59)</f>
        <v>0</v>
      </c>
      <c r="FP59" s="20" t="n">
        <f aca="false">FG59*(Slot15_Cost-FL59)</f>
        <v>0</v>
      </c>
      <c r="FQ59" s="20" t="n">
        <f aca="false">IF(AND(Slot16_On=1,D59=Slot16_Age),1,0)</f>
        <v>0</v>
      </c>
      <c r="FR59" s="20" t="n">
        <f aca="false">IF(AND(Slot16_On=1,Slot16_Age&gt;D59),1,0)</f>
        <v>0</v>
      </c>
      <c r="FS59" s="20" t="n">
        <f aca="false">SU58</f>
        <v>0</v>
      </c>
      <c r="FT59" s="20" t="n">
        <f aca="false">FQ59*MIN(Slot16_Cost,FS59)</f>
        <v>0</v>
      </c>
      <c r="FU59" s="20" t="n">
        <f aca="false">FQ59*Slot16_SpendLike*MIN(Slot16_Cost-FT59,FM59)</f>
        <v>0</v>
      </c>
      <c r="FV59" s="20" t="n">
        <f aca="false">FT59+FU59</f>
        <v>0</v>
      </c>
      <c r="FW59" s="20" t="n">
        <f aca="false">FM59-FU59+FQ59*IF(Slot16_SpendLike=1,FS59-FT59,IF(Slot16_PotFree=1,FS59,0))</f>
        <v>0</v>
      </c>
      <c r="FX59" s="20" t="n">
        <f aca="false">FN59+FQ59*Slot16_BufPot*FS59</f>
        <v>0</v>
      </c>
      <c r="FY59" s="20" t="n">
        <f aca="false">IF(AND(FQ59=1,Slot16_IsMfree=1),IF(FV59&gt;=Slot16_Cost-1,0,MAX(0,FO59-FV59)),FO59)</f>
        <v>0</v>
      </c>
      <c r="FZ59" s="20" t="n">
        <f aca="false">FQ59*(Slot16_Cost-FV59)</f>
        <v>0</v>
      </c>
      <c r="GA59" s="20" t="n">
        <f aca="false">IF(AND(Slot17_On=1,D59=Slot17_Age),1,0)</f>
        <v>0</v>
      </c>
      <c r="GB59" s="20" t="n">
        <f aca="false">IF(AND(Slot17_On=1,Slot17_Age&gt;D59),1,0)</f>
        <v>0</v>
      </c>
      <c r="GC59" s="20" t="n">
        <f aca="false">SY58</f>
        <v>0</v>
      </c>
      <c r="GD59" s="20" t="n">
        <f aca="false">GA59*MIN(Slot17_Cost,GC59)</f>
        <v>0</v>
      </c>
      <c r="GE59" s="20" t="n">
        <f aca="false">GA59*Slot17_SpendLike*MIN(Slot17_Cost-GD59,FW59)</f>
        <v>0</v>
      </c>
      <c r="GF59" s="20" t="n">
        <f aca="false">GD59+GE59</f>
        <v>0</v>
      </c>
      <c r="GG59" s="20" t="n">
        <f aca="false">FW59-GE59+GA59*IF(Slot17_SpendLike=1,GC59-GD59,IF(Slot17_PotFree=1,GC59,0))</f>
        <v>0</v>
      </c>
      <c r="GH59" s="20" t="n">
        <f aca="false">FX59+GA59*Slot17_BufPot*GC59</f>
        <v>0</v>
      </c>
      <c r="GI59" s="20" t="n">
        <f aca="false">IF(AND(GA59=1,Slot17_IsMfree=1),IF(GF59&gt;=Slot17_Cost-1,0,MAX(0,FY59-GF59)),FY59)</f>
        <v>0</v>
      </c>
      <c r="GJ59" s="20" t="n">
        <f aca="false">GA59*(Slot17_Cost-GF59)</f>
        <v>0</v>
      </c>
      <c r="GK59" s="20" t="n">
        <f aca="false">IF(AND(Slot18_On=1,D59=Slot18_Age),1,0)</f>
        <v>0</v>
      </c>
      <c r="GL59" s="20" t="n">
        <f aca="false">IF(AND(Slot18_On=1,Slot18_Age&gt;D59),1,0)</f>
        <v>0</v>
      </c>
      <c r="GM59" s="20" t="n">
        <f aca="false">TC58</f>
        <v>0</v>
      </c>
      <c r="GN59" s="20" t="n">
        <f aca="false">GK59*MIN(Slot18_Cost,GM59)</f>
        <v>0</v>
      </c>
      <c r="GO59" s="20" t="n">
        <f aca="false">GK59*Slot18_SpendLike*MIN(Slot18_Cost-GN59,GG59)</f>
        <v>0</v>
      </c>
      <c r="GP59" s="20" t="n">
        <f aca="false">GN59+GO59</f>
        <v>0</v>
      </c>
      <c r="GQ59" s="20" t="n">
        <f aca="false">GG59-GO59+GK59*IF(Slot18_SpendLike=1,GM59-GN59,IF(Slot18_PotFree=1,GM59,0))</f>
        <v>0</v>
      </c>
      <c r="GR59" s="20" t="n">
        <f aca="false">GH59+GK59*Slot18_BufPot*GM59</f>
        <v>0</v>
      </c>
      <c r="GS59" s="20" t="n">
        <f aca="false">IF(AND(GK59=1,Slot18_IsMfree=1),IF(GP59&gt;=Slot18_Cost-1,0,MAX(0,GI59-GP59)),GI59)</f>
        <v>0</v>
      </c>
      <c r="GT59" s="20" t="n">
        <f aca="false">GK59*(Slot18_Cost-GP59)</f>
        <v>0</v>
      </c>
      <c r="GU59" s="20" t="n">
        <f aca="false">IF(AND(Slot19_On=1,D59=Slot19_Age),1,0)</f>
        <v>0</v>
      </c>
      <c r="GV59" s="20" t="n">
        <f aca="false">IF(AND(Slot19_On=1,Slot19_Age&gt;D59),1,0)</f>
        <v>0</v>
      </c>
      <c r="GW59" s="20" t="n">
        <f aca="false">TG58</f>
        <v>0</v>
      </c>
      <c r="GX59" s="20" t="n">
        <f aca="false">GU59*MIN(Slot19_Cost,GW59)</f>
        <v>0</v>
      </c>
      <c r="GY59" s="20" t="n">
        <f aca="false">GU59*Slot19_SpendLike*MIN(Slot19_Cost-GX59,GQ59)</f>
        <v>0</v>
      </c>
      <c r="GZ59" s="20" t="n">
        <f aca="false">GX59+GY59</f>
        <v>0</v>
      </c>
      <c r="HA59" s="20" t="n">
        <f aca="false">GQ59-GY59+GU59*IF(Slot19_SpendLike=1,GW59-GX59,IF(Slot19_PotFree=1,GW59,0))</f>
        <v>0</v>
      </c>
      <c r="HB59" s="20" t="n">
        <f aca="false">GR59+GU59*Slot19_BufPot*GW59</f>
        <v>0</v>
      </c>
      <c r="HC59" s="20" t="n">
        <f aca="false">IF(AND(GU59=1,Slot19_IsMfree=1),IF(GZ59&gt;=Slot19_Cost-1,0,MAX(0,GS59-GZ59)),GS59)</f>
        <v>0</v>
      </c>
      <c r="HD59" s="20" t="n">
        <f aca="false">GU59*(Slot19_Cost-GZ59)</f>
        <v>0</v>
      </c>
      <c r="HE59" s="20" t="n">
        <f aca="false">IF(AND(Slot20_On=1,D59=Slot20_Age),1,0)</f>
        <v>0</v>
      </c>
      <c r="HF59" s="20" t="n">
        <f aca="false">IF(AND(Slot20_On=1,Slot20_Age&gt;D59),1,0)</f>
        <v>0</v>
      </c>
      <c r="HG59" s="20" t="n">
        <f aca="false">TK58</f>
        <v>0</v>
      </c>
      <c r="HH59" s="20" t="n">
        <f aca="false">HE59*MIN(Slot20_Cost,HG59)</f>
        <v>0</v>
      </c>
      <c r="HI59" s="20" t="n">
        <f aca="false">HE59*Slot20_SpendLike*MIN(Slot20_Cost-HH59,HA59)</f>
        <v>0</v>
      </c>
      <c r="HJ59" s="20" t="n">
        <f aca="false">HH59+HI59</f>
        <v>0</v>
      </c>
      <c r="HK59" s="20" t="n">
        <f aca="false">HA59-HI59+HE59*IF(Slot20_SpendLike=1,HG59-HH59,IF(Slot20_PotFree=1,HG59,0))</f>
        <v>0</v>
      </c>
      <c r="HL59" s="20" t="n">
        <f aca="false">HB59+HE59*Slot20_BufPot*HG59</f>
        <v>0</v>
      </c>
      <c r="HM59" s="20" t="n">
        <f aca="false">IF(AND(HE59=1,Slot20_IsMfree=1),IF(HJ59&gt;=Slot20_Cost-1,0,MAX(0,HC59-HJ59)),HC59)</f>
        <v>0</v>
      </c>
      <c r="HN59" s="20" t="n">
        <f aca="false">HE59*(Slot20_Cost-HJ59)</f>
        <v>0</v>
      </c>
      <c r="HO59" s="20" t="n">
        <f aca="false">V59*Slot1_SpendLike*AA59+AG59*Slot2_SpendLike*AL59+AQ59*Slot3_SpendLike*AV59+BA59*Slot4_SpendLike*BF59+BK59*Slot5_SpendLike*BP59+BU59*Slot6_SpendLike*BZ59+CE59*Slot7_SpendLike*CJ59+CO59*Slot8_SpendLike*CT59+CY59*Slot9_SpendLike*DD59+DI59*Slot10_SpendLike*DN59+DS59*Slot11_SpendLike*DX59+EC59*Slot12_SpendLike*EH59+EM59*Slot13_SpendLike*ER59+EW59*Slot14_SpendLike*FB59+FG59*Slot15_SpendLike*FL59+FQ59*Slot16_SpendLike*FV59+GA59*Slot17_SpendLike*GF59+GK59*Slot18_SpendLike*GP59+GU59*Slot19_SpendLike*GZ59+HE59*Slot20_SpendLike*HJ59</f>
        <v>0</v>
      </c>
      <c r="HP59" s="20" t="n">
        <f aca="false">AE59+AP59+AZ59+BJ59+BT59+CD59+CN59+CX59+DH59+DR59+EB59+EL59+EV59+FF59+FP59+FZ59+GJ59+GT59+HD59+HN59</f>
        <v>0</v>
      </c>
      <c r="HQ59" s="20" t="n">
        <f aca="false">V59*Slot1_Cost+AG59*Slot2_Cost+AQ59*Slot3_Cost+BA59*Slot4_Cost+BK59*Slot5_Cost+BU59*Slot6_Cost+CE59*Slot7_Cost+CO59*Slot8_Cost+CY59*Slot9_Cost+DI59*Slot10_Cost+DS59*Slot11_Cost+EC59*Slot12_Cost+EM59*Slot13_Cost+EW59*Slot14_Cost+FG59*Slot15_Cost+FQ59*Slot16_Cost+GA59*Slot17_Cost+GK59*Slot18_Cost+GU59*Slot19_Cost+HE59*Slot20_Cost</f>
        <v>0</v>
      </c>
      <c r="HR59" s="20" t="n">
        <f aca="false">HM59</f>
        <v>0</v>
      </c>
      <c r="HS59" s="20" t="n">
        <f aca="false">H59-I59-S59</f>
        <v>-27728.3569466565</v>
      </c>
      <c r="HT59" s="20" t="n">
        <f aca="false">IF(B59=0,IF(AND(Has_q6=1,In_q6=4),PR_ShareVaries*(MAX(0,HS59)/12),MIN(IF(Has_q6=1,CHOOSE(In_q6+1,PR_SaveB1,PR_SaveB2,PR_SaveB3,PR_SaveB4,0),AS_NoAnswer),AS_SaveShare*(MAX(0,HS59)/12))),HT58)</f>
        <v>67.3316893520437</v>
      </c>
      <c r="HU59" s="20" t="n">
        <f aca="false">IF(HS59&gt;=0,1,0)</f>
        <v>0</v>
      </c>
      <c r="HV59" s="20" t="n">
        <f aca="false">MAX(0,HS59/12/F59)</f>
        <v>0</v>
      </c>
      <c r="HW59" s="20" t="n">
        <f aca="false">IF(AND(Has_q6=1,In_q6=4),PR_ShareVaries*(HV59),MIN(IF(Has_q6=1,CHOOSE(In_q6+1,PR_SaveB1,PR_SaveB2,PR_SaveB3,PR_SaveB4,0),AS_NoAnswer),AS_SaveShare*(HV59)))</f>
        <v>0</v>
      </c>
      <c r="HX59" s="20" t="n">
        <f aca="false">IF(Has_saveM=1,IF(In_saveUp="Yes",1,IF(In_saveUp="No",0,IF(In_saveM&gt;=HT59-0.5,1,0))),0)</f>
        <v>0</v>
      </c>
      <c r="HY59" s="20" t="n">
        <f aca="false">IF(Has_saveM=1,MIN(HV59,IF(HX59=1,MAX(In_saveM,HW59),MIN(In_saveM,HW59))),HW59)</f>
        <v>0</v>
      </c>
      <c r="HZ59" s="20" t="n">
        <f aca="false">IF(G59=1,HY59*12*F59,0)</f>
        <v>0</v>
      </c>
      <c r="IA59" s="20" t="n">
        <f aca="false">MAX(0,HZ59+IF(AND(WI_Retire=0,WI_M&lt;0,G59=1),WI_M*12*F59,0))</f>
        <v>0</v>
      </c>
      <c r="IB59" s="20" t="n">
        <f aca="false">Slot1_IsWG*W59+Slot2_IsWG*AH59+Slot3_IsWG*AR59+Slot4_IsWG*BB59+Slot5_IsWG*BL59+Slot6_IsWG*BV59+Slot7_IsWG*CF59+Slot8_IsWG*CP59+Slot9_IsWG*CZ59+Slot10_IsWG*DJ59+Slot11_IsWG*DT59+Slot12_IsWG*ED59+Slot13_IsWG*EN59+Slot14_IsWG*EX59+Slot15_IsWG*FH59+Slot16_IsWG*FR59+Slot17_IsWG*GB59+Slot18_IsWG*GL59+Slot19_IsWG*GV59+Slot20_IsWG*HF59</f>
        <v>0</v>
      </c>
      <c r="IC59" s="20" t="n">
        <f aca="false">IF(AND(WI_Retire=0,WI_M&gt;0,G59=1,IB59&gt;=1),WI_M*12*F59,0)</f>
        <v>0</v>
      </c>
      <c r="ID59" s="20" t="n">
        <f aca="false">IF(HU59=1,MIN(IA59,HS59),0)</f>
        <v>0</v>
      </c>
      <c r="IE59" s="20" t="n">
        <f aca="false">IF(HU59=1,MIN(IC59,HS59-ID59),0)</f>
        <v>0</v>
      </c>
      <c r="IF59" s="20" t="n">
        <f aca="false">IF(W59=1,IF(ABS((1+AS_Wage)/(1+Slot1_Rate)-1)&lt;0.000000000001,(Slot1_Age-D59)*(1+Slot1_Rate)^(Slot1_Age-D59),(1+Slot1_Rate)^(Slot1_Age-D59)*(1-((1+AS_Wage)/(1+Slot1_Rate))^(Slot1_Age-D59))/(1-(1+AS_Wage)/(1+Slot1_Rate))),1)</f>
        <v>1</v>
      </c>
      <c r="IG59" s="20" t="n">
        <f aca="false">IF(AND(HU59=1,IE59&gt;0,Slot1_IsWG=1,W59=1),MAX(0,(Slot1_Cost-X59*(1+Slot1_Rate)^(Slot1_Age-D59))/IF59),0)</f>
        <v>0</v>
      </c>
      <c r="IH59" s="20" t="n">
        <f aca="false">IF(AND(HU59=1,IE59&gt;0,Slot1_IsWG=1,W59=1),MIN(IE59,IG59),0)</f>
        <v>0</v>
      </c>
      <c r="II59" s="20" t="n">
        <f aca="false">X59+IH59</f>
        <v>0</v>
      </c>
      <c r="IJ59" s="20" t="n">
        <f aca="false">IF(W59=1,MAX(0,(Slot1_Cost-II59*(1+Slot1_Rate)^(Slot1_Age-D59))/IF59),0)</f>
        <v>0</v>
      </c>
      <c r="IK59" s="20" t="n">
        <f aca="false">IF(W59=1,MAX(0,(Slot1_Cost-X59*(1+Slot1_Rate)^(Slot1_Age-D59))/IF59),0)</f>
        <v>0</v>
      </c>
      <c r="IL59" s="20" t="n">
        <f aca="false">IF(AND(HU59=1,W59=1),MIN(ID59,IJ59),0)</f>
        <v>0</v>
      </c>
      <c r="IM59" s="20" t="n">
        <f aca="false">ID59-IL59</f>
        <v>0</v>
      </c>
      <c r="IN59" s="20" t="n">
        <f aca="false">IF(AH59=1,IF(ABS((1+AS_Wage)/(1+Slot2_Rate)-1)&lt;0.000000000001,(Slot2_Age-D59)*(1+Slot2_Rate)^(Slot2_Age-D59),(1+Slot2_Rate)^(Slot2_Age-D59)*(1-((1+AS_Wage)/(1+Slot2_Rate))^(Slot2_Age-D59))/(1-(1+AS_Wage)/(1+Slot2_Rate))),1)</f>
        <v>1</v>
      </c>
      <c r="IO59" s="20" t="n">
        <f aca="false">IF(AND(HU59=1,IE59&gt;0,Slot2_IsWG=1,AH59=1),MAX(0,(Slot2_Cost-AI59*(1+Slot2_Rate)^(Slot2_Age-D59))/IN59),0)</f>
        <v>0</v>
      </c>
      <c r="IP59" s="20" t="n">
        <f aca="false">IF(AND(HU59=1,IE59&gt;0,Slot2_IsWG=1,AH59=1),MIN(IE59,IO59),0)</f>
        <v>0</v>
      </c>
      <c r="IQ59" s="20" t="n">
        <f aca="false">AI59+IP59</f>
        <v>0</v>
      </c>
      <c r="IR59" s="20" t="n">
        <f aca="false">IF(AH59=1,MAX(0,(Slot2_Cost-IQ59*(1+Slot2_Rate)^(Slot2_Age-D59))/IN59),0)</f>
        <v>0</v>
      </c>
      <c r="IS59" s="20" t="n">
        <f aca="false">IF(AH59=1,MAX(0,(Slot2_Cost-AI59*(1+Slot2_Rate)^(Slot2_Age-D59))/IN59),0)</f>
        <v>0</v>
      </c>
      <c r="IT59" s="20" t="n">
        <f aca="false">IF(AND(HU59=1,AH59=1),MIN(IM59,IR59),0)</f>
        <v>0</v>
      </c>
      <c r="IU59" s="20" t="n">
        <f aca="false">IM59-IT59</f>
        <v>0</v>
      </c>
      <c r="IV59" s="20" t="n">
        <f aca="false">IF(AR59=1,IF(ABS((1+AS_Wage)/(1+Slot3_Rate)-1)&lt;0.000000000001,(Slot3_Age-D59)*(1+Slot3_Rate)^(Slot3_Age-D59),(1+Slot3_Rate)^(Slot3_Age-D59)*(1-((1+AS_Wage)/(1+Slot3_Rate))^(Slot3_Age-D59))/(1-(1+AS_Wage)/(1+Slot3_Rate))),1)</f>
        <v>1</v>
      </c>
      <c r="IW59" s="20" t="n">
        <f aca="false">IF(AND(HU59=1,IE59&gt;0,Slot3_IsWG=1,AR59=1),MAX(0,(Slot3_Cost-AS59*(1+Slot3_Rate)^(Slot3_Age-D59))/IV59),0)</f>
        <v>0</v>
      </c>
      <c r="IX59" s="20" t="n">
        <f aca="false">IF(AND(HU59=1,IE59&gt;0,Slot3_IsWG=1,AR59=1),MIN(IE59,IW59),0)</f>
        <v>0</v>
      </c>
      <c r="IY59" s="20" t="n">
        <f aca="false">AS59+IX59</f>
        <v>0</v>
      </c>
      <c r="IZ59" s="20" t="n">
        <f aca="false">IF(AR59=1,MAX(0,(Slot3_Cost-IY59*(1+Slot3_Rate)^(Slot3_Age-D59))/IV59),0)</f>
        <v>0</v>
      </c>
      <c r="JA59" s="20" t="n">
        <f aca="false">IF(AR59=1,MAX(0,(Slot3_Cost-AS59*(1+Slot3_Rate)^(Slot3_Age-D59))/IV59),0)</f>
        <v>0</v>
      </c>
      <c r="JB59" s="20" t="n">
        <f aca="false">IF(AND(HU59=1,AR59=1),MIN(IU59,IZ59),0)</f>
        <v>0</v>
      </c>
      <c r="JC59" s="20" t="n">
        <f aca="false">IU59-JB59</f>
        <v>0</v>
      </c>
      <c r="JD59" s="20" t="n">
        <f aca="false">IF(BB59=1,IF(ABS((1+AS_Wage)/(1+Slot4_Rate)-1)&lt;0.000000000001,(Slot4_Age-D59)*(1+Slot4_Rate)^(Slot4_Age-D59),(1+Slot4_Rate)^(Slot4_Age-D59)*(1-((1+AS_Wage)/(1+Slot4_Rate))^(Slot4_Age-D59))/(1-(1+AS_Wage)/(1+Slot4_Rate))),1)</f>
        <v>1</v>
      </c>
      <c r="JE59" s="20" t="n">
        <f aca="false">IF(AND(HU59=1,IE59&gt;0,Slot4_IsWG=1,BB59=1),MAX(0,(Slot4_Cost-BC59*(1+Slot4_Rate)^(Slot4_Age-D59))/JD59),0)</f>
        <v>0</v>
      </c>
      <c r="JF59" s="20" t="n">
        <f aca="false">IF(AND(HU59=1,IE59&gt;0,Slot4_IsWG=1,BB59=1),MIN(IE59,JE59),0)</f>
        <v>0</v>
      </c>
      <c r="JG59" s="20" t="n">
        <f aca="false">BC59+JF59</f>
        <v>0</v>
      </c>
      <c r="JH59" s="20" t="n">
        <f aca="false">IF(BB59=1,MAX(0,(Slot4_Cost-JG59*(1+Slot4_Rate)^(Slot4_Age-D59))/JD59),0)</f>
        <v>0</v>
      </c>
      <c r="JI59" s="20" t="n">
        <f aca="false">IF(BB59=1,MAX(0,(Slot4_Cost-BC59*(1+Slot4_Rate)^(Slot4_Age-D59))/JD59),0)</f>
        <v>0</v>
      </c>
      <c r="JJ59" s="20" t="n">
        <f aca="false">IF(AND(HU59=1,BB59=1),MIN(JC59,JH59),0)</f>
        <v>0</v>
      </c>
      <c r="JK59" s="20" t="n">
        <f aca="false">JC59-JJ59</f>
        <v>0</v>
      </c>
      <c r="JL59" s="20" t="n">
        <f aca="false">IF(BL59=1,IF(ABS((1+AS_Wage)/(1+Slot5_Rate)-1)&lt;0.000000000001,(Slot5_Age-D59)*(1+Slot5_Rate)^(Slot5_Age-D59),(1+Slot5_Rate)^(Slot5_Age-D59)*(1-((1+AS_Wage)/(1+Slot5_Rate))^(Slot5_Age-D59))/(1-(1+AS_Wage)/(1+Slot5_Rate))),1)</f>
        <v>1</v>
      </c>
      <c r="JM59" s="20" t="n">
        <f aca="false">IF(AND(HU59=1,IE59&gt;0,Slot5_IsWG=1,BL59=1),MAX(0,(Slot5_Cost-BM59*(1+Slot5_Rate)^(Slot5_Age-D59))/JL59),0)</f>
        <v>0</v>
      </c>
      <c r="JN59" s="20" t="n">
        <f aca="false">IF(AND(HU59=1,IE59&gt;0,Slot5_IsWG=1,BL59=1),MIN(IE59,JM59),0)</f>
        <v>0</v>
      </c>
      <c r="JO59" s="20" t="n">
        <f aca="false">BM59+JN59</f>
        <v>0</v>
      </c>
      <c r="JP59" s="20" t="n">
        <f aca="false">IF(BL59=1,MAX(0,(Slot5_Cost-JO59*(1+Slot5_Rate)^(Slot5_Age-D59))/JL59),0)</f>
        <v>0</v>
      </c>
      <c r="JQ59" s="20" t="n">
        <f aca="false">IF(BL59=1,MAX(0,(Slot5_Cost-BM59*(1+Slot5_Rate)^(Slot5_Age-D59))/JL59),0)</f>
        <v>0</v>
      </c>
      <c r="JR59" s="20" t="n">
        <f aca="false">IF(AND(HU59=1,BL59=1),MIN(JK59,JP59),0)</f>
        <v>0</v>
      </c>
      <c r="JS59" s="20" t="n">
        <f aca="false">JK59-JR59</f>
        <v>0</v>
      </c>
      <c r="JT59" s="20" t="n">
        <f aca="false">IF(BV59=1,IF(ABS((1+AS_Wage)/(1+Slot6_Rate)-1)&lt;0.000000000001,(Slot6_Age-D59)*(1+Slot6_Rate)^(Slot6_Age-D59),(1+Slot6_Rate)^(Slot6_Age-D59)*(1-((1+AS_Wage)/(1+Slot6_Rate))^(Slot6_Age-D59))/(1-(1+AS_Wage)/(1+Slot6_Rate))),1)</f>
        <v>1</v>
      </c>
      <c r="JU59" s="20" t="n">
        <f aca="false">IF(AND(HU59=1,IE59&gt;0,Slot6_IsWG=1,BV59=1),MAX(0,(Slot6_Cost-BW59*(1+Slot6_Rate)^(Slot6_Age-D59))/JT59),0)</f>
        <v>0</v>
      </c>
      <c r="JV59" s="20" t="n">
        <f aca="false">IF(AND(HU59=1,IE59&gt;0,Slot6_IsWG=1,BV59=1),MIN(IE59,JU59),0)</f>
        <v>0</v>
      </c>
      <c r="JW59" s="20" t="n">
        <f aca="false">BW59+JV59</f>
        <v>0</v>
      </c>
      <c r="JX59" s="20" t="n">
        <f aca="false">IF(BV59=1,MAX(0,(Slot6_Cost-JW59*(1+Slot6_Rate)^(Slot6_Age-D59))/JT59),0)</f>
        <v>0</v>
      </c>
      <c r="JY59" s="20" t="n">
        <f aca="false">IF(BV59=1,MAX(0,(Slot6_Cost-BW59*(1+Slot6_Rate)^(Slot6_Age-D59))/JT59),0)</f>
        <v>0</v>
      </c>
      <c r="JZ59" s="20" t="n">
        <f aca="false">IF(AND(HU59=1,BV59=1),MIN(JS59,JX59),0)</f>
        <v>0</v>
      </c>
      <c r="KA59" s="20" t="n">
        <f aca="false">JS59-JZ59</f>
        <v>0</v>
      </c>
      <c r="KB59" s="20" t="n">
        <f aca="false">IF(CF59=1,IF(ABS((1+AS_Wage)/(1+Slot7_Rate)-1)&lt;0.000000000001,(Slot7_Age-D59)*(1+Slot7_Rate)^(Slot7_Age-D59),(1+Slot7_Rate)^(Slot7_Age-D59)*(1-((1+AS_Wage)/(1+Slot7_Rate))^(Slot7_Age-D59))/(1-(1+AS_Wage)/(1+Slot7_Rate))),1)</f>
        <v>1</v>
      </c>
      <c r="KC59" s="20" t="n">
        <f aca="false">IF(AND(HU59=1,IE59&gt;0,Slot7_IsWG=1,CF59=1),MAX(0,(Slot7_Cost-CG59*(1+Slot7_Rate)^(Slot7_Age-D59))/KB59),0)</f>
        <v>0</v>
      </c>
      <c r="KD59" s="20" t="n">
        <f aca="false">IF(AND(HU59=1,IE59&gt;0,Slot7_IsWG=1,CF59=1),MIN(IE59,KC59),0)</f>
        <v>0</v>
      </c>
      <c r="KE59" s="20" t="n">
        <f aca="false">CG59+KD59</f>
        <v>0</v>
      </c>
      <c r="KF59" s="20" t="n">
        <f aca="false">IF(CF59=1,MAX(0,(Slot7_Cost-KE59*(1+Slot7_Rate)^(Slot7_Age-D59))/KB59),0)</f>
        <v>0</v>
      </c>
      <c r="KG59" s="20" t="n">
        <f aca="false">IF(CF59=1,MAX(0,(Slot7_Cost-CG59*(1+Slot7_Rate)^(Slot7_Age-D59))/KB59),0)</f>
        <v>0</v>
      </c>
      <c r="KH59" s="20" t="n">
        <f aca="false">IF(AND(HU59=1,CF59=1),MIN(KA59,KF59),0)</f>
        <v>0</v>
      </c>
      <c r="KI59" s="20" t="n">
        <f aca="false">KA59-KH59</f>
        <v>0</v>
      </c>
      <c r="KJ59" s="20" t="n">
        <f aca="false">IF(CP59=1,IF(ABS((1+AS_Wage)/(1+Slot8_Rate)-1)&lt;0.000000000001,(Slot8_Age-D59)*(1+Slot8_Rate)^(Slot8_Age-D59),(1+Slot8_Rate)^(Slot8_Age-D59)*(1-((1+AS_Wage)/(1+Slot8_Rate))^(Slot8_Age-D59))/(1-(1+AS_Wage)/(1+Slot8_Rate))),1)</f>
        <v>1</v>
      </c>
      <c r="KK59" s="20" t="n">
        <f aca="false">IF(AND(HU59=1,IE59&gt;0,Slot8_IsWG=1,CP59=1),MAX(0,(Slot8_Cost-CQ59*(1+Slot8_Rate)^(Slot8_Age-D59))/KJ59),0)</f>
        <v>0</v>
      </c>
      <c r="KL59" s="20" t="n">
        <f aca="false">IF(AND(HU59=1,IE59&gt;0,Slot8_IsWG=1,CP59=1),MIN(IE59,KK59),0)</f>
        <v>0</v>
      </c>
      <c r="KM59" s="20" t="n">
        <f aca="false">CQ59+KL59</f>
        <v>0</v>
      </c>
      <c r="KN59" s="20" t="n">
        <f aca="false">IF(CP59=1,MAX(0,(Slot8_Cost-KM59*(1+Slot8_Rate)^(Slot8_Age-D59))/KJ59),0)</f>
        <v>0</v>
      </c>
      <c r="KO59" s="20" t="n">
        <f aca="false">IF(CP59=1,MAX(0,(Slot8_Cost-CQ59*(1+Slot8_Rate)^(Slot8_Age-D59))/KJ59),0)</f>
        <v>0</v>
      </c>
      <c r="KP59" s="20" t="n">
        <f aca="false">IF(AND(HU59=1,CP59=1),MIN(KI59,KN59),0)</f>
        <v>0</v>
      </c>
      <c r="KQ59" s="20" t="n">
        <f aca="false">KI59-KP59</f>
        <v>0</v>
      </c>
      <c r="KR59" s="20" t="n">
        <f aca="false">IF(CZ59=1,IF(ABS((1+AS_Wage)/(1+Slot9_Rate)-1)&lt;0.000000000001,(Slot9_Age-D59)*(1+Slot9_Rate)^(Slot9_Age-D59),(1+Slot9_Rate)^(Slot9_Age-D59)*(1-((1+AS_Wage)/(1+Slot9_Rate))^(Slot9_Age-D59))/(1-(1+AS_Wage)/(1+Slot9_Rate))),1)</f>
        <v>1</v>
      </c>
      <c r="KS59" s="20" t="n">
        <f aca="false">IF(AND(HU59=1,IE59&gt;0,Slot9_IsWG=1,CZ59=1),MAX(0,(Slot9_Cost-DA59*(1+Slot9_Rate)^(Slot9_Age-D59))/KR59),0)</f>
        <v>0</v>
      </c>
      <c r="KT59" s="20" t="n">
        <f aca="false">IF(AND(HU59=1,IE59&gt;0,Slot9_IsWG=1,CZ59=1),MIN(IE59,KS59),0)</f>
        <v>0</v>
      </c>
      <c r="KU59" s="20" t="n">
        <f aca="false">DA59+KT59</f>
        <v>0</v>
      </c>
      <c r="KV59" s="20" t="n">
        <f aca="false">IF(CZ59=1,MAX(0,(Slot9_Cost-KU59*(1+Slot9_Rate)^(Slot9_Age-D59))/KR59),0)</f>
        <v>0</v>
      </c>
      <c r="KW59" s="20" t="n">
        <f aca="false">IF(CZ59=1,MAX(0,(Slot9_Cost-DA59*(1+Slot9_Rate)^(Slot9_Age-D59))/KR59),0)</f>
        <v>0</v>
      </c>
      <c r="KX59" s="20" t="n">
        <f aca="false">IF(AND(HU59=1,CZ59=1),MIN(KQ59,KV59),0)</f>
        <v>0</v>
      </c>
      <c r="KY59" s="20" t="n">
        <f aca="false">KQ59-KX59</f>
        <v>0</v>
      </c>
      <c r="KZ59" s="20" t="n">
        <f aca="false">IF(DJ59=1,IF(ABS((1+AS_Wage)/(1+Slot10_Rate)-1)&lt;0.000000000001,(Slot10_Age-D59)*(1+Slot10_Rate)^(Slot10_Age-D59),(1+Slot10_Rate)^(Slot10_Age-D59)*(1-((1+AS_Wage)/(1+Slot10_Rate))^(Slot10_Age-D59))/(1-(1+AS_Wage)/(1+Slot10_Rate))),1)</f>
        <v>1</v>
      </c>
      <c r="LA59" s="20" t="n">
        <f aca="false">IF(AND(HU59=1,IE59&gt;0,Slot10_IsWG=1,DJ59=1),MAX(0,(Slot10_Cost-DK59*(1+Slot10_Rate)^(Slot10_Age-D59))/KZ59),0)</f>
        <v>0</v>
      </c>
      <c r="LB59" s="20" t="n">
        <f aca="false">IF(AND(HU59=1,IE59&gt;0,Slot10_IsWG=1,DJ59=1),MIN(IE59,LA59),0)</f>
        <v>0</v>
      </c>
      <c r="LC59" s="20" t="n">
        <f aca="false">DK59+LB59</f>
        <v>0</v>
      </c>
      <c r="LD59" s="20" t="n">
        <f aca="false">IF(DJ59=1,MAX(0,(Slot10_Cost-LC59*(1+Slot10_Rate)^(Slot10_Age-D59))/KZ59),0)</f>
        <v>0</v>
      </c>
      <c r="LE59" s="20" t="n">
        <f aca="false">IF(DJ59=1,MAX(0,(Slot10_Cost-DK59*(1+Slot10_Rate)^(Slot10_Age-D59))/KZ59),0)</f>
        <v>0</v>
      </c>
      <c r="LF59" s="20" t="n">
        <f aca="false">IF(AND(HU59=1,DJ59=1),MIN(KY59,LD59),0)</f>
        <v>0</v>
      </c>
      <c r="LG59" s="20" t="n">
        <f aca="false">KY59-LF59</f>
        <v>0</v>
      </c>
      <c r="LH59" s="20" t="n">
        <f aca="false">IF(DT59=1,IF(ABS((1+AS_Wage)/(1+Slot11_Rate)-1)&lt;0.000000000001,(Slot11_Age-D59)*(1+Slot11_Rate)^(Slot11_Age-D59),(1+Slot11_Rate)^(Slot11_Age-D59)*(1-((1+AS_Wage)/(1+Slot11_Rate))^(Slot11_Age-D59))/(1-(1+AS_Wage)/(1+Slot11_Rate))),1)</f>
        <v>1</v>
      </c>
      <c r="LI59" s="20" t="n">
        <f aca="false">IF(AND(HU59=1,IE59&gt;0,Slot11_IsWG=1,DT59=1),MAX(0,(Slot11_Cost-DU59*(1+Slot11_Rate)^(Slot11_Age-D59))/LH59),0)</f>
        <v>0</v>
      </c>
      <c r="LJ59" s="20" t="n">
        <f aca="false">IF(AND(HU59=1,IE59&gt;0,Slot11_IsWG=1,DT59=1),MIN(IE59,LI59),0)</f>
        <v>0</v>
      </c>
      <c r="LK59" s="20" t="n">
        <f aca="false">DU59+LJ59</f>
        <v>0</v>
      </c>
      <c r="LL59" s="20" t="n">
        <f aca="false">IF(DT59=1,MAX(0,(Slot11_Cost-LK59*(1+Slot11_Rate)^(Slot11_Age-D59))/LH59),0)</f>
        <v>0</v>
      </c>
      <c r="LM59" s="20" t="n">
        <f aca="false">IF(DT59=1,MAX(0,(Slot11_Cost-DU59*(1+Slot11_Rate)^(Slot11_Age-D59))/LH59),0)</f>
        <v>0</v>
      </c>
      <c r="LN59" s="20" t="n">
        <f aca="false">IF(AND(HU59=1,DT59=1),MIN(LG59,LL59),0)</f>
        <v>0</v>
      </c>
      <c r="LO59" s="20" t="n">
        <f aca="false">LG59-LN59</f>
        <v>0</v>
      </c>
      <c r="LP59" s="20" t="n">
        <f aca="false">IF(ED59=1,IF(ABS((1+AS_Wage)/(1+Slot12_Rate)-1)&lt;0.000000000001,(Slot12_Age-D59)*(1+Slot12_Rate)^(Slot12_Age-D59),(1+Slot12_Rate)^(Slot12_Age-D59)*(1-((1+AS_Wage)/(1+Slot12_Rate))^(Slot12_Age-D59))/(1-(1+AS_Wage)/(1+Slot12_Rate))),1)</f>
        <v>1</v>
      </c>
      <c r="LQ59" s="20" t="n">
        <f aca="false">IF(AND(HU59=1,IE59&gt;0,Slot12_IsWG=1,ED59=1),MAX(0,(Slot12_Cost-EE59*(1+Slot12_Rate)^(Slot12_Age-D59))/LP59),0)</f>
        <v>0</v>
      </c>
      <c r="LR59" s="20" t="n">
        <f aca="false">IF(AND(HU59=1,IE59&gt;0,Slot12_IsWG=1,ED59=1),MIN(IE59,LQ59),0)</f>
        <v>0</v>
      </c>
      <c r="LS59" s="20" t="n">
        <f aca="false">EE59+LR59</f>
        <v>0</v>
      </c>
      <c r="LT59" s="20" t="n">
        <f aca="false">IF(ED59=1,MAX(0,(Slot12_Cost-LS59*(1+Slot12_Rate)^(Slot12_Age-D59))/LP59),0)</f>
        <v>0</v>
      </c>
      <c r="LU59" s="20" t="n">
        <f aca="false">IF(ED59=1,MAX(0,(Slot12_Cost-EE59*(1+Slot12_Rate)^(Slot12_Age-D59))/LP59),0)</f>
        <v>0</v>
      </c>
      <c r="LV59" s="20" t="n">
        <f aca="false">IF(AND(HU59=1,ED59=1),MIN(LO59,LT59),0)</f>
        <v>0</v>
      </c>
      <c r="LW59" s="20" t="n">
        <f aca="false">LO59-LV59</f>
        <v>0</v>
      </c>
      <c r="LX59" s="20" t="n">
        <f aca="false">IF(EN59=1,IF(ABS((1+AS_Wage)/(1+Slot13_Rate)-1)&lt;0.000000000001,(Slot13_Age-D59)*(1+Slot13_Rate)^(Slot13_Age-D59),(1+Slot13_Rate)^(Slot13_Age-D59)*(1-((1+AS_Wage)/(1+Slot13_Rate))^(Slot13_Age-D59))/(1-(1+AS_Wage)/(1+Slot13_Rate))),1)</f>
        <v>1</v>
      </c>
      <c r="LY59" s="20" t="n">
        <f aca="false">IF(AND(HU59=1,IE59&gt;0,Slot13_IsWG=1,EN59=1),MAX(0,(Slot13_Cost-EO59*(1+Slot13_Rate)^(Slot13_Age-D59))/LX59),0)</f>
        <v>0</v>
      </c>
      <c r="LZ59" s="20" t="n">
        <f aca="false">IF(AND(HU59=1,IE59&gt;0,Slot13_IsWG=1,EN59=1),MIN(IE59,LY59),0)</f>
        <v>0</v>
      </c>
      <c r="MA59" s="20" t="n">
        <f aca="false">EO59+LZ59</f>
        <v>0</v>
      </c>
      <c r="MB59" s="20" t="n">
        <f aca="false">IF(EN59=1,MAX(0,(Slot13_Cost-MA59*(1+Slot13_Rate)^(Slot13_Age-D59))/LX59),0)</f>
        <v>0</v>
      </c>
      <c r="MC59" s="20" t="n">
        <f aca="false">IF(EN59=1,MAX(0,(Slot13_Cost-EO59*(1+Slot13_Rate)^(Slot13_Age-D59))/LX59),0)</f>
        <v>0</v>
      </c>
      <c r="MD59" s="20" t="n">
        <f aca="false">IF(AND(HU59=1,EN59=1),MIN(LW59,MB59),0)</f>
        <v>0</v>
      </c>
      <c r="ME59" s="20" t="n">
        <f aca="false">LW59-MD59</f>
        <v>0</v>
      </c>
      <c r="MF59" s="20" t="n">
        <f aca="false">IF(EX59=1,IF(ABS((1+AS_Wage)/(1+Slot14_Rate)-1)&lt;0.000000000001,(Slot14_Age-D59)*(1+Slot14_Rate)^(Slot14_Age-D59),(1+Slot14_Rate)^(Slot14_Age-D59)*(1-((1+AS_Wage)/(1+Slot14_Rate))^(Slot14_Age-D59))/(1-(1+AS_Wage)/(1+Slot14_Rate))),1)</f>
        <v>1</v>
      </c>
      <c r="MG59" s="20" t="n">
        <f aca="false">IF(AND(HU59=1,IE59&gt;0,Slot14_IsWG=1,EX59=1),MAX(0,(Slot14_Cost-EY59*(1+Slot14_Rate)^(Slot14_Age-D59))/MF59),0)</f>
        <v>0</v>
      </c>
      <c r="MH59" s="20" t="n">
        <f aca="false">IF(AND(HU59=1,IE59&gt;0,Slot14_IsWG=1,EX59=1),MIN(IE59,MG59),0)</f>
        <v>0</v>
      </c>
      <c r="MI59" s="20" t="n">
        <f aca="false">EY59+MH59</f>
        <v>0</v>
      </c>
      <c r="MJ59" s="20" t="n">
        <f aca="false">IF(EX59=1,MAX(0,(Slot14_Cost-MI59*(1+Slot14_Rate)^(Slot14_Age-D59))/MF59),0)</f>
        <v>0</v>
      </c>
      <c r="MK59" s="20" t="n">
        <f aca="false">IF(EX59=1,MAX(0,(Slot14_Cost-EY59*(1+Slot14_Rate)^(Slot14_Age-D59))/MF59),0)</f>
        <v>0</v>
      </c>
      <c r="ML59" s="20" t="n">
        <f aca="false">IF(AND(HU59=1,EX59=1),MIN(ME59,MJ59),0)</f>
        <v>0</v>
      </c>
      <c r="MM59" s="20" t="n">
        <f aca="false">ME59-ML59</f>
        <v>0</v>
      </c>
      <c r="MN59" s="20" t="n">
        <f aca="false">IF(FH59=1,IF(ABS((1+AS_Wage)/(1+Slot15_Rate)-1)&lt;0.000000000001,(Slot15_Age-D59)*(1+Slot15_Rate)^(Slot15_Age-D59),(1+Slot15_Rate)^(Slot15_Age-D59)*(1-((1+AS_Wage)/(1+Slot15_Rate))^(Slot15_Age-D59))/(1-(1+AS_Wage)/(1+Slot15_Rate))),1)</f>
        <v>1</v>
      </c>
      <c r="MO59" s="20" t="n">
        <f aca="false">IF(AND(HU59=1,IE59&gt;0,Slot15_IsWG=1,FH59=1),MAX(0,(Slot15_Cost-FI59*(1+Slot15_Rate)^(Slot15_Age-D59))/MN59),0)</f>
        <v>0</v>
      </c>
      <c r="MP59" s="20" t="n">
        <f aca="false">IF(AND(HU59=1,IE59&gt;0,Slot15_IsWG=1,FH59=1),MIN(IE59,MO59),0)</f>
        <v>0</v>
      </c>
      <c r="MQ59" s="20" t="n">
        <f aca="false">FI59+MP59</f>
        <v>0</v>
      </c>
      <c r="MR59" s="20" t="n">
        <f aca="false">IF(FH59=1,MAX(0,(Slot15_Cost-MQ59*(1+Slot15_Rate)^(Slot15_Age-D59))/MN59),0)</f>
        <v>0</v>
      </c>
      <c r="MS59" s="20" t="n">
        <f aca="false">IF(FH59=1,MAX(0,(Slot15_Cost-FI59*(1+Slot15_Rate)^(Slot15_Age-D59))/MN59),0)</f>
        <v>0</v>
      </c>
      <c r="MT59" s="20" t="n">
        <f aca="false">IF(AND(HU59=1,FH59=1),MIN(MM59,MR59),0)</f>
        <v>0</v>
      </c>
      <c r="MU59" s="20" t="n">
        <f aca="false">MM59-MT59</f>
        <v>0</v>
      </c>
      <c r="MV59" s="20" t="n">
        <f aca="false">IF(FR59=1,IF(ABS((1+AS_Wage)/(1+Slot16_Rate)-1)&lt;0.000000000001,(Slot16_Age-D59)*(1+Slot16_Rate)^(Slot16_Age-D59),(1+Slot16_Rate)^(Slot16_Age-D59)*(1-((1+AS_Wage)/(1+Slot16_Rate))^(Slot16_Age-D59))/(1-(1+AS_Wage)/(1+Slot16_Rate))),1)</f>
        <v>1</v>
      </c>
      <c r="MW59" s="20" t="n">
        <f aca="false">IF(AND(HU59=1,IE59&gt;0,Slot16_IsWG=1,FR59=1),MAX(0,(Slot16_Cost-FS59*(1+Slot16_Rate)^(Slot16_Age-D59))/MV59),0)</f>
        <v>0</v>
      </c>
      <c r="MX59" s="20" t="n">
        <f aca="false">IF(AND(HU59=1,IE59&gt;0,Slot16_IsWG=1,FR59=1),MIN(IE59,MW59),0)</f>
        <v>0</v>
      </c>
      <c r="MY59" s="20" t="n">
        <f aca="false">FS59+MX59</f>
        <v>0</v>
      </c>
      <c r="MZ59" s="20" t="n">
        <f aca="false">IF(FR59=1,MAX(0,(Slot16_Cost-MY59*(1+Slot16_Rate)^(Slot16_Age-D59))/MV59),0)</f>
        <v>0</v>
      </c>
      <c r="NA59" s="20" t="n">
        <f aca="false">IF(FR59=1,MAX(0,(Slot16_Cost-FS59*(1+Slot16_Rate)^(Slot16_Age-D59))/MV59),0)</f>
        <v>0</v>
      </c>
      <c r="NB59" s="20" t="n">
        <f aca="false">IF(AND(HU59=1,FR59=1),MIN(MU59,MZ59),0)</f>
        <v>0</v>
      </c>
      <c r="NC59" s="20" t="n">
        <f aca="false">MU59-NB59</f>
        <v>0</v>
      </c>
      <c r="ND59" s="20" t="n">
        <f aca="false">IF(GB59=1,IF(ABS((1+AS_Wage)/(1+Slot17_Rate)-1)&lt;0.000000000001,(Slot17_Age-D59)*(1+Slot17_Rate)^(Slot17_Age-D59),(1+Slot17_Rate)^(Slot17_Age-D59)*(1-((1+AS_Wage)/(1+Slot17_Rate))^(Slot17_Age-D59))/(1-(1+AS_Wage)/(1+Slot17_Rate))),1)</f>
        <v>1</v>
      </c>
      <c r="NE59" s="20" t="n">
        <f aca="false">IF(AND(HU59=1,IE59&gt;0,Slot17_IsWG=1,GB59=1),MAX(0,(Slot17_Cost-GC59*(1+Slot17_Rate)^(Slot17_Age-D59))/ND59),0)</f>
        <v>0</v>
      </c>
      <c r="NF59" s="20" t="n">
        <f aca="false">IF(AND(HU59=1,IE59&gt;0,Slot17_IsWG=1,GB59=1),MIN(IE59,NE59),0)</f>
        <v>0</v>
      </c>
      <c r="NG59" s="20" t="n">
        <f aca="false">GC59+NF59</f>
        <v>0</v>
      </c>
      <c r="NH59" s="20" t="n">
        <f aca="false">IF(GB59=1,MAX(0,(Slot17_Cost-NG59*(1+Slot17_Rate)^(Slot17_Age-D59))/ND59),0)</f>
        <v>0</v>
      </c>
      <c r="NI59" s="20" t="n">
        <f aca="false">IF(GB59=1,MAX(0,(Slot17_Cost-GC59*(1+Slot17_Rate)^(Slot17_Age-D59))/ND59),0)</f>
        <v>0</v>
      </c>
      <c r="NJ59" s="20" t="n">
        <f aca="false">IF(AND(HU59=1,GB59=1),MIN(NC59,NH59),0)</f>
        <v>0</v>
      </c>
      <c r="NK59" s="20" t="n">
        <f aca="false">NC59-NJ59</f>
        <v>0</v>
      </c>
      <c r="NL59" s="20" t="n">
        <f aca="false">IF(GL59=1,IF(ABS((1+AS_Wage)/(1+Slot18_Rate)-1)&lt;0.000000000001,(Slot18_Age-D59)*(1+Slot18_Rate)^(Slot18_Age-D59),(1+Slot18_Rate)^(Slot18_Age-D59)*(1-((1+AS_Wage)/(1+Slot18_Rate))^(Slot18_Age-D59))/(1-(1+AS_Wage)/(1+Slot18_Rate))),1)</f>
        <v>1</v>
      </c>
      <c r="NM59" s="20" t="n">
        <f aca="false">IF(AND(HU59=1,IE59&gt;0,Slot18_IsWG=1,GL59=1),MAX(0,(Slot18_Cost-GM59*(1+Slot18_Rate)^(Slot18_Age-D59))/NL59),0)</f>
        <v>0</v>
      </c>
      <c r="NN59" s="20" t="n">
        <f aca="false">IF(AND(HU59=1,IE59&gt;0,Slot18_IsWG=1,GL59=1),MIN(IE59,NM59),0)</f>
        <v>0</v>
      </c>
      <c r="NO59" s="20" t="n">
        <f aca="false">GM59+NN59</f>
        <v>0</v>
      </c>
      <c r="NP59" s="20" t="n">
        <f aca="false">IF(GL59=1,MAX(0,(Slot18_Cost-NO59*(1+Slot18_Rate)^(Slot18_Age-D59))/NL59),0)</f>
        <v>0</v>
      </c>
      <c r="NQ59" s="20" t="n">
        <f aca="false">IF(GL59=1,MAX(0,(Slot18_Cost-GM59*(1+Slot18_Rate)^(Slot18_Age-D59))/NL59),0)</f>
        <v>0</v>
      </c>
      <c r="NR59" s="20" t="n">
        <f aca="false">IF(AND(HU59=1,GL59=1),MIN(NK59,NP59),0)</f>
        <v>0</v>
      </c>
      <c r="NS59" s="20" t="n">
        <f aca="false">NK59-NR59</f>
        <v>0</v>
      </c>
      <c r="NT59" s="20" t="n">
        <f aca="false">IF(GV59=1,IF(ABS((1+AS_Wage)/(1+Slot19_Rate)-1)&lt;0.000000000001,(Slot19_Age-D59)*(1+Slot19_Rate)^(Slot19_Age-D59),(1+Slot19_Rate)^(Slot19_Age-D59)*(1-((1+AS_Wage)/(1+Slot19_Rate))^(Slot19_Age-D59))/(1-(1+AS_Wage)/(1+Slot19_Rate))),1)</f>
        <v>1</v>
      </c>
      <c r="NU59" s="20" t="n">
        <f aca="false">IF(AND(HU59=1,IE59&gt;0,Slot19_IsWG=1,GV59=1),MAX(0,(Slot19_Cost-GW59*(1+Slot19_Rate)^(Slot19_Age-D59))/NT59),0)</f>
        <v>0</v>
      </c>
      <c r="NV59" s="20" t="n">
        <f aca="false">IF(AND(HU59=1,IE59&gt;0,Slot19_IsWG=1,GV59=1),MIN(IE59,NU59),0)</f>
        <v>0</v>
      </c>
      <c r="NW59" s="20" t="n">
        <f aca="false">GW59+NV59</f>
        <v>0</v>
      </c>
      <c r="NX59" s="20" t="n">
        <f aca="false">IF(GV59=1,MAX(0,(Slot19_Cost-NW59*(1+Slot19_Rate)^(Slot19_Age-D59))/NT59),0)</f>
        <v>0</v>
      </c>
      <c r="NY59" s="20" t="n">
        <f aca="false">IF(GV59=1,MAX(0,(Slot19_Cost-GW59*(1+Slot19_Rate)^(Slot19_Age-D59))/NT59),0)</f>
        <v>0</v>
      </c>
      <c r="NZ59" s="20" t="n">
        <f aca="false">IF(AND(HU59=1,GV59=1),MIN(NS59,NX59),0)</f>
        <v>0</v>
      </c>
      <c r="OA59" s="20" t="n">
        <f aca="false">NS59-NZ59</f>
        <v>0</v>
      </c>
      <c r="OB59" s="20" t="n">
        <f aca="false">IF(HF59=1,IF(ABS((1+AS_Wage)/(1+Slot20_Rate)-1)&lt;0.000000000001,(Slot20_Age-D59)*(1+Slot20_Rate)^(Slot20_Age-D59),(1+Slot20_Rate)^(Slot20_Age-D59)*(1-((1+AS_Wage)/(1+Slot20_Rate))^(Slot20_Age-D59))/(1-(1+AS_Wage)/(1+Slot20_Rate))),1)</f>
        <v>1</v>
      </c>
      <c r="OC59" s="20" t="n">
        <f aca="false">IF(AND(HU59=1,IE59&gt;0,Slot20_IsWG=1,HF59=1),MAX(0,(Slot20_Cost-HG59*(1+Slot20_Rate)^(Slot20_Age-D59))/OB59),0)</f>
        <v>0</v>
      </c>
      <c r="OD59" s="20" t="n">
        <f aca="false">IF(AND(HU59=1,IE59&gt;0,Slot20_IsWG=1,HF59=1),MIN(IE59,OC59),0)</f>
        <v>0</v>
      </c>
      <c r="OE59" s="20" t="n">
        <f aca="false">HG59+OD59</f>
        <v>0</v>
      </c>
      <c r="OF59" s="20" t="n">
        <f aca="false">IF(HF59=1,MAX(0,(Slot20_Cost-OE59*(1+Slot20_Rate)^(Slot20_Age-D59))/OB59),0)</f>
        <v>0</v>
      </c>
      <c r="OG59" s="20" t="n">
        <f aca="false">IF(HF59=1,MAX(0,(Slot20_Cost-HG59*(1+Slot20_Rate)^(Slot20_Age-D59))/OB59),0)</f>
        <v>0</v>
      </c>
      <c r="OH59" s="20" t="n">
        <f aca="false">IF(AND(HU59=1,HF59=1),MIN(OA59,OF59),0)</f>
        <v>0</v>
      </c>
      <c r="OI59" s="20" t="n">
        <f aca="false">OA59-OH59</f>
        <v>0</v>
      </c>
      <c r="OJ59" s="20" t="n">
        <f aca="false">IE59-(IH59+IP59+IX59+JF59+JN59+JV59+KD59+KL59+KT59+LB59+LJ59+LR59+LZ59+MH59+MP59+MX59+NF59+NN59+NV59+OD59)</f>
        <v>0</v>
      </c>
      <c r="OK59" s="20" t="n">
        <f aca="false">IF(HU59=1,HS59-ID59-IE59,0)</f>
        <v>0</v>
      </c>
      <c r="OL59" s="20" t="n">
        <f aca="false">IF(HU59=0,-HS59,0)</f>
        <v>27728.3569466565</v>
      </c>
      <c r="OM59" s="20" t="n">
        <f aca="false">MIN(OL59,HK59)</f>
        <v>0</v>
      </c>
      <c r="ON59" s="20" t="n">
        <f aca="false">OL59-OM59</f>
        <v>27728.3569466565</v>
      </c>
      <c r="OO59" s="20" t="n">
        <f aca="false">MIN(ON59,HL59)</f>
        <v>0</v>
      </c>
      <c r="OP59" s="20" t="n">
        <f aca="false">ON59-OO59</f>
        <v>27728.3569466565</v>
      </c>
      <c r="OQ59" s="20" t="n">
        <f aca="false">IF(AND(HU59=0,HF59=1,OP59&gt;0),MIN(OP59,HG59),0)</f>
        <v>0</v>
      </c>
      <c r="OR59" s="20" t="n">
        <f aca="false">OP59-OQ59</f>
        <v>27728.3569466565</v>
      </c>
      <c r="OS59" s="20" t="n">
        <f aca="false">IF(AND(HU59=0,GV59=1,OR59&gt;0),MIN(OR59,GW59),0)</f>
        <v>0</v>
      </c>
      <c r="OT59" s="20" t="n">
        <f aca="false">OR59-OS59</f>
        <v>27728.3569466565</v>
      </c>
      <c r="OU59" s="20" t="n">
        <f aca="false">IF(AND(HU59=0,GL59=1,OT59&gt;0),MIN(OT59,GM59),0)</f>
        <v>0</v>
      </c>
      <c r="OV59" s="20" t="n">
        <f aca="false">OT59-OU59</f>
        <v>27728.3569466565</v>
      </c>
      <c r="OW59" s="20" t="n">
        <f aca="false">IF(AND(HU59=0,GB59=1,OV59&gt;0),MIN(OV59,GC59),0)</f>
        <v>0</v>
      </c>
      <c r="OX59" s="20" t="n">
        <f aca="false">OV59-OW59</f>
        <v>27728.3569466565</v>
      </c>
      <c r="OY59" s="20" t="n">
        <f aca="false">IF(AND(HU59=0,FR59=1,OX59&gt;0),MIN(OX59,FS59),0)</f>
        <v>0</v>
      </c>
      <c r="OZ59" s="20" t="n">
        <f aca="false">OX59-OY59</f>
        <v>27728.3569466565</v>
      </c>
      <c r="PA59" s="20" t="n">
        <f aca="false">IF(AND(HU59=0,FH59=1,OZ59&gt;0),MIN(OZ59,FI59),0)</f>
        <v>0</v>
      </c>
      <c r="PB59" s="20" t="n">
        <f aca="false">OZ59-PA59</f>
        <v>27728.3569466565</v>
      </c>
      <c r="PC59" s="20" t="n">
        <f aca="false">IF(AND(HU59=0,EX59=1,PB59&gt;0),MIN(PB59,EY59),0)</f>
        <v>0</v>
      </c>
      <c r="PD59" s="20" t="n">
        <f aca="false">PB59-PC59</f>
        <v>27728.3569466565</v>
      </c>
      <c r="PE59" s="20" t="n">
        <f aca="false">IF(AND(HU59=0,EN59=1,PD59&gt;0),MIN(PD59,EO59),0)</f>
        <v>0</v>
      </c>
      <c r="PF59" s="20" t="n">
        <f aca="false">PD59-PE59</f>
        <v>27728.3569466565</v>
      </c>
      <c r="PG59" s="20" t="n">
        <f aca="false">IF(AND(HU59=0,ED59=1,PF59&gt;0),MIN(PF59,EE59),0)</f>
        <v>0</v>
      </c>
      <c r="PH59" s="20" t="n">
        <f aca="false">PF59-PG59</f>
        <v>27728.3569466565</v>
      </c>
      <c r="PI59" s="20" t="n">
        <f aca="false">IF(AND(HU59=0,DT59=1,PH59&gt;0),MIN(PH59,DU59),0)</f>
        <v>0</v>
      </c>
      <c r="PJ59" s="20" t="n">
        <f aca="false">PH59-PI59</f>
        <v>27728.3569466565</v>
      </c>
      <c r="PK59" s="20" t="n">
        <f aca="false">IF(AND(HU59=0,DJ59=1,PJ59&gt;0),MIN(PJ59,DK59),0)</f>
        <v>0</v>
      </c>
      <c r="PL59" s="20" t="n">
        <f aca="false">PJ59-PK59</f>
        <v>27728.3569466565</v>
      </c>
      <c r="PM59" s="20" t="n">
        <f aca="false">IF(AND(HU59=0,CZ59=1,PL59&gt;0),MIN(PL59,DA59),0)</f>
        <v>0</v>
      </c>
      <c r="PN59" s="20" t="n">
        <f aca="false">PL59-PM59</f>
        <v>27728.3569466565</v>
      </c>
      <c r="PO59" s="20" t="n">
        <f aca="false">IF(AND(HU59=0,CP59=1,PN59&gt;0),MIN(PN59,CQ59),0)</f>
        <v>0</v>
      </c>
      <c r="PP59" s="20" t="n">
        <f aca="false">PN59-PO59</f>
        <v>27728.3569466565</v>
      </c>
      <c r="PQ59" s="20" t="n">
        <f aca="false">IF(AND(HU59=0,CF59=1,PP59&gt;0),MIN(PP59,CG59),0)</f>
        <v>0</v>
      </c>
      <c r="PR59" s="20" t="n">
        <f aca="false">PP59-PQ59</f>
        <v>27728.3569466565</v>
      </c>
      <c r="PS59" s="20" t="n">
        <f aca="false">IF(AND(HU59=0,BV59=1,PR59&gt;0),MIN(PR59,BW59),0)</f>
        <v>0</v>
      </c>
      <c r="PT59" s="20" t="n">
        <f aca="false">PR59-PS59</f>
        <v>27728.3569466565</v>
      </c>
      <c r="PU59" s="20" t="n">
        <f aca="false">IF(AND(HU59=0,BL59=1,PT59&gt;0),MIN(PT59,BM59),0)</f>
        <v>0</v>
      </c>
      <c r="PV59" s="20" t="n">
        <f aca="false">PT59-PU59</f>
        <v>27728.3569466565</v>
      </c>
      <c r="PW59" s="20" t="n">
        <f aca="false">IF(AND(HU59=0,BB59=1,PV59&gt;0),MIN(PV59,BC59),0)</f>
        <v>0</v>
      </c>
      <c r="PX59" s="20" t="n">
        <f aca="false">PV59-PW59</f>
        <v>27728.3569466565</v>
      </c>
      <c r="PY59" s="20" t="n">
        <f aca="false">IF(AND(HU59=0,AR59=1,PX59&gt;0),MIN(PX59,AS59),0)</f>
        <v>0</v>
      </c>
      <c r="PZ59" s="20" t="n">
        <f aca="false">PX59-PY59</f>
        <v>27728.3569466565</v>
      </c>
      <c r="QA59" s="20" t="n">
        <f aca="false">IF(AND(HU59=0,AH59=1,PZ59&gt;0),MIN(PZ59,AI59),0)</f>
        <v>0</v>
      </c>
      <c r="QB59" s="20" t="n">
        <f aca="false">PZ59-QA59</f>
        <v>27728.3569466565</v>
      </c>
      <c r="QC59" s="20" t="n">
        <f aca="false">IF(AND(HU59=0,W59=1,QB59&gt;0),MIN(QB59,X59),0)</f>
        <v>0</v>
      </c>
      <c r="QD59" s="20" t="n">
        <f aca="false">QB59-QC59</f>
        <v>27728.3569466565</v>
      </c>
      <c r="QE59" s="20" t="n">
        <f aca="false">IF(HU59=0,QD59,0)</f>
        <v>27728.3569466565</v>
      </c>
      <c r="QF59" s="20" t="n">
        <f aca="false">OM59+OO59+QC59+QA59+PY59+PW59+PU59+PS59+PQ59+PO59+PM59+PK59+PI59+PG59+PE59+PC59+PA59+OY59+OW59+OU59+OS59+OQ59</f>
        <v>0</v>
      </c>
      <c r="QG59" s="20" t="n">
        <f aca="false">IF(HU59=1,HK59+OJ59+OI59+IF(G59=1,0,OK59),HK59-OM59)</f>
        <v>0</v>
      </c>
      <c r="QH59" s="20" t="n">
        <f aca="false">HL59-OO59</f>
        <v>0</v>
      </c>
      <c r="QI59" s="20" t="n">
        <f aca="false">IF(HU59=1,IF(G59=1,ID59+IE59,HS59),0)</f>
        <v>0</v>
      </c>
      <c r="QJ59" s="20" t="n">
        <f aca="false">IF(HU59=1,IF(G59=1,HS59-ID59-IE59,0),0)</f>
        <v>0</v>
      </c>
      <c r="QK59" s="57" t="n">
        <f aca="false">'Plan holdings'!BM59</f>
        <v>0</v>
      </c>
      <c r="QL59" s="20" t="n">
        <f aca="false">QH59*(1+AS_Cash)</f>
        <v>0</v>
      </c>
      <c r="QM59" s="20" t="n">
        <f aca="false">IF(W59=1,IF(HU59=1,II59+IL59,X59-QC59)*(1+Slot1_Rate),0)</f>
        <v>0</v>
      </c>
      <c r="QN59" s="20" t="n">
        <f aca="false">IF(AND(HU59=1,W59=1),(IH59+IL59)/F59,0)</f>
        <v>0</v>
      </c>
      <c r="QO59" s="20" t="n">
        <f aca="false">IF(B59=0,IH59+IL59,0)</f>
        <v>0</v>
      </c>
      <c r="QP59" s="20" t="n">
        <f aca="false">IF(B59=0,IF(HU59=1,IJ59,IK59),0)</f>
        <v>0</v>
      </c>
      <c r="QQ59" s="20" t="n">
        <f aca="false">IF(AH59=1,IF(HU59=1,IQ59+IT59,AI59-QA59)*(1+Slot2_Rate),0)</f>
        <v>0</v>
      </c>
      <c r="QR59" s="20" t="n">
        <f aca="false">IF(AND(HU59=1,AH59=1),(IP59+IT59)/F59,0)</f>
        <v>0</v>
      </c>
      <c r="QS59" s="20" t="n">
        <f aca="false">IF(B59=0,IP59+IT59,0)</f>
        <v>0</v>
      </c>
      <c r="QT59" s="20" t="n">
        <f aca="false">IF(B59=0,IF(HU59=1,IR59,IS59),0)</f>
        <v>0</v>
      </c>
      <c r="QU59" s="20" t="n">
        <f aca="false">IF(AR59=1,IF(HU59=1,IY59+JB59,AS59-PY59)*(1+Slot3_Rate),0)</f>
        <v>0</v>
      </c>
      <c r="QV59" s="20" t="n">
        <f aca="false">IF(AND(HU59=1,AR59=1),(IX59+JB59)/F59,0)</f>
        <v>0</v>
      </c>
      <c r="QW59" s="20" t="n">
        <f aca="false">IF(B59=0,IX59+JB59,0)</f>
        <v>0</v>
      </c>
      <c r="QX59" s="20" t="n">
        <f aca="false">IF(B59=0,IF(HU59=1,IZ59,JA59),0)</f>
        <v>0</v>
      </c>
      <c r="QY59" s="20" t="n">
        <f aca="false">IF(BB59=1,IF(HU59=1,JG59+JJ59,BC59-PW59)*(1+Slot4_Rate),0)</f>
        <v>0</v>
      </c>
      <c r="QZ59" s="20" t="n">
        <f aca="false">IF(AND(HU59=1,BB59=1),(JF59+JJ59)/F59,0)</f>
        <v>0</v>
      </c>
      <c r="RA59" s="20" t="n">
        <f aca="false">IF(B59=0,JF59+JJ59,0)</f>
        <v>0</v>
      </c>
      <c r="RB59" s="20" t="n">
        <f aca="false">IF(B59=0,IF(HU59=1,JH59,JI59),0)</f>
        <v>0</v>
      </c>
      <c r="RC59" s="20" t="n">
        <f aca="false">IF(BL59=1,IF(HU59=1,JO59+JR59,BM59-PU59)*(1+Slot5_Rate),0)</f>
        <v>0</v>
      </c>
      <c r="RD59" s="20" t="n">
        <f aca="false">IF(AND(HU59=1,BL59=1),(JN59+JR59)/F59,0)</f>
        <v>0</v>
      </c>
      <c r="RE59" s="20" t="n">
        <f aca="false">IF(B59=0,JN59+JR59,0)</f>
        <v>0</v>
      </c>
      <c r="RF59" s="20" t="n">
        <f aca="false">IF(B59=0,IF(HU59=1,JP59,JQ59),0)</f>
        <v>0</v>
      </c>
      <c r="RG59" s="20" t="n">
        <f aca="false">IF(BV59=1,IF(HU59=1,JW59+JZ59,BW59-PS59)*(1+Slot6_Rate),0)</f>
        <v>0</v>
      </c>
      <c r="RH59" s="20" t="n">
        <f aca="false">IF(AND(HU59=1,BV59=1),(JV59+JZ59)/F59,0)</f>
        <v>0</v>
      </c>
      <c r="RI59" s="20" t="n">
        <f aca="false">IF(B59=0,JV59+JZ59,0)</f>
        <v>0</v>
      </c>
      <c r="RJ59" s="20" t="n">
        <f aca="false">IF(B59=0,IF(HU59=1,JX59,JY59),0)</f>
        <v>0</v>
      </c>
      <c r="RK59" s="20" t="n">
        <f aca="false">IF(CF59=1,IF(HU59=1,KE59+KH59,CG59-PQ59)*(1+Slot7_Rate),0)</f>
        <v>0</v>
      </c>
      <c r="RL59" s="20" t="n">
        <f aca="false">IF(AND(HU59=1,CF59=1),(KD59+KH59)/F59,0)</f>
        <v>0</v>
      </c>
      <c r="RM59" s="20" t="n">
        <f aca="false">IF(B59=0,KD59+KH59,0)</f>
        <v>0</v>
      </c>
      <c r="RN59" s="20" t="n">
        <f aca="false">IF(B59=0,IF(HU59=1,KF59,KG59),0)</f>
        <v>0</v>
      </c>
      <c r="RO59" s="20" t="n">
        <f aca="false">IF(CP59=1,IF(HU59=1,KM59+KP59,CQ59-PO59)*(1+Slot8_Rate),0)</f>
        <v>0</v>
      </c>
      <c r="RP59" s="20" t="n">
        <f aca="false">IF(AND(HU59=1,CP59=1),(KL59+KP59)/F59,0)</f>
        <v>0</v>
      </c>
      <c r="RQ59" s="20" t="n">
        <f aca="false">IF(B59=0,KL59+KP59,0)</f>
        <v>0</v>
      </c>
      <c r="RR59" s="20" t="n">
        <f aca="false">IF(B59=0,IF(HU59=1,KN59,KO59),0)</f>
        <v>0</v>
      </c>
      <c r="RS59" s="20" t="n">
        <f aca="false">IF(CZ59=1,IF(HU59=1,KU59+KX59,DA59-PM59)*(1+Slot9_Rate),0)</f>
        <v>0</v>
      </c>
      <c r="RT59" s="20" t="n">
        <f aca="false">IF(AND(HU59=1,CZ59=1),(KT59+KX59)/F59,0)</f>
        <v>0</v>
      </c>
      <c r="RU59" s="20" t="n">
        <f aca="false">IF(B59=0,KT59+KX59,0)</f>
        <v>0</v>
      </c>
      <c r="RV59" s="20" t="n">
        <f aca="false">IF(B59=0,IF(HU59=1,KV59,KW59),0)</f>
        <v>0</v>
      </c>
      <c r="RW59" s="20" t="n">
        <f aca="false">IF(DJ59=1,IF(HU59=1,LC59+LF59,DK59-PK59)*(1+Slot10_Rate),0)</f>
        <v>0</v>
      </c>
      <c r="RX59" s="20" t="n">
        <f aca="false">IF(AND(HU59=1,DJ59=1),(LB59+LF59)/F59,0)</f>
        <v>0</v>
      </c>
      <c r="RY59" s="20" t="n">
        <f aca="false">IF(B59=0,LB59+LF59,0)</f>
        <v>0</v>
      </c>
      <c r="RZ59" s="20" t="n">
        <f aca="false">IF(B59=0,IF(HU59=1,LD59,LE59),0)</f>
        <v>0</v>
      </c>
      <c r="SA59" s="20" t="n">
        <f aca="false">IF(DT59=1,IF(HU59=1,LK59+LN59,DU59-PI59)*(1+Slot11_Rate),0)</f>
        <v>0</v>
      </c>
      <c r="SB59" s="20" t="n">
        <f aca="false">IF(AND(HU59=1,DT59=1),(LJ59+LN59)/F59,0)</f>
        <v>0</v>
      </c>
      <c r="SC59" s="20" t="n">
        <f aca="false">IF(B59=0,LJ59+LN59,0)</f>
        <v>0</v>
      </c>
      <c r="SD59" s="20" t="n">
        <f aca="false">IF(B59=0,IF(HU59=1,LL59,LM59),0)</f>
        <v>0</v>
      </c>
      <c r="SE59" s="20" t="n">
        <f aca="false">IF(ED59=1,IF(HU59=1,LS59+LV59,EE59-PG59)*(1+Slot12_Rate),0)</f>
        <v>0</v>
      </c>
      <c r="SF59" s="20" t="n">
        <f aca="false">IF(AND(HU59=1,ED59=1),(LR59+LV59)/F59,0)</f>
        <v>0</v>
      </c>
      <c r="SG59" s="20" t="n">
        <f aca="false">IF(B59=0,LR59+LV59,0)</f>
        <v>0</v>
      </c>
      <c r="SH59" s="20" t="n">
        <f aca="false">IF(B59=0,IF(HU59=1,LT59,LU59),0)</f>
        <v>0</v>
      </c>
      <c r="SI59" s="20" t="n">
        <f aca="false">IF(EN59=1,IF(HU59=1,MA59+MD59,EO59-PE59)*(1+Slot13_Rate),0)</f>
        <v>0</v>
      </c>
      <c r="SJ59" s="20" t="n">
        <f aca="false">IF(AND(HU59=1,EN59=1),(LZ59+MD59)/F59,0)</f>
        <v>0</v>
      </c>
      <c r="SK59" s="20" t="n">
        <f aca="false">IF(B59=0,LZ59+MD59,0)</f>
        <v>0</v>
      </c>
      <c r="SL59" s="20" t="n">
        <f aca="false">IF(B59=0,IF(HU59=1,MB59,MC59),0)</f>
        <v>0</v>
      </c>
      <c r="SM59" s="20" t="n">
        <f aca="false">IF(EX59=1,IF(HU59=1,MI59+ML59,EY59-PC59)*(1+Slot14_Rate),0)</f>
        <v>0</v>
      </c>
      <c r="SN59" s="20" t="n">
        <f aca="false">IF(AND(HU59=1,EX59=1),(MH59+ML59)/F59,0)</f>
        <v>0</v>
      </c>
      <c r="SO59" s="20" t="n">
        <f aca="false">IF(B59=0,MH59+ML59,0)</f>
        <v>0</v>
      </c>
      <c r="SP59" s="20" t="n">
        <f aca="false">IF(B59=0,IF(HU59=1,MJ59,MK59),0)</f>
        <v>0</v>
      </c>
      <c r="SQ59" s="20" t="n">
        <f aca="false">IF(FH59=1,IF(HU59=1,MQ59+MT59,FI59-PA59)*(1+Slot15_Rate),0)</f>
        <v>0</v>
      </c>
      <c r="SR59" s="20" t="n">
        <f aca="false">IF(AND(HU59=1,FH59=1),(MP59+MT59)/F59,0)</f>
        <v>0</v>
      </c>
      <c r="SS59" s="20" t="n">
        <f aca="false">IF(B59=0,MP59+MT59,0)</f>
        <v>0</v>
      </c>
      <c r="ST59" s="20" t="n">
        <f aca="false">IF(B59=0,IF(HU59=1,MR59,MS59),0)</f>
        <v>0</v>
      </c>
      <c r="SU59" s="20" t="n">
        <f aca="false">IF(FR59=1,IF(HU59=1,MY59+NB59,FS59-OY59)*(1+Slot16_Rate),0)</f>
        <v>0</v>
      </c>
      <c r="SV59" s="20" t="n">
        <f aca="false">IF(AND(HU59=1,FR59=1),(MX59+NB59)/F59,0)</f>
        <v>0</v>
      </c>
      <c r="SW59" s="20" t="n">
        <f aca="false">IF(B59=0,MX59+NB59,0)</f>
        <v>0</v>
      </c>
      <c r="SX59" s="20" t="n">
        <f aca="false">IF(B59=0,IF(HU59=1,MZ59,NA59),0)</f>
        <v>0</v>
      </c>
      <c r="SY59" s="20" t="n">
        <f aca="false">IF(GB59=1,IF(HU59=1,NG59+NJ59,GC59-OW59)*(1+Slot17_Rate),0)</f>
        <v>0</v>
      </c>
      <c r="SZ59" s="20" t="n">
        <f aca="false">IF(AND(HU59=1,GB59=1),(NF59+NJ59)/F59,0)</f>
        <v>0</v>
      </c>
      <c r="TA59" s="20" t="n">
        <f aca="false">IF(B59=0,NF59+NJ59,0)</f>
        <v>0</v>
      </c>
      <c r="TB59" s="20" t="n">
        <f aca="false">IF(B59=0,IF(HU59=1,NH59,NI59),0)</f>
        <v>0</v>
      </c>
      <c r="TC59" s="20" t="n">
        <f aca="false">IF(GL59=1,IF(HU59=1,NO59+NR59,GM59-OU59)*(1+Slot18_Rate),0)</f>
        <v>0</v>
      </c>
      <c r="TD59" s="20" t="n">
        <f aca="false">IF(AND(HU59=1,GL59=1),(NN59+NR59)/F59,0)</f>
        <v>0</v>
      </c>
      <c r="TE59" s="20" t="n">
        <f aca="false">IF(B59=0,NN59+NR59,0)</f>
        <v>0</v>
      </c>
      <c r="TF59" s="20" t="n">
        <f aca="false">IF(B59=0,IF(HU59=1,NP59,NQ59),0)</f>
        <v>0</v>
      </c>
      <c r="TG59" s="20" t="n">
        <f aca="false">IF(GV59=1,IF(HU59=1,NW59+NZ59,GW59-OS59)*(1+Slot19_Rate),0)</f>
        <v>0</v>
      </c>
      <c r="TH59" s="20" t="n">
        <f aca="false">IF(AND(HU59=1,GV59=1),(NV59+NZ59)/F59,0)</f>
        <v>0</v>
      </c>
      <c r="TI59" s="20" t="n">
        <f aca="false">IF(B59=0,NV59+NZ59,0)</f>
        <v>0</v>
      </c>
      <c r="TJ59" s="20" t="n">
        <f aca="false">IF(B59=0,IF(HU59=1,NX59,NY59),0)</f>
        <v>0</v>
      </c>
      <c r="TK59" s="20" t="n">
        <f aca="false">IF(HF59=1,IF(HU59=1,OE59+OH59,HG59-OQ59)*(1+Slot20_Rate),0)</f>
        <v>0</v>
      </c>
      <c r="TL59" s="20" t="n">
        <f aca="false">IF(AND(HU59=1,HF59=1),(OD59+OH59)/F59,0)</f>
        <v>0</v>
      </c>
      <c r="TM59" s="20" t="n">
        <f aca="false">IF(B59=0,OD59+OH59,0)</f>
        <v>0</v>
      </c>
      <c r="TN59" s="20" t="n">
        <f aca="false">IF(B59=0,IF(HU59=1,OF59,OG59),0)</f>
        <v>0</v>
      </c>
      <c r="TO59" s="20" t="n">
        <f aca="false">QK59+QL59+QM59+QQ59+QU59+QY59+RC59+RG59+RK59+RO59+RS59+RW59+SA59+SE59+SI59+SM59+SQ59+SU59+SY59+TC59+TG59+TK59</f>
        <v>0</v>
      </c>
      <c r="TP59" s="20" t="n">
        <f aca="false">QE59+HP59</f>
        <v>27728.3569466565</v>
      </c>
      <c r="TQ59" s="20" t="n">
        <f aca="false">I59+S59</f>
        <v>131231.065945513</v>
      </c>
      <c r="TR59" s="20" t="n">
        <f aca="false">1-G59</f>
        <v>1</v>
      </c>
      <c r="TS59" s="20" t="n">
        <f aca="false">IF(AND(RG_Exists=1,G59=0,C59=1),I59,0)</f>
        <v>131231.065945513</v>
      </c>
      <c r="TT59" s="20" t="n">
        <f aca="false">IF(AND(RG_Exists=1,G59=0,C59=1),I59-MIN(QE59,I59),0)</f>
        <v>103502.708998856</v>
      </c>
      <c r="TU59" s="20" t="n">
        <f aca="false">'Plan pay &amp; tax'!AD285</f>
        <v>172831.868413206</v>
      </c>
      <c r="TV59" s="20" t="n">
        <f aca="false">IF(AND(C59=1,QE59&gt;MAX(PR_Short1,TQ59*PR_Short2)),1,0)</f>
        <v>1</v>
      </c>
      <c r="TW59" s="20" t="n">
        <f aca="false">MIN(H59,I59+S59)</f>
        <v>103502.708998856</v>
      </c>
      <c r="TX59" s="20" t="n">
        <f aca="false">QF59+MAX(0,HQ59-HP59)</f>
        <v>0</v>
      </c>
      <c r="TY59" s="20" t="n">
        <f aca="false">QE59+HP59</f>
        <v>27728.3569466565</v>
      </c>
      <c r="TZ59" s="20" t="n">
        <f aca="false">IF(AND(C59=1,TY59&gt;PR_MinShort),1,0)</f>
        <v>1</v>
      </c>
      <c r="UA59" s="20" t="n">
        <f aca="false">IF(AND(C59=1,TZ59=0,TX59&gt;PR_MinShort),1,0)</f>
        <v>0</v>
      </c>
      <c r="UB59" s="20" t="n">
        <f aca="false">IF(AND(C59=1,QE59&gt;PR_MinShort),1,0)</f>
        <v>1</v>
      </c>
      <c r="UC59" s="20" t="n">
        <f aca="false">IF(AND(C59=1,QF59&gt;1,UJ59=0),1,0)</f>
        <v>0</v>
      </c>
      <c r="UD59" s="20" t="str">
        <f aca="false">IF(C59=0,"",IF(UJ59=1,"Gap to plan for: short "&amp;"€"&amp;TEXT(ROUND(TP59,0),"#,##0"),IF(QF59&gt;1,"Using savings","Comfortable")))</f>
        <v>Gap to plan for: short €27,728</v>
      </c>
      <c r="UE59" s="20" t="n">
        <f aca="false">IF(AND(INT(D59/10)*10=90,B59&gt;0),80,INT(D59/10)*10)</f>
        <v>80</v>
      </c>
      <c r="UF59" s="20" t="n">
        <f aca="false">IF(B59=0,1,IF(UE59&lt;&gt;UE58,UF58+1,UF58))</f>
        <v>6</v>
      </c>
      <c r="UG59" s="20" t="n">
        <f aca="false">IF(AND(C59=1,G59=1,QE59&gt;MAX(PR_Short1,TQ59*PR_Short2)),1,0)</f>
        <v>0</v>
      </c>
      <c r="UH59" s="20" t="n">
        <f aca="false">TR59*TV59</f>
        <v>1</v>
      </c>
      <c r="UI59" s="20" t="n">
        <f aca="false">IF(AND(V59=1,Slot1_PctLow=1),1,0)+IF(AND(AG59=1,Slot2_PctLow=1),1,0)+IF(AND(AQ59=1,Slot3_PctLow=1),1,0)+IF(AND(BA59=1,Slot4_PctLow=1),1,0)+IF(AND(BK59=1,Slot5_PctLow=1),1,0)+IF(AND(BU59=1,Slot6_PctLow=1),1,0)+IF(AND(CE59=1,Slot7_PctLow=1),1,0)+IF(AND(CO59=1,Slot8_PctLow=1),1,0)+IF(AND(CY59=1,Slot9_PctLow=1),1,0)+IF(AND(DI59=1,Slot10_PctLow=1),1,0)+IF(AND(DS59=1,Slot11_PctLow=1),1,0)+IF(AND(EC59=1,Slot12_PctLow=1),1,0)+IF(AND(EM59=1,Slot13_PctLow=1),1,0)+IF(AND(EW59=1,Slot14_PctLow=1),1,0)+IF(AND(FG59=1,Slot15_PctLow=1),1,0)+IF(AND(FQ59=1,Slot16_PctLow=1),1,0)+IF(AND(GA59=1,Slot17_PctLow=1),1,0)+IF(AND(GK59=1,Slot18_PctLow=1),1,0)+IF(AND(GU59=1,Slot19_PctLow=1),1,0)+IF(AND(HE59=1,Slot20_PctLow=1),1,0)</f>
        <v>0</v>
      </c>
      <c r="UJ59" s="20" t="n">
        <f aca="false">IF(C59=1,IF(OR(TV59=1,UI59&gt;0),1,0),0)</f>
        <v>1</v>
      </c>
      <c r="UK59" s="20" t="n">
        <f aca="false">Z59+AK59+AU59+BE59+BO59+BY59+CI59+CS59+DC59+DM59+DW59+EG59+EQ59+FA59+FK59+FU59+GE59+GO59+GY59+HI59+OM59</f>
        <v>0</v>
      </c>
      <c r="UL59" s="20" t="n">
        <f aca="false">V59*IF(Slot1_SpendLike=1,X59-Y59,IF(Slot1_PotFree=1,X59,0))+AG59*IF(Slot2_SpendLike=1,AI59-AJ59,IF(Slot2_PotFree=1,AI59,0))+AQ59*IF(Slot3_SpendLike=1,AS59-AT59,IF(Slot3_PotFree=1,AS59,0))+BA59*IF(Slot4_SpendLike=1,BC59-BD59,IF(Slot4_PotFree=1,BC59,0))+BK59*IF(Slot5_SpendLike=1,BM59-BN59,IF(Slot5_PotFree=1,BM59,0))+BU59*IF(Slot6_SpendLike=1,BW59-BX59,IF(Slot6_PotFree=1,BW59,0))+CE59*IF(Slot7_SpendLike=1,CG59-CH59,IF(Slot7_PotFree=1,CG59,0))+CO59*IF(Slot8_SpendLike=1,CQ59-CR59,IF(Slot8_PotFree=1,CQ59,0))+CY59*IF(Slot9_SpendLike=1,DA59-DB59,IF(Slot9_PotFree=1,DA59,0))+DI59*IF(Slot10_SpendLike=1,DK59-DL59,IF(Slot10_PotFree=1,DK59,0))+DS59*IF(Slot11_SpendLike=1,DU59-DV59,IF(Slot11_PotFree=1,DU59,0))+EC59*IF(Slot12_SpendLike=1,EE59-EF59,IF(Slot12_PotFree=1,EE59,0))+EM59*IF(Slot13_SpendLike=1,EO59-EP59,IF(Slot13_PotFree=1,EO59,0))+EW59*IF(Slot14_SpendLike=1,EY59-EZ59,IF(Slot14_PotFree=1,EY59,0))+FG59*IF(Slot15_SpendLike=1,FI59-FJ59,IF(Slot15_PotFree=1,FI59,0))+FQ59*IF(Slot16_SpendLike=1,FS59-FT59,IF(Slot16_PotFree=1,FS59,0))+GA59*IF(Slot17_SpendLike=1,GC59-GD59,IF(Slot17_PotFree=1,GC59,0))+GK59*IF(Slot18_SpendLike=1,GM59-GN59,IF(Slot18_PotFree=1,GM59,0))+GU59*IF(Slot19_SpendLike=1,GW59-GX59,IF(Slot19_PotFree=1,GW59,0))+HE59*IF(Slot20_SpendLike=1,HG59-HH59,IF(Slot20_PotFree=1,HG59,0))</f>
        <v>0</v>
      </c>
      <c r="UM59" s="20" t="n">
        <f aca="false">QG59-T59+UK59-UL59</f>
        <v>0</v>
      </c>
      <c r="UN59" s="20" t="n">
        <f aca="false">IF(OR(UN58=1,AND(In_homeUse="Yes, I'd downsize",In_downAge&gt;0,D59=In_downAge,OR(In_home="Own outright",In_home="Own with mortgage"),In_homeValue&gt;0)),1,0)</f>
        <v>0</v>
      </c>
    </row>
    <row r="60" customFormat="false" ht="15" hidden="false" customHeight="true" outlineLevel="0" collapsed="false">
      <c r="B60" s="20" t="n">
        <v>52</v>
      </c>
      <c r="C60" s="20" t="n">
        <f aca="false">IF(B60&lt;=F_N,1,0)</f>
        <v>1</v>
      </c>
      <c r="D60" s="20" t="n">
        <f aca="false">'Plan pay &amp; tax'!C286</f>
        <v>90</v>
      </c>
      <c r="E60" s="20" t="str">
        <f aca="false">IF($C60=1,"Income tax "&amp;TEXT(N('Plan pay &amp; tax'!BK286),"#,##0")&amp;"; USC "&amp;TEXT(N('Plan pay &amp; tax'!BM286)+N('Plan pay &amp; tax'!BO286),"#,##0")&amp;"; PRSI "&amp;TEXT(N('Plan pay &amp; tax'!BP286)+N('Plan pay &amp; tax'!BQ286),"#,##0")&amp;IF(N('Plan holdings'!BO60)&gt;=0.5,"; DIRT "&amp;TEXT(('Plan holdings'!BO60)/$F60,"#,##0")&amp;" (already taken from the interest earned)","")&amp;IF(N('Plan holdings'!BP60)&gt;=0.5,"; exit tax at an 8-year anniversary "&amp;TEXT(('Plan holdings'!BP60)/$F60,"#,##0"),"")&amp;IF(N('Plan holdings'!BN60)&gt;=0.5,"; tax on assets sold (exit tax or capital gains tax) "&amp;TEXT(('Plan holdings'!BN60)/$F60,"#,##0"),"")&amp;IF(N('Plan pay &amp; tax'!X286)-N('Plan pay &amp; tax'!Y286)&gt;=0.5,"; tax on the pension lump sum "&amp;TEXT(('Plan pay &amp; tax'!X286-'Plan pay &amp; tax'!Y286)/$F60,"#,##0"),"")&amp;IF(N('Plan pay &amp; tax'!V286)&gt;=0.5,"; chargeable excess tax on the pension "&amp;TEXT(('Plan pay &amp; tax'!V286)/$F60,"#,##0"),"")&amp;".","")</f>
        <v>Income tax 1,029; USC 0; PRSI 0.</v>
      </c>
      <c r="F60" s="50" t="n">
        <f aca="false">'Plan pay &amp; tax'!E286</f>
        <v>2.80032818544818</v>
      </c>
      <c r="G60" s="20" t="n">
        <f aca="false">'Plan pay &amp; tax'!G286</f>
        <v>0</v>
      </c>
      <c r="H60" s="20" t="n">
        <f aca="false">'Plan pay &amp; tax'!BT286-'Plan pay &amp; tax'!BS286-'Plan pay &amp; tax'!R286</f>
        <v>105829.679189401</v>
      </c>
      <c r="I60" s="20" t="n">
        <f aca="false">IF(G60=1,F_CostsM*12,IF(RG_Exists=1,RG_Amount,F_CostsM*12*AS_RetireSpend))*F60+F_OneOffY*F60</f>
        <v>133855.687264423</v>
      </c>
      <c r="J60" s="20" t="n">
        <f aca="false">IF(UN60=1,0,HR59)</f>
        <v>0</v>
      </c>
      <c r="K60" s="20" t="n">
        <f aca="false">IF(J60&gt;1,'Plan debt months'!AC60,0)</f>
        <v>0</v>
      </c>
      <c r="L60" s="20" t="n">
        <f aca="false">IF(J60&gt;1,'Plan debt months'!AB60,J60)</f>
        <v>0</v>
      </c>
      <c r="M60" s="20" t="n">
        <f aca="false">O59</f>
        <v>0</v>
      </c>
      <c r="N60" s="20" t="n">
        <f aca="false">IF(M60&gt;1,'Plan debt months'!BD60,0)</f>
        <v>0</v>
      </c>
      <c r="O60" s="20" t="n">
        <f aca="false">IF(M60&gt;1,'Plan debt months'!BC60,M60)</f>
        <v>0</v>
      </c>
      <c r="P60" s="20" t="n">
        <f aca="false">R59</f>
        <v>0</v>
      </c>
      <c r="Q60" s="20" t="n">
        <f aca="false">IF(P60&gt;1,'Plan debt months'!CE60,0)</f>
        <v>0</v>
      </c>
      <c r="R60" s="20" t="n">
        <f aca="false">IF(P60&gt;1,'Plan debt months'!CD60,P60)</f>
        <v>0</v>
      </c>
      <c r="S60" s="20" t="n">
        <f aca="false">K60+N60+Q60</f>
        <v>0</v>
      </c>
      <c r="T60" s="57" t="n">
        <f aca="false">'Plan holdings'!Y60</f>
        <v>0</v>
      </c>
      <c r="U60" s="57" t="n">
        <f aca="false">'Plan holdings'!BM59</f>
        <v>0</v>
      </c>
      <c r="V60" s="20" t="n">
        <f aca="false">IF(AND(Slot1_On=1,D60=Slot1_Age),1,0)</f>
        <v>0</v>
      </c>
      <c r="W60" s="20" t="n">
        <f aca="false">IF(AND(Slot1_On=1,Slot1_Age&gt;D60),1,0)</f>
        <v>0</v>
      </c>
      <c r="X60" s="20" t="n">
        <f aca="false">QM59</f>
        <v>0</v>
      </c>
      <c r="Y60" s="20" t="n">
        <f aca="false">V60*MIN(Slot1_Cost,X60)</f>
        <v>0</v>
      </c>
      <c r="Z60" s="20" t="n">
        <f aca="false">V60*Slot1_SpendLike*MIN(Slot1_Cost-Y60,T60)</f>
        <v>0</v>
      </c>
      <c r="AA60" s="20" t="n">
        <f aca="false">Y60+Z60</f>
        <v>0</v>
      </c>
      <c r="AB60" s="20" t="n">
        <f aca="false">T60-Z60+V60*IF(Slot1_SpendLike=1,X60-Y60,IF(Slot1_PotFree=1,X60,0))</f>
        <v>0</v>
      </c>
      <c r="AC60" s="20" t="n">
        <f aca="false">AF60+V60*Slot1_BufPot*X60</f>
        <v>0</v>
      </c>
      <c r="AD60" s="20" t="n">
        <f aca="false">IF(AND(V60=1,Slot1_IsMfree=1),IF(AA60&gt;=Slot1_Cost-1,0,MAX(0,L60-AA60)),L60)</f>
        <v>0</v>
      </c>
      <c r="AE60" s="20" t="n">
        <f aca="false">V60*(Slot1_Cost-AA60)</f>
        <v>0</v>
      </c>
      <c r="AF60" s="20" t="n">
        <f aca="false">QL59</f>
        <v>0</v>
      </c>
      <c r="AG60" s="20" t="n">
        <f aca="false">IF(AND(Slot2_On=1,D60=Slot2_Age),1,0)</f>
        <v>0</v>
      </c>
      <c r="AH60" s="20" t="n">
        <f aca="false">IF(AND(Slot2_On=1,Slot2_Age&gt;D60),1,0)</f>
        <v>0</v>
      </c>
      <c r="AI60" s="20" t="n">
        <f aca="false">QQ59</f>
        <v>0</v>
      </c>
      <c r="AJ60" s="20" t="n">
        <f aca="false">AG60*MIN(Slot2_Cost,AI60)</f>
        <v>0</v>
      </c>
      <c r="AK60" s="20" t="n">
        <f aca="false">AG60*Slot2_SpendLike*MIN(Slot2_Cost-AJ60,AB60)</f>
        <v>0</v>
      </c>
      <c r="AL60" s="20" t="n">
        <f aca="false">AJ60+AK60</f>
        <v>0</v>
      </c>
      <c r="AM60" s="20" t="n">
        <f aca="false">AB60-AK60+AG60*IF(Slot2_SpendLike=1,AI60-AJ60,IF(Slot2_PotFree=1,AI60,0))</f>
        <v>0</v>
      </c>
      <c r="AN60" s="20" t="n">
        <f aca="false">AC60+AG60*Slot2_BufPot*AI60</f>
        <v>0</v>
      </c>
      <c r="AO60" s="20" t="n">
        <f aca="false">IF(AND(AG60=1,Slot2_IsMfree=1),IF(AL60&gt;=Slot2_Cost-1,0,MAX(0,AD60-AL60)),AD60)</f>
        <v>0</v>
      </c>
      <c r="AP60" s="20" t="n">
        <f aca="false">AG60*(Slot2_Cost-AL60)</f>
        <v>0</v>
      </c>
      <c r="AQ60" s="20" t="n">
        <f aca="false">IF(AND(Slot3_On=1,D60=Slot3_Age),1,0)</f>
        <v>0</v>
      </c>
      <c r="AR60" s="20" t="n">
        <f aca="false">IF(AND(Slot3_On=1,Slot3_Age&gt;D60),1,0)</f>
        <v>0</v>
      </c>
      <c r="AS60" s="20" t="n">
        <f aca="false">QU59</f>
        <v>0</v>
      </c>
      <c r="AT60" s="20" t="n">
        <f aca="false">AQ60*MIN(Slot3_Cost,AS60)</f>
        <v>0</v>
      </c>
      <c r="AU60" s="20" t="n">
        <f aca="false">AQ60*Slot3_SpendLike*MIN(Slot3_Cost-AT60,AM60)</f>
        <v>0</v>
      </c>
      <c r="AV60" s="20" t="n">
        <f aca="false">AT60+AU60</f>
        <v>0</v>
      </c>
      <c r="AW60" s="20" t="n">
        <f aca="false">AM60-AU60+AQ60*IF(Slot3_SpendLike=1,AS60-AT60,IF(Slot3_PotFree=1,AS60,0))</f>
        <v>0</v>
      </c>
      <c r="AX60" s="20" t="n">
        <f aca="false">AN60+AQ60*Slot3_BufPot*AS60</f>
        <v>0</v>
      </c>
      <c r="AY60" s="20" t="n">
        <f aca="false">IF(AND(AQ60=1,Slot3_IsMfree=1),IF(AV60&gt;=Slot3_Cost-1,0,MAX(0,AO60-AV60)),AO60)</f>
        <v>0</v>
      </c>
      <c r="AZ60" s="20" t="n">
        <f aca="false">AQ60*(Slot3_Cost-AV60)</f>
        <v>0</v>
      </c>
      <c r="BA60" s="20" t="n">
        <f aca="false">IF(AND(Slot4_On=1,D60=Slot4_Age),1,0)</f>
        <v>0</v>
      </c>
      <c r="BB60" s="20" t="n">
        <f aca="false">IF(AND(Slot4_On=1,Slot4_Age&gt;D60),1,0)</f>
        <v>0</v>
      </c>
      <c r="BC60" s="20" t="n">
        <f aca="false">QY59</f>
        <v>0</v>
      </c>
      <c r="BD60" s="20" t="n">
        <f aca="false">BA60*MIN(Slot4_Cost,BC60)</f>
        <v>0</v>
      </c>
      <c r="BE60" s="20" t="n">
        <f aca="false">BA60*Slot4_SpendLike*MIN(Slot4_Cost-BD60,AW60)</f>
        <v>0</v>
      </c>
      <c r="BF60" s="20" t="n">
        <f aca="false">BD60+BE60</f>
        <v>0</v>
      </c>
      <c r="BG60" s="20" t="n">
        <f aca="false">AW60-BE60+BA60*IF(Slot4_SpendLike=1,BC60-BD60,IF(Slot4_PotFree=1,BC60,0))</f>
        <v>0</v>
      </c>
      <c r="BH60" s="20" t="n">
        <f aca="false">AX60+BA60*Slot4_BufPot*BC60</f>
        <v>0</v>
      </c>
      <c r="BI60" s="20" t="n">
        <f aca="false">IF(AND(BA60=1,Slot4_IsMfree=1),IF(BF60&gt;=Slot4_Cost-1,0,MAX(0,AY60-BF60)),AY60)</f>
        <v>0</v>
      </c>
      <c r="BJ60" s="20" t="n">
        <f aca="false">BA60*(Slot4_Cost-BF60)</f>
        <v>0</v>
      </c>
      <c r="BK60" s="20" t="n">
        <f aca="false">IF(AND(Slot5_On=1,D60=Slot5_Age),1,0)</f>
        <v>0</v>
      </c>
      <c r="BL60" s="20" t="n">
        <f aca="false">IF(AND(Slot5_On=1,Slot5_Age&gt;D60),1,0)</f>
        <v>0</v>
      </c>
      <c r="BM60" s="20" t="n">
        <f aca="false">RC59</f>
        <v>0</v>
      </c>
      <c r="BN60" s="20" t="n">
        <f aca="false">BK60*MIN(Slot5_Cost,BM60)</f>
        <v>0</v>
      </c>
      <c r="BO60" s="20" t="n">
        <f aca="false">BK60*Slot5_SpendLike*MIN(Slot5_Cost-BN60,BG60)</f>
        <v>0</v>
      </c>
      <c r="BP60" s="20" t="n">
        <f aca="false">BN60+BO60</f>
        <v>0</v>
      </c>
      <c r="BQ60" s="20" t="n">
        <f aca="false">BG60-BO60+BK60*IF(Slot5_SpendLike=1,BM60-BN60,IF(Slot5_PotFree=1,BM60,0))</f>
        <v>0</v>
      </c>
      <c r="BR60" s="20" t="n">
        <f aca="false">BH60+BK60*Slot5_BufPot*BM60</f>
        <v>0</v>
      </c>
      <c r="BS60" s="20" t="n">
        <f aca="false">IF(AND(BK60=1,Slot5_IsMfree=1),IF(BP60&gt;=Slot5_Cost-1,0,MAX(0,BI60-BP60)),BI60)</f>
        <v>0</v>
      </c>
      <c r="BT60" s="20" t="n">
        <f aca="false">BK60*(Slot5_Cost-BP60)</f>
        <v>0</v>
      </c>
      <c r="BU60" s="20" t="n">
        <f aca="false">IF(AND(Slot6_On=1,D60=Slot6_Age),1,0)</f>
        <v>0</v>
      </c>
      <c r="BV60" s="20" t="n">
        <f aca="false">IF(AND(Slot6_On=1,Slot6_Age&gt;D60),1,0)</f>
        <v>0</v>
      </c>
      <c r="BW60" s="20" t="n">
        <f aca="false">RG59</f>
        <v>0</v>
      </c>
      <c r="BX60" s="20" t="n">
        <f aca="false">BU60*MIN(Slot6_Cost,BW60)</f>
        <v>0</v>
      </c>
      <c r="BY60" s="20" t="n">
        <f aca="false">BU60*Slot6_SpendLike*MIN(Slot6_Cost-BX60,BQ60)</f>
        <v>0</v>
      </c>
      <c r="BZ60" s="20" t="n">
        <f aca="false">BX60+BY60</f>
        <v>0</v>
      </c>
      <c r="CA60" s="20" t="n">
        <f aca="false">BQ60-BY60+BU60*IF(Slot6_SpendLike=1,BW60-BX60,IF(Slot6_PotFree=1,BW60,0))</f>
        <v>0</v>
      </c>
      <c r="CB60" s="20" t="n">
        <f aca="false">BR60+BU60*Slot6_BufPot*BW60</f>
        <v>0</v>
      </c>
      <c r="CC60" s="20" t="n">
        <f aca="false">IF(AND(BU60=1,Slot6_IsMfree=1),IF(BZ60&gt;=Slot6_Cost-1,0,MAX(0,BS60-BZ60)),BS60)</f>
        <v>0</v>
      </c>
      <c r="CD60" s="20" t="n">
        <f aca="false">BU60*(Slot6_Cost-BZ60)</f>
        <v>0</v>
      </c>
      <c r="CE60" s="20" t="n">
        <f aca="false">IF(AND(Slot7_On=1,D60=Slot7_Age),1,0)</f>
        <v>0</v>
      </c>
      <c r="CF60" s="20" t="n">
        <f aca="false">IF(AND(Slot7_On=1,Slot7_Age&gt;D60),1,0)</f>
        <v>0</v>
      </c>
      <c r="CG60" s="20" t="n">
        <f aca="false">RK59</f>
        <v>0</v>
      </c>
      <c r="CH60" s="20" t="n">
        <f aca="false">CE60*MIN(Slot7_Cost,CG60)</f>
        <v>0</v>
      </c>
      <c r="CI60" s="20" t="n">
        <f aca="false">CE60*Slot7_SpendLike*MIN(Slot7_Cost-CH60,CA60)</f>
        <v>0</v>
      </c>
      <c r="CJ60" s="20" t="n">
        <f aca="false">CH60+CI60</f>
        <v>0</v>
      </c>
      <c r="CK60" s="20" t="n">
        <f aca="false">CA60-CI60+CE60*IF(Slot7_SpendLike=1,CG60-CH60,IF(Slot7_PotFree=1,CG60,0))</f>
        <v>0</v>
      </c>
      <c r="CL60" s="20" t="n">
        <f aca="false">CB60+CE60*Slot7_BufPot*CG60</f>
        <v>0</v>
      </c>
      <c r="CM60" s="20" t="n">
        <f aca="false">IF(AND(CE60=1,Slot7_IsMfree=1),IF(CJ60&gt;=Slot7_Cost-1,0,MAX(0,CC60-CJ60)),CC60)</f>
        <v>0</v>
      </c>
      <c r="CN60" s="20" t="n">
        <f aca="false">CE60*(Slot7_Cost-CJ60)</f>
        <v>0</v>
      </c>
      <c r="CO60" s="20" t="n">
        <f aca="false">IF(AND(Slot8_On=1,D60=Slot8_Age),1,0)</f>
        <v>0</v>
      </c>
      <c r="CP60" s="20" t="n">
        <f aca="false">IF(AND(Slot8_On=1,Slot8_Age&gt;D60),1,0)</f>
        <v>0</v>
      </c>
      <c r="CQ60" s="20" t="n">
        <f aca="false">RO59</f>
        <v>0</v>
      </c>
      <c r="CR60" s="20" t="n">
        <f aca="false">CO60*MIN(Slot8_Cost,CQ60)</f>
        <v>0</v>
      </c>
      <c r="CS60" s="20" t="n">
        <f aca="false">CO60*Slot8_SpendLike*MIN(Slot8_Cost-CR60,CK60)</f>
        <v>0</v>
      </c>
      <c r="CT60" s="20" t="n">
        <f aca="false">CR60+CS60</f>
        <v>0</v>
      </c>
      <c r="CU60" s="20" t="n">
        <f aca="false">CK60-CS60+CO60*IF(Slot8_SpendLike=1,CQ60-CR60,IF(Slot8_PotFree=1,CQ60,0))</f>
        <v>0</v>
      </c>
      <c r="CV60" s="20" t="n">
        <f aca="false">CL60+CO60*Slot8_BufPot*CQ60</f>
        <v>0</v>
      </c>
      <c r="CW60" s="20" t="n">
        <f aca="false">IF(AND(CO60=1,Slot8_IsMfree=1),IF(CT60&gt;=Slot8_Cost-1,0,MAX(0,CM60-CT60)),CM60)</f>
        <v>0</v>
      </c>
      <c r="CX60" s="20" t="n">
        <f aca="false">CO60*(Slot8_Cost-CT60)</f>
        <v>0</v>
      </c>
      <c r="CY60" s="20" t="n">
        <f aca="false">IF(AND(Slot9_On=1,D60=Slot9_Age),1,0)</f>
        <v>0</v>
      </c>
      <c r="CZ60" s="20" t="n">
        <f aca="false">IF(AND(Slot9_On=1,Slot9_Age&gt;D60),1,0)</f>
        <v>0</v>
      </c>
      <c r="DA60" s="20" t="n">
        <f aca="false">RS59</f>
        <v>0</v>
      </c>
      <c r="DB60" s="20" t="n">
        <f aca="false">CY60*MIN(Slot9_Cost,DA60)</f>
        <v>0</v>
      </c>
      <c r="DC60" s="20" t="n">
        <f aca="false">CY60*Slot9_SpendLike*MIN(Slot9_Cost-DB60,CU60)</f>
        <v>0</v>
      </c>
      <c r="DD60" s="20" t="n">
        <f aca="false">DB60+DC60</f>
        <v>0</v>
      </c>
      <c r="DE60" s="20" t="n">
        <f aca="false">CU60-DC60+CY60*IF(Slot9_SpendLike=1,DA60-DB60,IF(Slot9_PotFree=1,DA60,0))</f>
        <v>0</v>
      </c>
      <c r="DF60" s="20" t="n">
        <f aca="false">CV60+CY60*Slot9_BufPot*DA60</f>
        <v>0</v>
      </c>
      <c r="DG60" s="20" t="n">
        <f aca="false">IF(AND(CY60=1,Slot9_IsMfree=1),IF(DD60&gt;=Slot9_Cost-1,0,MAX(0,CW60-DD60)),CW60)</f>
        <v>0</v>
      </c>
      <c r="DH60" s="20" t="n">
        <f aca="false">CY60*(Slot9_Cost-DD60)</f>
        <v>0</v>
      </c>
      <c r="DI60" s="20" t="n">
        <f aca="false">IF(AND(Slot10_On=1,D60=Slot10_Age),1,0)</f>
        <v>0</v>
      </c>
      <c r="DJ60" s="20" t="n">
        <f aca="false">IF(AND(Slot10_On=1,Slot10_Age&gt;D60),1,0)</f>
        <v>0</v>
      </c>
      <c r="DK60" s="20" t="n">
        <f aca="false">RW59</f>
        <v>0</v>
      </c>
      <c r="DL60" s="20" t="n">
        <f aca="false">DI60*MIN(Slot10_Cost,DK60)</f>
        <v>0</v>
      </c>
      <c r="DM60" s="20" t="n">
        <f aca="false">DI60*Slot10_SpendLike*MIN(Slot10_Cost-DL60,DE60)</f>
        <v>0</v>
      </c>
      <c r="DN60" s="20" t="n">
        <f aca="false">DL60+DM60</f>
        <v>0</v>
      </c>
      <c r="DO60" s="20" t="n">
        <f aca="false">DE60-DM60+DI60*IF(Slot10_SpendLike=1,DK60-DL60,IF(Slot10_PotFree=1,DK60,0))</f>
        <v>0</v>
      </c>
      <c r="DP60" s="20" t="n">
        <f aca="false">DF60+DI60*Slot10_BufPot*DK60</f>
        <v>0</v>
      </c>
      <c r="DQ60" s="20" t="n">
        <f aca="false">IF(AND(DI60=1,Slot10_IsMfree=1),IF(DN60&gt;=Slot10_Cost-1,0,MAX(0,DG60-DN60)),DG60)</f>
        <v>0</v>
      </c>
      <c r="DR60" s="20" t="n">
        <f aca="false">DI60*(Slot10_Cost-DN60)</f>
        <v>0</v>
      </c>
      <c r="DS60" s="20" t="n">
        <f aca="false">IF(AND(Slot11_On=1,D60=Slot11_Age),1,0)</f>
        <v>0</v>
      </c>
      <c r="DT60" s="20" t="n">
        <f aca="false">IF(AND(Slot11_On=1,Slot11_Age&gt;D60),1,0)</f>
        <v>0</v>
      </c>
      <c r="DU60" s="20" t="n">
        <f aca="false">SA59</f>
        <v>0</v>
      </c>
      <c r="DV60" s="20" t="n">
        <f aca="false">DS60*MIN(Slot11_Cost,DU60)</f>
        <v>0</v>
      </c>
      <c r="DW60" s="20" t="n">
        <f aca="false">DS60*Slot11_SpendLike*MIN(Slot11_Cost-DV60,DO60)</f>
        <v>0</v>
      </c>
      <c r="DX60" s="20" t="n">
        <f aca="false">DV60+DW60</f>
        <v>0</v>
      </c>
      <c r="DY60" s="20" t="n">
        <f aca="false">DO60-DW60+DS60*IF(Slot11_SpendLike=1,DU60-DV60,IF(Slot11_PotFree=1,DU60,0))</f>
        <v>0</v>
      </c>
      <c r="DZ60" s="20" t="n">
        <f aca="false">DP60+DS60*Slot11_BufPot*DU60</f>
        <v>0</v>
      </c>
      <c r="EA60" s="20" t="n">
        <f aca="false">IF(AND(DS60=1,Slot11_IsMfree=1),IF(DX60&gt;=Slot11_Cost-1,0,MAX(0,DQ60-DX60)),DQ60)</f>
        <v>0</v>
      </c>
      <c r="EB60" s="20" t="n">
        <f aca="false">DS60*(Slot11_Cost-DX60)</f>
        <v>0</v>
      </c>
      <c r="EC60" s="20" t="n">
        <f aca="false">IF(AND(Slot12_On=1,D60=Slot12_Age),1,0)</f>
        <v>0</v>
      </c>
      <c r="ED60" s="20" t="n">
        <f aca="false">IF(AND(Slot12_On=1,Slot12_Age&gt;D60),1,0)</f>
        <v>0</v>
      </c>
      <c r="EE60" s="20" t="n">
        <f aca="false">SE59</f>
        <v>0</v>
      </c>
      <c r="EF60" s="20" t="n">
        <f aca="false">EC60*MIN(Slot12_Cost,EE60)</f>
        <v>0</v>
      </c>
      <c r="EG60" s="20" t="n">
        <f aca="false">EC60*Slot12_SpendLike*MIN(Slot12_Cost-EF60,DY60)</f>
        <v>0</v>
      </c>
      <c r="EH60" s="20" t="n">
        <f aca="false">EF60+EG60</f>
        <v>0</v>
      </c>
      <c r="EI60" s="20" t="n">
        <f aca="false">DY60-EG60+EC60*IF(Slot12_SpendLike=1,EE60-EF60,IF(Slot12_PotFree=1,EE60,0))</f>
        <v>0</v>
      </c>
      <c r="EJ60" s="20" t="n">
        <f aca="false">DZ60+EC60*Slot12_BufPot*EE60</f>
        <v>0</v>
      </c>
      <c r="EK60" s="20" t="n">
        <f aca="false">IF(AND(EC60=1,Slot12_IsMfree=1),IF(EH60&gt;=Slot12_Cost-1,0,MAX(0,EA60-EH60)),EA60)</f>
        <v>0</v>
      </c>
      <c r="EL60" s="20" t="n">
        <f aca="false">EC60*(Slot12_Cost-EH60)</f>
        <v>0</v>
      </c>
      <c r="EM60" s="20" t="n">
        <f aca="false">IF(AND(Slot13_On=1,D60=Slot13_Age),1,0)</f>
        <v>0</v>
      </c>
      <c r="EN60" s="20" t="n">
        <f aca="false">IF(AND(Slot13_On=1,Slot13_Age&gt;D60),1,0)</f>
        <v>0</v>
      </c>
      <c r="EO60" s="20" t="n">
        <f aca="false">SI59</f>
        <v>0</v>
      </c>
      <c r="EP60" s="20" t="n">
        <f aca="false">EM60*MIN(Slot13_Cost,EO60)</f>
        <v>0</v>
      </c>
      <c r="EQ60" s="20" t="n">
        <f aca="false">EM60*Slot13_SpendLike*MIN(Slot13_Cost-EP60,EI60)</f>
        <v>0</v>
      </c>
      <c r="ER60" s="20" t="n">
        <f aca="false">EP60+EQ60</f>
        <v>0</v>
      </c>
      <c r="ES60" s="20" t="n">
        <f aca="false">EI60-EQ60+EM60*IF(Slot13_SpendLike=1,EO60-EP60,IF(Slot13_PotFree=1,EO60,0))</f>
        <v>0</v>
      </c>
      <c r="ET60" s="20" t="n">
        <f aca="false">EJ60+EM60*Slot13_BufPot*EO60</f>
        <v>0</v>
      </c>
      <c r="EU60" s="20" t="n">
        <f aca="false">IF(AND(EM60=1,Slot13_IsMfree=1),IF(ER60&gt;=Slot13_Cost-1,0,MAX(0,EK60-ER60)),EK60)</f>
        <v>0</v>
      </c>
      <c r="EV60" s="20" t="n">
        <f aca="false">EM60*(Slot13_Cost-ER60)</f>
        <v>0</v>
      </c>
      <c r="EW60" s="20" t="n">
        <f aca="false">IF(AND(Slot14_On=1,D60=Slot14_Age),1,0)</f>
        <v>0</v>
      </c>
      <c r="EX60" s="20" t="n">
        <f aca="false">IF(AND(Slot14_On=1,Slot14_Age&gt;D60),1,0)</f>
        <v>0</v>
      </c>
      <c r="EY60" s="20" t="n">
        <f aca="false">SM59</f>
        <v>0</v>
      </c>
      <c r="EZ60" s="20" t="n">
        <f aca="false">EW60*MIN(Slot14_Cost,EY60)</f>
        <v>0</v>
      </c>
      <c r="FA60" s="20" t="n">
        <f aca="false">EW60*Slot14_SpendLike*MIN(Slot14_Cost-EZ60,ES60)</f>
        <v>0</v>
      </c>
      <c r="FB60" s="20" t="n">
        <f aca="false">EZ60+FA60</f>
        <v>0</v>
      </c>
      <c r="FC60" s="20" t="n">
        <f aca="false">ES60-FA60+EW60*IF(Slot14_SpendLike=1,EY60-EZ60,IF(Slot14_PotFree=1,EY60,0))</f>
        <v>0</v>
      </c>
      <c r="FD60" s="20" t="n">
        <f aca="false">ET60+EW60*Slot14_BufPot*EY60</f>
        <v>0</v>
      </c>
      <c r="FE60" s="20" t="n">
        <f aca="false">IF(AND(EW60=1,Slot14_IsMfree=1),IF(FB60&gt;=Slot14_Cost-1,0,MAX(0,EU60-FB60)),EU60)</f>
        <v>0</v>
      </c>
      <c r="FF60" s="20" t="n">
        <f aca="false">EW60*(Slot14_Cost-FB60)</f>
        <v>0</v>
      </c>
      <c r="FG60" s="20" t="n">
        <f aca="false">IF(AND(Slot15_On=1,D60=Slot15_Age),1,0)</f>
        <v>0</v>
      </c>
      <c r="FH60" s="20" t="n">
        <f aca="false">IF(AND(Slot15_On=1,Slot15_Age&gt;D60),1,0)</f>
        <v>0</v>
      </c>
      <c r="FI60" s="20" t="n">
        <f aca="false">SQ59</f>
        <v>0</v>
      </c>
      <c r="FJ60" s="20" t="n">
        <f aca="false">FG60*MIN(Slot15_Cost,FI60)</f>
        <v>0</v>
      </c>
      <c r="FK60" s="20" t="n">
        <f aca="false">FG60*Slot15_SpendLike*MIN(Slot15_Cost-FJ60,FC60)</f>
        <v>0</v>
      </c>
      <c r="FL60" s="20" t="n">
        <f aca="false">FJ60+FK60</f>
        <v>0</v>
      </c>
      <c r="FM60" s="20" t="n">
        <f aca="false">FC60-FK60+FG60*IF(Slot15_SpendLike=1,FI60-FJ60,IF(Slot15_PotFree=1,FI60,0))</f>
        <v>0</v>
      </c>
      <c r="FN60" s="20" t="n">
        <f aca="false">FD60+FG60*Slot15_BufPot*FI60</f>
        <v>0</v>
      </c>
      <c r="FO60" s="20" t="n">
        <f aca="false">IF(AND(FG60=1,Slot15_IsMfree=1),IF(FL60&gt;=Slot15_Cost-1,0,MAX(0,FE60-FL60)),FE60)</f>
        <v>0</v>
      </c>
      <c r="FP60" s="20" t="n">
        <f aca="false">FG60*(Slot15_Cost-FL60)</f>
        <v>0</v>
      </c>
      <c r="FQ60" s="20" t="n">
        <f aca="false">IF(AND(Slot16_On=1,D60=Slot16_Age),1,0)</f>
        <v>0</v>
      </c>
      <c r="FR60" s="20" t="n">
        <f aca="false">IF(AND(Slot16_On=1,Slot16_Age&gt;D60),1,0)</f>
        <v>0</v>
      </c>
      <c r="FS60" s="20" t="n">
        <f aca="false">SU59</f>
        <v>0</v>
      </c>
      <c r="FT60" s="20" t="n">
        <f aca="false">FQ60*MIN(Slot16_Cost,FS60)</f>
        <v>0</v>
      </c>
      <c r="FU60" s="20" t="n">
        <f aca="false">FQ60*Slot16_SpendLike*MIN(Slot16_Cost-FT60,FM60)</f>
        <v>0</v>
      </c>
      <c r="FV60" s="20" t="n">
        <f aca="false">FT60+FU60</f>
        <v>0</v>
      </c>
      <c r="FW60" s="20" t="n">
        <f aca="false">FM60-FU60+FQ60*IF(Slot16_SpendLike=1,FS60-FT60,IF(Slot16_PotFree=1,FS60,0))</f>
        <v>0</v>
      </c>
      <c r="FX60" s="20" t="n">
        <f aca="false">FN60+FQ60*Slot16_BufPot*FS60</f>
        <v>0</v>
      </c>
      <c r="FY60" s="20" t="n">
        <f aca="false">IF(AND(FQ60=1,Slot16_IsMfree=1),IF(FV60&gt;=Slot16_Cost-1,0,MAX(0,FO60-FV60)),FO60)</f>
        <v>0</v>
      </c>
      <c r="FZ60" s="20" t="n">
        <f aca="false">FQ60*(Slot16_Cost-FV60)</f>
        <v>0</v>
      </c>
      <c r="GA60" s="20" t="n">
        <f aca="false">IF(AND(Slot17_On=1,D60=Slot17_Age),1,0)</f>
        <v>0</v>
      </c>
      <c r="GB60" s="20" t="n">
        <f aca="false">IF(AND(Slot17_On=1,Slot17_Age&gt;D60),1,0)</f>
        <v>0</v>
      </c>
      <c r="GC60" s="20" t="n">
        <f aca="false">SY59</f>
        <v>0</v>
      </c>
      <c r="GD60" s="20" t="n">
        <f aca="false">GA60*MIN(Slot17_Cost,GC60)</f>
        <v>0</v>
      </c>
      <c r="GE60" s="20" t="n">
        <f aca="false">GA60*Slot17_SpendLike*MIN(Slot17_Cost-GD60,FW60)</f>
        <v>0</v>
      </c>
      <c r="GF60" s="20" t="n">
        <f aca="false">GD60+GE60</f>
        <v>0</v>
      </c>
      <c r="GG60" s="20" t="n">
        <f aca="false">FW60-GE60+GA60*IF(Slot17_SpendLike=1,GC60-GD60,IF(Slot17_PotFree=1,GC60,0))</f>
        <v>0</v>
      </c>
      <c r="GH60" s="20" t="n">
        <f aca="false">FX60+GA60*Slot17_BufPot*GC60</f>
        <v>0</v>
      </c>
      <c r="GI60" s="20" t="n">
        <f aca="false">IF(AND(GA60=1,Slot17_IsMfree=1),IF(GF60&gt;=Slot17_Cost-1,0,MAX(0,FY60-GF60)),FY60)</f>
        <v>0</v>
      </c>
      <c r="GJ60" s="20" t="n">
        <f aca="false">GA60*(Slot17_Cost-GF60)</f>
        <v>0</v>
      </c>
      <c r="GK60" s="20" t="n">
        <f aca="false">IF(AND(Slot18_On=1,D60=Slot18_Age),1,0)</f>
        <v>0</v>
      </c>
      <c r="GL60" s="20" t="n">
        <f aca="false">IF(AND(Slot18_On=1,Slot18_Age&gt;D60),1,0)</f>
        <v>0</v>
      </c>
      <c r="GM60" s="20" t="n">
        <f aca="false">TC59</f>
        <v>0</v>
      </c>
      <c r="GN60" s="20" t="n">
        <f aca="false">GK60*MIN(Slot18_Cost,GM60)</f>
        <v>0</v>
      </c>
      <c r="GO60" s="20" t="n">
        <f aca="false">GK60*Slot18_SpendLike*MIN(Slot18_Cost-GN60,GG60)</f>
        <v>0</v>
      </c>
      <c r="GP60" s="20" t="n">
        <f aca="false">GN60+GO60</f>
        <v>0</v>
      </c>
      <c r="GQ60" s="20" t="n">
        <f aca="false">GG60-GO60+GK60*IF(Slot18_SpendLike=1,GM60-GN60,IF(Slot18_PotFree=1,GM60,0))</f>
        <v>0</v>
      </c>
      <c r="GR60" s="20" t="n">
        <f aca="false">GH60+GK60*Slot18_BufPot*GM60</f>
        <v>0</v>
      </c>
      <c r="GS60" s="20" t="n">
        <f aca="false">IF(AND(GK60=1,Slot18_IsMfree=1),IF(GP60&gt;=Slot18_Cost-1,0,MAX(0,GI60-GP60)),GI60)</f>
        <v>0</v>
      </c>
      <c r="GT60" s="20" t="n">
        <f aca="false">GK60*(Slot18_Cost-GP60)</f>
        <v>0</v>
      </c>
      <c r="GU60" s="20" t="n">
        <f aca="false">IF(AND(Slot19_On=1,D60=Slot19_Age),1,0)</f>
        <v>0</v>
      </c>
      <c r="GV60" s="20" t="n">
        <f aca="false">IF(AND(Slot19_On=1,Slot19_Age&gt;D60),1,0)</f>
        <v>0</v>
      </c>
      <c r="GW60" s="20" t="n">
        <f aca="false">TG59</f>
        <v>0</v>
      </c>
      <c r="GX60" s="20" t="n">
        <f aca="false">GU60*MIN(Slot19_Cost,GW60)</f>
        <v>0</v>
      </c>
      <c r="GY60" s="20" t="n">
        <f aca="false">GU60*Slot19_SpendLike*MIN(Slot19_Cost-GX60,GQ60)</f>
        <v>0</v>
      </c>
      <c r="GZ60" s="20" t="n">
        <f aca="false">GX60+GY60</f>
        <v>0</v>
      </c>
      <c r="HA60" s="20" t="n">
        <f aca="false">GQ60-GY60+GU60*IF(Slot19_SpendLike=1,GW60-GX60,IF(Slot19_PotFree=1,GW60,0))</f>
        <v>0</v>
      </c>
      <c r="HB60" s="20" t="n">
        <f aca="false">GR60+GU60*Slot19_BufPot*GW60</f>
        <v>0</v>
      </c>
      <c r="HC60" s="20" t="n">
        <f aca="false">IF(AND(GU60=1,Slot19_IsMfree=1),IF(GZ60&gt;=Slot19_Cost-1,0,MAX(0,GS60-GZ60)),GS60)</f>
        <v>0</v>
      </c>
      <c r="HD60" s="20" t="n">
        <f aca="false">GU60*(Slot19_Cost-GZ60)</f>
        <v>0</v>
      </c>
      <c r="HE60" s="20" t="n">
        <f aca="false">IF(AND(Slot20_On=1,D60=Slot20_Age),1,0)</f>
        <v>0</v>
      </c>
      <c r="HF60" s="20" t="n">
        <f aca="false">IF(AND(Slot20_On=1,Slot20_Age&gt;D60),1,0)</f>
        <v>0</v>
      </c>
      <c r="HG60" s="20" t="n">
        <f aca="false">TK59</f>
        <v>0</v>
      </c>
      <c r="HH60" s="20" t="n">
        <f aca="false">HE60*MIN(Slot20_Cost,HG60)</f>
        <v>0</v>
      </c>
      <c r="HI60" s="20" t="n">
        <f aca="false">HE60*Slot20_SpendLike*MIN(Slot20_Cost-HH60,HA60)</f>
        <v>0</v>
      </c>
      <c r="HJ60" s="20" t="n">
        <f aca="false">HH60+HI60</f>
        <v>0</v>
      </c>
      <c r="HK60" s="20" t="n">
        <f aca="false">HA60-HI60+HE60*IF(Slot20_SpendLike=1,HG60-HH60,IF(Slot20_PotFree=1,HG60,0))</f>
        <v>0</v>
      </c>
      <c r="HL60" s="20" t="n">
        <f aca="false">HB60+HE60*Slot20_BufPot*HG60</f>
        <v>0</v>
      </c>
      <c r="HM60" s="20" t="n">
        <f aca="false">IF(AND(HE60=1,Slot20_IsMfree=1),IF(HJ60&gt;=Slot20_Cost-1,0,MAX(0,HC60-HJ60)),HC60)</f>
        <v>0</v>
      </c>
      <c r="HN60" s="20" t="n">
        <f aca="false">HE60*(Slot20_Cost-HJ60)</f>
        <v>0</v>
      </c>
      <c r="HO60" s="20" t="n">
        <f aca="false">V60*Slot1_SpendLike*AA60+AG60*Slot2_SpendLike*AL60+AQ60*Slot3_SpendLike*AV60+BA60*Slot4_SpendLike*BF60+BK60*Slot5_SpendLike*BP60+BU60*Slot6_SpendLike*BZ60+CE60*Slot7_SpendLike*CJ60+CO60*Slot8_SpendLike*CT60+CY60*Slot9_SpendLike*DD60+DI60*Slot10_SpendLike*DN60+DS60*Slot11_SpendLike*DX60+EC60*Slot12_SpendLike*EH60+EM60*Slot13_SpendLike*ER60+EW60*Slot14_SpendLike*FB60+FG60*Slot15_SpendLike*FL60+FQ60*Slot16_SpendLike*FV60+GA60*Slot17_SpendLike*GF60+GK60*Slot18_SpendLike*GP60+GU60*Slot19_SpendLike*GZ60+HE60*Slot20_SpendLike*HJ60</f>
        <v>0</v>
      </c>
      <c r="HP60" s="20" t="n">
        <f aca="false">AE60+AP60+AZ60+BJ60+BT60+CD60+CN60+CX60+DH60+DR60+EB60+EL60+EV60+FF60+FP60+FZ60+GJ60+GT60+HD60+HN60</f>
        <v>0</v>
      </c>
      <c r="HQ60" s="20" t="n">
        <f aca="false">V60*Slot1_Cost+AG60*Slot2_Cost+AQ60*Slot3_Cost+BA60*Slot4_Cost+BK60*Slot5_Cost+BU60*Slot6_Cost+CE60*Slot7_Cost+CO60*Slot8_Cost+CY60*Slot9_Cost+DI60*Slot10_Cost+DS60*Slot11_Cost+EC60*Slot12_Cost+EM60*Slot13_Cost+EW60*Slot14_Cost+FG60*Slot15_Cost+FQ60*Slot16_Cost+GA60*Slot17_Cost+GK60*Slot18_Cost+GU60*Slot19_Cost+HE60*Slot20_Cost</f>
        <v>0</v>
      </c>
      <c r="HR60" s="20" t="n">
        <f aca="false">HM60</f>
        <v>0</v>
      </c>
      <c r="HS60" s="20" t="n">
        <f aca="false">H60-I60-S60</f>
        <v>-28026.0080750222</v>
      </c>
      <c r="HT60" s="20" t="n">
        <f aca="false">IF(B60=0,IF(AND(Has_q6=1,In_q6=4),PR_ShareVaries*(MAX(0,HS60)/12),MIN(IF(Has_q6=1,CHOOSE(In_q6+1,PR_SaveB1,PR_SaveB2,PR_SaveB3,PR_SaveB4,0),AS_NoAnswer),AS_SaveShare*(MAX(0,HS60)/12))),HT59)</f>
        <v>67.3316893520437</v>
      </c>
      <c r="HU60" s="20" t="n">
        <f aca="false">IF(HS60&gt;=0,1,0)</f>
        <v>0</v>
      </c>
      <c r="HV60" s="20" t="n">
        <f aca="false">MAX(0,HS60/12/F60)</f>
        <v>0</v>
      </c>
      <c r="HW60" s="20" t="n">
        <f aca="false">IF(AND(Has_q6=1,In_q6=4),PR_ShareVaries*(HV60),MIN(IF(Has_q6=1,CHOOSE(In_q6+1,PR_SaveB1,PR_SaveB2,PR_SaveB3,PR_SaveB4,0),AS_NoAnswer),AS_SaveShare*(HV60)))</f>
        <v>0</v>
      </c>
      <c r="HX60" s="20" t="n">
        <f aca="false">IF(Has_saveM=1,IF(In_saveUp="Yes",1,IF(In_saveUp="No",0,IF(In_saveM&gt;=HT60-0.5,1,0))),0)</f>
        <v>0</v>
      </c>
      <c r="HY60" s="20" t="n">
        <f aca="false">IF(Has_saveM=1,MIN(HV60,IF(HX60=1,MAX(In_saveM,HW60),MIN(In_saveM,HW60))),HW60)</f>
        <v>0</v>
      </c>
      <c r="HZ60" s="20" t="n">
        <f aca="false">IF(G60=1,HY60*12*F60,0)</f>
        <v>0</v>
      </c>
      <c r="IA60" s="20" t="n">
        <f aca="false">MAX(0,HZ60+IF(AND(WI_Retire=0,WI_M&lt;0,G60=1),WI_M*12*F60,0))</f>
        <v>0</v>
      </c>
      <c r="IB60" s="20" t="n">
        <f aca="false">Slot1_IsWG*W60+Slot2_IsWG*AH60+Slot3_IsWG*AR60+Slot4_IsWG*BB60+Slot5_IsWG*BL60+Slot6_IsWG*BV60+Slot7_IsWG*CF60+Slot8_IsWG*CP60+Slot9_IsWG*CZ60+Slot10_IsWG*DJ60+Slot11_IsWG*DT60+Slot12_IsWG*ED60+Slot13_IsWG*EN60+Slot14_IsWG*EX60+Slot15_IsWG*FH60+Slot16_IsWG*FR60+Slot17_IsWG*GB60+Slot18_IsWG*GL60+Slot19_IsWG*GV60+Slot20_IsWG*HF60</f>
        <v>0</v>
      </c>
      <c r="IC60" s="20" t="n">
        <f aca="false">IF(AND(WI_Retire=0,WI_M&gt;0,G60=1,IB60&gt;=1),WI_M*12*F60,0)</f>
        <v>0</v>
      </c>
      <c r="ID60" s="20" t="n">
        <f aca="false">IF(HU60=1,MIN(IA60,HS60),0)</f>
        <v>0</v>
      </c>
      <c r="IE60" s="20" t="n">
        <f aca="false">IF(HU60=1,MIN(IC60,HS60-ID60),0)</f>
        <v>0</v>
      </c>
      <c r="IF60" s="20" t="n">
        <f aca="false">IF(W60=1,IF(ABS((1+AS_Wage)/(1+Slot1_Rate)-1)&lt;0.000000000001,(Slot1_Age-D60)*(1+Slot1_Rate)^(Slot1_Age-D60),(1+Slot1_Rate)^(Slot1_Age-D60)*(1-((1+AS_Wage)/(1+Slot1_Rate))^(Slot1_Age-D60))/(1-(1+AS_Wage)/(1+Slot1_Rate))),1)</f>
        <v>1</v>
      </c>
      <c r="IG60" s="20" t="n">
        <f aca="false">IF(AND(HU60=1,IE60&gt;0,Slot1_IsWG=1,W60=1),MAX(0,(Slot1_Cost-X60*(1+Slot1_Rate)^(Slot1_Age-D60))/IF60),0)</f>
        <v>0</v>
      </c>
      <c r="IH60" s="20" t="n">
        <f aca="false">IF(AND(HU60=1,IE60&gt;0,Slot1_IsWG=1,W60=1),MIN(IE60,IG60),0)</f>
        <v>0</v>
      </c>
      <c r="II60" s="20" t="n">
        <f aca="false">X60+IH60</f>
        <v>0</v>
      </c>
      <c r="IJ60" s="20" t="n">
        <f aca="false">IF(W60=1,MAX(0,(Slot1_Cost-II60*(1+Slot1_Rate)^(Slot1_Age-D60))/IF60),0)</f>
        <v>0</v>
      </c>
      <c r="IK60" s="20" t="n">
        <f aca="false">IF(W60=1,MAX(0,(Slot1_Cost-X60*(1+Slot1_Rate)^(Slot1_Age-D60))/IF60),0)</f>
        <v>0</v>
      </c>
      <c r="IL60" s="20" t="n">
        <f aca="false">IF(AND(HU60=1,W60=1),MIN(ID60,IJ60),0)</f>
        <v>0</v>
      </c>
      <c r="IM60" s="20" t="n">
        <f aca="false">ID60-IL60</f>
        <v>0</v>
      </c>
      <c r="IN60" s="20" t="n">
        <f aca="false">IF(AH60=1,IF(ABS((1+AS_Wage)/(1+Slot2_Rate)-1)&lt;0.000000000001,(Slot2_Age-D60)*(1+Slot2_Rate)^(Slot2_Age-D60),(1+Slot2_Rate)^(Slot2_Age-D60)*(1-((1+AS_Wage)/(1+Slot2_Rate))^(Slot2_Age-D60))/(1-(1+AS_Wage)/(1+Slot2_Rate))),1)</f>
        <v>1</v>
      </c>
      <c r="IO60" s="20" t="n">
        <f aca="false">IF(AND(HU60=1,IE60&gt;0,Slot2_IsWG=1,AH60=1),MAX(0,(Slot2_Cost-AI60*(1+Slot2_Rate)^(Slot2_Age-D60))/IN60),0)</f>
        <v>0</v>
      </c>
      <c r="IP60" s="20" t="n">
        <f aca="false">IF(AND(HU60=1,IE60&gt;0,Slot2_IsWG=1,AH60=1),MIN(IE60,IO60),0)</f>
        <v>0</v>
      </c>
      <c r="IQ60" s="20" t="n">
        <f aca="false">AI60+IP60</f>
        <v>0</v>
      </c>
      <c r="IR60" s="20" t="n">
        <f aca="false">IF(AH60=1,MAX(0,(Slot2_Cost-IQ60*(1+Slot2_Rate)^(Slot2_Age-D60))/IN60),0)</f>
        <v>0</v>
      </c>
      <c r="IS60" s="20" t="n">
        <f aca="false">IF(AH60=1,MAX(0,(Slot2_Cost-AI60*(1+Slot2_Rate)^(Slot2_Age-D60))/IN60),0)</f>
        <v>0</v>
      </c>
      <c r="IT60" s="20" t="n">
        <f aca="false">IF(AND(HU60=1,AH60=1),MIN(IM60,IR60),0)</f>
        <v>0</v>
      </c>
      <c r="IU60" s="20" t="n">
        <f aca="false">IM60-IT60</f>
        <v>0</v>
      </c>
      <c r="IV60" s="20" t="n">
        <f aca="false">IF(AR60=1,IF(ABS((1+AS_Wage)/(1+Slot3_Rate)-1)&lt;0.000000000001,(Slot3_Age-D60)*(1+Slot3_Rate)^(Slot3_Age-D60),(1+Slot3_Rate)^(Slot3_Age-D60)*(1-((1+AS_Wage)/(1+Slot3_Rate))^(Slot3_Age-D60))/(1-(1+AS_Wage)/(1+Slot3_Rate))),1)</f>
        <v>1</v>
      </c>
      <c r="IW60" s="20" t="n">
        <f aca="false">IF(AND(HU60=1,IE60&gt;0,Slot3_IsWG=1,AR60=1),MAX(0,(Slot3_Cost-AS60*(1+Slot3_Rate)^(Slot3_Age-D60))/IV60),0)</f>
        <v>0</v>
      </c>
      <c r="IX60" s="20" t="n">
        <f aca="false">IF(AND(HU60=1,IE60&gt;0,Slot3_IsWG=1,AR60=1),MIN(IE60,IW60),0)</f>
        <v>0</v>
      </c>
      <c r="IY60" s="20" t="n">
        <f aca="false">AS60+IX60</f>
        <v>0</v>
      </c>
      <c r="IZ60" s="20" t="n">
        <f aca="false">IF(AR60=1,MAX(0,(Slot3_Cost-IY60*(1+Slot3_Rate)^(Slot3_Age-D60))/IV60),0)</f>
        <v>0</v>
      </c>
      <c r="JA60" s="20" t="n">
        <f aca="false">IF(AR60=1,MAX(0,(Slot3_Cost-AS60*(1+Slot3_Rate)^(Slot3_Age-D60))/IV60),0)</f>
        <v>0</v>
      </c>
      <c r="JB60" s="20" t="n">
        <f aca="false">IF(AND(HU60=1,AR60=1),MIN(IU60,IZ60),0)</f>
        <v>0</v>
      </c>
      <c r="JC60" s="20" t="n">
        <f aca="false">IU60-JB60</f>
        <v>0</v>
      </c>
      <c r="JD60" s="20" t="n">
        <f aca="false">IF(BB60=1,IF(ABS((1+AS_Wage)/(1+Slot4_Rate)-1)&lt;0.000000000001,(Slot4_Age-D60)*(1+Slot4_Rate)^(Slot4_Age-D60),(1+Slot4_Rate)^(Slot4_Age-D60)*(1-((1+AS_Wage)/(1+Slot4_Rate))^(Slot4_Age-D60))/(1-(1+AS_Wage)/(1+Slot4_Rate))),1)</f>
        <v>1</v>
      </c>
      <c r="JE60" s="20" t="n">
        <f aca="false">IF(AND(HU60=1,IE60&gt;0,Slot4_IsWG=1,BB60=1),MAX(0,(Slot4_Cost-BC60*(1+Slot4_Rate)^(Slot4_Age-D60))/JD60),0)</f>
        <v>0</v>
      </c>
      <c r="JF60" s="20" t="n">
        <f aca="false">IF(AND(HU60=1,IE60&gt;0,Slot4_IsWG=1,BB60=1),MIN(IE60,JE60),0)</f>
        <v>0</v>
      </c>
      <c r="JG60" s="20" t="n">
        <f aca="false">BC60+JF60</f>
        <v>0</v>
      </c>
      <c r="JH60" s="20" t="n">
        <f aca="false">IF(BB60=1,MAX(0,(Slot4_Cost-JG60*(1+Slot4_Rate)^(Slot4_Age-D60))/JD60),0)</f>
        <v>0</v>
      </c>
      <c r="JI60" s="20" t="n">
        <f aca="false">IF(BB60=1,MAX(0,(Slot4_Cost-BC60*(1+Slot4_Rate)^(Slot4_Age-D60))/JD60),0)</f>
        <v>0</v>
      </c>
      <c r="JJ60" s="20" t="n">
        <f aca="false">IF(AND(HU60=1,BB60=1),MIN(JC60,JH60),0)</f>
        <v>0</v>
      </c>
      <c r="JK60" s="20" t="n">
        <f aca="false">JC60-JJ60</f>
        <v>0</v>
      </c>
      <c r="JL60" s="20" t="n">
        <f aca="false">IF(BL60=1,IF(ABS((1+AS_Wage)/(1+Slot5_Rate)-1)&lt;0.000000000001,(Slot5_Age-D60)*(1+Slot5_Rate)^(Slot5_Age-D60),(1+Slot5_Rate)^(Slot5_Age-D60)*(1-((1+AS_Wage)/(1+Slot5_Rate))^(Slot5_Age-D60))/(1-(1+AS_Wage)/(1+Slot5_Rate))),1)</f>
        <v>1</v>
      </c>
      <c r="JM60" s="20" t="n">
        <f aca="false">IF(AND(HU60=1,IE60&gt;0,Slot5_IsWG=1,BL60=1),MAX(0,(Slot5_Cost-BM60*(1+Slot5_Rate)^(Slot5_Age-D60))/JL60),0)</f>
        <v>0</v>
      </c>
      <c r="JN60" s="20" t="n">
        <f aca="false">IF(AND(HU60=1,IE60&gt;0,Slot5_IsWG=1,BL60=1),MIN(IE60,JM60),0)</f>
        <v>0</v>
      </c>
      <c r="JO60" s="20" t="n">
        <f aca="false">BM60+JN60</f>
        <v>0</v>
      </c>
      <c r="JP60" s="20" t="n">
        <f aca="false">IF(BL60=1,MAX(0,(Slot5_Cost-JO60*(1+Slot5_Rate)^(Slot5_Age-D60))/JL60),0)</f>
        <v>0</v>
      </c>
      <c r="JQ60" s="20" t="n">
        <f aca="false">IF(BL60=1,MAX(0,(Slot5_Cost-BM60*(1+Slot5_Rate)^(Slot5_Age-D60))/JL60),0)</f>
        <v>0</v>
      </c>
      <c r="JR60" s="20" t="n">
        <f aca="false">IF(AND(HU60=1,BL60=1),MIN(JK60,JP60),0)</f>
        <v>0</v>
      </c>
      <c r="JS60" s="20" t="n">
        <f aca="false">JK60-JR60</f>
        <v>0</v>
      </c>
      <c r="JT60" s="20" t="n">
        <f aca="false">IF(BV60=1,IF(ABS((1+AS_Wage)/(1+Slot6_Rate)-1)&lt;0.000000000001,(Slot6_Age-D60)*(1+Slot6_Rate)^(Slot6_Age-D60),(1+Slot6_Rate)^(Slot6_Age-D60)*(1-((1+AS_Wage)/(1+Slot6_Rate))^(Slot6_Age-D60))/(1-(1+AS_Wage)/(1+Slot6_Rate))),1)</f>
        <v>1</v>
      </c>
      <c r="JU60" s="20" t="n">
        <f aca="false">IF(AND(HU60=1,IE60&gt;0,Slot6_IsWG=1,BV60=1),MAX(0,(Slot6_Cost-BW60*(1+Slot6_Rate)^(Slot6_Age-D60))/JT60),0)</f>
        <v>0</v>
      </c>
      <c r="JV60" s="20" t="n">
        <f aca="false">IF(AND(HU60=1,IE60&gt;0,Slot6_IsWG=1,BV60=1),MIN(IE60,JU60),0)</f>
        <v>0</v>
      </c>
      <c r="JW60" s="20" t="n">
        <f aca="false">BW60+JV60</f>
        <v>0</v>
      </c>
      <c r="JX60" s="20" t="n">
        <f aca="false">IF(BV60=1,MAX(0,(Slot6_Cost-JW60*(1+Slot6_Rate)^(Slot6_Age-D60))/JT60),0)</f>
        <v>0</v>
      </c>
      <c r="JY60" s="20" t="n">
        <f aca="false">IF(BV60=1,MAX(0,(Slot6_Cost-BW60*(1+Slot6_Rate)^(Slot6_Age-D60))/JT60),0)</f>
        <v>0</v>
      </c>
      <c r="JZ60" s="20" t="n">
        <f aca="false">IF(AND(HU60=1,BV60=1),MIN(JS60,JX60),0)</f>
        <v>0</v>
      </c>
      <c r="KA60" s="20" t="n">
        <f aca="false">JS60-JZ60</f>
        <v>0</v>
      </c>
      <c r="KB60" s="20" t="n">
        <f aca="false">IF(CF60=1,IF(ABS((1+AS_Wage)/(1+Slot7_Rate)-1)&lt;0.000000000001,(Slot7_Age-D60)*(1+Slot7_Rate)^(Slot7_Age-D60),(1+Slot7_Rate)^(Slot7_Age-D60)*(1-((1+AS_Wage)/(1+Slot7_Rate))^(Slot7_Age-D60))/(1-(1+AS_Wage)/(1+Slot7_Rate))),1)</f>
        <v>1</v>
      </c>
      <c r="KC60" s="20" t="n">
        <f aca="false">IF(AND(HU60=1,IE60&gt;0,Slot7_IsWG=1,CF60=1),MAX(0,(Slot7_Cost-CG60*(1+Slot7_Rate)^(Slot7_Age-D60))/KB60),0)</f>
        <v>0</v>
      </c>
      <c r="KD60" s="20" t="n">
        <f aca="false">IF(AND(HU60=1,IE60&gt;0,Slot7_IsWG=1,CF60=1),MIN(IE60,KC60),0)</f>
        <v>0</v>
      </c>
      <c r="KE60" s="20" t="n">
        <f aca="false">CG60+KD60</f>
        <v>0</v>
      </c>
      <c r="KF60" s="20" t="n">
        <f aca="false">IF(CF60=1,MAX(0,(Slot7_Cost-KE60*(1+Slot7_Rate)^(Slot7_Age-D60))/KB60),0)</f>
        <v>0</v>
      </c>
      <c r="KG60" s="20" t="n">
        <f aca="false">IF(CF60=1,MAX(0,(Slot7_Cost-CG60*(1+Slot7_Rate)^(Slot7_Age-D60))/KB60),0)</f>
        <v>0</v>
      </c>
      <c r="KH60" s="20" t="n">
        <f aca="false">IF(AND(HU60=1,CF60=1),MIN(KA60,KF60),0)</f>
        <v>0</v>
      </c>
      <c r="KI60" s="20" t="n">
        <f aca="false">KA60-KH60</f>
        <v>0</v>
      </c>
      <c r="KJ60" s="20" t="n">
        <f aca="false">IF(CP60=1,IF(ABS((1+AS_Wage)/(1+Slot8_Rate)-1)&lt;0.000000000001,(Slot8_Age-D60)*(1+Slot8_Rate)^(Slot8_Age-D60),(1+Slot8_Rate)^(Slot8_Age-D60)*(1-((1+AS_Wage)/(1+Slot8_Rate))^(Slot8_Age-D60))/(1-(1+AS_Wage)/(1+Slot8_Rate))),1)</f>
        <v>1</v>
      </c>
      <c r="KK60" s="20" t="n">
        <f aca="false">IF(AND(HU60=1,IE60&gt;0,Slot8_IsWG=1,CP60=1),MAX(0,(Slot8_Cost-CQ60*(1+Slot8_Rate)^(Slot8_Age-D60))/KJ60),0)</f>
        <v>0</v>
      </c>
      <c r="KL60" s="20" t="n">
        <f aca="false">IF(AND(HU60=1,IE60&gt;0,Slot8_IsWG=1,CP60=1),MIN(IE60,KK60),0)</f>
        <v>0</v>
      </c>
      <c r="KM60" s="20" t="n">
        <f aca="false">CQ60+KL60</f>
        <v>0</v>
      </c>
      <c r="KN60" s="20" t="n">
        <f aca="false">IF(CP60=1,MAX(0,(Slot8_Cost-KM60*(1+Slot8_Rate)^(Slot8_Age-D60))/KJ60),0)</f>
        <v>0</v>
      </c>
      <c r="KO60" s="20" t="n">
        <f aca="false">IF(CP60=1,MAX(0,(Slot8_Cost-CQ60*(1+Slot8_Rate)^(Slot8_Age-D60))/KJ60),0)</f>
        <v>0</v>
      </c>
      <c r="KP60" s="20" t="n">
        <f aca="false">IF(AND(HU60=1,CP60=1),MIN(KI60,KN60),0)</f>
        <v>0</v>
      </c>
      <c r="KQ60" s="20" t="n">
        <f aca="false">KI60-KP60</f>
        <v>0</v>
      </c>
      <c r="KR60" s="20" t="n">
        <f aca="false">IF(CZ60=1,IF(ABS((1+AS_Wage)/(1+Slot9_Rate)-1)&lt;0.000000000001,(Slot9_Age-D60)*(1+Slot9_Rate)^(Slot9_Age-D60),(1+Slot9_Rate)^(Slot9_Age-D60)*(1-((1+AS_Wage)/(1+Slot9_Rate))^(Slot9_Age-D60))/(1-(1+AS_Wage)/(1+Slot9_Rate))),1)</f>
        <v>1</v>
      </c>
      <c r="KS60" s="20" t="n">
        <f aca="false">IF(AND(HU60=1,IE60&gt;0,Slot9_IsWG=1,CZ60=1),MAX(0,(Slot9_Cost-DA60*(1+Slot9_Rate)^(Slot9_Age-D60))/KR60),0)</f>
        <v>0</v>
      </c>
      <c r="KT60" s="20" t="n">
        <f aca="false">IF(AND(HU60=1,IE60&gt;0,Slot9_IsWG=1,CZ60=1),MIN(IE60,KS60),0)</f>
        <v>0</v>
      </c>
      <c r="KU60" s="20" t="n">
        <f aca="false">DA60+KT60</f>
        <v>0</v>
      </c>
      <c r="KV60" s="20" t="n">
        <f aca="false">IF(CZ60=1,MAX(0,(Slot9_Cost-KU60*(1+Slot9_Rate)^(Slot9_Age-D60))/KR60),0)</f>
        <v>0</v>
      </c>
      <c r="KW60" s="20" t="n">
        <f aca="false">IF(CZ60=1,MAX(0,(Slot9_Cost-DA60*(1+Slot9_Rate)^(Slot9_Age-D60))/KR60),0)</f>
        <v>0</v>
      </c>
      <c r="KX60" s="20" t="n">
        <f aca="false">IF(AND(HU60=1,CZ60=1),MIN(KQ60,KV60),0)</f>
        <v>0</v>
      </c>
      <c r="KY60" s="20" t="n">
        <f aca="false">KQ60-KX60</f>
        <v>0</v>
      </c>
      <c r="KZ60" s="20" t="n">
        <f aca="false">IF(DJ60=1,IF(ABS((1+AS_Wage)/(1+Slot10_Rate)-1)&lt;0.000000000001,(Slot10_Age-D60)*(1+Slot10_Rate)^(Slot10_Age-D60),(1+Slot10_Rate)^(Slot10_Age-D60)*(1-((1+AS_Wage)/(1+Slot10_Rate))^(Slot10_Age-D60))/(1-(1+AS_Wage)/(1+Slot10_Rate))),1)</f>
        <v>1</v>
      </c>
      <c r="LA60" s="20" t="n">
        <f aca="false">IF(AND(HU60=1,IE60&gt;0,Slot10_IsWG=1,DJ60=1),MAX(0,(Slot10_Cost-DK60*(1+Slot10_Rate)^(Slot10_Age-D60))/KZ60),0)</f>
        <v>0</v>
      </c>
      <c r="LB60" s="20" t="n">
        <f aca="false">IF(AND(HU60=1,IE60&gt;0,Slot10_IsWG=1,DJ60=1),MIN(IE60,LA60),0)</f>
        <v>0</v>
      </c>
      <c r="LC60" s="20" t="n">
        <f aca="false">DK60+LB60</f>
        <v>0</v>
      </c>
      <c r="LD60" s="20" t="n">
        <f aca="false">IF(DJ60=1,MAX(0,(Slot10_Cost-LC60*(1+Slot10_Rate)^(Slot10_Age-D60))/KZ60),0)</f>
        <v>0</v>
      </c>
      <c r="LE60" s="20" t="n">
        <f aca="false">IF(DJ60=1,MAX(0,(Slot10_Cost-DK60*(1+Slot10_Rate)^(Slot10_Age-D60))/KZ60),0)</f>
        <v>0</v>
      </c>
      <c r="LF60" s="20" t="n">
        <f aca="false">IF(AND(HU60=1,DJ60=1),MIN(KY60,LD60),0)</f>
        <v>0</v>
      </c>
      <c r="LG60" s="20" t="n">
        <f aca="false">KY60-LF60</f>
        <v>0</v>
      </c>
      <c r="LH60" s="20" t="n">
        <f aca="false">IF(DT60=1,IF(ABS((1+AS_Wage)/(1+Slot11_Rate)-1)&lt;0.000000000001,(Slot11_Age-D60)*(1+Slot11_Rate)^(Slot11_Age-D60),(1+Slot11_Rate)^(Slot11_Age-D60)*(1-((1+AS_Wage)/(1+Slot11_Rate))^(Slot11_Age-D60))/(1-(1+AS_Wage)/(1+Slot11_Rate))),1)</f>
        <v>1</v>
      </c>
      <c r="LI60" s="20" t="n">
        <f aca="false">IF(AND(HU60=1,IE60&gt;0,Slot11_IsWG=1,DT60=1),MAX(0,(Slot11_Cost-DU60*(1+Slot11_Rate)^(Slot11_Age-D60))/LH60),0)</f>
        <v>0</v>
      </c>
      <c r="LJ60" s="20" t="n">
        <f aca="false">IF(AND(HU60=1,IE60&gt;0,Slot11_IsWG=1,DT60=1),MIN(IE60,LI60),0)</f>
        <v>0</v>
      </c>
      <c r="LK60" s="20" t="n">
        <f aca="false">DU60+LJ60</f>
        <v>0</v>
      </c>
      <c r="LL60" s="20" t="n">
        <f aca="false">IF(DT60=1,MAX(0,(Slot11_Cost-LK60*(1+Slot11_Rate)^(Slot11_Age-D60))/LH60),0)</f>
        <v>0</v>
      </c>
      <c r="LM60" s="20" t="n">
        <f aca="false">IF(DT60=1,MAX(0,(Slot11_Cost-DU60*(1+Slot11_Rate)^(Slot11_Age-D60))/LH60),0)</f>
        <v>0</v>
      </c>
      <c r="LN60" s="20" t="n">
        <f aca="false">IF(AND(HU60=1,DT60=1),MIN(LG60,LL60),0)</f>
        <v>0</v>
      </c>
      <c r="LO60" s="20" t="n">
        <f aca="false">LG60-LN60</f>
        <v>0</v>
      </c>
      <c r="LP60" s="20" t="n">
        <f aca="false">IF(ED60=1,IF(ABS((1+AS_Wage)/(1+Slot12_Rate)-1)&lt;0.000000000001,(Slot12_Age-D60)*(1+Slot12_Rate)^(Slot12_Age-D60),(1+Slot12_Rate)^(Slot12_Age-D60)*(1-((1+AS_Wage)/(1+Slot12_Rate))^(Slot12_Age-D60))/(1-(1+AS_Wage)/(1+Slot12_Rate))),1)</f>
        <v>1</v>
      </c>
      <c r="LQ60" s="20" t="n">
        <f aca="false">IF(AND(HU60=1,IE60&gt;0,Slot12_IsWG=1,ED60=1),MAX(0,(Slot12_Cost-EE60*(1+Slot12_Rate)^(Slot12_Age-D60))/LP60),0)</f>
        <v>0</v>
      </c>
      <c r="LR60" s="20" t="n">
        <f aca="false">IF(AND(HU60=1,IE60&gt;0,Slot12_IsWG=1,ED60=1),MIN(IE60,LQ60),0)</f>
        <v>0</v>
      </c>
      <c r="LS60" s="20" t="n">
        <f aca="false">EE60+LR60</f>
        <v>0</v>
      </c>
      <c r="LT60" s="20" t="n">
        <f aca="false">IF(ED60=1,MAX(0,(Slot12_Cost-LS60*(1+Slot12_Rate)^(Slot12_Age-D60))/LP60),0)</f>
        <v>0</v>
      </c>
      <c r="LU60" s="20" t="n">
        <f aca="false">IF(ED60=1,MAX(0,(Slot12_Cost-EE60*(1+Slot12_Rate)^(Slot12_Age-D60))/LP60),0)</f>
        <v>0</v>
      </c>
      <c r="LV60" s="20" t="n">
        <f aca="false">IF(AND(HU60=1,ED60=1),MIN(LO60,LT60),0)</f>
        <v>0</v>
      </c>
      <c r="LW60" s="20" t="n">
        <f aca="false">LO60-LV60</f>
        <v>0</v>
      </c>
      <c r="LX60" s="20" t="n">
        <f aca="false">IF(EN60=1,IF(ABS((1+AS_Wage)/(1+Slot13_Rate)-1)&lt;0.000000000001,(Slot13_Age-D60)*(1+Slot13_Rate)^(Slot13_Age-D60),(1+Slot13_Rate)^(Slot13_Age-D60)*(1-((1+AS_Wage)/(1+Slot13_Rate))^(Slot13_Age-D60))/(1-(1+AS_Wage)/(1+Slot13_Rate))),1)</f>
        <v>1</v>
      </c>
      <c r="LY60" s="20" t="n">
        <f aca="false">IF(AND(HU60=1,IE60&gt;0,Slot13_IsWG=1,EN60=1),MAX(0,(Slot13_Cost-EO60*(1+Slot13_Rate)^(Slot13_Age-D60))/LX60),0)</f>
        <v>0</v>
      </c>
      <c r="LZ60" s="20" t="n">
        <f aca="false">IF(AND(HU60=1,IE60&gt;0,Slot13_IsWG=1,EN60=1),MIN(IE60,LY60),0)</f>
        <v>0</v>
      </c>
      <c r="MA60" s="20" t="n">
        <f aca="false">EO60+LZ60</f>
        <v>0</v>
      </c>
      <c r="MB60" s="20" t="n">
        <f aca="false">IF(EN60=1,MAX(0,(Slot13_Cost-MA60*(1+Slot13_Rate)^(Slot13_Age-D60))/LX60),0)</f>
        <v>0</v>
      </c>
      <c r="MC60" s="20" t="n">
        <f aca="false">IF(EN60=1,MAX(0,(Slot13_Cost-EO60*(1+Slot13_Rate)^(Slot13_Age-D60))/LX60),0)</f>
        <v>0</v>
      </c>
      <c r="MD60" s="20" t="n">
        <f aca="false">IF(AND(HU60=1,EN60=1),MIN(LW60,MB60),0)</f>
        <v>0</v>
      </c>
      <c r="ME60" s="20" t="n">
        <f aca="false">LW60-MD60</f>
        <v>0</v>
      </c>
      <c r="MF60" s="20" t="n">
        <f aca="false">IF(EX60=1,IF(ABS((1+AS_Wage)/(1+Slot14_Rate)-1)&lt;0.000000000001,(Slot14_Age-D60)*(1+Slot14_Rate)^(Slot14_Age-D60),(1+Slot14_Rate)^(Slot14_Age-D60)*(1-((1+AS_Wage)/(1+Slot14_Rate))^(Slot14_Age-D60))/(1-(1+AS_Wage)/(1+Slot14_Rate))),1)</f>
        <v>1</v>
      </c>
      <c r="MG60" s="20" t="n">
        <f aca="false">IF(AND(HU60=1,IE60&gt;0,Slot14_IsWG=1,EX60=1),MAX(0,(Slot14_Cost-EY60*(1+Slot14_Rate)^(Slot14_Age-D60))/MF60),0)</f>
        <v>0</v>
      </c>
      <c r="MH60" s="20" t="n">
        <f aca="false">IF(AND(HU60=1,IE60&gt;0,Slot14_IsWG=1,EX60=1),MIN(IE60,MG60),0)</f>
        <v>0</v>
      </c>
      <c r="MI60" s="20" t="n">
        <f aca="false">EY60+MH60</f>
        <v>0</v>
      </c>
      <c r="MJ60" s="20" t="n">
        <f aca="false">IF(EX60=1,MAX(0,(Slot14_Cost-MI60*(1+Slot14_Rate)^(Slot14_Age-D60))/MF60),0)</f>
        <v>0</v>
      </c>
      <c r="MK60" s="20" t="n">
        <f aca="false">IF(EX60=1,MAX(0,(Slot14_Cost-EY60*(1+Slot14_Rate)^(Slot14_Age-D60))/MF60),0)</f>
        <v>0</v>
      </c>
      <c r="ML60" s="20" t="n">
        <f aca="false">IF(AND(HU60=1,EX60=1),MIN(ME60,MJ60),0)</f>
        <v>0</v>
      </c>
      <c r="MM60" s="20" t="n">
        <f aca="false">ME60-ML60</f>
        <v>0</v>
      </c>
      <c r="MN60" s="20" t="n">
        <f aca="false">IF(FH60=1,IF(ABS((1+AS_Wage)/(1+Slot15_Rate)-1)&lt;0.000000000001,(Slot15_Age-D60)*(1+Slot15_Rate)^(Slot15_Age-D60),(1+Slot15_Rate)^(Slot15_Age-D60)*(1-((1+AS_Wage)/(1+Slot15_Rate))^(Slot15_Age-D60))/(1-(1+AS_Wage)/(1+Slot15_Rate))),1)</f>
        <v>1</v>
      </c>
      <c r="MO60" s="20" t="n">
        <f aca="false">IF(AND(HU60=1,IE60&gt;0,Slot15_IsWG=1,FH60=1),MAX(0,(Slot15_Cost-FI60*(1+Slot15_Rate)^(Slot15_Age-D60))/MN60),0)</f>
        <v>0</v>
      </c>
      <c r="MP60" s="20" t="n">
        <f aca="false">IF(AND(HU60=1,IE60&gt;0,Slot15_IsWG=1,FH60=1),MIN(IE60,MO60),0)</f>
        <v>0</v>
      </c>
      <c r="MQ60" s="20" t="n">
        <f aca="false">FI60+MP60</f>
        <v>0</v>
      </c>
      <c r="MR60" s="20" t="n">
        <f aca="false">IF(FH60=1,MAX(0,(Slot15_Cost-MQ60*(1+Slot15_Rate)^(Slot15_Age-D60))/MN60),0)</f>
        <v>0</v>
      </c>
      <c r="MS60" s="20" t="n">
        <f aca="false">IF(FH60=1,MAX(0,(Slot15_Cost-FI60*(1+Slot15_Rate)^(Slot15_Age-D60))/MN60),0)</f>
        <v>0</v>
      </c>
      <c r="MT60" s="20" t="n">
        <f aca="false">IF(AND(HU60=1,FH60=1),MIN(MM60,MR60),0)</f>
        <v>0</v>
      </c>
      <c r="MU60" s="20" t="n">
        <f aca="false">MM60-MT60</f>
        <v>0</v>
      </c>
      <c r="MV60" s="20" t="n">
        <f aca="false">IF(FR60=1,IF(ABS((1+AS_Wage)/(1+Slot16_Rate)-1)&lt;0.000000000001,(Slot16_Age-D60)*(1+Slot16_Rate)^(Slot16_Age-D60),(1+Slot16_Rate)^(Slot16_Age-D60)*(1-((1+AS_Wage)/(1+Slot16_Rate))^(Slot16_Age-D60))/(1-(1+AS_Wage)/(1+Slot16_Rate))),1)</f>
        <v>1</v>
      </c>
      <c r="MW60" s="20" t="n">
        <f aca="false">IF(AND(HU60=1,IE60&gt;0,Slot16_IsWG=1,FR60=1),MAX(0,(Slot16_Cost-FS60*(1+Slot16_Rate)^(Slot16_Age-D60))/MV60),0)</f>
        <v>0</v>
      </c>
      <c r="MX60" s="20" t="n">
        <f aca="false">IF(AND(HU60=1,IE60&gt;0,Slot16_IsWG=1,FR60=1),MIN(IE60,MW60),0)</f>
        <v>0</v>
      </c>
      <c r="MY60" s="20" t="n">
        <f aca="false">FS60+MX60</f>
        <v>0</v>
      </c>
      <c r="MZ60" s="20" t="n">
        <f aca="false">IF(FR60=1,MAX(0,(Slot16_Cost-MY60*(1+Slot16_Rate)^(Slot16_Age-D60))/MV60),0)</f>
        <v>0</v>
      </c>
      <c r="NA60" s="20" t="n">
        <f aca="false">IF(FR60=1,MAX(0,(Slot16_Cost-FS60*(1+Slot16_Rate)^(Slot16_Age-D60))/MV60),0)</f>
        <v>0</v>
      </c>
      <c r="NB60" s="20" t="n">
        <f aca="false">IF(AND(HU60=1,FR60=1),MIN(MU60,MZ60),0)</f>
        <v>0</v>
      </c>
      <c r="NC60" s="20" t="n">
        <f aca="false">MU60-NB60</f>
        <v>0</v>
      </c>
      <c r="ND60" s="20" t="n">
        <f aca="false">IF(GB60=1,IF(ABS((1+AS_Wage)/(1+Slot17_Rate)-1)&lt;0.000000000001,(Slot17_Age-D60)*(1+Slot17_Rate)^(Slot17_Age-D60),(1+Slot17_Rate)^(Slot17_Age-D60)*(1-((1+AS_Wage)/(1+Slot17_Rate))^(Slot17_Age-D60))/(1-(1+AS_Wage)/(1+Slot17_Rate))),1)</f>
        <v>1</v>
      </c>
      <c r="NE60" s="20" t="n">
        <f aca="false">IF(AND(HU60=1,IE60&gt;0,Slot17_IsWG=1,GB60=1),MAX(0,(Slot17_Cost-GC60*(1+Slot17_Rate)^(Slot17_Age-D60))/ND60),0)</f>
        <v>0</v>
      </c>
      <c r="NF60" s="20" t="n">
        <f aca="false">IF(AND(HU60=1,IE60&gt;0,Slot17_IsWG=1,GB60=1),MIN(IE60,NE60),0)</f>
        <v>0</v>
      </c>
      <c r="NG60" s="20" t="n">
        <f aca="false">GC60+NF60</f>
        <v>0</v>
      </c>
      <c r="NH60" s="20" t="n">
        <f aca="false">IF(GB60=1,MAX(0,(Slot17_Cost-NG60*(1+Slot17_Rate)^(Slot17_Age-D60))/ND60),0)</f>
        <v>0</v>
      </c>
      <c r="NI60" s="20" t="n">
        <f aca="false">IF(GB60=1,MAX(0,(Slot17_Cost-GC60*(1+Slot17_Rate)^(Slot17_Age-D60))/ND60),0)</f>
        <v>0</v>
      </c>
      <c r="NJ60" s="20" t="n">
        <f aca="false">IF(AND(HU60=1,GB60=1),MIN(NC60,NH60),0)</f>
        <v>0</v>
      </c>
      <c r="NK60" s="20" t="n">
        <f aca="false">NC60-NJ60</f>
        <v>0</v>
      </c>
      <c r="NL60" s="20" t="n">
        <f aca="false">IF(GL60=1,IF(ABS((1+AS_Wage)/(1+Slot18_Rate)-1)&lt;0.000000000001,(Slot18_Age-D60)*(1+Slot18_Rate)^(Slot18_Age-D60),(1+Slot18_Rate)^(Slot18_Age-D60)*(1-((1+AS_Wage)/(1+Slot18_Rate))^(Slot18_Age-D60))/(1-(1+AS_Wage)/(1+Slot18_Rate))),1)</f>
        <v>1</v>
      </c>
      <c r="NM60" s="20" t="n">
        <f aca="false">IF(AND(HU60=1,IE60&gt;0,Slot18_IsWG=1,GL60=1),MAX(0,(Slot18_Cost-GM60*(1+Slot18_Rate)^(Slot18_Age-D60))/NL60),0)</f>
        <v>0</v>
      </c>
      <c r="NN60" s="20" t="n">
        <f aca="false">IF(AND(HU60=1,IE60&gt;0,Slot18_IsWG=1,GL60=1),MIN(IE60,NM60),0)</f>
        <v>0</v>
      </c>
      <c r="NO60" s="20" t="n">
        <f aca="false">GM60+NN60</f>
        <v>0</v>
      </c>
      <c r="NP60" s="20" t="n">
        <f aca="false">IF(GL60=1,MAX(0,(Slot18_Cost-NO60*(1+Slot18_Rate)^(Slot18_Age-D60))/NL60),0)</f>
        <v>0</v>
      </c>
      <c r="NQ60" s="20" t="n">
        <f aca="false">IF(GL60=1,MAX(0,(Slot18_Cost-GM60*(1+Slot18_Rate)^(Slot18_Age-D60))/NL60),0)</f>
        <v>0</v>
      </c>
      <c r="NR60" s="20" t="n">
        <f aca="false">IF(AND(HU60=1,GL60=1),MIN(NK60,NP60),0)</f>
        <v>0</v>
      </c>
      <c r="NS60" s="20" t="n">
        <f aca="false">NK60-NR60</f>
        <v>0</v>
      </c>
      <c r="NT60" s="20" t="n">
        <f aca="false">IF(GV60=1,IF(ABS((1+AS_Wage)/(1+Slot19_Rate)-1)&lt;0.000000000001,(Slot19_Age-D60)*(1+Slot19_Rate)^(Slot19_Age-D60),(1+Slot19_Rate)^(Slot19_Age-D60)*(1-((1+AS_Wage)/(1+Slot19_Rate))^(Slot19_Age-D60))/(1-(1+AS_Wage)/(1+Slot19_Rate))),1)</f>
        <v>1</v>
      </c>
      <c r="NU60" s="20" t="n">
        <f aca="false">IF(AND(HU60=1,IE60&gt;0,Slot19_IsWG=1,GV60=1),MAX(0,(Slot19_Cost-GW60*(1+Slot19_Rate)^(Slot19_Age-D60))/NT60),0)</f>
        <v>0</v>
      </c>
      <c r="NV60" s="20" t="n">
        <f aca="false">IF(AND(HU60=1,IE60&gt;0,Slot19_IsWG=1,GV60=1),MIN(IE60,NU60),0)</f>
        <v>0</v>
      </c>
      <c r="NW60" s="20" t="n">
        <f aca="false">GW60+NV60</f>
        <v>0</v>
      </c>
      <c r="NX60" s="20" t="n">
        <f aca="false">IF(GV60=1,MAX(0,(Slot19_Cost-NW60*(1+Slot19_Rate)^(Slot19_Age-D60))/NT60),0)</f>
        <v>0</v>
      </c>
      <c r="NY60" s="20" t="n">
        <f aca="false">IF(GV60=1,MAX(0,(Slot19_Cost-GW60*(1+Slot19_Rate)^(Slot19_Age-D60))/NT60),0)</f>
        <v>0</v>
      </c>
      <c r="NZ60" s="20" t="n">
        <f aca="false">IF(AND(HU60=1,GV60=1),MIN(NS60,NX60),0)</f>
        <v>0</v>
      </c>
      <c r="OA60" s="20" t="n">
        <f aca="false">NS60-NZ60</f>
        <v>0</v>
      </c>
      <c r="OB60" s="20" t="n">
        <f aca="false">IF(HF60=1,IF(ABS((1+AS_Wage)/(1+Slot20_Rate)-1)&lt;0.000000000001,(Slot20_Age-D60)*(1+Slot20_Rate)^(Slot20_Age-D60),(1+Slot20_Rate)^(Slot20_Age-D60)*(1-((1+AS_Wage)/(1+Slot20_Rate))^(Slot20_Age-D60))/(1-(1+AS_Wage)/(1+Slot20_Rate))),1)</f>
        <v>1</v>
      </c>
      <c r="OC60" s="20" t="n">
        <f aca="false">IF(AND(HU60=1,IE60&gt;0,Slot20_IsWG=1,HF60=1),MAX(0,(Slot20_Cost-HG60*(1+Slot20_Rate)^(Slot20_Age-D60))/OB60),0)</f>
        <v>0</v>
      </c>
      <c r="OD60" s="20" t="n">
        <f aca="false">IF(AND(HU60=1,IE60&gt;0,Slot20_IsWG=1,HF60=1),MIN(IE60,OC60),0)</f>
        <v>0</v>
      </c>
      <c r="OE60" s="20" t="n">
        <f aca="false">HG60+OD60</f>
        <v>0</v>
      </c>
      <c r="OF60" s="20" t="n">
        <f aca="false">IF(HF60=1,MAX(0,(Slot20_Cost-OE60*(1+Slot20_Rate)^(Slot20_Age-D60))/OB60),0)</f>
        <v>0</v>
      </c>
      <c r="OG60" s="20" t="n">
        <f aca="false">IF(HF60=1,MAX(0,(Slot20_Cost-HG60*(1+Slot20_Rate)^(Slot20_Age-D60))/OB60),0)</f>
        <v>0</v>
      </c>
      <c r="OH60" s="20" t="n">
        <f aca="false">IF(AND(HU60=1,HF60=1),MIN(OA60,OF60),0)</f>
        <v>0</v>
      </c>
      <c r="OI60" s="20" t="n">
        <f aca="false">OA60-OH60</f>
        <v>0</v>
      </c>
      <c r="OJ60" s="20" t="n">
        <f aca="false">IE60-(IH60+IP60+IX60+JF60+JN60+JV60+KD60+KL60+KT60+LB60+LJ60+LR60+LZ60+MH60+MP60+MX60+NF60+NN60+NV60+OD60)</f>
        <v>0</v>
      </c>
      <c r="OK60" s="20" t="n">
        <f aca="false">IF(HU60=1,HS60-ID60-IE60,0)</f>
        <v>0</v>
      </c>
      <c r="OL60" s="20" t="n">
        <f aca="false">IF(HU60=0,-HS60,0)</f>
        <v>28026.0080750222</v>
      </c>
      <c r="OM60" s="20" t="n">
        <f aca="false">MIN(OL60,HK60)</f>
        <v>0</v>
      </c>
      <c r="ON60" s="20" t="n">
        <f aca="false">OL60-OM60</f>
        <v>28026.0080750222</v>
      </c>
      <c r="OO60" s="20" t="n">
        <f aca="false">MIN(ON60,HL60)</f>
        <v>0</v>
      </c>
      <c r="OP60" s="20" t="n">
        <f aca="false">ON60-OO60</f>
        <v>28026.0080750222</v>
      </c>
      <c r="OQ60" s="20" t="n">
        <f aca="false">IF(AND(HU60=0,HF60=1,OP60&gt;0),MIN(OP60,HG60),0)</f>
        <v>0</v>
      </c>
      <c r="OR60" s="20" t="n">
        <f aca="false">OP60-OQ60</f>
        <v>28026.0080750222</v>
      </c>
      <c r="OS60" s="20" t="n">
        <f aca="false">IF(AND(HU60=0,GV60=1,OR60&gt;0),MIN(OR60,GW60),0)</f>
        <v>0</v>
      </c>
      <c r="OT60" s="20" t="n">
        <f aca="false">OR60-OS60</f>
        <v>28026.0080750222</v>
      </c>
      <c r="OU60" s="20" t="n">
        <f aca="false">IF(AND(HU60=0,GL60=1,OT60&gt;0),MIN(OT60,GM60),0)</f>
        <v>0</v>
      </c>
      <c r="OV60" s="20" t="n">
        <f aca="false">OT60-OU60</f>
        <v>28026.0080750222</v>
      </c>
      <c r="OW60" s="20" t="n">
        <f aca="false">IF(AND(HU60=0,GB60=1,OV60&gt;0),MIN(OV60,GC60),0)</f>
        <v>0</v>
      </c>
      <c r="OX60" s="20" t="n">
        <f aca="false">OV60-OW60</f>
        <v>28026.0080750222</v>
      </c>
      <c r="OY60" s="20" t="n">
        <f aca="false">IF(AND(HU60=0,FR60=1,OX60&gt;0),MIN(OX60,FS60),0)</f>
        <v>0</v>
      </c>
      <c r="OZ60" s="20" t="n">
        <f aca="false">OX60-OY60</f>
        <v>28026.0080750222</v>
      </c>
      <c r="PA60" s="20" t="n">
        <f aca="false">IF(AND(HU60=0,FH60=1,OZ60&gt;0),MIN(OZ60,FI60),0)</f>
        <v>0</v>
      </c>
      <c r="PB60" s="20" t="n">
        <f aca="false">OZ60-PA60</f>
        <v>28026.0080750222</v>
      </c>
      <c r="PC60" s="20" t="n">
        <f aca="false">IF(AND(HU60=0,EX60=1,PB60&gt;0),MIN(PB60,EY60),0)</f>
        <v>0</v>
      </c>
      <c r="PD60" s="20" t="n">
        <f aca="false">PB60-PC60</f>
        <v>28026.0080750222</v>
      </c>
      <c r="PE60" s="20" t="n">
        <f aca="false">IF(AND(HU60=0,EN60=1,PD60&gt;0),MIN(PD60,EO60),0)</f>
        <v>0</v>
      </c>
      <c r="PF60" s="20" t="n">
        <f aca="false">PD60-PE60</f>
        <v>28026.0080750222</v>
      </c>
      <c r="PG60" s="20" t="n">
        <f aca="false">IF(AND(HU60=0,ED60=1,PF60&gt;0),MIN(PF60,EE60),0)</f>
        <v>0</v>
      </c>
      <c r="PH60" s="20" t="n">
        <f aca="false">PF60-PG60</f>
        <v>28026.0080750222</v>
      </c>
      <c r="PI60" s="20" t="n">
        <f aca="false">IF(AND(HU60=0,DT60=1,PH60&gt;0),MIN(PH60,DU60),0)</f>
        <v>0</v>
      </c>
      <c r="PJ60" s="20" t="n">
        <f aca="false">PH60-PI60</f>
        <v>28026.0080750222</v>
      </c>
      <c r="PK60" s="20" t="n">
        <f aca="false">IF(AND(HU60=0,DJ60=1,PJ60&gt;0),MIN(PJ60,DK60),0)</f>
        <v>0</v>
      </c>
      <c r="PL60" s="20" t="n">
        <f aca="false">PJ60-PK60</f>
        <v>28026.0080750222</v>
      </c>
      <c r="PM60" s="20" t="n">
        <f aca="false">IF(AND(HU60=0,CZ60=1,PL60&gt;0),MIN(PL60,DA60),0)</f>
        <v>0</v>
      </c>
      <c r="PN60" s="20" t="n">
        <f aca="false">PL60-PM60</f>
        <v>28026.0080750222</v>
      </c>
      <c r="PO60" s="20" t="n">
        <f aca="false">IF(AND(HU60=0,CP60=1,PN60&gt;0),MIN(PN60,CQ60),0)</f>
        <v>0</v>
      </c>
      <c r="PP60" s="20" t="n">
        <f aca="false">PN60-PO60</f>
        <v>28026.0080750222</v>
      </c>
      <c r="PQ60" s="20" t="n">
        <f aca="false">IF(AND(HU60=0,CF60=1,PP60&gt;0),MIN(PP60,CG60),0)</f>
        <v>0</v>
      </c>
      <c r="PR60" s="20" t="n">
        <f aca="false">PP60-PQ60</f>
        <v>28026.0080750222</v>
      </c>
      <c r="PS60" s="20" t="n">
        <f aca="false">IF(AND(HU60=0,BV60=1,PR60&gt;0),MIN(PR60,BW60),0)</f>
        <v>0</v>
      </c>
      <c r="PT60" s="20" t="n">
        <f aca="false">PR60-PS60</f>
        <v>28026.0080750222</v>
      </c>
      <c r="PU60" s="20" t="n">
        <f aca="false">IF(AND(HU60=0,BL60=1,PT60&gt;0),MIN(PT60,BM60),0)</f>
        <v>0</v>
      </c>
      <c r="PV60" s="20" t="n">
        <f aca="false">PT60-PU60</f>
        <v>28026.0080750222</v>
      </c>
      <c r="PW60" s="20" t="n">
        <f aca="false">IF(AND(HU60=0,BB60=1,PV60&gt;0),MIN(PV60,BC60),0)</f>
        <v>0</v>
      </c>
      <c r="PX60" s="20" t="n">
        <f aca="false">PV60-PW60</f>
        <v>28026.0080750222</v>
      </c>
      <c r="PY60" s="20" t="n">
        <f aca="false">IF(AND(HU60=0,AR60=1,PX60&gt;0),MIN(PX60,AS60),0)</f>
        <v>0</v>
      </c>
      <c r="PZ60" s="20" t="n">
        <f aca="false">PX60-PY60</f>
        <v>28026.0080750222</v>
      </c>
      <c r="QA60" s="20" t="n">
        <f aca="false">IF(AND(HU60=0,AH60=1,PZ60&gt;0),MIN(PZ60,AI60),0)</f>
        <v>0</v>
      </c>
      <c r="QB60" s="20" t="n">
        <f aca="false">PZ60-QA60</f>
        <v>28026.0080750222</v>
      </c>
      <c r="QC60" s="20" t="n">
        <f aca="false">IF(AND(HU60=0,W60=1,QB60&gt;0),MIN(QB60,X60),0)</f>
        <v>0</v>
      </c>
      <c r="QD60" s="20" t="n">
        <f aca="false">QB60-QC60</f>
        <v>28026.0080750222</v>
      </c>
      <c r="QE60" s="20" t="n">
        <f aca="false">IF(HU60=0,QD60,0)</f>
        <v>28026.0080750222</v>
      </c>
      <c r="QF60" s="20" t="n">
        <f aca="false">OM60+OO60+QC60+QA60+PY60+PW60+PU60+PS60+PQ60+PO60+PM60+PK60+PI60+PG60+PE60+PC60+PA60+OY60+OW60+OU60+OS60+OQ60</f>
        <v>0</v>
      </c>
      <c r="QG60" s="20" t="n">
        <f aca="false">IF(HU60=1,HK60+OJ60+OI60+IF(G60=1,0,OK60),HK60-OM60)</f>
        <v>0</v>
      </c>
      <c r="QH60" s="20" t="n">
        <f aca="false">HL60-OO60</f>
        <v>0</v>
      </c>
      <c r="QI60" s="20" t="n">
        <f aca="false">IF(HU60=1,IF(G60=1,ID60+IE60,HS60),0)</f>
        <v>0</v>
      </c>
      <c r="QJ60" s="20" t="n">
        <f aca="false">IF(HU60=1,IF(G60=1,HS60-ID60-IE60,0),0)</f>
        <v>0</v>
      </c>
      <c r="QK60" s="57" t="n">
        <f aca="false">'Plan holdings'!BM60</f>
        <v>0</v>
      </c>
      <c r="QL60" s="20" t="n">
        <f aca="false">QH60*(1+AS_Cash)</f>
        <v>0</v>
      </c>
      <c r="QM60" s="20" t="n">
        <f aca="false">IF(W60=1,IF(HU60=1,II60+IL60,X60-QC60)*(1+Slot1_Rate),0)</f>
        <v>0</v>
      </c>
      <c r="QN60" s="20" t="n">
        <f aca="false">IF(AND(HU60=1,W60=1),(IH60+IL60)/F60,0)</f>
        <v>0</v>
      </c>
      <c r="QO60" s="20" t="n">
        <f aca="false">IF(B60=0,IH60+IL60,0)</f>
        <v>0</v>
      </c>
      <c r="QP60" s="20" t="n">
        <f aca="false">IF(B60=0,IF(HU60=1,IJ60,IK60),0)</f>
        <v>0</v>
      </c>
      <c r="QQ60" s="20" t="n">
        <f aca="false">IF(AH60=1,IF(HU60=1,IQ60+IT60,AI60-QA60)*(1+Slot2_Rate),0)</f>
        <v>0</v>
      </c>
      <c r="QR60" s="20" t="n">
        <f aca="false">IF(AND(HU60=1,AH60=1),(IP60+IT60)/F60,0)</f>
        <v>0</v>
      </c>
      <c r="QS60" s="20" t="n">
        <f aca="false">IF(B60=0,IP60+IT60,0)</f>
        <v>0</v>
      </c>
      <c r="QT60" s="20" t="n">
        <f aca="false">IF(B60=0,IF(HU60=1,IR60,IS60),0)</f>
        <v>0</v>
      </c>
      <c r="QU60" s="20" t="n">
        <f aca="false">IF(AR60=1,IF(HU60=1,IY60+JB60,AS60-PY60)*(1+Slot3_Rate),0)</f>
        <v>0</v>
      </c>
      <c r="QV60" s="20" t="n">
        <f aca="false">IF(AND(HU60=1,AR60=1),(IX60+JB60)/F60,0)</f>
        <v>0</v>
      </c>
      <c r="QW60" s="20" t="n">
        <f aca="false">IF(B60=0,IX60+JB60,0)</f>
        <v>0</v>
      </c>
      <c r="QX60" s="20" t="n">
        <f aca="false">IF(B60=0,IF(HU60=1,IZ60,JA60),0)</f>
        <v>0</v>
      </c>
      <c r="QY60" s="20" t="n">
        <f aca="false">IF(BB60=1,IF(HU60=1,JG60+JJ60,BC60-PW60)*(1+Slot4_Rate),0)</f>
        <v>0</v>
      </c>
      <c r="QZ60" s="20" t="n">
        <f aca="false">IF(AND(HU60=1,BB60=1),(JF60+JJ60)/F60,0)</f>
        <v>0</v>
      </c>
      <c r="RA60" s="20" t="n">
        <f aca="false">IF(B60=0,JF60+JJ60,0)</f>
        <v>0</v>
      </c>
      <c r="RB60" s="20" t="n">
        <f aca="false">IF(B60=0,IF(HU60=1,JH60,JI60),0)</f>
        <v>0</v>
      </c>
      <c r="RC60" s="20" t="n">
        <f aca="false">IF(BL60=1,IF(HU60=1,JO60+JR60,BM60-PU60)*(1+Slot5_Rate),0)</f>
        <v>0</v>
      </c>
      <c r="RD60" s="20" t="n">
        <f aca="false">IF(AND(HU60=1,BL60=1),(JN60+JR60)/F60,0)</f>
        <v>0</v>
      </c>
      <c r="RE60" s="20" t="n">
        <f aca="false">IF(B60=0,JN60+JR60,0)</f>
        <v>0</v>
      </c>
      <c r="RF60" s="20" t="n">
        <f aca="false">IF(B60=0,IF(HU60=1,JP60,JQ60),0)</f>
        <v>0</v>
      </c>
      <c r="RG60" s="20" t="n">
        <f aca="false">IF(BV60=1,IF(HU60=1,JW60+JZ60,BW60-PS60)*(1+Slot6_Rate),0)</f>
        <v>0</v>
      </c>
      <c r="RH60" s="20" t="n">
        <f aca="false">IF(AND(HU60=1,BV60=1),(JV60+JZ60)/F60,0)</f>
        <v>0</v>
      </c>
      <c r="RI60" s="20" t="n">
        <f aca="false">IF(B60=0,JV60+JZ60,0)</f>
        <v>0</v>
      </c>
      <c r="RJ60" s="20" t="n">
        <f aca="false">IF(B60=0,IF(HU60=1,JX60,JY60),0)</f>
        <v>0</v>
      </c>
      <c r="RK60" s="20" t="n">
        <f aca="false">IF(CF60=1,IF(HU60=1,KE60+KH60,CG60-PQ60)*(1+Slot7_Rate),0)</f>
        <v>0</v>
      </c>
      <c r="RL60" s="20" t="n">
        <f aca="false">IF(AND(HU60=1,CF60=1),(KD60+KH60)/F60,0)</f>
        <v>0</v>
      </c>
      <c r="RM60" s="20" t="n">
        <f aca="false">IF(B60=0,KD60+KH60,0)</f>
        <v>0</v>
      </c>
      <c r="RN60" s="20" t="n">
        <f aca="false">IF(B60=0,IF(HU60=1,KF60,KG60),0)</f>
        <v>0</v>
      </c>
      <c r="RO60" s="20" t="n">
        <f aca="false">IF(CP60=1,IF(HU60=1,KM60+KP60,CQ60-PO60)*(1+Slot8_Rate),0)</f>
        <v>0</v>
      </c>
      <c r="RP60" s="20" t="n">
        <f aca="false">IF(AND(HU60=1,CP60=1),(KL60+KP60)/F60,0)</f>
        <v>0</v>
      </c>
      <c r="RQ60" s="20" t="n">
        <f aca="false">IF(B60=0,KL60+KP60,0)</f>
        <v>0</v>
      </c>
      <c r="RR60" s="20" t="n">
        <f aca="false">IF(B60=0,IF(HU60=1,KN60,KO60),0)</f>
        <v>0</v>
      </c>
      <c r="RS60" s="20" t="n">
        <f aca="false">IF(CZ60=1,IF(HU60=1,KU60+KX60,DA60-PM60)*(1+Slot9_Rate),0)</f>
        <v>0</v>
      </c>
      <c r="RT60" s="20" t="n">
        <f aca="false">IF(AND(HU60=1,CZ60=1),(KT60+KX60)/F60,0)</f>
        <v>0</v>
      </c>
      <c r="RU60" s="20" t="n">
        <f aca="false">IF(B60=0,KT60+KX60,0)</f>
        <v>0</v>
      </c>
      <c r="RV60" s="20" t="n">
        <f aca="false">IF(B60=0,IF(HU60=1,KV60,KW60),0)</f>
        <v>0</v>
      </c>
      <c r="RW60" s="20" t="n">
        <f aca="false">IF(DJ60=1,IF(HU60=1,LC60+LF60,DK60-PK60)*(1+Slot10_Rate),0)</f>
        <v>0</v>
      </c>
      <c r="RX60" s="20" t="n">
        <f aca="false">IF(AND(HU60=1,DJ60=1),(LB60+LF60)/F60,0)</f>
        <v>0</v>
      </c>
      <c r="RY60" s="20" t="n">
        <f aca="false">IF(B60=0,LB60+LF60,0)</f>
        <v>0</v>
      </c>
      <c r="RZ60" s="20" t="n">
        <f aca="false">IF(B60=0,IF(HU60=1,LD60,LE60),0)</f>
        <v>0</v>
      </c>
      <c r="SA60" s="20" t="n">
        <f aca="false">IF(DT60=1,IF(HU60=1,LK60+LN60,DU60-PI60)*(1+Slot11_Rate),0)</f>
        <v>0</v>
      </c>
      <c r="SB60" s="20" t="n">
        <f aca="false">IF(AND(HU60=1,DT60=1),(LJ60+LN60)/F60,0)</f>
        <v>0</v>
      </c>
      <c r="SC60" s="20" t="n">
        <f aca="false">IF(B60=0,LJ60+LN60,0)</f>
        <v>0</v>
      </c>
      <c r="SD60" s="20" t="n">
        <f aca="false">IF(B60=0,IF(HU60=1,LL60,LM60),0)</f>
        <v>0</v>
      </c>
      <c r="SE60" s="20" t="n">
        <f aca="false">IF(ED60=1,IF(HU60=1,LS60+LV60,EE60-PG60)*(1+Slot12_Rate),0)</f>
        <v>0</v>
      </c>
      <c r="SF60" s="20" t="n">
        <f aca="false">IF(AND(HU60=1,ED60=1),(LR60+LV60)/F60,0)</f>
        <v>0</v>
      </c>
      <c r="SG60" s="20" t="n">
        <f aca="false">IF(B60=0,LR60+LV60,0)</f>
        <v>0</v>
      </c>
      <c r="SH60" s="20" t="n">
        <f aca="false">IF(B60=0,IF(HU60=1,LT60,LU60),0)</f>
        <v>0</v>
      </c>
      <c r="SI60" s="20" t="n">
        <f aca="false">IF(EN60=1,IF(HU60=1,MA60+MD60,EO60-PE60)*(1+Slot13_Rate),0)</f>
        <v>0</v>
      </c>
      <c r="SJ60" s="20" t="n">
        <f aca="false">IF(AND(HU60=1,EN60=1),(LZ60+MD60)/F60,0)</f>
        <v>0</v>
      </c>
      <c r="SK60" s="20" t="n">
        <f aca="false">IF(B60=0,LZ60+MD60,0)</f>
        <v>0</v>
      </c>
      <c r="SL60" s="20" t="n">
        <f aca="false">IF(B60=0,IF(HU60=1,MB60,MC60),0)</f>
        <v>0</v>
      </c>
      <c r="SM60" s="20" t="n">
        <f aca="false">IF(EX60=1,IF(HU60=1,MI60+ML60,EY60-PC60)*(1+Slot14_Rate),0)</f>
        <v>0</v>
      </c>
      <c r="SN60" s="20" t="n">
        <f aca="false">IF(AND(HU60=1,EX60=1),(MH60+ML60)/F60,0)</f>
        <v>0</v>
      </c>
      <c r="SO60" s="20" t="n">
        <f aca="false">IF(B60=0,MH60+ML60,0)</f>
        <v>0</v>
      </c>
      <c r="SP60" s="20" t="n">
        <f aca="false">IF(B60=0,IF(HU60=1,MJ60,MK60),0)</f>
        <v>0</v>
      </c>
      <c r="SQ60" s="20" t="n">
        <f aca="false">IF(FH60=1,IF(HU60=1,MQ60+MT60,FI60-PA60)*(1+Slot15_Rate),0)</f>
        <v>0</v>
      </c>
      <c r="SR60" s="20" t="n">
        <f aca="false">IF(AND(HU60=1,FH60=1),(MP60+MT60)/F60,0)</f>
        <v>0</v>
      </c>
      <c r="SS60" s="20" t="n">
        <f aca="false">IF(B60=0,MP60+MT60,0)</f>
        <v>0</v>
      </c>
      <c r="ST60" s="20" t="n">
        <f aca="false">IF(B60=0,IF(HU60=1,MR60,MS60),0)</f>
        <v>0</v>
      </c>
      <c r="SU60" s="20" t="n">
        <f aca="false">IF(FR60=1,IF(HU60=1,MY60+NB60,FS60-OY60)*(1+Slot16_Rate),0)</f>
        <v>0</v>
      </c>
      <c r="SV60" s="20" t="n">
        <f aca="false">IF(AND(HU60=1,FR60=1),(MX60+NB60)/F60,0)</f>
        <v>0</v>
      </c>
      <c r="SW60" s="20" t="n">
        <f aca="false">IF(B60=0,MX60+NB60,0)</f>
        <v>0</v>
      </c>
      <c r="SX60" s="20" t="n">
        <f aca="false">IF(B60=0,IF(HU60=1,MZ60,NA60),0)</f>
        <v>0</v>
      </c>
      <c r="SY60" s="20" t="n">
        <f aca="false">IF(GB60=1,IF(HU60=1,NG60+NJ60,GC60-OW60)*(1+Slot17_Rate),0)</f>
        <v>0</v>
      </c>
      <c r="SZ60" s="20" t="n">
        <f aca="false">IF(AND(HU60=1,GB60=1),(NF60+NJ60)/F60,0)</f>
        <v>0</v>
      </c>
      <c r="TA60" s="20" t="n">
        <f aca="false">IF(B60=0,NF60+NJ60,0)</f>
        <v>0</v>
      </c>
      <c r="TB60" s="20" t="n">
        <f aca="false">IF(B60=0,IF(HU60=1,NH60,NI60),0)</f>
        <v>0</v>
      </c>
      <c r="TC60" s="20" t="n">
        <f aca="false">IF(GL60=1,IF(HU60=1,NO60+NR60,GM60-OU60)*(1+Slot18_Rate),0)</f>
        <v>0</v>
      </c>
      <c r="TD60" s="20" t="n">
        <f aca="false">IF(AND(HU60=1,GL60=1),(NN60+NR60)/F60,0)</f>
        <v>0</v>
      </c>
      <c r="TE60" s="20" t="n">
        <f aca="false">IF(B60=0,NN60+NR60,0)</f>
        <v>0</v>
      </c>
      <c r="TF60" s="20" t="n">
        <f aca="false">IF(B60=0,IF(HU60=1,NP60,NQ60),0)</f>
        <v>0</v>
      </c>
      <c r="TG60" s="20" t="n">
        <f aca="false">IF(GV60=1,IF(HU60=1,NW60+NZ60,GW60-OS60)*(1+Slot19_Rate),0)</f>
        <v>0</v>
      </c>
      <c r="TH60" s="20" t="n">
        <f aca="false">IF(AND(HU60=1,GV60=1),(NV60+NZ60)/F60,0)</f>
        <v>0</v>
      </c>
      <c r="TI60" s="20" t="n">
        <f aca="false">IF(B60=0,NV60+NZ60,0)</f>
        <v>0</v>
      </c>
      <c r="TJ60" s="20" t="n">
        <f aca="false">IF(B60=0,IF(HU60=1,NX60,NY60),0)</f>
        <v>0</v>
      </c>
      <c r="TK60" s="20" t="n">
        <f aca="false">IF(HF60=1,IF(HU60=1,OE60+OH60,HG60-OQ60)*(1+Slot20_Rate),0)</f>
        <v>0</v>
      </c>
      <c r="TL60" s="20" t="n">
        <f aca="false">IF(AND(HU60=1,HF60=1),(OD60+OH60)/F60,0)</f>
        <v>0</v>
      </c>
      <c r="TM60" s="20" t="n">
        <f aca="false">IF(B60=0,OD60+OH60,0)</f>
        <v>0</v>
      </c>
      <c r="TN60" s="20" t="n">
        <f aca="false">IF(B60=0,IF(HU60=1,OF60,OG60),0)</f>
        <v>0</v>
      </c>
      <c r="TO60" s="20" t="n">
        <f aca="false">QK60+QL60+QM60+QQ60+QU60+QY60+RC60+RG60+RK60+RO60+RS60+RW60+SA60+SE60+SI60+SM60+SQ60+SU60+SY60+TC60+TG60+TK60</f>
        <v>0</v>
      </c>
      <c r="TP60" s="20" t="n">
        <f aca="false">QE60+HP60</f>
        <v>28026.0080750222</v>
      </c>
      <c r="TQ60" s="20" t="n">
        <f aca="false">I60+S60</f>
        <v>133855.687264423</v>
      </c>
      <c r="TR60" s="20" t="n">
        <f aca="false">1-G60</f>
        <v>1</v>
      </c>
      <c r="TS60" s="20" t="n">
        <f aca="false">IF(AND(RG_Exists=1,G60=0,C60=1),I60,0)</f>
        <v>133855.687264423</v>
      </c>
      <c r="TT60" s="20" t="n">
        <f aca="false">IF(AND(RG_Exists=1,G60=0,C60=1),I60-MIN(QE60,I60),0)</f>
        <v>105829.679189401</v>
      </c>
      <c r="TU60" s="20" t="n">
        <f aca="false">'Plan pay &amp; tax'!AD286</f>
        <v>148563.393556852</v>
      </c>
      <c r="TV60" s="20" t="n">
        <f aca="false">IF(AND(C60=1,QE60&gt;MAX(PR_Short1,TQ60*PR_Short2)),1,0)</f>
        <v>1</v>
      </c>
      <c r="TW60" s="20" t="n">
        <f aca="false">MIN(H60,I60+S60)</f>
        <v>105829.679189401</v>
      </c>
      <c r="TX60" s="20" t="n">
        <f aca="false">QF60+MAX(0,HQ60-HP60)</f>
        <v>0</v>
      </c>
      <c r="TY60" s="20" t="n">
        <f aca="false">QE60+HP60</f>
        <v>28026.0080750222</v>
      </c>
      <c r="TZ60" s="20" t="n">
        <f aca="false">IF(AND(C60=1,TY60&gt;PR_MinShort),1,0)</f>
        <v>1</v>
      </c>
      <c r="UA60" s="20" t="n">
        <f aca="false">IF(AND(C60=1,TZ60=0,TX60&gt;PR_MinShort),1,0)</f>
        <v>0</v>
      </c>
      <c r="UB60" s="20" t="n">
        <f aca="false">IF(AND(C60=1,QE60&gt;PR_MinShort),1,0)</f>
        <v>1</v>
      </c>
      <c r="UC60" s="20" t="n">
        <f aca="false">IF(AND(C60=1,QF60&gt;1,UJ60=0),1,0)</f>
        <v>0</v>
      </c>
      <c r="UD60" s="20" t="str">
        <f aca="false">IF(C60=0,"",IF(UJ60=1,"Gap to plan for: short "&amp;"€"&amp;TEXT(ROUND(TP60,0),"#,##0"),IF(QF60&gt;1,"Using savings","Comfortable")))</f>
        <v>Gap to plan for: short €28,026</v>
      </c>
      <c r="UE60" s="20" t="n">
        <f aca="false">IF(AND(INT(D60/10)*10=90,B60&gt;0),80,INT(D60/10)*10)</f>
        <v>80</v>
      </c>
      <c r="UF60" s="20" t="n">
        <f aca="false">IF(B60=0,1,IF(UE60&lt;&gt;UE59,UF59+1,UF59))</f>
        <v>6</v>
      </c>
      <c r="UG60" s="20" t="n">
        <f aca="false">IF(AND(C60=1,G60=1,QE60&gt;MAX(PR_Short1,TQ60*PR_Short2)),1,0)</f>
        <v>0</v>
      </c>
      <c r="UH60" s="20" t="n">
        <f aca="false">TR60*TV60</f>
        <v>1</v>
      </c>
      <c r="UI60" s="20" t="n">
        <f aca="false">IF(AND(V60=1,Slot1_PctLow=1),1,0)+IF(AND(AG60=1,Slot2_PctLow=1),1,0)+IF(AND(AQ60=1,Slot3_PctLow=1),1,0)+IF(AND(BA60=1,Slot4_PctLow=1),1,0)+IF(AND(BK60=1,Slot5_PctLow=1),1,0)+IF(AND(BU60=1,Slot6_PctLow=1),1,0)+IF(AND(CE60=1,Slot7_PctLow=1),1,0)+IF(AND(CO60=1,Slot8_PctLow=1),1,0)+IF(AND(CY60=1,Slot9_PctLow=1),1,0)+IF(AND(DI60=1,Slot10_PctLow=1),1,0)+IF(AND(DS60=1,Slot11_PctLow=1),1,0)+IF(AND(EC60=1,Slot12_PctLow=1),1,0)+IF(AND(EM60=1,Slot13_PctLow=1),1,0)+IF(AND(EW60=1,Slot14_PctLow=1),1,0)+IF(AND(FG60=1,Slot15_PctLow=1),1,0)+IF(AND(FQ60=1,Slot16_PctLow=1),1,0)+IF(AND(GA60=1,Slot17_PctLow=1),1,0)+IF(AND(GK60=1,Slot18_PctLow=1),1,0)+IF(AND(GU60=1,Slot19_PctLow=1),1,0)+IF(AND(HE60=1,Slot20_PctLow=1),1,0)</f>
        <v>0</v>
      </c>
      <c r="UJ60" s="20" t="n">
        <f aca="false">IF(C60=1,IF(OR(TV60=1,UI60&gt;0),1,0),0)</f>
        <v>1</v>
      </c>
      <c r="UK60" s="20" t="n">
        <f aca="false">Z60+AK60+AU60+BE60+BO60+BY60+CI60+CS60+DC60+DM60+DW60+EG60+EQ60+FA60+FK60+FU60+GE60+GO60+GY60+HI60+OM60</f>
        <v>0</v>
      </c>
      <c r="UL60" s="20" t="n">
        <f aca="false">V60*IF(Slot1_SpendLike=1,X60-Y60,IF(Slot1_PotFree=1,X60,0))+AG60*IF(Slot2_SpendLike=1,AI60-AJ60,IF(Slot2_PotFree=1,AI60,0))+AQ60*IF(Slot3_SpendLike=1,AS60-AT60,IF(Slot3_PotFree=1,AS60,0))+BA60*IF(Slot4_SpendLike=1,BC60-BD60,IF(Slot4_PotFree=1,BC60,0))+BK60*IF(Slot5_SpendLike=1,BM60-BN60,IF(Slot5_PotFree=1,BM60,0))+BU60*IF(Slot6_SpendLike=1,BW60-BX60,IF(Slot6_PotFree=1,BW60,0))+CE60*IF(Slot7_SpendLike=1,CG60-CH60,IF(Slot7_PotFree=1,CG60,0))+CO60*IF(Slot8_SpendLike=1,CQ60-CR60,IF(Slot8_PotFree=1,CQ60,0))+CY60*IF(Slot9_SpendLike=1,DA60-DB60,IF(Slot9_PotFree=1,DA60,0))+DI60*IF(Slot10_SpendLike=1,DK60-DL60,IF(Slot10_PotFree=1,DK60,0))+DS60*IF(Slot11_SpendLike=1,DU60-DV60,IF(Slot11_PotFree=1,DU60,0))+EC60*IF(Slot12_SpendLike=1,EE60-EF60,IF(Slot12_PotFree=1,EE60,0))+EM60*IF(Slot13_SpendLike=1,EO60-EP60,IF(Slot13_PotFree=1,EO60,0))+EW60*IF(Slot14_SpendLike=1,EY60-EZ60,IF(Slot14_PotFree=1,EY60,0))+FG60*IF(Slot15_SpendLike=1,FI60-FJ60,IF(Slot15_PotFree=1,FI60,0))+FQ60*IF(Slot16_SpendLike=1,FS60-FT60,IF(Slot16_PotFree=1,FS60,0))+GA60*IF(Slot17_SpendLike=1,GC60-GD60,IF(Slot17_PotFree=1,GC60,0))+GK60*IF(Slot18_SpendLike=1,GM60-GN60,IF(Slot18_PotFree=1,GM60,0))+GU60*IF(Slot19_SpendLike=1,GW60-GX60,IF(Slot19_PotFree=1,GW60,0))+HE60*IF(Slot20_SpendLike=1,HG60-HH60,IF(Slot20_PotFree=1,HG60,0))</f>
        <v>0</v>
      </c>
      <c r="UM60" s="20" t="n">
        <f aca="false">QG60-T60+UK60-UL60</f>
        <v>0</v>
      </c>
      <c r="UN60" s="20" t="n">
        <f aca="false">IF(OR(UN59=1,AND(In_homeUse="Yes, I'd downsize",In_downAge&gt;0,D60=In_downAge,OR(In_home="Own outright",In_home="Own with mortgage"),In_homeValue&gt;0)),1,0)</f>
        <v>0</v>
      </c>
    </row>
    <row r="61" customFormat="false" ht="15" hidden="false" customHeight="true" outlineLevel="0" collapsed="false">
      <c r="B61" s="20" t="n">
        <v>53</v>
      </c>
      <c r="C61" s="20" t="n">
        <f aca="false">IF(B61&lt;=F_N,1,0)</f>
        <v>1</v>
      </c>
      <c r="D61" s="20" t="n">
        <f aca="false">'Plan pay &amp; tax'!C287</f>
        <v>91</v>
      </c>
      <c r="E61" s="20" t="str">
        <f aca="false">IF($C61=1,"Income tax "&amp;TEXT(N('Plan pay &amp; tax'!BK287),"#,##0")&amp;"; USC "&amp;TEXT(N('Plan pay &amp; tax'!BM287)+N('Plan pay &amp; tax'!BO287),"#,##0")&amp;"; PRSI "&amp;TEXT(N('Plan pay &amp; tax'!BP287)+N('Plan pay &amp; tax'!BQ287),"#,##0")&amp;IF(N('Plan holdings'!BO61)&gt;=0.5,"; DIRT "&amp;TEXT(('Plan holdings'!BO61)/$F61,"#,##0")&amp;" (already taken from the interest earned)","")&amp;IF(N('Plan holdings'!BP61)&gt;=0.5,"; exit tax at an 8-year anniversary "&amp;TEXT(('Plan holdings'!BP61)/$F61,"#,##0"),"")&amp;IF(N('Plan holdings'!BN61)&gt;=0.5,"; tax on assets sold (exit tax or capital gains tax) "&amp;TEXT(('Plan holdings'!BN61)/$F61,"#,##0"),"")&amp;IF(N('Plan pay &amp; tax'!X287)-N('Plan pay &amp; tax'!Y287)&gt;=0.5,"; tax on the pension lump sum "&amp;TEXT(('Plan pay &amp; tax'!X287-'Plan pay &amp; tax'!Y287)/$F61,"#,##0"),"")&amp;IF(N('Plan pay &amp; tax'!V287)&gt;=0.5,"; chargeable excess tax on the pension "&amp;TEXT(('Plan pay &amp; tax'!V287)/$F61,"#,##0"),"")&amp;".","")</f>
        <v>Income tax 1,052; USC 0; PRSI 0.</v>
      </c>
      <c r="F61" s="50" t="n">
        <f aca="false">'Plan pay &amp; tax'!E287</f>
        <v>2.85633474915715</v>
      </c>
      <c r="G61" s="20" t="n">
        <f aca="false">'Plan pay &amp; tax'!G287</f>
        <v>0</v>
      </c>
      <c r="H61" s="20" t="n">
        <f aca="false">'Plan pay &amp; tax'!BT287-'Plan pay &amp; tax'!BS287-'Plan pay &amp; tax'!R287</f>
        <v>108211.281638089</v>
      </c>
      <c r="I61" s="20" t="n">
        <f aca="false">IF(G61=1,F_CostsM*12,IF(RG_Exists=1,RG_Amount,F_CostsM*12*AS_RetireSpend))*F61+F_OneOffY*F61</f>
        <v>136532.801009712</v>
      </c>
      <c r="J61" s="20" t="n">
        <f aca="false">IF(UN61=1,0,HR60)</f>
        <v>0</v>
      </c>
      <c r="K61" s="20" t="n">
        <f aca="false">IF(J61&gt;1,'Plan debt months'!AC61,0)</f>
        <v>0</v>
      </c>
      <c r="L61" s="20" t="n">
        <f aca="false">IF(J61&gt;1,'Plan debt months'!AB61,J61)</f>
        <v>0</v>
      </c>
      <c r="M61" s="20" t="n">
        <f aca="false">O60</f>
        <v>0</v>
      </c>
      <c r="N61" s="20" t="n">
        <f aca="false">IF(M61&gt;1,'Plan debt months'!BD61,0)</f>
        <v>0</v>
      </c>
      <c r="O61" s="20" t="n">
        <f aca="false">IF(M61&gt;1,'Plan debt months'!BC61,M61)</f>
        <v>0</v>
      </c>
      <c r="P61" s="20" t="n">
        <f aca="false">R60</f>
        <v>0</v>
      </c>
      <c r="Q61" s="20" t="n">
        <f aca="false">IF(P61&gt;1,'Plan debt months'!CE61,0)</f>
        <v>0</v>
      </c>
      <c r="R61" s="20" t="n">
        <f aca="false">IF(P61&gt;1,'Plan debt months'!CD61,P61)</f>
        <v>0</v>
      </c>
      <c r="S61" s="20" t="n">
        <f aca="false">K61+N61+Q61</f>
        <v>0</v>
      </c>
      <c r="T61" s="57" t="n">
        <f aca="false">'Plan holdings'!Y61</f>
        <v>0</v>
      </c>
      <c r="U61" s="57" t="n">
        <f aca="false">'Plan holdings'!BM60</f>
        <v>0</v>
      </c>
      <c r="V61" s="20" t="n">
        <f aca="false">IF(AND(Slot1_On=1,D61=Slot1_Age),1,0)</f>
        <v>0</v>
      </c>
      <c r="W61" s="20" t="n">
        <f aca="false">IF(AND(Slot1_On=1,Slot1_Age&gt;D61),1,0)</f>
        <v>0</v>
      </c>
      <c r="X61" s="20" t="n">
        <f aca="false">QM60</f>
        <v>0</v>
      </c>
      <c r="Y61" s="20" t="n">
        <f aca="false">V61*MIN(Slot1_Cost,X61)</f>
        <v>0</v>
      </c>
      <c r="Z61" s="20" t="n">
        <f aca="false">V61*Slot1_SpendLike*MIN(Slot1_Cost-Y61,T61)</f>
        <v>0</v>
      </c>
      <c r="AA61" s="20" t="n">
        <f aca="false">Y61+Z61</f>
        <v>0</v>
      </c>
      <c r="AB61" s="20" t="n">
        <f aca="false">T61-Z61+V61*IF(Slot1_SpendLike=1,X61-Y61,IF(Slot1_PotFree=1,X61,0))</f>
        <v>0</v>
      </c>
      <c r="AC61" s="20" t="n">
        <f aca="false">AF61+V61*Slot1_BufPot*X61</f>
        <v>0</v>
      </c>
      <c r="AD61" s="20" t="n">
        <f aca="false">IF(AND(V61=1,Slot1_IsMfree=1),IF(AA61&gt;=Slot1_Cost-1,0,MAX(0,L61-AA61)),L61)</f>
        <v>0</v>
      </c>
      <c r="AE61" s="20" t="n">
        <f aca="false">V61*(Slot1_Cost-AA61)</f>
        <v>0</v>
      </c>
      <c r="AF61" s="20" t="n">
        <f aca="false">QL60</f>
        <v>0</v>
      </c>
      <c r="AG61" s="20" t="n">
        <f aca="false">IF(AND(Slot2_On=1,D61=Slot2_Age),1,0)</f>
        <v>0</v>
      </c>
      <c r="AH61" s="20" t="n">
        <f aca="false">IF(AND(Slot2_On=1,Slot2_Age&gt;D61),1,0)</f>
        <v>0</v>
      </c>
      <c r="AI61" s="20" t="n">
        <f aca="false">QQ60</f>
        <v>0</v>
      </c>
      <c r="AJ61" s="20" t="n">
        <f aca="false">AG61*MIN(Slot2_Cost,AI61)</f>
        <v>0</v>
      </c>
      <c r="AK61" s="20" t="n">
        <f aca="false">AG61*Slot2_SpendLike*MIN(Slot2_Cost-AJ61,AB61)</f>
        <v>0</v>
      </c>
      <c r="AL61" s="20" t="n">
        <f aca="false">AJ61+AK61</f>
        <v>0</v>
      </c>
      <c r="AM61" s="20" t="n">
        <f aca="false">AB61-AK61+AG61*IF(Slot2_SpendLike=1,AI61-AJ61,IF(Slot2_PotFree=1,AI61,0))</f>
        <v>0</v>
      </c>
      <c r="AN61" s="20" t="n">
        <f aca="false">AC61+AG61*Slot2_BufPot*AI61</f>
        <v>0</v>
      </c>
      <c r="AO61" s="20" t="n">
        <f aca="false">IF(AND(AG61=1,Slot2_IsMfree=1),IF(AL61&gt;=Slot2_Cost-1,0,MAX(0,AD61-AL61)),AD61)</f>
        <v>0</v>
      </c>
      <c r="AP61" s="20" t="n">
        <f aca="false">AG61*(Slot2_Cost-AL61)</f>
        <v>0</v>
      </c>
      <c r="AQ61" s="20" t="n">
        <f aca="false">IF(AND(Slot3_On=1,D61=Slot3_Age),1,0)</f>
        <v>0</v>
      </c>
      <c r="AR61" s="20" t="n">
        <f aca="false">IF(AND(Slot3_On=1,Slot3_Age&gt;D61),1,0)</f>
        <v>0</v>
      </c>
      <c r="AS61" s="20" t="n">
        <f aca="false">QU60</f>
        <v>0</v>
      </c>
      <c r="AT61" s="20" t="n">
        <f aca="false">AQ61*MIN(Slot3_Cost,AS61)</f>
        <v>0</v>
      </c>
      <c r="AU61" s="20" t="n">
        <f aca="false">AQ61*Slot3_SpendLike*MIN(Slot3_Cost-AT61,AM61)</f>
        <v>0</v>
      </c>
      <c r="AV61" s="20" t="n">
        <f aca="false">AT61+AU61</f>
        <v>0</v>
      </c>
      <c r="AW61" s="20" t="n">
        <f aca="false">AM61-AU61+AQ61*IF(Slot3_SpendLike=1,AS61-AT61,IF(Slot3_PotFree=1,AS61,0))</f>
        <v>0</v>
      </c>
      <c r="AX61" s="20" t="n">
        <f aca="false">AN61+AQ61*Slot3_BufPot*AS61</f>
        <v>0</v>
      </c>
      <c r="AY61" s="20" t="n">
        <f aca="false">IF(AND(AQ61=1,Slot3_IsMfree=1),IF(AV61&gt;=Slot3_Cost-1,0,MAX(0,AO61-AV61)),AO61)</f>
        <v>0</v>
      </c>
      <c r="AZ61" s="20" t="n">
        <f aca="false">AQ61*(Slot3_Cost-AV61)</f>
        <v>0</v>
      </c>
      <c r="BA61" s="20" t="n">
        <f aca="false">IF(AND(Slot4_On=1,D61=Slot4_Age),1,0)</f>
        <v>0</v>
      </c>
      <c r="BB61" s="20" t="n">
        <f aca="false">IF(AND(Slot4_On=1,Slot4_Age&gt;D61),1,0)</f>
        <v>0</v>
      </c>
      <c r="BC61" s="20" t="n">
        <f aca="false">QY60</f>
        <v>0</v>
      </c>
      <c r="BD61" s="20" t="n">
        <f aca="false">BA61*MIN(Slot4_Cost,BC61)</f>
        <v>0</v>
      </c>
      <c r="BE61" s="20" t="n">
        <f aca="false">BA61*Slot4_SpendLike*MIN(Slot4_Cost-BD61,AW61)</f>
        <v>0</v>
      </c>
      <c r="BF61" s="20" t="n">
        <f aca="false">BD61+BE61</f>
        <v>0</v>
      </c>
      <c r="BG61" s="20" t="n">
        <f aca="false">AW61-BE61+BA61*IF(Slot4_SpendLike=1,BC61-BD61,IF(Slot4_PotFree=1,BC61,0))</f>
        <v>0</v>
      </c>
      <c r="BH61" s="20" t="n">
        <f aca="false">AX61+BA61*Slot4_BufPot*BC61</f>
        <v>0</v>
      </c>
      <c r="BI61" s="20" t="n">
        <f aca="false">IF(AND(BA61=1,Slot4_IsMfree=1),IF(BF61&gt;=Slot4_Cost-1,0,MAX(0,AY61-BF61)),AY61)</f>
        <v>0</v>
      </c>
      <c r="BJ61" s="20" t="n">
        <f aca="false">BA61*(Slot4_Cost-BF61)</f>
        <v>0</v>
      </c>
      <c r="BK61" s="20" t="n">
        <f aca="false">IF(AND(Slot5_On=1,D61=Slot5_Age),1,0)</f>
        <v>0</v>
      </c>
      <c r="BL61" s="20" t="n">
        <f aca="false">IF(AND(Slot5_On=1,Slot5_Age&gt;D61),1,0)</f>
        <v>0</v>
      </c>
      <c r="BM61" s="20" t="n">
        <f aca="false">RC60</f>
        <v>0</v>
      </c>
      <c r="BN61" s="20" t="n">
        <f aca="false">BK61*MIN(Slot5_Cost,BM61)</f>
        <v>0</v>
      </c>
      <c r="BO61" s="20" t="n">
        <f aca="false">BK61*Slot5_SpendLike*MIN(Slot5_Cost-BN61,BG61)</f>
        <v>0</v>
      </c>
      <c r="BP61" s="20" t="n">
        <f aca="false">BN61+BO61</f>
        <v>0</v>
      </c>
      <c r="BQ61" s="20" t="n">
        <f aca="false">BG61-BO61+BK61*IF(Slot5_SpendLike=1,BM61-BN61,IF(Slot5_PotFree=1,BM61,0))</f>
        <v>0</v>
      </c>
      <c r="BR61" s="20" t="n">
        <f aca="false">BH61+BK61*Slot5_BufPot*BM61</f>
        <v>0</v>
      </c>
      <c r="BS61" s="20" t="n">
        <f aca="false">IF(AND(BK61=1,Slot5_IsMfree=1),IF(BP61&gt;=Slot5_Cost-1,0,MAX(0,BI61-BP61)),BI61)</f>
        <v>0</v>
      </c>
      <c r="BT61" s="20" t="n">
        <f aca="false">BK61*(Slot5_Cost-BP61)</f>
        <v>0</v>
      </c>
      <c r="BU61" s="20" t="n">
        <f aca="false">IF(AND(Slot6_On=1,D61=Slot6_Age),1,0)</f>
        <v>0</v>
      </c>
      <c r="BV61" s="20" t="n">
        <f aca="false">IF(AND(Slot6_On=1,Slot6_Age&gt;D61),1,0)</f>
        <v>0</v>
      </c>
      <c r="BW61" s="20" t="n">
        <f aca="false">RG60</f>
        <v>0</v>
      </c>
      <c r="BX61" s="20" t="n">
        <f aca="false">BU61*MIN(Slot6_Cost,BW61)</f>
        <v>0</v>
      </c>
      <c r="BY61" s="20" t="n">
        <f aca="false">BU61*Slot6_SpendLike*MIN(Slot6_Cost-BX61,BQ61)</f>
        <v>0</v>
      </c>
      <c r="BZ61" s="20" t="n">
        <f aca="false">BX61+BY61</f>
        <v>0</v>
      </c>
      <c r="CA61" s="20" t="n">
        <f aca="false">BQ61-BY61+BU61*IF(Slot6_SpendLike=1,BW61-BX61,IF(Slot6_PotFree=1,BW61,0))</f>
        <v>0</v>
      </c>
      <c r="CB61" s="20" t="n">
        <f aca="false">BR61+BU61*Slot6_BufPot*BW61</f>
        <v>0</v>
      </c>
      <c r="CC61" s="20" t="n">
        <f aca="false">IF(AND(BU61=1,Slot6_IsMfree=1),IF(BZ61&gt;=Slot6_Cost-1,0,MAX(0,BS61-BZ61)),BS61)</f>
        <v>0</v>
      </c>
      <c r="CD61" s="20" t="n">
        <f aca="false">BU61*(Slot6_Cost-BZ61)</f>
        <v>0</v>
      </c>
      <c r="CE61" s="20" t="n">
        <f aca="false">IF(AND(Slot7_On=1,D61=Slot7_Age),1,0)</f>
        <v>0</v>
      </c>
      <c r="CF61" s="20" t="n">
        <f aca="false">IF(AND(Slot7_On=1,Slot7_Age&gt;D61),1,0)</f>
        <v>0</v>
      </c>
      <c r="CG61" s="20" t="n">
        <f aca="false">RK60</f>
        <v>0</v>
      </c>
      <c r="CH61" s="20" t="n">
        <f aca="false">CE61*MIN(Slot7_Cost,CG61)</f>
        <v>0</v>
      </c>
      <c r="CI61" s="20" t="n">
        <f aca="false">CE61*Slot7_SpendLike*MIN(Slot7_Cost-CH61,CA61)</f>
        <v>0</v>
      </c>
      <c r="CJ61" s="20" t="n">
        <f aca="false">CH61+CI61</f>
        <v>0</v>
      </c>
      <c r="CK61" s="20" t="n">
        <f aca="false">CA61-CI61+CE61*IF(Slot7_SpendLike=1,CG61-CH61,IF(Slot7_PotFree=1,CG61,0))</f>
        <v>0</v>
      </c>
      <c r="CL61" s="20" t="n">
        <f aca="false">CB61+CE61*Slot7_BufPot*CG61</f>
        <v>0</v>
      </c>
      <c r="CM61" s="20" t="n">
        <f aca="false">IF(AND(CE61=1,Slot7_IsMfree=1),IF(CJ61&gt;=Slot7_Cost-1,0,MAX(0,CC61-CJ61)),CC61)</f>
        <v>0</v>
      </c>
      <c r="CN61" s="20" t="n">
        <f aca="false">CE61*(Slot7_Cost-CJ61)</f>
        <v>0</v>
      </c>
      <c r="CO61" s="20" t="n">
        <f aca="false">IF(AND(Slot8_On=1,D61=Slot8_Age),1,0)</f>
        <v>0</v>
      </c>
      <c r="CP61" s="20" t="n">
        <f aca="false">IF(AND(Slot8_On=1,Slot8_Age&gt;D61),1,0)</f>
        <v>0</v>
      </c>
      <c r="CQ61" s="20" t="n">
        <f aca="false">RO60</f>
        <v>0</v>
      </c>
      <c r="CR61" s="20" t="n">
        <f aca="false">CO61*MIN(Slot8_Cost,CQ61)</f>
        <v>0</v>
      </c>
      <c r="CS61" s="20" t="n">
        <f aca="false">CO61*Slot8_SpendLike*MIN(Slot8_Cost-CR61,CK61)</f>
        <v>0</v>
      </c>
      <c r="CT61" s="20" t="n">
        <f aca="false">CR61+CS61</f>
        <v>0</v>
      </c>
      <c r="CU61" s="20" t="n">
        <f aca="false">CK61-CS61+CO61*IF(Slot8_SpendLike=1,CQ61-CR61,IF(Slot8_PotFree=1,CQ61,0))</f>
        <v>0</v>
      </c>
      <c r="CV61" s="20" t="n">
        <f aca="false">CL61+CO61*Slot8_BufPot*CQ61</f>
        <v>0</v>
      </c>
      <c r="CW61" s="20" t="n">
        <f aca="false">IF(AND(CO61=1,Slot8_IsMfree=1),IF(CT61&gt;=Slot8_Cost-1,0,MAX(0,CM61-CT61)),CM61)</f>
        <v>0</v>
      </c>
      <c r="CX61" s="20" t="n">
        <f aca="false">CO61*(Slot8_Cost-CT61)</f>
        <v>0</v>
      </c>
      <c r="CY61" s="20" t="n">
        <f aca="false">IF(AND(Slot9_On=1,D61=Slot9_Age),1,0)</f>
        <v>0</v>
      </c>
      <c r="CZ61" s="20" t="n">
        <f aca="false">IF(AND(Slot9_On=1,Slot9_Age&gt;D61),1,0)</f>
        <v>0</v>
      </c>
      <c r="DA61" s="20" t="n">
        <f aca="false">RS60</f>
        <v>0</v>
      </c>
      <c r="DB61" s="20" t="n">
        <f aca="false">CY61*MIN(Slot9_Cost,DA61)</f>
        <v>0</v>
      </c>
      <c r="DC61" s="20" t="n">
        <f aca="false">CY61*Slot9_SpendLike*MIN(Slot9_Cost-DB61,CU61)</f>
        <v>0</v>
      </c>
      <c r="DD61" s="20" t="n">
        <f aca="false">DB61+DC61</f>
        <v>0</v>
      </c>
      <c r="DE61" s="20" t="n">
        <f aca="false">CU61-DC61+CY61*IF(Slot9_SpendLike=1,DA61-DB61,IF(Slot9_PotFree=1,DA61,0))</f>
        <v>0</v>
      </c>
      <c r="DF61" s="20" t="n">
        <f aca="false">CV61+CY61*Slot9_BufPot*DA61</f>
        <v>0</v>
      </c>
      <c r="DG61" s="20" t="n">
        <f aca="false">IF(AND(CY61=1,Slot9_IsMfree=1),IF(DD61&gt;=Slot9_Cost-1,0,MAX(0,CW61-DD61)),CW61)</f>
        <v>0</v>
      </c>
      <c r="DH61" s="20" t="n">
        <f aca="false">CY61*(Slot9_Cost-DD61)</f>
        <v>0</v>
      </c>
      <c r="DI61" s="20" t="n">
        <f aca="false">IF(AND(Slot10_On=1,D61=Slot10_Age),1,0)</f>
        <v>0</v>
      </c>
      <c r="DJ61" s="20" t="n">
        <f aca="false">IF(AND(Slot10_On=1,Slot10_Age&gt;D61),1,0)</f>
        <v>0</v>
      </c>
      <c r="DK61" s="20" t="n">
        <f aca="false">RW60</f>
        <v>0</v>
      </c>
      <c r="DL61" s="20" t="n">
        <f aca="false">DI61*MIN(Slot10_Cost,DK61)</f>
        <v>0</v>
      </c>
      <c r="DM61" s="20" t="n">
        <f aca="false">DI61*Slot10_SpendLike*MIN(Slot10_Cost-DL61,DE61)</f>
        <v>0</v>
      </c>
      <c r="DN61" s="20" t="n">
        <f aca="false">DL61+DM61</f>
        <v>0</v>
      </c>
      <c r="DO61" s="20" t="n">
        <f aca="false">DE61-DM61+DI61*IF(Slot10_SpendLike=1,DK61-DL61,IF(Slot10_PotFree=1,DK61,0))</f>
        <v>0</v>
      </c>
      <c r="DP61" s="20" t="n">
        <f aca="false">DF61+DI61*Slot10_BufPot*DK61</f>
        <v>0</v>
      </c>
      <c r="DQ61" s="20" t="n">
        <f aca="false">IF(AND(DI61=1,Slot10_IsMfree=1),IF(DN61&gt;=Slot10_Cost-1,0,MAX(0,DG61-DN61)),DG61)</f>
        <v>0</v>
      </c>
      <c r="DR61" s="20" t="n">
        <f aca="false">DI61*(Slot10_Cost-DN61)</f>
        <v>0</v>
      </c>
      <c r="DS61" s="20" t="n">
        <f aca="false">IF(AND(Slot11_On=1,D61=Slot11_Age),1,0)</f>
        <v>0</v>
      </c>
      <c r="DT61" s="20" t="n">
        <f aca="false">IF(AND(Slot11_On=1,Slot11_Age&gt;D61),1,0)</f>
        <v>0</v>
      </c>
      <c r="DU61" s="20" t="n">
        <f aca="false">SA60</f>
        <v>0</v>
      </c>
      <c r="DV61" s="20" t="n">
        <f aca="false">DS61*MIN(Slot11_Cost,DU61)</f>
        <v>0</v>
      </c>
      <c r="DW61" s="20" t="n">
        <f aca="false">DS61*Slot11_SpendLike*MIN(Slot11_Cost-DV61,DO61)</f>
        <v>0</v>
      </c>
      <c r="DX61" s="20" t="n">
        <f aca="false">DV61+DW61</f>
        <v>0</v>
      </c>
      <c r="DY61" s="20" t="n">
        <f aca="false">DO61-DW61+DS61*IF(Slot11_SpendLike=1,DU61-DV61,IF(Slot11_PotFree=1,DU61,0))</f>
        <v>0</v>
      </c>
      <c r="DZ61" s="20" t="n">
        <f aca="false">DP61+DS61*Slot11_BufPot*DU61</f>
        <v>0</v>
      </c>
      <c r="EA61" s="20" t="n">
        <f aca="false">IF(AND(DS61=1,Slot11_IsMfree=1),IF(DX61&gt;=Slot11_Cost-1,0,MAX(0,DQ61-DX61)),DQ61)</f>
        <v>0</v>
      </c>
      <c r="EB61" s="20" t="n">
        <f aca="false">DS61*(Slot11_Cost-DX61)</f>
        <v>0</v>
      </c>
      <c r="EC61" s="20" t="n">
        <f aca="false">IF(AND(Slot12_On=1,D61=Slot12_Age),1,0)</f>
        <v>0</v>
      </c>
      <c r="ED61" s="20" t="n">
        <f aca="false">IF(AND(Slot12_On=1,Slot12_Age&gt;D61),1,0)</f>
        <v>0</v>
      </c>
      <c r="EE61" s="20" t="n">
        <f aca="false">SE60</f>
        <v>0</v>
      </c>
      <c r="EF61" s="20" t="n">
        <f aca="false">EC61*MIN(Slot12_Cost,EE61)</f>
        <v>0</v>
      </c>
      <c r="EG61" s="20" t="n">
        <f aca="false">EC61*Slot12_SpendLike*MIN(Slot12_Cost-EF61,DY61)</f>
        <v>0</v>
      </c>
      <c r="EH61" s="20" t="n">
        <f aca="false">EF61+EG61</f>
        <v>0</v>
      </c>
      <c r="EI61" s="20" t="n">
        <f aca="false">DY61-EG61+EC61*IF(Slot12_SpendLike=1,EE61-EF61,IF(Slot12_PotFree=1,EE61,0))</f>
        <v>0</v>
      </c>
      <c r="EJ61" s="20" t="n">
        <f aca="false">DZ61+EC61*Slot12_BufPot*EE61</f>
        <v>0</v>
      </c>
      <c r="EK61" s="20" t="n">
        <f aca="false">IF(AND(EC61=1,Slot12_IsMfree=1),IF(EH61&gt;=Slot12_Cost-1,0,MAX(0,EA61-EH61)),EA61)</f>
        <v>0</v>
      </c>
      <c r="EL61" s="20" t="n">
        <f aca="false">EC61*(Slot12_Cost-EH61)</f>
        <v>0</v>
      </c>
      <c r="EM61" s="20" t="n">
        <f aca="false">IF(AND(Slot13_On=1,D61=Slot13_Age),1,0)</f>
        <v>0</v>
      </c>
      <c r="EN61" s="20" t="n">
        <f aca="false">IF(AND(Slot13_On=1,Slot13_Age&gt;D61),1,0)</f>
        <v>0</v>
      </c>
      <c r="EO61" s="20" t="n">
        <f aca="false">SI60</f>
        <v>0</v>
      </c>
      <c r="EP61" s="20" t="n">
        <f aca="false">EM61*MIN(Slot13_Cost,EO61)</f>
        <v>0</v>
      </c>
      <c r="EQ61" s="20" t="n">
        <f aca="false">EM61*Slot13_SpendLike*MIN(Slot13_Cost-EP61,EI61)</f>
        <v>0</v>
      </c>
      <c r="ER61" s="20" t="n">
        <f aca="false">EP61+EQ61</f>
        <v>0</v>
      </c>
      <c r="ES61" s="20" t="n">
        <f aca="false">EI61-EQ61+EM61*IF(Slot13_SpendLike=1,EO61-EP61,IF(Slot13_PotFree=1,EO61,0))</f>
        <v>0</v>
      </c>
      <c r="ET61" s="20" t="n">
        <f aca="false">EJ61+EM61*Slot13_BufPot*EO61</f>
        <v>0</v>
      </c>
      <c r="EU61" s="20" t="n">
        <f aca="false">IF(AND(EM61=1,Slot13_IsMfree=1),IF(ER61&gt;=Slot13_Cost-1,0,MAX(0,EK61-ER61)),EK61)</f>
        <v>0</v>
      </c>
      <c r="EV61" s="20" t="n">
        <f aca="false">EM61*(Slot13_Cost-ER61)</f>
        <v>0</v>
      </c>
      <c r="EW61" s="20" t="n">
        <f aca="false">IF(AND(Slot14_On=1,D61=Slot14_Age),1,0)</f>
        <v>0</v>
      </c>
      <c r="EX61" s="20" t="n">
        <f aca="false">IF(AND(Slot14_On=1,Slot14_Age&gt;D61),1,0)</f>
        <v>0</v>
      </c>
      <c r="EY61" s="20" t="n">
        <f aca="false">SM60</f>
        <v>0</v>
      </c>
      <c r="EZ61" s="20" t="n">
        <f aca="false">EW61*MIN(Slot14_Cost,EY61)</f>
        <v>0</v>
      </c>
      <c r="FA61" s="20" t="n">
        <f aca="false">EW61*Slot14_SpendLike*MIN(Slot14_Cost-EZ61,ES61)</f>
        <v>0</v>
      </c>
      <c r="FB61" s="20" t="n">
        <f aca="false">EZ61+FA61</f>
        <v>0</v>
      </c>
      <c r="FC61" s="20" t="n">
        <f aca="false">ES61-FA61+EW61*IF(Slot14_SpendLike=1,EY61-EZ61,IF(Slot14_PotFree=1,EY61,0))</f>
        <v>0</v>
      </c>
      <c r="FD61" s="20" t="n">
        <f aca="false">ET61+EW61*Slot14_BufPot*EY61</f>
        <v>0</v>
      </c>
      <c r="FE61" s="20" t="n">
        <f aca="false">IF(AND(EW61=1,Slot14_IsMfree=1),IF(FB61&gt;=Slot14_Cost-1,0,MAX(0,EU61-FB61)),EU61)</f>
        <v>0</v>
      </c>
      <c r="FF61" s="20" t="n">
        <f aca="false">EW61*(Slot14_Cost-FB61)</f>
        <v>0</v>
      </c>
      <c r="FG61" s="20" t="n">
        <f aca="false">IF(AND(Slot15_On=1,D61=Slot15_Age),1,0)</f>
        <v>0</v>
      </c>
      <c r="FH61" s="20" t="n">
        <f aca="false">IF(AND(Slot15_On=1,Slot15_Age&gt;D61),1,0)</f>
        <v>0</v>
      </c>
      <c r="FI61" s="20" t="n">
        <f aca="false">SQ60</f>
        <v>0</v>
      </c>
      <c r="FJ61" s="20" t="n">
        <f aca="false">FG61*MIN(Slot15_Cost,FI61)</f>
        <v>0</v>
      </c>
      <c r="FK61" s="20" t="n">
        <f aca="false">FG61*Slot15_SpendLike*MIN(Slot15_Cost-FJ61,FC61)</f>
        <v>0</v>
      </c>
      <c r="FL61" s="20" t="n">
        <f aca="false">FJ61+FK61</f>
        <v>0</v>
      </c>
      <c r="FM61" s="20" t="n">
        <f aca="false">FC61-FK61+FG61*IF(Slot15_SpendLike=1,FI61-FJ61,IF(Slot15_PotFree=1,FI61,0))</f>
        <v>0</v>
      </c>
      <c r="FN61" s="20" t="n">
        <f aca="false">FD61+FG61*Slot15_BufPot*FI61</f>
        <v>0</v>
      </c>
      <c r="FO61" s="20" t="n">
        <f aca="false">IF(AND(FG61=1,Slot15_IsMfree=1),IF(FL61&gt;=Slot15_Cost-1,0,MAX(0,FE61-FL61)),FE61)</f>
        <v>0</v>
      </c>
      <c r="FP61" s="20" t="n">
        <f aca="false">FG61*(Slot15_Cost-FL61)</f>
        <v>0</v>
      </c>
      <c r="FQ61" s="20" t="n">
        <f aca="false">IF(AND(Slot16_On=1,D61=Slot16_Age),1,0)</f>
        <v>0</v>
      </c>
      <c r="FR61" s="20" t="n">
        <f aca="false">IF(AND(Slot16_On=1,Slot16_Age&gt;D61),1,0)</f>
        <v>0</v>
      </c>
      <c r="FS61" s="20" t="n">
        <f aca="false">SU60</f>
        <v>0</v>
      </c>
      <c r="FT61" s="20" t="n">
        <f aca="false">FQ61*MIN(Slot16_Cost,FS61)</f>
        <v>0</v>
      </c>
      <c r="FU61" s="20" t="n">
        <f aca="false">FQ61*Slot16_SpendLike*MIN(Slot16_Cost-FT61,FM61)</f>
        <v>0</v>
      </c>
      <c r="FV61" s="20" t="n">
        <f aca="false">FT61+FU61</f>
        <v>0</v>
      </c>
      <c r="FW61" s="20" t="n">
        <f aca="false">FM61-FU61+FQ61*IF(Slot16_SpendLike=1,FS61-FT61,IF(Slot16_PotFree=1,FS61,0))</f>
        <v>0</v>
      </c>
      <c r="FX61" s="20" t="n">
        <f aca="false">FN61+FQ61*Slot16_BufPot*FS61</f>
        <v>0</v>
      </c>
      <c r="FY61" s="20" t="n">
        <f aca="false">IF(AND(FQ61=1,Slot16_IsMfree=1),IF(FV61&gt;=Slot16_Cost-1,0,MAX(0,FO61-FV61)),FO61)</f>
        <v>0</v>
      </c>
      <c r="FZ61" s="20" t="n">
        <f aca="false">FQ61*(Slot16_Cost-FV61)</f>
        <v>0</v>
      </c>
      <c r="GA61" s="20" t="n">
        <f aca="false">IF(AND(Slot17_On=1,D61=Slot17_Age),1,0)</f>
        <v>0</v>
      </c>
      <c r="GB61" s="20" t="n">
        <f aca="false">IF(AND(Slot17_On=1,Slot17_Age&gt;D61),1,0)</f>
        <v>0</v>
      </c>
      <c r="GC61" s="20" t="n">
        <f aca="false">SY60</f>
        <v>0</v>
      </c>
      <c r="GD61" s="20" t="n">
        <f aca="false">GA61*MIN(Slot17_Cost,GC61)</f>
        <v>0</v>
      </c>
      <c r="GE61" s="20" t="n">
        <f aca="false">GA61*Slot17_SpendLike*MIN(Slot17_Cost-GD61,FW61)</f>
        <v>0</v>
      </c>
      <c r="GF61" s="20" t="n">
        <f aca="false">GD61+GE61</f>
        <v>0</v>
      </c>
      <c r="GG61" s="20" t="n">
        <f aca="false">FW61-GE61+GA61*IF(Slot17_SpendLike=1,GC61-GD61,IF(Slot17_PotFree=1,GC61,0))</f>
        <v>0</v>
      </c>
      <c r="GH61" s="20" t="n">
        <f aca="false">FX61+GA61*Slot17_BufPot*GC61</f>
        <v>0</v>
      </c>
      <c r="GI61" s="20" t="n">
        <f aca="false">IF(AND(GA61=1,Slot17_IsMfree=1),IF(GF61&gt;=Slot17_Cost-1,0,MAX(0,FY61-GF61)),FY61)</f>
        <v>0</v>
      </c>
      <c r="GJ61" s="20" t="n">
        <f aca="false">GA61*(Slot17_Cost-GF61)</f>
        <v>0</v>
      </c>
      <c r="GK61" s="20" t="n">
        <f aca="false">IF(AND(Slot18_On=1,D61=Slot18_Age),1,0)</f>
        <v>0</v>
      </c>
      <c r="GL61" s="20" t="n">
        <f aca="false">IF(AND(Slot18_On=1,Slot18_Age&gt;D61),1,0)</f>
        <v>0</v>
      </c>
      <c r="GM61" s="20" t="n">
        <f aca="false">TC60</f>
        <v>0</v>
      </c>
      <c r="GN61" s="20" t="n">
        <f aca="false">GK61*MIN(Slot18_Cost,GM61)</f>
        <v>0</v>
      </c>
      <c r="GO61" s="20" t="n">
        <f aca="false">GK61*Slot18_SpendLike*MIN(Slot18_Cost-GN61,GG61)</f>
        <v>0</v>
      </c>
      <c r="GP61" s="20" t="n">
        <f aca="false">GN61+GO61</f>
        <v>0</v>
      </c>
      <c r="GQ61" s="20" t="n">
        <f aca="false">GG61-GO61+GK61*IF(Slot18_SpendLike=1,GM61-GN61,IF(Slot18_PotFree=1,GM61,0))</f>
        <v>0</v>
      </c>
      <c r="GR61" s="20" t="n">
        <f aca="false">GH61+GK61*Slot18_BufPot*GM61</f>
        <v>0</v>
      </c>
      <c r="GS61" s="20" t="n">
        <f aca="false">IF(AND(GK61=1,Slot18_IsMfree=1),IF(GP61&gt;=Slot18_Cost-1,0,MAX(0,GI61-GP61)),GI61)</f>
        <v>0</v>
      </c>
      <c r="GT61" s="20" t="n">
        <f aca="false">GK61*(Slot18_Cost-GP61)</f>
        <v>0</v>
      </c>
      <c r="GU61" s="20" t="n">
        <f aca="false">IF(AND(Slot19_On=1,D61=Slot19_Age),1,0)</f>
        <v>0</v>
      </c>
      <c r="GV61" s="20" t="n">
        <f aca="false">IF(AND(Slot19_On=1,Slot19_Age&gt;D61),1,0)</f>
        <v>0</v>
      </c>
      <c r="GW61" s="20" t="n">
        <f aca="false">TG60</f>
        <v>0</v>
      </c>
      <c r="GX61" s="20" t="n">
        <f aca="false">GU61*MIN(Slot19_Cost,GW61)</f>
        <v>0</v>
      </c>
      <c r="GY61" s="20" t="n">
        <f aca="false">GU61*Slot19_SpendLike*MIN(Slot19_Cost-GX61,GQ61)</f>
        <v>0</v>
      </c>
      <c r="GZ61" s="20" t="n">
        <f aca="false">GX61+GY61</f>
        <v>0</v>
      </c>
      <c r="HA61" s="20" t="n">
        <f aca="false">GQ61-GY61+GU61*IF(Slot19_SpendLike=1,GW61-GX61,IF(Slot19_PotFree=1,GW61,0))</f>
        <v>0</v>
      </c>
      <c r="HB61" s="20" t="n">
        <f aca="false">GR61+GU61*Slot19_BufPot*GW61</f>
        <v>0</v>
      </c>
      <c r="HC61" s="20" t="n">
        <f aca="false">IF(AND(GU61=1,Slot19_IsMfree=1),IF(GZ61&gt;=Slot19_Cost-1,0,MAX(0,GS61-GZ61)),GS61)</f>
        <v>0</v>
      </c>
      <c r="HD61" s="20" t="n">
        <f aca="false">GU61*(Slot19_Cost-GZ61)</f>
        <v>0</v>
      </c>
      <c r="HE61" s="20" t="n">
        <f aca="false">IF(AND(Slot20_On=1,D61=Slot20_Age),1,0)</f>
        <v>0</v>
      </c>
      <c r="HF61" s="20" t="n">
        <f aca="false">IF(AND(Slot20_On=1,Slot20_Age&gt;D61),1,0)</f>
        <v>0</v>
      </c>
      <c r="HG61" s="20" t="n">
        <f aca="false">TK60</f>
        <v>0</v>
      </c>
      <c r="HH61" s="20" t="n">
        <f aca="false">HE61*MIN(Slot20_Cost,HG61)</f>
        <v>0</v>
      </c>
      <c r="HI61" s="20" t="n">
        <f aca="false">HE61*Slot20_SpendLike*MIN(Slot20_Cost-HH61,HA61)</f>
        <v>0</v>
      </c>
      <c r="HJ61" s="20" t="n">
        <f aca="false">HH61+HI61</f>
        <v>0</v>
      </c>
      <c r="HK61" s="20" t="n">
        <f aca="false">HA61-HI61+HE61*IF(Slot20_SpendLike=1,HG61-HH61,IF(Slot20_PotFree=1,HG61,0))</f>
        <v>0</v>
      </c>
      <c r="HL61" s="20" t="n">
        <f aca="false">HB61+HE61*Slot20_BufPot*HG61</f>
        <v>0</v>
      </c>
      <c r="HM61" s="20" t="n">
        <f aca="false">IF(AND(HE61=1,Slot20_IsMfree=1),IF(HJ61&gt;=Slot20_Cost-1,0,MAX(0,HC61-HJ61)),HC61)</f>
        <v>0</v>
      </c>
      <c r="HN61" s="20" t="n">
        <f aca="false">HE61*(Slot20_Cost-HJ61)</f>
        <v>0</v>
      </c>
      <c r="HO61" s="20" t="n">
        <f aca="false">V61*Slot1_SpendLike*AA61+AG61*Slot2_SpendLike*AL61+AQ61*Slot3_SpendLike*AV61+BA61*Slot4_SpendLike*BF61+BK61*Slot5_SpendLike*BP61+BU61*Slot6_SpendLike*BZ61+CE61*Slot7_SpendLike*CJ61+CO61*Slot8_SpendLike*CT61+CY61*Slot9_SpendLike*DD61+DI61*Slot10_SpendLike*DN61+DS61*Slot11_SpendLike*DX61+EC61*Slot12_SpendLike*EH61+EM61*Slot13_SpendLike*ER61+EW61*Slot14_SpendLike*FB61+FG61*Slot15_SpendLike*FL61+FQ61*Slot16_SpendLike*FV61+GA61*Slot17_SpendLike*GF61+GK61*Slot18_SpendLike*GP61+GU61*Slot19_SpendLike*GZ61+HE61*Slot20_SpendLike*HJ61</f>
        <v>0</v>
      </c>
      <c r="HP61" s="20" t="n">
        <f aca="false">AE61+AP61+AZ61+BJ61+BT61+CD61+CN61+CX61+DH61+DR61+EB61+EL61+EV61+FF61+FP61+FZ61+GJ61+GT61+HD61+HN61</f>
        <v>0</v>
      </c>
      <c r="HQ61" s="20" t="n">
        <f aca="false">V61*Slot1_Cost+AG61*Slot2_Cost+AQ61*Slot3_Cost+BA61*Slot4_Cost+BK61*Slot5_Cost+BU61*Slot6_Cost+CE61*Slot7_Cost+CO61*Slot8_Cost+CY61*Slot9_Cost+DI61*Slot10_Cost+DS61*Slot11_Cost+EC61*Slot12_Cost+EM61*Slot13_Cost+EW61*Slot14_Cost+FG61*Slot15_Cost+FQ61*Slot16_Cost+GA61*Slot17_Cost+GK61*Slot18_Cost+GU61*Slot19_Cost+HE61*Slot20_Cost</f>
        <v>0</v>
      </c>
      <c r="HR61" s="20" t="n">
        <f aca="false">HM61</f>
        <v>0</v>
      </c>
      <c r="HS61" s="20" t="n">
        <f aca="false">H61-I61-S61</f>
        <v>-28321.5193716224</v>
      </c>
      <c r="HT61" s="20" t="n">
        <f aca="false">IF(B61=0,IF(AND(Has_q6=1,In_q6=4),PR_ShareVaries*(MAX(0,HS61)/12),MIN(IF(Has_q6=1,CHOOSE(In_q6+1,PR_SaveB1,PR_SaveB2,PR_SaveB3,PR_SaveB4,0),AS_NoAnswer),AS_SaveShare*(MAX(0,HS61)/12))),HT60)</f>
        <v>67.3316893520437</v>
      </c>
      <c r="HU61" s="20" t="n">
        <f aca="false">IF(HS61&gt;=0,1,0)</f>
        <v>0</v>
      </c>
      <c r="HV61" s="20" t="n">
        <f aca="false">MAX(0,HS61/12/F61)</f>
        <v>0</v>
      </c>
      <c r="HW61" s="20" t="n">
        <f aca="false">IF(AND(Has_q6=1,In_q6=4),PR_ShareVaries*(HV61),MIN(IF(Has_q6=1,CHOOSE(In_q6+1,PR_SaveB1,PR_SaveB2,PR_SaveB3,PR_SaveB4,0),AS_NoAnswer),AS_SaveShare*(HV61)))</f>
        <v>0</v>
      </c>
      <c r="HX61" s="20" t="n">
        <f aca="false">IF(Has_saveM=1,IF(In_saveUp="Yes",1,IF(In_saveUp="No",0,IF(In_saveM&gt;=HT61-0.5,1,0))),0)</f>
        <v>0</v>
      </c>
      <c r="HY61" s="20" t="n">
        <f aca="false">IF(Has_saveM=1,MIN(HV61,IF(HX61=1,MAX(In_saveM,HW61),MIN(In_saveM,HW61))),HW61)</f>
        <v>0</v>
      </c>
      <c r="HZ61" s="20" t="n">
        <f aca="false">IF(G61=1,HY61*12*F61,0)</f>
        <v>0</v>
      </c>
      <c r="IA61" s="20" t="n">
        <f aca="false">MAX(0,HZ61+IF(AND(WI_Retire=0,WI_M&lt;0,G61=1),WI_M*12*F61,0))</f>
        <v>0</v>
      </c>
      <c r="IB61" s="20" t="n">
        <f aca="false">Slot1_IsWG*W61+Slot2_IsWG*AH61+Slot3_IsWG*AR61+Slot4_IsWG*BB61+Slot5_IsWG*BL61+Slot6_IsWG*BV61+Slot7_IsWG*CF61+Slot8_IsWG*CP61+Slot9_IsWG*CZ61+Slot10_IsWG*DJ61+Slot11_IsWG*DT61+Slot12_IsWG*ED61+Slot13_IsWG*EN61+Slot14_IsWG*EX61+Slot15_IsWG*FH61+Slot16_IsWG*FR61+Slot17_IsWG*GB61+Slot18_IsWG*GL61+Slot19_IsWG*GV61+Slot20_IsWG*HF61</f>
        <v>0</v>
      </c>
      <c r="IC61" s="20" t="n">
        <f aca="false">IF(AND(WI_Retire=0,WI_M&gt;0,G61=1,IB61&gt;=1),WI_M*12*F61,0)</f>
        <v>0</v>
      </c>
      <c r="ID61" s="20" t="n">
        <f aca="false">IF(HU61=1,MIN(IA61,HS61),0)</f>
        <v>0</v>
      </c>
      <c r="IE61" s="20" t="n">
        <f aca="false">IF(HU61=1,MIN(IC61,HS61-ID61),0)</f>
        <v>0</v>
      </c>
      <c r="IF61" s="20" t="n">
        <f aca="false">IF(W61=1,IF(ABS((1+AS_Wage)/(1+Slot1_Rate)-1)&lt;0.000000000001,(Slot1_Age-D61)*(1+Slot1_Rate)^(Slot1_Age-D61),(1+Slot1_Rate)^(Slot1_Age-D61)*(1-((1+AS_Wage)/(1+Slot1_Rate))^(Slot1_Age-D61))/(1-(1+AS_Wage)/(1+Slot1_Rate))),1)</f>
        <v>1</v>
      </c>
      <c r="IG61" s="20" t="n">
        <f aca="false">IF(AND(HU61=1,IE61&gt;0,Slot1_IsWG=1,W61=1),MAX(0,(Slot1_Cost-X61*(1+Slot1_Rate)^(Slot1_Age-D61))/IF61),0)</f>
        <v>0</v>
      </c>
      <c r="IH61" s="20" t="n">
        <f aca="false">IF(AND(HU61=1,IE61&gt;0,Slot1_IsWG=1,W61=1),MIN(IE61,IG61),0)</f>
        <v>0</v>
      </c>
      <c r="II61" s="20" t="n">
        <f aca="false">X61+IH61</f>
        <v>0</v>
      </c>
      <c r="IJ61" s="20" t="n">
        <f aca="false">IF(W61=1,MAX(0,(Slot1_Cost-II61*(1+Slot1_Rate)^(Slot1_Age-D61))/IF61),0)</f>
        <v>0</v>
      </c>
      <c r="IK61" s="20" t="n">
        <f aca="false">IF(W61=1,MAX(0,(Slot1_Cost-X61*(1+Slot1_Rate)^(Slot1_Age-D61))/IF61),0)</f>
        <v>0</v>
      </c>
      <c r="IL61" s="20" t="n">
        <f aca="false">IF(AND(HU61=1,W61=1),MIN(ID61,IJ61),0)</f>
        <v>0</v>
      </c>
      <c r="IM61" s="20" t="n">
        <f aca="false">ID61-IL61</f>
        <v>0</v>
      </c>
      <c r="IN61" s="20" t="n">
        <f aca="false">IF(AH61=1,IF(ABS((1+AS_Wage)/(1+Slot2_Rate)-1)&lt;0.000000000001,(Slot2_Age-D61)*(1+Slot2_Rate)^(Slot2_Age-D61),(1+Slot2_Rate)^(Slot2_Age-D61)*(1-((1+AS_Wage)/(1+Slot2_Rate))^(Slot2_Age-D61))/(1-(1+AS_Wage)/(1+Slot2_Rate))),1)</f>
        <v>1</v>
      </c>
      <c r="IO61" s="20" t="n">
        <f aca="false">IF(AND(HU61=1,IE61&gt;0,Slot2_IsWG=1,AH61=1),MAX(0,(Slot2_Cost-AI61*(1+Slot2_Rate)^(Slot2_Age-D61))/IN61),0)</f>
        <v>0</v>
      </c>
      <c r="IP61" s="20" t="n">
        <f aca="false">IF(AND(HU61=1,IE61&gt;0,Slot2_IsWG=1,AH61=1),MIN(IE61,IO61),0)</f>
        <v>0</v>
      </c>
      <c r="IQ61" s="20" t="n">
        <f aca="false">AI61+IP61</f>
        <v>0</v>
      </c>
      <c r="IR61" s="20" t="n">
        <f aca="false">IF(AH61=1,MAX(0,(Slot2_Cost-IQ61*(1+Slot2_Rate)^(Slot2_Age-D61))/IN61),0)</f>
        <v>0</v>
      </c>
      <c r="IS61" s="20" t="n">
        <f aca="false">IF(AH61=1,MAX(0,(Slot2_Cost-AI61*(1+Slot2_Rate)^(Slot2_Age-D61))/IN61),0)</f>
        <v>0</v>
      </c>
      <c r="IT61" s="20" t="n">
        <f aca="false">IF(AND(HU61=1,AH61=1),MIN(IM61,IR61),0)</f>
        <v>0</v>
      </c>
      <c r="IU61" s="20" t="n">
        <f aca="false">IM61-IT61</f>
        <v>0</v>
      </c>
      <c r="IV61" s="20" t="n">
        <f aca="false">IF(AR61=1,IF(ABS((1+AS_Wage)/(1+Slot3_Rate)-1)&lt;0.000000000001,(Slot3_Age-D61)*(1+Slot3_Rate)^(Slot3_Age-D61),(1+Slot3_Rate)^(Slot3_Age-D61)*(1-((1+AS_Wage)/(1+Slot3_Rate))^(Slot3_Age-D61))/(1-(1+AS_Wage)/(1+Slot3_Rate))),1)</f>
        <v>1</v>
      </c>
      <c r="IW61" s="20" t="n">
        <f aca="false">IF(AND(HU61=1,IE61&gt;0,Slot3_IsWG=1,AR61=1),MAX(0,(Slot3_Cost-AS61*(1+Slot3_Rate)^(Slot3_Age-D61))/IV61),0)</f>
        <v>0</v>
      </c>
      <c r="IX61" s="20" t="n">
        <f aca="false">IF(AND(HU61=1,IE61&gt;0,Slot3_IsWG=1,AR61=1),MIN(IE61,IW61),0)</f>
        <v>0</v>
      </c>
      <c r="IY61" s="20" t="n">
        <f aca="false">AS61+IX61</f>
        <v>0</v>
      </c>
      <c r="IZ61" s="20" t="n">
        <f aca="false">IF(AR61=1,MAX(0,(Slot3_Cost-IY61*(1+Slot3_Rate)^(Slot3_Age-D61))/IV61),0)</f>
        <v>0</v>
      </c>
      <c r="JA61" s="20" t="n">
        <f aca="false">IF(AR61=1,MAX(0,(Slot3_Cost-AS61*(1+Slot3_Rate)^(Slot3_Age-D61))/IV61),0)</f>
        <v>0</v>
      </c>
      <c r="JB61" s="20" t="n">
        <f aca="false">IF(AND(HU61=1,AR61=1),MIN(IU61,IZ61),0)</f>
        <v>0</v>
      </c>
      <c r="JC61" s="20" t="n">
        <f aca="false">IU61-JB61</f>
        <v>0</v>
      </c>
      <c r="JD61" s="20" t="n">
        <f aca="false">IF(BB61=1,IF(ABS((1+AS_Wage)/(1+Slot4_Rate)-1)&lt;0.000000000001,(Slot4_Age-D61)*(1+Slot4_Rate)^(Slot4_Age-D61),(1+Slot4_Rate)^(Slot4_Age-D61)*(1-((1+AS_Wage)/(1+Slot4_Rate))^(Slot4_Age-D61))/(1-(1+AS_Wage)/(1+Slot4_Rate))),1)</f>
        <v>1</v>
      </c>
      <c r="JE61" s="20" t="n">
        <f aca="false">IF(AND(HU61=1,IE61&gt;0,Slot4_IsWG=1,BB61=1),MAX(0,(Slot4_Cost-BC61*(1+Slot4_Rate)^(Slot4_Age-D61))/JD61),0)</f>
        <v>0</v>
      </c>
      <c r="JF61" s="20" t="n">
        <f aca="false">IF(AND(HU61=1,IE61&gt;0,Slot4_IsWG=1,BB61=1),MIN(IE61,JE61),0)</f>
        <v>0</v>
      </c>
      <c r="JG61" s="20" t="n">
        <f aca="false">BC61+JF61</f>
        <v>0</v>
      </c>
      <c r="JH61" s="20" t="n">
        <f aca="false">IF(BB61=1,MAX(0,(Slot4_Cost-JG61*(1+Slot4_Rate)^(Slot4_Age-D61))/JD61),0)</f>
        <v>0</v>
      </c>
      <c r="JI61" s="20" t="n">
        <f aca="false">IF(BB61=1,MAX(0,(Slot4_Cost-BC61*(1+Slot4_Rate)^(Slot4_Age-D61))/JD61),0)</f>
        <v>0</v>
      </c>
      <c r="JJ61" s="20" t="n">
        <f aca="false">IF(AND(HU61=1,BB61=1),MIN(JC61,JH61),0)</f>
        <v>0</v>
      </c>
      <c r="JK61" s="20" t="n">
        <f aca="false">JC61-JJ61</f>
        <v>0</v>
      </c>
      <c r="JL61" s="20" t="n">
        <f aca="false">IF(BL61=1,IF(ABS((1+AS_Wage)/(1+Slot5_Rate)-1)&lt;0.000000000001,(Slot5_Age-D61)*(1+Slot5_Rate)^(Slot5_Age-D61),(1+Slot5_Rate)^(Slot5_Age-D61)*(1-((1+AS_Wage)/(1+Slot5_Rate))^(Slot5_Age-D61))/(1-(1+AS_Wage)/(1+Slot5_Rate))),1)</f>
        <v>1</v>
      </c>
      <c r="JM61" s="20" t="n">
        <f aca="false">IF(AND(HU61=1,IE61&gt;0,Slot5_IsWG=1,BL61=1),MAX(0,(Slot5_Cost-BM61*(1+Slot5_Rate)^(Slot5_Age-D61))/JL61),0)</f>
        <v>0</v>
      </c>
      <c r="JN61" s="20" t="n">
        <f aca="false">IF(AND(HU61=1,IE61&gt;0,Slot5_IsWG=1,BL61=1),MIN(IE61,JM61),0)</f>
        <v>0</v>
      </c>
      <c r="JO61" s="20" t="n">
        <f aca="false">BM61+JN61</f>
        <v>0</v>
      </c>
      <c r="JP61" s="20" t="n">
        <f aca="false">IF(BL61=1,MAX(0,(Slot5_Cost-JO61*(1+Slot5_Rate)^(Slot5_Age-D61))/JL61),0)</f>
        <v>0</v>
      </c>
      <c r="JQ61" s="20" t="n">
        <f aca="false">IF(BL61=1,MAX(0,(Slot5_Cost-BM61*(1+Slot5_Rate)^(Slot5_Age-D61))/JL61),0)</f>
        <v>0</v>
      </c>
      <c r="JR61" s="20" t="n">
        <f aca="false">IF(AND(HU61=1,BL61=1),MIN(JK61,JP61),0)</f>
        <v>0</v>
      </c>
      <c r="JS61" s="20" t="n">
        <f aca="false">JK61-JR61</f>
        <v>0</v>
      </c>
      <c r="JT61" s="20" t="n">
        <f aca="false">IF(BV61=1,IF(ABS((1+AS_Wage)/(1+Slot6_Rate)-1)&lt;0.000000000001,(Slot6_Age-D61)*(1+Slot6_Rate)^(Slot6_Age-D61),(1+Slot6_Rate)^(Slot6_Age-D61)*(1-((1+AS_Wage)/(1+Slot6_Rate))^(Slot6_Age-D61))/(1-(1+AS_Wage)/(1+Slot6_Rate))),1)</f>
        <v>1</v>
      </c>
      <c r="JU61" s="20" t="n">
        <f aca="false">IF(AND(HU61=1,IE61&gt;0,Slot6_IsWG=1,BV61=1),MAX(0,(Slot6_Cost-BW61*(1+Slot6_Rate)^(Slot6_Age-D61))/JT61),0)</f>
        <v>0</v>
      </c>
      <c r="JV61" s="20" t="n">
        <f aca="false">IF(AND(HU61=1,IE61&gt;0,Slot6_IsWG=1,BV61=1),MIN(IE61,JU61),0)</f>
        <v>0</v>
      </c>
      <c r="JW61" s="20" t="n">
        <f aca="false">BW61+JV61</f>
        <v>0</v>
      </c>
      <c r="JX61" s="20" t="n">
        <f aca="false">IF(BV61=1,MAX(0,(Slot6_Cost-JW61*(1+Slot6_Rate)^(Slot6_Age-D61))/JT61),0)</f>
        <v>0</v>
      </c>
      <c r="JY61" s="20" t="n">
        <f aca="false">IF(BV61=1,MAX(0,(Slot6_Cost-BW61*(1+Slot6_Rate)^(Slot6_Age-D61))/JT61),0)</f>
        <v>0</v>
      </c>
      <c r="JZ61" s="20" t="n">
        <f aca="false">IF(AND(HU61=1,BV61=1),MIN(JS61,JX61),0)</f>
        <v>0</v>
      </c>
      <c r="KA61" s="20" t="n">
        <f aca="false">JS61-JZ61</f>
        <v>0</v>
      </c>
      <c r="KB61" s="20" t="n">
        <f aca="false">IF(CF61=1,IF(ABS((1+AS_Wage)/(1+Slot7_Rate)-1)&lt;0.000000000001,(Slot7_Age-D61)*(1+Slot7_Rate)^(Slot7_Age-D61),(1+Slot7_Rate)^(Slot7_Age-D61)*(1-((1+AS_Wage)/(1+Slot7_Rate))^(Slot7_Age-D61))/(1-(1+AS_Wage)/(1+Slot7_Rate))),1)</f>
        <v>1</v>
      </c>
      <c r="KC61" s="20" t="n">
        <f aca="false">IF(AND(HU61=1,IE61&gt;0,Slot7_IsWG=1,CF61=1),MAX(0,(Slot7_Cost-CG61*(1+Slot7_Rate)^(Slot7_Age-D61))/KB61),0)</f>
        <v>0</v>
      </c>
      <c r="KD61" s="20" t="n">
        <f aca="false">IF(AND(HU61=1,IE61&gt;0,Slot7_IsWG=1,CF61=1),MIN(IE61,KC61),0)</f>
        <v>0</v>
      </c>
      <c r="KE61" s="20" t="n">
        <f aca="false">CG61+KD61</f>
        <v>0</v>
      </c>
      <c r="KF61" s="20" t="n">
        <f aca="false">IF(CF61=1,MAX(0,(Slot7_Cost-KE61*(1+Slot7_Rate)^(Slot7_Age-D61))/KB61),0)</f>
        <v>0</v>
      </c>
      <c r="KG61" s="20" t="n">
        <f aca="false">IF(CF61=1,MAX(0,(Slot7_Cost-CG61*(1+Slot7_Rate)^(Slot7_Age-D61))/KB61),0)</f>
        <v>0</v>
      </c>
      <c r="KH61" s="20" t="n">
        <f aca="false">IF(AND(HU61=1,CF61=1),MIN(KA61,KF61),0)</f>
        <v>0</v>
      </c>
      <c r="KI61" s="20" t="n">
        <f aca="false">KA61-KH61</f>
        <v>0</v>
      </c>
      <c r="KJ61" s="20" t="n">
        <f aca="false">IF(CP61=1,IF(ABS((1+AS_Wage)/(1+Slot8_Rate)-1)&lt;0.000000000001,(Slot8_Age-D61)*(1+Slot8_Rate)^(Slot8_Age-D61),(1+Slot8_Rate)^(Slot8_Age-D61)*(1-((1+AS_Wage)/(1+Slot8_Rate))^(Slot8_Age-D61))/(1-(1+AS_Wage)/(1+Slot8_Rate))),1)</f>
        <v>1</v>
      </c>
      <c r="KK61" s="20" t="n">
        <f aca="false">IF(AND(HU61=1,IE61&gt;0,Slot8_IsWG=1,CP61=1),MAX(0,(Slot8_Cost-CQ61*(1+Slot8_Rate)^(Slot8_Age-D61))/KJ61),0)</f>
        <v>0</v>
      </c>
      <c r="KL61" s="20" t="n">
        <f aca="false">IF(AND(HU61=1,IE61&gt;0,Slot8_IsWG=1,CP61=1),MIN(IE61,KK61),0)</f>
        <v>0</v>
      </c>
      <c r="KM61" s="20" t="n">
        <f aca="false">CQ61+KL61</f>
        <v>0</v>
      </c>
      <c r="KN61" s="20" t="n">
        <f aca="false">IF(CP61=1,MAX(0,(Slot8_Cost-KM61*(1+Slot8_Rate)^(Slot8_Age-D61))/KJ61),0)</f>
        <v>0</v>
      </c>
      <c r="KO61" s="20" t="n">
        <f aca="false">IF(CP61=1,MAX(0,(Slot8_Cost-CQ61*(1+Slot8_Rate)^(Slot8_Age-D61))/KJ61),0)</f>
        <v>0</v>
      </c>
      <c r="KP61" s="20" t="n">
        <f aca="false">IF(AND(HU61=1,CP61=1),MIN(KI61,KN61),0)</f>
        <v>0</v>
      </c>
      <c r="KQ61" s="20" t="n">
        <f aca="false">KI61-KP61</f>
        <v>0</v>
      </c>
      <c r="KR61" s="20" t="n">
        <f aca="false">IF(CZ61=1,IF(ABS((1+AS_Wage)/(1+Slot9_Rate)-1)&lt;0.000000000001,(Slot9_Age-D61)*(1+Slot9_Rate)^(Slot9_Age-D61),(1+Slot9_Rate)^(Slot9_Age-D61)*(1-((1+AS_Wage)/(1+Slot9_Rate))^(Slot9_Age-D61))/(1-(1+AS_Wage)/(1+Slot9_Rate))),1)</f>
        <v>1</v>
      </c>
      <c r="KS61" s="20" t="n">
        <f aca="false">IF(AND(HU61=1,IE61&gt;0,Slot9_IsWG=1,CZ61=1),MAX(0,(Slot9_Cost-DA61*(1+Slot9_Rate)^(Slot9_Age-D61))/KR61),0)</f>
        <v>0</v>
      </c>
      <c r="KT61" s="20" t="n">
        <f aca="false">IF(AND(HU61=1,IE61&gt;0,Slot9_IsWG=1,CZ61=1),MIN(IE61,KS61),0)</f>
        <v>0</v>
      </c>
      <c r="KU61" s="20" t="n">
        <f aca="false">DA61+KT61</f>
        <v>0</v>
      </c>
      <c r="KV61" s="20" t="n">
        <f aca="false">IF(CZ61=1,MAX(0,(Slot9_Cost-KU61*(1+Slot9_Rate)^(Slot9_Age-D61))/KR61),0)</f>
        <v>0</v>
      </c>
      <c r="KW61" s="20" t="n">
        <f aca="false">IF(CZ61=1,MAX(0,(Slot9_Cost-DA61*(1+Slot9_Rate)^(Slot9_Age-D61))/KR61),0)</f>
        <v>0</v>
      </c>
      <c r="KX61" s="20" t="n">
        <f aca="false">IF(AND(HU61=1,CZ61=1),MIN(KQ61,KV61),0)</f>
        <v>0</v>
      </c>
      <c r="KY61" s="20" t="n">
        <f aca="false">KQ61-KX61</f>
        <v>0</v>
      </c>
      <c r="KZ61" s="20" t="n">
        <f aca="false">IF(DJ61=1,IF(ABS((1+AS_Wage)/(1+Slot10_Rate)-1)&lt;0.000000000001,(Slot10_Age-D61)*(1+Slot10_Rate)^(Slot10_Age-D61),(1+Slot10_Rate)^(Slot10_Age-D61)*(1-((1+AS_Wage)/(1+Slot10_Rate))^(Slot10_Age-D61))/(1-(1+AS_Wage)/(1+Slot10_Rate))),1)</f>
        <v>1</v>
      </c>
      <c r="LA61" s="20" t="n">
        <f aca="false">IF(AND(HU61=1,IE61&gt;0,Slot10_IsWG=1,DJ61=1),MAX(0,(Slot10_Cost-DK61*(1+Slot10_Rate)^(Slot10_Age-D61))/KZ61),0)</f>
        <v>0</v>
      </c>
      <c r="LB61" s="20" t="n">
        <f aca="false">IF(AND(HU61=1,IE61&gt;0,Slot10_IsWG=1,DJ61=1),MIN(IE61,LA61),0)</f>
        <v>0</v>
      </c>
      <c r="LC61" s="20" t="n">
        <f aca="false">DK61+LB61</f>
        <v>0</v>
      </c>
      <c r="LD61" s="20" t="n">
        <f aca="false">IF(DJ61=1,MAX(0,(Slot10_Cost-LC61*(1+Slot10_Rate)^(Slot10_Age-D61))/KZ61),0)</f>
        <v>0</v>
      </c>
      <c r="LE61" s="20" t="n">
        <f aca="false">IF(DJ61=1,MAX(0,(Slot10_Cost-DK61*(1+Slot10_Rate)^(Slot10_Age-D61))/KZ61),0)</f>
        <v>0</v>
      </c>
      <c r="LF61" s="20" t="n">
        <f aca="false">IF(AND(HU61=1,DJ61=1),MIN(KY61,LD61),0)</f>
        <v>0</v>
      </c>
      <c r="LG61" s="20" t="n">
        <f aca="false">KY61-LF61</f>
        <v>0</v>
      </c>
      <c r="LH61" s="20" t="n">
        <f aca="false">IF(DT61=1,IF(ABS((1+AS_Wage)/(1+Slot11_Rate)-1)&lt;0.000000000001,(Slot11_Age-D61)*(1+Slot11_Rate)^(Slot11_Age-D61),(1+Slot11_Rate)^(Slot11_Age-D61)*(1-((1+AS_Wage)/(1+Slot11_Rate))^(Slot11_Age-D61))/(1-(1+AS_Wage)/(1+Slot11_Rate))),1)</f>
        <v>1</v>
      </c>
      <c r="LI61" s="20" t="n">
        <f aca="false">IF(AND(HU61=1,IE61&gt;0,Slot11_IsWG=1,DT61=1),MAX(0,(Slot11_Cost-DU61*(1+Slot11_Rate)^(Slot11_Age-D61))/LH61),0)</f>
        <v>0</v>
      </c>
      <c r="LJ61" s="20" t="n">
        <f aca="false">IF(AND(HU61=1,IE61&gt;0,Slot11_IsWG=1,DT61=1),MIN(IE61,LI61),0)</f>
        <v>0</v>
      </c>
      <c r="LK61" s="20" t="n">
        <f aca="false">DU61+LJ61</f>
        <v>0</v>
      </c>
      <c r="LL61" s="20" t="n">
        <f aca="false">IF(DT61=1,MAX(0,(Slot11_Cost-LK61*(1+Slot11_Rate)^(Slot11_Age-D61))/LH61),0)</f>
        <v>0</v>
      </c>
      <c r="LM61" s="20" t="n">
        <f aca="false">IF(DT61=1,MAX(0,(Slot11_Cost-DU61*(1+Slot11_Rate)^(Slot11_Age-D61))/LH61),0)</f>
        <v>0</v>
      </c>
      <c r="LN61" s="20" t="n">
        <f aca="false">IF(AND(HU61=1,DT61=1),MIN(LG61,LL61),0)</f>
        <v>0</v>
      </c>
      <c r="LO61" s="20" t="n">
        <f aca="false">LG61-LN61</f>
        <v>0</v>
      </c>
      <c r="LP61" s="20" t="n">
        <f aca="false">IF(ED61=1,IF(ABS((1+AS_Wage)/(1+Slot12_Rate)-1)&lt;0.000000000001,(Slot12_Age-D61)*(1+Slot12_Rate)^(Slot12_Age-D61),(1+Slot12_Rate)^(Slot12_Age-D61)*(1-((1+AS_Wage)/(1+Slot12_Rate))^(Slot12_Age-D61))/(1-(1+AS_Wage)/(1+Slot12_Rate))),1)</f>
        <v>1</v>
      </c>
      <c r="LQ61" s="20" t="n">
        <f aca="false">IF(AND(HU61=1,IE61&gt;0,Slot12_IsWG=1,ED61=1),MAX(0,(Slot12_Cost-EE61*(1+Slot12_Rate)^(Slot12_Age-D61))/LP61),0)</f>
        <v>0</v>
      </c>
      <c r="LR61" s="20" t="n">
        <f aca="false">IF(AND(HU61=1,IE61&gt;0,Slot12_IsWG=1,ED61=1),MIN(IE61,LQ61),0)</f>
        <v>0</v>
      </c>
      <c r="LS61" s="20" t="n">
        <f aca="false">EE61+LR61</f>
        <v>0</v>
      </c>
      <c r="LT61" s="20" t="n">
        <f aca="false">IF(ED61=1,MAX(0,(Slot12_Cost-LS61*(1+Slot12_Rate)^(Slot12_Age-D61))/LP61),0)</f>
        <v>0</v>
      </c>
      <c r="LU61" s="20" t="n">
        <f aca="false">IF(ED61=1,MAX(0,(Slot12_Cost-EE61*(1+Slot12_Rate)^(Slot12_Age-D61))/LP61),0)</f>
        <v>0</v>
      </c>
      <c r="LV61" s="20" t="n">
        <f aca="false">IF(AND(HU61=1,ED61=1),MIN(LO61,LT61),0)</f>
        <v>0</v>
      </c>
      <c r="LW61" s="20" t="n">
        <f aca="false">LO61-LV61</f>
        <v>0</v>
      </c>
      <c r="LX61" s="20" t="n">
        <f aca="false">IF(EN61=1,IF(ABS((1+AS_Wage)/(1+Slot13_Rate)-1)&lt;0.000000000001,(Slot13_Age-D61)*(1+Slot13_Rate)^(Slot13_Age-D61),(1+Slot13_Rate)^(Slot13_Age-D61)*(1-((1+AS_Wage)/(1+Slot13_Rate))^(Slot13_Age-D61))/(1-(1+AS_Wage)/(1+Slot13_Rate))),1)</f>
        <v>1</v>
      </c>
      <c r="LY61" s="20" t="n">
        <f aca="false">IF(AND(HU61=1,IE61&gt;0,Slot13_IsWG=1,EN61=1),MAX(0,(Slot13_Cost-EO61*(1+Slot13_Rate)^(Slot13_Age-D61))/LX61),0)</f>
        <v>0</v>
      </c>
      <c r="LZ61" s="20" t="n">
        <f aca="false">IF(AND(HU61=1,IE61&gt;0,Slot13_IsWG=1,EN61=1),MIN(IE61,LY61),0)</f>
        <v>0</v>
      </c>
      <c r="MA61" s="20" t="n">
        <f aca="false">EO61+LZ61</f>
        <v>0</v>
      </c>
      <c r="MB61" s="20" t="n">
        <f aca="false">IF(EN61=1,MAX(0,(Slot13_Cost-MA61*(1+Slot13_Rate)^(Slot13_Age-D61))/LX61),0)</f>
        <v>0</v>
      </c>
      <c r="MC61" s="20" t="n">
        <f aca="false">IF(EN61=1,MAX(0,(Slot13_Cost-EO61*(1+Slot13_Rate)^(Slot13_Age-D61))/LX61),0)</f>
        <v>0</v>
      </c>
      <c r="MD61" s="20" t="n">
        <f aca="false">IF(AND(HU61=1,EN61=1),MIN(LW61,MB61),0)</f>
        <v>0</v>
      </c>
      <c r="ME61" s="20" t="n">
        <f aca="false">LW61-MD61</f>
        <v>0</v>
      </c>
      <c r="MF61" s="20" t="n">
        <f aca="false">IF(EX61=1,IF(ABS((1+AS_Wage)/(1+Slot14_Rate)-1)&lt;0.000000000001,(Slot14_Age-D61)*(1+Slot14_Rate)^(Slot14_Age-D61),(1+Slot14_Rate)^(Slot14_Age-D61)*(1-((1+AS_Wage)/(1+Slot14_Rate))^(Slot14_Age-D61))/(1-(1+AS_Wage)/(1+Slot14_Rate))),1)</f>
        <v>1</v>
      </c>
      <c r="MG61" s="20" t="n">
        <f aca="false">IF(AND(HU61=1,IE61&gt;0,Slot14_IsWG=1,EX61=1),MAX(0,(Slot14_Cost-EY61*(1+Slot14_Rate)^(Slot14_Age-D61))/MF61),0)</f>
        <v>0</v>
      </c>
      <c r="MH61" s="20" t="n">
        <f aca="false">IF(AND(HU61=1,IE61&gt;0,Slot14_IsWG=1,EX61=1),MIN(IE61,MG61),0)</f>
        <v>0</v>
      </c>
      <c r="MI61" s="20" t="n">
        <f aca="false">EY61+MH61</f>
        <v>0</v>
      </c>
      <c r="MJ61" s="20" t="n">
        <f aca="false">IF(EX61=1,MAX(0,(Slot14_Cost-MI61*(1+Slot14_Rate)^(Slot14_Age-D61))/MF61),0)</f>
        <v>0</v>
      </c>
      <c r="MK61" s="20" t="n">
        <f aca="false">IF(EX61=1,MAX(0,(Slot14_Cost-EY61*(1+Slot14_Rate)^(Slot14_Age-D61))/MF61),0)</f>
        <v>0</v>
      </c>
      <c r="ML61" s="20" t="n">
        <f aca="false">IF(AND(HU61=1,EX61=1),MIN(ME61,MJ61),0)</f>
        <v>0</v>
      </c>
      <c r="MM61" s="20" t="n">
        <f aca="false">ME61-ML61</f>
        <v>0</v>
      </c>
      <c r="MN61" s="20" t="n">
        <f aca="false">IF(FH61=1,IF(ABS((1+AS_Wage)/(1+Slot15_Rate)-1)&lt;0.000000000001,(Slot15_Age-D61)*(1+Slot15_Rate)^(Slot15_Age-D61),(1+Slot15_Rate)^(Slot15_Age-D61)*(1-((1+AS_Wage)/(1+Slot15_Rate))^(Slot15_Age-D61))/(1-(1+AS_Wage)/(1+Slot15_Rate))),1)</f>
        <v>1</v>
      </c>
      <c r="MO61" s="20" t="n">
        <f aca="false">IF(AND(HU61=1,IE61&gt;0,Slot15_IsWG=1,FH61=1),MAX(0,(Slot15_Cost-FI61*(1+Slot15_Rate)^(Slot15_Age-D61))/MN61),0)</f>
        <v>0</v>
      </c>
      <c r="MP61" s="20" t="n">
        <f aca="false">IF(AND(HU61=1,IE61&gt;0,Slot15_IsWG=1,FH61=1),MIN(IE61,MO61),0)</f>
        <v>0</v>
      </c>
      <c r="MQ61" s="20" t="n">
        <f aca="false">FI61+MP61</f>
        <v>0</v>
      </c>
      <c r="MR61" s="20" t="n">
        <f aca="false">IF(FH61=1,MAX(0,(Slot15_Cost-MQ61*(1+Slot15_Rate)^(Slot15_Age-D61))/MN61),0)</f>
        <v>0</v>
      </c>
      <c r="MS61" s="20" t="n">
        <f aca="false">IF(FH61=1,MAX(0,(Slot15_Cost-FI61*(1+Slot15_Rate)^(Slot15_Age-D61))/MN61),0)</f>
        <v>0</v>
      </c>
      <c r="MT61" s="20" t="n">
        <f aca="false">IF(AND(HU61=1,FH61=1),MIN(MM61,MR61),0)</f>
        <v>0</v>
      </c>
      <c r="MU61" s="20" t="n">
        <f aca="false">MM61-MT61</f>
        <v>0</v>
      </c>
      <c r="MV61" s="20" t="n">
        <f aca="false">IF(FR61=1,IF(ABS((1+AS_Wage)/(1+Slot16_Rate)-1)&lt;0.000000000001,(Slot16_Age-D61)*(1+Slot16_Rate)^(Slot16_Age-D61),(1+Slot16_Rate)^(Slot16_Age-D61)*(1-((1+AS_Wage)/(1+Slot16_Rate))^(Slot16_Age-D61))/(1-(1+AS_Wage)/(1+Slot16_Rate))),1)</f>
        <v>1</v>
      </c>
      <c r="MW61" s="20" t="n">
        <f aca="false">IF(AND(HU61=1,IE61&gt;0,Slot16_IsWG=1,FR61=1),MAX(0,(Slot16_Cost-FS61*(1+Slot16_Rate)^(Slot16_Age-D61))/MV61),0)</f>
        <v>0</v>
      </c>
      <c r="MX61" s="20" t="n">
        <f aca="false">IF(AND(HU61=1,IE61&gt;0,Slot16_IsWG=1,FR61=1),MIN(IE61,MW61),0)</f>
        <v>0</v>
      </c>
      <c r="MY61" s="20" t="n">
        <f aca="false">FS61+MX61</f>
        <v>0</v>
      </c>
      <c r="MZ61" s="20" t="n">
        <f aca="false">IF(FR61=1,MAX(0,(Slot16_Cost-MY61*(1+Slot16_Rate)^(Slot16_Age-D61))/MV61),0)</f>
        <v>0</v>
      </c>
      <c r="NA61" s="20" t="n">
        <f aca="false">IF(FR61=1,MAX(0,(Slot16_Cost-FS61*(1+Slot16_Rate)^(Slot16_Age-D61))/MV61),0)</f>
        <v>0</v>
      </c>
      <c r="NB61" s="20" t="n">
        <f aca="false">IF(AND(HU61=1,FR61=1),MIN(MU61,MZ61),0)</f>
        <v>0</v>
      </c>
      <c r="NC61" s="20" t="n">
        <f aca="false">MU61-NB61</f>
        <v>0</v>
      </c>
      <c r="ND61" s="20" t="n">
        <f aca="false">IF(GB61=1,IF(ABS((1+AS_Wage)/(1+Slot17_Rate)-1)&lt;0.000000000001,(Slot17_Age-D61)*(1+Slot17_Rate)^(Slot17_Age-D61),(1+Slot17_Rate)^(Slot17_Age-D61)*(1-((1+AS_Wage)/(1+Slot17_Rate))^(Slot17_Age-D61))/(1-(1+AS_Wage)/(1+Slot17_Rate))),1)</f>
        <v>1</v>
      </c>
      <c r="NE61" s="20" t="n">
        <f aca="false">IF(AND(HU61=1,IE61&gt;0,Slot17_IsWG=1,GB61=1),MAX(0,(Slot17_Cost-GC61*(1+Slot17_Rate)^(Slot17_Age-D61))/ND61),0)</f>
        <v>0</v>
      </c>
      <c r="NF61" s="20" t="n">
        <f aca="false">IF(AND(HU61=1,IE61&gt;0,Slot17_IsWG=1,GB61=1),MIN(IE61,NE61),0)</f>
        <v>0</v>
      </c>
      <c r="NG61" s="20" t="n">
        <f aca="false">GC61+NF61</f>
        <v>0</v>
      </c>
      <c r="NH61" s="20" t="n">
        <f aca="false">IF(GB61=1,MAX(0,(Slot17_Cost-NG61*(1+Slot17_Rate)^(Slot17_Age-D61))/ND61),0)</f>
        <v>0</v>
      </c>
      <c r="NI61" s="20" t="n">
        <f aca="false">IF(GB61=1,MAX(0,(Slot17_Cost-GC61*(1+Slot17_Rate)^(Slot17_Age-D61))/ND61),0)</f>
        <v>0</v>
      </c>
      <c r="NJ61" s="20" t="n">
        <f aca="false">IF(AND(HU61=1,GB61=1),MIN(NC61,NH61),0)</f>
        <v>0</v>
      </c>
      <c r="NK61" s="20" t="n">
        <f aca="false">NC61-NJ61</f>
        <v>0</v>
      </c>
      <c r="NL61" s="20" t="n">
        <f aca="false">IF(GL61=1,IF(ABS((1+AS_Wage)/(1+Slot18_Rate)-1)&lt;0.000000000001,(Slot18_Age-D61)*(1+Slot18_Rate)^(Slot18_Age-D61),(1+Slot18_Rate)^(Slot18_Age-D61)*(1-((1+AS_Wage)/(1+Slot18_Rate))^(Slot18_Age-D61))/(1-(1+AS_Wage)/(1+Slot18_Rate))),1)</f>
        <v>1</v>
      </c>
      <c r="NM61" s="20" t="n">
        <f aca="false">IF(AND(HU61=1,IE61&gt;0,Slot18_IsWG=1,GL61=1),MAX(0,(Slot18_Cost-GM61*(1+Slot18_Rate)^(Slot18_Age-D61))/NL61),0)</f>
        <v>0</v>
      </c>
      <c r="NN61" s="20" t="n">
        <f aca="false">IF(AND(HU61=1,IE61&gt;0,Slot18_IsWG=1,GL61=1),MIN(IE61,NM61),0)</f>
        <v>0</v>
      </c>
      <c r="NO61" s="20" t="n">
        <f aca="false">GM61+NN61</f>
        <v>0</v>
      </c>
      <c r="NP61" s="20" t="n">
        <f aca="false">IF(GL61=1,MAX(0,(Slot18_Cost-NO61*(1+Slot18_Rate)^(Slot18_Age-D61))/NL61),0)</f>
        <v>0</v>
      </c>
      <c r="NQ61" s="20" t="n">
        <f aca="false">IF(GL61=1,MAX(0,(Slot18_Cost-GM61*(1+Slot18_Rate)^(Slot18_Age-D61))/NL61),0)</f>
        <v>0</v>
      </c>
      <c r="NR61" s="20" t="n">
        <f aca="false">IF(AND(HU61=1,GL61=1),MIN(NK61,NP61),0)</f>
        <v>0</v>
      </c>
      <c r="NS61" s="20" t="n">
        <f aca="false">NK61-NR61</f>
        <v>0</v>
      </c>
      <c r="NT61" s="20" t="n">
        <f aca="false">IF(GV61=1,IF(ABS((1+AS_Wage)/(1+Slot19_Rate)-1)&lt;0.000000000001,(Slot19_Age-D61)*(1+Slot19_Rate)^(Slot19_Age-D61),(1+Slot19_Rate)^(Slot19_Age-D61)*(1-((1+AS_Wage)/(1+Slot19_Rate))^(Slot19_Age-D61))/(1-(1+AS_Wage)/(1+Slot19_Rate))),1)</f>
        <v>1</v>
      </c>
      <c r="NU61" s="20" t="n">
        <f aca="false">IF(AND(HU61=1,IE61&gt;0,Slot19_IsWG=1,GV61=1),MAX(0,(Slot19_Cost-GW61*(1+Slot19_Rate)^(Slot19_Age-D61))/NT61),0)</f>
        <v>0</v>
      </c>
      <c r="NV61" s="20" t="n">
        <f aca="false">IF(AND(HU61=1,IE61&gt;0,Slot19_IsWG=1,GV61=1),MIN(IE61,NU61),0)</f>
        <v>0</v>
      </c>
      <c r="NW61" s="20" t="n">
        <f aca="false">GW61+NV61</f>
        <v>0</v>
      </c>
      <c r="NX61" s="20" t="n">
        <f aca="false">IF(GV61=1,MAX(0,(Slot19_Cost-NW61*(1+Slot19_Rate)^(Slot19_Age-D61))/NT61),0)</f>
        <v>0</v>
      </c>
      <c r="NY61" s="20" t="n">
        <f aca="false">IF(GV61=1,MAX(0,(Slot19_Cost-GW61*(1+Slot19_Rate)^(Slot19_Age-D61))/NT61),0)</f>
        <v>0</v>
      </c>
      <c r="NZ61" s="20" t="n">
        <f aca="false">IF(AND(HU61=1,GV61=1),MIN(NS61,NX61),0)</f>
        <v>0</v>
      </c>
      <c r="OA61" s="20" t="n">
        <f aca="false">NS61-NZ61</f>
        <v>0</v>
      </c>
      <c r="OB61" s="20" t="n">
        <f aca="false">IF(HF61=1,IF(ABS((1+AS_Wage)/(1+Slot20_Rate)-1)&lt;0.000000000001,(Slot20_Age-D61)*(1+Slot20_Rate)^(Slot20_Age-D61),(1+Slot20_Rate)^(Slot20_Age-D61)*(1-((1+AS_Wage)/(1+Slot20_Rate))^(Slot20_Age-D61))/(1-(1+AS_Wage)/(1+Slot20_Rate))),1)</f>
        <v>1</v>
      </c>
      <c r="OC61" s="20" t="n">
        <f aca="false">IF(AND(HU61=1,IE61&gt;0,Slot20_IsWG=1,HF61=1),MAX(0,(Slot20_Cost-HG61*(1+Slot20_Rate)^(Slot20_Age-D61))/OB61),0)</f>
        <v>0</v>
      </c>
      <c r="OD61" s="20" t="n">
        <f aca="false">IF(AND(HU61=1,IE61&gt;0,Slot20_IsWG=1,HF61=1),MIN(IE61,OC61),0)</f>
        <v>0</v>
      </c>
      <c r="OE61" s="20" t="n">
        <f aca="false">HG61+OD61</f>
        <v>0</v>
      </c>
      <c r="OF61" s="20" t="n">
        <f aca="false">IF(HF61=1,MAX(0,(Slot20_Cost-OE61*(1+Slot20_Rate)^(Slot20_Age-D61))/OB61),0)</f>
        <v>0</v>
      </c>
      <c r="OG61" s="20" t="n">
        <f aca="false">IF(HF61=1,MAX(0,(Slot20_Cost-HG61*(1+Slot20_Rate)^(Slot20_Age-D61))/OB61),0)</f>
        <v>0</v>
      </c>
      <c r="OH61" s="20" t="n">
        <f aca="false">IF(AND(HU61=1,HF61=1),MIN(OA61,OF61),0)</f>
        <v>0</v>
      </c>
      <c r="OI61" s="20" t="n">
        <f aca="false">OA61-OH61</f>
        <v>0</v>
      </c>
      <c r="OJ61" s="20" t="n">
        <f aca="false">IE61-(IH61+IP61+IX61+JF61+JN61+JV61+KD61+KL61+KT61+LB61+LJ61+LR61+LZ61+MH61+MP61+MX61+NF61+NN61+NV61+OD61)</f>
        <v>0</v>
      </c>
      <c r="OK61" s="20" t="n">
        <f aca="false">IF(HU61=1,HS61-ID61-IE61,0)</f>
        <v>0</v>
      </c>
      <c r="OL61" s="20" t="n">
        <f aca="false">IF(HU61=0,-HS61,0)</f>
        <v>28321.5193716224</v>
      </c>
      <c r="OM61" s="20" t="n">
        <f aca="false">MIN(OL61,HK61)</f>
        <v>0</v>
      </c>
      <c r="ON61" s="20" t="n">
        <f aca="false">OL61-OM61</f>
        <v>28321.5193716224</v>
      </c>
      <c r="OO61" s="20" t="n">
        <f aca="false">MIN(ON61,HL61)</f>
        <v>0</v>
      </c>
      <c r="OP61" s="20" t="n">
        <f aca="false">ON61-OO61</f>
        <v>28321.5193716224</v>
      </c>
      <c r="OQ61" s="20" t="n">
        <f aca="false">IF(AND(HU61=0,HF61=1,OP61&gt;0),MIN(OP61,HG61),0)</f>
        <v>0</v>
      </c>
      <c r="OR61" s="20" t="n">
        <f aca="false">OP61-OQ61</f>
        <v>28321.5193716224</v>
      </c>
      <c r="OS61" s="20" t="n">
        <f aca="false">IF(AND(HU61=0,GV61=1,OR61&gt;0),MIN(OR61,GW61),0)</f>
        <v>0</v>
      </c>
      <c r="OT61" s="20" t="n">
        <f aca="false">OR61-OS61</f>
        <v>28321.5193716224</v>
      </c>
      <c r="OU61" s="20" t="n">
        <f aca="false">IF(AND(HU61=0,GL61=1,OT61&gt;0),MIN(OT61,GM61),0)</f>
        <v>0</v>
      </c>
      <c r="OV61" s="20" t="n">
        <f aca="false">OT61-OU61</f>
        <v>28321.5193716224</v>
      </c>
      <c r="OW61" s="20" t="n">
        <f aca="false">IF(AND(HU61=0,GB61=1,OV61&gt;0),MIN(OV61,GC61),0)</f>
        <v>0</v>
      </c>
      <c r="OX61" s="20" t="n">
        <f aca="false">OV61-OW61</f>
        <v>28321.5193716224</v>
      </c>
      <c r="OY61" s="20" t="n">
        <f aca="false">IF(AND(HU61=0,FR61=1,OX61&gt;0),MIN(OX61,FS61),0)</f>
        <v>0</v>
      </c>
      <c r="OZ61" s="20" t="n">
        <f aca="false">OX61-OY61</f>
        <v>28321.5193716224</v>
      </c>
      <c r="PA61" s="20" t="n">
        <f aca="false">IF(AND(HU61=0,FH61=1,OZ61&gt;0),MIN(OZ61,FI61),0)</f>
        <v>0</v>
      </c>
      <c r="PB61" s="20" t="n">
        <f aca="false">OZ61-PA61</f>
        <v>28321.5193716224</v>
      </c>
      <c r="PC61" s="20" t="n">
        <f aca="false">IF(AND(HU61=0,EX61=1,PB61&gt;0),MIN(PB61,EY61),0)</f>
        <v>0</v>
      </c>
      <c r="PD61" s="20" t="n">
        <f aca="false">PB61-PC61</f>
        <v>28321.5193716224</v>
      </c>
      <c r="PE61" s="20" t="n">
        <f aca="false">IF(AND(HU61=0,EN61=1,PD61&gt;0),MIN(PD61,EO61),0)</f>
        <v>0</v>
      </c>
      <c r="PF61" s="20" t="n">
        <f aca="false">PD61-PE61</f>
        <v>28321.5193716224</v>
      </c>
      <c r="PG61" s="20" t="n">
        <f aca="false">IF(AND(HU61=0,ED61=1,PF61&gt;0),MIN(PF61,EE61),0)</f>
        <v>0</v>
      </c>
      <c r="PH61" s="20" t="n">
        <f aca="false">PF61-PG61</f>
        <v>28321.5193716224</v>
      </c>
      <c r="PI61" s="20" t="n">
        <f aca="false">IF(AND(HU61=0,DT61=1,PH61&gt;0),MIN(PH61,DU61),0)</f>
        <v>0</v>
      </c>
      <c r="PJ61" s="20" t="n">
        <f aca="false">PH61-PI61</f>
        <v>28321.5193716224</v>
      </c>
      <c r="PK61" s="20" t="n">
        <f aca="false">IF(AND(HU61=0,DJ61=1,PJ61&gt;0),MIN(PJ61,DK61),0)</f>
        <v>0</v>
      </c>
      <c r="PL61" s="20" t="n">
        <f aca="false">PJ61-PK61</f>
        <v>28321.5193716224</v>
      </c>
      <c r="PM61" s="20" t="n">
        <f aca="false">IF(AND(HU61=0,CZ61=1,PL61&gt;0),MIN(PL61,DA61),0)</f>
        <v>0</v>
      </c>
      <c r="PN61" s="20" t="n">
        <f aca="false">PL61-PM61</f>
        <v>28321.5193716224</v>
      </c>
      <c r="PO61" s="20" t="n">
        <f aca="false">IF(AND(HU61=0,CP61=1,PN61&gt;0),MIN(PN61,CQ61),0)</f>
        <v>0</v>
      </c>
      <c r="PP61" s="20" t="n">
        <f aca="false">PN61-PO61</f>
        <v>28321.5193716224</v>
      </c>
      <c r="PQ61" s="20" t="n">
        <f aca="false">IF(AND(HU61=0,CF61=1,PP61&gt;0),MIN(PP61,CG61),0)</f>
        <v>0</v>
      </c>
      <c r="PR61" s="20" t="n">
        <f aca="false">PP61-PQ61</f>
        <v>28321.5193716224</v>
      </c>
      <c r="PS61" s="20" t="n">
        <f aca="false">IF(AND(HU61=0,BV61=1,PR61&gt;0),MIN(PR61,BW61),0)</f>
        <v>0</v>
      </c>
      <c r="PT61" s="20" t="n">
        <f aca="false">PR61-PS61</f>
        <v>28321.5193716224</v>
      </c>
      <c r="PU61" s="20" t="n">
        <f aca="false">IF(AND(HU61=0,BL61=1,PT61&gt;0),MIN(PT61,BM61),0)</f>
        <v>0</v>
      </c>
      <c r="PV61" s="20" t="n">
        <f aca="false">PT61-PU61</f>
        <v>28321.5193716224</v>
      </c>
      <c r="PW61" s="20" t="n">
        <f aca="false">IF(AND(HU61=0,BB61=1,PV61&gt;0),MIN(PV61,BC61),0)</f>
        <v>0</v>
      </c>
      <c r="PX61" s="20" t="n">
        <f aca="false">PV61-PW61</f>
        <v>28321.5193716224</v>
      </c>
      <c r="PY61" s="20" t="n">
        <f aca="false">IF(AND(HU61=0,AR61=1,PX61&gt;0),MIN(PX61,AS61),0)</f>
        <v>0</v>
      </c>
      <c r="PZ61" s="20" t="n">
        <f aca="false">PX61-PY61</f>
        <v>28321.5193716224</v>
      </c>
      <c r="QA61" s="20" t="n">
        <f aca="false">IF(AND(HU61=0,AH61=1,PZ61&gt;0),MIN(PZ61,AI61),0)</f>
        <v>0</v>
      </c>
      <c r="QB61" s="20" t="n">
        <f aca="false">PZ61-QA61</f>
        <v>28321.5193716224</v>
      </c>
      <c r="QC61" s="20" t="n">
        <f aca="false">IF(AND(HU61=0,W61=1,QB61&gt;0),MIN(QB61,X61),0)</f>
        <v>0</v>
      </c>
      <c r="QD61" s="20" t="n">
        <f aca="false">QB61-QC61</f>
        <v>28321.5193716224</v>
      </c>
      <c r="QE61" s="20" t="n">
        <f aca="false">IF(HU61=0,QD61,0)</f>
        <v>28321.5193716224</v>
      </c>
      <c r="QF61" s="20" t="n">
        <f aca="false">OM61+OO61+QC61+QA61+PY61+PW61+PU61+PS61+PQ61+PO61+PM61+PK61+PI61+PG61+PE61+PC61+PA61+OY61+OW61+OU61+OS61+OQ61</f>
        <v>0</v>
      </c>
      <c r="QG61" s="20" t="n">
        <f aca="false">IF(HU61=1,HK61+OJ61+OI61+IF(G61=1,0,OK61),HK61-OM61)</f>
        <v>0</v>
      </c>
      <c r="QH61" s="20" t="n">
        <f aca="false">HL61-OO61</f>
        <v>0</v>
      </c>
      <c r="QI61" s="20" t="n">
        <f aca="false">IF(HU61=1,IF(G61=1,ID61+IE61,HS61),0)</f>
        <v>0</v>
      </c>
      <c r="QJ61" s="20" t="n">
        <f aca="false">IF(HU61=1,IF(G61=1,HS61-ID61-IE61,0),0)</f>
        <v>0</v>
      </c>
      <c r="QK61" s="57" t="n">
        <f aca="false">'Plan holdings'!BM61</f>
        <v>0</v>
      </c>
      <c r="QL61" s="20" t="n">
        <f aca="false">QH61*(1+AS_Cash)</f>
        <v>0</v>
      </c>
      <c r="QM61" s="20" t="n">
        <f aca="false">IF(W61=1,IF(HU61=1,II61+IL61,X61-QC61)*(1+Slot1_Rate),0)</f>
        <v>0</v>
      </c>
      <c r="QN61" s="20" t="n">
        <f aca="false">IF(AND(HU61=1,W61=1),(IH61+IL61)/F61,0)</f>
        <v>0</v>
      </c>
      <c r="QO61" s="20" t="n">
        <f aca="false">IF(B61=0,IH61+IL61,0)</f>
        <v>0</v>
      </c>
      <c r="QP61" s="20" t="n">
        <f aca="false">IF(B61=0,IF(HU61=1,IJ61,IK61),0)</f>
        <v>0</v>
      </c>
      <c r="QQ61" s="20" t="n">
        <f aca="false">IF(AH61=1,IF(HU61=1,IQ61+IT61,AI61-QA61)*(1+Slot2_Rate),0)</f>
        <v>0</v>
      </c>
      <c r="QR61" s="20" t="n">
        <f aca="false">IF(AND(HU61=1,AH61=1),(IP61+IT61)/F61,0)</f>
        <v>0</v>
      </c>
      <c r="QS61" s="20" t="n">
        <f aca="false">IF(B61=0,IP61+IT61,0)</f>
        <v>0</v>
      </c>
      <c r="QT61" s="20" t="n">
        <f aca="false">IF(B61=0,IF(HU61=1,IR61,IS61),0)</f>
        <v>0</v>
      </c>
      <c r="QU61" s="20" t="n">
        <f aca="false">IF(AR61=1,IF(HU61=1,IY61+JB61,AS61-PY61)*(1+Slot3_Rate),0)</f>
        <v>0</v>
      </c>
      <c r="QV61" s="20" t="n">
        <f aca="false">IF(AND(HU61=1,AR61=1),(IX61+JB61)/F61,0)</f>
        <v>0</v>
      </c>
      <c r="QW61" s="20" t="n">
        <f aca="false">IF(B61=0,IX61+JB61,0)</f>
        <v>0</v>
      </c>
      <c r="QX61" s="20" t="n">
        <f aca="false">IF(B61=0,IF(HU61=1,IZ61,JA61),0)</f>
        <v>0</v>
      </c>
      <c r="QY61" s="20" t="n">
        <f aca="false">IF(BB61=1,IF(HU61=1,JG61+JJ61,BC61-PW61)*(1+Slot4_Rate),0)</f>
        <v>0</v>
      </c>
      <c r="QZ61" s="20" t="n">
        <f aca="false">IF(AND(HU61=1,BB61=1),(JF61+JJ61)/F61,0)</f>
        <v>0</v>
      </c>
      <c r="RA61" s="20" t="n">
        <f aca="false">IF(B61=0,JF61+JJ61,0)</f>
        <v>0</v>
      </c>
      <c r="RB61" s="20" t="n">
        <f aca="false">IF(B61=0,IF(HU61=1,JH61,JI61),0)</f>
        <v>0</v>
      </c>
      <c r="RC61" s="20" t="n">
        <f aca="false">IF(BL61=1,IF(HU61=1,JO61+JR61,BM61-PU61)*(1+Slot5_Rate),0)</f>
        <v>0</v>
      </c>
      <c r="RD61" s="20" t="n">
        <f aca="false">IF(AND(HU61=1,BL61=1),(JN61+JR61)/F61,0)</f>
        <v>0</v>
      </c>
      <c r="RE61" s="20" t="n">
        <f aca="false">IF(B61=0,JN61+JR61,0)</f>
        <v>0</v>
      </c>
      <c r="RF61" s="20" t="n">
        <f aca="false">IF(B61=0,IF(HU61=1,JP61,JQ61),0)</f>
        <v>0</v>
      </c>
      <c r="RG61" s="20" t="n">
        <f aca="false">IF(BV61=1,IF(HU61=1,JW61+JZ61,BW61-PS61)*(1+Slot6_Rate),0)</f>
        <v>0</v>
      </c>
      <c r="RH61" s="20" t="n">
        <f aca="false">IF(AND(HU61=1,BV61=1),(JV61+JZ61)/F61,0)</f>
        <v>0</v>
      </c>
      <c r="RI61" s="20" t="n">
        <f aca="false">IF(B61=0,JV61+JZ61,0)</f>
        <v>0</v>
      </c>
      <c r="RJ61" s="20" t="n">
        <f aca="false">IF(B61=0,IF(HU61=1,JX61,JY61),0)</f>
        <v>0</v>
      </c>
      <c r="RK61" s="20" t="n">
        <f aca="false">IF(CF61=1,IF(HU61=1,KE61+KH61,CG61-PQ61)*(1+Slot7_Rate),0)</f>
        <v>0</v>
      </c>
      <c r="RL61" s="20" t="n">
        <f aca="false">IF(AND(HU61=1,CF61=1),(KD61+KH61)/F61,0)</f>
        <v>0</v>
      </c>
      <c r="RM61" s="20" t="n">
        <f aca="false">IF(B61=0,KD61+KH61,0)</f>
        <v>0</v>
      </c>
      <c r="RN61" s="20" t="n">
        <f aca="false">IF(B61=0,IF(HU61=1,KF61,KG61),0)</f>
        <v>0</v>
      </c>
      <c r="RO61" s="20" t="n">
        <f aca="false">IF(CP61=1,IF(HU61=1,KM61+KP61,CQ61-PO61)*(1+Slot8_Rate),0)</f>
        <v>0</v>
      </c>
      <c r="RP61" s="20" t="n">
        <f aca="false">IF(AND(HU61=1,CP61=1),(KL61+KP61)/F61,0)</f>
        <v>0</v>
      </c>
      <c r="RQ61" s="20" t="n">
        <f aca="false">IF(B61=0,KL61+KP61,0)</f>
        <v>0</v>
      </c>
      <c r="RR61" s="20" t="n">
        <f aca="false">IF(B61=0,IF(HU61=1,KN61,KO61),0)</f>
        <v>0</v>
      </c>
      <c r="RS61" s="20" t="n">
        <f aca="false">IF(CZ61=1,IF(HU61=1,KU61+KX61,DA61-PM61)*(1+Slot9_Rate),0)</f>
        <v>0</v>
      </c>
      <c r="RT61" s="20" t="n">
        <f aca="false">IF(AND(HU61=1,CZ61=1),(KT61+KX61)/F61,0)</f>
        <v>0</v>
      </c>
      <c r="RU61" s="20" t="n">
        <f aca="false">IF(B61=0,KT61+KX61,0)</f>
        <v>0</v>
      </c>
      <c r="RV61" s="20" t="n">
        <f aca="false">IF(B61=0,IF(HU61=1,KV61,KW61),0)</f>
        <v>0</v>
      </c>
      <c r="RW61" s="20" t="n">
        <f aca="false">IF(DJ61=1,IF(HU61=1,LC61+LF61,DK61-PK61)*(1+Slot10_Rate),0)</f>
        <v>0</v>
      </c>
      <c r="RX61" s="20" t="n">
        <f aca="false">IF(AND(HU61=1,DJ61=1),(LB61+LF61)/F61,0)</f>
        <v>0</v>
      </c>
      <c r="RY61" s="20" t="n">
        <f aca="false">IF(B61=0,LB61+LF61,0)</f>
        <v>0</v>
      </c>
      <c r="RZ61" s="20" t="n">
        <f aca="false">IF(B61=0,IF(HU61=1,LD61,LE61),0)</f>
        <v>0</v>
      </c>
      <c r="SA61" s="20" t="n">
        <f aca="false">IF(DT61=1,IF(HU61=1,LK61+LN61,DU61-PI61)*(1+Slot11_Rate),0)</f>
        <v>0</v>
      </c>
      <c r="SB61" s="20" t="n">
        <f aca="false">IF(AND(HU61=1,DT61=1),(LJ61+LN61)/F61,0)</f>
        <v>0</v>
      </c>
      <c r="SC61" s="20" t="n">
        <f aca="false">IF(B61=0,LJ61+LN61,0)</f>
        <v>0</v>
      </c>
      <c r="SD61" s="20" t="n">
        <f aca="false">IF(B61=0,IF(HU61=1,LL61,LM61),0)</f>
        <v>0</v>
      </c>
      <c r="SE61" s="20" t="n">
        <f aca="false">IF(ED61=1,IF(HU61=1,LS61+LV61,EE61-PG61)*(1+Slot12_Rate),0)</f>
        <v>0</v>
      </c>
      <c r="SF61" s="20" t="n">
        <f aca="false">IF(AND(HU61=1,ED61=1),(LR61+LV61)/F61,0)</f>
        <v>0</v>
      </c>
      <c r="SG61" s="20" t="n">
        <f aca="false">IF(B61=0,LR61+LV61,0)</f>
        <v>0</v>
      </c>
      <c r="SH61" s="20" t="n">
        <f aca="false">IF(B61=0,IF(HU61=1,LT61,LU61),0)</f>
        <v>0</v>
      </c>
      <c r="SI61" s="20" t="n">
        <f aca="false">IF(EN61=1,IF(HU61=1,MA61+MD61,EO61-PE61)*(1+Slot13_Rate),0)</f>
        <v>0</v>
      </c>
      <c r="SJ61" s="20" t="n">
        <f aca="false">IF(AND(HU61=1,EN61=1),(LZ61+MD61)/F61,0)</f>
        <v>0</v>
      </c>
      <c r="SK61" s="20" t="n">
        <f aca="false">IF(B61=0,LZ61+MD61,0)</f>
        <v>0</v>
      </c>
      <c r="SL61" s="20" t="n">
        <f aca="false">IF(B61=0,IF(HU61=1,MB61,MC61),0)</f>
        <v>0</v>
      </c>
      <c r="SM61" s="20" t="n">
        <f aca="false">IF(EX61=1,IF(HU61=1,MI61+ML61,EY61-PC61)*(1+Slot14_Rate),0)</f>
        <v>0</v>
      </c>
      <c r="SN61" s="20" t="n">
        <f aca="false">IF(AND(HU61=1,EX61=1),(MH61+ML61)/F61,0)</f>
        <v>0</v>
      </c>
      <c r="SO61" s="20" t="n">
        <f aca="false">IF(B61=0,MH61+ML61,0)</f>
        <v>0</v>
      </c>
      <c r="SP61" s="20" t="n">
        <f aca="false">IF(B61=0,IF(HU61=1,MJ61,MK61),0)</f>
        <v>0</v>
      </c>
      <c r="SQ61" s="20" t="n">
        <f aca="false">IF(FH61=1,IF(HU61=1,MQ61+MT61,FI61-PA61)*(1+Slot15_Rate),0)</f>
        <v>0</v>
      </c>
      <c r="SR61" s="20" t="n">
        <f aca="false">IF(AND(HU61=1,FH61=1),(MP61+MT61)/F61,0)</f>
        <v>0</v>
      </c>
      <c r="SS61" s="20" t="n">
        <f aca="false">IF(B61=0,MP61+MT61,0)</f>
        <v>0</v>
      </c>
      <c r="ST61" s="20" t="n">
        <f aca="false">IF(B61=0,IF(HU61=1,MR61,MS61),0)</f>
        <v>0</v>
      </c>
      <c r="SU61" s="20" t="n">
        <f aca="false">IF(FR61=1,IF(HU61=1,MY61+NB61,FS61-OY61)*(1+Slot16_Rate),0)</f>
        <v>0</v>
      </c>
      <c r="SV61" s="20" t="n">
        <f aca="false">IF(AND(HU61=1,FR61=1),(MX61+NB61)/F61,0)</f>
        <v>0</v>
      </c>
      <c r="SW61" s="20" t="n">
        <f aca="false">IF(B61=0,MX61+NB61,0)</f>
        <v>0</v>
      </c>
      <c r="SX61" s="20" t="n">
        <f aca="false">IF(B61=0,IF(HU61=1,MZ61,NA61),0)</f>
        <v>0</v>
      </c>
      <c r="SY61" s="20" t="n">
        <f aca="false">IF(GB61=1,IF(HU61=1,NG61+NJ61,GC61-OW61)*(1+Slot17_Rate),0)</f>
        <v>0</v>
      </c>
      <c r="SZ61" s="20" t="n">
        <f aca="false">IF(AND(HU61=1,GB61=1),(NF61+NJ61)/F61,0)</f>
        <v>0</v>
      </c>
      <c r="TA61" s="20" t="n">
        <f aca="false">IF(B61=0,NF61+NJ61,0)</f>
        <v>0</v>
      </c>
      <c r="TB61" s="20" t="n">
        <f aca="false">IF(B61=0,IF(HU61=1,NH61,NI61),0)</f>
        <v>0</v>
      </c>
      <c r="TC61" s="20" t="n">
        <f aca="false">IF(GL61=1,IF(HU61=1,NO61+NR61,GM61-OU61)*(1+Slot18_Rate),0)</f>
        <v>0</v>
      </c>
      <c r="TD61" s="20" t="n">
        <f aca="false">IF(AND(HU61=1,GL61=1),(NN61+NR61)/F61,0)</f>
        <v>0</v>
      </c>
      <c r="TE61" s="20" t="n">
        <f aca="false">IF(B61=0,NN61+NR61,0)</f>
        <v>0</v>
      </c>
      <c r="TF61" s="20" t="n">
        <f aca="false">IF(B61=0,IF(HU61=1,NP61,NQ61),0)</f>
        <v>0</v>
      </c>
      <c r="TG61" s="20" t="n">
        <f aca="false">IF(GV61=1,IF(HU61=1,NW61+NZ61,GW61-OS61)*(1+Slot19_Rate),0)</f>
        <v>0</v>
      </c>
      <c r="TH61" s="20" t="n">
        <f aca="false">IF(AND(HU61=1,GV61=1),(NV61+NZ61)/F61,0)</f>
        <v>0</v>
      </c>
      <c r="TI61" s="20" t="n">
        <f aca="false">IF(B61=0,NV61+NZ61,0)</f>
        <v>0</v>
      </c>
      <c r="TJ61" s="20" t="n">
        <f aca="false">IF(B61=0,IF(HU61=1,NX61,NY61),0)</f>
        <v>0</v>
      </c>
      <c r="TK61" s="20" t="n">
        <f aca="false">IF(HF61=1,IF(HU61=1,OE61+OH61,HG61-OQ61)*(1+Slot20_Rate),0)</f>
        <v>0</v>
      </c>
      <c r="TL61" s="20" t="n">
        <f aca="false">IF(AND(HU61=1,HF61=1),(OD61+OH61)/F61,0)</f>
        <v>0</v>
      </c>
      <c r="TM61" s="20" t="n">
        <f aca="false">IF(B61=0,OD61+OH61,0)</f>
        <v>0</v>
      </c>
      <c r="TN61" s="20" t="n">
        <f aca="false">IF(B61=0,IF(HU61=1,OF61,OG61),0)</f>
        <v>0</v>
      </c>
      <c r="TO61" s="20" t="n">
        <f aca="false">QK61+QL61+QM61+QQ61+QU61+QY61+RC61+RG61+RK61+RO61+RS61+RW61+SA61+SE61+SI61+SM61+SQ61+SU61+SY61+TC61+TG61+TK61</f>
        <v>0</v>
      </c>
      <c r="TP61" s="20" t="n">
        <f aca="false">QE61+HP61</f>
        <v>28321.5193716224</v>
      </c>
      <c r="TQ61" s="20" t="n">
        <f aca="false">I61+S61</f>
        <v>136532.801009712</v>
      </c>
      <c r="TR61" s="20" t="n">
        <f aca="false">1-G61</f>
        <v>1</v>
      </c>
      <c r="TS61" s="20" t="n">
        <f aca="false">IF(AND(RG_Exists=1,G61=0,C61=1),I61,0)</f>
        <v>136532.801009712</v>
      </c>
      <c r="TT61" s="20" t="n">
        <f aca="false">IF(AND(RG_Exists=1,G61=0,C61=1),I61-MIN(QE61,I61),0)</f>
        <v>108211.281638089</v>
      </c>
      <c r="TU61" s="20" t="n">
        <f aca="false">'Plan pay &amp; tax'!AD287</f>
        <v>122594.512363114</v>
      </c>
      <c r="TV61" s="20" t="n">
        <f aca="false">IF(AND(C61=1,QE61&gt;MAX(PR_Short1,TQ61*PR_Short2)),1,0)</f>
        <v>1</v>
      </c>
      <c r="TW61" s="20" t="n">
        <f aca="false">MIN(H61,I61+S61)</f>
        <v>108211.281638089</v>
      </c>
      <c r="TX61" s="20" t="n">
        <f aca="false">QF61+MAX(0,HQ61-HP61)</f>
        <v>0</v>
      </c>
      <c r="TY61" s="20" t="n">
        <f aca="false">QE61+HP61</f>
        <v>28321.5193716224</v>
      </c>
      <c r="TZ61" s="20" t="n">
        <f aca="false">IF(AND(C61=1,TY61&gt;PR_MinShort),1,0)</f>
        <v>1</v>
      </c>
      <c r="UA61" s="20" t="n">
        <f aca="false">IF(AND(C61=1,TZ61=0,TX61&gt;PR_MinShort),1,0)</f>
        <v>0</v>
      </c>
      <c r="UB61" s="20" t="n">
        <f aca="false">IF(AND(C61=1,QE61&gt;PR_MinShort),1,0)</f>
        <v>1</v>
      </c>
      <c r="UC61" s="20" t="n">
        <f aca="false">IF(AND(C61=1,QF61&gt;1,UJ61=0),1,0)</f>
        <v>0</v>
      </c>
      <c r="UD61" s="20" t="str">
        <f aca="false">IF(C61=0,"",IF(UJ61=1,"Gap to plan for: short "&amp;"€"&amp;TEXT(ROUND(TP61,0),"#,##0"),IF(QF61&gt;1,"Using savings","Comfortable")))</f>
        <v>Gap to plan for: short €28,322</v>
      </c>
      <c r="UE61" s="20" t="n">
        <f aca="false">IF(AND(INT(D61/10)*10=90,B61&gt;0),80,INT(D61/10)*10)</f>
        <v>80</v>
      </c>
      <c r="UF61" s="20" t="n">
        <f aca="false">IF(B61=0,1,IF(UE61&lt;&gt;UE60,UF60+1,UF60))</f>
        <v>6</v>
      </c>
      <c r="UG61" s="20" t="n">
        <f aca="false">IF(AND(C61=1,G61=1,QE61&gt;MAX(PR_Short1,TQ61*PR_Short2)),1,0)</f>
        <v>0</v>
      </c>
      <c r="UH61" s="20" t="n">
        <f aca="false">TR61*TV61</f>
        <v>1</v>
      </c>
      <c r="UI61" s="20" t="n">
        <f aca="false">IF(AND(V61=1,Slot1_PctLow=1),1,0)+IF(AND(AG61=1,Slot2_PctLow=1),1,0)+IF(AND(AQ61=1,Slot3_PctLow=1),1,0)+IF(AND(BA61=1,Slot4_PctLow=1),1,0)+IF(AND(BK61=1,Slot5_PctLow=1),1,0)+IF(AND(BU61=1,Slot6_PctLow=1),1,0)+IF(AND(CE61=1,Slot7_PctLow=1),1,0)+IF(AND(CO61=1,Slot8_PctLow=1),1,0)+IF(AND(CY61=1,Slot9_PctLow=1),1,0)+IF(AND(DI61=1,Slot10_PctLow=1),1,0)+IF(AND(DS61=1,Slot11_PctLow=1),1,0)+IF(AND(EC61=1,Slot12_PctLow=1),1,0)+IF(AND(EM61=1,Slot13_PctLow=1),1,0)+IF(AND(EW61=1,Slot14_PctLow=1),1,0)+IF(AND(FG61=1,Slot15_PctLow=1),1,0)+IF(AND(FQ61=1,Slot16_PctLow=1),1,0)+IF(AND(GA61=1,Slot17_PctLow=1),1,0)+IF(AND(GK61=1,Slot18_PctLow=1),1,0)+IF(AND(GU61=1,Slot19_PctLow=1),1,0)+IF(AND(HE61=1,Slot20_PctLow=1),1,0)</f>
        <v>0</v>
      </c>
      <c r="UJ61" s="20" t="n">
        <f aca="false">IF(C61=1,IF(OR(TV61=1,UI61&gt;0),1,0),0)</f>
        <v>1</v>
      </c>
      <c r="UK61" s="20" t="n">
        <f aca="false">Z61+AK61+AU61+BE61+BO61+BY61+CI61+CS61+DC61+DM61+DW61+EG61+EQ61+FA61+FK61+FU61+GE61+GO61+GY61+HI61+OM61</f>
        <v>0</v>
      </c>
      <c r="UL61" s="20" t="n">
        <f aca="false">V61*IF(Slot1_SpendLike=1,X61-Y61,IF(Slot1_PotFree=1,X61,0))+AG61*IF(Slot2_SpendLike=1,AI61-AJ61,IF(Slot2_PotFree=1,AI61,0))+AQ61*IF(Slot3_SpendLike=1,AS61-AT61,IF(Slot3_PotFree=1,AS61,0))+BA61*IF(Slot4_SpendLike=1,BC61-BD61,IF(Slot4_PotFree=1,BC61,0))+BK61*IF(Slot5_SpendLike=1,BM61-BN61,IF(Slot5_PotFree=1,BM61,0))+BU61*IF(Slot6_SpendLike=1,BW61-BX61,IF(Slot6_PotFree=1,BW61,0))+CE61*IF(Slot7_SpendLike=1,CG61-CH61,IF(Slot7_PotFree=1,CG61,0))+CO61*IF(Slot8_SpendLike=1,CQ61-CR61,IF(Slot8_PotFree=1,CQ61,0))+CY61*IF(Slot9_SpendLike=1,DA61-DB61,IF(Slot9_PotFree=1,DA61,0))+DI61*IF(Slot10_SpendLike=1,DK61-DL61,IF(Slot10_PotFree=1,DK61,0))+DS61*IF(Slot11_SpendLike=1,DU61-DV61,IF(Slot11_PotFree=1,DU61,0))+EC61*IF(Slot12_SpendLike=1,EE61-EF61,IF(Slot12_PotFree=1,EE61,0))+EM61*IF(Slot13_SpendLike=1,EO61-EP61,IF(Slot13_PotFree=1,EO61,0))+EW61*IF(Slot14_SpendLike=1,EY61-EZ61,IF(Slot14_PotFree=1,EY61,0))+FG61*IF(Slot15_SpendLike=1,FI61-FJ61,IF(Slot15_PotFree=1,FI61,0))+FQ61*IF(Slot16_SpendLike=1,FS61-FT61,IF(Slot16_PotFree=1,FS61,0))+GA61*IF(Slot17_SpendLike=1,GC61-GD61,IF(Slot17_PotFree=1,GC61,0))+GK61*IF(Slot18_SpendLike=1,GM61-GN61,IF(Slot18_PotFree=1,GM61,0))+GU61*IF(Slot19_SpendLike=1,GW61-GX61,IF(Slot19_PotFree=1,GW61,0))+HE61*IF(Slot20_SpendLike=1,HG61-HH61,IF(Slot20_PotFree=1,HG61,0))</f>
        <v>0</v>
      </c>
      <c r="UM61" s="20" t="n">
        <f aca="false">QG61-T61+UK61-UL61</f>
        <v>0</v>
      </c>
      <c r="UN61" s="20" t="n">
        <f aca="false">IF(OR(UN60=1,AND(In_homeUse="Yes, I'd downsize",In_downAge&gt;0,D61=In_downAge,OR(In_home="Own outright",In_home="Own with mortgage"),In_homeValue&gt;0)),1,0)</f>
        <v>0</v>
      </c>
    </row>
    <row r="62" customFormat="false" ht="15" hidden="false" customHeight="true" outlineLevel="0" collapsed="false">
      <c r="B62" s="20" t="n">
        <v>54</v>
      </c>
      <c r="C62" s="20" t="n">
        <f aca="false">IF(B62&lt;=F_N,1,0)</f>
        <v>1</v>
      </c>
      <c r="D62" s="20" t="n">
        <f aca="false">'Plan pay &amp; tax'!C288</f>
        <v>92</v>
      </c>
      <c r="E62" s="20" t="str">
        <f aca="false">IF($C62=1,"Income tax "&amp;TEXT(N('Plan pay &amp; tax'!BK288),"#,##0")&amp;"; USC "&amp;TEXT(N('Plan pay &amp; tax'!BM288)+N('Plan pay &amp; tax'!BO288),"#,##0")&amp;"; PRSI "&amp;TEXT(N('Plan pay &amp; tax'!BP288)+N('Plan pay &amp; tax'!BQ288),"#,##0")&amp;IF(N('Plan holdings'!BO62)&gt;=0.5,"; DIRT "&amp;TEXT(('Plan holdings'!BO62)/$F62,"#,##0")&amp;" (already taken from the interest earned)","")&amp;IF(N('Plan holdings'!BP62)&gt;=0.5,"; exit tax at an 8-year anniversary "&amp;TEXT(('Plan holdings'!BP62)/$F62,"#,##0"),"")&amp;IF(N('Plan holdings'!BN62)&gt;=0.5,"; tax on assets sold (exit tax or capital gains tax) "&amp;TEXT(('Plan holdings'!BN62)/$F62,"#,##0"),"")&amp;IF(N('Plan pay &amp; tax'!X288)-N('Plan pay &amp; tax'!Y288)&gt;=0.5,"; tax on the pension lump sum "&amp;TEXT(('Plan pay &amp; tax'!X288-'Plan pay &amp; tax'!Y288)/$F62,"#,##0"),"")&amp;IF(N('Plan pay &amp; tax'!V288)&gt;=0.5,"; chargeable excess tax on the pension "&amp;TEXT(('Plan pay &amp; tax'!V288)/$F62,"#,##0"),"")&amp;".","")</f>
        <v>Income tax 1,076; USC 0; PRSI 0.</v>
      </c>
      <c r="F62" s="50" t="n">
        <f aca="false">'Plan pay &amp; tax'!E288</f>
        <v>2.91346144414029</v>
      </c>
      <c r="G62" s="20" t="n">
        <f aca="false">'Plan pay &amp; tax'!G288</f>
        <v>0</v>
      </c>
      <c r="H62" s="20" t="n">
        <f aca="false">'Plan pay &amp; tax'!BT288-'Plan pay &amp; tax'!BS288-'Plan pay &amp; tax'!R288</f>
        <v>110648.863914996</v>
      </c>
      <c r="I62" s="20" t="n">
        <f aca="false">IF(G62=1,F_CostsM*12,IF(RG_Exists=1,RG_Amount,F_CostsM*12*AS_RetireSpend))*F62+F_OneOffY*F62</f>
        <v>139263.457029906</v>
      </c>
      <c r="J62" s="20" t="n">
        <f aca="false">IF(UN62=1,0,HR61)</f>
        <v>0</v>
      </c>
      <c r="K62" s="20" t="n">
        <f aca="false">IF(J62&gt;1,'Plan debt months'!AC62,0)</f>
        <v>0</v>
      </c>
      <c r="L62" s="20" t="n">
        <f aca="false">IF(J62&gt;1,'Plan debt months'!AB62,J62)</f>
        <v>0</v>
      </c>
      <c r="M62" s="20" t="n">
        <f aca="false">O61</f>
        <v>0</v>
      </c>
      <c r="N62" s="20" t="n">
        <f aca="false">IF(M62&gt;1,'Plan debt months'!BD62,0)</f>
        <v>0</v>
      </c>
      <c r="O62" s="20" t="n">
        <f aca="false">IF(M62&gt;1,'Plan debt months'!BC62,M62)</f>
        <v>0</v>
      </c>
      <c r="P62" s="20" t="n">
        <f aca="false">R61</f>
        <v>0</v>
      </c>
      <c r="Q62" s="20" t="n">
        <f aca="false">IF(P62&gt;1,'Plan debt months'!CE62,0)</f>
        <v>0</v>
      </c>
      <c r="R62" s="20" t="n">
        <f aca="false">IF(P62&gt;1,'Plan debt months'!CD62,P62)</f>
        <v>0</v>
      </c>
      <c r="S62" s="20" t="n">
        <f aca="false">K62+N62+Q62</f>
        <v>0</v>
      </c>
      <c r="T62" s="57" t="n">
        <f aca="false">'Plan holdings'!Y62</f>
        <v>0</v>
      </c>
      <c r="U62" s="57" t="n">
        <f aca="false">'Plan holdings'!BM61</f>
        <v>0</v>
      </c>
      <c r="V62" s="20" t="n">
        <f aca="false">IF(AND(Slot1_On=1,D62=Slot1_Age),1,0)</f>
        <v>0</v>
      </c>
      <c r="W62" s="20" t="n">
        <f aca="false">IF(AND(Slot1_On=1,Slot1_Age&gt;D62),1,0)</f>
        <v>0</v>
      </c>
      <c r="X62" s="20" t="n">
        <f aca="false">QM61</f>
        <v>0</v>
      </c>
      <c r="Y62" s="20" t="n">
        <f aca="false">V62*MIN(Slot1_Cost,X62)</f>
        <v>0</v>
      </c>
      <c r="Z62" s="20" t="n">
        <f aca="false">V62*Slot1_SpendLike*MIN(Slot1_Cost-Y62,T62)</f>
        <v>0</v>
      </c>
      <c r="AA62" s="20" t="n">
        <f aca="false">Y62+Z62</f>
        <v>0</v>
      </c>
      <c r="AB62" s="20" t="n">
        <f aca="false">T62-Z62+V62*IF(Slot1_SpendLike=1,X62-Y62,IF(Slot1_PotFree=1,X62,0))</f>
        <v>0</v>
      </c>
      <c r="AC62" s="20" t="n">
        <f aca="false">AF62+V62*Slot1_BufPot*X62</f>
        <v>0</v>
      </c>
      <c r="AD62" s="20" t="n">
        <f aca="false">IF(AND(V62=1,Slot1_IsMfree=1),IF(AA62&gt;=Slot1_Cost-1,0,MAX(0,L62-AA62)),L62)</f>
        <v>0</v>
      </c>
      <c r="AE62" s="20" t="n">
        <f aca="false">V62*(Slot1_Cost-AA62)</f>
        <v>0</v>
      </c>
      <c r="AF62" s="20" t="n">
        <f aca="false">QL61</f>
        <v>0</v>
      </c>
      <c r="AG62" s="20" t="n">
        <f aca="false">IF(AND(Slot2_On=1,D62=Slot2_Age),1,0)</f>
        <v>0</v>
      </c>
      <c r="AH62" s="20" t="n">
        <f aca="false">IF(AND(Slot2_On=1,Slot2_Age&gt;D62),1,0)</f>
        <v>0</v>
      </c>
      <c r="AI62" s="20" t="n">
        <f aca="false">QQ61</f>
        <v>0</v>
      </c>
      <c r="AJ62" s="20" t="n">
        <f aca="false">AG62*MIN(Slot2_Cost,AI62)</f>
        <v>0</v>
      </c>
      <c r="AK62" s="20" t="n">
        <f aca="false">AG62*Slot2_SpendLike*MIN(Slot2_Cost-AJ62,AB62)</f>
        <v>0</v>
      </c>
      <c r="AL62" s="20" t="n">
        <f aca="false">AJ62+AK62</f>
        <v>0</v>
      </c>
      <c r="AM62" s="20" t="n">
        <f aca="false">AB62-AK62+AG62*IF(Slot2_SpendLike=1,AI62-AJ62,IF(Slot2_PotFree=1,AI62,0))</f>
        <v>0</v>
      </c>
      <c r="AN62" s="20" t="n">
        <f aca="false">AC62+AG62*Slot2_BufPot*AI62</f>
        <v>0</v>
      </c>
      <c r="AO62" s="20" t="n">
        <f aca="false">IF(AND(AG62=1,Slot2_IsMfree=1),IF(AL62&gt;=Slot2_Cost-1,0,MAX(0,AD62-AL62)),AD62)</f>
        <v>0</v>
      </c>
      <c r="AP62" s="20" t="n">
        <f aca="false">AG62*(Slot2_Cost-AL62)</f>
        <v>0</v>
      </c>
      <c r="AQ62" s="20" t="n">
        <f aca="false">IF(AND(Slot3_On=1,D62=Slot3_Age),1,0)</f>
        <v>0</v>
      </c>
      <c r="AR62" s="20" t="n">
        <f aca="false">IF(AND(Slot3_On=1,Slot3_Age&gt;D62),1,0)</f>
        <v>0</v>
      </c>
      <c r="AS62" s="20" t="n">
        <f aca="false">QU61</f>
        <v>0</v>
      </c>
      <c r="AT62" s="20" t="n">
        <f aca="false">AQ62*MIN(Slot3_Cost,AS62)</f>
        <v>0</v>
      </c>
      <c r="AU62" s="20" t="n">
        <f aca="false">AQ62*Slot3_SpendLike*MIN(Slot3_Cost-AT62,AM62)</f>
        <v>0</v>
      </c>
      <c r="AV62" s="20" t="n">
        <f aca="false">AT62+AU62</f>
        <v>0</v>
      </c>
      <c r="AW62" s="20" t="n">
        <f aca="false">AM62-AU62+AQ62*IF(Slot3_SpendLike=1,AS62-AT62,IF(Slot3_PotFree=1,AS62,0))</f>
        <v>0</v>
      </c>
      <c r="AX62" s="20" t="n">
        <f aca="false">AN62+AQ62*Slot3_BufPot*AS62</f>
        <v>0</v>
      </c>
      <c r="AY62" s="20" t="n">
        <f aca="false">IF(AND(AQ62=1,Slot3_IsMfree=1),IF(AV62&gt;=Slot3_Cost-1,0,MAX(0,AO62-AV62)),AO62)</f>
        <v>0</v>
      </c>
      <c r="AZ62" s="20" t="n">
        <f aca="false">AQ62*(Slot3_Cost-AV62)</f>
        <v>0</v>
      </c>
      <c r="BA62" s="20" t="n">
        <f aca="false">IF(AND(Slot4_On=1,D62=Slot4_Age),1,0)</f>
        <v>0</v>
      </c>
      <c r="BB62" s="20" t="n">
        <f aca="false">IF(AND(Slot4_On=1,Slot4_Age&gt;D62),1,0)</f>
        <v>0</v>
      </c>
      <c r="BC62" s="20" t="n">
        <f aca="false">QY61</f>
        <v>0</v>
      </c>
      <c r="BD62" s="20" t="n">
        <f aca="false">BA62*MIN(Slot4_Cost,BC62)</f>
        <v>0</v>
      </c>
      <c r="BE62" s="20" t="n">
        <f aca="false">BA62*Slot4_SpendLike*MIN(Slot4_Cost-BD62,AW62)</f>
        <v>0</v>
      </c>
      <c r="BF62" s="20" t="n">
        <f aca="false">BD62+BE62</f>
        <v>0</v>
      </c>
      <c r="BG62" s="20" t="n">
        <f aca="false">AW62-BE62+BA62*IF(Slot4_SpendLike=1,BC62-BD62,IF(Slot4_PotFree=1,BC62,0))</f>
        <v>0</v>
      </c>
      <c r="BH62" s="20" t="n">
        <f aca="false">AX62+BA62*Slot4_BufPot*BC62</f>
        <v>0</v>
      </c>
      <c r="BI62" s="20" t="n">
        <f aca="false">IF(AND(BA62=1,Slot4_IsMfree=1),IF(BF62&gt;=Slot4_Cost-1,0,MAX(0,AY62-BF62)),AY62)</f>
        <v>0</v>
      </c>
      <c r="BJ62" s="20" t="n">
        <f aca="false">BA62*(Slot4_Cost-BF62)</f>
        <v>0</v>
      </c>
      <c r="BK62" s="20" t="n">
        <f aca="false">IF(AND(Slot5_On=1,D62=Slot5_Age),1,0)</f>
        <v>0</v>
      </c>
      <c r="BL62" s="20" t="n">
        <f aca="false">IF(AND(Slot5_On=1,Slot5_Age&gt;D62),1,0)</f>
        <v>0</v>
      </c>
      <c r="BM62" s="20" t="n">
        <f aca="false">RC61</f>
        <v>0</v>
      </c>
      <c r="BN62" s="20" t="n">
        <f aca="false">BK62*MIN(Slot5_Cost,BM62)</f>
        <v>0</v>
      </c>
      <c r="BO62" s="20" t="n">
        <f aca="false">BK62*Slot5_SpendLike*MIN(Slot5_Cost-BN62,BG62)</f>
        <v>0</v>
      </c>
      <c r="BP62" s="20" t="n">
        <f aca="false">BN62+BO62</f>
        <v>0</v>
      </c>
      <c r="BQ62" s="20" t="n">
        <f aca="false">BG62-BO62+BK62*IF(Slot5_SpendLike=1,BM62-BN62,IF(Slot5_PotFree=1,BM62,0))</f>
        <v>0</v>
      </c>
      <c r="BR62" s="20" t="n">
        <f aca="false">BH62+BK62*Slot5_BufPot*BM62</f>
        <v>0</v>
      </c>
      <c r="BS62" s="20" t="n">
        <f aca="false">IF(AND(BK62=1,Slot5_IsMfree=1),IF(BP62&gt;=Slot5_Cost-1,0,MAX(0,BI62-BP62)),BI62)</f>
        <v>0</v>
      </c>
      <c r="BT62" s="20" t="n">
        <f aca="false">BK62*(Slot5_Cost-BP62)</f>
        <v>0</v>
      </c>
      <c r="BU62" s="20" t="n">
        <f aca="false">IF(AND(Slot6_On=1,D62=Slot6_Age),1,0)</f>
        <v>0</v>
      </c>
      <c r="BV62" s="20" t="n">
        <f aca="false">IF(AND(Slot6_On=1,Slot6_Age&gt;D62),1,0)</f>
        <v>0</v>
      </c>
      <c r="BW62" s="20" t="n">
        <f aca="false">RG61</f>
        <v>0</v>
      </c>
      <c r="BX62" s="20" t="n">
        <f aca="false">BU62*MIN(Slot6_Cost,BW62)</f>
        <v>0</v>
      </c>
      <c r="BY62" s="20" t="n">
        <f aca="false">BU62*Slot6_SpendLike*MIN(Slot6_Cost-BX62,BQ62)</f>
        <v>0</v>
      </c>
      <c r="BZ62" s="20" t="n">
        <f aca="false">BX62+BY62</f>
        <v>0</v>
      </c>
      <c r="CA62" s="20" t="n">
        <f aca="false">BQ62-BY62+BU62*IF(Slot6_SpendLike=1,BW62-BX62,IF(Slot6_PotFree=1,BW62,0))</f>
        <v>0</v>
      </c>
      <c r="CB62" s="20" t="n">
        <f aca="false">BR62+BU62*Slot6_BufPot*BW62</f>
        <v>0</v>
      </c>
      <c r="CC62" s="20" t="n">
        <f aca="false">IF(AND(BU62=1,Slot6_IsMfree=1),IF(BZ62&gt;=Slot6_Cost-1,0,MAX(0,BS62-BZ62)),BS62)</f>
        <v>0</v>
      </c>
      <c r="CD62" s="20" t="n">
        <f aca="false">BU62*(Slot6_Cost-BZ62)</f>
        <v>0</v>
      </c>
      <c r="CE62" s="20" t="n">
        <f aca="false">IF(AND(Slot7_On=1,D62=Slot7_Age),1,0)</f>
        <v>0</v>
      </c>
      <c r="CF62" s="20" t="n">
        <f aca="false">IF(AND(Slot7_On=1,Slot7_Age&gt;D62),1,0)</f>
        <v>0</v>
      </c>
      <c r="CG62" s="20" t="n">
        <f aca="false">RK61</f>
        <v>0</v>
      </c>
      <c r="CH62" s="20" t="n">
        <f aca="false">CE62*MIN(Slot7_Cost,CG62)</f>
        <v>0</v>
      </c>
      <c r="CI62" s="20" t="n">
        <f aca="false">CE62*Slot7_SpendLike*MIN(Slot7_Cost-CH62,CA62)</f>
        <v>0</v>
      </c>
      <c r="CJ62" s="20" t="n">
        <f aca="false">CH62+CI62</f>
        <v>0</v>
      </c>
      <c r="CK62" s="20" t="n">
        <f aca="false">CA62-CI62+CE62*IF(Slot7_SpendLike=1,CG62-CH62,IF(Slot7_PotFree=1,CG62,0))</f>
        <v>0</v>
      </c>
      <c r="CL62" s="20" t="n">
        <f aca="false">CB62+CE62*Slot7_BufPot*CG62</f>
        <v>0</v>
      </c>
      <c r="CM62" s="20" t="n">
        <f aca="false">IF(AND(CE62=1,Slot7_IsMfree=1),IF(CJ62&gt;=Slot7_Cost-1,0,MAX(0,CC62-CJ62)),CC62)</f>
        <v>0</v>
      </c>
      <c r="CN62" s="20" t="n">
        <f aca="false">CE62*(Slot7_Cost-CJ62)</f>
        <v>0</v>
      </c>
      <c r="CO62" s="20" t="n">
        <f aca="false">IF(AND(Slot8_On=1,D62=Slot8_Age),1,0)</f>
        <v>0</v>
      </c>
      <c r="CP62" s="20" t="n">
        <f aca="false">IF(AND(Slot8_On=1,Slot8_Age&gt;D62),1,0)</f>
        <v>0</v>
      </c>
      <c r="CQ62" s="20" t="n">
        <f aca="false">RO61</f>
        <v>0</v>
      </c>
      <c r="CR62" s="20" t="n">
        <f aca="false">CO62*MIN(Slot8_Cost,CQ62)</f>
        <v>0</v>
      </c>
      <c r="CS62" s="20" t="n">
        <f aca="false">CO62*Slot8_SpendLike*MIN(Slot8_Cost-CR62,CK62)</f>
        <v>0</v>
      </c>
      <c r="CT62" s="20" t="n">
        <f aca="false">CR62+CS62</f>
        <v>0</v>
      </c>
      <c r="CU62" s="20" t="n">
        <f aca="false">CK62-CS62+CO62*IF(Slot8_SpendLike=1,CQ62-CR62,IF(Slot8_PotFree=1,CQ62,0))</f>
        <v>0</v>
      </c>
      <c r="CV62" s="20" t="n">
        <f aca="false">CL62+CO62*Slot8_BufPot*CQ62</f>
        <v>0</v>
      </c>
      <c r="CW62" s="20" t="n">
        <f aca="false">IF(AND(CO62=1,Slot8_IsMfree=1),IF(CT62&gt;=Slot8_Cost-1,0,MAX(0,CM62-CT62)),CM62)</f>
        <v>0</v>
      </c>
      <c r="CX62" s="20" t="n">
        <f aca="false">CO62*(Slot8_Cost-CT62)</f>
        <v>0</v>
      </c>
      <c r="CY62" s="20" t="n">
        <f aca="false">IF(AND(Slot9_On=1,D62=Slot9_Age),1,0)</f>
        <v>0</v>
      </c>
      <c r="CZ62" s="20" t="n">
        <f aca="false">IF(AND(Slot9_On=1,Slot9_Age&gt;D62),1,0)</f>
        <v>0</v>
      </c>
      <c r="DA62" s="20" t="n">
        <f aca="false">RS61</f>
        <v>0</v>
      </c>
      <c r="DB62" s="20" t="n">
        <f aca="false">CY62*MIN(Slot9_Cost,DA62)</f>
        <v>0</v>
      </c>
      <c r="DC62" s="20" t="n">
        <f aca="false">CY62*Slot9_SpendLike*MIN(Slot9_Cost-DB62,CU62)</f>
        <v>0</v>
      </c>
      <c r="DD62" s="20" t="n">
        <f aca="false">DB62+DC62</f>
        <v>0</v>
      </c>
      <c r="DE62" s="20" t="n">
        <f aca="false">CU62-DC62+CY62*IF(Slot9_SpendLike=1,DA62-DB62,IF(Slot9_PotFree=1,DA62,0))</f>
        <v>0</v>
      </c>
      <c r="DF62" s="20" t="n">
        <f aca="false">CV62+CY62*Slot9_BufPot*DA62</f>
        <v>0</v>
      </c>
      <c r="DG62" s="20" t="n">
        <f aca="false">IF(AND(CY62=1,Slot9_IsMfree=1),IF(DD62&gt;=Slot9_Cost-1,0,MAX(0,CW62-DD62)),CW62)</f>
        <v>0</v>
      </c>
      <c r="DH62" s="20" t="n">
        <f aca="false">CY62*(Slot9_Cost-DD62)</f>
        <v>0</v>
      </c>
      <c r="DI62" s="20" t="n">
        <f aca="false">IF(AND(Slot10_On=1,D62=Slot10_Age),1,0)</f>
        <v>0</v>
      </c>
      <c r="DJ62" s="20" t="n">
        <f aca="false">IF(AND(Slot10_On=1,Slot10_Age&gt;D62),1,0)</f>
        <v>0</v>
      </c>
      <c r="DK62" s="20" t="n">
        <f aca="false">RW61</f>
        <v>0</v>
      </c>
      <c r="DL62" s="20" t="n">
        <f aca="false">DI62*MIN(Slot10_Cost,DK62)</f>
        <v>0</v>
      </c>
      <c r="DM62" s="20" t="n">
        <f aca="false">DI62*Slot10_SpendLike*MIN(Slot10_Cost-DL62,DE62)</f>
        <v>0</v>
      </c>
      <c r="DN62" s="20" t="n">
        <f aca="false">DL62+DM62</f>
        <v>0</v>
      </c>
      <c r="DO62" s="20" t="n">
        <f aca="false">DE62-DM62+DI62*IF(Slot10_SpendLike=1,DK62-DL62,IF(Slot10_PotFree=1,DK62,0))</f>
        <v>0</v>
      </c>
      <c r="DP62" s="20" t="n">
        <f aca="false">DF62+DI62*Slot10_BufPot*DK62</f>
        <v>0</v>
      </c>
      <c r="DQ62" s="20" t="n">
        <f aca="false">IF(AND(DI62=1,Slot10_IsMfree=1),IF(DN62&gt;=Slot10_Cost-1,0,MAX(0,DG62-DN62)),DG62)</f>
        <v>0</v>
      </c>
      <c r="DR62" s="20" t="n">
        <f aca="false">DI62*(Slot10_Cost-DN62)</f>
        <v>0</v>
      </c>
      <c r="DS62" s="20" t="n">
        <f aca="false">IF(AND(Slot11_On=1,D62=Slot11_Age),1,0)</f>
        <v>0</v>
      </c>
      <c r="DT62" s="20" t="n">
        <f aca="false">IF(AND(Slot11_On=1,Slot11_Age&gt;D62),1,0)</f>
        <v>0</v>
      </c>
      <c r="DU62" s="20" t="n">
        <f aca="false">SA61</f>
        <v>0</v>
      </c>
      <c r="DV62" s="20" t="n">
        <f aca="false">DS62*MIN(Slot11_Cost,DU62)</f>
        <v>0</v>
      </c>
      <c r="DW62" s="20" t="n">
        <f aca="false">DS62*Slot11_SpendLike*MIN(Slot11_Cost-DV62,DO62)</f>
        <v>0</v>
      </c>
      <c r="DX62" s="20" t="n">
        <f aca="false">DV62+DW62</f>
        <v>0</v>
      </c>
      <c r="DY62" s="20" t="n">
        <f aca="false">DO62-DW62+DS62*IF(Slot11_SpendLike=1,DU62-DV62,IF(Slot11_PotFree=1,DU62,0))</f>
        <v>0</v>
      </c>
      <c r="DZ62" s="20" t="n">
        <f aca="false">DP62+DS62*Slot11_BufPot*DU62</f>
        <v>0</v>
      </c>
      <c r="EA62" s="20" t="n">
        <f aca="false">IF(AND(DS62=1,Slot11_IsMfree=1),IF(DX62&gt;=Slot11_Cost-1,0,MAX(0,DQ62-DX62)),DQ62)</f>
        <v>0</v>
      </c>
      <c r="EB62" s="20" t="n">
        <f aca="false">DS62*(Slot11_Cost-DX62)</f>
        <v>0</v>
      </c>
      <c r="EC62" s="20" t="n">
        <f aca="false">IF(AND(Slot12_On=1,D62=Slot12_Age),1,0)</f>
        <v>0</v>
      </c>
      <c r="ED62" s="20" t="n">
        <f aca="false">IF(AND(Slot12_On=1,Slot12_Age&gt;D62),1,0)</f>
        <v>0</v>
      </c>
      <c r="EE62" s="20" t="n">
        <f aca="false">SE61</f>
        <v>0</v>
      </c>
      <c r="EF62" s="20" t="n">
        <f aca="false">EC62*MIN(Slot12_Cost,EE62)</f>
        <v>0</v>
      </c>
      <c r="EG62" s="20" t="n">
        <f aca="false">EC62*Slot12_SpendLike*MIN(Slot12_Cost-EF62,DY62)</f>
        <v>0</v>
      </c>
      <c r="EH62" s="20" t="n">
        <f aca="false">EF62+EG62</f>
        <v>0</v>
      </c>
      <c r="EI62" s="20" t="n">
        <f aca="false">DY62-EG62+EC62*IF(Slot12_SpendLike=1,EE62-EF62,IF(Slot12_PotFree=1,EE62,0))</f>
        <v>0</v>
      </c>
      <c r="EJ62" s="20" t="n">
        <f aca="false">DZ62+EC62*Slot12_BufPot*EE62</f>
        <v>0</v>
      </c>
      <c r="EK62" s="20" t="n">
        <f aca="false">IF(AND(EC62=1,Slot12_IsMfree=1),IF(EH62&gt;=Slot12_Cost-1,0,MAX(0,EA62-EH62)),EA62)</f>
        <v>0</v>
      </c>
      <c r="EL62" s="20" t="n">
        <f aca="false">EC62*(Slot12_Cost-EH62)</f>
        <v>0</v>
      </c>
      <c r="EM62" s="20" t="n">
        <f aca="false">IF(AND(Slot13_On=1,D62=Slot13_Age),1,0)</f>
        <v>0</v>
      </c>
      <c r="EN62" s="20" t="n">
        <f aca="false">IF(AND(Slot13_On=1,Slot13_Age&gt;D62),1,0)</f>
        <v>0</v>
      </c>
      <c r="EO62" s="20" t="n">
        <f aca="false">SI61</f>
        <v>0</v>
      </c>
      <c r="EP62" s="20" t="n">
        <f aca="false">EM62*MIN(Slot13_Cost,EO62)</f>
        <v>0</v>
      </c>
      <c r="EQ62" s="20" t="n">
        <f aca="false">EM62*Slot13_SpendLike*MIN(Slot13_Cost-EP62,EI62)</f>
        <v>0</v>
      </c>
      <c r="ER62" s="20" t="n">
        <f aca="false">EP62+EQ62</f>
        <v>0</v>
      </c>
      <c r="ES62" s="20" t="n">
        <f aca="false">EI62-EQ62+EM62*IF(Slot13_SpendLike=1,EO62-EP62,IF(Slot13_PotFree=1,EO62,0))</f>
        <v>0</v>
      </c>
      <c r="ET62" s="20" t="n">
        <f aca="false">EJ62+EM62*Slot13_BufPot*EO62</f>
        <v>0</v>
      </c>
      <c r="EU62" s="20" t="n">
        <f aca="false">IF(AND(EM62=1,Slot13_IsMfree=1),IF(ER62&gt;=Slot13_Cost-1,0,MAX(0,EK62-ER62)),EK62)</f>
        <v>0</v>
      </c>
      <c r="EV62" s="20" t="n">
        <f aca="false">EM62*(Slot13_Cost-ER62)</f>
        <v>0</v>
      </c>
      <c r="EW62" s="20" t="n">
        <f aca="false">IF(AND(Slot14_On=1,D62=Slot14_Age),1,0)</f>
        <v>0</v>
      </c>
      <c r="EX62" s="20" t="n">
        <f aca="false">IF(AND(Slot14_On=1,Slot14_Age&gt;D62),1,0)</f>
        <v>0</v>
      </c>
      <c r="EY62" s="20" t="n">
        <f aca="false">SM61</f>
        <v>0</v>
      </c>
      <c r="EZ62" s="20" t="n">
        <f aca="false">EW62*MIN(Slot14_Cost,EY62)</f>
        <v>0</v>
      </c>
      <c r="FA62" s="20" t="n">
        <f aca="false">EW62*Slot14_SpendLike*MIN(Slot14_Cost-EZ62,ES62)</f>
        <v>0</v>
      </c>
      <c r="FB62" s="20" t="n">
        <f aca="false">EZ62+FA62</f>
        <v>0</v>
      </c>
      <c r="FC62" s="20" t="n">
        <f aca="false">ES62-FA62+EW62*IF(Slot14_SpendLike=1,EY62-EZ62,IF(Slot14_PotFree=1,EY62,0))</f>
        <v>0</v>
      </c>
      <c r="FD62" s="20" t="n">
        <f aca="false">ET62+EW62*Slot14_BufPot*EY62</f>
        <v>0</v>
      </c>
      <c r="FE62" s="20" t="n">
        <f aca="false">IF(AND(EW62=1,Slot14_IsMfree=1),IF(FB62&gt;=Slot14_Cost-1,0,MAX(0,EU62-FB62)),EU62)</f>
        <v>0</v>
      </c>
      <c r="FF62" s="20" t="n">
        <f aca="false">EW62*(Slot14_Cost-FB62)</f>
        <v>0</v>
      </c>
      <c r="FG62" s="20" t="n">
        <f aca="false">IF(AND(Slot15_On=1,D62=Slot15_Age),1,0)</f>
        <v>0</v>
      </c>
      <c r="FH62" s="20" t="n">
        <f aca="false">IF(AND(Slot15_On=1,Slot15_Age&gt;D62),1,0)</f>
        <v>0</v>
      </c>
      <c r="FI62" s="20" t="n">
        <f aca="false">SQ61</f>
        <v>0</v>
      </c>
      <c r="FJ62" s="20" t="n">
        <f aca="false">FG62*MIN(Slot15_Cost,FI62)</f>
        <v>0</v>
      </c>
      <c r="FK62" s="20" t="n">
        <f aca="false">FG62*Slot15_SpendLike*MIN(Slot15_Cost-FJ62,FC62)</f>
        <v>0</v>
      </c>
      <c r="FL62" s="20" t="n">
        <f aca="false">FJ62+FK62</f>
        <v>0</v>
      </c>
      <c r="FM62" s="20" t="n">
        <f aca="false">FC62-FK62+FG62*IF(Slot15_SpendLike=1,FI62-FJ62,IF(Slot15_PotFree=1,FI62,0))</f>
        <v>0</v>
      </c>
      <c r="FN62" s="20" t="n">
        <f aca="false">FD62+FG62*Slot15_BufPot*FI62</f>
        <v>0</v>
      </c>
      <c r="FO62" s="20" t="n">
        <f aca="false">IF(AND(FG62=1,Slot15_IsMfree=1),IF(FL62&gt;=Slot15_Cost-1,0,MAX(0,FE62-FL62)),FE62)</f>
        <v>0</v>
      </c>
      <c r="FP62" s="20" t="n">
        <f aca="false">FG62*(Slot15_Cost-FL62)</f>
        <v>0</v>
      </c>
      <c r="FQ62" s="20" t="n">
        <f aca="false">IF(AND(Slot16_On=1,D62=Slot16_Age),1,0)</f>
        <v>0</v>
      </c>
      <c r="FR62" s="20" t="n">
        <f aca="false">IF(AND(Slot16_On=1,Slot16_Age&gt;D62),1,0)</f>
        <v>0</v>
      </c>
      <c r="FS62" s="20" t="n">
        <f aca="false">SU61</f>
        <v>0</v>
      </c>
      <c r="FT62" s="20" t="n">
        <f aca="false">FQ62*MIN(Slot16_Cost,FS62)</f>
        <v>0</v>
      </c>
      <c r="FU62" s="20" t="n">
        <f aca="false">FQ62*Slot16_SpendLike*MIN(Slot16_Cost-FT62,FM62)</f>
        <v>0</v>
      </c>
      <c r="FV62" s="20" t="n">
        <f aca="false">FT62+FU62</f>
        <v>0</v>
      </c>
      <c r="FW62" s="20" t="n">
        <f aca="false">FM62-FU62+FQ62*IF(Slot16_SpendLike=1,FS62-FT62,IF(Slot16_PotFree=1,FS62,0))</f>
        <v>0</v>
      </c>
      <c r="FX62" s="20" t="n">
        <f aca="false">FN62+FQ62*Slot16_BufPot*FS62</f>
        <v>0</v>
      </c>
      <c r="FY62" s="20" t="n">
        <f aca="false">IF(AND(FQ62=1,Slot16_IsMfree=1),IF(FV62&gt;=Slot16_Cost-1,0,MAX(0,FO62-FV62)),FO62)</f>
        <v>0</v>
      </c>
      <c r="FZ62" s="20" t="n">
        <f aca="false">FQ62*(Slot16_Cost-FV62)</f>
        <v>0</v>
      </c>
      <c r="GA62" s="20" t="n">
        <f aca="false">IF(AND(Slot17_On=1,D62=Slot17_Age),1,0)</f>
        <v>0</v>
      </c>
      <c r="GB62" s="20" t="n">
        <f aca="false">IF(AND(Slot17_On=1,Slot17_Age&gt;D62),1,0)</f>
        <v>0</v>
      </c>
      <c r="GC62" s="20" t="n">
        <f aca="false">SY61</f>
        <v>0</v>
      </c>
      <c r="GD62" s="20" t="n">
        <f aca="false">GA62*MIN(Slot17_Cost,GC62)</f>
        <v>0</v>
      </c>
      <c r="GE62" s="20" t="n">
        <f aca="false">GA62*Slot17_SpendLike*MIN(Slot17_Cost-GD62,FW62)</f>
        <v>0</v>
      </c>
      <c r="GF62" s="20" t="n">
        <f aca="false">GD62+GE62</f>
        <v>0</v>
      </c>
      <c r="GG62" s="20" t="n">
        <f aca="false">FW62-GE62+GA62*IF(Slot17_SpendLike=1,GC62-GD62,IF(Slot17_PotFree=1,GC62,0))</f>
        <v>0</v>
      </c>
      <c r="GH62" s="20" t="n">
        <f aca="false">FX62+GA62*Slot17_BufPot*GC62</f>
        <v>0</v>
      </c>
      <c r="GI62" s="20" t="n">
        <f aca="false">IF(AND(GA62=1,Slot17_IsMfree=1),IF(GF62&gt;=Slot17_Cost-1,0,MAX(0,FY62-GF62)),FY62)</f>
        <v>0</v>
      </c>
      <c r="GJ62" s="20" t="n">
        <f aca="false">GA62*(Slot17_Cost-GF62)</f>
        <v>0</v>
      </c>
      <c r="GK62" s="20" t="n">
        <f aca="false">IF(AND(Slot18_On=1,D62=Slot18_Age),1,0)</f>
        <v>0</v>
      </c>
      <c r="GL62" s="20" t="n">
        <f aca="false">IF(AND(Slot18_On=1,Slot18_Age&gt;D62),1,0)</f>
        <v>0</v>
      </c>
      <c r="GM62" s="20" t="n">
        <f aca="false">TC61</f>
        <v>0</v>
      </c>
      <c r="GN62" s="20" t="n">
        <f aca="false">GK62*MIN(Slot18_Cost,GM62)</f>
        <v>0</v>
      </c>
      <c r="GO62" s="20" t="n">
        <f aca="false">GK62*Slot18_SpendLike*MIN(Slot18_Cost-GN62,GG62)</f>
        <v>0</v>
      </c>
      <c r="GP62" s="20" t="n">
        <f aca="false">GN62+GO62</f>
        <v>0</v>
      </c>
      <c r="GQ62" s="20" t="n">
        <f aca="false">GG62-GO62+GK62*IF(Slot18_SpendLike=1,GM62-GN62,IF(Slot18_PotFree=1,GM62,0))</f>
        <v>0</v>
      </c>
      <c r="GR62" s="20" t="n">
        <f aca="false">GH62+GK62*Slot18_BufPot*GM62</f>
        <v>0</v>
      </c>
      <c r="GS62" s="20" t="n">
        <f aca="false">IF(AND(GK62=1,Slot18_IsMfree=1),IF(GP62&gt;=Slot18_Cost-1,0,MAX(0,GI62-GP62)),GI62)</f>
        <v>0</v>
      </c>
      <c r="GT62" s="20" t="n">
        <f aca="false">GK62*(Slot18_Cost-GP62)</f>
        <v>0</v>
      </c>
      <c r="GU62" s="20" t="n">
        <f aca="false">IF(AND(Slot19_On=1,D62=Slot19_Age),1,0)</f>
        <v>0</v>
      </c>
      <c r="GV62" s="20" t="n">
        <f aca="false">IF(AND(Slot19_On=1,Slot19_Age&gt;D62),1,0)</f>
        <v>0</v>
      </c>
      <c r="GW62" s="20" t="n">
        <f aca="false">TG61</f>
        <v>0</v>
      </c>
      <c r="GX62" s="20" t="n">
        <f aca="false">GU62*MIN(Slot19_Cost,GW62)</f>
        <v>0</v>
      </c>
      <c r="GY62" s="20" t="n">
        <f aca="false">GU62*Slot19_SpendLike*MIN(Slot19_Cost-GX62,GQ62)</f>
        <v>0</v>
      </c>
      <c r="GZ62" s="20" t="n">
        <f aca="false">GX62+GY62</f>
        <v>0</v>
      </c>
      <c r="HA62" s="20" t="n">
        <f aca="false">GQ62-GY62+GU62*IF(Slot19_SpendLike=1,GW62-GX62,IF(Slot19_PotFree=1,GW62,0))</f>
        <v>0</v>
      </c>
      <c r="HB62" s="20" t="n">
        <f aca="false">GR62+GU62*Slot19_BufPot*GW62</f>
        <v>0</v>
      </c>
      <c r="HC62" s="20" t="n">
        <f aca="false">IF(AND(GU62=1,Slot19_IsMfree=1),IF(GZ62&gt;=Slot19_Cost-1,0,MAX(0,GS62-GZ62)),GS62)</f>
        <v>0</v>
      </c>
      <c r="HD62" s="20" t="n">
        <f aca="false">GU62*(Slot19_Cost-GZ62)</f>
        <v>0</v>
      </c>
      <c r="HE62" s="20" t="n">
        <f aca="false">IF(AND(Slot20_On=1,D62=Slot20_Age),1,0)</f>
        <v>0</v>
      </c>
      <c r="HF62" s="20" t="n">
        <f aca="false">IF(AND(Slot20_On=1,Slot20_Age&gt;D62),1,0)</f>
        <v>0</v>
      </c>
      <c r="HG62" s="20" t="n">
        <f aca="false">TK61</f>
        <v>0</v>
      </c>
      <c r="HH62" s="20" t="n">
        <f aca="false">HE62*MIN(Slot20_Cost,HG62)</f>
        <v>0</v>
      </c>
      <c r="HI62" s="20" t="n">
        <f aca="false">HE62*Slot20_SpendLike*MIN(Slot20_Cost-HH62,HA62)</f>
        <v>0</v>
      </c>
      <c r="HJ62" s="20" t="n">
        <f aca="false">HH62+HI62</f>
        <v>0</v>
      </c>
      <c r="HK62" s="20" t="n">
        <f aca="false">HA62-HI62+HE62*IF(Slot20_SpendLike=1,HG62-HH62,IF(Slot20_PotFree=1,HG62,0))</f>
        <v>0</v>
      </c>
      <c r="HL62" s="20" t="n">
        <f aca="false">HB62+HE62*Slot20_BufPot*HG62</f>
        <v>0</v>
      </c>
      <c r="HM62" s="20" t="n">
        <f aca="false">IF(AND(HE62=1,Slot20_IsMfree=1),IF(HJ62&gt;=Slot20_Cost-1,0,MAX(0,HC62-HJ62)),HC62)</f>
        <v>0</v>
      </c>
      <c r="HN62" s="20" t="n">
        <f aca="false">HE62*(Slot20_Cost-HJ62)</f>
        <v>0</v>
      </c>
      <c r="HO62" s="20" t="n">
        <f aca="false">V62*Slot1_SpendLike*AA62+AG62*Slot2_SpendLike*AL62+AQ62*Slot3_SpendLike*AV62+BA62*Slot4_SpendLike*BF62+BK62*Slot5_SpendLike*BP62+BU62*Slot6_SpendLike*BZ62+CE62*Slot7_SpendLike*CJ62+CO62*Slot8_SpendLike*CT62+CY62*Slot9_SpendLike*DD62+DI62*Slot10_SpendLike*DN62+DS62*Slot11_SpendLike*DX62+EC62*Slot12_SpendLike*EH62+EM62*Slot13_SpendLike*ER62+EW62*Slot14_SpendLike*FB62+FG62*Slot15_SpendLike*FL62+FQ62*Slot16_SpendLike*FV62+GA62*Slot17_SpendLike*GF62+GK62*Slot18_SpendLike*GP62+GU62*Slot19_SpendLike*GZ62+HE62*Slot20_SpendLike*HJ62</f>
        <v>0</v>
      </c>
      <c r="HP62" s="20" t="n">
        <f aca="false">AE62+AP62+AZ62+BJ62+BT62+CD62+CN62+CX62+DH62+DR62+EB62+EL62+EV62+FF62+FP62+FZ62+GJ62+GT62+HD62+HN62</f>
        <v>0</v>
      </c>
      <c r="HQ62" s="20" t="n">
        <f aca="false">V62*Slot1_Cost+AG62*Slot2_Cost+AQ62*Slot3_Cost+BA62*Slot4_Cost+BK62*Slot5_Cost+BU62*Slot6_Cost+CE62*Slot7_Cost+CO62*Slot8_Cost+CY62*Slot9_Cost+DI62*Slot10_Cost+DS62*Slot11_Cost+EC62*Slot12_Cost+EM62*Slot13_Cost+EW62*Slot14_Cost+FG62*Slot15_Cost+FQ62*Slot16_Cost+GA62*Slot17_Cost+GK62*Slot18_Cost+GU62*Slot19_Cost+HE62*Slot20_Cost</f>
        <v>0</v>
      </c>
      <c r="HR62" s="20" t="n">
        <f aca="false">HM62</f>
        <v>0</v>
      </c>
      <c r="HS62" s="20" t="n">
        <f aca="false">H62-I62-S62</f>
        <v>-28614.5931149102</v>
      </c>
      <c r="HT62" s="20" t="n">
        <f aca="false">IF(B62=0,IF(AND(Has_q6=1,In_q6=4),PR_ShareVaries*(MAX(0,HS62)/12),MIN(IF(Has_q6=1,CHOOSE(In_q6+1,PR_SaveB1,PR_SaveB2,PR_SaveB3,PR_SaveB4,0),AS_NoAnswer),AS_SaveShare*(MAX(0,HS62)/12))),HT61)</f>
        <v>67.3316893520437</v>
      </c>
      <c r="HU62" s="20" t="n">
        <f aca="false">IF(HS62&gt;=0,1,0)</f>
        <v>0</v>
      </c>
      <c r="HV62" s="20" t="n">
        <f aca="false">MAX(0,HS62/12/F62)</f>
        <v>0</v>
      </c>
      <c r="HW62" s="20" t="n">
        <f aca="false">IF(AND(Has_q6=1,In_q6=4),PR_ShareVaries*(HV62),MIN(IF(Has_q6=1,CHOOSE(In_q6+1,PR_SaveB1,PR_SaveB2,PR_SaveB3,PR_SaveB4,0),AS_NoAnswer),AS_SaveShare*(HV62)))</f>
        <v>0</v>
      </c>
      <c r="HX62" s="20" t="n">
        <f aca="false">IF(Has_saveM=1,IF(In_saveUp="Yes",1,IF(In_saveUp="No",0,IF(In_saveM&gt;=HT62-0.5,1,0))),0)</f>
        <v>0</v>
      </c>
      <c r="HY62" s="20" t="n">
        <f aca="false">IF(Has_saveM=1,MIN(HV62,IF(HX62=1,MAX(In_saveM,HW62),MIN(In_saveM,HW62))),HW62)</f>
        <v>0</v>
      </c>
      <c r="HZ62" s="20" t="n">
        <f aca="false">IF(G62=1,HY62*12*F62,0)</f>
        <v>0</v>
      </c>
      <c r="IA62" s="20" t="n">
        <f aca="false">MAX(0,HZ62+IF(AND(WI_Retire=0,WI_M&lt;0,G62=1),WI_M*12*F62,0))</f>
        <v>0</v>
      </c>
      <c r="IB62" s="20" t="n">
        <f aca="false">Slot1_IsWG*W62+Slot2_IsWG*AH62+Slot3_IsWG*AR62+Slot4_IsWG*BB62+Slot5_IsWG*BL62+Slot6_IsWG*BV62+Slot7_IsWG*CF62+Slot8_IsWG*CP62+Slot9_IsWG*CZ62+Slot10_IsWG*DJ62+Slot11_IsWG*DT62+Slot12_IsWG*ED62+Slot13_IsWG*EN62+Slot14_IsWG*EX62+Slot15_IsWG*FH62+Slot16_IsWG*FR62+Slot17_IsWG*GB62+Slot18_IsWG*GL62+Slot19_IsWG*GV62+Slot20_IsWG*HF62</f>
        <v>0</v>
      </c>
      <c r="IC62" s="20" t="n">
        <f aca="false">IF(AND(WI_Retire=0,WI_M&gt;0,G62=1,IB62&gt;=1),WI_M*12*F62,0)</f>
        <v>0</v>
      </c>
      <c r="ID62" s="20" t="n">
        <f aca="false">IF(HU62=1,MIN(IA62,HS62),0)</f>
        <v>0</v>
      </c>
      <c r="IE62" s="20" t="n">
        <f aca="false">IF(HU62=1,MIN(IC62,HS62-ID62),0)</f>
        <v>0</v>
      </c>
      <c r="IF62" s="20" t="n">
        <f aca="false">IF(W62=1,IF(ABS((1+AS_Wage)/(1+Slot1_Rate)-1)&lt;0.000000000001,(Slot1_Age-D62)*(1+Slot1_Rate)^(Slot1_Age-D62),(1+Slot1_Rate)^(Slot1_Age-D62)*(1-((1+AS_Wage)/(1+Slot1_Rate))^(Slot1_Age-D62))/(1-(1+AS_Wage)/(1+Slot1_Rate))),1)</f>
        <v>1</v>
      </c>
      <c r="IG62" s="20" t="n">
        <f aca="false">IF(AND(HU62=1,IE62&gt;0,Slot1_IsWG=1,W62=1),MAX(0,(Slot1_Cost-X62*(1+Slot1_Rate)^(Slot1_Age-D62))/IF62),0)</f>
        <v>0</v>
      </c>
      <c r="IH62" s="20" t="n">
        <f aca="false">IF(AND(HU62=1,IE62&gt;0,Slot1_IsWG=1,W62=1),MIN(IE62,IG62),0)</f>
        <v>0</v>
      </c>
      <c r="II62" s="20" t="n">
        <f aca="false">X62+IH62</f>
        <v>0</v>
      </c>
      <c r="IJ62" s="20" t="n">
        <f aca="false">IF(W62=1,MAX(0,(Slot1_Cost-II62*(1+Slot1_Rate)^(Slot1_Age-D62))/IF62),0)</f>
        <v>0</v>
      </c>
      <c r="IK62" s="20" t="n">
        <f aca="false">IF(W62=1,MAX(0,(Slot1_Cost-X62*(1+Slot1_Rate)^(Slot1_Age-D62))/IF62),0)</f>
        <v>0</v>
      </c>
      <c r="IL62" s="20" t="n">
        <f aca="false">IF(AND(HU62=1,W62=1),MIN(ID62,IJ62),0)</f>
        <v>0</v>
      </c>
      <c r="IM62" s="20" t="n">
        <f aca="false">ID62-IL62</f>
        <v>0</v>
      </c>
      <c r="IN62" s="20" t="n">
        <f aca="false">IF(AH62=1,IF(ABS((1+AS_Wage)/(1+Slot2_Rate)-1)&lt;0.000000000001,(Slot2_Age-D62)*(1+Slot2_Rate)^(Slot2_Age-D62),(1+Slot2_Rate)^(Slot2_Age-D62)*(1-((1+AS_Wage)/(1+Slot2_Rate))^(Slot2_Age-D62))/(1-(1+AS_Wage)/(1+Slot2_Rate))),1)</f>
        <v>1</v>
      </c>
      <c r="IO62" s="20" t="n">
        <f aca="false">IF(AND(HU62=1,IE62&gt;0,Slot2_IsWG=1,AH62=1),MAX(0,(Slot2_Cost-AI62*(1+Slot2_Rate)^(Slot2_Age-D62))/IN62),0)</f>
        <v>0</v>
      </c>
      <c r="IP62" s="20" t="n">
        <f aca="false">IF(AND(HU62=1,IE62&gt;0,Slot2_IsWG=1,AH62=1),MIN(IE62,IO62),0)</f>
        <v>0</v>
      </c>
      <c r="IQ62" s="20" t="n">
        <f aca="false">AI62+IP62</f>
        <v>0</v>
      </c>
      <c r="IR62" s="20" t="n">
        <f aca="false">IF(AH62=1,MAX(0,(Slot2_Cost-IQ62*(1+Slot2_Rate)^(Slot2_Age-D62))/IN62),0)</f>
        <v>0</v>
      </c>
      <c r="IS62" s="20" t="n">
        <f aca="false">IF(AH62=1,MAX(0,(Slot2_Cost-AI62*(1+Slot2_Rate)^(Slot2_Age-D62))/IN62),0)</f>
        <v>0</v>
      </c>
      <c r="IT62" s="20" t="n">
        <f aca="false">IF(AND(HU62=1,AH62=1),MIN(IM62,IR62),0)</f>
        <v>0</v>
      </c>
      <c r="IU62" s="20" t="n">
        <f aca="false">IM62-IT62</f>
        <v>0</v>
      </c>
      <c r="IV62" s="20" t="n">
        <f aca="false">IF(AR62=1,IF(ABS((1+AS_Wage)/(1+Slot3_Rate)-1)&lt;0.000000000001,(Slot3_Age-D62)*(1+Slot3_Rate)^(Slot3_Age-D62),(1+Slot3_Rate)^(Slot3_Age-D62)*(1-((1+AS_Wage)/(1+Slot3_Rate))^(Slot3_Age-D62))/(1-(1+AS_Wage)/(1+Slot3_Rate))),1)</f>
        <v>1</v>
      </c>
      <c r="IW62" s="20" t="n">
        <f aca="false">IF(AND(HU62=1,IE62&gt;0,Slot3_IsWG=1,AR62=1),MAX(0,(Slot3_Cost-AS62*(1+Slot3_Rate)^(Slot3_Age-D62))/IV62),0)</f>
        <v>0</v>
      </c>
      <c r="IX62" s="20" t="n">
        <f aca="false">IF(AND(HU62=1,IE62&gt;0,Slot3_IsWG=1,AR62=1),MIN(IE62,IW62),0)</f>
        <v>0</v>
      </c>
      <c r="IY62" s="20" t="n">
        <f aca="false">AS62+IX62</f>
        <v>0</v>
      </c>
      <c r="IZ62" s="20" t="n">
        <f aca="false">IF(AR62=1,MAX(0,(Slot3_Cost-IY62*(1+Slot3_Rate)^(Slot3_Age-D62))/IV62),0)</f>
        <v>0</v>
      </c>
      <c r="JA62" s="20" t="n">
        <f aca="false">IF(AR62=1,MAX(0,(Slot3_Cost-AS62*(1+Slot3_Rate)^(Slot3_Age-D62))/IV62),0)</f>
        <v>0</v>
      </c>
      <c r="JB62" s="20" t="n">
        <f aca="false">IF(AND(HU62=1,AR62=1),MIN(IU62,IZ62),0)</f>
        <v>0</v>
      </c>
      <c r="JC62" s="20" t="n">
        <f aca="false">IU62-JB62</f>
        <v>0</v>
      </c>
      <c r="JD62" s="20" t="n">
        <f aca="false">IF(BB62=1,IF(ABS((1+AS_Wage)/(1+Slot4_Rate)-1)&lt;0.000000000001,(Slot4_Age-D62)*(1+Slot4_Rate)^(Slot4_Age-D62),(1+Slot4_Rate)^(Slot4_Age-D62)*(1-((1+AS_Wage)/(1+Slot4_Rate))^(Slot4_Age-D62))/(1-(1+AS_Wage)/(1+Slot4_Rate))),1)</f>
        <v>1</v>
      </c>
      <c r="JE62" s="20" t="n">
        <f aca="false">IF(AND(HU62=1,IE62&gt;0,Slot4_IsWG=1,BB62=1),MAX(0,(Slot4_Cost-BC62*(1+Slot4_Rate)^(Slot4_Age-D62))/JD62),0)</f>
        <v>0</v>
      </c>
      <c r="JF62" s="20" t="n">
        <f aca="false">IF(AND(HU62=1,IE62&gt;0,Slot4_IsWG=1,BB62=1),MIN(IE62,JE62),0)</f>
        <v>0</v>
      </c>
      <c r="JG62" s="20" t="n">
        <f aca="false">BC62+JF62</f>
        <v>0</v>
      </c>
      <c r="JH62" s="20" t="n">
        <f aca="false">IF(BB62=1,MAX(0,(Slot4_Cost-JG62*(1+Slot4_Rate)^(Slot4_Age-D62))/JD62),0)</f>
        <v>0</v>
      </c>
      <c r="JI62" s="20" t="n">
        <f aca="false">IF(BB62=1,MAX(0,(Slot4_Cost-BC62*(1+Slot4_Rate)^(Slot4_Age-D62))/JD62),0)</f>
        <v>0</v>
      </c>
      <c r="JJ62" s="20" t="n">
        <f aca="false">IF(AND(HU62=1,BB62=1),MIN(JC62,JH62),0)</f>
        <v>0</v>
      </c>
      <c r="JK62" s="20" t="n">
        <f aca="false">JC62-JJ62</f>
        <v>0</v>
      </c>
      <c r="JL62" s="20" t="n">
        <f aca="false">IF(BL62=1,IF(ABS((1+AS_Wage)/(1+Slot5_Rate)-1)&lt;0.000000000001,(Slot5_Age-D62)*(1+Slot5_Rate)^(Slot5_Age-D62),(1+Slot5_Rate)^(Slot5_Age-D62)*(1-((1+AS_Wage)/(1+Slot5_Rate))^(Slot5_Age-D62))/(1-(1+AS_Wage)/(1+Slot5_Rate))),1)</f>
        <v>1</v>
      </c>
      <c r="JM62" s="20" t="n">
        <f aca="false">IF(AND(HU62=1,IE62&gt;0,Slot5_IsWG=1,BL62=1),MAX(0,(Slot5_Cost-BM62*(1+Slot5_Rate)^(Slot5_Age-D62))/JL62),0)</f>
        <v>0</v>
      </c>
      <c r="JN62" s="20" t="n">
        <f aca="false">IF(AND(HU62=1,IE62&gt;0,Slot5_IsWG=1,BL62=1),MIN(IE62,JM62),0)</f>
        <v>0</v>
      </c>
      <c r="JO62" s="20" t="n">
        <f aca="false">BM62+JN62</f>
        <v>0</v>
      </c>
      <c r="JP62" s="20" t="n">
        <f aca="false">IF(BL62=1,MAX(0,(Slot5_Cost-JO62*(1+Slot5_Rate)^(Slot5_Age-D62))/JL62),0)</f>
        <v>0</v>
      </c>
      <c r="JQ62" s="20" t="n">
        <f aca="false">IF(BL62=1,MAX(0,(Slot5_Cost-BM62*(1+Slot5_Rate)^(Slot5_Age-D62))/JL62),0)</f>
        <v>0</v>
      </c>
      <c r="JR62" s="20" t="n">
        <f aca="false">IF(AND(HU62=1,BL62=1),MIN(JK62,JP62),0)</f>
        <v>0</v>
      </c>
      <c r="JS62" s="20" t="n">
        <f aca="false">JK62-JR62</f>
        <v>0</v>
      </c>
      <c r="JT62" s="20" t="n">
        <f aca="false">IF(BV62=1,IF(ABS((1+AS_Wage)/(1+Slot6_Rate)-1)&lt;0.000000000001,(Slot6_Age-D62)*(1+Slot6_Rate)^(Slot6_Age-D62),(1+Slot6_Rate)^(Slot6_Age-D62)*(1-((1+AS_Wage)/(1+Slot6_Rate))^(Slot6_Age-D62))/(1-(1+AS_Wage)/(1+Slot6_Rate))),1)</f>
        <v>1</v>
      </c>
      <c r="JU62" s="20" t="n">
        <f aca="false">IF(AND(HU62=1,IE62&gt;0,Slot6_IsWG=1,BV62=1),MAX(0,(Slot6_Cost-BW62*(1+Slot6_Rate)^(Slot6_Age-D62))/JT62),0)</f>
        <v>0</v>
      </c>
      <c r="JV62" s="20" t="n">
        <f aca="false">IF(AND(HU62=1,IE62&gt;0,Slot6_IsWG=1,BV62=1),MIN(IE62,JU62),0)</f>
        <v>0</v>
      </c>
      <c r="JW62" s="20" t="n">
        <f aca="false">BW62+JV62</f>
        <v>0</v>
      </c>
      <c r="JX62" s="20" t="n">
        <f aca="false">IF(BV62=1,MAX(0,(Slot6_Cost-JW62*(1+Slot6_Rate)^(Slot6_Age-D62))/JT62),0)</f>
        <v>0</v>
      </c>
      <c r="JY62" s="20" t="n">
        <f aca="false">IF(BV62=1,MAX(0,(Slot6_Cost-BW62*(1+Slot6_Rate)^(Slot6_Age-D62))/JT62),0)</f>
        <v>0</v>
      </c>
      <c r="JZ62" s="20" t="n">
        <f aca="false">IF(AND(HU62=1,BV62=1),MIN(JS62,JX62),0)</f>
        <v>0</v>
      </c>
      <c r="KA62" s="20" t="n">
        <f aca="false">JS62-JZ62</f>
        <v>0</v>
      </c>
      <c r="KB62" s="20" t="n">
        <f aca="false">IF(CF62=1,IF(ABS((1+AS_Wage)/(1+Slot7_Rate)-1)&lt;0.000000000001,(Slot7_Age-D62)*(1+Slot7_Rate)^(Slot7_Age-D62),(1+Slot7_Rate)^(Slot7_Age-D62)*(1-((1+AS_Wage)/(1+Slot7_Rate))^(Slot7_Age-D62))/(1-(1+AS_Wage)/(1+Slot7_Rate))),1)</f>
        <v>1</v>
      </c>
      <c r="KC62" s="20" t="n">
        <f aca="false">IF(AND(HU62=1,IE62&gt;0,Slot7_IsWG=1,CF62=1),MAX(0,(Slot7_Cost-CG62*(1+Slot7_Rate)^(Slot7_Age-D62))/KB62),0)</f>
        <v>0</v>
      </c>
      <c r="KD62" s="20" t="n">
        <f aca="false">IF(AND(HU62=1,IE62&gt;0,Slot7_IsWG=1,CF62=1),MIN(IE62,KC62),0)</f>
        <v>0</v>
      </c>
      <c r="KE62" s="20" t="n">
        <f aca="false">CG62+KD62</f>
        <v>0</v>
      </c>
      <c r="KF62" s="20" t="n">
        <f aca="false">IF(CF62=1,MAX(0,(Slot7_Cost-KE62*(1+Slot7_Rate)^(Slot7_Age-D62))/KB62),0)</f>
        <v>0</v>
      </c>
      <c r="KG62" s="20" t="n">
        <f aca="false">IF(CF62=1,MAX(0,(Slot7_Cost-CG62*(1+Slot7_Rate)^(Slot7_Age-D62))/KB62),0)</f>
        <v>0</v>
      </c>
      <c r="KH62" s="20" t="n">
        <f aca="false">IF(AND(HU62=1,CF62=1),MIN(KA62,KF62),0)</f>
        <v>0</v>
      </c>
      <c r="KI62" s="20" t="n">
        <f aca="false">KA62-KH62</f>
        <v>0</v>
      </c>
      <c r="KJ62" s="20" t="n">
        <f aca="false">IF(CP62=1,IF(ABS((1+AS_Wage)/(1+Slot8_Rate)-1)&lt;0.000000000001,(Slot8_Age-D62)*(1+Slot8_Rate)^(Slot8_Age-D62),(1+Slot8_Rate)^(Slot8_Age-D62)*(1-((1+AS_Wage)/(1+Slot8_Rate))^(Slot8_Age-D62))/(1-(1+AS_Wage)/(1+Slot8_Rate))),1)</f>
        <v>1</v>
      </c>
      <c r="KK62" s="20" t="n">
        <f aca="false">IF(AND(HU62=1,IE62&gt;0,Slot8_IsWG=1,CP62=1),MAX(0,(Slot8_Cost-CQ62*(1+Slot8_Rate)^(Slot8_Age-D62))/KJ62),0)</f>
        <v>0</v>
      </c>
      <c r="KL62" s="20" t="n">
        <f aca="false">IF(AND(HU62=1,IE62&gt;0,Slot8_IsWG=1,CP62=1),MIN(IE62,KK62),0)</f>
        <v>0</v>
      </c>
      <c r="KM62" s="20" t="n">
        <f aca="false">CQ62+KL62</f>
        <v>0</v>
      </c>
      <c r="KN62" s="20" t="n">
        <f aca="false">IF(CP62=1,MAX(0,(Slot8_Cost-KM62*(1+Slot8_Rate)^(Slot8_Age-D62))/KJ62),0)</f>
        <v>0</v>
      </c>
      <c r="KO62" s="20" t="n">
        <f aca="false">IF(CP62=1,MAX(0,(Slot8_Cost-CQ62*(1+Slot8_Rate)^(Slot8_Age-D62))/KJ62),0)</f>
        <v>0</v>
      </c>
      <c r="KP62" s="20" t="n">
        <f aca="false">IF(AND(HU62=1,CP62=1),MIN(KI62,KN62),0)</f>
        <v>0</v>
      </c>
      <c r="KQ62" s="20" t="n">
        <f aca="false">KI62-KP62</f>
        <v>0</v>
      </c>
      <c r="KR62" s="20" t="n">
        <f aca="false">IF(CZ62=1,IF(ABS((1+AS_Wage)/(1+Slot9_Rate)-1)&lt;0.000000000001,(Slot9_Age-D62)*(1+Slot9_Rate)^(Slot9_Age-D62),(1+Slot9_Rate)^(Slot9_Age-D62)*(1-((1+AS_Wage)/(1+Slot9_Rate))^(Slot9_Age-D62))/(1-(1+AS_Wage)/(1+Slot9_Rate))),1)</f>
        <v>1</v>
      </c>
      <c r="KS62" s="20" t="n">
        <f aca="false">IF(AND(HU62=1,IE62&gt;0,Slot9_IsWG=1,CZ62=1),MAX(0,(Slot9_Cost-DA62*(1+Slot9_Rate)^(Slot9_Age-D62))/KR62),0)</f>
        <v>0</v>
      </c>
      <c r="KT62" s="20" t="n">
        <f aca="false">IF(AND(HU62=1,IE62&gt;0,Slot9_IsWG=1,CZ62=1),MIN(IE62,KS62),0)</f>
        <v>0</v>
      </c>
      <c r="KU62" s="20" t="n">
        <f aca="false">DA62+KT62</f>
        <v>0</v>
      </c>
      <c r="KV62" s="20" t="n">
        <f aca="false">IF(CZ62=1,MAX(0,(Slot9_Cost-KU62*(1+Slot9_Rate)^(Slot9_Age-D62))/KR62),0)</f>
        <v>0</v>
      </c>
      <c r="KW62" s="20" t="n">
        <f aca="false">IF(CZ62=1,MAX(0,(Slot9_Cost-DA62*(1+Slot9_Rate)^(Slot9_Age-D62))/KR62),0)</f>
        <v>0</v>
      </c>
      <c r="KX62" s="20" t="n">
        <f aca="false">IF(AND(HU62=1,CZ62=1),MIN(KQ62,KV62),0)</f>
        <v>0</v>
      </c>
      <c r="KY62" s="20" t="n">
        <f aca="false">KQ62-KX62</f>
        <v>0</v>
      </c>
      <c r="KZ62" s="20" t="n">
        <f aca="false">IF(DJ62=1,IF(ABS((1+AS_Wage)/(1+Slot10_Rate)-1)&lt;0.000000000001,(Slot10_Age-D62)*(1+Slot10_Rate)^(Slot10_Age-D62),(1+Slot10_Rate)^(Slot10_Age-D62)*(1-((1+AS_Wage)/(1+Slot10_Rate))^(Slot10_Age-D62))/(1-(1+AS_Wage)/(1+Slot10_Rate))),1)</f>
        <v>1</v>
      </c>
      <c r="LA62" s="20" t="n">
        <f aca="false">IF(AND(HU62=1,IE62&gt;0,Slot10_IsWG=1,DJ62=1),MAX(0,(Slot10_Cost-DK62*(1+Slot10_Rate)^(Slot10_Age-D62))/KZ62),0)</f>
        <v>0</v>
      </c>
      <c r="LB62" s="20" t="n">
        <f aca="false">IF(AND(HU62=1,IE62&gt;0,Slot10_IsWG=1,DJ62=1),MIN(IE62,LA62),0)</f>
        <v>0</v>
      </c>
      <c r="LC62" s="20" t="n">
        <f aca="false">DK62+LB62</f>
        <v>0</v>
      </c>
      <c r="LD62" s="20" t="n">
        <f aca="false">IF(DJ62=1,MAX(0,(Slot10_Cost-LC62*(1+Slot10_Rate)^(Slot10_Age-D62))/KZ62),0)</f>
        <v>0</v>
      </c>
      <c r="LE62" s="20" t="n">
        <f aca="false">IF(DJ62=1,MAX(0,(Slot10_Cost-DK62*(1+Slot10_Rate)^(Slot10_Age-D62))/KZ62),0)</f>
        <v>0</v>
      </c>
      <c r="LF62" s="20" t="n">
        <f aca="false">IF(AND(HU62=1,DJ62=1),MIN(KY62,LD62),0)</f>
        <v>0</v>
      </c>
      <c r="LG62" s="20" t="n">
        <f aca="false">KY62-LF62</f>
        <v>0</v>
      </c>
      <c r="LH62" s="20" t="n">
        <f aca="false">IF(DT62=1,IF(ABS((1+AS_Wage)/(1+Slot11_Rate)-1)&lt;0.000000000001,(Slot11_Age-D62)*(1+Slot11_Rate)^(Slot11_Age-D62),(1+Slot11_Rate)^(Slot11_Age-D62)*(1-((1+AS_Wage)/(1+Slot11_Rate))^(Slot11_Age-D62))/(1-(1+AS_Wage)/(1+Slot11_Rate))),1)</f>
        <v>1</v>
      </c>
      <c r="LI62" s="20" t="n">
        <f aca="false">IF(AND(HU62=1,IE62&gt;0,Slot11_IsWG=1,DT62=1),MAX(0,(Slot11_Cost-DU62*(1+Slot11_Rate)^(Slot11_Age-D62))/LH62),0)</f>
        <v>0</v>
      </c>
      <c r="LJ62" s="20" t="n">
        <f aca="false">IF(AND(HU62=1,IE62&gt;0,Slot11_IsWG=1,DT62=1),MIN(IE62,LI62),0)</f>
        <v>0</v>
      </c>
      <c r="LK62" s="20" t="n">
        <f aca="false">DU62+LJ62</f>
        <v>0</v>
      </c>
      <c r="LL62" s="20" t="n">
        <f aca="false">IF(DT62=1,MAX(0,(Slot11_Cost-LK62*(1+Slot11_Rate)^(Slot11_Age-D62))/LH62),0)</f>
        <v>0</v>
      </c>
      <c r="LM62" s="20" t="n">
        <f aca="false">IF(DT62=1,MAX(0,(Slot11_Cost-DU62*(1+Slot11_Rate)^(Slot11_Age-D62))/LH62),0)</f>
        <v>0</v>
      </c>
      <c r="LN62" s="20" t="n">
        <f aca="false">IF(AND(HU62=1,DT62=1),MIN(LG62,LL62),0)</f>
        <v>0</v>
      </c>
      <c r="LO62" s="20" t="n">
        <f aca="false">LG62-LN62</f>
        <v>0</v>
      </c>
      <c r="LP62" s="20" t="n">
        <f aca="false">IF(ED62=1,IF(ABS((1+AS_Wage)/(1+Slot12_Rate)-1)&lt;0.000000000001,(Slot12_Age-D62)*(1+Slot12_Rate)^(Slot12_Age-D62),(1+Slot12_Rate)^(Slot12_Age-D62)*(1-((1+AS_Wage)/(1+Slot12_Rate))^(Slot12_Age-D62))/(1-(1+AS_Wage)/(1+Slot12_Rate))),1)</f>
        <v>1</v>
      </c>
      <c r="LQ62" s="20" t="n">
        <f aca="false">IF(AND(HU62=1,IE62&gt;0,Slot12_IsWG=1,ED62=1),MAX(0,(Slot12_Cost-EE62*(1+Slot12_Rate)^(Slot12_Age-D62))/LP62),0)</f>
        <v>0</v>
      </c>
      <c r="LR62" s="20" t="n">
        <f aca="false">IF(AND(HU62=1,IE62&gt;0,Slot12_IsWG=1,ED62=1),MIN(IE62,LQ62),0)</f>
        <v>0</v>
      </c>
      <c r="LS62" s="20" t="n">
        <f aca="false">EE62+LR62</f>
        <v>0</v>
      </c>
      <c r="LT62" s="20" t="n">
        <f aca="false">IF(ED62=1,MAX(0,(Slot12_Cost-LS62*(1+Slot12_Rate)^(Slot12_Age-D62))/LP62),0)</f>
        <v>0</v>
      </c>
      <c r="LU62" s="20" t="n">
        <f aca="false">IF(ED62=1,MAX(0,(Slot12_Cost-EE62*(1+Slot12_Rate)^(Slot12_Age-D62))/LP62),0)</f>
        <v>0</v>
      </c>
      <c r="LV62" s="20" t="n">
        <f aca="false">IF(AND(HU62=1,ED62=1),MIN(LO62,LT62),0)</f>
        <v>0</v>
      </c>
      <c r="LW62" s="20" t="n">
        <f aca="false">LO62-LV62</f>
        <v>0</v>
      </c>
      <c r="LX62" s="20" t="n">
        <f aca="false">IF(EN62=1,IF(ABS((1+AS_Wage)/(1+Slot13_Rate)-1)&lt;0.000000000001,(Slot13_Age-D62)*(1+Slot13_Rate)^(Slot13_Age-D62),(1+Slot13_Rate)^(Slot13_Age-D62)*(1-((1+AS_Wage)/(1+Slot13_Rate))^(Slot13_Age-D62))/(1-(1+AS_Wage)/(1+Slot13_Rate))),1)</f>
        <v>1</v>
      </c>
      <c r="LY62" s="20" t="n">
        <f aca="false">IF(AND(HU62=1,IE62&gt;0,Slot13_IsWG=1,EN62=1),MAX(0,(Slot13_Cost-EO62*(1+Slot13_Rate)^(Slot13_Age-D62))/LX62),0)</f>
        <v>0</v>
      </c>
      <c r="LZ62" s="20" t="n">
        <f aca="false">IF(AND(HU62=1,IE62&gt;0,Slot13_IsWG=1,EN62=1),MIN(IE62,LY62),0)</f>
        <v>0</v>
      </c>
      <c r="MA62" s="20" t="n">
        <f aca="false">EO62+LZ62</f>
        <v>0</v>
      </c>
      <c r="MB62" s="20" t="n">
        <f aca="false">IF(EN62=1,MAX(0,(Slot13_Cost-MA62*(1+Slot13_Rate)^(Slot13_Age-D62))/LX62),0)</f>
        <v>0</v>
      </c>
      <c r="MC62" s="20" t="n">
        <f aca="false">IF(EN62=1,MAX(0,(Slot13_Cost-EO62*(1+Slot13_Rate)^(Slot13_Age-D62))/LX62),0)</f>
        <v>0</v>
      </c>
      <c r="MD62" s="20" t="n">
        <f aca="false">IF(AND(HU62=1,EN62=1),MIN(LW62,MB62),0)</f>
        <v>0</v>
      </c>
      <c r="ME62" s="20" t="n">
        <f aca="false">LW62-MD62</f>
        <v>0</v>
      </c>
      <c r="MF62" s="20" t="n">
        <f aca="false">IF(EX62=1,IF(ABS((1+AS_Wage)/(1+Slot14_Rate)-1)&lt;0.000000000001,(Slot14_Age-D62)*(1+Slot14_Rate)^(Slot14_Age-D62),(1+Slot14_Rate)^(Slot14_Age-D62)*(1-((1+AS_Wage)/(1+Slot14_Rate))^(Slot14_Age-D62))/(1-(1+AS_Wage)/(1+Slot14_Rate))),1)</f>
        <v>1</v>
      </c>
      <c r="MG62" s="20" t="n">
        <f aca="false">IF(AND(HU62=1,IE62&gt;0,Slot14_IsWG=1,EX62=1),MAX(0,(Slot14_Cost-EY62*(1+Slot14_Rate)^(Slot14_Age-D62))/MF62),0)</f>
        <v>0</v>
      </c>
      <c r="MH62" s="20" t="n">
        <f aca="false">IF(AND(HU62=1,IE62&gt;0,Slot14_IsWG=1,EX62=1),MIN(IE62,MG62),0)</f>
        <v>0</v>
      </c>
      <c r="MI62" s="20" t="n">
        <f aca="false">EY62+MH62</f>
        <v>0</v>
      </c>
      <c r="MJ62" s="20" t="n">
        <f aca="false">IF(EX62=1,MAX(0,(Slot14_Cost-MI62*(1+Slot14_Rate)^(Slot14_Age-D62))/MF62),0)</f>
        <v>0</v>
      </c>
      <c r="MK62" s="20" t="n">
        <f aca="false">IF(EX62=1,MAX(0,(Slot14_Cost-EY62*(1+Slot14_Rate)^(Slot14_Age-D62))/MF62),0)</f>
        <v>0</v>
      </c>
      <c r="ML62" s="20" t="n">
        <f aca="false">IF(AND(HU62=1,EX62=1),MIN(ME62,MJ62),0)</f>
        <v>0</v>
      </c>
      <c r="MM62" s="20" t="n">
        <f aca="false">ME62-ML62</f>
        <v>0</v>
      </c>
      <c r="MN62" s="20" t="n">
        <f aca="false">IF(FH62=1,IF(ABS((1+AS_Wage)/(1+Slot15_Rate)-1)&lt;0.000000000001,(Slot15_Age-D62)*(1+Slot15_Rate)^(Slot15_Age-D62),(1+Slot15_Rate)^(Slot15_Age-D62)*(1-((1+AS_Wage)/(1+Slot15_Rate))^(Slot15_Age-D62))/(1-(1+AS_Wage)/(1+Slot15_Rate))),1)</f>
        <v>1</v>
      </c>
      <c r="MO62" s="20" t="n">
        <f aca="false">IF(AND(HU62=1,IE62&gt;0,Slot15_IsWG=1,FH62=1),MAX(0,(Slot15_Cost-FI62*(1+Slot15_Rate)^(Slot15_Age-D62))/MN62),0)</f>
        <v>0</v>
      </c>
      <c r="MP62" s="20" t="n">
        <f aca="false">IF(AND(HU62=1,IE62&gt;0,Slot15_IsWG=1,FH62=1),MIN(IE62,MO62),0)</f>
        <v>0</v>
      </c>
      <c r="MQ62" s="20" t="n">
        <f aca="false">FI62+MP62</f>
        <v>0</v>
      </c>
      <c r="MR62" s="20" t="n">
        <f aca="false">IF(FH62=1,MAX(0,(Slot15_Cost-MQ62*(1+Slot15_Rate)^(Slot15_Age-D62))/MN62),0)</f>
        <v>0</v>
      </c>
      <c r="MS62" s="20" t="n">
        <f aca="false">IF(FH62=1,MAX(0,(Slot15_Cost-FI62*(1+Slot15_Rate)^(Slot15_Age-D62))/MN62),0)</f>
        <v>0</v>
      </c>
      <c r="MT62" s="20" t="n">
        <f aca="false">IF(AND(HU62=1,FH62=1),MIN(MM62,MR62),0)</f>
        <v>0</v>
      </c>
      <c r="MU62" s="20" t="n">
        <f aca="false">MM62-MT62</f>
        <v>0</v>
      </c>
      <c r="MV62" s="20" t="n">
        <f aca="false">IF(FR62=1,IF(ABS((1+AS_Wage)/(1+Slot16_Rate)-1)&lt;0.000000000001,(Slot16_Age-D62)*(1+Slot16_Rate)^(Slot16_Age-D62),(1+Slot16_Rate)^(Slot16_Age-D62)*(1-((1+AS_Wage)/(1+Slot16_Rate))^(Slot16_Age-D62))/(1-(1+AS_Wage)/(1+Slot16_Rate))),1)</f>
        <v>1</v>
      </c>
      <c r="MW62" s="20" t="n">
        <f aca="false">IF(AND(HU62=1,IE62&gt;0,Slot16_IsWG=1,FR62=1),MAX(0,(Slot16_Cost-FS62*(1+Slot16_Rate)^(Slot16_Age-D62))/MV62),0)</f>
        <v>0</v>
      </c>
      <c r="MX62" s="20" t="n">
        <f aca="false">IF(AND(HU62=1,IE62&gt;0,Slot16_IsWG=1,FR62=1),MIN(IE62,MW62),0)</f>
        <v>0</v>
      </c>
      <c r="MY62" s="20" t="n">
        <f aca="false">FS62+MX62</f>
        <v>0</v>
      </c>
      <c r="MZ62" s="20" t="n">
        <f aca="false">IF(FR62=1,MAX(0,(Slot16_Cost-MY62*(1+Slot16_Rate)^(Slot16_Age-D62))/MV62),0)</f>
        <v>0</v>
      </c>
      <c r="NA62" s="20" t="n">
        <f aca="false">IF(FR62=1,MAX(0,(Slot16_Cost-FS62*(1+Slot16_Rate)^(Slot16_Age-D62))/MV62),0)</f>
        <v>0</v>
      </c>
      <c r="NB62" s="20" t="n">
        <f aca="false">IF(AND(HU62=1,FR62=1),MIN(MU62,MZ62),0)</f>
        <v>0</v>
      </c>
      <c r="NC62" s="20" t="n">
        <f aca="false">MU62-NB62</f>
        <v>0</v>
      </c>
      <c r="ND62" s="20" t="n">
        <f aca="false">IF(GB62=1,IF(ABS((1+AS_Wage)/(1+Slot17_Rate)-1)&lt;0.000000000001,(Slot17_Age-D62)*(1+Slot17_Rate)^(Slot17_Age-D62),(1+Slot17_Rate)^(Slot17_Age-D62)*(1-((1+AS_Wage)/(1+Slot17_Rate))^(Slot17_Age-D62))/(1-(1+AS_Wage)/(1+Slot17_Rate))),1)</f>
        <v>1</v>
      </c>
      <c r="NE62" s="20" t="n">
        <f aca="false">IF(AND(HU62=1,IE62&gt;0,Slot17_IsWG=1,GB62=1),MAX(0,(Slot17_Cost-GC62*(1+Slot17_Rate)^(Slot17_Age-D62))/ND62),0)</f>
        <v>0</v>
      </c>
      <c r="NF62" s="20" t="n">
        <f aca="false">IF(AND(HU62=1,IE62&gt;0,Slot17_IsWG=1,GB62=1),MIN(IE62,NE62),0)</f>
        <v>0</v>
      </c>
      <c r="NG62" s="20" t="n">
        <f aca="false">GC62+NF62</f>
        <v>0</v>
      </c>
      <c r="NH62" s="20" t="n">
        <f aca="false">IF(GB62=1,MAX(0,(Slot17_Cost-NG62*(1+Slot17_Rate)^(Slot17_Age-D62))/ND62),0)</f>
        <v>0</v>
      </c>
      <c r="NI62" s="20" t="n">
        <f aca="false">IF(GB62=1,MAX(0,(Slot17_Cost-GC62*(1+Slot17_Rate)^(Slot17_Age-D62))/ND62),0)</f>
        <v>0</v>
      </c>
      <c r="NJ62" s="20" t="n">
        <f aca="false">IF(AND(HU62=1,GB62=1),MIN(NC62,NH62),0)</f>
        <v>0</v>
      </c>
      <c r="NK62" s="20" t="n">
        <f aca="false">NC62-NJ62</f>
        <v>0</v>
      </c>
      <c r="NL62" s="20" t="n">
        <f aca="false">IF(GL62=1,IF(ABS((1+AS_Wage)/(1+Slot18_Rate)-1)&lt;0.000000000001,(Slot18_Age-D62)*(1+Slot18_Rate)^(Slot18_Age-D62),(1+Slot18_Rate)^(Slot18_Age-D62)*(1-((1+AS_Wage)/(1+Slot18_Rate))^(Slot18_Age-D62))/(1-(1+AS_Wage)/(1+Slot18_Rate))),1)</f>
        <v>1</v>
      </c>
      <c r="NM62" s="20" t="n">
        <f aca="false">IF(AND(HU62=1,IE62&gt;0,Slot18_IsWG=1,GL62=1),MAX(0,(Slot18_Cost-GM62*(1+Slot18_Rate)^(Slot18_Age-D62))/NL62),0)</f>
        <v>0</v>
      </c>
      <c r="NN62" s="20" t="n">
        <f aca="false">IF(AND(HU62=1,IE62&gt;0,Slot18_IsWG=1,GL62=1),MIN(IE62,NM62),0)</f>
        <v>0</v>
      </c>
      <c r="NO62" s="20" t="n">
        <f aca="false">GM62+NN62</f>
        <v>0</v>
      </c>
      <c r="NP62" s="20" t="n">
        <f aca="false">IF(GL62=1,MAX(0,(Slot18_Cost-NO62*(1+Slot18_Rate)^(Slot18_Age-D62))/NL62),0)</f>
        <v>0</v>
      </c>
      <c r="NQ62" s="20" t="n">
        <f aca="false">IF(GL62=1,MAX(0,(Slot18_Cost-GM62*(1+Slot18_Rate)^(Slot18_Age-D62))/NL62),0)</f>
        <v>0</v>
      </c>
      <c r="NR62" s="20" t="n">
        <f aca="false">IF(AND(HU62=1,GL62=1),MIN(NK62,NP62),0)</f>
        <v>0</v>
      </c>
      <c r="NS62" s="20" t="n">
        <f aca="false">NK62-NR62</f>
        <v>0</v>
      </c>
      <c r="NT62" s="20" t="n">
        <f aca="false">IF(GV62=1,IF(ABS((1+AS_Wage)/(1+Slot19_Rate)-1)&lt;0.000000000001,(Slot19_Age-D62)*(1+Slot19_Rate)^(Slot19_Age-D62),(1+Slot19_Rate)^(Slot19_Age-D62)*(1-((1+AS_Wage)/(1+Slot19_Rate))^(Slot19_Age-D62))/(1-(1+AS_Wage)/(1+Slot19_Rate))),1)</f>
        <v>1</v>
      </c>
      <c r="NU62" s="20" t="n">
        <f aca="false">IF(AND(HU62=1,IE62&gt;0,Slot19_IsWG=1,GV62=1),MAX(0,(Slot19_Cost-GW62*(1+Slot19_Rate)^(Slot19_Age-D62))/NT62),0)</f>
        <v>0</v>
      </c>
      <c r="NV62" s="20" t="n">
        <f aca="false">IF(AND(HU62=1,IE62&gt;0,Slot19_IsWG=1,GV62=1),MIN(IE62,NU62),0)</f>
        <v>0</v>
      </c>
      <c r="NW62" s="20" t="n">
        <f aca="false">GW62+NV62</f>
        <v>0</v>
      </c>
      <c r="NX62" s="20" t="n">
        <f aca="false">IF(GV62=1,MAX(0,(Slot19_Cost-NW62*(1+Slot19_Rate)^(Slot19_Age-D62))/NT62),0)</f>
        <v>0</v>
      </c>
      <c r="NY62" s="20" t="n">
        <f aca="false">IF(GV62=1,MAX(0,(Slot19_Cost-GW62*(1+Slot19_Rate)^(Slot19_Age-D62))/NT62),0)</f>
        <v>0</v>
      </c>
      <c r="NZ62" s="20" t="n">
        <f aca="false">IF(AND(HU62=1,GV62=1),MIN(NS62,NX62),0)</f>
        <v>0</v>
      </c>
      <c r="OA62" s="20" t="n">
        <f aca="false">NS62-NZ62</f>
        <v>0</v>
      </c>
      <c r="OB62" s="20" t="n">
        <f aca="false">IF(HF62=1,IF(ABS((1+AS_Wage)/(1+Slot20_Rate)-1)&lt;0.000000000001,(Slot20_Age-D62)*(1+Slot20_Rate)^(Slot20_Age-D62),(1+Slot20_Rate)^(Slot20_Age-D62)*(1-((1+AS_Wage)/(1+Slot20_Rate))^(Slot20_Age-D62))/(1-(1+AS_Wage)/(1+Slot20_Rate))),1)</f>
        <v>1</v>
      </c>
      <c r="OC62" s="20" t="n">
        <f aca="false">IF(AND(HU62=1,IE62&gt;0,Slot20_IsWG=1,HF62=1),MAX(0,(Slot20_Cost-HG62*(1+Slot20_Rate)^(Slot20_Age-D62))/OB62),0)</f>
        <v>0</v>
      </c>
      <c r="OD62" s="20" t="n">
        <f aca="false">IF(AND(HU62=1,IE62&gt;0,Slot20_IsWG=1,HF62=1),MIN(IE62,OC62),0)</f>
        <v>0</v>
      </c>
      <c r="OE62" s="20" t="n">
        <f aca="false">HG62+OD62</f>
        <v>0</v>
      </c>
      <c r="OF62" s="20" t="n">
        <f aca="false">IF(HF62=1,MAX(0,(Slot20_Cost-OE62*(1+Slot20_Rate)^(Slot20_Age-D62))/OB62),0)</f>
        <v>0</v>
      </c>
      <c r="OG62" s="20" t="n">
        <f aca="false">IF(HF62=1,MAX(0,(Slot20_Cost-HG62*(1+Slot20_Rate)^(Slot20_Age-D62))/OB62),0)</f>
        <v>0</v>
      </c>
      <c r="OH62" s="20" t="n">
        <f aca="false">IF(AND(HU62=1,HF62=1),MIN(OA62,OF62),0)</f>
        <v>0</v>
      </c>
      <c r="OI62" s="20" t="n">
        <f aca="false">OA62-OH62</f>
        <v>0</v>
      </c>
      <c r="OJ62" s="20" t="n">
        <f aca="false">IE62-(IH62+IP62+IX62+JF62+JN62+JV62+KD62+KL62+KT62+LB62+LJ62+LR62+LZ62+MH62+MP62+MX62+NF62+NN62+NV62+OD62)</f>
        <v>0</v>
      </c>
      <c r="OK62" s="20" t="n">
        <f aca="false">IF(HU62=1,HS62-ID62-IE62,0)</f>
        <v>0</v>
      </c>
      <c r="OL62" s="20" t="n">
        <f aca="false">IF(HU62=0,-HS62,0)</f>
        <v>28614.5931149102</v>
      </c>
      <c r="OM62" s="20" t="n">
        <f aca="false">MIN(OL62,HK62)</f>
        <v>0</v>
      </c>
      <c r="ON62" s="20" t="n">
        <f aca="false">OL62-OM62</f>
        <v>28614.5931149102</v>
      </c>
      <c r="OO62" s="20" t="n">
        <f aca="false">MIN(ON62,HL62)</f>
        <v>0</v>
      </c>
      <c r="OP62" s="20" t="n">
        <f aca="false">ON62-OO62</f>
        <v>28614.5931149102</v>
      </c>
      <c r="OQ62" s="20" t="n">
        <f aca="false">IF(AND(HU62=0,HF62=1,OP62&gt;0),MIN(OP62,HG62),0)</f>
        <v>0</v>
      </c>
      <c r="OR62" s="20" t="n">
        <f aca="false">OP62-OQ62</f>
        <v>28614.5931149102</v>
      </c>
      <c r="OS62" s="20" t="n">
        <f aca="false">IF(AND(HU62=0,GV62=1,OR62&gt;0),MIN(OR62,GW62),0)</f>
        <v>0</v>
      </c>
      <c r="OT62" s="20" t="n">
        <f aca="false">OR62-OS62</f>
        <v>28614.5931149102</v>
      </c>
      <c r="OU62" s="20" t="n">
        <f aca="false">IF(AND(HU62=0,GL62=1,OT62&gt;0),MIN(OT62,GM62),0)</f>
        <v>0</v>
      </c>
      <c r="OV62" s="20" t="n">
        <f aca="false">OT62-OU62</f>
        <v>28614.5931149102</v>
      </c>
      <c r="OW62" s="20" t="n">
        <f aca="false">IF(AND(HU62=0,GB62=1,OV62&gt;0),MIN(OV62,GC62),0)</f>
        <v>0</v>
      </c>
      <c r="OX62" s="20" t="n">
        <f aca="false">OV62-OW62</f>
        <v>28614.5931149102</v>
      </c>
      <c r="OY62" s="20" t="n">
        <f aca="false">IF(AND(HU62=0,FR62=1,OX62&gt;0),MIN(OX62,FS62),0)</f>
        <v>0</v>
      </c>
      <c r="OZ62" s="20" t="n">
        <f aca="false">OX62-OY62</f>
        <v>28614.5931149102</v>
      </c>
      <c r="PA62" s="20" t="n">
        <f aca="false">IF(AND(HU62=0,FH62=1,OZ62&gt;0),MIN(OZ62,FI62),0)</f>
        <v>0</v>
      </c>
      <c r="PB62" s="20" t="n">
        <f aca="false">OZ62-PA62</f>
        <v>28614.5931149102</v>
      </c>
      <c r="PC62" s="20" t="n">
        <f aca="false">IF(AND(HU62=0,EX62=1,PB62&gt;0),MIN(PB62,EY62),0)</f>
        <v>0</v>
      </c>
      <c r="PD62" s="20" t="n">
        <f aca="false">PB62-PC62</f>
        <v>28614.5931149102</v>
      </c>
      <c r="PE62" s="20" t="n">
        <f aca="false">IF(AND(HU62=0,EN62=1,PD62&gt;0),MIN(PD62,EO62),0)</f>
        <v>0</v>
      </c>
      <c r="PF62" s="20" t="n">
        <f aca="false">PD62-PE62</f>
        <v>28614.5931149102</v>
      </c>
      <c r="PG62" s="20" t="n">
        <f aca="false">IF(AND(HU62=0,ED62=1,PF62&gt;0),MIN(PF62,EE62),0)</f>
        <v>0</v>
      </c>
      <c r="PH62" s="20" t="n">
        <f aca="false">PF62-PG62</f>
        <v>28614.5931149102</v>
      </c>
      <c r="PI62" s="20" t="n">
        <f aca="false">IF(AND(HU62=0,DT62=1,PH62&gt;0),MIN(PH62,DU62),0)</f>
        <v>0</v>
      </c>
      <c r="PJ62" s="20" t="n">
        <f aca="false">PH62-PI62</f>
        <v>28614.5931149102</v>
      </c>
      <c r="PK62" s="20" t="n">
        <f aca="false">IF(AND(HU62=0,DJ62=1,PJ62&gt;0),MIN(PJ62,DK62),0)</f>
        <v>0</v>
      </c>
      <c r="PL62" s="20" t="n">
        <f aca="false">PJ62-PK62</f>
        <v>28614.5931149102</v>
      </c>
      <c r="PM62" s="20" t="n">
        <f aca="false">IF(AND(HU62=0,CZ62=1,PL62&gt;0),MIN(PL62,DA62),0)</f>
        <v>0</v>
      </c>
      <c r="PN62" s="20" t="n">
        <f aca="false">PL62-PM62</f>
        <v>28614.5931149102</v>
      </c>
      <c r="PO62" s="20" t="n">
        <f aca="false">IF(AND(HU62=0,CP62=1,PN62&gt;0),MIN(PN62,CQ62),0)</f>
        <v>0</v>
      </c>
      <c r="PP62" s="20" t="n">
        <f aca="false">PN62-PO62</f>
        <v>28614.5931149102</v>
      </c>
      <c r="PQ62" s="20" t="n">
        <f aca="false">IF(AND(HU62=0,CF62=1,PP62&gt;0),MIN(PP62,CG62),0)</f>
        <v>0</v>
      </c>
      <c r="PR62" s="20" t="n">
        <f aca="false">PP62-PQ62</f>
        <v>28614.5931149102</v>
      </c>
      <c r="PS62" s="20" t="n">
        <f aca="false">IF(AND(HU62=0,BV62=1,PR62&gt;0),MIN(PR62,BW62),0)</f>
        <v>0</v>
      </c>
      <c r="PT62" s="20" t="n">
        <f aca="false">PR62-PS62</f>
        <v>28614.5931149102</v>
      </c>
      <c r="PU62" s="20" t="n">
        <f aca="false">IF(AND(HU62=0,BL62=1,PT62&gt;0),MIN(PT62,BM62),0)</f>
        <v>0</v>
      </c>
      <c r="PV62" s="20" t="n">
        <f aca="false">PT62-PU62</f>
        <v>28614.5931149102</v>
      </c>
      <c r="PW62" s="20" t="n">
        <f aca="false">IF(AND(HU62=0,BB62=1,PV62&gt;0),MIN(PV62,BC62),0)</f>
        <v>0</v>
      </c>
      <c r="PX62" s="20" t="n">
        <f aca="false">PV62-PW62</f>
        <v>28614.5931149102</v>
      </c>
      <c r="PY62" s="20" t="n">
        <f aca="false">IF(AND(HU62=0,AR62=1,PX62&gt;0),MIN(PX62,AS62),0)</f>
        <v>0</v>
      </c>
      <c r="PZ62" s="20" t="n">
        <f aca="false">PX62-PY62</f>
        <v>28614.5931149102</v>
      </c>
      <c r="QA62" s="20" t="n">
        <f aca="false">IF(AND(HU62=0,AH62=1,PZ62&gt;0),MIN(PZ62,AI62),0)</f>
        <v>0</v>
      </c>
      <c r="QB62" s="20" t="n">
        <f aca="false">PZ62-QA62</f>
        <v>28614.5931149102</v>
      </c>
      <c r="QC62" s="20" t="n">
        <f aca="false">IF(AND(HU62=0,W62=1,QB62&gt;0),MIN(QB62,X62),0)</f>
        <v>0</v>
      </c>
      <c r="QD62" s="20" t="n">
        <f aca="false">QB62-QC62</f>
        <v>28614.5931149102</v>
      </c>
      <c r="QE62" s="20" t="n">
        <f aca="false">IF(HU62=0,QD62,0)</f>
        <v>28614.5931149102</v>
      </c>
      <c r="QF62" s="20" t="n">
        <f aca="false">OM62+OO62+QC62+QA62+PY62+PW62+PU62+PS62+PQ62+PO62+PM62+PK62+PI62+PG62+PE62+PC62+PA62+OY62+OW62+OU62+OS62+OQ62</f>
        <v>0</v>
      </c>
      <c r="QG62" s="20" t="n">
        <f aca="false">IF(HU62=1,HK62+OJ62+OI62+IF(G62=1,0,OK62),HK62-OM62)</f>
        <v>0</v>
      </c>
      <c r="QH62" s="20" t="n">
        <f aca="false">HL62-OO62</f>
        <v>0</v>
      </c>
      <c r="QI62" s="20" t="n">
        <f aca="false">IF(HU62=1,IF(G62=1,ID62+IE62,HS62),0)</f>
        <v>0</v>
      </c>
      <c r="QJ62" s="20" t="n">
        <f aca="false">IF(HU62=1,IF(G62=1,HS62-ID62-IE62,0),0)</f>
        <v>0</v>
      </c>
      <c r="QK62" s="57" t="n">
        <f aca="false">'Plan holdings'!BM62</f>
        <v>0</v>
      </c>
      <c r="QL62" s="20" t="n">
        <f aca="false">QH62*(1+AS_Cash)</f>
        <v>0</v>
      </c>
      <c r="QM62" s="20" t="n">
        <f aca="false">IF(W62=1,IF(HU62=1,II62+IL62,X62-QC62)*(1+Slot1_Rate),0)</f>
        <v>0</v>
      </c>
      <c r="QN62" s="20" t="n">
        <f aca="false">IF(AND(HU62=1,W62=1),(IH62+IL62)/F62,0)</f>
        <v>0</v>
      </c>
      <c r="QO62" s="20" t="n">
        <f aca="false">IF(B62=0,IH62+IL62,0)</f>
        <v>0</v>
      </c>
      <c r="QP62" s="20" t="n">
        <f aca="false">IF(B62=0,IF(HU62=1,IJ62,IK62),0)</f>
        <v>0</v>
      </c>
      <c r="QQ62" s="20" t="n">
        <f aca="false">IF(AH62=1,IF(HU62=1,IQ62+IT62,AI62-QA62)*(1+Slot2_Rate),0)</f>
        <v>0</v>
      </c>
      <c r="QR62" s="20" t="n">
        <f aca="false">IF(AND(HU62=1,AH62=1),(IP62+IT62)/F62,0)</f>
        <v>0</v>
      </c>
      <c r="QS62" s="20" t="n">
        <f aca="false">IF(B62=0,IP62+IT62,0)</f>
        <v>0</v>
      </c>
      <c r="QT62" s="20" t="n">
        <f aca="false">IF(B62=0,IF(HU62=1,IR62,IS62),0)</f>
        <v>0</v>
      </c>
      <c r="QU62" s="20" t="n">
        <f aca="false">IF(AR62=1,IF(HU62=1,IY62+JB62,AS62-PY62)*(1+Slot3_Rate),0)</f>
        <v>0</v>
      </c>
      <c r="QV62" s="20" t="n">
        <f aca="false">IF(AND(HU62=1,AR62=1),(IX62+JB62)/F62,0)</f>
        <v>0</v>
      </c>
      <c r="QW62" s="20" t="n">
        <f aca="false">IF(B62=0,IX62+JB62,0)</f>
        <v>0</v>
      </c>
      <c r="QX62" s="20" t="n">
        <f aca="false">IF(B62=0,IF(HU62=1,IZ62,JA62),0)</f>
        <v>0</v>
      </c>
      <c r="QY62" s="20" t="n">
        <f aca="false">IF(BB62=1,IF(HU62=1,JG62+JJ62,BC62-PW62)*(1+Slot4_Rate),0)</f>
        <v>0</v>
      </c>
      <c r="QZ62" s="20" t="n">
        <f aca="false">IF(AND(HU62=1,BB62=1),(JF62+JJ62)/F62,0)</f>
        <v>0</v>
      </c>
      <c r="RA62" s="20" t="n">
        <f aca="false">IF(B62=0,JF62+JJ62,0)</f>
        <v>0</v>
      </c>
      <c r="RB62" s="20" t="n">
        <f aca="false">IF(B62=0,IF(HU62=1,JH62,JI62),0)</f>
        <v>0</v>
      </c>
      <c r="RC62" s="20" t="n">
        <f aca="false">IF(BL62=1,IF(HU62=1,JO62+JR62,BM62-PU62)*(1+Slot5_Rate),0)</f>
        <v>0</v>
      </c>
      <c r="RD62" s="20" t="n">
        <f aca="false">IF(AND(HU62=1,BL62=1),(JN62+JR62)/F62,0)</f>
        <v>0</v>
      </c>
      <c r="RE62" s="20" t="n">
        <f aca="false">IF(B62=0,JN62+JR62,0)</f>
        <v>0</v>
      </c>
      <c r="RF62" s="20" t="n">
        <f aca="false">IF(B62=0,IF(HU62=1,JP62,JQ62),0)</f>
        <v>0</v>
      </c>
      <c r="RG62" s="20" t="n">
        <f aca="false">IF(BV62=1,IF(HU62=1,JW62+JZ62,BW62-PS62)*(1+Slot6_Rate),0)</f>
        <v>0</v>
      </c>
      <c r="RH62" s="20" t="n">
        <f aca="false">IF(AND(HU62=1,BV62=1),(JV62+JZ62)/F62,0)</f>
        <v>0</v>
      </c>
      <c r="RI62" s="20" t="n">
        <f aca="false">IF(B62=0,JV62+JZ62,0)</f>
        <v>0</v>
      </c>
      <c r="RJ62" s="20" t="n">
        <f aca="false">IF(B62=0,IF(HU62=1,JX62,JY62),0)</f>
        <v>0</v>
      </c>
      <c r="RK62" s="20" t="n">
        <f aca="false">IF(CF62=1,IF(HU62=1,KE62+KH62,CG62-PQ62)*(1+Slot7_Rate),0)</f>
        <v>0</v>
      </c>
      <c r="RL62" s="20" t="n">
        <f aca="false">IF(AND(HU62=1,CF62=1),(KD62+KH62)/F62,0)</f>
        <v>0</v>
      </c>
      <c r="RM62" s="20" t="n">
        <f aca="false">IF(B62=0,KD62+KH62,0)</f>
        <v>0</v>
      </c>
      <c r="RN62" s="20" t="n">
        <f aca="false">IF(B62=0,IF(HU62=1,KF62,KG62),0)</f>
        <v>0</v>
      </c>
      <c r="RO62" s="20" t="n">
        <f aca="false">IF(CP62=1,IF(HU62=1,KM62+KP62,CQ62-PO62)*(1+Slot8_Rate),0)</f>
        <v>0</v>
      </c>
      <c r="RP62" s="20" t="n">
        <f aca="false">IF(AND(HU62=1,CP62=1),(KL62+KP62)/F62,0)</f>
        <v>0</v>
      </c>
      <c r="RQ62" s="20" t="n">
        <f aca="false">IF(B62=0,KL62+KP62,0)</f>
        <v>0</v>
      </c>
      <c r="RR62" s="20" t="n">
        <f aca="false">IF(B62=0,IF(HU62=1,KN62,KO62),0)</f>
        <v>0</v>
      </c>
      <c r="RS62" s="20" t="n">
        <f aca="false">IF(CZ62=1,IF(HU62=1,KU62+KX62,DA62-PM62)*(1+Slot9_Rate),0)</f>
        <v>0</v>
      </c>
      <c r="RT62" s="20" t="n">
        <f aca="false">IF(AND(HU62=1,CZ62=1),(KT62+KX62)/F62,0)</f>
        <v>0</v>
      </c>
      <c r="RU62" s="20" t="n">
        <f aca="false">IF(B62=0,KT62+KX62,0)</f>
        <v>0</v>
      </c>
      <c r="RV62" s="20" t="n">
        <f aca="false">IF(B62=0,IF(HU62=1,KV62,KW62),0)</f>
        <v>0</v>
      </c>
      <c r="RW62" s="20" t="n">
        <f aca="false">IF(DJ62=1,IF(HU62=1,LC62+LF62,DK62-PK62)*(1+Slot10_Rate),0)</f>
        <v>0</v>
      </c>
      <c r="RX62" s="20" t="n">
        <f aca="false">IF(AND(HU62=1,DJ62=1),(LB62+LF62)/F62,0)</f>
        <v>0</v>
      </c>
      <c r="RY62" s="20" t="n">
        <f aca="false">IF(B62=0,LB62+LF62,0)</f>
        <v>0</v>
      </c>
      <c r="RZ62" s="20" t="n">
        <f aca="false">IF(B62=0,IF(HU62=1,LD62,LE62),0)</f>
        <v>0</v>
      </c>
      <c r="SA62" s="20" t="n">
        <f aca="false">IF(DT62=1,IF(HU62=1,LK62+LN62,DU62-PI62)*(1+Slot11_Rate),0)</f>
        <v>0</v>
      </c>
      <c r="SB62" s="20" t="n">
        <f aca="false">IF(AND(HU62=1,DT62=1),(LJ62+LN62)/F62,0)</f>
        <v>0</v>
      </c>
      <c r="SC62" s="20" t="n">
        <f aca="false">IF(B62=0,LJ62+LN62,0)</f>
        <v>0</v>
      </c>
      <c r="SD62" s="20" t="n">
        <f aca="false">IF(B62=0,IF(HU62=1,LL62,LM62),0)</f>
        <v>0</v>
      </c>
      <c r="SE62" s="20" t="n">
        <f aca="false">IF(ED62=1,IF(HU62=1,LS62+LV62,EE62-PG62)*(1+Slot12_Rate),0)</f>
        <v>0</v>
      </c>
      <c r="SF62" s="20" t="n">
        <f aca="false">IF(AND(HU62=1,ED62=1),(LR62+LV62)/F62,0)</f>
        <v>0</v>
      </c>
      <c r="SG62" s="20" t="n">
        <f aca="false">IF(B62=0,LR62+LV62,0)</f>
        <v>0</v>
      </c>
      <c r="SH62" s="20" t="n">
        <f aca="false">IF(B62=0,IF(HU62=1,LT62,LU62),0)</f>
        <v>0</v>
      </c>
      <c r="SI62" s="20" t="n">
        <f aca="false">IF(EN62=1,IF(HU62=1,MA62+MD62,EO62-PE62)*(1+Slot13_Rate),0)</f>
        <v>0</v>
      </c>
      <c r="SJ62" s="20" t="n">
        <f aca="false">IF(AND(HU62=1,EN62=1),(LZ62+MD62)/F62,0)</f>
        <v>0</v>
      </c>
      <c r="SK62" s="20" t="n">
        <f aca="false">IF(B62=0,LZ62+MD62,0)</f>
        <v>0</v>
      </c>
      <c r="SL62" s="20" t="n">
        <f aca="false">IF(B62=0,IF(HU62=1,MB62,MC62),0)</f>
        <v>0</v>
      </c>
      <c r="SM62" s="20" t="n">
        <f aca="false">IF(EX62=1,IF(HU62=1,MI62+ML62,EY62-PC62)*(1+Slot14_Rate),0)</f>
        <v>0</v>
      </c>
      <c r="SN62" s="20" t="n">
        <f aca="false">IF(AND(HU62=1,EX62=1),(MH62+ML62)/F62,0)</f>
        <v>0</v>
      </c>
      <c r="SO62" s="20" t="n">
        <f aca="false">IF(B62=0,MH62+ML62,0)</f>
        <v>0</v>
      </c>
      <c r="SP62" s="20" t="n">
        <f aca="false">IF(B62=0,IF(HU62=1,MJ62,MK62),0)</f>
        <v>0</v>
      </c>
      <c r="SQ62" s="20" t="n">
        <f aca="false">IF(FH62=1,IF(HU62=1,MQ62+MT62,FI62-PA62)*(1+Slot15_Rate),0)</f>
        <v>0</v>
      </c>
      <c r="SR62" s="20" t="n">
        <f aca="false">IF(AND(HU62=1,FH62=1),(MP62+MT62)/F62,0)</f>
        <v>0</v>
      </c>
      <c r="SS62" s="20" t="n">
        <f aca="false">IF(B62=0,MP62+MT62,0)</f>
        <v>0</v>
      </c>
      <c r="ST62" s="20" t="n">
        <f aca="false">IF(B62=0,IF(HU62=1,MR62,MS62),0)</f>
        <v>0</v>
      </c>
      <c r="SU62" s="20" t="n">
        <f aca="false">IF(FR62=1,IF(HU62=1,MY62+NB62,FS62-OY62)*(1+Slot16_Rate),0)</f>
        <v>0</v>
      </c>
      <c r="SV62" s="20" t="n">
        <f aca="false">IF(AND(HU62=1,FR62=1),(MX62+NB62)/F62,0)</f>
        <v>0</v>
      </c>
      <c r="SW62" s="20" t="n">
        <f aca="false">IF(B62=0,MX62+NB62,0)</f>
        <v>0</v>
      </c>
      <c r="SX62" s="20" t="n">
        <f aca="false">IF(B62=0,IF(HU62=1,MZ62,NA62),0)</f>
        <v>0</v>
      </c>
      <c r="SY62" s="20" t="n">
        <f aca="false">IF(GB62=1,IF(HU62=1,NG62+NJ62,GC62-OW62)*(1+Slot17_Rate),0)</f>
        <v>0</v>
      </c>
      <c r="SZ62" s="20" t="n">
        <f aca="false">IF(AND(HU62=1,GB62=1),(NF62+NJ62)/F62,0)</f>
        <v>0</v>
      </c>
      <c r="TA62" s="20" t="n">
        <f aca="false">IF(B62=0,NF62+NJ62,0)</f>
        <v>0</v>
      </c>
      <c r="TB62" s="20" t="n">
        <f aca="false">IF(B62=0,IF(HU62=1,NH62,NI62),0)</f>
        <v>0</v>
      </c>
      <c r="TC62" s="20" t="n">
        <f aca="false">IF(GL62=1,IF(HU62=1,NO62+NR62,GM62-OU62)*(1+Slot18_Rate),0)</f>
        <v>0</v>
      </c>
      <c r="TD62" s="20" t="n">
        <f aca="false">IF(AND(HU62=1,GL62=1),(NN62+NR62)/F62,0)</f>
        <v>0</v>
      </c>
      <c r="TE62" s="20" t="n">
        <f aca="false">IF(B62=0,NN62+NR62,0)</f>
        <v>0</v>
      </c>
      <c r="TF62" s="20" t="n">
        <f aca="false">IF(B62=0,IF(HU62=1,NP62,NQ62),0)</f>
        <v>0</v>
      </c>
      <c r="TG62" s="20" t="n">
        <f aca="false">IF(GV62=1,IF(HU62=1,NW62+NZ62,GW62-OS62)*(1+Slot19_Rate),0)</f>
        <v>0</v>
      </c>
      <c r="TH62" s="20" t="n">
        <f aca="false">IF(AND(HU62=1,GV62=1),(NV62+NZ62)/F62,0)</f>
        <v>0</v>
      </c>
      <c r="TI62" s="20" t="n">
        <f aca="false">IF(B62=0,NV62+NZ62,0)</f>
        <v>0</v>
      </c>
      <c r="TJ62" s="20" t="n">
        <f aca="false">IF(B62=0,IF(HU62=1,NX62,NY62),0)</f>
        <v>0</v>
      </c>
      <c r="TK62" s="20" t="n">
        <f aca="false">IF(HF62=1,IF(HU62=1,OE62+OH62,HG62-OQ62)*(1+Slot20_Rate),0)</f>
        <v>0</v>
      </c>
      <c r="TL62" s="20" t="n">
        <f aca="false">IF(AND(HU62=1,HF62=1),(OD62+OH62)/F62,0)</f>
        <v>0</v>
      </c>
      <c r="TM62" s="20" t="n">
        <f aca="false">IF(B62=0,OD62+OH62,0)</f>
        <v>0</v>
      </c>
      <c r="TN62" s="20" t="n">
        <f aca="false">IF(B62=0,IF(HU62=1,OF62,OG62),0)</f>
        <v>0</v>
      </c>
      <c r="TO62" s="20" t="n">
        <f aca="false">QK62+QL62+QM62+QQ62+QU62+QY62+RC62+RG62+RK62+RO62+RS62+RW62+SA62+SE62+SI62+SM62+SQ62+SU62+SY62+TC62+TG62+TK62</f>
        <v>0</v>
      </c>
      <c r="TP62" s="20" t="n">
        <f aca="false">QE62+HP62</f>
        <v>28614.5931149102</v>
      </c>
      <c r="TQ62" s="20" t="n">
        <f aca="false">I62+S62</f>
        <v>139263.457029906</v>
      </c>
      <c r="TR62" s="20" t="n">
        <f aca="false">1-G62</f>
        <v>1</v>
      </c>
      <c r="TS62" s="20" t="n">
        <f aca="false">IF(AND(RG_Exists=1,G62=0,C62=1),I62,0)</f>
        <v>139263.457029906</v>
      </c>
      <c r="TT62" s="20" t="n">
        <f aca="false">IF(AND(RG_Exists=1,G62=0,C62=1),I62-MIN(QE62,I62),0)</f>
        <v>110648.863914996</v>
      </c>
      <c r="TU62" s="20" t="n">
        <f aca="false">'Plan pay &amp; tax'!AD288</f>
        <v>94842.179626914</v>
      </c>
      <c r="TV62" s="20" t="n">
        <f aca="false">IF(AND(C62=1,QE62&gt;MAX(PR_Short1,TQ62*PR_Short2)),1,0)</f>
        <v>1</v>
      </c>
      <c r="TW62" s="20" t="n">
        <f aca="false">MIN(H62,I62+S62)</f>
        <v>110648.863914996</v>
      </c>
      <c r="TX62" s="20" t="n">
        <f aca="false">QF62+MAX(0,HQ62-HP62)</f>
        <v>0</v>
      </c>
      <c r="TY62" s="20" t="n">
        <f aca="false">QE62+HP62</f>
        <v>28614.5931149102</v>
      </c>
      <c r="TZ62" s="20" t="n">
        <f aca="false">IF(AND(C62=1,TY62&gt;PR_MinShort),1,0)</f>
        <v>1</v>
      </c>
      <c r="UA62" s="20" t="n">
        <f aca="false">IF(AND(C62=1,TZ62=0,TX62&gt;PR_MinShort),1,0)</f>
        <v>0</v>
      </c>
      <c r="UB62" s="20" t="n">
        <f aca="false">IF(AND(C62=1,QE62&gt;PR_MinShort),1,0)</f>
        <v>1</v>
      </c>
      <c r="UC62" s="20" t="n">
        <f aca="false">IF(AND(C62=1,QF62&gt;1,UJ62=0),1,0)</f>
        <v>0</v>
      </c>
      <c r="UD62" s="20" t="str">
        <f aca="false">IF(C62=0,"",IF(UJ62=1,"Gap to plan for: short "&amp;"€"&amp;TEXT(ROUND(TP62,0),"#,##0"),IF(QF62&gt;1,"Using savings","Comfortable")))</f>
        <v>Gap to plan for: short €28,615</v>
      </c>
      <c r="UE62" s="20" t="n">
        <f aca="false">IF(AND(INT(D62/10)*10=90,B62&gt;0),80,INT(D62/10)*10)</f>
        <v>80</v>
      </c>
      <c r="UF62" s="20" t="n">
        <f aca="false">IF(B62=0,1,IF(UE62&lt;&gt;UE61,UF61+1,UF61))</f>
        <v>6</v>
      </c>
      <c r="UG62" s="20" t="n">
        <f aca="false">IF(AND(C62=1,G62=1,QE62&gt;MAX(PR_Short1,TQ62*PR_Short2)),1,0)</f>
        <v>0</v>
      </c>
      <c r="UH62" s="20" t="n">
        <f aca="false">TR62*TV62</f>
        <v>1</v>
      </c>
      <c r="UI62" s="20" t="n">
        <f aca="false">IF(AND(V62=1,Slot1_PctLow=1),1,0)+IF(AND(AG62=1,Slot2_PctLow=1),1,0)+IF(AND(AQ62=1,Slot3_PctLow=1),1,0)+IF(AND(BA62=1,Slot4_PctLow=1),1,0)+IF(AND(BK62=1,Slot5_PctLow=1),1,0)+IF(AND(BU62=1,Slot6_PctLow=1),1,0)+IF(AND(CE62=1,Slot7_PctLow=1),1,0)+IF(AND(CO62=1,Slot8_PctLow=1),1,0)+IF(AND(CY62=1,Slot9_PctLow=1),1,0)+IF(AND(DI62=1,Slot10_PctLow=1),1,0)+IF(AND(DS62=1,Slot11_PctLow=1),1,0)+IF(AND(EC62=1,Slot12_PctLow=1),1,0)+IF(AND(EM62=1,Slot13_PctLow=1),1,0)+IF(AND(EW62=1,Slot14_PctLow=1),1,0)+IF(AND(FG62=1,Slot15_PctLow=1),1,0)+IF(AND(FQ62=1,Slot16_PctLow=1),1,0)+IF(AND(GA62=1,Slot17_PctLow=1),1,0)+IF(AND(GK62=1,Slot18_PctLow=1),1,0)+IF(AND(GU62=1,Slot19_PctLow=1),1,0)+IF(AND(HE62=1,Slot20_PctLow=1),1,0)</f>
        <v>0</v>
      </c>
      <c r="UJ62" s="20" t="n">
        <f aca="false">IF(C62=1,IF(OR(TV62=1,UI62&gt;0),1,0),0)</f>
        <v>1</v>
      </c>
      <c r="UK62" s="20" t="n">
        <f aca="false">Z62+AK62+AU62+BE62+BO62+BY62+CI62+CS62+DC62+DM62+DW62+EG62+EQ62+FA62+FK62+FU62+GE62+GO62+GY62+HI62+OM62</f>
        <v>0</v>
      </c>
      <c r="UL62" s="20" t="n">
        <f aca="false">V62*IF(Slot1_SpendLike=1,X62-Y62,IF(Slot1_PotFree=1,X62,0))+AG62*IF(Slot2_SpendLike=1,AI62-AJ62,IF(Slot2_PotFree=1,AI62,0))+AQ62*IF(Slot3_SpendLike=1,AS62-AT62,IF(Slot3_PotFree=1,AS62,0))+BA62*IF(Slot4_SpendLike=1,BC62-BD62,IF(Slot4_PotFree=1,BC62,0))+BK62*IF(Slot5_SpendLike=1,BM62-BN62,IF(Slot5_PotFree=1,BM62,0))+BU62*IF(Slot6_SpendLike=1,BW62-BX62,IF(Slot6_PotFree=1,BW62,0))+CE62*IF(Slot7_SpendLike=1,CG62-CH62,IF(Slot7_PotFree=1,CG62,0))+CO62*IF(Slot8_SpendLike=1,CQ62-CR62,IF(Slot8_PotFree=1,CQ62,0))+CY62*IF(Slot9_SpendLike=1,DA62-DB62,IF(Slot9_PotFree=1,DA62,0))+DI62*IF(Slot10_SpendLike=1,DK62-DL62,IF(Slot10_PotFree=1,DK62,0))+DS62*IF(Slot11_SpendLike=1,DU62-DV62,IF(Slot11_PotFree=1,DU62,0))+EC62*IF(Slot12_SpendLike=1,EE62-EF62,IF(Slot12_PotFree=1,EE62,0))+EM62*IF(Slot13_SpendLike=1,EO62-EP62,IF(Slot13_PotFree=1,EO62,0))+EW62*IF(Slot14_SpendLike=1,EY62-EZ62,IF(Slot14_PotFree=1,EY62,0))+FG62*IF(Slot15_SpendLike=1,FI62-FJ62,IF(Slot15_PotFree=1,FI62,0))+FQ62*IF(Slot16_SpendLike=1,FS62-FT62,IF(Slot16_PotFree=1,FS62,0))+GA62*IF(Slot17_SpendLike=1,GC62-GD62,IF(Slot17_PotFree=1,GC62,0))+GK62*IF(Slot18_SpendLike=1,GM62-GN62,IF(Slot18_PotFree=1,GM62,0))+GU62*IF(Slot19_SpendLike=1,GW62-GX62,IF(Slot19_PotFree=1,GW62,0))+HE62*IF(Slot20_SpendLike=1,HG62-HH62,IF(Slot20_PotFree=1,HG62,0))</f>
        <v>0</v>
      </c>
      <c r="UM62" s="20" t="n">
        <f aca="false">QG62-T62+UK62-UL62</f>
        <v>0</v>
      </c>
      <c r="UN62" s="20" t="n">
        <f aca="false">IF(OR(UN61=1,AND(In_homeUse="Yes, I'd downsize",In_downAge&gt;0,D62=In_downAge,OR(In_home="Own outright",In_home="Own with mortgage"),In_homeValue&gt;0)),1,0)</f>
        <v>0</v>
      </c>
    </row>
    <row r="63" customFormat="false" ht="15" hidden="false" customHeight="true" outlineLevel="0" collapsed="false">
      <c r="B63" s="20" t="n">
        <v>55</v>
      </c>
      <c r="C63" s="20" t="n">
        <f aca="false">IF(B63&lt;=F_N,1,0)</f>
        <v>1</v>
      </c>
      <c r="D63" s="20" t="n">
        <f aca="false">'Plan pay &amp; tax'!C289</f>
        <v>93</v>
      </c>
      <c r="E63" s="20" t="str">
        <f aca="false">IF($C63=1,"Income tax "&amp;TEXT(N('Plan pay &amp; tax'!BK289),"#,##0")&amp;"; USC "&amp;TEXT(N('Plan pay &amp; tax'!BM289)+N('Plan pay &amp; tax'!BO289),"#,##0")&amp;"; PRSI "&amp;TEXT(N('Plan pay &amp; tax'!BP289)+N('Plan pay &amp; tax'!BQ289),"#,##0")&amp;IF(N('Plan holdings'!BO63)&gt;=0.5,"; DIRT "&amp;TEXT(('Plan holdings'!BO63)/$F63,"#,##0")&amp;" (already taken from the interest earned)","")&amp;IF(N('Plan holdings'!BP63)&gt;=0.5,"; exit tax at an 8-year anniversary "&amp;TEXT(('Plan holdings'!BP63)/$F63,"#,##0"),"")&amp;IF(N('Plan holdings'!BN63)&gt;=0.5,"; tax on assets sold (exit tax or capital gains tax) "&amp;TEXT(('Plan holdings'!BN63)/$F63,"#,##0"),"")&amp;IF(N('Plan pay &amp; tax'!X289)-N('Plan pay &amp; tax'!Y289)&gt;=0.5,"; tax on the pension lump sum "&amp;TEXT(('Plan pay &amp; tax'!X289-'Plan pay &amp; tax'!Y289)/$F63,"#,##0"),"")&amp;IF(N('Plan pay &amp; tax'!V289)&gt;=0.5,"; chargeable excess tax on the pension "&amp;TEXT(('Plan pay &amp; tax'!V289)/$F63,"#,##0"),"")&amp;".","")</f>
        <v>Income tax 1,099; USC 0; PRSI 0.</v>
      </c>
      <c r="F63" s="50" t="n">
        <f aca="false">'Plan pay &amp; tax'!E289</f>
        <v>2.97173067302309</v>
      </c>
      <c r="G63" s="20" t="n">
        <f aca="false">'Plan pay &amp; tax'!G289</f>
        <v>0</v>
      </c>
      <c r="H63" s="20" t="n">
        <f aca="false">'Plan pay &amp; tax'!BT289-'Plan pay &amp; tax'!BS289-'Plan pay &amp; tax'!R289</f>
        <v>113143.808571731</v>
      </c>
      <c r="I63" s="20" t="n">
        <f aca="false">IF(G63=1,F_CostsM*12,IF(RG_Exists=1,RG_Amount,F_CostsM*12*AS_RetireSpend))*F63+F_OneOffY*F63</f>
        <v>142048.726170504</v>
      </c>
      <c r="J63" s="20" t="n">
        <f aca="false">IF(UN63=1,0,HR62)</f>
        <v>0</v>
      </c>
      <c r="K63" s="20" t="n">
        <f aca="false">IF(J63&gt;1,'Plan debt months'!AC63,0)</f>
        <v>0</v>
      </c>
      <c r="L63" s="20" t="n">
        <f aca="false">IF(J63&gt;1,'Plan debt months'!AB63,J63)</f>
        <v>0</v>
      </c>
      <c r="M63" s="20" t="n">
        <f aca="false">O62</f>
        <v>0</v>
      </c>
      <c r="N63" s="20" t="n">
        <f aca="false">IF(M63&gt;1,'Plan debt months'!BD63,0)</f>
        <v>0</v>
      </c>
      <c r="O63" s="20" t="n">
        <f aca="false">IF(M63&gt;1,'Plan debt months'!BC63,M63)</f>
        <v>0</v>
      </c>
      <c r="P63" s="20" t="n">
        <f aca="false">R62</f>
        <v>0</v>
      </c>
      <c r="Q63" s="20" t="n">
        <f aca="false">IF(P63&gt;1,'Plan debt months'!CE63,0)</f>
        <v>0</v>
      </c>
      <c r="R63" s="20" t="n">
        <f aca="false">IF(P63&gt;1,'Plan debt months'!CD63,P63)</f>
        <v>0</v>
      </c>
      <c r="S63" s="20" t="n">
        <f aca="false">K63+N63+Q63</f>
        <v>0</v>
      </c>
      <c r="T63" s="57" t="n">
        <f aca="false">'Plan holdings'!Y63</f>
        <v>0</v>
      </c>
      <c r="U63" s="57" t="n">
        <f aca="false">'Plan holdings'!BM62</f>
        <v>0</v>
      </c>
      <c r="V63" s="20" t="n">
        <f aca="false">IF(AND(Slot1_On=1,D63=Slot1_Age),1,0)</f>
        <v>0</v>
      </c>
      <c r="W63" s="20" t="n">
        <f aca="false">IF(AND(Slot1_On=1,Slot1_Age&gt;D63),1,0)</f>
        <v>0</v>
      </c>
      <c r="X63" s="20" t="n">
        <f aca="false">QM62</f>
        <v>0</v>
      </c>
      <c r="Y63" s="20" t="n">
        <f aca="false">V63*MIN(Slot1_Cost,X63)</f>
        <v>0</v>
      </c>
      <c r="Z63" s="20" t="n">
        <f aca="false">V63*Slot1_SpendLike*MIN(Slot1_Cost-Y63,T63)</f>
        <v>0</v>
      </c>
      <c r="AA63" s="20" t="n">
        <f aca="false">Y63+Z63</f>
        <v>0</v>
      </c>
      <c r="AB63" s="20" t="n">
        <f aca="false">T63-Z63+V63*IF(Slot1_SpendLike=1,X63-Y63,IF(Slot1_PotFree=1,X63,0))</f>
        <v>0</v>
      </c>
      <c r="AC63" s="20" t="n">
        <f aca="false">AF63+V63*Slot1_BufPot*X63</f>
        <v>0</v>
      </c>
      <c r="AD63" s="20" t="n">
        <f aca="false">IF(AND(V63=1,Slot1_IsMfree=1),IF(AA63&gt;=Slot1_Cost-1,0,MAX(0,L63-AA63)),L63)</f>
        <v>0</v>
      </c>
      <c r="AE63" s="20" t="n">
        <f aca="false">V63*(Slot1_Cost-AA63)</f>
        <v>0</v>
      </c>
      <c r="AF63" s="20" t="n">
        <f aca="false">QL62</f>
        <v>0</v>
      </c>
      <c r="AG63" s="20" t="n">
        <f aca="false">IF(AND(Slot2_On=1,D63=Slot2_Age),1,0)</f>
        <v>0</v>
      </c>
      <c r="AH63" s="20" t="n">
        <f aca="false">IF(AND(Slot2_On=1,Slot2_Age&gt;D63),1,0)</f>
        <v>0</v>
      </c>
      <c r="AI63" s="20" t="n">
        <f aca="false">QQ62</f>
        <v>0</v>
      </c>
      <c r="AJ63" s="20" t="n">
        <f aca="false">AG63*MIN(Slot2_Cost,AI63)</f>
        <v>0</v>
      </c>
      <c r="AK63" s="20" t="n">
        <f aca="false">AG63*Slot2_SpendLike*MIN(Slot2_Cost-AJ63,AB63)</f>
        <v>0</v>
      </c>
      <c r="AL63" s="20" t="n">
        <f aca="false">AJ63+AK63</f>
        <v>0</v>
      </c>
      <c r="AM63" s="20" t="n">
        <f aca="false">AB63-AK63+AG63*IF(Slot2_SpendLike=1,AI63-AJ63,IF(Slot2_PotFree=1,AI63,0))</f>
        <v>0</v>
      </c>
      <c r="AN63" s="20" t="n">
        <f aca="false">AC63+AG63*Slot2_BufPot*AI63</f>
        <v>0</v>
      </c>
      <c r="AO63" s="20" t="n">
        <f aca="false">IF(AND(AG63=1,Slot2_IsMfree=1),IF(AL63&gt;=Slot2_Cost-1,0,MAX(0,AD63-AL63)),AD63)</f>
        <v>0</v>
      </c>
      <c r="AP63" s="20" t="n">
        <f aca="false">AG63*(Slot2_Cost-AL63)</f>
        <v>0</v>
      </c>
      <c r="AQ63" s="20" t="n">
        <f aca="false">IF(AND(Slot3_On=1,D63=Slot3_Age),1,0)</f>
        <v>0</v>
      </c>
      <c r="AR63" s="20" t="n">
        <f aca="false">IF(AND(Slot3_On=1,Slot3_Age&gt;D63),1,0)</f>
        <v>0</v>
      </c>
      <c r="AS63" s="20" t="n">
        <f aca="false">QU62</f>
        <v>0</v>
      </c>
      <c r="AT63" s="20" t="n">
        <f aca="false">AQ63*MIN(Slot3_Cost,AS63)</f>
        <v>0</v>
      </c>
      <c r="AU63" s="20" t="n">
        <f aca="false">AQ63*Slot3_SpendLike*MIN(Slot3_Cost-AT63,AM63)</f>
        <v>0</v>
      </c>
      <c r="AV63" s="20" t="n">
        <f aca="false">AT63+AU63</f>
        <v>0</v>
      </c>
      <c r="AW63" s="20" t="n">
        <f aca="false">AM63-AU63+AQ63*IF(Slot3_SpendLike=1,AS63-AT63,IF(Slot3_PotFree=1,AS63,0))</f>
        <v>0</v>
      </c>
      <c r="AX63" s="20" t="n">
        <f aca="false">AN63+AQ63*Slot3_BufPot*AS63</f>
        <v>0</v>
      </c>
      <c r="AY63" s="20" t="n">
        <f aca="false">IF(AND(AQ63=1,Slot3_IsMfree=1),IF(AV63&gt;=Slot3_Cost-1,0,MAX(0,AO63-AV63)),AO63)</f>
        <v>0</v>
      </c>
      <c r="AZ63" s="20" t="n">
        <f aca="false">AQ63*(Slot3_Cost-AV63)</f>
        <v>0</v>
      </c>
      <c r="BA63" s="20" t="n">
        <f aca="false">IF(AND(Slot4_On=1,D63=Slot4_Age),1,0)</f>
        <v>0</v>
      </c>
      <c r="BB63" s="20" t="n">
        <f aca="false">IF(AND(Slot4_On=1,Slot4_Age&gt;D63),1,0)</f>
        <v>0</v>
      </c>
      <c r="BC63" s="20" t="n">
        <f aca="false">QY62</f>
        <v>0</v>
      </c>
      <c r="BD63" s="20" t="n">
        <f aca="false">BA63*MIN(Slot4_Cost,BC63)</f>
        <v>0</v>
      </c>
      <c r="BE63" s="20" t="n">
        <f aca="false">BA63*Slot4_SpendLike*MIN(Slot4_Cost-BD63,AW63)</f>
        <v>0</v>
      </c>
      <c r="BF63" s="20" t="n">
        <f aca="false">BD63+BE63</f>
        <v>0</v>
      </c>
      <c r="BG63" s="20" t="n">
        <f aca="false">AW63-BE63+BA63*IF(Slot4_SpendLike=1,BC63-BD63,IF(Slot4_PotFree=1,BC63,0))</f>
        <v>0</v>
      </c>
      <c r="BH63" s="20" t="n">
        <f aca="false">AX63+BA63*Slot4_BufPot*BC63</f>
        <v>0</v>
      </c>
      <c r="BI63" s="20" t="n">
        <f aca="false">IF(AND(BA63=1,Slot4_IsMfree=1),IF(BF63&gt;=Slot4_Cost-1,0,MAX(0,AY63-BF63)),AY63)</f>
        <v>0</v>
      </c>
      <c r="BJ63" s="20" t="n">
        <f aca="false">BA63*(Slot4_Cost-BF63)</f>
        <v>0</v>
      </c>
      <c r="BK63" s="20" t="n">
        <f aca="false">IF(AND(Slot5_On=1,D63=Slot5_Age),1,0)</f>
        <v>0</v>
      </c>
      <c r="BL63" s="20" t="n">
        <f aca="false">IF(AND(Slot5_On=1,Slot5_Age&gt;D63),1,0)</f>
        <v>0</v>
      </c>
      <c r="BM63" s="20" t="n">
        <f aca="false">RC62</f>
        <v>0</v>
      </c>
      <c r="BN63" s="20" t="n">
        <f aca="false">BK63*MIN(Slot5_Cost,BM63)</f>
        <v>0</v>
      </c>
      <c r="BO63" s="20" t="n">
        <f aca="false">BK63*Slot5_SpendLike*MIN(Slot5_Cost-BN63,BG63)</f>
        <v>0</v>
      </c>
      <c r="BP63" s="20" t="n">
        <f aca="false">BN63+BO63</f>
        <v>0</v>
      </c>
      <c r="BQ63" s="20" t="n">
        <f aca="false">BG63-BO63+BK63*IF(Slot5_SpendLike=1,BM63-BN63,IF(Slot5_PotFree=1,BM63,0))</f>
        <v>0</v>
      </c>
      <c r="BR63" s="20" t="n">
        <f aca="false">BH63+BK63*Slot5_BufPot*BM63</f>
        <v>0</v>
      </c>
      <c r="BS63" s="20" t="n">
        <f aca="false">IF(AND(BK63=1,Slot5_IsMfree=1),IF(BP63&gt;=Slot5_Cost-1,0,MAX(0,BI63-BP63)),BI63)</f>
        <v>0</v>
      </c>
      <c r="BT63" s="20" t="n">
        <f aca="false">BK63*(Slot5_Cost-BP63)</f>
        <v>0</v>
      </c>
      <c r="BU63" s="20" t="n">
        <f aca="false">IF(AND(Slot6_On=1,D63=Slot6_Age),1,0)</f>
        <v>0</v>
      </c>
      <c r="BV63" s="20" t="n">
        <f aca="false">IF(AND(Slot6_On=1,Slot6_Age&gt;D63),1,0)</f>
        <v>0</v>
      </c>
      <c r="BW63" s="20" t="n">
        <f aca="false">RG62</f>
        <v>0</v>
      </c>
      <c r="BX63" s="20" t="n">
        <f aca="false">BU63*MIN(Slot6_Cost,BW63)</f>
        <v>0</v>
      </c>
      <c r="BY63" s="20" t="n">
        <f aca="false">BU63*Slot6_SpendLike*MIN(Slot6_Cost-BX63,BQ63)</f>
        <v>0</v>
      </c>
      <c r="BZ63" s="20" t="n">
        <f aca="false">BX63+BY63</f>
        <v>0</v>
      </c>
      <c r="CA63" s="20" t="n">
        <f aca="false">BQ63-BY63+BU63*IF(Slot6_SpendLike=1,BW63-BX63,IF(Slot6_PotFree=1,BW63,0))</f>
        <v>0</v>
      </c>
      <c r="CB63" s="20" t="n">
        <f aca="false">BR63+BU63*Slot6_BufPot*BW63</f>
        <v>0</v>
      </c>
      <c r="CC63" s="20" t="n">
        <f aca="false">IF(AND(BU63=1,Slot6_IsMfree=1),IF(BZ63&gt;=Slot6_Cost-1,0,MAX(0,BS63-BZ63)),BS63)</f>
        <v>0</v>
      </c>
      <c r="CD63" s="20" t="n">
        <f aca="false">BU63*(Slot6_Cost-BZ63)</f>
        <v>0</v>
      </c>
      <c r="CE63" s="20" t="n">
        <f aca="false">IF(AND(Slot7_On=1,D63=Slot7_Age),1,0)</f>
        <v>0</v>
      </c>
      <c r="CF63" s="20" t="n">
        <f aca="false">IF(AND(Slot7_On=1,Slot7_Age&gt;D63),1,0)</f>
        <v>0</v>
      </c>
      <c r="CG63" s="20" t="n">
        <f aca="false">RK62</f>
        <v>0</v>
      </c>
      <c r="CH63" s="20" t="n">
        <f aca="false">CE63*MIN(Slot7_Cost,CG63)</f>
        <v>0</v>
      </c>
      <c r="CI63" s="20" t="n">
        <f aca="false">CE63*Slot7_SpendLike*MIN(Slot7_Cost-CH63,CA63)</f>
        <v>0</v>
      </c>
      <c r="CJ63" s="20" t="n">
        <f aca="false">CH63+CI63</f>
        <v>0</v>
      </c>
      <c r="CK63" s="20" t="n">
        <f aca="false">CA63-CI63+CE63*IF(Slot7_SpendLike=1,CG63-CH63,IF(Slot7_PotFree=1,CG63,0))</f>
        <v>0</v>
      </c>
      <c r="CL63" s="20" t="n">
        <f aca="false">CB63+CE63*Slot7_BufPot*CG63</f>
        <v>0</v>
      </c>
      <c r="CM63" s="20" t="n">
        <f aca="false">IF(AND(CE63=1,Slot7_IsMfree=1),IF(CJ63&gt;=Slot7_Cost-1,0,MAX(0,CC63-CJ63)),CC63)</f>
        <v>0</v>
      </c>
      <c r="CN63" s="20" t="n">
        <f aca="false">CE63*(Slot7_Cost-CJ63)</f>
        <v>0</v>
      </c>
      <c r="CO63" s="20" t="n">
        <f aca="false">IF(AND(Slot8_On=1,D63=Slot8_Age),1,0)</f>
        <v>0</v>
      </c>
      <c r="CP63" s="20" t="n">
        <f aca="false">IF(AND(Slot8_On=1,Slot8_Age&gt;D63),1,0)</f>
        <v>0</v>
      </c>
      <c r="CQ63" s="20" t="n">
        <f aca="false">RO62</f>
        <v>0</v>
      </c>
      <c r="CR63" s="20" t="n">
        <f aca="false">CO63*MIN(Slot8_Cost,CQ63)</f>
        <v>0</v>
      </c>
      <c r="CS63" s="20" t="n">
        <f aca="false">CO63*Slot8_SpendLike*MIN(Slot8_Cost-CR63,CK63)</f>
        <v>0</v>
      </c>
      <c r="CT63" s="20" t="n">
        <f aca="false">CR63+CS63</f>
        <v>0</v>
      </c>
      <c r="CU63" s="20" t="n">
        <f aca="false">CK63-CS63+CO63*IF(Slot8_SpendLike=1,CQ63-CR63,IF(Slot8_PotFree=1,CQ63,0))</f>
        <v>0</v>
      </c>
      <c r="CV63" s="20" t="n">
        <f aca="false">CL63+CO63*Slot8_BufPot*CQ63</f>
        <v>0</v>
      </c>
      <c r="CW63" s="20" t="n">
        <f aca="false">IF(AND(CO63=1,Slot8_IsMfree=1),IF(CT63&gt;=Slot8_Cost-1,0,MAX(0,CM63-CT63)),CM63)</f>
        <v>0</v>
      </c>
      <c r="CX63" s="20" t="n">
        <f aca="false">CO63*(Slot8_Cost-CT63)</f>
        <v>0</v>
      </c>
      <c r="CY63" s="20" t="n">
        <f aca="false">IF(AND(Slot9_On=1,D63=Slot9_Age),1,0)</f>
        <v>0</v>
      </c>
      <c r="CZ63" s="20" t="n">
        <f aca="false">IF(AND(Slot9_On=1,Slot9_Age&gt;D63),1,0)</f>
        <v>0</v>
      </c>
      <c r="DA63" s="20" t="n">
        <f aca="false">RS62</f>
        <v>0</v>
      </c>
      <c r="DB63" s="20" t="n">
        <f aca="false">CY63*MIN(Slot9_Cost,DA63)</f>
        <v>0</v>
      </c>
      <c r="DC63" s="20" t="n">
        <f aca="false">CY63*Slot9_SpendLike*MIN(Slot9_Cost-DB63,CU63)</f>
        <v>0</v>
      </c>
      <c r="DD63" s="20" t="n">
        <f aca="false">DB63+DC63</f>
        <v>0</v>
      </c>
      <c r="DE63" s="20" t="n">
        <f aca="false">CU63-DC63+CY63*IF(Slot9_SpendLike=1,DA63-DB63,IF(Slot9_PotFree=1,DA63,0))</f>
        <v>0</v>
      </c>
      <c r="DF63" s="20" t="n">
        <f aca="false">CV63+CY63*Slot9_BufPot*DA63</f>
        <v>0</v>
      </c>
      <c r="DG63" s="20" t="n">
        <f aca="false">IF(AND(CY63=1,Slot9_IsMfree=1),IF(DD63&gt;=Slot9_Cost-1,0,MAX(0,CW63-DD63)),CW63)</f>
        <v>0</v>
      </c>
      <c r="DH63" s="20" t="n">
        <f aca="false">CY63*(Slot9_Cost-DD63)</f>
        <v>0</v>
      </c>
      <c r="DI63" s="20" t="n">
        <f aca="false">IF(AND(Slot10_On=1,D63=Slot10_Age),1,0)</f>
        <v>0</v>
      </c>
      <c r="DJ63" s="20" t="n">
        <f aca="false">IF(AND(Slot10_On=1,Slot10_Age&gt;D63),1,0)</f>
        <v>0</v>
      </c>
      <c r="DK63" s="20" t="n">
        <f aca="false">RW62</f>
        <v>0</v>
      </c>
      <c r="DL63" s="20" t="n">
        <f aca="false">DI63*MIN(Slot10_Cost,DK63)</f>
        <v>0</v>
      </c>
      <c r="DM63" s="20" t="n">
        <f aca="false">DI63*Slot10_SpendLike*MIN(Slot10_Cost-DL63,DE63)</f>
        <v>0</v>
      </c>
      <c r="DN63" s="20" t="n">
        <f aca="false">DL63+DM63</f>
        <v>0</v>
      </c>
      <c r="DO63" s="20" t="n">
        <f aca="false">DE63-DM63+DI63*IF(Slot10_SpendLike=1,DK63-DL63,IF(Slot10_PotFree=1,DK63,0))</f>
        <v>0</v>
      </c>
      <c r="DP63" s="20" t="n">
        <f aca="false">DF63+DI63*Slot10_BufPot*DK63</f>
        <v>0</v>
      </c>
      <c r="DQ63" s="20" t="n">
        <f aca="false">IF(AND(DI63=1,Slot10_IsMfree=1),IF(DN63&gt;=Slot10_Cost-1,0,MAX(0,DG63-DN63)),DG63)</f>
        <v>0</v>
      </c>
      <c r="DR63" s="20" t="n">
        <f aca="false">DI63*(Slot10_Cost-DN63)</f>
        <v>0</v>
      </c>
      <c r="DS63" s="20" t="n">
        <f aca="false">IF(AND(Slot11_On=1,D63=Slot11_Age),1,0)</f>
        <v>0</v>
      </c>
      <c r="DT63" s="20" t="n">
        <f aca="false">IF(AND(Slot11_On=1,Slot11_Age&gt;D63),1,0)</f>
        <v>0</v>
      </c>
      <c r="DU63" s="20" t="n">
        <f aca="false">SA62</f>
        <v>0</v>
      </c>
      <c r="DV63" s="20" t="n">
        <f aca="false">DS63*MIN(Slot11_Cost,DU63)</f>
        <v>0</v>
      </c>
      <c r="DW63" s="20" t="n">
        <f aca="false">DS63*Slot11_SpendLike*MIN(Slot11_Cost-DV63,DO63)</f>
        <v>0</v>
      </c>
      <c r="DX63" s="20" t="n">
        <f aca="false">DV63+DW63</f>
        <v>0</v>
      </c>
      <c r="DY63" s="20" t="n">
        <f aca="false">DO63-DW63+DS63*IF(Slot11_SpendLike=1,DU63-DV63,IF(Slot11_PotFree=1,DU63,0))</f>
        <v>0</v>
      </c>
      <c r="DZ63" s="20" t="n">
        <f aca="false">DP63+DS63*Slot11_BufPot*DU63</f>
        <v>0</v>
      </c>
      <c r="EA63" s="20" t="n">
        <f aca="false">IF(AND(DS63=1,Slot11_IsMfree=1),IF(DX63&gt;=Slot11_Cost-1,0,MAX(0,DQ63-DX63)),DQ63)</f>
        <v>0</v>
      </c>
      <c r="EB63" s="20" t="n">
        <f aca="false">DS63*(Slot11_Cost-DX63)</f>
        <v>0</v>
      </c>
      <c r="EC63" s="20" t="n">
        <f aca="false">IF(AND(Slot12_On=1,D63=Slot12_Age),1,0)</f>
        <v>0</v>
      </c>
      <c r="ED63" s="20" t="n">
        <f aca="false">IF(AND(Slot12_On=1,Slot12_Age&gt;D63),1,0)</f>
        <v>0</v>
      </c>
      <c r="EE63" s="20" t="n">
        <f aca="false">SE62</f>
        <v>0</v>
      </c>
      <c r="EF63" s="20" t="n">
        <f aca="false">EC63*MIN(Slot12_Cost,EE63)</f>
        <v>0</v>
      </c>
      <c r="EG63" s="20" t="n">
        <f aca="false">EC63*Slot12_SpendLike*MIN(Slot12_Cost-EF63,DY63)</f>
        <v>0</v>
      </c>
      <c r="EH63" s="20" t="n">
        <f aca="false">EF63+EG63</f>
        <v>0</v>
      </c>
      <c r="EI63" s="20" t="n">
        <f aca="false">DY63-EG63+EC63*IF(Slot12_SpendLike=1,EE63-EF63,IF(Slot12_PotFree=1,EE63,0))</f>
        <v>0</v>
      </c>
      <c r="EJ63" s="20" t="n">
        <f aca="false">DZ63+EC63*Slot12_BufPot*EE63</f>
        <v>0</v>
      </c>
      <c r="EK63" s="20" t="n">
        <f aca="false">IF(AND(EC63=1,Slot12_IsMfree=1),IF(EH63&gt;=Slot12_Cost-1,0,MAX(0,EA63-EH63)),EA63)</f>
        <v>0</v>
      </c>
      <c r="EL63" s="20" t="n">
        <f aca="false">EC63*(Slot12_Cost-EH63)</f>
        <v>0</v>
      </c>
      <c r="EM63" s="20" t="n">
        <f aca="false">IF(AND(Slot13_On=1,D63=Slot13_Age),1,0)</f>
        <v>0</v>
      </c>
      <c r="EN63" s="20" t="n">
        <f aca="false">IF(AND(Slot13_On=1,Slot13_Age&gt;D63),1,0)</f>
        <v>0</v>
      </c>
      <c r="EO63" s="20" t="n">
        <f aca="false">SI62</f>
        <v>0</v>
      </c>
      <c r="EP63" s="20" t="n">
        <f aca="false">EM63*MIN(Slot13_Cost,EO63)</f>
        <v>0</v>
      </c>
      <c r="EQ63" s="20" t="n">
        <f aca="false">EM63*Slot13_SpendLike*MIN(Slot13_Cost-EP63,EI63)</f>
        <v>0</v>
      </c>
      <c r="ER63" s="20" t="n">
        <f aca="false">EP63+EQ63</f>
        <v>0</v>
      </c>
      <c r="ES63" s="20" t="n">
        <f aca="false">EI63-EQ63+EM63*IF(Slot13_SpendLike=1,EO63-EP63,IF(Slot13_PotFree=1,EO63,0))</f>
        <v>0</v>
      </c>
      <c r="ET63" s="20" t="n">
        <f aca="false">EJ63+EM63*Slot13_BufPot*EO63</f>
        <v>0</v>
      </c>
      <c r="EU63" s="20" t="n">
        <f aca="false">IF(AND(EM63=1,Slot13_IsMfree=1),IF(ER63&gt;=Slot13_Cost-1,0,MAX(0,EK63-ER63)),EK63)</f>
        <v>0</v>
      </c>
      <c r="EV63" s="20" t="n">
        <f aca="false">EM63*(Slot13_Cost-ER63)</f>
        <v>0</v>
      </c>
      <c r="EW63" s="20" t="n">
        <f aca="false">IF(AND(Slot14_On=1,D63=Slot14_Age),1,0)</f>
        <v>0</v>
      </c>
      <c r="EX63" s="20" t="n">
        <f aca="false">IF(AND(Slot14_On=1,Slot14_Age&gt;D63),1,0)</f>
        <v>0</v>
      </c>
      <c r="EY63" s="20" t="n">
        <f aca="false">SM62</f>
        <v>0</v>
      </c>
      <c r="EZ63" s="20" t="n">
        <f aca="false">EW63*MIN(Slot14_Cost,EY63)</f>
        <v>0</v>
      </c>
      <c r="FA63" s="20" t="n">
        <f aca="false">EW63*Slot14_SpendLike*MIN(Slot14_Cost-EZ63,ES63)</f>
        <v>0</v>
      </c>
      <c r="FB63" s="20" t="n">
        <f aca="false">EZ63+FA63</f>
        <v>0</v>
      </c>
      <c r="FC63" s="20" t="n">
        <f aca="false">ES63-FA63+EW63*IF(Slot14_SpendLike=1,EY63-EZ63,IF(Slot14_PotFree=1,EY63,0))</f>
        <v>0</v>
      </c>
      <c r="FD63" s="20" t="n">
        <f aca="false">ET63+EW63*Slot14_BufPot*EY63</f>
        <v>0</v>
      </c>
      <c r="FE63" s="20" t="n">
        <f aca="false">IF(AND(EW63=1,Slot14_IsMfree=1),IF(FB63&gt;=Slot14_Cost-1,0,MAX(0,EU63-FB63)),EU63)</f>
        <v>0</v>
      </c>
      <c r="FF63" s="20" t="n">
        <f aca="false">EW63*(Slot14_Cost-FB63)</f>
        <v>0</v>
      </c>
      <c r="FG63" s="20" t="n">
        <f aca="false">IF(AND(Slot15_On=1,D63=Slot15_Age),1,0)</f>
        <v>0</v>
      </c>
      <c r="FH63" s="20" t="n">
        <f aca="false">IF(AND(Slot15_On=1,Slot15_Age&gt;D63),1,0)</f>
        <v>0</v>
      </c>
      <c r="FI63" s="20" t="n">
        <f aca="false">SQ62</f>
        <v>0</v>
      </c>
      <c r="FJ63" s="20" t="n">
        <f aca="false">FG63*MIN(Slot15_Cost,FI63)</f>
        <v>0</v>
      </c>
      <c r="FK63" s="20" t="n">
        <f aca="false">FG63*Slot15_SpendLike*MIN(Slot15_Cost-FJ63,FC63)</f>
        <v>0</v>
      </c>
      <c r="FL63" s="20" t="n">
        <f aca="false">FJ63+FK63</f>
        <v>0</v>
      </c>
      <c r="FM63" s="20" t="n">
        <f aca="false">FC63-FK63+FG63*IF(Slot15_SpendLike=1,FI63-FJ63,IF(Slot15_PotFree=1,FI63,0))</f>
        <v>0</v>
      </c>
      <c r="FN63" s="20" t="n">
        <f aca="false">FD63+FG63*Slot15_BufPot*FI63</f>
        <v>0</v>
      </c>
      <c r="FO63" s="20" t="n">
        <f aca="false">IF(AND(FG63=1,Slot15_IsMfree=1),IF(FL63&gt;=Slot15_Cost-1,0,MAX(0,FE63-FL63)),FE63)</f>
        <v>0</v>
      </c>
      <c r="FP63" s="20" t="n">
        <f aca="false">FG63*(Slot15_Cost-FL63)</f>
        <v>0</v>
      </c>
      <c r="FQ63" s="20" t="n">
        <f aca="false">IF(AND(Slot16_On=1,D63=Slot16_Age),1,0)</f>
        <v>0</v>
      </c>
      <c r="FR63" s="20" t="n">
        <f aca="false">IF(AND(Slot16_On=1,Slot16_Age&gt;D63),1,0)</f>
        <v>0</v>
      </c>
      <c r="FS63" s="20" t="n">
        <f aca="false">SU62</f>
        <v>0</v>
      </c>
      <c r="FT63" s="20" t="n">
        <f aca="false">FQ63*MIN(Slot16_Cost,FS63)</f>
        <v>0</v>
      </c>
      <c r="FU63" s="20" t="n">
        <f aca="false">FQ63*Slot16_SpendLike*MIN(Slot16_Cost-FT63,FM63)</f>
        <v>0</v>
      </c>
      <c r="FV63" s="20" t="n">
        <f aca="false">FT63+FU63</f>
        <v>0</v>
      </c>
      <c r="FW63" s="20" t="n">
        <f aca="false">FM63-FU63+FQ63*IF(Slot16_SpendLike=1,FS63-FT63,IF(Slot16_PotFree=1,FS63,0))</f>
        <v>0</v>
      </c>
      <c r="FX63" s="20" t="n">
        <f aca="false">FN63+FQ63*Slot16_BufPot*FS63</f>
        <v>0</v>
      </c>
      <c r="FY63" s="20" t="n">
        <f aca="false">IF(AND(FQ63=1,Slot16_IsMfree=1),IF(FV63&gt;=Slot16_Cost-1,0,MAX(0,FO63-FV63)),FO63)</f>
        <v>0</v>
      </c>
      <c r="FZ63" s="20" t="n">
        <f aca="false">FQ63*(Slot16_Cost-FV63)</f>
        <v>0</v>
      </c>
      <c r="GA63" s="20" t="n">
        <f aca="false">IF(AND(Slot17_On=1,D63=Slot17_Age),1,0)</f>
        <v>0</v>
      </c>
      <c r="GB63" s="20" t="n">
        <f aca="false">IF(AND(Slot17_On=1,Slot17_Age&gt;D63),1,0)</f>
        <v>0</v>
      </c>
      <c r="GC63" s="20" t="n">
        <f aca="false">SY62</f>
        <v>0</v>
      </c>
      <c r="GD63" s="20" t="n">
        <f aca="false">GA63*MIN(Slot17_Cost,GC63)</f>
        <v>0</v>
      </c>
      <c r="GE63" s="20" t="n">
        <f aca="false">GA63*Slot17_SpendLike*MIN(Slot17_Cost-GD63,FW63)</f>
        <v>0</v>
      </c>
      <c r="GF63" s="20" t="n">
        <f aca="false">GD63+GE63</f>
        <v>0</v>
      </c>
      <c r="GG63" s="20" t="n">
        <f aca="false">FW63-GE63+GA63*IF(Slot17_SpendLike=1,GC63-GD63,IF(Slot17_PotFree=1,GC63,0))</f>
        <v>0</v>
      </c>
      <c r="GH63" s="20" t="n">
        <f aca="false">FX63+GA63*Slot17_BufPot*GC63</f>
        <v>0</v>
      </c>
      <c r="GI63" s="20" t="n">
        <f aca="false">IF(AND(GA63=1,Slot17_IsMfree=1),IF(GF63&gt;=Slot17_Cost-1,0,MAX(0,FY63-GF63)),FY63)</f>
        <v>0</v>
      </c>
      <c r="GJ63" s="20" t="n">
        <f aca="false">GA63*(Slot17_Cost-GF63)</f>
        <v>0</v>
      </c>
      <c r="GK63" s="20" t="n">
        <f aca="false">IF(AND(Slot18_On=1,D63=Slot18_Age),1,0)</f>
        <v>0</v>
      </c>
      <c r="GL63" s="20" t="n">
        <f aca="false">IF(AND(Slot18_On=1,Slot18_Age&gt;D63),1,0)</f>
        <v>0</v>
      </c>
      <c r="GM63" s="20" t="n">
        <f aca="false">TC62</f>
        <v>0</v>
      </c>
      <c r="GN63" s="20" t="n">
        <f aca="false">GK63*MIN(Slot18_Cost,GM63)</f>
        <v>0</v>
      </c>
      <c r="GO63" s="20" t="n">
        <f aca="false">GK63*Slot18_SpendLike*MIN(Slot18_Cost-GN63,GG63)</f>
        <v>0</v>
      </c>
      <c r="GP63" s="20" t="n">
        <f aca="false">GN63+GO63</f>
        <v>0</v>
      </c>
      <c r="GQ63" s="20" t="n">
        <f aca="false">GG63-GO63+GK63*IF(Slot18_SpendLike=1,GM63-GN63,IF(Slot18_PotFree=1,GM63,0))</f>
        <v>0</v>
      </c>
      <c r="GR63" s="20" t="n">
        <f aca="false">GH63+GK63*Slot18_BufPot*GM63</f>
        <v>0</v>
      </c>
      <c r="GS63" s="20" t="n">
        <f aca="false">IF(AND(GK63=1,Slot18_IsMfree=1),IF(GP63&gt;=Slot18_Cost-1,0,MAX(0,GI63-GP63)),GI63)</f>
        <v>0</v>
      </c>
      <c r="GT63" s="20" t="n">
        <f aca="false">GK63*(Slot18_Cost-GP63)</f>
        <v>0</v>
      </c>
      <c r="GU63" s="20" t="n">
        <f aca="false">IF(AND(Slot19_On=1,D63=Slot19_Age),1,0)</f>
        <v>0</v>
      </c>
      <c r="GV63" s="20" t="n">
        <f aca="false">IF(AND(Slot19_On=1,Slot19_Age&gt;D63),1,0)</f>
        <v>0</v>
      </c>
      <c r="GW63" s="20" t="n">
        <f aca="false">TG62</f>
        <v>0</v>
      </c>
      <c r="GX63" s="20" t="n">
        <f aca="false">GU63*MIN(Slot19_Cost,GW63)</f>
        <v>0</v>
      </c>
      <c r="GY63" s="20" t="n">
        <f aca="false">GU63*Slot19_SpendLike*MIN(Slot19_Cost-GX63,GQ63)</f>
        <v>0</v>
      </c>
      <c r="GZ63" s="20" t="n">
        <f aca="false">GX63+GY63</f>
        <v>0</v>
      </c>
      <c r="HA63" s="20" t="n">
        <f aca="false">GQ63-GY63+GU63*IF(Slot19_SpendLike=1,GW63-GX63,IF(Slot19_PotFree=1,GW63,0))</f>
        <v>0</v>
      </c>
      <c r="HB63" s="20" t="n">
        <f aca="false">GR63+GU63*Slot19_BufPot*GW63</f>
        <v>0</v>
      </c>
      <c r="HC63" s="20" t="n">
        <f aca="false">IF(AND(GU63=1,Slot19_IsMfree=1),IF(GZ63&gt;=Slot19_Cost-1,0,MAX(0,GS63-GZ63)),GS63)</f>
        <v>0</v>
      </c>
      <c r="HD63" s="20" t="n">
        <f aca="false">GU63*(Slot19_Cost-GZ63)</f>
        <v>0</v>
      </c>
      <c r="HE63" s="20" t="n">
        <f aca="false">IF(AND(Slot20_On=1,D63=Slot20_Age),1,0)</f>
        <v>0</v>
      </c>
      <c r="HF63" s="20" t="n">
        <f aca="false">IF(AND(Slot20_On=1,Slot20_Age&gt;D63),1,0)</f>
        <v>0</v>
      </c>
      <c r="HG63" s="20" t="n">
        <f aca="false">TK62</f>
        <v>0</v>
      </c>
      <c r="HH63" s="20" t="n">
        <f aca="false">HE63*MIN(Slot20_Cost,HG63)</f>
        <v>0</v>
      </c>
      <c r="HI63" s="20" t="n">
        <f aca="false">HE63*Slot20_SpendLike*MIN(Slot20_Cost-HH63,HA63)</f>
        <v>0</v>
      </c>
      <c r="HJ63" s="20" t="n">
        <f aca="false">HH63+HI63</f>
        <v>0</v>
      </c>
      <c r="HK63" s="20" t="n">
        <f aca="false">HA63-HI63+HE63*IF(Slot20_SpendLike=1,HG63-HH63,IF(Slot20_PotFree=1,HG63,0))</f>
        <v>0</v>
      </c>
      <c r="HL63" s="20" t="n">
        <f aca="false">HB63+HE63*Slot20_BufPot*HG63</f>
        <v>0</v>
      </c>
      <c r="HM63" s="20" t="n">
        <f aca="false">IF(AND(HE63=1,Slot20_IsMfree=1),IF(HJ63&gt;=Slot20_Cost-1,0,MAX(0,HC63-HJ63)),HC63)</f>
        <v>0</v>
      </c>
      <c r="HN63" s="20" t="n">
        <f aca="false">HE63*(Slot20_Cost-HJ63)</f>
        <v>0</v>
      </c>
      <c r="HO63" s="20" t="n">
        <f aca="false">V63*Slot1_SpendLike*AA63+AG63*Slot2_SpendLike*AL63+AQ63*Slot3_SpendLike*AV63+BA63*Slot4_SpendLike*BF63+BK63*Slot5_SpendLike*BP63+BU63*Slot6_SpendLike*BZ63+CE63*Slot7_SpendLike*CJ63+CO63*Slot8_SpendLike*CT63+CY63*Slot9_SpendLike*DD63+DI63*Slot10_SpendLike*DN63+DS63*Slot11_SpendLike*DX63+EC63*Slot12_SpendLike*EH63+EM63*Slot13_SpendLike*ER63+EW63*Slot14_SpendLike*FB63+FG63*Slot15_SpendLike*FL63+FQ63*Slot16_SpendLike*FV63+GA63*Slot17_SpendLike*GF63+GK63*Slot18_SpendLike*GP63+GU63*Slot19_SpendLike*GZ63+HE63*Slot20_SpendLike*HJ63</f>
        <v>0</v>
      </c>
      <c r="HP63" s="20" t="n">
        <f aca="false">AE63+AP63+AZ63+BJ63+BT63+CD63+CN63+CX63+DH63+DR63+EB63+EL63+EV63+FF63+FP63+FZ63+GJ63+GT63+HD63+HN63</f>
        <v>0</v>
      </c>
      <c r="HQ63" s="20" t="n">
        <f aca="false">V63*Slot1_Cost+AG63*Slot2_Cost+AQ63*Slot3_Cost+BA63*Slot4_Cost+BK63*Slot5_Cost+BU63*Slot6_Cost+CE63*Slot7_Cost+CO63*Slot8_Cost+CY63*Slot9_Cost+DI63*Slot10_Cost+DS63*Slot11_Cost+EC63*Slot12_Cost+EM63*Slot13_Cost+EW63*Slot14_Cost+FG63*Slot15_Cost+FQ63*Slot16_Cost+GA63*Slot17_Cost+GK63*Slot18_Cost+GU63*Slot19_Cost+HE63*Slot20_Cost</f>
        <v>0</v>
      </c>
      <c r="HR63" s="20" t="n">
        <f aca="false">HM63</f>
        <v>0</v>
      </c>
      <c r="HS63" s="20" t="n">
        <f aca="false">H63-I63-S63</f>
        <v>-28904.9175987733</v>
      </c>
      <c r="HT63" s="20" t="n">
        <f aca="false">IF(B63=0,IF(AND(Has_q6=1,In_q6=4),PR_ShareVaries*(MAX(0,HS63)/12),MIN(IF(Has_q6=1,CHOOSE(In_q6+1,PR_SaveB1,PR_SaveB2,PR_SaveB3,PR_SaveB4,0),AS_NoAnswer),AS_SaveShare*(MAX(0,HS63)/12))),HT62)</f>
        <v>67.3316893520437</v>
      </c>
      <c r="HU63" s="20" t="n">
        <f aca="false">IF(HS63&gt;=0,1,0)</f>
        <v>0</v>
      </c>
      <c r="HV63" s="20" t="n">
        <f aca="false">MAX(0,HS63/12/F63)</f>
        <v>0</v>
      </c>
      <c r="HW63" s="20" t="n">
        <f aca="false">IF(AND(Has_q6=1,In_q6=4),PR_ShareVaries*(HV63),MIN(IF(Has_q6=1,CHOOSE(In_q6+1,PR_SaveB1,PR_SaveB2,PR_SaveB3,PR_SaveB4,0),AS_NoAnswer),AS_SaveShare*(HV63)))</f>
        <v>0</v>
      </c>
      <c r="HX63" s="20" t="n">
        <f aca="false">IF(Has_saveM=1,IF(In_saveUp="Yes",1,IF(In_saveUp="No",0,IF(In_saveM&gt;=HT63-0.5,1,0))),0)</f>
        <v>0</v>
      </c>
      <c r="HY63" s="20" t="n">
        <f aca="false">IF(Has_saveM=1,MIN(HV63,IF(HX63=1,MAX(In_saveM,HW63),MIN(In_saveM,HW63))),HW63)</f>
        <v>0</v>
      </c>
      <c r="HZ63" s="20" t="n">
        <f aca="false">IF(G63=1,HY63*12*F63,0)</f>
        <v>0</v>
      </c>
      <c r="IA63" s="20" t="n">
        <f aca="false">MAX(0,HZ63+IF(AND(WI_Retire=0,WI_M&lt;0,G63=1),WI_M*12*F63,0))</f>
        <v>0</v>
      </c>
      <c r="IB63" s="20" t="n">
        <f aca="false">Slot1_IsWG*W63+Slot2_IsWG*AH63+Slot3_IsWG*AR63+Slot4_IsWG*BB63+Slot5_IsWG*BL63+Slot6_IsWG*BV63+Slot7_IsWG*CF63+Slot8_IsWG*CP63+Slot9_IsWG*CZ63+Slot10_IsWG*DJ63+Slot11_IsWG*DT63+Slot12_IsWG*ED63+Slot13_IsWG*EN63+Slot14_IsWG*EX63+Slot15_IsWG*FH63+Slot16_IsWG*FR63+Slot17_IsWG*GB63+Slot18_IsWG*GL63+Slot19_IsWG*GV63+Slot20_IsWG*HF63</f>
        <v>0</v>
      </c>
      <c r="IC63" s="20" t="n">
        <f aca="false">IF(AND(WI_Retire=0,WI_M&gt;0,G63=1,IB63&gt;=1),WI_M*12*F63,0)</f>
        <v>0</v>
      </c>
      <c r="ID63" s="20" t="n">
        <f aca="false">IF(HU63=1,MIN(IA63,HS63),0)</f>
        <v>0</v>
      </c>
      <c r="IE63" s="20" t="n">
        <f aca="false">IF(HU63=1,MIN(IC63,HS63-ID63),0)</f>
        <v>0</v>
      </c>
      <c r="IF63" s="20" t="n">
        <f aca="false">IF(W63=1,IF(ABS((1+AS_Wage)/(1+Slot1_Rate)-1)&lt;0.000000000001,(Slot1_Age-D63)*(1+Slot1_Rate)^(Slot1_Age-D63),(1+Slot1_Rate)^(Slot1_Age-D63)*(1-((1+AS_Wage)/(1+Slot1_Rate))^(Slot1_Age-D63))/(1-(1+AS_Wage)/(1+Slot1_Rate))),1)</f>
        <v>1</v>
      </c>
      <c r="IG63" s="20" t="n">
        <f aca="false">IF(AND(HU63=1,IE63&gt;0,Slot1_IsWG=1,W63=1),MAX(0,(Slot1_Cost-X63*(1+Slot1_Rate)^(Slot1_Age-D63))/IF63),0)</f>
        <v>0</v>
      </c>
      <c r="IH63" s="20" t="n">
        <f aca="false">IF(AND(HU63=1,IE63&gt;0,Slot1_IsWG=1,W63=1),MIN(IE63,IG63),0)</f>
        <v>0</v>
      </c>
      <c r="II63" s="20" t="n">
        <f aca="false">X63+IH63</f>
        <v>0</v>
      </c>
      <c r="IJ63" s="20" t="n">
        <f aca="false">IF(W63=1,MAX(0,(Slot1_Cost-II63*(1+Slot1_Rate)^(Slot1_Age-D63))/IF63),0)</f>
        <v>0</v>
      </c>
      <c r="IK63" s="20" t="n">
        <f aca="false">IF(W63=1,MAX(0,(Slot1_Cost-X63*(1+Slot1_Rate)^(Slot1_Age-D63))/IF63),0)</f>
        <v>0</v>
      </c>
      <c r="IL63" s="20" t="n">
        <f aca="false">IF(AND(HU63=1,W63=1),MIN(ID63,IJ63),0)</f>
        <v>0</v>
      </c>
      <c r="IM63" s="20" t="n">
        <f aca="false">ID63-IL63</f>
        <v>0</v>
      </c>
      <c r="IN63" s="20" t="n">
        <f aca="false">IF(AH63=1,IF(ABS((1+AS_Wage)/(1+Slot2_Rate)-1)&lt;0.000000000001,(Slot2_Age-D63)*(1+Slot2_Rate)^(Slot2_Age-D63),(1+Slot2_Rate)^(Slot2_Age-D63)*(1-((1+AS_Wage)/(1+Slot2_Rate))^(Slot2_Age-D63))/(1-(1+AS_Wage)/(1+Slot2_Rate))),1)</f>
        <v>1</v>
      </c>
      <c r="IO63" s="20" t="n">
        <f aca="false">IF(AND(HU63=1,IE63&gt;0,Slot2_IsWG=1,AH63=1),MAX(0,(Slot2_Cost-AI63*(1+Slot2_Rate)^(Slot2_Age-D63))/IN63),0)</f>
        <v>0</v>
      </c>
      <c r="IP63" s="20" t="n">
        <f aca="false">IF(AND(HU63=1,IE63&gt;0,Slot2_IsWG=1,AH63=1),MIN(IE63,IO63),0)</f>
        <v>0</v>
      </c>
      <c r="IQ63" s="20" t="n">
        <f aca="false">AI63+IP63</f>
        <v>0</v>
      </c>
      <c r="IR63" s="20" t="n">
        <f aca="false">IF(AH63=1,MAX(0,(Slot2_Cost-IQ63*(1+Slot2_Rate)^(Slot2_Age-D63))/IN63),0)</f>
        <v>0</v>
      </c>
      <c r="IS63" s="20" t="n">
        <f aca="false">IF(AH63=1,MAX(0,(Slot2_Cost-AI63*(1+Slot2_Rate)^(Slot2_Age-D63))/IN63),0)</f>
        <v>0</v>
      </c>
      <c r="IT63" s="20" t="n">
        <f aca="false">IF(AND(HU63=1,AH63=1),MIN(IM63,IR63),0)</f>
        <v>0</v>
      </c>
      <c r="IU63" s="20" t="n">
        <f aca="false">IM63-IT63</f>
        <v>0</v>
      </c>
      <c r="IV63" s="20" t="n">
        <f aca="false">IF(AR63=1,IF(ABS((1+AS_Wage)/(1+Slot3_Rate)-1)&lt;0.000000000001,(Slot3_Age-D63)*(1+Slot3_Rate)^(Slot3_Age-D63),(1+Slot3_Rate)^(Slot3_Age-D63)*(1-((1+AS_Wage)/(1+Slot3_Rate))^(Slot3_Age-D63))/(1-(1+AS_Wage)/(1+Slot3_Rate))),1)</f>
        <v>1</v>
      </c>
      <c r="IW63" s="20" t="n">
        <f aca="false">IF(AND(HU63=1,IE63&gt;0,Slot3_IsWG=1,AR63=1),MAX(0,(Slot3_Cost-AS63*(1+Slot3_Rate)^(Slot3_Age-D63))/IV63),0)</f>
        <v>0</v>
      </c>
      <c r="IX63" s="20" t="n">
        <f aca="false">IF(AND(HU63=1,IE63&gt;0,Slot3_IsWG=1,AR63=1),MIN(IE63,IW63),0)</f>
        <v>0</v>
      </c>
      <c r="IY63" s="20" t="n">
        <f aca="false">AS63+IX63</f>
        <v>0</v>
      </c>
      <c r="IZ63" s="20" t="n">
        <f aca="false">IF(AR63=1,MAX(0,(Slot3_Cost-IY63*(1+Slot3_Rate)^(Slot3_Age-D63))/IV63),0)</f>
        <v>0</v>
      </c>
      <c r="JA63" s="20" t="n">
        <f aca="false">IF(AR63=1,MAX(0,(Slot3_Cost-AS63*(1+Slot3_Rate)^(Slot3_Age-D63))/IV63),0)</f>
        <v>0</v>
      </c>
      <c r="JB63" s="20" t="n">
        <f aca="false">IF(AND(HU63=1,AR63=1),MIN(IU63,IZ63),0)</f>
        <v>0</v>
      </c>
      <c r="JC63" s="20" t="n">
        <f aca="false">IU63-JB63</f>
        <v>0</v>
      </c>
      <c r="JD63" s="20" t="n">
        <f aca="false">IF(BB63=1,IF(ABS((1+AS_Wage)/(1+Slot4_Rate)-1)&lt;0.000000000001,(Slot4_Age-D63)*(1+Slot4_Rate)^(Slot4_Age-D63),(1+Slot4_Rate)^(Slot4_Age-D63)*(1-((1+AS_Wage)/(1+Slot4_Rate))^(Slot4_Age-D63))/(1-(1+AS_Wage)/(1+Slot4_Rate))),1)</f>
        <v>1</v>
      </c>
      <c r="JE63" s="20" t="n">
        <f aca="false">IF(AND(HU63=1,IE63&gt;0,Slot4_IsWG=1,BB63=1),MAX(0,(Slot4_Cost-BC63*(1+Slot4_Rate)^(Slot4_Age-D63))/JD63),0)</f>
        <v>0</v>
      </c>
      <c r="JF63" s="20" t="n">
        <f aca="false">IF(AND(HU63=1,IE63&gt;0,Slot4_IsWG=1,BB63=1),MIN(IE63,JE63),0)</f>
        <v>0</v>
      </c>
      <c r="JG63" s="20" t="n">
        <f aca="false">BC63+JF63</f>
        <v>0</v>
      </c>
      <c r="JH63" s="20" t="n">
        <f aca="false">IF(BB63=1,MAX(0,(Slot4_Cost-JG63*(1+Slot4_Rate)^(Slot4_Age-D63))/JD63),0)</f>
        <v>0</v>
      </c>
      <c r="JI63" s="20" t="n">
        <f aca="false">IF(BB63=1,MAX(0,(Slot4_Cost-BC63*(1+Slot4_Rate)^(Slot4_Age-D63))/JD63),0)</f>
        <v>0</v>
      </c>
      <c r="JJ63" s="20" t="n">
        <f aca="false">IF(AND(HU63=1,BB63=1),MIN(JC63,JH63),0)</f>
        <v>0</v>
      </c>
      <c r="JK63" s="20" t="n">
        <f aca="false">JC63-JJ63</f>
        <v>0</v>
      </c>
      <c r="JL63" s="20" t="n">
        <f aca="false">IF(BL63=1,IF(ABS((1+AS_Wage)/(1+Slot5_Rate)-1)&lt;0.000000000001,(Slot5_Age-D63)*(1+Slot5_Rate)^(Slot5_Age-D63),(1+Slot5_Rate)^(Slot5_Age-D63)*(1-((1+AS_Wage)/(1+Slot5_Rate))^(Slot5_Age-D63))/(1-(1+AS_Wage)/(1+Slot5_Rate))),1)</f>
        <v>1</v>
      </c>
      <c r="JM63" s="20" t="n">
        <f aca="false">IF(AND(HU63=1,IE63&gt;0,Slot5_IsWG=1,BL63=1),MAX(0,(Slot5_Cost-BM63*(1+Slot5_Rate)^(Slot5_Age-D63))/JL63),0)</f>
        <v>0</v>
      </c>
      <c r="JN63" s="20" t="n">
        <f aca="false">IF(AND(HU63=1,IE63&gt;0,Slot5_IsWG=1,BL63=1),MIN(IE63,JM63),0)</f>
        <v>0</v>
      </c>
      <c r="JO63" s="20" t="n">
        <f aca="false">BM63+JN63</f>
        <v>0</v>
      </c>
      <c r="JP63" s="20" t="n">
        <f aca="false">IF(BL63=1,MAX(0,(Slot5_Cost-JO63*(1+Slot5_Rate)^(Slot5_Age-D63))/JL63),0)</f>
        <v>0</v>
      </c>
      <c r="JQ63" s="20" t="n">
        <f aca="false">IF(BL63=1,MAX(0,(Slot5_Cost-BM63*(1+Slot5_Rate)^(Slot5_Age-D63))/JL63),0)</f>
        <v>0</v>
      </c>
      <c r="JR63" s="20" t="n">
        <f aca="false">IF(AND(HU63=1,BL63=1),MIN(JK63,JP63),0)</f>
        <v>0</v>
      </c>
      <c r="JS63" s="20" t="n">
        <f aca="false">JK63-JR63</f>
        <v>0</v>
      </c>
      <c r="JT63" s="20" t="n">
        <f aca="false">IF(BV63=1,IF(ABS((1+AS_Wage)/(1+Slot6_Rate)-1)&lt;0.000000000001,(Slot6_Age-D63)*(1+Slot6_Rate)^(Slot6_Age-D63),(1+Slot6_Rate)^(Slot6_Age-D63)*(1-((1+AS_Wage)/(1+Slot6_Rate))^(Slot6_Age-D63))/(1-(1+AS_Wage)/(1+Slot6_Rate))),1)</f>
        <v>1</v>
      </c>
      <c r="JU63" s="20" t="n">
        <f aca="false">IF(AND(HU63=1,IE63&gt;0,Slot6_IsWG=1,BV63=1),MAX(0,(Slot6_Cost-BW63*(1+Slot6_Rate)^(Slot6_Age-D63))/JT63),0)</f>
        <v>0</v>
      </c>
      <c r="JV63" s="20" t="n">
        <f aca="false">IF(AND(HU63=1,IE63&gt;0,Slot6_IsWG=1,BV63=1),MIN(IE63,JU63),0)</f>
        <v>0</v>
      </c>
      <c r="JW63" s="20" t="n">
        <f aca="false">BW63+JV63</f>
        <v>0</v>
      </c>
      <c r="JX63" s="20" t="n">
        <f aca="false">IF(BV63=1,MAX(0,(Slot6_Cost-JW63*(1+Slot6_Rate)^(Slot6_Age-D63))/JT63),0)</f>
        <v>0</v>
      </c>
      <c r="JY63" s="20" t="n">
        <f aca="false">IF(BV63=1,MAX(0,(Slot6_Cost-BW63*(1+Slot6_Rate)^(Slot6_Age-D63))/JT63),0)</f>
        <v>0</v>
      </c>
      <c r="JZ63" s="20" t="n">
        <f aca="false">IF(AND(HU63=1,BV63=1),MIN(JS63,JX63),0)</f>
        <v>0</v>
      </c>
      <c r="KA63" s="20" t="n">
        <f aca="false">JS63-JZ63</f>
        <v>0</v>
      </c>
      <c r="KB63" s="20" t="n">
        <f aca="false">IF(CF63=1,IF(ABS((1+AS_Wage)/(1+Slot7_Rate)-1)&lt;0.000000000001,(Slot7_Age-D63)*(1+Slot7_Rate)^(Slot7_Age-D63),(1+Slot7_Rate)^(Slot7_Age-D63)*(1-((1+AS_Wage)/(1+Slot7_Rate))^(Slot7_Age-D63))/(1-(1+AS_Wage)/(1+Slot7_Rate))),1)</f>
        <v>1</v>
      </c>
      <c r="KC63" s="20" t="n">
        <f aca="false">IF(AND(HU63=1,IE63&gt;0,Slot7_IsWG=1,CF63=1),MAX(0,(Slot7_Cost-CG63*(1+Slot7_Rate)^(Slot7_Age-D63))/KB63),0)</f>
        <v>0</v>
      </c>
      <c r="KD63" s="20" t="n">
        <f aca="false">IF(AND(HU63=1,IE63&gt;0,Slot7_IsWG=1,CF63=1),MIN(IE63,KC63),0)</f>
        <v>0</v>
      </c>
      <c r="KE63" s="20" t="n">
        <f aca="false">CG63+KD63</f>
        <v>0</v>
      </c>
      <c r="KF63" s="20" t="n">
        <f aca="false">IF(CF63=1,MAX(0,(Slot7_Cost-KE63*(1+Slot7_Rate)^(Slot7_Age-D63))/KB63),0)</f>
        <v>0</v>
      </c>
      <c r="KG63" s="20" t="n">
        <f aca="false">IF(CF63=1,MAX(0,(Slot7_Cost-CG63*(1+Slot7_Rate)^(Slot7_Age-D63))/KB63),0)</f>
        <v>0</v>
      </c>
      <c r="KH63" s="20" t="n">
        <f aca="false">IF(AND(HU63=1,CF63=1),MIN(KA63,KF63),0)</f>
        <v>0</v>
      </c>
      <c r="KI63" s="20" t="n">
        <f aca="false">KA63-KH63</f>
        <v>0</v>
      </c>
      <c r="KJ63" s="20" t="n">
        <f aca="false">IF(CP63=1,IF(ABS((1+AS_Wage)/(1+Slot8_Rate)-1)&lt;0.000000000001,(Slot8_Age-D63)*(1+Slot8_Rate)^(Slot8_Age-D63),(1+Slot8_Rate)^(Slot8_Age-D63)*(1-((1+AS_Wage)/(1+Slot8_Rate))^(Slot8_Age-D63))/(1-(1+AS_Wage)/(1+Slot8_Rate))),1)</f>
        <v>1</v>
      </c>
      <c r="KK63" s="20" t="n">
        <f aca="false">IF(AND(HU63=1,IE63&gt;0,Slot8_IsWG=1,CP63=1),MAX(0,(Slot8_Cost-CQ63*(1+Slot8_Rate)^(Slot8_Age-D63))/KJ63),0)</f>
        <v>0</v>
      </c>
      <c r="KL63" s="20" t="n">
        <f aca="false">IF(AND(HU63=1,IE63&gt;0,Slot8_IsWG=1,CP63=1),MIN(IE63,KK63),0)</f>
        <v>0</v>
      </c>
      <c r="KM63" s="20" t="n">
        <f aca="false">CQ63+KL63</f>
        <v>0</v>
      </c>
      <c r="KN63" s="20" t="n">
        <f aca="false">IF(CP63=1,MAX(0,(Slot8_Cost-KM63*(1+Slot8_Rate)^(Slot8_Age-D63))/KJ63),0)</f>
        <v>0</v>
      </c>
      <c r="KO63" s="20" t="n">
        <f aca="false">IF(CP63=1,MAX(0,(Slot8_Cost-CQ63*(1+Slot8_Rate)^(Slot8_Age-D63))/KJ63),0)</f>
        <v>0</v>
      </c>
      <c r="KP63" s="20" t="n">
        <f aca="false">IF(AND(HU63=1,CP63=1),MIN(KI63,KN63),0)</f>
        <v>0</v>
      </c>
      <c r="KQ63" s="20" t="n">
        <f aca="false">KI63-KP63</f>
        <v>0</v>
      </c>
      <c r="KR63" s="20" t="n">
        <f aca="false">IF(CZ63=1,IF(ABS((1+AS_Wage)/(1+Slot9_Rate)-1)&lt;0.000000000001,(Slot9_Age-D63)*(1+Slot9_Rate)^(Slot9_Age-D63),(1+Slot9_Rate)^(Slot9_Age-D63)*(1-((1+AS_Wage)/(1+Slot9_Rate))^(Slot9_Age-D63))/(1-(1+AS_Wage)/(1+Slot9_Rate))),1)</f>
        <v>1</v>
      </c>
      <c r="KS63" s="20" t="n">
        <f aca="false">IF(AND(HU63=1,IE63&gt;0,Slot9_IsWG=1,CZ63=1),MAX(0,(Slot9_Cost-DA63*(1+Slot9_Rate)^(Slot9_Age-D63))/KR63),0)</f>
        <v>0</v>
      </c>
      <c r="KT63" s="20" t="n">
        <f aca="false">IF(AND(HU63=1,IE63&gt;0,Slot9_IsWG=1,CZ63=1),MIN(IE63,KS63),0)</f>
        <v>0</v>
      </c>
      <c r="KU63" s="20" t="n">
        <f aca="false">DA63+KT63</f>
        <v>0</v>
      </c>
      <c r="KV63" s="20" t="n">
        <f aca="false">IF(CZ63=1,MAX(0,(Slot9_Cost-KU63*(1+Slot9_Rate)^(Slot9_Age-D63))/KR63),0)</f>
        <v>0</v>
      </c>
      <c r="KW63" s="20" t="n">
        <f aca="false">IF(CZ63=1,MAX(0,(Slot9_Cost-DA63*(1+Slot9_Rate)^(Slot9_Age-D63))/KR63),0)</f>
        <v>0</v>
      </c>
      <c r="KX63" s="20" t="n">
        <f aca="false">IF(AND(HU63=1,CZ63=1),MIN(KQ63,KV63),0)</f>
        <v>0</v>
      </c>
      <c r="KY63" s="20" t="n">
        <f aca="false">KQ63-KX63</f>
        <v>0</v>
      </c>
      <c r="KZ63" s="20" t="n">
        <f aca="false">IF(DJ63=1,IF(ABS((1+AS_Wage)/(1+Slot10_Rate)-1)&lt;0.000000000001,(Slot10_Age-D63)*(1+Slot10_Rate)^(Slot10_Age-D63),(1+Slot10_Rate)^(Slot10_Age-D63)*(1-((1+AS_Wage)/(1+Slot10_Rate))^(Slot10_Age-D63))/(1-(1+AS_Wage)/(1+Slot10_Rate))),1)</f>
        <v>1</v>
      </c>
      <c r="LA63" s="20" t="n">
        <f aca="false">IF(AND(HU63=1,IE63&gt;0,Slot10_IsWG=1,DJ63=1),MAX(0,(Slot10_Cost-DK63*(1+Slot10_Rate)^(Slot10_Age-D63))/KZ63),0)</f>
        <v>0</v>
      </c>
      <c r="LB63" s="20" t="n">
        <f aca="false">IF(AND(HU63=1,IE63&gt;0,Slot10_IsWG=1,DJ63=1),MIN(IE63,LA63),0)</f>
        <v>0</v>
      </c>
      <c r="LC63" s="20" t="n">
        <f aca="false">DK63+LB63</f>
        <v>0</v>
      </c>
      <c r="LD63" s="20" t="n">
        <f aca="false">IF(DJ63=1,MAX(0,(Slot10_Cost-LC63*(1+Slot10_Rate)^(Slot10_Age-D63))/KZ63),0)</f>
        <v>0</v>
      </c>
      <c r="LE63" s="20" t="n">
        <f aca="false">IF(DJ63=1,MAX(0,(Slot10_Cost-DK63*(1+Slot10_Rate)^(Slot10_Age-D63))/KZ63),0)</f>
        <v>0</v>
      </c>
      <c r="LF63" s="20" t="n">
        <f aca="false">IF(AND(HU63=1,DJ63=1),MIN(KY63,LD63),0)</f>
        <v>0</v>
      </c>
      <c r="LG63" s="20" t="n">
        <f aca="false">KY63-LF63</f>
        <v>0</v>
      </c>
      <c r="LH63" s="20" t="n">
        <f aca="false">IF(DT63=1,IF(ABS((1+AS_Wage)/(1+Slot11_Rate)-1)&lt;0.000000000001,(Slot11_Age-D63)*(1+Slot11_Rate)^(Slot11_Age-D63),(1+Slot11_Rate)^(Slot11_Age-D63)*(1-((1+AS_Wage)/(1+Slot11_Rate))^(Slot11_Age-D63))/(1-(1+AS_Wage)/(1+Slot11_Rate))),1)</f>
        <v>1</v>
      </c>
      <c r="LI63" s="20" t="n">
        <f aca="false">IF(AND(HU63=1,IE63&gt;0,Slot11_IsWG=1,DT63=1),MAX(0,(Slot11_Cost-DU63*(1+Slot11_Rate)^(Slot11_Age-D63))/LH63),0)</f>
        <v>0</v>
      </c>
      <c r="LJ63" s="20" t="n">
        <f aca="false">IF(AND(HU63=1,IE63&gt;0,Slot11_IsWG=1,DT63=1),MIN(IE63,LI63),0)</f>
        <v>0</v>
      </c>
      <c r="LK63" s="20" t="n">
        <f aca="false">DU63+LJ63</f>
        <v>0</v>
      </c>
      <c r="LL63" s="20" t="n">
        <f aca="false">IF(DT63=1,MAX(0,(Slot11_Cost-LK63*(1+Slot11_Rate)^(Slot11_Age-D63))/LH63),0)</f>
        <v>0</v>
      </c>
      <c r="LM63" s="20" t="n">
        <f aca="false">IF(DT63=1,MAX(0,(Slot11_Cost-DU63*(1+Slot11_Rate)^(Slot11_Age-D63))/LH63),0)</f>
        <v>0</v>
      </c>
      <c r="LN63" s="20" t="n">
        <f aca="false">IF(AND(HU63=1,DT63=1),MIN(LG63,LL63),0)</f>
        <v>0</v>
      </c>
      <c r="LO63" s="20" t="n">
        <f aca="false">LG63-LN63</f>
        <v>0</v>
      </c>
      <c r="LP63" s="20" t="n">
        <f aca="false">IF(ED63=1,IF(ABS((1+AS_Wage)/(1+Slot12_Rate)-1)&lt;0.000000000001,(Slot12_Age-D63)*(1+Slot12_Rate)^(Slot12_Age-D63),(1+Slot12_Rate)^(Slot12_Age-D63)*(1-((1+AS_Wage)/(1+Slot12_Rate))^(Slot12_Age-D63))/(1-(1+AS_Wage)/(1+Slot12_Rate))),1)</f>
        <v>1</v>
      </c>
      <c r="LQ63" s="20" t="n">
        <f aca="false">IF(AND(HU63=1,IE63&gt;0,Slot12_IsWG=1,ED63=1),MAX(0,(Slot12_Cost-EE63*(1+Slot12_Rate)^(Slot12_Age-D63))/LP63),0)</f>
        <v>0</v>
      </c>
      <c r="LR63" s="20" t="n">
        <f aca="false">IF(AND(HU63=1,IE63&gt;0,Slot12_IsWG=1,ED63=1),MIN(IE63,LQ63),0)</f>
        <v>0</v>
      </c>
      <c r="LS63" s="20" t="n">
        <f aca="false">EE63+LR63</f>
        <v>0</v>
      </c>
      <c r="LT63" s="20" t="n">
        <f aca="false">IF(ED63=1,MAX(0,(Slot12_Cost-LS63*(1+Slot12_Rate)^(Slot12_Age-D63))/LP63),0)</f>
        <v>0</v>
      </c>
      <c r="LU63" s="20" t="n">
        <f aca="false">IF(ED63=1,MAX(0,(Slot12_Cost-EE63*(1+Slot12_Rate)^(Slot12_Age-D63))/LP63),0)</f>
        <v>0</v>
      </c>
      <c r="LV63" s="20" t="n">
        <f aca="false">IF(AND(HU63=1,ED63=1),MIN(LO63,LT63),0)</f>
        <v>0</v>
      </c>
      <c r="LW63" s="20" t="n">
        <f aca="false">LO63-LV63</f>
        <v>0</v>
      </c>
      <c r="LX63" s="20" t="n">
        <f aca="false">IF(EN63=1,IF(ABS((1+AS_Wage)/(1+Slot13_Rate)-1)&lt;0.000000000001,(Slot13_Age-D63)*(1+Slot13_Rate)^(Slot13_Age-D63),(1+Slot13_Rate)^(Slot13_Age-D63)*(1-((1+AS_Wage)/(1+Slot13_Rate))^(Slot13_Age-D63))/(1-(1+AS_Wage)/(1+Slot13_Rate))),1)</f>
        <v>1</v>
      </c>
      <c r="LY63" s="20" t="n">
        <f aca="false">IF(AND(HU63=1,IE63&gt;0,Slot13_IsWG=1,EN63=1),MAX(0,(Slot13_Cost-EO63*(1+Slot13_Rate)^(Slot13_Age-D63))/LX63),0)</f>
        <v>0</v>
      </c>
      <c r="LZ63" s="20" t="n">
        <f aca="false">IF(AND(HU63=1,IE63&gt;0,Slot13_IsWG=1,EN63=1),MIN(IE63,LY63),0)</f>
        <v>0</v>
      </c>
      <c r="MA63" s="20" t="n">
        <f aca="false">EO63+LZ63</f>
        <v>0</v>
      </c>
      <c r="MB63" s="20" t="n">
        <f aca="false">IF(EN63=1,MAX(0,(Slot13_Cost-MA63*(1+Slot13_Rate)^(Slot13_Age-D63))/LX63),0)</f>
        <v>0</v>
      </c>
      <c r="MC63" s="20" t="n">
        <f aca="false">IF(EN63=1,MAX(0,(Slot13_Cost-EO63*(1+Slot13_Rate)^(Slot13_Age-D63))/LX63),0)</f>
        <v>0</v>
      </c>
      <c r="MD63" s="20" t="n">
        <f aca="false">IF(AND(HU63=1,EN63=1),MIN(LW63,MB63),0)</f>
        <v>0</v>
      </c>
      <c r="ME63" s="20" t="n">
        <f aca="false">LW63-MD63</f>
        <v>0</v>
      </c>
      <c r="MF63" s="20" t="n">
        <f aca="false">IF(EX63=1,IF(ABS((1+AS_Wage)/(1+Slot14_Rate)-1)&lt;0.000000000001,(Slot14_Age-D63)*(1+Slot14_Rate)^(Slot14_Age-D63),(1+Slot14_Rate)^(Slot14_Age-D63)*(1-((1+AS_Wage)/(1+Slot14_Rate))^(Slot14_Age-D63))/(1-(1+AS_Wage)/(1+Slot14_Rate))),1)</f>
        <v>1</v>
      </c>
      <c r="MG63" s="20" t="n">
        <f aca="false">IF(AND(HU63=1,IE63&gt;0,Slot14_IsWG=1,EX63=1),MAX(0,(Slot14_Cost-EY63*(1+Slot14_Rate)^(Slot14_Age-D63))/MF63),0)</f>
        <v>0</v>
      </c>
      <c r="MH63" s="20" t="n">
        <f aca="false">IF(AND(HU63=1,IE63&gt;0,Slot14_IsWG=1,EX63=1),MIN(IE63,MG63),0)</f>
        <v>0</v>
      </c>
      <c r="MI63" s="20" t="n">
        <f aca="false">EY63+MH63</f>
        <v>0</v>
      </c>
      <c r="MJ63" s="20" t="n">
        <f aca="false">IF(EX63=1,MAX(0,(Slot14_Cost-MI63*(1+Slot14_Rate)^(Slot14_Age-D63))/MF63),0)</f>
        <v>0</v>
      </c>
      <c r="MK63" s="20" t="n">
        <f aca="false">IF(EX63=1,MAX(0,(Slot14_Cost-EY63*(1+Slot14_Rate)^(Slot14_Age-D63))/MF63),0)</f>
        <v>0</v>
      </c>
      <c r="ML63" s="20" t="n">
        <f aca="false">IF(AND(HU63=1,EX63=1),MIN(ME63,MJ63),0)</f>
        <v>0</v>
      </c>
      <c r="MM63" s="20" t="n">
        <f aca="false">ME63-ML63</f>
        <v>0</v>
      </c>
      <c r="MN63" s="20" t="n">
        <f aca="false">IF(FH63=1,IF(ABS((1+AS_Wage)/(1+Slot15_Rate)-1)&lt;0.000000000001,(Slot15_Age-D63)*(1+Slot15_Rate)^(Slot15_Age-D63),(1+Slot15_Rate)^(Slot15_Age-D63)*(1-((1+AS_Wage)/(1+Slot15_Rate))^(Slot15_Age-D63))/(1-(1+AS_Wage)/(1+Slot15_Rate))),1)</f>
        <v>1</v>
      </c>
      <c r="MO63" s="20" t="n">
        <f aca="false">IF(AND(HU63=1,IE63&gt;0,Slot15_IsWG=1,FH63=1),MAX(0,(Slot15_Cost-FI63*(1+Slot15_Rate)^(Slot15_Age-D63))/MN63),0)</f>
        <v>0</v>
      </c>
      <c r="MP63" s="20" t="n">
        <f aca="false">IF(AND(HU63=1,IE63&gt;0,Slot15_IsWG=1,FH63=1),MIN(IE63,MO63),0)</f>
        <v>0</v>
      </c>
      <c r="MQ63" s="20" t="n">
        <f aca="false">FI63+MP63</f>
        <v>0</v>
      </c>
      <c r="MR63" s="20" t="n">
        <f aca="false">IF(FH63=1,MAX(0,(Slot15_Cost-MQ63*(1+Slot15_Rate)^(Slot15_Age-D63))/MN63),0)</f>
        <v>0</v>
      </c>
      <c r="MS63" s="20" t="n">
        <f aca="false">IF(FH63=1,MAX(0,(Slot15_Cost-FI63*(1+Slot15_Rate)^(Slot15_Age-D63))/MN63),0)</f>
        <v>0</v>
      </c>
      <c r="MT63" s="20" t="n">
        <f aca="false">IF(AND(HU63=1,FH63=1),MIN(MM63,MR63),0)</f>
        <v>0</v>
      </c>
      <c r="MU63" s="20" t="n">
        <f aca="false">MM63-MT63</f>
        <v>0</v>
      </c>
      <c r="MV63" s="20" t="n">
        <f aca="false">IF(FR63=1,IF(ABS((1+AS_Wage)/(1+Slot16_Rate)-1)&lt;0.000000000001,(Slot16_Age-D63)*(1+Slot16_Rate)^(Slot16_Age-D63),(1+Slot16_Rate)^(Slot16_Age-D63)*(1-((1+AS_Wage)/(1+Slot16_Rate))^(Slot16_Age-D63))/(1-(1+AS_Wage)/(1+Slot16_Rate))),1)</f>
        <v>1</v>
      </c>
      <c r="MW63" s="20" t="n">
        <f aca="false">IF(AND(HU63=1,IE63&gt;0,Slot16_IsWG=1,FR63=1),MAX(0,(Slot16_Cost-FS63*(1+Slot16_Rate)^(Slot16_Age-D63))/MV63),0)</f>
        <v>0</v>
      </c>
      <c r="MX63" s="20" t="n">
        <f aca="false">IF(AND(HU63=1,IE63&gt;0,Slot16_IsWG=1,FR63=1),MIN(IE63,MW63),0)</f>
        <v>0</v>
      </c>
      <c r="MY63" s="20" t="n">
        <f aca="false">FS63+MX63</f>
        <v>0</v>
      </c>
      <c r="MZ63" s="20" t="n">
        <f aca="false">IF(FR63=1,MAX(0,(Slot16_Cost-MY63*(1+Slot16_Rate)^(Slot16_Age-D63))/MV63),0)</f>
        <v>0</v>
      </c>
      <c r="NA63" s="20" t="n">
        <f aca="false">IF(FR63=1,MAX(0,(Slot16_Cost-FS63*(1+Slot16_Rate)^(Slot16_Age-D63))/MV63),0)</f>
        <v>0</v>
      </c>
      <c r="NB63" s="20" t="n">
        <f aca="false">IF(AND(HU63=1,FR63=1),MIN(MU63,MZ63),0)</f>
        <v>0</v>
      </c>
      <c r="NC63" s="20" t="n">
        <f aca="false">MU63-NB63</f>
        <v>0</v>
      </c>
      <c r="ND63" s="20" t="n">
        <f aca="false">IF(GB63=1,IF(ABS((1+AS_Wage)/(1+Slot17_Rate)-1)&lt;0.000000000001,(Slot17_Age-D63)*(1+Slot17_Rate)^(Slot17_Age-D63),(1+Slot17_Rate)^(Slot17_Age-D63)*(1-((1+AS_Wage)/(1+Slot17_Rate))^(Slot17_Age-D63))/(1-(1+AS_Wage)/(1+Slot17_Rate))),1)</f>
        <v>1</v>
      </c>
      <c r="NE63" s="20" t="n">
        <f aca="false">IF(AND(HU63=1,IE63&gt;0,Slot17_IsWG=1,GB63=1),MAX(0,(Slot17_Cost-GC63*(1+Slot17_Rate)^(Slot17_Age-D63))/ND63),0)</f>
        <v>0</v>
      </c>
      <c r="NF63" s="20" t="n">
        <f aca="false">IF(AND(HU63=1,IE63&gt;0,Slot17_IsWG=1,GB63=1),MIN(IE63,NE63),0)</f>
        <v>0</v>
      </c>
      <c r="NG63" s="20" t="n">
        <f aca="false">GC63+NF63</f>
        <v>0</v>
      </c>
      <c r="NH63" s="20" t="n">
        <f aca="false">IF(GB63=1,MAX(0,(Slot17_Cost-NG63*(1+Slot17_Rate)^(Slot17_Age-D63))/ND63),0)</f>
        <v>0</v>
      </c>
      <c r="NI63" s="20" t="n">
        <f aca="false">IF(GB63=1,MAX(0,(Slot17_Cost-GC63*(1+Slot17_Rate)^(Slot17_Age-D63))/ND63),0)</f>
        <v>0</v>
      </c>
      <c r="NJ63" s="20" t="n">
        <f aca="false">IF(AND(HU63=1,GB63=1),MIN(NC63,NH63),0)</f>
        <v>0</v>
      </c>
      <c r="NK63" s="20" t="n">
        <f aca="false">NC63-NJ63</f>
        <v>0</v>
      </c>
      <c r="NL63" s="20" t="n">
        <f aca="false">IF(GL63=1,IF(ABS((1+AS_Wage)/(1+Slot18_Rate)-1)&lt;0.000000000001,(Slot18_Age-D63)*(1+Slot18_Rate)^(Slot18_Age-D63),(1+Slot18_Rate)^(Slot18_Age-D63)*(1-((1+AS_Wage)/(1+Slot18_Rate))^(Slot18_Age-D63))/(1-(1+AS_Wage)/(1+Slot18_Rate))),1)</f>
        <v>1</v>
      </c>
      <c r="NM63" s="20" t="n">
        <f aca="false">IF(AND(HU63=1,IE63&gt;0,Slot18_IsWG=1,GL63=1),MAX(0,(Slot18_Cost-GM63*(1+Slot18_Rate)^(Slot18_Age-D63))/NL63),0)</f>
        <v>0</v>
      </c>
      <c r="NN63" s="20" t="n">
        <f aca="false">IF(AND(HU63=1,IE63&gt;0,Slot18_IsWG=1,GL63=1),MIN(IE63,NM63),0)</f>
        <v>0</v>
      </c>
      <c r="NO63" s="20" t="n">
        <f aca="false">GM63+NN63</f>
        <v>0</v>
      </c>
      <c r="NP63" s="20" t="n">
        <f aca="false">IF(GL63=1,MAX(0,(Slot18_Cost-NO63*(1+Slot18_Rate)^(Slot18_Age-D63))/NL63),0)</f>
        <v>0</v>
      </c>
      <c r="NQ63" s="20" t="n">
        <f aca="false">IF(GL63=1,MAX(0,(Slot18_Cost-GM63*(1+Slot18_Rate)^(Slot18_Age-D63))/NL63),0)</f>
        <v>0</v>
      </c>
      <c r="NR63" s="20" t="n">
        <f aca="false">IF(AND(HU63=1,GL63=1),MIN(NK63,NP63),0)</f>
        <v>0</v>
      </c>
      <c r="NS63" s="20" t="n">
        <f aca="false">NK63-NR63</f>
        <v>0</v>
      </c>
      <c r="NT63" s="20" t="n">
        <f aca="false">IF(GV63=1,IF(ABS((1+AS_Wage)/(1+Slot19_Rate)-1)&lt;0.000000000001,(Slot19_Age-D63)*(1+Slot19_Rate)^(Slot19_Age-D63),(1+Slot19_Rate)^(Slot19_Age-D63)*(1-((1+AS_Wage)/(1+Slot19_Rate))^(Slot19_Age-D63))/(1-(1+AS_Wage)/(1+Slot19_Rate))),1)</f>
        <v>1</v>
      </c>
      <c r="NU63" s="20" t="n">
        <f aca="false">IF(AND(HU63=1,IE63&gt;0,Slot19_IsWG=1,GV63=1),MAX(0,(Slot19_Cost-GW63*(1+Slot19_Rate)^(Slot19_Age-D63))/NT63),0)</f>
        <v>0</v>
      </c>
      <c r="NV63" s="20" t="n">
        <f aca="false">IF(AND(HU63=1,IE63&gt;0,Slot19_IsWG=1,GV63=1),MIN(IE63,NU63),0)</f>
        <v>0</v>
      </c>
      <c r="NW63" s="20" t="n">
        <f aca="false">GW63+NV63</f>
        <v>0</v>
      </c>
      <c r="NX63" s="20" t="n">
        <f aca="false">IF(GV63=1,MAX(0,(Slot19_Cost-NW63*(1+Slot19_Rate)^(Slot19_Age-D63))/NT63),0)</f>
        <v>0</v>
      </c>
      <c r="NY63" s="20" t="n">
        <f aca="false">IF(GV63=1,MAX(0,(Slot19_Cost-GW63*(1+Slot19_Rate)^(Slot19_Age-D63))/NT63),0)</f>
        <v>0</v>
      </c>
      <c r="NZ63" s="20" t="n">
        <f aca="false">IF(AND(HU63=1,GV63=1),MIN(NS63,NX63),0)</f>
        <v>0</v>
      </c>
      <c r="OA63" s="20" t="n">
        <f aca="false">NS63-NZ63</f>
        <v>0</v>
      </c>
      <c r="OB63" s="20" t="n">
        <f aca="false">IF(HF63=1,IF(ABS((1+AS_Wage)/(1+Slot20_Rate)-1)&lt;0.000000000001,(Slot20_Age-D63)*(1+Slot20_Rate)^(Slot20_Age-D63),(1+Slot20_Rate)^(Slot20_Age-D63)*(1-((1+AS_Wage)/(1+Slot20_Rate))^(Slot20_Age-D63))/(1-(1+AS_Wage)/(1+Slot20_Rate))),1)</f>
        <v>1</v>
      </c>
      <c r="OC63" s="20" t="n">
        <f aca="false">IF(AND(HU63=1,IE63&gt;0,Slot20_IsWG=1,HF63=1),MAX(0,(Slot20_Cost-HG63*(1+Slot20_Rate)^(Slot20_Age-D63))/OB63),0)</f>
        <v>0</v>
      </c>
      <c r="OD63" s="20" t="n">
        <f aca="false">IF(AND(HU63=1,IE63&gt;0,Slot20_IsWG=1,HF63=1),MIN(IE63,OC63),0)</f>
        <v>0</v>
      </c>
      <c r="OE63" s="20" t="n">
        <f aca="false">HG63+OD63</f>
        <v>0</v>
      </c>
      <c r="OF63" s="20" t="n">
        <f aca="false">IF(HF63=1,MAX(0,(Slot20_Cost-OE63*(1+Slot20_Rate)^(Slot20_Age-D63))/OB63),0)</f>
        <v>0</v>
      </c>
      <c r="OG63" s="20" t="n">
        <f aca="false">IF(HF63=1,MAX(0,(Slot20_Cost-HG63*(1+Slot20_Rate)^(Slot20_Age-D63))/OB63),0)</f>
        <v>0</v>
      </c>
      <c r="OH63" s="20" t="n">
        <f aca="false">IF(AND(HU63=1,HF63=1),MIN(OA63,OF63),0)</f>
        <v>0</v>
      </c>
      <c r="OI63" s="20" t="n">
        <f aca="false">OA63-OH63</f>
        <v>0</v>
      </c>
      <c r="OJ63" s="20" t="n">
        <f aca="false">IE63-(IH63+IP63+IX63+JF63+JN63+JV63+KD63+KL63+KT63+LB63+LJ63+LR63+LZ63+MH63+MP63+MX63+NF63+NN63+NV63+OD63)</f>
        <v>0</v>
      </c>
      <c r="OK63" s="20" t="n">
        <f aca="false">IF(HU63=1,HS63-ID63-IE63,0)</f>
        <v>0</v>
      </c>
      <c r="OL63" s="20" t="n">
        <f aca="false">IF(HU63=0,-HS63,0)</f>
        <v>28904.9175987733</v>
      </c>
      <c r="OM63" s="20" t="n">
        <f aca="false">MIN(OL63,HK63)</f>
        <v>0</v>
      </c>
      <c r="ON63" s="20" t="n">
        <f aca="false">OL63-OM63</f>
        <v>28904.9175987733</v>
      </c>
      <c r="OO63" s="20" t="n">
        <f aca="false">MIN(ON63,HL63)</f>
        <v>0</v>
      </c>
      <c r="OP63" s="20" t="n">
        <f aca="false">ON63-OO63</f>
        <v>28904.9175987733</v>
      </c>
      <c r="OQ63" s="20" t="n">
        <f aca="false">IF(AND(HU63=0,HF63=1,OP63&gt;0),MIN(OP63,HG63),0)</f>
        <v>0</v>
      </c>
      <c r="OR63" s="20" t="n">
        <f aca="false">OP63-OQ63</f>
        <v>28904.9175987733</v>
      </c>
      <c r="OS63" s="20" t="n">
        <f aca="false">IF(AND(HU63=0,GV63=1,OR63&gt;0),MIN(OR63,GW63),0)</f>
        <v>0</v>
      </c>
      <c r="OT63" s="20" t="n">
        <f aca="false">OR63-OS63</f>
        <v>28904.9175987733</v>
      </c>
      <c r="OU63" s="20" t="n">
        <f aca="false">IF(AND(HU63=0,GL63=1,OT63&gt;0),MIN(OT63,GM63),0)</f>
        <v>0</v>
      </c>
      <c r="OV63" s="20" t="n">
        <f aca="false">OT63-OU63</f>
        <v>28904.9175987733</v>
      </c>
      <c r="OW63" s="20" t="n">
        <f aca="false">IF(AND(HU63=0,GB63=1,OV63&gt;0),MIN(OV63,GC63),0)</f>
        <v>0</v>
      </c>
      <c r="OX63" s="20" t="n">
        <f aca="false">OV63-OW63</f>
        <v>28904.9175987733</v>
      </c>
      <c r="OY63" s="20" t="n">
        <f aca="false">IF(AND(HU63=0,FR63=1,OX63&gt;0),MIN(OX63,FS63),0)</f>
        <v>0</v>
      </c>
      <c r="OZ63" s="20" t="n">
        <f aca="false">OX63-OY63</f>
        <v>28904.9175987733</v>
      </c>
      <c r="PA63" s="20" t="n">
        <f aca="false">IF(AND(HU63=0,FH63=1,OZ63&gt;0),MIN(OZ63,FI63),0)</f>
        <v>0</v>
      </c>
      <c r="PB63" s="20" t="n">
        <f aca="false">OZ63-PA63</f>
        <v>28904.9175987733</v>
      </c>
      <c r="PC63" s="20" t="n">
        <f aca="false">IF(AND(HU63=0,EX63=1,PB63&gt;0),MIN(PB63,EY63),0)</f>
        <v>0</v>
      </c>
      <c r="PD63" s="20" t="n">
        <f aca="false">PB63-PC63</f>
        <v>28904.9175987733</v>
      </c>
      <c r="PE63" s="20" t="n">
        <f aca="false">IF(AND(HU63=0,EN63=1,PD63&gt;0),MIN(PD63,EO63),0)</f>
        <v>0</v>
      </c>
      <c r="PF63" s="20" t="n">
        <f aca="false">PD63-PE63</f>
        <v>28904.9175987733</v>
      </c>
      <c r="PG63" s="20" t="n">
        <f aca="false">IF(AND(HU63=0,ED63=1,PF63&gt;0),MIN(PF63,EE63),0)</f>
        <v>0</v>
      </c>
      <c r="PH63" s="20" t="n">
        <f aca="false">PF63-PG63</f>
        <v>28904.9175987733</v>
      </c>
      <c r="PI63" s="20" t="n">
        <f aca="false">IF(AND(HU63=0,DT63=1,PH63&gt;0),MIN(PH63,DU63),0)</f>
        <v>0</v>
      </c>
      <c r="PJ63" s="20" t="n">
        <f aca="false">PH63-PI63</f>
        <v>28904.9175987733</v>
      </c>
      <c r="PK63" s="20" t="n">
        <f aca="false">IF(AND(HU63=0,DJ63=1,PJ63&gt;0),MIN(PJ63,DK63),0)</f>
        <v>0</v>
      </c>
      <c r="PL63" s="20" t="n">
        <f aca="false">PJ63-PK63</f>
        <v>28904.9175987733</v>
      </c>
      <c r="PM63" s="20" t="n">
        <f aca="false">IF(AND(HU63=0,CZ63=1,PL63&gt;0),MIN(PL63,DA63),0)</f>
        <v>0</v>
      </c>
      <c r="PN63" s="20" t="n">
        <f aca="false">PL63-PM63</f>
        <v>28904.9175987733</v>
      </c>
      <c r="PO63" s="20" t="n">
        <f aca="false">IF(AND(HU63=0,CP63=1,PN63&gt;0),MIN(PN63,CQ63),0)</f>
        <v>0</v>
      </c>
      <c r="PP63" s="20" t="n">
        <f aca="false">PN63-PO63</f>
        <v>28904.9175987733</v>
      </c>
      <c r="PQ63" s="20" t="n">
        <f aca="false">IF(AND(HU63=0,CF63=1,PP63&gt;0),MIN(PP63,CG63),0)</f>
        <v>0</v>
      </c>
      <c r="PR63" s="20" t="n">
        <f aca="false">PP63-PQ63</f>
        <v>28904.9175987733</v>
      </c>
      <c r="PS63" s="20" t="n">
        <f aca="false">IF(AND(HU63=0,BV63=1,PR63&gt;0),MIN(PR63,BW63),0)</f>
        <v>0</v>
      </c>
      <c r="PT63" s="20" t="n">
        <f aca="false">PR63-PS63</f>
        <v>28904.9175987733</v>
      </c>
      <c r="PU63" s="20" t="n">
        <f aca="false">IF(AND(HU63=0,BL63=1,PT63&gt;0),MIN(PT63,BM63),0)</f>
        <v>0</v>
      </c>
      <c r="PV63" s="20" t="n">
        <f aca="false">PT63-PU63</f>
        <v>28904.9175987733</v>
      </c>
      <c r="PW63" s="20" t="n">
        <f aca="false">IF(AND(HU63=0,BB63=1,PV63&gt;0),MIN(PV63,BC63),0)</f>
        <v>0</v>
      </c>
      <c r="PX63" s="20" t="n">
        <f aca="false">PV63-PW63</f>
        <v>28904.9175987733</v>
      </c>
      <c r="PY63" s="20" t="n">
        <f aca="false">IF(AND(HU63=0,AR63=1,PX63&gt;0),MIN(PX63,AS63),0)</f>
        <v>0</v>
      </c>
      <c r="PZ63" s="20" t="n">
        <f aca="false">PX63-PY63</f>
        <v>28904.9175987733</v>
      </c>
      <c r="QA63" s="20" t="n">
        <f aca="false">IF(AND(HU63=0,AH63=1,PZ63&gt;0),MIN(PZ63,AI63),0)</f>
        <v>0</v>
      </c>
      <c r="QB63" s="20" t="n">
        <f aca="false">PZ63-QA63</f>
        <v>28904.9175987733</v>
      </c>
      <c r="QC63" s="20" t="n">
        <f aca="false">IF(AND(HU63=0,W63=1,QB63&gt;0),MIN(QB63,X63),0)</f>
        <v>0</v>
      </c>
      <c r="QD63" s="20" t="n">
        <f aca="false">QB63-QC63</f>
        <v>28904.9175987733</v>
      </c>
      <c r="QE63" s="20" t="n">
        <f aca="false">IF(HU63=0,QD63,0)</f>
        <v>28904.9175987733</v>
      </c>
      <c r="QF63" s="20" t="n">
        <f aca="false">OM63+OO63+QC63+QA63+PY63+PW63+PU63+PS63+PQ63+PO63+PM63+PK63+PI63+PG63+PE63+PC63+PA63+OY63+OW63+OU63+OS63+OQ63</f>
        <v>0</v>
      </c>
      <c r="QG63" s="20" t="n">
        <f aca="false">IF(HU63=1,HK63+OJ63+OI63+IF(G63=1,0,OK63),HK63-OM63)</f>
        <v>0</v>
      </c>
      <c r="QH63" s="20" t="n">
        <f aca="false">HL63-OO63</f>
        <v>0</v>
      </c>
      <c r="QI63" s="20" t="n">
        <f aca="false">IF(HU63=1,IF(G63=1,ID63+IE63,HS63),0)</f>
        <v>0</v>
      </c>
      <c r="QJ63" s="20" t="n">
        <f aca="false">IF(HU63=1,IF(G63=1,HS63-ID63-IE63,0),0)</f>
        <v>0</v>
      </c>
      <c r="QK63" s="57" t="n">
        <f aca="false">'Plan holdings'!BM63</f>
        <v>0</v>
      </c>
      <c r="QL63" s="20" t="n">
        <f aca="false">QH63*(1+AS_Cash)</f>
        <v>0</v>
      </c>
      <c r="QM63" s="20" t="n">
        <f aca="false">IF(W63=1,IF(HU63=1,II63+IL63,X63-QC63)*(1+Slot1_Rate),0)</f>
        <v>0</v>
      </c>
      <c r="QN63" s="20" t="n">
        <f aca="false">IF(AND(HU63=1,W63=1),(IH63+IL63)/F63,0)</f>
        <v>0</v>
      </c>
      <c r="QO63" s="20" t="n">
        <f aca="false">IF(B63=0,IH63+IL63,0)</f>
        <v>0</v>
      </c>
      <c r="QP63" s="20" t="n">
        <f aca="false">IF(B63=0,IF(HU63=1,IJ63,IK63),0)</f>
        <v>0</v>
      </c>
      <c r="QQ63" s="20" t="n">
        <f aca="false">IF(AH63=1,IF(HU63=1,IQ63+IT63,AI63-QA63)*(1+Slot2_Rate),0)</f>
        <v>0</v>
      </c>
      <c r="QR63" s="20" t="n">
        <f aca="false">IF(AND(HU63=1,AH63=1),(IP63+IT63)/F63,0)</f>
        <v>0</v>
      </c>
      <c r="QS63" s="20" t="n">
        <f aca="false">IF(B63=0,IP63+IT63,0)</f>
        <v>0</v>
      </c>
      <c r="QT63" s="20" t="n">
        <f aca="false">IF(B63=0,IF(HU63=1,IR63,IS63),0)</f>
        <v>0</v>
      </c>
      <c r="QU63" s="20" t="n">
        <f aca="false">IF(AR63=1,IF(HU63=1,IY63+JB63,AS63-PY63)*(1+Slot3_Rate),0)</f>
        <v>0</v>
      </c>
      <c r="QV63" s="20" t="n">
        <f aca="false">IF(AND(HU63=1,AR63=1),(IX63+JB63)/F63,0)</f>
        <v>0</v>
      </c>
      <c r="QW63" s="20" t="n">
        <f aca="false">IF(B63=0,IX63+JB63,0)</f>
        <v>0</v>
      </c>
      <c r="QX63" s="20" t="n">
        <f aca="false">IF(B63=0,IF(HU63=1,IZ63,JA63),0)</f>
        <v>0</v>
      </c>
      <c r="QY63" s="20" t="n">
        <f aca="false">IF(BB63=1,IF(HU63=1,JG63+JJ63,BC63-PW63)*(1+Slot4_Rate),0)</f>
        <v>0</v>
      </c>
      <c r="QZ63" s="20" t="n">
        <f aca="false">IF(AND(HU63=1,BB63=1),(JF63+JJ63)/F63,0)</f>
        <v>0</v>
      </c>
      <c r="RA63" s="20" t="n">
        <f aca="false">IF(B63=0,JF63+JJ63,0)</f>
        <v>0</v>
      </c>
      <c r="RB63" s="20" t="n">
        <f aca="false">IF(B63=0,IF(HU63=1,JH63,JI63),0)</f>
        <v>0</v>
      </c>
      <c r="RC63" s="20" t="n">
        <f aca="false">IF(BL63=1,IF(HU63=1,JO63+JR63,BM63-PU63)*(1+Slot5_Rate),0)</f>
        <v>0</v>
      </c>
      <c r="RD63" s="20" t="n">
        <f aca="false">IF(AND(HU63=1,BL63=1),(JN63+JR63)/F63,0)</f>
        <v>0</v>
      </c>
      <c r="RE63" s="20" t="n">
        <f aca="false">IF(B63=0,JN63+JR63,0)</f>
        <v>0</v>
      </c>
      <c r="RF63" s="20" t="n">
        <f aca="false">IF(B63=0,IF(HU63=1,JP63,JQ63),0)</f>
        <v>0</v>
      </c>
      <c r="RG63" s="20" t="n">
        <f aca="false">IF(BV63=1,IF(HU63=1,JW63+JZ63,BW63-PS63)*(1+Slot6_Rate),0)</f>
        <v>0</v>
      </c>
      <c r="RH63" s="20" t="n">
        <f aca="false">IF(AND(HU63=1,BV63=1),(JV63+JZ63)/F63,0)</f>
        <v>0</v>
      </c>
      <c r="RI63" s="20" t="n">
        <f aca="false">IF(B63=0,JV63+JZ63,0)</f>
        <v>0</v>
      </c>
      <c r="RJ63" s="20" t="n">
        <f aca="false">IF(B63=0,IF(HU63=1,JX63,JY63),0)</f>
        <v>0</v>
      </c>
      <c r="RK63" s="20" t="n">
        <f aca="false">IF(CF63=1,IF(HU63=1,KE63+KH63,CG63-PQ63)*(1+Slot7_Rate),0)</f>
        <v>0</v>
      </c>
      <c r="RL63" s="20" t="n">
        <f aca="false">IF(AND(HU63=1,CF63=1),(KD63+KH63)/F63,0)</f>
        <v>0</v>
      </c>
      <c r="RM63" s="20" t="n">
        <f aca="false">IF(B63=0,KD63+KH63,0)</f>
        <v>0</v>
      </c>
      <c r="RN63" s="20" t="n">
        <f aca="false">IF(B63=0,IF(HU63=1,KF63,KG63),0)</f>
        <v>0</v>
      </c>
      <c r="RO63" s="20" t="n">
        <f aca="false">IF(CP63=1,IF(HU63=1,KM63+KP63,CQ63-PO63)*(1+Slot8_Rate),0)</f>
        <v>0</v>
      </c>
      <c r="RP63" s="20" t="n">
        <f aca="false">IF(AND(HU63=1,CP63=1),(KL63+KP63)/F63,0)</f>
        <v>0</v>
      </c>
      <c r="RQ63" s="20" t="n">
        <f aca="false">IF(B63=0,KL63+KP63,0)</f>
        <v>0</v>
      </c>
      <c r="RR63" s="20" t="n">
        <f aca="false">IF(B63=0,IF(HU63=1,KN63,KO63),0)</f>
        <v>0</v>
      </c>
      <c r="RS63" s="20" t="n">
        <f aca="false">IF(CZ63=1,IF(HU63=1,KU63+KX63,DA63-PM63)*(1+Slot9_Rate),0)</f>
        <v>0</v>
      </c>
      <c r="RT63" s="20" t="n">
        <f aca="false">IF(AND(HU63=1,CZ63=1),(KT63+KX63)/F63,0)</f>
        <v>0</v>
      </c>
      <c r="RU63" s="20" t="n">
        <f aca="false">IF(B63=0,KT63+KX63,0)</f>
        <v>0</v>
      </c>
      <c r="RV63" s="20" t="n">
        <f aca="false">IF(B63=0,IF(HU63=1,KV63,KW63),0)</f>
        <v>0</v>
      </c>
      <c r="RW63" s="20" t="n">
        <f aca="false">IF(DJ63=1,IF(HU63=1,LC63+LF63,DK63-PK63)*(1+Slot10_Rate),0)</f>
        <v>0</v>
      </c>
      <c r="RX63" s="20" t="n">
        <f aca="false">IF(AND(HU63=1,DJ63=1),(LB63+LF63)/F63,0)</f>
        <v>0</v>
      </c>
      <c r="RY63" s="20" t="n">
        <f aca="false">IF(B63=0,LB63+LF63,0)</f>
        <v>0</v>
      </c>
      <c r="RZ63" s="20" t="n">
        <f aca="false">IF(B63=0,IF(HU63=1,LD63,LE63),0)</f>
        <v>0</v>
      </c>
      <c r="SA63" s="20" t="n">
        <f aca="false">IF(DT63=1,IF(HU63=1,LK63+LN63,DU63-PI63)*(1+Slot11_Rate),0)</f>
        <v>0</v>
      </c>
      <c r="SB63" s="20" t="n">
        <f aca="false">IF(AND(HU63=1,DT63=1),(LJ63+LN63)/F63,0)</f>
        <v>0</v>
      </c>
      <c r="SC63" s="20" t="n">
        <f aca="false">IF(B63=0,LJ63+LN63,0)</f>
        <v>0</v>
      </c>
      <c r="SD63" s="20" t="n">
        <f aca="false">IF(B63=0,IF(HU63=1,LL63,LM63),0)</f>
        <v>0</v>
      </c>
      <c r="SE63" s="20" t="n">
        <f aca="false">IF(ED63=1,IF(HU63=1,LS63+LV63,EE63-PG63)*(1+Slot12_Rate),0)</f>
        <v>0</v>
      </c>
      <c r="SF63" s="20" t="n">
        <f aca="false">IF(AND(HU63=1,ED63=1),(LR63+LV63)/F63,0)</f>
        <v>0</v>
      </c>
      <c r="SG63" s="20" t="n">
        <f aca="false">IF(B63=0,LR63+LV63,0)</f>
        <v>0</v>
      </c>
      <c r="SH63" s="20" t="n">
        <f aca="false">IF(B63=0,IF(HU63=1,LT63,LU63),0)</f>
        <v>0</v>
      </c>
      <c r="SI63" s="20" t="n">
        <f aca="false">IF(EN63=1,IF(HU63=1,MA63+MD63,EO63-PE63)*(1+Slot13_Rate),0)</f>
        <v>0</v>
      </c>
      <c r="SJ63" s="20" t="n">
        <f aca="false">IF(AND(HU63=1,EN63=1),(LZ63+MD63)/F63,0)</f>
        <v>0</v>
      </c>
      <c r="SK63" s="20" t="n">
        <f aca="false">IF(B63=0,LZ63+MD63,0)</f>
        <v>0</v>
      </c>
      <c r="SL63" s="20" t="n">
        <f aca="false">IF(B63=0,IF(HU63=1,MB63,MC63),0)</f>
        <v>0</v>
      </c>
      <c r="SM63" s="20" t="n">
        <f aca="false">IF(EX63=1,IF(HU63=1,MI63+ML63,EY63-PC63)*(1+Slot14_Rate),0)</f>
        <v>0</v>
      </c>
      <c r="SN63" s="20" t="n">
        <f aca="false">IF(AND(HU63=1,EX63=1),(MH63+ML63)/F63,0)</f>
        <v>0</v>
      </c>
      <c r="SO63" s="20" t="n">
        <f aca="false">IF(B63=0,MH63+ML63,0)</f>
        <v>0</v>
      </c>
      <c r="SP63" s="20" t="n">
        <f aca="false">IF(B63=0,IF(HU63=1,MJ63,MK63),0)</f>
        <v>0</v>
      </c>
      <c r="SQ63" s="20" t="n">
        <f aca="false">IF(FH63=1,IF(HU63=1,MQ63+MT63,FI63-PA63)*(1+Slot15_Rate),0)</f>
        <v>0</v>
      </c>
      <c r="SR63" s="20" t="n">
        <f aca="false">IF(AND(HU63=1,FH63=1),(MP63+MT63)/F63,0)</f>
        <v>0</v>
      </c>
      <c r="SS63" s="20" t="n">
        <f aca="false">IF(B63=0,MP63+MT63,0)</f>
        <v>0</v>
      </c>
      <c r="ST63" s="20" t="n">
        <f aca="false">IF(B63=0,IF(HU63=1,MR63,MS63),0)</f>
        <v>0</v>
      </c>
      <c r="SU63" s="20" t="n">
        <f aca="false">IF(FR63=1,IF(HU63=1,MY63+NB63,FS63-OY63)*(1+Slot16_Rate),0)</f>
        <v>0</v>
      </c>
      <c r="SV63" s="20" t="n">
        <f aca="false">IF(AND(HU63=1,FR63=1),(MX63+NB63)/F63,0)</f>
        <v>0</v>
      </c>
      <c r="SW63" s="20" t="n">
        <f aca="false">IF(B63=0,MX63+NB63,0)</f>
        <v>0</v>
      </c>
      <c r="SX63" s="20" t="n">
        <f aca="false">IF(B63=0,IF(HU63=1,MZ63,NA63),0)</f>
        <v>0</v>
      </c>
      <c r="SY63" s="20" t="n">
        <f aca="false">IF(GB63=1,IF(HU63=1,NG63+NJ63,GC63-OW63)*(1+Slot17_Rate),0)</f>
        <v>0</v>
      </c>
      <c r="SZ63" s="20" t="n">
        <f aca="false">IF(AND(HU63=1,GB63=1),(NF63+NJ63)/F63,0)</f>
        <v>0</v>
      </c>
      <c r="TA63" s="20" t="n">
        <f aca="false">IF(B63=0,NF63+NJ63,0)</f>
        <v>0</v>
      </c>
      <c r="TB63" s="20" t="n">
        <f aca="false">IF(B63=0,IF(HU63=1,NH63,NI63),0)</f>
        <v>0</v>
      </c>
      <c r="TC63" s="20" t="n">
        <f aca="false">IF(GL63=1,IF(HU63=1,NO63+NR63,GM63-OU63)*(1+Slot18_Rate),0)</f>
        <v>0</v>
      </c>
      <c r="TD63" s="20" t="n">
        <f aca="false">IF(AND(HU63=1,GL63=1),(NN63+NR63)/F63,0)</f>
        <v>0</v>
      </c>
      <c r="TE63" s="20" t="n">
        <f aca="false">IF(B63=0,NN63+NR63,0)</f>
        <v>0</v>
      </c>
      <c r="TF63" s="20" t="n">
        <f aca="false">IF(B63=0,IF(HU63=1,NP63,NQ63),0)</f>
        <v>0</v>
      </c>
      <c r="TG63" s="20" t="n">
        <f aca="false">IF(GV63=1,IF(HU63=1,NW63+NZ63,GW63-OS63)*(1+Slot19_Rate),0)</f>
        <v>0</v>
      </c>
      <c r="TH63" s="20" t="n">
        <f aca="false">IF(AND(HU63=1,GV63=1),(NV63+NZ63)/F63,0)</f>
        <v>0</v>
      </c>
      <c r="TI63" s="20" t="n">
        <f aca="false">IF(B63=0,NV63+NZ63,0)</f>
        <v>0</v>
      </c>
      <c r="TJ63" s="20" t="n">
        <f aca="false">IF(B63=0,IF(HU63=1,NX63,NY63),0)</f>
        <v>0</v>
      </c>
      <c r="TK63" s="20" t="n">
        <f aca="false">IF(HF63=1,IF(HU63=1,OE63+OH63,HG63-OQ63)*(1+Slot20_Rate),0)</f>
        <v>0</v>
      </c>
      <c r="TL63" s="20" t="n">
        <f aca="false">IF(AND(HU63=1,HF63=1),(OD63+OH63)/F63,0)</f>
        <v>0</v>
      </c>
      <c r="TM63" s="20" t="n">
        <f aca="false">IF(B63=0,OD63+OH63,0)</f>
        <v>0</v>
      </c>
      <c r="TN63" s="20" t="n">
        <f aca="false">IF(B63=0,IF(HU63=1,OF63,OG63),0)</f>
        <v>0</v>
      </c>
      <c r="TO63" s="20" t="n">
        <f aca="false">QK63+QL63+QM63+QQ63+QU63+QY63+RC63+RG63+RK63+RO63+RS63+RW63+SA63+SE63+SI63+SM63+SQ63+SU63+SY63+TC63+TG63+TK63</f>
        <v>0</v>
      </c>
      <c r="TP63" s="20" t="n">
        <f aca="false">QE63+HP63</f>
        <v>28904.9175987733</v>
      </c>
      <c r="TQ63" s="20" t="n">
        <f aca="false">I63+S63</f>
        <v>142048.726170504</v>
      </c>
      <c r="TR63" s="20" t="n">
        <f aca="false">1-G63</f>
        <v>1</v>
      </c>
      <c r="TS63" s="20" t="n">
        <f aca="false">IF(AND(RG_Exists=1,G63=0,C63=1),I63,0)</f>
        <v>142048.726170504</v>
      </c>
      <c r="TT63" s="20" t="n">
        <f aca="false">IF(AND(RG_Exists=1,G63=0,C63=1),I63-MIN(QE63,I63),0)</f>
        <v>113143.808571731</v>
      </c>
      <c r="TU63" s="20" t="n">
        <f aca="false">'Plan pay &amp; tax'!AD289</f>
        <v>65219.8055234412</v>
      </c>
      <c r="TV63" s="20" t="n">
        <f aca="false">IF(AND(C63=1,QE63&gt;MAX(PR_Short1,TQ63*PR_Short2)),1,0)</f>
        <v>1</v>
      </c>
      <c r="TW63" s="20" t="n">
        <f aca="false">MIN(H63,I63+S63)</f>
        <v>113143.808571731</v>
      </c>
      <c r="TX63" s="20" t="n">
        <f aca="false">QF63+MAX(0,HQ63-HP63)</f>
        <v>0</v>
      </c>
      <c r="TY63" s="20" t="n">
        <f aca="false">QE63+HP63</f>
        <v>28904.9175987733</v>
      </c>
      <c r="TZ63" s="20" t="n">
        <f aca="false">IF(AND(C63=1,TY63&gt;PR_MinShort),1,0)</f>
        <v>1</v>
      </c>
      <c r="UA63" s="20" t="n">
        <f aca="false">IF(AND(C63=1,TZ63=0,TX63&gt;PR_MinShort),1,0)</f>
        <v>0</v>
      </c>
      <c r="UB63" s="20" t="n">
        <f aca="false">IF(AND(C63=1,QE63&gt;PR_MinShort),1,0)</f>
        <v>1</v>
      </c>
      <c r="UC63" s="20" t="n">
        <f aca="false">IF(AND(C63=1,QF63&gt;1,UJ63=0),1,0)</f>
        <v>0</v>
      </c>
      <c r="UD63" s="20" t="str">
        <f aca="false">IF(C63=0,"",IF(UJ63=1,"Gap to plan for: short "&amp;"€"&amp;TEXT(ROUND(TP63,0),"#,##0"),IF(QF63&gt;1,"Using savings","Comfortable")))</f>
        <v>Gap to plan for: short €28,905</v>
      </c>
      <c r="UE63" s="20" t="n">
        <f aca="false">IF(AND(INT(D63/10)*10=90,B63&gt;0),80,INT(D63/10)*10)</f>
        <v>80</v>
      </c>
      <c r="UF63" s="20" t="n">
        <f aca="false">IF(B63=0,1,IF(UE63&lt;&gt;UE62,UF62+1,UF62))</f>
        <v>6</v>
      </c>
      <c r="UG63" s="20" t="n">
        <f aca="false">IF(AND(C63=1,G63=1,QE63&gt;MAX(PR_Short1,TQ63*PR_Short2)),1,0)</f>
        <v>0</v>
      </c>
      <c r="UH63" s="20" t="n">
        <f aca="false">TR63*TV63</f>
        <v>1</v>
      </c>
      <c r="UI63" s="20" t="n">
        <f aca="false">IF(AND(V63=1,Slot1_PctLow=1),1,0)+IF(AND(AG63=1,Slot2_PctLow=1),1,0)+IF(AND(AQ63=1,Slot3_PctLow=1),1,0)+IF(AND(BA63=1,Slot4_PctLow=1),1,0)+IF(AND(BK63=1,Slot5_PctLow=1),1,0)+IF(AND(BU63=1,Slot6_PctLow=1),1,0)+IF(AND(CE63=1,Slot7_PctLow=1),1,0)+IF(AND(CO63=1,Slot8_PctLow=1),1,0)+IF(AND(CY63=1,Slot9_PctLow=1),1,0)+IF(AND(DI63=1,Slot10_PctLow=1),1,0)+IF(AND(DS63=1,Slot11_PctLow=1),1,0)+IF(AND(EC63=1,Slot12_PctLow=1),1,0)+IF(AND(EM63=1,Slot13_PctLow=1),1,0)+IF(AND(EW63=1,Slot14_PctLow=1),1,0)+IF(AND(FG63=1,Slot15_PctLow=1),1,0)+IF(AND(FQ63=1,Slot16_PctLow=1),1,0)+IF(AND(GA63=1,Slot17_PctLow=1),1,0)+IF(AND(GK63=1,Slot18_PctLow=1),1,0)+IF(AND(GU63=1,Slot19_PctLow=1),1,0)+IF(AND(HE63=1,Slot20_PctLow=1),1,0)</f>
        <v>0</v>
      </c>
      <c r="UJ63" s="20" t="n">
        <f aca="false">IF(C63=1,IF(OR(TV63=1,UI63&gt;0),1,0),0)</f>
        <v>1</v>
      </c>
      <c r="UK63" s="20" t="n">
        <f aca="false">Z63+AK63+AU63+BE63+BO63+BY63+CI63+CS63+DC63+DM63+DW63+EG63+EQ63+FA63+FK63+FU63+GE63+GO63+GY63+HI63+OM63</f>
        <v>0</v>
      </c>
      <c r="UL63" s="20" t="n">
        <f aca="false">V63*IF(Slot1_SpendLike=1,X63-Y63,IF(Slot1_PotFree=1,X63,0))+AG63*IF(Slot2_SpendLike=1,AI63-AJ63,IF(Slot2_PotFree=1,AI63,0))+AQ63*IF(Slot3_SpendLike=1,AS63-AT63,IF(Slot3_PotFree=1,AS63,0))+BA63*IF(Slot4_SpendLike=1,BC63-BD63,IF(Slot4_PotFree=1,BC63,0))+BK63*IF(Slot5_SpendLike=1,BM63-BN63,IF(Slot5_PotFree=1,BM63,0))+BU63*IF(Slot6_SpendLike=1,BW63-BX63,IF(Slot6_PotFree=1,BW63,0))+CE63*IF(Slot7_SpendLike=1,CG63-CH63,IF(Slot7_PotFree=1,CG63,0))+CO63*IF(Slot8_SpendLike=1,CQ63-CR63,IF(Slot8_PotFree=1,CQ63,0))+CY63*IF(Slot9_SpendLike=1,DA63-DB63,IF(Slot9_PotFree=1,DA63,0))+DI63*IF(Slot10_SpendLike=1,DK63-DL63,IF(Slot10_PotFree=1,DK63,0))+DS63*IF(Slot11_SpendLike=1,DU63-DV63,IF(Slot11_PotFree=1,DU63,0))+EC63*IF(Slot12_SpendLike=1,EE63-EF63,IF(Slot12_PotFree=1,EE63,0))+EM63*IF(Slot13_SpendLike=1,EO63-EP63,IF(Slot13_PotFree=1,EO63,0))+EW63*IF(Slot14_SpendLike=1,EY63-EZ63,IF(Slot14_PotFree=1,EY63,0))+FG63*IF(Slot15_SpendLike=1,FI63-FJ63,IF(Slot15_PotFree=1,FI63,0))+FQ63*IF(Slot16_SpendLike=1,FS63-FT63,IF(Slot16_PotFree=1,FS63,0))+GA63*IF(Slot17_SpendLike=1,GC63-GD63,IF(Slot17_PotFree=1,GC63,0))+GK63*IF(Slot18_SpendLike=1,GM63-GN63,IF(Slot18_PotFree=1,GM63,0))+GU63*IF(Slot19_SpendLike=1,GW63-GX63,IF(Slot19_PotFree=1,GW63,0))+HE63*IF(Slot20_SpendLike=1,HG63-HH63,IF(Slot20_PotFree=1,HG63,0))</f>
        <v>0</v>
      </c>
      <c r="UM63" s="20" t="n">
        <f aca="false">QG63-T63+UK63-UL63</f>
        <v>0</v>
      </c>
      <c r="UN63" s="20" t="n">
        <f aca="false">IF(OR(UN62=1,AND(In_homeUse="Yes, I'd downsize",In_downAge&gt;0,D63=In_downAge,OR(In_home="Own outright",In_home="Own with mortgage"),In_homeValue&gt;0)),1,0)</f>
        <v>0</v>
      </c>
    </row>
    <row r="64" customFormat="false" ht="15" hidden="false" customHeight="true" outlineLevel="0" collapsed="false">
      <c r="B64" s="20" t="n">
        <v>56</v>
      </c>
      <c r="C64" s="20" t="n">
        <f aca="false">IF(B64&lt;=F_N,1,0)</f>
        <v>1</v>
      </c>
      <c r="D64" s="20" t="n">
        <f aca="false">'Plan pay &amp; tax'!C290</f>
        <v>94</v>
      </c>
      <c r="E64" s="20" t="str">
        <f aca="false">IF($C64=1,"Income tax "&amp;TEXT(N('Plan pay &amp; tax'!BK290),"#,##0")&amp;"; USC "&amp;TEXT(N('Plan pay &amp; tax'!BM290)+N('Plan pay &amp; tax'!BO290),"#,##0")&amp;"; PRSI "&amp;TEXT(N('Plan pay &amp; tax'!BP290)+N('Plan pay &amp; tax'!BQ290),"#,##0")&amp;IF(N('Plan holdings'!BO64)&gt;=0.5,"; DIRT "&amp;TEXT(('Plan holdings'!BO64)/$F64,"#,##0")&amp;" (already taken from the interest earned)","")&amp;IF(N('Plan holdings'!BP64)&gt;=0.5,"; exit tax at an 8-year anniversary "&amp;TEXT(('Plan holdings'!BP64)/$F64,"#,##0"),"")&amp;IF(N('Plan holdings'!BN64)&gt;=0.5,"; tax on assets sold (exit tax or capital gains tax) "&amp;TEXT(('Plan holdings'!BN64)/$F64,"#,##0"),"")&amp;IF(N('Plan pay &amp; tax'!X290)-N('Plan pay &amp; tax'!Y290)&gt;=0.5,"; tax on the pension lump sum "&amp;TEXT(('Plan pay &amp; tax'!X290-'Plan pay &amp; tax'!Y290)/$F64,"#,##0"),"")&amp;IF(N('Plan pay &amp; tax'!V290)&gt;=0.5,"; chargeable excess tax on the pension "&amp;TEXT(('Plan pay &amp; tax'!V290)/$F64,"#,##0"),"")&amp;".","")</f>
        <v>Income tax 1,123; USC 0; PRSI 0.</v>
      </c>
      <c r="F64" s="50" t="n">
        <f aca="false">'Plan pay &amp; tax'!E290</f>
        <v>3.03116528648356</v>
      </c>
      <c r="G64" s="20" t="n">
        <f aca="false">'Plan pay &amp; tax'!G290</f>
        <v>0</v>
      </c>
      <c r="H64" s="20" t="n">
        <f aca="false">'Plan pay &amp; tax'!BT290-'Plan pay &amp; tax'!BS290-'Plan pay &amp; tax'!R290</f>
        <v>115697.534094021</v>
      </c>
      <c r="I64" s="20" t="n">
        <f aca="false">IF(G64=1,F_CostsM*12,IF(RG_Exists=1,RG_Amount,F_CostsM*12*AS_RetireSpend))*F64+F_OneOffY*F64</f>
        <v>144889.700693914</v>
      </c>
      <c r="J64" s="20" t="n">
        <f aca="false">IF(UN64=1,0,HR63)</f>
        <v>0</v>
      </c>
      <c r="K64" s="20" t="n">
        <f aca="false">IF(J64&gt;1,'Plan debt months'!AC64,0)</f>
        <v>0</v>
      </c>
      <c r="L64" s="20" t="n">
        <f aca="false">IF(J64&gt;1,'Plan debt months'!AB64,J64)</f>
        <v>0</v>
      </c>
      <c r="M64" s="20" t="n">
        <f aca="false">O63</f>
        <v>0</v>
      </c>
      <c r="N64" s="20" t="n">
        <f aca="false">IF(M64&gt;1,'Plan debt months'!BD64,0)</f>
        <v>0</v>
      </c>
      <c r="O64" s="20" t="n">
        <f aca="false">IF(M64&gt;1,'Plan debt months'!BC64,M64)</f>
        <v>0</v>
      </c>
      <c r="P64" s="20" t="n">
        <f aca="false">R63</f>
        <v>0</v>
      </c>
      <c r="Q64" s="20" t="n">
        <f aca="false">IF(P64&gt;1,'Plan debt months'!CE64,0)</f>
        <v>0</v>
      </c>
      <c r="R64" s="20" t="n">
        <f aca="false">IF(P64&gt;1,'Plan debt months'!CD64,P64)</f>
        <v>0</v>
      </c>
      <c r="S64" s="20" t="n">
        <f aca="false">K64+N64+Q64</f>
        <v>0</v>
      </c>
      <c r="T64" s="57" t="n">
        <f aca="false">'Plan holdings'!Y64</f>
        <v>0</v>
      </c>
      <c r="U64" s="57" t="n">
        <f aca="false">'Plan holdings'!BM63</f>
        <v>0</v>
      </c>
      <c r="V64" s="20" t="n">
        <f aca="false">IF(AND(Slot1_On=1,D64=Slot1_Age),1,0)</f>
        <v>0</v>
      </c>
      <c r="W64" s="20" t="n">
        <f aca="false">IF(AND(Slot1_On=1,Slot1_Age&gt;D64),1,0)</f>
        <v>0</v>
      </c>
      <c r="X64" s="20" t="n">
        <f aca="false">QM63</f>
        <v>0</v>
      </c>
      <c r="Y64" s="20" t="n">
        <f aca="false">V64*MIN(Slot1_Cost,X64)</f>
        <v>0</v>
      </c>
      <c r="Z64" s="20" t="n">
        <f aca="false">V64*Slot1_SpendLike*MIN(Slot1_Cost-Y64,T64)</f>
        <v>0</v>
      </c>
      <c r="AA64" s="20" t="n">
        <f aca="false">Y64+Z64</f>
        <v>0</v>
      </c>
      <c r="AB64" s="20" t="n">
        <f aca="false">T64-Z64+V64*IF(Slot1_SpendLike=1,X64-Y64,IF(Slot1_PotFree=1,X64,0))</f>
        <v>0</v>
      </c>
      <c r="AC64" s="20" t="n">
        <f aca="false">AF64+V64*Slot1_BufPot*X64</f>
        <v>0</v>
      </c>
      <c r="AD64" s="20" t="n">
        <f aca="false">IF(AND(V64=1,Slot1_IsMfree=1),IF(AA64&gt;=Slot1_Cost-1,0,MAX(0,L64-AA64)),L64)</f>
        <v>0</v>
      </c>
      <c r="AE64" s="20" t="n">
        <f aca="false">V64*(Slot1_Cost-AA64)</f>
        <v>0</v>
      </c>
      <c r="AF64" s="20" t="n">
        <f aca="false">QL63</f>
        <v>0</v>
      </c>
      <c r="AG64" s="20" t="n">
        <f aca="false">IF(AND(Slot2_On=1,D64=Slot2_Age),1,0)</f>
        <v>0</v>
      </c>
      <c r="AH64" s="20" t="n">
        <f aca="false">IF(AND(Slot2_On=1,Slot2_Age&gt;D64),1,0)</f>
        <v>0</v>
      </c>
      <c r="AI64" s="20" t="n">
        <f aca="false">QQ63</f>
        <v>0</v>
      </c>
      <c r="AJ64" s="20" t="n">
        <f aca="false">AG64*MIN(Slot2_Cost,AI64)</f>
        <v>0</v>
      </c>
      <c r="AK64" s="20" t="n">
        <f aca="false">AG64*Slot2_SpendLike*MIN(Slot2_Cost-AJ64,AB64)</f>
        <v>0</v>
      </c>
      <c r="AL64" s="20" t="n">
        <f aca="false">AJ64+AK64</f>
        <v>0</v>
      </c>
      <c r="AM64" s="20" t="n">
        <f aca="false">AB64-AK64+AG64*IF(Slot2_SpendLike=1,AI64-AJ64,IF(Slot2_PotFree=1,AI64,0))</f>
        <v>0</v>
      </c>
      <c r="AN64" s="20" t="n">
        <f aca="false">AC64+AG64*Slot2_BufPot*AI64</f>
        <v>0</v>
      </c>
      <c r="AO64" s="20" t="n">
        <f aca="false">IF(AND(AG64=1,Slot2_IsMfree=1),IF(AL64&gt;=Slot2_Cost-1,0,MAX(0,AD64-AL64)),AD64)</f>
        <v>0</v>
      </c>
      <c r="AP64" s="20" t="n">
        <f aca="false">AG64*(Slot2_Cost-AL64)</f>
        <v>0</v>
      </c>
      <c r="AQ64" s="20" t="n">
        <f aca="false">IF(AND(Slot3_On=1,D64=Slot3_Age),1,0)</f>
        <v>0</v>
      </c>
      <c r="AR64" s="20" t="n">
        <f aca="false">IF(AND(Slot3_On=1,Slot3_Age&gt;D64),1,0)</f>
        <v>0</v>
      </c>
      <c r="AS64" s="20" t="n">
        <f aca="false">QU63</f>
        <v>0</v>
      </c>
      <c r="AT64" s="20" t="n">
        <f aca="false">AQ64*MIN(Slot3_Cost,AS64)</f>
        <v>0</v>
      </c>
      <c r="AU64" s="20" t="n">
        <f aca="false">AQ64*Slot3_SpendLike*MIN(Slot3_Cost-AT64,AM64)</f>
        <v>0</v>
      </c>
      <c r="AV64" s="20" t="n">
        <f aca="false">AT64+AU64</f>
        <v>0</v>
      </c>
      <c r="AW64" s="20" t="n">
        <f aca="false">AM64-AU64+AQ64*IF(Slot3_SpendLike=1,AS64-AT64,IF(Slot3_PotFree=1,AS64,0))</f>
        <v>0</v>
      </c>
      <c r="AX64" s="20" t="n">
        <f aca="false">AN64+AQ64*Slot3_BufPot*AS64</f>
        <v>0</v>
      </c>
      <c r="AY64" s="20" t="n">
        <f aca="false">IF(AND(AQ64=1,Slot3_IsMfree=1),IF(AV64&gt;=Slot3_Cost-1,0,MAX(0,AO64-AV64)),AO64)</f>
        <v>0</v>
      </c>
      <c r="AZ64" s="20" t="n">
        <f aca="false">AQ64*(Slot3_Cost-AV64)</f>
        <v>0</v>
      </c>
      <c r="BA64" s="20" t="n">
        <f aca="false">IF(AND(Slot4_On=1,D64=Slot4_Age),1,0)</f>
        <v>0</v>
      </c>
      <c r="BB64" s="20" t="n">
        <f aca="false">IF(AND(Slot4_On=1,Slot4_Age&gt;D64),1,0)</f>
        <v>0</v>
      </c>
      <c r="BC64" s="20" t="n">
        <f aca="false">QY63</f>
        <v>0</v>
      </c>
      <c r="BD64" s="20" t="n">
        <f aca="false">BA64*MIN(Slot4_Cost,BC64)</f>
        <v>0</v>
      </c>
      <c r="BE64" s="20" t="n">
        <f aca="false">BA64*Slot4_SpendLike*MIN(Slot4_Cost-BD64,AW64)</f>
        <v>0</v>
      </c>
      <c r="BF64" s="20" t="n">
        <f aca="false">BD64+BE64</f>
        <v>0</v>
      </c>
      <c r="BG64" s="20" t="n">
        <f aca="false">AW64-BE64+BA64*IF(Slot4_SpendLike=1,BC64-BD64,IF(Slot4_PotFree=1,BC64,0))</f>
        <v>0</v>
      </c>
      <c r="BH64" s="20" t="n">
        <f aca="false">AX64+BA64*Slot4_BufPot*BC64</f>
        <v>0</v>
      </c>
      <c r="BI64" s="20" t="n">
        <f aca="false">IF(AND(BA64=1,Slot4_IsMfree=1),IF(BF64&gt;=Slot4_Cost-1,0,MAX(0,AY64-BF64)),AY64)</f>
        <v>0</v>
      </c>
      <c r="BJ64" s="20" t="n">
        <f aca="false">BA64*(Slot4_Cost-BF64)</f>
        <v>0</v>
      </c>
      <c r="BK64" s="20" t="n">
        <f aca="false">IF(AND(Slot5_On=1,D64=Slot5_Age),1,0)</f>
        <v>0</v>
      </c>
      <c r="BL64" s="20" t="n">
        <f aca="false">IF(AND(Slot5_On=1,Slot5_Age&gt;D64),1,0)</f>
        <v>0</v>
      </c>
      <c r="BM64" s="20" t="n">
        <f aca="false">RC63</f>
        <v>0</v>
      </c>
      <c r="BN64" s="20" t="n">
        <f aca="false">BK64*MIN(Slot5_Cost,BM64)</f>
        <v>0</v>
      </c>
      <c r="BO64" s="20" t="n">
        <f aca="false">BK64*Slot5_SpendLike*MIN(Slot5_Cost-BN64,BG64)</f>
        <v>0</v>
      </c>
      <c r="BP64" s="20" t="n">
        <f aca="false">BN64+BO64</f>
        <v>0</v>
      </c>
      <c r="BQ64" s="20" t="n">
        <f aca="false">BG64-BO64+BK64*IF(Slot5_SpendLike=1,BM64-BN64,IF(Slot5_PotFree=1,BM64,0))</f>
        <v>0</v>
      </c>
      <c r="BR64" s="20" t="n">
        <f aca="false">BH64+BK64*Slot5_BufPot*BM64</f>
        <v>0</v>
      </c>
      <c r="BS64" s="20" t="n">
        <f aca="false">IF(AND(BK64=1,Slot5_IsMfree=1),IF(BP64&gt;=Slot5_Cost-1,0,MAX(0,BI64-BP64)),BI64)</f>
        <v>0</v>
      </c>
      <c r="BT64" s="20" t="n">
        <f aca="false">BK64*(Slot5_Cost-BP64)</f>
        <v>0</v>
      </c>
      <c r="BU64" s="20" t="n">
        <f aca="false">IF(AND(Slot6_On=1,D64=Slot6_Age),1,0)</f>
        <v>0</v>
      </c>
      <c r="BV64" s="20" t="n">
        <f aca="false">IF(AND(Slot6_On=1,Slot6_Age&gt;D64),1,0)</f>
        <v>0</v>
      </c>
      <c r="BW64" s="20" t="n">
        <f aca="false">RG63</f>
        <v>0</v>
      </c>
      <c r="BX64" s="20" t="n">
        <f aca="false">BU64*MIN(Slot6_Cost,BW64)</f>
        <v>0</v>
      </c>
      <c r="BY64" s="20" t="n">
        <f aca="false">BU64*Slot6_SpendLike*MIN(Slot6_Cost-BX64,BQ64)</f>
        <v>0</v>
      </c>
      <c r="BZ64" s="20" t="n">
        <f aca="false">BX64+BY64</f>
        <v>0</v>
      </c>
      <c r="CA64" s="20" t="n">
        <f aca="false">BQ64-BY64+BU64*IF(Slot6_SpendLike=1,BW64-BX64,IF(Slot6_PotFree=1,BW64,0))</f>
        <v>0</v>
      </c>
      <c r="CB64" s="20" t="n">
        <f aca="false">BR64+BU64*Slot6_BufPot*BW64</f>
        <v>0</v>
      </c>
      <c r="CC64" s="20" t="n">
        <f aca="false">IF(AND(BU64=1,Slot6_IsMfree=1),IF(BZ64&gt;=Slot6_Cost-1,0,MAX(0,BS64-BZ64)),BS64)</f>
        <v>0</v>
      </c>
      <c r="CD64" s="20" t="n">
        <f aca="false">BU64*(Slot6_Cost-BZ64)</f>
        <v>0</v>
      </c>
      <c r="CE64" s="20" t="n">
        <f aca="false">IF(AND(Slot7_On=1,D64=Slot7_Age),1,0)</f>
        <v>0</v>
      </c>
      <c r="CF64" s="20" t="n">
        <f aca="false">IF(AND(Slot7_On=1,Slot7_Age&gt;D64),1,0)</f>
        <v>0</v>
      </c>
      <c r="CG64" s="20" t="n">
        <f aca="false">RK63</f>
        <v>0</v>
      </c>
      <c r="CH64" s="20" t="n">
        <f aca="false">CE64*MIN(Slot7_Cost,CG64)</f>
        <v>0</v>
      </c>
      <c r="CI64" s="20" t="n">
        <f aca="false">CE64*Slot7_SpendLike*MIN(Slot7_Cost-CH64,CA64)</f>
        <v>0</v>
      </c>
      <c r="CJ64" s="20" t="n">
        <f aca="false">CH64+CI64</f>
        <v>0</v>
      </c>
      <c r="CK64" s="20" t="n">
        <f aca="false">CA64-CI64+CE64*IF(Slot7_SpendLike=1,CG64-CH64,IF(Slot7_PotFree=1,CG64,0))</f>
        <v>0</v>
      </c>
      <c r="CL64" s="20" t="n">
        <f aca="false">CB64+CE64*Slot7_BufPot*CG64</f>
        <v>0</v>
      </c>
      <c r="CM64" s="20" t="n">
        <f aca="false">IF(AND(CE64=1,Slot7_IsMfree=1),IF(CJ64&gt;=Slot7_Cost-1,0,MAX(0,CC64-CJ64)),CC64)</f>
        <v>0</v>
      </c>
      <c r="CN64" s="20" t="n">
        <f aca="false">CE64*(Slot7_Cost-CJ64)</f>
        <v>0</v>
      </c>
      <c r="CO64" s="20" t="n">
        <f aca="false">IF(AND(Slot8_On=1,D64=Slot8_Age),1,0)</f>
        <v>0</v>
      </c>
      <c r="CP64" s="20" t="n">
        <f aca="false">IF(AND(Slot8_On=1,Slot8_Age&gt;D64),1,0)</f>
        <v>0</v>
      </c>
      <c r="CQ64" s="20" t="n">
        <f aca="false">RO63</f>
        <v>0</v>
      </c>
      <c r="CR64" s="20" t="n">
        <f aca="false">CO64*MIN(Slot8_Cost,CQ64)</f>
        <v>0</v>
      </c>
      <c r="CS64" s="20" t="n">
        <f aca="false">CO64*Slot8_SpendLike*MIN(Slot8_Cost-CR64,CK64)</f>
        <v>0</v>
      </c>
      <c r="CT64" s="20" t="n">
        <f aca="false">CR64+CS64</f>
        <v>0</v>
      </c>
      <c r="CU64" s="20" t="n">
        <f aca="false">CK64-CS64+CO64*IF(Slot8_SpendLike=1,CQ64-CR64,IF(Slot8_PotFree=1,CQ64,0))</f>
        <v>0</v>
      </c>
      <c r="CV64" s="20" t="n">
        <f aca="false">CL64+CO64*Slot8_BufPot*CQ64</f>
        <v>0</v>
      </c>
      <c r="CW64" s="20" t="n">
        <f aca="false">IF(AND(CO64=1,Slot8_IsMfree=1),IF(CT64&gt;=Slot8_Cost-1,0,MAX(0,CM64-CT64)),CM64)</f>
        <v>0</v>
      </c>
      <c r="CX64" s="20" t="n">
        <f aca="false">CO64*(Slot8_Cost-CT64)</f>
        <v>0</v>
      </c>
      <c r="CY64" s="20" t="n">
        <f aca="false">IF(AND(Slot9_On=1,D64=Slot9_Age),1,0)</f>
        <v>0</v>
      </c>
      <c r="CZ64" s="20" t="n">
        <f aca="false">IF(AND(Slot9_On=1,Slot9_Age&gt;D64),1,0)</f>
        <v>0</v>
      </c>
      <c r="DA64" s="20" t="n">
        <f aca="false">RS63</f>
        <v>0</v>
      </c>
      <c r="DB64" s="20" t="n">
        <f aca="false">CY64*MIN(Slot9_Cost,DA64)</f>
        <v>0</v>
      </c>
      <c r="DC64" s="20" t="n">
        <f aca="false">CY64*Slot9_SpendLike*MIN(Slot9_Cost-DB64,CU64)</f>
        <v>0</v>
      </c>
      <c r="DD64" s="20" t="n">
        <f aca="false">DB64+DC64</f>
        <v>0</v>
      </c>
      <c r="DE64" s="20" t="n">
        <f aca="false">CU64-DC64+CY64*IF(Slot9_SpendLike=1,DA64-DB64,IF(Slot9_PotFree=1,DA64,0))</f>
        <v>0</v>
      </c>
      <c r="DF64" s="20" t="n">
        <f aca="false">CV64+CY64*Slot9_BufPot*DA64</f>
        <v>0</v>
      </c>
      <c r="DG64" s="20" t="n">
        <f aca="false">IF(AND(CY64=1,Slot9_IsMfree=1),IF(DD64&gt;=Slot9_Cost-1,0,MAX(0,CW64-DD64)),CW64)</f>
        <v>0</v>
      </c>
      <c r="DH64" s="20" t="n">
        <f aca="false">CY64*(Slot9_Cost-DD64)</f>
        <v>0</v>
      </c>
      <c r="DI64" s="20" t="n">
        <f aca="false">IF(AND(Slot10_On=1,D64=Slot10_Age),1,0)</f>
        <v>0</v>
      </c>
      <c r="DJ64" s="20" t="n">
        <f aca="false">IF(AND(Slot10_On=1,Slot10_Age&gt;D64),1,0)</f>
        <v>0</v>
      </c>
      <c r="DK64" s="20" t="n">
        <f aca="false">RW63</f>
        <v>0</v>
      </c>
      <c r="DL64" s="20" t="n">
        <f aca="false">DI64*MIN(Slot10_Cost,DK64)</f>
        <v>0</v>
      </c>
      <c r="DM64" s="20" t="n">
        <f aca="false">DI64*Slot10_SpendLike*MIN(Slot10_Cost-DL64,DE64)</f>
        <v>0</v>
      </c>
      <c r="DN64" s="20" t="n">
        <f aca="false">DL64+DM64</f>
        <v>0</v>
      </c>
      <c r="DO64" s="20" t="n">
        <f aca="false">DE64-DM64+DI64*IF(Slot10_SpendLike=1,DK64-DL64,IF(Slot10_PotFree=1,DK64,0))</f>
        <v>0</v>
      </c>
      <c r="DP64" s="20" t="n">
        <f aca="false">DF64+DI64*Slot10_BufPot*DK64</f>
        <v>0</v>
      </c>
      <c r="DQ64" s="20" t="n">
        <f aca="false">IF(AND(DI64=1,Slot10_IsMfree=1),IF(DN64&gt;=Slot10_Cost-1,0,MAX(0,DG64-DN64)),DG64)</f>
        <v>0</v>
      </c>
      <c r="DR64" s="20" t="n">
        <f aca="false">DI64*(Slot10_Cost-DN64)</f>
        <v>0</v>
      </c>
      <c r="DS64" s="20" t="n">
        <f aca="false">IF(AND(Slot11_On=1,D64=Slot11_Age),1,0)</f>
        <v>0</v>
      </c>
      <c r="DT64" s="20" t="n">
        <f aca="false">IF(AND(Slot11_On=1,Slot11_Age&gt;D64),1,0)</f>
        <v>0</v>
      </c>
      <c r="DU64" s="20" t="n">
        <f aca="false">SA63</f>
        <v>0</v>
      </c>
      <c r="DV64" s="20" t="n">
        <f aca="false">DS64*MIN(Slot11_Cost,DU64)</f>
        <v>0</v>
      </c>
      <c r="DW64" s="20" t="n">
        <f aca="false">DS64*Slot11_SpendLike*MIN(Slot11_Cost-DV64,DO64)</f>
        <v>0</v>
      </c>
      <c r="DX64" s="20" t="n">
        <f aca="false">DV64+DW64</f>
        <v>0</v>
      </c>
      <c r="DY64" s="20" t="n">
        <f aca="false">DO64-DW64+DS64*IF(Slot11_SpendLike=1,DU64-DV64,IF(Slot11_PotFree=1,DU64,0))</f>
        <v>0</v>
      </c>
      <c r="DZ64" s="20" t="n">
        <f aca="false">DP64+DS64*Slot11_BufPot*DU64</f>
        <v>0</v>
      </c>
      <c r="EA64" s="20" t="n">
        <f aca="false">IF(AND(DS64=1,Slot11_IsMfree=1),IF(DX64&gt;=Slot11_Cost-1,0,MAX(0,DQ64-DX64)),DQ64)</f>
        <v>0</v>
      </c>
      <c r="EB64" s="20" t="n">
        <f aca="false">DS64*(Slot11_Cost-DX64)</f>
        <v>0</v>
      </c>
      <c r="EC64" s="20" t="n">
        <f aca="false">IF(AND(Slot12_On=1,D64=Slot12_Age),1,0)</f>
        <v>0</v>
      </c>
      <c r="ED64" s="20" t="n">
        <f aca="false">IF(AND(Slot12_On=1,Slot12_Age&gt;D64),1,0)</f>
        <v>0</v>
      </c>
      <c r="EE64" s="20" t="n">
        <f aca="false">SE63</f>
        <v>0</v>
      </c>
      <c r="EF64" s="20" t="n">
        <f aca="false">EC64*MIN(Slot12_Cost,EE64)</f>
        <v>0</v>
      </c>
      <c r="EG64" s="20" t="n">
        <f aca="false">EC64*Slot12_SpendLike*MIN(Slot12_Cost-EF64,DY64)</f>
        <v>0</v>
      </c>
      <c r="EH64" s="20" t="n">
        <f aca="false">EF64+EG64</f>
        <v>0</v>
      </c>
      <c r="EI64" s="20" t="n">
        <f aca="false">DY64-EG64+EC64*IF(Slot12_SpendLike=1,EE64-EF64,IF(Slot12_PotFree=1,EE64,0))</f>
        <v>0</v>
      </c>
      <c r="EJ64" s="20" t="n">
        <f aca="false">DZ64+EC64*Slot12_BufPot*EE64</f>
        <v>0</v>
      </c>
      <c r="EK64" s="20" t="n">
        <f aca="false">IF(AND(EC64=1,Slot12_IsMfree=1),IF(EH64&gt;=Slot12_Cost-1,0,MAX(0,EA64-EH64)),EA64)</f>
        <v>0</v>
      </c>
      <c r="EL64" s="20" t="n">
        <f aca="false">EC64*(Slot12_Cost-EH64)</f>
        <v>0</v>
      </c>
      <c r="EM64" s="20" t="n">
        <f aca="false">IF(AND(Slot13_On=1,D64=Slot13_Age),1,0)</f>
        <v>0</v>
      </c>
      <c r="EN64" s="20" t="n">
        <f aca="false">IF(AND(Slot13_On=1,Slot13_Age&gt;D64),1,0)</f>
        <v>0</v>
      </c>
      <c r="EO64" s="20" t="n">
        <f aca="false">SI63</f>
        <v>0</v>
      </c>
      <c r="EP64" s="20" t="n">
        <f aca="false">EM64*MIN(Slot13_Cost,EO64)</f>
        <v>0</v>
      </c>
      <c r="EQ64" s="20" t="n">
        <f aca="false">EM64*Slot13_SpendLike*MIN(Slot13_Cost-EP64,EI64)</f>
        <v>0</v>
      </c>
      <c r="ER64" s="20" t="n">
        <f aca="false">EP64+EQ64</f>
        <v>0</v>
      </c>
      <c r="ES64" s="20" t="n">
        <f aca="false">EI64-EQ64+EM64*IF(Slot13_SpendLike=1,EO64-EP64,IF(Slot13_PotFree=1,EO64,0))</f>
        <v>0</v>
      </c>
      <c r="ET64" s="20" t="n">
        <f aca="false">EJ64+EM64*Slot13_BufPot*EO64</f>
        <v>0</v>
      </c>
      <c r="EU64" s="20" t="n">
        <f aca="false">IF(AND(EM64=1,Slot13_IsMfree=1),IF(ER64&gt;=Slot13_Cost-1,0,MAX(0,EK64-ER64)),EK64)</f>
        <v>0</v>
      </c>
      <c r="EV64" s="20" t="n">
        <f aca="false">EM64*(Slot13_Cost-ER64)</f>
        <v>0</v>
      </c>
      <c r="EW64" s="20" t="n">
        <f aca="false">IF(AND(Slot14_On=1,D64=Slot14_Age),1,0)</f>
        <v>0</v>
      </c>
      <c r="EX64" s="20" t="n">
        <f aca="false">IF(AND(Slot14_On=1,Slot14_Age&gt;D64),1,0)</f>
        <v>0</v>
      </c>
      <c r="EY64" s="20" t="n">
        <f aca="false">SM63</f>
        <v>0</v>
      </c>
      <c r="EZ64" s="20" t="n">
        <f aca="false">EW64*MIN(Slot14_Cost,EY64)</f>
        <v>0</v>
      </c>
      <c r="FA64" s="20" t="n">
        <f aca="false">EW64*Slot14_SpendLike*MIN(Slot14_Cost-EZ64,ES64)</f>
        <v>0</v>
      </c>
      <c r="FB64" s="20" t="n">
        <f aca="false">EZ64+FA64</f>
        <v>0</v>
      </c>
      <c r="FC64" s="20" t="n">
        <f aca="false">ES64-FA64+EW64*IF(Slot14_SpendLike=1,EY64-EZ64,IF(Slot14_PotFree=1,EY64,0))</f>
        <v>0</v>
      </c>
      <c r="FD64" s="20" t="n">
        <f aca="false">ET64+EW64*Slot14_BufPot*EY64</f>
        <v>0</v>
      </c>
      <c r="FE64" s="20" t="n">
        <f aca="false">IF(AND(EW64=1,Slot14_IsMfree=1),IF(FB64&gt;=Slot14_Cost-1,0,MAX(0,EU64-FB64)),EU64)</f>
        <v>0</v>
      </c>
      <c r="FF64" s="20" t="n">
        <f aca="false">EW64*(Slot14_Cost-FB64)</f>
        <v>0</v>
      </c>
      <c r="FG64" s="20" t="n">
        <f aca="false">IF(AND(Slot15_On=1,D64=Slot15_Age),1,0)</f>
        <v>0</v>
      </c>
      <c r="FH64" s="20" t="n">
        <f aca="false">IF(AND(Slot15_On=1,Slot15_Age&gt;D64),1,0)</f>
        <v>0</v>
      </c>
      <c r="FI64" s="20" t="n">
        <f aca="false">SQ63</f>
        <v>0</v>
      </c>
      <c r="FJ64" s="20" t="n">
        <f aca="false">FG64*MIN(Slot15_Cost,FI64)</f>
        <v>0</v>
      </c>
      <c r="FK64" s="20" t="n">
        <f aca="false">FG64*Slot15_SpendLike*MIN(Slot15_Cost-FJ64,FC64)</f>
        <v>0</v>
      </c>
      <c r="FL64" s="20" t="n">
        <f aca="false">FJ64+FK64</f>
        <v>0</v>
      </c>
      <c r="FM64" s="20" t="n">
        <f aca="false">FC64-FK64+FG64*IF(Slot15_SpendLike=1,FI64-FJ64,IF(Slot15_PotFree=1,FI64,0))</f>
        <v>0</v>
      </c>
      <c r="FN64" s="20" t="n">
        <f aca="false">FD64+FG64*Slot15_BufPot*FI64</f>
        <v>0</v>
      </c>
      <c r="FO64" s="20" t="n">
        <f aca="false">IF(AND(FG64=1,Slot15_IsMfree=1),IF(FL64&gt;=Slot15_Cost-1,0,MAX(0,FE64-FL64)),FE64)</f>
        <v>0</v>
      </c>
      <c r="FP64" s="20" t="n">
        <f aca="false">FG64*(Slot15_Cost-FL64)</f>
        <v>0</v>
      </c>
      <c r="FQ64" s="20" t="n">
        <f aca="false">IF(AND(Slot16_On=1,D64=Slot16_Age),1,0)</f>
        <v>0</v>
      </c>
      <c r="FR64" s="20" t="n">
        <f aca="false">IF(AND(Slot16_On=1,Slot16_Age&gt;D64),1,0)</f>
        <v>0</v>
      </c>
      <c r="FS64" s="20" t="n">
        <f aca="false">SU63</f>
        <v>0</v>
      </c>
      <c r="FT64" s="20" t="n">
        <f aca="false">FQ64*MIN(Slot16_Cost,FS64)</f>
        <v>0</v>
      </c>
      <c r="FU64" s="20" t="n">
        <f aca="false">FQ64*Slot16_SpendLike*MIN(Slot16_Cost-FT64,FM64)</f>
        <v>0</v>
      </c>
      <c r="FV64" s="20" t="n">
        <f aca="false">FT64+FU64</f>
        <v>0</v>
      </c>
      <c r="FW64" s="20" t="n">
        <f aca="false">FM64-FU64+FQ64*IF(Slot16_SpendLike=1,FS64-FT64,IF(Slot16_PotFree=1,FS64,0))</f>
        <v>0</v>
      </c>
      <c r="FX64" s="20" t="n">
        <f aca="false">FN64+FQ64*Slot16_BufPot*FS64</f>
        <v>0</v>
      </c>
      <c r="FY64" s="20" t="n">
        <f aca="false">IF(AND(FQ64=1,Slot16_IsMfree=1),IF(FV64&gt;=Slot16_Cost-1,0,MAX(0,FO64-FV64)),FO64)</f>
        <v>0</v>
      </c>
      <c r="FZ64" s="20" t="n">
        <f aca="false">FQ64*(Slot16_Cost-FV64)</f>
        <v>0</v>
      </c>
      <c r="GA64" s="20" t="n">
        <f aca="false">IF(AND(Slot17_On=1,D64=Slot17_Age),1,0)</f>
        <v>0</v>
      </c>
      <c r="GB64" s="20" t="n">
        <f aca="false">IF(AND(Slot17_On=1,Slot17_Age&gt;D64),1,0)</f>
        <v>0</v>
      </c>
      <c r="GC64" s="20" t="n">
        <f aca="false">SY63</f>
        <v>0</v>
      </c>
      <c r="GD64" s="20" t="n">
        <f aca="false">GA64*MIN(Slot17_Cost,GC64)</f>
        <v>0</v>
      </c>
      <c r="GE64" s="20" t="n">
        <f aca="false">GA64*Slot17_SpendLike*MIN(Slot17_Cost-GD64,FW64)</f>
        <v>0</v>
      </c>
      <c r="GF64" s="20" t="n">
        <f aca="false">GD64+GE64</f>
        <v>0</v>
      </c>
      <c r="GG64" s="20" t="n">
        <f aca="false">FW64-GE64+GA64*IF(Slot17_SpendLike=1,GC64-GD64,IF(Slot17_PotFree=1,GC64,0))</f>
        <v>0</v>
      </c>
      <c r="GH64" s="20" t="n">
        <f aca="false">FX64+GA64*Slot17_BufPot*GC64</f>
        <v>0</v>
      </c>
      <c r="GI64" s="20" t="n">
        <f aca="false">IF(AND(GA64=1,Slot17_IsMfree=1),IF(GF64&gt;=Slot17_Cost-1,0,MAX(0,FY64-GF64)),FY64)</f>
        <v>0</v>
      </c>
      <c r="GJ64" s="20" t="n">
        <f aca="false">GA64*(Slot17_Cost-GF64)</f>
        <v>0</v>
      </c>
      <c r="GK64" s="20" t="n">
        <f aca="false">IF(AND(Slot18_On=1,D64=Slot18_Age),1,0)</f>
        <v>0</v>
      </c>
      <c r="GL64" s="20" t="n">
        <f aca="false">IF(AND(Slot18_On=1,Slot18_Age&gt;D64),1,0)</f>
        <v>0</v>
      </c>
      <c r="GM64" s="20" t="n">
        <f aca="false">TC63</f>
        <v>0</v>
      </c>
      <c r="GN64" s="20" t="n">
        <f aca="false">GK64*MIN(Slot18_Cost,GM64)</f>
        <v>0</v>
      </c>
      <c r="GO64" s="20" t="n">
        <f aca="false">GK64*Slot18_SpendLike*MIN(Slot18_Cost-GN64,GG64)</f>
        <v>0</v>
      </c>
      <c r="GP64" s="20" t="n">
        <f aca="false">GN64+GO64</f>
        <v>0</v>
      </c>
      <c r="GQ64" s="20" t="n">
        <f aca="false">GG64-GO64+GK64*IF(Slot18_SpendLike=1,GM64-GN64,IF(Slot18_PotFree=1,GM64,0))</f>
        <v>0</v>
      </c>
      <c r="GR64" s="20" t="n">
        <f aca="false">GH64+GK64*Slot18_BufPot*GM64</f>
        <v>0</v>
      </c>
      <c r="GS64" s="20" t="n">
        <f aca="false">IF(AND(GK64=1,Slot18_IsMfree=1),IF(GP64&gt;=Slot18_Cost-1,0,MAX(0,GI64-GP64)),GI64)</f>
        <v>0</v>
      </c>
      <c r="GT64" s="20" t="n">
        <f aca="false">GK64*(Slot18_Cost-GP64)</f>
        <v>0</v>
      </c>
      <c r="GU64" s="20" t="n">
        <f aca="false">IF(AND(Slot19_On=1,D64=Slot19_Age),1,0)</f>
        <v>0</v>
      </c>
      <c r="GV64" s="20" t="n">
        <f aca="false">IF(AND(Slot19_On=1,Slot19_Age&gt;D64),1,0)</f>
        <v>0</v>
      </c>
      <c r="GW64" s="20" t="n">
        <f aca="false">TG63</f>
        <v>0</v>
      </c>
      <c r="GX64" s="20" t="n">
        <f aca="false">GU64*MIN(Slot19_Cost,GW64)</f>
        <v>0</v>
      </c>
      <c r="GY64" s="20" t="n">
        <f aca="false">GU64*Slot19_SpendLike*MIN(Slot19_Cost-GX64,GQ64)</f>
        <v>0</v>
      </c>
      <c r="GZ64" s="20" t="n">
        <f aca="false">GX64+GY64</f>
        <v>0</v>
      </c>
      <c r="HA64" s="20" t="n">
        <f aca="false">GQ64-GY64+GU64*IF(Slot19_SpendLike=1,GW64-GX64,IF(Slot19_PotFree=1,GW64,0))</f>
        <v>0</v>
      </c>
      <c r="HB64" s="20" t="n">
        <f aca="false">GR64+GU64*Slot19_BufPot*GW64</f>
        <v>0</v>
      </c>
      <c r="HC64" s="20" t="n">
        <f aca="false">IF(AND(GU64=1,Slot19_IsMfree=1),IF(GZ64&gt;=Slot19_Cost-1,0,MAX(0,GS64-GZ64)),GS64)</f>
        <v>0</v>
      </c>
      <c r="HD64" s="20" t="n">
        <f aca="false">GU64*(Slot19_Cost-GZ64)</f>
        <v>0</v>
      </c>
      <c r="HE64" s="20" t="n">
        <f aca="false">IF(AND(Slot20_On=1,D64=Slot20_Age),1,0)</f>
        <v>0</v>
      </c>
      <c r="HF64" s="20" t="n">
        <f aca="false">IF(AND(Slot20_On=1,Slot20_Age&gt;D64),1,0)</f>
        <v>0</v>
      </c>
      <c r="HG64" s="20" t="n">
        <f aca="false">TK63</f>
        <v>0</v>
      </c>
      <c r="HH64" s="20" t="n">
        <f aca="false">HE64*MIN(Slot20_Cost,HG64)</f>
        <v>0</v>
      </c>
      <c r="HI64" s="20" t="n">
        <f aca="false">HE64*Slot20_SpendLike*MIN(Slot20_Cost-HH64,HA64)</f>
        <v>0</v>
      </c>
      <c r="HJ64" s="20" t="n">
        <f aca="false">HH64+HI64</f>
        <v>0</v>
      </c>
      <c r="HK64" s="20" t="n">
        <f aca="false">HA64-HI64+HE64*IF(Slot20_SpendLike=1,HG64-HH64,IF(Slot20_PotFree=1,HG64,0))</f>
        <v>0</v>
      </c>
      <c r="HL64" s="20" t="n">
        <f aca="false">HB64+HE64*Slot20_BufPot*HG64</f>
        <v>0</v>
      </c>
      <c r="HM64" s="20" t="n">
        <f aca="false">IF(AND(HE64=1,Slot20_IsMfree=1),IF(HJ64&gt;=Slot20_Cost-1,0,MAX(0,HC64-HJ64)),HC64)</f>
        <v>0</v>
      </c>
      <c r="HN64" s="20" t="n">
        <f aca="false">HE64*(Slot20_Cost-HJ64)</f>
        <v>0</v>
      </c>
      <c r="HO64" s="20" t="n">
        <f aca="false">V64*Slot1_SpendLike*AA64+AG64*Slot2_SpendLike*AL64+AQ64*Slot3_SpendLike*AV64+BA64*Slot4_SpendLike*BF64+BK64*Slot5_SpendLike*BP64+BU64*Slot6_SpendLike*BZ64+CE64*Slot7_SpendLike*CJ64+CO64*Slot8_SpendLike*CT64+CY64*Slot9_SpendLike*DD64+DI64*Slot10_SpendLike*DN64+DS64*Slot11_SpendLike*DX64+EC64*Slot12_SpendLike*EH64+EM64*Slot13_SpendLike*ER64+EW64*Slot14_SpendLike*FB64+FG64*Slot15_SpendLike*FL64+FQ64*Slot16_SpendLike*FV64+GA64*Slot17_SpendLike*GF64+GK64*Slot18_SpendLike*GP64+GU64*Slot19_SpendLike*GZ64+HE64*Slot20_SpendLike*HJ64</f>
        <v>0</v>
      </c>
      <c r="HP64" s="20" t="n">
        <f aca="false">AE64+AP64+AZ64+BJ64+BT64+CD64+CN64+CX64+DH64+DR64+EB64+EL64+EV64+FF64+FP64+FZ64+GJ64+GT64+HD64+HN64</f>
        <v>0</v>
      </c>
      <c r="HQ64" s="20" t="n">
        <f aca="false">V64*Slot1_Cost+AG64*Slot2_Cost+AQ64*Slot3_Cost+BA64*Slot4_Cost+BK64*Slot5_Cost+BU64*Slot6_Cost+CE64*Slot7_Cost+CO64*Slot8_Cost+CY64*Slot9_Cost+DI64*Slot10_Cost+DS64*Slot11_Cost+EC64*Slot12_Cost+EM64*Slot13_Cost+EW64*Slot14_Cost+FG64*Slot15_Cost+FQ64*Slot16_Cost+GA64*Slot17_Cost+GK64*Slot18_Cost+GU64*Slot19_Cost+HE64*Slot20_Cost</f>
        <v>0</v>
      </c>
      <c r="HR64" s="20" t="n">
        <f aca="false">HM64</f>
        <v>0</v>
      </c>
      <c r="HS64" s="20" t="n">
        <f aca="false">H64-I64-S64</f>
        <v>-29192.1665998929</v>
      </c>
      <c r="HT64" s="20" t="n">
        <f aca="false">IF(B64=0,IF(AND(Has_q6=1,In_q6=4),PR_ShareVaries*(MAX(0,HS64)/12),MIN(IF(Has_q6=1,CHOOSE(In_q6+1,PR_SaveB1,PR_SaveB2,PR_SaveB3,PR_SaveB4,0),AS_NoAnswer),AS_SaveShare*(MAX(0,HS64)/12))),HT63)</f>
        <v>67.3316893520437</v>
      </c>
      <c r="HU64" s="20" t="n">
        <f aca="false">IF(HS64&gt;=0,1,0)</f>
        <v>0</v>
      </c>
      <c r="HV64" s="20" t="n">
        <f aca="false">MAX(0,HS64/12/F64)</f>
        <v>0</v>
      </c>
      <c r="HW64" s="20" t="n">
        <f aca="false">IF(AND(Has_q6=1,In_q6=4),PR_ShareVaries*(HV64),MIN(IF(Has_q6=1,CHOOSE(In_q6+1,PR_SaveB1,PR_SaveB2,PR_SaveB3,PR_SaveB4,0),AS_NoAnswer),AS_SaveShare*(HV64)))</f>
        <v>0</v>
      </c>
      <c r="HX64" s="20" t="n">
        <f aca="false">IF(Has_saveM=1,IF(In_saveUp="Yes",1,IF(In_saveUp="No",0,IF(In_saveM&gt;=HT64-0.5,1,0))),0)</f>
        <v>0</v>
      </c>
      <c r="HY64" s="20" t="n">
        <f aca="false">IF(Has_saveM=1,MIN(HV64,IF(HX64=1,MAX(In_saveM,HW64),MIN(In_saveM,HW64))),HW64)</f>
        <v>0</v>
      </c>
      <c r="HZ64" s="20" t="n">
        <f aca="false">IF(G64=1,HY64*12*F64,0)</f>
        <v>0</v>
      </c>
      <c r="IA64" s="20" t="n">
        <f aca="false">MAX(0,HZ64+IF(AND(WI_Retire=0,WI_M&lt;0,G64=1),WI_M*12*F64,0))</f>
        <v>0</v>
      </c>
      <c r="IB64" s="20" t="n">
        <f aca="false">Slot1_IsWG*W64+Slot2_IsWG*AH64+Slot3_IsWG*AR64+Slot4_IsWG*BB64+Slot5_IsWG*BL64+Slot6_IsWG*BV64+Slot7_IsWG*CF64+Slot8_IsWG*CP64+Slot9_IsWG*CZ64+Slot10_IsWG*DJ64+Slot11_IsWG*DT64+Slot12_IsWG*ED64+Slot13_IsWG*EN64+Slot14_IsWG*EX64+Slot15_IsWG*FH64+Slot16_IsWG*FR64+Slot17_IsWG*GB64+Slot18_IsWG*GL64+Slot19_IsWG*GV64+Slot20_IsWG*HF64</f>
        <v>0</v>
      </c>
      <c r="IC64" s="20" t="n">
        <f aca="false">IF(AND(WI_Retire=0,WI_M&gt;0,G64=1,IB64&gt;=1),WI_M*12*F64,0)</f>
        <v>0</v>
      </c>
      <c r="ID64" s="20" t="n">
        <f aca="false">IF(HU64=1,MIN(IA64,HS64),0)</f>
        <v>0</v>
      </c>
      <c r="IE64" s="20" t="n">
        <f aca="false">IF(HU64=1,MIN(IC64,HS64-ID64),0)</f>
        <v>0</v>
      </c>
      <c r="IF64" s="20" t="n">
        <f aca="false">IF(W64=1,IF(ABS((1+AS_Wage)/(1+Slot1_Rate)-1)&lt;0.000000000001,(Slot1_Age-D64)*(1+Slot1_Rate)^(Slot1_Age-D64),(1+Slot1_Rate)^(Slot1_Age-D64)*(1-((1+AS_Wage)/(1+Slot1_Rate))^(Slot1_Age-D64))/(1-(1+AS_Wage)/(1+Slot1_Rate))),1)</f>
        <v>1</v>
      </c>
      <c r="IG64" s="20" t="n">
        <f aca="false">IF(AND(HU64=1,IE64&gt;0,Slot1_IsWG=1,W64=1),MAX(0,(Slot1_Cost-X64*(1+Slot1_Rate)^(Slot1_Age-D64))/IF64),0)</f>
        <v>0</v>
      </c>
      <c r="IH64" s="20" t="n">
        <f aca="false">IF(AND(HU64=1,IE64&gt;0,Slot1_IsWG=1,W64=1),MIN(IE64,IG64),0)</f>
        <v>0</v>
      </c>
      <c r="II64" s="20" t="n">
        <f aca="false">X64+IH64</f>
        <v>0</v>
      </c>
      <c r="IJ64" s="20" t="n">
        <f aca="false">IF(W64=1,MAX(0,(Slot1_Cost-II64*(1+Slot1_Rate)^(Slot1_Age-D64))/IF64),0)</f>
        <v>0</v>
      </c>
      <c r="IK64" s="20" t="n">
        <f aca="false">IF(W64=1,MAX(0,(Slot1_Cost-X64*(1+Slot1_Rate)^(Slot1_Age-D64))/IF64),0)</f>
        <v>0</v>
      </c>
      <c r="IL64" s="20" t="n">
        <f aca="false">IF(AND(HU64=1,W64=1),MIN(ID64,IJ64),0)</f>
        <v>0</v>
      </c>
      <c r="IM64" s="20" t="n">
        <f aca="false">ID64-IL64</f>
        <v>0</v>
      </c>
      <c r="IN64" s="20" t="n">
        <f aca="false">IF(AH64=1,IF(ABS((1+AS_Wage)/(1+Slot2_Rate)-1)&lt;0.000000000001,(Slot2_Age-D64)*(1+Slot2_Rate)^(Slot2_Age-D64),(1+Slot2_Rate)^(Slot2_Age-D64)*(1-((1+AS_Wage)/(1+Slot2_Rate))^(Slot2_Age-D64))/(1-(1+AS_Wage)/(1+Slot2_Rate))),1)</f>
        <v>1</v>
      </c>
      <c r="IO64" s="20" t="n">
        <f aca="false">IF(AND(HU64=1,IE64&gt;0,Slot2_IsWG=1,AH64=1),MAX(0,(Slot2_Cost-AI64*(1+Slot2_Rate)^(Slot2_Age-D64))/IN64),0)</f>
        <v>0</v>
      </c>
      <c r="IP64" s="20" t="n">
        <f aca="false">IF(AND(HU64=1,IE64&gt;0,Slot2_IsWG=1,AH64=1),MIN(IE64,IO64),0)</f>
        <v>0</v>
      </c>
      <c r="IQ64" s="20" t="n">
        <f aca="false">AI64+IP64</f>
        <v>0</v>
      </c>
      <c r="IR64" s="20" t="n">
        <f aca="false">IF(AH64=1,MAX(0,(Slot2_Cost-IQ64*(1+Slot2_Rate)^(Slot2_Age-D64))/IN64),0)</f>
        <v>0</v>
      </c>
      <c r="IS64" s="20" t="n">
        <f aca="false">IF(AH64=1,MAX(0,(Slot2_Cost-AI64*(1+Slot2_Rate)^(Slot2_Age-D64))/IN64),0)</f>
        <v>0</v>
      </c>
      <c r="IT64" s="20" t="n">
        <f aca="false">IF(AND(HU64=1,AH64=1),MIN(IM64,IR64),0)</f>
        <v>0</v>
      </c>
      <c r="IU64" s="20" t="n">
        <f aca="false">IM64-IT64</f>
        <v>0</v>
      </c>
      <c r="IV64" s="20" t="n">
        <f aca="false">IF(AR64=1,IF(ABS((1+AS_Wage)/(1+Slot3_Rate)-1)&lt;0.000000000001,(Slot3_Age-D64)*(1+Slot3_Rate)^(Slot3_Age-D64),(1+Slot3_Rate)^(Slot3_Age-D64)*(1-((1+AS_Wage)/(1+Slot3_Rate))^(Slot3_Age-D64))/(1-(1+AS_Wage)/(1+Slot3_Rate))),1)</f>
        <v>1</v>
      </c>
      <c r="IW64" s="20" t="n">
        <f aca="false">IF(AND(HU64=1,IE64&gt;0,Slot3_IsWG=1,AR64=1),MAX(0,(Slot3_Cost-AS64*(1+Slot3_Rate)^(Slot3_Age-D64))/IV64),0)</f>
        <v>0</v>
      </c>
      <c r="IX64" s="20" t="n">
        <f aca="false">IF(AND(HU64=1,IE64&gt;0,Slot3_IsWG=1,AR64=1),MIN(IE64,IW64),0)</f>
        <v>0</v>
      </c>
      <c r="IY64" s="20" t="n">
        <f aca="false">AS64+IX64</f>
        <v>0</v>
      </c>
      <c r="IZ64" s="20" t="n">
        <f aca="false">IF(AR64=1,MAX(0,(Slot3_Cost-IY64*(1+Slot3_Rate)^(Slot3_Age-D64))/IV64),0)</f>
        <v>0</v>
      </c>
      <c r="JA64" s="20" t="n">
        <f aca="false">IF(AR64=1,MAX(0,(Slot3_Cost-AS64*(1+Slot3_Rate)^(Slot3_Age-D64))/IV64),0)</f>
        <v>0</v>
      </c>
      <c r="JB64" s="20" t="n">
        <f aca="false">IF(AND(HU64=1,AR64=1),MIN(IU64,IZ64),0)</f>
        <v>0</v>
      </c>
      <c r="JC64" s="20" t="n">
        <f aca="false">IU64-JB64</f>
        <v>0</v>
      </c>
      <c r="JD64" s="20" t="n">
        <f aca="false">IF(BB64=1,IF(ABS((1+AS_Wage)/(1+Slot4_Rate)-1)&lt;0.000000000001,(Slot4_Age-D64)*(1+Slot4_Rate)^(Slot4_Age-D64),(1+Slot4_Rate)^(Slot4_Age-D64)*(1-((1+AS_Wage)/(1+Slot4_Rate))^(Slot4_Age-D64))/(1-(1+AS_Wage)/(1+Slot4_Rate))),1)</f>
        <v>1</v>
      </c>
      <c r="JE64" s="20" t="n">
        <f aca="false">IF(AND(HU64=1,IE64&gt;0,Slot4_IsWG=1,BB64=1),MAX(0,(Slot4_Cost-BC64*(1+Slot4_Rate)^(Slot4_Age-D64))/JD64),0)</f>
        <v>0</v>
      </c>
      <c r="JF64" s="20" t="n">
        <f aca="false">IF(AND(HU64=1,IE64&gt;0,Slot4_IsWG=1,BB64=1),MIN(IE64,JE64),0)</f>
        <v>0</v>
      </c>
      <c r="JG64" s="20" t="n">
        <f aca="false">BC64+JF64</f>
        <v>0</v>
      </c>
      <c r="JH64" s="20" t="n">
        <f aca="false">IF(BB64=1,MAX(0,(Slot4_Cost-JG64*(1+Slot4_Rate)^(Slot4_Age-D64))/JD64),0)</f>
        <v>0</v>
      </c>
      <c r="JI64" s="20" t="n">
        <f aca="false">IF(BB64=1,MAX(0,(Slot4_Cost-BC64*(1+Slot4_Rate)^(Slot4_Age-D64))/JD64),0)</f>
        <v>0</v>
      </c>
      <c r="JJ64" s="20" t="n">
        <f aca="false">IF(AND(HU64=1,BB64=1),MIN(JC64,JH64),0)</f>
        <v>0</v>
      </c>
      <c r="JK64" s="20" t="n">
        <f aca="false">JC64-JJ64</f>
        <v>0</v>
      </c>
      <c r="JL64" s="20" t="n">
        <f aca="false">IF(BL64=1,IF(ABS((1+AS_Wage)/(1+Slot5_Rate)-1)&lt;0.000000000001,(Slot5_Age-D64)*(1+Slot5_Rate)^(Slot5_Age-D64),(1+Slot5_Rate)^(Slot5_Age-D64)*(1-((1+AS_Wage)/(1+Slot5_Rate))^(Slot5_Age-D64))/(1-(1+AS_Wage)/(1+Slot5_Rate))),1)</f>
        <v>1</v>
      </c>
      <c r="JM64" s="20" t="n">
        <f aca="false">IF(AND(HU64=1,IE64&gt;0,Slot5_IsWG=1,BL64=1),MAX(0,(Slot5_Cost-BM64*(1+Slot5_Rate)^(Slot5_Age-D64))/JL64),0)</f>
        <v>0</v>
      </c>
      <c r="JN64" s="20" t="n">
        <f aca="false">IF(AND(HU64=1,IE64&gt;0,Slot5_IsWG=1,BL64=1),MIN(IE64,JM64),0)</f>
        <v>0</v>
      </c>
      <c r="JO64" s="20" t="n">
        <f aca="false">BM64+JN64</f>
        <v>0</v>
      </c>
      <c r="JP64" s="20" t="n">
        <f aca="false">IF(BL64=1,MAX(0,(Slot5_Cost-JO64*(1+Slot5_Rate)^(Slot5_Age-D64))/JL64),0)</f>
        <v>0</v>
      </c>
      <c r="JQ64" s="20" t="n">
        <f aca="false">IF(BL64=1,MAX(0,(Slot5_Cost-BM64*(1+Slot5_Rate)^(Slot5_Age-D64))/JL64),0)</f>
        <v>0</v>
      </c>
      <c r="JR64" s="20" t="n">
        <f aca="false">IF(AND(HU64=1,BL64=1),MIN(JK64,JP64),0)</f>
        <v>0</v>
      </c>
      <c r="JS64" s="20" t="n">
        <f aca="false">JK64-JR64</f>
        <v>0</v>
      </c>
      <c r="JT64" s="20" t="n">
        <f aca="false">IF(BV64=1,IF(ABS((1+AS_Wage)/(1+Slot6_Rate)-1)&lt;0.000000000001,(Slot6_Age-D64)*(1+Slot6_Rate)^(Slot6_Age-D64),(1+Slot6_Rate)^(Slot6_Age-D64)*(1-((1+AS_Wage)/(1+Slot6_Rate))^(Slot6_Age-D64))/(1-(1+AS_Wage)/(1+Slot6_Rate))),1)</f>
        <v>1</v>
      </c>
      <c r="JU64" s="20" t="n">
        <f aca="false">IF(AND(HU64=1,IE64&gt;0,Slot6_IsWG=1,BV64=1),MAX(0,(Slot6_Cost-BW64*(1+Slot6_Rate)^(Slot6_Age-D64))/JT64),0)</f>
        <v>0</v>
      </c>
      <c r="JV64" s="20" t="n">
        <f aca="false">IF(AND(HU64=1,IE64&gt;0,Slot6_IsWG=1,BV64=1),MIN(IE64,JU64),0)</f>
        <v>0</v>
      </c>
      <c r="JW64" s="20" t="n">
        <f aca="false">BW64+JV64</f>
        <v>0</v>
      </c>
      <c r="JX64" s="20" t="n">
        <f aca="false">IF(BV64=1,MAX(0,(Slot6_Cost-JW64*(1+Slot6_Rate)^(Slot6_Age-D64))/JT64),0)</f>
        <v>0</v>
      </c>
      <c r="JY64" s="20" t="n">
        <f aca="false">IF(BV64=1,MAX(0,(Slot6_Cost-BW64*(1+Slot6_Rate)^(Slot6_Age-D64))/JT64),0)</f>
        <v>0</v>
      </c>
      <c r="JZ64" s="20" t="n">
        <f aca="false">IF(AND(HU64=1,BV64=1),MIN(JS64,JX64),0)</f>
        <v>0</v>
      </c>
      <c r="KA64" s="20" t="n">
        <f aca="false">JS64-JZ64</f>
        <v>0</v>
      </c>
      <c r="KB64" s="20" t="n">
        <f aca="false">IF(CF64=1,IF(ABS((1+AS_Wage)/(1+Slot7_Rate)-1)&lt;0.000000000001,(Slot7_Age-D64)*(1+Slot7_Rate)^(Slot7_Age-D64),(1+Slot7_Rate)^(Slot7_Age-D64)*(1-((1+AS_Wage)/(1+Slot7_Rate))^(Slot7_Age-D64))/(1-(1+AS_Wage)/(1+Slot7_Rate))),1)</f>
        <v>1</v>
      </c>
      <c r="KC64" s="20" t="n">
        <f aca="false">IF(AND(HU64=1,IE64&gt;0,Slot7_IsWG=1,CF64=1),MAX(0,(Slot7_Cost-CG64*(1+Slot7_Rate)^(Slot7_Age-D64))/KB64),0)</f>
        <v>0</v>
      </c>
      <c r="KD64" s="20" t="n">
        <f aca="false">IF(AND(HU64=1,IE64&gt;0,Slot7_IsWG=1,CF64=1),MIN(IE64,KC64),0)</f>
        <v>0</v>
      </c>
      <c r="KE64" s="20" t="n">
        <f aca="false">CG64+KD64</f>
        <v>0</v>
      </c>
      <c r="KF64" s="20" t="n">
        <f aca="false">IF(CF64=1,MAX(0,(Slot7_Cost-KE64*(1+Slot7_Rate)^(Slot7_Age-D64))/KB64),0)</f>
        <v>0</v>
      </c>
      <c r="KG64" s="20" t="n">
        <f aca="false">IF(CF64=1,MAX(0,(Slot7_Cost-CG64*(1+Slot7_Rate)^(Slot7_Age-D64))/KB64),0)</f>
        <v>0</v>
      </c>
      <c r="KH64" s="20" t="n">
        <f aca="false">IF(AND(HU64=1,CF64=1),MIN(KA64,KF64),0)</f>
        <v>0</v>
      </c>
      <c r="KI64" s="20" t="n">
        <f aca="false">KA64-KH64</f>
        <v>0</v>
      </c>
      <c r="KJ64" s="20" t="n">
        <f aca="false">IF(CP64=1,IF(ABS((1+AS_Wage)/(1+Slot8_Rate)-1)&lt;0.000000000001,(Slot8_Age-D64)*(1+Slot8_Rate)^(Slot8_Age-D64),(1+Slot8_Rate)^(Slot8_Age-D64)*(1-((1+AS_Wage)/(1+Slot8_Rate))^(Slot8_Age-D64))/(1-(1+AS_Wage)/(1+Slot8_Rate))),1)</f>
        <v>1</v>
      </c>
      <c r="KK64" s="20" t="n">
        <f aca="false">IF(AND(HU64=1,IE64&gt;0,Slot8_IsWG=1,CP64=1),MAX(0,(Slot8_Cost-CQ64*(1+Slot8_Rate)^(Slot8_Age-D64))/KJ64),0)</f>
        <v>0</v>
      </c>
      <c r="KL64" s="20" t="n">
        <f aca="false">IF(AND(HU64=1,IE64&gt;0,Slot8_IsWG=1,CP64=1),MIN(IE64,KK64),0)</f>
        <v>0</v>
      </c>
      <c r="KM64" s="20" t="n">
        <f aca="false">CQ64+KL64</f>
        <v>0</v>
      </c>
      <c r="KN64" s="20" t="n">
        <f aca="false">IF(CP64=1,MAX(0,(Slot8_Cost-KM64*(1+Slot8_Rate)^(Slot8_Age-D64))/KJ64),0)</f>
        <v>0</v>
      </c>
      <c r="KO64" s="20" t="n">
        <f aca="false">IF(CP64=1,MAX(0,(Slot8_Cost-CQ64*(1+Slot8_Rate)^(Slot8_Age-D64))/KJ64),0)</f>
        <v>0</v>
      </c>
      <c r="KP64" s="20" t="n">
        <f aca="false">IF(AND(HU64=1,CP64=1),MIN(KI64,KN64),0)</f>
        <v>0</v>
      </c>
      <c r="KQ64" s="20" t="n">
        <f aca="false">KI64-KP64</f>
        <v>0</v>
      </c>
      <c r="KR64" s="20" t="n">
        <f aca="false">IF(CZ64=1,IF(ABS((1+AS_Wage)/(1+Slot9_Rate)-1)&lt;0.000000000001,(Slot9_Age-D64)*(1+Slot9_Rate)^(Slot9_Age-D64),(1+Slot9_Rate)^(Slot9_Age-D64)*(1-((1+AS_Wage)/(1+Slot9_Rate))^(Slot9_Age-D64))/(1-(1+AS_Wage)/(1+Slot9_Rate))),1)</f>
        <v>1</v>
      </c>
      <c r="KS64" s="20" t="n">
        <f aca="false">IF(AND(HU64=1,IE64&gt;0,Slot9_IsWG=1,CZ64=1),MAX(0,(Slot9_Cost-DA64*(1+Slot9_Rate)^(Slot9_Age-D64))/KR64),0)</f>
        <v>0</v>
      </c>
      <c r="KT64" s="20" t="n">
        <f aca="false">IF(AND(HU64=1,IE64&gt;0,Slot9_IsWG=1,CZ64=1),MIN(IE64,KS64),0)</f>
        <v>0</v>
      </c>
      <c r="KU64" s="20" t="n">
        <f aca="false">DA64+KT64</f>
        <v>0</v>
      </c>
      <c r="KV64" s="20" t="n">
        <f aca="false">IF(CZ64=1,MAX(0,(Slot9_Cost-KU64*(1+Slot9_Rate)^(Slot9_Age-D64))/KR64),0)</f>
        <v>0</v>
      </c>
      <c r="KW64" s="20" t="n">
        <f aca="false">IF(CZ64=1,MAX(0,(Slot9_Cost-DA64*(1+Slot9_Rate)^(Slot9_Age-D64))/KR64),0)</f>
        <v>0</v>
      </c>
      <c r="KX64" s="20" t="n">
        <f aca="false">IF(AND(HU64=1,CZ64=1),MIN(KQ64,KV64),0)</f>
        <v>0</v>
      </c>
      <c r="KY64" s="20" t="n">
        <f aca="false">KQ64-KX64</f>
        <v>0</v>
      </c>
      <c r="KZ64" s="20" t="n">
        <f aca="false">IF(DJ64=1,IF(ABS((1+AS_Wage)/(1+Slot10_Rate)-1)&lt;0.000000000001,(Slot10_Age-D64)*(1+Slot10_Rate)^(Slot10_Age-D64),(1+Slot10_Rate)^(Slot10_Age-D64)*(1-((1+AS_Wage)/(1+Slot10_Rate))^(Slot10_Age-D64))/(1-(1+AS_Wage)/(1+Slot10_Rate))),1)</f>
        <v>1</v>
      </c>
      <c r="LA64" s="20" t="n">
        <f aca="false">IF(AND(HU64=1,IE64&gt;0,Slot10_IsWG=1,DJ64=1),MAX(0,(Slot10_Cost-DK64*(1+Slot10_Rate)^(Slot10_Age-D64))/KZ64),0)</f>
        <v>0</v>
      </c>
      <c r="LB64" s="20" t="n">
        <f aca="false">IF(AND(HU64=1,IE64&gt;0,Slot10_IsWG=1,DJ64=1),MIN(IE64,LA64),0)</f>
        <v>0</v>
      </c>
      <c r="LC64" s="20" t="n">
        <f aca="false">DK64+LB64</f>
        <v>0</v>
      </c>
      <c r="LD64" s="20" t="n">
        <f aca="false">IF(DJ64=1,MAX(0,(Slot10_Cost-LC64*(1+Slot10_Rate)^(Slot10_Age-D64))/KZ64),0)</f>
        <v>0</v>
      </c>
      <c r="LE64" s="20" t="n">
        <f aca="false">IF(DJ64=1,MAX(0,(Slot10_Cost-DK64*(1+Slot10_Rate)^(Slot10_Age-D64))/KZ64),0)</f>
        <v>0</v>
      </c>
      <c r="LF64" s="20" t="n">
        <f aca="false">IF(AND(HU64=1,DJ64=1),MIN(KY64,LD64),0)</f>
        <v>0</v>
      </c>
      <c r="LG64" s="20" t="n">
        <f aca="false">KY64-LF64</f>
        <v>0</v>
      </c>
      <c r="LH64" s="20" t="n">
        <f aca="false">IF(DT64=1,IF(ABS((1+AS_Wage)/(1+Slot11_Rate)-1)&lt;0.000000000001,(Slot11_Age-D64)*(1+Slot11_Rate)^(Slot11_Age-D64),(1+Slot11_Rate)^(Slot11_Age-D64)*(1-((1+AS_Wage)/(1+Slot11_Rate))^(Slot11_Age-D64))/(1-(1+AS_Wage)/(1+Slot11_Rate))),1)</f>
        <v>1</v>
      </c>
      <c r="LI64" s="20" t="n">
        <f aca="false">IF(AND(HU64=1,IE64&gt;0,Slot11_IsWG=1,DT64=1),MAX(0,(Slot11_Cost-DU64*(1+Slot11_Rate)^(Slot11_Age-D64))/LH64),0)</f>
        <v>0</v>
      </c>
      <c r="LJ64" s="20" t="n">
        <f aca="false">IF(AND(HU64=1,IE64&gt;0,Slot11_IsWG=1,DT64=1),MIN(IE64,LI64),0)</f>
        <v>0</v>
      </c>
      <c r="LK64" s="20" t="n">
        <f aca="false">DU64+LJ64</f>
        <v>0</v>
      </c>
      <c r="LL64" s="20" t="n">
        <f aca="false">IF(DT64=1,MAX(0,(Slot11_Cost-LK64*(1+Slot11_Rate)^(Slot11_Age-D64))/LH64),0)</f>
        <v>0</v>
      </c>
      <c r="LM64" s="20" t="n">
        <f aca="false">IF(DT64=1,MAX(0,(Slot11_Cost-DU64*(1+Slot11_Rate)^(Slot11_Age-D64))/LH64),0)</f>
        <v>0</v>
      </c>
      <c r="LN64" s="20" t="n">
        <f aca="false">IF(AND(HU64=1,DT64=1),MIN(LG64,LL64),0)</f>
        <v>0</v>
      </c>
      <c r="LO64" s="20" t="n">
        <f aca="false">LG64-LN64</f>
        <v>0</v>
      </c>
      <c r="LP64" s="20" t="n">
        <f aca="false">IF(ED64=1,IF(ABS((1+AS_Wage)/(1+Slot12_Rate)-1)&lt;0.000000000001,(Slot12_Age-D64)*(1+Slot12_Rate)^(Slot12_Age-D64),(1+Slot12_Rate)^(Slot12_Age-D64)*(1-((1+AS_Wage)/(1+Slot12_Rate))^(Slot12_Age-D64))/(1-(1+AS_Wage)/(1+Slot12_Rate))),1)</f>
        <v>1</v>
      </c>
      <c r="LQ64" s="20" t="n">
        <f aca="false">IF(AND(HU64=1,IE64&gt;0,Slot12_IsWG=1,ED64=1),MAX(0,(Slot12_Cost-EE64*(1+Slot12_Rate)^(Slot12_Age-D64))/LP64),0)</f>
        <v>0</v>
      </c>
      <c r="LR64" s="20" t="n">
        <f aca="false">IF(AND(HU64=1,IE64&gt;0,Slot12_IsWG=1,ED64=1),MIN(IE64,LQ64),0)</f>
        <v>0</v>
      </c>
      <c r="LS64" s="20" t="n">
        <f aca="false">EE64+LR64</f>
        <v>0</v>
      </c>
      <c r="LT64" s="20" t="n">
        <f aca="false">IF(ED64=1,MAX(0,(Slot12_Cost-LS64*(1+Slot12_Rate)^(Slot12_Age-D64))/LP64),0)</f>
        <v>0</v>
      </c>
      <c r="LU64" s="20" t="n">
        <f aca="false">IF(ED64=1,MAX(0,(Slot12_Cost-EE64*(1+Slot12_Rate)^(Slot12_Age-D64))/LP64),0)</f>
        <v>0</v>
      </c>
      <c r="LV64" s="20" t="n">
        <f aca="false">IF(AND(HU64=1,ED64=1),MIN(LO64,LT64),0)</f>
        <v>0</v>
      </c>
      <c r="LW64" s="20" t="n">
        <f aca="false">LO64-LV64</f>
        <v>0</v>
      </c>
      <c r="LX64" s="20" t="n">
        <f aca="false">IF(EN64=1,IF(ABS((1+AS_Wage)/(1+Slot13_Rate)-1)&lt;0.000000000001,(Slot13_Age-D64)*(1+Slot13_Rate)^(Slot13_Age-D64),(1+Slot13_Rate)^(Slot13_Age-D64)*(1-((1+AS_Wage)/(1+Slot13_Rate))^(Slot13_Age-D64))/(1-(1+AS_Wage)/(1+Slot13_Rate))),1)</f>
        <v>1</v>
      </c>
      <c r="LY64" s="20" t="n">
        <f aca="false">IF(AND(HU64=1,IE64&gt;0,Slot13_IsWG=1,EN64=1),MAX(0,(Slot13_Cost-EO64*(1+Slot13_Rate)^(Slot13_Age-D64))/LX64),0)</f>
        <v>0</v>
      </c>
      <c r="LZ64" s="20" t="n">
        <f aca="false">IF(AND(HU64=1,IE64&gt;0,Slot13_IsWG=1,EN64=1),MIN(IE64,LY64),0)</f>
        <v>0</v>
      </c>
      <c r="MA64" s="20" t="n">
        <f aca="false">EO64+LZ64</f>
        <v>0</v>
      </c>
      <c r="MB64" s="20" t="n">
        <f aca="false">IF(EN64=1,MAX(0,(Slot13_Cost-MA64*(1+Slot13_Rate)^(Slot13_Age-D64))/LX64),0)</f>
        <v>0</v>
      </c>
      <c r="MC64" s="20" t="n">
        <f aca="false">IF(EN64=1,MAX(0,(Slot13_Cost-EO64*(1+Slot13_Rate)^(Slot13_Age-D64))/LX64),0)</f>
        <v>0</v>
      </c>
      <c r="MD64" s="20" t="n">
        <f aca="false">IF(AND(HU64=1,EN64=1),MIN(LW64,MB64),0)</f>
        <v>0</v>
      </c>
      <c r="ME64" s="20" t="n">
        <f aca="false">LW64-MD64</f>
        <v>0</v>
      </c>
      <c r="MF64" s="20" t="n">
        <f aca="false">IF(EX64=1,IF(ABS((1+AS_Wage)/(1+Slot14_Rate)-1)&lt;0.000000000001,(Slot14_Age-D64)*(1+Slot14_Rate)^(Slot14_Age-D64),(1+Slot14_Rate)^(Slot14_Age-D64)*(1-((1+AS_Wage)/(1+Slot14_Rate))^(Slot14_Age-D64))/(1-(1+AS_Wage)/(1+Slot14_Rate))),1)</f>
        <v>1</v>
      </c>
      <c r="MG64" s="20" t="n">
        <f aca="false">IF(AND(HU64=1,IE64&gt;0,Slot14_IsWG=1,EX64=1),MAX(0,(Slot14_Cost-EY64*(1+Slot14_Rate)^(Slot14_Age-D64))/MF64),0)</f>
        <v>0</v>
      </c>
      <c r="MH64" s="20" t="n">
        <f aca="false">IF(AND(HU64=1,IE64&gt;0,Slot14_IsWG=1,EX64=1),MIN(IE64,MG64),0)</f>
        <v>0</v>
      </c>
      <c r="MI64" s="20" t="n">
        <f aca="false">EY64+MH64</f>
        <v>0</v>
      </c>
      <c r="MJ64" s="20" t="n">
        <f aca="false">IF(EX64=1,MAX(0,(Slot14_Cost-MI64*(1+Slot14_Rate)^(Slot14_Age-D64))/MF64),0)</f>
        <v>0</v>
      </c>
      <c r="MK64" s="20" t="n">
        <f aca="false">IF(EX64=1,MAX(0,(Slot14_Cost-EY64*(1+Slot14_Rate)^(Slot14_Age-D64))/MF64),0)</f>
        <v>0</v>
      </c>
      <c r="ML64" s="20" t="n">
        <f aca="false">IF(AND(HU64=1,EX64=1),MIN(ME64,MJ64),0)</f>
        <v>0</v>
      </c>
      <c r="MM64" s="20" t="n">
        <f aca="false">ME64-ML64</f>
        <v>0</v>
      </c>
      <c r="MN64" s="20" t="n">
        <f aca="false">IF(FH64=1,IF(ABS((1+AS_Wage)/(1+Slot15_Rate)-1)&lt;0.000000000001,(Slot15_Age-D64)*(1+Slot15_Rate)^(Slot15_Age-D64),(1+Slot15_Rate)^(Slot15_Age-D64)*(1-((1+AS_Wage)/(1+Slot15_Rate))^(Slot15_Age-D64))/(1-(1+AS_Wage)/(1+Slot15_Rate))),1)</f>
        <v>1</v>
      </c>
      <c r="MO64" s="20" t="n">
        <f aca="false">IF(AND(HU64=1,IE64&gt;0,Slot15_IsWG=1,FH64=1),MAX(0,(Slot15_Cost-FI64*(1+Slot15_Rate)^(Slot15_Age-D64))/MN64),0)</f>
        <v>0</v>
      </c>
      <c r="MP64" s="20" t="n">
        <f aca="false">IF(AND(HU64=1,IE64&gt;0,Slot15_IsWG=1,FH64=1),MIN(IE64,MO64),0)</f>
        <v>0</v>
      </c>
      <c r="MQ64" s="20" t="n">
        <f aca="false">FI64+MP64</f>
        <v>0</v>
      </c>
      <c r="MR64" s="20" t="n">
        <f aca="false">IF(FH64=1,MAX(0,(Slot15_Cost-MQ64*(1+Slot15_Rate)^(Slot15_Age-D64))/MN64),0)</f>
        <v>0</v>
      </c>
      <c r="MS64" s="20" t="n">
        <f aca="false">IF(FH64=1,MAX(0,(Slot15_Cost-FI64*(1+Slot15_Rate)^(Slot15_Age-D64))/MN64),0)</f>
        <v>0</v>
      </c>
      <c r="MT64" s="20" t="n">
        <f aca="false">IF(AND(HU64=1,FH64=1),MIN(MM64,MR64),0)</f>
        <v>0</v>
      </c>
      <c r="MU64" s="20" t="n">
        <f aca="false">MM64-MT64</f>
        <v>0</v>
      </c>
      <c r="MV64" s="20" t="n">
        <f aca="false">IF(FR64=1,IF(ABS((1+AS_Wage)/(1+Slot16_Rate)-1)&lt;0.000000000001,(Slot16_Age-D64)*(1+Slot16_Rate)^(Slot16_Age-D64),(1+Slot16_Rate)^(Slot16_Age-D64)*(1-((1+AS_Wage)/(1+Slot16_Rate))^(Slot16_Age-D64))/(1-(1+AS_Wage)/(1+Slot16_Rate))),1)</f>
        <v>1</v>
      </c>
      <c r="MW64" s="20" t="n">
        <f aca="false">IF(AND(HU64=1,IE64&gt;0,Slot16_IsWG=1,FR64=1),MAX(0,(Slot16_Cost-FS64*(1+Slot16_Rate)^(Slot16_Age-D64))/MV64),0)</f>
        <v>0</v>
      </c>
      <c r="MX64" s="20" t="n">
        <f aca="false">IF(AND(HU64=1,IE64&gt;0,Slot16_IsWG=1,FR64=1),MIN(IE64,MW64),0)</f>
        <v>0</v>
      </c>
      <c r="MY64" s="20" t="n">
        <f aca="false">FS64+MX64</f>
        <v>0</v>
      </c>
      <c r="MZ64" s="20" t="n">
        <f aca="false">IF(FR64=1,MAX(0,(Slot16_Cost-MY64*(1+Slot16_Rate)^(Slot16_Age-D64))/MV64),0)</f>
        <v>0</v>
      </c>
      <c r="NA64" s="20" t="n">
        <f aca="false">IF(FR64=1,MAX(0,(Slot16_Cost-FS64*(1+Slot16_Rate)^(Slot16_Age-D64))/MV64),0)</f>
        <v>0</v>
      </c>
      <c r="NB64" s="20" t="n">
        <f aca="false">IF(AND(HU64=1,FR64=1),MIN(MU64,MZ64),0)</f>
        <v>0</v>
      </c>
      <c r="NC64" s="20" t="n">
        <f aca="false">MU64-NB64</f>
        <v>0</v>
      </c>
      <c r="ND64" s="20" t="n">
        <f aca="false">IF(GB64=1,IF(ABS((1+AS_Wage)/(1+Slot17_Rate)-1)&lt;0.000000000001,(Slot17_Age-D64)*(1+Slot17_Rate)^(Slot17_Age-D64),(1+Slot17_Rate)^(Slot17_Age-D64)*(1-((1+AS_Wage)/(1+Slot17_Rate))^(Slot17_Age-D64))/(1-(1+AS_Wage)/(1+Slot17_Rate))),1)</f>
        <v>1</v>
      </c>
      <c r="NE64" s="20" t="n">
        <f aca="false">IF(AND(HU64=1,IE64&gt;0,Slot17_IsWG=1,GB64=1),MAX(0,(Slot17_Cost-GC64*(1+Slot17_Rate)^(Slot17_Age-D64))/ND64),0)</f>
        <v>0</v>
      </c>
      <c r="NF64" s="20" t="n">
        <f aca="false">IF(AND(HU64=1,IE64&gt;0,Slot17_IsWG=1,GB64=1),MIN(IE64,NE64),0)</f>
        <v>0</v>
      </c>
      <c r="NG64" s="20" t="n">
        <f aca="false">GC64+NF64</f>
        <v>0</v>
      </c>
      <c r="NH64" s="20" t="n">
        <f aca="false">IF(GB64=1,MAX(0,(Slot17_Cost-NG64*(1+Slot17_Rate)^(Slot17_Age-D64))/ND64),0)</f>
        <v>0</v>
      </c>
      <c r="NI64" s="20" t="n">
        <f aca="false">IF(GB64=1,MAX(0,(Slot17_Cost-GC64*(1+Slot17_Rate)^(Slot17_Age-D64))/ND64),0)</f>
        <v>0</v>
      </c>
      <c r="NJ64" s="20" t="n">
        <f aca="false">IF(AND(HU64=1,GB64=1),MIN(NC64,NH64),0)</f>
        <v>0</v>
      </c>
      <c r="NK64" s="20" t="n">
        <f aca="false">NC64-NJ64</f>
        <v>0</v>
      </c>
      <c r="NL64" s="20" t="n">
        <f aca="false">IF(GL64=1,IF(ABS((1+AS_Wage)/(1+Slot18_Rate)-1)&lt;0.000000000001,(Slot18_Age-D64)*(1+Slot18_Rate)^(Slot18_Age-D64),(1+Slot18_Rate)^(Slot18_Age-D64)*(1-((1+AS_Wage)/(1+Slot18_Rate))^(Slot18_Age-D64))/(1-(1+AS_Wage)/(1+Slot18_Rate))),1)</f>
        <v>1</v>
      </c>
      <c r="NM64" s="20" t="n">
        <f aca="false">IF(AND(HU64=1,IE64&gt;0,Slot18_IsWG=1,GL64=1),MAX(0,(Slot18_Cost-GM64*(1+Slot18_Rate)^(Slot18_Age-D64))/NL64),0)</f>
        <v>0</v>
      </c>
      <c r="NN64" s="20" t="n">
        <f aca="false">IF(AND(HU64=1,IE64&gt;0,Slot18_IsWG=1,GL64=1),MIN(IE64,NM64),0)</f>
        <v>0</v>
      </c>
      <c r="NO64" s="20" t="n">
        <f aca="false">GM64+NN64</f>
        <v>0</v>
      </c>
      <c r="NP64" s="20" t="n">
        <f aca="false">IF(GL64=1,MAX(0,(Slot18_Cost-NO64*(1+Slot18_Rate)^(Slot18_Age-D64))/NL64),0)</f>
        <v>0</v>
      </c>
      <c r="NQ64" s="20" t="n">
        <f aca="false">IF(GL64=1,MAX(0,(Slot18_Cost-GM64*(1+Slot18_Rate)^(Slot18_Age-D64))/NL64),0)</f>
        <v>0</v>
      </c>
      <c r="NR64" s="20" t="n">
        <f aca="false">IF(AND(HU64=1,GL64=1),MIN(NK64,NP64),0)</f>
        <v>0</v>
      </c>
      <c r="NS64" s="20" t="n">
        <f aca="false">NK64-NR64</f>
        <v>0</v>
      </c>
      <c r="NT64" s="20" t="n">
        <f aca="false">IF(GV64=1,IF(ABS((1+AS_Wage)/(1+Slot19_Rate)-1)&lt;0.000000000001,(Slot19_Age-D64)*(1+Slot19_Rate)^(Slot19_Age-D64),(1+Slot19_Rate)^(Slot19_Age-D64)*(1-((1+AS_Wage)/(1+Slot19_Rate))^(Slot19_Age-D64))/(1-(1+AS_Wage)/(1+Slot19_Rate))),1)</f>
        <v>1</v>
      </c>
      <c r="NU64" s="20" t="n">
        <f aca="false">IF(AND(HU64=1,IE64&gt;0,Slot19_IsWG=1,GV64=1),MAX(0,(Slot19_Cost-GW64*(1+Slot19_Rate)^(Slot19_Age-D64))/NT64),0)</f>
        <v>0</v>
      </c>
      <c r="NV64" s="20" t="n">
        <f aca="false">IF(AND(HU64=1,IE64&gt;0,Slot19_IsWG=1,GV64=1),MIN(IE64,NU64),0)</f>
        <v>0</v>
      </c>
      <c r="NW64" s="20" t="n">
        <f aca="false">GW64+NV64</f>
        <v>0</v>
      </c>
      <c r="NX64" s="20" t="n">
        <f aca="false">IF(GV64=1,MAX(0,(Slot19_Cost-NW64*(1+Slot19_Rate)^(Slot19_Age-D64))/NT64),0)</f>
        <v>0</v>
      </c>
      <c r="NY64" s="20" t="n">
        <f aca="false">IF(GV64=1,MAX(0,(Slot19_Cost-GW64*(1+Slot19_Rate)^(Slot19_Age-D64))/NT64),0)</f>
        <v>0</v>
      </c>
      <c r="NZ64" s="20" t="n">
        <f aca="false">IF(AND(HU64=1,GV64=1),MIN(NS64,NX64),0)</f>
        <v>0</v>
      </c>
      <c r="OA64" s="20" t="n">
        <f aca="false">NS64-NZ64</f>
        <v>0</v>
      </c>
      <c r="OB64" s="20" t="n">
        <f aca="false">IF(HF64=1,IF(ABS((1+AS_Wage)/(1+Slot20_Rate)-1)&lt;0.000000000001,(Slot20_Age-D64)*(1+Slot20_Rate)^(Slot20_Age-D64),(1+Slot20_Rate)^(Slot20_Age-D64)*(1-((1+AS_Wage)/(1+Slot20_Rate))^(Slot20_Age-D64))/(1-(1+AS_Wage)/(1+Slot20_Rate))),1)</f>
        <v>1</v>
      </c>
      <c r="OC64" s="20" t="n">
        <f aca="false">IF(AND(HU64=1,IE64&gt;0,Slot20_IsWG=1,HF64=1),MAX(0,(Slot20_Cost-HG64*(1+Slot20_Rate)^(Slot20_Age-D64))/OB64),0)</f>
        <v>0</v>
      </c>
      <c r="OD64" s="20" t="n">
        <f aca="false">IF(AND(HU64=1,IE64&gt;0,Slot20_IsWG=1,HF64=1),MIN(IE64,OC64),0)</f>
        <v>0</v>
      </c>
      <c r="OE64" s="20" t="n">
        <f aca="false">HG64+OD64</f>
        <v>0</v>
      </c>
      <c r="OF64" s="20" t="n">
        <f aca="false">IF(HF64=1,MAX(0,(Slot20_Cost-OE64*(1+Slot20_Rate)^(Slot20_Age-D64))/OB64),0)</f>
        <v>0</v>
      </c>
      <c r="OG64" s="20" t="n">
        <f aca="false">IF(HF64=1,MAX(0,(Slot20_Cost-HG64*(1+Slot20_Rate)^(Slot20_Age-D64))/OB64),0)</f>
        <v>0</v>
      </c>
      <c r="OH64" s="20" t="n">
        <f aca="false">IF(AND(HU64=1,HF64=1),MIN(OA64,OF64),0)</f>
        <v>0</v>
      </c>
      <c r="OI64" s="20" t="n">
        <f aca="false">OA64-OH64</f>
        <v>0</v>
      </c>
      <c r="OJ64" s="20" t="n">
        <f aca="false">IE64-(IH64+IP64+IX64+JF64+JN64+JV64+KD64+KL64+KT64+LB64+LJ64+LR64+LZ64+MH64+MP64+MX64+NF64+NN64+NV64+OD64)</f>
        <v>0</v>
      </c>
      <c r="OK64" s="20" t="n">
        <f aca="false">IF(HU64=1,HS64-ID64-IE64,0)</f>
        <v>0</v>
      </c>
      <c r="OL64" s="20" t="n">
        <f aca="false">IF(HU64=0,-HS64,0)</f>
        <v>29192.1665998929</v>
      </c>
      <c r="OM64" s="20" t="n">
        <f aca="false">MIN(OL64,HK64)</f>
        <v>0</v>
      </c>
      <c r="ON64" s="20" t="n">
        <f aca="false">OL64-OM64</f>
        <v>29192.1665998929</v>
      </c>
      <c r="OO64" s="20" t="n">
        <f aca="false">MIN(ON64,HL64)</f>
        <v>0</v>
      </c>
      <c r="OP64" s="20" t="n">
        <f aca="false">ON64-OO64</f>
        <v>29192.1665998929</v>
      </c>
      <c r="OQ64" s="20" t="n">
        <f aca="false">IF(AND(HU64=0,HF64=1,OP64&gt;0),MIN(OP64,HG64),0)</f>
        <v>0</v>
      </c>
      <c r="OR64" s="20" t="n">
        <f aca="false">OP64-OQ64</f>
        <v>29192.1665998929</v>
      </c>
      <c r="OS64" s="20" t="n">
        <f aca="false">IF(AND(HU64=0,GV64=1,OR64&gt;0),MIN(OR64,GW64),0)</f>
        <v>0</v>
      </c>
      <c r="OT64" s="20" t="n">
        <f aca="false">OR64-OS64</f>
        <v>29192.1665998929</v>
      </c>
      <c r="OU64" s="20" t="n">
        <f aca="false">IF(AND(HU64=0,GL64=1,OT64&gt;0),MIN(OT64,GM64),0)</f>
        <v>0</v>
      </c>
      <c r="OV64" s="20" t="n">
        <f aca="false">OT64-OU64</f>
        <v>29192.1665998929</v>
      </c>
      <c r="OW64" s="20" t="n">
        <f aca="false">IF(AND(HU64=0,GB64=1,OV64&gt;0),MIN(OV64,GC64),0)</f>
        <v>0</v>
      </c>
      <c r="OX64" s="20" t="n">
        <f aca="false">OV64-OW64</f>
        <v>29192.1665998929</v>
      </c>
      <c r="OY64" s="20" t="n">
        <f aca="false">IF(AND(HU64=0,FR64=1,OX64&gt;0),MIN(OX64,FS64),0)</f>
        <v>0</v>
      </c>
      <c r="OZ64" s="20" t="n">
        <f aca="false">OX64-OY64</f>
        <v>29192.1665998929</v>
      </c>
      <c r="PA64" s="20" t="n">
        <f aca="false">IF(AND(HU64=0,FH64=1,OZ64&gt;0),MIN(OZ64,FI64),0)</f>
        <v>0</v>
      </c>
      <c r="PB64" s="20" t="n">
        <f aca="false">OZ64-PA64</f>
        <v>29192.1665998929</v>
      </c>
      <c r="PC64" s="20" t="n">
        <f aca="false">IF(AND(HU64=0,EX64=1,PB64&gt;0),MIN(PB64,EY64),0)</f>
        <v>0</v>
      </c>
      <c r="PD64" s="20" t="n">
        <f aca="false">PB64-PC64</f>
        <v>29192.1665998929</v>
      </c>
      <c r="PE64" s="20" t="n">
        <f aca="false">IF(AND(HU64=0,EN64=1,PD64&gt;0),MIN(PD64,EO64),0)</f>
        <v>0</v>
      </c>
      <c r="PF64" s="20" t="n">
        <f aca="false">PD64-PE64</f>
        <v>29192.1665998929</v>
      </c>
      <c r="PG64" s="20" t="n">
        <f aca="false">IF(AND(HU64=0,ED64=1,PF64&gt;0),MIN(PF64,EE64),0)</f>
        <v>0</v>
      </c>
      <c r="PH64" s="20" t="n">
        <f aca="false">PF64-PG64</f>
        <v>29192.1665998929</v>
      </c>
      <c r="PI64" s="20" t="n">
        <f aca="false">IF(AND(HU64=0,DT64=1,PH64&gt;0),MIN(PH64,DU64),0)</f>
        <v>0</v>
      </c>
      <c r="PJ64" s="20" t="n">
        <f aca="false">PH64-PI64</f>
        <v>29192.1665998929</v>
      </c>
      <c r="PK64" s="20" t="n">
        <f aca="false">IF(AND(HU64=0,DJ64=1,PJ64&gt;0),MIN(PJ64,DK64),0)</f>
        <v>0</v>
      </c>
      <c r="PL64" s="20" t="n">
        <f aca="false">PJ64-PK64</f>
        <v>29192.1665998929</v>
      </c>
      <c r="PM64" s="20" t="n">
        <f aca="false">IF(AND(HU64=0,CZ64=1,PL64&gt;0),MIN(PL64,DA64),0)</f>
        <v>0</v>
      </c>
      <c r="PN64" s="20" t="n">
        <f aca="false">PL64-PM64</f>
        <v>29192.1665998929</v>
      </c>
      <c r="PO64" s="20" t="n">
        <f aca="false">IF(AND(HU64=0,CP64=1,PN64&gt;0),MIN(PN64,CQ64),0)</f>
        <v>0</v>
      </c>
      <c r="PP64" s="20" t="n">
        <f aca="false">PN64-PO64</f>
        <v>29192.1665998929</v>
      </c>
      <c r="PQ64" s="20" t="n">
        <f aca="false">IF(AND(HU64=0,CF64=1,PP64&gt;0),MIN(PP64,CG64),0)</f>
        <v>0</v>
      </c>
      <c r="PR64" s="20" t="n">
        <f aca="false">PP64-PQ64</f>
        <v>29192.1665998929</v>
      </c>
      <c r="PS64" s="20" t="n">
        <f aca="false">IF(AND(HU64=0,BV64=1,PR64&gt;0),MIN(PR64,BW64),0)</f>
        <v>0</v>
      </c>
      <c r="PT64" s="20" t="n">
        <f aca="false">PR64-PS64</f>
        <v>29192.1665998929</v>
      </c>
      <c r="PU64" s="20" t="n">
        <f aca="false">IF(AND(HU64=0,BL64=1,PT64&gt;0),MIN(PT64,BM64),0)</f>
        <v>0</v>
      </c>
      <c r="PV64" s="20" t="n">
        <f aca="false">PT64-PU64</f>
        <v>29192.1665998929</v>
      </c>
      <c r="PW64" s="20" t="n">
        <f aca="false">IF(AND(HU64=0,BB64=1,PV64&gt;0),MIN(PV64,BC64),0)</f>
        <v>0</v>
      </c>
      <c r="PX64" s="20" t="n">
        <f aca="false">PV64-PW64</f>
        <v>29192.1665998929</v>
      </c>
      <c r="PY64" s="20" t="n">
        <f aca="false">IF(AND(HU64=0,AR64=1,PX64&gt;0),MIN(PX64,AS64),0)</f>
        <v>0</v>
      </c>
      <c r="PZ64" s="20" t="n">
        <f aca="false">PX64-PY64</f>
        <v>29192.1665998929</v>
      </c>
      <c r="QA64" s="20" t="n">
        <f aca="false">IF(AND(HU64=0,AH64=1,PZ64&gt;0),MIN(PZ64,AI64),0)</f>
        <v>0</v>
      </c>
      <c r="QB64" s="20" t="n">
        <f aca="false">PZ64-QA64</f>
        <v>29192.1665998929</v>
      </c>
      <c r="QC64" s="20" t="n">
        <f aca="false">IF(AND(HU64=0,W64=1,QB64&gt;0),MIN(QB64,X64),0)</f>
        <v>0</v>
      </c>
      <c r="QD64" s="20" t="n">
        <f aca="false">QB64-QC64</f>
        <v>29192.1665998929</v>
      </c>
      <c r="QE64" s="20" t="n">
        <f aca="false">IF(HU64=0,QD64,0)</f>
        <v>29192.1665998929</v>
      </c>
      <c r="QF64" s="20" t="n">
        <f aca="false">OM64+OO64+QC64+QA64+PY64+PW64+PU64+PS64+PQ64+PO64+PM64+PK64+PI64+PG64+PE64+PC64+PA64+OY64+OW64+OU64+OS64+OQ64</f>
        <v>0</v>
      </c>
      <c r="QG64" s="20" t="n">
        <f aca="false">IF(HU64=1,HK64+OJ64+OI64+IF(G64=1,0,OK64),HK64-OM64)</f>
        <v>0</v>
      </c>
      <c r="QH64" s="20" t="n">
        <f aca="false">HL64-OO64</f>
        <v>0</v>
      </c>
      <c r="QI64" s="20" t="n">
        <f aca="false">IF(HU64=1,IF(G64=1,ID64+IE64,HS64),0)</f>
        <v>0</v>
      </c>
      <c r="QJ64" s="20" t="n">
        <f aca="false">IF(HU64=1,IF(G64=1,HS64-ID64-IE64,0),0)</f>
        <v>0</v>
      </c>
      <c r="QK64" s="57" t="n">
        <f aca="false">'Plan holdings'!BM64</f>
        <v>0</v>
      </c>
      <c r="QL64" s="20" t="n">
        <f aca="false">QH64*(1+AS_Cash)</f>
        <v>0</v>
      </c>
      <c r="QM64" s="20" t="n">
        <f aca="false">IF(W64=1,IF(HU64=1,II64+IL64,X64-QC64)*(1+Slot1_Rate),0)</f>
        <v>0</v>
      </c>
      <c r="QN64" s="20" t="n">
        <f aca="false">IF(AND(HU64=1,W64=1),(IH64+IL64)/F64,0)</f>
        <v>0</v>
      </c>
      <c r="QO64" s="20" t="n">
        <f aca="false">IF(B64=0,IH64+IL64,0)</f>
        <v>0</v>
      </c>
      <c r="QP64" s="20" t="n">
        <f aca="false">IF(B64=0,IF(HU64=1,IJ64,IK64),0)</f>
        <v>0</v>
      </c>
      <c r="QQ64" s="20" t="n">
        <f aca="false">IF(AH64=1,IF(HU64=1,IQ64+IT64,AI64-QA64)*(1+Slot2_Rate),0)</f>
        <v>0</v>
      </c>
      <c r="QR64" s="20" t="n">
        <f aca="false">IF(AND(HU64=1,AH64=1),(IP64+IT64)/F64,0)</f>
        <v>0</v>
      </c>
      <c r="QS64" s="20" t="n">
        <f aca="false">IF(B64=0,IP64+IT64,0)</f>
        <v>0</v>
      </c>
      <c r="QT64" s="20" t="n">
        <f aca="false">IF(B64=0,IF(HU64=1,IR64,IS64),0)</f>
        <v>0</v>
      </c>
      <c r="QU64" s="20" t="n">
        <f aca="false">IF(AR64=1,IF(HU64=1,IY64+JB64,AS64-PY64)*(1+Slot3_Rate),0)</f>
        <v>0</v>
      </c>
      <c r="QV64" s="20" t="n">
        <f aca="false">IF(AND(HU64=1,AR64=1),(IX64+JB64)/F64,0)</f>
        <v>0</v>
      </c>
      <c r="QW64" s="20" t="n">
        <f aca="false">IF(B64=0,IX64+JB64,0)</f>
        <v>0</v>
      </c>
      <c r="QX64" s="20" t="n">
        <f aca="false">IF(B64=0,IF(HU64=1,IZ64,JA64),0)</f>
        <v>0</v>
      </c>
      <c r="QY64" s="20" t="n">
        <f aca="false">IF(BB64=1,IF(HU64=1,JG64+JJ64,BC64-PW64)*(1+Slot4_Rate),0)</f>
        <v>0</v>
      </c>
      <c r="QZ64" s="20" t="n">
        <f aca="false">IF(AND(HU64=1,BB64=1),(JF64+JJ64)/F64,0)</f>
        <v>0</v>
      </c>
      <c r="RA64" s="20" t="n">
        <f aca="false">IF(B64=0,JF64+JJ64,0)</f>
        <v>0</v>
      </c>
      <c r="RB64" s="20" t="n">
        <f aca="false">IF(B64=0,IF(HU64=1,JH64,JI64),0)</f>
        <v>0</v>
      </c>
      <c r="RC64" s="20" t="n">
        <f aca="false">IF(BL64=1,IF(HU64=1,JO64+JR64,BM64-PU64)*(1+Slot5_Rate),0)</f>
        <v>0</v>
      </c>
      <c r="RD64" s="20" t="n">
        <f aca="false">IF(AND(HU64=1,BL64=1),(JN64+JR64)/F64,0)</f>
        <v>0</v>
      </c>
      <c r="RE64" s="20" t="n">
        <f aca="false">IF(B64=0,JN64+JR64,0)</f>
        <v>0</v>
      </c>
      <c r="RF64" s="20" t="n">
        <f aca="false">IF(B64=0,IF(HU64=1,JP64,JQ64),0)</f>
        <v>0</v>
      </c>
      <c r="RG64" s="20" t="n">
        <f aca="false">IF(BV64=1,IF(HU64=1,JW64+JZ64,BW64-PS64)*(1+Slot6_Rate),0)</f>
        <v>0</v>
      </c>
      <c r="RH64" s="20" t="n">
        <f aca="false">IF(AND(HU64=1,BV64=1),(JV64+JZ64)/F64,0)</f>
        <v>0</v>
      </c>
      <c r="RI64" s="20" t="n">
        <f aca="false">IF(B64=0,JV64+JZ64,0)</f>
        <v>0</v>
      </c>
      <c r="RJ64" s="20" t="n">
        <f aca="false">IF(B64=0,IF(HU64=1,JX64,JY64),0)</f>
        <v>0</v>
      </c>
      <c r="RK64" s="20" t="n">
        <f aca="false">IF(CF64=1,IF(HU64=1,KE64+KH64,CG64-PQ64)*(1+Slot7_Rate),0)</f>
        <v>0</v>
      </c>
      <c r="RL64" s="20" t="n">
        <f aca="false">IF(AND(HU64=1,CF64=1),(KD64+KH64)/F64,0)</f>
        <v>0</v>
      </c>
      <c r="RM64" s="20" t="n">
        <f aca="false">IF(B64=0,KD64+KH64,0)</f>
        <v>0</v>
      </c>
      <c r="RN64" s="20" t="n">
        <f aca="false">IF(B64=0,IF(HU64=1,KF64,KG64),0)</f>
        <v>0</v>
      </c>
      <c r="RO64" s="20" t="n">
        <f aca="false">IF(CP64=1,IF(HU64=1,KM64+KP64,CQ64-PO64)*(1+Slot8_Rate),0)</f>
        <v>0</v>
      </c>
      <c r="RP64" s="20" t="n">
        <f aca="false">IF(AND(HU64=1,CP64=1),(KL64+KP64)/F64,0)</f>
        <v>0</v>
      </c>
      <c r="RQ64" s="20" t="n">
        <f aca="false">IF(B64=0,KL64+KP64,0)</f>
        <v>0</v>
      </c>
      <c r="RR64" s="20" t="n">
        <f aca="false">IF(B64=0,IF(HU64=1,KN64,KO64),0)</f>
        <v>0</v>
      </c>
      <c r="RS64" s="20" t="n">
        <f aca="false">IF(CZ64=1,IF(HU64=1,KU64+KX64,DA64-PM64)*(1+Slot9_Rate),0)</f>
        <v>0</v>
      </c>
      <c r="RT64" s="20" t="n">
        <f aca="false">IF(AND(HU64=1,CZ64=1),(KT64+KX64)/F64,0)</f>
        <v>0</v>
      </c>
      <c r="RU64" s="20" t="n">
        <f aca="false">IF(B64=0,KT64+KX64,0)</f>
        <v>0</v>
      </c>
      <c r="RV64" s="20" t="n">
        <f aca="false">IF(B64=0,IF(HU64=1,KV64,KW64),0)</f>
        <v>0</v>
      </c>
      <c r="RW64" s="20" t="n">
        <f aca="false">IF(DJ64=1,IF(HU64=1,LC64+LF64,DK64-PK64)*(1+Slot10_Rate),0)</f>
        <v>0</v>
      </c>
      <c r="RX64" s="20" t="n">
        <f aca="false">IF(AND(HU64=1,DJ64=1),(LB64+LF64)/F64,0)</f>
        <v>0</v>
      </c>
      <c r="RY64" s="20" t="n">
        <f aca="false">IF(B64=0,LB64+LF64,0)</f>
        <v>0</v>
      </c>
      <c r="RZ64" s="20" t="n">
        <f aca="false">IF(B64=0,IF(HU64=1,LD64,LE64),0)</f>
        <v>0</v>
      </c>
      <c r="SA64" s="20" t="n">
        <f aca="false">IF(DT64=1,IF(HU64=1,LK64+LN64,DU64-PI64)*(1+Slot11_Rate),0)</f>
        <v>0</v>
      </c>
      <c r="SB64" s="20" t="n">
        <f aca="false">IF(AND(HU64=1,DT64=1),(LJ64+LN64)/F64,0)</f>
        <v>0</v>
      </c>
      <c r="SC64" s="20" t="n">
        <f aca="false">IF(B64=0,LJ64+LN64,0)</f>
        <v>0</v>
      </c>
      <c r="SD64" s="20" t="n">
        <f aca="false">IF(B64=0,IF(HU64=1,LL64,LM64),0)</f>
        <v>0</v>
      </c>
      <c r="SE64" s="20" t="n">
        <f aca="false">IF(ED64=1,IF(HU64=1,LS64+LV64,EE64-PG64)*(1+Slot12_Rate),0)</f>
        <v>0</v>
      </c>
      <c r="SF64" s="20" t="n">
        <f aca="false">IF(AND(HU64=1,ED64=1),(LR64+LV64)/F64,0)</f>
        <v>0</v>
      </c>
      <c r="SG64" s="20" t="n">
        <f aca="false">IF(B64=0,LR64+LV64,0)</f>
        <v>0</v>
      </c>
      <c r="SH64" s="20" t="n">
        <f aca="false">IF(B64=0,IF(HU64=1,LT64,LU64),0)</f>
        <v>0</v>
      </c>
      <c r="SI64" s="20" t="n">
        <f aca="false">IF(EN64=1,IF(HU64=1,MA64+MD64,EO64-PE64)*(1+Slot13_Rate),0)</f>
        <v>0</v>
      </c>
      <c r="SJ64" s="20" t="n">
        <f aca="false">IF(AND(HU64=1,EN64=1),(LZ64+MD64)/F64,0)</f>
        <v>0</v>
      </c>
      <c r="SK64" s="20" t="n">
        <f aca="false">IF(B64=0,LZ64+MD64,0)</f>
        <v>0</v>
      </c>
      <c r="SL64" s="20" t="n">
        <f aca="false">IF(B64=0,IF(HU64=1,MB64,MC64),0)</f>
        <v>0</v>
      </c>
      <c r="SM64" s="20" t="n">
        <f aca="false">IF(EX64=1,IF(HU64=1,MI64+ML64,EY64-PC64)*(1+Slot14_Rate),0)</f>
        <v>0</v>
      </c>
      <c r="SN64" s="20" t="n">
        <f aca="false">IF(AND(HU64=1,EX64=1),(MH64+ML64)/F64,0)</f>
        <v>0</v>
      </c>
      <c r="SO64" s="20" t="n">
        <f aca="false">IF(B64=0,MH64+ML64,0)</f>
        <v>0</v>
      </c>
      <c r="SP64" s="20" t="n">
        <f aca="false">IF(B64=0,IF(HU64=1,MJ64,MK64),0)</f>
        <v>0</v>
      </c>
      <c r="SQ64" s="20" t="n">
        <f aca="false">IF(FH64=1,IF(HU64=1,MQ64+MT64,FI64-PA64)*(1+Slot15_Rate),0)</f>
        <v>0</v>
      </c>
      <c r="SR64" s="20" t="n">
        <f aca="false">IF(AND(HU64=1,FH64=1),(MP64+MT64)/F64,0)</f>
        <v>0</v>
      </c>
      <c r="SS64" s="20" t="n">
        <f aca="false">IF(B64=0,MP64+MT64,0)</f>
        <v>0</v>
      </c>
      <c r="ST64" s="20" t="n">
        <f aca="false">IF(B64=0,IF(HU64=1,MR64,MS64),0)</f>
        <v>0</v>
      </c>
      <c r="SU64" s="20" t="n">
        <f aca="false">IF(FR64=1,IF(HU64=1,MY64+NB64,FS64-OY64)*(1+Slot16_Rate),0)</f>
        <v>0</v>
      </c>
      <c r="SV64" s="20" t="n">
        <f aca="false">IF(AND(HU64=1,FR64=1),(MX64+NB64)/F64,0)</f>
        <v>0</v>
      </c>
      <c r="SW64" s="20" t="n">
        <f aca="false">IF(B64=0,MX64+NB64,0)</f>
        <v>0</v>
      </c>
      <c r="SX64" s="20" t="n">
        <f aca="false">IF(B64=0,IF(HU64=1,MZ64,NA64),0)</f>
        <v>0</v>
      </c>
      <c r="SY64" s="20" t="n">
        <f aca="false">IF(GB64=1,IF(HU64=1,NG64+NJ64,GC64-OW64)*(1+Slot17_Rate),0)</f>
        <v>0</v>
      </c>
      <c r="SZ64" s="20" t="n">
        <f aca="false">IF(AND(HU64=1,GB64=1),(NF64+NJ64)/F64,0)</f>
        <v>0</v>
      </c>
      <c r="TA64" s="20" t="n">
        <f aca="false">IF(B64=0,NF64+NJ64,0)</f>
        <v>0</v>
      </c>
      <c r="TB64" s="20" t="n">
        <f aca="false">IF(B64=0,IF(HU64=1,NH64,NI64),0)</f>
        <v>0</v>
      </c>
      <c r="TC64" s="20" t="n">
        <f aca="false">IF(GL64=1,IF(HU64=1,NO64+NR64,GM64-OU64)*(1+Slot18_Rate),0)</f>
        <v>0</v>
      </c>
      <c r="TD64" s="20" t="n">
        <f aca="false">IF(AND(HU64=1,GL64=1),(NN64+NR64)/F64,0)</f>
        <v>0</v>
      </c>
      <c r="TE64" s="20" t="n">
        <f aca="false">IF(B64=0,NN64+NR64,0)</f>
        <v>0</v>
      </c>
      <c r="TF64" s="20" t="n">
        <f aca="false">IF(B64=0,IF(HU64=1,NP64,NQ64),0)</f>
        <v>0</v>
      </c>
      <c r="TG64" s="20" t="n">
        <f aca="false">IF(GV64=1,IF(HU64=1,NW64+NZ64,GW64-OS64)*(1+Slot19_Rate),0)</f>
        <v>0</v>
      </c>
      <c r="TH64" s="20" t="n">
        <f aca="false">IF(AND(HU64=1,GV64=1),(NV64+NZ64)/F64,0)</f>
        <v>0</v>
      </c>
      <c r="TI64" s="20" t="n">
        <f aca="false">IF(B64=0,NV64+NZ64,0)</f>
        <v>0</v>
      </c>
      <c r="TJ64" s="20" t="n">
        <f aca="false">IF(B64=0,IF(HU64=1,NX64,NY64),0)</f>
        <v>0</v>
      </c>
      <c r="TK64" s="20" t="n">
        <f aca="false">IF(HF64=1,IF(HU64=1,OE64+OH64,HG64-OQ64)*(1+Slot20_Rate),0)</f>
        <v>0</v>
      </c>
      <c r="TL64" s="20" t="n">
        <f aca="false">IF(AND(HU64=1,HF64=1),(OD64+OH64)/F64,0)</f>
        <v>0</v>
      </c>
      <c r="TM64" s="20" t="n">
        <f aca="false">IF(B64=0,OD64+OH64,0)</f>
        <v>0</v>
      </c>
      <c r="TN64" s="20" t="n">
        <f aca="false">IF(B64=0,IF(HU64=1,OF64,OG64),0)</f>
        <v>0</v>
      </c>
      <c r="TO64" s="20" t="n">
        <f aca="false">QK64+QL64+QM64+QQ64+QU64+QY64+RC64+RG64+RK64+RO64+RS64+RW64+SA64+SE64+SI64+SM64+SQ64+SU64+SY64+TC64+TG64+TK64</f>
        <v>0</v>
      </c>
      <c r="TP64" s="20" t="n">
        <f aca="false">QE64+HP64</f>
        <v>29192.1665998929</v>
      </c>
      <c r="TQ64" s="20" t="n">
        <f aca="false">I64+S64</f>
        <v>144889.700693914</v>
      </c>
      <c r="TR64" s="20" t="n">
        <f aca="false">1-G64</f>
        <v>1</v>
      </c>
      <c r="TS64" s="20" t="n">
        <f aca="false">IF(AND(RG_Exists=1,G64=0,C64=1),I64,0)</f>
        <v>144889.700693914</v>
      </c>
      <c r="TT64" s="20" t="n">
        <f aca="false">IF(AND(RG_Exists=1,G64=0,C64=1),I64-MIN(QE64,I64),0)</f>
        <v>115697.534094021</v>
      </c>
      <c r="TU64" s="20" t="n">
        <f aca="false">'Plan pay &amp; tax'!AD290</f>
        <v>33637.1146987148</v>
      </c>
      <c r="TV64" s="20" t="n">
        <f aca="false">IF(AND(C64=1,QE64&gt;MAX(PR_Short1,TQ64*PR_Short2)),1,0)</f>
        <v>1</v>
      </c>
      <c r="TW64" s="20" t="n">
        <f aca="false">MIN(H64,I64+S64)</f>
        <v>115697.534094021</v>
      </c>
      <c r="TX64" s="20" t="n">
        <f aca="false">QF64+MAX(0,HQ64-HP64)</f>
        <v>0</v>
      </c>
      <c r="TY64" s="20" t="n">
        <f aca="false">QE64+HP64</f>
        <v>29192.1665998929</v>
      </c>
      <c r="TZ64" s="20" t="n">
        <f aca="false">IF(AND(C64=1,TY64&gt;PR_MinShort),1,0)</f>
        <v>1</v>
      </c>
      <c r="UA64" s="20" t="n">
        <f aca="false">IF(AND(C64=1,TZ64=0,TX64&gt;PR_MinShort),1,0)</f>
        <v>0</v>
      </c>
      <c r="UB64" s="20" t="n">
        <f aca="false">IF(AND(C64=1,QE64&gt;PR_MinShort),1,0)</f>
        <v>1</v>
      </c>
      <c r="UC64" s="20" t="n">
        <f aca="false">IF(AND(C64=1,QF64&gt;1,UJ64=0),1,0)</f>
        <v>0</v>
      </c>
      <c r="UD64" s="20" t="str">
        <f aca="false">IF(C64=0,"",IF(UJ64=1,"Gap to plan for: short "&amp;"€"&amp;TEXT(ROUND(TP64,0),"#,##0"),IF(QF64&gt;1,"Using savings","Comfortable")))</f>
        <v>Gap to plan for: short €29,192</v>
      </c>
      <c r="UE64" s="20" t="n">
        <f aca="false">IF(AND(INT(D64/10)*10=90,B64&gt;0),80,INT(D64/10)*10)</f>
        <v>80</v>
      </c>
      <c r="UF64" s="20" t="n">
        <f aca="false">IF(B64=0,1,IF(UE64&lt;&gt;UE63,UF63+1,UF63))</f>
        <v>6</v>
      </c>
      <c r="UG64" s="20" t="n">
        <f aca="false">IF(AND(C64=1,G64=1,QE64&gt;MAX(PR_Short1,TQ64*PR_Short2)),1,0)</f>
        <v>0</v>
      </c>
      <c r="UH64" s="20" t="n">
        <f aca="false">TR64*TV64</f>
        <v>1</v>
      </c>
      <c r="UI64" s="20" t="n">
        <f aca="false">IF(AND(V64=1,Slot1_PctLow=1),1,0)+IF(AND(AG64=1,Slot2_PctLow=1),1,0)+IF(AND(AQ64=1,Slot3_PctLow=1),1,0)+IF(AND(BA64=1,Slot4_PctLow=1),1,0)+IF(AND(BK64=1,Slot5_PctLow=1),1,0)+IF(AND(BU64=1,Slot6_PctLow=1),1,0)+IF(AND(CE64=1,Slot7_PctLow=1),1,0)+IF(AND(CO64=1,Slot8_PctLow=1),1,0)+IF(AND(CY64=1,Slot9_PctLow=1),1,0)+IF(AND(DI64=1,Slot10_PctLow=1),1,0)+IF(AND(DS64=1,Slot11_PctLow=1),1,0)+IF(AND(EC64=1,Slot12_PctLow=1),1,0)+IF(AND(EM64=1,Slot13_PctLow=1),1,0)+IF(AND(EW64=1,Slot14_PctLow=1),1,0)+IF(AND(FG64=1,Slot15_PctLow=1),1,0)+IF(AND(FQ64=1,Slot16_PctLow=1),1,0)+IF(AND(GA64=1,Slot17_PctLow=1),1,0)+IF(AND(GK64=1,Slot18_PctLow=1),1,0)+IF(AND(GU64=1,Slot19_PctLow=1),1,0)+IF(AND(HE64=1,Slot20_PctLow=1),1,0)</f>
        <v>0</v>
      </c>
      <c r="UJ64" s="20" t="n">
        <f aca="false">IF(C64=1,IF(OR(TV64=1,UI64&gt;0),1,0),0)</f>
        <v>1</v>
      </c>
      <c r="UK64" s="20" t="n">
        <f aca="false">Z64+AK64+AU64+BE64+BO64+BY64+CI64+CS64+DC64+DM64+DW64+EG64+EQ64+FA64+FK64+FU64+GE64+GO64+GY64+HI64+OM64</f>
        <v>0</v>
      </c>
      <c r="UL64" s="20" t="n">
        <f aca="false">V64*IF(Slot1_SpendLike=1,X64-Y64,IF(Slot1_PotFree=1,X64,0))+AG64*IF(Slot2_SpendLike=1,AI64-AJ64,IF(Slot2_PotFree=1,AI64,0))+AQ64*IF(Slot3_SpendLike=1,AS64-AT64,IF(Slot3_PotFree=1,AS64,0))+BA64*IF(Slot4_SpendLike=1,BC64-BD64,IF(Slot4_PotFree=1,BC64,0))+BK64*IF(Slot5_SpendLike=1,BM64-BN64,IF(Slot5_PotFree=1,BM64,0))+BU64*IF(Slot6_SpendLike=1,BW64-BX64,IF(Slot6_PotFree=1,BW64,0))+CE64*IF(Slot7_SpendLike=1,CG64-CH64,IF(Slot7_PotFree=1,CG64,0))+CO64*IF(Slot8_SpendLike=1,CQ64-CR64,IF(Slot8_PotFree=1,CQ64,0))+CY64*IF(Slot9_SpendLike=1,DA64-DB64,IF(Slot9_PotFree=1,DA64,0))+DI64*IF(Slot10_SpendLike=1,DK64-DL64,IF(Slot10_PotFree=1,DK64,0))+DS64*IF(Slot11_SpendLike=1,DU64-DV64,IF(Slot11_PotFree=1,DU64,0))+EC64*IF(Slot12_SpendLike=1,EE64-EF64,IF(Slot12_PotFree=1,EE64,0))+EM64*IF(Slot13_SpendLike=1,EO64-EP64,IF(Slot13_PotFree=1,EO64,0))+EW64*IF(Slot14_SpendLike=1,EY64-EZ64,IF(Slot14_PotFree=1,EY64,0))+FG64*IF(Slot15_SpendLike=1,FI64-FJ64,IF(Slot15_PotFree=1,FI64,0))+FQ64*IF(Slot16_SpendLike=1,FS64-FT64,IF(Slot16_PotFree=1,FS64,0))+GA64*IF(Slot17_SpendLike=1,GC64-GD64,IF(Slot17_PotFree=1,GC64,0))+GK64*IF(Slot18_SpendLike=1,GM64-GN64,IF(Slot18_PotFree=1,GM64,0))+GU64*IF(Slot19_SpendLike=1,GW64-GX64,IF(Slot19_PotFree=1,GW64,0))+HE64*IF(Slot20_SpendLike=1,HG64-HH64,IF(Slot20_PotFree=1,HG64,0))</f>
        <v>0</v>
      </c>
      <c r="UM64" s="20" t="n">
        <f aca="false">QG64-T64+UK64-UL64</f>
        <v>0</v>
      </c>
      <c r="UN64" s="20" t="n">
        <f aca="false">IF(OR(UN63=1,AND(In_homeUse="Yes, I'd downsize",In_downAge&gt;0,D64=In_downAge,OR(In_home="Own outright",In_home="Own with mortgage"),In_homeValue&gt;0)),1,0)</f>
        <v>0</v>
      </c>
    </row>
    <row r="65" customFormat="false" ht="15" hidden="false" customHeight="true" outlineLevel="0" collapsed="false">
      <c r="B65" s="20" t="n">
        <v>57</v>
      </c>
      <c r="C65" s="20" t="n">
        <f aca="false">IF(B65&lt;=F_N,1,0)</f>
        <v>1</v>
      </c>
      <c r="D65" s="20" t="n">
        <f aca="false">'Plan pay &amp; tax'!C291</f>
        <v>95</v>
      </c>
      <c r="E65" s="20" t="str">
        <f aca="false">IF($C65=1,"Income tax "&amp;TEXT(N('Plan pay &amp; tax'!BK291),"#,##0")&amp;"; USC "&amp;TEXT(N('Plan pay &amp; tax'!BM291)+N('Plan pay &amp; tax'!BO291),"#,##0")&amp;"; PRSI "&amp;TEXT(N('Plan pay &amp; tax'!BP291)+N('Plan pay &amp; tax'!BQ291),"#,##0")&amp;IF(N('Plan holdings'!BO65)&gt;=0.5,"; DIRT "&amp;TEXT(('Plan holdings'!BO65)/$F65,"#,##0")&amp;" (already taken from the interest earned)","")&amp;IF(N('Plan holdings'!BP65)&gt;=0.5,"; exit tax at an 8-year anniversary "&amp;TEXT(('Plan holdings'!BP65)/$F65,"#,##0"),"")&amp;IF(N('Plan holdings'!BN65)&gt;=0.5,"; tax on assets sold (exit tax or capital gains tax) "&amp;TEXT(('Plan holdings'!BN65)/$F65,"#,##0"),"")&amp;IF(N('Plan pay &amp; tax'!X291)-N('Plan pay &amp; tax'!Y291)&gt;=0.5,"; tax on the pension lump sum "&amp;TEXT(('Plan pay &amp; tax'!X291-'Plan pay &amp; tax'!Y291)/$F65,"#,##0"),"")&amp;IF(N('Plan pay &amp; tax'!V291)&gt;=0.5,"; chargeable excess tax on the pension "&amp;TEXT(('Plan pay &amp; tax'!V291)/$F65,"#,##0"),"")&amp;".","")</f>
        <v>Income tax 1,148; USC 0; PRSI 0.</v>
      </c>
      <c r="F65" s="50" t="n">
        <f aca="false">'Plan pay &amp; tax'!E291</f>
        <v>3.09178859221323</v>
      </c>
      <c r="G65" s="20" t="n">
        <f aca="false">'Plan pay &amp; tax'!G291</f>
        <v>0</v>
      </c>
      <c r="H65" s="20" t="n">
        <f aca="false">'Plan pay &amp; tax'!BT291-'Plan pay &amp; tax'!BS291-'Plan pay &amp; tax'!R291</f>
        <v>118311.495881309</v>
      </c>
      <c r="I65" s="20" t="n">
        <f aca="false">IF(G65=1,F_CostsM*12,IF(RG_Exists=1,RG_Amount,F_CostsM*12*AS_RetireSpend))*F65+F_OneOffY*F65</f>
        <v>147787.494707792</v>
      </c>
      <c r="J65" s="20" t="n">
        <f aca="false">IF(UN65=1,0,HR64)</f>
        <v>0</v>
      </c>
      <c r="K65" s="20" t="n">
        <f aca="false">IF(J65&gt;1,'Plan debt months'!AC65,0)</f>
        <v>0</v>
      </c>
      <c r="L65" s="20" t="n">
        <f aca="false">IF(J65&gt;1,'Plan debt months'!AB65,J65)</f>
        <v>0</v>
      </c>
      <c r="M65" s="20" t="n">
        <f aca="false">O64</f>
        <v>0</v>
      </c>
      <c r="N65" s="20" t="n">
        <f aca="false">IF(M65&gt;1,'Plan debt months'!BD65,0)</f>
        <v>0</v>
      </c>
      <c r="O65" s="20" t="n">
        <f aca="false">IF(M65&gt;1,'Plan debt months'!BC65,M65)</f>
        <v>0</v>
      </c>
      <c r="P65" s="20" t="n">
        <f aca="false">R64</f>
        <v>0</v>
      </c>
      <c r="Q65" s="20" t="n">
        <f aca="false">IF(P65&gt;1,'Plan debt months'!CE65,0)</f>
        <v>0</v>
      </c>
      <c r="R65" s="20" t="n">
        <f aca="false">IF(P65&gt;1,'Plan debt months'!CD65,P65)</f>
        <v>0</v>
      </c>
      <c r="S65" s="20" t="n">
        <f aca="false">K65+N65+Q65</f>
        <v>0</v>
      </c>
      <c r="T65" s="57" t="n">
        <f aca="false">'Plan holdings'!Y65</f>
        <v>0</v>
      </c>
      <c r="U65" s="57" t="n">
        <f aca="false">'Plan holdings'!BM64</f>
        <v>0</v>
      </c>
      <c r="V65" s="20" t="n">
        <f aca="false">IF(AND(Slot1_On=1,D65=Slot1_Age),1,0)</f>
        <v>0</v>
      </c>
      <c r="W65" s="20" t="n">
        <f aca="false">IF(AND(Slot1_On=1,Slot1_Age&gt;D65),1,0)</f>
        <v>0</v>
      </c>
      <c r="X65" s="20" t="n">
        <f aca="false">QM64</f>
        <v>0</v>
      </c>
      <c r="Y65" s="20" t="n">
        <f aca="false">V65*MIN(Slot1_Cost,X65)</f>
        <v>0</v>
      </c>
      <c r="Z65" s="20" t="n">
        <f aca="false">V65*Slot1_SpendLike*MIN(Slot1_Cost-Y65,T65)</f>
        <v>0</v>
      </c>
      <c r="AA65" s="20" t="n">
        <f aca="false">Y65+Z65</f>
        <v>0</v>
      </c>
      <c r="AB65" s="20" t="n">
        <f aca="false">T65-Z65+V65*IF(Slot1_SpendLike=1,X65-Y65,IF(Slot1_PotFree=1,X65,0))</f>
        <v>0</v>
      </c>
      <c r="AC65" s="20" t="n">
        <f aca="false">AF65+V65*Slot1_BufPot*X65</f>
        <v>0</v>
      </c>
      <c r="AD65" s="20" t="n">
        <f aca="false">IF(AND(V65=1,Slot1_IsMfree=1),IF(AA65&gt;=Slot1_Cost-1,0,MAX(0,L65-AA65)),L65)</f>
        <v>0</v>
      </c>
      <c r="AE65" s="20" t="n">
        <f aca="false">V65*(Slot1_Cost-AA65)</f>
        <v>0</v>
      </c>
      <c r="AF65" s="20" t="n">
        <f aca="false">QL64</f>
        <v>0</v>
      </c>
      <c r="AG65" s="20" t="n">
        <f aca="false">IF(AND(Slot2_On=1,D65=Slot2_Age),1,0)</f>
        <v>0</v>
      </c>
      <c r="AH65" s="20" t="n">
        <f aca="false">IF(AND(Slot2_On=1,Slot2_Age&gt;D65),1,0)</f>
        <v>0</v>
      </c>
      <c r="AI65" s="20" t="n">
        <f aca="false">QQ64</f>
        <v>0</v>
      </c>
      <c r="AJ65" s="20" t="n">
        <f aca="false">AG65*MIN(Slot2_Cost,AI65)</f>
        <v>0</v>
      </c>
      <c r="AK65" s="20" t="n">
        <f aca="false">AG65*Slot2_SpendLike*MIN(Slot2_Cost-AJ65,AB65)</f>
        <v>0</v>
      </c>
      <c r="AL65" s="20" t="n">
        <f aca="false">AJ65+AK65</f>
        <v>0</v>
      </c>
      <c r="AM65" s="20" t="n">
        <f aca="false">AB65-AK65+AG65*IF(Slot2_SpendLike=1,AI65-AJ65,IF(Slot2_PotFree=1,AI65,0))</f>
        <v>0</v>
      </c>
      <c r="AN65" s="20" t="n">
        <f aca="false">AC65+AG65*Slot2_BufPot*AI65</f>
        <v>0</v>
      </c>
      <c r="AO65" s="20" t="n">
        <f aca="false">IF(AND(AG65=1,Slot2_IsMfree=1),IF(AL65&gt;=Slot2_Cost-1,0,MAX(0,AD65-AL65)),AD65)</f>
        <v>0</v>
      </c>
      <c r="AP65" s="20" t="n">
        <f aca="false">AG65*(Slot2_Cost-AL65)</f>
        <v>0</v>
      </c>
      <c r="AQ65" s="20" t="n">
        <f aca="false">IF(AND(Slot3_On=1,D65=Slot3_Age),1,0)</f>
        <v>0</v>
      </c>
      <c r="AR65" s="20" t="n">
        <f aca="false">IF(AND(Slot3_On=1,Slot3_Age&gt;D65),1,0)</f>
        <v>0</v>
      </c>
      <c r="AS65" s="20" t="n">
        <f aca="false">QU64</f>
        <v>0</v>
      </c>
      <c r="AT65" s="20" t="n">
        <f aca="false">AQ65*MIN(Slot3_Cost,AS65)</f>
        <v>0</v>
      </c>
      <c r="AU65" s="20" t="n">
        <f aca="false">AQ65*Slot3_SpendLike*MIN(Slot3_Cost-AT65,AM65)</f>
        <v>0</v>
      </c>
      <c r="AV65" s="20" t="n">
        <f aca="false">AT65+AU65</f>
        <v>0</v>
      </c>
      <c r="AW65" s="20" t="n">
        <f aca="false">AM65-AU65+AQ65*IF(Slot3_SpendLike=1,AS65-AT65,IF(Slot3_PotFree=1,AS65,0))</f>
        <v>0</v>
      </c>
      <c r="AX65" s="20" t="n">
        <f aca="false">AN65+AQ65*Slot3_BufPot*AS65</f>
        <v>0</v>
      </c>
      <c r="AY65" s="20" t="n">
        <f aca="false">IF(AND(AQ65=1,Slot3_IsMfree=1),IF(AV65&gt;=Slot3_Cost-1,0,MAX(0,AO65-AV65)),AO65)</f>
        <v>0</v>
      </c>
      <c r="AZ65" s="20" t="n">
        <f aca="false">AQ65*(Slot3_Cost-AV65)</f>
        <v>0</v>
      </c>
      <c r="BA65" s="20" t="n">
        <f aca="false">IF(AND(Slot4_On=1,D65=Slot4_Age),1,0)</f>
        <v>0</v>
      </c>
      <c r="BB65" s="20" t="n">
        <f aca="false">IF(AND(Slot4_On=1,Slot4_Age&gt;D65),1,0)</f>
        <v>0</v>
      </c>
      <c r="BC65" s="20" t="n">
        <f aca="false">QY64</f>
        <v>0</v>
      </c>
      <c r="BD65" s="20" t="n">
        <f aca="false">BA65*MIN(Slot4_Cost,BC65)</f>
        <v>0</v>
      </c>
      <c r="BE65" s="20" t="n">
        <f aca="false">BA65*Slot4_SpendLike*MIN(Slot4_Cost-BD65,AW65)</f>
        <v>0</v>
      </c>
      <c r="BF65" s="20" t="n">
        <f aca="false">BD65+BE65</f>
        <v>0</v>
      </c>
      <c r="BG65" s="20" t="n">
        <f aca="false">AW65-BE65+BA65*IF(Slot4_SpendLike=1,BC65-BD65,IF(Slot4_PotFree=1,BC65,0))</f>
        <v>0</v>
      </c>
      <c r="BH65" s="20" t="n">
        <f aca="false">AX65+BA65*Slot4_BufPot*BC65</f>
        <v>0</v>
      </c>
      <c r="BI65" s="20" t="n">
        <f aca="false">IF(AND(BA65=1,Slot4_IsMfree=1),IF(BF65&gt;=Slot4_Cost-1,0,MAX(0,AY65-BF65)),AY65)</f>
        <v>0</v>
      </c>
      <c r="BJ65" s="20" t="n">
        <f aca="false">BA65*(Slot4_Cost-BF65)</f>
        <v>0</v>
      </c>
      <c r="BK65" s="20" t="n">
        <f aca="false">IF(AND(Slot5_On=1,D65=Slot5_Age),1,0)</f>
        <v>0</v>
      </c>
      <c r="BL65" s="20" t="n">
        <f aca="false">IF(AND(Slot5_On=1,Slot5_Age&gt;D65),1,0)</f>
        <v>0</v>
      </c>
      <c r="BM65" s="20" t="n">
        <f aca="false">RC64</f>
        <v>0</v>
      </c>
      <c r="BN65" s="20" t="n">
        <f aca="false">BK65*MIN(Slot5_Cost,BM65)</f>
        <v>0</v>
      </c>
      <c r="BO65" s="20" t="n">
        <f aca="false">BK65*Slot5_SpendLike*MIN(Slot5_Cost-BN65,BG65)</f>
        <v>0</v>
      </c>
      <c r="BP65" s="20" t="n">
        <f aca="false">BN65+BO65</f>
        <v>0</v>
      </c>
      <c r="BQ65" s="20" t="n">
        <f aca="false">BG65-BO65+BK65*IF(Slot5_SpendLike=1,BM65-BN65,IF(Slot5_PotFree=1,BM65,0))</f>
        <v>0</v>
      </c>
      <c r="BR65" s="20" t="n">
        <f aca="false">BH65+BK65*Slot5_BufPot*BM65</f>
        <v>0</v>
      </c>
      <c r="BS65" s="20" t="n">
        <f aca="false">IF(AND(BK65=1,Slot5_IsMfree=1),IF(BP65&gt;=Slot5_Cost-1,0,MAX(0,BI65-BP65)),BI65)</f>
        <v>0</v>
      </c>
      <c r="BT65" s="20" t="n">
        <f aca="false">BK65*(Slot5_Cost-BP65)</f>
        <v>0</v>
      </c>
      <c r="BU65" s="20" t="n">
        <f aca="false">IF(AND(Slot6_On=1,D65=Slot6_Age),1,0)</f>
        <v>0</v>
      </c>
      <c r="BV65" s="20" t="n">
        <f aca="false">IF(AND(Slot6_On=1,Slot6_Age&gt;D65),1,0)</f>
        <v>0</v>
      </c>
      <c r="BW65" s="20" t="n">
        <f aca="false">RG64</f>
        <v>0</v>
      </c>
      <c r="BX65" s="20" t="n">
        <f aca="false">BU65*MIN(Slot6_Cost,BW65)</f>
        <v>0</v>
      </c>
      <c r="BY65" s="20" t="n">
        <f aca="false">BU65*Slot6_SpendLike*MIN(Slot6_Cost-BX65,BQ65)</f>
        <v>0</v>
      </c>
      <c r="BZ65" s="20" t="n">
        <f aca="false">BX65+BY65</f>
        <v>0</v>
      </c>
      <c r="CA65" s="20" t="n">
        <f aca="false">BQ65-BY65+BU65*IF(Slot6_SpendLike=1,BW65-BX65,IF(Slot6_PotFree=1,BW65,0))</f>
        <v>0</v>
      </c>
      <c r="CB65" s="20" t="n">
        <f aca="false">BR65+BU65*Slot6_BufPot*BW65</f>
        <v>0</v>
      </c>
      <c r="CC65" s="20" t="n">
        <f aca="false">IF(AND(BU65=1,Slot6_IsMfree=1),IF(BZ65&gt;=Slot6_Cost-1,0,MAX(0,BS65-BZ65)),BS65)</f>
        <v>0</v>
      </c>
      <c r="CD65" s="20" t="n">
        <f aca="false">BU65*(Slot6_Cost-BZ65)</f>
        <v>0</v>
      </c>
      <c r="CE65" s="20" t="n">
        <f aca="false">IF(AND(Slot7_On=1,D65=Slot7_Age),1,0)</f>
        <v>0</v>
      </c>
      <c r="CF65" s="20" t="n">
        <f aca="false">IF(AND(Slot7_On=1,Slot7_Age&gt;D65),1,0)</f>
        <v>0</v>
      </c>
      <c r="CG65" s="20" t="n">
        <f aca="false">RK64</f>
        <v>0</v>
      </c>
      <c r="CH65" s="20" t="n">
        <f aca="false">CE65*MIN(Slot7_Cost,CG65)</f>
        <v>0</v>
      </c>
      <c r="CI65" s="20" t="n">
        <f aca="false">CE65*Slot7_SpendLike*MIN(Slot7_Cost-CH65,CA65)</f>
        <v>0</v>
      </c>
      <c r="CJ65" s="20" t="n">
        <f aca="false">CH65+CI65</f>
        <v>0</v>
      </c>
      <c r="CK65" s="20" t="n">
        <f aca="false">CA65-CI65+CE65*IF(Slot7_SpendLike=1,CG65-CH65,IF(Slot7_PotFree=1,CG65,0))</f>
        <v>0</v>
      </c>
      <c r="CL65" s="20" t="n">
        <f aca="false">CB65+CE65*Slot7_BufPot*CG65</f>
        <v>0</v>
      </c>
      <c r="CM65" s="20" t="n">
        <f aca="false">IF(AND(CE65=1,Slot7_IsMfree=1),IF(CJ65&gt;=Slot7_Cost-1,0,MAX(0,CC65-CJ65)),CC65)</f>
        <v>0</v>
      </c>
      <c r="CN65" s="20" t="n">
        <f aca="false">CE65*(Slot7_Cost-CJ65)</f>
        <v>0</v>
      </c>
      <c r="CO65" s="20" t="n">
        <f aca="false">IF(AND(Slot8_On=1,D65=Slot8_Age),1,0)</f>
        <v>0</v>
      </c>
      <c r="CP65" s="20" t="n">
        <f aca="false">IF(AND(Slot8_On=1,Slot8_Age&gt;D65),1,0)</f>
        <v>0</v>
      </c>
      <c r="CQ65" s="20" t="n">
        <f aca="false">RO64</f>
        <v>0</v>
      </c>
      <c r="CR65" s="20" t="n">
        <f aca="false">CO65*MIN(Slot8_Cost,CQ65)</f>
        <v>0</v>
      </c>
      <c r="CS65" s="20" t="n">
        <f aca="false">CO65*Slot8_SpendLike*MIN(Slot8_Cost-CR65,CK65)</f>
        <v>0</v>
      </c>
      <c r="CT65" s="20" t="n">
        <f aca="false">CR65+CS65</f>
        <v>0</v>
      </c>
      <c r="CU65" s="20" t="n">
        <f aca="false">CK65-CS65+CO65*IF(Slot8_SpendLike=1,CQ65-CR65,IF(Slot8_PotFree=1,CQ65,0))</f>
        <v>0</v>
      </c>
      <c r="CV65" s="20" t="n">
        <f aca="false">CL65+CO65*Slot8_BufPot*CQ65</f>
        <v>0</v>
      </c>
      <c r="CW65" s="20" t="n">
        <f aca="false">IF(AND(CO65=1,Slot8_IsMfree=1),IF(CT65&gt;=Slot8_Cost-1,0,MAX(0,CM65-CT65)),CM65)</f>
        <v>0</v>
      </c>
      <c r="CX65" s="20" t="n">
        <f aca="false">CO65*(Slot8_Cost-CT65)</f>
        <v>0</v>
      </c>
      <c r="CY65" s="20" t="n">
        <f aca="false">IF(AND(Slot9_On=1,D65=Slot9_Age),1,0)</f>
        <v>0</v>
      </c>
      <c r="CZ65" s="20" t="n">
        <f aca="false">IF(AND(Slot9_On=1,Slot9_Age&gt;D65),1,0)</f>
        <v>0</v>
      </c>
      <c r="DA65" s="20" t="n">
        <f aca="false">RS64</f>
        <v>0</v>
      </c>
      <c r="DB65" s="20" t="n">
        <f aca="false">CY65*MIN(Slot9_Cost,DA65)</f>
        <v>0</v>
      </c>
      <c r="DC65" s="20" t="n">
        <f aca="false">CY65*Slot9_SpendLike*MIN(Slot9_Cost-DB65,CU65)</f>
        <v>0</v>
      </c>
      <c r="DD65" s="20" t="n">
        <f aca="false">DB65+DC65</f>
        <v>0</v>
      </c>
      <c r="DE65" s="20" t="n">
        <f aca="false">CU65-DC65+CY65*IF(Slot9_SpendLike=1,DA65-DB65,IF(Slot9_PotFree=1,DA65,0))</f>
        <v>0</v>
      </c>
      <c r="DF65" s="20" t="n">
        <f aca="false">CV65+CY65*Slot9_BufPot*DA65</f>
        <v>0</v>
      </c>
      <c r="DG65" s="20" t="n">
        <f aca="false">IF(AND(CY65=1,Slot9_IsMfree=1),IF(DD65&gt;=Slot9_Cost-1,0,MAX(0,CW65-DD65)),CW65)</f>
        <v>0</v>
      </c>
      <c r="DH65" s="20" t="n">
        <f aca="false">CY65*(Slot9_Cost-DD65)</f>
        <v>0</v>
      </c>
      <c r="DI65" s="20" t="n">
        <f aca="false">IF(AND(Slot10_On=1,D65=Slot10_Age),1,0)</f>
        <v>0</v>
      </c>
      <c r="DJ65" s="20" t="n">
        <f aca="false">IF(AND(Slot10_On=1,Slot10_Age&gt;D65),1,0)</f>
        <v>0</v>
      </c>
      <c r="DK65" s="20" t="n">
        <f aca="false">RW64</f>
        <v>0</v>
      </c>
      <c r="DL65" s="20" t="n">
        <f aca="false">DI65*MIN(Slot10_Cost,DK65)</f>
        <v>0</v>
      </c>
      <c r="DM65" s="20" t="n">
        <f aca="false">DI65*Slot10_SpendLike*MIN(Slot10_Cost-DL65,DE65)</f>
        <v>0</v>
      </c>
      <c r="DN65" s="20" t="n">
        <f aca="false">DL65+DM65</f>
        <v>0</v>
      </c>
      <c r="DO65" s="20" t="n">
        <f aca="false">DE65-DM65+DI65*IF(Slot10_SpendLike=1,DK65-DL65,IF(Slot10_PotFree=1,DK65,0))</f>
        <v>0</v>
      </c>
      <c r="DP65" s="20" t="n">
        <f aca="false">DF65+DI65*Slot10_BufPot*DK65</f>
        <v>0</v>
      </c>
      <c r="DQ65" s="20" t="n">
        <f aca="false">IF(AND(DI65=1,Slot10_IsMfree=1),IF(DN65&gt;=Slot10_Cost-1,0,MAX(0,DG65-DN65)),DG65)</f>
        <v>0</v>
      </c>
      <c r="DR65" s="20" t="n">
        <f aca="false">DI65*(Slot10_Cost-DN65)</f>
        <v>0</v>
      </c>
      <c r="DS65" s="20" t="n">
        <f aca="false">IF(AND(Slot11_On=1,D65=Slot11_Age),1,0)</f>
        <v>0</v>
      </c>
      <c r="DT65" s="20" t="n">
        <f aca="false">IF(AND(Slot11_On=1,Slot11_Age&gt;D65),1,0)</f>
        <v>0</v>
      </c>
      <c r="DU65" s="20" t="n">
        <f aca="false">SA64</f>
        <v>0</v>
      </c>
      <c r="DV65" s="20" t="n">
        <f aca="false">DS65*MIN(Slot11_Cost,DU65)</f>
        <v>0</v>
      </c>
      <c r="DW65" s="20" t="n">
        <f aca="false">DS65*Slot11_SpendLike*MIN(Slot11_Cost-DV65,DO65)</f>
        <v>0</v>
      </c>
      <c r="DX65" s="20" t="n">
        <f aca="false">DV65+DW65</f>
        <v>0</v>
      </c>
      <c r="DY65" s="20" t="n">
        <f aca="false">DO65-DW65+DS65*IF(Slot11_SpendLike=1,DU65-DV65,IF(Slot11_PotFree=1,DU65,0))</f>
        <v>0</v>
      </c>
      <c r="DZ65" s="20" t="n">
        <f aca="false">DP65+DS65*Slot11_BufPot*DU65</f>
        <v>0</v>
      </c>
      <c r="EA65" s="20" t="n">
        <f aca="false">IF(AND(DS65=1,Slot11_IsMfree=1),IF(DX65&gt;=Slot11_Cost-1,0,MAX(0,DQ65-DX65)),DQ65)</f>
        <v>0</v>
      </c>
      <c r="EB65" s="20" t="n">
        <f aca="false">DS65*(Slot11_Cost-DX65)</f>
        <v>0</v>
      </c>
      <c r="EC65" s="20" t="n">
        <f aca="false">IF(AND(Slot12_On=1,D65=Slot12_Age),1,0)</f>
        <v>0</v>
      </c>
      <c r="ED65" s="20" t="n">
        <f aca="false">IF(AND(Slot12_On=1,Slot12_Age&gt;D65),1,0)</f>
        <v>0</v>
      </c>
      <c r="EE65" s="20" t="n">
        <f aca="false">SE64</f>
        <v>0</v>
      </c>
      <c r="EF65" s="20" t="n">
        <f aca="false">EC65*MIN(Slot12_Cost,EE65)</f>
        <v>0</v>
      </c>
      <c r="EG65" s="20" t="n">
        <f aca="false">EC65*Slot12_SpendLike*MIN(Slot12_Cost-EF65,DY65)</f>
        <v>0</v>
      </c>
      <c r="EH65" s="20" t="n">
        <f aca="false">EF65+EG65</f>
        <v>0</v>
      </c>
      <c r="EI65" s="20" t="n">
        <f aca="false">DY65-EG65+EC65*IF(Slot12_SpendLike=1,EE65-EF65,IF(Slot12_PotFree=1,EE65,0))</f>
        <v>0</v>
      </c>
      <c r="EJ65" s="20" t="n">
        <f aca="false">DZ65+EC65*Slot12_BufPot*EE65</f>
        <v>0</v>
      </c>
      <c r="EK65" s="20" t="n">
        <f aca="false">IF(AND(EC65=1,Slot12_IsMfree=1),IF(EH65&gt;=Slot12_Cost-1,0,MAX(0,EA65-EH65)),EA65)</f>
        <v>0</v>
      </c>
      <c r="EL65" s="20" t="n">
        <f aca="false">EC65*(Slot12_Cost-EH65)</f>
        <v>0</v>
      </c>
      <c r="EM65" s="20" t="n">
        <f aca="false">IF(AND(Slot13_On=1,D65=Slot13_Age),1,0)</f>
        <v>0</v>
      </c>
      <c r="EN65" s="20" t="n">
        <f aca="false">IF(AND(Slot13_On=1,Slot13_Age&gt;D65),1,0)</f>
        <v>0</v>
      </c>
      <c r="EO65" s="20" t="n">
        <f aca="false">SI64</f>
        <v>0</v>
      </c>
      <c r="EP65" s="20" t="n">
        <f aca="false">EM65*MIN(Slot13_Cost,EO65)</f>
        <v>0</v>
      </c>
      <c r="EQ65" s="20" t="n">
        <f aca="false">EM65*Slot13_SpendLike*MIN(Slot13_Cost-EP65,EI65)</f>
        <v>0</v>
      </c>
      <c r="ER65" s="20" t="n">
        <f aca="false">EP65+EQ65</f>
        <v>0</v>
      </c>
      <c r="ES65" s="20" t="n">
        <f aca="false">EI65-EQ65+EM65*IF(Slot13_SpendLike=1,EO65-EP65,IF(Slot13_PotFree=1,EO65,0))</f>
        <v>0</v>
      </c>
      <c r="ET65" s="20" t="n">
        <f aca="false">EJ65+EM65*Slot13_BufPot*EO65</f>
        <v>0</v>
      </c>
      <c r="EU65" s="20" t="n">
        <f aca="false">IF(AND(EM65=1,Slot13_IsMfree=1),IF(ER65&gt;=Slot13_Cost-1,0,MAX(0,EK65-ER65)),EK65)</f>
        <v>0</v>
      </c>
      <c r="EV65" s="20" t="n">
        <f aca="false">EM65*(Slot13_Cost-ER65)</f>
        <v>0</v>
      </c>
      <c r="EW65" s="20" t="n">
        <f aca="false">IF(AND(Slot14_On=1,D65=Slot14_Age),1,0)</f>
        <v>0</v>
      </c>
      <c r="EX65" s="20" t="n">
        <f aca="false">IF(AND(Slot14_On=1,Slot14_Age&gt;D65),1,0)</f>
        <v>0</v>
      </c>
      <c r="EY65" s="20" t="n">
        <f aca="false">SM64</f>
        <v>0</v>
      </c>
      <c r="EZ65" s="20" t="n">
        <f aca="false">EW65*MIN(Slot14_Cost,EY65)</f>
        <v>0</v>
      </c>
      <c r="FA65" s="20" t="n">
        <f aca="false">EW65*Slot14_SpendLike*MIN(Slot14_Cost-EZ65,ES65)</f>
        <v>0</v>
      </c>
      <c r="FB65" s="20" t="n">
        <f aca="false">EZ65+FA65</f>
        <v>0</v>
      </c>
      <c r="FC65" s="20" t="n">
        <f aca="false">ES65-FA65+EW65*IF(Slot14_SpendLike=1,EY65-EZ65,IF(Slot14_PotFree=1,EY65,0))</f>
        <v>0</v>
      </c>
      <c r="FD65" s="20" t="n">
        <f aca="false">ET65+EW65*Slot14_BufPot*EY65</f>
        <v>0</v>
      </c>
      <c r="FE65" s="20" t="n">
        <f aca="false">IF(AND(EW65=1,Slot14_IsMfree=1),IF(FB65&gt;=Slot14_Cost-1,0,MAX(0,EU65-FB65)),EU65)</f>
        <v>0</v>
      </c>
      <c r="FF65" s="20" t="n">
        <f aca="false">EW65*(Slot14_Cost-FB65)</f>
        <v>0</v>
      </c>
      <c r="FG65" s="20" t="n">
        <f aca="false">IF(AND(Slot15_On=1,D65=Slot15_Age),1,0)</f>
        <v>0</v>
      </c>
      <c r="FH65" s="20" t="n">
        <f aca="false">IF(AND(Slot15_On=1,Slot15_Age&gt;D65),1,0)</f>
        <v>0</v>
      </c>
      <c r="FI65" s="20" t="n">
        <f aca="false">SQ64</f>
        <v>0</v>
      </c>
      <c r="FJ65" s="20" t="n">
        <f aca="false">FG65*MIN(Slot15_Cost,FI65)</f>
        <v>0</v>
      </c>
      <c r="FK65" s="20" t="n">
        <f aca="false">FG65*Slot15_SpendLike*MIN(Slot15_Cost-FJ65,FC65)</f>
        <v>0</v>
      </c>
      <c r="FL65" s="20" t="n">
        <f aca="false">FJ65+FK65</f>
        <v>0</v>
      </c>
      <c r="FM65" s="20" t="n">
        <f aca="false">FC65-FK65+FG65*IF(Slot15_SpendLike=1,FI65-FJ65,IF(Slot15_PotFree=1,FI65,0))</f>
        <v>0</v>
      </c>
      <c r="FN65" s="20" t="n">
        <f aca="false">FD65+FG65*Slot15_BufPot*FI65</f>
        <v>0</v>
      </c>
      <c r="FO65" s="20" t="n">
        <f aca="false">IF(AND(FG65=1,Slot15_IsMfree=1),IF(FL65&gt;=Slot15_Cost-1,0,MAX(0,FE65-FL65)),FE65)</f>
        <v>0</v>
      </c>
      <c r="FP65" s="20" t="n">
        <f aca="false">FG65*(Slot15_Cost-FL65)</f>
        <v>0</v>
      </c>
      <c r="FQ65" s="20" t="n">
        <f aca="false">IF(AND(Slot16_On=1,D65=Slot16_Age),1,0)</f>
        <v>0</v>
      </c>
      <c r="FR65" s="20" t="n">
        <f aca="false">IF(AND(Slot16_On=1,Slot16_Age&gt;D65),1,0)</f>
        <v>0</v>
      </c>
      <c r="FS65" s="20" t="n">
        <f aca="false">SU64</f>
        <v>0</v>
      </c>
      <c r="FT65" s="20" t="n">
        <f aca="false">FQ65*MIN(Slot16_Cost,FS65)</f>
        <v>0</v>
      </c>
      <c r="FU65" s="20" t="n">
        <f aca="false">FQ65*Slot16_SpendLike*MIN(Slot16_Cost-FT65,FM65)</f>
        <v>0</v>
      </c>
      <c r="FV65" s="20" t="n">
        <f aca="false">FT65+FU65</f>
        <v>0</v>
      </c>
      <c r="FW65" s="20" t="n">
        <f aca="false">FM65-FU65+FQ65*IF(Slot16_SpendLike=1,FS65-FT65,IF(Slot16_PotFree=1,FS65,0))</f>
        <v>0</v>
      </c>
      <c r="FX65" s="20" t="n">
        <f aca="false">FN65+FQ65*Slot16_BufPot*FS65</f>
        <v>0</v>
      </c>
      <c r="FY65" s="20" t="n">
        <f aca="false">IF(AND(FQ65=1,Slot16_IsMfree=1),IF(FV65&gt;=Slot16_Cost-1,0,MAX(0,FO65-FV65)),FO65)</f>
        <v>0</v>
      </c>
      <c r="FZ65" s="20" t="n">
        <f aca="false">FQ65*(Slot16_Cost-FV65)</f>
        <v>0</v>
      </c>
      <c r="GA65" s="20" t="n">
        <f aca="false">IF(AND(Slot17_On=1,D65=Slot17_Age),1,0)</f>
        <v>0</v>
      </c>
      <c r="GB65" s="20" t="n">
        <f aca="false">IF(AND(Slot17_On=1,Slot17_Age&gt;D65),1,0)</f>
        <v>0</v>
      </c>
      <c r="GC65" s="20" t="n">
        <f aca="false">SY64</f>
        <v>0</v>
      </c>
      <c r="GD65" s="20" t="n">
        <f aca="false">GA65*MIN(Slot17_Cost,GC65)</f>
        <v>0</v>
      </c>
      <c r="GE65" s="20" t="n">
        <f aca="false">GA65*Slot17_SpendLike*MIN(Slot17_Cost-GD65,FW65)</f>
        <v>0</v>
      </c>
      <c r="GF65" s="20" t="n">
        <f aca="false">GD65+GE65</f>
        <v>0</v>
      </c>
      <c r="GG65" s="20" t="n">
        <f aca="false">FW65-GE65+GA65*IF(Slot17_SpendLike=1,GC65-GD65,IF(Slot17_PotFree=1,GC65,0))</f>
        <v>0</v>
      </c>
      <c r="GH65" s="20" t="n">
        <f aca="false">FX65+GA65*Slot17_BufPot*GC65</f>
        <v>0</v>
      </c>
      <c r="GI65" s="20" t="n">
        <f aca="false">IF(AND(GA65=1,Slot17_IsMfree=1),IF(GF65&gt;=Slot17_Cost-1,0,MAX(0,FY65-GF65)),FY65)</f>
        <v>0</v>
      </c>
      <c r="GJ65" s="20" t="n">
        <f aca="false">GA65*(Slot17_Cost-GF65)</f>
        <v>0</v>
      </c>
      <c r="GK65" s="20" t="n">
        <f aca="false">IF(AND(Slot18_On=1,D65=Slot18_Age),1,0)</f>
        <v>0</v>
      </c>
      <c r="GL65" s="20" t="n">
        <f aca="false">IF(AND(Slot18_On=1,Slot18_Age&gt;D65),1,0)</f>
        <v>0</v>
      </c>
      <c r="GM65" s="20" t="n">
        <f aca="false">TC64</f>
        <v>0</v>
      </c>
      <c r="GN65" s="20" t="n">
        <f aca="false">GK65*MIN(Slot18_Cost,GM65)</f>
        <v>0</v>
      </c>
      <c r="GO65" s="20" t="n">
        <f aca="false">GK65*Slot18_SpendLike*MIN(Slot18_Cost-GN65,GG65)</f>
        <v>0</v>
      </c>
      <c r="GP65" s="20" t="n">
        <f aca="false">GN65+GO65</f>
        <v>0</v>
      </c>
      <c r="GQ65" s="20" t="n">
        <f aca="false">GG65-GO65+GK65*IF(Slot18_SpendLike=1,GM65-GN65,IF(Slot18_PotFree=1,GM65,0))</f>
        <v>0</v>
      </c>
      <c r="GR65" s="20" t="n">
        <f aca="false">GH65+GK65*Slot18_BufPot*GM65</f>
        <v>0</v>
      </c>
      <c r="GS65" s="20" t="n">
        <f aca="false">IF(AND(GK65=1,Slot18_IsMfree=1),IF(GP65&gt;=Slot18_Cost-1,0,MAX(0,GI65-GP65)),GI65)</f>
        <v>0</v>
      </c>
      <c r="GT65" s="20" t="n">
        <f aca="false">GK65*(Slot18_Cost-GP65)</f>
        <v>0</v>
      </c>
      <c r="GU65" s="20" t="n">
        <f aca="false">IF(AND(Slot19_On=1,D65=Slot19_Age),1,0)</f>
        <v>0</v>
      </c>
      <c r="GV65" s="20" t="n">
        <f aca="false">IF(AND(Slot19_On=1,Slot19_Age&gt;D65),1,0)</f>
        <v>0</v>
      </c>
      <c r="GW65" s="20" t="n">
        <f aca="false">TG64</f>
        <v>0</v>
      </c>
      <c r="GX65" s="20" t="n">
        <f aca="false">GU65*MIN(Slot19_Cost,GW65)</f>
        <v>0</v>
      </c>
      <c r="GY65" s="20" t="n">
        <f aca="false">GU65*Slot19_SpendLike*MIN(Slot19_Cost-GX65,GQ65)</f>
        <v>0</v>
      </c>
      <c r="GZ65" s="20" t="n">
        <f aca="false">GX65+GY65</f>
        <v>0</v>
      </c>
      <c r="HA65" s="20" t="n">
        <f aca="false">GQ65-GY65+GU65*IF(Slot19_SpendLike=1,GW65-GX65,IF(Slot19_PotFree=1,GW65,0))</f>
        <v>0</v>
      </c>
      <c r="HB65" s="20" t="n">
        <f aca="false">GR65+GU65*Slot19_BufPot*GW65</f>
        <v>0</v>
      </c>
      <c r="HC65" s="20" t="n">
        <f aca="false">IF(AND(GU65=1,Slot19_IsMfree=1),IF(GZ65&gt;=Slot19_Cost-1,0,MAX(0,GS65-GZ65)),GS65)</f>
        <v>0</v>
      </c>
      <c r="HD65" s="20" t="n">
        <f aca="false">GU65*(Slot19_Cost-GZ65)</f>
        <v>0</v>
      </c>
      <c r="HE65" s="20" t="n">
        <f aca="false">IF(AND(Slot20_On=1,D65=Slot20_Age),1,0)</f>
        <v>0</v>
      </c>
      <c r="HF65" s="20" t="n">
        <f aca="false">IF(AND(Slot20_On=1,Slot20_Age&gt;D65),1,0)</f>
        <v>0</v>
      </c>
      <c r="HG65" s="20" t="n">
        <f aca="false">TK64</f>
        <v>0</v>
      </c>
      <c r="HH65" s="20" t="n">
        <f aca="false">HE65*MIN(Slot20_Cost,HG65)</f>
        <v>0</v>
      </c>
      <c r="HI65" s="20" t="n">
        <f aca="false">HE65*Slot20_SpendLike*MIN(Slot20_Cost-HH65,HA65)</f>
        <v>0</v>
      </c>
      <c r="HJ65" s="20" t="n">
        <f aca="false">HH65+HI65</f>
        <v>0</v>
      </c>
      <c r="HK65" s="20" t="n">
        <f aca="false">HA65-HI65+HE65*IF(Slot20_SpendLike=1,HG65-HH65,IF(Slot20_PotFree=1,HG65,0))</f>
        <v>0</v>
      </c>
      <c r="HL65" s="20" t="n">
        <f aca="false">HB65+HE65*Slot20_BufPot*HG65</f>
        <v>0</v>
      </c>
      <c r="HM65" s="20" t="n">
        <f aca="false">IF(AND(HE65=1,Slot20_IsMfree=1),IF(HJ65&gt;=Slot20_Cost-1,0,MAX(0,HC65-HJ65)),HC65)</f>
        <v>0</v>
      </c>
      <c r="HN65" s="20" t="n">
        <f aca="false">HE65*(Slot20_Cost-HJ65)</f>
        <v>0</v>
      </c>
      <c r="HO65" s="20" t="n">
        <f aca="false">V65*Slot1_SpendLike*AA65+AG65*Slot2_SpendLike*AL65+AQ65*Slot3_SpendLike*AV65+BA65*Slot4_SpendLike*BF65+BK65*Slot5_SpendLike*BP65+BU65*Slot6_SpendLike*BZ65+CE65*Slot7_SpendLike*CJ65+CO65*Slot8_SpendLike*CT65+CY65*Slot9_SpendLike*DD65+DI65*Slot10_SpendLike*DN65+DS65*Slot11_SpendLike*DX65+EC65*Slot12_SpendLike*EH65+EM65*Slot13_SpendLike*ER65+EW65*Slot14_SpendLike*FB65+FG65*Slot15_SpendLike*FL65+FQ65*Slot16_SpendLike*FV65+GA65*Slot17_SpendLike*GF65+GK65*Slot18_SpendLike*GP65+GU65*Slot19_SpendLike*GZ65+HE65*Slot20_SpendLike*HJ65</f>
        <v>0</v>
      </c>
      <c r="HP65" s="20" t="n">
        <f aca="false">AE65+AP65+AZ65+BJ65+BT65+CD65+CN65+CX65+DH65+DR65+EB65+EL65+EV65+FF65+FP65+FZ65+GJ65+GT65+HD65+HN65</f>
        <v>0</v>
      </c>
      <c r="HQ65" s="20" t="n">
        <f aca="false">V65*Slot1_Cost+AG65*Slot2_Cost+AQ65*Slot3_Cost+BA65*Slot4_Cost+BK65*Slot5_Cost+BU65*Slot6_Cost+CE65*Slot7_Cost+CO65*Slot8_Cost+CY65*Slot9_Cost+DI65*Slot10_Cost+DS65*Slot11_Cost+EC65*Slot12_Cost+EM65*Slot13_Cost+EW65*Slot14_Cost+FG65*Slot15_Cost+FQ65*Slot16_Cost+GA65*Slot17_Cost+GK65*Slot18_Cost+GU65*Slot19_Cost+HE65*Slot20_Cost</f>
        <v>0</v>
      </c>
      <c r="HR65" s="20" t="n">
        <f aca="false">HM65</f>
        <v>0</v>
      </c>
      <c r="HS65" s="20" t="n">
        <f aca="false">H65-I65-S65</f>
        <v>-29475.9988264829</v>
      </c>
      <c r="HT65" s="20" t="n">
        <f aca="false">IF(B65=0,IF(AND(Has_q6=1,In_q6=4),PR_ShareVaries*(MAX(0,HS65)/12),MIN(IF(Has_q6=1,CHOOSE(In_q6+1,PR_SaveB1,PR_SaveB2,PR_SaveB3,PR_SaveB4,0),AS_NoAnswer),AS_SaveShare*(MAX(0,HS65)/12))),HT64)</f>
        <v>67.3316893520437</v>
      </c>
      <c r="HU65" s="20" t="n">
        <f aca="false">IF(HS65&gt;=0,1,0)</f>
        <v>0</v>
      </c>
      <c r="HV65" s="20" t="n">
        <f aca="false">MAX(0,HS65/12/F65)</f>
        <v>0</v>
      </c>
      <c r="HW65" s="20" t="n">
        <f aca="false">IF(AND(Has_q6=1,In_q6=4),PR_ShareVaries*(HV65),MIN(IF(Has_q6=1,CHOOSE(In_q6+1,PR_SaveB1,PR_SaveB2,PR_SaveB3,PR_SaveB4,0),AS_NoAnswer),AS_SaveShare*(HV65)))</f>
        <v>0</v>
      </c>
      <c r="HX65" s="20" t="n">
        <f aca="false">IF(Has_saveM=1,IF(In_saveUp="Yes",1,IF(In_saveUp="No",0,IF(In_saveM&gt;=HT65-0.5,1,0))),0)</f>
        <v>0</v>
      </c>
      <c r="HY65" s="20" t="n">
        <f aca="false">IF(Has_saveM=1,MIN(HV65,IF(HX65=1,MAX(In_saveM,HW65),MIN(In_saveM,HW65))),HW65)</f>
        <v>0</v>
      </c>
      <c r="HZ65" s="20" t="n">
        <f aca="false">IF(G65=1,HY65*12*F65,0)</f>
        <v>0</v>
      </c>
      <c r="IA65" s="20" t="n">
        <f aca="false">MAX(0,HZ65+IF(AND(WI_Retire=0,WI_M&lt;0,G65=1),WI_M*12*F65,0))</f>
        <v>0</v>
      </c>
      <c r="IB65" s="20" t="n">
        <f aca="false">Slot1_IsWG*W65+Slot2_IsWG*AH65+Slot3_IsWG*AR65+Slot4_IsWG*BB65+Slot5_IsWG*BL65+Slot6_IsWG*BV65+Slot7_IsWG*CF65+Slot8_IsWG*CP65+Slot9_IsWG*CZ65+Slot10_IsWG*DJ65+Slot11_IsWG*DT65+Slot12_IsWG*ED65+Slot13_IsWG*EN65+Slot14_IsWG*EX65+Slot15_IsWG*FH65+Slot16_IsWG*FR65+Slot17_IsWG*GB65+Slot18_IsWG*GL65+Slot19_IsWG*GV65+Slot20_IsWG*HF65</f>
        <v>0</v>
      </c>
      <c r="IC65" s="20" t="n">
        <f aca="false">IF(AND(WI_Retire=0,WI_M&gt;0,G65=1,IB65&gt;=1),WI_M*12*F65,0)</f>
        <v>0</v>
      </c>
      <c r="ID65" s="20" t="n">
        <f aca="false">IF(HU65=1,MIN(IA65,HS65),0)</f>
        <v>0</v>
      </c>
      <c r="IE65" s="20" t="n">
        <f aca="false">IF(HU65=1,MIN(IC65,HS65-ID65),0)</f>
        <v>0</v>
      </c>
      <c r="IF65" s="20" t="n">
        <f aca="false">IF(W65=1,IF(ABS((1+AS_Wage)/(1+Slot1_Rate)-1)&lt;0.000000000001,(Slot1_Age-D65)*(1+Slot1_Rate)^(Slot1_Age-D65),(1+Slot1_Rate)^(Slot1_Age-D65)*(1-((1+AS_Wage)/(1+Slot1_Rate))^(Slot1_Age-D65))/(1-(1+AS_Wage)/(1+Slot1_Rate))),1)</f>
        <v>1</v>
      </c>
      <c r="IG65" s="20" t="n">
        <f aca="false">IF(AND(HU65=1,IE65&gt;0,Slot1_IsWG=1,W65=1),MAX(0,(Slot1_Cost-X65*(1+Slot1_Rate)^(Slot1_Age-D65))/IF65),0)</f>
        <v>0</v>
      </c>
      <c r="IH65" s="20" t="n">
        <f aca="false">IF(AND(HU65=1,IE65&gt;0,Slot1_IsWG=1,W65=1),MIN(IE65,IG65),0)</f>
        <v>0</v>
      </c>
      <c r="II65" s="20" t="n">
        <f aca="false">X65+IH65</f>
        <v>0</v>
      </c>
      <c r="IJ65" s="20" t="n">
        <f aca="false">IF(W65=1,MAX(0,(Slot1_Cost-II65*(1+Slot1_Rate)^(Slot1_Age-D65))/IF65),0)</f>
        <v>0</v>
      </c>
      <c r="IK65" s="20" t="n">
        <f aca="false">IF(W65=1,MAX(0,(Slot1_Cost-X65*(1+Slot1_Rate)^(Slot1_Age-D65))/IF65),0)</f>
        <v>0</v>
      </c>
      <c r="IL65" s="20" t="n">
        <f aca="false">IF(AND(HU65=1,W65=1),MIN(ID65,IJ65),0)</f>
        <v>0</v>
      </c>
      <c r="IM65" s="20" t="n">
        <f aca="false">ID65-IL65</f>
        <v>0</v>
      </c>
      <c r="IN65" s="20" t="n">
        <f aca="false">IF(AH65=1,IF(ABS((1+AS_Wage)/(1+Slot2_Rate)-1)&lt;0.000000000001,(Slot2_Age-D65)*(1+Slot2_Rate)^(Slot2_Age-D65),(1+Slot2_Rate)^(Slot2_Age-D65)*(1-((1+AS_Wage)/(1+Slot2_Rate))^(Slot2_Age-D65))/(1-(1+AS_Wage)/(1+Slot2_Rate))),1)</f>
        <v>1</v>
      </c>
      <c r="IO65" s="20" t="n">
        <f aca="false">IF(AND(HU65=1,IE65&gt;0,Slot2_IsWG=1,AH65=1),MAX(0,(Slot2_Cost-AI65*(1+Slot2_Rate)^(Slot2_Age-D65))/IN65),0)</f>
        <v>0</v>
      </c>
      <c r="IP65" s="20" t="n">
        <f aca="false">IF(AND(HU65=1,IE65&gt;0,Slot2_IsWG=1,AH65=1),MIN(IE65,IO65),0)</f>
        <v>0</v>
      </c>
      <c r="IQ65" s="20" t="n">
        <f aca="false">AI65+IP65</f>
        <v>0</v>
      </c>
      <c r="IR65" s="20" t="n">
        <f aca="false">IF(AH65=1,MAX(0,(Slot2_Cost-IQ65*(1+Slot2_Rate)^(Slot2_Age-D65))/IN65),0)</f>
        <v>0</v>
      </c>
      <c r="IS65" s="20" t="n">
        <f aca="false">IF(AH65=1,MAX(0,(Slot2_Cost-AI65*(1+Slot2_Rate)^(Slot2_Age-D65))/IN65),0)</f>
        <v>0</v>
      </c>
      <c r="IT65" s="20" t="n">
        <f aca="false">IF(AND(HU65=1,AH65=1),MIN(IM65,IR65),0)</f>
        <v>0</v>
      </c>
      <c r="IU65" s="20" t="n">
        <f aca="false">IM65-IT65</f>
        <v>0</v>
      </c>
      <c r="IV65" s="20" t="n">
        <f aca="false">IF(AR65=1,IF(ABS((1+AS_Wage)/(1+Slot3_Rate)-1)&lt;0.000000000001,(Slot3_Age-D65)*(1+Slot3_Rate)^(Slot3_Age-D65),(1+Slot3_Rate)^(Slot3_Age-D65)*(1-((1+AS_Wage)/(1+Slot3_Rate))^(Slot3_Age-D65))/(1-(1+AS_Wage)/(1+Slot3_Rate))),1)</f>
        <v>1</v>
      </c>
      <c r="IW65" s="20" t="n">
        <f aca="false">IF(AND(HU65=1,IE65&gt;0,Slot3_IsWG=1,AR65=1),MAX(0,(Slot3_Cost-AS65*(1+Slot3_Rate)^(Slot3_Age-D65))/IV65),0)</f>
        <v>0</v>
      </c>
      <c r="IX65" s="20" t="n">
        <f aca="false">IF(AND(HU65=1,IE65&gt;0,Slot3_IsWG=1,AR65=1),MIN(IE65,IW65),0)</f>
        <v>0</v>
      </c>
      <c r="IY65" s="20" t="n">
        <f aca="false">AS65+IX65</f>
        <v>0</v>
      </c>
      <c r="IZ65" s="20" t="n">
        <f aca="false">IF(AR65=1,MAX(0,(Slot3_Cost-IY65*(1+Slot3_Rate)^(Slot3_Age-D65))/IV65),0)</f>
        <v>0</v>
      </c>
      <c r="JA65" s="20" t="n">
        <f aca="false">IF(AR65=1,MAX(0,(Slot3_Cost-AS65*(1+Slot3_Rate)^(Slot3_Age-D65))/IV65),0)</f>
        <v>0</v>
      </c>
      <c r="JB65" s="20" t="n">
        <f aca="false">IF(AND(HU65=1,AR65=1),MIN(IU65,IZ65),0)</f>
        <v>0</v>
      </c>
      <c r="JC65" s="20" t="n">
        <f aca="false">IU65-JB65</f>
        <v>0</v>
      </c>
      <c r="JD65" s="20" t="n">
        <f aca="false">IF(BB65=1,IF(ABS((1+AS_Wage)/(1+Slot4_Rate)-1)&lt;0.000000000001,(Slot4_Age-D65)*(1+Slot4_Rate)^(Slot4_Age-D65),(1+Slot4_Rate)^(Slot4_Age-D65)*(1-((1+AS_Wage)/(1+Slot4_Rate))^(Slot4_Age-D65))/(1-(1+AS_Wage)/(1+Slot4_Rate))),1)</f>
        <v>1</v>
      </c>
      <c r="JE65" s="20" t="n">
        <f aca="false">IF(AND(HU65=1,IE65&gt;0,Slot4_IsWG=1,BB65=1),MAX(0,(Slot4_Cost-BC65*(1+Slot4_Rate)^(Slot4_Age-D65))/JD65),0)</f>
        <v>0</v>
      </c>
      <c r="JF65" s="20" t="n">
        <f aca="false">IF(AND(HU65=1,IE65&gt;0,Slot4_IsWG=1,BB65=1),MIN(IE65,JE65),0)</f>
        <v>0</v>
      </c>
      <c r="JG65" s="20" t="n">
        <f aca="false">BC65+JF65</f>
        <v>0</v>
      </c>
      <c r="JH65" s="20" t="n">
        <f aca="false">IF(BB65=1,MAX(0,(Slot4_Cost-JG65*(1+Slot4_Rate)^(Slot4_Age-D65))/JD65),0)</f>
        <v>0</v>
      </c>
      <c r="JI65" s="20" t="n">
        <f aca="false">IF(BB65=1,MAX(0,(Slot4_Cost-BC65*(1+Slot4_Rate)^(Slot4_Age-D65))/JD65),0)</f>
        <v>0</v>
      </c>
      <c r="JJ65" s="20" t="n">
        <f aca="false">IF(AND(HU65=1,BB65=1),MIN(JC65,JH65),0)</f>
        <v>0</v>
      </c>
      <c r="JK65" s="20" t="n">
        <f aca="false">JC65-JJ65</f>
        <v>0</v>
      </c>
      <c r="JL65" s="20" t="n">
        <f aca="false">IF(BL65=1,IF(ABS((1+AS_Wage)/(1+Slot5_Rate)-1)&lt;0.000000000001,(Slot5_Age-D65)*(1+Slot5_Rate)^(Slot5_Age-D65),(1+Slot5_Rate)^(Slot5_Age-D65)*(1-((1+AS_Wage)/(1+Slot5_Rate))^(Slot5_Age-D65))/(1-(1+AS_Wage)/(1+Slot5_Rate))),1)</f>
        <v>1</v>
      </c>
      <c r="JM65" s="20" t="n">
        <f aca="false">IF(AND(HU65=1,IE65&gt;0,Slot5_IsWG=1,BL65=1),MAX(0,(Slot5_Cost-BM65*(1+Slot5_Rate)^(Slot5_Age-D65))/JL65),0)</f>
        <v>0</v>
      </c>
      <c r="JN65" s="20" t="n">
        <f aca="false">IF(AND(HU65=1,IE65&gt;0,Slot5_IsWG=1,BL65=1),MIN(IE65,JM65),0)</f>
        <v>0</v>
      </c>
      <c r="JO65" s="20" t="n">
        <f aca="false">BM65+JN65</f>
        <v>0</v>
      </c>
      <c r="JP65" s="20" t="n">
        <f aca="false">IF(BL65=1,MAX(0,(Slot5_Cost-JO65*(1+Slot5_Rate)^(Slot5_Age-D65))/JL65),0)</f>
        <v>0</v>
      </c>
      <c r="JQ65" s="20" t="n">
        <f aca="false">IF(BL65=1,MAX(0,(Slot5_Cost-BM65*(1+Slot5_Rate)^(Slot5_Age-D65))/JL65),0)</f>
        <v>0</v>
      </c>
      <c r="JR65" s="20" t="n">
        <f aca="false">IF(AND(HU65=1,BL65=1),MIN(JK65,JP65),0)</f>
        <v>0</v>
      </c>
      <c r="JS65" s="20" t="n">
        <f aca="false">JK65-JR65</f>
        <v>0</v>
      </c>
      <c r="JT65" s="20" t="n">
        <f aca="false">IF(BV65=1,IF(ABS((1+AS_Wage)/(1+Slot6_Rate)-1)&lt;0.000000000001,(Slot6_Age-D65)*(1+Slot6_Rate)^(Slot6_Age-D65),(1+Slot6_Rate)^(Slot6_Age-D65)*(1-((1+AS_Wage)/(1+Slot6_Rate))^(Slot6_Age-D65))/(1-(1+AS_Wage)/(1+Slot6_Rate))),1)</f>
        <v>1</v>
      </c>
      <c r="JU65" s="20" t="n">
        <f aca="false">IF(AND(HU65=1,IE65&gt;0,Slot6_IsWG=1,BV65=1),MAX(0,(Slot6_Cost-BW65*(1+Slot6_Rate)^(Slot6_Age-D65))/JT65),0)</f>
        <v>0</v>
      </c>
      <c r="JV65" s="20" t="n">
        <f aca="false">IF(AND(HU65=1,IE65&gt;0,Slot6_IsWG=1,BV65=1),MIN(IE65,JU65),0)</f>
        <v>0</v>
      </c>
      <c r="JW65" s="20" t="n">
        <f aca="false">BW65+JV65</f>
        <v>0</v>
      </c>
      <c r="JX65" s="20" t="n">
        <f aca="false">IF(BV65=1,MAX(0,(Slot6_Cost-JW65*(1+Slot6_Rate)^(Slot6_Age-D65))/JT65),0)</f>
        <v>0</v>
      </c>
      <c r="JY65" s="20" t="n">
        <f aca="false">IF(BV65=1,MAX(0,(Slot6_Cost-BW65*(1+Slot6_Rate)^(Slot6_Age-D65))/JT65),0)</f>
        <v>0</v>
      </c>
      <c r="JZ65" s="20" t="n">
        <f aca="false">IF(AND(HU65=1,BV65=1),MIN(JS65,JX65),0)</f>
        <v>0</v>
      </c>
      <c r="KA65" s="20" t="n">
        <f aca="false">JS65-JZ65</f>
        <v>0</v>
      </c>
      <c r="KB65" s="20" t="n">
        <f aca="false">IF(CF65=1,IF(ABS((1+AS_Wage)/(1+Slot7_Rate)-1)&lt;0.000000000001,(Slot7_Age-D65)*(1+Slot7_Rate)^(Slot7_Age-D65),(1+Slot7_Rate)^(Slot7_Age-D65)*(1-((1+AS_Wage)/(1+Slot7_Rate))^(Slot7_Age-D65))/(1-(1+AS_Wage)/(1+Slot7_Rate))),1)</f>
        <v>1</v>
      </c>
      <c r="KC65" s="20" t="n">
        <f aca="false">IF(AND(HU65=1,IE65&gt;0,Slot7_IsWG=1,CF65=1),MAX(0,(Slot7_Cost-CG65*(1+Slot7_Rate)^(Slot7_Age-D65))/KB65),0)</f>
        <v>0</v>
      </c>
      <c r="KD65" s="20" t="n">
        <f aca="false">IF(AND(HU65=1,IE65&gt;0,Slot7_IsWG=1,CF65=1),MIN(IE65,KC65),0)</f>
        <v>0</v>
      </c>
      <c r="KE65" s="20" t="n">
        <f aca="false">CG65+KD65</f>
        <v>0</v>
      </c>
      <c r="KF65" s="20" t="n">
        <f aca="false">IF(CF65=1,MAX(0,(Slot7_Cost-KE65*(1+Slot7_Rate)^(Slot7_Age-D65))/KB65),0)</f>
        <v>0</v>
      </c>
      <c r="KG65" s="20" t="n">
        <f aca="false">IF(CF65=1,MAX(0,(Slot7_Cost-CG65*(1+Slot7_Rate)^(Slot7_Age-D65))/KB65),0)</f>
        <v>0</v>
      </c>
      <c r="KH65" s="20" t="n">
        <f aca="false">IF(AND(HU65=1,CF65=1),MIN(KA65,KF65),0)</f>
        <v>0</v>
      </c>
      <c r="KI65" s="20" t="n">
        <f aca="false">KA65-KH65</f>
        <v>0</v>
      </c>
      <c r="KJ65" s="20" t="n">
        <f aca="false">IF(CP65=1,IF(ABS((1+AS_Wage)/(1+Slot8_Rate)-1)&lt;0.000000000001,(Slot8_Age-D65)*(1+Slot8_Rate)^(Slot8_Age-D65),(1+Slot8_Rate)^(Slot8_Age-D65)*(1-((1+AS_Wage)/(1+Slot8_Rate))^(Slot8_Age-D65))/(1-(1+AS_Wage)/(1+Slot8_Rate))),1)</f>
        <v>1</v>
      </c>
      <c r="KK65" s="20" t="n">
        <f aca="false">IF(AND(HU65=1,IE65&gt;0,Slot8_IsWG=1,CP65=1),MAX(0,(Slot8_Cost-CQ65*(1+Slot8_Rate)^(Slot8_Age-D65))/KJ65),0)</f>
        <v>0</v>
      </c>
      <c r="KL65" s="20" t="n">
        <f aca="false">IF(AND(HU65=1,IE65&gt;0,Slot8_IsWG=1,CP65=1),MIN(IE65,KK65),0)</f>
        <v>0</v>
      </c>
      <c r="KM65" s="20" t="n">
        <f aca="false">CQ65+KL65</f>
        <v>0</v>
      </c>
      <c r="KN65" s="20" t="n">
        <f aca="false">IF(CP65=1,MAX(0,(Slot8_Cost-KM65*(1+Slot8_Rate)^(Slot8_Age-D65))/KJ65),0)</f>
        <v>0</v>
      </c>
      <c r="KO65" s="20" t="n">
        <f aca="false">IF(CP65=1,MAX(0,(Slot8_Cost-CQ65*(1+Slot8_Rate)^(Slot8_Age-D65))/KJ65),0)</f>
        <v>0</v>
      </c>
      <c r="KP65" s="20" t="n">
        <f aca="false">IF(AND(HU65=1,CP65=1),MIN(KI65,KN65),0)</f>
        <v>0</v>
      </c>
      <c r="KQ65" s="20" t="n">
        <f aca="false">KI65-KP65</f>
        <v>0</v>
      </c>
      <c r="KR65" s="20" t="n">
        <f aca="false">IF(CZ65=1,IF(ABS((1+AS_Wage)/(1+Slot9_Rate)-1)&lt;0.000000000001,(Slot9_Age-D65)*(1+Slot9_Rate)^(Slot9_Age-D65),(1+Slot9_Rate)^(Slot9_Age-D65)*(1-((1+AS_Wage)/(1+Slot9_Rate))^(Slot9_Age-D65))/(1-(1+AS_Wage)/(1+Slot9_Rate))),1)</f>
        <v>1</v>
      </c>
      <c r="KS65" s="20" t="n">
        <f aca="false">IF(AND(HU65=1,IE65&gt;0,Slot9_IsWG=1,CZ65=1),MAX(0,(Slot9_Cost-DA65*(1+Slot9_Rate)^(Slot9_Age-D65))/KR65),0)</f>
        <v>0</v>
      </c>
      <c r="KT65" s="20" t="n">
        <f aca="false">IF(AND(HU65=1,IE65&gt;0,Slot9_IsWG=1,CZ65=1),MIN(IE65,KS65),0)</f>
        <v>0</v>
      </c>
      <c r="KU65" s="20" t="n">
        <f aca="false">DA65+KT65</f>
        <v>0</v>
      </c>
      <c r="KV65" s="20" t="n">
        <f aca="false">IF(CZ65=1,MAX(0,(Slot9_Cost-KU65*(1+Slot9_Rate)^(Slot9_Age-D65))/KR65),0)</f>
        <v>0</v>
      </c>
      <c r="KW65" s="20" t="n">
        <f aca="false">IF(CZ65=1,MAX(0,(Slot9_Cost-DA65*(1+Slot9_Rate)^(Slot9_Age-D65))/KR65),0)</f>
        <v>0</v>
      </c>
      <c r="KX65" s="20" t="n">
        <f aca="false">IF(AND(HU65=1,CZ65=1),MIN(KQ65,KV65),0)</f>
        <v>0</v>
      </c>
      <c r="KY65" s="20" t="n">
        <f aca="false">KQ65-KX65</f>
        <v>0</v>
      </c>
      <c r="KZ65" s="20" t="n">
        <f aca="false">IF(DJ65=1,IF(ABS((1+AS_Wage)/(1+Slot10_Rate)-1)&lt;0.000000000001,(Slot10_Age-D65)*(1+Slot10_Rate)^(Slot10_Age-D65),(1+Slot10_Rate)^(Slot10_Age-D65)*(1-((1+AS_Wage)/(1+Slot10_Rate))^(Slot10_Age-D65))/(1-(1+AS_Wage)/(1+Slot10_Rate))),1)</f>
        <v>1</v>
      </c>
      <c r="LA65" s="20" t="n">
        <f aca="false">IF(AND(HU65=1,IE65&gt;0,Slot10_IsWG=1,DJ65=1),MAX(0,(Slot10_Cost-DK65*(1+Slot10_Rate)^(Slot10_Age-D65))/KZ65),0)</f>
        <v>0</v>
      </c>
      <c r="LB65" s="20" t="n">
        <f aca="false">IF(AND(HU65=1,IE65&gt;0,Slot10_IsWG=1,DJ65=1),MIN(IE65,LA65),0)</f>
        <v>0</v>
      </c>
      <c r="LC65" s="20" t="n">
        <f aca="false">DK65+LB65</f>
        <v>0</v>
      </c>
      <c r="LD65" s="20" t="n">
        <f aca="false">IF(DJ65=1,MAX(0,(Slot10_Cost-LC65*(1+Slot10_Rate)^(Slot10_Age-D65))/KZ65),0)</f>
        <v>0</v>
      </c>
      <c r="LE65" s="20" t="n">
        <f aca="false">IF(DJ65=1,MAX(0,(Slot10_Cost-DK65*(1+Slot10_Rate)^(Slot10_Age-D65))/KZ65),0)</f>
        <v>0</v>
      </c>
      <c r="LF65" s="20" t="n">
        <f aca="false">IF(AND(HU65=1,DJ65=1),MIN(KY65,LD65),0)</f>
        <v>0</v>
      </c>
      <c r="LG65" s="20" t="n">
        <f aca="false">KY65-LF65</f>
        <v>0</v>
      </c>
      <c r="LH65" s="20" t="n">
        <f aca="false">IF(DT65=1,IF(ABS((1+AS_Wage)/(1+Slot11_Rate)-1)&lt;0.000000000001,(Slot11_Age-D65)*(1+Slot11_Rate)^(Slot11_Age-D65),(1+Slot11_Rate)^(Slot11_Age-D65)*(1-((1+AS_Wage)/(1+Slot11_Rate))^(Slot11_Age-D65))/(1-(1+AS_Wage)/(1+Slot11_Rate))),1)</f>
        <v>1</v>
      </c>
      <c r="LI65" s="20" t="n">
        <f aca="false">IF(AND(HU65=1,IE65&gt;0,Slot11_IsWG=1,DT65=1),MAX(0,(Slot11_Cost-DU65*(1+Slot11_Rate)^(Slot11_Age-D65))/LH65),0)</f>
        <v>0</v>
      </c>
      <c r="LJ65" s="20" t="n">
        <f aca="false">IF(AND(HU65=1,IE65&gt;0,Slot11_IsWG=1,DT65=1),MIN(IE65,LI65),0)</f>
        <v>0</v>
      </c>
      <c r="LK65" s="20" t="n">
        <f aca="false">DU65+LJ65</f>
        <v>0</v>
      </c>
      <c r="LL65" s="20" t="n">
        <f aca="false">IF(DT65=1,MAX(0,(Slot11_Cost-LK65*(1+Slot11_Rate)^(Slot11_Age-D65))/LH65),0)</f>
        <v>0</v>
      </c>
      <c r="LM65" s="20" t="n">
        <f aca="false">IF(DT65=1,MAX(0,(Slot11_Cost-DU65*(1+Slot11_Rate)^(Slot11_Age-D65))/LH65),0)</f>
        <v>0</v>
      </c>
      <c r="LN65" s="20" t="n">
        <f aca="false">IF(AND(HU65=1,DT65=1),MIN(LG65,LL65),0)</f>
        <v>0</v>
      </c>
      <c r="LO65" s="20" t="n">
        <f aca="false">LG65-LN65</f>
        <v>0</v>
      </c>
      <c r="LP65" s="20" t="n">
        <f aca="false">IF(ED65=1,IF(ABS((1+AS_Wage)/(1+Slot12_Rate)-1)&lt;0.000000000001,(Slot12_Age-D65)*(1+Slot12_Rate)^(Slot12_Age-D65),(1+Slot12_Rate)^(Slot12_Age-D65)*(1-((1+AS_Wage)/(1+Slot12_Rate))^(Slot12_Age-D65))/(1-(1+AS_Wage)/(1+Slot12_Rate))),1)</f>
        <v>1</v>
      </c>
      <c r="LQ65" s="20" t="n">
        <f aca="false">IF(AND(HU65=1,IE65&gt;0,Slot12_IsWG=1,ED65=1),MAX(0,(Slot12_Cost-EE65*(1+Slot12_Rate)^(Slot12_Age-D65))/LP65),0)</f>
        <v>0</v>
      </c>
      <c r="LR65" s="20" t="n">
        <f aca="false">IF(AND(HU65=1,IE65&gt;0,Slot12_IsWG=1,ED65=1),MIN(IE65,LQ65),0)</f>
        <v>0</v>
      </c>
      <c r="LS65" s="20" t="n">
        <f aca="false">EE65+LR65</f>
        <v>0</v>
      </c>
      <c r="LT65" s="20" t="n">
        <f aca="false">IF(ED65=1,MAX(0,(Slot12_Cost-LS65*(1+Slot12_Rate)^(Slot12_Age-D65))/LP65),0)</f>
        <v>0</v>
      </c>
      <c r="LU65" s="20" t="n">
        <f aca="false">IF(ED65=1,MAX(0,(Slot12_Cost-EE65*(1+Slot12_Rate)^(Slot12_Age-D65))/LP65),0)</f>
        <v>0</v>
      </c>
      <c r="LV65" s="20" t="n">
        <f aca="false">IF(AND(HU65=1,ED65=1),MIN(LO65,LT65),0)</f>
        <v>0</v>
      </c>
      <c r="LW65" s="20" t="n">
        <f aca="false">LO65-LV65</f>
        <v>0</v>
      </c>
      <c r="LX65" s="20" t="n">
        <f aca="false">IF(EN65=1,IF(ABS((1+AS_Wage)/(1+Slot13_Rate)-1)&lt;0.000000000001,(Slot13_Age-D65)*(1+Slot13_Rate)^(Slot13_Age-D65),(1+Slot13_Rate)^(Slot13_Age-D65)*(1-((1+AS_Wage)/(1+Slot13_Rate))^(Slot13_Age-D65))/(1-(1+AS_Wage)/(1+Slot13_Rate))),1)</f>
        <v>1</v>
      </c>
      <c r="LY65" s="20" t="n">
        <f aca="false">IF(AND(HU65=1,IE65&gt;0,Slot13_IsWG=1,EN65=1),MAX(0,(Slot13_Cost-EO65*(1+Slot13_Rate)^(Slot13_Age-D65))/LX65),0)</f>
        <v>0</v>
      </c>
      <c r="LZ65" s="20" t="n">
        <f aca="false">IF(AND(HU65=1,IE65&gt;0,Slot13_IsWG=1,EN65=1),MIN(IE65,LY65),0)</f>
        <v>0</v>
      </c>
      <c r="MA65" s="20" t="n">
        <f aca="false">EO65+LZ65</f>
        <v>0</v>
      </c>
      <c r="MB65" s="20" t="n">
        <f aca="false">IF(EN65=1,MAX(0,(Slot13_Cost-MA65*(1+Slot13_Rate)^(Slot13_Age-D65))/LX65),0)</f>
        <v>0</v>
      </c>
      <c r="MC65" s="20" t="n">
        <f aca="false">IF(EN65=1,MAX(0,(Slot13_Cost-EO65*(1+Slot13_Rate)^(Slot13_Age-D65))/LX65),0)</f>
        <v>0</v>
      </c>
      <c r="MD65" s="20" t="n">
        <f aca="false">IF(AND(HU65=1,EN65=1),MIN(LW65,MB65),0)</f>
        <v>0</v>
      </c>
      <c r="ME65" s="20" t="n">
        <f aca="false">LW65-MD65</f>
        <v>0</v>
      </c>
      <c r="MF65" s="20" t="n">
        <f aca="false">IF(EX65=1,IF(ABS((1+AS_Wage)/(1+Slot14_Rate)-1)&lt;0.000000000001,(Slot14_Age-D65)*(1+Slot14_Rate)^(Slot14_Age-D65),(1+Slot14_Rate)^(Slot14_Age-D65)*(1-((1+AS_Wage)/(1+Slot14_Rate))^(Slot14_Age-D65))/(1-(1+AS_Wage)/(1+Slot14_Rate))),1)</f>
        <v>1</v>
      </c>
      <c r="MG65" s="20" t="n">
        <f aca="false">IF(AND(HU65=1,IE65&gt;0,Slot14_IsWG=1,EX65=1),MAX(0,(Slot14_Cost-EY65*(1+Slot14_Rate)^(Slot14_Age-D65))/MF65),0)</f>
        <v>0</v>
      </c>
      <c r="MH65" s="20" t="n">
        <f aca="false">IF(AND(HU65=1,IE65&gt;0,Slot14_IsWG=1,EX65=1),MIN(IE65,MG65),0)</f>
        <v>0</v>
      </c>
      <c r="MI65" s="20" t="n">
        <f aca="false">EY65+MH65</f>
        <v>0</v>
      </c>
      <c r="MJ65" s="20" t="n">
        <f aca="false">IF(EX65=1,MAX(0,(Slot14_Cost-MI65*(1+Slot14_Rate)^(Slot14_Age-D65))/MF65),0)</f>
        <v>0</v>
      </c>
      <c r="MK65" s="20" t="n">
        <f aca="false">IF(EX65=1,MAX(0,(Slot14_Cost-EY65*(1+Slot14_Rate)^(Slot14_Age-D65))/MF65),0)</f>
        <v>0</v>
      </c>
      <c r="ML65" s="20" t="n">
        <f aca="false">IF(AND(HU65=1,EX65=1),MIN(ME65,MJ65),0)</f>
        <v>0</v>
      </c>
      <c r="MM65" s="20" t="n">
        <f aca="false">ME65-ML65</f>
        <v>0</v>
      </c>
      <c r="MN65" s="20" t="n">
        <f aca="false">IF(FH65=1,IF(ABS((1+AS_Wage)/(1+Slot15_Rate)-1)&lt;0.000000000001,(Slot15_Age-D65)*(1+Slot15_Rate)^(Slot15_Age-D65),(1+Slot15_Rate)^(Slot15_Age-D65)*(1-((1+AS_Wage)/(1+Slot15_Rate))^(Slot15_Age-D65))/(1-(1+AS_Wage)/(1+Slot15_Rate))),1)</f>
        <v>1</v>
      </c>
      <c r="MO65" s="20" t="n">
        <f aca="false">IF(AND(HU65=1,IE65&gt;0,Slot15_IsWG=1,FH65=1),MAX(0,(Slot15_Cost-FI65*(1+Slot15_Rate)^(Slot15_Age-D65))/MN65),0)</f>
        <v>0</v>
      </c>
      <c r="MP65" s="20" t="n">
        <f aca="false">IF(AND(HU65=1,IE65&gt;0,Slot15_IsWG=1,FH65=1),MIN(IE65,MO65),0)</f>
        <v>0</v>
      </c>
      <c r="MQ65" s="20" t="n">
        <f aca="false">FI65+MP65</f>
        <v>0</v>
      </c>
      <c r="MR65" s="20" t="n">
        <f aca="false">IF(FH65=1,MAX(0,(Slot15_Cost-MQ65*(1+Slot15_Rate)^(Slot15_Age-D65))/MN65),0)</f>
        <v>0</v>
      </c>
      <c r="MS65" s="20" t="n">
        <f aca="false">IF(FH65=1,MAX(0,(Slot15_Cost-FI65*(1+Slot15_Rate)^(Slot15_Age-D65))/MN65),0)</f>
        <v>0</v>
      </c>
      <c r="MT65" s="20" t="n">
        <f aca="false">IF(AND(HU65=1,FH65=1),MIN(MM65,MR65),0)</f>
        <v>0</v>
      </c>
      <c r="MU65" s="20" t="n">
        <f aca="false">MM65-MT65</f>
        <v>0</v>
      </c>
      <c r="MV65" s="20" t="n">
        <f aca="false">IF(FR65=1,IF(ABS((1+AS_Wage)/(1+Slot16_Rate)-1)&lt;0.000000000001,(Slot16_Age-D65)*(1+Slot16_Rate)^(Slot16_Age-D65),(1+Slot16_Rate)^(Slot16_Age-D65)*(1-((1+AS_Wage)/(1+Slot16_Rate))^(Slot16_Age-D65))/(1-(1+AS_Wage)/(1+Slot16_Rate))),1)</f>
        <v>1</v>
      </c>
      <c r="MW65" s="20" t="n">
        <f aca="false">IF(AND(HU65=1,IE65&gt;0,Slot16_IsWG=1,FR65=1),MAX(0,(Slot16_Cost-FS65*(1+Slot16_Rate)^(Slot16_Age-D65))/MV65),0)</f>
        <v>0</v>
      </c>
      <c r="MX65" s="20" t="n">
        <f aca="false">IF(AND(HU65=1,IE65&gt;0,Slot16_IsWG=1,FR65=1),MIN(IE65,MW65),0)</f>
        <v>0</v>
      </c>
      <c r="MY65" s="20" t="n">
        <f aca="false">FS65+MX65</f>
        <v>0</v>
      </c>
      <c r="MZ65" s="20" t="n">
        <f aca="false">IF(FR65=1,MAX(0,(Slot16_Cost-MY65*(1+Slot16_Rate)^(Slot16_Age-D65))/MV65),0)</f>
        <v>0</v>
      </c>
      <c r="NA65" s="20" t="n">
        <f aca="false">IF(FR65=1,MAX(0,(Slot16_Cost-FS65*(1+Slot16_Rate)^(Slot16_Age-D65))/MV65),0)</f>
        <v>0</v>
      </c>
      <c r="NB65" s="20" t="n">
        <f aca="false">IF(AND(HU65=1,FR65=1),MIN(MU65,MZ65),0)</f>
        <v>0</v>
      </c>
      <c r="NC65" s="20" t="n">
        <f aca="false">MU65-NB65</f>
        <v>0</v>
      </c>
      <c r="ND65" s="20" t="n">
        <f aca="false">IF(GB65=1,IF(ABS((1+AS_Wage)/(1+Slot17_Rate)-1)&lt;0.000000000001,(Slot17_Age-D65)*(1+Slot17_Rate)^(Slot17_Age-D65),(1+Slot17_Rate)^(Slot17_Age-D65)*(1-((1+AS_Wage)/(1+Slot17_Rate))^(Slot17_Age-D65))/(1-(1+AS_Wage)/(1+Slot17_Rate))),1)</f>
        <v>1</v>
      </c>
      <c r="NE65" s="20" t="n">
        <f aca="false">IF(AND(HU65=1,IE65&gt;0,Slot17_IsWG=1,GB65=1),MAX(0,(Slot17_Cost-GC65*(1+Slot17_Rate)^(Slot17_Age-D65))/ND65),0)</f>
        <v>0</v>
      </c>
      <c r="NF65" s="20" t="n">
        <f aca="false">IF(AND(HU65=1,IE65&gt;0,Slot17_IsWG=1,GB65=1),MIN(IE65,NE65),0)</f>
        <v>0</v>
      </c>
      <c r="NG65" s="20" t="n">
        <f aca="false">GC65+NF65</f>
        <v>0</v>
      </c>
      <c r="NH65" s="20" t="n">
        <f aca="false">IF(GB65=1,MAX(0,(Slot17_Cost-NG65*(1+Slot17_Rate)^(Slot17_Age-D65))/ND65),0)</f>
        <v>0</v>
      </c>
      <c r="NI65" s="20" t="n">
        <f aca="false">IF(GB65=1,MAX(0,(Slot17_Cost-GC65*(1+Slot17_Rate)^(Slot17_Age-D65))/ND65),0)</f>
        <v>0</v>
      </c>
      <c r="NJ65" s="20" t="n">
        <f aca="false">IF(AND(HU65=1,GB65=1),MIN(NC65,NH65),0)</f>
        <v>0</v>
      </c>
      <c r="NK65" s="20" t="n">
        <f aca="false">NC65-NJ65</f>
        <v>0</v>
      </c>
      <c r="NL65" s="20" t="n">
        <f aca="false">IF(GL65=1,IF(ABS((1+AS_Wage)/(1+Slot18_Rate)-1)&lt;0.000000000001,(Slot18_Age-D65)*(1+Slot18_Rate)^(Slot18_Age-D65),(1+Slot18_Rate)^(Slot18_Age-D65)*(1-((1+AS_Wage)/(1+Slot18_Rate))^(Slot18_Age-D65))/(1-(1+AS_Wage)/(1+Slot18_Rate))),1)</f>
        <v>1</v>
      </c>
      <c r="NM65" s="20" t="n">
        <f aca="false">IF(AND(HU65=1,IE65&gt;0,Slot18_IsWG=1,GL65=1),MAX(0,(Slot18_Cost-GM65*(1+Slot18_Rate)^(Slot18_Age-D65))/NL65),0)</f>
        <v>0</v>
      </c>
      <c r="NN65" s="20" t="n">
        <f aca="false">IF(AND(HU65=1,IE65&gt;0,Slot18_IsWG=1,GL65=1),MIN(IE65,NM65),0)</f>
        <v>0</v>
      </c>
      <c r="NO65" s="20" t="n">
        <f aca="false">GM65+NN65</f>
        <v>0</v>
      </c>
      <c r="NP65" s="20" t="n">
        <f aca="false">IF(GL65=1,MAX(0,(Slot18_Cost-NO65*(1+Slot18_Rate)^(Slot18_Age-D65))/NL65),0)</f>
        <v>0</v>
      </c>
      <c r="NQ65" s="20" t="n">
        <f aca="false">IF(GL65=1,MAX(0,(Slot18_Cost-GM65*(1+Slot18_Rate)^(Slot18_Age-D65))/NL65),0)</f>
        <v>0</v>
      </c>
      <c r="NR65" s="20" t="n">
        <f aca="false">IF(AND(HU65=1,GL65=1),MIN(NK65,NP65),0)</f>
        <v>0</v>
      </c>
      <c r="NS65" s="20" t="n">
        <f aca="false">NK65-NR65</f>
        <v>0</v>
      </c>
      <c r="NT65" s="20" t="n">
        <f aca="false">IF(GV65=1,IF(ABS((1+AS_Wage)/(1+Slot19_Rate)-1)&lt;0.000000000001,(Slot19_Age-D65)*(1+Slot19_Rate)^(Slot19_Age-D65),(1+Slot19_Rate)^(Slot19_Age-D65)*(1-((1+AS_Wage)/(1+Slot19_Rate))^(Slot19_Age-D65))/(1-(1+AS_Wage)/(1+Slot19_Rate))),1)</f>
        <v>1</v>
      </c>
      <c r="NU65" s="20" t="n">
        <f aca="false">IF(AND(HU65=1,IE65&gt;0,Slot19_IsWG=1,GV65=1),MAX(0,(Slot19_Cost-GW65*(1+Slot19_Rate)^(Slot19_Age-D65))/NT65),0)</f>
        <v>0</v>
      </c>
      <c r="NV65" s="20" t="n">
        <f aca="false">IF(AND(HU65=1,IE65&gt;0,Slot19_IsWG=1,GV65=1),MIN(IE65,NU65),0)</f>
        <v>0</v>
      </c>
      <c r="NW65" s="20" t="n">
        <f aca="false">GW65+NV65</f>
        <v>0</v>
      </c>
      <c r="NX65" s="20" t="n">
        <f aca="false">IF(GV65=1,MAX(0,(Slot19_Cost-NW65*(1+Slot19_Rate)^(Slot19_Age-D65))/NT65),0)</f>
        <v>0</v>
      </c>
      <c r="NY65" s="20" t="n">
        <f aca="false">IF(GV65=1,MAX(0,(Slot19_Cost-GW65*(1+Slot19_Rate)^(Slot19_Age-D65))/NT65),0)</f>
        <v>0</v>
      </c>
      <c r="NZ65" s="20" t="n">
        <f aca="false">IF(AND(HU65=1,GV65=1),MIN(NS65,NX65),0)</f>
        <v>0</v>
      </c>
      <c r="OA65" s="20" t="n">
        <f aca="false">NS65-NZ65</f>
        <v>0</v>
      </c>
      <c r="OB65" s="20" t="n">
        <f aca="false">IF(HF65=1,IF(ABS((1+AS_Wage)/(1+Slot20_Rate)-1)&lt;0.000000000001,(Slot20_Age-D65)*(1+Slot20_Rate)^(Slot20_Age-D65),(1+Slot20_Rate)^(Slot20_Age-D65)*(1-((1+AS_Wage)/(1+Slot20_Rate))^(Slot20_Age-D65))/(1-(1+AS_Wage)/(1+Slot20_Rate))),1)</f>
        <v>1</v>
      </c>
      <c r="OC65" s="20" t="n">
        <f aca="false">IF(AND(HU65=1,IE65&gt;0,Slot20_IsWG=1,HF65=1),MAX(0,(Slot20_Cost-HG65*(1+Slot20_Rate)^(Slot20_Age-D65))/OB65),0)</f>
        <v>0</v>
      </c>
      <c r="OD65" s="20" t="n">
        <f aca="false">IF(AND(HU65=1,IE65&gt;0,Slot20_IsWG=1,HF65=1),MIN(IE65,OC65),0)</f>
        <v>0</v>
      </c>
      <c r="OE65" s="20" t="n">
        <f aca="false">HG65+OD65</f>
        <v>0</v>
      </c>
      <c r="OF65" s="20" t="n">
        <f aca="false">IF(HF65=1,MAX(0,(Slot20_Cost-OE65*(1+Slot20_Rate)^(Slot20_Age-D65))/OB65),0)</f>
        <v>0</v>
      </c>
      <c r="OG65" s="20" t="n">
        <f aca="false">IF(HF65=1,MAX(0,(Slot20_Cost-HG65*(1+Slot20_Rate)^(Slot20_Age-D65))/OB65),0)</f>
        <v>0</v>
      </c>
      <c r="OH65" s="20" t="n">
        <f aca="false">IF(AND(HU65=1,HF65=1),MIN(OA65,OF65),0)</f>
        <v>0</v>
      </c>
      <c r="OI65" s="20" t="n">
        <f aca="false">OA65-OH65</f>
        <v>0</v>
      </c>
      <c r="OJ65" s="20" t="n">
        <f aca="false">IE65-(IH65+IP65+IX65+JF65+JN65+JV65+KD65+KL65+KT65+LB65+LJ65+LR65+LZ65+MH65+MP65+MX65+NF65+NN65+NV65+OD65)</f>
        <v>0</v>
      </c>
      <c r="OK65" s="20" t="n">
        <f aca="false">IF(HU65=1,HS65-ID65-IE65,0)</f>
        <v>0</v>
      </c>
      <c r="OL65" s="20" t="n">
        <f aca="false">IF(HU65=0,-HS65,0)</f>
        <v>29475.9988264829</v>
      </c>
      <c r="OM65" s="20" t="n">
        <f aca="false">MIN(OL65,HK65)</f>
        <v>0</v>
      </c>
      <c r="ON65" s="20" t="n">
        <f aca="false">OL65-OM65</f>
        <v>29475.9988264829</v>
      </c>
      <c r="OO65" s="20" t="n">
        <f aca="false">MIN(ON65,HL65)</f>
        <v>0</v>
      </c>
      <c r="OP65" s="20" t="n">
        <f aca="false">ON65-OO65</f>
        <v>29475.9988264829</v>
      </c>
      <c r="OQ65" s="20" t="n">
        <f aca="false">IF(AND(HU65=0,HF65=1,OP65&gt;0),MIN(OP65,HG65),0)</f>
        <v>0</v>
      </c>
      <c r="OR65" s="20" t="n">
        <f aca="false">OP65-OQ65</f>
        <v>29475.9988264829</v>
      </c>
      <c r="OS65" s="20" t="n">
        <f aca="false">IF(AND(HU65=0,GV65=1,OR65&gt;0),MIN(OR65,GW65),0)</f>
        <v>0</v>
      </c>
      <c r="OT65" s="20" t="n">
        <f aca="false">OR65-OS65</f>
        <v>29475.9988264829</v>
      </c>
      <c r="OU65" s="20" t="n">
        <f aca="false">IF(AND(HU65=0,GL65=1,OT65&gt;0),MIN(OT65,GM65),0)</f>
        <v>0</v>
      </c>
      <c r="OV65" s="20" t="n">
        <f aca="false">OT65-OU65</f>
        <v>29475.9988264829</v>
      </c>
      <c r="OW65" s="20" t="n">
        <f aca="false">IF(AND(HU65=0,GB65=1,OV65&gt;0),MIN(OV65,GC65),0)</f>
        <v>0</v>
      </c>
      <c r="OX65" s="20" t="n">
        <f aca="false">OV65-OW65</f>
        <v>29475.9988264829</v>
      </c>
      <c r="OY65" s="20" t="n">
        <f aca="false">IF(AND(HU65=0,FR65=1,OX65&gt;0),MIN(OX65,FS65),0)</f>
        <v>0</v>
      </c>
      <c r="OZ65" s="20" t="n">
        <f aca="false">OX65-OY65</f>
        <v>29475.9988264829</v>
      </c>
      <c r="PA65" s="20" t="n">
        <f aca="false">IF(AND(HU65=0,FH65=1,OZ65&gt;0),MIN(OZ65,FI65),0)</f>
        <v>0</v>
      </c>
      <c r="PB65" s="20" t="n">
        <f aca="false">OZ65-PA65</f>
        <v>29475.9988264829</v>
      </c>
      <c r="PC65" s="20" t="n">
        <f aca="false">IF(AND(HU65=0,EX65=1,PB65&gt;0),MIN(PB65,EY65),0)</f>
        <v>0</v>
      </c>
      <c r="PD65" s="20" t="n">
        <f aca="false">PB65-PC65</f>
        <v>29475.9988264829</v>
      </c>
      <c r="PE65" s="20" t="n">
        <f aca="false">IF(AND(HU65=0,EN65=1,PD65&gt;0),MIN(PD65,EO65),0)</f>
        <v>0</v>
      </c>
      <c r="PF65" s="20" t="n">
        <f aca="false">PD65-PE65</f>
        <v>29475.9988264829</v>
      </c>
      <c r="PG65" s="20" t="n">
        <f aca="false">IF(AND(HU65=0,ED65=1,PF65&gt;0),MIN(PF65,EE65),0)</f>
        <v>0</v>
      </c>
      <c r="PH65" s="20" t="n">
        <f aca="false">PF65-PG65</f>
        <v>29475.9988264829</v>
      </c>
      <c r="PI65" s="20" t="n">
        <f aca="false">IF(AND(HU65=0,DT65=1,PH65&gt;0),MIN(PH65,DU65),0)</f>
        <v>0</v>
      </c>
      <c r="PJ65" s="20" t="n">
        <f aca="false">PH65-PI65</f>
        <v>29475.9988264829</v>
      </c>
      <c r="PK65" s="20" t="n">
        <f aca="false">IF(AND(HU65=0,DJ65=1,PJ65&gt;0),MIN(PJ65,DK65),0)</f>
        <v>0</v>
      </c>
      <c r="PL65" s="20" t="n">
        <f aca="false">PJ65-PK65</f>
        <v>29475.9988264829</v>
      </c>
      <c r="PM65" s="20" t="n">
        <f aca="false">IF(AND(HU65=0,CZ65=1,PL65&gt;0),MIN(PL65,DA65),0)</f>
        <v>0</v>
      </c>
      <c r="PN65" s="20" t="n">
        <f aca="false">PL65-PM65</f>
        <v>29475.9988264829</v>
      </c>
      <c r="PO65" s="20" t="n">
        <f aca="false">IF(AND(HU65=0,CP65=1,PN65&gt;0),MIN(PN65,CQ65),0)</f>
        <v>0</v>
      </c>
      <c r="PP65" s="20" t="n">
        <f aca="false">PN65-PO65</f>
        <v>29475.9988264829</v>
      </c>
      <c r="PQ65" s="20" t="n">
        <f aca="false">IF(AND(HU65=0,CF65=1,PP65&gt;0),MIN(PP65,CG65),0)</f>
        <v>0</v>
      </c>
      <c r="PR65" s="20" t="n">
        <f aca="false">PP65-PQ65</f>
        <v>29475.9988264829</v>
      </c>
      <c r="PS65" s="20" t="n">
        <f aca="false">IF(AND(HU65=0,BV65=1,PR65&gt;0),MIN(PR65,BW65),0)</f>
        <v>0</v>
      </c>
      <c r="PT65" s="20" t="n">
        <f aca="false">PR65-PS65</f>
        <v>29475.9988264829</v>
      </c>
      <c r="PU65" s="20" t="n">
        <f aca="false">IF(AND(HU65=0,BL65=1,PT65&gt;0),MIN(PT65,BM65),0)</f>
        <v>0</v>
      </c>
      <c r="PV65" s="20" t="n">
        <f aca="false">PT65-PU65</f>
        <v>29475.9988264829</v>
      </c>
      <c r="PW65" s="20" t="n">
        <f aca="false">IF(AND(HU65=0,BB65=1,PV65&gt;0),MIN(PV65,BC65),0)</f>
        <v>0</v>
      </c>
      <c r="PX65" s="20" t="n">
        <f aca="false">PV65-PW65</f>
        <v>29475.9988264829</v>
      </c>
      <c r="PY65" s="20" t="n">
        <f aca="false">IF(AND(HU65=0,AR65=1,PX65&gt;0),MIN(PX65,AS65),0)</f>
        <v>0</v>
      </c>
      <c r="PZ65" s="20" t="n">
        <f aca="false">PX65-PY65</f>
        <v>29475.9988264829</v>
      </c>
      <c r="QA65" s="20" t="n">
        <f aca="false">IF(AND(HU65=0,AH65=1,PZ65&gt;0),MIN(PZ65,AI65),0)</f>
        <v>0</v>
      </c>
      <c r="QB65" s="20" t="n">
        <f aca="false">PZ65-QA65</f>
        <v>29475.9988264829</v>
      </c>
      <c r="QC65" s="20" t="n">
        <f aca="false">IF(AND(HU65=0,W65=1,QB65&gt;0),MIN(QB65,X65),0)</f>
        <v>0</v>
      </c>
      <c r="QD65" s="20" t="n">
        <f aca="false">QB65-QC65</f>
        <v>29475.9988264829</v>
      </c>
      <c r="QE65" s="20" t="n">
        <f aca="false">IF(HU65=0,QD65,0)</f>
        <v>29475.9988264829</v>
      </c>
      <c r="QF65" s="20" t="n">
        <f aca="false">OM65+OO65+QC65+QA65+PY65+PW65+PU65+PS65+PQ65+PO65+PM65+PK65+PI65+PG65+PE65+PC65+PA65+OY65+OW65+OU65+OS65+OQ65</f>
        <v>0</v>
      </c>
      <c r="QG65" s="20" t="n">
        <f aca="false">IF(HU65=1,HK65+OJ65+OI65+IF(G65=1,0,OK65),HK65-OM65)</f>
        <v>0</v>
      </c>
      <c r="QH65" s="20" t="n">
        <f aca="false">HL65-OO65</f>
        <v>0</v>
      </c>
      <c r="QI65" s="20" t="n">
        <f aca="false">IF(HU65=1,IF(G65=1,ID65+IE65,HS65),0)</f>
        <v>0</v>
      </c>
      <c r="QJ65" s="20" t="n">
        <f aca="false">IF(HU65=1,IF(G65=1,HS65-ID65-IE65,0),0)</f>
        <v>0</v>
      </c>
      <c r="QK65" s="57" t="n">
        <f aca="false">'Plan holdings'!BM65</f>
        <v>0</v>
      </c>
      <c r="QL65" s="20" t="n">
        <f aca="false">QH65*(1+AS_Cash)</f>
        <v>0</v>
      </c>
      <c r="QM65" s="20" t="n">
        <f aca="false">IF(W65=1,IF(HU65=1,II65+IL65,X65-QC65)*(1+Slot1_Rate),0)</f>
        <v>0</v>
      </c>
      <c r="QN65" s="20" t="n">
        <f aca="false">IF(AND(HU65=1,W65=1),(IH65+IL65)/F65,0)</f>
        <v>0</v>
      </c>
      <c r="QO65" s="20" t="n">
        <f aca="false">IF(B65=0,IH65+IL65,0)</f>
        <v>0</v>
      </c>
      <c r="QP65" s="20" t="n">
        <f aca="false">IF(B65=0,IF(HU65=1,IJ65,IK65),0)</f>
        <v>0</v>
      </c>
      <c r="QQ65" s="20" t="n">
        <f aca="false">IF(AH65=1,IF(HU65=1,IQ65+IT65,AI65-QA65)*(1+Slot2_Rate),0)</f>
        <v>0</v>
      </c>
      <c r="QR65" s="20" t="n">
        <f aca="false">IF(AND(HU65=1,AH65=1),(IP65+IT65)/F65,0)</f>
        <v>0</v>
      </c>
      <c r="QS65" s="20" t="n">
        <f aca="false">IF(B65=0,IP65+IT65,0)</f>
        <v>0</v>
      </c>
      <c r="QT65" s="20" t="n">
        <f aca="false">IF(B65=0,IF(HU65=1,IR65,IS65),0)</f>
        <v>0</v>
      </c>
      <c r="QU65" s="20" t="n">
        <f aca="false">IF(AR65=1,IF(HU65=1,IY65+JB65,AS65-PY65)*(1+Slot3_Rate),0)</f>
        <v>0</v>
      </c>
      <c r="QV65" s="20" t="n">
        <f aca="false">IF(AND(HU65=1,AR65=1),(IX65+JB65)/F65,0)</f>
        <v>0</v>
      </c>
      <c r="QW65" s="20" t="n">
        <f aca="false">IF(B65=0,IX65+JB65,0)</f>
        <v>0</v>
      </c>
      <c r="QX65" s="20" t="n">
        <f aca="false">IF(B65=0,IF(HU65=1,IZ65,JA65),0)</f>
        <v>0</v>
      </c>
      <c r="QY65" s="20" t="n">
        <f aca="false">IF(BB65=1,IF(HU65=1,JG65+JJ65,BC65-PW65)*(1+Slot4_Rate),0)</f>
        <v>0</v>
      </c>
      <c r="QZ65" s="20" t="n">
        <f aca="false">IF(AND(HU65=1,BB65=1),(JF65+JJ65)/F65,0)</f>
        <v>0</v>
      </c>
      <c r="RA65" s="20" t="n">
        <f aca="false">IF(B65=0,JF65+JJ65,0)</f>
        <v>0</v>
      </c>
      <c r="RB65" s="20" t="n">
        <f aca="false">IF(B65=0,IF(HU65=1,JH65,JI65),0)</f>
        <v>0</v>
      </c>
      <c r="RC65" s="20" t="n">
        <f aca="false">IF(BL65=1,IF(HU65=1,JO65+JR65,BM65-PU65)*(1+Slot5_Rate),0)</f>
        <v>0</v>
      </c>
      <c r="RD65" s="20" t="n">
        <f aca="false">IF(AND(HU65=1,BL65=1),(JN65+JR65)/F65,0)</f>
        <v>0</v>
      </c>
      <c r="RE65" s="20" t="n">
        <f aca="false">IF(B65=0,JN65+JR65,0)</f>
        <v>0</v>
      </c>
      <c r="RF65" s="20" t="n">
        <f aca="false">IF(B65=0,IF(HU65=1,JP65,JQ65),0)</f>
        <v>0</v>
      </c>
      <c r="RG65" s="20" t="n">
        <f aca="false">IF(BV65=1,IF(HU65=1,JW65+JZ65,BW65-PS65)*(1+Slot6_Rate),0)</f>
        <v>0</v>
      </c>
      <c r="RH65" s="20" t="n">
        <f aca="false">IF(AND(HU65=1,BV65=1),(JV65+JZ65)/F65,0)</f>
        <v>0</v>
      </c>
      <c r="RI65" s="20" t="n">
        <f aca="false">IF(B65=0,JV65+JZ65,0)</f>
        <v>0</v>
      </c>
      <c r="RJ65" s="20" t="n">
        <f aca="false">IF(B65=0,IF(HU65=1,JX65,JY65),0)</f>
        <v>0</v>
      </c>
      <c r="RK65" s="20" t="n">
        <f aca="false">IF(CF65=1,IF(HU65=1,KE65+KH65,CG65-PQ65)*(1+Slot7_Rate),0)</f>
        <v>0</v>
      </c>
      <c r="RL65" s="20" t="n">
        <f aca="false">IF(AND(HU65=1,CF65=1),(KD65+KH65)/F65,0)</f>
        <v>0</v>
      </c>
      <c r="RM65" s="20" t="n">
        <f aca="false">IF(B65=0,KD65+KH65,0)</f>
        <v>0</v>
      </c>
      <c r="RN65" s="20" t="n">
        <f aca="false">IF(B65=0,IF(HU65=1,KF65,KG65),0)</f>
        <v>0</v>
      </c>
      <c r="RO65" s="20" t="n">
        <f aca="false">IF(CP65=1,IF(HU65=1,KM65+KP65,CQ65-PO65)*(1+Slot8_Rate),0)</f>
        <v>0</v>
      </c>
      <c r="RP65" s="20" t="n">
        <f aca="false">IF(AND(HU65=1,CP65=1),(KL65+KP65)/F65,0)</f>
        <v>0</v>
      </c>
      <c r="RQ65" s="20" t="n">
        <f aca="false">IF(B65=0,KL65+KP65,0)</f>
        <v>0</v>
      </c>
      <c r="RR65" s="20" t="n">
        <f aca="false">IF(B65=0,IF(HU65=1,KN65,KO65),0)</f>
        <v>0</v>
      </c>
      <c r="RS65" s="20" t="n">
        <f aca="false">IF(CZ65=1,IF(HU65=1,KU65+KX65,DA65-PM65)*(1+Slot9_Rate),0)</f>
        <v>0</v>
      </c>
      <c r="RT65" s="20" t="n">
        <f aca="false">IF(AND(HU65=1,CZ65=1),(KT65+KX65)/F65,0)</f>
        <v>0</v>
      </c>
      <c r="RU65" s="20" t="n">
        <f aca="false">IF(B65=0,KT65+KX65,0)</f>
        <v>0</v>
      </c>
      <c r="RV65" s="20" t="n">
        <f aca="false">IF(B65=0,IF(HU65=1,KV65,KW65),0)</f>
        <v>0</v>
      </c>
      <c r="RW65" s="20" t="n">
        <f aca="false">IF(DJ65=1,IF(HU65=1,LC65+LF65,DK65-PK65)*(1+Slot10_Rate),0)</f>
        <v>0</v>
      </c>
      <c r="RX65" s="20" t="n">
        <f aca="false">IF(AND(HU65=1,DJ65=1),(LB65+LF65)/F65,0)</f>
        <v>0</v>
      </c>
      <c r="RY65" s="20" t="n">
        <f aca="false">IF(B65=0,LB65+LF65,0)</f>
        <v>0</v>
      </c>
      <c r="RZ65" s="20" t="n">
        <f aca="false">IF(B65=0,IF(HU65=1,LD65,LE65),0)</f>
        <v>0</v>
      </c>
      <c r="SA65" s="20" t="n">
        <f aca="false">IF(DT65=1,IF(HU65=1,LK65+LN65,DU65-PI65)*(1+Slot11_Rate),0)</f>
        <v>0</v>
      </c>
      <c r="SB65" s="20" t="n">
        <f aca="false">IF(AND(HU65=1,DT65=1),(LJ65+LN65)/F65,0)</f>
        <v>0</v>
      </c>
      <c r="SC65" s="20" t="n">
        <f aca="false">IF(B65=0,LJ65+LN65,0)</f>
        <v>0</v>
      </c>
      <c r="SD65" s="20" t="n">
        <f aca="false">IF(B65=0,IF(HU65=1,LL65,LM65),0)</f>
        <v>0</v>
      </c>
      <c r="SE65" s="20" t="n">
        <f aca="false">IF(ED65=1,IF(HU65=1,LS65+LV65,EE65-PG65)*(1+Slot12_Rate),0)</f>
        <v>0</v>
      </c>
      <c r="SF65" s="20" t="n">
        <f aca="false">IF(AND(HU65=1,ED65=1),(LR65+LV65)/F65,0)</f>
        <v>0</v>
      </c>
      <c r="SG65" s="20" t="n">
        <f aca="false">IF(B65=0,LR65+LV65,0)</f>
        <v>0</v>
      </c>
      <c r="SH65" s="20" t="n">
        <f aca="false">IF(B65=0,IF(HU65=1,LT65,LU65),0)</f>
        <v>0</v>
      </c>
      <c r="SI65" s="20" t="n">
        <f aca="false">IF(EN65=1,IF(HU65=1,MA65+MD65,EO65-PE65)*(1+Slot13_Rate),0)</f>
        <v>0</v>
      </c>
      <c r="SJ65" s="20" t="n">
        <f aca="false">IF(AND(HU65=1,EN65=1),(LZ65+MD65)/F65,0)</f>
        <v>0</v>
      </c>
      <c r="SK65" s="20" t="n">
        <f aca="false">IF(B65=0,LZ65+MD65,0)</f>
        <v>0</v>
      </c>
      <c r="SL65" s="20" t="n">
        <f aca="false">IF(B65=0,IF(HU65=1,MB65,MC65),0)</f>
        <v>0</v>
      </c>
      <c r="SM65" s="20" t="n">
        <f aca="false">IF(EX65=1,IF(HU65=1,MI65+ML65,EY65-PC65)*(1+Slot14_Rate),0)</f>
        <v>0</v>
      </c>
      <c r="SN65" s="20" t="n">
        <f aca="false">IF(AND(HU65=1,EX65=1),(MH65+ML65)/F65,0)</f>
        <v>0</v>
      </c>
      <c r="SO65" s="20" t="n">
        <f aca="false">IF(B65=0,MH65+ML65,0)</f>
        <v>0</v>
      </c>
      <c r="SP65" s="20" t="n">
        <f aca="false">IF(B65=0,IF(HU65=1,MJ65,MK65),0)</f>
        <v>0</v>
      </c>
      <c r="SQ65" s="20" t="n">
        <f aca="false">IF(FH65=1,IF(HU65=1,MQ65+MT65,FI65-PA65)*(1+Slot15_Rate),0)</f>
        <v>0</v>
      </c>
      <c r="SR65" s="20" t="n">
        <f aca="false">IF(AND(HU65=1,FH65=1),(MP65+MT65)/F65,0)</f>
        <v>0</v>
      </c>
      <c r="SS65" s="20" t="n">
        <f aca="false">IF(B65=0,MP65+MT65,0)</f>
        <v>0</v>
      </c>
      <c r="ST65" s="20" t="n">
        <f aca="false">IF(B65=0,IF(HU65=1,MR65,MS65),0)</f>
        <v>0</v>
      </c>
      <c r="SU65" s="20" t="n">
        <f aca="false">IF(FR65=1,IF(HU65=1,MY65+NB65,FS65-OY65)*(1+Slot16_Rate),0)</f>
        <v>0</v>
      </c>
      <c r="SV65" s="20" t="n">
        <f aca="false">IF(AND(HU65=1,FR65=1),(MX65+NB65)/F65,0)</f>
        <v>0</v>
      </c>
      <c r="SW65" s="20" t="n">
        <f aca="false">IF(B65=0,MX65+NB65,0)</f>
        <v>0</v>
      </c>
      <c r="SX65" s="20" t="n">
        <f aca="false">IF(B65=0,IF(HU65=1,MZ65,NA65),0)</f>
        <v>0</v>
      </c>
      <c r="SY65" s="20" t="n">
        <f aca="false">IF(GB65=1,IF(HU65=1,NG65+NJ65,GC65-OW65)*(1+Slot17_Rate),0)</f>
        <v>0</v>
      </c>
      <c r="SZ65" s="20" t="n">
        <f aca="false">IF(AND(HU65=1,GB65=1),(NF65+NJ65)/F65,0)</f>
        <v>0</v>
      </c>
      <c r="TA65" s="20" t="n">
        <f aca="false">IF(B65=0,NF65+NJ65,0)</f>
        <v>0</v>
      </c>
      <c r="TB65" s="20" t="n">
        <f aca="false">IF(B65=0,IF(HU65=1,NH65,NI65),0)</f>
        <v>0</v>
      </c>
      <c r="TC65" s="20" t="n">
        <f aca="false">IF(GL65=1,IF(HU65=1,NO65+NR65,GM65-OU65)*(1+Slot18_Rate),0)</f>
        <v>0</v>
      </c>
      <c r="TD65" s="20" t="n">
        <f aca="false">IF(AND(HU65=1,GL65=1),(NN65+NR65)/F65,0)</f>
        <v>0</v>
      </c>
      <c r="TE65" s="20" t="n">
        <f aca="false">IF(B65=0,NN65+NR65,0)</f>
        <v>0</v>
      </c>
      <c r="TF65" s="20" t="n">
        <f aca="false">IF(B65=0,IF(HU65=1,NP65,NQ65),0)</f>
        <v>0</v>
      </c>
      <c r="TG65" s="20" t="n">
        <f aca="false">IF(GV65=1,IF(HU65=1,NW65+NZ65,GW65-OS65)*(1+Slot19_Rate),0)</f>
        <v>0</v>
      </c>
      <c r="TH65" s="20" t="n">
        <f aca="false">IF(AND(HU65=1,GV65=1),(NV65+NZ65)/F65,0)</f>
        <v>0</v>
      </c>
      <c r="TI65" s="20" t="n">
        <f aca="false">IF(B65=0,NV65+NZ65,0)</f>
        <v>0</v>
      </c>
      <c r="TJ65" s="20" t="n">
        <f aca="false">IF(B65=0,IF(HU65=1,NX65,NY65),0)</f>
        <v>0</v>
      </c>
      <c r="TK65" s="20" t="n">
        <f aca="false">IF(HF65=1,IF(HU65=1,OE65+OH65,HG65-OQ65)*(1+Slot20_Rate),0)</f>
        <v>0</v>
      </c>
      <c r="TL65" s="20" t="n">
        <f aca="false">IF(AND(HU65=1,HF65=1),(OD65+OH65)/F65,0)</f>
        <v>0</v>
      </c>
      <c r="TM65" s="20" t="n">
        <f aca="false">IF(B65=0,OD65+OH65,0)</f>
        <v>0</v>
      </c>
      <c r="TN65" s="20" t="n">
        <f aca="false">IF(B65=0,IF(HU65=1,OF65,OG65),0)</f>
        <v>0</v>
      </c>
      <c r="TO65" s="20" t="n">
        <f aca="false">QK65+QL65+QM65+QQ65+QU65+QY65+RC65+RG65+RK65+RO65+RS65+RW65+SA65+SE65+SI65+SM65+SQ65+SU65+SY65+TC65+TG65+TK65</f>
        <v>0</v>
      </c>
      <c r="TP65" s="20" t="n">
        <f aca="false">QE65+HP65</f>
        <v>29475.9988264829</v>
      </c>
      <c r="TQ65" s="20" t="n">
        <f aca="false">I65+S65</f>
        <v>147787.494707792</v>
      </c>
      <c r="TR65" s="20" t="n">
        <f aca="false">1-G65</f>
        <v>1</v>
      </c>
      <c r="TS65" s="20" t="n">
        <f aca="false">IF(AND(RG_Exists=1,G65=0,C65=1),I65,0)</f>
        <v>147787.494707792</v>
      </c>
      <c r="TT65" s="20" t="n">
        <f aca="false">IF(AND(RG_Exists=1,G65=0,C65=1),I65-MIN(QE65,I65),0)</f>
        <v>118311.495881309</v>
      </c>
      <c r="TU65" s="20" t="n">
        <f aca="false">'Plan pay &amp; tax'!AD291</f>
        <v>0</v>
      </c>
      <c r="TV65" s="20" t="n">
        <f aca="false">IF(AND(C65=1,QE65&gt;MAX(PR_Short1,TQ65*PR_Short2)),1,0)</f>
        <v>1</v>
      </c>
      <c r="TW65" s="20" t="n">
        <f aca="false">MIN(H65,I65+S65)</f>
        <v>118311.495881309</v>
      </c>
      <c r="TX65" s="20" t="n">
        <f aca="false">QF65+MAX(0,HQ65-HP65)</f>
        <v>0</v>
      </c>
      <c r="TY65" s="20" t="n">
        <f aca="false">QE65+HP65</f>
        <v>29475.9988264829</v>
      </c>
      <c r="TZ65" s="20" t="n">
        <f aca="false">IF(AND(C65=1,TY65&gt;PR_MinShort),1,0)</f>
        <v>1</v>
      </c>
      <c r="UA65" s="20" t="n">
        <f aca="false">IF(AND(C65=1,TZ65=0,TX65&gt;PR_MinShort),1,0)</f>
        <v>0</v>
      </c>
      <c r="UB65" s="20" t="n">
        <f aca="false">IF(AND(C65=1,QE65&gt;PR_MinShort),1,0)</f>
        <v>1</v>
      </c>
      <c r="UC65" s="20" t="n">
        <f aca="false">IF(AND(C65=1,QF65&gt;1,UJ65=0),1,0)</f>
        <v>0</v>
      </c>
      <c r="UD65" s="20" t="str">
        <f aca="false">IF(C65=0,"",IF(UJ65=1,"Gap to plan for: short "&amp;"€"&amp;TEXT(ROUND(TP65,0),"#,##0"),IF(QF65&gt;1,"Using savings","Comfortable")))</f>
        <v>Gap to plan for: short €29,476</v>
      </c>
      <c r="UE65" s="20" t="n">
        <f aca="false">IF(AND(INT(D65/10)*10=90,B65&gt;0),80,INT(D65/10)*10)</f>
        <v>80</v>
      </c>
      <c r="UF65" s="20" t="n">
        <f aca="false">IF(B65=0,1,IF(UE65&lt;&gt;UE64,UF64+1,UF64))</f>
        <v>6</v>
      </c>
      <c r="UG65" s="20" t="n">
        <f aca="false">IF(AND(C65=1,G65=1,QE65&gt;MAX(PR_Short1,TQ65*PR_Short2)),1,0)</f>
        <v>0</v>
      </c>
      <c r="UH65" s="20" t="n">
        <f aca="false">TR65*TV65</f>
        <v>1</v>
      </c>
      <c r="UI65" s="20" t="n">
        <f aca="false">IF(AND(V65=1,Slot1_PctLow=1),1,0)+IF(AND(AG65=1,Slot2_PctLow=1),1,0)+IF(AND(AQ65=1,Slot3_PctLow=1),1,0)+IF(AND(BA65=1,Slot4_PctLow=1),1,0)+IF(AND(BK65=1,Slot5_PctLow=1),1,0)+IF(AND(BU65=1,Slot6_PctLow=1),1,0)+IF(AND(CE65=1,Slot7_PctLow=1),1,0)+IF(AND(CO65=1,Slot8_PctLow=1),1,0)+IF(AND(CY65=1,Slot9_PctLow=1),1,0)+IF(AND(DI65=1,Slot10_PctLow=1),1,0)+IF(AND(DS65=1,Slot11_PctLow=1),1,0)+IF(AND(EC65=1,Slot12_PctLow=1),1,0)+IF(AND(EM65=1,Slot13_PctLow=1),1,0)+IF(AND(EW65=1,Slot14_PctLow=1),1,0)+IF(AND(FG65=1,Slot15_PctLow=1),1,0)+IF(AND(FQ65=1,Slot16_PctLow=1),1,0)+IF(AND(GA65=1,Slot17_PctLow=1),1,0)+IF(AND(GK65=1,Slot18_PctLow=1),1,0)+IF(AND(GU65=1,Slot19_PctLow=1),1,0)+IF(AND(HE65=1,Slot20_PctLow=1),1,0)</f>
        <v>0</v>
      </c>
      <c r="UJ65" s="20" t="n">
        <f aca="false">IF(C65=1,IF(OR(TV65=1,UI65&gt;0),1,0),0)</f>
        <v>1</v>
      </c>
      <c r="UK65" s="20" t="n">
        <f aca="false">Z65+AK65+AU65+BE65+BO65+BY65+CI65+CS65+DC65+DM65+DW65+EG65+EQ65+FA65+FK65+FU65+GE65+GO65+GY65+HI65+OM65</f>
        <v>0</v>
      </c>
      <c r="UL65" s="20" t="n">
        <f aca="false">V65*IF(Slot1_SpendLike=1,X65-Y65,IF(Slot1_PotFree=1,X65,0))+AG65*IF(Slot2_SpendLike=1,AI65-AJ65,IF(Slot2_PotFree=1,AI65,0))+AQ65*IF(Slot3_SpendLike=1,AS65-AT65,IF(Slot3_PotFree=1,AS65,0))+BA65*IF(Slot4_SpendLike=1,BC65-BD65,IF(Slot4_PotFree=1,BC65,0))+BK65*IF(Slot5_SpendLike=1,BM65-BN65,IF(Slot5_PotFree=1,BM65,0))+BU65*IF(Slot6_SpendLike=1,BW65-BX65,IF(Slot6_PotFree=1,BW65,0))+CE65*IF(Slot7_SpendLike=1,CG65-CH65,IF(Slot7_PotFree=1,CG65,0))+CO65*IF(Slot8_SpendLike=1,CQ65-CR65,IF(Slot8_PotFree=1,CQ65,0))+CY65*IF(Slot9_SpendLike=1,DA65-DB65,IF(Slot9_PotFree=1,DA65,0))+DI65*IF(Slot10_SpendLike=1,DK65-DL65,IF(Slot10_PotFree=1,DK65,0))+DS65*IF(Slot11_SpendLike=1,DU65-DV65,IF(Slot11_PotFree=1,DU65,0))+EC65*IF(Slot12_SpendLike=1,EE65-EF65,IF(Slot12_PotFree=1,EE65,0))+EM65*IF(Slot13_SpendLike=1,EO65-EP65,IF(Slot13_PotFree=1,EO65,0))+EW65*IF(Slot14_SpendLike=1,EY65-EZ65,IF(Slot14_PotFree=1,EY65,0))+FG65*IF(Slot15_SpendLike=1,FI65-FJ65,IF(Slot15_PotFree=1,FI65,0))+FQ65*IF(Slot16_SpendLike=1,FS65-FT65,IF(Slot16_PotFree=1,FS65,0))+GA65*IF(Slot17_SpendLike=1,GC65-GD65,IF(Slot17_PotFree=1,GC65,0))+GK65*IF(Slot18_SpendLike=1,GM65-GN65,IF(Slot18_PotFree=1,GM65,0))+GU65*IF(Slot19_SpendLike=1,GW65-GX65,IF(Slot19_PotFree=1,GW65,0))+HE65*IF(Slot20_SpendLike=1,HG65-HH65,IF(Slot20_PotFree=1,HG65,0))</f>
        <v>0</v>
      </c>
      <c r="UM65" s="20" t="n">
        <f aca="false">QG65-T65+UK65-UL65</f>
        <v>0</v>
      </c>
      <c r="UN65" s="20" t="n">
        <f aca="false">IF(OR(UN64=1,AND(In_homeUse="Yes, I'd downsize",In_downAge&gt;0,D65=In_downAge,OR(In_home="Own outright",In_home="Own with mortgage"),In_homeValue&gt;0)),1,0)</f>
        <v>0</v>
      </c>
    </row>
    <row r="66" customFormat="false" ht="15" hidden="false" customHeight="true" outlineLevel="0" collapsed="false">
      <c r="B66" s="20" t="n">
        <v>58</v>
      </c>
      <c r="C66" s="20" t="n">
        <f aca="false">IF(B66&lt;=F_N,1,0)</f>
        <v>0</v>
      </c>
      <c r="D66" s="20" t="n">
        <f aca="false">'Plan pay &amp; tax'!C292</f>
        <v>96</v>
      </c>
      <c r="E66" s="20" t="str">
        <f aca="false">IF($C66=1,"Income tax "&amp;TEXT(N('Plan pay &amp; tax'!BK292),"#,##0")&amp;"; USC "&amp;TEXT(N('Plan pay &amp; tax'!BM292)+N('Plan pay &amp; tax'!BO292),"#,##0")&amp;"; PRSI "&amp;TEXT(N('Plan pay &amp; tax'!BP292)+N('Plan pay &amp; tax'!BQ292),"#,##0")&amp;IF(N('Plan holdings'!BO66)&gt;=0.5,"; DIRT "&amp;TEXT(('Plan holdings'!BO66)/$F66,"#,##0")&amp;" (already taken from the interest earned)","")&amp;IF(N('Plan holdings'!BP66)&gt;=0.5,"; exit tax at an 8-year anniversary "&amp;TEXT(('Plan holdings'!BP66)/$F66,"#,##0"),"")&amp;IF(N('Plan holdings'!BN66)&gt;=0.5,"; tax on assets sold (exit tax or capital gains tax) "&amp;TEXT(('Plan holdings'!BN66)/$F66,"#,##0"),"")&amp;IF(N('Plan pay &amp; tax'!X292)-N('Plan pay &amp; tax'!Y292)&gt;=0.5,"; tax on the pension lump sum "&amp;TEXT(('Plan pay &amp; tax'!X292-'Plan pay &amp; tax'!Y292)/$F66,"#,##0"),"")&amp;IF(N('Plan pay &amp; tax'!V292)&gt;=0.5,"; chargeable excess tax on the pension "&amp;TEXT(('Plan pay &amp; tax'!V292)/$F66,"#,##0"),"")&amp;".","")</f>
        <v/>
      </c>
      <c r="F66" s="50" t="n">
        <f aca="false">'Plan pay &amp; tax'!E292</f>
        <v>3.15362436405749</v>
      </c>
      <c r="G66" s="20" t="n">
        <f aca="false">'Plan pay &amp; tax'!G292</f>
        <v>0</v>
      </c>
      <c r="H66" s="20" t="n">
        <f aca="false">'Plan pay &amp; tax'!BT292-'Plan pay &amp; tax'!BS292-'Plan pay &amp; tax'!R292</f>
        <v>89987.0313437112</v>
      </c>
      <c r="I66" s="20" t="n">
        <f aca="false">IF(G66=1,F_CostsM*12,IF(RG_Exists=1,RG_Amount,F_CostsM*12*AS_RetireSpend))*F66+F_OneOffY*F66</f>
        <v>150743.244601948</v>
      </c>
      <c r="J66" s="20" t="n">
        <f aca="false">IF(UN66=1,0,HR65)</f>
        <v>0</v>
      </c>
      <c r="K66" s="20" t="n">
        <f aca="false">IF(J66&gt;1,'Plan debt months'!AC66,0)</f>
        <v>0</v>
      </c>
      <c r="L66" s="20" t="n">
        <f aca="false">IF(J66&gt;1,'Plan debt months'!AB66,J66)</f>
        <v>0</v>
      </c>
      <c r="M66" s="20" t="n">
        <f aca="false">O65</f>
        <v>0</v>
      </c>
      <c r="N66" s="20" t="n">
        <f aca="false">IF(M66&gt;1,'Plan debt months'!BD66,0)</f>
        <v>0</v>
      </c>
      <c r="O66" s="20" t="n">
        <f aca="false">IF(M66&gt;1,'Plan debt months'!BC66,M66)</f>
        <v>0</v>
      </c>
      <c r="P66" s="20" t="n">
        <f aca="false">R65</f>
        <v>0</v>
      </c>
      <c r="Q66" s="20" t="n">
        <f aca="false">IF(P66&gt;1,'Plan debt months'!CE66,0)</f>
        <v>0</v>
      </c>
      <c r="R66" s="20" t="n">
        <f aca="false">IF(P66&gt;1,'Plan debt months'!CD66,P66)</f>
        <v>0</v>
      </c>
      <c r="S66" s="20" t="n">
        <f aca="false">K66+N66+Q66</f>
        <v>0</v>
      </c>
      <c r="T66" s="57" t="n">
        <f aca="false">'Plan holdings'!Y66</f>
        <v>0</v>
      </c>
      <c r="U66" s="57" t="n">
        <f aca="false">'Plan holdings'!BM65</f>
        <v>0</v>
      </c>
      <c r="V66" s="20" t="n">
        <f aca="false">IF(AND(Slot1_On=1,D66=Slot1_Age),1,0)</f>
        <v>0</v>
      </c>
      <c r="W66" s="20" t="n">
        <f aca="false">IF(AND(Slot1_On=1,Slot1_Age&gt;D66),1,0)</f>
        <v>0</v>
      </c>
      <c r="X66" s="20" t="n">
        <f aca="false">QM65</f>
        <v>0</v>
      </c>
      <c r="Y66" s="20" t="n">
        <f aca="false">V66*MIN(Slot1_Cost,X66)</f>
        <v>0</v>
      </c>
      <c r="Z66" s="20" t="n">
        <f aca="false">V66*Slot1_SpendLike*MIN(Slot1_Cost-Y66,T66)</f>
        <v>0</v>
      </c>
      <c r="AA66" s="20" t="n">
        <f aca="false">Y66+Z66</f>
        <v>0</v>
      </c>
      <c r="AB66" s="20" t="n">
        <f aca="false">T66-Z66+V66*IF(Slot1_SpendLike=1,X66-Y66,IF(Slot1_PotFree=1,X66,0))</f>
        <v>0</v>
      </c>
      <c r="AC66" s="20" t="n">
        <f aca="false">AF66+V66*Slot1_BufPot*X66</f>
        <v>0</v>
      </c>
      <c r="AD66" s="20" t="n">
        <f aca="false">IF(AND(V66=1,Slot1_IsMfree=1),IF(AA66&gt;=Slot1_Cost-1,0,MAX(0,L66-AA66)),L66)</f>
        <v>0</v>
      </c>
      <c r="AE66" s="20" t="n">
        <f aca="false">V66*(Slot1_Cost-AA66)</f>
        <v>0</v>
      </c>
      <c r="AF66" s="20" t="n">
        <f aca="false">QL65</f>
        <v>0</v>
      </c>
      <c r="AG66" s="20" t="n">
        <f aca="false">IF(AND(Slot2_On=1,D66=Slot2_Age),1,0)</f>
        <v>0</v>
      </c>
      <c r="AH66" s="20" t="n">
        <f aca="false">IF(AND(Slot2_On=1,Slot2_Age&gt;D66),1,0)</f>
        <v>0</v>
      </c>
      <c r="AI66" s="20" t="n">
        <f aca="false">QQ65</f>
        <v>0</v>
      </c>
      <c r="AJ66" s="20" t="n">
        <f aca="false">AG66*MIN(Slot2_Cost,AI66)</f>
        <v>0</v>
      </c>
      <c r="AK66" s="20" t="n">
        <f aca="false">AG66*Slot2_SpendLike*MIN(Slot2_Cost-AJ66,AB66)</f>
        <v>0</v>
      </c>
      <c r="AL66" s="20" t="n">
        <f aca="false">AJ66+AK66</f>
        <v>0</v>
      </c>
      <c r="AM66" s="20" t="n">
        <f aca="false">AB66-AK66+AG66*IF(Slot2_SpendLike=1,AI66-AJ66,IF(Slot2_PotFree=1,AI66,0))</f>
        <v>0</v>
      </c>
      <c r="AN66" s="20" t="n">
        <f aca="false">AC66+AG66*Slot2_BufPot*AI66</f>
        <v>0</v>
      </c>
      <c r="AO66" s="20" t="n">
        <f aca="false">IF(AND(AG66=1,Slot2_IsMfree=1),IF(AL66&gt;=Slot2_Cost-1,0,MAX(0,AD66-AL66)),AD66)</f>
        <v>0</v>
      </c>
      <c r="AP66" s="20" t="n">
        <f aca="false">AG66*(Slot2_Cost-AL66)</f>
        <v>0</v>
      </c>
      <c r="AQ66" s="20" t="n">
        <f aca="false">IF(AND(Slot3_On=1,D66=Slot3_Age),1,0)</f>
        <v>0</v>
      </c>
      <c r="AR66" s="20" t="n">
        <f aca="false">IF(AND(Slot3_On=1,Slot3_Age&gt;D66),1,0)</f>
        <v>0</v>
      </c>
      <c r="AS66" s="20" t="n">
        <f aca="false">QU65</f>
        <v>0</v>
      </c>
      <c r="AT66" s="20" t="n">
        <f aca="false">AQ66*MIN(Slot3_Cost,AS66)</f>
        <v>0</v>
      </c>
      <c r="AU66" s="20" t="n">
        <f aca="false">AQ66*Slot3_SpendLike*MIN(Slot3_Cost-AT66,AM66)</f>
        <v>0</v>
      </c>
      <c r="AV66" s="20" t="n">
        <f aca="false">AT66+AU66</f>
        <v>0</v>
      </c>
      <c r="AW66" s="20" t="n">
        <f aca="false">AM66-AU66+AQ66*IF(Slot3_SpendLike=1,AS66-AT66,IF(Slot3_PotFree=1,AS66,0))</f>
        <v>0</v>
      </c>
      <c r="AX66" s="20" t="n">
        <f aca="false">AN66+AQ66*Slot3_BufPot*AS66</f>
        <v>0</v>
      </c>
      <c r="AY66" s="20" t="n">
        <f aca="false">IF(AND(AQ66=1,Slot3_IsMfree=1),IF(AV66&gt;=Slot3_Cost-1,0,MAX(0,AO66-AV66)),AO66)</f>
        <v>0</v>
      </c>
      <c r="AZ66" s="20" t="n">
        <f aca="false">AQ66*(Slot3_Cost-AV66)</f>
        <v>0</v>
      </c>
      <c r="BA66" s="20" t="n">
        <f aca="false">IF(AND(Slot4_On=1,D66=Slot4_Age),1,0)</f>
        <v>0</v>
      </c>
      <c r="BB66" s="20" t="n">
        <f aca="false">IF(AND(Slot4_On=1,Slot4_Age&gt;D66),1,0)</f>
        <v>0</v>
      </c>
      <c r="BC66" s="20" t="n">
        <f aca="false">QY65</f>
        <v>0</v>
      </c>
      <c r="BD66" s="20" t="n">
        <f aca="false">BA66*MIN(Slot4_Cost,BC66)</f>
        <v>0</v>
      </c>
      <c r="BE66" s="20" t="n">
        <f aca="false">BA66*Slot4_SpendLike*MIN(Slot4_Cost-BD66,AW66)</f>
        <v>0</v>
      </c>
      <c r="BF66" s="20" t="n">
        <f aca="false">BD66+BE66</f>
        <v>0</v>
      </c>
      <c r="BG66" s="20" t="n">
        <f aca="false">AW66-BE66+BA66*IF(Slot4_SpendLike=1,BC66-BD66,IF(Slot4_PotFree=1,BC66,0))</f>
        <v>0</v>
      </c>
      <c r="BH66" s="20" t="n">
        <f aca="false">AX66+BA66*Slot4_BufPot*BC66</f>
        <v>0</v>
      </c>
      <c r="BI66" s="20" t="n">
        <f aca="false">IF(AND(BA66=1,Slot4_IsMfree=1),IF(BF66&gt;=Slot4_Cost-1,0,MAX(0,AY66-BF66)),AY66)</f>
        <v>0</v>
      </c>
      <c r="BJ66" s="20" t="n">
        <f aca="false">BA66*(Slot4_Cost-BF66)</f>
        <v>0</v>
      </c>
      <c r="BK66" s="20" t="n">
        <f aca="false">IF(AND(Slot5_On=1,D66=Slot5_Age),1,0)</f>
        <v>0</v>
      </c>
      <c r="BL66" s="20" t="n">
        <f aca="false">IF(AND(Slot5_On=1,Slot5_Age&gt;D66),1,0)</f>
        <v>0</v>
      </c>
      <c r="BM66" s="20" t="n">
        <f aca="false">RC65</f>
        <v>0</v>
      </c>
      <c r="BN66" s="20" t="n">
        <f aca="false">BK66*MIN(Slot5_Cost,BM66)</f>
        <v>0</v>
      </c>
      <c r="BO66" s="20" t="n">
        <f aca="false">BK66*Slot5_SpendLike*MIN(Slot5_Cost-BN66,BG66)</f>
        <v>0</v>
      </c>
      <c r="BP66" s="20" t="n">
        <f aca="false">BN66+BO66</f>
        <v>0</v>
      </c>
      <c r="BQ66" s="20" t="n">
        <f aca="false">BG66-BO66+BK66*IF(Slot5_SpendLike=1,BM66-BN66,IF(Slot5_PotFree=1,BM66,0))</f>
        <v>0</v>
      </c>
      <c r="BR66" s="20" t="n">
        <f aca="false">BH66+BK66*Slot5_BufPot*BM66</f>
        <v>0</v>
      </c>
      <c r="BS66" s="20" t="n">
        <f aca="false">IF(AND(BK66=1,Slot5_IsMfree=1),IF(BP66&gt;=Slot5_Cost-1,0,MAX(0,BI66-BP66)),BI66)</f>
        <v>0</v>
      </c>
      <c r="BT66" s="20" t="n">
        <f aca="false">BK66*(Slot5_Cost-BP66)</f>
        <v>0</v>
      </c>
      <c r="BU66" s="20" t="n">
        <f aca="false">IF(AND(Slot6_On=1,D66=Slot6_Age),1,0)</f>
        <v>0</v>
      </c>
      <c r="BV66" s="20" t="n">
        <f aca="false">IF(AND(Slot6_On=1,Slot6_Age&gt;D66),1,0)</f>
        <v>0</v>
      </c>
      <c r="BW66" s="20" t="n">
        <f aca="false">RG65</f>
        <v>0</v>
      </c>
      <c r="BX66" s="20" t="n">
        <f aca="false">BU66*MIN(Slot6_Cost,BW66)</f>
        <v>0</v>
      </c>
      <c r="BY66" s="20" t="n">
        <f aca="false">BU66*Slot6_SpendLike*MIN(Slot6_Cost-BX66,BQ66)</f>
        <v>0</v>
      </c>
      <c r="BZ66" s="20" t="n">
        <f aca="false">BX66+BY66</f>
        <v>0</v>
      </c>
      <c r="CA66" s="20" t="n">
        <f aca="false">BQ66-BY66+BU66*IF(Slot6_SpendLike=1,BW66-BX66,IF(Slot6_PotFree=1,BW66,0))</f>
        <v>0</v>
      </c>
      <c r="CB66" s="20" t="n">
        <f aca="false">BR66+BU66*Slot6_BufPot*BW66</f>
        <v>0</v>
      </c>
      <c r="CC66" s="20" t="n">
        <f aca="false">IF(AND(BU66=1,Slot6_IsMfree=1),IF(BZ66&gt;=Slot6_Cost-1,0,MAX(0,BS66-BZ66)),BS66)</f>
        <v>0</v>
      </c>
      <c r="CD66" s="20" t="n">
        <f aca="false">BU66*(Slot6_Cost-BZ66)</f>
        <v>0</v>
      </c>
      <c r="CE66" s="20" t="n">
        <f aca="false">IF(AND(Slot7_On=1,D66=Slot7_Age),1,0)</f>
        <v>0</v>
      </c>
      <c r="CF66" s="20" t="n">
        <f aca="false">IF(AND(Slot7_On=1,Slot7_Age&gt;D66),1,0)</f>
        <v>0</v>
      </c>
      <c r="CG66" s="20" t="n">
        <f aca="false">RK65</f>
        <v>0</v>
      </c>
      <c r="CH66" s="20" t="n">
        <f aca="false">CE66*MIN(Slot7_Cost,CG66)</f>
        <v>0</v>
      </c>
      <c r="CI66" s="20" t="n">
        <f aca="false">CE66*Slot7_SpendLike*MIN(Slot7_Cost-CH66,CA66)</f>
        <v>0</v>
      </c>
      <c r="CJ66" s="20" t="n">
        <f aca="false">CH66+CI66</f>
        <v>0</v>
      </c>
      <c r="CK66" s="20" t="n">
        <f aca="false">CA66-CI66+CE66*IF(Slot7_SpendLike=1,CG66-CH66,IF(Slot7_PotFree=1,CG66,0))</f>
        <v>0</v>
      </c>
      <c r="CL66" s="20" t="n">
        <f aca="false">CB66+CE66*Slot7_BufPot*CG66</f>
        <v>0</v>
      </c>
      <c r="CM66" s="20" t="n">
        <f aca="false">IF(AND(CE66=1,Slot7_IsMfree=1),IF(CJ66&gt;=Slot7_Cost-1,0,MAX(0,CC66-CJ66)),CC66)</f>
        <v>0</v>
      </c>
      <c r="CN66" s="20" t="n">
        <f aca="false">CE66*(Slot7_Cost-CJ66)</f>
        <v>0</v>
      </c>
      <c r="CO66" s="20" t="n">
        <f aca="false">IF(AND(Slot8_On=1,D66=Slot8_Age),1,0)</f>
        <v>0</v>
      </c>
      <c r="CP66" s="20" t="n">
        <f aca="false">IF(AND(Slot8_On=1,Slot8_Age&gt;D66),1,0)</f>
        <v>0</v>
      </c>
      <c r="CQ66" s="20" t="n">
        <f aca="false">RO65</f>
        <v>0</v>
      </c>
      <c r="CR66" s="20" t="n">
        <f aca="false">CO66*MIN(Slot8_Cost,CQ66)</f>
        <v>0</v>
      </c>
      <c r="CS66" s="20" t="n">
        <f aca="false">CO66*Slot8_SpendLike*MIN(Slot8_Cost-CR66,CK66)</f>
        <v>0</v>
      </c>
      <c r="CT66" s="20" t="n">
        <f aca="false">CR66+CS66</f>
        <v>0</v>
      </c>
      <c r="CU66" s="20" t="n">
        <f aca="false">CK66-CS66+CO66*IF(Slot8_SpendLike=1,CQ66-CR66,IF(Slot8_PotFree=1,CQ66,0))</f>
        <v>0</v>
      </c>
      <c r="CV66" s="20" t="n">
        <f aca="false">CL66+CO66*Slot8_BufPot*CQ66</f>
        <v>0</v>
      </c>
      <c r="CW66" s="20" t="n">
        <f aca="false">IF(AND(CO66=1,Slot8_IsMfree=1),IF(CT66&gt;=Slot8_Cost-1,0,MAX(0,CM66-CT66)),CM66)</f>
        <v>0</v>
      </c>
      <c r="CX66" s="20" t="n">
        <f aca="false">CO66*(Slot8_Cost-CT66)</f>
        <v>0</v>
      </c>
      <c r="CY66" s="20" t="n">
        <f aca="false">IF(AND(Slot9_On=1,D66=Slot9_Age),1,0)</f>
        <v>0</v>
      </c>
      <c r="CZ66" s="20" t="n">
        <f aca="false">IF(AND(Slot9_On=1,Slot9_Age&gt;D66),1,0)</f>
        <v>0</v>
      </c>
      <c r="DA66" s="20" t="n">
        <f aca="false">RS65</f>
        <v>0</v>
      </c>
      <c r="DB66" s="20" t="n">
        <f aca="false">CY66*MIN(Slot9_Cost,DA66)</f>
        <v>0</v>
      </c>
      <c r="DC66" s="20" t="n">
        <f aca="false">CY66*Slot9_SpendLike*MIN(Slot9_Cost-DB66,CU66)</f>
        <v>0</v>
      </c>
      <c r="DD66" s="20" t="n">
        <f aca="false">DB66+DC66</f>
        <v>0</v>
      </c>
      <c r="DE66" s="20" t="n">
        <f aca="false">CU66-DC66+CY66*IF(Slot9_SpendLike=1,DA66-DB66,IF(Slot9_PotFree=1,DA66,0))</f>
        <v>0</v>
      </c>
      <c r="DF66" s="20" t="n">
        <f aca="false">CV66+CY66*Slot9_BufPot*DA66</f>
        <v>0</v>
      </c>
      <c r="DG66" s="20" t="n">
        <f aca="false">IF(AND(CY66=1,Slot9_IsMfree=1),IF(DD66&gt;=Slot9_Cost-1,0,MAX(0,CW66-DD66)),CW66)</f>
        <v>0</v>
      </c>
      <c r="DH66" s="20" t="n">
        <f aca="false">CY66*(Slot9_Cost-DD66)</f>
        <v>0</v>
      </c>
      <c r="DI66" s="20" t="n">
        <f aca="false">IF(AND(Slot10_On=1,D66=Slot10_Age),1,0)</f>
        <v>0</v>
      </c>
      <c r="DJ66" s="20" t="n">
        <f aca="false">IF(AND(Slot10_On=1,Slot10_Age&gt;D66),1,0)</f>
        <v>0</v>
      </c>
      <c r="DK66" s="20" t="n">
        <f aca="false">RW65</f>
        <v>0</v>
      </c>
      <c r="DL66" s="20" t="n">
        <f aca="false">DI66*MIN(Slot10_Cost,DK66)</f>
        <v>0</v>
      </c>
      <c r="DM66" s="20" t="n">
        <f aca="false">DI66*Slot10_SpendLike*MIN(Slot10_Cost-DL66,DE66)</f>
        <v>0</v>
      </c>
      <c r="DN66" s="20" t="n">
        <f aca="false">DL66+DM66</f>
        <v>0</v>
      </c>
      <c r="DO66" s="20" t="n">
        <f aca="false">DE66-DM66+DI66*IF(Slot10_SpendLike=1,DK66-DL66,IF(Slot10_PotFree=1,DK66,0))</f>
        <v>0</v>
      </c>
      <c r="DP66" s="20" t="n">
        <f aca="false">DF66+DI66*Slot10_BufPot*DK66</f>
        <v>0</v>
      </c>
      <c r="DQ66" s="20" t="n">
        <f aca="false">IF(AND(DI66=1,Slot10_IsMfree=1),IF(DN66&gt;=Slot10_Cost-1,0,MAX(0,DG66-DN66)),DG66)</f>
        <v>0</v>
      </c>
      <c r="DR66" s="20" t="n">
        <f aca="false">DI66*(Slot10_Cost-DN66)</f>
        <v>0</v>
      </c>
      <c r="DS66" s="20" t="n">
        <f aca="false">IF(AND(Slot11_On=1,D66=Slot11_Age),1,0)</f>
        <v>0</v>
      </c>
      <c r="DT66" s="20" t="n">
        <f aca="false">IF(AND(Slot11_On=1,Slot11_Age&gt;D66),1,0)</f>
        <v>0</v>
      </c>
      <c r="DU66" s="20" t="n">
        <f aca="false">SA65</f>
        <v>0</v>
      </c>
      <c r="DV66" s="20" t="n">
        <f aca="false">DS66*MIN(Slot11_Cost,DU66)</f>
        <v>0</v>
      </c>
      <c r="DW66" s="20" t="n">
        <f aca="false">DS66*Slot11_SpendLike*MIN(Slot11_Cost-DV66,DO66)</f>
        <v>0</v>
      </c>
      <c r="DX66" s="20" t="n">
        <f aca="false">DV66+DW66</f>
        <v>0</v>
      </c>
      <c r="DY66" s="20" t="n">
        <f aca="false">DO66-DW66+DS66*IF(Slot11_SpendLike=1,DU66-DV66,IF(Slot11_PotFree=1,DU66,0))</f>
        <v>0</v>
      </c>
      <c r="DZ66" s="20" t="n">
        <f aca="false">DP66+DS66*Slot11_BufPot*DU66</f>
        <v>0</v>
      </c>
      <c r="EA66" s="20" t="n">
        <f aca="false">IF(AND(DS66=1,Slot11_IsMfree=1),IF(DX66&gt;=Slot11_Cost-1,0,MAX(0,DQ66-DX66)),DQ66)</f>
        <v>0</v>
      </c>
      <c r="EB66" s="20" t="n">
        <f aca="false">DS66*(Slot11_Cost-DX66)</f>
        <v>0</v>
      </c>
      <c r="EC66" s="20" t="n">
        <f aca="false">IF(AND(Slot12_On=1,D66=Slot12_Age),1,0)</f>
        <v>0</v>
      </c>
      <c r="ED66" s="20" t="n">
        <f aca="false">IF(AND(Slot12_On=1,Slot12_Age&gt;D66),1,0)</f>
        <v>0</v>
      </c>
      <c r="EE66" s="20" t="n">
        <f aca="false">SE65</f>
        <v>0</v>
      </c>
      <c r="EF66" s="20" t="n">
        <f aca="false">EC66*MIN(Slot12_Cost,EE66)</f>
        <v>0</v>
      </c>
      <c r="EG66" s="20" t="n">
        <f aca="false">EC66*Slot12_SpendLike*MIN(Slot12_Cost-EF66,DY66)</f>
        <v>0</v>
      </c>
      <c r="EH66" s="20" t="n">
        <f aca="false">EF66+EG66</f>
        <v>0</v>
      </c>
      <c r="EI66" s="20" t="n">
        <f aca="false">DY66-EG66+EC66*IF(Slot12_SpendLike=1,EE66-EF66,IF(Slot12_PotFree=1,EE66,0))</f>
        <v>0</v>
      </c>
      <c r="EJ66" s="20" t="n">
        <f aca="false">DZ66+EC66*Slot12_BufPot*EE66</f>
        <v>0</v>
      </c>
      <c r="EK66" s="20" t="n">
        <f aca="false">IF(AND(EC66=1,Slot12_IsMfree=1),IF(EH66&gt;=Slot12_Cost-1,0,MAX(0,EA66-EH66)),EA66)</f>
        <v>0</v>
      </c>
      <c r="EL66" s="20" t="n">
        <f aca="false">EC66*(Slot12_Cost-EH66)</f>
        <v>0</v>
      </c>
      <c r="EM66" s="20" t="n">
        <f aca="false">IF(AND(Slot13_On=1,D66=Slot13_Age),1,0)</f>
        <v>0</v>
      </c>
      <c r="EN66" s="20" t="n">
        <f aca="false">IF(AND(Slot13_On=1,Slot13_Age&gt;D66),1,0)</f>
        <v>0</v>
      </c>
      <c r="EO66" s="20" t="n">
        <f aca="false">SI65</f>
        <v>0</v>
      </c>
      <c r="EP66" s="20" t="n">
        <f aca="false">EM66*MIN(Slot13_Cost,EO66)</f>
        <v>0</v>
      </c>
      <c r="EQ66" s="20" t="n">
        <f aca="false">EM66*Slot13_SpendLike*MIN(Slot13_Cost-EP66,EI66)</f>
        <v>0</v>
      </c>
      <c r="ER66" s="20" t="n">
        <f aca="false">EP66+EQ66</f>
        <v>0</v>
      </c>
      <c r="ES66" s="20" t="n">
        <f aca="false">EI66-EQ66+EM66*IF(Slot13_SpendLike=1,EO66-EP66,IF(Slot13_PotFree=1,EO66,0))</f>
        <v>0</v>
      </c>
      <c r="ET66" s="20" t="n">
        <f aca="false">EJ66+EM66*Slot13_BufPot*EO66</f>
        <v>0</v>
      </c>
      <c r="EU66" s="20" t="n">
        <f aca="false">IF(AND(EM66=1,Slot13_IsMfree=1),IF(ER66&gt;=Slot13_Cost-1,0,MAX(0,EK66-ER66)),EK66)</f>
        <v>0</v>
      </c>
      <c r="EV66" s="20" t="n">
        <f aca="false">EM66*(Slot13_Cost-ER66)</f>
        <v>0</v>
      </c>
      <c r="EW66" s="20" t="n">
        <f aca="false">IF(AND(Slot14_On=1,D66=Slot14_Age),1,0)</f>
        <v>0</v>
      </c>
      <c r="EX66" s="20" t="n">
        <f aca="false">IF(AND(Slot14_On=1,Slot14_Age&gt;D66),1,0)</f>
        <v>0</v>
      </c>
      <c r="EY66" s="20" t="n">
        <f aca="false">SM65</f>
        <v>0</v>
      </c>
      <c r="EZ66" s="20" t="n">
        <f aca="false">EW66*MIN(Slot14_Cost,EY66)</f>
        <v>0</v>
      </c>
      <c r="FA66" s="20" t="n">
        <f aca="false">EW66*Slot14_SpendLike*MIN(Slot14_Cost-EZ66,ES66)</f>
        <v>0</v>
      </c>
      <c r="FB66" s="20" t="n">
        <f aca="false">EZ66+FA66</f>
        <v>0</v>
      </c>
      <c r="FC66" s="20" t="n">
        <f aca="false">ES66-FA66+EW66*IF(Slot14_SpendLike=1,EY66-EZ66,IF(Slot14_PotFree=1,EY66,0))</f>
        <v>0</v>
      </c>
      <c r="FD66" s="20" t="n">
        <f aca="false">ET66+EW66*Slot14_BufPot*EY66</f>
        <v>0</v>
      </c>
      <c r="FE66" s="20" t="n">
        <f aca="false">IF(AND(EW66=1,Slot14_IsMfree=1),IF(FB66&gt;=Slot14_Cost-1,0,MAX(0,EU66-FB66)),EU66)</f>
        <v>0</v>
      </c>
      <c r="FF66" s="20" t="n">
        <f aca="false">EW66*(Slot14_Cost-FB66)</f>
        <v>0</v>
      </c>
      <c r="FG66" s="20" t="n">
        <f aca="false">IF(AND(Slot15_On=1,D66=Slot15_Age),1,0)</f>
        <v>0</v>
      </c>
      <c r="FH66" s="20" t="n">
        <f aca="false">IF(AND(Slot15_On=1,Slot15_Age&gt;D66),1,0)</f>
        <v>0</v>
      </c>
      <c r="FI66" s="20" t="n">
        <f aca="false">SQ65</f>
        <v>0</v>
      </c>
      <c r="FJ66" s="20" t="n">
        <f aca="false">FG66*MIN(Slot15_Cost,FI66)</f>
        <v>0</v>
      </c>
      <c r="FK66" s="20" t="n">
        <f aca="false">FG66*Slot15_SpendLike*MIN(Slot15_Cost-FJ66,FC66)</f>
        <v>0</v>
      </c>
      <c r="FL66" s="20" t="n">
        <f aca="false">FJ66+FK66</f>
        <v>0</v>
      </c>
      <c r="FM66" s="20" t="n">
        <f aca="false">FC66-FK66+FG66*IF(Slot15_SpendLike=1,FI66-FJ66,IF(Slot15_PotFree=1,FI66,0))</f>
        <v>0</v>
      </c>
      <c r="FN66" s="20" t="n">
        <f aca="false">FD66+FG66*Slot15_BufPot*FI66</f>
        <v>0</v>
      </c>
      <c r="FO66" s="20" t="n">
        <f aca="false">IF(AND(FG66=1,Slot15_IsMfree=1),IF(FL66&gt;=Slot15_Cost-1,0,MAX(0,FE66-FL66)),FE66)</f>
        <v>0</v>
      </c>
      <c r="FP66" s="20" t="n">
        <f aca="false">FG66*(Slot15_Cost-FL66)</f>
        <v>0</v>
      </c>
      <c r="FQ66" s="20" t="n">
        <f aca="false">IF(AND(Slot16_On=1,D66=Slot16_Age),1,0)</f>
        <v>0</v>
      </c>
      <c r="FR66" s="20" t="n">
        <f aca="false">IF(AND(Slot16_On=1,Slot16_Age&gt;D66),1,0)</f>
        <v>0</v>
      </c>
      <c r="FS66" s="20" t="n">
        <f aca="false">SU65</f>
        <v>0</v>
      </c>
      <c r="FT66" s="20" t="n">
        <f aca="false">FQ66*MIN(Slot16_Cost,FS66)</f>
        <v>0</v>
      </c>
      <c r="FU66" s="20" t="n">
        <f aca="false">FQ66*Slot16_SpendLike*MIN(Slot16_Cost-FT66,FM66)</f>
        <v>0</v>
      </c>
      <c r="FV66" s="20" t="n">
        <f aca="false">FT66+FU66</f>
        <v>0</v>
      </c>
      <c r="FW66" s="20" t="n">
        <f aca="false">FM66-FU66+FQ66*IF(Slot16_SpendLike=1,FS66-FT66,IF(Slot16_PotFree=1,FS66,0))</f>
        <v>0</v>
      </c>
      <c r="FX66" s="20" t="n">
        <f aca="false">FN66+FQ66*Slot16_BufPot*FS66</f>
        <v>0</v>
      </c>
      <c r="FY66" s="20" t="n">
        <f aca="false">IF(AND(FQ66=1,Slot16_IsMfree=1),IF(FV66&gt;=Slot16_Cost-1,0,MAX(0,FO66-FV66)),FO66)</f>
        <v>0</v>
      </c>
      <c r="FZ66" s="20" t="n">
        <f aca="false">FQ66*(Slot16_Cost-FV66)</f>
        <v>0</v>
      </c>
      <c r="GA66" s="20" t="n">
        <f aca="false">IF(AND(Slot17_On=1,D66=Slot17_Age),1,0)</f>
        <v>0</v>
      </c>
      <c r="GB66" s="20" t="n">
        <f aca="false">IF(AND(Slot17_On=1,Slot17_Age&gt;D66),1,0)</f>
        <v>0</v>
      </c>
      <c r="GC66" s="20" t="n">
        <f aca="false">SY65</f>
        <v>0</v>
      </c>
      <c r="GD66" s="20" t="n">
        <f aca="false">GA66*MIN(Slot17_Cost,GC66)</f>
        <v>0</v>
      </c>
      <c r="GE66" s="20" t="n">
        <f aca="false">GA66*Slot17_SpendLike*MIN(Slot17_Cost-GD66,FW66)</f>
        <v>0</v>
      </c>
      <c r="GF66" s="20" t="n">
        <f aca="false">GD66+GE66</f>
        <v>0</v>
      </c>
      <c r="GG66" s="20" t="n">
        <f aca="false">FW66-GE66+GA66*IF(Slot17_SpendLike=1,GC66-GD66,IF(Slot17_PotFree=1,GC66,0))</f>
        <v>0</v>
      </c>
      <c r="GH66" s="20" t="n">
        <f aca="false">FX66+GA66*Slot17_BufPot*GC66</f>
        <v>0</v>
      </c>
      <c r="GI66" s="20" t="n">
        <f aca="false">IF(AND(GA66=1,Slot17_IsMfree=1),IF(GF66&gt;=Slot17_Cost-1,0,MAX(0,FY66-GF66)),FY66)</f>
        <v>0</v>
      </c>
      <c r="GJ66" s="20" t="n">
        <f aca="false">GA66*(Slot17_Cost-GF66)</f>
        <v>0</v>
      </c>
      <c r="GK66" s="20" t="n">
        <f aca="false">IF(AND(Slot18_On=1,D66=Slot18_Age),1,0)</f>
        <v>0</v>
      </c>
      <c r="GL66" s="20" t="n">
        <f aca="false">IF(AND(Slot18_On=1,Slot18_Age&gt;D66),1,0)</f>
        <v>0</v>
      </c>
      <c r="GM66" s="20" t="n">
        <f aca="false">TC65</f>
        <v>0</v>
      </c>
      <c r="GN66" s="20" t="n">
        <f aca="false">GK66*MIN(Slot18_Cost,GM66)</f>
        <v>0</v>
      </c>
      <c r="GO66" s="20" t="n">
        <f aca="false">GK66*Slot18_SpendLike*MIN(Slot18_Cost-GN66,GG66)</f>
        <v>0</v>
      </c>
      <c r="GP66" s="20" t="n">
        <f aca="false">GN66+GO66</f>
        <v>0</v>
      </c>
      <c r="GQ66" s="20" t="n">
        <f aca="false">GG66-GO66+GK66*IF(Slot18_SpendLike=1,GM66-GN66,IF(Slot18_PotFree=1,GM66,0))</f>
        <v>0</v>
      </c>
      <c r="GR66" s="20" t="n">
        <f aca="false">GH66+GK66*Slot18_BufPot*GM66</f>
        <v>0</v>
      </c>
      <c r="GS66" s="20" t="n">
        <f aca="false">IF(AND(GK66=1,Slot18_IsMfree=1),IF(GP66&gt;=Slot18_Cost-1,0,MAX(0,GI66-GP66)),GI66)</f>
        <v>0</v>
      </c>
      <c r="GT66" s="20" t="n">
        <f aca="false">GK66*(Slot18_Cost-GP66)</f>
        <v>0</v>
      </c>
      <c r="GU66" s="20" t="n">
        <f aca="false">IF(AND(Slot19_On=1,D66=Slot19_Age),1,0)</f>
        <v>0</v>
      </c>
      <c r="GV66" s="20" t="n">
        <f aca="false">IF(AND(Slot19_On=1,Slot19_Age&gt;D66),1,0)</f>
        <v>0</v>
      </c>
      <c r="GW66" s="20" t="n">
        <f aca="false">TG65</f>
        <v>0</v>
      </c>
      <c r="GX66" s="20" t="n">
        <f aca="false">GU66*MIN(Slot19_Cost,GW66)</f>
        <v>0</v>
      </c>
      <c r="GY66" s="20" t="n">
        <f aca="false">GU66*Slot19_SpendLike*MIN(Slot19_Cost-GX66,GQ66)</f>
        <v>0</v>
      </c>
      <c r="GZ66" s="20" t="n">
        <f aca="false">GX66+GY66</f>
        <v>0</v>
      </c>
      <c r="HA66" s="20" t="n">
        <f aca="false">GQ66-GY66+GU66*IF(Slot19_SpendLike=1,GW66-GX66,IF(Slot19_PotFree=1,GW66,0))</f>
        <v>0</v>
      </c>
      <c r="HB66" s="20" t="n">
        <f aca="false">GR66+GU66*Slot19_BufPot*GW66</f>
        <v>0</v>
      </c>
      <c r="HC66" s="20" t="n">
        <f aca="false">IF(AND(GU66=1,Slot19_IsMfree=1),IF(GZ66&gt;=Slot19_Cost-1,0,MAX(0,GS66-GZ66)),GS66)</f>
        <v>0</v>
      </c>
      <c r="HD66" s="20" t="n">
        <f aca="false">GU66*(Slot19_Cost-GZ66)</f>
        <v>0</v>
      </c>
      <c r="HE66" s="20" t="n">
        <f aca="false">IF(AND(Slot20_On=1,D66=Slot20_Age),1,0)</f>
        <v>0</v>
      </c>
      <c r="HF66" s="20" t="n">
        <f aca="false">IF(AND(Slot20_On=1,Slot20_Age&gt;D66),1,0)</f>
        <v>0</v>
      </c>
      <c r="HG66" s="20" t="n">
        <f aca="false">TK65</f>
        <v>0</v>
      </c>
      <c r="HH66" s="20" t="n">
        <f aca="false">HE66*MIN(Slot20_Cost,HG66)</f>
        <v>0</v>
      </c>
      <c r="HI66" s="20" t="n">
        <f aca="false">HE66*Slot20_SpendLike*MIN(Slot20_Cost-HH66,HA66)</f>
        <v>0</v>
      </c>
      <c r="HJ66" s="20" t="n">
        <f aca="false">HH66+HI66</f>
        <v>0</v>
      </c>
      <c r="HK66" s="20" t="n">
        <f aca="false">HA66-HI66+HE66*IF(Slot20_SpendLike=1,HG66-HH66,IF(Slot20_PotFree=1,HG66,0))</f>
        <v>0</v>
      </c>
      <c r="HL66" s="20" t="n">
        <f aca="false">HB66+HE66*Slot20_BufPot*HG66</f>
        <v>0</v>
      </c>
      <c r="HM66" s="20" t="n">
        <f aca="false">IF(AND(HE66=1,Slot20_IsMfree=1),IF(HJ66&gt;=Slot20_Cost-1,0,MAX(0,HC66-HJ66)),HC66)</f>
        <v>0</v>
      </c>
      <c r="HN66" s="20" t="n">
        <f aca="false">HE66*(Slot20_Cost-HJ66)</f>
        <v>0</v>
      </c>
      <c r="HO66" s="20" t="n">
        <f aca="false">V66*Slot1_SpendLike*AA66+AG66*Slot2_SpendLike*AL66+AQ66*Slot3_SpendLike*AV66+BA66*Slot4_SpendLike*BF66+BK66*Slot5_SpendLike*BP66+BU66*Slot6_SpendLike*BZ66+CE66*Slot7_SpendLike*CJ66+CO66*Slot8_SpendLike*CT66+CY66*Slot9_SpendLike*DD66+DI66*Slot10_SpendLike*DN66+DS66*Slot11_SpendLike*DX66+EC66*Slot12_SpendLike*EH66+EM66*Slot13_SpendLike*ER66+EW66*Slot14_SpendLike*FB66+FG66*Slot15_SpendLike*FL66+FQ66*Slot16_SpendLike*FV66+GA66*Slot17_SpendLike*GF66+GK66*Slot18_SpendLike*GP66+GU66*Slot19_SpendLike*GZ66+HE66*Slot20_SpendLike*HJ66</f>
        <v>0</v>
      </c>
      <c r="HP66" s="20" t="n">
        <f aca="false">AE66+AP66+AZ66+BJ66+BT66+CD66+CN66+CX66+DH66+DR66+EB66+EL66+EV66+FF66+FP66+FZ66+GJ66+GT66+HD66+HN66</f>
        <v>0</v>
      </c>
      <c r="HQ66" s="20" t="n">
        <f aca="false">V66*Slot1_Cost+AG66*Slot2_Cost+AQ66*Slot3_Cost+BA66*Slot4_Cost+BK66*Slot5_Cost+BU66*Slot6_Cost+CE66*Slot7_Cost+CO66*Slot8_Cost+CY66*Slot9_Cost+DI66*Slot10_Cost+DS66*Slot11_Cost+EC66*Slot12_Cost+EM66*Slot13_Cost+EW66*Slot14_Cost+FG66*Slot15_Cost+FQ66*Slot16_Cost+GA66*Slot17_Cost+GK66*Slot18_Cost+GU66*Slot19_Cost+HE66*Slot20_Cost</f>
        <v>0</v>
      </c>
      <c r="HR66" s="20" t="n">
        <f aca="false">HM66</f>
        <v>0</v>
      </c>
      <c r="HS66" s="20" t="n">
        <f aca="false">H66-I66-S66</f>
        <v>-60756.2132582369</v>
      </c>
      <c r="HT66" s="20" t="n">
        <f aca="false">IF(B66=0,IF(AND(Has_q6=1,In_q6=4),PR_ShareVaries*(MAX(0,HS66)/12),MIN(IF(Has_q6=1,CHOOSE(In_q6+1,PR_SaveB1,PR_SaveB2,PR_SaveB3,PR_SaveB4,0),AS_NoAnswer),AS_SaveShare*(MAX(0,HS66)/12))),HT65)</f>
        <v>67.3316893520437</v>
      </c>
      <c r="HU66" s="20" t="n">
        <f aca="false">IF(HS66&gt;=0,1,0)</f>
        <v>0</v>
      </c>
      <c r="HV66" s="20" t="n">
        <f aca="false">MAX(0,HS66/12/F66)</f>
        <v>0</v>
      </c>
      <c r="HW66" s="20" t="n">
        <f aca="false">IF(AND(Has_q6=1,In_q6=4),PR_ShareVaries*(HV66),MIN(IF(Has_q6=1,CHOOSE(In_q6+1,PR_SaveB1,PR_SaveB2,PR_SaveB3,PR_SaveB4,0),AS_NoAnswer),AS_SaveShare*(HV66)))</f>
        <v>0</v>
      </c>
      <c r="HX66" s="20" t="n">
        <f aca="false">IF(Has_saveM=1,IF(In_saveUp="Yes",1,IF(In_saveUp="No",0,IF(In_saveM&gt;=HT66-0.5,1,0))),0)</f>
        <v>0</v>
      </c>
      <c r="HY66" s="20" t="n">
        <f aca="false">IF(Has_saveM=1,MIN(HV66,IF(HX66=1,MAX(In_saveM,HW66),MIN(In_saveM,HW66))),HW66)</f>
        <v>0</v>
      </c>
      <c r="HZ66" s="20" t="n">
        <f aca="false">IF(G66=1,HY66*12*F66,0)</f>
        <v>0</v>
      </c>
      <c r="IA66" s="20" t="n">
        <f aca="false">MAX(0,HZ66+IF(AND(WI_Retire=0,WI_M&lt;0,G66=1),WI_M*12*F66,0))</f>
        <v>0</v>
      </c>
      <c r="IB66" s="20" t="n">
        <f aca="false">Slot1_IsWG*W66+Slot2_IsWG*AH66+Slot3_IsWG*AR66+Slot4_IsWG*BB66+Slot5_IsWG*BL66+Slot6_IsWG*BV66+Slot7_IsWG*CF66+Slot8_IsWG*CP66+Slot9_IsWG*CZ66+Slot10_IsWG*DJ66+Slot11_IsWG*DT66+Slot12_IsWG*ED66+Slot13_IsWG*EN66+Slot14_IsWG*EX66+Slot15_IsWG*FH66+Slot16_IsWG*FR66+Slot17_IsWG*GB66+Slot18_IsWG*GL66+Slot19_IsWG*GV66+Slot20_IsWG*HF66</f>
        <v>0</v>
      </c>
      <c r="IC66" s="20" t="n">
        <f aca="false">IF(AND(WI_Retire=0,WI_M&gt;0,G66=1,IB66&gt;=1),WI_M*12*F66,0)</f>
        <v>0</v>
      </c>
      <c r="ID66" s="20" t="n">
        <f aca="false">IF(HU66=1,MIN(IA66,HS66),0)</f>
        <v>0</v>
      </c>
      <c r="IE66" s="20" t="n">
        <f aca="false">IF(HU66=1,MIN(IC66,HS66-ID66),0)</f>
        <v>0</v>
      </c>
      <c r="IF66" s="20" t="n">
        <f aca="false">IF(W66=1,IF(ABS((1+AS_Wage)/(1+Slot1_Rate)-1)&lt;0.000000000001,(Slot1_Age-D66)*(1+Slot1_Rate)^(Slot1_Age-D66),(1+Slot1_Rate)^(Slot1_Age-D66)*(1-((1+AS_Wage)/(1+Slot1_Rate))^(Slot1_Age-D66))/(1-(1+AS_Wage)/(1+Slot1_Rate))),1)</f>
        <v>1</v>
      </c>
      <c r="IG66" s="20" t="n">
        <f aca="false">IF(AND(HU66=1,IE66&gt;0,Slot1_IsWG=1,W66=1),MAX(0,(Slot1_Cost-X66*(1+Slot1_Rate)^(Slot1_Age-D66))/IF66),0)</f>
        <v>0</v>
      </c>
      <c r="IH66" s="20" t="n">
        <f aca="false">IF(AND(HU66=1,IE66&gt;0,Slot1_IsWG=1,W66=1),MIN(IE66,IG66),0)</f>
        <v>0</v>
      </c>
      <c r="II66" s="20" t="n">
        <f aca="false">X66+IH66</f>
        <v>0</v>
      </c>
      <c r="IJ66" s="20" t="n">
        <f aca="false">IF(W66=1,MAX(0,(Slot1_Cost-II66*(1+Slot1_Rate)^(Slot1_Age-D66))/IF66),0)</f>
        <v>0</v>
      </c>
      <c r="IK66" s="20" t="n">
        <f aca="false">IF(W66=1,MAX(0,(Slot1_Cost-X66*(1+Slot1_Rate)^(Slot1_Age-D66))/IF66),0)</f>
        <v>0</v>
      </c>
      <c r="IL66" s="20" t="n">
        <f aca="false">IF(AND(HU66=1,W66=1),MIN(ID66,IJ66),0)</f>
        <v>0</v>
      </c>
      <c r="IM66" s="20" t="n">
        <f aca="false">ID66-IL66</f>
        <v>0</v>
      </c>
      <c r="IN66" s="20" t="n">
        <f aca="false">IF(AH66=1,IF(ABS((1+AS_Wage)/(1+Slot2_Rate)-1)&lt;0.000000000001,(Slot2_Age-D66)*(1+Slot2_Rate)^(Slot2_Age-D66),(1+Slot2_Rate)^(Slot2_Age-D66)*(1-((1+AS_Wage)/(1+Slot2_Rate))^(Slot2_Age-D66))/(1-(1+AS_Wage)/(1+Slot2_Rate))),1)</f>
        <v>1</v>
      </c>
      <c r="IO66" s="20" t="n">
        <f aca="false">IF(AND(HU66=1,IE66&gt;0,Slot2_IsWG=1,AH66=1),MAX(0,(Slot2_Cost-AI66*(1+Slot2_Rate)^(Slot2_Age-D66))/IN66),0)</f>
        <v>0</v>
      </c>
      <c r="IP66" s="20" t="n">
        <f aca="false">IF(AND(HU66=1,IE66&gt;0,Slot2_IsWG=1,AH66=1),MIN(IE66,IO66),0)</f>
        <v>0</v>
      </c>
      <c r="IQ66" s="20" t="n">
        <f aca="false">AI66+IP66</f>
        <v>0</v>
      </c>
      <c r="IR66" s="20" t="n">
        <f aca="false">IF(AH66=1,MAX(0,(Slot2_Cost-IQ66*(1+Slot2_Rate)^(Slot2_Age-D66))/IN66),0)</f>
        <v>0</v>
      </c>
      <c r="IS66" s="20" t="n">
        <f aca="false">IF(AH66=1,MAX(0,(Slot2_Cost-AI66*(1+Slot2_Rate)^(Slot2_Age-D66))/IN66),0)</f>
        <v>0</v>
      </c>
      <c r="IT66" s="20" t="n">
        <f aca="false">IF(AND(HU66=1,AH66=1),MIN(IM66,IR66),0)</f>
        <v>0</v>
      </c>
      <c r="IU66" s="20" t="n">
        <f aca="false">IM66-IT66</f>
        <v>0</v>
      </c>
      <c r="IV66" s="20" t="n">
        <f aca="false">IF(AR66=1,IF(ABS((1+AS_Wage)/(1+Slot3_Rate)-1)&lt;0.000000000001,(Slot3_Age-D66)*(1+Slot3_Rate)^(Slot3_Age-D66),(1+Slot3_Rate)^(Slot3_Age-D66)*(1-((1+AS_Wage)/(1+Slot3_Rate))^(Slot3_Age-D66))/(1-(1+AS_Wage)/(1+Slot3_Rate))),1)</f>
        <v>1</v>
      </c>
      <c r="IW66" s="20" t="n">
        <f aca="false">IF(AND(HU66=1,IE66&gt;0,Slot3_IsWG=1,AR66=1),MAX(0,(Slot3_Cost-AS66*(1+Slot3_Rate)^(Slot3_Age-D66))/IV66),0)</f>
        <v>0</v>
      </c>
      <c r="IX66" s="20" t="n">
        <f aca="false">IF(AND(HU66=1,IE66&gt;0,Slot3_IsWG=1,AR66=1),MIN(IE66,IW66),0)</f>
        <v>0</v>
      </c>
      <c r="IY66" s="20" t="n">
        <f aca="false">AS66+IX66</f>
        <v>0</v>
      </c>
      <c r="IZ66" s="20" t="n">
        <f aca="false">IF(AR66=1,MAX(0,(Slot3_Cost-IY66*(1+Slot3_Rate)^(Slot3_Age-D66))/IV66),0)</f>
        <v>0</v>
      </c>
      <c r="JA66" s="20" t="n">
        <f aca="false">IF(AR66=1,MAX(0,(Slot3_Cost-AS66*(1+Slot3_Rate)^(Slot3_Age-D66))/IV66),0)</f>
        <v>0</v>
      </c>
      <c r="JB66" s="20" t="n">
        <f aca="false">IF(AND(HU66=1,AR66=1),MIN(IU66,IZ66),0)</f>
        <v>0</v>
      </c>
      <c r="JC66" s="20" t="n">
        <f aca="false">IU66-JB66</f>
        <v>0</v>
      </c>
      <c r="JD66" s="20" t="n">
        <f aca="false">IF(BB66=1,IF(ABS((1+AS_Wage)/(1+Slot4_Rate)-1)&lt;0.000000000001,(Slot4_Age-D66)*(1+Slot4_Rate)^(Slot4_Age-D66),(1+Slot4_Rate)^(Slot4_Age-D66)*(1-((1+AS_Wage)/(1+Slot4_Rate))^(Slot4_Age-D66))/(1-(1+AS_Wage)/(1+Slot4_Rate))),1)</f>
        <v>1</v>
      </c>
      <c r="JE66" s="20" t="n">
        <f aca="false">IF(AND(HU66=1,IE66&gt;0,Slot4_IsWG=1,BB66=1),MAX(0,(Slot4_Cost-BC66*(1+Slot4_Rate)^(Slot4_Age-D66))/JD66),0)</f>
        <v>0</v>
      </c>
      <c r="JF66" s="20" t="n">
        <f aca="false">IF(AND(HU66=1,IE66&gt;0,Slot4_IsWG=1,BB66=1),MIN(IE66,JE66),0)</f>
        <v>0</v>
      </c>
      <c r="JG66" s="20" t="n">
        <f aca="false">BC66+JF66</f>
        <v>0</v>
      </c>
      <c r="JH66" s="20" t="n">
        <f aca="false">IF(BB66=1,MAX(0,(Slot4_Cost-JG66*(1+Slot4_Rate)^(Slot4_Age-D66))/JD66),0)</f>
        <v>0</v>
      </c>
      <c r="JI66" s="20" t="n">
        <f aca="false">IF(BB66=1,MAX(0,(Slot4_Cost-BC66*(1+Slot4_Rate)^(Slot4_Age-D66))/JD66),0)</f>
        <v>0</v>
      </c>
      <c r="JJ66" s="20" t="n">
        <f aca="false">IF(AND(HU66=1,BB66=1),MIN(JC66,JH66),0)</f>
        <v>0</v>
      </c>
      <c r="JK66" s="20" t="n">
        <f aca="false">JC66-JJ66</f>
        <v>0</v>
      </c>
      <c r="JL66" s="20" t="n">
        <f aca="false">IF(BL66=1,IF(ABS((1+AS_Wage)/(1+Slot5_Rate)-1)&lt;0.000000000001,(Slot5_Age-D66)*(1+Slot5_Rate)^(Slot5_Age-D66),(1+Slot5_Rate)^(Slot5_Age-D66)*(1-((1+AS_Wage)/(1+Slot5_Rate))^(Slot5_Age-D66))/(1-(1+AS_Wage)/(1+Slot5_Rate))),1)</f>
        <v>1</v>
      </c>
      <c r="JM66" s="20" t="n">
        <f aca="false">IF(AND(HU66=1,IE66&gt;0,Slot5_IsWG=1,BL66=1),MAX(0,(Slot5_Cost-BM66*(1+Slot5_Rate)^(Slot5_Age-D66))/JL66),0)</f>
        <v>0</v>
      </c>
      <c r="JN66" s="20" t="n">
        <f aca="false">IF(AND(HU66=1,IE66&gt;0,Slot5_IsWG=1,BL66=1),MIN(IE66,JM66),0)</f>
        <v>0</v>
      </c>
      <c r="JO66" s="20" t="n">
        <f aca="false">BM66+JN66</f>
        <v>0</v>
      </c>
      <c r="JP66" s="20" t="n">
        <f aca="false">IF(BL66=1,MAX(0,(Slot5_Cost-JO66*(1+Slot5_Rate)^(Slot5_Age-D66))/JL66),0)</f>
        <v>0</v>
      </c>
      <c r="JQ66" s="20" t="n">
        <f aca="false">IF(BL66=1,MAX(0,(Slot5_Cost-BM66*(1+Slot5_Rate)^(Slot5_Age-D66))/JL66),0)</f>
        <v>0</v>
      </c>
      <c r="JR66" s="20" t="n">
        <f aca="false">IF(AND(HU66=1,BL66=1),MIN(JK66,JP66),0)</f>
        <v>0</v>
      </c>
      <c r="JS66" s="20" t="n">
        <f aca="false">JK66-JR66</f>
        <v>0</v>
      </c>
      <c r="JT66" s="20" t="n">
        <f aca="false">IF(BV66=1,IF(ABS((1+AS_Wage)/(1+Slot6_Rate)-1)&lt;0.000000000001,(Slot6_Age-D66)*(1+Slot6_Rate)^(Slot6_Age-D66),(1+Slot6_Rate)^(Slot6_Age-D66)*(1-((1+AS_Wage)/(1+Slot6_Rate))^(Slot6_Age-D66))/(1-(1+AS_Wage)/(1+Slot6_Rate))),1)</f>
        <v>1</v>
      </c>
      <c r="JU66" s="20" t="n">
        <f aca="false">IF(AND(HU66=1,IE66&gt;0,Slot6_IsWG=1,BV66=1),MAX(0,(Slot6_Cost-BW66*(1+Slot6_Rate)^(Slot6_Age-D66))/JT66),0)</f>
        <v>0</v>
      </c>
      <c r="JV66" s="20" t="n">
        <f aca="false">IF(AND(HU66=1,IE66&gt;0,Slot6_IsWG=1,BV66=1),MIN(IE66,JU66),0)</f>
        <v>0</v>
      </c>
      <c r="JW66" s="20" t="n">
        <f aca="false">BW66+JV66</f>
        <v>0</v>
      </c>
      <c r="JX66" s="20" t="n">
        <f aca="false">IF(BV66=1,MAX(0,(Slot6_Cost-JW66*(1+Slot6_Rate)^(Slot6_Age-D66))/JT66),0)</f>
        <v>0</v>
      </c>
      <c r="JY66" s="20" t="n">
        <f aca="false">IF(BV66=1,MAX(0,(Slot6_Cost-BW66*(1+Slot6_Rate)^(Slot6_Age-D66))/JT66),0)</f>
        <v>0</v>
      </c>
      <c r="JZ66" s="20" t="n">
        <f aca="false">IF(AND(HU66=1,BV66=1),MIN(JS66,JX66),0)</f>
        <v>0</v>
      </c>
      <c r="KA66" s="20" t="n">
        <f aca="false">JS66-JZ66</f>
        <v>0</v>
      </c>
      <c r="KB66" s="20" t="n">
        <f aca="false">IF(CF66=1,IF(ABS((1+AS_Wage)/(1+Slot7_Rate)-1)&lt;0.000000000001,(Slot7_Age-D66)*(1+Slot7_Rate)^(Slot7_Age-D66),(1+Slot7_Rate)^(Slot7_Age-D66)*(1-((1+AS_Wage)/(1+Slot7_Rate))^(Slot7_Age-D66))/(1-(1+AS_Wage)/(1+Slot7_Rate))),1)</f>
        <v>1</v>
      </c>
      <c r="KC66" s="20" t="n">
        <f aca="false">IF(AND(HU66=1,IE66&gt;0,Slot7_IsWG=1,CF66=1),MAX(0,(Slot7_Cost-CG66*(1+Slot7_Rate)^(Slot7_Age-D66))/KB66),0)</f>
        <v>0</v>
      </c>
      <c r="KD66" s="20" t="n">
        <f aca="false">IF(AND(HU66=1,IE66&gt;0,Slot7_IsWG=1,CF66=1),MIN(IE66,KC66),0)</f>
        <v>0</v>
      </c>
      <c r="KE66" s="20" t="n">
        <f aca="false">CG66+KD66</f>
        <v>0</v>
      </c>
      <c r="KF66" s="20" t="n">
        <f aca="false">IF(CF66=1,MAX(0,(Slot7_Cost-KE66*(1+Slot7_Rate)^(Slot7_Age-D66))/KB66),0)</f>
        <v>0</v>
      </c>
      <c r="KG66" s="20" t="n">
        <f aca="false">IF(CF66=1,MAX(0,(Slot7_Cost-CG66*(1+Slot7_Rate)^(Slot7_Age-D66))/KB66),0)</f>
        <v>0</v>
      </c>
      <c r="KH66" s="20" t="n">
        <f aca="false">IF(AND(HU66=1,CF66=1),MIN(KA66,KF66),0)</f>
        <v>0</v>
      </c>
      <c r="KI66" s="20" t="n">
        <f aca="false">KA66-KH66</f>
        <v>0</v>
      </c>
      <c r="KJ66" s="20" t="n">
        <f aca="false">IF(CP66=1,IF(ABS((1+AS_Wage)/(1+Slot8_Rate)-1)&lt;0.000000000001,(Slot8_Age-D66)*(1+Slot8_Rate)^(Slot8_Age-D66),(1+Slot8_Rate)^(Slot8_Age-D66)*(1-((1+AS_Wage)/(1+Slot8_Rate))^(Slot8_Age-D66))/(1-(1+AS_Wage)/(1+Slot8_Rate))),1)</f>
        <v>1</v>
      </c>
      <c r="KK66" s="20" t="n">
        <f aca="false">IF(AND(HU66=1,IE66&gt;0,Slot8_IsWG=1,CP66=1),MAX(0,(Slot8_Cost-CQ66*(1+Slot8_Rate)^(Slot8_Age-D66))/KJ66),0)</f>
        <v>0</v>
      </c>
      <c r="KL66" s="20" t="n">
        <f aca="false">IF(AND(HU66=1,IE66&gt;0,Slot8_IsWG=1,CP66=1),MIN(IE66,KK66),0)</f>
        <v>0</v>
      </c>
      <c r="KM66" s="20" t="n">
        <f aca="false">CQ66+KL66</f>
        <v>0</v>
      </c>
      <c r="KN66" s="20" t="n">
        <f aca="false">IF(CP66=1,MAX(0,(Slot8_Cost-KM66*(1+Slot8_Rate)^(Slot8_Age-D66))/KJ66),0)</f>
        <v>0</v>
      </c>
      <c r="KO66" s="20" t="n">
        <f aca="false">IF(CP66=1,MAX(0,(Slot8_Cost-CQ66*(1+Slot8_Rate)^(Slot8_Age-D66))/KJ66),0)</f>
        <v>0</v>
      </c>
      <c r="KP66" s="20" t="n">
        <f aca="false">IF(AND(HU66=1,CP66=1),MIN(KI66,KN66),0)</f>
        <v>0</v>
      </c>
      <c r="KQ66" s="20" t="n">
        <f aca="false">KI66-KP66</f>
        <v>0</v>
      </c>
      <c r="KR66" s="20" t="n">
        <f aca="false">IF(CZ66=1,IF(ABS((1+AS_Wage)/(1+Slot9_Rate)-1)&lt;0.000000000001,(Slot9_Age-D66)*(1+Slot9_Rate)^(Slot9_Age-D66),(1+Slot9_Rate)^(Slot9_Age-D66)*(1-((1+AS_Wage)/(1+Slot9_Rate))^(Slot9_Age-D66))/(1-(1+AS_Wage)/(1+Slot9_Rate))),1)</f>
        <v>1</v>
      </c>
      <c r="KS66" s="20" t="n">
        <f aca="false">IF(AND(HU66=1,IE66&gt;0,Slot9_IsWG=1,CZ66=1),MAX(0,(Slot9_Cost-DA66*(1+Slot9_Rate)^(Slot9_Age-D66))/KR66),0)</f>
        <v>0</v>
      </c>
      <c r="KT66" s="20" t="n">
        <f aca="false">IF(AND(HU66=1,IE66&gt;0,Slot9_IsWG=1,CZ66=1),MIN(IE66,KS66),0)</f>
        <v>0</v>
      </c>
      <c r="KU66" s="20" t="n">
        <f aca="false">DA66+KT66</f>
        <v>0</v>
      </c>
      <c r="KV66" s="20" t="n">
        <f aca="false">IF(CZ66=1,MAX(0,(Slot9_Cost-KU66*(1+Slot9_Rate)^(Slot9_Age-D66))/KR66),0)</f>
        <v>0</v>
      </c>
      <c r="KW66" s="20" t="n">
        <f aca="false">IF(CZ66=1,MAX(0,(Slot9_Cost-DA66*(1+Slot9_Rate)^(Slot9_Age-D66))/KR66),0)</f>
        <v>0</v>
      </c>
      <c r="KX66" s="20" t="n">
        <f aca="false">IF(AND(HU66=1,CZ66=1),MIN(KQ66,KV66),0)</f>
        <v>0</v>
      </c>
      <c r="KY66" s="20" t="n">
        <f aca="false">KQ66-KX66</f>
        <v>0</v>
      </c>
      <c r="KZ66" s="20" t="n">
        <f aca="false">IF(DJ66=1,IF(ABS((1+AS_Wage)/(1+Slot10_Rate)-1)&lt;0.000000000001,(Slot10_Age-D66)*(1+Slot10_Rate)^(Slot10_Age-D66),(1+Slot10_Rate)^(Slot10_Age-D66)*(1-((1+AS_Wage)/(1+Slot10_Rate))^(Slot10_Age-D66))/(1-(1+AS_Wage)/(1+Slot10_Rate))),1)</f>
        <v>1</v>
      </c>
      <c r="LA66" s="20" t="n">
        <f aca="false">IF(AND(HU66=1,IE66&gt;0,Slot10_IsWG=1,DJ66=1),MAX(0,(Slot10_Cost-DK66*(1+Slot10_Rate)^(Slot10_Age-D66))/KZ66),0)</f>
        <v>0</v>
      </c>
      <c r="LB66" s="20" t="n">
        <f aca="false">IF(AND(HU66=1,IE66&gt;0,Slot10_IsWG=1,DJ66=1),MIN(IE66,LA66),0)</f>
        <v>0</v>
      </c>
      <c r="LC66" s="20" t="n">
        <f aca="false">DK66+LB66</f>
        <v>0</v>
      </c>
      <c r="LD66" s="20" t="n">
        <f aca="false">IF(DJ66=1,MAX(0,(Slot10_Cost-LC66*(1+Slot10_Rate)^(Slot10_Age-D66))/KZ66),0)</f>
        <v>0</v>
      </c>
      <c r="LE66" s="20" t="n">
        <f aca="false">IF(DJ66=1,MAX(0,(Slot10_Cost-DK66*(1+Slot10_Rate)^(Slot10_Age-D66))/KZ66),0)</f>
        <v>0</v>
      </c>
      <c r="LF66" s="20" t="n">
        <f aca="false">IF(AND(HU66=1,DJ66=1),MIN(KY66,LD66),0)</f>
        <v>0</v>
      </c>
      <c r="LG66" s="20" t="n">
        <f aca="false">KY66-LF66</f>
        <v>0</v>
      </c>
      <c r="LH66" s="20" t="n">
        <f aca="false">IF(DT66=1,IF(ABS((1+AS_Wage)/(1+Slot11_Rate)-1)&lt;0.000000000001,(Slot11_Age-D66)*(1+Slot11_Rate)^(Slot11_Age-D66),(1+Slot11_Rate)^(Slot11_Age-D66)*(1-((1+AS_Wage)/(1+Slot11_Rate))^(Slot11_Age-D66))/(1-(1+AS_Wage)/(1+Slot11_Rate))),1)</f>
        <v>1</v>
      </c>
      <c r="LI66" s="20" t="n">
        <f aca="false">IF(AND(HU66=1,IE66&gt;0,Slot11_IsWG=1,DT66=1),MAX(0,(Slot11_Cost-DU66*(1+Slot11_Rate)^(Slot11_Age-D66))/LH66),0)</f>
        <v>0</v>
      </c>
      <c r="LJ66" s="20" t="n">
        <f aca="false">IF(AND(HU66=1,IE66&gt;0,Slot11_IsWG=1,DT66=1),MIN(IE66,LI66),0)</f>
        <v>0</v>
      </c>
      <c r="LK66" s="20" t="n">
        <f aca="false">DU66+LJ66</f>
        <v>0</v>
      </c>
      <c r="LL66" s="20" t="n">
        <f aca="false">IF(DT66=1,MAX(0,(Slot11_Cost-LK66*(1+Slot11_Rate)^(Slot11_Age-D66))/LH66),0)</f>
        <v>0</v>
      </c>
      <c r="LM66" s="20" t="n">
        <f aca="false">IF(DT66=1,MAX(0,(Slot11_Cost-DU66*(1+Slot11_Rate)^(Slot11_Age-D66))/LH66),0)</f>
        <v>0</v>
      </c>
      <c r="LN66" s="20" t="n">
        <f aca="false">IF(AND(HU66=1,DT66=1),MIN(LG66,LL66),0)</f>
        <v>0</v>
      </c>
      <c r="LO66" s="20" t="n">
        <f aca="false">LG66-LN66</f>
        <v>0</v>
      </c>
      <c r="LP66" s="20" t="n">
        <f aca="false">IF(ED66=1,IF(ABS((1+AS_Wage)/(1+Slot12_Rate)-1)&lt;0.000000000001,(Slot12_Age-D66)*(1+Slot12_Rate)^(Slot12_Age-D66),(1+Slot12_Rate)^(Slot12_Age-D66)*(1-((1+AS_Wage)/(1+Slot12_Rate))^(Slot12_Age-D66))/(1-(1+AS_Wage)/(1+Slot12_Rate))),1)</f>
        <v>1</v>
      </c>
      <c r="LQ66" s="20" t="n">
        <f aca="false">IF(AND(HU66=1,IE66&gt;0,Slot12_IsWG=1,ED66=1),MAX(0,(Slot12_Cost-EE66*(1+Slot12_Rate)^(Slot12_Age-D66))/LP66),0)</f>
        <v>0</v>
      </c>
      <c r="LR66" s="20" t="n">
        <f aca="false">IF(AND(HU66=1,IE66&gt;0,Slot12_IsWG=1,ED66=1),MIN(IE66,LQ66),0)</f>
        <v>0</v>
      </c>
      <c r="LS66" s="20" t="n">
        <f aca="false">EE66+LR66</f>
        <v>0</v>
      </c>
      <c r="LT66" s="20" t="n">
        <f aca="false">IF(ED66=1,MAX(0,(Slot12_Cost-LS66*(1+Slot12_Rate)^(Slot12_Age-D66))/LP66),0)</f>
        <v>0</v>
      </c>
      <c r="LU66" s="20" t="n">
        <f aca="false">IF(ED66=1,MAX(0,(Slot12_Cost-EE66*(1+Slot12_Rate)^(Slot12_Age-D66))/LP66),0)</f>
        <v>0</v>
      </c>
      <c r="LV66" s="20" t="n">
        <f aca="false">IF(AND(HU66=1,ED66=1),MIN(LO66,LT66),0)</f>
        <v>0</v>
      </c>
      <c r="LW66" s="20" t="n">
        <f aca="false">LO66-LV66</f>
        <v>0</v>
      </c>
      <c r="LX66" s="20" t="n">
        <f aca="false">IF(EN66=1,IF(ABS((1+AS_Wage)/(1+Slot13_Rate)-1)&lt;0.000000000001,(Slot13_Age-D66)*(1+Slot13_Rate)^(Slot13_Age-D66),(1+Slot13_Rate)^(Slot13_Age-D66)*(1-((1+AS_Wage)/(1+Slot13_Rate))^(Slot13_Age-D66))/(1-(1+AS_Wage)/(1+Slot13_Rate))),1)</f>
        <v>1</v>
      </c>
      <c r="LY66" s="20" t="n">
        <f aca="false">IF(AND(HU66=1,IE66&gt;0,Slot13_IsWG=1,EN66=1),MAX(0,(Slot13_Cost-EO66*(1+Slot13_Rate)^(Slot13_Age-D66))/LX66),0)</f>
        <v>0</v>
      </c>
      <c r="LZ66" s="20" t="n">
        <f aca="false">IF(AND(HU66=1,IE66&gt;0,Slot13_IsWG=1,EN66=1),MIN(IE66,LY66),0)</f>
        <v>0</v>
      </c>
      <c r="MA66" s="20" t="n">
        <f aca="false">EO66+LZ66</f>
        <v>0</v>
      </c>
      <c r="MB66" s="20" t="n">
        <f aca="false">IF(EN66=1,MAX(0,(Slot13_Cost-MA66*(1+Slot13_Rate)^(Slot13_Age-D66))/LX66),0)</f>
        <v>0</v>
      </c>
      <c r="MC66" s="20" t="n">
        <f aca="false">IF(EN66=1,MAX(0,(Slot13_Cost-EO66*(1+Slot13_Rate)^(Slot13_Age-D66))/LX66),0)</f>
        <v>0</v>
      </c>
      <c r="MD66" s="20" t="n">
        <f aca="false">IF(AND(HU66=1,EN66=1),MIN(LW66,MB66),0)</f>
        <v>0</v>
      </c>
      <c r="ME66" s="20" t="n">
        <f aca="false">LW66-MD66</f>
        <v>0</v>
      </c>
      <c r="MF66" s="20" t="n">
        <f aca="false">IF(EX66=1,IF(ABS((1+AS_Wage)/(1+Slot14_Rate)-1)&lt;0.000000000001,(Slot14_Age-D66)*(1+Slot14_Rate)^(Slot14_Age-D66),(1+Slot14_Rate)^(Slot14_Age-D66)*(1-((1+AS_Wage)/(1+Slot14_Rate))^(Slot14_Age-D66))/(1-(1+AS_Wage)/(1+Slot14_Rate))),1)</f>
        <v>1</v>
      </c>
      <c r="MG66" s="20" t="n">
        <f aca="false">IF(AND(HU66=1,IE66&gt;0,Slot14_IsWG=1,EX66=1),MAX(0,(Slot14_Cost-EY66*(1+Slot14_Rate)^(Slot14_Age-D66))/MF66),0)</f>
        <v>0</v>
      </c>
      <c r="MH66" s="20" t="n">
        <f aca="false">IF(AND(HU66=1,IE66&gt;0,Slot14_IsWG=1,EX66=1),MIN(IE66,MG66),0)</f>
        <v>0</v>
      </c>
      <c r="MI66" s="20" t="n">
        <f aca="false">EY66+MH66</f>
        <v>0</v>
      </c>
      <c r="MJ66" s="20" t="n">
        <f aca="false">IF(EX66=1,MAX(0,(Slot14_Cost-MI66*(1+Slot14_Rate)^(Slot14_Age-D66))/MF66),0)</f>
        <v>0</v>
      </c>
      <c r="MK66" s="20" t="n">
        <f aca="false">IF(EX66=1,MAX(0,(Slot14_Cost-EY66*(1+Slot14_Rate)^(Slot14_Age-D66))/MF66),0)</f>
        <v>0</v>
      </c>
      <c r="ML66" s="20" t="n">
        <f aca="false">IF(AND(HU66=1,EX66=1),MIN(ME66,MJ66),0)</f>
        <v>0</v>
      </c>
      <c r="MM66" s="20" t="n">
        <f aca="false">ME66-ML66</f>
        <v>0</v>
      </c>
      <c r="MN66" s="20" t="n">
        <f aca="false">IF(FH66=1,IF(ABS((1+AS_Wage)/(1+Slot15_Rate)-1)&lt;0.000000000001,(Slot15_Age-D66)*(1+Slot15_Rate)^(Slot15_Age-D66),(1+Slot15_Rate)^(Slot15_Age-D66)*(1-((1+AS_Wage)/(1+Slot15_Rate))^(Slot15_Age-D66))/(1-(1+AS_Wage)/(1+Slot15_Rate))),1)</f>
        <v>1</v>
      </c>
      <c r="MO66" s="20" t="n">
        <f aca="false">IF(AND(HU66=1,IE66&gt;0,Slot15_IsWG=1,FH66=1),MAX(0,(Slot15_Cost-FI66*(1+Slot15_Rate)^(Slot15_Age-D66))/MN66),0)</f>
        <v>0</v>
      </c>
      <c r="MP66" s="20" t="n">
        <f aca="false">IF(AND(HU66=1,IE66&gt;0,Slot15_IsWG=1,FH66=1),MIN(IE66,MO66),0)</f>
        <v>0</v>
      </c>
      <c r="MQ66" s="20" t="n">
        <f aca="false">FI66+MP66</f>
        <v>0</v>
      </c>
      <c r="MR66" s="20" t="n">
        <f aca="false">IF(FH66=1,MAX(0,(Slot15_Cost-MQ66*(1+Slot15_Rate)^(Slot15_Age-D66))/MN66),0)</f>
        <v>0</v>
      </c>
      <c r="MS66" s="20" t="n">
        <f aca="false">IF(FH66=1,MAX(0,(Slot15_Cost-FI66*(1+Slot15_Rate)^(Slot15_Age-D66))/MN66),0)</f>
        <v>0</v>
      </c>
      <c r="MT66" s="20" t="n">
        <f aca="false">IF(AND(HU66=1,FH66=1),MIN(MM66,MR66),0)</f>
        <v>0</v>
      </c>
      <c r="MU66" s="20" t="n">
        <f aca="false">MM66-MT66</f>
        <v>0</v>
      </c>
      <c r="MV66" s="20" t="n">
        <f aca="false">IF(FR66=1,IF(ABS((1+AS_Wage)/(1+Slot16_Rate)-1)&lt;0.000000000001,(Slot16_Age-D66)*(1+Slot16_Rate)^(Slot16_Age-D66),(1+Slot16_Rate)^(Slot16_Age-D66)*(1-((1+AS_Wage)/(1+Slot16_Rate))^(Slot16_Age-D66))/(1-(1+AS_Wage)/(1+Slot16_Rate))),1)</f>
        <v>1</v>
      </c>
      <c r="MW66" s="20" t="n">
        <f aca="false">IF(AND(HU66=1,IE66&gt;0,Slot16_IsWG=1,FR66=1),MAX(0,(Slot16_Cost-FS66*(1+Slot16_Rate)^(Slot16_Age-D66))/MV66),0)</f>
        <v>0</v>
      </c>
      <c r="MX66" s="20" t="n">
        <f aca="false">IF(AND(HU66=1,IE66&gt;0,Slot16_IsWG=1,FR66=1),MIN(IE66,MW66),0)</f>
        <v>0</v>
      </c>
      <c r="MY66" s="20" t="n">
        <f aca="false">FS66+MX66</f>
        <v>0</v>
      </c>
      <c r="MZ66" s="20" t="n">
        <f aca="false">IF(FR66=1,MAX(0,(Slot16_Cost-MY66*(1+Slot16_Rate)^(Slot16_Age-D66))/MV66),0)</f>
        <v>0</v>
      </c>
      <c r="NA66" s="20" t="n">
        <f aca="false">IF(FR66=1,MAX(0,(Slot16_Cost-FS66*(1+Slot16_Rate)^(Slot16_Age-D66))/MV66),0)</f>
        <v>0</v>
      </c>
      <c r="NB66" s="20" t="n">
        <f aca="false">IF(AND(HU66=1,FR66=1),MIN(MU66,MZ66),0)</f>
        <v>0</v>
      </c>
      <c r="NC66" s="20" t="n">
        <f aca="false">MU66-NB66</f>
        <v>0</v>
      </c>
      <c r="ND66" s="20" t="n">
        <f aca="false">IF(GB66=1,IF(ABS((1+AS_Wage)/(1+Slot17_Rate)-1)&lt;0.000000000001,(Slot17_Age-D66)*(1+Slot17_Rate)^(Slot17_Age-D66),(1+Slot17_Rate)^(Slot17_Age-D66)*(1-((1+AS_Wage)/(1+Slot17_Rate))^(Slot17_Age-D66))/(1-(1+AS_Wage)/(1+Slot17_Rate))),1)</f>
        <v>1</v>
      </c>
      <c r="NE66" s="20" t="n">
        <f aca="false">IF(AND(HU66=1,IE66&gt;0,Slot17_IsWG=1,GB66=1),MAX(0,(Slot17_Cost-GC66*(1+Slot17_Rate)^(Slot17_Age-D66))/ND66),0)</f>
        <v>0</v>
      </c>
      <c r="NF66" s="20" t="n">
        <f aca="false">IF(AND(HU66=1,IE66&gt;0,Slot17_IsWG=1,GB66=1),MIN(IE66,NE66),0)</f>
        <v>0</v>
      </c>
      <c r="NG66" s="20" t="n">
        <f aca="false">GC66+NF66</f>
        <v>0</v>
      </c>
      <c r="NH66" s="20" t="n">
        <f aca="false">IF(GB66=1,MAX(0,(Slot17_Cost-NG66*(1+Slot17_Rate)^(Slot17_Age-D66))/ND66),0)</f>
        <v>0</v>
      </c>
      <c r="NI66" s="20" t="n">
        <f aca="false">IF(GB66=1,MAX(0,(Slot17_Cost-GC66*(1+Slot17_Rate)^(Slot17_Age-D66))/ND66),0)</f>
        <v>0</v>
      </c>
      <c r="NJ66" s="20" t="n">
        <f aca="false">IF(AND(HU66=1,GB66=1),MIN(NC66,NH66),0)</f>
        <v>0</v>
      </c>
      <c r="NK66" s="20" t="n">
        <f aca="false">NC66-NJ66</f>
        <v>0</v>
      </c>
      <c r="NL66" s="20" t="n">
        <f aca="false">IF(GL66=1,IF(ABS((1+AS_Wage)/(1+Slot18_Rate)-1)&lt;0.000000000001,(Slot18_Age-D66)*(1+Slot18_Rate)^(Slot18_Age-D66),(1+Slot18_Rate)^(Slot18_Age-D66)*(1-((1+AS_Wage)/(1+Slot18_Rate))^(Slot18_Age-D66))/(1-(1+AS_Wage)/(1+Slot18_Rate))),1)</f>
        <v>1</v>
      </c>
      <c r="NM66" s="20" t="n">
        <f aca="false">IF(AND(HU66=1,IE66&gt;0,Slot18_IsWG=1,GL66=1),MAX(0,(Slot18_Cost-GM66*(1+Slot18_Rate)^(Slot18_Age-D66))/NL66),0)</f>
        <v>0</v>
      </c>
      <c r="NN66" s="20" t="n">
        <f aca="false">IF(AND(HU66=1,IE66&gt;0,Slot18_IsWG=1,GL66=1),MIN(IE66,NM66),0)</f>
        <v>0</v>
      </c>
      <c r="NO66" s="20" t="n">
        <f aca="false">GM66+NN66</f>
        <v>0</v>
      </c>
      <c r="NP66" s="20" t="n">
        <f aca="false">IF(GL66=1,MAX(0,(Slot18_Cost-NO66*(1+Slot18_Rate)^(Slot18_Age-D66))/NL66),0)</f>
        <v>0</v>
      </c>
      <c r="NQ66" s="20" t="n">
        <f aca="false">IF(GL66=1,MAX(0,(Slot18_Cost-GM66*(1+Slot18_Rate)^(Slot18_Age-D66))/NL66),0)</f>
        <v>0</v>
      </c>
      <c r="NR66" s="20" t="n">
        <f aca="false">IF(AND(HU66=1,GL66=1),MIN(NK66,NP66),0)</f>
        <v>0</v>
      </c>
      <c r="NS66" s="20" t="n">
        <f aca="false">NK66-NR66</f>
        <v>0</v>
      </c>
      <c r="NT66" s="20" t="n">
        <f aca="false">IF(GV66=1,IF(ABS((1+AS_Wage)/(1+Slot19_Rate)-1)&lt;0.000000000001,(Slot19_Age-D66)*(1+Slot19_Rate)^(Slot19_Age-D66),(1+Slot19_Rate)^(Slot19_Age-D66)*(1-((1+AS_Wage)/(1+Slot19_Rate))^(Slot19_Age-D66))/(1-(1+AS_Wage)/(1+Slot19_Rate))),1)</f>
        <v>1</v>
      </c>
      <c r="NU66" s="20" t="n">
        <f aca="false">IF(AND(HU66=1,IE66&gt;0,Slot19_IsWG=1,GV66=1),MAX(0,(Slot19_Cost-GW66*(1+Slot19_Rate)^(Slot19_Age-D66))/NT66),0)</f>
        <v>0</v>
      </c>
      <c r="NV66" s="20" t="n">
        <f aca="false">IF(AND(HU66=1,IE66&gt;0,Slot19_IsWG=1,GV66=1),MIN(IE66,NU66),0)</f>
        <v>0</v>
      </c>
      <c r="NW66" s="20" t="n">
        <f aca="false">GW66+NV66</f>
        <v>0</v>
      </c>
      <c r="NX66" s="20" t="n">
        <f aca="false">IF(GV66=1,MAX(0,(Slot19_Cost-NW66*(1+Slot19_Rate)^(Slot19_Age-D66))/NT66),0)</f>
        <v>0</v>
      </c>
      <c r="NY66" s="20" t="n">
        <f aca="false">IF(GV66=1,MAX(0,(Slot19_Cost-GW66*(1+Slot19_Rate)^(Slot19_Age-D66))/NT66),0)</f>
        <v>0</v>
      </c>
      <c r="NZ66" s="20" t="n">
        <f aca="false">IF(AND(HU66=1,GV66=1),MIN(NS66,NX66),0)</f>
        <v>0</v>
      </c>
      <c r="OA66" s="20" t="n">
        <f aca="false">NS66-NZ66</f>
        <v>0</v>
      </c>
      <c r="OB66" s="20" t="n">
        <f aca="false">IF(HF66=1,IF(ABS((1+AS_Wage)/(1+Slot20_Rate)-1)&lt;0.000000000001,(Slot20_Age-D66)*(1+Slot20_Rate)^(Slot20_Age-D66),(1+Slot20_Rate)^(Slot20_Age-D66)*(1-((1+AS_Wage)/(1+Slot20_Rate))^(Slot20_Age-D66))/(1-(1+AS_Wage)/(1+Slot20_Rate))),1)</f>
        <v>1</v>
      </c>
      <c r="OC66" s="20" t="n">
        <f aca="false">IF(AND(HU66=1,IE66&gt;0,Slot20_IsWG=1,HF66=1),MAX(0,(Slot20_Cost-HG66*(1+Slot20_Rate)^(Slot20_Age-D66))/OB66),0)</f>
        <v>0</v>
      </c>
      <c r="OD66" s="20" t="n">
        <f aca="false">IF(AND(HU66=1,IE66&gt;0,Slot20_IsWG=1,HF66=1),MIN(IE66,OC66),0)</f>
        <v>0</v>
      </c>
      <c r="OE66" s="20" t="n">
        <f aca="false">HG66+OD66</f>
        <v>0</v>
      </c>
      <c r="OF66" s="20" t="n">
        <f aca="false">IF(HF66=1,MAX(0,(Slot20_Cost-OE66*(1+Slot20_Rate)^(Slot20_Age-D66))/OB66),0)</f>
        <v>0</v>
      </c>
      <c r="OG66" s="20" t="n">
        <f aca="false">IF(HF66=1,MAX(0,(Slot20_Cost-HG66*(1+Slot20_Rate)^(Slot20_Age-D66))/OB66),0)</f>
        <v>0</v>
      </c>
      <c r="OH66" s="20" t="n">
        <f aca="false">IF(AND(HU66=1,HF66=1),MIN(OA66,OF66),0)</f>
        <v>0</v>
      </c>
      <c r="OI66" s="20" t="n">
        <f aca="false">OA66-OH66</f>
        <v>0</v>
      </c>
      <c r="OJ66" s="20" t="n">
        <f aca="false">IE66-(IH66+IP66+IX66+JF66+JN66+JV66+KD66+KL66+KT66+LB66+LJ66+LR66+LZ66+MH66+MP66+MX66+NF66+NN66+NV66+OD66)</f>
        <v>0</v>
      </c>
      <c r="OK66" s="20" t="n">
        <f aca="false">IF(HU66=1,HS66-ID66-IE66,0)</f>
        <v>0</v>
      </c>
      <c r="OL66" s="20" t="n">
        <f aca="false">IF(HU66=0,-HS66,0)</f>
        <v>60756.2132582369</v>
      </c>
      <c r="OM66" s="20" t="n">
        <f aca="false">MIN(OL66,HK66)</f>
        <v>0</v>
      </c>
      <c r="ON66" s="20" t="n">
        <f aca="false">OL66-OM66</f>
        <v>60756.2132582369</v>
      </c>
      <c r="OO66" s="20" t="n">
        <f aca="false">MIN(ON66,HL66)</f>
        <v>0</v>
      </c>
      <c r="OP66" s="20" t="n">
        <f aca="false">ON66-OO66</f>
        <v>60756.2132582369</v>
      </c>
      <c r="OQ66" s="20" t="n">
        <f aca="false">IF(AND(HU66=0,HF66=1,OP66&gt;0),MIN(OP66,HG66),0)</f>
        <v>0</v>
      </c>
      <c r="OR66" s="20" t="n">
        <f aca="false">OP66-OQ66</f>
        <v>60756.2132582369</v>
      </c>
      <c r="OS66" s="20" t="n">
        <f aca="false">IF(AND(HU66=0,GV66=1,OR66&gt;0),MIN(OR66,GW66),0)</f>
        <v>0</v>
      </c>
      <c r="OT66" s="20" t="n">
        <f aca="false">OR66-OS66</f>
        <v>60756.2132582369</v>
      </c>
      <c r="OU66" s="20" t="n">
        <f aca="false">IF(AND(HU66=0,GL66=1,OT66&gt;0),MIN(OT66,GM66),0)</f>
        <v>0</v>
      </c>
      <c r="OV66" s="20" t="n">
        <f aca="false">OT66-OU66</f>
        <v>60756.2132582369</v>
      </c>
      <c r="OW66" s="20" t="n">
        <f aca="false">IF(AND(HU66=0,GB66=1,OV66&gt;0),MIN(OV66,GC66),0)</f>
        <v>0</v>
      </c>
      <c r="OX66" s="20" t="n">
        <f aca="false">OV66-OW66</f>
        <v>60756.2132582369</v>
      </c>
      <c r="OY66" s="20" t="n">
        <f aca="false">IF(AND(HU66=0,FR66=1,OX66&gt;0),MIN(OX66,FS66),0)</f>
        <v>0</v>
      </c>
      <c r="OZ66" s="20" t="n">
        <f aca="false">OX66-OY66</f>
        <v>60756.2132582369</v>
      </c>
      <c r="PA66" s="20" t="n">
        <f aca="false">IF(AND(HU66=0,FH66=1,OZ66&gt;0),MIN(OZ66,FI66),0)</f>
        <v>0</v>
      </c>
      <c r="PB66" s="20" t="n">
        <f aca="false">OZ66-PA66</f>
        <v>60756.2132582369</v>
      </c>
      <c r="PC66" s="20" t="n">
        <f aca="false">IF(AND(HU66=0,EX66=1,PB66&gt;0),MIN(PB66,EY66),0)</f>
        <v>0</v>
      </c>
      <c r="PD66" s="20" t="n">
        <f aca="false">PB66-PC66</f>
        <v>60756.2132582369</v>
      </c>
      <c r="PE66" s="20" t="n">
        <f aca="false">IF(AND(HU66=0,EN66=1,PD66&gt;0),MIN(PD66,EO66),0)</f>
        <v>0</v>
      </c>
      <c r="PF66" s="20" t="n">
        <f aca="false">PD66-PE66</f>
        <v>60756.2132582369</v>
      </c>
      <c r="PG66" s="20" t="n">
        <f aca="false">IF(AND(HU66=0,ED66=1,PF66&gt;0),MIN(PF66,EE66),0)</f>
        <v>0</v>
      </c>
      <c r="PH66" s="20" t="n">
        <f aca="false">PF66-PG66</f>
        <v>60756.2132582369</v>
      </c>
      <c r="PI66" s="20" t="n">
        <f aca="false">IF(AND(HU66=0,DT66=1,PH66&gt;0),MIN(PH66,DU66),0)</f>
        <v>0</v>
      </c>
      <c r="PJ66" s="20" t="n">
        <f aca="false">PH66-PI66</f>
        <v>60756.2132582369</v>
      </c>
      <c r="PK66" s="20" t="n">
        <f aca="false">IF(AND(HU66=0,DJ66=1,PJ66&gt;0),MIN(PJ66,DK66),0)</f>
        <v>0</v>
      </c>
      <c r="PL66" s="20" t="n">
        <f aca="false">PJ66-PK66</f>
        <v>60756.2132582369</v>
      </c>
      <c r="PM66" s="20" t="n">
        <f aca="false">IF(AND(HU66=0,CZ66=1,PL66&gt;0),MIN(PL66,DA66),0)</f>
        <v>0</v>
      </c>
      <c r="PN66" s="20" t="n">
        <f aca="false">PL66-PM66</f>
        <v>60756.2132582369</v>
      </c>
      <c r="PO66" s="20" t="n">
        <f aca="false">IF(AND(HU66=0,CP66=1,PN66&gt;0),MIN(PN66,CQ66),0)</f>
        <v>0</v>
      </c>
      <c r="PP66" s="20" t="n">
        <f aca="false">PN66-PO66</f>
        <v>60756.2132582369</v>
      </c>
      <c r="PQ66" s="20" t="n">
        <f aca="false">IF(AND(HU66=0,CF66=1,PP66&gt;0),MIN(PP66,CG66),0)</f>
        <v>0</v>
      </c>
      <c r="PR66" s="20" t="n">
        <f aca="false">PP66-PQ66</f>
        <v>60756.2132582369</v>
      </c>
      <c r="PS66" s="20" t="n">
        <f aca="false">IF(AND(HU66=0,BV66=1,PR66&gt;0),MIN(PR66,BW66),0)</f>
        <v>0</v>
      </c>
      <c r="PT66" s="20" t="n">
        <f aca="false">PR66-PS66</f>
        <v>60756.2132582369</v>
      </c>
      <c r="PU66" s="20" t="n">
        <f aca="false">IF(AND(HU66=0,BL66=1,PT66&gt;0),MIN(PT66,BM66),0)</f>
        <v>0</v>
      </c>
      <c r="PV66" s="20" t="n">
        <f aca="false">PT66-PU66</f>
        <v>60756.2132582369</v>
      </c>
      <c r="PW66" s="20" t="n">
        <f aca="false">IF(AND(HU66=0,BB66=1,PV66&gt;0),MIN(PV66,BC66),0)</f>
        <v>0</v>
      </c>
      <c r="PX66" s="20" t="n">
        <f aca="false">PV66-PW66</f>
        <v>60756.2132582369</v>
      </c>
      <c r="PY66" s="20" t="n">
        <f aca="false">IF(AND(HU66=0,AR66=1,PX66&gt;0),MIN(PX66,AS66),0)</f>
        <v>0</v>
      </c>
      <c r="PZ66" s="20" t="n">
        <f aca="false">PX66-PY66</f>
        <v>60756.2132582369</v>
      </c>
      <c r="QA66" s="20" t="n">
        <f aca="false">IF(AND(HU66=0,AH66=1,PZ66&gt;0),MIN(PZ66,AI66),0)</f>
        <v>0</v>
      </c>
      <c r="QB66" s="20" t="n">
        <f aca="false">PZ66-QA66</f>
        <v>60756.2132582369</v>
      </c>
      <c r="QC66" s="20" t="n">
        <f aca="false">IF(AND(HU66=0,W66=1,QB66&gt;0),MIN(QB66,X66),0)</f>
        <v>0</v>
      </c>
      <c r="QD66" s="20" t="n">
        <f aca="false">QB66-QC66</f>
        <v>60756.2132582369</v>
      </c>
      <c r="QE66" s="20" t="n">
        <f aca="false">IF(HU66=0,QD66,0)</f>
        <v>60756.2132582369</v>
      </c>
      <c r="QF66" s="20" t="n">
        <f aca="false">OM66+OO66+QC66+QA66+PY66+PW66+PU66+PS66+PQ66+PO66+PM66+PK66+PI66+PG66+PE66+PC66+PA66+OY66+OW66+OU66+OS66+OQ66</f>
        <v>0</v>
      </c>
      <c r="QG66" s="20" t="n">
        <f aca="false">IF(HU66=1,HK66+OJ66+OI66+IF(G66=1,0,OK66),HK66-OM66)</f>
        <v>0</v>
      </c>
      <c r="QH66" s="20" t="n">
        <f aca="false">HL66-OO66</f>
        <v>0</v>
      </c>
      <c r="QI66" s="20" t="n">
        <f aca="false">IF(HU66=1,IF(G66=1,ID66+IE66,HS66),0)</f>
        <v>0</v>
      </c>
      <c r="QJ66" s="20" t="n">
        <f aca="false">IF(HU66=1,IF(G66=1,HS66-ID66-IE66,0),0)</f>
        <v>0</v>
      </c>
      <c r="QK66" s="57" t="n">
        <f aca="false">'Plan holdings'!BM66</f>
        <v>0</v>
      </c>
      <c r="QL66" s="20" t="n">
        <f aca="false">QH66*(1+AS_Cash)</f>
        <v>0</v>
      </c>
      <c r="QM66" s="20" t="n">
        <f aca="false">IF(W66=1,IF(HU66=1,II66+IL66,X66-QC66)*(1+Slot1_Rate),0)</f>
        <v>0</v>
      </c>
      <c r="QN66" s="20" t="n">
        <f aca="false">IF(AND(HU66=1,W66=1),(IH66+IL66)/F66,0)</f>
        <v>0</v>
      </c>
      <c r="QO66" s="20" t="n">
        <f aca="false">IF(B66=0,IH66+IL66,0)</f>
        <v>0</v>
      </c>
      <c r="QP66" s="20" t="n">
        <f aca="false">IF(B66=0,IF(HU66=1,IJ66,IK66),0)</f>
        <v>0</v>
      </c>
      <c r="QQ66" s="20" t="n">
        <f aca="false">IF(AH66=1,IF(HU66=1,IQ66+IT66,AI66-QA66)*(1+Slot2_Rate),0)</f>
        <v>0</v>
      </c>
      <c r="QR66" s="20" t="n">
        <f aca="false">IF(AND(HU66=1,AH66=1),(IP66+IT66)/F66,0)</f>
        <v>0</v>
      </c>
      <c r="QS66" s="20" t="n">
        <f aca="false">IF(B66=0,IP66+IT66,0)</f>
        <v>0</v>
      </c>
      <c r="QT66" s="20" t="n">
        <f aca="false">IF(B66=0,IF(HU66=1,IR66,IS66),0)</f>
        <v>0</v>
      </c>
      <c r="QU66" s="20" t="n">
        <f aca="false">IF(AR66=1,IF(HU66=1,IY66+JB66,AS66-PY66)*(1+Slot3_Rate),0)</f>
        <v>0</v>
      </c>
      <c r="QV66" s="20" t="n">
        <f aca="false">IF(AND(HU66=1,AR66=1),(IX66+JB66)/F66,0)</f>
        <v>0</v>
      </c>
      <c r="QW66" s="20" t="n">
        <f aca="false">IF(B66=0,IX66+JB66,0)</f>
        <v>0</v>
      </c>
      <c r="QX66" s="20" t="n">
        <f aca="false">IF(B66=0,IF(HU66=1,IZ66,JA66),0)</f>
        <v>0</v>
      </c>
      <c r="QY66" s="20" t="n">
        <f aca="false">IF(BB66=1,IF(HU66=1,JG66+JJ66,BC66-PW66)*(1+Slot4_Rate),0)</f>
        <v>0</v>
      </c>
      <c r="QZ66" s="20" t="n">
        <f aca="false">IF(AND(HU66=1,BB66=1),(JF66+JJ66)/F66,0)</f>
        <v>0</v>
      </c>
      <c r="RA66" s="20" t="n">
        <f aca="false">IF(B66=0,JF66+JJ66,0)</f>
        <v>0</v>
      </c>
      <c r="RB66" s="20" t="n">
        <f aca="false">IF(B66=0,IF(HU66=1,JH66,JI66),0)</f>
        <v>0</v>
      </c>
      <c r="RC66" s="20" t="n">
        <f aca="false">IF(BL66=1,IF(HU66=1,JO66+JR66,BM66-PU66)*(1+Slot5_Rate),0)</f>
        <v>0</v>
      </c>
      <c r="RD66" s="20" t="n">
        <f aca="false">IF(AND(HU66=1,BL66=1),(JN66+JR66)/F66,0)</f>
        <v>0</v>
      </c>
      <c r="RE66" s="20" t="n">
        <f aca="false">IF(B66=0,JN66+JR66,0)</f>
        <v>0</v>
      </c>
      <c r="RF66" s="20" t="n">
        <f aca="false">IF(B66=0,IF(HU66=1,JP66,JQ66),0)</f>
        <v>0</v>
      </c>
      <c r="RG66" s="20" t="n">
        <f aca="false">IF(BV66=1,IF(HU66=1,JW66+JZ66,BW66-PS66)*(1+Slot6_Rate),0)</f>
        <v>0</v>
      </c>
      <c r="RH66" s="20" t="n">
        <f aca="false">IF(AND(HU66=1,BV66=1),(JV66+JZ66)/F66,0)</f>
        <v>0</v>
      </c>
      <c r="RI66" s="20" t="n">
        <f aca="false">IF(B66=0,JV66+JZ66,0)</f>
        <v>0</v>
      </c>
      <c r="RJ66" s="20" t="n">
        <f aca="false">IF(B66=0,IF(HU66=1,JX66,JY66),0)</f>
        <v>0</v>
      </c>
      <c r="RK66" s="20" t="n">
        <f aca="false">IF(CF66=1,IF(HU66=1,KE66+KH66,CG66-PQ66)*(1+Slot7_Rate),0)</f>
        <v>0</v>
      </c>
      <c r="RL66" s="20" t="n">
        <f aca="false">IF(AND(HU66=1,CF66=1),(KD66+KH66)/F66,0)</f>
        <v>0</v>
      </c>
      <c r="RM66" s="20" t="n">
        <f aca="false">IF(B66=0,KD66+KH66,0)</f>
        <v>0</v>
      </c>
      <c r="RN66" s="20" t="n">
        <f aca="false">IF(B66=0,IF(HU66=1,KF66,KG66),0)</f>
        <v>0</v>
      </c>
      <c r="RO66" s="20" t="n">
        <f aca="false">IF(CP66=1,IF(HU66=1,KM66+KP66,CQ66-PO66)*(1+Slot8_Rate),0)</f>
        <v>0</v>
      </c>
      <c r="RP66" s="20" t="n">
        <f aca="false">IF(AND(HU66=1,CP66=1),(KL66+KP66)/F66,0)</f>
        <v>0</v>
      </c>
      <c r="RQ66" s="20" t="n">
        <f aca="false">IF(B66=0,KL66+KP66,0)</f>
        <v>0</v>
      </c>
      <c r="RR66" s="20" t="n">
        <f aca="false">IF(B66=0,IF(HU66=1,KN66,KO66),0)</f>
        <v>0</v>
      </c>
      <c r="RS66" s="20" t="n">
        <f aca="false">IF(CZ66=1,IF(HU66=1,KU66+KX66,DA66-PM66)*(1+Slot9_Rate),0)</f>
        <v>0</v>
      </c>
      <c r="RT66" s="20" t="n">
        <f aca="false">IF(AND(HU66=1,CZ66=1),(KT66+KX66)/F66,0)</f>
        <v>0</v>
      </c>
      <c r="RU66" s="20" t="n">
        <f aca="false">IF(B66=0,KT66+KX66,0)</f>
        <v>0</v>
      </c>
      <c r="RV66" s="20" t="n">
        <f aca="false">IF(B66=0,IF(HU66=1,KV66,KW66),0)</f>
        <v>0</v>
      </c>
      <c r="RW66" s="20" t="n">
        <f aca="false">IF(DJ66=1,IF(HU66=1,LC66+LF66,DK66-PK66)*(1+Slot10_Rate),0)</f>
        <v>0</v>
      </c>
      <c r="RX66" s="20" t="n">
        <f aca="false">IF(AND(HU66=1,DJ66=1),(LB66+LF66)/F66,0)</f>
        <v>0</v>
      </c>
      <c r="RY66" s="20" t="n">
        <f aca="false">IF(B66=0,LB66+LF66,0)</f>
        <v>0</v>
      </c>
      <c r="RZ66" s="20" t="n">
        <f aca="false">IF(B66=0,IF(HU66=1,LD66,LE66),0)</f>
        <v>0</v>
      </c>
      <c r="SA66" s="20" t="n">
        <f aca="false">IF(DT66=1,IF(HU66=1,LK66+LN66,DU66-PI66)*(1+Slot11_Rate),0)</f>
        <v>0</v>
      </c>
      <c r="SB66" s="20" t="n">
        <f aca="false">IF(AND(HU66=1,DT66=1),(LJ66+LN66)/F66,0)</f>
        <v>0</v>
      </c>
      <c r="SC66" s="20" t="n">
        <f aca="false">IF(B66=0,LJ66+LN66,0)</f>
        <v>0</v>
      </c>
      <c r="SD66" s="20" t="n">
        <f aca="false">IF(B66=0,IF(HU66=1,LL66,LM66),0)</f>
        <v>0</v>
      </c>
      <c r="SE66" s="20" t="n">
        <f aca="false">IF(ED66=1,IF(HU66=1,LS66+LV66,EE66-PG66)*(1+Slot12_Rate),0)</f>
        <v>0</v>
      </c>
      <c r="SF66" s="20" t="n">
        <f aca="false">IF(AND(HU66=1,ED66=1),(LR66+LV66)/F66,0)</f>
        <v>0</v>
      </c>
      <c r="SG66" s="20" t="n">
        <f aca="false">IF(B66=0,LR66+LV66,0)</f>
        <v>0</v>
      </c>
      <c r="SH66" s="20" t="n">
        <f aca="false">IF(B66=0,IF(HU66=1,LT66,LU66),0)</f>
        <v>0</v>
      </c>
      <c r="SI66" s="20" t="n">
        <f aca="false">IF(EN66=1,IF(HU66=1,MA66+MD66,EO66-PE66)*(1+Slot13_Rate),0)</f>
        <v>0</v>
      </c>
      <c r="SJ66" s="20" t="n">
        <f aca="false">IF(AND(HU66=1,EN66=1),(LZ66+MD66)/F66,0)</f>
        <v>0</v>
      </c>
      <c r="SK66" s="20" t="n">
        <f aca="false">IF(B66=0,LZ66+MD66,0)</f>
        <v>0</v>
      </c>
      <c r="SL66" s="20" t="n">
        <f aca="false">IF(B66=0,IF(HU66=1,MB66,MC66),0)</f>
        <v>0</v>
      </c>
      <c r="SM66" s="20" t="n">
        <f aca="false">IF(EX66=1,IF(HU66=1,MI66+ML66,EY66-PC66)*(1+Slot14_Rate),0)</f>
        <v>0</v>
      </c>
      <c r="SN66" s="20" t="n">
        <f aca="false">IF(AND(HU66=1,EX66=1),(MH66+ML66)/F66,0)</f>
        <v>0</v>
      </c>
      <c r="SO66" s="20" t="n">
        <f aca="false">IF(B66=0,MH66+ML66,0)</f>
        <v>0</v>
      </c>
      <c r="SP66" s="20" t="n">
        <f aca="false">IF(B66=0,IF(HU66=1,MJ66,MK66),0)</f>
        <v>0</v>
      </c>
      <c r="SQ66" s="20" t="n">
        <f aca="false">IF(FH66=1,IF(HU66=1,MQ66+MT66,FI66-PA66)*(1+Slot15_Rate),0)</f>
        <v>0</v>
      </c>
      <c r="SR66" s="20" t="n">
        <f aca="false">IF(AND(HU66=1,FH66=1),(MP66+MT66)/F66,0)</f>
        <v>0</v>
      </c>
      <c r="SS66" s="20" t="n">
        <f aca="false">IF(B66=0,MP66+MT66,0)</f>
        <v>0</v>
      </c>
      <c r="ST66" s="20" t="n">
        <f aca="false">IF(B66=0,IF(HU66=1,MR66,MS66),0)</f>
        <v>0</v>
      </c>
      <c r="SU66" s="20" t="n">
        <f aca="false">IF(FR66=1,IF(HU66=1,MY66+NB66,FS66-OY66)*(1+Slot16_Rate),0)</f>
        <v>0</v>
      </c>
      <c r="SV66" s="20" t="n">
        <f aca="false">IF(AND(HU66=1,FR66=1),(MX66+NB66)/F66,0)</f>
        <v>0</v>
      </c>
      <c r="SW66" s="20" t="n">
        <f aca="false">IF(B66=0,MX66+NB66,0)</f>
        <v>0</v>
      </c>
      <c r="SX66" s="20" t="n">
        <f aca="false">IF(B66=0,IF(HU66=1,MZ66,NA66),0)</f>
        <v>0</v>
      </c>
      <c r="SY66" s="20" t="n">
        <f aca="false">IF(GB66=1,IF(HU66=1,NG66+NJ66,GC66-OW66)*(1+Slot17_Rate),0)</f>
        <v>0</v>
      </c>
      <c r="SZ66" s="20" t="n">
        <f aca="false">IF(AND(HU66=1,GB66=1),(NF66+NJ66)/F66,0)</f>
        <v>0</v>
      </c>
      <c r="TA66" s="20" t="n">
        <f aca="false">IF(B66=0,NF66+NJ66,0)</f>
        <v>0</v>
      </c>
      <c r="TB66" s="20" t="n">
        <f aca="false">IF(B66=0,IF(HU66=1,NH66,NI66),0)</f>
        <v>0</v>
      </c>
      <c r="TC66" s="20" t="n">
        <f aca="false">IF(GL66=1,IF(HU66=1,NO66+NR66,GM66-OU66)*(1+Slot18_Rate),0)</f>
        <v>0</v>
      </c>
      <c r="TD66" s="20" t="n">
        <f aca="false">IF(AND(HU66=1,GL66=1),(NN66+NR66)/F66,0)</f>
        <v>0</v>
      </c>
      <c r="TE66" s="20" t="n">
        <f aca="false">IF(B66=0,NN66+NR66,0)</f>
        <v>0</v>
      </c>
      <c r="TF66" s="20" t="n">
        <f aca="false">IF(B66=0,IF(HU66=1,NP66,NQ66),0)</f>
        <v>0</v>
      </c>
      <c r="TG66" s="20" t="n">
        <f aca="false">IF(GV66=1,IF(HU66=1,NW66+NZ66,GW66-OS66)*(1+Slot19_Rate),0)</f>
        <v>0</v>
      </c>
      <c r="TH66" s="20" t="n">
        <f aca="false">IF(AND(HU66=1,GV66=1),(NV66+NZ66)/F66,0)</f>
        <v>0</v>
      </c>
      <c r="TI66" s="20" t="n">
        <f aca="false">IF(B66=0,NV66+NZ66,0)</f>
        <v>0</v>
      </c>
      <c r="TJ66" s="20" t="n">
        <f aca="false">IF(B66=0,IF(HU66=1,NX66,NY66),0)</f>
        <v>0</v>
      </c>
      <c r="TK66" s="20" t="n">
        <f aca="false">IF(HF66=1,IF(HU66=1,OE66+OH66,HG66-OQ66)*(1+Slot20_Rate),0)</f>
        <v>0</v>
      </c>
      <c r="TL66" s="20" t="n">
        <f aca="false">IF(AND(HU66=1,HF66=1),(OD66+OH66)/F66,0)</f>
        <v>0</v>
      </c>
      <c r="TM66" s="20" t="n">
        <f aca="false">IF(B66=0,OD66+OH66,0)</f>
        <v>0</v>
      </c>
      <c r="TN66" s="20" t="n">
        <f aca="false">IF(B66=0,IF(HU66=1,OF66,OG66),0)</f>
        <v>0</v>
      </c>
      <c r="TO66" s="20" t="n">
        <f aca="false">QK66+QL66+QM66+QQ66+QU66+QY66+RC66+RG66+RK66+RO66+RS66+RW66+SA66+SE66+SI66+SM66+SQ66+SU66+SY66+TC66+TG66+TK66</f>
        <v>0</v>
      </c>
      <c r="TP66" s="20" t="n">
        <f aca="false">QE66+HP66</f>
        <v>60756.2132582369</v>
      </c>
      <c r="TQ66" s="20" t="n">
        <f aca="false">I66+S66</f>
        <v>150743.244601948</v>
      </c>
      <c r="TR66" s="20" t="n">
        <f aca="false">1-G66</f>
        <v>1</v>
      </c>
      <c r="TS66" s="20" t="n">
        <f aca="false">IF(AND(RG_Exists=1,G66=0,C66=1),I66,0)</f>
        <v>0</v>
      </c>
      <c r="TT66" s="20" t="n">
        <f aca="false">IF(AND(RG_Exists=1,G66=0,C66=1),I66-MIN(QE66,I66),0)</f>
        <v>0</v>
      </c>
      <c r="TU66" s="20" t="n">
        <f aca="false">'Plan pay &amp; tax'!AD292</f>
        <v>0</v>
      </c>
      <c r="TV66" s="20" t="n">
        <f aca="false">IF(AND(C66=1,QE66&gt;MAX(PR_Short1,TQ66*PR_Short2)),1,0)</f>
        <v>0</v>
      </c>
      <c r="TW66" s="20" t="n">
        <f aca="false">MIN(H66,I66+S66)</f>
        <v>89987.0313437112</v>
      </c>
      <c r="TX66" s="20" t="n">
        <f aca="false">QF66+MAX(0,HQ66-HP66)</f>
        <v>0</v>
      </c>
      <c r="TY66" s="20" t="n">
        <f aca="false">QE66+HP66</f>
        <v>60756.2132582369</v>
      </c>
      <c r="TZ66" s="20" t="n">
        <f aca="false">IF(AND(C66=1,TY66&gt;PR_MinShort),1,0)</f>
        <v>0</v>
      </c>
      <c r="UA66" s="20" t="n">
        <f aca="false">IF(AND(C66=1,TZ66=0,TX66&gt;PR_MinShort),1,0)</f>
        <v>0</v>
      </c>
      <c r="UB66" s="20" t="n">
        <f aca="false">IF(AND(C66=1,QE66&gt;PR_MinShort),1,0)</f>
        <v>0</v>
      </c>
      <c r="UC66" s="20" t="n">
        <f aca="false">IF(AND(C66=1,QF66&gt;1,UJ66=0),1,0)</f>
        <v>0</v>
      </c>
      <c r="UD66" s="20" t="str">
        <f aca="false">IF(C66=0,"",IF(UJ66=1,"Gap to plan for: short "&amp;"€"&amp;TEXT(ROUND(TP66,0),"#,##0"),IF(QF66&gt;1,"Using savings","Comfortable")))</f>
        <v/>
      </c>
      <c r="UE66" s="20" t="n">
        <f aca="false">IF(AND(INT(D66/10)*10=90,B66&gt;0),80,INT(D66/10)*10)</f>
        <v>80</v>
      </c>
      <c r="UF66" s="20" t="n">
        <f aca="false">IF(B66=0,1,IF(UE66&lt;&gt;UE65,UF65+1,UF65))</f>
        <v>6</v>
      </c>
      <c r="UG66" s="20" t="n">
        <f aca="false">IF(AND(C66=1,G66=1,QE66&gt;MAX(PR_Short1,TQ66*PR_Short2)),1,0)</f>
        <v>0</v>
      </c>
      <c r="UH66" s="20" t="n">
        <f aca="false">TR66*TV66</f>
        <v>0</v>
      </c>
      <c r="UI66" s="20" t="n">
        <f aca="false">IF(AND(V66=1,Slot1_PctLow=1),1,0)+IF(AND(AG66=1,Slot2_PctLow=1),1,0)+IF(AND(AQ66=1,Slot3_PctLow=1),1,0)+IF(AND(BA66=1,Slot4_PctLow=1),1,0)+IF(AND(BK66=1,Slot5_PctLow=1),1,0)+IF(AND(BU66=1,Slot6_PctLow=1),1,0)+IF(AND(CE66=1,Slot7_PctLow=1),1,0)+IF(AND(CO66=1,Slot8_PctLow=1),1,0)+IF(AND(CY66=1,Slot9_PctLow=1),1,0)+IF(AND(DI66=1,Slot10_PctLow=1),1,0)+IF(AND(DS66=1,Slot11_PctLow=1),1,0)+IF(AND(EC66=1,Slot12_PctLow=1),1,0)+IF(AND(EM66=1,Slot13_PctLow=1),1,0)+IF(AND(EW66=1,Slot14_PctLow=1),1,0)+IF(AND(FG66=1,Slot15_PctLow=1),1,0)+IF(AND(FQ66=1,Slot16_PctLow=1),1,0)+IF(AND(GA66=1,Slot17_PctLow=1),1,0)+IF(AND(GK66=1,Slot18_PctLow=1),1,0)+IF(AND(GU66=1,Slot19_PctLow=1),1,0)+IF(AND(HE66=1,Slot20_PctLow=1),1,0)</f>
        <v>0</v>
      </c>
      <c r="UJ66" s="20" t="n">
        <f aca="false">IF(C66=1,IF(OR(TV66=1,UI66&gt;0),1,0),0)</f>
        <v>0</v>
      </c>
      <c r="UK66" s="20" t="n">
        <f aca="false">Z66+AK66+AU66+BE66+BO66+BY66+CI66+CS66+DC66+DM66+DW66+EG66+EQ66+FA66+FK66+FU66+GE66+GO66+GY66+HI66+OM66</f>
        <v>0</v>
      </c>
      <c r="UL66" s="20" t="n">
        <f aca="false">V66*IF(Slot1_SpendLike=1,X66-Y66,IF(Slot1_PotFree=1,X66,0))+AG66*IF(Slot2_SpendLike=1,AI66-AJ66,IF(Slot2_PotFree=1,AI66,0))+AQ66*IF(Slot3_SpendLike=1,AS66-AT66,IF(Slot3_PotFree=1,AS66,0))+BA66*IF(Slot4_SpendLike=1,BC66-BD66,IF(Slot4_PotFree=1,BC66,0))+BK66*IF(Slot5_SpendLike=1,BM66-BN66,IF(Slot5_PotFree=1,BM66,0))+BU66*IF(Slot6_SpendLike=1,BW66-BX66,IF(Slot6_PotFree=1,BW66,0))+CE66*IF(Slot7_SpendLike=1,CG66-CH66,IF(Slot7_PotFree=1,CG66,0))+CO66*IF(Slot8_SpendLike=1,CQ66-CR66,IF(Slot8_PotFree=1,CQ66,0))+CY66*IF(Slot9_SpendLike=1,DA66-DB66,IF(Slot9_PotFree=1,DA66,0))+DI66*IF(Slot10_SpendLike=1,DK66-DL66,IF(Slot10_PotFree=1,DK66,0))+DS66*IF(Slot11_SpendLike=1,DU66-DV66,IF(Slot11_PotFree=1,DU66,0))+EC66*IF(Slot12_SpendLike=1,EE66-EF66,IF(Slot12_PotFree=1,EE66,0))+EM66*IF(Slot13_SpendLike=1,EO66-EP66,IF(Slot13_PotFree=1,EO66,0))+EW66*IF(Slot14_SpendLike=1,EY66-EZ66,IF(Slot14_PotFree=1,EY66,0))+FG66*IF(Slot15_SpendLike=1,FI66-FJ66,IF(Slot15_PotFree=1,FI66,0))+FQ66*IF(Slot16_SpendLike=1,FS66-FT66,IF(Slot16_PotFree=1,FS66,0))+GA66*IF(Slot17_SpendLike=1,GC66-GD66,IF(Slot17_PotFree=1,GC66,0))+GK66*IF(Slot18_SpendLike=1,GM66-GN66,IF(Slot18_PotFree=1,GM66,0))+GU66*IF(Slot19_SpendLike=1,GW66-GX66,IF(Slot19_PotFree=1,GW66,0))+HE66*IF(Slot20_SpendLike=1,HG66-HH66,IF(Slot20_PotFree=1,HG66,0))</f>
        <v>0</v>
      </c>
      <c r="UM66" s="20" t="n">
        <f aca="false">QG66-T66+UK66-UL66</f>
        <v>0</v>
      </c>
      <c r="UN66" s="20" t="n">
        <f aca="false">IF(OR(UN65=1,AND(In_homeUse="Yes, I'd downsize",In_downAge&gt;0,D66=In_downAge,OR(In_home="Own outright",In_home="Own with mortgage"),In_homeValue&gt;0)),1,0)</f>
        <v>0</v>
      </c>
    </row>
    <row r="67" customFormat="false" ht="15" hidden="false" customHeight="true" outlineLevel="0" collapsed="false">
      <c r="B67" s="20" t="n">
        <v>59</v>
      </c>
      <c r="C67" s="20" t="n">
        <f aca="false">IF(B67&lt;=F_N,1,0)</f>
        <v>0</v>
      </c>
      <c r="D67" s="20" t="n">
        <f aca="false">'Plan pay &amp; tax'!C293</f>
        <v>97</v>
      </c>
      <c r="E67" s="20" t="str">
        <f aca="false">IF($C67=1,"Income tax "&amp;TEXT(N('Plan pay &amp; tax'!BK293),"#,##0")&amp;"; USC "&amp;TEXT(N('Plan pay &amp; tax'!BM293)+N('Plan pay &amp; tax'!BO293),"#,##0")&amp;"; PRSI "&amp;TEXT(N('Plan pay &amp; tax'!BP293)+N('Plan pay &amp; tax'!BQ293),"#,##0")&amp;IF(N('Plan holdings'!BO67)&gt;=0.5,"; DIRT "&amp;TEXT(('Plan holdings'!BO67)/$F67,"#,##0")&amp;" (already taken from the interest earned)","")&amp;IF(N('Plan holdings'!BP67)&gt;=0.5,"; exit tax at an 8-year anniversary "&amp;TEXT(('Plan holdings'!BP67)/$F67,"#,##0"),"")&amp;IF(N('Plan holdings'!BN67)&gt;=0.5,"; tax on assets sold (exit tax or capital gains tax) "&amp;TEXT(('Plan holdings'!BN67)/$F67,"#,##0"),"")&amp;IF(N('Plan pay &amp; tax'!X293)-N('Plan pay &amp; tax'!Y293)&gt;=0.5,"; tax on the pension lump sum "&amp;TEXT(('Plan pay &amp; tax'!X293-'Plan pay &amp; tax'!Y293)/$F67,"#,##0"),"")&amp;IF(N('Plan pay &amp; tax'!V293)&gt;=0.5,"; chargeable excess tax on the pension "&amp;TEXT(('Plan pay &amp; tax'!V293)/$F67,"#,##0"),"")&amp;".","")</f>
        <v/>
      </c>
      <c r="F67" s="50" t="n">
        <f aca="false">'Plan pay &amp; tax'!E293</f>
        <v>3.21669685133864</v>
      </c>
      <c r="G67" s="20" t="n">
        <f aca="false">'Plan pay &amp; tax'!G293</f>
        <v>0</v>
      </c>
      <c r="H67" s="20" t="n">
        <f aca="false">'Plan pay &amp; tax'!BT293-'Plan pay &amp; tax'!BS293-'Plan pay &amp; tax'!R293</f>
        <v>91786.7719705854</v>
      </c>
      <c r="I67" s="20" t="n">
        <f aca="false">IF(G67=1,F_CostsM*12,IF(RG_Exists=1,RG_Amount,F_CostsM*12*AS_RetireSpend))*F67+F_OneOffY*F67</f>
        <v>153758.109493987</v>
      </c>
      <c r="J67" s="20" t="n">
        <f aca="false">IF(UN67=1,0,HR66)</f>
        <v>0</v>
      </c>
      <c r="K67" s="20" t="n">
        <f aca="false">IF(J67&gt;1,'Plan debt months'!AC67,0)</f>
        <v>0</v>
      </c>
      <c r="L67" s="20" t="n">
        <f aca="false">IF(J67&gt;1,'Plan debt months'!AB67,J67)</f>
        <v>0</v>
      </c>
      <c r="M67" s="20" t="n">
        <f aca="false">O66</f>
        <v>0</v>
      </c>
      <c r="N67" s="20" t="n">
        <f aca="false">IF(M67&gt;1,'Plan debt months'!BD67,0)</f>
        <v>0</v>
      </c>
      <c r="O67" s="20" t="n">
        <f aca="false">IF(M67&gt;1,'Plan debt months'!BC67,M67)</f>
        <v>0</v>
      </c>
      <c r="P67" s="20" t="n">
        <f aca="false">R66</f>
        <v>0</v>
      </c>
      <c r="Q67" s="20" t="n">
        <f aca="false">IF(P67&gt;1,'Plan debt months'!CE67,0)</f>
        <v>0</v>
      </c>
      <c r="R67" s="20" t="n">
        <f aca="false">IF(P67&gt;1,'Plan debt months'!CD67,P67)</f>
        <v>0</v>
      </c>
      <c r="S67" s="20" t="n">
        <f aca="false">K67+N67+Q67</f>
        <v>0</v>
      </c>
      <c r="T67" s="57" t="n">
        <f aca="false">'Plan holdings'!Y67</f>
        <v>0</v>
      </c>
      <c r="U67" s="57" t="n">
        <f aca="false">'Plan holdings'!BM66</f>
        <v>0</v>
      </c>
      <c r="V67" s="20" t="n">
        <f aca="false">IF(AND(Slot1_On=1,D67=Slot1_Age),1,0)</f>
        <v>0</v>
      </c>
      <c r="W67" s="20" t="n">
        <f aca="false">IF(AND(Slot1_On=1,Slot1_Age&gt;D67),1,0)</f>
        <v>0</v>
      </c>
      <c r="X67" s="20" t="n">
        <f aca="false">QM66</f>
        <v>0</v>
      </c>
      <c r="Y67" s="20" t="n">
        <f aca="false">V67*MIN(Slot1_Cost,X67)</f>
        <v>0</v>
      </c>
      <c r="Z67" s="20" t="n">
        <f aca="false">V67*Slot1_SpendLike*MIN(Slot1_Cost-Y67,T67)</f>
        <v>0</v>
      </c>
      <c r="AA67" s="20" t="n">
        <f aca="false">Y67+Z67</f>
        <v>0</v>
      </c>
      <c r="AB67" s="20" t="n">
        <f aca="false">T67-Z67+V67*IF(Slot1_SpendLike=1,X67-Y67,IF(Slot1_PotFree=1,X67,0))</f>
        <v>0</v>
      </c>
      <c r="AC67" s="20" t="n">
        <f aca="false">AF67+V67*Slot1_BufPot*X67</f>
        <v>0</v>
      </c>
      <c r="AD67" s="20" t="n">
        <f aca="false">IF(AND(V67=1,Slot1_IsMfree=1),IF(AA67&gt;=Slot1_Cost-1,0,MAX(0,L67-AA67)),L67)</f>
        <v>0</v>
      </c>
      <c r="AE67" s="20" t="n">
        <f aca="false">V67*(Slot1_Cost-AA67)</f>
        <v>0</v>
      </c>
      <c r="AF67" s="20" t="n">
        <f aca="false">QL66</f>
        <v>0</v>
      </c>
      <c r="AG67" s="20" t="n">
        <f aca="false">IF(AND(Slot2_On=1,D67=Slot2_Age),1,0)</f>
        <v>0</v>
      </c>
      <c r="AH67" s="20" t="n">
        <f aca="false">IF(AND(Slot2_On=1,Slot2_Age&gt;D67),1,0)</f>
        <v>0</v>
      </c>
      <c r="AI67" s="20" t="n">
        <f aca="false">QQ66</f>
        <v>0</v>
      </c>
      <c r="AJ67" s="20" t="n">
        <f aca="false">AG67*MIN(Slot2_Cost,AI67)</f>
        <v>0</v>
      </c>
      <c r="AK67" s="20" t="n">
        <f aca="false">AG67*Slot2_SpendLike*MIN(Slot2_Cost-AJ67,AB67)</f>
        <v>0</v>
      </c>
      <c r="AL67" s="20" t="n">
        <f aca="false">AJ67+AK67</f>
        <v>0</v>
      </c>
      <c r="AM67" s="20" t="n">
        <f aca="false">AB67-AK67+AG67*IF(Slot2_SpendLike=1,AI67-AJ67,IF(Slot2_PotFree=1,AI67,0))</f>
        <v>0</v>
      </c>
      <c r="AN67" s="20" t="n">
        <f aca="false">AC67+AG67*Slot2_BufPot*AI67</f>
        <v>0</v>
      </c>
      <c r="AO67" s="20" t="n">
        <f aca="false">IF(AND(AG67=1,Slot2_IsMfree=1),IF(AL67&gt;=Slot2_Cost-1,0,MAX(0,AD67-AL67)),AD67)</f>
        <v>0</v>
      </c>
      <c r="AP67" s="20" t="n">
        <f aca="false">AG67*(Slot2_Cost-AL67)</f>
        <v>0</v>
      </c>
      <c r="AQ67" s="20" t="n">
        <f aca="false">IF(AND(Slot3_On=1,D67=Slot3_Age),1,0)</f>
        <v>0</v>
      </c>
      <c r="AR67" s="20" t="n">
        <f aca="false">IF(AND(Slot3_On=1,Slot3_Age&gt;D67),1,0)</f>
        <v>0</v>
      </c>
      <c r="AS67" s="20" t="n">
        <f aca="false">QU66</f>
        <v>0</v>
      </c>
      <c r="AT67" s="20" t="n">
        <f aca="false">AQ67*MIN(Slot3_Cost,AS67)</f>
        <v>0</v>
      </c>
      <c r="AU67" s="20" t="n">
        <f aca="false">AQ67*Slot3_SpendLike*MIN(Slot3_Cost-AT67,AM67)</f>
        <v>0</v>
      </c>
      <c r="AV67" s="20" t="n">
        <f aca="false">AT67+AU67</f>
        <v>0</v>
      </c>
      <c r="AW67" s="20" t="n">
        <f aca="false">AM67-AU67+AQ67*IF(Slot3_SpendLike=1,AS67-AT67,IF(Slot3_PotFree=1,AS67,0))</f>
        <v>0</v>
      </c>
      <c r="AX67" s="20" t="n">
        <f aca="false">AN67+AQ67*Slot3_BufPot*AS67</f>
        <v>0</v>
      </c>
      <c r="AY67" s="20" t="n">
        <f aca="false">IF(AND(AQ67=1,Slot3_IsMfree=1),IF(AV67&gt;=Slot3_Cost-1,0,MAX(0,AO67-AV67)),AO67)</f>
        <v>0</v>
      </c>
      <c r="AZ67" s="20" t="n">
        <f aca="false">AQ67*(Slot3_Cost-AV67)</f>
        <v>0</v>
      </c>
      <c r="BA67" s="20" t="n">
        <f aca="false">IF(AND(Slot4_On=1,D67=Slot4_Age),1,0)</f>
        <v>0</v>
      </c>
      <c r="BB67" s="20" t="n">
        <f aca="false">IF(AND(Slot4_On=1,Slot4_Age&gt;D67),1,0)</f>
        <v>0</v>
      </c>
      <c r="BC67" s="20" t="n">
        <f aca="false">QY66</f>
        <v>0</v>
      </c>
      <c r="BD67" s="20" t="n">
        <f aca="false">BA67*MIN(Slot4_Cost,BC67)</f>
        <v>0</v>
      </c>
      <c r="BE67" s="20" t="n">
        <f aca="false">BA67*Slot4_SpendLike*MIN(Slot4_Cost-BD67,AW67)</f>
        <v>0</v>
      </c>
      <c r="BF67" s="20" t="n">
        <f aca="false">BD67+BE67</f>
        <v>0</v>
      </c>
      <c r="BG67" s="20" t="n">
        <f aca="false">AW67-BE67+BA67*IF(Slot4_SpendLike=1,BC67-BD67,IF(Slot4_PotFree=1,BC67,0))</f>
        <v>0</v>
      </c>
      <c r="BH67" s="20" t="n">
        <f aca="false">AX67+BA67*Slot4_BufPot*BC67</f>
        <v>0</v>
      </c>
      <c r="BI67" s="20" t="n">
        <f aca="false">IF(AND(BA67=1,Slot4_IsMfree=1),IF(BF67&gt;=Slot4_Cost-1,0,MAX(0,AY67-BF67)),AY67)</f>
        <v>0</v>
      </c>
      <c r="BJ67" s="20" t="n">
        <f aca="false">BA67*(Slot4_Cost-BF67)</f>
        <v>0</v>
      </c>
      <c r="BK67" s="20" t="n">
        <f aca="false">IF(AND(Slot5_On=1,D67=Slot5_Age),1,0)</f>
        <v>0</v>
      </c>
      <c r="BL67" s="20" t="n">
        <f aca="false">IF(AND(Slot5_On=1,Slot5_Age&gt;D67),1,0)</f>
        <v>0</v>
      </c>
      <c r="BM67" s="20" t="n">
        <f aca="false">RC66</f>
        <v>0</v>
      </c>
      <c r="BN67" s="20" t="n">
        <f aca="false">BK67*MIN(Slot5_Cost,BM67)</f>
        <v>0</v>
      </c>
      <c r="BO67" s="20" t="n">
        <f aca="false">BK67*Slot5_SpendLike*MIN(Slot5_Cost-BN67,BG67)</f>
        <v>0</v>
      </c>
      <c r="BP67" s="20" t="n">
        <f aca="false">BN67+BO67</f>
        <v>0</v>
      </c>
      <c r="BQ67" s="20" t="n">
        <f aca="false">BG67-BO67+BK67*IF(Slot5_SpendLike=1,BM67-BN67,IF(Slot5_PotFree=1,BM67,0))</f>
        <v>0</v>
      </c>
      <c r="BR67" s="20" t="n">
        <f aca="false">BH67+BK67*Slot5_BufPot*BM67</f>
        <v>0</v>
      </c>
      <c r="BS67" s="20" t="n">
        <f aca="false">IF(AND(BK67=1,Slot5_IsMfree=1),IF(BP67&gt;=Slot5_Cost-1,0,MAX(0,BI67-BP67)),BI67)</f>
        <v>0</v>
      </c>
      <c r="BT67" s="20" t="n">
        <f aca="false">BK67*(Slot5_Cost-BP67)</f>
        <v>0</v>
      </c>
      <c r="BU67" s="20" t="n">
        <f aca="false">IF(AND(Slot6_On=1,D67=Slot6_Age),1,0)</f>
        <v>0</v>
      </c>
      <c r="BV67" s="20" t="n">
        <f aca="false">IF(AND(Slot6_On=1,Slot6_Age&gt;D67),1,0)</f>
        <v>0</v>
      </c>
      <c r="BW67" s="20" t="n">
        <f aca="false">RG66</f>
        <v>0</v>
      </c>
      <c r="BX67" s="20" t="n">
        <f aca="false">BU67*MIN(Slot6_Cost,BW67)</f>
        <v>0</v>
      </c>
      <c r="BY67" s="20" t="n">
        <f aca="false">BU67*Slot6_SpendLike*MIN(Slot6_Cost-BX67,BQ67)</f>
        <v>0</v>
      </c>
      <c r="BZ67" s="20" t="n">
        <f aca="false">BX67+BY67</f>
        <v>0</v>
      </c>
      <c r="CA67" s="20" t="n">
        <f aca="false">BQ67-BY67+BU67*IF(Slot6_SpendLike=1,BW67-BX67,IF(Slot6_PotFree=1,BW67,0))</f>
        <v>0</v>
      </c>
      <c r="CB67" s="20" t="n">
        <f aca="false">BR67+BU67*Slot6_BufPot*BW67</f>
        <v>0</v>
      </c>
      <c r="CC67" s="20" t="n">
        <f aca="false">IF(AND(BU67=1,Slot6_IsMfree=1),IF(BZ67&gt;=Slot6_Cost-1,0,MAX(0,BS67-BZ67)),BS67)</f>
        <v>0</v>
      </c>
      <c r="CD67" s="20" t="n">
        <f aca="false">BU67*(Slot6_Cost-BZ67)</f>
        <v>0</v>
      </c>
      <c r="CE67" s="20" t="n">
        <f aca="false">IF(AND(Slot7_On=1,D67=Slot7_Age),1,0)</f>
        <v>0</v>
      </c>
      <c r="CF67" s="20" t="n">
        <f aca="false">IF(AND(Slot7_On=1,Slot7_Age&gt;D67),1,0)</f>
        <v>0</v>
      </c>
      <c r="CG67" s="20" t="n">
        <f aca="false">RK66</f>
        <v>0</v>
      </c>
      <c r="CH67" s="20" t="n">
        <f aca="false">CE67*MIN(Slot7_Cost,CG67)</f>
        <v>0</v>
      </c>
      <c r="CI67" s="20" t="n">
        <f aca="false">CE67*Slot7_SpendLike*MIN(Slot7_Cost-CH67,CA67)</f>
        <v>0</v>
      </c>
      <c r="CJ67" s="20" t="n">
        <f aca="false">CH67+CI67</f>
        <v>0</v>
      </c>
      <c r="CK67" s="20" t="n">
        <f aca="false">CA67-CI67+CE67*IF(Slot7_SpendLike=1,CG67-CH67,IF(Slot7_PotFree=1,CG67,0))</f>
        <v>0</v>
      </c>
      <c r="CL67" s="20" t="n">
        <f aca="false">CB67+CE67*Slot7_BufPot*CG67</f>
        <v>0</v>
      </c>
      <c r="CM67" s="20" t="n">
        <f aca="false">IF(AND(CE67=1,Slot7_IsMfree=1),IF(CJ67&gt;=Slot7_Cost-1,0,MAX(0,CC67-CJ67)),CC67)</f>
        <v>0</v>
      </c>
      <c r="CN67" s="20" t="n">
        <f aca="false">CE67*(Slot7_Cost-CJ67)</f>
        <v>0</v>
      </c>
      <c r="CO67" s="20" t="n">
        <f aca="false">IF(AND(Slot8_On=1,D67=Slot8_Age),1,0)</f>
        <v>0</v>
      </c>
      <c r="CP67" s="20" t="n">
        <f aca="false">IF(AND(Slot8_On=1,Slot8_Age&gt;D67),1,0)</f>
        <v>0</v>
      </c>
      <c r="CQ67" s="20" t="n">
        <f aca="false">RO66</f>
        <v>0</v>
      </c>
      <c r="CR67" s="20" t="n">
        <f aca="false">CO67*MIN(Slot8_Cost,CQ67)</f>
        <v>0</v>
      </c>
      <c r="CS67" s="20" t="n">
        <f aca="false">CO67*Slot8_SpendLike*MIN(Slot8_Cost-CR67,CK67)</f>
        <v>0</v>
      </c>
      <c r="CT67" s="20" t="n">
        <f aca="false">CR67+CS67</f>
        <v>0</v>
      </c>
      <c r="CU67" s="20" t="n">
        <f aca="false">CK67-CS67+CO67*IF(Slot8_SpendLike=1,CQ67-CR67,IF(Slot8_PotFree=1,CQ67,0))</f>
        <v>0</v>
      </c>
      <c r="CV67" s="20" t="n">
        <f aca="false">CL67+CO67*Slot8_BufPot*CQ67</f>
        <v>0</v>
      </c>
      <c r="CW67" s="20" t="n">
        <f aca="false">IF(AND(CO67=1,Slot8_IsMfree=1),IF(CT67&gt;=Slot8_Cost-1,0,MAX(0,CM67-CT67)),CM67)</f>
        <v>0</v>
      </c>
      <c r="CX67" s="20" t="n">
        <f aca="false">CO67*(Slot8_Cost-CT67)</f>
        <v>0</v>
      </c>
      <c r="CY67" s="20" t="n">
        <f aca="false">IF(AND(Slot9_On=1,D67=Slot9_Age),1,0)</f>
        <v>0</v>
      </c>
      <c r="CZ67" s="20" t="n">
        <f aca="false">IF(AND(Slot9_On=1,Slot9_Age&gt;D67),1,0)</f>
        <v>0</v>
      </c>
      <c r="DA67" s="20" t="n">
        <f aca="false">RS66</f>
        <v>0</v>
      </c>
      <c r="DB67" s="20" t="n">
        <f aca="false">CY67*MIN(Slot9_Cost,DA67)</f>
        <v>0</v>
      </c>
      <c r="DC67" s="20" t="n">
        <f aca="false">CY67*Slot9_SpendLike*MIN(Slot9_Cost-DB67,CU67)</f>
        <v>0</v>
      </c>
      <c r="DD67" s="20" t="n">
        <f aca="false">DB67+DC67</f>
        <v>0</v>
      </c>
      <c r="DE67" s="20" t="n">
        <f aca="false">CU67-DC67+CY67*IF(Slot9_SpendLike=1,DA67-DB67,IF(Slot9_PotFree=1,DA67,0))</f>
        <v>0</v>
      </c>
      <c r="DF67" s="20" t="n">
        <f aca="false">CV67+CY67*Slot9_BufPot*DA67</f>
        <v>0</v>
      </c>
      <c r="DG67" s="20" t="n">
        <f aca="false">IF(AND(CY67=1,Slot9_IsMfree=1),IF(DD67&gt;=Slot9_Cost-1,0,MAX(0,CW67-DD67)),CW67)</f>
        <v>0</v>
      </c>
      <c r="DH67" s="20" t="n">
        <f aca="false">CY67*(Slot9_Cost-DD67)</f>
        <v>0</v>
      </c>
      <c r="DI67" s="20" t="n">
        <f aca="false">IF(AND(Slot10_On=1,D67=Slot10_Age),1,0)</f>
        <v>0</v>
      </c>
      <c r="DJ67" s="20" t="n">
        <f aca="false">IF(AND(Slot10_On=1,Slot10_Age&gt;D67),1,0)</f>
        <v>0</v>
      </c>
      <c r="DK67" s="20" t="n">
        <f aca="false">RW66</f>
        <v>0</v>
      </c>
      <c r="DL67" s="20" t="n">
        <f aca="false">DI67*MIN(Slot10_Cost,DK67)</f>
        <v>0</v>
      </c>
      <c r="DM67" s="20" t="n">
        <f aca="false">DI67*Slot10_SpendLike*MIN(Slot10_Cost-DL67,DE67)</f>
        <v>0</v>
      </c>
      <c r="DN67" s="20" t="n">
        <f aca="false">DL67+DM67</f>
        <v>0</v>
      </c>
      <c r="DO67" s="20" t="n">
        <f aca="false">DE67-DM67+DI67*IF(Slot10_SpendLike=1,DK67-DL67,IF(Slot10_PotFree=1,DK67,0))</f>
        <v>0</v>
      </c>
      <c r="DP67" s="20" t="n">
        <f aca="false">DF67+DI67*Slot10_BufPot*DK67</f>
        <v>0</v>
      </c>
      <c r="DQ67" s="20" t="n">
        <f aca="false">IF(AND(DI67=1,Slot10_IsMfree=1),IF(DN67&gt;=Slot10_Cost-1,0,MAX(0,DG67-DN67)),DG67)</f>
        <v>0</v>
      </c>
      <c r="DR67" s="20" t="n">
        <f aca="false">DI67*(Slot10_Cost-DN67)</f>
        <v>0</v>
      </c>
      <c r="DS67" s="20" t="n">
        <f aca="false">IF(AND(Slot11_On=1,D67=Slot11_Age),1,0)</f>
        <v>0</v>
      </c>
      <c r="DT67" s="20" t="n">
        <f aca="false">IF(AND(Slot11_On=1,Slot11_Age&gt;D67),1,0)</f>
        <v>0</v>
      </c>
      <c r="DU67" s="20" t="n">
        <f aca="false">SA66</f>
        <v>0</v>
      </c>
      <c r="DV67" s="20" t="n">
        <f aca="false">DS67*MIN(Slot11_Cost,DU67)</f>
        <v>0</v>
      </c>
      <c r="DW67" s="20" t="n">
        <f aca="false">DS67*Slot11_SpendLike*MIN(Slot11_Cost-DV67,DO67)</f>
        <v>0</v>
      </c>
      <c r="DX67" s="20" t="n">
        <f aca="false">DV67+DW67</f>
        <v>0</v>
      </c>
      <c r="DY67" s="20" t="n">
        <f aca="false">DO67-DW67+DS67*IF(Slot11_SpendLike=1,DU67-DV67,IF(Slot11_PotFree=1,DU67,0))</f>
        <v>0</v>
      </c>
      <c r="DZ67" s="20" t="n">
        <f aca="false">DP67+DS67*Slot11_BufPot*DU67</f>
        <v>0</v>
      </c>
      <c r="EA67" s="20" t="n">
        <f aca="false">IF(AND(DS67=1,Slot11_IsMfree=1),IF(DX67&gt;=Slot11_Cost-1,0,MAX(0,DQ67-DX67)),DQ67)</f>
        <v>0</v>
      </c>
      <c r="EB67" s="20" t="n">
        <f aca="false">DS67*(Slot11_Cost-DX67)</f>
        <v>0</v>
      </c>
      <c r="EC67" s="20" t="n">
        <f aca="false">IF(AND(Slot12_On=1,D67=Slot12_Age),1,0)</f>
        <v>0</v>
      </c>
      <c r="ED67" s="20" t="n">
        <f aca="false">IF(AND(Slot12_On=1,Slot12_Age&gt;D67),1,0)</f>
        <v>0</v>
      </c>
      <c r="EE67" s="20" t="n">
        <f aca="false">SE66</f>
        <v>0</v>
      </c>
      <c r="EF67" s="20" t="n">
        <f aca="false">EC67*MIN(Slot12_Cost,EE67)</f>
        <v>0</v>
      </c>
      <c r="EG67" s="20" t="n">
        <f aca="false">EC67*Slot12_SpendLike*MIN(Slot12_Cost-EF67,DY67)</f>
        <v>0</v>
      </c>
      <c r="EH67" s="20" t="n">
        <f aca="false">EF67+EG67</f>
        <v>0</v>
      </c>
      <c r="EI67" s="20" t="n">
        <f aca="false">DY67-EG67+EC67*IF(Slot12_SpendLike=1,EE67-EF67,IF(Slot12_PotFree=1,EE67,0))</f>
        <v>0</v>
      </c>
      <c r="EJ67" s="20" t="n">
        <f aca="false">DZ67+EC67*Slot12_BufPot*EE67</f>
        <v>0</v>
      </c>
      <c r="EK67" s="20" t="n">
        <f aca="false">IF(AND(EC67=1,Slot12_IsMfree=1),IF(EH67&gt;=Slot12_Cost-1,0,MAX(0,EA67-EH67)),EA67)</f>
        <v>0</v>
      </c>
      <c r="EL67" s="20" t="n">
        <f aca="false">EC67*(Slot12_Cost-EH67)</f>
        <v>0</v>
      </c>
      <c r="EM67" s="20" t="n">
        <f aca="false">IF(AND(Slot13_On=1,D67=Slot13_Age),1,0)</f>
        <v>0</v>
      </c>
      <c r="EN67" s="20" t="n">
        <f aca="false">IF(AND(Slot13_On=1,Slot13_Age&gt;D67),1,0)</f>
        <v>0</v>
      </c>
      <c r="EO67" s="20" t="n">
        <f aca="false">SI66</f>
        <v>0</v>
      </c>
      <c r="EP67" s="20" t="n">
        <f aca="false">EM67*MIN(Slot13_Cost,EO67)</f>
        <v>0</v>
      </c>
      <c r="EQ67" s="20" t="n">
        <f aca="false">EM67*Slot13_SpendLike*MIN(Slot13_Cost-EP67,EI67)</f>
        <v>0</v>
      </c>
      <c r="ER67" s="20" t="n">
        <f aca="false">EP67+EQ67</f>
        <v>0</v>
      </c>
      <c r="ES67" s="20" t="n">
        <f aca="false">EI67-EQ67+EM67*IF(Slot13_SpendLike=1,EO67-EP67,IF(Slot13_PotFree=1,EO67,0))</f>
        <v>0</v>
      </c>
      <c r="ET67" s="20" t="n">
        <f aca="false">EJ67+EM67*Slot13_BufPot*EO67</f>
        <v>0</v>
      </c>
      <c r="EU67" s="20" t="n">
        <f aca="false">IF(AND(EM67=1,Slot13_IsMfree=1),IF(ER67&gt;=Slot13_Cost-1,0,MAX(0,EK67-ER67)),EK67)</f>
        <v>0</v>
      </c>
      <c r="EV67" s="20" t="n">
        <f aca="false">EM67*(Slot13_Cost-ER67)</f>
        <v>0</v>
      </c>
      <c r="EW67" s="20" t="n">
        <f aca="false">IF(AND(Slot14_On=1,D67=Slot14_Age),1,0)</f>
        <v>0</v>
      </c>
      <c r="EX67" s="20" t="n">
        <f aca="false">IF(AND(Slot14_On=1,Slot14_Age&gt;D67),1,0)</f>
        <v>0</v>
      </c>
      <c r="EY67" s="20" t="n">
        <f aca="false">SM66</f>
        <v>0</v>
      </c>
      <c r="EZ67" s="20" t="n">
        <f aca="false">EW67*MIN(Slot14_Cost,EY67)</f>
        <v>0</v>
      </c>
      <c r="FA67" s="20" t="n">
        <f aca="false">EW67*Slot14_SpendLike*MIN(Slot14_Cost-EZ67,ES67)</f>
        <v>0</v>
      </c>
      <c r="FB67" s="20" t="n">
        <f aca="false">EZ67+FA67</f>
        <v>0</v>
      </c>
      <c r="FC67" s="20" t="n">
        <f aca="false">ES67-FA67+EW67*IF(Slot14_SpendLike=1,EY67-EZ67,IF(Slot14_PotFree=1,EY67,0))</f>
        <v>0</v>
      </c>
      <c r="FD67" s="20" t="n">
        <f aca="false">ET67+EW67*Slot14_BufPot*EY67</f>
        <v>0</v>
      </c>
      <c r="FE67" s="20" t="n">
        <f aca="false">IF(AND(EW67=1,Slot14_IsMfree=1),IF(FB67&gt;=Slot14_Cost-1,0,MAX(0,EU67-FB67)),EU67)</f>
        <v>0</v>
      </c>
      <c r="FF67" s="20" t="n">
        <f aca="false">EW67*(Slot14_Cost-FB67)</f>
        <v>0</v>
      </c>
      <c r="FG67" s="20" t="n">
        <f aca="false">IF(AND(Slot15_On=1,D67=Slot15_Age),1,0)</f>
        <v>0</v>
      </c>
      <c r="FH67" s="20" t="n">
        <f aca="false">IF(AND(Slot15_On=1,Slot15_Age&gt;D67),1,0)</f>
        <v>0</v>
      </c>
      <c r="FI67" s="20" t="n">
        <f aca="false">SQ66</f>
        <v>0</v>
      </c>
      <c r="FJ67" s="20" t="n">
        <f aca="false">FG67*MIN(Slot15_Cost,FI67)</f>
        <v>0</v>
      </c>
      <c r="FK67" s="20" t="n">
        <f aca="false">FG67*Slot15_SpendLike*MIN(Slot15_Cost-FJ67,FC67)</f>
        <v>0</v>
      </c>
      <c r="FL67" s="20" t="n">
        <f aca="false">FJ67+FK67</f>
        <v>0</v>
      </c>
      <c r="FM67" s="20" t="n">
        <f aca="false">FC67-FK67+FG67*IF(Slot15_SpendLike=1,FI67-FJ67,IF(Slot15_PotFree=1,FI67,0))</f>
        <v>0</v>
      </c>
      <c r="FN67" s="20" t="n">
        <f aca="false">FD67+FG67*Slot15_BufPot*FI67</f>
        <v>0</v>
      </c>
      <c r="FO67" s="20" t="n">
        <f aca="false">IF(AND(FG67=1,Slot15_IsMfree=1),IF(FL67&gt;=Slot15_Cost-1,0,MAX(0,FE67-FL67)),FE67)</f>
        <v>0</v>
      </c>
      <c r="FP67" s="20" t="n">
        <f aca="false">FG67*(Slot15_Cost-FL67)</f>
        <v>0</v>
      </c>
      <c r="FQ67" s="20" t="n">
        <f aca="false">IF(AND(Slot16_On=1,D67=Slot16_Age),1,0)</f>
        <v>0</v>
      </c>
      <c r="FR67" s="20" t="n">
        <f aca="false">IF(AND(Slot16_On=1,Slot16_Age&gt;D67),1,0)</f>
        <v>0</v>
      </c>
      <c r="FS67" s="20" t="n">
        <f aca="false">SU66</f>
        <v>0</v>
      </c>
      <c r="FT67" s="20" t="n">
        <f aca="false">FQ67*MIN(Slot16_Cost,FS67)</f>
        <v>0</v>
      </c>
      <c r="FU67" s="20" t="n">
        <f aca="false">FQ67*Slot16_SpendLike*MIN(Slot16_Cost-FT67,FM67)</f>
        <v>0</v>
      </c>
      <c r="FV67" s="20" t="n">
        <f aca="false">FT67+FU67</f>
        <v>0</v>
      </c>
      <c r="FW67" s="20" t="n">
        <f aca="false">FM67-FU67+FQ67*IF(Slot16_SpendLike=1,FS67-FT67,IF(Slot16_PotFree=1,FS67,0))</f>
        <v>0</v>
      </c>
      <c r="FX67" s="20" t="n">
        <f aca="false">FN67+FQ67*Slot16_BufPot*FS67</f>
        <v>0</v>
      </c>
      <c r="FY67" s="20" t="n">
        <f aca="false">IF(AND(FQ67=1,Slot16_IsMfree=1),IF(FV67&gt;=Slot16_Cost-1,0,MAX(0,FO67-FV67)),FO67)</f>
        <v>0</v>
      </c>
      <c r="FZ67" s="20" t="n">
        <f aca="false">FQ67*(Slot16_Cost-FV67)</f>
        <v>0</v>
      </c>
      <c r="GA67" s="20" t="n">
        <f aca="false">IF(AND(Slot17_On=1,D67=Slot17_Age),1,0)</f>
        <v>0</v>
      </c>
      <c r="GB67" s="20" t="n">
        <f aca="false">IF(AND(Slot17_On=1,Slot17_Age&gt;D67),1,0)</f>
        <v>0</v>
      </c>
      <c r="GC67" s="20" t="n">
        <f aca="false">SY66</f>
        <v>0</v>
      </c>
      <c r="GD67" s="20" t="n">
        <f aca="false">GA67*MIN(Slot17_Cost,GC67)</f>
        <v>0</v>
      </c>
      <c r="GE67" s="20" t="n">
        <f aca="false">GA67*Slot17_SpendLike*MIN(Slot17_Cost-GD67,FW67)</f>
        <v>0</v>
      </c>
      <c r="GF67" s="20" t="n">
        <f aca="false">GD67+GE67</f>
        <v>0</v>
      </c>
      <c r="GG67" s="20" t="n">
        <f aca="false">FW67-GE67+GA67*IF(Slot17_SpendLike=1,GC67-GD67,IF(Slot17_PotFree=1,GC67,0))</f>
        <v>0</v>
      </c>
      <c r="GH67" s="20" t="n">
        <f aca="false">FX67+GA67*Slot17_BufPot*GC67</f>
        <v>0</v>
      </c>
      <c r="GI67" s="20" t="n">
        <f aca="false">IF(AND(GA67=1,Slot17_IsMfree=1),IF(GF67&gt;=Slot17_Cost-1,0,MAX(0,FY67-GF67)),FY67)</f>
        <v>0</v>
      </c>
      <c r="GJ67" s="20" t="n">
        <f aca="false">GA67*(Slot17_Cost-GF67)</f>
        <v>0</v>
      </c>
      <c r="GK67" s="20" t="n">
        <f aca="false">IF(AND(Slot18_On=1,D67=Slot18_Age),1,0)</f>
        <v>0</v>
      </c>
      <c r="GL67" s="20" t="n">
        <f aca="false">IF(AND(Slot18_On=1,Slot18_Age&gt;D67),1,0)</f>
        <v>0</v>
      </c>
      <c r="GM67" s="20" t="n">
        <f aca="false">TC66</f>
        <v>0</v>
      </c>
      <c r="GN67" s="20" t="n">
        <f aca="false">GK67*MIN(Slot18_Cost,GM67)</f>
        <v>0</v>
      </c>
      <c r="GO67" s="20" t="n">
        <f aca="false">GK67*Slot18_SpendLike*MIN(Slot18_Cost-GN67,GG67)</f>
        <v>0</v>
      </c>
      <c r="GP67" s="20" t="n">
        <f aca="false">GN67+GO67</f>
        <v>0</v>
      </c>
      <c r="GQ67" s="20" t="n">
        <f aca="false">GG67-GO67+GK67*IF(Slot18_SpendLike=1,GM67-GN67,IF(Slot18_PotFree=1,GM67,0))</f>
        <v>0</v>
      </c>
      <c r="GR67" s="20" t="n">
        <f aca="false">GH67+GK67*Slot18_BufPot*GM67</f>
        <v>0</v>
      </c>
      <c r="GS67" s="20" t="n">
        <f aca="false">IF(AND(GK67=1,Slot18_IsMfree=1),IF(GP67&gt;=Slot18_Cost-1,0,MAX(0,GI67-GP67)),GI67)</f>
        <v>0</v>
      </c>
      <c r="GT67" s="20" t="n">
        <f aca="false">GK67*(Slot18_Cost-GP67)</f>
        <v>0</v>
      </c>
      <c r="GU67" s="20" t="n">
        <f aca="false">IF(AND(Slot19_On=1,D67=Slot19_Age),1,0)</f>
        <v>0</v>
      </c>
      <c r="GV67" s="20" t="n">
        <f aca="false">IF(AND(Slot19_On=1,Slot19_Age&gt;D67),1,0)</f>
        <v>0</v>
      </c>
      <c r="GW67" s="20" t="n">
        <f aca="false">TG66</f>
        <v>0</v>
      </c>
      <c r="GX67" s="20" t="n">
        <f aca="false">GU67*MIN(Slot19_Cost,GW67)</f>
        <v>0</v>
      </c>
      <c r="GY67" s="20" t="n">
        <f aca="false">GU67*Slot19_SpendLike*MIN(Slot19_Cost-GX67,GQ67)</f>
        <v>0</v>
      </c>
      <c r="GZ67" s="20" t="n">
        <f aca="false">GX67+GY67</f>
        <v>0</v>
      </c>
      <c r="HA67" s="20" t="n">
        <f aca="false">GQ67-GY67+GU67*IF(Slot19_SpendLike=1,GW67-GX67,IF(Slot19_PotFree=1,GW67,0))</f>
        <v>0</v>
      </c>
      <c r="HB67" s="20" t="n">
        <f aca="false">GR67+GU67*Slot19_BufPot*GW67</f>
        <v>0</v>
      </c>
      <c r="HC67" s="20" t="n">
        <f aca="false">IF(AND(GU67=1,Slot19_IsMfree=1),IF(GZ67&gt;=Slot19_Cost-1,0,MAX(0,GS67-GZ67)),GS67)</f>
        <v>0</v>
      </c>
      <c r="HD67" s="20" t="n">
        <f aca="false">GU67*(Slot19_Cost-GZ67)</f>
        <v>0</v>
      </c>
      <c r="HE67" s="20" t="n">
        <f aca="false">IF(AND(Slot20_On=1,D67=Slot20_Age),1,0)</f>
        <v>0</v>
      </c>
      <c r="HF67" s="20" t="n">
        <f aca="false">IF(AND(Slot20_On=1,Slot20_Age&gt;D67),1,0)</f>
        <v>0</v>
      </c>
      <c r="HG67" s="20" t="n">
        <f aca="false">TK66</f>
        <v>0</v>
      </c>
      <c r="HH67" s="20" t="n">
        <f aca="false">HE67*MIN(Slot20_Cost,HG67)</f>
        <v>0</v>
      </c>
      <c r="HI67" s="20" t="n">
        <f aca="false">HE67*Slot20_SpendLike*MIN(Slot20_Cost-HH67,HA67)</f>
        <v>0</v>
      </c>
      <c r="HJ67" s="20" t="n">
        <f aca="false">HH67+HI67</f>
        <v>0</v>
      </c>
      <c r="HK67" s="20" t="n">
        <f aca="false">HA67-HI67+HE67*IF(Slot20_SpendLike=1,HG67-HH67,IF(Slot20_PotFree=1,HG67,0))</f>
        <v>0</v>
      </c>
      <c r="HL67" s="20" t="n">
        <f aca="false">HB67+HE67*Slot20_BufPot*HG67</f>
        <v>0</v>
      </c>
      <c r="HM67" s="20" t="n">
        <f aca="false">IF(AND(HE67=1,Slot20_IsMfree=1),IF(HJ67&gt;=Slot20_Cost-1,0,MAX(0,HC67-HJ67)),HC67)</f>
        <v>0</v>
      </c>
      <c r="HN67" s="20" t="n">
        <f aca="false">HE67*(Slot20_Cost-HJ67)</f>
        <v>0</v>
      </c>
      <c r="HO67" s="20" t="n">
        <f aca="false">V67*Slot1_SpendLike*AA67+AG67*Slot2_SpendLike*AL67+AQ67*Slot3_SpendLike*AV67+BA67*Slot4_SpendLike*BF67+BK67*Slot5_SpendLike*BP67+BU67*Slot6_SpendLike*BZ67+CE67*Slot7_SpendLike*CJ67+CO67*Slot8_SpendLike*CT67+CY67*Slot9_SpendLike*DD67+DI67*Slot10_SpendLike*DN67+DS67*Slot11_SpendLike*DX67+EC67*Slot12_SpendLike*EH67+EM67*Slot13_SpendLike*ER67+EW67*Slot14_SpendLike*FB67+FG67*Slot15_SpendLike*FL67+FQ67*Slot16_SpendLike*FV67+GA67*Slot17_SpendLike*GF67+GK67*Slot18_SpendLike*GP67+GU67*Slot19_SpendLike*GZ67+HE67*Slot20_SpendLike*HJ67</f>
        <v>0</v>
      </c>
      <c r="HP67" s="20" t="n">
        <f aca="false">AE67+AP67+AZ67+BJ67+BT67+CD67+CN67+CX67+DH67+DR67+EB67+EL67+EV67+FF67+FP67+FZ67+GJ67+GT67+HD67+HN67</f>
        <v>0</v>
      </c>
      <c r="HQ67" s="20" t="n">
        <f aca="false">V67*Slot1_Cost+AG67*Slot2_Cost+AQ67*Slot3_Cost+BA67*Slot4_Cost+BK67*Slot5_Cost+BU67*Slot6_Cost+CE67*Slot7_Cost+CO67*Slot8_Cost+CY67*Slot9_Cost+DI67*Slot10_Cost+DS67*Slot11_Cost+EC67*Slot12_Cost+EM67*Slot13_Cost+EW67*Slot14_Cost+FG67*Slot15_Cost+FQ67*Slot16_Cost+GA67*Slot17_Cost+GK67*Slot18_Cost+GU67*Slot19_Cost+HE67*Slot20_Cost</f>
        <v>0</v>
      </c>
      <c r="HR67" s="20" t="n">
        <f aca="false">HM67</f>
        <v>0</v>
      </c>
      <c r="HS67" s="20" t="n">
        <f aca="false">H67-I67-S67</f>
        <v>-61971.3375234016</v>
      </c>
      <c r="HT67" s="20" t="n">
        <f aca="false">IF(B67=0,IF(AND(Has_q6=1,In_q6=4),PR_ShareVaries*(MAX(0,HS67)/12),MIN(IF(Has_q6=1,CHOOSE(In_q6+1,PR_SaveB1,PR_SaveB2,PR_SaveB3,PR_SaveB4,0),AS_NoAnswer),AS_SaveShare*(MAX(0,HS67)/12))),HT66)</f>
        <v>67.3316893520437</v>
      </c>
      <c r="HU67" s="20" t="n">
        <f aca="false">IF(HS67&gt;=0,1,0)</f>
        <v>0</v>
      </c>
      <c r="HV67" s="20" t="n">
        <f aca="false">MAX(0,HS67/12/F67)</f>
        <v>0</v>
      </c>
      <c r="HW67" s="20" t="n">
        <f aca="false">IF(AND(Has_q6=1,In_q6=4),PR_ShareVaries*(HV67),MIN(IF(Has_q6=1,CHOOSE(In_q6+1,PR_SaveB1,PR_SaveB2,PR_SaveB3,PR_SaveB4,0),AS_NoAnswer),AS_SaveShare*(HV67)))</f>
        <v>0</v>
      </c>
      <c r="HX67" s="20" t="n">
        <f aca="false">IF(Has_saveM=1,IF(In_saveUp="Yes",1,IF(In_saveUp="No",0,IF(In_saveM&gt;=HT67-0.5,1,0))),0)</f>
        <v>0</v>
      </c>
      <c r="HY67" s="20" t="n">
        <f aca="false">IF(Has_saveM=1,MIN(HV67,IF(HX67=1,MAX(In_saveM,HW67),MIN(In_saveM,HW67))),HW67)</f>
        <v>0</v>
      </c>
      <c r="HZ67" s="20" t="n">
        <f aca="false">IF(G67=1,HY67*12*F67,0)</f>
        <v>0</v>
      </c>
      <c r="IA67" s="20" t="n">
        <f aca="false">MAX(0,HZ67+IF(AND(WI_Retire=0,WI_M&lt;0,G67=1),WI_M*12*F67,0))</f>
        <v>0</v>
      </c>
      <c r="IB67" s="20" t="n">
        <f aca="false">Slot1_IsWG*W67+Slot2_IsWG*AH67+Slot3_IsWG*AR67+Slot4_IsWG*BB67+Slot5_IsWG*BL67+Slot6_IsWG*BV67+Slot7_IsWG*CF67+Slot8_IsWG*CP67+Slot9_IsWG*CZ67+Slot10_IsWG*DJ67+Slot11_IsWG*DT67+Slot12_IsWG*ED67+Slot13_IsWG*EN67+Slot14_IsWG*EX67+Slot15_IsWG*FH67+Slot16_IsWG*FR67+Slot17_IsWG*GB67+Slot18_IsWG*GL67+Slot19_IsWG*GV67+Slot20_IsWG*HF67</f>
        <v>0</v>
      </c>
      <c r="IC67" s="20" t="n">
        <f aca="false">IF(AND(WI_Retire=0,WI_M&gt;0,G67=1,IB67&gt;=1),WI_M*12*F67,0)</f>
        <v>0</v>
      </c>
      <c r="ID67" s="20" t="n">
        <f aca="false">IF(HU67=1,MIN(IA67,HS67),0)</f>
        <v>0</v>
      </c>
      <c r="IE67" s="20" t="n">
        <f aca="false">IF(HU67=1,MIN(IC67,HS67-ID67),0)</f>
        <v>0</v>
      </c>
      <c r="IF67" s="20" t="n">
        <f aca="false">IF(W67=1,IF(ABS((1+AS_Wage)/(1+Slot1_Rate)-1)&lt;0.000000000001,(Slot1_Age-D67)*(1+Slot1_Rate)^(Slot1_Age-D67),(1+Slot1_Rate)^(Slot1_Age-D67)*(1-((1+AS_Wage)/(1+Slot1_Rate))^(Slot1_Age-D67))/(1-(1+AS_Wage)/(1+Slot1_Rate))),1)</f>
        <v>1</v>
      </c>
      <c r="IG67" s="20" t="n">
        <f aca="false">IF(AND(HU67=1,IE67&gt;0,Slot1_IsWG=1,W67=1),MAX(0,(Slot1_Cost-X67*(1+Slot1_Rate)^(Slot1_Age-D67))/IF67),0)</f>
        <v>0</v>
      </c>
      <c r="IH67" s="20" t="n">
        <f aca="false">IF(AND(HU67=1,IE67&gt;0,Slot1_IsWG=1,W67=1),MIN(IE67,IG67),0)</f>
        <v>0</v>
      </c>
      <c r="II67" s="20" t="n">
        <f aca="false">X67+IH67</f>
        <v>0</v>
      </c>
      <c r="IJ67" s="20" t="n">
        <f aca="false">IF(W67=1,MAX(0,(Slot1_Cost-II67*(1+Slot1_Rate)^(Slot1_Age-D67))/IF67),0)</f>
        <v>0</v>
      </c>
      <c r="IK67" s="20" t="n">
        <f aca="false">IF(W67=1,MAX(0,(Slot1_Cost-X67*(1+Slot1_Rate)^(Slot1_Age-D67))/IF67),0)</f>
        <v>0</v>
      </c>
      <c r="IL67" s="20" t="n">
        <f aca="false">IF(AND(HU67=1,W67=1),MIN(ID67,IJ67),0)</f>
        <v>0</v>
      </c>
      <c r="IM67" s="20" t="n">
        <f aca="false">ID67-IL67</f>
        <v>0</v>
      </c>
      <c r="IN67" s="20" t="n">
        <f aca="false">IF(AH67=1,IF(ABS((1+AS_Wage)/(1+Slot2_Rate)-1)&lt;0.000000000001,(Slot2_Age-D67)*(1+Slot2_Rate)^(Slot2_Age-D67),(1+Slot2_Rate)^(Slot2_Age-D67)*(1-((1+AS_Wage)/(1+Slot2_Rate))^(Slot2_Age-D67))/(1-(1+AS_Wage)/(1+Slot2_Rate))),1)</f>
        <v>1</v>
      </c>
      <c r="IO67" s="20" t="n">
        <f aca="false">IF(AND(HU67=1,IE67&gt;0,Slot2_IsWG=1,AH67=1),MAX(0,(Slot2_Cost-AI67*(1+Slot2_Rate)^(Slot2_Age-D67))/IN67),0)</f>
        <v>0</v>
      </c>
      <c r="IP67" s="20" t="n">
        <f aca="false">IF(AND(HU67=1,IE67&gt;0,Slot2_IsWG=1,AH67=1),MIN(IE67,IO67),0)</f>
        <v>0</v>
      </c>
      <c r="IQ67" s="20" t="n">
        <f aca="false">AI67+IP67</f>
        <v>0</v>
      </c>
      <c r="IR67" s="20" t="n">
        <f aca="false">IF(AH67=1,MAX(0,(Slot2_Cost-IQ67*(1+Slot2_Rate)^(Slot2_Age-D67))/IN67),0)</f>
        <v>0</v>
      </c>
      <c r="IS67" s="20" t="n">
        <f aca="false">IF(AH67=1,MAX(0,(Slot2_Cost-AI67*(1+Slot2_Rate)^(Slot2_Age-D67))/IN67),0)</f>
        <v>0</v>
      </c>
      <c r="IT67" s="20" t="n">
        <f aca="false">IF(AND(HU67=1,AH67=1),MIN(IM67,IR67),0)</f>
        <v>0</v>
      </c>
      <c r="IU67" s="20" t="n">
        <f aca="false">IM67-IT67</f>
        <v>0</v>
      </c>
      <c r="IV67" s="20" t="n">
        <f aca="false">IF(AR67=1,IF(ABS((1+AS_Wage)/(1+Slot3_Rate)-1)&lt;0.000000000001,(Slot3_Age-D67)*(1+Slot3_Rate)^(Slot3_Age-D67),(1+Slot3_Rate)^(Slot3_Age-D67)*(1-((1+AS_Wage)/(1+Slot3_Rate))^(Slot3_Age-D67))/(1-(1+AS_Wage)/(1+Slot3_Rate))),1)</f>
        <v>1</v>
      </c>
      <c r="IW67" s="20" t="n">
        <f aca="false">IF(AND(HU67=1,IE67&gt;0,Slot3_IsWG=1,AR67=1),MAX(0,(Slot3_Cost-AS67*(1+Slot3_Rate)^(Slot3_Age-D67))/IV67),0)</f>
        <v>0</v>
      </c>
      <c r="IX67" s="20" t="n">
        <f aca="false">IF(AND(HU67=1,IE67&gt;0,Slot3_IsWG=1,AR67=1),MIN(IE67,IW67),0)</f>
        <v>0</v>
      </c>
      <c r="IY67" s="20" t="n">
        <f aca="false">AS67+IX67</f>
        <v>0</v>
      </c>
      <c r="IZ67" s="20" t="n">
        <f aca="false">IF(AR67=1,MAX(0,(Slot3_Cost-IY67*(1+Slot3_Rate)^(Slot3_Age-D67))/IV67),0)</f>
        <v>0</v>
      </c>
      <c r="JA67" s="20" t="n">
        <f aca="false">IF(AR67=1,MAX(0,(Slot3_Cost-AS67*(1+Slot3_Rate)^(Slot3_Age-D67))/IV67),0)</f>
        <v>0</v>
      </c>
      <c r="JB67" s="20" t="n">
        <f aca="false">IF(AND(HU67=1,AR67=1),MIN(IU67,IZ67),0)</f>
        <v>0</v>
      </c>
      <c r="JC67" s="20" t="n">
        <f aca="false">IU67-JB67</f>
        <v>0</v>
      </c>
      <c r="JD67" s="20" t="n">
        <f aca="false">IF(BB67=1,IF(ABS((1+AS_Wage)/(1+Slot4_Rate)-1)&lt;0.000000000001,(Slot4_Age-D67)*(1+Slot4_Rate)^(Slot4_Age-D67),(1+Slot4_Rate)^(Slot4_Age-D67)*(1-((1+AS_Wage)/(1+Slot4_Rate))^(Slot4_Age-D67))/(1-(1+AS_Wage)/(1+Slot4_Rate))),1)</f>
        <v>1</v>
      </c>
      <c r="JE67" s="20" t="n">
        <f aca="false">IF(AND(HU67=1,IE67&gt;0,Slot4_IsWG=1,BB67=1),MAX(0,(Slot4_Cost-BC67*(1+Slot4_Rate)^(Slot4_Age-D67))/JD67),0)</f>
        <v>0</v>
      </c>
      <c r="JF67" s="20" t="n">
        <f aca="false">IF(AND(HU67=1,IE67&gt;0,Slot4_IsWG=1,BB67=1),MIN(IE67,JE67),0)</f>
        <v>0</v>
      </c>
      <c r="JG67" s="20" t="n">
        <f aca="false">BC67+JF67</f>
        <v>0</v>
      </c>
      <c r="JH67" s="20" t="n">
        <f aca="false">IF(BB67=1,MAX(0,(Slot4_Cost-JG67*(1+Slot4_Rate)^(Slot4_Age-D67))/JD67),0)</f>
        <v>0</v>
      </c>
      <c r="JI67" s="20" t="n">
        <f aca="false">IF(BB67=1,MAX(0,(Slot4_Cost-BC67*(1+Slot4_Rate)^(Slot4_Age-D67))/JD67),0)</f>
        <v>0</v>
      </c>
      <c r="JJ67" s="20" t="n">
        <f aca="false">IF(AND(HU67=1,BB67=1),MIN(JC67,JH67),0)</f>
        <v>0</v>
      </c>
      <c r="JK67" s="20" t="n">
        <f aca="false">JC67-JJ67</f>
        <v>0</v>
      </c>
      <c r="JL67" s="20" t="n">
        <f aca="false">IF(BL67=1,IF(ABS((1+AS_Wage)/(1+Slot5_Rate)-1)&lt;0.000000000001,(Slot5_Age-D67)*(1+Slot5_Rate)^(Slot5_Age-D67),(1+Slot5_Rate)^(Slot5_Age-D67)*(1-((1+AS_Wage)/(1+Slot5_Rate))^(Slot5_Age-D67))/(1-(1+AS_Wage)/(1+Slot5_Rate))),1)</f>
        <v>1</v>
      </c>
      <c r="JM67" s="20" t="n">
        <f aca="false">IF(AND(HU67=1,IE67&gt;0,Slot5_IsWG=1,BL67=1),MAX(0,(Slot5_Cost-BM67*(1+Slot5_Rate)^(Slot5_Age-D67))/JL67),0)</f>
        <v>0</v>
      </c>
      <c r="JN67" s="20" t="n">
        <f aca="false">IF(AND(HU67=1,IE67&gt;0,Slot5_IsWG=1,BL67=1),MIN(IE67,JM67),0)</f>
        <v>0</v>
      </c>
      <c r="JO67" s="20" t="n">
        <f aca="false">BM67+JN67</f>
        <v>0</v>
      </c>
      <c r="JP67" s="20" t="n">
        <f aca="false">IF(BL67=1,MAX(0,(Slot5_Cost-JO67*(1+Slot5_Rate)^(Slot5_Age-D67))/JL67),0)</f>
        <v>0</v>
      </c>
      <c r="JQ67" s="20" t="n">
        <f aca="false">IF(BL67=1,MAX(0,(Slot5_Cost-BM67*(1+Slot5_Rate)^(Slot5_Age-D67))/JL67),0)</f>
        <v>0</v>
      </c>
      <c r="JR67" s="20" t="n">
        <f aca="false">IF(AND(HU67=1,BL67=1),MIN(JK67,JP67),0)</f>
        <v>0</v>
      </c>
      <c r="JS67" s="20" t="n">
        <f aca="false">JK67-JR67</f>
        <v>0</v>
      </c>
      <c r="JT67" s="20" t="n">
        <f aca="false">IF(BV67=1,IF(ABS((1+AS_Wage)/(1+Slot6_Rate)-1)&lt;0.000000000001,(Slot6_Age-D67)*(1+Slot6_Rate)^(Slot6_Age-D67),(1+Slot6_Rate)^(Slot6_Age-D67)*(1-((1+AS_Wage)/(1+Slot6_Rate))^(Slot6_Age-D67))/(1-(1+AS_Wage)/(1+Slot6_Rate))),1)</f>
        <v>1</v>
      </c>
      <c r="JU67" s="20" t="n">
        <f aca="false">IF(AND(HU67=1,IE67&gt;0,Slot6_IsWG=1,BV67=1),MAX(0,(Slot6_Cost-BW67*(1+Slot6_Rate)^(Slot6_Age-D67))/JT67),0)</f>
        <v>0</v>
      </c>
      <c r="JV67" s="20" t="n">
        <f aca="false">IF(AND(HU67=1,IE67&gt;0,Slot6_IsWG=1,BV67=1),MIN(IE67,JU67),0)</f>
        <v>0</v>
      </c>
      <c r="JW67" s="20" t="n">
        <f aca="false">BW67+JV67</f>
        <v>0</v>
      </c>
      <c r="JX67" s="20" t="n">
        <f aca="false">IF(BV67=1,MAX(0,(Slot6_Cost-JW67*(1+Slot6_Rate)^(Slot6_Age-D67))/JT67),0)</f>
        <v>0</v>
      </c>
      <c r="JY67" s="20" t="n">
        <f aca="false">IF(BV67=1,MAX(0,(Slot6_Cost-BW67*(1+Slot6_Rate)^(Slot6_Age-D67))/JT67),0)</f>
        <v>0</v>
      </c>
      <c r="JZ67" s="20" t="n">
        <f aca="false">IF(AND(HU67=1,BV67=1),MIN(JS67,JX67),0)</f>
        <v>0</v>
      </c>
      <c r="KA67" s="20" t="n">
        <f aca="false">JS67-JZ67</f>
        <v>0</v>
      </c>
      <c r="KB67" s="20" t="n">
        <f aca="false">IF(CF67=1,IF(ABS((1+AS_Wage)/(1+Slot7_Rate)-1)&lt;0.000000000001,(Slot7_Age-D67)*(1+Slot7_Rate)^(Slot7_Age-D67),(1+Slot7_Rate)^(Slot7_Age-D67)*(1-((1+AS_Wage)/(1+Slot7_Rate))^(Slot7_Age-D67))/(1-(1+AS_Wage)/(1+Slot7_Rate))),1)</f>
        <v>1</v>
      </c>
      <c r="KC67" s="20" t="n">
        <f aca="false">IF(AND(HU67=1,IE67&gt;0,Slot7_IsWG=1,CF67=1),MAX(0,(Slot7_Cost-CG67*(1+Slot7_Rate)^(Slot7_Age-D67))/KB67),0)</f>
        <v>0</v>
      </c>
      <c r="KD67" s="20" t="n">
        <f aca="false">IF(AND(HU67=1,IE67&gt;0,Slot7_IsWG=1,CF67=1),MIN(IE67,KC67),0)</f>
        <v>0</v>
      </c>
      <c r="KE67" s="20" t="n">
        <f aca="false">CG67+KD67</f>
        <v>0</v>
      </c>
      <c r="KF67" s="20" t="n">
        <f aca="false">IF(CF67=1,MAX(0,(Slot7_Cost-KE67*(1+Slot7_Rate)^(Slot7_Age-D67))/KB67),0)</f>
        <v>0</v>
      </c>
      <c r="KG67" s="20" t="n">
        <f aca="false">IF(CF67=1,MAX(0,(Slot7_Cost-CG67*(1+Slot7_Rate)^(Slot7_Age-D67))/KB67),0)</f>
        <v>0</v>
      </c>
      <c r="KH67" s="20" t="n">
        <f aca="false">IF(AND(HU67=1,CF67=1),MIN(KA67,KF67),0)</f>
        <v>0</v>
      </c>
      <c r="KI67" s="20" t="n">
        <f aca="false">KA67-KH67</f>
        <v>0</v>
      </c>
      <c r="KJ67" s="20" t="n">
        <f aca="false">IF(CP67=1,IF(ABS((1+AS_Wage)/(1+Slot8_Rate)-1)&lt;0.000000000001,(Slot8_Age-D67)*(1+Slot8_Rate)^(Slot8_Age-D67),(1+Slot8_Rate)^(Slot8_Age-D67)*(1-((1+AS_Wage)/(1+Slot8_Rate))^(Slot8_Age-D67))/(1-(1+AS_Wage)/(1+Slot8_Rate))),1)</f>
        <v>1</v>
      </c>
      <c r="KK67" s="20" t="n">
        <f aca="false">IF(AND(HU67=1,IE67&gt;0,Slot8_IsWG=1,CP67=1),MAX(0,(Slot8_Cost-CQ67*(1+Slot8_Rate)^(Slot8_Age-D67))/KJ67),0)</f>
        <v>0</v>
      </c>
      <c r="KL67" s="20" t="n">
        <f aca="false">IF(AND(HU67=1,IE67&gt;0,Slot8_IsWG=1,CP67=1),MIN(IE67,KK67),0)</f>
        <v>0</v>
      </c>
      <c r="KM67" s="20" t="n">
        <f aca="false">CQ67+KL67</f>
        <v>0</v>
      </c>
      <c r="KN67" s="20" t="n">
        <f aca="false">IF(CP67=1,MAX(0,(Slot8_Cost-KM67*(1+Slot8_Rate)^(Slot8_Age-D67))/KJ67),0)</f>
        <v>0</v>
      </c>
      <c r="KO67" s="20" t="n">
        <f aca="false">IF(CP67=1,MAX(0,(Slot8_Cost-CQ67*(1+Slot8_Rate)^(Slot8_Age-D67))/KJ67),0)</f>
        <v>0</v>
      </c>
      <c r="KP67" s="20" t="n">
        <f aca="false">IF(AND(HU67=1,CP67=1),MIN(KI67,KN67),0)</f>
        <v>0</v>
      </c>
      <c r="KQ67" s="20" t="n">
        <f aca="false">KI67-KP67</f>
        <v>0</v>
      </c>
      <c r="KR67" s="20" t="n">
        <f aca="false">IF(CZ67=1,IF(ABS((1+AS_Wage)/(1+Slot9_Rate)-1)&lt;0.000000000001,(Slot9_Age-D67)*(1+Slot9_Rate)^(Slot9_Age-D67),(1+Slot9_Rate)^(Slot9_Age-D67)*(1-((1+AS_Wage)/(1+Slot9_Rate))^(Slot9_Age-D67))/(1-(1+AS_Wage)/(1+Slot9_Rate))),1)</f>
        <v>1</v>
      </c>
      <c r="KS67" s="20" t="n">
        <f aca="false">IF(AND(HU67=1,IE67&gt;0,Slot9_IsWG=1,CZ67=1),MAX(0,(Slot9_Cost-DA67*(1+Slot9_Rate)^(Slot9_Age-D67))/KR67),0)</f>
        <v>0</v>
      </c>
      <c r="KT67" s="20" t="n">
        <f aca="false">IF(AND(HU67=1,IE67&gt;0,Slot9_IsWG=1,CZ67=1),MIN(IE67,KS67),0)</f>
        <v>0</v>
      </c>
      <c r="KU67" s="20" t="n">
        <f aca="false">DA67+KT67</f>
        <v>0</v>
      </c>
      <c r="KV67" s="20" t="n">
        <f aca="false">IF(CZ67=1,MAX(0,(Slot9_Cost-KU67*(1+Slot9_Rate)^(Slot9_Age-D67))/KR67),0)</f>
        <v>0</v>
      </c>
      <c r="KW67" s="20" t="n">
        <f aca="false">IF(CZ67=1,MAX(0,(Slot9_Cost-DA67*(1+Slot9_Rate)^(Slot9_Age-D67))/KR67),0)</f>
        <v>0</v>
      </c>
      <c r="KX67" s="20" t="n">
        <f aca="false">IF(AND(HU67=1,CZ67=1),MIN(KQ67,KV67),0)</f>
        <v>0</v>
      </c>
      <c r="KY67" s="20" t="n">
        <f aca="false">KQ67-KX67</f>
        <v>0</v>
      </c>
      <c r="KZ67" s="20" t="n">
        <f aca="false">IF(DJ67=1,IF(ABS((1+AS_Wage)/(1+Slot10_Rate)-1)&lt;0.000000000001,(Slot10_Age-D67)*(1+Slot10_Rate)^(Slot10_Age-D67),(1+Slot10_Rate)^(Slot10_Age-D67)*(1-((1+AS_Wage)/(1+Slot10_Rate))^(Slot10_Age-D67))/(1-(1+AS_Wage)/(1+Slot10_Rate))),1)</f>
        <v>1</v>
      </c>
      <c r="LA67" s="20" t="n">
        <f aca="false">IF(AND(HU67=1,IE67&gt;0,Slot10_IsWG=1,DJ67=1),MAX(0,(Slot10_Cost-DK67*(1+Slot10_Rate)^(Slot10_Age-D67))/KZ67),0)</f>
        <v>0</v>
      </c>
      <c r="LB67" s="20" t="n">
        <f aca="false">IF(AND(HU67=1,IE67&gt;0,Slot10_IsWG=1,DJ67=1),MIN(IE67,LA67),0)</f>
        <v>0</v>
      </c>
      <c r="LC67" s="20" t="n">
        <f aca="false">DK67+LB67</f>
        <v>0</v>
      </c>
      <c r="LD67" s="20" t="n">
        <f aca="false">IF(DJ67=1,MAX(0,(Slot10_Cost-LC67*(1+Slot10_Rate)^(Slot10_Age-D67))/KZ67),0)</f>
        <v>0</v>
      </c>
      <c r="LE67" s="20" t="n">
        <f aca="false">IF(DJ67=1,MAX(0,(Slot10_Cost-DK67*(1+Slot10_Rate)^(Slot10_Age-D67))/KZ67),0)</f>
        <v>0</v>
      </c>
      <c r="LF67" s="20" t="n">
        <f aca="false">IF(AND(HU67=1,DJ67=1),MIN(KY67,LD67),0)</f>
        <v>0</v>
      </c>
      <c r="LG67" s="20" t="n">
        <f aca="false">KY67-LF67</f>
        <v>0</v>
      </c>
      <c r="LH67" s="20" t="n">
        <f aca="false">IF(DT67=1,IF(ABS((1+AS_Wage)/(1+Slot11_Rate)-1)&lt;0.000000000001,(Slot11_Age-D67)*(1+Slot11_Rate)^(Slot11_Age-D67),(1+Slot11_Rate)^(Slot11_Age-D67)*(1-((1+AS_Wage)/(1+Slot11_Rate))^(Slot11_Age-D67))/(1-(1+AS_Wage)/(1+Slot11_Rate))),1)</f>
        <v>1</v>
      </c>
      <c r="LI67" s="20" t="n">
        <f aca="false">IF(AND(HU67=1,IE67&gt;0,Slot11_IsWG=1,DT67=1),MAX(0,(Slot11_Cost-DU67*(1+Slot11_Rate)^(Slot11_Age-D67))/LH67),0)</f>
        <v>0</v>
      </c>
      <c r="LJ67" s="20" t="n">
        <f aca="false">IF(AND(HU67=1,IE67&gt;0,Slot11_IsWG=1,DT67=1),MIN(IE67,LI67),0)</f>
        <v>0</v>
      </c>
      <c r="LK67" s="20" t="n">
        <f aca="false">DU67+LJ67</f>
        <v>0</v>
      </c>
      <c r="LL67" s="20" t="n">
        <f aca="false">IF(DT67=1,MAX(0,(Slot11_Cost-LK67*(1+Slot11_Rate)^(Slot11_Age-D67))/LH67),0)</f>
        <v>0</v>
      </c>
      <c r="LM67" s="20" t="n">
        <f aca="false">IF(DT67=1,MAX(0,(Slot11_Cost-DU67*(1+Slot11_Rate)^(Slot11_Age-D67))/LH67),0)</f>
        <v>0</v>
      </c>
      <c r="LN67" s="20" t="n">
        <f aca="false">IF(AND(HU67=1,DT67=1),MIN(LG67,LL67),0)</f>
        <v>0</v>
      </c>
      <c r="LO67" s="20" t="n">
        <f aca="false">LG67-LN67</f>
        <v>0</v>
      </c>
      <c r="LP67" s="20" t="n">
        <f aca="false">IF(ED67=1,IF(ABS((1+AS_Wage)/(1+Slot12_Rate)-1)&lt;0.000000000001,(Slot12_Age-D67)*(1+Slot12_Rate)^(Slot12_Age-D67),(1+Slot12_Rate)^(Slot12_Age-D67)*(1-((1+AS_Wage)/(1+Slot12_Rate))^(Slot12_Age-D67))/(1-(1+AS_Wage)/(1+Slot12_Rate))),1)</f>
        <v>1</v>
      </c>
      <c r="LQ67" s="20" t="n">
        <f aca="false">IF(AND(HU67=1,IE67&gt;0,Slot12_IsWG=1,ED67=1),MAX(0,(Slot12_Cost-EE67*(1+Slot12_Rate)^(Slot12_Age-D67))/LP67),0)</f>
        <v>0</v>
      </c>
      <c r="LR67" s="20" t="n">
        <f aca="false">IF(AND(HU67=1,IE67&gt;0,Slot12_IsWG=1,ED67=1),MIN(IE67,LQ67),0)</f>
        <v>0</v>
      </c>
      <c r="LS67" s="20" t="n">
        <f aca="false">EE67+LR67</f>
        <v>0</v>
      </c>
      <c r="LT67" s="20" t="n">
        <f aca="false">IF(ED67=1,MAX(0,(Slot12_Cost-LS67*(1+Slot12_Rate)^(Slot12_Age-D67))/LP67),0)</f>
        <v>0</v>
      </c>
      <c r="LU67" s="20" t="n">
        <f aca="false">IF(ED67=1,MAX(0,(Slot12_Cost-EE67*(1+Slot12_Rate)^(Slot12_Age-D67))/LP67),0)</f>
        <v>0</v>
      </c>
      <c r="LV67" s="20" t="n">
        <f aca="false">IF(AND(HU67=1,ED67=1),MIN(LO67,LT67),0)</f>
        <v>0</v>
      </c>
      <c r="LW67" s="20" t="n">
        <f aca="false">LO67-LV67</f>
        <v>0</v>
      </c>
      <c r="LX67" s="20" t="n">
        <f aca="false">IF(EN67=1,IF(ABS((1+AS_Wage)/(1+Slot13_Rate)-1)&lt;0.000000000001,(Slot13_Age-D67)*(1+Slot13_Rate)^(Slot13_Age-D67),(1+Slot13_Rate)^(Slot13_Age-D67)*(1-((1+AS_Wage)/(1+Slot13_Rate))^(Slot13_Age-D67))/(1-(1+AS_Wage)/(1+Slot13_Rate))),1)</f>
        <v>1</v>
      </c>
      <c r="LY67" s="20" t="n">
        <f aca="false">IF(AND(HU67=1,IE67&gt;0,Slot13_IsWG=1,EN67=1),MAX(0,(Slot13_Cost-EO67*(1+Slot13_Rate)^(Slot13_Age-D67))/LX67),0)</f>
        <v>0</v>
      </c>
      <c r="LZ67" s="20" t="n">
        <f aca="false">IF(AND(HU67=1,IE67&gt;0,Slot13_IsWG=1,EN67=1),MIN(IE67,LY67),0)</f>
        <v>0</v>
      </c>
      <c r="MA67" s="20" t="n">
        <f aca="false">EO67+LZ67</f>
        <v>0</v>
      </c>
      <c r="MB67" s="20" t="n">
        <f aca="false">IF(EN67=1,MAX(0,(Slot13_Cost-MA67*(1+Slot13_Rate)^(Slot13_Age-D67))/LX67),0)</f>
        <v>0</v>
      </c>
      <c r="MC67" s="20" t="n">
        <f aca="false">IF(EN67=1,MAX(0,(Slot13_Cost-EO67*(1+Slot13_Rate)^(Slot13_Age-D67))/LX67),0)</f>
        <v>0</v>
      </c>
      <c r="MD67" s="20" t="n">
        <f aca="false">IF(AND(HU67=1,EN67=1),MIN(LW67,MB67),0)</f>
        <v>0</v>
      </c>
      <c r="ME67" s="20" t="n">
        <f aca="false">LW67-MD67</f>
        <v>0</v>
      </c>
      <c r="MF67" s="20" t="n">
        <f aca="false">IF(EX67=1,IF(ABS((1+AS_Wage)/(1+Slot14_Rate)-1)&lt;0.000000000001,(Slot14_Age-D67)*(1+Slot14_Rate)^(Slot14_Age-D67),(1+Slot14_Rate)^(Slot14_Age-D67)*(1-((1+AS_Wage)/(1+Slot14_Rate))^(Slot14_Age-D67))/(1-(1+AS_Wage)/(1+Slot14_Rate))),1)</f>
        <v>1</v>
      </c>
      <c r="MG67" s="20" t="n">
        <f aca="false">IF(AND(HU67=1,IE67&gt;0,Slot14_IsWG=1,EX67=1),MAX(0,(Slot14_Cost-EY67*(1+Slot14_Rate)^(Slot14_Age-D67))/MF67),0)</f>
        <v>0</v>
      </c>
      <c r="MH67" s="20" t="n">
        <f aca="false">IF(AND(HU67=1,IE67&gt;0,Slot14_IsWG=1,EX67=1),MIN(IE67,MG67),0)</f>
        <v>0</v>
      </c>
      <c r="MI67" s="20" t="n">
        <f aca="false">EY67+MH67</f>
        <v>0</v>
      </c>
      <c r="MJ67" s="20" t="n">
        <f aca="false">IF(EX67=1,MAX(0,(Slot14_Cost-MI67*(1+Slot14_Rate)^(Slot14_Age-D67))/MF67),0)</f>
        <v>0</v>
      </c>
      <c r="MK67" s="20" t="n">
        <f aca="false">IF(EX67=1,MAX(0,(Slot14_Cost-EY67*(1+Slot14_Rate)^(Slot14_Age-D67))/MF67),0)</f>
        <v>0</v>
      </c>
      <c r="ML67" s="20" t="n">
        <f aca="false">IF(AND(HU67=1,EX67=1),MIN(ME67,MJ67),0)</f>
        <v>0</v>
      </c>
      <c r="MM67" s="20" t="n">
        <f aca="false">ME67-ML67</f>
        <v>0</v>
      </c>
      <c r="MN67" s="20" t="n">
        <f aca="false">IF(FH67=1,IF(ABS((1+AS_Wage)/(1+Slot15_Rate)-1)&lt;0.000000000001,(Slot15_Age-D67)*(1+Slot15_Rate)^(Slot15_Age-D67),(1+Slot15_Rate)^(Slot15_Age-D67)*(1-((1+AS_Wage)/(1+Slot15_Rate))^(Slot15_Age-D67))/(1-(1+AS_Wage)/(1+Slot15_Rate))),1)</f>
        <v>1</v>
      </c>
      <c r="MO67" s="20" t="n">
        <f aca="false">IF(AND(HU67=1,IE67&gt;0,Slot15_IsWG=1,FH67=1),MAX(0,(Slot15_Cost-FI67*(1+Slot15_Rate)^(Slot15_Age-D67))/MN67),0)</f>
        <v>0</v>
      </c>
      <c r="MP67" s="20" t="n">
        <f aca="false">IF(AND(HU67=1,IE67&gt;0,Slot15_IsWG=1,FH67=1),MIN(IE67,MO67),0)</f>
        <v>0</v>
      </c>
      <c r="MQ67" s="20" t="n">
        <f aca="false">FI67+MP67</f>
        <v>0</v>
      </c>
      <c r="MR67" s="20" t="n">
        <f aca="false">IF(FH67=1,MAX(0,(Slot15_Cost-MQ67*(1+Slot15_Rate)^(Slot15_Age-D67))/MN67),0)</f>
        <v>0</v>
      </c>
      <c r="MS67" s="20" t="n">
        <f aca="false">IF(FH67=1,MAX(0,(Slot15_Cost-FI67*(1+Slot15_Rate)^(Slot15_Age-D67))/MN67),0)</f>
        <v>0</v>
      </c>
      <c r="MT67" s="20" t="n">
        <f aca="false">IF(AND(HU67=1,FH67=1),MIN(MM67,MR67),0)</f>
        <v>0</v>
      </c>
      <c r="MU67" s="20" t="n">
        <f aca="false">MM67-MT67</f>
        <v>0</v>
      </c>
      <c r="MV67" s="20" t="n">
        <f aca="false">IF(FR67=1,IF(ABS((1+AS_Wage)/(1+Slot16_Rate)-1)&lt;0.000000000001,(Slot16_Age-D67)*(1+Slot16_Rate)^(Slot16_Age-D67),(1+Slot16_Rate)^(Slot16_Age-D67)*(1-((1+AS_Wage)/(1+Slot16_Rate))^(Slot16_Age-D67))/(1-(1+AS_Wage)/(1+Slot16_Rate))),1)</f>
        <v>1</v>
      </c>
      <c r="MW67" s="20" t="n">
        <f aca="false">IF(AND(HU67=1,IE67&gt;0,Slot16_IsWG=1,FR67=1),MAX(0,(Slot16_Cost-FS67*(1+Slot16_Rate)^(Slot16_Age-D67))/MV67),0)</f>
        <v>0</v>
      </c>
      <c r="MX67" s="20" t="n">
        <f aca="false">IF(AND(HU67=1,IE67&gt;0,Slot16_IsWG=1,FR67=1),MIN(IE67,MW67),0)</f>
        <v>0</v>
      </c>
      <c r="MY67" s="20" t="n">
        <f aca="false">FS67+MX67</f>
        <v>0</v>
      </c>
      <c r="MZ67" s="20" t="n">
        <f aca="false">IF(FR67=1,MAX(0,(Slot16_Cost-MY67*(1+Slot16_Rate)^(Slot16_Age-D67))/MV67),0)</f>
        <v>0</v>
      </c>
      <c r="NA67" s="20" t="n">
        <f aca="false">IF(FR67=1,MAX(0,(Slot16_Cost-FS67*(1+Slot16_Rate)^(Slot16_Age-D67))/MV67),0)</f>
        <v>0</v>
      </c>
      <c r="NB67" s="20" t="n">
        <f aca="false">IF(AND(HU67=1,FR67=1),MIN(MU67,MZ67),0)</f>
        <v>0</v>
      </c>
      <c r="NC67" s="20" t="n">
        <f aca="false">MU67-NB67</f>
        <v>0</v>
      </c>
      <c r="ND67" s="20" t="n">
        <f aca="false">IF(GB67=1,IF(ABS((1+AS_Wage)/(1+Slot17_Rate)-1)&lt;0.000000000001,(Slot17_Age-D67)*(1+Slot17_Rate)^(Slot17_Age-D67),(1+Slot17_Rate)^(Slot17_Age-D67)*(1-((1+AS_Wage)/(1+Slot17_Rate))^(Slot17_Age-D67))/(1-(1+AS_Wage)/(1+Slot17_Rate))),1)</f>
        <v>1</v>
      </c>
      <c r="NE67" s="20" t="n">
        <f aca="false">IF(AND(HU67=1,IE67&gt;0,Slot17_IsWG=1,GB67=1),MAX(0,(Slot17_Cost-GC67*(1+Slot17_Rate)^(Slot17_Age-D67))/ND67),0)</f>
        <v>0</v>
      </c>
      <c r="NF67" s="20" t="n">
        <f aca="false">IF(AND(HU67=1,IE67&gt;0,Slot17_IsWG=1,GB67=1),MIN(IE67,NE67),0)</f>
        <v>0</v>
      </c>
      <c r="NG67" s="20" t="n">
        <f aca="false">GC67+NF67</f>
        <v>0</v>
      </c>
      <c r="NH67" s="20" t="n">
        <f aca="false">IF(GB67=1,MAX(0,(Slot17_Cost-NG67*(1+Slot17_Rate)^(Slot17_Age-D67))/ND67),0)</f>
        <v>0</v>
      </c>
      <c r="NI67" s="20" t="n">
        <f aca="false">IF(GB67=1,MAX(0,(Slot17_Cost-GC67*(1+Slot17_Rate)^(Slot17_Age-D67))/ND67),0)</f>
        <v>0</v>
      </c>
      <c r="NJ67" s="20" t="n">
        <f aca="false">IF(AND(HU67=1,GB67=1),MIN(NC67,NH67),0)</f>
        <v>0</v>
      </c>
      <c r="NK67" s="20" t="n">
        <f aca="false">NC67-NJ67</f>
        <v>0</v>
      </c>
      <c r="NL67" s="20" t="n">
        <f aca="false">IF(GL67=1,IF(ABS((1+AS_Wage)/(1+Slot18_Rate)-1)&lt;0.000000000001,(Slot18_Age-D67)*(1+Slot18_Rate)^(Slot18_Age-D67),(1+Slot18_Rate)^(Slot18_Age-D67)*(1-((1+AS_Wage)/(1+Slot18_Rate))^(Slot18_Age-D67))/(1-(1+AS_Wage)/(1+Slot18_Rate))),1)</f>
        <v>1</v>
      </c>
      <c r="NM67" s="20" t="n">
        <f aca="false">IF(AND(HU67=1,IE67&gt;0,Slot18_IsWG=1,GL67=1),MAX(0,(Slot18_Cost-GM67*(1+Slot18_Rate)^(Slot18_Age-D67))/NL67),0)</f>
        <v>0</v>
      </c>
      <c r="NN67" s="20" t="n">
        <f aca="false">IF(AND(HU67=1,IE67&gt;0,Slot18_IsWG=1,GL67=1),MIN(IE67,NM67),0)</f>
        <v>0</v>
      </c>
      <c r="NO67" s="20" t="n">
        <f aca="false">GM67+NN67</f>
        <v>0</v>
      </c>
      <c r="NP67" s="20" t="n">
        <f aca="false">IF(GL67=1,MAX(0,(Slot18_Cost-NO67*(1+Slot18_Rate)^(Slot18_Age-D67))/NL67),0)</f>
        <v>0</v>
      </c>
      <c r="NQ67" s="20" t="n">
        <f aca="false">IF(GL67=1,MAX(0,(Slot18_Cost-GM67*(1+Slot18_Rate)^(Slot18_Age-D67))/NL67),0)</f>
        <v>0</v>
      </c>
      <c r="NR67" s="20" t="n">
        <f aca="false">IF(AND(HU67=1,GL67=1),MIN(NK67,NP67),0)</f>
        <v>0</v>
      </c>
      <c r="NS67" s="20" t="n">
        <f aca="false">NK67-NR67</f>
        <v>0</v>
      </c>
      <c r="NT67" s="20" t="n">
        <f aca="false">IF(GV67=1,IF(ABS((1+AS_Wage)/(1+Slot19_Rate)-1)&lt;0.000000000001,(Slot19_Age-D67)*(1+Slot19_Rate)^(Slot19_Age-D67),(1+Slot19_Rate)^(Slot19_Age-D67)*(1-((1+AS_Wage)/(1+Slot19_Rate))^(Slot19_Age-D67))/(1-(1+AS_Wage)/(1+Slot19_Rate))),1)</f>
        <v>1</v>
      </c>
      <c r="NU67" s="20" t="n">
        <f aca="false">IF(AND(HU67=1,IE67&gt;0,Slot19_IsWG=1,GV67=1),MAX(0,(Slot19_Cost-GW67*(1+Slot19_Rate)^(Slot19_Age-D67))/NT67),0)</f>
        <v>0</v>
      </c>
      <c r="NV67" s="20" t="n">
        <f aca="false">IF(AND(HU67=1,IE67&gt;0,Slot19_IsWG=1,GV67=1),MIN(IE67,NU67),0)</f>
        <v>0</v>
      </c>
      <c r="NW67" s="20" t="n">
        <f aca="false">GW67+NV67</f>
        <v>0</v>
      </c>
      <c r="NX67" s="20" t="n">
        <f aca="false">IF(GV67=1,MAX(0,(Slot19_Cost-NW67*(1+Slot19_Rate)^(Slot19_Age-D67))/NT67),0)</f>
        <v>0</v>
      </c>
      <c r="NY67" s="20" t="n">
        <f aca="false">IF(GV67=1,MAX(0,(Slot19_Cost-GW67*(1+Slot19_Rate)^(Slot19_Age-D67))/NT67),0)</f>
        <v>0</v>
      </c>
      <c r="NZ67" s="20" t="n">
        <f aca="false">IF(AND(HU67=1,GV67=1),MIN(NS67,NX67),0)</f>
        <v>0</v>
      </c>
      <c r="OA67" s="20" t="n">
        <f aca="false">NS67-NZ67</f>
        <v>0</v>
      </c>
      <c r="OB67" s="20" t="n">
        <f aca="false">IF(HF67=1,IF(ABS((1+AS_Wage)/(1+Slot20_Rate)-1)&lt;0.000000000001,(Slot20_Age-D67)*(1+Slot20_Rate)^(Slot20_Age-D67),(1+Slot20_Rate)^(Slot20_Age-D67)*(1-((1+AS_Wage)/(1+Slot20_Rate))^(Slot20_Age-D67))/(1-(1+AS_Wage)/(1+Slot20_Rate))),1)</f>
        <v>1</v>
      </c>
      <c r="OC67" s="20" t="n">
        <f aca="false">IF(AND(HU67=1,IE67&gt;0,Slot20_IsWG=1,HF67=1),MAX(0,(Slot20_Cost-HG67*(1+Slot20_Rate)^(Slot20_Age-D67))/OB67),0)</f>
        <v>0</v>
      </c>
      <c r="OD67" s="20" t="n">
        <f aca="false">IF(AND(HU67=1,IE67&gt;0,Slot20_IsWG=1,HF67=1),MIN(IE67,OC67),0)</f>
        <v>0</v>
      </c>
      <c r="OE67" s="20" t="n">
        <f aca="false">HG67+OD67</f>
        <v>0</v>
      </c>
      <c r="OF67" s="20" t="n">
        <f aca="false">IF(HF67=1,MAX(0,(Slot20_Cost-OE67*(1+Slot20_Rate)^(Slot20_Age-D67))/OB67),0)</f>
        <v>0</v>
      </c>
      <c r="OG67" s="20" t="n">
        <f aca="false">IF(HF67=1,MAX(0,(Slot20_Cost-HG67*(1+Slot20_Rate)^(Slot20_Age-D67))/OB67),0)</f>
        <v>0</v>
      </c>
      <c r="OH67" s="20" t="n">
        <f aca="false">IF(AND(HU67=1,HF67=1),MIN(OA67,OF67),0)</f>
        <v>0</v>
      </c>
      <c r="OI67" s="20" t="n">
        <f aca="false">OA67-OH67</f>
        <v>0</v>
      </c>
      <c r="OJ67" s="20" t="n">
        <f aca="false">IE67-(IH67+IP67+IX67+JF67+JN67+JV67+KD67+KL67+KT67+LB67+LJ67+LR67+LZ67+MH67+MP67+MX67+NF67+NN67+NV67+OD67)</f>
        <v>0</v>
      </c>
      <c r="OK67" s="20" t="n">
        <f aca="false">IF(HU67=1,HS67-ID67-IE67,0)</f>
        <v>0</v>
      </c>
      <c r="OL67" s="20" t="n">
        <f aca="false">IF(HU67=0,-HS67,0)</f>
        <v>61971.3375234016</v>
      </c>
      <c r="OM67" s="20" t="n">
        <f aca="false">MIN(OL67,HK67)</f>
        <v>0</v>
      </c>
      <c r="ON67" s="20" t="n">
        <f aca="false">OL67-OM67</f>
        <v>61971.3375234016</v>
      </c>
      <c r="OO67" s="20" t="n">
        <f aca="false">MIN(ON67,HL67)</f>
        <v>0</v>
      </c>
      <c r="OP67" s="20" t="n">
        <f aca="false">ON67-OO67</f>
        <v>61971.3375234016</v>
      </c>
      <c r="OQ67" s="20" t="n">
        <f aca="false">IF(AND(HU67=0,HF67=1,OP67&gt;0),MIN(OP67,HG67),0)</f>
        <v>0</v>
      </c>
      <c r="OR67" s="20" t="n">
        <f aca="false">OP67-OQ67</f>
        <v>61971.3375234016</v>
      </c>
      <c r="OS67" s="20" t="n">
        <f aca="false">IF(AND(HU67=0,GV67=1,OR67&gt;0),MIN(OR67,GW67),0)</f>
        <v>0</v>
      </c>
      <c r="OT67" s="20" t="n">
        <f aca="false">OR67-OS67</f>
        <v>61971.3375234016</v>
      </c>
      <c r="OU67" s="20" t="n">
        <f aca="false">IF(AND(HU67=0,GL67=1,OT67&gt;0),MIN(OT67,GM67),0)</f>
        <v>0</v>
      </c>
      <c r="OV67" s="20" t="n">
        <f aca="false">OT67-OU67</f>
        <v>61971.3375234016</v>
      </c>
      <c r="OW67" s="20" t="n">
        <f aca="false">IF(AND(HU67=0,GB67=1,OV67&gt;0),MIN(OV67,GC67),0)</f>
        <v>0</v>
      </c>
      <c r="OX67" s="20" t="n">
        <f aca="false">OV67-OW67</f>
        <v>61971.3375234016</v>
      </c>
      <c r="OY67" s="20" t="n">
        <f aca="false">IF(AND(HU67=0,FR67=1,OX67&gt;0),MIN(OX67,FS67),0)</f>
        <v>0</v>
      </c>
      <c r="OZ67" s="20" t="n">
        <f aca="false">OX67-OY67</f>
        <v>61971.3375234016</v>
      </c>
      <c r="PA67" s="20" t="n">
        <f aca="false">IF(AND(HU67=0,FH67=1,OZ67&gt;0),MIN(OZ67,FI67),0)</f>
        <v>0</v>
      </c>
      <c r="PB67" s="20" t="n">
        <f aca="false">OZ67-PA67</f>
        <v>61971.3375234016</v>
      </c>
      <c r="PC67" s="20" t="n">
        <f aca="false">IF(AND(HU67=0,EX67=1,PB67&gt;0),MIN(PB67,EY67),0)</f>
        <v>0</v>
      </c>
      <c r="PD67" s="20" t="n">
        <f aca="false">PB67-PC67</f>
        <v>61971.3375234016</v>
      </c>
      <c r="PE67" s="20" t="n">
        <f aca="false">IF(AND(HU67=0,EN67=1,PD67&gt;0),MIN(PD67,EO67),0)</f>
        <v>0</v>
      </c>
      <c r="PF67" s="20" t="n">
        <f aca="false">PD67-PE67</f>
        <v>61971.3375234016</v>
      </c>
      <c r="PG67" s="20" t="n">
        <f aca="false">IF(AND(HU67=0,ED67=1,PF67&gt;0),MIN(PF67,EE67),0)</f>
        <v>0</v>
      </c>
      <c r="PH67" s="20" t="n">
        <f aca="false">PF67-PG67</f>
        <v>61971.3375234016</v>
      </c>
      <c r="PI67" s="20" t="n">
        <f aca="false">IF(AND(HU67=0,DT67=1,PH67&gt;0),MIN(PH67,DU67),0)</f>
        <v>0</v>
      </c>
      <c r="PJ67" s="20" t="n">
        <f aca="false">PH67-PI67</f>
        <v>61971.3375234016</v>
      </c>
      <c r="PK67" s="20" t="n">
        <f aca="false">IF(AND(HU67=0,DJ67=1,PJ67&gt;0),MIN(PJ67,DK67),0)</f>
        <v>0</v>
      </c>
      <c r="PL67" s="20" t="n">
        <f aca="false">PJ67-PK67</f>
        <v>61971.3375234016</v>
      </c>
      <c r="PM67" s="20" t="n">
        <f aca="false">IF(AND(HU67=0,CZ67=1,PL67&gt;0),MIN(PL67,DA67),0)</f>
        <v>0</v>
      </c>
      <c r="PN67" s="20" t="n">
        <f aca="false">PL67-PM67</f>
        <v>61971.3375234016</v>
      </c>
      <c r="PO67" s="20" t="n">
        <f aca="false">IF(AND(HU67=0,CP67=1,PN67&gt;0),MIN(PN67,CQ67),0)</f>
        <v>0</v>
      </c>
      <c r="PP67" s="20" t="n">
        <f aca="false">PN67-PO67</f>
        <v>61971.3375234016</v>
      </c>
      <c r="PQ67" s="20" t="n">
        <f aca="false">IF(AND(HU67=0,CF67=1,PP67&gt;0),MIN(PP67,CG67),0)</f>
        <v>0</v>
      </c>
      <c r="PR67" s="20" t="n">
        <f aca="false">PP67-PQ67</f>
        <v>61971.3375234016</v>
      </c>
      <c r="PS67" s="20" t="n">
        <f aca="false">IF(AND(HU67=0,BV67=1,PR67&gt;0),MIN(PR67,BW67),0)</f>
        <v>0</v>
      </c>
      <c r="PT67" s="20" t="n">
        <f aca="false">PR67-PS67</f>
        <v>61971.3375234016</v>
      </c>
      <c r="PU67" s="20" t="n">
        <f aca="false">IF(AND(HU67=0,BL67=1,PT67&gt;0),MIN(PT67,BM67),0)</f>
        <v>0</v>
      </c>
      <c r="PV67" s="20" t="n">
        <f aca="false">PT67-PU67</f>
        <v>61971.3375234016</v>
      </c>
      <c r="PW67" s="20" t="n">
        <f aca="false">IF(AND(HU67=0,BB67=1,PV67&gt;0),MIN(PV67,BC67),0)</f>
        <v>0</v>
      </c>
      <c r="PX67" s="20" t="n">
        <f aca="false">PV67-PW67</f>
        <v>61971.3375234016</v>
      </c>
      <c r="PY67" s="20" t="n">
        <f aca="false">IF(AND(HU67=0,AR67=1,PX67&gt;0),MIN(PX67,AS67),0)</f>
        <v>0</v>
      </c>
      <c r="PZ67" s="20" t="n">
        <f aca="false">PX67-PY67</f>
        <v>61971.3375234016</v>
      </c>
      <c r="QA67" s="20" t="n">
        <f aca="false">IF(AND(HU67=0,AH67=1,PZ67&gt;0),MIN(PZ67,AI67),0)</f>
        <v>0</v>
      </c>
      <c r="QB67" s="20" t="n">
        <f aca="false">PZ67-QA67</f>
        <v>61971.3375234016</v>
      </c>
      <c r="QC67" s="20" t="n">
        <f aca="false">IF(AND(HU67=0,W67=1,QB67&gt;0),MIN(QB67,X67),0)</f>
        <v>0</v>
      </c>
      <c r="QD67" s="20" t="n">
        <f aca="false">QB67-QC67</f>
        <v>61971.3375234016</v>
      </c>
      <c r="QE67" s="20" t="n">
        <f aca="false">IF(HU67=0,QD67,0)</f>
        <v>61971.3375234016</v>
      </c>
      <c r="QF67" s="20" t="n">
        <f aca="false">OM67+OO67+QC67+QA67+PY67+PW67+PU67+PS67+PQ67+PO67+PM67+PK67+PI67+PG67+PE67+PC67+PA67+OY67+OW67+OU67+OS67+OQ67</f>
        <v>0</v>
      </c>
      <c r="QG67" s="20" t="n">
        <f aca="false">IF(HU67=1,HK67+OJ67+OI67+IF(G67=1,0,OK67),HK67-OM67)</f>
        <v>0</v>
      </c>
      <c r="QH67" s="20" t="n">
        <f aca="false">HL67-OO67</f>
        <v>0</v>
      </c>
      <c r="QI67" s="20" t="n">
        <f aca="false">IF(HU67=1,IF(G67=1,ID67+IE67,HS67),0)</f>
        <v>0</v>
      </c>
      <c r="QJ67" s="20" t="n">
        <f aca="false">IF(HU67=1,IF(G67=1,HS67-ID67-IE67,0),0)</f>
        <v>0</v>
      </c>
      <c r="QK67" s="57" t="n">
        <f aca="false">'Plan holdings'!BM67</f>
        <v>0</v>
      </c>
      <c r="QL67" s="20" t="n">
        <f aca="false">QH67*(1+AS_Cash)</f>
        <v>0</v>
      </c>
      <c r="QM67" s="20" t="n">
        <f aca="false">IF(W67=1,IF(HU67=1,II67+IL67,X67-QC67)*(1+Slot1_Rate),0)</f>
        <v>0</v>
      </c>
      <c r="QN67" s="20" t="n">
        <f aca="false">IF(AND(HU67=1,W67=1),(IH67+IL67)/F67,0)</f>
        <v>0</v>
      </c>
      <c r="QO67" s="20" t="n">
        <f aca="false">IF(B67=0,IH67+IL67,0)</f>
        <v>0</v>
      </c>
      <c r="QP67" s="20" t="n">
        <f aca="false">IF(B67=0,IF(HU67=1,IJ67,IK67),0)</f>
        <v>0</v>
      </c>
      <c r="QQ67" s="20" t="n">
        <f aca="false">IF(AH67=1,IF(HU67=1,IQ67+IT67,AI67-QA67)*(1+Slot2_Rate),0)</f>
        <v>0</v>
      </c>
      <c r="QR67" s="20" t="n">
        <f aca="false">IF(AND(HU67=1,AH67=1),(IP67+IT67)/F67,0)</f>
        <v>0</v>
      </c>
      <c r="QS67" s="20" t="n">
        <f aca="false">IF(B67=0,IP67+IT67,0)</f>
        <v>0</v>
      </c>
      <c r="QT67" s="20" t="n">
        <f aca="false">IF(B67=0,IF(HU67=1,IR67,IS67),0)</f>
        <v>0</v>
      </c>
      <c r="QU67" s="20" t="n">
        <f aca="false">IF(AR67=1,IF(HU67=1,IY67+JB67,AS67-PY67)*(1+Slot3_Rate),0)</f>
        <v>0</v>
      </c>
      <c r="QV67" s="20" t="n">
        <f aca="false">IF(AND(HU67=1,AR67=1),(IX67+JB67)/F67,0)</f>
        <v>0</v>
      </c>
      <c r="QW67" s="20" t="n">
        <f aca="false">IF(B67=0,IX67+JB67,0)</f>
        <v>0</v>
      </c>
      <c r="QX67" s="20" t="n">
        <f aca="false">IF(B67=0,IF(HU67=1,IZ67,JA67),0)</f>
        <v>0</v>
      </c>
      <c r="QY67" s="20" t="n">
        <f aca="false">IF(BB67=1,IF(HU67=1,JG67+JJ67,BC67-PW67)*(1+Slot4_Rate),0)</f>
        <v>0</v>
      </c>
      <c r="QZ67" s="20" t="n">
        <f aca="false">IF(AND(HU67=1,BB67=1),(JF67+JJ67)/F67,0)</f>
        <v>0</v>
      </c>
      <c r="RA67" s="20" t="n">
        <f aca="false">IF(B67=0,JF67+JJ67,0)</f>
        <v>0</v>
      </c>
      <c r="RB67" s="20" t="n">
        <f aca="false">IF(B67=0,IF(HU67=1,JH67,JI67),0)</f>
        <v>0</v>
      </c>
      <c r="RC67" s="20" t="n">
        <f aca="false">IF(BL67=1,IF(HU67=1,JO67+JR67,BM67-PU67)*(1+Slot5_Rate),0)</f>
        <v>0</v>
      </c>
      <c r="RD67" s="20" t="n">
        <f aca="false">IF(AND(HU67=1,BL67=1),(JN67+JR67)/F67,0)</f>
        <v>0</v>
      </c>
      <c r="RE67" s="20" t="n">
        <f aca="false">IF(B67=0,JN67+JR67,0)</f>
        <v>0</v>
      </c>
      <c r="RF67" s="20" t="n">
        <f aca="false">IF(B67=0,IF(HU67=1,JP67,JQ67),0)</f>
        <v>0</v>
      </c>
      <c r="RG67" s="20" t="n">
        <f aca="false">IF(BV67=1,IF(HU67=1,JW67+JZ67,BW67-PS67)*(1+Slot6_Rate),0)</f>
        <v>0</v>
      </c>
      <c r="RH67" s="20" t="n">
        <f aca="false">IF(AND(HU67=1,BV67=1),(JV67+JZ67)/F67,0)</f>
        <v>0</v>
      </c>
      <c r="RI67" s="20" t="n">
        <f aca="false">IF(B67=0,JV67+JZ67,0)</f>
        <v>0</v>
      </c>
      <c r="RJ67" s="20" t="n">
        <f aca="false">IF(B67=0,IF(HU67=1,JX67,JY67),0)</f>
        <v>0</v>
      </c>
      <c r="RK67" s="20" t="n">
        <f aca="false">IF(CF67=1,IF(HU67=1,KE67+KH67,CG67-PQ67)*(1+Slot7_Rate),0)</f>
        <v>0</v>
      </c>
      <c r="RL67" s="20" t="n">
        <f aca="false">IF(AND(HU67=1,CF67=1),(KD67+KH67)/F67,0)</f>
        <v>0</v>
      </c>
      <c r="RM67" s="20" t="n">
        <f aca="false">IF(B67=0,KD67+KH67,0)</f>
        <v>0</v>
      </c>
      <c r="RN67" s="20" t="n">
        <f aca="false">IF(B67=0,IF(HU67=1,KF67,KG67),0)</f>
        <v>0</v>
      </c>
      <c r="RO67" s="20" t="n">
        <f aca="false">IF(CP67=1,IF(HU67=1,KM67+KP67,CQ67-PO67)*(1+Slot8_Rate),0)</f>
        <v>0</v>
      </c>
      <c r="RP67" s="20" t="n">
        <f aca="false">IF(AND(HU67=1,CP67=1),(KL67+KP67)/F67,0)</f>
        <v>0</v>
      </c>
      <c r="RQ67" s="20" t="n">
        <f aca="false">IF(B67=0,KL67+KP67,0)</f>
        <v>0</v>
      </c>
      <c r="RR67" s="20" t="n">
        <f aca="false">IF(B67=0,IF(HU67=1,KN67,KO67),0)</f>
        <v>0</v>
      </c>
      <c r="RS67" s="20" t="n">
        <f aca="false">IF(CZ67=1,IF(HU67=1,KU67+KX67,DA67-PM67)*(1+Slot9_Rate),0)</f>
        <v>0</v>
      </c>
      <c r="RT67" s="20" t="n">
        <f aca="false">IF(AND(HU67=1,CZ67=1),(KT67+KX67)/F67,0)</f>
        <v>0</v>
      </c>
      <c r="RU67" s="20" t="n">
        <f aca="false">IF(B67=0,KT67+KX67,0)</f>
        <v>0</v>
      </c>
      <c r="RV67" s="20" t="n">
        <f aca="false">IF(B67=0,IF(HU67=1,KV67,KW67),0)</f>
        <v>0</v>
      </c>
      <c r="RW67" s="20" t="n">
        <f aca="false">IF(DJ67=1,IF(HU67=1,LC67+LF67,DK67-PK67)*(1+Slot10_Rate),0)</f>
        <v>0</v>
      </c>
      <c r="RX67" s="20" t="n">
        <f aca="false">IF(AND(HU67=1,DJ67=1),(LB67+LF67)/F67,0)</f>
        <v>0</v>
      </c>
      <c r="RY67" s="20" t="n">
        <f aca="false">IF(B67=0,LB67+LF67,0)</f>
        <v>0</v>
      </c>
      <c r="RZ67" s="20" t="n">
        <f aca="false">IF(B67=0,IF(HU67=1,LD67,LE67),0)</f>
        <v>0</v>
      </c>
      <c r="SA67" s="20" t="n">
        <f aca="false">IF(DT67=1,IF(HU67=1,LK67+LN67,DU67-PI67)*(1+Slot11_Rate),0)</f>
        <v>0</v>
      </c>
      <c r="SB67" s="20" t="n">
        <f aca="false">IF(AND(HU67=1,DT67=1),(LJ67+LN67)/F67,0)</f>
        <v>0</v>
      </c>
      <c r="SC67" s="20" t="n">
        <f aca="false">IF(B67=0,LJ67+LN67,0)</f>
        <v>0</v>
      </c>
      <c r="SD67" s="20" t="n">
        <f aca="false">IF(B67=0,IF(HU67=1,LL67,LM67),0)</f>
        <v>0</v>
      </c>
      <c r="SE67" s="20" t="n">
        <f aca="false">IF(ED67=1,IF(HU67=1,LS67+LV67,EE67-PG67)*(1+Slot12_Rate),0)</f>
        <v>0</v>
      </c>
      <c r="SF67" s="20" t="n">
        <f aca="false">IF(AND(HU67=1,ED67=1),(LR67+LV67)/F67,0)</f>
        <v>0</v>
      </c>
      <c r="SG67" s="20" t="n">
        <f aca="false">IF(B67=0,LR67+LV67,0)</f>
        <v>0</v>
      </c>
      <c r="SH67" s="20" t="n">
        <f aca="false">IF(B67=0,IF(HU67=1,LT67,LU67),0)</f>
        <v>0</v>
      </c>
      <c r="SI67" s="20" t="n">
        <f aca="false">IF(EN67=1,IF(HU67=1,MA67+MD67,EO67-PE67)*(1+Slot13_Rate),0)</f>
        <v>0</v>
      </c>
      <c r="SJ67" s="20" t="n">
        <f aca="false">IF(AND(HU67=1,EN67=1),(LZ67+MD67)/F67,0)</f>
        <v>0</v>
      </c>
      <c r="SK67" s="20" t="n">
        <f aca="false">IF(B67=0,LZ67+MD67,0)</f>
        <v>0</v>
      </c>
      <c r="SL67" s="20" t="n">
        <f aca="false">IF(B67=0,IF(HU67=1,MB67,MC67),0)</f>
        <v>0</v>
      </c>
      <c r="SM67" s="20" t="n">
        <f aca="false">IF(EX67=1,IF(HU67=1,MI67+ML67,EY67-PC67)*(1+Slot14_Rate),0)</f>
        <v>0</v>
      </c>
      <c r="SN67" s="20" t="n">
        <f aca="false">IF(AND(HU67=1,EX67=1),(MH67+ML67)/F67,0)</f>
        <v>0</v>
      </c>
      <c r="SO67" s="20" t="n">
        <f aca="false">IF(B67=0,MH67+ML67,0)</f>
        <v>0</v>
      </c>
      <c r="SP67" s="20" t="n">
        <f aca="false">IF(B67=0,IF(HU67=1,MJ67,MK67),0)</f>
        <v>0</v>
      </c>
      <c r="SQ67" s="20" t="n">
        <f aca="false">IF(FH67=1,IF(HU67=1,MQ67+MT67,FI67-PA67)*(1+Slot15_Rate),0)</f>
        <v>0</v>
      </c>
      <c r="SR67" s="20" t="n">
        <f aca="false">IF(AND(HU67=1,FH67=1),(MP67+MT67)/F67,0)</f>
        <v>0</v>
      </c>
      <c r="SS67" s="20" t="n">
        <f aca="false">IF(B67=0,MP67+MT67,0)</f>
        <v>0</v>
      </c>
      <c r="ST67" s="20" t="n">
        <f aca="false">IF(B67=0,IF(HU67=1,MR67,MS67),0)</f>
        <v>0</v>
      </c>
      <c r="SU67" s="20" t="n">
        <f aca="false">IF(FR67=1,IF(HU67=1,MY67+NB67,FS67-OY67)*(1+Slot16_Rate),0)</f>
        <v>0</v>
      </c>
      <c r="SV67" s="20" t="n">
        <f aca="false">IF(AND(HU67=1,FR67=1),(MX67+NB67)/F67,0)</f>
        <v>0</v>
      </c>
      <c r="SW67" s="20" t="n">
        <f aca="false">IF(B67=0,MX67+NB67,0)</f>
        <v>0</v>
      </c>
      <c r="SX67" s="20" t="n">
        <f aca="false">IF(B67=0,IF(HU67=1,MZ67,NA67),0)</f>
        <v>0</v>
      </c>
      <c r="SY67" s="20" t="n">
        <f aca="false">IF(GB67=1,IF(HU67=1,NG67+NJ67,GC67-OW67)*(1+Slot17_Rate),0)</f>
        <v>0</v>
      </c>
      <c r="SZ67" s="20" t="n">
        <f aca="false">IF(AND(HU67=1,GB67=1),(NF67+NJ67)/F67,0)</f>
        <v>0</v>
      </c>
      <c r="TA67" s="20" t="n">
        <f aca="false">IF(B67=0,NF67+NJ67,0)</f>
        <v>0</v>
      </c>
      <c r="TB67" s="20" t="n">
        <f aca="false">IF(B67=0,IF(HU67=1,NH67,NI67),0)</f>
        <v>0</v>
      </c>
      <c r="TC67" s="20" t="n">
        <f aca="false">IF(GL67=1,IF(HU67=1,NO67+NR67,GM67-OU67)*(1+Slot18_Rate),0)</f>
        <v>0</v>
      </c>
      <c r="TD67" s="20" t="n">
        <f aca="false">IF(AND(HU67=1,GL67=1),(NN67+NR67)/F67,0)</f>
        <v>0</v>
      </c>
      <c r="TE67" s="20" t="n">
        <f aca="false">IF(B67=0,NN67+NR67,0)</f>
        <v>0</v>
      </c>
      <c r="TF67" s="20" t="n">
        <f aca="false">IF(B67=0,IF(HU67=1,NP67,NQ67),0)</f>
        <v>0</v>
      </c>
      <c r="TG67" s="20" t="n">
        <f aca="false">IF(GV67=1,IF(HU67=1,NW67+NZ67,GW67-OS67)*(1+Slot19_Rate),0)</f>
        <v>0</v>
      </c>
      <c r="TH67" s="20" t="n">
        <f aca="false">IF(AND(HU67=1,GV67=1),(NV67+NZ67)/F67,0)</f>
        <v>0</v>
      </c>
      <c r="TI67" s="20" t="n">
        <f aca="false">IF(B67=0,NV67+NZ67,0)</f>
        <v>0</v>
      </c>
      <c r="TJ67" s="20" t="n">
        <f aca="false">IF(B67=0,IF(HU67=1,NX67,NY67),0)</f>
        <v>0</v>
      </c>
      <c r="TK67" s="20" t="n">
        <f aca="false">IF(HF67=1,IF(HU67=1,OE67+OH67,HG67-OQ67)*(1+Slot20_Rate),0)</f>
        <v>0</v>
      </c>
      <c r="TL67" s="20" t="n">
        <f aca="false">IF(AND(HU67=1,HF67=1),(OD67+OH67)/F67,0)</f>
        <v>0</v>
      </c>
      <c r="TM67" s="20" t="n">
        <f aca="false">IF(B67=0,OD67+OH67,0)</f>
        <v>0</v>
      </c>
      <c r="TN67" s="20" t="n">
        <f aca="false">IF(B67=0,IF(HU67=1,OF67,OG67),0)</f>
        <v>0</v>
      </c>
      <c r="TO67" s="20" t="n">
        <f aca="false">QK67+QL67+QM67+QQ67+QU67+QY67+RC67+RG67+RK67+RO67+RS67+RW67+SA67+SE67+SI67+SM67+SQ67+SU67+SY67+TC67+TG67+TK67</f>
        <v>0</v>
      </c>
      <c r="TP67" s="20" t="n">
        <f aca="false">QE67+HP67</f>
        <v>61971.3375234016</v>
      </c>
      <c r="TQ67" s="20" t="n">
        <f aca="false">I67+S67</f>
        <v>153758.109493987</v>
      </c>
      <c r="TR67" s="20" t="n">
        <f aca="false">1-G67</f>
        <v>1</v>
      </c>
      <c r="TS67" s="20" t="n">
        <f aca="false">IF(AND(RG_Exists=1,G67=0,C67=1),I67,0)</f>
        <v>0</v>
      </c>
      <c r="TT67" s="20" t="n">
        <f aca="false">IF(AND(RG_Exists=1,G67=0,C67=1),I67-MIN(QE67,I67),0)</f>
        <v>0</v>
      </c>
      <c r="TU67" s="20" t="n">
        <f aca="false">'Plan pay &amp; tax'!AD293</f>
        <v>0</v>
      </c>
      <c r="TV67" s="20" t="n">
        <f aca="false">IF(AND(C67=1,QE67&gt;MAX(PR_Short1,TQ67*PR_Short2)),1,0)</f>
        <v>0</v>
      </c>
      <c r="TW67" s="20" t="n">
        <f aca="false">MIN(H67,I67+S67)</f>
        <v>91786.7719705854</v>
      </c>
      <c r="TX67" s="20" t="n">
        <f aca="false">QF67+MAX(0,HQ67-HP67)</f>
        <v>0</v>
      </c>
      <c r="TY67" s="20" t="n">
        <f aca="false">QE67+HP67</f>
        <v>61971.3375234016</v>
      </c>
      <c r="TZ67" s="20" t="n">
        <f aca="false">IF(AND(C67=1,TY67&gt;PR_MinShort),1,0)</f>
        <v>0</v>
      </c>
      <c r="UA67" s="20" t="n">
        <f aca="false">IF(AND(C67=1,TZ67=0,TX67&gt;PR_MinShort),1,0)</f>
        <v>0</v>
      </c>
      <c r="UB67" s="20" t="n">
        <f aca="false">IF(AND(C67=1,QE67&gt;PR_MinShort),1,0)</f>
        <v>0</v>
      </c>
      <c r="UC67" s="20" t="n">
        <f aca="false">IF(AND(C67=1,QF67&gt;1,UJ67=0),1,0)</f>
        <v>0</v>
      </c>
      <c r="UD67" s="20" t="str">
        <f aca="false">IF(C67=0,"",IF(UJ67=1,"Gap to plan for: short "&amp;"€"&amp;TEXT(ROUND(TP67,0),"#,##0"),IF(QF67&gt;1,"Using savings","Comfortable")))</f>
        <v/>
      </c>
      <c r="UE67" s="20" t="n">
        <f aca="false">IF(AND(INT(D67/10)*10=90,B67&gt;0),80,INT(D67/10)*10)</f>
        <v>80</v>
      </c>
      <c r="UF67" s="20" t="n">
        <f aca="false">IF(B67=0,1,IF(UE67&lt;&gt;UE66,UF66+1,UF66))</f>
        <v>6</v>
      </c>
      <c r="UG67" s="20" t="n">
        <f aca="false">IF(AND(C67=1,G67=1,QE67&gt;MAX(PR_Short1,TQ67*PR_Short2)),1,0)</f>
        <v>0</v>
      </c>
      <c r="UH67" s="20" t="n">
        <f aca="false">TR67*TV67</f>
        <v>0</v>
      </c>
      <c r="UI67" s="20" t="n">
        <f aca="false">IF(AND(V67=1,Slot1_PctLow=1),1,0)+IF(AND(AG67=1,Slot2_PctLow=1),1,0)+IF(AND(AQ67=1,Slot3_PctLow=1),1,0)+IF(AND(BA67=1,Slot4_PctLow=1),1,0)+IF(AND(BK67=1,Slot5_PctLow=1),1,0)+IF(AND(BU67=1,Slot6_PctLow=1),1,0)+IF(AND(CE67=1,Slot7_PctLow=1),1,0)+IF(AND(CO67=1,Slot8_PctLow=1),1,0)+IF(AND(CY67=1,Slot9_PctLow=1),1,0)+IF(AND(DI67=1,Slot10_PctLow=1),1,0)+IF(AND(DS67=1,Slot11_PctLow=1),1,0)+IF(AND(EC67=1,Slot12_PctLow=1),1,0)+IF(AND(EM67=1,Slot13_PctLow=1),1,0)+IF(AND(EW67=1,Slot14_PctLow=1),1,0)+IF(AND(FG67=1,Slot15_PctLow=1),1,0)+IF(AND(FQ67=1,Slot16_PctLow=1),1,0)+IF(AND(GA67=1,Slot17_PctLow=1),1,0)+IF(AND(GK67=1,Slot18_PctLow=1),1,0)+IF(AND(GU67=1,Slot19_PctLow=1),1,0)+IF(AND(HE67=1,Slot20_PctLow=1),1,0)</f>
        <v>0</v>
      </c>
      <c r="UJ67" s="20" t="n">
        <f aca="false">IF(C67=1,IF(OR(TV67=1,UI67&gt;0),1,0),0)</f>
        <v>0</v>
      </c>
      <c r="UK67" s="20" t="n">
        <f aca="false">Z67+AK67+AU67+BE67+BO67+BY67+CI67+CS67+DC67+DM67+DW67+EG67+EQ67+FA67+FK67+FU67+GE67+GO67+GY67+HI67+OM67</f>
        <v>0</v>
      </c>
      <c r="UL67" s="20" t="n">
        <f aca="false">V67*IF(Slot1_SpendLike=1,X67-Y67,IF(Slot1_PotFree=1,X67,0))+AG67*IF(Slot2_SpendLike=1,AI67-AJ67,IF(Slot2_PotFree=1,AI67,0))+AQ67*IF(Slot3_SpendLike=1,AS67-AT67,IF(Slot3_PotFree=1,AS67,0))+BA67*IF(Slot4_SpendLike=1,BC67-BD67,IF(Slot4_PotFree=1,BC67,0))+BK67*IF(Slot5_SpendLike=1,BM67-BN67,IF(Slot5_PotFree=1,BM67,0))+BU67*IF(Slot6_SpendLike=1,BW67-BX67,IF(Slot6_PotFree=1,BW67,0))+CE67*IF(Slot7_SpendLike=1,CG67-CH67,IF(Slot7_PotFree=1,CG67,0))+CO67*IF(Slot8_SpendLike=1,CQ67-CR67,IF(Slot8_PotFree=1,CQ67,0))+CY67*IF(Slot9_SpendLike=1,DA67-DB67,IF(Slot9_PotFree=1,DA67,0))+DI67*IF(Slot10_SpendLike=1,DK67-DL67,IF(Slot10_PotFree=1,DK67,0))+DS67*IF(Slot11_SpendLike=1,DU67-DV67,IF(Slot11_PotFree=1,DU67,0))+EC67*IF(Slot12_SpendLike=1,EE67-EF67,IF(Slot12_PotFree=1,EE67,0))+EM67*IF(Slot13_SpendLike=1,EO67-EP67,IF(Slot13_PotFree=1,EO67,0))+EW67*IF(Slot14_SpendLike=1,EY67-EZ67,IF(Slot14_PotFree=1,EY67,0))+FG67*IF(Slot15_SpendLike=1,FI67-FJ67,IF(Slot15_PotFree=1,FI67,0))+FQ67*IF(Slot16_SpendLike=1,FS67-FT67,IF(Slot16_PotFree=1,FS67,0))+GA67*IF(Slot17_SpendLike=1,GC67-GD67,IF(Slot17_PotFree=1,GC67,0))+GK67*IF(Slot18_SpendLike=1,GM67-GN67,IF(Slot18_PotFree=1,GM67,0))+GU67*IF(Slot19_SpendLike=1,GW67-GX67,IF(Slot19_PotFree=1,GW67,0))+HE67*IF(Slot20_SpendLike=1,HG67-HH67,IF(Slot20_PotFree=1,HG67,0))</f>
        <v>0</v>
      </c>
      <c r="UM67" s="20" t="n">
        <f aca="false">QG67-T67+UK67-UL67</f>
        <v>0</v>
      </c>
      <c r="UN67" s="20" t="n">
        <f aca="false">IF(OR(UN66=1,AND(In_homeUse="Yes, I'd downsize",In_downAge&gt;0,D67=In_downAge,OR(In_home="Own outright",In_home="Own with mortgage"),In_homeValue&gt;0)),1,0)</f>
        <v>0</v>
      </c>
    </row>
    <row r="68" customFormat="false" ht="15" hidden="false" customHeight="true" outlineLevel="0" collapsed="false">
      <c r="B68" s="20" t="n">
        <v>60</v>
      </c>
      <c r="C68" s="20" t="n">
        <f aca="false">IF(B68&lt;=F_N,1,0)</f>
        <v>0</v>
      </c>
      <c r="D68" s="20" t="n">
        <f aca="false">'Plan pay &amp; tax'!C294</f>
        <v>98</v>
      </c>
      <c r="E68" s="20" t="str">
        <f aca="false">IF($C68=1,"Income tax "&amp;TEXT(N('Plan pay &amp; tax'!BK294),"#,##0")&amp;"; USC "&amp;TEXT(N('Plan pay &amp; tax'!BM294)+N('Plan pay &amp; tax'!BO294),"#,##0")&amp;"; PRSI "&amp;TEXT(N('Plan pay &amp; tax'!BP294)+N('Plan pay &amp; tax'!BQ294),"#,##0")&amp;IF(N('Plan holdings'!BO68)&gt;=0.5,"; DIRT "&amp;TEXT(('Plan holdings'!BO68)/$F68,"#,##0")&amp;" (already taken from the interest earned)","")&amp;IF(N('Plan holdings'!BP68)&gt;=0.5,"; exit tax at an 8-year anniversary "&amp;TEXT(('Plan holdings'!BP68)/$F68,"#,##0"),"")&amp;IF(N('Plan holdings'!BN68)&gt;=0.5,"; tax on assets sold (exit tax or capital gains tax) "&amp;TEXT(('Plan holdings'!BN68)/$F68,"#,##0"),"")&amp;IF(N('Plan pay &amp; tax'!X294)-N('Plan pay &amp; tax'!Y294)&gt;=0.5,"; tax on the pension lump sum "&amp;TEXT(('Plan pay &amp; tax'!X294-'Plan pay &amp; tax'!Y294)/$F68,"#,##0"),"")&amp;IF(N('Plan pay &amp; tax'!V294)&gt;=0.5,"; chargeable excess tax on the pension "&amp;TEXT(('Plan pay &amp; tax'!V294)/$F68,"#,##0"),"")&amp;".","")</f>
        <v/>
      </c>
      <c r="F68" s="50" t="n">
        <f aca="false">'Plan pay &amp; tax'!E294</f>
        <v>3.28103078836541</v>
      </c>
      <c r="G68" s="20" t="n">
        <f aca="false">'Plan pay &amp; tax'!G294</f>
        <v>0</v>
      </c>
      <c r="H68" s="20" t="n">
        <f aca="false">'Plan pay &amp; tax'!BT294-'Plan pay &amp; tax'!BS294-'Plan pay &amp; tax'!R294</f>
        <v>93622.5074099972</v>
      </c>
      <c r="I68" s="20" t="n">
        <f aca="false">IF(G68=1,F_CostsM*12,IF(RG_Exists=1,RG_Amount,F_CostsM*12*AS_RetireSpend))*F68+F_OneOffY*F68</f>
        <v>156833.271683867</v>
      </c>
      <c r="J68" s="20" t="n">
        <f aca="false">IF(UN68=1,0,HR67)</f>
        <v>0</v>
      </c>
      <c r="K68" s="20" t="n">
        <f aca="false">IF(J68&gt;1,'Plan debt months'!AC68,0)</f>
        <v>0</v>
      </c>
      <c r="L68" s="20" t="n">
        <f aca="false">IF(J68&gt;1,'Plan debt months'!AB68,J68)</f>
        <v>0</v>
      </c>
      <c r="M68" s="20" t="n">
        <f aca="false">O67</f>
        <v>0</v>
      </c>
      <c r="N68" s="20" t="n">
        <f aca="false">IF(M68&gt;1,'Plan debt months'!BD68,0)</f>
        <v>0</v>
      </c>
      <c r="O68" s="20" t="n">
        <f aca="false">IF(M68&gt;1,'Plan debt months'!BC68,M68)</f>
        <v>0</v>
      </c>
      <c r="P68" s="20" t="n">
        <f aca="false">R67</f>
        <v>0</v>
      </c>
      <c r="Q68" s="20" t="n">
        <f aca="false">IF(P68&gt;1,'Plan debt months'!CE68,0)</f>
        <v>0</v>
      </c>
      <c r="R68" s="20" t="n">
        <f aca="false">IF(P68&gt;1,'Plan debt months'!CD68,P68)</f>
        <v>0</v>
      </c>
      <c r="S68" s="20" t="n">
        <f aca="false">K68+N68+Q68</f>
        <v>0</v>
      </c>
      <c r="T68" s="57" t="n">
        <f aca="false">'Plan holdings'!Y68</f>
        <v>0</v>
      </c>
      <c r="U68" s="57" t="n">
        <f aca="false">'Plan holdings'!BM67</f>
        <v>0</v>
      </c>
      <c r="V68" s="20" t="n">
        <f aca="false">IF(AND(Slot1_On=1,D68=Slot1_Age),1,0)</f>
        <v>0</v>
      </c>
      <c r="W68" s="20" t="n">
        <f aca="false">IF(AND(Slot1_On=1,Slot1_Age&gt;D68),1,0)</f>
        <v>0</v>
      </c>
      <c r="X68" s="20" t="n">
        <f aca="false">QM67</f>
        <v>0</v>
      </c>
      <c r="Y68" s="20" t="n">
        <f aca="false">V68*MIN(Slot1_Cost,X68)</f>
        <v>0</v>
      </c>
      <c r="Z68" s="20" t="n">
        <f aca="false">V68*Slot1_SpendLike*MIN(Slot1_Cost-Y68,T68)</f>
        <v>0</v>
      </c>
      <c r="AA68" s="20" t="n">
        <f aca="false">Y68+Z68</f>
        <v>0</v>
      </c>
      <c r="AB68" s="20" t="n">
        <f aca="false">T68-Z68+V68*IF(Slot1_SpendLike=1,X68-Y68,IF(Slot1_PotFree=1,X68,0))</f>
        <v>0</v>
      </c>
      <c r="AC68" s="20" t="n">
        <f aca="false">AF68+V68*Slot1_BufPot*X68</f>
        <v>0</v>
      </c>
      <c r="AD68" s="20" t="n">
        <f aca="false">IF(AND(V68=1,Slot1_IsMfree=1),IF(AA68&gt;=Slot1_Cost-1,0,MAX(0,L68-AA68)),L68)</f>
        <v>0</v>
      </c>
      <c r="AE68" s="20" t="n">
        <f aca="false">V68*(Slot1_Cost-AA68)</f>
        <v>0</v>
      </c>
      <c r="AF68" s="20" t="n">
        <f aca="false">QL67</f>
        <v>0</v>
      </c>
      <c r="AG68" s="20" t="n">
        <f aca="false">IF(AND(Slot2_On=1,D68=Slot2_Age),1,0)</f>
        <v>0</v>
      </c>
      <c r="AH68" s="20" t="n">
        <f aca="false">IF(AND(Slot2_On=1,Slot2_Age&gt;D68),1,0)</f>
        <v>0</v>
      </c>
      <c r="AI68" s="20" t="n">
        <f aca="false">QQ67</f>
        <v>0</v>
      </c>
      <c r="AJ68" s="20" t="n">
        <f aca="false">AG68*MIN(Slot2_Cost,AI68)</f>
        <v>0</v>
      </c>
      <c r="AK68" s="20" t="n">
        <f aca="false">AG68*Slot2_SpendLike*MIN(Slot2_Cost-AJ68,AB68)</f>
        <v>0</v>
      </c>
      <c r="AL68" s="20" t="n">
        <f aca="false">AJ68+AK68</f>
        <v>0</v>
      </c>
      <c r="AM68" s="20" t="n">
        <f aca="false">AB68-AK68+AG68*IF(Slot2_SpendLike=1,AI68-AJ68,IF(Slot2_PotFree=1,AI68,0))</f>
        <v>0</v>
      </c>
      <c r="AN68" s="20" t="n">
        <f aca="false">AC68+AG68*Slot2_BufPot*AI68</f>
        <v>0</v>
      </c>
      <c r="AO68" s="20" t="n">
        <f aca="false">IF(AND(AG68=1,Slot2_IsMfree=1),IF(AL68&gt;=Slot2_Cost-1,0,MAX(0,AD68-AL68)),AD68)</f>
        <v>0</v>
      </c>
      <c r="AP68" s="20" t="n">
        <f aca="false">AG68*(Slot2_Cost-AL68)</f>
        <v>0</v>
      </c>
      <c r="AQ68" s="20" t="n">
        <f aca="false">IF(AND(Slot3_On=1,D68=Slot3_Age),1,0)</f>
        <v>0</v>
      </c>
      <c r="AR68" s="20" t="n">
        <f aca="false">IF(AND(Slot3_On=1,Slot3_Age&gt;D68),1,0)</f>
        <v>0</v>
      </c>
      <c r="AS68" s="20" t="n">
        <f aca="false">QU67</f>
        <v>0</v>
      </c>
      <c r="AT68" s="20" t="n">
        <f aca="false">AQ68*MIN(Slot3_Cost,AS68)</f>
        <v>0</v>
      </c>
      <c r="AU68" s="20" t="n">
        <f aca="false">AQ68*Slot3_SpendLike*MIN(Slot3_Cost-AT68,AM68)</f>
        <v>0</v>
      </c>
      <c r="AV68" s="20" t="n">
        <f aca="false">AT68+AU68</f>
        <v>0</v>
      </c>
      <c r="AW68" s="20" t="n">
        <f aca="false">AM68-AU68+AQ68*IF(Slot3_SpendLike=1,AS68-AT68,IF(Slot3_PotFree=1,AS68,0))</f>
        <v>0</v>
      </c>
      <c r="AX68" s="20" t="n">
        <f aca="false">AN68+AQ68*Slot3_BufPot*AS68</f>
        <v>0</v>
      </c>
      <c r="AY68" s="20" t="n">
        <f aca="false">IF(AND(AQ68=1,Slot3_IsMfree=1),IF(AV68&gt;=Slot3_Cost-1,0,MAX(0,AO68-AV68)),AO68)</f>
        <v>0</v>
      </c>
      <c r="AZ68" s="20" t="n">
        <f aca="false">AQ68*(Slot3_Cost-AV68)</f>
        <v>0</v>
      </c>
      <c r="BA68" s="20" t="n">
        <f aca="false">IF(AND(Slot4_On=1,D68=Slot4_Age),1,0)</f>
        <v>0</v>
      </c>
      <c r="BB68" s="20" t="n">
        <f aca="false">IF(AND(Slot4_On=1,Slot4_Age&gt;D68),1,0)</f>
        <v>0</v>
      </c>
      <c r="BC68" s="20" t="n">
        <f aca="false">QY67</f>
        <v>0</v>
      </c>
      <c r="BD68" s="20" t="n">
        <f aca="false">BA68*MIN(Slot4_Cost,BC68)</f>
        <v>0</v>
      </c>
      <c r="BE68" s="20" t="n">
        <f aca="false">BA68*Slot4_SpendLike*MIN(Slot4_Cost-BD68,AW68)</f>
        <v>0</v>
      </c>
      <c r="BF68" s="20" t="n">
        <f aca="false">BD68+BE68</f>
        <v>0</v>
      </c>
      <c r="BG68" s="20" t="n">
        <f aca="false">AW68-BE68+BA68*IF(Slot4_SpendLike=1,BC68-BD68,IF(Slot4_PotFree=1,BC68,0))</f>
        <v>0</v>
      </c>
      <c r="BH68" s="20" t="n">
        <f aca="false">AX68+BA68*Slot4_BufPot*BC68</f>
        <v>0</v>
      </c>
      <c r="BI68" s="20" t="n">
        <f aca="false">IF(AND(BA68=1,Slot4_IsMfree=1),IF(BF68&gt;=Slot4_Cost-1,0,MAX(0,AY68-BF68)),AY68)</f>
        <v>0</v>
      </c>
      <c r="BJ68" s="20" t="n">
        <f aca="false">BA68*(Slot4_Cost-BF68)</f>
        <v>0</v>
      </c>
      <c r="BK68" s="20" t="n">
        <f aca="false">IF(AND(Slot5_On=1,D68=Slot5_Age),1,0)</f>
        <v>0</v>
      </c>
      <c r="BL68" s="20" t="n">
        <f aca="false">IF(AND(Slot5_On=1,Slot5_Age&gt;D68),1,0)</f>
        <v>0</v>
      </c>
      <c r="BM68" s="20" t="n">
        <f aca="false">RC67</f>
        <v>0</v>
      </c>
      <c r="BN68" s="20" t="n">
        <f aca="false">BK68*MIN(Slot5_Cost,BM68)</f>
        <v>0</v>
      </c>
      <c r="BO68" s="20" t="n">
        <f aca="false">BK68*Slot5_SpendLike*MIN(Slot5_Cost-BN68,BG68)</f>
        <v>0</v>
      </c>
      <c r="BP68" s="20" t="n">
        <f aca="false">BN68+BO68</f>
        <v>0</v>
      </c>
      <c r="BQ68" s="20" t="n">
        <f aca="false">BG68-BO68+BK68*IF(Slot5_SpendLike=1,BM68-BN68,IF(Slot5_PotFree=1,BM68,0))</f>
        <v>0</v>
      </c>
      <c r="BR68" s="20" t="n">
        <f aca="false">BH68+BK68*Slot5_BufPot*BM68</f>
        <v>0</v>
      </c>
      <c r="BS68" s="20" t="n">
        <f aca="false">IF(AND(BK68=1,Slot5_IsMfree=1),IF(BP68&gt;=Slot5_Cost-1,0,MAX(0,BI68-BP68)),BI68)</f>
        <v>0</v>
      </c>
      <c r="BT68" s="20" t="n">
        <f aca="false">BK68*(Slot5_Cost-BP68)</f>
        <v>0</v>
      </c>
      <c r="BU68" s="20" t="n">
        <f aca="false">IF(AND(Slot6_On=1,D68=Slot6_Age),1,0)</f>
        <v>0</v>
      </c>
      <c r="BV68" s="20" t="n">
        <f aca="false">IF(AND(Slot6_On=1,Slot6_Age&gt;D68),1,0)</f>
        <v>0</v>
      </c>
      <c r="BW68" s="20" t="n">
        <f aca="false">RG67</f>
        <v>0</v>
      </c>
      <c r="BX68" s="20" t="n">
        <f aca="false">BU68*MIN(Slot6_Cost,BW68)</f>
        <v>0</v>
      </c>
      <c r="BY68" s="20" t="n">
        <f aca="false">BU68*Slot6_SpendLike*MIN(Slot6_Cost-BX68,BQ68)</f>
        <v>0</v>
      </c>
      <c r="BZ68" s="20" t="n">
        <f aca="false">BX68+BY68</f>
        <v>0</v>
      </c>
      <c r="CA68" s="20" t="n">
        <f aca="false">BQ68-BY68+BU68*IF(Slot6_SpendLike=1,BW68-BX68,IF(Slot6_PotFree=1,BW68,0))</f>
        <v>0</v>
      </c>
      <c r="CB68" s="20" t="n">
        <f aca="false">BR68+BU68*Slot6_BufPot*BW68</f>
        <v>0</v>
      </c>
      <c r="CC68" s="20" t="n">
        <f aca="false">IF(AND(BU68=1,Slot6_IsMfree=1),IF(BZ68&gt;=Slot6_Cost-1,0,MAX(0,BS68-BZ68)),BS68)</f>
        <v>0</v>
      </c>
      <c r="CD68" s="20" t="n">
        <f aca="false">BU68*(Slot6_Cost-BZ68)</f>
        <v>0</v>
      </c>
      <c r="CE68" s="20" t="n">
        <f aca="false">IF(AND(Slot7_On=1,D68=Slot7_Age),1,0)</f>
        <v>0</v>
      </c>
      <c r="CF68" s="20" t="n">
        <f aca="false">IF(AND(Slot7_On=1,Slot7_Age&gt;D68),1,0)</f>
        <v>0</v>
      </c>
      <c r="CG68" s="20" t="n">
        <f aca="false">RK67</f>
        <v>0</v>
      </c>
      <c r="CH68" s="20" t="n">
        <f aca="false">CE68*MIN(Slot7_Cost,CG68)</f>
        <v>0</v>
      </c>
      <c r="CI68" s="20" t="n">
        <f aca="false">CE68*Slot7_SpendLike*MIN(Slot7_Cost-CH68,CA68)</f>
        <v>0</v>
      </c>
      <c r="CJ68" s="20" t="n">
        <f aca="false">CH68+CI68</f>
        <v>0</v>
      </c>
      <c r="CK68" s="20" t="n">
        <f aca="false">CA68-CI68+CE68*IF(Slot7_SpendLike=1,CG68-CH68,IF(Slot7_PotFree=1,CG68,0))</f>
        <v>0</v>
      </c>
      <c r="CL68" s="20" t="n">
        <f aca="false">CB68+CE68*Slot7_BufPot*CG68</f>
        <v>0</v>
      </c>
      <c r="CM68" s="20" t="n">
        <f aca="false">IF(AND(CE68=1,Slot7_IsMfree=1),IF(CJ68&gt;=Slot7_Cost-1,0,MAX(0,CC68-CJ68)),CC68)</f>
        <v>0</v>
      </c>
      <c r="CN68" s="20" t="n">
        <f aca="false">CE68*(Slot7_Cost-CJ68)</f>
        <v>0</v>
      </c>
      <c r="CO68" s="20" t="n">
        <f aca="false">IF(AND(Slot8_On=1,D68=Slot8_Age),1,0)</f>
        <v>0</v>
      </c>
      <c r="CP68" s="20" t="n">
        <f aca="false">IF(AND(Slot8_On=1,Slot8_Age&gt;D68),1,0)</f>
        <v>0</v>
      </c>
      <c r="CQ68" s="20" t="n">
        <f aca="false">RO67</f>
        <v>0</v>
      </c>
      <c r="CR68" s="20" t="n">
        <f aca="false">CO68*MIN(Slot8_Cost,CQ68)</f>
        <v>0</v>
      </c>
      <c r="CS68" s="20" t="n">
        <f aca="false">CO68*Slot8_SpendLike*MIN(Slot8_Cost-CR68,CK68)</f>
        <v>0</v>
      </c>
      <c r="CT68" s="20" t="n">
        <f aca="false">CR68+CS68</f>
        <v>0</v>
      </c>
      <c r="CU68" s="20" t="n">
        <f aca="false">CK68-CS68+CO68*IF(Slot8_SpendLike=1,CQ68-CR68,IF(Slot8_PotFree=1,CQ68,0))</f>
        <v>0</v>
      </c>
      <c r="CV68" s="20" t="n">
        <f aca="false">CL68+CO68*Slot8_BufPot*CQ68</f>
        <v>0</v>
      </c>
      <c r="CW68" s="20" t="n">
        <f aca="false">IF(AND(CO68=1,Slot8_IsMfree=1),IF(CT68&gt;=Slot8_Cost-1,0,MAX(0,CM68-CT68)),CM68)</f>
        <v>0</v>
      </c>
      <c r="CX68" s="20" t="n">
        <f aca="false">CO68*(Slot8_Cost-CT68)</f>
        <v>0</v>
      </c>
      <c r="CY68" s="20" t="n">
        <f aca="false">IF(AND(Slot9_On=1,D68=Slot9_Age),1,0)</f>
        <v>0</v>
      </c>
      <c r="CZ68" s="20" t="n">
        <f aca="false">IF(AND(Slot9_On=1,Slot9_Age&gt;D68),1,0)</f>
        <v>0</v>
      </c>
      <c r="DA68" s="20" t="n">
        <f aca="false">RS67</f>
        <v>0</v>
      </c>
      <c r="DB68" s="20" t="n">
        <f aca="false">CY68*MIN(Slot9_Cost,DA68)</f>
        <v>0</v>
      </c>
      <c r="DC68" s="20" t="n">
        <f aca="false">CY68*Slot9_SpendLike*MIN(Slot9_Cost-DB68,CU68)</f>
        <v>0</v>
      </c>
      <c r="DD68" s="20" t="n">
        <f aca="false">DB68+DC68</f>
        <v>0</v>
      </c>
      <c r="DE68" s="20" t="n">
        <f aca="false">CU68-DC68+CY68*IF(Slot9_SpendLike=1,DA68-DB68,IF(Slot9_PotFree=1,DA68,0))</f>
        <v>0</v>
      </c>
      <c r="DF68" s="20" t="n">
        <f aca="false">CV68+CY68*Slot9_BufPot*DA68</f>
        <v>0</v>
      </c>
      <c r="DG68" s="20" t="n">
        <f aca="false">IF(AND(CY68=1,Slot9_IsMfree=1),IF(DD68&gt;=Slot9_Cost-1,0,MAX(0,CW68-DD68)),CW68)</f>
        <v>0</v>
      </c>
      <c r="DH68" s="20" t="n">
        <f aca="false">CY68*(Slot9_Cost-DD68)</f>
        <v>0</v>
      </c>
      <c r="DI68" s="20" t="n">
        <f aca="false">IF(AND(Slot10_On=1,D68=Slot10_Age),1,0)</f>
        <v>0</v>
      </c>
      <c r="DJ68" s="20" t="n">
        <f aca="false">IF(AND(Slot10_On=1,Slot10_Age&gt;D68),1,0)</f>
        <v>0</v>
      </c>
      <c r="DK68" s="20" t="n">
        <f aca="false">RW67</f>
        <v>0</v>
      </c>
      <c r="DL68" s="20" t="n">
        <f aca="false">DI68*MIN(Slot10_Cost,DK68)</f>
        <v>0</v>
      </c>
      <c r="DM68" s="20" t="n">
        <f aca="false">DI68*Slot10_SpendLike*MIN(Slot10_Cost-DL68,DE68)</f>
        <v>0</v>
      </c>
      <c r="DN68" s="20" t="n">
        <f aca="false">DL68+DM68</f>
        <v>0</v>
      </c>
      <c r="DO68" s="20" t="n">
        <f aca="false">DE68-DM68+DI68*IF(Slot10_SpendLike=1,DK68-DL68,IF(Slot10_PotFree=1,DK68,0))</f>
        <v>0</v>
      </c>
      <c r="DP68" s="20" t="n">
        <f aca="false">DF68+DI68*Slot10_BufPot*DK68</f>
        <v>0</v>
      </c>
      <c r="DQ68" s="20" t="n">
        <f aca="false">IF(AND(DI68=1,Slot10_IsMfree=1),IF(DN68&gt;=Slot10_Cost-1,0,MAX(0,DG68-DN68)),DG68)</f>
        <v>0</v>
      </c>
      <c r="DR68" s="20" t="n">
        <f aca="false">DI68*(Slot10_Cost-DN68)</f>
        <v>0</v>
      </c>
      <c r="DS68" s="20" t="n">
        <f aca="false">IF(AND(Slot11_On=1,D68=Slot11_Age),1,0)</f>
        <v>0</v>
      </c>
      <c r="DT68" s="20" t="n">
        <f aca="false">IF(AND(Slot11_On=1,Slot11_Age&gt;D68),1,0)</f>
        <v>0</v>
      </c>
      <c r="DU68" s="20" t="n">
        <f aca="false">SA67</f>
        <v>0</v>
      </c>
      <c r="DV68" s="20" t="n">
        <f aca="false">DS68*MIN(Slot11_Cost,DU68)</f>
        <v>0</v>
      </c>
      <c r="DW68" s="20" t="n">
        <f aca="false">DS68*Slot11_SpendLike*MIN(Slot11_Cost-DV68,DO68)</f>
        <v>0</v>
      </c>
      <c r="DX68" s="20" t="n">
        <f aca="false">DV68+DW68</f>
        <v>0</v>
      </c>
      <c r="DY68" s="20" t="n">
        <f aca="false">DO68-DW68+DS68*IF(Slot11_SpendLike=1,DU68-DV68,IF(Slot11_PotFree=1,DU68,0))</f>
        <v>0</v>
      </c>
      <c r="DZ68" s="20" t="n">
        <f aca="false">DP68+DS68*Slot11_BufPot*DU68</f>
        <v>0</v>
      </c>
      <c r="EA68" s="20" t="n">
        <f aca="false">IF(AND(DS68=1,Slot11_IsMfree=1),IF(DX68&gt;=Slot11_Cost-1,0,MAX(0,DQ68-DX68)),DQ68)</f>
        <v>0</v>
      </c>
      <c r="EB68" s="20" t="n">
        <f aca="false">DS68*(Slot11_Cost-DX68)</f>
        <v>0</v>
      </c>
      <c r="EC68" s="20" t="n">
        <f aca="false">IF(AND(Slot12_On=1,D68=Slot12_Age),1,0)</f>
        <v>0</v>
      </c>
      <c r="ED68" s="20" t="n">
        <f aca="false">IF(AND(Slot12_On=1,Slot12_Age&gt;D68),1,0)</f>
        <v>0</v>
      </c>
      <c r="EE68" s="20" t="n">
        <f aca="false">SE67</f>
        <v>0</v>
      </c>
      <c r="EF68" s="20" t="n">
        <f aca="false">EC68*MIN(Slot12_Cost,EE68)</f>
        <v>0</v>
      </c>
      <c r="EG68" s="20" t="n">
        <f aca="false">EC68*Slot12_SpendLike*MIN(Slot12_Cost-EF68,DY68)</f>
        <v>0</v>
      </c>
      <c r="EH68" s="20" t="n">
        <f aca="false">EF68+EG68</f>
        <v>0</v>
      </c>
      <c r="EI68" s="20" t="n">
        <f aca="false">DY68-EG68+EC68*IF(Slot12_SpendLike=1,EE68-EF68,IF(Slot12_PotFree=1,EE68,0))</f>
        <v>0</v>
      </c>
      <c r="EJ68" s="20" t="n">
        <f aca="false">DZ68+EC68*Slot12_BufPot*EE68</f>
        <v>0</v>
      </c>
      <c r="EK68" s="20" t="n">
        <f aca="false">IF(AND(EC68=1,Slot12_IsMfree=1),IF(EH68&gt;=Slot12_Cost-1,0,MAX(0,EA68-EH68)),EA68)</f>
        <v>0</v>
      </c>
      <c r="EL68" s="20" t="n">
        <f aca="false">EC68*(Slot12_Cost-EH68)</f>
        <v>0</v>
      </c>
      <c r="EM68" s="20" t="n">
        <f aca="false">IF(AND(Slot13_On=1,D68=Slot13_Age),1,0)</f>
        <v>0</v>
      </c>
      <c r="EN68" s="20" t="n">
        <f aca="false">IF(AND(Slot13_On=1,Slot13_Age&gt;D68),1,0)</f>
        <v>0</v>
      </c>
      <c r="EO68" s="20" t="n">
        <f aca="false">SI67</f>
        <v>0</v>
      </c>
      <c r="EP68" s="20" t="n">
        <f aca="false">EM68*MIN(Slot13_Cost,EO68)</f>
        <v>0</v>
      </c>
      <c r="EQ68" s="20" t="n">
        <f aca="false">EM68*Slot13_SpendLike*MIN(Slot13_Cost-EP68,EI68)</f>
        <v>0</v>
      </c>
      <c r="ER68" s="20" t="n">
        <f aca="false">EP68+EQ68</f>
        <v>0</v>
      </c>
      <c r="ES68" s="20" t="n">
        <f aca="false">EI68-EQ68+EM68*IF(Slot13_SpendLike=1,EO68-EP68,IF(Slot13_PotFree=1,EO68,0))</f>
        <v>0</v>
      </c>
      <c r="ET68" s="20" t="n">
        <f aca="false">EJ68+EM68*Slot13_BufPot*EO68</f>
        <v>0</v>
      </c>
      <c r="EU68" s="20" t="n">
        <f aca="false">IF(AND(EM68=1,Slot13_IsMfree=1),IF(ER68&gt;=Slot13_Cost-1,0,MAX(0,EK68-ER68)),EK68)</f>
        <v>0</v>
      </c>
      <c r="EV68" s="20" t="n">
        <f aca="false">EM68*(Slot13_Cost-ER68)</f>
        <v>0</v>
      </c>
      <c r="EW68" s="20" t="n">
        <f aca="false">IF(AND(Slot14_On=1,D68=Slot14_Age),1,0)</f>
        <v>0</v>
      </c>
      <c r="EX68" s="20" t="n">
        <f aca="false">IF(AND(Slot14_On=1,Slot14_Age&gt;D68),1,0)</f>
        <v>0</v>
      </c>
      <c r="EY68" s="20" t="n">
        <f aca="false">SM67</f>
        <v>0</v>
      </c>
      <c r="EZ68" s="20" t="n">
        <f aca="false">EW68*MIN(Slot14_Cost,EY68)</f>
        <v>0</v>
      </c>
      <c r="FA68" s="20" t="n">
        <f aca="false">EW68*Slot14_SpendLike*MIN(Slot14_Cost-EZ68,ES68)</f>
        <v>0</v>
      </c>
      <c r="FB68" s="20" t="n">
        <f aca="false">EZ68+FA68</f>
        <v>0</v>
      </c>
      <c r="FC68" s="20" t="n">
        <f aca="false">ES68-FA68+EW68*IF(Slot14_SpendLike=1,EY68-EZ68,IF(Slot14_PotFree=1,EY68,0))</f>
        <v>0</v>
      </c>
      <c r="FD68" s="20" t="n">
        <f aca="false">ET68+EW68*Slot14_BufPot*EY68</f>
        <v>0</v>
      </c>
      <c r="FE68" s="20" t="n">
        <f aca="false">IF(AND(EW68=1,Slot14_IsMfree=1),IF(FB68&gt;=Slot14_Cost-1,0,MAX(0,EU68-FB68)),EU68)</f>
        <v>0</v>
      </c>
      <c r="FF68" s="20" t="n">
        <f aca="false">EW68*(Slot14_Cost-FB68)</f>
        <v>0</v>
      </c>
      <c r="FG68" s="20" t="n">
        <f aca="false">IF(AND(Slot15_On=1,D68=Slot15_Age),1,0)</f>
        <v>0</v>
      </c>
      <c r="FH68" s="20" t="n">
        <f aca="false">IF(AND(Slot15_On=1,Slot15_Age&gt;D68),1,0)</f>
        <v>0</v>
      </c>
      <c r="FI68" s="20" t="n">
        <f aca="false">SQ67</f>
        <v>0</v>
      </c>
      <c r="FJ68" s="20" t="n">
        <f aca="false">FG68*MIN(Slot15_Cost,FI68)</f>
        <v>0</v>
      </c>
      <c r="FK68" s="20" t="n">
        <f aca="false">FG68*Slot15_SpendLike*MIN(Slot15_Cost-FJ68,FC68)</f>
        <v>0</v>
      </c>
      <c r="FL68" s="20" t="n">
        <f aca="false">FJ68+FK68</f>
        <v>0</v>
      </c>
      <c r="FM68" s="20" t="n">
        <f aca="false">FC68-FK68+FG68*IF(Slot15_SpendLike=1,FI68-FJ68,IF(Slot15_PotFree=1,FI68,0))</f>
        <v>0</v>
      </c>
      <c r="FN68" s="20" t="n">
        <f aca="false">FD68+FG68*Slot15_BufPot*FI68</f>
        <v>0</v>
      </c>
      <c r="FO68" s="20" t="n">
        <f aca="false">IF(AND(FG68=1,Slot15_IsMfree=1),IF(FL68&gt;=Slot15_Cost-1,0,MAX(0,FE68-FL68)),FE68)</f>
        <v>0</v>
      </c>
      <c r="FP68" s="20" t="n">
        <f aca="false">FG68*(Slot15_Cost-FL68)</f>
        <v>0</v>
      </c>
      <c r="FQ68" s="20" t="n">
        <f aca="false">IF(AND(Slot16_On=1,D68=Slot16_Age),1,0)</f>
        <v>0</v>
      </c>
      <c r="FR68" s="20" t="n">
        <f aca="false">IF(AND(Slot16_On=1,Slot16_Age&gt;D68),1,0)</f>
        <v>0</v>
      </c>
      <c r="FS68" s="20" t="n">
        <f aca="false">SU67</f>
        <v>0</v>
      </c>
      <c r="FT68" s="20" t="n">
        <f aca="false">FQ68*MIN(Slot16_Cost,FS68)</f>
        <v>0</v>
      </c>
      <c r="FU68" s="20" t="n">
        <f aca="false">FQ68*Slot16_SpendLike*MIN(Slot16_Cost-FT68,FM68)</f>
        <v>0</v>
      </c>
      <c r="FV68" s="20" t="n">
        <f aca="false">FT68+FU68</f>
        <v>0</v>
      </c>
      <c r="FW68" s="20" t="n">
        <f aca="false">FM68-FU68+FQ68*IF(Slot16_SpendLike=1,FS68-FT68,IF(Slot16_PotFree=1,FS68,0))</f>
        <v>0</v>
      </c>
      <c r="FX68" s="20" t="n">
        <f aca="false">FN68+FQ68*Slot16_BufPot*FS68</f>
        <v>0</v>
      </c>
      <c r="FY68" s="20" t="n">
        <f aca="false">IF(AND(FQ68=1,Slot16_IsMfree=1),IF(FV68&gt;=Slot16_Cost-1,0,MAX(0,FO68-FV68)),FO68)</f>
        <v>0</v>
      </c>
      <c r="FZ68" s="20" t="n">
        <f aca="false">FQ68*(Slot16_Cost-FV68)</f>
        <v>0</v>
      </c>
      <c r="GA68" s="20" t="n">
        <f aca="false">IF(AND(Slot17_On=1,D68=Slot17_Age),1,0)</f>
        <v>0</v>
      </c>
      <c r="GB68" s="20" t="n">
        <f aca="false">IF(AND(Slot17_On=1,Slot17_Age&gt;D68),1,0)</f>
        <v>0</v>
      </c>
      <c r="GC68" s="20" t="n">
        <f aca="false">SY67</f>
        <v>0</v>
      </c>
      <c r="GD68" s="20" t="n">
        <f aca="false">GA68*MIN(Slot17_Cost,GC68)</f>
        <v>0</v>
      </c>
      <c r="GE68" s="20" t="n">
        <f aca="false">GA68*Slot17_SpendLike*MIN(Slot17_Cost-GD68,FW68)</f>
        <v>0</v>
      </c>
      <c r="GF68" s="20" t="n">
        <f aca="false">GD68+GE68</f>
        <v>0</v>
      </c>
      <c r="GG68" s="20" t="n">
        <f aca="false">FW68-GE68+GA68*IF(Slot17_SpendLike=1,GC68-GD68,IF(Slot17_PotFree=1,GC68,0))</f>
        <v>0</v>
      </c>
      <c r="GH68" s="20" t="n">
        <f aca="false">FX68+GA68*Slot17_BufPot*GC68</f>
        <v>0</v>
      </c>
      <c r="GI68" s="20" t="n">
        <f aca="false">IF(AND(GA68=1,Slot17_IsMfree=1),IF(GF68&gt;=Slot17_Cost-1,0,MAX(0,FY68-GF68)),FY68)</f>
        <v>0</v>
      </c>
      <c r="GJ68" s="20" t="n">
        <f aca="false">GA68*(Slot17_Cost-GF68)</f>
        <v>0</v>
      </c>
      <c r="GK68" s="20" t="n">
        <f aca="false">IF(AND(Slot18_On=1,D68=Slot18_Age),1,0)</f>
        <v>0</v>
      </c>
      <c r="GL68" s="20" t="n">
        <f aca="false">IF(AND(Slot18_On=1,Slot18_Age&gt;D68),1,0)</f>
        <v>0</v>
      </c>
      <c r="GM68" s="20" t="n">
        <f aca="false">TC67</f>
        <v>0</v>
      </c>
      <c r="GN68" s="20" t="n">
        <f aca="false">GK68*MIN(Slot18_Cost,GM68)</f>
        <v>0</v>
      </c>
      <c r="GO68" s="20" t="n">
        <f aca="false">GK68*Slot18_SpendLike*MIN(Slot18_Cost-GN68,GG68)</f>
        <v>0</v>
      </c>
      <c r="GP68" s="20" t="n">
        <f aca="false">GN68+GO68</f>
        <v>0</v>
      </c>
      <c r="GQ68" s="20" t="n">
        <f aca="false">GG68-GO68+GK68*IF(Slot18_SpendLike=1,GM68-GN68,IF(Slot18_PotFree=1,GM68,0))</f>
        <v>0</v>
      </c>
      <c r="GR68" s="20" t="n">
        <f aca="false">GH68+GK68*Slot18_BufPot*GM68</f>
        <v>0</v>
      </c>
      <c r="GS68" s="20" t="n">
        <f aca="false">IF(AND(GK68=1,Slot18_IsMfree=1),IF(GP68&gt;=Slot18_Cost-1,0,MAX(0,GI68-GP68)),GI68)</f>
        <v>0</v>
      </c>
      <c r="GT68" s="20" t="n">
        <f aca="false">GK68*(Slot18_Cost-GP68)</f>
        <v>0</v>
      </c>
      <c r="GU68" s="20" t="n">
        <f aca="false">IF(AND(Slot19_On=1,D68=Slot19_Age),1,0)</f>
        <v>0</v>
      </c>
      <c r="GV68" s="20" t="n">
        <f aca="false">IF(AND(Slot19_On=1,Slot19_Age&gt;D68),1,0)</f>
        <v>0</v>
      </c>
      <c r="GW68" s="20" t="n">
        <f aca="false">TG67</f>
        <v>0</v>
      </c>
      <c r="GX68" s="20" t="n">
        <f aca="false">GU68*MIN(Slot19_Cost,GW68)</f>
        <v>0</v>
      </c>
      <c r="GY68" s="20" t="n">
        <f aca="false">GU68*Slot19_SpendLike*MIN(Slot19_Cost-GX68,GQ68)</f>
        <v>0</v>
      </c>
      <c r="GZ68" s="20" t="n">
        <f aca="false">GX68+GY68</f>
        <v>0</v>
      </c>
      <c r="HA68" s="20" t="n">
        <f aca="false">GQ68-GY68+GU68*IF(Slot19_SpendLike=1,GW68-GX68,IF(Slot19_PotFree=1,GW68,0))</f>
        <v>0</v>
      </c>
      <c r="HB68" s="20" t="n">
        <f aca="false">GR68+GU68*Slot19_BufPot*GW68</f>
        <v>0</v>
      </c>
      <c r="HC68" s="20" t="n">
        <f aca="false">IF(AND(GU68=1,Slot19_IsMfree=1),IF(GZ68&gt;=Slot19_Cost-1,0,MAX(0,GS68-GZ68)),GS68)</f>
        <v>0</v>
      </c>
      <c r="HD68" s="20" t="n">
        <f aca="false">GU68*(Slot19_Cost-GZ68)</f>
        <v>0</v>
      </c>
      <c r="HE68" s="20" t="n">
        <f aca="false">IF(AND(Slot20_On=1,D68=Slot20_Age),1,0)</f>
        <v>0</v>
      </c>
      <c r="HF68" s="20" t="n">
        <f aca="false">IF(AND(Slot20_On=1,Slot20_Age&gt;D68),1,0)</f>
        <v>0</v>
      </c>
      <c r="HG68" s="20" t="n">
        <f aca="false">TK67</f>
        <v>0</v>
      </c>
      <c r="HH68" s="20" t="n">
        <f aca="false">HE68*MIN(Slot20_Cost,HG68)</f>
        <v>0</v>
      </c>
      <c r="HI68" s="20" t="n">
        <f aca="false">HE68*Slot20_SpendLike*MIN(Slot20_Cost-HH68,HA68)</f>
        <v>0</v>
      </c>
      <c r="HJ68" s="20" t="n">
        <f aca="false">HH68+HI68</f>
        <v>0</v>
      </c>
      <c r="HK68" s="20" t="n">
        <f aca="false">HA68-HI68+HE68*IF(Slot20_SpendLike=1,HG68-HH68,IF(Slot20_PotFree=1,HG68,0))</f>
        <v>0</v>
      </c>
      <c r="HL68" s="20" t="n">
        <f aca="false">HB68+HE68*Slot20_BufPot*HG68</f>
        <v>0</v>
      </c>
      <c r="HM68" s="20" t="n">
        <f aca="false">IF(AND(HE68=1,Slot20_IsMfree=1),IF(HJ68&gt;=Slot20_Cost-1,0,MAX(0,HC68-HJ68)),HC68)</f>
        <v>0</v>
      </c>
      <c r="HN68" s="20" t="n">
        <f aca="false">HE68*(Slot20_Cost-HJ68)</f>
        <v>0</v>
      </c>
      <c r="HO68" s="20" t="n">
        <f aca="false">V68*Slot1_SpendLike*AA68+AG68*Slot2_SpendLike*AL68+AQ68*Slot3_SpendLike*AV68+BA68*Slot4_SpendLike*BF68+BK68*Slot5_SpendLike*BP68+BU68*Slot6_SpendLike*BZ68+CE68*Slot7_SpendLike*CJ68+CO68*Slot8_SpendLike*CT68+CY68*Slot9_SpendLike*DD68+DI68*Slot10_SpendLike*DN68+DS68*Slot11_SpendLike*DX68+EC68*Slot12_SpendLike*EH68+EM68*Slot13_SpendLike*ER68+EW68*Slot14_SpendLike*FB68+FG68*Slot15_SpendLike*FL68+FQ68*Slot16_SpendLike*FV68+GA68*Slot17_SpendLike*GF68+GK68*Slot18_SpendLike*GP68+GU68*Slot19_SpendLike*GZ68+HE68*Slot20_SpendLike*HJ68</f>
        <v>0</v>
      </c>
      <c r="HP68" s="20" t="n">
        <f aca="false">AE68+AP68+AZ68+BJ68+BT68+CD68+CN68+CX68+DH68+DR68+EB68+EL68+EV68+FF68+FP68+FZ68+GJ68+GT68+HD68+HN68</f>
        <v>0</v>
      </c>
      <c r="HQ68" s="20" t="n">
        <f aca="false">V68*Slot1_Cost+AG68*Slot2_Cost+AQ68*Slot3_Cost+BA68*Slot4_Cost+BK68*Slot5_Cost+BU68*Slot6_Cost+CE68*Slot7_Cost+CO68*Slot8_Cost+CY68*Slot9_Cost+DI68*Slot10_Cost+DS68*Slot11_Cost+EC68*Slot12_Cost+EM68*Slot13_Cost+EW68*Slot14_Cost+FG68*Slot15_Cost+FQ68*Slot16_Cost+GA68*Slot17_Cost+GK68*Slot18_Cost+GU68*Slot19_Cost+HE68*Slot20_Cost</f>
        <v>0</v>
      </c>
      <c r="HR68" s="20" t="n">
        <f aca="false">HM68</f>
        <v>0</v>
      </c>
      <c r="HS68" s="20" t="n">
        <f aca="false">H68-I68-S68</f>
        <v>-63210.7642738697</v>
      </c>
      <c r="HT68" s="20" t="n">
        <f aca="false">IF(B68=0,IF(AND(Has_q6=1,In_q6=4),PR_ShareVaries*(MAX(0,HS68)/12),MIN(IF(Has_q6=1,CHOOSE(In_q6+1,PR_SaveB1,PR_SaveB2,PR_SaveB3,PR_SaveB4,0),AS_NoAnswer),AS_SaveShare*(MAX(0,HS68)/12))),HT67)</f>
        <v>67.3316893520437</v>
      </c>
      <c r="HU68" s="20" t="n">
        <f aca="false">IF(HS68&gt;=0,1,0)</f>
        <v>0</v>
      </c>
      <c r="HV68" s="20" t="n">
        <f aca="false">MAX(0,HS68/12/F68)</f>
        <v>0</v>
      </c>
      <c r="HW68" s="20" t="n">
        <f aca="false">IF(AND(Has_q6=1,In_q6=4),PR_ShareVaries*(HV68),MIN(IF(Has_q6=1,CHOOSE(In_q6+1,PR_SaveB1,PR_SaveB2,PR_SaveB3,PR_SaveB4,0),AS_NoAnswer),AS_SaveShare*(HV68)))</f>
        <v>0</v>
      </c>
      <c r="HX68" s="20" t="n">
        <f aca="false">IF(Has_saveM=1,IF(In_saveUp="Yes",1,IF(In_saveUp="No",0,IF(In_saveM&gt;=HT68-0.5,1,0))),0)</f>
        <v>0</v>
      </c>
      <c r="HY68" s="20" t="n">
        <f aca="false">IF(Has_saveM=1,MIN(HV68,IF(HX68=1,MAX(In_saveM,HW68),MIN(In_saveM,HW68))),HW68)</f>
        <v>0</v>
      </c>
      <c r="HZ68" s="20" t="n">
        <f aca="false">IF(G68=1,HY68*12*F68,0)</f>
        <v>0</v>
      </c>
      <c r="IA68" s="20" t="n">
        <f aca="false">MAX(0,HZ68+IF(AND(WI_Retire=0,WI_M&lt;0,G68=1),WI_M*12*F68,0))</f>
        <v>0</v>
      </c>
      <c r="IB68" s="20" t="n">
        <f aca="false">Slot1_IsWG*W68+Slot2_IsWG*AH68+Slot3_IsWG*AR68+Slot4_IsWG*BB68+Slot5_IsWG*BL68+Slot6_IsWG*BV68+Slot7_IsWG*CF68+Slot8_IsWG*CP68+Slot9_IsWG*CZ68+Slot10_IsWG*DJ68+Slot11_IsWG*DT68+Slot12_IsWG*ED68+Slot13_IsWG*EN68+Slot14_IsWG*EX68+Slot15_IsWG*FH68+Slot16_IsWG*FR68+Slot17_IsWG*GB68+Slot18_IsWG*GL68+Slot19_IsWG*GV68+Slot20_IsWG*HF68</f>
        <v>0</v>
      </c>
      <c r="IC68" s="20" t="n">
        <f aca="false">IF(AND(WI_Retire=0,WI_M&gt;0,G68=1,IB68&gt;=1),WI_M*12*F68,0)</f>
        <v>0</v>
      </c>
      <c r="ID68" s="20" t="n">
        <f aca="false">IF(HU68=1,MIN(IA68,HS68),0)</f>
        <v>0</v>
      </c>
      <c r="IE68" s="20" t="n">
        <f aca="false">IF(HU68=1,MIN(IC68,HS68-ID68),0)</f>
        <v>0</v>
      </c>
      <c r="IF68" s="20" t="n">
        <f aca="false">IF(W68=1,IF(ABS((1+AS_Wage)/(1+Slot1_Rate)-1)&lt;0.000000000001,(Slot1_Age-D68)*(1+Slot1_Rate)^(Slot1_Age-D68),(1+Slot1_Rate)^(Slot1_Age-D68)*(1-((1+AS_Wage)/(1+Slot1_Rate))^(Slot1_Age-D68))/(1-(1+AS_Wage)/(1+Slot1_Rate))),1)</f>
        <v>1</v>
      </c>
      <c r="IG68" s="20" t="n">
        <f aca="false">IF(AND(HU68=1,IE68&gt;0,Slot1_IsWG=1,W68=1),MAX(0,(Slot1_Cost-X68*(1+Slot1_Rate)^(Slot1_Age-D68))/IF68),0)</f>
        <v>0</v>
      </c>
      <c r="IH68" s="20" t="n">
        <f aca="false">IF(AND(HU68=1,IE68&gt;0,Slot1_IsWG=1,W68=1),MIN(IE68,IG68),0)</f>
        <v>0</v>
      </c>
      <c r="II68" s="20" t="n">
        <f aca="false">X68+IH68</f>
        <v>0</v>
      </c>
      <c r="IJ68" s="20" t="n">
        <f aca="false">IF(W68=1,MAX(0,(Slot1_Cost-II68*(1+Slot1_Rate)^(Slot1_Age-D68))/IF68),0)</f>
        <v>0</v>
      </c>
      <c r="IK68" s="20" t="n">
        <f aca="false">IF(W68=1,MAX(0,(Slot1_Cost-X68*(1+Slot1_Rate)^(Slot1_Age-D68))/IF68),0)</f>
        <v>0</v>
      </c>
      <c r="IL68" s="20" t="n">
        <f aca="false">IF(AND(HU68=1,W68=1),MIN(ID68,IJ68),0)</f>
        <v>0</v>
      </c>
      <c r="IM68" s="20" t="n">
        <f aca="false">ID68-IL68</f>
        <v>0</v>
      </c>
      <c r="IN68" s="20" t="n">
        <f aca="false">IF(AH68=1,IF(ABS((1+AS_Wage)/(1+Slot2_Rate)-1)&lt;0.000000000001,(Slot2_Age-D68)*(1+Slot2_Rate)^(Slot2_Age-D68),(1+Slot2_Rate)^(Slot2_Age-D68)*(1-((1+AS_Wage)/(1+Slot2_Rate))^(Slot2_Age-D68))/(1-(1+AS_Wage)/(1+Slot2_Rate))),1)</f>
        <v>1</v>
      </c>
      <c r="IO68" s="20" t="n">
        <f aca="false">IF(AND(HU68=1,IE68&gt;0,Slot2_IsWG=1,AH68=1),MAX(0,(Slot2_Cost-AI68*(1+Slot2_Rate)^(Slot2_Age-D68))/IN68),0)</f>
        <v>0</v>
      </c>
      <c r="IP68" s="20" t="n">
        <f aca="false">IF(AND(HU68=1,IE68&gt;0,Slot2_IsWG=1,AH68=1),MIN(IE68,IO68),0)</f>
        <v>0</v>
      </c>
      <c r="IQ68" s="20" t="n">
        <f aca="false">AI68+IP68</f>
        <v>0</v>
      </c>
      <c r="IR68" s="20" t="n">
        <f aca="false">IF(AH68=1,MAX(0,(Slot2_Cost-IQ68*(1+Slot2_Rate)^(Slot2_Age-D68))/IN68),0)</f>
        <v>0</v>
      </c>
      <c r="IS68" s="20" t="n">
        <f aca="false">IF(AH68=1,MAX(0,(Slot2_Cost-AI68*(1+Slot2_Rate)^(Slot2_Age-D68))/IN68),0)</f>
        <v>0</v>
      </c>
      <c r="IT68" s="20" t="n">
        <f aca="false">IF(AND(HU68=1,AH68=1),MIN(IM68,IR68),0)</f>
        <v>0</v>
      </c>
      <c r="IU68" s="20" t="n">
        <f aca="false">IM68-IT68</f>
        <v>0</v>
      </c>
      <c r="IV68" s="20" t="n">
        <f aca="false">IF(AR68=1,IF(ABS((1+AS_Wage)/(1+Slot3_Rate)-1)&lt;0.000000000001,(Slot3_Age-D68)*(1+Slot3_Rate)^(Slot3_Age-D68),(1+Slot3_Rate)^(Slot3_Age-D68)*(1-((1+AS_Wage)/(1+Slot3_Rate))^(Slot3_Age-D68))/(1-(1+AS_Wage)/(1+Slot3_Rate))),1)</f>
        <v>1</v>
      </c>
      <c r="IW68" s="20" t="n">
        <f aca="false">IF(AND(HU68=1,IE68&gt;0,Slot3_IsWG=1,AR68=1),MAX(0,(Slot3_Cost-AS68*(1+Slot3_Rate)^(Slot3_Age-D68))/IV68),0)</f>
        <v>0</v>
      </c>
      <c r="IX68" s="20" t="n">
        <f aca="false">IF(AND(HU68=1,IE68&gt;0,Slot3_IsWG=1,AR68=1),MIN(IE68,IW68),0)</f>
        <v>0</v>
      </c>
      <c r="IY68" s="20" t="n">
        <f aca="false">AS68+IX68</f>
        <v>0</v>
      </c>
      <c r="IZ68" s="20" t="n">
        <f aca="false">IF(AR68=1,MAX(0,(Slot3_Cost-IY68*(1+Slot3_Rate)^(Slot3_Age-D68))/IV68),0)</f>
        <v>0</v>
      </c>
      <c r="JA68" s="20" t="n">
        <f aca="false">IF(AR68=1,MAX(0,(Slot3_Cost-AS68*(1+Slot3_Rate)^(Slot3_Age-D68))/IV68),0)</f>
        <v>0</v>
      </c>
      <c r="JB68" s="20" t="n">
        <f aca="false">IF(AND(HU68=1,AR68=1),MIN(IU68,IZ68),0)</f>
        <v>0</v>
      </c>
      <c r="JC68" s="20" t="n">
        <f aca="false">IU68-JB68</f>
        <v>0</v>
      </c>
      <c r="JD68" s="20" t="n">
        <f aca="false">IF(BB68=1,IF(ABS((1+AS_Wage)/(1+Slot4_Rate)-1)&lt;0.000000000001,(Slot4_Age-D68)*(1+Slot4_Rate)^(Slot4_Age-D68),(1+Slot4_Rate)^(Slot4_Age-D68)*(1-((1+AS_Wage)/(1+Slot4_Rate))^(Slot4_Age-D68))/(1-(1+AS_Wage)/(1+Slot4_Rate))),1)</f>
        <v>1</v>
      </c>
      <c r="JE68" s="20" t="n">
        <f aca="false">IF(AND(HU68=1,IE68&gt;0,Slot4_IsWG=1,BB68=1),MAX(0,(Slot4_Cost-BC68*(1+Slot4_Rate)^(Slot4_Age-D68))/JD68),0)</f>
        <v>0</v>
      </c>
      <c r="JF68" s="20" t="n">
        <f aca="false">IF(AND(HU68=1,IE68&gt;0,Slot4_IsWG=1,BB68=1),MIN(IE68,JE68),0)</f>
        <v>0</v>
      </c>
      <c r="JG68" s="20" t="n">
        <f aca="false">BC68+JF68</f>
        <v>0</v>
      </c>
      <c r="JH68" s="20" t="n">
        <f aca="false">IF(BB68=1,MAX(0,(Slot4_Cost-JG68*(1+Slot4_Rate)^(Slot4_Age-D68))/JD68),0)</f>
        <v>0</v>
      </c>
      <c r="JI68" s="20" t="n">
        <f aca="false">IF(BB68=1,MAX(0,(Slot4_Cost-BC68*(1+Slot4_Rate)^(Slot4_Age-D68))/JD68),0)</f>
        <v>0</v>
      </c>
      <c r="JJ68" s="20" t="n">
        <f aca="false">IF(AND(HU68=1,BB68=1),MIN(JC68,JH68),0)</f>
        <v>0</v>
      </c>
      <c r="JK68" s="20" t="n">
        <f aca="false">JC68-JJ68</f>
        <v>0</v>
      </c>
      <c r="JL68" s="20" t="n">
        <f aca="false">IF(BL68=1,IF(ABS((1+AS_Wage)/(1+Slot5_Rate)-1)&lt;0.000000000001,(Slot5_Age-D68)*(1+Slot5_Rate)^(Slot5_Age-D68),(1+Slot5_Rate)^(Slot5_Age-D68)*(1-((1+AS_Wage)/(1+Slot5_Rate))^(Slot5_Age-D68))/(1-(1+AS_Wage)/(1+Slot5_Rate))),1)</f>
        <v>1</v>
      </c>
      <c r="JM68" s="20" t="n">
        <f aca="false">IF(AND(HU68=1,IE68&gt;0,Slot5_IsWG=1,BL68=1),MAX(0,(Slot5_Cost-BM68*(1+Slot5_Rate)^(Slot5_Age-D68))/JL68),0)</f>
        <v>0</v>
      </c>
      <c r="JN68" s="20" t="n">
        <f aca="false">IF(AND(HU68=1,IE68&gt;0,Slot5_IsWG=1,BL68=1),MIN(IE68,JM68),0)</f>
        <v>0</v>
      </c>
      <c r="JO68" s="20" t="n">
        <f aca="false">BM68+JN68</f>
        <v>0</v>
      </c>
      <c r="JP68" s="20" t="n">
        <f aca="false">IF(BL68=1,MAX(0,(Slot5_Cost-JO68*(1+Slot5_Rate)^(Slot5_Age-D68))/JL68),0)</f>
        <v>0</v>
      </c>
      <c r="JQ68" s="20" t="n">
        <f aca="false">IF(BL68=1,MAX(0,(Slot5_Cost-BM68*(1+Slot5_Rate)^(Slot5_Age-D68))/JL68),0)</f>
        <v>0</v>
      </c>
      <c r="JR68" s="20" t="n">
        <f aca="false">IF(AND(HU68=1,BL68=1),MIN(JK68,JP68),0)</f>
        <v>0</v>
      </c>
      <c r="JS68" s="20" t="n">
        <f aca="false">JK68-JR68</f>
        <v>0</v>
      </c>
      <c r="JT68" s="20" t="n">
        <f aca="false">IF(BV68=1,IF(ABS((1+AS_Wage)/(1+Slot6_Rate)-1)&lt;0.000000000001,(Slot6_Age-D68)*(1+Slot6_Rate)^(Slot6_Age-D68),(1+Slot6_Rate)^(Slot6_Age-D68)*(1-((1+AS_Wage)/(1+Slot6_Rate))^(Slot6_Age-D68))/(1-(1+AS_Wage)/(1+Slot6_Rate))),1)</f>
        <v>1</v>
      </c>
      <c r="JU68" s="20" t="n">
        <f aca="false">IF(AND(HU68=1,IE68&gt;0,Slot6_IsWG=1,BV68=1),MAX(0,(Slot6_Cost-BW68*(1+Slot6_Rate)^(Slot6_Age-D68))/JT68),0)</f>
        <v>0</v>
      </c>
      <c r="JV68" s="20" t="n">
        <f aca="false">IF(AND(HU68=1,IE68&gt;0,Slot6_IsWG=1,BV68=1),MIN(IE68,JU68),0)</f>
        <v>0</v>
      </c>
      <c r="JW68" s="20" t="n">
        <f aca="false">BW68+JV68</f>
        <v>0</v>
      </c>
      <c r="JX68" s="20" t="n">
        <f aca="false">IF(BV68=1,MAX(0,(Slot6_Cost-JW68*(1+Slot6_Rate)^(Slot6_Age-D68))/JT68),0)</f>
        <v>0</v>
      </c>
      <c r="JY68" s="20" t="n">
        <f aca="false">IF(BV68=1,MAX(0,(Slot6_Cost-BW68*(1+Slot6_Rate)^(Slot6_Age-D68))/JT68),0)</f>
        <v>0</v>
      </c>
      <c r="JZ68" s="20" t="n">
        <f aca="false">IF(AND(HU68=1,BV68=1),MIN(JS68,JX68),0)</f>
        <v>0</v>
      </c>
      <c r="KA68" s="20" t="n">
        <f aca="false">JS68-JZ68</f>
        <v>0</v>
      </c>
      <c r="KB68" s="20" t="n">
        <f aca="false">IF(CF68=1,IF(ABS((1+AS_Wage)/(1+Slot7_Rate)-1)&lt;0.000000000001,(Slot7_Age-D68)*(1+Slot7_Rate)^(Slot7_Age-D68),(1+Slot7_Rate)^(Slot7_Age-D68)*(1-((1+AS_Wage)/(1+Slot7_Rate))^(Slot7_Age-D68))/(1-(1+AS_Wage)/(1+Slot7_Rate))),1)</f>
        <v>1</v>
      </c>
      <c r="KC68" s="20" t="n">
        <f aca="false">IF(AND(HU68=1,IE68&gt;0,Slot7_IsWG=1,CF68=1),MAX(0,(Slot7_Cost-CG68*(1+Slot7_Rate)^(Slot7_Age-D68))/KB68),0)</f>
        <v>0</v>
      </c>
      <c r="KD68" s="20" t="n">
        <f aca="false">IF(AND(HU68=1,IE68&gt;0,Slot7_IsWG=1,CF68=1),MIN(IE68,KC68),0)</f>
        <v>0</v>
      </c>
      <c r="KE68" s="20" t="n">
        <f aca="false">CG68+KD68</f>
        <v>0</v>
      </c>
      <c r="KF68" s="20" t="n">
        <f aca="false">IF(CF68=1,MAX(0,(Slot7_Cost-KE68*(1+Slot7_Rate)^(Slot7_Age-D68))/KB68),0)</f>
        <v>0</v>
      </c>
      <c r="KG68" s="20" t="n">
        <f aca="false">IF(CF68=1,MAX(0,(Slot7_Cost-CG68*(1+Slot7_Rate)^(Slot7_Age-D68))/KB68),0)</f>
        <v>0</v>
      </c>
      <c r="KH68" s="20" t="n">
        <f aca="false">IF(AND(HU68=1,CF68=1),MIN(KA68,KF68),0)</f>
        <v>0</v>
      </c>
      <c r="KI68" s="20" t="n">
        <f aca="false">KA68-KH68</f>
        <v>0</v>
      </c>
      <c r="KJ68" s="20" t="n">
        <f aca="false">IF(CP68=1,IF(ABS((1+AS_Wage)/(1+Slot8_Rate)-1)&lt;0.000000000001,(Slot8_Age-D68)*(1+Slot8_Rate)^(Slot8_Age-D68),(1+Slot8_Rate)^(Slot8_Age-D68)*(1-((1+AS_Wage)/(1+Slot8_Rate))^(Slot8_Age-D68))/(1-(1+AS_Wage)/(1+Slot8_Rate))),1)</f>
        <v>1</v>
      </c>
      <c r="KK68" s="20" t="n">
        <f aca="false">IF(AND(HU68=1,IE68&gt;0,Slot8_IsWG=1,CP68=1),MAX(0,(Slot8_Cost-CQ68*(1+Slot8_Rate)^(Slot8_Age-D68))/KJ68),0)</f>
        <v>0</v>
      </c>
      <c r="KL68" s="20" t="n">
        <f aca="false">IF(AND(HU68=1,IE68&gt;0,Slot8_IsWG=1,CP68=1),MIN(IE68,KK68),0)</f>
        <v>0</v>
      </c>
      <c r="KM68" s="20" t="n">
        <f aca="false">CQ68+KL68</f>
        <v>0</v>
      </c>
      <c r="KN68" s="20" t="n">
        <f aca="false">IF(CP68=1,MAX(0,(Slot8_Cost-KM68*(1+Slot8_Rate)^(Slot8_Age-D68))/KJ68),0)</f>
        <v>0</v>
      </c>
      <c r="KO68" s="20" t="n">
        <f aca="false">IF(CP68=1,MAX(0,(Slot8_Cost-CQ68*(1+Slot8_Rate)^(Slot8_Age-D68))/KJ68),0)</f>
        <v>0</v>
      </c>
      <c r="KP68" s="20" t="n">
        <f aca="false">IF(AND(HU68=1,CP68=1),MIN(KI68,KN68),0)</f>
        <v>0</v>
      </c>
      <c r="KQ68" s="20" t="n">
        <f aca="false">KI68-KP68</f>
        <v>0</v>
      </c>
      <c r="KR68" s="20" t="n">
        <f aca="false">IF(CZ68=1,IF(ABS((1+AS_Wage)/(1+Slot9_Rate)-1)&lt;0.000000000001,(Slot9_Age-D68)*(1+Slot9_Rate)^(Slot9_Age-D68),(1+Slot9_Rate)^(Slot9_Age-D68)*(1-((1+AS_Wage)/(1+Slot9_Rate))^(Slot9_Age-D68))/(1-(1+AS_Wage)/(1+Slot9_Rate))),1)</f>
        <v>1</v>
      </c>
      <c r="KS68" s="20" t="n">
        <f aca="false">IF(AND(HU68=1,IE68&gt;0,Slot9_IsWG=1,CZ68=1),MAX(0,(Slot9_Cost-DA68*(1+Slot9_Rate)^(Slot9_Age-D68))/KR68),0)</f>
        <v>0</v>
      </c>
      <c r="KT68" s="20" t="n">
        <f aca="false">IF(AND(HU68=1,IE68&gt;0,Slot9_IsWG=1,CZ68=1),MIN(IE68,KS68),0)</f>
        <v>0</v>
      </c>
      <c r="KU68" s="20" t="n">
        <f aca="false">DA68+KT68</f>
        <v>0</v>
      </c>
      <c r="KV68" s="20" t="n">
        <f aca="false">IF(CZ68=1,MAX(0,(Slot9_Cost-KU68*(1+Slot9_Rate)^(Slot9_Age-D68))/KR68),0)</f>
        <v>0</v>
      </c>
      <c r="KW68" s="20" t="n">
        <f aca="false">IF(CZ68=1,MAX(0,(Slot9_Cost-DA68*(1+Slot9_Rate)^(Slot9_Age-D68))/KR68),0)</f>
        <v>0</v>
      </c>
      <c r="KX68" s="20" t="n">
        <f aca="false">IF(AND(HU68=1,CZ68=1),MIN(KQ68,KV68),0)</f>
        <v>0</v>
      </c>
      <c r="KY68" s="20" t="n">
        <f aca="false">KQ68-KX68</f>
        <v>0</v>
      </c>
      <c r="KZ68" s="20" t="n">
        <f aca="false">IF(DJ68=1,IF(ABS((1+AS_Wage)/(1+Slot10_Rate)-1)&lt;0.000000000001,(Slot10_Age-D68)*(1+Slot10_Rate)^(Slot10_Age-D68),(1+Slot10_Rate)^(Slot10_Age-D68)*(1-((1+AS_Wage)/(1+Slot10_Rate))^(Slot10_Age-D68))/(1-(1+AS_Wage)/(1+Slot10_Rate))),1)</f>
        <v>1</v>
      </c>
      <c r="LA68" s="20" t="n">
        <f aca="false">IF(AND(HU68=1,IE68&gt;0,Slot10_IsWG=1,DJ68=1),MAX(0,(Slot10_Cost-DK68*(1+Slot10_Rate)^(Slot10_Age-D68))/KZ68),0)</f>
        <v>0</v>
      </c>
      <c r="LB68" s="20" t="n">
        <f aca="false">IF(AND(HU68=1,IE68&gt;0,Slot10_IsWG=1,DJ68=1),MIN(IE68,LA68),0)</f>
        <v>0</v>
      </c>
      <c r="LC68" s="20" t="n">
        <f aca="false">DK68+LB68</f>
        <v>0</v>
      </c>
      <c r="LD68" s="20" t="n">
        <f aca="false">IF(DJ68=1,MAX(0,(Slot10_Cost-LC68*(1+Slot10_Rate)^(Slot10_Age-D68))/KZ68),0)</f>
        <v>0</v>
      </c>
      <c r="LE68" s="20" t="n">
        <f aca="false">IF(DJ68=1,MAX(0,(Slot10_Cost-DK68*(1+Slot10_Rate)^(Slot10_Age-D68))/KZ68),0)</f>
        <v>0</v>
      </c>
      <c r="LF68" s="20" t="n">
        <f aca="false">IF(AND(HU68=1,DJ68=1),MIN(KY68,LD68),0)</f>
        <v>0</v>
      </c>
      <c r="LG68" s="20" t="n">
        <f aca="false">KY68-LF68</f>
        <v>0</v>
      </c>
      <c r="LH68" s="20" t="n">
        <f aca="false">IF(DT68=1,IF(ABS((1+AS_Wage)/(1+Slot11_Rate)-1)&lt;0.000000000001,(Slot11_Age-D68)*(1+Slot11_Rate)^(Slot11_Age-D68),(1+Slot11_Rate)^(Slot11_Age-D68)*(1-((1+AS_Wage)/(1+Slot11_Rate))^(Slot11_Age-D68))/(1-(1+AS_Wage)/(1+Slot11_Rate))),1)</f>
        <v>1</v>
      </c>
      <c r="LI68" s="20" t="n">
        <f aca="false">IF(AND(HU68=1,IE68&gt;0,Slot11_IsWG=1,DT68=1),MAX(0,(Slot11_Cost-DU68*(1+Slot11_Rate)^(Slot11_Age-D68))/LH68),0)</f>
        <v>0</v>
      </c>
      <c r="LJ68" s="20" t="n">
        <f aca="false">IF(AND(HU68=1,IE68&gt;0,Slot11_IsWG=1,DT68=1),MIN(IE68,LI68),0)</f>
        <v>0</v>
      </c>
      <c r="LK68" s="20" t="n">
        <f aca="false">DU68+LJ68</f>
        <v>0</v>
      </c>
      <c r="LL68" s="20" t="n">
        <f aca="false">IF(DT68=1,MAX(0,(Slot11_Cost-LK68*(1+Slot11_Rate)^(Slot11_Age-D68))/LH68),0)</f>
        <v>0</v>
      </c>
      <c r="LM68" s="20" t="n">
        <f aca="false">IF(DT68=1,MAX(0,(Slot11_Cost-DU68*(1+Slot11_Rate)^(Slot11_Age-D68))/LH68),0)</f>
        <v>0</v>
      </c>
      <c r="LN68" s="20" t="n">
        <f aca="false">IF(AND(HU68=1,DT68=1),MIN(LG68,LL68),0)</f>
        <v>0</v>
      </c>
      <c r="LO68" s="20" t="n">
        <f aca="false">LG68-LN68</f>
        <v>0</v>
      </c>
      <c r="LP68" s="20" t="n">
        <f aca="false">IF(ED68=1,IF(ABS((1+AS_Wage)/(1+Slot12_Rate)-1)&lt;0.000000000001,(Slot12_Age-D68)*(1+Slot12_Rate)^(Slot12_Age-D68),(1+Slot12_Rate)^(Slot12_Age-D68)*(1-((1+AS_Wage)/(1+Slot12_Rate))^(Slot12_Age-D68))/(1-(1+AS_Wage)/(1+Slot12_Rate))),1)</f>
        <v>1</v>
      </c>
      <c r="LQ68" s="20" t="n">
        <f aca="false">IF(AND(HU68=1,IE68&gt;0,Slot12_IsWG=1,ED68=1),MAX(0,(Slot12_Cost-EE68*(1+Slot12_Rate)^(Slot12_Age-D68))/LP68),0)</f>
        <v>0</v>
      </c>
      <c r="LR68" s="20" t="n">
        <f aca="false">IF(AND(HU68=1,IE68&gt;0,Slot12_IsWG=1,ED68=1),MIN(IE68,LQ68),0)</f>
        <v>0</v>
      </c>
      <c r="LS68" s="20" t="n">
        <f aca="false">EE68+LR68</f>
        <v>0</v>
      </c>
      <c r="LT68" s="20" t="n">
        <f aca="false">IF(ED68=1,MAX(0,(Slot12_Cost-LS68*(1+Slot12_Rate)^(Slot12_Age-D68))/LP68),0)</f>
        <v>0</v>
      </c>
      <c r="LU68" s="20" t="n">
        <f aca="false">IF(ED68=1,MAX(0,(Slot12_Cost-EE68*(1+Slot12_Rate)^(Slot12_Age-D68))/LP68),0)</f>
        <v>0</v>
      </c>
      <c r="LV68" s="20" t="n">
        <f aca="false">IF(AND(HU68=1,ED68=1),MIN(LO68,LT68),0)</f>
        <v>0</v>
      </c>
      <c r="LW68" s="20" t="n">
        <f aca="false">LO68-LV68</f>
        <v>0</v>
      </c>
      <c r="LX68" s="20" t="n">
        <f aca="false">IF(EN68=1,IF(ABS((1+AS_Wage)/(1+Slot13_Rate)-1)&lt;0.000000000001,(Slot13_Age-D68)*(1+Slot13_Rate)^(Slot13_Age-D68),(1+Slot13_Rate)^(Slot13_Age-D68)*(1-((1+AS_Wage)/(1+Slot13_Rate))^(Slot13_Age-D68))/(1-(1+AS_Wage)/(1+Slot13_Rate))),1)</f>
        <v>1</v>
      </c>
      <c r="LY68" s="20" t="n">
        <f aca="false">IF(AND(HU68=1,IE68&gt;0,Slot13_IsWG=1,EN68=1),MAX(0,(Slot13_Cost-EO68*(1+Slot13_Rate)^(Slot13_Age-D68))/LX68),0)</f>
        <v>0</v>
      </c>
      <c r="LZ68" s="20" t="n">
        <f aca="false">IF(AND(HU68=1,IE68&gt;0,Slot13_IsWG=1,EN68=1),MIN(IE68,LY68),0)</f>
        <v>0</v>
      </c>
      <c r="MA68" s="20" t="n">
        <f aca="false">EO68+LZ68</f>
        <v>0</v>
      </c>
      <c r="MB68" s="20" t="n">
        <f aca="false">IF(EN68=1,MAX(0,(Slot13_Cost-MA68*(1+Slot13_Rate)^(Slot13_Age-D68))/LX68),0)</f>
        <v>0</v>
      </c>
      <c r="MC68" s="20" t="n">
        <f aca="false">IF(EN68=1,MAX(0,(Slot13_Cost-EO68*(1+Slot13_Rate)^(Slot13_Age-D68))/LX68),0)</f>
        <v>0</v>
      </c>
      <c r="MD68" s="20" t="n">
        <f aca="false">IF(AND(HU68=1,EN68=1),MIN(LW68,MB68),0)</f>
        <v>0</v>
      </c>
      <c r="ME68" s="20" t="n">
        <f aca="false">LW68-MD68</f>
        <v>0</v>
      </c>
      <c r="MF68" s="20" t="n">
        <f aca="false">IF(EX68=1,IF(ABS((1+AS_Wage)/(1+Slot14_Rate)-1)&lt;0.000000000001,(Slot14_Age-D68)*(1+Slot14_Rate)^(Slot14_Age-D68),(1+Slot14_Rate)^(Slot14_Age-D68)*(1-((1+AS_Wage)/(1+Slot14_Rate))^(Slot14_Age-D68))/(1-(1+AS_Wage)/(1+Slot14_Rate))),1)</f>
        <v>1</v>
      </c>
      <c r="MG68" s="20" t="n">
        <f aca="false">IF(AND(HU68=1,IE68&gt;0,Slot14_IsWG=1,EX68=1),MAX(0,(Slot14_Cost-EY68*(1+Slot14_Rate)^(Slot14_Age-D68))/MF68),0)</f>
        <v>0</v>
      </c>
      <c r="MH68" s="20" t="n">
        <f aca="false">IF(AND(HU68=1,IE68&gt;0,Slot14_IsWG=1,EX68=1),MIN(IE68,MG68),0)</f>
        <v>0</v>
      </c>
      <c r="MI68" s="20" t="n">
        <f aca="false">EY68+MH68</f>
        <v>0</v>
      </c>
      <c r="MJ68" s="20" t="n">
        <f aca="false">IF(EX68=1,MAX(0,(Slot14_Cost-MI68*(1+Slot14_Rate)^(Slot14_Age-D68))/MF68),0)</f>
        <v>0</v>
      </c>
      <c r="MK68" s="20" t="n">
        <f aca="false">IF(EX68=1,MAX(0,(Slot14_Cost-EY68*(1+Slot14_Rate)^(Slot14_Age-D68))/MF68),0)</f>
        <v>0</v>
      </c>
      <c r="ML68" s="20" t="n">
        <f aca="false">IF(AND(HU68=1,EX68=1),MIN(ME68,MJ68),0)</f>
        <v>0</v>
      </c>
      <c r="MM68" s="20" t="n">
        <f aca="false">ME68-ML68</f>
        <v>0</v>
      </c>
      <c r="MN68" s="20" t="n">
        <f aca="false">IF(FH68=1,IF(ABS((1+AS_Wage)/(1+Slot15_Rate)-1)&lt;0.000000000001,(Slot15_Age-D68)*(1+Slot15_Rate)^(Slot15_Age-D68),(1+Slot15_Rate)^(Slot15_Age-D68)*(1-((1+AS_Wage)/(1+Slot15_Rate))^(Slot15_Age-D68))/(1-(1+AS_Wage)/(1+Slot15_Rate))),1)</f>
        <v>1</v>
      </c>
      <c r="MO68" s="20" t="n">
        <f aca="false">IF(AND(HU68=1,IE68&gt;0,Slot15_IsWG=1,FH68=1),MAX(0,(Slot15_Cost-FI68*(1+Slot15_Rate)^(Slot15_Age-D68))/MN68),0)</f>
        <v>0</v>
      </c>
      <c r="MP68" s="20" t="n">
        <f aca="false">IF(AND(HU68=1,IE68&gt;0,Slot15_IsWG=1,FH68=1),MIN(IE68,MO68),0)</f>
        <v>0</v>
      </c>
      <c r="MQ68" s="20" t="n">
        <f aca="false">FI68+MP68</f>
        <v>0</v>
      </c>
      <c r="MR68" s="20" t="n">
        <f aca="false">IF(FH68=1,MAX(0,(Slot15_Cost-MQ68*(1+Slot15_Rate)^(Slot15_Age-D68))/MN68),0)</f>
        <v>0</v>
      </c>
      <c r="MS68" s="20" t="n">
        <f aca="false">IF(FH68=1,MAX(0,(Slot15_Cost-FI68*(1+Slot15_Rate)^(Slot15_Age-D68))/MN68),0)</f>
        <v>0</v>
      </c>
      <c r="MT68" s="20" t="n">
        <f aca="false">IF(AND(HU68=1,FH68=1),MIN(MM68,MR68),0)</f>
        <v>0</v>
      </c>
      <c r="MU68" s="20" t="n">
        <f aca="false">MM68-MT68</f>
        <v>0</v>
      </c>
      <c r="MV68" s="20" t="n">
        <f aca="false">IF(FR68=1,IF(ABS((1+AS_Wage)/(1+Slot16_Rate)-1)&lt;0.000000000001,(Slot16_Age-D68)*(1+Slot16_Rate)^(Slot16_Age-D68),(1+Slot16_Rate)^(Slot16_Age-D68)*(1-((1+AS_Wage)/(1+Slot16_Rate))^(Slot16_Age-D68))/(1-(1+AS_Wage)/(1+Slot16_Rate))),1)</f>
        <v>1</v>
      </c>
      <c r="MW68" s="20" t="n">
        <f aca="false">IF(AND(HU68=1,IE68&gt;0,Slot16_IsWG=1,FR68=1),MAX(0,(Slot16_Cost-FS68*(1+Slot16_Rate)^(Slot16_Age-D68))/MV68),0)</f>
        <v>0</v>
      </c>
      <c r="MX68" s="20" t="n">
        <f aca="false">IF(AND(HU68=1,IE68&gt;0,Slot16_IsWG=1,FR68=1),MIN(IE68,MW68),0)</f>
        <v>0</v>
      </c>
      <c r="MY68" s="20" t="n">
        <f aca="false">FS68+MX68</f>
        <v>0</v>
      </c>
      <c r="MZ68" s="20" t="n">
        <f aca="false">IF(FR68=1,MAX(0,(Slot16_Cost-MY68*(1+Slot16_Rate)^(Slot16_Age-D68))/MV68),0)</f>
        <v>0</v>
      </c>
      <c r="NA68" s="20" t="n">
        <f aca="false">IF(FR68=1,MAX(0,(Slot16_Cost-FS68*(1+Slot16_Rate)^(Slot16_Age-D68))/MV68),0)</f>
        <v>0</v>
      </c>
      <c r="NB68" s="20" t="n">
        <f aca="false">IF(AND(HU68=1,FR68=1),MIN(MU68,MZ68),0)</f>
        <v>0</v>
      </c>
      <c r="NC68" s="20" t="n">
        <f aca="false">MU68-NB68</f>
        <v>0</v>
      </c>
      <c r="ND68" s="20" t="n">
        <f aca="false">IF(GB68=1,IF(ABS((1+AS_Wage)/(1+Slot17_Rate)-1)&lt;0.000000000001,(Slot17_Age-D68)*(1+Slot17_Rate)^(Slot17_Age-D68),(1+Slot17_Rate)^(Slot17_Age-D68)*(1-((1+AS_Wage)/(1+Slot17_Rate))^(Slot17_Age-D68))/(1-(1+AS_Wage)/(1+Slot17_Rate))),1)</f>
        <v>1</v>
      </c>
      <c r="NE68" s="20" t="n">
        <f aca="false">IF(AND(HU68=1,IE68&gt;0,Slot17_IsWG=1,GB68=1),MAX(0,(Slot17_Cost-GC68*(1+Slot17_Rate)^(Slot17_Age-D68))/ND68),0)</f>
        <v>0</v>
      </c>
      <c r="NF68" s="20" t="n">
        <f aca="false">IF(AND(HU68=1,IE68&gt;0,Slot17_IsWG=1,GB68=1),MIN(IE68,NE68),0)</f>
        <v>0</v>
      </c>
      <c r="NG68" s="20" t="n">
        <f aca="false">GC68+NF68</f>
        <v>0</v>
      </c>
      <c r="NH68" s="20" t="n">
        <f aca="false">IF(GB68=1,MAX(0,(Slot17_Cost-NG68*(1+Slot17_Rate)^(Slot17_Age-D68))/ND68),0)</f>
        <v>0</v>
      </c>
      <c r="NI68" s="20" t="n">
        <f aca="false">IF(GB68=1,MAX(0,(Slot17_Cost-GC68*(1+Slot17_Rate)^(Slot17_Age-D68))/ND68),0)</f>
        <v>0</v>
      </c>
      <c r="NJ68" s="20" t="n">
        <f aca="false">IF(AND(HU68=1,GB68=1),MIN(NC68,NH68),0)</f>
        <v>0</v>
      </c>
      <c r="NK68" s="20" t="n">
        <f aca="false">NC68-NJ68</f>
        <v>0</v>
      </c>
      <c r="NL68" s="20" t="n">
        <f aca="false">IF(GL68=1,IF(ABS((1+AS_Wage)/(1+Slot18_Rate)-1)&lt;0.000000000001,(Slot18_Age-D68)*(1+Slot18_Rate)^(Slot18_Age-D68),(1+Slot18_Rate)^(Slot18_Age-D68)*(1-((1+AS_Wage)/(1+Slot18_Rate))^(Slot18_Age-D68))/(1-(1+AS_Wage)/(1+Slot18_Rate))),1)</f>
        <v>1</v>
      </c>
      <c r="NM68" s="20" t="n">
        <f aca="false">IF(AND(HU68=1,IE68&gt;0,Slot18_IsWG=1,GL68=1),MAX(0,(Slot18_Cost-GM68*(1+Slot18_Rate)^(Slot18_Age-D68))/NL68),0)</f>
        <v>0</v>
      </c>
      <c r="NN68" s="20" t="n">
        <f aca="false">IF(AND(HU68=1,IE68&gt;0,Slot18_IsWG=1,GL68=1),MIN(IE68,NM68),0)</f>
        <v>0</v>
      </c>
      <c r="NO68" s="20" t="n">
        <f aca="false">GM68+NN68</f>
        <v>0</v>
      </c>
      <c r="NP68" s="20" t="n">
        <f aca="false">IF(GL68=1,MAX(0,(Slot18_Cost-NO68*(1+Slot18_Rate)^(Slot18_Age-D68))/NL68),0)</f>
        <v>0</v>
      </c>
      <c r="NQ68" s="20" t="n">
        <f aca="false">IF(GL68=1,MAX(0,(Slot18_Cost-GM68*(1+Slot18_Rate)^(Slot18_Age-D68))/NL68),0)</f>
        <v>0</v>
      </c>
      <c r="NR68" s="20" t="n">
        <f aca="false">IF(AND(HU68=1,GL68=1),MIN(NK68,NP68),0)</f>
        <v>0</v>
      </c>
      <c r="NS68" s="20" t="n">
        <f aca="false">NK68-NR68</f>
        <v>0</v>
      </c>
      <c r="NT68" s="20" t="n">
        <f aca="false">IF(GV68=1,IF(ABS((1+AS_Wage)/(1+Slot19_Rate)-1)&lt;0.000000000001,(Slot19_Age-D68)*(1+Slot19_Rate)^(Slot19_Age-D68),(1+Slot19_Rate)^(Slot19_Age-D68)*(1-((1+AS_Wage)/(1+Slot19_Rate))^(Slot19_Age-D68))/(1-(1+AS_Wage)/(1+Slot19_Rate))),1)</f>
        <v>1</v>
      </c>
      <c r="NU68" s="20" t="n">
        <f aca="false">IF(AND(HU68=1,IE68&gt;0,Slot19_IsWG=1,GV68=1),MAX(0,(Slot19_Cost-GW68*(1+Slot19_Rate)^(Slot19_Age-D68))/NT68),0)</f>
        <v>0</v>
      </c>
      <c r="NV68" s="20" t="n">
        <f aca="false">IF(AND(HU68=1,IE68&gt;0,Slot19_IsWG=1,GV68=1),MIN(IE68,NU68),0)</f>
        <v>0</v>
      </c>
      <c r="NW68" s="20" t="n">
        <f aca="false">GW68+NV68</f>
        <v>0</v>
      </c>
      <c r="NX68" s="20" t="n">
        <f aca="false">IF(GV68=1,MAX(0,(Slot19_Cost-NW68*(1+Slot19_Rate)^(Slot19_Age-D68))/NT68),0)</f>
        <v>0</v>
      </c>
      <c r="NY68" s="20" t="n">
        <f aca="false">IF(GV68=1,MAX(0,(Slot19_Cost-GW68*(1+Slot19_Rate)^(Slot19_Age-D68))/NT68),0)</f>
        <v>0</v>
      </c>
      <c r="NZ68" s="20" t="n">
        <f aca="false">IF(AND(HU68=1,GV68=1),MIN(NS68,NX68),0)</f>
        <v>0</v>
      </c>
      <c r="OA68" s="20" t="n">
        <f aca="false">NS68-NZ68</f>
        <v>0</v>
      </c>
      <c r="OB68" s="20" t="n">
        <f aca="false">IF(HF68=1,IF(ABS((1+AS_Wage)/(1+Slot20_Rate)-1)&lt;0.000000000001,(Slot20_Age-D68)*(1+Slot20_Rate)^(Slot20_Age-D68),(1+Slot20_Rate)^(Slot20_Age-D68)*(1-((1+AS_Wage)/(1+Slot20_Rate))^(Slot20_Age-D68))/(1-(1+AS_Wage)/(1+Slot20_Rate))),1)</f>
        <v>1</v>
      </c>
      <c r="OC68" s="20" t="n">
        <f aca="false">IF(AND(HU68=1,IE68&gt;0,Slot20_IsWG=1,HF68=1),MAX(0,(Slot20_Cost-HG68*(1+Slot20_Rate)^(Slot20_Age-D68))/OB68),0)</f>
        <v>0</v>
      </c>
      <c r="OD68" s="20" t="n">
        <f aca="false">IF(AND(HU68=1,IE68&gt;0,Slot20_IsWG=1,HF68=1),MIN(IE68,OC68),0)</f>
        <v>0</v>
      </c>
      <c r="OE68" s="20" t="n">
        <f aca="false">HG68+OD68</f>
        <v>0</v>
      </c>
      <c r="OF68" s="20" t="n">
        <f aca="false">IF(HF68=1,MAX(0,(Slot20_Cost-OE68*(1+Slot20_Rate)^(Slot20_Age-D68))/OB68),0)</f>
        <v>0</v>
      </c>
      <c r="OG68" s="20" t="n">
        <f aca="false">IF(HF68=1,MAX(0,(Slot20_Cost-HG68*(1+Slot20_Rate)^(Slot20_Age-D68))/OB68),0)</f>
        <v>0</v>
      </c>
      <c r="OH68" s="20" t="n">
        <f aca="false">IF(AND(HU68=1,HF68=1),MIN(OA68,OF68),0)</f>
        <v>0</v>
      </c>
      <c r="OI68" s="20" t="n">
        <f aca="false">OA68-OH68</f>
        <v>0</v>
      </c>
      <c r="OJ68" s="20" t="n">
        <f aca="false">IE68-(IH68+IP68+IX68+JF68+JN68+JV68+KD68+KL68+KT68+LB68+LJ68+LR68+LZ68+MH68+MP68+MX68+NF68+NN68+NV68+OD68)</f>
        <v>0</v>
      </c>
      <c r="OK68" s="20" t="n">
        <f aca="false">IF(HU68=1,HS68-ID68-IE68,0)</f>
        <v>0</v>
      </c>
      <c r="OL68" s="20" t="n">
        <f aca="false">IF(HU68=0,-HS68,0)</f>
        <v>63210.7642738697</v>
      </c>
      <c r="OM68" s="20" t="n">
        <f aca="false">MIN(OL68,HK68)</f>
        <v>0</v>
      </c>
      <c r="ON68" s="20" t="n">
        <f aca="false">OL68-OM68</f>
        <v>63210.7642738697</v>
      </c>
      <c r="OO68" s="20" t="n">
        <f aca="false">MIN(ON68,HL68)</f>
        <v>0</v>
      </c>
      <c r="OP68" s="20" t="n">
        <f aca="false">ON68-OO68</f>
        <v>63210.7642738697</v>
      </c>
      <c r="OQ68" s="20" t="n">
        <f aca="false">IF(AND(HU68=0,HF68=1,OP68&gt;0),MIN(OP68,HG68),0)</f>
        <v>0</v>
      </c>
      <c r="OR68" s="20" t="n">
        <f aca="false">OP68-OQ68</f>
        <v>63210.7642738697</v>
      </c>
      <c r="OS68" s="20" t="n">
        <f aca="false">IF(AND(HU68=0,GV68=1,OR68&gt;0),MIN(OR68,GW68),0)</f>
        <v>0</v>
      </c>
      <c r="OT68" s="20" t="n">
        <f aca="false">OR68-OS68</f>
        <v>63210.7642738697</v>
      </c>
      <c r="OU68" s="20" t="n">
        <f aca="false">IF(AND(HU68=0,GL68=1,OT68&gt;0),MIN(OT68,GM68),0)</f>
        <v>0</v>
      </c>
      <c r="OV68" s="20" t="n">
        <f aca="false">OT68-OU68</f>
        <v>63210.7642738697</v>
      </c>
      <c r="OW68" s="20" t="n">
        <f aca="false">IF(AND(HU68=0,GB68=1,OV68&gt;0),MIN(OV68,GC68),0)</f>
        <v>0</v>
      </c>
      <c r="OX68" s="20" t="n">
        <f aca="false">OV68-OW68</f>
        <v>63210.7642738697</v>
      </c>
      <c r="OY68" s="20" t="n">
        <f aca="false">IF(AND(HU68=0,FR68=1,OX68&gt;0),MIN(OX68,FS68),0)</f>
        <v>0</v>
      </c>
      <c r="OZ68" s="20" t="n">
        <f aca="false">OX68-OY68</f>
        <v>63210.7642738697</v>
      </c>
      <c r="PA68" s="20" t="n">
        <f aca="false">IF(AND(HU68=0,FH68=1,OZ68&gt;0),MIN(OZ68,FI68),0)</f>
        <v>0</v>
      </c>
      <c r="PB68" s="20" t="n">
        <f aca="false">OZ68-PA68</f>
        <v>63210.7642738697</v>
      </c>
      <c r="PC68" s="20" t="n">
        <f aca="false">IF(AND(HU68=0,EX68=1,PB68&gt;0),MIN(PB68,EY68),0)</f>
        <v>0</v>
      </c>
      <c r="PD68" s="20" t="n">
        <f aca="false">PB68-PC68</f>
        <v>63210.7642738697</v>
      </c>
      <c r="PE68" s="20" t="n">
        <f aca="false">IF(AND(HU68=0,EN68=1,PD68&gt;0),MIN(PD68,EO68),0)</f>
        <v>0</v>
      </c>
      <c r="PF68" s="20" t="n">
        <f aca="false">PD68-PE68</f>
        <v>63210.7642738697</v>
      </c>
      <c r="PG68" s="20" t="n">
        <f aca="false">IF(AND(HU68=0,ED68=1,PF68&gt;0),MIN(PF68,EE68),0)</f>
        <v>0</v>
      </c>
      <c r="PH68" s="20" t="n">
        <f aca="false">PF68-PG68</f>
        <v>63210.7642738697</v>
      </c>
      <c r="PI68" s="20" t="n">
        <f aca="false">IF(AND(HU68=0,DT68=1,PH68&gt;0),MIN(PH68,DU68),0)</f>
        <v>0</v>
      </c>
      <c r="PJ68" s="20" t="n">
        <f aca="false">PH68-PI68</f>
        <v>63210.7642738697</v>
      </c>
      <c r="PK68" s="20" t="n">
        <f aca="false">IF(AND(HU68=0,DJ68=1,PJ68&gt;0),MIN(PJ68,DK68),0)</f>
        <v>0</v>
      </c>
      <c r="PL68" s="20" t="n">
        <f aca="false">PJ68-PK68</f>
        <v>63210.7642738697</v>
      </c>
      <c r="PM68" s="20" t="n">
        <f aca="false">IF(AND(HU68=0,CZ68=1,PL68&gt;0),MIN(PL68,DA68),0)</f>
        <v>0</v>
      </c>
      <c r="PN68" s="20" t="n">
        <f aca="false">PL68-PM68</f>
        <v>63210.7642738697</v>
      </c>
      <c r="PO68" s="20" t="n">
        <f aca="false">IF(AND(HU68=0,CP68=1,PN68&gt;0),MIN(PN68,CQ68),0)</f>
        <v>0</v>
      </c>
      <c r="PP68" s="20" t="n">
        <f aca="false">PN68-PO68</f>
        <v>63210.7642738697</v>
      </c>
      <c r="PQ68" s="20" t="n">
        <f aca="false">IF(AND(HU68=0,CF68=1,PP68&gt;0),MIN(PP68,CG68),0)</f>
        <v>0</v>
      </c>
      <c r="PR68" s="20" t="n">
        <f aca="false">PP68-PQ68</f>
        <v>63210.7642738697</v>
      </c>
      <c r="PS68" s="20" t="n">
        <f aca="false">IF(AND(HU68=0,BV68=1,PR68&gt;0),MIN(PR68,BW68),0)</f>
        <v>0</v>
      </c>
      <c r="PT68" s="20" t="n">
        <f aca="false">PR68-PS68</f>
        <v>63210.7642738697</v>
      </c>
      <c r="PU68" s="20" t="n">
        <f aca="false">IF(AND(HU68=0,BL68=1,PT68&gt;0),MIN(PT68,BM68),0)</f>
        <v>0</v>
      </c>
      <c r="PV68" s="20" t="n">
        <f aca="false">PT68-PU68</f>
        <v>63210.7642738697</v>
      </c>
      <c r="PW68" s="20" t="n">
        <f aca="false">IF(AND(HU68=0,BB68=1,PV68&gt;0),MIN(PV68,BC68),0)</f>
        <v>0</v>
      </c>
      <c r="PX68" s="20" t="n">
        <f aca="false">PV68-PW68</f>
        <v>63210.7642738697</v>
      </c>
      <c r="PY68" s="20" t="n">
        <f aca="false">IF(AND(HU68=0,AR68=1,PX68&gt;0),MIN(PX68,AS68),0)</f>
        <v>0</v>
      </c>
      <c r="PZ68" s="20" t="n">
        <f aca="false">PX68-PY68</f>
        <v>63210.7642738697</v>
      </c>
      <c r="QA68" s="20" t="n">
        <f aca="false">IF(AND(HU68=0,AH68=1,PZ68&gt;0),MIN(PZ68,AI68),0)</f>
        <v>0</v>
      </c>
      <c r="QB68" s="20" t="n">
        <f aca="false">PZ68-QA68</f>
        <v>63210.7642738697</v>
      </c>
      <c r="QC68" s="20" t="n">
        <f aca="false">IF(AND(HU68=0,W68=1,QB68&gt;0),MIN(QB68,X68),0)</f>
        <v>0</v>
      </c>
      <c r="QD68" s="20" t="n">
        <f aca="false">QB68-QC68</f>
        <v>63210.7642738697</v>
      </c>
      <c r="QE68" s="20" t="n">
        <f aca="false">IF(HU68=0,QD68,0)</f>
        <v>63210.7642738697</v>
      </c>
      <c r="QF68" s="20" t="n">
        <f aca="false">OM68+OO68+QC68+QA68+PY68+PW68+PU68+PS68+PQ68+PO68+PM68+PK68+PI68+PG68+PE68+PC68+PA68+OY68+OW68+OU68+OS68+OQ68</f>
        <v>0</v>
      </c>
      <c r="QG68" s="20" t="n">
        <f aca="false">IF(HU68=1,HK68+OJ68+OI68+IF(G68=1,0,OK68),HK68-OM68)</f>
        <v>0</v>
      </c>
      <c r="QH68" s="20" t="n">
        <f aca="false">HL68-OO68</f>
        <v>0</v>
      </c>
      <c r="QI68" s="20" t="n">
        <f aca="false">IF(HU68=1,IF(G68=1,ID68+IE68,HS68),0)</f>
        <v>0</v>
      </c>
      <c r="QJ68" s="20" t="n">
        <f aca="false">IF(HU68=1,IF(G68=1,HS68-ID68-IE68,0),0)</f>
        <v>0</v>
      </c>
      <c r="QK68" s="57" t="n">
        <f aca="false">'Plan holdings'!BM68</f>
        <v>0</v>
      </c>
      <c r="QL68" s="20" t="n">
        <f aca="false">QH68*(1+AS_Cash)</f>
        <v>0</v>
      </c>
      <c r="QM68" s="20" t="n">
        <f aca="false">IF(W68=1,IF(HU68=1,II68+IL68,X68-QC68)*(1+Slot1_Rate),0)</f>
        <v>0</v>
      </c>
      <c r="QN68" s="20" t="n">
        <f aca="false">IF(AND(HU68=1,W68=1),(IH68+IL68)/F68,0)</f>
        <v>0</v>
      </c>
      <c r="QO68" s="20" t="n">
        <f aca="false">IF(B68=0,IH68+IL68,0)</f>
        <v>0</v>
      </c>
      <c r="QP68" s="20" t="n">
        <f aca="false">IF(B68=0,IF(HU68=1,IJ68,IK68),0)</f>
        <v>0</v>
      </c>
      <c r="QQ68" s="20" t="n">
        <f aca="false">IF(AH68=1,IF(HU68=1,IQ68+IT68,AI68-QA68)*(1+Slot2_Rate),0)</f>
        <v>0</v>
      </c>
      <c r="QR68" s="20" t="n">
        <f aca="false">IF(AND(HU68=1,AH68=1),(IP68+IT68)/F68,0)</f>
        <v>0</v>
      </c>
      <c r="QS68" s="20" t="n">
        <f aca="false">IF(B68=0,IP68+IT68,0)</f>
        <v>0</v>
      </c>
      <c r="QT68" s="20" t="n">
        <f aca="false">IF(B68=0,IF(HU68=1,IR68,IS68),0)</f>
        <v>0</v>
      </c>
      <c r="QU68" s="20" t="n">
        <f aca="false">IF(AR68=1,IF(HU68=1,IY68+JB68,AS68-PY68)*(1+Slot3_Rate),0)</f>
        <v>0</v>
      </c>
      <c r="QV68" s="20" t="n">
        <f aca="false">IF(AND(HU68=1,AR68=1),(IX68+JB68)/F68,0)</f>
        <v>0</v>
      </c>
      <c r="QW68" s="20" t="n">
        <f aca="false">IF(B68=0,IX68+JB68,0)</f>
        <v>0</v>
      </c>
      <c r="QX68" s="20" t="n">
        <f aca="false">IF(B68=0,IF(HU68=1,IZ68,JA68),0)</f>
        <v>0</v>
      </c>
      <c r="QY68" s="20" t="n">
        <f aca="false">IF(BB68=1,IF(HU68=1,JG68+JJ68,BC68-PW68)*(1+Slot4_Rate),0)</f>
        <v>0</v>
      </c>
      <c r="QZ68" s="20" t="n">
        <f aca="false">IF(AND(HU68=1,BB68=1),(JF68+JJ68)/F68,0)</f>
        <v>0</v>
      </c>
      <c r="RA68" s="20" t="n">
        <f aca="false">IF(B68=0,JF68+JJ68,0)</f>
        <v>0</v>
      </c>
      <c r="RB68" s="20" t="n">
        <f aca="false">IF(B68=0,IF(HU68=1,JH68,JI68),0)</f>
        <v>0</v>
      </c>
      <c r="RC68" s="20" t="n">
        <f aca="false">IF(BL68=1,IF(HU68=1,JO68+JR68,BM68-PU68)*(1+Slot5_Rate),0)</f>
        <v>0</v>
      </c>
      <c r="RD68" s="20" t="n">
        <f aca="false">IF(AND(HU68=1,BL68=1),(JN68+JR68)/F68,0)</f>
        <v>0</v>
      </c>
      <c r="RE68" s="20" t="n">
        <f aca="false">IF(B68=0,JN68+JR68,0)</f>
        <v>0</v>
      </c>
      <c r="RF68" s="20" t="n">
        <f aca="false">IF(B68=0,IF(HU68=1,JP68,JQ68),0)</f>
        <v>0</v>
      </c>
      <c r="RG68" s="20" t="n">
        <f aca="false">IF(BV68=1,IF(HU68=1,JW68+JZ68,BW68-PS68)*(1+Slot6_Rate),0)</f>
        <v>0</v>
      </c>
      <c r="RH68" s="20" t="n">
        <f aca="false">IF(AND(HU68=1,BV68=1),(JV68+JZ68)/F68,0)</f>
        <v>0</v>
      </c>
      <c r="RI68" s="20" t="n">
        <f aca="false">IF(B68=0,JV68+JZ68,0)</f>
        <v>0</v>
      </c>
      <c r="RJ68" s="20" t="n">
        <f aca="false">IF(B68=0,IF(HU68=1,JX68,JY68),0)</f>
        <v>0</v>
      </c>
      <c r="RK68" s="20" t="n">
        <f aca="false">IF(CF68=1,IF(HU68=1,KE68+KH68,CG68-PQ68)*(1+Slot7_Rate),0)</f>
        <v>0</v>
      </c>
      <c r="RL68" s="20" t="n">
        <f aca="false">IF(AND(HU68=1,CF68=1),(KD68+KH68)/F68,0)</f>
        <v>0</v>
      </c>
      <c r="RM68" s="20" t="n">
        <f aca="false">IF(B68=0,KD68+KH68,0)</f>
        <v>0</v>
      </c>
      <c r="RN68" s="20" t="n">
        <f aca="false">IF(B68=0,IF(HU68=1,KF68,KG68),0)</f>
        <v>0</v>
      </c>
      <c r="RO68" s="20" t="n">
        <f aca="false">IF(CP68=1,IF(HU68=1,KM68+KP68,CQ68-PO68)*(1+Slot8_Rate),0)</f>
        <v>0</v>
      </c>
      <c r="RP68" s="20" t="n">
        <f aca="false">IF(AND(HU68=1,CP68=1),(KL68+KP68)/F68,0)</f>
        <v>0</v>
      </c>
      <c r="RQ68" s="20" t="n">
        <f aca="false">IF(B68=0,KL68+KP68,0)</f>
        <v>0</v>
      </c>
      <c r="RR68" s="20" t="n">
        <f aca="false">IF(B68=0,IF(HU68=1,KN68,KO68),0)</f>
        <v>0</v>
      </c>
      <c r="RS68" s="20" t="n">
        <f aca="false">IF(CZ68=1,IF(HU68=1,KU68+KX68,DA68-PM68)*(1+Slot9_Rate),0)</f>
        <v>0</v>
      </c>
      <c r="RT68" s="20" t="n">
        <f aca="false">IF(AND(HU68=1,CZ68=1),(KT68+KX68)/F68,0)</f>
        <v>0</v>
      </c>
      <c r="RU68" s="20" t="n">
        <f aca="false">IF(B68=0,KT68+KX68,0)</f>
        <v>0</v>
      </c>
      <c r="RV68" s="20" t="n">
        <f aca="false">IF(B68=0,IF(HU68=1,KV68,KW68),0)</f>
        <v>0</v>
      </c>
      <c r="RW68" s="20" t="n">
        <f aca="false">IF(DJ68=1,IF(HU68=1,LC68+LF68,DK68-PK68)*(1+Slot10_Rate),0)</f>
        <v>0</v>
      </c>
      <c r="RX68" s="20" t="n">
        <f aca="false">IF(AND(HU68=1,DJ68=1),(LB68+LF68)/F68,0)</f>
        <v>0</v>
      </c>
      <c r="RY68" s="20" t="n">
        <f aca="false">IF(B68=0,LB68+LF68,0)</f>
        <v>0</v>
      </c>
      <c r="RZ68" s="20" t="n">
        <f aca="false">IF(B68=0,IF(HU68=1,LD68,LE68),0)</f>
        <v>0</v>
      </c>
      <c r="SA68" s="20" t="n">
        <f aca="false">IF(DT68=1,IF(HU68=1,LK68+LN68,DU68-PI68)*(1+Slot11_Rate),0)</f>
        <v>0</v>
      </c>
      <c r="SB68" s="20" t="n">
        <f aca="false">IF(AND(HU68=1,DT68=1),(LJ68+LN68)/F68,0)</f>
        <v>0</v>
      </c>
      <c r="SC68" s="20" t="n">
        <f aca="false">IF(B68=0,LJ68+LN68,0)</f>
        <v>0</v>
      </c>
      <c r="SD68" s="20" t="n">
        <f aca="false">IF(B68=0,IF(HU68=1,LL68,LM68),0)</f>
        <v>0</v>
      </c>
      <c r="SE68" s="20" t="n">
        <f aca="false">IF(ED68=1,IF(HU68=1,LS68+LV68,EE68-PG68)*(1+Slot12_Rate),0)</f>
        <v>0</v>
      </c>
      <c r="SF68" s="20" t="n">
        <f aca="false">IF(AND(HU68=1,ED68=1),(LR68+LV68)/F68,0)</f>
        <v>0</v>
      </c>
      <c r="SG68" s="20" t="n">
        <f aca="false">IF(B68=0,LR68+LV68,0)</f>
        <v>0</v>
      </c>
      <c r="SH68" s="20" t="n">
        <f aca="false">IF(B68=0,IF(HU68=1,LT68,LU68),0)</f>
        <v>0</v>
      </c>
      <c r="SI68" s="20" t="n">
        <f aca="false">IF(EN68=1,IF(HU68=1,MA68+MD68,EO68-PE68)*(1+Slot13_Rate),0)</f>
        <v>0</v>
      </c>
      <c r="SJ68" s="20" t="n">
        <f aca="false">IF(AND(HU68=1,EN68=1),(LZ68+MD68)/F68,0)</f>
        <v>0</v>
      </c>
      <c r="SK68" s="20" t="n">
        <f aca="false">IF(B68=0,LZ68+MD68,0)</f>
        <v>0</v>
      </c>
      <c r="SL68" s="20" t="n">
        <f aca="false">IF(B68=0,IF(HU68=1,MB68,MC68),0)</f>
        <v>0</v>
      </c>
      <c r="SM68" s="20" t="n">
        <f aca="false">IF(EX68=1,IF(HU68=1,MI68+ML68,EY68-PC68)*(1+Slot14_Rate),0)</f>
        <v>0</v>
      </c>
      <c r="SN68" s="20" t="n">
        <f aca="false">IF(AND(HU68=1,EX68=1),(MH68+ML68)/F68,0)</f>
        <v>0</v>
      </c>
      <c r="SO68" s="20" t="n">
        <f aca="false">IF(B68=0,MH68+ML68,0)</f>
        <v>0</v>
      </c>
      <c r="SP68" s="20" t="n">
        <f aca="false">IF(B68=0,IF(HU68=1,MJ68,MK68),0)</f>
        <v>0</v>
      </c>
      <c r="SQ68" s="20" t="n">
        <f aca="false">IF(FH68=1,IF(HU68=1,MQ68+MT68,FI68-PA68)*(1+Slot15_Rate),0)</f>
        <v>0</v>
      </c>
      <c r="SR68" s="20" t="n">
        <f aca="false">IF(AND(HU68=1,FH68=1),(MP68+MT68)/F68,0)</f>
        <v>0</v>
      </c>
      <c r="SS68" s="20" t="n">
        <f aca="false">IF(B68=0,MP68+MT68,0)</f>
        <v>0</v>
      </c>
      <c r="ST68" s="20" t="n">
        <f aca="false">IF(B68=0,IF(HU68=1,MR68,MS68),0)</f>
        <v>0</v>
      </c>
      <c r="SU68" s="20" t="n">
        <f aca="false">IF(FR68=1,IF(HU68=1,MY68+NB68,FS68-OY68)*(1+Slot16_Rate),0)</f>
        <v>0</v>
      </c>
      <c r="SV68" s="20" t="n">
        <f aca="false">IF(AND(HU68=1,FR68=1),(MX68+NB68)/F68,0)</f>
        <v>0</v>
      </c>
      <c r="SW68" s="20" t="n">
        <f aca="false">IF(B68=0,MX68+NB68,0)</f>
        <v>0</v>
      </c>
      <c r="SX68" s="20" t="n">
        <f aca="false">IF(B68=0,IF(HU68=1,MZ68,NA68),0)</f>
        <v>0</v>
      </c>
      <c r="SY68" s="20" t="n">
        <f aca="false">IF(GB68=1,IF(HU68=1,NG68+NJ68,GC68-OW68)*(1+Slot17_Rate),0)</f>
        <v>0</v>
      </c>
      <c r="SZ68" s="20" t="n">
        <f aca="false">IF(AND(HU68=1,GB68=1),(NF68+NJ68)/F68,0)</f>
        <v>0</v>
      </c>
      <c r="TA68" s="20" t="n">
        <f aca="false">IF(B68=0,NF68+NJ68,0)</f>
        <v>0</v>
      </c>
      <c r="TB68" s="20" t="n">
        <f aca="false">IF(B68=0,IF(HU68=1,NH68,NI68),0)</f>
        <v>0</v>
      </c>
      <c r="TC68" s="20" t="n">
        <f aca="false">IF(GL68=1,IF(HU68=1,NO68+NR68,GM68-OU68)*(1+Slot18_Rate),0)</f>
        <v>0</v>
      </c>
      <c r="TD68" s="20" t="n">
        <f aca="false">IF(AND(HU68=1,GL68=1),(NN68+NR68)/F68,0)</f>
        <v>0</v>
      </c>
      <c r="TE68" s="20" t="n">
        <f aca="false">IF(B68=0,NN68+NR68,0)</f>
        <v>0</v>
      </c>
      <c r="TF68" s="20" t="n">
        <f aca="false">IF(B68=0,IF(HU68=1,NP68,NQ68),0)</f>
        <v>0</v>
      </c>
      <c r="TG68" s="20" t="n">
        <f aca="false">IF(GV68=1,IF(HU68=1,NW68+NZ68,GW68-OS68)*(1+Slot19_Rate),0)</f>
        <v>0</v>
      </c>
      <c r="TH68" s="20" t="n">
        <f aca="false">IF(AND(HU68=1,GV68=1),(NV68+NZ68)/F68,0)</f>
        <v>0</v>
      </c>
      <c r="TI68" s="20" t="n">
        <f aca="false">IF(B68=0,NV68+NZ68,0)</f>
        <v>0</v>
      </c>
      <c r="TJ68" s="20" t="n">
        <f aca="false">IF(B68=0,IF(HU68=1,NX68,NY68),0)</f>
        <v>0</v>
      </c>
      <c r="TK68" s="20" t="n">
        <f aca="false">IF(HF68=1,IF(HU68=1,OE68+OH68,HG68-OQ68)*(1+Slot20_Rate),0)</f>
        <v>0</v>
      </c>
      <c r="TL68" s="20" t="n">
        <f aca="false">IF(AND(HU68=1,HF68=1),(OD68+OH68)/F68,0)</f>
        <v>0</v>
      </c>
      <c r="TM68" s="20" t="n">
        <f aca="false">IF(B68=0,OD68+OH68,0)</f>
        <v>0</v>
      </c>
      <c r="TN68" s="20" t="n">
        <f aca="false">IF(B68=0,IF(HU68=1,OF68,OG68),0)</f>
        <v>0</v>
      </c>
      <c r="TO68" s="20" t="n">
        <f aca="false">QK68+QL68+QM68+QQ68+QU68+QY68+RC68+RG68+RK68+RO68+RS68+RW68+SA68+SE68+SI68+SM68+SQ68+SU68+SY68+TC68+TG68+TK68</f>
        <v>0</v>
      </c>
      <c r="TP68" s="20" t="n">
        <f aca="false">QE68+HP68</f>
        <v>63210.7642738697</v>
      </c>
      <c r="TQ68" s="20" t="n">
        <f aca="false">I68+S68</f>
        <v>156833.271683867</v>
      </c>
      <c r="TR68" s="20" t="n">
        <f aca="false">1-G68</f>
        <v>1</v>
      </c>
      <c r="TS68" s="20" t="n">
        <f aca="false">IF(AND(RG_Exists=1,G68=0,C68=1),I68,0)</f>
        <v>0</v>
      </c>
      <c r="TT68" s="20" t="n">
        <f aca="false">IF(AND(RG_Exists=1,G68=0,C68=1),I68-MIN(QE68,I68),0)</f>
        <v>0</v>
      </c>
      <c r="TU68" s="20" t="n">
        <f aca="false">'Plan pay &amp; tax'!AD294</f>
        <v>0</v>
      </c>
      <c r="TV68" s="20" t="n">
        <f aca="false">IF(AND(C68=1,QE68&gt;MAX(PR_Short1,TQ68*PR_Short2)),1,0)</f>
        <v>0</v>
      </c>
      <c r="TW68" s="20" t="n">
        <f aca="false">MIN(H68,I68+S68)</f>
        <v>93622.5074099972</v>
      </c>
      <c r="TX68" s="20" t="n">
        <f aca="false">QF68+MAX(0,HQ68-HP68)</f>
        <v>0</v>
      </c>
      <c r="TY68" s="20" t="n">
        <f aca="false">QE68+HP68</f>
        <v>63210.7642738697</v>
      </c>
      <c r="TZ68" s="20" t="n">
        <f aca="false">IF(AND(C68=1,TY68&gt;PR_MinShort),1,0)</f>
        <v>0</v>
      </c>
      <c r="UA68" s="20" t="n">
        <f aca="false">IF(AND(C68=1,TZ68=0,TX68&gt;PR_MinShort),1,0)</f>
        <v>0</v>
      </c>
      <c r="UB68" s="20" t="n">
        <f aca="false">IF(AND(C68=1,QE68&gt;PR_MinShort),1,0)</f>
        <v>0</v>
      </c>
      <c r="UC68" s="20" t="n">
        <f aca="false">IF(AND(C68=1,QF68&gt;1,UJ68=0),1,0)</f>
        <v>0</v>
      </c>
      <c r="UD68" s="20" t="str">
        <f aca="false">IF(C68=0,"",IF(UJ68=1,"Gap to plan for: short "&amp;"€"&amp;TEXT(ROUND(TP68,0),"#,##0"),IF(QF68&gt;1,"Using savings","Comfortable")))</f>
        <v/>
      </c>
      <c r="UE68" s="20" t="n">
        <f aca="false">IF(AND(INT(D68/10)*10=90,B68&gt;0),80,INT(D68/10)*10)</f>
        <v>80</v>
      </c>
      <c r="UF68" s="20" t="n">
        <f aca="false">IF(B68=0,1,IF(UE68&lt;&gt;UE67,UF67+1,UF67))</f>
        <v>6</v>
      </c>
      <c r="UG68" s="20" t="n">
        <f aca="false">IF(AND(C68=1,G68=1,QE68&gt;MAX(PR_Short1,TQ68*PR_Short2)),1,0)</f>
        <v>0</v>
      </c>
      <c r="UH68" s="20" t="n">
        <f aca="false">TR68*TV68</f>
        <v>0</v>
      </c>
      <c r="UI68" s="20" t="n">
        <f aca="false">IF(AND(V68=1,Slot1_PctLow=1),1,0)+IF(AND(AG68=1,Slot2_PctLow=1),1,0)+IF(AND(AQ68=1,Slot3_PctLow=1),1,0)+IF(AND(BA68=1,Slot4_PctLow=1),1,0)+IF(AND(BK68=1,Slot5_PctLow=1),1,0)+IF(AND(BU68=1,Slot6_PctLow=1),1,0)+IF(AND(CE68=1,Slot7_PctLow=1),1,0)+IF(AND(CO68=1,Slot8_PctLow=1),1,0)+IF(AND(CY68=1,Slot9_PctLow=1),1,0)+IF(AND(DI68=1,Slot10_PctLow=1),1,0)+IF(AND(DS68=1,Slot11_PctLow=1),1,0)+IF(AND(EC68=1,Slot12_PctLow=1),1,0)+IF(AND(EM68=1,Slot13_PctLow=1),1,0)+IF(AND(EW68=1,Slot14_PctLow=1),1,0)+IF(AND(FG68=1,Slot15_PctLow=1),1,0)+IF(AND(FQ68=1,Slot16_PctLow=1),1,0)+IF(AND(GA68=1,Slot17_PctLow=1),1,0)+IF(AND(GK68=1,Slot18_PctLow=1),1,0)+IF(AND(GU68=1,Slot19_PctLow=1),1,0)+IF(AND(HE68=1,Slot20_PctLow=1),1,0)</f>
        <v>0</v>
      </c>
      <c r="UJ68" s="20" t="n">
        <f aca="false">IF(C68=1,IF(OR(TV68=1,UI68&gt;0),1,0),0)</f>
        <v>0</v>
      </c>
      <c r="UK68" s="20" t="n">
        <f aca="false">Z68+AK68+AU68+BE68+BO68+BY68+CI68+CS68+DC68+DM68+DW68+EG68+EQ68+FA68+FK68+FU68+GE68+GO68+GY68+HI68+OM68</f>
        <v>0</v>
      </c>
      <c r="UL68" s="20" t="n">
        <f aca="false">V68*IF(Slot1_SpendLike=1,X68-Y68,IF(Slot1_PotFree=1,X68,0))+AG68*IF(Slot2_SpendLike=1,AI68-AJ68,IF(Slot2_PotFree=1,AI68,0))+AQ68*IF(Slot3_SpendLike=1,AS68-AT68,IF(Slot3_PotFree=1,AS68,0))+BA68*IF(Slot4_SpendLike=1,BC68-BD68,IF(Slot4_PotFree=1,BC68,0))+BK68*IF(Slot5_SpendLike=1,BM68-BN68,IF(Slot5_PotFree=1,BM68,0))+BU68*IF(Slot6_SpendLike=1,BW68-BX68,IF(Slot6_PotFree=1,BW68,0))+CE68*IF(Slot7_SpendLike=1,CG68-CH68,IF(Slot7_PotFree=1,CG68,0))+CO68*IF(Slot8_SpendLike=1,CQ68-CR68,IF(Slot8_PotFree=1,CQ68,0))+CY68*IF(Slot9_SpendLike=1,DA68-DB68,IF(Slot9_PotFree=1,DA68,0))+DI68*IF(Slot10_SpendLike=1,DK68-DL68,IF(Slot10_PotFree=1,DK68,0))+DS68*IF(Slot11_SpendLike=1,DU68-DV68,IF(Slot11_PotFree=1,DU68,0))+EC68*IF(Slot12_SpendLike=1,EE68-EF68,IF(Slot12_PotFree=1,EE68,0))+EM68*IF(Slot13_SpendLike=1,EO68-EP68,IF(Slot13_PotFree=1,EO68,0))+EW68*IF(Slot14_SpendLike=1,EY68-EZ68,IF(Slot14_PotFree=1,EY68,0))+FG68*IF(Slot15_SpendLike=1,FI68-FJ68,IF(Slot15_PotFree=1,FI68,0))+FQ68*IF(Slot16_SpendLike=1,FS68-FT68,IF(Slot16_PotFree=1,FS68,0))+GA68*IF(Slot17_SpendLike=1,GC68-GD68,IF(Slot17_PotFree=1,GC68,0))+GK68*IF(Slot18_SpendLike=1,GM68-GN68,IF(Slot18_PotFree=1,GM68,0))+GU68*IF(Slot19_SpendLike=1,GW68-GX68,IF(Slot19_PotFree=1,GW68,0))+HE68*IF(Slot20_SpendLike=1,HG68-HH68,IF(Slot20_PotFree=1,HG68,0))</f>
        <v>0</v>
      </c>
      <c r="UM68" s="20" t="n">
        <f aca="false">QG68-T68+UK68-UL68</f>
        <v>0</v>
      </c>
      <c r="UN68" s="20" t="n">
        <f aca="false">IF(OR(UN67=1,AND(In_homeUse="Yes, I'd downsize",In_downAge&gt;0,D68=In_downAge,OR(In_home="Own outright",In_home="Own with mortgage"),In_homeValue&gt;0)),1,0)</f>
        <v>0</v>
      </c>
    </row>
    <row r="69" customFormat="false" ht="15" hidden="false" customHeight="true" outlineLevel="0" collapsed="false">
      <c r="B69" s="20" t="n">
        <v>61</v>
      </c>
      <c r="C69" s="20" t="n">
        <f aca="false">IF(B69&lt;=F_N,1,0)</f>
        <v>0</v>
      </c>
      <c r="D69" s="20" t="n">
        <f aca="false">'Plan pay &amp; tax'!C295</f>
        <v>99</v>
      </c>
      <c r="E69" s="20" t="str">
        <f aca="false">IF($C69=1,"Income tax "&amp;TEXT(N('Plan pay &amp; tax'!BK295),"#,##0")&amp;"; USC "&amp;TEXT(N('Plan pay &amp; tax'!BM295)+N('Plan pay &amp; tax'!BO295),"#,##0")&amp;"; PRSI "&amp;TEXT(N('Plan pay &amp; tax'!BP295)+N('Plan pay &amp; tax'!BQ295),"#,##0")&amp;IF(N('Plan holdings'!BO69)&gt;=0.5,"; DIRT "&amp;TEXT(('Plan holdings'!BO69)/$F69,"#,##0")&amp;" (already taken from the interest earned)","")&amp;IF(N('Plan holdings'!BP69)&gt;=0.5,"; exit tax at an 8-year anniversary "&amp;TEXT(('Plan holdings'!BP69)/$F69,"#,##0"),"")&amp;IF(N('Plan holdings'!BN69)&gt;=0.5,"; tax on assets sold (exit tax or capital gains tax) "&amp;TEXT(('Plan holdings'!BN69)/$F69,"#,##0"),"")&amp;IF(N('Plan pay &amp; tax'!X295)-N('Plan pay &amp; tax'!Y295)&gt;=0.5,"; tax on the pension lump sum "&amp;TEXT(('Plan pay &amp; tax'!X295-'Plan pay &amp; tax'!Y295)/$F69,"#,##0"),"")&amp;IF(N('Plan pay &amp; tax'!V295)&gt;=0.5,"; chargeable excess tax on the pension "&amp;TEXT(('Plan pay &amp; tax'!V295)/$F69,"#,##0"),"")&amp;".","")</f>
        <v/>
      </c>
      <c r="F69" s="50" t="n">
        <f aca="false">'Plan pay &amp; tax'!E295</f>
        <v>3.34665140413272</v>
      </c>
      <c r="G69" s="20" t="n">
        <f aca="false">'Plan pay &amp; tax'!G295</f>
        <v>0</v>
      </c>
      <c r="H69" s="20" t="n">
        <f aca="false">'Plan pay &amp; tax'!BT295-'Plan pay &amp; tax'!BS295-'Plan pay &amp; tax'!R295</f>
        <v>95494.9575581971</v>
      </c>
      <c r="I69" s="20" t="n">
        <f aca="false">IF(G69=1,F_CostsM*12,IF(RG_Exists=1,RG_Amount,F_CostsM*12*AS_RetireSpend))*F69+F_OneOffY*F69</f>
        <v>159969.937117544</v>
      </c>
      <c r="J69" s="20" t="n">
        <f aca="false">IF(UN69=1,0,HR68)</f>
        <v>0</v>
      </c>
      <c r="K69" s="20" t="n">
        <f aca="false">IF(J69&gt;1,'Plan debt months'!AC69,0)</f>
        <v>0</v>
      </c>
      <c r="L69" s="20" t="n">
        <f aca="false">IF(J69&gt;1,'Plan debt months'!AB69,J69)</f>
        <v>0</v>
      </c>
      <c r="M69" s="20" t="n">
        <f aca="false">O68</f>
        <v>0</v>
      </c>
      <c r="N69" s="20" t="n">
        <f aca="false">IF(M69&gt;1,'Plan debt months'!BD69,0)</f>
        <v>0</v>
      </c>
      <c r="O69" s="20" t="n">
        <f aca="false">IF(M69&gt;1,'Plan debt months'!BC69,M69)</f>
        <v>0</v>
      </c>
      <c r="P69" s="20" t="n">
        <f aca="false">R68</f>
        <v>0</v>
      </c>
      <c r="Q69" s="20" t="n">
        <f aca="false">IF(P69&gt;1,'Plan debt months'!CE69,0)</f>
        <v>0</v>
      </c>
      <c r="R69" s="20" t="n">
        <f aca="false">IF(P69&gt;1,'Plan debt months'!CD69,P69)</f>
        <v>0</v>
      </c>
      <c r="S69" s="20" t="n">
        <f aca="false">K69+N69+Q69</f>
        <v>0</v>
      </c>
      <c r="T69" s="57" t="n">
        <f aca="false">'Plan holdings'!Y69</f>
        <v>0</v>
      </c>
      <c r="U69" s="57" t="n">
        <f aca="false">'Plan holdings'!BM68</f>
        <v>0</v>
      </c>
      <c r="V69" s="20" t="n">
        <f aca="false">IF(AND(Slot1_On=1,D69=Slot1_Age),1,0)</f>
        <v>0</v>
      </c>
      <c r="W69" s="20" t="n">
        <f aca="false">IF(AND(Slot1_On=1,Slot1_Age&gt;D69),1,0)</f>
        <v>0</v>
      </c>
      <c r="X69" s="20" t="n">
        <f aca="false">QM68</f>
        <v>0</v>
      </c>
      <c r="Y69" s="20" t="n">
        <f aca="false">V69*MIN(Slot1_Cost,X69)</f>
        <v>0</v>
      </c>
      <c r="Z69" s="20" t="n">
        <f aca="false">V69*Slot1_SpendLike*MIN(Slot1_Cost-Y69,T69)</f>
        <v>0</v>
      </c>
      <c r="AA69" s="20" t="n">
        <f aca="false">Y69+Z69</f>
        <v>0</v>
      </c>
      <c r="AB69" s="20" t="n">
        <f aca="false">T69-Z69+V69*IF(Slot1_SpendLike=1,X69-Y69,IF(Slot1_PotFree=1,X69,0))</f>
        <v>0</v>
      </c>
      <c r="AC69" s="20" t="n">
        <f aca="false">AF69+V69*Slot1_BufPot*X69</f>
        <v>0</v>
      </c>
      <c r="AD69" s="20" t="n">
        <f aca="false">IF(AND(V69=1,Slot1_IsMfree=1),IF(AA69&gt;=Slot1_Cost-1,0,MAX(0,L69-AA69)),L69)</f>
        <v>0</v>
      </c>
      <c r="AE69" s="20" t="n">
        <f aca="false">V69*(Slot1_Cost-AA69)</f>
        <v>0</v>
      </c>
      <c r="AF69" s="20" t="n">
        <f aca="false">QL68</f>
        <v>0</v>
      </c>
      <c r="AG69" s="20" t="n">
        <f aca="false">IF(AND(Slot2_On=1,D69=Slot2_Age),1,0)</f>
        <v>0</v>
      </c>
      <c r="AH69" s="20" t="n">
        <f aca="false">IF(AND(Slot2_On=1,Slot2_Age&gt;D69),1,0)</f>
        <v>0</v>
      </c>
      <c r="AI69" s="20" t="n">
        <f aca="false">QQ68</f>
        <v>0</v>
      </c>
      <c r="AJ69" s="20" t="n">
        <f aca="false">AG69*MIN(Slot2_Cost,AI69)</f>
        <v>0</v>
      </c>
      <c r="AK69" s="20" t="n">
        <f aca="false">AG69*Slot2_SpendLike*MIN(Slot2_Cost-AJ69,AB69)</f>
        <v>0</v>
      </c>
      <c r="AL69" s="20" t="n">
        <f aca="false">AJ69+AK69</f>
        <v>0</v>
      </c>
      <c r="AM69" s="20" t="n">
        <f aca="false">AB69-AK69+AG69*IF(Slot2_SpendLike=1,AI69-AJ69,IF(Slot2_PotFree=1,AI69,0))</f>
        <v>0</v>
      </c>
      <c r="AN69" s="20" t="n">
        <f aca="false">AC69+AG69*Slot2_BufPot*AI69</f>
        <v>0</v>
      </c>
      <c r="AO69" s="20" t="n">
        <f aca="false">IF(AND(AG69=1,Slot2_IsMfree=1),IF(AL69&gt;=Slot2_Cost-1,0,MAX(0,AD69-AL69)),AD69)</f>
        <v>0</v>
      </c>
      <c r="AP69" s="20" t="n">
        <f aca="false">AG69*(Slot2_Cost-AL69)</f>
        <v>0</v>
      </c>
      <c r="AQ69" s="20" t="n">
        <f aca="false">IF(AND(Slot3_On=1,D69=Slot3_Age),1,0)</f>
        <v>0</v>
      </c>
      <c r="AR69" s="20" t="n">
        <f aca="false">IF(AND(Slot3_On=1,Slot3_Age&gt;D69),1,0)</f>
        <v>0</v>
      </c>
      <c r="AS69" s="20" t="n">
        <f aca="false">QU68</f>
        <v>0</v>
      </c>
      <c r="AT69" s="20" t="n">
        <f aca="false">AQ69*MIN(Slot3_Cost,AS69)</f>
        <v>0</v>
      </c>
      <c r="AU69" s="20" t="n">
        <f aca="false">AQ69*Slot3_SpendLike*MIN(Slot3_Cost-AT69,AM69)</f>
        <v>0</v>
      </c>
      <c r="AV69" s="20" t="n">
        <f aca="false">AT69+AU69</f>
        <v>0</v>
      </c>
      <c r="AW69" s="20" t="n">
        <f aca="false">AM69-AU69+AQ69*IF(Slot3_SpendLike=1,AS69-AT69,IF(Slot3_PotFree=1,AS69,0))</f>
        <v>0</v>
      </c>
      <c r="AX69" s="20" t="n">
        <f aca="false">AN69+AQ69*Slot3_BufPot*AS69</f>
        <v>0</v>
      </c>
      <c r="AY69" s="20" t="n">
        <f aca="false">IF(AND(AQ69=1,Slot3_IsMfree=1),IF(AV69&gt;=Slot3_Cost-1,0,MAX(0,AO69-AV69)),AO69)</f>
        <v>0</v>
      </c>
      <c r="AZ69" s="20" t="n">
        <f aca="false">AQ69*(Slot3_Cost-AV69)</f>
        <v>0</v>
      </c>
      <c r="BA69" s="20" t="n">
        <f aca="false">IF(AND(Slot4_On=1,D69=Slot4_Age),1,0)</f>
        <v>0</v>
      </c>
      <c r="BB69" s="20" t="n">
        <f aca="false">IF(AND(Slot4_On=1,Slot4_Age&gt;D69),1,0)</f>
        <v>0</v>
      </c>
      <c r="BC69" s="20" t="n">
        <f aca="false">QY68</f>
        <v>0</v>
      </c>
      <c r="BD69" s="20" t="n">
        <f aca="false">BA69*MIN(Slot4_Cost,BC69)</f>
        <v>0</v>
      </c>
      <c r="BE69" s="20" t="n">
        <f aca="false">BA69*Slot4_SpendLike*MIN(Slot4_Cost-BD69,AW69)</f>
        <v>0</v>
      </c>
      <c r="BF69" s="20" t="n">
        <f aca="false">BD69+BE69</f>
        <v>0</v>
      </c>
      <c r="BG69" s="20" t="n">
        <f aca="false">AW69-BE69+BA69*IF(Slot4_SpendLike=1,BC69-BD69,IF(Slot4_PotFree=1,BC69,0))</f>
        <v>0</v>
      </c>
      <c r="BH69" s="20" t="n">
        <f aca="false">AX69+BA69*Slot4_BufPot*BC69</f>
        <v>0</v>
      </c>
      <c r="BI69" s="20" t="n">
        <f aca="false">IF(AND(BA69=1,Slot4_IsMfree=1),IF(BF69&gt;=Slot4_Cost-1,0,MAX(0,AY69-BF69)),AY69)</f>
        <v>0</v>
      </c>
      <c r="BJ69" s="20" t="n">
        <f aca="false">BA69*(Slot4_Cost-BF69)</f>
        <v>0</v>
      </c>
      <c r="BK69" s="20" t="n">
        <f aca="false">IF(AND(Slot5_On=1,D69=Slot5_Age),1,0)</f>
        <v>0</v>
      </c>
      <c r="BL69" s="20" t="n">
        <f aca="false">IF(AND(Slot5_On=1,Slot5_Age&gt;D69),1,0)</f>
        <v>0</v>
      </c>
      <c r="BM69" s="20" t="n">
        <f aca="false">RC68</f>
        <v>0</v>
      </c>
      <c r="BN69" s="20" t="n">
        <f aca="false">BK69*MIN(Slot5_Cost,BM69)</f>
        <v>0</v>
      </c>
      <c r="BO69" s="20" t="n">
        <f aca="false">BK69*Slot5_SpendLike*MIN(Slot5_Cost-BN69,BG69)</f>
        <v>0</v>
      </c>
      <c r="BP69" s="20" t="n">
        <f aca="false">BN69+BO69</f>
        <v>0</v>
      </c>
      <c r="BQ69" s="20" t="n">
        <f aca="false">BG69-BO69+BK69*IF(Slot5_SpendLike=1,BM69-BN69,IF(Slot5_PotFree=1,BM69,0))</f>
        <v>0</v>
      </c>
      <c r="BR69" s="20" t="n">
        <f aca="false">BH69+BK69*Slot5_BufPot*BM69</f>
        <v>0</v>
      </c>
      <c r="BS69" s="20" t="n">
        <f aca="false">IF(AND(BK69=1,Slot5_IsMfree=1),IF(BP69&gt;=Slot5_Cost-1,0,MAX(0,BI69-BP69)),BI69)</f>
        <v>0</v>
      </c>
      <c r="BT69" s="20" t="n">
        <f aca="false">BK69*(Slot5_Cost-BP69)</f>
        <v>0</v>
      </c>
      <c r="BU69" s="20" t="n">
        <f aca="false">IF(AND(Slot6_On=1,D69=Slot6_Age),1,0)</f>
        <v>0</v>
      </c>
      <c r="BV69" s="20" t="n">
        <f aca="false">IF(AND(Slot6_On=1,Slot6_Age&gt;D69),1,0)</f>
        <v>0</v>
      </c>
      <c r="BW69" s="20" t="n">
        <f aca="false">RG68</f>
        <v>0</v>
      </c>
      <c r="BX69" s="20" t="n">
        <f aca="false">BU69*MIN(Slot6_Cost,BW69)</f>
        <v>0</v>
      </c>
      <c r="BY69" s="20" t="n">
        <f aca="false">BU69*Slot6_SpendLike*MIN(Slot6_Cost-BX69,BQ69)</f>
        <v>0</v>
      </c>
      <c r="BZ69" s="20" t="n">
        <f aca="false">BX69+BY69</f>
        <v>0</v>
      </c>
      <c r="CA69" s="20" t="n">
        <f aca="false">BQ69-BY69+BU69*IF(Slot6_SpendLike=1,BW69-BX69,IF(Slot6_PotFree=1,BW69,0))</f>
        <v>0</v>
      </c>
      <c r="CB69" s="20" t="n">
        <f aca="false">BR69+BU69*Slot6_BufPot*BW69</f>
        <v>0</v>
      </c>
      <c r="CC69" s="20" t="n">
        <f aca="false">IF(AND(BU69=1,Slot6_IsMfree=1),IF(BZ69&gt;=Slot6_Cost-1,0,MAX(0,BS69-BZ69)),BS69)</f>
        <v>0</v>
      </c>
      <c r="CD69" s="20" t="n">
        <f aca="false">BU69*(Slot6_Cost-BZ69)</f>
        <v>0</v>
      </c>
      <c r="CE69" s="20" t="n">
        <f aca="false">IF(AND(Slot7_On=1,D69=Slot7_Age),1,0)</f>
        <v>0</v>
      </c>
      <c r="CF69" s="20" t="n">
        <f aca="false">IF(AND(Slot7_On=1,Slot7_Age&gt;D69),1,0)</f>
        <v>0</v>
      </c>
      <c r="CG69" s="20" t="n">
        <f aca="false">RK68</f>
        <v>0</v>
      </c>
      <c r="CH69" s="20" t="n">
        <f aca="false">CE69*MIN(Slot7_Cost,CG69)</f>
        <v>0</v>
      </c>
      <c r="CI69" s="20" t="n">
        <f aca="false">CE69*Slot7_SpendLike*MIN(Slot7_Cost-CH69,CA69)</f>
        <v>0</v>
      </c>
      <c r="CJ69" s="20" t="n">
        <f aca="false">CH69+CI69</f>
        <v>0</v>
      </c>
      <c r="CK69" s="20" t="n">
        <f aca="false">CA69-CI69+CE69*IF(Slot7_SpendLike=1,CG69-CH69,IF(Slot7_PotFree=1,CG69,0))</f>
        <v>0</v>
      </c>
      <c r="CL69" s="20" t="n">
        <f aca="false">CB69+CE69*Slot7_BufPot*CG69</f>
        <v>0</v>
      </c>
      <c r="CM69" s="20" t="n">
        <f aca="false">IF(AND(CE69=1,Slot7_IsMfree=1),IF(CJ69&gt;=Slot7_Cost-1,0,MAX(0,CC69-CJ69)),CC69)</f>
        <v>0</v>
      </c>
      <c r="CN69" s="20" t="n">
        <f aca="false">CE69*(Slot7_Cost-CJ69)</f>
        <v>0</v>
      </c>
      <c r="CO69" s="20" t="n">
        <f aca="false">IF(AND(Slot8_On=1,D69=Slot8_Age),1,0)</f>
        <v>0</v>
      </c>
      <c r="CP69" s="20" t="n">
        <f aca="false">IF(AND(Slot8_On=1,Slot8_Age&gt;D69),1,0)</f>
        <v>0</v>
      </c>
      <c r="CQ69" s="20" t="n">
        <f aca="false">RO68</f>
        <v>0</v>
      </c>
      <c r="CR69" s="20" t="n">
        <f aca="false">CO69*MIN(Slot8_Cost,CQ69)</f>
        <v>0</v>
      </c>
      <c r="CS69" s="20" t="n">
        <f aca="false">CO69*Slot8_SpendLike*MIN(Slot8_Cost-CR69,CK69)</f>
        <v>0</v>
      </c>
      <c r="CT69" s="20" t="n">
        <f aca="false">CR69+CS69</f>
        <v>0</v>
      </c>
      <c r="CU69" s="20" t="n">
        <f aca="false">CK69-CS69+CO69*IF(Slot8_SpendLike=1,CQ69-CR69,IF(Slot8_PotFree=1,CQ69,0))</f>
        <v>0</v>
      </c>
      <c r="CV69" s="20" t="n">
        <f aca="false">CL69+CO69*Slot8_BufPot*CQ69</f>
        <v>0</v>
      </c>
      <c r="CW69" s="20" t="n">
        <f aca="false">IF(AND(CO69=1,Slot8_IsMfree=1),IF(CT69&gt;=Slot8_Cost-1,0,MAX(0,CM69-CT69)),CM69)</f>
        <v>0</v>
      </c>
      <c r="CX69" s="20" t="n">
        <f aca="false">CO69*(Slot8_Cost-CT69)</f>
        <v>0</v>
      </c>
      <c r="CY69" s="20" t="n">
        <f aca="false">IF(AND(Slot9_On=1,D69=Slot9_Age),1,0)</f>
        <v>0</v>
      </c>
      <c r="CZ69" s="20" t="n">
        <f aca="false">IF(AND(Slot9_On=1,Slot9_Age&gt;D69),1,0)</f>
        <v>0</v>
      </c>
      <c r="DA69" s="20" t="n">
        <f aca="false">RS68</f>
        <v>0</v>
      </c>
      <c r="DB69" s="20" t="n">
        <f aca="false">CY69*MIN(Slot9_Cost,DA69)</f>
        <v>0</v>
      </c>
      <c r="DC69" s="20" t="n">
        <f aca="false">CY69*Slot9_SpendLike*MIN(Slot9_Cost-DB69,CU69)</f>
        <v>0</v>
      </c>
      <c r="DD69" s="20" t="n">
        <f aca="false">DB69+DC69</f>
        <v>0</v>
      </c>
      <c r="DE69" s="20" t="n">
        <f aca="false">CU69-DC69+CY69*IF(Slot9_SpendLike=1,DA69-DB69,IF(Slot9_PotFree=1,DA69,0))</f>
        <v>0</v>
      </c>
      <c r="DF69" s="20" t="n">
        <f aca="false">CV69+CY69*Slot9_BufPot*DA69</f>
        <v>0</v>
      </c>
      <c r="DG69" s="20" t="n">
        <f aca="false">IF(AND(CY69=1,Slot9_IsMfree=1),IF(DD69&gt;=Slot9_Cost-1,0,MAX(0,CW69-DD69)),CW69)</f>
        <v>0</v>
      </c>
      <c r="DH69" s="20" t="n">
        <f aca="false">CY69*(Slot9_Cost-DD69)</f>
        <v>0</v>
      </c>
      <c r="DI69" s="20" t="n">
        <f aca="false">IF(AND(Slot10_On=1,D69=Slot10_Age),1,0)</f>
        <v>0</v>
      </c>
      <c r="DJ69" s="20" t="n">
        <f aca="false">IF(AND(Slot10_On=1,Slot10_Age&gt;D69),1,0)</f>
        <v>0</v>
      </c>
      <c r="DK69" s="20" t="n">
        <f aca="false">RW68</f>
        <v>0</v>
      </c>
      <c r="DL69" s="20" t="n">
        <f aca="false">DI69*MIN(Slot10_Cost,DK69)</f>
        <v>0</v>
      </c>
      <c r="DM69" s="20" t="n">
        <f aca="false">DI69*Slot10_SpendLike*MIN(Slot10_Cost-DL69,DE69)</f>
        <v>0</v>
      </c>
      <c r="DN69" s="20" t="n">
        <f aca="false">DL69+DM69</f>
        <v>0</v>
      </c>
      <c r="DO69" s="20" t="n">
        <f aca="false">DE69-DM69+DI69*IF(Slot10_SpendLike=1,DK69-DL69,IF(Slot10_PotFree=1,DK69,0))</f>
        <v>0</v>
      </c>
      <c r="DP69" s="20" t="n">
        <f aca="false">DF69+DI69*Slot10_BufPot*DK69</f>
        <v>0</v>
      </c>
      <c r="DQ69" s="20" t="n">
        <f aca="false">IF(AND(DI69=1,Slot10_IsMfree=1),IF(DN69&gt;=Slot10_Cost-1,0,MAX(0,DG69-DN69)),DG69)</f>
        <v>0</v>
      </c>
      <c r="DR69" s="20" t="n">
        <f aca="false">DI69*(Slot10_Cost-DN69)</f>
        <v>0</v>
      </c>
      <c r="DS69" s="20" t="n">
        <f aca="false">IF(AND(Slot11_On=1,D69=Slot11_Age),1,0)</f>
        <v>0</v>
      </c>
      <c r="DT69" s="20" t="n">
        <f aca="false">IF(AND(Slot11_On=1,Slot11_Age&gt;D69),1,0)</f>
        <v>0</v>
      </c>
      <c r="DU69" s="20" t="n">
        <f aca="false">SA68</f>
        <v>0</v>
      </c>
      <c r="DV69" s="20" t="n">
        <f aca="false">DS69*MIN(Slot11_Cost,DU69)</f>
        <v>0</v>
      </c>
      <c r="DW69" s="20" t="n">
        <f aca="false">DS69*Slot11_SpendLike*MIN(Slot11_Cost-DV69,DO69)</f>
        <v>0</v>
      </c>
      <c r="DX69" s="20" t="n">
        <f aca="false">DV69+DW69</f>
        <v>0</v>
      </c>
      <c r="DY69" s="20" t="n">
        <f aca="false">DO69-DW69+DS69*IF(Slot11_SpendLike=1,DU69-DV69,IF(Slot11_PotFree=1,DU69,0))</f>
        <v>0</v>
      </c>
      <c r="DZ69" s="20" t="n">
        <f aca="false">DP69+DS69*Slot11_BufPot*DU69</f>
        <v>0</v>
      </c>
      <c r="EA69" s="20" t="n">
        <f aca="false">IF(AND(DS69=1,Slot11_IsMfree=1),IF(DX69&gt;=Slot11_Cost-1,0,MAX(0,DQ69-DX69)),DQ69)</f>
        <v>0</v>
      </c>
      <c r="EB69" s="20" t="n">
        <f aca="false">DS69*(Slot11_Cost-DX69)</f>
        <v>0</v>
      </c>
      <c r="EC69" s="20" t="n">
        <f aca="false">IF(AND(Slot12_On=1,D69=Slot12_Age),1,0)</f>
        <v>0</v>
      </c>
      <c r="ED69" s="20" t="n">
        <f aca="false">IF(AND(Slot12_On=1,Slot12_Age&gt;D69),1,0)</f>
        <v>0</v>
      </c>
      <c r="EE69" s="20" t="n">
        <f aca="false">SE68</f>
        <v>0</v>
      </c>
      <c r="EF69" s="20" t="n">
        <f aca="false">EC69*MIN(Slot12_Cost,EE69)</f>
        <v>0</v>
      </c>
      <c r="EG69" s="20" t="n">
        <f aca="false">EC69*Slot12_SpendLike*MIN(Slot12_Cost-EF69,DY69)</f>
        <v>0</v>
      </c>
      <c r="EH69" s="20" t="n">
        <f aca="false">EF69+EG69</f>
        <v>0</v>
      </c>
      <c r="EI69" s="20" t="n">
        <f aca="false">DY69-EG69+EC69*IF(Slot12_SpendLike=1,EE69-EF69,IF(Slot12_PotFree=1,EE69,0))</f>
        <v>0</v>
      </c>
      <c r="EJ69" s="20" t="n">
        <f aca="false">DZ69+EC69*Slot12_BufPot*EE69</f>
        <v>0</v>
      </c>
      <c r="EK69" s="20" t="n">
        <f aca="false">IF(AND(EC69=1,Slot12_IsMfree=1),IF(EH69&gt;=Slot12_Cost-1,0,MAX(0,EA69-EH69)),EA69)</f>
        <v>0</v>
      </c>
      <c r="EL69" s="20" t="n">
        <f aca="false">EC69*(Slot12_Cost-EH69)</f>
        <v>0</v>
      </c>
      <c r="EM69" s="20" t="n">
        <f aca="false">IF(AND(Slot13_On=1,D69=Slot13_Age),1,0)</f>
        <v>0</v>
      </c>
      <c r="EN69" s="20" t="n">
        <f aca="false">IF(AND(Slot13_On=1,Slot13_Age&gt;D69),1,0)</f>
        <v>0</v>
      </c>
      <c r="EO69" s="20" t="n">
        <f aca="false">SI68</f>
        <v>0</v>
      </c>
      <c r="EP69" s="20" t="n">
        <f aca="false">EM69*MIN(Slot13_Cost,EO69)</f>
        <v>0</v>
      </c>
      <c r="EQ69" s="20" t="n">
        <f aca="false">EM69*Slot13_SpendLike*MIN(Slot13_Cost-EP69,EI69)</f>
        <v>0</v>
      </c>
      <c r="ER69" s="20" t="n">
        <f aca="false">EP69+EQ69</f>
        <v>0</v>
      </c>
      <c r="ES69" s="20" t="n">
        <f aca="false">EI69-EQ69+EM69*IF(Slot13_SpendLike=1,EO69-EP69,IF(Slot13_PotFree=1,EO69,0))</f>
        <v>0</v>
      </c>
      <c r="ET69" s="20" t="n">
        <f aca="false">EJ69+EM69*Slot13_BufPot*EO69</f>
        <v>0</v>
      </c>
      <c r="EU69" s="20" t="n">
        <f aca="false">IF(AND(EM69=1,Slot13_IsMfree=1),IF(ER69&gt;=Slot13_Cost-1,0,MAX(0,EK69-ER69)),EK69)</f>
        <v>0</v>
      </c>
      <c r="EV69" s="20" t="n">
        <f aca="false">EM69*(Slot13_Cost-ER69)</f>
        <v>0</v>
      </c>
      <c r="EW69" s="20" t="n">
        <f aca="false">IF(AND(Slot14_On=1,D69=Slot14_Age),1,0)</f>
        <v>0</v>
      </c>
      <c r="EX69" s="20" t="n">
        <f aca="false">IF(AND(Slot14_On=1,Slot14_Age&gt;D69),1,0)</f>
        <v>0</v>
      </c>
      <c r="EY69" s="20" t="n">
        <f aca="false">SM68</f>
        <v>0</v>
      </c>
      <c r="EZ69" s="20" t="n">
        <f aca="false">EW69*MIN(Slot14_Cost,EY69)</f>
        <v>0</v>
      </c>
      <c r="FA69" s="20" t="n">
        <f aca="false">EW69*Slot14_SpendLike*MIN(Slot14_Cost-EZ69,ES69)</f>
        <v>0</v>
      </c>
      <c r="FB69" s="20" t="n">
        <f aca="false">EZ69+FA69</f>
        <v>0</v>
      </c>
      <c r="FC69" s="20" t="n">
        <f aca="false">ES69-FA69+EW69*IF(Slot14_SpendLike=1,EY69-EZ69,IF(Slot14_PotFree=1,EY69,0))</f>
        <v>0</v>
      </c>
      <c r="FD69" s="20" t="n">
        <f aca="false">ET69+EW69*Slot14_BufPot*EY69</f>
        <v>0</v>
      </c>
      <c r="FE69" s="20" t="n">
        <f aca="false">IF(AND(EW69=1,Slot14_IsMfree=1),IF(FB69&gt;=Slot14_Cost-1,0,MAX(0,EU69-FB69)),EU69)</f>
        <v>0</v>
      </c>
      <c r="FF69" s="20" t="n">
        <f aca="false">EW69*(Slot14_Cost-FB69)</f>
        <v>0</v>
      </c>
      <c r="FG69" s="20" t="n">
        <f aca="false">IF(AND(Slot15_On=1,D69=Slot15_Age),1,0)</f>
        <v>0</v>
      </c>
      <c r="FH69" s="20" t="n">
        <f aca="false">IF(AND(Slot15_On=1,Slot15_Age&gt;D69),1,0)</f>
        <v>0</v>
      </c>
      <c r="FI69" s="20" t="n">
        <f aca="false">SQ68</f>
        <v>0</v>
      </c>
      <c r="FJ69" s="20" t="n">
        <f aca="false">FG69*MIN(Slot15_Cost,FI69)</f>
        <v>0</v>
      </c>
      <c r="FK69" s="20" t="n">
        <f aca="false">FG69*Slot15_SpendLike*MIN(Slot15_Cost-FJ69,FC69)</f>
        <v>0</v>
      </c>
      <c r="FL69" s="20" t="n">
        <f aca="false">FJ69+FK69</f>
        <v>0</v>
      </c>
      <c r="FM69" s="20" t="n">
        <f aca="false">FC69-FK69+FG69*IF(Slot15_SpendLike=1,FI69-FJ69,IF(Slot15_PotFree=1,FI69,0))</f>
        <v>0</v>
      </c>
      <c r="FN69" s="20" t="n">
        <f aca="false">FD69+FG69*Slot15_BufPot*FI69</f>
        <v>0</v>
      </c>
      <c r="FO69" s="20" t="n">
        <f aca="false">IF(AND(FG69=1,Slot15_IsMfree=1),IF(FL69&gt;=Slot15_Cost-1,0,MAX(0,FE69-FL69)),FE69)</f>
        <v>0</v>
      </c>
      <c r="FP69" s="20" t="n">
        <f aca="false">FG69*(Slot15_Cost-FL69)</f>
        <v>0</v>
      </c>
      <c r="FQ69" s="20" t="n">
        <f aca="false">IF(AND(Slot16_On=1,D69=Slot16_Age),1,0)</f>
        <v>0</v>
      </c>
      <c r="FR69" s="20" t="n">
        <f aca="false">IF(AND(Slot16_On=1,Slot16_Age&gt;D69),1,0)</f>
        <v>0</v>
      </c>
      <c r="FS69" s="20" t="n">
        <f aca="false">SU68</f>
        <v>0</v>
      </c>
      <c r="FT69" s="20" t="n">
        <f aca="false">FQ69*MIN(Slot16_Cost,FS69)</f>
        <v>0</v>
      </c>
      <c r="FU69" s="20" t="n">
        <f aca="false">FQ69*Slot16_SpendLike*MIN(Slot16_Cost-FT69,FM69)</f>
        <v>0</v>
      </c>
      <c r="FV69" s="20" t="n">
        <f aca="false">FT69+FU69</f>
        <v>0</v>
      </c>
      <c r="FW69" s="20" t="n">
        <f aca="false">FM69-FU69+FQ69*IF(Slot16_SpendLike=1,FS69-FT69,IF(Slot16_PotFree=1,FS69,0))</f>
        <v>0</v>
      </c>
      <c r="FX69" s="20" t="n">
        <f aca="false">FN69+FQ69*Slot16_BufPot*FS69</f>
        <v>0</v>
      </c>
      <c r="FY69" s="20" t="n">
        <f aca="false">IF(AND(FQ69=1,Slot16_IsMfree=1),IF(FV69&gt;=Slot16_Cost-1,0,MAX(0,FO69-FV69)),FO69)</f>
        <v>0</v>
      </c>
      <c r="FZ69" s="20" t="n">
        <f aca="false">FQ69*(Slot16_Cost-FV69)</f>
        <v>0</v>
      </c>
      <c r="GA69" s="20" t="n">
        <f aca="false">IF(AND(Slot17_On=1,D69=Slot17_Age),1,0)</f>
        <v>0</v>
      </c>
      <c r="GB69" s="20" t="n">
        <f aca="false">IF(AND(Slot17_On=1,Slot17_Age&gt;D69),1,0)</f>
        <v>0</v>
      </c>
      <c r="GC69" s="20" t="n">
        <f aca="false">SY68</f>
        <v>0</v>
      </c>
      <c r="GD69" s="20" t="n">
        <f aca="false">GA69*MIN(Slot17_Cost,GC69)</f>
        <v>0</v>
      </c>
      <c r="GE69" s="20" t="n">
        <f aca="false">GA69*Slot17_SpendLike*MIN(Slot17_Cost-GD69,FW69)</f>
        <v>0</v>
      </c>
      <c r="GF69" s="20" t="n">
        <f aca="false">GD69+GE69</f>
        <v>0</v>
      </c>
      <c r="GG69" s="20" t="n">
        <f aca="false">FW69-GE69+GA69*IF(Slot17_SpendLike=1,GC69-GD69,IF(Slot17_PotFree=1,GC69,0))</f>
        <v>0</v>
      </c>
      <c r="GH69" s="20" t="n">
        <f aca="false">FX69+GA69*Slot17_BufPot*GC69</f>
        <v>0</v>
      </c>
      <c r="GI69" s="20" t="n">
        <f aca="false">IF(AND(GA69=1,Slot17_IsMfree=1),IF(GF69&gt;=Slot17_Cost-1,0,MAX(0,FY69-GF69)),FY69)</f>
        <v>0</v>
      </c>
      <c r="GJ69" s="20" t="n">
        <f aca="false">GA69*(Slot17_Cost-GF69)</f>
        <v>0</v>
      </c>
      <c r="GK69" s="20" t="n">
        <f aca="false">IF(AND(Slot18_On=1,D69=Slot18_Age),1,0)</f>
        <v>0</v>
      </c>
      <c r="GL69" s="20" t="n">
        <f aca="false">IF(AND(Slot18_On=1,Slot18_Age&gt;D69),1,0)</f>
        <v>0</v>
      </c>
      <c r="GM69" s="20" t="n">
        <f aca="false">TC68</f>
        <v>0</v>
      </c>
      <c r="GN69" s="20" t="n">
        <f aca="false">GK69*MIN(Slot18_Cost,GM69)</f>
        <v>0</v>
      </c>
      <c r="GO69" s="20" t="n">
        <f aca="false">GK69*Slot18_SpendLike*MIN(Slot18_Cost-GN69,GG69)</f>
        <v>0</v>
      </c>
      <c r="GP69" s="20" t="n">
        <f aca="false">GN69+GO69</f>
        <v>0</v>
      </c>
      <c r="GQ69" s="20" t="n">
        <f aca="false">GG69-GO69+GK69*IF(Slot18_SpendLike=1,GM69-GN69,IF(Slot18_PotFree=1,GM69,0))</f>
        <v>0</v>
      </c>
      <c r="GR69" s="20" t="n">
        <f aca="false">GH69+GK69*Slot18_BufPot*GM69</f>
        <v>0</v>
      </c>
      <c r="GS69" s="20" t="n">
        <f aca="false">IF(AND(GK69=1,Slot18_IsMfree=1),IF(GP69&gt;=Slot18_Cost-1,0,MAX(0,GI69-GP69)),GI69)</f>
        <v>0</v>
      </c>
      <c r="GT69" s="20" t="n">
        <f aca="false">GK69*(Slot18_Cost-GP69)</f>
        <v>0</v>
      </c>
      <c r="GU69" s="20" t="n">
        <f aca="false">IF(AND(Slot19_On=1,D69=Slot19_Age),1,0)</f>
        <v>0</v>
      </c>
      <c r="GV69" s="20" t="n">
        <f aca="false">IF(AND(Slot19_On=1,Slot19_Age&gt;D69),1,0)</f>
        <v>0</v>
      </c>
      <c r="GW69" s="20" t="n">
        <f aca="false">TG68</f>
        <v>0</v>
      </c>
      <c r="GX69" s="20" t="n">
        <f aca="false">GU69*MIN(Slot19_Cost,GW69)</f>
        <v>0</v>
      </c>
      <c r="GY69" s="20" t="n">
        <f aca="false">GU69*Slot19_SpendLike*MIN(Slot19_Cost-GX69,GQ69)</f>
        <v>0</v>
      </c>
      <c r="GZ69" s="20" t="n">
        <f aca="false">GX69+GY69</f>
        <v>0</v>
      </c>
      <c r="HA69" s="20" t="n">
        <f aca="false">GQ69-GY69+GU69*IF(Slot19_SpendLike=1,GW69-GX69,IF(Slot19_PotFree=1,GW69,0))</f>
        <v>0</v>
      </c>
      <c r="HB69" s="20" t="n">
        <f aca="false">GR69+GU69*Slot19_BufPot*GW69</f>
        <v>0</v>
      </c>
      <c r="HC69" s="20" t="n">
        <f aca="false">IF(AND(GU69=1,Slot19_IsMfree=1),IF(GZ69&gt;=Slot19_Cost-1,0,MAX(0,GS69-GZ69)),GS69)</f>
        <v>0</v>
      </c>
      <c r="HD69" s="20" t="n">
        <f aca="false">GU69*(Slot19_Cost-GZ69)</f>
        <v>0</v>
      </c>
      <c r="HE69" s="20" t="n">
        <f aca="false">IF(AND(Slot20_On=1,D69=Slot20_Age),1,0)</f>
        <v>0</v>
      </c>
      <c r="HF69" s="20" t="n">
        <f aca="false">IF(AND(Slot20_On=1,Slot20_Age&gt;D69),1,0)</f>
        <v>0</v>
      </c>
      <c r="HG69" s="20" t="n">
        <f aca="false">TK68</f>
        <v>0</v>
      </c>
      <c r="HH69" s="20" t="n">
        <f aca="false">HE69*MIN(Slot20_Cost,HG69)</f>
        <v>0</v>
      </c>
      <c r="HI69" s="20" t="n">
        <f aca="false">HE69*Slot20_SpendLike*MIN(Slot20_Cost-HH69,HA69)</f>
        <v>0</v>
      </c>
      <c r="HJ69" s="20" t="n">
        <f aca="false">HH69+HI69</f>
        <v>0</v>
      </c>
      <c r="HK69" s="20" t="n">
        <f aca="false">HA69-HI69+HE69*IF(Slot20_SpendLike=1,HG69-HH69,IF(Slot20_PotFree=1,HG69,0))</f>
        <v>0</v>
      </c>
      <c r="HL69" s="20" t="n">
        <f aca="false">HB69+HE69*Slot20_BufPot*HG69</f>
        <v>0</v>
      </c>
      <c r="HM69" s="20" t="n">
        <f aca="false">IF(AND(HE69=1,Slot20_IsMfree=1),IF(HJ69&gt;=Slot20_Cost-1,0,MAX(0,HC69-HJ69)),HC69)</f>
        <v>0</v>
      </c>
      <c r="HN69" s="20" t="n">
        <f aca="false">HE69*(Slot20_Cost-HJ69)</f>
        <v>0</v>
      </c>
      <c r="HO69" s="20" t="n">
        <f aca="false">V69*Slot1_SpendLike*AA69+AG69*Slot2_SpendLike*AL69+AQ69*Slot3_SpendLike*AV69+BA69*Slot4_SpendLike*BF69+BK69*Slot5_SpendLike*BP69+BU69*Slot6_SpendLike*BZ69+CE69*Slot7_SpendLike*CJ69+CO69*Slot8_SpendLike*CT69+CY69*Slot9_SpendLike*DD69+DI69*Slot10_SpendLike*DN69+DS69*Slot11_SpendLike*DX69+EC69*Slot12_SpendLike*EH69+EM69*Slot13_SpendLike*ER69+EW69*Slot14_SpendLike*FB69+FG69*Slot15_SpendLike*FL69+FQ69*Slot16_SpendLike*FV69+GA69*Slot17_SpendLike*GF69+GK69*Slot18_SpendLike*GP69+GU69*Slot19_SpendLike*GZ69+HE69*Slot20_SpendLike*HJ69</f>
        <v>0</v>
      </c>
      <c r="HP69" s="20" t="n">
        <f aca="false">AE69+AP69+AZ69+BJ69+BT69+CD69+CN69+CX69+DH69+DR69+EB69+EL69+EV69+FF69+FP69+FZ69+GJ69+GT69+HD69+HN69</f>
        <v>0</v>
      </c>
      <c r="HQ69" s="20" t="n">
        <f aca="false">V69*Slot1_Cost+AG69*Slot2_Cost+AQ69*Slot3_Cost+BA69*Slot4_Cost+BK69*Slot5_Cost+BU69*Slot6_Cost+CE69*Slot7_Cost+CO69*Slot8_Cost+CY69*Slot9_Cost+DI69*Slot10_Cost+DS69*Slot11_Cost+EC69*Slot12_Cost+EM69*Slot13_Cost+EW69*Slot14_Cost+FG69*Slot15_Cost+FQ69*Slot16_Cost+GA69*Slot17_Cost+GK69*Slot18_Cost+GU69*Slot19_Cost+HE69*Slot20_Cost</f>
        <v>0</v>
      </c>
      <c r="HR69" s="20" t="n">
        <f aca="false">HM69</f>
        <v>0</v>
      </c>
      <c r="HS69" s="20" t="n">
        <f aca="false">H69-I69-S69</f>
        <v>-64474.9795593471</v>
      </c>
      <c r="HT69" s="20" t="n">
        <f aca="false">IF(B69=0,IF(AND(Has_q6=1,In_q6=4),PR_ShareVaries*(MAX(0,HS69)/12),MIN(IF(Has_q6=1,CHOOSE(In_q6+1,PR_SaveB1,PR_SaveB2,PR_SaveB3,PR_SaveB4,0),AS_NoAnswer),AS_SaveShare*(MAX(0,HS69)/12))),HT68)</f>
        <v>67.3316893520437</v>
      </c>
      <c r="HU69" s="20" t="n">
        <f aca="false">IF(HS69&gt;=0,1,0)</f>
        <v>0</v>
      </c>
      <c r="HV69" s="20" t="n">
        <f aca="false">MAX(0,HS69/12/F69)</f>
        <v>0</v>
      </c>
      <c r="HW69" s="20" t="n">
        <f aca="false">IF(AND(Has_q6=1,In_q6=4),PR_ShareVaries*(HV69),MIN(IF(Has_q6=1,CHOOSE(In_q6+1,PR_SaveB1,PR_SaveB2,PR_SaveB3,PR_SaveB4,0),AS_NoAnswer),AS_SaveShare*(HV69)))</f>
        <v>0</v>
      </c>
      <c r="HX69" s="20" t="n">
        <f aca="false">IF(Has_saveM=1,IF(In_saveUp="Yes",1,IF(In_saveUp="No",0,IF(In_saveM&gt;=HT69-0.5,1,0))),0)</f>
        <v>0</v>
      </c>
      <c r="HY69" s="20" t="n">
        <f aca="false">IF(Has_saveM=1,MIN(HV69,IF(HX69=1,MAX(In_saveM,HW69),MIN(In_saveM,HW69))),HW69)</f>
        <v>0</v>
      </c>
      <c r="HZ69" s="20" t="n">
        <f aca="false">IF(G69=1,HY69*12*F69,0)</f>
        <v>0</v>
      </c>
      <c r="IA69" s="20" t="n">
        <f aca="false">MAX(0,HZ69+IF(AND(WI_Retire=0,WI_M&lt;0,G69=1),WI_M*12*F69,0))</f>
        <v>0</v>
      </c>
      <c r="IB69" s="20" t="n">
        <f aca="false">Slot1_IsWG*W69+Slot2_IsWG*AH69+Slot3_IsWG*AR69+Slot4_IsWG*BB69+Slot5_IsWG*BL69+Slot6_IsWG*BV69+Slot7_IsWG*CF69+Slot8_IsWG*CP69+Slot9_IsWG*CZ69+Slot10_IsWG*DJ69+Slot11_IsWG*DT69+Slot12_IsWG*ED69+Slot13_IsWG*EN69+Slot14_IsWG*EX69+Slot15_IsWG*FH69+Slot16_IsWG*FR69+Slot17_IsWG*GB69+Slot18_IsWG*GL69+Slot19_IsWG*GV69+Slot20_IsWG*HF69</f>
        <v>0</v>
      </c>
      <c r="IC69" s="20" t="n">
        <f aca="false">IF(AND(WI_Retire=0,WI_M&gt;0,G69=1,IB69&gt;=1),WI_M*12*F69,0)</f>
        <v>0</v>
      </c>
      <c r="ID69" s="20" t="n">
        <f aca="false">IF(HU69=1,MIN(IA69,HS69),0)</f>
        <v>0</v>
      </c>
      <c r="IE69" s="20" t="n">
        <f aca="false">IF(HU69=1,MIN(IC69,HS69-ID69),0)</f>
        <v>0</v>
      </c>
      <c r="IF69" s="20" t="n">
        <f aca="false">IF(W69=1,IF(ABS((1+AS_Wage)/(1+Slot1_Rate)-1)&lt;0.000000000001,(Slot1_Age-D69)*(1+Slot1_Rate)^(Slot1_Age-D69),(1+Slot1_Rate)^(Slot1_Age-D69)*(1-((1+AS_Wage)/(1+Slot1_Rate))^(Slot1_Age-D69))/(1-(1+AS_Wage)/(1+Slot1_Rate))),1)</f>
        <v>1</v>
      </c>
      <c r="IG69" s="20" t="n">
        <f aca="false">IF(AND(HU69=1,IE69&gt;0,Slot1_IsWG=1,W69=1),MAX(0,(Slot1_Cost-X69*(1+Slot1_Rate)^(Slot1_Age-D69))/IF69),0)</f>
        <v>0</v>
      </c>
      <c r="IH69" s="20" t="n">
        <f aca="false">IF(AND(HU69=1,IE69&gt;0,Slot1_IsWG=1,W69=1),MIN(IE69,IG69),0)</f>
        <v>0</v>
      </c>
      <c r="II69" s="20" t="n">
        <f aca="false">X69+IH69</f>
        <v>0</v>
      </c>
      <c r="IJ69" s="20" t="n">
        <f aca="false">IF(W69=1,MAX(0,(Slot1_Cost-II69*(1+Slot1_Rate)^(Slot1_Age-D69))/IF69),0)</f>
        <v>0</v>
      </c>
      <c r="IK69" s="20" t="n">
        <f aca="false">IF(W69=1,MAX(0,(Slot1_Cost-X69*(1+Slot1_Rate)^(Slot1_Age-D69))/IF69),0)</f>
        <v>0</v>
      </c>
      <c r="IL69" s="20" t="n">
        <f aca="false">IF(AND(HU69=1,W69=1),MIN(ID69,IJ69),0)</f>
        <v>0</v>
      </c>
      <c r="IM69" s="20" t="n">
        <f aca="false">ID69-IL69</f>
        <v>0</v>
      </c>
      <c r="IN69" s="20" t="n">
        <f aca="false">IF(AH69=1,IF(ABS((1+AS_Wage)/(1+Slot2_Rate)-1)&lt;0.000000000001,(Slot2_Age-D69)*(1+Slot2_Rate)^(Slot2_Age-D69),(1+Slot2_Rate)^(Slot2_Age-D69)*(1-((1+AS_Wage)/(1+Slot2_Rate))^(Slot2_Age-D69))/(1-(1+AS_Wage)/(1+Slot2_Rate))),1)</f>
        <v>1</v>
      </c>
      <c r="IO69" s="20" t="n">
        <f aca="false">IF(AND(HU69=1,IE69&gt;0,Slot2_IsWG=1,AH69=1),MAX(0,(Slot2_Cost-AI69*(1+Slot2_Rate)^(Slot2_Age-D69))/IN69),0)</f>
        <v>0</v>
      </c>
      <c r="IP69" s="20" t="n">
        <f aca="false">IF(AND(HU69=1,IE69&gt;0,Slot2_IsWG=1,AH69=1),MIN(IE69,IO69),0)</f>
        <v>0</v>
      </c>
      <c r="IQ69" s="20" t="n">
        <f aca="false">AI69+IP69</f>
        <v>0</v>
      </c>
      <c r="IR69" s="20" t="n">
        <f aca="false">IF(AH69=1,MAX(0,(Slot2_Cost-IQ69*(1+Slot2_Rate)^(Slot2_Age-D69))/IN69),0)</f>
        <v>0</v>
      </c>
      <c r="IS69" s="20" t="n">
        <f aca="false">IF(AH69=1,MAX(0,(Slot2_Cost-AI69*(1+Slot2_Rate)^(Slot2_Age-D69))/IN69),0)</f>
        <v>0</v>
      </c>
      <c r="IT69" s="20" t="n">
        <f aca="false">IF(AND(HU69=1,AH69=1),MIN(IM69,IR69),0)</f>
        <v>0</v>
      </c>
      <c r="IU69" s="20" t="n">
        <f aca="false">IM69-IT69</f>
        <v>0</v>
      </c>
      <c r="IV69" s="20" t="n">
        <f aca="false">IF(AR69=1,IF(ABS((1+AS_Wage)/(1+Slot3_Rate)-1)&lt;0.000000000001,(Slot3_Age-D69)*(1+Slot3_Rate)^(Slot3_Age-D69),(1+Slot3_Rate)^(Slot3_Age-D69)*(1-((1+AS_Wage)/(1+Slot3_Rate))^(Slot3_Age-D69))/(1-(1+AS_Wage)/(1+Slot3_Rate))),1)</f>
        <v>1</v>
      </c>
      <c r="IW69" s="20" t="n">
        <f aca="false">IF(AND(HU69=1,IE69&gt;0,Slot3_IsWG=1,AR69=1),MAX(0,(Slot3_Cost-AS69*(1+Slot3_Rate)^(Slot3_Age-D69))/IV69),0)</f>
        <v>0</v>
      </c>
      <c r="IX69" s="20" t="n">
        <f aca="false">IF(AND(HU69=1,IE69&gt;0,Slot3_IsWG=1,AR69=1),MIN(IE69,IW69),0)</f>
        <v>0</v>
      </c>
      <c r="IY69" s="20" t="n">
        <f aca="false">AS69+IX69</f>
        <v>0</v>
      </c>
      <c r="IZ69" s="20" t="n">
        <f aca="false">IF(AR69=1,MAX(0,(Slot3_Cost-IY69*(1+Slot3_Rate)^(Slot3_Age-D69))/IV69),0)</f>
        <v>0</v>
      </c>
      <c r="JA69" s="20" t="n">
        <f aca="false">IF(AR69=1,MAX(0,(Slot3_Cost-AS69*(1+Slot3_Rate)^(Slot3_Age-D69))/IV69),0)</f>
        <v>0</v>
      </c>
      <c r="JB69" s="20" t="n">
        <f aca="false">IF(AND(HU69=1,AR69=1),MIN(IU69,IZ69),0)</f>
        <v>0</v>
      </c>
      <c r="JC69" s="20" t="n">
        <f aca="false">IU69-JB69</f>
        <v>0</v>
      </c>
      <c r="JD69" s="20" t="n">
        <f aca="false">IF(BB69=1,IF(ABS((1+AS_Wage)/(1+Slot4_Rate)-1)&lt;0.000000000001,(Slot4_Age-D69)*(1+Slot4_Rate)^(Slot4_Age-D69),(1+Slot4_Rate)^(Slot4_Age-D69)*(1-((1+AS_Wage)/(1+Slot4_Rate))^(Slot4_Age-D69))/(1-(1+AS_Wage)/(1+Slot4_Rate))),1)</f>
        <v>1</v>
      </c>
      <c r="JE69" s="20" t="n">
        <f aca="false">IF(AND(HU69=1,IE69&gt;0,Slot4_IsWG=1,BB69=1),MAX(0,(Slot4_Cost-BC69*(1+Slot4_Rate)^(Slot4_Age-D69))/JD69),0)</f>
        <v>0</v>
      </c>
      <c r="JF69" s="20" t="n">
        <f aca="false">IF(AND(HU69=1,IE69&gt;0,Slot4_IsWG=1,BB69=1),MIN(IE69,JE69),0)</f>
        <v>0</v>
      </c>
      <c r="JG69" s="20" t="n">
        <f aca="false">BC69+JF69</f>
        <v>0</v>
      </c>
      <c r="JH69" s="20" t="n">
        <f aca="false">IF(BB69=1,MAX(0,(Slot4_Cost-JG69*(1+Slot4_Rate)^(Slot4_Age-D69))/JD69),0)</f>
        <v>0</v>
      </c>
      <c r="JI69" s="20" t="n">
        <f aca="false">IF(BB69=1,MAX(0,(Slot4_Cost-BC69*(1+Slot4_Rate)^(Slot4_Age-D69))/JD69),0)</f>
        <v>0</v>
      </c>
      <c r="JJ69" s="20" t="n">
        <f aca="false">IF(AND(HU69=1,BB69=1),MIN(JC69,JH69),0)</f>
        <v>0</v>
      </c>
      <c r="JK69" s="20" t="n">
        <f aca="false">JC69-JJ69</f>
        <v>0</v>
      </c>
      <c r="JL69" s="20" t="n">
        <f aca="false">IF(BL69=1,IF(ABS((1+AS_Wage)/(1+Slot5_Rate)-1)&lt;0.000000000001,(Slot5_Age-D69)*(1+Slot5_Rate)^(Slot5_Age-D69),(1+Slot5_Rate)^(Slot5_Age-D69)*(1-((1+AS_Wage)/(1+Slot5_Rate))^(Slot5_Age-D69))/(1-(1+AS_Wage)/(1+Slot5_Rate))),1)</f>
        <v>1</v>
      </c>
      <c r="JM69" s="20" t="n">
        <f aca="false">IF(AND(HU69=1,IE69&gt;0,Slot5_IsWG=1,BL69=1),MAX(0,(Slot5_Cost-BM69*(1+Slot5_Rate)^(Slot5_Age-D69))/JL69),0)</f>
        <v>0</v>
      </c>
      <c r="JN69" s="20" t="n">
        <f aca="false">IF(AND(HU69=1,IE69&gt;0,Slot5_IsWG=1,BL69=1),MIN(IE69,JM69),0)</f>
        <v>0</v>
      </c>
      <c r="JO69" s="20" t="n">
        <f aca="false">BM69+JN69</f>
        <v>0</v>
      </c>
      <c r="JP69" s="20" t="n">
        <f aca="false">IF(BL69=1,MAX(0,(Slot5_Cost-JO69*(1+Slot5_Rate)^(Slot5_Age-D69))/JL69),0)</f>
        <v>0</v>
      </c>
      <c r="JQ69" s="20" t="n">
        <f aca="false">IF(BL69=1,MAX(0,(Slot5_Cost-BM69*(1+Slot5_Rate)^(Slot5_Age-D69))/JL69),0)</f>
        <v>0</v>
      </c>
      <c r="JR69" s="20" t="n">
        <f aca="false">IF(AND(HU69=1,BL69=1),MIN(JK69,JP69),0)</f>
        <v>0</v>
      </c>
      <c r="JS69" s="20" t="n">
        <f aca="false">JK69-JR69</f>
        <v>0</v>
      </c>
      <c r="JT69" s="20" t="n">
        <f aca="false">IF(BV69=1,IF(ABS((1+AS_Wage)/(1+Slot6_Rate)-1)&lt;0.000000000001,(Slot6_Age-D69)*(1+Slot6_Rate)^(Slot6_Age-D69),(1+Slot6_Rate)^(Slot6_Age-D69)*(1-((1+AS_Wage)/(1+Slot6_Rate))^(Slot6_Age-D69))/(1-(1+AS_Wage)/(1+Slot6_Rate))),1)</f>
        <v>1</v>
      </c>
      <c r="JU69" s="20" t="n">
        <f aca="false">IF(AND(HU69=1,IE69&gt;0,Slot6_IsWG=1,BV69=1),MAX(0,(Slot6_Cost-BW69*(1+Slot6_Rate)^(Slot6_Age-D69))/JT69),0)</f>
        <v>0</v>
      </c>
      <c r="JV69" s="20" t="n">
        <f aca="false">IF(AND(HU69=1,IE69&gt;0,Slot6_IsWG=1,BV69=1),MIN(IE69,JU69),0)</f>
        <v>0</v>
      </c>
      <c r="JW69" s="20" t="n">
        <f aca="false">BW69+JV69</f>
        <v>0</v>
      </c>
      <c r="JX69" s="20" t="n">
        <f aca="false">IF(BV69=1,MAX(0,(Slot6_Cost-JW69*(1+Slot6_Rate)^(Slot6_Age-D69))/JT69),0)</f>
        <v>0</v>
      </c>
      <c r="JY69" s="20" t="n">
        <f aca="false">IF(BV69=1,MAX(0,(Slot6_Cost-BW69*(1+Slot6_Rate)^(Slot6_Age-D69))/JT69),0)</f>
        <v>0</v>
      </c>
      <c r="JZ69" s="20" t="n">
        <f aca="false">IF(AND(HU69=1,BV69=1),MIN(JS69,JX69),0)</f>
        <v>0</v>
      </c>
      <c r="KA69" s="20" t="n">
        <f aca="false">JS69-JZ69</f>
        <v>0</v>
      </c>
      <c r="KB69" s="20" t="n">
        <f aca="false">IF(CF69=1,IF(ABS((1+AS_Wage)/(1+Slot7_Rate)-1)&lt;0.000000000001,(Slot7_Age-D69)*(1+Slot7_Rate)^(Slot7_Age-D69),(1+Slot7_Rate)^(Slot7_Age-D69)*(1-((1+AS_Wage)/(1+Slot7_Rate))^(Slot7_Age-D69))/(1-(1+AS_Wage)/(1+Slot7_Rate))),1)</f>
        <v>1</v>
      </c>
      <c r="KC69" s="20" t="n">
        <f aca="false">IF(AND(HU69=1,IE69&gt;0,Slot7_IsWG=1,CF69=1),MAX(0,(Slot7_Cost-CG69*(1+Slot7_Rate)^(Slot7_Age-D69))/KB69),0)</f>
        <v>0</v>
      </c>
      <c r="KD69" s="20" t="n">
        <f aca="false">IF(AND(HU69=1,IE69&gt;0,Slot7_IsWG=1,CF69=1),MIN(IE69,KC69),0)</f>
        <v>0</v>
      </c>
      <c r="KE69" s="20" t="n">
        <f aca="false">CG69+KD69</f>
        <v>0</v>
      </c>
      <c r="KF69" s="20" t="n">
        <f aca="false">IF(CF69=1,MAX(0,(Slot7_Cost-KE69*(1+Slot7_Rate)^(Slot7_Age-D69))/KB69),0)</f>
        <v>0</v>
      </c>
      <c r="KG69" s="20" t="n">
        <f aca="false">IF(CF69=1,MAX(0,(Slot7_Cost-CG69*(1+Slot7_Rate)^(Slot7_Age-D69))/KB69),0)</f>
        <v>0</v>
      </c>
      <c r="KH69" s="20" t="n">
        <f aca="false">IF(AND(HU69=1,CF69=1),MIN(KA69,KF69),0)</f>
        <v>0</v>
      </c>
      <c r="KI69" s="20" t="n">
        <f aca="false">KA69-KH69</f>
        <v>0</v>
      </c>
      <c r="KJ69" s="20" t="n">
        <f aca="false">IF(CP69=1,IF(ABS((1+AS_Wage)/(1+Slot8_Rate)-1)&lt;0.000000000001,(Slot8_Age-D69)*(1+Slot8_Rate)^(Slot8_Age-D69),(1+Slot8_Rate)^(Slot8_Age-D69)*(1-((1+AS_Wage)/(1+Slot8_Rate))^(Slot8_Age-D69))/(1-(1+AS_Wage)/(1+Slot8_Rate))),1)</f>
        <v>1</v>
      </c>
      <c r="KK69" s="20" t="n">
        <f aca="false">IF(AND(HU69=1,IE69&gt;0,Slot8_IsWG=1,CP69=1),MAX(0,(Slot8_Cost-CQ69*(1+Slot8_Rate)^(Slot8_Age-D69))/KJ69),0)</f>
        <v>0</v>
      </c>
      <c r="KL69" s="20" t="n">
        <f aca="false">IF(AND(HU69=1,IE69&gt;0,Slot8_IsWG=1,CP69=1),MIN(IE69,KK69),0)</f>
        <v>0</v>
      </c>
      <c r="KM69" s="20" t="n">
        <f aca="false">CQ69+KL69</f>
        <v>0</v>
      </c>
      <c r="KN69" s="20" t="n">
        <f aca="false">IF(CP69=1,MAX(0,(Slot8_Cost-KM69*(1+Slot8_Rate)^(Slot8_Age-D69))/KJ69),0)</f>
        <v>0</v>
      </c>
      <c r="KO69" s="20" t="n">
        <f aca="false">IF(CP69=1,MAX(0,(Slot8_Cost-CQ69*(1+Slot8_Rate)^(Slot8_Age-D69))/KJ69),0)</f>
        <v>0</v>
      </c>
      <c r="KP69" s="20" t="n">
        <f aca="false">IF(AND(HU69=1,CP69=1),MIN(KI69,KN69),0)</f>
        <v>0</v>
      </c>
      <c r="KQ69" s="20" t="n">
        <f aca="false">KI69-KP69</f>
        <v>0</v>
      </c>
      <c r="KR69" s="20" t="n">
        <f aca="false">IF(CZ69=1,IF(ABS((1+AS_Wage)/(1+Slot9_Rate)-1)&lt;0.000000000001,(Slot9_Age-D69)*(1+Slot9_Rate)^(Slot9_Age-D69),(1+Slot9_Rate)^(Slot9_Age-D69)*(1-((1+AS_Wage)/(1+Slot9_Rate))^(Slot9_Age-D69))/(1-(1+AS_Wage)/(1+Slot9_Rate))),1)</f>
        <v>1</v>
      </c>
      <c r="KS69" s="20" t="n">
        <f aca="false">IF(AND(HU69=1,IE69&gt;0,Slot9_IsWG=1,CZ69=1),MAX(0,(Slot9_Cost-DA69*(1+Slot9_Rate)^(Slot9_Age-D69))/KR69),0)</f>
        <v>0</v>
      </c>
      <c r="KT69" s="20" t="n">
        <f aca="false">IF(AND(HU69=1,IE69&gt;0,Slot9_IsWG=1,CZ69=1),MIN(IE69,KS69),0)</f>
        <v>0</v>
      </c>
      <c r="KU69" s="20" t="n">
        <f aca="false">DA69+KT69</f>
        <v>0</v>
      </c>
      <c r="KV69" s="20" t="n">
        <f aca="false">IF(CZ69=1,MAX(0,(Slot9_Cost-KU69*(1+Slot9_Rate)^(Slot9_Age-D69))/KR69),0)</f>
        <v>0</v>
      </c>
      <c r="KW69" s="20" t="n">
        <f aca="false">IF(CZ69=1,MAX(0,(Slot9_Cost-DA69*(1+Slot9_Rate)^(Slot9_Age-D69))/KR69),0)</f>
        <v>0</v>
      </c>
      <c r="KX69" s="20" t="n">
        <f aca="false">IF(AND(HU69=1,CZ69=1),MIN(KQ69,KV69),0)</f>
        <v>0</v>
      </c>
      <c r="KY69" s="20" t="n">
        <f aca="false">KQ69-KX69</f>
        <v>0</v>
      </c>
      <c r="KZ69" s="20" t="n">
        <f aca="false">IF(DJ69=1,IF(ABS((1+AS_Wage)/(1+Slot10_Rate)-1)&lt;0.000000000001,(Slot10_Age-D69)*(1+Slot10_Rate)^(Slot10_Age-D69),(1+Slot10_Rate)^(Slot10_Age-D69)*(1-((1+AS_Wage)/(1+Slot10_Rate))^(Slot10_Age-D69))/(1-(1+AS_Wage)/(1+Slot10_Rate))),1)</f>
        <v>1</v>
      </c>
      <c r="LA69" s="20" t="n">
        <f aca="false">IF(AND(HU69=1,IE69&gt;0,Slot10_IsWG=1,DJ69=1),MAX(0,(Slot10_Cost-DK69*(1+Slot10_Rate)^(Slot10_Age-D69))/KZ69),0)</f>
        <v>0</v>
      </c>
      <c r="LB69" s="20" t="n">
        <f aca="false">IF(AND(HU69=1,IE69&gt;0,Slot10_IsWG=1,DJ69=1),MIN(IE69,LA69),0)</f>
        <v>0</v>
      </c>
      <c r="LC69" s="20" t="n">
        <f aca="false">DK69+LB69</f>
        <v>0</v>
      </c>
      <c r="LD69" s="20" t="n">
        <f aca="false">IF(DJ69=1,MAX(0,(Slot10_Cost-LC69*(1+Slot10_Rate)^(Slot10_Age-D69))/KZ69),0)</f>
        <v>0</v>
      </c>
      <c r="LE69" s="20" t="n">
        <f aca="false">IF(DJ69=1,MAX(0,(Slot10_Cost-DK69*(1+Slot10_Rate)^(Slot10_Age-D69))/KZ69),0)</f>
        <v>0</v>
      </c>
      <c r="LF69" s="20" t="n">
        <f aca="false">IF(AND(HU69=1,DJ69=1),MIN(KY69,LD69),0)</f>
        <v>0</v>
      </c>
      <c r="LG69" s="20" t="n">
        <f aca="false">KY69-LF69</f>
        <v>0</v>
      </c>
      <c r="LH69" s="20" t="n">
        <f aca="false">IF(DT69=1,IF(ABS((1+AS_Wage)/(1+Slot11_Rate)-1)&lt;0.000000000001,(Slot11_Age-D69)*(1+Slot11_Rate)^(Slot11_Age-D69),(1+Slot11_Rate)^(Slot11_Age-D69)*(1-((1+AS_Wage)/(1+Slot11_Rate))^(Slot11_Age-D69))/(1-(1+AS_Wage)/(1+Slot11_Rate))),1)</f>
        <v>1</v>
      </c>
      <c r="LI69" s="20" t="n">
        <f aca="false">IF(AND(HU69=1,IE69&gt;0,Slot11_IsWG=1,DT69=1),MAX(0,(Slot11_Cost-DU69*(1+Slot11_Rate)^(Slot11_Age-D69))/LH69),0)</f>
        <v>0</v>
      </c>
      <c r="LJ69" s="20" t="n">
        <f aca="false">IF(AND(HU69=1,IE69&gt;0,Slot11_IsWG=1,DT69=1),MIN(IE69,LI69),0)</f>
        <v>0</v>
      </c>
      <c r="LK69" s="20" t="n">
        <f aca="false">DU69+LJ69</f>
        <v>0</v>
      </c>
      <c r="LL69" s="20" t="n">
        <f aca="false">IF(DT69=1,MAX(0,(Slot11_Cost-LK69*(1+Slot11_Rate)^(Slot11_Age-D69))/LH69),0)</f>
        <v>0</v>
      </c>
      <c r="LM69" s="20" t="n">
        <f aca="false">IF(DT69=1,MAX(0,(Slot11_Cost-DU69*(1+Slot11_Rate)^(Slot11_Age-D69))/LH69),0)</f>
        <v>0</v>
      </c>
      <c r="LN69" s="20" t="n">
        <f aca="false">IF(AND(HU69=1,DT69=1),MIN(LG69,LL69),0)</f>
        <v>0</v>
      </c>
      <c r="LO69" s="20" t="n">
        <f aca="false">LG69-LN69</f>
        <v>0</v>
      </c>
      <c r="LP69" s="20" t="n">
        <f aca="false">IF(ED69=1,IF(ABS((1+AS_Wage)/(1+Slot12_Rate)-1)&lt;0.000000000001,(Slot12_Age-D69)*(1+Slot12_Rate)^(Slot12_Age-D69),(1+Slot12_Rate)^(Slot12_Age-D69)*(1-((1+AS_Wage)/(1+Slot12_Rate))^(Slot12_Age-D69))/(1-(1+AS_Wage)/(1+Slot12_Rate))),1)</f>
        <v>1</v>
      </c>
      <c r="LQ69" s="20" t="n">
        <f aca="false">IF(AND(HU69=1,IE69&gt;0,Slot12_IsWG=1,ED69=1),MAX(0,(Slot12_Cost-EE69*(1+Slot12_Rate)^(Slot12_Age-D69))/LP69),0)</f>
        <v>0</v>
      </c>
      <c r="LR69" s="20" t="n">
        <f aca="false">IF(AND(HU69=1,IE69&gt;0,Slot12_IsWG=1,ED69=1),MIN(IE69,LQ69),0)</f>
        <v>0</v>
      </c>
      <c r="LS69" s="20" t="n">
        <f aca="false">EE69+LR69</f>
        <v>0</v>
      </c>
      <c r="LT69" s="20" t="n">
        <f aca="false">IF(ED69=1,MAX(0,(Slot12_Cost-LS69*(1+Slot12_Rate)^(Slot12_Age-D69))/LP69),0)</f>
        <v>0</v>
      </c>
      <c r="LU69" s="20" t="n">
        <f aca="false">IF(ED69=1,MAX(0,(Slot12_Cost-EE69*(1+Slot12_Rate)^(Slot12_Age-D69))/LP69),0)</f>
        <v>0</v>
      </c>
      <c r="LV69" s="20" t="n">
        <f aca="false">IF(AND(HU69=1,ED69=1),MIN(LO69,LT69),0)</f>
        <v>0</v>
      </c>
      <c r="LW69" s="20" t="n">
        <f aca="false">LO69-LV69</f>
        <v>0</v>
      </c>
      <c r="LX69" s="20" t="n">
        <f aca="false">IF(EN69=1,IF(ABS((1+AS_Wage)/(1+Slot13_Rate)-1)&lt;0.000000000001,(Slot13_Age-D69)*(1+Slot13_Rate)^(Slot13_Age-D69),(1+Slot13_Rate)^(Slot13_Age-D69)*(1-((1+AS_Wage)/(1+Slot13_Rate))^(Slot13_Age-D69))/(1-(1+AS_Wage)/(1+Slot13_Rate))),1)</f>
        <v>1</v>
      </c>
      <c r="LY69" s="20" t="n">
        <f aca="false">IF(AND(HU69=1,IE69&gt;0,Slot13_IsWG=1,EN69=1),MAX(0,(Slot13_Cost-EO69*(1+Slot13_Rate)^(Slot13_Age-D69))/LX69),0)</f>
        <v>0</v>
      </c>
      <c r="LZ69" s="20" t="n">
        <f aca="false">IF(AND(HU69=1,IE69&gt;0,Slot13_IsWG=1,EN69=1),MIN(IE69,LY69),0)</f>
        <v>0</v>
      </c>
      <c r="MA69" s="20" t="n">
        <f aca="false">EO69+LZ69</f>
        <v>0</v>
      </c>
      <c r="MB69" s="20" t="n">
        <f aca="false">IF(EN69=1,MAX(0,(Slot13_Cost-MA69*(1+Slot13_Rate)^(Slot13_Age-D69))/LX69),0)</f>
        <v>0</v>
      </c>
      <c r="MC69" s="20" t="n">
        <f aca="false">IF(EN69=1,MAX(0,(Slot13_Cost-EO69*(1+Slot13_Rate)^(Slot13_Age-D69))/LX69),0)</f>
        <v>0</v>
      </c>
      <c r="MD69" s="20" t="n">
        <f aca="false">IF(AND(HU69=1,EN69=1),MIN(LW69,MB69),0)</f>
        <v>0</v>
      </c>
      <c r="ME69" s="20" t="n">
        <f aca="false">LW69-MD69</f>
        <v>0</v>
      </c>
      <c r="MF69" s="20" t="n">
        <f aca="false">IF(EX69=1,IF(ABS((1+AS_Wage)/(1+Slot14_Rate)-1)&lt;0.000000000001,(Slot14_Age-D69)*(1+Slot14_Rate)^(Slot14_Age-D69),(1+Slot14_Rate)^(Slot14_Age-D69)*(1-((1+AS_Wage)/(1+Slot14_Rate))^(Slot14_Age-D69))/(1-(1+AS_Wage)/(1+Slot14_Rate))),1)</f>
        <v>1</v>
      </c>
      <c r="MG69" s="20" t="n">
        <f aca="false">IF(AND(HU69=1,IE69&gt;0,Slot14_IsWG=1,EX69=1),MAX(0,(Slot14_Cost-EY69*(1+Slot14_Rate)^(Slot14_Age-D69))/MF69),0)</f>
        <v>0</v>
      </c>
      <c r="MH69" s="20" t="n">
        <f aca="false">IF(AND(HU69=1,IE69&gt;0,Slot14_IsWG=1,EX69=1),MIN(IE69,MG69),0)</f>
        <v>0</v>
      </c>
      <c r="MI69" s="20" t="n">
        <f aca="false">EY69+MH69</f>
        <v>0</v>
      </c>
      <c r="MJ69" s="20" t="n">
        <f aca="false">IF(EX69=1,MAX(0,(Slot14_Cost-MI69*(1+Slot14_Rate)^(Slot14_Age-D69))/MF69),0)</f>
        <v>0</v>
      </c>
      <c r="MK69" s="20" t="n">
        <f aca="false">IF(EX69=1,MAX(0,(Slot14_Cost-EY69*(1+Slot14_Rate)^(Slot14_Age-D69))/MF69),0)</f>
        <v>0</v>
      </c>
      <c r="ML69" s="20" t="n">
        <f aca="false">IF(AND(HU69=1,EX69=1),MIN(ME69,MJ69),0)</f>
        <v>0</v>
      </c>
      <c r="MM69" s="20" t="n">
        <f aca="false">ME69-ML69</f>
        <v>0</v>
      </c>
      <c r="MN69" s="20" t="n">
        <f aca="false">IF(FH69=1,IF(ABS((1+AS_Wage)/(1+Slot15_Rate)-1)&lt;0.000000000001,(Slot15_Age-D69)*(1+Slot15_Rate)^(Slot15_Age-D69),(1+Slot15_Rate)^(Slot15_Age-D69)*(1-((1+AS_Wage)/(1+Slot15_Rate))^(Slot15_Age-D69))/(1-(1+AS_Wage)/(1+Slot15_Rate))),1)</f>
        <v>1</v>
      </c>
      <c r="MO69" s="20" t="n">
        <f aca="false">IF(AND(HU69=1,IE69&gt;0,Slot15_IsWG=1,FH69=1),MAX(0,(Slot15_Cost-FI69*(1+Slot15_Rate)^(Slot15_Age-D69))/MN69),0)</f>
        <v>0</v>
      </c>
      <c r="MP69" s="20" t="n">
        <f aca="false">IF(AND(HU69=1,IE69&gt;0,Slot15_IsWG=1,FH69=1),MIN(IE69,MO69),0)</f>
        <v>0</v>
      </c>
      <c r="MQ69" s="20" t="n">
        <f aca="false">FI69+MP69</f>
        <v>0</v>
      </c>
      <c r="MR69" s="20" t="n">
        <f aca="false">IF(FH69=1,MAX(0,(Slot15_Cost-MQ69*(1+Slot15_Rate)^(Slot15_Age-D69))/MN69),0)</f>
        <v>0</v>
      </c>
      <c r="MS69" s="20" t="n">
        <f aca="false">IF(FH69=1,MAX(0,(Slot15_Cost-FI69*(1+Slot15_Rate)^(Slot15_Age-D69))/MN69),0)</f>
        <v>0</v>
      </c>
      <c r="MT69" s="20" t="n">
        <f aca="false">IF(AND(HU69=1,FH69=1),MIN(MM69,MR69),0)</f>
        <v>0</v>
      </c>
      <c r="MU69" s="20" t="n">
        <f aca="false">MM69-MT69</f>
        <v>0</v>
      </c>
      <c r="MV69" s="20" t="n">
        <f aca="false">IF(FR69=1,IF(ABS((1+AS_Wage)/(1+Slot16_Rate)-1)&lt;0.000000000001,(Slot16_Age-D69)*(1+Slot16_Rate)^(Slot16_Age-D69),(1+Slot16_Rate)^(Slot16_Age-D69)*(1-((1+AS_Wage)/(1+Slot16_Rate))^(Slot16_Age-D69))/(1-(1+AS_Wage)/(1+Slot16_Rate))),1)</f>
        <v>1</v>
      </c>
      <c r="MW69" s="20" t="n">
        <f aca="false">IF(AND(HU69=1,IE69&gt;0,Slot16_IsWG=1,FR69=1),MAX(0,(Slot16_Cost-FS69*(1+Slot16_Rate)^(Slot16_Age-D69))/MV69),0)</f>
        <v>0</v>
      </c>
      <c r="MX69" s="20" t="n">
        <f aca="false">IF(AND(HU69=1,IE69&gt;0,Slot16_IsWG=1,FR69=1),MIN(IE69,MW69),0)</f>
        <v>0</v>
      </c>
      <c r="MY69" s="20" t="n">
        <f aca="false">FS69+MX69</f>
        <v>0</v>
      </c>
      <c r="MZ69" s="20" t="n">
        <f aca="false">IF(FR69=1,MAX(0,(Slot16_Cost-MY69*(1+Slot16_Rate)^(Slot16_Age-D69))/MV69),0)</f>
        <v>0</v>
      </c>
      <c r="NA69" s="20" t="n">
        <f aca="false">IF(FR69=1,MAX(0,(Slot16_Cost-FS69*(1+Slot16_Rate)^(Slot16_Age-D69))/MV69),0)</f>
        <v>0</v>
      </c>
      <c r="NB69" s="20" t="n">
        <f aca="false">IF(AND(HU69=1,FR69=1),MIN(MU69,MZ69),0)</f>
        <v>0</v>
      </c>
      <c r="NC69" s="20" t="n">
        <f aca="false">MU69-NB69</f>
        <v>0</v>
      </c>
      <c r="ND69" s="20" t="n">
        <f aca="false">IF(GB69=1,IF(ABS((1+AS_Wage)/(1+Slot17_Rate)-1)&lt;0.000000000001,(Slot17_Age-D69)*(1+Slot17_Rate)^(Slot17_Age-D69),(1+Slot17_Rate)^(Slot17_Age-D69)*(1-((1+AS_Wage)/(1+Slot17_Rate))^(Slot17_Age-D69))/(1-(1+AS_Wage)/(1+Slot17_Rate))),1)</f>
        <v>1</v>
      </c>
      <c r="NE69" s="20" t="n">
        <f aca="false">IF(AND(HU69=1,IE69&gt;0,Slot17_IsWG=1,GB69=1),MAX(0,(Slot17_Cost-GC69*(1+Slot17_Rate)^(Slot17_Age-D69))/ND69),0)</f>
        <v>0</v>
      </c>
      <c r="NF69" s="20" t="n">
        <f aca="false">IF(AND(HU69=1,IE69&gt;0,Slot17_IsWG=1,GB69=1),MIN(IE69,NE69),0)</f>
        <v>0</v>
      </c>
      <c r="NG69" s="20" t="n">
        <f aca="false">GC69+NF69</f>
        <v>0</v>
      </c>
      <c r="NH69" s="20" t="n">
        <f aca="false">IF(GB69=1,MAX(0,(Slot17_Cost-NG69*(1+Slot17_Rate)^(Slot17_Age-D69))/ND69),0)</f>
        <v>0</v>
      </c>
      <c r="NI69" s="20" t="n">
        <f aca="false">IF(GB69=1,MAX(0,(Slot17_Cost-GC69*(1+Slot17_Rate)^(Slot17_Age-D69))/ND69),0)</f>
        <v>0</v>
      </c>
      <c r="NJ69" s="20" t="n">
        <f aca="false">IF(AND(HU69=1,GB69=1),MIN(NC69,NH69),0)</f>
        <v>0</v>
      </c>
      <c r="NK69" s="20" t="n">
        <f aca="false">NC69-NJ69</f>
        <v>0</v>
      </c>
      <c r="NL69" s="20" t="n">
        <f aca="false">IF(GL69=1,IF(ABS((1+AS_Wage)/(1+Slot18_Rate)-1)&lt;0.000000000001,(Slot18_Age-D69)*(1+Slot18_Rate)^(Slot18_Age-D69),(1+Slot18_Rate)^(Slot18_Age-D69)*(1-((1+AS_Wage)/(1+Slot18_Rate))^(Slot18_Age-D69))/(1-(1+AS_Wage)/(1+Slot18_Rate))),1)</f>
        <v>1</v>
      </c>
      <c r="NM69" s="20" t="n">
        <f aca="false">IF(AND(HU69=1,IE69&gt;0,Slot18_IsWG=1,GL69=1),MAX(0,(Slot18_Cost-GM69*(1+Slot18_Rate)^(Slot18_Age-D69))/NL69),0)</f>
        <v>0</v>
      </c>
      <c r="NN69" s="20" t="n">
        <f aca="false">IF(AND(HU69=1,IE69&gt;0,Slot18_IsWG=1,GL69=1),MIN(IE69,NM69),0)</f>
        <v>0</v>
      </c>
      <c r="NO69" s="20" t="n">
        <f aca="false">GM69+NN69</f>
        <v>0</v>
      </c>
      <c r="NP69" s="20" t="n">
        <f aca="false">IF(GL69=1,MAX(0,(Slot18_Cost-NO69*(1+Slot18_Rate)^(Slot18_Age-D69))/NL69),0)</f>
        <v>0</v>
      </c>
      <c r="NQ69" s="20" t="n">
        <f aca="false">IF(GL69=1,MAX(0,(Slot18_Cost-GM69*(1+Slot18_Rate)^(Slot18_Age-D69))/NL69),0)</f>
        <v>0</v>
      </c>
      <c r="NR69" s="20" t="n">
        <f aca="false">IF(AND(HU69=1,GL69=1),MIN(NK69,NP69),0)</f>
        <v>0</v>
      </c>
      <c r="NS69" s="20" t="n">
        <f aca="false">NK69-NR69</f>
        <v>0</v>
      </c>
      <c r="NT69" s="20" t="n">
        <f aca="false">IF(GV69=1,IF(ABS((1+AS_Wage)/(1+Slot19_Rate)-1)&lt;0.000000000001,(Slot19_Age-D69)*(1+Slot19_Rate)^(Slot19_Age-D69),(1+Slot19_Rate)^(Slot19_Age-D69)*(1-((1+AS_Wage)/(1+Slot19_Rate))^(Slot19_Age-D69))/(1-(1+AS_Wage)/(1+Slot19_Rate))),1)</f>
        <v>1</v>
      </c>
      <c r="NU69" s="20" t="n">
        <f aca="false">IF(AND(HU69=1,IE69&gt;0,Slot19_IsWG=1,GV69=1),MAX(0,(Slot19_Cost-GW69*(1+Slot19_Rate)^(Slot19_Age-D69))/NT69),0)</f>
        <v>0</v>
      </c>
      <c r="NV69" s="20" t="n">
        <f aca="false">IF(AND(HU69=1,IE69&gt;0,Slot19_IsWG=1,GV69=1),MIN(IE69,NU69),0)</f>
        <v>0</v>
      </c>
      <c r="NW69" s="20" t="n">
        <f aca="false">GW69+NV69</f>
        <v>0</v>
      </c>
      <c r="NX69" s="20" t="n">
        <f aca="false">IF(GV69=1,MAX(0,(Slot19_Cost-NW69*(1+Slot19_Rate)^(Slot19_Age-D69))/NT69),0)</f>
        <v>0</v>
      </c>
      <c r="NY69" s="20" t="n">
        <f aca="false">IF(GV69=1,MAX(0,(Slot19_Cost-GW69*(1+Slot19_Rate)^(Slot19_Age-D69))/NT69),0)</f>
        <v>0</v>
      </c>
      <c r="NZ69" s="20" t="n">
        <f aca="false">IF(AND(HU69=1,GV69=1),MIN(NS69,NX69),0)</f>
        <v>0</v>
      </c>
      <c r="OA69" s="20" t="n">
        <f aca="false">NS69-NZ69</f>
        <v>0</v>
      </c>
      <c r="OB69" s="20" t="n">
        <f aca="false">IF(HF69=1,IF(ABS((1+AS_Wage)/(1+Slot20_Rate)-1)&lt;0.000000000001,(Slot20_Age-D69)*(1+Slot20_Rate)^(Slot20_Age-D69),(1+Slot20_Rate)^(Slot20_Age-D69)*(1-((1+AS_Wage)/(1+Slot20_Rate))^(Slot20_Age-D69))/(1-(1+AS_Wage)/(1+Slot20_Rate))),1)</f>
        <v>1</v>
      </c>
      <c r="OC69" s="20" t="n">
        <f aca="false">IF(AND(HU69=1,IE69&gt;0,Slot20_IsWG=1,HF69=1),MAX(0,(Slot20_Cost-HG69*(1+Slot20_Rate)^(Slot20_Age-D69))/OB69),0)</f>
        <v>0</v>
      </c>
      <c r="OD69" s="20" t="n">
        <f aca="false">IF(AND(HU69=1,IE69&gt;0,Slot20_IsWG=1,HF69=1),MIN(IE69,OC69),0)</f>
        <v>0</v>
      </c>
      <c r="OE69" s="20" t="n">
        <f aca="false">HG69+OD69</f>
        <v>0</v>
      </c>
      <c r="OF69" s="20" t="n">
        <f aca="false">IF(HF69=1,MAX(0,(Slot20_Cost-OE69*(1+Slot20_Rate)^(Slot20_Age-D69))/OB69),0)</f>
        <v>0</v>
      </c>
      <c r="OG69" s="20" t="n">
        <f aca="false">IF(HF69=1,MAX(0,(Slot20_Cost-HG69*(1+Slot20_Rate)^(Slot20_Age-D69))/OB69),0)</f>
        <v>0</v>
      </c>
      <c r="OH69" s="20" t="n">
        <f aca="false">IF(AND(HU69=1,HF69=1),MIN(OA69,OF69),0)</f>
        <v>0</v>
      </c>
      <c r="OI69" s="20" t="n">
        <f aca="false">OA69-OH69</f>
        <v>0</v>
      </c>
      <c r="OJ69" s="20" t="n">
        <f aca="false">IE69-(IH69+IP69+IX69+JF69+JN69+JV69+KD69+KL69+KT69+LB69+LJ69+LR69+LZ69+MH69+MP69+MX69+NF69+NN69+NV69+OD69)</f>
        <v>0</v>
      </c>
      <c r="OK69" s="20" t="n">
        <f aca="false">IF(HU69=1,HS69-ID69-IE69,0)</f>
        <v>0</v>
      </c>
      <c r="OL69" s="20" t="n">
        <f aca="false">IF(HU69=0,-HS69,0)</f>
        <v>64474.9795593471</v>
      </c>
      <c r="OM69" s="20" t="n">
        <f aca="false">MIN(OL69,HK69)</f>
        <v>0</v>
      </c>
      <c r="ON69" s="20" t="n">
        <f aca="false">OL69-OM69</f>
        <v>64474.9795593471</v>
      </c>
      <c r="OO69" s="20" t="n">
        <f aca="false">MIN(ON69,HL69)</f>
        <v>0</v>
      </c>
      <c r="OP69" s="20" t="n">
        <f aca="false">ON69-OO69</f>
        <v>64474.9795593471</v>
      </c>
      <c r="OQ69" s="20" t="n">
        <f aca="false">IF(AND(HU69=0,HF69=1,OP69&gt;0),MIN(OP69,HG69),0)</f>
        <v>0</v>
      </c>
      <c r="OR69" s="20" t="n">
        <f aca="false">OP69-OQ69</f>
        <v>64474.9795593471</v>
      </c>
      <c r="OS69" s="20" t="n">
        <f aca="false">IF(AND(HU69=0,GV69=1,OR69&gt;0),MIN(OR69,GW69),0)</f>
        <v>0</v>
      </c>
      <c r="OT69" s="20" t="n">
        <f aca="false">OR69-OS69</f>
        <v>64474.9795593471</v>
      </c>
      <c r="OU69" s="20" t="n">
        <f aca="false">IF(AND(HU69=0,GL69=1,OT69&gt;0),MIN(OT69,GM69),0)</f>
        <v>0</v>
      </c>
      <c r="OV69" s="20" t="n">
        <f aca="false">OT69-OU69</f>
        <v>64474.9795593471</v>
      </c>
      <c r="OW69" s="20" t="n">
        <f aca="false">IF(AND(HU69=0,GB69=1,OV69&gt;0),MIN(OV69,GC69),0)</f>
        <v>0</v>
      </c>
      <c r="OX69" s="20" t="n">
        <f aca="false">OV69-OW69</f>
        <v>64474.9795593471</v>
      </c>
      <c r="OY69" s="20" t="n">
        <f aca="false">IF(AND(HU69=0,FR69=1,OX69&gt;0),MIN(OX69,FS69),0)</f>
        <v>0</v>
      </c>
      <c r="OZ69" s="20" t="n">
        <f aca="false">OX69-OY69</f>
        <v>64474.9795593471</v>
      </c>
      <c r="PA69" s="20" t="n">
        <f aca="false">IF(AND(HU69=0,FH69=1,OZ69&gt;0),MIN(OZ69,FI69),0)</f>
        <v>0</v>
      </c>
      <c r="PB69" s="20" t="n">
        <f aca="false">OZ69-PA69</f>
        <v>64474.9795593471</v>
      </c>
      <c r="PC69" s="20" t="n">
        <f aca="false">IF(AND(HU69=0,EX69=1,PB69&gt;0),MIN(PB69,EY69),0)</f>
        <v>0</v>
      </c>
      <c r="PD69" s="20" t="n">
        <f aca="false">PB69-PC69</f>
        <v>64474.9795593471</v>
      </c>
      <c r="PE69" s="20" t="n">
        <f aca="false">IF(AND(HU69=0,EN69=1,PD69&gt;0),MIN(PD69,EO69),0)</f>
        <v>0</v>
      </c>
      <c r="PF69" s="20" t="n">
        <f aca="false">PD69-PE69</f>
        <v>64474.9795593471</v>
      </c>
      <c r="PG69" s="20" t="n">
        <f aca="false">IF(AND(HU69=0,ED69=1,PF69&gt;0),MIN(PF69,EE69),0)</f>
        <v>0</v>
      </c>
      <c r="PH69" s="20" t="n">
        <f aca="false">PF69-PG69</f>
        <v>64474.9795593471</v>
      </c>
      <c r="PI69" s="20" t="n">
        <f aca="false">IF(AND(HU69=0,DT69=1,PH69&gt;0),MIN(PH69,DU69),0)</f>
        <v>0</v>
      </c>
      <c r="PJ69" s="20" t="n">
        <f aca="false">PH69-PI69</f>
        <v>64474.9795593471</v>
      </c>
      <c r="PK69" s="20" t="n">
        <f aca="false">IF(AND(HU69=0,DJ69=1,PJ69&gt;0),MIN(PJ69,DK69),0)</f>
        <v>0</v>
      </c>
      <c r="PL69" s="20" t="n">
        <f aca="false">PJ69-PK69</f>
        <v>64474.9795593471</v>
      </c>
      <c r="PM69" s="20" t="n">
        <f aca="false">IF(AND(HU69=0,CZ69=1,PL69&gt;0),MIN(PL69,DA69),0)</f>
        <v>0</v>
      </c>
      <c r="PN69" s="20" t="n">
        <f aca="false">PL69-PM69</f>
        <v>64474.9795593471</v>
      </c>
      <c r="PO69" s="20" t="n">
        <f aca="false">IF(AND(HU69=0,CP69=1,PN69&gt;0),MIN(PN69,CQ69),0)</f>
        <v>0</v>
      </c>
      <c r="PP69" s="20" t="n">
        <f aca="false">PN69-PO69</f>
        <v>64474.9795593471</v>
      </c>
      <c r="PQ69" s="20" t="n">
        <f aca="false">IF(AND(HU69=0,CF69=1,PP69&gt;0),MIN(PP69,CG69),0)</f>
        <v>0</v>
      </c>
      <c r="PR69" s="20" t="n">
        <f aca="false">PP69-PQ69</f>
        <v>64474.9795593471</v>
      </c>
      <c r="PS69" s="20" t="n">
        <f aca="false">IF(AND(HU69=0,BV69=1,PR69&gt;0),MIN(PR69,BW69),0)</f>
        <v>0</v>
      </c>
      <c r="PT69" s="20" t="n">
        <f aca="false">PR69-PS69</f>
        <v>64474.9795593471</v>
      </c>
      <c r="PU69" s="20" t="n">
        <f aca="false">IF(AND(HU69=0,BL69=1,PT69&gt;0),MIN(PT69,BM69),0)</f>
        <v>0</v>
      </c>
      <c r="PV69" s="20" t="n">
        <f aca="false">PT69-PU69</f>
        <v>64474.9795593471</v>
      </c>
      <c r="PW69" s="20" t="n">
        <f aca="false">IF(AND(HU69=0,BB69=1,PV69&gt;0),MIN(PV69,BC69),0)</f>
        <v>0</v>
      </c>
      <c r="PX69" s="20" t="n">
        <f aca="false">PV69-PW69</f>
        <v>64474.9795593471</v>
      </c>
      <c r="PY69" s="20" t="n">
        <f aca="false">IF(AND(HU69=0,AR69=1,PX69&gt;0),MIN(PX69,AS69),0)</f>
        <v>0</v>
      </c>
      <c r="PZ69" s="20" t="n">
        <f aca="false">PX69-PY69</f>
        <v>64474.9795593471</v>
      </c>
      <c r="QA69" s="20" t="n">
        <f aca="false">IF(AND(HU69=0,AH69=1,PZ69&gt;0),MIN(PZ69,AI69),0)</f>
        <v>0</v>
      </c>
      <c r="QB69" s="20" t="n">
        <f aca="false">PZ69-QA69</f>
        <v>64474.9795593471</v>
      </c>
      <c r="QC69" s="20" t="n">
        <f aca="false">IF(AND(HU69=0,W69=1,QB69&gt;0),MIN(QB69,X69),0)</f>
        <v>0</v>
      </c>
      <c r="QD69" s="20" t="n">
        <f aca="false">QB69-QC69</f>
        <v>64474.9795593471</v>
      </c>
      <c r="QE69" s="20" t="n">
        <f aca="false">IF(HU69=0,QD69,0)</f>
        <v>64474.9795593471</v>
      </c>
      <c r="QF69" s="20" t="n">
        <f aca="false">OM69+OO69+QC69+QA69+PY69+PW69+PU69+PS69+PQ69+PO69+PM69+PK69+PI69+PG69+PE69+PC69+PA69+OY69+OW69+OU69+OS69+OQ69</f>
        <v>0</v>
      </c>
      <c r="QG69" s="20" t="n">
        <f aca="false">IF(HU69=1,HK69+OJ69+OI69+IF(G69=1,0,OK69),HK69-OM69)</f>
        <v>0</v>
      </c>
      <c r="QH69" s="20" t="n">
        <f aca="false">HL69-OO69</f>
        <v>0</v>
      </c>
      <c r="QI69" s="20" t="n">
        <f aca="false">IF(HU69=1,IF(G69=1,ID69+IE69,HS69),0)</f>
        <v>0</v>
      </c>
      <c r="QJ69" s="20" t="n">
        <f aca="false">IF(HU69=1,IF(G69=1,HS69-ID69-IE69,0),0)</f>
        <v>0</v>
      </c>
      <c r="QK69" s="57" t="n">
        <f aca="false">'Plan holdings'!BM69</f>
        <v>0</v>
      </c>
      <c r="QL69" s="20" t="n">
        <f aca="false">QH69*(1+AS_Cash)</f>
        <v>0</v>
      </c>
      <c r="QM69" s="20" t="n">
        <f aca="false">IF(W69=1,IF(HU69=1,II69+IL69,X69-QC69)*(1+Slot1_Rate),0)</f>
        <v>0</v>
      </c>
      <c r="QN69" s="20" t="n">
        <f aca="false">IF(AND(HU69=1,W69=1),(IH69+IL69)/F69,0)</f>
        <v>0</v>
      </c>
      <c r="QO69" s="20" t="n">
        <f aca="false">IF(B69=0,IH69+IL69,0)</f>
        <v>0</v>
      </c>
      <c r="QP69" s="20" t="n">
        <f aca="false">IF(B69=0,IF(HU69=1,IJ69,IK69),0)</f>
        <v>0</v>
      </c>
      <c r="QQ69" s="20" t="n">
        <f aca="false">IF(AH69=1,IF(HU69=1,IQ69+IT69,AI69-QA69)*(1+Slot2_Rate),0)</f>
        <v>0</v>
      </c>
      <c r="QR69" s="20" t="n">
        <f aca="false">IF(AND(HU69=1,AH69=1),(IP69+IT69)/F69,0)</f>
        <v>0</v>
      </c>
      <c r="QS69" s="20" t="n">
        <f aca="false">IF(B69=0,IP69+IT69,0)</f>
        <v>0</v>
      </c>
      <c r="QT69" s="20" t="n">
        <f aca="false">IF(B69=0,IF(HU69=1,IR69,IS69),0)</f>
        <v>0</v>
      </c>
      <c r="QU69" s="20" t="n">
        <f aca="false">IF(AR69=1,IF(HU69=1,IY69+JB69,AS69-PY69)*(1+Slot3_Rate),0)</f>
        <v>0</v>
      </c>
      <c r="QV69" s="20" t="n">
        <f aca="false">IF(AND(HU69=1,AR69=1),(IX69+JB69)/F69,0)</f>
        <v>0</v>
      </c>
      <c r="QW69" s="20" t="n">
        <f aca="false">IF(B69=0,IX69+JB69,0)</f>
        <v>0</v>
      </c>
      <c r="QX69" s="20" t="n">
        <f aca="false">IF(B69=0,IF(HU69=1,IZ69,JA69),0)</f>
        <v>0</v>
      </c>
      <c r="QY69" s="20" t="n">
        <f aca="false">IF(BB69=1,IF(HU69=1,JG69+JJ69,BC69-PW69)*(1+Slot4_Rate),0)</f>
        <v>0</v>
      </c>
      <c r="QZ69" s="20" t="n">
        <f aca="false">IF(AND(HU69=1,BB69=1),(JF69+JJ69)/F69,0)</f>
        <v>0</v>
      </c>
      <c r="RA69" s="20" t="n">
        <f aca="false">IF(B69=0,JF69+JJ69,0)</f>
        <v>0</v>
      </c>
      <c r="RB69" s="20" t="n">
        <f aca="false">IF(B69=0,IF(HU69=1,JH69,JI69),0)</f>
        <v>0</v>
      </c>
      <c r="RC69" s="20" t="n">
        <f aca="false">IF(BL69=1,IF(HU69=1,JO69+JR69,BM69-PU69)*(1+Slot5_Rate),0)</f>
        <v>0</v>
      </c>
      <c r="RD69" s="20" t="n">
        <f aca="false">IF(AND(HU69=1,BL69=1),(JN69+JR69)/F69,0)</f>
        <v>0</v>
      </c>
      <c r="RE69" s="20" t="n">
        <f aca="false">IF(B69=0,JN69+JR69,0)</f>
        <v>0</v>
      </c>
      <c r="RF69" s="20" t="n">
        <f aca="false">IF(B69=0,IF(HU69=1,JP69,JQ69),0)</f>
        <v>0</v>
      </c>
      <c r="RG69" s="20" t="n">
        <f aca="false">IF(BV69=1,IF(HU69=1,JW69+JZ69,BW69-PS69)*(1+Slot6_Rate),0)</f>
        <v>0</v>
      </c>
      <c r="RH69" s="20" t="n">
        <f aca="false">IF(AND(HU69=1,BV69=1),(JV69+JZ69)/F69,0)</f>
        <v>0</v>
      </c>
      <c r="RI69" s="20" t="n">
        <f aca="false">IF(B69=0,JV69+JZ69,0)</f>
        <v>0</v>
      </c>
      <c r="RJ69" s="20" t="n">
        <f aca="false">IF(B69=0,IF(HU69=1,JX69,JY69),0)</f>
        <v>0</v>
      </c>
      <c r="RK69" s="20" t="n">
        <f aca="false">IF(CF69=1,IF(HU69=1,KE69+KH69,CG69-PQ69)*(1+Slot7_Rate),0)</f>
        <v>0</v>
      </c>
      <c r="RL69" s="20" t="n">
        <f aca="false">IF(AND(HU69=1,CF69=1),(KD69+KH69)/F69,0)</f>
        <v>0</v>
      </c>
      <c r="RM69" s="20" t="n">
        <f aca="false">IF(B69=0,KD69+KH69,0)</f>
        <v>0</v>
      </c>
      <c r="RN69" s="20" t="n">
        <f aca="false">IF(B69=0,IF(HU69=1,KF69,KG69),0)</f>
        <v>0</v>
      </c>
      <c r="RO69" s="20" t="n">
        <f aca="false">IF(CP69=1,IF(HU69=1,KM69+KP69,CQ69-PO69)*(1+Slot8_Rate),0)</f>
        <v>0</v>
      </c>
      <c r="RP69" s="20" t="n">
        <f aca="false">IF(AND(HU69=1,CP69=1),(KL69+KP69)/F69,0)</f>
        <v>0</v>
      </c>
      <c r="RQ69" s="20" t="n">
        <f aca="false">IF(B69=0,KL69+KP69,0)</f>
        <v>0</v>
      </c>
      <c r="RR69" s="20" t="n">
        <f aca="false">IF(B69=0,IF(HU69=1,KN69,KO69),0)</f>
        <v>0</v>
      </c>
      <c r="RS69" s="20" t="n">
        <f aca="false">IF(CZ69=1,IF(HU69=1,KU69+KX69,DA69-PM69)*(1+Slot9_Rate),0)</f>
        <v>0</v>
      </c>
      <c r="RT69" s="20" t="n">
        <f aca="false">IF(AND(HU69=1,CZ69=1),(KT69+KX69)/F69,0)</f>
        <v>0</v>
      </c>
      <c r="RU69" s="20" t="n">
        <f aca="false">IF(B69=0,KT69+KX69,0)</f>
        <v>0</v>
      </c>
      <c r="RV69" s="20" t="n">
        <f aca="false">IF(B69=0,IF(HU69=1,KV69,KW69),0)</f>
        <v>0</v>
      </c>
      <c r="RW69" s="20" t="n">
        <f aca="false">IF(DJ69=1,IF(HU69=1,LC69+LF69,DK69-PK69)*(1+Slot10_Rate),0)</f>
        <v>0</v>
      </c>
      <c r="RX69" s="20" t="n">
        <f aca="false">IF(AND(HU69=1,DJ69=1),(LB69+LF69)/F69,0)</f>
        <v>0</v>
      </c>
      <c r="RY69" s="20" t="n">
        <f aca="false">IF(B69=0,LB69+LF69,0)</f>
        <v>0</v>
      </c>
      <c r="RZ69" s="20" t="n">
        <f aca="false">IF(B69=0,IF(HU69=1,LD69,LE69),0)</f>
        <v>0</v>
      </c>
      <c r="SA69" s="20" t="n">
        <f aca="false">IF(DT69=1,IF(HU69=1,LK69+LN69,DU69-PI69)*(1+Slot11_Rate),0)</f>
        <v>0</v>
      </c>
      <c r="SB69" s="20" t="n">
        <f aca="false">IF(AND(HU69=1,DT69=1),(LJ69+LN69)/F69,0)</f>
        <v>0</v>
      </c>
      <c r="SC69" s="20" t="n">
        <f aca="false">IF(B69=0,LJ69+LN69,0)</f>
        <v>0</v>
      </c>
      <c r="SD69" s="20" t="n">
        <f aca="false">IF(B69=0,IF(HU69=1,LL69,LM69),0)</f>
        <v>0</v>
      </c>
      <c r="SE69" s="20" t="n">
        <f aca="false">IF(ED69=1,IF(HU69=1,LS69+LV69,EE69-PG69)*(1+Slot12_Rate),0)</f>
        <v>0</v>
      </c>
      <c r="SF69" s="20" t="n">
        <f aca="false">IF(AND(HU69=1,ED69=1),(LR69+LV69)/F69,0)</f>
        <v>0</v>
      </c>
      <c r="SG69" s="20" t="n">
        <f aca="false">IF(B69=0,LR69+LV69,0)</f>
        <v>0</v>
      </c>
      <c r="SH69" s="20" t="n">
        <f aca="false">IF(B69=0,IF(HU69=1,LT69,LU69),0)</f>
        <v>0</v>
      </c>
      <c r="SI69" s="20" t="n">
        <f aca="false">IF(EN69=1,IF(HU69=1,MA69+MD69,EO69-PE69)*(1+Slot13_Rate),0)</f>
        <v>0</v>
      </c>
      <c r="SJ69" s="20" t="n">
        <f aca="false">IF(AND(HU69=1,EN69=1),(LZ69+MD69)/F69,0)</f>
        <v>0</v>
      </c>
      <c r="SK69" s="20" t="n">
        <f aca="false">IF(B69=0,LZ69+MD69,0)</f>
        <v>0</v>
      </c>
      <c r="SL69" s="20" t="n">
        <f aca="false">IF(B69=0,IF(HU69=1,MB69,MC69),0)</f>
        <v>0</v>
      </c>
      <c r="SM69" s="20" t="n">
        <f aca="false">IF(EX69=1,IF(HU69=1,MI69+ML69,EY69-PC69)*(1+Slot14_Rate),0)</f>
        <v>0</v>
      </c>
      <c r="SN69" s="20" t="n">
        <f aca="false">IF(AND(HU69=1,EX69=1),(MH69+ML69)/F69,0)</f>
        <v>0</v>
      </c>
      <c r="SO69" s="20" t="n">
        <f aca="false">IF(B69=0,MH69+ML69,0)</f>
        <v>0</v>
      </c>
      <c r="SP69" s="20" t="n">
        <f aca="false">IF(B69=0,IF(HU69=1,MJ69,MK69),0)</f>
        <v>0</v>
      </c>
      <c r="SQ69" s="20" t="n">
        <f aca="false">IF(FH69=1,IF(HU69=1,MQ69+MT69,FI69-PA69)*(1+Slot15_Rate),0)</f>
        <v>0</v>
      </c>
      <c r="SR69" s="20" t="n">
        <f aca="false">IF(AND(HU69=1,FH69=1),(MP69+MT69)/F69,0)</f>
        <v>0</v>
      </c>
      <c r="SS69" s="20" t="n">
        <f aca="false">IF(B69=0,MP69+MT69,0)</f>
        <v>0</v>
      </c>
      <c r="ST69" s="20" t="n">
        <f aca="false">IF(B69=0,IF(HU69=1,MR69,MS69),0)</f>
        <v>0</v>
      </c>
      <c r="SU69" s="20" t="n">
        <f aca="false">IF(FR69=1,IF(HU69=1,MY69+NB69,FS69-OY69)*(1+Slot16_Rate),0)</f>
        <v>0</v>
      </c>
      <c r="SV69" s="20" t="n">
        <f aca="false">IF(AND(HU69=1,FR69=1),(MX69+NB69)/F69,0)</f>
        <v>0</v>
      </c>
      <c r="SW69" s="20" t="n">
        <f aca="false">IF(B69=0,MX69+NB69,0)</f>
        <v>0</v>
      </c>
      <c r="SX69" s="20" t="n">
        <f aca="false">IF(B69=0,IF(HU69=1,MZ69,NA69),0)</f>
        <v>0</v>
      </c>
      <c r="SY69" s="20" t="n">
        <f aca="false">IF(GB69=1,IF(HU69=1,NG69+NJ69,GC69-OW69)*(1+Slot17_Rate),0)</f>
        <v>0</v>
      </c>
      <c r="SZ69" s="20" t="n">
        <f aca="false">IF(AND(HU69=1,GB69=1),(NF69+NJ69)/F69,0)</f>
        <v>0</v>
      </c>
      <c r="TA69" s="20" t="n">
        <f aca="false">IF(B69=0,NF69+NJ69,0)</f>
        <v>0</v>
      </c>
      <c r="TB69" s="20" t="n">
        <f aca="false">IF(B69=0,IF(HU69=1,NH69,NI69),0)</f>
        <v>0</v>
      </c>
      <c r="TC69" s="20" t="n">
        <f aca="false">IF(GL69=1,IF(HU69=1,NO69+NR69,GM69-OU69)*(1+Slot18_Rate),0)</f>
        <v>0</v>
      </c>
      <c r="TD69" s="20" t="n">
        <f aca="false">IF(AND(HU69=1,GL69=1),(NN69+NR69)/F69,0)</f>
        <v>0</v>
      </c>
      <c r="TE69" s="20" t="n">
        <f aca="false">IF(B69=0,NN69+NR69,0)</f>
        <v>0</v>
      </c>
      <c r="TF69" s="20" t="n">
        <f aca="false">IF(B69=0,IF(HU69=1,NP69,NQ69),0)</f>
        <v>0</v>
      </c>
      <c r="TG69" s="20" t="n">
        <f aca="false">IF(GV69=1,IF(HU69=1,NW69+NZ69,GW69-OS69)*(1+Slot19_Rate),0)</f>
        <v>0</v>
      </c>
      <c r="TH69" s="20" t="n">
        <f aca="false">IF(AND(HU69=1,GV69=1),(NV69+NZ69)/F69,0)</f>
        <v>0</v>
      </c>
      <c r="TI69" s="20" t="n">
        <f aca="false">IF(B69=0,NV69+NZ69,0)</f>
        <v>0</v>
      </c>
      <c r="TJ69" s="20" t="n">
        <f aca="false">IF(B69=0,IF(HU69=1,NX69,NY69),0)</f>
        <v>0</v>
      </c>
      <c r="TK69" s="20" t="n">
        <f aca="false">IF(HF69=1,IF(HU69=1,OE69+OH69,HG69-OQ69)*(1+Slot20_Rate),0)</f>
        <v>0</v>
      </c>
      <c r="TL69" s="20" t="n">
        <f aca="false">IF(AND(HU69=1,HF69=1),(OD69+OH69)/F69,0)</f>
        <v>0</v>
      </c>
      <c r="TM69" s="20" t="n">
        <f aca="false">IF(B69=0,OD69+OH69,0)</f>
        <v>0</v>
      </c>
      <c r="TN69" s="20" t="n">
        <f aca="false">IF(B69=0,IF(HU69=1,OF69,OG69),0)</f>
        <v>0</v>
      </c>
      <c r="TO69" s="20" t="n">
        <f aca="false">QK69+QL69+QM69+QQ69+QU69+QY69+RC69+RG69+RK69+RO69+RS69+RW69+SA69+SE69+SI69+SM69+SQ69+SU69+SY69+TC69+TG69+TK69</f>
        <v>0</v>
      </c>
      <c r="TP69" s="20" t="n">
        <f aca="false">QE69+HP69</f>
        <v>64474.9795593471</v>
      </c>
      <c r="TQ69" s="20" t="n">
        <f aca="false">I69+S69</f>
        <v>159969.937117544</v>
      </c>
      <c r="TR69" s="20" t="n">
        <f aca="false">1-G69</f>
        <v>1</v>
      </c>
      <c r="TS69" s="20" t="n">
        <f aca="false">IF(AND(RG_Exists=1,G69=0,C69=1),I69,0)</f>
        <v>0</v>
      </c>
      <c r="TT69" s="20" t="n">
        <f aca="false">IF(AND(RG_Exists=1,G69=0,C69=1),I69-MIN(QE69,I69),0)</f>
        <v>0</v>
      </c>
      <c r="TU69" s="20" t="n">
        <f aca="false">'Plan pay &amp; tax'!AD295</f>
        <v>0</v>
      </c>
      <c r="TV69" s="20" t="n">
        <f aca="false">IF(AND(C69=1,QE69&gt;MAX(PR_Short1,TQ69*PR_Short2)),1,0)</f>
        <v>0</v>
      </c>
      <c r="TW69" s="20" t="n">
        <f aca="false">MIN(H69,I69+S69)</f>
        <v>95494.9575581971</v>
      </c>
      <c r="TX69" s="20" t="n">
        <f aca="false">QF69+MAX(0,HQ69-HP69)</f>
        <v>0</v>
      </c>
      <c r="TY69" s="20" t="n">
        <f aca="false">QE69+HP69</f>
        <v>64474.9795593471</v>
      </c>
      <c r="TZ69" s="20" t="n">
        <f aca="false">IF(AND(C69=1,TY69&gt;PR_MinShort),1,0)</f>
        <v>0</v>
      </c>
      <c r="UA69" s="20" t="n">
        <f aca="false">IF(AND(C69=1,TZ69=0,TX69&gt;PR_MinShort),1,0)</f>
        <v>0</v>
      </c>
      <c r="UB69" s="20" t="n">
        <f aca="false">IF(AND(C69=1,QE69&gt;PR_MinShort),1,0)</f>
        <v>0</v>
      </c>
      <c r="UC69" s="20" t="n">
        <f aca="false">IF(AND(C69=1,QF69&gt;1,UJ69=0),1,0)</f>
        <v>0</v>
      </c>
      <c r="UD69" s="20" t="str">
        <f aca="false">IF(C69=0,"",IF(UJ69=1,"Gap to plan for: short "&amp;"€"&amp;TEXT(ROUND(TP69,0),"#,##0"),IF(QF69&gt;1,"Using savings","Comfortable")))</f>
        <v/>
      </c>
      <c r="UE69" s="20" t="n">
        <f aca="false">IF(AND(INT(D69/10)*10=90,B69&gt;0),80,INT(D69/10)*10)</f>
        <v>80</v>
      </c>
      <c r="UF69" s="20" t="n">
        <f aca="false">IF(B69=0,1,IF(UE69&lt;&gt;UE68,UF68+1,UF68))</f>
        <v>6</v>
      </c>
      <c r="UG69" s="20" t="n">
        <f aca="false">IF(AND(C69=1,G69=1,QE69&gt;MAX(PR_Short1,TQ69*PR_Short2)),1,0)</f>
        <v>0</v>
      </c>
      <c r="UH69" s="20" t="n">
        <f aca="false">TR69*TV69</f>
        <v>0</v>
      </c>
      <c r="UI69" s="20" t="n">
        <f aca="false">IF(AND(V69=1,Slot1_PctLow=1),1,0)+IF(AND(AG69=1,Slot2_PctLow=1),1,0)+IF(AND(AQ69=1,Slot3_PctLow=1),1,0)+IF(AND(BA69=1,Slot4_PctLow=1),1,0)+IF(AND(BK69=1,Slot5_PctLow=1),1,0)+IF(AND(BU69=1,Slot6_PctLow=1),1,0)+IF(AND(CE69=1,Slot7_PctLow=1),1,0)+IF(AND(CO69=1,Slot8_PctLow=1),1,0)+IF(AND(CY69=1,Slot9_PctLow=1),1,0)+IF(AND(DI69=1,Slot10_PctLow=1),1,0)+IF(AND(DS69=1,Slot11_PctLow=1),1,0)+IF(AND(EC69=1,Slot12_PctLow=1),1,0)+IF(AND(EM69=1,Slot13_PctLow=1),1,0)+IF(AND(EW69=1,Slot14_PctLow=1),1,0)+IF(AND(FG69=1,Slot15_PctLow=1),1,0)+IF(AND(FQ69=1,Slot16_PctLow=1),1,0)+IF(AND(GA69=1,Slot17_PctLow=1),1,0)+IF(AND(GK69=1,Slot18_PctLow=1),1,0)+IF(AND(GU69=1,Slot19_PctLow=1),1,0)+IF(AND(HE69=1,Slot20_PctLow=1),1,0)</f>
        <v>0</v>
      </c>
      <c r="UJ69" s="20" t="n">
        <f aca="false">IF(C69=1,IF(OR(TV69=1,UI69&gt;0),1,0),0)</f>
        <v>0</v>
      </c>
      <c r="UK69" s="20" t="n">
        <f aca="false">Z69+AK69+AU69+BE69+BO69+BY69+CI69+CS69+DC69+DM69+DW69+EG69+EQ69+FA69+FK69+FU69+GE69+GO69+GY69+HI69+OM69</f>
        <v>0</v>
      </c>
      <c r="UL69" s="20" t="n">
        <f aca="false">V69*IF(Slot1_SpendLike=1,X69-Y69,IF(Slot1_PotFree=1,X69,0))+AG69*IF(Slot2_SpendLike=1,AI69-AJ69,IF(Slot2_PotFree=1,AI69,0))+AQ69*IF(Slot3_SpendLike=1,AS69-AT69,IF(Slot3_PotFree=1,AS69,0))+BA69*IF(Slot4_SpendLike=1,BC69-BD69,IF(Slot4_PotFree=1,BC69,0))+BK69*IF(Slot5_SpendLike=1,BM69-BN69,IF(Slot5_PotFree=1,BM69,0))+BU69*IF(Slot6_SpendLike=1,BW69-BX69,IF(Slot6_PotFree=1,BW69,0))+CE69*IF(Slot7_SpendLike=1,CG69-CH69,IF(Slot7_PotFree=1,CG69,0))+CO69*IF(Slot8_SpendLike=1,CQ69-CR69,IF(Slot8_PotFree=1,CQ69,0))+CY69*IF(Slot9_SpendLike=1,DA69-DB69,IF(Slot9_PotFree=1,DA69,0))+DI69*IF(Slot10_SpendLike=1,DK69-DL69,IF(Slot10_PotFree=1,DK69,0))+DS69*IF(Slot11_SpendLike=1,DU69-DV69,IF(Slot11_PotFree=1,DU69,0))+EC69*IF(Slot12_SpendLike=1,EE69-EF69,IF(Slot12_PotFree=1,EE69,0))+EM69*IF(Slot13_SpendLike=1,EO69-EP69,IF(Slot13_PotFree=1,EO69,0))+EW69*IF(Slot14_SpendLike=1,EY69-EZ69,IF(Slot14_PotFree=1,EY69,0))+FG69*IF(Slot15_SpendLike=1,FI69-FJ69,IF(Slot15_PotFree=1,FI69,0))+FQ69*IF(Slot16_SpendLike=1,FS69-FT69,IF(Slot16_PotFree=1,FS69,0))+GA69*IF(Slot17_SpendLike=1,GC69-GD69,IF(Slot17_PotFree=1,GC69,0))+GK69*IF(Slot18_SpendLike=1,GM69-GN69,IF(Slot18_PotFree=1,GM69,0))+GU69*IF(Slot19_SpendLike=1,GW69-GX69,IF(Slot19_PotFree=1,GW69,0))+HE69*IF(Slot20_SpendLike=1,HG69-HH69,IF(Slot20_PotFree=1,HG69,0))</f>
        <v>0</v>
      </c>
      <c r="UM69" s="20" t="n">
        <f aca="false">QG69-T69+UK69-UL69</f>
        <v>0</v>
      </c>
      <c r="UN69" s="20" t="n">
        <f aca="false">IF(OR(UN68=1,AND(In_homeUse="Yes, I'd downsize",In_downAge&gt;0,D69=In_downAge,OR(In_home="Own outright",In_home="Own with mortgage"),In_homeValue&gt;0)),1,0)</f>
        <v>0</v>
      </c>
    </row>
    <row r="70" customFormat="false" ht="15" hidden="false" customHeight="true" outlineLevel="0" collapsed="false">
      <c r="B70" s="20" t="n">
        <v>62</v>
      </c>
      <c r="C70" s="20" t="n">
        <f aca="false">IF(B70&lt;=F_N,1,0)</f>
        <v>0</v>
      </c>
      <c r="D70" s="20" t="n">
        <f aca="false">'Plan pay &amp; tax'!C296</f>
        <v>100</v>
      </c>
      <c r="E70" s="20" t="str">
        <f aca="false">IF($C70=1,"Income tax "&amp;TEXT(N('Plan pay &amp; tax'!BK296),"#,##0")&amp;"; USC "&amp;TEXT(N('Plan pay &amp; tax'!BM296)+N('Plan pay &amp; tax'!BO296),"#,##0")&amp;"; PRSI "&amp;TEXT(N('Plan pay &amp; tax'!BP296)+N('Plan pay &amp; tax'!BQ296),"#,##0")&amp;IF(N('Plan holdings'!BO70)&gt;=0.5,"; DIRT "&amp;TEXT(('Plan holdings'!BO70)/$F70,"#,##0")&amp;" (already taken from the interest earned)","")&amp;IF(N('Plan holdings'!BP70)&gt;=0.5,"; exit tax at an 8-year anniversary "&amp;TEXT(('Plan holdings'!BP70)/$F70,"#,##0"),"")&amp;IF(N('Plan holdings'!BN70)&gt;=0.5,"; tax on assets sold (exit tax or capital gains tax) "&amp;TEXT(('Plan holdings'!BN70)/$F70,"#,##0"),"")&amp;IF(N('Plan pay &amp; tax'!X296)-N('Plan pay &amp; tax'!Y296)&gt;=0.5,"; tax on the pension lump sum "&amp;TEXT(('Plan pay &amp; tax'!X296-'Plan pay &amp; tax'!Y296)/$F70,"#,##0"),"")&amp;IF(N('Plan pay &amp; tax'!V296)&gt;=0.5,"; chargeable excess tax on the pension "&amp;TEXT(('Plan pay &amp; tax'!V296)/$F70,"#,##0"),"")&amp;".","")</f>
        <v/>
      </c>
      <c r="F70" s="50" t="n">
        <f aca="false">'Plan pay &amp; tax'!E296</f>
        <v>3.41358443221538</v>
      </c>
      <c r="G70" s="20" t="n">
        <f aca="false">'Plan pay &amp; tax'!G296</f>
        <v>0</v>
      </c>
      <c r="H70" s="20" t="n">
        <f aca="false">'Plan pay &amp; tax'!BT296-'Plan pay &amp; tax'!BS296-'Plan pay &amp; tax'!R296</f>
        <v>97404.8567093611</v>
      </c>
      <c r="I70" s="20" t="n">
        <f aca="false">IF(G70=1,F_CostsM*12,IF(RG_Exists=1,RG_Amount,F_CostsM*12*AS_RetireSpend))*F70+F_OneOffY*F70</f>
        <v>163169.335859895</v>
      </c>
      <c r="J70" s="20" t="n">
        <f aca="false">IF(UN70=1,0,HR69)</f>
        <v>0</v>
      </c>
      <c r="K70" s="20" t="n">
        <f aca="false">IF(J70&gt;1,'Plan debt months'!AC70,0)</f>
        <v>0</v>
      </c>
      <c r="L70" s="20" t="n">
        <f aca="false">IF(J70&gt;1,'Plan debt months'!AB70,J70)</f>
        <v>0</v>
      </c>
      <c r="M70" s="20" t="n">
        <f aca="false">O69</f>
        <v>0</v>
      </c>
      <c r="N70" s="20" t="n">
        <f aca="false">IF(M70&gt;1,'Plan debt months'!BD70,0)</f>
        <v>0</v>
      </c>
      <c r="O70" s="20" t="n">
        <f aca="false">IF(M70&gt;1,'Plan debt months'!BC70,M70)</f>
        <v>0</v>
      </c>
      <c r="P70" s="20" t="n">
        <f aca="false">R69</f>
        <v>0</v>
      </c>
      <c r="Q70" s="20" t="n">
        <f aca="false">IF(P70&gt;1,'Plan debt months'!CE70,0)</f>
        <v>0</v>
      </c>
      <c r="R70" s="20" t="n">
        <f aca="false">IF(P70&gt;1,'Plan debt months'!CD70,P70)</f>
        <v>0</v>
      </c>
      <c r="S70" s="20" t="n">
        <f aca="false">K70+N70+Q70</f>
        <v>0</v>
      </c>
      <c r="T70" s="57" t="n">
        <f aca="false">'Plan holdings'!Y70</f>
        <v>0</v>
      </c>
      <c r="U70" s="57" t="n">
        <f aca="false">'Plan holdings'!BM69</f>
        <v>0</v>
      </c>
      <c r="V70" s="20" t="n">
        <f aca="false">IF(AND(Slot1_On=1,D70=Slot1_Age),1,0)</f>
        <v>0</v>
      </c>
      <c r="W70" s="20" t="n">
        <f aca="false">IF(AND(Slot1_On=1,Slot1_Age&gt;D70),1,0)</f>
        <v>0</v>
      </c>
      <c r="X70" s="20" t="n">
        <f aca="false">QM69</f>
        <v>0</v>
      </c>
      <c r="Y70" s="20" t="n">
        <f aca="false">V70*MIN(Slot1_Cost,X70)</f>
        <v>0</v>
      </c>
      <c r="Z70" s="20" t="n">
        <f aca="false">V70*Slot1_SpendLike*MIN(Slot1_Cost-Y70,T70)</f>
        <v>0</v>
      </c>
      <c r="AA70" s="20" t="n">
        <f aca="false">Y70+Z70</f>
        <v>0</v>
      </c>
      <c r="AB70" s="20" t="n">
        <f aca="false">T70-Z70+V70*IF(Slot1_SpendLike=1,X70-Y70,IF(Slot1_PotFree=1,X70,0))</f>
        <v>0</v>
      </c>
      <c r="AC70" s="20" t="n">
        <f aca="false">AF70+V70*Slot1_BufPot*X70</f>
        <v>0</v>
      </c>
      <c r="AD70" s="20" t="n">
        <f aca="false">IF(AND(V70=1,Slot1_IsMfree=1),IF(AA70&gt;=Slot1_Cost-1,0,MAX(0,L70-AA70)),L70)</f>
        <v>0</v>
      </c>
      <c r="AE70" s="20" t="n">
        <f aca="false">V70*(Slot1_Cost-AA70)</f>
        <v>0</v>
      </c>
      <c r="AF70" s="20" t="n">
        <f aca="false">QL69</f>
        <v>0</v>
      </c>
      <c r="AG70" s="20" t="n">
        <f aca="false">IF(AND(Slot2_On=1,D70=Slot2_Age),1,0)</f>
        <v>0</v>
      </c>
      <c r="AH70" s="20" t="n">
        <f aca="false">IF(AND(Slot2_On=1,Slot2_Age&gt;D70),1,0)</f>
        <v>0</v>
      </c>
      <c r="AI70" s="20" t="n">
        <f aca="false">QQ69</f>
        <v>0</v>
      </c>
      <c r="AJ70" s="20" t="n">
        <f aca="false">AG70*MIN(Slot2_Cost,AI70)</f>
        <v>0</v>
      </c>
      <c r="AK70" s="20" t="n">
        <f aca="false">AG70*Slot2_SpendLike*MIN(Slot2_Cost-AJ70,AB70)</f>
        <v>0</v>
      </c>
      <c r="AL70" s="20" t="n">
        <f aca="false">AJ70+AK70</f>
        <v>0</v>
      </c>
      <c r="AM70" s="20" t="n">
        <f aca="false">AB70-AK70+AG70*IF(Slot2_SpendLike=1,AI70-AJ70,IF(Slot2_PotFree=1,AI70,0))</f>
        <v>0</v>
      </c>
      <c r="AN70" s="20" t="n">
        <f aca="false">AC70+AG70*Slot2_BufPot*AI70</f>
        <v>0</v>
      </c>
      <c r="AO70" s="20" t="n">
        <f aca="false">IF(AND(AG70=1,Slot2_IsMfree=1),IF(AL70&gt;=Slot2_Cost-1,0,MAX(0,AD70-AL70)),AD70)</f>
        <v>0</v>
      </c>
      <c r="AP70" s="20" t="n">
        <f aca="false">AG70*(Slot2_Cost-AL70)</f>
        <v>0</v>
      </c>
      <c r="AQ70" s="20" t="n">
        <f aca="false">IF(AND(Slot3_On=1,D70=Slot3_Age),1,0)</f>
        <v>0</v>
      </c>
      <c r="AR70" s="20" t="n">
        <f aca="false">IF(AND(Slot3_On=1,Slot3_Age&gt;D70),1,0)</f>
        <v>0</v>
      </c>
      <c r="AS70" s="20" t="n">
        <f aca="false">QU69</f>
        <v>0</v>
      </c>
      <c r="AT70" s="20" t="n">
        <f aca="false">AQ70*MIN(Slot3_Cost,AS70)</f>
        <v>0</v>
      </c>
      <c r="AU70" s="20" t="n">
        <f aca="false">AQ70*Slot3_SpendLike*MIN(Slot3_Cost-AT70,AM70)</f>
        <v>0</v>
      </c>
      <c r="AV70" s="20" t="n">
        <f aca="false">AT70+AU70</f>
        <v>0</v>
      </c>
      <c r="AW70" s="20" t="n">
        <f aca="false">AM70-AU70+AQ70*IF(Slot3_SpendLike=1,AS70-AT70,IF(Slot3_PotFree=1,AS70,0))</f>
        <v>0</v>
      </c>
      <c r="AX70" s="20" t="n">
        <f aca="false">AN70+AQ70*Slot3_BufPot*AS70</f>
        <v>0</v>
      </c>
      <c r="AY70" s="20" t="n">
        <f aca="false">IF(AND(AQ70=1,Slot3_IsMfree=1),IF(AV70&gt;=Slot3_Cost-1,0,MAX(0,AO70-AV70)),AO70)</f>
        <v>0</v>
      </c>
      <c r="AZ70" s="20" t="n">
        <f aca="false">AQ70*(Slot3_Cost-AV70)</f>
        <v>0</v>
      </c>
      <c r="BA70" s="20" t="n">
        <f aca="false">IF(AND(Slot4_On=1,D70=Slot4_Age),1,0)</f>
        <v>0</v>
      </c>
      <c r="BB70" s="20" t="n">
        <f aca="false">IF(AND(Slot4_On=1,Slot4_Age&gt;D70),1,0)</f>
        <v>0</v>
      </c>
      <c r="BC70" s="20" t="n">
        <f aca="false">QY69</f>
        <v>0</v>
      </c>
      <c r="BD70" s="20" t="n">
        <f aca="false">BA70*MIN(Slot4_Cost,BC70)</f>
        <v>0</v>
      </c>
      <c r="BE70" s="20" t="n">
        <f aca="false">BA70*Slot4_SpendLike*MIN(Slot4_Cost-BD70,AW70)</f>
        <v>0</v>
      </c>
      <c r="BF70" s="20" t="n">
        <f aca="false">BD70+BE70</f>
        <v>0</v>
      </c>
      <c r="BG70" s="20" t="n">
        <f aca="false">AW70-BE70+BA70*IF(Slot4_SpendLike=1,BC70-BD70,IF(Slot4_PotFree=1,BC70,0))</f>
        <v>0</v>
      </c>
      <c r="BH70" s="20" t="n">
        <f aca="false">AX70+BA70*Slot4_BufPot*BC70</f>
        <v>0</v>
      </c>
      <c r="BI70" s="20" t="n">
        <f aca="false">IF(AND(BA70=1,Slot4_IsMfree=1),IF(BF70&gt;=Slot4_Cost-1,0,MAX(0,AY70-BF70)),AY70)</f>
        <v>0</v>
      </c>
      <c r="BJ70" s="20" t="n">
        <f aca="false">BA70*(Slot4_Cost-BF70)</f>
        <v>0</v>
      </c>
      <c r="BK70" s="20" t="n">
        <f aca="false">IF(AND(Slot5_On=1,D70=Slot5_Age),1,0)</f>
        <v>0</v>
      </c>
      <c r="BL70" s="20" t="n">
        <f aca="false">IF(AND(Slot5_On=1,Slot5_Age&gt;D70),1,0)</f>
        <v>0</v>
      </c>
      <c r="BM70" s="20" t="n">
        <f aca="false">RC69</f>
        <v>0</v>
      </c>
      <c r="BN70" s="20" t="n">
        <f aca="false">BK70*MIN(Slot5_Cost,BM70)</f>
        <v>0</v>
      </c>
      <c r="BO70" s="20" t="n">
        <f aca="false">BK70*Slot5_SpendLike*MIN(Slot5_Cost-BN70,BG70)</f>
        <v>0</v>
      </c>
      <c r="BP70" s="20" t="n">
        <f aca="false">BN70+BO70</f>
        <v>0</v>
      </c>
      <c r="BQ70" s="20" t="n">
        <f aca="false">BG70-BO70+BK70*IF(Slot5_SpendLike=1,BM70-BN70,IF(Slot5_PotFree=1,BM70,0))</f>
        <v>0</v>
      </c>
      <c r="BR70" s="20" t="n">
        <f aca="false">BH70+BK70*Slot5_BufPot*BM70</f>
        <v>0</v>
      </c>
      <c r="BS70" s="20" t="n">
        <f aca="false">IF(AND(BK70=1,Slot5_IsMfree=1),IF(BP70&gt;=Slot5_Cost-1,0,MAX(0,BI70-BP70)),BI70)</f>
        <v>0</v>
      </c>
      <c r="BT70" s="20" t="n">
        <f aca="false">BK70*(Slot5_Cost-BP70)</f>
        <v>0</v>
      </c>
      <c r="BU70" s="20" t="n">
        <f aca="false">IF(AND(Slot6_On=1,D70=Slot6_Age),1,0)</f>
        <v>0</v>
      </c>
      <c r="BV70" s="20" t="n">
        <f aca="false">IF(AND(Slot6_On=1,Slot6_Age&gt;D70),1,0)</f>
        <v>0</v>
      </c>
      <c r="BW70" s="20" t="n">
        <f aca="false">RG69</f>
        <v>0</v>
      </c>
      <c r="BX70" s="20" t="n">
        <f aca="false">BU70*MIN(Slot6_Cost,BW70)</f>
        <v>0</v>
      </c>
      <c r="BY70" s="20" t="n">
        <f aca="false">BU70*Slot6_SpendLike*MIN(Slot6_Cost-BX70,BQ70)</f>
        <v>0</v>
      </c>
      <c r="BZ70" s="20" t="n">
        <f aca="false">BX70+BY70</f>
        <v>0</v>
      </c>
      <c r="CA70" s="20" t="n">
        <f aca="false">BQ70-BY70+BU70*IF(Slot6_SpendLike=1,BW70-BX70,IF(Slot6_PotFree=1,BW70,0))</f>
        <v>0</v>
      </c>
      <c r="CB70" s="20" t="n">
        <f aca="false">BR70+BU70*Slot6_BufPot*BW70</f>
        <v>0</v>
      </c>
      <c r="CC70" s="20" t="n">
        <f aca="false">IF(AND(BU70=1,Slot6_IsMfree=1),IF(BZ70&gt;=Slot6_Cost-1,0,MAX(0,BS70-BZ70)),BS70)</f>
        <v>0</v>
      </c>
      <c r="CD70" s="20" t="n">
        <f aca="false">BU70*(Slot6_Cost-BZ70)</f>
        <v>0</v>
      </c>
      <c r="CE70" s="20" t="n">
        <f aca="false">IF(AND(Slot7_On=1,D70=Slot7_Age),1,0)</f>
        <v>0</v>
      </c>
      <c r="CF70" s="20" t="n">
        <f aca="false">IF(AND(Slot7_On=1,Slot7_Age&gt;D70),1,0)</f>
        <v>0</v>
      </c>
      <c r="CG70" s="20" t="n">
        <f aca="false">RK69</f>
        <v>0</v>
      </c>
      <c r="CH70" s="20" t="n">
        <f aca="false">CE70*MIN(Slot7_Cost,CG70)</f>
        <v>0</v>
      </c>
      <c r="CI70" s="20" t="n">
        <f aca="false">CE70*Slot7_SpendLike*MIN(Slot7_Cost-CH70,CA70)</f>
        <v>0</v>
      </c>
      <c r="CJ70" s="20" t="n">
        <f aca="false">CH70+CI70</f>
        <v>0</v>
      </c>
      <c r="CK70" s="20" t="n">
        <f aca="false">CA70-CI70+CE70*IF(Slot7_SpendLike=1,CG70-CH70,IF(Slot7_PotFree=1,CG70,0))</f>
        <v>0</v>
      </c>
      <c r="CL70" s="20" t="n">
        <f aca="false">CB70+CE70*Slot7_BufPot*CG70</f>
        <v>0</v>
      </c>
      <c r="CM70" s="20" t="n">
        <f aca="false">IF(AND(CE70=1,Slot7_IsMfree=1),IF(CJ70&gt;=Slot7_Cost-1,0,MAX(0,CC70-CJ70)),CC70)</f>
        <v>0</v>
      </c>
      <c r="CN70" s="20" t="n">
        <f aca="false">CE70*(Slot7_Cost-CJ70)</f>
        <v>0</v>
      </c>
      <c r="CO70" s="20" t="n">
        <f aca="false">IF(AND(Slot8_On=1,D70=Slot8_Age),1,0)</f>
        <v>0</v>
      </c>
      <c r="CP70" s="20" t="n">
        <f aca="false">IF(AND(Slot8_On=1,Slot8_Age&gt;D70),1,0)</f>
        <v>0</v>
      </c>
      <c r="CQ70" s="20" t="n">
        <f aca="false">RO69</f>
        <v>0</v>
      </c>
      <c r="CR70" s="20" t="n">
        <f aca="false">CO70*MIN(Slot8_Cost,CQ70)</f>
        <v>0</v>
      </c>
      <c r="CS70" s="20" t="n">
        <f aca="false">CO70*Slot8_SpendLike*MIN(Slot8_Cost-CR70,CK70)</f>
        <v>0</v>
      </c>
      <c r="CT70" s="20" t="n">
        <f aca="false">CR70+CS70</f>
        <v>0</v>
      </c>
      <c r="CU70" s="20" t="n">
        <f aca="false">CK70-CS70+CO70*IF(Slot8_SpendLike=1,CQ70-CR70,IF(Slot8_PotFree=1,CQ70,0))</f>
        <v>0</v>
      </c>
      <c r="CV70" s="20" t="n">
        <f aca="false">CL70+CO70*Slot8_BufPot*CQ70</f>
        <v>0</v>
      </c>
      <c r="CW70" s="20" t="n">
        <f aca="false">IF(AND(CO70=1,Slot8_IsMfree=1),IF(CT70&gt;=Slot8_Cost-1,0,MAX(0,CM70-CT70)),CM70)</f>
        <v>0</v>
      </c>
      <c r="CX70" s="20" t="n">
        <f aca="false">CO70*(Slot8_Cost-CT70)</f>
        <v>0</v>
      </c>
      <c r="CY70" s="20" t="n">
        <f aca="false">IF(AND(Slot9_On=1,D70=Slot9_Age),1,0)</f>
        <v>0</v>
      </c>
      <c r="CZ70" s="20" t="n">
        <f aca="false">IF(AND(Slot9_On=1,Slot9_Age&gt;D70),1,0)</f>
        <v>0</v>
      </c>
      <c r="DA70" s="20" t="n">
        <f aca="false">RS69</f>
        <v>0</v>
      </c>
      <c r="DB70" s="20" t="n">
        <f aca="false">CY70*MIN(Slot9_Cost,DA70)</f>
        <v>0</v>
      </c>
      <c r="DC70" s="20" t="n">
        <f aca="false">CY70*Slot9_SpendLike*MIN(Slot9_Cost-DB70,CU70)</f>
        <v>0</v>
      </c>
      <c r="DD70" s="20" t="n">
        <f aca="false">DB70+DC70</f>
        <v>0</v>
      </c>
      <c r="DE70" s="20" t="n">
        <f aca="false">CU70-DC70+CY70*IF(Slot9_SpendLike=1,DA70-DB70,IF(Slot9_PotFree=1,DA70,0))</f>
        <v>0</v>
      </c>
      <c r="DF70" s="20" t="n">
        <f aca="false">CV70+CY70*Slot9_BufPot*DA70</f>
        <v>0</v>
      </c>
      <c r="DG70" s="20" t="n">
        <f aca="false">IF(AND(CY70=1,Slot9_IsMfree=1),IF(DD70&gt;=Slot9_Cost-1,0,MAX(0,CW70-DD70)),CW70)</f>
        <v>0</v>
      </c>
      <c r="DH70" s="20" t="n">
        <f aca="false">CY70*(Slot9_Cost-DD70)</f>
        <v>0</v>
      </c>
      <c r="DI70" s="20" t="n">
        <f aca="false">IF(AND(Slot10_On=1,D70=Slot10_Age),1,0)</f>
        <v>0</v>
      </c>
      <c r="DJ70" s="20" t="n">
        <f aca="false">IF(AND(Slot10_On=1,Slot10_Age&gt;D70),1,0)</f>
        <v>0</v>
      </c>
      <c r="DK70" s="20" t="n">
        <f aca="false">RW69</f>
        <v>0</v>
      </c>
      <c r="DL70" s="20" t="n">
        <f aca="false">DI70*MIN(Slot10_Cost,DK70)</f>
        <v>0</v>
      </c>
      <c r="DM70" s="20" t="n">
        <f aca="false">DI70*Slot10_SpendLike*MIN(Slot10_Cost-DL70,DE70)</f>
        <v>0</v>
      </c>
      <c r="DN70" s="20" t="n">
        <f aca="false">DL70+DM70</f>
        <v>0</v>
      </c>
      <c r="DO70" s="20" t="n">
        <f aca="false">DE70-DM70+DI70*IF(Slot10_SpendLike=1,DK70-DL70,IF(Slot10_PotFree=1,DK70,0))</f>
        <v>0</v>
      </c>
      <c r="DP70" s="20" t="n">
        <f aca="false">DF70+DI70*Slot10_BufPot*DK70</f>
        <v>0</v>
      </c>
      <c r="DQ70" s="20" t="n">
        <f aca="false">IF(AND(DI70=1,Slot10_IsMfree=1),IF(DN70&gt;=Slot10_Cost-1,0,MAX(0,DG70-DN70)),DG70)</f>
        <v>0</v>
      </c>
      <c r="DR70" s="20" t="n">
        <f aca="false">DI70*(Slot10_Cost-DN70)</f>
        <v>0</v>
      </c>
      <c r="DS70" s="20" t="n">
        <f aca="false">IF(AND(Slot11_On=1,D70=Slot11_Age),1,0)</f>
        <v>0</v>
      </c>
      <c r="DT70" s="20" t="n">
        <f aca="false">IF(AND(Slot11_On=1,Slot11_Age&gt;D70),1,0)</f>
        <v>0</v>
      </c>
      <c r="DU70" s="20" t="n">
        <f aca="false">SA69</f>
        <v>0</v>
      </c>
      <c r="DV70" s="20" t="n">
        <f aca="false">DS70*MIN(Slot11_Cost,DU70)</f>
        <v>0</v>
      </c>
      <c r="DW70" s="20" t="n">
        <f aca="false">DS70*Slot11_SpendLike*MIN(Slot11_Cost-DV70,DO70)</f>
        <v>0</v>
      </c>
      <c r="DX70" s="20" t="n">
        <f aca="false">DV70+DW70</f>
        <v>0</v>
      </c>
      <c r="DY70" s="20" t="n">
        <f aca="false">DO70-DW70+DS70*IF(Slot11_SpendLike=1,DU70-DV70,IF(Slot11_PotFree=1,DU70,0))</f>
        <v>0</v>
      </c>
      <c r="DZ70" s="20" t="n">
        <f aca="false">DP70+DS70*Slot11_BufPot*DU70</f>
        <v>0</v>
      </c>
      <c r="EA70" s="20" t="n">
        <f aca="false">IF(AND(DS70=1,Slot11_IsMfree=1),IF(DX70&gt;=Slot11_Cost-1,0,MAX(0,DQ70-DX70)),DQ70)</f>
        <v>0</v>
      </c>
      <c r="EB70" s="20" t="n">
        <f aca="false">DS70*(Slot11_Cost-DX70)</f>
        <v>0</v>
      </c>
      <c r="EC70" s="20" t="n">
        <f aca="false">IF(AND(Slot12_On=1,D70=Slot12_Age),1,0)</f>
        <v>0</v>
      </c>
      <c r="ED70" s="20" t="n">
        <f aca="false">IF(AND(Slot12_On=1,Slot12_Age&gt;D70),1,0)</f>
        <v>0</v>
      </c>
      <c r="EE70" s="20" t="n">
        <f aca="false">SE69</f>
        <v>0</v>
      </c>
      <c r="EF70" s="20" t="n">
        <f aca="false">EC70*MIN(Slot12_Cost,EE70)</f>
        <v>0</v>
      </c>
      <c r="EG70" s="20" t="n">
        <f aca="false">EC70*Slot12_SpendLike*MIN(Slot12_Cost-EF70,DY70)</f>
        <v>0</v>
      </c>
      <c r="EH70" s="20" t="n">
        <f aca="false">EF70+EG70</f>
        <v>0</v>
      </c>
      <c r="EI70" s="20" t="n">
        <f aca="false">DY70-EG70+EC70*IF(Slot12_SpendLike=1,EE70-EF70,IF(Slot12_PotFree=1,EE70,0))</f>
        <v>0</v>
      </c>
      <c r="EJ70" s="20" t="n">
        <f aca="false">DZ70+EC70*Slot12_BufPot*EE70</f>
        <v>0</v>
      </c>
      <c r="EK70" s="20" t="n">
        <f aca="false">IF(AND(EC70=1,Slot12_IsMfree=1),IF(EH70&gt;=Slot12_Cost-1,0,MAX(0,EA70-EH70)),EA70)</f>
        <v>0</v>
      </c>
      <c r="EL70" s="20" t="n">
        <f aca="false">EC70*(Slot12_Cost-EH70)</f>
        <v>0</v>
      </c>
      <c r="EM70" s="20" t="n">
        <f aca="false">IF(AND(Slot13_On=1,D70=Slot13_Age),1,0)</f>
        <v>0</v>
      </c>
      <c r="EN70" s="20" t="n">
        <f aca="false">IF(AND(Slot13_On=1,Slot13_Age&gt;D70),1,0)</f>
        <v>0</v>
      </c>
      <c r="EO70" s="20" t="n">
        <f aca="false">SI69</f>
        <v>0</v>
      </c>
      <c r="EP70" s="20" t="n">
        <f aca="false">EM70*MIN(Slot13_Cost,EO70)</f>
        <v>0</v>
      </c>
      <c r="EQ70" s="20" t="n">
        <f aca="false">EM70*Slot13_SpendLike*MIN(Slot13_Cost-EP70,EI70)</f>
        <v>0</v>
      </c>
      <c r="ER70" s="20" t="n">
        <f aca="false">EP70+EQ70</f>
        <v>0</v>
      </c>
      <c r="ES70" s="20" t="n">
        <f aca="false">EI70-EQ70+EM70*IF(Slot13_SpendLike=1,EO70-EP70,IF(Slot13_PotFree=1,EO70,0))</f>
        <v>0</v>
      </c>
      <c r="ET70" s="20" t="n">
        <f aca="false">EJ70+EM70*Slot13_BufPot*EO70</f>
        <v>0</v>
      </c>
      <c r="EU70" s="20" t="n">
        <f aca="false">IF(AND(EM70=1,Slot13_IsMfree=1),IF(ER70&gt;=Slot13_Cost-1,0,MAX(0,EK70-ER70)),EK70)</f>
        <v>0</v>
      </c>
      <c r="EV70" s="20" t="n">
        <f aca="false">EM70*(Slot13_Cost-ER70)</f>
        <v>0</v>
      </c>
      <c r="EW70" s="20" t="n">
        <f aca="false">IF(AND(Slot14_On=1,D70=Slot14_Age),1,0)</f>
        <v>0</v>
      </c>
      <c r="EX70" s="20" t="n">
        <f aca="false">IF(AND(Slot14_On=1,Slot14_Age&gt;D70),1,0)</f>
        <v>0</v>
      </c>
      <c r="EY70" s="20" t="n">
        <f aca="false">SM69</f>
        <v>0</v>
      </c>
      <c r="EZ70" s="20" t="n">
        <f aca="false">EW70*MIN(Slot14_Cost,EY70)</f>
        <v>0</v>
      </c>
      <c r="FA70" s="20" t="n">
        <f aca="false">EW70*Slot14_SpendLike*MIN(Slot14_Cost-EZ70,ES70)</f>
        <v>0</v>
      </c>
      <c r="FB70" s="20" t="n">
        <f aca="false">EZ70+FA70</f>
        <v>0</v>
      </c>
      <c r="FC70" s="20" t="n">
        <f aca="false">ES70-FA70+EW70*IF(Slot14_SpendLike=1,EY70-EZ70,IF(Slot14_PotFree=1,EY70,0))</f>
        <v>0</v>
      </c>
      <c r="FD70" s="20" t="n">
        <f aca="false">ET70+EW70*Slot14_BufPot*EY70</f>
        <v>0</v>
      </c>
      <c r="FE70" s="20" t="n">
        <f aca="false">IF(AND(EW70=1,Slot14_IsMfree=1),IF(FB70&gt;=Slot14_Cost-1,0,MAX(0,EU70-FB70)),EU70)</f>
        <v>0</v>
      </c>
      <c r="FF70" s="20" t="n">
        <f aca="false">EW70*(Slot14_Cost-FB70)</f>
        <v>0</v>
      </c>
      <c r="FG70" s="20" t="n">
        <f aca="false">IF(AND(Slot15_On=1,D70=Slot15_Age),1,0)</f>
        <v>0</v>
      </c>
      <c r="FH70" s="20" t="n">
        <f aca="false">IF(AND(Slot15_On=1,Slot15_Age&gt;D70),1,0)</f>
        <v>0</v>
      </c>
      <c r="FI70" s="20" t="n">
        <f aca="false">SQ69</f>
        <v>0</v>
      </c>
      <c r="FJ70" s="20" t="n">
        <f aca="false">FG70*MIN(Slot15_Cost,FI70)</f>
        <v>0</v>
      </c>
      <c r="FK70" s="20" t="n">
        <f aca="false">FG70*Slot15_SpendLike*MIN(Slot15_Cost-FJ70,FC70)</f>
        <v>0</v>
      </c>
      <c r="FL70" s="20" t="n">
        <f aca="false">FJ70+FK70</f>
        <v>0</v>
      </c>
      <c r="FM70" s="20" t="n">
        <f aca="false">FC70-FK70+FG70*IF(Slot15_SpendLike=1,FI70-FJ70,IF(Slot15_PotFree=1,FI70,0))</f>
        <v>0</v>
      </c>
      <c r="FN70" s="20" t="n">
        <f aca="false">FD70+FG70*Slot15_BufPot*FI70</f>
        <v>0</v>
      </c>
      <c r="FO70" s="20" t="n">
        <f aca="false">IF(AND(FG70=1,Slot15_IsMfree=1),IF(FL70&gt;=Slot15_Cost-1,0,MAX(0,FE70-FL70)),FE70)</f>
        <v>0</v>
      </c>
      <c r="FP70" s="20" t="n">
        <f aca="false">FG70*(Slot15_Cost-FL70)</f>
        <v>0</v>
      </c>
      <c r="FQ70" s="20" t="n">
        <f aca="false">IF(AND(Slot16_On=1,D70=Slot16_Age),1,0)</f>
        <v>0</v>
      </c>
      <c r="FR70" s="20" t="n">
        <f aca="false">IF(AND(Slot16_On=1,Slot16_Age&gt;D70),1,0)</f>
        <v>0</v>
      </c>
      <c r="FS70" s="20" t="n">
        <f aca="false">SU69</f>
        <v>0</v>
      </c>
      <c r="FT70" s="20" t="n">
        <f aca="false">FQ70*MIN(Slot16_Cost,FS70)</f>
        <v>0</v>
      </c>
      <c r="FU70" s="20" t="n">
        <f aca="false">FQ70*Slot16_SpendLike*MIN(Slot16_Cost-FT70,FM70)</f>
        <v>0</v>
      </c>
      <c r="FV70" s="20" t="n">
        <f aca="false">FT70+FU70</f>
        <v>0</v>
      </c>
      <c r="FW70" s="20" t="n">
        <f aca="false">FM70-FU70+FQ70*IF(Slot16_SpendLike=1,FS70-FT70,IF(Slot16_PotFree=1,FS70,0))</f>
        <v>0</v>
      </c>
      <c r="FX70" s="20" t="n">
        <f aca="false">FN70+FQ70*Slot16_BufPot*FS70</f>
        <v>0</v>
      </c>
      <c r="FY70" s="20" t="n">
        <f aca="false">IF(AND(FQ70=1,Slot16_IsMfree=1),IF(FV70&gt;=Slot16_Cost-1,0,MAX(0,FO70-FV70)),FO70)</f>
        <v>0</v>
      </c>
      <c r="FZ70" s="20" t="n">
        <f aca="false">FQ70*(Slot16_Cost-FV70)</f>
        <v>0</v>
      </c>
      <c r="GA70" s="20" t="n">
        <f aca="false">IF(AND(Slot17_On=1,D70=Slot17_Age),1,0)</f>
        <v>0</v>
      </c>
      <c r="GB70" s="20" t="n">
        <f aca="false">IF(AND(Slot17_On=1,Slot17_Age&gt;D70),1,0)</f>
        <v>0</v>
      </c>
      <c r="GC70" s="20" t="n">
        <f aca="false">SY69</f>
        <v>0</v>
      </c>
      <c r="GD70" s="20" t="n">
        <f aca="false">GA70*MIN(Slot17_Cost,GC70)</f>
        <v>0</v>
      </c>
      <c r="GE70" s="20" t="n">
        <f aca="false">GA70*Slot17_SpendLike*MIN(Slot17_Cost-GD70,FW70)</f>
        <v>0</v>
      </c>
      <c r="GF70" s="20" t="n">
        <f aca="false">GD70+GE70</f>
        <v>0</v>
      </c>
      <c r="GG70" s="20" t="n">
        <f aca="false">FW70-GE70+GA70*IF(Slot17_SpendLike=1,GC70-GD70,IF(Slot17_PotFree=1,GC70,0))</f>
        <v>0</v>
      </c>
      <c r="GH70" s="20" t="n">
        <f aca="false">FX70+GA70*Slot17_BufPot*GC70</f>
        <v>0</v>
      </c>
      <c r="GI70" s="20" t="n">
        <f aca="false">IF(AND(GA70=1,Slot17_IsMfree=1),IF(GF70&gt;=Slot17_Cost-1,0,MAX(0,FY70-GF70)),FY70)</f>
        <v>0</v>
      </c>
      <c r="GJ70" s="20" t="n">
        <f aca="false">GA70*(Slot17_Cost-GF70)</f>
        <v>0</v>
      </c>
      <c r="GK70" s="20" t="n">
        <f aca="false">IF(AND(Slot18_On=1,D70=Slot18_Age),1,0)</f>
        <v>0</v>
      </c>
      <c r="GL70" s="20" t="n">
        <f aca="false">IF(AND(Slot18_On=1,Slot18_Age&gt;D70),1,0)</f>
        <v>0</v>
      </c>
      <c r="GM70" s="20" t="n">
        <f aca="false">TC69</f>
        <v>0</v>
      </c>
      <c r="GN70" s="20" t="n">
        <f aca="false">GK70*MIN(Slot18_Cost,GM70)</f>
        <v>0</v>
      </c>
      <c r="GO70" s="20" t="n">
        <f aca="false">GK70*Slot18_SpendLike*MIN(Slot18_Cost-GN70,GG70)</f>
        <v>0</v>
      </c>
      <c r="GP70" s="20" t="n">
        <f aca="false">GN70+GO70</f>
        <v>0</v>
      </c>
      <c r="GQ70" s="20" t="n">
        <f aca="false">GG70-GO70+GK70*IF(Slot18_SpendLike=1,GM70-GN70,IF(Slot18_PotFree=1,GM70,0))</f>
        <v>0</v>
      </c>
      <c r="GR70" s="20" t="n">
        <f aca="false">GH70+GK70*Slot18_BufPot*GM70</f>
        <v>0</v>
      </c>
      <c r="GS70" s="20" t="n">
        <f aca="false">IF(AND(GK70=1,Slot18_IsMfree=1),IF(GP70&gt;=Slot18_Cost-1,0,MAX(0,GI70-GP70)),GI70)</f>
        <v>0</v>
      </c>
      <c r="GT70" s="20" t="n">
        <f aca="false">GK70*(Slot18_Cost-GP70)</f>
        <v>0</v>
      </c>
      <c r="GU70" s="20" t="n">
        <f aca="false">IF(AND(Slot19_On=1,D70=Slot19_Age),1,0)</f>
        <v>0</v>
      </c>
      <c r="GV70" s="20" t="n">
        <f aca="false">IF(AND(Slot19_On=1,Slot19_Age&gt;D70),1,0)</f>
        <v>0</v>
      </c>
      <c r="GW70" s="20" t="n">
        <f aca="false">TG69</f>
        <v>0</v>
      </c>
      <c r="GX70" s="20" t="n">
        <f aca="false">GU70*MIN(Slot19_Cost,GW70)</f>
        <v>0</v>
      </c>
      <c r="GY70" s="20" t="n">
        <f aca="false">GU70*Slot19_SpendLike*MIN(Slot19_Cost-GX70,GQ70)</f>
        <v>0</v>
      </c>
      <c r="GZ70" s="20" t="n">
        <f aca="false">GX70+GY70</f>
        <v>0</v>
      </c>
      <c r="HA70" s="20" t="n">
        <f aca="false">GQ70-GY70+GU70*IF(Slot19_SpendLike=1,GW70-GX70,IF(Slot19_PotFree=1,GW70,0))</f>
        <v>0</v>
      </c>
      <c r="HB70" s="20" t="n">
        <f aca="false">GR70+GU70*Slot19_BufPot*GW70</f>
        <v>0</v>
      </c>
      <c r="HC70" s="20" t="n">
        <f aca="false">IF(AND(GU70=1,Slot19_IsMfree=1),IF(GZ70&gt;=Slot19_Cost-1,0,MAX(0,GS70-GZ70)),GS70)</f>
        <v>0</v>
      </c>
      <c r="HD70" s="20" t="n">
        <f aca="false">GU70*(Slot19_Cost-GZ70)</f>
        <v>0</v>
      </c>
      <c r="HE70" s="20" t="n">
        <f aca="false">IF(AND(Slot20_On=1,D70=Slot20_Age),1,0)</f>
        <v>0</v>
      </c>
      <c r="HF70" s="20" t="n">
        <f aca="false">IF(AND(Slot20_On=1,Slot20_Age&gt;D70),1,0)</f>
        <v>0</v>
      </c>
      <c r="HG70" s="20" t="n">
        <f aca="false">TK69</f>
        <v>0</v>
      </c>
      <c r="HH70" s="20" t="n">
        <f aca="false">HE70*MIN(Slot20_Cost,HG70)</f>
        <v>0</v>
      </c>
      <c r="HI70" s="20" t="n">
        <f aca="false">HE70*Slot20_SpendLike*MIN(Slot20_Cost-HH70,HA70)</f>
        <v>0</v>
      </c>
      <c r="HJ70" s="20" t="n">
        <f aca="false">HH70+HI70</f>
        <v>0</v>
      </c>
      <c r="HK70" s="20" t="n">
        <f aca="false">HA70-HI70+HE70*IF(Slot20_SpendLike=1,HG70-HH70,IF(Slot20_PotFree=1,HG70,0))</f>
        <v>0</v>
      </c>
      <c r="HL70" s="20" t="n">
        <f aca="false">HB70+HE70*Slot20_BufPot*HG70</f>
        <v>0</v>
      </c>
      <c r="HM70" s="20" t="n">
        <f aca="false">IF(AND(HE70=1,Slot20_IsMfree=1),IF(HJ70&gt;=Slot20_Cost-1,0,MAX(0,HC70-HJ70)),HC70)</f>
        <v>0</v>
      </c>
      <c r="HN70" s="20" t="n">
        <f aca="false">HE70*(Slot20_Cost-HJ70)</f>
        <v>0</v>
      </c>
      <c r="HO70" s="20" t="n">
        <f aca="false">V70*Slot1_SpendLike*AA70+AG70*Slot2_SpendLike*AL70+AQ70*Slot3_SpendLike*AV70+BA70*Slot4_SpendLike*BF70+BK70*Slot5_SpendLike*BP70+BU70*Slot6_SpendLike*BZ70+CE70*Slot7_SpendLike*CJ70+CO70*Slot8_SpendLike*CT70+CY70*Slot9_SpendLike*DD70+DI70*Slot10_SpendLike*DN70+DS70*Slot11_SpendLike*DX70+EC70*Slot12_SpendLike*EH70+EM70*Slot13_SpendLike*ER70+EW70*Slot14_SpendLike*FB70+FG70*Slot15_SpendLike*FL70+FQ70*Slot16_SpendLike*FV70+GA70*Slot17_SpendLike*GF70+GK70*Slot18_SpendLike*GP70+GU70*Slot19_SpendLike*GZ70+HE70*Slot20_SpendLike*HJ70</f>
        <v>0</v>
      </c>
      <c r="HP70" s="20" t="n">
        <f aca="false">AE70+AP70+AZ70+BJ70+BT70+CD70+CN70+CX70+DH70+DR70+EB70+EL70+EV70+FF70+FP70+FZ70+GJ70+GT70+HD70+HN70</f>
        <v>0</v>
      </c>
      <c r="HQ70" s="20" t="n">
        <f aca="false">V70*Slot1_Cost+AG70*Slot2_Cost+AQ70*Slot3_Cost+BA70*Slot4_Cost+BK70*Slot5_Cost+BU70*Slot6_Cost+CE70*Slot7_Cost+CO70*Slot8_Cost+CY70*Slot9_Cost+DI70*Slot10_Cost+DS70*Slot11_Cost+EC70*Slot12_Cost+EM70*Slot13_Cost+EW70*Slot14_Cost+FG70*Slot15_Cost+FQ70*Slot16_Cost+GA70*Slot17_Cost+GK70*Slot18_Cost+GU70*Slot19_Cost+HE70*Slot20_Cost</f>
        <v>0</v>
      </c>
      <c r="HR70" s="20" t="n">
        <f aca="false">HM70</f>
        <v>0</v>
      </c>
      <c r="HS70" s="20" t="n">
        <f aca="false">H70-I70-S70</f>
        <v>-65764.479150534</v>
      </c>
      <c r="HT70" s="20" t="n">
        <f aca="false">IF(B70=0,IF(AND(Has_q6=1,In_q6=4),PR_ShareVaries*(MAX(0,HS70)/12),MIN(IF(Has_q6=1,CHOOSE(In_q6+1,PR_SaveB1,PR_SaveB2,PR_SaveB3,PR_SaveB4,0),AS_NoAnswer),AS_SaveShare*(MAX(0,HS70)/12))),HT69)</f>
        <v>67.3316893520437</v>
      </c>
      <c r="HU70" s="20" t="n">
        <f aca="false">IF(HS70&gt;=0,1,0)</f>
        <v>0</v>
      </c>
      <c r="HV70" s="20" t="n">
        <f aca="false">MAX(0,HS70/12/F70)</f>
        <v>0</v>
      </c>
      <c r="HW70" s="20" t="n">
        <f aca="false">IF(AND(Has_q6=1,In_q6=4),PR_ShareVaries*(HV70),MIN(IF(Has_q6=1,CHOOSE(In_q6+1,PR_SaveB1,PR_SaveB2,PR_SaveB3,PR_SaveB4,0),AS_NoAnswer),AS_SaveShare*(HV70)))</f>
        <v>0</v>
      </c>
      <c r="HX70" s="20" t="n">
        <f aca="false">IF(Has_saveM=1,IF(In_saveUp="Yes",1,IF(In_saveUp="No",0,IF(In_saveM&gt;=HT70-0.5,1,0))),0)</f>
        <v>0</v>
      </c>
      <c r="HY70" s="20" t="n">
        <f aca="false">IF(Has_saveM=1,MIN(HV70,IF(HX70=1,MAX(In_saveM,HW70),MIN(In_saveM,HW70))),HW70)</f>
        <v>0</v>
      </c>
      <c r="HZ70" s="20" t="n">
        <f aca="false">IF(G70=1,HY70*12*F70,0)</f>
        <v>0</v>
      </c>
      <c r="IA70" s="20" t="n">
        <f aca="false">MAX(0,HZ70+IF(AND(WI_Retire=0,WI_M&lt;0,G70=1),WI_M*12*F70,0))</f>
        <v>0</v>
      </c>
      <c r="IB70" s="20" t="n">
        <f aca="false">Slot1_IsWG*W70+Slot2_IsWG*AH70+Slot3_IsWG*AR70+Slot4_IsWG*BB70+Slot5_IsWG*BL70+Slot6_IsWG*BV70+Slot7_IsWG*CF70+Slot8_IsWG*CP70+Slot9_IsWG*CZ70+Slot10_IsWG*DJ70+Slot11_IsWG*DT70+Slot12_IsWG*ED70+Slot13_IsWG*EN70+Slot14_IsWG*EX70+Slot15_IsWG*FH70+Slot16_IsWG*FR70+Slot17_IsWG*GB70+Slot18_IsWG*GL70+Slot19_IsWG*GV70+Slot20_IsWG*HF70</f>
        <v>0</v>
      </c>
      <c r="IC70" s="20" t="n">
        <f aca="false">IF(AND(WI_Retire=0,WI_M&gt;0,G70=1,IB70&gt;=1),WI_M*12*F70,0)</f>
        <v>0</v>
      </c>
      <c r="ID70" s="20" t="n">
        <f aca="false">IF(HU70=1,MIN(IA70,HS70),0)</f>
        <v>0</v>
      </c>
      <c r="IE70" s="20" t="n">
        <f aca="false">IF(HU70=1,MIN(IC70,HS70-ID70),0)</f>
        <v>0</v>
      </c>
      <c r="IF70" s="20" t="n">
        <f aca="false">IF(W70=1,IF(ABS((1+AS_Wage)/(1+Slot1_Rate)-1)&lt;0.000000000001,(Slot1_Age-D70)*(1+Slot1_Rate)^(Slot1_Age-D70),(1+Slot1_Rate)^(Slot1_Age-D70)*(1-((1+AS_Wage)/(1+Slot1_Rate))^(Slot1_Age-D70))/(1-(1+AS_Wage)/(1+Slot1_Rate))),1)</f>
        <v>1</v>
      </c>
      <c r="IG70" s="20" t="n">
        <f aca="false">IF(AND(HU70=1,IE70&gt;0,Slot1_IsWG=1,W70=1),MAX(0,(Slot1_Cost-X70*(1+Slot1_Rate)^(Slot1_Age-D70))/IF70),0)</f>
        <v>0</v>
      </c>
      <c r="IH70" s="20" t="n">
        <f aca="false">IF(AND(HU70=1,IE70&gt;0,Slot1_IsWG=1,W70=1),MIN(IE70,IG70),0)</f>
        <v>0</v>
      </c>
      <c r="II70" s="20" t="n">
        <f aca="false">X70+IH70</f>
        <v>0</v>
      </c>
      <c r="IJ70" s="20" t="n">
        <f aca="false">IF(W70=1,MAX(0,(Slot1_Cost-II70*(1+Slot1_Rate)^(Slot1_Age-D70))/IF70),0)</f>
        <v>0</v>
      </c>
      <c r="IK70" s="20" t="n">
        <f aca="false">IF(W70=1,MAX(0,(Slot1_Cost-X70*(1+Slot1_Rate)^(Slot1_Age-D70))/IF70),0)</f>
        <v>0</v>
      </c>
      <c r="IL70" s="20" t="n">
        <f aca="false">IF(AND(HU70=1,W70=1),MIN(ID70,IJ70),0)</f>
        <v>0</v>
      </c>
      <c r="IM70" s="20" t="n">
        <f aca="false">ID70-IL70</f>
        <v>0</v>
      </c>
      <c r="IN70" s="20" t="n">
        <f aca="false">IF(AH70=1,IF(ABS((1+AS_Wage)/(1+Slot2_Rate)-1)&lt;0.000000000001,(Slot2_Age-D70)*(1+Slot2_Rate)^(Slot2_Age-D70),(1+Slot2_Rate)^(Slot2_Age-D70)*(1-((1+AS_Wage)/(1+Slot2_Rate))^(Slot2_Age-D70))/(1-(1+AS_Wage)/(1+Slot2_Rate))),1)</f>
        <v>1</v>
      </c>
      <c r="IO70" s="20" t="n">
        <f aca="false">IF(AND(HU70=1,IE70&gt;0,Slot2_IsWG=1,AH70=1),MAX(0,(Slot2_Cost-AI70*(1+Slot2_Rate)^(Slot2_Age-D70))/IN70),0)</f>
        <v>0</v>
      </c>
      <c r="IP70" s="20" t="n">
        <f aca="false">IF(AND(HU70=1,IE70&gt;0,Slot2_IsWG=1,AH70=1),MIN(IE70,IO70),0)</f>
        <v>0</v>
      </c>
      <c r="IQ70" s="20" t="n">
        <f aca="false">AI70+IP70</f>
        <v>0</v>
      </c>
      <c r="IR70" s="20" t="n">
        <f aca="false">IF(AH70=1,MAX(0,(Slot2_Cost-IQ70*(1+Slot2_Rate)^(Slot2_Age-D70))/IN70),0)</f>
        <v>0</v>
      </c>
      <c r="IS70" s="20" t="n">
        <f aca="false">IF(AH70=1,MAX(0,(Slot2_Cost-AI70*(1+Slot2_Rate)^(Slot2_Age-D70))/IN70),0)</f>
        <v>0</v>
      </c>
      <c r="IT70" s="20" t="n">
        <f aca="false">IF(AND(HU70=1,AH70=1),MIN(IM70,IR70),0)</f>
        <v>0</v>
      </c>
      <c r="IU70" s="20" t="n">
        <f aca="false">IM70-IT70</f>
        <v>0</v>
      </c>
      <c r="IV70" s="20" t="n">
        <f aca="false">IF(AR70=1,IF(ABS((1+AS_Wage)/(1+Slot3_Rate)-1)&lt;0.000000000001,(Slot3_Age-D70)*(1+Slot3_Rate)^(Slot3_Age-D70),(1+Slot3_Rate)^(Slot3_Age-D70)*(1-((1+AS_Wage)/(1+Slot3_Rate))^(Slot3_Age-D70))/(1-(1+AS_Wage)/(1+Slot3_Rate))),1)</f>
        <v>1</v>
      </c>
      <c r="IW70" s="20" t="n">
        <f aca="false">IF(AND(HU70=1,IE70&gt;0,Slot3_IsWG=1,AR70=1),MAX(0,(Slot3_Cost-AS70*(1+Slot3_Rate)^(Slot3_Age-D70))/IV70),0)</f>
        <v>0</v>
      </c>
      <c r="IX70" s="20" t="n">
        <f aca="false">IF(AND(HU70=1,IE70&gt;0,Slot3_IsWG=1,AR70=1),MIN(IE70,IW70),0)</f>
        <v>0</v>
      </c>
      <c r="IY70" s="20" t="n">
        <f aca="false">AS70+IX70</f>
        <v>0</v>
      </c>
      <c r="IZ70" s="20" t="n">
        <f aca="false">IF(AR70=1,MAX(0,(Slot3_Cost-IY70*(1+Slot3_Rate)^(Slot3_Age-D70))/IV70),0)</f>
        <v>0</v>
      </c>
      <c r="JA70" s="20" t="n">
        <f aca="false">IF(AR70=1,MAX(0,(Slot3_Cost-AS70*(1+Slot3_Rate)^(Slot3_Age-D70))/IV70),0)</f>
        <v>0</v>
      </c>
      <c r="JB70" s="20" t="n">
        <f aca="false">IF(AND(HU70=1,AR70=1),MIN(IU70,IZ70),0)</f>
        <v>0</v>
      </c>
      <c r="JC70" s="20" t="n">
        <f aca="false">IU70-JB70</f>
        <v>0</v>
      </c>
      <c r="JD70" s="20" t="n">
        <f aca="false">IF(BB70=1,IF(ABS((1+AS_Wage)/(1+Slot4_Rate)-1)&lt;0.000000000001,(Slot4_Age-D70)*(1+Slot4_Rate)^(Slot4_Age-D70),(1+Slot4_Rate)^(Slot4_Age-D70)*(1-((1+AS_Wage)/(1+Slot4_Rate))^(Slot4_Age-D70))/(1-(1+AS_Wage)/(1+Slot4_Rate))),1)</f>
        <v>1</v>
      </c>
      <c r="JE70" s="20" t="n">
        <f aca="false">IF(AND(HU70=1,IE70&gt;0,Slot4_IsWG=1,BB70=1),MAX(0,(Slot4_Cost-BC70*(1+Slot4_Rate)^(Slot4_Age-D70))/JD70),0)</f>
        <v>0</v>
      </c>
      <c r="JF70" s="20" t="n">
        <f aca="false">IF(AND(HU70=1,IE70&gt;0,Slot4_IsWG=1,BB70=1),MIN(IE70,JE70),0)</f>
        <v>0</v>
      </c>
      <c r="JG70" s="20" t="n">
        <f aca="false">BC70+JF70</f>
        <v>0</v>
      </c>
      <c r="JH70" s="20" t="n">
        <f aca="false">IF(BB70=1,MAX(0,(Slot4_Cost-JG70*(1+Slot4_Rate)^(Slot4_Age-D70))/JD70),0)</f>
        <v>0</v>
      </c>
      <c r="JI70" s="20" t="n">
        <f aca="false">IF(BB70=1,MAX(0,(Slot4_Cost-BC70*(1+Slot4_Rate)^(Slot4_Age-D70))/JD70),0)</f>
        <v>0</v>
      </c>
      <c r="JJ70" s="20" t="n">
        <f aca="false">IF(AND(HU70=1,BB70=1),MIN(JC70,JH70),0)</f>
        <v>0</v>
      </c>
      <c r="JK70" s="20" t="n">
        <f aca="false">JC70-JJ70</f>
        <v>0</v>
      </c>
      <c r="JL70" s="20" t="n">
        <f aca="false">IF(BL70=1,IF(ABS((1+AS_Wage)/(1+Slot5_Rate)-1)&lt;0.000000000001,(Slot5_Age-D70)*(1+Slot5_Rate)^(Slot5_Age-D70),(1+Slot5_Rate)^(Slot5_Age-D70)*(1-((1+AS_Wage)/(1+Slot5_Rate))^(Slot5_Age-D70))/(1-(1+AS_Wage)/(1+Slot5_Rate))),1)</f>
        <v>1</v>
      </c>
      <c r="JM70" s="20" t="n">
        <f aca="false">IF(AND(HU70=1,IE70&gt;0,Slot5_IsWG=1,BL70=1),MAX(0,(Slot5_Cost-BM70*(1+Slot5_Rate)^(Slot5_Age-D70))/JL70),0)</f>
        <v>0</v>
      </c>
      <c r="JN70" s="20" t="n">
        <f aca="false">IF(AND(HU70=1,IE70&gt;0,Slot5_IsWG=1,BL70=1),MIN(IE70,JM70),0)</f>
        <v>0</v>
      </c>
      <c r="JO70" s="20" t="n">
        <f aca="false">BM70+JN70</f>
        <v>0</v>
      </c>
      <c r="JP70" s="20" t="n">
        <f aca="false">IF(BL70=1,MAX(0,(Slot5_Cost-JO70*(1+Slot5_Rate)^(Slot5_Age-D70))/JL70),0)</f>
        <v>0</v>
      </c>
      <c r="JQ70" s="20" t="n">
        <f aca="false">IF(BL70=1,MAX(0,(Slot5_Cost-BM70*(1+Slot5_Rate)^(Slot5_Age-D70))/JL70),0)</f>
        <v>0</v>
      </c>
      <c r="JR70" s="20" t="n">
        <f aca="false">IF(AND(HU70=1,BL70=1),MIN(JK70,JP70),0)</f>
        <v>0</v>
      </c>
      <c r="JS70" s="20" t="n">
        <f aca="false">JK70-JR70</f>
        <v>0</v>
      </c>
      <c r="JT70" s="20" t="n">
        <f aca="false">IF(BV70=1,IF(ABS((1+AS_Wage)/(1+Slot6_Rate)-1)&lt;0.000000000001,(Slot6_Age-D70)*(1+Slot6_Rate)^(Slot6_Age-D70),(1+Slot6_Rate)^(Slot6_Age-D70)*(1-((1+AS_Wage)/(1+Slot6_Rate))^(Slot6_Age-D70))/(1-(1+AS_Wage)/(1+Slot6_Rate))),1)</f>
        <v>1</v>
      </c>
      <c r="JU70" s="20" t="n">
        <f aca="false">IF(AND(HU70=1,IE70&gt;0,Slot6_IsWG=1,BV70=1),MAX(0,(Slot6_Cost-BW70*(1+Slot6_Rate)^(Slot6_Age-D70))/JT70),0)</f>
        <v>0</v>
      </c>
      <c r="JV70" s="20" t="n">
        <f aca="false">IF(AND(HU70=1,IE70&gt;0,Slot6_IsWG=1,BV70=1),MIN(IE70,JU70),0)</f>
        <v>0</v>
      </c>
      <c r="JW70" s="20" t="n">
        <f aca="false">BW70+JV70</f>
        <v>0</v>
      </c>
      <c r="JX70" s="20" t="n">
        <f aca="false">IF(BV70=1,MAX(0,(Slot6_Cost-JW70*(1+Slot6_Rate)^(Slot6_Age-D70))/JT70),0)</f>
        <v>0</v>
      </c>
      <c r="JY70" s="20" t="n">
        <f aca="false">IF(BV70=1,MAX(0,(Slot6_Cost-BW70*(1+Slot6_Rate)^(Slot6_Age-D70))/JT70),0)</f>
        <v>0</v>
      </c>
      <c r="JZ70" s="20" t="n">
        <f aca="false">IF(AND(HU70=1,BV70=1),MIN(JS70,JX70),0)</f>
        <v>0</v>
      </c>
      <c r="KA70" s="20" t="n">
        <f aca="false">JS70-JZ70</f>
        <v>0</v>
      </c>
      <c r="KB70" s="20" t="n">
        <f aca="false">IF(CF70=1,IF(ABS((1+AS_Wage)/(1+Slot7_Rate)-1)&lt;0.000000000001,(Slot7_Age-D70)*(1+Slot7_Rate)^(Slot7_Age-D70),(1+Slot7_Rate)^(Slot7_Age-D70)*(1-((1+AS_Wage)/(1+Slot7_Rate))^(Slot7_Age-D70))/(1-(1+AS_Wage)/(1+Slot7_Rate))),1)</f>
        <v>1</v>
      </c>
      <c r="KC70" s="20" t="n">
        <f aca="false">IF(AND(HU70=1,IE70&gt;0,Slot7_IsWG=1,CF70=1),MAX(0,(Slot7_Cost-CG70*(1+Slot7_Rate)^(Slot7_Age-D70))/KB70),0)</f>
        <v>0</v>
      </c>
      <c r="KD70" s="20" t="n">
        <f aca="false">IF(AND(HU70=1,IE70&gt;0,Slot7_IsWG=1,CF70=1),MIN(IE70,KC70),0)</f>
        <v>0</v>
      </c>
      <c r="KE70" s="20" t="n">
        <f aca="false">CG70+KD70</f>
        <v>0</v>
      </c>
      <c r="KF70" s="20" t="n">
        <f aca="false">IF(CF70=1,MAX(0,(Slot7_Cost-KE70*(1+Slot7_Rate)^(Slot7_Age-D70))/KB70),0)</f>
        <v>0</v>
      </c>
      <c r="KG70" s="20" t="n">
        <f aca="false">IF(CF70=1,MAX(0,(Slot7_Cost-CG70*(1+Slot7_Rate)^(Slot7_Age-D70))/KB70),0)</f>
        <v>0</v>
      </c>
      <c r="KH70" s="20" t="n">
        <f aca="false">IF(AND(HU70=1,CF70=1),MIN(KA70,KF70),0)</f>
        <v>0</v>
      </c>
      <c r="KI70" s="20" t="n">
        <f aca="false">KA70-KH70</f>
        <v>0</v>
      </c>
      <c r="KJ70" s="20" t="n">
        <f aca="false">IF(CP70=1,IF(ABS((1+AS_Wage)/(1+Slot8_Rate)-1)&lt;0.000000000001,(Slot8_Age-D70)*(1+Slot8_Rate)^(Slot8_Age-D70),(1+Slot8_Rate)^(Slot8_Age-D70)*(1-((1+AS_Wage)/(1+Slot8_Rate))^(Slot8_Age-D70))/(1-(1+AS_Wage)/(1+Slot8_Rate))),1)</f>
        <v>1</v>
      </c>
      <c r="KK70" s="20" t="n">
        <f aca="false">IF(AND(HU70=1,IE70&gt;0,Slot8_IsWG=1,CP70=1),MAX(0,(Slot8_Cost-CQ70*(1+Slot8_Rate)^(Slot8_Age-D70))/KJ70),0)</f>
        <v>0</v>
      </c>
      <c r="KL70" s="20" t="n">
        <f aca="false">IF(AND(HU70=1,IE70&gt;0,Slot8_IsWG=1,CP70=1),MIN(IE70,KK70),0)</f>
        <v>0</v>
      </c>
      <c r="KM70" s="20" t="n">
        <f aca="false">CQ70+KL70</f>
        <v>0</v>
      </c>
      <c r="KN70" s="20" t="n">
        <f aca="false">IF(CP70=1,MAX(0,(Slot8_Cost-KM70*(1+Slot8_Rate)^(Slot8_Age-D70))/KJ70),0)</f>
        <v>0</v>
      </c>
      <c r="KO70" s="20" t="n">
        <f aca="false">IF(CP70=1,MAX(0,(Slot8_Cost-CQ70*(1+Slot8_Rate)^(Slot8_Age-D70))/KJ70),0)</f>
        <v>0</v>
      </c>
      <c r="KP70" s="20" t="n">
        <f aca="false">IF(AND(HU70=1,CP70=1),MIN(KI70,KN70),0)</f>
        <v>0</v>
      </c>
      <c r="KQ70" s="20" t="n">
        <f aca="false">KI70-KP70</f>
        <v>0</v>
      </c>
      <c r="KR70" s="20" t="n">
        <f aca="false">IF(CZ70=1,IF(ABS((1+AS_Wage)/(1+Slot9_Rate)-1)&lt;0.000000000001,(Slot9_Age-D70)*(1+Slot9_Rate)^(Slot9_Age-D70),(1+Slot9_Rate)^(Slot9_Age-D70)*(1-((1+AS_Wage)/(1+Slot9_Rate))^(Slot9_Age-D70))/(1-(1+AS_Wage)/(1+Slot9_Rate))),1)</f>
        <v>1</v>
      </c>
      <c r="KS70" s="20" t="n">
        <f aca="false">IF(AND(HU70=1,IE70&gt;0,Slot9_IsWG=1,CZ70=1),MAX(0,(Slot9_Cost-DA70*(1+Slot9_Rate)^(Slot9_Age-D70))/KR70),0)</f>
        <v>0</v>
      </c>
      <c r="KT70" s="20" t="n">
        <f aca="false">IF(AND(HU70=1,IE70&gt;0,Slot9_IsWG=1,CZ70=1),MIN(IE70,KS70),0)</f>
        <v>0</v>
      </c>
      <c r="KU70" s="20" t="n">
        <f aca="false">DA70+KT70</f>
        <v>0</v>
      </c>
      <c r="KV70" s="20" t="n">
        <f aca="false">IF(CZ70=1,MAX(0,(Slot9_Cost-KU70*(1+Slot9_Rate)^(Slot9_Age-D70))/KR70),0)</f>
        <v>0</v>
      </c>
      <c r="KW70" s="20" t="n">
        <f aca="false">IF(CZ70=1,MAX(0,(Slot9_Cost-DA70*(1+Slot9_Rate)^(Slot9_Age-D70))/KR70),0)</f>
        <v>0</v>
      </c>
      <c r="KX70" s="20" t="n">
        <f aca="false">IF(AND(HU70=1,CZ70=1),MIN(KQ70,KV70),0)</f>
        <v>0</v>
      </c>
      <c r="KY70" s="20" t="n">
        <f aca="false">KQ70-KX70</f>
        <v>0</v>
      </c>
      <c r="KZ70" s="20" t="n">
        <f aca="false">IF(DJ70=1,IF(ABS((1+AS_Wage)/(1+Slot10_Rate)-1)&lt;0.000000000001,(Slot10_Age-D70)*(1+Slot10_Rate)^(Slot10_Age-D70),(1+Slot10_Rate)^(Slot10_Age-D70)*(1-((1+AS_Wage)/(1+Slot10_Rate))^(Slot10_Age-D70))/(1-(1+AS_Wage)/(1+Slot10_Rate))),1)</f>
        <v>1</v>
      </c>
      <c r="LA70" s="20" t="n">
        <f aca="false">IF(AND(HU70=1,IE70&gt;0,Slot10_IsWG=1,DJ70=1),MAX(0,(Slot10_Cost-DK70*(1+Slot10_Rate)^(Slot10_Age-D70))/KZ70),0)</f>
        <v>0</v>
      </c>
      <c r="LB70" s="20" t="n">
        <f aca="false">IF(AND(HU70=1,IE70&gt;0,Slot10_IsWG=1,DJ70=1),MIN(IE70,LA70),0)</f>
        <v>0</v>
      </c>
      <c r="LC70" s="20" t="n">
        <f aca="false">DK70+LB70</f>
        <v>0</v>
      </c>
      <c r="LD70" s="20" t="n">
        <f aca="false">IF(DJ70=1,MAX(0,(Slot10_Cost-LC70*(1+Slot10_Rate)^(Slot10_Age-D70))/KZ70),0)</f>
        <v>0</v>
      </c>
      <c r="LE70" s="20" t="n">
        <f aca="false">IF(DJ70=1,MAX(0,(Slot10_Cost-DK70*(1+Slot10_Rate)^(Slot10_Age-D70))/KZ70),0)</f>
        <v>0</v>
      </c>
      <c r="LF70" s="20" t="n">
        <f aca="false">IF(AND(HU70=1,DJ70=1),MIN(KY70,LD70),0)</f>
        <v>0</v>
      </c>
      <c r="LG70" s="20" t="n">
        <f aca="false">KY70-LF70</f>
        <v>0</v>
      </c>
      <c r="LH70" s="20" t="n">
        <f aca="false">IF(DT70=1,IF(ABS((1+AS_Wage)/(1+Slot11_Rate)-1)&lt;0.000000000001,(Slot11_Age-D70)*(1+Slot11_Rate)^(Slot11_Age-D70),(1+Slot11_Rate)^(Slot11_Age-D70)*(1-((1+AS_Wage)/(1+Slot11_Rate))^(Slot11_Age-D70))/(1-(1+AS_Wage)/(1+Slot11_Rate))),1)</f>
        <v>1</v>
      </c>
      <c r="LI70" s="20" t="n">
        <f aca="false">IF(AND(HU70=1,IE70&gt;0,Slot11_IsWG=1,DT70=1),MAX(0,(Slot11_Cost-DU70*(1+Slot11_Rate)^(Slot11_Age-D70))/LH70),0)</f>
        <v>0</v>
      </c>
      <c r="LJ70" s="20" t="n">
        <f aca="false">IF(AND(HU70=1,IE70&gt;0,Slot11_IsWG=1,DT70=1),MIN(IE70,LI70),0)</f>
        <v>0</v>
      </c>
      <c r="LK70" s="20" t="n">
        <f aca="false">DU70+LJ70</f>
        <v>0</v>
      </c>
      <c r="LL70" s="20" t="n">
        <f aca="false">IF(DT70=1,MAX(0,(Slot11_Cost-LK70*(1+Slot11_Rate)^(Slot11_Age-D70))/LH70),0)</f>
        <v>0</v>
      </c>
      <c r="LM70" s="20" t="n">
        <f aca="false">IF(DT70=1,MAX(0,(Slot11_Cost-DU70*(1+Slot11_Rate)^(Slot11_Age-D70))/LH70),0)</f>
        <v>0</v>
      </c>
      <c r="LN70" s="20" t="n">
        <f aca="false">IF(AND(HU70=1,DT70=1),MIN(LG70,LL70),0)</f>
        <v>0</v>
      </c>
      <c r="LO70" s="20" t="n">
        <f aca="false">LG70-LN70</f>
        <v>0</v>
      </c>
      <c r="LP70" s="20" t="n">
        <f aca="false">IF(ED70=1,IF(ABS((1+AS_Wage)/(1+Slot12_Rate)-1)&lt;0.000000000001,(Slot12_Age-D70)*(1+Slot12_Rate)^(Slot12_Age-D70),(1+Slot12_Rate)^(Slot12_Age-D70)*(1-((1+AS_Wage)/(1+Slot12_Rate))^(Slot12_Age-D70))/(1-(1+AS_Wage)/(1+Slot12_Rate))),1)</f>
        <v>1</v>
      </c>
      <c r="LQ70" s="20" t="n">
        <f aca="false">IF(AND(HU70=1,IE70&gt;0,Slot12_IsWG=1,ED70=1),MAX(0,(Slot12_Cost-EE70*(1+Slot12_Rate)^(Slot12_Age-D70))/LP70),0)</f>
        <v>0</v>
      </c>
      <c r="LR70" s="20" t="n">
        <f aca="false">IF(AND(HU70=1,IE70&gt;0,Slot12_IsWG=1,ED70=1),MIN(IE70,LQ70),0)</f>
        <v>0</v>
      </c>
      <c r="LS70" s="20" t="n">
        <f aca="false">EE70+LR70</f>
        <v>0</v>
      </c>
      <c r="LT70" s="20" t="n">
        <f aca="false">IF(ED70=1,MAX(0,(Slot12_Cost-LS70*(1+Slot12_Rate)^(Slot12_Age-D70))/LP70),0)</f>
        <v>0</v>
      </c>
      <c r="LU70" s="20" t="n">
        <f aca="false">IF(ED70=1,MAX(0,(Slot12_Cost-EE70*(1+Slot12_Rate)^(Slot12_Age-D70))/LP70),0)</f>
        <v>0</v>
      </c>
      <c r="LV70" s="20" t="n">
        <f aca="false">IF(AND(HU70=1,ED70=1),MIN(LO70,LT70),0)</f>
        <v>0</v>
      </c>
      <c r="LW70" s="20" t="n">
        <f aca="false">LO70-LV70</f>
        <v>0</v>
      </c>
      <c r="LX70" s="20" t="n">
        <f aca="false">IF(EN70=1,IF(ABS((1+AS_Wage)/(1+Slot13_Rate)-1)&lt;0.000000000001,(Slot13_Age-D70)*(1+Slot13_Rate)^(Slot13_Age-D70),(1+Slot13_Rate)^(Slot13_Age-D70)*(1-((1+AS_Wage)/(1+Slot13_Rate))^(Slot13_Age-D70))/(1-(1+AS_Wage)/(1+Slot13_Rate))),1)</f>
        <v>1</v>
      </c>
      <c r="LY70" s="20" t="n">
        <f aca="false">IF(AND(HU70=1,IE70&gt;0,Slot13_IsWG=1,EN70=1),MAX(0,(Slot13_Cost-EO70*(1+Slot13_Rate)^(Slot13_Age-D70))/LX70),0)</f>
        <v>0</v>
      </c>
      <c r="LZ70" s="20" t="n">
        <f aca="false">IF(AND(HU70=1,IE70&gt;0,Slot13_IsWG=1,EN70=1),MIN(IE70,LY70),0)</f>
        <v>0</v>
      </c>
      <c r="MA70" s="20" t="n">
        <f aca="false">EO70+LZ70</f>
        <v>0</v>
      </c>
      <c r="MB70" s="20" t="n">
        <f aca="false">IF(EN70=1,MAX(0,(Slot13_Cost-MA70*(1+Slot13_Rate)^(Slot13_Age-D70))/LX70),0)</f>
        <v>0</v>
      </c>
      <c r="MC70" s="20" t="n">
        <f aca="false">IF(EN70=1,MAX(0,(Slot13_Cost-EO70*(1+Slot13_Rate)^(Slot13_Age-D70))/LX70),0)</f>
        <v>0</v>
      </c>
      <c r="MD70" s="20" t="n">
        <f aca="false">IF(AND(HU70=1,EN70=1),MIN(LW70,MB70),0)</f>
        <v>0</v>
      </c>
      <c r="ME70" s="20" t="n">
        <f aca="false">LW70-MD70</f>
        <v>0</v>
      </c>
      <c r="MF70" s="20" t="n">
        <f aca="false">IF(EX70=1,IF(ABS((1+AS_Wage)/(1+Slot14_Rate)-1)&lt;0.000000000001,(Slot14_Age-D70)*(1+Slot14_Rate)^(Slot14_Age-D70),(1+Slot14_Rate)^(Slot14_Age-D70)*(1-((1+AS_Wage)/(1+Slot14_Rate))^(Slot14_Age-D70))/(1-(1+AS_Wage)/(1+Slot14_Rate))),1)</f>
        <v>1</v>
      </c>
      <c r="MG70" s="20" t="n">
        <f aca="false">IF(AND(HU70=1,IE70&gt;0,Slot14_IsWG=1,EX70=1),MAX(0,(Slot14_Cost-EY70*(1+Slot14_Rate)^(Slot14_Age-D70))/MF70),0)</f>
        <v>0</v>
      </c>
      <c r="MH70" s="20" t="n">
        <f aca="false">IF(AND(HU70=1,IE70&gt;0,Slot14_IsWG=1,EX70=1),MIN(IE70,MG70),0)</f>
        <v>0</v>
      </c>
      <c r="MI70" s="20" t="n">
        <f aca="false">EY70+MH70</f>
        <v>0</v>
      </c>
      <c r="MJ70" s="20" t="n">
        <f aca="false">IF(EX70=1,MAX(0,(Slot14_Cost-MI70*(1+Slot14_Rate)^(Slot14_Age-D70))/MF70),0)</f>
        <v>0</v>
      </c>
      <c r="MK70" s="20" t="n">
        <f aca="false">IF(EX70=1,MAX(0,(Slot14_Cost-EY70*(1+Slot14_Rate)^(Slot14_Age-D70))/MF70),0)</f>
        <v>0</v>
      </c>
      <c r="ML70" s="20" t="n">
        <f aca="false">IF(AND(HU70=1,EX70=1),MIN(ME70,MJ70),0)</f>
        <v>0</v>
      </c>
      <c r="MM70" s="20" t="n">
        <f aca="false">ME70-ML70</f>
        <v>0</v>
      </c>
      <c r="MN70" s="20" t="n">
        <f aca="false">IF(FH70=1,IF(ABS((1+AS_Wage)/(1+Slot15_Rate)-1)&lt;0.000000000001,(Slot15_Age-D70)*(1+Slot15_Rate)^(Slot15_Age-D70),(1+Slot15_Rate)^(Slot15_Age-D70)*(1-((1+AS_Wage)/(1+Slot15_Rate))^(Slot15_Age-D70))/(1-(1+AS_Wage)/(1+Slot15_Rate))),1)</f>
        <v>1</v>
      </c>
      <c r="MO70" s="20" t="n">
        <f aca="false">IF(AND(HU70=1,IE70&gt;0,Slot15_IsWG=1,FH70=1),MAX(0,(Slot15_Cost-FI70*(1+Slot15_Rate)^(Slot15_Age-D70))/MN70),0)</f>
        <v>0</v>
      </c>
      <c r="MP70" s="20" t="n">
        <f aca="false">IF(AND(HU70=1,IE70&gt;0,Slot15_IsWG=1,FH70=1),MIN(IE70,MO70),0)</f>
        <v>0</v>
      </c>
      <c r="MQ70" s="20" t="n">
        <f aca="false">FI70+MP70</f>
        <v>0</v>
      </c>
      <c r="MR70" s="20" t="n">
        <f aca="false">IF(FH70=1,MAX(0,(Slot15_Cost-MQ70*(1+Slot15_Rate)^(Slot15_Age-D70))/MN70),0)</f>
        <v>0</v>
      </c>
      <c r="MS70" s="20" t="n">
        <f aca="false">IF(FH70=1,MAX(0,(Slot15_Cost-FI70*(1+Slot15_Rate)^(Slot15_Age-D70))/MN70),0)</f>
        <v>0</v>
      </c>
      <c r="MT70" s="20" t="n">
        <f aca="false">IF(AND(HU70=1,FH70=1),MIN(MM70,MR70),0)</f>
        <v>0</v>
      </c>
      <c r="MU70" s="20" t="n">
        <f aca="false">MM70-MT70</f>
        <v>0</v>
      </c>
      <c r="MV70" s="20" t="n">
        <f aca="false">IF(FR70=1,IF(ABS((1+AS_Wage)/(1+Slot16_Rate)-1)&lt;0.000000000001,(Slot16_Age-D70)*(1+Slot16_Rate)^(Slot16_Age-D70),(1+Slot16_Rate)^(Slot16_Age-D70)*(1-((1+AS_Wage)/(1+Slot16_Rate))^(Slot16_Age-D70))/(1-(1+AS_Wage)/(1+Slot16_Rate))),1)</f>
        <v>1</v>
      </c>
      <c r="MW70" s="20" t="n">
        <f aca="false">IF(AND(HU70=1,IE70&gt;0,Slot16_IsWG=1,FR70=1),MAX(0,(Slot16_Cost-FS70*(1+Slot16_Rate)^(Slot16_Age-D70))/MV70),0)</f>
        <v>0</v>
      </c>
      <c r="MX70" s="20" t="n">
        <f aca="false">IF(AND(HU70=1,IE70&gt;0,Slot16_IsWG=1,FR70=1),MIN(IE70,MW70),0)</f>
        <v>0</v>
      </c>
      <c r="MY70" s="20" t="n">
        <f aca="false">FS70+MX70</f>
        <v>0</v>
      </c>
      <c r="MZ70" s="20" t="n">
        <f aca="false">IF(FR70=1,MAX(0,(Slot16_Cost-MY70*(1+Slot16_Rate)^(Slot16_Age-D70))/MV70),0)</f>
        <v>0</v>
      </c>
      <c r="NA70" s="20" t="n">
        <f aca="false">IF(FR70=1,MAX(0,(Slot16_Cost-FS70*(1+Slot16_Rate)^(Slot16_Age-D70))/MV70),0)</f>
        <v>0</v>
      </c>
      <c r="NB70" s="20" t="n">
        <f aca="false">IF(AND(HU70=1,FR70=1),MIN(MU70,MZ70),0)</f>
        <v>0</v>
      </c>
      <c r="NC70" s="20" t="n">
        <f aca="false">MU70-NB70</f>
        <v>0</v>
      </c>
      <c r="ND70" s="20" t="n">
        <f aca="false">IF(GB70=1,IF(ABS((1+AS_Wage)/(1+Slot17_Rate)-1)&lt;0.000000000001,(Slot17_Age-D70)*(1+Slot17_Rate)^(Slot17_Age-D70),(1+Slot17_Rate)^(Slot17_Age-D70)*(1-((1+AS_Wage)/(1+Slot17_Rate))^(Slot17_Age-D70))/(1-(1+AS_Wage)/(1+Slot17_Rate))),1)</f>
        <v>1</v>
      </c>
      <c r="NE70" s="20" t="n">
        <f aca="false">IF(AND(HU70=1,IE70&gt;0,Slot17_IsWG=1,GB70=1),MAX(0,(Slot17_Cost-GC70*(1+Slot17_Rate)^(Slot17_Age-D70))/ND70),0)</f>
        <v>0</v>
      </c>
      <c r="NF70" s="20" t="n">
        <f aca="false">IF(AND(HU70=1,IE70&gt;0,Slot17_IsWG=1,GB70=1),MIN(IE70,NE70),0)</f>
        <v>0</v>
      </c>
      <c r="NG70" s="20" t="n">
        <f aca="false">GC70+NF70</f>
        <v>0</v>
      </c>
      <c r="NH70" s="20" t="n">
        <f aca="false">IF(GB70=1,MAX(0,(Slot17_Cost-NG70*(1+Slot17_Rate)^(Slot17_Age-D70))/ND70),0)</f>
        <v>0</v>
      </c>
      <c r="NI70" s="20" t="n">
        <f aca="false">IF(GB70=1,MAX(0,(Slot17_Cost-GC70*(1+Slot17_Rate)^(Slot17_Age-D70))/ND70),0)</f>
        <v>0</v>
      </c>
      <c r="NJ70" s="20" t="n">
        <f aca="false">IF(AND(HU70=1,GB70=1),MIN(NC70,NH70),0)</f>
        <v>0</v>
      </c>
      <c r="NK70" s="20" t="n">
        <f aca="false">NC70-NJ70</f>
        <v>0</v>
      </c>
      <c r="NL70" s="20" t="n">
        <f aca="false">IF(GL70=1,IF(ABS((1+AS_Wage)/(1+Slot18_Rate)-1)&lt;0.000000000001,(Slot18_Age-D70)*(1+Slot18_Rate)^(Slot18_Age-D70),(1+Slot18_Rate)^(Slot18_Age-D70)*(1-((1+AS_Wage)/(1+Slot18_Rate))^(Slot18_Age-D70))/(1-(1+AS_Wage)/(1+Slot18_Rate))),1)</f>
        <v>1</v>
      </c>
      <c r="NM70" s="20" t="n">
        <f aca="false">IF(AND(HU70=1,IE70&gt;0,Slot18_IsWG=1,GL70=1),MAX(0,(Slot18_Cost-GM70*(1+Slot18_Rate)^(Slot18_Age-D70))/NL70),0)</f>
        <v>0</v>
      </c>
      <c r="NN70" s="20" t="n">
        <f aca="false">IF(AND(HU70=1,IE70&gt;0,Slot18_IsWG=1,GL70=1),MIN(IE70,NM70),0)</f>
        <v>0</v>
      </c>
      <c r="NO70" s="20" t="n">
        <f aca="false">GM70+NN70</f>
        <v>0</v>
      </c>
      <c r="NP70" s="20" t="n">
        <f aca="false">IF(GL70=1,MAX(0,(Slot18_Cost-NO70*(1+Slot18_Rate)^(Slot18_Age-D70))/NL70),0)</f>
        <v>0</v>
      </c>
      <c r="NQ70" s="20" t="n">
        <f aca="false">IF(GL70=1,MAX(0,(Slot18_Cost-GM70*(1+Slot18_Rate)^(Slot18_Age-D70))/NL70),0)</f>
        <v>0</v>
      </c>
      <c r="NR70" s="20" t="n">
        <f aca="false">IF(AND(HU70=1,GL70=1),MIN(NK70,NP70),0)</f>
        <v>0</v>
      </c>
      <c r="NS70" s="20" t="n">
        <f aca="false">NK70-NR70</f>
        <v>0</v>
      </c>
      <c r="NT70" s="20" t="n">
        <f aca="false">IF(GV70=1,IF(ABS((1+AS_Wage)/(1+Slot19_Rate)-1)&lt;0.000000000001,(Slot19_Age-D70)*(1+Slot19_Rate)^(Slot19_Age-D70),(1+Slot19_Rate)^(Slot19_Age-D70)*(1-((1+AS_Wage)/(1+Slot19_Rate))^(Slot19_Age-D70))/(1-(1+AS_Wage)/(1+Slot19_Rate))),1)</f>
        <v>1</v>
      </c>
      <c r="NU70" s="20" t="n">
        <f aca="false">IF(AND(HU70=1,IE70&gt;0,Slot19_IsWG=1,GV70=1),MAX(0,(Slot19_Cost-GW70*(1+Slot19_Rate)^(Slot19_Age-D70))/NT70),0)</f>
        <v>0</v>
      </c>
      <c r="NV70" s="20" t="n">
        <f aca="false">IF(AND(HU70=1,IE70&gt;0,Slot19_IsWG=1,GV70=1),MIN(IE70,NU70),0)</f>
        <v>0</v>
      </c>
      <c r="NW70" s="20" t="n">
        <f aca="false">GW70+NV70</f>
        <v>0</v>
      </c>
      <c r="NX70" s="20" t="n">
        <f aca="false">IF(GV70=1,MAX(0,(Slot19_Cost-NW70*(1+Slot19_Rate)^(Slot19_Age-D70))/NT70),0)</f>
        <v>0</v>
      </c>
      <c r="NY70" s="20" t="n">
        <f aca="false">IF(GV70=1,MAX(0,(Slot19_Cost-GW70*(1+Slot19_Rate)^(Slot19_Age-D70))/NT70),0)</f>
        <v>0</v>
      </c>
      <c r="NZ70" s="20" t="n">
        <f aca="false">IF(AND(HU70=1,GV70=1),MIN(NS70,NX70),0)</f>
        <v>0</v>
      </c>
      <c r="OA70" s="20" t="n">
        <f aca="false">NS70-NZ70</f>
        <v>0</v>
      </c>
      <c r="OB70" s="20" t="n">
        <f aca="false">IF(HF70=1,IF(ABS((1+AS_Wage)/(1+Slot20_Rate)-1)&lt;0.000000000001,(Slot20_Age-D70)*(1+Slot20_Rate)^(Slot20_Age-D70),(1+Slot20_Rate)^(Slot20_Age-D70)*(1-((1+AS_Wage)/(1+Slot20_Rate))^(Slot20_Age-D70))/(1-(1+AS_Wage)/(1+Slot20_Rate))),1)</f>
        <v>1</v>
      </c>
      <c r="OC70" s="20" t="n">
        <f aca="false">IF(AND(HU70=1,IE70&gt;0,Slot20_IsWG=1,HF70=1),MAX(0,(Slot20_Cost-HG70*(1+Slot20_Rate)^(Slot20_Age-D70))/OB70),0)</f>
        <v>0</v>
      </c>
      <c r="OD70" s="20" t="n">
        <f aca="false">IF(AND(HU70=1,IE70&gt;0,Slot20_IsWG=1,HF70=1),MIN(IE70,OC70),0)</f>
        <v>0</v>
      </c>
      <c r="OE70" s="20" t="n">
        <f aca="false">HG70+OD70</f>
        <v>0</v>
      </c>
      <c r="OF70" s="20" t="n">
        <f aca="false">IF(HF70=1,MAX(0,(Slot20_Cost-OE70*(1+Slot20_Rate)^(Slot20_Age-D70))/OB70),0)</f>
        <v>0</v>
      </c>
      <c r="OG70" s="20" t="n">
        <f aca="false">IF(HF70=1,MAX(0,(Slot20_Cost-HG70*(1+Slot20_Rate)^(Slot20_Age-D70))/OB70),0)</f>
        <v>0</v>
      </c>
      <c r="OH70" s="20" t="n">
        <f aca="false">IF(AND(HU70=1,HF70=1),MIN(OA70,OF70),0)</f>
        <v>0</v>
      </c>
      <c r="OI70" s="20" t="n">
        <f aca="false">OA70-OH70</f>
        <v>0</v>
      </c>
      <c r="OJ70" s="20" t="n">
        <f aca="false">IE70-(IH70+IP70+IX70+JF70+JN70+JV70+KD70+KL70+KT70+LB70+LJ70+LR70+LZ70+MH70+MP70+MX70+NF70+NN70+NV70+OD70)</f>
        <v>0</v>
      </c>
      <c r="OK70" s="20" t="n">
        <f aca="false">IF(HU70=1,HS70-ID70-IE70,0)</f>
        <v>0</v>
      </c>
      <c r="OL70" s="20" t="n">
        <f aca="false">IF(HU70=0,-HS70,0)</f>
        <v>65764.479150534</v>
      </c>
      <c r="OM70" s="20" t="n">
        <f aca="false">MIN(OL70,HK70)</f>
        <v>0</v>
      </c>
      <c r="ON70" s="20" t="n">
        <f aca="false">OL70-OM70</f>
        <v>65764.479150534</v>
      </c>
      <c r="OO70" s="20" t="n">
        <f aca="false">MIN(ON70,HL70)</f>
        <v>0</v>
      </c>
      <c r="OP70" s="20" t="n">
        <f aca="false">ON70-OO70</f>
        <v>65764.479150534</v>
      </c>
      <c r="OQ70" s="20" t="n">
        <f aca="false">IF(AND(HU70=0,HF70=1,OP70&gt;0),MIN(OP70,HG70),0)</f>
        <v>0</v>
      </c>
      <c r="OR70" s="20" t="n">
        <f aca="false">OP70-OQ70</f>
        <v>65764.479150534</v>
      </c>
      <c r="OS70" s="20" t="n">
        <f aca="false">IF(AND(HU70=0,GV70=1,OR70&gt;0),MIN(OR70,GW70),0)</f>
        <v>0</v>
      </c>
      <c r="OT70" s="20" t="n">
        <f aca="false">OR70-OS70</f>
        <v>65764.479150534</v>
      </c>
      <c r="OU70" s="20" t="n">
        <f aca="false">IF(AND(HU70=0,GL70=1,OT70&gt;0),MIN(OT70,GM70),0)</f>
        <v>0</v>
      </c>
      <c r="OV70" s="20" t="n">
        <f aca="false">OT70-OU70</f>
        <v>65764.479150534</v>
      </c>
      <c r="OW70" s="20" t="n">
        <f aca="false">IF(AND(HU70=0,GB70=1,OV70&gt;0),MIN(OV70,GC70),0)</f>
        <v>0</v>
      </c>
      <c r="OX70" s="20" t="n">
        <f aca="false">OV70-OW70</f>
        <v>65764.479150534</v>
      </c>
      <c r="OY70" s="20" t="n">
        <f aca="false">IF(AND(HU70=0,FR70=1,OX70&gt;0),MIN(OX70,FS70),0)</f>
        <v>0</v>
      </c>
      <c r="OZ70" s="20" t="n">
        <f aca="false">OX70-OY70</f>
        <v>65764.479150534</v>
      </c>
      <c r="PA70" s="20" t="n">
        <f aca="false">IF(AND(HU70=0,FH70=1,OZ70&gt;0),MIN(OZ70,FI70),0)</f>
        <v>0</v>
      </c>
      <c r="PB70" s="20" t="n">
        <f aca="false">OZ70-PA70</f>
        <v>65764.479150534</v>
      </c>
      <c r="PC70" s="20" t="n">
        <f aca="false">IF(AND(HU70=0,EX70=1,PB70&gt;0),MIN(PB70,EY70),0)</f>
        <v>0</v>
      </c>
      <c r="PD70" s="20" t="n">
        <f aca="false">PB70-PC70</f>
        <v>65764.479150534</v>
      </c>
      <c r="PE70" s="20" t="n">
        <f aca="false">IF(AND(HU70=0,EN70=1,PD70&gt;0),MIN(PD70,EO70),0)</f>
        <v>0</v>
      </c>
      <c r="PF70" s="20" t="n">
        <f aca="false">PD70-PE70</f>
        <v>65764.479150534</v>
      </c>
      <c r="PG70" s="20" t="n">
        <f aca="false">IF(AND(HU70=0,ED70=1,PF70&gt;0),MIN(PF70,EE70),0)</f>
        <v>0</v>
      </c>
      <c r="PH70" s="20" t="n">
        <f aca="false">PF70-PG70</f>
        <v>65764.479150534</v>
      </c>
      <c r="PI70" s="20" t="n">
        <f aca="false">IF(AND(HU70=0,DT70=1,PH70&gt;0),MIN(PH70,DU70),0)</f>
        <v>0</v>
      </c>
      <c r="PJ70" s="20" t="n">
        <f aca="false">PH70-PI70</f>
        <v>65764.479150534</v>
      </c>
      <c r="PK70" s="20" t="n">
        <f aca="false">IF(AND(HU70=0,DJ70=1,PJ70&gt;0),MIN(PJ70,DK70),0)</f>
        <v>0</v>
      </c>
      <c r="PL70" s="20" t="n">
        <f aca="false">PJ70-PK70</f>
        <v>65764.479150534</v>
      </c>
      <c r="PM70" s="20" t="n">
        <f aca="false">IF(AND(HU70=0,CZ70=1,PL70&gt;0),MIN(PL70,DA70),0)</f>
        <v>0</v>
      </c>
      <c r="PN70" s="20" t="n">
        <f aca="false">PL70-PM70</f>
        <v>65764.479150534</v>
      </c>
      <c r="PO70" s="20" t="n">
        <f aca="false">IF(AND(HU70=0,CP70=1,PN70&gt;0),MIN(PN70,CQ70),0)</f>
        <v>0</v>
      </c>
      <c r="PP70" s="20" t="n">
        <f aca="false">PN70-PO70</f>
        <v>65764.479150534</v>
      </c>
      <c r="PQ70" s="20" t="n">
        <f aca="false">IF(AND(HU70=0,CF70=1,PP70&gt;0),MIN(PP70,CG70),0)</f>
        <v>0</v>
      </c>
      <c r="PR70" s="20" t="n">
        <f aca="false">PP70-PQ70</f>
        <v>65764.479150534</v>
      </c>
      <c r="PS70" s="20" t="n">
        <f aca="false">IF(AND(HU70=0,BV70=1,PR70&gt;0),MIN(PR70,BW70),0)</f>
        <v>0</v>
      </c>
      <c r="PT70" s="20" t="n">
        <f aca="false">PR70-PS70</f>
        <v>65764.479150534</v>
      </c>
      <c r="PU70" s="20" t="n">
        <f aca="false">IF(AND(HU70=0,BL70=1,PT70&gt;0),MIN(PT70,BM70),0)</f>
        <v>0</v>
      </c>
      <c r="PV70" s="20" t="n">
        <f aca="false">PT70-PU70</f>
        <v>65764.479150534</v>
      </c>
      <c r="PW70" s="20" t="n">
        <f aca="false">IF(AND(HU70=0,BB70=1,PV70&gt;0),MIN(PV70,BC70),0)</f>
        <v>0</v>
      </c>
      <c r="PX70" s="20" t="n">
        <f aca="false">PV70-PW70</f>
        <v>65764.479150534</v>
      </c>
      <c r="PY70" s="20" t="n">
        <f aca="false">IF(AND(HU70=0,AR70=1,PX70&gt;0),MIN(PX70,AS70),0)</f>
        <v>0</v>
      </c>
      <c r="PZ70" s="20" t="n">
        <f aca="false">PX70-PY70</f>
        <v>65764.479150534</v>
      </c>
      <c r="QA70" s="20" t="n">
        <f aca="false">IF(AND(HU70=0,AH70=1,PZ70&gt;0),MIN(PZ70,AI70),0)</f>
        <v>0</v>
      </c>
      <c r="QB70" s="20" t="n">
        <f aca="false">PZ70-QA70</f>
        <v>65764.479150534</v>
      </c>
      <c r="QC70" s="20" t="n">
        <f aca="false">IF(AND(HU70=0,W70=1,QB70&gt;0),MIN(QB70,X70),0)</f>
        <v>0</v>
      </c>
      <c r="QD70" s="20" t="n">
        <f aca="false">QB70-QC70</f>
        <v>65764.479150534</v>
      </c>
      <c r="QE70" s="20" t="n">
        <f aca="false">IF(HU70=0,QD70,0)</f>
        <v>65764.479150534</v>
      </c>
      <c r="QF70" s="20" t="n">
        <f aca="false">OM70+OO70+QC70+QA70+PY70+PW70+PU70+PS70+PQ70+PO70+PM70+PK70+PI70+PG70+PE70+PC70+PA70+OY70+OW70+OU70+OS70+OQ70</f>
        <v>0</v>
      </c>
      <c r="QG70" s="20" t="n">
        <f aca="false">IF(HU70=1,HK70+OJ70+OI70+IF(G70=1,0,OK70),HK70-OM70)</f>
        <v>0</v>
      </c>
      <c r="QH70" s="20" t="n">
        <f aca="false">HL70-OO70</f>
        <v>0</v>
      </c>
      <c r="QI70" s="20" t="n">
        <f aca="false">IF(HU70=1,IF(G70=1,ID70+IE70,HS70),0)</f>
        <v>0</v>
      </c>
      <c r="QJ70" s="20" t="n">
        <f aca="false">IF(HU70=1,IF(G70=1,HS70-ID70-IE70,0),0)</f>
        <v>0</v>
      </c>
      <c r="QK70" s="57" t="n">
        <f aca="false">'Plan holdings'!BM70</f>
        <v>0</v>
      </c>
      <c r="QL70" s="20" t="n">
        <f aca="false">QH70*(1+AS_Cash)</f>
        <v>0</v>
      </c>
      <c r="QM70" s="20" t="n">
        <f aca="false">IF(W70=1,IF(HU70=1,II70+IL70,X70-QC70)*(1+Slot1_Rate),0)</f>
        <v>0</v>
      </c>
      <c r="QN70" s="20" t="n">
        <f aca="false">IF(AND(HU70=1,W70=1),(IH70+IL70)/F70,0)</f>
        <v>0</v>
      </c>
      <c r="QO70" s="20" t="n">
        <f aca="false">IF(B70=0,IH70+IL70,0)</f>
        <v>0</v>
      </c>
      <c r="QP70" s="20" t="n">
        <f aca="false">IF(B70=0,IF(HU70=1,IJ70,IK70),0)</f>
        <v>0</v>
      </c>
      <c r="QQ70" s="20" t="n">
        <f aca="false">IF(AH70=1,IF(HU70=1,IQ70+IT70,AI70-QA70)*(1+Slot2_Rate),0)</f>
        <v>0</v>
      </c>
      <c r="QR70" s="20" t="n">
        <f aca="false">IF(AND(HU70=1,AH70=1),(IP70+IT70)/F70,0)</f>
        <v>0</v>
      </c>
      <c r="QS70" s="20" t="n">
        <f aca="false">IF(B70=0,IP70+IT70,0)</f>
        <v>0</v>
      </c>
      <c r="QT70" s="20" t="n">
        <f aca="false">IF(B70=0,IF(HU70=1,IR70,IS70),0)</f>
        <v>0</v>
      </c>
      <c r="QU70" s="20" t="n">
        <f aca="false">IF(AR70=1,IF(HU70=1,IY70+JB70,AS70-PY70)*(1+Slot3_Rate),0)</f>
        <v>0</v>
      </c>
      <c r="QV70" s="20" t="n">
        <f aca="false">IF(AND(HU70=1,AR70=1),(IX70+JB70)/F70,0)</f>
        <v>0</v>
      </c>
      <c r="QW70" s="20" t="n">
        <f aca="false">IF(B70=0,IX70+JB70,0)</f>
        <v>0</v>
      </c>
      <c r="QX70" s="20" t="n">
        <f aca="false">IF(B70=0,IF(HU70=1,IZ70,JA70),0)</f>
        <v>0</v>
      </c>
      <c r="QY70" s="20" t="n">
        <f aca="false">IF(BB70=1,IF(HU70=1,JG70+JJ70,BC70-PW70)*(1+Slot4_Rate),0)</f>
        <v>0</v>
      </c>
      <c r="QZ70" s="20" t="n">
        <f aca="false">IF(AND(HU70=1,BB70=1),(JF70+JJ70)/F70,0)</f>
        <v>0</v>
      </c>
      <c r="RA70" s="20" t="n">
        <f aca="false">IF(B70=0,JF70+JJ70,0)</f>
        <v>0</v>
      </c>
      <c r="RB70" s="20" t="n">
        <f aca="false">IF(B70=0,IF(HU70=1,JH70,JI70),0)</f>
        <v>0</v>
      </c>
      <c r="RC70" s="20" t="n">
        <f aca="false">IF(BL70=1,IF(HU70=1,JO70+JR70,BM70-PU70)*(1+Slot5_Rate),0)</f>
        <v>0</v>
      </c>
      <c r="RD70" s="20" t="n">
        <f aca="false">IF(AND(HU70=1,BL70=1),(JN70+JR70)/F70,0)</f>
        <v>0</v>
      </c>
      <c r="RE70" s="20" t="n">
        <f aca="false">IF(B70=0,JN70+JR70,0)</f>
        <v>0</v>
      </c>
      <c r="RF70" s="20" t="n">
        <f aca="false">IF(B70=0,IF(HU70=1,JP70,JQ70),0)</f>
        <v>0</v>
      </c>
      <c r="RG70" s="20" t="n">
        <f aca="false">IF(BV70=1,IF(HU70=1,JW70+JZ70,BW70-PS70)*(1+Slot6_Rate),0)</f>
        <v>0</v>
      </c>
      <c r="RH70" s="20" t="n">
        <f aca="false">IF(AND(HU70=1,BV70=1),(JV70+JZ70)/F70,0)</f>
        <v>0</v>
      </c>
      <c r="RI70" s="20" t="n">
        <f aca="false">IF(B70=0,JV70+JZ70,0)</f>
        <v>0</v>
      </c>
      <c r="RJ70" s="20" t="n">
        <f aca="false">IF(B70=0,IF(HU70=1,JX70,JY70),0)</f>
        <v>0</v>
      </c>
      <c r="RK70" s="20" t="n">
        <f aca="false">IF(CF70=1,IF(HU70=1,KE70+KH70,CG70-PQ70)*(1+Slot7_Rate),0)</f>
        <v>0</v>
      </c>
      <c r="RL70" s="20" t="n">
        <f aca="false">IF(AND(HU70=1,CF70=1),(KD70+KH70)/F70,0)</f>
        <v>0</v>
      </c>
      <c r="RM70" s="20" t="n">
        <f aca="false">IF(B70=0,KD70+KH70,0)</f>
        <v>0</v>
      </c>
      <c r="RN70" s="20" t="n">
        <f aca="false">IF(B70=0,IF(HU70=1,KF70,KG70),0)</f>
        <v>0</v>
      </c>
      <c r="RO70" s="20" t="n">
        <f aca="false">IF(CP70=1,IF(HU70=1,KM70+KP70,CQ70-PO70)*(1+Slot8_Rate),0)</f>
        <v>0</v>
      </c>
      <c r="RP70" s="20" t="n">
        <f aca="false">IF(AND(HU70=1,CP70=1),(KL70+KP70)/F70,0)</f>
        <v>0</v>
      </c>
      <c r="RQ70" s="20" t="n">
        <f aca="false">IF(B70=0,KL70+KP70,0)</f>
        <v>0</v>
      </c>
      <c r="RR70" s="20" t="n">
        <f aca="false">IF(B70=0,IF(HU70=1,KN70,KO70),0)</f>
        <v>0</v>
      </c>
      <c r="RS70" s="20" t="n">
        <f aca="false">IF(CZ70=1,IF(HU70=1,KU70+KX70,DA70-PM70)*(1+Slot9_Rate),0)</f>
        <v>0</v>
      </c>
      <c r="RT70" s="20" t="n">
        <f aca="false">IF(AND(HU70=1,CZ70=1),(KT70+KX70)/F70,0)</f>
        <v>0</v>
      </c>
      <c r="RU70" s="20" t="n">
        <f aca="false">IF(B70=0,KT70+KX70,0)</f>
        <v>0</v>
      </c>
      <c r="RV70" s="20" t="n">
        <f aca="false">IF(B70=0,IF(HU70=1,KV70,KW70),0)</f>
        <v>0</v>
      </c>
      <c r="RW70" s="20" t="n">
        <f aca="false">IF(DJ70=1,IF(HU70=1,LC70+LF70,DK70-PK70)*(1+Slot10_Rate),0)</f>
        <v>0</v>
      </c>
      <c r="RX70" s="20" t="n">
        <f aca="false">IF(AND(HU70=1,DJ70=1),(LB70+LF70)/F70,0)</f>
        <v>0</v>
      </c>
      <c r="RY70" s="20" t="n">
        <f aca="false">IF(B70=0,LB70+LF70,0)</f>
        <v>0</v>
      </c>
      <c r="RZ70" s="20" t="n">
        <f aca="false">IF(B70=0,IF(HU70=1,LD70,LE70),0)</f>
        <v>0</v>
      </c>
      <c r="SA70" s="20" t="n">
        <f aca="false">IF(DT70=1,IF(HU70=1,LK70+LN70,DU70-PI70)*(1+Slot11_Rate),0)</f>
        <v>0</v>
      </c>
      <c r="SB70" s="20" t="n">
        <f aca="false">IF(AND(HU70=1,DT70=1),(LJ70+LN70)/F70,0)</f>
        <v>0</v>
      </c>
      <c r="SC70" s="20" t="n">
        <f aca="false">IF(B70=0,LJ70+LN70,0)</f>
        <v>0</v>
      </c>
      <c r="SD70" s="20" t="n">
        <f aca="false">IF(B70=0,IF(HU70=1,LL70,LM70),0)</f>
        <v>0</v>
      </c>
      <c r="SE70" s="20" t="n">
        <f aca="false">IF(ED70=1,IF(HU70=1,LS70+LV70,EE70-PG70)*(1+Slot12_Rate),0)</f>
        <v>0</v>
      </c>
      <c r="SF70" s="20" t="n">
        <f aca="false">IF(AND(HU70=1,ED70=1),(LR70+LV70)/F70,0)</f>
        <v>0</v>
      </c>
      <c r="SG70" s="20" t="n">
        <f aca="false">IF(B70=0,LR70+LV70,0)</f>
        <v>0</v>
      </c>
      <c r="SH70" s="20" t="n">
        <f aca="false">IF(B70=0,IF(HU70=1,LT70,LU70),0)</f>
        <v>0</v>
      </c>
      <c r="SI70" s="20" t="n">
        <f aca="false">IF(EN70=1,IF(HU70=1,MA70+MD70,EO70-PE70)*(1+Slot13_Rate),0)</f>
        <v>0</v>
      </c>
      <c r="SJ70" s="20" t="n">
        <f aca="false">IF(AND(HU70=1,EN70=1),(LZ70+MD70)/F70,0)</f>
        <v>0</v>
      </c>
      <c r="SK70" s="20" t="n">
        <f aca="false">IF(B70=0,LZ70+MD70,0)</f>
        <v>0</v>
      </c>
      <c r="SL70" s="20" t="n">
        <f aca="false">IF(B70=0,IF(HU70=1,MB70,MC70),0)</f>
        <v>0</v>
      </c>
      <c r="SM70" s="20" t="n">
        <f aca="false">IF(EX70=1,IF(HU70=1,MI70+ML70,EY70-PC70)*(1+Slot14_Rate),0)</f>
        <v>0</v>
      </c>
      <c r="SN70" s="20" t="n">
        <f aca="false">IF(AND(HU70=1,EX70=1),(MH70+ML70)/F70,0)</f>
        <v>0</v>
      </c>
      <c r="SO70" s="20" t="n">
        <f aca="false">IF(B70=0,MH70+ML70,0)</f>
        <v>0</v>
      </c>
      <c r="SP70" s="20" t="n">
        <f aca="false">IF(B70=0,IF(HU70=1,MJ70,MK70),0)</f>
        <v>0</v>
      </c>
      <c r="SQ70" s="20" t="n">
        <f aca="false">IF(FH70=1,IF(HU70=1,MQ70+MT70,FI70-PA70)*(1+Slot15_Rate),0)</f>
        <v>0</v>
      </c>
      <c r="SR70" s="20" t="n">
        <f aca="false">IF(AND(HU70=1,FH70=1),(MP70+MT70)/F70,0)</f>
        <v>0</v>
      </c>
      <c r="SS70" s="20" t="n">
        <f aca="false">IF(B70=0,MP70+MT70,0)</f>
        <v>0</v>
      </c>
      <c r="ST70" s="20" t="n">
        <f aca="false">IF(B70=0,IF(HU70=1,MR70,MS70),0)</f>
        <v>0</v>
      </c>
      <c r="SU70" s="20" t="n">
        <f aca="false">IF(FR70=1,IF(HU70=1,MY70+NB70,FS70-OY70)*(1+Slot16_Rate),0)</f>
        <v>0</v>
      </c>
      <c r="SV70" s="20" t="n">
        <f aca="false">IF(AND(HU70=1,FR70=1),(MX70+NB70)/F70,0)</f>
        <v>0</v>
      </c>
      <c r="SW70" s="20" t="n">
        <f aca="false">IF(B70=0,MX70+NB70,0)</f>
        <v>0</v>
      </c>
      <c r="SX70" s="20" t="n">
        <f aca="false">IF(B70=0,IF(HU70=1,MZ70,NA70),0)</f>
        <v>0</v>
      </c>
      <c r="SY70" s="20" t="n">
        <f aca="false">IF(GB70=1,IF(HU70=1,NG70+NJ70,GC70-OW70)*(1+Slot17_Rate),0)</f>
        <v>0</v>
      </c>
      <c r="SZ70" s="20" t="n">
        <f aca="false">IF(AND(HU70=1,GB70=1),(NF70+NJ70)/F70,0)</f>
        <v>0</v>
      </c>
      <c r="TA70" s="20" t="n">
        <f aca="false">IF(B70=0,NF70+NJ70,0)</f>
        <v>0</v>
      </c>
      <c r="TB70" s="20" t="n">
        <f aca="false">IF(B70=0,IF(HU70=1,NH70,NI70),0)</f>
        <v>0</v>
      </c>
      <c r="TC70" s="20" t="n">
        <f aca="false">IF(GL70=1,IF(HU70=1,NO70+NR70,GM70-OU70)*(1+Slot18_Rate),0)</f>
        <v>0</v>
      </c>
      <c r="TD70" s="20" t="n">
        <f aca="false">IF(AND(HU70=1,GL70=1),(NN70+NR70)/F70,0)</f>
        <v>0</v>
      </c>
      <c r="TE70" s="20" t="n">
        <f aca="false">IF(B70=0,NN70+NR70,0)</f>
        <v>0</v>
      </c>
      <c r="TF70" s="20" t="n">
        <f aca="false">IF(B70=0,IF(HU70=1,NP70,NQ70),0)</f>
        <v>0</v>
      </c>
      <c r="TG70" s="20" t="n">
        <f aca="false">IF(GV70=1,IF(HU70=1,NW70+NZ70,GW70-OS70)*(1+Slot19_Rate),0)</f>
        <v>0</v>
      </c>
      <c r="TH70" s="20" t="n">
        <f aca="false">IF(AND(HU70=1,GV70=1),(NV70+NZ70)/F70,0)</f>
        <v>0</v>
      </c>
      <c r="TI70" s="20" t="n">
        <f aca="false">IF(B70=0,NV70+NZ70,0)</f>
        <v>0</v>
      </c>
      <c r="TJ70" s="20" t="n">
        <f aca="false">IF(B70=0,IF(HU70=1,NX70,NY70),0)</f>
        <v>0</v>
      </c>
      <c r="TK70" s="20" t="n">
        <f aca="false">IF(HF70=1,IF(HU70=1,OE70+OH70,HG70-OQ70)*(1+Slot20_Rate),0)</f>
        <v>0</v>
      </c>
      <c r="TL70" s="20" t="n">
        <f aca="false">IF(AND(HU70=1,HF70=1),(OD70+OH70)/F70,0)</f>
        <v>0</v>
      </c>
      <c r="TM70" s="20" t="n">
        <f aca="false">IF(B70=0,OD70+OH70,0)</f>
        <v>0</v>
      </c>
      <c r="TN70" s="20" t="n">
        <f aca="false">IF(B70=0,IF(HU70=1,OF70,OG70),0)</f>
        <v>0</v>
      </c>
      <c r="TO70" s="20" t="n">
        <f aca="false">QK70+QL70+QM70+QQ70+QU70+QY70+RC70+RG70+RK70+RO70+RS70+RW70+SA70+SE70+SI70+SM70+SQ70+SU70+SY70+TC70+TG70+TK70</f>
        <v>0</v>
      </c>
      <c r="TP70" s="20" t="n">
        <f aca="false">QE70+HP70</f>
        <v>65764.479150534</v>
      </c>
      <c r="TQ70" s="20" t="n">
        <f aca="false">I70+S70</f>
        <v>163169.335859895</v>
      </c>
      <c r="TR70" s="20" t="n">
        <f aca="false">1-G70</f>
        <v>1</v>
      </c>
      <c r="TS70" s="20" t="n">
        <f aca="false">IF(AND(RG_Exists=1,G70=0,C70=1),I70,0)</f>
        <v>0</v>
      </c>
      <c r="TT70" s="20" t="n">
        <f aca="false">IF(AND(RG_Exists=1,G70=0,C70=1),I70-MIN(QE70,I70),0)</f>
        <v>0</v>
      </c>
      <c r="TU70" s="20" t="n">
        <f aca="false">'Plan pay &amp; tax'!AD296</f>
        <v>0</v>
      </c>
      <c r="TV70" s="20" t="n">
        <f aca="false">IF(AND(C70=1,QE70&gt;MAX(PR_Short1,TQ70*PR_Short2)),1,0)</f>
        <v>0</v>
      </c>
      <c r="TW70" s="20" t="n">
        <f aca="false">MIN(H70,I70+S70)</f>
        <v>97404.8567093611</v>
      </c>
      <c r="TX70" s="20" t="n">
        <f aca="false">QF70+MAX(0,HQ70-HP70)</f>
        <v>0</v>
      </c>
      <c r="TY70" s="20" t="n">
        <f aca="false">QE70+HP70</f>
        <v>65764.479150534</v>
      </c>
      <c r="TZ70" s="20" t="n">
        <f aca="false">IF(AND(C70=1,TY70&gt;PR_MinShort),1,0)</f>
        <v>0</v>
      </c>
      <c r="UA70" s="20" t="n">
        <f aca="false">IF(AND(C70=1,TZ70=0,TX70&gt;PR_MinShort),1,0)</f>
        <v>0</v>
      </c>
      <c r="UB70" s="20" t="n">
        <f aca="false">IF(AND(C70=1,QE70&gt;PR_MinShort),1,0)</f>
        <v>0</v>
      </c>
      <c r="UC70" s="20" t="n">
        <f aca="false">IF(AND(C70=1,QF70&gt;1,UJ70=0),1,0)</f>
        <v>0</v>
      </c>
      <c r="UD70" s="20" t="str">
        <f aca="false">IF(C70=0,"",IF(UJ70=1,"Gap to plan for: short "&amp;"€"&amp;TEXT(ROUND(TP70,0),"#,##0"),IF(QF70&gt;1,"Using savings","Comfortable")))</f>
        <v/>
      </c>
      <c r="UE70" s="20" t="n">
        <f aca="false">IF(AND(INT(D70/10)*10=90,B70&gt;0),80,INT(D70/10)*10)</f>
        <v>100</v>
      </c>
      <c r="UF70" s="20" t="n">
        <f aca="false">IF(B70=0,1,IF(UE70&lt;&gt;UE69,UF69+1,UF69))</f>
        <v>7</v>
      </c>
      <c r="UG70" s="20" t="n">
        <f aca="false">IF(AND(C70=1,G70=1,QE70&gt;MAX(PR_Short1,TQ70*PR_Short2)),1,0)</f>
        <v>0</v>
      </c>
      <c r="UH70" s="20" t="n">
        <f aca="false">TR70*TV70</f>
        <v>0</v>
      </c>
      <c r="UI70" s="20" t="n">
        <f aca="false">IF(AND(V70=1,Slot1_PctLow=1),1,0)+IF(AND(AG70=1,Slot2_PctLow=1),1,0)+IF(AND(AQ70=1,Slot3_PctLow=1),1,0)+IF(AND(BA70=1,Slot4_PctLow=1),1,0)+IF(AND(BK70=1,Slot5_PctLow=1),1,0)+IF(AND(BU70=1,Slot6_PctLow=1),1,0)+IF(AND(CE70=1,Slot7_PctLow=1),1,0)+IF(AND(CO70=1,Slot8_PctLow=1),1,0)+IF(AND(CY70=1,Slot9_PctLow=1),1,0)+IF(AND(DI70=1,Slot10_PctLow=1),1,0)+IF(AND(DS70=1,Slot11_PctLow=1),1,0)+IF(AND(EC70=1,Slot12_PctLow=1),1,0)+IF(AND(EM70=1,Slot13_PctLow=1),1,0)+IF(AND(EW70=1,Slot14_PctLow=1),1,0)+IF(AND(FG70=1,Slot15_PctLow=1),1,0)+IF(AND(FQ70=1,Slot16_PctLow=1),1,0)+IF(AND(GA70=1,Slot17_PctLow=1),1,0)+IF(AND(GK70=1,Slot18_PctLow=1),1,0)+IF(AND(GU70=1,Slot19_PctLow=1),1,0)+IF(AND(HE70=1,Slot20_PctLow=1),1,0)</f>
        <v>0</v>
      </c>
      <c r="UJ70" s="20" t="n">
        <f aca="false">IF(C70=1,IF(OR(TV70=1,UI70&gt;0),1,0),0)</f>
        <v>0</v>
      </c>
      <c r="UK70" s="20" t="n">
        <f aca="false">Z70+AK70+AU70+BE70+BO70+BY70+CI70+CS70+DC70+DM70+DW70+EG70+EQ70+FA70+FK70+FU70+GE70+GO70+GY70+HI70+OM70</f>
        <v>0</v>
      </c>
      <c r="UL70" s="20" t="n">
        <f aca="false">V70*IF(Slot1_SpendLike=1,X70-Y70,IF(Slot1_PotFree=1,X70,0))+AG70*IF(Slot2_SpendLike=1,AI70-AJ70,IF(Slot2_PotFree=1,AI70,0))+AQ70*IF(Slot3_SpendLike=1,AS70-AT70,IF(Slot3_PotFree=1,AS70,0))+BA70*IF(Slot4_SpendLike=1,BC70-BD70,IF(Slot4_PotFree=1,BC70,0))+BK70*IF(Slot5_SpendLike=1,BM70-BN70,IF(Slot5_PotFree=1,BM70,0))+BU70*IF(Slot6_SpendLike=1,BW70-BX70,IF(Slot6_PotFree=1,BW70,0))+CE70*IF(Slot7_SpendLike=1,CG70-CH70,IF(Slot7_PotFree=1,CG70,0))+CO70*IF(Slot8_SpendLike=1,CQ70-CR70,IF(Slot8_PotFree=1,CQ70,0))+CY70*IF(Slot9_SpendLike=1,DA70-DB70,IF(Slot9_PotFree=1,DA70,0))+DI70*IF(Slot10_SpendLike=1,DK70-DL70,IF(Slot10_PotFree=1,DK70,0))+DS70*IF(Slot11_SpendLike=1,DU70-DV70,IF(Slot11_PotFree=1,DU70,0))+EC70*IF(Slot12_SpendLike=1,EE70-EF70,IF(Slot12_PotFree=1,EE70,0))+EM70*IF(Slot13_SpendLike=1,EO70-EP70,IF(Slot13_PotFree=1,EO70,0))+EW70*IF(Slot14_SpendLike=1,EY70-EZ70,IF(Slot14_PotFree=1,EY70,0))+FG70*IF(Slot15_SpendLike=1,FI70-FJ70,IF(Slot15_PotFree=1,FI70,0))+FQ70*IF(Slot16_SpendLike=1,FS70-FT70,IF(Slot16_PotFree=1,FS70,0))+GA70*IF(Slot17_SpendLike=1,GC70-GD70,IF(Slot17_PotFree=1,GC70,0))+GK70*IF(Slot18_SpendLike=1,GM70-GN70,IF(Slot18_PotFree=1,GM70,0))+GU70*IF(Slot19_SpendLike=1,GW70-GX70,IF(Slot19_PotFree=1,GW70,0))+HE70*IF(Slot20_SpendLike=1,HG70-HH70,IF(Slot20_PotFree=1,HG70,0))</f>
        <v>0</v>
      </c>
      <c r="UM70" s="20" t="n">
        <f aca="false">QG70-T70+UK70-UL70</f>
        <v>0</v>
      </c>
      <c r="UN70" s="20" t="n">
        <f aca="false">IF(OR(UN69=1,AND(In_homeUse="Yes, I'd downsize",In_downAge&gt;0,D70=In_downAge,OR(In_home="Own outright",In_home="Own with mortgage"),In_homeValue&gt;0)),1,0)</f>
        <v>0</v>
      </c>
    </row>
    <row r="71" customFormat="false" ht="15" hidden="false" customHeight="true" outlineLevel="0" collapsed="false">
      <c r="B71" s="20" t="n">
        <v>63</v>
      </c>
      <c r="C71" s="20" t="n">
        <f aca="false">IF(B71&lt;=F_N,1,0)</f>
        <v>0</v>
      </c>
      <c r="D71" s="20" t="n">
        <f aca="false">'Plan pay &amp; tax'!C297</f>
        <v>101</v>
      </c>
      <c r="E71" s="20" t="str">
        <f aca="false">IF($C71=1,"Income tax "&amp;TEXT(N('Plan pay &amp; tax'!BK297),"#,##0")&amp;"; USC "&amp;TEXT(N('Plan pay &amp; tax'!BM297)+N('Plan pay &amp; tax'!BO297),"#,##0")&amp;"; PRSI "&amp;TEXT(N('Plan pay &amp; tax'!BP297)+N('Plan pay &amp; tax'!BQ297),"#,##0")&amp;IF(N('Plan holdings'!BO71)&gt;=0.5,"; DIRT "&amp;TEXT(('Plan holdings'!BO71)/$F71,"#,##0")&amp;" (already taken from the interest earned)","")&amp;IF(N('Plan holdings'!BP71)&gt;=0.5,"; exit tax at an 8-year anniversary "&amp;TEXT(('Plan holdings'!BP71)/$F71,"#,##0"),"")&amp;IF(N('Plan holdings'!BN71)&gt;=0.5,"; tax on assets sold (exit tax or capital gains tax) "&amp;TEXT(('Plan holdings'!BN71)/$F71,"#,##0"),"")&amp;IF(N('Plan pay &amp; tax'!X297)-N('Plan pay &amp; tax'!Y297)&gt;=0.5,"; tax on the pension lump sum "&amp;TEXT(('Plan pay &amp; tax'!X297-'Plan pay &amp; tax'!Y297)/$F71,"#,##0"),"")&amp;IF(N('Plan pay &amp; tax'!V297)&gt;=0.5,"; chargeable excess tax on the pension "&amp;TEXT(('Plan pay &amp; tax'!V297)/$F71,"#,##0"),"")&amp;".","")</f>
        <v/>
      </c>
      <c r="F71" s="50" t="n">
        <f aca="false">'Plan pay &amp; tax'!E297</f>
        <v>3.48185612085969</v>
      </c>
      <c r="G71" s="20" t="n">
        <f aca="false">'Plan pay &amp; tax'!G297</f>
        <v>0</v>
      </c>
      <c r="H71" s="20" t="n">
        <f aca="false">'Plan pay &amp; tax'!BT297-'Plan pay &amp; tax'!BS297-'Plan pay &amp; tax'!R297</f>
        <v>99352.9538435483</v>
      </c>
      <c r="I71" s="20" t="n">
        <f aca="false">IF(G71=1,F_CostsM*12,IF(RG_Exists=1,RG_Amount,F_CostsM*12*AS_RetireSpend))*F71+F_OneOffY*F71</f>
        <v>166432.722577093</v>
      </c>
      <c r="J71" s="20" t="n">
        <f aca="false">IF(UN71=1,0,HR70)</f>
        <v>0</v>
      </c>
      <c r="K71" s="20" t="n">
        <f aca="false">IF(J71&gt;1,'Plan debt months'!AC71,0)</f>
        <v>0</v>
      </c>
      <c r="L71" s="20" t="n">
        <f aca="false">IF(J71&gt;1,'Plan debt months'!AB71,J71)</f>
        <v>0</v>
      </c>
      <c r="M71" s="20" t="n">
        <f aca="false">O70</f>
        <v>0</v>
      </c>
      <c r="N71" s="20" t="n">
        <f aca="false">IF(M71&gt;1,'Plan debt months'!BD71,0)</f>
        <v>0</v>
      </c>
      <c r="O71" s="20" t="n">
        <f aca="false">IF(M71&gt;1,'Plan debt months'!BC71,M71)</f>
        <v>0</v>
      </c>
      <c r="P71" s="20" t="n">
        <f aca="false">R70</f>
        <v>0</v>
      </c>
      <c r="Q71" s="20" t="n">
        <f aca="false">IF(P71&gt;1,'Plan debt months'!CE71,0)</f>
        <v>0</v>
      </c>
      <c r="R71" s="20" t="n">
        <f aca="false">IF(P71&gt;1,'Plan debt months'!CD71,P71)</f>
        <v>0</v>
      </c>
      <c r="S71" s="20" t="n">
        <f aca="false">K71+N71+Q71</f>
        <v>0</v>
      </c>
      <c r="T71" s="57" t="n">
        <f aca="false">'Plan holdings'!Y71</f>
        <v>0</v>
      </c>
      <c r="U71" s="57" t="n">
        <f aca="false">'Plan holdings'!BM70</f>
        <v>0</v>
      </c>
      <c r="V71" s="20" t="n">
        <f aca="false">IF(AND(Slot1_On=1,D71=Slot1_Age),1,0)</f>
        <v>0</v>
      </c>
      <c r="W71" s="20" t="n">
        <f aca="false">IF(AND(Slot1_On=1,Slot1_Age&gt;D71),1,0)</f>
        <v>0</v>
      </c>
      <c r="X71" s="20" t="n">
        <f aca="false">QM70</f>
        <v>0</v>
      </c>
      <c r="Y71" s="20" t="n">
        <f aca="false">V71*MIN(Slot1_Cost,X71)</f>
        <v>0</v>
      </c>
      <c r="Z71" s="20" t="n">
        <f aca="false">V71*Slot1_SpendLike*MIN(Slot1_Cost-Y71,T71)</f>
        <v>0</v>
      </c>
      <c r="AA71" s="20" t="n">
        <f aca="false">Y71+Z71</f>
        <v>0</v>
      </c>
      <c r="AB71" s="20" t="n">
        <f aca="false">T71-Z71+V71*IF(Slot1_SpendLike=1,X71-Y71,IF(Slot1_PotFree=1,X71,0))</f>
        <v>0</v>
      </c>
      <c r="AC71" s="20" t="n">
        <f aca="false">AF71+V71*Slot1_BufPot*X71</f>
        <v>0</v>
      </c>
      <c r="AD71" s="20" t="n">
        <f aca="false">IF(AND(V71=1,Slot1_IsMfree=1),IF(AA71&gt;=Slot1_Cost-1,0,MAX(0,L71-AA71)),L71)</f>
        <v>0</v>
      </c>
      <c r="AE71" s="20" t="n">
        <f aca="false">V71*(Slot1_Cost-AA71)</f>
        <v>0</v>
      </c>
      <c r="AF71" s="20" t="n">
        <f aca="false">QL70</f>
        <v>0</v>
      </c>
      <c r="AG71" s="20" t="n">
        <f aca="false">IF(AND(Slot2_On=1,D71=Slot2_Age),1,0)</f>
        <v>0</v>
      </c>
      <c r="AH71" s="20" t="n">
        <f aca="false">IF(AND(Slot2_On=1,Slot2_Age&gt;D71),1,0)</f>
        <v>0</v>
      </c>
      <c r="AI71" s="20" t="n">
        <f aca="false">QQ70</f>
        <v>0</v>
      </c>
      <c r="AJ71" s="20" t="n">
        <f aca="false">AG71*MIN(Slot2_Cost,AI71)</f>
        <v>0</v>
      </c>
      <c r="AK71" s="20" t="n">
        <f aca="false">AG71*Slot2_SpendLike*MIN(Slot2_Cost-AJ71,AB71)</f>
        <v>0</v>
      </c>
      <c r="AL71" s="20" t="n">
        <f aca="false">AJ71+AK71</f>
        <v>0</v>
      </c>
      <c r="AM71" s="20" t="n">
        <f aca="false">AB71-AK71+AG71*IF(Slot2_SpendLike=1,AI71-AJ71,IF(Slot2_PotFree=1,AI71,0))</f>
        <v>0</v>
      </c>
      <c r="AN71" s="20" t="n">
        <f aca="false">AC71+AG71*Slot2_BufPot*AI71</f>
        <v>0</v>
      </c>
      <c r="AO71" s="20" t="n">
        <f aca="false">IF(AND(AG71=1,Slot2_IsMfree=1),IF(AL71&gt;=Slot2_Cost-1,0,MAX(0,AD71-AL71)),AD71)</f>
        <v>0</v>
      </c>
      <c r="AP71" s="20" t="n">
        <f aca="false">AG71*(Slot2_Cost-AL71)</f>
        <v>0</v>
      </c>
      <c r="AQ71" s="20" t="n">
        <f aca="false">IF(AND(Slot3_On=1,D71=Slot3_Age),1,0)</f>
        <v>0</v>
      </c>
      <c r="AR71" s="20" t="n">
        <f aca="false">IF(AND(Slot3_On=1,Slot3_Age&gt;D71),1,0)</f>
        <v>0</v>
      </c>
      <c r="AS71" s="20" t="n">
        <f aca="false">QU70</f>
        <v>0</v>
      </c>
      <c r="AT71" s="20" t="n">
        <f aca="false">AQ71*MIN(Slot3_Cost,AS71)</f>
        <v>0</v>
      </c>
      <c r="AU71" s="20" t="n">
        <f aca="false">AQ71*Slot3_SpendLike*MIN(Slot3_Cost-AT71,AM71)</f>
        <v>0</v>
      </c>
      <c r="AV71" s="20" t="n">
        <f aca="false">AT71+AU71</f>
        <v>0</v>
      </c>
      <c r="AW71" s="20" t="n">
        <f aca="false">AM71-AU71+AQ71*IF(Slot3_SpendLike=1,AS71-AT71,IF(Slot3_PotFree=1,AS71,0))</f>
        <v>0</v>
      </c>
      <c r="AX71" s="20" t="n">
        <f aca="false">AN71+AQ71*Slot3_BufPot*AS71</f>
        <v>0</v>
      </c>
      <c r="AY71" s="20" t="n">
        <f aca="false">IF(AND(AQ71=1,Slot3_IsMfree=1),IF(AV71&gt;=Slot3_Cost-1,0,MAX(0,AO71-AV71)),AO71)</f>
        <v>0</v>
      </c>
      <c r="AZ71" s="20" t="n">
        <f aca="false">AQ71*(Slot3_Cost-AV71)</f>
        <v>0</v>
      </c>
      <c r="BA71" s="20" t="n">
        <f aca="false">IF(AND(Slot4_On=1,D71=Slot4_Age),1,0)</f>
        <v>0</v>
      </c>
      <c r="BB71" s="20" t="n">
        <f aca="false">IF(AND(Slot4_On=1,Slot4_Age&gt;D71),1,0)</f>
        <v>0</v>
      </c>
      <c r="BC71" s="20" t="n">
        <f aca="false">QY70</f>
        <v>0</v>
      </c>
      <c r="BD71" s="20" t="n">
        <f aca="false">BA71*MIN(Slot4_Cost,BC71)</f>
        <v>0</v>
      </c>
      <c r="BE71" s="20" t="n">
        <f aca="false">BA71*Slot4_SpendLike*MIN(Slot4_Cost-BD71,AW71)</f>
        <v>0</v>
      </c>
      <c r="BF71" s="20" t="n">
        <f aca="false">BD71+BE71</f>
        <v>0</v>
      </c>
      <c r="BG71" s="20" t="n">
        <f aca="false">AW71-BE71+BA71*IF(Slot4_SpendLike=1,BC71-BD71,IF(Slot4_PotFree=1,BC71,0))</f>
        <v>0</v>
      </c>
      <c r="BH71" s="20" t="n">
        <f aca="false">AX71+BA71*Slot4_BufPot*BC71</f>
        <v>0</v>
      </c>
      <c r="BI71" s="20" t="n">
        <f aca="false">IF(AND(BA71=1,Slot4_IsMfree=1),IF(BF71&gt;=Slot4_Cost-1,0,MAX(0,AY71-BF71)),AY71)</f>
        <v>0</v>
      </c>
      <c r="BJ71" s="20" t="n">
        <f aca="false">BA71*(Slot4_Cost-BF71)</f>
        <v>0</v>
      </c>
      <c r="BK71" s="20" t="n">
        <f aca="false">IF(AND(Slot5_On=1,D71=Slot5_Age),1,0)</f>
        <v>0</v>
      </c>
      <c r="BL71" s="20" t="n">
        <f aca="false">IF(AND(Slot5_On=1,Slot5_Age&gt;D71),1,0)</f>
        <v>0</v>
      </c>
      <c r="BM71" s="20" t="n">
        <f aca="false">RC70</f>
        <v>0</v>
      </c>
      <c r="BN71" s="20" t="n">
        <f aca="false">BK71*MIN(Slot5_Cost,BM71)</f>
        <v>0</v>
      </c>
      <c r="BO71" s="20" t="n">
        <f aca="false">BK71*Slot5_SpendLike*MIN(Slot5_Cost-BN71,BG71)</f>
        <v>0</v>
      </c>
      <c r="BP71" s="20" t="n">
        <f aca="false">BN71+BO71</f>
        <v>0</v>
      </c>
      <c r="BQ71" s="20" t="n">
        <f aca="false">BG71-BO71+BK71*IF(Slot5_SpendLike=1,BM71-BN71,IF(Slot5_PotFree=1,BM71,0))</f>
        <v>0</v>
      </c>
      <c r="BR71" s="20" t="n">
        <f aca="false">BH71+BK71*Slot5_BufPot*BM71</f>
        <v>0</v>
      </c>
      <c r="BS71" s="20" t="n">
        <f aca="false">IF(AND(BK71=1,Slot5_IsMfree=1),IF(BP71&gt;=Slot5_Cost-1,0,MAX(0,BI71-BP71)),BI71)</f>
        <v>0</v>
      </c>
      <c r="BT71" s="20" t="n">
        <f aca="false">BK71*(Slot5_Cost-BP71)</f>
        <v>0</v>
      </c>
      <c r="BU71" s="20" t="n">
        <f aca="false">IF(AND(Slot6_On=1,D71=Slot6_Age),1,0)</f>
        <v>0</v>
      </c>
      <c r="BV71" s="20" t="n">
        <f aca="false">IF(AND(Slot6_On=1,Slot6_Age&gt;D71),1,0)</f>
        <v>0</v>
      </c>
      <c r="BW71" s="20" t="n">
        <f aca="false">RG70</f>
        <v>0</v>
      </c>
      <c r="BX71" s="20" t="n">
        <f aca="false">BU71*MIN(Slot6_Cost,BW71)</f>
        <v>0</v>
      </c>
      <c r="BY71" s="20" t="n">
        <f aca="false">BU71*Slot6_SpendLike*MIN(Slot6_Cost-BX71,BQ71)</f>
        <v>0</v>
      </c>
      <c r="BZ71" s="20" t="n">
        <f aca="false">BX71+BY71</f>
        <v>0</v>
      </c>
      <c r="CA71" s="20" t="n">
        <f aca="false">BQ71-BY71+BU71*IF(Slot6_SpendLike=1,BW71-BX71,IF(Slot6_PotFree=1,BW71,0))</f>
        <v>0</v>
      </c>
      <c r="CB71" s="20" t="n">
        <f aca="false">BR71+BU71*Slot6_BufPot*BW71</f>
        <v>0</v>
      </c>
      <c r="CC71" s="20" t="n">
        <f aca="false">IF(AND(BU71=1,Slot6_IsMfree=1),IF(BZ71&gt;=Slot6_Cost-1,0,MAX(0,BS71-BZ71)),BS71)</f>
        <v>0</v>
      </c>
      <c r="CD71" s="20" t="n">
        <f aca="false">BU71*(Slot6_Cost-BZ71)</f>
        <v>0</v>
      </c>
      <c r="CE71" s="20" t="n">
        <f aca="false">IF(AND(Slot7_On=1,D71=Slot7_Age),1,0)</f>
        <v>0</v>
      </c>
      <c r="CF71" s="20" t="n">
        <f aca="false">IF(AND(Slot7_On=1,Slot7_Age&gt;D71),1,0)</f>
        <v>0</v>
      </c>
      <c r="CG71" s="20" t="n">
        <f aca="false">RK70</f>
        <v>0</v>
      </c>
      <c r="CH71" s="20" t="n">
        <f aca="false">CE71*MIN(Slot7_Cost,CG71)</f>
        <v>0</v>
      </c>
      <c r="CI71" s="20" t="n">
        <f aca="false">CE71*Slot7_SpendLike*MIN(Slot7_Cost-CH71,CA71)</f>
        <v>0</v>
      </c>
      <c r="CJ71" s="20" t="n">
        <f aca="false">CH71+CI71</f>
        <v>0</v>
      </c>
      <c r="CK71" s="20" t="n">
        <f aca="false">CA71-CI71+CE71*IF(Slot7_SpendLike=1,CG71-CH71,IF(Slot7_PotFree=1,CG71,0))</f>
        <v>0</v>
      </c>
      <c r="CL71" s="20" t="n">
        <f aca="false">CB71+CE71*Slot7_BufPot*CG71</f>
        <v>0</v>
      </c>
      <c r="CM71" s="20" t="n">
        <f aca="false">IF(AND(CE71=1,Slot7_IsMfree=1),IF(CJ71&gt;=Slot7_Cost-1,0,MAX(0,CC71-CJ71)),CC71)</f>
        <v>0</v>
      </c>
      <c r="CN71" s="20" t="n">
        <f aca="false">CE71*(Slot7_Cost-CJ71)</f>
        <v>0</v>
      </c>
      <c r="CO71" s="20" t="n">
        <f aca="false">IF(AND(Slot8_On=1,D71=Slot8_Age),1,0)</f>
        <v>0</v>
      </c>
      <c r="CP71" s="20" t="n">
        <f aca="false">IF(AND(Slot8_On=1,Slot8_Age&gt;D71),1,0)</f>
        <v>0</v>
      </c>
      <c r="CQ71" s="20" t="n">
        <f aca="false">RO70</f>
        <v>0</v>
      </c>
      <c r="CR71" s="20" t="n">
        <f aca="false">CO71*MIN(Slot8_Cost,CQ71)</f>
        <v>0</v>
      </c>
      <c r="CS71" s="20" t="n">
        <f aca="false">CO71*Slot8_SpendLike*MIN(Slot8_Cost-CR71,CK71)</f>
        <v>0</v>
      </c>
      <c r="CT71" s="20" t="n">
        <f aca="false">CR71+CS71</f>
        <v>0</v>
      </c>
      <c r="CU71" s="20" t="n">
        <f aca="false">CK71-CS71+CO71*IF(Slot8_SpendLike=1,CQ71-CR71,IF(Slot8_PotFree=1,CQ71,0))</f>
        <v>0</v>
      </c>
      <c r="CV71" s="20" t="n">
        <f aca="false">CL71+CO71*Slot8_BufPot*CQ71</f>
        <v>0</v>
      </c>
      <c r="CW71" s="20" t="n">
        <f aca="false">IF(AND(CO71=1,Slot8_IsMfree=1),IF(CT71&gt;=Slot8_Cost-1,0,MAX(0,CM71-CT71)),CM71)</f>
        <v>0</v>
      </c>
      <c r="CX71" s="20" t="n">
        <f aca="false">CO71*(Slot8_Cost-CT71)</f>
        <v>0</v>
      </c>
      <c r="CY71" s="20" t="n">
        <f aca="false">IF(AND(Slot9_On=1,D71=Slot9_Age),1,0)</f>
        <v>0</v>
      </c>
      <c r="CZ71" s="20" t="n">
        <f aca="false">IF(AND(Slot9_On=1,Slot9_Age&gt;D71),1,0)</f>
        <v>0</v>
      </c>
      <c r="DA71" s="20" t="n">
        <f aca="false">RS70</f>
        <v>0</v>
      </c>
      <c r="DB71" s="20" t="n">
        <f aca="false">CY71*MIN(Slot9_Cost,DA71)</f>
        <v>0</v>
      </c>
      <c r="DC71" s="20" t="n">
        <f aca="false">CY71*Slot9_SpendLike*MIN(Slot9_Cost-DB71,CU71)</f>
        <v>0</v>
      </c>
      <c r="DD71" s="20" t="n">
        <f aca="false">DB71+DC71</f>
        <v>0</v>
      </c>
      <c r="DE71" s="20" t="n">
        <f aca="false">CU71-DC71+CY71*IF(Slot9_SpendLike=1,DA71-DB71,IF(Slot9_PotFree=1,DA71,0))</f>
        <v>0</v>
      </c>
      <c r="DF71" s="20" t="n">
        <f aca="false">CV71+CY71*Slot9_BufPot*DA71</f>
        <v>0</v>
      </c>
      <c r="DG71" s="20" t="n">
        <f aca="false">IF(AND(CY71=1,Slot9_IsMfree=1),IF(DD71&gt;=Slot9_Cost-1,0,MAX(0,CW71-DD71)),CW71)</f>
        <v>0</v>
      </c>
      <c r="DH71" s="20" t="n">
        <f aca="false">CY71*(Slot9_Cost-DD71)</f>
        <v>0</v>
      </c>
      <c r="DI71" s="20" t="n">
        <f aca="false">IF(AND(Slot10_On=1,D71=Slot10_Age),1,0)</f>
        <v>0</v>
      </c>
      <c r="DJ71" s="20" t="n">
        <f aca="false">IF(AND(Slot10_On=1,Slot10_Age&gt;D71),1,0)</f>
        <v>0</v>
      </c>
      <c r="DK71" s="20" t="n">
        <f aca="false">RW70</f>
        <v>0</v>
      </c>
      <c r="DL71" s="20" t="n">
        <f aca="false">DI71*MIN(Slot10_Cost,DK71)</f>
        <v>0</v>
      </c>
      <c r="DM71" s="20" t="n">
        <f aca="false">DI71*Slot10_SpendLike*MIN(Slot10_Cost-DL71,DE71)</f>
        <v>0</v>
      </c>
      <c r="DN71" s="20" t="n">
        <f aca="false">DL71+DM71</f>
        <v>0</v>
      </c>
      <c r="DO71" s="20" t="n">
        <f aca="false">DE71-DM71+DI71*IF(Slot10_SpendLike=1,DK71-DL71,IF(Slot10_PotFree=1,DK71,0))</f>
        <v>0</v>
      </c>
      <c r="DP71" s="20" t="n">
        <f aca="false">DF71+DI71*Slot10_BufPot*DK71</f>
        <v>0</v>
      </c>
      <c r="DQ71" s="20" t="n">
        <f aca="false">IF(AND(DI71=1,Slot10_IsMfree=1),IF(DN71&gt;=Slot10_Cost-1,0,MAX(0,DG71-DN71)),DG71)</f>
        <v>0</v>
      </c>
      <c r="DR71" s="20" t="n">
        <f aca="false">DI71*(Slot10_Cost-DN71)</f>
        <v>0</v>
      </c>
      <c r="DS71" s="20" t="n">
        <f aca="false">IF(AND(Slot11_On=1,D71=Slot11_Age),1,0)</f>
        <v>0</v>
      </c>
      <c r="DT71" s="20" t="n">
        <f aca="false">IF(AND(Slot11_On=1,Slot11_Age&gt;D71),1,0)</f>
        <v>0</v>
      </c>
      <c r="DU71" s="20" t="n">
        <f aca="false">SA70</f>
        <v>0</v>
      </c>
      <c r="DV71" s="20" t="n">
        <f aca="false">DS71*MIN(Slot11_Cost,DU71)</f>
        <v>0</v>
      </c>
      <c r="DW71" s="20" t="n">
        <f aca="false">DS71*Slot11_SpendLike*MIN(Slot11_Cost-DV71,DO71)</f>
        <v>0</v>
      </c>
      <c r="DX71" s="20" t="n">
        <f aca="false">DV71+DW71</f>
        <v>0</v>
      </c>
      <c r="DY71" s="20" t="n">
        <f aca="false">DO71-DW71+DS71*IF(Slot11_SpendLike=1,DU71-DV71,IF(Slot11_PotFree=1,DU71,0))</f>
        <v>0</v>
      </c>
      <c r="DZ71" s="20" t="n">
        <f aca="false">DP71+DS71*Slot11_BufPot*DU71</f>
        <v>0</v>
      </c>
      <c r="EA71" s="20" t="n">
        <f aca="false">IF(AND(DS71=1,Slot11_IsMfree=1),IF(DX71&gt;=Slot11_Cost-1,0,MAX(0,DQ71-DX71)),DQ71)</f>
        <v>0</v>
      </c>
      <c r="EB71" s="20" t="n">
        <f aca="false">DS71*(Slot11_Cost-DX71)</f>
        <v>0</v>
      </c>
      <c r="EC71" s="20" t="n">
        <f aca="false">IF(AND(Slot12_On=1,D71=Slot12_Age),1,0)</f>
        <v>0</v>
      </c>
      <c r="ED71" s="20" t="n">
        <f aca="false">IF(AND(Slot12_On=1,Slot12_Age&gt;D71),1,0)</f>
        <v>0</v>
      </c>
      <c r="EE71" s="20" t="n">
        <f aca="false">SE70</f>
        <v>0</v>
      </c>
      <c r="EF71" s="20" t="n">
        <f aca="false">EC71*MIN(Slot12_Cost,EE71)</f>
        <v>0</v>
      </c>
      <c r="EG71" s="20" t="n">
        <f aca="false">EC71*Slot12_SpendLike*MIN(Slot12_Cost-EF71,DY71)</f>
        <v>0</v>
      </c>
      <c r="EH71" s="20" t="n">
        <f aca="false">EF71+EG71</f>
        <v>0</v>
      </c>
      <c r="EI71" s="20" t="n">
        <f aca="false">DY71-EG71+EC71*IF(Slot12_SpendLike=1,EE71-EF71,IF(Slot12_PotFree=1,EE71,0))</f>
        <v>0</v>
      </c>
      <c r="EJ71" s="20" t="n">
        <f aca="false">DZ71+EC71*Slot12_BufPot*EE71</f>
        <v>0</v>
      </c>
      <c r="EK71" s="20" t="n">
        <f aca="false">IF(AND(EC71=1,Slot12_IsMfree=1),IF(EH71&gt;=Slot12_Cost-1,0,MAX(0,EA71-EH71)),EA71)</f>
        <v>0</v>
      </c>
      <c r="EL71" s="20" t="n">
        <f aca="false">EC71*(Slot12_Cost-EH71)</f>
        <v>0</v>
      </c>
      <c r="EM71" s="20" t="n">
        <f aca="false">IF(AND(Slot13_On=1,D71=Slot13_Age),1,0)</f>
        <v>0</v>
      </c>
      <c r="EN71" s="20" t="n">
        <f aca="false">IF(AND(Slot13_On=1,Slot13_Age&gt;D71),1,0)</f>
        <v>0</v>
      </c>
      <c r="EO71" s="20" t="n">
        <f aca="false">SI70</f>
        <v>0</v>
      </c>
      <c r="EP71" s="20" t="n">
        <f aca="false">EM71*MIN(Slot13_Cost,EO71)</f>
        <v>0</v>
      </c>
      <c r="EQ71" s="20" t="n">
        <f aca="false">EM71*Slot13_SpendLike*MIN(Slot13_Cost-EP71,EI71)</f>
        <v>0</v>
      </c>
      <c r="ER71" s="20" t="n">
        <f aca="false">EP71+EQ71</f>
        <v>0</v>
      </c>
      <c r="ES71" s="20" t="n">
        <f aca="false">EI71-EQ71+EM71*IF(Slot13_SpendLike=1,EO71-EP71,IF(Slot13_PotFree=1,EO71,0))</f>
        <v>0</v>
      </c>
      <c r="ET71" s="20" t="n">
        <f aca="false">EJ71+EM71*Slot13_BufPot*EO71</f>
        <v>0</v>
      </c>
      <c r="EU71" s="20" t="n">
        <f aca="false">IF(AND(EM71=1,Slot13_IsMfree=1),IF(ER71&gt;=Slot13_Cost-1,0,MAX(0,EK71-ER71)),EK71)</f>
        <v>0</v>
      </c>
      <c r="EV71" s="20" t="n">
        <f aca="false">EM71*(Slot13_Cost-ER71)</f>
        <v>0</v>
      </c>
      <c r="EW71" s="20" t="n">
        <f aca="false">IF(AND(Slot14_On=1,D71=Slot14_Age),1,0)</f>
        <v>0</v>
      </c>
      <c r="EX71" s="20" t="n">
        <f aca="false">IF(AND(Slot14_On=1,Slot14_Age&gt;D71),1,0)</f>
        <v>0</v>
      </c>
      <c r="EY71" s="20" t="n">
        <f aca="false">SM70</f>
        <v>0</v>
      </c>
      <c r="EZ71" s="20" t="n">
        <f aca="false">EW71*MIN(Slot14_Cost,EY71)</f>
        <v>0</v>
      </c>
      <c r="FA71" s="20" t="n">
        <f aca="false">EW71*Slot14_SpendLike*MIN(Slot14_Cost-EZ71,ES71)</f>
        <v>0</v>
      </c>
      <c r="FB71" s="20" t="n">
        <f aca="false">EZ71+FA71</f>
        <v>0</v>
      </c>
      <c r="FC71" s="20" t="n">
        <f aca="false">ES71-FA71+EW71*IF(Slot14_SpendLike=1,EY71-EZ71,IF(Slot14_PotFree=1,EY71,0))</f>
        <v>0</v>
      </c>
      <c r="FD71" s="20" t="n">
        <f aca="false">ET71+EW71*Slot14_BufPot*EY71</f>
        <v>0</v>
      </c>
      <c r="FE71" s="20" t="n">
        <f aca="false">IF(AND(EW71=1,Slot14_IsMfree=1),IF(FB71&gt;=Slot14_Cost-1,0,MAX(0,EU71-FB71)),EU71)</f>
        <v>0</v>
      </c>
      <c r="FF71" s="20" t="n">
        <f aca="false">EW71*(Slot14_Cost-FB71)</f>
        <v>0</v>
      </c>
      <c r="FG71" s="20" t="n">
        <f aca="false">IF(AND(Slot15_On=1,D71=Slot15_Age),1,0)</f>
        <v>0</v>
      </c>
      <c r="FH71" s="20" t="n">
        <f aca="false">IF(AND(Slot15_On=1,Slot15_Age&gt;D71),1,0)</f>
        <v>0</v>
      </c>
      <c r="FI71" s="20" t="n">
        <f aca="false">SQ70</f>
        <v>0</v>
      </c>
      <c r="FJ71" s="20" t="n">
        <f aca="false">FG71*MIN(Slot15_Cost,FI71)</f>
        <v>0</v>
      </c>
      <c r="FK71" s="20" t="n">
        <f aca="false">FG71*Slot15_SpendLike*MIN(Slot15_Cost-FJ71,FC71)</f>
        <v>0</v>
      </c>
      <c r="FL71" s="20" t="n">
        <f aca="false">FJ71+FK71</f>
        <v>0</v>
      </c>
      <c r="FM71" s="20" t="n">
        <f aca="false">FC71-FK71+FG71*IF(Slot15_SpendLike=1,FI71-FJ71,IF(Slot15_PotFree=1,FI71,0))</f>
        <v>0</v>
      </c>
      <c r="FN71" s="20" t="n">
        <f aca="false">FD71+FG71*Slot15_BufPot*FI71</f>
        <v>0</v>
      </c>
      <c r="FO71" s="20" t="n">
        <f aca="false">IF(AND(FG71=1,Slot15_IsMfree=1),IF(FL71&gt;=Slot15_Cost-1,0,MAX(0,FE71-FL71)),FE71)</f>
        <v>0</v>
      </c>
      <c r="FP71" s="20" t="n">
        <f aca="false">FG71*(Slot15_Cost-FL71)</f>
        <v>0</v>
      </c>
      <c r="FQ71" s="20" t="n">
        <f aca="false">IF(AND(Slot16_On=1,D71=Slot16_Age),1,0)</f>
        <v>0</v>
      </c>
      <c r="FR71" s="20" t="n">
        <f aca="false">IF(AND(Slot16_On=1,Slot16_Age&gt;D71),1,0)</f>
        <v>0</v>
      </c>
      <c r="FS71" s="20" t="n">
        <f aca="false">SU70</f>
        <v>0</v>
      </c>
      <c r="FT71" s="20" t="n">
        <f aca="false">FQ71*MIN(Slot16_Cost,FS71)</f>
        <v>0</v>
      </c>
      <c r="FU71" s="20" t="n">
        <f aca="false">FQ71*Slot16_SpendLike*MIN(Slot16_Cost-FT71,FM71)</f>
        <v>0</v>
      </c>
      <c r="FV71" s="20" t="n">
        <f aca="false">FT71+FU71</f>
        <v>0</v>
      </c>
      <c r="FW71" s="20" t="n">
        <f aca="false">FM71-FU71+FQ71*IF(Slot16_SpendLike=1,FS71-FT71,IF(Slot16_PotFree=1,FS71,0))</f>
        <v>0</v>
      </c>
      <c r="FX71" s="20" t="n">
        <f aca="false">FN71+FQ71*Slot16_BufPot*FS71</f>
        <v>0</v>
      </c>
      <c r="FY71" s="20" t="n">
        <f aca="false">IF(AND(FQ71=1,Slot16_IsMfree=1),IF(FV71&gt;=Slot16_Cost-1,0,MAX(0,FO71-FV71)),FO71)</f>
        <v>0</v>
      </c>
      <c r="FZ71" s="20" t="n">
        <f aca="false">FQ71*(Slot16_Cost-FV71)</f>
        <v>0</v>
      </c>
      <c r="GA71" s="20" t="n">
        <f aca="false">IF(AND(Slot17_On=1,D71=Slot17_Age),1,0)</f>
        <v>0</v>
      </c>
      <c r="GB71" s="20" t="n">
        <f aca="false">IF(AND(Slot17_On=1,Slot17_Age&gt;D71),1,0)</f>
        <v>0</v>
      </c>
      <c r="GC71" s="20" t="n">
        <f aca="false">SY70</f>
        <v>0</v>
      </c>
      <c r="GD71" s="20" t="n">
        <f aca="false">GA71*MIN(Slot17_Cost,GC71)</f>
        <v>0</v>
      </c>
      <c r="GE71" s="20" t="n">
        <f aca="false">GA71*Slot17_SpendLike*MIN(Slot17_Cost-GD71,FW71)</f>
        <v>0</v>
      </c>
      <c r="GF71" s="20" t="n">
        <f aca="false">GD71+GE71</f>
        <v>0</v>
      </c>
      <c r="GG71" s="20" t="n">
        <f aca="false">FW71-GE71+GA71*IF(Slot17_SpendLike=1,GC71-GD71,IF(Slot17_PotFree=1,GC71,0))</f>
        <v>0</v>
      </c>
      <c r="GH71" s="20" t="n">
        <f aca="false">FX71+GA71*Slot17_BufPot*GC71</f>
        <v>0</v>
      </c>
      <c r="GI71" s="20" t="n">
        <f aca="false">IF(AND(GA71=1,Slot17_IsMfree=1),IF(GF71&gt;=Slot17_Cost-1,0,MAX(0,FY71-GF71)),FY71)</f>
        <v>0</v>
      </c>
      <c r="GJ71" s="20" t="n">
        <f aca="false">GA71*(Slot17_Cost-GF71)</f>
        <v>0</v>
      </c>
      <c r="GK71" s="20" t="n">
        <f aca="false">IF(AND(Slot18_On=1,D71=Slot18_Age),1,0)</f>
        <v>0</v>
      </c>
      <c r="GL71" s="20" t="n">
        <f aca="false">IF(AND(Slot18_On=1,Slot18_Age&gt;D71),1,0)</f>
        <v>0</v>
      </c>
      <c r="GM71" s="20" t="n">
        <f aca="false">TC70</f>
        <v>0</v>
      </c>
      <c r="GN71" s="20" t="n">
        <f aca="false">GK71*MIN(Slot18_Cost,GM71)</f>
        <v>0</v>
      </c>
      <c r="GO71" s="20" t="n">
        <f aca="false">GK71*Slot18_SpendLike*MIN(Slot18_Cost-GN71,GG71)</f>
        <v>0</v>
      </c>
      <c r="GP71" s="20" t="n">
        <f aca="false">GN71+GO71</f>
        <v>0</v>
      </c>
      <c r="GQ71" s="20" t="n">
        <f aca="false">GG71-GO71+GK71*IF(Slot18_SpendLike=1,GM71-GN71,IF(Slot18_PotFree=1,GM71,0))</f>
        <v>0</v>
      </c>
      <c r="GR71" s="20" t="n">
        <f aca="false">GH71+GK71*Slot18_BufPot*GM71</f>
        <v>0</v>
      </c>
      <c r="GS71" s="20" t="n">
        <f aca="false">IF(AND(GK71=1,Slot18_IsMfree=1),IF(GP71&gt;=Slot18_Cost-1,0,MAX(0,GI71-GP71)),GI71)</f>
        <v>0</v>
      </c>
      <c r="GT71" s="20" t="n">
        <f aca="false">GK71*(Slot18_Cost-GP71)</f>
        <v>0</v>
      </c>
      <c r="GU71" s="20" t="n">
        <f aca="false">IF(AND(Slot19_On=1,D71=Slot19_Age),1,0)</f>
        <v>0</v>
      </c>
      <c r="GV71" s="20" t="n">
        <f aca="false">IF(AND(Slot19_On=1,Slot19_Age&gt;D71),1,0)</f>
        <v>0</v>
      </c>
      <c r="GW71" s="20" t="n">
        <f aca="false">TG70</f>
        <v>0</v>
      </c>
      <c r="GX71" s="20" t="n">
        <f aca="false">GU71*MIN(Slot19_Cost,GW71)</f>
        <v>0</v>
      </c>
      <c r="GY71" s="20" t="n">
        <f aca="false">GU71*Slot19_SpendLike*MIN(Slot19_Cost-GX71,GQ71)</f>
        <v>0</v>
      </c>
      <c r="GZ71" s="20" t="n">
        <f aca="false">GX71+GY71</f>
        <v>0</v>
      </c>
      <c r="HA71" s="20" t="n">
        <f aca="false">GQ71-GY71+GU71*IF(Slot19_SpendLike=1,GW71-GX71,IF(Slot19_PotFree=1,GW71,0))</f>
        <v>0</v>
      </c>
      <c r="HB71" s="20" t="n">
        <f aca="false">GR71+GU71*Slot19_BufPot*GW71</f>
        <v>0</v>
      </c>
      <c r="HC71" s="20" t="n">
        <f aca="false">IF(AND(GU71=1,Slot19_IsMfree=1),IF(GZ71&gt;=Slot19_Cost-1,0,MAX(0,GS71-GZ71)),GS71)</f>
        <v>0</v>
      </c>
      <c r="HD71" s="20" t="n">
        <f aca="false">GU71*(Slot19_Cost-GZ71)</f>
        <v>0</v>
      </c>
      <c r="HE71" s="20" t="n">
        <f aca="false">IF(AND(Slot20_On=1,D71=Slot20_Age),1,0)</f>
        <v>0</v>
      </c>
      <c r="HF71" s="20" t="n">
        <f aca="false">IF(AND(Slot20_On=1,Slot20_Age&gt;D71),1,0)</f>
        <v>0</v>
      </c>
      <c r="HG71" s="20" t="n">
        <f aca="false">TK70</f>
        <v>0</v>
      </c>
      <c r="HH71" s="20" t="n">
        <f aca="false">HE71*MIN(Slot20_Cost,HG71)</f>
        <v>0</v>
      </c>
      <c r="HI71" s="20" t="n">
        <f aca="false">HE71*Slot20_SpendLike*MIN(Slot20_Cost-HH71,HA71)</f>
        <v>0</v>
      </c>
      <c r="HJ71" s="20" t="n">
        <f aca="false">HH71+HI71</f>
        <v>0</v>
      </c>
      <c r="HK71" s="20" t="n">
        <f aca="false">HA71-HI71+HE71*IF(Slot20_SpendLike=1,HG71-HH71,IF(Slot20_PotFree=1,HG71,0))</f>
        <v>0</v>
      </c>
      <c r="HL71" s="20" t="n">
        <f aca="false">HB71+HE71*Slot20_BufPot*HG71</f>
        <v>0</v>
      </c>
      <c r="HM71" s="20" t="n">
        <f aca="false">IF(AND(HE71=1,Slot20_IsMfree=1),IF(HJ71&gt;=Slot20_Cost-1,0,MAX(0,HC71-HJ71)),HC71)</f>
        <v>0</v>
      </c>
      <c r="HN71" s="20" t="n">
        <f aca="false">HE71*(Slot20_Cost-HJ71)</f>
        <v>0</v>
      </c>
      <c r="HO71" s="20" t="n">
        <f aca="false">V71*Slot1_SpendLike*AA71+AG71*Slot2_SpendLike*AL71+AQ71*Slot3_SpendLike*AV71+BA71*Slot4_SpendLike*BF71+BK71*Slot5_SpendLike*BP71+BU71*Slot6_SpendLike*BZ71+CE71*Slot7_SpendLike*CJ71+CO71*Slot8_SpendLike*CT71+CY71*Slot9_SpendLike*DD71+DI71*Slot10_SpendLike*DN71+DS71*Slot11_SpendLike*DX71+EC71*Slot12_SpendLike*EH71+EM71*Slot13_SpendLike*ER71+EW71*Slot14_SpendLike*FB71+FG71*Slot15_SpendLike*FL71+FQ71*Slot16_SpendLike*FV71+GA71*Slot17_SpendLike*GF71+GK71*Slot18_SpendLike*GP71+GU71*Slot19_SpendLike*GZ71+HE71*Slot20_SpendLike*HJ71</f>
        <v>0</v>
      </c>
      <c r="HP71" s="20" t="n">
        <f aca="false">AE71+AP71+AZ71+BJ71+BT71+CD71+CN71+CX71+DH71+DR71+EB71+EL71+EV71+FF71+FP71+FZ71+GJ71+GT71+HD71+HN71</f>
        <v>0</v>
      </c>
      <c r="HQ71" s="20" t="n">
        <f aca="false">V71*Slot1_Cost+AG71*Slot2_Cost+AQ71*Slot3_Cost+BA71*Slot4_Cost+BK71*Slot5_Cost+BU71*Slot6_Cost+CE71*Slot7_Cost+CO71*Slot8_Cost+CY71*Slot9_Cost+DI71*Slot10_Cost+DS71*Slot11_Cost+EC71*Slot12_Cost+EM71*Slot13_Cost+EW71*Slot14_Cost+FG71*Slot15_Cost+FQ71*Slot16_Cost+GA71*Slot17_Cost+GK71*Slot18_Cost+GU71*Slot19_Cost+HE71*Slot20_Cost</f>
        <v>0</v>
      </c>
      <c r="HR71" s="20" t="n">
        <f aca="false">HM71</f>
        <v>0</v>
      </c>
      <c r="HS71" s="20" t="n">
        <f aca="false">H71-I71-S71</f>
        <v>-67079.7687335447</v>
      </c>
      <c r="HT71" s="20" t="n">
        <f aca="false">IF(B71=0,IF(AND(Has_q6=1,In_q6=4),PR_ShareVaries*(MAX(0,HS71)/12),MIN(IF(Has_q6=1,CHOOSE(In_q6+1,PR_SaveB1,PR_SaveB2,PR_SaveB3,PR_SaveB4,0),AS_NoAnswer),AS_SaveShare*(MAX(0,HS71)/12))),HT70)</f>
        <v>67.3316893520437</v>
      </c>
      <c r="HU71" s="20" t="n">
        <f aca="false">IF(HS71&gt;=0,1,0)</f>
        <v>0</v>
      </c>
      <c r="HV71" s="20" t="n">
        <f aca="false">MAX(0,HS71/12/F71)</f>
        <v>0</v>
      </c>
      <c r="HW71" s="20" t="n">
        <f aca="false">IF(AND(Has_q6=1,In_q6=4),PR_ShareVaries*(HV71),MIN(IF(Has_q6=1,CHOOSE(In_q6+1,PR_SaveB1,PR_SaveB2,PR_SaveB3,PR_SaveB4,0),AS_NoAnswer),AS_SaveShare*(HV71)))</f>
        <v>0</v>
      </c>
      <c r="HX71" s="20" t="n">
        <f aca="false">IF(Has_saveM=1,IF(In_saveUp="Yes",1,IF(In_saveUp="No",0,IF(In_saveM&gt;=HT71-0.5,1,0))),0)</f>
        <v>0</v>
      </c>
      <c r="HY71" s="20" t="n">
        <f aca="false">IF(Has_saveM=1,MIN(HV71,IF(HX71=1,MAX(In_saveM,HW71),MIN(In_saveM,HW71))),HW71)</f>
        <v>0</v>
      </c>
      <c r="HZ71" s="20" t="n">
        <f aca="false">IF(G71=1,HY71*12*F71,0)</f>
        <v>0</v>
      </c>
      <c r="IA71" s="20" t="n">
        <f aca="false">MAX(0,HZ71+IF(AND(WI_Retire=0,WI_M&lt;0,G71=1),WI_M*12*F71,0))</f>
        <v>0</v>
      </c>
      <c r="IB71" s="20" t="n">
        <f aca="false">Slot1_IsWG*W71+Slot2_IsWG*AH71+Slot3_IsWG*AR71+Slot4_IsWG*BB71+Slot5_IsWG*BL71+Slot6_IsWG*BV71+Slot7_IsWG*CF71+Slot8_IsWG*CP71+Slot9_IsWG*CZ71+Slot10_IsWG*DJ71+Slot11_IsWG*DT71+Slot12_IsWG*ED71+Slot13_IsWG*EN71+Slot14_IsWG*EX71+Slot15_IsWG*FH71+Slot16_IsWG*FR71+Slot17_IsWG*GB71+Slot18_IsWG*GL71+Slot19_IsWG*GV71+Slot20_IsWG*HF71</f>
        <v>0</v>
      </c>
      <c r="IC71" s="20" t="n">
        <f aca="false">IF(AND(WI_Retire=0,WI_M&gt;0,G71=1,IB71&gt;=1),WI_M*12*F71,0)</f>
        <v>0</v>
      </c>
      <c r="ID71" s="20" t="n">
        <f aca="false">IF(HU71=1,MIN(IA71,HS71),0)</f>
        <v>0</v>
      </c>
      <c r="IE71" s="20" t="n">
        <f aca="false">IF(HU71=1,MIN(IC71,HS71-ID71),0)</f>
        <v>0</v>
      </c>
      <c r="IF71" s="20" t="n">
        <f aca="false">IF(W71=1,IF(ABS((1+AS_Wage)/(1+Slot1_Rate)-1)&lt;0.000000000001,(Slot1_Age-D71)*(1+Slot1_Rate)^(Slot1_Age-D71),(1+Slot1_Rate)^(Slot1_Age-D71)*(1-((1+AS_Wage)/(1+Slot1_Rate))^(Slot1_Age-D71))/(1-(1+AS_Wage)/(1+Slot1_Rate))),1)</f>
        <v>1</v>
      </c>
      <c r="IG71" s="20" t="n">
        <f aca="false">IF(AND(HU71=1,IE71&gt;0,Slot1_IsWG=1,W71=1),MAX(0,(Slot1_Cost-X71*(1+Slot1_Rate)^(Slot1_Age-D71))/IF71),0)</f>
        <v>0</v>
      </c>
      <c r="IH71" s="20" t="n">
        <f aca="false">IF(AND(HU71=1,IE71&gt;0,Slot1_IsWG=1,W71=1),MIN(IE71,IG71),0)</f>
        <v>0</v>
      </c>
      <c r="II71" s="20" t="n">
        <f aca="false">X71+IH71</f>
        <v>0</v>
      </c>
      <c r="IJ71" s="20" t="n">
        <f aca="false">IF(W71=1,MAX(0,(Slot1_Cost-II71*(1+Slot1_Rate)^(Slot1_Age-D71))/IF71),0)</f>
        <v>0</v>
      </c>
      <c r="IK71" s="20" t="n">
        <f aca="false">IF(W71=1,MAX(0,(Slot1_Cost-X71*(1+Slot1_Rate)^(Slot1_Age-D71))/IF71),0)</f>
        <v>0</v>
      </c>
      <c r="IL71" s="20" t="n">
        <f aca="false">IF(AND(HU71=1,W71=1),MIN(ID71,IJ71),0)</f>
        <v>0</v>
      </c>
      <c r="IM71" s="20" t="n">
        <f aca="false">ID71-IL71</f>
        <v>0</v>
      </c>
      <c r="IN71" s="20" t="n">
        <f aca="false">IF(AH71=1,IF(ABS((1+AS_Wage)/(1+Slot2_Rate)-1)&lt;0.000000000001,(Slot2_Age-D71)*(1+Slot2_Rate)^(Slot2_Age-D71),(1+Slot2_Rate)^(Slot2_Age-D71)*(1-((1+AS_Wage)/(1+Slot2_Rate))^(Slot2_Age-D71))/(1-(1+AS_Wage)/(1+Slot2_Rate))),1)</f>
        <v>1</v>
      </c>
      <c r="IO71" s="20" t="n">
        <f aca="false">IF(AND(HU71=1,IE71&gt;0,Slot2_IsWG=1,AH71=1),MAX(0,(Slot2_Cost-AI71*(1+Slot2_Rate)^(Slot2_Age-D71))/IN71),0)</f>
        <v>0</v>
      </c>
      <c r="IP71" s="20" t="n">
        <f aca="false">IF(AND(HU71=1,IE71&gt;0,Slot2_IsWG=1,AH71=1),MIN(IE71,IO71),0)</f>
        <v>0</v>
      </c>
      <c r="IQ71" s="20" t="n">
        <f aca="false">AI71+IP71</f>
        <v>0</v>
      </c>
      <c r="IR71" s="20" t="n">
        <f aca="false">IF(AH71=1,MAX(0,(Slot2_Cost-IQ71*(1+Slot2_Rate)^(Slot2_Age-D71))/IN71),0)</f>
        <v>0</v>
      </c>
      <c r="IS71" s="20" t="n">
        <f aca="false">IF(AH71=1,MAX(0,(Slot2_Cost-AI71*(1+Slot2_Rate)^(Slot2_Age-D71))/IN71),0)</f>
        <v>0</v>
      </c>
      <c r="IT71" s="20" t="n">
        <f aca="false">IF(AND(HU71=1,AH71=1),MIN(IM71,IR71),0)</f>
        <v>0</v>
      </c>
      <c r="IU71" s="20" t="n">
        <f aca="false">IM71-IT71</f>
        <v>0</v>
      </c>
      <c r="IV71" s="20" t="n">
        <f aca="false">IF(AR71=1,IF(ABS((1+AS_Wage)/(1+Slot3_Rate)-1)&lt;0.000000000001,(Slot3_Age-D71)*(1+Slot3_Rate)^(Slot3_Age-D71),(1+Slot3_Rate)^(Slot3_Age-D71)*(1-((1+AS_Wage)/(1+Slot3_Rate))^(Slot3_Age-D71))/(1-(1+AS_Wage)/(1+Slot3_Rate))),1)</f>
        <v>1</v>
      </c>
      <c r="IW71" s="20" t="n">
        <f aca="false">IF(AND(HU71=1,IE71&gt;0,Slot3_IsWG=1,AR71=1),MAX(0,(Slot3_Cost-AS71*(1+Slot3_Rate)^(Slot3_Age-D71))/IV71),0)</f>
        <v>0</v>
      </c>
      <c r="IX71" s="20" t="n">
        <f aca="false">IF(AND(HU71=1,IE71&gt;0,Slot3_IsWG=1,AR71=1),MIN(IE71,IW71),0)</f>
        <v>0</v>
      </c>
      <c r="IY71" s="20" t="n">
        <f aca="false">AS71+IX71</f>
        <v>0</v>
      </c>
      <c r="IZ71" s="20" t="n">
        <f aca="false">IF(AR71=1,MAX(0,(Slot3_Cost-IY71*(1+Slot3_Rate)^(Slot3_Age-D71))/IV71),0)</f>
        <v>0</v>
      </c>
      <c r="JA71" s="20" t="n">
        <f aca="false">IF(AR71=1,MAX(0,(Slot3_Cost-AS71*(1+Slot3_Rate)^(Slot3_Age-D71))/IV71),0)</f>
        <v>0</v>
      </c>
      <c r="JB71" s="20" t="n">
        <f aca="false">IF(AND(HU71=1,AR71=1),MIN(IU71,IZ71),0)</f>
        <v>0</v>
      </c>
      <c r="JC71" s="20" t="n">
        <f aca="false">IU71-JB71</f>
        <v>0</v>
      </c>
      <c r="JD71" s="20" t="n">
        <f aca="false">IF(BB71=1,IF(ABS((1+AS_Wage)/(1+Slot4_Rate)-1)&lt;0.000000000001,(Slot4_Age-D71)*(1+Slot4_Rate)^(Slot4_Age-D71),(1+Slot4_Rate)^(Slot4_Age-D71)*(1-((1+AS_Wage)/(1+Slot4_Rate))^(Slot4_Age-D71))/(1-(1+AS_Wage)/(1+Slot4_Rate))),1)</f>
        <v>1</v>
      </c>
      <c r="JE71" s="20" t="n">
        <f aca="false">IF(AND(HU71=1,IE71&gt;0,Slot4_IsWG=1,BB71=1),MAX(0,(Slot4_Cost-BC71*(1+Slot4_Rate)^(Slot4_Age-D71))/JD71),0)</f>
        <v>0</v>
      </c>
      <c r="JF71" s="20" t="n">
        <f aca="false">IF(AND(HU71=1,IE71&gt;0,Slot4_IsWG=1,BB71=1),MIN(IE71,JE71),0)</f>
        <v>0</v>
      </c>
      <c r="JG71" s="20" t="n">
        <f aca="false">BC71+JF71</f>
        <v>0</v>
      </c>
      <c r="JH71" s="20" t="n">
        <f aca="false">IF(BB71=1,MAX(0,(Slot4_Cost-JG71*(1+Slot4_Rate)^(Slot4_Age-D71))/JD71),0)</f>
        <v>0</v>
      </c>
      <c r="JI71" s="20" t="n">
        <f aca="false">IF(BB71=1,MAX(0,(Slot4_Cost-BC71*(1+Slot4_Rate)^(Slot4_Age-D71))/JD71),0)</f>
        <v>0</v>
      </c>
      <c r="JJ71" s="20" t="n">
        <f aca="false">IF(AND(HU71=1,BB71=1),MIN(JC71,JH71),0)</f>
        <v>0</v>
      </c>
      <c r="JK71" s="20" t="n">
        <f aca="false">JC71-JJ71</f>
        <v>0</v>
      </c>
      <c r="JL71" s="20" t="n">
        <f aca="false">IF(BL71=1,IF(ABS((1+AS_Wage)/(1+Slot5_Rate)-1)&lt;0.000000000001,(Slot5_Age-D71)*(1+Slot5_Rate)^(Slot5_Age-D71),(1+Slot5_Rate)^(Slot5_Age-D71)*(1-((1+AS_Wage)/(1+Slot5_Rate))^(Slot5_Age-D71))/(1-(1+AS_Wage)/(1+Slot5_Rate))),1)</f>
        <v>1</v>
      </c>
      <c r="JM71" s="20" t="n">
        <f aca="false">IF(AND(HU71=1,IE71&gt;0,Slot5_IsWG=1,BL71=1),MAX(0,(Slot5_Cost-BM71*(1+Slot5_Rate)^(Slot5_Age-D71))/JL71),0)</f>
        <v>0</v>
      </c>
      <c r="JN71" s="20" t="n">
        <f aca="false">IF(AND(HU71=1,IE71&gt;0,Slot5_IsWG=1,BL71=1),MIN(IE71,JM71),0)</f>
        <v>0</v>
      </c>
      <c r="JO71" s="20" t="n">
        <f aca="false">BM71+JN71</f>
        <v>0</v>
      </c>
      <c r="JP71" s="20" t="n">
        <f aca="false">IF(BL71=1,MAX(0,(Slot5_Cost-JO71*(1+Slot5_Rate)^(Slot5_Age-D71))/JL71),0)</f>
        <v>0</v>
      </c>
      <c r="JQ71" s="20" t="n">
        <f aca="false">IF(BL71=1,MAX(0,(Slot5_Cost-BM71*(1+Slot5_Rate)^(Slot5_Age-D71))/JL71),0)</f>
        <v>0</v>
      </c>
      <c r="JR71" s="20" t="n">
        <f aca="false">IF(AND(HU71=1,BL71=1),MIN(JK71,JP71),0)</f>
        <v>0</v>
      </c>
      <c r="JS71" s="20" t="n">
        <f aca="false">JK71-JR71</f>
        <v>0</v>
      </c>
      <c r="JT71" s="20" t="n">
        <f aca="false">IF(BV71=1,IF(ABS((1+AS_Wage)/(1+Slot6_Rate)-1)&lt;0.000000000001,(Slot6_Age-D71)*(1+Slot6_Rate)^(Slot6_Age-D71),(1+Slot6_Rate)^(Slot6_Age-D71)*(1-((1+AS_Wage)/(1+Slot6_Rate))^(Slot6_Age-D71))/(1-(1+AS_Wage)/(1+Slot6_Rate))),1)</f>
        <v>1</v>
      </c>
      <c r="JU71" s="20" t="n">
        <f aca="false">IF(AND(HU71=1,IE71&gt;0,Slot6_IsWG=1,BV71=1),MAX(0,(Slot6_Cost-BW71*(1+Slot6_Rate)^(Slot6_Age-D71))/JT71),0)</f>
        <v>0</v>
      </c>
      <c r="JV71" s="20" t="n">
        <f aca="false">IF(AND(HU71=1,IE71&gt;0,Slot6_IsWG=1,BV71=1),MIN(IE71,JU71),0)</f>
        <v>0</v>
      </c>
      <c r="JW71" s="20" t="n">
        <f aca="false">BW71+JV71</f>
        <v>0</v>
      </c>
      <c r="JX71" s="20" t="n">
        <f aca="false">IF(BV71=1,MAX(0,(Slot6_Cost-JW71*(1+Slot6_Rate)^(Slot6_Age-D71))/JT71),0)</f>
        <v>0</v>
      </c>
      <c r="JY71" s="20" t="n">
        <f aca="false">IF(BV71=1,MAX(0,(Slot6_Cost-BW71*(1+Slot6_Rate)^(Slot6_Age-D71))/JT71),0)</f>
        <v>0</v>
      </c>
      <c r="JZ71" s="20" t="n">
        <f aca="false">IF(AND(HU71=1,BV71=1),MIN(JS71,JX71),0)</f>
        <v>0</v>
      </c>
      <c r="KA71" s="20" t="n">
        <f aca="false">JS71-JZ71</f>
        <v>0</v>
      </c>
      <c r="KB71" s="20" t="n">
        <f aca="false">IF(CF71=1,IF(ABS((1+AS_Wage)/(1+Slot7_Rate)-1)&lt;0.000000000001,(Slot7_Age-D71)*(1+Slot7_Rate)^(Slot7_Age-D71),(1+Slot7_Rate)^(Slot7_Age-D71)*(1-((1+AS_Wage)/(1+Slot7_Rate))^(Slot7_Age-D71))/(1-(1+AS_Wage)/(1+Slot7_Rate))),1)</f>
        <v>1</v>
      </c>
      <c r="KC71" s="20" t="n">
        <f aca="false">IF(AND(HU71=1,IE71&gt;0,Slot7_IsWG=1,CF71=1),MAX(0,(Slot7_Cost-CG71*(1+Slot7_Rate)^(Slot7_Age-D71))/KB71),0)</f>
        <v>0</v>
      </c>
      <c r="KD71" s="20" t="n">
        <f aca="false">IF(AND(HU71=1,IE71&gt;0,Slot7_IsWG=1,CF71=1),MIN(IE71,KC71),0)</f>
        <v>0</v>
      </c>
      <c r="KE71" s="20" t="n">
        <f aca="false">CG71+KD71</f>
        <v>0</v>
      </c>
      <c r="KF71" s="20" t="n">
        <f aca="false">IF(CF71=1,MAX(0,(Slot7_Cost-KE71*(1+Slot7_Rate)^(Slot7_Age-D71))/KB71),0)</f>
        <v>0</v>
      </c>
      <c r="KG71" s="20" t="n">
        <f aca="false">IF(CF71=1,MAX(0,(Slot7_Cost-CG71*(1+Slot7_Rate)^(Slot7_Age-D71))/KB71),0)</f>
        <v>0</v>
      </c>
      <c r="KH71" s="20" t="n">
        <f aca="false">IF(AND(HU71=1,CF71=1),MIN(KA71,KF71),0)</f>
        <v>0</v>
      </c>
      <c r="KI71" s="20" t="n">
        <f aca="false">KA71-KH71</f>
        <v>0</v>
      </c>
      <c r="KJ71" s="20" t="n">
        <f aca="false">IF(CP71=1,IF(ABS((1+AS_Wage)/(1+Slot8_Rate)-1)&lt;0.000000000001,(Slot8_Age-D71)*(1+Slot8_Rate)^(Slot8_Age-D71),(1+Slot8_Rate)^(Slot8_Age-D71)*(1-((1+AS_Wage)/(1+Slot8_Rate))^(Slot8_Age-D71))/(1-(1+AS_Wage)/(1+Slot8_Rate))),1)</f>
        <v>1</v>
      </c>
      <c r="KK71" s="20" t="n">
        <f aca="false">IF(AND(HU71=1,IE71&gt;0,Slot8_IsWG=1,CP71=1),MAX(0,(Slot8_Cost-CQ71*(1+Slot8_Rate)^(Slot8_Age-D71))/KJ71),0)</f>
        <v>0</v>
      </c>
      <c r="KL71" s="20" t="n">
        <f aca="false">IF(AND(HU71=1,IE71&gt;0,Slot8_IsWG=1,CP71=1),MIN(IE71,KK71),0)</f>
        <v>0</v>
      </c>
      <c r="KM71" s="20" t="n">
        <f aca="false">CQ71+KL71</f>
        <v>0</v>
      </c>
      <c r="KN71" s="20" t="n">
        <f aca="false">IF(CP71=1,MAX(0,(Slot8_Cost-KM71*(1+Slot8_Rate)^(Slot8_Age-D71))/KJ71),0)</f>
        <v>0</v>
      </c>
      <c r="KO71" s="20" t="n">
        <f aca="false">IF(CP71=1,MAX(0,(Slot8_Cost-CQ71*(1+Slot8_Rate)^(Slot8_Age-D71))/KJ71),0)</f>
        <v>0</v>
      </c>
      <c r="KP71" s="20" t="n">
        <f aca="false">IF(AND(HU71=1,CP71=1),MIN(KI71,KN71),0)</f>
        <v>0</v>
      </c>
      <c r="KQ71" s="20" t="n">
        <f aca="false">KI71-KP71</f>
        <v>0</v>
      </c>
      <c r="KR71" s="20" t="n">
        <f aca="false">IF(CZ71=1,IF(ABS((1+AS_Wage)/(1+Slot9_Rate)-1)&lt;0.000000000001,(Slot9_Age-D71)*(1+Slot9_Rate)^(Slot9_Age-D71),(1+Slot9_Rate)^(Slot9_Age-D71)*(1-((1+AS_Wage)/(1+Slot9_Rate))^(Slot9_Age-D71))/(1-(1+AS_Wage)/(1+Slot9_Rate))),1)</f>
        <v>1</v>
      </c>
      <c r="KS71" s="20" t="n">
        <f aca="false">IF(AND(HU71=1,IE71&gt;0,Slot9_IsWG=1,CZ71=1),MAX(0,(Slot9_Cost-DA71*(1+Slot9_Rate)^(Slot9_Age-D71))/KR71),0)</f>
        <v>0</v>
      </c>
      <c r="KT71" s="20" t="n">
        <f aca="false">IF(AND(HU71=1,IE71&gt;0,Slot9_IsWG=1,CZ71=1),MIN(IE71,KS71),0)</f>
        <v>0</v>
      </c>
      <c r="KU71" s="20" t="n">
        <f aca="false">DA71+KT71</f>
        <v>0</v>
      </c>
      <c r="KV71" s="20" t="n">
        <f aca="false">IF(CZ71=1,MAX(0,(Slot9_Cost-KU71*(1+Slot9_Rate)^(Slot9_Age-D71))/KR71),0)</f>
        <v>0</v>
      </c>
      <c r="KW71" s="20" t="n">
        <f aca="false">IF(CZ71=1,MAX(0,(Slot9_Cost-DA71*(1+Slot9_Rate)^(Slot9_Age-D71))/KR71),0)</f>
        <v>0</v>
      </c>
      <c r="KX71" s="20" t="n">
        <f aca="false">IF(AND(HU71=1,CZ71=1),MIN(KQ71,KV71),0)</f>
        <v>0</v>
      </c>
      <c r="KY71" s="20" t="n">
        <f aca="false">KQ71-KX71</f>
        <v>0</v>
      </c>
      <c r="KZ71" s="20" t="n">
        <f aca="false">IF(DJ71=1,IF(ABS((1+AS_Wage)/(1+Slot10_Rate)-1)&lt;0.000000000001,(Slot10_Age-D71)*(1+Slot10_Rate)^(Slot10_Age-D71),(1+Slot10_Rate)^(Slot10_Age-D71)*(1-((1+AS_Wage)/(1+Slot10_Rate))^(Slot10_Age-D71))/(1-(1+AS_Wage)/(1+Slot10_Rate))),1)</f>
        <v>1</v>
      </c>
      <c r="LA71" s="20" t="n">
        <f aca="false">IF(AND(HU71=1,IE71&gt;0,Slot10_IsWG=1,DJ71=1),MAX(0,(Slot10_Cost-DK71*(1+Slot10_Rate)^(Slot10_Age-D71))/KZ71),0)</f>
        <v>0</v>
      </c>
      <c r="LB71" s="20" t="n">
        <f aca="false">IF(AND(HU71=1,IE71&gt;0,Slot10_IsWG=1,DJ71=1),MIN(IE71,LA71),0)</f>
        <v>0</v>
      </c>
      <c r="LC71" s="20" t="n">
        <f aca="false">DK71+LB71</f>
        <v>0</v>
      </c>
      <c r="LD71" s="20" t="n">
        <f aca="false">IF(DJ71=1,MAX(0,(Slot10_Cost-LC71*(1+Slot10_Rate)^(Slot10_Age-D71))/KZ71),0)</f>
        <v>0</v>
      </c>
      <c r="LE71" s="20" t="n">
        <f aca="false">IF(DJ71=1,MAX(0,(Slot10_Cost-DK71*(1+Slot10_Rate)^(Slot10_Age-D71))/KZ71),0)</f>
        <v>0</v>
      </c>
      <c r="LF71" s="20" t="n">
        <f aca="false">IF(AND(HU71=1,DJ71=1),MIN(KY71,LD71),0)</f>
        <v>0</v>
      </c>
      <c r="LG71" s="20" t="n">
        <f aca="false">KY71-LF71</f>
        <v>0</v>
      </c>
      <c r="LH71" s="20" t="n">
        <f aca="false">IF(DT71=1,IF(ABS((1+AS_Wage)/(1+Slot11_Rate)-1)&lt;0.000000000001,(Slot11_Age-D71)*(1+Slot11_Rate)^(Slot11_Age-D71),(1+Slot11_Rate)^(Slot11_Age-D71)*(1-((1+AS_Wage)/(1+Slot11_Rate))^(Slot11_Age-D71))/(1-(1+AS_Wage)/(1+Slot11_Rate))),1)</f>
        <v>1</v>
      </c>
      <c r="LI71" s="20" t="n">
        <f aca="false">IF(AND(HU71=1,IE71&gt;0,Slot11_IsWG=1,DT71=1),MAX(0,(Slot11_Cost-DU71*(1+Slot11_Rate)^(Slot11_Age-D71))/LH71),0)</f>
        <v>0</v>
      </c>
      <c r="LJ71" s="20" t="n">
        <f aca="false">IF(AND(HU71=1,IE71&gt;0,Slot11_IsWG=1,DT71=1),MIN(IE71,LI71),0)</f>
        <v>0</v>
      </c>
      <c r="LK71" s="20" t="n">
        <f aca="false">DU71+LJ71</f>
        <v>0</v>
      </c>
      <c r="LL71" s="20" t="n">
        <f aca="false">IF(DT71=1,MAX(0,(Slot11_Cost-LK71*(1+Slot11_Rate)^(Slot11_Age-D71))/LH71),0)</f>
        <v>0</v>
      </c>
      <c r="LM71" s="20" t="n">
        <f aca="false">IF(DT71=1,MAX(0,(Slot11_Cost-DU71*(1+Slot11_Rate)^(Slot11_Age-D71))/LH71),0)</f>
        <v>0</v>
      </c>
      <c r="LN71" s="20" t="n">
        <f aca="false">IF(AND(HU71=1,DT71=1),MIN(LG71,LL71),0)</f>
        <v>0</v>
      </c>
      <c r="LO71" s="20" t="n">
        <f aca="false">LG71-LN71</f>
        <v>0</v>
      </c>
      <c r="LP71" s="20" t="n">
        <f aca="false">IF(ED71=1,IF(ABS((1+AS_Wage)/(1+Slot12_Rate)-1)&lt;0.000000000001,(Slot12_Age-D71)*(1+Slot12_Rate)^(Slot12_Age-D71),(1+Slot12_Rate)^(Slot12_Age-D71)*(1-((1+AS_Wage)/(1+Slot12_Rate))^(Slot12_Age-D71))/(1-(1+AS_Wage)/(1+Slot12_Rate))),1)</f>
        <v>1</v>
      </c>
      <c r="LQ71" s="20" t="n">
        <f aca="false">IF(AND(HU71=1,IE71&gt;0,Slot12_IsWG=1,ED71=1),MAX(0,(Slot12_Cost-EE71*(1+Slot12_Rate)^(Slot12_Age-D71))/LP71),0)</f>
        <v>0</v>
      </c>
      <c r="LR71" s="20" t="n">
        <f aca="false">IF(AND(HU71=1,IE71&gt;0,Slot12_IsWG=1,ED71=1),MIN(IE71,LQ71),0)</f>
        <v>0</v>
      </c>
      <c r="LS71" s="20" t="n">
        <f aca="false">EE71+LR71</f>
        <v>0</v>
      </c>
      <c r="LT71" s="20" t="n">
        <f aca="false">IF(ED71=1,MAX(0,(Slot12_Cost-LS71*(1+Slot12_Rate)^(Slot12_Age-D71))/LP71),0)</f>
        <v>0</v>
      </c>
      <c r="LU71" s="20" t="n">
        <f aca="false">IF(ED71=1,MAX(0,(Slot12_Cost-EE71*(1+Slot12_Rate)^(Slot12_Age-D71))/LP71),0)</f>
        <v>0</v>
      </c>
      <c r="LV71" s="20" t="n">
        <f aca="false">IF(AND(HU71=1,ED71=1),MIN(LO71,LT71),0)</f>
        <v>0</v>
      </c>
      <c r="LW71" s="20" t="n">
        <f aca="false">LO71-LV71</f>
        <v>0</v>
      </c>
      <c r="LX71" s="20" t="n">
        <f aca="false">IF(EN71=1,IF(ABS((1+AS_Wage)/(1+Slot13_Rate)-1)&lt;0.000000000001,(Slot13_Age-D71)*(1+Slot13_Rate)^(Slot13_Age-D71),(1+Slot13_Rate)^(Slot13_Age-D71)*(1-((1+AS_Wage)/(1+Slot13_Rate))^(Slot13_Age-D71))/(1-(1+AS_Wage)/(1+Slot13_Rate))),1)</f>
        <v>1</v>
      </c>
      <c r="LY71" s="20" t="n">
        <f aca="false">IF(AND(HU71=1,IE71&gt;0,Slot13_IsWG=1,EN71=1),MAX(0,(Slot13_Cost-EO71*(1+Slot13_Rate)^(Slot13_Age-D71))/LX71),0)</f>
        <v>0</v>
      </c>
      <c r="LZ71" s="20" t="n">
        <f aca="false">IF(AND(HU71=1,IE71&gt;0,Slot13_IsWG=1,EN71=1),MIN(IE71,LY71),0)</f>
        <v>0</v>
      </c>
      <c r="MA71" s="20" t="n">
        <f aca="false">EO71+LZ71</f>
        <v>0</v>
      </c>
      <c r="MB71" s="20" t="n">
        <f aca="false">IF(EN71=1,MAX(0,(Slot13_Cost-MA71*(1+Slot13_Rate)^(Slot13_Age-D71))/LX71),0)</f>
        <v>0</v>
      </c>
      <c r="MC71" s="20" t="n">
        <f aca="false">IF(EN71=1,MAX(0,(Slot13_Cost-EO71*(1+Slot13_Rate)^(Slot13_Age-D71))/LX71),0)</f>
        <v>0</v>
      </c>
      <c r="MD71" s="20" t="n">
        <f aca="false">IF(AND(HU71=1,EN71=1),MIN(LW71,MB71),0)</f>
        <v>0</v>
      </c>
      <c r="ME71" s="20" t="n">
        <f aca="false">LW71-MD71</f>
        <v>0</v>
      </c>
      <c r="MF71" s="20" t="n">
        <f aca="false">IF(EX71=1,IF(ABS((1+AS_Wage)/(1+Slot14_Rate)-1)&lt;0.000000000001,(Slot14_Age-D71)*(1+Slot14_Rate)^(Slot14_Age-D71),(1+Slot14_Rate)^(Slot14_Age-D71)*(1-((1+AS_Wage)/(1+Slot14_Rate))^(Slot14_Age-D71))/(1-(1+AS_Wage)/(1+Slot14_Rate))),1)</f>
        <v>1</v>
      </c>
      <c r="MG71" s="20" t="n">
        <f aca="false">IF(AND(HU71=1,IE71&gt;0,Slot14_IsWG=1,EX71=1),MAX(0,(Slot14_Cost-EY71*(1+Slot14_Rate)^(Slot14_Age-D71))/MF71),0)</f>
        <v>0</v>
      </c>
      <c r="MH71" s="20" t="n">
        <f aca="false">IF(AND(HU71=1,IE71&gt;0,Slot14_IsWG=1,EX71=1),MIN(IE71,MG71),0)</f>
        <v>0</v>
      </c>
      <c r="MI71" s="20" t="n">
        <f aca="false">EY71+MH71</f>
        <v>0</v>
      </c>
      <c r="MJ71" s="20" t="n">
        <f aca="false">IF(EX71=1,MAX(0,(Slot14_Cost-MI71*(1+Slot14_Rate)^(Slot14_Age-D71))/MF71),0)</f>
        <v>0</v>
      </c>
      <c r="MK71" s="20" t="n">
        <f aca="false">IF(EX71=1,MAX(0,(Slot14_Cost-EY71*(1+Slot14_Rate)^(Slot14_Age-D71))/MF71),0)</f>
        <v>0</v>
      </c>
      <c r="ML71" s="20" t="n">
        <f aca="false">IF(AND(HU71=1,EX71=1),MIN(ME71,MJ71),0)</f>
        <v>0</v>
      </c>
      <c r="MM71" s="20" t="n">
        <f aca="false">ME71-ML71</f>
        <v>0</v>
      </c>
      <c r="MN71" s="20" t="n">
        <f aca="false">IF(FH71=1,IF(ABS((1+AS_Wage)/(1+Slot15_Rate)-1)&lt;0.000000000001,(Slot15_Age-D71)*(1+Slot15_Rate)^(Slot15_Age-D71),(1+Slot15_Rate)^(Slot15_Age-D71)*(1-((1+AS_Wage)/(1+Slot15_Rate))^(Slot15_Age-D71))/(1-(1+AS_Wage)/(1+Slot15_Rate))),1)</f>
        <v>1</v>
      </c>
      <c r="MO71" s="20" t="n">
        <f aca="false">IF(AND(HU71=1,IE71&gt;0,Slot15_IsWG=1,FH71=1),MAX(0,(Slot15_Cost-FI71*(1+Slot15_Rate)^(Slot15_Age-D71))/MN71),0)</f>
        <v>0</v>
      </c>
      <c r="MP71" s="20" t="n">
        <f aca="false">IF(AND(HU71=1,IE71&gt;0,Slot15_IsWG=1,FH71=1),MIN(IE71,MO71),0)</f>
        <v>0</v>
      </c>
      <c r="MQ71" s="20" t="n">
        <f aca="false">FI71+MP71</f>
        <v>0</v>
      </c>
      <c r="MR71" s="20" t="n">
        <f aca="false">IF(FH71=1,MAX(0,(Slot15_Cost-MQ71*(1+Slot15_Rate)^(Slot15_Age-D71))/MN71),0)</f>
        <v>0</v>
      </c>
      <c r="MS71" s="20" t="n">
        <f aca="false">IF(FH71=1,MAX(0,(Slot15_Cost-FI71*(1+Slot15_Rate)^(Slot15_Age-D71))/MN71),0)</f>
        <v>0</v>
      </c>
      <c r="MT71" s="20" t="n">
        <f aca="false">IF(AND(HU71=1,FH71=1),MIN(MM71,MR71),0)</f>
        <v>0</v>
      </c>
      <c r="MU71" s="20" t="n">
        <f aca="false">MM71-MT71</f>
        <v>0</v>
      </c>
      <c r="MV71" s="20" t="n">
        <f aca="false">IF(FR71=1,IF(ABS((1+AS_Wage)/(1+Slot16_Rate)-1)&lt;0.000000000001,(Slot16_Age-D71)*(1+Slot16_Rate)^(Slot16_Age-D71),(1+Slot16_Rate)^(Slot16_Age-D71)*(1-((1+AS_Wage)/(1+Slot16_Rate))^(Slot16_Age-D71))/(1-(1+AS_Wage)/(1+Slot16_Rate))),1)</f>
        <v>1</v>
      </c>
      <c r="MW71" s="20" t="n">
        <f aca="false">IF(AND(HU71=1,IE71&gt;0,Slot16_IsWG=1,FR71=1),MAX(0,(Slot16_Cost-FS71*(1+Slot16_Rate)^(Slot16_Age-D71))/MV71),0)</f>
        <v>0</v>
      </c>
      <c r="MX71" s="20" t="n">
        <f aca="false">IF(AND(HU71=1,IE71&gt;0,Slot16_IsWG=1,FR71=1),MIN(IE71,MW71),0)</f>
        <v>0</v>
      </c>
      <c r="MY71" s="20" t="n">
        <f aca="false">FS71+MX71</f>
        <v>0</v>
      </c>
      <c r="MZ71" s="20" t="n">
        <f aca="false">IF(FR71=1,MAX(0,(Slot16_Cost-MY71*(1+Slot16_Rate)^(Slot16_Age-D71))/MV71),0)</f>
        <v>0</v>
      </c>
      <c r="NA71" s="20" t="n">
        <f aca="false">IF(FR71=1,MAX(0,(Slot16_Cost-FS71*(1+Slot16_Rate)^(Slot16_Age-D71))/MV71),0)</f>
        <v>0</v>
      </c>
      <c r="NB71" s="20" t="n">
        <f aca="false">IF(AND(HU71=1,FR71=1),MIN(MU71,MZ71),0)</f>
        <v>0</v>
      </c>
      <c r="NC71" s="20" t="n">
        <f aca="false">MU71-NB71</f>
        <v>0</v>
      </c>
      <c r="ND71" s="20" t="n">
        <f aca="false">IF(GB71=1,IF(ABS((1+AS_Wage)/(1+Slot17_Rate)-1)&lt;0.000000000001,(Slot17_Age-D71)*(1+Slot17_Rate)^(Slot17_Age-D71),(1+Slot17_Rate)^(Slot17_Age-D71)*(1-((1+AS_Wage)/(1+Slot17_Rate))^(Slot17_Age-D71))/(1-(1+AS_Wage)/(1+Slot17_Rate))),1)</f>
        <v>1</v>
      </c>
      <c r="NE71" s="20" t="n">
        <f aca="false">IF(AND(HU71=1,IE71&gt;0,Slot17_IsWG=1,GB71=1),MAX(0,(Slot17_Cost-GC71*(1+Slot17_Rate)^(Slot17_Age-D71))/ND71),0)</f>
        <v>0</v>
      </c>
      <c r="NF71" s="20" t="n">
        <f aca="false">IF(AND(HU71=1,IE71&gt;0,Slot17_IsWG=1,GB71=1),MIN(IE71,NE71),0)</f>
        <v>0</v>
      </c>
      <c r="NG71" s="20" t="n">
        <f aca="false">GC71+NF71</f>
        <v>0</v>
      </c>
      <c r="NH71" s="20" t="n">
        <f aca="false">IF(GB71=1,MAX(0,(Slot17_Cost-NG71*(1+Slot17_Rate)^(Slot17_Age-D71))/ND71),0)</f>
        <v>0</v>
      </c>
      <c r="NI71" s="20" t="n">
        <f aca="false">IF(GB71=1,MAX(0,(Slot17_Cost-GC71*(1+Slot17_Rate)^(Slot17_Age-D71))/ND71),0)</f>
        <v>0</v>
      </c>
      <c r="NJ71" s="20" t="n">
        <f aca="false">IF(AND(HU71=1,GB71=1),MIN(NC71,NH71),0)</f>
        <v>0</v>
      </c>
      <c r="NK71" s="20" t="n">
        <f aca="false">NC71-NJ71</f>
        <v>0</v>
      </c>
      <c r="NL71" s="20" t="n">
        <f aca="false">IF(GL71=1,IF(ABS((1+AS_Wage)/(1+Slot18_Rate)-1)&lt;0.000000000001,(Slot18_Age-D71)*(1+Slot18_Rate)^(Slot18_Age-D71),(1+Slot18_Rate)^(Slot18_Age-D71)*(1-((1+AS_Wage)/(1+Slot18_Rate))^(Slot18_Age-D71))/(1-(1+AS_Wage)/(1+Slot18_Rate))),1)</f>
        <v>1</v>
      </c>
      <c r="NM71" s="20" t="n">
        <f aca="false">IF(AND(HU71=1,IE71&gt;0,Slot18_IsWG=1,GL71=1),MAX(0,(Slot18_Cost-GM71*(1+Slot18_Rate)^(Slot18_Age-D71))/NL71),0)</f>
        <v>0</v>
      </c>
      <c r="NN71" s="20" t="n">
        <f aca="false">IF(AND(HU71=1,IE71&gt;0,Slot18_IsWG=1,GL71=1),MIN(IE71,NM71),0)</f>
        <v>0</v>
      </c>
      <c r="NO71" s="20" t="n">
        <f aca="false">GM71+NN71</f>
        <v>0</v>
      </c>
      <c r="NP71" s="20" t="n">
        <f aca="false">IF(GL71=1,MAX(0,(Slot18_Cost-NO71*(1+Slot18_Rate)^(Slot18_Age-D71))/NL71),0)</f>
        <v>0</v>
      </c>
      <c r="NQ71" s="20" t="n">
        <f aca="false">IF(GL71=1,MAX(0,(Slot18_Cost-GM71*(1+Slot18_Rate)^(Slot18_Age-D71))/NL71),0)</f>
        <v>0</v>
      </c>
      <c r="NR71" s="20" t="n">
        <f aca="false">IF(AND(HU71=1,GL71=1),MIN(NK71,NP71),0)</f>
        <v>0</v>
      </c>
      <c r="NS71" s="20" t="n">
        <f aca="false">NK71-NR71</f>
        <v>0</v>
      </c>
      <c r="NT71" s="20" t="n">
        <f aca="false">IF(GV71=1,IF(ABS((1+AS_Wage)/(1+Slot19_Rate)-1)&lt;0.000000000001,(Slot19_Age-D71)*(1+Slot19_Rate)^(Slot19_Age-D71),(1+Slot19_Rate)^(Slot19_Age-D71)*(1-((1+AS_Wage)/(1+Slot19_Rate))^(Slot19_Age-D71))/(1-(1+AS_Wage)/(1+Slot19_Rate))),1)</f>
        <v>1</v>
      </c>
      <c r="NU71" s="20" t="n">
        <f aca="false">IF(AND(HU71=1,IE71&gt;0,Slot19_IsWG=1,GV71=1),MAX(0,(Slot19_Cost-GW71*(1+Slot19_Rate)^(Slot19_Age-D71))/NT71),0)</f>
        <v>0</v>
      </c>
      <c r="NV71" s="20" t="n">
        <f aca="false">IF(AND(HU71=1,IE71&gt;0,Slot19_IsWG=1,GV71=1),MIN(IE71,NU71),0)</f>
        <v>0</v>
      </c>
      <c r="NW71" s="20" t="n">
        <f aca="false">GW71+NV71</f>
        <v>0</v>
      </c>
      <c r="NX71" s="20" t="n">
        <f aca="false">IF(GV71=1,MAX(0,(Slot19_Cost-NW71*(1+Slot19_Rate)^(Slot19_Age-D71))/NT71),0)</f>
        <v>0</v>
      </c>
      <c r="NY71" s="20" t="n">
        <f aca="false">IF(GV71=1,MAX(0,(Slot19_Cost-GW71*(1+Slot19_Rate)^(Slot19_Age-D71))/NT71),0)</f>
        <v>0</v>
      </c>
      <c r="NZ71" s="20" t="n">
        <f aca="false">IF(AND(HU71=1,GV71=1),MIN(NS71,NX71),0)</f>
        <v>0</v>
      </c>
      <c r="OA71" s="20" t="n">
        <f aca="false">NS71-NZ71</f>
        <v>0</v>
      </c>
      <c r="OB71" s="20" t="n">
        <f aca="false">IF(HF71=1,IF(ABS((1+AS_Wage)/(1+Slot20_Rate)-1)&lt;0.000000000001,(Slot20_Age-D71)*(1+Slot20_Rate)^(Slot20_Age-D71),(1+Slot20_Rate)^(Slot20_Age-D71)*(1-((1+AS_Wage)/(1+Slot20_Rate))^(Slot20_Age-D71))/(1-(1+AS_Wage)/(1+Slot20_Rate))),1)</f>
        <v>1</v>
      </c>
      <c r="OC71" s="20" t="n">
        <f aca="false">IF(AND(HU71=1,IE71&gt;0,Slot20_IsWG=1,HF71=1),MAX(0,(Slot20_Cost-HG71*(1+Slot20_Rate)^(Slot20_Age-D71))/OB71),0)</f>
        <v>0</v>
      </c>
      <c r="OD71" s="20" t="n">
        <f aca="false">IF(AND(HU71=1,IE71&gt;0,Slot20_IsWG=1,HF71=1),MIN(IE71,OC71),0)</f>
        <v>0</v>
      </c>
      <c r="OE71" s="20" t="n">
        <f aca="false">HG71+OD71</f>
        <v>0</v>
      </c>
      <c r="OF71" s="20" t="n">
        <f aca="false">IF(HF71=1,MAX(0,(Slot20_Cost-OE71*(1+Slot20_Rate)^(Slot20_Age-D71))/OB71),0)</f>
        <v>0</v>
      </c>
      <c r="OG71" s="20" t="n">
        <f aca="false">IF(HF71=1,MAX(0,(Slot20_Cost-HG71*(1+Slot20_Rate)^(Slot20_Age-D71))/OB71),0)</f>
        <v>0</v>
      </c>
      <c r="OH71" s="20" t="n">
        <f aca="false">IF(AND(HU71=1,HF71=1),MIN(OA71,OF71),0)</f>
        <v>0</v>
      </c>
      <c r="OI71" s="20" t="n">
        <f aca="false">OA71-OH71</f>
        <v>0</v>
      </c>
      <c r="OJ71" s="20" t="n">
        <f aca="false">IE71-(IH71+IP71+IX71+JF71+JN71+JV71+KD71+KL71+KT71+LB71+LJ71+LR71+LZ71+MH71+MP71+MX71+NF71+NN71+NV71+OD71)</f>
        <v>0</v>
      </c>
      <c r="OK71" s="20" t="n">
        <f aca="false">IF(HU71=1,HS71-ID71-IE71,0)</f>
        <v>0</v>
      </c>
      <c r="OL71" s="20" t="n">
        <f aca="false">IF(HU71=0,-HS71,0)</f>
        <v>67079.7687335447</v>
      </c>
      <c r="OM71" s="20" t="n">
        <f aca="false">MIN(OL71,HK71)</f>
        <v>0</v>
      </c>
      <c r="ON71" s="20" t="n">
        <f aca="false">OL71-OM71</f>
        <v>67079.7687335447</v>
      </c>
      <c r="OO71" s="20" t="n">
        <f aca="false">MIN(ON71,HL71)</f>
        <v>0</v>
      </c>
      <c r="OP71" s="20" t="n">
        <f aca="false">ON71-OO71</f>
        <v>67079.7687335447</v>
      </c>
      <c r="OQ71" s="20" t="n">
        <f aca="false">IF(AND(HU71=0,HF71=1,OP71&gt;0),MIN(OP71,HG71),0)</f>
        <v>0</v>
      </c>
      <c r="OR71" s="20" t="n">
        <f aca="false">OP71-OQ71</f>
        <v>67079.7687335447</v>
      </c>
      <c r="OS71" s="20" t="n">
        <f aca="false">IF(AND(HU71=0,GV71=1,OR71&gt;0),MIN(OR71,GW71),0)</f>
        <v>0</v>
      </c>
      <c r="OT71" s="20" t="n">
        <f aca="false">OR71-OS71</f>
        <v>67079.7687335447</v>
      </c>
      <c r="OU71" s="20" t="n">
        <f aca="false">IF(AND(HU71=0,GL71=1,OT71&gt;0),MIN(OT71,GM71),0)</f>
        <v>0</v>
      </c>
      <c r="OV71" s="20" t="n">
        <f aca="false">OT71-OU71</f>
        <v>67079.7687335447</v>
      </c>
      <c r="OW71" s="20" t="n">
        <f aca="false">IF(AND(HU71=0,GB71=1,OV71&gt;0),MIN(OV71,GC71),0)</f>
        <v>0</v>
      </c>
      <c r="OX71" s="20" t="n">
        <f aca="false">OV71-OW71</f>
        <v>67079.7687335447</v>
      </c>
      <c r="OY71" s="20" t="n">
        <f aca="false">IF(AND(HU71=0,FR71=1,OX71&gt;0),MIN(OX71,FS71),0)</f>
        <v>0</v>
      </c>
      <c r="OZ71" s="20" t="n">
        <f aca="false">OX71-OY71</f>
        <v>67079.7687335447</v>
      </c>
      <c r="PA71" s="20" t="n">
        <f aca="false">IF(AND(HU71=0,FH71=1,OZ71&gt;0),MIN(OZ71,FI71),0)</f>
        <v>0</v>
      </c>
      <c r="PB71" s="20" t="n">
        <f aca="false">OZ71-PA71</f>
        <v>67079.7687335447</v>
      </c>
      <c r="PC71" s="20" t="n">
        <f aca="false">IF(AND(HU71=0,EX71=1,PB71&gt;0),MIN(PB71,EY71),0)</f>
        <v>0</v>
      </c>
      <c r="PD71" s="20" t="n">
        <f aca="false">PB71-PC71</f>
        <v>67079.7687335447</v>
      </c>
      <c r="PE71" s="20" t="n">
        <f aca="false">IF(AND(HU71=0,EN71=1,PD71&gt;0),MIN(PD71,EO71),0)</f>
        <v>0</v>
      </c>
      <c r="PF71" s="20" t="n">
        <f aca="false">PD71-PE71</f>
        <v>67079.7687335447</v>
      </c>
      <c r="PG71" s="20" t="n">
        <f aca="false">IF(AND(HU71=0,ED71=1,PF71&gt;0),MIN(PF71,EE71),0)</f>
        <v>0</v>
      </c>
      <c r="PH71" s="20" t="n">
        <f aca="false">PF71-PG71</f>
        <v>67079.7687335447</v>
      </c>
      <c r="PI71" s="20" t="n">
        <f aca="false">IF(AND(HU71=0,DT71=1,PH71&gt;0),MIN(PH71,DU71),0)</f>
        <v>0</v>
      </c>
      <c r="PJ71" s="20" t="n">
        <f aca="false">PH71-PI71</f>
        <v>67079.7687335447</v>
      </c>
      <c r="PK71" s="20" t="n">
        <f aca="false">IF(AND(HU71=0,DJ71=1,PJ71&gt;0),MIN(PJ71,DK71),0)</f>
        <v>0</v>
      </c>
      <c r="PL71" s="20" t="n">
        <f aca="false">PJ71-PK71</f>
        <v>67079.7687335447</v>
      </c>
      <c r="PM71" s="20" t="n">
        <f aca="false">IF(AND(HU71=0,CZ71=1,PL71&gt;0),MIN(PL71,DA71),0)</f>
        <v>0</v>
      </c>
      <c r="PN71" s="20" t="n">
        <f aca="false">PL71-PM71</f>
        <v>67079.7687335447</v>
      </c>
      <c r="PO71" s="20" t="n">
        <f aca="false">IF(AND(HU71=0,CP71=1,PN71&gt;0),MIN(PN71,CQ71),0)</f>
        <v>0</v>
      </c>
      <c r="PP71" s="20" t="n">
        <f aca="false">PN71-PO71</f>
        <v>67079.7687335447</v>
      </c>
      <c r="PQ71" s="20" t="n">
        <f aca="false">IF(AND(HU71=0,CF71=1,PP71&gt;0),MIN(PP71,CG71),0)</f>
        <v>0</v>
      </c>
      <c r="PR71" s="20" t="n">
        <f aca="false">PP71-PQ71</f>
        <v>67079.7687335447</v>
      </c>
      <c r="PS71" s="20" t="n">
        <f aca="false">IF(AND(HU71=0,BV71=1,PR71&gt;0),MIN(PR71,BW71),0)</f>
        <v>0</v>
      </c>
      <c r="PT71" s="20" t="n">
        <f aca="false">PR71-PS71</f>
        <v>67079.7687335447</v>
      </c>
      <c r="PU71" s="20" t="n">
        <f aca="false">IF(AND(HU71=0,BL71=1,PT71&gt;0),MIN(PT71,BM71),0)</f>
        <v>0</v>
      </c>
      <c r="PV71" s="20" t="n">
        <f aca="false">PT71-PU71</f>
        <v>67079.7687335447</v>
      </c>
      <c r="PW71" s="20" t="n">
        <f aca="false">IF(AND(HU71=0,BB71=1,PV71&gt;0),MIN(PV71,BC71),0)</f>
        <v>0</v>
      </c>
      <c r="PX71" s="20" t="n">
        <f aca="false">PV71-PW71</f>
        <v>67079.7687335447</v>
      </c>
      <c r="PY71" s="20" t="n">
        <f aca="false">IF(AND(HU71=0,AR71=1,PX71&gt;0),MIN(PX71,AS71),0)</f>
        <v>0</v>
      </c>
      <c r="PZ71" s="20" t="n">
        <f aca="false">PX71-PY71</f>
        <v>67079.7687335447</v>
      </c>
      <c r="QA71" s="20" t="n">
        <f aca="false">IF(AND(HU71=0,AH71=1,PZ71&gt;0),MIN(PZ71,AI71),0)</f>
        <v>0</v>
      </c>
      <c r="QB71" s="20" t="n">
        <f aca="false">PZ71-QA71</f>
        <v>67079.7687335447</v>
      </c>
      <c r="QC71" s="20" t="n">
        <f aca="false">IF(AND(HU71=0,W71=1,QB71&gt;0),MIN(QB71,X71),0)</f>
        <v>0</v>
      </c>
      <c r="QD71" s="20" t="n">
        <f aca="false">QB71-QC71</f>
        <v>67079.7687335447</v>
      </c>
      <c r="QE71" s="20" t="n">
        <f aca="false">IF(HU71=0,QD71,0)</f>
        <v>67079.7687335447</v>
      </c>
      <c r="QF71" s="20" t="n">
        <f aca="false">OM71+OO71+QC71+QA71+PY71+PW71+PU71+PS71+PQ71+PO71+PM71+PK71+PI71+PG71+PE71+PC71+PA71+OY71+OW71+OU71+OS71+OQ71</f>
        <v>0</v>
      </c>
      <c r="QG71" s="20" t="n">
        <f aca="false">IF(HU71=1,HK71+OJ71+OI71+IF(G71=1,0,OK71),HK71-OM71)</f>
        <v>0</v>
      </c>
      <c r="QH71" s="20" t="n">
        <f aca="false">HL71-OO71</f>
        <v>0</v>
      </c>
      <c r="QI71" s="20" t="n">
        <f aca="false">IF(HU71=1,IF(G71=1,ID71+IE71,HS71),0)</f>
        <v>0</v>
      </c>
      <c r="QJ71" s="20" t="n">
        <f aca="false">IF(HU71=1,IF(G71=1,HS71-ID71-IE71,0),0)</f>
        <v>0</v>
      </c>
      <c r="QK71" s="57" t="n">
        <f aca="false">'Plan holdings'!BM71</f>
        <v>0</v>
      </c>
      <c r="QL71" s="20" t="n">
        <f aca="false">QH71*(1+AS_Cash)</f>
        <v>0</v>
      </c>
      <c r="QM71" s="20" t="n">
        <f aca="false">IF(W71=1,IF(HU71=1,II71+IL71,X71-QC71)*(1+Slot1_Rate),0)</f>
        <v>0</v>
      </c>
      <c r="QN71" s="20" t="n">
        <f aca="false">IF(AND(HU71=1,W71=1),(IH71+IL71)/F71,0)</f>
        <v>0</v>
      </c>
      <c r="QO71" s="20" t="n">
        <f aca="false">IF(B71=0,IH71+IL71,0)</f>
        <v>0</v>
      </c>
      <c r="QP71" s="20" t="n">
        <f aca="false">IF(B71=0,IF(HU71=1,IJ71,IK71),0)</f>
        <v>0</v>
      </c>
      <c r="QQ71" s="20" t="n">
        <f aca="false">IF(AH71=1,IF(HU71=1,IQ71+IT71,AI71-QA71)*(1+Slot2_Rate),0)</f>
        <v>0</v>
      </c>
      <c r="QR71" s="20" t="n">
        <f aca="false">IF(AND(HU71=1,AH71=1),(IP71+IT71)/F71,0)</f>
        <v>0</v>
      </c>
      <c r="QS71" s="20" t="n">
        <f aca="false">IF(B71=0,IP71+IT71,0)</f>
        <v>0</v>
      </c>
      <c r="QT71" s="20" t="n">
        <f aca="false">IF(B71=0,IF(HU71=1,IR71,IS71),0)</f>
        <v>0</v>
      </c>
      <c r="QU71" s="20" t="n">
        <f aca="false">IF(AR71=1,IF(HU71=1,IY71+JB71,AS71-PY71)*(1+Slot3_Rate),0)</f>
        <v>0</v>
      </c>
      <c r="QV71" s="20" t="n">
        <f aca="false">IF(AND(HU71=1,AR71=1),(IX71+JB71)/F71,0)</f>
        <v>0</v>
      </c>
      <c r="QW71" s="20" t="n">
        <f aca="false">IF(B71=0,IX71+JB71,0)</f>
        <v>0</v>
      </c>
      <c r="QX71" s="20" t="n">
        <f aca="false">IF(B71=0,IF(HU71=1,IZ71,JA71),0)</f>
        <v>0</v>
      </c>
      <c r="QY71" s="20" t="n">
        <f aca="false">IF(BB71=1,IF(HU71=1,JG71+JJ71,BC71-PW71)*(1+Slot4_Rate),0)</f>
        <v>0</v>
      </c>
      <c r="QZ71" s="20" t="n">
        <f aca="false">IF(AND(HU71=1,BB71=1),(JF71+JJ71)/F71,0)</f>
        <v>0</v>
      </c>
      <c r="RA71" s="20" t="n">
        <f aca="false">IF(B71=0,JF71+JJ71,0)</f>
        <v>0</v>
      </c>
      <c r="RB71" s="20" t="n">
        <f aca="false">IF(B71=0,IF(HU71=1,JH71,JI71),0)</f>
        <v>0</v>
      </c>
      <c r="RC71" s="20" t="n">
        <f aca="false">IF(BL71=1,IF(HU71=1,JO71+JR71,BM71-PU71)*(1+Slot5_Rate),0)</f>
        <v>0</v>
      </c>
      <c r="RD71" s="20" t="n">
        <f aca="false">IF(AND(HU71=1,BL71=1),(JN71+JR71)/F71,0)</f>
        <v>0</v>
      </c>
      <c r="RE71" s="20" t="n">
        <f aca="false">IF(B71=0,JN71+JR71,0)</f>
        <v>0</v>
      </c>
      <c r="RF71" s="20" t="n">
        <f aca="false">IF(B71=0,IF(HU71=1,JP71,JQ71),0)</f>
        <v>0</v>
      </c>
      <c r="RG71" s="20" t="n">
        <f aca="false">IF(BV71=1,IF(HU71=1,JW71+JZ71,BW71-PS71)*(1+Slot6_Rate),0)</f>
        <v>0</v>
      </c>
      <c r="RH71" s="20" t="n">
        <f aca="false">IF(AND(HU71=1,BV71=1),(JV71+JZ71)/F71,0)</f>
        <v>0</v>
      </c>
      <c r="RI71" s="20" t="n">
        <f aca="false">IF(B71=0,JV71+JZ71,0)</f>
        <v>0</v>
      </c>
      <c r="RJ71" s="20" t="n">
        <f aca="false">IF(B71=0,IF(HU71=1,JX71,JY71),0)</f>
        <v>0</v>
      </c>
      <c r="RK71" s="20" t="n">
        <f aca="false">IF(CF71=1,IF(HU71=1,KE71+KH71,CG71-PQ71)*(1+Slot7_Rate),0)</f>
        <v>0</v>
      </c>
      <c r="RL71" s="20" t="n">
        <f aca="false">IF(AND(HU71=1,CF71=1),(KD71+KH71)/F71,0)</f>
        <v>0</v>
      </c>
      <c r="RM71" s="20" t="n">
        <f aca="false">IF(B71=0,KD71+KH71,0)</f>
        <v>0</v>
      </c>
      <c r="RN71" s="20" t="n">
        <f aca="false">IF(B71=0,IF(HU71=1,KF71,KG71),0)</f>
        <v>0</v>
      </c>
      <c r="RO71" s="20" t="n">
        <f aca="false">IF(CP71=1,IF(HU71=1,KM71+KP71,CQ71-PO71)*(1+Slot8_Rate),0)</f>
        <v>0</v>
      </c>
      <c r="RP71" s="20" t="n">
        <f aca="false">IF(AND(HU71=1,CP71=1),(KL71+KP71)/F71,0)</f>
        <v>0</v>
      </c>
      <c r="RQ71" s="20" t="n">
        <f aca="false">IF(B71=0,KL71+KP71,0)</f>
        <v>0</v>
      </c>
      <c r="RR71" s="20" t="n">
        <f aca="false">IF(B71=0,IF(HU71=1,KN71,KO71),0)</f>
        <v>0</v>
      </c>
      <c r="RS71" s="20" t="n">
        <f aca="false">IF(CZ71=1,IF(HU71=1,KU71+KX71,DA71-PM71)*(1+Slot9_Rate),0)</f>
        <v>0</v>
      </c>
      <c r="RT71" s="20" t="n">
        <f aca="false">IF(AND(HU71=1,CZ71=1),(KT71+KX71)/F71,0)</f>
        <v>0</v>
      </c>
      <c r="RU71" s="20" t="n">
        <f aca="false">IF(B71=0,KT71+KX71,0)</f>
        <v>0</v>
      </c>
      <c r="RV71" s="20" t="n">
        <f aca="false">IF(B71=0,IF(HU71=1,KV71,KW71),0)</f>
        <v>0</v>
      </c>
      <c r="RW71" s="20" t="n">
        <f aca="false">IF(DJ71=1,IF(HU71=1,LC71+LF71,DK71-PK71)*(1+Slot10_Rate),0)</f>
        <v>0</v>
      </c>
      <c r="RX71" s="20" t="n">
        <f aca="false">IF(AND(HU71=1,DJ71=1),(LB71+LF71)/F71,0)</f>
        <v>0</v>
      </c>
      <c r="RY71" s="20" t="n">
        <f aca="false">IF(B71=0,LB71+LF71,0)</f>
        <v>0</v>
      </c>
      <c r="RZ71" s="20" t="n">
        <f aca="false">IF(B71=0,IF(HU71=1,LD71,LE71),0)</f>
        <v>0</v>
      </c>
      <c r="SA71" s="20" t="n">
        <f aca="false">IF(DT71=1,IF(HU71=1,LK71+LN71,DU71-PI71)*(1+Slot11_Rate),0)</f>
        <v>0</v>
      </c>
      <c r="SB71" s="20" t="n">
        <f aca="false">IF(AND(HU71=1,DT71=1),(LJ71+LN71)/F71,0)</f>
        <v>0</v>
      </c>
      <c r="SC71" s="20" t="n">
        <f aca="false">IF(B71=0,LJ71+LN71,0)</f>
        <v>0</v>
      </c>
      <c r="SD71" s="20" t="n">
        <f aca="false">IF(B71=0,IF(HU71=1,LL71,LM71),0)</f>
        <v>0</v>
      </c>
      <c r="SE71" s="20" t="n">
        <f aca="false">IF(ED71=1,IF(HU71=1,LS71+LV71,EE71-PG71)*(1+Slot12_Rate),0)</f>
        <v>0</v>
      </c>
      <c r="SF71" s="20" t="n">
        <f aca="false">IF(AND(HU71=1,ED71=1),(LR71+LV71)/F71,0)</f>
        <v>0</v>
      </c>
      <c r="SG71" s="20" t="n">
        <f aca="false">IF(B71=0,LR71+LV71,0)</f>
        <v>0</v>
      </c>
      <c r="SH71" s="20" t="n">
        <f aca="false">IF(B71=0,IF(HU71=1,LT71,LU71),0)</f>
        <v>0</v>
      </c>
      <c r="SI71" s="20" t="n">
        <f aca="false">IF(EN71=1,IF(HU71=1,MA71+MD71,EO71-PE71)*(1+Slot13_Rate),0)</f>
        <v>0</v>
      </c>
      <c r="SJ71" s="20" t="n">
        <f aca="false">IF(AND(HU71=1,EN71=1),(LZ71+MD71)/F71,0)</f>
        <v>0</v>
      </c>
      <c r="SK71" s="20" t="n">
        <f aca="false">IF(B71=0,LZ71+MD71,0)</f>
        <v>0</v>
      </c>
      <c r="SL71" s="20" t="n">
        <f aca="false">IF(B71=0,IF(HU71=1,MB71,MC71),0)</f>
        <v>0</v>
      </c>
      <c r="SM71" s="20" t="n">
        <f aca="false">IF(EX71=1,IF(HU71=1,MI71+ML71,EY71-PC71)*(1+Slot14_Rate),0)</f>
        <v>0</v>
      </c>
      <c r="SN71" s="20" t="n">
        <f aca="false">IF(AND(HU71=1,EX71=1),(MH71+ML71)/F71,0)</f>
        <v>0</v>
      </c>
      <c r="SO71" s="20" t="n">
        <f aca="false">IF(B71=0,MH71+ML71,0)</f>
        <v>0</v>
      </c>
      <c r="SP71" s="20" t="n">
        <f aca="false">IF(B71=0,IF(HU71=1,MJ71,MK71),0)</f>
        <v>0</v>
      </c>
      <c r="SQ71" s="20" t="n">
        <f aca="false">IF(FH71=1,IF(HU71=1,MQ71+MT71,FI71-PA71)*(1+Slot15_Rate),0)</f>
        <v>0</v>
      </c>
      <c r="SR71" s="20" t="n">
        <f aca="false">IF(AND(HU71=1,FH71=1),(MP71+MT71)/F71,0)</f>
        <v>0</v>
      </c>
      <c r="SS71" s="20" t="n">
        <f aca="false">IF(B71=0,MP71+MT71,0)</f>
        <v>0</v>
      </c>
      <c r="ST71" s="20" t="n">
        <f aca="false">IF(B71=0,IF(HU71=1,MR71,MS71),0)</f>
        <v>0</v>
      </c>
      <c r="SU71" s="20" t="n">
        <f aca="false">IF(FR71=1,IF(HU71=1,MY71+NB71,FS71-OY71)*(1+Slot16_Rate),0)</f>
        <v>0</v>
      </c>
      <c r="SV71" s="20" t="n">
        <f aca="false">IF(AND(HU71=1,FR71=1),(MX71+NB71)/F71,0)</f>
        <v>0</v>
      </c>
      <c r="SW71" s="20" t="n">
        <f aca="false">IF(B71=0,MX71+NB71,0)</f>
        <v>0</v>
      </c>
      <c r="SX71" s="20" t="n">
        <f aca="false">IF(B71=0,IF(HU71=1,MZ71,NA71),0)</f>
        <v>0</v>
      </c>
      <c r="SY71" s="20" t="n">
        <f aca="false">IF(GB71=1,IF(HU71=1,NG71+NJ71,GC71-OW71)*(1+Slot17_Rate),0)</f>
        <v>0</v>
      </c>
      <c r="SZ71" s="20" t="n">
        <f aca="false">IF(AND(HU71=1,GB71=1),(NF71+NJ71)/F71,0)</f>
        <v>0</v>
      </c>
      <c r="TA71" s="20" t="n">
        <f aca="false">IF(B71=0,NF71+NJ71,0)</f>
        <v>0</v>
      </c>
      <c r="TB71" s="20" t="n">
        <f aca="false">IF(B71=0,IF(HU71=1,NH71,NI71),0)</f>
        <v>0</v>
      </c>
      <c r="TC71" s="20" t="n">
        <f aca="false">IF(GL71=1,IF(HU71=1,NO71+NR71,GM71-OU71)*(1+Slot18_Rate),0)</f>
        <v>0</v>
      </c>
      <c r="TD71" s="20" t="n">
        <f aca="false">IF(AND(HU71=1,GL71=1),(NN71+NR71)/F71,0)</f>
        <v>0</v>
      </c>
      <c r="TE71" s="20" t="n">
        <f aca="false">IF(B71=0,NN71+NR71,0)</f>
        <v>0</v>
      </c>
      <c r="TF71" s="20" t="n">
        <f aca="false">IF(B71=0,IF(HU71=1,NP71,NQ71),0)</f>
        <v>0</v>
      </c>
      <c r="TG71" s="20" t="n">
        <f aca="false">IF(GV71=1,IF(HU71=1,NW71+NZ71,GW71-OS71)*(1+Slot19_Rate),0)</f>
        <v>0</v>
      </c>
      <c r="TH71" s="20" t="n">
        <f aca="false">IF(AND(HU71=1,GV71=1),(NV71+NZ71)/F71,0)</f>
        <v>0</v>
      </c>
      <c r="TI71" s="20" t="n">
        <f aca="false">IF(B71=0,NV71+NZ71,0)</f>
        <v>0</v>
      </c>
      <c r="TJ71" s="20" t="n">
        <f aca="false">IF(B71=0,IF(HU71=1,NX71,NY71),0)</f>
        <v>0</v>
      </c>
      <c r="TK71" s="20" t="n">
        <f aca="false">IF(HF71=1,IF(HU71=1,OE71+OH71,HG71-OQ71)*(1+Slot20_Rate),0)</f>
        <v>0</v>
      </c>
      <c r="TL71" s="20" t="n">
        <f aca="false">IF(AND(HU71=1,HF71=1),(OD71+OH71)/F71,0)</f>
        <v>0</v>
      </c>
      <c r="TM71" s="20" t="n">
        <f aca="false">IF(B71=0,OD71+OH71,0)</f>
        <v>0</v>
      </c>
      <c r="TN71" s="20" t="n">
        <f aca="false">IF(B71=0,IF(HU71=1,OF71,OG71),0)</f>
        <v>0</v>
      </c>
      <c r="TO71" s="20" t="n">
        <f aca="false">QK71+QL71+QM71+QQ71+QU71+QY71+RC71+RG71+RK71+RO71+RS71+RW71+SA71+SE71+SI71+SM71+SQ71+SU71+SY71+TC71+TG71+TK71</f>
        <v>0</v>
      </c>
      <c r="TP71" s="20" t="n">
        <f aca="false">QE71+HP71</f>
        <v>67079.7687335447</v>
      </c>
      <c r="TQ71" s="20" t="n">
        <f aca="false">I71+S71</f>
        <v>166432.722577093</v>
      </c>
      <c r="TR71" s="20" t="n">
        <f aca="false">1-G71</f>
        <v>1</v>
      </c>
      <c r="TS71" s="20" t="n">
        <f aca="false">IF(AND(RG_Exists=1,G71=0,C71=1),I71,0)</f>
        <v>0</v>
      </c>
      <c r="TT71" s="20" t="n">
        <f aca="false">IF(AND(RG_Exists=1,G71=0,C71=1),I71-MIN(QE71,I71),0)</f>
        <v>0</v>
      </c>
      <c r="TU71" s="20" t="n">
        <f aca="false">'Plan pay &amp; tax'!AD297</f>
        <v>0</v>
      </c>
      <c r="TV71" s="20" t="n">
        <f aca="false">IF(AND(C71=1,QE71&gt;MAX(PR_Short1,TQ71*PR_Short2)),1,0)</f>
        <v>0</v>
      </c>
      <c r="TW71" s="20" t="n">
        <f aca="false">MIN(H71,I71+S71)</f>
        <v>99352.9538435483</v>
      </c>
      <c r="TX71" s="20" t="n">
        <f aca="false">QF71+MAX(0,HQ71-HP71)</f>
        <v>0</v>
      </c>
      <c r="TY71" s="20" t="n">
        <f aca="false">QE71+HP71</f>
        <v>67079.7687335447</v>
      </c>
      <c r="TZ71" s="20" t="n">
        <f aca="false">IF(AND(C71=1,TY71&gt;PR_MinShort),1,0)</f>
        <v>0</v>
      </c>
      <c r="UA71" s="20" t="n">
        <f aca="false">IF(AND(C71=1,TZ71=0,TX71&gt;PR_MinShort),1,0)</f>
        <v>0</v>
      </c>
      <c r="UB71" s="20" t="n">
        <f aca="false">IF(AND(C71=1,QE71&gt;PR_MinShort),1,0)</f>
        <v>0</v>
      </c>
      <c r="UC71" s="20" t="n">
        <f aca="false">IF(AND(C71=1,QF71&gt;1,UJ71=0),1,0)</f>
        <v>0</v>
      </c>
      <c r="UD71" s="20" t="str">
        <f aca="false">IF(C71=0,"",IF(UJ71=1,"Gap to plan for: short "&amp;"€"&amp;TEXT(ROUND(TP71,0),"#,##0"),IF(QF71&gt;1,"Using savings","Comfortable")))</f>
        <v/>
      </c>
      <c r="UE71" s="20" t="n">
        <f aca="false">IF(AND(INT(D71/10)*10=90,B71&gt;0),80,INT(D71/10)*10)</f>
        <v>100</v>
      </c>
      <c r="UF71" s="20" t="n">
        <f aca="false">IF(B71=0,1,IF(UE71&lt;&gt;UE70,UF70+1,UF70))</f>
        <v>7</v>
      </c>
      <c r="UG71" s="20" t="n">
        <f aca="false">IF(AND(C71=1,G71=1,QE71&gt;MAX(PR_Short1,TQ71*PR_Short2)),1,0)</f>
        <v>0</v>
      </c>
      <c r="UH71" s="20" t="n">
        <f aca="false">TR71*TV71</f>
        <v>0</v>
      </c>
      <c r="UI71" s="20" t="n">
        <f aca="false">IF(AND(V71=1,Slot1_PctLow=1),1,0)+IF(AND(AG71=1,Slot2_PctLow=1),1,0)+IF(AND(AQ71=1,Slot3_PctLow=1),1,0)+IF(AND(BA71=1,Slot4_PctLow=1),1,0)+IF(AND(BK71=1,Slot5_PctLow=1),1,0)+IF(AND(BU71=1,Slot6_PctLow=1),1,0)+IF(AND(CE71=1,Slot7_PctLow=1),1,0)+IF(AND(CO71=1,Slot8_PctLow=1),1,0)+IF(AND(CY71=1,Slot9_PctLow=1),1,0)+IF(AND(DI71=1,Slot10_PctLow=1),1,0)+IF(AND(DS71=1,Slot11_PctLow=1),1,0)+IF(AND(EC71=1,Slot12_PctLow=1),1,0)+IF(AND(EM71=1,Slot13_PctLow=1),1,0)+IF(AND(EW71=1,Slot14_PctLow=1),1,0)+IF(AND(FG71=1,Slot15_PctLow=1),1,0)+IF(AND(FQ71=1,Slot16_PctLow=1),1,0)+IF(AND(GA71=1,Slot17_PctLow=1),1,0)+IF(AND(GK71=1,Slot18_PctLow=1),1,0)+IF(AND(GU71=1,Slot19_PctLow=1),1,0)+IF(AND(HE71=1,Slot20_PctLow=1),1,0)</f>
        <v>0</v>
      </c>
      <c r="UJ71" s="20" t="n">
        <f aca="false">IF(C71=1,IF(OR(TV71=1,UI71&gt;0),1,0),0)</f>
        <v>0</v>
      </c>
      <c r="UK71" s="20" t="n">
        <f aca="false">Z71+AK71+AU71+BE71+BO71+BY71+CI71+CS71+DC71+DM71+DW71+EG71+EQ71+FA71+FK71+FU71+GE71+GO71+GY71+HI71+OM71</f>
        <v>0</v>
      </c>
      <c r="UL71" s="20" t="n">
        <f aca="false">V71*IF(Slot1_SpendLike=1,X71-Y71,IF(Slot1_PotFree=1,X71,0))+AG71*IF(Slot2_SpendLike=1,AI71-AJ71,IF(Slot2_PotFree=1,AI71,0))+AQ71*IF(Slot3_SpendLike=1,AS71-AT71,IF(Slot3_PotFree=1,AS71,0))+BA71*IF(Slot4_SpendLike=1,BC71-BD71,IF(Slot4_PotFree=1,BC71,0))+BK71*IF(Slot5_SpendLike=1,BM71-BN71,IF(Slot5_PotFree=1,BM71,0))+BU71*IF(Slot6_SpendLike=1,BW71-BX71,IF(Slot6_PotFree=1,BW71,0))+CE71*IF(Slot7_SpendLike=1,CG71-CH71,IF(Slot7_PotFree=1,CG71,0))+CO71*IF(Slot8_SpendLike=1,CQ71-CR71,IF(Slot8_PotFree=1,CQ71,0))+CY71*IF(Slot9_SpendLike=1,DA71-DB71,IF(Slot9_PotFree=1,DA71,0))+DI71*IF(Slot10_SpendLike=1,DK71-DL71,IF(Slot10_PotFree=1,DK71,0))+DS71*IF(Slot11_SpendLike=1,DU71-DV71,IF(Slot11_PotFree=1,DU71,0))+EC71*IF(Slot12_SpendLike=1,EE71-EF71,IF(Slot12_PotFree=1,EE71,0))+EM71*IF(Slot13_SpendLike=1,EO71-EP71,IF(Slot13_PotFree=1,EO71,0))+EW71*IF(Slot14_SpendLike=1,EY71-EZ71,IF(Slot14_PotFree=1,EY71,0))+FG71*IF(Slot15_SpendLike=1,FI71-FJ71,IF(Slot15_PotFree=1,FI71,0))+FQ71*IF(Slot16_SpendLike=1,FS71-FT71,IF(Slot16_PotFree=1,FS71,0))+GA71*IF(Slot17_SpendLike=1,GC71-GD71,IF(Slot17_PotFree=1,GC71,0))+GK71*IF(Slot18_SpendLike=1,GM71-GN71,IF(Slot18_PotFree=1,GM71,0))+GU71*IF(Slot19_SpendLike=1,GW71-GX71,IF(Slot19_PotFree=1,GW71,0))+HE71*IF(Slot20_SpendLike=1,HG71-HH71,IF(Slot20_PotFree=1,HG71,0))</f>
        <v>0</v>
      </c>
      <c r="UM71" s="20" t="n">
        <f aca="false">QG71-T71+UK71-UL71</f>
        <v>0</v>
      </c>
      <c r="UN71" s="20" t="n">
        <f aca="false">IF(OR(UN70=1,AND(In_homeUse="Yes, I'd downsize",In_downAge&gt;0,D71=In_downAge,OR(In_home="Own outright",In_home="Own with mortgage"),In_homeValue&gt;0)),1,0)</f>
        <v>0</v>
      </c>
    </row>
    <row r="72" customFormat="false" ht="15" hidden="false" customHeight="true" outlineLevel="0" collapsed="false">
      <c r="B72" s="20" t="n">
        <v>64</v>
      </c>
      <c r="C72" s="20" t="n">
        <f aca="false">IF(B72&lt;=F_N,1,0)</f>
        <v>0</v>
      </c>
      <c r="D72" s="20" t="n">
        <f aca="false">'Plan pay &amp; tax'!C298</f>
        <v>102</v>
      </c>
      <c r="E72" s="20" t="str">
        <f aca="false">IF($C72=1,"Income tax "&amp;TEXT(N('Plan pay &amp; tax'!BK298),"#,##0")&amp;"; USC "&amp;TEXT(N('Plan pay &amp; tax'!BM298)+N('Plan pay &amp; tax'!BO298),"#,##0")&amp;"; PRSI "&amp;TEXT(N('Plan pay &amp; tax'!BP298)+N('Plan pay &amp; tax'!BQ298),"#,##0")&amp;IF(N('Plan holdings'!BO72)&gt;=0.5,"; DIRT "&amp;TEXT(('Plan holdings'!BO72)/$F72,"#,##0")&amp;" (already taken from the interest earned)","")&amp;IF(N('Plan holdings'!BP72)&gt;=0.5,"; exit tax at an 8-year anniversary "&amp;TEXT(('Plan holdings'!BP72)/$F72,"#,##0"),"")&amp;IF(N('Plan holdings'!BN72)&gt;=0.5,"; tax on assets sold (exit tax or capital gains tax) "&amp;TEXT(('Plan holdings'!BN72)/$F72,"#,##0"),"")&amp;IF(N('Plan pay &amp; tax'!X298)-N('Plan pay &amp; tax'!Y298)&gt;=0.5,"; tax on the pension lump sum "&amp;TEXT(('Plan pay &amp; tax'!X298-'Plan pay &amp; tax'!Y298)/$F72,"#,##0"),"")&amp;IF(N('Plan pay &amp; tax'!V298)&gt;=0.5,"; chargeable excess tax on the pension "&amp;TEXT(('Plan pay &amp; tax'!V298)/$F72,"#,##0"),"")&amp;".","")</f>
        <v/>
      </c>
      <c r="F72" s="50" t="n">
        <f aca="false">'Plan pay &amp; tax'!E298</f>
        <v>3.55149324327688</v>
      </c>
      <c r="G72" s="20" t="n">
        <f aca="false">'Plan pay &amp; tax'!G298</f>
        <v>0</v>
      </c>
      <c r="H72" s="20" t="n">
        <f aca="false">'Plan pay &amp; tax'!BT298-'Plan pay &amp; tax'!BS298-'Plan pay &amp; tax'!R298</f>
        <v>101340.012920419</v>
      </c>
      <c r="I72" s="20" t="n">
        <f aca="false">IF(G72=1,F_CostsM*12,IF(RG_Exists=1,RG_Amount,F_CostsM*12*AS_RetireSpend))*F72+F_OneOffY*F72</f>
        <v>169761.377028635</v>
      </c>
      <c r="J72" s="20" t="n">
        <f aca="false">IF(UN72=1,0,HR71)</f>
        <v>0</v>
      </c>
      <c r="K72" s="20" t="n">
        <f aca="false">IF(J72&gt;1,'Plan debt months'!AC72,0)</f>
        <v>0</v>
      </c>
      <c r="L72" s="20" t="n">
        <f aca="false">IF(J72&gt;1,'Plan debt months'!AB72,J72)</f>
        <v>0</v>
      </c>
      <c r="M72" s="20" t="n">
        <f aca="false">O71</f>
        <v>0</v>
      </c>
      <c r="N72" s="20" t="n">
        <f aca="false">IF(M72&gt;1,'Plan debt months'!BD72,0)</f>
        <v>0</v>
      </c>
      <c r="O72" s="20" t="n">
        <f aca="false">IF(M72&gt;1,'Plan debt months'!BC72,M72)</f>
        <v>0</v>
      </c>
      <c r="P72" s="20" t="n">
        <f aca="false">R71</f>
        <v>0</v>
      </c>
      <c r="Q72" s="20" t="n">
        <f aca="false">IF(P72&gt;1,'Plan debt months'!CE72,0)</f>
        <v>0</v>
      </c>
      <c r="R72" s="20" t="n">
        <f aca="false">IF(P72&gt;1,'Plan debt months'!CD72,P72)</f>
        <v>0</v>
      </c>
      <c r="S72" s="20" t="n">
        <f aca="false">K72+N72+Q72</f>
        <v>0</v>
      </c>
      <c r="T72" s="57" t="n">
        <f aca="false">'Plan holdings'!Y72</f>
        <v>0</v>
      </c>
      <c r="U72" s="57" t="n">
        <f aca="false">'Plan holdings'!BM71</f>
        <v>0</v>
      </c>
      <c r="V72" s="20" t="n">
        <f aca="false">IF(AND(Slot1_On=1,D72=Slot1_Age),1,0)</f>
        <v>0</v>
      </c>
      <c r="W72" s="20" t="n">
        <f aca="false">IF(AND(Slot1_On=1,Slot1_Age&gt;D72),1,0)</f>
        <v>0</v>
      </c>
      <c r="X72" s="20" t="n">
        <f aca="false">QM71</f>
        <v>0</v>
      </c>
      <c r="Y72" s="20" t="n">
        <f aca="false">V72*MIN(Slot1_Cost,X72)</f>
        <v>0</v>
      </c>
      <c r="Z72" s="20" t="n">
        <f aca="false">V72*Slot1_SpendLike*MIN(Slot1_Cost-Y72,T72)</f>
        <v>0</v>
      </c>
      <c r="AA72" s="20" t="n">
        <f aca="false">Y72+Z72</f>
        <v>0</v>
      </c>
      <c r="AB72" s="20" t="n">
        <f aca="false">T72-Z72+V72*IF(Slot1_SpendLike=1,X72-Y72,IF(Slot1_PotFree=1,X72,0))</f>
        <v>0</v>
      </c>
      <c r="AC72" s="20" t="n">
        <f aca="false">AF72+V72*Slot1_BufPot*X72</f>
        <v>0</v>
      </c>
      <c r="AD72" s="20" t="n">
        <f aca="false">IF(AND(V72=1,Slot1_IsMfree=1),IF(AA72&gt;=Slot1_Cost-1,0,MAX(0,L72-AA72)),L72)</f>
        <v>0</v>
      </c>
      <c r="AE72" s="20" t="n">
        <f aca="false">V72*(Slot1_Cost-AA72)</f>
        <v>0</v>
      </c>
      <c r="AF72" s="20" t="n">
        <f aca="false">QL71</f>
        <v>0</v>
      </c>
      <c r="AG72" s="20" t="n">
        <f aca="false">IF(AND(Slot2_On=1,D72=Slot2_Age),1,0)</f>
        <v>0</v>
      </c>
      <c r="AH72" s="20" t="n">
        <f aca="false">IF(AND(Slot2_On=1,Slot2_Age&gt;D72),1,0)</f>
        <v>0</v>
      </c>
      <c r="AI72" s="20" t="n">
        <f aca="false">QQ71</f>
        <v>0</v>
      </c>
      <c r="AJ72" s="20" t="n">
        <f aca="false">AG72*MIN(Slot2_Cost,AI72)</f>
        <v>0</v>
      </c>
      <c r="AK72" s="20" t="n">
        <f aca="false">AG72*Slot2_SpendLike*MIN(Slot2_Cost-AJ72,AB72)</f>
        <v>0</v>
      </c>
      <c r="AL72" s="20" t="n">
        <f aca="false">AJ72+AK72</f>
        <v>0</v>
      </c>
      <c r="AM72" s="20" t="n">
        <f aca="false">AB72-AK72+AG72*IF(Slot2_SpendLike=1,AI72-AJ72,IF(Slot2_PotFree=1,AI72,0))</f>
        <v>0</v>
      </c>
      <c r="AN72" s="20" t="n">
        <f aca="false">AC72+AG72*Slot2_BufPot*AI72</f>
        <v>0</v>
      </c>
      <c r="AO72" s="20" t="n">
        <f aca="false">IF(AND(AG72=1,Slot2_IsMfree=1),IF(AL72&gt;=Slot2_Cost-1,0,MAX(0,AD72-AL72)),AD72)</f>
        <v>0</v>
      </c>
      <c r="AP72" s="20" t="n">
        <f aca="false">AG72*(Slot2_Cost-AL72)</f>
        <v>0</v>
      </c>
      <c r="AQ72" s="20" t="n">
        <f aca="false">IF(AND(Slot3_On=1,D72=Slot3_Age),1,0)</f>
        <v>0</v>
      </c>
      <c r="AR72" s="20" t="n">
        <f aca="false">IF(AND(Slot3_On=1,Slot3_Age&gt;D72),1,0)</f>
        <v>0</v>
      </c>
      <c r="AS72" s="20" t="n">
        <f aca="false">QU71</f>
        <v>0</v>
      </c>
      <c r="AT72" s="20" t="n">
        <f aca="false">AQ72*MIN(Slot3_Cost,AS72)</f>
        <v>0</v>
      </c>
      <c r="AU72" s="20" t="n">
        <f aca="false">AQ72*Slot3_SpendLike*MIN(Slot3_Cost-AT72,AM72)</f>
        <v>0</v>
      </c>
      <c r="AV72" s="20" t="n">
        <f aca="false">AT72+AU72</f>
        <v>0</v>
      </c>
      <c r="AW72" s="20" t="n">
        <f aca="false">AM72-AU72+AQ72*IF(Slot3_SpendLike=1,AS72-AT72,IF(Slot3_PotFree=1,AS72,0))</f>
        <v>0</v>
      </c>
      <c r="AX72" s="20" t="n">
        <f aca="false">AN72+AQ72*Slot3_BufPot*AS72</f>
        <v>0</v>
      </c>
      <c r="AY72" s="20" t="n">
        <f aca="false">IF(AND(AQ72=1,Slot3_IsMfree=1),IF(AV72&gt;=Slot3_Cost-1,0,MAX(0,AO72-AV72)),AO72)</f>
        <v>0</v>
      </c>
      <c r="AZ72" s="20" t="n">
        <f aca="false">AQ72*(Slot3_Cost-AV72)</f>
        <v>0</v>
      </c>
      <c r="BA72" s="20" t="n">
        <f aca="false">IF(AND(Slot4_On=1,D72=Slot4_Age),1,0)</f>
        <v>0</v>
      </c>
      <c r="BB72" s="20" t="n">
        <f aca="false">IF(AND(Slot4_On=1,Slot4_Age&gt;D72),1,0)</f>
        <v>0</v>
      </c>
      <c r="BC72" s="20" t="n">
        <f aca="false">QY71</f>
        <v>0</v>
      </c>
      <c r="BD72" s="20" t="n">
        <f aca="false">BA72*MIN(Slot4_Cost,BC72)</f>
        <v>0</v>
      </c>
      <c r="BE72" s="20" t="n">
        <f aca="false">BA72*Slot4_SpendLike*MIN(Slot4_Cost-BD72,AW72)</f>
        <v>0</v>
      </c>
      <c r="BF72" s="20" t="n">
        <f aca="false">BD72+BE72</f>
        <v>0</v>
      </c>
      <c r="BG72" s="20" t="n">
        <f aca="false">AW72-BE72+BA72*IF(Slot4_SpendLike=1,BC72-BD72,IF(Slot4_PotFree=1,BC72,0))</f>
        <v>0</v>
      </c>
      <c r="BH72" s="20" t="n">
        <f aca="false">AX72+BA72*Slot4_BufPot*BC72</f>
        <v>0</v>
      </c>
      <c r="BI72" s="20" t="n">
        <f aca="false">IF(AND(BA72=1,Slot4_IsMfree=1),IF(BF72&gt;=Slot4_Cost-1,0,MAX(0,AY72-BF72)),AY72)</f>
        <v>0</v>
      </c>
      <c r="BJ72" s="20" t="n">
        <f aca="false">BA72*(Slot4_Cost-BF72)</f>
        <v>0</v>
      </c>
      <c r="BK72" s="20" t="n">
        <f aca="false">IF(AND(Slot5_On=1,D72=Slot5_Age),1,0)</f>
        <v>0</v>
      </c>
      <c r="BL72" s="20" t="n">
        <f aca="false">IF(AND(Slot5_On=1,Slot5_Age&gt;D72),1,0)</f>
        <v>0</v>
      </c>
      <c r="BM72" s="20" t="n">
        <f aca="false">RC71</f>
        <v>0</v>
      </c>
      <c r="BN72" s="20" t="n">
        <f aca="false">BK72*MIN(Slot5_Cost,BM72)</f>
        <v>0</v>
      </c>
      <c r="BO72" s="20" t="n">
        <f aca="false">BK72*Slot5_SpendLike*MIN(Slot5_Cost-BN72,BG72)</f>
        <v>0</v>
      </c>
      <c r="BP72" s="20" t="n">
        <f aca="false">BN72+BO72</f>
        <v>0</v>
      </c>
      <c r="BQ72" s="20" t="n">
        <f aca="false">BG72-BO72+BK72*IF(Slot5_SpendLike=1,BM72-BN72,IF(Slot5_PotFree=1,BM72,0))</f>
        <v>0</v>
      </c>
      <c r="BR72" s="20" t="n">
        <f aca="false">BH72+BK72*Slot5_BufPot*BM72</f>
        <v>0</v>
      </c>
      <c r="BS72" s="20" t="n">
        <f aca="false">IF(AND(BK72=1,Slot5_IsMfree=1),IF(BP72&gt;=Slot5_Cost-1,0,MAX(0,BI72-BP72)),BI72)</f>
        <v>0</v>
      </c>
      <c r="BT72" s="20" t="n">
        <f aca="false">BK72*(Slot5_Cost-BP72)</f>
        <v>0</v>
      </c>
      <c r="BU72" s="20" t="n">
        <f aca="false">IF(AND(Slot6_On=1,D72=Slot6_Age),1,0)</f>
        <v>0</v>
      </c>
      <c r="BV72" s="20" t="n">
        <f aca="false">IF(AND(Slot6_On=1,Slot6_Age&gt;D72),1,0)</f>
        <v>0</v>
      </c>
      <c r="BW72" s="20" t="n">
        <f aca="false">RG71</f>
        <v>0</v>
      </c>
      <c r="BX72" s="20" t="n">
        <f aca="false">BU72*MIN(Slot6_Cost,BW72)</f>
        <v>0</v>
      </c>
      <c r="BY72" s="20" t="n">
        <f aca="false">BU72*Slot6_SpendLike*MIN(Slot6_Cost-BX72,BQ72)</f>
        <v>0</v>
      </c>
      <c r="BZ72" s="20" t="n">
        <f aca="false">BX72+BY72</f>
        <v>0</v>
      </c>
      <c r="CA72" s="20" t="n">
        <f aca="false">BQ72-BY72+BU72*IF(Slot6_SpendLike=1,BW72-BX72,IF(Slot6_PotFree=1,BW72,0))</f>
        <v>0</v>
      </c>
      <c r="CB72" s="20" t="n">
        <f aca="false">BR72+BU72*Slot6_BufPot*BW72</f>
        <v>0</v>
      </c>
      <c r="CC72" s="20" t="n">
        <f aca="false">IF(AND(BU72=1,Slot6_IsMfree=1),IF(BZ72&gt;=Slot6_Cost-1,0,MAX(0,BS72-BZ72)),BS72)</f>
        <v>0</v>
      </c>
      <c r="CD72" s="20" t="n">
        <f aca="false">BU72*(Slot6_Cost-BZ72)</f>
        <v>0</v>
      </c>
      <c r="CE72" s="20" t="n">
        <f aca="false">IF(AND(Slot7_On=1,D72=Slot7_Age),1,0)</f>
        <v>0</v>
      </c>
      <c r="CF72" s="20" t="n">
        <f aca="false">IF(AND(Slot7_On=1,Slot7_Age&gt;D72),1,0)</f>
        <v>0</v>
      </c>
      <c r="CG72" s="20" t="n">
        <f aca="false">RK71</f>
        <v>0</v>
      </c>
      <c r="CH72" s="20" t="n">
        <f aca="false">CE72*MIN(Slot7_Cost,CG72)</f>
        <v>0</v>
      </c>
      <c r="CI72" s="20" t="n">
        <f aca="false">CE72*Slot7_SpendLike*MIN(Slot7_Cost-CH72,CA72)</f>
        <v>0</v>
      </c>
      <c r="CJ72" s="20" t="n">
        <f aca="false">CH72+CI72</f>
        <v>0</v>
      </c>
      <c r="CK72" s="20" t="n">
        <f aca="false">CA72-CI72+CE72*IF(Slot7_SpendLike=1,CG72-CH72,IF(Slot7_PotFree=1,CG72,0))</f>
        <v>0</v>
      </c>
      <c r="CL72" s="20" t="n">
        <f aca="false">CB72+CE72*Slot7_BufPot*CG72</f>
        <v>0</v>
      </c>
      <c r="CM72" s="20" t="n">
        <f aca="false">IF(AND(CE72=1,Slot7_IsMfree=1),IF(CJ72&gt;=Slot7_Cost-1,0,MAX(0,CC72-CJ72)),CC72)</f>
        <v>0</v>
      </c>
      <c r="CN72" s="20" t="n">
        <f aca="false">CE72*(Slot7_Cost-CJ72)</f>
        <v>0</v>
      </c>
      <c r="CO72" s="20" t="n">
        <f aca="false">IF(AND(Slot8_On=1,D72=Slot8_Age),1,0)</f>
        <v>0</v>
      </c>
      <c r="CP72" s="20" t="n">
        <f aca="false">IF(AND(Slot8_On=1,Slot8_Age&gt;D72),1,0)</f>
        <v>0</v>
      </c>
      <c r="CQ72" s="20" t="n">
        <f aca="false">RO71</f>
        <v>0</v>
      </c>
      <c r="CR72" s="20" t="n">
        <f aca="false">CO72*MIN(Slot8_Cost,CQ72)</f>
        <v>0</v>
      </c>
      <c r="CS72" s="20" t="n">
        <f aca="false">CO72*Slot8_SpendLike*MIN(Slot8_Cost-CR72,CK72)</f>
        <v>0</v>
      </c>
      <c r="CT72" s="20" t="n">
        <f aca="false">CR72+CS72</f>
        <v>0</v>
      </c>
      <c r="CU72" s="20" t="n">
        <f aca="false">CK72-CS72+CO72*IF(Slot8_SpendLike=1,CQ72-CR72,IF(Slot8_PotFree=1,CQ72,0))</f>
        <v>0</v>
      </c>
      <c r="CV72" s="20" t="n">
        <f aca="false">CL72+CO72*Slot8_BufPot*CQ72</f>
        <v>0</v>
      </c>
      <c r="CW72" s="20" t="n">
        <f aca="false">IF(AND(CO72=1,Slot8_IsMfree=1),IF(CT72&gt;=Slot8_Cost-1,0,MAX(0,CM72-CT72)),CM72)</f>
        <v>0</v>
      </c>
      <c r="CX72" s="20" t="n">
        <f aca="false">CO72*(Slot8_Cost-CT72)</f>
        <v>0</v>
      </c>
      <c r="CY72" s="20" t="n">
        <f aca="false">IF(AND(Slot9_On=1,D72=Slot9_Age),1,0)</f>
        <v>0</v>
      </c>
      <c r="CZ72" s="20" t="n">
        <f aca="false">IF(AND(Slot9_On=1,Slot9_Age&gt;D72),1,0)</f>
        <v>0</v>
      </c>
      <c r="DA72" s="20" t="n">
        <f aca="false">RS71</f>
        <v>0</v>
      </c>
      <c r="DB72" s="20" t="n">
        <f aca="false">CY72*MIN(Slot9_Cost,DA72)</f>
        <v>0</v>
      </c>
      <c r="DC72" s="20" t="n">
        <f aca="false">CY72*Slot9_SpendLike*MIN(Slot9_Cost-DB72,CU72)</f>
        <v>0</v>
      </c>
      <c r="DD72" s="20" t="n">
        <f aca="false">DB72+DC72</f>
        <v>0</v>
      </c>
      <c r="DE72" s="20" t="n">
        <f aca="false">CU72-DC72+CY72*IF(Slot9_SpendLike=1,DA72-DB72,IF(Slot9_PotFree=1,DA72,0))</f>
        <v>0</v>
      </c>
      <c r="DF72" s="20" t="n">
        <f aca="false">CV72+CY72*Slot9_BufPot*DA72</f>
        <v>0</v>
      </c>
      <c r="DG72" s="20" t="n">
        <f aca="false">IF(AND(CY72=1,Slot9_IsMfree=1),IF(DD72&gt;=Slot9_Cost-1,0,MAX(0,CW72-DD72)),CW72)</f>
        <v>0</v>
      </c>
      <c r="DH72" s="20" t="n">
        <f aca="false">CY72*(Slot9_Cost-DD72)</f>
        <v>0</v>
      </c>
      <c r="DI72" s="20" t="n">
        <f aca="false">IF(AND(Slot10_On=1,D72=Slot10_Age),1,0)</f>
        <v>0</v>
      </c>
      <c r="DJ72" s="20" t="n">
        <f aca="false">IF(AND(Slot10_On=1,Slot10_Age&gt;D72),1,0)</f>
        <v>0</v>
      </c>
      <c r="DK72" s="20" t="n">
        <f aca="false">RW71</f>
        <v>0</v>
      </c>
      <c r="DL72" s="20" t="n">
        <f aca="false">DI72*MIN(Slot10_Cost,DK72)</f>
        <v>0</v>
      </c>
      <c r="DM72" s="20" t="n">
        <f aca="false">DI72*Slot10_SpendLike*MIN(Slot10_Cost-DL72,DE72)</f>
        <v>0</v>
      </c>
      <c r="DN72" s="20" t="n">
        <f aca="false">DL72+DM72</f>
        <v>0</v>
      </c>
      <c r="DO72" s="20" t="n">
        <f aca="false">DE72-DM72+DI72*IF(Slot10_SpendLike=1,DK72-DL72,IF(Slot10_PotFree=1,DK72,0))</f>
        <v>0</v>
      </c>
      <c r="DP72" s="20" t="n">
        <f aca="false">DF72+DI72*Slot10_BufPot*DK72</f>
        <v>0</v>
      </c>
      <c r="DQ72" s="20" t="n">
        <f aca="false">IF(AND(DI72=1,Slot10_IsMfree=1),IF(DN72&gt;=Slot10_Cost-1,0,MAX(0,DG72-DN72)),DG72)</f>
        <v>0</v>
      </c>
      <c r="DR72" s="20" t="n">
        <f aca="false">DI72*(Slot10_Cost-DN72)</f>
        <v>0</v>
      </c>
      <c r="DS72" s="20" t="n">
        <f aca="false">IF(AND(Slot11_On=1,D72=Slot11_Age),1,0)</f>
        <v>0</v>
      </c>
      <c r="DT72" s="20" t="n">
        <f aca="false">IF(AND(Slot11_On=1,Slot11_Age&gt;D72),1,0)</f>
        <v>0</v>
      </c>
      <c r="DU72" s="20" t="n">
        <f aca="false">SA71</f>
        <v>0</v>
      </c>
      <c r="DV72" s="20" t="n">
        <f aca="false">DS72*MIN(Slot11_Cost,DU72)</f>
        <v>0</v>
      </c>
      <c r="DW72" s="20" t="n">
        <f aca="false">DS72*Slot11_SpendLike*MIN(Slot11_Cost-DV72,DO72)</f>
        <v>0</v>
      </c>
      <c r="DX72" s="20" t="n">
        <f aca="false">DV72+DW72</f>
        <v>0</v>
      </c>
      <c r="DY72" s="20" t="n">
        <f aca="false">DO72-DW72+DS72*IF(Slot11_SpendLike=1,DU72-DV72,IF(Slot11_PotFree=1,DU72,0))</f>
        <v>0</v>
      </c>
      <c r="DZ72" s="20" t="n">
        <f aca="false">DP72+DS72*Slot11_BufPot*DU72</f>
        <v>0</v>
      </c>
      <c r="EA72" s="20" t="n">
        <f aca="false">IF(AND(DS72=1,Slot11_IsMfree=1),IF(DX72&gt;=Slot11_Cost-1,0,MAX(0,DQ72-DX72)),DQ72)</f>
        <v>0</v>
      </c>
      <c r="EB72" s="20" t="n">
        <f aca="false">DS72*(Slot11_Cost-DX72)</f>
        <v>0</v>
      </c>
      <c r="EC72" s="20" t="n">
        <f aca="false">IF(AND(Slot12_On=1,D72=Slot12_Age),1,0)</f>
        <v>0</v>
      </c>
      <c r="ED72" s="20" t="n">
        <f aca="false">IF(AND(Slot12_On=1,Slot12_Age&gt;D72),1,0)</f>
        <v>0</v>
      </c>
      <c r="EE72" s="20" t="n">
        <f aca="false">SE71</f>
        <v>0</v>
      </c>
      <c r="EF72" s="20" t="n">
        <f aca="false">EC72*MIN(Slot12_Cost,EE72)</f>
        <v>0</v>
      </c>
      <c r="EG72" s="20" t="n">
        <f aca="false">EC72*Slot12_SpendLike*MIN(Slot12_Cost-EF72,DY72)</f>
        <v>0</v>
      </c>
      <c r="EH72" s="20" t="n">
        <f aca="false">EF72+EG72</f>
        <v>0</v>
      </c>
      <c r="EI72" s="20" t="n">
        <f aca="false">DY72-EG72+EC72*IF(Slot12_SpendLike=1,EE72-EF72,IF(Slot12_PotFree=1,EE72,0))</f>
        <v>0</v>
      </c>
      <c r="EJ72" s="20" t="n">
        <f aca="false">DZ72+EC72*Slot12_BufPot*EE72</f>
        <v>0</v>
      </c>
      <c r="EK72" s="20" t="n">
        <f aca="false">IF(AND(EC72=1,Slot12_IsMfree=1),IF(EH72&gt;=Slot12_Cost-1,0,MAX(0,EA72-EH72)),EA72)</f>
        <v>0</v>
      </c>
      <c r="EL72" s="20" t="n">
        <f aca="false">EC72*(Slot12_Cost-EH72)</f>
        <v>0</v>
      </c>
      <c r="EM72" s="20" t="n">
        <f aca="false">IF(AND(Slot13_On=1,D72=Slot13_Age),1,0)</f>
        <v>0</v>
      </c>
      <c r="EN72" s="20" t="n">
        <f aca="false">IF(AND(Slot13_On=1,Slot13_Age&gt;D72),1,0)</f>
        <v>0</v>
      </c>
      <c r="EO72" s="20" t="n">
        <f aca="false">SI71</f>
        <v>0</v>
      </c>
      <c r="EP72" s="20" t="n">
        <f aca="false">EM72*MIN(Slot13_Cost,EO72)</f>
        <v>0</v>
      </c>
      <c r="EQ72" s="20" t="n">
        <f aca="false">EM72*Slot13_SpendLike*MIN(Slot13_Cost-EP72,EI72)</f>
        <v>0</v>
      </c>
      <c r="ER72" s="20" t="n">
        <f aca="false">EP72+EQ72</f>
        <v>0</v>
      </c>
      <c r="ES72" s="20" t="n">
        <f aca="false">EI72-EQ72+EM72*IF(Slot13_SpendLike=1,EO72-EP72,IF(Slot13_PotFree=1,EO72,0))</f>
        <v>0</v>
      </c>
      <c r="ET72" s="20" t="n">
        <f aca="false">EJ72+EM72*Slot13_BufPot*EO72</f>
        <v>0</v>
      </c>
      <c r="EU72" s="20" t="n">
        <f aca="false">IF(AND(EM72=1,Slot13_IsMfree=1),IF(ER72&gt;=Slot13_Cost-1,0,MAX(0,EK72-ER72)),EK72)</f>
        <v>0</v>
      </c>
      <c r="EV72" s="20" t="n">
        <f aca="false">EM72*(Slot13_Cost-ER72)</f>
        <v>0</v>
      </c>
      <c r="EW72" s="20" t="n">
        <f aca="false">IF(AND(Slot14_On=1,D72=Slot14_Age),1,0)</f>
        <v>0</v>
      </c>
      <c r="EX72" s="20" t="n">
        <f aca="false">IF(AND(Slot14_On=1,Slot14_Age&gt;D72),1,0)</f>
        <v>0</v>
      </c>
      <c r="EY72" s="20" t="n">
        <f aca="false">SM71</f>
        <v>0</v>
      </c>
      <c r="EZ72" s="20" t="n">
        <f aca="false">EW72*MIN(Slot14_Cost,EY72)</f>
        <v>0</v>
      </c>
      <c r="FA72" s="20" t="n">
        <f aca="false">EW72*Slot14_SpendLike*MIN(Slot14_Cost-EZ72,ES72)</f>
        <v>0</v>
      </c>
      <c r="FB72" s="20" t="n">
        <f aca="false">EZ72+FA72</f>
        <v>0</v>
      </c>
      <c r="FC72" s="20" t="n">
        <f aca="false">ES72-FA72+EW72*IF(Slot14_SpendLike=1,EY72-EZ72,IF(Slot14_PotFree=1,EY72,0))</f>
        <v>0</v>
      </c>
      <c r="FD72" s="20" t="n">
        <f aca="false">ET72+EW72*Slot14_BufPot*EY72</f>
        <v>0</v>
      </c>
      <c r="FE72" s="20" t="n">
        <f aca="false">IF(AND(EW72=1,Slot14_IsMfree=1),IF(FB72&gt;=Slot14_Cost-1,0,MAX(0,EU72-FB72)),EU72)</f>
        <v>0</v>
      </c>
      <c r="FF72" s="20" t="n">
        <f aca="false">EW72*(Slot14_Cost-FB72)</f>
        <v>0</v>
      </c>
      <c r="FG72" s="20" t="n">
        <f aca="false">IF(AND(Slot15_On=1,D72=Slot15_Age),1,0)</f>
        <v>0</v>
      </c>
      <c r="FH72" s="20" t="n">
        <f aca="false">IF(AND(Slot15_On=1,Slot15_Age&gt;D72),1,0)</f>
        <v>0</v>
      </c>
      <c r="FI72" s="20" t="n">
        <f aca="false">SQ71</f>
        <v>0</v>
      </c>
      <c r="FJ72" s="20" t="n">
        <f aca="false">FG72*MIN(Slot15_Cost,FI72)</f>
        <v>0</v>
      </c>
      <c r="FK72" s="20" t="n">
        <f aca="false">FG72*Slot15_SpendLike*MIN(Slot15_Cost-FJ72,FC72)</f>
        <v>0</v>
      </c>
      <c r="FL72" s="20" t="n">
        <f aca="false">FJ72+FK72</f>
        <v>0</v>
      </c>
      <c r="FM72" s="20" t="n">
        <f aca="false">FC72-FK72+FG72*IF(Slot15_SpendLike=1,FI72-FJ72,IF(Slot15_PotFree=1,FI72,0))</f>
        <v>0</v>
      </c>
      <c r="FN72" s="20" t="n">
        <f aca="false">FD72+FG72*Slot15_BufPot*FI72</f>
        <v>0</v>
      </c>
      <c r="FO72" s="20" t="n">
        <f aca="false">IF(AND(FG72=1,Slot15_IsMfree=1),IF(FL72&gt;=Slot15_Cost-1,0,MAX(0,FE72-FL72)),FE72)</f>
        <v>0</v>
      </c>
      <c r="FP72" s="20" t="n">
        <f aca="false">FG72*(Slot15_Cost-FL72)</f>
        <v>0</v>
      </c>
      <c r="FQ72" s="20" t="n">
        <f aca="false">IF(AND(Slot16_On=1,D72=Slot16_Age),1,0)</f>
        <v>0</v>
      </c>
      <c r="FR72" s="20" t="n">
        <f aca="false">IF(AND(Slot16_On=1,Slot16_Age&gt;D72),1,0)</f>
        <v>0</v>
      </c>
      <c r="FS72" s="20" t="n">
        <f aca="false">SU71</f>
        <v>0</v>
      </c>
      <c r="FT72" s="20" t="n">
        <f aca="false">FQ72*MIN(Slot16_Cost,FS72)</f>
        <v>0</v>
      </c>
      <c r="FU72" s="20" t="n">
        <f aca="false">FQ72*Slot16_SpendLike*MIN(Slot16_Cost-FT72,FM72)</f>
        <v>0</v>
      </c>
      <c r="FV72" s="20" t="n">
        <f aca="false">FT72+FU72</f>
        <v>0</v>
      </c>
      <c r="FW72" s="20" t="n">
        <f aca="false">FM72-FU72+FQ72*IF(Slot16_SpendLike=1,FS72-FT72,IF(Slot16_PotFree=1,FS72,0))</f>
        <v>0</v>
      </c>
      <c r="FX72" s="20" t="n">
        <f aca="false">FN72+FQ72*Slot16_BufPot*FS72</f>
        <v>0</v>
      </c>
      <c r="FY72" s="20" t="n">
        <f aca="false">IF(AND(FQ72=1,Slot16_IsMfree=1),IF(FV72&gt;=Slot16_Cost-1,0,MAX(0,FO72-FV72)),FO72)</f>
        <v>0</v>
      </c>
      <c r="FZ72" s="20" t="n">
        <f aca="false">FQ72*(Slot16_Cost-FV72)</f>
        <v>0</v>
      </c>
      <c r="GA72" s="20" t="n">
        <f aca="false">IF(AND(Slot17_On=1,D72=Slot17_Age),1,0)</f>
        <v>0</v>
      </c>
      <c r="GB72" s="20" t="n">
        <f aca="false">IF(AND(Slot17_On=1,Slot17_Age&gt;D72),1,0)</f>
        <v>0</v>
      </c>
      <c r="GC72" s="20" t="n">
        <f aca="false">SY71</f>
        <v>0</v>
      </c>
      <c r="GD72" s="20" t="n">
        <f aca="false">GA72*MIN(Slot17_Cost,GC72)</f>
        <v>0</v>
      </c>
      <c r="GE72" s="20" t="n">
        <f aca="false">GA72*Slot17_SpendLike*MIN(Slot17_Cost-GD72,FW72)</f>
        <v>0</v>
      </c>
      <c r="GF72" s="20" t="n">
        <f aca="false">GD72+GE72</f>
        <v>0</v>
      </c>
      <c r="GG72" s="20" t="n">
        <f aca="false">FW72-GE72+GA72*IF(Slot17_SpendLike=1,GC72-GD72,IF(Slot17_PotFree=1,GC72,0))</f>
        <v>0</v>
      </c>
      <c r="GH72" s="20" t="n">
        <f aca="false">FX72+GA72*Slot17_BufPot*GC72</f>
        <v>0</v>
      </c>
      <c r="GI72" s="20" t="n">
        <f aca="false">IF(AND(GA72=1,Slot17_IsMfree=1),IF(GF72&gt;=Slot17_Cost-1,0,MAX(0,FY72-GF72)),FY72)</f>
        <v>0</v>
      </c>
      <c r="GJ72" s="20" t="n">
        <f aca="false">GA72*(Slot17_Cost-GF72)</f>
        <v>0</v>
      </c>
      <c r="GK72" s="20" t="n">
        <f aca="false">IF(AND(Slot18_On=1,D72=Slot18_Age),1,0)</f>
        <v>0</v>
      </c>
      <c r="GL72" s="20" t="n">
        <f aca="false">IF(AND(Slot18_On=1,Slot18_Age&gt;D72),1,0)</f>
        <v>0</v>
      </c>
      <c r="GM72" s="20" t="n">
        <f aca="false">TC71</f>
        <v>0</v>
      </c>
      <c r="GN72" s="20" t="n">
        <f aca="false">GK72*MIN(Slot18_Cost,GM72)</f>
        <v>0</v>
      </c>
      <c r="GO72" s="20" t="n">
        <f aca="false">GK72*Slot18_SpendLike*MIN(Slot18_Cost-GN72,GG72)</f>
        <v>0</v>
      </c>
      <c r="GP72" s="20" t="n">
        <f aca="false">GN72+GO72</f>
        <v>0</v>
      </c>
      <c r="GQ72" s="20" t="n">
        <f aca="false">GG72-GO72+GK72*IF(Slot18_SpendLike=1,GM72-GN72,IF(Slot18_PotFree=1,GM72,0))</f>
        <v>0</v>
      </c>
      <c r="GR72" s="20" t="n">
        <f aca="false">GH72+GK72*Slot18_BufPot*GM72</f>
        <v>0</v>
      </c>
      <c r="GS72" s="20" t="n">
        <f aca="false">IF(AND(GK72=1,Slot18_IsMfree=1),IF(GP72&gt;=Slot18_Cost-1,0,MAX(0,GI72-GP72)),GI72)</f>
        <v>0</v>
      </c>
      <c r="GT72" s="20" t="n">
        <f aca="false">GK72*(Slot18_Cost-GP72)</f>
        <v>0</v>
      </c>
      <c r="GU72" s="20" t="n">
        <f aca="false">IF(AND(Slot19_On=1,D72=Slot19_Age),1,0)</f>
        <v>0</v>
      </c>
      <c r="GV72" s="20" t="n">
        <f aca="false">IF(AND(Slot19_On=1,Slot19_Age&gt;D72),1,0)</f>
        <v>0</v>
      </c>
      <c r="GW72" s="20" t="n">
        <f aca="false">TG71</f>
        <v>0</v>
      </c>
      <c r="GX72" s="20" t="n">
        <f aca="false">GU72*MIN(Slot19_Cost,GW72)</f>
        <v>0</v>
      </c>
      <c r="GY72" s="20" t="n">
        <f aca="false">GU72*Slot19_SpendLike*MIN(Slot19_Cost-GX72,GQ72)</f>
        <v>0</v>
      </c>
      <c r="GZ72" s="20" t="n">
        <f aca="false">GX72+GY72</f>
        <v>0</v>
      </c>
      <c r="HA72" s="20" t="n">
        <f aca="false">GQ72-GY72+GU72*IF(Slot19_SpendLike=1,GW72-GX72,IF(Slot19_PotFree=1,GW72,0))</f>
        <v>0</v>
      </c>
      <c r="HB72" s="20" t="n">
        <f aca="false">GR72+GU72*Slot19_BufPot*GW72</f>
        <v>0</v>
      </c>
      <c r="HC72" s="20" t="n">
        <f aca="false">IF(AND(GU72=1,Slot19_IsMfree=1),IF(GZ72&gt;=Slot19_Cost-1,0,MAX(0,GS72-GZ72)),GS72)</f>
        <v>0</v>
      </c>
      <c r="HD72" s="20" t="n">
        <f aca="false">GU72*(Slot19_Cost-GZ72)</f>
        <v>0</v>
      </c>
      <c r="HE72" s="20" t="n">
        <f aca="false">IF(AND(Slot20_On=1,D72=Slot20_Age),1,0)</f>
        <v>0</v>
      </c>
      <c r="HF72" s="20" t="n">
        <f aca="false">IF(AND(Slot20_On=1,Slot20_Age&gt;D72),1,0)</f>
        <v>0</v>
      </c>
      <c r="HG72" s="20" t="n">
        <f aca="false">TK71</f>
        <v>0</v>
      </c>
      <c r="HH72" s="20" t="n">
        <f aca="false">HE72*MIN(Slot20_Cost,HG72)</f>
        <v>0</v>
      </c>
      <c r="HI72" s="20" t="n">
        <f aca="false">HE72*Slot20_SpendLike*MIN(Slot20_Cost-HH72,HA72)</f>
        <v>0</v>
      </c>
      <c r="HJ72" s="20" t="n">
        <f aca="false">HH72+HI72</f>
        <v>0</v>
      </c>
      <c r="HK72" s="20" t="n">
        <f aca="false">HA72-HI72+HE72*IF(Slot20_SpendLike=1,HG72-HH72,IF(Slot20_PotFree=1,HG72,0))</f>
        <v>0</v>
      </c>
      <c r="HL72" s="20" t="n">
        <f aca="false">HB72+HE72*Slot20_BufPot*HG72</f>
        <v>0</v>
      </c>
      <c r="HM72" s="20" t="n">
        <f aca="false">IF(AND(HE72=1,Slot20_IsMfree=1),IF(HJ72&gt;=Slot20_Cost-1,0,MAX(0,HC72-HJ72)),HC72)</f>
        <v>0</v>
      </c>
      <c r="HN72" s="20" t="n">
        <f aca="false">HE72*(Slot20_Cost-HJ72)</f>
        <v>0</v>
      </c>
      <c r="HO72" s="20" t="n">
        <f aca="false">V72*Slot1_SpendLike*AA72+AG72*Slot2_SpendLike*AL72+AQ72*Slot3_SpendLike*AV72+BA72*Slot4_SpendLike*BF72+BK72*Slot5_SpendLike*BP72+BU72*Slot6_SpendLike*BZ72+CE72*Slot7_SpendLike*CJ72+CO72*Slot8_SpendLike*CT72+CY72*Slot9_SpendLike*DD72+DI72*Slot10_SpendLike*DN72+DS72*Slot11_SpendLike*DX72+EC72*Slot12_SpendLike*EH72+EM72*Slot13_SpendLike*ER72+EW72*Slot14_SpendLike*FB72+FG72*Slot15_SpendLike*FL72+FQ72*Slot16_SpendLike*FV72+GA72*Slot17_SpendLike*GF72+GK72*Slot18_SpendLike*GP72+GU72*Slot19_SpendLike*GZ72+HE72*Slot20_SpendLike*HJ72</f>
        <v>0</v>
      </c>
      <c r="HP72" s="20" t="n">
        <f aca="false">AE72+AP72+AZ72+BJ72+BT72+CD72+CN72+CX72+DH72+DR72+EB72+EL72+EV72+FF72+FP72+FZ72+GJ72+GT72+HD72+HN72</f>
        <v>0</v>
      </c>
      <c r="HQ72" s="20" t="n">
        <f aca="false">V72*Slot1_Cost+AG72*Slot2_Cost+AQ72*Slot3_Cost+BA72*Slot4_Cost+BK72*Slot5_Cost+BU72*Slot6_Cost+CE72*Slot7_Cost+CO72*Slot8_Cost+CY72*Slot9_Cost+DI72*Slot10_Cost+DS72*Slot11_Cost+EC72*Slot12_Cost+EM72*Slot13_Cost+EW72*Slot14_Cost+FG72*Slot15_Cost+FQ72*Slot16_Cost+GA72*Slot17_Cost+GK72*Slot18_Cost+GU72*Slot19_Cost+HE72*Slot20_Cost</f>
        <v>0</v>
      </c>
      <c r="HR72" s="20" t="n">
        <f aca="false">HM72</f>
        <v>0</v>
      </c>
      <c r="HS72" s="20" t="n">
        <f aca="false">H72-I72-S72</f>
        <v>-68421.3641082156</v>
      </c>
      <c r="HT72" s="20" t="n">
        <f aca="false">IF(B72=0,IF(AND(Has_q6=1,In_q6=4),PR_ShareVaries*(MAX(0,HS72)/12),MIN(IF(Has_q6=1,CHOOSE(In_q6+1,PR_SaveB1,PR_SaveB2,PR_SaveB3,PR_SaveB4,0),AS_NoAnswer),AS_SaveShare*(MAX(0,HS72)/12))),HT71)</f>
        <v>67.3316893520437</v>
      </c>
      <c r="HU72" s="20" t="n">
        <f aca="false">IF(HS72&gt;=0,1,0)</f>
        <v>0</v>
      </c>
      <c r="HV72" s="20" t="n">
        <f aca="false">MAX(0,HS72/12/F72)</f>
        <v>0</v>
      </c>
      <c r="HW72" s="20" t="n">
        <f aca="false">IF(AND(Has_q6=1,In_q6=4),PR_ShareVaries*(HV72),MIN(IF(Has_q6=1,CHOOSE(In_q6+1,PR_SaveB1,PR_SaveB2,PR_SaveB3,PR_SaveB4,0),AS_NoAnswer),AS_SaveShare*(HV72)))</f>
        <v>0</v>
      </c>
      <c r="HX72" s="20" t="n">
        <f aca="false">IF(Has_saveM=1,IF(In_saveUp="Yes",1,IF(In_saveUp="No",0,IF(In_saveM&gt;=HT72-0.5,1,0))),0)</f>
        <v>0</v>
      </c>
      <c r="HY72" s="20" t="n">
        <f aca="false">IF(Has_saveM=1,MIN(HV72,IF(HX72=1,MAX(In_saveM,HW72),MIN(In_saveM,HW72))),HW72)</f>
        <v>0</v>
      </c>
      <c r="HZ72" s="20" t="n">
        <f aca="false">IF(G72=1,HY72*12*F72,0)</f>
        <v>0</v>
      </c>
      <c r="IA72" s="20" t="n">
        <f aca="false">MAX(0,HZ72+IF(AND(WI_Retire=0,WI_M&lt;0,G72=1),WI_M*12*F72,0))</f>
        <v>0</v>
      </c>
      <c r="IB72" s="20" t="n">
        <f aca="false">Slot1_IsWG*W72+Slot2_IsWG*AH72+Slot3_IsWG*AR72+Slot4_IsWG*BB72+Slot5_IsWG*BL72+Slot6_IsWG*BV72+Slot7_IsWG*CF72+Slot8_IsWG*CP72+Slot9_IsWG*CZ72+Slot10_IsWG*DJ72+Slot11_IsWG*DT72+Slot12_IsWG*ED72+Slot13_IsWG*EN72+Slot14_IsWG*EX72+Slot15_IsWG*FH72+Slot16_IsWG*FR72+Slot17_IsWG*GB72+Slot18_IsWG*GL72+Slot19_IsWG*GV72+Slot20_IsWG*HF72</f>
        <v>0</v>
      </c>
      <c r="IC72" s="20" t="n">
        <f aca="false">IF(AND(WI_Retire=0,WI_M&gt;0,G72=1,IB72&gt;=1),WI_M*12*F72,0)</f>
        <v>0</v>
      </c>
      <c r="ID72" s="20" t="n">
        <f aca="false">IF(HU72=1,MIN(IA72,HS72),0)</f>
        <v>0</v>
      </c>
      <c r="IE72" s="20" t="n">
        <f aca="false">IF(HU72=1,MIN(IC72,HS72-ID72),0)</f>
        <v>0</v>
      </c>
      <c r="IF72" s="20" t="n">
        <f aca="false">IF(W72=1,IF(ABS((1+AS_Wage)/(1+Slot1_Rate)-1)&lt;0.000000000001,(Slot1_Age-D72)*(1+Slot1_Rate)^(Slot1_Age-D72),(1+Slot1_Rate)^(Slot1_Age-D72)*(1-((1+AS_Wage)/(1+Slot1_Rate))^(Slot1_Age-D72))/(1-(1+AS_Wage)/(1+Slot1_Rate))),1)</f>
        <v>1</v>
      </c>
      <c r="IG72" s="20" t="n">
        <f aca="false">IF(AND(HU72=1,IE72&gt;0,Slot1_IsWG=1,W72=1),MAX(0,(Slot1_Cost-X72*(1+Slot1_Rate)^(Slot1_Age-D72))/IF72),0)</f>
        <v>0</v>
      </c>
      <c r="IH72" s="20" t="n">
        <f aca="false">IF(AND(HU72=1,IE72&gt;0,Slot1_IsWG=1,W72=1),MIN(IE72,IG72),0)</f>
        <v>0</v>
      </c>
      <c r="II72" s="20" t="n">
        <f aca="false">X72+IH72</f>
        <v>0</v>
      </c>
      <c r="IJ72" s="20" t="n">
        <f aca="false">IF(W72=1,MAX(0,(Slot1_Cost-II72*(1+Slot1_Rate)^(Slot1_Age-D72))/IF72),0)</f>
        <v>0</v>
      </c>
      <c r="IK72" s="20" t="n">
        <f aca="false">IF(W72=1,MAX(0,(Slot1_Cost-X72*(1+Slot1_Rate)^(Slot1_Age-D72))/IF72),0)</f>
        <v>0</v>
      </c>
      <c r="IL72" s="20" t="n">
        <f aca="false">IF(AND(HU72=1,W72=1),MIN(ID72,IJ72),0)</f>
        <v>0</v>
      </c>
      <c r="IM72" s="20" t="n">
        <f aca="false">ID72-IL72</f>
        <v>0</v>
      </c>
      <c r="IN72" s="20" t="n">
        <f aca="false">IF(AH72=1,IF(ABS((1+AS_Wage)/(1+Slot2_Rate)-1)&lt;0.000000000001,(Slot2_Age-D72)*(1+Slot2_Rate)^(Slot2_Age-D72),(1+Slot2_Rate)^(Slot2_Age-D72)*(1-((1+AS_Wage)/(1+Slot2_Rate))^(Slot2_Age-D72))/(1-(1+AS_Wage)/(1+Slot2_Rate))),1)</f>
        <v>1</v>
      </c>
      <c r="IO72" s="20" t="n">
        <f aca="false">IF(AND(HU72=1,IE72&gt;0,Slot2_IsWG=1,AH72=1),MAX(0,(Slot2_Cost-AI72*(1+Slot2_Rate)^(Slot2_Age-D72))/IN72),0)</f>
        <v>0</v>
      </c>
      <c r="IP72" s="20" t="n">
        <f aca="false">IF(AND(HU72=1,IE72&gt;0,Slot2_IsWG=1,AH72=1),MIN(IE72,IO72),0)</f>
        <v>0</v>
      </c>
      <c r="IQ72" s="20" t="n">
        <f aca="false">AI72+IP72</f>
        <v>0</v>
      </c>
      <c r="IR72" s="20" t="n">
        <f aca="false">IF(AH72=1,MAX(0,(Slot2_Cost-IQ72*(1+Slot2_Rate)^(Slot2_Age-D72))/IN72),0)</f>
        <v>0</v>
      </c>
      <c r="IS72" s="20" t="n">
        <f aca="false">IF(AH72=1,MAX(0,(Slot2_Cost-AI72*(1+Slot2_Rate)^(Slot2_Age-D72))/IN72),0)</f>
        <v>0</v>
      </c>
      <c r="IT72" s="20" t="n">
        <f aca="false">IF(AND(HU72=1,AH72=1),MIN(IM72,IR72),0)</f>
        <v>0</v>
      </c>
      <c r="IU72" s="20" t="n">
        <f aca="false">IM72-IT72</f>
        <v>0</v>
      </c>
      <c r="IV72" s="20" t="n">
        <f aca="false">IF(AR72=1,IF(ABS((1+AS_Wage)/(1+Slot3_Rate)-1)&lt;0.000000000001,(Slot3_Age-D72)*(1+Slot3_Rate)^(Slot3_Age-D72),(1+Slot3_Rate)^(Slot3_Age-D72)*(1-((1+AS_Wage)/(1+Slot3_Rate))^(Slot3_Age-D72))/(1-(1+AS_Wage)/(1+Slot3_Rate))),1)</f>
        <v>1</v>
      </c>
      <c r="IW72" s="20" t="n">
        <f aca="false">IF(AND(HU72=1,IE72&gt;0,Slot3_IsWG=1,AR72=1),MAX(0,(Slot3_Cost-AS72*(1+Slot3_Rate)^(Slot3_Age-D72))/IV72),0)</f>
        <v>0</v>
      </c>
      <c r="IX72" s="20" t="n">
        <f aca="false">IF(AND(HU72=1,IE72&gt;0,Slot3_IsWG=1,AR72=1),MIN(IE72,IW72),0)</f>
        <v>0</v>
      </c>
      <c r="IY72" s="20" t="n">
        <f aca="false">AS72+IX72</f>
        <v>0</v>
      </c>
      <c r="IZ72" s="20" t="n">
        <f aca="false">IF(AR72=1,MAX(0,(Slot3_Cost-IY72*(1+Slot3_Rate)^(Slot3_Age-D72))/IV72),0)</f>
        <v>0</v>
      </c>
      <c r="JA72" s="20" t="n">
        <f aca="false">IF(AR72=1,MAX(0,(Slot3_Cost-AS72*(1+Slot3_Rate)^(Slot3_Age-D72))/IV72),0)</f>
        <v>0</v>
      </c>
      <c r="JB72" s="20" t="n">
        <f aca="false">IF(AND(HU72=1,AR72=1),MIN(IU72,IZ72),0)</f>
        <v>0</v>
      </c>
      <c r="JC72" s="20" t="n">
        <f aca="false">IU72-JB72</f>
        <v>0</v>
      </c>
      <c r="JD72" s="20" t="n">
        <f aca="false">IF(BB72=1,IF(ABS((1+AS_Wage)/(1+Slot4_Rate)-1)&lt;0.000000000001,(Slot4_Age-D72)*(1+Slot4_Rate)^(Slot4_Age-D72),(1+Slot4_Rate)^(Slot4_Age-D72)*(1-((1+AS_Wage)/(1+Slot4_Rate))^(Slot4_Age-D72))/(1-(1+AS_Wage)/(1+Slot4_Rate))),1)</f>
        <v>1</v>
      </c>
      <c r="JE72" s="20" t="n">
        <f aca="false">IF(AND(HU72=1,IE72&gt;0,Slot4_IsWG=1,BB72=1),MAX(0,(Slot4_Cost-BC72*(1+Slot4_Rate)^(Slot4_Age-D72))/JD72),0)</f>
        <v>0</v>
      </c>
      <c r="JF72" s="20" t="n">
        <f aca="false">IF(AND(HU72=1,IE72&gt;0,Slot4_IsWG=1,BB72=1),MIN(IE72,JE72),0)</f>
        <v>0</v>
      </c>
      <c r="JG72" s="20" t="n">
        <f aca="false">BC72+JF72</f>
        <v>0</v>
      </c>
      <c r="JH72" s="20" t="n">
        <f aca="false">IF(BB72=1,MAX(0,(Slot4_Cost-JG72*(1+Slot4_Rate)^(Slot4_Age-D72))/JD72),0)</f>
        <v>0</v>
      </c>
      <c r="JI72" s="20" t="n">
        <f aca="false">IF(BB72=1,MAX(0,(Slot4_Cost-BC72*(1+Slot4_Rate)^(Slot4_Age-D72))/JD72),0)</f>
        <v>0</v>
      </c>
      <c r="JJ72" s="20" t="n">
        <f aca="false">IF(AND(HU72=1,BB72=1),MIN(JC72,JH72),0)</f>
        <v>0</v>
      </c>
      <c r="JK72" s="20" t="n">
        <f aca="false">JC72-JJ72</f>
        <v>0</v>
      </c>
      <c r="JL72" s="20" t="n">
        <f aca="false">IF(BL72=1,IF(ABS((1+AS_Wage)/(1+Slot5_Rate)-1)&lt;0.000000000001,(Slot5_Age-D72)*(1+Slot5_Rate)^(Slot5_Age-D72),(1+Slot5_Rate)^(Slot5_Age-D72)*(1-((1+AS_Wage)/(1+Slot5_Rate))^(Slot5_Age-D72))/(1-(1+AS_Wage)/(1+Slot5_Rate))),1)</f>
        <v>1</v>
      </c>
      <c r="JM72" s="20" t="n">
        <f aca="false">IF(AND(HU72=1,IE72&gt;0,Slot5_IsWG=1,BL72=1),MAX(0,(Slot5_Cost-BM72*(1+Slot5_Rate)^(Slot5_Age-D72))/JL72),0)</f>
        <v>0</v>
      </c>
      <c r="JN72" s="20" t="n">
        <f aca="false">IF(AND(HU72=1,IE72&gt;0,Slot5_IsWG=1,BL72=1),MIN(IE72,JM72),0)</f>
        <v>0</v>
      </c>
      <c r="JO72" s="20" t="n">
        <f aca="false">BM72+JN72</f>
        <v>0</v>
      </c>
      <c r="JP72" s="20" t="n">
        <f aca="false">IF(BL72=1,MAX(0,(Slot5_Cost-JO72*(1+Slot5_Rate)^(Slot5_Age-D72))/JL72),0)</f>
        <v>0</v>
      </c>
      <c r="JQ72" s="20" t="n">
        <f aca="false">IF(BL72=1,MAX(0,(Slot5_Cost-BM72*(1+Slot5_Rate)^(Slot5_Age-D72))/JL72),0)</f>
        <v>0</v>
      </c>
      <c r="JR72" s="20" t="n">
        <f aca="false">IF(AND(HU72=1,BL72=1),MIN(JK72,JP72),0)</f>
        <v>0</v>
      </c>
      <c r="JS72" s="20" t="n">
        <f aca="false">JK72-JR72</f>
        <v>0</v>
      </c>
      <c r="JT72" s="20" t="n">
        <f aca="false">IF(BV72=1,IF(ABS((1+AS_Wage)/(1+Slot6_Rate)-1)&lt;0.000000000001,(Slot6_Age-D72)*(1+Slot6_Rate)^(Slot6_Age-D72),(1+Slot6_Rate)^(Slot6_Age-D72)*(1-((1+AS_Wage)/(1+Slot6_Rate))^(Slot6_Age-D72))/(1-(1+AS_Wage)/(1+Slot6_Rate))),1)</f>
        <v>1</v>
      </c>
      <c r="JU72" s="20" t="n">
        <f aca="false">IF(AND(HU72=1,IE72&gt;0,Slot6_IsWG=1,BV72=1),MAX(0,(Slot6_Cost-BW72*(1+Slot6_Rate)^(Slot6_Age-D72))/JT72),0)</f>
        <v>0</v>
      </c>
      <c r="JV72" s="20" t="n">
        <f aca="false">IF(AND(HU72=1,IE72&gt;0,Slot6_IsWG=1,BV72=1),MIN(IE72,JU72),0)</f>
        <v>0</v>
      </c>
      <c r="JW72" s="20" t="n">
        <f aca="false">BW72+JV72</f>
        <v>0</v>
      </c>
      <c r="JX72" s="20" t="n">
        <f aca="false">IF(BV72=1,MAX(0,(Slot6_Cost-JW72*(1+Slot6_Rate)^(Slot6_Age-D72))/JT72),0)</f>
        <v>0</v>
      </c>
      <c r="JY72" s="20" t="n">
        <f aca="false">IF(BV72=1,MAX(0,(Slot6_Cost-BW72*(1+Slot6_Rate)^(Slot6_Age-D72))/JT72),0)</f>
        <v>0</v>
      </c>
      <c r="JZ72" s="20" t="n">
        <f aca="false">IF(AND(HU72=1,BV72=1),MIN(JS72,JX72),0)</f>
        <v>0</v>
      </c>
      <c r="KA72" s="20" t="n">
        <f aca="false">JS72-JZ72</f>
        <v>0</v>
      </c>
      <c r="KB72" s="20" t="n">
        <f aca="false">IF(CF72=1,IF(ABS((1+AS_Wage)/(1+Slot7_Rate)-1)&lt;0.000000000001,(Slot7_Age-D72)*(1+Slot7_Rate)^(Slot7_Age-D72),(1+Slot7_Rate)^(Slot7_Age-D72)*(1-((1+AS_Wage)/(1+Slot7_Rate))^(Slot7_Age-D72))/(1-(1+AS_Wage)/(1+Slot7_Rate))),1)</f>
        <v>1</v>
      </c>
      <c r="KC72" s="20" t="n">
        <f aca="false">IF(AND(HU72=1,IE72&gt;0,Slot7_IsWG=1,CF72=1),MAX(0,(Slot7_Cost-CG72*(1+Slot7_Rate)^(Slot7_Age-D72))/KB72),0)</f>
        <v>0</v>
      </c>
      <c r="KD72" s="20" t="n">
        <f aca="false">IF(AND(HU72=1,IE72&gt;0,Slot7_IsWG=1,CF72=1),MIN(IE72,KC72),0)</f>
        <v>0</v>
      </c>
      <c r="KE72" s="20" t="n">
        <f aca="false">CG72+KD72</f>
        <v>0</v>
      </c>
      <c r="KF72" s="20" t="n">
        <f aca="false">IF(CF72=1,MAX(0,(Slot7_Cost-KE72*(1+Slot7_Rate)^(Slot7_Age-D72))/KB72),0)</f>
        <v>0</v>
      </c>
      <c r="KG72" s="20" t="n">
        <f aca="false">IF(CF72=1,MAX(0,(Slot7_Cost-CG72*(1+Slot7_Rate)^(Slot7_Age-D72))/KB72),0)</f>
        <v>0</v>
      </c>
      <c r="KH72" s="20" t="n">
        <f aca="false">IF(AND(HU72=1,CF72=1),MIN(KA72,KF72),0)</f>
        <v>0</v>
      </c>
      <c r="KI72" s="20" t="n">
        <f aca="false">KA72-KH72</f>
        <v>0</v>
      </c>
      <c r="KJ72" s="20" t="n">
        <f aca="false">IF(CP72=1,IF(ABS((1+AS_Wage)/(1+Slot8_Rate)-1)&lt;0.000000000001,(Slot8_Age-D72)*(1+Slot8_Rate)^(Slot8_Age-D72),(1+Slot8_Rate)^(Slot8_Age-D72)*(1-((1+AS_Wage)/(1+Slot8_Rate))^(Slot8_Age-D72))/(1-(1+AS_Wage)/(1+Slot8_Rate))),1)</f>
        <v>1</v>
      </c>
      <c r="KK72" s="20" t="n">
        <f aca="false">IF(AND(HU72=1,IE72&gt;0,Slot8_IsWG=1,CP72=1),MAX(0,(Slot8_Cost-CQ72*(1+Slot8_Rate)^(Slot8_Age-D72))/KJ72),0)</f>
        <v>0</v>
      </c>
      <c r="KL72" s="20" t="n">
        <f aca="false">IF(AND(HU72=1,IE72&gt;0,Slot8_IsWG=1,CP72=1),MIN(IE72,KK72),0)</f>
        <v>0</v>
      </c>
      <c r="KM72" s="20" t="n">
        <f aca="false">CQ72+KL72</f>
        <v>0</v>
      </c>
      <c r="KN72" s="20" t="n">
        <f aca="false">IF(CP72=1,MAX(0,(Slot8_Cost-KM72*(1+Slot8_Rate)^(Slot8_Age-D72))/KJ72),0)</f>
        <v>0</v>
      </c>
      <c r="KO72" s="20" t="n">
        <f aca="false">IF(CP72=1,MAX(0,(Slot8_Cost-CQ72*(1+Slot8_Rate)^(Slot8_Age-D72))/KJ72),0)</f>
        <v>0</v>
      </c>
      <c r="KP72" s="20" t="n">
        <f aca="false">IF(AND(HU72=1,CP72=1),MIN(KI72,KN72),0)</f>
        <v>0</v>
      </c>
      <c r="KQ72" s="20" t="n">
        <f aca="false">KI72-KP72</f>
        <v>0</v>
      </c>
      <c r="KR72" s="20" t="n">
        <f aca="false">IF(CZ72=1,IF(ABS((1+AS_Wage)/(1+Slot9_Rate)-1)&lt;0.000000000001,(Slot9_Age-D72)*(1+Slot9_Rate)^(Slot9_Age-D72),(1+Slot9_Rate)^(Slot9_Age-D72)*(1-((1+AS_Wage)/(1+Slot9_Rate))^(Slot9_Age-D72))/(1-(1+AS_Wage)/(1+Slot9_Rate))),1)</f>
        <v>1</v>
      </c>
      <c r="KS72" s="20" t="n">
        <f aca="false">IF(AND(HU72=1,IE72&gt;0,Slot9_IsWG=1,CZ72=1),MAX(0,(Slot9_Cost-DA72*(1+Slot9_Rate)^(Slot9_Age-D72))/KR72),0)</f>
        <v>0</v>
      </c>
      <c r="KT72" s="20" t="n">
        <f aca="false">IF(AND(HU72=1,IE72&gt;0,Slot9_IsWG=1,CZ72=1),MIN(IE72,KS72),0)</f>
        <v>0</v>
      </c>
      <c r="KU72" s="20" t="n">
        <f aca="false">DA72+KT72</f>
        <v>0</v>
      </c>
      <c r="KV72" s="20" t="n">
        <f aca="false">IF(CZ72=1,MAX(0,(Slot9_Cost-KU72*(1+Slot9_Rate)^(Slot9_Age-D72))/KR72),0)</f>
        <v>0</v>
      </c>
      <c r="KW72" s="20" t="n">
        <f aca="false">IF(CZ72=1,MAX(0,(Slot9_Cost-DA72*(1+Slot9_Rate)^(Slot9_Age-D72))/KR72),0)</f>
        <v>0</v>
      </c>
      <c r="KX72" s="20" t="n">
        <f aca="false">IF(AND(HU72=1,CZ72=1),MIN(KQ72,KV72),0)</f>
        <v>0</v>
      </c>
      <c r="KY72" s="20" t="n">
        <f aca="false">KQ72-KX72</f>
        <v>0</v>
      </c>
      <c r="KZ72" s="20" t="n">
        <f aca="false">IF(DJ72=1,IF(ABS((1+AS_Wage)/(1+Slot10_Rate)-1)&lt;0.000000000001,(Slot10_Age-D72)*(1+Slot10_Rate)^(Slot10_Age-D72),(1+Slot10_Rate)^(Slot10_Age-D72)*(1-((1+AS_Wage)/(1+Slot10_Rate))^(Slot10_Age-D72))/(1-(1+AS_Wage)/(1+Slot10_Rate))),1)</f>
        <v>1</v>
      </c>
      <c r="LA72" s="20" t="n">
        <f aca="false">IF(AND(HU72=1,IE72&gt;0,Slot10_IsWG=1,DJ72=1),MAX(0,(Slot10_Cost-DK72*(1+Slot10_Rate)^(Slot10_Age-D72))/KZ72),0)</f>
        <v>0</v>
      </c>
      <c r="LB72" s="20" t="n">
        <f aca="false">IF(AND(HU72=1,IE72&gt;0,Slot10_IsWG=1,DJ72=1),MIN(IE72,LA72),0)</f>
        <v>0</v>
      </c>
      <c r="LC72" s="20" t="n">
        <f aca="false">DK72+LB72</f>
        <v>0</v>
      </c>
      <c r="LD72" s="20" t="n">
        <f aca="false">IF(DJ72=1,MAX(0,(Slot10_Cost-LC72*(1+Slot10_Rate)^(Slot10_Age-D72))/KZ72),0)</f>
        <v>0</v>
      </c>
      <c r="LE72" s="20" t="n">
        <f aca="false">IF(DJ72=1,MAX(0,(Slot10_Cost-DK72*(1+Slot10_Rate)^(Slot10_Age-D72))/KZ72),0)</f>
        <v>0</v>
      </c>
      <c r="LF72" s="20" t="n">
        <f aca="false">IF(AND(HU72=1,DJ72=1),MIN(KY72,LD72),0)</f>
        <v>0</v>
      </c>
      <c r="LG72" s="20" t="n">
        <f aca="false">KY72-LF72</f>
        <v>0</v>
      </c>
      <c r="LH72" s="20" t="n">
        <f aca="false">IF(DT72=1,IF(ABS((1+AS_Wage)/(1+Slot11_Rate)-1)&lt;0.000000000001,(Slot11_Age-D72)*(1+Slot11_Rate)^(Slot11_Age-D72),(1+Slot11_Rate)^(Slot11_Age-D72)*(1-((1+AS_Wage)/(1+Slot11_Rate))^(Slot11_Age-D72))/(1-(1+AS_Wage)/(1+Slot11_Rate))),1)</f>
        <v>1</v>
      </c>
      <c r="LI72" s="20" t="n">
        <f aca="false">IF(AND(HU72=1,IE72&gt;0,Slot11_IsWG=1,DT72=1),MAX(0,(Slot11_Cost-DU72*(1+Slot11_Rate)^(Slot11_Age-D72))/LH72),0)</f>
        <v>0</v>
      </c>
      <c r="LJ72" s="20" t="n">
        <f aca="false">IF(AND(HU72=1,IE72&gt;0,Slot11_IsWG=1,DT72=1),MIN(IE72,LI72),0)</f>
        <v>0</v>
      </c>
      <c r="LK72" s="20" t="n">
        <f aca="false">DU72+LJ72</f>
        <v>0</v>
      </c>
      <c r="LL72" s="20" t="n">
        <f aca="false">IF(DT72=1,MAX(0,(Slot11_Cost-LK72*(1+Slot11_Rate)^(Slot11_Age-D72))/LH72),0)</f>
        <v>0</v>
      </c>
      <c r="LM72" s="20" t="n">
        <f aca="false">IF(DT72=1,MAX(0,(Slot11_Cost-DU72*(1+Slot11_Rate)^(Slot11_Age-D72))/LH72),0)</f>
        <v>0</v>
      </c>
      <c r="LN72" s="20" t="n">
        <f aca="false">IF(AND(HU72=1,DT72=1),MIN(LG72,LL72),0)</f>
        <v>0</v>
      </c>
      <c r="LO72" s="20" t="n">
        <f aca="false">LG72-LN72</f>
        <v>0</v>
      </c>
      <c r="LP72" s="20" t="n">
        <f aca="false">IF(ED72=1,IF(ABS((1+AS_Wage)/(1+Slot12_Rate)-1)&lt;0.000000000001,(Slot12_Age-D72)*(1+Slot12_Rate)^(Slot12_Age-D72),(1+Slot12_Rate)^(Slot12_Age-D72)*(1-((1+AS_Wage)/(1+Slot12_Rate))^(Slot12_Age-D72))/(1-(1+AS_Wage)/(1+Slot12_Rate))),1)</f>
        <v>1</v>
      </c>
      <c r="LQ72" s="20" t="n">
        <f aca="false">IF(AND(HU72=1,IE72&gt;0,Slot12_IsWG=1,ED72=1),MAX(0,(Slot12_Cost-EE72*(1+Slot12_Rate)^(Slot12_Age-D72))/LP72),0)</f>
        <v>0</v>
      </c>
      <c r="LR72" s="20" t="n">
        <f aca="false">IF(AND(HU72=1,IE72&gt;0,Slot12_IsWG=1,ED72=1),MIN(IE72,LQ72),0)</f>
        <v>0</v>
      </c>
      <c r="LS72" s="20" t="n">
        <f aca="false">EE72+LR72</f>
        <v>0</v>
      </c>
      <c r="LT72" s="20" t="n">
        <f aca="false">IF(ED72=1,MAX(0,(Slot12_Cost-LS72*(1+Slot12_Rate)^(Slot12_Age-D72))/LP72),0)</f>
        <v>0</v>
      </c>
      <c r="LU72" s="20" t="n">
        <f aca="false">IF(ED72=1,MAX(0,(Slot12_Cost-EE72*(1+Slot12_Rate)^(Slot12_Age-D72))/LP72),0)</f>
        <v>0</v>
      </c>
      <c r="LV72" s="20" t="n">
        <f aca="false">IF(AND(HU72=1,ED72=1),MIN(LO72,LT72),0)</f>
        <v>0</v>
      </c>
      <c r="LW72" s="20" t="n">
        <f aca="false">LO72-LV72</f>
        <v>0</v>
      </c>
      <c r="LX72" s="20" t="n">
        <f aca="false">IF(EN72=1,IF(ABS((1+AS_Wage)/(1+Slot13_Rate)-1)&lt;0.000000000001,(Slot13_Age-D72)*(1+Slot13_Rate)^(Slot13_Age-D72),(1+Slot13_Rate)^(Slot13_Age-D72)*(1-((1+AS_Wage)/(1+Slot13_Rate))^(Slot13_Age-D72))/(1-(1+AS_Wage)/(1+Slot13_Rate))),1)</f>
        <v>1</v>
      </c>
      <c r="LY72" s="20" t="n">
        <f aca="false">IF(AND(HU72=1,IE72&gt;0,Slot13_IsWG=1,EN72=1),MAX(0,(Slot13_Cost-EO72*(1+Slot13_Rate)^(Slot13_Age-D72))/LX72),0)</f>
        <v>0</v>
      </c>
      <c r="LZ72" s="20" t="n">
        <f aca="false">IF(AND(HU72=1,IE72&gt;0,Slot13_IsWG=1,EN72=1),MIN(IE72,LY72),0)</f>
        <v>0</v>
      </c>
      <c r="MA72" s="20" t="n">
        <f aca="false">EO72+LZ72</f>
        <v>0</v>
      </c>
      <c r="MB72" s="20" t="n">
        <f aca="false">IF(EN72=1,MAX(0,(Slot13_Cost-MA72*(1+Slot13_Rate)^(Slot13_Age-D72))/LX72),0)</f>
        <v>0</v>
      </c>
      <c r="MC72" s="20" t="n">
        <f aca="false">IF(EN72=1,MAX(0,(Slot13_Cost-EO72*(1+Slot13_Rate)^(Slot13_Age-D72))/LX72),0)</f>
        <v>0</v>
      </c>
      <c r="MD72" s="20" t="n">
        <f aca="false">IF(AND(HU72=1,EN72=1),MIN(LW72,MB72),0)</f>
        <v>0</v>
      </c>
      <c r="ME72" s="20" t="n">
        <f aca="false">LW72-MD72</f>
        <v>0</v>
      </c>
      <c r="MF72" s="20" t="n">
        <f aca="false">IF(EX72=1,IF(ABS((1+AS_Wage)/(1+Slot14_Rate)-1)&lt;0.000000000001,(Slot14_Age-D72)*(1+Slot14_Rate)^(Slot14_Age-D72),(1+Slot14_Rate)^(Slot14_Age-D72)*(1-((1+AS_Wage)/(1+Slot14_Rate))^(Slot14_Age-D72))/(1-(1+AS_Wage)/(1+Slot14_Rate))),1)</f>
        <v>1</v>
      </c>
      <c r="MG72" s="20" t="n">
        <f aca="false">IF(AND(HU72=1,IE72&gt;0,Slot14_IsWG=1,EX72=1),MAX(0,(Slot14_Cost-EY72*(1+Slot14_Rate)^(Slot14_Age-D72))/MF72),0)</f>
        <v>0</v>
      </c>
      <c r="MH72" s="20" t="n">
        <f aca="false">IF(AND(HU72=1,IE72&gt;0,Slot14_IsWG=1,EX72=1),MIN(IE72,MG72),0)</f>
        <v>0</v>
      </c>
      <c r="MI72" s="20" t="n">
        <f aca="false">EY72+MH72</f>
        <v>0</v>
      </c>
      <c r="MJ72" s="20" t="n">
        <f aca="false">IF(EX72=1,MAX(0,(Slot14_Cost-MI72*(1+Slot14_Rate)^(Slot14_Age-D72))/MF72),0)</f>
        <v>0</v>
      </c>
      <c r="MK72" s="20" t="n">
        <f aca="false">IF(EX72=1,MAX(0,(Slot14_Cost-EY72*(1+Slot14_Rate)^(Slot14_Age-D72))/MF72),0)</f>
        <v>0</v>
      </c>
      <c r="ML72" s="20" t="n">
        <f aca="false">IF(AND(HU72=1,EX72=1),MIN(ME72,MJ72),0)</f>
        <v>0</v>
      </c>
      <c r="MM72" s="20" t="n">
        <f aca="false">ME72-ML72</f>
        <v>0</v>
      </c>
      <c r="MN72" s="20" t="n">
        <f aca="false">IF(FH72=1,IF(ABS((1+AS_Wage)/(1+Slot15_Rate)-1)&lt;0.000000000001,(Slot15_Age-D72)*(1+Slot15_Rate)^(Slot15_Age-D72),(1+Slot15_Rate)^(Slot15_Age-D72)*(1-((1+AS_Wage)/(1+Slot15_Rate))^(Slot15_Age-D72))/(1-(1+AS_Wage)/(1+Slot15_Rate))),1)</f>
        <v>1</v>
      </c>
      <c r="MO72" s="20" t="n">
        <f aca="false">IF(AND(HU72=1,IE72&gt;0,Slot15_IsWG=1,FH72=1),MAX(0,(Slot15_Cost-FI72*(1+Slot15_Rate)^(Slot15_Age-D72))/MN72),0)</f>
        <v>0</v>
      </c>
      <c r="MP72" s="20" t="n">
        <f aca="false">IF(AND(HU72=1,IE72&gt;0,Slot15_IsWG=1,FH72=1),MIN(IE72,MO72),0)</f>
        <v>0</v>
      </c>
      <c r="MQ72" s="20" t="n">
        <f aca="false">FI72+MP72</f>
        <v>0</v>
      </c>
      <c r="MR72" s="20" t="n">
        <f aca="false">IF(FH72=1,MAX(0,(Slot15_Cost-MQ72*(1+Slot15_Rate)^(Slot15_Age-D72))/MN72),0)</f>
        <v>0</v>
      </c>
      <c r="MS72" s="20" t="n">
        <f aca="false">IF(FH72=1,MAX(0,(Slot15_Cost-FI72*(1+Slot15_Rate)^(Slot15_Age-D72))/MN72),0)</f>
        <v>0</v>
      </c>
      <c r="MT72" s="20" t="n">
        <f aca="false">IF(AND(HU72=1,FH72=1),MIN(MM72,MR72),0)</f>
        <v>0</v>
      </c>
      <c r="MU72" s="20" t="n">
        <f aca="false">MM72-MT72</f>
        <v>0</v>
      </c>
      <c r="MV72" s="20" t="n">
        <f aca="false">IF(FR72=1,IF(ABS((1+AS_Wage)/(1+Slot16_Rate)-1)&lt;0.000000000001,(Slot16_Age-D72)*(1+Slot16_Rate)^(Slot16_Age-D72),(1+Slot16_Rate)^(Slot16_Age-D72)*(1-((1+AS_Wage)/(1+Slot16_Rate))^(Slot16_Age-D72))/(1-(1+AS_Wage)/(1+Slot16_Rate))),1)</f>
        <v>1</v>
      </c>
      <c r="MW72" s="20" t="n">
        <f aca="false">IF(AND(HU72=1,IE72&gt;0,Slot16_IsWG=1,FR72=1),MAX(0,(Slot16_Cost-FS72*(1+Slot16_Rate)^(Slot16_Age-D72))/MV72),0)</f>
        <v>0</v>
      </c>
      <c r="MX72" s="20" t="n">
        <f aca="false">IF(AND(HU72=1,IE72&gt;0,Slot16_IsWG=1,FR72=1),MIN(IE72,MW72),0)</f>
        <v>0</v>
      </c>
      <c r="MY72" s="20" t="n">
        <f aca="false">FS72+MX72</f>
        <v>0</v>
      </c>
      <c r="MZ72" s="20" t="n">
        <f aca="false">IF(FR72=1,MAX(0,(Slot16_Cost-MY72*(1+Slot16_Rate)^(Slot16_Age-D72))/MV72),0)</f>
        <v>0</v>
      </c>
      <c r="NA72" s="20" t="n">
        <f aca="false">IF(FR72=1,MAX(0,(Slot16_Cost-FS72*(1+Slot16_Rate)^(Slot16_Age-D72))/MV72),0)</f>
        <v>0</v>
      </c>
      <c r="NB72" s="20" t="n">
        <f aca="false">IF(AND(HU72=1,FR72=1),MIN(MU72,MZ72),0)</f>
        <v>0</v>
      </c>
      <c r="NC72" s="20" t="n">
        <f aca="false">MU72-NB72</f>
        <v>0</v>
      </c>
      <c r="ND72" s="20" t="n">
        <f aca="false">IF(GB72=1,IF(ABS((1+AS_Wage)/(1+Slot17_Rate)-1)&lt;0.000000000001,(Slot17_Age-D72)*(1+Slot17_Rate)^(Slot17_Age-D72),(1+Slot17_Rate)^(Slot17_Age-D72)*(1-((1+AS_Wage)/(1+Slot17_Rate))^(Slot17_Age-D72))/(1-(1+AS_Wage)/(1+Slot17_Rate))),1)</f>
        <v>1</v>
      </c>
      <c r="NE72" s="20" t="n">
        <f aca="false">IF(AND(HU72=1,IE72&gt;0,Slot17_IsWG=1,GB72=1),MAX(0,(Slot17_Cost-GC72*(1+Slot17_Rate)^(Slot17_Age-D72))/ND72),0)</f>
        <v>0</v>
      </c>
      <c r="NF72" s="20" t="n">
        <f aca="false">IF(AND(HU72=1,IE72&gt;0,Slot17_IsWG=1,GB72=1),MIN(IE72,NE72),0)</f>
        <v>0</v>
      </c>
      <c r="NG72" s="20" t="n">
        <f aca="false">GC72+NF72</f>
        <v>0</v>
      </c>
      <c r="NH72" s="20" t="n">
        <f aca="false">IF(GB72=1,MAX(0,(Slot17_Cost-NG72*(1+Slot17_Rate)^(Slot17_Age-D72))/ND72),0)</f>
        <v>0</v>
      </c>
      <c r="NI72" s="20" t="n">
        <f aca="false">IF(GB72=1,MAX(0,(Slot17_Cost-GC72*(1+Slot17_Rate)^(Slot17_Age-D72))/ND72),0)</f>
        <v>0</v>
      </c>
      <c r="NJ72" s="20" t="n">
        <f aca="false">IF(AND(HU72=1,GB72=1),MIN(NC72,NH72),0)</f>
        <v>0</v>
      </c>
      <c r="NK72" s="20" t="n">
        <f aca="false">NC72-NJ72</f>
        <v>0</v>
      </c>
      <c r="NL72" s="20" t="n">
        <f aca="false">IF(GL72=1,IF(ABS((1+AS_Wage)/(1+Slot18_Rate)-1)&lt;0.000000000001,(Slot18_Age-D72)*(1+Slot18_Rate)^(Slot18_Age-D72),(1+Slot18_Rate)^(Slot18_Age-D72)*(1-((1+AS_Wage)/(1+Slot18_Rate))^(Slot18_Age-D72))/(1-(1+AS_Wage)/(1+Slot18_Rate))),1)</f>
        <v>1</v>
      </c>
      <c r="NM72" s="20" t="n">
        <f aca="false">IF(AND(HU72=1,IE72&gt;0,Slot18_IsWG=1,GL72=1),MAX(0,(Slot18_Cost-GM72*(1+Slot18_Rate)^(Slot18_Age-D72))/NL72),0)</f>
        <v>0</v>
      </c>
      <c r="NN72" s="20" t="n">
        <f aca="false">IF(AND(HU72=1,IE72&gt;0,Slot18_IsWG=1,GL72=1),MIN(IE72,NM72),0)</f>
        <v>0</v>
      </c>
      <c r="NO72" s="20" t="n">
        <f aca="false">GM72+NN72</f>
        <v>0</v>
      </c>
      <c r="NP72" s="20" t="n">
        <f aca="false">IF(GL72=1,MAX(0,(Slot18_Cost-NO72*(1+Slot18_Rate)^(Slot18_Age-D72))/NL72),0)</f>
        <v>0</v>
      </c>
      <c r="NQ72" s="20" t="n">
        <f aca="false">IF(GL72=1,MAX(0,(Slot18_Cost-GM72*(1+Slot18_Rate)^(Slot18_Age-D72))/NL72),0)</f>
        <v>0</v>
      </c>
      <c r="NR72" s="20" t="n">
        <f aca="false">IF(AND(HU72=1,GL72=1),MIN(NK72,NP72),0)</f>
        <v>0</v>
      </c>
      <c r="NS72" s="20" t="n">
        <f aca="false">NK72-NR72</f>
        <v>0</v>
      </c>
      <c r="NT72" s="20" t="n">
        <f aca="false">IF(GV72=1,IF(ABS((1+AS_Wage)/(1+Slot19_Rate)-1)&lt;0.000000000001,(Slot19_Age-D72)*(1+Slot19_Rate)^(Slot19_Age-D72),(1+Slot19_Rate)^(Slot19_Age-D72)*(1-((1+AS_Wage)/(1+Slot19_Rate))^(Slot19_Age-D72))/(1-(1+AS_Wage)/(1+Slot19_Rate))),1)</f>
        <v>1</v>
      </c>
      <c r="NU72" s="20" t="n">
        <f aca="false">IF(AND(HU72=1,IE72&gt;0,Slot19_IsWG=1,GV72=1),MAX(0,(Slot19_Cost-GW72*(1+Slot19_Rate)^(Slot19_Age-D72))/NT72),0)</f>
        <v>0</v>
      </c>
      <c r="NV72" s="20" t="n">
        <f aca="false">IF(AND(HU72=1,IE72&gt;0,Slot19_IsWG=1,GV72=1),MIN(IE72,NU72),0)</f>
        <v>0</v>
      </c>
      <c r="NW72" s="20" t="n">
        <f aca="false">GW72+NV72</f>
        <v>0</v>
      </c>
      <c r="NX72" s="20" t="n">
        <f aca="false">IF(GV72=1,MAX(0,(Slot19_Cost-NW72*(1+Slot19_Rate)^(Slot19_Age-D72))/NT72),0)</f>
        <v>0</v>
      </c>
      <c r="NY72" s="20" t="n">
        <f aca="false">IF(GV72=1,MAX(0,(Slot19_Cost-GW72*(1+Slot19_Rate)^(Slot19_Age-D72))/NT72),0)</f>
        <v>0</v>
      </c>
      <c r="NZ72" s="20" t="n">
        <f aca="false">IF(AND(HU72=1,GV72=1),MIN(NS72,NX72),0)</f>
        <v>0</v>
      </c>
      <c r="OA72" s="20" t="n">
        <f aca="false">NS72-NZ72</f>
        <v>0</v>
      </c>
      <c r="OB72" s="20" t="n">
        <f aca="false">IF(HF72=1,IF(ABS((1+AS_Wage)/(1+Slot20_Rate)-1)&lt;0.000000000001,(Slot20_Age-D72)*(1+Slot20_Rate)^(Slot20_Age-D72),(1+Slot20_Rate)^(Slot20_Age-D72)*(1-((1+AS_Wage)/(1+Slot20_Rate))^(Slot20_Age-D72))/(1-(1+AS_Wage)/(1+Slot20_Rate))),1)</f>
        <v>1</v>
      </c>
      <c r="OC72" s="20" t="n">
        <f aca="false">IF(AND(HU72=1,IE72&gt;0,Slot20_IsWG=1,HF72=1),MAX(0,(Slot20_Cost-HG72*(1+Slot20_Rate)^(Slot20_Age-D72))/OB72),0)</f>
        <v>0</v>
      </c>
      <c r="OD72" s="20" t="n">
        <f aca="false">IF(AND(HU72=1,IE72&gt;0,Slot20_IsWG=1,HF72=1),MIN(IE72,OC72),0)</f>
        <v>0</v>
      </c>
      <c r="OE72" s="20" t="n">
        <f aca="false">HG72+OD72</f>
        <v>0</v>
      </c>
      <c r="OF72" s="20" t="n">
        <f aca="false">IF(HF72=1,MAX(0,(Slot20_Cost-OE72*(1+Slot20_Rate)^(Slot20_Age-D72))/OB72),0)</f>
        <v>0</v>
      </c>
      <c r="OG72" s="20" t="n">
        <f aca="false">IF(HF72=1,MAX(0,(Slot20_Cost-HG72*(1+Slot20_Rate)^(Slot20_Age-D72))/OB72),0)</f>
        <v>0</v>
      </c>
      <c r="OH72" s="20" t="n">
        <f aca="false">IF(AND(HU72=1,HF72=1),MIN(OA72,OF72),0)</f>
        <v>0</v>
      </c>
      <c r="OI72" s="20" t="n">
        <f aca="false">OA72-OH72</f>
        <v>0</v>
      </c>
      <c r="OJ72" s="20" t="n">
        <f aca="false">IE72-(IH72+IP72+IX72+JF72+JN72+JV72+KD72+KL72+KT72+LB72+LJ72+LR72+LZ72+MH72+MP72+MX72+NF72+NN72+NV72+OD72)</f>
        <v>0</v>
      </c>
      <c r="OK72" s="20" t="n">
        <f aca="false">IF(HU72=1,HS72-ID72-IE72,0)</f>
        <v>0</v>
      </c>
      <c r="OL72" s="20" t="n">
        <f aca="false">IF(HU72=0,-HS72,0)</f>
        <v>68421.3641082156</v>
      </c>
      <c r="OM72" s="20" t="n">
        <f aca="false">MIN(OL72,HK72)</f>
        <v>0</v>
      </c>
      <c r="ON72" s="20" t="n">
        <f aca="false">OL72-OM72</f>
        <v>68421.3641082156</v>
      </c>
      <c r="OO72" s="20" t="n">
        <f aca="false">MIN(ON72,HL72)</f>
        <v>0</v>
      </c>
      <c r="OP72" s="20" t="n">
        <f aca="false">ON72-OO72</f>
        <v>68421.3641082156</v>
      </c>
      <c r="OQ72" s="20" t="n">
        <f aca="false">IF(AND(HU72=0,HF72=1,OP72&gt;0),MIN(OP72,HG72),0)</f>
        <v>0</v>
      </c>
      <c r="OR72" s="20" t="n">
        <f aca="false">OP72-OQ72</f>
        <v>68421.3641082156</v>
      </c>
      <c r="OS72" s="20" t="n">
        <f aca="false">IF(AND(HU72=0,GV72=1,OR72&gt;0),MIN(OR72,GW72),0)</f>
        <v>0</v>
      </c>
      <c r="OT72" s="20" t="n">
        <f aca="false">OR72-OS72</f>
        <v>68421.3641082156</v>
      </c>
      <c r="OU72" s="20" t="n">
        <f aca="false">IF(AND(HU72=0,GL72=1,OT72&gt;0),MIN(OT72,GM72),0)</f>
        <v>0</v>
      </c>
      <c r="OV72" s="20" t="n">
        <f aca="false">OT72-OU72</f>
        <v>68421.3641082156</v>
      </c>
      <c r="OW72" s="20" t="n">
        <f aca="false">IF(AND(HU72=0,GB72=1,OV72&gt;0),MIN(OV72,GC72),0)</f>
        <v>0</v>
      </c>
      <c r="OX72" s="20" t="n">
        <f aca="false">OV72-OW72</f>
        <v>68421.3641082156</v>
      </c>
      <c r="OY72" s="20" t="n">
        <f aca="false">IF(AND(HU72=0,FR72=1,OX72&gt;0),MIN(OX72,FS72),0)</f>
        <v>0</v>
      </c>
      <c r="OZ72" s="20" t="n">
        <f aca="false">OX72-OY72</f>
        <v>68421.3641082156</v>
      </c>
      <c r="PA72" s="20" t="n">
        <f aca="false">IF(AND(HU72=0,FH72=1,OZ72&gt;0),MIN(OZ72,FI72),0)</f>
        <v>0</v>
      </c>
      <c r="PB72" s="20" t="n">
        <f aca="false">OZ72-PA72</f>
        <v>68421.3641082156</v>
      </c>
      <c r="PC72" s="20" t="n">
        <f aca="false">IF(AND(HU72=0,EX72=1,PB72&gt;0),MIN(PB72,EY72),0)</f>
        <v>0</v>
      </c>
      <c r="PD72" s="20" t="n">
        <f aca="false">PB72-PC72</f>
        <v>68421.3641082156</v>
      </c>
      <c r="PE72" s="20" t="n">
        <f aca="false">IF(AND(HU72=0,EN72=1,PD72&gt;0),MIN(PD72,EO72),0)</f>
        <v>0</v>
      </c>
      <c r="PF72" s="20" t="n">
        <f aca="false">PD72-PE72</f>
        <v>68421.3641082156</v>
      </c>
      <c r="PG72" s="20" t="n">
        <f aca="false">IF(AND(HU72=0,ED72=1,PF72&gt;0),MIN(PF72,EE72),0)</f>
        <v>0</v>
      </c>
      <c r="PH72" s="20" t="n">
        <f aca="false">PF72-PG72</f>
        <v>68421.3641082156</v>
      </c>
      <c r="PI72" s="20" t="n">
        <f aca="false">IF(AND(HU72=0,DT72=1,PH72&gt;0),MIN(PH72,DU72),0)</f>
        <v>0</v>
      </c>
      <c r="PJ72" s="20" t="n">
        <f aca="false">PH72-PI72</f>
        <v>68421.3641082156</v>
      </c>
      <c r="PK72" s="20" t="n">
        <f aca="false">IF(AND(HU72=0,DJ72=1,PJ72&gt;0),MIN(PJ72,DK72),0)</f>
        <v>0</v>
      </c>
      <c r="PL72" s="20" t="n">
        <f aca="false">PJ72-PK72</f>
        <v>68421.3641082156</v>
      </c>
      <c r="PM72" s="20" t="n">
        <f aca="false">IF(AND(HU72=0,CZ72=1,PL72&gt;0),MIN(PL72,DA72),0)</f>
        <v>0</v>
      </c>
      <c r="PN72" s="20" t="n">
        <f aca="false">PL72-PM72</f>
        <v>68421.3641082156</v>
      </c>
      <c r="PO72" s="20" t="n">
        <f aca="false">IF(AND(HU72=0,CP72=1,PN72&gt;0),MIN(PN72,CQ72),0)</f>
        <v>0</v>
      </c>
      <c r="PP72" s="20" t="n">
        <f aca="false">PN72-PO72</f>
        <v>68421.3641082156</v>
      </c>
      <c r="PQ72" s="20" t="n">
        <f aca="false">IF(AND(HU72=0,CF72=1,PP72&gt;0),MIN(PP72,CG72),0)</f>
        <v>0</v>
      </c>
      <c r="PR72" s="20" t="n">
        <f aca="false">PP72-PQ72</f>
        <v>68421.3641082156</v>
      </c>
      <c r="PS72" s="20" t="n">
        <f aca="false">IF(AND(HU72=0,BV72=1,PR72&gt;0),MIN(PR72,BW72),0)</f>
        <v>0</v>
      </c>
      <c r="PT72" s="20" t="n">
        <f aca="false">PR72-PS72</f>
        <v>68421.3641082156</v>
      </c>
      <c r="PU72" s="20" t="n">
        <f aca="false">IF(AND(HU72=0,BL72=1,PT72&gt;0),MIN(PT72,BM72),0)</f>
        <v>0</v>
      </c>
      <c r="PV72" s="20" t="n">
        <f aca="false">PT72-PU72</f>
        <v>68421.3641082156</v>
      </c>
      <c r="PW72" s="20" t="n">
        <f aca="false">IF(AND(HU72=0,BB72=1,PV72&gt;0),MIN(PV72,BC72),0)</f>
        <v>0</v>
      </c>
      <c r="PX72" s="20" t="n">
        <f aca="false">PV72-PW72</f>
        <v>68421.3641082156</v>
      </c>
      <c r="PY72" s="20" t="n">
        <f aca="false">IF(AND(HU72=0,AR72=1,PX72&gt;0),MIN(PX72,AS72),0)</f>
        <v>0</v>
      </c>
      <c r="PZ72" s="20" t="n">
        <f aca="false">PX72-PY72</f>
        <v>68421.3641082156</v>
      </c>
      <c r="QA72" s="20" t="n">
        <f aca="false">IF(AND(HU72=0,AH72=1,PZ72&gt;0),MIN(PZ72,AI72),0)</f>
        <v>0</v>
      </c>
      <c r="QB72" s="20" t="n">
        <f aca="false">PZ72-QA72</f>
        <v>68421.3641082156</v>
      </c>
      <c r="QC72" s="20" t="n">
        <f aca="false">IF(AND(HU72=0,W72=1,QB72&gt;0),MIN(QB72,X72),0)</f>
        <v>0</v>
      </c>
      <c r="QD72" s="20" t="n">
        <f aca="false">QB72-QC72</f>
        <v>68421.3641082156</v>
      </c>
      <c r="QE72" s="20" t="n">
        <f aca="false">IF(HU72=0,QD72,0)</f>
        <v>68421.3641082156</v>
      </c>
      <c r="QF72" s="20" t="n">
        <f aca="false">OM72+OO72+QC72+QA72+PY72+PW72+PU72+PS72+PQ72+PO72+PM72+PK72+PI72+PG72+PE72+PC72+PA72+OY72+OW72+OU72+OS72+OQ72</f>
        <v>0</v>
      </c>
      <c r="QG72" s="20" t="n">
        <f aca="false">IF(HU72=1,HK72+OJ72+OI72+IF(G72=1,0,OK72),HK72-OM72)</f>
        <v>0</v>
      </c>
      <c r="QH72" s="20" t="n">
        <f aca="false">HL72-OO72</f>
        <v>0</v>
      </c>
      <c r="QI72" s="20" t="n">
        <f aca="false">IF(HU72=1,IF(G72=1,ID72+IE72,HS72),0)</f>
        <v>0</v>
      </c>
      <c r="QJ72" s="20" t="n">
        <f aca="false">IF(HU72=1,IF(G72=1,HS72-ID72-IE72,0),0)</f>
        <v>0</v>
      </c>
      <c r="QK72" s="57" t="n">
        <f aca="false">'Plan holdings'!BM72</f>
        <v>0</v>
      </c>
      <c r="QL72" s="20" t="n">
        <f aca="false">QH72*(1+AS_Cash)</f>
        <v>0</v>
      </c>
      <c r="QM72" s="20" t="n">
        <f aca="false">IF(W72=1,IF(HU72=1,II72+IL72,X72-QC72)*(1+Slot1_Rate),0)</f>
        <v>0</v>
      </c>
      <c r="QN72" s="20" t="n">
        <f aca="false">IF(AND(HU72=1,W72=1),(IH72+IL72)/F72,0)</f>
        <v>0</v>
      </c>
      <c r="QO72" s="20" t="n">
        <f aca="false">IF(B72=0,IH72+IL72,0)</f>
        <v>0</v>
      </c>
      <c r="QP72" s="20" t="n">
        <f aca="false">IF(B72=0,IF(HU72=1,IJ72,IK72),0)</f>
        <v>0</v>
      </c>
      <c r="QQ72" s="20" t="n">
        <f aca="false">IF(AH72=1,IF(HU72=1,IQ72+IT72,AI72-QA72)*(1+Slot2_Rate),0)</f>
        <v>0</v>
      </c>
      <c r="QR72" s="20" t="n">
        <f aca="false">IF(AND(HU72=1,AH72=1),(IP72+IT72)/F72,0)</f>
        <v>0</v>
      </c>
      <c r="QS72" s="20" t="n">
        <f aca="false">IF(B72=0,IP72+IT72,0)</f>
        <v>0</v>
      </c>
      <c r="QT72" s="20" t="n">
        <f aca="false">IF(B72=0,IF(HU72=1,IR72,IS72),0)</f>
        <v>0</v>
      </c>
      <c r="QU72" s="20" t="n">
        <f aca="false">IF(AR72=1,IF(HU72=1,IY72+JB72,AS72-PY72)*(1+Slot3_Rate),0)</f>
        <v>0</v>
      </c>
      <c r="QV72" s="20" t="n">
        <f aca="false">IF(AND(HU72=1,AR72=1),(IX72+JB72)/F72,0)</f>
        <v>0</v>
      </c>
      <c r="QW72" s="20" t="n">
        <f aca="false">IF(B72=0,IX72+JB72,0)</f>
        <v>0</v>
      </c>
      <c r="QX72" s="20" t="n">
        <f aca="false">IF(B72=0,IF(HU72=1,IZ72,JA72),0)</f>
        <v>0</v>
      </c>
      <c r="QY72" s="20" t="n">
        <f aca="false">IF(BB72=1,IF(HU72=1,JG72+JJ72,BC72-PW72)*(1+Slot4_Rate),0)</f>
        <v>0</v>
      </c>
      <c r="QZ72" s="20" t="n">
        <f aca="false">IF(AND(HU72=1,BB72=1),(JF72+JJ72)/F72,0)</f>
        <v>0</v>
      </c>
      <c r="RA72" s="20" t="n">
        <f aca="false">IF(B72=0,JF72+JJ72,0)</f>
        <v>0</v>
      </c>
      <c r="RB72" s="20" t="n">
        <f aca="false">IF(B72=0,IF(HU72=1,JH72,JI72),0)</f>
        <v>0</v>
      </c>
      <c r="RC72" s="20" t="n">
        <f aca="false">IF(BL72=1,IF(HU72=1,JO72+JR72,BM72-PU72)*(1+Slot5_Rate),0)</f>
        <v>0</v>
      </c>
      <c r="RD72" s="20" t="n">
        <f aca="false">IF(AND(HU72=1,BL72=1),(JN72+JR72)/F72,0)</f>
        <v>0</v>
      </c>
      <c r="RE72" s="20" t="n">
        <f aca="false">IF(B72=0,JN72+JR72,0)</f>
        <v>0</v>
      </c>
      <c r="RF72" s="20" t="n">
        <f aca="false">IF(B72=0,IF(HU72=1,JP72,JQ72),0)</f>
        <v>0</v>
      </c>
      <c r="RG72" s="20" t="n">
        <f aca="false">IF(BV72=1,IF(HU72=1,JW72+JZ72,BW72-PS72)*(1+Slot6_Rate),0)</f>
        <v>0</v>
      </c>
      <c r="RH72" s="20" t="n">
        <f aca="false">IF(AND(HU72=1,BV72=1),(JV72+JZ72)/F72,0)</f>
        <v>0</v>
      </c>
      <c r="RI72" s="20" t="n">
        <f aca="false">IF(B72=0,JV72+JZ72,0)</f>
        <v>0</v>
      </c>
      <c r="RJ72" s="20" t="n">
        <f aca="false">IF(B72=0,IF(HU72=1,JX72,JY72),0)</f>
        <v>0</v>
      </c>
      <c r="RK72" s="20" t="n">
        <f aca="false">IF(CF72=1,IF(HU72=1,KE72+KH72,CG72-PQ72)*(1+Slot7_Rate),0)</f>
        <v>0</v>
      </c>
      <c r="RL72" s="20" t="n">
        <f aca="false">IF(AND(HU72=1,CF72=1),(KD72+KH72)/F72,0)</f>
        <v>0</v>
      </c>
      <c r="RM72" s="20" t="n">
        <f aca="false">IF(B72=0,KD72+KH72,0)</f>
        <v>0</v>
      </c>
      <c r="RN72" s="20" t="n">
        <f aca="false">IF(B72=0,IF(HU72=1,KF72,KG72),0)</f>
        <v>0</v>
      </c>
      <c r="RO72" s="20" t="n">
        <f aca="false">IF(CP72=1,IF(HU72=1,KM72+KP72,CQ72-PO72)*(1+Slot8_Rate),0)</f>
        <v>0</v>
      </c>
      <c r="RP72" s="20" t="n">
        <f aca="false">IF(AND(HU72=1,CP72=1),(KL72+KP72)/F72,0)</f>
        <v>0</v>
      </c>
      <c r="RQ72" s="20" t="n">
        <f aca="false">IF(B72=0,KL72+KP72,0)</f>
        <v>0</v>
      </c>
      <c r="RR72" s="20" t="n">
        <f aca="false">IF(B72=0,IF(HU72=1,KN72,KO72),0)</f>
        <v>0</v>
      </c>
      <c r="RS72" s="20" t="n">
        <f aca="false">IF(CZ72=1,IF(HU72=1,KU72+KX72,DA72-PM72)*(1+Slot9_Rate),0)</f>
        <v>0</v>
      </c>
      <c r="RT72" s="20" t="n">
        <f aca="false">IF(AND(HU72=1,CZ72=1),(KT72+KX72)/F72,0)</f>
        <v>0</v>
      </c>
      <c r="RU72" s="20" t="n">
        <f aca="false">IF(B72=0,KT72+KX72,0)</f>
        <v>0</v>
      </c>
      <c r="RV72" s="20" t="n">
        <f aca="false">IF(B72=0,IF(HU72=1,KV72,KW72),0)</f>
        <v>0</v>
      </c>
      <c r="RW72" s="20" t="n">
        <f aca="false">IF(DJ72=1,IF(HU72=1,LC72+LF72,DK72-PK72)*(1+Slot10_Rate),0)</f>
        <v>0</v>
      </c>
      <c r="RX72" s="20" t="n">
        <f aca="false">IF(AND(HU72=1,DJ72=1),(LB72+LF72)/F72,0)</f>
        <v>0</v>
      </c>
      <c r="RY72" s="20" t="n">
        <f aca="false">IF(B72=0,LB72+LF72,0)</f>
        <v>0</v>
      </c>
      <c r="RZ72" s="20" t="n">
        <f aca="false">IF(B72=0,IF(HU72=1,LD72,LE72),0)</f>
        <v>0</v>
      </c>
      <c r="SA72" s="20" t="n">
        <f aca="false">IF(DT72=1,IF(HU72=1,LK72+LN72,DU72-PI72)*(1+Slot11_Rate),0)</f>
        <v>0</v>
      </c>
      <c r="SB72" s="20" t="n">
        <f aca="false">IF(AND(HU72=1,DT72=1),(LJ72+LN72)/F72,0)</f>
        <v>0</v>
      </c>
      <c r="SC72" s="20" t="n">
        <f aca="false">IF(B72=0,LJ72+LN72,0)</f>
        <v>0</v>
      </c>
      <c r="SD72" s="20" t="n">
        <f aca="false">IF(B72=0,IF(HU72=1,LL72,LM72),0)</f>
        <v>0</v>
      </c>
      <c r="SE72" s="20" t="n">
        <f aca="false">IF(ED72=1,IF(HU72=1,LS72+LV72,EE72-PG72)*(1+Slot12_Rate),0)</f>
        <v>0</v>
      </c>
      <c r="SF72" s="20" t="n">
        <f aca="false">IF(AND(HU72=1,ED72=1),(LR72+LV72)/F72,0)</f>
        <v>0</v>
      </c>
      <c r="SG72" s="20" t="n">
        <f aca="false">IF(B72=0,LR72+LV72,0)</f>
        <v>0</v>
      </c>
      <c r="SH72" s="20" t="n">
        <f aca="false">IF(B72=0,IF(HU72=1,LT72,LU72),0)</f>
        <v>0</v>
      </c>
      <c r="SI72" s="20" t="n">
        <f aca="false">IF(EN72=1,IF(HU72=1,MA72+MD72,EO72-PE72)*(1+Slot13_Rate),0)</f>
        <v>0</v>
      </c>
      <c r="SJ72" s="20" t="n">
        <f aca="false">IF(AND(HU72=1,EN72=1),(LZ72+MD72)/F72,0)</f>
        <v>0</v>
      </c>
      <c r="SK72" s="20" t="n">
        <f aca="false">IF(B72=0,LZ72+MD72,0)</f>
        <v>0</v>
      </c>
      <c r="SL72" s="20" t="n">
        <f aca="false">IF(B72=0,IF(HU72=1,MB72,MC72),0)</f>
        <v>0</v>
      </c>
      <c r="SM72" s="20" t="n">
        <f aca="false">IF(EX72=1,IF(HU72=1,MI72+ML72,EY72-PC72)*(1+Slot14_Rate),0)</f>
        <v>0</v>
      </c>
      <c r="SN72" s="20" t="n">
        <f aca="false">IF(AND(HU72=1,EX72=1),(MH72+ML72)/F72,0)</f>
        <v>0</v>
      </c>
      <c r="SO72" s="20" t="n">
        <f aca="false">IF(B72=0,MH72+ML72,0)</f>
        <v>0</v>
      </c>
      <c r="SP72" s="20" t="n">
        <f aca="false">IF(B72=0,IF(HU72=1,MJ72,MK72),0)</f>
        <v>0</v>
      </c>
      <c r="SQ72" s="20" t="n">
        <f aca="false">IF(FH72=1,IF(HU72=1,MQ72+MT72,FI72-PA72)*(1+Slot15_Rate),0)</f>
        <v>0</v>
      </c>
      <c r="SR72" s="20" t="n">
        <f aca="false">IF(AND(HU72=1,FH72=1),(MP72+MT72)/F72,0)</f>
        <v>0</v>
      </c>
      <c r="SS72" s="20" t="n">
        <f aca="false">IF(B72=0,MP72+MT72,0)</f>
        <v>0</v>
      </c>
      <c r="ST72" s="20" t="n">
        <f aca="false">IF(B72=0,IF(HU72=1,MR72,MS72),0)</f>
        <v>0</v>
      </c>
      <c r="SU72" s="20" t="n">
        <f aca="false">IF(FR72=1,IF(HU72=1,MY72+NB72,FS72-OY72)*(1+Slot16_Rate),0)</f>
        <v>0</v>
      </c>
      <c r="SV72" s="20" t="n">
        <f aca="false">IF(AND(HU72=1,FR72=1),(MX72+NB72)/F72,0)</f>
        <v>0</v>
      </c>
      <c r="SW72" s="20" t="n">
        <f aca="false">IF(B72=0,MX72+NB72,0)</f>
        <v>0</v>
      </c>
      <c r="SX72" s="20" t="n">
        <f aca="false">IF(B72=0,IF(HU72=1,MZ72,NA72),0)</f>
        <v>0</v>
      </c>
      <c r="SY72" s="20" t="n">
        <f aca="false">IF(GB72=1,IF(HU72=1,NG72+NJ72,GC72-OW72)*(1+Slot17_Rate),0)</f>
        <v>0</v>
      </c>
      <c r="SZ72" s="20" t="n">
        <f aca="false">IF(AND(HU72=1,GB72=1),(NF72+NJ72)/F72,0)</f>
        <v>0</v>
      </c>
      <c r="TA72" s="20" t="n">
        <f aca="false">IF(B72=0,NF72+NJ72,0)</f>
        <v>0</v>
      </c>
      <c r="TB72" s="20" t="n">
        <f aca="false">IF(B72=0,IF(HU72=1,NH72,NI72),0)</f>
        <v>0</v>
      </c>
      <c r="TC72" s="20" t="n">
        <f aca="false">IF(GL72=1,IF(HU72=1,NO72+NR72,GM72-OU72)*(1+Slot18_Rate),0)</f>
        <v>0</v>
      </c>
      <c r="TD72" s="20" t="n">
        <f aca="false">IF(AND(HU72=1,GL72=1),(NN72+NR72)/F72,0)</f>
        <v>0</v>
      </c>
      <c r="TE72" s="20" t="n">
        <f aca="false">IF(B72=0,NN72+NR72,0)</f>
        <v>0</v>
      </c>
      <c r="TF72" s="20" t="n">
        <f aca="false">IF(B72=0,IF(HU72=1,NP72,NQ72),0)</f>
        <v>0</v>
      </c>
      <c r="TG72" s="20" t="n">
        <f aca="false">IF(GV72=1,IF(HU72=1,NW72+NZ72,GW72-OS72)*(1+Slot19_Rate),0)</f>
        <v>0</v>
      </c>
      <c r="TH72" s="20" t="n">
        <f aca="false">IF(AND(HU72=1,GV72=1),(NV72+NZ72)/F72,0)</f>
        <v>0</v>
      </c>
      <c r="TI72" s="20" t="n">
        <f aca="false">IF(B72=0,NV72+NZ72,0)</f>
        <v>0</v>
      </c>
      <c r="TJ72" s="20" t="n">
        <f aca="false">IF(B72=0,IF(HU72=1,NX72,NY72),0)</f>
        <v>0</v>
      </c>
      <c r="TK72" s="20" t="n">
        <f aca="false">IF(HF72=1,IF(HU72=1,OE72+OH72,HG72-OQ72)*(1+Slot20_Rate),0)</f>
        <v>0</v>
      </c>
      <c r="TL72" s="20" t="n">
        <f aca="false">IF(AND(HU72=1,HF72=1),(OD72+OH72)/F72,0)</f>
        <v>0</v>
      </c>
      <c r="TM72" s="20" t="n">
        <f aca="false">IF(B72=0,OD72+OH72,0)</f>
        <v>0</v>
      </c>
      <c r="TN72" s="20" t="n">
        <f aca="false">IF(B72=0,IF(HU72=1,OF72,OG72),0)</f>
        <v>0</v>
      </c>
      <c r="TO72" s="20" t="n">
        <f aca="false">QK72+QL72+QM72+QQ72+QU72+QY72+RC72+RG72+RK72+RO72+RS72+RW72+SA72+SE72+SI72+SM72+SQ72+SU72+SY72+TC72+TG72+TK72</f>
        <v>0</v>
      </c>
      <c r="TP72" s="20" t="n">
        <f aca="false">QE72+HP72</f>
        <v>68421.3641082156</v>
      </c>
      <c r="TQ72" s="20" t="n">
        <f aca="false">I72+S72</f>
        <v>169761.377028635</v>
      </c>
      <c r="TR72" s="20" t="n">
        <f aca="false">1-G72</f>
        <v>1</v>
      </c>
      <c r="TS72" s="20" t="n">
        <f aca="false">IF(AND(RG_Exists=1,G72=0,C72=1),I72,0)</f>
        <v>0</v>
      </c>
      <c r="TT72" s="20" t="n">
        <f aca="false">IF(AND(RG_Exists=1,G72=0,C72=1),I72-MIN(QE72,I72),0)</f>
        <v>0</v>
      </c>
      <c r="TU72" s="20" t="n">
        <f aca="false">'Plan pay &amp; tax'!AD298</f>
        <v>0</v>
      </c>
      <c r="TV72" s="20" t="n">
        <f aca="false">IF(AND(C72=1,QE72&gt;MAX(PR_Short1,TQ72*PR_Short2)),1,0)</f>
        <v>0</v>
      </c>
      <c r="TW72" s="20" t="n">
        <f aca="false">MIN(H72,I72+S72)</f>
        <v>101340.012920419</v>
      </c>
      <c r="TX72" s="20" t="n">
        <f aca="false">QF72+MAX(0,HQ72-HP72)</f>
        <v>0</v>
      </c>
      <c r="TY72" s="20" t="n">
        <f aca="false">QE72+HP72</f>
        <v>68421.3641082156</v>
      </c>
      <c r="TZ72" s="20" t="n">
        <f aca="false">IF(AND(C72=1,TY72&gt;PR_MinShort),1,0)</f>
        <v>0</v>
      </c>
      <c r="UA72" s="20" t="n">
        <f aca="false">IF(AND(C72=1,TZ72=0,TX72&gt;PR_MinShort),1,0)</f>
        <v>0</v>
      </c>
      <c r="UB72" s="20" t="n">
        <f aca="false">IF(AND(C72=1,QE72&gt;PR_MinShort),1,0)</f>
        <v>0</v>
      </c>
      <c r="UC72" s="20" t="n">
        <f aca="false">IF(AND(C72=1,QF72&gt;1,UJ72=0),1,0)</f>
        <v>0</v>
      </c>
      <c r="UD72" s="20" t="str">
        <f aca="false">IF(C72=0,"",IF(UJ72=1,"Gap to plan for: short "&amp;"€"&amp;TEXT(ROUND(TP72,0),"#,##0"),IF(QF72&gt;1,"Using savings","Comfortable")))</f>
        <v/>
      </c>
      <c r="UE72" s="20" t="n">
        <f aca="false">IF(AND(INT(D72/10)*10=90,B72&gt;0),80,INT(D72/10)*10)</f>
        <v>100</v>
      </c>
      <c r="UF72" s="20" t="n">
        <f aca="false">IF(B72=0,1,IF(UE72&lt;&gt;UE71,UF71+1,UF71))</f>
        <v>7</v>
      </c>
      <c r="UG72" s="20" t="n">
        <f aca="false">IF(AND(C72=1,G72=1,QE72&gt;MAX(PR_Short1,TQ72*PR_Short2)),1,0)</f>
        <v>0</v>
      </c>
      <c r="UH72" s="20" t="n">
        <f aca="false">TR72*TV72</f>
        <v>0</v>
      </c>
      <c r="UI72" s="20" t="n">
        <f aca="false">IF(AND(V72=1,Slot1_PctLow=1),1,0)+IF(AND(AG72=1,Slot2_PctLow=1),1,0)+IF(AND(AQ72=1,Slot3_PctLow=1),1,0)+IF(AND(BA72=1,Slot4_PctLow=1),1,0)+IF(AND(BK72=1,Slot5_PctLow=1),1,0)+IF(AND(BU72=1,Slot6_PctLow=1),1,0)+IF(AND(CE72=1,Slot7_PctLow=1),1,0)+IF(AND(CO72=1,Slot8_PctLow=1),1,0)+IF(AND(CY72=1,Slot9_PctLow=1),1,0)+IF(AND(DI72=1,Slot10_PctLow=1),1,0)+IF(AND(DS72=1,Slot11_PctLow=1),1,0)+IF(AND(EC72=1,Slot12_PctLow=1),1,0)+IF(AND(EM72=1,Slot13_PctLow=1),1,0)+IF(AND(EW72=1,Slot14_PctLow=1),1,0)+IF(AND(FG72=1,Slot15_PctLow=1),1,0)+IF(AND(FQ72=1,Slot16_PctLow=1),1,0)+IF(AND(GA72=1,Slot17_PctLow=1),1,0)+IF(AND(GK72=1,Slot18_PctLow=1),1,0)+IF(AND(GU72=1,Slot19_PctLow=1),1,0)+IF(AND(HE72=1,Slot20_PctLow=1),1,0)</f>
        <v>0</v>
      </c>
      <c r="UJ72" s="20" t="n">
        <f aca="false">IF(C72=1,IF(OR(TV72=1,UI72&gt;0),1,0),0)</f>
        <v>0</v>
      </c>
      <c r="UK72" s="20" t="n">
        <f aca="false">Z72+AK72+AU72+BE72+BO72+BY72+CI72+CS72+DC72+DM72+DW72+EG72+EQ72+FA72+FK72+FU72+GE72+GO72+GY72+HI72+OM72</f>
        <v>0</v>
      </c>
      <c r="UL72" s="20" t="n">
        <f aca="false">V72*IF(Slot1_SpendLike=1,X72-Y72,IF(Slot1_PotFree=1,X72,0))+AG72*IF(Slot2_SpendLike=1,AI72-AJ72,IF(Slot2_PotFree=1,AI72,0))+AQ72*IF(Slot3_SpendLike=1,AS72-AT72,IF(Slot3_PotFree=1,AS72,0))+BA72*IF(Slot4_SpendLike=1,BC72-BD72,IF(Slot4_PotFree=1,BC72,0))+BK72*IF(Slot5_SpendLike=1,BM72-BN72,IF(Slot5_PotFree=1,BM72,0))+BU72*IF(Slot6_SpendLike=1,BW72-BX72,IF(Slot6_PotFree=1,BW72,0))+CE72*IF(Slot7_SpendLike=1,CG72-CH72,IF(Slot7_PotFree=1,CG72,0))+CO72*IF(Slot8_SpendLike=1,CQ72-CR72,IF(Slot8_PotFree=1,CQ72,0))+CY72*IF(Slot9_SpendLike=1,DA72-DB72,IF(Slot9_PotFree=1,DA72,0))+DI72*IF(Slot10_SpendLike=1,DK72-DL72,IF(Slot10_PotFree=1,DK72,0))+DS72*IF(Slot11_SpendLike=1,DU72-DV72,IF(Slot11_PotFree=1,DU72,0))+EC72*IF(Slot12_SpendLike=1,EE72-EF72,IF(Slot12_PotFree=1,EE72,0))+EM72*IF(Slot13_SpendLike=1,EO72-EP72,IF(Slot13_PotFree=1,EO72,0))+EW72*IF(Slot14_SpendLike=1,EY72-EZ72,IF(Slot14_PotFree=1,EY72,0))+FG72*IF(Slot15_SpendLike=1,FI72-FJ72,IF(Slot15_PotFree=1,FI72,0))+FQ72*IF(Slot16_SpendLike=1,FS72-FT72,IF(Slot16_PotFree=1,FS72,0))+GA72*IF(Slot17_SpendLike=1,GC72-GD72,IF(Slot17_PotFree=1,GC72,0))+GK72*IF(Slot18_SpendLike=1,GM72-GN72,IF(Slot18_PotFree=1,GM72,0))+GU72*IF(Slot19_SpendLike=1,GW72-GX72,IF(Slot19_PotFree=1,GW72,0))+HE72*IF(Slot20_SpendLike=1,HG72-HH72,IF(Slot20_PotFree=1,HG72,0))</f>
        <v>0</v>
      </c>
      <c r="UM72" s="20" t="n">
        <f aca="false">QG72-T72+UK72-UL72</f>
        <v>0</v>
      </c>
      <c r="UN72" s="20" t="n">
        <f aca="false">IF(OR(UN71=1,AND(In_homeUse="Yes, I'd downsize",In_downAge&gt;0,D72=In_downAge,OR(In_home="Own outright",In_home="Own with mortgage"),In_homeValue&gt;0)),1,0)</f>
        <v>0</v>
      </c>
    </row>
    <row r="73" customFormat="false" ht="15" hidden="false" customHeight="true" outlineLevel="0" collapsed="false">
      <c r="B73" s="20" t="n">
        <v>65</v>
      </c>
      <c r="C73" s="20" t="n">
        <f aca="false">IF(B73&lt;=F_N,1,0)</f>
        <v>0</v>
      </c>
      <c r="D73" s="20" t="n">
        <f aca="false">'Plan pay &amp; tax'!C299</f>
        <v>103</v>
      </c>
      <c r="E73" s="20" t="str">
        <f aca="false">IF($C73=1,"Income tax "&amp;TEXT(N('Plan pay &amp; tax'!BK299),"#,##0")&amp;"; USC "&amp;TEXT(N('Plan pay &amp; tax'!BM299)+N('Plan pay &amp; tax'!BO299),"#,##0")&amp;"; PRSI "&amp;TEXT(N('Plan pay &amp; tax'!BP299)+N('Plan pay &amp; tax'!BQ299),"#,##0")&amp;IF(N('Plan holdings'!BO73)&gt;=0.5,"; DIRT "&amp;TEXT(('Plan holdings'!BO73)/$F73,"#,##0")&amp;" (already taken from the interest earned)","")&amp;IF(N('Plan holdings'!BP73)&gt;=0.5,"; exit tax at an 8-year anniversary "&amp;TEXT(('Plan holdings'!BP73)/$F73,"#,##0"),"")&amp;IF(N('Plan holdings'!BN73)&gt;=0.5,"; tax on assets sold (exit tax or capital gains tax) "&amp;TEXT(('Plan holdings'!BN73)/$F73,"#,##0"),"")&amp;IF(N('Plan pay &amp; tax'!X299)-N('Plan pay &amp; tax'!Y299)&gt;=0.5,"; tax on the pension lump sum "&amp;TEXT(('Plan pay &amp; tax'!X299-'Plan pay &amp; tax'!Y299)/$F73,"#,##0"),"")&amp;IF(N('Plan pay &amp; tax'!V299)&gt;=0.5,"; chargeable excess tax on the pension "&amp;TEXT(('Plan pay &amp; tax'!V299)/$F73,"#,##0"),"")&amp;".","")</f>
        <v/>
      </c>
      <c r="F73" s="50" t="n">
        <f aca="false">'Plan pay &amp; tax'!E299</f>
        <v>3.62252310814242</v>
      </c>
      <c r="G73" s="20" t="n">
        <f aca="false">'Plan pay &amp; tax'!G299</f>
        <v>0</v>
      </c>
      <c r="H73" s="20" t="n">
        <f aca="false">'Plan pay &amp; tax'!BT299-'Plan pay &amp; tax'!BS299-'Plan pay &amp; tax'!R299</f>
        <v>103366.813178828</v>
      </c>
      <c r="I73" s="20" t="n">
        <f aca="false">IF(G73=1,F_CostsM*12,IF(RG_Exists=1,RG_Amount,F_CostsM*12*AS_RetireSpend))*F73+F_OneOffY*F73</f>
        <v>173156.604569208</v>
      </c>
      <c r="J73" s="20" t="n">
        <f aca="false">IF(UN73=1,0,HR72)</f>
        <v>0</v>
      </c>
      <c r="K73" s="20" t="n">
        <f aca="false">IF(J73&gt;1,'Plan debt months'!AC73,0)</f>
        <v>0</v>
      </c>
      <c r="L73" s="20" t="n">
        <f aca="false">IF(J73&gt;1,'Plan debt months'!AB73,J73)</f>
        <v>0</v>
      </c>
      <c r="M73" s="20" t="n">
        <f aca="false">O72</f>
        <v>0</v>
      </c>
      <c r="N73" s="20" t="n">
        <f aca="false">IF(M73&gt;1,'Plan debt months'!BD73,0)</f>
        <v>0</v>
      </c>
      <c r="O73" s="20" t="n">
        <f aca="false">IF(M73&gt;1,'Plan debt months'!BC73,M73)</f>
        <v>0</v>
      </c>
      <c r="P73" s="20" t="n">
        <f aca="false">R72</f>
        <v>0</v>
      </c>
      <c r="Q73" s="20" t="n">
        <f aca="false">IF(P73&gt;1,'Plan debt months'!CE73,0)</f>
        <v>0</v>
      </c>
      <c r="R73" s="20" t="n">
        <f aca="false">IF(P73&gt;1,'Plan debt months'!CD73,P73)</f>
        <v>0</v>
      </c>
      <c r="S73" s="20" t="n">
        <f aca="false">K73+N73+Q73</f>
        <v>0</v>
      </c>
      <c r="T73" s="57" t="n">
        <f aca="false">'Plan holdings'!Y73</f>
        <v>0</v>
      </c>
      <c r="U73" s="57" t="n">
        <f aca="false">'Plan holdings'!BM72</f>
        <v>0</v>
      </c>
      <c r="V73" s="20" t="n">
        <f aca="false">IF(AND(Slot1_On=1,D73=Slot1_Age),1,0)</f>
        <v>0</v>
      </c>
      <c r="W73" s="20" t="n">
        <f aca="false">IF(AND(Slot1_On=1,Slot1_Age&gt;D73),1,0)</f>
        <v>0</v>
      </c>
      <c r="X73" s="20" t="n">
        <f aca="false">QM72</f>
        <v>0</v>
      </c>
      <c r="Y73" s="20" t="n">
        <f aca="false">V73*MIN(Slot1_Cost,X73)</f>
        <v>0</v>
      </c>
      <c r="Z73" s="20" t="n">
        <f aca="false">V73*Slot1_SpendLike*MIN(Slot1_Cost-Y73,T73)</f>
        <v>0</v>
      </c>
      <c r="AA73" s="20" t="n">
        <f aca="false">Y73+Z73</f>
        <v>0</v>
      </c>
      <c r="AB73" s="20" t="n">
        <f aca="false">T73-Z73+V73*IF(Slot1_SpendLike=1,X73-Y73,IF(Slot1_PotFree=1,X73,0))</f>
        <v>0</v>
      </c>
      <c r="AC73" s="20" t="n">
        <f aca="false">AF73+V73*Slot1_BufPot*X73</f>
        <v>0</v>
      </c>
      <c r="AD73" s="20" t="n">
        <f aca="false">IF(AND(V73=1,Slot1_IsMfree=1),IF(AA73&gt;=Slot1_Cost-1,0,MAX(0,L73-AA73)),L73)</f>
        <v>0</v>
      </c>
      <c r="AE73" s="20" t="n">
        <f aca="false">V73*(Slot1_Cost-AA73)</f>
        <v>0</v>
      </c>
      <c r="AF73" s="20" t="n">
        <f aca="false">QL72</f>
        <v>0</v>
      </c>
      <c r="AG73" s="20" t="n">
        <f aca="false">IF(AND(Slot2_On=1,D73=Slot2_Age),1,0)</f>
        <v>0</v>
      </c>
      <c r="AH73" s="20" t="n">
        <f aca="false">IF(AND(Slot2_On=1,Slot2_Age&gt;D73),1,0)</f>
        <v>0</v>
      </c>
      <c r="AI73" s="20" t="n">
        <f aca="false">QQ72</f>
        <v>0</v>
      </c>
      <c r="AJ73" s="20" t="n">
        <f aca="false">AG73*MIN(Slot2_Cost,AI73)</f>
        <v>0</v>
      </c>
      <c r="AK73" s="20" t="n">
        <f aca="false">AG73*Slot2_SpendLike*MIN(Slot2_Cost-AJ73,AB73)</f>
        <v>0</v>
      </c>
      <c r="AL73" s="20" t="n">
        <f aca="false">AJ73+AK73</f>
        <v>0</v>
      </c>
      <c r="AM73" s="20" t="n">
        <f aca="false">AB73-AK73+AG73*IF(Slot2_SpendLike=1,AI73-AJ73,IF(Slot2_PotFree=1,AI73,0))</f>
        <v>0</v>
      </c>
      <c r="AN73" s="20" t="n">
        <f aca="false">AC73+AG73*Slot2_BufPot*AI73</f>
        <v>0</v>
      </c>
      <c r="AO73" s="20" t="n">
        <f aca="false">IF(AND(AG73=1,Slot2_IsMfree=1),IF(AL73&gt;=Slot2_Cost-1,0,MAX(0,AD73-AL73)),AD73)</f>
        <v>0</v>
      </c>
      <c r="AP73" s="20" t="n">
        <f aca="false">AG73*(Slot2_Cost-AL73)</f>
        <v>0</v>
      </c>
      <c r="AQ73" s="20" t="n">
        <f aca="false">IF(AND(Slot3_On=1,D73=Slot3_Age),1,0)</f>
        <v>0</v>
      </c>
      <c r="AR73" s="20" t="n">
        <f aca="false">IF(AND(Slot3_On=1,Slot3_Age&gt;D73),1,0)</f>
        <v>0</v>
      </c>
      <c r="AS73" s="20" t="n">
        <f aca="false">QU72</f>
        <v>0</v>
      </c>
      <c r="AT73" s="20" t="n">
        <f aca="false">AQ73*MIN(Slot3_Cost,AS73)</f>
        <v>0</v>
      </c>
      <c r="AU73" s="20" t="n">
        <f aca="false">AQ73*Slot3_SpendLike*MIN(Slot3_Cost-AT73,AM73)</f>
        <v>0</v>
      </c>
      <c r="AV73" s="20" t="n">
        <f aca="false">AT73+AU73</f>
        <v>0</v>
      </c>
      <c r="AW73" s="20" t="n">
        <f aca="false">AM73-AU73+AQ73*IF(Slot3_SpendLike=1,AS73-AT73,IF(Slot3_PotFree=1,AS73,0))</f>
        <v>0</v>
      </c>
      <c r="AX73" s="20" t="n">
        <f aca="false">AN73+AQ73*Slot3_BufPot*AS73</f>
        <v>0</v>
      </c>
      <c r="AY73" s="20" t="n">
        <f aca="false">IF(AND(AQ73=1,Slot3_IsMfree=1),IF(AV73&gt;=Slot3_Cost-1,0,MAX(0,AO73-AV73)),AO73)</f>
        <v>0</v>
      </c>
      <c r="AZ73" s="20" t="n">
        <f aca="false">AQ73*(Slot3_Cost-AV73)</f>
        <v>0</v>
      </c>
      <c r="BA73" s="20" t="n">
        <f aca="false">IF(AND(Slot4_On=1,D73=Slot4_Age),1,0)</f>
        <v>0</v>
      </c>
      <c r="BB73" s="20" t="n">
        <f aca="false">IF(AND(Slot4_On=1,Slot4_Age&gt;D73),1,0)</f>
        <v>0</v>
      </c>
      <c r="BC73" s="20" t="n">
        <f aca="false">QY72</f>
        <v>0</v>
      </c>
      <c r="BD73" s="20" t="n">
        <f aca="false">BA73*MIN(Slot4_Cost,BC73)</f>
        <v>0</v>
      </c>
      <c r="BE73" s="20" t="n">
        <f aca="false">BA73*Slot4_SpendLike*MIN(Slot4_Cost-BD73,AW73)</f>
        <v>0</v>
      </c>
      <c r="BF73" s="20" t="n">
        <f aca="false">BD73+BE73</f>
        <v>0</v>
      </c>
      <c r="BG73" s="20" t="n">
        <f aca="false">AW73-BE73+BA73*IF(Slot4_SpendLike=1,BC73-BD73,IF(Slot4_PotFree=1,BC73,0))</f>
        <v>0</v>
      </c>
      <c r="BH73" s="20" t="n">
        <f aca="false">AX73+BA73*Slot4_BufPot*BC73</f>
        <v>0</v>
      </c>
      <c r="BI73" s="20" t="n">
        <f aca="false">IF(AND(BA73=1,Slot4_IsMfree=1),IF(BF73&gt;=Slot4_Cost-1,0,MAX(0,AY73-BF73)),AY73)</f>
        <v>0</v>
      </c>
      <c r="BJ73" s="20" t="n">
        <f aca="false">BA73*(Slot4_Cost-BF73)</f>
        <v>0</v>
      </c>
      <c r="BK73" s="20" t="n">
        <f aca="false">IF(AND(Slot5_On=1,D73=Slot5_Age),1,0)</f>
        <v>0</v>
      </c>
      <c r="BL73" s="20" t="n">
        <f aca="false">IF(AND(Slot5_On=1,Slot5_Age&gt;D73),1,0)</f>
        <v>0</v>
      </c>
      <c r="BM73" s="20" t="n">
        <f aca="false">RC72</f>
        <v>0</v>
      </c>
      <c r="BN73" s="20" t="n">
        <f aca="false">BK73*MIN(Slot5_Cost,BM73)</f>
        <v>0</v>
      </c>
      <c r="BO73" s="20" t="n">
        <f aca="false">BK73*Slot5_SpendLike*MIN(Slot5_Cost-BN73,BG73)</f>
        <v>0</v>
      </c>
      <c r="BP73" s="20" t="n">
        <f aca="false">BN73+BO73</f>
        <v>0</v>
      </c>
      <c r="BQ73" s="20" t="n">
        <f aca="false">BG73-BO73+BK73*IF(Slot5_SpendLike=1,BM73-BN73,IF(Slot5_PotFree=1,BM73,0))</f>
        <v>0</v>
      </c>
      <c r="BR73" s="20" t="n">
        <f aca="false">BH73+BK73*Slot5_BufPot*BM73</f>
        <v>0</v>
      </c>
      <c r="BS73" s="20" t="n">
        <f aca="false">IF(AND(BK73=1,Slot5_IsMfree=1),IF(BP73&gt;=Slot5_Cost-1,0,MAX(0,BI73-BP73)),BI73)</f>
        <v>0</v>
      </c>
      <c r="BT73" s="20" t="n">
        <f aca="false">BK73*(Slot5_Cost-BP73)</f>
        <v>0</v>
      </c>
      <c r="BU73" s="20" t="n">
        <f aca="false">IF(AND(Slot6_On=1,D73=Slot6_Age),1,0)</f>
        <v>0</v>
      </c>
      <c r="BV73" s="20" t="n">
        <f aca="false">IF(AND(Slot6_On=1,Slot6_Age&gt;D73),1,0)</f>
        <v>0</v>
      </c>
      <c r="BW73" s="20" t="n">
        <f aca="false">RG72</f>
        <v>0</v>
      </c>
      <c r="BX73" s="20" t="n">
        <f aca="false">BU73*MIN(Slot6_Cost,BW73)</f>
        <v>0</v>
      </c>
      <c r="BY73" s="20" t="n">
        <f aca="false">BU73*Slot6_SpendLike*MIN(Slot6_Cost-BX73,BQ73)</f>
        <v>0</v>
      </c>
      <c r="BZ73" s="20" t="n">
        <f aca="false">BX73+BY73</f>
        <v>0</v>
      </c>
      <c r="CA73" s="20" t="n">
        <f aca="false">BQ73-BY73+BU73*IF(Slot6_SpendLike=1,BW73-BX73,IF(Slot6_PotFree=1,BW73,0))</f>
        <v>0</v>
      </c>
      <c r="CB73" s="20" t="n">
        <f aca="false">BR73+BU73*Slot6_BufPot*BW73</f>
        <v>0</v>
      </c>
      <c r="CC73" s="20" t="n">
        <f aca="false">IF(AND(BU73=1,Slot6_IsMfree=1),IF(BZ73&gt;=Slot6_Cost-1,0,MAX(0,BS73-BZ73)),BS73)</f>
        <v>0</v>
      </c>
      <c r="CD73" s="20" t="n">
        <f aca="false">BU73*(Slot6_Cost-BZ73)</f>
        <v>0</v>
      </c>
      <c r="CE73" s="20" t="n">
        <f aca="false">IF(AND(Slot7_On=1,D73=Slot7_Age),1,0)</f>
        <v>0</v>
      </c>
      <c r="CF73" s="20" t="n">
        <f aca="false">IF(AND(Slot7_On=1,Slot7_Age&gt;D73),1,0)</f>
        <v>0</v>
      </c>
      <c r="CG73" s="20" t="n">
        <f aca="false">RK72</f>
        <v>0</v>
      </c>
      <c r="CH73" s="20" t="n">
        <f aca="false">CE73*MIN(Slot7_Cost,CG73)</f>
        <v>0</v>
      </c>
      <c r="CI73" s="20" t="n">
        <f aca="false">CE73*Slot7_SpendLike*MIN(Slot7_Cost-CH73,CA73)</f>
        <v>0</v>
      </c>
      <c r="CJ73" s="20" t="n">
        <f aca="false">CH73+CI73</f>
        <v>0</v>
      </c>
      <c r="CK73" s="20" t="n">
        <f aca="false">CA73-CI73+CE73*IF(Slot7_SpendLike=1,CG73-CH73,IF(Slot7_PotFree=1,CG73,0))</f>
        <v>0</v>
      </c>
      <c r="CL73" s="20" t="n">
        <f aca="false">CB73+CE73*Slot7_BufPot*CG73</f>
        <v>0</v>
      </c>
      <c r="CM73" s="20" t="n">
        <f aca="false">IF(AND(CE73=1,Slot7_IsMfree=1),IF(CJ73&gt;=Slot7_Cost-1,0,MAX(0,CC73-CJ73)),CC73)</f>
        <v>0</v>
      </c>
      <c r="CN73" s="20" t="n">
        <f aca="false">CE73*(Slot7_Cost-CJ73)</f>
        <v>0</v>
      </c>
      <c r="CO73" s="20" t="n">
        <f aca="false">IF(AND(Slot8_On=1,D73=Slot8_Age),1,0)</f>
        <v>0</v>
      </c>
      <c r="CP73" s="20" t="n">
        <f aca="false">IF(AND(Slot8_On=1,Slot8_Age&gt;D73),1,0)</f>
        <v>0</v>
      </c>
      <c r="CQ73" s="20" t="n">
        <f aca="false">RO72</f>
        <v>0</v>
      </c>
      <c r="CR73" s="20" t="n">
        <f aca="false">CO73*MIN(Slot8_Cost,CQ73)</f>
        <v>0</v>
      </c>
      <c r="CS73" s="20" t="n">
        <f aca="false">CO73*Slot8_SpendLike*MIN(Slot8_Cost-CR73,CK73)</f>
        <v>0</v>
      </c>
      <c r="CT73" s="20" t="n">
        <f aca="false">CR73+CS73</f>
        <v>0</v>
      </c>
      <c r="CU73" s="20" t="n">
        <f aca="false">CK73-CS73+CO73*IF(Slot8_SpendLike=1,CQ73-CR73,IF(Slot8_PotFree=1,CQ73,0))</f>
        <v>0</v>
      </c>
      <c r="CV73" s="20" t="n">
        <f aca="false">CL73+CO73*Slot8_BufPot*CQ73</f>
        <v>0</v>
      </c>
      <c r="CW73" s="20" t="n">
        <f aca="false">IF(AND(CO73=1,Slot8_IsMfree=1),IF(CT73&gt;=Slot8_Cost-1,0,MAX(0,CM73-CT73)),CM73)</f>
        <v>0</v>
      </c>
      <c r="CX73" s="20" t="n">
        <f aca="false">CO73*(Slot8_Cost-CT73)</f>
        <v>0</v>
      </c>
      <c r="CY73" s="20" t="n">
        <f aca="false">IF(AND(Slot9_On=1,D73=Slot9_Age),1,0)</f>
        <v>0</v>
      </c>
      <c r="CZ73" s="20" t="n">
        <f aca="false">IF(AND(Slot9_On=1,Slot9_Age&gt;D73),1,0)</f>
        <v>0</v>
      </c>
      <c r="DA73" s="20" t="n">
        <f aca="false">RS72</f>
        <v>0</v>
      </c>
      <c r="DB73" s="20" t="n">
        <f aca="false">CY73*MIN(Slot9_Cost,DA73)</f>
        <v>0</v>
      </c>
      <c r="DC73" s="20" t="n">
        <f aca="false">CY73*Slot9_SpendLike*MIN(Slot9_Cost-DB73,CU73)</f>
        <v>0</v>
      </c>
      <c r="DD73" s="20" t="n">
        <f aca="false">DB73+DC73</f>
        <v>0</v>
      </c>
      <c r="DE73" s="20" t="n">
        <f aca="false">CU73-DC73+CY73*IF(Slot9_SpendLike=1,DA73-DB73,IF(Slot9_PotFree=1,DA73,0))</f>
        <v>0</v>
      </c>
      <c r="DF73" s="20" t="n">
        <f aca="false">CV73+CY73*Slot9_BufPot*DA73</f>
        <v>0</v>
      </c>
      <c r="DG73" s="20" t="n">
        <f aca="false">IF(AND(CY73=1,Slot9_IsMfree=1),IF(DD73&gt;=Slot9_Cost-1,0,MAX(0,CW73-DD73)),CW73)</f>
        <v>0</v>
      </c>
      <c r="DH73" s="20" t="n">
        <f aca="false">CY73*(Slot9_Cost-DD73)</f>
        <v>0</v>
      </c>
      <c r="DI73" s="20" t="n">
        <f aca="false">IF(AND(Slot10_On=1,D73=Slot10_Age),1,0)</f>
        <v>0</v>
      </c>
      <c r="DJ73" s="20" t="n">
        <f aca="false">IF(AND(Slot10_On=1,Slot10_Age&gt;D73),1,0)</f>
        <v>0</v>
      </c>
      <c r="DK73" s="20" t="n">
        <f aca="false">RW72</f>
        <v>0</v>
      </c>
      <c r="DL73" s="20" t="n">
        <f aca="false">DI73*MIN(Slot10_Cost,DK73)</f>
        <v>0</v>
      </c>
      <c r="DM73" s="20" t="n">
        <f aca="false">DI73*Slot10_SpendLike*MIN(Slot10_Cost-DL73,DE73)</f>
        <v>0</v>
      </c>
      <c r="DN73" s="20" t="n">
        <f aca="false">DL73+DM73</f>
        <v>0</v>
      </c>
      <c r="DO73" s="20" t="n">
        <f aca="false">DE73-DM73+DI73*IF(Slot10_SpendLike=1,DK73-DL73,IF(Slot10_PotFree=1,DK73,0))</f>
        <v>0</v>
      </c>
      <c r="DP73" s="20" t="n">
        <f aca="false">DF73+DI73*Slot10_BufPot*DK73</f>
        <v>0</v>
      </c>
      <c r="DQ73" s="20" t="n">
        <f aca="false">IF(AND(DI73=1,Slot10_IsMfree=1),IF(DN73&gt;=Slot10_Cost-1,0,MAX(0,DG73-DN73)),DG73)</f>
        <v>0</v>
      </c>
      <c r="DR73" s="20" t="n">
        <f aca="false">DI73*(Slot10_Cost-DN73)</f>
        <v>0</v>
      </c>
      <c r="DS73" s="20" t="n">
        <f aca="false">IF(AND(Slot11_On=1,D73=Slot11_Age),1,0)</f>
        <v>0</v>
      </c>
      <c r="DT73" s="20" t="n">
        <f aca="false">IF(AND(Slot11_On=1,Slot11_Age&gt;D73),1,0)</f>
        <v>0</v>
      </c>
      <c r="DU73" s="20" t="n">
        <f aca="false">SA72</f>
        <v>0</v>
      </c>
      <c r="DV73" s="20" t="n">
        <f aca="false">DS73*MIN(Slot11_Cost,DU73)</f>
        <v>0</v>
      </c>
      <c r="DW73" s="20" t="n">
        <f aca="false">DS73*Slot11_SpendLike*MIN(Slot11_Cost-DV73,DO73)</f>
        <v>0</v>
      </c>
      <c r="DX73" s="20" t="n">
        <f aca="false">DV73+DW73</f>
        <v>0</v>
      </c>
      <c r="DY73" s="20" t="n">
        <f aca="false">DO73-DW73+DS73*IF(Slot11_SpendLike=1,DU73-DV73,IF(Slot11_PotFree=1,DU73,0))</f>
        <v>0</v>
      </c>
      <c r="DZ73" s="20" t="n">
        <f aca="false">DP73+DS73*Slot11_BufPot*DU73</f>
        <v>0</v>
      </c>
      <c r="EA73" s="20" t="n">
        <f aca="false">IF(AND(DS73=1,Slot11_IsMfree=1),IF(DX73&gt;=Slot11_Cost-1,0,MAX(0,DQ73-DX73)),DQ73)</f>
        <v>0</v>
      </c>
      <c r="EB73" s="20" t="n">
        <f aca="false">DS73*(Slot11_Cost-DX73)</f>
        <v>0</v>
      </c>
      <c r="EC73" s="20" t="n">
        <f aca="false">IF(AND(Slot12_On=1,D73=Slot12_Age),1,0)</f>
        <v>0</v>
      </c>
      <c r="ED73" s="20" t="n">
        <f aca="false">IF(AND(Slot12_On=1,Slot12_Age&gt;D73),1,0)</f>
        <v>0</v>
      </c>
      <c r="EE73" s="20" t="n">
        <f aca="false">SE72</f>
        <v>0</v>
      </c>
      <c r="EF73" s="20" t="n">
        <f aca="false">EC73*MIN(Slot12_Cost,EE73)</f>
        <v>0</v>
      </c>
      <c r="EG73" s="20" t="n">
        <f aca="false">EC73*Slot12_SpendLike*MIN(Slot12_Cost-EF73,DY73)</f>
        <v>0</v>
      </c>
      <c r="EH73" s="20" t="n">
        <f aca="false">EF73+EG73</f>
        <v>0</v>
      </c>
      <c r="EI73" s="20" t="n">
        <f aca="false">DY73-EG73+EC73*IF(Slot12_SpendLike=1,EE73-EF73,IF(Slot12_PotFree=1,EE73,0))</f>
        <v>0</v>
      </c>
      <c r="EJ73" s="20" t="n">
        <f aca="false">DZ73+EC73*Slot12_BufPot*EE73</f>
        <v>0</v>
      </c>
      <c r="EK73" s="20" t="n">
        <f aca="false">IF(AND(EC73=1,Slot12_IsMfree=1),IF(EH73&gt;=Slot12_Cost-1,0,MAX(0,EA73-EH73)),EA73)</f>
        <v>0</v>
      </c>
      <c r="EL73" s="20" t="n">
        <f aca="false">EC73*(Slot12_Cost-EH73)</f>
        <v>0</v>
      </c>
      <c r="EM73" s="20" t="n">
        <f aca="false">IF(AND(Slot13_On=1,D73=Slot13_Age),1,0)</f>
        <v>0</v>
      </c>
      <c r="EN73" s="20" t="n">
        <f aca="false">IF(AND(Slot13_On=1,Slot13_Age&gt;D73),1,0)</f>
        <v>0</v>
      </c>
      <c r="EO73" s="20" t="n">
        <f aca="false">SI72</f>
        <v>0</v>
      </c>
      <c r="EP73" s="20" t="n">
        <f aca="false">EM73*MIN(Slot13_Cost,EO73)</f>
        <v>0</v>
      </c>
      <c r="EQ73" s="20" t="n">
        <f aca="false">EM73*Slot13_SpendLike*MIN(Slot13_Cost-EP73,EI73)</f>
        <v>0</v>
      </c>
      <c r="ER73" s="20" t="n">
        <f aca="false">EP73+EQ73</f>
        <v>0</v>
      </c>
      <c r="ES73" s="20" t="n">
        <f aca="false">EI73-EQ73+EM73*IF(Slot13_SpendLike=1,EO73-EP73,IF(Slot13_PotFree=1,EO73,0))</f>
        <v>0</v>
      </c>
      <c r="ET73" s="20" t="n">
        <f aca="false">EJ73+EM73*Slot13_BufPot*EO73</f>
        <v>0</v>
      </c>
      <c r="EU73" s="20" t="n">
        <f aca="false">IF(AND(EM73=1,Slot13_IsMfree=1),IF(ER73&gt;=Slot13_Cost-1,0,MAX(0,EK73-ER73)),EK73)</f>
        <v>0</v>
      </c>
      <c r="EV73" s="20" t="n">
        <f aca="false">EM73*(Slot13_Cost-ER73)</f>
        <v>0</v>
      </c>
      <c r="EW73" s="20" t="n">
        <f aca="false">IF(AND(Slot14_On=1,D73=Slot14_Age),1,0)</f>
        <v>0</v>
      </c>
      <c r="EX73" s="20" t="n">
        <f aca="false">IF(AND(Slot14_On=1,Slot14_Age&gt;D73),1,0)</f>
        <v>0</v>
      </c>
      <c r="EY73" s="20" t="n">
        <f aca="false">SM72</f>
        <v>0</v>
      </c>
      <c r="EZ73" s="20" t="n">
        <f aca="false">EW73*MIN(Slot14_Cost,EY73)</f>
        <v>0</v>
      </c>
      <c r="FA73" s="20" t="n">
        <f aca="false">EW73*Slot14_SpendLike*MIN(Slot14_Cost-EZ73,ES73)</f>
        <v>0</v>
      </c>
      <c r="FB73" s="20" t="n">
        <f aca="false">EZ73+FA73</f>
        <v>0</v>
      </c>
      <c r="FC73" s="20" t="n">
        <f aca="false">ES73-FA73+EW73*IF(Slot14_SpendLike=1,EY73-EZ73,IF(Slot14_PotFree=1,EY73,0))</f>
        <v>0</v>
      </c>
      <c r="FD73" s="20" t="n">
        <f aca="false">ET73+EW73*Slot14_BufPot*EY73</f>
        <v>0</v>
      </c>
      <c r="FE73" s="20" t="n">
        <f aca="false">IF(AND(EW73=1,Slot14_IsMfree=1),IF(FB73&gt;=Slot14_Cost-1,0,MAX(0,EU73-FB73)),EU73)</f>
        <v>0</v>
      </c>
      <c r="FF73" s="20" t="n">
        <f aca="false">EW73*(Slot14_Cost-FB73)</f>
        <v>0</v>
      </c>
      <c r="FG73" s="20" t="n">
        <f aca="false">IF(AND(Slot15_On=1,D73=Slot15_Age),1,0)</f>
        <v>0</v>
      </c>
      <c r="FH73" s="20" t="n">
        <f aca="false">IF(AND(Slot15_On=1,Slot15_Age&gt;D73),1,0)</f>
        <v>0</v>
      </c>
      <c r="FI73" s="20" t="n">
        <f aca="false">SQ72</f>
        <v>0</v>
      </c>
      <c r="FJ73" s="20" t="n">
        <f aca="false">FG73*MIN(Slot15_Cost,FI73)</f>
        <v>0</v>
      </c>
      <c r="FK73" s="20" t="n">
        <f aca="false">FG73*Slot15_SpendLike*MIN(Slot15_Cost-FJ73,FC73)</f>
        <v>0</v>
      </c>
      <c r="FL73" s="20" t="n">
        <f aca="false">FJ73+FK73</f>
        <v>0</v>
      </c>
      <c r="FM73" s="20" t="n">
        <f aca="false">FC73-FK73+FG73*IF(Slot15_SpendLike=1,FI73-FJ73,IF(Slot15_PotFree=1,FI73,0))</f>
        <v>0</v>
      </c>
      <c r="FN73" s="20" t="n">
        <f aca="false">FD73+FG73*Slot15_BufPot*FI73</f>
        <v>0</v>
      </c>
      <c r="FO73" s="20" t="n">
        <f aca="false">IF(AND(FG73=1,Slot15_IsMfree=1),IF(FL73&gt;=Slot15_Cost-1,0,MAX(0,FE73-FL73)),FE73)</f>
        <v>0</v>
      </c>
      <c r="FP73" s="20" t="n">
        <f aca="false">FG73*(Slot15_Cost-FL73)</f>
        <v>0</v>
      </c>
      <c r="FQ73" s="20" t="n">
        <f aca="false">IF(AND(Slot16_On=1,D73=Slot16_Age),1,0)</f>
        <v>0</v>
      </c>
      <c r="FR73" s="20" t="n">
        <f aca="false">IF(AND(Slot16_On=1,Slot16_Age&gt;D73),1,0)</f>
        <v>0</v>
      </c>
      <c r="FS73" s="20" t="n">
        <f aca="false">SU72</f>
        <v>0</v>
      </c>
      <c r="FT73" s="20" t="n">
        <f aca="false">FQ73*MIN(Slot16_Cost,FS73)</f>
        <v>0</v>
      </c>
      <c r="FU73" s="20" t="n">
        <f aca="false">FQ73*Slot16_SpendLike*MIN(Slot16_Cost-FT73,FM73)</f>
        <v>0</v>
      </c>
      <c r="FV73" s="20" t="n">
        <f aca="false">FT73+FU73</f>
        <v>0</v>
      </c>
      <c r="FW73" s="20" t="n">
        <f aca="false">FM73-FU73+FQ73*IF(Slot16_SpendLike=1,FS73-FT73,IF(Slot16_PotFree=1,FS73,0))</f>
        <v>0</v>
      </c>
      <c r="FX73" s="20" t="n">
        <f aca="false">FN73+FQ73*Slot16_BufPot*FS73</f>
        <v>0</v>
      </c>
      <c r="FY73" s="20" t="n">
        <f aca="false">IF(AND(FQ73=1,Slot16_IsMfree=1),IF(FV73&gt;=Slot16_Cost-1,0,MAX(0,FO73-FV73)),FO73)</f>
        <v>0</v>
      </c>
      <c r="FZ73" s="20" t="n">
        <f aca="false">FQ73*(Slot16_Cost-FV73)</f>
        <v>0</v>
      </c>
      <c r="GA73" s="20" t="n">
        <f aca="false">IF(AND(Slot17_On=1,D73=Slot17_Age),1,0)</f>
        <v>0</v>
      </c>
      <c r="GB73" s="20" t="n">
        <f aca="false">IF(AND(Slot17_On=1,Slot17_Age&gt;D73),1,0)</f>
        <v>0</v>
      </c>
      <c r="GC73" s="20" t="n">
        <f aca="false">SY72</f>
        <v>0</v>
      </c>
      <c r="GD73" s="20" t="n">
        <f aca="false">GA73*MIN(Slot17_Cost,GC73)</f>
        <v>0</v>
      </c>
      <c r="GE73" s="20" t="n">
        <f aca="false">GA73*Slot17_SpendLike*MIN(Slot17_Cost-GD73,FW73)</f>
        <v>0</v>
      </c>
      <c r="GF73" s="20" t="n">
        <f aca="false">GD73+GE73</f>
        <v>0</v>
      </c>
      <c r="GG73" s="20" t="n">
        <f aca="false">FW73-GE73+GA73*IF(Slot17_SpendLike=1,GC73-GD73,IF(Slot17_PotFree=1,GC73,0))</f>
        <v>0</v>
      </c>
      <c r="GH73" s="20" t="n">
        <f aca="false">FX73+GA73*Slot17_BufPot*GC73</f>
        <v>0</v>
      </c>
      <c r="GI73" s="20" t="n">
        <f aca="false">IF(AND(GA73=1,Slot17_IsMfree=1),IF(GF73&gt;=Slot17_Cost-1,0,MAX(0,FY73-GF73)),FY73)</f>
        <v>0</v>
      </c>
      <c r="GJ73" s="20" t="n">
        <f aca="false">GA73*(Slot17_Cost-GF73)</f>
        <v>0</v>
      </c>
      <c r="GK73" s="20" t="n">
        <f aca="false">IF(AND(Slot18_On=1,D73=Slot18_Age),1,0)</f>
        <v>0</v>
      </c>
      <c r="GL73" s="20" t="n">
        <f aca="false">IF(AND(Slot18_On=1,Slot18_Age&gt;D73),1,0)</f>
        <v>0</v>
      </c>
      <c r="GM73" s="20" t="n">
        <f aca="false">TC72</f>
        <v>0</v>
      </c>
      <c r="GN73" s="20" t="n">
        <f aca="false">GK73*MIN(Slot18_Cost,GM73)</f>
        <v>0</v>
      </c>
      <c r="GO73" s="20" t="n">
        <f aca="false">GK73*Slot18_SpendLike*MIN(Slot18_Cost-GN73,GG73)</f>
        <v>0</v>
      </c>
      <c r="GP73" s="20" t="n">
        <f aca="false">GN73+GO73</f>
        <v>0</v>
      </c>
      <c r="GQ73" s="20" t="n">
        <f aca="false">GG73-GO73+GK73*IF(Slot18_SpendLike=1,GM73-GN73,IF(Slot18_PotFree=1,GM73,0))</f>
        <v>0</v>
      </c>
      <c r="GR73" s="20" t="n">
        <f aca="false">GH73+GK73*Slot18_BufPot*GM73</f>
        <v>0</v>
      </c>
      <c r="GS73" s="20" t="n">
        <f aca="false">IF(AND(GK73=1,Slot18_IsMfree=1),IF(GP73&gt;=Slot18_Cost-1,0,MAX(0,GI73-GP73)),GI73)</f>
        <v>0</v>
      </c>
      <c r="GT73" s="20" t="n">
        <f aca="false">GK73*(Slot18_Cost-GP73)</f>
        <v>0</v>
      </c>
      <c r="GU73" s="20" t="n">
        <f aca="false">IF(AND(Slot19_On=1,D73=Slot19_Age),1,0)</f>
        <v>0</v>
      </c>
      <c r="GV73" s="20" t="n">
        <f aca="false">IF(AND(Slot19_On=1,Slot19_Age&gt;D73),1,0)</f>
        <v>0</v>
      </c>
      <c r="GW73" s="20" t="n">
        <f aca="false">TG72</f>
        <v>0</v>
      </c>
      <c r="GX73" s="20" t="n">
        <f aca="false">GU73*MIN(Slot19_Cost,GW73)</f>
        <v>0</v>
      </c>
      <c r="GY73" s="20" t="n">
        <f aca="false">GU73*Slot19_SpendLike*MIN(Slot19_Cost-GX73,GQ73)</f>
        <v>0</v>
      </c>
      <c r="GZ73" s="20" t="n">
        <f aca="false">GX73+GY73</f>
        <v>0</v>
      </c>
      <c r="HA73" s="20" t="n">
        <f aca="false">GQ73-GY73+GU73*IF(Slot19_SpendLike=1,GW73-GX73,IF(Slot19_PotFree=1,GW73,0))</f>
        <v>0</v>
      </c>
      <c r="HB73" s="20" t="n">
        <f aca="false">GR73+GU73*Slot19_BufPot*GW73</f>
        <v>0</v>
      </c>
      <c r="HC73" s="20" t="n">
        <f aca="false">IF(AND(GU73=1,Slot19_IsMfree=1),IF(GZ73&gt;=Slot19_Cost-1,0,MAX(0,GS73-GZ73)),GS73)</f>
        <v>0</v>
      </c>
      <c r="HD73" s="20" t="n">
        <f aca="false">GU73*(Slot19_Cost-GZ73)</f>
        <v>0</v>
      </c>
      <c r="HE73" s="20" t="n">
        <f aca="false">IF(AND(Slot20_On=1,D73=Slot20_Age),1,0)</f>
        <v>0</v>
      </c>
      <c r="HF73" s="20" t="n">
        <f aca="false">IF(AND(Slot20_On=1,Slot20_Age&gt;D73),1,0)</f>
        <v>0</v>
      </c>
      <c r="HG73" s="20" t="n">
        <f aca="false">TK72</f>
        <v>0</v>
      </c>
      <c r="HH73" s="20" t="n">
        <f aca="false">HE73*MIN(Slot20_Cost,HG73)</f>
        <v>0</v>
      </c>
      <c r="HI73" s="20" t="n">
        <f aca="false">HE73*Slot20_SpendLike*MIN(Slot20_Cost-HH73,HA73)</f>
        <v>0</v>
      </c>
      <c r="HJ73" s="20" t="n">
        <f aca="false">HH73+HI73</f>
        <v>0</v>
      </c>
      <c r="HK73" s="20" t="n">
        <f aca="false">HA73-HI73+HE73*IF(Slot20_SpendLike=1,HG73-HH73,IF(Slot20_PotFree=1,HG73,0))</f>
        <v>0</v>
      </c>
      <c r="HL73" s="20" t="n">
        <f aca="false">HB73+HE73*Slot20_BufPot*HG73</f>
        <v>0</v>
      </c>
      <c r="HM73" s="20" t="n">
        <f aca="false">IF(AND(HE73=1,Slot20_IsMfree=1),IF(HJ73&gt;=Slot20_Cost-1,0,MAX(0,HC73-HJ73)),HC73)</f>
        <v>0</v>
      </c>
      <c r="HN73" s="20" t="n">
        <f aca="false">HE73*(Slot20_Cost-HJ73)</f>
        <v>0</v>
      </c>
      <c r="HO73" s="20" t="n">
        <f aca="false">V73*Slot1_SpendLike*AA73+AG73*Slot2_SpendLike*AL73+AQ73*Slot3_SpendLike*AV73+BA73*Slot4_SpendLike*BF73+BK73*Slot5_SpendLike*BP73+BU73*Slot6_SpendLike*BZ73+CE73*Slot7_SpendLike*CJ73+CO73*Slot8_SpendLike*CT73+CY73*Slot9_SpendLike*DD73+DI73*Slot10_SpendLike*DN73+DS73*Slot11_SpendLike*DX73+EC73*Slot12_SpendLike*EH73+EM73*Slot13_SpendLike*ER73+EW73*Slot14_SpendLike*FB73+FG73*Slot15_SpendLike*FL73+FQ73*Slot16_SpendLike*FV73+GA73*Slot17_SpendLike*GF73+GK73*Slot18_SpendLike*GP73+GU73*Slot19_SpendLike*GZ73+HE73*Slot20_SpendLike*HJ73</f>
        <v>0</v>
      </c>
      <c r="HP73" s="20" t="n">
        <f aca="false">AE73+AP73+AZ73+BJ73+BT73+CD73+CN73+CX73+DH73+DR73+EB73+EL73+EV73+FF73+FP73+FZ73+GJ73+GT73+HD73+HN73</f>
        <v>0</v>
      </c>
      <c r="HQ73" s="20" t="n">
        <f aca="false">V73*Slot1_Cost+AG73*Slot2_Cost+AQ73*Slot3_Cost+BA73*Slot4_Cost+BK73*Slot5_Cost+BU73*Slot6_Cost+CE73*Slot7_Cost+CO73*Slot8_Cost+CY73*Slot9_Cost+DI73*Slot10_Cost+DS73*Slot11_Cost+EC73*Slot12_Cost+EM73*Slot13_Cost+EW73*Slot14_Cost+FG73*Slot15_Cost+FQ73*Slot16_Cost+GA73*Slot17_Cost+GK73*Slot18_Cost+GU73*Slot19_Cost+HE73*Slot20_Cost</f>
        <v>0</v>
      </c>
      <c r="HR73" s="20" t="n">
        <f aca="false">HM73</f>
        <v>0</v>
      </c>
      <c r="HS73" s="20" t="n">
        <f aca="false">H73-I73-S73</f>
        <v>-69789.7913903799</v>
      </c>
      <c r="HT73" s="20" t="n">
        <f aca="false">IF(B73=0,IF(AND(Has_q6=1,In_q6=4),PR_ShareVaries*(MAX(0,HS73)/12),MIN(IF(Has_q6=1,CHOOSE(In_q6+1,PR_SaveB1,PR_SaveB2,PR_SaveB3,PR_SaveB4,0),AS_NoAnswer),AS_SaveShare*(MAX(0,HS73)/12))),HT72)</f>
        <v>67.3316893520437</v>
      </c>
      <c r="HU73" s="20" t="n">
        <f aca="false">IF(HS73&gt;=0,1,0)</f>
        <v>0</v>
      </c>
      <c r="HV73" s="20" t="n">
        <f aca="false">MAX(0,HS73/12/F73)</f>
        <v>0</v>
      </c>
      <c r="HW73" s="20" t="n">
        <f aca="false">IF(AND(Has_q6=1,In_q6=4),PR_ShareVaries*(HV73),MIN(IF(Has_q6=1,CHOOSE(In_q6+1,PR_SaveB1,PR_SaveB2,PR_SaveB3,PR_SaveB4,0),AS_NoAnswer),AS_SaveShare*(HV73)))</f>
        <v>0</v>
      </c>
      <c r="HX73" s="20" t="n">
        <f aca="false">IF(Has_saveM=1,IF(In_saveUp="Yes",1,IF(In_saveUp="No",0,IF(In_saveM&gt;=HT73-0.5,1,0))),0)</f>
        <v>0</v>
      </c>
      <c r="HY73" s="20" t="n">
        <f aca="false">IF(Has_saveM=1,MIN(HV73,IF(HX73=1,MAX(In_saveM,HW73),MIN(In_saveM,HW73))),HW73)</f>
        <v>0</v>
      </c>
      <c r="HZ73" s="20" t="n">
        <f aca="false">IF(G73=1,HY73*12*F73,0)</f>
        <v>0</v>
      </c>
      <c r="IA73" s="20" t="n">
        <f aca="false">MAX(0,HZ73+IF(AND(WI_Retire=0,WI_M&lt;0,G73=1),WI_M*12*F73,0))</f>
        <v>0</v>
      </c>
      <c r="IB73" s="20" t="n">
        <f aca="false">Slot1_IsWG*W73+Slot2_IsWG*AH73+Slot3_IsWG*AR73+Slot4_IsWG*BB73+Slot5_IsWG*BL73+Slot6_IsWG*BV73+Slot7_IsWG*CF73+Slot8_IsWG*CP73+Slot9_IsWG*CZ73+Slot10_IsWG*DJ73+Slot11_IsWG*DT73+Slot12_IsWG*ED73+Slot13_IsWG*EN73+Slot14_IsWG*EX73+Slot15_IsWG*FH73+Slot16_IsWG*FR73+Slot17_IsWG*GB73+Slot18_IsWG*GL73+Slot19_IsWG*GV73+Slot20_IsWG*HF73</f>
        <v>0</v>
      </c>
      <c r="IC73" s="20" t="n">
        <f aca="false">IF(AND(WI_Retire=0,WI_M&gt;0,G73=1,IB73&gt;=1),WI_M*12*F73,0)</f>
        <v>0</v>
      </c>
      <c r="ID73" s="20" t="n">
        <f aca="false">IF(HU73=1,MIN(IA73,HS73),0)</f>
        <v>0</v>
      </c>
      <c r="IE73" s="20" t="n">
        <f aca="false">IF(HU73=1,MIN(IC73,HS73-ID73),0)</f>
        <v>0</v>
      </c>
      <c r="IF73" s="20" t="n">
        <f aca="false">IF(W73=1,IF(ABS((1+AS_Wage)/(1+Slot1_Rate)-1)&lt;0.000000000001,(Slot1_Age-D73)*(1+Slot1_Rate)^(Slot1_Age-D73),(1+Slot1_Rate)^(Slot1_Age-D73)*(1-((1+AS_Wage)/(1+Slot1_Rate))^(Slot1_Age-D73))/(1-(1+AS_Wage)/(1+Slot1_Rate))),1)</f>
        <v>1</v>
      </c>
      <c r="IG73" s="20" t="n">
        <f aca="false">IF(AND(HU73=1,IE73&gt;0,Slot1_IsWG=1,W73=1),MAX(0,(Slot1_Cost-X73*(1+Slot1_Rate)^(Slot1_Age-D73))/IF73),0)</f>
        <v>0</v>
      </c>
      <c r="IH73" s="20" t="n">
        <f aca="false">IF(AND(HU73=1,IE73&gt;0,Slot1_IsWG=1,W73=1),MIN(IE73,IG73),0)</f>
        <v>0</v>
      </c>
      <c r="II73" s="20" t="n">
        <f aca="false">X73+IH73</f>
        <v>0</v>
      </c>
      <c r="IJ73" s="20" t="n">
        <f aca="false">IF(W73=1,MAX(0,(Slot1_Cost-II73*(1+Slot1_Rate)^(Slot1_Age-D73))/IF73),0)</f>
        <v>0</v>
      </c>
      <c r="IK73" s="20" t="n">
        <f aca="false">IF(W73=1,MAX(0,(Slot1_Cost-X73*(1+Slot1_Rate)^(Slot1_Age-D73))/IF73),0)</f>
        <v>0</v>
      </c>
      <c r="IL73" s="20" t="n">
        <f aca="false">IF(AND(HU73=1,W73=1),MIN(ID73,IJ73),0)</f>
        <v>0</v>
      </c>
      <c r="IM73" s="20" t="n">
        <f aca="false">ID73-IL73</f>
        <v>0</v>
      </c>
      <c r="IN73" s="20" t="n">
        <f aca="false">IF(AH73=1,IF(ABS((1+AS_Wage)/(1+Slot2_Rate)-1)&lt;0.000000000001,(Slot2_Age-D73)*(1+Slot2_Rate)^(Slot2_Age-D73),(1+Slot2_Rate)^(Slot2_Age-D73)*(1-((1+AS_Wage)/(1+Slot2_Rate))^(Slot2_Age-D73))/(1-(1+AS_Wage)/(1+Slot2_Rate))),1)</f>
        <v>1</v>
      </c>
      <c r="IO73" s="20" t="n">
        <f aca="false">IF(AND(HU73=1,IE73&gt;0,Slot2_IsWG=1,AH73=1),MAX(0,(Slot2_Cost-AI73*(1+Slot2_Rate)^(Slot2_Age-D73))/IN73),0)</f>
        <v>0</v>
      </c>
      <c r="IP73" s="20" t="n">
        <f aca="false">IF(AND(HU73=1,IE73&gt;0,Slot2_IsWG=1,AH73=1),MIN(IE73,IO73),0)</f>
        <v>0</v>
      </c>
      <c r="IQ73" s="20" t="n">
        <f aca="false">AI73+IP73</f>
        <v>0</v>
      </c>
      <c r="IR73" s="20" t="n">
        <f aca="false">IF(AH73=1,MAX(0,(Slot2_Cost-IQ73*(1+Slot2_Rate)^(Slot2_Age-D73))/IN73),0)</f>
        <v>0</v>
      </c>
      <c r="IS73" s="20" t="n">
        <f aca="false">IF(AH73=1,MAX(0,(Slot2_Cost-AI73*(1+Slot2_Rate)^(Slot2_Age-D73))/IN73),0)</f>
        <v>0</v>
      </c>
      <c r="IT73" s="20" t="n">
        <f aca="false">IF(AND(HU73=1,AH73=1),MIN(IM73,IR73),0)</f>
        <v>0</v>
      </c>
      <c r="IU73" s="20" t="n">
        <f aca="false">IM73-IT73</f>
        <v>0</v>
      </c>
      <c r="IV73" s="20" t="n">
        <f aca="false">IF(AR73=1,IF(ABS((1+AS_Wage)/(1+Slot3_Rate)-1)&lt;0.000000000001,(Slot3_Age-D73)*(1+Slot3_Rate)^(Slot3_Age-D73),(1+Slot3_Rate)^(Slot3_Age-D73)*(1-((1+AS_Wage)/(1+Slot3_Rate))^(Slot3_Age-D73))/(1-(1+AS_Wage)/(1+Slot3_Rate))),1)</f>
        <v>1</v>
      </c>
      <c r="IW73" s="20" t="n">
        <f aca="false">IF(AND(HU73=1,IE73&gt;0,Slot3_IsWG=1,AR73=1),MAX(0,(Slot3_Cost-AS73*(1+Slot3_Rate)^(Slot3_Age-D73))/IV73),0)</f>
        <v>0</v>
      </c>
      <c r="IX73" s="20" t="n">
        <f aca="false">IF(AND(HU73=1,IE73&gt;0,Slot3_IsWG=1,AR73=1),MIN(IE73,IW73),0)</f>
        <v>0</v>
      </c>
      <c r="IY73" s="20" t="n">
        <f aca="false">AS73+IX73</f>
        <v>0</v>
      </c>
      <c r="IZ73" s="20" t="n">
        <f aca="false">IF(AR73=1,MAX(0,(Slot3_Cost-IY73*(1+Slot3_Rate)^(Slot3_Age-D73))/IV73),0)</f>
        <v>0</v>
      </c>
      <c r="JA73" s="20" t="n">
        <f aca="false">IF(AR73=1,MAX(0,(Slot3_Cost-AS73*(1+Slot3_Rate)^(Slot3_Age-D73))/IV73),0)</f>
        <v>0</v>
      </c>
      <c r="JB73" s="20" t="n">
        <f aca="false">IF(AND(HU73=1,AR73=1),MIN(IU73,IZ73),0)</f>
        <v>0</v>
      </c>
      <c r="JC73" s="20" t="n">
        <f aca="false">IU73-JB73</f>
        <v>0</v>
      </c>
      <c r="JD73" s="20" t="n">
        <f aca="false">IF(BB73=1,IF(ABS((1+AS_Wage)/(1+Slot4_Rate)-1)&lt;0.000000000001,(Slot4_Age-D73)*(1+Slot4_Rate)^(Slot4_Age-D73),(1+Slot4_Rate)^(Slot4_Age-D73)*(1-((1+AS_Wage)/(1+Slot4_Rate))^(Slot4_Age-D73))/(1-(1+AS_Wage)/(1+Slot4_Rate))),1)</f>
        <v>1</v>
      </c>
      <c r="JE73" s="20" t="n">
        <f aca="false">IF(AND(HU73=1,IE73&gt;0,Slot4_IsWG=1,BB73=1),MAX(0,(Slot4_Cost-BC73*(1+Slot4_Rate)^(Slot4_Age-D73))/JD73),0)</f>
        <v>0</v>
      </c>
      <c r="JF73" s="20" t="n">
        <f aca="false">IF(AND(HU73=1,IE73&gt;0,Slot4_IsWG=1,BB73=1),MIN(IE73,JE73),0)</f>
        <v>0</v>
      </c>
      <c r="JG73" s="20" t="n">
        <f aca="false">BC73+JF73</f>
        <v>0</v>
      </c>
      <c r="JH73" s="20" t="n">
        <f aca="false">IF(BB73=1,MAX(0,(Slot4_Cost-JG73*(1+Slot4_Rate)^(Slot4_Age-D73))/JD73),0)</f>
        <v>0</v>
      </c>
      <c r="JI73" s="20" t="n">
        <f aca="false">IF(BB73=1,MAX(0,(Slot4_Cost-BC73*(1+Slot4_Rate)^(Slot4_Age-D73))/JD73),0)</f>
        <v>0</v>
      </c>
      <c r="JJ73" s="20" t="n">
        <f aca="false">IF(AND(HU73=1,BB73=1),MIN(JC73,JH73),0)</f>
        <v>0</v>
      </c>
      <c r="JK73" s="20" t="n">
        <f aca="false">JC73-JJ73</f>
        <v>0</v>
      </c>
      <c r="JL73" s="20" t="n">
        <f aca="false">IF(BL73=1,IF(ABS((1+AS_Wage)/(1+Slot5_Rate)-1)&lt;0.000000000001,(Slot5_Age-D73)*(1+Slot5_Rate)^(Slot5_Age-D73),(1+Slot5_Rate)^(Slot5_Age-D73)*(1-((1+AS_Wage)/(1+Slot5_Rate))^(Slot5_Age-D73))/(1-(1+AS_Wage)/(1+Slot5_Rate))),1)</f>
        <v>1</v>
      </c>
      <c r="JM73" s="20" t="n">
        <f aca="false">IF(AND(HU73=1,IE73&gt;0,Slot5_IsWG=1,BL73=1),MAX(0,(Slot5_Cost-BM73*(1+Slot5_Rate)^(Slot5_Age-D73))/JL73),0)</f>
        <v>0</v>
      </c>
      <c r="JN73" s="20" t="n">
        <f aca="false">IF(AND(HU73=1,IE73&gt;0,Slot5_IsWG=1,BL73=1),MIN(IE73,JM73),0)</f>
        <v>0</v>
      </c>
      <c r="JO73" s="20" t="n">
        <f aca="false">BM73+JN73</f>
        <v>0</v>
      </c>
      <c r="JP73" s="20" t="n">
        <f aca="false">IF(BL73=1,MAX(0,(Slot5_Cost-JO73*(1+Slot5_Rate)^(Slot5_Age-D73))/JL73),0)</f>
        <v>0</v>
      </c>
      <c r="JQ73" s="20" t="n">
        <f aca="false">IF(BL73=1,MAX(0,(Slot5_Cost-BM73*(1+Slot5_Rate)^(Slot5_Age-D73))/JL73),0)</f>
        <v>0</v>
      </c>
      <c r="JR73" s="20" t="n">
        <f aca="false">IF(AND(HU73=1,BL73=1),MIN(JK73,JP73),0)</f>
        <v>0</v>
      </c>
      <c r="JS73" s="20" t="n">
        <f aca="false">JK73-JR73</f>
        <v>0</v>
      </c>
      <c r="JT73" s="20" t="n">
        <f aca="false">IF(BV73=1,IF(ABS((1+AS_Wage)/(1+Slot6_Rate)-1)&lt;0.000000000001,(Slot6_Age-D73)*(1+Slot6_Rate)^(Slot6_Age-D73),(1+Slot6_Rate)^(Slot6_Age-D73)*(1-((1+AS_Wage)/(1+Slot6_Rate))^(Slot6_Age-D73))/(1-(1+AS_Wage)/(1+Slot6_Rate))),1)</f>
        <v>1</v>
      </c>
      <c r="JU73" s="20" t="n">
        <f aca="false">IF(AND(HU73=1,IE73&gt;0,Slot6_IsWG=1,BV73=1),MAX(0,(Slot6_Cost-BW73*(1+Slot6_Rate)^(Slot6_Age-D73))/JT73),0)</f>
        <v>0</v>
      </c>
      <c r="JV73" s="20" t="n">
        <f aca="false">IF(AND(HU73=1,IE73&gt;0,Slot6_IsWG=1,BV73=1),MIN(IE73,JU73),0)</f>
        <v>0</v>
      </c>
      <c r="JW73" s="20" t="n">
        <f aca="false">BW73+JV73</f>
        <v>0</v>
      </c>
      <c r="JX73" s="20" t="n">
        <f aca="false">IF(BV73=1,MAX(0,(Slot6_Cost-JW73*(1+Slot6_Rate)^(Slot6_Age-D73))/JT73),0)</f>
        <v>0</v>
      </c>
      <c r="JY73" s="20" t="n">
        <f aca="false">IF(BV73=1,MAX(0,(Slot6_Cost-BW73*(1+Slot6_Rate)^(Slot6_Age-D73))/JT73),0)</f>
        <v>0</v>
      </c>
      <c r="JZ73" s="20" t="n">
        <f aca="false">IF(AND(HU73=1,BV73=1),MIN(JS73,JX73),0)</f>
        <v>0</v>
      </c>
      <c r="KA73" s="20" t="n">
        <f aca="false">JS73-JZ73</f>
        <v>0</v>
      </c>
      <c r="KB73" s="20" t="n">
        <f aca="false">IF(CF73=1,IF(ABS((1+AS_Wage)/(1+Slot7_Rate)-1)&lt;0.000000000001,(Slot7_Age-D73)*(1+Slot7_Rate)^(Slot7_Age-D73),(1+Slot7_Rate)^(Slot7_Age-D73)*(1-((1+AS_Wage)/(1+Slot7_Rate))^(Slot7_Age-D73))/(1-(1+AS_Wage)/(1+Slot7_Rate))),1)</f>
        <v>1</v>
      </c>
      <c r="KC73" s="20" t="n">
        <f aca="false">IF(AND(HU73=1,IE73&gt;0,Slot7_IsWG=1,CF73=1),MAX(0,(Slot7_Cost-CG73*(1+Slot7_Rate)^(Slot7_Age-D73))/KB73),0)</f>
        <v>0</v>
      </c>
      <c r="KD73" s="20" t="n">
        <f aca="false">IF(AND(HU73=1,IE73&gt;0,Slot7_IsWG=1,CF73=1),MIN(IE73,KC73),0)</f>
        <v>0</v>
      </c>
      <c r="KE73" s="20" t="n">
        <f aca="false">CG73+KD73</f>
        <v>0</v>
      </c>
      <c r="KF73" s="20" t="n">
        <f aca="false">IF(CF73=1,MAX(0,(Slot7_Cost-KE73*(1+Slot7_Rate)^(Slot7_Age-D73))/KB73),0)</f>
        <v>0</v>
      </c>
      <c r="KG73" s="20" t="n">
        <f aca="false">IF(CF73=1,MAX(0,(Slot7_Cost-CG73*(1+Slot7_Rate)^(Slot7_Age-D73))/KB73),0)</f>
        <v>0</v>
      </c>
      <c r="KH73" s="20" t="n">
        <f aca="false">IF(AND(HU73=1,CF73=1),MIN(KA73,KF73),0)</f>
        <v>0</v>
      </c>
      <c r="KI73" s="20" t="n">
        <f aca="false">KA73-KH73</f>
        <v>0</v>
      </c>
      <c r="KJ73" s="20" t="n">
        <f aca="false">IF(CP73=1,IF(ABS((1+AS_Wage)/(1+Slot8_Rate)-1)&lt;0.000000000001,(Slot8_Age-D73)*(1+Slot8_Rate)^(Slot8_Age-D73),(1+Slot8_Rate)^(Slot8_Age-D73)*(1-((1+AS_Wage)/(1+Slot8_Rate))^(Slot8_Age-D73))/(1-(1+AS_Wage)/(1+Slot8_Rate))),1)</f>
        <v>1</v>
      </c>
      <c r="KK73" s="20" t="n">
        <f aca="false">IF(AND(HU73=1,IE73&gt;0,Slot8_IsWG=1,CP73=1),MAX(0,(Slot8_Cost-CQ73*(1+Slot8_Rate)^(Slot8_Age-D73))/KJ73),0)</f>
        <v>0</v>
      </c>
      <c r="KL73" s="20" t="n">
        <f aca="false">IF(AND(HU73=1,IE73&gt;0,Slot8_IsWG=1,CP73=1),MIN(IE73,KK73),0)</f>
        <v>0</v>
      </c>
      <c r="KM73" s="20" t="n">
        <f aca="false">CQ73+KL73</f>
        <v>0</v>
      </c>
      <c r="KN73" s="20" t="n">
        <f aca="false">IF(CP73=1,MAX(0,(Slot8_Cost-KM73*(1+Slot8_Rate)^(Slot8_Age-D73))/KJ73),0)</f>
        <v>0</v>
      </c>
      <c r="KO73" s="20" t="n">
        <f aca="false">IF(CP73=1,MAX(0,(Slot8_Cost-CQ73*(1+Slot8_Rate)^(Slot8_Age-D73))/KJ73),0)</f>
        <v>0</v>
      </c>
      <c r="KP73" s="20" t="n">
        <f aca="false">IF(AND(HU73=1,CP73=1),MIN(KI73,KN73),0)</f>
        <v>0</v>
      </c>
      <c r="KQ73" s="20" t="n">
        <f aca="false">KI73-KP73</f>
        <v>0</v>
      </c>
      <c r="KR73" s="20" t="n">
        <f aca="false">IF(CZ73=1,IF(ABS((1+AS_Wage)/(1+Slot9_Rate)-1)&lt;0.000000000001,(Slot9_Age-D73)*(1+Slot9_Rate)^(Slot9_Age-D73),(1+Slot9_Rate)^(Slot9_Age-D73)*(1-((1+AS_Wage)/(1+Slot9_Rate))^(Slot9_Age-D73))/(1-(1+AS_Wage)/(1+Slot9_Rate))),1)</f>
        <v>1</v>
      </c>
      <c r="KS73" s="20" t="n">
        <f aca="false">IF(AND(HU73=1,IE73&gt;0,Slot9_IsWG=1,CZ73=1),MAX(0,(Slot9_Cost-DA73*(1+Slot9_Rate)^(Slot9_Age-D73))/KR73),0)</f>
        <v>0</v>
      </c>
      <c r="KT73" s="20" t="n">
        <f aca="false">IF(AND(HU73=1,IE73&gt;0,Slot9_IsWG=1,CZ73=1),MIN(IE73,KS73),0)</f>
        <v>0</v>
      </c>
      <c r="KU73" s="20" t="n">
        <f aca="false">DA73+KT73</f>
        <v>0</v>
      </c>
      <c r="KV73" s="20" t="n">
        <f aca="false">IF(CZ73=1,MAX(0,(Slot9_Cost-KU73*(1+Slot9_Rate)^(Slot9_Age-D73))/KR73),0)</f>
        <v>0</v>
      </c>
      <c r="KW73" s="20" t="n">
        <f aca="false">IF(CZ73=1,MAX(0,(Slot9_Cost-DA73*(1+Slot9_Rate)^(Slot9_Age-D73))/KR73),0)</f>
        <v>0</v>
      </c>
      <c r="KX73" s="20" t="n">
        <f aca="false">IF(AND(HU73=1,CZ73=1),MIN(KQ73,KV73),0)</f>
        <v>0</v>
      </c>
      <c r="KY73" s="20" t="n">
        <f aca="false">KQ73-KX73</f>
        <v>0</v>
      </c>
      <c r="KZ73" s="20" t="n">
        <f aca="false">IF(DJ73=1,IF(ABS((1+AS_Wage)/(1+Slot10_Rate)-1)&lt;0.000000000001,(Slot10_Age-D73)*(1+Slot10_Rate)^(Slot10_Age-D73),(1+Slot10_Rate)^(Slot10_Age-D73)*(1-((1+AS_Wage)/(1+Slot10_Rate))^(Slot10_Age-D73))/(1-(1+AS_Wage)/(1+Slot10_Rate))),1)</f>
        <v>1</v>
      </c>
      <c r="LA73" s="20" t="n">
        <f aca="false">IF(AND(HU73=1,IE73&gt;0,Slot10_IsWG=1,DJ73=1),MAX(0,(Slot10_Cost-DK73*(1+Slot10_Rate)^(Slot10_Age-D73))/KZ73),0)</f>
        <v>0</v>
      </c>
      <c r="LB73" s="20" t="n">
        <f aca="false">IF(AND(HU73=1,IE73&gt;0,Slot10_IsWG=1,DJ73=1),MIN(IE73,LA73),0)</f>
        <v>0</v>
      </c>
      <c r="LC73" s="20" t="n">
        <f aca="false">DK73+LB73</f>
        <v>0</v>
      </c>
      <c r="LD73" s="20" t="n">
        <f aca="false">IF(DJ73=1,MAX(0,(Slot10_Cost-LC73*(1+Slot10_Rate)^(Slot10_Age-D73))/KZ73),0)</f>
        <v>0</v>
      </c>
      <c r="LE73" s="20" t="n">
        <f aca="false">IF(DJ73=1,MAX(0,(Slot10_Cost-DK73*(1+Slot10_Rate)^(Slot10_Age-D73))/KZ73),0)</f>
        <v>0</v>
      </c>
      <c r="LF73" s="20" t="n">
        <f aca="false">IF(AND(HU73=1,DJ73=1),MIN(KY73,LD73),0)</f>
        <v>0</v>
      </c>
      <c r="LG73" s="20" t="n">
        <f aca="false">KY73-LF73</f>
        <v>0</v>
      </c>
      <c r="LH73" s="20" t="n">
        <f aca="false">IF(DT73=1,IF(ABS((1+AS_Wage)/(1+Slot11_Rate)-1)&lt;0.000000000001,(Slot11_Age-D73)*(1+Slot11_Rate)^(Slot11_Age-D73),(1+Slot11_Rate)^(Slot11_Age-D73)*(1-((1+AS_Wage)/(1+Slot11_Rate))^(Slot11_Age-D73))/(1-(1+AS_Wage)/(1+Slot11_Rate))),1)</f>
        <v>1</v>
      </c>
      <c r="LI73" s="20" t="n">
        <f aca="false">IF(AND(HU73=1,IE73&gt;0,Slot11_IsWG=1,DT73=1),MAX(0,(Slot11_Cost-DU73*(1+Slot11_Rate)^(Slot11_Age-D73))/LH73),0)</f>
        <v>0</v>
      </c>
      <c r="LJ73" s="20" t="n">
        <f aca="false">IF(AND(HU73=1,IE73&gt;0,Slot11_IsWG=1,DT73=1),MIN(IE73,LI73),0)</f>
        <v>0</v>
      </c>
      <c r="LK73" s="20" t="n">
        <f aca="false">DU73+LJ73</f>
        <v>0</v>
      </c>
      <c r="LL73" s="20" t="n">
        <f aca="false">IF(DT73=1,MAX(0,(Slot11_Cost-LK73*(1+Slot11_Rate)^(Slot11_Age-D73))/LH73),0)</f>
        <v>0</v>
      </c>
      <c r="LM73" s="20" t="n">
        <f aca="false">IF(DT73=1,MAX(0,(Slot11_Cost-DU73*(1+Slot11_Rate)^(Slot11_Age-D73))/LH73),0)</f>
        <v>0</v>
      </c>
      <c r="LN73" s="20" t="n">
        <f aca="false">IF(AND(HU73=1,DT73=1),MIN(LG73,LL73),0)</f>
        <v>0</v>
      </c>
      <c r="LO73" s="20" t="n">
        <f aca="false">LG73-LN73</f>
        <v>0</v>
      </c>
      <c r="LP73" s="20" t="n">
        <f aca="false">IF(ED73=1,IF(ABS((1+AS_Wage)/(1+Slot12_Rate)-1)&lt;0.000000000001,(Slot12_Age-D73)*(1+Slot12_Rate)^(Slot12_Age-D73),(1+Slot12_Rate)^(Slot12_Age-D73)*(1-((1+AS_Wage)/(1+Slot12_Rate))^(Slot12_Age-D73))/(1-(1+AS_Wage)/(1+Slot12_Rate))),1)</f>
        <v>1</v>
      </c>
      <c r="LQ73" s="20" t="n">
        <f aca="false">IF(AND(HU73=1,IE73&gt;0,Slot12_IsWG=1,ED73=1),MAX(0,(Slot12_Cost-EE73*(1+Slot12_Rate)^(Slot12_Age-D73))/LP73),0)</f>
        <v>0</v>
      </c>
      <c r="LR73" s="20" t="n">
        <f aca="false">IF(AND(HU73=1,IE73&gt;0,Slot12_IsWG=1,ED73=1),MIN(IE73,LQ73),0)</f>
        <v>0</v>
      </c>
      <c r="LS73" s="20" t="n">
        <f aca="false">EE73+LR73</f>
        <v>0</v>
      </c>
      <c r="LT73" s="20" t="n">
        <f aca="false">IF(ED73=1,MAX(0,(Slot12_Cost-LS73*(1+Slot12_Rate)^(Slot12_Age-D73))/LP73),0)</f>
        <v>0</v>
      </c>
      <c r="LU73" s="20" t="n">
        <f aca="false">IF(ED73=1,MAX(0,(Slot12_Cost-EE73*(1+Slot12_Rate)^(Slot12_Age-D73))/LP73),0)</f>
        <v>0</v>
      </c>
      <c r="LV73" s="20" t="n">
        <f aca="false">IF(AND(HU73=1,ED73=1),MIN(LO73,LT73),0)</f>
        <v>0</v>
      </c>
      <c r="LW73" s="20" t="n">
        <f aca="false">LO73-LV73</f>
        <v>0</v>
      </c>
      <c r="LX73" s="20" t="n">
        <f aca="false">IF(EN73=1,IF(ABS((1+AS_Wage)/(1+Slot13_Rate)-1)&lt;0.000000000001,(Slot13_Age-D73)*(1+Slot13_Rate)^(Slot13_Age-D73),(1+Slot13_Rate)^(Slot13_Age-D73)*(1-((1+AS_Wage)/(1+Slot13_Rate))^(Slot13_Age-D73))/(1-(1+AS_Wage)/(1+Slot13_Rate))),1)</f>
        <v>1</v>
      </c>
      <c r="LY73" s="20" t="n">
        <f aca="false">IF(AND(HU73=1,IE73&gt;0,Slot13_IsWG=1,EN73=1),MAX(0,(Slot13_Cost-EO73*(1+Slot13_Rate)^(Slot13_Age-D73))/LX73),0)</f>
        <v>0</v>
      </c>
      <c r="LZ73" s="20" t="n">
        <f aca="false">IF(AND(HU73=1,IE73&gt;0,Slot13_IsWG=1,EN73=1),MIN(IE73,LY73),0)</f>
        <v>0</v>
      </c>
      <c r="MA73" s="20" t="n">
        <f aca="false">EO73+LZ73</f>
        <v>0</v>
      </c>
      <c r="MB73" s="20" t="n">
        <f aca="false">IF(EN73=1,MAX(0,(Slot13_Cost-MA73*(1+Slot13_Rate)^(Slot13_Age-D73))/LX73),0)</f>
        <v>0</v>
      </c>
      <c r="MC73" s="20" t="n">
        <f aca="false">IF(EN73=1,MAX(0,(Slot13_Cost-EO73*(1+Slot13_Rate)^(Slot13_Age-D73))/LX73),0)</f>
        <v>0</v>
      </c>
      <c r="MD73" s="20" t="n">
        <f aca="false">IF(AND(HU73=1,EN73=1),MIN(LW73,MB73),0)</f>
        <v>0</v>
      </c>
      <c r="ME73" s="20" t="n">
        <f aca="false">LW73-MD73</f>
        <v>0</v>
      </c>
      <c r="MF73" s="20" t="n">
        <f aca="false">IF(EX73=1,IF(ABS((1+AS_Wage)/(1+Slot14_Rate)-1)&lt;0.000000000001,(Slot14_Age-D73)*(1+Slot14_Rate)^(Slot14_Age-D73),(1+Slot14_Rate)^(Slot14_Age-D73)*(1-((1+AS_Wage)/(1+Slot14_Rate))^(Slot14_Age-D73))/(1-(1+AS_Wage)/(1+Slot14_Rate))),1)</f>
        <v>1</v>
      </c>
      <c r="MG73" s="20" t="n">
        <f aca="false">IF(AND(HU73=1,IE73&gt;0,Slot14_IsWG=1,EX73=1),MAX(0,(Slot14_Cost-EY73*(1+Slot14_Rate)^(Slot14_Age-D73))/MF73),0)</f>
        <v>0</v>
      </c>
      <c r="MH73" s="20" t="n">
        <f aca="false">IF(AND(HU73=1,IE73&gt;0,Slot14_IsWG=1,EX73=1),MIN(IE73,MG73),0)</f>
        <v>0</v>
      </c>
      <c r="MI73" s="20" t="n">
        <f aca="false">EY73+MH73</f>
        <v>0</v>
      </c>
      <c r="MJ73" s="20" t="n">
        <f aca="false">IF(EX73=1,MAX(0,(Slot14_Cost-MI73*(1+Slot14_Rate)^(Slot14_Age-D73))/MF73),0)</f>
        <v>0</v>
      </c>
      <c r="MK73" s="20" t="n">
        <f aca="false">IF(EX73=1,MAX(0,(Slot14_Cost-EY73*(1+Slot14_Rate)^(Slot14_Age-D73))/MF73),0)</f>
        <v>0</v>
      </c>
      <c r="ML73" s="20" t="n">
        <f aca="false">IF(AND(HU73=1,EX73=1),MIN(ME73,MJ73),0)</f>
        <v>0</v>
      </c>
      <c r="MM73" s="20" t="n">
        <f aca="false">ME73-ML73</f>
        <v>0</v>
      </c>
      <c r="MN73" s="20" t="n">
        <f aca="false">IF(FH73=1,IF(ABS((1+AS_Wage)/(1+Slot15_Rate)-1)&lt;0.000000000001,(Slot15_Age-D73)*(1+Slot15_Rate)^(Slot15_Age-D73),(1+Slot15_Rate)^(Slot15_Age-D73)*(1-((1+AS_Wage)/(1+Slot15_Rate))^(Slot15_Age-D73))/(1-(1+AS_Wage)/(1+Slot15_Rate))),1)</f>
        <v>1</v>
      </c>
      <c r="MO73" s="20" t="n">
        <f aca="false">IF(AND(HU73=1,IE73&gt;0,Slot15_IsWG=1,FH73=1),MAX(0,(Slot15_Cost-FI73*(1+Slot15_Rate)^(Slot15_Age-D73))/MN73),0)</f>
        <v>0</v>
      </c>
      <c r="MP73" s="20" t="n">
        <f aca="false">IF(AND(HU73=1,IE73&gt;0,Slot15_IsWG=1,FH73=1),MIN(IE73,MO73),0)</f>
        <v>0</v>
      </c>
      <c r="MQ73" s="20" t="n">
        <f aca="false">FI73+MP73</f>
        <v>0</v>
      </c>
      <c r="MR73" s="20" t="n">
        <f aca="false">IF(FH73=1,MAX(0,(Slot15_Cost-MQ73*(1+Slot15_Rate)^(Slot15_Age-D73))/MN73),0)</f>
        <v>0</v>
      </c>
      <c r="MS73" s="20" t="n">
        <f aca="false">IF(FH73=1,MAX(0,(Slot15_Cost-FI73*(1+Slot15_Rate)^(Slot15_Age-D73))/MN73),0)</f>
        <v>0</v>
      </c>
      <c r="MT73" s="20" t="n">
        <f aca="false">IF(AND(HU73=1,FH73=1),MIN(MM73,MR73),0)</f>
        <v>0</v>
      </c>
      <c r="MU73" s="20" t="n">
        <f aca="false">MM73-MT73</f>
        <v>0</v>
      </c>
      <c r="MV73" s="20" t="n">
        <f aca="false">IF(FR73=1,IF(ABS((1+AS_Wage)/(1+Slot16_Rate)-1)&lt;0.000000000001,(Slot16_Age-D73)*(1+Slot16_Rate)^(Slot16_Age-D73),(1+Slot16_Rate)^(Slot16_Age-D73)*(1-((1+AS_Wage)/(1+Slot16_Rate))^(Slot16_Age-D73))/(1-(1+AS_Wage)/(1+Slot16_Rate))),1)</f>
        <v>1</v>
      </c>
      <c r="MW73" s="20" t="n">
        <f aca="false">IF(AND(HU73=1,IE73&gt;0,Slot16_IsWG=1,FR73=1),MAX(0,(Slot16_Cost-FS73*(1+Slot16_Rate)^(Slot16_Age-D73))/MV73),0)</f>
        <v>0</v>
      </c>
      <c r="MX73" s="20" t="n">
        <f aca="false">IF(AND(HU73=1,IE73&gt;0,Slot16_IsWG=1,FR73=1),MIN(IE73,MW73),0)</f>
        <v>0</v>
      </c>
      <c r="MY73" s="20" t="n">
        <f aca="false">FS73+MX73</f>
        <v>0</v>
      </c>
      <c r="MZ73" s="20" t="n">
        <f aca="false">IF(FR73=1,MAX(0,(Slot16_Cost-MY73*(1+Slot16_Rate)^(Slot16_Age-D73))/MV73),0)</f>
        <v>0</v>
      </c>
      <c r="NA73" s="20" t="n">
        <f aca="false">IF(FR73=1,MAX(0,(Slot16_Cost-FS73*(1+Slot16_Rate)^(Slot16_Age-D73))/MV73),0)</f>
        <v>0</v>
      </c>
      <c r="NB73" s="20" t="n">
        <f aca="false">IF(AND(HU73=1,FR73=1),MIN(MU73,MZ73),0)</f>
        <v>0</v>
      </c>
      <c r="NC73" s="20" t="n">
        <f aca="false">MU73-NB73</f>
        <v>0</v>
      </c>
      <c r="ND73" s="20" t="n">
        <f aca="false">IF(GB73=1,IF(ABS((1+AS_Wage)/(1+Slot17_Rate)-1)&lt;0.000000000001,(Slot17_Age-D73)*(1+Slot17_Rate)^(Slot17_Age-D73),(1+Slot17_Rate)^(Slot17_Age-D73)*(1-((1+AS_Wage)/(1+Slot17_Rate))^(Slot17_Age-D73))/(1-(1+AS_Wage)/(1+Slot17_Rate))),1)</f>
        <v>1</v>
      </c>
      <c r="NE73" s="20" t="n">
        <f aca="false">IF(AND(HU73=1,IE73&gt;0,Slot17_IsWG=1,GB73=1),MAX(0,(Slot17_Cost-GC73*(1+Slot17_Rate)^(Slot17_Age-D73))/ND73),0)</f>
        <v>0</v>
      </c>
      <c r="NF73" s="20" t="n">
        <f aca="false">IF(AND(HU73=1,IE73&gt;0,Slot17_IsWG=1,GB73=1),MIN(IE73,NE73),0)</f>
        <v>0</v>
      </c>
      <c r="NG73" s="20" t="n">
        <f aca="false">GC73+NF73</f>
        <v>0</v>
      </c>
      <c r="NH73" s="20" t="n">
        <f aca="false">IF(GB73=1,MAX(0,(Slot17_Cost-NG73*(1+Slot17_Rate)^(Slot17_Age-D73))/ND73),0)</f>
        <v>0</v>
      </c>
      <c r="NI73" s="20" t="n">
        <f aca="false">IF(GB73=1,MAX(0,(Slot17_Cost-GC73*(1+Slot17_Rate)^(Slot17_Age-D73))/ND73),0)</f>
        <v>0</v>
      </c>
      <c r="NJ73" s="20" t="n">
        <f aca="false">IF(AND(HU73=1,GB73=1),MIN(NC73,NH73),0)</f>
        <v>0</v>
      </c>
      <c r="NK73" s="20" t="n">
        <f aca="false">NC73-NJ73</f>
        <v>0</v>
      </c>
      <c r="NL73" s="20" t="n">
        <f aca="false">IF(GL73=1,IF(ABS((1+AS_Wage)/(1+Slot18_Rate)-1)&lt;0.000000000001,(Slot18_Age-D73)*(1+Slot18_Rate)^(Slot18_Age-D73),(1+Slot18_Rate)^(Slot18_Age-D73)*(1-((1+AS_Wage)/(1+Slot18_Rate))^(Slot18_Age-D73))/(1-(1+AS_Wage)/(1+Slot18_Rate))),1)</f>
        <v>1</v>
      </c>
      <c r="NM73" s="20" t="n">
        <f aca="false">IF(AND(HU73=1,IE73&gt;0,Slot18_IsWG=1,GL73=1),MAX(0,(Slot18_Cost-GM73*(1+Slot18_Rate)^(Slot18_Age-D73))/NL73),0)</f>
        <v>0</v>
      </c>
      <c r="NN73" s="20" t="n">
        <f aca="false">IF(AND(HU73=1,IE73&gt;0,Slot18_IsWG=1,GL73=1),MIN(IE73,NM73),0)</f>
        <v>0</v>
      </c>
      <c r="NO73" s="20" t="n">
        <f aca="false">GM73+NN73</f>
        <v>0</v>
      </c>
      <c r="NP73" s="20" t="n">
        <f aca="false">IF(GL73=1,MAX(0,(Slot18_Cost-NO73*(1+Slot18_Rate)^(Slot18_Age-D73))/NL73),0)</f>
        <v>0</v>
      </c>
      <c r="NQ73" s="20" t="n">
        <f aca="false">IF(GL73=1,MAX(0,(Slot18_Cost-GM73*(1+Slot18_Rate)^(Slot18_Age-D73))/NL73),0)</f>
        <v>0</v>
      </c>
      <c r="NR73" s="20" t="n">
        <f aca="false">IF(AND(HU73=1,GL73=1),MIN(NK73,NP73),0)</f>
        <v>0</v>
      </c>
      <c r="NS73" s="20" t="n">
        <f aca="false">NK73-NR73</f>
        <v>0</v>
      </c>
      <c r="NT73" s="20" t="n">
        <f aca="false">IF(GV73=1,IF(ABS((1+AS_Wage)/(1+Slot19_Rate)-1)&lt;0.000000000001,(Slot19_Age-D73)*(1+Slot19_Rate)^(Slot19_Age-D73),(1+Slot19_Rate)^(Slot19_Age-D73)*(1-((1+AS_Wage)/(1+Slot19_Rate))^(Slot19_Age-D73))/(1-(1+AS_Wage)/(1+Slot19_Rate))),1)</f>
        <v>1</v>
      </c>
      <c r="NU73" s="20" t="n">
        <f aca="false">IF(AND(HU73=1,IE73&gt;0,Slot19_IsWG=1,GV73=1),MAX(0,(Slot19_Cost-GW73*(1+Slot19_Rate)^(Slot19_Age-D73))/NT73),0)</f>
        <v>0</v>
      </c>
      <c r="NV73" s="20" t="n">
        <f aca="false">IF(AND(HU73=1,IE73&gt;0,Slot19_IsWG=1,GV73=1),MIN(IE73,NU73),0)</f>
        <v>0</v>
      </c>
      <c r="NW73" s="20" t="n">
        <f aca="false">GW73+NV73</f>
        <v>0</v>
      </c>
      <c r="NX73" s="20" t="n">
        <f aca="false">IF(GV73=1,MAX(0,(Slot19_Cost-NW73*(1+Slot19_Rate)^(Slot19_Age-D73))/NT73),0)</f>
        <v>0</v>
      </c>
      <c r="NY73" s="20" t="n">
        <f aca="false">IF(GV73=1,MAX(0,(Slot19_Cost-GW73*(1+Slot19_Rate)^(Slot19_Age-D73))/NT73),0)</f>
        <v>0</v>
      </c>
      <c r="NZ73" s="20" t="n">
        <f aca="false">IF(AND(HU73=1,GV73=1),MIN(NS73,NX73),0)</f>
        <v>0</v>
      </c>
      <c r="OA73" s="20" t="n">
        <f aca="false">NS73-NZ73</f>
        <v>0</v>
      </c>
      <c r="OB73" s="20" t="n">
        <f aca="false">IF(HF73=1,IF(ABS((1+AS_Wage)/(1+Slot20_Rate)-1)&lt;0.000000000001,(Slot20_Age-D73)*(1+Slot20_Rate)^(Slot20_Age-D73),(1+Slot20_Rate)^(Slot20_Age-D73)*(1-((1+AS_Wage)/(1+Slot20_Rate))^(Slot20_Age-D73))/(1-(1+AS_Wage)/(1+Slot20_Rate))),1)</f>
        <v>1</v>
      </c>
      <c r="OC73" s="20" t="n">
        <f aca="false">IF(AND(HU73=1,IE73&gt;0,Slot20_IsWG=1,HF73=1),MAX(0,(Slot20_Cost-HG73*(1+Slot20_Rate)^(Slot20_Age-D73))/OB73),0)</f>
        <v>0</v>
      </c>
      <c r="OD73" s="20" t="n">
        <f aca="false">IF(AND(HU73=1,IE73&gt;0,Slot20_IsWG=1,HF73=1),MIN(IE73,OC73),0)</f>
        <v>0</v>
      </c>
      <c r="OE73" s="20" t="n">
        <f aca="false">HG73+OD73</f>
        <v>0</v>
      </c>
      <c r="OF73" s="20" t="n">
        <f aca="false">IF(HF73=1,MAX(0,(Slot20_Cost-OE73*(1+Slot20_Rate)^(Slot20_Age-D73))/OB73),0)</f>
        <v>0</v>
      </c>
      <c r="OG73" s="20" t="n">
        <f aca="false">IF(HF73=1,MAX(0,(Slot20_Cost-HG73*(1+Slot20_Rate)^(Slot20_Age-D73))/OB73),0)</f>
        <v>0</v>
      </c>
      <c r="OH73" s="20" t="n">
        <f aca="false">IF(AND(HU73=1,HF73=1),MIN(OA73,OF73),0)</f>
        <v>0</v>
      </c>
      <c r="OI73" s="20" t="n">
        <f aca="false">OA73-OH73</f>
        <v>0</v>
      </c>
      <c r="OJ73" s="20" t="n">
        <f aca="false">IE73-(IH73+IP73+IX73+JF73+JN73+JV73+KD73+KL73+KT73+LB73+LJ73+LR73+LZ73+MH73+MP73+MX73+NF73+NN73+NV73+OD73)</f>
        <v>0</v>
      </c>
      <c r="OK73" s="20" t="n">
        <f aca="false">IF(HU73=1,HS73-ID73-IE73,0)</f>
        <v>0</v>
      </c>
      <c r="OL73" s="20" t="n">
        <f aca="false">IF(HU73=0,-HS73,0)</f>
        <v>69789.7913903799</v>
      </c>
      <c r="OM73" s="20" t="n">
        <f aca="false">MIN(OL73,HK73)</f>
        <v>0</v>
      </c>
      <c r="ON73" s="20" t="n">
        <f aca="false">OL73-OM73</f>
        <v>69789.7913903799</v>
      </c>
      <c r="OO73" s="20" t="n">
        <f aca="false">MIN(ON73,HL73)</f>
        <v>0</v>
      </c>
      <c r="OP73" s="20" t="n">
        <f aca="false">ON73-OO73</f>
        <v>69789.7913903799</v>
      </c>
      <c r="OQ73" s="20" t="n">
        <f aca="false">IF(AND(HU73=0,HF73=1,OP73&gt;0),MIN(OP73,HG73),0)</f>
        <v>0</v>
      </c>
      <c r="OR73" s="20" t="n">
        <f aca="false">OP73-OQ73</f>
        <v>69789.7913903799</v>
      </c>
      <c r="OS73" s="20" t="n">
        <f aca="false">IF(AND(HU73=0,GV73=1,OR73&gt;0),MIN(OR73,GW73),0)</f>
        <v>0</v>
      </c>
      <c r="OT73" s="20" t="n">
        <f aca="false">OR73-OS73</f>
        <v>69789.7913903799</v>
      </c>
      <c r="OU73" s="20" t="n">
        <f aca="false">IF(AND(HU73=0,GL73=1,OT73&gt;0),MIN(OT73,GM73),0)</f>
        <v>0</v>
      </c>
      <c r="OV73" s="20" t="n">
        <f aca="false">OT73-OU73</f>
        <v>69789.7913903799</v>
      </c>
      <c r="OW73" s="20" t="n">
        <f aca="false">IF(AND(HU73=0,GB73=1,OV73&gt;0),MIN(OV73,GC73),0)</f>
        <v>0</v>
      </c>
      <c r="OX73" s="20" t="n">
        <f aca="false">OV73-OW73</f>
        <v>69789.7913903799</v>
      </c>
      <c r="OY73" s="20" t="n">
        <f aca="false">IF(AND(HU73=0,FR73=1,OX73&gt;0),MIN(OX73,FS73),0)</f>
        <v>0</v>
      </c>
      <c r="OZ73" s="20" t="n">
        <f aca="false">OX73-OY73</f>
        <v>69789.7913903799</v>
      </c>
      <c r="PA73" s="20" t="n">
        <f aca="false">IF(AND(HU73=0,FH73=1,OZ73&gt;0),MIN(OZ73,FI73),0)</f>
        <v>0</v>
      </c>
      <c r="PB73" s="20" t="n">
        <f aca="false">OZ73-PA73</f>
        <v>69789.7913903799</v>
      </c>
      <c r="PC73" s="20" t="n">
        <f aca="false">IF(AND(HU73=0,EX73=1,PB73&gt;0),MIN(PB73,EY73),0)</f>
        <v>0</v>
      </c>
      <c r="PD73" s="20" t="n">
        <f aca="false">PB73-PC73</f>
        <v>69789.7913903799</v>
      </c>
      <c r="PE73" s="20" t="n">
        <f aca="false">IF(AND(HU73=0,EN73=1,PD73&gt;0),MIN(PD73,EO73),0)</f>
        <v>0</v>
      </c>
      <c r="PF73" s="20" t="n">
        <f aca="false">PD73-PE73</f>
        <v>69789.7913903799</v>
      </c>
      <c r="PG73" s="20" t="n">
        <f aca="false">IF(AND(HU73=0,ED73=1,PF73&gt;0),MIN(PF73,EE73),0)</f>
        <v>0</v>
      </c>
      <c r="PH73" s="20" t="n">
        <f aca="false">PF73-PG73</f>
        <v>69789.7913903799</v>
      </c>
      <c r="PI73" s="20" t="n">
        <f aca="false">IF(AND(HU73=0,DT73=1,PH73&gt;0),MIN(PH73,DU73),0)</f>
        <v>0</v>
      </c>
      <c r="PJ73" s="20" t="n">
        <f aca="false">PH73-PI73</f>
        <v>69789.7913903799</v>
      </c>
      <c r="PK73" s="20" t="n">
        <f aca="false">IF(AND(HU73=0,DJ73=1,PJ73&gt;0),MIN(PJ73,DK73),0)</f>
        <v>0</v>
      </c>
      <c r="PL73" s="20" t="n">
        <f aca="false">PJ73-PK73</f>
        <v>69789.7913903799</v>
      </c>
      <c r="PM73" s="20" t="n">
        <f aca="false">IF(AND(HU73=0,CZ73=1,PL73&gt;0),MIN(PL73,DA73),0)</f>
        <v>0</v>
      </c>
      <c r="PN73" s="20" t="n">
        <f aca="false">PL73-PM73</f>
        <v>69789.7913903799</v>
      </c>
      <c r="PO73" s="20" t="n">
        <f aca="false">IF(AND(HU73=0,CP73=1,PN73&gt;0),MIN(PN73,CQ73),0)</f>
        <v>0</v>
      </c>
      <c r="PP73" s="20" t="n">
        <f aca="false">PN73-PO73</f>
        <v>69789.7913903799</v>
      </c>
      <c r="PQ73" s="20" t="n">
        <f aca="false">IF(AND(HU73=0,CF73=1,PP73&gt;0),MIN(PP73,CG73),0)</f>
        <v>0</v>
      </c>
      <c r="PR73" s="20" t="n">
        <f aca="false">PP73-PQ73</f>
        <v>69789.7913903799</v>
      </c>
      <c r="PS73" s="20" t="n">
        <f aca="false">IF(AND(HU73=0,BV73=1,PR73&gt;0),MIN(PR73,BW73),0)</f>
        <v>0</v>
      </c>
      <c r="PT73" s="20" t="n">
        <f aca="false">PR73-PS73</f>
        <v>69789.7913903799</v>
      </c>
      <c r="PU73" s="20" t="n">
        <f aca="false">IF(AND(HU73=0,BL73=1,PT73&gt;0),MIN(PT73,BM73),0)</f>
        <v>0</v>
      </c>
      <c r="PV73" s="20" t="n">
        <f aca="false">PT73-PU73</f>
        <v>69789.7913903799</v>
      </c>
      <c r="PW73" s="20" t="n">
        <f aca="false">IF(AND(HU73=0,BB73=1,PV73&gt;0),MIN(PV73,BC73),0)</f>
        <v>0</v>
      </c>
      <c r="PX73" s="20" t="n">
        <f aca="false">PV73-PW73</f>
        <v>69789.7913903799</v>
      </c>
      <c r="PY73" s="20" t="n">
        <f aca="false">IF(AND(HU73=0,AR73=1,PX73&gt;0),MIN(PX73,AS73),0)</f>
        <v>0</v>
      </c>
      <c r="PZ73" s="20" t="n">
        <f aca="false">PX73-PY73</f>
        <v>69789.7913903799</v>
      </c>
      <c r="QA73" s="20" t="n">
        <f aca="false">IF(AND(HU73=0,AH73=1,PZ73&gt;0),MIN(PZ73,AI73),0)</f>
        <v>0</v>
      </c>
      <c r="QB73" s="20" t="n">
        <f aca="false">PZ73-QA73</f>
        <v>69789.7913903799</v>
      </c>
      <c r="QC73" s="20" t="n">
        <f aca="false">IF(AND(HU73=0,W73=1,QB73&gt;0),MIN(QB73,X73),0)</f>
        <v>0</v>
      </c>
      <c r="QD73" s="20" t="n">
        <f aca="false">QB73-QC73</f>
        <v>69789.7913903799</v>
      </c>
      <c r="QE73" s="20" t="n">
        <f aca="false">IF(HU73=0,QD73,0)</f>
        <v>69789.7913903799</v>
      </c>
      <c r="QF73" s="20" t="n">
        <f aca="false">OM73+OO73+QC73+QA73+PY73+PW73+PU73+PS73+PQ73+PO73+PM73+PK73+PI73+PG73+PE73+PC73+PA73+OY73+OW73+OU73+OS73+OQ73</f>
        <v>0</v>
      </c>
      <c r="QG73" s="20" t="n">
        <f aca="false">IF(HU73=1,HK73+OJ73+OI73+IF(G73=1,0,OK73),HK73-OM73)</f>
        <v>0</v>
      </c>
      <c r="QH73" s="20" t="n">
        <f aca="false">HL73-OO73</f>
        <v>0</v>
      </c>
      <c r="QI73" s="20" t="n">
        <f aca="false">IF(HU73=1,IF(G73=1,ID73+IE73,HS73),0)</f>
        <v>0</v>
      </c>
      <c r="QJ73" s="20" t="n">
        <f aca="false">IF(HU73=1,IF(G73=1,HS73-ID73-IE73,0),0)</f>
        <v>0</v>
      </c>
      <c r="QK73" s="57" t="n">
        <f aca="false">'Plan holdings'!BM73</f>
        <v>0</v>
      </c>
      <c r="QL73" s="20" t="n">
        <f aca="false">QH73*(1+AS_Cash)</f>
        <v>0</v>
      </c>
      <c r="QM73" s="20" t="n">
        <f aca="false">IF(W73=1,IF(HU73=1,II73+IL73,X73-QC73)*(1+Slot1_Rate),0)</f>
        <v>0</v>
      </c>
      <c r="QN73" s="20" t="n">
        <f aca="false">IF(AND(HU73=1,W73=1),(IH73+IL73)/F73,0)</f>
        <v>0</v>
      </c>
      <c r="QO73" s="20" t="n">
        <f aca="false">IF(B73=0,IH73+IL73,0)</f>
        <v>0</v>
      </c>
      <c r="QP73" s="20" t="n">
        <f aca="false">IF(B73=0,IF(HU73=1,IJ73,IK73),0)</f>
        <v>0</v>
      </c>
      <c r="QQ73" s="20" t="n">
        <f aca="false">IF(AH73=1,IF(HU73=1,IQ73+IT73,AI73-QA73)*(1+Slot2_Rate),0)</f>
        <v>0</v>
      </c>
      <c r="QR73" s="20" t="n">
        <f aca="false">IF(AND(HU73=1,AH73=1),(IP73+IT73)/F73,0)</f>
        <v>0</v>
      </c>
      <c r="QS73" s="20" t="n">
        <f aca="false">IF(B73=0,IP73+IT73,0)</f>
        <v>0</v>
      </c>
      <c r="QT73" s="20" t="n">
        <f aca="false">IF(B73=0,IF(HU73=1,IR73,IS73),0)</f>
        <v>0</v>
      </c>
      <c r="QU73" s="20" t="n">
        <f aca="false">IF(AR73=1,IF(HU73=1,IY73+JB73,AS73-PY73)*(1+Slot3_Rate),0)</f>
        <v>0</v>
      </c>
      <c r="QV73" s="20" t="n">
        <f aca="false">IF(AND(HU73=1,AR73=1),(IX73+JB73)/F73,0)</f>
        <v>0</v>
      </c>
      <c r="QW73" s="20" t="n">
        <f aca="false">IF(B73=0,IX73+JB73,0)</f>
        <v>0</v>
      </c>
      <c r="QX73" s="20" t="n">
        <f aca="false">IF(B73=0,IF(HU73=1,IZ73,JA73),0)</f>
        <v>0</v>
      </c>
      <c r="QY73" s="20" t="n">
        <f aca="false">IF(BB73=1,IF(HU73=1,JG73+JJ73,BC73-PW73)*(1+Slot4_Rate),0)</f>
        <v>0</v>
      </c>
      <c r="QZ73" s="20" t="n">
        <f aca="false">IF(AND(HU73=1,BB73=1),(JF73+JJ73)/F73,0)</f>
        <v>0</v>
      </c>
      <c r="RA73" s="20" t="n">
        <f aca="false">IF(B73=0,JF73+JJ73,0)</f>
        <v>0</v>
      </c>
      <c r="RB73" s="20" t="n">
        <f aca="false">IF(B73=0,IF(HU73=1,JH73,JI73),0)</f>
        <v>0</v>
      </c>
      <c r="RC73" s="20" t="n">
        <f aca="false">IF(BL73=1,IF(HU73=1,JO73+JR73,BM73-PU73)*(1+Slot5_Rate),0)</f>
        <v>0</v>
      </c>
      <c r="RD73" s="20" t="n">
        <f aca="false">IF(AND(HU73=1,BL73=1),(JN73+JR73)/F73,0)</f>
        <v>0</v>
      </c>
      <c r="RE73" s="20" t="n">
        <f aca="false">IF(B73=0,JN73+JR73,0)</f>
        <v>0</v>
      </c>
      <c r="RF73" s="20" t="n">
        <f aca="false">IF(B73=0,IF(HU73=1,JP73,JQ73),0)</f>
        <v>0</v>
      </c>
      <c r="RG73" s="20" t="n">
        <f aca="false">IF(BV73=1,IF(HU73=1,JW73+JZ73,BW73-PS73)*(1+Slot6_Rate),0)</f>
        <v>0</v>
      </c>
      <c r="RH73" s="20" t="n">
        <f aca="false">IF(AND(HU73=1,BV73=1),(JV73+JZ73)/F73,0)</f>
        <v>0</v>
      </c>
      <c r="RI73" s="20" t="n">
        <f aca="false">IF(B73=0,JV73+JZ73,0)</f>
        <v>0</v>
      </c>
      <c r="RJ73" s="20" t="n">
        <f aca="false">IF(B73=0,IF(HU73=1,JX73,JY73),0)</f>
        <v>0</v>
      </c>
      <c r="RK73" s="20" t="n">
        <f aca="false">IF(CF73=1,IF(HU73=1,KE73+KH73,CG73-PQ73)*(1+Slot7_Rate),0)</f>
        <v>0</v>
      </c>
      <c r="RL73" s="20" t="n">
        <f aca="false">IF(AND(HU73=1,CF73=1),(KD73+KH73)/F73,0)</f>
        <v>0</v>
      </c>
      <c r="RM73" s="20" t="n">
        <f aca="false">IF(B73=0,KD73+KH73,0)</f>
        <v>0</v>
      </c>
      <c r="RN73" s="20" t="n">
        <f aca="false">IF(B73=0,IF(HU73=1,KF73,KG73),0)</f>
        <v>0</v>
      </c>
      <c r="RO73" s="20" t="n">
        <f aca="false">IF(CP73=1,IF(HU73=1,KM73+KP73,CQ73-PO73)*(1+Slot8_Rate),0)</f>
        <v>0</v>
      </c>
      <c r="RP73" s="20" t="n">
        <f aca="false">IF(AND(HU73=1,CP73=1),(KL73+KP73)/F73,0)</f>
        <v>0</v>
      </c>
      <c r="RQ73" s="20" t="n">
        <f aca="false">IF(B73=0,KL73+KP73,0)</f>
        <v>0</v>
      </c>
      <c r="RR73" s="20" t="n">
        <f aca="false">IF(B73=0,IF(HU73=1,KN73,KO73),0)</f>
        <v>0</v>
      </c>
      <c r="RS73" s="20" t="n">
        <f aca="false">IF(CZ73=1,IF(HU73=1,KU73+KX73,DA73-PM73)*(1+Slot9_Rate),0)</f>
        <v>0</v>
      </c>
      <c r="RT73" s="20" t="n">
        <f aca="false">IF(AND(HU73=1,CZ73=1),(KT73+KX73)/F73,0)</f>
        <v>0</v>
      </c>
      <c r="RU73" s="20" t="n">
        <f aca="false">IF(B73=0,KT73+KX73,0)</f>
        <v>0</v>
      </c>
      <c r="RV73" s="20" t="n">
        <f aca="false">IF(B73=0,IF(HU73=1,KV73,KW73),0)</f>
        <v>0</v>
      </c>
      <c r="RW73" s="20" t="n">
        <f aca="false">IF(DJ73=1,IF(HU73=1,LC73+LF73,DK73-PK73)*(1+Slot10_Rate),0)</f>
        <v>0</v>
      </c>
      <c r="RX73" s="20" t="n">
        <f aca="false">IF(AND(HU73=1,DJ73=1),(LB73+LF73)/F73,0)</f>
        <v>0</v>
      </c>
      <c r="RY73" s="20" t="n">
        <f aca="false">IF(B73=0,LB73+LF73,0)</f>
        <v>0</v>
      </c>
      <c r="RZ73" s="20" t="n">
        <f aca="false">IF(B73=0,IF(HU73=1,LD73,LE73),0)</f>
        <v>0</v>
      </c>
      <c r="SA73" s="20" t="n">
        <f aca="false">IF(DT73=1,IF(HU73=1,LK73+LN73,DU73-PI73)*(1+Slot11_Rate),0)</f>
        <v>0</v>
      </c>
      <c r="SB73" s="20" t="n">
        <f aca="false">IF(AND(HU73=1,DT73=1),(LJ73+LN73)/F73,0)</f>
        <v>0</v>
      </c>
      <c r="SC73" s="20" t="n">
        <f aca="false">IF(B73=0,LJ73+LN73,0)</f>
        <v>0</v>
      </c>
      <c r="SD73" s="20" t="n">
        <f aca="false">IF(B73=0,IF(HU73=1,LL73,LM73),0)</f>
        <v>0</v>
      </c>
      <c r="SE73" s="20" t="n">
        <f aca="false">IF(ED73=1,IF(HU73=1,LS73+LV73,EE73-PG73)*(1+Slot12_Rate),0)</f>
        <v>0</v>
      </c>
      <c r="SF73" s="20" t="n">
        <f aca="false">IF(AND(HU73=1,ED73=1),(LR73+LV73)/F73,0)</f>
        <v>0</v>
      </c>
      <c r="SG73" s="20" t="n">
        <f aca="false">IF(B73=0,LR73+LV73,0)</f>
        <v>0</v>
      </c>
      <c r="SH73" s="20" t="n">
        <f aca="false">IF(B73=0,IF(HU73=1,LT73,LU73),0)</f>
        <v>0</v>
      </c>
      <c r="SI73" s="20" t="n">
        <f aca="false">IF(EN73=1,IF(HU73=1,MA73+MD73,EO73-PE73)*(1+Slot13_Rate),0)</f>
        <v>0</v>
      </c>
      <c r="SJ73" s="20" t="n">
        <f aca="false">IF(AND(HU73=1,EN73=1),(LZ73+MD73)/F73,0)</f>
        <v>0</v>
      </c>
      <c r="SK73" s="20" t="n">
        <f aca="false">IF(B73=0,LZ73+MD73,0)</f>
        <v>0</v>
      </c>
      <c r="SL73" s="20" t="n">
        <f aca="false">IF(B73=0,IF(HU73=1,MB73,MC73),0)</f>
        <v>0</v>
      </c>
      <c r="SM73" s="20" t="n">
        <f aca="false">IF(EX73=1,IF(HU73=1,MI73+ML73,EY73-PC73)*(1+Slot14_Rate),0)</f>
        <v>0</v>
      </c>
      <c r="SN73" s="20" t="n">
        <f aca="false">IF(AND(HU73=1,EX73=1),(MH73+ML73)/F73,0)</f>
        <v>0</v>
      </c>
      <c r="SO73" s="20" t="n">
        <f aca="false">IF(B73=0,MH73+ML73,0)</f>
        <v>0</v>
      </c>
      <c r="SP73" s="20" t="n">
        <f aca="false">IF(B73=0,IF(HU73=1,MJ73,MK73),0)</f>
        <v>0</v>
      </c>
      <c r="SQ73" s="20" t="n">
        <f aca="false">IF(FH73=1,IF(HU73=1,MQ73+MT73,FI73-PA73)*(1+Slot15_Rate),0)</f>
        <v>0</v>
      </c>
      <c r="SR73" s="20" t="n">
        <f aca="false">IF(AND(HU73=1,FH73=1),(MP73+MT73)/F73,0)</f>
        <v>0</v>
      </c>
      <c r="SS73" s="20" t="n">
        <f aca="false">IF(B73=0,MP73+MT73,0)</f>
        <v>0</v>
      </c>
      <c r="ST73" s="20" t="n">
        <f aca="false">IF(B73=0,IF(HU73=1,MR73,MS73),0)</f>
        <v>0</v>
      </c>
      <c r="SU73" s="20" t="n">
        <f aca="false">IF(FR73=1,IF(HU73=1,MY73+NB73,FS73-OY73)*(1+Slot16_Rate),0)</f>
        <v>0</v>
      </c>
      <c r="SV73" s="20" t="n">
        <f aca="false">IF(AND(HU73=1,FR73=1),(MX73+NB73)/F73,0)</f>
        <v>0</v>
      </c>
      <c r="SW73" s="20" t="n">
        <f aca="false">IF(B73=0,MX73+NB73,0)</f>
        <v>0</v>
      </c>
      <c r="SX73" s="20" t="n">
        <f aca="false">IF(B73=0,IF(HU73=1,MZ73,NA73),0)</f>
        <v>0</v>
      </c>
      <c r="SY73" s="20" t="n">
        <f aca="false">IF(GB73=1,IF(HU73=1,NG73+NJ73,GC73-OW73)*(1+Slot17_Rate),0)</f>
        <v>0</v>
      </c>
      <c r="SZ73" s="20" t="n">
        <f aca="false">IF(AND(HU73=1,GB73=1),(NF73+NJ73)/F73,0)</f>
        <v>0</v>
      </c>
      <c r="TA73" s="20" t="n">
        <f aca="false">IF(B73=0,NF73+NJ73,0)</f>
        <v>0</v>
      </c>
      <c r="TB73" s="20" t="n">
        <f aca="false">IF(B73=0,IF(HU73=1,NH73,NI73),0)</f>
        <v>0</v>
      </c>
      <c r="TC73" s="20" t="n">
        <f aca="false">IF(GL73=1,IF(HU73=1,NO73+NR73,GM73-OU73)*(1+Slot18_Rate),0)</f>
        <v>0</v>
      </c>
      <c r="TD73" s="20" t="n">
        <f aca="false">IF(AND(HU73=1,GL73=1),(NN73+NR73)/F73,0)</f>
        <v>0</v>
      </c>
      <c r="TE73" s="20" t="n">
        <f aca="false">IF(B73=0,NN73+NR73,0)</f>
        <v>0</v>
      </c>
      <c r="TF73" s="20" t="n">
        <f aca="false">IF(B73=0,IF(HU73=1,NP73,NQ73),0)</f>
        <v>0</v>
      </c>
      <c r="TG73" s="20" t="n">
        <f aca="false">IF(GV73=1,IF(HU73=1,NW73+NZ73,GW73-OS73)*(1+Slot19_Rate),0)</f>
        <v>0</v>
      </c>
      <c r="TH73" s="20" t="n">
        <f aca="false">IF(AND(HU73=1,GV73=1),(NV73+NZ73)/F73,0)</f>
        <v>0</v>
      </c>
      <c r="TI73" s="20" t="n">
        <f aca="false">IF(B73=0,NV73+NZ73,0)</f>
        <v>0</v>
      </c>
      <c r="TJ73" s="20" t="n">
        <f aca="false">IF(B73=0,IF(HU73=1,NX73,NY73),0)</f>
        <v>0</v>
      </c>
      <c r="TK73" s="20" t="n">
        <f aca="false">IF(HF73=1,IF(HU73=1,OE73+OH73,HG73-OQ73)*(1+Slot20_Rate),0)</f>
        <v>0</v>
      </c>
      <c r="TL73" s="20" t="n">
        <f aca="false">IF(AND(HU73=1,HF73=1),(OD73+OH73)/F73,0)</f>
        <v>0</v>
      </c>
      <c r="TM73" s="20" t="n">
        <f aca="false">IF(B73=0,OD73+OH73,0)</f>
        <v>0</v>
      </c>
      <c r="TN73" s="20" t="n">
        <f aca="false">IF(B73=0,IF(HU73=1,OF73,OG73),0)</f>
        <v>0</v>
      </c>
      <c r="TO73" s="20" t="n">
        <f aca="false">QK73+QL73+QM73+QQ73+QU73+QY73+RC73+RG73+RK73+RO73+RS73+RW73+SA73+SE73+SI73+SM73+SQ73+SU73+SY73+TC73+TG73+TK73</f>
        <v>0</v>
      </c>
      <c r="TP73" s="20" t="n">
        <f aca="false">QE73+HP73</f>
        <v>69789.7913903799</v>
      </c>
      <c r="TQ73" s="20" t="n">
        <f aca="false">I73+S73</f>
        <v>173156.604569208</v>
      </c>
      <c r="TR73" s="20" t="n">
        <f aca="false">1-G73</f>
        <v>1</v>
      </c>
      <c r="TS73" s="20" t="n">
        <f aca="false">IF(AND(RG_Exists=1,G73=0,C73=1),I73,0)</f>
        <v>0</v>
      </c>
      <c r="TT73" s="20" t="n">
        <f aca="false">IF(AND(RG_Exists=1,G73=0,C73=1),I73-MIN(QE73,I73),0)</f>
        <v>0</v>
      </c>
      <c r="TU73" s="20" t="n">
        <f aca="false">'Plan pay &amp; tax'!AD299</f>
        <v>0</v>
      </c>
      <c r="TV73" s="20" t="n">
        <f aca="false">IF(AND(C73=1,QE73&gt;MAX(PR_Short1,TQ73*PR_Short2)),1,0)</f>
        <v>0</v>
      </c>
      <c r="TW73" s="20" t="n">
        <f aca="false">MIN(H73,I73+S73)</f>
        <v>103366.813178828</v>
      </c>
      <c r="TX73" s="20" t="n">
        <f aca="false">QF73+MAX(0,HQ73-HP73)</f>
        <v>0</v>
      </c>
      <c r="TY73" s="20" t="n">
        <f aca="false">QE73+HP73</f>
        <v>69789.7913903799</v>
      </c>
      <c r="TZ73" s="20" t="n">
        <f aca="false">IF(AND(C73=1,TY73&gt;PR_MinShort),1,0)</f>
        <v>0</v>
      </c>
      <c r="UA73" s="20" t="n">
        <f aca="false">IF(AND(C73=1,TZ73=0,TX73&gt;PR_MinShort),1,0)</f>
        <v>0</v>
      </c>
      <c r="UB73" s="20" t="n">
        <f aca="false">IF(AND(C73=1,QE73&gt;PR_MinShort),1,0)</f>
        <v>0</v>
      </c>
      <c r="UC73" s="20" t="n">
        <f aca="false">IF(AND(C73=1,QF73&gt;1,UJ73=0),1,0)</f>
        <v>0</v>
      </c>
      <c r="UD73" s="20" t="str">
        <f aca="false">IF(C73=0,"",IF(UJ73=1,"Gap to plan for: short "&amp;"€"&amp;TEXT(ROUND(TP73,0),"#,##0"),IF(QF73&gt;1,"Using savings","Comfortable")))</f>
        <v/>
      </c>
      <c r="UE73" s="20" t="n">
        <f aca="false">IF(AND(INT(D73/10)*10=90,B73&gt;0),80,INT(D73/10)*10)</f>
        <v>100</v>
      </c>
      <c r="UF73" s="20" t="n">
        <f aca="false">IF(B73=0,1,IF(UE73&lt;&gt;UE72,UF72+1,UF72))</f>
        <v>7</v>
      </c>
      <c r="UG73" s="20" t="n">
        <f aca="false">IF(AND(C73=1,G73=1,QE73&gt;MAX(PR_Short1,TQ73*PR_Short2)),1,0)</f>
        <v>0</v>
      </c>
      <c r="UH73" s="20" t="n">
        <f aca="false">TR73*TV73</f>
        <v>0</v>
      </c>
      <c r="UI73" s="20" t="n">
        <f aca="false">IF(AND(V73=1,Slot1_PctLow=1),1,0)+IF(AND(AG73=1,Slot2_PctLow=1),1,0)+IF(AND(AQ73=1,Slot3_PctLow=1),1,0)+IF(AND(BA73=1,Slot4_PctLow=1),1,0)+IF(AND(BK73=1,Slot5_PctLow=1),1,0)+IF(AND(BU73=1,Slot6_PctLow=1),1,0)+IF(AND(CE73=1,Slot7_PctLow=1),1,0)+IF(AND(CO73=1,Slot8_PctLow=1),1,0)+IF(AND(CY73=1,Slot9_PctLow=1),1,0)+IF(AND(DI73=1,Slot10_PctLow=1),1,0)+IF(AND(DS73=1,Slot11_PctLow=1),1,0)+IF(AND(EC73=1,Slot12_PctLow=1),1,0)+IF(AND(EM73=1,Slot13_PctLow=1),1,0)+IF(AND(EW73=1,Slot14_PctLow=1),1,0)+IF(AND(FG73=1,Slot15_PctLow=1),1,0)+IF(AND(FQ73=1,Slot16_PctLow=1),1,0)+IF(AND(GA73=1,Slot17_PctLow=1),1,0)+IF(AND(GK73=1,Slot18_PctLow=1),1,0)+IF(AND(GU73=1,Slot19_PctLow=1),1,0)+IF(AND(HE73=1,Slot20_PctLow=1),1,0)</f>
        <v>0</v>
      </c>
      <c r="UJ73" s="20" t="n">
        <f aca="false">IF(C73=1,IF(OR(TV73=1,UI73&gt;0),1,0),0)</f>
        <v>0</v>
      </c>
      <c r="UK73" s="20" t="n">
        <f aca="false">Z73+AK73+AU73+BE73+BO73+BY73+CI73+CS73+DC73+DM73+DW73+EG73+EQ73+FA73+FK73+FU73+GE73+GO73+GY73+HI73+OM73</f>
        <v>0</v>
      </c>
      <c r="UL73" s="20" t="n">
        <f aca="false">V73*IF(Slot1_SpendLike=1,X73-Y73,IF(Slot1_PotFree=1,X73,0))+AG73*IF(Slot2_SpendLike=1,AI73-AJ73,IF(Slot2_PotFree=1,AI73,0))+AQ73*IF(Slot3_SpendLike=1,AS73-AT73,IF(Slot3_PotFree=1,AS73,0))+BA73*IF(Slot4_SpendLike=1,BC73-BD73,IF(Slot4_PotFree=1,BC73,0))+BK73*IF(Slot5_SpendLike=1,BM73-BN73,IF(Slot5_PotFree=1,BM73,0))+BU73*IF(Slot6_SpendLike=1,BW73-BX73,IF(Slot6_PotFree=1,BW73,0))+CE73*IF(Slot7_SpendLike=1,CG73-CH73,IF(Slot7_PotFree=1,CG73,0))+CO73*IF(Slot8_SpendLike=1,CQ73-CR73,IF(Slot8_PotFree=1,CQ73,0))+CY73*IF(Slot9_SpendLike=1,DA73-DB73,IF(Slot9_PotFree=1,DA73,0))+DI73*IF(Slot10_SpendLike=1,DK73-DL73,IF(Slot10_PotFree=1,DK73,0))+DS73*IF(Slot11_SpendLike=1,DU73-DV73,IF(Slot11_PotFree=1,DU73,0))+EC73*IF(Slot12_SpendLike=1,EE73-EF73,IF(Slot12_PotFree=1,EE73,0))+EM73*IF(Slot13_SpendLike=1,EO73-EP73,IF(Slot13_PotFree=1,EO73,0))+EW73*IF(Slot14_SpendLike=1,EY73-EZ73,IF(Slot14_PotFree=1,EY73,0))+FG73*IF(Slot15_SpendLike=1,FI73-FJ73,IF(Slot15_PotFree=1,FI73,0))+FQ73*IF(Slot16_SpendLike=1,FS73-FT73,IF(Slot16_PotFree=1,FS73,0))+GA73*IF(Slot17_SpendLike=1,GC73-GD73,IF(Slot17_PotFree=1,GC73,0))+GK73*IF(Slot18_SpendLike=1,GM73-GN73,IF(Slot18_PotFree=1,GM73,0))+GU73*IF(Slot19_SpendLike=1,GW73-GX73,IF(Slot19_PotFree=1,GW73,0))+HE73*IF(Slot20_SpendLike=1,HG73-HH73,IF(Slot20_PotFree=1,HG73,0))</f>
        <v>0</v>
      </c>
      <c r="UM73" s="20" t="n">
        <f aca="false">QG73-T73+UK73-UL73</f>
        <v>0</v>
      </c>
      <c r="UN73" s="20" t="n">
        <f aca="false">IF(OR(UN72=1,AND(In_homeUse="Yes, I'd downsize",In_downAge&gt;0,D73=In_downAge,OR(In_home="Own outright",In_home="Own with mortgage"),In_homeValue&gt;0)),1,0)</f>
        <v>0</v>
      </c>
    </row>
    <row r="74" customFormat="false" ht="15" hidden="false" customHeight="true" outlineLevel="0" collapsed="false">
      <c r="B74" s="20" t="n">
        <v>66</v>
      </c>
      <c r="C74" s="20" t="n">
        <f aca="false">IF(B74&lt;=F_N,1,0)</f>
        <v>0</v>
      </c>
      <c r="D74" s="20" t="n">
        <f aca="false">'Plan pay &amp; tax'!C300</f>
        <v>104</v>
      </c>
      <c r="E74" s="20" t="str">
        <f aca="false">IF($C74=1,"Income tax "&amp;TEXT(N('Plan pay &amp; tax'!BK300),"#,##0")&amp;"; USC "&amp;TEXT(N('Plan pay &amp; tax'!BM300)+N('Plan pay &amp; tax'!BO300),"#,##0")&amp;"; PRSI "&amp;TEXT(N('Plan pay &amp; tax'!BP300)+N('Plan pay &amp; tax'!BQ300),"#,##0")&amp;IF(N('Plan holdings'!BO74)&gt;=0.5,"; DIRT "&amp;TEXT(('Plan holdings'!BO74)/$F74,"#,##0")&amp;" (already taken from the interest earned)","")&amp;IF(N('Plan holdings'!BP74)&gt;=0.5,"; exit tax at an 8-year anniversary "&amp;TEXT(('Plan holdings'!BP74)/$F74,"#,##0"),"")&amp;IF(N('Plan holdings'!BN74)&gt;=0.5,"; tax on assets sold (exit tax or capital gains tax) "&amp;TEXT(('Plan holdings'!BN74)/$F74,"#,##0"),"")&amp;IF(N('Plan pay &amp; tax'!X300)-N('Plan pay &amp; tax'!Y300)&gt;=0.5,"; tax on the pension lump sum "&amp;TEXT(('Plan pay &amp; tax'!X300-'Plan pay &amp; tax'!Y300)/$F74,"#,##0"),"")&amp;IF(N('Plan pay &amp; tax'!V300)&gt;=0.5,"; chargeable excess tax on the pension "&amp;TEXT(('Plan pay &amp; tax'!V300)/$F74,"#,##0"),"")&amp;".","")</f>
        <v/>
      </c>
      <c r="F74" s="50" t="n">
        <f aca="false">'Plan pay &amp; tax'!E300</f>
        <v>3.69497357030527</v>
      </c>
      <c r="G74" s="20" t="n">
        <f aca="false">'Plan pay &amp; tax'!G300</f>
        <v>0</v>
      </c>
      <c r="H74" s="20" t="n">
        <f aca="false">'Plan pay &amp; tax'!BT300-'Plan pay &amp; tax'!BS300-'Plan pay &amp; tax'!R300</f>
        <v>105434.149442404</v>
      </c>
      <c r="I74" s="20" t="n">
        <f aca="false">IF(G74=1,F_CostsM*12,IF(RG_Exists=1,RG_Amount,F_CostsM*12*AS_RetireSpend))*F74+F_OneOffY*F74</f>
        <v>176619.736660592</v>
      </c>
      <c r="J74" s="20" t="n">
        <f aca="false">IF(UN74=1,0,HR73)</f>
        <v>0</v>
      </c>
      <c r="K74" s="20" t="n">
        <f aca="false">IF(J74&gt;1,'Plan debt months'!AC74,0)</f>
        <v>0</v>
      </c>
      <c r="L74" s="20" t="n">
        <f aca="false">IF(J74&gt;1,'Plan debt months'!AB74,J74)</f>
        <v>0</v>
      </c>
      <c r="M74" s="20" t="n">
        <f aca="false">O73</f>
        <v>0</v>
      </c>
      <c r="N74" s="20" t="n">
        <f aca="false">IF(M74&gt;1,'Plan debt months'!BD74,0)</f>
        <v>0</v>
      </c>
      <c r="O74" s="20" t="n">
        <f aca="false">IF(M74&gt;1,'Plan debt months'!BC74,M74)</f>
        <v>0</v>
      </c>
      <c r="P74" s="20" t="n">
        <f aca="false">R73</f>
        <v>0</v>
      </c>
      <c r="Q74" s="20" t="n">
        <f aca="false">IF(P74&gt;1,'Plan debt months'!CE74,0)</f>
        <v>0</v>
      </c>
      <c r="R74" s="20" t="n">
        <f aca="false">IF(P74&gt;1,'Plan debt months'!CD74,P74)</f>
        <v>0</v>
      </c>
      <c r="S74" s="20" t="n">
        <f aca="false">K74+N74+Q74</f>
        <v>0</v>
      </c>
      <c r="T74" s="57" t="n">
        <f aca="false">'Plan holdings'!Y74</f>
        <v>0</v>
      </c>
      <c r="U74" s="57" t="n">
        <f aca="false">'Plan holdings'!BM73</f>
        <v>0</v>
      </c>
      <c r="V74" s="20" t="n">
        <f aca="false">IF(AND(Slot1_On=1,D74=Slot1_Age),1,0)</f>
        <v>0</v>
      </c>
      <c r="W74" s="20" t="n">
        <f aca="false">IF(AND(Slot1_On=1,Slot1_Age&gt;D74),1,0)</f>
        <v>0</v>
      </c>
      <c r="X74" s="20" t="n">
        <f aca="false">QM73</f>
        <v>0</v>
      </c>
      <c r="Y74" s="20" t="n">
        <f aca="false">V74*MIN(Slot1_Cost,X74)</f>
        <v>0</v>
      </c>
      <c r="Z74" s="20" t="n">
        <f aca="false">V74*Slot1_SpendLike*MIN(Slot1_Cost-Y74,T74)</f>
        <v>0</v>
      </c>
      <c r="AA74" s="20" t="n">
        <f aca="false">Y74+Z74</f>
        <v>0</v>
      </c>
      <c r="AB74" s="20" t="n">
        <f aca="false">T74-Z74+V74*IF(Slot1_SpendLike=1,X74-Y74,IF(Slot1_PotFree=1,X74,0))</f>
        <v>0</v>
      </c>
      <c r="AC74" s="20" t="n">
        <f aca="false">AF74+V74*Slot1_BufPot*X74</f>
        <v>0</v>
      </c>
      <c r="AD74" s="20" t="n">
        <f aca="false">IF(AND(V74=1,Slot1_IsMfree=1),IF(AA74&gt;=Slot1_Cost-1,0,MAX(0,L74-AA74)),L74)</f>
        <v>0</v>
      </c>
      <c r="AE74" s="20" t="n">
        <f aca="false">V74*(Slot1_Cost-AA74)</f>
        <v>0</v>
      </c>
      <c r="AF74" s="20" t="n">
        <f aca="false">QL73</f>
        <v>0</v>
      </c>
      <c r="AG74" s="20" t="n">
        <f aca="false">IF(AND(Slot2_On=1,D74=Slot2_Age),1,0)</f>
        <v>0</v>
      </c>
      <c r="AH74" s="20" t="n">
        <f aca="false">IF(AND(Slot2_On=1,Slot2_Age&gt;D74),1,0)</f>
        <v>0</v>
      </c>
      <c r="AI74" s="20" t="n">
        <f aca="false">QQ73</f>
        <v>0</v>
      </c>
      <c r="AJ74" s="20" t="n">
        <f aca="false">AG74*MIN(Slot2_Cost,AI74)</f>
        <v>0</v>
      </c>
      <c r="AK74" s="20" t="n">
        <f aca="false">AG74*Slot2_SpendLike*MIN(Slot2_Cost-AJ74,AB74)</f>
        <v>0</v>
      </c>
      <c r="AL74" s="20" t="n">
        <f aca="false">AJ74+AK74</f>
        <v>0</v>
      </c>
      <c r="AM74" s="20" t="n">
        <f aca="false">AB74-AK74+AG74*IF(Slot2_SpendLike=1,AI74-AJ74,IF(Slot2_PotFree=1,AI74,0))</f>
        <v>0</v>
      </c>
      <c r="AN74" s="20" t="n">
        <f aca="false">AC74+AG74*Slot2_BufPot*AI74</f>
        <v>0</v>
      </c>
      <c r="AO74" s="20" t="n">
        <f aca="false">IF(AND(AG74=1,Slot2_IsMfree=1),IF(AL74&gt;=Slot2_Cost-1,0,MAX(0,AD74-AL74)),AD74)</f>
        <v>0</v>
      </c>
      <c r="AP74" s="20" t="n">
        <f aca="false">AG74*(Slot2_Cost-AL74)</f>
        <v>0</v>
      </c>
      <c r="AQ74" s="20" t="n">
        <f aca="false">IF(AND(Slot3_On=1,D74=Slot3_Age),1,0)</f>
        <v>0</v>
      </c>
      <c r="AR74" s="20" t="n">
        <f aca="false">IF(AND(Slot3_On=1,Slot3_Age&gt;D74),1,0)</f>
        <v>0</v>
      </c>
      <c r="AS74" s="20" t="n">
        <f aca="false">QU73</f>
        <v>0</v>
      </c>
      <c r="AT74" s="20" t="n">
        <f aca="false">AQ74*MIN(Slot3_Cost,AS74)</f>
        <v>0</v>
      </c>
      <c r="AU74" s="20" t="n">
        <f aca="false">AQ74*Slot3_SpendLike*MIN(Slot3_Cost-AT74,AM74)</f>
        <v>0</v>
      </c>
      <c r="AV74" s="20" t="n">
        <f aca="false">AT74+AU74</f>
        <v>0</v>
      </c>
      <c r="AW74" s="20" t="n">
        <f aca="false">AM74-AU74+AQ74*IF(Slot3_SpendLike=1,AS74-AT74,IF(Slot3_PotFree=1,AS74,0))</f>
        <v>0</v>
      </c>
      <c r="AX74" s="20" t="n">
        <f aca="false">AN74+AQ74*Slot3_BufPot*AS74</f>
        <v>0</v>
      </c>
      <c r="AY74" s="20" t="n">
        <f aca="false">IF(AND(AQ74=1,Slot3_IsMfree=1),IF(AV74&gt;=Slot3_Cost-1,0,MAX(0,AO74-AV74)),AO74)</f>
        <v>0</v>
      </c>
      <c r="AZ74" s="20" t="n">
        <f aca="false">AQ74*(Slot3_Cost-AV74)</f>
        <v>0</v>
      </c>
      <c r="BA74" s="20" t="n">
        <f aca="false">IF(AND(Slot4_On=1,D74=Slot4_Age),1,0)</f>
        <v>0</v>
      </c>
      <c r="BB74" s="20" t="n">
        <f aca="false">IF(AND(Slot4_On=1,Slot4_Age&gt;D74),1,0)</f>
        <v>0</v>
      </c>
      <c r="BC74" s="20" t="n">
        <f aca="false">QY73</f>
        <v>0</v>
      </c>
      <c r="BD74" s="20" t="n">
        <f aca="false">BA74*MIN(Slot4_Cost,BC74)</f>
        <v>0</v>
      </c>
      <c r="BE74" s="20" t="n">
        <f aca="false">BA74*Slot4_SpendLike*MIN(Slot4_Cost-BD74,AW74)</f>
        <v>0</v>
      </c>
      <c r="BF74" s="20" t="n">
        <f aca="false">BD74+BE74</f>
        <v>0</v>
      </c>
      <c r="BG74" s="20" t="n">
        <f aca="false">AW74-BE74+BA74*IF(Slot4_SpendLike=1,BC74-BD74,IF(Slot4_PotFree=1,BC74,0))</f>
        <v>0</v>
      </c>
      <c r="BH74" s="20" t="n">
        <f aca="false">AX74+BA74*Slot4_BufPot*BC74</f>
        <v>0</v>
      </c>
      <c r="BI74" s="20" t="n">
        <f aca="false">IF(AND(BA74=1,Slot4_IsMfree=1),IF(BF74&gt;=Slot4_Cost-1,0,MAX(0,AY74-BF74)),AY74)</f>
        <v>0</v>
      </c>
      <c r="BJ74" s="20" t="n">
        <f aca="false">BA74*(Slot4_Cost-BF74)</f>
        <v>0</v>
      </c>
      <c r="BK74" s="20" t="n">
        <f aca="false">IF(AND(Slot5_On=1,D74=Slot5_Age),1,0)</f>
        <v>0</v>
      </c>
      <c r="BL74" s="20" t="n">
        <f aca="false">IF(AND(Slot5_On=1,Slot5_Age&gt;D74),1,0)</f>
        <v>0</v>
      </c>
      <c r="BM74" s="20" t="n">
        <f aca="false">RC73</f>
        <v>0</v>
      </c>
      <c r="BN74" s="20" t="n">
        <f aca="false">BK74*MIN(Slot5_Cost,BM74)</f>
        <v>0</v>
      </c>
      <c r="BO74" s="20" t="n">
        <f aca="false">BK74*Slot5_SpendLike*MIN(Slot5_Cost-BN74,BG74)</f>
        <v>0</v>
      </c>
      <c r="BP74" s="20" t="n">
        <f aca="false">BN74+BO74</f>
        <v>0</v>
      </c>
      <c r="BQ74" s="20" t="n">
        <f aca="false">BG74-BO74+BK74*IF(Slot5_SpendLike=1,BM74-BN74,IF(Slot5_PotFree=1,BM74,0))</f>
        <v>0</v>
      </c>
      <c r="BR74" s="20" t="n">
        <f aca="false">BH74+BK74*Slot5_BufPot*BM74</f>
        <v>0</v>
      </c>
      <c r="BS74" s="20" t="n">
        <f aca="false">IF(AND(BK74=1,Slot5_IsMfree=1),IF(BP74&gt;=Slot5_Cost-1,0,MAX(0,BI74-BP74)),BI74)</f>
        <v>0</v>
      </c>
      <c r="BT74" s="20" t="n">
        <f aca="false">BK74*(Slot5_Cost-BP74)</f>
        <v>0</v>
      </c>
      <c r="BU74" s="20" t="n">
        <f aca="false">IF(AND(Slot6_On=1,D74=Slot6_Age),1,0)</f>
        <v>0</v>
      </c>
      <c r="BV74" s="20" t="n">
        <f aca="false">IF(AND(Slot6_On=1,Slot6_Age&gt;D74),1,0)</f>
        <v>0</v>
      </c>
      <c r="BW74" s="20" t="n">
        <f aca="false">RG73</f>
        <v>0</v>
      </c>
      <c r="BX74" s="20" t="n">
        <f aca="false">BU74*MIN(Slot6_Cost,BW74)</f>
        <v>0</v>
      </c>
      <c r="BY74" s="20" t="n">
        <f aca="false">BU74*Slot6_SpendLike*MIN(Slot6_Cost-BX74,BQ74)</f>
        <v>0</v>
      </c>
      <c r="BZ74" s="20" t="n">
        <f aca="false">BX74+BY74</f>
        <v>0</v>
      </c>
      <c r="CA74" s="20" t="n">
        <f aca="false">BQ74-BY74+BU74*IF(Slot6_SpendLike=1,BW74-BX74,IF(Slot6_PotFree=1,BW74,0))</f>
        <v>0</v>
      </c>
      <c r="CB74" s="20" t="n">
        <f aca="false">BR74+BU74*Slot6_BufPot*BW74</f>
        <v>0</v>
      </c>
      <c r="CC74" s="20" t="n">
        <f aca="false">IF(AND(BU74=1,Slot6_IsMfree=1),IF(BZ74&gt;=Slot6_Cost-1,0,MAX(0,BS74-BZ74)),BS74)</f>
        <v>0</v>
      </c>
      <c r="CD74" s="20" t="n">
        <f aca="false">BU74*(Slot6_Cost-BZ74)</f>
        <v>0</v>
      </c>
      <c r="CE74" s="20" t="n">
        <f aca="false">IF(AND(Slot7_On=1,D74=Slot7_Age),1,0)</f>
        <v>0</v>
      </c>
      <c r="CF74" s="20" t="n">
        <f aca="false">IF(AND(Slot7_On=1,Slot7_Age&gt;D74),1,0)</f>
        <v>0</v>
      </c>
      <c r="CG74" s="20" t="n">
        <f aca="false">RK73</f>
        <v>0</v>
      </c>
      <c r="CH74" s="20" t="n">
        <f aca="false">CE74*MIN(Slot7_Cost,CG74)</f>
        <v>0</v>
      </c>
      <c r="CI74" s="20" t="n">
        <f aca="false">CE74*Slot7_SpendLike*MIN(Slot7_Cost-CH74,CA74)</f>
        <v>0</v>
      </c>
      <c r="CJ74" s="20" t="n">
        <f aca="false">CH74+CI74</f>
        <v>0</v>
      </c>
      <c r="CK74" s="20" t="n">
        <f aca="false">CA74-CI74+CE74*IF(Slot7_SpendLike=1,CG74-CH74,IF(Slot7_PotFree=1,CG74,0))</f>
        <v>0</v>
      </c>
      <c r="CL74" s="20" t="n">
        <f aca="false">CB74+CE74*Slot7_BufPot*CG74</f>
        <v>0</v>
      </c>
      <c r="CM74" s="20" t="n">
        <f aca="false">IF(AND(CE74=1,Slot7_IsMfree=1),IF(CJ74&gt;=Slot7_Cost-1,0,MAX(0,CC74-CJ74)),CC74)</f>
        <v>0</v>
      </c>
      <c r="CN74" s="20" t="n">
        <f aca="false">CE74*(Slot7_Cost-CJ74)</f>
        <v>0</v>
      </c>
      <c r="CO74" s="20" t="n">
        <f aca="false">IF(AND(Slot8_On=1,D74=Slot8_Age),1,0)</f>
        <v>0</v>
      </c>
      <c r="CP74" s="20" t="n">
        <f aca="false">IF(AND(Slot8_On=1,Slot8_Age&gt;D74),1,0)</f>
        <v>0</v>
      </c>
      <c r="CQ74" s="20" t="n">
        <f aca="false">RO73</f>
        <v>0</v>
      </c>
      <c r="CR74" s="20" t="n">
        <f aca="false">CO74*MIN(Slot8_Cost,CQ74)</f>
        <v>0</v>
      </c>
      <c r="CS74" s="20" t="n">
        <f aca="false">CO74*Slot8_SpendLike*MIN(Slot8_Cost-CR74,CK74)</f>
        <v>0</v>
      </c>
      <c r="CT74" s="20" t="n">
        <f aca="false">CR74+CS74</f>
        <v>0</v>
      </c>
      <c r="CU74" s="20" t="n">
        <f aca="false">CK74-CS74+CO74*IF(Slot8_SpendLike=1,CQ74-CR74,IF(Slot8_PotFree=1,CQ74,0))</f>
        <v>0</v>
      </c>
      <c r="CV74" s="20" t="n">
        <f aca="false">CL74+CO74*Slot8_BufPot*CQ74</f>
        <v>0</v>
      </c>
      <c r="CW74" s="20" t="n">
        <f aca="false">IF(AND(CO74=1,Slot8_IsMfree=1),IF(CT74&gt;=Slot8_Cost-1,0,MAX(0,CM74-CT74)),CM74)</f>
        <v>0</v>
      </c>
      <c r="CX74" s="20" t="n">
        <f aca="false">CO74*(Slot8_Cost-CT74)</f>
        <v>0</v>
      </c>
      <c r="CY74" s="20" t="n">
        <f aca="false">IF(AND(Slot9_On=1,D74=Slot9_Age),1,0)</f>
        <v>0</v>
      </c>
      <c r="CZ74" s="20" t="n">
        <f aca="false">IF(AND(Slot9_On=1,Slot9_Age&gt;D74),1,0)</f>
        <v>0</v>
      </c>
      <c r="DA74" s="20" t="n">
        <f aca="false">RS73</f>
        <v>0</v>
      </c>
      <c r="DB74" s="20" t="n">
        <f aca="false">CY74*MIN(Slot9_Cost,DA74)</f>
        <v>0</v>
      </c>
      <c r="DC74" s="20" t="n">
        <f aca="false">CY74*Slot9_SpendLike*MIN(Slot9_Cost-DB74,CU74)</f>
        <v>0</v>
      </c>
      <c r="DD74" s="20" t="n">
        <f aca="false">DB74+DC74</f>
        <v>0</v>
      </c>
      <c r="DE74" s="20" t="n">
        <f aca="false">CU74-DC74+CY74*IF(Slot9_SpendLike=1,DA74-DB74,IF(Slot9_PotFree=1,DA74,0))</f>
        <v>0</v>
      </c>
      <c r="DF74" s="20" t="n">
        <f aca="false">CV74+CY74*Slot9_BufPot*DA74</f>
        <v>0</v>
      </c>
      <c r="DG74" s="20" t="n">
        <f aca="false">IF(AND(CY74=1,Slot9_IsMfree=1),IF(DD74&gt;=Slot9_Cost-1,0,MAX(0,CW74-DD74)),CW74)</f>
        <v>0</v>
      </c>
      <c r="DH74" s="20" t="n">
        <f aca="false">CY74*(Slot9_Cost-DD74)</f>
        <v>0</v>
      </c>
      <c r="DI74" s="20" t="n">
        <f aca="false">IF(AND(Slot10_On=1,D74=Slot10_Age),1,0)</f>
        <v>0</v>
      </c>
      <c r="DJ74" s="20" t="n">
        <f aca="false">IF(AND(Slot10_On=1,Slot10_Age&gt;D74),1,0)</f>
        <v>0</v>
      </c>
      <c r="DK74" s="20" t="n">
        <f aca="false">RW73</f>
        <v>0</v>
      </c>
      <c r="DL74" s="20" t="n">
        <f aca="false">DI74*MIN(Slot10_Cost,DK74)</f>
        <v>0</v>
      </c>
      <c r="DM74" s="20" t="n">
        <f aca="false">DI74*Slot10_SpendLike*MIN(Slot10_Cost-DL74,DE74)</f>
        <v>0</v>
      </c>
      <c r="DN74" s="20" t="n">
        <f aca="false">DL74+DM74</f>
        <v>0</v>
      </c>
      <c r="DO74" s="20" t="n">
        <f aca="false">DE74-DM74+DI74*IF(Slot10_SpendLike=1,DK74-DL74,IF(Slot10_PotFree=1,DK74,0))</f>
        <v>0</v>
      </c>
      <c r="DP74" s="20" t="n">
        <f aca="false">DF74+DI74*Slot10_BufPot*DK74</f>
        <v>0</v>
      </c>
      <c r="DQ74" s="20" t="n">
        <f aca="false">IF(AND(DI74=1,Slot10_IsMfree=1),IF(DN74&gt;=Slot10_Cost-1,0,MAX(0,DG74-DN74)),DG74)</f>
        <v>0</v>
      </c>
      <c r="DR74" s="20" t="n">
        <f aca="false">DI74*(Slot10_Cost-DN74)</f>
        <v>0</v>
      </c>
      <c r="DS74" s="20" t="n">
        <f aca="false">IF(AND(Slot11_On=1,D74=Slot11_Age),1,0)</f>
        <v>0</v>
      </c>
      <c r="DT74" s="20" t="n">
        <f aca="false">IF(AND(Slot11_On=1,Slot11_Age&gt;D74),1,0)</f>
        <v>0</v>
      </c>
      <c r="DU74" s="20" t="n">
        <f aca="false">SA73</f>
        <v>0</v>
      </c>
      <c r="DV74" s="20" t="n">
        <f aca="false">DS74*MIN(Slot11_Cost,DU74)</f>
        <v>0</v>
      </c>
      <c r="DW74" s="20" t="n">
        <f aca="false">DS74*Slot11_SpendLike*MIN(Slot11_Cost-DV74,DO74)</f>
        <v>0</v>
      </c>
      <c r="DX74" s="20" t="n">
        <f aca="false">DV74+DW74</f>
        <v>0</v>
      </c>
      <c r="DY74" s="20" t="n">
        <f aca="false">DO74-DW74+DS74*IF(Slot11_SpendLike=1,DU74-DV74,IF(Slot11_PotFree=1,DU74,0))</f>
        <v>0</v>
      </c>
      <c r="DZ74" s="20" t="n">
        <f aca="false">DP74+DS74*Slot11_BufPot*DU74</f>
        <v>0</v>
      </c>
      <c r="EA74" s="20" t="n">
        <f aca="false">IF(AND(DS74=1,Slot11_IsMfree=1),IF(DX74&gt;=Slot11_Cost-1,0,MAX(0,DQ74-DX74)),DQ74)</f>
        <v>0</v>
      </c>
      <c r="EB74" s="20" t="n">
        <f aca="false">DS74*(Slot11_Cost-DX74)</f>
        <v>0</v>
      </c>
      <c r="EC74" s="20" t="n">
        <f aca="false">IF(AND(Slot12_On=1,D74=Slot12_Age),1,0)</f>
        <v>0</v>
      </c>
      <c r="ED74" s="20" t="n">
        <f aca="false">IF(AND(Slot12_On=1,Slot12_Age&gt;D74),1,0)</f>
        <v>0</v>
      </c>
      <c r="EE74" s="20" t="n">
        <f aca="false">SE73</f>
        <v>0</v>
      </c>
      <c r="EF74" s="20" t="n">
        <f aca="false">EC74*MIN(Slot12_Cost,EE74)</f>
        <v>0</v>
      </c>
      <c r="EG74" s="20" t="n">
        <f aca="false">EC74*Slot12_SpendLike*MIN(Slot12_Cost-EF74,DY74)</f>
        <v>0</v>
      </c>
      <c r="EH74" s="20" t="n">
        <f aca="false">EF74+EG74</f>
        <v>0</v>
      </c>
      <c r="EI74" s="20" t="n">
        <f aca="false">DY74-EG74+EC74*IF(Slot12_SpendLike=1,EE74-EF74,IF(Slot12_PotFree=1,EE74,0))</f>
        <v>0</v>
      </c>
      <c r="EJ74" s="20" t="n">
        <f aca="false">DZ74+EC74*Slot12_BufPot*EE74</f>
        <v>0</v>
      </c>
      <c r="EK74" s="20" t="n">
        <f aca="false">IF(AND(EC74=1,Slot12_IsMfree=1),IF(EH74&gt;=Slot12_Cost-1,0,MAX(0,EA74-EH74)),EA74)</f>
        <v>0</v>
      </c>
      <c r="EL74" s="20" t="n">
        <f aca="false">EC74*(Slot12_Cost-EH74)</f>
        <v>0</v>
      </c>
      <c r="EM74" s="20" t="n">
        <f aca="false">IF(AND(Slot13_On=1,D74=Slot13_Age),1,0)</f>
        <v>0</v>
      </c>
      <c r="EN74" s="20" t="n">
        <f aca="false">IF(AND(Slot13_On=1,Slot13_Age&gt;D74),1,0)</f>
        <v>0</v>
      </c>
      <c r="EO74" s="20" t="n">
        <f aca="false">SI73</f>
        <v>0</v>
      </c>
      <c r="EP74" s="20" t="n">
        <f aca="false">EM74*MIN(Slot13_Cost,EO74)</f>
        <v>0</v>
      </c>
      <c r="EQ74" s="20" t="n">
        <f aca="false">EM74*Slot13_SpendLike*MIN(Slot13_Cost-EP74,EI74)</f>
        <v>0</v>
      </c>
      <c r="ER74" s="20" t="n">
        <f aca="false">EP74+EQ74</f>
        <v>0</v>
      </c>
      <c r="ES74" s="20" t="n">
        <f aca="false">EI74-EQ74+EM74*IF(Slot13_SpendLike=1,EO74-EP74,IF(Slot13_PotFree=1,EO74,0))</f>
        <v>0</v>
      </c>
      <c r="ET74" s="20" t="n">
        <f aca="false">EJ74+EM74*Slot13_BufPot*EO74</f>
        <v>0</v>
      </c>
      <c r="EU74" s="20" t="n">
        <f aca="false">IF(AND(EM74=1,Slot13_IsMfree=1),IF(ER74&gt;=Slot13_Cost-1,0,MAX(0,EK74-ER74)),EK74)</f>
        <v>0</v>
      </c>
      <c r="EV74" s="20" t="n">
        <f aca="false">EM74*(Slot13_Cost-ER74)</f>
        <v>0</v>
      </c>
      <c r="EW74" s="20" t="n">
        <f aca="false">IF(AND(Slot14_On=1,D74=Slot14_Age),1,0)</f>
        <v>0</v>
      </c>
      <c r="EX74" s="20" t="n">
        <f aca="false">IF(AND(Slot14_On=1,Slot14_Age&gt;D74),1,0)</f>
        <v>0</v>
      </c>
      <c r="EY74" s="20" t="n">
        <f aca="false">SM73</f>
        <v>0</v>
      </c>
      <c r="EZ74" s="20" t="n">
        <f aca="false">EW74*MIN(Slot14_Cost,EY74)</f>
        <v>0</v>
      </c>
      <c r="FA74" s="20" t="n">
        <f aca="false">EW74*Slot14_SpendLike*MIN(Slot14_Cost-EZ74,ES74)</f>
        <v>0</v>
      </c>
      <c r="FB74" s="20" t="n">
        <f aca="false">EZ74+FA74</f>
        <v>0</v>
      </c>
      <c r="FC74" s="20" t="n">
        <f aca="false">ES74-FA74+EW74*IF(Slot14_SpendLike=1,EY74-EZ74,IF(Slot14_PotFree=1,EY74,0))</f>
        <v>0</v>
      </c>
      <c r="FD74" s="20" t="n">
        <f aca="false">ET74+EW74*Slot14_BufPot*EY74</f>
        <v>0</v>
      </c>
      <c r="FE74" s="20" t="n">
        <f aca="false">IF(AND(EW74=1,Slot14_IsMfree=1),IF(FB74&gt;=Slot14_Cost-1,0,MAX(0,EU74-FB74)),EU74)</f>
        <v>0</v>
      </c>
      <c r="FF74" s="20" t="n">
        <f aca="false">EW74*(Slot14_Cost-FB74)</f>
        <v>0</v>
      </c>
      <c r="FG74" s="20" t="n">
        <f aca="false">IF(AND(Slot15_On=1,D74=Slot15_Age),1,0)</f>
        <v>0</v>
      </c>
      <c r="FH74" s="20" t="n">
        <f aca="false">IF(AND(Slot15_On=1,Slot15_Age&gt;D74),1,0)</f>
        <v>0</v>
      </c>
      <c r="FI74" s="20" t="n">
        <f aca="false">SQ73</f>
        <v>0</v>
      </c>
      <c r="FJ74" s="20" t="n">
        <f aca="false">FG74*MIN(Slot15_Cost,FI74)</f>
        <v>0</v>
      </c>
      <c r="FK74" s="20" t="n">
        <f aca="false">FG74*Slot15_SpendLike*MIN(Slot15_Cost-FJ74,FC74)</f>
        <v>0</v>
      </c>
      <c r="FL74" s="20" t="n">
        <f aca="false">FJ74+FK74</f>
        <v>0</v>
      </c>
      <c r="FM74" s="20" t="n">
        <f aca="false">FC74-FK74+FG74*IF(Slot15_SpendLike=1,FI74-FJ74,IF(Slot15_PotFree=1,FI74,0))</f>
        <v>0</v>
      </c>
      <c r="FN74" s="20" t="n">
        <f aca="false">FD74+FG74*Slot15_BufPot*FI74</f>
        <v>0</v>
      </c>
      <c r="FO74" s="20" t="n">
        <f aca="false">IF(AND(FG74=1,Slot15_IsMfree=1),IF(FL74&gt;=Slot15_Cost-1,0,MAX(0,FE74-FL74)),FE74)</f>
        <v>0</v>
      </c>
      <c r="FP74" s="20" t="n">
        <f aca="false">FG74*(Slot15_Cost-FL74)</f>
        <v>0</v>
      </c>
      <c r="FQ74" s="20" t="n">
        <f aca="false">IF(AND(Slot16_On=1,D74=Slot16_Age),1,0)</f>
        <v>0</v>
      </c>
      <c r="FR74" s="20" t="n">
        <f aca="false">IF(AND(Slot16_On=1,Slot16_Age&gt;D74),1,0)</f>
        <v>0</v>
      </c>
      <c r="FS74" s="20" t="n">
        <f aca="false">SU73</f>
        <v>0</v>
      </c>
      <c r="FT74" s="20" t="n">
        <f aca="false">FQ74*MIN(Slot16_Cost,FS74)</f>
        <v>0</v>
      </c>
      <c r="FU74" s="20" t="n">
        <f aca="false">FQ74*Slot16_SpendLike*MIN(Slot16_Cost-FT74,FM74)</f>
        <v>0</v>
      </c>
      <c r="FV74" s="20" t="n">
        <f aca="false">FT74+FU74</f>
        <v>0</v>
      </c>
      <c r="FW74" s="20" t="n">
        <f aca="false">FM74-FU74+FQ74*IF(Slot16_SpendLike=1,FS74-FT74,IF(Slot16_PotFree=1,FS74,0))</f>
        <v>0</v>
      </c>
      <c r="FX74" s="20" t="n">
        <f aca="false">FN74+FQ74*Slot16_BufPot*FS74</f>
        <v>0</v>
      </c>
      <c r="FY74" s="20" t="n">
        <f aca="false">IF(AND(FQ74=1,Slot16_IsMfree=1),IF(FV74&gt;=Slot16_Cost-1,0,MAX(0,FO74-FV74)),FO74)</f>
        <v>0</v>
      </c>
      <c r="FZ74" s="20" t="n">
        <f aca="false">FQ74*(Slot16_Cost-FV74)</f>
        <v>0</v>
      </c>
      <c r="GA74" s="20" t="n">
        <f aca="false">IF(AND(Slot17_On=1,D74=Slot17_Age),1,0)</f>
        <v>0</v>
      </c>
      <c r="GB74" s="20" t="n">
        <f aca="false">IF(AND(Slot17_On=1,Slot17_Age&gt;D74),1,0)</f>
        <v>0</v>
      </c>
      <c r="GC74" s="20" t="n">
        <f aca="false">SY73</f>
        <v>0</v>
      </c>
      <c r="GD74" s="20" t="n">
        <f aca="false">GA74*MIN(Slot17_Cost,GC74)</f>
        <v>0</v>
      </c>
      <c r="GE74" s="20" t="n">
        <f aca="false">GA74*Slot17_SpendLike*MIN(Slot17_Cost-GD74,FW74)</f>
        <v>0</v>
      </c>
      <c r="GF74" s="20" t="n">
        <f aca="false">GD74+GE74</f>
        <v>0</v>
      </c>
      <c r="GG74" s="20" t="n">
        <f aca="false">FW74-GE74+GA74*IF(Slot17_SpendLike=1,GC74-GD74,IF(Slot17_PotFree=1,GC74,0))</f>
        <v>0</v>
      </c>
      <c r="GH74" s="20" t="n">
        <f aca="false">FX74+GA74*Slot17_BufPot*GC74</f>
        <v>0</v>
      </c>
      <c r="GI74" s="20" t="n">
        <f aca="false">IF(AND(GA74=1,Slot17_IsMfree=1),IF(GF74&gt;=Slot17_Cost-1,0,MAX(0,FY74-GF74)),FY74)</f>
        <v>0</v>
      </c>
      <c r="GJ74" s="20" t="n">
        <f aca="false">GA74*(Slot17_Cost-GF74)</f>
        <v>0</v>
      </c>
      <c r="GK74" s="20" t="n">
        <f aca="false">IF(AND(Slot18_On=1,D74=Slot18_Age),1,0)</f>
        <v>0</v>
      </c>
      <c r="GL74" s="20" t="n">
        <f aca="false">IF(AND(Slot18_On=1,Slot18_Age&gt;D74),1,0)</f>
        <v>0</v>
      </c>
      <c r="GM74" s="20" t="n">
        <f aca="false">TC73</f>
        <v>0</v>
      </c>
      <c r="GN74" s="20" t="n">
        <f aca="false">GK74*MIN(Slot18_Cost,GM74)</f>
        <v>0</v>
      </c>
      <c r="GO74" s="20" t="n">
        <f aca="false">GK74*Slot18_SpendLike*MIN(Slot18_Cost-GN74,GG74)</f>
        <v>0</v>
      </c>
      <c r="GP74" s="20" t="n">
        <f aca="false">GN74+GO74</f>
        <v>0</v>
      </c>
      <c r="GQ74" s="20" t="n">
        <f aca="false">GG74-GO74+GK74*IF(Slot18_SpendLike=1,GM74-GN74,IF(Slot18_PotFree=1,GM74,0))</f>
        <v>0</v>
      </c>
      <c r="GR74" s="20" t="n">
        <f aca="false">GH74+GK74*Slot18_BufPot*GM74</f>
        <v>0</v>
      </c>
      <c r="GS74" s="20" t="n">
        <f aca="false">IF(AND(GK74=1,Slot18_IsMfree=1),IF(GP74&gt;=Slot18_Cost-1,0,MAX(0,GI74-GP74)),GI74)</f>
        <v>0</v>
      </c>
      <c r="GT74" s="20" t="n">
        <f aca="false">GK74*(Slot18_Cost-GP74)</f>
        <v>0</v>
      </c>
      <c r="GU74" s="20" t="n">
        <f aca="false">IF(AND(Slot19_On=1,D74=Slot19_Age),1,0)</f>
        <v>0</v>
      </c>
      <c r="GV74" s="20" t="n">
        <f aca="false">IF(AND(Slot19_On=1,Slot19_Age&gt;D74),1,0)</f>
        <v>0</v>
      </c>
      <c r="GW74" s="20" t="n">
        <f aca="false">TG73</f>
        <v>0</v>
      </c>
      <c r="GX74" s="20" t="n">
        <f aca="false">GU74*MIN(Slot19_Cost,GW74)</f>
        <v>0</v>
      </c>
      <c r="GY74" s="20" t="n">
        <f aca="false">GU74*Slot19_SpendLike*MIN(Slot19_Cost-GX74,GQ74)</f>
        <v>0</v>
      </c>
      <c r="GZ74" s="20" t="n">
        <f aca="false">GX74+GY74</f>
        <v>0</v>
      </c>
      <c r="HA74" s="20" t="n">
        <f aca="false">GQ74-GY74+GU74*IF(Slot19_SpendLike=1,GW74-GX74,IF(Slot19_PotFree=1,GW74,0))</f>
        <v>0</v>
      </c>
      <c r="HB74" s="20" t="n">
        <f aca="false">GR74+GU74*Slot19_BufPot*GW74</f>
        <v>0</v>
      </c>
      <c r="HC74" s="20" t="n">
        <f aca="false">IF(AND(GU74=1,Slot19_IsMfree=1),IF(GZ74&gt;=Slot19_Cost-1,0,MAX(0,GS74-GZ74)),GS74)</f>
        <v>0</v>
      </c>
      <c r="HD74" s="20" t="n">
        <f aca="false">GU74*(Slot19_Cost-GZ74)</f>
        <v>0</v>
      </c>
      <c r="HE74" s="20" t="n">
        <f aca="false">IF(AND(Slot20_On=1,D74=Slot20_Age),1,0)</f>
        <v>0</v>
      </c>
      <c r="HF74" s="20" t="n">
        <f aca="false">IF(AND(Slot20_On=1,Slot20_Age&gt;D74),1,0)</f>
        <v>0</v>
      </c>
      <c r="HG74" s="20" t="n">
        <f aca="false">TK73</f>
        <v>0</v>
      </c>
      <c r="HH74" s="20" t="n">
        <f aca="false">HE74*MIN(Slot20_Cost,HG74)</f>
        <v>0</v>
      </c>
      <c r="HI74" s="20" t="n">
        <f aca="false">HE74*Slot20_SpendLike*MIN(Slot20_Cost-HH74,HA74)</f>
        <v>0</v>
      </c>
      <c r="HJ74" s="20" t="n">
        <f aca="false">HH74+HI74</f>
        <v>0</v>
      </c>
      <c r="HK74" s="20" t="n">
        <f aca="false">HA74-HI74+HE74*IF(Slot20_SpendLike=1,HG74-HH74,IF(Slot20_PotFree=1,HG74,0))</f>
        <v>0</v>
      </c>
      <c r="HL74" s="20" t="n">
        <f aca="false">HB74+HE74*Slot20_BufPot*HG74</f>
        <v>0</v>
      </c>
      <c r="HM74" s="20" t="n">
        <f aca="false">IF(AND(HE74=1,Slot20_IsMfree=1),IF(HJ74&gt;=Slot20_Cost-1,0,MAX(0,HC74-HJ74)),HC74)</f>
        <v>0</v>
      </c>
      <c r="HN74" s="20" t="n">
        <f aca="false">HE74*(Slot20_Cost-HJ74)</f>
        <v>0</v>
      </c>
      <c r="HO74" s="20" t="n">
        <f aca="false">V74*Slot1_SpendLike*AA74+AG74*Slot2_SpendLike*AL74+AQ74*Slot3_SpendLike*AV74+BA74*Slot4_SpendLike*BF74+BK74*Slot5_SpendLike*BP74+BU74*Slot6_SpendLike*BZ74+CE74*Slot7_SpendLike*CJ74+CO74*Slot8_SpendLike*CT74+CY74*Slot9_SpendLike*DD74+DI74*Slot10_SpendLike*DN74+DS74*Slot11_SpendLike*DX74+EC74*Slot12_SpendLike*EH74+EM74*Slot13_SpendLike*ER74+EW74*Slot14_SpendLike*FB74+FG74*Slot15_SpendLike*FL74+FQ74*Slot16_SpendLike*FV74+GA74*Slot17_SpendLike*GF74+GK74*Slot18_SpendLike*GP74+GU74*Slot19_SpendLike*GZ74+HE74*Slot20_SpendLike*HJ74</f>
        <v>0</v>
      </c>
      <c r="HP74" s="20" t="n">
        <f aca="false">AE74+AP74+AZ74+BJ74+BT74+CD74+CN74+CX74+DH74+DR74+EB74+EL74+EV74+FF74+FP74+FZ74+GJ74+GT74+HD74+HN74</f>
        <v>0</v>
      </c>
      <c r="HQ74" s="20" t="n">
        <f aca="false">V74*Slot1_Cost+AG74*Slot2_Cost+AQ74*Slot3_Cost+BA74*Slot4_Cost+BK74*Slot5_Cost+BU74*Slot6_Cost+CE74*Slot7_Cost+CO74*Slot8_Cost+CY74*Slot9_Cost+DI74*Slot10_Cost+DS74*Slot11_Cost+EC74*Slot12_Cost+EM74*Slot13_Cost+EW74*Slot14_Cost+FG74*Slot15_Cost+FQ74*Slot16_Cost+GA74*Slot17_Cost+GK74*Slot18_Cost+GU74*Slot19_Cost+HE74*Slot20_Cost</f>
        <v>0</v>
      </c>
      <c r="HR74" s="20" t="n">
        <f aca="false">HM74</f>
        <v>0</v>
      </c>
      <c r="HS74" s="20" t="n">
        <f aca="false">H74-I74-S74</f>
        <v>-71185.5872181875</v>
      </c>
      <c r="HT74" s="20" t="n">
        <f aca="false">IF(B74=0,IF(AND(Has_q6=1,In_q6=4),PR_ShareVaries*(MAX(0,HS74)/12),MIN(IF(Has_q6=1,CHOOSE(In_q6+1,PR_SaveB1,PR_SaveB2,PR_SaveB3,PR_SaveB4,0),AS_NoAnswer),AS_SaveShare*(MAX(0,HS74)/12))),HT73)</f>
        <v>67.3316893520437</v>
      </c>
      <c r="HU74" s="20" t="n">
        <f aca="false">IF(HS74&gt;=0,1,0)</f>
        <v>0</v>
      </c>
      <c r="HV74" s="20" t="n">
        <f aca="false">MAX(0,HS74/12/F74)</f>
        <v>0</v>
      </c>
      <c r="HW74" s="20" t="n">
        <f aca="false">IF(AND(Has_q6=1,In_q6=4),PR_ShareVaries*(HV74),MIN(IF(Has_q6=1,CHOOSE(In_q6+1,PR_SaveB1,PR_SaveB2,PR_SaveB3,PR_SaveB4,0),AS_NoAnswer),AS_SaveShare*(HV74)))</f>
        <v>0</v>
      </c>
      <c r="HX74" s="20" t="n">
        <f aca="false">IF(Has_saveM=1,IF(In_saveUp="Yes",1,IF(In_saveUp="No",0,IF(In_saveM&gt;=HT74-0.5,1,0))),0)</f>
        <v>0</v>
      </c>
      <c r="HY74" s="20" t="n">
        <f aca="false">IF(Has_saveM=1,MIN(HV74,IF(HX74=1,MAX(In_saveM,HW74),MIN(In_saveM,HW74))),HW74)</f>
        <v>0</v>
      </c>
      <c r="HZ74" s="20" t="n">
        <f aca="false">IF(G74=1,HY74*12*F74,0)</f>
        <v>0</v>
      </c>
      <c r="IA74" s="20" t="n">
        <f aca="false">MAX(0,HZ74+IF(AND(WI_Retire=0,WI_M&lt;0,G74=1),WI_M*12*F74,0))</f>
        <v>0</v>
      </c>
      <c r="IB74" s="20" t="n">
        <f aca="false">Slot1_IsWG*W74+Slot2_IsWG*AH74+Slot3_IsWG*AR74+Slot4_IsWG*BB74+Slot5_IsWG*BL74+Slot6_IsWG*BV74+Slot7_IsWG*CF74+Slot8_IsWG*CP74+Slot9_IsWG*CZ74+Slot10_IsWG*DJ74+Slot11_IsWG*DT74+Slot12_IsWG*ED74+Slot13_IsWG*EN74+Slot14_IsWG*EX74+Slot15_IsWG*FH74+Slot16_IsWG*FR74+Slot17_IsWG*GB74+Slot18_IsWG*GL74+Slot19_IsWG*GV74+Slot20_IsWG*HF74</f>
        <v>0</v>
      </c>
      <c r="IC74" s="20" t="n">
        <f aca="false">IF(AND(WI_Retire=0,WI_M&gt;0,G74=1,IB74&gt;=1),WI_M*12*F74,0)</f>
        <v>0</v>
      </c>
      <c r="ID74" s="20" t="n">
        <f aca="false">IF(HU74=1,MIN(IA74,HS74),0)</f>
        <v>0</v>
      </c>
      <c r="IE74" s="20" t="n">
        <f aca="false">IF(HU74=1,MIN(IC74,HS74-ID74),0)</f>
        <v>0</v>
      </c>
      <c r="IF74" s="20" t="n">
        <f aca="false">IF(W74=1,IF(ABS((1+AS_Wage)/(1+Slot1_Rate)-1)&lt;0.000000000001,(Slot1_Age-D74)*(1+Slot1_Rate)^(Slot1_Age-D74),(1+Slot1_Rate)^(Slot1_Age-D74)*(1-((1+AS_Wage)/(1+Slot1_Rate))^(Slot1_Age-D74))/(1-(1+AS_Wage)/(1+Slot1_Rate))),1)</f>
        <v>1</v>
      </c>
      <c r="IG74" s="20" t="n">
        <f aca="false">IF(AND(HU74=1,IE74&gt;0,Slot1_IsWG=1,W74=1),MAX(0,(Slot1_Cost-X74*(1+Slot1_Rate)^(Slot1_Age-D74))/IF74),0)</f>
        <v>0</v>
      </c>
      <c r="IH74" s="20" t="n">
        <f aca="false">IF(AND(HU74=1,IE74&gt;0,Slot1_IsWG=1,W74=1),MIN(IE74,IG74),0)</f>
        <v>0</v>
      </c>
      <c r="II74" s="20" t="n">
        <f aca="false">X74+IH74</f>
        <v>0</v>
      </c>
      <c r="IJ74" s="20" t="n">
        <f aca="false">IF(W74=1,MAX(0,(Slot1_Cost-II74*(1+Slot1_Rate)^(Slot1_Age-D74))/IF74),0)</f>
        <v>0</v>
      </c>
      <c r="IK74" s="20" t="n">
        <f aca="false">IF(W74=1,MAX(0,(Slot1_Cost-X74*(1+Slot1_Rate)^(Slot1_Age-D74))/IF74),0)</f>
        <v>0</v>
      </c>
      <c r="IL74" s="20" t="n">
        <f aca="false">IF(AND(HU74=1,W74=1),MIN(ID74,IJ74),0)</f>
        <v>0</v>
      </c>
      <c r="IM74" s="20" t="n">
        <f aca="false">ID74-IL74</f>
        <v>0</v>
      </c>
      <c r="IN74" s="20" t="n">
        <f aca="false">IF(AH74=1,IF(ABS((1+AS_Wage)/(1+Slot2_Rate)-1)&lt;0.000000000001,(Slot2_Age-D74)*(1+Slot2_Rate)^(Slot2_Age-D74),(1+Slot2_Rate)^(Slot2_Age-D74)*(1-((1+AS_Wage)/(1+Slot2_Rate))^(Slot2_Age-D74))/(1-(1+AS_Wage)/(1+Slot2_Rate))),1)</f>
        <v>1</v>
      </c>
      <c r="IO74" s="20" t="n">
        <f aca="false">IF(AND(HU74=1,IE74&gt;0,Slot2_IsWG=1,AH74=1),MAX(0,(Slot2_Cost-AI74*(1+Slot2_Rate)^(Slot2_Age-D74))/IN74),0)</f>
        <v>0</v>
      </c>
      <c r="IP74" s="20" t="n">
        <f aca="false">IF(AND(HU74=1,IE74&gt;0,Slot2_IsWG=1,AH74=1),MIN(IE74,IO74),0)</f>
        <v>0</v>
      </c>
      <c r="IQ74" s="20" t="n">
        <f aca="false">AI74+IP74</f>
        <v>0</v>
      </c>
      <c r="IR74" s="20" t="n">
        <f aca="false">IF(AH74=1,MAX(0,(Slot2_Cost-IQ74*(1+Slot2_Rate)^(Slot2_Age-D74))/IN74),0)</f>
        <v>0</v>
      </c>
      <c r="IS74" s="20" t="n">
        <f aca="false">IF(AH74=1,MAX(0,(Slot2_Cost-AI74*(1+Slot2_Rate)^(Slot2_Age-D74))/IN74),0)</f>
        <v>0</v>
      </c>
      <c r="IT74" s="20" t="n">
        <f aca="false">IF(AND(HU74=1,AH74=1),MIN(IM74,IR74),0)</f>
        <v>0</v>
      </c>
      <c r="IU74" s="20" t="n">
        <f aca="false">IM74-IT74</f>
        <v>0</v>
      </c>
      <c r="IV74" s="20" t="n">
        <f aca="false">IF(AR74=1,IF(ABS((1+AS_Wage)/(1+Slot3_Rate)-1)&lt;0.000000000001,(Slot3_Age-D74)*(1+Slot3_Rate)^(Slot3_Age-D74),(1+Slot3_Rate)^(Slot3_Age-D74)*(1-((1+AS_Wage)/(1+Slot3_Rate))^(Slot3_Age-D74))/(1-(1+AS_Wage)/(1+Slot3_Rate))),1)</f>
        <v>1</v>
      </c>
      <c r="IW74" s="20" t="n">
        <f aca="false">IF(AND(HU74=1,IE74&gt;0,Slot3_IsWG=1,AR74=1),MAX(0,(Slot3_Cost-AS74*(1+Slot3_Rate)^(Slot3_Age-D74))/IV74),0)</f>
        <v>0</v>
      </c>
      <c r="IX74" s="20" t="n">
        <f aca="false">IF(AND(HU74=1,IE74&gt;0,Slot3_IsWG=1,AR74=1),MIN(IE74,IW74),0)</f>
        <v>0</v>
      </c>
      <c r="IY74" s="20" t="n">
        <f aca="false">AS74+IX74</f>
        <v>0</v>
      </c>
      <c r="IZ74" s="20" t="n">
        <f aca="false">IF(AR74=1,MAX(0,(Slot3_Cost-IY74*(1+Slot3_Rate)^(Slot3_Age-D74))/IV74),0)</f>
        <v>0</v>
      </c>
      <c r="JA74" s="20" t="n">
        <f aca="false">IF(AR74=1,MAX(0,(Slot3_Cost-AS74*(1+Slot3_Rate)^(Slot3_Age-D74))/IV74),0)</f>
        <v>0</v>
      </c>
      <c r="JB74" s="20" t="n">
        <f aca="false">IF(AND(HU74=1,AR74=1),MIN(IU74,IZ74),0)</f>
        <v>0</v>
      </c>
      <c r="JC74" s="20" t="n">
        <f aca="false">IU74-JB74</f>
        <v>0</v>
      </c>
      <c r="JD74" s="20" t="n">
        <f aca="false">IF(BB74=1,IF(ABS((1+AS_Wage)/(1+Slot4_Rate)-1)&lt;0.000000000001,(Slot4_Age-D74)*(1+Slot4_Rate)^(Slot4_Age-D74),(1+Slot4_Rate)^(Slot4_Age-D74)*(1-((1+AS_Wage)/(1+Slot4_Rate))^(Slot4_Age-D74))/(1-(1+AS_Wage)/(1+Slot4_Rate))),1)</f>
        <v>1</v>
      </c>
      <c r="JE74" s="20" t="n">
        <f aca="false">IF(AND(HU74=1,IE74&gt;0,Slot4_IsWG=1,BB74=1),MAX(0,(Slot4_Cost-BC74*(1+Slot4_Rate)^(Slot4_Age-D74))/JD74),0)</f>
        <v>0</v>
      </c>
      <c r="JF74" s="20" t="n">
        <f aca="false">IF(AND(HU74=1,IE74&gt;0,Slot4_IsWG=1,BB74=1),MIN(IE74,JE74),0)</f>
        <v>0</v>
      </c>
      <c r="JG74" s="20" t="n">
        <f aca="false">BC74+JF74</f>
        <v>0</v>
      </c>
      <c r="JH74" s="20" t="n">
        <f aca="false">IF(BB74=1,MAX(0,(Slot4_Cost-JG74*(1+Slot4_Rate)^(Slot4_Age-D74))/JD74),0)</f>
        <v>0</v>
      </c>
      <c r="JI74" s="20" t="n">
        <f aca="false">IF(BB74=1,MAX(0,(Slot4_Cost-BC74*(1+Slot4_Rate)^(Slot4_Age-D74))/JD74),0)</f>
        <v>0</v>
      </c>
      <c r="JJ74" s="20" t="n">
        <f aca="false">IF(AND(HU74=1,BB74=1),MIN(JC74,JH74),0)</f>
        <v>0</v>
      </c>
      <c r="JK74" s="20" t="n">
        <f aca="false">JC74-JJ74</f>
        <v>0</v>
      </c>
      <c r="JL74" s="20" t="n">
        <f aca="false">IF(BL74=1,IF(ABS((1+AS_Wage)/(1+Slot5_Rate)-1)&lt;0.000000000001,(Slot5_Age-D74)*(1+Slot5_Rate)^(Slot5_Age-D74),(1+Slot5_Rate)^(Slot5_Age-D74)*(1-((1+AS_Wage)/(1+Slot5_Rate))^(Slot5_Age-D74))/(1-(1+AS_Wage)/(1+Slot5_Rate))),1)</f>
        <v>1</v>
      </c>
      <c r="JM74" s="20" t="n">
        <f aca="false">IF(AND(HU74=1,IE74&gt;0,Slot5_IsWG=1,BL74=1),MAX(0,(Slot5_Cost-BM74*(1+Slot5_Rate)^(Slot5_Age-D74))/JL74),0)</f>
        <v>0</v>
      </c>
      <c r="JN74" s="20" t="n">
        <f aca="false">IF(AND(HU74=1,IE74&gt;0,Slot5_IsWG=1,BL74=1),MIN(IE74,JM74),0)</f>
        <v>0</v>
      </c>
      <c r="JO74" s="20" t="n">
        <f aca="false">BM74+JN74</f>
        <v>0</v>
      </c>
      <c r="JP74" s="20" t="n">
        <f aca="false">IF(BL74=1,MAX(0,(Slot5_Cost-JO74*(1+Slot5_Rate)^(Slot5_Age-D74))/JL74),0)</f>
        <v>0</v>
      </c>
      <c r="JQ74" s="20" t="n">
        <f aca="false">IF(BL74=1,MAX(0,(Slot5_Cost-BM74*(1+Slot5_Rate)^(Slot5_Age-D74))/JL74),0)</f>
        <v>0</v>
      </c>
      <c r="JR74" s="20" t="n">
        <f aca="false">IF(AND(HU74=1,BL74=1),MIN(JK74,JP74),0)</f>
        <v>0</v>
      </c>
      <c r="JS74" s="20" t="n">
        <f aca="false">JK74-JR74</f>
        <v>0</v>
      </c>
      <c r="JT74" s="20" t="n">
        <f aca="false">IF(BV74=1,IF(ABS((1+AS_Wage)/(1+Slot6_Rate)-1)&lt;0.000000000001,(Slot6_Age-D74)*(1+Slot6_Rate)^(Slot6_Age-D74),(1+Slot6_Rate)^(Slot6_Age-D74)*(1-((1+AS_Wage)/(1+Slot6_Rate))^(Slot6_Age-D74))/(1-(1+AS_Wage)/(1+Slot6_Rate))),1)</f>
        <v>1</v>
      </c>
      <c r="JU74" s="20" t="n">
        <f aca="false">IF(AND(HU74=1,IE74&gt;0,Slot6_IsWG=1,BV74=1),MAX(0,(Slot6_Cost-BW74*(1+Slot6_Rate)^(Slot6_Age-D74))/JT74),0)</f>
        <v>0</v>
      </c>
      <c r="JV74" s="20" t="n">
        <f aca="false">IF(AND(HU74=1,IE74&gt;0,Slot6_IsWG=1,BV74=1),MIN(IE74,JU74),0)</f>
        <v>0</v>
      </c>
      <c r="JW74" s="20" t="n">
        <f aca="false">BW74+JV74</f>
        <v>0</v>
      </c>
      <c r="JX74" s="20" t="n">
        <f aca="false">IF(BV74=1,MAX(0,(Slot6_Cost-JW74*(1+Slot6_Rate)^(Slot6_Age-D74))/JT74),0)</f>
        <v>0</v>
      </c>
      <c r="JY74" s="20" t="n">
        <f aca="false">IF(BV74=1,MAX(0,(Slot6_Cost-BW74*(1+Slot6_Rate)^(Slot6_Age-D74))/JT74),0)</f>
        <v>0</v>
      </c>
      <c r="JZ74" s="20" t="n">
        <f aca="false">IF(AND(HU74=1,BV74=1),MIN(JS74,JX74),0)</f>
        <v>0</v>
      </c>
      <c r="KA74" s="20" t="n">
        <f aca="false">JS74-JZ74</f>
        <v>0</v>
      </c>
      <c r="KB74" s="20" t="n">
        <f aca="false">IF(CF74=1,IF(ABS((1+AS_Wage)/(1+Slot7_Rate)-1)&lt;0.000000000001,(Slot7_Age-D74)*(1+Slot7_Rate)^(Slot7_Age-D74),(1+Slot7_Rate)^(Slot7_Age-D74)*(1-((1+AS_Wage)/(1+Slot7_Rate))^(Slot7_Age-D74))/(1-(1+AS_Wage)/(1+Slot7_Rate))),1)</f>
        <v>1</v>
      </c>
      <c r="KC74" s="20" t="n">
        <f aca="false">IF(AND(HU74=1,IE74&gt;0,Slot7_IsWG=1,CF74=1),MAX(0,(Slot7_Cost-CG74*(1+Slot7_Rate)^(Slot7_Age-D74))/KB74),0)</f>
        <v>0</v>
      </c>
      <c r="KD74" s="20" t="n">
        <f aca="false">IF(AND(HU74=1,IE74&gt;0,Slot7_IsWG=1,CF74=1),MIN(IE74,KC74),0)</f>
        <v>0</v>
      </c>
      <c r="KE74" s="20" t="n">
        <f aca="false">CG74+KD74</f>
        <v>0</v>
      </c>
      <c r="KF74" s="20" t="n">
        <f aca="false">IF(CF74=1,MAX(0,(Slot7_Cost-KE74*(1+Slot7_Rate)^(Slot7_Age-D74))/KB74),0)</f>
        <v>0</v>
      </c>
      <c r="KG74" s="20" t="n">
        <f aca="false">IF(CF74=1,MAX(0,(Slot7_Cost-CG74*(1+Slot7_Rate)^(Slot7_Age-D74))/KB74),0)</f>
        <v>0</v>
      </c>
      <c r="KH74" s="20" t="n">
        <f aca="false">IF(AND(HU74=1,CF74=1),MIN(KA74,KF74),0)</f>
        <v>0</v>
      </c>
      <c r="KI74" s="20" t="n">
        <f aca="false">KA74-KH74</f>
        <v>0</v>
      </c>
      <c r="KJ74" s="20" t="n">
        <f aca="false">IF(CP74=1,IF(ABS((1+AS_Wage)/(1+Slot8_Rate)-1)&lt;0.000000000001,(Slot8_Age-D74)*(1+Slot8_Rate)^(Slot8_Age-D74),(1+Slot8_Rate)^(Slot8_Age-D74)*(1-((1+AS_Wage)/(1+Slot8_Rate))^(Slot8_Age-D74))/(1-(1+AS_Wage)/(1+Slot8_Rate))),1)</f>
        <v>1</v>
      </c>
      <c r="KK74" s="20" t="n">
        <f aca="false">IF(AND(HU74=1,IE74&gt;0,Slot8_IsWG=1,CP74=1),MAX(0,(Slot8_Cost-CQ74*(1+Slot8_Rate)^(Slot8_Age-D74))/KJ74),0)</f>
        <v>0</v>
      </c>
      <c r="KL74" s="20" t="n">
        <f aca="false">IF(AND(HU74=1,IE74&gt;0,Slot8_IsWG=1,CP74=1),MIN(IE74,KK74),0)</f>
        <v>0</v>
      </c>
      <c r="KM74" s="20" t="n">
        <f aca="false">CQ74+KL74</f>
        <v>0</v>
      </c>
      <c r="KN74" s="20" t="n">
        <f aca="false">IF(CP74=1,MAX(0,(Slot8_Cost-KM74*(1+Slot8_Rate)^(Slot8_Age-D74))/KJ74),0)</f>
        <v>0</v>
      </c>
      <c r="KO74" s="20" t="n">
        <f aca="false">IF(CP74=1,MAX(0,(Slot8_Cost-CQ74*(1+Slot8_Rate)^(Slot8_Age-D74))/KJ74),0)</f>
        <v>0</v>
      </c>
      <c r="KP74" s="20" t="n">
        <f aca="false">IF(AND(HU74=1,CP74=1),MIN(KI74,KN74),0)</f>
        <v>0</v>
      </c>
      <c r="KQ74" s="20" t="n">
        <f aca="false">KI74-KP74</f>
        <v>0</v>
      </c>
      <c r="KR74" s="20" t="n">
        <f aca="false">IF(CZ74=1,IF(ABS((1+AS_Wage)/(1+Slot9_Rate)-1)&lt;0.000000000001,(Slot9_Age-D74)*(1+Slot9_Rate)^(Slot9_Age-D74),(1+Slot9_Rate)^(Slot9_Age-D74)*(1-((1+AS_Wage)/(1+Slot9_Rate))^(Slot9_Age-D74))/(1-(1+AS_Wage)/(1+Slot9_Rate))),1)</f>
        <v>1</v>
      </c>
      <c r="KS74" s="20" t="n">
        <f aca="false">IF(AND(HU74=1,IE74&gt;0,Slot9_IsWG=1,CZ74=1),MAX(0,(Slot9_Cost-DA74*(1+Slot9_Rate)^(Slot9_Age-D74))/KR74),0)</f>
        <v>0</v>
      </c>
      <c r="KT74" s="20" t="n">
        <f aca="false">IF(AND(HU74=1,IE74&gt;0,Slot9_IsWG=1,CZ74=1),MIN(IE74,KS74),0)</f>
        <v>0</v>
      </c>
      <c r="KU74" s="20" t="n">
        <f aca="false">DA74+KT74</f>
        <v>0</v>
      </c>
      <c r="KV74" s="20" t="n">
        <f aca="false">IF(CZ74=1,MAX(0,(Slot9_Cost-KU74*(1+Slot9_Rate)^(Slot9_Age-D74))/KR74),0)</f>
        <v>0</v>
      </c>
      <c r="KW74" s="20" t="n">
        <f aca="false">IF(CZ74=1,MAX(0,(Slot9_Cost-DA74*(1+Slot9_Rate)^(Slot9_Age-D74))/KR74),0)</f>
        <v>0</v>
      </c>
      <c r="KX74" s="20" t="n">
        <f aca="false">IF(AND(HU74=1,CZ74=1),MIN(KQ74,KV74),0)</f>
        <v>0</v>
      </c>
      <c r="KY74" s="20" t="n">
        <f aca="false">KQ74-KX74</f>
        <v>0</v>
      </c>
      <c r="KZ74" s="20" t="n">
        <f aca="false">IF(DJ74=1,IF(ABS((1+AS_Wage)/(1+Slot10_Rate)-1)&lt;0.000000000001,(Slot10_Age-D74)*(1+Slot10_Rate)^(Slot10_Age-D74),(1+Slot10_Rate)^(Slot10_Age-D74)*(1-((1+AS_Wage)/(1+Slot10_Rate))^(Slot10_Age-D74))/(1-(1+AS_Wage)/(1+Slot10_Rate))),1)</f>
        <v>1</v>
      </c>
      <c r="LA74" s="20" t="n">
        <f aca="false">IF(AND(HU74=1,IE74&gt;0,Slot10_IsWG=1,DJ74=1),MAX(0,(Slot10_Cost-DK74*(1+Slot10_Rate)^(Slot10_Age-D74))/KZ74),0)</f>
        <v>0</v>
      </c>
      <c r="LB74" s="20" t="n">
        <f aca="false">IF(AND(HU74=1,IE74&gt;0,Slot10_IsWG=1,DJ74=1),MIN(IE74,LA74),0)</f>
        <v>0</v>
      </c>
      <c r="LC74" s="20" t="n">
        <f aca="false">DK74+LB74</f>
        <v>0</v>
      </c>
      <c r="LD74" s="20" t="n">
        <f aca="false">IF(DJ74=1,MAX(0,(Slot10_Cost-LC74*(1+Slot10_Rate)^(Slot10_Age-D74))/KZ74),0)</f>
        <v>0</v>
      </c>
      <c r="LE74" s="20" t="n">
        <f aca="false">IF(DJ74=1,MAX(0,(Slot10_Cost-DK74*(1+Slot10_Rate)^(Slot10_Age-D74))/KZ74),0)</f>
        <v>0</v>
      </c>
      <c r="LF74" s="20" t="n">
        <f aca="false">IF(AND(HU74=1,DJ74=1),MIN(KY74,LD74),0)</f>
        <v>0</v>
      </c>
      <c r="LG74" s="20" t="n">
        <f aca="false">KY74-LF74</f>
        <v>0</v>
      </c>
      <c r="LH74" s="20" t="n">
        <f aca="false">IF(DT74=1,IF(ABS((1+AS_Wage)/(1+Slot11_Rate)-1)&lt;0.000000000001,(Slot11_Age-D74)*(1+Slot11_Rate)^(Slot11_Age-D74),(1+Slot11_Rate)^(Slot11_Age-D74)*(1-((1+AS_Wage)/(1+Slot11_Rate))^(Slot11_Age-D74))/(1-(1+AS_Wage)/(1+Slot11_Rate))),1)</f>
        <v>1</v>
      </c>
      <c r="LI74" s="20" t="n">
        <f aca="false">IF(AND(HU74=1,IE74&gt;0,Slot11_IsWG=1,DT74=1),MAX(0,(Slot11_Cost-DU74*(1+Slot11_Rate)^(Slot11_Age-D74))/LH74),0)</f>
        <v>0</v>
      </c>
      <c r="LJ74" s="20" t="n">
        <f aca="false">IF(AND(HU74=1,IE74&gt;0,Slot11_IsWG=1,DT74=1),MIN(IE74,LI74),0)</f>
        <v>0</v>
      </c>
      <c r="LK74" s="20" t="n">
        <f aca="false">DU74+LJ74</f>
        <v>0</v>
      </c>
      <c r="LL74" s="20" t="n">
        <f aca="false">IF(DT74=1,MAX(0,(Slot11_Cost-LK74*(1+Slot11_Rate)^(Slot11_Age-D74))/LH74),0)</f>
        <v>0</v>
      </c>
      <c r="LM74" s="20" t="n">
        <f aca="false">IF(DT74=1,MAX(0,(Slot11_Cost-DU74*(1+Slot11_Rate)^(Slot11_Age-D74))/LH74),0)</f>
        <v>0</v>
      </c>
      <c r="LN74" s="20" t="n">
        <f aca="false">IF(AND(HU74=1,DT74=1),MIN(LG74,LL74),0)</f>
        <v>0</v>
      </c>
      <c r="LO74" s="20" t="n">
        <f aca="false">LG74-LN74</f>
        <v>0</v>
      </c>
      <c r="LP74" s="20" t="n">
        <f aca="false">IF(ED74=1,IF(ABS((1+AS_Wage)/(1+Slot12_Rate)-1)&lt;0.000000000001,(Slot12_Age-D74)*(1+Slot12_Rate)^(Slot12_Age-D74),(1+Slot12_Rate)^(Slot12_Age-D74)*(1-((1+AS_Wage)/(1+Slot12_Rate))^(Slot12_Age-D74))/(1-(1+AS_Wage)/(1+Slot12_Rate))),1)</f>
        <v>1</v>
      </c>
      <c r="LQ74" s="20" t="n">
        <f aca="false">IF(AND(HU74=1,IE74&gt;0,Slot12_IsWG=1,ED74=1),MAX(0,(Slot12_Cost-EE74*(1+Slot12_Rate)^(Slot12_Age-D74))/LP74),0)</f>
        <v>0</v>
      </c>
      <c r="LR74" s="20" t="n">
        <f aca="false">IF(AND(HU74=1,IE74&gt;0,Slot12_IsWG=1,ED74=1),MIN(IE74,LQ74),0)</f>
        <v>0</v>
      </c>
      <c r="LS74" s="20" t="n">
        <f aca="false">EE74+LR74</f>
        <v>0</v>
      </c>
      <c r="LT74" s="20" t="n">
        <f aca="false">IF(ED74=1,MAX(0,(Slot12_Cost-LS74*(1+Slot12_Rate)^(Slot12_Age-D74))/LP74),0)</f>
        <v>0</v>
      </c>
      <c r="LU74" s="20" t="n">
        <f aca="false">IF(ED74=1,MAX(0,(Slot12_Cost-EE74*(1+Slot12_Rate)^(Slot12_Age-D74))/LP74),0)</f>
        <v>0</v>
      </c>
      <c r="LV74" s="20" t="n">
        <f aca="false">IF(AND(HU74=1,ED74=1),MIN(LO74,LT74),0)</f>
        <v>0</v>
      </c>
      <c r="LW74" s="20" t="n">
        <f aca="false">LO74-LV74</f>
        <v>0</v>
      </c>
      <c r="LX74" s="20" t="n">
        <f aca="false">IF(EN74=1,IF(ABS((1+AS_Wage)/(1+Slot13_Rate)-1)&lt;0.000000000001,(Slot13_Age-D74)*(1+Slot13_Rate)^(Slot13_Age-D74),(1+Slot13_Rate)^(Slot13_Age-D74)*(1-((1+AS_Wage)/(1+Slot13_Rate))^(Slot13_Age-D74))/(1-(1+AS_Wage)/(1+Slot13_Rate))),1)</f>
        <v>1</v>
      </c>
      <c r="LY74" s="20" t="n">
        <f aca="false">IF(AND(HU74=1,IE74&gt;0,Slot13_IsWG=1,EN74=1),MAX(0,(Slot13_Cost-EO74*(1+Slot13_Rate)^(Slot13_Age-D74))/LX74),0)</f>
        <v>0</v>
      </c>
      <c r="LZ74" s="20" t="n">
        <f aca="false">IF(AND(HU74=1,IE74&gt;0,Slot13_IsWG=1,EN74=1),MIN(IE74,LY74),0)</f>
        <v>0</v>
      </c>
      <c r="MA74" s="20" t="n">
        <f aca="false">EO74+LZ74</f>
        <v>0</v>
      </c>
      <c r="MB74" s="20" t="n">
        <f aca="false">IF(EN74=1,MAX(0,(Slot13_Cost-MA74*(1+Slot13_Rate)^(Slot13_Age-D74))/LX74),0)</f>
        <v>0</v>
      </c>
      <c r="MC74" s="20" t="n">
        <f aca="false">IF(EN74=1,MAX(0,(Slot13_Cost-EO74*(1+Slot13_Rate)^(Slot13_Age-D74))/LX74),0)</f>
        <v>0</v>
      </c>
      <c r="MD74" s="20" t="n">
        <f aca="false">IF(AND(HU74=1,EN74=1),MIN(LW74,MB74),0)</f>
        <v>0</v>
      </c>
      <c r="ME74" s="20" t="n">
        <f aca="false">LW74-MD74</f>
        <v>0</v>
      </c>
      <c r="MF74" s="20" t="n">
        <f aca="false">IF(EX74=1,IF(ABS((1+AS_Wage)/(1+Slot14_Rate)-1)&lt;0.000000000001,(Slot14_Age-D74)*(1+Slot14_Rate)^(Slot14_Age-D74),(1+Slot14_Rate)^(Slot14_Age-D74)*(1-((1+AS_Wage)/(1+Slot14_Rate))^(Slot14_Age-D74))/(1-(1+AS_Wage)/(1+Slot14_Rate))),1)</f>
        <v>1</v>
      </c>
      <c r="MG74" s="20" t="n">
        <f aca="false">IF(AND(HU74=1,IE74&gt;0,Slot14_IsWG=1,EX74=1),MAX(0,(Slot14_Cost-EY74*(1+Slot14_Rate)^(Slot14_Age-D74))/MF74),0)</f>
        <v>0</v>
      </c>
      <c r="MH74" s="20" t="n">
        <f aca="false">IF(AND(HU74=1,IE74&gt;0,Slot14_IsWG=1,EX74=1),MIN(IE74,MG74),0)</f>
        <v>0</v>
      </c>
      <c r="MI74" s="20" t="n">
        <f aca="false">EY74+MH74</f>
        <v>0</v>
      </c>
      <c r="MJ74" s="20" t="n">
        <f aca="false">IF(EX74=1,MAX(0,(Slot14_Cost-MI74*(1+Slot14_Rate)^(Slot14_Age-D74))/MF74),0)</f>
        <v>0</v>
      </c>
      <c r="MK74" s="20" t="n">
        <f aca="false">IF(EX74=1,MAX(0,(Slot14_Cost-EY74*(1+Slot14_Rate)^(Slot14_Age-D74))/MF74),0)</f>
        <v>0</v>
      </c>
      <c r="ML74" s="20" t="n">
        <f aca="false">IF(AND(HU74=1,EX74=1),MIN(ME74,MJ74),0)</f>
        <v>0</v>
      </c>
      <c r="MM74" s="20" t="n">
        <f aca="false">ME74-ML74</f>
        <v>0</v>
      </c>
      <c r="MN74" s="20" t="n">
        <f aca="false">IF(FH74=1,IF(ABS((1+AS_Wage)/(1+Slot15_Rate)-1)&lt;0.000000000001,(Slot15_Age-D74)*(1+Slot15_Rate)^(Slot15_Age-D74),(1+Slot15_Rate)^(Slot15_Age-D74)*(1-((1+AS_Wage)/(1+Slot15_Rate))^(Slot15_Age-D74))/(1-(1+AS_Wage)/(1+Slot15_Rate))),1)</f>
        <v>1</v>
      </c>
      <c r="MO74" s="20" t="n">
        <f aca="false">IF(AND(HU74=1,IE74&gt;0,Slot15_IsWG=1,FH74=1),MAX(0,(Slot15_Cost-FI74*(1+Slot15_Rate)^(Slot15_Age-D74))/MN74),0)</f>
        <v>0</v>
      </c>
      <c r="MP74" s="20" t="n">
        <f aca="false">IF(AND(HU74=1,IE74&gt;0,Slot15_IsWG=1,FH74=1),MIN(IE74,MO74),0)</f>
        <v>0</v>
      </c>
      <c r="MQ74" s="20" t="n">
        <f aca="false">FI74+MP74</f>
        <v>0</v>
      </c>
      <c r="MR74" s="20" t="n">
        <f aca="false">IF(FH74=1,MAX(0,(Slot15_Cost-MQ74*(1+Slot15_Rate)^(Slot15_Age-D74))/MN74),0)</f>
        <v>0</v>
      </c>
      <c r="MS74" s="20" t="n">
        <f aca="false">IF(FH74=1,MAX(0,(Slot15_Cost-FI74*(1+Slot15_Rate)^(Slot15_Age-D74))/MN74),0)</f>
        <v>0</v>
      </c>
      <c r="MT74" s="20" t="n">
        <f aca="false">IF(AND(HU74=1,FH74=1),MIN(MM74,MR74),0)</f>
        <v>0</v>
      </c>
      <c r="MU74" s="20" t="n">
        <f aca="false">MM74-MT74</f>
        <v>0</v>
      </c>
      <c r="MV74" s="20" t="n">
        <f aca="false">IF(FR74=1,IF(ABS((1+AS_Wage)/(1+Slot16_Rate)-1)&lt;0.000000000001,(Slot16_Age-D74)*(1+Slot16_Rate)^(Slot16_Age-D74),(1+Slot16_Rate)^(Slot16_Age-D74)*(1-((1+AS_Wage)/(1+Slot16_Rate))^(Slot16_Age-D74))/(1-(1+AS_Wage)/(1+Slot16_Rate))),1)</f>
        <v>1</v>
      </c>
      <c r="MW74" s="20" t="n">
        <f aca="false">IF(AND(HU74=1,IE74&gt;0,Slot16_IsWG=1,FR74=1),MAX(0,(Slot16_Cost-FS74*(1+Slot16_Rate)^(Slot16_Age-D74))/MV74),0)</f>
        <v>0</v>
      </c>
      <c r="MX74" s="20" t="n">
        <f aca="false">IF(AND(HU74=1,IE74&gt;0,Slot16_IsWG=1,FR74=1),MIN(IE74,MW74),0)</f>
        <v>0</v>
      </c>
      <c r="MY74" s="20" t="n">
        <f aca="false">FS74+MX74</f>
        <v>0</v>
      </c>
      <c r="MZ74" s="20" t="n">
        <f aca="false">IF(FR74=1,MAX(0,(Slot16_Cost-MY74*(1+Slot16_Rate)^(Slot16_Age-D74))/MV74),0)</f>
        <v>0</v>
      </c>
      <c r="NA74" s="20" t="n">
        <f aca="false">IF(FR74=1,MAX(0,(Slot16_Cost-FS74*(1+Slot16_Rate)^(Slot16_Age-D74))/MV74),0)</f>
        <v>0</v>
      </c>
      <c r="NB74" s="20" t="n">
        <f aca="false">IF(AND(HU74=1,FR74=1),MIN(MU74,MZ74),0)</f>
        <v>0</v>
      </c>
      <c r="NC74" s="20" t="n">
        <f aca="false">MU74-NB74</f>
        <v>0</v>
      </c>
      <c r="ND74" s="20" t="n">
        <f aca="false">IF(GB74=1,IF(ABS((1+AS_Wage)/(1+Slot17_Rate)-1)&lt;0.000000000001,(Slot17_Age-D74)*(1+Slot17_Rate)^(Slot17_Age-D74),(1+Slot17_Rate)^(Slot17_Age-D74)*(1-((1+AS_Wage)/(1+Slot17_Rate))^(Slot17_Age-D74))/(1-(1+AS_Wage)/(1+Slot17_Rate))),1)</f>
        <v>1</v>
      </c>
      <c r="NE74" s="20" t="n">
        <f aca="false">IF(AND(HU74=1,IE74&gt;0,Slot17_IsWG=1,GB74=1),MAX(0,(Slot17_Cost-GC74*(1+Slot17_Rate)^(Slot17_Age-D74))/ND74),0)</f>
        <v>0</v>
      </c>
      <c r="NF74" s="20" t="n">
        <f aca="false">IF(AND(HU74=1,IE74&gt;0,Slot17_IsWG=1,GB74=1),MIN(IE74,NE74),0)</f>
        <v>0</v>
      </c>
      <c r="NG74" s="20" t="n">
        <f aca="false">GC74+NF74</f>
        <v>0</v>
      </c>
      <c r="NH74" s="20" t="n">
        <f aca="false">IF(GB74=1,MAX(0,(Slot17_Cost-NG74*(1+Slot17_Rate)^(Slot17_Age-D74))/ND74),0)</f>
        <v>0</v>
      </c>
      <c r="NI74" s="20" t="n">
        <f aca="false">IF(GB74=1,MAX(0,(Slot17_Cost-GC74*(1+Slot17_Rate)^(Slot17_Age-D74))/ND74),0)</f>
        <v>0</v>
      </c>
      <c r="NJ74" s="20" t="n">
        <f aca="false">IF(AND(HU74=1,GB74=1),MIN(NC74,NH74),0)</f>
        <v>0</v>
      </c>
      <c r="NK74" s="20" t="n">
        <f aca="false">NC74-NJ74</f>
        <v>0</v>
      </c>
      <c r="NL74" s="20" t="n">
        <f aca="false">IF(GL74=1,IF(ABS((1+AS_Wage)/(1+Slot18_Rate)-1)&lt;0.000000000001,(Slot18_Age-D74)*(1+Slot18_Rate)^(Slot18_Age-D74),(1+Slot18_Rate)^(Slot18_Age-D74)*(1-((1+AS_Wage)/(1+Slot18_Rate))^(Slot18_Age-D74))/(1-(1+AS_Wage)/(1+Slot18_Rate))),1)</f>
        <v>1</v>
      </c>
      <c r="NM74" s="20" t="n">
        <f aca="false">IF(AND(HU74=1,IE74&gt;0,Slot18_IsWG=1,GL74=1),MAX(0,(Slot18_Cost-GM74*(1+Slot18_Rate)^(Slot18_Age-D74))/NL74),0)</f>
        <v>0</v>
      </c>
      <c r="NN74" s="20" t="n">
        <f aca="false">IF(AND(HU74=1,IE74&gt;0,Slot18_IsWG=1,GL74=1),MIN(IE74,NM74),0)</f>
        <v>0</v>
      </c>
      <c r="NO74" s="20" t="n">
        <f aca="false">GM74+NN74</f>
        <v>0</v>
      </c>
      <c r="NP74" s="20" t="n">
        <f aca="false">IF(GL74=1,MAX(0,(Slot18_Cost-NO74*(1+Slot18_Rate)^(Slot18_Age-D74))/NL74),0)</f>
        <v>0</v>
      </c>
      <c r="NQ74" s="20" t="n">
        <f aca="false">IF(GL74=1,MAX(0,(Slot18_Cost-GM74*(1+Slot18_Rate)^(Slot18_Age-D74))/NL74),0)</f>
        <v>0</v>
      </c>
      <c r="NR74" s="20" t="n">
        <f aca="false">IF(AND(HU74=1,GL74=1),MIN(NK74,NP74),0)</f>
        <v>0</v>
      </c>
      <c r="NS74" s="20" t="n">
        <f aca="false">NK74-NR74</f>
        <v>0</v>
      </c>
      <c r="NT74" s="20" t="n">
        <f aca="false">IF(GV74=1,IF(ABS((1+AS_Wage)/(1+Slot19_Rate)-1)&lt;0.000000000001,(Slot19_Age-D74)*(1+Slot19_Rate)^(Slot19_Age-D74),(1+Slot19_Rate)^(Slot19_Age-D74)*(1-((1+AS_Wage)/(1+Slot19_Rate))^(Slot19_Age-D74))/(1-(1+AS_Wage)/(1+Slot19_Rate))),1)</f>
        <v>1</v>
      </c>
      <c r="NU74" s="20" t="n">
        <f aca="false">IF(AND(HU74=1,IE74&gt;0,Slot19_IsWG=1,GV74=1),MAX(0,(Slot19_Cost-GW74*(1+Slot19_Rate)^(Slot19_Age-D74))/NT74),0)</f>
        <v>0</v>
      </c>
      <c r="NV74" s="20" t="n">
        <f aca="false">IF(AND(HU74=1,IE74&gt;0,Slot19_IsWG=1,GV74=1),MIN(IE74,NU74),0)</f>
        <v>0</v>
      </c>
      <c r="NW74" s="20" t="n">
        <f aca="false">GW74+NV74</f>
        <v>0</v>
      </c>
      <c r="NX74" s="20" t="n">
        <f aca="false">IF(GV74=1,MAX(0,(Slot19_Cost-NW74*(1+Slot19_Rate)^(Slot19_Age-D74))/NT74),0)</f>
        <v>0</v>
      </c>
      <c r="NY74" s="20" t="n">
        <f aca="false">IF(GV74=1,MAX(0,(Slot19_Cost-GW74*(1+Slot19_Rate)^(Slot19_Age-D74))/NT74),0)</f>
        <v>0</v>
      </c>
      <c r="NZ74" s="20" t="n">
        <f aca="false">IF(AND(HU74=1,GV74=1),MIN(NS74,NX74),0)</f>
        <v>0</v>
      </c>
      <c r="OA74" s="20" t="n">
        <f aca="false">NS74-NZ74</f>
        <v>0</v>
      </c>
      <c r="OB74" s="20" t="n">
        <f aca="false">IF(HF74=1,IF(ABS((1+AS_Wage)/(1+Slot20_Rate)-1)&lt;0.000000000001,(Slot20_Age-D74)*(1+Slot20_Rate)^(Slot20_Age-D74),(1+Slot20_Rate)^(Slot20_Age-D74)*(1-((1+AS_Wage)/(1+Slot20_Rate))^(Slot20_Age-D74))/(1-(1+AS_Wage)/(1+Slot20_Rate))),1)</f>
        <v>1</v>
      </c>
      <c r="OC74" s="20" t="n">
        <f aca="false">IF(AND(HU74=1,IE74&gt;0,Slot20_IsWG=1,HF74=1),MAX(0,(Slot20_Cost-HG74*(1+Slot20_Rate)^(Slot20_Age-D74))/OB74),0)</f>
        <v>0</v>
      </c>
      <c r="OD74" s="20" t="n">
        <f aca="false">IF(AND(HU74=1,IE74&gt;0,Slot20_IsWG=1,HF74=1),MIN(IE74,OC74),0)</f>
        <v>0</v>
      </c>
      <c r="OE74" s="20" t="n">
        <f aca="false">HG74+OD74</f>
        <v>0</v>
      </c>
      <c r="OF74" s="20" t="n">
        <f aca="false">IF(HF74=1,MAX(0,(Slot20_Cost-OE74*(1+Slot20_Rate)^(Slot20_Age-D74))/OB74),0)</f>
        <v>0</v>
      </c>
      <c r="OG74" s="20" t="n">
        <f aca="false">IF(HF74=1,MAX(0,(Slot20_Cost-HG74*(1+Slot20_Rate)^(Slot20_Age-D74))/OB74),0)</f>
        <v>0</v>
      </c>
      <c r="OH74" s="20" t="n">
        <f aca="false">IF(AND(HU74=1,HF74=1),MIN(OA74,OF74),0)</f>
        <v>0</v>
      </c>
      <c r="OI74" s="20" t="n">
        <f aca="false">OA74-OH74</f>
        <v>0</v>
      </c>
      <c r="OJ74" s="20" t="n">
        <f aca="false">IE74-(IH74+IP74+IX74+JF74+JN74+JV74+KD74+KL74+KT74+LB74+LJ74+LR74+LZ74+MH74+MP74+MX74+NF74+NN74+NV74+OD74)</f>
        <v>0</v>
      </c>
      <c r="OK74" s="20" t="n">
        <f aca="false">IF(HU74=1,HS74-ID74-IE74,0)</f>
        <v>0</v>
      </c>
      <c r="OL74" s="20" t="n">
        <f aca="false">IF(HU74=0,-HS74,0)</f>
        <v>71185.5872181875</v>
      </c>
      <c r="OM74" s="20" t="n">
        <f aca="false">MIN(OL74,HK74)</f>
        <v>0</v>
      </c>
      <c r="ON74" s="20" t="n">
        <f aca="false">OL74-OM74</f>
        <v>71185.5872181875</v>
      </c>
      <c r="OO74" s="20" t="n">
        <f aca="false">MIN(ON74,HL74)</f>
        <v>0</v>
      </c>
      <c r="OP74" s="20" t="n">
        <f aca="false">ON74-OO74</f>
        <v>71185.5872181875</v>
      </c>
      <c r="OQ74" s="20" t="n">
        <f aca="false">IF(AND(HU74=0,HF74=1,OP74&gt;0),MIN(OP74,HG74),0)</f>
        <v>0</v>
      </c>
      <c r="OR74" s="20" t="n">
        <f aca="false">OP74-OQ74</f>
        <v>71185.5872181875</v>
      </c>
      <c r="OS74" s="20" t="n">
        <f aca="false">IF(AND(HU74=0,GV74=1,OR74&gt;0),MIN(OR74,GW74),0)</f>
        <v>0</v>
      </c>
      <c r="OT74" s="20" t="n">
        <f aca="false">OR74-OS74</f>
        <v>71185.5872181875</v>
      </c>
      <c r="OU74" s="20" t="n">
        <f aca="false">IF(AND(HU74=0,GL74=1,OT74&gt;0),MIN(OT74,GM74),0)</f>
        <v>0</v>
      </c>
      <c r="OV74" s="20" t="n">
        <f aca="false">OT74-OU74</f>
        <v>71185.5872181875</v>
      </c>
      <c r="OW74" s="20" t="n">
        <f aca="false">IF(AND(HU74=0,GB74=1,OV74&gt;0),MIN(OV74,GC74),0)</f>
        <v>0</v>
      </c>
      <c r="OX74" s="20" t="n">
        <f aca="false">OV74-OW74</f>
        <v>71185.5872181875</v>
      </c>
      <c r="OY74" s="20" t="n">
        <f aca="false">IF(AND(HU74=0,FR74=1,OX74&gt;0),MIN(OX74,FS74),0)</f>
        <v>0</v>
      </c>
      <c r="OZ74" s="20" t="n">
        <f aca="false">OX74-OY74</f>
        <v>71185.5872181875</v>
      </c>
      <c r="PA74" s="20" t="n">
        <f aca="false">IF(AND(HU74=0,FH74=1,OZ74&gt;0),MIN(OZ74,FI74),0)</f>
        <v>0</v>
      </c>
      <c r="PB74" s="20" t="n">
        <f aca="false">OZ74-PA74</f>
        <v>71185.5872181875</v>
      </c>
      <c r="PC74" s="20" t="n">
        <f aca="false">IF(AND(HU74=0,EX74=1,PB74&gt;0),MIN(PB74,EY74),0)</f>
        <v>0</v>
      </c>
      <c r="PD74" s="20" t="n">
        <f aca="false">PB74-PC74</f>
        <v>71185.5872181875</v>
      </c>
      <c r="PE74" s="20" t="n">
        <f aca="false">IF(AND(HU74=0,EN74=1,PD74&gt;0),MIN(PD74,EO74),0)</f>
        <v>0</v>
      </c>
      <c r="PF74" s="20" t="n">
        <f aca="false">PD74-PE74</f>
        <v>71185.5872181875</v>
      </c>
      <c r="PG74" s="20" t="n">
        <f aca="false">IF(AND(HU74=0,ED74=1,PF74&gt;0),MIN(PF74,EE74),0)</f>
        <v>0</v>
      </c>
      <c r="PH74" s="20" t="n">
        <f aca="false">PF74-PG74</f>
        <v>71185.5872181875</v>
      </c>
      <c r="PI74" s="20" t="n">
        <f aca="false">IF(AND(HU74=0,DT74=1,PH74&gt;0),MIN(PH74,DU74),0)</f>
        <v>0</v>
      </c>
      <c r="PJ74" s="20" t="n">
        <f aca="false">PH74-PI74</f>
        <v>71185.5872181875</v>
      </c>
      <c r="PK74" s="20" t="n">
        <f aca="false">IF(AND(HU74=0,DJ74=1,PJ74&gt;0),MIN(PJ74,DK74),0)</f>
        <v>0</v>
      </c>
      <c r="PL74" s="20" t="n">
        <f aca="false">PJ74-PK74</f>
        <v>71185.5872181875</v>
      </c>
      <c r="PM74" s="20" t="n">
        <f aca="false">IF(AND(HU74=0,CZ74=1,PL74&gt;0),MIN(PL74,DA74),0)</f>
        <v>0</v>
      </c>
      <c r="PN74" s="20" t="n">
        <f aca="false">PL74-PM74</f>
        <v>71185.5872181875</v>
      </c>
      <c r="PO74" s="20" t="n">
        <f aca="false">IF(AND(HU74=0,CP74=1,PN74&gt;0),MIN(PN74,CQ74),0)</f>
        <v>0</v>
      </c>
      <c r="PP74" s="20" t="n">
        <f aca="false">PN74-PO74</f>
        <v>71185.5872181875</v>
      </c>
      <c r="PQ74" s="20" t="n">
        <f aca="false">IF(AND(HU74=0,CF74=1,PP74&gt;0),MIN(PP74,CG74),0)</f>
        <v>0</v>
      </c>
      <c r="PR74" s="20" t="n">
        <f aca="false">PP74-PQ74</f>
        <v>71185.5872181875</v>
      </c>
      <c r="PS74" s="20" t="n">
        <f aca="false">IF(AND(HU74=0,BV74=1,PR74&gt;0),MIN(PR74,BW74),0)</f>
        <v>0</v>
      </c>
      <c r="PT74" s="20" t="n">
        <f aca="false">PR74-PS74</f>
        <v>71185.5872181875</v>
      </c>
      <c r="PU74" s="20" t="n">
        <f aca="false">IF(AND(HU74=0,BL74=1,PT74&gt;0),MIN(PT74,BM74),0)</f>
        <v>0</v>
      </c>
      <c r="PV74" s="20" t="n">
        <f aca="false">PT74-PU74</f>
        <v>71185.5872181875</v>
      </c>
      <c r="PW74" s="20" t="n">
        <f aca="false">IF(AND(HU74=0,BB74=1,PV74&gt;0),MIN(PV74,BC74),0)</f>
        <v>0</v>
      </c>
      <c r="PX74" s="20" t="n">
        <f aca="false">PV74-PW74</f>
        <v>71185.5872181875</v>
      </c>
      <c r="PY74" s="20" t="n">
        <f aca="false">IF(AND(HU74=0,AR74=1,PX74&gt;0),MIN(PX74,AS74),0)</f>
        <v>0</v>
      </c>
      <c r="PZ74" s="20" t="n">
        <f aca="false">PX74-PY74</f>
        <v>71185.5872181875</v>
      </c>
      <c r="QA74" s="20" t="n">
        <f aca="false">IF(AND(HU74=0,AH74=1,PZ74&gt;0),MIN(PZ74,AI74),0)</f>
        <v>0</v>
      </c>
      <c r="QB74" s="20" t="n">
        <f aca="false">PZ74-QA74</f>
        <v>71185.5872181875</v>
      </c>
      <c r="QC74" s="20" t="n">
        <f aca="false">IF(AND(HU74=0,W74=1,QB74&gt;0),MIN(QB74,X74),0)</f>
        <v>0</v>
      </c>
      <c r="QD74" s="20" t="n">
        <f aca="false">QB74-QC74</f>
        <v>71185.5872181875</v>
      </c>
      <c r="QE74" s="20" t="n">
        <f aca="false">IF(HU74=0,QD74,0)</f>
        <v>71185.5872181875</v>
      </c>
      <c r="QF74" s="20" t="n">
        <f aca="false">OM74+OO74+QC74+QA74+PY74+PW74+PU74+PS74+PQ74+PO74+PM74+PK74+PI74+PG74+PE74+PC74+PA74+OY74+OW74+OU74+OS74+OQ74</f>
        <v>0</v>
      </c>
      <c r="QG74" s="20" t="n">
        <f aca="false">IF(HU74=1,HK74+OJ74+OI74+IF(G74=1,0,OK74),HK74-OM74)</f>
        <v>0</v>
      </c>
      <c r="QH74" s="20" t="n">
        <f aca="false">HL74-OO74</f>
        <v>0</v>
      </c>
      <c r="QI74" s="20" t="n">
        <f aca="false">IF(HU74=1,IF(G74=1,ID74+IE74,HS74),0)</f>
        <v>0</v>
      </c>
      <c r="QJ74" s="20" t="n">
        <f aca="false">IF(HU74=1,IF(G74=1,HS74-ID74-IE74,0),0)</f>
        <v>0</v>
      </c>
      <c r="QK74" s="57" t="n">
        <f aca="false">'Plan holdings'!BM74</f>
        <v>0</v>
      </c>
      <c r="QL74" s="20" t="n">
        <f aca="false">QH74*(1+AS_Cash)</f>
        <v>0</v>
      </c>
      <c r="QM74" s="20" t="n">
        <f aca="false">IF(W74=1,IF(HU74=1,II74+IL74,X74-QC74)*(1+Slot1_Rate),0)</f>
        <v>0</v>
      </c>
      <c r="QN74" s="20" t="n">
        <f aca="false">IF(AND(HU74=1,W74=1),(IH74+IL74)/F74,0)</f>
        <v>0</v>
      </c>
      <c r="QO74" s="20" t="n">
        <f aca="false">IF(B74=0,IH74+IL74,0)</f>
        <v>0</v>
      </c>
      <c r="QP74" s="20" t="n">
        <f aca="false">IF(B74=0,IF(HU74=1,IJ74,IK74),0)</f>
        <v>0</v>
      </c>
      <c r="QQ74" s="20" t="n">
        <f aca="false">IF(AH74=1,IF(HU74=1,IQ74+IT74,AI74-QA74)*(1+Slot2_Rate),0)</f>
        <v>0</v>
      </c>
      <c r="QR74" s="20" t="n">
        <f aca="false">IF(AND(HU74=1,AH74=1),(IP74+IT74)/F74,0)</f>
        <v>0</v>
      </c>
      <c r="QS74" s="20" t="n">
        <f aca="false">IF(B74=0,IP74+IT74,0)</f>
        <v>0</v>
      </c>
      <c r="QT74" s="20" t="n">
        <f aca="false">IF(B74=0,IF(HU74=1,IR74,IS74),0)</f>
        <v>0</v>
      </c>
      <c r="QU74" s="20" t="n">
        <f aca="false">IF(AR74=1,IF(HU74=1,IY74+JB74,AS74-PY74)*(1+Slot3_Rate),0)</f>
        <v>0</v>
      </c>
      <c r="QV74" s="20" t="n">
        <f aca="false">IF(AND(HU74=1,AR74=1),(IX74+JB74)/F74,0)</f>
        <v>0</v>
      </c>
      <c r="QW74" s="20" t="n">
        <f aca="false">IF(B74=0,IX74+JB74,0)</f>
        <v>0</v>
      </c>
      <c r="QX74" s="20" t="n">
        <f aca="false">IF(B74=0,IF(HU74=1,IZ74,JA74),0)</f>
        <v>0</v>
      </c>
      <c r="QY74" s="20" t="n">
        <f aca="false">IF(BB74=1,IF(HU74=1,JG74+JJ74,BC74-PW74)*(1+Slot4_Rate),0)</f>
        <v>0</v>
      </c>
      <c r="QZ74" s="20" t="n">
        <f aca="false">IF(AND(HU74=1,BB74=1),(JF74+JJ74)/F74,0)</f>
        <v>0</v>
      </c>
      <c r="RA74" s="20" t="n">
        <f aca="false">IF(B74=0,JF74+JJ74,0)</f>
        <v>0</v>
      </c>
      <c r="RB74" s="20" t="n">
        <f aca="false">IF(B74=0,IF(HU74=1,JH74,JI74),0)</f>
        <v>0</v>
      </c>
      <c r="RC74" s="20" t="n">
        <f aca="false">IF(BL74=1,IF(HU74=1,JO74+JR74,BM74-PU74)*(1+Slot5_Rate),0)</f>
        <v>0</v>
      </c>
      <c r="RD74" s="20" t="n">
        <f aca="false">IF(AND(HU74=1,BL74=1),(JN74+JR74)/F74,0)</f>
        <v>0</v>
      </c>
      <c r="RE74" s="20" t="n">
        <f aca="false">IF(B74=0,JN74+JR74,0)</f>
        <v>0</v>
      </c>
      <c r="RF74" s="20" t="n">
        <f aca="false">IF(B74=0,IF(HU74=1,JP74,JQ74),0)</f>
        <v>0</v>
      </c>
      <c r="RG74" s="20" t="n">
        <f aca="false">IF(BV74=1,IF(HU74=1,JW74+JZ74,BW74-PS74)*(1+Slot6_Rate),0)</f>
        <v>0</v>
      </c>
      <c r="RH74" s="20" t="n">
        <f aca="false">IF(AND(HU74=1,BV74=1),(JV74+JZ74)/F74,0)</f>
        <v>0</v>
      </c>
      <c r="RI74" s="20" t="n">
        <f aca="false">IF(B74=0,JV74+JZ74,0)</f>
        <v>0</v>
      </c>
      <c r="RJ74" s="20" t="n">
        <f aca="false">IF(B74=0,IF(HU74=1,JX74,JY74),0)</f>
        <v>0</v>
      </c>
      <c r="RK74" s="20" t="n">
        <f aca="false">IF(CF74=1,IF(HU74=1,KE74+KH74,CG74-PQ74)*(1+Slot7_Rate),0)</f>
        <v>0</v>
      </c>
      <c r="RL74" s="20" t="n">
        <f aca="false">IF(AND(HU74=1,CF74=1),(KD74+KH74)/F74,0)</f>
        <v>0</v>
      </c>
      <c r="RM74" s="20" t="n">
        <f aca="false">IF(B74=0,KD74+KH74,0)</f>
        <v>0</v>
      </c>
      <c r="RN74" s="20" t="n">
        <f aca="false">IF(B74=0,IF(HU74=1,KF74,KG74),0)</f>
        <v>0</v>
      </c>
      <c r="RO74" s="20" t="n">
        <f aca="false">IF(CP74=1,IF(HU74=1,KM74+KP74,CQ74-PO74)*(1+Slot8_Rate),0)</f>
        <v>0</v>
      </c>
      <c r="RP74" s="20" t="n">
        <f aca="false">IF(AND(HU74=1,CP74=1),(KL74+KP74)/F74,0)</f>
        <v>0</v>
      </c>
      <c r="RQ74" s="20" t="n">
        <f aca="false">IF(B74=0,KL74+KP74,0)</f>
        <v>0</v>
      </c>
      <c r="RR74" s="20" t="n">
        <f aca="false">IF(B74=0,IF(HU74=1,KN74,KO74),0)</f>
        <v>0</v>
      </c>
      <c r="RS74" s="20" t="n">
        <f aca="false">IF(CZ74=1,IF(HU74=1,KU74+KX74,DA74-PM74)*(1+Slot9_Rate),0)</f>
        <v>0</v>
      </c>
      <c r="RT74" s="20" t="n">
        <f aca="false">IF(AND(HU74=1,CZ74=1),(KT74+KX74)/F74,0)</f>
        <v>0</v>
      </c>
      <c r="RU74" s="20" t="n">
        <f aca="false">IF(B74=0,KT74+KX74,0)</f>
        <v>0</v>
      </c>
      <c r="RV74" s="20" t="n">
        <f aca="false">IF(B74=0,IF(HU74=1,KV74,KW74),0)</f>
        <v>0</v>
      </c>
      <c r="RW74" s="20" t="n">
        <f aca="false">IF(DJ74=1,IF(HU74=1,LC74+LF74,DK74-PK74)*(1+Slot10_Rate),0)</f>
        <v>0</v>
      </c>
      <c r="RX74" s="20" t="n">
        <f aca="false">IF(AND(HU74=1,DJ74=1),(LB74+LF74)/F74,0)</f>
        <v>0</v>
      </c>
      <c r="RY74" s="20" t="n">
        <f aca="false">IF(B74=0,LB74+LF74,0)</f>
        <v>0</v>
      </c>
      <c r="RZ74" s="20" t="n">
        <f aca="false">IF(B74=0,IF(HU74=1,LD74,LE74),0)</f>
        <v>0</v>
      </c>
      <c r="SA74" s="20" t="n">
        <f aca="false">IF(DT74=1,IF(HU74=1,LK74+LN74,DU74-PI74)*(1+Slot11_Rate),0)</f>
        <v>0</v>
      </c>
      <c r="SB74" s="20" t="n">
        <f aca="false">IF(AND(HU74=1,DT74=1),(LJ74+LN74)/F74,0)</f>
        <v>0</v>
      </c>
      <c r="SC74" s="20" t="n">
        <f aca="false">IF(B74=0,LJ74+LN74,0)</f>
        <v>0</v>
      </c>
      <c r="SD74" s="20" t="n">
        <f aca="false">IF(B74=0,IF(HU74=1,LL74,LM74),0)</f>
        <v>0</v>
      </c>
      <c r="SE74" s="20" t="n">
        <f aca="false">IF(ED74=1,IF(HU74=1,LS74+LV74,EE74-PG74)*(1+Slot12_Rate),0)</f>
        <v>0</v>
      </c>
      <c r="SF74" s="20" t="n">
        <f aca="false">IF(AND(HU74=1,ED74=1),(LR74+LV74)/F74,0)</f>
        <v>0</v>
      </c>
      <c r="SG74" s="20" t="n">
        <f aca="false">IF(B74=0,LR74+LV74,0)</f>
        <v>0</v>
      </c>
      <c r="SH74" s="20" t="n">
        <f aca="false">IF(B74=0,IF(HU74=1,LT74,LU74),0)</f>
        <v>0</v>
      </c>
      <c r="SI74" s="20" t="n">
        <f aca="false">IF(EN74=1,IF(HU74=1,MA74+MD74,EO74-PE74)*(1+Slot13_Rate),0)</f>
        <v>0</v>
      </c>
      <c r="SJ74" s="20" t="n">
        <f aca="false">IF(AND(HU74=1,EN74=1),(LZ74+MD74)/F74,0)</f>
        <v>0</v>
      </c>
      <c r="SK74" s="20" t="n">
        <f aca="false">IF(B74=0,LZ74+MD74,0)</f>
        <v>0</v>
      </c>
      <c r="SL74" s="20" t="n">
        <f aca="false">IF(B74=0,IF(HU74=1,MB74,MC74),0)</f>
        <v>0</v>
      </c>
      <c r="SM74" s="20" t="n">
        <f aca="false">IF(EX74=1,IF(HU74=1,MI74+ML74,EY74-PC74)*(1+Slot14_Rate),0)</f>
        <v>0</v>
      </c>
      <c r="SN74" s="20" t="n">
        <f aca="false">IF(AND(HU74=1,EX74=1),(MH74+ML74)/F74,0)</f>
        <v>0</v>
      </c>
      <c r="SO74" s="20" t="n">
        <f aca="false">IF(B74=0,MH74+ML74,0)</f>
        <v>0</v>
      </c>
      <c r="SP74" s="20" t="n">
        <f aca="false">IF(B74=0,IF(HU74=1,MJ74,MK74),0)</f>
        <v>0</v>
      </c>
      <c r="SQ74" s="20" t="n">
        <f aca="false">IF(FH74=1,IF(HU74=1,MQ74+MT74,FI74-PA74)*(1+Slot15_Rate),0)</f>
        <v>0</v>
      </c>
      <c r="SR74" s="20" t="n">
        <f aca="false">IF(AND(HU74=1,FH74=1),(MP74+MT74)/F74,0)</f>
        <v>0</v>
      </c>
      <c r="SS74" s="20" t="n">
        <f aca="false">IF(B74=0,MP74+MT74,0)</f>
        <v>0</v>
      </c>
      <c r="ST74" s="20" t="n">
        <f aca="false">IF(B74=0,IF(HU74=1,MR74,MS74),0)</f>
        <v>0</v>
      </c>
      <c r="SU74" s="20" t="n">
        <f aca="false">IF(FR74=1,IF(HU74=1,MY74+NB74,FS74-OY74)*(1+Slot16_Rate),0)</f>
        <v>0</v>
      </c>
      <c r="SV74" s="20" t="n">
        <f aca="false">IF(AND(HU74=1,FR74=1),(MX74+NB74)/F74,0)</f>
        <v>0</v>
      </c>
      <c r="SW74" s="20" t="n">
        <f aca="false">IF(B74=0,MX74+NB74,0)</f>
        <v>0</v>
      </c>
      <c r="SX74" s="20" t="n">
        <f aca="false">IF(B74=0,IF(HU74=1,MZ74,NA74),0)</f>
        <v>0</v>
      </c>
      <c r="SY74" s="20" t="n">
        <f aca="false">IF(GB74=1,IF(HU74=1,NG74+NJ74,GC74-OW74)*(1+Slot17_Rate),0)</f>
        <v>0</v>
      </c>
      <c r="SZ74" s="20" t="n">
        <f aca="false">IF(AND(HU74=1,GB74=1),(NF74+NJ74)/F74,0)</f>
        <v>0</v>
      </c>
      <c r="TA74" s="20" t="n">
        <f aca="false">IF(B74=0,NF74+NJ74,0)</f>
        <v>0</v>
      </c>
      <c r="TB74" s="20" t="n">
        <f aca="false">IF(B74=0,IF(HU74=1,NH74,NI74),0)</f>
        <v>0</v>
      </c>
      <c r="TC74" s="20" t="n">
        <f aca="false">IF(GL74=1,IF(HU74=1,NO74+NR74,GM74-OU74)*(1+Slot18_Rate),0)</f>
        <v>0</v>
      </c>
      <c r="TD74" s="20" t="n">
        <f aca="false">IF(AND(HU74=1,GL74=1),(NN74+NR74)/F74,0)</f>
        <v>0</v>
      </c>
      <c r="TE74" s="20" t="n">
        <f aca="false">IF(B74=0,NN74+NR74,0)</f>
        <v>0</v>
      </c>
      <c r="TF74" s="20" t="n">
        <f aca="false">IF(B74=0,IF(HU74=1,NP74,NQ74),0)</f>
        <v>0</v>
      </c>
      <c r="TG74" s="20" t="n">
        <f aca="false">IF(GV74=1,IF(HU74=1,NW74+NZ74,GW74-OS74)*(1+Slot19_Rate),0)</f>
        <v>0</v>
      </c>
      <c r="TH74" s="20" t="n">
        <f aca="false">IF(AND(HU74=1,GV74=1),(NV74+NZ74)/F74,0)</f>
        <v>0</v>
      </c>
      <c r="TI74" s="20" t="n">
        <f aca="false">IF(B74=0,NV74+NZ74,0)</f>
        <v>0</v>
      </c>
      <c r="TJ74" s="20" t="n">
        <f aca="false">IF(B74=0,IF(HU74=1,NX74,NY74),0)</f>
        <v>0</v>
      </c>
      <c r="TK74" s="20" t="n">
        <f aca="false">IF(HF74=1,IF(HU74=1,OE74+OH74,HG74-OQ74)*(1+Slot20_Rate),0)</f>
        <v>0</v>
      </c>
      <c r="TL74" s="20" t="n">
        <f aca="false">IF(AND(HU74=1,HF74=1),(OD74+OH74)/F74,0)</f>
        <v>0</v>
      </c>
      <c r="TM74" s="20" t="n">
        <f aca="false">IF(B74=0,OD74+OH74,0)</f>
        <v>0</v>
      </c>
      <c r="TN74" s="20" t="n">
        <f aca="false">IF(B74=0,IF(HU74=1,OF74,OG74),0)</f>
        <v>0</v>
      </c>
      <c r="TO74" s="20" t="n">
        <f aca="false">QK74+QL74+QM74+QQ74+QU74+QY74+RC74+RG74+RK74+RO74+RS74+RW74+SA74+SE74+SI74+SM74+SQ74+SU74+SY74+TC74+TG74+TK74</f>
        <v>0</v>
      </c>
      <c r="TP74" s="20" t="n">
        <f aca="false">QE74+HP74</f>
        <v>71185.5872181875</v>
      </c>
      <c r="TQ74" s="20" t="n">
        <f aca="false">I74+S74</f>
        <v>176619.736660592</v>
      </c>
      <c r="TR74" s="20" t="n">
        <f aca="false">1-G74</f>
        <v>1</v>
      </c>
      <c r="TS74" s="20" t="n">
        <f aca="false">IF(AND(RG_Exists=1,G74=0,C74=1),I74,0)</f>
        <v>0</v>
      </c>
      <c r="TT74" s="20" t="n">
        <f aca="false">IF(AND(RG_Exists=1,G74=0,C74=1),I74-MIN(QE74,I74),0)</f>
        <v>0</v>
      </c>
      <c r="TU74" s="20" t="n">
        <f aca="false">'Plan pay &amp; tax'!AD300</f>
        <v>0</v>
      </c>
      <c r="TV74" s="20" t="n">
        <f aca="false">IF(AND(C74=1,QE74&gt;MAX(PR_Short1,TQ74*PR_Short2)),1,0)</f>
        <v>0</v>
      </c>
      <c r="TW74" s="20" t="n">
        <f aca="false">MIN(H74,I74+S74)</f>
        <v>105434.149442404</v>
      </c>
      <c r="TX74" s="20" t="n">
        <f aca="false">QF74+MAX(0,HQ74-HP74)</f>
        <v>0</v>
      </c>
      <c r="TY74" s="20" t="n">
        <f aca="false">QE74+HP74</f>
        <v>71185.5872181875</v>
      </c>
      <c r="TZ74" s="20" t="n">
        <f aca="false">IF(AND(C74=1,TY74&gt;PR_MinShort),1,0)</f>
        <v>0</v>
      </c>
      <c r="UA74" s="20" t="n">
        <f aca="false">IF(AND(C74=1,TZ74=0,TX74&gt;PR_MinShort),1,0)</f>
        <v>0</v>
      </c>
      <c r="UB74" s="20" t="n">
        <f aca="false">IF(AND(C74=1,QE74&gt;PR_MinShort),1,0)</f>
        <v>0</v>
      </c>
      <c r="UC74" s="20" t="n">
        <f aca="false">IF(AND(C74=1,QF74&gt;1,UJ74=0),1,0)</f>
        <v>0</v>
      </c>
      <c r="UD74" s="20" t="str">
        <f aca="false">IF(C74=0,"",IF(UJ74=1,"Gap to plan for: short "&amp;"€"&amp;TEXT(ROUND(TP74,0),"#,##0"),IF(QF74&gt;1,"Using savings","Comfortable")))</f>
        <v/>
      </c>
      <c r="UE74" s="20" t="n">
        <f aca="false">IF(AND(INT(D74/10)*10=90,B74&gt;0),80,INT(D74/10)*10)</f>
        <v>100</v>
      </c>
      <c r="UF74" s="20" t="n">
        <f aca="false">IF(B74=0,1,IF(UE74&lt;&gt;UE73,UF73+1,UF73))</f>
        <v>7</v>
      </c>
      <c r="UG74" s="20" t="n">
        <f aca="false">IF(AND(C74=1,G74=1,QE74&gt;MAX(PR_Short1,TQ74*PR_Short2)),1,0)</f>
        <v>0</v>
      </c>
      <c r="UH74" s="20" t="n">
        <f aca="false">TR74*TV74</f>
        <v>0</v>
      </c>
      <c r="UI74" s="20" t="n">
        <f aca="false">IF(AND(V74=1,Slot1_PctLow=1),1,0)+IF(AND(AG74=1,Slot2_PctLow=1),1,0)+IF(AND(AQ74=1,Slot3_PctLow=1),1,0)+IF(AND(BA74=1,Slot4_PctLow=1),1,0)+IF(AND(BK74=1,Slot5_PctLow=1),1,0)+IF(AND(BU74=1,Slot6_PctLow=1),1,0)+IF(AND(CE74=1,Slot7_PctLow=1),1,0)+IF(AND(CO74=1,Slot8_PctLow=1),1,0)+IF(AND(CY74=1,Slot9_PctLow=1),1,0)+IF(AND(DI74=1,Slot10_PctLow=1),1,0)+IF(AND(DS74=1,Slot11_PctLow=1),1,0)+IF(AND(EC74=1,Slot12_PctLow=1),1,0)+IF(AND(EM74=1,Slot13_PctLow=1),1,0)+IF(AND(EW74=1,Slot14_PctLow=1),1,0)+IF(AND(FG74=1,Slot15_PctLow=1),1,0)+IF(AND(FQ74=1,Slot16_PctLow=1),1,0)+IF(AND(GA74=1,Slot17_PctLow=1),1,0)+IF(AND(GK74=1,Slot18_PctLow=1),1,0)+IF(AND(GU74=1,Slot19_PctLow=1),1,0)+IF(AND(HE74=1,Slot20_PctLow=1),1,0)</f>
        <v>0</v>
      </c>
      <c r="UJ74" s="20" t="n">
        <f aca="false">IF(C74=1,IF(OR(TV74=1,UI74&gt;0),1,0),0)</f>
        <v>0</v>
      </c>
      <c r="UK74" s="20" t="n">
        <f aca="false">Z74+AK74+AU74+BE74+BO74+BY74+CI74+CS74+DC74+DM74+DW74+EG74+EQ74+FA74+FK74+FU74+GE74+GO74+GY74+HI74+OM74</f>
        <v>0</v>
      </c>
      <c r="UL74" s="20" t="n">
        <f aca="false">V74*IF(Slot1_SpendLike=1,X74-Y74,IF(Slot1_PotFree=1,X74,0))+AG74*IF(Slot2_SpendLike=1,AI74-AJ74,IF(Slot2_PotFree=1,AI74,0))+AQ74*IF(Slot3_SpendLike=1,AS74-AT74,IF(Slot3_PotFree=1,AS74,0))+BA74*IF(Slot4_SpendLike=1,BC74-BD74,IF(Slot4_PotFree=1,BC74,0))+BK74*IF(Slot5_SpendLike=1,BM74-BN74,IF(Slot5_PotFree=1,BM74,0))+BU74*IF(Slot6_SpendLike=1,BW74-BX74,IF(Slot6_PotFree=1,BW74,0))+CE74*IF(Slot7_SpendLike=1,CG74-CH74,IF(Slot7_PotFree=1,CG74,0))+CO74*IF(Slot8_SpendLike=1,CQ74-CR74,IF(Slot8_PotFree=1,CQ74,0))+CY74*IF(Slot9_SpendLike=1,DA74-DB74,IF(Slot9_PotFree=1,DA74,0))+DI74*IF(Slot10_SpendLike=1,DK74-DL74,IF(Slot10_PotFree=1,DK74,0))+DS74*IF(Slot11_SpendLike=1,DU74-DV74,IF(Slot11_PotFree=1,DU74,0))+EC74*IF(Slot12_SpendLike=1,EE74-EF74,IF(Slot12_PotFree=1,EE74,0))+EM74*IF(Slot13_SpendLike=1,EO74-EP74,IF(Slot13_PotFree=1,EO74,0))+EW74*IF(Slot14_SpendLike=1,EY74-EZ74,IF(Slot14_PotFree=1,EY74,0))+FG74*IF(Slot15_SpendLike=1,FI74-FJ74,IF(Slot15_PotFree=1,FI74,0))+FQ74*IF(Slot16_SpendLike=1,FS74-FT74,IF(Slot16_PotFree=1,FS74,0))+GA74*IF(Slot17_SpendLike=1,GC74-GD74,IF(Slot17_PotFree=1,GC74,0))+GK74*IF(Slot18_SpendLike=1,GM74-GN74,IF(Slot18_PotFree=1,GM74,0))+GU74*IF(Slot19_SpendLike=1,GW74-GX74,IF(Slot19_PotFree=1,GW74,0))+HE74*IF(Slot20_SpendLike=1,HG74-HH74,IF(Slot20_PotFree=1,HG74,0))</f>
        <v>0</v>
      </c>
      <c r="UM74" s="20" t="n">
        <f aca="false">QG74-T74+UK74-UL74</f>
        <v>0</v>
      </c>
      <c r="UN74" s="20" t="n">
        <f aca="false">IF(OR(UN73=1,AND(In_homeUse="Yes, I'd downsize",In_downAge&gt;0,D74=In_downAge,OR(In_home="Own outright",In_home="Own with mortgage"),In_homeValue&gt;0)),1,0)</f>
        <v>0</v>
      </c>
    </row>
    <row r="75" customFormat="false" ht="15" hidden="false" customHeight="true" outlineLevel="0" collapsed="false">
      <c r="B75" s="20" t="n">
        <v>67</v>
      </c>
      <c r="C75" s="20" t="n">
        <f aca="false">IF(B75&lt;=F_N,1,0)</f>
        <v>0</v>
      </c>
      <c r="D75" s="20" t="n">
        <f aca="false">'Plan pay &amp; tax'!C301</f>
        <v>105</v>
      </c>
      <c r="E75" s="20" t="str">
        <f aca="false">IF($C75=1,"Income tax "&amp;TEXT(N('Plan pay &amp; tax'!BK301),"#,##0")&amp;"; USC "&amp;TEXT(N('Plan pay &amp; tax'!BM301)+N('Plan pay &amp; tax'!BO301),"#,##0")&amp;"; PRSI "&amp;TEXT(N('Plan pay &amp; tax'!BP301)+N('Plan pay &amp; tax'!BQ301),"#,##0")&amp;IF(N('Plan holdings'!BO75)&gt;=0.5,"; DIRT "&amp;TEXT(('Plan holdings'!BO75)/$F75,"#,##0")&amp;" (already taken from the interest earned)","")&amp;IF(N('Plan holdings'!BP75)&gt;=0.5,"; exit tax at an 8-year anniversary "&amp;TEXT(('Plan holdings'!BP75)/$F75,"#,##0"),"")&amp;IF(N('Plan holdings'!BN75)&gt;=0.5,"; tax on assets sold (exit tax or capital gains tax) "&amp;TEXT(('Plan holdings'!BN75)/$F75,"#,##0"),"")&amp;IF(N('Plan pay &amp; tax'!X301)-N('Plan pay &amp; tax'!Y301)&gt;=0.5,"; tax on the pension lump sum "&amp;TEXT(('Plan pay &amp; tax'!X301-'Plan pay &amp; tax'!Y301)/$F75,"#,##0"),"")&amp;IF(N('Plan pay &amp; tax'!V301)&gt;=0.5,"; chargeable excess tax on the pension "&amp;TEXT(('Plan pay &amp; tax'!V301)/$F75,"#,##0"),"")&amp;".","")</f>
        <v/>
      </c>
      <c r="F75" s="50" t="n">
        <f aca="false">'Plan pay &amp; tax'!E301</f>
        <v>3.76887304171137</v>
      </c>
      <c r="G75" s="20" t="n">
        <f aca="false">'Plan pay &amp; tax'!G301</f>
        <v>0</v>
      </c>
      <c r="H75" s="20" t="n">
        <f aca="false">'Plan pay &amp; tax'!BT301-'Plan pay &amp; tax'!BS301-'Plan pay &amp; tax'!R301</f>
        <v>107542.832431252</v>
      </c>
      <c r="I75" s="20" t="n">
        <f aca="false">IF(G75=1,F_CostsM*12,IF(RG_Exists=1,RG_Amount,F_CostsM*12*AS_RetireSpend))*F75+F_OneOffY*F75</f>
        <v>180152.131393804</v>
      </c>
      <c r="J75" s="20" t="n">
        <f aca="false">IF(UN75=1,0,HR74)</f>
        <v>0</v>
      </c>
      <c r="K75" s="20" t="n">
        <f aca="false">IF(J75&gt;1,'Plan debt months'!AC75,0)</f>
        <v>0</v>
      </c>
      <c r="L75" s="20" t="n">
        <f aca="false">IF(J75&gt;1,'Plan debt months'!AB75,J75)</f>
        <v>0</v>
      </c>
      <c r="M75" s="20" t="n">
        <f aca="false">O74</f>
        <v>0</v>
      </c>
      <c r="N75" s="20" t="n">
        <f aca="false">IF(M75&gt;1,'Plan debt months'!BD75,0)</f>
        <v>0</v>
      </c>
      <c r="O75" s="20" t="n">
        <f aca="false">IF(M75&gt;1,'Plan debt months'!BC75,M75)</f>
        <v>0</v>
      </c>
      <c r="P75" s="20" t="n">
        <f aca="false">R74</f>
        <v>0</v>
      </c>
      <c r="Q75" s="20" t="n">
        <f aca="false">IF(P75&gt;1,'Plan debt months'!CE75,0)</f>
        <v>0</v>
      </c>
      <c r="R75" s="20" t="n">
        <f aca="false">IF(P75&gt;1,'Plan debt months'!CD75,P75)</f>
        <v>0</v>
      </c>
      <c r="S75" s="20" t="n">
        <f aca="false">K75+N75+Q75</f>
        <v>0</v>
      </c>
      <c r="T75" s="57" t="n">
        <f aca="false">'Plan holdings'!Y75</f>
        <v>0</v>
      </c>
      <c r="U75" s="57" t="n">
        <f aca="false">'Plan holdings'!BM74</f>
        <v>0</v>
      </c>
      <c r="V75" s="20" t="n">
        <f aca="false">IF(AND(Slot1_On=1,D75=Slot1_Age),1,0)</f>
        <v>0</v>
      </c>
      <c r="W75" s="20" t="n">
        <f aca="false">IF(AND(Slot1_On=1,Slot1_Age&gt;D75),1,0)</f>
        <v>0</v>
      </c>
      <c r="X75" s="20" t="n">
        <f aca="false">QM74</f>
        <v>0</v>
      </c>
      <c r="Y75" s="20" t="n">
        <f aca="false">V75*MIN(Slot1_Cost,X75)</f>
        <v>0</v>
      </c>
      <c r="Z75" s="20" t="n">
        <f aca="false">V75*Slot1_SpendLike*MIN(Slot1_Cost-Y75,T75)</f>
        <v>0</v>
      </c>
      <c r="AA75" s="20" t="n">
        <f aca="false">Y75+Z75</f>
        <v>0</v>
      </c>
      <c r="AB75" s="20" t="n">
        <f aca="false">T75-Z75+V75*IF(Slot1_SpendLike=1,X75-Y75,IF(Slot1_PotFree=1,X75,0))</f>
        <v>0</v>
      </c>
      <c r="AC75" s="20" t="n">
        <f aca="false">AF75+V75*Slot1_BufPot*X75</f>
        <v>0</v>
      </c>
      <c r="AD75" s="20" t="n">
        <f aca="false">IF(AND(V75=1,Slot1_IsMfree=1),IF(AA75&gt;=Slot1_Cost-1,0,MAX(0,L75-AA75)),L75)</f>
        <v>0</v>
      </c>
      <c r="AE75" s="20" t="n">
        <f aca="false">V75*(Slot1_Cost-AA75)</f>
        <v>0</v>
      </c>
      <c r="AF75" s="20" t="n">
        <f aca="false">QL74</f>
        <v>0</v>
      </c>
      <c r="AG75" s="20" t="n">
        <f aca="false">IF(AND(Slot2_On=1,D75=Slot2_Age),1,0)</f>
        <v>0</v>
      </c>
      <c r="AH75" s="20" t="n">
        <f aca="false">IF(AND(Slot2_On=1,Slot2_Age&gt;D75),1,0)</f>
        <v>0</v>
      </c>
      <c r="AI75" s="20" t="n">
        <f aca="false">QQ74</f>
        <v>0</v>
      </c>
      <c r="AJ75" s="20" t="n">
        <f aca="false">AG75*MIN(Slot2_Cost,AI75)</f>
        <v>0</v>
      </c>
      <c r="AK75" s="20" t="n">
        <f aca="false">AG75*Slot2_SpendLike*MIN(Slot2_Cost-AJ75,AB75)</f>
        <v>0</v>
      </c>
      <c r="AL75" s="20" t="n">
        <f aca="false">AJ75+AK75</f>
        <v>0</v>
      </c>
      <c r="AM75" s="20" t="n">
        <f aca="false">AB75-AK75+AG75*IF(Slot2_SpendLike=1,AI75-AJ75,IF(Slot2_PotFree=1,AI75,0))</f>
        <v>0</v>
      </c>
      <c r="AN75" s="20" t="n">
        <f aca="false">AC75+AG75*Slot2_BufPot*AI75</f>
        <v>0</v>
      </c>
      <c r="AO75" s="20" t="n">
        <f aca="false">IF(AND(AG75=1,Slot2_IsMfree=1),IF(AL75&gt;=Slot2_Cost-1,0,MAX(0,AD75-AL75)),AD75)</f>
        <v>0</v>
      </c>
      <c r="AP75" s="20" t="n">
        <f aca="false">AG75*(Slot2_Cost-AL75)</f>
        <v>0</v>
      </c>
      <c r="AQ75" s="20" t="n">
        <f aca="false">IF(AND(Slot3_On=1,D75=Slot3_Age),1,0)</f>
        <v>0</v>
      </c>
      <c r="AR75" s="20" t="n">
        <f aca="false">IF(AND(Slot3_On=1,Slot3_Age&gt;D75),1,0)</f>
        <v>0</v>
      </c>
      <c r="AS75" s="20" t="n">
        <f aca="false">QU74</f>
        <v>0</v>
      </c>
      <c r="AT75" s="20" t="n">
        <f aca="false">AQ75*MIN(Slot3_Cost,AS75)</f>
        <v>0</v>
      </c>
      <c r="AU75" s="20" t="n">
        <f aca="false">AQ75*Slot3_SpendLike*MIN(Slot3_Cost-AT75,AM75)</f>
        <v>0</v>
      </c>
      <c r="AV75" s="20" t="n">
        <f aca="false">AT75+AU75</f>
        <v>0</v>
      </c>
      <c r="AW75" s="20" t="n">
        <f aca="false">AM75-AU75+AQ75*IF(Slot3_SpendLike=1,AS75-AT75,IF(Slot3_PotFree=1,AS75,0))</f>
        <v>0</v>
      </c>
      <c r="AX75" s="20" t="n">
        <f aca="false">AN75+AQ75*Slot3_BufPot*AS75</f>
        <v>0</v>
      </c>
      <c r="AY75" s="20" t="n">
        <f aca="false">IF(AND(AQ75=1,Slot3_IsMfree=1),IF(AV75&gt;=Slot3_Cost-1,0,MAX(0,AO75-AV75)),AO75)</f>
        <v>0</v>
      </c>
      <c r="AZ75" s="20" t="n">
        <f aca="false">AQ75*(Slot3_Cost-AV75)</f>
        <v>0</v>
      </c>
      <c r="BA75" s="20" t="n">
        <f aca="false">IF(AND(Slot4_On=1,D75=Slot4_Age),1,0)</f>
        <v>0</v>
      </c>
      <c r="BB75" s="20" t="n">
        <f aca="false">IF(AND(Slot4_On=1,Slot4_Age&gt;D75),1,0)</f>
        <v>0</v>
      </c>
      <c r="BC75" s="20" t="n">
        <f aca="false">QY74</f>
        <v>0</v>
      </c>
      <c r="BD75" s="20" t="n">
        <f aca="false">BA75*MIN(Slot4_Cost,BC75)</f>
        <v>0</v>
      </c>
      <c r="BE75" s="20" t="n">
        <f aca="false">BA75*Slot4_SpendLike*MIN(Slot4_Cost-BD75,AW75)</f>
        <v>0</v>
      </c>
      <c r="BF75" s="20" t="n">
        <f aca="false">BD75+BE75</f>
        <v>0</v>
      </c>
      <c r="BG75" s="20" t="n">
        <f aca="false">AW75-BE75+BA75*IF(Slot4_SpendLike=1,BC75-BD75,IF(Slot4_PotFree=1,BC75,0))</f>
        <v>0</v>
      </c>
      <c r="BH75" s="20" t="n">
        <f aca="false">AX75+BA75*Slot4_BufPot*BC75</f>
        <v>0</v>
      </c>
      <c r="BI75" s="20" t="n">
        <f aca="false">IF(AND(BA75=1,Slot4_IsMfree=1),IF(BF75&gt;=Slot4_Cost-1,0,MAX(0,AY75-BF75)),AY75)</f>
        <v>0</v>
      </c>
      <c r="BJ75" s="20" t="n">
        <f aca="false">BA75*(Slot4_Cost-BF75)</f>
        <v>0</v>
      </c>
      <c r="BK75" s="20" t="n">
        <f aca="false">IF(AND(Slot5_On=1,D75=Slot5_Age),1,0)</f>
        <v>0</v>
      </c>
      <c r="BL75" s="20" t="n">
        <f aca="false">IF(AND(Slot5_On=1,Slot5_Age&gt;D75),1,0)</f>
        <v>0</v>
      </c>
      <c r="BM75" s="20" t="n">
        <f aca="false">RC74</f>
        <v>0</v>
      </c>
      <c r="BN75" s="20" t="n">
        <f aca="false">BK75*MIN(Slot5_Cost,BM75)</f>
        <v>0</v>
      </c>
      <c r="BO75" s="20" t="n">
        <f aca="false">BK75*Slot5_SpendLike*MIN(Slot5_Cost-BN75,BG75)</f>
        <v>0</v>
      </c>
      <c r="BP75" s="20" t="n">
        <f aca="false">BN75+BO75</f>
        <v>0</v>
      </c>
      <c r="BQ75" s="20" t="n">
        <f aca="false">BG75-BO75+BK75*IF(Slot5_SpendLike=1,BM75-BN75,IF(Slot5_PotFree=1,BM75,0))</f>
        <v>0</v>
      </c>
      <c r="BR75" s="20" t="n">
        <f aca="false">BH75+BK75*Slot5_BufPot*BM75</f>
        <v>0</v>
      </c>
      <c r="BS75" s="20" t="n">
        <f aca="false">IF(AND(BK75=1,Slot5_IsMfree=1),IF(BP75&gt;=Slot5_Cost-1,0,MAX(0,BI75-BP75)),BI75)</f>
        <v>0</v>
      </c>
      <c r="BT75" s="20" t="n">
        <f aca="false">BK75*(Slot5_Cost-BP75)</f>
        <v>0</v>
      </c>
      <c r="BU75" s="20" t="n">
        <f aca="false">IF(AND(Slot6_On=1,D75=Slot6_Age),1,0)</f>
        <v>0</v>
      </c>
      <c r="BV75" s="20" t="n">
        <f aca="false">IF(AND(Slot6_On=1,Slot6_Age&gt;D75),1,0)</f>
        <v>0</v>
      </c>
      <c r="BW75" s="20" t="n">
        <f aca="false">RG74</f>
        <v>0</v>
      </c>
      <c r="BX75" s="20" t="n">
        <f aca="false">BU75*MIN(Slot6_Cost,BW75)</f>
        <v>0</v>
      </c>
      <c r="BY75" s="20" t="n">
        <f aca="false">BU75*Slot6_SpendLike*MIN(Slot6_Cost-BX75,BQ75)</f>
        <v>0</v>
      </c>
      <c r="BZ75" s="20" t="n">
        <f aca="false">BX75+BY75</f>
        <v>0</v>
      </c>
      <c r="CA75" s="20" t="n">
        <f aca="false">BQ75-BY75+BU75*IF(Slot6_SpendLike=1,BW75-BX75,IF(Slot6_PotFree=1,BW75,0))</f>
        <v>0</v>
      </c>
      <c r="CB75" s="20" t="n">
        <f aca="false">BR75+BU75*Slot6_BufPot*BW75</f>
        <v>0</v>
      </c>
      <c r="CC75" s="20" t="n">
        <f aca="false">IF(AND(BU75=1,Slot6_IsMfree=1),IF(BZ75&gt;=Slot6_Cost-1,0,MAX(0,BS75-BZ75)),BS75)</f>
        <v>0</v>
      </c>
      <c r="CD75" s="20" t="n">
        <f aca="false">BU75*(Slot6_Cost-BZ75)</f>
        <v>0</v>
      </c>
      <c r="CE75" s="20" t="n">
        <f aca="false">IF(AND(Slot7_On=1,D75=Slot7_Age),1,0)</f>
        <v>0</v>
      </c>
      <c r="CF75" s="20" t="n">
        <f aca="false">IF(AND(Slot7_On=1,Slot7_Age&gt;D75),1,0)</f>
        <v>0</v>
      </c>
      <c r="CG75" s="20" t="n">
        <f aca="false">RK74</f>
        <v>0</v>
      </c>
      <c r="CH75" s="20" t="n">
        <f aca="false">CE75*MIN(Slot7_Cost,CG75)</f>
        <v>0</v>
      </c>
      <c r="CI75" s="20" t="n">
        <f aca="false">CE75*Slot7_SpendLike*MIN(Slot7_Cost-CH75,CA75)</f>
        <v>0</v>
      </c>
      <c r="CJ75" s="20" t="n">
        <f aca="false">CH75+CI75</f>
        <v>0</v>
      </c>
      <c r="CK75" s="20" t="n">
        <f aca="false">CA75-CI75+CE75*IF(Slot7_SpendLike=1,CG75-CH75,IF(Slot7_PotFree=1,CG75,0))</f>
        <v>0</v>
      </c>
      <c r="CL75" s="20" t="n">
        <f aca="false">CB75+CE75*Slot7_BufPot*CG75</f>
        <v>0</v>
      </c>
      <c r="CM75" s="20" t="n">
        <f aca="false">IF(AND(CE75=1,Slot7_IsMfree=1),IF(CJ75&gt;=Slot7_Cost-1,0,MAX(0,CC75-CJ75)),CC75)</f>
        <v>0</v>
      </c>
      <c r="CN75" s="20" t="n">
        <f aca="false">CE75*(Slot7_Cost-CJ75)</f>
        <v>0</v>
      </c>
      <c r="CO75" s="20" t="n">
        <f aca="false">IF(AND(Slot8_On=1,D75=Slot8_Age),1,0)</f>
        <v>0</v>
      </c>
      <c r="CP75" s="20" t="n">
        <f aca="false">IF(AND(Slot8_On=1,Slot8_Age&gt;D75),1,0)</f>
        <v>0</v>
      </c>
      <c r="CQ75" s="20" t="n">
        <f aca="false">RO74</f>
        <v>0</v>
      </c>
      <c r="CR75" s="20" t="n">
        <f aca="false">CO75*MIN(Slot8_Cost,CQ75)</f>
        <v>0</v>
      </c>
      <c r="CS75" s="20" t="n">
        <f aca="false">CO75*Slot8_SpendLike*MIN(Slot8_Cost-CR75,CK75)</f>
        <v>0</v>
      </c>
      <c r="CT75" s="20" t="n">
        <f aca="false">CR75+CS75</f>
        <v>0</v>
      </c>
      <c r="CU75" s="20" t="n">
        <f aca="false">CK75-CS75+CO75*IF(Slot8_SpendLike=1,CQ75-CR75,IF(Slot8_PotFree=1,CQ75,0))</f>
        <v>0</v>
      </c>
      <c r="CV75" s="20" t="n">
        <f aca="false">CL75+CO75*Slot8_BufPot*CQ75</f>
        <v>0</v>
      </c>
      <c r="CW75" s="20" t="n">
        <f aca="false">IF(AND(CO75=1,Slot8_IsMfree=1),IF(CT75&gt;=Slot8_Cost-1,0,MAX(0,CM75-CT75)),CM75)</f>
        <v>0</v>
      </c>
      <c r="CX75" s="20" t="n">
        <f aca="false">CO75*(Slot8_Cost-CT75)</f>
        <v>0</v>
      </c>
      <c r="CY75" s="20" t="n">
        <f aca="false">IF(AND(Slot9_On=1,D75=Slot9_Age),1,0)</f>
        <v>0</v>
      </c>
      <c r="CZ75" s="20" t="n">
        <f aca="false">IF(AND(Slot9_On=1,Slot9_Age&gt;D75),1,0)</f>
        <v>0</v>
      </c>
      <c r="DA75" s="20" t="n">
        <f aca="false">RS74</f>
        <v>0</v>
      </c>
      <c r="DB75" s="20" t="n">
        <f aca="false">CY75*MIN(Slot9_Cost,DA75)</f>
        <v>0</v>
      </c>
      <c r="DC75" s="20" t="n">
        <f aca="false">CY75*Slot9_SpendLike*MIN(Slot9_Cost-DB75,CU75)</f>
        <v>0</v>
      </c>
      <c r="DD75" s="20" t="n">
        <f aca="false">DB75+DC75</f>
        <v>0</v>
      </c>
      <c r="DE75" s="20" t="n">
        <f aca="false">CU75-DC75+CY75*IF(Slot9_SpendLike=1,DA75-DB75,IF(Slot9_PotFree=1,DA75,0))</f>
        <v>0</v>
      </c>
      <c r="DF75" s="20" t="n">
        <f aca="false">CV75+CY75*Slot9_BufPot*DA75</f>
        <v>0</v>
      </c>
      <c r="DG75" s="20" t="n">
        <f aca="false">IF(AND(CY75=1,Slot9_IsMfree=1),IF(DD75&gt;=Slot9_Cost-1,0,MAX(0,CW75-DD75)),CW75)</f>
        <v>0</v>
      </c>
      <c r="DH75" s="20" t="n">
        <f aca="false">CY75*(Slot9_Cost-DD75)</f>
        <v>0</v>
      </c>
      <c r="DI75" s="20" t="n">
        <f aca="false">IF(AND(Slot10_On=1,D75=Slot10_Age),1,0)</f>
        <v>0</v>
      </c>
      <c r="DJ75" s="20" t="n">
        <f aca="false">IF(AND(Slot10_On=1,Slot10_Age&gt;D75),1,0)</f>
        <v>0</v>
      </c>
      <c r="DK75" s="20" t="n">
        <f aca="false">RW74</f>
        <v>0</v>
      </c>
      <c r="DL75" s="20" t="n">
        <f aca="false">DI75*MIN(Slot10_Cost,DK75)</f>
        <v>0</v>
      </c>
      <c r="DM75" s="20" t="n">
        <f aca="false">DI75*Slot10_SpendLike*MIN(Slot10_Cost-DL75,DE75)</f>
        <v>0</v>
      </c>
      <c r="DN75" s="20" t="n">
        <f aca="false">DL75+DM75</f>
        <v>0</v>
      </c>
      <c r="DO75" s="20" t="n">
        <f aca="false">DE75-DM75+DI75*IF(Slot10_SpendLike=1,DK75-DL75,IF(Slot10_PotFree=1,DK75,0))</f>
        <v>0</v>
      </c>
      <c r="DP75" s="20" t="n">
        <f aca="false">DF75+DI75*Slot10_BufPot*DK75</f>
        <v>0</v>
      </c>
      <c r="DQ75" s="20" t="n">
        <f aca="false">IF(AND(DI75=1,Slot10_IsMfree=1),IF(DN75&gt;=Slot10_Cost-1,0,MAX(0,DG75-DN75)),DG75)</f>
        <v>0</v>
      </c>
      <c r="DR75" s="20" t="n">
        <f aca="false">DI75*(Slot10_Cost-DN75)</f>
        <v>0</v>
      </c>
      <c r="DS75" s="20" t="n">
        <f aca="false">IF(AND(Slot11_On=1,D75=Slot11_Age),1,0)</f>
        <v>0</v>
      </c>
      <c r="DT75" s="20" t="n">
        <f aca="false">IF(AND(Slot11_On=1,Slot11_Age&gt;D75),1,0)</f>
        <v>0</v>
      </c>
      <c r="DU75" s="20" t="n">
        <f aca="false">SA74</f>
        <v>0</v>
      </c>
      <c r="DV75" s="20" t="n">
        <f aca="false">DS75*MIN(Slot11_Cost,DU75)</f>
        <v>0</v>
      </c>
      <c r="DW75" s="20" t="n">
        <f aca="false">DS75*Slot11_SpendLike*MIN(Slot11_Cost-DV75,DO75)</f>
        <v>0</v>
      </c>
      <c r="DX75" s="20" t="n">
        <f aca="false">DV75+DW75</f>
        <v>0</v>
      </c>
      <c r="DY75" s="20" t="n">
        <f aca="false">DO75-DW75+DS75*IF(Slot11_SpendLike=1,DU75-DV75,IF(Slot11_PotFree=1,DU75,0))</f>
        <v>0</v>
      </c>
      <c r="DZ75" s="20" t="n">
        <f aca="false">DP75+DS75*Slot11_BufPot*DU75</f>
        <v>0</v>
      </c>
      <c r="EA75" s="20" t="n">
        <f aca="false">IF(AND(DS75=1,Slot11_IsMfree=1),IF(DX75&gt;=Slot11_Cost-1,0,MAX(0,DQ75-DX75)),DQ75)</f>
        <v>0</v>
      </c>
      <c r="EB75" s="20" t="n">
        <f aca="false">DS75*(Slot11_Cost-DX75)</f>
        <v>0</v>
      </c>
      <c r="EC75" s="20" t="n">
        <f aca="false">IF(AND(Slot12_On=1,D75=Slot12_Age),1,0)</f>
        <v>0</v>
      </c>
      <c r="ED75" s="20" t="n">
        <f aca="false">IF(AND(Slot12_On=1,Slot12_Age&gt;D75),1,0)</f>
        <v>0</v>
      </c>
      <c r="EE75" s="20" t="n">
        <f aca="false">SE74</f>
        <v>0</v>
      </c>
      <c r="EF75" s="20" t="n">
        <f aca="false">EC75*MIN(Slot12_Cost,EE75)</f>
        <v>0</v>
      </c>
      <c r="EG75" s="20" t="n">
        <f aca="false">EC75*Slot12_SpendLike*MIN(Slot12_Cost-EF75,DY75)</f>
        <v>0</v>
      </c>
      <c r="EH75" s="20" t="n">
        <f aca="false">EF75+EG75</f>
        <v>0</v>
      </c>
      <c r="EI75" s="20" t="n">
        <f aca="false">DY75-EG75+EC75*IF(Slot12_SpendLike=1,EE75-EF75,IF(Slot12_PotFree=1,EE75,0))</f>
        <v>0</v>
      </c>
      <c r="EJ75" s="20" t="n">
        <f aca="false">DZ75+EC75*Slot12_BufPot*EE75</f>
        <v>0</v>
      </c>
      <c r="EK75" s="20" t="n">
        <f aca="false">IF(AND(EC75=1,Slot12_IsMfree=1),IF(EH75&gt;=Slot12_Cost-1,0,MAX(0,EA75-EH75)),EA75)</f>
        <v>0</v>
      </c>
      <c r="EL75" s="20" t="n">
        <f aca="false">EC75*(Slot12_Cost-EH75)</f>
        <v>0</v>
      </c>
      <c r="EM75" s="20" t="n">
        <f aca="false">IF(AND(Slot13_On=1,D75=Slot13_Age),1,0)</f>
        <v>0</v>
      </c>
      <c r="EN75" s="20" t="n">
        <f aca="false">IF(AND(Slot13_On=1,Slot13_Age&gt;D75),1,0)</f>
        <v>0</v>
      </c>
      <c r="EO75" s="20" t="n">
        <f aca="false">SI74</f>
        <v>0</v>
      </c>
      <c r="EP75" s="20" t="n">
        <f aca="false">EM75*MIN(Slot13_Cost,EO75)</f>
        <v>0</v>
      </c>
      <c r="EQ75" s="20" t="n">
        <f aca="false">EM75*Slot13_SpendLike*MIN(Slot13_Cost-EP75,EI75)</f>
        <v>0</v>
      </c>
      <c r="ER75" s="20" t="n">
        <f aca="false">EP75+EQ75</f>
        <v>0</v>
      </c>
      <c r="ES75" s="20" t="n">
        <f aca="false">EI75-EQ75+EM75*IF(Slot13_SpendLike=1,EO75-EP75,IF(Slot13_PotFree=1,EO75,0))</f>
        <v>0</v>
      </c>
      <c r="ET75" s="20" t="n">
        <f aca="false">EJ75+EM75*Slot13_BufPot*EO75</f>
        <v>0</v>
      </c>
      <c r="EU75" s="20" t="n">
        <f aca="false">IF(AND(EM75=1,Slot13_IsMfree=1),IF(ER75&gt;=Slot13_Cost-1,0,MAX(0,EK75-ER75)),EK75)</f>
        <v>0</v>
      </c>
      <c r="EV75" s="20" t="n">
        <f aca="false">EM75*(Slot13_Cost-ER75)</f>
        <v>0</v>
      </c>
      <c r="EW75" s="20" t="n">
        <f aca="false">IF(AND(Slot14_On=1,D75=Slot14_Age),1,0)</f>
        <v>0</v>
      </c>
      <c r="EX75" s="20" t="n">
        <f aca="false">IF(AND(Slot14_On=1,Slot14_Age&gt;D75),1,0)</f>
        <v>0</v>
      </c>
      <c r="EY75" s="20" t="n">
        <f aca="false">SM74</f>
        <v>0</v>
      </c>
      <c r="EZ75" s="20" t="n">
        <f aca="false">EW75*MIN(Slot14_Cost,EY75)</f>
        <v>0</v>
      </c>
      <c r="FA75" s="20" t="n">
        <f aca="false">EW75*Slot14_SpendLike*MIN(Slot14_Cost-EZ75,ES75)</f>
        <v>0</v>
      </c>
      <c r="FB75" s="20" t="n">
        <f aca="false">EZ75+FA75</f>
        <v>0</v>
      </c>
      <c r="FC75" s="20" t="n">
        <f aca="false">ES75-FA75+EW75*IF(Slot14_SpendLike=1,EY75-EZ75,IF(Slot14_PotFree=1,EY75,0))</f>
        <v>0</v>
      </c>
      <c r="FD75" s="20" t="n">
        <f aca="false">ET75+EW75*Slot14_BufPot*EY75</f>
        <v>0</v>
      </c>
      <c r="FE75" s="20" t="n">
        <f aca="false">IF(AND(EW75=1,Slot14_IsMfree=1),IF(FB75&gt;=Slot14_Cost-1,0,MAX(0,EU75-FB75)),EU75)</f>
        <v>0</v>
      </c>
      <c r="FF75" s="20" t="n">
        <f aca="false">EW75*(Slot14_Cost-FB75)</f>
        <v>0</v>
      </c>
      <c r="FG75" s="20" t="n">
        <f aca="false">IF(AND(Slot15_On=1,D75=Slot15_Age),1,0)</f>
        <v>0</v>
      </c>
      <c r="FH75" s="20" t="n">
        <f aca="false">IF(AND(Slot15_On=1,Slot15_Age&gt;D75),1,0)</f>
        <v>0</v>
      </c>
      <c r="FI75" s="20" t="n">
        <f aca="false">SQ74</f>
        <v>0</v>
      </c>
      <c r="FJ75" s="20" t="n">
        <f aca="false">FG75*MIN(Slot15_Cost,FI75)</f>
        <v>0</v>
      </c>
      <c r="FK75" s="20" t="n">
        <f aca="false">FG75*Slot15_SpendLike*MIN(Slot15_Cost-FJ75,FC75)</f>
        <v>0</v>
      </c>
      <c r="FL75" s="20" t="n">
        <f aca="false">FJ75+FK75</f>
        <v>0</v>
      </c>
      <c r="FM75" s="20" t="n">
        <f aca="false">FC75-FK75+FG75*IF(Slot15_SpendLike=1,FI75-FJ75,IF(Slot15_PotFree=1,FI75,0))</f>
        <v>0</v>
      </c>
      <c r="FN75" s="20" t="n">
        <f aca="false">FD75+FG75*Slot15_BufPot*FI75</f>
        <v>0</v>
      </c>
      <c r="FO75" s="20" t="n">
        <f aca="false">IF(AND(FG75=1,Slot15_IsMfree=1),IF(FL75&gt;=Slot15_Cost-1,0,MAX(0,FE75-FL75)),FE75)</f>
        <v>0</v>
      </c>
      <c r="FP75" s="20" t="n">
        <f aca="false">FG75*(Slot15_Cost-FL75)</f>
        <v>0</v>
      </c>
      <c r="FQ75" s="20" t="n">
        <f aca="false">IF(AND(Slot16_On=1,D75=Slot16_Age),1,0)</f>
        <v>0</v>
      </c>
      <c r="FR75" s="20" t="n">
        <f aca="false">IF(AND(Slot16_On=1,Slot16_Age&gt;D75),1,0)</f>
        <v>0</v>
      </c>
      <c r="FS75" s="20" t="n">
        <f aca="false">SU74</f>
        <v>0</v>
      </c>
      <c r="FT75" s="20" t="n">
        <f aca="false">FQ75*MIN(Slot16_Cost,FS75)</f>
        <v>0</v>
      </c>
      <c r="FU75" s="20" t="n">
        <f aca="false">FQ75*Slot16_SpendLike*MIN(Slot16_Cost-FT75,FM75)</f>
        <v>0</v>
      </c>
      <c r="FV75" s="20" t="n">
        <f aca="false">FT75+FU75</f>
        <v>0</v>
      </c>
      <c r="FW75" s="20" t="n">
        <f aca="false">FM75-FU75+FQ75*IF(Slot16_SpendLike=1,FS75-FT75,IF(Slot16_PotFree=1,FS75,0))</f>
        <v>0</v>
      </c>
      <c r="FX75" s="20" t="n">
        <f aca="false">FN75+FQ75*Slot16_BufPot*FS75</f>
        <v>0</v>
      </c>
      <c r="FY75" s="20" t="n">
        <f aca="false">IF(AND(FQ75=1,Slot16_IsMfree=1),IF(FV75&gt;=Slot16_Cost-1,0,MAX(0,FO75-FV75)),FO75)</f>
        <v>0</v>
      </c>
      <c r="FZ75" s="20" t="n">
        <f aca="false">FQ75*(Slot16_Cost-FV75)</f>
        <v>0</v>
      </c>
      <c r="GA75" s="20" t="n">
        <f aca="false">IF(AND(Slot17_On=1,D75=Slot17_Age),1,0)</f>
        <v>0</v>
      </c>
      <c r="GB75" s="20" t="n">
        <f aca="false">IF(AND(Slot17_On=1,Slot17_Age&gt;D75),1,0)</f>
        <v>0</v>
      </c>
      <c r="GC75" s="20" t="n">
        <f aca="false">SY74</f>
        <v>0</v>
      </c>
      <c r="GD75" s="20" t="n">
        <f aca="false">GA75*MIN(Slot17_Cost,GC75)</f>
        <v>0</v>
      </c>
      <c r="GE75" s="20" t="n">
        <f aca="false">GA75*Slot17_SpendLike*MIN(Slot17_Cost-GD75,FW75)</f>
        <v>0</v>
      </c>
      <c r="GF75" s="20" t="n">
        <f aca="false">GD75+GE75</f>
        <v>0</v>
      </c>
      <c r="GG75" s="20" t="n">
        <f aca="false">FW75-GE75+GA75*IF(Slot17_SpendLike=1,GC75-GD75,IF(Slot17_PotFree=1,GC75,0))</f>
        <v>0</v>
      </c>
      <c r="GH75" s="20" t="n">
        <f aca="false">FX75+GA75*Slot17_BufPot*GC75</f>
        <v>0</v>
      </c>
      <c r="GI75" s="20" t="n">
        <f aca="false">IF(AND(GA75=1,Slot17_IsMfree=1),IF(GF75&gt;=Slot17_Cost-1,0,MAX(0,FY75-GF75)),FY75)</f>
        <v>0</v>
      </c>
      <c r="GJ75" s="20" t="n">
        <f aca="false">GA75*(Slot17_Cost-GF75)</f>
        <v>0</v>
      </c>
      <c r="GK75" s="20" t="n">
        <f aca="false">IF(AND(Slot18_On=1,D75=Slot18_Age),1,0)</f>
        <v>0</v>
      </c>
      <c r="GL75" s="20" t="n">
        <f aca="false">IF(AND(Slot18_On=1,Slot18_Age&gt;D75),1,0)</f>
        <v>0</v>
      </c>
      <c r="GM75" s="20" t="n">
        <f aca="false">TC74</f>
        <v>0</v>
      </c>
      <c r="GN75" s="20" t="n">
        <f aca="false">GK75*MIN(Slot18_Cost,GM75)</f>
        <v>0</v>
      </c>
      <c r="GO75" s="20" t="n">
        <f aca="false">GK75*Slot18_SpendLike*MIN(Slot18_Cost-GN75,GG75)</f>
        <v>0</v>
      </c>
      <c r="GP75" s="20" t="n">
        <f aca="false">GN75+GO75</f>
        <v>0</v>
      </c>
      <c r="GQ75" s="20" t="n">
        <f aca="false">GG75-GO75+GK75*IF(Slot18_SpendLike=1,GM75-GN75,IF(Slot18_PotFree=1,GM75,0))</f>
        <v>0</v>
      </c>
      <c r="GR75" s="20" t="n">
        <f aca="false">GH75+GK75*Slot18_BufPot*GM75</f>
        <v>0</v>
      </c>
      <c r="GS75" s="20" t="n">
        <f aca="false">IF(AND(GK75=1,Slot18_IsMfree=1),IF(GP75&gt;=Slot18_Cost-1,0,MAX(0,GI75-GP75)),GI75)</f>
        <v>0</v>
      </c>
      <c r="GT75" s="20" t="n">
        <f aca="false">GK75*(Slot18_Cost-GP75)</f>
        <v>0</v>
      </c>
      <c r="GU75" s="20" t="n">
        <f aca="false">IF(AND(Slot19_On=1,D75=Slot19_Age),1,0)</f>
        <v>0</v>
      </c>
      <c r="GV75" s="20" t="n">
        <f aca="false">IF(AND(Slot19_On=1,Slot19_Age&gt;D75),1,0)</f>
        <v>0</v>
      </c>
      <c r="GW75" s="20" t="n">
        <f aca="false">TG74</f>
        <v>0</v>
      </c>
      <c r="GX75" s="20" t="n">
        <f aca="false">GU75*MIN(Slot19_Cost,GW75)</f>
        <v>0</v>
      </c>
      <c r="GY75" s="20" t="n">
        <f aca="false">GU75*Slot19_SpendLike*MIN(Slot19_Cost-GX75,GQ75)</f>
        <v>0</v>
      </c>
      <c r="GZ75" s="20" t="n">
        <f aca="false">GX75+GY75</f>
        <v>0</v>
      </c>
      <c r="HA75" s="20" t="n">
        <f aca="false">GQ75-GY75+GU75*IF(Slot19_SpendLike=1,GW75-GX75,IF(Slot19_PotFree=1,GW75,0))</f>
        <v>0</v>
      </c>
      <c r="HB75" s="20" t="n">
        <f aca="false">GR75+GU75*Slot19_BufPot*GW75</f>
        <v>0</v>
      </c>
      <c r="HC75" s="20" t="n">
        <f aca="false">IF(AND(GU75=1,Slot19_IsMfree=1),IF(GZ75&gt;=Slot19_Cost-1,0,MAX(0,GS75-GZ75)),GS75)</f>
        <v>0</v>
      </c>
      <c r="HD75" s="20" t="n">
        <f aca="false">GU75*(Slot19_Cost-GZ75)</f>
        <v>0</v>
      </c>
      <c r="HE75" s="20" t="n">
        <f aca="false">IF(AND(Slot20_On=1,D75=Slot20_Age),1,0)</f>
        <v>0</v>
      </c>
      <c r="HF75" s="20" t="n">
        <f aca="false">IF(AND(Slot20_On=1,Slot20_Age&gt;D75),1,0)</f>
        <v>0</v>
      </c>
      <c r="HG75" s="20" t="n">
        <f aca="false">TK74</f>
        <v>0</v>
      </c>
      <c r="HH75" s="20" t="n">
        <f aca="false">HE75*MIN(Slot20_Cost,HG75)</f>
        <v>0</v>
      </c>
      <c r="HI75" s="20" t="n">
        <f aca="false">HE75*Slot20_SpendLike*MIN(Slot20_Cost-HH75,HA75)</f>
        <v>0</v>
      </c>
      <c r="HJ75" s="20" t="n">
        <f aca="false">HH75+HI75</f>
        <v>0</v>
      </c>
      <c r="HK75" s="20" t="n">
        <f aca="false">HA75-HI75+HE75*IF(Slot20_SpendLike=1,HG75-HH75,IF(Slot20_PotFree=1,HG75,0))</f>
        <v>0</v>
      </c>
      <c r="HL75" s="20" t="n">
        <f aca="false">HB75+HE75*Slot20_BufPot*HG75</f>
        <v>0</v>
      </c>
      <c r="HM75" s="20" t="n">
        <f aca="false">IF(AND(HE75=1,Slot20_IsMfree=1),IF(HJ75&gt;=Slot20_Cost-1,0,MAX(0,HC75-HJ75)),HC75)</f>
        <v>0</v>
      </c>
      <c r="HN75" s="20" t="n">
        <f aca="false">HE75*(Slot20_Cost-HJ75)</f>
        <v>0</v>
      </c>
      <c r="HO75" s="20" t="n">
        <f aca="false">V75*Slot1_SpendLike*AA75+AG75*Slot2_SpendLike*AL75+AQ75*Slot3_SpendLike*AV75+BA75*Slot4_SpendLike*BF75+BK75*Slot5_SpendLike*BP75+BU75*Slot6_SpendLike*BZ75+CE75*Slot7_SpendLike*CJ75+CO75*Slot8_SpendLike*CT75+CY75*Slot9_SpendLike*DD75+DI75*Slot10_SpendLike*DN75+DS75*Slot11_SpendLike*DX75+EC75*Slot12_SpendLike*EH75+EM75*Slot13_SpendLike*ER75+EW75*Slot14_SpendLike*FB75+FG75*Slot15_SpendLike*FL75+FQ75*Slot16_SpendLike*FV75+GA75*Slot17_SpendLike*GF75+GK75*Slot18_SpendLike*GP75+GU75*Slot19_SpendLike*GZ75+HE75*Slot20_SpendLike*HJ75</f>
        <v>0</v>
      </c>
      <c r="HP75" s="20" t="n">
        <f aca="false">AE75+AP75+AZ75+BJ75+BT75+CD75+CN75+CX75+DH75+DR75+EB75+EL75+EV75+FF75+FP75+FZ75+GJ75+GT75+HD75+HN75</f>
        <v>0</v>
      </c>
      <c r="HQ75" s="20" t="n">
        <f aca="false">V75*Slot1_Cost+AG75*Slot2_Cost+AQ75*Slot3_Cost+BA75*Slot4_Cost+BK75*Slot5_Cost+BU75*Slot6_Cost+CE75*Slot7_Cost+CO75*Slot8_Cost+CY75*Slot9_Cost+DI75*Slot10_Cost+DS75*Slot11_Cost+EC75*Slot12_Cost+EM75*Slot13_Cost+EW75*Slot14_Cost+FG75*Slot15_Cost+FQ75*Slot16_Cost+GA75*Slot17_Cost+GK75*Slot18_Cost+GU75*Slot19_Cost+HE75*Slot20_Cost</f>
        <v>0</v>
      </c>
      <c r="HR75" s="20" t="n">
        <f aca="false">HM75</f>
        <v>0</v>
      </c>
      <c r="HS75" s="20" t="n">
        <f aca="false">H75-I75-S75</f>
        <v>-72609.2989625512</v>
      </c>
      <c r="HT75" s="20" t="n">
        <f aca="false">IF(B75=0,IF(AND(Has_q6=1,In_q6=4),PR_ShareVaries*(MAX(0,HS75)/12),MIN(IF(Has_q6=1,CHOOSE(In_q6+1,PR_SaveB1,PR_SaveB2,PR_SaveB3,PR_SaveB4,0),AS_NoAnswer),AS_SaveShare*(MAX(0,HS75)/12))),HT74)</f>
        <v>67.3316893520437</v>
      </c>
      <c r="HU75" s="20" t="n">
        <f aca="false">IF(HS75&gt;=0,1,0)</f>
        <v>0</v>
      </c>
      <c r="HV75" s="20" t="n">
        <f aca="false">MAX(0,HS75/12/F75)</f>
        <v>0</v>
      </c>
      <c r="HW75" s="20" t="n">
        <f aca="false">IF(AND(Has_q6=1,In_q6=4),PR_ShareVaries*(HV75),MIN(IF(Has_q6=1,CHOOSE(In_q6+1,PR_SaveB1,PR_SaveB2,PR_SaveB3,PR_SaveB4,0),AS_NoAnswer),AS_SaveShare*(HV75)))</f>
        <v>0</v>
      </c>
      <c r="HX75" s="20" t="n">
        <f aca="false">IF(Has_saveM=1,IF(In_saveUp="Yes",1,IF(In_saveUp="No",0,IF(In_saveM&gt;=HT75-0.5,1,0))),0)</f>
        <v>0</v>
      </c>
      <c r="HY75" s="20" t="n">
        <f aca="false">IF(Has_saveM=1,MIN(HV75,IF(HX75=1,MAX(In_saveM,HW75),MIN(In_saveM,HW75))),HW75)</f>
        <v>0</v>
      </c>
      <c r="HZ75" s="20" t="n">
        <f aca="false">IF(G75=1,HY75*12*F75,0)</f>
        <v>0</v>
      </c>
      <c r="IA75" s="20" t="n">
        <f aca="false">MAX(0,HZ75+IF(AND(WI_Retire=0,WI_M&lt;0,G75=1),WI_M*12*F75,0))</f>
        <v>0</v>
      </c>
      <c r="IB75" s="20" t="n">
        <f aca="false">Slot1_IsWG*W75+Slot2_IsWG*AH75+Slot3_IsWG*AR75+Slot4_IsWG*BB75+Slot5_IsWG*BL75+Slot6_IsWG*BV75+Slot7_IsWG*CF75+Slot8_IsWG*CP75+Slot9_IsWG*CZ75+Slot10_IsWG*DJ75+Slot11_IsWG*DT75+Slot12_IsWG*ED75+Slot13_IsWG*EN75+Slot14_IsWG*EX75+Slot15_IsWG*FH75+Slot16_IsWG*FR75+Slot17_IsWG*GB75+Slot18_IsWG*GL75+Slot19_IsWG*GV75+Slot20_IsWG*HF75</f>
        <v>0</v>
      </c>
      <c r="IC75" s="20" t="n">
        <f aca="false">IF(AND(WI_Retire=0,WI_M&gt;0,G75=1,IB75&gt;=1),WI_M*12*F75,0)</f>
        <v>0</v>
      </c>
      <c r="ID75" s="20" t="n">
        <f aca="false">IF(HU75=1,MIN(IA75,HS75),0)</f>
        <v>0</v>
      </c>
      <c r="IE75" s="20" t="n">
        <f aca="false">IF(HU75=1,MIN(IC75,HS75-ID75),0)</f>
        <v>0</v>
      </c>
      <c r="IF75" s="20" t="n">
        <f aca="false">IF(W75=1,IF(ABS((1+AS_Wage)/(1+Slot1_Rate)-1)&lt;0.000000000001,(Slot1_Age-D75)*(1+Slot1_Rate)^(Slot1_Age-D75),(1+Slot1_Rate)^(Slot1_Age-D75)*(1-((1+AS_Wage)/(1+Slot1_Rate))^(Slot1_Age-D75))/(1-(1+AS_Wage)/(1+Slot1_Rate))),1)</f>
        <v>1</v>
      </c>
      <c r="IG75" s="20" t="n">
        <f aca="false">IF(AND(HU75=1,IE75&gt;0,Slot1_IsWG=1,W75=1),MAX(0,(Slot1_Cost-X75*(1+Slot1_Rate)^(Slot1_Age-D75))/IF75),0)</f>
        <v>0</v>
      </c>
      <c r="IH75" s="20" t="n">
        <f aca="false">IF(AND(HU75=1,IE75&gt;0,Slot1_IsWG=1,W75=1),MIN(IE75,IG75),0)</f>
        <v>0</v>
      </c>
      <c r="II75" s="20" t="n">
        <f aca="false">X75+IH75</f>
        <v>0</v>
      </c>
      <c r="IJ75" s="20" t="n">
        <f aca="false">IF(W75=1,MAX(0,(Slot1_Cost-II75*(1+Slot1_Rate)^(Slot1_Age-D75))/IF75),0)</f>
        <v>0</v>
      </c>
      <c r="IK75" s="20" t="n">
        <f aca="false">IF(W75=1,MAX(0,(Slot1_Cost-X75*(1+Slot1_Rate)^(Slot1_Age-D75))/IF75),0)</f>
        <v>0</v>
      </c>
      <c r="IL75" s="20" t="n">
        <f aca="false">IF(AND(HU75=1,W75=1),MIN(ID75,IJ75),0)</f>
        <v>0</v>
      </c>
      <c r="IM75" s="20" t="n">
        <f aca="false">ID75-IL75</f>
        <v>0</v>
      </c>
      <c r="IN75" s="20" t="n">
        <f aca="false">IF(AH75=1,IF(ABS((1+AS_Wage)/(1+Slot2_Rate)-1)&lt;0.000000000001,(Slot2_Age-D75)*(1+Slot2_Rate)^(Slot2_Age-D75),(1+Slot2_Rate)^(Slot2_Age-D75)*(1-((1+AS_Wage)/(1+Slot2_Rate))^(Slot2_Age-D75))/(1-(1+AS_Wage)/(1+Slot2_Rate))),1)</f>
        <v>1</v>
      </c>
      <c r="IO75" s="20" t="n">
        <f aca="false">IF(AND(HU75=1,IE75&gt;0,Slot2_IsWG=1,AH75=1),MAX(0,(Slot2_Cost-AI75*(1+Slot2_Rate)^(Slot2_Age-D75))/IN75),0)</f>
        <v>0</v>
      </c>
      <c r="IP75" s="20" t="n">
        <f aca="false">IF(AND(HU75=1,IE75&gt;0,Slot2_IsWG=1,AH75=1),MIN(IE75,IO75),0)</f>
        <v>0</v>
      </c>
      <c r="IQ75" s="20" t="n">
        <f aca="false">AI75+IP75</f>
        <v>0</v>
      </c>
      <c r="IR75" s="20" t="n">
        <f aca="false">IF(AH75=1,MAX(0,(Slot2_Cost-IQ75*(1+Slot2_Rate)^(Slot2_Age-D75))/IN75),0)</f>
        <v>0</v>
      </c>
      <c r="IS75" s="20" t="n">
        <f aca="false">IF(AH75=1,MAX(0,(Slot2_Cost-AI75*(1+Slot2_Rate)^(Slot2_Age-D75))/IN75),0)</f>
        <v>0</v>
      </c>
      <c r="IT75" s="20" t="n">
        <f aca="false">IF(AND(HU75=1,AH75=1),MIN(IM75,IR75),0)</f>
        <v>0</v>
      </c>
      <c r="IU75" s="20" t="n">
        <f aca="false">IM75-IT75</f>
        <v>0</v>
      </c>
      <c r="IV75" s="20" t="n">
        <f aca="false">IF(AR75=1,IF(ABS((1+AS_Wage)/(1+Slot3_Rate)-1)&lt;0.000000000001,(Slot3_Age-D75)*(1+Slot3_Rate)^(Slot3_Age-D75),(1+Slot3_Rate)^(Slot3_Age-D75)*(1-((1+AS_Wage)/(1+Slot3_Rate))^(Slot3_Age-D75))/(1-(1+AS_Wage)/(1+Slot3_Rate))),1)</f>
        <v>1</v>
      </c>
      <c r="IW75" s="20" t="n">
        <f aca="false">IF(AND(HU75=1,IE75&gt;0,Slot3_IsWG=1,AR75=1),MAX(0,(Slot3_Cost-AS75*(1+Slot3_Rate)^(Slot3_Age-D75))/IV75),0)</f>
        <v>0</v>
      </c>
      <c r="IX75" s="20" t="n">
        <f aca="false">IF(AND(HU75=1,IE75&gt;0,Slot3_IsWG=1,AR75=1),MIN(IE75,IW75),0)</f>
        <v>0</v>
      </c>
      <c r="IY75" s="20" t="n">
        <f aca="false">AS75+IX75</f>
        <v>0</v>
      </c>
      <c r="IZ75" s="20" t="n">
        <f aca="false">IF(AR75=1,MAX(0,(Slot3_Cost-IY75*(1+Slot3_Rate)^(Slot3_Age-D75))/IV75),0)</f>
        <v>0</v>
      </c>
      <c r="JA75" s="20" t="n">
        <f aca="false">IF(AR75=1,MAX(0,(Slot3_Cost-AS75*(1+Slot3_Rate)^(Slot3_Age-D75))/IV75),0)</f>
        <v>0</v>
      </c>
      <c r="JB75" s="20" t="n">
        <f aca="false">IF(AND(HU75=1,AR75=1),MIN(IU75,IZ75),0)</f>
        <v>0</v>
      </c>
      <c r="JC75" s="20" t="n">
        <f aca="false">IU75-JB75</f>
        <v>0</v>
      </c>
      <c r="JD75" s="20" t="n">
        <f aca="false">IF(BB75=1,IF(ABS((1+AS_Wage)/(1+Slot4_Rate)-1)&lt;0.000000000001,(Slot4_Age-D75)*(1+Slot4_Rate)^(Slot4_Age-D75),(1+Slot4_Rate)^(Slot4_Age-D75)*(1-((1+AS_Wage)/(1+Slot4_Rate))^(Slot4_Age-D75))/(1-(1+AS_Wage)/(1+Slot4_Rate))),1)</f>
        <v>1</v>
      </c>
      <c r="JE75" s="20" t="n">
        <f aca="false">IF(AND(HU75=1,IE75&gt;0,Slot4_IsWG=1,BB75=1),MAX(0,(Slot4_Cost-BC75*(1+Slot4_Rate)^(Slot4_Age-D75))/JD75),0)</f>
        <v>0</v>
      </c>
      <c r="JF75" s="20" t="n">
        <f aca="false">IF(AND(HU75=1,IE75&gt;0,Slot4_IsWG=1,BB75=1),MIN(IE75,JE75),0)</f>
        <v>0</v>
      </c>
      <c r="JG75" s="20" t="n">
        <f aca="false">BC75+JF75</f>
        <v>0</v>
      </c>
      <c r="JH75" s="20" t="n">
        <f aca="false">IF(BB75=1,MAX(0,(Slot4_Cost-JG75*(1+Slot4_Rate)^(Slot4_Age-D75))/JD75),0)</f>
        <v>0</v>
      </c>
      <c r="JI75" s="20" t="n">
        <f aca="false">IF(BB75=1,MAX(0,(Slot4_Cost-BC75*(1+Slot4_Rate)^(Slot4_Age-D75))/JD75),0)</f>
        <v>0</v>
      </c>
      <c r="JJ75" s="20" t="n">
        <f aca="false">IF(AND(HU75=1,BB75=1),MIN(JC75,JH75),0)</f>
        <v>0</v>
      </c>
      <c r="JK75" s="20" t="n">
        <f aca="false">JC75-JJ75</f>
        <v>0</v>
      </c>
      <c r="JL75" s="20" t="n">
        <f aca="false">IF(BL75=1,IF(ABS((1+AS_Wage)/(1+Slot5_Rate)-1)&lt;0.000000000001,(Slot5_Age-D75)*(1+Slot5_Rate)^(Slot5_Age-D75),(1+Slot5_Rate)^(Slot5_Age-D75)*(1-((1+AS_Wage)/(1+Slot5_Rate))^(Slot5_Age-D75))/(1-(1+AS_Wage)/(1+Slot5_Rate))),1)</f>
        <v>1</v>
      </c>
      <c r="JM75" s="20" t="n">
        <f aca="false">IF(AND(HU75=1,IE75&gt;0,Slot5_IsWG=1,BL75=1),MAX(0,(Slot5_Cost-BM75*(1+Slot5_Rate)^(Slot5_Age-D75))/JL75),0)</f>
        <v>0</v>
      </c>
      <c r="JN75" s="20" t="n">
        <f aca="false">IF(AND(HU75=1,IE75&gt;0,Slot5_IsWG=1,BL75=1),MIN(IE75,JM75),0)</f>
        <v>0</v>
      </c>
      <c r="JO75" s="20" t="n">
        <f aca="false">BM75+JN75</f>
        <v>0</v>
      </c>
      <c r="JP75" s="20" t="n">
        <f aca="false">IF(BL75=1,MAX(0,(Slot5_Cost-JO75*(1+Slot5_Rate)^(Slot5_Age-D75))/JL75),0)</f>
        <v>0</v>
      </c>
      <c r="JQ75" s="20" t="n">
        <f aca="false">IF(BL75=1,MAX(0,(Slot5_Cost-BM75*(1+Slot5_Rate)^(Slot5_Age-D75))/JL75),0)</f>
        <v>0</v>
      </c>
      <c r="JR75" s="20" t="n">
        <f aca="false">IF(AND(HU75=1,BL75=1),MIN(JK75,JP75),0)</f>
        <v>0</v>
      </c>
      <c r="JS75" s="20" t="n">
        <f aca="false">JK75-JR75</f>
        <v>0</v>
      </c>
      <c r="JT75" s="20" t="n">
        <f aca="false">IF(BV75=1,IF(ABS((1+AS_Wage)/(1+Slot6_Rate)-1)&lt;0.000000000001,(Slot6_Age-D75)*(1+Slot6_Rate)^(Slot6_Age-D75),(1+Slot6_Rate)^(Slot6_Age-D75)*(1-((1+AS_Wage)/(1+Slot6_Rate))^(Slot6_Age-D75))/(1-(1+AS_Wage)/(1+Slot6_Rate))),1)</f>
        <v>1</v>
      </c>
      <c r="JU75" s="20" t="n">
        <f aca="false">IF(AND(HU75=1,IE75&gt;0,Slot6_IsWG=1,BV75=1),MAX(0,(Slot6_Cost-BW75*(1+Slot6_Rate)^(Slot6_Age-D75))/JT75),0)</f>
        <v>0</v>
      </c>
      <c r="JV75" s="20" t="n">
        <f aca="false">IF(AND(HU75=1,IE75&gt;0,Slot6_IsWG=1,BV75=1),MIN(IE75,JU75),0)</f>
        <v>0</v>
      </c>
      <c r="JW75" s="20" t="n">
        <f aca="false">BW75+JV75</f>
        <v>0</v>
      </c>
      <c r="JX75" s="20" t="n">
        <f aca="false">IF(BV75=1,MAX(0,(Slot6_Cost-JW75*(1+Slot6_Rate)^(Slot6_Age-D75))/JT75),0)</f>
        <v>0</v>
      </c>
      <c r="JY75" s="20" t="n">
        <f aca="false">IF(BV75=1,MAX(0,(Slot6_Cost-BW75*(1+Slot6_Rate)^(Slot6_Age-D75))/JT75),0)</f>
        <v>0</v>
      </c>
      <c r="JZ75" s="20" t="n">
        <f aca="false">IF(AND(HU75=1,BV75=1),MIN(JS75,JX75),0)</f>
        <v>0</v>
      </c>
      <c r="KA75" s="20" t="n">
        <f aca="false">JS75-JZ75</f>
        <v>0</v>
      </c>
      <c r="KB75" s="20" t="n">
        <f aca="false">IF(CF75=1,IF(ABS((1+AS_Wage)/(1+Slot7_Rate)-1)&lt;0.000000000001,(Slot7_Age-D75)*(1+Slot7_Rate)^(Slot7_Age-D75),(1+Slot7_Rate)^(Slot7_Age-D75)*(1-((1+AS_Wage)/(1+Slot7_Rate))^(Slot7_Age-D75))/(1-(1+AS_Wage)/(1+Slot7_Rate))),1)</f>
        <v>1</v>
      </c>
      <c r="KC75" s="20" t="n">
        <f aca="false">IF(AND(HU75=1,IE75&gt;0,Slot7_IsWG=1,CF75=1),MAX(0,(Slot7_Cost-CG75*(1+Slot7_Rate)^(Slot7_Age-D75))/KB75),0)</f>
        <v>0</v>
      </c>
      <c r="KD75" s="20" t="n">
        <f aca="false">IF(AND(HU75=1,IE75&gt;0,Slot7_IsWG=1,CF75=1),MIN(IE75,KC75),0)</f>
        <v>0</v>
      </c>
      <c r="KE75" s="20" t="n">
        <f aca="false">CG75+KD75</f>
        <v>0</v>
      </c>
      <c r="KF75" s="20" t="n">
        <f aca="false">IF(CF75=1,MAX(0,(Slot7_Cost-KE75*(1+Slot7_Rate)^(Slot7_Age-D75))/KB75),0)</f>
        <v>0</v>
      </c>
      <c r="KG75" s="20" t="n">
        <f aca="false">IF(CF75=1,MAX(0,(Slot7_Cost-CG75*(1+Slot7_Rate)^(Slot7_Age-D75))/KB75),0)</f>
        <v>0</v>
      </c>
      <c r="KH75" s="20" t="n">
        <f aca="false">IF(AND(HU75=1,CF75=1),MIN(KA75,KF75),0)</f>
        <v>0</v>
      </c>
      <c r="KI75" s="20" t="n">
        <f aca="false">KA75-KH75</f>
        <v>0</v>
      </c>
      <c r="KJ75" s="20" t="n">
        <f aca="false">IF(CP75=1,IF(ABS((1+AS_Wage)/(1+Slot8_Rate)-1)&lt;0.000000000001,(Slot8_Age-D75)*(1+Slot8_Rate)^(Slot8_Age-D75),(1+Slot8_Rate)^(Slot8_Age-D75)*(1-((1+AS_Wage)/(1+Slot8_Rate))^(Slot8_Age-D75))/(1-(1+AS_Wage)/(1+Slot8_Rate))),1)</f>
        <v>1</v>
      </c>
      <c r="KK75" s="20" t="n">
        <f aca="false">IF(AND(HU75=1,IE75&gt;0,Slot8_IsWG=1,CP75=1),MAX(0,(Slot8_Cost-CQ75*(1+Slot8_Rate)^(Slot8_Age-D75))/KJ75),0)</f>
        <v>0</v>
      </c>
      <c r="KL75" s="20" t="n">
        <f aca="false">IF(AND(HU75=1,IE75&gt;0,Slot8_IsWG=1,CP75=1),MIN(IE75,KK75),0)</f>
        <v>0</v>
      </c>
      <c r="KM75" s="20" t="n">
        <f aca="false">CQ75+KL75</f>
        <v>0</v>
      </c>
      <c r="KN75" s="20" t="n">
        <f aca="false">IF(CP75=1,MAX(0,(Slot8_Cost-KM75*(1+Slot8_Rate)^(Slot8_Age-D75))/KJ75),0)</f>
        <v>0</v>
      </c>
      <c r="KO75" s="20" t="n">
        <f aca="false">IF(CP75=1,MAX(0,(Slot8_Cost-CQ75*(1+Slot8_Rate)^(Slot8_Age-D75))/KJ75),0)</f>
        <v>0</v>
      </c>
      <c r="KP75" s="20" t="n">
        <f aca="false">IF(AND(HU75=1,CP75=1),MIN(KI75,KN75),0)</f>
        <v>0</v>
      </c>
      <c r="KQ75" s="20" t="n">
        <f aca="false">KI75-KP75</f>
        <v>0</v>
      </c>
      <c r="KR75" s="20" t="n">
        <f aca="false">IF(CZ75=1,IF(ABS((1+AS_Wage)/(1+Slot9_Rate)-1)&lt;0.000000000001,(Slot9_Age-D75)*(1+Slot9_Rate)^(Slot9_Age-D75),(1+Slot9_Rate)^(Slot9_Age-D75)*(1-((1+AS_Wage)/(1+Slot9_Rate))^(Slot9_Age-D75))/(1-(1+AS_Wage)/(1+Slot9_Rate))),1)</f>
        <v>1</v>
      </c>
      <c r="KS75" s="20" t="n">
        <f aca="false">IF(AND(HU75=1,IE75&gt;0,Slot9_IsWG=1,CZ75=1),MAX(0,(Slot9_Cost-DA75*(1+Slot9_Rate)^(Slot9_Age-D75))/KR75),0)</f>
        <v>0</v>
      </c>
      <c r="KT75" s="20" t="n">
        <f aca="false">IF(AND(HU75=1,IE75&gt;0,Slot9_IsWG=1,CZ75=1),MIN(IE75,KS75),0)</f>
        <v>0</v>
      </c>
      <c r="KU75" s="20" t="n">
        <f aca="false">DA75+KT75</f>
        <v>0</v>
      </c>
      <c r="KV75" s="20" t="n">
        <f aca="false">IF(CZ75=1,MAX(0,(Slot9_Cost-KU75*(1+Slot9_Rate)^(Slot9_Age-D75))/KR75),0)</f>
        <v>0</v>
      </c>
      <c r="KW75" s="20" t="n">
        <f aca="false">IF(CZ75=1,MAX(0,(Slot9_Cost-DA75*(1+Slot9_Rate)^(Slot9_Age-D75))/KR75),0)</f>
        <v>0</v>
      </c>
      <c r="KX75" s="20" t="n">
        <f aca="false">IF(AND(HU75=1,CZ75=1),MIN(KQ75,KV75),0)</f>
        <v>0</v>
      </c>
      <c r="KY75" s="20" t="n">
        <f aca="false">KQ75-KX75</f>
        <v>0</v>
      </c>
      <c r="KZ75" s="20" t="n">
        <f aca="false">IF(DJ75=1,IF(ABS((1+AS_Wage)/(1+Slot10_Rate)-1)&lt;0.000000000001,(Slot10_Age-D75)*(1+Slot10_Rate)^(Slot10_Age-D75),(1+Slot10_Rate)^(Slot10_Age-D75)*(1-((1+AS_Wage)/(1+Slot10_Rate))^(Slot10_Age-D75))/(1-(1+AS_Wage)/(1+Slot10_Rate))),1)</f>
        <v>1</v>
      </c>
      <c r="LA75" s="20" t="n">
        <f aca="false">IF(AND(HU75=1,IE75&gt;0,Slot10_IsWG=1,DJ75=1),MAX(0,(Slot10_Cost-DK75*(1+Slot10_Rate)^(Slot10_Age-D75))/KZ75),0)</f>
        <v>0</v>
      </c>
      <c r="LB75" s="20" t="n">
        <f aca="false">IF(AND(HU75=1,IE75&gt;0,Slot10_IsWG=1,DJ75=1),MIN(IE75,LA75),0)</f>
        <v>0</v>
      </c>
      <c r="LC75" s="20" t="n">
        <f aca="false">DK75+LB75</f>
        <v>0</v>
      </c>
      <c r="LD75" s="20" t="n">
        <f aca="false">IF(DJ75=1,MAX(0,(Slot10_Cost-LC75*(1+Slot10_Rate)^(Slot10_Age-D75))/KZ75),0)</f>
        <v>0</v>
      </c>
      <c r="LE75" s="20" t="n">
        <f aca="false">IF(DJ75=1,MAX(0,(Slot10_Cost-DK75*(1+Slot10_Rate)^(Slot10_Age-D75))/KZ75),0)</f>
        <v>0</v>
      </c>
      <c r="LF75" s="20" t="n">
        <f aca="false">IF(AND(HU75=1,DJ75=1),MIN(KY75,LD75),0)</f>
        <v>0</v>
      </c>
      <c r="LG75" s="20" t="n">
        <f aca="false">KY75-LF75</f>
        <v>0</v>
      </c>
      <c r="LH75" s="20" t="n">
        <f aca="false">IF(DT75=1,IF(ABS((1+AS_Wage)/(1+Slot11_Rate)-1)&lt;0.000000000001,(Slot11_Age-D75)*(1+Slot11_Rate)^(Slot11_Age-D75),(1+Slot11_Rate)^(Slot11_Age-D75)*(1-((1+AS_Wage)/(1+Slot11_Rate))^(Slot11_Age-D75))/(1-(1+AS_Wage)/(1+Slot11_Rate))),1)</f>
        <v>1</v>
      </c>
      <c r="LI75" s="20" t="n">
        <f aca="false">IF(AND(HU75=1,IE75&gt;0,Slot11_IsWG=1,DT75=1),MAX(0,(Slot11_Cost-DU75*(1+Slot11_Rate)^(Slot11_Age-D75))/LH75),0)</f>
        <v>0</v>
      </c>
      <c r="LJ75" s="20" t="n">
        <f aca="false">IF(AND(HU75=1,IE75&gt;0,Slot11_IsWG=1,DT75=1),MIN(IE75,LI75),0)</f>
        <v>0</v>
      </c>
      <c r="LK75" s="20" t="n">
        <f aca="false">DU75+LJ75</f>
        <v>0</v>
      </c>
      <c r="LL75" s="20" t="n">
        <f aca="false">IF(DT75=1,MAX(0,(Slot11_Cost-LK75*(1+Slot11_Rate)^(Slot11_Age-D75))/LH75),0)</f>
        <v>0</v>
      </c>
      <c r="LM75" s="20" t="n">
        <f aca="false">IF(DT75=1,MAX(0,(Slot11_Cost-DU75*(1+Slot11_Rate)^(Slot11_Age-D75))/LH75),0)</f>
        <v>0</v>
      </c>
      <c r="LN75" s="20" t="n">
        <f aca="false">IF(AND(HU75=1,DT75=1),MIN(LG75,LL75),0)</f>
        <v>0</v>
      </c>
      <c r="LO75" s="20" t="n">
        <f aca="false">LG75-LN75</f>
        <v>0</v>
      </c>
      <c r="LP75" s="20" t="n">
        <f aca="false">IF(ED75=1,IF(ABS((1+AS_Wage)/(1+Slot12_Rate)-1)&lt;0.000000000001,(Slot12_Age-D75)*(1+Slot12_Rate)^(Slot12_Age-D75),(1+Slot12_Rate)^(Slot12_Age-D75)*(1-((1+AS_Wage)/(1+Slot12_Rate))^(Slot12_Age-D75))/(1-(1+AS_Wage)/(1+Slot12_Rate))),1)</f>
        <v>1</v>
      </c>
      <c r="LQ75" s="20" t="n">
        <f aca="false">IF(AND(HU75=1,IE75&gt;0,Slot12_IsWG=1,ED75=1),MAX(0,(Slot12_Cost-EE75*(1+Slot12_Rate)^(Slot12_Age-D75))/LP75),0)</f>
        <v>0</v>
      </c>
      <c r="LR75" s="20" t="n">
        <f aca="false">IF(AND(HU75=1,IE75&gt;0,Slot12_IsWG=1,ED75=1),MIN(IE75,LQ75),0)</f>
        <v>0</v>
      </c>
      <c r="LS75" s="20" t="n">
        <f aca="false">EE75+LR75</f>
        <v>0</v>
      </c>
      <c r="LT75" s="20" t="n">
        <f aca="false">IF(ED75=1,MAX(0,(Slot12_Cost-LS75*(1+Slot12_Rate)^(Slot12_Age-D75))/LP75),0)</f>
        <v>0</v>
      </c>
      <c r="LU75" s="20" t="n">
        <f aca="false">IF(ED75=1,MAX(0,(Slot12_Cost-EE75*(1+Slot12_Rate)^(Slot12_Age-D75))/LP75),0)</f>
        <v>0</v>
      </c>
      <c r="LV75" s="20" t="n">
        <f aca="false">IF(AND(HU75=1,ED75=1),MIN(LO75,LT75),0)</f>
        <v>0</v>
      </c>
      <c r="LW75" s="20" t="n">
        <f aca="false">LO75-LV75</f>
        <v>0</v>
      </c>
      <c r="LX75" s="20" t="n">
        <f aca="false">IF(EN75=1,IF(ABS((1+AS_Wage)/(1+Slot13_Rate)-1)&lt;0.000000000001,(Slot13_Age-D75)*(1+Slot13_Rate)^(Slot13_Age-D75),(1+Slot13_Rate)^(Slot13_Age-D75)*(1-((1+AS_Wage)/(1+Slot13_Rate))^(Slot13_Age-D75))/(1-(1+AS_Wage)/(1+Slot13_Rate))),1)</f>
        <v>1</v>
      </c>
      <c r="LY75" s="20" t="n">
        <f aca="false">IF(AND(HU75=1,IE75&gt;0,Slot13_IsWG=1,EN75=1),MAX(0,(Slot13_Cost-EO75*(1+Slot13_Rate)^(Slot13_Age-D75))/LX75),0)</f>
        <v>0</v>
      </c>
      <c r="LZ75" s="20" t="n">
        <f aca="false">IF(AND(HU75=1,IE75&gt;0,Slot13_IsWG=1,EN75=1),MIN(IE75,LY75),0)</f>
        <v>0</v>
      </c>
      <c r="MA75" s="20" t="n">
        <f aca="false">EO75+LZ75</f>
        <v>0</v>
      </c>
      <c r="MB75" s="20" t="n">
        <f aca="false">IF(EN75=1,MAX(0,(Slot13_Cost-MA75*(1+Slot13_Rate)^(Slot13_Age-D75))/LX75),0)</f>
        <v>0</v>
      </c>
      <c r="MC75" s="20" t="n">
        <f aca="false">IF(EN75=1,MAX(0,(Slot13_Cost-EO75*(1+Slot13_Rate)^(Slot13_Age-D75))/LX75),0)</f>
        <v>0</v>
      </c>
      <c r="MD75" s="20" t="n">
        <f aca="false">IF(AND(HU75=1,EN75=1),MIN(LW75,MB75),0)</f>
        <v>0</v>
      </c>
      <c r="ME75" s="20" t="n">
        <f aca="false">LW75-MD75</f>
        <v>0</v>
      </c>
      <c r="MF75" s="20" t="n">
        <f aca="false">IF(EX75=1,IF(ABS((1+AS_Wage)/(1+Slot14_Rate)-1)&lt;0.000000000001,(Slot14_Age-D75)*(1+Slot14_Rate)^(Slot14_Age-D75),(1+Slot14_Rate)^(Slot14_Age-D75)*(1-((1+AS_Wage)/(1+Slot14_Rate))^(Slot14_Age-D75))/(1-(1+AS_Wage)/(1+Slot14_Rate))),1)</f>
        <v>1</v>
      </c>
      <c r="MG75" s="20" t="n">
        <f aca="false">IF(AND(HU75=1,IE75&gt;0,Slot14_IsWG=1,EX75=1),MAX(0,(Slot14_Cost-EY75*(1+Slot14_Rate)^(Slot14_Age-D75))/MF75),0)</f>
        <v>0</v>
      </c>
      <c r="MH75" s="20" t="n">
        <f aca="false">IF(AND(HU75=1,IE75&gt;0,Slot14_IsWG=1,EX75=1),MIN(IE75,MG75),0)</f>
        <v>0</v>
      </c>
      <c r="MI75" s="20" t="n">
        <f aca="false">EY75+MH75</f>
        <v>0</v>
      </c>
      <c r="MJ75" s="20" t="n">
        <f aca="false">IF(EX75=1,MAX(0,(Slot14_Cost-MI75*(1+Slot14_Rate)^(Slot14_Age-D75))/MF75),0)</f>
        <v>0</v>
      </c>
      <c r="MK75" s="20" t="n">
        <f aca="false">IF(EX75=1,MAX(0,(Slot14_Cost-EY75*(1+Slot14_Rate)^(Slot14_Age-D75))/MF75),0)</f>
        <v>0</v>
      </c>
      <c r="ML75" s="20" t="n">
        <f aca="false">IF(AND(HU75=1,EX75=1),MIN(ME75,MJ75),0)</f>
        <v>0</v>
      </c>
      <c r="MM75" s="20" t="n">
        <f aca="false">ME75-ML75</f>
        <v>0</v>
      </c>
      <c r="MN75" s="20" t="n">
        <f aca="false">IF(FH75=1,IF(ABS((1+AS_Wage)/(1+Slot15_Rate)-1)&lt;0.000000000001,(Slot15_Age-D75)*(1+Slot15_Rate)^(Slot15_Age-D75),(1+Slot15_Rate)^(Slot15_Age-D75)*(1-((1+AS_Wage)/(1+Slot15_Rate))^(Slot15_Age-D75))/(1-(1+AS_Wage)/(1+Slot15_Rate))),1)</f>
        <v>1</v>
      </c>
      <c r="MO75" s="20" t="n">
        <f aca="false">IF(AND(HU75=1,IE75&gt;0,Slot15_IsWG=1,FH75=1),MAX(0,(Slot15_Cost-FI75*(1+Slot15_Rate)^(Slot15_Age-D75))/MN75),0)</f>
        <v>0</v>
      </c>
      <c r="MP75" s="20" t="n">
        <f aca="false">IF(AND(HU75=1,IE75&gt;0,Slot15_IsWG=1,FH75=1),MIN(IE75,MO75),0)</f>
        <v>0</v>
      </c>
      <c r="MQ75" s="20" t="n">
        <f aca="false">FI75+MP75</f>
        <v>0</v>
      </c>
      <c r="MR75" s="20" t="n">
        <f aca="false">IF(FH75=1,MAX(0,(Slot15_Cost-MQ75*(1+Slot15_Rate)^(Slot15_Age-D75))/MN75),0)</f>
        <v>0</v>
      </c>
      <c r="MS75" s="20" t="n">
        <f aca="false">IF(FH75=1,MAX(0,(Slot15_Cost-FI75*(1+Slot15_Rate)^(Slot15_Age-D75))/MN75),0)</f>
        <v>0</v>
      </c>
      <c r="MT75" s="20" t="n">
        <f aca="false">IF(AND(HU75=1,FH75=1),MIN(MM75,MR75),0)</f>
        <v>0</v>
      </c>
      <c r="MU75" s="20" t="n">
        <f aca="false">MM75-MT75</f>
        <v>0</v>
      </c>
      <c r="MV75" s="20" t="n">
        <f aca="false">IF(FR75=1,IF(ABS((1+AS_Wage)/(1+Slot16_Rate)-1)&lt;0.000000000001,(Slot16_Age-D75)*(1+Slot16_Rate)^(Slot16_Age-D75),(1+Slot16_Rate)^(Slot16_Age-D75)*(1-((1+AS_Wage)/(1+Slot16_Rate))^(Slot16_Age-D75))/(1-(1+AS_Wage)/(1+Slot16_Rate))),1)</f>
        <v>1</v>
      </c>
      <c r="MW75" s="20" t="n">
        <f aca="false">IF(AND(HU75=1,IE75&gt;0,Slot16_IsWG=1,FR75=1),MAX(0,(Slot16_Cost-FS75*(1+Slot16_Rate)^(Slot16_Age-D75))/MV75),0)</f>
        <v>0</v>
      </c>
      <c r="MX75" s="20" t="n">
        <f aca="false">IF(AND(HU75=1,IE75&gt;0,Slot16_IsWG=1,FR75=1),MIN(IE75,MW75),0)</f>
        <v>0</v>
      </c>
      <c r="MY75" s="20" t="n">
        <f aca="false">FS75+MX75</f>
        <v>0</v>
      </c>
      <c r="MZ75" s="20" t="n">
        <f aca="false">IF(FR75=1,MAX(0,(Slot16_Cost-MY75*(1+Slot16_Rate)^(Slot16_Age-D75))/MV75),0)</f>
        <v>0</v>
      </c>
      <c r="NA75" s="20" t="n">
        <f aca="false">IF(FR75=1,MAX(0,(Slot16_Cost-FS75*(1+Slot16_Rate)^(Slot16_Age-D75))/MV75),0)</f>
        <v>0</v>
      </c>
      <c r="NB75" s="20" t="n">
        <f aca="false">IF(AND(HU75=1,FR75=1),MIN(MU75,MZ75),0)</f>
        <v>0</v>
      </c>
      <c r="NC75" s="20" t="n">
        <f aca="false">MU75-NB75</f>
        <v>0</v>
      </c>
      <c r="ND75" s="20" t="n">
        <f aca="false">IF(GB75=1,IF(ABS((1+AS_Wage)/(1+Slot17_Rate)-1)&lt;0.000000000001,(Slot17_Age-D75)*(1+Slot17_Rate)^(Slot17_Age-D75),(1+Slot17_Rate)^(Slot17_Age-D75)*(1-((1+AS_Wage)/(1+Slot17_Rate))^(Slot17_Age-D75))/(1-(1+AS_Wage)/(1+Slot17_Rate))),1)</f>
        <v>1</v>
      </c>
      <c r="NE75" s="20" t="n">
        <f aca="false">IF(AND(HU75=1,IE75&gt;0,Slot17_IsWG=1,GB75=1),MAX(0,(Slot17_Cost-GC75*(1+Slot17_Rate)^(Slot17_Age-D75))/ND75),0)</f>
        <v>0</v>
      </c>
      <c r="NF75" s="20" t="n">
        <f aca="false">IF(AND(HU75=1,IE75&gt;0,Slot17_IsWG=1,GB75=1),MIN(IE75,NE75),0)</f>
        <v>0</v>
      </c>
      <c r="NG75" s="20" t="n">
        <f aca="false">GC75+NF75</f>
        <v>0</v>
      </c>
      <c r="NH75" s="20" t="n">
        <f aca="false">IF(GB75=1,MAX(0,(Slot17_Cost-NG75*(1+Slot17_Rate)^(Slot17_Age-D75))/ND75),0)</f>
        <v>0</v>
      </c>
      <c r="NI75" s="20" t="n">
        <f aca="false">IF(GB75=1,MAX(0,(Slot17_Cost-GC75*(1+Slot17_Rate)^(Slot17_Age-D75))/ND75),0)</f>
        <v>0</v>
      </c>
      <c r="NJ75" s="20" t="n">
        <f aca="false">IF(AND(HU75=1,GB75=1),MIN(NC75,NH75),0)</f>
        <v>0</v>
      </c>
      <c r="NK75" s="20" t="n">
        <f aca="false">NC75-NJ75</f>
        <v>0</v>
      </c>
      <c r="NL75" s="20" t="n">
        <f aca="false">IF(GL75=1,IF(ABS((1+AS_Wage)/(1+Slot18_Rate)-1)&lt;0.000000000001,(Slot18_Age-D75)*(1+Slot18_Rate)^(Slot18_Age-D75),(1+Slot18_Rate)^(Slot18_Age-D75)*(1-((1+AS_Wage)/(1+Slot18_Rate))^(Slot18_Age-D75))/(1-(1+AS_Wage)/(1+Slot18_Rate))),1)</f>
        <v>1</v>
      </c>
      <c r="NM75" s="20" t="n">
        <f aca="false">IF(AND(HU75=1,IE75&gt;0,Slot18_IsWG=1,GL75=1),MAX(0,(Slot18_Cost-GM75*(1+Slot18_Rate)^(Slot18_Age-D75))/NL75),0)</f>
        <v>0</v>
      </c>
      <c r="NN75" s="20" t="n">
        <f aca="false">IF(AND(HU75=1,IE75&gt;0,Slot18_IsWG=1,GL75=1),MIN(IE75,NM75),0)</f>
        <v>0</v>
      </c>
      <c r="NO75" s="20" t="n">
        <f aca="false">GM75+NN75</f>
        <v>0</v>
      </c>
      <c r="NP75" s="20" t="n">
        <f aca="false">IF(GL75=1,MAX(0,(Slot18_Cost-NO75*(1+Slot18_Rate)^(Slot18_Age-D75))/NL75),0)</f>
        <v>0</v>
      </c>
      <c r="NQ75" s="20" t="n">
        <f aca="false">IF(GL75=1,MAX(0,(Slot18_Cost-GM75*(1+Slot18_Rate)^(Slot18_Age-D75))/NL75),0)</f>
        <v>0</v>
      </c>
      <c r="NR75" s="20" t="n">
        <f aca="false">IF(AND(HU75=1,GL75=1),MIN(NK75,NP75),0)</f>
        <v>0</v>
      </c>
      <c r="NS75" s="20" t="n">
        <f aca="false">NK75-NR75</f>
        <v>0</v>
      </c>
      <c r="NT75" s="20" t="n">
        <f aca="false">IF(GV75=1,IF(ABS((1+AS_Wage)/(1+Slot19_Rate)-1)&lt;0.000000000001,(Slot19_Age-D75)*(1+Slot19_Rate)^(Slot19_Age-D75),(1+Slot19_Rate)^(Slot19_Age-D75)*(1-((1+AS_Wage)/(1+Slot19_Rate))^(Slot19_Age-D75))/(1-(1+AS_Wage)/(1+Slot19_Rate))),1)</f>
        <v>1</v>
      </c>
      <c r="NU75" s="20" t="n">
        <f aca="false">IF(AND(HU75=1,IE75&gt;0,Slot19_IsWG=1,GV75=1),MAX(0,(Slot19_Cost-GW75*(1+Slot19_Rate)^(Slot19_Age-D75))/NT75),0)</f>
        <v>0</v>
      </c>
      <c r="NV75" s="20" t="n">
        <f aca="false">IF(AND(HU75=1,IE75&gt;0,Slot19_IsWG=1,GV75=1),MIN(IE75,NU75),0)</f>
        <v>0</v>
      </c>
      <c r="NW75" s="20" t="n">
        <f aca="false">GW75+NV75</f>
        <v>0</v>
      </c>
      <c r="NX75" s="20" t="n">
        <f aca="false">IF(GV75=1,MAX(0,(Slot19_Cost-NW75*(1+Slot19_Rate)^(Slot19_Age-D75))/NT75),0)</f>
        <v>0</v>
      </c>
      <c r="NY75" s="20" t="n">
        <f aca="false">IF(GV75=1,MAX(0,(Slot19_Cost-GW75*(1+Slot19_Rate)^(Slot19_Age-D75))/NT75),0)</f>
        <v>0</v>
      </c>
      <c r="NZ75" s="20" t="n">
        <f aca="false">IF(AND(HU75=1,GV75=1),MIN(NS75,NX75),0)</f>
        <v>0</v>
      </c>
      <c r="OA75" s="20" t="n">
        <f aca="false">NS75-NZ75</f>
        <v>0</v>
      </c>
      <c r="OB75" s="20" t="n">
        <f aca="false">IF(HF75=1,IF(ABS((1+AS_Wage)/(1+Slot20_Rate)-1)&lt;0.000000000001,(Slot20_Age-D75)*(1+Slot20_Rate)^(Slot20_Age-D75),(1+Slot20_Rate)^(Slot20_Age-D75)*(1-((1+AS_Wage)/(1+Slot20_Rate))^(Slot20_Age-D75))/(1-(1+AS_Wage)/(1+Slot20_Rate))),1)</f>
        <v>1</v>
      </c>
      <c r="OC75" s="20" t="n">
        <f aca="false">IF(AND(HU75=1,IE75&gt;0,Slot20_IsWG=1,HF75=1),MAX(0,(Slot20_Cost-HG75*(1+Slot20_Rate)^(Slot20_Age-D75))/OB75),0)</f>
        <v>0</v>
      </c>
      <c r="OD75" s="20" t="n">
        <f aca="false">IF(AND(HU75=1,IE75&gt;0,Slot20_IsWG=1,HF75=1),MIN(IE75,OC75),0)</f>
        <v>0</v>
      </c>
      <c r="OE75" s="20" t="n">
        <f aca="false">HG75+OD75</f>
        <v>0</v>
      </c>
      <c r="OF75" s="20" t="n">
        <f aca="false">IF(HF75=1,MAX(0,(Slot20_Cost-OE75*(1+Slot20_Rate)^(Slot20_Age-D75))/OB75),0)</f>
        <v>0</v>
      </c>
      <c r="OG75" s="20" t="n">
        <f aca="false">IF(HF75=1,MAX(0,(Slot20_Cost-HG75*(1+Slot20_Rate)^(Slot20_Age-D75))/OB75),0)</f>
        <v>0</v>
      </c>
      <c r="OH75" s="20" t="n">
        <f aca="false">IF(AND(HU75=1,HF75=1),MIN(OA75,OF75),0)</f>
        <v>0</v>
      </c>
      <c r="OI75" s="20" t="n">
        <f aca="false">OA75-OH75</f>
        <v>0</v>
      </c>
      <c r="OJ75" s="20" t="n">
        <f aca="false">IE75-(IH75+IP75+IX75+JF75+JN75+JV75+KD75+KL75+KT75+LB75+LJ75+LR75+LZ75+MH75+MP75+MX75+NF75+NN75+NV75+OD75)</f>
        <v>0</v>
      </c>
      <c r="OK75" s="20" t="n">
        <f aca="false">IF(HU75=1,HS75-ID75-IE75,0)</f>
        <v>0</v>
      </c>
      <c r="OL75" s="20" t="n">
        <f aca="false">IF(HU75=0,-HS75,0)</f>
        <v>72609.2989625512</v>
      </c>
      <c r="OM75" s="20" t="n">
        <f aca="false">MIN(OL75,HK75)</f>
        <v>0</v>
      </c>
      <c r="ON75" s="20" t="n">
        <f aca="false">OL75-OM75</f>
        <v>72609.2989625512</v>
      </c>
      <c r="OO75" s="20" t="n">
        <f aca="false">MIN(ON75,HL75)</f>
        <v>0</v>
      </c>
      <c r="OP75" s="20" t="n">
        <f aca="false">ON75-OO75</f>
        <v>72609.2989625512</v>
      </c>
      <c r="OQ75" s="20" t="n">
        <f aca="false">IF(AND(HU75=0,HF75=1,OP75&gt;0),MIN(OP75,HG75),0)</f>
        <v>0</v>
      </c>
      <c r="OR75" s="20" t="n">
        <f aca="false">OP75-OQ75</f>
        <v>72609.2989625512</v>
      </c>
      <c r="OS75" s="20" t="n">
        <f aca="false">IF(AND(HU75=0,GV75=1,OR75&gt;0),MIN(OR75,GW75),0)</f>
        <v>0</v>
      </c>
      <c r="OT75" s="20" t="n">
        <f aca="false">OR75-OS75</f>
        <v>72609.2989625512</v>
      </c>
      <c r="OU75" s="20" t="n">
        <f aca="false">IF(AND(HU75=0,GL75=1,OT75&gt;0),MIN(OT75,GM75),0)</f>
        <v>0</v>
      </c>
      <c r="OV75" s="20" t="n">
        <f aca="false">OT75-OU75</f>
        <v>72609.2989625512</v>
      </c>
      <c r="OW75" s="20" t="n">
        <f aca="false">IF(AND(HU75=0,GB75=1,OV75&gt;0),MIN(OV75,GC75),0)</f>
        <v>0</v>
      </c>
      <c r="OX75" s="20" t="n">
        <f aca="false">OV75-OW75</f>
        <v>72609.2989625512</v>
      </c>
      <c r="OY75" s="20" t="n">
        <f aca="false">IF(AND(HU75=0,FR75=1,OX75&gt;0),MIN(OX75,FS75),0)</f>
        <v>0</v>
      </c>
      <c r="OZ75" s="20" t="n">
        <f aca="false">OX75-OY75</f>
        <v>72609.2989625512</v>
      </c>
      <c r="PA75" s="20" t="n">
        <f aca="false">IF(AND(HU75=0,FH75=1,OZ75&gt;0),MIN(OZ75,FI75),0)</f>
        <v>0</v>
      </c>
      <c r="PB75" s="20" t="n">
        <f aca="false">OZ75-PA75</f>
        <v>72609.2989625512</v>
      </c>
      <c r="PC75" s="20" t="n">
        <f aca="false">IF(AND(HU75=0,EX75=1,PB75&gt;0),MIN(PB75,EY75),0)</f>
        <v>0</v>
      </c>
      <c r="PD75" s="20" t="n">
        <f aca="false">PB75-PC75</f>
        <v>72609.2989625512</v>
      </c>
      <c r="PE75" s="20" t="n">
        <f aca="false">IF(AND(HU75=0,EN75=1,PD75&gt;0),MIN(PD75,EO75),0)</f>
        <v>0</v>
      </c>
      <c r="PF75" s="20" t="n">
        <f aca="false">PD75-PE75</f>
        <v>72609.2989625512</v>
      </c>
      <c r="PG75" s="20" t="n">
        <f aca="false">IF(AND(HU75=0,ED75=1,PF75&gt;0),MIN(PF75,EE75),0)</f>
        <v>0</v>
      </c>
      <c r="PH75" s="20" t="n">
        <f aca="false">PF75-PG75</f>
        <v>72609.2989625512</v>
      </c>
      <c r="PI75" s="20" t="n">
        <f aca="false">IF(AND(HU75=0,DT75=1,PH75&gt;0),MIN(PH75,DU75),0)</f>
        <v>0</v>
      </c>
      <c r="PJ75" s="20" t="n">
        <f aca="false">PH75-PI75</f>
        <v>72609.2989625512</v>
      </c>
      <c r="PK75" s="20" t="n">
        <f aca="false">IF(AND(HU75=0,DJ75=1,PJ75&gt;0),MIN(PJ75,DK75),0)</f>
        <v>0</v>
      </c>
      <c r="PL75" s="20" t="n">
        <f aca="false">PJ75-PK75</f>
        <v>72609.2989625512</v>
      </c>
      <c r="PM75" s="20" t="n">
        <f aca="false">IF(AND(HU75=0,CZ75=1,PL75&gt;0),MIN(PL75,DA75),0)</f>
        <v>0</v>
      </c>
      <c r="PN75" s="20" t="n">
        <f aca="false">PL75-PM75</f>
        <v>72609.2989625512</v>
      </c>
      <c r="PO75" s="20" t="n">
        <f aca="false">IF(AND(HU75=0,CP75=1,PN75&gt;0),MIN(PN75,CQ75),0)</f>
        <v>0</v>
      </c>
      <c r="PP75" s="20" t="n">
        <f aca="false">PN75-PO75</f>
        <v>72609.2989625512</v>
      </c>
      <c r="PQ75" s="20" t="n">
        <f aca="false">IF(AND(HU75=0,CF75=1,PP75&gt;0),MIN(PP75,CG75),0)</f>
        <v>0</v>
      </c>
      <c r="PR75" s="20" t="n">
        <f aca="false">PP75-PQ75</f>
        <v>72609.2989625512</v>
      </c>
      <c r="PS75" s="20" t="n">
        <f aca="false">IF(AND(HU75=0,BV75=1,PR75&gt;0),MIN(PR75,BW75),0)</f>
        <v>0</v>
      </c>
      <c r="PT75" s="20" t="n">
        <f aca="false">PR75-PS75</f>
        <v>72609.2989625512</v>
      </c>
      <c r="PU75" s="20" t="n">
        <f aca="false">IF(AND(HU75=0,BL75=1,PT75&gt;0),MIN(PT75,BM75),0)</f>
        <v>0</v>
      </c>
      <c r="PV75" s="20" t="n">
        <f aca="false">PT75-PU75</f>
        <v>72609.2989625512</v>
      </c>
      <c r="PW75" s="20" t="n">
        <f aca="false">IF(AND(HU75=0,BB75=1,PV75&gt;0),MIN(PV75,BC75),0)</f>
        <v>0</v>
      </c>
      <c r="PX75" s="20" t="n">
        <f aca="false">PV75-PW75</f>
        <v>72609.2989625512</v>
      </c>
      <c r="PY75" s="20" t="n">
        <f aca="false">IF(AND(HU75=0,AR75=1,PX75&gt;0),MIN(PX75,AS75),0)</f>
        <v>0</v>
      </c>
      <c r="PZ75" s="20" t="n">
        <f aca="false">PX75-PY75</f>
        <v>72609.2989625512</v>
      </c>
      <c r="QA75" s="20" t="n">
        <f aca="false">IF(AND(HU75=0,AH75=1,PZ75&gt;0),MIN(PZ75,AI75),0)</f>
        <v>0</v>
      </c>
      <c r="QB75" s="20" t="n">
        <f aca="false">PZ75-QA75</f>
        <v>72609.2989625512</v>
      </c>
      <c r="QC75" s="20" t="n">
        <f aca="false">IF(AND(HU75=0,W75=1,QB75&gt;0),MIN(QB75,X75),0)</f>
        <v>0</v>
      </c>
      <c r="QD75" s="20" t="n">
        <f aca="false">QB75-QC75</f>
        <v>72609.2989625512</v>
      </c>
      <c r="QE75" s="20" t="n">
        <f aca="false">IF(HU75=0,QD75,0)</f>
        <v>72609.2989625512</v>
      </c>
      <c r="QF75" s="20" t="n">
        <f aca="false">OM75+OO75+QC75+QA75+PY75+PW75+PU75+PS75+PQ75+PO75+PM75+PK75+PI75+PG75+PE75+PC75+PA75+OY75+OW75+OU75+OS75+OQ75</f>
        <v>0</v>
      </c>
      <c r="QG75" s="20" t="n">
        <f aca="false">IF(HU75=1,HK75+OJ75+OI75+IF(G75=1,0,OK75),HK75-OM75)</f>
        <v>0</v>
      </c>
      <c r="QH75" s="20" t="n">
        <f aca="false">HL75-OO75</f>
        <v>0</v>
      </c>
      <c r="QI75" s="20" t="n">
        <f aca="false">IF(HU75=1,IF(G75=1,ID75+IE75,HS75),0)</f>
        <v>0</v>
      </c>
      <c r="QJ75" s="20" t="n">
        <f aca="false">IF(HU75=1,IF(G75=1,HS75-ID75-IE75,0),0)</f>
        <v>0</v>
      </c>
      <c r="QK75" s="57" t="n">
        <f aca="false">'Plan holdings'!BM75</f>
        <v>0</v>
      </c>
      <c r="QL75" s="20" t="n">
        <f aca="false">QH75*(1+AS_Cash)</f>
        <v>0</v>
      </c>
      <c r="QM75" s="20" t="n">
        <f aca="false">IF(W75=1,IF(HU75=1,II75+IL75,X75-QC75)*(1+Slot1_Rate),0)</f>
        <v>0</v>
      </c>
      <c r="QN75" s="20" t="n">
        <f aca="false">IF(AND(HU75=1,W75=1),(IH75+IL75)/F75,0)</f>
        <v>0</v>
      </c>
      <c r="QO75" s="20" t="n">
        <f aca="false">IF(B75=0,IH75+IL75,0)</f>
        <v>0</v>
      </c>
      <c r="QP75" s="20" t="n">
        <f aca="false">IF(B75=0,IF(HU75=1,IJ75,IK75),0)</f>
        <v>0</v>
      </c>
      <c r="QQ75" s="20" t="n">
        <f aca="false">IF(AH75=1,IF(HU75=1,IQ75+IT75,AI75-QA75)*(1+Slot2_Rate),0)</f>
        <v>0</v>
      </c>
      <c r="QR75" s="20" t="n">
        <f aca="false">IF(AND(HU75=1,AH75=1),(IP75+IT75)/F75,0)</f>
        <v>0</v>
      </c>
      <c r="QS75" s="20" t="n">
        <f aca="false">IF(B75=0,IP75+IT75,0)</f>
        <v>0</v>
      </c>
      <c r="QT75" s="20" t="n">
        <f aca="false">IF(B75=0,IF(HU75=1,IR75,IS75),0)</f>
        <v>0</v>
      </c>
      <c r="QU75" s="20" t="n">
        <f aca="false">IF(AR75=1,IF(HU75=1,IY75+JB75,AS75-PY75)*(1+Slot3_Rate),0)</f>
        <v>0</v>
      </c>
      <c r="QV75" s="20" t="n">
        <f aca="false">IF(AND(HU75=1,AR75=1),(IX75+JB75)/F75,0)</f>
        <v>0</v>
      </c>
      <c r="QW75" s="20" t="n">
        <f aca="false">IF(B75=0,IX75+JB75,0)</f>
        <v>0</v>
      </c>
      <c r="QX75" s="20" t="n">
        <f aca="false">IF(B75=0,IF(HU75=1,IZ75,JA75),0)</f>
        <v>0</v>
      </c>
      <c r="QY75" s="20" t="n">
        <f aca="false">IF(BB75=1,IF(HU75=1,JG75+JJ75,BC75-PW75)*(1+Slot4_Rate),0)</f>
        <v>0</v>
      </c>
      <c r="QZ75" s="20" t="n">
        <f aca="false">IF(AND(HU75=1,BB75=1),(JF75+JJ75)/F75,0)</f>
        <v>0</v>
      </c>
      <c r="RA75" s="20" t="n">
        <f aca="false">IF(B75=0,JF75+JJ75,0)</f>
        <v>0</v>
      </c>
      <c r="RB75" s="20" t="n">
        <f aca="false">IF(B75=0,IF(HU75=1,JH75,JI75),0)</f>
        <v>0</v>
      </c>
      <c r="RC75" s="20" t="n">
        <f aca="false">IF(BL75=1,IF(HU75=1,JO75+JR75,BM75-PU75)*(1+Slot5_Rate),0)</f>
        <v>0</v>
      </c>
      <c r="RD75" s="20" t="n">
        <f aca="false">IF(AND(HU75=1,BL75=1),(JN75+JR75)/F75,0)</f>
        <v>0</v>
      </c>
      <c r="RE75" s="20" t="n">
        <f aca="false">IF(B75=0,JN75+JR75,0)</f>
        <v>0</v>
      </c>
      <c r="RF75" s="20" t="n">
        <f aca="false">IF(B75=0,IF(HU75=1,JP75,JQ75),0)</f>
        <v>0</v>
      </c>
      <c r="RG75" s="20" t="n">
        <f aca="false">IF(BV75=1,IF(HU75=1,JW75+JZ75,BW75-PS75)*(1+Slot6_Rate),0)</f>
        <v>0</v>
      </c>
      <c r="RH75" s="20" t="n">
        <f aca="false">IF(AND(HU75=1,BV75=1),(JV75+JZ75)/F75,0)</f>
        <v>0</v>
      </c>
      <c r="RI75" s="20" t="n">
        <f aca="false">IF(B75=0,JV75+JZ75,0)</f>
        <v>0</v>
      </c>
      <c r="RJ75" s="20" t="n">
        <f aca="false">IF(B75=0,IF(HU75=1,JX75,JY75),0)</f>
        <v>0</v>
      </c>
      <c r="RK75" s="20" t="n">
        <f aca="false">IF(CF75=1,IF(HU75=1,KE75+KH75,CG75-PQ75)*(1+Slot7_Rate),0)</f>
        <v>0</v>
      </c>
      <c r="RL75" s="20" t="n">
        <f aca="false">IF(AND(HU75=1,CF75=1),(KD75+KH75)/F75,0)</f>
        <v>0</v>
      </c>
      <c r="RM75" s="20" t="n">
        <f aca="false">IF(B75=0,KD75+KH75,0)</f>
        <v>0</v>
      </c>
      <c r="RN75" s="20" t="n">
        <f aca="false">IF(B75=0,IF(HU75=1,KF75,KG75),0)</f>
        <v>0</v>
      </c>
      <c r="RO75" s="20" t="n">
        <f aca="false">IF(CP75=1,IF(HU75=1,KM75+KP75,CQ75-PO75)*(1+Slot8_Rate),0)</f>
        <v>0</v>
      </c>
      <c r="RP75" s="20" t="n">
        <f aca="false">IF(AND(HU75=1,CP75=1),(KL75+KP75)/F75,0)</f>
        <v>0</v>
      </c>
      <c r="RQ75" s="20" t="n">
        <f aca="false">IF(B75=0,KL75+KP75,0)</f>
        <v>0</v>
      </c>
      <c r="RR75" s="20" t="n">
        <f aca="false">IF(B75=0,IF(HU75=1,KN75,KO75),0)</f>
        <v>0</v>
      </c>
      <c r="RS75" s="20" t="n">
        <f aca="false">IF(CZ75=1,IF(HU75=1,KU75+KX75,DA75-PM75)*(1+Slot9_Rate),0)</f>
        <v>0</v>
      </c>
      <c r="RT75" s="20" t="n">
        <f aca="false">IF(AND(HU75=1,CZ75=1),(KT75+KX75)/F75,0)</f>
        <v>0</v>
      </c>
      <c r="RU75" s="20" t="n">
        <f aca="false">IF(B75=0,KT75+KX75,0)</f>
        <v>0</v>
      </c>
      <c r="RV75" s="20" t="n">
        <f aca="false">IF(B75=0,IF(HU75=1,KV75,KW75),0)</f>
        <v>0</v>
      </c>
      <c r="RW75" s="20" t="n">
        <f aca="false">IF(DJ75=1,IF(HU75=1,LC75+LF75,DK75-PK75)*(1+Slot10_Rate),0)</f>
        <v>0</v>
      </c>
      <c r="RX75" s="20" t="n">
        <f aca="false">IF(AND(HU75=1,DJ75=1),(LB75+LF75)/F75,0)</f>
        <v>0</v>
      </c>
      <c r="RY75" s="20" t="n">
        <f aca="false">IF(B75=0,LB75+LF75,0)</f>
        <v>0</v>
      </c>
      <c r="RZ75" s="20" t="n">
        <f aca="false">IF(B75=0,IF(HU75=1,LD75,LE75),0)</f>
        <v>0</v>
      </c>
      <c r="SA75" s="20" t="n">
        <f aca="false">IF(DT75=1,IF(HU75=1,LK75+LN75,DU75-PI75)*(1+Slot11_Rate),0)</f>
        <v>0</v>
      </c>
      <c r="SB75" s="20" t="n">
        <f aca="false">IF(AND(HU75=1,DT75=1),(LJ75+LN75)/F75,0)</f>
        <v>0</v>
      </c>
      <c r="SC75" s="20" t="n">
        <f aca="false">IF(B75=0,LJ75+LN75,0)</f>
        <v>0</v>
      </c>
      <c r="SD75" s="20" t="n">
        <f aca="false">IF(B75=0,IF(HU75=1,LL75,LM75),0)</f>
        <v>0</v>
      </c>
      <c r="SE75" s="20" t="n">
        <f aca="false">IF(ED75=1,IF(HU75=1,LS75+LV75,EE75-PG75)*(1+Slot12_Rate),0)</f>
        <v>0</v>
      </c>
      <c r="SF75" s="20" t="n">
        <f aca="false">IF(AND(HU75=1,ED75=1),(LR75+LV75)/F75,0)</f>
        <v>0</v>
      </c>
      <c r="SG75" s="20" t="n">
        <f aca="false">IF(B75=0,LR75+LV75,0)</f>
        <v>0</v>
      </c>
      <c r="SH75" s="20" t="n">
        <f aca="false">IF(B75=0,IF(HU75=1,LT75,LU75),0)</f>
        <v>0</v>
      </c>
      <c r="SI75" s="20" t="n">
        <f aca="false">IF(EN75=1,IF(HU75=1,MA75+MD75,EO75-PE75)*(1+Slot13_Rate),0)</f>
        <v>0</v>
      </c>
      <c r="SJ75" s="20" t="n">
        <f aca="false">IF(AND(HU75=1,EN75=1),(LZ75+MD75)/F75,0)</f>
        <v>0</v>
      </c>
      <c r="SK75" s="20" t="n">
        <f aca="false">IF(B75=0,LZ75+MD75,0)</f>
        <v>0</v>
      </c>
      <c r="SL75" s="20" t="n">
        <f aca="false">IF(B75=0,IF(HU75=1,MB75,MC75),0)</f>
        <v>0</v>
      </c>
      <c r="SM75" s="20" t="n">
        <f aca="false">IF(EX75=1,IF(HU75=1,MI75+ML75,EY75-PC75)*(1+Slot14_Rate),0)</f>
        <v>0</v>
      </c>
      <c r="SN75" s="20" t="n">
        <f aca="false">IF(AND(HU75=1,EX75=1),(MH75+ML75)/F75,0)</f>
        <v>0</v>
      </c>
      <c r="SO75" s="20" t="n">
        <f aca="false">IF(B75=0,MH75+ML75,0)</f>
        <v>0</v>
      </c>
      <c r="SP75" s="20" t="n">
        <f aca="false">IF(B75=0,IF(HU75=1,MJ75,MK75),0)</f>
        <v>0</v>
      </c>
      <c r="SQ75" s="20" t="n">
        <f aca="false">IF(FH75=1,IF(HU75=1,MQ75+MT75,FI75-PA75)*(1+Slot15_Rate),0)</f>
        <v>0</v>
      </c>
      <c r="SR75" s="20" t="n">
        <f aca="false">IF(AND(HU75=1,FH75=1),(MP75+MT75)/F75,0)</f>
        <v>0</v>
      </c>
      <c r="SS75" s="20" t="n">
        <f aca="false">IF(B75=0,MP75+MT75,0)</f>
        <v>0</v>
      </c>
      <c r="ST75" s="20" t="n">
        <f aca="false">IF(B75=0,IF(HU75=1,MR75,MS75),0)</f>
        <v>0</v>
      </c>
      <c r="SU75" s="20" t="n">
        <f aca="false">IF(FR75=1,IF(HU75=1,MY75+NB75,FS75-OY75)*(1+Slot16_Rate),0)</f>
        <v>0</v>
      </c>
      <c r="SV75" s="20" t="n">
        <f aca="false">IF(AND(HU75=1,FR75=1),(MX75+NB75)/F75,0)</f>
        <v>0</v>
      </c>
      <c r="SW75" s="20" t="n">
        <f aca="false">IF(B75=0,MX75+NB75,0)</f>
        <v>0</v>
      </c>
      <c r="SX75" s="20" t="n">
        <f aca="false">IF(B75=0,IF(HU75=1,MZ75,NA75),0)</f>
        <v>0</v>
      </c>
      <c r="SY75" s="20" t="n">
        <f aca="false">IF(GB75=1,IF(HU75=1,NG75+NJ75,GC75-OW75)*(1+Slot17_Rate),0)</f>
        <v>0</v>
      </c>
      <c r="SZ75" s="20" t="n">
        <f aca="false">IF(AND(HU75=1,GB75=1),(NF75+NJ75)/F75,0)</f>
        <v>0</v>
      </c>
      <c r="TA75" s="20" t="n">
        <f aca="false">IF(B75=0,NF75+NJ75,0)</f>
        <v>0</v>
      </c>
      <c r="TB75" s="20" t="n">
        <f aca="false">IF(B75=0,IF(HU75=1,NH75,NI75),0)</f>
        <v>0</v>
      </c>
      <c r="TC75" s="20" t="n">
        <f aca="false">IF(GL75=1,IF(HU75=1,NO75+NR75,GM75-OU75)*(1+Slot18_Rate),0)</f>
        <v>0</v>
      </c>
      <c r="TD75" s="20" t="n">
        <f aca="false">IF(AND(HU75=1,GL75=1),(NN75+NR75)/F75,0)</f>
        <v>0</v>
      </c>
      <c r="TE75" s="20" t="n">
        <f aca="false">IF(B75=0,NN75+NR75,0)</f>
        <v>0</v>
      </c>
      <c r="TF75" s="20" t="n">
        <f aca="false">IF(B75=0,IF(HU75=1,NP75,NQ75),0)</f>
        <v>0</v>
      </c>
      <c r="TG75" s="20" t="n">
        <f aca="false">IF(GV75=1,IF(HU75=1,NW75+NZ75,GW75-OS75)*(1+Slot19_Rate),0)</f>
        <v>0</v>
      </c>
      <c r="TH75" s="20" t="n">
        <f aca="false">IF(AND(HU75=1,GV75=1),(NV75+NZ75)/F75,0)</f>
        <v>0</v>
      </c>
      <c r="TI75" s="20" t="n">
        <f aca="false">IF(B75=0,NV75+NZ75,0)</f>
        <v>0</v>
      </c>
      <c r="TJ75" s="20" t="n">
        <f aca="false">IF(B75=0,IF(HU75=1,NX75,NY75),0)</f>
        <v>0</v>
      </c>
      <c r="TK75" s="20" t="n">
        <f aca="false">IF(HF75=1,IF(HU75=1,OE75+OH75,HG75-OQ75)*(1+Slot20_Rate),0)</f>
        <v>0</v>
      </c>
      <c r="TL75" s="20" t="n">
        <f aca="false">IF(AND(HU75=1,HF75=1),(OD75+OH75)/F75,0)</f>
        <v>0</v>
      </c>
      <c r="TM75" s="20" t="n">
        <f aca="false">IF(B75=0,OD75+OH75,0)</f>
        <v>0</v>
      </c>
      <c r="TN75" s="20" t="n">
        <f aca="false">IF(B75=0,IF(HU75=1,OF75,OG75),0)</f>
        <v>0</v>
      </c>
      <c r="TO75" s="20" t="n">
        <f aca="false">QK75+QL75+QM75+QQ75+QU75+QY75+RC75+RG75+RK75+RO75+RS75+RW75+SA75+SE75+SI75+SM75+SQ75+SU75+SY75+TC75+TG75+TK75</f>
        <v>0</v>
      </c>
      <c r="TP75" s="20" t="n">
        <f aca="false">QE75+HP75</f>
        <v>72609.2989625512</v>
      </c>
      <c r="TQ75" s="20" t="n">
        <f aca="false">I75+S75</f>
        <v>180152.131393804</v>
      </c>
      <c r="TR75" s="20" t="n">
        <f aca="false">1-G75</f>
        <v>1</v>
      </c>
      <c r="TS75" s="20" t="n">
        <f aca="false">IF(AND(RG_Exists=1,G75=0,C75=1),I75,0)</f>
        <v>0</v>
      </c>
      <c r="TT75" s="20" t="n">
        <f aca="false">IF(AND(RG_Exists=1,G75=0,C75=1),I75-MIN(QE75,I75),0)</f>
        <v>0</v>
      </c>
      <c r="TU75" s="20" t="n">
        <f aca="false">'Plan pay &amp; tax'!AD301</f>
        <v>0</v>
      </c>
      <c r="TV75" s="20" t="n">
        <f aca="false">IF(AND(C75=1,QE75&gt;MAX(PR_Short1,TQ75*PR_Short2)),1,0)</f>
        <v>0</v>
      </c>
      <c r="TW75" s="20" t="n">
        <f aca="false">MIN(H75,I75+S75)</f>
        <v>107542.832431252</v>
      </c>
      <c r="TX75" s="20" t="n">
        <f aca="false">QF75+MAX(0,HQ75-HP75)</f>
        <v>0</v>
      </c>
      <c r="TY75" s="20" t="n">
        <f aca="false">QE75+HP75</f>
        <v>72609.2989625512</v>
      </c>
      <c r="TZ75" s="20" t="n">
        <f aca="false">IF(AND(C75=1,TY75&gt;PR_MinShort),1,0)</f>
        <v>0</v>
      </c>
      <c r="UA75" s="20" t="n">
        <f aca="false">IF(AND(C75=1,TZ75=0,TX75&gt;PR_MinShort),1,0)</f>
        <v>0</v>
      </c>
      <c r="UB75" s="20" t="n">
        <f aca="false">IF(AND(C75=1,QE75&gt;PR_MinShort),1,0)</f>
        <v>0</v>
      </c>
      <c r="UC75" s="20" t="n">
        <f aca="false">IF(AND(C75=1,QF75&gt;1,UJ75=0),1,0)</f>
        <v>0</v>
      </c>
      <c r="UD75" s="20" t="str">
        <f aca="false">IF(C75=0,"",IF(UJ75=1,"Gap to plan for: short "&amp;"€"&amp;TEXT(ROUND(TP75,0),"#,##0"),IF(QF75&gt;1,"Using savings","Comfortable")))</f>
        <v/>
      </c>
      <c r="UE75" s="20" t="n">
        <f aca="false">IF(AND(INT(D75/10)*10=90,B75&gt;0),80,INT(D75/10)*10)</f>
        <v>100</v>
      </c>
      <c r="UF75" s="20" t="n">
        <f aca="false">IF(B75=0,1,IF(UE75&lt;&gt;UE74,UF74+1,UF74))</f>
        <v>7</v>
      </c>
      <c r="UG75" s="20" t="n">
        <f aca="false">IF(AND(C75=1,G75=1,QE75&gt;MAX(PR_Short1,TQ75*PR_Short2)),1,0)</f>
        <v>0</v>
      </c>
      <c r="UH75" s="20" t="n">
        <f aca="false">TR75*TV75</f>
        <v>0</v>
      </c>
      <c r="UI75" s="20" t="n">
        <f aca="false">IF(AND(V75=1,Slot1_PctLow=1),1,0)+IF(AND(AG75=1,Slot2_PctLow=1),1,0)+IF(AND(AQ75=1,Slot3_PctLow=1),1,0)+IF(AND(BA75=1,Slot4_PctLow=1),1,0)+IF(AND(BK75=1,Slot5_PctLow=1),1,0)+IF(AND(BU75=1,Slot6_PctLow=1),1,0)+IF(AND(CE75=1,Slot7_PctLow=1),1,0)+IF(AND(CO75=1,Slot8_PctLow=1),1,0)+IF(AND(CY75=1,Slot9_PctLow=1),1,0)+IF(AND(DI75=1,Slot10_PctLow=1),1,0)+IF(AND(DS75=1,Slot11_PctLow=1),1,0)+IF(AND(EC75=1,Slot12_PctLow=1),1,0)+IF(AND(EM75=1,Slot13_PctLow=1),1,0)+IF(AND(EW75=1,Slot14_PctLow=1),1,0)+IF(AND(FG75=1,Slot15_PctLow=1),1,0)+IF(AND(FQ75=1,Slot16_PctLow=1),1,0)+IF(AND(GA75=1,Slot17_PctLow=1),1,0)+IF(AND(GK75=1,Slot18_PctLow=1),1,0)+IF(AND(GU75=1,Slot19_PctLow=1),1,0)+IF(AND(HE75=1,Slot20_PctLow=1),1,0)</f>
        <v>0</v>
      </c>
      <c r="UJ75" s="20" t="n">
        <f aca="false">IF(C75=1,IF(OR(TV75=1,UI75&gt;0),1,0),0)</f>
        <v>0</v>
      </c>
      <c r="UK75" s="20" t="n">
        <f aca="false">Z75+AK75+AU75+BE75+BO75+BY75+CI75+CS75+DC75+DM75+DW75+EG75+EQ75+FA75+FK75+FU75+GE75+GO75+GY75+HI75+OM75</f>
        <v>0</v>
      </c>
      <c r="UL75" s="20" t="n">
        <f aca="false">V75*IF(Slot1_SpendLike=1,X75-Y75,IF(Slot1_PotFree=1,X75,0))+AG75*IF(Slot2_SpendLike=1,AI75-AJ75,IF(Slot2_PotFree=1,AI75,0))+AQ75*IF(Slot3_SpendLike=1,AS75-AT75,IF(Slot3_PotFree=1,AS75,0))+BA75*IF(Slot4_SpendLike=1,BC75-BD75,IF(Slot4_PotFree=1,BC75,0))+BK75*IF(Slot5_SpendLike=1,BM75-BN75,IF(Slot5_PotFree=1,BM75,0))+BU75*IF(Slot6_SpendLike=1,BW75-BX75,IF(Slot6_PotFree=1,BW75,0))+CE75*IF(Slot7_SpendLike=1,CG75-CH75,IF(Slot7_PotFree=1,CG75,0))+CO75*IF(Slot8_SpendLike=1,CQ75-CR75,IF(Slot8_PotFree=1,CQ75,0))+CY75*IF(Slot9_SpendLike=1,DA75-DB75,IF(Slot9_PotFree=1,DA75,0))+DI75*IF(Slot10_SpendLike=1,DK75-DL75,IF(Slot10_PotFree=1,DK75,0))+DS75*IF(Slot11_SpendLike=1,DU75-DV75,IF(Slot11_PotFree=1,DU75,0))+EC75*IF(Slot12_SpendLike=1,EE75-EF75,IF(Slot12_PotFree=1,EE75,0))+EM75*IF(Slot13_SpendLike=1,EO75-EP75,IF(Slot13_PotFree=1,EO75,0))+EW75*IF(Slot14_SpendLike=1,EY75-EZ75,IF(Slot14_PotFree=1,EY75,0))+FG75*IF(Slot15_SpendLike=1,FI75-FJ75,IF(Slot15_PotFree=1,FI75,0))+FQ75*IF(Slot16_SpendLike=1,FS75-FT75,IF(Slot16_PotFree=1,FS75,0))+GA75*IF(Slot17_SpendLike=1,GC75-GD75,IF(Slot17_PotFree=1,GC75,0))+GK75*IF(Slot18_SpendLike=1,GM75-GN75,IF(Slot18_PotFree=1,GM75,0))+GU75*IF(Slot19_SpendLike=1,GW75-GX75,IF(Slot19_PotFree=1,GW75,0))+HE75*IF(Slot20_SpendLike=1,HG75-HH75,IF(Slot20_PotFree=1,HG75,0))</f>
        <v>0</v>
      </c>
      <c r="UM75" s="20" t="n">
        <f aca="false">QG75-T75+UK75-UL75</f>
        <v>0</v>
      </c>
      <c r="UN75" s="20" t="n">
        <f aca="false">IF(OR(UN74=1,AND(In_homeUse="Yes, I'd downsize",In_downAge&gt;0,D75=In_downAge,OR(In_home="Own outright",In_home="Own with mortgage"),In_homeValue&gt;0)),1,0)</f>
        <v>0</v>
      </c>
    </row>
    <row r="76" customFormat="false" ht="15" hidden="false" customHeight="true" outlineLevel="0" collapsed="false">
      <c r="B76" s="20" t="n">
        <v>68</v>
      </c>
      <c r="C76" s="20" t="n">
        <f aca="false">IF(B76&lt;=F_N,1,0)</f>
        <v>0</v>
      </c>
      <c r="D76" s="20" t="n">
        <f aca="false">'Plan pay &amp; tax'!C302</f>
        <v>106</v>
      </c>
      <c r="E76" s="20" t="str">
        <f aca="false">IF($C76=1,"Income tax "&amp;TEXT(N('Plan pay &amp; tax'!BK302),"#,##0")&amp;"; USC "&amp;TEXT(N('Plan pay &amp; tax'!BM302)+N('Plan pay &amp; tax'!BO302),"#,##0")&amp;"; PRSI "&amp;TEXT(N('Plan pay &amp; tax'!BP302)+N('Plan pay &amp; tax'!BQ302),"#,##0")&amp;IF(N('Plan holdings'!BO76)&gt;=0.5,"; DIRT "&amp;TEXT(('Plan holdings'!BO76)/$F76,"#,##0")&amp;" (already taken from the interest earned)","")&amp;IF(N('Plan holdings'!BP76)&gt;=0.5,"; exit tax at an 8-year anniversary "&amp;TEXT(('Plan holdings'!BP76)/$F76,"#,##0"),"")&amp;IF(N('Plan holdings'!BN76)&gt;=0.5,"; tax on assets sold (exit tax or capital gains tax) "&amp;TEXT(('Plan holdings'!BN76)/$F76,"#,##0"),"")&amp;IF(N('Plan pay &amp; tax'!X302)-N('Plan pay &amp; tax'!Y302)&gt;=0.5,"; tax on the pension lump sum "&amp;TEXT(('Plan pay &amp; tax'!X302-'Plan pay &amp; tax'!Y302)/$F76,"#,##0"),"")&amp;IF(N('Plan pay &amp; tax'!V302)&gt;=0.5,"; chargeable excess tax on the pension "&amp;TEXT(('Plan pay &amp; tax'!V302)/$F76,"#,##0"),"")&amp;".","")</f>
        <v/>
      </c>
      <c r="F76" s="50" t="n">
        <f aca="false">'Plan pay &amp; tax'!E302</f>
        <v>3.8442505025456</v>
      </c>
      <c r="G76" s="20" t="n">
        <f aca="false">'Plan pay &amp; tax'!G302</f>
        <v>0</v>
      </c>
      <c r="H76" s="20" t="n">
        <f aca="false">'Plan pay &amp; tax'!BT302-'Plan pay &amp; tax'!BS302-'Plan pay &amp; tax'!R302</f>
        <v>109693.689079877</v>
      </c>
      <c r="I76" s="20" t="n">
        <f aca="false">IF(G76=1,F_CostsM*12,IF(RG_Exists=1,RG_Amount,F_CostsM*12*AS_RetireSpend))*F76+F_OneOffY*F76</f>
        <v>183755.17402168</v>
      </c>
      <c r="J76" s="20" t="n">
        <f aca="false">IF(UN76=1,0,HR75)</f>
        <v>0</v>
      </c>
      <c r="K76" s="20" t="n">
        <f aca="false">IF(J76&gt;1,'Plan debt months'!AC76,0)</f>
        <v>0</v>
      </c>
      <c r="L76" s="20" t="n">
        <f aca="false">IF(J76&gt;1,'Plan debt months'!AB76,J76)</f>
        <v>0</v>
      </c>
      <c r="M76" s="20" t="n">
        <f aca="false">O75</f>
        <v>0</v>
      </c>
      <c r="N76" s="20" t="n">
        <f aca="false">IF(M76&gt;1,'Plan debt months'!BD76,0)</f>
        <v>0</v>
      </c>
      <c r="O76" s="20" t="n">
        <f aca="false">IF(M76&gt;1,'Plan debt months'!BC76,M76)</f>
        <v>0</v>
      </c>
      <c r="P76" s="20" t="n">
        <f aca="false">R75</f>
        <v>0</v>
      </c>
      <c r="Q76" s="20" t="n">
        <f aca="false">IF(P76&gt;1,'Plan debt months'!CE76,0)</f>
        <v>0</v>
      </c>
      <c r="R76" s="20" t="n">
        <f aca="false">IF(P76&gt;1,'Plan debt months'!CD76,P76)</f>
        <v>0</v>
      </c>
      <c r="S76" s="20" t="n">
        <f aca="false">K76+N76+Q76</f>
        <v>0</v>
      </c>
      <c r="T76" s="57" t="n">
        <f aca="false">'Plan holdings'!Y76</f>
        <v>0</v>
      </c>
      <c r="U76" s="57" t="n">
        <f aca="false">'Plan holdings'!BM75</f>
        <v>0</v>
      </c>
      <c r="V76" s="20" t="n">
        <f aca="false">IF(AND(Slot1_On=1,D76=Slot1_Age),1,0)</f>
        <v>0</v>
      </c>
      <c r="W76" s="20" t="n">
        <f aca="false">IF(AND(Slot1_On=1,Slot1_Age&gt;D76),1,0)</f>
        <v>0</v>
      </c>
      <c r="X76" s="20" t="n">
        <f aca="false">QM75</f>
        <v>0</v>
      </c>
      <c r="Y76" s="20" t="n">
        <f aca="false">V76*MIN(Slot1_Cost,X76)</f>
        <v>0</v>
      </c>
      <c r="Z76" s="20" t="n">
        <f aca="false">V76*Slot1_SpendLike*MIN(Slot1_Cost-Y76,T76)</f>
        <v>0</v>
      </c>
      <c r="AA76" s="20" t="n">
        <f aca="false">Y76+Z76</f>
        <v>0</v>
      </c>
      <c r="AB76" s="20" t="n">
        <f aca="false">T76-Z76+V76*IF(Slot1_SpendLike=1,X76-Y76,IF(Slot1_PotFree=1,X76,0))</f>
        <v>0</v>
      </c>
      <c r="AC76" s="20" t="n">
        <f aca="false">AF76+V76*Slot1_BufPot*X76</f>
        <v>0</v>
      </c>
      <c r="AD76" s="20" t="n">
        <f aca="false">IF(AND(V76=1,Slot1_IsMfree=1),IF(AA76&gt;=Slot1_Cost-1,0,MAX(0,L76-AA76)),L76)</f>
        <v>0</v>
      </c>
      <c r="AE76" s="20" t="n">
        <f aca="false">V76*(Slot1_Cost-AA76)</f>
        <v>0</v>
      </c>
      <c r="AF76" s="20" t="n">
        <f aca="false">QL75</f>
        <v>0</v>
      </c>
      <c r="AG76" s="20" t="n">
        <f aca="false">IF(AND(Slot2_On=1,D76=Slot2_Age),1,0)</f>
        <v>0</v>
      </c>
      <c r="AH76" s="20" t="n">
        <f aca="false">IF(AND(Slot2_On=1,Slot2_Age&gt;D76),1,0)</f>
        <v>0</v>
      </c>
      <c r="AI76" s="20" t="n">
        <f aca="false">QQ75</f>
        <v>0</v>
      </c>
      <c r="AJ76" s="20" t="n">
        <f aca="false">AG76*MIN(Slot2_Cost,AI76)</f>
        <v>0</v>
      </c>
      <c r="AK76" s="20" t="n">
        <f aca="false">AG76*Slot2_SpendLike*MIN(Slot2_Cost-AJ76,AB76)</f>
        <v>0</v>
      </c>
      <c r="AL76" s="20" t="n">
        <f aca="false">AJ76+AK76</f>
        <v>0</v>
      </c>
      <c r="AM76" s="20" t="n">
        <f aca="false">AB76-AK76+AG76*IF(Slot2_SpendLike=1,AI76-AJ76,IF(Slot2_PotFree=1,AI76,0))</f>
        <v>0</v>
      </c>
      <c r="AN76" s="20" t="n">
        <f aca="false">AC76+AG76*Slot2_BufPot*AI76</f>
        <v>0</v>
      </c>
      <c r="AO76" s="20" t="n">
        <f aca="false">IF(AND(AG76=1,Slot2_IsMfree=1),IF(AL76&gt;=Slot2_Cost-1,0,MAX(0,AD76-AL76)),AD76)</f>
        <v>0</v>
      </c>
      <c r="AP76" s="20" t="n">
        <f aca="false">AG76*(Slot2_Cost-AL76)</f>
        <v>0</v>
      </c>
      <c r="AQ76" s="20" t="n">
        <f aca="false">IF(AND(Slot3_On=1,D76=Slot3_Age),1,0)</f>
        <v>0</v>
      </c>
      <c r="AR76" s="20" t="n">
        <f aca="false">IF(AND(Slot3_On=1,Slot3_Age&gt;D76),1,0)</f>
        <v>0</v>
      </c>
      <c r="AS76" s="20" t="n">
        <f aca="false">QU75</f>
        <v>0</v>
      </c>
      <c r="AT76" s="20" t="n">
        <f aca="false">AQ76*MIN(Slot3_Cost,AS76)</f>
        <v>0</v>
      </c>
      <c r="AU76" s="20" t="n">
        <f aca="false">AQ76*Slot3_SpendLike*MIN(Slot3_Cost-AT76,AM76)</f>
        <v>0</v>
      </c>
      <c r="AV76" s="20" t="n">
        <f aca="false">AT76+AU76</f>
        <v>0</v>
      </c>
      <c r="AW76" s="20" t="n">
        <f aca="false">AM76-AU76+AQ76*IF(Slot3_SpendLike=1,AS76-AT76,IF(Slot3_PotFree=1,AS76,0))</f>
        <v>0</v>
      </c>
      <c r="AX76" s="20" t="n">
        <f aca="false">AN76+AQ76*Slot3_BufPot*AS76</f>
        <v>0</v>
      </c>
      <c r="AY76" s="20" t="n">
        <f aca="false">IF(AND(AQ76=1,Slot3_IsMfree=1),IF(AV76&gt;=Slot3_Cost-1,0,MAX(0,AO76-AV76)),AO76)</f>
        <v>0</v>
      </c>
      <c r="AZ76" s="20" t="n">
        <f aca="false">AQ76*(Slot3_Cost-AV76)</f>
        <v>0</v>
      </c>
      <c r="BA76" s="20" t="n">
        <f aca="false">IF(AND(Slot4_On=1,D76=Slot4_Age),1,0)</f>
        <v>0</v>
      </c>
      <c r="BB76" s="20" t="n">
        <f aca="false">IF(AND(Slot4_On=1,Slot4_Age&gt;D76),1,0)</f>
        <v>0</v>
      </c>
      <c r="BC76" s="20" t="n">
        <f aca="false">QY75</f>
        <v>0</v>
      </c>
      <c r="BD76" s="20" t="n">
        <f aca="false">BA76*MIN(Slot4_Cost,BC76)</f>
        <v>0</v>
      </c>
      <c r="BE76" s="20" t="n">
        <f aca="false">BA76*Slot4_SpendLike*MIN(Slot4_Cost-BD76,AW76)</f>
        <v>0</v>
      </c>
      <c r="BF76" s="20" t="n">
        <f aca="false">BD76+BE76</f>
        <v>0</v>
      </c>
      <c r="BG76" s="20" t="n">
        <f aca="false">AW76-BE76+BA76*IF(Slot4_SpendLike=1,BC76-BD76,IF(Slot4_PotFree=1,BC76,0))</f>
        <v>0</v>
      </c>
      <c r="BH76" s="20" t="n">
        <f aca="false">AX76+BA76*Slot4_BufPot*BC76</f>
        <v>0</v>
      </c>
      <c r="BI76" s="20" t="n">
        <f aca="false">IF(AND(BA76=1,Slot4_IsMfree=1),IF(BF76&gt;=Slot4_Cost-1,0,MAX(0,AY76-BF76)),AY76)</f>
        <v>0</v>
      </c>
      <c r="BJ76" s="20" t="n">
        <f aca="false">BA76*(Slot4_Cost-BF76)</f>
        <v>0</v>
      </c>
      <c r="BK76" s="20" t="n">
        <f aca="false">IF(AND(Slot5_On=1,D76=Slot5_Age),1,0)</f>
        <v>0</v>
      </c>
      <c r="BL76" s="20" t="n">
        <f aca="false">IF(AND(Slot5_On=1,Slot5_Age&gt;D76),1,0)</f>
        <v>0</v>
      </c>
      <c r="BM76" s="20" t="n">
        <f aca="false">RC75</f>
        <v>0</v>
      </c>
      <c r="BN76" s="20" t="n">
        <f aca="false">BK76*MIN(Slot5_Cost,BM76)</f>
        <v>0</v>
      </c>
      <c r="BO76" s="20" t="n">
        <f aca="false">BK76*Slot5_SpendLike*MIN(Slot5_Cost-BN76,BG76)</f>
        <v>0</v>
      </c>
      <c r="BP76" s="20" t="n">
        <f aca="false">BN76+BO76</f>
        <v>0</v>
      </c>
      <c r="BQ76" s="20" t="n">
        <f aca="false">BG76-BO76+BK76*IF(Slot5_SpendLike=1,BM76-BN76,IF(Slot5_PotFree=1,BM76,0))</f>
        <v>0</v>
      </c>
      <c r="BR76" s="20" t="n">
        <f aca="false">BH76+BK76*Slot5_BufPot*BM76</f>
        <v>0</v>
      </c>
      <c r="BS76" s="20" t="n">
        <f aca="false">IF(AND(BK76=1,Slot5_IsMfree=1),IF(BP76&gt;=Slot5_Cost-1,0,MAX(0,BI76-BP76)),BI76)</f>
        <v>0</v>
      </c>
      <c r="BT76" s="20" t="n">
        <f aca="false">BK76*(Slot5_Cost-BP76)</f>
        <v>0</v>
      </c>
      <c r="BU76" s="20" t="n">
        <f aca="false">IF(AND(Slot6_On=1,D76=Slot6_Age),1,0)</f>
        <v>0</v>
      </c>
      <c r="BV76" s="20" t="n">
        <f aca="false">IF(AND(Slot6_On=1,Slot6_Age&gt;D76),1,0)</f>
        <v>0</v>
      </c>
      <c r="BW76" s="20" t="n">
        <f aca="false">RG75</f>
        <v>0</v>
      </c>
      <c r="BX76" s="20" t="n">
        <f aca="false">BU76*MIN(Slot6_Cost,BW76)</f>
        <v>0</v>
      </c>
      <c r="BY76" s="20" t="n">
        <f aca="false">BU76*Slot6_SpendLike*MIN(Slot6_Cost-BX76,BQ76)</f>
        <v>0</v>
      </c>
      <c r="BZ76" s="20" t="n">
        <f aca="false">BX76+BY76</f>
        <v>0</v>
      </c>
      <c r="CA76" s="20" t="n">
        <f aca="false">BQ76-BY76+BU76*IF(Slot6_SpendLike=1,BW76-BX76,IF(Slot6_PotFree=1,BW76,0))</f>
        <v>0</v>
      </c>
      <c r="CB76" s="20" t="n">
        <f aca="false">BR76+BU76*Slot6_BufPot*BW76</f>
        <v>0</v>
      </c>
      <c r="CC76" s="20" t="n">
        <f aca="false">IF(AND(BU76=1,Slot6_IsMfree=1),IF(BZ76&gt;=Slot6_Cost-1,0,MAX(0,BS76-BZ76)),BS76)</f>
        <v>0</v>
      </c>
      <c r="CD76" s="20" t="n">
        <f aca="false">BU76*(Slot6_Cost-BZ76)</f>
        <v>0</v>
      </c>
      <c r="CE76" s="20" t="n">
        <f aca="false">IF(AND(Slot7_On=1,D76=Slot7_Age),1,0)</f>
        <v>0</v>
      </c>
      <c r="CF76" s="20" t="n">
        <f aca="false">IF(AND(Slot7_On=1,Slot7_Age&gt;D76),1,0)</f>
        <v>0</v>
      </c>
      <c r="CG76" s="20" t="n">
        <f aca="false">RK75</f>
        <v>0</v>
      </c>
      <c r="CH76" s="20" t="n">
        <f aca="false">CE76*MIN(Slot7_Cost,CG76)</f>
        <v>0</v>
      </c>
      <c r="CI76" s="20" t="n">
        <f aca="false">CE76*Slot7_SpendLike*MIN(Slot7_Cost-CH76,CA76)</f>
        <v>0</v>
      </c>
      <c r="CJ76" s="20" t="n">
        <f aca="false">CH76+CI76</f>
        <v>0</v>
      </c>
      <c r="CK76" s="20" t="n">
        <f aca="false">CA76-CI76+CE76*IF(Slot7_SpendLike=1,CG76-CH76,IF(Slot7_PotFree=1,CG76,0))</f>
        <v>0</v>
      </c>
      <c r="CL76" s="20" t="n">
        <f aca="false">CB76+CE76*Slot7_BufPot*CG76</f>
        <v>0</v>
      </c>
      <c r="CM76" s="20" t="n">
        <f aca="false">IF(AND(CE76=1,Slot7_IsMfree=1),IF(CJ76&gt;=Slot7_Cost-1,0,MAX(0,CC76-CJ76)),CC76)</f>
        <v>0</v>
      </c>
      <c r="CN76" s="20" t="n">
        <f aca="false">CE76*(Slot7_Cost-CJ76)</f>
        <v>0</v>
      </c>
      <c r="CO76" s="20" t="n">
        <f aca="false">IF(AND(Slot8_On=1,D76=Slot8_Age),1,0)</f>
        <v>0</v>
      </c>
      <c r="CP76" s="20" t="n">
        <f aca="false">IF(AND(Slot8_On=1,Slot8_Age&gt;D76),1,0)</f>
        <v>0</v>
      </c>
      <c r="CQ76" s="20" t="n">
        <f aca="false">RO75</f>
        <v>0</v>
      </c>
      <c r="CR76" s="20" t="n">
        <f aca="false">CO76*MIN(Slot8_Cost,CQ76)</f>
        <v>0</v>
      </c>
      <c r="CS76" s="20" t="n">
        <f aca="false">CO76*Slot8_SpendLike*MIN(Slot8_Cost-CR76,CK76)</f>
        <v>0</v>
      </c>
      <c r="CT76" s="20" t="n">
        <f aca="false">CR76+CS76</f>
        <v>0</v>
      </c>
      <c r="CU76" s="20" t="n">
        <f aca="false">CK76-CS76+CO76*IF(Slot8_SpendLike=1,CQ76-CR76,IF(Slot8_PotFree=1,CQ76,0))</f>
        <v>0</v>
      </c>
      <c r="CV76" s="20" t="n">
        <f aca="false">CL76+CO76*Slot8_BufPot*CQ76</f>
        <v>0</v>
      </c>
      <c r="CW76" s="20" t="n">
        <f aca="false">IF(AND(CO76=1,Slot8_IsMfree=1),IF(CT76&gt;=Slot8_Cost-1,0,MAX(0,CM76-CT76)),CM76)</f>
        <v>0</v>
      </c>
      <c r="CX76" s="20" t="n">
        <f aca="false">CO76*(Slot8_Cost-CT76)</f>
        <v>0</v>
      </c>
      <c r="CY76" s="20" t="n">
        <f aca="false">IF(AND(Slot9_On=1,D76=Slot9_Age),1,0)</f>
        <v>0</v>
      </c>
      <c r="CZ76" s="20" t="n">
        <f aca="false">IF(AND(Slot9_On=1,Slot9_Age&gt;D76),1,0)</f>
        <v>0</v>
      </c>
      <c r="DA76" s="20" t="n">
        <f aca="false">RS75</f>
        <v>0</v>
      </c>
      <c r="DB76" s="20" t="n">
        <f aca="false">CY76*MIN(Slot9_Cost,DA76)</f>
        <v>0</v>
      </c>
      <c r="DC76" s="20" t="n">
        <f aca="false">CY76*Slot9_SpendLike*MIN(Slot9_Cost-DB76,CU76)</f>
        <v>0</v>
      </c>
      <c r="DD76" s="20" t="n">
        <f aca="false">DB76+DC76</f>
        <v>0</v>
      </c>
      <c r="DE76" s="20" t="n">
        <f aca="false">CU76-DC76+CY76*IF(Slot9_SpendLike=1,DA76-DB76,IF(Slot9_PotFree=1,DA76,0))</f>
        <v>0</v>
      </c>
      <c r="DF76" s="20" t="n">
        <f aca="false">CV76+CY76*Slot9_BufPot*DA76</f>
        <v>0</v>
      </c>
      <c r="DG76" s="20" t="n">
        <f aca="false">IF(AND(CY76=1,Slot9_IsMfree=1),IF(DD76&gt;=Slot9_Cost-1,0,MAX(0,CW76-DD76)),CW76)</f>
        <v>0</v>
      </c>
      <c r="DH76" s="20" t="n">
        <f aca="false">CY76*(Slot9_Cost-DD76)</f>
        <v>0</v>
      </c>
      <c r="DI76" s="20" t="n">
        <f aca="false">IF(AND(Slot10_On=1,D76=Slot10_Age),1,0)</f>
        <v>0</v>
      </c>
      <c r="DJ76" s="20" t="n">
        <f aca="false">IF(AND(Slot10_On=1,Slot10_Age&gt;D76),1,0)</f>
        <v>0</v>
      </c>
      <c r="DK76" s="20" t="n">
        <f aca="false">RW75</f>
        <v>0</v>
      </c>
      <c r="DL76" s="20" t="n">
        <f aca="false">DI76*MIN(Slot10_Cost,DK76)</f>
        <v>0</v>
      </c>
      <c r="DM76" s="20" t="n">
        <f aca="false">DI76*Slot10_SpendLike*MIN(Slot10_Cost-DL76,DE76)</f>
        <v>0</v>
      </c>
      <c r="DN76" s="20" t="n">
        <f aca="false">DL76+DM76</f>
        <v>0</v>
      </c>
      <c r="DO76" s="20" t="n">
        <f aca="false">DE76-DM76+DI76*IF(Slot10_SpendLike=1,DK76-DL76,IF(Slot10_PotFree=1,DK76,0))</f>
        <v>0</v>
      </c>
      <c r="DP76" s="20" t="n">
        <f aca="false">DF76+DI76*Slot10_BufPot*DK76</f>
        <v>0</v>
      </c>
      <c r="DQ76" s="20" t="n">
        <f aca="false">IF(AND(DI76=1,Slot10_IsMfree=1),IF(DN76&gt;=Slot10_Cost-1,0,MAX(0,DG76-DN76)),DG76)</f>
        <v>0</v>
      </c>
      <c r="DR76" s="20" t="n">
        <f aca="false">DI76*(Slot10_Cost-DN76)</f>
        <v>0</v>
      </c>
      <c r="DS76" s="20" t="n">
        <f aca="false">IF(AND(Slot11_On=1,D76=Slot11_Age),1,0)</f>
        <v>0</v>
      </c>
      <c r="DT76" s="20" t="n">
        <f aca="false">IF(AND(Slot11_On=1,Slot11_Age&gt;D76),1,0)</f>
        <v>0</v>
      </c>
      <c r="DU76" s="20" t="n">
        <f aca="false">SA75</f>
        <v>0</v>
      </c>
      <c r="DV76" s="20" t="n">
        <f aca="false">DS76*MIN(Slot11_Cost,DU76)</f>
        <v>0</v>
      </c>
      <c r="DW76" s="20" t="n">
        <f aca="false">DS76*Slot11_SpendLike*MIN(Slot11_Cost-DV76,DO76)</f>
        <v>0</v>
      </c>
      <c r="DX76" s="20" t="n">
        <f aca="false">DV76+DW76</f>
        <v>0</v>
      </c>
      <c r="DY76" s="20" t="n">
        <f aca="false">DO76-DW76+DS76*IF(Slot11_SpendLike=1,DU76-DV76,IF(Slot11_PotFree=1,DU76,0))</f>
        <v>0</v>
      </c>
      <c r="DZ76" s="20" t="n">
        <f aca="false">DP76+DS76*Slot11_BufPot*DU76</f>
        <v>0</v>
      </c>
      <c r="EA76" s="20" t="n">
        <f aca="false">IF(AND(DS76=1,Slot11_IsMfree=1),IF(DX76&gt;=Slot11_Cost-1,0,MAX(0,DQ76-DX76)),DQ76)</f>
        <v>0</v>
      </c>
      <c r="EB76" s="20" t="n">
        <f aca="false">DS76*(Slot11_Cost-DX76)</f>
        <v>0</v>
      </c>
      <c r="EC76" s="20" t="n">
        <f aca="false">IF(AND(Slot12_On=1,D76=Slot12_Age),1,0)</f>
        <v>0</v>
      </c>
      <c r="ED76" s="20" t="n">
        <f aca="false">IF(AND(Slot12_On=1,Slot12_Age&gt;D76),1,0)</f>
        <v>0</v>
      </c>
      <c r="EE76" s="20" t="n">
        <f aca="false">SE75</f>
        <v>0</v>
      </c>
      <c r="EF76" s="20" t="n">
        <f aca="false">EC76*MIN(Slot12_Cost,EE76)</f>
        <v>0</v>
      </c>
      <c r="EG76" s="20" t="n">
        <f aca="false">EC76*Slot12_SpendLike*MIN(Slot12_Cost-EF76,DY76)</f>
        <v>0</v>
      </c>
      <c r="EH76" s="20" t="n">
        <f aca="false">EF76+EG76</f>
        <v>0</v>
      </c>
      <c r="EI76" s="20" t="n">
        <f aca="false">DY76-EG76+EC76*IF(Slot12_SpendLike=1,EE76-EF76,IF(Slot12_PotFree=1,EE76,0))</f>
        <v>0</v>
      </c>
      <c r="EJ76" s="20" t="n">
        <f aca="false">DZ76+EC76*Slot12_BufPot*EE76</f>
        <v>0</v>
      </c>
      <c r="EK76" s="20" t="n">
        <f aca="false">IF(AND(EC76=1,Slot12_IsMfree=1),IF(EH76&gt;=Slot12_Cost-1,0,MAX(0,EA76-EH76)),EA76)</f>
        <v>0</v>
      </c>
      <c r="EL76" s="20" t="n">
        <f aca="false">EC76*(Slot12_Cost-EH76)</f>
        <v>0</v>
      </c>
      <c r="EM76" s="20" t="n">
        <f aca="false">IF(AND(Slot13_On=1,D76=Slot13_Age),1,0)</f>
        <v>0</v>
      </c>
      <c r="EN76" s="20" t="n">
        <f aca="false">IF(AND(Slot13_On=1,Slot13_Age&gt;D76),1,0)</f>
        <v>0</v>
      </c>
      <c r="EO76" s="20" t="n">
        <f aca="false">SI75</f>
        <v>0</v>
      </c>
      <c r="EP76" s="20" t="n">
        <f aca="false">EM76*MIN(Slot13_Cost,EO76)</f>
        <v>0</v>
      </c>
      <c r="EQ76" s="20" t="n">
        <f aca="false">EM76*Slot13_SpendLike*MIN(Slot13_Cost-EP76,EI76)</f>
        <v>0</v>
      </c>
      <c r="ER76" s="20" t="n">
        <f aca="false">EP76+EQ76</f>
        <v>0</v>
      </c>
      <c r="ES76" s="20" t="n">
        <f aca="false">EI76-EQ76+EM76*IF(Slot13_SpendLike=1,EO76-EP76,IF(Slot13_PotFree=1,EO76,0))</f>
        <v>0</v>
      </c>
      <c r="ET76" s="20" t="n">
        <f aca="false">EJ76+EM76*Slot13_BufPot*EO76</f>
        <v>0</v>
      </c>
      <c r="EU76" s="20" t="n">
        <f aca="false">IF(AND(EM76=1,Slot13_IsMfree=1),IF(ER76&gt;=Slot13_Cost-1,0,MAX(0,EK76-ER76)),EK76)</f>
        <v>0</v>
      </c>
      <c r="EV76" s="20" t="n">
        <f aca="false">EM76*(Slot13_Cost-ER76)</f>
        <v>0</v>
      </c>
      <c r="EW76" s="20" t="n">
        <f aca="false">IF(AND(Slot14_On=1,D76=Slot14_Age),1,0)</f>
        <v>0</v>
      </c>
      <c r="EX76" s="20" t="n">
        <f aca="false">IF(AND(Slot14_On=1,Slot14_Age&gt;D76),1,0)</f>
        <v>0</v>
      </c>
      <c r="EY76" s="20" t="n">
        <f aca="false">SM75</f>
        <v>0</v>
      </c>
      <c r="EZ76" s="20" t="n">
        <f aca="false">EW76*MIN(Slot14_Cost,EY76)</f>
        <v>0</v>
      </c>
      <c r="FA76" s="20" t="n">
        <f aca="false">EW76*Slot14_SpendLike*MIN(Slot14_Cost-EZ76,ES76)</f>
        <v>0</v>
      </c>
      <c r="FB76" s="20" t="n">
        <f aca="false">EZ76+FA76</f>
        <v>0</v>
      </c>
      <c r="FC76" s="20" t="n">
        <f aca="false">ES76-FA76+EW76*IF(Slot14_SpendLike=1,EY76-EZ76,IF(Slot14_PotFree=1,EY76,0))</f>
        <v>0</v>
      </c>
      <c r="FD76" s="20" t="n">
        <f aca="false">ET76+EW76*Slot14_BufPot*EY76</f>
        <v>0</v>
      </c>
      <c r="FE76" s="20" t="n">
        <f aca="false">IF(AND(EW76=1,Slot14_IsMfree=1),IF(FB76&gt;=Slot14_Cost-1,0,MAX(0,EU76-FB76)),EU76)</f>
        <v>0</v>
      </c>
      <c r="FF76" s="20" t="n">
        <f aca="false">EW76*(Slot14_Cost-FB76)</f>
        <v>0</v>
      </c>
      <c r="FG76" s="20" t="n">
        <f aca="false">IF(AND(Slot15_On=1,D76=Slot15_Age),1,0)</f>
        <v>0</v>
      </c>
      <c r="FH76" s="20" t="n">
        <f aca="false">IF(AND(Slot15_On=1,Slot15_Age&gt;D76),1,0)</f>
        <v>0</v>
      </c>
      <c r="FI76" s="20" t="n">
        <f aca="false">SQ75</f>
        <v>0</v>
      </c>
      <c r="FJ76" s="20" t="n">
        <f aca="false">FG76*MIN(Slot15_Cost,FI76)</f>
        <v>0</v>
      </c>
      <c r="FK76" s="20" t="n">
        <f aca="false">FG76*Slot15_SpendLike*MIN(Slot15_Cost-FJ76,FC76)</f>
        <v>0</v>
      </c>
      <c r="FL76" s="20" t="n">
        <f aca="false">FJ76+FK76</f>
        <v>0</v>
      </c>
      <c r="FM76" s="20" t="n">
        <f aca="false">FC76-FK76+FG76*IF(Slot15_SpendLike=1,FI76-FJ76,IF(Slot15_PotFree=1,FI76,0))</f>
        <v>0</v>
      </c>
      <c r="FN76" s="20" t="n">
        <f aca="false">FD76+FG76*Slot15_BufPot*FI76</f>
        <v>0</v>
      </c>
      <c r="FO76" s="20" t="n">
        <f aca="false">IF(AND(FG76=1,Slot15_IsMfree=1),IF(FL76&gt;=Slot15_Cost-1,0,MAX(0,FE76-FL76)),FE76)</f>
        <v>0</v>
      </c>
      <c r="FP76" s="20" t="n">
        <f aca="false">FG76*(Slot15_Cost-FL76)</f>
        <v>0</v>
      </c>
      <c r="FQ76" s="20" t="n">
        <f aca="false">IF(AND(Slot16_On=1,D76=Slot16_Age),1,0)</f>
        <v>0</v>
      </c>
      <c r="FR76" s="20" t="n">
        <f aca="false">IF(AND(Slot16_On=1,Slot16_Age&gt;D76),1,0)</f>
        <v>0</v>
      </c>
      <c r="FS76" s="20" t="n">
        <f aca="false">SU75</f>
        <v>0</v>
      </c>
      <c r="FT76" s="20" t="n">
        <f aca="false">FQ76*MIN(Slot16_Cost,FS76)</f>
        <v>0</v>
      </c>
      <c r="FU76" s="20" t="n">
        <f aca="false">FQ76*Slot16_SpendLike*MIN(Slot16_Cost-FT76,FM76)</f>
        <v>0</v>
      </c>
      <c r="FV76" s="20" t="n">
        <f aca="false">FT76+FU76</f>
        <v>0</v>
      </c>
      <c r="FW76" s="20" t="n">
        <f aca="false">FM76-FU76+FQ76*IF(Slot16_SpendLike=1,FS76-FT76,IF(Slot16_PotFree=1,FS76,0))</f>
        <v>0</v>
      </c>
      <c r="FX76" s="20" t="n">
        <f aca="false">FN76+FQ76*Slot16_BufPot*FS76</f>
        <v>0</v>
      </c>
      <c r="FY76" s="20" t="n">
        <f aca="false">IF(AND(FQ76=1,Slot16_IsMfree=1),IF(FV76&gt;=Slot16_Cost-1,0,MAX(0,FO76-FV76)),FO76)</f>
        <v>0</v>
      </c>
      <c r="FZ76" s="20" t="n">
        <f aca="false">FQ76*(Slot16_Cost-FV76)</f>
        <v>0</v>
      </c>
      <c r="GA76" s="20" t="n">
        <f aca="false">IF(AND(Slot17_On=1,D76=Slot17_Age),1,0)</f>
        <v>0</v>
      </c>
      <c r="GB76" s="20" t="n">
        <f aca="false">IF(AND(Slot17_On=1,Slot17_Age&gt;D76),1,0)</f>
        <v>0</v>
      </c>
      <c r="GC76" s="20" t="n">
        <f aca="false">SY75</f>
        <v>0</v>
      </c>
      <c r="GD76" s="20" t="n">
        <f aca="false">GA76*MIN(Slot17_Cost,GC76)</f>
        <v>0</v>
      </c>
      <c r="GE76" s="20" t="n">
        <f aca="false">GA76*Slot17_SpendLike*MIN(Slot17_Cost-GD76,FW76)</f>
        <v>0</v>
      </c>
      <c r="GF76" s="20" t="n">
        <f aca="false">GD76+GE76</f>
        <v>0</v>
      </c>
      <c r="GG76" s="20" t="n">
        <f aca="false">FW76-GE76+GA76*IF(Slot17_SpendLike=1,GC76-GD76,IF(Slot17_PotFree=1,GC76,0))</f>
        <v>0</v>
      </c>
      <c r="GH76" s="20" t="n">
        <f aca="false">FX76+GA76*Slot17_BufPot*GC76</f>
        <v>0</v>
      </c>
      <c r="GI76" s="20" t="n">
        <f aca="false">IF(AND(GA76=1,Slot17_IsMfree=1),IF(GF76&gt;=Slot17_Cost-1,0,MAX(0,FY76-GF76)),FY76)</f>
        <v>0</v>
      </c>
      <c r="GJ76" s="20" t="n">
        <f aca="false">GA76*(Slot17_Cost-GF76)</f>
        <v>0</v>
      </c>
      <c r="GK76" s="20" t="n">
        <f aca="false">IF(AND(Slot18_On=1,D76=Slot18_Age),1,0)</f>
        <v>0</v>
      </c>
      <c r="GL76" s="20" t="n">
        <f aca="false">IF(AND(Slot18_On=1,Slot18_Age&gt;D76),1,0)</f>
        <v>0</v>
      </c>
      <c r="GM76" s="20" t="n">
        <f aca="false">TC75</f>
        <v>0</v>
      </c>
      <c r="GN76" s="20" t="n">
        <f aca="false">GK76*MIN(Slot18_Cost,GM76)</f>
        <v>0</v>
      </c>
      <c r="GO76" s="20" t="n">
        <f aca="false">GK76*Slot18_SpendLike*MIN(Slot18_Cost-GN76,GG76)</f>
        <v>0</v>
      </c>
      <c r="GP76" s="20" t="n">
        <f aca="false">GN76+GO76</f>
        <v>0</v>
      </c>
      <c r="GQ76" s="20" t="n">
        <f aca="false">GG76-GO76+GK76*IF(Slot18_SpendLike=1,GM76-GN76,IF(Slot18_PotFree=1,GM76,0))</f>
        <v>0</v>
      </c>
      <c r="GR76" s="20" t="n">
        <f aca="false">GH76+GK76*Slot18_BufPot*GM76</f>
        <v>0</v>
      </c>
      <c r="GS76" s="20" t="n">
        <f aca="false">IF(AND(GK76=1,Slot18_IsMfree=1),IF(GP76&gt;=Slot18_Cost-1,0,MAX(0,GI76-GP76)),GI76)</f>
        <v>0</v>
      </c>
      <c r="GT76" s="20" t="n">
        <f aca="false">GK76*(Slot18_Cost-GP76)</f>
        <v>0</v>
      </c>
      <c r="GU76" s="20" t="n">
        <f aca="false">IF(AND(Slot19_On=1,D76=Slot19_Age),1,0)</f>
        <v>0</v>
      </c>
      <c r="GV76" s="20" t="n">
        <f aca="false">IF(AND(Slot19_On=1,Slot19_Age&gt;D76),1,0)</f>
        <v>0</v>
      </c>
      <c r="GW76" s="20" t="n">
        <f aca="false">TG75</f>
        <v>0</v>
      </c>
      <c r="GX76" s="20" t="n">
        <f aca="false">GU76*MIN(Slot19_Cost,GW76)</f>
        <v>0</v>
      </c>
      <c r="GY76" s="20" t="n">
        <f aca="false">GU76*Slot19_SpendLike*MIN(Slot19_Cost-GX76,GQ76)</f>
        <v>0</v>
      </c>
      <c r="GZ76" s="20" t="n">
        <f aca="false">GX76+GY76</f>
        <v>0</v>
      </c>
      <c r="HA76" s="20" t="n">
        <f aca="false">GQ76-GY76+GU76*IF(Slot19_SpendLike=1,GW76-GX76,IF(Slot19_PotFree=1,GW76,0))</f>
        <v>0</v>
      </c>
      <c r="HB76" s="20" t="n">
        <f aca="false">GR76+GU76*Slot19_BufPot*GW76</f>
        <v>0</v>
      </c>
      <c r="HC76" s="20" t="n">
        <f aca="false">IF(AND(GU76=1,Slot19_IsMfree=1),IF(GZ76&gt;=Slot19_Cost-1,0,MAX(0,GS76-GZ76)),GS76)</f>
        <v>0</v>
      </c>
      <c r="HD76" s="20" t="n">
        <f aca="false">GU76*(Slot19_Cost-GZ76)</f>
        <v>0</v>
      </c>
      <c r="HE76" s="20" t="n">
        <f aca="false">IF(AND(Slot20_On=1,D76=Slot20_Age),1,0)</f>
        <v>0</v>
      </c>
      <c r="HF76" s="20" t="n">
        <f aca="false">IF(AND(Slot20_On=1,Slot20_Age&gt;D76),1,0)</f>
        <v>0</v>
      </c>
      <c r="HG76" s="20" t="n">
        <f aca="false">TK75</f>
        <v>0</v>
      </c>
      <c r="HH76" s="20" t="n">
        <f aca="false">HE76*MIN(Slot20_Cost,HG76)</f>
        <v>0</v>
      </c>
      <c r="HI76" s="20" t="n">
        <f aca="false">HE76*Slot20_SpendLike*MIN(Slot20_Cost-HH76,HA76)</f>
        <v>0</v>
      </c>
      <c r="HJ76" s="20" t="n">
        <f aca="false">HH76+HI76</f>
        <v>0</v>
      </c>
      <c r="HK76" s="20" t="n">
        <f aca="false">HA76-HI76+HE76*IF(Slot20_SpendLike=1,HG76-HH76,IF(Slot20_PotFree=1,HG76,0))</f>
        <v>0</v>
      </c>
      <c r="HL76" s="20" t="n">
        <f aca="false">HB76+HE76*Slot20_BufPot*HG76</f>
        <v>0</v>
      </c>
      <c r="HM76" s="20" t="n">
        <f aca="false">IF(AND(HE76=1,Slot20_IsMfree=1),IF(HJ76&gt;=Slot20_Cost-1,0,MAX(0,HC76-HJ76)),HC76)</f>
        <v>0</v>
      </c>
      <c r="HN76" s="20" t="n">
        <f aca="false">HE76*(Slot20_Cost-HJ76)</f>
        <v>0</v>
      </c>
      <c r="HO76" s="20" t="n">
        <f aca="false">V76*Slot1_SpendLike*AA76+AG76*Slot2_SpendLike*AL76+AQ76*Slot3_SpendLike*AV76+BA76*Slot4_SpendLike*BF76+BK76*Slot5_SpendLike*BP76+BU76*Slot6_SpendLike*BZ76+CE76*Slot7_SpendLike*CJ76+CO76*Slot8_SpendLike*CT76+CY76*Slot9_SpendLike*DD76+DI76*Slot10_SpendLike*DN76+DS76*Slot11_SpendLike*DX76+EC76*Slot12_SpendLike*EH76+EM76*Slot13_SpendLike*ER76+EW76*Slot14_SpendLike*FB76+FG76*Slot15_SpendLike*FL76+FQ76*Slot16_SpendLike*FV76+GA76*Slot17_SpendLike*GF76+GK76*Slot18_SpendLike*GP76+GU76*Slot19_SpendLike*GZ76+HE76*Slot20_SpendLike*HJ76</f>
        <v>0</v>
      </c>
      <c r="HP76" s="20" t="n">
        <f aca="false">AE76+AP76+AZ76+BJ76+BT76+CD76+CN76+CX76+DH76+DR76+EB76+EL76+EV76+FF76+FP76+FZ76+GJ76+GT76+HD76+HN76</f>
        <v>0</v>
      </c>
      <c r="HQ76" s="20" t="n">
        <f aca="false">V76*Slot1_Cost+AG76*Slot2_Cost+AQ76*Slot3_Cost+BA76*Slot4_Cost+BK76*Slot5_Cost+BU76*Slot6_Cost+CE76*Slot7_Cost+CO76*Slot8_Cost+CY76*Slot9_Cost+DI76*Slot10_Cost+DS76*Slot11_Cost+EC76*Slot12_Cost+EM76*Slot13_Cost+EW76*Slot14_Cost+FG76*Slot15_Cost+FQ76*Slot16_Cost+GA76*Slot17_Cost+GK76*Slot18_Cost+GU76*Slot19_Cost+HE76*Slot20_Cost</f>
        <v>0</v>
      </c>
      <c r="HR76" s="20" t="n">
        <f aca="false">HM76</f>
        <v>0</v>
      </c>
      <c r="HS76" s="20" t="n">
        <f aca="false">H76-I76-S76</f>
        <v>-74061.4849418023</v>
      </c>
      <c r="HT76" s="20" t="n">
        <f aca="false">IF(B76=0,IF(AND(Has_q6=1,In_q6=4),PR_ShareVaries*(MAX(0,HS76)/12),MIN(IF(Has_q6=1,CHOOSE(In_q6+1,PR_SaveB1,PR_SaveB2,PR_SaveB3,PR_SaveB4,0),AS_NoAnswer),AS_SaveShare*(MAX(0,HS76)/12))),HT75)</f>
        <v>67.3316893520437</v>
      </c>
      <c r="HU76" s="20" t="n">
        <f aca="false">IF(HS76&gt;=0,1,0)</f>
        <v>0</v>
      </c>
      <c r="HV76" s="20" t="n">
        <f aca="false">MAX(0,HS76/12/F76)</f>
        <v>0</v>
      </c>
      <c r="HW76" s="20" t="n">
        <f aca="false">IF(AND(Has_q6=1,In_q6=4),PR_ShareVaries*(HV76),MIN(IF(Has_q6=1,CHOOSE(In_q6+1,PR_SaveB1,PR_SaveB2,PR_SaveB3,PR_SaveB4,0),AS_NoAnswer),AS_SaveShare*(HV76)))</f>
        <v>0</v>
      </c>
      <c r="HX76" s="20" t="n">
        <f aca="false">IF(Has_saveM=1,IF(In_saveUp="Yes",1,IF(In_saveUp="No",0,IF(In_saveM&gt;=HT76-0.5,1,0))),0)</f>
        <v>0</v>
      </c>
      <c r="HY76" s="20" t="n">
        <f aca="false">IF(Has_saveM=1,MIN(HV76,IF(HX76=1,MAX(In_saveM,HW76),MIN(In_saveM,HW76))),HW76)</f>
        <v>0</v>
      </c>
      <c r="HZ76" s="20" t="n">
        <f aca="false">IF(G76=1,HY76*12*F76,0)</f>
        <v>0</v>
      </c>
      <c r="IA76" s="20" t="n">
        <f aca="false">MAX(0,HZ76+IF(AND(WI_Retire=0,WI_M&lt;0,G76=1),WI_M*12*F76,0))</f>
        <v>0</v>
      </c>
      <c r="IB76" s="20" t="n">
        <f aca="false">Slot1_IsWG*W76+Slot2_IsWG*AH76+Slot3_IsWG*AR76+Slot4_IsWG*BB76+Slot5_IsWG*BL76+Slot6_IsWG*BV76+Slot7_IsWG*CF76+Slot8_IsWG*CP76+Slot9_IsWG*CZ76+Slot10_IsWG*DJ76+Slot11_IsWG*DT76+Slot12_IsWG*ED76+Slot13_IsWG*EN76+Slot14_IsWG*EX76+Slot15_IsWG*FH76+Slot16_IsWG*FR76+Slot17_IsWG*GB76+Slot18_IsWG*GL76+Slot19_IsWG*GV76+Slot20_IsWG*HF76</f>
        <v>0</v>
      </c>
      <c r="IC76" s="20" t="n">
        <f aca="false">IF(AND(WI_Retire=0,WI_M&gt;0,G76=1,IB76&gt;=1),WI_M*12*F76,0)</f>
        <v>0</v>
      </c>
      <c r="ID76" s="20" t="n">
        <f aca="false">IF(HU76=1,MIN(IA76,HS76),0)</f>
        <v>0</v>
      </c>
      <c r="IE76" s="20" t="n">
        <f aca="false">IF(HU76=1,MIN(IC76,HS76-ID76),0)</f>
        <v>0</v>
      </c>
      <c r="IF76" s="20" t="n">
        <f aca="false">IF(W76=1,IF(ABS((1+AS_Wage)/(1+Slot1_Rate)-1)&lt;0.000000000001,(Slot1_Age-D76)*(1+Slot1_Rate)^(Slot1_Age-D76),(1+Slot1_Rate)^(Slot1_Age-D76)*(1-((1+AS_Wage)/(1+Slot1_Rate))^(Slot1_Age-D76))/(1-(1+AS_Wage)/(1+Slot1_Rate))),1)</f>
        <v>1</v>
      </c>
      <c r="IG76" s="20" t="n">
        <f aca="false">IF(AND(HU76=1,IE76&gt;0,Slot1_IsWG=1,W76=1),MAX(0,(Slot1_Cost-X76*(1+Slot1_Rate)^(Slot1_Age-D76))/IF76),0)</f>
        <v>0</v>
      </c>
      <c r="IH76" s="20" t="n">
        <f aca="false">IF(AND(HU76=1,IE76&gt;0,Slot1_IsWG=1,W76=1),MIN(IE76,IG76),0)</f>
        <v>0</v>
      </c>
      <c r="II76" s="20" t="n">
        <f aca="false">X76+IH76</f>
        <v>0</v>
      </c>
      <c r="IJ76" s="20" t="n">
        <f aca="false">IF(W76=1,MAX(0,(Slot1_Cost-II76*(1+Slot1_Rate)^(Slot1_Age-D76))/IF76),0)</f>
        <v>0</v>
      </c>
      <c r="IK76" s="20" t="n">
        <f aca="false">IF(W76=1,MAX(0,(Slot1_Cost-X76*(1+Slot1_Rate)^(Slot1_Age-D76))/IF76),0)</f>
        <v>0</v>
      </c>
      <c r="IL76" s="20" t="n">
        <f aca="false">IF(AND(HU76=1,W76=1),MIN(ID76,IJ76),0)</f>
        <v>0</v>
      </c>
      <c r="IM76" s="20" t="n">
        <f aca="false">ID76-IL76</f>
        <v>0</v>
      </c>
      <c r="IN76" s="20" t="n">
        <f aca="false">IF(AH76=1,IF(ABS((1+AS_Wage)/(1+Slot2_Rate)-1)&lt;0.000000000001,(Slot2_Age-D76)*(1+Slot2_Rate)^(Slot2_Age-D76),(1+Slot2_Rate)^(Slot2_Age-D76)*(1-((1+AS_Wage)/(1+Slot2_Rate))^(Slot2_Age-D76))/(1-(1+AS_Wage)/(1+Slot2_Rate))),1)</f>
        <v>1</v>
      </c>
      <c r="IO76" s="20" t="n">
        <f aca="false">IF(AND(HU76=1,IE76&gt;0,Slot2_IsWG=1,AH76=1),MAX(0,(Slot2_Cost-AI76*(1+Slot2_Rate)^(Slot2_Age-D76))/IN76),0)</f>
        <v>0</v>
      </c>
      <c r="IP76" s="20" t="n">
        <f aca="false">IF(AND(HU76=1,IE76&gt;0,Slot2_IsWG=1,AH76=1),MIN(IE76,IO76),0)</f>
        <v>0</v>
      </c>
      <c r="IQ76" s="20" t="n">
        <f aca="false">AI76+IP76</f>
        <v>0</v>
      </c>
      <c r="IR76" s="20" t="n">
        <f aca="false">IF(AH76=1,MAX(0,(Slot2_Cost-IQ76*(1+Slot2_Rate)^(Slot2_Age-D76))/IN76),0)</f>
        <v>0</v>
      </c>
      <c r="IS76" s="20" t="n">
        <f aca="false">IF(AH76=1,MAX(0,(Slot2_Cost-AI76*(1+Slot2_Rate)^(Slot2_Age-D76))/IN76),0)</f>
        <v>0</v>
      </c>
      <c r="IT76" s="20" t="n">
        <f aca="false">IF(AND(HU76=1,AH76=1),MIN(IM76,IR76),0)</f>
        <v>0</v>
      </c>
      <c r="IU76" s="20" t="n">
        <f aca="false">IM76-IT76</f>
        <v>0</v>
      </c>
      <c r="IV76" s="20" t="n">
        <f aca="false">IF(AR76=1,IF(ABS((1+AS_Wage)/(1+Slot3_Rate)-1)&lt;0.000000000001,(Slot3_Age-D76)*(1+Slot3_Rate)^(Slot3_Age-D76),(1+Slot3_Rate)^(Slot3_Age-D76)*(1-((1+AS_Wage)/(1+Slot3_Rate))^(Slot3_Age-D76))/(1-(1+AS_Wage)/(1+Slot3_Rate))),1)</f>
        <v>1</v>
      </c>
      <c r="IW76" s="20" t="n">
        <f aca="false">IF(AND(HU76=1,IE76&gt;0,Slot3_IsWG=1,AR76=1),MAX(0,(Slot3_Cost-AS76*(1+Slot3_Rate)^(Slot3_Age-D76))/IV76),0)</f>
        <v>0</v>
      </c>
      <c r="IX76" s="20" t="n">
        <f aca="false">IF(AND(HU76=1,IE76&gt;0,Slot3_IsWG=1,AR76=1),MIN(IE76,IW76),0)</f>
        <v>0</v>
      </c>
      <c r="IY76" s="20" t="n">
        <f aca="false">AS76+IX76</f>
        <v>0</v>
      </c>
      <c r="IZ76" s="20" t="n">
        <f aca="false">IF(AR76=1,MAX(0,(Slot3_Cost-IY76*(1+Slot3_Rate)^(Slot3_Age-D76))/IV76),0)</f>
        <v>0</v>
      </c>
      <c r="JA76" s="20" t="n">
        <f aca="false">IF(AR76=1,MAX(0,(Slot3_Cost-AS76*(1+Slot3_Rate)^(Slot3_Age-D76))/IV76),0)</f>
        <v>0</v>
      </c>
      <c r="JB76" s="20" t="n">
        <f aca="false">IF(AND(HU76=1,AR76=1),MIN(IU76,IZ76),0)</f>
        <v>0</v>
      </c>
      <c r="JC76" s="20" t="n">
        <f aca="false">IU76-JB76</f>
        <v>0</v>
      </c>
      <c r="JD76" s="20" t="n">
        <f aca="false">IF(BB76=1,IF(ABS((1+AS_Wage)/(1+Slot4_Rate)-1)&lt;0.000000000001,(Slot4_Age-D76)*(1+Slot4_Rate)^(Slot4_Age-D76),(1+Slot4_Rate)^(Slot4_Age-D76)*(1-((1+AS_Wage)/(1+Slot4_Rate))^(Slot4_Age-D76))/(1-(1+AS_Wage)/(1+Slot4_Rate))),1)</f>
        <v>1</v>
      </c>
      <c r="JE76" s="20" t="n">
        <f aca="false">IF(AND(HU76=1,IE76&gt;0,Slot4_IsWG=1,BB76=1),MAX(0,(Slot4_Cost-BC76*(1+Slot4_Rate)^(Slot4_Age-D76))/JD76),0)</f>
        <v>0</v>
      </c>
      <c r="JF76" s="20" t="n">
        <f aca="false">IF(AND(HU76=1,IE76&gt;0,Slot4_IsWG=1,BB76=1),MIN(IE76,JE76),0)</f>
        <v>0</v>
      </c>
      <c r="JG76" s="20" t="n">
        <f aca="false">BC76+JF76</f>
        <v>0</v>
      </c>
      <c r="JH76" s="20" t="n">
        <f aca="false">IF(BB76=1,MAX(0,(Slot4_Cost-JG76*(1+Slot4_Rate)^(Slot4_Age-D76))/JD76),0)</f>
        <v>0</v>
      </c>
      <c r="JI76" s="20" t="n">
        <f aca="false">IF(BB76=1,MAX(0,(Slot4_Cost-BC76*(1+Slot4_Rate)^(Slot4_Age-D76))/JD76),0)</f>
        <v>0</v>
      </c>
      <c r="JJ76" s="20" t="n">
        <f aca="false">IF(AND(HU76=1,BB76=1),MIN(JC76,JH76),0)</f>
        <v>0</v>
      </c>
      <c r="JK76" s="20" t="n">
        <f aca="false">JC76-JJ76</f>
        <v>0</v>
      </c>
      <c r="JL76" s="20" t="n">
        <f aca="false">IF(BL76=1,IF(ABS((1+AS_Wage)/(1+Slot5_Rate)-1)&lt;0.000000000001,(Slot5_Age-D76)*(1+Slot5_Rate)^(Slot5_Age-D76),(1+Slot5_Rate)^(Slot5_Age-D76)*(1-((1+AS_Wage)/(1+Slot5_Rate))^(Slot5_Age-D76))/(1-(1+AS_Wage)/(1+Slot5_Rate))),1)</f>
        <v>1</v>
      </c>
      <c r="JM76" s="20" t="n">
        <f aca="false">IF(AND(HU76=1,IE76&gt;0,Slot5_IsWG=1,BL76=1),MAX(0,(Slot5_Cost-BM76*(1+Slot5_Rate)^(Slot5_Age-D76))/JL76),0)</f>
        <v>0</v>
      </c>
      <c r="JN76" s="20" t="n">
        <f aca="false">IF(AND(HU76=1,IE76&gt;0,Slot5_IsWG=1,BL76=1),MIN(IE76,JM76),0)</f>
        <v>0</v>
      </c>
      <c r="JO76" s="20" t="n">
        <f aca="false">BM76+JN76</f>
        <v>0</v>
      </c>
      <c r="JP76" s="20" t="n">
        <f aca="false">IF(BL76=1,MAX(0,(Slot5_Cost-JO76*(1+Slot5_Rate)^(Slot5_Age-D76))/JL76),0)</f>
        <v>0</v>
      </c>
      <c r="JQ76" s="20" t="n">
        <f aca="false">IF(BL76=1,MAX(0,(Slot5_Cost-BM76*(1+Slot5_Rate)^(Slot5_Age-D76))/JL76),0)</f>
        <v>0</v>
      </c>
      <c r="JR76" s="20" t="n">
        <f aca="false">IF(AND(HU76=1,BL76=1),MIN(JK76,JP76),0)</f>
        <v>0</v>
      </c>
      <c r="JS76" s="20" t="n">
        <f aca="false">JK76-JR76</f>
        <v>0</v>
      </c>
      <c r="JT76" s="20" t="n">
        <f aca="false">IF(BV76=1,IF(ABS((1+AS_Wage)/(1+Slot6_Rate)-1)&lt;0.000000000001,(Slot6_Age-D76)*(1+Slot6_Rate)^(Slot6_Age-D76),(1+Slot6_Rate)^(Slot6_Age-D76)*(1-((1+AS_Wage)/(1+Slot6_Rate))^(Slot6_Age-D76))/(1-(1+AS_Wage)/(1+Slot6_Rate))),1)</f>
        <v>1</v>
      </c>
      <c r="JU76" s="20" t="n">
        <f aca="false">IF(AND(HU76=1,IE76&gt;0,Slot6_IsWG=1,BV76=1),MAX(0,(Slot6_Cost-BW76*(1+Slot6_Rate)^(Slot6_Age-D76))/JT76),0)</f>
        <v>0</v>
      </c>
      <c r="JV76" s="20" t="n">
        <f aca="false">IF(AND(HU76=1,IE76&gt;0,Slot6_IsWG=1,BV76=1),MIN(IE76,JU76),0)</f>
        <v>0</v>
      </c>
      <c r="JW76" s="20" t="n">
        <f aca="false">BW76+JV76</f>
        <v>0</v>
      </c>
      <c r="JX76" s="20" t="n">
        <f aca="false">IF(BV76=1,MAX(0,(Slot6_Cost-JW76*(1+Slot6_Rate)^(Slot6_Age-D76))/JT76),0)</f>
        <v>0</v>
      </c>
      <c r="JY76" s="20" t="n">
        <f aca="false">IF(BV76=1,MAX(0,(Slot6_Cost-BW76*(1+Slot6_Rate)^(Slot6_Age-D76))/JT76),0)</f>
        <v>0</v>
      </c>
      <c r="JZ76" s="20" t="n">
        <f aca="false">IF(AND(HU76=1,BV76=1),MIN(JS76,JX76),0)</f>
        <v>0</v>
      </c>
      <c r="KA76" s="20" t="n">
        <f aca="false">JS76-JZ76</f>
        <v>0</v>
      </c>
      <c r="KB76" s="20" t="n">
        <f aca="false">IF(CF76=1,IF(ABS((1+AS_Wage)/(1+Slot7_Rate)-1)&lt;0.000000000001,(Slot7_Age-D76)*(1+Slot7_Rate)^(Slot7_Age-D76),(1+Slot7_Rate)^(Slot7_Age-D76)*(1-((1+AS_Wage)/(1+Slot7_Rate))^(Slot7_Age-D76))/(1-(1+AS_Wage)/(1+Slot7_Rate))),1)</f>
        <v>1</v>
      </c>
      <c r="KC76" s="20" t="n">
        <f aca="false">IF(AND(HU76=1,IE76&gt;0,Slot7_IsWG=1,CF76=1),MAX(0,(Slot7_Cost-CG76*(1+Slot7_Rate)^(Slot7_Age-D76))/KB76),0)</f>
        <v>0</v>
      </c>
      <c r="KD76" s="20" t="n">
        <f aca="false">IF(AND(HU76=1,IE76&gt;0,Slot7_IsWG=1,CF76=1),MIN(IE76,KC76),0)</f>
        <v>0</v>
      </c>
      <c r="KE76" s="20" t="n">
        <f aca="false">CG76+KD76</f>
        <v>0</v>
      </c>
      <c r="KF76" s="20" t="n">
        <f aca="false">IF(CF76=1,MAX(0,(Slot7_Cost-KE76*(1+Slot7_Rate)^(Slot7_Age-D76))/KB76),0)</f>
        <v>0</v>
      </c>
      <c r="KG76" s="20" t="n">
        <f aca="false">IF(CF76=1,MAX(0,(Slot7_Cost-CG76*(1+Slot7_Rate)^(Slot7_Age-D76))/KB76),0)</f>
        <v>0</v>
      </c>
      <c r="KH76" s="20" t="n">
        <f aca="false">IF(AND(HU76=1,CF76=1),MIN(KA76,KF76),0)</f>
        <v>0</v>
      </c>
      <c r="KI76" s="20" t="n">
        <f aca="false">KA76-KH76</f>
        <v>0</v>
      </c>
      <c r="KJ76" s="20" t="n">
        <f aca="false">IF(CP76=1,IF(ABS((1+AS_Wage)/(1+Slot8_Rate)-1)&lt;0.000000000001,(Slot8_Age-D76)*(1+Slot8_Rate)^(Slot8_Age-D76),(1+Slot8_Rate)^(Slot8_Age-D76)*(1-((1+AS_Wage)/(1+Slot8_Rate))^(Slot8_Age-D76))/(1-(1+AS_Wage)/(1+Slot8_Rate))),1)</f>
        <v>1</v>
      </c>
      <c r="KK76" s="20" t="n">
        <f aca="false">IF(AND(HU76=1,IE76&gt;0,Slot8_IsWG=1,CP76=1),MAX(0,(Slot8_Cost-CQ76*(1+Slot8_Rate)^(Slot8_Age-D76))/KJ76),0)</f>
        <v>0</v>
      </c>
      <c r="KL76" s="20" t="n">
        <f aca="false">IF(AND(HU76=1,IE76&gt;0,Slot8_IsWG=1,CP76=1),MIN(IE76,KK76),0)</f>
        <v>0</v>
      </c>
      <c r="KM76" s="20" t="n">
        <f aca="false">CQ76+KL76</f>
        <v>0</v>
      </c>
      <c r="KN76" s="20" t="n">
        <f aca="false">IF(CP76=1,MAX(0,(Slot8_Cost-KM76*(1+Slot8_Rate)^(Slot8_Age-D76))/KJ76),0)</f>
        <v>0</v>
      </c>
      <c r="KO76" s="20" t="n">
        <f aca="false">IF(CP76=1,MAX(0,(Slot8_Cost-CQ76*(1+Slot8_Rate)^(Slot8_Age-D76))/KJ76),0)</f>
        <v>0</v>
      </c>
      <c r="KP76" s="20" t="n">
        <f aca="false">IF(AND(HU76=1,CP76=1),MIN(KI76,KN76),0)</f>
        <v>0</v>
      </c>
      <c r="KQ76" s="20" t="n">
        <f aca="false">KI76-KP76</f>
        <v>0</v>
      </c>
      <c r="KR76" s="20" t="n">
        <f aca="false">IF(CZ76=1,IF(ABS((1+AS_Wage)/(1+Slot9_Rate)-1)&lt;0.000000000001,(Slot9_Age-D76)*(1+Slot9_Rate)^(Slot9_Age-D76),(1+Slot9_Rate)^(Slot9_Age-D76)*(1-((1+AS_Wage)/(1+Slot9_Rate))^(Slot9_Age-D76))/(1-(1+AS_Wage)/(1+Slot9_Rate))),1)</f>
        <v>1</v>
      </c>
      <c r="KS76" s="20" t="n">
        <f aca="false">IF(AND(HU76=1,IE76&gt;0,Slot9_IsWG=1,CZ76=1),MAX(0,(Slot9_Cost-DA76*(1+Slot9_Rate)^(Slot9_Age-D76))/KR76),0)</f>
        <v>0</v>
      </c>
      <c r="KT76" s="20" t="n">
        <f aca="false">IF(AND(HU76=1,IE76&gt;0,Slot9_IsWG=1,CZ76=1),MIN(IE76,KS76),0)</f>
        <v>0</v>
      </c>
      <c r="KU76" s="20" t="n">
        <f aca="false">DA76+KT76</f>
        <v>0</v>
      </c>
      <c r="KV76" s="20" t="n">
        <f aca="false">IF(CZ76=1,MAX(0,(Slot9_Cost-KU76*(1+Slot9_Rate)^(Slot9_Age-D76))/KR76),0)</f>
        <v>0</v>
      </c>
      <c r="KW76" s="20" t="n">
        <f aca="false">IF(CZ76=1,MAX(0,(Slot9_Cost-DA76*(1+Slot9_Rate)^(Slot9_Age-D76))/KR76),0)</f>
        <v>0</v>
      </c>
      <c r="KX76" s="20" t="n">
        <f aca="false">IF(AND(HU76=1,CZ76=1),MIN(KQ76,KV76),0)</f>
        <v>0</v>
      </c>
      <c r="KY76" s="20" t="n">
        <f aca="false">KQ76-KX76</f>
        <v>0</v>
      </c>
      <c r="KZ76" s="20" t="n">
        <f aca="false">IF(DJ76=1,IF(ABS((1+AS_Wage)/(1+Slot10_Rate)-1)&lt;0.000000000001,(Slot10_Age-D76)*(1+Slot10_Rate)^(Slot10_Age-D76),(1+Slot10_Rate)^(Slot10_Age-D76)*(1-((1+AS_Wage)/(1+Slot10_Rate))^(Slot10_Age-D76))/(1-(1+AS_Wage)/(1+Slot10_Rate))),1)</f>
        <v>1</v>
      </c>
      <c r="LA76" s="20" t="n">
        <f aca="false">IF(AND(HU76=1,IE76&gt;0,Slot10_IsWG=1,DJ76=1),MAX(0,(Slot10_Cost-DK76*(1+Slot10_Rate)^(Slot10_Age-D76))/KZ76),0)</f>
        <v>0</v>
      </c>
      <c r="LB76" s="20" t="n">
        <f aca="false">IF(AND(HU76=1,IE76&gt;0,Slot10_IsWG=1,DJ76=1),MIN(IE76,LA76),0)</f>
        <v>0</v>
      </c>
      <c r="LC76" s="20" t="n">
        <f aca="false">DK76+LB76</f>
        <v>0</v>
      </c>
      <c r="LD76" s="20" t="n">
        <f aca="false">IF(DJ76=1,MAX(0,(Slot10_Cost-LC76*(1+Slot10_Rate)^(Slot10_Age-D76))/KZ76),0)</f>
        <v>0</v>
      </c>
      <c r="LE76" s="20" t="n">
        <f aca="false">IF(DJ76=1,MAX(0,(Slot10_Cost-DK76*(1+Slot10_Rate)^(Slot10_Age-D76))/KZ76),0)</f>
        <v>0</v>
      </c>
      <c r="LF76" s="20" t="n">
        <f aca="false">IF(AND(HU76=1,DJ76=1),MIN(KY76,LD76),0)</f>
        <v>0</v>
      </c>
      <c r="LG76" s="20" t="n">
        <f aca="false">KY76-LF76</f>
        <v>0</v>
      </c>
      <c r="LH76" s="20" t="n">
        <f aca="false">IF(DT76=1,IF(ABS((1+AS_Wage)/(1+Slot11_Rate)-1)&lt;0.000000000001,(Slot11_Age-D76)*(1+Slot11_Rate)^(Slot11_Age-D76),(1+Slot11_Rate)^(Slot11_Age-D76)*(1-((1+AS_Wage)/(1+Slot11_Rate))^(Slot11_Age-D76))/(1-(1+AS_Wage)/(1+Slot11_Rate))),1)</f>
        <v>1</v>
      </c>
      <c r="LI76" s="20" t="n">
        <f aca="false">IF(AND(HU76=1,IE76&gt;0,Slot11_IsWG=1,DT76=1),MAX(0,(Slot11_Cost-DU76*(1+Slot11_Rate)^(Slot11_Age-D76))/LH76),0)</f>
        <v>0</v>
      </c>
      <c r="LJ76" s="20" t="n">
        <f aca="false">IF(AND(HU76=1,IE76&gt;0,Slot11_IsWG=1,DT76=1),MIN(IE76,LI76),0)</f>
        <v>0</v>
      </c>
      <c r="LK76" s="20" t="n">
        <f aca="false">DU76+LJ76</f>
        <v>0</v>
      </c>
      <c r="LL76" s="20" t="n">
        <f aca="false">IF(DT76=1,MAX(0,(Slot11_Cost-LK76*(1+Slot11_Rate)^(Slot11_Age-D76))/LH76),0)</f>
        <v>0</v>
      </c>
      <c r="LM76" s="20" t="n">
        <f aca="false">IF(DT76=1,MAX(0,(Slot11_Cost-DU76*(1+Slot11_Rate)^(Slot11_Age-D76))/LH76),0)</f>
        <v>0</v>
      </c>
      <c r="LN76" s="20" t="n">
        <f aca="false">IF(AND(HU76=1,DT76=1),MIN(LG76,LL76),0)</f>
        <v>0</v>
      </c>
      <c r="LO76" s="20" t="n">
        <f aca="false">LG76-LN76</f>
        <v>0</v>
      </c>
      <c r="LP76" s="20" t="n">
        <f aca="false">IF(ED76=1,IF(ABS((1+AS_Wage)/(1+Slot12_Rate)-1)&lt;0.000000000001,(Slot12_Age-D76)*(1+Slot12_Rate)^(Slot12_Age-D76),(1+Slot12_Rate)^(Slot12_Age-D76)*(1-((1+AS_Wage)/(1+Slot12_Rate))^(Slot12_Age-D76))/(1-(1+AS_Wage)/(1+Slot12_Rate))),1)</f>
        <v>1</v>
      </c>
      <c r="LQ76" s="20" t="n">
        <f aca="false">IF(AND(HU76=1,IE76&gt;0,Slot12_IsWG=1,ED76=1),MAX(0,(Slot12_Cost-EE76*(1+Slot12_Rate)^(Slot12_Age-D76))/LP76),0)</f>
        <v>0</v>
      </c>
      <c r="LR76" s="20" t="n">
        <f aca="false">IF(AND(HU76=1,IE76&gt;0,Slot12_IsWG=1,ED76=1),MIN(IE76,LQ76),0)</f>
        <v>0</v>
      </c>
      <c r="LS76" s="20" t="n">
        <f aca="false">EE76+LR76</f>
        <v>0</v>
      </c>
      <c r="LT76" s="20" t="n">
        <f aca="false">IF(ED76=1,MAX(0,(Slot12_Cost-LS76*(1+Slot12_Rate)^(Slot12_Age-D76))/LP76),0)</f>
        <v>0</v>
      </c>
      <c r="LU76" s="20" t="n">
        <f aca="false">IF(ED76=1,MAX(0,(Slot12_Cost-EE76*(1+Slot12_Rate)^(Slot12_Age-D76))/LP76),0)</f>
        <v>0</v>
      </c>
      <c r="LV76" s="20" t="n">
        <f aca="false">IF(AND(HU76=1,ED76=1),MIN(LO76,LT76),0)</f>
        <v>0</v>
      </c>
      <c r="LW76" s="20" t="n">
        <f aca="false">LO76-LV76</f>
        <v>0</v>
      </c>
      <c r="LX76" s="20" t="n">
        <f aca="false">IF(EN76=1,IF(ABS((1+AS_Wage)/(1+Slot13_Rate)-1)&lt;0.000000000001,(Slot13_Age-D76)*(1+Slot13_Rate)^(Slot13_Age-D76),(1+Slot13_Rate)^(Slot13_Age-D76)*(1-((1+AS_Wage)/(1+Slot13_Rate))^(Slot13_Age-D76))/(1-(1+AS_Wage)/(1+Slot13_Rate))),1)</f>
        <v>1</v>
      </c>
      <c r="LY76" s="20" t="n">
        <f aca="false">IF(AND(HU76=1,IE76&gt;0,Slot13_IsWG=1,EN76=1),MAX(0,(Slot13_Cost-EO76*(1+Slot13_Rate)^(Slot13_Age-D76))/LX76),0)</f>
        <v>0</v>
      </c>
      <c r="LZ76" s="20" t="n">
        <f aca="false">IF(AND(HU76=1,IE76&gt;0,Slot13_IsWG=1,EN76=1),MIN(IE76,LY76),0)</f>
        <v>0</v>
      </c>
      <c r="MA76" s="20" t="n">
        <f aca="false">EO76+LZ76</f>
        <v>0</v>
      </c>
      <c r="MB76" s="20" t="n">
        <f aca="false">IF(EN76=1,MAX(0,(Slot13_Cost-MA76*(1+Slot13_Rate)^(Slot13_Age-D76))/LX76),0)</f>
        <v>0</v>
      </c>
      <c r="MC76" s="20" t="n">
        <f aca="false">IF(EN76=1,MAX(0,(Slot13_Cost-EO76*(1+Slot13_Rate)^(Slot13_Age-D76))/LX76),0)</f>
        <v>0</v>
      </c>
      <c r="MD76" s="20" t="n">
        <f aca="false">IF(AND(HU76=1,EN76=1),MIN(LW76,MB76),0)</f>
        <v>0</v>
      </c>
      <c r="ME76" s="20" t="n">
        <f aca="false">LW76-MD76</f>
        <v>0</v>
      </c>
      <c r="MF76" s="20" t="n">
        <f aca="false">IF(EX76=1,IF(ABS((1+AS_Wage)/(1+Slot14_Rate)-1)&lt;0.000000000001,(Slot14_Age-D76)*(1+Slot14_Rate)^(Slot14_Age-D76),(1+Slot14_Rate)^(Slot14_Age-D76)*(1-((1+AS_Wage)/(1+Slot14_Rate))^(Slot14_Age-D76))/(1-(1+AS_Wage)/(1+Slot14_Rate))),1)</f>
        <v>1</v>
      </c>
      <c r="MG76" s="20" t="n">
        <f aca="false">IF(AND(HU76=1,IE76&gt;0,Slot14_IsWG=1,EX76=1),MAX(0,(Slot14_Cost-EY76*(1+Slot14_Rate)^(Slot14_Age-D76))/MF76),0)</f>
        <v>0</v>
      </c>
      <c r="MH76" s="20" t="n">
        <f aca="false">IF(AND(HU76=1,IE76&gt;0,Slot14_IsWG=1,EX76=1),MIN(IE76,MG76),0)</f>
        <v>0</v>
      </c>
      <c r="MI76" s="20" t="n">
        <f aca="false">EY76+MH76</f>
        <v>0</v>
      </c>
      <c r="MJ76" s="20" t="n">
        <f aca="false">IF(EX76=1,MAX(0,(Slot14_Cost-MI76*(1+Slot14_Rate)^(Slot14_Age-D76))/MF76),0)</f>
        <v>0</v>
      </c>
      <c r="MK76" s="20" t="n">
        <f aca="false">IF(EX76=1,MAX(0,(Slot14_Cost-EY76*(1+Slot14_Rate)^(Slot14_Age-D76))/MF76),0)</f>
        <v>0</v>
      </c>
      <c r="ML76" s="20" t="n">
        <f aca="false">IF(AND(HU76=1,EX76=1),MIN(ME76,MJ76),0)</f>
        <v>0</v>
      </c>
      <c r="MM76" s="20" t="n">
        <f aca="false">ME76-ML76</f>
        <v>0</v>
      </c>
      <c r="MN76" s="20" t="n">
        <f aca="false">IF(FH76=1,IF(ABS((1+AS_Wage)/(1+Slot15_Rate)-1)&lt;0.000000000001,(Slot15_Age-D76)*(1+Slot15_Rate)^(Slot15_Age-D76),(1+Slot15_Rate)^(Slot15_Age-D76)*(1-((1+AS_Wage)/(1+Slot15_Rate))^(Slot15_Age-D76))/(1-(1+AS_Wage)/(1+Slot15_Rate))),1)</f>
        <v>1</v>
      </c>
      <c r="MO76" s="20" t="n">
        <f aca="false">IF(AND(HU76=1,IE76&gt;0,Slot15_IsWG=1,FH76=1),MAX(0,(Slot15_Cost-FI76*(1+Slot15_Rate)^(Slot15_Age-D76))/MN76),0)</f>
        <v>0</v>
      </c>
      <c r="MP76" s="20" t="n">
        <f aca="false">IF(AND(HU76=1,IE76&gt;0,Slot15_IsWG=1,FH76=1),MIN(IE76,MO76),0)</f>
        <v>0</v>
      </c>
      <c r="MQ76" s="20" t="n">
        <f aca="false">FI76+MP76</f>
        <v>0</v>
      </c>
      <c r="MR76" s="20" t="n">
        <f aca="false">IF(FH76=1,MAX(0,(Slot15_Cost-MQ76*(1+Slot15_Rate)^(Slot15_Age-D76))/MN76),0)</f>
        <v>0</v>
      </c>
      <c r="MS76" s="20" t="n">
        <f aca="false">IF(FH76=1,MAX(0,(Slot15_Cost-FI76*(1+Slot15_Rate)^(Slot15_Age-D76))/MN76),0)</f>
        <v>0</v>
      </c>
      <c r="MT76" s="20" t="n">
        <f aca="false">IF(AND(HU76=1,FH76=1),MIN(MM76,MR76),0)</f>
        <v>0</v>
      </c>
      <c r="MU76" s="20" t="n">
        <f aca="false">MM76-MT76</f>
        <v>0</v>
      </c>
      <c r="MV76" s="20" t="n">
        <f aca="false">IF(FR76=1,IF(ABS((1+AS_Wage)/(1+Slot16_Rate)-1)&lt;0.000000000001,(Slot16_Age-D76)*(1+Slot16_Rate)^(Slot16_Age-D76),(1+Slot16_Rate)^(Slot16_Age-D76)*(1-((1+AS_Wage)/(1+Slot16_Rate))^(Slot16_Age-D76))/(1-(1+AS_Wage)/(1+Slot16_Rate))),1)</f>
        <v>1</v>
      </c>
      <c r="MW76" s="20" t="n">
        <f aca="false">IF(AND(HU76=1,IE76&gt;0,Slot16_IsWG=1,FR76=1),MAX(0,(Slot16_Cost-FS76*(1+Slot16_Rate)^(Slot16_Age-D76))/MV76),0)</f>
        <v>0</v>
      </c>
      <c r="MX76" s="20" t="n">
        <f aca="false">IF(AND(HU76=1,IE76&gt;0,Slot16_IsWG=1,FR76=1),MIN(IE76,MW76),0)</f>
        <v>0</v>
      </c>
      <c r="MY76" s="20" t="n">
        <f aca="false">FS76+MX76</f>
        <v>0</v>
      </c>
      <c r="MZ76" s="20" t="n">
        <f aca="false">IF(FR76=1,MAX(0,(Slot16_Cost-MY76*(1+Slot16_Rate)^(Slot16_Age-D76))/MV76),0)</f>
        <v>0</v>
      </c>
      <c r="NA76" s="20" t="n">
        <f aca="false">IF(FR76=1,MAX(0,(Slot16_Cost-FS76*(1+Slot16_Rate)^(Slot16_Age-D76))/MV76),0)</f>
        <v>0</v>
      </c>
      <c r="NB76" s="20" t="n">
        <f aca="false">IF(AND(HU76=1,FR76=1),MIN(MU76,MZ76),0)</f>
        <v>0</v>
      </c>
      <c r="NC76" s="20" t="n">
        <f aca="false">MU76-NB76</f>
        <v>0</v>
      </c>
      <c r="ND76" s="20" t="n">
        <f aca="false">IF(GB76=1,IF(ABS((1+AS_Wage)/(1+Slot17_Rate)-1)&lt;0.000000000001,(Slot17_Age-D76)*(1+Slot17_Rate)^(Slot17_Age-D76),(1+Slot17_Rate)^(Slot17_Age-D76)*(1-((1+AS_Wage)/(1+Slot17_Rate))^(Slot17_Age-D76))/(1-(1+AS_Wage)/(1+Slot17_Rate))),1)</f>
        <v>1</v>
      </c>
      <c r="NE76" s="20" t="n">
        <f aca="false">IF(AND(HU76=1,IE76&gt;0,Slot17_IsWG=1,GB76=1),MAX(0,(Slot17_Cost-GC76*(1+Slot17_Rate)^(Slot17_Age-D76))/ND76),0)</f>
        <v>0</v>
      </c>
      <c r="NF76" s="20" t="n">
        <f aca="false">IF(AND(HU76=1,IE76&gt;0,Slot17_IsWG=1,GB76=1),MIN(IE76,NE76),0)</f>
        <v>0</v>
      </c>
      <c r="NG76" s="20" t="n">
        <f aca="false">GC76+NF76</f>
        <v>0</v>
      </c>
      <c r="NH76" s="20" t="n">
        <f aca="false">IF(GB76=1,MAX(0,(Slot17_Cost-NG76*(1+Slot17_Rate)^(Slot17_Age-D76))/ND76),0)</f>
        <v>0</v>
      </c>
      <c r="NI76" s="20" t="n">
        <f aca="false">IF(GB76=1,MAX(0,(Slot17_Cost-GC76*(1+Slot17_Rate)^(Slot17_Age-D76))/ND76),0)</f>
        <v>0</v>
      </c>
      <c r="NJ76" s="20" t="n">
        <f aca="false">IF(AND(HU76=1,GB76=1),MIN(NC76,NH76),0)</f>
        <v>0</v>
      </c>
      <c r="NK76" s="20" t="n">
        <f aca="false">NC76-NJ76</f>
        <v>0</v>
      </c>
      <c r="NL76" s="20" t="n">
        <f aca="false">IF(GL76=1,IF(ABS((1+AS_Wage)/(1+Slot18_Rate)-1)&lt;0.000000000001,(Slot18_Age-D76)*(1+Slot18_Rate)^(Slot18_Age-D76),(1+Slot18_Rate)^(Slot18_Age-D76)*(1-((1+AS_Wage)/(1+Slot18_Rate))^(Slot18_Age-D76))/(1-(1+AS_Wage)/(1+Slot18_Rate))),1)</f>
        <v>1</v>
      </c>
      <c r="NM76" s="20" t="n">
        <f aca="false">IF(AND(HU76=1,IE76&gt;0,Slot18_IsWG=1,GL76=1),MAX(0,(Slot18_Cost-GM76*(1+Slot18_Rate)^(Slot18_Age-D76))/NL76),0)</f>
        <v>0</v>
      </c>
      <c r="NN76" s="20" t="n">
        <f aca="false">IF(AND(HU76=1,IE76&gt;0,Slot18_IsWG=1,GL76=1),MIN(IE76,NM76),0)</f>
        <v>0</v>
      </c>
      <c r="NO76" s="20" t="n">
        <f aca="false">GM76+NN76</f>
        <v>0</v>
      </c>
      <c r="NP76" s="20" t="n">
        <f aca="false">IF(GL76=1,MAX(0,(Slot18_Cost-NO76*(1+Slot18_Rate)^(Slot18_Age-D76))/NL76),0)</f>
        <v>0</v>
      </c>
      <c r="NQ76" s="20" t="n">
        <f aca="false">IF(GL76=1,MAX(0,(Slot18_Cost-GM76*(1+Slot18_Rate)^(Slot18_Age-D76))/NL76),0)</f>
        <v>0</v>
      </c>
      <c r="NR76" s="20" t="n">
        <f aca="false">IF(AND(HU76=1,GL76=1),MIN(NK76,NP76),0)</f>
        <v>0</v>
      </c>
      <c r="NS76" s="20" t="n">
        <f aca="false">NK76-NR76</f>
        <v>0</v>
      </c>
      <c r="NT76" s="20" t="n">
        <f aca="false">IF(GV76=1,IF(ABS((1+AS_Wage)/(1+Slot19_Rate)-1)&lt;0.000000000001,(Slot19_Age-D76)*(1+Slot19_Rate)^(Slot19_Age-D76),(1+Slot19_Rate)^(Slot19_Age-D76)*(1-((1+AS_Wage)/(1+Slot19_Rate))^(Slot19_Age-D76))/(1-(1+AS_Wage)/(1+Slot19_Rate))),1)</f>
        <v>1</v>
      </c>
      <c r="NU76" s="20" t="n">
        <f aca="false">IF(AND(HU76=1,IE76&gt;0,Slot19_IsWG=1,GV76=1),MAX(0,(Slot19_Cost-GW76*(1+Slot19_Rate)^(Slot19_Age-D76))/NT76),0)</f>
        <v>0</v>
      </c>
      <c r="NV76" s="20" t="n">
        <f aca="false">IF(AND(HU76=1,IE76&gt;0,Slot19_IsWG=1,GV76=1),MIN(IE76,NU76),0)</f>
        <v>0</v>
      </c>
      <c r="NW76" s="20" t="n">
        <f aca="false">GW76+NV76</f>
        <v>0</v>
      </c>
      <c r="NX76" s="20" t="n">
        <f aca="false">IF(GV76=1,MAX(0,(Slot19_Cost-NW76*(1+Slot19_Rate)^(Slot19_Age-D76))/NT76),0)</f>
        <v>0</v>
      </c>
      <c r="NY76" s="20" t="n">
        <f aca="false">IF(GV76=1,MAX(0,(Slot19_Cost-GW76*(1+Slot19_Rate)^(Slot19_Age-D76))/NT76),0)</f>
        <v>0</v>
      </c>
      <c r="NZ76" s="20" t="n">
        <f aca="false">IF(AND(HU76=1,GV76=1),MIN(NS76,NX76),0)</f>
        <v>0</v>
      </c>
      <c r="OA76" s="20" t="n">
        <f aca="false">NS76-NZ76</f>
        <v>0</v>
      </c>
      <c r="OB76" s="20" t="n">
        <f aca="false">IF(HF76=1,IF(ABS((1+AS_Wage)/(1+Slot20_Rate)-1)&lt;0.000000000001,(Slot20_Age-D76)*(1+Slot20_Rate)^(Slot20_Age-D76),(1+Slot20_Rate)^(Slot20_Age-D76)*(1-((1+AS_Wage)/(1+Slot20_Rate))^(Slot20_Age-D76))/(1-(1+AS_Wage)/(1+Slot20_Rate))),1)</f>
        <v>1</v>
      </c>
      <c r="OC76" s="20" t="n">
        <f aca="false">IF(AND(HU76=1,IE76&gt;0,Slot20_IsWG=1,HF76=1),MAX(0,(Slot20_Cost-HG76*(1+Slot20_Rate)^(Slot20_Age-D76))/OB76),0)</f>
        <v>0</v>
      </c>
      <c r="OD76" s="20" t="n">
        <f aca="false">IF(AND(HU76=1,IE76&gt;0,Slot20_IsWG=1,HF76=1),MIN(IE76,OC76),0)</f>
        <v>0</v>
      </c>
      <c r="OE76" s="20" t="n">
        <f aca="false">HG76+OD76</f>
        <v>0</v>
      </c>
      <c r="OF76" s="20" t="n">
        <f aca="false">IF(HF76=1,MAX(0,(Slot20_Cost-OE76*(1+Slot20_Rate)^(Slot20_Age-D76))/OB76),0)</f>
        <v>0</v>
      </c>
      <c r="OG76" s="20" t="n">
        <f aca="false">IF(HF76=1,MAX(0,(Slot20_Cost-HG76*(1+Slot20_Rate)^(Slot20_Age-D76))/OB76),0)</f>
        <v>0</v>
      </c>
      <c r="OH76" s="20" t="n">
        <f aca="false">IF(AND(HU76=1,HF76=1),MIN(OA76,OF76),0)</f>
        <v>0</v>
      </c>
      <c r="OI76" s="20" t="n">
        <f aca="false">OA76-OH76</f>
        <v>0</v>
      </c>
      <c r="OJ76" s="20" t="n">
        <f aca="false">IE76-(IH76+IP76+IX76+JF76+JN76+JV76+KD76+KL76+KT76+LB76+LJ76+LR76+LZ76+MH76+MP76+MX76+NF76+NN76+NV76+OD76)</f>
        <v>0</v>
      </c>
      <c r="OK76" s="20" t="n">
        <f aca="false">IF(HU76=1,HS76-ID76-IE76,0)</f>
        <v>0</v>
      </c>
      <c r="OL76" s="20" t="n">
        <f aca="false">IF(HU76=0,-HS76,0)</f>
        <v>74061.4849418023</v>
      </c>
      <c r="OM76" s="20" t="n">
        <f aca="false">MIN(OL76,HK76)</f>
        <v>0</v>
      </c>
      <c r="ON76" s="20" t="n">
        <f aca="false">OL76-OM76</f>
        <v>74061.4849418023</v>
      </c>
      <c r="OO76" s="20" t="n">
        <f aca="false">MIN(ON76,HL76)</f>
        <v>0</v>
      </c>
      <c r="OP76" s="20" t="n">
        <f aca="false">ON76-OO76</f>
        <v>74061.4849418023</v>
      </c>
      <c r="OQ76" s="20" t="n">
        <f aca="false">IF(AND(HU76=0,HF76=1,OP76&gt;0),MIN(OP76,HG76),0)</f>
        <v>0</v>
      </c>
      <c r="OR76" s="20" t="n">
        <f aca="false">OP76-OQ76</f>
        <v>74061.4849418023</v>
      </c>
      <c r="OS76" s="20" t="n">
        <f aca="false">IF(AND(HU76=0,GV76=1,OR76&gt;0),MIN(OR76,GW76),0)</f>
        <v>0</v>
      </c>
      <c r="OT76" s="20" t="n">
        <f aca="false">OR76-OS76</f>
        <v>74061.4849418023</v>
      </c>
      <c r="OU76" s="20" t="n">
        <f aca="false">IF(AND(HU76=0,GL76=1,OT76&gt;0),MIN(OT76,GM76),0)</f>
        <v>0</v>
      </c>
      <c r="OV76" s="20" t="n">
        <f aca="false">OT76-OU76</f>
        <v>74061.4849418023</v>
      </c>
      <c r="OW76" s="20" t="n">
        <f aca="false">IF(AND(HU76=0,GB76=1,OV76&gt;0),MIN(OV76,GC76),0)</f>
        <v>0</v>
      </c>
      <c r="OX76" s="20" t="n">
        <f aca="false">OV76-OW76</f>
        <v>74061.4849418023</v>
      </c>
      <c r="OY76" s="20" t="n">
        <f aca="false">IF(AND(HU76=0,FR76=1,OX76&gt;0),MIN(OX76,FS76),0)</f>
        <v>0</v>
      </c>
      <c r="OZ76" s="20" t="n">
        <f aca="false">OX76-OY76</f>
        <v>74061.4849418023</v>
      </c>
      <c r="PA76" s="20" t="n">
        <f aca="false">IF(AND(HU76=0,FH76=1,OZ76&gt;0),MIN(OZ76,FI76),0)</f>
        <v>0</v>
      </c>
      <c r="PB76" s="20" t="n">
        <f aca="false">OZ76-PA76</f>
        <v>74061.4849418023</v>
      </c>
      <c r="PC76" s="20" t="n">
        <f aca="false">IF(AND(HU76=0,EX76=1,PB76&gt;0),MIN(PB76,EY76),0)</f>
        <v>0</v>
      </c>
      <c r="PD76" s="20" t="n">
        <f aca="false">PB76-PC76</f>
        <v>74061.4849418023</v>
      </c>
      <c r="PE76" s="20" t="n">
        <f aca="false">IF(AND(HU76=0,EN76=1,PD76&gt;0),MIN(PD76,EO76),0)</f>
        <v>0</v>
      </c>
      <c r="PF76" s="20" t="n">
        <f aca="false">PD76-PE76</f>
        <v>74061.4849418023</v>
      </c>
      <c r="PG76" s="20" t="n">
        <f aca="false">IF(AND(HU76=0,ED76=1,PF76&gt;0),MIN(PF76,EE76),0)</f>
        <v>0</v>
      </c>
      <c r="PH76" s="20" t="n">
        <f aca="false">PF76-PG76</f>
        <v>74061.4849418023</v>
      </c>
      <c r="PI76" s="20" t="n">
        <f aca="false">IF(AND(HU76=0,DT76=1,PH76&gt;0),MIN(PH76,DU76),0)</f>
        <v>0</v>
      </c>
      <c r="PJ76" s="20" t="n">
        <f aca="false">PH76-PI76</f>
        <v>74061.4849418023</v>
      </c>
      <c r="PK76" s="20" t="n">
        <f aca="false">IF(AND(HU76=0,DJ76=1,PJ76&gt;0),MIN(PJ76,DK76),0)</f>
        <v>0</v>
      </c>
      <c r="PL76" s="20" t="n">
        <f aca="false">PJ76-PK76</f>
        <v>74061.4849418023</v>
      </c>
      <c r="PM76" s="20" t="n">
        <f aca="false">IF(AND(HU76=0,CZ76=1,PL76&gt;0),MIN(PL76,DA76),0)</f>
        <v>0</v>
      </c>
      <c r="PN76" s="20" t="n">
        <f aca="false">PL76-PM76</f>
        <v>74061.4849418023</v>
      </c>
      <c r="PO76" s="20" t="n">
        <f aca="false">IF(AND(HU76=0,CP76=1,PN76&gt;0),MIN(PN76,CQ76),0)</f>
        <v>0</v>
      </c>
      <c r="PP76" s="20" t="n">
        <f aca="false">PN76-PO76</f>
        <v>74061.4849418023</v>
      </c>
      <c r="PQ76" s="20" t="n">
        <f aca="false">IF(AND(HU76=0,CF76=1,PP76&gt;0),MIN(PP76,CG76),0)</f>
        <v>0</v>
      </c>
      <c r="PR76" s="20" t="n">
        <f aca="false">PP76-PQ76</f>
        <v>74061.4849418023</v>
      </c>
      <c r="PS76" s="20" t="n">
        <f aca="false">IF(AND(HU76=0,BV76=1,PR76&gt;0),MIN(PR76,BW76),0)</f>
        <v>0</v>
      </c>
      <c r="PT76" s="20" t="n">
        <f aca="false">PR76-PS76</f>
        <v>74061.4849418023</v>
      </c>
      <c r="PU76" s="20" t="n">
        <f aca="false">IF(AND(HU76=0,BL76=1,PT76&gt;0),MIN(PT76,BM76),0)</f>
        <v>0</v>
      </c>
      <c r="PV76" s="20" t="n">
        <f aca="false">PT76-PU76</f>
        <v>74061.4849418023</v>
      </c>
      <c r="PW76" s="20" t="n">
        <f aca="false">IF(AND(HU76=0,BB76=1,PV76&gt;0),MIN(PV76,BC76),0)</f>
        <v>0</v>
      </c>
      <c r="PX76" s="20" t="n">
        <f aca="false">PV76-PW76</f>
        <v>74061.4849418023</v>
      </c>
      <c r="PY76" s="20" t="n">
        <f aca="false">IF(AND(HU76=0,AR76=1,PX76&gt;0),MIN(PX76,AS76),0)</f>
        <v>0</v>
      </c>
      <c r="PZ76" s="20" t="n">
        <f aca="false">PX76-PY76</f>
        <v>74061.4849418023</v>
      </c>
      <c r="QA76" s="20" t="n">
        <f aca="false">IF(AND(HU76=0,AH76=1,PZ76&gt;0),MIN(PZ76,AI76),0)</f>
        <v>0</v>
      </c>
      <c r="QB76" s="20" t="n">
        <f aca="false">PZ76-QA76</f>
        <v>74061.4849418023</v>
      </c>
      <c r="QC76" s="20" t="n">
        <f aca="false">IF(AND(HU76=0,W76=1,QB76&gt;0),MIN(QB76,X76),0)</f>
        <v>0</v>
      </c>
      <c r="QD76" s="20" t="n">
        <f aca="false">QB76-QC76</f>
        <v>74061.4849418023</v>
      </c>
      <c r="QE76" s="20" t="n">
        <f aca="false">IF(HU76=0,QD76,0)</f>
        <v>74061.4849418023</v>
      </c>
      <c r="QF76" s="20" t="n">
        <f aca="false">OM76+OO76+QC76+QA76+PY76+PW76+PU76+PS76+PQ76+PO76+PM76+PK76+PI76+PG76+PE76+PC76+PA76+OY76+OW76+OU76+OS76+OQ76</f>
        <v>0</v>
      </c>
      <c r="QG76" s="20" t="n">
        <f aca="false">IF(HU76=1,HK76+OJ76+OI76+IF(G76=1,0,OK76),HK76-OM76)</f>
        <v>0</v>
      </c>
      <c r="QH76" s="20" t="n">
        <f aca="false">HL76-OO76</f>
        <v>0</v>
      </c>
      <c r="QI76" s="20" t="n">
        <f aca="false">IF(HU76=1,IF(G76=1,ID76+IE76,HS76),0)</f>
        <v>0</v>
      </c>
      <c r="QJ76" s="20" t="n">
        <f aca="false">IF(HU76=1,IF(G76=1,HS76-ID76-IE76,0),0)</f>
        <v>0</v>
      </c>
      <c r="QK76" s="57" t="n">
        <f aca="false">'Plan holdings'!BM76</f>
        <v>0</v>
      </c>
      <c r="QL76" s="20" t="n">
        <f aca="false">QH76*(1+AS_Cash)</f>
        <v>0</v>
      </c>
      <c r="QM76" s="20" t="n">
        <f aca="false">IF(W76=1,IF(HU76=1,II76+IL76,X76-QC76)*(1+Slot1_Rate),0)</f>
        <v>0</v>
      </c>
      <c r="QN76" s="20" t="n">
        <f aca="false">IF(AND(HU76=1,W76=1),(IH76+IL76)/F76,0)</f>
        <v>0</v>
      </c>
      <c r="QO76" s="20" t="n">
        <f aca="false">IF(B76=0,IH76+IL76,0)</f>
        <v>0</v>
      </c>
      <c r="QP76" s="20" t="n">
        <f aca="false">IF(B76=0,IF(HU76=1,IJ76,IK76),0)</f>
        <v>0</v>
      </c>
      <c r="QQ76" s="20" t="n">
        <f aca="false">IF(AH76=1,IF(HU76=1,IQ76+IT76,AI76-QA76)*(1+Slot2_Rate),0)</f>
        <v>0</v>
      </c>
      <c r="QR76" s="20" t="n">
        <f aca="false">IF(AND(HU76=1,AH76=1),(IP76+IT76)/F76,0)</f>
        <v>0</v>
      </c>
      <c r="QS76" s="20" t="n">
        <f aca="false">IF(B76=0,IP76+IT76,0)</f>
        <v>0</v>
      </c>
      <c r="QT76" s="20" t="n">
        <f aca="false">IF(B76=0,IF(HU76=1,IR76,IS76),0)</f>
        <v>0</v>
      </c>
      <c r="QU76" s="20" t="n">
        <f aca="false">IF(AR76=1,IF(HU76=1,IY76+JB76,AS76-PY76)*(1+Slot3_Rate),0)</f>
        <v>0</v>
      </c>
      <c r="QV76" s="20" t="n">
        <f aca="false">IF(AND(HU76=1,AR76=1),(IX76+JB76)/F76,0)</f>
        <v>0</v>
      </c>
      <c r="QW76" s="20" t="n">
        <f aca="false">IF(B76=0,IX76+JB76,0)</f>
        <v>0</v>
      </c>
      <c r="QX76" s="20" t="n">
        <f aca="false">IF(B76=0,IF(HU76=1,IZ76,JA76),0)</f>
        <v>0</v>
      </c>
      <c r="QY76" s="20" t="n">
        <f aca="false">IF(BB76=1,IF(HU76=1,JG76+JJ76,BC76-PW76)*(1+Slot4_Rate),0)</f>
        <v>0</v>
      </c>
      <c r="QZ76" s="20" t="n">
        <f aca="false">IF(AND(HU76=1,BB76=1),(JF76+JJ76)/F76,0)</f>
        <v>0</v>
      </c>
      <c r="RA76" s="20" t="n">
        <f aca="false">IF(B76=0,JF76+JJ76,0)</f>
        <v>0</v>
      </c>
      <c r="RB76" s="20" t="n">
        <f aca="false">IF(B76=0,IF(HU76=1,JH76,JI76),0)</f>
        <v>0</v>
      </c>
      <c r="RC76" s="20" t="n">
        <f aca="false">IF(BL76=1,IF(HU76=1,JO76+JR76,BM76-PU76)*(1+Slot5_Rate),0)</f>
        <v>0</v>
      </c>
      <c r="RD76" s="20" t="n">
        <f aca="false">IF(AND(HU76=1,BL76=1),(JN76+JR76)/F76,0)</f>
        <v>0</v>
      </c>
      <c r="RE76" s="20" t="n">
        <f aca="false">IF(B76=0,JN76+JR76,0)</f>
        <v>0</v>
      </c>
      <c r="RF76" s="20" t="n">
        <f aca="false">IF(B76=0,IF(HU76=1,JP76,JQ76),0)</f>
        <v>0</v>
      </c>
      <c r="RG76" s="20" t="n">
        <f aca="false">IF(BV76=1,IF(HU76=1,JW76+JZ76,BW76-PS76)*(1+Slot6_Rate),0)</f>
        <v>0</v>
      </c>
      <c r="RH76" s="20" t="n">
        <f aca="false">IF(AND(HU76=1,BV76=1),(JV76+JZ76)/F76,0)</f>
        <v>0</v>
      </c>
      <c r="RI76" s="20" t="n">
        <f aca="false">IF(B76=0,JV76+JZ76,0)</f>
        <v>0</v>
      </c>
      <c r="RJ76" s="20" t="n">
        <f aca="false">IF(B76=0,IF(HU76=1,JX76,JY76),0)</f>
        <v>0</v>
      </c>
      <c r="RK76" s="20" t="n">
        <f aca="false">IF(CF76=1,IF(HU76=1,KE76+KH76,CG76-PQ76)*(1+Slot7_Rate),0)</f>
        <v>0</v>
      </c>
      <c r="RL76" s="20" t="n">
        <f aca="false">IF(AND(HU76=1,CF76=1),(KD76+KH76)/F76,0)</f>
        <v>0</v>
      </c>
      <c r="RM76" s="20" t="n">
        <f aca="false">IF(B76=0,KD76+KH76,0)</f>
        <v>0</v>
      </c>
      <c r="RN76" s="20" t="n">
        <f aca="false">IF(B76=0,IF(HU76=1,KF76,KG76),0)</f>
        <v>0</v>
      </c>
      <c r="RO76" s="20" t="n">
        <f aca="false">IF(CP76=1,IF(HU76=1,KM76+KP76,CQ76-PO76)*(1+Slot8_Rate),0)</f>
        <v>0</v>
      </c>
      <c r="RP76" s="20" t="n">
        <f aca="false">IF(AND(HU76=1,CP76=1),(KL76+KP76)/F76,0)</f>
        <v>0</v>
      </c>
      <c r="RQ76" s="20" t="n">
        <f aca="false">IF(B76=0,KL76+KP76,0)</f>
        <v>0</v>
      </c>
      <c r="RR76" s="20" t="n">
        <f aca="false">IF(B76=0,IF(HU76=1,KN76,KO76),0)</f>
        <v>0</v>
      </c>
      <c r="RS76" s="20" t="n">
        <f aca="false">IF(CZ76=1,IF(HU76=1,KU76+KX76,DA76-PM76)*(1+Slot9_Rate),0)</f>
        <v>0</v>
      </c>
      <c r="RT76" s="20" t="n">
        <f aca="false">IF(AND(HU76=1,CZ76=1),(KT76+KX76)/F76,0)</f>
        <v>0</v>
      </c>
      <c r="RU76" s="20" t="n">
        <f aca="false">IF(B76=0,KT76+KX76,0)</f>
        <v>0</v>
      </c>
      <c r="RV76" s="20" t="n">
        <f aca="false">IF(B76=0,IF(HU76=1,KV76,KW76),0)</f>
        <v>0</v>
      </c>
      <c r="RW76" s="20" t="n">
        <f aca="false">IF(DJ76=1,IF(HU76=1,LC76+LF76,DK76-PK76)*(1+Slot10_Rate),0)</f>
        <v>0</v>
      </c>
      <c r="RX76" s="20" t="n">
        <f aca="false">IF(AND(HU76=1,DJ76=1),(LB76+LF76)/F76,0)</f>
        <v>0</v>
      </c>
      <c r="RY76" s="20" t="n">
        <f aca="false">IF(B76=0,LB76+LF76,0)</f>
        <v>0</v>
      </c>
      <c r="RZ76" s="20" t="n">
        <f aca="false">IF(B76=0,IF(HU76=1,LD76,LE76),0)</f>
        <v>0</v>
      </c>
      <c r="SA76" s="20" t="n">
        <f aca="false">IF(DT76=1,IF(HU76=1,LK76+LN76,DU76-PI76)*(1+Slot11_Rate),0)</f>
        <v>0</v>
      </c>
      <c r="SB76" s="20" t="n">
        <f aca="false">IF(AND(HU76=1,DT76=1),(LJ76+LN76)/F76,0)</f>
        <v>0</v>
      </c>
      <c r="SC76" s="20" t="n">
        <f aca="false">IF(B76=0,LJ76+LN76,0)</f>
        <v>0</v>
      </c>
      <c r="SD76" s="20" t="n">
        <f aca="false">IF(B76=0,IF(HU76=1,LL76,LM76),0)</f>
        <v>0</v>
      </c>
      <c r="SE76" s="20" t="n">
        <f aca="false">IF(ED76=1,IF(HU76=1,LS76+LV76,EE76-PG76)*(1+Slot12_Rate),0)</f>
        <v>0</v>
      </c>
      <c r="SF76" s="20" t="n">
        <f aca="false">IF(AND(HU76=1,ED76=1),(LR76+LV76)/F76,0)</f>
        <v>0</v>
      </c>
      <c r="SG76" s="20" t="n">
        <f aca="false">IF(B76=0,LR76+LV76,0)</f>
        <v>0</v>
      </c>
      <c r="SH76" s="20" t="n">
        <f aca="false">IF(B76=0,IF(HU76=1,LT76,LU76),0)</f>
        <v>0</v>
      </c>
      <c r="SI76" s="20" t="n">
        <f aca="false">IF(EN76=1,IF(HU76=1,MA76+MD76,EO76-PE76)*(1+Slot13_Rate),0)</f>
        <v>0</v>
      </c>
      <c r="SJ76" s="20" t="n">
        <f aca="false">IF(AND(HU76=1,EN76=1),(LZ76+MD76)/F76,0)</f>
        <v>0</v>
      </c>
      <c r="SK76" s="20" t="n">
        <f aca="false">IF(B76=0,LZ76+MD76,0)</f>
        <v>0</v>
      </c>
      <c r="SL76" s="20" t="n">
        <f aca="false">IF(B76=0,IF(HU76=1,MB76,MC76),0)</f>
        <v>0</v>
      </c>
      <c r="SM76" s="20" t="n">
        <f aca="false">IF(EX76=1,IF(HU76=1,MI76+ML76,EY76-PC76)*(1+Slot14_Rate),0)</f>
        <v>0</v>
      </c>
      <c r="SN76" s="20" t="n">
        <f aca="false">IF(AND(HU76=1,EX76=1),(MH76+ML76)/F76,0)</f>
        <v>0</v>
      </c>
      <c r="SO76" s="20" t="n">
        <f aca="false">IF(B76=0,MH76+ML76,0)</f>
        <v>0</v>
      </c>
      <c r="SP76" s="20" t="n">
        <f aca="false">IF(B76=0,IF(HU76=1,MJ76,MK76),0)</f>
        <v>0</v>
      </c>
      <c r="SQ76" s="20" t="n">
        <f aca="false">IF(FH76=1,IF(HU76=1,MQ76+MT76,FI76-PA76)*(1+Slot15_Rate),0)</f>
        <v>0</v>
      </c>
      <c r="SR76" s="20" t="n">
        <f aca="false">IF(AND(HU76=1,FH76=1),(MP76+MT76)/F76,0)</f>
        <v>0</v>
      </c>
      <c r="SS76" s="20" t="n">
        <f aca="false">IF(B76=0,MP76+MT76,0)</f>
        <v>0</v>
      </c>
      <c r="ST76" s="20" t="n">
        <f aca="false">IF(B76=0,IF(HU76=1,MR76,MS76),0)</f>
        <v>0</v>
      </c>
      <c r="SU76" s="20" t="n">
        <f aca="false">IF(FR76=1,IF(HU76=1,MY76+NB76,FS76-OY76)*(1+Slot16_Rate),0)</f>
        <v>0</v>
      </c>
      <c r="SV76" s="20" t="n">
        <f aca="false">IF(AND(HU76=1,FR76=1),(MX76+NB76)/F76,0)</f>
        <v>0</v>
      </c>
      <c r="SW76" s="20" t="n">
        <f aca="false">IF(B76=0,MX76+NB76,0)</f>
        <v>0</v>
      </c>
      <c r="SX76" s="20" t="n">
        <f aca="false">IF(B76=0,IF(HU76=1,MZ76,NA76),0)</f>
        <v>0</v>
      </c>
      <c r="SY76" s="20" t="n">
        <f aca="false">IF(GB76=1,IF(HU76=1,NG76+NJ76,GC76-OW76)*(1+Slot17_Rate),0)</f>
        <v>0</v>
      </c>
      <c r="SZ76" s="20" t="n">
        <f aca="false">IF(AND(HU76=1,GB76=1),(NF76+NJ76)/F76,0)</f>
        <v>0</v>
      </c>
      <c r="TA76" s="20" t="n">
        <f aca="false">IF(B76=0,NF76+NJ76,0)</f>
        <v>0</v>
      </c>
      <c r="TB76" s="20" t="n">
        <f aca="false">IF(B76=0,IF(HU76=1,NH76,NI76),0)</f>
        <v>0</v>
      </c>
      <c r="TC76" s="20" t="n">
        <f aca="false">IF(GL76=1,IF(HU76=1,NO76+NR76,GM76-OU76)*(1+Slot18_Rate),0)</f>
        <v>0</v>
      </c>
      <c r="TD76" s="20" t="n">
        <f aca="false">IF(AND(HU76=1,GL76=1),(NN76+NR76)/F76,0)</f>
        <v>0</v>
      </c>
      <c r="TE76" s="20" t="n">
        <f aca="false">IF(B76=0,NN76+NR76,0)</f>
        <v>0</v>
      </c>
      <c r="TF76" s="20" t="n">
        <f aca="false">IF(B76=0,IF(HU76=1,NP76,NQ76),0)</f>
        <v>0</v>
      </c>
      <c r="TG76" s="20" t="n">
        <f aca="false">IF(GV76=1,IF(HU76=1,NW76+NZ76,GW76-OS76)*(1+Slot19_Rate),0)</f>
        <v>0</v>
      </c>
      <c r="TH76" s="20" t="n">
        <f aca="false">IF(AND(HU76=1,GV76=1),(NV76+NZ76)/F76,0)</f>
        <v>0</v>
      </c>
      <c r="TI76" s="20" t="n">
        <f aca="false">IF(B76=0,NV76+NZ76,0)</f>
        <v>0</v>
      </c>
      <c r="TJ76" s="20" t="n">
        <f aca="false">IF(B76=0,IF(HU76=1,NX76,NY76),0)</f>
        <v>0</v>
      </c>
      <c r="TK76" s="20" t="n">
        <f aca="false">IF(HF76=1,IF(HU76=1,OE76+OH76,HG76-OQ76)*(1+Slot20_Rate),0)</f>
        <v>0</v>
      </c>
      <c r="TL76" s="20" t="n">
        <f aca="false">IF(AND(HU76=1,HF76=1),(OD76+OH76)/F76,0)</f>
        <v>0</v>
      </c>
      <c r="TM76" s="20" t="n">
        <f aca="false">IF(B76=0,OD76+OH76,0)</f>
        <v>0</v>
      </c>
      <c r="TN76" s="20" t="n">
        <f aca="false">IF(B76=0,IF(HU76=1,OF76,OG76),0)</f>
        <v>0</v>
      </c>
      <c r="TO76" s="20" t="n">
        <f aca="false">QK76+QL76+QM76+QQ76+QU76+QY76+RC76+RG76+RK76+RO76+RS76+RW76+SA76+SE76+SI76+SM76+SQ76+SU76+SY76+TC76+TG76+TK76</f>
        <v>0</v>
      </c>
      <c r="TP76" s="20" t="n">
        <f aca="false">QE76+HP76</f>
        <v>74061.4849418023</v>
      </c>
      <c r="TQ76" s="20" t="n">
        <f aca="false">I76+S76</f>
        <v>183755.17402168</v>
      </c>
      <c r="TR76" s="20" t="n">
        <f aca="false">1-G76</f>
        <v>1</v>
      </c>
      <c r="TS76" s="20" t="n">
        <f aca="false">IF(AND(RG_Exists=1,G76=0,C76=1),I76,0)</f>
        <v>0</v>
      </c>
      <c r="TT76" s="20" t="n">
        <f aca="false">IF(AND(RG_Exists=1,G76=0,C76=1),I76-MIN(QE76,I76),0)</f>
        <v>0</v>
      </c>
      <c r="TU76" s="20" t="n">
        <f aca="false">'Plan pay &amp; tax'!AD302</f>
        <v>0</v>
      </c>
      <c r="TV76" s="20" t="n">
        <f aca="false">IF(AND(C76=1,QE76&gt;MAX(PR_Short1,TQ76*PR_Short2)),1,0)</f>
        <v>0</v>
      </c>
      <c r="TW76" s="20" t="n">
        <f aca="false">MIN(H76,I76+S76)</f>
        <v>109693.689079877</v>
      </c>
      <c r="TX76" s="20" t="n">
        <f aca="false">QF76+MAX(0,HQ76-HP76)</f>
        <v>0</v>
      </c>
      <c r="TY76" s="20" t="n">
        <f aca="false">QE76+HP76</f>
        <v>74061.4849418023</v>
      </c>
      <c r="TZ76" s="20" t="n">
        <f aca="false">IF(AND(C76=1,TY76&gt;PR_MinShort),1,0)</f>
        <v>0</v>
      </c>
      <c r="UA76" s="20" t="n">
        <f aca="false">IF(AND(C76=1,TZ76=0,TX76&gt;PR_MinShort),1,0)</f>
        <v>0</v>
      </c>
      <c r="UB76" s="20" t="n">
        <f aca="false">IF(AND(C76=1,QE76&gt;PR_MinShort),1,0)</f>
        <v>0</v>
      </c>
      <c r="UC76" s="20" t="n">
        <f aca="false">IF(AND(C76=1,QF76&gt;1,UJ76=0),1,0)</f>
        <v>0</v>
      </c>
      <c r="UD76" s="20" t="str">
        <f aca="false">IF(C76=0,"",IF(UJ76=1,"Gap to plan for: short "&amp;"€"&amp;TEXT(ROUND(TP76,0),"#,##0"),IF(QF76&gt;1,"Using savings","Comfortable")))</f>
        <v/>
      </c>
      <c r="UE76" s="20" t="n">
        <f aca="false">IF(AND(INT(D76/10)*10=90,B76&gt;0),80,INT(D76/10)*10)</f>
        <v>100</v>
      </c>
      <c r="UF76" s="20" t="n">
        <f aca="false">IF(B76=0,1,IF(UE76&lt;&gt;UE75,UF75+1,UF75))</f>
        <v>7</v>
      </c>
      <c r="UG76" s="20" t="n">
        <f aca="false">IF(AND(C76=1,G76=1,QE76&gt;MAX(PR_Short1,TQ76*PR_Short2)),1,0)</f>
        <v>0</v>
      </c>
      <c r="UH76" s="20" t="n">
        <f aca="false">TR76*TV76</f>
        <v>0</v>
      </c>
      <c r="UI76" s="20" t="n">
        <f aca="false">IF(AND(V76=1,Slot1_PctLow=1),1,0)+IF(AND(AG76=1,Slot2_PctLow=1),1,0)+IF(AND(AQ76=1,Slot3_PctLow=1),1,0)+IF(AND(BA76=1,Slot4_PctLow=1),1,0)+IF(AND(BK76=1,Slot5_PctLow=1),1,0)+IF(AND(BU76=1,Slot6_PctLow=1),1,0)+IF(AND(CE76=1,Slot7_PctLow=1),1,0)+IF(AND(CO76=1,Slot8_PctLow=1),1,0)+IF(AND(CY76=1,Slot9_PctLow=1),1,0)+IF(AND(DI76=1,Slot10_PctLow=1),1,0)+IF(AND(DS76=1,Slot11_PctLow=1),1,0)+IF(AND(EC76=1,Slot12_PctLow=1),1,0)+IF(AND(EM76=1,Slot13_PctLow=1),1,0)+IF(AND(EW76=1,Slot14_PctLow=1),1,0)+IF(AND(FG76=1,Slot15_PctLow=1),1,0)+IF(AND(FQ76=1,Slot16_PctLow=1),1,0)+IF(AND(GA76=1,Slot17_PctLow=1),1,0)+IF(AND(GK76=1,Slot18_PctLow=1),1,0)+IF(AND(GU76=1,Slot19_PctLow=1),1,0)+IF(AND(HE76=1,Slot20_PctLow=1),1,0)</f>
        <v>0</v>
      </c>
      <c r="UJ76" s="20" t="n">
        <f aca="false">IF(C76=1,IF(OR(TV76=1,UI76&gt;0),1,0),0)</f>
        <v>0</v>
      </c>
      <c r="UK76" s="20" t="n">
        <f aca="false">Z76+AK76+AU76+BE76+BO76+BY76+CI76+CS76+DC76+DM76+DW76+EG76+EQ76+FA76+FK76+FU76+GE76+GO76+GY76+HI76+OM76</f>
        <v>0</v>
      </c>
      <c r="UL76" s="20" t="n">
        <f aca="false">V76*IF(Slot1_SpendLike=1,X76-Y76,IF(Slot1_PotFree=1,X76,0))+AG76*IF(Slot2_SpendLike=1,AI76-AJ76,IF(Slot2_PotFree=1,AI76,0))+AQ76*IF(Slot3_SpendLike=1,AS76-AT76,IF(Slot3_PotFree=1,AS76,0))+BA76*IF(Slot4_SpendLike=1,BC76-BD76,IF(Slot4_PotFree=1,BC76,0))+BK76*IF(Slot5_SpendLike=1,BM76-BN76,IF(Slot5_PotFree=1,BM76,0))+BU76*IF(Slot6_SpendLike=1,BW76-BX76,IF(Slot6_PotFree=1,BW76,0))+CE76*IF(Slot7_SpendLike=1,CG76-CH76,IF(Slot7_PotFree=1,CG76,0))+CO76*IF(Slot8_SpendLike=1,CQ76-CR76,IF(Slot8_PotFree=1,CQ76,0))+CY76*IF(Slot9_SpendLike=1,DA76-DB76,IF(Slot9_PotFree=1,DA76,0))+DI76*IF(Slot10_SpendLike=1,DK76-DL76,IF(Slot10_PotFree=1,DK76,0))+DS76*IF(Slot11_SpendLike=1,DU76-DV76,IF(Slot11_PotFree=1,DU76,0))+EC76*IF(Slot12_SpendLike=1,EE76-EF76,IF(Slot12_PotFree=1,EE76,0))+EM76*IF(Slot13_SpendLike=1,EO76-EP76,IF(Slot13_PotFree=1,EO76,0))+EW76*IF(Slot14_SpendLike=1,EY76-EZ76,IF(Slot14_PotFree=1,EY76,0))+FG76*IF(Slot15_SpendLike=1,FI76-FJ76,IF(Slot15_PotFree=1,FI76,0))+FQ76*IF(Slot16_SpendLike=1,FS76-FT76,IF(Slot16_PotFree=1,FS76,0))+GA76*IF(Slot17_SpendLike=1,GC76-GD76,IF(Slot17_PotFree=1,GC76,0))+GK76*IF(Slot18_SpendLike=1,GM76-GN76,IF(Slot18_PotFree=1,GM76,0))+GU76*IF(Slot19_SpendLike=1,GW76-GX76,IF(Slot19_PotFree=1,GW76,0))+HE76*IF(Slot20_SpendLike=1,HG76-HH76,IF(Slot20_PotFree=1,HG76,0))</f>
        <v>0</v>
      </c>
      <c r="UM76" s="20" t="n">
        <f aca="false">QG76-T76+UK76-UL76</f>
        <v>0</v>
      </c>
      <c r="UN76" s="20" t="n">
        <f aca="false">IF(OR(UN75=1,AND(In_homeUse="Yes, I'd downsize",In_downAge&gt;0,D76=In_downAge,OR(In_home="Own outright",In_home="Own with mortgage"),In_homeValue&gt;0)),1,0)</f>
        <v>0</v>
      </c>
    </row>
    <row r="77" customFormat="false" ht="15" hidden="false" customHeight="true" outlineLevel="0" collapsed="false">
      <c r="B77" s="20" t="n">
        <v>69</v>
      </c>
      <c r="C77" s="20" t="n">
        <f aca="false">IF(B77&lt;=F_N,1,0)</f>
        <v>0</v>
      </c>
      <c r="D77" s="20" t="n">
        <f aca="false">'Plan pay &amp; tax'!C303</f>
        <v>107</v>
      </c>
      <c r="E77" s="20" t="str">
        <f aca="false">IF($C77=1,"Income tax "&amp;TEXT(N('Plan pay &amp; tax'!BK303),"#,##0")&amp;"; USC "&amp;TEXT(N('Plan pay &amp; tax'!BM303)+N('Plan pay &amp; tax'!BO303),"#,##0")&amp;"; PRSI "&amp;TEXT(N('Plan pay &amp; tax'!BP303)+N('Plan pay &amp; tax'!BQ303),"#,##0")&amp;IF(N('Plan holdings'!BO77)&gt;=0.5,"; DIRT "&amp;TEXT(('Plan holdings'!BO77)/$F77,"#,##0")&amp;" (already taken from the interest earned)","")&amp;IF(N('Plan holdings'!BP77)&gt;=0.5,"; exit tax at an 8-year anniversary "&amp;TEXT(('Plan holdings'!BP77)/$F77,"#,##0"),"")&amp;IF(N('Plan holdings'!BN77)&gt;=0.5,"; tax on assets sold (exit tax or capital gains tax) "&amp;TEXT(('Plan holdings'!BN77)/$F77,"#,##0"),"")&amp;IF(N('Plan pay &amp; tax'!X303)-N('Plan pay &amp; tax'!Y303)&gt;=0.5,"; tax on the pension lump sum "&amp;TEXT(('Plan pay &amp; tax'!X303-'Plan pay &amp; tax'!Y303)/$F77,"#,##0"),"")&amp;IF(N('Plan pay &amp; tax'!V303)&gt;=0.5,"; chargeable excess tax on the pension "&amp;TEXT(('Plan pay &amp; tax'!V303)/$F77,"#,##0"),"")&amp;".","")</f>
        <v/>
      </c>
      <c r="F77" s="50" t="n">
        <f aca="false">'Plan pay &amp; tax'!E303</f>
        <v>3.92113551259651</v>
      </c>
      <c r="G77" s="20" t="n">
        <f aca="false">'Plan pay &amp; tax'!G303</f>
        <v>0</v>
      </c>
      <c r="H77" s="20" t="n">
        <f aca="false">'Plan pay &amp; tax'!BT303-'Plan pay &amp; tax'!BS303-'Plan pay &amp; tax'!R303</f>
        <v>111887.562861475</v>
      </c>
      <c r="I77" s="20" t="n">
        <f aca="false">IF(G77=1,F_CostsM*12,IF(RG_Exists=1,RG_Amount,F_CostsM*12*AS_RetireSpend))*F77+F_OneOffY*F77</f>
        <v>187430.277502113</v>
      </c>
      <c r="J77" s="20" t="n">
        <f aca="false">IF(UN77=1,0,HR76)</f>
        <v>0</v>
      </c>
      <c r="K77" s="20" t="n">
        <f aca="false">IF(J77&gt;1,'Plan debt months'!AC77,0)</f>
        <v>0</v>
      </c>
      <c r="L77" s="20" t="n">
        <f aca="false">IF(J77&gt;1,'Plan debt months'!AB77,J77)</f>
        <v>0</v>
      </c>
      <c r="M77" s="20" t="n">
        <f aca="false">O76</f>
        <v>0</v>
      </c>
      <c r="N77" s="20" t="n">
        <f aca="false">IF(M77&gt;1,'Plan debt months'!BD77,0)</f>
        <v>0</v>
      </c>
      <c r="O77" s="20" t="n">
        <f aca="false">IF(M77&gt;1,'Plan debt months'!BC77,M77)</f>
        <v>0</v>
      </c>
      <c r="P77" s="20" t="n">
        <f aca="false">R76</f>
        <v>0</v>
      </c>
      <c r="Q77" s="20" t="n">
        <f aca="false">IF(P77&gt;1,'Plan debt months'!CE77,0)</f>
        <v>0</v>
      </c>
      <c r="R77" s="20" t="n">
        <f aca="false">IF(P77&gt;1,'Plan debt months'!CD77,P77)</f>
        <v>0</v>
      </c>
      <c r="S77" s="20" t="n">
        <f aca="false">K77+N77+Q77</f>
        <v>0</v>
      </c>
      <c r="T77" s="57" t="n">
        <f aca="false">'Plan holdings'!Y77</f>
        <v>0</v>
      </c>
      <c r="U77" s="57" t="n">
        <f aca="false">'Plan holdings'!BM76</f>
        <v>0</v>
      </c>
      <c r="V77" s="20" t="n">
        <f aca="false">IF(AND(Slot1_On=1,D77=Slot1_Age),1,0)</f>
        <v>0</v>
      </c>
      <c r="W77" s="20" t="n">
        <f aca="false">IF(AND(Slot1_On=1,Slot1_Age&gt;D77),1,0)</f>
        <v>0</v>
      </c>
      <c r="X77" s="20" t="n">
        <f aca="false">QM76</f>
        <v>0</v>
      </c>
      <c r="Y77" s="20" t="n">
        <f aca="false">V77*MIN(Slot1_Cost,X77)</f>
        <v>0</v>
      </c>
      <c r="Z77" s="20" t="n">
        <f aca="false">V77*Slot1_SpendLike*MIN(Slot1_Cost-Y77,T77)</f>
        <v>0</v>
      </c>
      <c r="AA77" s="20" t="n">
        <f aca="false">Y77+Z77</f>
        <v>0</v>
      </c>
      <c r="AB77" s="20" t="n">
        <f aca="false">T77-Z77+V77*IF(Slot1_SpendLike=1,X77-Y77,IF(Slot1_PotFree=1,X77,0))</f>
        <v>0</v>
      </c>
      <c r="AC77" s="20" t="n">
        <f aca="false">AF77+V77*Slot1_BufPot*X77</f>
        <v>0</v>
      </c>
      <c r="AD77" s="20" t="n">
        <f aca="false">IF(AND(V77=1,Slot1_IsMfree=1),IF(AA77&gt;=Slot1_Cost-1,0,MAX(0,L77-AA77)),L77)</f>
        <v>0</v>
      </c>
      <c r="AE77" s="20" t="n">
        <f aca="false">V77*(Slot1_Cost-AA77)</f>
        <v>0</v>
      </c>
      <c r="AF77" s="20" t="n">
        <f aca="false">QL76</f>
        <v>0</v>
      </c>
      <c r="AG77" s="20" t="n">
        <f aca="false">IF(AND(Slot2_On=1,D77=Slot2_Age),1,0)</f>
        <v>0</v>
      </c>
      <c r="AH77" s="20" t="n">
        <f aca="false">IF(AND(Slot2_On=1,Slot2_Age&gt;D77),1,0)</f>
        <v>0</v>
      </c>
      <c r="AI77" s="20" t="n">
        <f aca="false">QQ76</f>
        <v>0</v>
      </c>
      <c r="AJ77" s="20" t="n">
        <f aca="false">AG77*MIN(Slot2_Cost,AI77)</f>
        <v>0</v>
      </c>
      <c r="AK77" s="20" t="n">
        <f aca="false">AG77*Slot2_SpendLike*MIN(Slot2_Cost-AJ77,AB77)</f>
        <v>0</v>
      </c>
      <c r="AL77" s="20" t="n">
        <f aca="false">AJ77+AK77</f>
        <v>0</v>
      </c>
      <c r="AM77" s="20" t="n">
        <f aca="false">AB77-AK77+AG77*IF(Slot2_SpendLike=1,AI77-AJ77,IF(Slot2_PotFree=1,AI77,0))</f>
        <v>0</v>
      </c>
      <c r="AN77" s="20" t="n">
        <f aca="false">AC77+AG77*Slot2_BufPot*AI77</f>
        <v>0</v>
      </c>
      <c r="AO77" s="20" t="n">
        <f aca="false">IF(AND(AG77=1,Slot2_IsMfree=1),IF(AL77&gt;=Slot2_Cost-1,0,MAX(0,AD77-AL77)),AD77)</f>
        <v>0</v>
      </c>
      <c r="AP77" s="20" t="n">
        <f aca="false">AG77*(Slot2_Cost-AL77)</f>
        <v>0</v>
      </c>
      <c r="AQ77" s="20" t="n">
        <f aca="false">IF(AND(Slot3_On=1,D77=Slot3_Age),1,0)</f>
        <v>0</v>
      </c>
      <c r="AR77" s="20" t="n">
        <f aca="false">IF(AND(Slot3_On=1,Slot3_Age&gt;D77),1,0)</f>
        <v>0</v>
      </c>
      <c r="AS77" s="20" t="n">
        <f aca="false">QU76</f>
        <v>0</v>
      </c>
      <c r="AT77" s="20" t="n">
        <f aca="false">AQ77*MIN(Slot3_Cost,AS77)</f>
        <v>0</v>
      </c>
      <c r="AU77" s="20" t="n">
        <f aca="false">AQ77*Slot3_SpendLike*MIN(Slot3_Cost-AT77,AM77)</f>
        <v>0</v>
      </c>
      <c r="AV77" s="20" t="n">
        <f aca="false">AT77+AU77</f>
        <v>0</v>
      </c>
      <c r="AW77" s="20" t="n">
        <f aca="false">AM77-AU77+AQ77*IF(Slot3_SpendLike=1,AS77-AT77,IF(Slot3_PotFree=1,AS77,0))</f>
        <v>0</v>
      </c>
      <c r="AX77" s="20" t="n">
        <f aca="false">AN77+AQ77*Slot3_BufPot*AS77</f>
        <v>0</v>
      </c>
      <c r="AY77" s="20" t="n">
        <f aca="false">IF(AND(AQ77=1,Slot3_IsMfree=1),IF(AV77&gt;=Slot3_Cost-1,0,MAX(0,AO77-AV77)),AO77)</f>
        <v>0</v>
      </c>
      <c r="AZ77" s="20" t="n">
        <f aca="false">AQ77*(Slot3_Cost-AV77)</f>
        <v>0</v>
      </c>
      <c r="BA77" s="20" t="n">
        <f aca="false">IF(AND(Slot4_On=1,D77=Slot4_Age),1,0)</f>
        <v>0</v>
      </c>
      <c r="BB77" s="20" t="n">
        <f aca="false">IF(AND(Slot4_On=1,Slot4_Age&gt;D77),1,0)</f>
        <v>0</v>
      </c>
      <c r="BC77" s="20" t="n">
        <f aca="false">QY76</f>
        <v>0</v>
      </c>
      <c r="BD77" s="20" t="n">
        <f aca="false">BA77*MIN(Slot4_Cost,BC77)</f>
        <v>0</v>
      </c>
      <c r="BE77" s="20" t="n">
        <f aca="false">BA77*Slot4_SpendLike*MIN(Slot4_Cost-BD77,AW77)</f>
        <v>0</v>
      </c>
      <c r="BF77" s="20" t="n">
        <f aca="false">BD77+BE77</f>
        <v>0</v>
      </c>
      <c r="BG77" s="20" t="n">
        <f aca="false">AW77-BE77+BA77*IF(Slot4_SpendLike=1,BC77-BD77,IF(Slot4_PotFree=1,BC77,0))</f>
        <v>0</v>
      </c>
      <c r="BH77" s="20" t="n">
        <f aca="false">AX77+BA77*Slot4_BufPot*BC77</f>
        <v>0</v>
      </c>
      <c r="BI77" s="20" t="n">
        <f aca="false">IF(AND(BA77=1,Slot4_IsMfree=1),IF(BF77&gt;=Slot4_Cost-1,0,MAX(0,AY77-BF77)),AY77)</f>
        <v>0</v>
      </c>
      <c r="BJ77" s="20" t="n">
        <f aca="false">BA77*(Slot4_Cost-BF77)</f>
        <v>0</v>
      </c>
      <c r="BK77" s="20" t="n">
        <f aca="false">IF(AND(Slot5_On=1,D77=Slot5_Age),1,0)</f>
        <v>0</v>
      </c>
      <c r="BL77" s="20" t="n">
        <f aca="false">IF(AND(Slot5_On=1,Slot5_Age&gt;D77),1,0)</f>
        <v>0</v>
      </c>
      <c r="BM77" s="20" t="n">
        <f aca="false">RC76</f>
        <v>0</v>
      </c>
      <c r="BN77" s="20" t="n">
        <f aca="false">BK77*MIN(Slot5_Cost,BM77)</f>
        <v>0</v>
      </c>
      <c r="BO77" s="20" t="n">
        <f aca="false">BK77*Slot5_SpendLike*MIN(Slot5_Cost-BN77,BG77)</f>
        <v>0</v>
      </c>
      <c r="BP77" s="20" t="n">
        <f aca="false">BN77+BO77</f>
        <v>0</v>
      </c>
      <c r="BQ77" s="20" t="n">
        <f aca="false">BG77-BO77+BK77*IF(Slot5_SpendLike=1,BM77-BN77,IF(Slot5_PotFree=1,BM77,0))</f>
        <v>0</v>
      </c>
      <c r="BR77" s="20" t="n">
        <f aca="false">BH77+BK77*Slot5_BufPot*BM77</f>
        <v>0</v>
      </c>
      <c r="BS77" s="20" t="n">
        <f aca="false">IF(AND(BK77=1,Slot5_IsMfree=1),IF(BP77&gt;=Slot5_Cost-1,0,MAX(0,BI77-BP77)),BI77)</f>
        <v>0</v>
      </c>
      <c r="BT77" s="20" t="n">
        <f aca="false">BK77*(Slot5_Cost-BP77)</f>
        <v>0</v>
      </c>
      <c r="BU77" s="20" t="n">
        <f aca="false">IF(AND(Slot6_On=1,D77=Slot6_Age),1,0)</f>
        <v>0</v>
      </c>
      <c r="BV77" s="20" t="n">
        <f aca="false">IF(AND(Slot6_On=1,Slot6_Age&gt;D77),1,0)</f>
        <v>0</v>
      </c>
      <c r="BW77" s="20" t="n">
        <f aca="false">RG76</f>
        <v>0</v>
      </c>
      <c r="BX77" s="20" t="n">
        <f aca="false">BU77*MIN(Slot6_Cost,BW77)</f>
        <v>0</v>
      </c>
      <c r="BY77" s="20" t="n">
        <f aca="false">BU77*Slot6_SpendLike*MIN(Slot6_Cost-BX77,BQ77)</f>
        <v>0</v>
      </c>
      <c r="BZ77" s="20" t="n">
        <f aca="false">BX77+BY77</f>
        <v>0</v>
      </c>
      <c r="CA77" s="20" t="n">
        <f aca="false">BQ77-BY77+BU77*IF(Slot6_SpendLike=1,BW77-BX77,IF(Slot6_PotFree=1,BW77,0))</f>
        <v>0</v>
      </c>
      <c r="CB77" s="20" t="n">
        <f aca="false">BR77+BU77*Slot6_BufPot*BW77</f>
        <v>0</v>
      </c>
      <c r="CC77" s="20" t="n">
        <f aca="false">IF(AND(BU77=1,Slot6_IsMfree=1),IF(BZ77&gt;=Slot6_Cost-1,0,MAX(0,BS77-BZ77)),BS77)</f>
        <v>0</v>
      </c>
      <c r="CD77" s="20" t="n">
        <f aca="false">BU77*(Slot6_Cost-BZ77)</f>
        <v>0</v>
      </c>
      <c r="CE77" s="20" t="n">
        <f aca="false">IF(AND(Slot7_On=1,D77=Slot7_Age),1,0)</f>
        <v>0</v>
      </c>
      <c r="CF77" s="20" t="n">
        <f aca="false">IF(AND(Slot7_On=1,Slot7_Age&gt;D77),1,0)</f>
        <v>0</v>
      </c>
      <c r="CG77" s="20" t="n">
        <f aca="false">RK76</f>
        <v>0</v>
      </c>
      <c r="CH77" s="20" t="n">
        <f aca="false">CE77*MIN(Slot7_Cost,CG77)</f>
        <v>0</v>
      </c>
      <c r="CI77" s="20" t="n">
        <f aca="false">CE77*Slot7_SpendLike*MIN(Slot7_Cost-CH77,CA77)</f>
        <v>0</v>
      </c>
      <c r="CJ77" s="20" t="n">
        <f aca="false">CH77+CI77</f>
        <v>0</v>
      </c>
      <c r="CK77" s="20" t="n">
        <f aca="false">CA77-CI77+CE77*IF(Slot7_SpendLike=1,CG77-CH77,IF(Slot7_PotFree=1,CG77,0))</f>
        <v>0</v>
      </c>
      <c r="CL77" s="20" t="n">
        <f aca="false">CB77+CE77*Slot7_BufPot*CG77</f>
        <v>0</v>
      </c>
      <c r="CM77" s="20" t="n">
        <f aca="false">IF(AND(CE77=1,Slot7_IsMfree=1),IF(CJ77&gt;=Slot7_Cost-1,0,MAX(0,CC77-CJ77)),CC77)</f>
        <v>0</v>
      </c>
      <c r="CN77" s="20" t="n">
        <f aca="false">CE77*(Slot7_Cost-CJ77)</f>
        <v>0</v>
      </c>
      <c r="CO77" s="20" t="n">
        <f aca="false">IF(AND(Slot8_On=1,D77=Slot8_Age),1,0)</f>
        <v>0</v>
      </c>
      <c r="CP77" s="20" t="n">
        <f aca="false">IF(AND(Slot8_On=1,Slot8_Age&gt;D77),1,0)</f>
        <v>0</v>
      </c>
      <c r="CQ77" s="20" t="n">
        <f aca="false">RO76</f>
        <v>0</v>
      </c>
      <c r="CR77" s="20" t="n">
        <f aca="false">CO77*MIN(Slot8_Cost,CQ77)</f>
        <v>0</v>
      </c>
      <c r="CS77" s="20" t="n">
        <f aca="false">CO77*Slot8_SpendLike*MIN(Slot8_Cost-CR77,CK77)</f>
        <v>0</v>
      </c>
      <c r="CT77" s="20" t="n">
        <f aca="false">CR77+CS77</f>
        <v>0</v>
      </c>
      <c r="CU77" s="20" t="n">
        <f aca="false">CK77-CS77+CO77*IF(Slot8_SpendLike=1,CQ77-CR77,IF(Slot8_PotFree=1,CQ77,0))</f>
        <v>0</v>
      </c>
      <c r="CV77" s="20" t="n">
        <f aca="false">CL77+CO77*Slot8_BufPot*CQ77</f>
        <v>0</v>
      </c>
      <c r="CW77" s="20" t="n">
        <f aca="false">IF(AND(CO77=1,Slot8_IsMfree=1),IF(CT77&gt;=Slot8_Cost-1,0,MAX(0,CM77-CT77)),CM77)</f>
        <v>0</v>
      </c>
      <c r="CX77" s="20" t="n">
        <f aca="false">CO77*(Slot8_Cost-CT77)</f>
        <v>0</v>
      </c>
      <c r="CY77" s="20" t="n">
        <f aca="false">IF(AND(Slot9_On=1,D77=Slot9_Age),1,0)</f>
        <v>0</v>
      </c>
      <c r="CZ77" s="20" t="n">
        <f aca="false">IF(AND(Slot9_On=1,Slot9_Age&gt;D77),1,0)</f>
        <v>0</v>
      </c>
      <c r="DA77" s="20" t="n">
        <f aca="false">RS76</f>
        <v>0</v>
      </c>
      <c r="DB77" s="20" t="n">
        <f aca="false">CY77*MIN(Slot9_Cost,DA77)</f>
        <v>0</v>
      </c>
      <c r="DC77" s="20" t="n">
        <f aca="false">CY77*Slot9_SpendLike*MIN(Slot9_Cost-DB77,CU77)</f>
        <v>0</v>
      </c>
      <c r="DD77" s="20" t="n">
        <f aca="false">DB77+DC77</f>
        <v>0</v>
      </c>
      <c r="DE77" s="20" t="n">
        <f aca="false">CU77-DC77+CY77*IF(Slot9_SpendLike=1,DA77-DB77,IF(Slot9_PotFree=1,DA77,0))</f>
        <v>0</v>
      </c>
      <c r="DF77" s="20" t="n">
        <f aca="false">CV77+CY77*Slot9_BufPot*DA77</f>
        <v>0</v>
      </c>
      <c r="DG77" s="20" t="n">
        <f aca="false">IF(AND(CY77=1,Slot9_IsMfree=1),IF(DD77&gt;=Slot9_Cost-1,0,MAX(0,CW77-DD77)),CW77)</f>
        <v>0</v>
      </c>
      <c r="DH77" s="20" t="n">
        <f aca="false">CY77*(Slot9_Cost-DD77)</f>
        <v>0</v>
      </c>
      <c r="DI77" s="20" t="n">
        <f aca="false">IF(AND(Slot10_On=1,D77=Slot10_Age),1,0)</f>
        <v>0</v>
      </c>
      <c r="DJ77" s="20" t="n">
        <f aca="false">IF(AND(Slot10_On=1,Slot10_Age&gt;D77),1,0)</f>
        <v>0</v>
      </c>
      <c r="DK77" s="20" t="n">
        <f aca="false">RW76</f>
        <v>0</v>
      </c>
      <c r="DL77" s="20" t="n">
        <f aca="false">DI77*MIN(Slot10_Cost,DK77)</f>
        <v>0</v>
      </c>
      <c r="DM77" s="20" t="n">
        <f aca="false">DI77*Slot10_SpendLike*MIN(Slot10_Cost-DL77,DE77)</f>
        <v>0</v>
      </c>
      <c r="DN77" s="20" t="n">
        <f aca="false">DL77+DM77</f>
        <v>0</v>
      </c>
      <c r="DO77" s="20" t="n">
        <f aca="false">DE77-DM77+DI77*IF(Slot10_SpendLike=1,DK77-DL77,IF(Slot10_PotFree=1,DK77,0))</f>
        <v>0</v>
      </c>
      <c r="DP77" s="20" t="n">
        <f aca="false">DF77+DI77*Slot10_BufPot*DK77</f>
        <v>0</v>
      </c>
      <c r="DQ77" s="20" t="n">
        <f aca="false">IF(AND(DI77=1,Slot10_IsMfree=1),IF(DN77&gt;=Slot10_Cost-1,0,MAX(0,DG77-DN77)),DG77)</f>
        <v>0</v>
      </c>
      <c r="DR77" s="20" t="n">
        <f aca="false">DI77*(Slot10_Cost-DN77)</f>
        <v>0</v>
      </c>
      <c r="DS77" s="20" t="n">
        <f aca="false">IF(AND(Slot11_On=1,D77=Slot11_Age),1,0)</f>
        <v>0</v>
      </c>
      <c r="DT77" s="20" t="n">
        <f aca="false">IF(AND(Slot11_On=1,Slot11_Age&gt;D77),1,0)</f>
        <v>0</v>
      </c>
      <c r="DU77" s="20" t="n">
        <f aca="false">SA76</f>
        <v>0</v>
      </c>
      <c r="DV77" s="20" t="n">
        <f aca="false">DS77*MIN(Slot11_Cost,DU77)</f>
        <v>0</v>
      </c>
      <c r="DW77" s="20" t="n">
        <f aca="false">DS77*Slot11_SpendLike*MIN(Slot11_Cost-DV77,DO77)</f>
        <v>0</v>
      </c>
      <c r="DX77" s="20" t="n">
        <f aca="false">DV77+DW77</f>
        <v>0</v>
      </c>
      <c r="DY77" s="20" t="n">
        <f aca="false">DO77-DW77+DS77*IF(Slot11_SpendLike=1,DU77-DV77,IF(Slot11_PotFree=1,DU77,0))</f>
        <v>0</v>
      </c>
      <c r="DZ77" s="20" t="n">
        <f aca="false">DP77+DS77*Slot11_BufPot*DU77</f>
        <v>0</v>
      </c>
      <c r="EA77" s="20" t="n">
        <f aca="false">IF(AND(DS77=1,Slot11_IsMfree=1),IF(DX77&gt;=Slot11_Cost-1,0,MAX(0,DQ77-DX77)),DQ77)</f>
        <v>0</v>
      </c>
      <c r="EB77" s="20" t="n">
        <f aca="false">DS77*(Slot11_Cost-DX77)</f>
        <v>0</v>
      </c>
      <c r="EC77" s="20" t="n">
        <f aca="false">IF(AND(Slot12_On=1,D77=Slot12_Age),1,0)</f>
        <v>0</v>
      </c>
      <c r="ED77" s="20" t="n">
        <f aca="false">IF(AND(Slot12_On=1,Slot12_Age&gt;D77),1,0)</f>
        <v>0</v>
      </c>
      <c r="EE77" s="20" t="n">
        <f aca="false">SE76</f>
        <v>0</v>
      </c>
      <c r="EF77" s="20" t="n">
        <f aca="false">EC77*MIN(Slot12_Cost,EE77)</f>
        <v>0</v>
      </c>
      <c r="EG77" s="20" t="n">
        <f aca="false">EC77*Slot12_SpendLike*MIN(Slot12_Cost-EF77,DY77)</f>
        <v>0</v>
      </c>
      <c r="EH77" s="20" t="n">
        <f aca="false">EF77+EG77</f>
        <v>0</v>
      </c>
      <c r="EI77" s="20" t="n">
        <f aca="false">DY77-EG77+EC77*IF(Slot12_SpendLike=1,EE77-EF77,IF(Slot12_PotFree=1,EE77,0))</f>
        <v>0</v>
      </c>
      <c r="EJ77" s="20" t="n">
        <f aca="false">DZ77+EC77*Slot12_BufPot*EE77</f>
        <v>0</v>
      </c>
      <c r="EK77" s="20" t="n">
        <f aca="false">IF(AND(EC77=1,Slot12_IsMfree=1),IF(EH77&gt;=Slot12_Cost-1,0,MAX(0,EA77-EH77)),EA77)</f>
        <v>0</v>
      </c>
      <c r="EL77" s="20" t="n">
        <f aca="false">EC77*(Slot12_Cost-EH77)</f>
        <v>0</v>
      </c>
      <c r="EM77" s="20" t="n">
        <f aca="false">IF(AND(Slot13_On=1,D77=Slot13_Age),1,0)</f>
        <v>0</v>
      </c>
      <c r="EN77" s="20" t="n">
        <f aca="false">IF(AND(Slot13_On=1,Slot13_Age&gt;D77),1,0)</f>
        <v>0</v>
      </c>
      <c r="EO77" s="20" t="n">
        <f aca="false">SI76</f>
        <v>0</v>
      </c>
      <c r="EP77" s="20" t="n">
        <f aca="false">EM77*MIN(Slot13_Cost,EO77)</f>
        <v>0</v>
      </c>
      <c r="EQ77" s="20" t="n">
        <f aca="false">EM77*Slot13_SpendLike*MIN(Slot13_Cost-EP77,EI77)</f>
        <v>0</v>
      </c>
      <c r="ER77" s="20" t="n">
        <f aca="false">EP77+EQ77</f>
        <v>0</v>
      </c>
      <c r="ES77" s="20" t="n">
        <f aca="false">EI77-EQ77+EM77*IF(Slot13_SpendLike=1,EO77-EP77,IF(Slot13_PotFree=1,EO77,0))</f>
        <v>0</v>
      </c>
      <c r="ET77" s="20" t="n">
        <f aca="false">EJ77+EM77*Slot13_BufPot*EO77</f>
        <v>0</v>
      </c>
      <c r="EU77" s="20" t="n">
        <f aca="false">IF(AND(EM77=1,Slot13_IsMfree=1),IF(ER77&gt;=Slot13_Cost-1,0,MAX(0,EK77-ER77)),EK77)</f>
        <v>0</v>
      </c>
      <c r="EV77" s="20" t="n">
        <f aca="false">EM77*(Slot13_Cost-ER77)</f>
        <v>0</v>
      </c>
      <c r="EW77" s="20" t="n">
        <f aca="false">IF(AND(Slot14_On=1,D77=Slot14_Age),1,0)</f>
        <v>0</v>
      </c>
      <c r="EX77" s="20" t="n">
        <f aca="false">IF(AND(Slot14_On=1,Slot14_Age&gt;D77),1,0)</f>
        <v>0</v>
      </c>
      <c r="EY77" s="20" t="n">
        <f aca="false">SM76</f>
        <v>0</v>
      </c>
      <c r="EZ77" s="20" t="n">
        <f aca="false">EW77*MIN(Slot14_Cost,EY77)</f>
        <v>0</v>
      </c>
      <c r="FA77" s="20" t="n">
        <f aca="false">EW77*Slot14_SpendLike*MIN(Slot14_Cost-EZ77,ES77)</f>
        <v>0</v>
      </c>
      <c r="FB77" s="20" t="n">
        <f aca="false">EZ77+FA77</f>
        <v>0</v>
      </c>
      <c r="FC77" s="20" t="n">
        <f aca="false">ES77-FA77+EW77*IF(Slot14_SpendLike=1,EY77-EZ77,IF(Slot14_PotFree=1,EY77,0))</f>
        <v>0</v>
      </c>
      <c r="FD77" s="20" t="n">
        <f aca="false">ET77+EW77*Slot14_BufPot*EY77</f>
        <v>0</v>
      </c>
      <c r="FE77" s="20" t="n">
        <f aca="false">IF(AND(EW77=1,Slot14_IsMfree=1),IF(FB77&gt;=Slot14_Cost-1,0,MAX(0,EU77-FB77)),EU77)</f>
        <v>0</v>
      </c>
      <c r="FF77" s="20" t="n">
        <f aca="false">EW77*(Slot14_Cost-FB77)</f>
        <v>0</v>
      </c>
      <c r="FG77" s="20" t="n">
        <f aca="false">IF(AND(Slot15_On=1,D77=Slot15_Age),1,0)</f>
        <v>0</v>
      </c>
      <c r="FH77" s="20" t="n">
        <f aca="false">IF(AND(Slot15_On=1,Slot15_Age&gt;D77),1,0)</f>
        <v>0</v>
      </c>
      <c r="FI77" s="20" t="n">
        <f aca="false">SQ76</f>
        <v>0</v>
      </c>
      <c r="FJ77" s="20" t="n">
        <f aca="false">FG77*MIN(Slot15_Cost,FI77)</f>
        <v>0</v>
      </c>
      <c r="FK77" s="20" t="n">
        <f aca="false">FG77*Slot15_SpendLike*MIN(Slot15_Cost-FJ77,FC77)</f>
        <v>0</v>
      </c>
      <c r="FL77" s="20" t="n">
        <f aca="false">FJ77+FK77</f>
        <v>0</v>
      </c>
      <c r="FM77" s="20" t="n">
        <f aca="false">FC77-FK77+FG77*IF(Slot15_SpendLike=1,FI77-FJ77,IF(Slot15_PotFree=1,FI77,0))</f>
        <v>0</v>
      </c>
      <c r="FN77" s="20" t="n">
        <f aca="false">FD77+FG77*Slot15_BufPot*FI77</f>
        <v>0</v>
      </c>
      <c r="FO77" s="20" t="n">
        <f aca="false">IF(AND(FG77=1,Slot15_IsMfree=1),IF(FL77&gt;=Slot15_Cost-1,0,MAX(0,FE77-FL77)),FE77)</f>
        <v>0</v>
      </c>
      <c r="FP77" s="20" t="n">
        <f aca="false">FG77*(Slot15_Cost-FL77)</f>
        <v>0</v>
      </c>
      <c r="FQ77" s="20" t="n">
        <f aca="false">IF(AND(Slot16_On=1,D77=Slot16_Age),1,0)</f>
        <v>0</v>
      </c>
      <c r="FR77" s="20" t="n">
        <f aca="false">IF(AND(Slot16_On=1,Slot16_Age&gt;D77),1,0)</f>
        <v>0</v>
      </c>
      <c r="FS77" s="20" t="n">
        <f aca="false">SU76</f>
        <v>0</v>
      </c>
      <c r="FT77" s="20" t="n">
        <f aca="false">FQ77*MIN(Slot16_Cost,FS77)</f>
        <v>0</v>
      </c>
      <c r="FU77" s="20" t="n">
        <f aca="false">FQ77*Slot16_SpendLike*MIN(Slot16_Cost-FT77,FM77)</f>
        <v>0</v>
      </c>
      <c r="FV77" s="20" t="n">
        <f aca="false">FT77+FU77</f>
        <v>0</v>
      </c>
      <c r="FW77" s="20" t="n">
        <f aca="false">FM77-FU77+FQ77*IF(Slot16_SpendLike=1,FS77-FT77,IF(Slot16_PotFree=1,FS77,0))</f>
        <v>0</v>
      </c>
      <c r="FX77" s="20" t="n">
        <f aca="false">FN77+FQ77*Slot16_BufPot*FS77</f>
        <v>0</v>
      </c>
      <c r="FY77" s="20" t="n">
        <f aca="false">IF(AND(FQ77=1,Slot16_IsMfree=1),IF(FV77&gt;=Slot16_Cost-1,0,MAX(0,FO77-FV77)),FO77)</f>
        <v>0</v>
      </c>
      <c r="FZ77" s="20" t="n">
        <f aca="false">FQ77*(Slot16_Cost-FV77)</f>
        <v>0</v>
      </c>
      <c r="GA77" s="20" t="n">
        <f aca="false">IF(AND(Slot17_On=1,D77=Slot17_Age),1,0)</f>
        <v>0</v>
      </c>
      <c r="GB77" s="20" t="n">
        <f aca="false">IF(AND(Slot17_On=1,Slot17_Age&gt;D77),1,0)</f>
        <v>0</v>
      </c>
      <c r="GC77" s="20" t="n">
        <f aca="false">SY76</f>
        <v>0</v>
      </c>
      <c r="GD77" s="20" t="n">
        <f aca="false">GA77*MIN(Slot17_Cost,GC77)</f>
        <v>0</v>
      </c>
      <c r="GE77" s="20" t="n">
        <f aca="false">GA77*Slot17_SpendLike*MIN(Slot17_Cost-GD77,FW77)</f>
        <v>0</v>
      </c>
      <c r="GF77" s="20" t="n">
        <f aca="false">GD77+GE77</f>
        <v>0</v>
      </c>
      <c r="GG77" s="20" t="n">
        <f aca="false">FW77-GE77+GA77*IF(Slot17_SpendLike=1,GC77-GD77,IF(Slot17_PotFree=1,GC77,0))</f>
        <v>0</v>
      </c>
      <c r="GH77" s="20" t="n">
        <f aca="false">FX77+GA77*Slot17_BufPot*GC77</f>
        <v>0</v>
      </c>
      <c r="GI77" s="20" t="n">
        <f aca="false">IF(AND(GA77=1,Slot17_IsMfree=1),IF(GF77&gt;=Slot17_Cost-1,0,MAX(0,FY77-GF77)),FY77)</f>
        <v>0</v>
      </c>
      <c r="GJ77" s="20" t="n">
        <f aca="false">GA77*(Slot17_Cost-GF77)</f>
        <v>0</v>
      </c>
      <c r="GK77" s="20" t="n">
        <f aca="false">IF(AND(Slot18_On=1,D77=Slot18_Age),1,0)</f>
        <v>0</v>
      </c>
      <c r="GL77" s="20" t="n">
        <f aca="false">IF(AND(Slot18_On=1,Slot18_Age&gt;D77),1,0)</f>
        <v>0</v>
      </c>
      <c r="GM77" s="20" t="n">
        <f aca="false">TC76</f>
        <v>0</v>
      </c>
      <c r="GN77" s="20" t="n">
        <f aca="false">GK77*MIN(Slot18_Cost,GM77)</f>
        <v>0</v>
      </c>
      <c r="GO77" s="20" t="n">
        <f aca="false">GK77*Slot18_SpendLike*MIN(Slot18_Cost-GN77,GG77)</f>
        <v>0</v>
      </c>
      <c r="GP77" s="20" t="n">
        <f aca="false">GN77+GO77</f>
        <v>0</v>
      </c>
      <c r="GQ77" s="20" t="n">
        <f aca="false">GG77-GO77+GK77*IF(Slot18_SpendLike=1,GM77-GN77,IF(Slot18_PotFree=1,GM77,0))</f>
        <v>0</v>
      </c>
      <c r="GR77" s="20" t="n">
        <f aca="false">GH77+GK77*Slot18_BufPot*GM77</f>
        <v>0</v>
      </c>
      <c r="GS77" s="20" t="n">
        <f aca="false">IF(AND(GK77=1,Slot18_IsMfree=1),IF(GP77&gt;=Slot18_Cost-1,0,MAX(0,GI77-GP77)),GI77)</f>
        <v>0</v>
      </c>
      <c r="GT77" s="20" t="n">
        <f aca="false">GK77*(Slot18_Cost-GP77)</f>
        <v>0</v>
      </c>
      <c r="GU77" s="20" t="n">
        <f aca="false">IF(AND(Slot19_On=1,D77=Slot19_Age),1,0)</f>
        <v>0</v>
      </c>
      <c r="GV77" s="20" t="n">
        <f aca="false">IF(AND(Slot19_On=1,Slot19_Age&gt;D77),1,0)</f>
        <v>0</v>
      </c>
      <c r="GW77" s="20" t="n">
        <f aca="false">TG76</f>
        <v>0</v>
      </c>
      <c r="GX77" s="20" t="n">
        <f aca="false">GU77*MIN(Slot19_Cost,GW77)</f>
        <v>0</v>
      </c>
      <c r="GY77" s="20" t="n">
        <f aca="false">GU77*Slot19_SpendLike*MIN(Slot19_Cost-GX77,GQ77)</f>
        <v>0</v>
      </c>
      <c r="GZ77" s="20" t="n">
        <f aca="false">GX77+GY77</f>
        <v>0</v>
      </c>
      <c r="HA77" s="20" t="n">
        <f aca="false">GQ77-GY77+GU77*IF(Slot19_SpendLike=1,GW77-GX77,IF(Slot19_PotFree=1,GW77,0))</f>
        <v>0</v>
      </c>
      <c r="HB77" s="20" t="n">
        <f aca="false">GR77+GU77*Slot19_BufPot*GW77</f>
        <v>0</v>
      </c>
      <c r="HC77" s="20" t="n">
        <f aca="false">IF(AND(GU77=1,Slot19_IsMfree=1),IF(GZ77&gt;=Slot19_Cost-1,0,MAX(0,GS77-GZ77)),GS77)</f>
        <v>0</v>
      </c>
      <c r="HD77" s="20" t="n">
        <f aca="false">GU77*(Slot19_Cost-GZ77)</f>
        <v>0</v>
      </c>
      <c r="HE77" s="20" t="n">
        <f aca="false">IF(AND(Slot20_On=1,D77=Slot20_Age),1,0)</f>
        <v>0</v>
      </c>
      <c r="HF77" s="20" t="n">
        <f aca="false">IF(AND(Slot20_On=1,Slot20_Age&gt;D77),1,0)</f>
        <v>0</v>
      </c>
      <c r="HG77" s="20" t="n">
        <f aca="false">TK76</f>
        <v>0</v>
      </c>
      <c r="HH77" s="20" t="n">
        <f aca="false">HE77*MIN(Slot20_Cost,HG77)</f>
        <v>0</v>
      </c>
      <c r="HI77" s="20" t="n">
        <f aca="false">HE77*Slot20_SpendLike*MIN(Slot20_Cost-HH77,HA77)</f>
        <v>0</v>
      </c>
      <c r="HJ77" s="20" t="n">
        <f aca="false">HH77+HI77</f>
        <v>0</v>
      </c>
      <c r="HK77" s="20" t="n">
        <f aca="false">HA77-HI77+HE77*IF(Slot20_SpendLike=1,HG77-HH77,IF(Slot20_PotFree=1,HG77,0))</f>
        <v>0</v>
      </c>
      <c r="HL77" s="20" t="n">
        <f aca="false">HB77+HE77*Slot20_BufPot*HG77</f>
        <v>0</v>
      </c>
      <c r="HM77" s="20" t="n">
        <f aca="false">IF(AND(HE77=1,Slot20_IsMfree=1),IF(HJ77&gt;=Slot20_Cost-1,0,MAX(0,HC77-HJ77)),HC77)</f>
        <v>0</v>
      </c>
      <c r="HN77" s="20" t="n">
        <f aca="false">HE77*(Slot20_Cost-HJ77)</f>
        <v>0</v>
      </c>
      <c r="HO77" s="20" t="n">
        <f aca="false">V77*Slot1_SpendLike*AA77+AG77*Slot2_SpendLike*AL77+AQ77*Slot3_SpendLike*AV77+BA77*Slot4_SpendLike*BF77+BK77*Slot5_SpendLike*BP77+BU77*Slot6_SpendLike*BZ77+CE77*Slot7_SpendLike*CJ77+CO77*Slot8_SpendLike*CT77+CY77*Slot9_SpendLike*DD77+DI77*Slot10_SpendLike*DN77+DS77*Slot11_SpendLike*DX77+EC77*Slot12_SpendLike*EH77+EM77*Slot13_SpendLike*ER77+EW77*Slot14_SpendLike*FB77+FG77*Slot15_SpendLike*FL77+FQ77*Slot16_SpendLike*FV77+GA77*Slot17_SpendLike*GF77+GK77*Slot18_SpendLike*GP77+GU77*Slot19_SpendLike*GZ77+HE77*Slot20_SpendLike*HJ77</f>
        <v>0</v>
      </c>
      <c r="HP77" s="20" t="n">
        <f aca="false">AE77+AP77+AZ77+BJ77+BT77+CD77+CN77+CX77+DH77+DR77+EB77+EL77+EV77+FF77+FP77+FZ77+GJ77+GT77+HD77+HN77</f>
        <v>0</v>
      </c>
      <c r="HQ77" s="20" t="n">
        <f aca="false">V77*Slot1_Cost+AG77*Slot2_Cost+AQ77*Slot3_Cost+BA77*Slot4_Cost+BK77*Slot5_Cost+BU77*Slot6_Cost+CE77*Slot7_Cost+CO77*Slot8_Cost+CY77*Slot9_Cost+DI77*Slot10_Cost+DS77*Slot11_Cost+EC77*Slot12_Cost+EM77*Slot13_Cost+EW77*Slot14_Cost+FG77*Slot15_Cost+FQ77*Slot16_Cost+GA77*Slot17_Cost+GK77*Slot18_Cost+GU77*Slot19_Cost+HE77*Slot20_Cost</f>
        <v>0</v>
      </c>
      <c r="HR77" s="20" t="n">
        <f aca="false">HM77</f>
        <v>0</v>
      </c>
      <c r="HS77" s="20" t="n">
        <f aca="false">H77-I77-S77</f>
        <v>-75542.7146406383</v>
      </c>
      <c r="HT77" s="20" t="n">
        <f aca="false">IF(B77=0,IF(AND(Has_q6=1,In_q6=4),PR_ShareVaries*(MAX(0,HS77)/12),MIN(IF(Has_q6=1,CHOOSE(In_q6+1,PR_SaveB1,PR_SaveB2,PR_SaveB3,PR_SaveB4,0),AS_NoAnswer),AS_SaveShare*(MAX(0,HS77)/12))),HT76)</f>
        <v>67.3316893520437</v>
      </c>
      <c r="HU77" s="20" t="n">
        <f aca="false">IF(HS77&gt;=0,1,0)</f>
        <v>0</v>
      </c>
      <c r="HV77" s="20" t="n">
        <f aca="false">MAX(0,HS77/12/F77)</f>
        <v>0</v>
      </c>
      <c r="HW77" s="20" t="n">
        <f aca="false">IF(AND(Has_q6=1,In_q6=4),PR_ShareVaries*(HV77),MIN(IF(Has_q6=1,CHOOSE(In_q6+1,PR_SaveB1,PR_SaveB2,PR_SaveB3,PR_SaveB4,0),AS_NoAnswer),AS_SaveShare*(HV77)))</f>
        <v>0</v>
      </c>
      <c r="HX77" s="20" t="n">
        <f aca="false">IF(Has_saveM=1,IF(In_saveUp="Yes",1,IF(In_saveUp="No",0,IF(In_saveM&gt;=HT77-0.5,1,0))),0)</f>
        <v>0</v>
      </c>
      <c r="HY77" s="20" t="n">
        <f aca="false">IF(Has_saveM=1,MIN(HV77,IF(HX77=1,MAX(In_saveM,HW77),MIN(In_saveM,HW77))),HW77)</f>
        <v>0</v>
      </c>
      <c r="HZ77" s="20" t="n">
        <f aca="false">IF(G77=1,HY77*12*F77,0)</f>
        <v>0</v>
      </c>
      <c r="IA77" s="20" t="n">
        <f aca="false">MAX(0,HZ77+IF(AND(WI_Retire=0,WI_M&lt;0,G77=1),WI_M*12*F77,0))</f>
        <v>0</v>
      </c>
      <c r="IB77" s="20" t="n">
        <f aca="false">Slot1_IsWG*W77+Slot2_IsWG*AH77+Slot3_IsWG*AR77+Slot4_IsWG*BB77+Slot5_IsWG*BL77+Slot6_IsWG*BV77+Slot7_IsWG*CF77+Slot8_IsWG*CP77+Slot9_IsWG*CZ77+Slot10_IsWG*DJ77+Slot11_IsWG*DT77+Slot12_IsWG*ED77+Slot13_IsWG*EN77+Slot14_IsWG*EX77+Slot15_IsWG*FH77+Slot16_IsWG*FR77+Slot17_IsWG*GB77+Slot18_IsWG*GL77+Slot19_IsWG*GV77+Slot20_IsWG*HF77</f>
        <v>0</v>
      </c>
      <c r="IC77" s="20" t="n">
        <f aca="false">IF(AND(WI_Retire=0,WI_M&gt;0,G77=1,IB77&gt;=1),WI_M*12*F77,0)</f>
        <v>0</v>
      </c>
      <c r="ID77" s="20" t="n">
        <f aca="false">IF(HU77=1,MIN(IA77,HS77),0)</f>
        <v>0</v>
      </c>
      <c r="IE77" s="20" t="n">
        <f aca="false">IF(HU77=1,MIN(IC77,HS77-ID77),0)</f>
        <v>0</v>
      </c>
      <c r="IF77" s="20" t="n">
        <f aca="false">IF(W77=1,IF(ABS((1+AS_Wage)/(1+Slot1_Rate)-1)&lt;0.000000000001,(Slot1_Age-D77)*(1+Slot1_Rate)^(Slot1_Age-D77),(1+Slot1_Rate)^(Slot1_Age-D77)*(1-((1+AS_Wage)/(1+Slot1_Rate))^(Slot1_Age-D77))/(1-(1+AS_Wage)/(1+Slot1_Rate))),1)</f>
        <v>1</v>
      </c>
      <c r="IG77" s="20" t="n">
        <f aca="false">IF(AND(HU77=1,IE77&gt;0,Slot1_IsWG=1,W77=1),MAX(0,(Slot1_Cost-X77*(1+Slot1_Rate)^(Slot1_Age-D77))/IF77),0)</f>
        <v>0</v>
      </c>
      <c r="IH77" s="20" t="n">
        <f aca="false">IF(AND(HU77=1,IE77&gt;0,Slot1_IsWG=1,W77=1),MIN(IE77,IG77),0)</f>
        <v>0</v>
      </c>
      <c r="II77" s="20" t="n">
        <f aca="false">X77+IH77</f>
        <v>0</v>
      </c>
      <c r="IJ77" s="20" t="n">
        <f aca="false">IF(W77=1,MAX(0,(Slot1_Cost-II77*(1+Slot1_Rate)^(Slot1_Age-D77))/IF77),0)</f>
        <v>0</v>
      </c>
      <c r="IK77" s="20" t="n">
        <f aca="false">IF(W77=1,MAX(0,(Slot1_Cost-X77*(1+Slot1_Rate)^(Slot1_Age-D77))/IF77),0)</f>
        <v>0</v>
      </c>
      <c r="IL77" s="20" t="n">
        <f aca="false">IF(AND(HU77=1,W77=1),MIN(ID77,IJ77),0)</f>
        <v>0</v>
      </c>
      <c r="IM77" s="20" t="n">
        <f aca="false">ID77-IL77</f>
        <v>0</v>
      </c>
      <c r="IN77" s="20" t="n">
        <f aca="false">IF(AH77=1,IF(ABS((1+AS_Wage)/(1+Slot2_Rate)-1)&lt;0.000000000001,(Slot2_Age-D77)*(1+Slot2_Rate)^(Slot2_Age-D77),(1+Slot2_Rate)^(Slot2_Age-D77)*(1-((1+AS_Wage)/(1+Slot2_Rate))^(Slot2_Age-D77))/(1-(1+AS_Wage)/(1+Slot2_Rate))),1)</f>
        <v>1</v>
      </c>
      <c r="IO77" s="20" t="n">
        <f aca="false">IF(AND(HU77=1,IE77&gt;0,Slot2_IsWG=1,AH77=1),MAX(0,(Slot2_Cost-AI77*(1+Slot2_Rate)^(Slot2_Age-D77))/IN77),0)</f>
        <v>0</v>
      </c>
      <c r="IP77" s="20" t="n">
        <f aca="false">IF(AND(HU77=1,IE77&gt;0,Slot2_IsWG=1,AH77=1),MIN(IE77,IO77),0)</f>
        <v>0</v>
      </c>
      <c r="IQ77" s="20" t="n">
        <f aca="false">AI77+IP77</f>
        <v>0</v>
      </c>
      <c r="IR77" s="20" t="n">
        <f aca="false">IF(AH77=1,MAX(0,(Slot2_Cost-IQ77*(1+Slot2_Rate)^(Slot2_Age-D77))/IN77),0)</f>
        <v>0</v>
      </c>
      <c r="IS77" s="20" t="n">
        <f aca="false">IF(AH77=1,MAX(0,(Slot2_Cost-AI77*(1+Slot2_Rate)^(Slot2_Age-D77))/IN77),0)</f>
        <v>0</v>
      </c>
      <c r="IT77" s="20" t="n">
        <f aca="false">IF(AND(HU77=1,AH77=1),MIN(IM77,IR77),0)</f>
        <v>0</v>
      </c>
      <c r="IU77" s="20" t="n">
        <f aca="false">IM77-IT77</f>
        <v>0</v>
      </c>
      <c r="IV77" s="20" t="n">
        <f aca="false">IF(AR77=1,IF(ABS((1+AS_Wage)/(1+Slot3_Rate)-1)&lt;0.000000000001,(Slot3_Age-D77)*(1+Slot3_Rate)^(Slot3_Age-D77),(1+Slot3_Rate)^(Slot3_Age-D77)*(1-((1+AS_Wage)/(1+Slot3_Rate))^(Slot3_Age-D77))/(1-(1+AS_Wage)/(1+Slot3_Rate))),1)</f>
        <v>1</v>
      </c>
      <c r="IW77" s="20" t="n">
        <f aca="false">IF(AND(HU77=1,IE77&gt;0,Slot3_IsWG=1,AR77=1),MAX(0,(Slot3_Cost-AS77*(1+Slot3_Rate)^(Slot3_Age-D77))/IV77),0)</f>
        <v>0</v>
      </c>
      <c r="IX77" s="20" t="n">
        <f aca="false">IF(AND(HU77=1,IE77&gt;0,Slot3_IsWG=1,AR77=1),MIN(IE77,IW77),0)</f>
        <v>0</v>
      </c>
      <c r="IY77" s="20" t="n">
        <f aca="false">AS77+IX77</f>
        <v>0</v>
      </c>
      <c r="IZ77" s="20" t="n">
        <f aca="false">IF(AR77=1,MAX(0,(Slot3_Cost-IY77*(1+Slot3_Rate)^(Slot3_Age-D77))/IV77),0)</f>
        <v>0</v>
      </c>
      <c r="JA77" s="20" t="n">
        <f aca="false">IF(AR77=1,MAX(0,(Slot3_Cost-AS77*(1+Slot3_Rate)^(Slot3_Age-D77))/IV77),0)</f>
        <v>0</v>
      </c>
      <c r="JB77" s="20" t="n">
        <f aca="false">IF(AND(HU77=1,AR77=1),MIN(IU77,IZ77),0)</f>
        <v>0</v>
      </c>
      <c r="JC77" s="20" t="n">
        <f aca="false">IU77-JB77</f>
        <v>0</v>
      </c>
      <c r="JD77" s="20" t="n">
        <f aca="false">IF(BB77=1,IF(ABS((1+AS_Wage)/(1+Slot4_Rate)-1)&lt;0.000000000001,(Slot4_Age-D77)*(1+Slot4_Rate)^(Slot4_Age-D77),(1+Slot4_Rate)^(Slot4_Age-D77)*(1-((1+AS_Wage)/(1+Slot4_Rate))^(Slot4_Age-D77))/(1-(1+AS_Wage)/(1+Slot4_Rate))),1)</f>
        <v>1</v>
      </c>
      <c r="JE77" s="20" t="n">
        <f aca="false">IF(AND(HU77=1,IE77&gt;0,Slot4_IsWG=1,BB77=1),MAX(0,(Slot4_Cost-BC77*(1+Slot4_Rate)^(Slot4_Age-D77))/JD77),0)</f>
        <v>0</v>
      </c>
      <c r="JF77" s="20" t="n">
        <f aca="false">IF(AND(HU77=1,IE77&gt;0,Slot4_IsWG=1,BB77=1),MIN(IE77,JE77),0)</f>
        <v>0</v>
      </c>
      <c r="JG77" s="20" t="n">
        <f aca="false">BC77+JF77</f>
        <v>0</v>
      </c>
      <c r="JH77" s="20" t="n">
        <f aca="false">IF(BB77=1,MAX(0,(Slot4_Cost-JG77*(1+Slot4_Rate)^(Slot4_Age-D77))/JD77),0)</f>
        <v>0</v>
      </c>
      <c r="JI77" s="20" t="n">
        <f aca="false">IF(BB77=1,MAX(0,(Slot4_Cost-BC77*(1+Slot4_Rate)^(Slot4_Age-D77))/JD77),0)</f>
        <v>0</v>
      </c>
      <c r="JJ77" s="20" t="n">
        <f aca="false">IF(AND(HU77=1,BB77=1),MIN(JC77,JH77),0)</f>
        <v>0</v>
      </c>
      <c r="JK77" s="20" t="n">
        <f aca="false">JC77-JJ77</f>
        <v>0</v>
      </c>
      <c r="JL77" s="20" t="n">
        <f aca="false">IF(BL77=1,IF(ABS((1+AS_Wage)/(1+Slot5_Rate)-1)&lt;0.000000000001,(Slot5_Age-D77)*(1+Slot5_Rate)^(Slot5_Age-D77),(1+Slot5_Rate)^(Slot5_Age-D77)*(1-((1+AS_Wage)/(1+Slot5_Rate))^(Slot5_Age-D77))/(1-(1+AS_Wage)/(1+Slot5_Rate))),1)</f>
        <v>1</v>
      </c>
      <c r="JM77" s="20" t="n">
        <f aca="false">IF(AND(HU77=1,IE77&gt;0,Slot5_IsWG=1,BL77=1),MAX(0,(Slot5_Cost-BM77*(1+Slot5_Rate)^(Slot5_Age-D77))/JL77),0)</f>
        <v>0</v>
      </c>
      <c r="JN77" s="20" t="n">
        <f aca="false">IF(AND(HU77=1,IE77&gt;0,Slot5_IsWG=1,BL77=1),MIN(IE77,JM77),0)</f>
        <v>0</v>
      </c>
      <c r="JO77" s="20" t="n">
        <f aca="false">BM77+JN77</f>
        <v>0</v>
      </c>
      <c r="JP77" s="20" t="n">
        <f aca="false">IF(BL77=1,MAX(0,(Slot5_Cost-JO77*(1+Slot5_Rate)^(Slot5_Age-D77))/JL77),0)</f>
        <v>0</v>
      </c>
      <c r="JQ77" s="20" t="n">
        <f aca="false">IF(BL77=1,MAX(0,(Slot5_Cost-BM77*(1+Slot5_Rate)^(Slot5_Age-D77))/JL77),0)</f>
        <v>0</v>
      </c>
      <c r="JR77" s="20" t="n">
        <f aca="false">IF(AND(HU77=1,BL77=1),MIN(JK77,JP77),0)</f>
        <v>0</v>
      </c>
      <c r="JS77" s="20" t="n">
        <f aca="false">JK77-JR77</f>
        <v>0</v>
      </c>
      <c r="JT77" s="20" t="n">
        <f aca="false">IF(BV77=1,IF(ABS((1+AS_Wage)/(1+Slot6_Rate)-1)&lt;0.000000000001,(Slot6_Age-D77)*(1+Slot6_Rate)^(Slot6_Age-D77),(1+Slot6_Rate)^(Slot6_Age-D77)*(1-((1+AS_Wage)/(1+Slot6_Rate))^(Slot6_Age-D77))/(1-(1+AS_Wage)/(1+Slot6_Rate))),1)</f>
        <v>1</v>
      </c>
      <c r="JU77" s="20" t="n">
        <f aca="false">IF(AND(HU77=1,IE77&gt;0,Slot6_IsWG=1,BV77=1),MAX(0,(Slot6_Cost-BW77*(1+Slot6_Rate)^(Slot6_Age-D77))/JT77),0)</f>
        <v>0</v>
      </c>
      <c r="JV77" s="20" t="n">
        <f aca="false">IF(AND(HU77=1,IE77&gt;0,Slot6_IsWG=1,BV77=1),MIN(IE77,JU77),0)</f>
        <v>0</v>
      </c>
      <c r="JW77" s="20" t="n">
        <f aca="false">BW77+JV77</f>
        <v>0</v>
      </c>
      <c r="JX77" s="20" t="n">
        <f aca="false">IF(BV77=1,MAX(0,(Slot6_Cost-JW77*(1+Slot6_Rate)^(Slot6_Age-D77))/JT77),0)</f>
        <v>0</v>
      </c>
      <c r="JY77" s="20" t="n">
        <f aca="false">IF(BV77=1,MAX(0,(Slot6_Cost-BW77*(1+Slot6_Rate)^(Slot6_Age-D77))/JT77),0)</f>
        <v>0</v>
      </c>
      <c r="JZ77" s="20" t="n">
        <f aca="false">IF(AND(HU77=1,BV77=1),MIN(JS77,JX77),0)</f>
        <v>0</v>
      </c>
      <c r="KA77" s="20" t="n">
        <f aca="false">JS77-JZ77</f>
        <v>0</v>
      </c>
      <c r="KB77" s="20" t="n">
        <f aca="false">IF(CF77=1,IF(ABS((1+AS_Wage)/(1+Slot7_Rate)-1)&lt;0.000000000001,(Slot7_Age-D77)*(1+Slot7_Rate)^(Slot7_Age-D77),(1+Slot7_Rate)^(Slot7_Age-D77)*(1-((1+AS_Wage)/(1+Slot7_Rate))^(Slot7_Age-D77))/(1-(1+AS_Wage)/(1+Slot7_Rate))),1)</f>
        <v>1</v>
      </c>
      <c r="KC77" s="20" t="n">
        <f aca="false">IF(AND(HU77=1,IE77&gt;0,Slot7_IsWG=1,CF77=1),MAX(0,(Slot7_Cost-CG77*(1+Slot7_Rate)^(Slot7_Age-D77))/KB77),0)</f>
        <v>0</v>
      </c>
      <c r="KD77" s="20" t="n">
        <f aca="false">IF(AND(HU77=1,IE77&gt;0,Slot7_IsWG=1,CF77=1),MIN(IE77,KC77),0)</f>
        <v>0</v>
      </c>
      <c r="KE77" s="20" t="n">
        <f aca="false">CG77+KD77</f>
        <v>0</v>
      </c>
      <c r="KF77" s="20" t="n">
        <f aca="false">IF(CF77=1,MAX(0,(Slot7_Cost-KE77*(1+Slot7_Rate)^(Slot7_Age-D77))/KB77),0)</f>
        <v>0</v>
      </c>
      <c r="KG77" s="20" t="n">
        <f aca="false">IF(CF77=1,MAX(0,(Slot7_Cost-CG77*(1+Slot7_Rate)^(Slot7_Age-D77))/KB77),0)</f>
        <v>0</v>
      </c>
      <c r="KH77" s="20" t="n">
        <f aca="false">IF(AND(HU77=1,CF77=1),MIN(KA77,KF77),0)</f>
        <v>0</v>
      </c>
      <c r="KI77" s="20" t="n">
        <f aca="false">KA77-KH77</f>
        <v>0</v>
      </c>
      <c r="KJ77" s="20" t="n">
        <f aca="false">IF(CP77=1,IF(ABS((1+AS_Wage)/(1+Slot8_Rate)-1)&lt;0.000000000001,(Slot8_Age-D77)*(1+Slot8_Rate)^(Slot8_Age-D77),(1+Slot8_Rate)^(Slot8_Age-D77)*(1-((1+AS_Wage)/(1+Slot8_Rate))^(Slot8_Age-D77))/(1-(1+AS_Wage)/(1+Slot8_Rate))),1)</f>
        <v>1</v>
      </c>
      <c r="KK77" s="20" t="n">
        <f aca="false">IF(AND(HU77=1,IE77&gt;0,Slot8_IsWG=1,CP77=1),MAX(0,(Slot8_Cost-CQ77*(1+Slot8_Rate)^(Slot8_Age-D77))/KJ77),0)</f>
        <v>0</v>
      </c>
      <c r="KL77" s="20" t="n">
        <f aca="false">IF(AND(HU77=1,IE77&gt;0,Slot8_IsWG=1,CP77=1),MIN(IE77,KK77),0)</f>
        <v>0</v>
      </c>
      <c r="KM77" s="20" t="n">
        <f aca="false">CQ77+KL77</f>
        <v>0</v>
      </c>
      <c r="KN77" s="20" t="n">
        <f aca="false">IF(CP77=1,MAX(0,(Slot8_Cost-KM77*(1+Slot8_Rate)^(Slot8_Age-D77))/KJ77),0)</f>
        <v>0</v>
      </c>
      <c r="KO77" s="20" t="n">
        <f aca="false">IF(CP77=1,MAX(0,(Slot8_Cost-CQ77*(1+Slot8_Rate)^(Slot8_Age-D77))/KJ77),0)</f>
        <v>0</v>
      </c>
      <c r="KP77" s="20" t="n">
        <f aca="false">IF(AND(HU77=1,CP77=1),MIN(KI77,KN77),0)</f>
        <v>0</v>
      </c>
      <c r="KQ77" s="20" t="n">
        <f aca="false">KI77-KP77</f>
        <v>0</v>
      </c>
      <c r="KR77" s="20" t="n">
        <f aca="false">IF(CZ77=1,IF(ABS((1+AS_Wage)/(1+Slot9_Rate)-1)&lt;0.000000000001,(Slot9_Age-D77)*(1+Slot9_Rate)^(Slot9_Age-D77),(1+Slot9_Rate)^(Slot9_Age-D77)*(1-((1+AS_Wage)/(1+Slot9_Rate))^(Slot9_Age-D77))/(1-(1+AS_Wage)/(1+Slot9_Rate))),1)</f>
        <v>1</v>
      </c>
      <c r="KS77" s="20" t="n">
        <f aca="false">IF(AND(HU77=1,IE77&gt;0,Slot9_IsWG=1,CZ77=1),MAX(0,(Slot9_Cost-DA77*(1+Slot9_Rate)^(Slot9_Age-D77))/KR77),0)</f>
        <v>0</v>
      </c>
      <c r="KT77" s="20" t="n">
        <f aca="false">IF(AND(HU77=1,IE77&gt;0,Slot9_IsWG=1,CZ77=1),MIN(IE77,KS77),0)</f>
        <v>0</v>
      </c>
      <c r="KU77" s="20" t="n">
        <f aca="false">DA77+KT77</f>
        <v>0</v>
      </c>
      <c r="KV77" s="20" t="n">
        <f aca="false">IF(CZ77=1,MAX(0,(Slot9_Cost-KU77*(1+Slot9_Rate)^(Slot9_Age-D77))/KR77),0)</f>
        <v>0</v>
      </c>
      <c r="KW77" s="20" t="n">
        <f aca="false">IF(CZ77=1,MAX(0,(Slot9_Cost-DA77*(1+Slot9_Rate)^(Slot9_Age-D77))/KR77),0)</f>
        <v>0</v>
      </c>
      <c r="KX77" s="20" t="n">
        <f aca="false">IF(AND(HU77=1,CZ77=1),MIN(KQ77,KV77),0)</f>
        <v>0</v>
      </c>
      <c r="KY77" s="20" t="n">
        <f aca="false">KQ77-KX77</f>
        <v>0</v>
      </c>
      <c r="KZ77" s="20" t="n">
        <f aca="false">IF(DJ77=1,IF(ABS((1+AS_Wage)/(1+Slot10_Rate)-1)&lt;0.000000000001,(Slot10_Age-D77)*(1+Slot10_Rate)^(Slot10_Age-D77),(1+Slot10_Rate)^(Slot10_Age-D77)*(1-((1+AS_Wage)/(1+Slot10_Rate))^(Slot10_Age-D77))/(1-(1+AS_Wage)/(1+Slot10_Rate))),1)</f>
        <v>1</v>
      </c>
      <c r="LA77" s="20" t="n">
        <f aca="false">IF(AND(HU77=1,IE77&gt;0,Slot10_IsWG=1,DJ77=1),MAX(0,(Slot10_Cost-DK77*(1+Slot10_Rate)^(Slot10_Age-D77))/KZ77),0)</f>
        <v>0</v>
      </c>
      <c r="LB77" s="20" t="n">
        <f aca="false">IF(AND(HU77=1,IE77&gt;0,Slot10_IsWG=1,DJ77=1),MIN(IE77,LA77),0)</f>
        <v>0</v>
      </c>
      <c r="LC77" s="20" t="n">
        <f aca="false">DK77+LB77</f>
        <v>0</v>
      </c>
      <c r="LD77" s="20" t="n">
        <f aca="false">IF(DJ77=1,MAX(0,(Slot10_Cost-LC77*(1+Slot10_Rate)^(Slot10_Age-D77))/KZ77),0)</f>
        <v>0</v>
      </c>
      <c r="LE77" s="20" t="n">
        <f aca="false">IF(DJ77=1,MAX(0,(Slot10_Cost-DK77*(1+Slot10_Rate)^(Slot10_Age-D77))/KZ77),0)</f>
        <v>0</v>
      </c>
      <c r="LF77" s="20" t="n">
        <f aca="false">IF(AND(HU77=1,DJ77=1),MIN(KY77,LD77),0)</f>
        <v>0</v>
      </c>
      <c r="LG77" s="20" t="n">
        <f aca="false">KY77-LF77</f>
        <v>0</v>
      </c>
      <c r="LH77" s="20" t="n">
        <f aca="false">IF(DT77=1,IF(ABS((1+AS_Wage)/(1+Slot11_Rate)-1)&lt;0.000000000001,(Slot11_Age-D77)*(1+Slot11_Rate)^(Slot11_Age-D77),(1+Slot11_Rate)^(Slot11_Age-D77)*(1-((1+AS_Wage)/(1+Slot11_Rate))^(Slot11_Age-D77))/(1-(1+AS_Wage)/(1+Slot11_Rate))),1)</f>
        <v>1</v>
      </c>
      <c r="LI77" s="20" t="n">
        <f aca="false">IF(AND(HU77=1,IE77&gt;0,Slot11_IsWG=1,DT77=1),MAX(0,(Slot11_Cost-DU77*(1+Slot11_Rate)^(Slot11_Age-D77))/LH77),0)</f>
        <v>0</v>
      </c>
      <c r="LJ77" s="20" t="n">
        <f aca="false">IF(AND(HU77=1,IE77&gt;0,Slot11_IsWG=1,DT77=1),MIN(IE77,LI77),0)</f>
        <v>0</v>
      </c>
      <c r="LK77" s="20" t="n">
        <f aca="false">DU77+LJ77</f>
        <v>0</v>
      </c>
      <c r="LL77" s="20" t="n">
        <f aca="false">IF(DT77=1,MAX(0,(Slot11_Cost-LK77*(1+Slot11_Rate)^(Slot11_Age-D77))/LH77),0)</f>
        <v>0</v>
      </c>
      <c r="LM77" s="20" t="n">
        <f aca="false">IF(DT77=1,MAX(0,(Slot11_Cost-DU77*(1+Slot11_Rate)^(Slot11_Age-D77))/LH77),0)</f>
        <v>0</v>
      </c>
      <c r="LN77" s="20" t="n">
        <f aca="false">IF(AND(HU77=1,DT77=1),MIN(LG77,LL77),0)</f>
        <v>0</v>
      </c>
      <c r="LO77" s="20" t="n">
        <f aca="false">LG77-LN77</f>
        <v>0</v>
      </c>
      <c r="LP77" s="20" t="n">
        <f aca="false">IF(ED77=1,IF(ABS((1+AS_Wage)/(1+Slot12_Rate)-1)&lt;0.000000000001,(Slot12_Age-D77)*(1+Slot12_Rate)^(Slot12_Age-D77),(1+Slot12_Rate)^(Slot12_Age-D77)*(1-((1+AS_Wage)/(1+Slot12_Rate))^(Slot12_Age-D77))/(1-(1+AS_Wage)/(1+Slot12_Rate))),1)</f>
        <v>1</v>
      </c>
      <c r="LQ77" s="20" t="n">
        <f aca="false">IF(AND(HU77=1,IE77&gt;0,Slot12_IsWG=1,ED77=1),MAX(0,(Slot12_Cost-EE77*(1+Slot12_Rate)^(Slot12_Age-D77))/LP77),0)</f>
        <v>0</v>
      </c>
      <c r="LR77" s="20" t="n">
        <f aca="false">IF(AND(HU77=1,IE77&gt;0,Slot12_IsWG=1,ED77=1),MIN(IE77,LQ77),0)</f>
        <v>0</v>
      </c>
      <c r="LS77" s="20" t="n">
        <f aca="false">EE77+LR77</f>
        <v>0</v>
      </c>
      <c r="LT77" s="20" t="n">
        <f aca="false">IF(ED77=1,MAX(0,(Slot12_Cost-LS77*(1+Slot12_Rate)^(Slot12_Age-D77))/LP77),0)</f>
        <v>0</v>
      </c>
      <c r="LU77" s="20" t="n">
        <f aca="false">IF(ED77=1,MAX(0,(Slot12_Cost-EE77*(1+Slot12_Rate)^(Slot12_Age-D77))/LP77),0)</f>
        <v>0</v>
      </c>
      <c r="LV77" s="20" t="n">
        <f aca="false">IF(AND(HU77=1,ED77=1),MIN(LO77,LT77),0)</f>
        <v>0</v>
      </c>
      <c r="LW77" s="20" t="n">
        <f aca="false">LO77-LV77</f>
        <v>0</v>
      </c>
      <c r="LX77" s="20" t="n">
        <f aca="false">IF(EN77=1,IF(ABS((1+AS_Wage)/(1+Slot13_Rate)-1)&lt;0.000000000001,(Slot13_Age-D77)*(1+Slot13_Rate)^(Slot13_Age-D77),(1+Slot13_Rate)^(Slot13_Age-D77)*(1-((1+AS_Wage)/(1+Slot13_Rate))^(Slot13_Age-D77))/(1-(1+AS_Wage)/(1+Slot13_Rate))),1)</f>
        <v>1</v>
      </c>
      <c r="LY77" s="20" t="n">
        <f aca="false">IF(AND(HU77=1,IE77&gt;0,Slot13_IsWG=1,EN77=1),MAX(0,(Slot13_Cost-EO77*(1+Slot13_Rate)^(Slot13_Age-D77))/LX77),0)</f>
        <v>0</v>
      </c>
      <c r="LZ77" s="20" t="n">
        <f aca="false">IF(AND(HU77=1,IE77&gt;0,Slot13_IsWG=1,EN77=1),MIN(IE77,LY77),0)</f>
        <v>0</v>
      </c>
      <c r="MA77" s="20" t="n">
        <f aca="false">EO77+LZ77</f>
        <v>0</v>
      </c>
      <c r="MB77" s="20" t="n">
        <f aca="false">IF(EN77=1,MAX(0,(Slot13_Cost-MA77*(1+Slot13_Rate)^(Slot13_Age-D77))/LX77),0)</f>
        <v>0</v>
      </c>
      <c r="MC77" s="20" t="n">
        <f aca="false">IF(EN77=1,MAX(0,(Slot13_Cost-EO77*(1+Slot13_Rate)^(Slot13_Age-D77))/LX77),0)</f>
        <v>0</v>
      </c>
      <c r="MD77" s="20" t="n">
        <f aca="false">IF(AND(HU77=1,EN77=1),MIN(LW77,MB77),0)</f>
        <v>0</v>
      </c>
      <c r="ME77" s="20" t="n">
        <f aca="false">LW77-MD77</f>
        <v>0</v>
      </c>
      <c r="MF77" s="20" t="n">
        <f aca="false">IF(EX77=1,IF(ABS((1+AS_Wage)/(1+Slot14_Rate)-1)&lt;0.000000000001,(Slot14_Age-D77)*(1+Slot14_Rate)^(Slot14_Age-D77),(1+Slot14_Rate)^(Slot14_Age-D77)*(1-((1+AS_Wage)/(1+Slot14_Rate))^(Slot14_Age-D77))/(1-(1+AS_Wage)/(1+Slot14_Rate))),1)</f>
        <v>1</v>
      </c>
      <c r="MG77" s="20" t="n">
        <f aca="false">IF(AND(HU77=1,IE77&gt;0,Slot14_IsWG=1,EX77=1),MAX(0,(Slot14_Cost-EY77*(1+Slot14_Rate)^(Slot14_Age-D77))/MF77),0)</f>
        <v>0</v>
      </c>
      <c r="MH77" s="20" t="n">
        <f aca="false">IF(AND(HU77=1,IE77&gt;0,Slot14_IsWG=1,EX77=1),MIN(IE77,MG77),0)</f>
        <v>0</v>
      </c>
      <c r="MI77" s="20" t="n">
        <f aca="false">EY77+MH77</f>
        <v>0</v>
      </c>
      <c r="MJ77" s="20" t="n">
        <f aca="false">IF(EX77=1,MAX(0,(Slot14_Cost-MI77*(1+Slot14_Rate)^(Slot14_Age-D77))/MF77),0)</f>
        <v>0</v>
      </c>
      <c r="MK77" s="20" t="n">
        <f aca="false">IF(EX77=1,MAX(0,(Slot14_Cost-EY77*(1+Slot14_Rate)^(Slot14_Age-D77))/MF77),0)</f>
        <v>0</v>
      </c>
      <c r="ML77" s="20" t="n">
        <f aca="false">IF(AND(HU77=1,EX77=1),MIN(ME77,MJ77),0)</f>
        <v>0</v>
      </c>
      <c r="MM77" s="20" t="n">
        <f aca="false">ME77-ML77</f>
        <v>0</v>
      </c>
      <c r="MN77" s="20" t="n">
        <f aca="false">IF(FH77=1,IF(ABS((1+AS_Wage)/(1+Slot15_Rate)-1)&lt;0.000000000001,(Slot15_Age-D77)*(1+Slot15_Rate)^(Slot15_Age-D77),(1+Slot15_Rate)^(Slot15_Age-D77)*(1-((1+AS_Wage)/(1+Slot15_Rate))^(Slot15_Age-D77))/(1-(1+AS_Wage)/(1+Slot15_Rate))),1)</f>
        <v>1</v>
      </c>
      <c r="MO77" s="20" t="n">
        <f aca="false">IF(AND(HU77=1,IE77&gt;0,Slot15_IsWG=1,FH77=1),MAX(0,(Slot15_Cost-FI77*(1+Slot15_Rate)^(Slot15_Age-D77))/MN77),0)</f>
        <v>0</v>
      </c>
      <c r="MP77" s="20" t="n">
        <f aca="false">IF(AND(HU77=1,IE77&gt;0,Slot15_IsWG=1,FH77=1),MIN(IE77,MO77),0)</f>
        <v>0</v>
      </c>
      <c r="MQ77" s="20" t="n">
        <f aca="false">FI77+MP77</f>
        <v>0</v>
      </c>
      <c r="MR77" s="20" t="n">
        <f aca="false">IF(FH77=1,MAX(0,(Slot15_Cost-MQ77*(1+Slot15_Rate)^(Slot15_Age-D77))/MN77),0)</f>
        <v>0</v>
      </c>
      <c r="MS77" s="20" t="n">
        <f aca="false">IF(FH77=1,MAX(0,(Slot15_Cost-FI77*(1+Slot15_Rate)^(Slot15_Age-D77))/MN77),0)</f>
        <v>0</v>
      </c>
      <c r="MT77" s="20" t="n">
        <f aca="false">IF(AND(HU77=1,FH77=1),MIN(MM77,MR77),0)</f>
        <v>0</v>
      </c>
      <c r="MU77" s="20" t="n">
        <f aca="false">MM77-MT77</f>
        <v>0</v>
      </c>
      <c r="MV77" s="20" t="n">
        <f aca="false">IF(FR77=1,IF(ABS((1+AS_Wage)/(1+Slot16_Rate)-1)&lt;0.000000000001,(Slot16_Age-D77)*(1+Slot16_Rate)^(Slot16_Age-D77),(1+Slot16_Rate)^(Slot16_Age-D77)*(1-((1+AS_Wage)/(1+Slot16_Rate))^(Slot16_Age-D77))/(1-(1+AS_Wage)/(1+Slot16_Rate))),1)</f>
        <v>1</v>
      </c>
      <c r="MW77" s="20" t="n">
        <f aca="false">IF(AND(HU77=1,IE77&gt;0,Slot16_IsWG=1,FR77=1),MAX(0,(Slot16_Cost-FS77*(1+Slot16_Rate)^(Slot16_Age-D77))/MV77),0)</f>
        <v>0</v>
      </c>
      <c r="MX77" s="20" t="n">
        <f aca="false">IF(AND(HU77=1,IE77&gt;0,Slot16_IsWG=1,FR77=1),MIN(IE77,MW77),0)</f>
        <v>0</v>
      </c>
      <c r="MY77" s="20" t="n">
        <f aca="false">FS77+MX77</f>
        <v>0</v>
      </c>
      <c r="MZ77" s="20" t="n">
        <f aca="false">IF(FR77=1,MAX(0,(Slot16_Cost-MY77*(1+Slot16_Rate)^(Slot16_Age-D77))/MV77),0)</f>
        <v>0</v>
      </c>
      <c r="NA77" s="20" t="n">
        <f aca="false">IF(FR77=1,MAX(0,(Slot16_Cost-FS77*(1+Slot16_Rate)^(Slot16_Age-D77))/MV77),0)</f>
        <v>0</v>
      </c>
      <c r="NB77" s="20" t="n">
        <f aca="false">IF(AND(HU77=1,FR77=1),MIN(MU77,MZ77),0)</f>
        <v>0</v>
      </c>
      <c r="NC77" s="20" t="n">
        <f aca="false">MU77-NB77</f>
        <v>0</v>
      </c>
      <c r="ND77" s="20" t="n">
        <f aca="false">IF(GB77=1,IF(ABS((1+AS_Wage)/(1+Slot17_Rate)-1)&lt;0.000000000001,(Slot17_Age-D77)*(1+Slot17_Rate)^(Slot17_Age-D77),(1+Slot17_Rate)^(Slot17_Age-D77)*(1-((1+AS_Wage)/(1+Slot17_Rate))^(Slot17_Age-D77))/(1-(1+AS_Wage)/(1+Slot17_Rate))),1)</f>
        <v>1</v>
      </c>
      <c r="NE77" s="20" t="n">
        <f aca="false">IF(AND(HU77=1,IE77&gt;0,Slot17_IsWG=1,GB77=1),MAX(0,(Slot17_Cost-GC77*(1+Slot17_Rate)^(Slot17_Age-D77))/ND77),0)</f>
        <v>0</v>
      </c>
      <c r="NF77" s="20" t="n">
        <f aca="false">IF(AND(HU77=1,IE77&gt;0,Slot17_IsWG=1,GB77=1),MIN(IE77,NE77),0)</f>
        <v>0</v>
      </c>
      <c r="NG77" s="20" t="n">
        <f aca="false">GC77+NF77</f>
        <v>0</v>
      </c>
      <c r="NH77" s="20" t="n">
        <f aca="false">IF(GB77=1,MAX(0,(Slot17_Cost-NG77*(1+Slot17_Rate)^(Slot17_Age-D77))/ND77),0)</f>
        <v>0</v>
      </c>
      <c r="NI77" s="20" t="n">
        <f aca="false">IF(GB77=1,MAX(0,(Slot17_Cost-GC77*(1+Slot17_Rate)^(Slot17_Age-D77))/ND77),0)</f>
        <v>0</v>
      </c>
      <c r="NJ77" s="20" t="n">
        <f aca="false">IF(AND(HU77=1,GB77=1),MIN(NC77,NH77),0)</f>
        <v>0</v>
      </c>
      <c r="NK77" s="20" t="n">
        <f aca="false">NC77-NJ77</f>
        <v>0</v>
      </c>
      <c r="NL77" s="20" t="n">
        <f aca="false">IF(GL77=1,IF(ABS((1+AS_Wage)/(1+Slot18_Rate)-1)&lt;0.000000000001,(Slot18_Age-D77)*(1+Slot18_Rate)^(Slot18_Age-D77),(1+Slot18_Rate)^(Slot18_Age-D77)*(1-((1+AS_Wage)/(1+Slot18_Rate))^(Slot18_Age-D77))/(1-(1+AS_Wage)/(1+Slot18_Rate))),1)</f>
        <v>1</v>
      </c>
      <c r="NM77" s="20" t="n">
        <f aca="false">IF(AND(HU77=1,IE77&gt;0,Slot18_IsWG=1,GL77=1),MAX(0,(Slot18_Cost-GM77*(1+Slot18_Rate)^(Slot18_Age-D77))/NL77),0)</f>
        <v>0</v>
      </c>
      <c r="NN77" s="20" t="n">
        <f aca="false">IF(AND(HU77=1,IE77&gt;0,Slot18_IsWG=1,GL77=1),MIN(IE77,NM77),0)</f>
        <v>0</v>
      </c>
      <c r="NO77" s="20" t="n">
        <f aca="false">GM77+NN77</f>
        <v>0</v>
      </c>
      <c r="NP77" s="20" t="n">
        <f aca="false">IF(GL77=1,MAX(0,(Slot18_Cost-NO77*(1+Slot18_Rate)^(Slot18_Age-D77))/NL77),0)</f>
        <v>0</v>
      </c>
      <c r="NQ77" s="20" t="n">
        <f aca="false">IF(GL77=1,MAX(0,(Slot18_Cost-GM77*(1+Slot18_Rate)^(Slot18_Age-D77))/NL77),0)</f>
        <v>0</v>
      </c>
      <c r="NR77" s="20" t="n">
        <f aca="false">IF(AND(HU77=1,GL77=1),MIN(NK77,NP77),0)</f>
        <v>0</v>
      </c>
      <c r="NS77" s="20" t="n">
        <f aca="false">NK77-NR77</f>
        <v>0</v>
      </c>
      <c r="NT77" s="20" t="n">
        <f aca="false">IF(GV77=1,IF(ABS((1+AS_Wage)/(1+Slot19_Rate)-1)&lt;0.000000000001,(Slot19_Age-D77)*(1+Slot19_Rate)^(Slot19_Age-D77),(1+Slot19_Rate)^(Slot19_Age-D77)*(1-((1+AS_Wage)/(1+Slot19_Rate))^(Slot19_Age-D77))/(1-(1+AS_Wage)/(1+Slot19_Rate))),1)</f>
        <v>1</v>
      </c>
      <c r="NU77" s="20" t="n">
        <f aca="false">IF(AND(HU77=1,IE77&gt;0,Slot19_IsWG=1,GV77=1),MAX(0,(Slot19_Cost-GW77*(1+Slot19_Rate)^(Slot19_Age-D77))/NT77),0)</f>
        <v>0</v>
      </c>
      <c r="NV77" s="20" t="n">
        <f aca="false">IF(AND(HU77=1,IE77&gt;0,Slot19_IsWG=1,GV77=1),MIN(IE77,NU77),0)</f>
        <v>0</v>
      </c>
      <c r="NW77" s="20" t="n">
        <f aca="false">GW77+NV77</f>
        <v>0</v>
      </c>
      <c r="NX77" s="20" t="n">
        <f aca="false">IF(GV77=1,MAX(0,(Slot19_Cost-NW77*(1+Slot19_Rate)^(Slot19_Age-D77))/NT77),0)</f>
        <v>0</v>
      </c>
      <c r="NY77" s="20" t="n">
        <f aca="false">IF(GV77=1,MAX(0,(Slot19_Cost-GW77*(1+Slot19_Rate)^(Slot19_Age-D77))/NT77),0)</f>
        <v>0</v>
      </c>
      <c r="NZ77" s="20" t="n">
        <f aca="false">IF(AND(HU77=1,GV77=1),MIN(NS77,NX77),0)</f>
        <v>0</v>
      </c>
      <c r="OA77" s="20" t="n">
        <f aca="false">NS77-NZ77</f>
        <v>0</v>
      </c>
      <c r="OB77" s="20" t="n">
        <f aca="false">IF(HF77=1,IF(ABS((1+AS_Wage)/(1+Slot20_Rate)-1)&lt;0.000000000001,(Slot20_Age-D77)*(1+Slot20_Rate)^(Slot20_Age-D77),(1+Slot20_Rate)^(Slot20_Age-D77)*(1-((1+AS_Wage)/(1+Slot20_Rate))^(Slot20_Age-D77))/(1-(1+AS_Wage)/(1+Slot20_Rate))),1)</f>
        <v>1</v>
      </c>
      <c r="OC77" s="20" t="n">
        <f aca="false">IF(AND(HU77=1,IE77&gt;0,Slot20_IsWG=1,HF77=1),MAX(0,(Slot20_Cost-HG77*(1+Slot20_Rate)^(Slot20_Age-D77))/OB77),0)</f>
        <v>0</v>
      </c>
      <c r="OD77" s="20" t="n">
        <f aca="false">IF(AND(HU77=1,IE77&gt;0,Slot20_IsWG=1,HF77=1),MIN(IE77,OC77),0)</f>
        <v>0</v>
      </c>
      <c r="OE77" s="20" t="n">
        <f aca="false">HG77+OD77</f>
        <v>0</v>
      </c>
      <c r="OF77" s="20" t="n">
        <f aca="false">IF(HF77=1,MAX(0,(Slot20_Cost-OE77*(1+Slot20_Rate)^(Slot20_Age-D77))/OB77),0)</f>
        <v>0</v>
      </c>
      <c r="OG77" s="20" t="n">
        <f aca="false">IF(HF77=1,MAX(0,(Slot20_Cost-HG77*(1+Slot20_Rate)^(Slot20_Age-D77))/OB77),0)</f>
        <v>0</v>
      </c>
      <c r="OH77" s="20" t="n">
        <f aca="false">IF(AND(HU77=1,HF77=1),MIN(OA77,OF77),0)</f>
        <v>0</v>
      </c>
      <c r="OI77" s="20" t="n">
        <f aca="false">OA77-OH77</f>
        <v>0</v>
      </c>
      <c r="OJ77" s="20" t="n">
        <f aca="false">IE77-(IH77+IP77+IX77+JF77+JN77+JV77+KD77+KL77+KT77+LB77+LJ77+LR77+LZ77+MH77+MP77+MX77+NF77+NN77+NV77+OD77)</f>
        <v>0</v>
      </c>
      <c r="OK77" s="20" t="n">
        <f aca="false">IF(HU77=1,HS77-ID77-IE77,0)</f>
        <v>0</v>
      </c>
      <c r="OL77" s="20" t="n">
        <f aca="false">IF(HU77=0,-HS77,0)</f>
        <v>75542.7146406383</v>
      </c>
      <c r="OM77" s="20" t="n">
        <f aca="false">MIN(OL77,HK77)</f>
        <v>0</v>
      </c>
      <c r="ON77" s="20" t="n">
        <f aca="false">OL77-OM77</f>
        <v>75542.7146406383</v>
      </c>
      <c r="OO77" s="20" t="n">
        <f aca="false">MIN(ON77,HL77)</f>
        <v>0</v>
      </c>
      <c r="OP77" s="20" t="n">
        <f aca="false">ON77-OO77</f>
        <v>75542.7146406383</v>
      </c>
      <c r="OQ77" s="20" t="n">
        <f aca="false">IF(AND(HU77=0,HF77=1,OP77&gt;0),MIN(OP77,HG77),0)</f>
        <v>0</v>
      </c>
      <c r="OR77" s="20" t="n">
        <f aca="false">OP77-OQ77</f>
        <v>75542.7146406383</v>
      </c>
      <c r="OS77" s="20" t="n">
        <f aca="false">IF(AND(HU77=0,GV77=1,OR77&gt;0),MIN(OR77,GW77),0)</f>
        <v>0</v>
      </c>
      <c r="OT77" s="20" t="n">
        <f aca="false">OR77-OS77</f>
        <v>75542.7146406383</v>
      </c>
      <c r="OU77" s="20" t="n">
        <f aca="false">IF(AND(HU77=0,GL77=1,OT77&gt;0),MIN(OT77,GM77),0)</f>
        <v>0</v>
      </c>
      <c r="OV77" s="20" t="n">
        <f aca="false">OT77-OU77</f>
        <v>75542.7146406383</v>
      </c>
      <c r="OW77" s="20" t="n">
        <f aca="false">IF(AND(HU77=0,GB77=1,OV77&gt;0),MIN(OV77,GC77),0)</f>
        <v>0</v>
      </c>
      <c r="OX77" s="20" t="n">
        <f aca="false">OV77-OW77</f>
        <v>75542.7146406383</v>
      </c>
      <c r="OY77" s="20" t="n">
        <f aca="false">IF(AND(HU77=0,FR77=1,OX77&gt;0),MIN(OX77,FS77),0)</f>
        <v>0</v>
      </c>
      <c r="OZ77" s="20" t="n">
        <f aca="false">OX77-OY77</f>
        <v>75542.7146406383</v>
      </c>
      <c r="PA77" s="20" t="n">
        <f aca="false">IF(AND(HU77=0,FH77=1,OZ77&gt;0),MIN(OZ77,FI77),0)</f>
        <v>0</v>
      </c>
      <c r="PB77" s="20" t="n">
        <f aca="false">OZ77-PA77</f>
        <v>75542.7146406383</v>
      </c>
      <c r="PC77" s="20" t="n">
        <f aca="false">IF(AND(HU77=0,EX77=1,PB77&gt;0),MIN(PB77,EY77),0)</f>
        <v>0</v>
      </c>
      <c r="PD77" s="20" t="n">
        <f aca="false">PB77-PC77</f>
        <v>75542.7146406383</v>
      </c>
      <c r="PE77" s="20" t="n">
        <f aca="false">IF(AND(HU77=0,EN77=1,PD77&gt;0),MIN(PD77,EO77),0)</f>
        <v>0</v>
      </c>
      <c r="PF77" s="20" t="n">
        <f aca="false">PD77-PE77</f>
        <v>75542.7146406383</v>
      </c>
      <c r="PG77" s="20" t="n">
        <f aca="false">IF(AND(HU77=0,ED77=1,PF77&gt;0),MIN(PF77,EE77),0)</f>
        <v>0</v>
      </c>
      <c r="PH77" s="20" t="n">
        <f aca="false">PF77-PG77</f>
        <v>75542.7146406383</v>
      </c>
      <c r="PI77" s="20" t="n">
        <f aca="false">IF(AND(HU77=0,DT77=1,PH77&gt;0),MIN(PH77,DU77),0)</f>
        <v>0</v>
      </c>
      <c r="PJ77" s="20" t="n">
        <f aca="false">PH77-PI77</f>
        <v>75542.7146406383</v>
      </c>
      <c r="PK77" s="20" t="n">
        <f aca="false">IF(AND(HU77=0,DJ77=1,PJ77&gt;0),MIN(PJ77,DK77),0)</f>
        <v>0</v>
      </c>
      <c r="PL77" s="20" t="n">
        <f aca="false">PJ77-PK77</f>
        <v>75542.7146406383</v>
      </c>
      <c r="PM77" s="20" t="n">
        <f aca="false">IF(AND(HU77=0,CZ77=1,PL77&gt;0),MIN(PL77,DA77),0)</f>
        <v>0</v>
      </c>
      <c r="PN77" s="20" t="n">
        <f aca="false">PL77-PM77</f>
        <v>75542.7146406383</v>
      </c>
      <c r="PO77" s="20" t="n">
        <f aca="false">IF(AND(HU77=0,CP77=1,PN77&gt;0),MIN(PN77,CQ77),0)</f>
        <v>0</v>
      </c>
      <c r="PP77" s="20" t="n">
        <f aca="false">PN77-PO77</f>
        <v>75542.7146406383</v>
      </c>
      <c r="PQ77" s="20" t="n">
        <f aca="false">IF(AND(HU77=0,CF77=1,PP77&gt;0),MIN(PP77,CG77),0)</f>
        <v>0</v>
      </c>
      <c r="PR77" s="20" t="n">
        <f aca="false">PP77-PQ77</f>
        <v>75542.7146406383</v>
      </c>
      <c r="PS77" s="20" t="n">
        <f aca="false">IF(AND(HU77=0,BV77=1,PR77&gt;0),MIN(PR77,BW77),0)</f>
        <v>0</v>
      </c>
      <c r="PT77" s="20" t="n">
        <f aca="false">PR77-PS77</f>
        <v>75542.7146406383</v>
      </c>
      <c r="PU77" s="20" t="n">
        <f aca="false">IF(AND(HU77=0,BL77=1,PT77&gt;0),MIN(PT77,BM77),0)</f>
        <v>0</v>
      </c>
      <c r="PV77" s="20" t="n">
        <f aca="false">PT77-PU77</f>
        <v>75542.7146406383</v>
      </c>
      <c r="PW77" s="20" t="n">
        <f aca="false">IF(AND(HU77=0,BB77=1,PV77&gt;0),MIN(PV77,BC77),0)</f>
        <v>0</v>
      </c>
      <c r="PX77" s="20" t="n">
        <f aca="false">PV77-PW77</f>
        <v>75542.7146406383</v>
      </c>
      <c r="PY77" s="20" t="n">
        <f aca="false">IF(AND(HU77=0,AR77=1,PX77&gt;0),MIN(PX77,AS77),0)</f>
        <v>0</v>
      </c>
      <c r="PZ77" s="20" t="n">
        <f aca="false">PX77-PY77</f>
        <v>75542.7146406383</v>
      </c>
      <c r="QA77" s="20" t="n">
        <f aca="false">IF(AND(HU77=0,AH77=1,PZ77&gt;0),MIN(PZ77,AI77),0)</f>
        <v>0</v>
      </c>
      <c r="QB77" s="20" t="n">
        <f aca="false">PZ77-QA77</f>
        <v>75542.7146406383</v>
      </c>
      <c r="QC77" s="20" t="n">
        <f aca="false">IF(AND(HU77=0,W77=1,QB77&gt;0),MIN(QB77,X77),0)</f>
        <v>0</v>
      </c>
      <c r="QD77" s="20" t="n">
        <f aca="false">QB77-QC77</f>
        <v>75542.7146406383</v>
      </c>
      <c r="QE77" s="20" t="n">
        <f aca="false">IF(HU77=0,QD77,0)</f>
        <v>75542.7146406383</v>
      </c>
      <c r="QF77" s="20" t="n">
        <f aca="false">OM77+OO77+QC77+QA77+PY77+PW77+PU77+PS77+PQ77+PO77+PM77+PK77+PI77+PG77+PE77+PC77+PA77+OY77+OW77+OU77+OS77+OQ77</f>
        <v>0</v>
      </c>
      <c r="QG77" s="20" t="n">
        <f aca="false">IF(HU77=1,HK77+OJ77+OI77+IF(G77=1,0,OK77),HK77-OM77)</f>
        <v>0</v>
      </c>
      <c r="QH77" s="20" t="n">
        <f aca="false">HL77-OO77</f>
        <v>0</v>
      </c>
      <c r="QI77" s="20" t="n">
        <f aca="false">IF(HU77=1,IF(G77=1,ID77+IE77,HS77),0)</f>
        <v>0</v>
      </c>
      <c r="QJ77" s="20" t="n">
        <f aca="false">IF(HU77=1,IF(G77=1,HS77-ID77-IE77,0),0)</f>
        <v>0</v>
      </c>
      <c r="QK77" s="57" t="n">
        <f aca="false">'Plan holdings'!BM77</f>
        <v>0</v>
      </c>
      <c r="QL77" s="20" t="n">
        <f aca="false">QH77*(1+AS_Cash)</f>
        <v>0</v>
      </c>
      <c r="QM77" s="20" t="n">
        <f aca="false">IF(W77=1,IF(HU77=1,II77+IL77,X77-QC77)*(1+Slot1_Rate),0)</f>
        <v>0</v>
      </c>
      <c r="QN77" s="20" t="n">
        <f aca="false">IF(AND(HU77=1,W77=1),(IH77+IL77)/F77,0)</f>
        <v>0</v>
      </c>
      <c r="QO77" s="20" t="n">
        <f aca="false">IF(B77=0,IH77+IL77,0)</f>
        <v>0</v>
      </c>
      <c r="QP77" s="20" t="n">
        <f aca="false">IF(B77=0,IF(HU77=1,IJ77,IK77),0)</f>
        <v>0</v>
      </c>
      <c r="QQ77" s="20" t="n">
        <f aca="false">IF(AH77=1,IF(HU77=1,IQ77+IT77,AI77-QA77)*(1+Slot2_Rate),0)</f>
        <v>0</v>
      </c>
      <c r="QR77" s="20" t="n">
        <f aca="false">IF(AND(HU77=1,AH77=1),(IP77+IT77)/F77,0)</f>
        <v>0</v>
      </c>
      <c r="QS77" s="20" t="n">
        <f aca="false">IF(B77=0,IP77+IT77,0)</f>
        <v>0</v>
      </c>
      <c r="QT77" s="20" t="n">
        <f aca="false">IF(B77=0,IF(HU77=1,IR77,IS77),0)</f>
        <v>0</v>
      </c>
      <c r="QU77" s="20" t="n">
        <f aca="false">IF(AR77=1,IF(HU77=1,IY77+JB77,AS77-PY77)*(1+Slot3_Rate),0)</f>
        <v>0</v>
      </c>
      <c r="QV77" s="20" t="n">
        <f aca="false">IF(AND(HU77=1,AR77=1),(IX77+JB77)/F77,0)</f>
        <v>0</v>
      </c>
      <c r="QW77" s="20" t="n">
        <f aca="false">IF(B77=0,IX77+JB77,0)</f>
        <v>0</v>
      </c>
      <c r="QX77" s="20" t="n">
        <f aca="false">IF(B77=0,IF(HU77=1,IZ77,JA77),0)</f>
        <v>0</v>
      </c>
      <c r="QY77" s="20" t="n">
        <f aca="false">IF(BB77=1,IF(HU77=1,JG77+JJ77,BC77-PW77)*(1+Slot4_Rate),0)</f>
        <v>0</v>
      </c>
      <c r="QZ77" s="20" t="n">
        <f aca="false">IF(AND(HU77=1,BB77=1),(JF77+JJ77)/F77,0)</f>
        <v>0</v>
      </c>
      <c r="RA77" s="20" t="n">
        <f aca="false">IF(B77=0,JF77+JJ77,0)</f>
        <v>0</v>
      </c>
      <c r="RB77" s="20" t="n">
        <f aca="false">IF(B77=0,IF(HU77=1,JH77,JI77),0)</f>
        <v>0</v>
      </c>
      <c r="RC77" s="20" t="n">
        <f aca="false">IF(BL77=1,IF(HU77=1,JO77+JR77,BM77-PU77)*(1+Slot5_Rate),0)</f>
        <v>0</v>
      </c>
      <c r="RD77" s="20" t="n">
        <f aca="false">IF(AND(HU77=1,BL77=1),(JN77+JR77)/F77,0)</f>
        <v>0</v>
      </c>
      <c r="RE77" s="20" t="n">
        <f aca="false">IF(B77=0,JN77+JR77,0)</f>
        <v>0</v>
      </c>
      <c r="RF77" s="20" t="n">
        <f aca="false">IF(B77=0,IF(HU77=1,JP77,JQ77),0)</f>
        <v>0</v>
      </c>
      <c r="RG77" s="20" t="n">
        <f aca="false">IF(BV77=1,IF(HU77=1,JW77+JZ77,BW77-PS77)*(1+Slot6_Rate),0)</f>
        <v>0</v>
      </c>
      <c r="RH77" s="20" t="n">
        <f aca="false">IF(AND(HU77=1,BV77=1),(JV77+JZ77)/F77,0)</f>
        <v>0</v>
      </c>
      <c r="RI77" s="20" t="n">
        <f aca="false">IF(B77=0,JV77+JZ77,0)</f>
        <v>0</v>
      </c>
      <c r="RJ77" s="20" t="n">
        <f aca="false">IF(B77=0,IF(HU77=1,JX77,JY77),0)</f>
        <v>0</v>
      </c>
      <c r="RK77" s="20" t="n">
        <f aca="false">IF(CF77=1,IF(HU77=1,KE77+KH77,CG77-PQ77)*(1+Slot7_Rate),0)</f>
        <v>0</v>
      </c>
      <c r="RL77" s="20" t="n">
        <f aca="false">IF(AND(HU77=1,CF77=1),(KD77+KH77)/F77,0)</f>
        <v>0</v>
      </c>
      <c r="RM77" s="20" t="n">
        <f aca="false">IF(B77=0,KD77+KH77,0)</f>
        <v>0</v>
      </c>
      <c r="RN77" s="20" t="n">
        <f aca="false">IF(B77=0,IF(HU77=1,KF77,KG77),0)</f>
        <v>0</v>
      </c>
      <c r="RO77" s="20" t="n">
        <f aca="false">IF(CP77=1,IF(HU77=1,KM77+KP77,CQ77-PO77)*(1+Slot8_Rate),0)</f>
        <v>0</v>
      </c>
      <c r="RP77" s="20" t="n">
        <f aca="false">IF(AND(HU77=1,CP77=1),(KL77+KP77)/F77,0)</f>
        <v>0</v>
      </c>
      <c r="RQ77" s="20" t="n">
        <f aca="false">IF(B77=0,KL77+KP77,0)</f>
        <v>0</v>
      </c>
      <c r="RR77" s="20" t="n">
        <f aca="false">IF(B77=0,IF(HU77=1,KN77,KO77),0)</f>
        <v>0</v>
      </c>
      <c r="RS77" s="20" t="n">
        <f aca="false">IF(CZ77=1,IF(HU77=1,KU77+KX77,DA77-PM77)*(1+Slot9_Rate),0)</f>
        <v>0</v>
      </c>
      <c r="RT77" s="20" t="n">
        <f aca="false">IF(AND(HU77=1,CZ77=1),(KT77+KX77)/F77,0)</f>
        <v>0</v>
      </c>
      <c r="RU77" s="20" t="n">
        <f aca="false">IF(B77=0,KT77+KX77,0)</f>
        <v>0</v>
      </c>
      <c r="RV77" s="20" t="n">
        <f aca="false">IF(B77=0,IF(HU77=1,KV77,KW77),0)</f>
        <v>0</v>
      </c>
      <c r="RW77" s="20" t="n">
        <f aca="false">IF(DJ77=1,IF(HU77=1,LC77+LF77,DK77-PK77)*(1+Slot10_Rate),0)</f>
        <v>0</v>
      </c>
      <c r="RX77" s="20" t="n">
        <f aca="false">IF(AND(HU77=1,DJ77=1),(LB77+LF77)/F77,0)</f>
        <v>0</v>
      </c>
      <c r="RY77" s="20" t="n">
        <f aca="false">IF(B77=0,LB77+LF77,0)</f>
        <v>0</v>
      </c>
      <c r="RZ77" s="20" t="n">
        <f aca="false">IF(B77=0,IF(HU77=1,LD77,LE77),0)</f>
        <v>0</v>
      </c>
      <c r="SA77" s="20" t="n">
        <f aca="false">IF(DT77=1,IF(HU77=1,LK77+LN77,DU77-PI77)*(1+Slot11_Rate),0)</f>
        <v>0</v>
      </c>
      <c r="SB77" s="20" t="n">
        <f aca="false">IF(AND(HU77=1,DT77=1),(LJ77+LN77)/F77,0)</f>
        <v>0</v>
      </c>
      <c r="SC77" s="20" t="n">
        <f aca="false">IF(B77=0,LJ77+LN77,0)</f>
        <v>0</v>
      </c>
      <c r="SD77" s="20" t="n">
        <f aca="false">IF(B77=0,IF(HU77=1,LL77,LM77),0)</f>
        <v>0</v>
      </c>
      <c r="SE77" s="20" t="n">
        <f aca="false">IF(ED77=1,IF(HU77=1,LS77+LV77,EE77-PG77)*(1+Slot12_Rate),0)</f>
        <v>0</v>
      </c>
      <c r="SF77" s="20" t="n">
        <f aca="false">IF(AND(HU77=1,ED77=1),(LR77+LV77)/F77,0)</f>
        <v>0</v>
      </c>
      <c r="SG77" s="20" t="n">
        <f aca="false">IF(B77=0,LR77+LV77,0)</f>
        <v>0</v>
      </c>
      <c r="SH77" s="20" t="n">
        <f aca="false">IF(B77=0,IF(HU77=1,LT77,LU77),0)</f>
        <v>0</v>
      </c>
      <c r="SI77" s="20" t="n">
        <f aca="false">IF(EN77=1,IF(HU77=1,MA77+MD77,EO77-PE77)*(1+Slot13_Rate),0)</f>
        <v>0</v>
      </c>
      <c r="SJ77" s="20" t="n">
        <f aca="false">IF(AND(HU77=1,EN77=1),(LZ77+MD77)/F77,0)</f>
        <v>0</v>
      </c>
      <c r="SK77" s="20" t="n">
        <f aca="false">IF(B77=0,LZ77+MD77,0)</f>
        <v>0</v>
      </c>
      <c r="SL77" s="20" t="n">
        <f aca="false">IF(B77=0,IF(HU77=1,MB77,MC77),0)</f>
        <v>0</v>
      </c>
      <c r="SM77" s="20" t="n">
        <f aca="false">IF(EX77=1,IF(HU77=1,MI77+ML77,EY77-PC77)*(1+Slot14_Rate),0)</f>
        <v>0</v>
      </c>
      <c r="SN77" s="20" t="n">
        <f aca="false">IF(AND(HU77=1,EX77=1),(MH77+ML77)/F77,0)</f>
        <v>0</v>
      </c>
      <c r="SO77" s="20" t="n">
        <f aca="false">IF(B77=0,MH77+ML77,0)</f>
        <v>0</v>
      </c>
      <c r="SP77" s="20" t="n">
        <f aca="false">IF(B77=0,IF(HU77=1,MJ77,MK77),0)</f>
        <v>0</v>
      </c>
      <c r="SQ77" s="20" t="n">
        <f aca="false">IF(FH77=1,IF(HU77=1,MQ77+MT77,FI77-PA77)*(1+Slot15_Rate),0)</f>
        <v>0</v>
      </c>
      <c r="SR77" s="20" t="n">
        <f aca="false">IF(AND(HU77=1,FH77=1),(MP77+MT77)/F77,0)</f>
        <v>0</v>
      </c>
      <c r="SS77" s="20" t="n">
        <f aca="false">IF(B77=0,MP77+MT77,0)</f>
        <v>0</v>
      </c>
      <c r="ST77" s="20" t="n">
        <f aca="false">IF(B77=0,IF(HU77=1,MR77,MS77),0)</f>
        <v>0</v>
      </c>
      <c r="SU77" s="20" t="n">
        <f aca="false">IF(FR77=1,IF(HU77=1,MY77+NB77,FS77-OY77)*(1+Slot16_Rate),0)</f>
        <v>0</v>
      </c>
      <c r="SV77" s="20" t="n">
        <f aca="false">IF(AND(HU77=1,FR77=1),(MX77+NB77)/F77,0)</f>
        <v>0</v>
      </c>
      <c r="SW77" s="20" t="n">
        <f aca="false">IF(B77=0,MX77+NB77,0)</f>
        <v>0</v>
      </c>
      <c r="SX77" s="20" t="n">
        <f aca="false">IF(B77=0,IF(HU77=1,MZ77,NA77),0)</f>
        <v>0</v>
      </c>
      <c r="SY77" s="20" t="n">
        <f aca="false">IF(GB77=1,IF(HU77=1,NG77+NJ77,GC77-OW77)*(1+Slot17_Rate),0)</f>
        <v>0</v>
      </c>
      <c r="SZ77" s="20" t="n">
        <f aca="false">IF(AND(HU77=1,GB77=1),(NF77+NJ77)/F77,0)</f>
        <v>0</v>
      </c>
      <c r="TA77" s="20" t="n">
        <f aca="false">IF(B77=0,NF77+NJ77,0)</f>
        <v>0</v>
      </c>
      <c r="TB77" s="20" t="n">
        <f aca="false">IF(B77=0,IF(HU77=1,NH77,NI77),0)</f>
        <v>0</v>
      </c>
      <c r="TC77" s="20" t="n">
        <f aca="false">IF(GL77=1,IF(HU77=1,NO77+NR77,GM77-OU77)*(1+Slot18_Rate),0)</f>
        <v>0</v>
      </c>
      <c r="TD77" s="20" t="n">
        <f aca="false">IF(AND(HU77=1,GL77=1),(NN77+NR77)/F77,0)</f>
        <v>0</v>
      </c>
      <c r="TE77" s="20" t="n">
        <f aca="false">IF(B77=0,NN77+NR77,0)</f>
        <v>0</v>
      </c>
      <c r="TF77" s="20" t="n">
        <f aca="false">IF(B77=0,IF(HU77=1,NP77,NQ77),0)</f>
        <v>0</v>
      </c>
      <c r="TG77" s="20" t="n">
        <f aca="false">IF(GV77=1,IF(HU77=1,NW77+NZ77,GW77-OS77)*(1+Slot19_Rate),0)</f>
        <v>0</v>
      </c>
      <c r="TH77" s="20" t="n">
        <f aca="false">IF(AND(HU77=1,GV77=1),(NV77+NZ77)/F77,0)</f>
        <v>0</v>
      </c>
      <c r="TI77" s="20" t="n">
        <f aca="false">IF(B77=0,NV77+NZ77,0)</f>
        <v>0</v>
      </c>
      <c r="TJ77" s="20" t="n">
        <f aca="false">IF(B77=0,IF(HU77=1,NX77,NY77),0)</f>
        <v>0</v>
      </c>
      <c r="TK77" s="20" t="n">
        <f aca="false">IF(HF77=1,IF(HU77=1,OE77+OH77,HG77-OQ77)*(1+Slot20_Rate),0)</f>
        <v>0</v>
      </c>
      <c r="TL77" s="20" t="n">
        <f aca="false">IF(AND(HU77=1,HF77=1),(OD77+OH77)/F77,0)</f>
        <v>0</v>
      </c>
      <c r="TM77" s="20" t="n">
        <f aca="false">IF(B77=0,OD77+OH77,0)</f>
        <v>0</v>
      </c>
      <c r="TN77" s="20" t="n">
        <f aca="false">IF(B77=0,IF(HU77=1,OF77,OG77),0)</f>
        <v>0</v>
      </c>
      <c r="TO77" s="20" t="n">
        <f aca="false">QK77+QL77+QM77+QQ77+QU77+QY77+RC77+RG77+RK77+RO77+RS77+RW77+SA77+SE77+SI77+SM77+SQ77+SU77+SY77+TC77+TG77+TK77</f>
        <v>0</v>
      </c>
      <c r="TP77" s="20" t="n">
        <f aca="false">QE77+HP77</f>
        <v>75542.7146406383</v>
      </c>
      <c r="TQ77" s="20" t="n">
        <f aca="false">I77+S77</f>
        <v>187430.277502113</v>
      </c>
      <c r="TR77" s="20" t="n">
        <f aca="false">1-G77</f>
        <v>1</v>
      </c>
      <c r="TS77" s="20" t="n">
        <f aca="false">IF(AND(RG_Exists=1,G77=0,C77=1),I77,0)</f>
        <v>0</v>
      </c>
      <c r="TT77" s="20" t="n">
        <f aca="false">IF(AND(RG_Exists=1,G77=0,C77=1),I77-MIN(QE77,I77),0)</f>
        <v>0</v>
      </c>
      <c r="TU77" s="20" t="n">
        <f aca="false">'Plan pay &amp; tax'!AD303</f>
        <v>0</v>
      </c>
      <c r="TV77" s="20" t="n">
        <f aca="false">IF(AND(C77=1,QE77&gt;MAX(PR_Short1,TQ77*PR_Short2)),1,0)</f>
        <v>0</v>
      </c>
      <c r="TW77" s="20" t="n">
        <f aca="false">MIN(H77,I77+S77)</f>
        <v>111887.562861475</v>
      </c>
      <c r="TX77" s="20" t="n">
        <f aca="false">QF77+MAX(0,HQ77-HP77)</f>
        <v>0</v>
      </c>
      <c r="TY77" s="20" t="n">
        <f aca="false">QE77+HP77</f>
        <v>75542.7146406383</v>
      </c>
      <c r="TZ77" s="20" t="n">
        <f aca="false">IF(AND(C77=1,TY77&gt;PR_MinShort),1,0)</f>
        <v>0</v>
      </c>
      <c r="UA77" s="20" t="n">
        <f aca="false">IF(AND(C77=1,TZ77=0,TX77&gt;PR_MinShort),1,0)</f>
        <v>0</v>
      </c>
      <c r="UB77" s="20" t="n">
        <f aca="false">IF(AND(C77=1,QE77&gt;PR_MinShort),1,0)</f>
        <v>0</v>
      </c>
      <c r="UC77" s="20" t="n">
        <f aca="false">IF(AND(C77=1,QF77&gt;1,UJ77=0),1,0)</f>
        <v>0</v>
      </c>
      <c r="UD77" s="20" t="str">
        <f aca="false">IF(C77=0,"",IF(UJ77=1,"Gap to plan for: short "&amp;"€"&amp;TEXT(ROUND(TP77,0),"#,##0"),IF(QF77&gt;1,"Using savings","Comfortable")))</f>
        <v/>
      </c>
      <c r="UE77" s="20" t="n">
        <f aca="false">IF(AND(INT(D77/10)*10=90,B77&gt;0),80,INT(D77/10)*10)</f>
        <v>100</v>
      </c>
      <c r="UF77" s="20" t="n">
        <f aca="false">IF(B77=0,1,IF(UE77&lt;&gt;UE76,UF76+1,UF76))</f>
        <v>7</v>
      </c>
      <c r="UG77" s="20" t="n">
        <f aca="false">IF(AND(C77=1,G77=1,QE77&gt;MAX(PR_Short1,TQ77*PR_Short2)),1,0)</f>
        <v>0</v>
      </c>
      <c r="UH77" s="20" t="n">
        <f aca="false">TR77*TV77</f>
        <v>0</v>
      </c>
      <c r="UI77" s="20" t="n">
        <f aca="false">IF(AND(V77=1,Slot1_PctLow=1),1,0)+IF(AND(AG77=1,Slot2_PctLow=1),1,0)+IF(AND(AQ77=1,Slot3_PctLow=1),1,0)+IF(AND(BA77=1,Slot4_PctLow=1),1,0)+IF(AND(BK77=1,Slot5_PctLow=1),1,0)+IF(AND(BU77=1,Slot6_PctLow=1),1,0)+IF(AND(CE77=1,Slot7_PctLow=1),1,0)+IF(AND(CO77=1,Slot8_PctLow=1),1,0)+IF(AND(CY77=1,Slot9_PctLow=1),1,0)+IF(AND(DI77=1,Slot10_PctLow=1),1,0)+IF(AND(DS77=1,Slot11_PctLow=1),1,0)+IF(AND(EC77=1,Slot12_PctLow=1),1,0)+IF(AND(EM77=1,Slot13_PctLow=1),1,0)+IF(AND(EW77=1,Slot14_PctLow=1),1,0)+IF(AND(FG77=1,Slot15_PctLow=1),1,0)+IF(AND(FQ77=1,Slot16_PctLow=1),1,0)+IF(AND(GA77=1,Slot17_PctLow=1),1,0)+IF(AND(GK77=1,Slot18_PctLow=1),1,0)+IF(AND(GU77=1,Slot19_PctLow=1),1,0)+IF(AND(HE77=1,Slot20_PctLow=1),1,0)</f>
        <v>0</v>
      </c>
      <c r="UJ77" s="20" t="n">
        <f aca="false">IF(C77=1,IF(OR(TV77=1,UI77&gt;0),1,0),0)</f>
        <v>0</v>
      </c>
      <c r="UK77" s="20" t="n">
        <f aca="false">Z77+AK77+AU77+BE77+BO77+BY77+CI77+CS77+DC77+DM77+DW77+EG77+EQ77+FA77+FK77+FU77+GE77+GO77+GY77+HI77+OM77</f>
        <v>0</v>
      </c>
      <c r="UL77" s="20" t="n">
        <f aca="false">V77*IF(Slot1_SpendLike=1,X77-Y77,IF(Slot1_PotFree=1,X77,0))+AG77*IF(Slot2_SpendLike=1,AI77-AJ77,IF(Slot2_PotFree=1,AI77,0))+AQ77*IF(Slot3_SpendLike=1,AS77-AT77,IF(Slot3_PotFree=1,AS77,0))+BA77*IF(Slot4_SpendLike=1,BC77-BD77,IF(Slot4_PotFree=1,BC77,0))+BK77*IF(Slot5_SpendLike=1,BM77-BN77,IF(Slot5_PotFree=1,BM77,0))+BU77*IF(Slot6_SpendLike=1,BW77-BX77,IF(Slot6_PotFree=1,BW77,0))+CE77*IF(Slot7_SpendLike=1,CG77-CH77,IF(Slot7_PotFree=1,CG77,0))+CO77*IF(Slot8_SpendLike=1,CQ77-CR77,IF(Slot8_PotFree=1,CQ77,0))+CY77*IF(Slot9_SpendLike=1,DA77-DB77,IF(Slot9_PotFree=1,DA77,0))+DI77*IF(Slot10_SpendLike=1,DK77-DL77,IF(Slot10_PotFree=1,DK77,0))+DS77*IF(Slot11_SpendLike=1,DU77-DV77,IF(Slot11_PotFree=1,DU77,0))+EC77*IF(Slot12_SpendLike=1,EE77-EF77,IF(Slot12_PotFree=1,EE77,0))+EM77*IF(Slot13_SpendLike=1,EO77-EP77,IF(Slot13_PotFree=1,EO77,0))+EW77*IF(Slot14_SpendLike=1,EY77-EZ77,IF(Slot14_PotFree=1,EY77,0))+FG77*IF(Slot15_SpendLike=1,FI77-FJ77,IF(Slot15_PotFree=1,FI77,0))+FQ77*IF(Slot16_SpendLike=1,FS77-FT77,IF(Slot16_PotFree=1,FS77,0))+GA77*IF(Slot17_SpendLike=1,GC77-GD77,IF(Slot17_PotFree=1,GC77,0))+GK77*IF(Slot18_SpendLike=1,GM77-GN77,IF(Slot18_PotFree=1,GM77,0))+GU77*IF(Slot19_SpendLike=1,GW77-GX77,IF(Slot19_PotFree=1,GW77,0))+HE77*IF(Slot20_SpendLike=1,HG77-HH77,IF(Slot20_PotFree=1,HG77,0))</f>
        <v>0</v>
      </c>
      <c r="UM77" s="20" t="n">
        <f aca="false">QG77-T77+UK77-UL77</f>
        <v>0</v>
      </c>
      <c r="UN77" s="20" t="n">
        <f aca="false">IF(OR(UN76=1,AND(In_homeUse="Yes, I'd downsize",In_downAge&gt;0,D77=In_downAge,OR(In_home="Own outright",In_home="Own with mortgage"),In_homeValue&gt;0)),1,0)</f>
        <v>0</v>
      </c>
    </row>
    <row r="78" customFormat="false" ht="15" hidden="false" customHeight="true" outlineLevel="0" collapsed="false">
      <c r="B78" s="20" t="n">
        <v>70</v>
      </c>
      <c r="C78" s="20" t="n">
        <f aca="false">IF(B78&lt;=F_N,1,0)</f>
        <v>0</v>
      </c>
      <c r="D78" s="20" t="n">
        <f aca="false">'Plan pay &amp; tax'!C304</f>
        <v>108</v>
      </c>
      <c r="E78" s="20" t="str">
        <f aca="false">IF($C78=1,"Income tax "&amp;TEXT(N('Plan pay &amp; tax'!BK304),"#,##0")&amp;"; USC "&amp;TEXT(N('Plan pay &amp; tax'!BM304)+N('Plan pay &amp; tax'!BO304),"#,##0")&amp;"; PRSI "&amp;TEXT(N('Plan pay &amp; tax'!BP304)+N('Plan pay &amp; tax'!BQ304),"#,##0")&amp;IF(N('Plan holdings'!BO78)&gt;=0.5,"; DIRT "&amp;TEXT(('Plan holdings'!BO78)/$F78,"#,##0")&amp;" (already taken from the interest earned)","")&amp;IF(N('Plan holdings'!BP78)&gt;=0.5,"; exit tax at an 8-year anniversary "&amp;TEXT(('Plan holdings'!BP78)/$F78,"#,##0"),"")&amp;IF(N('Plan holdings'!BN78)&gt;=0.5,"; tax on assets sold (exit tax or capital gains tax) "&amp;TEXT(('Plan holdings'!BN78)/$F78,"#,##0"),"")&amp;IF(N('Plan pay &amp; tax'!X304)-N('Plan pay &amp; tax'!Y304)&gt;=0.5,"; tax on the pension lump sum "&amp;TEXT(('Plan pay &amp; tax'!X304-'Plan pay &amp; tax'!Y304)/$F78,"#,##0"),"")&amp;IF(N('Plan pay &amp; tax'!V304)&gt;=0.5,"; chargeable excess tax on the pension "&amp;TEXT(('Plan pay &amp; tax'!V304)/$F78,"#,##0"),"")&amp;".","")</f>
        <v/>
      </c>
      <c r="F78" s="50" t="n">
        <f aca="false">'Plan pay &amp; tax'!E304</f>
        <v>3.99955822284844</v>
      </c>
      <c r="G78" s="20" t="n">
        <f aca="false">'Plan pay &amp; tax'!G304</f>
        <v>0</v>
      </c>
      <c r="H78" s="20" t="n">
        <f aca="false">'Plan pay &amp; tax'!BT304-'Plan pay &amp; tax'!BS304-'Plan pay &amp; tax'!R304</f>
        <v>114125.314118704</v>
      </c>
      <c r="I78" s="20" t="n">
        <f aca="false">IF(G78=1,F_CostsM*12,IF(RG_Exists=1,RG_Amount,F_CostsM*12*AS_RetireSpend))*F78+F_OneOffY*F78</f>
        <v>191178.883052155</v>
      </c>
      <c r="J78" s="20" t="n">
        <f aca="false">IF(UN78=1,0,HR77)</f>
        <v>0</v>
      </c>
      <c r="K78" s="20" t="n">
        <f aca="false">IF(J78&gt;1,'Plan debt months'!AC78,0)</f>
        <v>0</v>
      </c>
      <c r="L78" s="20" t="n">
        <f aca="false">IF(J78&gt;1,'Plan debt months'!AB78,J78)</f>
        <v>0</v>
      </c>
      <c r="M78" s="20" t="n">
        <f aca="false">O77</f>
        <v>0</v>
      </c>
      <c r="N78" s="20" t="n">
        <f aca="false">IF(M78&gt;1,'Plan debt months'!BD78,0)</f>
        <v>0</v>
      </c>
      <c r="O78" s="20" t="n">
        <f aca="false">IF(M78&gt;1,'Plan debt months'!BC78,M78)</f>
        <v>0</v>
      </c>
      <c r="P78" s="20" t="n">
        <f aca="false">R77</f>
        <v>0</v>
      </c>
      <c r="Q78" s="20" t="n">
        <f aca="false">IF(P78&gt;1,'Plan debt months'!CE78,0)</f>
        <v>0</v>
      </c>
      <c r="R78" s="20" t="n">
        <f aca="false">IF(P78&gt;1,'Plan debt months'!CD78,P78)</f>
        <v>0</v>
      </c>
      <c r="S78" s="20" t="n">
        <f aca="false">K78+N78+Q78</f>
        <v>0</v>
      </c>
      <c r="T78" s="57" t="n">
        <f aca="false">'Plan holdings'!Y78</f>
        <v>0</v>
      </c>
      <c r="U78" s="57" t="n">
        <f aca="false">'Plan holdings'!BM77</f>
        <v>0</v>
      </c>
      <c r="V78" s="20" t="n">
        <f aca="false">IF(AND(Slot1_On=1,D78=Slot1_Age),1,0)</f>
        <v>0</v>
      </c>
      <c r="W78" s="20" t="n">
        <f aca="false">IF(AND(Slot1_On=1,Slot1_Age&gt;D78),1,0)</f>
        <v>0</v>
      </c>
      <c r="X78" s="20" t="n">
        <f aca="false">QM77</f>
        <v>0</v>
      </c>
      <c r="Y78" s="20" t="n">
        <f aca="false">V78*MIN(Slot1_Cost,X78)</f>
        <v>0</v>
      </c>
      <c r="Z78" s="20" t="n">
        <f aca="false">V78*Slot1_SpendLike*MIN(Slot1_Cost-Y78,T78)</f>
        <v>0</v>
      </c>
      <c r="AA78" s="20" t="n">
        <f aca="false">Y78+Z78</f>
        <v>0</v>
      </c>
      <c r="AB78" s="20" t="n">
        <f aca="false">T78-Z78+V78*IF(Slot1_SpendLike=1,X78-Y78,IF(Slot1_PotFree=1,X78,0))</f>
        <v>0</v>
      </c>
      <c r="AC78" s="20" t="n">
        <f aca="false">AF78+V78*Slot1_BufPot*X78</f>
        <v>0</v>
      </c>
      <c r="AD78" s="20" t="n">
        <f aca="false">IF(AND(V78=1,Slot1_IsMfree=1),IF(AA78&gt;=Slot1_Cost-1,0,MAX(0,L78-AA78)),L78)</f>
        <v>0</v>
      </c>
      <c r="AE78" s="20" t="n">
        <f aca="false">V78*(Slot1_Cost-AA78)</f>
        <v>0</v>
      </c>
      <c r="AF78" s="20" t="n">
        <f aca="false">QL77</f>
        <v>0</v>
      </c>
      <c r="AG78" s="20" t="n">
        <f aca="false">IF(AND(Slot2_On=1,D78=Slot2_Age),1,0)</f>
        <v>0</v>
      </c>
      <c r="AH78" s="20" t="n">
        <f aca="false">IF(AND(Slot2_On=1,Slot2_Age&gt;D78),1,0)</f>
        <v>0</v>
      </c>
      <c r="AI78" s="20" t="n">
        <f aca="false">QQ77</f>
        <v>0</v>
      </c>
      <c r="AJ78" s="20" t="n">
        <f aca="false">AG78*MIN(Slot2_Cost,AI78)</f>
        <v>0</v>
      </c>
      <c r="AK78" s="20" t="n">
        <f aca="false">AG78*Slot2_SpendLike*MIN(Slot2_Cost-AJ78,AB78)</f>
        <v>0</v>
      </c>
      <c r="AL78" s="20" t="n">
        <f aca="false">AJ78+AK78</f>
        <v>0</v>
      </c>
      <c r="AM78" s="20" t="n">
        <f aca="false">AB78-AK78+AG78*IF(Slot2_SpendLike=1,AI78-AJ78,IF(Slot2_PotFree=1,AI78,0))</f>
        <v>0</v>
      </c>
      <c r="AN78" s="20" t="n">
        <f aca="false">AC78+AG78*Slot2_BufPot*AI78</f>
        <v>0</v>
      </c>
      <c r="AO78" s="20" t="n">
        <f aca="false">IF(AND(AG78=1,Slot2_IsMfree=1),IF(AL78&gt;=Slot2_Cost-1,0,MAX(0,AD78-AL78)),AD78)</f>
        <v>0</v>
      </c>
      <c r="AP78" s="20" t="n">
        <f aca="false">AG78*(Slot2_Cost-AL78)</f>
        <v>0</v>
      </c>
      <c r="AQ78" s="20" t="n">
        <f aca="false">IF(AND(Slot3_On=1,D78=Slot3_Age),1,0)</f>
        <v>0</v>
      </c>
      <c r="AR78" s="20" t="n">
        <f aca="false">IF(AND(Slot3_On=1,Slot3_Age&gt;D78),1,0)</f>
        <v>0</v>
      </c>
      <c r="AS78" s="20" t="n">
        <f aca="false">QU77</f>
        <v>0</v>
      </c>
      <c r="AT78" s="20" t="n">
        <f aca="false">AQ78*MIN(Slot3_Cost,AS78)</f>
        <v>0</v>
      </c>
      <c r="AU78" s="20" t="n">
        <f aca="false">AQ78*Slot3_SpendLike*MIN(Slot3_Cost-AT78,AM78)</f>
        <v>0</v>
      </c>
      <c r="AV78" s="20" t="n">
        <f aca="false">AT78+AU78</f>
        <v>0</v>
      </c>
      <c r="AW78" s="20" t="n">
        <f aca="false">AM78-AU78+AQ78*IF(Slot3_SpendLike=1,AS78-AT78,IF(Slot3_PotFree=1,AS78,0))</f>
        <v>0</v>
      </c>
      <c r="AX78" s="20" t="n">
        <f aca="false">AN78+AQ78*Slot3_BufPot*AS78</f>
        <v>0</v>
      </c>
      <c r="AY78" s="20" t="n">
        <f aca="false">IF(AND(AQ78=1,Slot3_IsMfree=1),IF(AV78&gt;=Slot3_Cost-1,0,MAX(0,AO78-AV78)),AO78)</f>
        <v>0</v>
      </c>
      <c r="AZ78" s="20" t="n">
        <f aca="false">AQ78*(Slot3_Cost-AV78)</f>
        <v>0</v>
      </c>
      <c r="BA78" s="20" t="n">
        <f aca="false">IF(AND(Slot4_On=1,D78=Slot4_Age),1,0)</f>
        <v>0</v>
      </c>
      <c r="BB78" s="20" t="n">
        <f aca="false">IF(AND(Slot4_On=1,Slot4_Age&gt;D78),1,0)</f>
        <v>0</v>
      </c>
      <c r="BC78" s="20" t="n">
        <f aca="false">QY77</f>
        <v>0</v>
      </c>
      <c r="BD78" s="20" t="n">
        <f aca="false">BA78*MIN(Slot4_Cost,BC78)</f>
        <v>0</v>
      </c>
      <c r="BE78" s="20" t="n">
        <f aca="false">BA78*Slot4_SpendLike*MIN(Slot4_Cost-BD78,AW78)</f>
        <v>0</v>
      </c>
      <c r="BF78" s="20" t="n">
        <f aca="false">BD78+BE78</f>
        <v>0</v>
      </c>
      <c r="BG78" s="20" t="n">
        <f aca="false">AW78-BE78+BA78*IF(Slot4_SpendLike=1,BC78-BD78,IF(Slot4_PotFree=1,BC78,0))</f>
        <v>0</v>
      </c>
      <c r="BH78" s="20" t="n">
        <f aca="false">AX78+BA78*Slot4_BufPot*BC78</f>
        <v>0</v>
      </c>
      <c r="BI78" s="20" t="n">
        <f aca="false">IF(AND(BA78=1,Slot4_IsMfree=1),IF(BF78&gt;=Slot4_Cost-1,0,MAX(0,AY78-BF78)),AY78)</f>
        <v>0</v>
      </c>
      <c r="BJ78" s="20" t="n">
        <f aca="false">BA78*(Slot4_Cost-BF78)</f>
        <v>0</v>
      </c>
      <c r="BK78" s="20" t="n">
        <f aca="false">IF(AND(Slot5_On=1,D78=Slot5_Age),1,0)</f>
        <v>0</v>
      </c>
      <c r="BL78" s="20" t="n">
        <f aca="false">IF(AND(Slot5_On=1,Slot5_Age&gt;D78),1,0)</f>
        <v>0</v>
      </c>
      <c r="BM78" s="20" t="n">
        <f aca="false">RC77</f>
        <v>0</v>
      </c>
      <c r="BN78" s="20" t="n">
        <f aca="false">BK78*MIN(Slot5_Cost,BM78)</f>
        <v>0</v>
      </c>
      <c r="BO78" s="20" t="n">
        <f aca="false">BK78*Slot5_SpendLike*MIN(Slot5_Cost-BN78,BG78)</f>
        <v>0</v>
      </c>
      <c r="BP78" s="20" t="n">
        <f aca="false">BN78+BO78</f>
        <v>0</v>
      </c>
      <c r="BQ78" s="20" t="n">
        <f aca="false">BG78-BO78+BK78*IF(Slot5_SpendLike=1,BM78-BN78,IF(Slot5_PotFree=1,BM78,0))</f>
        <v>0</v>
      </c>
      <c r="BR78" s="20" t="n">
        <f aca="false">BH78+BK78*Slot5_BufPot*BM78</f>
        <v>0</v>
      </c>
      <c r="BS78" s="20" t="n">
        <f aca="false">IF(AND(BK78=1,Slot5_IsMfree=1),IF(BP78&gt;=Slot5_Cost-1,0,MAX(0,BI78-BP78)),BI78)</f>
        <v>0</v>
      </c>
      <c r="BT78" s="20" t="n">
        <f aca="false">BK78*(Slot5_Cost-BP78)</f>
        <v>0</v>
      </c>
      <c r="BU78" s="20" t="n">
        <f aca="false">IF(AND(Slot6_On=1,D78=Slot6_Age),1,0)</f>
        <v>0</v>
      </c>
      <c r="BV78" s="20" t="n">
        <f aca="false">IF(AND(Slot6_On=1,Slot6_Age&gt;D78),1,0)</f>
        <v>0</v>
      </c>
      <c r="BW78" s="20" t="n">
        <f aca="false">RG77</f>
        <v>0</v>
      </c>
      <c r="BX78" s="20" t="n">
        <f aca="false">BU78*MIN(Slot6_Cost,BW78)</f>
        <v>0</v>
      </c>
      <c r="BY78" s="20" t="n">
        <f aca="false">BU78*Slot6_SpendLike*MIN(Slot6_Cost-BX78,BQ78)</f>
        <v>0</v>
      </c>
      <c r="BZ78" s="20" t="n">
        <f aca="false">BX78+BY78</f>
        <v>0</v>
      </c>
      <c r="CA78" s="20" t="n">
        <f aca="false">BQ78-BY78+BU78*IF(Slot6_SpendLike=1,BW78-BX78,IF(Slot6_PotFree=1,BW78,0))</f>
        <v>0</v>
      </c>
      <c r="CB78" s="20" t="n">
        <f aca="false">BR78+BU78*Slot6_BufPot*BW78</f>
        <v>0</v>
      </c>
      <c r="CC78" s="20" t="n">
        <f aca="false">IF(AND(BU78=1,Slot6_IsMfree=1),IF(BZ78&gt;=Slot6_Cost-1,0,MAX(0,BS78-BZ78)),BS78)</f>
        <v>0</v>
      </c>
      <c r="CD78" s="20" t="n">
        <f aca="false">BU78*(Slot6_Cost-BZ78)</f>
        <v>0</v>
      </c>
      <c r="CE78" s="20" t="n">
        <f aca="false">IF(AND(Slot7_On=1,D78=Slot7_Age),1,0)</f>
        <v>0</v>
      </c>
      <c r="CF78" s="20" t="n">
        <f aca="false">IF(AND(Slot7_On=1,Slot7_Age&gt;D78),1,0)</f>
        <v>0</v>
      </c>
      <c r="CG78" s="20" t="n">
        <f aca="false">RK77</f>
        <v>0</v>
      </c>
      <c r="CH78" s="20" t="n">
        <f aca="false">CE78*MIN(Slot7_Cost,CG78)</f>
        <v>0</v>
      </c>
      <c r="CI78" s="20" t="n">
        <f aca="false">CE78*Slot7_SpendLike*MIN(Slot7_Cost-CH78,CA78)</f>
        <v>0</v>
      </c>
      <c r="CJ78" s="20" t="n">
        <f aca="false">CH78+CI78</f>
        <v>0</v>
      </c>
      <c r="CK78" s="20" t="n">
        <f aca="false">CA78-CI78+CE78*IF(Slot7_SpendLike=1,CG78-CH78,IF(Slot7_PotFree=1,CG78,0))</f>
        <v>0</v>
      </c>
      <c r="CL78" s="20" t="n">
        <f aca="false">CB78+CE78*Slot7_BufPot*CG78</f>
        <v>0</v>
      </c>
      <c r="CM78" s="20" t="n">
        <f aca="false">IF(AND(CE78=1,Slot7_IsMfree=1),IF(CJ78&gt;=Slot7_Cost-1,0,MAX(0,CC78-CJ78)),CC78)</f>
        <v>0</v>
      </c>
      <c r="CN78" s="20" t="n">
        <f aca="false">CE78*(Slot7_Cost-CJ78)</f>
        <v>0</v>
      </c>
      <c r="CO78" s="20" t="n">
        <f aca="false">IF(AND(Slot8_On=1,D78=Slot8_Age),1,0)</f>
        <v>0</v>
      </c>
      <c r="CP78" s="20" t="n">
        <f aca="false">IF(AND(Slot8_On=1,Slot8_Age&gt;D78),1,0)</f>
        <v>0</v>
      </c>
      <c r="CQ78" s="20" t="n">
        <f aca="false">RO77</f>
        <v>0</v>
      </c>
      <c r="CR78" s="20" t="n">
        <f aca="false">CO78*MIN(Slot8_Cost,CQ78)</f>
        <v>0</v>
      </c>
      <c r="CS78" s="20" t="n">
        <f aca="false">CO78*Slot8_SpendLike*MIN(Slot8_Cost-CR78,CK78)</f>
        <v>0</v>
      </c>
      <c r="CT78" s="20" t="n">
        <f aca="false">CR78+CS78</f>
        <v>0</v>
      </c>
      <c r="CU78" s="20" t="n">
        <f aca="false">CK78-CS78+CO78*IF(Slot8_SpendLike=1,CQ78-CR78,IF(Slot8_PotFree=1,CQ78,0))</f>
        <v>0</v>
      </c>
      <c r="CV78" s="20" t="n">
        <f aca="false">CL78+CO78*Slot8_BufPot*CQ78</f>
        <v>0</v>
      </c>
      <c r="CW78" s="20" t="n">
        <f aca="false">IF(AND(CO78=1,Slot8_IsMfree=1),IF(CT78&gt;=Slot8_Cost-1,0,MAX(0,CM78-CT78)),CM78)</f>
        <v>0</v>
      </c>
      <c r="CX78" s="20" t="n">
        <f aca="false">CO78*(Slot8_Cost-CT78)</f>
        <v>0</v>
      </c>
      <c r="CY78" s="20" t="n">
        <f aca="false">IF(AND(Slot9_On=1,D78=Slot9_Age),1,0)</f>
        <v>0</v>
      </c>
      <c r="CZ78" s="20" t="n">
        <f aca="false">IF(AND(Slot9_On=1,Slot9_Age&gt;D78),1,0)</f>
        <v>0</v>
      </c>
      <c r="DA78" s="20" t="n">
        <f aca="false">RS77</f>
        <v>0</v>
      </c>
      <c r="DB78" s="20" t="n">
        <f aca="false">CY78*MIN(Slot9_Cost,DA78)</f>
        <v>0</v>
      </c>
      <c r="DC78" s="20" t="n">
        <f aca="false">CY78*Slot9_SpendLike*MIN(Slot9_Cost-DB78,CU78)</f>
        <v>0</v>
      </c>
      <c r="DD78" s="20" t="n">
        <f aca="false">DB78+DC78</f>
        <v>0</v>
      </c>
      <c r="DE78" s="20" t="n">
        <f aca="false">CU78-DC78+CY78*IF(Slot9_SpendLike=1,DA78-DB78,IF(Slot9_PotFree=1,DA78,0))</f>
        <v>0</v>
      </c>
      <c r="DF78" s="20" t="n">
        <f aca="false">CV78+CY78*Slot9_BufPot*DA78</f>
        <v>0</v>
      </c>
      <c r="DG78" s="20" t="n">
        <f aca="false">IF(AND(CY78=1,Slot9_IsMfree=1),IF(DD78&gt;=Slot9_Cost-1,0,MAX(0,CW78-DD78)),CW78)</f>
        <v>0</v>
      </c>
      <c r="DH78" s="20" t="n">
        <f aca="false">CY78*(Slot9_Cost-DD78)</f>
        <v>0</v>
      </c>
      <c r="DI78" s="20" t="n">
        <f aca="false">IF(AND(Slot10_On=1,D78=Slot10_Age),1,0)</f>
        <v>0</v>
      </c>
      <c r="DJ78" s="20" t="n">
        <f aca="false">IF(AND(Slot10_On=1,Slot10_Age&gt;D78),1,0)</f>
        <v>0</v>
      </c>
      <c r="DK78" s="20" t="n">
        <f aca="false">RW77</f>
        <v>0</v>
      </c>
      <c r="DL78" s="20" t="n">
        <f aca="false">DI78*MIN(Slot10_Cost,DK78)</f>
        <v>0</v>
      </c>
      <c r="DM78" s="20" t="n">
        <f aca="false">DI78*Slot10_SpendLike*MIN(Slot10_Cost-DL78,DE78)</f>
        <v>0</v>
      </c>
      <c r="DN78" s="20" t="n">
        <f aca="false">DL78+DM78</f>
        <v>0</v>
      </c>
      <c r="DO78" s="20" t="n">
        <f aca="false">DE78-DM78+DI78*IF(Slot10_SpendLike=1,DK78-DL78,IF(Slot10_PotFree=1,DK78,0))</f>
        <v>0</v>
      </c>
      <c r="DP78" s="20" t="n">
        <f aca="false">DF78+DI78*Slot10_BufPot*DK78</f>
        <v>0</v>
      </c>
      <c r="DQ78" s="20" t="n">
        <f aca="false">IF(AND(DI78=1,Slot10_IsMfree=1),IF(DN78&gt;=Slot10_Cost-1,0,MAX(0,DG78-DN78)),DG78)</f>
        <v>0</v>
      </c>
      <c r="DR78" s="20" t="n">
        <f aca="false">DI78*(Slot10_Cost-DN78)</f>
        <v>0</v>
      </c>
      <c r="DS78" s="20" t="n">
        <f aca="false">IF(AND(Slot11_On=1,D78=Slot11_Age),1,0)</f>
        <v>0</v>
      </c>
      <c r="DT78" s="20" t="n">
        <f aca="false">IF(AND(Slot11_On=1,Slot11_Age&gt;D78),1,0)</f>
        <v>0</v>
      </c>
      <c r="DU78" s="20" t="n">
        <f aca="false">SA77</f>
        <v>0</v>
      </c>
      <c r="DV78" s="20" t="n">
        <f aca="false">DS78*MIN(Slot11_Cost,DU78)</f>
        <v>0</v>
      </c>
      <c r="DW78" s="20" t="n">
        <f aca="false">DS78*Slot11_SpendLike*MIN(Slot11_Cost-DV78,DO78)</f>
        <v>0</v>
      </c>
      <c r="DX78" s="20" t="n">
        <f aca="false">DV78+DW78</f>
        <v>0</v>
      </c>
      <c r="DY78" s="20" t="n">
        <f aca="false">DO78-DW78+DS78*IF(Slot11_SpendLike=1,DU78-DV78,IF(Slot11_PotFree=1,DU78,0))</f>
        <v>0</v>
      </c>
      <c r="DZ78" s="20" t="n">
        <f aca="false">DP78+DS78*Slot11_BufPot*DU78</f>
        <v>0</v>
      </c>
      <c r="EA78" s="20" t="n">
        <f aca="false">IF(AND(DS78=1,Slot11_IsMfree=1),IF(DX78&gt;=Slot11_Cost-1,0,MAX(0,DQ78-DX78)),DQ78)</f>
        <v>0</v>
      </c>
      <c r="EB78" s="20" t="n">
        <f aca="false">DS78*(Slot11_Cost-DX78)</f>
        <v>0</v>
      </c>
      <c r="EC78" s="20" t="n">
        <f aca="false">IF(AND(Slot12_On=1,D78=Slot12_Age),1,0)</f>
        <v>0</v>
      </c>
      <c r="ED78" s="20" t="n">
        <f aca="false">IF(AND(Slot12_On=1,Slot12_Age&gt;D78),1,0)</f>
        <v>0</v>
      </c>
      <c r="EE78" s="20" t="n">
        <f aca="false">SE77</f>
        <v>0</v>
      </c>
      <c r="EF78" s="20" t="n">
        <f aca="false">EC78*MIN(Slot12_Cost,EE78)</f>
        <v>0</v>
      </c>
      <c r="EG78" s="20" t="n">
        <f aca="false">EC78*Slot12_SpendLike*MIN(Slot12_Cost-EF78,DY78)</f>
        <v>0</v>
      </c>
      <c r="EH78" s="20" t="n">
        <f aca="false">EF78+EG78</f>
        <v>0</v>
      </c>
      <c r="EI78" s="20" t="n">
        <f aca="false">DY78-EG78+EC78*IF(Slot12_SpendLike=1,EE78-EF78,IF(Slot12_PotFree=1,EE78,0))</f>
        <v>0</v>
      </c>
      <c r="EJ78" s="20" t="n">
        <f aca="false">DZ78+EC78*Slot12_BufPot*EE78</f>
        <v>0</v>
      </c>
      <c r="EK78" s="20" t="n">
        <f aca="false">IF(AND(EC78=1,Slot12_IsMfree=1),IF(EH78&gt;=Slot12_Cost-1,0,MAX(0,EA78-EH78)),EA78)</f>
        <v>0</v>
      </c>
      <c r="EL78" s="20" t="n">
        <f aca="false">EC78*(Slot12_Cost-EH78)</f>
        <v>0</v>
      </c>
      <c r="EM78" s="20" t="n">
        <f aca="false">IF(AND(Slot13_On=1,D78=Slot13_Age),1,0)</f>
        <v>0</v>
      </c>
      <c r="EN78" s="20" t="n">
        <f aca="false">IF(AND(Slot13_On=1,Slot13_Age&gt;D78),1,0)</f>
        <v>0</v>
      </c>
      <c r="EO78" s="20" t="n">
        <f aca="false">SI77</f>
        <v>0</v>
      </c>
      <c r="EP78" s="20" t="n">
        <f aca="false">EM78*MIN(Slot13_Cost,EO78)</f>
        <v>0</v>
      </c>
      <c r="EQ78" s="20" t="n">
        <f aca="false">EM78*Slot13_SpendLike*MIN(Slot13_Cost-EP78,EI78)</f>
        <v>0</v>
      </c>
      <c r="ER78" s="20" t="n">
        <f aca="false">EP78+EQ78</f>
        <v>0</v>
      </c>
      <c r="ES78" s="20" t="n">
        <f aca="false">EI78-EQ78+EM78*IF(Slot13_SpendLike=1,EO78-EP78,IF(Slot13_PotFree=1,EO78,0))</f>
        <v>0</v>
      </c>
      <c r="ET78" s="20" t="n">
        <f aca="false">EJ78+EM78*Slot13_BufPot*EO78</f>
        <v>0</v>
      </c>
      <c r="EU78" s="20" t="n">
        <f aca="false">IF(AND(EM78=1,Slot13_IsMfree=1),IF(ER78&gt;=Slot13_Cost-1,0,MAX(0,EK78-ER78)),EK78)</f>
        <v>0</v>
      </c>
      <c r="EV78" s="20" t="n">
        <f aca="false">EM78*(Slot13_Cost-ER78)</f>
        <v>0</v>
      </c>
      <c r="EW78" s="20" t="n">
        <f aca="false">IF(AND(Slot14_On=1,D78=Slot14_Age),1,0)</f>
        <v>0</v>
      </c>
      <c r="EX78" s="20" t="n">
        <f aca="false">IF(AND(Slot14_On=1,Slot14_Age&gt;D78),1,0)</f>
        <v>0</v>
      </c>
      <c r="EY78" s="20" t="n">
        <f aca="false">SM77</f>
        <v>0</v>
      </c>
      <c r="EZ78" s="20" t="n">
        <f aca="false">EW78*MIN(Slot14_Cost,EY78)</f>
        <v>0</v>
      </c>
      <c r="FA78" s="20" t="n">
        <f aca="false">EW78*Slot14_SpendLike*MIN(Slot14_Cost-EZ78,ES78)</f>
        <v>0</v>
      </c>
      <c r="FB78" s="20" t="n">
        <f aca="false">EZ78+FA78</f>
        <v>0</v>
      </c>
      <c r="FC78" s="20" t="n">
        <f aca="false">ES78-FA78+EW78*IF(Slot14_SpendLike=1,EY78-EZ78,IF(Slot14_PotFree=1,EY78,0))</f>
        <v>0</v>
      </c>
      <c r="FD78" s="20" t="n">
        <f aca="false">ET78+EW78*Slot14_BufPot*EY78</f>
        <v>0</v>
      </c>
      <c r="FE78" s="20" t="n">
        <f aca="false">IF(AND(EW78=1,Slot14_IsMfree=1),IF(FB78&gt;=Slot14_Cost-1,0,MAX(0,EU78-FB78)),EU78)</f>
        <v>0</v>
      </c>
      <c r="FF78" s="20" t="n">
        <f aca="false">EW78*(Slot14_Cost-FB78)</f>
        <v>0</v>
      </c>
      <c r="FG78" s="20" t="n">
        <f aca="false">IF(AND(Slot15_On=1,D78=Slot15_Age),1,0)</f>
        <v>0</v>
      </c>
      <c r="FH78" s="20" t="n">
        <f aca="false">IF(AND(Slot15_On=1,Slot15_Age&gt;D78),1,0)</f>
        <v>0</v>
      </c>
      <c r="FI78" s="20" t="n">
        <f aca="false">SQ77</f>
        <v>0</v>
      </c>
      <c r="FJ78" s="20" t="n">
        <f aca="false">FG78*MIN(Slot15_Cost,FI78)</f>
        <v>0</v>
      </c>
      <c r="FK78" s="20" t="n">
        <f aca="false">FG78*Slot15_SpendLike*MIN(Slot15_Cost-FJ78,FC78)</f>
        <v>0</v>
      </c>
      <c r="FL78" s="20" t="n">
        <f aca="false">FJ78+FK78</f>
        <v>0</v>
      </c>
      <c r="FM78" s="20" t="n">
        <f aca="false">FC78-FK78+FG78*IF(Slot15_SpendLike=1,FI78-FJ78,IF(Slot15_PotFree=1,FI78,0))</f>
        <v>0</v>
      </c>
      <c r="FN78" s="20" t="n">
        <f aca="false">FD78+FG78*Slot15_BufPot*FI78</f>
        <v>0</v>
      </c>
      <c r="FO78" s="20" t="n">
        <f aca="false">IF(AND(FG78=1,Slot15_IsMfree=1),IF(FL78&gt;=Slot15_Cost-1,0,MAX(0,FE78-FL78)),FE78)</f>
        <v>0</v>
      </c>
      <c r="FP78" s="20" t="n">
        <f aca="false">FG78*(Slot15_Cost-FL78)</f>
        <v>0</v>
      </c>
      <c r="FQ78" s="20" t="n">
        <f aca="false">IF(AND(Slot16_On=1,D78=Slot16_Age),1,0)</f>
        <v>0</v>
      </c>
      <c r="FR78" s="20" t="n">
        <f aca="false">IF(AND(Slot16_On=1,Slot16_Age&gt;D78),1,0)</f>
        <v>0</v>
      </c>
      <c r="FS78" s="20" t="n">
        <f aca="false">SU77</f>
        <v>0</v>
      </c>
      <c r="FT78" s="20" t="n">
        <f aca="false">FQ78*MIN(Slot16_Cost,FS78)</f>
        <v>0</v>
      </c>
      <c r="FU78" s="20" t="n">
        <f aca="false">FQ78*Slot16_SpendLike*MIN(Slot16_Cost-FT78,FM78)</f>
        <v>0</v>
      </c>
      <c r="FV78" s="20" t="n">
        <f aca="false">FT78+FU78</f>
        <v>0</v>
      </c>
      <c r="FW78" s="20" t="n">
        <f aca="false">FM78-FU78+FQ78*IF(Slot16_SpendLike=1,FS78-FT78,IF(Slot16_PotFree=1,FS78,0))</f>
        <v>0</v>
      </c>
      <c r="FX78" s="20" t="n">
        <f aca="false">FN78+FQ78*Slot16_BufPot*FS78</f>
        <v>0</v>
      </c>
      <c r="FY78" s="20" t="n">
        <f aca="false">IF(AND(FQ78=1,Slot16_IsMfree=1),IF(FV78&gt;=Slot16_Cost-1,0,MAX(0,FO78-FV78)),FO78)</f>
        <v>0</v>
      </c>
      <c r="FZ78" s="20" t="n">
        <f aca="false">FQ78*(Slot16_Cost-FV78)</f>
        <v>0</v>
      </c>
      <c r="GA78" s="20" t="n">
        <f aca="false">IF(AND(Slot17_On=1,D78=Slot17_Age),1,0)</f>
        <v>0</v>
      </c>
      <c r="GB78" s="20" t="n">
        <f aca="false">IF(AND(Slot17_On=1,Slot17_Age&gt;D78),1,0)</f>
        <v>0</v>
      </c>
      <c r="GC78" s="20" t="n">
        <f aca="false">SY77</f>
        <v>0</v>
      </c>
      <c r="GD78" s="20" t="n">
        <f aca="false">GA78*MIN(Slot17_Cost,GC78)</f>
        <v>0</v>
      </c>
      <c r="GE78" s="20" t="n">
        <f aca="false">GA78*Slot17_SpendLike*MIN(Slot17_Cost-GD78,FW78)</f>
        <v>0</v>
      </c>
      <c r="GF78" s="20" t="n">
        <f aca="false">GD78+GE78</f>
        <v>0</v>
      </c>
      <c r="GG78" s="20" t="n">
        <f aca="false">FW78-GE78+GA78*IF(Slot17_SpendLike=1,GC78-GD78,IF(Slot17_PotFree=1,GC78,0))</f>
        <v>0</v>
      </c>
      <c r="GH78" s="20" t="n">
        <f aca="false">FX78+GA78*Slot17_BufPot*GC78</f>
        <v>0</v>
      </c>
      <c r="GI78" s="20" t="n">
        <f aca="false">IF(AND(GA78=1,Slot17_IsMfree=1),IF(GF78&gt;=Slot17_Cost-1,0,MAX(0,FY78-GF78)),FY78)</f>
        <v>0</v>
      </c>
      <c r="GJ78" s="20" t="n">
        <f aca="false">GA78*(Slot17_Cost-GF78)</f>
        <v>0</v>
      </c>
      <c r="GK78" s="20" t="n">
        <f aca="false">IF(AND(Slot18_On=1,D78=Slot18_Age),1,0)</f>
        <v>0</v>
      </c>
      <c r="GL78" s="20" t="n">
        <f aca="false">IF(AND(Slot18_On=1,Slot18_Age&gt;D78),1,0)</f>
        <v>0</v>
      </c>
      <c r="GM78" s="20" t="n">
        <f aca="false">TC77</f>
        <v>0</v>
      </c>
      <c r="GN78" s="20" t="n">
        <f aca="false">GK78*MIN(Slot18_Cost,GM78)</f>
        <v>0</v>
      </c>
      <c r="GO78" s="20" t="n">
        <f aca="false">GK78*Slot18_SpendLike*MIN(Slot18_Cost-GN78,GG78)</f>
        <v>0</v>
      </c>
      <c r="GP78" s="20" t="n">
        <f aca="false">GN78+GO78</f>
        <v>0</v>
      </c>
      <c r="GQ78" s="20" t="n">
        <f aca="false">GG78-GO78+GK78*IF(Slot18_SpendLike=1,GM78-GN78,IF(Slot18_PotFree=1,GM78,0))</f>
        <v>0</v>
      </c>
      <c r="GR78" s="20" t="n">
        <f aca="false">GH78+GK78*Slot18_BufPot*GM78</f>
        <v>0</v>
      </c>
      <c r="GS78" s="20" t="n">
        <f aca="false">IF(AND(GK78=1,Slot18_IsMfree=1),IF(GP78&gt;=Slot18_Cost-1,0,MAX(0,GI78-GP78)),GI78)</f>
        <v>0</v>
      </c>
      <c r="GT78" s="20" t="n">
        <f aca="false">GK78*(Slot18_Cost-GP78)</f>
        <v>0</v>
      </c>
      <c r="GU78" s="20" t="n">
        <f aca="false">IF(AND(Slot19_On=1,D78=Slot19_Age),1,0)</f>
        <v>0</v>
      </c>
      <c r="GV78" s="20" t="n">
        <f aca="false">IF(AND(Slot19_On=1,Slot19_Age&gt;D78),1,0)</f>
        <v>0</v>
      </c>
      <c r="GW78" s="20" t="n">
        <f aca="false">TG77</f>
        <v>0</v>
      </c>
      <c r="GX78" s="20" t="n">
        <f aca="false">GU78*MIN(Slot19_Cost,GW78)</f>
        <v>0</v>
      </c>
      <c r="GY78" s="20" t="n">
        <f aca="false">GU78*Slot19_SpendLike*MIN(Slot19_Cost-GX78,GQ78)</f>
        <v>0</v>
      </c>
      <c r="GZ78" s="20" t="n">
        <f aca="false">GX78+GY78</f>
        <v>0</v>
      </c>
      <c r="HA78" s="20" t="n">
        <f aca="false">GQ78-GY78+GU78*IF(Slot19_SpendLike=1,GW78-GX78,IF(Slot19_PotFree=1,GW78,0))</f>
        <v>0</v>
      </c>
      <c r="HB78" s="20" t="n">
        <f aca="false">GR78+GU78*Slot19_BufPot*GW78</f>
        <v>0</v>
      </c>
      <c r="HC78" s="20" t="n">
        <f aca="false">IF(AND(GU78=1,Slot19_IsMfree=1),IF(GZ78&gt;=Slot19_Cost-1,0,MAX(0,GS78-GZ78)),GS78)</f>
        <v>0</v>
      </c>
      <c r="HD78" s="20" t="n">
        <f aca="false">GU78*(Slot19_Cost-GZ78)</f>
        <v>0</v>
      </c>
      <c r="HE78" s="20" t="n">
        <f aca="false">IF(AND(Slot20_On=1,D78=Slot20_Age),1,0)</f>
        <v>0</v>
      </c>
      <c r="HF78" s="20" t="n">
        <f aca="false">IF(AND(Slot20_On=1,Slot20_Age&gt;D78),1,0)</f>
        <v>0</v>
      </c>
      <c r="HG78" s="20" t="n">
        <f aca="false">TK77</f>
        <v>0</v>
      </c>
      <c r="HH78" s="20" t="n">
        <f aca="false">HE78*MIN(Slot20_Cost,HG78)</f>
        <v>0</v>
      </c>
      <c r="HI78" s="20" t="n">
        <f aca="false">HE78*Slot20_SpendLike*MIN(Slot20_Cost-HH78,HA78)</f>
        <v>0</v>
      </c>
      <c r="HJ78" s="20" t="n">
        <f aca="false">HH78+HI78</f>
        <v>0</v>
      </c>
      <c r="HK78" s="20" t="n">
        <f aca="false">HA78-HI78+HE78*IF(Slot20_SpendLike=1,HG78-HH78,IF(Slot20_PotFree=1,HG78,0))</f>
        <v>0</v>
      </c>
      <c r="HL78" s="20" t="n">
        <f aca="false">HB78+HE78*Slot20_BufPot*HG78</f>
        <v>0</v>
      </c>
      <c r="HM78" s="20" t="n">
        <f aca="false">IF(AND(HE78=1,Slot20_IsMfree=1),IF(HJ78&gt;=Slot20_Cost-1,0,MAX(0,HC78-HJ78)),HC78)</f>
        <v>0</v>
      </c>
      <c r="HN78" s="20" t="n">
        <f aca="false">HE78*(Slot20_Cost-HJ78)</f>
        <v>0</v>
      </c>
      <c r="HO78" s="20" t="n">
        <f aca="false">V78*Slot1_SpendLike*AA78+AG78*Slot2_SpendLike*AL78+AQ78*Slot3_SpendLike*AV78+BA78*Slot4_SpendLike*BF78+BK78*Slot5_SpendLike*BP78+BU78*Slot6_SpendLike*BZ78+CE78*Slot7_SpendLike*CJ78+CO78*Slot8_SpendLike*CT78+CY78*Slot9_SpendLike*DD78+DI78*Slot10_SpendLike*DN78+DS78*Slot11_SpendLike*DX78+EC78*Slot12_SpendLike*EH78+EM78*Slot13_SpendLike*ER78+EW78*Slot14_SpendLike*FB78+FG78*Slot15_SpendLike*FL78+FQ78*Slot16_SpendLike*FV78+GA78*Slot17_SpendLike*GF78+GK78*Slot18_SpendLike*GP78+GU78*Slot19_SpendLike*GZ78+HE78*Slot20_SpendLike*HJ78</f>
        <v>0</v>
      </c>
      <c r="HP78" s="20" t="n">
        <f aca="false">AE78+AP78+AZ78+BJ78+BT78+CD78+CN78+CX78+DH78+DR78+EB78+EL78+EV78+FF78+FP78+FZ78+GJ78+GT78+HD78+HN78</f>
        <v>0</v>
      </c>
      <c r="HQ78" s="20" t="n">
        <f aca="false">V78*Slot1_Cost+AG78*Slot2_Cost+AQ78*Slot3_Cost+BA78*Slot4_Cost+BK78*Slot5_Cost+BU78*Slot6_Cost+CE78*Slot7_Cost+CO78*Slot8_Cost+CY78*Slot9_Cost+DI78*Slot10_Cost+DS78*Slot11_Cost+EC78*Slot12_Cost+EM78*Slot13_Cost+EW78*Slot14_Cost+FG78*Slot15_Cost+FQ78*Slot16_Cost+GA78*Slot17_Cost+GK78*Slot18_Cost+GU78*Slot19_Cost+HE78*Slot20_Cost</f>
        <v>0</v>
      </c>
      <c r="HR78" s="20" t="n">
        <f aca="false">HM78</f>
        <v>0</v>
      </c>
      <c r="HS78" s="20" t="n">
        <f aca="false">H78-I78-S78</f>
        <v>-77053.5689334511</v>
      </c>
      <c r="HT78" s="20" t="n">
        <f aca="false">IF(B78=0,IF(AND(Has_q6=1,In_q6=4),PR_ShareVaries*(MAX(0,HS78)/12),MIN(IF(Has_q6=1,CHOOSE(In_q6+1,PR_SaveB1,PR_SaveB2,PR_SaveB3,PR_SaveB4,0),AS_NoAnswer),AS_SaveShare*(MAX(0,HS78)/12))),HT77)</f>
        <v>67.3316893520437</v>
      </c>
      <c r="HU78" s="20" t="n">
        <f aca="false">IF(HS78&gt;=0,1,0)</f>
        <v>0</v>
      </c>
      <c r="HV78" s="20" t="n">
        <f aca="false">MAX(0,HS78/12/F78)</f>
        <v>0</v>
      </c>
      <c r="HW78" s="20" t="n">
        <f aca="false">IF(AND(Has_q6=1,In_q6=4),PR_ShareVaries*(HV78),MIN(IF(Has_q6=1,CHOOSE(In_q6+1,PR_SaveB1,PR_SaveB2,PR_SaveB3,PR_SaveB4,0),AS_NoAnswer),AS_SaveShare*(HV78)))</f>
        <v>0</v>
      </c>
      <c r="HX78" s="20" t="n">
        <f aca="false">IF(Has_saveM=1,IF(In_saveUp="Yes",1,IF(In_saveUp="No",0,IF(In_saveM&gt;=HT78-0.5,1,0))),0)</f>
        <v>0</v>
      </c>
      <c r="HY78" s="20" t="n">
        <f aca="false">IF(Has_saveM=1,MIN(HV78,IF(HX78=1,MAX(In_saveM,HW78),MIN(In_saveM,HW78))),HW78)</f>
        <v>0</v>
      </c>
      <c r="HZ78" s="20" t="n">
        <f aca="false">IF(G78=1,HY78*12*F78,0)</f>
        <v>0</v>
      </c>
      <c r="IA78" s="20" t="n">
        <f aca="false">MAX(0,HZ78+IF(AND(WI_Retire=0,WI_M&lt;0,G78=1),WI_M*12*F78,0))</f>
        <v>0</v>
      </c>
      <c r="IB78" s="20" t="n">
        <f aca="false">Slot1_IsWG*W78+Slot2_IsWG*AH78+Slot3_IsWG*AR78+Slot4_IsWG*BB78+Slot5_IsWG*BL78+Slot6_IsWG*BV78+Slot7_IsWG*CF78+Slot8_IsWG*CP78+Slot9_IsWG*CZ78+Slot10_IsWG*DJ78+Slot11_IsWG*DT78+Slot12_IsWG*ED78+Slot13_IsWG*EN78+Slot14_IsWG*EX78+Slot15_IsWG*FH78+Slot16_IsWG*FR78+Slot17_IsWG*GB78+Slot18_IsWG*GL78+Slot19_IsWG*GV78+Slot20_IsWG*HF78</f>
        <v>0</v>
      </c>
      <c r="IC78" s="20" t="n">
        <f aca="false">IF(AND(WI_Retire=0,WI_M&gt;0,G78=1,IB78&gt;=1),WI_M*12*F78,0)</f>
        <v>0</v>
      </c>
      <c r="ID78" s="20" t="n">
        <f aca="false">IF(HU78=1,MIN(IA78,HS78),0)</f>
        <v>0</v>
      </c>
      <c r="IE78" s="20" t="n">
        <f aca="false">IF(HU78=1,MIN(IC78,HS78-ID78),0)</f>
        <v>0</v>
      </c>
      <c r="IF78" s="20" t="n">
        <f aca="false">IF(W78=1,IF(ABS((1+AS_Wage)/(1+Slot1_Rate)-1)&lt;0.000000000001,(Slot1_Age-D78)*(1+Slot1_Rate)^(Slot1_Age-D78),(1+Slot1_Rate)^(Slot1_Age-D78)*(1-((1+AS_Wage)/(1+Slot1_Rate))^(Slot1_Age-D78))/(1-(1+AS_Wage)/(1+Slot1_Rate))),1)</f>
        <v>1</v>
      </c>
      <c r="IG78" s="20" t="n">
        <f aca="false">IF(AND(HU78=1,IE78&gt;0,Slot1_IsWG=1,W78=1),MAX(0,(Slot1_Cost-X78*(1+Slot1_Rate)^(Slot1_Age-D78))/IF78),0)</f>
        <v>0</v>
      </c>
      <c r="IH78" s="20" t="n">
        <f aca="false">IF(AND(HU78=1,IE78&gt;0,Slot1_IsWG=1,W78=1),MIN(IE78,IG78),0)</f>
        <v>0</v>
      </c>
      <c r="II78" s="20" t="n">
        <f aca="false">X78+IH78</f>
        <v>0</v>
      </c>
      <c r="IJ78" s="20" t="n">
        <f aca="false">IF(W78=1,MAX(0,(Slot1_Cost-II78*(1+Slot1_Rate)^(Slot1_Age-D78))/IF78),0)</f>
        <v>0</v>
      </c>
      <c r="IK78" s="20" t="n">
        <f aca="false">IF(W78=1,MAX(0,(Slot1_Cost-X78*(1+Slot1_Rate)^(Slot1_Age-D78))/IF78),0)</f>
        <v>0</v>
      </c>
      <c r="IL78" s="20" t="n">
        <f aca="false">IF(AND(HU78=1,W78=1),MIN(ID78,IJ78),0)</f>
        <v>0</v>
      </c>
      <c r="IM78" s="20" t="n">
        <f aca="false">ID78-IL78</f>
        <v>0</v>
      </c>
      <c r="IN78" s="20" t="n">
        <f aca="false">IF(AH78=1,IF(ABS((1+AS_Wage)/(1+Slot2_Rate)-1)&lt;0.000000000001,(Slot2_Age-D78)*(1+Slot2_Rate)^(Slot2_Age-D78),(1+Slot2_Rate)^(Slot2_Age-D78)*(1-((1+AS_Wage)/(1+Slot2_Rate))^(Slot2_Age-D78))/(1-(1+AS_Wage)/(1+Slot2_Rate))),1)</f>
        <v>1</v>
      </c>
      <c r="IO78" s="20" t="n">
        <f aca="false">IF(AND(HU78=1,IE78&gt;0,Slot2_IsWG=1,AH78=1),MAX(0,(Slot2_Cost-AI78*(1+Slot2_Rate)^(Slot2_Age-D78))/IN78),0)</f>
        <v>0</v>
      </c>
      <c r="IP78" s="20" t="n">
        <f aca="false">IF(AND(HU78=1,IE78&gt;0,Slot2_IsWG=1,AH78=1),MIN(IE78,IO78),0)</f>
        <v>0</v>
      </c>
      <c r="IQ78" s="20" t="n">
        <f aca="false">AI78+IP78</f>
        <v>0</v>
      </c>
      <c r="IR78" s="20" t="n">
        <f aca="false">IF(AH78=1,MAX(0,(Slot2_Cost-IQ78*(1+Slot2_Rate)^(Slot2_Age-D78))/IN78),0)</f>
        <v>0</v>
      </c>
      <c r="IS78" s="20" t="n">
        <f aca="false">IF(AH78=1,MAX(0,(Slot2_Cost-AI78*(1+Slot2_Rate)^(Slot2_Age-D78))/IN78),0)</f>
        <v>0</v>
      </c>
      <c r="IT78" s="20" t="n">
        <f aca="false">IF(AND(HU78=1,AH78=1),MIN(IM78,IR78),0)</f>
        <v>0</v>
      </c>
      <c r="IU78" s="20" t="n">
        <f aca="false">IM78-IT78</f>
        <v>0</v>
      </c>
      <c r="IV78" s="20" t="n">
        <f aca="false">IF(AR78=1,IF(ABS((1+AS_Wage)/(1+Slot3_Rate)-1)&lt;0.000000000001,(Slot3_Age-D78)*(1+Slot3_Rate)^(Slot3_Age-D78),(1+Slot3_Rate)^(Slot3_Age-D78)*(1-((1+AS_Wage)/(1+Slot3_Rate))^(Slot3_Age-D78))/(1-(1+AS_Wage)/(1+Slot3_Rate))),1)</f>
        <v>1</v>
      </c>
      <c r="IW78" s="20" t="n">
        <f aca="false">IF(AND(HU78=1,IE78&gt;0,Slot3_IsWG=1,AR78=1),MAX(0,(Slot3_Cost-AS78*(1+Slot3_Rate)^(Slot3_Age-D78))/IV78),0)</f>
        <v>0</v>
      </c>
      <c r="IX78" s="20" t="n">
        <f aca="false">IF(AND(HU78=1,IE78&gt;0,Slot3_IsWG=1,AR78=1),MIN(IE78,IW78),0)</f>
        <v>0</v>
      </c>
      <c r="IY78" s="20" t="n">
        <f aca="false">AS78+IX78</f>
        <v>0</v>
      </c>
      <c r="IZ78" s="20" t="n">
        <f aca="false">IF(AR78=1,MAX(0,(Slot3_Cost-IY78*(1+Slot3_Rate)^(Slot3_Age-D78))/IV78),0)</f>
        <v>0</v>
      </c>
      <c r="JA78" s="20" t="n">
        <f aca="false">IF(AR78=1,MAX(0,(Slot3_Cost-AS78*(1+Slot3_Rate)^(Slot3_Age-D78))/IV78),0)</f>
        <v>0</v>
      </c>
      <c r="JB78" s="20" t="n">
        <f aca="false">IF(AND(HU78=1,AR78=1),MIN(IU78,IZ78),0)</f>
        <v>0</v>
      </c>
      <c r="JC78" s="20" t="n">
        <f aca="false">IU78-JB78</f>
        <v>0</v>
      </c>
      <c r="JD78" s="20" t="n">
        <f aca="false">IF(BB78=1,IF(ABS((1+AS_Wage)/(1+Slot4_Rate)-1)&lt;0.000000000001,(Slot4_Age-D78)*(1+Slot4_Rate)^(Slot4_Age-D78),(1+Slot4_Rate)^(Slot4_Age-D78)*(1-((1+AS_Wage)/(1+Slot4_Rate))^(Slot4_Age-D78))/(1-(1+AS_Wage)/(1+Slot4_Rate))),1)</f>
        <v>1</v>
      </c>
      <c r="JE78" s="20" t="n">
        <f aca="false">IF(AND(HU78=1,IE78&gt;0,Slot4_IsWG=1,BB78=1),MAX(0,(Slot4_Cost-BC78*(1+Slot4_Rate)^(Slot4_Age-D78))/JD78),0)</f>
        <v>0</v>
      </c>
      <c r="JF78" s="20" t="n">
        <f aca="false">IF(AND(HU78=1,IE78&gt;0,Slot4_IsWG=1,BB78=1),MIN(IE78,JE78),0)</f>
        <v>0</v>
      </c>
      <c r="JG78" s="20" t="n">
        <f aca="false">BC78+JF78</f>
        <v>0</v>
      </c>
      <c r="JH78" s="20" t="n">
        <f aca="false">IF(BB78=1,MAX(0,(Slot4_Cost-JG78*(1+Slot4_Rate)^(Slot4_Age-D78))/JD78),0)</f>
        <v>0</v>
      </c>
      <c r="JI78" s="20" t="n">
        <f aca="false">IF(BB78=1,MAX(0,(Slot4_Cost-BC78*(1+Slot4_Rate)^(Slot4_Age-D78))/JD78),0)</f>
        <v>0</v>
      </c>
      <c r="JJ78" s="20" t="n">
        <f aca="false">IF(AND(HU78=1,BB78=1),MIN(JC78,JH78),0)</f>
        <v>0</v>
      </c>
      <c r="JK78" s="20" t="n">
        <f aca="false">JC78-JJ78</f>
        <v>0</v>
      </c>
      <c r="JL78" s="20" t="n">
        <f aca="false">IF(BL78=1,IF(ABS((1+AS_Wage)/(1+Slot5_Rate)-1)&lt;0.000000000001,(Slot5_Age-D78)*(1+Slot5_Rate)^(Slot5_Age-D78),(1+Slot5_Rate)^(Slot5_Age-D78)*(1-((1+AS_Wage)/(1+Slot5_Rate))^(Slot5_Age-D78))/(1-(1+AS_Wage)/(1+Slot5_Rate))),1)</f>
        <v>1</v>
      </c>
      <c r="JM78" s="20" t="n">
        <f aca="false">IF(AND(HU78=1,IE78&gt;0,Slot5_IsWG=1,BL78=1),MAX(0,(Slot5_Cost-BM78*(1+Slot5_Rate)^(Slot5_Age-D78))/JL78),0)</f>
        <v>0</v>
      </c>
      <c r="JN78" s="20" t="n">
        <f aca="false">IF(AND(HU78=1,IE78&gt;0,Slot5_IsWG=1,BL78=1),MIN(IE78,JM78),0)</f>
        <v>0</v>
      </c>
      <c r="JO78" s="20" t="n">
        <f aca="false">BM78+JN78</f>
        <v>0</v>
      </c>
      <c r="JP78" s="20" t="n">
        <f aca="false">IF(BL78=1,MAX(0,(Slot5_Cost-JO78*(1+Slot5_Rate)^(Slot5_Age-D78))/JL78),0)</f>
        <v>0</v>
      </c>
      <c r="JQ78" s="20" t="n">
        <f aca="false">IF(BL78=1,MAX(0,(Slot5_Cost-BM78*(1+Slot5_Rate)^(Slot5_Age-D78))/JL78),0)</f>
        <v>0</v>
      </c>
      <c r="JR78" s="20" t="n">
        <f aca="false">IF(AND(HU78=1,BL78=1),MIN(JK78,JP78),0)</f>
        <v>0</v>
      </c>
      <c r="JS78" s="20" t="n">
        <f aca="false">JK78-JR78</f>
        <v>0</v>
      </c>
      <c r="JT78" s="20" t="n">
        <f aca="false">IF(BV78=1,IF(ABS((1+AS_Wage)/(1+Slot6_Rate)-1)&lt;0.000000000001,(Slot6_Age-D78)*(1+Slot6_Rate)^(Slot6_Age-D78),(1+Slot6_Rate)^(Slot6_Age-D78)*(1-((1+AS_Wage)/(1+Slot6_Rate))^(Slot6_Age-D78))/(1-(1+AS_Wage)/(1+Slot6_Rate))),1)</f>
        <v>1</v>
      </c>
      <c r="JU78" s="20" t="n">
        <f aca="false">IF(AND(HU78=1,IE78&gt;0,Slot6_IsWG=1,BV78=1),MAX(0,(Slot6_Cost-BW78*(1+Slot6_Rate)^(Slot6_Age-D78))/JT78),0)</f>
        <v>0</v>
      </c>
      <c r="JV78" s="20" t="n">
        <f aca="false">IF(AND(HU78=1,IE78&gt;0,Slot6_IsWG=1,BV78=1),MIN(IE78,JU78),0)</f>
        <v>0</v>
      </c>
      <c r="JW78" s="20" t="n">
        <f aca="false">BW78+JV78</f>
        <v>0</v>
      </c>
      <c r="JX78" s="20" t="n">
        <f aca="false">IF(BV78=1,MAX(0,(Slot6_Cost-JW78*(1+Slot6_Rate)^(Slot6_Age-D78))/JT78),0)</f>
        <v>0</v>
      </c>
      <c r="JY78" s="20" t="n">
        <f aca="false">IF(BV78=1,MAX(0,(Slot6_Cost-BW78*(1+Slot6_Rate)^(Slot6_Age-D78))/JT78),0)</f>
        <v>0</v>
      </c>
      <c r="JZ78" s="20" t="n">
        <f aca="false">IF(AND(HU78=1,BV78=1),MIN(JS78,JX78),0)</f>
        <v>0</v>
      </c>
      <c r="KA78" s="20" t="n">
        <f aca="false">JS78-JZ78</f>
        <v>0</v>
      </c>
      <c r="KB78" s="20" t="n">
        <f aca="false">IF(CF78=1,IF(ABS((1+AS_Wage)/(1+Slot7_Rate)-1)&lt;0.000000000001,(Slot7_Age-D78)*(1+Slot7_Rate)^(Slot7_Age-D78),(1+Slot7_Rate)^(Slot7_Age-D78)*(1-((1+AS_Wage)/(1+Slot7_Rate))^(Slot7_Age-D78))/(1-(1+AS_Wage)/(1+Slot7_Rate))),1)</f>
        <v>1</v>
      </c>
      <c r="KC78" s="20" t="n">
        <f aca="false">IF(AND(HU78=1,IE78&gt;0,Slot7_IsWG=1,CF78=1),MAX(0,(Slot7_Cost-CG78*(1+Slot7_Rate)^(Slot7_Age-D78))/KB78),0)</f>
        <v>0</v>
      </c>
      <c r="KD78" s="20" t="n">
        <f aca="false">IF(AND(HU78=1,IE78&gt;0,Slot7_IsWG=1,CF78=1),MIN(IE78,KC78),0)</f>
        <v>0</v>
      </c>
      <c r="KE78" s="20" t="n">
        <f aca="false">CG78+KD78</f>
        <v>0</v>
      </c>
      <c r="KF78" s="20" t="n">
        <f aca="false">IF(CF78=1,MAX(0,(Slot7_Cost-KE78*(1+Slot7_Rate)^(Slot7_Age-D78))/KB78),0)</f>
        <v>0</v>
      </c>
      <c r="KG78" s="20" t="n">
        <f aca="false">IF(CF78=1,MAX(0,(Slot7_Cost-CG78*(1+Slot7_Rate)^(Slot7_Age-D78))/KB78),0)</f>
        <v>0</v>
      </c>
      <c r="KH78" s="20" t="n">
        <f aca="false">IF(AND(HU78=1,CF78=1),MIN(KA78,KF78),0)</f>
        <v>0</v>
      </c>
      <c r="KI78" s="20" t="n">
        <f aca="false">KA78-KH78</f>
        <v>0</v>
      </c>
      <c r="KJ78" s="20" t="n">
        <f aca="false">IF(CP78=1,IF(ABS((1+AS_Wage)/(1+Slot8_Rate)-1)&lt;0.000000000001,(Slot8_Age-D78)*(1+Slot8_Rate)^(Slot8_Age-D78),(1+Slot8_Rate)^(Slot8_Age-D78)*(1-((1+AS_Wage)/(1+Slot8_Rate))^(Slot8_Age-D78))/(1-(1+AS_Wage)/(1+Slot8_Rate))),1)</f>
        <v>1</v>
      </c>
      <c r="KK78" s="20" t="n">
        <f aca="false">IF(AND(HU78=1,IE78&gt;0,Slot8_IsWG=1,CP78=1),MAX(0,(Slot8_Cost-CQ78*(1+Slot8_Rate)^(Slot8_Age-D78))/KJ78),0)</f>
        <v>0</v>
      </c>
      <c r="KL78" s="20" t="n">
        <f aca="false">IF(AND(HU78=1,IE78&gt;0,Slot8_IsWG=1,CP78=1),MIN(IE78,KK78),0)</f>
        <v>0</v>
      </c>
      <c r="KM78" s="20" t="n">
        <f aca="false">CQ78+KL78</f>
        <v>0</v>
      </c>
      <c r="KN78" s="20" t="n">
        <f aca="false">IF(CP78=1,MAX(0,(Slot8_Cost-KM78*(1+Slot8_Rate)^(Slot8_Age-D78))/KJ78),0)</f>
        <v>0</v>
      </c>
      <c r="KO78" s="20" t="n">
        <f aca="false">IF(CP78=1,MAX(0,(Slot8_Cost-CQ78*(1+Slot8_Rate)^(Slot8_Age-D78))/KJ78),0)</f>
        <v>0</v>
      </c>
      <c r="KP78" s="20" t="n">
        <f aca="false">IF(AND(HU78=1,CP78=1),MIN(KI78,KN78),0)</f>
        <v>0</v>
      </c>
      <c r="KQ78" s="20" t="n">
        <f aca="false">KI78-KP78</f>
        <v>0</v>
      </c>
      <c r="KR78" s="20" t="n">
        <f aca="false">IF(CZ78=1,IF(ABS((1+AS_Wage)/(1+Slot9_Rate)-1)&lt;0.000000000001,(Slot9_Age-D78)*(1+Slot9_Rate)^(Slot9_Age-D78),(1+Slot9_Rate)^(Slot9_Age-D78)*(1-((1+AS_Wage)/(1+Slot9_Rate))^(Slot9_Age-D78))/(1-(1+AS_Wage)/(1+Slot9_Rate))),1)</f>
        <v>1</v>
      </c>
      <c r="KS78" s="20" t="n">
        <f aca="false">IF(AND(HU78=1,IE78&gt;0,Slot9_IsWG=1,CZ78=1),MAX(0,(Slot9_Cost-DA78*(1+Slot9_Rate)^(Slot9_Age-D78))/KR78),0)</f>
        <v>0</v>
      </c>
      <c r="KT78" s="20" t="n">
        <f aca="false">IF(AND(HU78=1,IE78&gt;0,Slot9_IsWG=1,CZ78=1),MIN(IE78,KS78),0)</f>
        <v>0</v>
      </c>
      <c r="KU78" s="20" t="n">
        <f aca="false">DA78+KT78</f>
        <v>0</v>
      </c>
      <c r="KV78" s="20" t="n">
        <f aca="false">IF(CZ78=1,MAX(0,(Slot9_Cost-KU78*(1+Slot9_Rate)^(Slot9_Age-D78))/KR78),0)</f>
        <v>0</v>
      </c>
      <c r="KW78" s="20" t="n">
        <f aca="false">IF(CZ78=1,MAX(0,(Slot9_Cost-DA78*(1+Slot9_Rate)^(Slot9_Age-D78))/KR78),0)</f>
        <v>0</v>
      </c>
      <c r="KX78" s="20" t="n">
        <f aca="false">IF(AND(HU78=1,CZ78=1),MIN(KQ78,KV78),0)</f>
        <v>0</v>
      </c>
      <c r="KY78" s="20" t="n">
        <f aca="false">KQ78-KX78</f>
        <v>0</v>
      </c>
      <c r="KZ78" s="20" t="n">
        <f aca="false">IF(DJ78=1,IF(ABS((1+AS_Wage)/(1+Slot10_Rate)-1)&lt;0.000000000001,(Slot10_Age-D78)*(1+Slot10_Rate)^(Slot10_Age-D78),(1+Slot10_Rate)^(Slot10_Age-D78)*(1-((1+AS_Wage)/(1+Slot10_Rate))^(Slot10_Age-D78))/(1-(1+AS_Wage)/(1+Slot10_Rate))),1)</f>
        <v>1</v>
      </c>
      <c r="LA78" s="20" t="n">
        <f aca="false">IF(AND(HU78=1,IE78&gt;0,Slot10_IsWG=1,DJ78=1),MAX(0,(Slot10_Cost-DK78*(1+Slot10_Rate)^(Slot10_Age-D78))/KZ78),0)</f>
        <v>0</v>
      </c>
      <c r="LB78" s="20" t="n">
        <f aca="false">IF(AND(HU78=1,IE78&gt;0,Slot10_IsWG=1,DJ78=1),MIN(IE78,LA78),0)</f>
        <v>0</v>
      </c>
      <c r="LC78" s="20" t="n">
        <f aca="false">DK78+LB78</f>
        <v>0</v>
      </c>
      <c r="LD78" s="20" t="n">
        <f aca="false">IF(DJ78=1,MAX(0,(Slot10_Cost-LC78*(1+Slot10_Rate)^(Slot10_Age-D78))/KZ78),0)</f>
        <v>0</v>
      </c>
      <c r="LE78" s="20" t="n">
        <f aca="false">IF(DJ78=1,MAX(0,(Slot10_Cost-DK78*(1+Slot10_Rate)^(Slot10_Age-D78))/KZ78),0)</f>
        <v>0</v>
      </c>
      <c r="LF78" s="20" t="n">
        <f aca="false">IF(AND(HU78=1,DJ78=1),MIN(KY78,LD78),0)</f>
        <v>0</v>
      </c>
      <c r="LG78" s="20" t="n">
        <f aca="false">KY78-LF78</f>
        <v>0</v>
      </c>
      <c r="LH78" s="20" t="n">
        <f aca="false">IF(DT78=1,IF(ABS((1+AS_Wage)/(1+Slot11_Rate)-1)&lt;0.000000000001,(Slot11_Age-D78)*(1+Slot11_Rate)^(Slot11_Age-D78),(1+Slot11_Rate)^(Slot11_Age-D78)*(1-((1+AS_Wage)/(1+Slot11_Rate))^(Slot11_Age-D78))/(1-(1+AS_Wage)/(1+Slot11_Rate))),1)</f>
        <v>1</v>
      </c>
      <c r="LI78" s="20" t="n">
        <f aca="false">IF(AND(HU78=1,IE78&gt;0,Slot11_IsWG=1,DT78=1),MAX(0,(Slot11_Cost-DU78*(1+Slot11_Rate)^(Slot11_Age-D78))/LH78),0)</f>
        <v>0</v>
      </c>
      <c r="LJ78" s="20" t="n">
        <f aca="false">IF(AND(HU78=1,IE78&gt;0,Slot11_IsWG=1,DT78=1),MIN(IE78,LI78),0)</f>
        <v>0</v>
      </c>
      <c r="LK78" s="20" t="n">
        <f aca="false">DU78+LJ78</f>
        <v>0</v>
      </c>
      <c r="LL78" s="20" t="n">
        <f aca="false">IF(DT78=1,MAX(0,(Slot11_Cost-LK78*(1+Slot11_Rate)^(Slot11_Age-D78))/LH78),0)</f>
        <v>0</v>
      </c>
      <c r="LM78" s="20" t="n">
        <f aca="false">IF(DT78=1,MAX(0,(Slot11_Cost-DU78*(1+Slot11_Rate)^(Slot11_Age-D78))/LH78),0)</f>
        <v>0</v>
      </c>
      <c r="LN78" s="20" t="n">
        <f aca="false">IF(AND(HU78=1,DT78=1),MIN(LG78,LL78),0)</f>
        <v>0</v>
      </c>
      <c r="LO78" s="20" t="n">
        <f aca="false">LG78-LN78</f>
        <v>0</v>
      </c>
      <c r="LP78" s="20" t="n">
        <f aca="false">IF(ED78=1,IF(ABS((1+AS_Wage)/(1+Slot12_Rate)-1)&lt;0.000000000001,(Slot12_Age-D78)*(1+Slot12_Rate)^(Slot12_Age-D78),(1+Slot12_Rate)^(Slot12_Age-D78)*(1-((1+AS_Wage)/(1+Slot12_Rate))^(Slot12_Age-D78))/(1-(1+AS_Wage)/(1+Slot12_Rate))),1)</f>
        <v>1</v>
      </c>
      <c r="LQ78" s="20" t="n">
        <f aca="false">IF(AND(HU78=1,IE78&gt;0,Slot12_IsWG=1,ED78=1),MAX(0,(Slot12_Cost-EE78*(1+Slot12_Rate)^(Slot12_Age-D78))/LP78),0)</f>
        <v>0</v>
      </c>
      <c r="LR78" s="20" t="n">
        <f aca="false">IF(AND(HU78=1,IE78&gt;0,Slot12_IsWG=1,ED78=1),MIN(IE78,LQ78),0)</f>
        <v>0</v>
      </c>
      <c r="LS78" s="20" t="n">
        <f aca="false">EE78+LR78</f>
        <v>0</v>
      </c>
      <c r="LT78" s="20" t="n">
        <f aca="false">IF(ED78=1,MAX(0,(Slot12_Cost-LS78*(1+Slot12_Rate)^(Slot12_Age-D78))/LP78),0)</f>
        <v>0</v>
      </c>
      <c r="LU78" s="20" t="n">
        <f aca="false">IF(ED78=1,MAX(0,(Slot12_Cost-EE78*(1+Slot12_Rate)^(Slot12_Age-D78))/LP78),0)</f>
        <v>0</v>
      </c>
      <c r="LV78" s="20" t="n">
        <f aca="false">IF(AND(HU78=1,ED78=1),MIN(LO78,LT78),0)</f>
        <v>0</v>
      </c>
      <c r="LW78" s="20" t="n">
        <f aca="false">LO78-LV78</f>
        <v>0</v>
      </c>
      <c r="LX78" s="20" t="n">
        <f aca="false">IF(EN78=1,IF(ABS((1+AS_Wage)/(1+Slot13_Rate)-1)&lt;0.000000000001,(Slot13_Age-D78)*(1+Slot13_Rate)^(Slot13_Age-D78),(1+Slot13_Rate)^(Slot13_Age-D78)*(1-((1+AS_Wage)/(1+Slot13_Rate))^(Slot13_Age-D78))/(1-(1+AS_Wage)/(1+Slot13_Rate))),1)</f>
        <v>1</v>
      </c>
      <c r="LY78" s="20" t="n">
        <f aca="false">IF(AND(HU78=1,IE78&gt;0,Slot13_IsWG=1,EN78=1),MAX(0,(Slot13_Cost-EO78*(1+Slot13_Rate)^(Slot13_Age-D78))/LX78),0)</f>
        <v>0</v>
      </c>
      <c r="LZ78" s="20" t="n">
        <f aca="false">IF(AND(HU78=1,IE78&gt;0,Slot13_IsWG=1,EN78=1),MIN(IE78,LY78),0)</f>
        <v>0</v>
      </c>
      <c r="MA78" s="20" t="n">
        <f aca="false">EO78+LZ78</f>
        <v>0</v>
      </c>
      <c r="MB78" s="20" t="n">
        <f aca="false">IF(EN78=1,MAX(0,(Slot13_Cost-MA78*(1+Slot13_Rate)^(Slot13_Age-D78))/LX78),0)</f>
        <v>0</v>
      </c>
      <c r="MC78" s="20" t="n">
        <f aca="false">IF(EN78=1,MAX(0,(Slot13_Cost-EO78*(1+Slot13_Rate)^(Slot13_Age-D78))/LX78),0)</f>
        <v>0</v>
      </c>
      <c r="MD78" s="20" t="n">
        <f aca="false">IF(AND(HU78=1,EN78=1),MIN(LW78,MB78),0)</f>
        <v>0</v>
      </c>
      <c r="ME78" s="20" t="n">
        <f aca="false">LW78-MD78</f>
        <v>0</v>
      </c>
      <c r="MF78" s="20" t="n">
        <f aca="false">IF(EX78=1,IF(ABS((1+AS_Wage)/(1+Slot14_Rate)-1)&lt;0.000000000001,(Slot14_Age-D78)*(1+Slot14_Rate)^(Slot14_Age-D78),(1+Slot14_Rate)^(Slot14_Age-D78)*(1-((1+AS_Wage)/(1+Slot14_Rate))^(Slot14_Age-D78))/(1-(1+AS_Wage)/(1+Slot14_Rate))),1)</f>
        <v>1</v>
      </c>
      <c r="MG78" s="20" t="n">
        <f aca="false">IF(AND(HU78=1,IE78&gt;0,Slot14_IsWG=1,EX78=1),MAX(0,(Slot14_Cost-EY78*(1+Slot14_Rate)^(Slot14_Age-D78))/MF78),0)</f>
        <v>0</v>
      </c>
      <c r="MH78" s="20" t="n">
        <f aca="false">IF(AND(HU78=1,IE78&gt;0,Slot14_IsWG=1,EX78=1),MIN(IE78,MG78),0)</f>
        <v>0</v>
      </c>
      <c r="MI78" s="20" t="n">
        <f aca="false">EY78+MH78</f>
        <v>0</v>
      </c>
      <c r="MJ78" s="20" t="n">
        <f aca="false">IF(EX78=1,MAX(0,(Slot14_Cost-MI78*(1+Slot14_Rate)^(Slot14_Age-D78))/MF78),0)</f>
        <v>0</v>
      </c>
      <c r="MK78" s="20" t="n">
        <f aca="false">IF(EX78=1,MAX(0,(Slot14_Cost-EY78*(1+Slot14_Rate)^(Slot14_Age-D78))/MF78),0)</f>
        <v>0</v>
      </c>
      <c r="ML78" s="20" t="n">
        <f aca="false">IF(AND(HU78=1,EX78=1),MIN(ME78,MJ78),0)</f>
        <v>0</v>
      </c>
      <c r="MM78" s="20" t="n">
        <f aca="false">ME78-ML78</f>
        <v>0</v>
      </c>
      <c r="MN78" s="20" t="n">
        <f aca="false">IF(FH78=1,IF(ABS((1+AS_Wage)/(1+Slot15_Rate)-1)&lt;0.000000000001,(Slot15_Age-D78)*(1+Slot15_Rate)^(Slot15_Age-D78),(1+Slot15_Rate)^(Slot15_Age-D78)*(1-((1+AS_Wage)/(1+Slot15_Rate))^(Slot15_Age-D78))/(1-(1+AS_Wage)/(1+Slot15_Rate))),1)</f>
        <v>1</v>
      </c>
      <c r="MO78" s="20" t="n">
        <f aca="false">IF(AND(HU78=1,IE78&gt;0,Slot15_IsWG=1,FH78=1),MAX(0,(Slot15_Cost-FI78*(1+Slot15_Rate)^(Slot15_Age-D78))/MN78),0)</f>
        <v>0</v>
      </c>
      <c r="MP78" s="20" t="n">
        <f aca="false">IF(AND(HU78=1,IE78&gt;0,Slot15_IsWG=1,FH78=1),MIN(IE78,MO78),0)</f>
        <v>0</v>
      </c>
      <c r="MQ78" s="20" t="n">
        <f aca="false">FI78+MP78</f>
        <v>0</v>
      </c>
      <c r="MR78" s="20" t="n">
        <f aca="false">IF(FH78=1,MAX(0,(Slot15_Cost-MQ78*(1+Slot15_Rate)^(Slot15_Age-D78))/MN78),0)</f>
        <v>0</v>
      </c>
      <c r="MS78" s="20" t="n">
        <f aca="false">IF(FH78=1,MAX(0,(Slot15_Cost-FI78*(1+Slot15_Rate)^(Slot15_Age-D78))/MN78),0)</f>
        <v>0</v>
      </c>
      <c r="MT78" s="20" t="n">
        <f aca="false">IF(AND(HU78=1,FH78=1),MIN(MM78,MR78),0)</f>
        <v>0</v>
      </c>
      <c r="MU78" s="20" t="n">
        <f aca="false">MM78-MT78</f>
        <v>0</v>
      </c>
      <c r="MV78" s="20" t="n">
        <f aca="false">IF(FR78=1,IF(ABS((1+AS_Wage)/(1+Slot16_Rate)-1)&lt;0.000000000001,(Slot16_Age-D78)*(1+Slot16_Rate)^(Slot16_Age-D78),(1+Slot16_Rate)^(Slot16_Age-D78)*(1-((1+AS_Wage)/(1+Slot16_Rate))^(Slot16_Age-D78))/(1-(1+AS_Wage)/(1+Slot16_Rate))),1)</f>
        <v>1</v>
      </c>
      <c r="MW78" s="20" t="n">
        <f aca="false">IF(AND(HU78=1,IE78&gt;0,Slot16_IsWG=1,FR78=1),MAX(0,(Slot16_Cost-FS78*(1+Slot16_Rate)^(Slot16_Age-D78))/MV78),0)</f>
        <v>0</v>
      </c>
      <c r="MX78" s="20" t="n">
        <f aca="false">IF(AND(HU78=1,IE78&gt;0,Slot16_IsWG=1,FR78=1),MIN(IE78,MW78),0)</f>
        <v>0</v>
      </c>
      <c r="MY78" s="20" t="n">
        <f aca="false">FS78+MX78</f>
        <v>0</v>
      </c>
      <c r="MZ78" s="20" t="n">
        <f aca="false">IF(FR78=1,MAX(0,(Slot16_Cost-MY78*(1+Slot16_Rate)^(Slot16_Age-D78))/MV78),0)</f>
        <v>0</v>
      </c>
      <c r="NA78" s="20" t="n">
        <f aca="false">IF(FR78=1,MAX(0,(Slot16_Cost-FS78*(1+Slot16_Rate)^(Slot16_Age-D78))/MV78),0)</f>
        <v>0</v>
      </c>
      <c r="NB78" s="20" t="n">
        <f aca="false">IF(AND(HU78=1,FR78=1),MIN(MU78,MZ78),0)</f>
        <v>0</v>
      </c>
      <c r="NC78" s="20" t="n">
        <f aca="false">MU78-NB78</f>
        <v>0</v>
      </c>
      <c r="ND78" s="20" t="n">
        <f aca="false">IF(GB78=1,IF(ABS((1+AS_Wage)/(1+Slot17_Rate)-1)&lt;0.000000000001,(Slot17_Age-D78)*(1+Slot17_Rate)^(Slot17_Age-D78),(1+Slot17_Rate)^(Slot17_Age-D78)*(1-((1+AS_Wage)/(1+Slot17_Rate))^(Slot17_Age-D78))/(1-(1+AS_Wage)/(1+Slot17_Rate))),1)</f>
        <v>1</v>
      </c>
      <c r="NE78" s="20" t="n">
        <f aca="false">IF(AND(HU78=1,IE78&gt;0,Slot17_IsWG=1,GB78=1),MAX(0,(Slot17_Cost-GC78*(1+Slot17_Rate)^(Slot17_Age-D78))/ND78),0)</f>
        <v>0</v>
      </c>
      <c r="NF78" s="20" t="n">
        <f aca="false">IF(AND(HU78=1,IE78&gt;0,Slot17_IsWG=1,GB78=1),MIN(IE78,NE78),0)</f>
        <v>0</v>
      </c>
      <c r="NG78" s="20" t="n">
        <f aca="false">GC78+NF78</f>
        <v>0</v>
      </c>
      <c r="NH78" s="20" t="n">
        <f aca="false">IF(GB78=1,MAX(0,(Slot17_Cost-NG78*(1+Slot17_Rate)^(Slot17_Age-D78))/ND78),0)</f>
        <v>0</v>
      </c>
      <c r="NI78" s="20" t="n">
        <f aca="false">IF(GB78=1,MAX(0,(Slot17_Cost-GC78*(1+Slot17_Rate)^(Slot17_Age-D78))/ND78),0)</f>
        <v>0</v>
      </c>
      <c r="NJ78" s="20" t="n">
        <f aca="false">IF(AND(HU78=1,GB78=1),MIN(NC78,NH78),0)</f>
        <v>0</v>
      </c>
      <c r="NK78" s="20" t="n">
        <f aca="false">NC78-NJ78</f>
        <v>0</v>
      </c>
      <c r="NL78" s="20" t="n">
        <f aca="false">IF(GL78=1,IF(ABS((1+AS_Wage)/(1+Slot18_Rate)-1)&lt;0.000000000001,(Slot18_Age-D78)*(1+Slot18_Rate)^(Slot18_Age-D78),(1+Slot18_Rate)^(Slot18_Age-D78)*(1-((1+AS_Wage)/(1+Slot18_Rate))^(Slot18_Age-D78))/(1-(1+AS_Wage)/(1+Slot18_Rate))),1)</f>
        <v>1</v>
      </c>
      <c r="NM78" s="20" t="n">
        <f aca="false">IF(AND(HU78=1,IE78&gt;0,Slot18_IsWG=1,GL78=1),MAX(0,(Slot18_Cost-GM78*(1+Slot18_Rate)^(Slot18_Age-D78))/NL78),0)</f>
        <v>0</v>
      </c>
      <c r="NN78" s="20" t="n">
        <f aca="false">IF(AND(HU78=1,IE78&gt;0,Slot18_IsWG=1,GL78=1),MIN(IE78,NM78),0)</f>
        <v>0</v>
      </c>
      <c r="NO78" s="20" t="n">
        <f aca="false">GM78+NN78</f>
        <v>0</v>
      </c>
      <c r="NP78" s="20" t="n">
        <f aca="false">IF(GL78=1,MAX(0,(Slot18_Cost-NO78*(1+Slot18_Rate)^(Slot18_Age-D78))/NL78),0)</f>
        <v>0</v>
      </c>
      <c r="NQ78" s="20" t="n">
        <f aca="false">IF(GL78=1,MAX(0,(Slot18_Cost-GM78*(1+Slot18_Rate)^(Slot18_Age-D78))/NL78),0)</f>
        <v>0</v>
      </c>
      <c r="NR78" s="20" t="n">
        <f aca="false">IF(AND(HU78=1,GL78=1),MIN(NK78,NP78),0)</f>
        <v>0</v>
      </c>
      <c r="NS78" s="20" t="n">
        <f aca="false">NK78-NR78</f>
        <v>0</v>
      </c>
      <c r="NT78" s="20" t="n">
        <f aca="false">IF(GV78=1,IF(ABS((1+AS_Wage)/(1+Slot19_Rate)-1)&lt;0.000000000001,(Slot19_Age-D78)*(1+Slot19_Rate)^(Slot19_Age-D78),(1+Slot19_Rate)^(Slot19_Age-D78)*(1-((1+AS_Wage)/(1+Slot19_Rate))^(Slot19_Age-D78))/(1-(1+AS_Wage)/(1+Slot19_Rate))),1)</f>
        <v>1</v>
      </c>
      <c r="NU78" s="20" t="n">
        <f aca="false">IF(AND(HU78=1,IE78&gt;0,Slot19_IsWG=1,GV78=1),MAX(0,(Slot19_Cost-GW78*(1+Slot19_Rate)^(Slot19_Age-D78))/NT78),0)</f>
        <v>0</v>
      </c>
      <c r="NV78" s="20" t="n">
        <f aca="false">IF(AND(HU78=1,IE78&gt;0,Slot19_IsWG=1,GV78=1),MIN(IE78,NU78),0)</f>
        <v>0</v>
      </c>
      <c r="NW78" s="20" t="n">
        <f aca="false">GW78+NV78</f>
        <v>0</v>
      </c>
      <c r="NX78" s="20" t="n">
        <f aca="false">IF(GV78=1,MAX(0,(Slot19_Cost-NW78*(1+Slot19_Rate)^(Slot19_Age-D78))/NT78),0)</f>
        <v>0</v>
      </c>
      <c r="NY78" s="20" t="n">
        <f aca="false">IF(GV78=1,MAX(0,(Slot19_Cost-GW78*(1+Slot19_Rate)^(Slot19_Age-D78))/NT78),0)</f>
        <v>0</v>
      </c>
      <c r="NZ78" s="20" t="n">
        <f aca="false">IF(AND(HU78=1,GV78=1),MIN(NS78,NX78),0)</f>
        <v>0</v>
      </c>
      <c r="OA78" s="20" t="n">
        <f aca="false">NS78-NZ78</f>
        <v>0</v>
      </c>
      <c r="OB78" s="20" t="n">
        <f aca="false">IF(HF78=1,IF(ABS((1+AS_Wage)/(1+Slot20_Rate)-1)&lt;0.000000000001,(Slot20_Age-D78)*(1+Slot20_Rate)^(Slot20_Age-D78),(1+Slot20_Rate)^(Slot20_Age-D78)*(1-((1+AS_Wage)/(1+Slot20_Rate))^(Slot20_Age-D78))/(1-(1+AS_Wage)/(1+Slot20_Rate))),1)</f>
        <v>1</v>
      </c>
      <c r="OC78" s="20" t="n">
        <f aca="false">IF(AND(HU78=1,IE78&gt;0,Slot20_IsWG=1,HF78=1),MAX(0,(Slot20_Cost-HG78*(1+Slot20_Rate)^(Slot20_Age-D78))/OB78),0)</f>
        <v>0</v>
      </c>
      <c r="OD78" s="20" t="n">
        <f aca="false">IF(AND(HU78=1,IE78&gt;0,Slot20_IsWG=1,HF78=1),MIN(IE78,OC78),0)</f>
        <v>0</v>
      </c>
      <c r="OE78" s="20" t="n">
        <f aca="false">HG78+OD78</f>
        <v>0</v>
      </c>
      <c r="OF78" s="20" t="n">
        <f aca="false">IF(HF78=1,MAX(0,(Slot20_Cost-OE78*(1+Slot20_Rate)^(Slot20_Age-D78))/OB78),0)</f>
        <v>0</v>
      </c>
      <c r="OG78" s="20" t="n">
        <f aca="false">IF(HF78=1,MAX(0,(Slot20_Cost-HG78*(1+Slot20_Rate)^(Slot20_Age-D78))/OB78),0)</f>
        <v>0</v>
      </c>
      <c r="OH78" s="20" t="n">
        <f aca="false">IF(AND(HU78=1,HF78=1),MIN(OA78,OF78),0)</f>
        <v>0</v>
      </c>
      <c r="OI78" s="20" t="n">
        <f aca="false">OA78-OH78</f>
        <v>0</v>
      </c>
      <c r="OJ78" s="20" t="n">
        <f aca="false">IE78-(IH78+IP78+IX78+JF78+JN78+JV78+KD78+KL78+KT78+LB78+LJ78+LR78+LZ78+MH78+MP78+MX78+NF78+NN78+NV78+OD78)</f>
        <v>0</v>
      </c>
      <c r="OK78" s="20" t="n">
        <f aca="false">IF(HU78=1,HS78-ID78-IE78,0)</f>
        <v>0</v>
      </c>
      <c r="OL78" s="20" t="n">
        <f aca="false">IF(HU78=0,-HS78,0)</f>
        <v>77053.5689334511</v>
      </c>
      <c r="OM78" s="20" t="n">
        <f aca="false">MIN(OL78,HK78)</f>
        <v>0</v>
      </c>
      <c r="ON78" s="20" t="n">
        <f aca="false">OL78-OM78</f>
        <v>77053.5689334511</v>
      </c>
      <c r="OO78" s="20" t="n">
        <f aca="false">MIN(ON78,HL78)</f>
        <v>0</v>
      </c>
      <c r="OP78" s="20" t="n">
        <f aca="false">ON78-OO78</f>
        <v>77053.5689334511</v>
      </c>
      <c r="OQ78" s="20" t="n">
        <f aca="false">IF(AND(HU78=0,HF78=1,OP78&gt;0),MIN(OP78,HG78),0)</f>
        <v>0</v>
      </c>
      <c r="OR78" s="20" t="n">
        <f aca="false">OP78-OQ78</f>
        <v>77053.5689334511</v>
      </c>
      <c r="OS78" s="20" t="n">
        <f aca="false">IF(AND(HU78=0,GV78=1,OR78&gt;0),MIN(OR78,GW78),0)</f>
        <v>0</v>
      </c>
      <c r="OT78" s="20" t="n">
        <f aca="false">OR78-OS78</f>
        <v>77053.5689334511</v>
      </c>
      <c r="OU78" s="20" t="n">
        <f aca="false">IF(AND(HU78=0,GL78=1,OT78&gt;0),MIN(OT78,GM78),0)</f>
        <v>0</v>
      </c>
      <c r="OV78" s="20" t="n">
        <f aca="false">OT78-OU78</f>
        <v>77053.5689334511</v>
      </c>
      <c r="OW78" s="20" t="n">
        <f aca="false">IF(AND(HU78=0,GB78=1,OV78&gt;0),MIN(OV78,GC78),0)</f>
        <v>0</v>
      </c>
      <c r="OX78" s="20" t="n">
        <f aca="false">OV78-OW78</f>
        <v>77053.5689334511</v>
      </c>
      <c r="OY78" s="20" t="n">
        <f aca="false">IF(AND(HU78=0,FR78=1,OX78&gt;0),MIN(OX78,FS78),0)</f>
        <v>0</v>
      </c>
      <c r="OZ78" s="20" t="n">
        <f aca="false">OX78-OY78</f>
        <v>77053.5689334511</v>
      </c>
      <c r="PA78" s="20" t="n">
        <f aca="false">IF(AND(HU78=0,FH78=1,OZ78&gt;0),MIN(OZ78,FI78),0)</f>
        <v>0</v>
      </c>
      <c r="PB78" s="20" t="n">
        <f aca="false">OZ78-PA78</f>
        <v>77053.5689334511</v>
      </c>
      <c r="PC78" s="20" t="n">
        <f aca="false">IF(AND(HU78=0,EX78=1,PB78&gt;0),MIN(PB78,EY78),0)</f>
        <v>0</v>
      </c>
      <c r="PD78" s="20" t="n">
        <f aca="false">PB78-PC78</f>
        <v>77053.5689334511</v>
      </c>
      <c r="PE78" s="20" t="n">
        <f aca="false">IF(AND(HU78=0,EN78=1,PD78&gt;0),MIN(PD78,EO78),0)</f>
        <v>0</v>
      </c>
      <c r="PF78" s="20" t="n">
        <f aca="false">PD78-PE78</f>
        <v>77053.5689334511</v>
      </c>
      <c r="PG78" s="20" t="n">
        <f aca="false">IF(AND(HU78=0,ED78=1,PF78&gt;0),MIN(PF78,EE78),0)</f>
        <v>0</v>
      </c>
      <c r="PH78" s="20" t="n">
        <f aca="false">PF78-PG78</f>
        <v>77053.5689334511</v>
      </c>
      <c r="PI78" s="20" t="n">
        <f aca="false">IF(AND(HU78=0,DT78=1,PH78&gt;0),MIN(PH78,DU78),0)</f>
        <v>0</v>
      </c>
      <c r="PJ78" s="20" t="n">
        <f aca="false">PH78-PI78</f>
        <v>77053.5689334511</v>
      </c>
      <c r="PK78" s="20" t="n">
        <f aca="false">IF(AND(HU78=0,DJ78=1,PJ78&gt;0),MIN(PJ78,DK78),0)</f>
        <v>0</v>
      </c>
      <c r="PL78" s="20" t="n">
        <f aca="false">PJ78-PK78</f>
        <v>77053.5689334511</v>
      </c>
      <c r="PM78" s="20" t="n">
        <f aca="false">IF(AND(HU78=0,CZ78=1,PL78&gt;0),MIN(PL78,DA78),0)</f>
        <v>0</v>
      </c>
      <c r="PN78" s="20" t="n">
        <f aca="false">PL78-PM78</f>
        <v>77053.5689334511</v>
      </c>
      <c r="PO78" s="20" t="n">
        <f aca="false">IF(AND(HU78=0,CP78=1,PN78&gt;0),MIN(PN78,CQ78),0)</f>
        <v>0</v>
      </c>
      <c r="PP78" s="20" t="n">
        <f aca="false">PN78-PO78</f>
        <v>77053.5689334511</v>
      </c>
      <c r="PQ78" s="20" t="n">
        <f aca="false">IF(AND(HU78=0,CF78=1,PP78&gt;0),MIN(PP78,CG78),0)</f>
        <v>0</v>
      </c>
      <c r="PR78" s="20" t="n">
        <f aca="false">PP78-PQ78</f>
        <v>77053.5689334511</v>
      </c>
      <c r="PS78" s="20" t="n">
        <f aca="false">IF(AND(HU78=0,BV78=1,PR78&gt;0),MIN(PR78,BW78),0)</f>
        <v>0</v>
      </c>
      <c r="PT78" s="20" t="n">
        <f aca="false">PR78-PS78</f>
        <v>77053.5689334511</v>
      </c>
      <c r="PU78" s="20" t="n">
        <f aca="false">IF(AND(HU78=0,BL78=1,PT78&gt;0),MIN(PT78,BM78),0)</f>
        <v>0</v>
      </c>
      <c r="PV78" s="20" t="n">
        <f aca="false">PT78-PU78</f>
        <v>77053.5689334511</v>
      </c>
      <c r="PW78" s="20" t="n">
        <f aca="false">IF(AND(HU78=0,BB78=1,PV78&gt;0),MIN(PV78,BC78),0)</f>
        <v>0</v>
      </c>
      <c r="PX78" s="20" t="n">
        <f aca="false">PV78-PW78</f>
        <v>77053.5689334511</v>
      </c>
      <c r="PY78" s="20" t="n">
        <f aca="false">IF(AND(HU78=0,AR78=1,PX78&gt;0),MIN(PX78,AS78),0)</f>
        <v>0</v>
      </c>
      <c r="PZ78" s="20" t="n">
        <f aca="false">PX78-PY78</f>
        <v>77053.5689334511</v>
      </c>
      <c r="QA78" s="20" t="n">
        <f aca="false">IF(AND(HU78=0,AH78=1,PZ78&gt;0),MIN(PZ78,AI78),0)</f>
        <v>0</v>
      </c>
      <c r="QB78" s="20" t="n">
        <f aca="false">PZ78-QA78</f>
        <v>77053.5689334511</v>
      </c>
      <c r="QC78" s="20" t="n">
        <f aca="false">IF(AND(HU78=0,W78=1,QB78&gt;0),MIN(QB78,X78),0)</f>
        <v>0</v>
      </c>
      <c r="QD78" s="20" t="n">
        <f aca="false">QB78-QC78</f>
        <v>77053.5689334511</v>
      </c>
      <c r="QE78" s="20" t="n">
        <f aca="false">IF(HU78=0,QD78,0)</f>
        <v>77053.5689334511</v>
      </c>
      <c r="QF78" s="20" t="n">
        <f aca="false">OM78+OO78+QC78+QA78+PY78+PW78+PU78+PS78+PQ78+PO78+PM78+PK78+PI78+PG78+PE78+PC78+PA78+OY78+OW78+OU78+OS78+OQ78</f>
        <v>0</v>
      </c>
      <c r="QG78" s="20" t="n">
        <f aca="false">IF(HU78=1,HK78+OJ78+OI78+IF(G78=1,0,OK78),HK78-OM78)</f>
        <v>0</v>
      </c>
      <c r="QH78" s="20" t="n">
        <f aca="false">HL78-OO78</f>
        <v>0</v>
      </c>
      <c r="QI78" s="20" t="n">
        <f aca="false">IF(HU78=1,IF(G78=1,ID78+IE78,HS78),0)</f>
        <v>0</v>
      </c>
      <c r="QJ78" s="20" t="n">
        <f aca="false">IF(HU78=1,IF(G78=1,HS78-ID78-IE78,0),0)</f>
        <v>0</v>
      </c>
      <c r="QK78" s="57" t="n">
        <f aca="false">'Plan holdings'!BM78</f>
        <v>0</v>
      </c>
      <c r="QL78" s="20" t="n">
        <f aca="false">QH78*(1+AS_Cash)</f>
        <v>0</v>
      </c>
      <c r="QM78" s="20" t="n">
        <f aca="false">IF(W78=1,IF(HU78=1,II78+IL78,X78-QC78)*(1+Slot1_Rate),0)</f>
        <v>0</v>
      </c>
      <c r="QN78" s="20" t="n">
        <f aca="false">IF(AND(HU78=1,W78=1),(IH78+IL78)/F78,0)</f>
        <v>0</v>
      </c>
      <c r="QO78" s="20" t="n">
        <f aca="false">IF(B78=0,IH78+IL78,0)</f>
        <v>0</v>
      </c>
      <c r="QP78" s="20" t="n">
        <f aca="false">IF(B78=0,IF(HU78=1,IJ78,IK78),0)</f>
        <v>0</v>
      </c>
      <c r="QQ78" s="20" t="n">
        <f aca="false">IF(AH78=1,IF(HU78=1,IQ78+IT78,AI78-QA78)*(1+Slot2_Rate),0)</f>
        <v>0</v>
      </c>
      <c r="QR78" s="20" t="n">
        <f aca="false">IF(AND(HU78=1,AH78=1),(IP78+IT78)/F78,0)</f>
        <v>0</v>
      </c>
      <c r="QS78" s="20" t="n">
        <f aca="false">IF(B78=0,IP78+IT78,0)</f>
        <v>0</v>
      </c>
      <c r="QT78" s="20" t="n">
        <f aca="false">IF(B78=0,IF(HU78=1,IR78,IS78),0)</f>
        <v>0</v>
      </c>
      <c r="QU78" s="20" t="n">
        <f aca="false">IF(AR78=1,IF(HU78=1,IY78+JB78,AS78-PY78)*(1+Slot3_Rate),0)</f>
        <v>0</v>
      </c>
      <c r="QV78" s="20" t="n">
        <f aca="false">IF(AND(HU78=1,AR78=1),(IX78+JB78)/F78,0)</f>
        <v>0</v>
      </c>
      <c r="QW78" s="20" t="n">
        <f aca="false">IF(B78=0,IX78+JB78,0)</f>
        <v>0</v>
      </c>
      <c r="QX78" s="20" t="n">
        <f aca="false">IF(B78=0,IF(HU78=1,IZ78,JA78),0)</f>
        <v>0</v>
      </c>
      <c r="QY78" s="20" t="n">
        <f aca="false">IF(BB78=1,IF(HU78=1,JG78+JJ78,BC78-PW78)*(1+Slot4_Rate),0)</f>
        <v>0</v>
      </c>
      <c r="QZ78" s="20" t="n">
        <f aca="false">IF(AND(HU78=1,BB78=1),(JF78+JJ78)/F78,0)</f>
        <v>0</v>
      </c>
      <c r="RA78" s="20" t="n">
        <f aca="false">IF(B78=0,JF78+JJ78,0)</f>
        <v>0</v>
      </c>
      <c r="RB78" s="20" t="n">
        <f aca="false">IF(B78=0,IF(HU78=1,JH78,JI78),0)</f>
        <v>0</v>
      </c>
      <c r="RC78" s="20" t="n">
        <f aca="false">IF(BL78=1,IF(HU78=1,JO78+JR78,BM78-PU78)*(1+Slot5_Rate),0)</f>
        <v>0</v>
      </c>
      <c r="RD78" s="20" t="n">
        <f aca="false">IF(AND(HU78=1,BL78=1),(JN78+JR78)/F78,0)</f>
        <v>0</v>
      </c>
      <c r="RE78" s="20" t="n">
        <f aca="false">IF(B78=0,JN78+JR78,0)</f>
        <v>0</v>
      </c>
      <c r="RF78" s="20" t="n">
        <f aca="false">IF(B78=0,IF(HU78=1,JP78,JQ78),0)</f>
        <v>0</v>
      </c>
      <c r="RG78" s="20" t="n">
        <f aca="false">IF(BV78=1,IF(HU78=1,JW78+JZ78,BW78-PS78)*(1+Slot6_Rate),0)</f>
        <v>0</v>
      </c>
      <c r="RH78" s="20" t="n">
        <f aca="false">IF(AND(HU78=1,BV78=1),(JV78+JZ78)/F78,0)</f>
        <v>0</v>
      </c>
      <c r="RI78" s="20" t="n">
        <f aca="false">IF(B78=0,JV78+JZ78,0)</f>
        <v>0</v>
      </c>
      <c r="RJ78" s="20" t="n">
        <f aca="false">IF(B78=0,IF(HU78=1,JX78,JY78),0)</f>
        <v>0</v>
      </c>
      <c r="RK78" s="20" t="n">
        <f aca="false">IF(CF78=1,IF(HU78=1,KE78+KH78,CG78-PQ78)*(1+Slot7_Rate),0)</f>
        <v>0</v>
      </c>
      <c r="RL78" s="20" t="n">
        <f aca="false">IF(AND(HU78=1,CF78=1),(KD78+KH78)/F78,0)</f>
        <v>0</v>
      </c>
      <c r="RM78" s="20" t="n">
        <f aca="false">IF(B78=0,KD78+KH78,0)</f>
        <v>0</v>
      </c>
      <c r="RN78" s="20" t="n">
        <f aca="false">IF(B78=0,IF(HU78=1,KF78,KG78),0)</f>
        <v>0</v>
      </c>
      <c r="RO78" s="20" t="n">
        <f aca="false">IF(CP78=1,IF(HU78=1,KM78+KP78,CQ78-PO78)*(1+Slot8_Rate),0)</f>
        <v>0</v>
      </c>
      <c r="RP78" s="20" t="n">
        <f aca="false">IF(AND(HU78=1,CP78=1),(KL78+KP78)/F78,0)</f>
        <v>0</v>
      </c>
      <c r="RQ78" s="20" t="n">
        <f aca="false">IF(B78=0,KL78+KP78,0)</f>
        <v>0</v>
      </c>
      <c r="RR78" s="20" t="n">
        <f aca="false">IF(B78=0,IF(HU78=1,KN78,KO78),0)</f>
        <v>0</v>
      </c>
      <c r="RS78" s="20" t="n">
        <f aca="false">IF(CZ78=1,IF(HU78=1,KU78+KX78,DA78-PM78)*(1+Slot9_Rate),0)</f>
        <v>0</v>
      </c>
      <c r="RT78" s="20" t="n">
        <f aca="false">IF(AND(HU78=1,CZ78=1),(KT78+KX78)/F78,0)</f>
        <v>0</v>
      </c>
      <c r="RU78" s="20" t="n">
        <f aca="false">IF(B78=0,KT78+KX78,0)</f>
        <v>0</v>
      </c>
      <c r="RV78" s="20" t="n">
        <f aca="false">IF(B78=0,IF(HU78=1,KV78,KW78),0)</f>
        <v>0</v>
      </c>
      <c r="RW78" s="20" t="n">
        <f aca="false">IF(DJ78=1,IF(HU78=1,LC78+LF78,DK78-PK78)*(1+Slot10_Rate),0)</f>
        <v>0</v>
      </c>
      <c r="RX78" s="20" t="n">
        <f aca="false">IF(AND(HU78=1,DJ78=1),(LB78+LF78)/F78,0)</f>
        <v>0</v>
      </c>
      <c r="RY78" s="20" t="n">
        <f aca="false">IF(B78=0,LB78+LF78,0)</f>
        <v>0</v>
      </c>
      <c r="RZ78" s="20" t="n">
        <f aca="false">IF(B78=0,IF(HU78=1,LD78,LE78),0)</f>
        <v>0</v>
      </c>
      <c r="SA78" s="20" t="n">
        <f aca="false">IF(DT78=1,IF(HU78=1,LK78+LN78,DU78-PI78)*(1+Slot11_Rate),0)</f>
        <v>0</v>
      </c>
      <c r="SB78" s="20" t="n">
        <f aca="false">IF(AND(HU78=1,DT78=1),(LJ78+LN78)/F78,0)</f>
        <v>0</v>
      </c>
      <c r="SC78" s="20" t="n">
        <f aca="false">IF(B78=0,LJ78+LN78,0)</f>
        <v>0</v>
      </c>
      <c r="SD78" s="20" t="n">
        <f aca="false">IF(B78=0,IF(HU78=1,LL78,LM78),0)</f>
        <v>0</v>
      </c>
      <c r="SE78" s="20" t="n">
        <f aca="false">IF(ED78=1,IF(HU78=1,LS78+LV78,EE78-PG78)*(1+Slot12_Rate),0)</f>
        <v>0</v>
      </c>
      <c r="SF78" s="20" t="n">
        <f aca="false">IF(AND(HU78=1,ED78=1),(LR78+LV78)/F78,0)</f>
        <v>0</v>
      </c>
      <c r="SG78" s="20" t="n">
        <f aca="false">IF(B78=0,LR78+LV78,0)</f>
        <v>0</v>
      </c>
      <c r="SH78" s="20" t="n">
        <f aca="false">IF(B78=0,IF(HU78=1,LT78,LU78),0)</f>
        <v>0</v>
      </c>
      <c r="SI78" s="20" t="n">
        <f aca="false">IF(EN78=1,IF(HU78=1,MA78+MD78,EO78-PE78)*(1+Slot13_Rate),0)</f>
        <v>0</v>
      </c>
      <c r="SJ78" s="20" t="n">
        <f aca="false">IF(AND(HU78=1,EN78=1),(LZ78+MD78)/F78,0)</f>
        <v>0</v>
      </c>
      <c r="SK78" s="20" t="n">
        <f aca="false">IF(B78=0,LZ78+MD78,0)</f>
        <v>0</v>
      </c>
      <c r="SL78" s="20" t="n">
        <f aca="false">IF(B78=0,IF(HU78=1,MB78,MC78),0)</f>
        <v>0</v>
      </c>
      <c r="SM78" s="20" t="n">
        <f aca="false">IF(EX78=1,IF(HU78=1,MI78+ML78,EY78-PC78)*(1+Slot14_Rate),0)</f>
        <v>0</v>
      </c>
      <c r="SN78" s="20" t="n">
        <f aca="false">IF(AND(HU78=1,EX78=1),(MH78+ML78)/F78,0)</f>
        <v>0</v>
      </c>
      <c r="SO78" s="20" t="n">
        <f aca="false">IF(B78=0,MH78+ML78,0)</f>
        <v>0</v>
      </c>
      <c r="SP78" s="20" t="n">
        <f aca="false">IF(B78=0,IF(HU78=1,MJ78,MK78),0)</f>
        <v>0</v>
      </c>
      <c r="SQ78" s="20" t="n">
        <f aca="false">IF(FH78=1,IF(HU78=1,MQ78+MT78,FI78-PA78)*(1+Slot15_Rate),0)</f>
        <v>0</v>
      </c>
      <c r="SR78" s="20" t="n">
        <f aca="false">IF(AND(HU78=1,FH78=1),(MP78+MT78)/F78,0)</f>
        <v>0</v>
      </c>
      <c r="SS78" s="20" t="n">
        <f aca="false">IF(B78=0,MP78+MT78,0)</f>
        <v>0</v>
      </c>
      <c r="ST78" s="20" t="n">
        <f aca="false">IF(B78=0,IF(HU78=1,MR78,MS78),0)</f>
        <v>0</v>
      </c>
      <c r="SU78" s="20" t="n">
        <f aca="false">IF(FR78=1,IF(HU78=1,MY78+NB78,FS78-OY78)*(1+Slot16_Rate),0)</f>
        <v>0</v>
      </c>
      <c r="SV78" s="20" t="n">
        <f aca="false">IF(AND(HU78=1,FR78=1),(MX78+NB78)/F78,0)</f>
        <v>0</v>
      </c>
      <c r="SW78" s="20" t="n">
        <f aca="false">IF(B78=0,MX78+NB78,0)</f>
        <v>0</v>
      </c>
      <c r="SX78" s="20" t="n">
        <f aca="false">IF(B78=0,IF(HU78=1,MZ78,NA78),0)</f>
        <v>0</v>
      </c>
      <c r="SY78" s="20" t="n">
        <f aca="false">IF(GB78=1,IF(HU78=1,NG78+NJ78,GC78-OW78)*(1+Slot17_Rate),0)</f>
        <v>0</v>
      </c>
      <c r="SZ78" s="20" t="n">
        <f aca="false">IF(AND(HU78=1,GB78=1),(NF78+NJ78)/F78,0)</f>
        <v>0</v>
      </c>
      <c r="TA78" s="20" t="n">
        <f aca="false">IF(B78=0,NF78+NJ78,0)</f>
        <v>0</v>
      </c>
      <c r="TB78" s="20" t="n">
        <f aca="false">IF(B78=0,IF(HU78=1,NH78,NI78),0)</f>
        <v>0</v>
      </c>
      <c r="TC78" s="20" t="n">
        <f aca="false">IF(GL78=1,IF(HU78=1,NO78+NR78,GM78-OU78)*(1+Slot18_Rate),0)</f>
        <v>0</v>
      </c>
      <c r="TD78" s="20" t="n">
        <f aca="false">IF(AND(HU78=1,GL78=1),(NN78+NR78)/F78,0)</f>
        <v>0</v>
      </c>
      <c r="TE78" s="20" t="n">
        <f aca="false">IF(B78=0,NN78+NR78,0)</f>
        <v>0</v>
      </c>
      <c r="TF78" s="20" t="n">
        <f aca="false">IF(B78=0,IF(HU78=1,NP78,NQ78),0)</f>
        <v>0</v>
      </c>
      <c r="TG78" s="20" t="n">
        <f aca="false">IF(GV78=1,IF(HU78=1,NW78+NZ78,GW78-OS78)*(1+Slot19_Rate),0)</f>
        <v>0</v>
      </c>
      <c r="TH78" s="20" t="n">
        <f aca="false">IF(AND(HU78=1,GV78=1),(NV78+NZ78)/F78,0)</f>
        <v>0</v>
      </c>
      <c r="TI78" s="20" t="n">
        <f aca="false">IF(B78=0,NV78+NZ78,0)</f>
        <v>0</v>
      </c>
      <c r="TJ78" s="20" t="n">
        <f aca="false">IF(B78=0,IF(HU78=1,NX78,NY78),0)</f>
        <v>0</v>
      </c>
      <c r="TK78" s="20" t="n">
        <f aca="false">IF(HF78=1,IF(HU78=1,OE78+OH78,HG78-OQ78)*(1+Slot20_Rate),0)</f>
        <v>0</v>
      </c>
      <c r="TL78" s="20" t="n">
        <f aca="false">IF(AND(HU78=1,HF78=1),(OD78+OH78)/F78,0)</f>
        <v>0</v>
      </c>
      <c r="TM78" s="20" t="n">
        <f aca="false">IF(B78=0,OD78+OH78,0)</f>
        <v>0</v>
      </c>
      <c r="TN78" s="20" t="n">
        <f aca="false">IF(B78=0,IF(HU78=1,OF78,OG78),0)</f>
        <v>0</v>
      </c>
      <c r="TO78" s="20" t="n">
        <f aca="false">QK78+QL78+QM78+QQ78+QU78+QY78+RC78+RG78+RK78+RO78+RS78+RW78+SA78+SE78+SI78+SM78+SQ78+SU78+SY78+TC78+TG78+TK78</f>
        <v>0</v>
      </c>
      <c r="TP78" s="20" t="n">
        <f aca="false">QE78+HP78</f>
        <v>77053.5689334511</v>
      </c>
      <c r="TQ78" s="20" t="n">
        <f aca="false">I78+S78</f>
        <v>191178.883052155</v>
      </c>
      <c r="TR78" s="20" t="n">
        <f aca="false">1-G78</f>
        <v>1</v>
      </c>
      <c r="TS78" s="20" t="n">
        <f aca="false">IF(AND(RG_Exists=1,G78=0,C78=1),I78,0)</f>
        <v>0</v>
      </c>
      <c r="TT78" s="20" t="n">
        <f aca="false">IF(AND(RG_Exists=1,G78=0,C78=1),I78-MIN(QE78,I78),0)</f>
        <v>0</v>
      </c>
      <c r="TU78" s="20" t="n">
        <f aca="false">'Plan pay &amp; tax'!AD304</f>
        <v>0</v>
      </c>
      <c r="TV78" s="20" t="n">
        <f aca="false">IF(AND(C78=1,QE78&gt;MAX(PR_Short1,TQ78*PR_Short2)),1,0)</f>
        <v>0</v>
      </c>
      <c r="TW78" s="20" t="n">
        <f aca="false">MIN(H78,I78+S78)</f>
        <v>114125.314118704</v>
      </c>
      <c r="TX78" s="20" t="n">
        <f aca="false">QF78+MAX(0,HQ78-HP78)</f>
        <v>0</v>
      </c>
      <c r="TY78" s="20" t="n">
        <f aca="false">QE78+HP78</f>
        <v>77053.5689334511</v>
      </c>
      <c r="TZ78" s="20" t="n">
        <f aca="false">IF(AND(C78=1,TY78&gt;PR_MinShort),1,0)</f>
        <v>0</v>
      </c>
      <c r="UA78" s="20" t="n">
        <f aca="false">IF(AND(C78=1,TZ78=0,TX78&gt;PR_MinShort),1,0)</f>
        <v>0</v>
      </c>
      <c r="UB78" s="20" t="n">
        <f aca="false">IF(AND(C78=1,QE78&gt;PR_MinShort),1,0)</f>
        <v>0</v>
      </c>
      <c r="UC78" s="20" t="n">
        <f aca="false">IF(AND(C78=1,QF78&gt;1,UJ78=0),1,0)</f>
        <v>0</v>
      </c>
      <c r="UD78" s="20" t="str">
        <f aca="false">IF(C78=0,"",IF(UJ78=1,"Gap to plan for: short "&amp;"€"&amp;TEXT(ROUND(TP78,0),"#,##0"),IF(QF78&gt;1,"Using savings","Comfortable")))</f>
        <v/>
      </c>
      <c r="UE78" s="20" t="n">
        <f aca="false">IF(AND(INT(D78/10)*10=90,B78&gt;0),80,INT(D78/10)*10)</f>
        <v>100</v>
      </c>
      <c r="UF78" s="20" t="n">
        <f aca="false">IF(B78=0,1,IF(UE78&lt;&gt;UE77,UF77+1,UF77))</f>
        <v>7</v>
      </c>
      <c r="UG78" s="20" t="n">
        <f aca="false">IF(AND(C78=1,G78=1,QE78&gt;MAX(PR_Short1,TQ78*PR_Short2)),1,0)</f>
        <v>0</v>
      </c>
      <c r="UH78" s="20" t="n">
        <f aca="false">TR78*TV78</f>
        <v>0</v>
      </c>
      <c r="UI78" s="20" t="n">
        <f aca="false">IF(AND(V78=1,Slot1_PctLow=1),1,0)+IF(AND(AG78=1,Slot2_PctLow=1),1,0)+IF(AND(AQ78=1,Slot3_PctLow=1),1,0)+IF(AND(BA78=1,Slot4_PctLow=1),1,0)+IF(AND(BK78=1,Slot5_PctLow=1),1,0)+IF(AND(BU78=1,Slot6_PctLow=1),1,0)+IF(AND(CE78=1,Slot7_PctLow=1),1,0)+IF(AND(CO78=1,Slot8_PctLow=1),1,0)+IF(AND(CY78=1,Slot9_PctLow=1),1,0)+IF(AND(DI78=1,Slot10_PctLow=1),1,0)+IF(AND(DS78=1,Slot11_PctLow=1),1,0)+IF(AND(EC78=1,Slot12_PctLow=1),1,0)+IF(AND(EM78=1,Slot13_PctLow=1),1,0)+IF(AND(EW78=1,Slot14_PctLow=1),1,0)+IF(AND(FG78=1,Slot15_PctLow=1),1,0)+IF(AND(FQ78=1,Slot16_PctLow=1),1,0)+IF(AND(GA78=1,Slot17_PctLow=1),1,0)+IF(AND(GK78=1,Slot18_PctLow=1),1,0)+IF(AND(GU78=1,Slot19_PctLow=1),1,0)+IF(AND(HE78=1,Slot20_PctLow=1),1,0)</f>
        <v>0</v>
      </c>
      <c r="UJ78" s="20" t="n">
        <f aca="false">IF(C78=1,IF(OR(TV78=1,UI78&gt;0),1,0),0)</f>
        <v>0</v>
      </c>
      <c r="UK78" s="20" t="n">
        <f aca="false">Z78+AK78+AU78+BE78+BO78+BY78+CI78+CS78+DC78+DM78+DW78+EG78+EQ78+FA78+FK78+FU78+GE78+GO78+GY78+HI78+OM78</f>
        <v>0</v>
      </c>
      <c r="UL78" s="20" t="n">
        <f aca="false">V78*IF(Slot1_SpendLike=1,X78-Y78,IF(Slot1_PotFree=1,X78,0))+AG78*IF(Slot2_SpendLike=1,AI78-AJ78,IF(Slot2_PotFree=1,AI78,0))+AQ78*IF(Slot3_SpendLike=1,AS78-AT78,IF(Slot3_PotFree=1,AS78,0))+BA78*IF(Slot4_SpendLike=1,BC78-BD78,IF(Slot4_PotFree=1,BC78,0))+BK78*IF(Slot5_SpendLike=1,BM78-BN78,IF(Slot5_PotFree=1,BM78,0))+BU78*IF(Slot6_SpendLike=1,BW78-BX78,IF(Slot6_PotFree=1,BW78,0))+CE78*IF(Slot7_SpendLike=1,CG78-CH78,IF(Slot7_PotFree=1,CG78,0))+CO78*IF(Slot8_SpendLike=1,CQ78-CR78,IF(Slot8_PotFree=1,CQ78,0))+CY78*IF(Slot9_SpendLike=1,DA78-DB78,IF(Slot9_PotFree=1,DA78,0))+DI78*IF(Slot10_SpendLike=1,DK78-DL78,IF(Slot10_PotFree=1,DK78,0))+DS78*IF(Slot11_SpendLike=1,DU78-DV78,IF(Slot11_PotFree=1,DU78,0))+EC78*IF(Slot12_SpendLike=1,EE78-EF78,IF(Slot12_PotFree=1,EE78,0))+EM78*IF(Slot13_SpendLike=1,EO78-EP78,IF(Slot13_PotFree=1,EO78,0))+EW78*IF(Slot14_SpendLike=1,EY78-EZ78,IF(Slot14_PotFree=1,EY78,0))+FG78*IF(Slot15_SpendLike=1,FI78-FJ78,IF(Slot15_PotFree=1,FI78,0))+FQ78*IF(Slot16_SpendLike=1,FS78-FT78,IF(Slot16_PotFree=1,FS78,0))+GA78*IF(Slot17_SpendLike=1,GC78-GD78,IF(Slot17_PotFree=1,GC78,0))+GK78*IF(Slot18_SpendLike=1,GM78-GN78,IF(Slot18_PotFree=1,GM78,0))+GU78*IF(Slot19_SpendLike=1,GW78-GX78,IF(Slot19_PotFree=1,GW78,0))+HE78*IF(Slot20_SpendLike=1,HG78-HH78,IF(Slot20_PotFree=1,HG78,0))</f>
        <v>0</v>
      </c>
      <c r="UM78" s="20" t="n">
        <f aca="false">QG78-T78+UK78-UL78</f>
        <v>0</v>
      </c>
      <c r="UN78" s="20" t="n">
        <f aca="false">IF(OR(UN77=1,AND(In_homeUse="Yes, I'd downsize",In_downAge&gt;0,D78=In_downAge,OR(In_home="Own outright",In_home="Own with mortgage"),In_homeValue&gt;0)),1,0)</f>
        <v>0</v>
      </c>
    </row>
    <row r="79" customFormat="false" ht="15" hidden="false" customHeight="true" outlineLevel="0" collapsed="false">
      <c r="B79" s="20" t="n">
        <v>71</v>
      </c>
      <c r="C79" s="20" t="n">
        <f aca="false">IF(B79&lt;=F_N,1,0)</f>
        <v>0</v>
      </c>
      <c r="D79" s="20" t="n">
        <f aca="false">'Plan pay &amp; tax'!C305</f>
        <v>109</v>
      </c>
      <c r="E79" s="20" t="str">
        <f aca="false">IF($C79=1,"Income tax "&amp;TEXT(N('Plan pay &amp; tax'!BK305),"#,##0")&amp;"; USC "&amp;TEXT(N('Plan pay &amp; tax'!BM305)+N('Plan pay &amp; tax'!BO305),"#,##0")&amp;"; PRSI "&amp;TEXT(N('Plan pay &amp; tax'!BP305)+N('Plan pay &amp; tax'!BQ305),"#,##0")&amp;IF(N('Plan holdings'!BO79)&gt;=0.5,"; DIRT "&amp;TEXT(('Plan holdings'!BO79)/$F79,"#,##0")&amp;" (already taken from the interest earned)","")&amp;IF(N('Plan holdings'!BP79)&gt;=0.5,"; exit tax at an 8-year anniversary "&amp;TEXT(('Plan holdings'!BP79)/$F79,"#,##0"),"")&amp;IF(N('Plan holdings'!BN79)&gt;=0.5,"; tax on assets sold (exit tax or capital gains tax) "&amp;TEXT(('Plan holdings'!BN79)/$F79,"#,##0"),"")&amp;IF(N('Plan pay &amp; tax'!X305)-N('Plan pay &amp; tax'!Y305)&gt;=0.5,"; tax on the pension lump sum "&amp;TEXT(('Plan pay &amp; tax'!X305-'Plan pay &amp; tax'!Y305)/$F79,"#,##0"),"")&amp;IF(N('Plan pay &amp; tax'!V305)&gt;=0.5,"; chargeable excess tax on the pension "&amp;TEXT(('Plan pay &amp; tax'!V305)/$F79,"#,##0"),"")&amp;".","")</f>
        <v/>
      </c>
      <c r="F79" s="50" t="n">
        <f aca="false">'Plan pay &amp; tax'!E305</f>
        <v>4.07954938730541</v>
      </c>
      <c r="G79" s="20" t="n">
        <f aca="false">'Plan pay &amp; tax'!G305</f>
        <v>0</v>
      </c>
      <c r="H79" s="20" t="n">
        <f aca="false">'Plan pay &amp; tax'!BT305-'Plan pay &amp; tax'!BS305-'Plan pay &amp; tax'!R305</f>
        <v>116407.820401078</v>
      </c>
      <c r="I79" s="20" t="n">
        <f aca="false">IF(G79=1,F_CostsM*12,IF(RG_Exists=1,RG_Amount,F_CostsM*12*AS_RetireSpend))*F79+F_OneOffY*F79</f>
        <v>195002.460713199</v>
      </c>
      <c r="J79" s="20" t="n">
        <f aca="false">IF(UN79=1,0,HR78)</f>
        <v>0</v>
      </c>
      <c r="K79" s="20" t="n">
        <f aca="false">IF(J79&gt;1,'Plan debt months'!AC79,0)</f>
        <v>0</v>
      </c>
      <c r="L79" s="20" t="n">
        <f aca="false">IF(J79&gt;1,'Plan debt months'!AB79,J79)</f>
        <v>0</v>
      </c>
      <c r="M79" s="20" t="n">
        <f aca="false">O78</f>
        <v>0</v>
      </c>
      <c r="N79" s="20" t="n">
        <f aca="false">IF(M79&gt;1,'Plan debt months'!BD79,0)</f>
        <v>0</v>
      </c>
      <c r="O79" s="20" t="n">
        <f aca="false">IF(M79&gt;1,'Plan debt months'!BC79,M79)</f>
        <v>0</v>
      </c>
      <c r="P79" s="20" t="n">
        <f aca="false">R78</f>
        <v>0</v>
      </c>
      <c r="Q79" s="20" t="n">
        <f aca="false">IF(P79&gt;1,'Plan debt months'!CE79,0)</f>
        <v>0</v>
      </c>
      <c r="R79" s="20" t="n">
        <f aca="false">IF(P79&gt;1,'Plan debt months'!CD79,P79)</f>
        <v>0</v>
      </c>
      <c r="S79" s="20" t="n">
        <f aca="false">K79+N79+Q79</f>
        <v>0</v>
      </c>
      <c r="T79" s="57" t="n">
        <f aca="false">'Plan holdings'!Y79</f>
        <v>0</v>
      </c>
      <c r="U79" s="57" t="n">
        <f aca="false">'Plan holdings'!BM78</f>
        <v>0</v>
      </c>
      <c r="V79" s="20" t="n">
        <f aca="false">IF(AND(Slot1_On=1,D79=Slot1_Age),1,0)</f>
        <v>0</v>
      </c>
      <c r="W79" s="20" t="n">
        <f aca="false">IF(AND(Slot1_On=1,Slot1_Age&gt;D79),1,0)</f>
        <v>0</v>
      </c>
      <c r="X79" s="20" t="n">
        <f aca="false">QM78</f>
        <v>0</v>
      </c>
      <c r="Y79" s="20" t="n">
        <f aca="false">V79*MIN(Slot1_Cost,X79)</f>
        <v>0</v>
      </c>
      <c r="Z79" s="20" t="n">
        <f aca="false">V79*Slot1_SpendLike*MIN(Slot1_Cost-Y79,T79)</f>
        <v>0</v>
      </c>
      <c r="AA79" s="20" t="n">
        <f aca="false">Y79+Z79</f>
        <v>0</v>
      </c>
      <c r="AB79" s="20" t="n">
        <f aca="false">T79-Z79+V79*IF(Slot1_SpendLike=1,X79-Y79,IF(Slot1_PotFree=1,X79,0))</f>
        <v>0</v>
      </c>
      <c r="AC79" s="20" t="n">
        <f aca="false">AF79+V79*Slot1_BufPot*X79</f>
        <v>0</v>
      </c>
      <c r="AD79" s="20" t="n">
        <f aca="false">IF(AND(V79=1,Slot1_IsMfree=1),IF(AA79&gt;=Slot1_Cost-1,0,MAX(0,L79-AA79)),L79)</f>
        <v>0</v>
      </c>
      <c r="AE79" s="20" t="n">
        <f aca="false">V79*(Slot1_Cost-AA79)</f>
        <v>0</v>
      </c>
      <c r="AF79" s="20" t="n">
        <f aca="false">QL78</f>
        <v>0</v>
      </c>
      <c r="AG79" s="20" t="n">
        <f aca="false">IF(AND(Slot2_On=1,D79=Slot2_Age),1,0)</f>
        <v>0</v>
      </c>
      <c r="AH79" s="20" t="n">
        <f aca="false">IF(AND(Slot2_On=1,Slot2_Age&gt;D79),1,0)</f>
        <v>0</v>
      </c>
      <c r="AI79" s="20" t="n">
        <f aca="false">QQ78</f>
        <v>0</v>
      </c>
      <c r="AJ79" s="20" t="n">
        <f aca="false">AG79*MIN(Slot2_Cost,AI79)</f>
        <v>0</v>
      </c>
      <c r="AK79" s="20" t="n">
        <f aca="false">AG79*Slot2_SpendLike*MIN(Slot2_Cost-AJ79,AB79)</f>
        <v>0</v>
      </c>
      <c r="AL79" s="20" t="n">
        <f aca="false">AJ79+AK79</f>
        <v>0</v>
      </c>
      <c r="AM79" s="20" t="n">
        <f aca="false">AB79-AK79+AG79*IF(Slot2_SpendLike=1,AI79-AJ79,IF(Slot2_PotFree=1,AI79,0))</f>
        <v>0</v>
      </c>
      <c r="AN79" s="20" t="n">
        <f aca="false">AC79+AG79*Slot2_BufPot*AI79</f>
        <v>0</v>
      </c>
      <c r="AO79" s="20" t="n">
        <f aca="false">IF(AND(AG79=1,Slot2_IsMfree=1),IF(AL79&gt;=Slot2_Cost-1,0,MAX(0,AD79-AL79)),AD79)</f>
        <v>0</v>
      </c>
      <c r="AP79" s="20" t="n">
        <f aca="false">AG79*(Slot2_Cost-AL79)</f>
        <v>0</v>
      </c>
      <c r="AQ79" s="20" t="n">
        <f aca="false">IF(AND(Slot3_On=1,D79=Slot3_Age),1,0)</f>
        <v>0</v>
      </c>
      <c r="AR79" s="20" t="n">
        <f aca="false">IF(AND(Slot3_On=1,Slot3_Age&gt;D79),1,0)</f>
        <v>0</v>
      </c>
      <c r="AS79" s="20" t="n">
        <f aca="false">QU78</f>
        <v>0</v>
      </c>
      <c r="AT79" s="20" t="n">
        <f aca="false">AQ79*MIN(Slot3_Cost,AS79)</f>
        <v>0</v>
      </c>
      <c r="AU79" s="20" t="n">
        <f aca="false">AQ79*Slot3_SpendLike*MIN(Slot3_Cost-AT79,AM79)</f>
        <v>0</v>
      </c>
      <c r="AV79" s="20" t="n">
        <f aca="false">AT79+AU79</f>
        <v>0</v>
      </c>
      <c r="AW79" s="20" t="n">
        <f aca="false">AM79-AU79+AQ79*IF(Slot3_SpendLike=1,AS79-AT79,IF(Slot3_PotFree=1,AS79,0))</f>
        <v>0</v>
      </c>
      <c r="AX79" s="20" t="n">
        <f aca="false">AN79+AQ79*Slot3_BufPot*AS79</f>
        <v>0</v>
      </c>
      <c r="AY79" s="20" t="n">
        <f aca="false">IF(AND(AQ79=1,Slot3_IsMfree=1),IF(AV79&gt;=Slot3_Cost-1,0,MAX(0,AO79-AV79)),AO79)</f>
        <v>0</v>
      </c>
      <c r="AZ79" s="20" t="n">
        <f aca="false">AQ79*(Slot3_Cost-AV79)</f>
        <v>0</v>
      </c>
      <c r="BA79" s="20" t="n">
        <f aca="false">IF(AND(Slot4_On=1,D79=Slot4_Age),1,0)</f>
        <v>0</v>
      </c>
      <c r="BB79" s="20" t="n">
        <f aca="false">IF(AND(Slot4_On=1,Slot4_Age&gt;D79),1,0)</f>
        <v>0</v>
      </c>
      <c r="BC79" s="20" t="n">
        <f aca="false">QY78</f>
        <v>0</v>
      </c>
      <c r="BD79" s="20" t="n">
        <f aca="false">BA79*MIN(Slot4_Cost,BC79)</f>
        <v>0</v>
      </c>
      <c r="BE79" s="20" t="n">
        <f aca="false">BA79*Slot4_SpendLike*MIN(Slot4_Cost-BD79,AW79)</f>
        <v>0</v>
      </c>
      <c r="BF79" s="20" t="n">
        <f aca="false">BD79+BE79</f>
        <v>0</v>
      </c>
      <c r="BG79" s="20" t="n">
        <f aca="false">AW79-BE79+BA79*IF(Slot4_SpendLike=1,BC79-BD79,IF(Slot4_PotFree=1,BC79,0))</f>
        <v>0</v>
      </c>
      <c r="BH79" s="20" t="n">
        <f aca="false">AX79+BA79*Slot4_BufPot*BC79</f>
        <v>0</v>
      </c>
      <c r="BI79" s="20" t="n">
        <f aca="false">IF(AND(BA79=1,Slot4_IsMfree=1),IF(BF79&gt;=Slot4_Cost-1,0,MAX(0,AY79-BF79)),AY79)</f>
        <v>0</v>
      </c>
      <c r="BJ79" s="20" t="n">
        <f aca="false">BA79*(Slot4_Cost-BF79)</f>
        <v>0</v>
      </c>
      <c r="BK79" s="20" t="n">
        <f aca="false">IF(AND(Slot5_On=1,D79=Slot5_Age),1,0)</f>
        <v>0</v>
      </c>
      <c r="BL79" s="20" t="n">
        <f aca="false">IF(AND(Slot5_On=1,Slot5_Age&gt;D79),1,0)</f>
        <v>0</v>
      </c>
      <c r="BM79" s="20" t="n">
        <f aca="false">RC78</f>
        <v>0</v>
      </c>
      <c r="BN79" s="20" t="n">
        <f aca="false">BK79*MIN(Slot5_Cost,BM79)</f>
        <v>0</v>
      </c>
      <c r="BO79" s="20" t="n">
        <f aca="false">BK79*Slot5_SpendLike*MIN(Slot5_Cost-BN79,BG79)</f>
        <v>0</v>
      </c>
      <c r="BP79" s="20" t="n">
        <f aca="false">BN79+BO79</f>
        <v>0</v>
      </c>
      <c r="BQ79" s="20" t="n">
        <f aca="false">BG79-BO79+BK79*IF(Slot5_SpendLike=1,BM79-BN79,IF(Slot5_PotFree=1,BM79,0))</f>
        <v>0</v>
      </c>
      <c r="BR79" s="20" t="n">
        <f aca="false">BH79+BK79*Slot5_BufPot*BM79</f>
        <v>0</v>
      </c>
      <c r="BS79" s="20" t="n">
        <f aca="false">IF(AND(BK79=1,Slot5_IsMfree=1),IF(BP79&gt;=Slot5_Cost-1,0,MAX(0,BI79-BP79)),BI79)</f>
        <v>0</v>
      </c>
      <c r="BT79" s="20" t="n">
        <f aca="false">BK79*(Slot5_Cost-BP79)</f>
        <v>0</v>
      </c>
      <c r="BU79" s="20" t="n">
        <f aca="false">IF(AND(Slot6_On=1,D79=Slot6_Age),1,0)</f>
        <v>0</v>
      </c>
      <c r="BV79" s="20" t="n">
        <f aca="false">IF(AND(Slot6_On=1,Slot6_Age&gt;D79),1,0)</f>
        <v>0</v>
      </c>
      <c r="BW79" s="20" t="n">
        <f aca="false">RG78</f>
        <v>0</v>
      </c>
      <c r="BX79" s="20" t="n">
        <f aca="false">BU79*MIN(Slot6_Cost,BW79)</f>
        <v>0</v>
      </c>
      <c r="BY79" s="20" t="n">
        <f aca="false">BU79*Slot6_SpendLike*MIN(Slot6_Cost-BX79,BQ79)</f>
        <v>0</v>
      </c>
      <c r="BZ79" s="20" t="n">
        <f aca="false">BX79+BY79</f>
        <v>0</v>
      </c>
      <c r="CA79" s="20" t="n">
        <f aca="false">BQ79-BY79+BU79*IF(Slot6_SpendLike=1,BW79-BX79,IF(Slot6_PotFree=1,BW79,0))</f>
        <v>0</v>
      </c>
      <c r="CB79" s="20" t="n">
        <f aca="false">BR79+BU79*Slot6_BufPot*BW79</f>
        <v>0</v>
      </c>
      <c r="CC79" s="20" t="n">
        <f aca="false">IF(AND(BU79=1,Slot6_IsMfree=1),IF(BZ79&gt;=Slot6_Cost-1,0,MAX(0,BS79-BZ79)),BS79)</f>
        <v>0</v>
      </c>
      <c r="CD79" s="20" t="n">
        <f aca="false">BU79*(Slot6_Cost-BZ79)</f>
        <v>0</v>
      </c>
      <c r="CE79" s="20" t="n">
        <f aca="false">IF(AND(Slot7_On=1,D79=Slot7_Age),1,0)</f>
        <v>0</v>
      </c>
      <c r="CF79" s="20" t="n">
        <f aca="false">IF(AND(Slot7_On=1,Slot7_Age&gt;D79),1,0)</f>
        <v>0</v>
      </c>
      <c r="CG79" s="20" t="n">
        <f aca="false">RK78</f>
        <v>0</v>
      </c>
      <c r="CH79" s="20" t="n">
        <f aca="false">CE79*MIN(Slot7_Cost,CG79)</f>
        <v>0</v>
      </c>
      <c r="CI79" s="20" t="n">
        <f aca="false">CE79*Slot7_SpendLike*MIN(Slot7_Cost-CH79,CA79)</f>
        <v>0</v>
      </c>
      <c r="CJ79" s="20" t="n">
        <f aca="false">CH79+CI79</f>
        <v>0</v>
      </c>
      <c r="CK79" s="20" t="n">
        <f aca="false">CA79-CI79+CE79*IF(Slot7_SpendLike=1,CG79-CH79,IF(Slot7_PotFree=1,CG79,0))</f>
        <v>0</v>
      </c>
      <c r="CL79" s="20" t="n">
        <f aca="false">CB79+CE79*Slot7_BufPot*CG79</f>
        <v>0</v>
      </c>
      <c r="CM79" s="20" t="n">
        <f aca="false">IF(AND(CE79=1,Slot7_IsMfree=1),IF(CJ79&gt;=Slot7_Cost-1,0,MAX(0,CC79-CJ79)),CC79)</f>
        <v>0</v>
      </c>
      <c r="CN79" s="20" t="n">
        <f aca="false">CE79*(Slot7_Cost-CJ79)</f>
        <v>0</v>
      </c>
      <c r="CO79" s="20" t="n">
        <f aca="false">IF(AND(Slot8_On=1,D79=Slot8_Age),1,0)</f>
        <v>0</v>
      </c>
      <c r="CP79" s="20" t="n">
        <f aca="false">IF(AND(Slot8_On=1,Slot8_Age&gt;D79),1,0)</f>
        <v>0</v>
      </c>
      <c r="CQ79" s="20" t="n">
        <f aca="false">RO78</f>
        <v>0</v>
      </c>
      <c r="CR79" s="20" t="n">
        <f aca="false">CO79*MIN(Slot8_Cost,CQ79)</f>
        <v>0</v>
      </c>
      <c r="CS79" s="20" t="n">
        <f aca="false">CO79*Slot8_SpendLike*MIN(Slot8_Cost-CR79,CK79)</f>
        <v>0</v>
      </c>
      <c r="CT79" s="20" t="n">
        <f aca="false">CR79+CS79</f>
        <v>0</v>
      </c>
      <c r="CU79" s="20" t="n">
        <f aca="false">CK79-CS79+CO79*IF(Slot8_SpendLike=1,CQ79-CR79,IF(Slot8_PotFree=1,CQ79,0))</f>
        <v>0</v>
      </c>
      <c r="CV79" s="20" t="n">
        <f aca="false">CL79+CO79*Slot8_BufPot*CQ79</f>
        <v>0</v>
      </c>
      <c r="CW79" s="20" t="n">
        <f aca="false">IF(AND(CO79=1,Slot8_IsMfree=1),IF(CT79&gt;=Slot8_Cost-1,0,MAX(0,CM79-CT79)),CM79)</f>
        <v>0</v>
      </c>
      <c r="CX79" s="20" t="n">
        <f aca="false">CO79*(Slot8_Cost-CT79)</f>
        <v>0</v>
      </c>
      <c r="CY79" s="20" t="n">
        <f aca="false">IF(AND(Slot9_On=1,D79=Slot9_Age),1,0)</f>
        <v>0</v>
      </c>
      <c r="CZ79" s="20" t="n">
        <f aca="false">IF(AND(Slot9_On=1,Slot9_Age&gt;D79),1,0)</f>
        <v>0</v>
      </c>
      <c r="DA79" s="20" t="n">
        <f aca="false">RS78</f>
        <v>0</v>
      </c>
      <c r="DB79" s="20" t="n">
        <f aca="false">CY79*MIN(Slot9_Cost,DA79)</f>
        <v>0</v>
      </c>
      <c r="DC79" s="20" t="n">
        <f aca="false">CY79*Slot9_SpendLike*MIN(Slot9_Cost-DB79,CU79)</f>
        <v>0</v>
      </c>
      <c r="DD79" s="20" t="n">
        <f aca="false">DB79+DC79</f>
        <v>0</v>
      </c>
      <c r="DE79" s="20" t="n">
        <f aca="false">CU79-DC79+CY79*IF(Slot9_SpendLike=1,DA79-DB79,IF(Slot9_PotFree=1,DA79,0))</f>
        <v>0</v>
      </c>
      <c r="DF79" s="20" t="n">
        <f aca="false">CV79+CY79*Slot9_BufPot*DA79</f>
        <v>0</v>
      </c>
      <c r="DG79" s="20" t="n">
        <f aca="false">IF(AND(CY79=1,Slot9_IsMfree=1),IF(DD79&gt;=Slot9_Cost-1,0,MAX(0,CW79-DD79)),CW79)</f>
        <v>0</v>
      </c>
      <c r="DH79" s="20" t="n">
        <f aca="false">CY79*(Slot9_Cost-DD79)</f>
        <v>0</v>
      </c>
      <c r="DI79" s="20" t="n">
        <f aca="false">IF(AND(Slot10_On=1,D79=Slot10_Age),1,0)</f>
        <v>0</v>
      </c>
      <c r="DJ79" s="20" t="n">
        <f aca="false">IF(AND(Slot10_On=1,Slot10_Age&gt;D79),1,0)</f>
        <v>0</v>
      </c>
      <c r="DK79" s="20" t="n">
        <f aca="false">RW78</f>
        <v>0</v>
      </c>
      <c r="DL79" s="20" t="n">
        <f aca="false">DI79*MIN(Slot10_Cost,DK79)</f>
        <v>0</v>
      </c>
      <c r="DM79" s="20" t="n">
        <f aca="false">DI79*Slot10_SpendLike*MIN(Slot10_Cost-DL79,DE79)</f>
        <v>0</v>
      </c>
      <c r="DN79" s="20" t="n">
        <f aca="false">DL79+DM79</f>
        <v>0</v>
      </c>
      <c r="DO79" s="20" t="n">
        <f aca="false">DE79-DM79+DI79*IF(Slot10_SpendLike=1,DK79-DL79,IF(Slot10_PotFree=1,DK79,0))</f>
        <v>0</v>
      </c>
      <c r="DP79" s="20" t="n">
        <f aca="false">DF79+DI79*Slot10_BufPot*DK79</f>
        <v>0</v>
      </c>
      <c r="DQ79" s="20" t="n">
        <f aca="false">IF(AND(DI79=1,Slot10_IsMfree=1),IF(DN79&gt;=Slot10_Cost-1,0,MAX(0,DG79-DN79)),DG79)</f>
        <v>0</v>
      </c>
      <c r="DR79" s="20" t="n">
        <f aca="false">DI79*(Slot10_Cost-DN79)</f>
        <v>0</v>
      </c>
      <c r="DS79" s="20" t="n">
        <f aca="false">IF(AND(Slot11_On=1,D79=Slot11_Age),1,0)</f>
        <v>0</v>
      </c>
      <c r="DT79" s="20" t="n">
        <f aca="false">IF(AND(Slot11_On=1,Slot11_Age&gt;D79),1,0)</f>
        <v>0</v>
      </c>
      <c r="DU79" s="20" t="n">
        <f aca="false">SA78</f>
        <v>0</v>
      </c>
      <c r="DV79" s="20" t="n">
        <f aca="false">DS79*MIN(Slot11_Cost,DU79)</f>
        <v>0</v>
      </c>
      <c r="DW79" s="20" t="n">
        <f aca="false">DS79*Slot11_SpendLike*MIN(Slot11_Cost-DV79,DO79)</f>
        <v>0</v>
      </c>
      <c r="DX79" s="20" t="n">
        <f aca="false">DV79+DW79</f>
        <v>0</v>
      </c>
      <c r="DY79" s="20" t="n">
        <f aca="false">DO79-DW79+DS79*IF(Slot11_SpendLike=1,DU79-DV79,IF(Slot11_PotFree=1,DU79,0))</f>
        <v>0</v>
      </c>
      <c r="DZ79" s="20" t="n">
        <f aca="false">DP79+DS79*Slot11_BufPot*DU79</f>
        <v>0</v>
      </c>
      <c r="EA79" s="20" t="n">
        <f aca="false">IF(AND(DS79=1,Slot11_IsMfree=1),IF(DX79&gt;=Slot11_Cost-1,0,MAX(0,DQ79-DX79)),DQ79)</f>
        <v>0</v>
      </c>
      <c r="EB79" s="20" t="n">
        <f aca="false">DS79*(Slot11_Cost-DX79)</f>
        <v>0</v>
      </c>
      <c r="EC79" s="20" t="n">
        <f aca="false">IF(AND(Slot12_On=1,D79=Slot12_Age),1,0)</f>
        <v>0</v>
      </c>
      <c r="ED79" s="20" t="n">
        <f aca="false">IF(AND(Slot12_On=1,Slot12_Age&gt;D79),1,0)</f>
        <v>0</v>
      </c>
      <c r="EE79" s="20" t="n">
        <f aca="false">SE78</f>
        <v>0</v>
      </c>
      <c r="EF79" s="20" t="n">
        <f aca="false">EC79*MIN(Slot12_Cost,EE79)</f>
        <v>0</v>
      </c>
      <c r="EG79" s="20" t="n">
        <f aca="false">EC79*Slot12_SpendLike*MIN(Slot12_Cost-EF79,DY79)</f>
        <v>0</v>
      </c>
      <c r="EH79" s="20" t="n">
        <f aca="false">EF79+EG79</f>
        <v>0</v>
      </c>
      <c r="EI79" s="20" t="n">
        <f aca="false">DY79-EG79+EC79*IF(Slot12_SpendLike=1,EE79-EF79,IF(Slot12_PotFree=1,EE79,0))</f>
        <v>0</v>
      </c>
      <c r="EJ79" s="20" t="n">
        <f aca="false">DZ79+EC79*Slot12_BufPot*EE79</f>
        <v>0</v>
      </c>
      <c r="EK79" s="20" t="n">
        <f aca="false">IF(AND(EC79=1,Slot12_IsMfree=1),IF(EH79&gt;=Slot12_Cost-1,0,MAX(0,EA79-EH79)),EA79)</f>
        <v>0</v>
      </c>
      <c r="EL79" s="20" t="n">
        <f aca="false">EC79*(Slot12_Cost-EH79)</f>
        <v>0</v>
      </c>
      <c r="EM79" s="20" t="n">
        <f aca="false">IF(AND(Slot13_On=1,D79=Slot13_Age),1,0)</f>
        <v>0</v>
      </c>
      <c r="EN79" s="20" t="n">
        <f aca="false">IF(AND(Slot13_On=1,Slot13_Age&gt;D79),1,0)</f>
        <v>0</v>
      </c>
      <c r="EO79" s="20" t="n">
        <f aca="false">SI78</f>
        <v>0</v>
      </c>
      <c r="EP79" s="20" t="n">
        <f aca="false">EM79*MIN(Slot13_Cost,EO79)</f>
        <v>0</v>
      </c>
      <c r="EQ79" s="20" t="n">
        <f aca="false">EM79*Slot13_SpendLike*MIN(Slot13_Cost-EP79,EI79)</f>
        <v>0</v>
      </c>
      <c r="ER79" s="20" t="n">
        <f aca="false">EP79+EQ79</f>
        <v>0</v>
      </c>
      <c r="ES79" s="20" t="n">
        <f aca="false">EI79-EQ79+EM79*IF(Slot13_SpendLike=1,EO79-EP79,IF(Slot13_PotFree=1,EO79,0))</f>
        <v>0</v>
      </c>
      <c r="ET79" s="20" t="n">
        <f aca="false">EJ79+EM79*Slot13_BufPot*EO79</f>
        <v>0</v>
      </c>
      <c r="EU79" s="20" t="n">
        <f aca="false">IF(AND(EM79=1,Slot13_IsMfree=1),IF(ER79&gt;=Slot13_Cost-1,0,MAX(0,EK79-ER79)),EK79)</f>
        <v>0</v>
      </c>
      <c r="EV79" s="20" t="n">
        <f aca="false">EM79*(Slot13_Cost-ER79)</f>
        <v>0</v>
      </c>
      <c r="EW79" s="20" t="n">
        <f aca="false">IF(AND(Slot14_On=1,D79=Slot14_Age),1,0)</f>
        <v>0</v>
      </c>
      <c r="EX79" s="20" t="n">
        <f aca="false">IF(AND(Slot14_On=1,Slot14_Age&gt;D79),1,0)</f>
        <v>0</v>
      </c>
      <c r="EY79" s="20" t="n">
        <f aca="false">SM78</f>
        <v>0</v>
      </c>
      <c r="EZ79" s="20" t="n">
        <f aca="false">EW79*MIN(Slot14_Cost,EY79)</f>
        <v>0</v>
      </c>
      <c r="FA79" s="20" t="n">
        <f aca="false">EW79*Slot14_SpendLike*MIN(Slot14_Cost-EZ79,ES79)</f>
        <v>0</v>
      </c>
      <c r="FB79" s="20" t="n">
        <f aca="false">EZ79+FA79</f>
        <v>0</v>
      </c>
      <c r="FC79" s="20" t="n">
        <f aca="false">ES79-FA79+EW79*IF(Slot14_SpendLike=1,EY79-EZ79,IF(Slot14_PotFree=1,EY79,0))</f>
        <v>0</v>
      </c>
      <c r="FD79" s="20" t="n">
        <f aca="false">ET79+EW79*Slot14_BufPot*EY79</f>
        <v>0</v>
      </c>
      <c r="FE79" s="20" t="n">
        <f aca="false">IF(AND(EW79=1,Slot14_IsMfree=1),IF(FB79&gt;=Slot14_Cost-1,0,MAX(0,EU79-FB79)),EU79)</f>
        <v>0</v>
      </c>
      <c r="FF79" s="20" t="n">
        <f aca="false">EW79*(Slot14_Cost-FB79)</f>
        <v>0</v>
      </c>
      <c r="FG79" s="20" t="n">
        <f aca="false">IF(AND(Slot15_On=1,D79=Slot15_Age),1,0)</f>
        <v>0</v>
      </c>
      <c r="FH79" s="20" t="n">
        <f aca="false">IF(AND(Slot15_On=1,Slot15_Age&gt;D79),1,0)</f>
        <v>0</v>
      </c>
      <c r="FI79" s="20" t="n">
        <f aca="false">SQ78</f>
        <v>0</v>
      </c>
      <c r="FJ79" s="20" t="n">
        <f aca="false">FG79*MIN(Slot15_Cost,FI79)</f>
        <v>0</v>
      </c>
      <c r="FK79" s="20" t="n">
        <f aca="false">FG79*Slot15_SpendLike*MIN(Slot15_Cost-FJ79,FC79)</f>
        <v>0</v>
      </c>
      <c r="FL79" s="20" t="n">
        <f aca="false">FJ79+FK79</f>
        <v>0</v>
      </c>
      <c r="FM79" s="20" t="n">
        <f aca="false">FC79-FK79+FG79*IF(Slot15_SpendLike=1,FI79-FJ79,IF(Slot15_PotFree=1,FI79,0))</f>
        <v>0</v>
      </c>
      <c r="FN79" s="20" t="n">
        <f aca="false">FD79+FG79*Slot15_BufPot*FI79</f>
        <v>0</v>
      </c>
      <c r="FO79" s="20" t="n">
        <f aca="false">IF(AND(FG79=1,Slot15_IsMfree=1),IF(FL79&gt;=Slot15_Cost-1,0,MAX(0,FE79-FL79)),FE79)</f>
        <v>0</v>
      </c>
      <c r="FP79" s="20" t="n">
        <f aca="false">FG79*(Slot15_Cost-FL79)</f>
        <v>0</v>
      </c>
      <c r="FQ79" s="20" t="n">
        <f aca="false">IF(AND(Slot16_On=1,D79=Slot16_Age),1,0)</f>
        <v>0</v>
      </c>
      <c r="FR79" s="20" t="n">
        <f aca="false">IF(AND(Slot16_On=1,Slot16_Age&gt;D79),1,0)</f>
        <v>0</v>
      </c>
      <c r="FS79" s="20" t="n">
        <f aca="false">SU78</f>
        <v>0</v>
      </c>
      <c r="FT79" s="20" t="n">
        <f aca="false">FQ79*MIN(Slot16_Cost,FS79)</f>
        <v>0</v>
      </c>
      <c r="FU79" s="20" t="n">
        <f aca="false">FQ79*Slot16_SpendLike*MIN(Slot16_Cost-FT79,FM79)</f>
        <v>0</v>
      </c>
      <c r="FV79" s="20" t="n">
        <f aca="false">FT79+FU79</f>
        <v>0</v>
      </c>
      <c r="FW79" s="20" t="n">
        <f aca="false">FM79-FU79+FQ79*IF(Slot16_SpendLike=1,FS79-FT79,IF(Slot16_PotFree=1,FS79,0))</f>
        <v>0</v>
      </c>
      <c r="FX79" s="20" t="n">
        <f aca="false">FN79+FQ79*Slot16_BufPot*FS79</f>
        <v>0</v>
      </c>
      <c r="FY79" s="20" t="n">
        <f aca="false">IF(AND(FQ79=1,Slot16_IsMfree=1),IF(FV79&gt;=Slot16_Cost-1,0,MAX(0,FO79-FV79)),FO79)</f>
        <v>0</v>
      </c>
      <c r="FZ79" s="20" t="n">
        <f aca="false">FQ79*(Slot16_Cost-FV79)</f>
        <v>0</v>
      </c>
      <c r="GA79" s="20" t="n">
        <f aca="false">IF(AND(Slot17_On=1,D79=Slot17_Age),1,0)</f>
        <v>0</v>
      </c>
      <c r="GB79" s="20" t="n">
        <f aca="false">IF(AND(Slot17_On=1,Slot17_Age&gt;D79),1,0)</f>
        <v>0</v>
      </c>
      <c r="GC79" s="20" t="n">
        <f aca="false">SY78</f>
        <v>0</v>
      </c>
      <c r="GD79" s="20" t="n">
        <f aca="false">GA79*MIN(Slot17_Cost,GC79)</f>
        <v>0</v>
      </c>
      <c r="GE79" s="20" t="n">
        <f aca="false">GA79*Slot17_SpendLike*MIN(Slot17_Cost-GD79,FW79)</f>
        <v>0</v>
      </c>
      <c r="GF79" s="20" t="n">
        <f aca="false">GD79+GE79</f>
        <v>0</v>
      </c>
      <c r="GG79" s="20" t="n">
        <f aca="false">FW79-GE79+GA79*IF(Slot17_SpendLike=1,GC79-GD79,IF(Slot17_PotFree=1,GC79,0))</f>
        <v>0</v>
      </c>
      <c r="GH79" s="20" t="n">
        <f aca="false">FX79+GA79*Slot17_BufPot*GC79</f>
        <v>0</v>
      </c>
      <c r="GI79" s="20" t="n">
        <f aca="false">IF(AND(GA79=1,Slot17_IsMfree=1),IF(GF79&gt;=Slot17_Cost-1,0,MAX(0,FY79-GF79)),FY79)</f>
        <v>0</v>
      </c>
      <c r="GJ79" s="20" t="n">
        <f aca="false">GA79*(Slot17_Cost-GF79)</f>
        <v>0</v>
      </c>
      <c r="GK79" s="20" t="n">
        <f aca="false">IF(AND(Slot18_On=1,D79=Slot18_Age),1,0)</f>
        <v>0</v>
      </c>
      <c r="GL79" s="20" t="n">
        <f aca="false">IF(AND(Slot18_On=1,Slot18_Age&gt;D79),1,0)</f>
        <v>0</v>
      </c>
      <c r="GM79" s="20" t="n">
        <f aca="false">TC78</f>
        <v>0</v>
      </c>
      <c r="GN79" s="20" t="n">
        <f aca="false">GK79*MIN(Slot18_Cost,GM79)</f>
        <v>0</v>
      </c>
      <c r="GO79" s="20" t="n">
        <f aca="false">GK79*Slot18_SpendLike*MIN(Slot18_Cost-GN79,GG79)</f>
        <v>0</v>
      </c>
      <c r="GP79" s="20" t="n">
        <f aca="false">GN79+GO79</f>
        <v>0</v>
      </c>
      <c r="GQ79" s="20" t="n">
        <f aca="false">GG79-GO79+GK79*IF(Slot18_SpendLike=1,GM79-GN79,IF(Slot18_PotFree=1,GM79,0))</f>
        <v>0</v>
      </c>
      <c r="GR79" s="20" t="n">
        <f aca="false">GH79+GK79*Slot18_BufPot*GM79</f>
        <v>0</v>
      </c>
      <c r="GS79" s="20" t="n">
        <f aca="false">IF(AND(GK79=1,Slot18_IsMfree=1),IF(GP79&gt;=Slot18_Cost-1,0,MAX(0,GI79-GP79)),GI79)</f>
        <v>0</v>
      </c>
      <c r="GT79" s="20" t="n">
        <f aca="false">GK79*(Slot18_Cost-GP79)</f>
        <v>0</v>
      </c>
      <c r="GU79" s="20" t="n">
        <f aca="false">IF(AND(Slot19_On=1,D79=Slot19_Age),1,0)</f>
        <v>0</v>
      </c>
      <c r="GV79" s="20" t="n">
        <f aca="false">IF(AND(Slot19_On=1,Slot19_Age&gt;D79),1,0)</f>
        <v>0</v>
      </c>
      <c r="GW79" s="20" t="n">
        <f aca="false">TG78</f>
        <v>0</v>
      </c>
      <c r="GX79" s="20" t="n">
        <f aca="false">GU79*MIN(Slot19_Cost,GW79)</f>
        <v>0</v>
      </c>
      <c r="GY79" s="20" t="n">
        <f aca="false">GU79*Slot19_SpendLike*MIN(Slot19_Cost-GX79,GQ79)</f>
        <v>0</v>
      </c>
      <c r="GZ79" s="20" t="n">
        <f aca="false">GX79+GY79</f>
        <v>0</v>
      </c>
      <c r="HA79" s="20" t="n">
        <f aca="false">GQ79-GY79+GU79*IF(Slot19_SpendLike=1,GW79-GX79,IF(Slot19_PotFree=1,GW79,0))</f>
        <v>0</v>
      </c>
      <c r="HB79" s="20" t="n">
        <f aca="false">GR79+GU79*Slot19_BufPot*GW79</f>
        <v>0</v>
      </c>
      <c r="HC79" s="20" t="n">
        <f aca="false">IF(AND(GU79=1,Slot19_IsMfree=1),IF(GZ79&gt;=Slot19_Cost-1,0,MAX(0,GS79-GZ79)),GS79)</f>
        <v>0</v>
      </c>
      <c r="HD79" s="20" t="n">
        <f aca="false">GU79*(Slot19_Cost-GZ79)</f>
        <v>0</v>
      </c>
      <c r="HE79" s="20" t="n">
        <f aca="false">IF(AND(Slot20_On=1,D79=Slot20_Age),1,0)</f>
        <v>0</v>
      </c>
      <c r="HF79" s="20" t="n">
        <f aca="false">IF(AND(Slot20_On=1,Slot20_Age&gt;D79),1,0)</f>
        <v>0</v>
      </c>
      <c r="HG79" s="20" t="n">
        <f aca="false">TK78</f>
        <v>0</v>
      </c>
      <c r="HH79" s="20" t="n">
        <f aca="false">HE79*MIN(Slot20_Cost,HG79)</f>
        <v>0</v>
      </c>
      <c r="HI79" s="20" t="n">
        <f aca="false">HE79*Slot20_SpendLike*MIN(Slot20_Cost-HH79,HA79)</f>
        <v>0</v>
      </c>
      <c r="HJ79" s="20" t="n">
        <f aca="false">HH79+HI79</f>
        <v>0</v>
      </c>
      <c r="HK79" s="20" t="n">
        <f aca="false">HA79-HI79+HE79*IF(Slot20_SpendLike=1,HG79-HH79,IF(Slot20_PotFree=1,HG79,0))</f>
        <v>0</v>
      </c>
      <c r="HL79" s="20" t="n">
        <f aca="false">HB79+HE79*Slot20_BufPot*HG79</f>
        <v>0</v>
      </c>
      <c r="HM79" s="20" t="n">
        <f aca="false">IF(AND(HE79=1,Slot20_IsMfree=1),IF(HJ79&gt;=Slot20_Cost-1,0,MAX(0,HC79-HJ79)),HC79)</f>
        <v>0</v>
      </c>
      <c r="HN79" s="20" t="n">
        <f aca="false">HE79*(Slot20_Cost-HJ79)</f>
        <v>0</v>
      </c>
      <c r="HO79" s="20" t="n">
        <f aca="false">V79*Slot1_SpendLike*AA79+AG79*Slot2_SpendLike*AL79+AQ79*Slot3_SpendLike*AV79+BA79*Slot4_SpendLike*BF79+BK79*Slot5_SpendLike*BP79+BU79*Slot6_SpendLike*BZ79+CE79*Slot7_SpendLike*CJ79+CO79*Slot8_SpendLike*CT79+CY79*Slot9_SpendLike*DD79+DI79*Slot10_SpendLike*DN79+DS79*Slot11_SpendLike*DX79+EC79*Slot12_SpendLike*EH79+EM79*Slot13_SpendLike*ER79+EW79*Slot14_SpendLike*FB79+FG79*Slot15_SpendLike*FL79+FQ79*Slot16_SpendLike*FV79+GA79*Slot17_SpendLike*GF79+GK79*Slot18_SpendLike*GP79+GU79*Slot19_SpendLike*GZ79+HE79*Slot20_SpendLike*HJ79</f>
        <v>0</v>
      </c>
      <c r="HP79" s="20" t="n">
        <f aca="false">AE79+AP79+AZ79+BJ79+BT79+CD79+CN79+CX79+DH79+DR79+EB79+EL79+EV79+FF79+FP79+FZ79+GJ79+GT79+HD79+HN79</f>
        <v>0</v>
      </c>
      <c r="HQ79" s="20" t="n">
        <f aca="false">V79*Slot1_Cost+AG79*Slot2_Cost+AQ79*Slot3_Cost+BA79*Slot4_Cost+BK79*Slot5_Cost+BU79*Slot6_Cost+CE79*Slot7_Cost+CO79*Slot8_Cost+CY79*Slot9_Cost+DI79*Slot10_Cost+DS79*Slot11_Cost+EC79*Slot12_Cost+EM79*Slot13_Cost+EW79*Slot14_Cost+FG79*Slot15_Cost+FQ79*Slot16_Cost+GA79*Slot17_Cost+GK79*Slot18_Cost+GU79*Slot19_Cost+HE79*Slot20_Cost</f>
        <v>0</v>
      </c>
      <c r="HR79" s="20" t="n">
        <f aca="false">HM79</f>
        <v>0</v>
      </c>
      <c r="HS79" s="20" t="n">
        <f aca="false">H79-I79-S79</f>
        <v>-78594.6403121201</v>
      </c>
      <c r="HT79" s="20" t="n">
        <f aca="false">IF(B79=0,IF(AND(Has_q6=1,In_q6=4),PR_ShareVaries*(MAX(0,HS79)/12),MIN(IF(Has_q6=1,CHOOSE(In_q6+1,PR_SaveB1,PR_SaveB2,PR_SaveB3,PR_SaveB4,0),AS_NoAnswer),AS_SaveShare*(MAX(0,HS79)/12))),HT78)</f>
        <v>67.3316893520437</v>
      </c>
      <c r="HU79" s="20" t="n">
        <f aca="false">IF(HS79&gt;=0,1,0)</f>
        <v>0</v>
      </c>
      <c r="HV79" s="20" t="n">
        <f aca="false">MAX(0,HS79/12/F79)</f>
        <v>0</v>
      </c>
      <c r="HW79" s="20" t="n">
        <f aca="false">IF(AND(Has_q6=1,In_q6=4),PR_ShareVaries*(HV79),MIN(IF(Has_q6=1,CHOOSE(In_q6+1,PR_SaveB1,PR_SaveB2,PR_SaveB3,PR_SaveB4,0),AS_NoAnswer),AS_SaveShare*(HV79)))</f>
        <v>0</v>
      </c>
      <c r="HX79" s="20" t="n">
        <f aca="false">IF(Has_saveM=1,IF(In_saveUp="Yes",1,IF(In_saveUp="No",0,IF(In_saveM&gt;=HT79-0.5,1,0))),0)</f>
        <v>0</v>
      </c>
      <c r="HY79" s="20" t="n">
        <f aca="false">IF(Has_saveM=1,MIN(HV79,IF(HX79=1,MAX(In_saveM,HW79),MIN(In_saveM,HW79))),HW79)</f>
        <v>0</v>
      </c>
      <c r="HZ79" s="20" t="n">
        <f aca="false">IF(G79=1,HY79*12*F79,0)</f>
        <v>0</v>
      </c>
      <c r="IA79" s="20" t="n">
        <f aca="false">MAX(0,HZ79+IF(AND(WI_Retire=0,WI_M&lt;0,G79=1),WI_M*12*F79,0))</f>
        <v>0</v>
      </c>
      <c r="IB79" s="20" t="n">
        <f aca="false">Slot1_IsWG*W79+Slot2_IsWG*AH79+Slot3_IsWG*AR79+Slot4_IsWG*BB79+Slot5_IsWG*BL79+Slot6_IsWG*BV79+Slot7_IsWG*CF79+Slot8_IsWG*CP79+Slot9_IsWG*CZ79+Slot10_IsWG*DJ79+Slot11_IsWG*DT79+Slot12_IsWG*ED79+Slot13_IsWG*EN79+Slot14_IsWG*EX79+Slot15_IsWG*FH79+Slot16_IsWG*FR79+Slot17_IsWG*GB79+Slot18_IsWG*GL79+Slot19_IsWG*GV79+Slot20_IsWG*HF79</f>
        <v>0</v>
      </c>
      <c r="IC79" s="20" t="n">
        <f aca="false">IF(AND(WI_Retire=0,WI_M&gt;0,G79=1,IB79&gt;=1),WI_M*12*F79,0)</f>
        <v>0</v>
      </c>
      <c r="ID79" s="20" t="n">
        <f aca="false">IF(HU79=1,MIN(IA79,HS79),0)</f>
        <v>0</v>
      </c>
      <c r="IE79" s="20" t="n">
        <f aca="false">IF(HU79=1,MIN(IC79,HS79-ID79),0)</f>
        <v>0</v>
      </c>
      <c r="IF79" s="20" t="n">
        <f aca="false">IF(W79=1,IF(ABS((1+AS_Wage)/(1+Slot1_Rate)-1)&lt;0.000000000001,(Slot1_Age-D79)*(1+Slot1_Rate)^(Slot1_Age-D79),(1+Slot1_Rate)^(Slot1_Age-D79)*(1-((1+AS_Wage)/(1+Slot1_Rate))^(Slot1_Age-D79))/(1-(1+AS_Wage)/(1+Slot1_Rate))),1)</f>
        <v>1</v>
      </c>
      <c r="IG79" s="20" t="n">
        <f aca="false">IF(AND(HU79=1,IE79&gt;0,Slot1_IsWG=1,W79=1),MAX(0,(Slot1_Cost-X79*(1+Slot1_Rate)^(Slot1_Age-D79))/IF79),0)</f>
        <v>0</v>
      </c>
      <c r="IH79" s="20" t="n">
        <f aca="false">IF(AND(HU79=1,IE79&gt;0,Slot1_IsWG=1,W79=1),MIN(IE79,IG79),0)</f>
        <v>0</v>
      </c>
      <c r="II79" s="20" t="n">
        <f aca="false">X79+IH79</f>
        <v>0</v>
      </c>
      <c r="IJ79" s="20" t="n">
        <f aca="false">IF(W79=1,MAX(0,(Slot1_Cost-II79*(1+Slot1_Rate)^(Slot1_Age-D79))/IF79),0)</f>
        <v>0</v>
      </c>
      <c r="IK79" s="20" t="n">
        <f aca="false">IF(W79=1,MAX(0,(Slot1_Cost-X79*(1+Slot1_Rate)^(Slot1_Age-D79))/IF79),0)</f>
        <v>0</v>
      </c>
      <c r="IL79" s="20" t="n">
        <f aca="false">IF(AND(HU79=1,W79=1),MIN(ID79,IJ79),0)</f>
        <v>0</v>
      </c>
      <c r="IM79" s="20" t="n">
        <f aca="false">ID79-IL79</f>
        <v>0</v>
      </c>
      <c r="IN79" s="20" t="n">
        <f aca="false">IF(AH79=1,IF(ABS((1+AS_Wage)/(1+Slot2_Rate)-1)&lt;0.000000000001,(Slot2_Age-D79)*(1+Slot2_Rate)^(Slot2_Age-D79),(1+Slot2_Rate)^(Slot2_Age-D79)*(1-((1+AS_Wage)/(1+Slot2_Rate))^(Slot2_Age-D79))/(1-(1+AS_Wage)/(1+Slot2_Rate))),1)</f>
        <v>1</v>
      </c>
      <c r="IO79" s="20" t="n">
        <f aca="false">IF(AND(HU79=1,IE79&gt;0,Slot2_IsWG=1,AH79=1),MAX(0,(Slot2_Cost-AI79*(1+Slot2_Rate)^(Slot2_Age-D79))/IN79),0)</f>
        <v>0</v>
      </c>
      <c r="IP79" s="20" t="n">
        <f aca="false">IF(AND(HU79=1,IE79&gt;0,Slot2_IsWG=1,AH79=1),MIN(IE79,IO79),0)</f>
        <v>0</v>
      </c>
      <c r="IQ79" s="20" t="n">
        <f aca="false">AI79+IP79</f>
        <v>0</v>
      </c>
      <c r="IR79" s="20" t="n">
        <f aca="false">IF(AH79=1,MAX(0,(Slot2_Cost-IQ79*(1+Slot2_Rate)^(Slot2_Age-D79))/IN79),0)</f>
        <v>0</v>
      </c>
      <c r="IS79" s="20" t="n">
        <f aca="false">IF(AH79=1,MAX(0,(Slot2_Cost-AI79*(1+Slot2_Rate)^(Slot2_Age-D79))/IN79),0)</f>
        <v>0</v>
      </c>
      <c r="IT79" s="20" t="n">
        <f aca="false">IF(AND(HU79=1,AH79=1),MIN(IM79,IR79),0)</f>
        <v>0</v>
      </c>
      <c r="IU79" s="20" t="n">
        <f aca="false">IM79-IT79</f>
        <v>0</v>
      </c>
      <c r="IV79" s="20" t="n">
        <f aca="false">IF(AR79=1,IF(ABS((1+AS_Wage)/(1+Slot3_Rate)-1)&lt;0.000000000001,(Slot3_Age-D79)*(1+Slot3_Rate)^(Slot3_Age-D79),(1+Slot3_Rate)^(Slot3_Age-D79)*(1-((1+AS_Wage)/(1+Slot3_Rate))^(Slot3_Age-D79))/(1-(1+AS_Wage)/(1+Slot3_Rate))),1)</f>
        <v>1</v>
      </c>
      <c r="IW79" s="20" t="n">
        <f aca="false">IF(AND(HU79=1,IE79&gt;0,Slot3_IsWG=1,AR79=1),MAX(0,(Slot3_Cost-AS79*(1+Slot3_Rate)^(Slot3_Age-D79))/IV79),0)</f>
        <v>0</v>
      </c>
      <c r="IX79" s="20" t="n">
        <f aca="false">IF(AND(HU79=1,IE79&gt;0,Slot3_IsWG=1,AR79=1),MIN(IE79,IW79),0)</f>
        <v>0</v>
      </c>
      <c r="IY79" s="20" t="n">
        <f aca="false">AS79+IX79</f>
        <v>0</v>
      </c>
      <c r="IZ79" s="20" t="n">
        <f aca="false">IF(AR79=1,MAX(0,(Slot3_Cost-IY79*(1+Slot3_Rate)^(Slot3_Age-D79))/IV79),0)</f>
        <v>0</v>
      </c>
      <c r="JA79" s="20" t="n">
        <f aca="false">IF(AR79=1,MAX(0,(Slot3_Cost-AS79*(1+Slot3_Rate)^(Slot3_Age-D79))/IV79),0)</f>
        <v>0</v>
      </c>
      <c r="JB79" s="20" t="n">
        <f aca="false">IF(AND(HU79=1,AR79=1),MIN(IU79,IZ79),0)</f>
        <v>0</v>
      </c>
      <c r="JC79" s="20" t="n">
        <f aca="false">IU79-JB79</f>
        <v>0</v>
      </c>
      <c r="JD79" s="20" t="n">
        <f aca="false">IF(BB79=1,IF(ABS((1+AS_Wage)/(1+Slot4_Rate)-1)&lt;0.000000000001,(Slot4_Age-D79)*(1+Slot4_Rate)^(Slot4_Age-D79),(1+Slot4_Rate)^(Slot4_Age-D79)*(1-((1+AS_Wage)/(1+Slot4_Rate))^(Slot4_Age-D79))/(1-(1+AS_Wage)/(1+Slot4_Rate))),1)</f>
        <v>1</v>
      </c>
      <c r="JE79" s="20" t="n">
        <f aca="false">IF(AND(HU79=1,IE79&gt;0,Slot4_IsWG=1,BB79=1),MAX(0,(Slot4_Cost-BC79*(1+Slot4_Rate)^(Slot4_Age-D79))/JD79),0)</f>
        <v>0</v>
      </c>
      <c r="JF79" s="20" t="n">
        <f aca="false">IF(AND(HU79=1,IE79&gt;0,Slot4_IsWG=1,BB79=1),MIN(IE79,JE79),0)</f>
        <v>0</v>
      </c>
      <c r="JG79" s="20" t="n">
        <f aca="false">BC79+JF79</f>
        <v>0</v>
      </c>
      <c r="JH79" s="20" t="n">
        <f aca="false">IF(BB79=1,MAX(0,(Slot4_Cost-JG79*(1+Slot4_Rate)^(Slot4_Age-D79))/JD79),0)</f>
        <v>0</v>
      </c>
      <c r="JI79" s="20" t="n">
        <f aca="false">IF(BB79=1,MAX(0,(Slot4_Cost-BC79*(1+Slot4_Rate)^(Slot4_Age-D79))/JD79),0)</f>
        <v>0</v>
      </c>
      <c r="JJ79" s="20" t="n">
        <f aca="false">IF(AND(HU79=1,BB79=1),MIN(JC79,JH79),0)</f>
        <v>0</v>
      </c>
      <c r="JK79" s="20" t="n">
        <f aca="false">JC79-JJ79</f>
        <v>0</v>
      </c>
      <c r="JL79" s="20" t="n">
        <f aca="false">IF(BL79=1,IF(ABS((1+AS_Wage)/(1+Slot5_Rate)-1)&lt;0.000000000001,(Slot5_Age-D79)*(1+Slot5_Rate)^(Slot5_Age-D79),(1+Slot5_Rate)^(Slot5_Age-D79)*(1-((1+AS_Wage)/(1+Slot5_Rate))^(Slot5_Age-D79))/(1-(1+AS_Wage)/(1+Slot5_Rate))),1)</f>
        <v>1</v>
      </c>
      <c r="JM79" s="20" t="n">
        <f aca="false">IF(AND(HU79=1,IE79&gt;0,Slot5_IsWG=1,BL79=1),MAX(0,(Slot5_Cost-BM79*(1+Slot5_Rate)^(Slot5_Age-D79))/JL79),0)</f>
        <v>0</v>
      </c>
      <c r="JN79" s="20" t="n">
        <f aca="false">IF(AND(HU79=1,IE79&gt;0,Slot5_IsWG=1,BL79=1),MIN(IE79,JM79),0)</f>
        <v>0</v>
      </c>
      <c r="JO79" s="20" t="n">
        <f aca="false">BM79+JN79</f>
        <v>0</v>
      </c>
      <c r="JP79" s="20" t="n">
        <f aca="false">IF(BL79=1,MAX(0,(Slot5_Cost-JO79*(1+Slot5_Rate)^(Slot5_Age-D79))/JL79),0)</f>
        <v>0</v>
      </c>
      <c r="JQ79" s="20" t="n">
        <f aca="false">IF(BL79=1,MAX(0,(Slot5_Cost-BM79*(1+Slot5_Rate)^(Slot5_Age-D79))/JL79),0)</f>
        <v>0</v>
      </c>
      <c r="JR79" s="20" t="n">
        <f aca="false">IF(AND(HU79=1,BL79=1),MIN(JK79,JP79),0)</f>
        <v>0</v>
      </c>
      <c r="JS79" s="20" t="n">
        <f aca="false">JK79-JR79</f>
        <v>0</v>
      </c>
      <c r="JT79" s="20" t="n">
        <f aca="false">IF(BV79=1,IF(ABS((1+AS_Wage)/(1+Slot6_Rate)-1)&lt;0.000000000001,(Slot6_Age-D79)*(1+Slot6_Rate)^(Slot6_Age-D79),(1+Slot6_Rate)^(Slot6_Age-D79)*(1-((1+AS_Wage)/(1+Slot6_Rate))^(Slot6_Age-D79))/(1-(1+AS_Wage)/(1+Slot6_Rate))),1)</f>
        <v>1</v>
      </c>
      <c r="JU79" s="20" t="n">
        <f aca="false">IF(AND(HU79=1,IE79&gt;0,Slot6_IsWG=1,BV79=1),MAX(0,(Slot6_Cost-BW79*(1+Slot6_Rate)^(Slot6_Age-D79))/JT79),0)</f>
        <v>0</v>
      </c>
      <c r="JV79" s="20" t="n">
        <f aca="false">IF(AND(HU79=1,IE79&gt;0,Slot6_IsWG=1,BV79=1),MIN(IE79,JU79),0)</f>
        <v>0</v>
      </c>
      <c r="JW79" s="20" t="n">
        <f aca="false">BW79+JV79</f>
        <v>0</v>
      </c>
      <c r="JX79" s="20" t="n">
        <f aca="false">IF(BV79=1,MAX(0,(Slot6_Cost-JW79*(1+Slot6_Rate)^(Slot6_Age-D79))/JT79),0)</f>
        <v>0</v>
      </c>
      <c r="JY79" s="20" t="n">
        <f aca="false">IF(BV79=1,MAX(0,(Slot6_Cost-BW79*(1+Slot6_Rate)^(Slot6_Age-D79))/JT79),0)</f>
        <v>0</v>
      </c>
      <c r="JZ79" s="20" t="n">
        <f aca="false">IF(AND(HU79=1,BV79=1),MIN(JS79,JX79),0)</f>
        <v>0</v>
      </c>
      <c r="KA79" s="20" t="n">
        <f aca="false">JS79-JZ79</f>
        <v>0</v>
      </c>
      <c r="KB79" s="20" t="n">
        <f aca="false">IF(CF79=1,IF(ABS((1+AS_Wage)/(1+Slot7_Rate)-1)&lt;0.000000000001,(Slot7_Age-D79)*(1+Slot7_Rate)^(Slot7_Age-D79),(1+Slot7_Rate)^(Slot7_Age-D79)*(1-((1+AS_Wage)/(1+Slot7_Rate))^(Slot7_Age-D79))/(1-(1+AS_Wage)/(1+Slot7_Rate))),1)</f>
        <v>1</v>
      </c>
      <c r="KC79" s="20" t="n">
        <f aca="false">IF(AND(HU79=1,IE79&gt;0,Slot7_IsWG=1,CF79=1),MAX(0,(Slot7_Cost-CG79*(1+Slot7_Rate)^(Slot7_Age-D79))/KB79),0)</f>
        <v>0</v>
      </c>
      <c r="KD79" s="20" t="n">
        <f aca="false">IF(AND(HU79=1,IE79&gt;0,Slot7_IsWG=1,CF79=1),MIN(IE79,KC79),0)</f>
        <v>0</v>
      </c>
      <c r="KE79" s="20" t="n">
        <f aca="false">CG79+KD79</f>
        <v>0</v>
      </c>
      <c r="KF79" s="20" t="n">
        <f aca="false">IF(CF79=1,MAX(0,(Slot7_Cost-KE79*(1+Slot7_Rate)^(Slot7_Age-D79))/KB79),0)</f>
        <v>0</v>
      </c>
      <c r="KG79" s="20" t="n">
        <f aca="false">IF(CF79=1,MAX(0,(Slot7_Cost-CG79*(1+Slot7_Rate)^(Slot7_Age-D79))/KB79),0)</f>
        <v>0</v>
      </c>
      <c r="KH79" s="20" t="n">
        <f aca="false">IF(AND(HU79=1,CF79=1),MIN(KA79,KF79),0)</f>
        <v>0</v>
      </c>
      <c r="KI79" s="20" t="n">
        <f aca="false">KA79-KH79</f>
        <v>0</v>
      </c>
      <c r="KJ79" s="20" t="n">
        <f aca="false">IF(CP79=1,IF(ABS((1+AS_Wage)/(1+Slot8_Rate)-1)&lt;0.000000000001,(Slot8_Age-D79)*(1+Slot8_Rate)^(Slot8_Age-D79),(1+Slot8_Rate)^(Slot8_Age-D79)*(1-((1+AS_Wage)/(1+Slot8_Rate))^(Slot8_Age-D79))/(1-(1+AS_Wage)/(1+Slot8_Rate))),1)</f>
        <v>1</v>
      </c>
      <c r="KK79" s="20" t="n">
        <f aca="false">IF(AND(HU79=1,IE79&gt;0,Slot8_IsWG=1,CP79=1),MAX(0,(Slot8_Cost-CQ79*(1+Slot8_Rate)^(Slot8_Age-D79))/KJ79),0)</f>
        <v>0</v>
      </c>
      <c r="KL79" s="20" t="n">
        <f aca="false">IF(AND(HU79=1,IE79&gt;0,Slot8_IsWG=1,CP79=1),MIN(IE79,KK79),0)</f>
        <v>0</v>
      </c>
      <c r="KM79" s="20" t="n">
        <f aca="false">CQ79+KL79</f>
        <v>0</v>
      </c>
      <c r="KN79" s="20" t="n">
        <f aca="false">IF(CP79=1,MAX(0,(Slot8_Cost-KM79*(1+Slot8_Rate)^(Slot8_Age-D79))/KJ79),0)</f>
        <v>0</v>
      </c>
      <c r="KO79" s="20" t="n">
        <f aca="false">IF(CP79=1,MAX(0,(Slot8_Cost-CQ79*(1+Slot8_Rate)^(Slot8_Age-D79))/KJ79),0)</f>
        <v>0</v>
      </c>
      <c r="KP79" s="20" t="n">
        <f aca="false">IF(AND(HU79=1,CP79=1),MIN(KI79,KN79),0)</f>
        <v>0</v>
      </c>
      <c r="KQ79" s="20" t="n">
        <f aca="false">KI79-KP79</f>
        <v>0</v>
      </c>
      <c r="KR79" s="20" t="n">
        <f aca="false">IF(CZ79=1,IF(ABS((1+AS_Wage)/(1+Slot9_Rate)-1)&lt;0.000000000001,(Slot9_Age-D79)*(1+Slot9_Rate)^(Slot9_Age-D79),(1+Slot9_Rate)^(Slot9_Age-D79)*(1-((1+AS_Wage)/(1+Slot9_Rate))^(Slot9_Age-D79))/(1-(1+AS_Wage)/(1+Slot9_Rate))),1)</f>
        <v>1</v>
      </c>
      <c r="KS79" s="20" t="n">
        <f aca="false">IF(AND(HU79=1,IE79&gt;0,Slot9_IsWG=1,CZ79=1),MAX(0,(Slot9_Cost-DA79*(1+Slot9_Rate)^(Slot9_Age-D79))/KR79),0)</f>
        <v>0</v>
      </c>
      <c r="KT79" s="20" t="n">
        <f aca="false">IF(AND(HU79=1,IE79&gt;0,Slot9_IsWG=1,CZ79=1),MIN(IE79,KS79),0)</f>
        <v>0</v>
      </c>
      <c r="KU79" s="20" t="n">
        <f aca="false">DA79+KT79</f>
        <v>0</v>
      </c>
      <c r="KV79" s="20" t="n">
        <f aca="false">IF(CZ79=1,MAX(0,(Slot9_Cost-KU79*(1+Slot9_Rate)^(Slot9_Age-D79))/KR79),0)</f>
        <v>0</v>
      </c>
      <c r="KW79" s="20" t="n">
        <f aca="false">IF(CZ79=1,MAX(0,(Slot9_Cost-DA79*(1+Slot9_Rate)^(Slot9_Age-D79))/KR79),0)</f>
        <v>0</v>
      </c>
      <c r="KX79" s="20" t="n">
        <f aca="false">IF(AND(HU79=1,CZ79=1),MIN(KQ79,KV79),0)</f>
        <v>0</v>
      </c>
      <c r="KY79" s="20" t="n">
        <f aca="false">KQ79-KX79</f>
        <v>0</v>
      </c>
      <c r="KZ79" s="20" t="n">
        <f aca="false">IF(DJ79=1,IF(ABS((1+AS_Wage)/(1+Slot10_Rate)-1)&lt;0.000000000001,(Slot10_Age-D79)*(1+Slot10_Rate)^(Slot10_Age-D79),(1+Slot10_Rate)^(Slot10_Age-D79)*(1-((1+AS_Wage)/(1+Slot10_Rate))^(Slot10_Age-D79))/(1-(1+AS_Wage)/(1+Slot10_Rate))),1)</f>
        <v>1</v>
      </c>
      <c r="LA79" s="20" t="n">
        <f aca="false">IF(AND(HU79=1,IE79&gt;0,Slot10_IsWG=1,DJ79=1),MAX(0,(Slot10_Cost-DK79*(1+Slot10_Rate)^(Slot10_Age-D79))/KZ79),0)</f>
        <v>0</v>
      </c>
      <c r="LB79" s="20" t="n">
        <f aca="false">IF(AND(HU79=1,IE79&gt;0,Slot10_IsWG=1,DJ79=1),MIN(IE79,LA79),0)</f>
        <v>0</v>
      </c>
      <c r="LC79" s="20" t="n">
        <f aca="false">DK79+LB79</f>
        <v>0</v>
      </c>
      <c r="LD79" s="20" t="n">
        <f aca="false">IF(DJ79=1,MAX(0,(Slot10_Cost-LC79*(1+Slot10_Rate)^(Slot10_Age-D79))/KZ79),0)</f>
        <v>0</v>
      </c>
      <c r="LE79" s="20" t="n">
        <f aca="false">IF(DJ79=1,MAX(0,(Slot10_Cost-DK79*(1+Slot10_Rate)^(Slot10_Age-D79))/KZ79),0)</f>
        <v>0</v>
      </c>
      <c r="LF79" s="20" t="n">
        <f aca="false">IF(AND(HU79=1,DJ79=1),MIN(KY79,LD79),0)</f>
        <v>0</v>
      </c>
      <c r="LG79" s="20" t="n">
        <f aca="false">KY79-LF79</f>
        <v>0</v>
      </c>
      <c r="LH79" s="20" t="n">
        <f aca="false">IF(DT79=1,IF(ABS((1+AS_Wage)/(1+Slot11_Rate)-1)&lt;0.000000000001,(Slot11_Age-D79)*(1+Slot11_Rate)^(Slot11_Age-D79),(1+Slot11_Rate)^(Slot11_Age-D79)*(1-((1+AS_Wage)/(1+Slot11_Rate))^(Slot11_Age-D79))/(1-(1+AS_Wage)/(1+Slot11_Rate))),1)</f>
        <v>1</v>
      </c>
      <c r="LI79" s="20" t="n">
        <f aca="false">IF(AND(HU79=1,IE79&gt;0,Slot11_IsWG=1,DT79=1),MAX(0,(Slot11_Cost-DU79*(1+Slot11_Rate)^(Slot11_Age-D79))/LH79),0)</f>
        <v>0</v>
      </c>
      <c r="LJ79" s="20" t="n">
        <f aca="false">IF(AND(HU79=1,IE79&gt;0,Slot11_IsWG=1,DT79=1),MIN(IE79,LI79),0)</f>
        <v>0</v>
      </c>
      <c r="LK79" s="20" t="n">
        <f aca="false">DU79+LJ79</f>
        <v>0</v>
      </c>
      <c r="LL79" s="20" t="n">
        <f aca="false">IF(DT79=1,MAX(0,(Slot11_Cost-LK79*(1+Slot11_Rate)^(Slot11_Age-D79))/LH79),0)</f>
        <v>0</v>
      </c>
      <c r="LM79" s="20" t="n">
        <f aca="false">IF(DT79=1,MAX(0,(Slot11_Cost-DU79*(1+Slot11_Rate)^(Slot11_Age-D79))/LH79),0)</f>
        <v>0</v>
      </c>
      <c r="LN79" s="20" t="n">
        <f aca="false">IF(AND(HU79=1,DT79=1),MIN(LG79,LL79),0)</f>
        <v>0</v>
      </c>
      <c r="LO79" s="20" t="n">
        <f aca="false">LG79-LN79</f>
        <v>0</v>
      </c>
      <c r="LP79" s="20" t="n">
        <f aca="false">IF(ED79=1,IF(ABS((1+AS_Wage)/(1+Slot12_Rate)-1)&lt;0.000000000001,(Slot12_Age-D79)*(1+Slot12_Rate)^(Slot12_Age-D79),(1+Slot12_Rate)^(Slot12_Age-D79)*(1-((1+AS_Wage)/(1+Slot12_Rate))^(Slot12_Age-D79))/(1-(1+AS_Wage)/(1+Slot12_Rate))),1)</f>
        <v>1</v>
      </c>
      <c r="LQ79" s="20" t="n">
        <f aca="false">IF(AND(HU79=1,IE79&gt;0,Slot12_IsWG=1,ED79=1),MAX(0,(Slot12_Cost-EE79*(1+Slot12_Rate)^(Slot12_Age-D79))/LP79),0)</f>
        <v>0</v>
      </c>
      <c r="LR79" s="20" t="n">
        <f aca="false">IF(AND(HU79=1,IE79&gt;0,Slot12_IsWG=1,ED79=1),MIN(IE79,LQ79),0)</f>
        <v>0</v>
      </c>
      <c r="LS79" s="20" t="n">
        <f aca="false">EE79+LR79</f>
        <v>0</v>
      </c>
      <c r="LT79" s="20" t="n">
        <f aca="false">IF(ED79=1,MAX(0,(Slot12_Cost-LS79*(1+Slot12_Rate)^(Slot12_Age-D79))/LP79),0)</f>
        <v>0</v>
      </c>
      <c r="LU79" s="20" t="n">
        <f aca="false">IF(ED79=1,MAX(0,(Slot12_Cost-EE79*(1+Slot12_Rate)^(Slot12_Age-D79))/LP79),0)</f>
        <v>0</v>
      </c>
      <c r="LV79" s="20" t="n">
        <f aca="false">IF(AND(HU79=1,ED79=1),MIN(LO79,LT79),0)</f>
        <v>0</v>
      </c>
      <c r="LW79" s="20" t="n">
        <f aca="false">LO79-LV79</f>
        <v>0</v>
      </c>
      <c r="LX79" s="20" t="n">
        <f aca="false">IF(EN79=1,IF(ABS((1+AS_Wage)/(1+Slot13_Rate)-1)&lt;0.000000000001,(Slot13_Age-D79)*(1+Slot13_Rate)^(Slot13_Age-D79),(1+Slot13_Rate)^(Slot13_Age-D79)*(1-((1+AS_Wage)/(1+Slot13_Rate))^(Slot13_Age-D79))/(1-(1+AS_Wage)/(1+Slot13_Rate))),1)</f>
        <v>1</v>
      </c>
      <c r="LY79" s="20" t="n">
        <f aca="false">IF(AND(HU79=1,IE79&gt;0,Slot13_IsWG=1,EN79=1),MAX(0,(Slot13_Cost-EO79*(1+Slot13_Rate)^(Slot13_Age-D79))/LX79),0)</f>
        <v>0</v>
      </c>
      <c r="LZ79" s="20" t="n">
        <f aca="false">IF(AND(HU79=1,IE79&gt;0,Slot13_IsWG=1,EN79=1),MIN(IE79,LY79),0)</f>
        <v>0</v>
      </c>
      <c r="MA79" s="20" t="n">
        <f aca="false">EO79+LZ79</f>
        <v>0</v>
      </c>
      <c r="MB79" s="20" t="n">
        <f aca="false">IF(EN79=1,MAX(0,(Slot13_Cost-MA79*(1+Slot13_Rate)^(Slot13_Age-D79))/LX79),0)</f>
        <v>0</v>
      </c>
      <c r="MC79" s="20" t="n">
        <f aca="false">IF(EN79=1,MAX(0,(Slot13_Cost-EO79*(1+Slot13_Rate)^(Slot13_Age-D79))/LX79),0)</f>
        <v>0</v>
      </c>
      <c r="MD79" s="20" t="n">
        <f aca="false">IF(AND(HU79=1,EN79=1),MIN(LW79,MB79),0)</f>
        <v>0</v>
      </c>
      <c r="ME79" s="20" t="n">
        <f aca="false">LW79-MD79</f>
        <v>0</v>
      </c>
      <c r="MF79" s="20" t="n">
        <f aca="false">IF(EX79=1,IF(ABS((1+AS_Wage)/(1+Slot14_Rate)-1)&lt;0.000000000001,(Slot14_Age-D79)*(1+Slot14_Rate)^(Slot14_Age-D79),(1+Slot14_Rate)^(Slot14_Age-D79)*(1-((1+AS_Wage)/(1+Slot14_Rate))^(Slot14_Age-D79))/(1-(1+AS_Wage)/(1+Slot14_Rate))),1)</f>
        <v>1</v>
      </c>
      <c r="MG79" s="20" t="n">
        <f aca="false">IF(AND(HU79=1,IE79&gt;0,Slot14_IsWG=1,EX79=1),MAX(0,(Slot14_Cost-EY79*(1+Slot14_Rate)^(Slot14_Age-D79))/MF79),0)</f>
        <v>0</v>
      </c>
      <c r="MH79" s="20" t="n">
        <f aca="false">IF(AND(HU79=1,IE79&gt;0,Slot14_IsWG=1,EX79=1),MIN(IE79,MG79),0)</f>
        <v>0</v>
      </c>
      <c r="MI79" s="20" t="n">
        <f aca="false">EY79+MH79</f>
        <v>0</v>
      </c>
      <c r="MJ79" s="20" t="n">
        <f aca="false">IF(EX79=1,MAX(0,(Slot14_Cost-MI79*(1+Slot14_Rate)^(Slot14_Age-D79))/MF79),0)</f>
        <v>0</v>
      </c>
      <c r="MK79" s="20" t="n">
        <f aca="false">IF(EX79=1,MAX(0,(Slot14_Cost-EY79*(1+Slot14_Rate)^(Slot14_Age-D79))/MF79),0)</f>
        <v>0</v>
      </c>
      <c r="ML79" s="20" t="n">
        <f aca="false">IF(AND(HU79=1,EX79=1),MIN(ME79,MJ79),0)</f>
        <v>0</v>
      </c>
      <c r="MM79" s="20" t="n">
        <f aca="false">ME79-ML79</f>
        <v>0</v>
      </c>
      <c r="MN79" s="20" t="n">
        <f aca="false">IF(FH79=1,IF(ABS((1+AS_Wage)/(1+Slot15_Rate)-1)&lt;0.000000000001,(Slot15_Age-D79)*(1+Slot15_Rate)^(Slot15_Age-D79),(1+Slot15_Rate)^(Slot15_Age-D79)*(1-((1+AS_Wage)/(1+Slot15_Rate))^(Slot15_Age-D79))/(1-(1+AS_Wage)/(1+Slot15_Rate))),1)</f>
        <v>1</v>
      </c>
      <c r="MO79" s="20" t="n">
        <f aca="false">IF(AND(HU79=1,IE79&gt;0,Slot15_IsWG=1,FH79=1),MAX(0,(Slot15_Cost-FI79*(1+Slot15_Rate)^(Slot15_Age-D79))/MN79),0)</f>
        <v>0</v>
      </c>
      <c r="MP79" s="20" t="n">
        <f aca="false">IF(AND(HU79=1,IE79&gt;0,Slot15_IsWG=1,FH79=1),MIN(IE79,MO79),0)</f>
        <v>0</v>
      </c>
      <c r="MQ79" s="20" t="n">
        <f aca="false">FI79+MP79</f>
        <v>0</v>
      </c>
      <c r="MR79" s="20" t="n">
        <f aca="false">IF(FH79=1,MAX(0,(Slot15_Cost-MQ79*(1+Slot15_Rate)^(Slot15_Age-D79))/MN79),0)</f>
        <v>0</v>
      </c>
      <c r="MS79" s="20" t="n">
        <f aca="false">IF(FH79=1,MAX(0,(Slot15_Cost-FI79*(1+Slot15_Rate)^(Slot15_Age-D79))/MN79),0)</f>
        <v>0</v>
      </c>
      <c r="MT79" s="20" t="n">
        <f aca="false">IF(AND(HU79=1,FH79=1),MIN(MM79,MR79),0)</f>
        <v>0</v>
      </c>
      <c r="MU79" s="20" t="n">
        <f aca="false">MM79-MT79</f>
        <v>0</v>
      </c>
      <c r="MV79" s="20" t="n">
        <f aca="false">IF(FR79=1,IF(ABS((1+AS_Wage)/(1+Slot16_Rate)-1)&lt;0.000000000001,(Slot16_Age-D79)*(1+Slot16_Rate)^(Slot16_Age-D79),(1+Slot16_Rate)^(Slot16_Age-D79)*(1-((1+AS_Wage)/(1+Slot16_Rate))^(Slot16_Age-D79))/(1-(1+AS_Wage)/(1+Slot16_Rate))),1)</f>
        <v>1</v>
      </c>
      <c r="MW79" s="20" t="n">
        <f aca="false">IF(AND(HU79=1,IE79&gt;0,Slot16_IsWG=1,FR79=1),MAX(0,(Slot16_Cost-FS79*(1+Slot16_Rate)^(Slot16_Age-D79))/MV79),0)</f>
        <v>0</v>
      </c>
      <c r="MX79" s="20" t="n">
        <f aca="false">IF(AND(HU79=1,IE79&gt;0,Slot16_IsWG=1,FR79=1),MIN(IE79,MW79),0)</f>
        <v>0</v>
      </c>
      <c r="MY79" s="20" t="n">
        <f aca="false">FS79+MX79</f>
        <v>0</v>
      </c>
      <c r="MZ79" s="20" t="n">
        <f aca="false">IF(FR79=1,MAX(0,(Slot16_Cost-MY79*(1+Slot16_Rate)^(Slot16_Age-D79))/MV79),0)</f>
        <v>0</v>
      </c>
      <c r="NA79" s="20" t="n">
        <f aca="false">IF(FR79=1,MAX(0,(Slot16_Cost-FS79*(1+Slot16_Rate)^(Slot16_Age-D79))/MV79),0)</f>
        <v>0</v>
      </c>
      <c r="NB79" s="20" t="n">
        <f aca="false">IF(AND(HU79=1,FR79=1),MIN(MU79,MZ79),0)</f>
        <v>0</v>
      </c>
      <c r="NC79" s="20" t="n">
        <f aca="false">MU79-NB79</f>
        <v>0</v>
      </c>
      <c r="ND79" s="20" t="n">
        <f aca="false">IF(GB79=1,IF(ABS((1+AS_Wage)/(1+Slot17_Rate)-1)&lt;0.000000000001,(Slot17_Age-D79)*(1+Slot17_Rate)^(Slot17_Age-D79),(1+Slot17_Rate)^(Slot17_Age-D79)*(1-((1+AS_Wage)/(1+Slot17_Rate))^(Slot17_Age-D79))/(1-(1+AS_Wage)/(1+Slot17_Rate))),1)</f>
        <v>1</v>
      </c>
      <c r="NE79" s="20" t="n">
        <f aca="false">IF(AND(HU79=1,IE79&gt;0,Slot17_IsWG=1,GB79=1),MAX(0,(Slot17_Cost-GC79*(1+Slot17_Rate)^(Slot17_Age-D79))/ND79),0)</f>
        <v>0</v>
      </c>
      <c r="NF79" s="20" t="n">
        <f aca="false">IF(AND(HU79=1,IE79&gt;0,Slot17_IsWG=1,GB79=1),MIN(IE79,NE79),0)</f>
        <v>0</v>
      </c>
      <c r="NG79" s="20" t="n">
        <f aca="false">GC79+NF79</f>
        <v>0</v>
      </c>
      <c r="NH79" s="20" t="n">
        <f aca="false">IF(GB79=1,MAX(0,(Slot17_Cost-NG79*(1+Slot17_Rate)^(Slot17_Age-D79))/ND79),0)</f>
        <v>0</v>
      </c>
      <c r="NI79" s="20" t="n">
        <f aca="false">IF(GB79=1,MAX(0,(Slot17_Cost-GC79*(1+Slot17_Rate)^(Slot17_Age-D79))/ND79),0)</f>
        <v>0</v>
      </c>
      <c r="NJ79" s="20" t="n">
        <f aca="false">IF(AND(HU79=1,GB79=1),MIN(NC79,NH79),0)</f>
        <v>0</v>
      </c>
      <c r="NK79" s="20" t="n">
        <f aca="false">NC79-NJ79</f>
        <v>0</v>
      </c>
      <c r="NL79" s="20" t="n">
        <f aca="false">IF(GL79=1,IF(ABS((1+AS_Wage)/(1+Slot18_Rate)-1)&lt;0.000000000001,(Slot18_Age-D79)*(1+Slot18_Rate)^(Slot18_Age-D79),(1+Slot18_Rate)^(Slot18_Age-D79)*(1-((1+AS_Wage)/(1+Slot18_Rate))^(Slot18_Age-D79))/(1-(1+AS_Wage)/(1+Slot18_Rate))),1)</f>
        <v>1</v>
      </c>
      <c r="NM79" s="20" t="n">
        <f aca="false">IF(AND(HU79=1,IE79&gt;0,Slot18_IsWG=1,GL79=1),MAX(0,(Slot18_Cost-GM79*(1+Slot18_Rate)^(Slot18_Age-D79))/NL79),0)</f>
        <v>0</v>
      </c>
      <c r="NN79" s="20" t="n">
        <f aca="false">IF(AND(HU79=1,IE79&gt;0,Slot18_IsWG=1,GL79=1),MIN(IE79,NM79),0)</f>
        <v>0</v>
      </c>
      <c r="NO79" s="20" t="n">
        <f aca="false">GM79+NN79</f>
        <v>0</v>
      </c>
      <c r="NP79" s="20" t="n">
        <f aca="false">IF(GL79=1,MAX(0,(Slot18_Cost-NO79*(1+Slot18_Rate)^(Slot18_Age-D79))/NL79),0)</f>
        <v>0</v>
      </c>
      <c r="NQ79" s="20" t="n">
        <f aca="false">IF(GL79=1,MAX(0,(Slot18_Cost-GM79*(1+Slot18_Rate)^(Slot18_Age-D79))/NL79),0)</f>
        <v>0</v>
      </c>
      <c r="NR79" s="20" t="n">
        <f aca="false">IF(AND(HU79=1,GL79=1),MIN(NK79,NP79),0)</f>
        <v>0</v>
      </c>
      <c r="NS79" s="20" t="n">
        <f aca="false">NK79-NR79</f>
        <v>0</v>
      </c>
      <c r="NT79" s="20" t="n">
        <f aca="false">IF(GV79=1,IF(ABS((1+AS_Wage)/(1+Slot19_Rate)-1)&lt;0.000000000001,(Slot19_Age-D79)*(1+Slot19_Rate)^(Slot19_Age-D79),(1+Slot19_Rate)^(Slot19_Age-D79)*(1-((1+AS_Wage)/(1+Slot19_Rate))^(Slot19_Age-D79))/(1-(1+AS_Wage)/(1+Slot19_Rate))),1)</f>
        <v>1</v>
      </c>
      <c r="NU79" s="20" t="n">
        <f aca="false">IF(AND(HU79=1,IE79&gt;0,Slot19_IsWG=1,GV79=1),MAX(0,(Slot19_Cost-GW79*(1+Slot19_Rate)^(Slot19_Age-D79))/NT79),0)</f>
        <v>0</v>
      </c>
      <c r="NV79" s="20" t="n">
        <f aca="false">IF(AND(HU79=1,IE79&gt;0,Slot19_IsWG=1,GV79=1),MIN(IE79,NU79),0)</f>
        <v>0</v>
      </c>
      <c r="NW79" s="20" t="n">
        <f aca="false">GW79+NV79</f>
        <v>0</v>
      </c>
      <c r="NX79" s="20" t="n">
        <f aca="false">IF(GV79=1,MAX(0,(Slot19_Cost-NW79*(1+Slot19_Rate)^(Slot19_Age-D79))/NT79),0)</f>
        <v>0</v>
      </c>
      <c r="NY79" s="20" t="n">
        <f aca="false">IF(GV79=1,MAX(0,(Slot19_Cost-GW79*(1+Slot19_Rate)^(Slot19_Age-D79))/NT79),0)</f>
        <v>0</v>
      </c>
      <c r="NZ79" s="20" t="n">
        <f aca="false">IF(AND(HU79=1,GV79=1),MIN(NS79,NX79),0)</f>
        <v>0</v>
      </c>
      <c r="OA79" s="20" t="n">
        <f aca="false">NS79-NZ79</f>
        <v>0</v>
      </c>
      <c r="OB79" s="20" t="n">
        <f aca="false">IF(HF79=1,IF(ABS((1+AS_Wage)/(1+Slot20_Rate)-1)&lt;0.000000000001,(Slot20_Age-D79)*(1+Slot20_Rate)^(Slot20_Age-D79),(1+Slot20_Rate)^(Slot20_Age-D79)*(1-((1+AS_Wage)/(1+Slot20_Rate))^(Slot20_Age-D79))/(1-(1+AS_Wage)/(1+Slot20_Rate))),1)</f>
        <v>1</v>
      </c>
      <c r="OC79" s="20" t="n">
        <f aca="false">IF(AND(HU79=1,IE79&gt;0,Slot20_IsWG=1,HF79=1),MAX(0,(Slot20_Cost-HG79*(1+Slot20_Rate)^(Slot20_Age-D79))/OB79),0)</f>
        <v>0</v>
      </c>
      <c r="OD79" s="20" t="n">
        <f aca="false">IF(AND(HU79=1,IE79&gt;0,Slot20_IsWG=1,HF79=1),MIN(IE79,OC79),0)</f>
        <v>0</v>
      </c>
      <c r="OE79" s="20" t="n">
        <f aca="false">HG79+OD79</f>
        <v>0</v>
      </c>
      <c r="OF79" s="20" t="n">
        <f aca="false">IF(HF79=1,MAX(0,(Slot20_Cost-OE79*(1+Slot20_Rate)^(Slot20_Age-D79))/OB79),0)</f>
        <v>0</v>
      </c>
      <c r="OG79" s="20" t="n">
        <f aca="false">IF(HF79=1,MAX(0,(Slot20_Cost-HG79*(1+Slot20_Rate)^(Slot20_Age-D79))/OB79),0)</f>
        <v>0</v>
      </c>
      <c r="OH79" s="20" t="n">
        <f aca="false">IF(AND(HU79=1,HF79=1),MIN(OA79,OF79),0)</f>
        <v>0</v>
      </c>
      <c r="OI79" s="20" t="n">
        <f aca="false">OA79-OH79</f>
        <v>0</v>
      </c>
      <c r="OJ79" s="20" t="n">
        <f aca="false">IE79-(IH79+IP79+IX79+JF79+JN79+JV79+KD79+KL79+KT79+LB79+LJ79+LR79+LZ79+MH79+MP79+MX79+NF79+NN79+NV79+OD79)</f>
        <v>0</v>
      </c>
      <c r="OK79" s="20" t="n">
        <f aca="false">IF(HU79=1,HS79-ID79-IE79,0)</f>
        <v>0</v>
      </c>
      <c r="OL79" s="20" t="n">
        <f aca="false">IF(HU79=0,-HS79,0)</f>
        <v>78594.6403121201</v>
      </c>
      <c r="OM79" s="20" t="n">
        <f aca="false">MIN(OL79,HK79)</f>
        <v>0</v>
      </c>
      <c r="ON79" s="20" t="n">
        <f aca="false">OL79-OM79</f>
        <v>78594.6403121201</v>
      </c>
      <c r="OO79" s="20" t="n">
        <f aca="false">MIN(ON79,HL79)</f>
        <v>0</v>
      </c>
      <c r="OP79" s="20" t="n">
        <f aca="false">ON79-OO79</f>
        <v>78594.6403121201</v>
      </c>
      <c r="OQ79" s="20" t="n">
        <f aca="false">IF(AND(HU79=0,HF79=1,OP79&gt;0),MIN(OP79,HG79),0)</f>
        <v>0</v>
      </c>
      <c r="OR79" s="20" t="n">
        <f aca="false">OP79-OQ79</f>
        <v>78594.6403121201</v>
      </c>
      <c r="OS79" s="20" t="n">
        <f aca="false">IF(AND(HU79=0,GV79=1,OR79&gt;0),MIN(OR79,GW79),0)</f>
        <v>0</v>
      </c>
      <c r="OT79" s="20" t="n">
        <f aca="false">OR79-OS79</f>
        <v>78594.6403121201</v>
      </c>
      <c r="OU79" s="20" t="n">
        <f aca="false">IF(AND(HU79=0,GL79=1,OT79&gt;0),MIN(OT79,GM79),0)</f>
        <v>0</v>
      </c>
      <c r="OV79" s="20" t="n">
        <f aca="false">OT79-OU79</f>
        <v>78594.6403121201</v>
      </c>
      <c r="OW79" s="20" t="n">
        <f aca="false">IF(AND(HU79=0,GB79=1,OV79&gt;0),MIN(OV79,GC79),0)</f>
        <v>0</v>
      </c>
      <c r="OX79" s="20" t="n">
        <f aca="false">OV79-OW79</f>
        <v>78594.6403121201</v>
      </c>
      <c r="OY79" s="20" t="n">
        <f aca="false">IF(AND(HU79=0,FR79=1,OX79&gt;0),MIN(OX79,FS79),0)</f>
        <v>0</v>
      </c>
      <c r="OZ79" s="20" t="n">
        <f aca="false">OX79-OY79</f>
        <v>78594.6403121201</v>
      </c>
      <c r="PA79" s="20" t="n">
        <f aca="false">IF(AND(HU79=0,FH79=1,OZ79&gt;0),MIN(OZ79,FI79),0)</f>
        <v>0</v>
      </c>
      <c r="PB79" s="20" t="n">
        <f aca="false">OZ79-PA79</f>
        <v>78594.6403121201</v>
      </c>
      <c r="PC79" s="20" t="n">
        <f aca="false">IF(AND(HU79=0,EX79=1,PB79&gt;0),MIN(PB79,EY79),0)</f>
        <v>0</v>
      </c>
      <c r="PD79" s="20" t="n">
        <f aca="false">PB79-PC79</f>
        <v>78594.6403121201</v>
      </c>
      <c r="PE79" s="20" t="n">
        <f aca="false">IF(AND(HU79=0,EN79=1,PD79&gt;0),MIN(PD79,EO79),0)</f>
        <v>0</v>
      </c>
      <c r="PF79" s="20" t="n">
        <f aca="false">PD79-PE79</f>
        <v>78594.6403121201</v>
      </c>
      <c r="PG79" s="20" t="n">
        <f aca="false">IF(AND(HU79=0,ED79=1,PF79&gt;0),MIN(PF79,EE79),0)</f>
        <v>0</v>
      </c>
      <c r="PH79" s="20" t="n">
        <f aca="false">PF79-PG79</f>
        <v>78594.6403121201</v>
      </c>
      <c r="PI79" s="20" t="n">
        <f aca="false">IF(AND(HU79=0,DT79=1,PH79&gt;0),MIN(PH79,DU79),0)</f>
        <v>0</v>
      </c>
      <c r="PJ79" s="20" t="n">
        <f aca="false">PH79-PI79</f>
        <v>78594.6403121201</v>
      </c>
      <c r="PK79" s="20" t="n">
        <f aca="false">IF(AND(HU79=0,DJ79=1,PJ79&gt;0),MIN(PJ79,DK79),0)</f>
        <v>0</v>
      </c>
      <c r="PL79" s="20" t="n">
        <f aca="false">PJ79-PK79</f>
        <v>78594.6403121201</v>
      </c>
      <c r="PM79" s="20" t="n">
        <f aca="false">IF(AND(HU79=0,CZ79=1,PL79&gt;0),MIN(PL79,DA79),0)</f>
        <v>0</v>
      </c>
      <c r="PN79" s="20" t="n">
        <f aca="false">PL79-PM79</f>
        <v>78594.6403121201</v>
      </c>
      <c r="PO79" s="20" t="n">
        <f aca="false">IF(AND(HU79=0,CP79=1,PN79&gt;0),MIN(PN79,CQ79),0)</f>
        <v>0</v>
      </c>
      <c r="PP79" s="20" t="n">
        <f aca="false">PN79-PO79</f>
        <v>78594.6403121201</v>
      </c>
      <c r="PQ79" s="20" t="n">
        <f aca="false">IF(AND(HU79=0,CF79=1,PP79&gt;0),MIN(PP79,CG79),0)</f>
        <v>0</v>
      </c>
      <c r="PR79" s="20" t="n">
        <f aca="false">PP79-PQ79</f>
        <v>78594.6403121201</v>
      </c>
      <c r="PS79" s="20" t="n">
        <f aca="false">IF(AND(HU79=0,BV79=1,PR79&gt;0),MIN(PR79,BW79),0)</f>
        <v>0</v>
      </c>
      <c r="PT79" s="20" t="n">
        <f aca="false">PR79-PS79</f>
        <v>78594.6403121201</v>
      </c>
      <c r="PU79" s="20" t="n">
        <f aca="false">IF(AND(HU79=0,BL79=1,PT79&gt;0),MIN(PT79,BM79),0)</f>
        <v>0</v>
      </c>
      <c r="PV79" s="20" t="n">
        <f aca="false">PT79-PU79</f>
        <v>78594.6403121201</v>
      </c>
      <c r="PW79" s="20" t="n">
        <f aca="false">IF(AND(HU79=0,BB79=1,PV79&gt;0),MIN(PV79,BC79),0)</f>
        <v>0</v>
      </c>
      <c r="PX79" s="20" t="n">
        <f aca="false">PV79-PW79</f>
        <v>78594.6403121201</v>
      </c>
      <c r="PY79" s="20" t="n">
        <f aca="false">IF(AND(HU79=0,AR79=1,PX79&gt;0),MIN(PX79,AS79),0)</f>
        <v>0</v>
      </c>
      <c r="PZ79" s="20" t="n">
        <f aca="false">PX79-PY79</f>
        <v>78594.6403121201</v>
      </c>
      <c r="QA79" s="20" t="n">
        <f aca="false">IF(AND(HU79=0,AH79=1,PZ79&gt;0),MIN(PZ79,AI79),0)</f>
        <v>0</v>
      </c>
      <c r="QB79" s="20" t="n">
        <f aca="false">PZ79-QA79</f>
        <v>78594.6403121201</v>
      </c>
      <c r="QC79" s="20" t="n">
        <f aca="false">IF(AND(HU79=0,W79=1,QB79&gt;0),MIN(QB79,X79),0)</f>
        <v>0</v>
      </c>
      <c r="QD79" s="20" t="n">
        <f aca="false">QB79-QC79</f>
        <v>78594.6403121201</v>
      </c>
      <c r="QE79" s="20" t="n">
        <f aca="false">IF(HU79=0,QD79,0)</f>
        <v>78594.6403121201</v>
      </c>
      <c r="QF79" s="20" t="n">
        <f aca="false">OM79+OO79+QC79+QA79+PY79+PW79+PU79+PS79+PQ79+PO79+PM79+PK79+PI79+PG79+PE79+PC79+PA79+OY79+OW79+OU79+OS79+OQ79</f>
        <v>0</v>
      </c>
      <c r="QG79" s="20" t="n">
        <f aca="false">IF(HU79=1,HK79+OJ79+OI79+IF(G79=1,0,OK79),HK79-OM79)</f>
        <v>0</v>
      </c>
      <c r="QH79" s="20" t="n">
        <f aca="false">HL79-OO79</f>
        <v>0</v>
      </c>
      <c r="QI79" s="20" t="n">
        <f aca="false">IF(HU79=1,IF(G79=1,ID79+IE79,HS79),0)</f>
        <v>0</v>
      </c>
      <c r="QJ79" s="20" t="n">
        <f aca="false">IF(HU79=1,IF(G79=1,HS79-ID79-IE79,0),0)</f>
        <v>0</v>
      </c>
      <c r="QK79" s="57" t="n">
        <f aca="false">'Plan holdings'!BM79</f>
        <v>0</v>
      </c>
      <c r="QL79" s="20" t="n">
        <f aca="false">QH79*(1+AS_Cash)</f>
        <v>0</v>
      </c>
      <c r="QM79" s="20" t="n">
        <f aca="false">IF(W79=1,IF(HU79=1,II79+IL79,X79-QC79)*(1+Slot1_Rate),0)</f>
        <v>0</v>
      </c>
      <c r="QN79" s="20" t="n">
        <f aca="false">IF(AND(HU79=1,W79=1),(IH79+IL79)/F79,0)</f>
        <v>0</v>
      </c>
      <c r="QO79" s="20" t="n">
        <f aca="false">IF(B79=0,IH79+IL79,0)</f>
        <v>0</v>
      </c>
      <c r="QP79" s="20" t="n">
        <f aca="false">IF(B79=0,IF(HU79=1,IJ79,IK79),0)</f>
        <v>0</v>
      </c>
      <c r="QQ79" s="20" t="n">
        <f aca="false">IF(AH79=1,IF(HU79=1,IQ79+IT79,AI79-QA79)*(1+Slot2_Rate),0)</f>
        <v>0</v>
      </c>
      <c r="QR79" s="20" t="n">
        <f aca="false">IF(AND(HU79=1,AH79=1),(IP79+IT79)/F79,0)</f>
        <v>0</v>
      </c>
      <c r="QS79" s="20" t="n">
        <f aca="false">IF(B79=0,IP79+IT79,0)</f>
        <v>0</v>
      </c>
      <c r="QT79" s="20" t="n">
        <f aca="false">IF(B79=0,IF(HU79=1,IR79,IS79),0)</f>
        <v>0</v>
      </c>
      <c r="QU79" s="20" t="n">
        <f aca="false">IF(AR79=1,IF(HU79=1,IY79+JB79,AS79-PY79)*(1+Slot3_Rate),0)</f>
        <v>0</v>
      </c>
      <c r="QV79" s="20" t="n">
        <f aca="false">IF(AND(HU79=1,AR79=1),(IX79+JB79)/F79,0)</f>
        <v>0</v>
      </c>
      <c r="QW79" s="20" t="n">
        <f aca="false">IF(B79=0,IX79+JB79,0)</f>
        <v>0</v>
      </c>
      <c r="QX79" s="20" t="n">
        <f aca="false">IF(B79=0,IF(HU79=1,IZ79,JA79),0)</f>
        <v>0</v>
      </c>
      <c r="QY79" s="20" t="n">
        <f aca="false">IF(BB79=1,IF(HU79=1,JG79+JJ79,BC79-PW79)*(1+Slot4_Rate),0)</f>
        <v>0</v>
      </c>
      <c r="QZ79" s="20" t="n">
        <f aca="false">IF(AND(HU79=1,BB79=1),(JF79+JJ79)/F79,0)</f>
        <v>0</v>
      </c>
      <c r="RA79" s="20" t="n">
        <f aca="false">IF(B79=0,JF79+JJ79,0)</f>
        <v>0</v>
      </c>
      <c r="RB79" s="20" t="n">
        <f aca="false">IF(B79=0,IF(HU79=1,JH79,JI79),0)</f>
        <v>0</v>
      </c>
      <c r="RC79" s="20" t="n">
        <f aca="false">IF(BL79=1,IF(HU79=1,JO79+JR79,BM79-PU79)*(1+Slot5_Rate),0)</f>
        <v>0</v>
      </c>
      <c r="RD79" s="20" t="n">
        <f aca="false">IF(AND(HU79=1,BL79=1),(JN79+JR79)/F79,0)</f>
        <v>0</v>
      </c>
      <c r="RE79" s="20" t="n">
        <f aca="false">IF(B79=0,JN79+JR79,0)</f>
        <v>0</v>
      </c>
      <c r="RF79" s="20" t="n">
        <f aca="false">IF(B79=0,IF(HU79=1,JP79,JQ79),0)</f>
        <v>0</v>
      </c>
      <c r="RG79" s="20" t="n">
        <f aca="false">IF(BV79=1,IF(HU79=1,JW79+JZ79,BW79-PS79)*(1+Slot6_Rate),0)</f>
        <v>0</v>
      </c>
      <c r="RH79" s="20" t="n">
        <f aca="false">IF(AND(HU79=1,BV79=1),(JV79+JZ79)/F79,0)</f>
        <v>0</v>
      </c>
      <c r="RI79" s="20" t="n">
        <f aca="false">IF(B79=0,JV79+JZ79,0)</f>
        <v>0</v>
      </c>
      <c r="RJ79" s="20" t="n">
        <f aca="false">IF(B79=0,IF(HU79=1,JX79,JY79),0)</f>
        <v>0</v>
      </c>
      <c r="RK79" s="20" t="n">
        <f aca="false">IF(CF79=1,IF(HU79=1,KE79+KH79,CG79-PQ79)*(1+Slot7_Rate),0)</f>
        <v>0</v>
      </c>
      <c r="RL79" s="20" t="n">
        <f aca="false">IF(AND(HU79=1,CF79=1),(KD79+KH79)/F79,0)</f>
        <v>0</v>
      </c>
      <c r="RM79" s="20" t="n">
        <f aca="false">IF(B79=0,KD79+KH79,0)</f>
        <v>0</v>
      </c>
      <c r="RN79" s="20" t="n">
        <f aca="false">IF(B79=0,IF(HU79=1,KF79,KG79),0)</f>
        <v>0</v>
      </c>
      <c r="RO79" s="20" t="n">
        <f aca="false">IF(CP79=1,IF(HU79=1,KM79+KP79,CQ79-PO79)*(1+Slot8_Rate),0)</f>
        <v>0</v>
      </c>
      <c r="RP79" s="20" t="n">
        <f aca="false">IF(AND(HU79=1,CP79=1),(KL79+KP79)/F79,0)</f>
        <v>0</v>
      </c>
      <c r="RQ79" s="20" t="n">
        <f aca="false">IF(B79=0,KL79+KP79,0)</f>
        <v>0</v>
      </c>
      <c r="RR79" s="20" t="n">
        <f aca="false">IF(B79=0,IF(HU79=1,KN79,KO79),0)</f>
        <v>0</v>
      </c>
      <c r="RS79" s="20" t="n">
        <f aca="false">IF(CZ79=1,IF(HU79=1,KU79+KX79,DA79-PM79)*(1+Slot9_Rate),0)</f>
        <v>0</v>
      </c>
      <c r="RT79" s="20" t="n">
        <f aca="false">IF(AND(HU79=1,CZ79=1),(KT79+KX79)/F79,0)</f>
        <v>0</v>
      </c>
      <c r="RU79" s="20" t="n">
        <f aca="false">IF(B79=0,KT79+KX79,0)</f>
        <v>0</v>
      </c>
      <c r="RV79" s="20" t="n">
        <f aca="false">IF(B79=0,IF(HU79=1,KV79,KW79),0)</f>
        <v>0</v>
      </c>
      <c r="RW79" s="20" t="n">
        <f aca="false">IF(DJ79=1,IF(HU79=1,LC79+LF79,DK79-PK79)*(1+Slot10_Rate),0)</f>
        <v>0</v>
      </c>
      <c r="RX79" s="20" t="n">
        <f aca="false">IF(AND(HU79=1,DJ79=1),(LB79+LF79)/F79,0)</f>
        <v>0</v>
      </c>
      <c r="RY79" s="20" t="n">
        <f aca="false">IF(B79=0,LB79+LF79,0)</f>
        <v>0</v>
      </c>
      <c r="RZ79" s="20" t="n">
        <f aca="false">IF(B79=0,IF(HU79=1,LD79,LE79),0)</f>
        <v>0</v>
      </c>
      <c r="SA79" s="20" t="n">
        <f aca="false">IF(DT79=1,IF(HU79=1,LK79+LN79,DU79-PI79)*(1+Slot11_Rate),0)</f>
        <v>0</v>
      </c>
      <c r="SB79" s="20" t="n">
        <f aca="false">IF(AND(HU79=1,DT79=1),(LJ79+LN79)/F79,0)</f>
        <v>0</v>
      </c>
      <c r="SC79" s="20" t="n">
        <f aca="false">IF(B79=0,LJ79+LN79,0)</f>
        <v>0</v>
      </c>
      <c r="SD79" s="20" t="n">
        <f aca="false">IF(B79=0,IF(HU79=1,LL79,LM79),0)</f>
        <v>0</v>
      </c>
      <c r="SE79" s="20" t="n">
        <f aca="false">IF(ED79=1,IF(HU79=1,LS79+LV79,EE79-PG79)*(1+Slot12_Rate),0)</f>
        <v>0</v>
      </c>
      <c r="SF79" s="20" t="n">
        <f aca="false">IF(AND(HU79=1,ED79=1),(LR79+LV79)/F79,0)</f>
        <v>0</v>
      </c>
      <c r="SG79" s="20" t="n">
        <f aca="false">IF(B79=0,LR79+LV79,0)</f>
        <v>0</v>
      </c>
      <c r="SH79" s="20" t="n">
        <f aca="false">IF(B79=0,IF(HU79=1,LT79,LU79),0)</f>
        <v>0</v>
      </c>
      <c r="SI79" s="20" t="n">
        <f aca="false">IF(EN79=1,IF(HU79=1,MA79+MD79,EO79-PE79)*(1+Slot13_Rate),0)</f>
        <v>0</v>
      </c>
      <c r="SJ79" s="20" t="n">
        <f aca="false">IF(AND(HU79=1,EN79=1),(LZ79+MD79)/F79,0)</f>
        <v>0</v>
      </c>
      <c r="SK79" s="20" t="n">
        <f aca="false">IF(B79=0,LZ79+MD79,0)</f>
        <v>0</v>
      </c>
      <c r="SL79" s="20" t="n">
        <f aca="false">IF(B79=0,IF(HU79=1,MB79,MC79),0)</f>
        <v>0</v>
      </c>
      <c r="SM79" s="20" t="n">
        <f aca="false">IF(EX79=1,IF(HU79=1,MI79+ML79,EY79-PC79)*(1+Slot14_Rate),0)</f>
        <v>0</v>
      </c>
      <c r="SN79" s="20" t="n">
        <f aca="false">IF(AND(HU79=1,EX79=1),(MH79+ML79)/F79,0)</f>
        <v>0</v>
      </c>
      <c r="SO79" s="20" t="n">
        <f aca="false">IF(B79=0,MH79+ML79,0)</f>
        <v>0</v>
      </c>
      <c r="SP79" s="20" t="n">
        <f aca="false">IF(B79=0,IF(HU79=1,MJ79,MK79),0)</f>
        <v>0</v>
      </c>
      <c r="SQ79" s="20" t="n">
        <f aca="false">IF(FH79=1,IF(HU79=1,MQ79+MT79,FI79-PA79)*(1+Slot15_Rate),0)</f>
        <v>0</v>
      </c>
      <c r="SR79" s="20" t="n">
        <f aca="false">IF(AND(HU79=1,FH79=1),(MP79+MT79)/F79,0)</f>
        <v>0</v>
      </c>
      <c r="SS79" s="20" t="n">
        <f aca="false">IF(B79=0,MP79+MT79,0)</f>
        <v>0</v>
      </c>
      <c r="ST79" s="20" t="n">
        <f aca="false">IF(B79=0,IF(HU79=1,MR79,MS79),0)</f>
        <v>0</v>
      </c>
      <c r="SU79" s="20" t="n">
        <f aca="false">IF(FR79=1,IF(HU79=1,MY79+NB79,FS79-OY79)*(1+Slot16_Rate),0)</f>
        <v>0</v>
      </c>
      <c r="SV79" s="20" t="n">
        <f aca="false">IF(AND(HU79=1,FR79=1),(MX79+NB79)/F79,0)</f>
        <v>0</v>
      </c>
      <c r="SW79" s="20" t="n">
        <f aca="false">IF(B79=0,MX79+NB79,0)</f>
        <v>0</v>
      </c>
      <c r="SX79" s="20" t="n">
        <f aca="false">IF(B79=0,IF(HU79=1,MZ79,NA79),0)</f>
        <v>0</v>
      </c>
      <c r="SY79" s="20" t="n">
        <f aca="false">IF(GB79=1,IF(HU79=1,NG79+NJ79,GC79-OW79)*(1+Slot17_Rate),0)</f>
        <v>0</v>
      </c>
      <c r="SZ79" s="20" t="n">
        <f aca="false">IF(AND(HU79=1,GB79=1),(NF79+NJ79)/F79,0)</f>
        <v>0</v>
      </c>
      <c r="TA79" s="20" t="n">
        <f aca="false">IF(B79=0,NF79+NJ79,0)</f>
        <v>0</v>
      </c>
      <c r="TB79" s="20" t="n">
        <f aca="false">IF(B79=0,IF(HU79=1,NH79,NI79),0)</f>
        <v>0</v>
      </c>
      <c r="TC79" s="20" t="n">
        <f aca="false">IF(GL79=1,IF(HU79=1,NO79+NR79,GM79-OU79)*(1+Slot18_Rate),0)</f>
        <v>0</v>
      </c>
      <c r="TD79" s="20" t="n">
        <f aca="false">IF(AND(HU79=1,GL79=1),(NN79+NR79)/F79,0)</f>
        <v>0</v>
      </c>
      <c r="TE79" s="20" t="n">
        <f aca="false">IF(B79=0,NN79+NR79,0)</f>
        <v>0</v>
      </c>
      <c r="TF79" s="20" t="n">
        <f aca="false">IF(B79=0,IF(HU79=1,NP79,NQ79),0)</f>
        <v>0</v>
      </c>
      <c r="TG79" s="20" t="n">
        <f aca="false">IF(GV79=1,IF(HU79=1,NW79+NZ79,GW79-OS79)*(1+Slot19_Rate),0)</f>
        <v>0</v>
      </c>
      <c r="TH79" s="20" t="n">
        <f aca="false">IF(AND(HU79=1,GV79=1),(NV79+NZ79)/F79,0)</f>
        <v>0</v>
      </c>
      <c r="TI79" s="20" t="n">
        <f aca="false">IF(B79=0,NV79+NZ79,0)</f>
        <v>0</v>
      </c>
      <c r="TJ79" s="20" t="n">
        <f aca="false">IF(B79=0,IF(HU79=1,NX79,NY79),0)</f>
        <v>0</v>
      </c>
      <c r="TK79" s="20" t="n">
        <f aca="false">IF(HF79=1,IF(HU79=1,OE79+OH79,HG79-OQ79)*(1+Slot20_Rate),0)</f>
        <v>0</v>
      </c>
      <c r="TL79" s="20" t="n">
        <f aca="false">IF(AND(HU79=1,HF79=1),(OD79+OH79)/F79,0)</f>
        <v>0</v>
      </c>
      <c r="TM79" s="20" t="n">
        <f aca="false">IF(B79=0,OD79+OH79,0)</f>
        <v>0</v>
      </c>
      <c r="TN79" s="20" t="n">
        <f aca="false">IF(B79=0,IF(HU79=1,OF79,OG79),0)</f>
        <v>0</v>
      </c>
      <c r="TO79" s="20" t="n">
        <f aca="false">QK79+QL79+QM79+QQ79+QU79+QY79+RC79+RG79+RK79+RO79+RS79+RW79+SA79+SE79+SI79+SM79+SQ79+SU79+SY79+TC79+TG79+TK79</f>
        <v>0</v>
      </c>
      <c r="TP79" s="20" t="n">
        <f aca="false">QE79+HP79</f>
        <v>78594.6403121201</v>
      </c>
      <c r="TQ79" s="20" t="n">
        <f aca="false">I79+S79</f>
        <v>195002.460713199</v>
      </c>
      <c r="TR79" s="20" t="n">
        <f aca="false">1-G79</f>
        <v>1</v>
      </c>
      <c r="TS79" s="20" t="n">
        <f aca="false">IF(AND(RG_Exists=1,G79=0,C79=1),I79,0)</f>
        <v>0</v>
      </c>
      <c r="TT79" s="20" t="n">
        <f aca="false">IF(AND(RG_Exists=1,G79=0,C79=1),I79-MIN(QE79,I79),0)</f>
        <v>0</v>
      </c>
      <c r="TU79" s="20" t="n">
        <f aca="false">'Plan pay &amp; tax'!AD305</f>
        <v>0</v>
      </c>
      <c r="TV79" s="20" t="n">
        <f aca="false">IF(AND(C79=1,QE79&gt;MAX(PR_Short1,TQ79*PR_Short2)),1,0)</f>
        <v>0</v>
      </c>
      <c r="TW79" s="20" t="n">
        <f aca="false">MIN(H79,I79+S79)</f>
        <v>116407.820401078</v>
      </c>
      <c r="TX79" s="20" t="n">
        <f aca="false">QF79+MAX(0,HQ79-HP79)</f>
        <v>0</v>
      </c>
      <c r="TY79" s="20" t="n">
        <f aca="false">QE79+HP79</f>
        <v>78594.6403121201</v>
      </c>
      <c r="TZ79" s="20" t="n">
        <f aca="false">IF(AND(C79=1,TY79&gt;PR_MinShort),1,0)</f>
        <v>0</v>
      </c>
      <c r="UA79" s="20" t="n">
        <f aca="false">IF(AND(C79=1,TZ79=0,TX79&gt;PR_MinShort),1,0)</f>
        <v>0</v>
      </c>
      <c r="UB79" s="20" t="n">
        <f aca="false">IF(AND(C79=1,QE79&gt;PR_MinShort),1,0)</f>
        <v>0</v>
      </c>
      <c r="UC79" s="20" t="n">
        <f aca="false">IF(AND(C79=1,QF79&gt;1,UJ79=0),1,0)</f>
        <v>0</v>
      </c>
      <c r="UD79" s="20" t="str">
        <f aca="false">IF(C79=0,"",IF(UJ79=1,"Gap to plan for: short "&amp;"€"&amp;TEXT(ROUND(TP79,0),"#,##0"),IF(QF79&gt;1,"Using savings","Comfortable")))</f>
        <v/>
      </c>
      <c r="UE79" s="20" t="n">
        <f aca="false">IF(AND(INT(D79/10)*10=90,B79&gt;0),80,INT(D79/10)*10)</f>
        <v>100</v>
      </c>
      <c r="UF79" s="20" t="n">
        <f aca="false">IF(B79=0,1,IF(UE79&lt;&gt;UE78,UF78+1,UF78))</f>
        <v>7</v>
      </c>
      <c r="UG79" s="20" t="n">
        <f aca="false">IF(AND(C79=1,G79=1,QE79&gt;MAX(PR_Short1,TQ79*PR_Short2)),1,0)</f>
        <v>0</v>
      </c>
      <c r="UH79" s="20" t="n">
        <f aca="false">TR79*TV79</f>
        <v>0</v>
      </c>
      <c r="UI79" s="20" t="n">
        <f aca="false">IF(AND(V79=1,Slot1_PctLow=1),1,0)+IF(AND(AG79=1,Slot2_PctLow=1),1,0)+IF(AND(AQ79=1,Slot3_PctLow=1),1,0)+IF(AND(BA79=1,Slot4_PctLow=1),1,0)+IF(AND(BK79=1,Slot5_PctLow=1),1,0)+IF(AND(BU79=1,Slot6_PctLow=1),1,0)+IF(AND(CE79=1,Slot7_PctLow=1),1,0)+IF(AND(CO79=1,Slot8_PctLow=1),1,0)+IF(AND(CY79=1,Slot9_PctLow=1),1,0)+IF(AND(DI79=1,Slot10_PctLow=1),1,0)+IF(AND(DS79=1,Slot11_PctLow=1),1,0)+IF(AND(EC79=1,Slot12_PctLow=1),1,0)+IF(AND(EM79=1,Slot13_PctLow=1),1,0)+IF(AND(EW79=1,Slot14_PctLow=1),1,0)+IF(AND(FG79=1,Slot15_PctLow=1),1,0)+IF(AND(FQ79=1,Slot16_PctLow=1),1,0)+IF(AND(GA79=1,Slot17_PctLow=1),1,0)+IF(AND(GK79=1,Slot18_PctLow=1),1,0)+IF(AND(GU79=1,Slot19_PctLow=1),1,0)+IF(AND(HE79=1,Slot20_PctLow=1),1,0)</f>
        <v>0</v>
      </c>
      <c r="UJ79" s="20" t="n">
        <f aca="false">IF(C79=1,IF(OR(TV79=1,UI79&gt;0),1,0),0)</f>
        <v>0</v>
      </c>
      <c r="UK79" s="20" t="n">
        <f aca="false">Z79+AK79+AU79+BE79+BO79+BY79+CI79+CS79+DC79+DM79+DW79+EG79+EQ79+FA79+FK79+FU79+GE79+GO79+GY79+HI79+OM79</f>
        <v>0</v>
      </c>
      <c r="UL79" s="20" t="n">
        <f aca="false">V79*IF(Slot1_SpendLike=1,X79-Y79,IF(Slot1_PotFree=1,X79,0))+AG79*IF(Slot2_SpendLike=1,AI79-AJ79,IF(Slot2_PotFree=1,AI79,0))+AQ79*IF(Slot3_SpendLike=1,AS79-AT79,IF(Slot3_PotFree=1,AS79,0))+BA79*IF(Slot4_SpendLike=1,BC79-BD79,IF(Slot4_PotFree=1,BC79,0))+BK79*IF(Slot5_SpendLike=1,BM79-BN79,IF(Slot5_PotFree=1,BM79,0))+BU79*IF(Slot6_SpendLike=1,BW79-BX79,IF(Slot6_PotFree=1,BW79,0))+CE79*IF(Slot7_SpendLike=1,CG79-CH79,IF(Slot7_PotFree=1,CG79,0))+CO79*IF(Slot8_SpendLike=1,CQ79-CR79,IF(Slot8_PotFree=1,CQ79,0))+CY79*IF(Slot9_SpendLike=1,DA79-DB79,IF(Slot9_PotFree=1,DA79,0))+DI79*IF(Slot10_SpendLike=1,DK79-DL79,IF(Slot10_PotFree=1,DK79,0))+DS79*IF(Slot11_SpendLike=1,DU79-DV79,IF(Slot11_PotFree=1,DU79,0))+EC79*IF(Slot12_SpendLike=1,EE79-EF79,IF(Slot12_PotFree=1,EE79,0))+EM79*IF(Slot13_SpendLike=1,EO79-EP79,IF(Slot13_PotFree=1,EO79,0))+EW79*IF(Slot14_SpendLike=1,EY79-EZ79,IF(Slot14_PotFree=1,EY79,0))+FG79*IF(Slot15_SpendLike=1,FI79-FJ79,IF(Slot15_PotFree=1,FI79,0))+FQ79*IF(Slot16_SpendLike=1,FS79-FT79,IF(Slot16_PotFree=1,FS79,0))+GA79*IF(Slot17_SpendLike=1,GC79-GD79,IF(Slot17_PotFree=1,GC79,0))+GK79*IF(Slot18_SpendLike=1,GM79-GN79,IF(Slot18_PotFree=1,GM79,0))+GU79*IF(Slot19_SpendLike=1,GW79-GX79,IF(Slot19_PotFree=1,GW79,0))+HE79*IF(Slot20_SpendLike=1,HG79-HH79,IF(Slot20_PotFree=1,HG79,0))</f>
        <v>0</v>
      </c>
      <c r="UM79" s="20" t="n">
        <f aca="false">QG79-T79+UK79-UL79</f>
        <v>0</v>
      </c>
      <c r="UN79" s="20" t="n">
        <f aca="false">IF(OR(UN78=1,AND(In_homeUse="Yes, I'd downsize",In_downAge&gt;0,D79=In_downAge,OR(In_home="Own outright",In_home="Own with mortgage"),In_homeValue&gt;0)),1,0)</f>
        <v>0</v>
      </c>
    </row>
    <row r="80" customFormat="false" ht="15" hidden="false" customHeight="true" outlineLevel="0" collapsed="false">
      <c r="B80" s="20" t="n">
        <v>72</v>
      </c>
      <c r="C80" s="20" t="n">
        <f aca="false">IF(B80&lt;=F_N,1,0)</f>
        <v>0</v>
      </c>
      <c r="D80" s="20" t="n">
        <f aca="false">'Plan pay &amp; tax'!C306</f>
        <v>110</v>
      </c>
      <c r="E80" s="20" t="str">
        <f aca="false">IF($C80=1,"Income tax "&amp;TEXT(N('Plan pay &amp; tax'!BK306),"#,##0")&amp;"; USC "&amp;TEXT(N('Plan pay &amp; tax'!BM306)+N('Plan pay &amp; tax'!BO306),"#,##0")&amp;"; PRSI "&amp;TEXT(N('Plan pay &amp; tax'!BP306)+N('Plan pay &amp; tax'!BQ306),"#,##0")&amp;IF(N('Plan holdings'!BO80)&gt;=0.5,"; DIRT "&amp;TEXT(('Plan holdings'!BO80)/$F80,"#,##0")&amp;" (already taken from the interest earned)","")&amp;IF(N('Plan holdings'!BP80)&gt;=0.5,"; exit tax at an 8-year anniversary "&amp;TEXT(('Plan holdings'!BP80)/$F80,"#,##0"),"")&amp;IF(N('Plan holdings'!BN80)&gt;=0.5,"; tax on assets sold (exit tax or capital gains tax) "&amp;TEXT(('Plan holdings'!BN80)/$F80,"#,##0"),"")&amp;IF(N('Plan pay &amp; tax'!X306)-N('Plan pay &amp; tax'!Y306)&gt;=0.5,"; tax on the pension lump sum "&amp;TEXT(('Plan pay &amp; tax'!X306-'Plan pay &amp; tax'!Y306)/$F80,"#,##0"),"")&amp;IF(N('Plan pay &amp; tax'!V306)&gt;=0.5,"; chargeable excess tax on the pension "&amp;TEXT(('Plan pay &amp; tax'!V306)/$F80,"#,##0"),"")&amp;".","")</f>
        <v/>
      </c>
      <c r="F80" s="50" t="n">
        <f aca="false">'Plan pay &amp; tax'!E306</f>
        <v>4.16114037505152</v>
      </c>
      <c r="G80" s="20" t="n">
        <f aca="false">'Plan pay &amp; tax'!G306</f>
        <v>0</v>
      </c>
      <c r="H80" s="20" t="n">
        <f aca="false">'Plan pay &amp; tax'!BT306-'Plan pay &amp; tax'!BS306-'Plan pay &amp; tax'!R306</f>
        <v>118735.9768091</v>
      </c>
      <c r="I80" s="20" t="n">
        <f aca="false">IF(G80=1,F_CostsM*12,IF(RG_Exists=1,RG_Amount,F_CostsM*12*AS_RetireSpend))*F80+F_OneOffY*F80</f>
        <v>198902.509927463</v>
      </c>
      <c r="J80" s="20" t="n">
        <f aca="false">IF(UN80=1,0,HR79)</f>
        <v>0</v>
      </c>
      <c r="K80" s="20" t="n">
        <f aca="false">IF(J80&gt;1,'Plan debt months'!AC80,0)</f>
        <v>0</v>
      </c>
      <c r="L80" s="20" t="n">
        <f aca="false">IF(J80&gt;1,'Plan debt months'!AB80,J80)</f>
        <v>0</v>
      </c>
      <c r="M80" s="20" t="n">
        <f aca="false">O79</f>
        <v>0</v>
      </c>
      <c r="N80" s="20" t="n">
        <f aca="false">IF(M80&gt;1,'Plan debt months'!BD80,0)</f>
        <v>0</v>
      </c>
      <c r="O80" s="20" t="n">
        <f aca="false">IF(M80&gt;1,'Plan debt months'!BC80,M80)</f>
        <v>0</v>
      </c>
      <c r="P80" s="20" t="n">
        <f aca="false">R79</f>
        <v>0</v>
      </c>
      <c r="Q80" s="20" t="n">
        <f aca="false">IF(P80&gt;1,'Plan debt months'!CE80,0)</f>
        <v>0</v>
      </c>
      <c r="R80" s="20" t="n">
        <f aca="false">IF(P80&gt;1,'Plan debt months'!CD80,P80)</f>
        <v>0</v>
      </c>
      <c r="S80" s="20" t="n">
        <f aca="false">K80+N80+Q80</f>
        <v>0</v>
      </c>
      <c r="T80" s="57" t="n">
        <f aca="false">'Plan holdings'!Y80</f>
        <v>0</v>
      </c>
      <c r="U80" s="57" t="n">
        <f aca="false">'Plan holdings'!BM79</f>
        <v>0</v>
      </c>
      <c r="V80" s="20" t="n">
        <f aca="false">IF(AND(Slot1_On=1,D80=Slot1_Age),1,0)</f>
        <v>0</v>
      </c>
      <c r="W80" s="20" t="n">
        <f aca="false">IF(AND(Slot1_On=1,Slot1_Age&gt;D80),1,0)</f>
        <v>0</v>
      </c>
      <c r="X80" s="20" t="n">
        <f aca="false">QM79</f>
        <v>0</v>
      </c>
      <c r="Y80" s="20" t="n">
        <f aca="false">V80*MIN(Slot1_Cost,X80)</f>
        <v>0</v>
      </c>
      <c r="Z80" s="20" t="n">
        <f aca="false">V80*Slot1_SpendLike*MIN(Slot1_Cost-Y80,T80)</f>
        <v>0</v>
      </c>
      <c r="AA80" s="20" t="n">
        <f aca="false">Y80+Z80</f>
        <v>0</v>
      </c>
      <c r="AB80" s="20" t="n">
        <f aca="false">T80-Z80+V80*IF(Slot1_SpendLike=1,X80-Y80,IF(Slot1_PotFree=1,X80,0))</f>
        <v>0</v>
      </c>
      <c r="AC80" s="20" t="n">
        <f aca="false">AF80+V80*Slot1_BufPot*X80</f>
        <v>0</v>
      </c>
      <c r="AD80" s="20" t="n">
        <f aca="false">IF(AND(V80=1,Slot1_IsMfree=1),IF(AA80&gt;=Slot1_Cost-1,0,MAX(0,L80-AA80)),L80)</f>
        <v>0</v>
      </c>
      <c r="AE80" s="20" t="n">
        <f aca="false">V80*(Slot1_Cost-AA80)</f>
        <v>0</v>
      </c>
      <c r="AF80" s="20" t="n">
        <f aca="false">QL79</f>
        <v>0</v>
      </c>
      <c r="AG80" s="20" t="n">
        <f aca="false">IF(AND(Slot2_On=1,D80=Slot2_Age),1,0)</f>
        <v>0</v>
      </c>
      <c r="AH80" s="20" t="n">
        <f aca="false">IF(AND(Slot2_On=1,Slot2_Age&gt;D80),1,0)</f>
        <v>0</v>
      </c>
      <c r="AI80" s="20" t="n">
        <f aca="false">QQ79</f>
        <v>0</v>
      </c>
      <c r="AJ80" s="20" t="n">
        <f aca="false">AG80*MIN(Slot2_Cost,AI80)</f>
        <v>0</v>
      </c>
      <c r="AK80" s="20" t="n">
        <f aca="false">AG80*Slot2_SpendLike*MIN(Slot2_Cost-AJ80,AB80)</f>
        <v>0</v>
      </c>
      <c r="AL80" s="20" t="n">
        <f aca="false">AJ80+AK80</f>
        <v>0</v>
      </c>
      <c r="AM80" s="20" t="n">
        <f aca="false">AB80-AK80+AG80*IF(Slot2_SpendLike=1,AI80-AJ80,IF(Slot2_PotFree=1,AI80,0))</f>
        <v>0</v>
      </c>
      <c r="AN80" s="20" t="n">
        <f aca="false">AC80+AG80*Slot2_BufPot*AI80</f>
        <v>0</v>
      </c>
      <c r="AO80" s="20" t="n">
        <f aca="false">IF(AND(AG80=1,Slot2_IsMfree=1),IF(AL80&gt;=Slot2_Cost-1,0,MAX(0,AD80-AL80)),AD80)</f>
        <v>0</v>
      </c>
      <c r="AP80" s="20" t="n">
        <f aca="false">AG80*(Slot2_Cost-AL80)</f>
        <v>0</v>
      </c>
      <c r="AQ80" s="20" t="n">
        <f aca="false">IF(AND(Slot3_On=1,D80=Slot3_Age),1,0)</f>
        <v>0</v>
      </c>
      <c r="AR80" s="20" t="n">
        <f aca="false">IF(AND(Slot3_On=1,Slot3_Age&gt;D80),1,0)</f>
        <v>0</v>
      </c>
      <c r="AS80" s="20" t="n">
        <f aca="false">QU79</f>
        <v>0</v>
      </c>
      <c r="AT80" s="20" t="n">
        <f aca="false">AQ80*MIN(Slot3_Cost,AS80)</f>
        <v>0</v>
      </c>
      <c r="AU80" s="20" t="n">
        <f aca="false">AQ80*Slot3_SpendLike*MIN(Slot3_Cost-AT80,AM80)</f>
        <v>0</v>
      </c>
      <c r="AV80" s="20" t="n">
        <f aca="false">AT80+AU80</f>
        <v>0</v>
      </c>
      <c r="AW80" s="20" t="n">
        <f aca="false">AM80-AU80+AQ80*IF(Slot3_SpendLike=1,AS80-AT80,IF(Slot3_PotFree=1,AS80,0))</f>
        <v>0</v>
      </c>
      <c r="AX80" s="20" t="n">
        <f aca="false">AN80+AQ80*Slot3_BufPot*AS80</f>
        <v>0</v>
      </c>
      <c r="AY80" s="20" t="n">
        <f aca="false">IF(AND(AQ80=1,Slot3_IsMfree=1),IF(AV80&gt;=Slot3_Cost-1,0,MAX(0,AO80-AV80)),AO80)</f>
        <v>0</v>
      </c>
      <c r="AZ80" s="20" t="n">
        <f aca="false">AQ80*(Slot3_Cost-AV80)</f>
        <v>0</v>
      </c>
      <c r="BA80" s="20" t="n">
        <f aca="false">IF(AND(Slot4_On=1,D80=Slot4_Age),1,0)</f>
        <v>0</v>
      </c>
      <c r="BB80" s="20" t="n">
        <f aca="false">IF(AND(Slot4_On=1,Slot4_Age&gt;D80),1,0)</f>
        <v>0</v>
      </c>
      <c r="BC80" s="20" t="n">
        <f aca="false">QY79</f>
        <v>0</v>
      </c>
      <c r="BD80" s="20" t="n">
        <f aca="false">BA80*MIN(Slot4_Cost,BC80)</f>
        <v>0</v>
      </c>
      <c r="BE80" s="20" t="n">
        <f aca="false">BA80*Slot4_SpendLike*MIN(Slot4_Cost-BD80,AW80)</f>
        <v>0</v>
      </c>
      <c r="BF80" s="20" t="n">
        <f aca="false">BD80+BE80</f>
        <v>0</v>
      </c>
      <c r="BG80" s="20" t="n">
        <f aca="false">AW80-BE80+BA80*IF(Slot4_SpendLike=1,BC80-BD80,IF(Slot4_PotFree=1,BC80,0))</f>
        <v>0</v>
      </c>
      <c r="BH80" s="20" t="n">
        <f aca="false">AX80+BA80*Slot4_BufPot*BC80</f>
        <v>0</v>
      </c>
      <c r="BI80" s="20" t="n">
        <f aca="false">IF(AND(BA80=1,Slot4_IsMfree=1),IF(BF80&gt;=Slot4_Cost-1,0,MAX(0,AY80-BF80)),AY80)</f>
        <v>0</v>
      </c>
      <c r="BJ80" s="20" t="n">
        <f aca="false">BA80*(Slot4_Cost-BF80)</f>
        <v>0</v>
      </c>
      <c r="BK80" s="20" t="n">
        <f aca="false">IF(AND(Slot5_On=1,D80=Slot5_Age),1,0)</f>
        <v>0</v>
      </c>
      <c r="BL80" s="20" t="n">
        <f aca="false">IF(AND(Slot5_On=1,Slot5_Age&gt;D80),1,0)</f>
        <v>0</v>
      </c>
      <c r="BM80" s="20" t="n">
        <f aca="false">RC79</f>
        <v>0</v>
      </c>
      <c r="BN80" s="20" t="n">
        <f aca="false">BK80*MIN(Slot5_Cost,BM80)</f>
        <v>0</v>
      </c>
      <c r="BO80" s="20" t="n">
        <f aca="false">BK80*Slot5_SpendLike*MIN(Slot5_Cost-BN80,BG80)</f>
        <v>0</v>
      </c>
      <c r="BP80" s="20" t="n">
        <f aca="false">BN80+BO80</f>
        <v>0</v>
      </c>
      <c r="BQ80" s="20" t="n">
        <f aca="false">BG80-BO80+BK80*IF(Slot5_SpendLike=1,BM80-BN80,IF(Slot5_PotFree=1,BM80,0))</f>
        <v>0</v>
      </c>
      <c r="BR80" s="20" t="n">
        <f aca="false">BH80+BK80*Slot5_BufPot*BM80</f>
        <v>0</v>
      </c>
      <c r="BS80" s="20" t="n">
        <f aca="false">IF(AND(BK80=1,Slot5_IsMfree=1),IF(BP80&gt;=Slot5_Cost-1,0,MAX(0,BI80-BP80)),BI80)</f>
        <v>0</v>
      </c>
      <c r="BT80" s="20" t="n">
        <f aca="false">BK80*(Slot5_Cost-BP80)</f>
        <v>0</v>
      </c>
      <c r="BU80" s="20" t="n">
        <f aca="false">IF(AND(Slot6_On=1,D80=Slot6_Age),1,0)</f>
        <v>0</v>
      </c>
      <c r="BV80" s="20" t="n">
        <f aca="false">IF(AND(Slot6_On=1,Slot6_Age&gt;D80),1,0)</f>
        <v>0</v>
      </c>
      <c r="BW80" s="20" t="n">
        <f aca="false">RG79</f>
        <v>0</v>
      </c>
      <c r="BX80" s="20" t="n">
        <f aca="false">BU80*MIN(Slot6_Cost,BW80)</f>
        <v>0</v>
      </c>
      <c r="BY80" s="20" t="n">
        <f aca="false">BU80*Slot6_SpendLike*MIN(Slot6_Cost-BX80,BQ80)</f>
        <v>0</v>
      </c>
      <c r="BZ80" s="20" t="n">
        <f aca="false">BX80+BY80</f>
        <v>0</v>
      </c>
      <c r="CA80" s="20" t="n">
        <f aca="false">BQ80-BY80+BU80*IF(Slot6_SpendLike=1,BW80-BX80,IF(Slot6_PotFree=1,BW80,0))</f>
        <v>0</v>
      </c>
      <c r="CB80" s="20" t="n">
        <f aca="false">BR80+BU80*Slot6_BufPot*BW80</f>
        <v>0</v>
      </c>
      <c r="CC80" s="20" t="n">
        <f aca="false">IF(AND(BU80=1,Slot6_IsMfree=1),IF(BZ80&gt;=Slot6_Cost-1,0,MAX(0,BS80-BZ80)),BS80)</f>
        <v>0</v>
      </c>
      <c r="CD80" s="20" t="n">
        <f aca="false">BU80*(Slot6_Cost-BZ80)</f>
        <v>0</v>
      </c>
      <c r="CE80" s="20" t="n">
        <f aca="false">IF(AND(Slot7_On=1,D80=Slot7_Age),1,0)</f>
        <v>0</v>
      </c>
      <c r="CF80" s="20" t="n">
        <f aca="false">IF(AND(Slot7_On=1,Slot7_Age&gt;D80),1,0)</f>
        <v>0</v>
      </c>
      <c r="CG80" s="20" t="n">
        <f aca="false">RK79</f>
        <v>0</v>
      </c>
      <c r="CH80" s="20" t="n">
        <f aca="false">CE80*MIN(Slot7_Cost,CG80)</f>
        <v>0</v>
      </c>
      <c r="CI80" s="20" t="n">
        <f aca="false">CE80*Slot7_SpendLike*MIN(Slot7_Cost-CH80,CA80)</f>
        <v>0</v>
      </c>
      <c r="CJ80" s="20" t="n">
        <f aca="false">CH80+CI80</f>
        <v>0</v>
      </c>
      <c r="CK80" s="20" t="n">
        <f aca="false">CA80-CI80+CE80*IF(Slot7_SpendLike=1,CG80-CH80,IF(Slot7_PotFree=1,CG80,0))</f>
        <v>0</v>
      </c>
      <c r="CL80" s="20" t="n">
        <f aca="false">CB80+CE80*Slot7_BufPot*CG80</f>
        <v>0</v>
      </c>
      <c r="CM80" s="20" t="n">
        <f aca="false">IF(AND(CE80=1,Slot7_IsMfree=1),IF(CJ80&gt;=Slot7_Cost-1,0,MAX(0,CC80-CJ80)),CC80)</f>
        <v>0</v>
      </c>
      <c r="CN80" s="20" t="n">
        <f aca="false">CE80*(Slot7_Cost-CJ80)</f>
        <v>0</v>
      </c>
      <c r="CO80" s="20" t="n">
        <f aca="false">IF(AND(Slot8_On=1,D80=Slot8_Age),1,0)</f>
        <v>0</v>
      </c>
      <c r="CP80" s="20" t="n">
        <f aca="false">IF(AND(Slot8_On=1,Slot8_Age&gt;D80),1,0)</f>
        <v>0</v>
      </c>
      <c r="CQ80" s="20" t="n">
        <f aca="false">RO79</f>
        <v>0</v>
      </c>
      <c r="CR80" s="20" t="n">
        <f aca="false">CO80*MIN(Slot8_Cost,CQ80)</f>
        <v>0</v>
      </c>
      <c r="CS80" s="20" t="n">
        <f aca="false">CO80*Slot8_SpendLike*MIN(Slot8_Cost-CR80,CK80)</f>
        <v>0</v>
      </c>
      <c r="CT80" s="20" t="n">
        <f aca="false">CR80+CS80</f>
        <v>0</v>
      </c>
      <c r="CU80" s="20" t="n">
        <f aca="false">CK80-CS80+CO80*IF(Slot8_SpendLike=1,CQ80-CR80,IF(Slot8_PotFree=1,CQ80,0))</f>
        <v>0</v>
      </c>
      <c r="CV80" s="20" t="n">
        <f aca="false">CL80+CO80*Slot8_BufPot*CQ80</f>
        <v>0</v>
      </c>
      <c r="CW80" s="20" t="n">
        <f aca="false">IF(AND(CO80=1,Slot8_IsMfree=1),IF(CT80&gt;=Slot8_Cost-1,0,MAX(0,CM80-CT80)),CM80)</f>
        <v>0</v>
      </c>
      <c r="CX80" s="20" t="n">
        <f aca="false">CO80*(Slot8_Cost-CT80)</f>
        <v>0</v>
      </c>
      <c r="CY80" s="20" t="n">
        <f aca="false">IF(AND(Slot9_On=1,D80=Slot9_Age),1,0)</f>
        <v>0</v>
      </c>
      <c r="CZ80" s="20" t="n">
        <f aca="false">IF(AND(Slot9_On=1,Slot9_Age&gt;D80),1,0)</f>
        <v>0</v>
      </c>
      <c r="DA80" s="20" t="n">
        <f aca="false">RS79</f>
        <v>0</v>
      </c>
      <c r="DB80" s="20" t="n">
        <f aca="false">CY80*MIN(Slot9_Cost,DA80)</f>
        <v>0</v>
      </c>
      <c r="DC80" s="20" t="n">
        <f aca="false">CY80*Slot9_SpendLike*MIN(Slot9_Cost-DB80,CU80)</f>
        <v>0</v>
      </c>
      <c r="DD80" s="20" t="n">
        <f aca="false">DB80+DC80</f>
        <v>0</v>
      </c>
      <c r="DE80" s="20" t="n">
        <f aca="false">CU80-DC80+CY80*IF(Slot9_SpendLike=1,DA80-DB80,IF(Slot9_PotFree=1,DA80,0))</f>
        <v>0</v>
      </c>
      <c r="DF80" s="20" t="n">
        <f aca="false">CV80+CY80*Slot9_BufPot*DA80</f>
        <v>0</v>
      </c>
      <c r="DG80" s="20" t="n">
        <f aca="false">IF(AND(CY80=1,Slot9_IsMfree=1),IF(DD80&gt;=Slot9_Cost-1,0,MAX(0,CW80-DD80)),CW80)</f>
        <v>0</v>
      </c>
      <c r="DH80" s="20" t="n">
        <f aca="false">CY80*(Slot9_Cost-DD80)</f>
        <v>0</v>
      </c>
      <c r="DI80" s="20" t="n">
        <f aca="false">IF(AND(Slot10_On=1,D80=Slot10_Age),1,0)</f>
        <v>0</v>
      </c>
      <c r="DJ80" s="20" t="n">
        <f aca="false">IF(AND(Slot10_On=1,Slot10_Age&gt;D80),1,0)</f>
        <v>0</v>
      </c>
      <c r="DK80" s="20" t="n">
        <f aca="false">RW79</f>
        <v>0</v>
      </c>
      <c r="DL80" s="20" t="n">
        <f aca="false">DI80*MIN(Slot10_Cost,DK80)</f>
        <v>0</v>
      </c>
      <c r="DM80" s="20" t="n">
        <f aca="false">DI80*Slot10_SpendLike*MIN(Slot10_Cost-DL80,DE80)</f>
        <v>0</v>
      </c>
      <c r="DN80" s="20" t="n">
        <f aca="false">DL80+DM80</f>
        <v>0</v>
      </c>
      <c r="DO80" s="20" t="n">
        <f aca="false">DE80-DM80+DI80*IF(Slot10_SpendLike=1,DK80-DL80,IF(Slot10_PotFree=1,DK80,0))</f>
        <v>0</v>
      </c>
      <c r="DP80" s="20" t="n">
        <f aca="false">DF80+DI80*Slot10_BufPot*DK80</f>
        <v>0</v>
      </c>
      <c r="DQ80" s="20" t="n">
        <f aca="false">IF(AND(DI80=1,Slot10_IsMfree=1),IF(DN80&gt;=Slot10_Cost-1,0,MAX(0,DG80-DN80)),DG80)</f>
        <v>0</v>
      </c>
      <c r="DR80" s="20" t="n">
        <f aca="false">DI80*(Slot10_Cost-DN80)</f>
        <v>0</v>
      </c>
      <c r="DS80" s="20" t="n">
        <f aca="false">IF(AND(Slot11_On=1,D80=Slot11_Age),1,0)</f>
        <v>0</v>
      </c>
      <c r="DT80" s="20" t="n">
        <f aca="false">IF(AND(Slot11_On=1,Slot11_Age&gt;D80),1,0)</f>
        <v>0</v>
      </c>
      <c r="DU80" s="20" t="n">
        <f aca="false">SA79</f>
        <v>0</v>
      </c>
      <c r="DV80" s="20" t="n">
        <f aca="false">DS80*MIN(Slot11_Cost,DU80)</f>
        <v>0</v>
      </c>
      <c r="DW80" s="20" t="n">
        <f aca="false">DS80*Slot11_SpendLike*MIN(Slot11_Cost-DV80,DO80)</f>
        <v>0</v>
      </c>
      <c r="DX80" s="20" t="n">
        <f aca="false">DV80+DW80</f>
        <v>0</v>
      </c>
      <c r="DY80" s="20" t="n">
        <f aca="false">DO80-DW80+DS80*IF(Slot11_SpendLike=1,DU80-DV80,IF(Slot11_PotFree=1,DU80,0))</f>
        <v>0</v>
      </c>
      <c r="DZ80" s="20" t="n">
        <f aca="false">DP80+DS80*Slot11_BufPot*DU80</f>
        <v>0</v>
      </c>
      <c r="EA80" s="20" t="n">
        <f aca="false">IF(AND(DS80=1,Slot11_IsMfree=1),IF(DX80&gt;=Slot11_Cost-1,0,MAX(0,DQ80-DX80)),DQ80)</f>
        <v>0</v>
      </c>
      <c r="EB80" s="20" t="n">
        <f aca="false">DS80*(Slot11_Cost-DX80)</f>
        <v>0</v>
      </c>
      <c r="EC80" s="20" t="n">
        <f aca="false">IF(AND(Slot12_On=1,D80=Slot12_Age),1,0)</f>
        <v>0</v>
      </c>
      <c r="ED80" s="20" t="n">
        <f aca="false">IF(AND(Slot12_On=1,Slot12_Age&gt;D80),1,0)</f>
        <v>0</v>
      </c>
      <c r="EE80" s="20" t="n">
        <f aca="false">SE79</f>
        <v>0</v>
      </c>
      <c r="EF80" s="20" t="n">
        <f aca="false">EC80*MIN(Slot12_Cost,EE80)</f>
        <v>0</v>
      </c>
      <c r="EG80" s="20" t="n">
        <f aca="false">EC80*Slot12_SpendLike*MIN(Slot12_Cost-EF80,DY80)</f>
        <v>0</v>
      </c>
      <c r="EH80" s="20" t="n">
        <f aca="false">EF80+EG80</f>
        <v>0</v>
      </c>
      <c r="EI80" s="20" t="n">
        <f aca="false">DY80-EG80+EC80*IF(Slot12_SpendLike=1,EE80-EF80,IF(Slot12_PotFree=1,EE80,0))</f>
        <v>0</v>
      </c>
      <c r="EJ80" s="20" t="n">
        <f aca="false">DZ80+EC80*Slot12_BufPot*EE80</f>
        <v>0</v>
      </c>
      <c r="EK80" s="20" t="n">
        <f aca="false">IF(AND(EC80=1,Slot12_IsMfree=1),IF(EH80&gt;=Slot12_Cost-1,0,MAX(0,EA80-EH80)),EA80)</f>
        <v>0</v>
      </c>
      <c r="EL80" s="20" t="n">
        <f aca="false">EC80*(Slot12_Cost-EH80)</f>
        <v>0</v>
      </c>
      <c r="EM80" s="20" t="n">
        <f aca="false">IF(AND(Slot13_On=1,D80=Slot13_Age),1,0)</f>
        <v>0</v>
      </c>
      <c r="EN80" s="20" t="n">
        <f aca="false">IF(AND(Slot13_On=1,Slot13_Age&gt;D80),1,0)</f>
        <v>0</v>
      </c>
      <c r="EO80" s="20" t="n">
        <f aca="false">SI79</f>
        <v>0</v>
      </c>
      <c r="EP80" s="20" t="n">
        <f aca="false">EM80*MIN(Slot13_Cost,EO80)</f>
        <v>0</v>
      </c>
      <c r="EQ80" s="20" t="n">
        <f aca="false">EM80*Slot13_SpendLike*MIN(Slot13_Cost-EP80,EI80)</f>
        <v>0</v>
      </c>
      <c r="ER80" s="20" t="n">
        <f aca="false">EP80+EQ80</f>
        <v>0</v>
      </c>
      <c r="ES80" s="20" t="n">
        <f aca="false">EI80-EQ80+EM80*IF(Slot13_SpendLike=1,EO80-EP80,IF(Slot13_PotFree=1,EO80,0))</f>
        <v>0</v>
      </c>
      <c r="ET80" s="20" t="n">
        <f aca="false">EJ80+EM80*Slot13_BufPot*EO80</f>
        <v>0</v>
      </c>
      <c r="EU80" s="20" t="n">
        <f aca="false">IF(AND(EM80=1,Slot13_IsMfree=1),IF(ER80&gt;=Slot13_Cost-1,0,MAX(0,EK80-ER80)),EK80)</f>
        <v>0</v>
      </c>
      <c r="EV80" s="20" t="n">
        <f aca="false">EM80*(Slot13_Cost-ER80)</f>
        <v>0</v>
      </c>
      <c r="EW80" s="20" t="n">
        <f aca="false">IF(AND(Slot14_On=1,D80=Slot14_Age),1,0)</f>
        <v>0</v>
      </c>
      <c r="EX80" s="20" t="n">
        <f aca="false">IF(AND(Slot14_On=1,Slot14_Age&gt;D80),1,0)</f>
        <v>0</v>
      </c>
      <c r="EY80" s="20" t="n">
        <f aca="false">SM79</f>
        <v>0</v>
      </c>
      <c r="EZ80" s="20" t="n">
        <f aca="false">EW80*MIN(Slot14_Cost,EY80)</f>
        <v>0</v>
      </c>
      <c r="FA80" s="20" t="n">
        <f aca="false">EW80*Slot14_SpendLike*MIN(Slot14_Cost-EZ80,ES80)</f>
        <v>0</v>
      </c>
      <c r="FB80" s="20" t="n">
        <f aca="false">EZ80+FA80</f>
        <v>0</v>
      </c>
      <c r="FC80" s="20" t="n">
        <f aca="false">ES80-FA80+EW80*IF(Slot14_SpendLike=1,EY80-EZ80,IF(Slot14_PotFree=1,EY80,0))</f>
        <v>0</v>
      </c>
      <c r="FD80" s="20" t="n">
        <f aca="false">ET80+EW80*Slot14_BufPot*EY80</f>
        <v>0</v>
      </c>
      <c r="FE80" s="20" t="n">
        <f aca="false">IF(AND(EW80=1,Slot14_IsMfree=1),IF(FB80&gt;=Slot14_Cost-1,0,MAX(0,EU80-FB80)),EU80)</f>
        <v>0</v>
      </c>
      <c r="FF80" s="20" t="n">
        <f aca="false">EW80*(Slot14_Cost-FB80)</f>
        <v>0</v>
      </c>
      <c r="FG80" s="20" t="n">
        <f aca="false">IF(AND(Slot15_On=1,D80=Slot15_Age),1,0)</f>
        <v>0</v>
      </c>
      <c r="FH80" s="20" t="n">
        <f aca="false">IF(AND(Slot15_On=1,Slot15_Age&gt;D80),1,0)</f>
        <v>0</v>
      </c>
      <c r="FI80" s="20" t="n">
        <f aca="false">SQ79</f>
        <v>0</v>
      </c>
      <c r="FJ80" s="20" t="n">
        <f aca="false">FG80*MIN(Slot15_Cost,FI80)</f>
        <v>0</v>
      </c>
      <c r="FK80" s="20" t="n">
        <f aca="false">FG80*Slot15_SpendLike*MIN(Slot15_Cost-FJ80,FC80)</f>
        <v>0</v>
      </c>
      <c r="FL80" s="20" t="n">
        <f aca="false">FJ80+FK80</f>
        <v>0</v>
      </c>
      <c r="FM80" s="20" t="n">
        <f aca="false">FC80-FK80+FG80*IF(Slot15_SpendLike=1,FI80-FJ80,IF(Slot15_PotFree=1,FI80,0))</f>
        <v>0</v>
      </c>
      <c r="FN80" s="20" t="n">
        <f aca="false">FD80+FG80*Slot15_BufPot*FI80</f>
        <v>0</v>
      </c>
      <c r="FO80" s="20" t="n">
        <f aca="false">IF(AND(FG80=1,Slot15_IsMfree=1),IF(FL80&gt;=Slot15_Cost-1,0,MAX(0,FE80-FL80)),FE80)</f>
        <v>0</v>
      </c>
      <c r="FP80" s="20" t="n">
        <f aca="false">FG80*(Slot15_Cost-FL80)</f>
        <v>0</v>
      </c>
      <c r="FQ80" s="20" t="n">
        <f aca="false">IF(AND(Slot16_On=1,D80=Slot16_Age),1,0)</f>
        <v>0</v>
      </c>
      <c r="FR80" s="20" t="n">
        <f aca="false">IF(AND(Slot16_On=1,Slot16_Age&gt;D80),1,0)</f>
        <v>0</v>
      </c>
      <c r="FS80" s="20" t="n">
        <f aca="false">SU79</f>
        <v>0</v>
      </c>
      <c r="FT80" s="20" t="n">
        <f aca="false">FQ80*MIN(Slot16_Cost,FS80)</f>
        <v>0</v>
      </c>
      <c r="FU80" s="20" t="n">
        <f aca="false">FQ80*Slot16_SpendLike*MIN(Slot16_Cost-FT80,FM80)</f>
        <v>0</v>
      </c>
      <c r="FV80" s="20" t="n">
        <f aca="false">FT80+FU80</f>
        <v>0</v>
      </c>
      <c r="FW80" s="20" t="n">
        <f aca="false">FM80-FU80+FQ80*IF(Slot16_SpendLike=1,FS80-FT80,IF(Slot16_PotFree=1,FS80,0))</f>
        <v>0</v>
      </c>
      <c r="FX80" s="20" t="n">
        <f aca="false">FN80+FQ80*Slot16_BufPot*FS80</f>
        <v>0</v>
      </c>
      <c r="FY80" s="20" t="n">
        <f aca="false">IF(AND(FQ80=1,Slot16_IsMfree=1),IF(FV80&gt;=Slot16_Cost-1,0,MAX(0,FO80-FV80)),FO80)</f>
        <v>0</v>
      </c>
      <c r="FZ80" s="20" t="n">
        <f aca="false">FQ80*(Slot16_Cost-FV80)</f>
        <v>0</v>
      </c>
      <c r="GA80" s="20" t="n">
        <f aca="false">IF(AND(Slot17_On=1,D80=Slot17_Age),1,0)</f>
        <v>0</v>
      </c>
      <c r="GB80" s="20" t="n">
        <f aca="false">IF(AND(Slot17_On=1,Slot17_Age&gt;D80),1,0)</f>
        <v>0</v>
      </c>
      <c r="GC80" s="20" t="n">
        <f aca="false">SY79</f>
        <v>0</v>
      </c>
      <c r="GD80" s="20" t="n">
        <f aca="false">GA80*MIN(Slot17_Cost,GC80)</f>
        <v>0</v>
      </c>
      <c r="GE80" s="20" t="n">
        <f aca="false">GA80*Slot17_SpendLike*MIN(Slot17_Cost-GD80,FW80)</f>
        <v>0</v>
      </c>
      <c r="GF80" s="20" t="n">
        <f aca="false">GD80+GE80</f>
        <v>0</v>
      </c>
      <c r="GG80" s="20" t="n">
        <f aca="false">FW80-GE80+GA80*IF(Slot17_SpendLike=1,GC80-GD80,IF(Slot17_PotFree=1,GC80,0))</f>
        <v>0</v>
      </c>
      <c r="GH80" s="20" t="n">
        <f aca="false">FX80+GA80*Slot17_BufPot*GC80</f>
        <v>0</v>
      </c>
      <c r="GI80" s="20" t="n">
        <f aca="false">IF(AND(GA80=1,Slot17_IsMfree=1),IF(GF80&gt;=Slot17_Cost-1,0,MAX(0,FY80-GF80)),FY80)</f>
        <v>0</v>
      </c>
      <c r="GJ80" s="20" t="n">
        <f aca="false">GA80*(Slot17_Cost-GF80)</f>
        <v>0</v>
      </c>
      <c r="GK80" s="20" t="n">
        <f aca="false">IF(AND(Slot18_On=1,D80=Slot18_Age),1,0)</f>
        <v>0</v>
      </c>
      <c r="GL80" s="20" t="n">
        <f aca="false">IF(AND(Slot18_On=1,Slot18_Age&gt;D80),1,0)</f>
        <v>0</v>
      </c>
      <c r="GM80" s="20" t="n">
        <f aca="false">TC79</f>
        <v>0</v>
      </c>
      <c r="GN80" s="20" t="n">
        <f aca="false">GK80*MIN(Slot18_Cost,GM80)</f>
        <v>0</v>
      </c>
      <c r="GO80" s="20" t="n">
        <f aca="false">GK80*Slot18_SpendLike*MIN(Slot18_Cost-GN80,GG80)</f>
        <v>0</v>
      </c>
      <c r="GP80" s="20" t="n">
        <f aca="false">GN80+GO80</f>
        <v>0</v>
      </c>
      <c r="GQ80" s="20" t="n">
        <f aca="false">GG80-GO80+GK80*IF(Slot18_SpendLike=1,GM80-GN80,IF(Slot18_PotFree=1,GM80,0))</f>
        <v>0</v>
      </c>
      <c r="GR80" s="20" t="n">
        <f aca="false">GH80+GK80*Slot18_BufPot*GM80</f>
        <v>0</v>
      </c>
      <c r="GS80" s="20" t="n">
        <f aca="false">IF(AND(GK80=1,Slot18_IsMfree=1),IF(GP80&gt;=Slot18_Cost-1,0,MAX(0,GI80-GP80)),GI80)</f>
        <v>0</v>
      </c>
      <c r="GT80" s="20" t="n">
        <f aca="false">GK80*(Slot18_Cost-GP80)</f>
        <v>0</v>
      </c>
      <c r="GU80" s="20" t="n">
        <f aca="false">IF(AND(Slot19_On=1,D80=Slot19_Age),1,0)</f>
        <v>0</v>
      </c>
      <c r="GV80" s="20" t="n">
        <f aca="false">IF(AND(Slot19_On=1,Slot19_Age&gt;D80),1,0)</f>
        <v>0</v>
      </c>
      <c r="GW80" s="20" t="n">
        <f aca="false">TG79</f>
        <v>0</v>
      </c>
      <c r="GX80" s="20" t="n">
        <f aca="false">GU80*MIN(Slot19_Cost,GW80)</f>
        <v>0</v>
      </c>
      <c r="GY80" s="20" t="n">
        <f aca="false">GU80*Slot19_SpendLike*MIN(Slot19_Cost-GX80,GQ80)</f>
        <v>0</v>
      </c>
      <c r="GZ80" s="20" t="n">
        <f aca="false">GX80+GY80</f>
        <v>0</v>
      </c>
      <c r="HA80" s="20" t="n">
        <f aca="false">GQ80-GY80+GU80*IF(Slot19_SpendLike=1,GW80-GX80,IF(Slot19_PotFree=1,GW80,0))</f>
        <v>0</v>
      </c>
      <c r="HB80" s="20" t="n">
        <f aca="false">GR80+GU80*Slot19_BufPot*GW80</f>
        <v>0</v>
      </c>
      <c r="HC80" s="20" t="n">
        <f aca="false">IF(AND(GU80=1,Slot19_IsMfree=1),IF(GZ80&gt;=Slot19_Cost-1,0,MAX(0,GS80-GZ80)),GS80)</f>
        <v>0</v>
      </c>
      <c r="HD80" s="20" t="n">
        <f aca="false">GU80*(Slot19_Cost-GZ80)</f>
        <v>0</v>
      </c>
      <c r="HE80" s="20" t="n">
        <f aca="false">IF(AND(Slot20_On=1,D80=Slot20_Age),1,0)</f>
        <v>0</v>
      </c>
      <c r="HF80" s="20" t="n">
        <f aca="false">IF(AND(Slot20_On=1,Slot20_Age&gt;D80),1,0)</f>
        <v>0</v>
      </c>
      <c r="HG80" s="20" t="n">
        <f aca="false">TK79</f>
        <v>0</v>
      </c>
      <c r="HH80" s="20" t="n">
        <f aca="false">HE80*MIN(Slot20_Cost,HG80)</f>
        <v>0</v>
      </c>
      <c r="HI80" s="20" t="n">
        <f aca="false">HE80*Slot20_SpendLike*MIN(Slot20_Cost-HH80,HA80)</f>
        <v>0</v>
      </c>
      <c r="HJ80" s="20" t="n">
        <f aca="false">HH80+HI80</f>
        <v>0</v>
      </c>
      <c r="HK80" s="20" t="n">
        <f aca="false">HA80-HI80+HE80*IF(Slot20_SpendLike=1,HG80-HH80,IF(Slot20_PotFree=1,HG80,0))</f>
        <v>0</v>
      </c>
      <c r="HL80" s="20" t="n">
        <f aca="false">HB80+HE80*Slot20_BufPot*HG80</f>
        <v>0</v>
      </c>
      <c r="HM80" s="20" t="n">
        <f aca="false">IF(AND(HE80=1,Slot20_IsMfree=1),IF(HJ80&gt;=Slot20_Cost-1,0,MAX(0,HC80-HJ80)),HC80)</f>
        <v>0</v>
      </c>
      <c r="HN80" s="20" t="n">
        <f aca="false">HE80*(Slot20_Cost-HJ80)</f>
        <v>0</v>
      </c>
      <c r="HO80" s="20" t="n">
        <f aca="false">V80*Slot1_SpendLike*AA80+AG80*Slot2_SpendLike*AL80+AQ80*Slot3_SpendLike*AV80+BA80*Slot4_SpendLike*BF80+BK80*Slot5_SpendLike*BP80+BU80*Slot6_SpendLike*BZ80+CE80*Slot7_SpendLike*CJ80+CO80*Slot8_SpendLike*CT80+CY80*Slot9_SpendLike*DD80+DI80*Slot10_SpendLike*DN80+DS80*Slot11_SpendLike*DX80+EC80*Slot12_SpendLike*EH80+EM80*Slot13_SpendLike*ER80+EW80*Slot14_SpendLike*FB80+FG80*Slot15_SpendLike*FL80+FQ80*Slot16_SpendLike*FV80+GA80*Slot17_SpendLike*GF80+GK80*Slot18_SpendLike*GP80+GU80*Slot19_SpendLike*GZ80+HE80*Slot20_SpendLike*HJ80</f>
        <v>0</v>
      </c>
      <c r="HP80" s="20" t="n">
        <f aca="false">AE80+AP80+AZ80+BJ80+BT80+CD80+CN80+CX80+DH80+DR80+EB80+EL80+EV80+FF80+FP80+FZ80+GJ80+GT80+HD80+HN80</f>
        <v>0</v>
      </c>
      <c r="HQ80" s="20" t="n">
        <f aca="false">V80*Slot1_Cost+AG80*Slot2_Cost+AQ80*Slot3_Cost+BA80*Slot4_Cost+BK80*Slot5_Cost+BU80*Slot6_Cost+CE80*Slot7_Cost+CO80*Slot8_Cost+CY80*Slot9_Cost+DI80*Slot10_Cost+DS80*Slot11_Cost+EC80*Slot12_Cost+EM80*Slot13_Cost+EW80*Slot14_Cost+FG80*Slot15_Cost+FQ80*Slot16_Cost+GA80*Slot17_Cost+GK80*Slot18_Cost+GU80*Slot19_Cost+HE80*Slot20_Cost</f>
        <v>0</v>
      </c>
      <c r="HR80" s="20" t="n">
        <f aca="false">HM80</f>
        <v>0</v>
      </c>
      <c r="HS80" s="20" t="n">
        <f aca="false">H80-I80-S80</f>
        <v>-80166.5331183625</v>
      </c>
      <c r="HT80" s="20" t="n">
        <f aca="false">IF(B80=0,IF(AND(Has_q6=1,In_q6=4),PR_ShareVaries*(MAX(0,HS80)/12),MIN(IF(Has_q6=1,CHOOSE(In_q6+1,PR_SaveB1,PR_SaveB2,PR_SaveB3,PR_SaveB4,0),AS_NoAnswer),AS_SaveShare*(MAX(0,HS80)/12))),HT79)</f>
        <v>67.3316893520437</v>
      </c>
      <c r="HU80" s="20" t="n">
        <f aca="false">IF(HS80&gt;=0,1,0)</f>
        <v>0</v>
      </c>
      <c r="HV80" s="20" t="n">
        <f aca="false">MAX(0,HS80/12/F80)</f>
        <v>0</v>
      </c>
      <c r="HW80" s="20" t="n">
        <f aca="false">IF(AND(Has_q6=1,In_q6=4),PR_ShareVaries*(HV80),MIN(IF(Has_q6=1,CHOOSE(In_q6+1,PR_SaveB1,PR_SaveB2,PR_SaveB3,PR_SaveB4,0),AS_NoAnswer),AS_SaveShare*(HV80)))</f>
        <v>0</v>
      </c>
      <c r="HX80" s="20" t="n">
        <f aca="false">IF(Has_saveM=1,IF(In_saveUp="Yes",1,IF(In_saveUp="No",0,IF(In_saveM&gt;=HT80-0.5,1,0))),0)</f>
        <v>0</v>
      </c>
      <c r="HY80" s="20" t="n">
        <f aca="false">IF(Has_saveM=1,MIN(HV80,IF(HX80=1,MAX(In_saveM,HW80),MIN(In_saveM,HW80))),HW80)</f>
        <v>0</v>
      </c>
      <c r="HZ80" s="20" t="n">
        <f aca="false">IF(G80=1,HY80*12*F80,0)</f>
        <v>0</v>
      </c>
      <c r="IA80" s="20" t="n">
        <f aca="false">MAX(0,HZ80+IF(AND(WI_Retire=0,WI_M&lt;0,G80=1),WI_M*12*F80,0))</f>
        <v>0</v>
      </c>
      <c r="IB80" s="20" t="n">
        <f aca="false">Slot1_IsWG*W80+Slot2_IsWG*AH80+Slot3_IsWG*AR80+Slot4_IsWG*BB80+Slot5_IsWG*BL80+Slot6_IsWG*BV80+Slot7_IsWG*CF80+Slot8_IsWG*CP80+Slot9_IsWG*CZ80+Slot10_IsWG*DJ80+Slot11_IsWG*DT80+Slot12_IsWG*ED80+Slot13_IsWG*EN80+Slot14_IsWG*EX80+Slot15_IsWG*FH80+Slot16_IsWG*FR80+Slot17_IsWG*GB80+Slot18_IsWG*GL80+Slot19_IsWG*GV80+Slot20_IsWG*HF80</f>
        <v>0</v>
      </c>
      <c r="IC80" s="20" t="n">
        <f aca="false">IF(AND(WI_Retire=0,WI_M&gt;0,G80=1,IB80&gt;=1),WI_M*12*F80,0)</f>
        <v>0</v>
      </c>
      <c r="ID80" s="20" t="n">
        <f aca="false">IF(HU80=1,MIN(IA80,HS80),0)</f>
        <v>0</v>
      </c>
      <c r="IE80" s="20" t="n">
        <f aca="false">IF(HU80=1,MIN(IC80,HS80-ID80),0)</f>
        <v>0</v>
      </c>
      <c r="IF80" s="20" t="n">
        <f aca="false">IF(W80=1,IF(ABS((1+AS_Wage)/(1+Slot1_Rate)-1)&lt;0.000000000001,(Slot1_Age-D80)*(1+Slot1_Rate)^(Slot1_Age-D80),(1+Slot1_Rate)^(Slot1_Age-D80)*(1-((1+AS_Wage)/(1+Slot1_Rate))^(Slot1_Age-D80))/(1-(1+AS_Wage)/(1+Slot1_Rate))),1)</f>
        <v>1</v>
      </c>
      <c r="IG80" s="20" t="n">
        <f aca="false">IF(AND(HU80=1,IE80&gt;0,Slot1_IsWG=1,W80=1),MAX(0,(Slot1_Cost-X80*(1+Slot1_Rate)^(Slot1_Age-D80))/IF80),0)</f>
        <v>0</v>
      </c>
      <c r="IH80" s="20" t="n">
        <f aca="false">IF(AND(HU80=1,IE80&gt;0,Slot1_IsWG=1,W80=1),MIN(IE80,IG80),0)</f>
        <v>0</v>
      </c>
      <c r="II80" s="20" t="n">
        <f aca="false">X80+IH80</f>
        <v>0</v>
      </c>
      <c r="IJ80" s="20" t="n">
        <f aca="false">IF(W80=1,MAX(0,(Slot1_Cost-II80*(1+Slot1_Rate)^(Slot1_Age-D80))/IF80),0)</f>
        <v>0</v>
      </c>
      <c r="IK80" s="20" t="n">
        <f aca="false">IF(W80=1,MAX(0,(Slot1_Cost-X80*(1+Slot1_Rate)^(Slot1_Age-D80))/IF80),0)</f>
        <v>0</v>
      </c>
      <c r="IL80" s="20" t="n">
        <f aca="false">IF(AND(HU80=1,W80=1),MIN(ID80,IJ80),0)</f>
        <v>0</v>
      </c>
      <c r="IM80" s="20" t="n">
        <f aca="false">ID80-IL80</f>
        <v>0</v>
      </c>
      <c r="IN80" s="20" t="n">
        <f aca="false">IF(AH80=1,IF(ABS((1+AS_Wage)/(1+Slot2_Rate)-1)&lt;0.000000000001,(Slot2_Age-D80)*(1+Slot2_Rate)^(Slot2_Age-D80),(1+Slot2_Rate)^(Slot2_Age-D80)*(1-((1+AS_Wage)/(1+Slot2_Rate))^(Slot2_Age-D80))/(1-(1+AS_Wage)/(1+Slot2_Rate))),1)</f>
        <v>1</v>
      </c>
      <c r="IO80" s="20" t="n">
        <f aca="false">IF(AND(HU80=1,IE80&gt;0,Slot2_IsWG=1,AH80=1),MAX(0,(Slot2_Cost-AI80*(1+Slot2_Rate)^(Slot2_Age-D80))/IN80),0)</f>
        <v>0</v>
      </c>
      <c r="IP80" s="20" t="n">
        <f aca="false">IF(AND(HU80=1,IE80&gt;0,Slot2_IsWG=1,AH80=1),MIN(IE80,IO80),0)</f>
        <v>0</v>
      </c>
      <c r="IQ80" s="20" t="n">
        <f aca="false">AI80+IP80</f>
        <v>0</v>
      </c>
      <c r="IR80" s="20" t="n">
        <f aca="false">IF(AH80=1,MAX(0,(Slot2_Cost-IQ80*(1+Slot2_Rate)^(Slot2_Age-D80))/IN80),0)</f>
        <v>0</v>
      </c>
      <c r="IS80" s="20" t="n">
        <f aca="false">IF(AH80=1,MAX(0,(Slot2_Cost-AI80*(1+Slot2_Rate)^(Slot2_Age-D80))/IN80),0)</f>
        <v>0</v>
      </c>
      <c r="IT80" s="20" t="n">
        <f aca="false">IF(AND(HU80=1,AH80=1),MIN(IM80,IR80),0)</f>
        <v>0</v>
      </c>
      <c r="IU80" s="20" t="n">
        <f aca="false">IM80-IT80</f>
        <v>0</v>
      </c>
      <c r="IV80" s="20" t="n">
        <f aca="false">IF(AR80=1,IF(ABS((1+AS_Wage)/(1+Slot3_Rate)-1)&lt;0.000000000001,(Slot3_Age-D80)*(1+Slot3_Rate)^(Slot3_Age-D80),(1+Slot3_Rate)^(Slot3_Age-D80)*(1-((1+AS_Wage)/(1+Slot3_Rate))^(Slot3_Age-D80))/(1-(1+AS_Wage)/(1+Slot3_Rate))),1)</f>
        <v>1</v>
      </c>
      <c r="IW80" s="20" t="n">
        <f aca="false">IF(AND(HU80=1,IE80&gt;0,Slot3_IsWG=1,AR80=1),MAX(0,(Slot3_Cost-AS80*(1+Slot3_Rate)^(Slot3_Age-D80))/IV80),0)</f>
        <v>0</v>
      </c>
      <c r="IX80" s="20" t="n">
        <f aca="false">IF(AND(HU80=1,IE80&gt;0,Slot3_IsWG=1,AR80=1),MIN(IE80,IW80),0)</f>
        <v>0</v>
      </c>
      <c r="IY80" s="20" t="n">
        <f aca="false">AS80+IX80</f>
        <v>0</v>
      </c>
      <c r="IZ80" s="20" t="n">
        <f aca="false">IF(AR80=1,MAX(0,(Slot3_Cost-IY80*(1+Slot3_Rate)^(Slot3_Age-D80))/IV80),0)</f>
        <v>0</v>
      </c>
      <c r="JA80" s="20" t="n">
        <f aca="false">IF(AR80=1,MAX(0,(Slot3_Cost-AS80*(1+Slot3_Rate)^(Slot3_Age-D80))/IV80),0)</f>
        <v>0</v>
      </c>
      <c r="JB80" s="20" t="n">
        <f aca="false">IF(AND(HU80=1,AR80=1),MIN(IU80,IZ80),0)</f>
        <v>0</v>
      </c>
      <c r="JC80" s="20" t="n">
        <f aca="false">IU80-JB80</f>
        <v>0</v>
      </c>
      <c r="JD80" s="20" t="n">
        <f aca="false">IF(BB80=1,IF(ABS((1+AS_Wage)/(1+Slot4_Rate)-1)&lt;0.000000000001,(Slot4_Age-D80)*(1+Slot4_Rate)^(Slot4_Age-D80),(1+Slot4_Rate)^(Slot4_Age-D80)*(1-((1+AS_Wage)/(1+Slot4_Rate))^(Slot4_Age-D80))/(1-(1+AS_Wage)/(1+Slot4_Rate))),1)</f>
        <v>1</v>
      </c>
      <c r="JE80" s="20" t="n">
        <f aca="false">IF(AND(HU80=1,IE80&gt;0,Slot4_IsWG=1,BB80=1),MAX(0,(Slot4_Cost-BC80*(1+Slot4_Rate)^(Slot4_Age-D80))/JD80),0)</f>
        <v>0</v>
      </c>
      <c r="JF80" s="20" t="n">
        <f aca="false">IF(AND(HU80=1,IE80&gt;0,Slot4_IsWG=1,BB80=1),MIN(IE80,JE80),0)</f>
        <v>0</v>
      </c>
      <c r="JG80" s="20" t="n">
        <f aca="false">BC80+JF80</f>
        <v>0</v>
      </c>
      <c r="JH80" s="20" t="n">
        <f aca="false">IF(BB80=1,MAX(0,(Slot4_Cost-JG80*(1+Slot4_Rate)^(Slot4_Age-D80))/JD80),0)</f>
        <v>0</v>
      </c>
      <c r="JI80" s="20" t="n">
        <f aca="false">IF(BB80=1,MAX(0,(Slot4_Cost-BC80*(1+Slot4_Rate)^(Slot4_Age-D80))/JD80),0)</f>
        <v>0</v>
      </c>
      <c r="JJ80" s="20" t="n">
        <f aca="false">IF(AND(HU80=1,BB80=1),MIN(JC80,JH80),0)</f>
        <v>0</v>
      </c>
      <c r="JK80" s="20" t="n">
        <f aca="false">JC80-JJ80</f>
        <v>0</v>
      </c>
      <c r="JL80" s="20" t="n">
        <f aca="false">IF(BL80=1,IF(ABS((1+AS_Wage)/(1+Slot5_Rate)-1)&lt;0.000000000001,(Slot5_Age-D80)*(1+Slot5_Rate)^(Slot5_Age-D80),(1+Slot5_Rate)^(Slot5_Age-D80)*(1-((1+AS_Wage)/(1+Slot5_Rate))^(Slot5_Age-D80))/(1-(1+AS_Wage)/(1+Slot5_Rate))),1)</f>
        <v>1</v>
      </c>
      <c r="JM80" s="20" t="n">
        <f aca="false">IF(AND(HU80=1,IE80&gt;0,Slot5_IsWG=1,BL80=1),MAX(0,(Slot5_Cost-BM80*(1+Slot5_Rate)^(Slot5_Age-D80))/JL80),0)</f>
        <v>0</v>
      </c>
      <c r="JN80" s="20" t="n">
        <f aca="false">IF(AND(HU80=1,IE80&gt;0,Slot5_IsWG=1,BL80=1),MIN(IE80,JM80),0)</f>
        <v>0</v>
      </c>
      <c r="JO80" s="20" t="n">
        <f aca="false">BM80+JN80</f>
        <v>0</v>
      </c>
      <c r="JP80" s="20" t="n">
        <f aca="false">IF(BL80=1,MAX(0,(Slot5_Cost-JO80*(1+Slot5_Rate)^(Slot5_Age-D80))/JL80),0)</f>
        <v>0</v>
      </c>
      <c r="JQ80" s="20" t="n">
        <f aca="false">IF(BL80=1,MAX(0,(Slot5_Cost-BM80*(1+Slot5_Rate)^(Slot5_Age-D80))/JL80),0)</f>
        <v>0</v>
      </c>
      <c r="JR80" s="20" t="n">
        <f aca="false">IF(AND(HU80=1,BL80=1),MIN(JK80,JP80),0)</f>
        <v>0</v>
      </c>
      <c r="JS80" s="20" t="n">
        <f aca="false">JK80-JR80</f>
        <v>0</v>
      </c>
      <c r="JT80" s="20" t="n">
        <f aca="false">IF(BV80=1,IF(ABS((1+AS_Wage)/(1+Slot6_Rate)-1)&lt;0.000000000001,(Slot6_Age-D80)*(1+Slot6_Rate)^(Slot6_Age-D80),(1+Slot6_Rate)^(Slot6_Age-D80)*(1-((1+AS_Wage)/(1+Slot6_Rate))^(Slot6_Age-D80))/(1-(1+AS_Wage)/(1+Slot6_Rate))),1)</f>
        <v>1</v>
      </c>
      <c r="JU80" s="20" t="n">
        <f aca="false">IF(AND(HU80=1,IE80&gt;0,Slot6_IsWG=1,BV80=1),MAX(0,(Slot6_Cost-BW80*(1+Slot6_Rate)^(Slot6_Age-D80))/JT80),0)</f>
        <v>0</v>
      </c>
      <c r="JV80" s="20" t="n">
        <f aca="false">IF(AND(HU80=1,IE80&gt;0,Slot6_IsWG=1,BV80=1),MIN(IE80,JU80),0)</f>
        <v>0</v>
      </c>
      <c r="JW80" s="20" t="n">
        <f aca="false">BW80+JV80</f>
        <v>0</v>
      </c>
      <c r="JX80" s="20" t="n">
        <f aca="false">IF(BV80=1,MAX(0,(Slot6_Cost-JW80*(1+Slot6_Rate)^(Slot6_Age-D80))/JT80),0)</f>
        <v>0</v>
      </c>
      <c r="JY80" s="20" t="n">
        <f aca="false">IF(BV80=1,MAX(0,(Slot6_Cost-BW80*(1+Slot6_Rate)^(Slot6_Age-D80))/JT80),0)</f>
        <v>0</v>
      </c>
      <c r="JZ80" s="20" t="n">
        <f aca="false">IF(AND(HU80=1,BV80=1),MIN(JS80,JX80),0)</f>
        <v>0</v>
      </c>
      <c r="KA80" s="20" t="n">
        <f aca="false">JS80-JZ80</f>
        <v>0</v>
      </c>
      <c r="KB80" s="20" t="n">
        <f aca="false">IF(CF80=1,IF(ABS((1+AS_Wage)/(1+Slot7_Rate)-1)&lt;0.000000000001,(Slot7_Age-D80)*(1+Slot7_Rate)^(Slot7_Age-D80),(1+Slot7_Rate)^(Slot7_Age-D80)*(1-((1+AS_Wage)/(1+Slot7_Rate))^(Slot7_Age-D80))/(1-(1+AS_Wage)/(1+Slot7_Rate))),1)</f>
        <v>1</v>
      </c>
      <c r="KC80" s="20" t="n">
        <f aca="false">IF(AND(HU80=1,IE80&gt;0,Slot7_IsWG=1,CF80=1),MAX(0,(Slot7_Cost-CG80*(1+Slot7_Rate)^(Slot7_Age-D80))/KB80),0)</f>
        <v>0</v>
      </c>
      <c r="KD80" s="20" t="n">
        <f aca="false">IF(AND(HU80=1,IE80&gt;0,Slot7_IsWG=1,CF80=1),MIN(IE80,KC80),0)</f>
        <v>0</v>
      </c>
      <c r="KE80" s="20" t="n">
        <f aca="false">CG80+KD80</f>
        <v>0</v>
      </c>
      <c r="KF80" s="20" t="n">
        <f aca="false">IF(CF80=1,MAX(0,(Slot7_Cost-KE80*(1+Slot7_Rate)^(Slot7_Age-D80))/KB80),0)</f>
        <v>0</v>
      </c>
      <c r="KG80" s="20" t="n">
        <f aca="false">IF(CF80=1,MAX(0,(Slot7_Cost-CG80*(1+Slot7_Rate)^(Slot7_Age-D80))/KB80),0)</f>
        <v>0</v>
      </c>
      <c r="KH80" s="20" t="n">
        <f aca="false">IF(AND(HU80=1,CF80=1),MIN(KA80,KF80),0)</f>
        <v>0</v>
      </c>
      <c r="KI80" s="20" t="n">
        <f aca="false">KA80-KH80</f>
        <v>0</v>
      </c>
      <c r="KJ80" s="20" t="n">
        <f aca="false">IF(CP80=1,IF(ABS((1+AS_Wage)/(1+Slot8_Rate)-1)&lt;0.000000000001,(Slot8_Age-D80)*(1+Slot8_Rate)^(Slot8_Age-D80),(1+Slot8_Rate)^(Slot8_Age-D80)*(1-((1+AS_Wage)/(1+Slot8_Rate))^(Slot8_Age-D80))/(1-(1+AS_Wage)/(1+Slot8_Rate))),1)</f>
        <v>1</v>
      </c>
      <c r="KK80" s="20" t="n">
        <f aca="false">IF(AND(HU80=1,IE80&gt;0,Slot8_IsWG=1,CP80=1),MAX(0,(Slot8_Cost-CQ80*(1+Slot8_Rate)^(Slot8_Age-D80))/KJ80),0)</f>
        <v>0</v>
      </c>
      <c r="KL80" s="20" t="n">
        <f aca="false">IF(AND(HU80=1,IE80&gt;0,Slot8_IsWG=1,CP80=1),MIN(IE80,KK80),0)</f>
        <v>0</v>
      </c>
      <c r="KM80" s="20" t="n">
        <f aca="false">CQ80+KL80</f>
        <v>0</v>
      </c>
      <c r="KN80" s="20" t="n">
        <f aca="false">IF(CP80=1,MAX(0,(Slot8_Cost-KM80*(1+Slot8_Rate)^(Slot8_Age-D80))/KJ80),0)</f>
        <v>0</v>
      </c>
      <c r="KO80" s="20" t="n">
        <f aca="false">IF(CP80=1,MAX(0,(Slot8_Cost-CQ80*(1+Slot8_Rate)^(Slot8_Age-D80))/KJ80),0)</f>
        <v>0</v>
      </c>
      <c r="KP80" s="20" t="n">
        <f aca="false">IF(AND(HU80=1,CP80=1),MIN(KI80,KN80),0)</f>
        <v>0</v>
      </c>
      <c r="KQ80" s="20" t="n">
        <f aca="false">KI80-KP80</f>
        <v>0</v>
      </c>
      <c r="KR80" s="20" t="n">
        <f aca="false">IF(CZ80=1,IF(ABS((1+AS_Wage)/(1+Slot9_Rate)-1)&lt;0.000000000001,(Slot9_Age-D80)*(1+Slot9_Rate)^(Slot9_Age-D80),(1+Slot9_Rate)^(Slot9_Age-D80)*(1-((1+AS_Wage)/(1+Slot9_Rate))^(Slot9_Age-D80))/(1-(1+AS_Wage)/(1+Slot9_Rate))),1)</f>
        <v>1</v>
      </c>
      <c r="KS80" s="20" t="n">
        <f aca="false">IF(AND(HU80=1,IE80&gt;0,Slot9_IsWG=1,CZ80=1),MAX(0,(Slot9_Cost-DA80*(1+Slot9_Rate)^(Slot9_Age-D80))/KR80),0)</f>
        <v>0</v>
      </c>
      <c r="KT80" s="20" t="n">
        <f aca="false">IF(AND(HU80=1,IE80&gt;0,Slot9_IsWG=1,CZ80=1),MIN(IE80,KS80),0)</f>
        <v>0</v>
      </c>
      <c r="KU80" s="20" t="n">
        <f aca="false">DA80+KT80</f>
        <v>0</v>
      </c>
      <c r="KV80" s="20" t="n">
        <f aca="false">IF(CZ80=1,MAX(0,(Slot9_Cost-KU80*(1+Slot9_Rate)^(Slot9_Age-D80))/KR80),0)</f>
        <v>0</v>
      </c>
      <c r="KW80" s="20" t="n">
        <f aca="false">IF(CZ80=1,MAX(0,(Slot9_Cost-DA80*(1+Slot9_Rate)^(Slot9_Age-D80))/KR80),0)</f>
        <v>0</v>
      </c>
      <c r="KX80" s="20" t="n">
        <f aca="false">IF(AND(HU80=1,CZ80=1),MIN(KQ80,KV80),0)</f>
        <v>0</v>
      </c>
      <c r="KY80" s="20" t="n">
        <f aca="false">KQ80-KX80</f>
        <v>0</v>
      </c>
      <c r="KZ80" s="20" t="n">
        <f aca="false">IF(DJ80=1,IF(ABS((1+AS_Wage)/(1+Slot10_Rate)-1)&lt;0.000000000001,(Slot10_Age-D80)*(1+Slot10_Rate)^(Slot10_Age-D80),(1+Slot10_Rate)^(Slot10_Age-D80)*(1-((1+AS_Wage)/(1+Slot10_Rate))^(Slot10_Age-D80))/(1-(1+AS_Wage)/(1+Slot10_Rate))),1)</f>
        <v>1</v>
      </c>
      <c r="LA80" s="20" t="n">
        <f aca="false">IF(AND(HU80=1,IE80&gt;0,Slot10_IsWG=1,DJ80=1),MAX(0,(Slot10_Cost-DK80*(1+Slot10_Rate)^(Slot10_Age-D80))/KZ80),0)</f>
        <v>0</v>
      </c>
      <c r="LB80" s="20" t="n">
        <f aca="false">IF(AND(HU80=1,IE80&gt;0,Slot10_IsWG=1,DJ80=1),MIN(IE80,LA80),0)</f>
        <v>0</v>
      </c>
      <c r="LC80" s="20" t="n">
        <f aca="false">DK80+LB80</f>
        <v>0</v>
      </c>
      <c r="LD80" s="20" t="n">
        <f aca="false">IF(DJ80=1,MAX(0,(Slot10_Cost-LC80*(1+Slot10_Rate)^(Slot10_Age-D80))/KZ80),0)</f>
        <v>0</v>
      </c>
      <c r="LE80" s="20" t="n">
        <f aca="false">IF(DJ80=1,MAX(0,(Slot10_Cost-DK80*(1+Slot10_Rate)^(Slot10_Age-D80))/KZ80),0)</f>
        <v>0</v>
      </c>
      <c r="LF80" s="20" t="n">
        <f aca="false">IF(AND(HU80=1,DJ80=1),MIN(KY80,LD80),0)</f>
        <v>0</v>
      </c>
      <c r="LG80" s="20" t="n">
        <f aca="false">KY80-LF80</f>
        <v>0</v>
      </c>
      <c r="LH80" s="20" t="n">
        <f aca="false">IF(DT80=1,IF(ABS((1+AS_Wage)/(1+Slot11_Rate)-1)&lt;0.000000000001,(Slot11_Age-D80)*(1+Slot11_Rate)^(Slot11_Age-D80),(1+Slot11_Rate)^(Slot11_Age-D80)*(1-((1+AS_Wage)/(1+Slot11_Rate))^(Slot11_Age-D80))/(1-(1+AS_Wage)/(1+Slot11_Rate))),1)</f>
        <v>1</v>
      </c>
      <c r="LI80" s="20" t="n">
        <f aca="false">IF(AND(HU80=1,IE80&gt;0,Slot11_IsWG=1,DT80=1),MAX(0,(Slot11_Cost-DU80*(1+Slot11_Rate)^(Slot11_Age-D80))/LH80),0)</f>
        <v>0</v>
      </c>
      <c r="LJ80" s="20" t="n">
        <f aca="false">IF(AND(HU80=1,IE80&gt;0,Slot11_IsWG=1,DT80=1),MIN(IE80,LI80),0)</f>
        <v>0</v>
      </c>
      <c r="LK80" s="20" t="n">
        <f aca="false">DU80+LJ80</f>
        <v>0</v>
      </c>
      <c r="LL80" s="20" t="n">
        <f aca="false">IF(DT80=1,MAX(0,(Slot11_Cost-LK80*(1+Slot11_Rate)^(Slot11_Age-D80))/LH80),0)</f>
        <v>0</v>
      </c>
      <c r="LM80" s="20" t="n">
        <f aca="false">IF(DT80=1,MAX(0,(Slot11_Cost-DU80*(1+Slot11_Rate)^(Slot11_Age-D80))/LH80),0)</f>
        <v>0</v>
      </c>
      <c r="LN80" s="20" t="n">
        <f aca="false">IF(AND(HU80=1,DT80=1),MIN(LG80,LL80),0)</f>
        <v>0</v>
      </c>
      <c r="LO80" s="20" t="n">
        <f aca="false">LG80-LN80</f>
        <v>0</v>
      </c>
      <c r="LP80" s="20" t="n">
        <f aca="false">IF(ED80=1,IF(ABS((1+AS_Wage)/(1+Slot12_Rate)-1)&lt;0.000000000001,(Slot12_Age-D80)*(1+Slot12_Rate)^(Slot12_Age-D80),(1+Slot12_Rate)^(Slot12_Age-D80)*(1-((1+AS_Wage)/(1+Slot12_Rate))^(Slot12_Age-D80))/(1-(1+AS_Wage)/(1+Slot12_Rate))),1)</f>
        <v>1</v>
      </c>
      <c r="LQ80" s="20" t="n">
        <f aca="false">IF(AND(HU80=1,IE80&gt;0,Slot12_IsWG=1,ED80=1),MAX(0,(Slot12_Cost-EE80*(1+Slot12_Rate)^(Slot12_Age-D80))/LP80),0)</f>
        <v>0</v>
      </c>
      <c r="LR80" s="20" t="n">
        <f aca="false">IF(AND(HU80=1,IE80&gt;0,Slot12_IsWG=1,ED80=1),MIN(IE80,LQ80),0)</f>
        <v>0</v>
      </c>
      <c r="LS80" s="20" t="n">
        <f aca="false">EE80+LR80</f>
        <v>0</v>
      </c>
      <c r="LT80" s="20" t="n">
        <f aca="false">IF(ED80=1,MAX(0,(Slot12_Cost-LS80*(1+Slot12_Rate)^(Slot12_Age-D80))/LP80),0)</f>
        <v>0</v>
      </c>
      <c r="LU80" s="20" t="n">
        <f aca="false">IF(ED80=1,MAX(0,(Slot12_Cost-EE80*(1+Slot12_Rate)^(Slot12_Age-D80))/LP80),0)</f>
        <v>0</v>
      </c>
      <c r="LV80" s="20" t="n">
        <f aca="false">IF(AND(HU80=1,ED80=1),MIN(LO80,LT80),0)</f>
        <v>0</v>
      </c>
      <c r="LW80" s="20" t="n">
        <f aca="false">LO80-LV80</f>
        <v>0</v>
      </c>
      <c r="LX80" s="20" t="n">
        <f aca="false">IF(EN80=1,IF(ABS((1+AS_Wage)/(1+Slot13_Rate)-1)&lt;0.000000000001,(Slot13_Age-D80)*(1+Slot13_Rate)^(Slot13_Age-D80),(1+Slot13_Rate)^(Slot13_Age-D80)*(1-((1+AS_Wage)/(1+Slot13_Rate))^(Slot13_Age-D80))/(1-(1+AS_Wage)/(1+Slot13_Rate))),1)</f>
        <v>1</v>
      </c>
      <c r="LY80" s="20" t="n">
        <f aca="false">IF(AND(HU80=1,IE80&gt;0,Slot13_IsWG=1,EN80=1),MAX(0,(Slot13_Cost-EO80*(1+Slot13_Rate)^(Slot13_Age-D80))/LX80),0)</f>
        <v>0</v>
      </c>
      <c r="LZ80" s="20" t="n">
        <f aca="false">IF(AND(HU80=1,IE80&gt;0,Slot13_IsWG=1,EN80=1),MIN(IE80,LY80),0)</f>
        <v>0</v>
      </c>
      <c r="MA80" s="20" t="n">
        <f aca="false">EO80+LZ80</f>
        <v>0</v>
      </c>
      <c r="MB80" s="20" t="n">
        <f aca="false">IF(EN80=1,MAX(0,(Slot13_Cost-MA80*(1+Slot13_Rate)^(Slot13_Age-D80))/LX80),0)</f>
        <v>0</v>
      </c>
      <c r="MC80" s="20" t="n">
        <f aca="false">IF(EN80=1,MAX(0,(Slot13_Cost-EO80*(1+Slot13_Rate)^(Slot13_Age-D80))/LX80),0)</f>
        <v>0</v>
      </c>
      <c r="MD80" s="20" t="n">
        <f aca="false">IF(AND(HU80=1,EN80=1),MIN(LW80,MB80),0)</f>
        <v>0</v>
      </c>
      <c r="ME80" s="20" t="n">
        <f aca="false">LW80-MD80</f>
        <v>0</v>
      </c>
      <c r="MF80" s="20" t="n">
        <f aca="false">IF(EX80=1,IF(ABS((1+AS_Wage)/(1+Slot14_Rate)-1)&lt;0.000000000001,(Slot14_Age-D80)*(1+Slot14_Rate)^(Slot14_Age-D80),(1+Slot14_Rate)^(Slot14_Age-D80)*(1-((1+AS_Wage)/(1+Slot14_Rate))^(Slot14_Age-D80))/(1-(1+AS_Wage)/(1+Slot14_Rate))),1)</f>
        <v>1</v>
      </c>
      <c r="MG80" s="20" t="n">
        <f aca="false">IF(AND(HU80=1,IE80&gt;0,Slot14_IsWG=1,EX80=1),MAX(0,(Slot14_Cost-EY80*(1+Slot14_Rate)^(Slot14_Age-D80))/MF80),0)</f>
        <v>0</v>
      </c>
      <c r="MH80" s="20" t="n">
        <f aca="false">IF(AND(HU80=1,IE80&gt;0,Slot14_IsWG=1,EX80=1),MIN(IE80,MG80),0)</f>
        <v>0</v>
      </c>
      <c r="MI80" s="20" t="n">
        <f aca="false">EY80+MH80</f>
        <v>0</v>
      </c>
      <c r="MJ80" s="20" t="n">
        <f aca="false">IF(EX80=1,MAX(0,(Slot14_Cost-MI80*(1+Slot14_Rate)^(Slot14_Age-D80))/MF80),0)</f>
        <v>0</v>
      </c>
      <c r="MK80" s="20" t="n">
        <f aca="false">IF(EX80=1,MAX(0,(Slot14_Cost-EY80*(1+Slot14_Rate)^(Slot14_Age-D80))/MF80),0)</f>
        <v>0</v>
      </c>
      <c r="ML80" s="20" t="n">
        <f aca="false">IF(AND(HU80=1,EX80=1),MIN(ME80,MJ80),0)</f>
        <v>0</v>
      </c>
      <c r="MM80" s="20" t="n">
        <f aca="false">ME80-ML80</f>
        <v>0</v>
      </c>
      <c r="MN80" s="20" t="n">
        <f aca="false">IF(FH80=1,IF(ABS((1+AS_Wage)/(1+Slot15_Rate)-1)&lt;0.000000000001,(Slot15_Age-D80)*(1+Slot15_Rate)^(Slot15_Age-D80),(1+Slot15_Rate)^(Slot15_Age-D80)*(1-((1+AS_Wage)/(1+Slot15_Rate))^(Slot15_Age-D80))/(1-(1+AS_Wage)/(1+Slot15_Rate))),1)</f>
        <v>1</v>
      </c>
      <c r="MO80" s="20" t="n">
        <f aca="false">IF(AND(HU80=1,IE80&gt;0,Slot15_IsWG=1,FH80=1),MAX(0,(Slot15_Cost-FI80*(1+Slot15_Rate)^(Slot15_Age-D80))/MN80),0)</f>
        <v>0</v>
      </c>
      <c r="MP80" s="20" t="n">
        <f aca="false">IF(AND(HU80=1,IE80&gt;0,Slot15_IsWG=1,FH80=1),MIN(IE80,MO80),0)</f>
        <v>0</v>
      </c>
      <c r="MQ80" s="20" t="n">
        <f aca="false">FI80+MP80</f>
        <v>0</v>
      </c>
      <c r="MR80" s="20" t="n">
        <f aca="false">IF(FH80=1,MAX(0,(Slot15_Cost-MQ80*(1+Slot15_Rate)^(Slot15_Age-D80))/MN80),0)</f>
        <v>0</v>
      </c>
      <c r="MS80" s="20" t="n">
        <f aca="false">IF(FH80=1,MAX(0,(Slot15_Cost-FI80*(1+Slot15_Rate)^(Slot15_Age-D80))/MN80),0)</f>
        <v>0</v>
      </c>
      <c r="MT80" s="20" t="n">
        <f aca="false">IF(AND(HU80=1,FH80=1),MIN(MM80,MR80),0)</f>
        <v>0</v>
      </c>
      <c r="MU80" s="20" t="n">
        <f aca="false">MM80-MT80</f>
        <v>0</v>
      </c>
      <c r="MV80" s="20" t="n">
        <f aca="false">IF(FR80=1,IF(ABS((1+AS_Wage)/(1+Slot16_Rate)-1)&lt;0.000000000001,(Slot16_Age-D80)*(1+Slot16_Rate)^(Slot16_Age-D80),(1+Slot16_Rate)^(Slot16_Age-D80)*(1-((1+AS_Wage)/(1+Slot16_Rate))^(Slot16_Age-D80))/(1-(1+AS_Wage)/(1+Slot16_Rate))),1)</f>
        <v>1</v>
      </c>
      <c r="MW80" s="20" t="n">
        <f aca="false">IF(AND(HU80=1,IE80&gt;0,Slot16_IsWG=1,FR80=1),MAX(0,(Slot16_Cost-FS80*(1+Slot16_Rate)^(Slot16_Age-D80))/MV80),0)</f>
        <v>0</v>
      </c>
      <c r="MX80" s="20" t="n">
        <f aca="false">IF(AND(HU80=1,IE80&gt;0,Slot16_IsWG=1,FR80=1),MIN(IE80,MW80),0)</f>
        <v>0</v>
      </c>
      <c r="MY80" s="20" t="n">
        <f aca="false">FS80+MX80</f>
        <v>0</v>
      </c>
      <c r="MZ80" s="20" t="n">
        <f aca="false">IF(FR80=1,MAX(0,(Slot16_Cost-MY80*(1+Slot16_Rate)^(Slot16_Age-D80))/MV80),0)</f>
        <v>0</v>
      </c>
      <c r="NA80" s="20" t="n">
        <f aca="false">IF(FR80=1,MAX(0,(Slot16_Cost-FS80*(1+Slot16_Rate)^(Slot16_Age-D80))/MV80),0)</f>
        <v>0</v>
      </c>
      <c r="NB80" s="20" t="n">
        <f aca="false">IF(AND(HU80=1,FR80=1),MIN(MU80,MZ80),0)</f>
        <v>0</v>
      </c>
      <c r="NC80" s="20" t="n">
        <f aca="false">MU80-NB80</f>
        <v>0</v>
      </c>
      <c r="ND80" s="20" t="n">
        <f aca="false">IF(GB80=1,IF(ABS((1+AS_Wage)/(1+Slot17_Rate)-1)&lt;0.000000000001,(Slot17_Age-D80)*(1+Slot17_Rate)^(Slot17_Age-D80),(1+Slot17_Rate)^(Slot17_Age-D80)*(1-((1+AS_Wage)/(1+Slot17_Rate))^(Slot17_Age-D80))/(1-(1+AS_Wage)/(1+Slot17_Rate))),1)</f>
        <v>1</v>
      </c>
      <c r="NE80" s="20" t="n">
        <f aca="false">IF(AND(HU80=1,IE80&gt;0,Slot17_IsWG=1,GB80=1),MAX(0,(Slot17_Cost-GC80*(1+Slot17_Rate)^(Slot17_Age-D80))/ND80),0)</f>
        <v>0</v>
      </c>
      <c r="NF80" s="20" t="n">
        <f aca="false">IF(AND(HU80=1,IE80&gt;0,Slot17_IsWG=1,GB80=1),MIN(IE80,NE80),0)</f>
        <v>0</v>
      </c>
      <c r="NG80" s="20" t="n">
        <f aca="false">GC80+NF80</f>
        <v>0</v>
      </c>
      <c r="NH80" s="20" t="n">
        <f aca="false">IF(GB80=1,MAX(0,(Slot17_Cost-NG80*(1+Slot17_Rate)^(Slot17_Age-D80))/ND80),0)</f>
        <v>0</v>
      </c>
      <c r="NI80" s="20" t="n">
        <f aca="false">IF(GB80=1,MAX(0,(Slot17_Cost-GC80*(1+Slot17_Rate)^(Slot17_Age-D80))/ND80),0)</f>
        <v>0</v>
      </c>
      <c r="NJ80" s="20" t="n">
        <f aca="false">IF(AND(HU80=1,GB80=1),MIN(NC80,NH80),0)</f>
        <v>0</v>
      </c>
      <c r="NK80" s="20" t="n">
        <f aca="false">NC80-NJ80</f>
        <v>0</v>
      </c>
      <c r="NL80" s="20" t="n">
        <f aca="false">IF(GL80=1,IF(ABS((1+AS_Wage)/(1+Slot18_Rate)-1)&lt;0.000000000001,(Slot18_Age-D80)*(1+Slot18_Rate)^(Slot18_Age-D80),(1+Slot18_Rate)^(Slot18_Age-D80)*(1-((1+AS_Wage)/(1+Slot18_Rate))^(Slot18_Age-D80))/(1-(1+AS_Wage)/(1+Slot18_Rate))),1)</f>
        <v>1</v>
      </c>
      <c r="NM80" s="20" t="n">
        <f aca="false">IF(AND(HU80=1,IE80&gt;0,Slot18_IsWG=1,GL80=1),MAX(0,(Slot18_Cost-GM80*(1+Slot18_Rate)^(Slot18_Age-D80))/NL80),0)</f>
        <v>0</v>
      </c>
      <c r="NN80" s="20" t="n">
        <f aca="false">IF(AND(HU80=1,IE80&gt;0,Slot18_IsWG=1,GL80=1),MIN(IE80,NM80),0)</f>
        <v>0</v>
      </c>
      <c r="NO80" s="20" t="n">
        <f aca="false">GM80+NN80</f>
        <v>0</v>
      </c>
      <c r="NP80" s="20" t="n">
        <f aca="false">IF(GL80=1,MAX(0,(Slot18_Cost-NO80*(1+Slot18_Rate)^(Slot18_Age-D80))/NL80),0)</f>
        <v>0</v>
      </c>
      <c r="NQ80" s="20" t="n">
        <f aca="false">IF(GL80=1,MAX(0,(Slot18_Cost-GM80*(1+Slot18_Rate)^(Slot18_Age-D80))/NL80),0)</f>
        <v>0</v>
      </c>
      <c r="NR80" s="20" t="n">
        <f aca="false">IF(AND(HU80=1,GL80=1),MIN(NK80,NP80),0)</f>
        <v>0</v>
      </c>
      <c r="NS80" s="20" t="n">
        <f aca="false">NK80-NR80</f>
        <v>0</v>
      </c>
      <c r="NT80" s="20" t="n">
        <f aca="false">IF(GV80=1,IF(ABS((1+AS_Wage)/(1+Slot19_Rate)-1)&lt;0.000000000001,(Slot19_Age-D80)*(1+Slot19_Rate)^(Slot19_Age-D80),(1+Slot19_Rate)^(Slot19_Age-D80)*(1-((1+AS_Wage)/(1+Slot19_Rate))^(Slot19_Age-D80))/(1-(1+AS_Wage)/(1+Slot19_Rate))),1)</f>
        <v>1</v>
      </c>
      <c r="NU80" s="20" t="n">
        <f aca="false">IF(AND(HU80=1,IE80&gt;0,Slot19_IsWG=1,GV80=1),MAX(0,(Slot19_Cost-GW80*(1+Slot19_Rate)^(Slot19_Age-D80))/NT80),0)</f>
        <v>0</v>
      </c>
      <c r="NV80" s="20" t="n">
        <f aca="false">IF(AND(HU80=1,IE80&gt;0,Slot19_IsWG=1,GV80=1),MIN(IE80,NU80),0)</f>
        <v>0</v>
      </c>
      <c r="NW80" s="20" t="n">
        <f aca="false">GW80+NV80</f>
        <v>0</v>
      </c>
      <c r="NX80" s="20" t="n">
        <f aca="false">IF(GV80=1,MAX(0,(Slot19_Cost-NW80*(1+Slot19_Rate)^(Slot19_Age-D80))/NT80),0)</f>
        <v>0</v>
      </c>
      <c r="NY80" s="20" t="n">
        <f aca="false">IF(GV80=1,MAX(0,(Slot19_Cost-GW80*(1+Slot19_Rate)^(Slot19_Age-D80))/NT80),0)</f>
        <v>0</v>
      </c>
      <c r="NZ80" s="20" t="n">
        <f aca="false">IF(AND(HU80=1,GV80=1),MIN(NS80,NX80),0)</f>
        <v>0</v>
      </c>
      <c r="OA80" s="20" t="n">
        <f aca="false">NS80-NZ80</f>
        <v>0</v>
      </c>
      <c r="OB80" s="20" t="n">
        <f aca="false">IF(HF80=1,IF(ABS((1+AS_Wage)/(1+Slot20_Rate)-1)&lt;0.000000000001,(Slot20_Age-D80)*(1+Slot20_Rate)^(Slot20_Age-D80),(1+Slot20_Rate)^(Slot20_Age-D80)*(1-((1+AS_Wage)/(1+Slot20_Rate))^(Slot20_Age-D80))/(1-(1+AS_Wage)/(1+Slot20_Rate))),1)</f>
        <v>1</v>
      </c>
      <c r="OC80" s="20" t="n">
        <f aca="false">IF(AND(HU80=1,IE80&gt;0,Slot20_IsWG=1,HF80=1),MAX(0,(Slot20_Cost-HG80*(1+Slot20_Rate)^(Slot20_Age-D80))/OB80),0)</f>
        <v>0</v>
      </c>
      <c r="OD80" s="20" t="n">
        <f aca="false">IF(AND(HU80=1,IE80&gt;0,Slot20_IsWG=1,HF80=1),MIN(IE80,OC80),0)</f>
        <v>0</v>
      </c>
      <c r="OE80" s="20" t="n">
        <f aca="false">HG80+OD80</f>
        <v>0</v>
      </c>
      <c r="OF80" s="20" t="n">
        <f aca="false">IF(HF80=1,MAX(0,(Slot20_Cost-OE80*(1+Slot20_Rate)^(Slot20_Age-D80))/OB80),0)</f>
        <v>0</v>
      </c>
      <c r="OG80" s="20" t="n">
        <f aca="false">IF(HF80=1,MAX(0,(Slot20_Cost-HG80*(1+Slot20_Rate)^(Slot20_Age-D80))/OB80),0)</f>
        <v>0</v>
      </c>
      <c r="OH80" s="20" t="n">
        <f aca="false">IF(AND(HU80=1,HF80=1),MIN(OA80,OF80),0)</f>
        <v>0</v>
      </c>
      <c r="OI80" s="20" t="n">
        <f aca="false">OA80-OH80</f>
        <v>0</v>
      </c>
      <c r="OJ80" s="20" t="n">
        <f aca="false">IE80-(IH80+IP80+IX80+JF80+JN80+JV80+KD80+KL80+KT80+LB80+LJ80+LR80+LZ80+MH80+MP80+MX80+NF80+NN80+NV80+OD80)</f>
        <v>0</v>
      </c>
      <c r="OK80" s="20" t="n">
        <f aca="false">IF(HU80=1,HS80-ID80-IE80,0)</f>
        <v>0</v>
      </c>
      <c r="OL80" s="20" t="n">
        <f aca="false">IF(HU80=0,-HS80,0)</f>
        <v>80166.5331183625</v>
      </c>
      <c r="OM80" s="20" t="n">
        <f aca="false">MIN(OL80,HK80)</f>
        <v>0</v>
      </c>
      <c r="ON80" s="20" t="n">
        <f aca="false">OL80-OM80</f>
        <v>80166.5331183625</v>
      </c>
      <c r="OO80" s="20" t="n">
        <f aca="false">MIN(ON80,HL80)</f>
        <v>0</v>
      </c>
      <c r="OP80" s="20" t="n">
        <f aca="false">ON80-OO80</f>
        <v>80166.5331183625</v>
      </c>
      <c r="OQ80" s="20" t="n">
        <f aca="false">IF(AND(HU80=0,HF80=1,OP80&gt;0),MIN(OP80,HG80),0)</f>
        <v>0</v>
      </c>
      <c r="OR80" s="20" t="n">
        <f aca="false">OP80-OQ80</f>
        <v>80166.5331183625</v>
      </c>
      <c r="OS80" s="20" t="n">
        <f aca="false">IF(AND(HU80=0,GV80=1,OR80&gt;0),MIN(OR80,GW80),0)</f>
        <v>0</v>
      </c>
      <c r="OT80" s="20" t="n">
        <f aca="false">OR80-OS80</f>
        <v>80166.5331183625</v>
      </c>
      <c r="OU80" s="20" t="n">
        <f aca="false">IF(AND(HU80=0,GL80=1,OT80&gt;0),MIN(OT80,GM80),0)</f>
        <v>0</v>
      </c>
      <c r="OV80" s="20" t="n">
        <f aca="false">OT80-OU80</f>
        <v>80166.5331183625</v>
      </c>
      <c r="OW80" s="20" t="n">
        <f aca="false">IF(AND(HU80=0,GB80=1,OV80&gt;0),MIN(OV80,GC80),0)</f>
        <v>0</v>
      </c>
      <c r="OX80" s="20" t="n">
        <f aca="false">OV80-OW80</f>
        <v>80166.5331183625</v>
      </c>
      <c r="OY80" s="20" t="n">
        <f aca="false">IF(AND(HU80=0,FR80=1,OX80&gt;0),MIN(OX80,FS80),0)</f>
        <v>0</v>
      </c>
      <c r="OZ80" s="20" t="n">
        <f aca="false">OX80-OY80</f>
        <v>80166.5331183625</v>
      </c>
      <c r="PA80" s="20" t="n">
        <f aca="false">IF(AND(HU80=0,FH80=1,OZ80&gt;0),MIN(OZ80,FI80),0)</f>
        <v>0</v>
      </c>
      <c r="PB80" s="20" t="n">
        <f aca="false">OZ80-PA80</f>
        <v>80166.5331183625</v>
      </c>
      <c r="PC80" s="20" t="n">
        <f aca="false">IF(AND(HU80=0,EX80=1,PB80&gt;0),MIN(PB80,EY80),0)</f>
        <v>0</v>
      </c>
      <c r="PD80" s="20" t="n">
        <f aca="false">PB80-PC80</f>
        <v>80166.5331183625</v>
      </c>
      <c r="PE80" s="20" t="n">
        <f aca="false">IF(AND(HU80=0,EN80=1,PD80&gt;0),MIN(PD80,EO80),0)</f>
        <v>0</v>
      </c>
      <c r="PF80" s="20" t="n">
        <f aca="false">PD80-PE80</f>
        <v>80166.5331183625</v>
      </c>
      <c r="PG80" s="20" t="n">
        <f aca="false">IF(AND(HU80=0,ED80=1,PF80&gt;0),MIN(PF80,EE80),0)</f>
        <v>0</v>
      </c>
      <c r="PH80" s="20" t="n">
        <f aca="false">PF80-PG80</f>
        <v>80166.5331183625</v>
      </c>
      <c r="PI80" s="20" t="n">
        <f aca="false">IF(AND(HU80=0,DT80=1,PH80&gt;0),MIN(PH80,DU80),0)</f>
        <v>0</v>
      </c>
      <c r="PJ80" s="20" t="n">
        <f aca="false">PH80-PI80</f>
        <v>80166.5331183625</v>
      </c>
      <c r="PK80" s="20" t="n">
        <f aca="false">IF(AND(HU80=0,DJ80=1,PJ80&gt;0),MIN(PJ80,DK80),0)</f>
        <v>0</v>
      </c>
      <c r="PL80" s="20" t="n">
        <f aca="false">PJ80-PK80</f>
        <v>80166.5331183625</v>
      </c>
      <c r="PM80" s="20" t="n">
        <f aca="false">IF(AND(HU80=0,CZ80=1,PL80&gt;0),MIN(PL80,DA80),0)</f>
        <v>0</v>
      </c>
      <c r="PN80" s="20" t="n">
        <f aca="false">PL80-PM80</f>
        <v>80166.5331183625</v>
      </c>
      <c r="PO80" s="20" t="n">
        <f aca="false">IF(AND(HU80=0,CP80=1,PN80&gt;0),MIN(PN80,CQ80),0)</f>
        <v>0</v>
      </c>
      <c r="PP80" s="20" t="n">
        <f aca="false">PN80-PO80</f>
        <v>80166.5331183625</v>
      </c>
      <c r="PQ80" s="20" t="n">
        <f aca="false">IF(AND(HU80=0,CF80=1,PP80&gt;0),MIN(PP80,CG80),0)</f>
        <v>0</v>
      </c>
      <c r="PR80" s="20" t="n">
        <f aca="false">PP80-PQ80</f>
        <v>80166.5331183625</v>
      </c>
      <c r="PS80" s="20" t="n">
        <f aca="false">IF(AND(HU80=0,BV80=1,PR80&gt;0),MIN(PR80,BW80),0)</f>
        <v>0</v>
      </c>
      <c r="PT80" s="20" t="n">
        <f aca="false">PR80-PS80</f>
        <v>80166.5331183625</v>
      </c>
      <c r="PU80" s="20" t="n">
        <f aca="false">IF(AND(HU80=0,BL80=1,PT80&gt;0),MIN(PT80,BM80),0)</f>
        <v>0</v>
      </c>
      <c r="PV80" s="20" t="n">
        <f aca="false">PT80-PU80</f>
        <v>80166.5331183625</v>
      </c>
      <c r="PW80" s="20" t="n">
        <f aca="false">IF(AND(HU80=0,BB80=1,PV80&gt;0),MIN(PV80,BC80),0)</f>
        <v>0</v>
      </c>
      <c r="PX80" s="20" t="n">
        <f aca="false">PV80-PW80</f>
        <v>80166.5331183625</v>
      </c>
      <c r="PY80" s="20" t="n">
        <f aca="false">IF(AND(HU80=0,AR80=1,PX80&gt;0),MIN(PX80,AS80),0)</f>
        <v>0</v>
      </c>
      <c r="PZ80" s="20" t="n">
        <f aca="false">PX80-PY80</f>
        <v>80166.5331183625</v>
      </c>
      <c r="QA80" s="20" t="n">
        <f aca="false">IF(AND(HU80=0,AH80=1,PZ80&gt;0),MIN(PZ80,AI80),0)</f>
        <v>0</v>
      </c>
      <c r="QB80" s="20" t="n">
        <f aca="false">PZ80-QA80</f>
        <v>80166.5331183625</v>
      </c>
      <c r="QC80" s="20" t="n">
        <f aca="false">IF(AND(HU80=0,W80=1,QB80&gt;0),MIN(QB80,X80),0)</f>
        <v>0</v>
      </c>
      <c r="QD80" s="20" t="n">
        <f aca="false">QB80-QC80</f>
        <v>80166.5331183625</v>
      </c>
      <c r="QE80" s="20" t="n">
        <f aca="false">IF(HU80=0,QD80,0)</f>
        <v>80166.5331183625</v>
      </c>
      <c r="QF80" s="20" t="n">
        <f aca="false">OM80+OO80+QC80+QA80+PY80+PW80+PU80+PS80+PQ80+PO80+PM80+PK80+PI80+PG80+PE80+PC80+PA80+OY80+OW80+OU80+OS80+OQ80</f>
        <v>0</v>
      </c>
      <c r="QG80" s="20" t="n">
        <f aca="false">IF(HU80=1,HK80+OJ80+OI80+IF(G80=1,0,OK80),HK80-OM80)</f>
        <v>0</v>
      </c>
      <c r="QH80" s="20" t="n">
        <f aca="false">HL80-OO80</f>
        <v>0</v>
      </c>
      <c r="QI80" s="20" t="n">
        <f aca="false">IF(HU80=1,IF(G80=1,ID80+IE80,HS80),0)</f>
        <v>0</v>
      </c>
      <c r="QJ80" s="20" t="n">
        <f aca="false">IF(HU80=1,IF(G80=1,HS80-ID80-IE80,0),0)</f>
        <v>0</v>
      </c>
      <c r="QK80" s="57" t="n">
        <f aca="false">'Plan holdings'!BM80</f>
        <v>0</v>
      </c>
      <c r="QL80" s="20" t="n">
        <f aca="false">QH80*(1+AS_Cash)</f>
        <v>0</v>
      </c>
      <c r="QM80" s="20" t="n">
        <f aca="false">IF(W80=1,IF(HU80=1,II80+IL80,X80-QC80)*(1+Slot1_Rate),0)</f>
        <v>0</v>
      </c>
      <c r="QN80" s="20" t="n">
        <f aca="false">IF(AND(HU80=1,W80=1),(IH80+IL80)/F80,0)</f>
        <v>0</v>
      </c>
      <c r="QO80" s="20" t="n">
        <f aca="false">IF(B80=0,IH80+IL80,0)</f>
        <v>0</v>
      </c>
      <c r="QP80" s="20" t="n">
        <f aca="false">IF(B80=0,IF(HU80=1,IJ80,IK80),0)</f>
        <v>0</v>
      </c>
      <c r="QQ80" s="20" t="n">
        <f aca="false">IF(AH80=1,IF(HU80=1,IQ80+IT80,AI80-QA80)*(1+Slot2_Rate),0)</f>
        <v>0</v>
      </c>
      <c r="QR80" s="20" t="n">
        <f aca="false">IF(AND(HU80=1,AH80=1),(IP80+IT80)/F80,0)</f>
        <v>0</v>
      </c>
      <c r="QS80" s="20" t="n">
        <f aca="false">IF(B80=0,IP80+IT80,0)</f>
        <v>0</v>
      </c>
      <c r="QT80" s="20" t="n">
        <f aca="false">IF(B80=0,IF(HU80=1,IR80,IS80),0)</f>
        <v>0</v>
      </c>
      <c r="QU80" s="20" t="n">
        <f aca="false">IF(AR80=1,IF(HU80=1,IY80+JB80,AS80-PY80)*(1+Slot3_Rate),0)</f>
        <v>0</v>
      </c>
      <c r="QV80" s="20" t="n">
        <f aca="false">IF(AND(HU80=1,AR80=1),(IX80+JB80)/F80,0)</f>
        <v>0</v>
      </c>
      <c r="QW80" s="20" t="n">
        <f aca="false">IF(B80=0,IX80+JB80,0)</f>
        <v>0</v>
      </c>
      <c r="QX80" s="20" t="n">
        <f aca="false">IF(B80=0,IF(HU80=1,IZ80,JA80),0)</f>
        <v>0</v>
      </c>
      <c r="QY80" s="20" t="n">
        <f aca="false">IF(BB80=1,IF(HU80=1,JG80+JJ80,BC80-PW80)*(1+Slot4_Rate),0)</f>
        <v>0</v>
      </c>
      <c r="QZ80" s="20" t="n">
        <f aca="false">IF(AND(HU80=1,BB80=1),(JF80+JJ80)/F80,0)</f>
        <v>0</v>
      </c>
      <c r="RA80" s="20" t="n">
        <f aca="false">IF(B80=0,JF80+JJ80,0)</f>
        <v>0</v>
      </c>
      <c r="RB80" s="20" t="n">
        <f aca="false">IF(B80=0,IF(HU80=1,JH80,JI80),0)</f>
        <v>0</v>
      </c>
      <c r="RC80" s="20" t="n">
        <f aca="false">IF(BL80=1,IF(HU80=1,JO80+JR80,BM80-PU80)*(1+Slot5_Rate),0)</f>
        <v>0</v>
      </c>
      <c r="RD80" s="20" t="n">
        <f aca="false">IF(AND(HU80=1,BL80=1),(JN80+JR80)/F80,0)</f>
        <v>0</v>
      </c>
      <c r="RE80" s="20" t="n">
        <f aca="false">IF(B80=0,JN80+JR80,0)</f>
        <v>0</v>
      </c>
      <c r="RF80" s="20" t="n">
        <f aca="false">IF(B80=0,IF(HU80=1,JP80,JQ80),0)</f>
        <v>0</v>
      </c>
      <c r="RG80" s="20" t="n">
        <f aca="false">IF(BV80=1,IF(HU80=1,JW80+JZ80,BW80-PS80)*(1+Slot6_Rate),0)</f>
        <v>0</v>
      </c>
      <c r="RH80" s="20" t="n">
        <f aca="false">IF(AND(HU80=1,BV80=1),(JV80+JZ80)/F80,0)</f>
        <v>0</v>
      </c>
      <c r="RI80" s="20" t="n">
        <f aca="false">IF(B80=0,JV80+JZ80,0)</f>
        <v>0</v>
      </c>
      <c r="RJ80" s="20" t="n">
        <f aca="false">IF(B80=0,IF(HU80=1,JX80,JY80),0)</f>
        <v>0</v>
      </c>
      <c r="RK80" s="20" t="n">
        <f aca="false">IF(CF80=1,IF(HU80=1,KE80+KH80,CG80-PQ80)*(1+Slot7_Rate),0)</f>
        <v>0</v>
      </c>
      <c r="RL80" s="20" t="n">
        <f aca="false">IF(AND(HU80=1,CF80=1),(KD80+KH80)/F80,0)</f>
        <v>0</v>
      </c>
      <c r="RM80" s="20" t="n">
        <f aca="false">IF(B80=0,KD80+KH80,0)</f>
        <v>0</v>
      </c>
      <c r="RN80" s="20" t="n">
        <f aca="false">IF(B80=0,IF(HU80=1,KF80,KG80),0)</f>
        <v>0</v>
      </c>
      <c r="RO80" s="20" t="n">
        <f aca="false">IF(CP80=1,IF(HU80=1,KM80+KP80,CQ80-PO80)*(1+Slot8_Rate),0)</f>
        <v>0</v>
      </c>
      <c r="RP80" s="20" t="n">
        <f aca="false">IF(AND(HU80=1,CP80=1),(KL80+KP80)/F80,0)</f>
        <v>0</v>
      </c>
      <c r="RQ80" s="20" t="n">
        <f aca="false">IF(B80=0,KL80+KP80,0)</f>
        <v>0</v>
      </c>
      <c r="RR80" s="20" t="n">
        <f aca="false">IF(B80=0,IF(HU80=1,KN80,KO80),0)</f>
        <v>0</v>
      </c>
      <c r="RS80" s="20" t="n">
        <f aca="false">IF(CZ80=1,IF(HU80=1,KU80+KX80,DA80-PM80)*(1+Slot9_Rate),0)</f>
        <v>0</v>
      </c>
      <c r="RT80" s="20" t="n">
        <f aca="false">IF(AND(HU80=1,CZ80=1),(KT80+KX80)/F80,0)</f>
        <v>0</v>
      </c>
      <c r="RU80" s="20" t="n">
        <f aca="false">IF(B80=0,KT80+KX80,0)</f>
        <v>0</v>
      </c>
      <c r="RV80" s="20" t="n">
        <f aca="false">IF(B80=0,IF(HU80=1,KV80,KW80),0)</f>
        <v>0</v>
      </c>
      <c r="RW80" s="20" t="n">
        <f aca="false">IF(DJ80=1,IF(HU80=1,LC80+LF80,DK80-PK80)*(1+Slot10_Rate),0)</f>
        <v>0</v>
      </c>
      <c r="RX80" s="20" t="n">
        <f aca="false">IF(AND(HU80=1,DJ80=1),(LB80+LF80)/F80,0)</f>
        <v>0</v>
      </c>
      <c r="RY80" s="20" t="n">
        <f aca="false">IF(B80=0,LB80+LF80,0)</f>
        <v>0</v>
      </c>
      <c r="RZ80" s="20" t="n">
        <f aca="false">IF(B80=0,IF(HU80=1,LD80,LE80),0)</f>
        <v>0</v>
      </c>
      <c r="SA80" s="20" t="n">
        <f aca="false">IF(DT80=1,IF(HU80=1,LK80+LN80,DU80-PI80)*(1+Slot11_Rate),0)</f>
        <v>0</v>
      </c>
      <c r="SB80" s="20" t="n">
        <f aca="false">IF(AND(HU80=1,DT80=1),(LJ80+LN80)/F80,0)</f>
        <v>0</v>
      </c>
      <c r="SC80" s="20" t="n">
        <f aca="false">IF(B80=0,LJ80+LN80,0)</f>
        <v>0</v>
      </c>
      <c r="SD80" s="20" t="n">
        <f aca="false">IF(B80=0,IF(HU80=1,LL80,LM80),0)</f>
        <v>0</v>
      </c>
      <c r="SE80" s="20" t="n">
        <f aca="false">IF(ED80=1,IF(HU80=1,LS80+LV80,EE80-PG80)*(1+Slot12_Rate),0)</f>
        <v>0</v>
      </c>
      <c r="SF80" s="20" t="n">
        <f aca="false">IF(AND(HU80=1,ED80=1),(LR80+LV80)/F80,0)</f>
        <v>0</v>
      </c>
      <c r="SG80" s="20" t="n">
        <f aca="false">IF(B80=0,LR80+LV80,0)</f>
        <v>0</v>
      </c>
      <c r="SH80" s="20" t="n">
        <f aca="false">IF(B80=0,IF(HU80=1,LT80,LU80),0)</f>
        <v>0</v>
      </c>
      <c r="SI80" s="20" t="n">
        <f aca="false">IF(EN80=1,IF(HU80=1,MA80+MD80,EO80-PE80)*(1+Slot13_Rate),0)</f>
        <v>0</v>
      </c>
      <c r="SJ80" s="20" t="n">
        <f aca="false">IF(AND(HU80=1,EN80=1),(LZ80+MD80)/F80,0)</f>
        <v>0</v>
      </c>
      <c r="SK80" s="20" t="n">
        <f aca="false">IF(B80=0,LZ80+MD80,0)</f>
        <v>0</v>
      </c>
      <c r="SL80" s="20" t="n">
        <f aca="false">IF(B80=0,IF(HU80=1,MB80,MC80),0)</f>
        <v>0</v>
      </c>
      <c r="SM80" s="20" t="n">
        <f aca="false">IF(EX80=1,IF(HU80=1,MI80+ML80,EY80-PC80)*(1+Slot14_Rate),0)</f>
        <v>0</v>
      </c>
      <c r="SN80" s="20" t="n">
        <f aca="false">IF(AND(HU80=1,EX80=1),(MH80+ML80)/F80,0)</f>
        <v>0</v>
      </c>
      <c r="SO80" s="20" t="n">
        <f aca="false">IF(B80=0,MH80+ML80,0)</f>
        <v>0</v>
      </c>
      <c r="SP80" s="20" t="n">
        <f aca="false">IF(B80=0,IF(HU80=1,MJ80,MK80),0)</f>
        <v>0</v>
      </c>
      <c r="SQ80" s="20" t="n">
        <f aca="false">IF(FH80=1,IF(HU80=1,MQ80+MT80,FI80-PA80)*(1+Slot15_Rate),0)</f>
        <v>0</v>
      </c>
      <c r="SR80" s="20" t="n">
        <f aca="false">IF(AND(HU80=1,FH80=1),(MP80+MT80)/F80,0)</f>
        <v>0</v>
      </c>
      <c r="SS80" s="20" t="n">
        <f aca="false">IF(B80=0,MP80+MT80,0)</f>
        <v>0</v>
      </c>
      <c r="ST80" s="20" t="n">
        <f aca="false">IF(B80=0,IF(HU80=1,MR80,MS80),0)</f>
        <v>0</v>
      </c>
      <c r="SU80" s="20" t="n">
        <f aca="false">IF(FR80=1,IF(HU80=1,MY80+NB80,FS80-OY80)*(1+Slot16_Rate),0)</f>
        <v>0</v>
      </c>
      <c r="SV80" s="20" t="n">
        <f aca="false">IF(AND(HU80=1,FR80=1),(MX80+NB80)/F80,0)</f>
        <v>0</v>
      </c>
      <c r="SW80" s="20" t="n">
        <f aca="false">IF(B80=0,MX80+NB80,0)</f>
        <v>0</v>
      </c>
      <c r="SX80" s="20" t="n">
        <f aca="false">IF(B80=0,IF(HU80=1,MZ80,NA80),0)</f>
        <v>0</v>
      </c>
      <c r="SY80" s="20" t="n">
        <f aca="false">IF(GB80=1,IF(HU80=1,NG80+NJ80,GC80-OW80)*(1+Slot17_Rate),0)</f>
        <v>0</v>
      </c>
      <c r="SZ80" s="20" t="n">
        <f aca="false">IF(AND(HU80=1,GB80=1),(NF80+NJ80)/F80,0)</f>
        <v>0</v>
      </c>
      <c r="TA80" s="20" t="n">
        <f aca="false">IF(B80=0,NF80+NJ80,0)</f>
        <v>0</v>
      </c>
      <c r="TB80" s="20" t="n">
        <f aca="false">IF(B80=0,IF(HU80=1,NH80,NI80),0)</f>
        <v>0</v>
      </c>
      <c r="TC80" s="20" t="n">
        <f aca="false">IF(GL80=1,IF(HU80=1,NO80+NR80,GM80-OU80)*(1+Slot18_Rate),0)</f>
        <v>0</v>
      </c>
      <c r="TD80" s="20" t="n">
        <f aca="false">IF(AND(HU80=1,GL80=1),(NN80+NR80)/F80,0)</f>
        <v>0</v>
      </c>
      <c r="TE80" s="20" t="n">
        <f aca="false">IF(B80=0,NN80+NR80,0)</f>
        <v>0</v>
      </c>
      <c r="TF80" s="20" t="n">
        <f aca="false">IF(B80=0,IF(HU80=1,NP80,NQ80),0)</f>
        <v>0</v>
      </c>
      <c r="TG80" s="20" t="n">
        <f aca="false">IF(GV80=1,IF(HU80=1,NW80+NZ80,GW80-OS80)*(1+Slot19_Rate),0)</f>
        <v>0</v>
      </c>
      <c r="TH80" s="20" t="n">
        <f aca="false">IF(AND(HU80=1,GV80=1),(NV80+NZ80)/F80,0)</f>
        <v>0</v>
      </c>
      <c r="TI80" s="20" t="n">
        <f aca="false">IF(B80=0,NV80+NZ80,0)</f>
        <v>0</v>
      </c>
      <c r="TJ80" s="20" t="n">
        <f aca="false">IF(B80=0,IF(HU80=1,NX80,NY80),0)</f>
        <v>0</v>
      </c>
      <c r="TK80" s="20" t="n">
        <f aca="false">IF(HF80=1,IF(HU80=1,OE80+OH80,HG80-OQ80)*(1+Slot20_Rate),0)</f>
        <v>0</v>
      </c>
      <c r="TL80" s="20" t="n">
        <f aca="false">IF(AND(HU80=1,HF80=1),(OD80+OH80)/F80,0)</f>
        <v>0</v>
      </c>
      <c r="TM80" s="20" t="n">
        <f aca="false">IF(B80=0,OD80+OH80,0)</f>
        <v>0</v>
      </c>
      <c r="TN80" s="20" t="n">
        <f aca="false">IF(B80=0,IF(HU80=1,OF80,OG80),0)</f>
        <v>0</v>
      </c>
      <c r="TO80" s="20" t="n">
        <f aca="false">QK80+QL80+QM80+QQ80+QU80+QY80+RC80+RG80+RK80+RO80+RS80+RW80+SA80+SE80+SI80+SM80+SQ80+SU80+SY80+TC80+TG80+TK80</f>
        <v>0</v>
      </c>
      <c r="TP80" s="20" t="n">
        <f aca="false">QE80+HP80</f>
        <v>80166.5331183625</v>
      </c>
      <c r="TQ80" s="20" t="n">
        <f aca="false">I80+S80</f>
        <v>198902.509927463</v>
      </c>
      <c r="TR80" s="20" t="n">
        <f aca="false">1-G80</f>
        <v>1</v>
      </c>
      <c r="TS80" s="20" t="n">
        <f aca="false">IF(AND(RG_Exists=1,G80=0,C80=1),I80,0)</f>
        <v>0</v>
      </c>
      <c r="TT80" s="20" t="n">
        <f aca="false">IF(AND(RG_Exists=1,G80=0,C80=1),I80-MIN(QE80,I80),0)</f>
        <v>0</v>
      </c>
      <c r="TU80" s="20" t="n">
        <f aca="false">'Plan pay &amp; tax'!AD306</f>
        <v>0</v>
      </c>
      <c r="TV80" s="20" t="n">
        <f aca="false">IF(AND(C80=1,QE80&gt;MAX(PR_Short1,TQ80*PR_Short2)),1,0)</f>
        <v>0</v>
      </c>
      <c r="TW80" s="20" t="n">
        <f aca="false">MIN(H80,I80+S80)</f>
        <v>118735.9768091</v>
      </c>
      <c r="TX80" s="20" t="n">
        <f aca="false">QF80+MAX(0,HQ80-HP80)</f>
        <v>0</v>
      </c>
      <c r="TY80" s="20" t="n">
        <f aca="false">QE80+HP80</f>
        <v>80166.5331183625</v>
      </c>
      <c r="TZ80" s="20" t="n">
        <f aca="false">IF(AND(C80=1,TY80&gt;PR_MinShort),1,0)</f>
        <v>0</v>
      </c>
      <c r="UA80" s="20" t="n">
        <f aca="false">IF(AND(C80=1,TZ80=0,TX80&gt;PR_MinShort),1,0)</f>
        <v>0</v>
      </c>
      <c r="UB80" s="20" t="n">
        <f aca="false">IF(AND(C80=1,QE80&gt;PR_MinShort),1,0)</f>
        <v>0</v>
      </c>
      <c r="UC80" s="20" t="n">
        <f aca="false">IF(AND(C80=1,QF80&gt;1,UJ80=0),1,0)</f>
        <v>0</v>
      </c>
      <c r="UD80" s="20" t="str">
        <f aca="false">IF(C80=0,"",IF(UJ80=1,"Gap to plan for: short "&amp;"€"&amp;TEXT(ROUND(TP80,0),"#,##0"),IF(QF80&gt;1,"Using savings","Comfortable")))</f>
        <v/>
      </c>
      <c r="UE80" s="20" t="n">
        <f aca="false">IF(AND(INT(D80/10)*10=90,B80&gt;0),80,INT(D80/10)*10)</f>
        <v>110</v>
      </c>
      <c r="UF80" s="20" t="n">
        <f aca="false">IF(B80=0,1,IF(UE80&lt;&gt;UE79,UF79+1,UF79))</f>
        <v>8</v>
      </c>
      <c r="UG80" s="20" t="n">
        <f aca="false">IF(AND(C80=1,G80=1,QE80&gt;MAX(PR_Short1,TQ80*PR_Short2)),1,0)</f>
        <v>0</v>
      </c>
      <c r="UH80" s="20" t="n">
        <f aca="false">TR80*TV80</f>
        <v>0</v>
      </c>
      <c r="UI80" s="20" t="n">
        <f aca="false">IF(AND(V80=1,Slot1_PctLow=1),1,0)+IF(AND(AG80=1,Slot2_PctLow=1),1,0)+IF(AND(AQ80=1,Slot3_PctLow=1),1,0)+IF(AND(BA80=1,Slot4_PctLow=1),1,0)+IF(AND(BK80=1,Slot5_PctLow=1),1,0)+IF(AND(BU80=1,Slot6_PctLow=1),1,0)+IF(AND(CE80=1,Slot7_PctLow=1),1,0)+IF(AND(CO80=1,Slot8_PctLow=1),1,0)+IF(AND(CY80=1,Slot9_PctLow=1),1,0)+IF(AND(DI80=1,Slot10_PctLow=1),1,0)+IF(AND(DS80=1,Slot11_PctLow=1),1,0)+IF(AND(EC80=1,Slot12_PctLow=1),1,0)+IF(AND(EM80=1,Slot13_PctLow=1),1,0)+IF(AND(EW80=1,Slot14_PctLow=1),1,0)+IF(AND(FG80=1,Slot15_PctLow=1),1,0)+IF(AND(FQ80=1,Slot16_PctLow=1),1,0)+IF(AND(GA80=1,Slot17_PctLow=1),1,0)+IF(AND(GK80=1,Slot18_PctLow=1),1,0)+IF(AND(GU80=1,Slot19_PctLow=1),1,0)+IF(AND(HE80=1,Slot20_PctLow=1),1,0)</f>
        <v>0</v>
      </c>
      <c r="UJ80" s="20" t="n">
        <f aca="false">IF(C80=1,IF(OR(TV80=1,UI80&gt;0),1,0),0)</f>
        <v>0</v>
      </c>
      <c r="UK80" s="20" t="n">
        <f aca="false">Z80+AK80+AU80+BE80+BO80+BY80+CI80+CS80+DC80+DM80+DW80+EG80+EQ80+FA80+FK80+FU80+GE80+GO80+GY80+HI80+OM80</f>
        <v>0</v>
      </c>
      <c r="UL80" s="20" t="n">
        <f aca="false">V80*IF(Slot1_SpendLike=1,X80-Y80,IF(Slot1_PotFree=1,X80,0))+AG80*IF(Slot2_SpendLike=1,AI80-AJ80,IF(Slot2_PotFree=1,AI80,0))+AQ80*IF(Slot3_SpendLike=1,AS80-AT80,IF(Slot3_PotFree=1,AS80,0))+BA80*IF(Slot4_SpendLike=1,BC80-BD80,IF(Slot4_PotFree=1,BC80,0))+BK80*IF(Slot5_SpendLike=1,BM80-BN80,IF(Slot5_PotFree=1,BM80,0))+BU80*IF(Slot6_SpendLike=1,BW80-BX80,IF(Slot6_PotFree=1,BW80,0))+CE80*IF(Slot7_SpendLike=1,CG80-CH80,IF(Slot7_PotFree=1,CG80,0))+CO80*IF(Slot8_SpendLike=1,CQ80-CR80,IF(Slot8_PotFree=1,CQ80,0))+CY80*IF(Slot9_SpendLike=1,DA80-DB80,IF(Slot9_PotFree=1,DA80,0))+DI80*IF(Slot10_SpendLike=1,DK80-DL80,IF(Slot10_PotFree=1,DK80,0))+DS80*IF(Slot11_SpendLike=1,DU80-DV80,IF(Slot11_PotFree=1,DU80,0))+EC80*IF(Slot12_SpendLike=1,EE80-EF80,IF(Slot12_PotFree=1,EE80,0))+EM80*IF(Slot13_SpendLike=1,EO80-EP80,IF(Slot13_PotFree=1,EO80,0))+EW80*IF(Slot14_SpendLike=1,EY80-EZ80,IF(Slot14_PotFree=1,EY80,0))+FG80*IF(Slot15_SpendLike=1,FI80-FJ80,IF(Slot15_PotFree=1,FI80,0))+FQ80*IF(Slot16_SpendLike=1,FS80-FT80,IF(Slot16_PotFree=1,FS80,0))+GA80*IF(Slot17_SpendLike=1,GC80-GD80,IF(Slot17_PotFree=1,GC80,0))+GK80*IF(Slot18_SpendLike=1,GM80-GN80,IF(Slot18_PotFree=1,GM80,0))+GU80*IF(Slot19_SpendLike=1,GW80-GX80,IF(Slot19_PotFree=1,GW80,0))+HE80*IF(Slot20_SpendLike=1,HG80-HH80,IF(Slot20_PotFree=1,HG80,0))</f>
        <v>0</v>
      </c>
      <c r="UM80" s="20" t="n">
        <f aca="false">QG80-T80+UK80-UL80</f>
        <v>0</v>
      </c>
      <c r="UN80" s="20" t="n">
        <f aca="false">IF(OR(UN79=1,AND(In_homeUse="Yes, I'd downsize",In_downAge&gt;0,D80=In_downAge,OR(In_home="Own outright",In_home="Own with mortgage"),In_homeValue&gt;0)),1,0)</f>
        <v>0</v>
      </c>
    </row>
    <row r="81" customFormat="false" ht="15" hidden="false" customHeight="true" outlineLevel="0" collapsed="false">
      <c r="B81" s="20" t="n">
        <v>73</v>
      </c>
      <c r="C81" s="20" t="n">
        <f aca="false">IF(B81&lt;=F_N,1,0)</f>
        <v>0</v>
      </c>
      <c r="D81" s="20" t="n">
        <f aca="false">'Plan pay &amp; tax'!C307</f>
        <v>111</v>
      </c>
      <c r="E81" s="20" t="str">
        <f aca="false">IF($C81=1,"Income tax "&amp;TEXT(N('Plan pay &amp; tax'!BK307),"#,##0")&amp;"; USC "&amp;TEXT(N('Plan pay &amp; tax'!BM307)+N('Plan pay &amp; tax'!BO307),"#,##0")&amp;"; PRSI "&amp;TEXT(N('Plan pay &amp; tax'!BP307)+N('Plan pay &amp; tax'!BQ307),"#,##0")&amp;IF(N('Plan holdings'!BO81)&gt;=0.5,"; DIRT "&amp;TEXT(('Plan holdings'!BO81)/$F81,"#,##0")&amp;" (already taken from the interest earned)","")&amp;IF(N('Plan holdings'!BP81)&gt;=0.5,"; exit tax at an 8-year anniversary "&amp;TEXT(('Plan holdings'!BP81)/$F81,"#,##0"),"")&amp;IF(N('Plan holdings'!BN81)&gt;=0.5,"; tax on assets sold (exit tax or capital gains tax) "&amp;TEXT(('Plan holdings'!BN81)/$F81,"#,##0"),"")&amp;IF(N('Plan pay &amp; tax'!X307)-N('Plan pay &amp; tax'!Y307)&gt;=0.5,"; tax on the pension lump sum "&amp;TEXT(('Plan pay &amp; tax'!X307-'Plan pay &amp; tax'!Y307)/$F81,"#,##0"),"")&amp;IF(N('Plan pay &amp; tax'!V307)&gt;=0.5,"; chargeable excess tax on the pension "&amp;TEXT(('Plan pay &amp; tax'!V307)/$F81,"#,##0"),"")&amp;".","")</f>
        <v/>
      </c>
      <c r="F81" s="50" t="n">
        <f aca="false">'Plan pay &amp; tax'!E307</f>
        <v>4.24436318255255</v>
      </c>
      <c r="G81" s="20" t="n">
        <f aca="false">'Plan pay &amp; tax'!G307</f>
        <v>0</v>
      </c>
      <c r="H81" s="20" t="n">
        <f aca="false">'Plan pay &amp; tax'!BT307-'Plan pay &amp; tax'!BS307-'Plan pay &amp; tax'!R307</f>
        <v>121110.696345282</v>
      </c>
      <c r="I81" s="20" t="n">
        <f aca="false">IF(G81=1,F_CostsM*12,IF(RG_Exists=1,RG_Amount,F_CostsM*12*AS_RetireSpend))*F81+F_OneOffY*F81</f>
        <v>202880.560126012</v>
      </c>
      <c r="J81" s="20" t="n">
        <f aca="false">IF(UN81=1,0,HR80)</f>
        <v>0</v>
      </c>
      <c r="K81" s="20" t="n">
        <f aca="false">IF(J81&gt;1,'Plan debt months'!AC81,0)</f>
        <v>0</v>
      </c>
      <c r="L81" s="20" t="n">
        <f aca="false">IF(J81&gt;1,'Plan debt months'!AB81,J81)</f>
        <v>0</v>
      </c>
      <c r="M81" s="20" t="n">
        <f aca="false">O80</f>
        <v>0</v>
      </c>
      <c r="N81" s="20" t="n">
        <f aca="false">IF(M81&gt;1,'Plan debt months'!BD81,0)</f>
        <v>0</v>
      </c>
      <c r="O81" s="20" t="n">
        <f aca="false">IF(M81&gt;1,'Plan debt months'!BC81,M81)</f>
        <v>0</v>
      </c>
      <c r="P81" s="20" t="n">
        <f aca="false">R80</f>
        <v>0</v>
      </c>
      <c r="Q81" s="20" t="n">
        <f aca="false">IF(P81&gt;1,'Plan debt months'!CE81,0)</f>
        <v>0</v>
      </c>
      <c r="R81" s="20" t="n">
        <f aca="false">IF(P81&gt;1,'Plan debt months'!CD81,P81)</f>
        <v>0</v>
      </c>
      <c r="S81" s="20" t="n">
        <f aca="false">K81+N81+Q81</f>
        <v>0</v>
      </c>
      <c r="T81" s="57" t="n">
        <f aca="false">'Plan holdings'!Y81</f>
        <v>0</v>
      </c>
      <c r="U81" s="57" t="n">
        <f aca="false">'Plan holdings'!BM80</f>
        <v>0</v>
      </c>
      <c r="V81" s="20" t="n">
        <f aca="false">IF(AND(Slot1_On=1,D81=Slot1_Age),1,0)</f>
        <v>0</v>
      </c>
      <c r="W81" s="20" t="n">
        <f aca="false">IF(AND(Slot1_On=1,Slot1_Age&gt;D81),1,0)</f>
        <v>0</v>
      </c>
      <c r="X81" s="20" t="n">
        <f aca="false">QM80</f>
        <v>0</v>
      </c>
      <c r="Y81" s="20" t="n">
        <f aca="false">V81*MIN(Slot1_Cost,X81)</f>
        <v>0</v>
      </c>
      <c r="Z81" s="20" t="n">
        <f aca="false">V81*Slot1_SpendLike*MIN(Slot1_Cost-Y81,T81)</f>
        <v>0</v>
      </c>
      <c r="AA81" s="20" t="n">
        <f aca="false">Y81+Z81</f>
        <v>0</v>
      </c>
      <c r="AB81" s="20" t="n">
        <f aca="false">T81-Z81+V81*IF(Slot1_SpendLike=1,X81-Y81,IF(Slot1_PotFree=1,X81,0))</f>
        <v>0</v>
      </c>
      <c r="AC81" s="20" t="n">
        <f aca="false">AF81+V81*Slot1_BufPot*X81</f>
        <v>0</v>
      </c>
      <c r="AD81" s="20" t="n">
        <f aca="false">IF(AND(V81=1,Slot1_IsMfree=1),IF(AA81&gt;=Slot1_Cost-1,0,MAX(0,L81-AA81)),L81)</f>
        <v>0</v>
      </c>
      <c r="AE81" s="20" t="n">
        <f aca="false">V81*(Slot1_Cost-AA81)</f>
        <v>0</v>
      </c>
      <c r="AF81" s="20" t="n">
        <f aca="false">QL80</f>
        <v>0</v>
      </c>
      <c r="AG81" s="20" t="n">
        <f aca="false">IF(AND(Slot2_On=1,D81=Slot2_Age),1,0)</f>
        <v>0</v>
      </c>
      <c r="AH81" s="20" t="n">
        <f aca="false">IF(AND(Slot2_On=1,Slot2_Age&gt;D81),1,0)</f>
        <v>0</v>
      </c>
      <c r="AI81" s="20" t="n">
        <f aca="false">QQ80</f>
        <v>0</v>
      </c>
      <c r="AJ81" s="20" t="n">
        <f aca="false">AG81*MIN(Slot2_Cost,AI81)</f>
        <v>0</v>
      </c>
      <c r="AK81" s="20" t="n">
        <f aca="false">AG81*Slot2_SpendLike*MIN(Slot2_Cost-AJ81,AB81)</f>
        <v>0</v>
      </c>
      <c r="AL81" s="20" t="n">
        <f aca="false">AJ81+AK81</f>
        <v>0</v>
      </c>
      <c r="AM81" s="20" t="n">
        <f aca="false">AB81-AK81+AG81*IF(Slot2_SpendLike=1,AI81-AJ81,IF(Slot2_PotFree=1,AI81,0))</f>
        <v>0</v>
      </c>
      <c r="AN81" s="20" t="n">
        <f aca="false">AC81+AG81*Slot2_BufPot*AI81</f>
        <v>0</v>
      </c>
      <c r="AO81" s="20" t="n">
        <f aca="false">IF(AND(AG81=1,Slot2_IsMfree=1),IF(AL81&gt;=Slot2_Cost-1,0,MAX(0,AD81-AL81)),AD81)</f>
        <v>0</v>
      </c>
      <c r="AP81" s="20" t="n">
        <f aca="false">AG81*(Slot2_Cost-AL81)</f>
        <v>0</v>
      </c>
      <c r="AQ81" s="20" t="n">
        <f aca="false">IF(AND(Slot3_On=1,D81=Slot3_Age),1,0)</f>
        <v>0</v>
      </c>
      <c r="AR81" s="20" t="n">
        <f aca="false">IF(AND(Slot3_On=1,Slot3_Age&gt;D81),1,0)</f>
        <v>0</v>
      </c>
      <c r="AS81" s="20" t="n">
        <f aca="false">QU80</f>
        <v>0</v>
      </c>
      <c r="AT81" s="20" t="n">
        <f aca="false">AQ81*MIN(Slot3_Cost,AS81)</f>
        <v>0</v>
      </c>
      <c r="AU81" s="20" t="n">
        <f aca="false">AQ81*Slot3_SpendLike*MIN(Slot3_Cost-AT81,AM81)</f>
        <v>0</v>
      </c>
      <c r="AV81" s="20" t="n">
        <f aca="false">AT81+AU81</f>
        <v>0</v>
      </c>
      <c r="AW81" s="20" t="n">
        <f aca="false">AM81-AU81+AQ81*IF(Slot3_SpendLike=1,AS81-AT81,IF(Slot3_PotFree=1,AS81,0))</f>
        <v>0</v>
      </c>
      <c r="AX81" s="20" t="n">
        <f aca="false">AN81+AQ81*Slot3_BufPot*AS81</f>
        <v>0</v>
      </c>
      <c r="AY81" s="20" t="n">
        <f aca="false">IF(AND(AQ81=1,Slot3_IsMfree=1),IF(AV81&gt;=Slot3_Cost-1,0,MAX(0,AO81-AV81)),AO81)</f>
        <v>0</v>
      </c>
      <c r="AZ81" s="20" t="n">
        <f aca="false">AQ81*(Slot3_Cost-AV81)</f>
        <v>0</v>
      </c>
      <c r="BA81" s="20" t="n">
        <f aca="false">IF(AND(Slot4_On=1,D81=Slot4_Age),1,0)</f>
        <v>0</v>
      </c>
      <c r="BB81" s="20" t="n">
        <f aca="false">IF(AND(Slot4_On=1,Slot4_Age&gt;D81),1,0)</f>
        <v>0</v>
      </c>
      <c r="BC81" s="20" t="n">
        <f aca="false">QY80</f>
        <v>0</v>
      </c>
      <c r="BD81" s="20" t="n">
        <f aca="false">BA81*MIN(Slot4_Cost,BC81)</f>
        <v>0</v>
      </c>
      <c r="BE81" s="20" t="n">
        <f aca="false">BA81*Slot4_SpendLike*MIN(Slot4_Cost-BD81,AW81)</f>
        <v>0</v>
      </c>
      <c r="BF81" s="20" t="n">
        <f aca="false">BD81+BE81</f>
        <v>0</v>
      </c>
      <c r="BG81" s="20" t="n">
        <f aca="false">AW81-BE81+BA81*IF(Slot4_SpendLike=1,BC81-BD81,IF(Slot4_PotFree=1,BC81,0))</f>
        <v>0</v>
      </c>
      <c r="BH81" s="20" t="n">
        <f aca="false">AX81+BA81*Slot4_BufPot*BC81</f>
        <v>0</v>
      </c>
      <c r="BI81" s="20" t="n">
        <f aca="false">IF(AND(BA81=1,Slot4_IsMfree=1),IF(BF81&gt;=Slot4_Cost-1,0,MAX(0,AY81-BF81)),AY81)</f>
        <v>0</v>
      </c>
      <c r="BJ81" s="20" t="n">
        <f aca="false">BA81*(Slot4_Cost-BF81)</f>
        <v>0</v>
      </c>
      <c r="BK81" s="20" t="n">
        <f aca="false">IF(AND(Slot5_On=1,D81=Slot5_Age),1,0)</f>
        <v>0</v>
      </c>
      <c r="BL81" s="20" t="n">
        <f aca="false">IF(AND(Slot5_On=1,Slot5_Age&gt;D81),1,0)</f>
        <v>0</v>
      </c>
      <c r="BM81" s="20" t="n">
        <f aca="false">RC80</f>
        <v>0</v>
      </c>
      <c r="BN81" s="20" t="n">
        <f aca="false">BK81*MIN(Slot5_Cost,BM81)</f>
        <v>0</v>
      </c>
      <c r="BO81" s="20" t="n">
        <f aca="false">BK81*Slot5_SpendLike*MIN(Slot5_Cost-BN81,BG81)</f>
        <v>0</v>
      </c>
      <c r="BP81" s="20" t="n">
        <f aca="false">BN81+BO81</f>
        <v>0</v>
      </c>
      <c r="BQ81" s="20" t="n">
        <f aca="false">BG81-BO81+BK81*IF(Slot5_SpendLike=1,BM81-BN81,IF(Slot5_PotFree=1,BM81,0))</f>
        <v>0</v>
      </c>
      <c r="BR81" s="20" t="n">
        <f aca="false">BH81+BK81*Slot5_BufPot*BM81</f>
        <v>0</v>
      </c>
      <c r="BS81" s="20" t="n">
        <f aca="false">IF(AND(BK81=1,Slot5_IsMfree=1),IF(BP81&gt;=Slot5_Cost-1,0,MAX(0,BI81-BP81)),BI81)</f>
        <v>0</v>
      </c>
      <c r="BT81" s="20" t="n">
        <f aca="false">BK81*(Slot5_Cost-BP81)</f>
        <v>0</v>
      </c>
      <c r="BU81" s="20" t="n">
        <f aca="false">IF(AND(Slot6_On=1,D81=Slot6_Age),1,0)</f>
        <v>0</v>
      </c>
      <c r="BV81" s="20" t="n">
        <f aca="false">IF(AND(Slot6_On=1,Slot6_Age&gt;D81),1,0)</f>
        <v>0</v>
      </c>
      <c r="BW81" s="20" t="n">
        <f aca="false">RG80</f>
        <v>0</v>
      </c>
      <c r="BX81" s="20" t="n">
        <f aca="false">BU81*MIN(Slot6_Cost,BW81)</f>
        <v>0</v>
      </c>
      <c r="BY81" s="20" t="n">
        <f aca="false">BU81*Slot6_SpendLike*MIN(Slot6_Cost-BX81,BQ81)</f>
        <v>0</v>
      </c>
      <c r="BZ81" s="20" t="n">
        <f aca="false">BX81+BY81</f>
        <v>0</v>
      </c>
      <c r="CA81" s="20" t="n">
        <f aca="false">BQ81-BY81+BU81*IF(Slot6_SpendLike=1,BW81-BX81,IF(Slot6_PotFree=1,BW81,0))</f>
        <v>0</v>
      </c>
      <c r="CB81" s="20" t="n">
        <f aca="false">BR81+BU81*Slot6_BufPot*BW81</f>
        <v>0</v>
      </c>
      <c r="CC81" s="20" t="n">
        <f aca="false">IF(AND(BU81=1,Slot6_IsMfree=1),IF(BZ81&gt;=Slot6_Cost-1,0,MAX(0,BS81-BZ81)),BS81)</f>
        <v>0</v>
      </c>
      <c r="CD81" s="20" t="n">
        <f aca="false">BU81*(Slot6_Cost-BZ81)</f>
        <v>0</v>
      </c>
      <c r="CE81" s="20" t="n">
        <f aca="false">IF(AND(Slot7_On=1,D81=Slot7_Age),1,0)</f>
        <v>0</v>
      </c>
      <c r="CF81" s="20" t="n">
        <f aca="false">IF(AND(Slot7_On=1,Slot7_Age&gt;D81),1,0)</f>
        <v>0</v>
      </c>
      <c r="CG81" s="20" t="n">
        <f aca="false">RK80</f>
        <v>0</v>
      </c>
      <c r="CH81" s="20" t="n">
        <f aca="false">CE81*MIN(Slot7_Cost,CG81)</f>
        <v>0</v>
      </c>
      <c r="CI81" s="20" t="n">
        <f aca="false">CE81*Slot7_SpendLike*MIN(Slot7_Cost-CH81,CA81)</f>
        <v>0</v>
      </c>
      <c r="CJ81" s="20" t="n">
        <f aca="false">CH81+CI81</f>
        <v>0</v>
      </c>
      <c r="CK81" s="20" t="n">
        <f aca="false">CA81-CI81+CE81*IF(Slot7_SpendLike=1,CG81-CH81,IF(Slot7_PotFree=1,CG81,0))</f>
        <v>0</v>
      </c>
      <c r="CL81" s="20" t="n">
        <f aca="false">CB81+CE81*Slot7_BufPot*CG81</f>
        <v>0</v>
      </c>
      <c r="CM81" s="20" t="n">
        <f aca="false">IF(AND(CE81=1,Slot7_IsMfree=1),IF(CJ81&gt;=Slot7_Cost-1,0,MAX(0,CC81-CJ81)),CC81)</f>
        <v>0</v>
      </c>
      <c r="CN81" s="20" t="n">
        <f aca="false">CE81*(Slot7_Cost-CJ81)</f>
        <v>0</v>
      </c>
      <c r="CO81" s="20" t="n">
        <f aca="false">IF(AND(Slot8_On=1,D81=Slot8_Age),1,0)</f>
        <v>0</v>
      </c>
      <c r="CP81" s="20" t="n">
        <f aca="false">IF(AND(Slot8_On=1,Slot8_Age&gt;D81),1,0)</f>
        <v>0</v>
      </c>
      <c r="CQ81" s="20" t="n">
        <f aca="false">RO80</f>
        <v>0</v>
      </c>
      <c r="CR81" s="20" t="n">
        <f aca="false">CO81*MIN(Slot8_Cost,CQ81)</f>
        <v>0</v>
      </c>
      <c r="CS81" s="20" t="n">
        <f aca="false">CO81*Slot8_SpendLike*MIN(Slot8_Cost-CR81,CK81)</f>
        <v>0</v>
      </c>
      <c r="CT81" s="20" t="n">
        <f aca="false">CR81+CS81</f>
        <v>0</v>
      </c>
      <c r="CU81" s="20" t="n">
        <f aca="false">CK81-CS81+CO81*IF(Slot8_SpendLike=1,CQ81-CR81,IF(Slot8_PotFree=1,CQ81,0))</f>
        <v>0</v>
      </c>
      <c r="CV81" s="20" t="n">
        <f aca="false">CL81+CO81*Slot8_BufPot*CQ81</f>
        <v>0</v>
      </c>
      <c r="CW81" s="20" t="n">
        <f aca="false">IF(AND(CO81=1,Slot8_IsMfree=1),IF(CT81&gt;=Slot8_Cost-1,0,MAX(0,CM81-CT81)),CM81)</f>
        <v>0</v>
      </c>
      <c r="CX81" s="20" t="n">
        <f aca="false">CO81*(Slot8_Cost-CT81)</f>
        <v>0</v>
      </c>
      <c r="CY81" s="20" t="n">
        <f aca="false">IF(AND(Slot9_On=1,D81=Slot9_Age),1,0)</f>
        <v>0</v>
      </c>
      <c r="CZ81" s="20" t="n">
        <f aca="false">IF(AND(Slot9_On=1,Slot9_Age&gt;D81),1,0)</f>
        <v>0</v>
      </c>
      <c r="DA81" s="20" t="n">
        <f aca="false">RS80</f>
        <v>0</v>
      </c>
      <c r="DB81" s="20" t="n">
        <f aca="false">CY81*MIN(Slot9_Cost,DA81)</f>
        <v>0</v>
      </c>
      <c r="DC81" s="20" t="n">
        <f aca="false">CY81*Slot9_SpendLike*MIN(Slot9_Cost-DB81,CU81)</f>
        <v>0</v>
      </c>
      <c r="DD81" s="20" t="n">
        <f aca="false">DB81+DC81</f>
        <v>0</v>
      </c>
      <c r="DE81" s="20" t="n">
        <f aca="false">CU81-DC81+CY81*IF(Slot9_SpendLike=1,DA81-DB81,IF(Slot9_PotFree=1,DA81,0))</f>
        <v>0</v>
      </c>
      <c r="DF81" s="20" t="n">
        <f aca="false">CV81+CY81*Slot9_BufPot*DA81</f>
        <v>0</v>
      </c>
      <c r="DG81" s="20" t="n">
        <f aca="false">IF(AND(CY81=1,Slot9_IsMfree=1),IF(DD81&gt;=Slot9_Cost-1,0,MAX(0,CW81-DD81)),CW81)</f>
        <v>0</v>
      </c>
      <c r="DH81" s="20" t="n">
        <f aca="false">CY81*(Slot9_Cost-DD81)</f>
        <v>0</v>
      </c>
      <c r="DI81" s="20" t="n">
        <f aca="false">IF(AND(Slot10_On=1,D81=Slot10_Age),1,0)</f>
        <v>0</v>
      </c>
      <c r="DJ81" s="20" t="n">
        <f aca="false">IF(AND(Slot10_On=1,Slot10_Age&gt;D81),1,0)</f>
        <v>0</v>
      </c>
      <c r="DK81" s="20" t="n">
        <f aca="false">RW80</f>
        <v>0</v>
      </c>
      <c r="DL81" s="20" t="n">
        <f aca="false">DI81*MIN(Slot10_Cost,DK81)</f>
        <v>0</v>
      </c>
      <c r="DM81" s="20" t="n">
        <f aca="false">DI81*Slot10_SpendLike*MIN(Slot10_Cost-DL81,DE81)</f>
        <v>0</v>
      </c>
      <c r="DN81" s="20" t="n">
        <f aca="false">DL81+DM81</f>
        <v>0</v>
      </c>
      <c r="DO81" s="20" t="n">
        <f aca="false">DE81-DM81+DI81*IF(Slot10_SpendLike=1,DK81-DL81,IF(Slot10_PotFree=1,DK81,0))</f>
        <v>0</v>
      </c>
      <c r="DP81" s="20" t="n">
        <f aca="false">DF81+DI81*Slot10_BufPot*DK81</f>
        <v>0</v>
      </c>
      <c r="DQ81" s="20" t="n">
        <f aca="false">IF(AND(DI81=1,Slot10_IsMfree=1),IF(DN81&gt;=Slot10_Cost-1,0,MAX(0,DG81-DN81)),DG81)</f>
        <v>0</v>
      </c>
      <c r="DR81" s="20" t="n">
        <f aca="false">DI81*(Slot10_Cost-DN81)</f>
        <v>0</v>
      </c>
      <c r="DS81" s="20" t="n">
        <f aca="false">IF(AND(Slot11_On=1,D81=Slot11_Age),1,0)</f>
        <v>0</v>
      </c>
      <c r="DT81" s="20" t="n">
        <f aca="false">IF(AND(Slot11_On=1,Slot11_Age&gt;D81),1,0)</f>
        <v>0</v>
      </c>
      <c r="DU81" s="20" t="n">
        <f aca="false">SA80</f>
        <v>0</v>
      </c>
      <c r="DV81" s="20" t="n">
        <f aca="false">DS81*MIN(Slot11_Cost,DU81)</f>
        <v>0</v>
      </c>
      <c r="DW81" s="20" t="n">
        <f aca="false">DS81*Slot11_SpendLike*MIN(Slot11_Cost-DV81,DO81)</f>
        <v>0</v>
      </c>
      <c r="DX81" s="20" t="n">
        <f aca="false">DV81+DW81</f>
        <v>0</v>
      </c>
      <c r="DY81" s="20" t="n">
        <f aca="false">DO81-DW81+DS81*IF(Slot11_SpendLike=1,DU81-DV81,IF(Slot11_PotFree=1,DU81,0))</f>
        <v>0</v>
      </c>
      <c r="DZ81" s="20" t="n">
        <f aca="false">DP81+DS81*Slot11_BufPot*DU81</f>
        <v>0</v>
      </c>
      <c r="EA81" s="20" t="n">
        <f aca="false">IF(AND(DS81=1,Slot11_IsMfree=1),IF(DX81&gt;=Slot11_Cost-1,0,MAX(0,DQ81-DX81)),DQ81)</f>
        <v>0</v>
      </c>
      <c r="EB81" s="20" t="n">
        <f aca="false">DS81*(Slot11_Cost-DX81)</f>
        <v>0</v>
      </c>
      <c r="EC81" s="20" t="n">
        <f aca="false">IF(AND(Slot12_On=1,D81=Slot12_Age),1,0)</f>
        <v>0</v>
      </c>
      <c r="ED81" s="20" t="n">
        <f aca="false">IF(AND(Slot12_On=1,Slot12_Age&gt;D81),1,0)</f>
        <v>0</v>
      </c>
      <c r="EE81" s="20" t="n">
        <f aca="false">SE80</f>
        <v>0</v>
      </c>
      <c r="EF81" s="20" t="n">
        <f aca="false">EC81*MIN(Slot12_Cost,EE81)</f>
        <v>0</v>
      </c>
      <c r="EG81" s="20" t="n">
        <f aca="false">EC81*Slot12_SpendLike*MIN(Slot12_Cost-EF81,DY81)</f>
        <v>0</v>
      </c>
      <c r="EH81" s="20" t="n">
        <f aca="false">EF81+EG81</f>
        <v>0</v>
      </c>
      <c r="EI81" s="20" t="n">
        <f aca="false">DY81-EG81+EC81*IF(Slot12_SpendLike=1,EE81-EF81,IF(Slot12_PotFree=1,EE81,0))</f>
        <v>0</v>
      </c>
      <c r="EJ81" s="20" t="n">
        <f aca="false">DZ81+EC81*Slot12_BufPot*EE81</f>
        <v>0</v>
      </c>
      <c r="EK81" s="20" t="n">
        <f aca="false">IF(AND(EC81=1,Slot12_IsMfree=1),IF(EH81&gt;=Slot12_Cost-1,0,MAX(0,EA81-EH81)),EA81)</f>
        <v>0</v>
      </c>
      <c r="EL81" s="20" t="n">
        <f aca="false">EC81*(Slot12_Cost-EH81)</f>
        <v>0</v>
      </c>
      <c r="EM81" s="20" t="n">
        <f aca="false">IF(AND(Slot13_On=1,D81=Slot13_Age),1,0)</f>
        <v>0</v>
      </c>
      <c r="EN81" s="20" t="n">
        <f aca="false">IF(AND(Slot13_On=1,Slot13_Age&gt;D81),1,0)</f>
        <v>0</v>
      </c>
      <c r="EO81" s="20" t="n">
        <f aca="false">SI80</f>
        <v>0</v>
      </c>
      <c r="EP81" s="20" t="n">
        <f aca="false">EM81*MIN(Slot13_Cost,EO81)</f>
        <v>0</v>
      </c>
      <c r="EQ81" s="20" t="n">
        <f aca="false">EM81*Slot13_SpendLike*MIN(Slot13_Cost-EP81,EI81)</f>
        <v>0</v>
      </c>
      <c r="ER81" s="20" t="n">
        <f aca="false">EP81+EQ81</f>
        <v>0</v>
      </c>
      <c r="ES81" s="20" t="n">
        <f aca="false">EI81-EQ81+EM81*IF(Slot13_SpendLike=1,EO81-EP81,IF(Slot13_PotFree=1,EO81,0))</f>
        <v>0</v>
      </c>
      <c r="ET81" s="20" t="n">
        <f aca="false">EJ81+EM81*Slot13_BufPot*EO81</f>
        <v>0</v>
      </c>
      <c r="EU81" s="20" t="n">
        <f aca="false">IF(AND(EM81=1,Slot13_IsMfree=1),IF(ER81&gt;=Slot13_Cost-1,0,MAX(0,EK81-ER81)),EK81)</f>
        <v>0</v>
      </c>
      <c r="EV81" s="20" t="n">
        <f aca="false">EM81*(Slot13_Cost-ER81)</f>
        <v>0</v>
      </c>
      <c r="EW81" s="20" t="n">
        <f aca="false">IF(AND(Slot14_On=1,D81=Slot14_Age),1,0)</f>
        <v>0</v>
      </c>
      <c r="EX81" s="20" t="n">
        <f aca="false">IF(AND(Slot14_On=1,Slot14_Age&gt;D81),1,0)</f>
        <v>0</v>
      </c>
      <c r="EY81" s="20" t="n">
        <f aca="false">SM80</f>
        <v>0</v>
      </c>
      <c r="EZ81" s="20" t="n">
        <f aca="false">EW81*MIN(Slot14_Cost,EY81)</f>
        <v>0</v>
      </c>
      <c r="FA81" s="20" t="n">
        <f aca="false">EW81*Slot14_SpendLike*MIN(Slot14_Cost-EZ81,ES81)</f>
        <v>0</v>
      </c>
      <c r="FB81" s="20" t="n">
        <f aca="false">EZ81+FA81</f>
        <v>0</v>
      </c>
      <c r="FC81" s="20" t="n">
        <f aca="false">ES81-FA81+EW81*IF(Slot14_SpendLike=1,EY81-EZ81,IF(Slot14_PotFree=1,EY81,0))</f>
        <v>0</v>
      </c>
      <c r="FD81" s="20" t="n">
        <f aca="false">ET81+EW81*Slot14_BufPot*EY81</f>
        <v>0</v>
      </c>
      <c r="FE81" s="20" t="n">
        <f aca="false">IF(AND(EW81=1,Slot14_IsMfree=1),IF(FB81&gt;=Slot14_Cost-1,0,MAX(0,EU81-FB81)),EU81)</f>
        <v>0</v>
      </c>
      <c r="FF81" s="20" t="n">
        <f aca="false">EW81*(Slot14_Cost-FB81)</f>
        <v>0</v>
      </c>
      <c r="FG81" s="20" t="n">
        <f aca="false">IF(AND(Slot15_On=1,D81=Slot15_Age),1,0)</f>
        <v>0</v>
      </c>
      <c r="FH81" s="20" t="n">
        <f aca="false">IF(AND(Slot15_On=1,Slot15_Age&gt;D81),1,0)</f>
        <v>0</v>
      </c>
      <c r="FI81" s="20" t="n">
        <f aca="false">SQ80</f>
        <v>0</v>
      </c>
      <c r="FJ81" s="20" t="n">
        <f aca="false">FG81*MIN(Slot15_Cost,FI81)</f>
        <v>0</v>
      </c>
      <c r="FK81" s="20" t="n">
        <f aca="false">FG81*Slot15_SpendLike*MIN(Slot15_Cost-FJ81,FC81)</f>
        <v>0</v>
      </c>
      <c r="FL81" s="20" t="n">
        <f aca="false">FJ81+FK81</f>
        <v>0</v>
      </c>
      <c r="FM81" s="20" t="n">
        <f aca="false">FC81-FK81+FG81*IF(Slot15_SpendLike=1,FI81-FJ81,IF(Slot15_PotFree=1,FI81,0))</f>
        <v>0</v>
      </c>
      <c r="FN81" s="20" t="n">
        <f aca="false">FD81+FG81*Slot15_BufPot*FI81</f>
        <v>0</v>
      </c>
      <c r="FO81" s="20" t="n">
        <f aca="false">IF(AND(FG81=1,Slot15_IsMfree=1),IF(FL81&gt;=Slot15_Cost-1,0,MAX(0,FE81-FL81)),FE81)</f>
        <v>0</v>
      </c>
      <c r="FP81" s="20" t="n">
        <f aca="false">FG81*(Slot15_Cost-FL81)</f>
        <v>0</v>
      </c>
      <c r="FQ81" s="20" t="n">
        <f aca="false">IF(AND(Slot16_On=1,D81=Slot16_Age),1,0)</f>
        <v>0</v>
      </c>
      <c r="FR81" s="20" t="n">
        <f aca="false">IF(AND(Slot16_On=1,Slot16_Age&gt;D81),1,0)</f>
        <v>0</v>
      </c>
      <c r="FS81" s="20" t="n">
        <f aca="false">SU80</f>
        <v>0</v>
      </c>
      <c r="FT81" s="20" t="n">
        <f aca="false">FQ81*MIN(Slot16_Cost,FS81)</f>
        <v>0</v>
      </c>
      <c r="FU81" s="20" t="n">
        <f aca="false">FQ81*Slot16_SpendLike*MIN(Slot16_Cost-FT81,FM81)</f>
        <v>0</v>
      </c>
      <c r="FV81" s="20" t="n">
        <f aca="false">FT81+FU81</f>
        <v>0</v>
      </c>
      <c r="FW81" s="20" t="n">
        <f aca="false">FM81-FU81+FQ81*IF(Slot16_SpendLike=1,FS81-FT81,IF(Slot16_PotFree=1,FS81,0))</f>
        <v>0</v>
      </c>
      <c r="FX81" s="20" t="n">
        <f aca="false">FN81+FQ81*Slot16_BufPot*FS81</f>
        <v>0</v>
      </c>
      <c r="FY81" s="20" t="n">
        <f aca="false">IF(AND(FQ81=1,Slot16_IsMfree=1),IF(FV81&gt;=Slot16_Cost-1,0,MAX(0,FO81-FV81)),FO81)</f>
        <v>0</v>
      </c>
      <c r="FZ81" s="20" t="n">
        <f aca="false">FQ81*(Slot16_Cost-FV81)</f>
        <v>0</v>
      </c>
      <c r="GA81" s="20" t="n">
        <f aca="false">IF(AND(Slot17_On=1,D81=Slot17_Age),1,0)</f>
        <v>0</v>
      </c>
      <c r="GB81" s="20" t="n">
        <f aca="false">IF(AND(Slot17_On=1,Slot17_Age&gt;D81),1,0)</f>
        <v>0</v>
      </c>
      <c r="GC81" s="20" t="n">
        <f aca="false">SY80</f>
        <v>0</v>
      </c>
      <c r="GD81" s="20" t="n">
        <f aca="false">GA81*MIN(Slot17_Cost,GC81)</f>
        <v>0</v>
      </c>
      <c r="GE81" s="20" t="n">
        <f aca="false">GA81*Slot17_SpendLike*MIN(Slot17_Cost-GD81,FW81)</f>
        <v>0</v>
      </c>
      <c r="GF81" s="20" t="n">
        <f aca="false">GD81+GE81</f>
        <v>0</v>
      </c>
      <c r="GG81" s="20" t="n">
        <f aca="false">FW81-GE81+GA81*IF(Slot17_SpendLike=1,GC81-GD81,IF(Slot17_PotFree=1,GC81,0))</f>
        <v>0</v>
      </c>
      <c r="GH81" s="20" t="n">
        <f aca="false">FX81+GA81*Slot17_BufPot*GC81</f>
        <v>0</v>
      </c>
      <c r="GI81" s="20" t="n">
        <f aca="false">IF(AND(GA81=1,Slot17_IsMfree=1),IF(GF81&gt;=Slot17_Cost-1,0,MAX(0,FY81-GF81)),FY81)</f>
        <v>0</v>
      </c>
      <c r="GJ81" s="20" t="n">
        <f aca="false">GA81*(Slot17_Cost-GF81)</f>
        <v>0</v>
      </c>
      <c r="GK81" s="20" t="n">
        <f aca="false">IF(AND(Slot18_On=1,D81=Slot18_Age),1,0)</f>
        <v>0</v>
      </c>
      <c r="GL81" s="20" t="n">
        <f aca="false">IF(AND(Slot18_On=1,Slot18_Age&gt;D81),1,0)</f>
        <v>0</v>
      </c>
      <c r="GM81" s="20" t="n">
        <f aca="false">TC80</f>
        <v>0</v>
      </c>
      <c r="GN81" s="20" t="n">
        <f aca="false">GK81*MIN(Slot18_Cost,GM81)</f>
        <v>0</v>
      </c>
      <c r="GO81" s="20" t="n">
        <f aca="false">GK81*Slot18_SpendLike*MIN(Slot18_Cost-GN81,GG81)</f>
        <v>0</v>
      </c>
      <c r="GP81" s="20" t="n">
        <f aca="false">GN81+GO81</f>
        <v>0</v>
      </c>
      <c r="GQ81" s="20" t="n">
        <f aca="false">GG81-GO81+GK81*IF(Slot18_SpendLike=1,GM81-GN81,IF(Slot18_PotFree=1,GM81,0))</f>
        <v>0</v>
      </c>
      <c r="GR81" s="20" t="n">
        <f aca="false">GH81+GK81*Slot18_BufPot*GM81</f>
        <v>0</v>
      </c>
      <c r="GS81" s="20" t="n">
        <f aca="false">IF(AND(GK81=1,Slot18_IsMfree=1),IF(GP81&gt;=Slot18_Cost-1,0,MAX(0,GI81-GP81)),GI81)</f>
        <v>0</v>
      </c>
      <c r="GT81" s="20" t="n">
        <f aca="false">GK81*(Slot18_Cost-GP81)</f>
        <v>0</v>
      </c>
      <c r="GU81" s="20" t="n">
        <f aca="false">IF(AND(Slot19_On=1,D81=Slot19_Age),1,0)</f>
        <v>0</v>
      </c>
      <c r="GV81" s="20" t="n">
        <f aca="false">IF(AND(Slot19_On=1,Slot19_Age&gt;D81),1,0)</f>
        <v>0</v>
      </c>
      <c r="GW81" s="20" t="n">
        <f aca="false">TG80</f>
        <v>0</v>
      </c>
      <c r="GX81" s="20" t="n">
        <f aca="false">GU81*MIN(Slot19_Cost,GW81)</f>
        <v>0</v>
      </c>
      <c r="GY81" s="20" t="n">
        <f aca="false">GU81*Slot19_SpendLike*MIN(Slot19_Cost-GX81,GQ81)</f>
        <v>0</v>
      </c>
      <c r="GZ81" s="20" t="n">
        <f aca="false">GX81+GY81</f>
        <v>0</v>
      </c>
      <c r="HA81" s="20" t="n">
        <f aca="false">GQ81-GY81+GU81*IF(Slot19_SpendLike=1,GW81-GX81,IF(Slot19_PotFree=1,GW81,0))</f>
        <v>0</v>
      </c>
      <c r="HB81" s="20" t="n">
        <f aca="false">GR81+GU81*Slot19_BufPot*GW81</f>
        <v>0</v>
      </c>
      <c r="HC81" s="20" t="n">
        <f aca="false">IF(AND(GU81=1,Slot19_IsMfree=1),IF(GZ81&gt;=Slot19_Cost-1,0,MAX(0,GS81-GZ81)),GS81)</f>
        <v>0</v>
      </c>
      <c r="HD81" s="20" t="n">
        <f aca="false">GU81*(Slot19_Cost-GZ81)</f>
        <v>0</v>
      </c>
      <c r="HE81" s="20" t="n">
        <f aca="false">IF(AND(Slot20_On=1,D81=Slot20_Age),1,0)</f>
        <v>0</v>
      </c>
      <c r="HF81" s="20" t="n">
        <f aca="false">IF(AND(Slot20_On=1,Slot20_Age&gt;D81),1,0)</f>
        <v>0</v>
      </c>
      <c r="HG81" s="20" t="n">
        <f aca="false">TK80</f>
        <v>0</v>
      </c>
      <c r="HH81" s="20" t="n">
        <f aca="false">HE81*MIN(Slot20_Cost,HG81)</f>
        <v>0</v>
      </c>
      <c r="HI81" s="20" t="n">
        <f aca="false">HE81*Slot20_SpendLike*MIN(Slot20_Cost-HH81,HA81)</f>
        <v>0</v>
      </c>
      <c r="HJ81" s="20" t="n">
        <f aca="false">HH81+HI81</f>
        <v>0</v>
      </c>
      <c r="HK81" s="20" t="n">
        <f aca="false">HA81-HI81+HE81*IF(Slot20_SpendLike=1,HG81-HH81,IF(Slot20_PotFree=1,HG81,0))</f>
        <v>0</v>
      </c>
      <c r="HL81" s="20" t="n">
        <f aca="false">HB81+HE81*Slot20_BufPot*HG81</f>
        <v>0</v>
      </c>
      <c r="HM81" s="20" t="n">
        <f aca="false">IF(AND(HE81=1,Slot20_IsMfree=1),IF(HJ81&gt;=Slot20_Cost-1,0,MAX(0,HC81-HJ81)),HC81)</f>
        <v>0</v>
      </c>
      <c r="HN81" s="20" t="n">
        <f aca="false">HE81*(Slot20_Cost-HJ81)</f>
        <v>0</v>
      </c>
      <c r="HO81" s="20" t="n">
        <f aca="false">V81*Slot1_SpendLike*AA81+AG81*Slot2_SpendLike*AL81+AQ81*Slot3_SpendLike*AV81+BA81*Slot4_SpendLike*BF81+BK81*Slot5_SpendLike*BP81+BU81*Slot6_SpendLike*BZ81+CE81*Slot7_SpendLike*CJ81+CO81*Slot8_SpendLike*CT81+CY81*Slot9_SpendLike*DD81+DI81*Slot10_SpendLike*DN81+DS81*Slot11_SpendLike*DX81+EC81*Slot12_SpendLike*EH81+EM81*Slot13_SpendLike*ER81+EW81*Slot14_SpendLike*FB81+FG81*Slot15_SpendLike*FL81+FQ81*Slot16_SpendLike*FV81+GA81*Slot17_SpendLike*GF81+GK81*Slot18_SpendLike*GP81+GU81*Slot19_SpendLike*GZ81+HE81*Slot20_SpendLike*HJ81</f>
        <v>0</v>
      </c>
      <c r="HP81" s="20" t="n">
        <f aca="false">AE81+AP81+AZ81+BJ81+BT81+CD81+CN81+CX81+DH81+DR81+EB81+EL81+EV81+FF81+FP81+FZ81+GJ81+GT81+HD81+HN81</f>
        <v>0</v>
      </c>
      <c r="HQ81" s="20" t="n">
        <f aca="false">V81*Slot1_Cost+AG81*Slot2_Cost+AQ81*Slot3_Cost+BA81*Slot4_Cost+BK81*Slot5_Cost+BU81*Slot6_Cost+CE81*Slot7_Cost+CO81*Slot8_Cost+CY81*Slot9_Cost+DI81*Slot10_Cost+DS81*Slot11_Cost+EC81*Slot12_Cost+EM81*Slot13_Cost+EW81*Slot14_Cost+FG81*Slot15_Cost+FQ81*Slot16_Cost+GA81*Slot17_Cost+GK81*Slot18_Cost+GU81*Slot19_Cost+HE81*Slot20_Cost</f>
        <v>0</v>
      </c>
      <c r="HR81" s="20" t="n">
        <f aca="false">HM81</f>
        <v>0</v>
      </c>
      <c r="HS81" s="20" t="n">
        <f aca="false">H81-I81-S81</f>
        <v>-81769.8637807298</v>
      </c>
      <c r="HT81" s="20" t="n">
        <f aca="false">IF(B81=0,IF(AND(Has_q6=1,In_q6=4),PR_ShareVaries*(MAX(0,HS81)/12),MIN(IF(Has_q6=1,CHOOSE(In_q6+1,PR_SaveB1,PR_SaveB2,PR_SaveB3,PR_SaveB4,0),AS_NoAnswer),AS_SaveShare*(MAX(0,HS81)/12))),HT80)</f>
        <v>67.3316893520437</v>
      </c>
      <c r="HU81" s="20" t="n">
        <f aca="false">IF(HS81&gt;=0,1,0)</f>
        <v>0</v>
      </c>
      <c r="HV81" s="20" t="n">
        <f aca="false">MAX(0,HS81/12/F81)</f>
        <v>0</v>
      </c>
      <c r="HW81" s="20" t="n">
        <f aca="false">IF(AND(Has_q6=1,In_q6=4),PR_ShareVaries*(HV81),MIN(IF(Has_q6=1,CHOOSE(In_q6+1,PR_SaveB1,PR_SaveB2,PR_SaveB3,PR_SaveB4,0),AS_NoAnswer),AS_SaveShare*(HV81)))</f>
        <v>0</v>
      </c>
      <c r="HX81" s="20" t="n">
        <f aca="false">IF(Has_saveM=1,IF(In_saveUp="Yes",1,IF(In_saveUp="No",0,IF(In_saveM&gt;=HT81-0.5,1,0))),0)</f>
        <v>0</v>
      </c>
      <c r="HY81" s="20" t="n">
        <f aca="false">IF(Has_saveM=1,MIN(HV81,IF(HX81=1,MAX(In_saveM,HW81),MIN(In_saveM,HW81))),HW81)</f>
        <v>0</v>
      </c>
      <c r="HZ81" s="20" t="n">
        <f aca="false">IF(G81=1,HY81*12*F81,0)</f>
        <v>0</v>
      </c>
      <c r="IA81" s="20" t="n">
        <f aca="false">MAX(0,HZ81+IF(AND(WI_Retire=0,WI_M&lt;0,G81=1),WI_M*12*F81,0))</f>
        <v>0</v>
      </c>
      <c r="IB81" s="20" t="n">
        <f aca="false">Slot1_IsWG*W81+Slot2_IsWG*AH81+Slot3_IsWG*AR81+Slot4_IsWG*BB81+Slot5_IsWG*BL81+Slot6_IsWG*BV81+Slot7_IsWG*CF81+Slot8_IsWG*CP81+Slot9_IsWG*CZ81+Slot10_IsWG*DJ81+Slot11_IsWG*DT81+Slot12_IsWG*ED81+Slot13_IsWG*EN81+Slot14_IsWG*EX81+Slot15_IsWG*FH81+Slot16_IsWG*FR81+Slot17_IsWG*GB81+Slot18_IsWG*GL81+Slot19_IsWG*GV81+Slot20_IsWG*HF81</f>
        <v>0</v>
      </c>
      <c r="IC81" s="20" t="n">
        <f aca="false">IF(AND(WI_Retire=0,WI_M&gt;0,G81=1,IB81&gt;=1),WI_M*12*F81,0)</f>
        <v>0</v>
      </c>
      <c r="ID81" s="20" t="n">
        <f aca="false">IF(HU81=1,MIN(IA81,HS81),0)</f>
        <v>0</v>
      </c>
      <c r="IE81" s="20" t="n">
        <f aca="false">IF(HU81=1,MIN(IC81,HS81-ID81),0)</f>
        <v>0</v>
      </c>
      <c r="IF81" s="20" t="n">
        <f aca="false">IF(W81=1,IF(ABS((1+AS_Wage)/(1+Slot1_Rate)-1)&lt;0.000000000001,(Slot1_Age-D81)*(1+Slot1_Rate)^(Slot1_Age-D81),(1+Slot1_Rate)^(Slot1_Age-D81)*(1-((1+AS_Wage)/(1+Slot1_Rate))^(Slot1_Age-D81))/(1-(1+AS_Wage)/(1+Slot1_Rate))),1)</f>
        <v>1</v>
      </c>
      <c r="IG81" s="20" t="n">
        <f aca="false">IF(AND(HU81=1,IE81&gt;0,Slot1_IsWG=1,W81=1),MAX(0,(Slot1_Cost-X81*(1+Slot1_Rate)^(Slot1_Age-D81))/IF81),0)</f>
        <v>0</v>
      </c>
      <c r="IH81" s="20" t="n">
        <f aca="false">IF(AND(HU81=1,IE81&gt;0,Slot1_IsWG=1,W81=1),MIN(IE81,IG81),0)</f>
        <v>0</v>
      </c>
      <c r="II81" s="20" t="n">
        <f aca="false">X81+IH81</f>
        <v>0</v>
      </c>
      <c r="IJ81" s="20" t="n">
        <f aca="false">IF(W81=1,MAX(0,(Slot1_Cost-II81*(1+Slot1_Rate)^(Slot1_Age-D81))/IF81),0)</f>
        <v>0</v>
      </c>
      <c r="IK81" s="20" t="n">
        <f aca="false">IF(W81=1,MAX(0,(Slot1_Cost-X81*(1+Slot1_Rate)^(Slot1_Age-D81))/IF81),0)</f>
        <v>0</v>
      </c>
      <c r="IL81" s="20" t="n">
        <f aca="false">IF(AND(HU81=1,W81=1),MIN(ID81,IJ81),0)</f>
        <v>0</v>
      </c>
      <c r="IM81" s="20" t="n">
        <f aca="false">ID81-IL81</f>
        <v>0</v>
      </c>
      <c r="IN81" s="20" t="n">
        <f aca="false">IF(AH81=1,IF(ABS((1+AS_Wage)/(1+Slot2_Rate)-1)&lt;0.000000000001,(Slot2_Age-D81)*(1+Slot2_Rate)^(Slot2_Age-D81),(1+Slot2_Rate)^(Slot2_Age-D81)*(1-((1+AS_Wage)/(1+Slot2_Rate))^(Slot2_Age-D81))/(1-(1+AS_Wage)/(1+Slot2_Rate))),1)</f>
        <v>1</v>
      </c>
      <c r="IO81" s="20" t="n">
        <f aca="false">IF(AND(HU81=1,IE81&gt;0,Slot2_IsWG=1,AH81=1),MAX(0,(Slot2_Cost-AI81*(1+Slot2_Rate)^(Slot2_Age-D81))/IN81),0)</f>
        <v>0</v>
      </c>
      <c r="IP81" s="20" t="n">
        <f aca="false">IF(AND(HU81=1,IE81&gt;0,Slot2_IsWG=1,AH81=1),MIN(IE81,IO81),0)</f>
        <v>0</v>
      </c>
      <c r="IQ81" s="20" t="n">
        <f aca="false">AI81+IP81</f>
        <v>0</v>
      </c>
      <c r="IR81" s="20" t="n">
        <f aca="false">IF(AH81=1,MAX(0,(Slot2_Cost-IQ81*(1+Slot2_Rate)^(Slot2_Age-D81))/IN81),0)</f>
        <v>0</v>
      </c>
      <c r="IS81" s="20" t="n">
        <f aca="false">IF(AH81=1,MAX(0,(Slot2_Cost-AI81*(1+Slot2_Rate)^(Slot2_Age-D81))/IN81),0)</f>
        <v>0</v>
      </c>
      <c r="IT81" s="20" t="n">
        <f aca="false">IF(AND(HU81=1,AH81=1),MIN(IM81,IR81),0)</f>
        <v>0</v>
      </c>
      <c r="IU81" s="20" t="n">
        <f aca="false">IM81-IT81</f>
        <v>0</v>
      </c>
      <c r="IV81" s="20" t="n">
        <f aca="false">IF(AR81=1,IF(ABS((1+AS_Wage)/(1+Slot3_Rate)-1)&lt;0.000000000001,(Slot3_Age-D81)*(1+Slot3_Rate)^(Slot3_Age-D81),(1+Slot3_Rate)^(Slot3_Age-D81)*(1-((1+AS_Wage)/(1+Slot3_Rate))^(Slot3_Age-D81))/(1-(1+AS_Wage)/(1+Slot3_Rate))),1)</f>
        <v>1</v>
      </c>
      <c r="IW81" s="20" t="n">
        <f aca="false">IF(AND(HU81=1,IE81&gt;0,Slot3_IsWG=1,AR81=1),MAX(0,(Slot3_Cost-AS81*(1+Slot3_Rate)^(Slot3_Age-D81))/IV81),0)</f>
        <v>0</v>
      </c>
      <c r="IX81" s="20" t="n">
        <f aca="false">IF(AND(HU81=1,IE81&gt;0,Slot3_IsWG=1,AR81=1),MIN(IE81,IW81),0)</f>
        <v>0</v>
      </c>
      <c r="IY81" s="20" t="n">
        <f aca="false">AS81+IX81</f>
        <v>0</v>
      </c>
      <c r="IZ81" s="20" t="n">
        <f aca="false">IF(AR81=1,MAX(0,(Slot3_Cost-IY81*(1+Slot3_Rate)^(Slot3_Age-D81))/IV81),0)</f>
        <v>0</v>
      </c>
      <c r="JA81" s="20" t="n">
        <f aca="false">IF(AR81=1,MAX(0,(Slot3_Cost-AS81*(1+Slot3_Rate)^(Slot3_Age-D81))/IV81),0)</f>
        <v>0</v>
      </c>
      <c r="JB81" s="20" t="n">
        <f aca="false">IF(AND(HU81=1,AR81=1),MIN(IU81,IZ81),0)</f>
        <v>0</v>
      </c>
      <c r="JC81" s="20" t="n">
        <f aca="false">IU81-JB81</f>
        <v>0</v>
      </c>
      <c r="JD81" s="20" t="n">
        <f aca="false">IF(BB81=1,IF(ABS((1+AS_Wage)/(1+Slot4_Rate)-1)&lt;0.000000000001,(Slot4_Age-D81)*(1+Slot4_Rate)^(Slot4_Age-D81),(1+Slot4_Rate)^(Slot4_Age-D81)*(1-((1+AS_Wage)/(1+Slot4_Rate))^(Slot4_Age-D81))/(1-(1+AS_Wage)/(1+Slot4_Rate))),1)</f>
        <v>1</v>
      </c>
      <c r="JE81" s="20" t="n">
        <f aca="false">IF(AND(HU81=1,IE81&gt;0,Slot4_IsWG=1,BB81=1),MAX(0,(Slot4_Cost-BC81*(1+Slot4_Rate)^(Slot4_Age-D81))/JD81),0)</f>
        <v>0</v>
      </c>
      <c r="JF81" s="20" t="n">
        <f aca="false">IF(AND(HU81=1,IE81&gt;0,Slot4_IsWG=1,BB81=1),MIN(IE81,JE81),0)</f>
        <v>0</v>
      </c>
      <c r="JG81" s="20" t="n">
        <f aca="false">BC81+JF81</f>
        <v>0</v>
      </c>
      <c r="JH81" s="20" t="n">
        <f aca="false">IF(BB81=1,MAX(0,(Slot4_Cost-JG81*(1+Slot4_Rate)^(Slot4_Age-D81))/JD81),0)</f>
        <v>0</v>
      </c>
      <c r="JI81" s="20" t="n">
        <f aca="false">IF(BB81=1,MAX(0,(Slot4_Cost-BC81*(1+Slot4_Rate)^(Slot4_Age-D81))/JD81),0)</f>
        <v>0</v>
      </c>
      <c r="JJ81" s="20" t="n">
        <f aca="false">IF(AND(HU81=1,BB81=1),MIN(JC81,JH81),0)</f>
        <v>0</v>
      </c>
      <c r="JK81" s="20" t="n">
        <f aca="false">JC81-JJ81</f>
        <v>0</v>
      </c>
      <c r="JL81" s="20" t="n">
        <f aca="false">IF(BL81=1,IF(ABS((1+AS_Wage)/(1+Slot5_Rate)-1)&lt;0.000000000001,(Slot5_Age-D81)*(1+Slot5_Rate)^(Slot5_Age-D81),(1+Slot5_Rate)^(Slot5_Age-D81)*(1-((1+AS_Wage)/(1+Slot5_Rate))^(Slot5_Age-D81))/(1-(1+AS_Wage)/(1+Slot5_Rate))),1)</f>
        <v>1</v>
      </c>
      <c r="JM81" s="20" t="n">
        <f aca="false">IF(AND(HU81=1,IE81&gt;0,Slot5_IsWG=1,BL81=1),MAX(0,(Slot5_Cost-BM81*(1+Slot5_Rate)^(Slot5_Age-D81))/JL81),0)</f>
        <v>0</v>
      </c>
      <c r="JN81" s="20" t="n">
        <f aca="false">IF(AND(HU81=1,IE81&gt;0,Slot5_IsWG=1,BL81=1),MIN(IE81,JM81),0)</f>
        <v>0</v>
      </c>
      <c r="JO81" s="20" t="n">
        <f aca="false">BM81+JN81</f>
        <v>0</v>
      </c>
      <c r="JP81" s="20" t="n">
        <f aca="false">IF(BL81=1,MAX(0,(Slot5_Cost-JO81*(1+Slot5_Rate)^(Slot5_Age-D81))/JL81),0)</f>
        <v>0</v>
      </c>
      <c r="JQ81" s="20" t="n">
        <f aca="false">IF(BL81=1,MAX(0,(Slot5_Cost-BM81*(1+Slot5_Rate)^(Slot5_Age-D81))/JL81),0)</f>
        <v>0</v>
      </c>
      <c r="JR81" s="20" t="n">
        <f aca="false">IF(AND(HU81=1,BL81=1),MIN(JK81,JP81),0)</f>
        <v>0</v>
      </c>
      <c r="JS81" s="20" t="n">
        <f aca="false">JK81-JR81</f>
        <v>0</v>
      </c>
      <c r="JT81" s="20" t="n">
        <f aca="false">IF(BV81=1,IF(ABS((1+AS_Wage)/(1+Slot6_Rate)-1)&lt;0.000000000001,(Slot6_Age-D81)*(1+Slot6_Rate)^(Slot6_Age-D81),(1+Slot6_Rate)^(Slot6_Age-D81)*(1-((1+AS_Wage)/(1+Slot6_Rate))^(Slot6_Age-D81))/(1-(1+AS_Wage)/(1+Slot6_Rate))),1)</f>
        <v>1</v>
      </c>
      <c r="JU81" s="20" t="n">
        <f aca="false">IF(AND(HU81=1,IE81&gt;0,Slot6_IsWG=1,BV81=1),MAX(0,(Slot6_Cost-BW81*(1+Slot6_Rate)^(Slot6_Age-D81))/JT81),0)</f>
        <v>0</v>
      </c>
      <c r="JV81" s="20" t="n">
        <f aca="false">IF(AND(HU81=1,IE81&gt;0,Slot6_IsWG=1,BV81=1),MIN(IE81,JU81),0)</f>
        <v>0</v>
      </c>
      <c r="JW81" s="20" t="n">
        <f aca="false">BW81+JV81</f>
        <v>0</v>
      </c>
      <c r="JX81" s="20" t="n">
        <f aca="false">IF(BV81=1,MAX(0,(Slot6_Cost-JW81*(1+Slot6_Rate)^(Slot6_Age-D81))/JT81),0)</f>
        <v>0</v>
      </c>
      <c r="JY81" s="20" t="n">
        <f aca="false">IF(BV81=1,MAX(0,(Slot6_Cost-BW81*(1+Slot6_Rate)^(Slot6_Age-D81))/JT81),0)</f>
        <v>0</v>
      </c>
      <c r="JZ81" s="20" t="n">
        <f aca="false">IF(AND(HU81=1,BV81=1),MIN(JS81,JX81),0)</f>
        <v>0</v>
      </c>
      <c r="KA81" s="20" t="n">
        <f aca="false">JS81-JZ81</f>
        <v>0</v>
      </c>
      <c r="KB81" s="20" t="n">
        <f aca="false">IF(CF81=1,IF(ABS((1+AS_Wage)/(1+Slot7_Rate)-1)&lt;0.000000000001,(Slot7_Age-D81)*(1+Slot7_Rate)^(Slot7_Age-D81),(1+Slot7_Rate)^(Slot7_Age-D81)*(1-((1+AS_Wage)/(1+Slot7_Rate))^(Slot7_Age-D81))/(1-(1+AS_Wage)/(1+Slot7_Rate))),1)</f>
        <v>1</v>
      </c>
      <c r="KC81" s="20" t="n">
        <f aca="false">IF(AND(HU81=1,IE81&gt;0,Slot7_IsWG=1,CF81=1),MAX(0,(Slot7_Cost-CG81*(1+Slot7_Rate)^(Slot7_Age-D81))/KB81),0)</f>
        <v>0</v>
      </c>
      <c r="KD81" s="20" t="n">
        <f aca="false">IF(AND(HU81=1,IE81&gt;0,Slot7_IsWG=1,CF81=1),MIN(IE81,KC81),0)</f>
        <v>0</v>
      </c>
      <c r="KE81" s="20" t="n">
        <f aca="false">CG81+KD81</f>
        <v>0</v>
      </c>
      <c r="KF81" s="20" t="n">
        <f aca="false">IF(CF81=1,MAX(0,(Slot7_Cost-KE81*(1+Slot7_Rate)^(Slot7_Age-D81))/KB81),0)</f>
        <v>0</v>
      </c>
      <c r="KG81" s="20" t="n">
        <f aca="false">IF(CF81=1,MAX(0,(Slot7_Cost-CG81*(1+Slot7_Rate)^(Slot7_Age-D81))/KB81),0)</f>
        <v>0</v>
      </c>
      <c r="KH81" s="20" t="n">
        <f aca="false">IF(AND(HU81=1,CF81=1),MIN(KA81,KF81),0)</f>
        <v>0</v>
      </c>
      <c r="KI81" s="20" t="n">
        <f aca="false">KA81-KH81</f>
        <v>0</v>
      </c>
      <c r="KJ81" s="20" t="n">
        <f aca="false">IF(CP81=1,IF(ABS((1+AS_Wage)/(1+Slot8_Rate)-1)&lt;0.000000000001,(Slot8_Age-D81)*(1+Slot8_Rate)^(Slot8_Age-D81),(1+Slot8_Rate)^(Slot8_Age-D81)*(1-((1+AS_Wage)/(1+Slot8_Rate))^(Slot8_Age-D81))/(1-(1+AS_Wage)/(1+Slot8_Rate))),1)</f>
        <v>1</v>
      </c>
      <c r="KK81" s="20" t="n">
        <f aca="false">IF(AND(HU81=1,IE81&gt;0,Slot8_IsWG=1,CP81=1),MAX(0,(Slot8_Cost-CQ81*(1+Slot8_Rate)^(Slot8_Age-D81))/KJ81),0)</f>
        <v>0</v>
      </c>
      <c r="KL81" s="20" t="n">
        <f aca="false">IF(AND(HU81=1,IE81&gt;0,Slot8_IsWG=1,CP81=1),MIN(IE81,KK81),0)</f>
        <v>0</v>
      </c>
      <c r="KM81" s="20" t="n">
        <f aca="false">CQ81+KL81</f>
        <v>0</v>
      </c>
      <c r="KN81" s="20" t="n">
        <f aca="false">IF(CP81=1,MAX(0,(Slot8_Cost-KM81*(1+Slot8_Rate)^(Slot8_Age-D81))/KJ81),0)</f>
        <v>0</v>
      </c>
      <c r="KO81" s="20" t="n">
        <f aca="false">IF(CP81=1,MAX(0,(Slot8_Cost-CQ81*(1+Slot8_Rate)^(Slot8_Age-D81))/KJ81),0)</f>
        <v>0</v>
      </c>
      <c r="KP81" s="20" t="n">
        <f aca="false">IF(AND(HU81=1,CP81=1),MIN(KI81,KN81),0)</f>
        <v>0</v>
      </c>
      <c r="KQ81" s="20" t="n">
        <f aca="false">KI81-KP81</f>
        <v>0</v>
      </c>
      <c r="KR81" s="20" t="n">
        <f aca="false">IF(CZ81=1,IF(ABS((1+AS_Wage)/(1+Slot9_Rate)-1)&lt;0.000000000001,(Slot9_Age-D81)*(1+Slot9_Rate)^(Slot9_Age-D81),(1+Slot9_Rate)^(Slot9_Age-D81)*(1-((1+AS_Wage)/(1+Slot9_Rate))^(Slot9_Age-D81))/(1-(1+AS_Wage)/(1+Slot9_Rate))),1)</f>
        <v>1</v>
      </c>
      <c r="KS81" s="20" t="n">
        <f aca="false">IF(AND(HU81=1,IE81&gt;0,Slot9_IsWG=1,CZ81=1),MAX(0,(Slot9_Cost-DA81*(1+Slot9_Rate)^(Slot9_Age-D81))/KR81),0)</f>
        <v>0</v>
      </c>
      <c r="KT81" s="20" t="n">
        <f aca="false">IF(AND(HU81=1,IE81&gt;0,Slot9_IsWG=1,CZ81=1),MIN(IE81,KS81),0)</f>
        <v>0</v>
      </c>
      <c r="KU81" s="20" t="n">
        <f aca="false">DA81+KT81</f>
        <v>0</v>
      </c>
      <c r="KV81" s="20" t="n">
        <f aca="false">IF(CZ81=1,MAX(0,(Slot9_Cost-KU81*(1+Slot9_Rate)^(Slot9_Age-D81))/KR81),0)</f>
        <v>0</v>
      </c>
      <c r="KW81" s="20" t="n">
        <f aca="false">IF(CZ81=1,MAX(0,(Slot9_Cost-DA81*(1+Slot9_Rate)^(Slot9_Age-D81))/KR81),0)</f>
        <v>0</v>
      </c>
      <c r="KX81" s="20" t="n">
        <f aca="false">IF(AND(HU81=1,CZ81=1),MIN(KQ81,KV81),0)</f>
        <v>0</v>
      </c>
      <c r="KY81" s="20" t="n">
        <f aca="false">KQ81-KX81</f>
        <v>0</v>
      </c>
      <c r="KZ81" s="20" t="n">
        <f aca="false">IF(DJ81=1,IF(ABS((1+AS_Wage)/(1+Slot10_Rate)-1)&lt;0.000000000001,(Slot10_Age-D81)*(1+Slot10_Rate)^(Slot10_Age-D81),(1+Slot10_Rate)^(Slot10_Age-D81)*(1-((1+AS_Wage)/(1+Slot10_Rate))^(Slot10_Age-D81))/(1-(1+AS_Wage)/(1+Slot10_Rate))),1)</f>
        <v>1</v>
      </c>
      <c r="LA81" s="20" t="n">
        <f aca="false">IF(AND(HU81=1,IE81&gt;0,Slot10_IsWG=1,DJ81=1),MAX(0,(Slot10_Cost-DK81*(1+Slot10_Rate)^(Slot10_Age-D81))/KZ81),0)</f>
        <v>0</v>
      </c>
      <c r="LB81" s="20" t="n">
        <f aca="false">IF(AND(HU81=1,IE81&gt;0,Slot10_IsWG=1,DJ81=1),MIN(IE81,LA81),0)</f>
        <v>0</v>
      </c>
      <c r="LC81" s="20" t="n">
        <f aca="false">DK81+LB81</f>
        <v>0</v>
      </c>
      <c r="LD81" s="20" t="n">
        <f aca="false">IF(DJ81=1,MAX(0,(Slot10_Cost-LC81*(1+Slot10_Rate)^(Slot10_Age-D81))/KZ81),0)</f>
        <v>0</v>
      </c>
      <c r="LE81" s="20" t="n">
        <f aca="false">IF(DJ81=1,MAX(0,(Slot10_Cost-DK81*(1+Slot10_Rate)^(Slot10_Age-D81))/KZ81),0)</f>
        <v>0</v>
      </c>
      <c r="LF81" s="20" t="n">
        <f aca="false">IF(AND(HU81=1,DJ81=1),MIN(KY81,LD81),0)</f>
        <v>0</v>
      </c>
      <c r="LG81" s="20" t="n">
        <f aca="false">KY81-LF81</f>
        <v>0</v>
      </c>
      <c r="LH81" s="20" t="n">
        <f aca="false">IF(DT81=1,IF(ABS((1+AS_Wage)/(1+Slot11_Rate)-1)&lt;0.000000000001,(Slot11_Age-D81)*(1+Slot11_Rate)^(Slot11_Age-D81),(1+Slot11_Rate)^(Slot11_Age-D81)*(1-((1+AS_Wage)/(1+Slot11_Rate))^(Slot11_Age-D81))/(1-(1+AS_Wage)/(1+Slot11_Rate))),1)</f>
        <v>1</v>
      </c>
      <c r="LI81" s="20" t="n">
        <f aca="false">IF(AND(HU81=1,IE81&gt;0,Slot11_IsWG=1,DT81=1),MAX(0,(Slot11_Cost-DU81*(1+Slot11_Rate)^(Slot11_Age-D81))/LH81),0)</f>
        <v>0</v>
      </c>
      <c r="LJ81" s="20" t="n">
        <f aca="false">IF(AND(HU81=1,IE81&gt;0,Slot11_IsWG=1,DT81=1),MIN(IE81,LI81),0)</f>
        <v>0</v>
      </c>
      <c r="LK81" s="20" t="n">
        <f aca="false">DU81+LJ81</f>
        <v>0</v>
      </c>
      <c r="LL81" s="20" t="n">
        <f aca="false">IF(DT81=1,MAX(0,(Slot11_Cost-LK81*(1+Slot11_Rate)^(Slot11_Age-D81))/LH81),0)</f>
        <v>0</v>
      </c>
      <c r="LM81" s="20" t="n">
        <f aca="false">IF(DT81=1,MAX(0,(Slot11_Cost-DU81*(1+Slot11_Rate)^(Slot11_Age-D81))/LH81),0)</f>
        <v>0</v>
      </c>
      <c r="LN81" s="20" t="n">
        <f aca="false">IF(AND(HU81=1,DT81=1),MIN(LG81,LL81),0)</f>
        <v>0</v>
      </c>
      <c r="LO81" s="20" t="n">
        <f aca="false">LG81-LN81</f>
        <v>0</v>
      </c>
      <c r="LP81" s="20" t="n">
        <f aca="false">IF(ED81=1,IF(ABS((1+AS_Wage)/(1+Slot12_Rate)-1)&lt;0.000000000001,(Slot12_Age-D81)*(1+Slot12_Rate)^(Slot12_Age-D81),(1+Slot12_Rate)^(Slot12_Age-D81)*(1-((1+AS_Wage)/(1+Slot12_Rate))^(Slot12_Age-D81))/(1-(1+AS_Wage)/(1+Slot12_Rate))),1)</f>
        <v>1</v>
      </c>
      <c r="LQ81" s="20" t="n">
        <f aca="false">IF(AND(HU81=1,IE81&gt;0,Slot12_IsWG=1,ED81=1),MAX(0,(Slot12_Cost-EE81*(1+Slot12_Rate)^(Slot12_Age-D81))/LP81),0)</f>
        <v>0</v>
      </c>
      <c r="LR81" s="20" t="n">
        <f aca="false">IF(AND(HU81=1,IE81&gt;0,Slot12_IsWG=1,ED81=1),MIN(IE81,LQ81),0)</f>
        <v>0</v>
      </c>
      <c r="LS81" s="20" t="n">
        <f aca="false">EE81+LR81</f>
        <v>0</v>
      </c>
      <c r="LT81" s="20" t="n">
        <f aca="false">IF(ED81=1,MAX(0,(Slot12_Cost-LS81*(1+Slot12_Rate)^(Slot12_Age-D81))/LP81),0)</f>
        <v>0</v>
      </c>
      <c r="LU81" s="20" t="n">
        <f aca="false">IF(ED81=1,MAX(0,(Slot12_Cost-EE81*(1+Slot12_Rate)^(Slot12_Age-D81))/LP81),0)</f>
        <v>0</v>
      </c>
      <c r="LV81" s="20" t="n">
        <f aca="false">IF(AND(HU81=1,ED81=1),MIN(LO81,LT81),0)</f>
        <v>0</v>
      </c>
      <c r="LW81" s="20" t="n">
        <f aca="false">LO81-LV81</f>
        <v>0</v>
      </c>
      <c r="LX81" s="20" t="n">
        <f aca="false">IF(EN81=1,IF(ABS((1+AS_Wage)/(1+Slot13_Rate)-1)&lt;0.000000000001,(Slot13_Age-D81)*(1+Slot13_Rate)^(Slot13_Age-D81),(1+Slot13_Rate)^(Slot13_Age-D81)*(1-((1+AS_Wage)/(1+Slot13_Rate))^(Slot13_Age-D81))/(1-(1+AS_Wage)/(1+Slot13_Rate))),1)</f>
        <v>1</v>
      </c>
      <c r="LY81" s="20" t="n">
        <f aca="false">IF(AND(HU81=1,IE81&gt;0,Slot13_IsWG=1,EN81=1),MAX(0,(Slot13_Cost-EO81*(1+Slot13_Rate)^(Slot13_Age-D81))/LX81),0)</f>
        <v>0</v>
      </c>
      <c r="LZ81" s="20" t="n">
        <f aca="false">IF(AND(HU81=1,IE81&gt;0,Slot13_IsWG=1,EN81=1),MIN(IE81,LY81),0)</f>
        <v>0</v>
      </c>
      <c r="MA81" s="20" t="n">
        <f aca="false">EO81+LZ81</f>
        <v>0</v>
      </c>
      <c r="MB81" s="20" t="n">
        <f aca="false">IF(EN81=1,MAX(0,(Slot13_Cost-MA81*(1+Slot13_Rate)^(Slot13_Age-D81))/LX81),0)</f>
        <v>0</v>
      </c>
      <c r="MC81" s="20" t="n">
        <f aca="false">IF(EN81=1,MAX(0,(Slot13_Cost-EO81*(1+Slot13_Rate)^(Slot13_Age-D81))/LX81),0)</f>
        <v>0</v>
      </c>
      <c r="MD81" s="20" t="n">
        <f aca="false">IF(AND(HU81=1,EN81=1),MIN(LW81,MB81),0)</f>
        <v>0</v>
      </c>
      <c r="ME81" s="20" t="n">
        <f aca="false">LW81-MD81</f>
        <v>0</v>
      </c>
      <c r="MF81" s="20" t="n">
        <f aca="false">IF(EX81=1,IF(ABS((1+AS_Wage)/(1+Slot14_Rate)-1)&lt;0.000000000001,(Slot14_Age-D81)*(1+Slot14_Rate)^(Slot14_Age-D81),(1+Slot14_Rate)^(Slot14_Age-D81)*(1-((1+AS_Wage)/(1+Slot14_Rate))^(Slot14_Age-D81))/(1-(1+AS_Wage)/(1+Slot14_Rate))),1)</f>
        <v>1</v>
      </c>
      <c r="MG81" s="20" t="n">
        <f aca="false">IF(AND(HU81=1,IE81&gt;0,Slot14_IsWG=1,EX81=1),MAX(0,(Slot14_Cost-EY81*(1+Slot14_Rate)^(Slot14_Age-D81))/MF81),0)</f>
        <v>0</v>
      </c>
      <c r="MH81" s="20" t="n">
        <f aca="false">IF(AND(HU81=1,IE81&gt;0,Slot14_IsWG=1,EX81=1),MIN(IE81,MG81),0)</f>
        <v>0</v>
      </c>
      <c r="MI81" s="20" t="n">
        <f aca="false">EY81+MH81</f>
        <v>0</v>
      </c>
      <c r="MJ81" s="20" t="n">
        <f aca="false">IF(EX81=1,MAX(0,(Slot14_Cost-MI81*(1+Slot14_Rate)^(Slot14_Age-D81))/MF81),0)</f>
        <v>0</v>
      </c>
      <c r="MK81" s="20" t="n">
        <f aca="false">IF(EX81=1,MAX(0,(Slot14_Cost-EY81*(1+Slot14_Rate)^(Slot14_Age-D81))/MF81),0)</f>
        <v>0</v>
      </c>
      <c r="ML81" s="20" t="n">
        <f aca="false">IF(AND(HU81=1,EX81=1),MIN(ME81,MJ81),0)</f>
        <v>0</v>
      </c>
      <c r="MM81" s="20" t="n">
        <f aca="false">ME81-ML81</f>
        <v>0</v>
      </c>
      <c r="MN81" s="20" t="n">
        <f aca="false">IF(FH81=1,IF(ABS((1+AS_Wage)/(1+Slot15_Rate)-1)&lt;0.000000000001,(Slot15_Age-D81)*(1+Slot15_Rate)^(Slot15_Age-D81),(1+Slot15_Rate)^(Slot15_Age-D81)*(1-((1+AS_Wage)/(1+Slot15_Rate))^(Slot15_Age-D81))/(1-(1+AS_Wage)/(1+Slot15_Rate))),1)</f>
        <v>1</v>
      </c>
      <c r="MO81" s="20" t="n">
        <f aca="false">IF(AND(HU81=1,IE81&gt;0,Slot15_IsWG=1,FH81=1),MAX(0,(Slot15_Cost-FI81*(1+Slot15_Rate)^(Slot15_Age-D81))/MN81),0)</f>
        <v>0</v>
      </c>
      <c r="MP81" s="20" t="n">
        <f aca="false">IF(AND(HU81=1,IE81&gt;0,Slot15_IsWG=1,FH81=1),MIN(IE81,MO81),0)</f>
        <v>0</v>
      </c>
      <c r="MQ81" s="20" t="n">
        <f aca="false">FI81+MP81</f>
        <v>0</v>
      </c>
      <c r="MR81" s="20" t="n">
        <f aca="false">IF(FH81=1,MAX(0,(Slot15_Cost-MQ81*(1+Slot15_Rate)^(Slot15_Age-D81))/MN81),0)</f>
        <v>0</v>
      </c>
      <c r="MS81" s="20" t="n">
        <f aca="false">IF(FH81=1,MAX(0,(Slot15_Cost-FI81*(1+Slot15_Rate)^(Slot15_Age-D81))/MN81),0)</f>
        <v>0</v>
      </c>
      <c r="MT81" s="20" t="n">
        <f aca="false">IF(AND(HU81=1,FH81=1),MIN(MM81,MR81),0)</f>
        <v>0</v>
      </c>
      <c r="MU81" s="20" t="n">
        <f aca="false">MM81-MT81</f>
        <v>0</v>
      </c>
      <c r="MV81" s="20" t="n">
        <f aca="false">IF(FR81=1,IF(ABS((1+AS_Wage)/(1+Slot16_Rate)-1)&lt;0.000000000001,(Slot16_Age-D81)*(1+Slot16_Rate)^(Slot16_Age-D81),(1+Slot16_Rate)^(Slot16_Age-D81)*(1-((1+AS_Wage)/(1+Slot16_Rate))^(Slot16_Age-D81))/(1-(1+AS_Wage)/(1+Slot16_Rate))),1)</f>
        <v>1</v>
      </c>
      <c r="MW81" s="20" t="n">
        <f aca="false">IF(AND(HU81=1,IE81&gt;0,Slot16_IsWG=1,FR81=1),MAX(0,(Slot16_Cost-FS81*(1+Slot16_Rate)^(Slot16_Age-D81))/MV81),0)</f>
        <v>0</v>
      </c>
      <c r="MX81" s="20" t="n">
        <f aca="false">IF(AND(HU81=1,IE81&gt;0,Slot16_IsWG=1,FR81=1),MIN(IE81,MW81),0)</f>
        <v>0</v>
      </c>
      <c r="MY81" s="20" t="n">
        <f aca="false">FS81+MX81</f>
        <v>0</v>
      </c>
      <c r="MZ81" s="20" t="n">
        <f aca="false">IF(FR81=1,MAX(0,(Slot16_Cost-MY81*(1+Slot16_Rate)^(Slot16_Age-D81))/MV81),0)</f>
        <v>0</v>
      </c>
      <c r="NA81" s="20" t="n">
        <f aca="false">IF(FR81=1,MAX(0,(Slot16_Cost-FS81*(1+Slot16_Rate)^(Slot16_Age-D81))/MV81),0)</f>
        <v>0</v>
      </c>
      <c r="NB81" s="20" t="n">
        <f aca="false">IF(AND(HU81=1,FR81=1),MIN(MU81,MZ81),0)</f>
        <v>0</v>
      </c>
      <c r="NC81" s="20" t="n">
        <f aca="false">MU81-NB81</f>
        <v>0</v>
      </c>
      <c r="ND81" s="20" t="n">
        <f aca="false">IF(GB81=1,IF(ABS((1+AS_Wage)/(1+Slot17_Rate)-1)&lt;0.000000000001,(Slot17_Age-D81)*(1+Slot17_Rate)^(Slot17_Age-D81),(1+Slot17_Rate)^(Slot17_Age-D81)*(1-((1+AS_Wage)/(1+Slot17_Rate))^(Slot17_Age-D81))/(1-(1+AS_Wage)/(1+Slot17_Rate))),1)</f>
        <v>1</v>
      </c>
      <c r="NE81" s="20" t="n">
        <f aca="false">IF(AND(HU81=1,IE81&gt;0,Slot17_IsWG=1,GB81=1),MAX(0,(Slot17_Cost-GC81*(1+Slot17_Rate)^(Slot17_Age-D81))/ND81),0)</f>
        <v>0</v>
      </c>
      <c r="NF81" s="20" t="n">
        <f aca="false">IF(AND(HU81=1,IE81&gt;0,Slot17_IsWG=1,GB81=1),MIN(IE81,NE81),0)</f>
        <v>0</v>
      </c>
      <c r="NG81" s="20" t="n">
        <f aca="false">GC81+NF81</f>
        <v>0</v>
      </c>
      <c r="NH81" s="20" t="n">
        <f aca="false">IF(GB81=1,MAX(0,(Slot17_Cost-NG81*(1+Slot17_Rate)^(Slot17_Age-D81))/ND81),0)</f>
        <v>0</v>
      </c>
      <c r="NI81" s="20" t="n">
        <f aca="false">IF(GB81=1,MAX(0,(Slot17_Cost-GC81*(1+Slot17_Rate)^(Slot17_Age-D81))/ND81),0)</f>
        <v>0</v>
      </c>
      <c r="NJ81" s="20" t="n">
        <f aca="false">IF(AND(HU81=1,GB81=1),MIN(NC81,NH81),0)</f>
        <v>0</v>
      </c>
      <c r="NK81" s="20" t="n">
        <f aca="false">NC81-NJ81</f>
        <v>0</v>
      </c>
      <c r="NL81" s="20" t="n">
        <f aca="false">IF(GL81=1,IF(ABS((1+AS_Wage)/(1+Slot18_Rate)-1)&lt;0.000000000001,(Slot18_Age-D81)*(1+Slot18_Rate)^(Slot18_Age-D81),(1+Slot18_Rate)^(Slot18_Age-D81)*(1-((1+AS_Wage)/(1+Slot18_Rate))^(Slot18_Age-D81))/(1-(1+AS_Wage)/(1+Slot18_Rate))),1)</f>
        <v>1</v>
      </c>
      <c r="NM81" s="20" t="n">
        <f aca="false">IF(AND(HU81=1,IE81&gt;0,Slot18_IsWG=1,GL81=1),MAX(0,(Slot18_Cost-GM81*(1+Slot18_Rate)^(Slot18_Age-D81))/NL81),0)</f>
        <v>0</v>
      </c>
      <c r="NN81" s="20" t="n">
        <f aca="false">IF(AND(HU81=1,IE81&gt;0,Slot18_IsWG=1,GL81=1),MIN(IE81,NM81),0)</f>
        <v>0</v>
      </c>
      <c r="NO81" s="20" t="n">
        <f aca="false">GM81+NN81</f>
        <v>0</v>
      </c>
      <c r="NP81" s="20" t="n">
        <f aca="false">IF(GL81=1,MAX(0,(Slot18_Cost-NO81*(1+Slot18_Rate)^(Slot18_Age-D81))/NL81),0)</f>
        <v>0</v>
      </c>
      <c r="NQ81" s="20" t="n">
        <f aca="false">IF(GL81=1,MAX(0,(Slot18_Cost-GM81*(1+Slot18_Rate)^(Slot18_Age-D81))/NL81),0)</f>
        <v>0</v>
      </c>
      <c r="NR81" s="20" t="n">
        <f aca="false">IF(AND(HU81=1,GL81=1),MIN(NK81,NP81),0)</f>
        <v>0</v>
      </c>
      <c r="NS81" s="20" t="n">
        <f aca="false">NK81-NR81</f>
        <v>0</v>
      </c>
      <c r="NT81" s="20" t="n">
        <f aca="false">IF(GV81=1,IF(ABS((1+AS_Wage)/(1+Slot19_Rate)-1)&lt;0.000000000001,(Slot19_Age-D81)*(1+Slot19_Rate)^(Slot19_Age-D81),(1+Slot19_Rate)^(Slot19_Age-D81)*(1-((1+AS_Wage)/(1+Slot19_Rate))^(Slot19_Age-D81))/(1-(1+AS_Wage)/(1+Slot19_Rate))),1)</f>
        <v>1</v>
      </c>
      <c r="NU81" s="20" t="n">
        <f aca="false">IF(AND(HU81=1,IE81&gt;0,Slot19_IsWG=1,GV81=1),MAX(0,(Slot19_Cost-GW81*(1+Slot19_Rate)^(Slot19_Age-D81))/NT81),0)</f>
        <v>0</v>
      </c>
      <c r="NV81" s="20" t="n">
        <f aca="false">IF(AND(HU81=1,IE81&gt;0,Slot19_IsWG=1,GV81=1),MIN(IE81,NU81),0)</f>
        <v>0</v>
      </c>
      <c r="NW81" s="20" t="n">
        <f aca="false">GW81+NV81</f>
        <v>0</v>
      </c>
      <c r="NX81" s="20" t="n">
        <f aca="false">IF(GV81=1,MAX(0,(Slot19_Cost-NW81*(1+Slot19_Rate)^(Slot19_Age-D81))/NT81),0)</f>
        <v>0</v>
      </c>
      <c r="NY81" s="20" t="n">
        <f aca="false">IF(GV81=1,MAX(0,(Slot19_Cost-GW81*(1+Slot19_Rate)^(Slot19_Age-D81))/NT81),0)</f>
        <v>0</v>
      </c>
      <c r="NZ81" s="20" t="n">
        <f aca="false">IF(AND(HU81=1,GV81=1),MIN(NS81,NX81),0)</f>
        <v>0</v>
      </c>
      <c r="OA81" s="20" t="n">
        <f aca="false">NS81-NZ81</f>
        <v>0</v>
      </c>
      <c r="OB81" s="20" t="n">
        <f aca="false">IF(HF81=1,IF(ABS((1+AS_Wage)/(1+Slot20_Rate)-1)&lt;0.000000000001,(Slot20_Age-D81)*(1+Slot20_Rate)^(Slot20_Age-D81),(1+Slot20_Rate)^(Slot20_Age-D81)*(1-((1+AS_Wage)/(1+Slot20_Rate))^(Slot20_Age-D81))/(1-(1+AS_Wage)/(1+Slot20_Rate))),1)</f>
        <v>1</v>
      </c>
      <c r="OC81" s="20" t="n">
        <f aca="false">IF(AND(HU81=1,IE81&gt;0,Slot20_IsWG=1,HF81=1),MAX(0,(Slot20_Cost-HG81*(1+Slot20_Rate)^(Slot20_Age-D81))/OB81),0)</f>
        <v>0</v>
      </c>
      <c r="OD81" s="20" t="n">
        <f aca="false">IF(AND(HU81=1,IE81&gt;0,Slot20_IsWG=1,HF81=1),MIN(IE81,OC81),0)</f>
        <v>0</v>
      </c>
      <c r="OE81" s="20" t="n">
        <f aca="false">HG81+OD81</f>
        <v>0</v>
      </c>
      <c r="OF81" s="20" t="n">
        <f aca="false">IF(HF81=1,MAX(0,(Slot20_Cost-OE81*(1+Slot20_Rate)^(Slot20_Age-D81))/OB81),0)</f>
        <v>0</v>
      </c>
      <c r="OG81" s="20" t="n">
        <f aca="false">IF(HF81=1,MAX(0,(Slot20_Cost-HG81*(1+Slot20_Rate)^(Slot20_Age-D81))/OB81),0)</f>
        <v>0</v>
      </c>
      <c r="OH81" s="20" t="n">
        <f aca="false">IF(AND(HU81=1,HF81=1),MIN(OA81,OF81),0)</f>
        <v>0</v>
      </c>
      <c r="OI81" s="20" t="n">
        <f aca="false">OA81-OH81</f>
        <v>0</v>
      </c>
      <c r="OJ81" s="20" t="n">
        <f aca="false">IE81-(IH81+IP81+IX81+JF81+JN81+JV81+KD81+KL81+KT81+LB81+LJ81+LR81+LZ81+MH81+MP81+MX81+NF81+NN81+NV81+OD81)</f>
        <v>0</v>
      </c>
      <c r="OK81" s="20" t="n">
        <f aca="false">IF(HU81=1,HS81-ID81-IE81,0)</f>
        <v>0</v>
      </c>
      <c r="OL81" s="20" t="n">
        <f aca="false">IF(HU81=0,-HS81,0)</f>
        <v>81769.8637807298</v>
      </c>
      <c r="OM81" s="20" t="n">
        <f aca="false">MIN(OL81,HK81)</f>
        <v>0</v>
      </c>
      <c r="ON81" s="20" t="n">
        <f aca="false">OL81-OM81</f>
        <v>81769.8637807298</v>
      </c>
      <c r="OO81" s="20" t="n">
        <f aca="false">MIN(ON81,HL81)</f>
        <v>0</v>
      </c>
      <c r="OP81" s="20" t="n">
        <f aca="false">ON81-OO81</f>
        <v>81769.8637807298</v>
      </c>
      <c r="OQ81" s="20" t="n">
        <f aca="false">IF(AND(HU81=0,HF81=1,OP81&gt;0),MIN(OP81,HG81),0)</f>
        <v>0</v>
      </c>
      <c r="OR81" s="20" t="n">
        <f aca="false">OP81-OQ81</f>
        <v>81769.8637807298</v>
      </c>
      <c r="OS81" s="20" t="n">
        <f aca="false">IF(AND(HU81=0,GV81=1,OR81&gt;0),MIN(OR81,GW81),0)</f>
        <v>0</v>
      </c>
      <c r="OT81" s="20" t="n">
        <f aca="false">OR81-OS81</f>
        <v>81769.8637807298</v>
      </c>
      <c r="OU81" s="20" t="n">
        <f aca="false">IF(AND(HU81=0,GL81=1,OT81&gt;0),MIN(OT81,GM81),0)</f>
        <v>0</v>
      </c>
      <c r="OV81" s="20" t="n">
        <f aca="false">OT81-OU81</f>
        <v>81769.8637807298</v>
      </c>
      <c r="OW81" s="20" t="n">
        <f aca="false">IF(AND(HU81=0,GB81=1,OV81&gt;0),MIN(OV81,GC81),0)</f>
        <v>0</v>
      </c>
      <c r="OX81" s="20" t="n">
        <f aca="false">OV81-OW81</f>
        <v>81769.8637807298</v>
      </c>
      <c r="OY81" s="20" t="n">
        <f aca="false">IF(AND(HU81=0,FR81=1,OX81&gt;0),MIN(OX81,FS81),0)</f>
        <v>0</v>
      </c>
      <c r="OZ81" s="20" t="n">
        <f aca="false">OX81-OY81</f>
        <v>81769.8637807298</v>
      </c>
      <c r="PA81" s="20" t="n">
        <f aca="false">IF(AND(HU81=0,FH81=1,OZ81&gt;0),MIN(OZ81,FI81),0)</f>
        <v>0</v>
      </c>
      <c r="PB81" s="20" t="n">
        <f aca="false">OZ81-PA81</f>
        <v>81769.8637807298</v>
      </c>
      <c r="PC81" s="20" t="n">
        <f aca="false">IF(AND(HU81=0,EX81=1,PB81&gt;0),MIN(PB81,EY81),0)</f>
        <v>0</v>
      </c>
      <c r="PD81" s="20" t="n">
        <f aca="false">PB81-PC81</f>
        <v>81769.8637807298</v>
      </c>
      <c r="PE81" s="20" t="n">
        <f aca="false">IF(AND(HU81=0,EN81=1,PD81&gt;0),MIN(PD81,EO81),0)</f>
        <v>0</v>
      </c>
      <c r="PF81" s="20" t="n">
        <f aca="false">PD81-PE81</f>
        <v>81769.8637807298</v>
      </c>
      <c r="PG81" s="20" t="n">
        <f aca="false">IF(AND(HU81=0,ED81=1,PF81&gt;0),MIN(PF81,EE81),0)</f>
        <v>0</v>
      </c>
      <c r="PH81" s="20" t="n">
        <f aca="false">PF81-PG81</f>
        <v>81769.8637807298</v>
      </c>
      <c r="PI81" s="20" t="n">
        <f aca="false">IF(AND(HU81=0,DT81=1,PH81&gt;0),MIN(PH81,DU81),0)</f>
        <v>0</v>
      </c>
      <c r="PJ81" s="20" t="n">
        <f aca="false">PH81-PI81</f>
        <v>81769.8637807298</v>
      </c>
      <c r="PK81" s="20" t="n">
        <f aca="false">IF(AND(HU81=0,DJ81=1,PJ81&gt;0),MIN(PJ81,DK81),0)</f>
        <v>0</v>
      </c>
      <c r="PL81" s="20" t="n">
        <f aca="false">PJ81-PK81</f>
        <v>81769.8637807298</v>
      </c>
      <c r="PM81" s="20" t="n">
        <f aca="false">IF(AND(HU81=0,CZ81=1,PL81&gt;0),MIN(PL81,DA81),0)</f>
        <v>0</v>
      </c>
      <c r="PN81" s="20" t="n">
        <f aca="false">PL81-PM81</f>
        <v>81769.8637807298</v>
      </c>
      <c r="PO81" s="20" t="n">
        <f aca="false">IF(AND(HU81=0,CP81=1,PN81&gt;0),MIN(PN81,CQ81),0)</f>
        <v>0</v>
      </c>
      <c r="PP81" s="20" t="n">
        <f aca="false">PN81-PO81</f>
        <v>81769.8637807298</v>
      </c>
      <c r="PQ81" s="20" t="n">
        <f aca="false">IF(AND(HU81=0,CF81=1,PP81&gt;0),MIN(PP81,CG81),0)</f>
        <v>0</v>
      </c>
      <c r="PR81" s="20" t="n">
        <f aca="false">PP81-PQ81</f>
        <v>81769.8637807298</v>
      </c>
      <c r="PS81" s="20" t="n">
        <f aca="false">IF(AND(HU81=0,BV81=1,PR81&gt;0),MIN(PR81,BW81),0)</f>
        <v>0</v>
      </c>
      <c r="PT81" s="20" t="n">
        <f aca="false">PR81-PS81</f>
        <v>81769.8637807298</v>
      </c>
      <c r="PU81" s="20" t="n">
        <f aca="false">IF(AND(HU81=0,BL81=1,PT81&gt;0),MIN(PT81,BM81),0)</f>
        <v>0</v>
      </c>
      <c r="PV81" s="20" t="n">
        <f aca="false">PT81-PU81</f>
        <v>81769.8637807298</v>
      </c>
      <c r="PW81" s="20" t="n">
        <f aca="false">IF(AND(HU81=0,BB81=1,PV81&gt;0),MIN(PV81,BC81),0)</f>
        <v>0</v>
      </c>
      <c r="PX81" s="20" t="n">
        <f aca="false">PV81-PW81</f>
        <v>81769.8637807298</v>
      </c>
      <c r="PY81" s="20" t="n">
        <f aca="false">IF(AND(HU81=0,AR81=1,PX81&gt;0),MIN(PX81,AS81),0)</f>
        <v>0</v>
      </c>
      <c r="PZ81" s="20" t="n">
        <f aca="false">PX81-PY81</f>
        <v>81769.8637807298</v>
      </c>
      <c r="QA81" s="20" t="n">
        <f aca="false">IF(AND(HU81=0,AH81=1,PZ81&gt;0),MIN(PZ81,AI81),0)</f>
        <v>0</v>
      </c>
      <c r="QB81" s="20" t="n">
        <f aca="false">PZ81-QA81</f>
        <v>81769.8637807298</v>
      </c>
      <c r="QC81" s="20" t="n">
        <f aca="false">IF(AND(HU81=0,W81=1,QB81&gt;0),MIN(QB81,X81),0)</f>
        <v>0</v>
      </c>
      <c r="QD81" s="20" t="n">
        <f aca="false">QB81-QC81</f>
        <v>81769.8637807298</v>
      </c>
      <c r="QE81" s="20" t="n">
        <f aca="false">IF(HU81=0,QD81,0)</f>
        <v>81769.8637807298</v>
      </c>
      <c r="QF81" s="20" t="n">
        <f aca="false">OM81+OO81+QC81+QA81+PY81+PW81+PU81+PS81+PQ81+PO81+PM81+PK81+PI81+PG81+PE81+PC81+PA81+OY81+OW81+OU81+OS81+OQ81</f>
        <v>0</v>
      </c>
      <c r="QG81" s="20" t="n">
        <f aca="false">IF(HU81=1,HK81+OJ81+OI81+IF(G81=1,0,OK81),HK81-OM81)</f>
        <v>0</v>
      </c>
      <c r="QH81" s="20" t="n">
        <f aca="false">HL81-OO81</f>
        <v>0</v>
      </c>
      <c r="QI81" s="20" t="n">
        <f aca="false">IF(HU81=1,IF(G81=1,ID81+IE81,HS81),0)</f>
        <v>0</v>
      </c>
      <c r="QJ81" s="20" t="n">
        <f aca="false">IF(HU81=1,IF(G81=1,HS81-ID81-IE81,0),0)</f>
        <v>0</v>
      </c>
      <c r="QK81" s="57" t="n">
        <f aca="false">'Plan holdings'!BM81</f>
        <v>0</v>
      </c>
      <c r="QL81" s="20" t="n">
        <f aca="false">QH81*(1+AS_Cash)</f>
        <v>0</v>
      </c>
      <c r="QM81" s="20" t="n">
        <f aca="false">IF(W81=1,IF(HU81=1,II81+IL81,X81-QC81)*(1+Slot1_Rate),0)</f>
        <v>0</v>
      </c>
      <c r="QN81" s="20" t="n">
        <f aca="false">IF(AND(HU81=1,W81=1),(IH81+IL81)/F81,0)</f>
        <v>0</v>
      </c>
      <c r="QO81" s="20" t="n">
        <f aca="false">IF(B81=0,IH81+IL81,0)</f>
        <v>0</v>
      </c>
      <c r="QP81" s="20" t="n">
        <f aca="false">IF(B81=0,IF(HU81=1,IJ81,IK81),0)</f>
        <v>0</v>
      </c>
      <c r="QQ81" s="20" t="n">
        <f aca="false">IF(AH81=1,IF(HU81=1,IQ81+IT81,AI81-QA81)*(1+Slot2_Rate),0)</f>
        <v>0</v>
      </c>
      <c r="QR81" s="20" t="n">
        <f aca="false">IF(AND(HU81=1,AH81=1),(IP81+IT81)/F81,0)</f>
        <v>0</v>
      </c>
      <c r="QS81" s="20" t="n">
        <f aca="false">IF(B81=0,IP81+IT81,0)</f>
        <v>0</v>
      </c>
      <c r="QT81" s="20" t="n">
        <f aca="false">IF(B81=0,IF(HU81=1,IR81,IS81),0)</f>
        <v>0</v>
      </c>
      <c r="QU81" s="20" t="n">
        <f aca="false">IF(AR81=1,IF(HU81=1,IY81+JB81,AS81-PY81)*(1+Slot3_Rate),0)</f>
        <v>0</v>
      </c>
      <c r="QV81" s="20" t="n">
        <f aca="false">IF(AND(HU81=1,AR81=1),(IX81+JB81)/F81,0)</f>
        <v>0</v>
      </c>
      <c r="QW81" s="20" t="n">
        <f aca="false">IF(B81=0,IX81+JB81,0)</f>
        <v>0</v>
      </c>
      <c r="QX81" s="20" t="n">
        <f aca="false">IF(B81=0,IF(HU81=1,IZ81,JA81),0)</f>
        <v>0</v>
      </c>
      <c r="QY81" s="20" t="n">
        <f aca="false">IF(BB81=1,IF(HU81=1,JG81+JJ81,BC81-PW81)*(1+Slot4_Rate),0)</f>
        <v>0</v>
      </c>
      <c r="QZ81" s="20" t="n">
        <f aca="false">IF(AND(HU81=1,BB81=1),(JF81+JJ81)/F81,0)</f>
        <v>0</v>
      </c>
      <c r="RA81" s="20" t="n">
        <f aca="false">IF(B81=0,JF81+JJ81,0)</f>
        <v>0</v>
      </c>
      <c r="RB81" s="20" t="n">
        <f aca="false">IF(B81=0,IF(HU81=1,JH81,JI81),0)</f>
        <v>0</v>
      </c>
      <c r="RC81" s="20" t="n">
        <f aca="false">IF(BL81=1,IF(HU81=1,JO81+JR81,BM81-PU81)*(1+Slot5_Rate),0)</f>
        <v>0</v>
      </c>
      <c r="RD81" s="20" t="n">
        <f aca="false">IF(AND(HU81=1,BL81=1),(JN81+JR81)/F81,0)</f>
        <v>0</v>
      </c>
      <c r="RE81" s="20" t="n">
        <f aca="false">IF(B81=0,JN81+JR81,0)</f>
        <v>0</v>
      </c>
      <c r="RF81" s="20" t="n">
        <f aca="false">IF(B81=0,IF(HU81=1,JP81,JQ81),0)</f>
        <v>0</v>
      </c>
      <c r="RG81" s="20" t="n">
        <f aca="false">IF(BV81=1,IF(HU81=1,JW81+JZ81,BW81-PS81)*(1+Slot6_Rate),0)</f>
        <v>0</v>
      </c>
      <c r="RH81" s="20" t="n">
        <f aca="false">IF(AND(HU81=1,BV81=1),(JV81+JZ81)/F81,0)</f>
        <v>0</v>
      </c>
      <c r="RI81" s="20" t="n">
        <f aca="false">IF(B81=0,JV81+JZ81,0)</f>
        <v>0</v>
      </c>
      <c r="RJ81" s="20" t="n">
        <f aca="false">IF(B81=0,IF(HU81=1,JX81,JY81),0)</f>
        <v>0</v>
      </c>
      <c r="RK81" s="20" t="n">
        <f aca="false">IF(CF81=1,IF(HU81=1,KE81+KH81,CG81-PQ81)*(1+Slot7_Rate),0)</f>
        <v>0</v>
      </c>
      <c r="RL81" s="20" t="n">
        <f aca="false">IF(AND(HU81=1,CF81=1),(KD81+KH81)/F81,0)</f>
        <v>0</v>
      </c>
      <c r="RM81" s="20" t="n">
        <f aca="false">IF(B81=0,KD81+KH81,0)</f>
        <v>0</v>
      </c>
      <c r="RN81" s="20" t="n">
        <f aca="false">IF(B81=0,IF(HU81=1,KF81,KG81),0)</f>
        <v>0</v>
      </c>
      <c r="RO81" s="20" t="n">
        <f aca="false">IF(CP81=1,IF(HU81=1,KM81+KP81,CQ81-PO81)*(1+Slot8_Rate),0)</f>
        <v>0</v>
      </c>
      <c r="RP81" s="20" t="n">
        <f aca="false">IF(AND(HU81=1,CP81=1),(KL81+KP81)/F81,0)</f>
        <v>0</v>
      </c>
      <c r="RQ81" s="20" t="n">
        <f aca="false">IF(B81=0,KL81+KP81,0)</f>
        <v>0</v>
      </c>
      <c r="RR81" s="20" t="n">
        <f aca="false">IF(B81=0,IF(HU81=1,KN81,KO81),0)</f>
        <v>0</v>
      </c>
      <c r="RS81" s="20" t="n">
        <f aca="false">IF(CZ81=1,IF(HU81=1,KU81+KX81,DA81-PM81)*(1+Slot9_Rate),0)</f>
        <v>0</v>
      </c>
      <c r="RT81" s="20" t="n">
        <f aca="false">IF(AND(HU81=1,CZ81=1),(KT81+KX81)/F81,0)</f>
        <v>0</v>
      </c>
      <c r="RU81" s="20" t="n">
        <f aca="false">IF(B81=0,KT81+KX81,0)</f>
        <v>0</v>
      </c>
      <c r="RV81" s="20" t="n">
        <f aca="false">IF(B81=0,IF(HU81=1,KV81,KW81),0)</f>
        <v>0</v>
      </c>
      <c r="RW81" s="20" t="n">
        <f aca="false">IF(DJ81=1,IF(HU81=1,LC81+LF81,DK81-PK81)*(1+Slot10_Rate),0)</f>
        <v>0</v>
      </c>
      <c r="RX81" s="20" t="n">
        <f aca="false">IF(AND(HU81=1,DJ81=1),(LB81+LF81)/F81,0)</f>
        <v>0</v>
      </c>
      <c r="RY81" s="20" t="n">
        <f aca="false">IF(B81=0,LB81+LF81,0)</f>
        <v>0</v>
      </c>
      <c r="RZ81" s="20" t="n">
        <f aca="false">IF(B81=0,IF(HU81=1,LD81,LE81),0)</f>
        <v>0</v>
      </c>
      <c r="SA81" s="20" t="n">
        <f aca="false">IF(DT81=1,IF(HU81=1,LK81+LN81,DU81-PI81)*(1+Slot11_Rate),0)</f>
        <v>0</v>
      </c>
      <c r="SB81" s="20" t="n">
        <f aca="false">IF(AND(HU81=1,DT81=1),(LJ81+LN81)/F81,0)</f>
        <v>0</v>
      </c>
      <c r="SC81" s="20" t="n">
        <f aca="false">IF(B81=0,LJ81+LN81,0)</f>
        <v>0</v>
      </c>
      <c r="SD81" s="20" t="n">
        <f aca="false">IF(B81=0,IF(HU81=1,LL81,LM81),0)</f>
        <v>0</v>
      </c>
      <c r="SE81" s="20" t="n">
        <f aca="false">IF(ED81=1,IF(HU81=1,LS81+LV81,EE81-PG81)*(1+Slot12_Rate),0)</f>
        <v>0</v>
      </c>
      <c r="SF81" s="20" t="n">
        <f aca="false">IF(AND(HU81=1,ED81=1),(LR81+LV81)/F81,0)</f>
        <v>0</v>
      </c>
      <c r="SG81" s="20" t="n">
        <f aca="false">IF(B81=0,LR81+LV81,0)</f>
        <v>0</v>
      </c>
      <c r="SH81" s="20" t="n">
        <f aca="false">IF(B81=0,IF(HU81=1,LT81,LU81),0)</f>
        <v>0</v>
      </c>
      <c r="SI81" s="20" t="n">
        <f aca="false">IF(EN81=1,IF(HU81=1,MA81+MD81,EO81-PE81)*(1+Slot13_Rate),0)</f>
        <v>0</v>
      </c>
      <c r="SJ81" s="20" t="n">
        <f aca="false">IF(AND(HU81=1,EN81=1),(LZ81+MD81)/F81,0)</f>
        <v>0</v>
      </c>
      <c r="SK81" s="20" t="n">
        <f aca="false">IF(B81=0,LZ81+MD81,0)</f>
        <v>0</v>
      </c>
      <c r="SL81" s="20" t="n">
        <f aca="false">IF(B81=0,IF(HU81=1,MB81,MC81),0)</f>
        <v>0</v>
      </c>
      <c r="SM81" s="20" t="n">
        <f aca="false">IF(EX81=1,IF(HU81=1,MI81+ML81,EY81-PC81)*(1+Slot14_Rate),0)</f>
        <v>0</v>
      </c>
      <c r="SN81" s="20" t="n">
        <f aca="false">IF(AND(HU81=1,EX81=1),(MH81+ML81)/F81,0)</f>
        <v>0</v>
      </c>
      <c r="SO81" s="20" t="n">
        <f aca="false">IF(B81=0,MH81+ML81,0)</f>
        <v>0</v>
      </c>
      <c r="SP81" s="20" t="n">
        <f aca="false">IF(B81=0,IF(HU81=1,MJ81,MK81),0)</f>
        <v>0</v>
      </c>
      <c r="SQ81" s="20" t="n">
        <f aca="false">IF(FH81=1,IF(HU81=1,MQ81+MT81,FI81-PA81)*(1+Slot15_Rate),0)</f>
        <v>0</v>
      </c>
      <c r="SR81" s="20" t="n">
        <f aca="false">IF(AND(HU81=1,FH81=1),(MP81+MT81)/F81,0)</f>
        <v>0</v>
      </c>
      <c r="SS81" s="20" t="n">
        <f aca="false">IF(B81=0,MP81+MT81,0)</f>
        <v>0</v>
      </c>
      <c r="ST81" s="20" t="n">
        <f aca="false">IF(B81=0,IF(HU81=1,MR81,MS81),0)</f>
        <v>0</v>
      </c>
      <c r="SU81" s="20" t="n">
        <f aca="false">IF(FR81=1,IF(HU81=1,MY81+NB81,FS81-OY81)*(1+Slot16_Rate),0)</f>
        <v>0</v>
      </c>
      <c r="SV81" s="20" t="n">
        <f aca="false">IF(AND(HU81=1,FR81=1),(MX81+NB81)/F81,0)</f>
        <v>0</v>
      </c>
      <c r="SW81" s="20" t="n">
        <f aca="false">IF(B81=0,MX81+NB81,0)</f>
        <v>0</v>
      </c>
      <c r="SX81" s="20" t="n">
        <f aca="false">IF(B81=0,IF(HU81=1,MZ81,NA81),0)</f>
        <v>0</v>
      </c>
      <c r="SY81" s="20" t="n">
        <f aca="false">IF(GB81=1,IF(HU81=1,NG81+NJ81,GC81-OW81)*(1+Slot17_Rate),0)</f>
        <v>0</v>
      </c>
      <c r="SZ81" s="20" t="n">
        <f aca="false">IF(AND(HU81=1,GB81=1),(NF81+NJ81)/F81,0)</f>
        <v>0</v>
      </c>
      <c r="TA81" s="20" t="n">
        <f aca="false">IF(B81=0,NF81+NJ81,0)</f>
        <v>0</v>
      </c>
      <c r="TB81" s="20" t="n">
        <f aca="false">IF(B81=0,IF(HU81=1,NH81,NI81),0)</f>
        <v>0</v>
      </c>
      <c r="TC81" s="20" t="n">
        <f aca="false">IF(GL81=1,IF(HU81=1,NO81+NR81,GM81-OU81)*(1+Slot18_Rate),0)</f>
        <v>0</v>
      </c>
      <c r="TD81" s="20" t="n">
        <f aca="false">IF(AND(HU81=1,GL81=1),(NN81+NR81)/F81,0)</f>
        <v>0</v>
      </c>
      <c r="TE81" s="20" t="n">
        <f aca="false">IF(B81=0,NN81+NR81,0)</f>
        <v>0</v>
      </c>
      <c r="TF81" s="20" t="n">
        <f aca="false">IF(B81=0,IF(HU81=1,NP81,NQ81),0)</f>
        <v>0</v>
      </c>
      <c r="TG81" s="20" t="n">
        <f aca="false">IF(GV81=1,IF(HU81=1,NW81+NZ81,GW81-OS81)*(1+Slot19_Rate),0)</f>
        <v>0</v>
      </c>
      <c r="TH81" s="20" t="n">
        <f aca="false">IF(AND(HU81=1,GV81=1),(NV81+NZ81)/F81,0)</f>
        <v>0</v>
      </c>
      <c r="TI81" s="20" t="n">
        <f aca="false">IF(B81=0,NV81+NZ81,0)</f>
        <v>0</v>
      </c>
      <c r="TJ81" s="20" t="n">
        <f aca="false">IF(B81=0,IF(HU81=1,NX81,NY81),0)</f>
        <v>0</v>
      </c>
      <c r="TK81" s="20" t="n">
        <f aca="false">IF(HF81=1,IF(HU81=1,OE81+OH81,HG81-OQ81)*(1+Slot20_Rate),0)</f>
        <v>0</v>
      </c>
      <c r="TL81" s="20" t="n">
        <f aca="false">IF(AND(HU81=1,HF81=1),(OD81+OH81)/F81,0)</f>
        <v>0</v>
      </c>
      <c r="TM81" s="20" t="n">
        <f aca="false">IF(B81=0,OD81+OH81,0)</f>
        <v>0</v>
      </c>
      <c r="TN81" s="20" t="n">
        <f aca="false">IF(B81=0,IF(HU81=1,OF81,OG81),0)</f>
        <v>0</v>
      </c>
      <c r="TO81" s="20" t="n">
        <f aca="false">QK81+QL81+QM81+QQ81+QU81+QY81+RC81+RG81+RK81+RO81+RS81+RW81+SA81+SE81+SI81+SM81+SQ81+SU81+SY81+TC81+TG81+TK81</f>
        <v>0</v>
      </c>
      <c r="TP81" s="20" t="n">
        <f aca="false">QE81+HP81</f>
        <v>81769.8637807298</v>
      </c>
      <c r="TQ81" s="20" t="n">
        <f aca="false">I81+S81</f>
        <v>202880.560126012</v>
      </c>
      <c r="TR81" s="20" t="n">
        <f aca="false">1-G81</f>
        <v>1</v>
      </c>
      <c r="TS81" s="20" t="n">
        <f aca="false">IF(AND(RG_Exists=1,G81=0,C81=1),I81,0)</f>
        <v>0</v>
      </c>
      <c r="TT81" s="20" t="n">
        <f aca="false">IF(AND(RG_Exists=1,G81=0,C81=1),I81-MIN(QE81,I81),0)</f>
        <v>0</v>
      </c>
      <c r="TU81" s="20" t="n">
        <f aca="false">'Plan pay &amp; tax'!AD307</f>
        <v>0</v>
      </c>
      <c r="TV81" s="20" t="n">
        <f aca="false">IF(AND(C81=1,QE81&gt;MAX(PR_Short1,TQ81*PR_Short2)),1,0)</f>
        <v>0</v>
      </c>
      <c r="TW81" s="20" t="n">
        <f aca="false">MIN(H81,I81+S81)</f>
        <v>121110.696345282</v>
      </c>
      <c r="TX81" s="20" t="n">
        <f aca="false">QF81+MAX(0,HQ81-HP81)</f>
        <v>0</v>
      </c>
      <c r="TY81" s="20" t="n">
        <f aca="false">QE81+HP81</f>
        <v>81769.8637807298</v>
      </c>
      <c r="TZ81" s="20" t="n">
        <f aca="false">IF(AND(C81=1,TY81&gt;PR_MinShort),1,0)</f>
        <v>0</v>
      </c>
      <c r="UA81" s="20" t="n">
        <f aca="false">IF(AND(C81=1,TZ81=0,TX81&gt;PR_MinShort),1,0)</f>
        <v>0</v>
      </c>
      <c r="UB81" s="20" t="n">
        <f aca="false">IF(AND(C81=1,QE81&gt;PR_MinShort),1,0)</f>
        <v>0</v>
      </c>
      <c r="UC81" s="20" t="n">
        <f aca="false">IF(AND(C81=1,QF81&gt;1,UJ81=0),1,0)</f>
        <v>0</v>
      </c>
      <c r="UD81" s="20" t="str">
        <f aca="false">IF(C81=0,"",IF(UJ81=1,"Gap to plan for: short "&amp;"€"&amp;TEXT(ROUND(TP81,0),"#,##0"),IF(QF81&gt;1,"Using savings","Comfortable")))</f>
        <v/>
      </c>
      <c r="UE81" s="20" t="n">
        <f aca="false">IF(AND(INT(D81/10)*10=90,B81&gt;0),80,INT(D81/10)*10)</f>
        <v>110</v>
      </c>
      <c r="UF81" s="20" t="n">
        <f aca="false">IF(B81=0,1,IF(UE81&lt;&gt;UE80,UF80+1,UF80))</f>
        <v>8</v>
      </c>
      <c r="UG81" s="20" t="n">
        <f aca="false">IF(AND(C81=1,G81=1,QE81&gt;MAX(PR_Short1,TQ81*PR_Short2)),1,0)</f>
        <v>0</v>
      </c>
      <c r="UH81" s="20" t="n">
        <f aca="false">TR81*TV81</f>
        <v>0</v>
      </c>
      <c r="UI81" s="20" t="n">
        <f aca="false">IF(AND(V81=1,Slot1_PctLow=1),1,0)+IF(AND(AG81=1,Slot2_PctLow=1),1,0)+IF(AND(AQ81=1,Slot3_PctLow=1),1,0)+IF(AND(BA81=1,Slot4_PctLow=1),1,0)+IF(AND(BK81=1,Slot5_PctLow=1),1,0)+IF(AND(BU81=1,Slot6_PctLow=1),1,0)+IF(AND(CE81=1,Slot7_PctLow=1),1,0)+IF(AND(CO81=1,Slot8_PctLow=1),1,0)+IF(AND(CY81=1,Slot9_PctLow=1),1,0)+IF(AND(DI81=1,Slot10_PctLow=1),1,0)+IF(AND(DS81=1,Slot11_PctLow=1),1,0)+IF(AND(EC81=1,Slot12_PctLow=1),1,0)+IF(AND(EM81=1,Slot13_PctLow=1),1,0)+IF(AND(EW81=1,Slot14_PctLow=1),1,0)+IF(AND(FG81=1,Slot15_PctLow=1),1,0)+IF(AND(FQ81=1,Slot16_PctLow=1),1,0)+IF(AND(GA81=1,Slot17_PctLow=1),1,0)+IF(AND(GK81=1,Slot18_PctLow=1),1,0)+IF(AND(GU81=1,Slot19_PctLow=1),1,0)+IF(AND(HE81=1,Slot20_PctLow=1),1,0)</f>
        <v>0</v>
      </c>
      <c r="UJ81" s="20" t="n">
        <f aca="false">IF(C81=1,IF(OR(TV81=1,UI81&gt;0),1,0),0)</f>
        <v>0</v>
      </c>
      <c r="UK81" s="20" t="n">
        <f aca="false">Z81+AK81+AU81+BE81+BO81+BY81+CI81+CS81+DC81+DM81+DW81+EG81+EQ81+FA81+FK81+FU81+GE81+GO81+GY81+HI81+OM81</f>
        <v>0</v>
      </c>
      <c r="UL81" s="20" t="n">
        <f aca="false">V81*IF(Slot1_SpendLike=1,X81-Y81,IF(Slot1_PotFree=1,X81,0))+AG81*IF(Slot2_SpendLike=1,AI81-AJ81,IF(Slot2_PotFree=1,AI81,0))+AQ81*IF(Slot3_SpendLike=1,AS81-AT81,IF(Slot3_PotFree=1,AS81,0))+BA81*IF(Slot4_SpendLike=1,BC81-BD81,IF(Slot4_PotFree=1,BC81,0))+BK81*IF(Slot5_SpendLike=1,BM81-BN81,IF(Slot5_PotFree=1,BM81,0))+BU81*IF(Slot6_SpendLike=1,BW81-BX81,IF(Slot6_PotFree=1,BW81,0))+CE81*IF(Slot7_SpendLike=1,CG81-CH81,IF(Slot7_PotFree=1,CG81,0))+CO81*IF(Slot8_SpendLike=1,CQ81-CR81,IF(Slot8_PotFree=1,CQ81,0))+CY81*IF(Slot9_SpendLike=1,DA81-DB81,IF(Slot9_PotFree=1,DA81,0))+DI81*IF(Slot10_SpendLike=1,DK81-DL81,IF(Slot10_PotFree=1,DK81,0))+DS81*IF(Slot11_SpendLike=1,DU81-DV81,IF(Slot11_PotFree=1,DU81,0))+EC81*IF(Slot12_SpendLike=1,EE81-EF81,IF(Slot12_PotFree=1,EE81,0))+EM81*IF(Slot13_SpendLike=1,EO81-EP81,IF(Slot13_PotFree=1,EO81,0))+EW81*IF(Slot14_SpendLike=1,EY81-EZ81,IF(Slot14_PotFree=1,EY81,0))+FG81*IF(Slot15_SpendLike=1,FI81-FJ81,IF(Slot15_PotFree=1,FI81,0))+FQ81*IF(Slot16_SpendLike=1,FS81-FT81,IF(Slot16_PotFree=1,FS81,0))+GA81*IF(Slot17_SpendLike=1,GC81-GD81,IF(Slot17_PotFree=1,GC81,0))+GK81*IF(Slot18_SpendLike=1,GM81-GN81,IF(Slot18_PotFree=1,GM81,0))+GU81*IF(Slot19_SpendLike=1,GW81-GX81,IF(Slot19_PotFree=1,GW81,0))+HE81*IF(Slot20_SpendLike=1,HG81-HH81,IF(Slot20_PotFree=1,HG81,0))</f>
        <v>0</v>
      </c>
      <c r="UM81" s="20" t="n">
        <f aca="false">QG81-T81+UK81-UL81</f>
        <v>0</v>
      </c>
      <c r="UN81" s="20" t="n">
        <f aca="false">IF(OR(UN80=1,AND(In_homeUse="Yes, I'd downsize",In_downAge&gt;0,D81=In_downAge,OR(In_home="Own outright",In_home="Own with mortgage"),In_homeValue&gt;0)),1,0)</f>
        <v>0</v>
      </c>
    </row>
    <row r="82" customFormat="false" ht="15" hidden="false" customHeight="true" outlineLevel="0" collapsed="false">
      <c r="B82" s="20" t="n">
        <v>74</v>
      </c>
      <c r="C82" s="20" t="n">
        <f aca="false">IF(B82&lt;=F_N,1,0)</f>
        <v>0</v>
      </c>
      <c r="D82" s="20" t="n">
        <f aca="false">'Plan pay &amp; tax'!C308</f>
        <v>112</v>
      </c>
      <c r="E82" s="20" t="str">
        <f aca="false">IF($C82=1,"Income tax "&amp;TEXT(N('Plan pay &amp; tax'!BK308),"#,##0")&amp;"; USC "&amp;TEXT(N('Plan pay &amp; tax'!BM308)+N('Plan pay &amp; tax'!BO308),"#,##0")&amp;"; PRSI "&amp;TEXT(N('Plan pay &amp; tax'!BP308)+N('Plan pay &amp; tax'!BQ308),"#,##0")&amp;IF(N('Plan holdings'!BO82)&gt;=0.5,"; DIRT "&amp;TEXT(('Plan holdings'!BO82)/$F82,"#,##0")&amp;" (already taken from the interest earned)","")&amp;IF(N('Plan holdings'!BP82)&gt;=0.5,"; exit tax at an 8-year anniversary "&amp;TEXT(('Plan holdings'!BP82)/$F82,"#,##0"),"")&amp;IF(N('Plan holdings'!BN82)&gt;=0.5,"; tax on assets sold (exit tax or capital gains tax) "&amp;TEXT(('Plan holdings'!BN82)/$F82,"#,##0"),"")&amp;IF(N('Plan pay &amp; tax'!X308)-N('Plan pay &amp; tax'!Y308)&gt;=0.5,"; tax on the pension lump sum "&amp;TEXT(('Plan pay &amp; tax'!X308-'Plan pay &amp; tax'!Y308)/$F82,"#,##0"),"")&amp;IF(N('Plan pay &amp; tax'!V308)&gt;=0.5,"; chargeable excess tax on the pension "&amp;TEXT(('Plan pay &amp; tax'!V308)/$F82,"#,##0"),"")&amp;".","")</f>
        <v/>
      </c>
      <c r="F82" s="50" t="n">
        <f aca="false">'Plan pay &amp; tax'!E308</f>
        <v>4.3292504462036</v>
      </c>
      <c r="G82" s="20" t="n">
        <f aca="false">'Plan pay &amp; tax'!G308</f>
        <v>0</v>
      </c>
      <c r="H82" s="20" t="n">
        <f aca="false">'Plan pay &amp; tax'!BT308-'Plan pay &amp; tax'!BS308-'Plan pay &amp; tax'!R308</f>
        <v>123532.910272188</v>
      </c>
      <c r="I82" s="20" t="n">
        <f aca="false">IF(G82=1,F_CostsM*12,IF(RG_Exists=1,RG_Amount,F_CostsM*12*AS_RetireSpend))*F82+F_OneOffY*F82</f>
        <v>206938.171328532</v>
      </c>
      <c r="J82" s="20" t="n">
        <f aca="false">IF(UN82=1,0,HR81)</f>
        <v>0</v>
      </c>
      <c r="K82" s="20" t="n">
        <f aca="false">IF(J82&gt;1,'Plan debt months'!AC82,0)</f>
        <v>0</v>
      </c>
      <c r="L82" s="20" t="n">
        <f aca="false">IF(J82&gt;1,'Plan debt months'!AB82,J82)</f>
        <v>0</v>
      </c>
      <c r="M82" s="20" t="n">
        <f aca="false">O81</f>
        <v>0</v>
      </c>
      <c r="N82" s="20" t="n">
        <f aca="false">IF(M82&gt;1,'Plan debt months'!BD82,0)</f>
        <v>0</v>
      </c>
      <c r="O82" s="20" t="n">
        <f aca="false">IF(M82&gt;1,'Plan debt months'!BC82,M82)</f>
        <v>0</v>
      </c>
      <c r="P82" s="20" t="n">
        <f aca="false">R81</f>
        <v>0</v>
      </c>
      <c r="Q82" s="20" t="n">
        <f aca="false">IF(P82&gt;1,'Plan debt months'!CE82,0)</f>
        <v>0</v>
      </c>
      <c r="R82" s="20" t="n">
        <f aca="false">IF(P82&gt;1,'Plan debt months'!CD82,P82)</f>
        <v>0</v>
      </c>
      <c r="S82" s="20" t="n">
        <f aca="false">K82+N82+Q82</f>
        <v>0</v>
      </c>
      <c r="T82" s="57" t="n">
        <f aca="false">'Plan holdings'!Y82</f>
        <v>0</v>
      </c>
      <c r="U82" s="57" t="n">
        <f aca="false">'Plan holdings'!BM81</f>
        <v>0</v>
      </c>
      <c r="V82" s="20" t="n">
        <f aca="false">IF(AND(Slot1_On=1,D82=Slot1_Age),1,0)</f>
        <v>0</v>
      </c>
      <c r="W82" s="20" t="n">
        <f aca="false">IF(AND(Slot1_On=1,Slot1_Age&gt;D82),1,0)</f>
        <v>0</v>
      </c>
      <c r="X82" s="20" t="n">
        <f aca="false">QM81</f>
        <v>0</v>
      </c>
      <c r="Y82" s="20" t="n">
        <f aca="false">V82*MIN(Slot1_Cost,X82)</f>
        <v>0</v>
      </c>
      <c r="Z82" s="20" t="n">
        <f aca="false">V82*Slot1_SpendLike*MIN(Slot1_Cost-Y82,T82)</f>
        <v>0</v>
      </c>
      <c r="AA82" s="20" t="n">
        <f aca="false">Y82+Z82</f>
        <v>0</v>
      </c>
      <c r="AB82" s="20" t="n">
        <f aca="false">T82-Z82+V82*IF(Slot1_SpendLike=1,X82-Y82,IF(Slot1_PotFree=1,X82,0))</f>
        <v>0</v>
      </c>
      <c r="AC82" s="20" t="n">
        <f aca="false">AF82+V82*Slot1_BufPot*X82</f>
        <v>0</v>
      </c>
      <c r="AD82" s="20" t="n">
        <f aca="false">IF(AND(V82=1,Slot1_IsMfree=1),IF(AA82&gt;=Slot1_Cost-1,0,MAX(0,L82-AA82)),L82)</f>
        <v>0</v>
      </c>
      <c r="AE82" s="20" t="n">
        <f aca="false">V82*(Slot1_Cost-AA82)</f>
        <v>0</v>
      </c>
      <c r="AF82" s="20" t="n">
        <f aca="false">QL81</f>
        <v>0</v>
      </c>
      <c r="AG82" s="20" t="n">
        <f aca="false">IF(AND(Slot2_On=1,D82=Slot2_Age),1,0)</f>
        <v>0</v>
      </c>
      <c r="AH82" s="20" t="n">
        <f aca="false">IF(AND(Slot2_On=1,Slot2_Age&gt;D82),1,0)</f>
        <v>0</v>
      </c>
      <c r="AI82" s="20" t="n">
        <f aca="false">QQ81</f>
        <v>0</v>
      </c>
      <c r="AJ82" s="20" t="n">
        <f aca="false">AG82*MIN(Slot2_Cost,AI82)</f>
        <v>0</v>
      </c>
      <c r="AK82" s="20" t="n">
        <f aca="false">AG82*Slot2_SpendLike*MIN(Slot2_Cost-AJ82,AB82)</f>
        <v>0</v>
      </c>
      <c r="AL82" s="20" t="n">
        <f aca="false">AJ82+AK82</f>
        <v>0</v>
      </c>
      <c r="AM82" s="20" t="n">
        <f aca="false">AB82-AK82+AG82*IF(Slot2_SpendLike=1,AI82-AJ82,IF(Slot2_PotFree=1,AI82,0))</f>
        <v>0</v>
      </c>
      <c r="AN82" s="20" t="n">
        <f aca="false">AC82+AG82*Slot2_BufPot*AI82</f>
        <v>0</v>
      </c>
      <c r="AO82" s="20" t="n">
        <f aca="false">IF(AND(AG82=1,Slot2_IsMfree=1),IF(AL82&gt;=Slot2_Cost-1,0,MAX(0,AD82-AL82)),AD82)</f>
        <v>0</v>
      </c>
      <c r="AP82" s="20" t="n">
        <f aca="false">AG82*(Slot2_Cost-AL82)</f>
        <v>0</v>
      </c>
      <c r="AQ82" s="20" t="n">
        <f aca="false">IF(AND(Slot3_On=1,D82=Slot3_Age),1,0)</f>
        <v>0</v>
      </c>
      <c r="AR82" s="20" t="n">
        <f aca="false">IF(AND(Slot3_On=1,Slot3_Age&gt;D82),1,0)</f>
        <v>0</v>
      </c>
      <c r="AS82" s="20" t="n">
        <f aca="false">QU81</f>
        <v>0</v>
      </c>
      <c r="AT82" s="20" t="n">
        <f aca="false">AQ82*MIN(Slot3_Cost,AS82)</f>
        <v>0</v>
      </c>
      <c r="AU82" s="20" t="n">
        <f aca="false">AQ82*Slot3_SpendLike*MIN(Slot3_Cost-AT82,AM82)</f>
        <v>0</v>
      </c>
      <c r="AV82" s="20" t="n">
        <f aca="false">AT82+AU82</f>
        <v>0</v>
      </c>
      <c r="AW82" s="20" t="n">
        <f aca="false">AM82-AU82+AQ82*IF(Slot3_SpendLike=1,AS82-AT82,IF(Slot3_PotFree=1,AS82,0))</f>
        <v>0</v>
      </c>
      <c r="AX82" s="20" t="n">
        <f aca="false">AN82+AQ82*Slot3_BufPot*AS82</f>
        <v>0</v>
      </c>
      <c r="AY82" s="20" t="n">
        <f aca="false">IF(AND(AQ82=1,Slot3_IsMfree=1),IF(AV82&gt;=Slot3_Cost-1,0,MAX(0,AO82-AV82)),AO82)</f>
        <v>0</v>
      </c>
      <c r="AZ82" s="20" t="n">
        <f aca="false">AQ82*(Slot3_Cost-AV82)</f>
        <v>0</v>
      </c>
      <c r="BA82" s="20" t="n">
        <f aca="false">IF(AND(Slot4_On=1,D82=Slot4_Age),1,0)</f>
        <v>0</v>
      </c>
      <c r="BB82" s="20" t="n">
        <f aca="false">IF(AND(Slot4_On=1,Slot4_Age&gt;D82),1,0)</f>
        <v>0</v>
      </c>
      <c r="BC82" s="20" t="n">
        <f aca="false">QY81</f>
        <v>0</v>
      </c>
      <c r="BD82" s="20" t="n">
        <f aca="false">BA82*MIN(Slot4_Cost,BC82)</f>
        <v>0</v>
      </c>
      <c r="BE82" s="20" t="n">
        <f aca="false">BA82*Slot4_SpendLike*MIN(Slot4_Cost-BD82,AW82)</f>
        <v>0</v>
      </c>
      <c r="BF82" s="20" t="n">
        <f aca="false">BD82+BE82</f>
        <v>0</v>
      </c>
      <c r="BG82" s="20" t="n">
        <f aca="false">AW82-BE82+BA82*IF(Slot4_SpendLike=1,BC82-BD82,IF(Slot4_PotFree=1,BC82,0))</f>
        <v>0</v>
      </c>
      <c r="BH82" s="20" t="n">
        <f aca="false">AX82+BA82*Slot4_BufPot*BC82</f>
        <v>0</v>
      </c>
      <c r="BI82" s="20" t="n">
        <f aca="false">IF(AND(BA82=1,Slot4_IsMfree=1),IF(BF82&gt;=Slot4_Cost-1,0,MAX(0,AY82-BF82)),AY82)</f>
        <v>0</v>
      </c>
      <c r="BJ82" s="20" t="n">
        <f aca="false">BA82*(Slot4_Cost-BF82)</f>
        <v>0</v>
      </c>
      <c r="BK82" s="20" t="n">
        <f aca="false">IF(AND(Slot5_On=1,D82=Slot5_Age),1,0)</f>
        <v>0</v>
      </c>
      <c r="BL82" s="20" t="n">
        <f aca="false">IF(AND(Slot5_On=1,Slot5_Age&gt;D82),1,0)</f>
        <v>0</v>
      </c>
      <c r="BM82" s="20" t="n">
        <f aca="false">RC81</f>
        <v>0</v>
      </c>
      <c r="BN82" s="20" t="n">
        <f aca="false">BK82*MIN(Slot5_Cost,BM82)</f>
        <v>0</v>
      </c>
      <c r="BO82" s="20" t="n">
        <f aca="false">BK82*Slot5_SpendLike*MIN(Slot5_Cost-BN82,BG82)</f>
        <v>0</v>
      </c>
      <c r="BP82" s="20" t="n">
        <f aca="false">BN82+BO82</f>
        <v>0</v>
      </c>
      <c r="BQ82" s="20" t="n">
        <f aca="false">BG82-BO82+BK82*IF(Slot5_SpendLike=1,BM82-BN82,IF(Slot5_PotFree=1,BM82,0))</f>
        <v>0</v>
      </c>
      <c r="BR82" s="20" t="n">
        <f aca="false">BH82+BK82*Slot5_BufPot*BM82</f>
        <v>0</v>
      </c>
      <c r="BS82" s="20" t="n">
        <f aca="false">IF(AND(BK82=1,Slot5_IsMfree=1),IF(BP82&gt;=Slot5_Cost-1,0,MAX(0,BI82-BP82)),BI82)</f>
        <v>0</v>
      </c>
      <c r="BT82" s="20" t="n">
        <f aca="false">BK82*(Slot5_Cost-BP82)</f>
        <v>0</v>
      </c>
      <c r="BU82" s="20" t="n">
        <f aca="false">IF(AND(Slot6_On=1,D82=Slot6_Age),1,0)</f>
        <v>0</v>
      </c>
      <c r="BV82" s="20" t="n">
        <f aca="false">IF(AND(Slot6_On=1,Slot6_Age&gt;D82),1,0)</f>
        <v>0</v>
      </c>
      <c r="BW82" s="20" t="n">
        <f aca="false">RG81</f>
        <v>0</v>
      </c>
      <c r="BX82" s="20" t="n">
        <f aca="false">BU82*MIN(Slot6_Cost,BW82)</f>
        <v>0</v>
      </c>
      <c r="BY82" s="20" t="n">
        <f aca="false">BU82*Slot6_SpendLike*MIN(Slot6_Cost-BX82,BQ82)</f>
        <v>0</v>
      </c>
      <c r="BZ82" s="20" t="n">
        <f aca="false">BX82+BY82</f>
        <v>0</v>
      </c>
      <c r="CA82" s="20" t="n">
        <f aca="false">BQ82-BY82+BU82*IF(Slot6_SpendLike=1,BW82-BX82,IF(Slot6_PotFree=1,BW82,0))</f>
        <v>0</v>
      </c>
      <c r="CB82" s="20" t="n">
        <f aca="false">BR82+BU82*Slot6_BufPot*BW82</f>
        <v>0</v>
      </c>
      <c r="CC82" s="20" t="n">
        <f aca="false">IF(AND(BU82=1,Slot6_IsMfree=1),IF(BZ82&gt;=Slot6_Cost-1,0,MAX(0,BS82-BZ82)),BS82)</f>
        <v>0</v>
      </c>
      <c r="CD82" s="20" t="n">
        <f aca="false">BU82*(Slot6_Cost-BZ82)</f>
        <v>0</v>
      </c>
      <c r="CE82" s="20" t="n">
        <f aca="false">IF(AND(Slot7_On=1,D82=Slot7_Age),1,0)</f>
        <v>0</v>
      </c>
      <c r="CF82" s="20" t="n">
        <f aca="false">IF(AND(Slot7_On=1,Slot7_Age&gt;D82),1,0)</f>
        <v>0</v>
      </c>
      <c r="CG82" s="20" t="n">
        <f aca="false">RK81</f>
        <v>0</v>
      </c>
      <c r="CH82" s="20" t="n">
        <f aca="false">CE82*MIN(Slot7_Cost,CG82)</f>
        <v>0</v>
      </c>
      <c r="CI82" s="20" t="n">
        <f aca="false">CE82*Slot7_SpendLike*MIN(Slot7_Cost-CH82,CA82)</f>
        <v>0</v>
      </c>
      <c r="CJ82" s="20" t="n">
        <f aca="false">CH82+CI82</f>
        <v>0</v>
      </c>
      <c r="CK82" s="20" t="n">
        <f aca="false">CA82-CI82+CE82*IF(Slot7_SpendLike=1,CG82-CH82,IF(Slot7_PotFree=1,CG82,0))</f>
        <v>0</v>
      </c>
      <c r="CL82" s="20" t="n">
        <f aca="false">CB82+CE82*Slot7_BufPot*CG82</f>
        <v>0</v>
      </c>
      <c r="CM82" s="20" t="n">
        <f aca="false">IF(AND(CE82=1,Slot7_IsMfree=1),IF(CJ82&gt;=Slot7_Cost-1,0,MAX(0,CC82-CJ82)),CC82)</f>
        <v>0</v>
      </c>
      <c r="CN82" s="20" t="n">
        <f aca="false">CE82*(Slot7_Cost-CJ82)</f>
        <v>0</v>
      </c>
      <c r="CO82" s="20" t="n">
        <f aca="false">IF(AND(Slot8_On=1,D82=Slot8_Age),1,0)</f>
        <v>0</v>
      </c>
      <c r="CP82" s="20" t="n">
        <f aca="false">IF(AND(Slot8_On=1,Slot8_Age&gt;D82),1,0)</f>
        <v>0</v>
      </c>
      <c r="CQ82" s="20" t="n">
        <f aca="false">RO81</f>
        <v>0</v>
      </c>
      <c r="CR82" s="20" t="n">
        <f aca="false">CO82*MIN(Slot8_Cost,CQ82)</f>
        <v>0</v>
      </c>
      <c r="CS82" s="20" t="n">
        <f aca="false">CO82*Slot8_SpendLike*MIN(Slot8_Cost-CR82,CK82)</f>
        <v>0</v>
      </c>
      <c r="CT82" s="20" t="n">
        <f aca="false">CR82+CS82</f>
        <v>0</v>
      </c>
      <c r="CU82" s="20" t="n">
        <f aca="false">CK82-CS82+CO82*IF(Slot8_SpendLike=1,CQ82-CR82,IF(Slot8_PotFree=1,CQ82,0))</f>
        <v>0</v>
      </c>
      <c r="CV82" s="20" t="n">
        <f aca="false">CL82+CO82*Slot8_BufPot*CQ82</f>
        <v>0</v>
      </c>
      <c r="CW82" s="20" t="n">
        <f aca="false">IF(AND(CO82=1,Slot8_IsMfree=1),IF(CT82&gt;=Slot8_Cost-1,0,MAX(0,CM82-CT82)),CM82)</f>
        <v>0</v>
      </c>
      <c r="CX82" s="20" t="n">
        <f aca="false">CO82*(Slot8_Cost-CT82)</f>
        <v>0</v>
      </c>
      <c r="CY82" s="20" t="n">
        <f aca="false">IF(AND(Slot9_On=1,D82=Slot9_Age),1,0)</f>
        <v>0</v>
      </c>
      <c r="CZ82" s="20" t="n">
        <f aca="false">IF(AND(Slot9_On=1,Slot9_Age&gt;D82),1,0)</f>
        <v>0</v>
      </c>
      <c r="DA82" s="20" t="n">
        <f aca="false">RS81</f>
        <v>0</v>
      </c>
      <c r="DB82" s="20" t="n">
        <f aca="false">CY82*MIN(Slot9_Cost,DA82)</f>
        <v>0</v>
      </c>
      <c r="DC82" s="20" t="n">
        <f aca="false">CY82*Slot9_SpendLike*MIN(Slot9_Cost-DB82,CU82)</f>
        <v>0</v>
      </c>
      <c r="DD82" s="20" t="n">
        <f aca="false">DB82+DC82</f>
        <v>0</v>
      </c>
      <c r="DE82" s="20" t="n">
        <f aca="false">CU82-DC82+CY82*IF(Slot9_SpendLike=1,DA82-DB82,IF(Slot9_PotFree=1,DA82,0))</f>
        <v>0</v>
      </c>
      <c r="DF82" s="20" t="n">
        <f aca="false">CV82+CY82*Slot9_BufPot*DA82</f>
        <v>0</v>
      </c>
      <c r="DG82" s="20" t="n">
        <f aca="false">IF(AND(CY82=1,Slot9_IsMfree=1),IF(DD82&gt;=Slot9_Cost-1,0,MAX(0,CW82-DD82)),CW82)</f>
        <v>0</v>
      </c>
      <c r="DH82" s="20" t="n">
        <f aca="false">CY82*(Slot9_Cost-DD82)</f>
        <v>0</v>
      </c>
      <c r="DI82" s="20" t="n">
        <f aca="false">IF(AND(Slot10_On=1,D82=Slot10_Age),1,0)</f>
        <v>0</v>
      </c>
      <c r="DJ82" s="20" t="n">
        <f aca="false">IF(AND(Slot10_On=1,Slot10_Age&gt;D82),1,0)</f>
        <v>0</v>
      </c>
      <c r="DK82" s="20" t="n">
        <f aca="false">RW81</f>
        <v>0</v>
      </c>
      <c r="DL82" s="20" t="n">
        <f aca="false">DI82*MIN(Slot10_Cost,DK82)</f>
        <v>0</v>
      </c>
      <c r="DM82" s="20" t="n">
        <f aca="false">DI82*Slot10_SpendLike*MIN(Slot10_Cost-DL82,DE82)</f>
        <v>0</v>
      </c>
      <c r="DN82" s="20" t="n">
        <f aca="false">DL82+DM82</f>
        <v>0</v>
      </c>
      <c r="DO82" s="20" t="n">
        <f aca="false">DE82-DM82+DI82*IF(Slot10_SpendLike=1,DK82-DL82,IF(Slot10_PotFree=1,DK82,0))</f>
        <v>0</v>
      </c>
      <c r="DP82" s="20" t="n">
        <f aca="false">DF82+DI82*Slot10_BufPot*DK82</f>
        <v>0</v>
      </c>
      <c r="DQ82" s="20" t="n">
        <f aca="false">IF(AND(DI82=1,Slot10_IsMfree=1),IF(DN82&gt;=Slot10_Cost-1,0,MAX(0,DG82-DN82)),DG82)</f>
        <v>0</v>
      </c>
      <c r="DR82" s="20" t="n">
        <f aca="false">DI82*(Slot10_Cost-DN82)</f>
        <v>0</v>
      </c>
      <c r="DS82" s="20" t="n">
        <f aca="false">IF(AND(Slot11_On=1,D82=Slot11_Age),1,0)</f>
        <v>0</v>
      </c>
      <c r="DT82" s="20" t="n">
        <f aca="false">IF(AND(Slot11_On=1,Slot11_Age&gt;D82),1,0)</f>
        <v>0</v>
      </c>
      <c r="DU82" s="20" t="n">
        <f aca="false">SA81</f>
        <v>0</v>
      </c>
      <c r="DV82" s="20" t="n">
        <f aca="false">DS82*MIN(Slot11_Cost,DU82)</f>
        <v>0</v>
      </c>
      <c r="DW82" s="20" t="n">
        <f aca="false">DS82*Slot11_SpendLike*MIN(Slot11_Cost-DV82,DO82)</f>
        <v>0</v>
      </c>
      <c r="DX82" s="20" t="n">
        <f aca="false">DV82+DW82</f>
        <v>0</v>
      </c>
      <c r="DY82" s="20" t="n">
        <f aca="false">DO82-DW82+DS82*IF(Slot11_SpendLike=1,DU82-DV82,IF(Slot11_PotFree=1,DU82,0))</f>
        <v>0</v>
      </c>
      <c r="DZ82" s="20" t="n">
        <f aca="false">DP82+DS82*Slot11_BufPot*DU82</f>
        <v>0</v>
      </c>
      <c r="EA82" s="20" t="n">
        <f aca="false">IF(AND(DS82=1,Slot11_IsMfree=1),IF(DX82&gt;=Slot11_Cost-1,0,MAX(0,DQ82-DX82)),DQ82)</f>
        <v>0</v>
      </c>
      <c r="EB82" s="20" t="n">
        <f aca="false">DS82*(Slot11_Cost-DX82)</f>
        <v>0</v>
      </c>
      <c r="EC82" s="20" t="n">
        <f aca="false">IF(AND(Slot12_On=1,D82=Slot12_Age),1,0)</f>
        <v>0</v>
      </c>
      <c r="ED82" s="20" t="n">
        <f aca="false">IF(AND(Slot12_On=1,Slot12_Age&gt;D82),1,0)</f>
        <v>0</v>
      </c>
      <c r="EE82" s="20" t="n">
        <f aca="false">SE81</f>
        <v>0</v>
      </c>
      <c r="EF82" s="20" t="n">
        <f aca="false">EC82*MIN(Slot12_Cost,EE82)</f>
        <v>0</v>
      </c>
      <c r="EG82" s="20" t="n">
        <f aca="false">EC82*Slot12_SpendLike*MIN(Slot12_Cost-EF82,DY82)</f>
        <v>0</v>
      </c>
      <c r="EH82" s="20" t="n">
        <f aca="false">EF82+EG82</f>
        <v>0</v>
      </c>
      <c r="EI82" s="20" t="n">
        <f aca="false">DY82-EG82+EC82*IF(Slot12_SpendLike=1,EE82-EF82,IF(Slot12_PotFree=1,EE82,0))</f>
        <v>0</v>
      </c>
      <c r="EJ82" s="20" t="n">
        <f aca="false">DZ82+EC82*Slot12_BufPot*EE82</f>
        <v>0</v>
      </c>
      <c r="EK82" s="20" t="n">
        <f aca="false">IF(AND(EC82=1,Slot12_IsMfree=1),IF(EH82&gt;=Slot12_Cost-1,0,MAX(0,EA82-EH82)),EA82)</f>
        <v>0</v>
      </c>
      <c r="EL82" s="20" t="n">
        <f aca="false">EC82*(Slot12_Cost-EH82)</f>
        <v>0</v>
      </c>
      <c r="EM82" s="20" t="n">
        <f aca="false">IF(AND(Slot13_On=1,D82=Slot13_Age),1,0)</f>
        <v>0</v>
      </c>
      <c r="EN82" s="20" t="n">
        <f aca="false">IF(AND(Slot13_On=1,Slot13_Age&gt;D82),1,0)</f>
        <v>0</v>
      </c>
      <c r="EO82" s="20" t="n">
        <f aca="false">SI81</f>
        <v>0</v>
      </c>
      <c r="EP82" s="20" t="n">
        <f aca="false">EM82*MIN(Slot13_Cost,EO82)</f>
        <v>0</v>
      </c>
      <c r="EQ82" s="20" t="n">
        <f aca="false">EM82*Slot13_SpendLike*MIN(Slot13_Cost-EP82,EI82)</f>
        <v>0</v>
      </c>
      <c r="ER82" s="20" t="n">
        <f aca="false">EP82+EQ82</f>
        <v>0</v>
      </c>
      <c r="ES82" s="20" t="n">
        <f aca="false">EI82-EQ82+EM82*IF(Slot13_SpendLike=1,EO82-EP82,IF(Slot13_PotFree=1,EO82,0))</f>
        <v>0</v>
      </c>
      <c r="ET82" s="20" t="n">
        <f aca="false">EJ82+EM82*Slot13_BufPot*EO82</f>
        <v>0</v>
      </c>
      <c r="EU82" s="20" t="n">
        <f aca="false">IF(AND(EM82=1,Slot13_IsMfree=1),IF(ER82&gt;=Slot13_Cost-1,0,MAX(0,EK82-ER82)),EK82)</f>
        <v>0</v>
      </c>
      <c r="EV82" s="20" t="n">
        <f aca="false">EM82*(Slot13_Cost-ER82)</f>
        <v>0</v>
      </c>
      <c r="EW82" s="20" t="n">
        <f aca="false">IF(AND(Slot14_On=1,D82=Slot14_Age),1,0)</f>
        <v>0</v>
      </c>
      <c r="EX82" s="20" t="n">
        <f aca="false">IF(AND(Slot14_On=1,Slot14_Age&gt;D82),1,0)</f>
        <v>0</v>
      </c>
      <c r="EY82" s="20" t="n">
        <f aca="false">SM81</f>
        <v>0</v>
      </c>
      <c r="EZ82" s="20" t="n">
        <f aca="false">EW82*MIN(Slot14_Cost,EY82)</f>
        <v>0</v>
      </c>
      <c r="FA82" s="20" t="n">
        <f aca="false">EW82*Slot14_SpendLike*MIN(Slot14_Cost-EZ82,ES82)</f>
        <v>0</v>
      </c>
      <c r="FB82" s="20" t="n">
        <f aca="false">EZ82+FA82</f>
        <v>0</v>
      </c>
      <c r="FC82" s="20" t="n">
        <f aca="false">ES82-FA82+EW82*IF(Slot14_SpendLike=1,EY82-EZ82,IF(Slot14_PotFree=1,EY82,0))</f>
        <v>0</v>
      </c>
      <c r="FD82" s="20" t="n">
        <f aca="false">ET82+EW82*Slot14_BufPot*EY82</f>
        <v>0</v>
      </c>
      <c r="FE82" s="20" t="n">
        <f aca="false">IF(AND(EW82=1,Slot14_IsMfree=1),IF(FB82&gt;=Slot14_Cost-1,0,MAX(0,EU82-FB82)),EU82)</f>
        <v>0</v>
      </c>
      <c r="FF82" s="20" t="n">
        <f aca="false">EW82*(Slot14_Cost-FB82)</f>
        <v>0</v>
      </c>
      <c r="FG82" s="20" t="n">
        <f aca="false">IF(AND(Slot15_On=1,D82=Slot15_Age),1,0)</f>
        <v>0</v>
      </c>
      <c r="FH82" s="20" t="n">
        <f aca="false">IF(AND(Slot15_On=1,Slot15_Age&gt;D82),1,0)</f>
        <v>0</v>
      </c>
      <c r="FI82" s="20" t="n">
        <f aca="false">SQ81</f>
        <v>0</v>
      </c>
      <c r="FJ82" s="20" t="n">
        <f aca="false">FG82*MIN(Slot15_Cost,FI82)</f>
        <v>0</v>
      </c>
      <c r="FK82" s="20" t="n">
        <f aca="false">FG82*Slot15_SpendLike*MIN(Slot15_Cost-FJ82,FC82)</f>
        <v>0</v>
      </c>
      <c r="FL82" s="20" t="n">
        <f aca="false">FJ82+FK82</f>
        <v>0</v>
      </c>
      <c r="FM82" s="20" t="n">
        <f aca="false">FC82-FK82+FG82*IF(Slot15_SpendLike=1,FI82-FJ82,IF(Slot15_PotFree=1,FI82,0))</f>
        <v>0</v>
      </c>
      <c r="FN82" s="20" t="n">
        <f aca="false">FD82+FG82*Slot15_BufPot*FI82</f>
        <v>0</v>
      </c>
      <c r="FO82" s="20" t="n">
        <f aca="false">IF(AND(FG82=1,Slot15_IsMfree=1),IF(FL82&gt;=Slot15_Cost-1,0,MAX(0,FE82-FL82)),FE82)</f>
        <v>0</v>
      </c>
      <c r="FP82" s="20" t="n">
        <f aca="false">FG82*(Slot15_Cost-FL82)</f>
        <v>0</v>
      </c>
      <c r="FQ82" s="20" t="n">
        <f aca="false">IF(AND(Slot16_On=1,D82=Slot16_Age),1,0)</f>
        <v>0</v>
      </c>
      <c r="FR82" s="20" t="n">
        <f aca="false">IF(AND(Slot16_On=1,Slot16_Age&gt;D82),1,0)</f>
        <v>0</v>
      </c>
      <c r="FS82" s="20" t="n">
        <f aca="false">SU81</f>
        <v>0</v>
      </c>
      <c r="FT82" s="20" t="n">
        <f aca="false">FQ82*MIN(Slot16_Cost,FS82)</f>
        <v>0</v>
      </c>
      <c r="FU82" s="20" t="n">
        <f aca="false">FQ82*Slot16_SpendLike*MIN(Slot16_Cost-FT82,FM82)</f>
        <v>0</v>
      </c>
      <c r="FV82" s="20" t="n">
        <f aca="false">FT82+FU82</f>
        <v>0</v>
      </c>
      <c r="FW82" s="20" t="n">
        <f aca="false">FM82-FU82+FQ82*IF(Slot16_SpendLike=1,FS82-FT82,IF(Slot16_PotFree=1,FS82,0))</f>
        <v>0</v>
      </c>
      <c r="FX82" s="20" t="n">
        <f aca="false">FN82+FQ82*Slot16_BufPot*FS82</f>
        <v>0</v>
      </c>
      <c r="FY82" s="20" t="n">
        <f aca="false">IF(AND(FQ82=1,Slot16_IsMfree=1),IF(FV82&gt;=Slot16_Cost-1,0,MAX(0,FO82-FV82)),FO82)</f>
        <v>0</v>
      </c>
      <c r="FZ82" s="20" t="n">
        <f aca="false">FQ82*(Slot16_Cost-FV82)</f>
        <v>0</v>
      </c>
      <c r="GA82" s="20" t="n">
        <f aca="false">IF(AND(Slot17_On=1,D82=Slot17_Age),1,0)</f>
        <v>0</v>
      </c>
      <c r="GB82" s="20" t="n">
        <f aca="false">IF(AND(Slot17_On=1,Slot17_Age&gt;D82),1,0)</f>
        <v>0</v>
      </c>
      <c r="GC82" s="20" t="n">
        <f aca="false">SY81</f>
        <v>0</v>
      </c>
      <c r="GD82" s="20" t="n">
        <f aca="false">GA82*MIN(Slot17_Cost,GC82)</f>
        <v>0</v>
      </c>
      <c r="GE82" s="20" t="n">
        <f aca="false">GA82*Slot17_SpendLike*MIN(Slot17_Cost-GD82,FW82)</f>
        <v>0</v>
      </c>
      <c r="GF82" s="20" t="n">
        <f aca="false">GD82+GE82</f>
        <v>0</v>
      </c>
      <c r="GG82" s="20" t="n">
        <f aca="false">FW82-GE82+GA82*IF(Slot17_SpendLike=1,GC82-GD82,IF(Slot17_PotFree=1,GC82,0))</f>
        <v>0</v>
      </c>
      <c r="GH82" s="20" t="n">
        <f aca="false">FX82+GA82*Slot17_BufPot*GC82</f>
        <v>0</v>
      </c>
      <c r="GI82" s="20" t="n">
        <f aca="false">IF(AND(GA82=1,Slot17_IsMfree=1),IF(GF82&gt;=Slot17_Cost-1,0,MAX(0,FY82-GF82)),FY82)</f>
        <v>0</v>
      </c>
      <c r="GJ82" s="20" t="n">
        <f aca="false">GA82*(Slot17_Cost-GF82)</f>
        <v>0</v>
      </c>
      <c r="GK82" s="20" t="n">
        <f aca="false">IF(AND(Slot18_On=1,D82=Slot18_Age),1,0)</f>
        <v>0</v>
      </c>
      <c r="GL82" s="20" t="n">
        <f aca="false">IF(AND(Slot18_On=1,Slot18_Age&gt;D82),1,0)</f>
        <v>0</v>
      </c>
      <c r="GM82" s="20" t="n">
        <f aca="false">TC81</f>
        <v>0</v>
      </c>
      <c r="GN82" s="20" t="n">
        <f aca="false">GK82*MIN(Slot18_Cost,GM82)</f>
        <v>0</v>
      </c>
      <c r="GO82" s="20" t="n">
        <f aca="false">GK82*Slot18_SpendLike*MIN(Slot18_Cost-GN82,GG82)</f>
        <v>0</v>
      </c>
      <c r="GP82" s="20" t="n">
        <f aca="false">GN82+GO82</f>
        <v>0</v>
      </c>
      <c r="GQ82" s="20" t="n">
        <f aca="false">GG82-GO82+GK82*IF(Slot18_SpendLike=1,GM82-GN82,IF(Slot18_PotFree=1,GM82,0))</f>
        <v>0</v>
      </c>
      <c r="GR82" s="20" t="n">
        <f aca="false">GH82+GK82*Slot18_BufPot*GM82</f>
        <v>0</v>
      </c>
      <c r="GS82" s="20" t="n">
        <f aca="false">IF(AND(GK82=1,Slot18_IsMfree=1),IF(GP82&gt;=Slot18_Cost-1,0,MAX(0,GI82-GP82)),GI82)</f>
        <v>0</v>
      </c>
      <c r="GT82" s="20" t="n">
        <f aca="false">GK82*(Slot18_Cost-GP82)</f>
        <v>0</v>
      </c>
      <c r="GU82" s="20" t="n">
        <f aca="false">IF(AND(Slot19_On=1,D82=Slot19_Age),1,0)</f>
        <v>0</v>
      </c>
      <c r="GV82" s="20" t="n">
        <f aca="false">IF(AND(Slot19_On=1,Slot19_Age&gt;D82),1,0)</f>
        <v>0</v>
      </c>
      <c r="GW82" s="20" t="n">
        <f aca="false">TG81</f>
        <v>0</v>
      </c>
      <c r="GX82" s="20" t="n">
        <f aca="false">GU82*MIN(Slot19_Cost,GW82)</f>
        <v>0</v>
      </c>
      <c r="GY82" s="20" t="n">
        <f aca="false">GU82*Slot19_SpendLike*MIN(Slot19_Cost-GX82,GQ82)</f>
        <v>0</v>
      </c>
      <c r="GZ82" s="20" t="n">
        <f aca="false">GX82+GY82</f>
        <v>0</v>
      </c>
      <c r="HA82" s="20" t="n">
        <f aca="false">GQ82-GY82+GU82*IF(Slot19_SpendLike=1,GW82-GX82,IF(Slot19_PotFree=1,GW82,0))</f>
        <v>0</v>
      </c>
      <c r="HB82" s="20" t="n">
        <f aca="false">GR82+GU82*Slot19_BufPot*GW82</f>
        <v>0</v>
      </c>
      <c r="HC82" s="20" t="n">
        <f aca="false">IF(AND(GU82=1,Slot19_IsMfree=1),IF(GZ82&gt;=Slot19_Cost-1,0,MAX(0,GS82-GZ82)),GS82)</f>
        <v>0</v>
      </c>
      <c r="HD82" s="20" t="n">
        <f aca="false">GU82*(Slot19_Cost-GZ82)</f>
        <v>0</v>
      </c>
      <c r="HE82" s="20" t="n">
        <f aca="false">IF(AND(Slot20_On=1,D82=Slot20_Age),1,0)</f>
        <v>0</v>
      </c>
      <c r="HF82" s="20" t="n">
        <f aca="false">IF(AND(Slot20_On=1,Slot20_Age&gt;D82),1,0)</f>
        <v>0</v>
      </c>
      <c r="HG82" s="20" t="n">
        <f aca="false">TK81</f>
        <v>0</v>
      </c>
      <c r="HH82" s="20" t="n">
        <f aca="false">HE82*MIN(Slot20_Cost,HG82)</f>
        <v>0</v>
      </c>
      <c r="HI82" s="20" t="n">
        <f aca="false">HE82*Slot20_SpendLike*MIN(Slot20_Cost-HH82,HA82)</f>
        <v>0</v>
      </c>
      <c r="HJ82" s="20" t="n">
        <f aca="false">HH82+HI82</f>
        <v>0</v>
      </c>
      <c r="HK82" s="20" t="n">
        <f aca="false">HA82-HI82+HE82*IF(Slot20_SpendLike=1,HG82-HH82,IF(Slot20_PotFree=1,HG82,0))</f>
        <v>0</v>
      </c>
      <c r="HL82" s="20" t="n">
        <f aca="false">HB82+HE82*Slot20_BufPot*HG82</f>
        <v>0</v>
      </c>
      <c r="HM82" s="20" t="n">
        <f aca="false">IF(AND(HE82=1,Slot20_IsMfree=1),IF(HJ82&gt;=Slot20_Cost-1,0,MAX(0,HC82-HJ82)),HC82)</f>
        <v>0</v>
      </c>
      <c r="HN82" s="20" t="n">
        <f aca="false">HE82*(Slot20_Cost-HJ82)</f>
        <v>0</v>
      </c>
      <c r="HO82" s="20" t="n">
        <f aca="false">V82*Slot1_SpendLike*AA82+AG82*Slot2_SpendLike*AL82+AQ82*Slot3_SpendLike*AV82+BA82*Slot4_SpendLike*BF82+BK82*Slot5_SpendLike*BP82+BU82*Slot6_SpendLike*BZ82+CE82*Slot7_SpendLike*CJ82+CO82*Slot8_SpendLike*CT82+CY82*Slot9_SpendLike*DD82+DI82*Slot10_SpendLike*DN82+DS82*Slot11_SpendLike*DX82+EC82*Slot12_SpendLike*EH82+EM82*Slot13_SpendLike*ER82+EW82*Slot14_SpendLike*FB82+FG82*Slot15_SpendLike*FL82+FQ82*Slot16_SpendLike*FV82+GA82*Slot17_SpendLike*GF82+GK82*Slot18_SpendLike*GP82+GU82*Slot19_SpendLike*GZ82+HE82*Slot20_SpendLike*HJ82</f>
        <v>0</v>
      </c>
      <c r="HP82" s="20" t="n">
        <f aca="false">AE82+AP82+AZ82+BJ82+BT82+CD82+CN82+CX82+DH82+DR82+EB82+EL82+EV82+FF82+FP82+FZ82+GJ82+GT82+HD82+HN82</f>
        <v>0</v>
      </c>
      <c r="HQ82" s="20" t="n">
        <f aca="false">V82*Slot1_Cost+AG82*Slot2_Cost+AQ82*Slot3_Cost+BA82*Slot4_Cost+BK82*Slot5_Cost+BU82*Slot6_Cost+CE82*Slot7_Cost+CO82*Slot8_Cost+CY82*Slot9_Cost+DI82*Slot10_Cost+DS82*Slot11_Cost+EC82*Slot12_Cost+EM82*Slot13_Cost+EW82*Slot14_Cost+FG82*Slot15_Cost+FQ82*Slot16_Cost+GA82*Slot17_Cost+GK82*Slot18_Cost+GU82*Slot19_Cost+HE82*Slot20_Cost</f>
        <v>0</v>
      </c>
      <c r="HR82" s="20" t="n">
        <f aca="false">HM82</f>
        <v>0</v>
      </c>
      <c r="HS82" s="20" t="n">
        <f aca="false">H82-I82-S82</f>
        <v>-83405.2610563444</v>
      </c>
      <c r="HT82" s="20" t="n">
        <f aca="false">IF(B82=0,IF(AND(Has_q6=1,In_q6=4),PR_ShareVaries*(MAX(0,HS82)/12),MIN(IF(Has_q6=1,CHOOSE(In_q6+1,PR_SaveB1,PR_SaveB2,PR_SaveB3,PR_SaveB4,0),AS_NoAnswer),AS_SaveShare*(MAX(0,HS82)/12))),HT81)</f>
        <v>67.3316893520437</v>
      </c>
      <c r="HU82" s="20" t="n">
        <f aca="false">IF(HS82&gt;=0,1,0)</f>
        <v>0</v>
      </c>
      <c r="HV82" s="20" t="n">
        <f aca="false">MAX(0,HS82/12/F82)</f>
        <v>0</v>
      </c>
      <c r="HW82" s="20" t="n">
        <f aca="false">IF(AND(Has_q6=1,In_q6=4),PR_ShareVaries*(HV82),MIN(IF(Has_q6=1,CHOOSE(In_q6+1,PR_SaveB1,PR_SaveB2,PR_SaveB3,PR_SaveB4,0),AS_NoAnswer),AS_SaveShare*(HV82)))</f>
        <v>0</v>
      </c>
      <c r="HX82" s="20" t="n">
        <f aca="false">IF(Has_saveM=1,IF(In_saveUp="Yes",1,IF(In_saveUp="No",0,IF(In_saveM&gt;=HT82-0.5,1,0))),0)</f>
        <v>0</v>
      </c>
      <c r="HY82" s="20" t="n">
        <f aca="false">IF(Has_saveM=1,MIN(HV82,IF(HX82=1,MAX(In_saveM,HW82),MIN(In_saveM,HW82))),HW82)</f>
        <v>0</v>
      </c>
      <c r="HZ82" s="20" t="n">
        <f aca="false">IF(G82=1,HY82*12*F82,0)</f>
        <v>0</v>
      </c>
      <c r="IA82" s="20" t="n">
        <f aca="false">MAX(0,HZ82+IF(AND(WI_Retire=0,WI_M&lt;0,G82=1),WI_M*12*F82,0))</f>
        <v>0</v>
      </c>
      <c r="IB82" s="20" t="n">
        <f aca="false">Slot1_IsWG*W82+Slot2_IsWG*AH82+Slot3_IsWG*AR82+Slot4_IsWG*BB82+Slot5_IsWG*BL82+Slot6_IsWG*BV82+Slot7_IsWG*CF82+Slot8_IsWG*CP82+Slot9_IsWG*CZ82+Slot10_IsWG*DJ82+Slot11_IsWG*DT82+Slot12_IsWG*ED82+Slot13_IsWG*EN82+Slot14_IsWG*EX82+Slot15_IsWG*FH82+Slot16_IsWG*FR82+Slot17_IsWG*GB82+Slot18_IsWG*GL82+Slot19_IsWG*GV82+Slot20_IsWG*HF82</f>
        <v>0</v>
      </c>
      <c r="IC82" s="20" t="n">
        <f aca="false">IF(AND(WI_Retire=0,WI_M&gt;0,G82=1,IB82&gt;=1),WI_M*12*F82,0)</f>
        <v>0</v>
      </c>
      <c r="ID82" s="20" t="n">
        <f aca="false">IF(HU82=1,MIN(IA82,HS82),0)</f>
        <v>0</v>
      </c>
      <c r="IE82" s="20" t="n">
        <f aca="false">IF(HU82=1,MIN(IC82,HS82-ID82),0)</f>
        <v>0</v>
      </c>
      <c r="IF82" s="20" t="n">
        <f aca="false">IF(W82=1,IF(ABS((1+AS_Wage)/(1+Slot1_Rate)-1)&lt;0.000000000001,(Slot1_Age-D82)*(1+Slot1_Rate)^(Slot1_Age-D82),(1+Slot1_Rate)^(Slot1_Age-D82)*(1-((1+AS_Wage)/(1+Slot1_Rate))^(Slot1_Age-D82))/(1-(1+AS_Wage)/(1+Slot1_Rate))),1)</f>
        <v>1</v>
      </c>
      <c r="IG82" s="20" t="n">
        <f aca="false">IF(AND(HU82=1,IE82&gt;0,Slot1_IsWG=1,W82=1),MAX(0,(Slot1_Cost-X82*(1+Slot1_Rate)^(Slot1_Age-D82))/IF82),0)</f>
        <v>0</v>
      </c>
      <c r="IH82" s="20" t="n">
        <f aca="false">IF(AND(HU82=1,IE82&gt;0,Slot1_IsWG=1,W82=1),MIN(IE82,IG82),0)</f>
        <v>0</v>
      </c>
      <c r="II82" s="20" t="n">
        <f aca="false">X82+IH82</f>
        <v>0</v>
      </c>
      <c r="IJ82" s="20" t="n">
        <f aca="false">IF(W82=1,MAX(0,(Slot1_Cost-II82*(1+Slot1_Rate)^(Slot1_Age-D82))/IF82),0)</f>
        <v>0</v>
      </c>
      <c r="IK82" s="20" t="n">
        <f aca="false">IF(W82=1,MAX(0,(Slot1_Cost-X82*(1+Slot1_Rate)^(Slot1_Age-D82))/IF82),0)</f>
        <v>0</v>
      </c>
      <c r="IL82" s="20" t="n">
        <f aca="false">IF(AND(HU82=1,W82=1),MIN(ID82,IJ82),0)</f>
        <v>0</v>
      </c>
      <c r="IM82" s="20" t="n">
        <f aca="false">ID82-IL82</f>
        <v>0</v>
      </c>
      <c r="IN82" s="20" t="n">
        <f aca="false">IF(AH82=1,IF(ABS((1+AS_Wage)/(1+Slot2_Rate)-1)&lt;0.000000000001,(Slot2_Age-D82)*(1+Slot2_Rate)^(Slot2_Age-D82),(1+Slot2_Rate)^(Slot2_Age-D82)*(1-((1+AS_Wage)/(1+Slot2_Rate))^(Slot2_Age-D82))/(1-(1+AS_Wage)/(1+Slot2_Rate))),1)</f>
        <v>1</v>
      </c>
      <c r="IO82" s="20" t="n">
        <f aca="false">IF(AND(HU82=1,IE82&gt;0,Slot2_IsWG=1,AH82=1),MAX(0,(Slot2_Cost-AI82*(1+Slot2_Rate)^(Slot2_Age-D82))/IN82),0)</f>
        <v>0</v>
      </c>
      <c r="IP82" s="20" t="n">
        <f aca="false">IF(AND(HU82=1,IE82&gt;0,Slot2_IsWG=1,AH82=1),MIN(IE82,IO82),0)</f>
        <v>0</v>
      </c>
      <c r="IQ82" s="20" t="n">
        <f aca="false">AI82+IP82</f>
        <v>0</v>
      </c>
      <c r="IR82" s="20" t="n">
        <f aca="false">IF(AH82=1,MAX(0,(Slot2_Cost-IQ82*(1+Slot2_Rate)^(Slot2_Age-D82))/IN82),0)</f>
        <v>0</v>
      </c>
      <c r="IS82" s="20" t="n">
        <f aca="false">IF(AH82=1,MAX(0,(Slot2_Cost-AI82*(1+Slot2_Rate)^(Slot2_Age-D82))/IN82),0)</f>
        <v>0</v>
      </c>
      <c r="IT82" s="20" t="n">
        <f aca="false">IF(AND(HU82=1,AH82=1),MIN(IM82,IR82),0)</f>
        <v>0</v>
      </c>
      <c r="IU82" s="20" t="n">
        <f aca="false">IM82-IT82</f>
        <v>0</v>
      </c>
      <c r="IV82" s="20" t="n">
        <f aca="false">IF(AR82=1,IF(ABS((1+AS_Wage)/(1+Slot3_Rate)-1)&lt;0.000000000001,(Slot3_Age-D82)*(1+Slot3_Rate)^(Slot3_Age-D82),(1+Slot3_Rate)^(Slot3_Age-D82)*(1-((1+AS_Wage)/(1+Slot3_Rate))^(Slot3_Age-D82))/(1-(1+AS_Wage)/(1+Slot3_Rate))),1)</f>
        <v>1</v>
      </c>
      <c r="IW82" s="20" t="n">
        <f aca="false">IF(AND(HU82=1,IE82&gt;0,Slot3_IsWG=1,AR82=1),MAX(0,(Slot3_Cost-AS82*(1+Slot3_Rate)^(Slot3_Age-D82))/IV82),0)</f>
        <v>0</v>
      </c>
      <c r="IX82" s="20" t="n">
        <f aca="false">IF(AND(HU82=1,IE82&gt;0,Slot3_IsWG=1,AR82=1),MIN(IE82,IW82),0)</f>
        <v>0</v>
      </c>
      <c r="IY82" s="20" t="n">
        <f aca="false">AS82+IX82</f>
        <v>0</v>
      </c>
      <c r="IZ82" s="20" t="n">
        <f aca="false">IF(AR82=1,MAX(0,(Slot3_Cost-IY82*(1+Slot3_Rate)^(Slot3_Age-D82))/IV82),0)</f>
        <v>0</v>
      </c>
      <c r="JA82" s="20" t="n">
        <f aca="false">IF(AR82=1,MAX(0,(Slot3_Cost-AS82*(1+Slot3_Rate)^(Slot3_Age-D82))/IV82),0)</f>
        <v>0</v>
      </c>
      <c r="JB82" s="20" t="n">
        <f aca="false">IF(AND(HU82=1,AR82=1),MIN(IU82,IZ82),0)</f>
        <v>0</v>
      </c>
      <c r="JC82" s="20" t="n">
        <f aca="false">IU82-JB82</f>
        <v>0</v>
      </c>
      <c r="JD82" s="20" t="n">
        <f aca="false">IF(BB82=1,IF(ABS((1+AS_Wage)/(1+Slot4_Rate)-1)&lt;0.000000000001,(Slot4_Age-D82)*(1+Slot4_Rate)^(Slot4_Age-D82),(1+Slot4_Rate)^(Slot4_Age-D82)*(1-((1+AS_Wage)/(1+Slot4_Rate))^(Slot4_Age-D82))/(1-(1+AS_Wage)/(1+Slot4_Rate))),1)</f>
        <v>1</v>
      </c>
      <c r="JE82" s="20" t="n">
        <f aca="false">IF(AND(HU82=1,IE82&gt;0,Slot4_IsWG=1,BB82=1),MAX(0,(Slot4_Cost-BC82*(1+Slot4_Rate)^(Slot4_Age-D82))/JD82),0)</f>
        <v>0</v>
      </c>
      <c r="JF82" s="20" t="n">
        <f aca="false">IF(AND(HU82=1,IE82&gt;0,Slot4_IsWG=1,BB82=1),MIN(IE82,JE82),0)</f>
        <v>0</v>
      </c>
      <c r="JG82" s="20" t="n">
        <f aca="false">BC82+JF82</f>
        <v>0</v>
      </c>
      <c r="JH82" s="20" t="n">
        <f aca="false">IF(BB82=1,MAX(0,(Slot4_Cost-JG82*(1+Slot4_Rate)^(Slot4_Age-D82))/JD82),0)</f>
        <v>0</v>
      </c>
      <c r="JI82" s="20" t="n">
        <f aca="false">IF(BB82=1,MAX(0,(Slot4_Cost-BC82*(1+Slot4_Rate)^(Slot4_Age-D82))/JD82),0)</f>
        <v>0</v>
      </c>
      <c r="JJ82" s="20" t="n">
        <f aca="false">IF(AND(HU82=1,BB82=1),MIN(JC82,JH82),0)</f>
        <v>0</v>
      </c>
      <c r="JK82" s="20" t="n">
        <f aca="false">JC82-JJ82</f>
        <v>0</v>
      </c>
      <c r="JL82" s="20" t="n">
        <f aca="false">IF(BL82=1,IF(ABS((1+AS_Wage)/(1+Slot5_Rate)-1)&lt;0.000000000001,(Slot5_Age-D82)*(1+Slot5_Rate)^(Slot5_Age-D82),(1+Slot5_Rate)^(Slot5_Age-D82)*(1-((1+AS_Wage)/(1+Slot5_Rate))^(Slot5_Age-D82))/(1-(1+AS_Wage)/(1+Slot5_Rate))),1)</f>
        <v>1</v>
      </c>
      <c r="JM82" s="20" t="n">
        <f aca="false">IF(AND(HU82=1,IE82&gt;0,Slot5_IsWG=1,BL82=1),MAX(0,(Slot5_Cost-BM82*(1+Slot5_Rate)^(Slot5_Age-D82))/JL82),0)</f>
        <v>0</v>
      </c>
      <c r="JN82" s="20" t="n">
        <f aca="false">IF(AND(HU82=1,IE82&gt;0,Slot5_IsWG=1,BL82=1),MIN(IE82,JM82),0)</f>
        <v>0</v>
      </c>
      <c r="JO82" s="20" t="n">
        <f aca="false">BM82+JN82</f>
        <v>0</v>
      </c>
      <c r="JP82" s="20" t="n">
        <f aca="false">IF(BL82=1,MAX(0,(Slot5_Cost-JO82*(1+Slot5_Rate)^(Slot5_Age-D82))/JL82),0)</f>
        <v>0</v>
      </c>
      <c r="JQ82" s="20" t="n">
        <f aca="false">IF(BL82=1,MAX(0,(Slot5_Cost-BM82*(1+Slot5_Rate)^(Slot5_Age-D82))/JL82),0)</f>
        <v>0</v>
      </c>
      <c r="JR82" s="20" t="n">
        <f aca="false">IF(AND(HU82=1,BL82=1),MIN(JK82,JP82),0)</f>
        <v>0</v>
      </c>
      <c r="JS82" s="20" t="n">
        <f aca="false">JK82-JR82</f>
        <v>0</v>
      </c>
      <c r="JT82" s="20" t="n">
        <f aca="false">IF(BV82=1,IF(ABS((1+AS_Wage)/(1+Slot6_Rate)-1)&lt;0.000000000001,(Slot6_Age-D82)*(1+Slot6_Rate)^(Slot6_Age-D82),(1+Slot6_Rate)^(Slot6_Age-D82)*(1-((1+AS_Wage)/(1+Slot6_Rate))^(Slot6_Age-D82))/(1-(1+AS_Wage)/(1+Slot6_Rate))),1)</f>
        <v>1</v>
      </c>
      <c r="JU82" s="20" t="n">
        <f aca="false">IF(AND(HU82=1,IE82&gt;0,Slot6_IsWG=1,BV82=1),MAX(0,(Slot6_Cost-BW82*(1+Slot6_Rate)^(Slot6_Age-D82))/JT82),0)</f>
        <v>0</v>
      </c>
      <c r="JV82" s="20" t="n">
        <f aca="false">IF(AND(HU82=1,IE82&gt;0,Slot6_IsWG=1,BV82=1),MIN(IE82,JU82),0)</f>
        <v>0</v>
      </c>
      <c r="JW82" s="20" t="n">
        <f aca="false">BW82+JV82</f>
        <v>0</v>
      </c>
      <c r="JX82" s="20" t="n">
        <f aca="false">IF(BV82=1,MAX(0,(Slot6_Cost-JW82*(1+Slot6_Rate)^(Slot6_Age-D82))/JT82),0)</f>
        <v>0</v>
      </c>
      <c r="JY82" s="20" t="n">
        <f aca="false">IF(BV82=1,MAX(0,(Slot6_Cost-BW82*(1+Slot6_Rate)^(Slot6_Age-D82))/JT82),0)</f>
        <v>0</v>
      </c>
      <c r="JZ82" s="20" t="n">
        <f aca="false">IF(AND(HU82=1,BV82=1),MIN(JS82,JX82),0)</f>
        <v>0</v>
      </c>
      <c r="KA82" s="20" t="n">
        <f aca="false">JS82-JZ82</f>
        <v>0</v>
      </c>
      <c r="KB82" s="20" t="n">
        <f aca="false">IF(CF82=1,IF(ABS((1+AS_Wage)/(1+Slot7_Rate)-1)&lt;0.000000000001,(Slot7_Age-D82)*(1+Slot7_Rate)^(Slot7_Age-D82),(1+Slot7_Rate)^(Slot7_Age-D82)*(1-((1+AS_Wage)/(1+Slot7_Rate))^(Slot7_Age-D82))/(1-(1+AS_Wage)/(1+Slot7_Rate))),1)</f>
        <v>1</v>
      </c>
      <c r="KC82" s="20" t="n">
        <f aca="false">IF(AND(HU82=1,IE82&gt;0,Slot7_IsWG=1,CF82=1),MAX(0,(Slot7_Cost-CG82*(1+Slot7_Rate)^(Slot7_Age-D82))/KB82),0)</f>
        <v>0</v>
      </c>
      <c r="KD82" s="20" t="n">
        <f aca="false">IF(AND(HU82=1,IE82&gt;0,Slot7_IsWG=1,CF82=1),MIN(IE82,KC82),0)</f>
        <v>0</v>
      </c>
      <c r="KE82" s="20" t="n">
        <f aca="false">CG82+KD82</f>
        <v>0</v>
      </c>
      <c r="KF82" s="20" t="n">
        <f aca="false">IF(CF82=1,MAX(0,(Slot7_Cost-KE82*(1+Slot7_Rate)^(Slot7_Age-D82))/KB82),0)</f>
        <v>0</v>
      </c>
      <c r="KG82" s="20" t="n">
        <f aca="false">IF(CF82=1,MAX(0,(Slot7_Cost-CG82*(1+Slot7_Rate)^(Slot7_Age-D82))/KB82),0)</f>
        <v>0</v>
      </c>
      <c r="KH82" s="20" t="n">
        <f aca="false">IF(AND(HU82=1,CF82=1),MIN(KA82,KF82),0)</f>
        <v>0</v>
      </c>
      <c r="KI82" s="20" t="n">
        <f aca="false">KA82-KH82</f>
        <v>0</v>
      </c>
      <c r="KJ82" s="20" t="n">
        <f aca="false">IF(CP82=1,IF(ABS((1+AS_Wage)/(1+Slot8_Rate)-1)&lt;0.000000000001,(Slot8_Age-D82)*(1+Slot8_Rate)^(Slot8_Age-D82),(1+Slot8_Rate)^(Slot8_Age-D82)*(1-((1+AS_Wage)/(1+Slot8_Rate))^(Slot8_Age-D82))/(1-(1+AS_Wage)/(1+Slot8_Rate))),1)</f>
        <v>1</v>
      </c>
      <c r="KK82" s="20" t="n">
        <f aca="false">IF(AND(HU82=1,IE82&gt;0,Slot8_IsWG=1,CP82=1),MAX(0,(Slot8_Cost-CQ82*(1+Slot8_Rate)^(Slot8_Age-D82))/KJ82),0)</f>
        <v>0</v>
      </c>
      <c r="KL82" s="20" t="n">
        <f aca="false">IF(AND(HU82=1,IE82&gt;0,Slot8_IsWG=1,CP82=1),MIN(IE82,KK82),0)</f>
        <v>0</v>
      </c>
      <c r="KM82" s="20" t="n">
        <f aca="false">CQ82+KL82</f>
        <v>0</v>
      </c>
      <c r="KN82" s="20" t="n">
        <f aca="false">IF(CP82=1,MAX(0,(Slot8_Cost-KM82*(1+Slot8_Rate)^(Slot8_Age-D82))/KJ82),0)</f>
        <v>0</v>
      </c>
      <c r="KO82" s="20" t="n">
        <f aca="false">IF(CP82=1,MAX(0,(Slot8_Cost-CQ82*(1+Slot8_Rate)^(Slot8_Age-D82))/KJ82),0)</f>
        <v>0</v>
      </c>
      <c r="KP82" s="20" t="n">
        <f aca="false">IF(AND(HU82=1,CP82=1),MIN(KI82,KN82),0)</f>
        <v>0</v>
      </c>
      <c r="KQ82" s="20" t="n">
        <f aca="false">KI82-KP82</f>
        <v>0</v>
      </c>
      <c r="KR82" s="20" t="n">
        <f aca="false">IF(CZ82=1,IF(ABS((1+AS_Wage)/(1+Slot9_Rate)-1)&lt;0.000000000001,(Slot9_Age-D82)*(1+Slot9_Rate)^(Slot9_Age-D82),(1+Slot9_Rate)^(Slot9_Age-D82)*(1-((1+AS_Wage)/(1+Slot9_Rate))^(Slot9_Age-D82))/(1-(1+AS_Wage)/(1+Slot9_Rate))),1)</f>
        <v>1</v>
      </c>
      <c r="KS82" s="20" t="n">
        <f aca="false">IF(AND(HU82=1,IE82&gt;0,Slot9_IsWG=1,CZ82=1),MAX(0,(Slot9_Cost-DA82*(1+Slot9_Rate)^(Slot9_Age-D82))/KR82),0)</f>
        <v>0</v>
      </c>
      <c r="KT82" s="20" t="n">
        <f aca="false">IF(AND(HU82=1,IE82&gt;0,Slot9_IsWG=1,CZ82=1),MIN(IE82,KS82),0)</f>
        <v>0</v>
      </c>
      <c r="KU82" s="20" t="n">
        <f aca="false">DA82+KT82</f>
        <v>0</v>
      </c>
      <c r="KV82" s="20" t="n">
        <f aca="false">IF(CZ82=1,MAX(0,(Slot9_Cost-KU82*(1+Slot9_Rate)^(Slot9_Age-D82))/KR82),0)</f>
        <v>0</v>
      </c>
      <c r="KW82" s="20" t="n">
        <f aca="false">IF(CZ82=1,MAX(0,(Slot9_Cost-DA82*(1+Slot9_Rate)^(Slot9_Age-D82))/KR82),0)</f>
        <v>0</v>
      </c>
      <c r="KX82" s="20" t="n">
        <f aca="false">IF(AND(HU82=1,CZ82=1),MIN(KQ82,KV82),0)</f>
        <v>0</v>
      </c>
      <c r="KY82" s="20" t="n">
        <f aca="false">KQ82-KX82</f>
        <v>0</v>
      </c>
      <c r="KZ82" s="20" t="n">
        <f aca="false">IF(DJ82=1,IF(ABS((1+AS_Wage)/(1+Slot10_Rate)-1)&lt;0.000000000001,(Slot10_Age-D82)*(1+Slot10_Rate)^(Slot10_Age-D82),(1+Slot10_Rate)^(Slot10_Age-D82)*(1-((1+AS_Wage)/(1+Slot10_Rate))^(Slot10_Age-D82))/(1-(1+AS_Wage)/(1+Slot10_Rate))),1)</f>
        <v>1</v>
      </c>
      <c r="LA82" s="20" t="n">
        <f aca="false">IF(AND(HU82=1,IE82&gt;0,Slot10_IsWG=1,DJ82=1),MAX(0,(Slot10_Cost-DK82*(1+Slot10_Rate)^(Slot10_Age-D82))/KZ82),0)</f>
        <v>0</v>
      </c>
      <c r="LB82" s="20" t="n">
        <f aca="false">IF(AND(HU82=1,IE82&gt;0,Slot10_IsWG=1,DJ82=1),MIN(IE82,LA82),0)</f>
        <v>0</v>
      </c>
      <c r="LC82" s="20" t="n">
        <f aca="false">DK82+LB82</f>
        <v>0</v>
      </c>
      <c r="LD82" s="20" t="n">
        <f aca="false">IF(DJ82=1,MAX(0,(Slot10_Cost-LC82*(1+Slot10_Rate)^(Slot10_Age-D82))/KZ82),0)</f>
        <v>0</v>
      </c>
      <c r="LE82" s="20" t="n">
        <f aca="false">IF(DJ82=1,MAX(0,(Slot10_Cost-DK82*(1+Slot10_Rate)^(Slot10_Age-D82))/KZ82),0)</f>
        <v>0</v>
      </c>
      <c r="LF82" s="20" t="n">
        <f aca="false">IF(AND(HU82=1,DJ82=1),MIN(KY82,LD82),0)</f>
        <v>0</v>
      </c>
      <c r="LG82" s="20" t="n">
        <f aca="false">KY82-LF82</f>
        <v>0</v>
      </c>
      <c r="LH82" s="20" t="n">
        <f aca="false">IF(DT82=1,IF(ABS((1+AS_Wage)/(1+Slot11_Rate)-1)&lt;0.000000000001,(Slot11_Age-D82)*(1+Slot11_Rate)^(Slot11_Age-D82),(1+Slot11_Rate)^(Slot11_Age-D82)*(1-((1+AS_Wage)/(1+Slot11_Rate))^(Slot11_Age-D82))/(1-(1+AS_Wage)/(1+Slot11_Rate))),1)</f>
        <v>1</v>
      </c>
      <c r="LI82" s="20" t="n">
        <f aca="false">IF(AND(HU82=1,IE82&gt;0,Slot11_IsWG=1,DT82=1),MAX(0,(Slot11_Cost-DU82*(1+Slot11_Rate)^(Slot11_Age-D82))/LH82),0)</f>
        <v>0</v>
      </c>
      <c r="LJ82" s="20" t="n">
        <f aca="false">IF(AND(HU82=1,IE82&gt;0,Slot11_IsWG=1,DT82=1),MIN(IE82,LI82),0)</f>
        <v>0</v>
      </c>
      <c r="LK82" s="20" t="n">
        <f aca="false">DU82+LJ82</f>
        <v>0</v>
      </c>
      <c r="LL82" s="20" t="n">
        <f aca="false">IF(DT82=1,MAX(0,(Slot11_Cost-LK82*(1+Slot11_Rate)^(Slot11_Age-D82))/LH82),0)</f>
        <v>0</v>
      </c>
      <c r="LM82" s="20" t="n">
        <f aca="false">IF(DT82=1,MAX(0,(Slot11_Cost-DU82*(1+Slot11_Rate)^(Slot11_Age-D82))/LH82),0)</f>
        <v>0</v>
      </c>
      <c r="LN82" s="20" t="n">
        <f aca="false">IF(AND(HU82=1,DT82=1),MIN(LG82,LL82),0)</f>
        <v>0</v>
      </c>
      <c r="LO82" s="20" t="n">
        <f aca="false">LG82-LN82</f>
        <v>0</v>
      </c>
      <c r="LP82" s="20" t="n">
        <f aca="false">IF(ED82=1,IF(ABS((1+AS_Wage)/(1+Slot12_Rate)-1)&lt;0.000000000001,(Slot12_Age-D82)*(1+Slot12_Rate)^(Slot12_Age-D82),(1+Slot12_Rate)^(Slot12_Age-D82)*(1-((1+AS_Wage)/(1+Slot12_Rate))^(Slot12_Age-D82))/(1-(1+AS_Wage)/(1+Slot12_Rate))),1)</f>
        <v>1</v>
      </c>
      <c r="LQ82" s="20" t="n">
        <f aca="false">IF(AND(HU82=1,IE82&gt;0,Slot12_IsWG=1,ED82=1),MAX(0,(Slot12_Cost-EE82*(1+Slot12_Rate)^(Slot12_Age-D82))/LP82),0)</f>
        <v>0</v>
      </c>
      <c r="LR82" s="20" t="n">
        <f aca="false">IF(AND(HU82=1,IE82&gt;0,Slot12_IsWG=1,ED82=1),MIN(IE82,LQ82),0)</f>
        <v>0</v>
      </c>
      <c r="LS82" s="20" t="n">
        <f aca="false">EE82+LR82</f>
        <v>0</v>
      </c>
      <c r="LT82" s="20" t="n">
        <f aca="false">IF(ED82=1,MAX(0,(Slot12_Cost-LS82*(1+Slot12_Rate)^(Slot12_Age-D82))/LP82),0)</f>
        <v>0</v>
      </c>
      <c r="LU82" s="20" t="n">
        <f aca="false">IF(ED82=1,MAX(0,(Slot12_Cost-EE82*(1+Slot12_Rate)^(Slot12_Age-D82))/LP82),0)</f>
        <v>0</v>
      </c>
      <c r="LV82" s="20" t="n">
        <f aca="false">IF(AND(HU82=1,ED82=1),MIN(LO82,LT82),0)</f>
        <v>0</v>
      </c>
      <c r="LW82" s="20" t="n">
        <f aca="false">LO82-LV82</f>
        <v>0</v>
      </c>
      <c r="LX82" s="20" t="n">
        <f aca="false">IF(EN82=1,IF(ABS((1+AS_Wage)/(1+Slot13_Rate)-1)&lt;0.000000000001,(Slot13_Age-D82)*(1+Slot13_Rate)^(Slot13_Age-D82),(1+Slot13_Rate)^(Slot13_Age-D82)*(1-((1+AS_Wage)/(1+Slot13_Rate))^(Slot13_Age-D82))/(1-(1+AS_Wage)/(1+Slot13_Rate))),1)</f>
        <v>1</v>
      </c>
      <c r="LY82" s="20" t="n">
        <f aca="false">IF(AND(HU82=1,IE82&gt;0,Slot13_IsWG=1,EN82=1),MAX(0,(Slot13_Cost-EO82*(1+Slot13_Rate)^(Slot13_Age-D82))/LX82),0)</f>
        <v>0</v>
      </c>
      <c r="LZ82" s="20" t="n">
        <f aca="false">IF(AND(HU82=1,IE82&gt;0,Slot13_IsWG=1,EN82=1),MIN(IE82,LY82),0)</f>
        <v>0</v>
      </c>
      <c r="MA82" s="20" t="n">
        <f aca="false">EO82+LZ82</f>
        <v>0</v>
      </c>
      <c r="MB82" s="20" t="n">
        <f aca="false">IF(EN82=1,MAX(0,(Slot13_Cost-MA82*(1+Slot13_Rate)^(Slot13_Age-D82))/LX82),0)</f>
        <v>0</v>
      </c>
      <c r="MC82" s="20" t="n">
        <f aca="false">IF(EN82=1,MAX(0,(Slot13_Cost-EO82*(1+Slot13_Rate)^(Slot13_Age-D82))/LX82),0)</f>
        <v>0</v>
      </c>
      <c r="MD82" s="20" t="n">
        <f aca="false">IF(AND(HU82=1,EN82=1),MIN(LW82,MB82),0)</f>
        <v>0</v>
      </c>
      <c r="ME82" s="20" t="n">
        <f aca="false">LW82-MD82</f>
        <v>0</v>
      </c>
      <c r="MF82" s="20" t="n">
        <f aca="false">IF(EX82=1,IF(ABS((1+AS_Wage)/(1+Slot14_Rate)-1)&lt;0.000000000001,(Slot14_Age-D82)*(1+Slot14_Rate)^(Slot14_Age-D82),(1+Slot14_Rate)^(Slot14_Age-D82)*(1-((1+AS_Wage)/(1+Slot14_Rate))^(Slot14_Age-D82))/(1-(1+AS_Wage)/(1+Slot14_Rate))),1)</f>
        <v>1</v>
      </c>
      <c r="MG82" s="20" t="n">
        <f aca="false">IF(AND(HU82=1,IE82&gt;0,Slot14_IsWG=1,EX82=1),MAX(0,(Slot14_Cost-EY82*(1+Slot14_Rate)^(Slot14_Age-D82))/MF82),0)</f>
        <v>0</v>
      </c>
      <c r="MH82" s="20" t="n">
        <f aca="false">IF(AND(HU82=1,IE82&gt;0,Slot14_IsWG=1,EX82=1),MIN(IE82,MG82),0)</f>
        <v>0</v>
      </c>
      <c r="MI82" s="20" t="n">
        <f aca="false">EY82+MH82</f>
        <v>0</v>
      </c>
      <c r="MJ82" s="20" t="n">
        <f aca="false">IF(EX82=1,MAX(0,(Slot14_Cost-MI82*(1+Slot14_Rate)^(Slot14_Age-D82))/MF82),0)</f>
        <v>0</v>
      </c>
      <c r="MK82" s="20" t="n">
        <f aca="false">IF(EX82=1,MAX(0,(Slot14_Cost-EY82*(1+Slot14_Rate)^(Slot14_Age-D82))/MF82),0)</f>
        <v>0</v>
      </c>
      <c r="ML82" s="20" t="n">
        <f aca="false">IF(AND(HU82=1,EX82=1),MIN(ME82,MJ82),0)</f>
        <v>0</v>
      </c>
      <c r="MM82" s="20" t="n">
        <f aca="false">ME82-ML82</f>
        <v>0</v>
      </c>
      <c r="MN82" s="20" t="n">
        <f aca="false">IF(FH82=1,IF(ABS((1+AS_Wage)/(1+Slot15_Rate)-1)&lt;0.000000000001,(Slot15_Age-D82)*(1+Slot15_Rate)^(Slot15_Age-D82),(1+Slot15_Rate)^(Slot15_Age-D82)*(1-((1+AS_Wage)/(1+Slot15_Rate))^(Slot15_Age-D82))/(1-(1+AS_Wage)/(1+Slot15_Rate))),1)</f>
        <v>1</v>
      </c>
      <c r="MO82" s="20" t="n">
        <f aca="false">IF(AND(HU82=1,IE82&gt;0,Slot15_IsWG=1,FH82=1),MAX(0,(Slot15_Cost-FI82*(1+Slot15_Rate)^(Slot15_Age-D82))/MN82),0)</f>
        <v>0</v>
      </c>
      <c r="MP82" s="20" t="n">
        <f aca="false">IF(AND(HU82=1,IE82&gt;0,Slot15_IsWG=1,FH82=1),MIN(IE82,MO82),0)</f>
        <v>0</v>
      </c>
      <c r="MQ82" s="20" t="n">
        <f aca="false">FI82+MP82</f>
        <v>0</v>
      </c>
      <c r="MR82" s="20" t="n">
        <f aca="false">IF(FH82=1,MAX(0,(Slot15_Cost-MQ82*(1+Slot15_Rate)^(Slot15_Age-D82))/MN82),0)</f>
        <v>0</v>
      </c>
      <c r="MS82" s="20" t="n">
        <f aca="false">IF(FH82=1,MAX(0,(Slot15_Cost-FI82*(1+Slot15_Rate)^(Slot15_Age-D82))/MN82),0)</f>
        <v>0</v>
      </c>
      <c r="MT82" s="20" t="n">
        <f aca="false">IF(AND(HU82=1,FH82=1),MIN(MM82,MR82),0)</f>
        <v>0</v>
      </c>
      <c r="MU82" s="20" t="n">
        <f aca="false">MM82-MT82</f>
        <v>0</v>
      </c>
      <c r="MV82" s="20" t="n">
        <f aca="false">IF(FR82=1,IF(ABS((1+AS_Wage)/(1+Slot16_Rate)-1)&lt;0.000000000001,(Slot16_Age-D82)*(1+Slot16_Rate)^(Slot16_Age-D82),(1+Slot16_Rate)^(Slot16_Age-D82)*(1-((1+AS_Wage)/(1+Slot16_Rate))^(Slot16_Age-D82))/(1-(1+AS_Wage)/(1+Slot16_Rate))),1)</f>
        <v>1</v>
      </c>
      <c r="MW82" s="20" t="n">
        <f aca="false">IF(AND(HU82=1,IE82&gt;0,Slot16_IsWG=1,FR82=1),MAX(0,(Slot16_Cost-FS82*(1+Slot16_Rate)^(Slot16_Age-D82))/MV82),0)</f>
        <v>0</v>
      </c>
      <c r="MX82" s="20" t="n">
        <f aca="false">IF(AND(HU82=1,IE82&gt;0,Slot16_IsWG=1,FR82=1),MIN(IE82,MW82),0)</f>
        <v>0</v>
      </c>
      <c r="MY82" s="20" t="n">
        <f aca="false">FS82+MX82</f>
        <v>0</v>
      </c>
      <c r="MZ82" s="20" t="n">
        <f aca="false">IF(FR82=1,MAX(0,(Slot16_Cost-MY82*(1+Slot16_Rate)^(Slot16_Age-D82))/MV82),0)</f>
        <v>0</v>
      </c>
      <c r="NA82" s="20" t="n">
        <f aca="false">IF(FR82=1,MAX(0,(Slot16_Cost-FS82*(1+Slot16_Rate)^(Slot16_Age-D82))/MV82),0)</f>
        <v>0</v>
      </c>
      <c r="NB82" s="20" t="n">
        <f aca="false">IF(AND(HU82=1,FR82=1),MIN(MU82,MZ82),0)</f>
        <v>0</v>
      </c>
      <c r="NC82" s="20" t="n">
        <f aca="false">MU82-NB82</f>
        <v>0</v>
      </c>
      <c r="ND82" s="20" t="n">
        <f aca="false">IF(GB82=1,IF(ABS((1+AS_Wage)/(1+Slot17_Rate)-1)&lt;0.000000000001,(Slot17_Age-D82)*(1+Slot17_Rate)^(Slot17_Age-D82),(1+Slot17_Rate)^(Slot17_Age-D82)*(1-((1+AS_Wage)/(1+Slot17_Rate))^(Slot17_Age-D82))/(1-(1+AS_Wage)/(1+Slot17_Rate))),1)</f>
        <v>1</v>
      </c>
      <c r="NE82" s="20" t="n">
        <f aca="false">IF(AND(HU82=1,IE82&gt;0,Slot17_IsWG=1,GB82=1),MAX(0,(Slot17_Cost-GC82*(1+Slot17_Rate)^(Slot17_Age-D82))/ND82),0)</f>
        <v>0</v>
      </c>
      <c r="NF82" s="20" t="n">
        <f aca="false">IF(AND(HU82=1,IE82&gt;0,Slot17_IsWG=1,GB82=1),MIN(IE82,NE82),0)</f>
        <v>0</v>
      </c>
      <c r="NG82" s="20" t="n">
        <f aca="false">GC82+NF82</f>
        <v>0</v>
      </c>
      <c r="NH82" s="20" t="n">
        <f aca="false">IF(GB82=1,MAX(0,(Slot17_Cost-NG82*(1+Slot17_Rate)^(Slot17_Age-D82))/ND82),0)</f>
        <v>0</v>
      </c>
      <c r="NI82" s="20" t="n">
        <f aca="false">IF(GB82=1,MAX(0,(Slot17_Cost-GC82*(1+Slot17_Rate)^(Slot17_Age-D82))/ND82),0)</f>
        <v>0</v>
      </c>
      <c r="NJ82" s="20" t="n">
        <f aca="false">IF(AND(HU82=1,GB82=1),MIN(NC82,NH82),0)</f>
        <v>0</v>
      </c>
      <c r="NK82" s="20" t="n">
        <f aca="false">NC82-NJ82</f>
        <v>0</v>
      </c>
      <c r="NL82" s="20" t="n">
        <f aca="false">IF(GL82=1,IF(ABS((1+AS_Wage)/(1+Slot18_Rate)-1)&lt;0.000000000001,(Slot18_Age-D82)*(1+Slot18_Rate)^(Slot18_Age-D82),(1+Slot18_Rate)^(Slot18_Age-D82)*(1-((1+AS_Wage)/(1+Slot18_Rate))^(Slot18_Age-D82))/(1-(1+AS_Wage)/(1+Slot18_Rate))),1)</f>
        <v>1</v>
      </c>
      <c r="NM82" s="20" t="n">
        <f aca="false">IF(AND(HU82=1,IE82&gt;0,Slot18_IsWG=1,GL82=1),MAX(0,(Slot18_Cost-GM82*(1+Slot18_Rate)^(Slot18_Age-D82))/NL82),0)</f>
        <v>0</v>
      </c>
      <c r="NN82" s="20" t="n">
        <f aca="false">IF(AND(HU82=1,IE82&gt;0,Slot18_IsWG=1,GL82=1),MIN(IE82,NM82),0)</f>
        <v>0</v>
      </c>
      <c r="NO82" s="20" t="n">
        <f aca="false">GM82+NN82</f>
        <v>0</v>
      </c>
      <c r="NP82" s="20" t="n">
        <f aca="false">IF(GL82=1,MAX(0,(Slot18_Cost-NO82*(1+Slot18_Rate)^(Slot18_Age-D82))/NL82),0)</f>
        <v>0</v>
      </c>
      <c r="NQ82" s="20" t="n">
        <f aca="false">IF(GL82=1,MAX(0,(Slot18_Cost-GM82*(1+Slot18_Rate)^(Slot18_Age-D82))/NL82),0)</f>
        <v>0</v>
      </c>
      <c r="NR82" s="20" t="n">
        <f aca="false">IF(AND(HU82=1,GL82=1),MIN(NK82,NP82),0)</f>
        <v>0</v>
      </c>
      <c r="NS82" s="20" t="n">
        <f aca="false">NK82-NR82</f>
        <v>0</v>
      </c>
      <c r="NT82" s="20" t="n">
        <f aca="false">IF(GV82=1,IF(ABS((1+AS_Wage)/(1+Slot19_Rate)-1)&lt;0.000000000001,(Slot19_Age-D82)*(1+Slot19_Rate)^(Slot19_Age-D82),(1+Slot19_Rate)^(Slot19_Age-D82)*(1-((1+AS_Wage)/(1+Slot19_Rate))^(Slot19_Age-D82))/(1-(1+AS_Wage)/(1+Slot19_Rate))),1)</f>
        <v>1</v>
      </c>
      <c r="NU82" s="20" t="n">
        <f aca="false">IF(AND(HU82=1,IE82&gt;0,Slot19_IsWG=1,GV82=1),MAX(0,(Slot19_Cost-GW82*(1+Slot19_Rate)^(Slot19_Age-D82))/NT82),0)</f>
        <v>0</v>
      </c>
      <c r="NV82" s="20" t="n">
        <f aca="false">IF(AND(HU82=1,IE82&gt;0,Slot19_IsWG=1,GV82=1),MIN(IE82,NU82),0)</f>
        <v>0</v>
      </c>
      <c r="NW82" s="20" t="n">
        <f aca="false">GW82+NV82</f>
        <v>0</v>
      </c>
      <c r="NX82" s="20" t="n">
        <f aca="false">IF(GV82=1,MAX(0,(Slot19_Cost-NW82*(1+Slot19_Rate)^(Slot19_Age-D82))/NT82),0)</f>
        <v>0</v>
      </c>
      <c r="NY82" s="20" t="n">
        <f aca="false">IF(GV82=1,MAX(0,(Slot19_Cost-GW82*(1+Slot19_Rate)^(Slot19_Age-D82))/NT82),0)</f>
        <v>0</v>
      </c>
      <c r="NZ82" s="20" t="n">
        <f aca="false">IF(AND(HU82=1,GV82=1),MIN(NS82,NX82),0)</f>
        <v>0</v>
      </c>
      <c r="OA82" s="20" t="n">
        <f aca="false">NS82-NZ82</f>
        <v>0</v>
      </c>
      <c r="OB82" s="20" t="n">
        <f aca="false">IF(HF82=1,IF(ABS((1+AS_Wage)/(1+Slot20_Rate)-1)&lt;0.000000000001,(Slot20_Age-D82)*(1+Slot20_Rate)^(Slot20_Age-D82),(1+Slot20_Rate)^(Slot20_Age-D82)*(1-((1+AS_Wage)/(1+Slot20_Rate))^(Slot20_Age-D82))/(1-(1+AS_Wage)/(1+Slot20_Rate))),1)</f>
        <v>1</v>
      </c>
      <c r="OC82" s="20" t="n">
        <f aca="false">IF(AND(HU82=1,IE82&gt;0,Slot20_IsWG=1,HF82=1),MAX(0,(Slot20_Cost-HG82*(1+Slot20_Rate)^(Slot20_Age-D82))/OB82),0)</f>
        <v>0</v>
      </c>
      <c r="OD82" s="20" t="n">
        <f aca="false">IF(AND(HU82=1,IE82&gt;0,Slot20_IsWG=1,HF82=1),MIN(IE82,OC82),0)</f>
        <v>0</v>
      </c>
      <c r="OE82" s="20" t="n">
        <f aca="false">HG82+OD82</f>
        <v>0</v>
      </c>
      <c r="OF82" s="20" t="n">
        <f aca="false">IF(HF82=1,MAX(0,(Slot20_Cost-OE82*(1+Slot20_Rate)^(Slot20_Age-D82))/OB82),0)</f>
        <v>0</v>
      </c>
      <c r="OG82" s="20" t="n">
        <f aca="false">IF(HF82=1,MAX(0,(Slot20_Cost-HG82*(1+Slot20_Rate)^(Slot20_Age-D82))/OB82),0)</f>
        <v>0</v>
      </c>
      <c r="OH82" s="20" t="n">
        <f aca="false">IF(AND(HU82=1,HF82=1),MIN(OA82,OF82),0)</f>
        <v>0</v>
      </c>
      <c r="OI82" s="20" t="n">
        <f aca="false">OA82-OH82</f>
        <v>0</v>
      </c>
      <c r="OJ82" s="20" t="n">
        <f aca="false">IE82-(IH82+IP82+IX82+JF82+JN82+JV82+KD82+KL82+KT82+LB82+LJ82+LR82+LZ82+MH82+MP82+MX82+NF82+NN82+NV82+OD82)</f>
        <v>0</v>
      </c>
      <c r="OK82" s="20" t="n">
        <f aca="false">IF(HU82=1,HS82-ID82-IE82,0)</f>
        <v>0</v>
      </c>
      <c r="OL82" s="20" t="n">
        <f aca="false">IF(HU82=0,-HS82,0)</f>
        <v>83405.2610563444</v>
      </c>
      <c r="OM82" s="20" t="n">
        <f aca="false">MIN(OL82,HK82)</f>
        <v>0</v>
      </c>
      <c r="ON82" s="20" t="n">
        <f aca="false">OL82-OM82</f>
        <v>83405.2610563444</v>
      </c>
      <c r="OO82" s="20" t="n">
        <f aca="false">MIN(ON82,HL82)</f>
        <v>0</v>
      </c>
      <c r="OP82" s="20" t="n">
        <f aca="false">ON82-OO82</f>
        <v>83405.2610563444</v>
      </c>
      <c r="OQ82" s="20" t="n">
        <f aca="false">IF(AND(HU82=0,HF82=1,OP82&gt;0),MIN(OP82,HG82),0)</f>
        <v>0</v>
      </c>
      <c r="OR82" s="20" t="n">
        <f aca="false">OP82-OQ82</f>
        <v>83405.2610563444</v>
      </c>
      <c r="OS82" s="20" t="n">
        <f aca="false">IF(AND(HU82=0,GV82=1,OR82&gt;0),MIN(OR82,GW82),0)</f>
        <v>0</v>
      </c>
      <c r="OT82" s="20" t="n">
        <f aca="false">OR82-OS82</f>
        <v>83405.2610563444</v>
      </c>
      <c r="OU82" s="20" t="n">
        <f aca="false">IF(AND(HU82=0,GL82=1,OT82&gt;0),MIN(OT82,GM82),0)</f>
        <v>0</v>
      </c>
      <c r="OV82" s="20" t="n">
        <f aca="false">OT82-OU82</f>
        <v>83405.2610563444</v>
      </c>
      <c r="OW82" s="20" t="n">
        <f aca="false">IF(AND(HU82=0,GB82=1,OV82&gt;0),MIN(OV82,GC82),0)</f>
        <v>0</v>
      </c>
      <c r="OX82" s="20" t="n">
        <f aca="false">OV82-OW82</f>
        <v>83405.2610563444</v>
      </c>
      <c r="OY82" s="20" t="n">
        <f aca="false">IF(AND(HU82=0,FR82=1,OX82&gt;0),MIN(OX82,FS82),0)</f>
        <v>0</v>
      </c>
      <c r="OZ82" s="20" t="n">
        <f aca="false">OX82-OY82</f>
        <v>83405.2610563444</v>
      </c>
      <c r="PA82" s="20" t="n">
        <f aca="false">IF(AND(HU82=0,FH82=1,OZ82&gt;0),MIN(OZ82,FI82),0)</f>
        <v>0</v>
      </c>
      <c r="PB82" s="20" t="n">
        <f aca="false">OZ82-PA82</f>
        <v>83405.2610563444</v>
      </c>
      <c r="PC82" s="20" t="n">
        <f aca="false">IF(AND(HU82=0,EX82=1,PB82&gt;0),MIN(PB82,EY82),0)</f>
        <v>0</v>
      </c>
      <c r="PD82" s="20" t="n">
        <f aca="false">PB82-PC82</f>
        <v>83405.2610563444</v>
      </c>
      <c r="PE82" s="20" t="n">
        <f aca="false">IF(AND(HU82=0,EN82=1,PD82&gt;0),MIN(PD82,EO82),0)</f>
        <v>0</v>
      </c>
      <c r="PF82" s="20" t="n">
        <f aca="false">PD82-PE82</f>
        <v>83405.2610563444</v>
      </c>
      <c r="PG82" s="20" t="n">
        <f aca="false">IF(AND(HU82=0,ED82=1,PF82&gt;0),MIN(PF82,EE82),0)</f>
        <v>0</v>
      </c>
      <c r="PH82" s="20" t="n">
        <f aca="false">PF82-PG82</f>
        <v>83405.2610563444</v>
      </c>
      <c r="PI82" s="20" t="n">
        <f aca="false">IF(AND(HU82=0,DT82=1,PH82&gt;0),MIN(PH82,DU82),0)</f>
        <v>0</v>
      </c>
      <c r="PJ82" s="20" t="n">
        <f aca="false">PH82-PI82</f>
        <v>83405.2610563444</v>
      </c>
      <c r="PK82" s="20" t="n">
        <f aca="false">IF(AND(HU82=0,DJ82=1,PJ82&gt;0),MIN(PJ82,DK82),0)</f>
        <v>0</v>
      </c>
      <c r="PL82" s="20" t="n">
        <f aca="false">PJ82-PK82</f>
        <v>83405.2610563444</v>
      </c>
      <c r="PM82" s="20" t="n">
        <f aca="false">IF(AND(HU82=0,CZ82=1,PL82&gt;0),MIN(PL82,DA82),0)</f>
        <v>0</v>
      </c>
      <c r="PN82" s="20" t="n">
        <f aca="false">PL82-PM82</f>
        <v>83405.2610563444</v>
      </c>
      <c r="PO82" s="20" t="n">
        <f aca="false">IF(AND(HU82=0,CP82=1,PN82&gt;0),MIN(PN82,CQ82),0)</f>
        <v>0</v>
      </c>
      <c r="PP82" s="20" t="n">
        <f aca="false">PN82-PO82</f>
        <v>83405.2610563444</v>
      </c>
      <c r="PQ82" s="20" t="n">
        <f aca="false">IF(AND(HU82=0,CF82=1,PP82&gt;0),MIN(PP82,CG82),0)</f>
        <v>0</v>
      </c>
      <c r="PR82" s="20" t="n">
        <f aca="false">PP82-PQ82</f>
        <v>83405.2610563444</v>
      </c>
      <c r="PS82" s="20" t="n">
        <f aca="false">IF(AND(HU82=0,BV82=1,PR82&gt;0),MIN(PR82,BW82),0)</f>
        <v>0</v>
      </c>
      <c r="PT82" s="20" t="n">
        <f aca="false">PR82-PS82</f>
        <v>83405.2610563444</v>
      </c>
      <c r="PU82" s="20" t="n">
        <f aca="false">IF(AND(HU82=0,BL82=1,PT82&gt;0),MIN(PT82,BM82),0)</f>
        <v>0</v>
      </c>
      <c r="PV82" s="20" t="n">
        <f aca="false">PT82-PU82</f>
        <v>83405.2610563444</v>
      </c>
      <c r="PW82" s="20" t="n">
        <f aca="false">IF(AND(HU82=0,BB82=1,PV82&gt;0),MIN(PV82,BC82),0)</f>
        <v>0</v>
      </c>
      <c r="PX82" s="20" t="n">
        <f aca="false">PV82-PW82</f>
        <v>83405.2610563444</v>
      </c>
      <c r="PY82" s="20" t="n">
        <f aca="false">IF(AND(HU82=0,AR82=1,PX82&gt;0),MIN(PX82,AS82),0)</f>
        <v>0</v>
      </c>
      <c r="PZ82" s="20" t="n">
        <f aca="false">PX82-PY82</f>
        <v>83405.2610563444</v>
      </c>
      <c r="QA82" s="20" t="n">
        <f aca="false">IF(AND(HU82=0,AH82=1,PZ82&gt;0),MIN(PZ82,AI82),0)</f>
        <v>0</v>
      </c>
      <c r="QB82" s="20" t="n">
        <f aca="false">PZ82-QA82</f>
        <v>83405.2610563444</v>
      </c>
      <c r="QC82" s="20" t="n">
        <f aca="false">IF(AND(HU82=0,W82=1,QB82&gt;0),MIN(QB82,X82),0)</f>
        <v>0</v>
      </c>
      <c r="QD82" s="20" t="n">
        <f aca="false">QB82-QC82</f>
        <v>83405.2610563444</v>
      </c>
      <c r="QE82" s="20" t="n">
        <f aca="false">IF(HU82=0,QD82,0)</f>
        <v>83405.2610563444</v>
      </c>
      <c r="QF82" s="20" t="n">
        <f aca="false">OM82+OO82+QC82+QA82+PY82+PW82+PU82+PS82+PQ82+PO82+PM82+PK82+PI82+PG82+PE82+PC82+PA82+OY82+OW82+OU82+OS82+OQ82</f>
        <v>0</v>
      </c>
      <c r="QG82" s="20" t="n">
        <f aca="false">IF(HU82=1,HK82+OJ82+OI82+IF(G82=1,0,OK82),HK82-OM82)</f>
        <v>0</v>
      </c>
      <c r="QH82" s="20" t="n">
        <f aca="false">HL82-OO82</f>
        <v>0</v>
      </c>
      <c r="QI82" s="20" t="n">
        <f aca="false">IF(HU82=1,IF(G82=1,ID82+IE82,HS82),0)</f>
        <v>0</v>
      </c>
      <c r="QJ82" s="20" t="n">
        <f aca="false">IF(HU82=1,IF(G82=1,HS82-ID82-IE82,0),0)</f>
        <v>0</v>
      </c>
      <c r="QK82" s="57" t="n">
        <f aca="false">'Plan holdings'!BM82</f>
        <v>0</v>
      </c>
      <c r="QL82" s="20" t="n">
        <f aca="false">QH82*(1+AS_Cash)</f>
        <v>0</v>
      </c>
      <c r="QM82" s="20" t="n">
        <f aca="false">IF(W82=1,IF(HU82=1,II82+IL82,X82-QC82)*(1+Slot1_Rate),0)</f>
        <v>0</v>
      </c>
      <c r="QN82" s="20" t="n">
        <f aca="false">IF(AND(HU82=1,W82=1),(IH82+IL82)/F82,0)</f>
        <v>0</v>
      </c>
      <c r="QO82" s="20" t="n">
        <f aca="false">IF(B82=0,IH82+IL82,0)</f>
        <v>0</v>
      </c>
      <c r="QP82" s="20" t="n">
        <f aca="false">IF(B82=0,IF(HU82=1,IJ82,IK82),0)</f>
        <v>0</v>
      </c>
      <c r="QQ82" s="20" t="n">
        <f aca="false">IF(AH82=1,IF(HU82=1,IQ82+IT82,AI82-QA82)*(1+Slot2_Rate),0)</f>
        <v>0</v>
      </c>
      <c r="QR82" s="20" t="n">
        <f aca="false">IF(AND(HU82=1,AH82=1),(IP82+IT82)/F82,0)</f>
        <v>0</v>
      </c>
      <c r="QS82" s="20" t="n">
        <f aca="false">IF(B82=0,IP82+IT82,0)</f>
        <v>0</v>
      </c>
      <c r="QT82" s="20" t="n">
        <f aca="false">IF(B82=0,IF(HU82=1,IR82,IS82),0)</f>
        <v>0</v>
      </c>
      <c r="QU82" s="20" t="n">
        <f aca="false">IF(AR82=1,IF(HU82=1,IY82+JB82,AS82-PY82)*(1+Slot3_Rate),0)</f>
        <v>0</v>
      </c>
      <c r="QV82" s="20" t="n">
        <f aca="false">IF(AND(HU82=1,AR82=1),(IX82+JB82)/F82,0)</f>
        <v>0</v>
      </c>
      <c r="QW82" s="20" t="n">
        <f aca="false">IF(B82=0,IX82+JB82,0)</f>
        <v>0</v>
      </c>
      <c r="QX82" s="20" t="n">
        <f aca="false">IF(B82=0,IF(HU82=1,IZ82,JA82),0)</f>
        <v>0</v>
      </c>
      <c r="QY82" s="20" t="n">
        <f aca="false">IF(BB82=1,IF(HU82=1,JG82+JJ82,BC82-PW82)*(1+Slot4_Rate),0)</f>
        <v>0</v>
      </c>
      <c r="QZ82" s="20" t="n">
        <f aca="false">IF(AND(HU82=1,BB82=1),(JF82+JJ82)/F82,0)</f>
        <v>0</v>
      </c>
      <c r="RA82" s="20" t="n">
        <f aca="false">IF(B82=0,JF82+JJ82,0)</f>
        <v>0</v>
      </c>
      <c r="RB82" s="20" t="n">
        <f aca="false">IF(B82=0,IF(HU82=1,JH82,JI82),0)</f>
        <v>0</v>
      </c>
      <c r="RC82" s="20" t="n">
        <f aca="false">IF(BL82=1,IF(HU82=1,JO82+JR82,BM82-PU82)*(1+Slot5_Rate),0)</f>
        <v>0</v>
      </c>
      <c r="RD82" s="20" t="n">
        <f aca="false">IF(AND(HU82=1,BL82=1),(JN82+JR82)/F82,0)</f>
        <v>0</v>
      </c>
      <c r="RE82" s="20" t="n">
        <f aca="false">IF(B82=0,JN82+JR82,0)</f>
        <v>0</v>
      </c>
      <c r="RF82" s="20" t="n">
        <f aca="false">IF(B82=0,IF(HU82=1,JP82,JQ82),0)</f>
        <v>0</v>
      </c>
      <c r="RG82" s="20" t="n">
        <f aca="false">IF(BV82=1,IF(HU82=1,JW82+JZ82,BW82-PS82)*(1+Slot6_Rate),0)</f>
        <v>0</v>
      </c>
      <c r="RH82" s="20" t="n">
        <f aca="false">IF(AND(HU82=1,BV82=1),(JV82+JZ82)/F82,0)</f>
        <v>0</v>
      </c>
      <c r="RI82" s="20" t="n">
        <f aca="false">IF(B82=0,JV82+JZ82,0)</f>
        <v>0</v>
      </c>
      <c r="RJ82" s="20" t="n">
        <f aca="false">IF(B82=0,IF(HU82=1,JX82,JY82),0)</f>
        <v>0</v>
      </c>
      <c r="RK82" s="20" t="n">
        <f aca="false">IF(CF82=1,IF(HU82=1,KE82+KH82,CG82-PQ82)*(1+Slot7_Rate),0)</f>
        <v>0</v>
      </c>
      <c r="RL82" s="20" t="n">
        <f aca="false">IF(AND(HU82=1,CF82=1),(KD82+KH82)/F82,0)</f>
        <v>0</v>
      </c>
      <c r="RM82" s="20" t="n">
        <f aca="false">IF(B82=0,KD82+KH82,0)</f>
        <v>0</v>
      </c>
      <c r="RN82" s="20" t="n">
        <f aca="false">IF(B82=0,IF(HU82=1,KF82,KG82),0)</f>
        <v>0</v>
      </c>
      <c r="RO82" s="20" t="n">
        <f aca="false">IF(CP82=1,IF(HU82=1,KM82+KP82,CQ82-PO82)*(1+Slot8_Rate),0)</f>
        <v>0</v>
      </c>
      <c r="RP82" s="20" t="n">
        <f aca="false">IF(AND(HU82=1,CP82=1),(KL82+KP82)/F82,0)</f>
        <v>0</v>
      </c>
      <c r="RQ82" s="20" t="n">
        <f aca="false">IF(B82=0,KL82+KP82,0)</f>
        <v>0</v>
      </c>
      <c r="RR82" s="20" t="n">
        <f aca="false">IF(B82=0,IF(HU82=1,KN82,KO82),0)</f>
        <v>0</v>
      </c>
      <c r="RS82" s="20" t="n">
        <f aca="false">IF(CZ82=1,IF(HU82=1,KU82+KX82,DA82-PM82)*(1+Slot9_Rate),0)</f>
        <v>0</v>
      </c>
      <c r="RT82" s="20" t="n">
        <f aca="false">IF(AND(HU82=1,CZ82=1),(KT82+KX82)/F82,0)</f>
        <v>0</v>
      </c>
      <c r="RU82" s="20" t="n">
        <f aca="false">IF(B82=0,KT82+KX82,0)</f>
        <v>0</v>
      </c>
      <c r="RV82" s="20" t="n">
        <f aca="false">IF(B82=0,IF(HU82=1,KV82,KW82),0)</f>
        <v>0</v>
      </c>
      <c r="RW82" s="20" t="n">
        <f aca="false">IF(DJ82=1,IF(HU82=1,LC82+LF82,DK82-PK82)*(1+Slot10_Rate),0)</f>
        <v>0</v>
      </c>
      <c r="RX82" s="20" t="n">
        <f aca="false">IF(AND(HU82=1,DJ82=1),(LB82+LF82)/F82,0)</f>
        <v>0</v>
      </c>
      <c r="RY82" s="20" t="n">
        <f aca="false">IF(B82=0,LB82+LF82,0)</f>
        <v>0</v>
      </c>
      <c r="RZ82" s="20" t="n">
        <f aca="false">IF(B82=0,IF(HU82=1,LD82,LE82),0)</f>
        <v>0</v>
      </c>
      <c r="SA82" s="20" t="n">
        <f aca="false">IF(DT82=1,IF(HU82=1,LK82+LN82,DU82-PI82)*(1+Slot11_Rate),0)</f>
        <v>0</v>
      </c>
      <c r="SB82" s="20" t="n">
        <f aca="false">IF(AND(HU82=1,DT82=1),(LJ82+LN82)/F82,0)</f>
        <v>0</v>
      </c>
      <c r="SC82" s="20" t="n">
        <f aca="false">IF(B82=0,LJ82+LN82,0)</f>
        <v>0</v>
      </c>
      <c r="SD82" s="20" t="n">
        <f aca="false">IF(B82=0,IF(HU82=1,LL82,LM82),0)</f>
        <v>0</v>
      </c>
      <c r="SE82" s="20" t="n">
        <f aca="false">IF(ED82=1,IF(HU82=1,LS82+LV82,EE82-PG82)*(1+Slot12_Rate),0)</f>
        <v>0</v>
      </c>
      <c r="SF82" s="20" t="n">
        <f aca="false">IF(AND(HU82=1,ED82=1),(LR82+LV82)/F82,0)</f>
        <v>0</v>
      </c>
      <c r="SG82" s="20" t="n">
        <f aca="false">IF(B82=0,LR82+LV82,0)</f>
        <v>0</v>
      </c>
      <c r="SH82" s="20" t="n">
        <f aca="false">IF(B82=0,IF(HU82=1,LT82,LU82),0)</f>
        <v>0</v>
      </c>
      <c r="SI82" s="20" t="n">
        <f aca="false">IF(EN82=1,IF(HU82=1,MA82+MD82,EO82-PE82)*(1+Slot13_Rate),0)</f>
        <v>0</v>
      </c>
      <c r="SJ82" s="20" t="n">
        <f aca="false">IF(AND(HU82=1,EN82=1),(LZ82+MD82)/F82,0)</f>
        <v>0</v>
      </c>
      <c r="SK82" s="20" t="n">
        <f aca="false">IF(B82=0,LZ82+MD82,0)</f>
        <v>0</v>
      </c>
      <c r="SL82" s="20" t="n">
        <f aca="false">IF(B82=0,IF(HU82=1,MB82,MC82),0)</f>
        <v>0</v>
      </c>
      <c r="SM82" s="20" t="n">
        <f aca="false">IF(EX82=1,IF(HU82=1,MI82+ML82,EY82-PC82)*(1+Slot14_Rate),0)</f>
        <v>0</v>
      </c>
      <c r="SN82" s="20" t="n">
        <f aca="false">IF(AND(HU82=1,EX82=1),(MH82+ML82)/F82,0)</f>
        <v>0</v>
      </c>
      <c r="SO82" s="20" t="n">
        <f aca="false">IF(B82=0,MH82+ML82,0)</f>
        <v>0</v>
      </c>
      <c r="SP82" s="20" t="n">
        <f aca="false">IF(B82=0,IF(HU82=1,MJ82,MK82),0)</f>
        <v>0</v>
      </c>
      <c r="SQ82" s="20" t="n">
        <f aca="false">IF(FH82=1,IF(HU82=1,MQ82+MT82,FI82-PA82)*(1+Slot15_Rate),0)</f>
        <v>0</v>
      </c>
      <c r="SR82" s="20" t="n">
        <f aca="false">IF(AND(HU82=1,FH82=1),(MP82+MT82)/F82,0)</f>
        <v>0</v>
      </c>
      <c r="SS82" s="20" t="n">
        <f aca="false">IF(B82=0,MP82+MT82,0)</f>
        <v>0</v>
      </c>
      <c r="ST82" s="20" t="n">
        <f aca="false">IF(B82=0,IF(HU82=1,MR82,MS82),0)</f>
        <v>0</v>
      </c>
      <c r="SU82" s="20" t="n">
        <f aca="false">IF(FR82=1,IF(HU82=1,MY82+NB82,FS82-OY82)*(1+Slot16_Rate),0)</f>
        <v>0</v>
      </c>
      <c r="SV82" s="20" t="n">
        <f aca="false">IF(AND(HU82=1,FR82=1),(MX82+NB82)/F82,0)</f>
        <v>0</v>
      </c>
      <c r="SW82" s="20" t="n">
        <f aca="false">IF(B82=0,MX82+NB82,0)</f>
        <v>0</v>
      </c>
      <c r="SX82" s="20" t="n">
        <f aca="false">IF(B82=0,IF(HU82=1,MZ82,NA82),0)</f>
        <v>0</v>
      </c>
      <c r="SY82" s="20" t="n">
        <f aca="false">IF(GB82=1,IF(HU82=1,NG82+NJ82,GC82-OW82)*(1+Slot17_Rate),0)</f>
        <v>0</v>
      </c>
      <c r="SZ82" s="20" t="n">
        <f aca="false">IF(AND(HU82=1,GB82=1),(NF82+NJ82)/F82,0)</f>
        <v>0</v>
      </c>
      <c r="TA82" s="20" t="n">
        <f aca="false">IF(B82=0,NF82+NJ82,0)</f>
        <v>0</v>
      </c>
      <c r="TB82" s="20" t="n">
        <f aca="false">IF(B82=0,IF(HU82=1,NH82,NI82),0)</f>
        <v>0</v>
      </c>
      <c r="TC82" s="20" t="n">
        <f aca="false">IF(GL82=1,IF(HU82=1,NO82+NR82,GM82-OU82)*(1+Slot18_Rate),0)</f>
        <v>0</v>
      </c>
      <c r="TD82" s="20" t="n">
        <f aca="false">IF(AND(HU82=1,GL82=1),(NN82+NR82)/F82,0)</f>
        <v>0</v>
      </c>
      <c r="TE82" s="20" t="n">
        <f aca="false">IF(B82=0,NN82+NR82,0)</f>
        <v>0</v>
      </c>
      <c r="TF82" s="20" t="n">
        <f aca="false">IF(B82=0,IF(HU82=1,NP82,NQ82),0)</f>
        <v>0</v>
      </c>
      <c r="TG82" s="20" t="n">
        <f aca="false">IF(GV82=1,IF(HU82=1,NW82+NZ82,GW82-OS82)*(1+Slot19_Rate),0)</f>
        <v>0</v>
      </c>
      <c r="TH82" s="20" t="n">
        <f aca="false">IF(AND(HU82=1,GV82=1),(NV82+NZ82)/F82,0)</f>
        <v>0</v>
      </c>
      <c r="TI82" s="20" t="n">
        <f aca="false">IF(B82=0,NV82+NZ82,0)</f>
        <v>0</v>
      </c>
      <c r="TJ82" s="20" t="n">
        <f aca="false">IF(B82=0,IF(HU82=1,NX82,NY82),0)</f>
        <v>0</v>
      </c>
      <c r="TK82" s="20" t="n">
        <f aca="false">IF(HF82=1,IF(HU82=1,OE82+OH82,HG82-OQ82)*(1+Slot20_Rate),0)</f>
        <v>0</v>
      </c>
      <c r="TL82" s="20" t="n">
        <f aca="false">IF(AND(HU82=1,HF82=1),(OD82+OH82)/F82,0)</f>
        <v>0</v>
      </c>
      <c r="TM82" s="20" t="n">
        <f aca="false">IF(B82=0,OD82+OH82,0)</f>
        <v>0</v>
      </c>
      <c r="TN82" s="20" t="n">
        <f aca="false">IF(B82=0,IF(HU82=1,OF82,OG82),0)</f>
        <v>0</v>
      </c>
      <c r="TO82" s="20" t="n">
        <f aca="false">QK82+QL82+QM82+QQ82+QU82+QY82+RC82+RG82+RK82+RO82+RS82+RW82+SA82+SE82+SI82+SM82+SQ82+SU82+SY82+TC82+TG82+TK82</f>
        <v>0</v>
      </c>
      <c r="TP82" s="20" t="n">
        <f aca="false">QE82+HP82</f>
        <v>83405.2610563444</v>
      </c>
      <c r="TQ82" s="20" t="n">
        <f aca="false">I82+S82</f>
        <v>206938.171328532</v>
      </c>
      <c r="TR82" s="20" t="n">
        <f aca="false">1-G82</f>
        <v>1</v>
      </c>
      <c r="TS82" s="20" t="n">
        <f aca="false">IF(AND(RG_Exists=1,G82=0,C82=1),I82,0)</f>
        <v>0</v>
      </c>
      <c r="TT82" s="20" t="n">
        <f aca="false">IF(AND(RG_Exists=1,G82=0,C82=1),I82-MIN(QE82,I82),0)</f>
        <v>0</v>
      </c>
      <c r="TU82" s="20" t="n">
        <f aca="false">'Plan pay &amp; tax'!AD308</f>
        <v>0</v>
      </c>
      <c r="TV82" s="20" t="n">
        <f aca="false">IF(AND(C82=1,QE82&gt;MAX(PR_Short1,TQ82*PR_Short2)),1,0)</f>
        <v>0</v>
      </c>
      <c r="TW82" s="20" t="n">
        <f aca="false">MIN(H82,I82+S82)</f>
        <v>123532.910272188</v>
      </c>
      <c r="TX82" s="20" t="n">
        <f aca="false">QF82+MAX(0,HQ82-HP82)</f>
        <v>0</v>
      </c>
      <c r="TY82" s="20" t="n">
        <f aca="false">QE82+HP82</f>
        <v>83405.2610563444</v>
      </c>
      <c r="TZ82" s="20" t="n">
        <f aca="false">IF(AND(C82=1,TY82&gt;PR_MinShort),1,0)</f>
        <v>0</v>
      </c>
      <c r="UA82" s="20" t="n">
        <f aca="false">IF(AND(C82=1,TZ82=0,TX82&gt;PR_MinShort),1,0)</f>
        <v>0</v>
      </c>
      <c r="UB82" s="20" t="n">
        <f aca="false">IF(AND(C82=1,QE82&gt;PR_MinShort),1,0)</f>
        <v>0</v>
      </c>
      <c r="UC82" s="20" t="n">
        <f aca="false">IF(AND(C82=1,QF82&gt;1,UJ82=0),1,0)</f>
        <v>0</v>
      </c>
      <c r="UD82" s="20" t="str">
        <f aca="false">IF(C82=0,"",IF(UJ82=1,"Gap to plan for: short "&amp;"€"&amp;TEXT(ROUND(TP82,0),"#,##0"),IF(QF82&gt;1,"Using savings","Comfortable")))</f>
        <v/>
      </c>
      <c r="UE82" s="20" t="n">
        <f aca="false">IF(AND(INT(D82/10)*10=90,B82&gt;0),80,INT(D82/10)*10)</f>
        <v>110</v>
      </c>
      <c r="UF82" s="20" t="n">
        <f aca="false">IF(B82=0,1,IF(UE82&lt;&gt;UE81,UF81+1,UF81))</f>
        <v>8</v>
      </c>
      <c r="UG82" s="20" t="n">
        <f aca="false">IF(AND(C82=1,G82=1,QE82&gt;MAX(PR_Short1,TQ82*PR_Short2)),1,0)</f>
        <v>0</v>
      </c>
      <c r="UH82" s="20" t="n">
        <f aca="false">TR82*TV82</f>
        <v>0</v>
      </c>
      <c r="UI82" s="20" t="n">
        <f aca="false">IF(AND(V82=1,Slot1_PctLow=1),1,0)+IF(AND(AG82=1,Slot2_PctLow=1),1,0)+IF(AND(AQ82=1,Slot3_PctLow=1),1,0)+IF(AND(BA82=1,Slot4_PctLow=1),1,0)+IF(AND(BK82=1,Slot5_PctLow=1),1,0)+IF(AND(BU82=1,Slot6_PctLow=1),1,0)+IF(AND(CE82=1,Slot7_PctLow=1),1,0)+IF(AND(CO82=1,Slot8_PctLow=1),1,0)+IF(AND(CY82=1,Slot9_PctLow=1),1,0)+IF(AND(DI82=1,Slot10_PctLow=1),1,0)+IF(AND(DS82=1,Slot11_PctLow=1),1,0)+IF(AND(EC82=1,Slot12_PctLow=1),1,0)+IF(AND(EM82=1,Slot13_PctLow=1),1,0)+IF(AND(EW82=1,Slot14_PctLow=1),1,0)+IF(AND(FG82=1,Slot15_PctLow=1),1,0)+IF(AND(FQ82=1,Slot16_PctLow=1),1,0)+IF(AND(GA82=1,Slot17_PctLow=1),1,0)+IF(AND(GK82=1,Slot18_PctLow=1),1,0)+IF(AND(GU82=1,Slot19_PctLow=1),1,0)+IF(AND(HE82=1,Slot20_PctLow=1),1,0)</f>
        <v>0</v>
      </c>
      <c r="UJ82" s="20" t="n">
        <f aca="false">IF(C82=1,IF(OR(TV82=1,UI82&gt;0),1,0),0)</f>
        <v>0</v>
      </c>
      <c r="UK82" s="20" t="n">
        <f aca="false">Z82+AK82+AU82+BE82+BO82+BY82+CI82+CS82+DC82+DM82+DW82+EG82+EQ82+FA82+FK82+FU82+GE82+GO82+GY82+HI82+OM82</f>
        <v>0</v>
      </c>
      <c r="UL82" s="20" t="n">
        <f aca="false">V82*IF(Slot1_SpendLike=1,X82-Y82,IF(Slot1_PotFree=1,X82,0))+AG82*IF(Slot2_SpendLike=1,AI82-AJ82,IF(Slot2_PotFree=1,AI82,0))+AQ82*IF(Slot3_SpendLike=1,AS82-AT82,IF(Slot3_PotFree=1,AS82,0))+BA82*IF(Slot4_SpendLike=1,BC82-BD82,IF(Slot4_PotFree=1,BC82,0))+BK82*IF(Slot5_SpendLike=1,BM82-BN82,IF(Slot5_PotFree=1,BM82,0))+BU82*IF(Slot6_SpendLike=1,BW82-BX82,IF(Slot6_PotFree=1,BW82,0))+CE82*IF(Slot7_SpendLike=1,CG82-CH82,IF(Slot7_PotFree=1,CG82,0))+CO82*IF(Slot8_SpendLike=1,CQ82-CR82,IF(Slot8_PotFree=1,CQ82,0))+CY82*IF(Slot9_SpendLike=1,DA82-DB82,IF(Slot9_PotFree=1,DA82,0))+DI82*IF(Slot10_SpendLike=1,DK82-DL82,IF(Slot10_PotFree=1,DK82,0))+DS82*IF(Slot11_SpendLike=1,DU82-DV82,IF(Slot11_PotFree=1,DU82,0))+EC82*IF(Slot12_SpendLike=1,EE82-EF82,IF(Slot12_PotFree=1,EE82,0))+EM82*IF(Slot13_SpendLike=1,EO82-EP82,IF(Slot13_PotFree=1,EO82,0))+EW82*IF(Slot14_SpendLike=1,EY82-EZ82,IF(Slot14_PotFree=1,EY82,0))+FG82*IF(Slot15_SpendLike=1,FI82-FJ82,IF(Slot15_PotFree=1,FI82,0))+FQ82*IF(Slot16_SpendLike=1,FS82-FT82,IF(Slot16_PotFree=1,FS82,0))+GA82*IF(Slot17_SpendLike=1,GC82-GD82,IF(Slot17_PotFree=1,GC82,0))+GK82*IF(Slot18_SpendLike=1,GM82-GN82,IF(Slot18_PotFree=1,GM82,0))+GU82*IF(Slot19_SpendLike=1,GW82-GX82,IF(Slot19_PotFree=1,GW82,0))+HE82*IF(Slot20_SpendLike=1,HG82-HH82,IF(Slot20_PotFree=1,HG82,0))</f>
        <v>0</v>
      </c>
      <c r="UM82" s="20" t="n">
        <f aca="false">QG82-T82+UK82-UL82</f>
        <v>0</v>
      </c>
      <c r="UN82" s="20" t="n">
        <f aca="false">IF(OR(UN81=1,AND(In_homeUse="Yes, I'd downsize",In_downAge&gt;0,D82=In_downAge,OR(In_home="Own outright",In_home="Own with mortgage"),In_homeValue&gt;0)),1,0)</f>
        <v>0</v>
      </c>
    </row>
    <row r="83" customFormat="false" ht="15" hidden="false" customHeight="true" outlineLevel="0" collapsed="false">
      <c r="B83" s="20" t="n">
        <v>75</v>
      </c>
      <c r="C83" s="20" t="n">
        <f aca="false">IF(B83&lt;=F_N,1,0)</f>
        <v>0</v>
      </c>
      <c r="D83" s="20" t="n">
        <f aca="false">'Plan pay &amp; tax'!C309</f>
        <v>113</v>
      </c>
      <c r="E83" s="20" t="str">
        <f aca="false">IF($C83=1,"Income tax "&amp;TEXT(N('Plan pay &amp; tax'!BK309),"#,##0")&amp;"; USC "&amp;TEXT(N('Plan pay &amp; tax'!BM309)+N('Plan pay &amp; tax'!BO309),"#,##0")&amp;"; PRSI "&amp;TEXT(N('Plan pay &amp; tax'!BP309)+N('Plan pay &amp; tax'!BQ309),"#,##0")&amp;IF(N('Plan holdings'!BO83)&gt;=0.5,"; DIRT "&amp;TEXT(('Plan holdings'!BO83)/$F83,"#,##0")&amp;" (already taken from the interest earned)","")&amp;IF(N('Plan holdings'!BP83)&gt;=0.5,"; exit tax at an 8-year anniversary "&amp;TEXT(('Plan holdings'!BP83)/$F83,"#,##0"),"")&amp;IF(N('Plan holdings'!BN83)&gt;=0.5,"; tax on assets sold (exit tax or capital gains tax) "&amp;TEXT(('Plan holdings'!BN83)/$F83,"#,##0"),"")&amp;IF(N('Plan pay &amp; tax'!X309)-N('Plan pay &amp; tax'!Y309)&gt;=0.5,"; tax on the pension lump sum "&amp;TEXT(('Plan pay &amp; tax'!X309-'Plan pay &amp; tax'!Y309)/$F83,"#,##0"),"")&amp;IF(N('Plan pay &amp; tax'!V309)&gt;=0.5,"; chargeable excess tax on the pension "&amp;TEXT(('Plan pay &amp; tax'!V309)/$F83,"#,##0"),"")&amp;".","")</f>
        <v/>
      </c>
      <c r="F83" s="50" t="n">
        <f aca="false">'Plan pay &amp; tax'!E309</f>
        <v>4.41583545512767</v>
      </c>
      <c r="G83" s="20" t="n">
        <f aca="false">'Plan pay &amp; tax'!G309</f>
        <v>0</v>
      </c>
      <c r="H83" s="20" t="n">
        <f aca="false">'Plan pay &amp; tax'!BT309-'Plan pay &amp; tax'!BS309-'Plan pay &amp; tax'!R309</f>
        <v>126003.568477631</v>
      </c>
      <c r="I83" s="20" t="n">
        <f aca="false">IF(G83=1,F_CostsM*12,IF(RG_Exists=1,RG_Amount,F_CostsM*12*AS_RetireSpend))*F83+F_OneOffY*F83</f>
        <v>211076.934755103</v>
      </c>
      <c r="J83" s="20" t="n">
        <f aca="false">IF(UN83=1,0,HR82)</f>
        <v>0</v>
      </c>
      <c r="K83" s="20" t="n">
        <f aca="false">IF(J83&gt;1,'Plan debt months'!AC83,0)</f>
        <v>0</v>
      </c>
      <c r="L83" s="20" t="n">
        <f aca="false">IF(J83&gt;1,'Plan debt months'!AB83,J83)</f>
        <v>0</v>
      </c>
      <c r="M83" s="20" t="n">
        <f aca="false">O82</f>
        <v>0</v>
      </c>
      <c r="N83" s="20" t="n">
        <f aca="false">IF(M83&gt;1,'Plan debt months'!BD83,0)</f>
        <v>0</v>
      </c>
      <c r="O83" s="20" t="n">
        <f aca="false">IF(M83&gt;1,'Plan debt months'!BC83,M83)</f>
        <v>0</v>
      </c>
      <c r="P83" s="20" t="n">
        <f aca="false">R82</f>
        <v>0</v>
      </c>
      <c r="Q83" s="20" t="n">
        <f aca="false">IF(P83&gt;1,'Plan debt months'!CE83,0)</f>
        <v>0</v>
      </c>
      <c r="R83" s="20" t="n">
        <f aca="false">IF(P83&gt;1,'Plan debt months'!CD83,P83)</f>
        <v>0</v>
      </c>
      <c r="S83" s="20" t="n">
        <f aca="false">K83+N83+Q83</f>
        <v>0</v>
      </c>
      <c r="T83" s="57" t="n">
        <f aca="false">'Plan holdings'!Y83</f>
        <v>0</v>
      </c>
      <c r="U83" s="57" t="n">
        <f aca="false">'Plan holdings'!BM82</f>
        <v>0</v>
      </c>
      <c r="V83" s="20" t="n">
        <f aca="false">IF(AND(Slot1_On=1,D83=Slot1_Age),1,0)</f>
        <v>0</v>
      </c>
      <c r="W83" s="20" t="n">
        <f aca="false">IF(AND(Slot1_On=1,Slot1_Age&gt;D83),1,0)</f>
        <v>0</v>
      </c>
      <c r="X83" s="20" t="n">
        <f aca="false">QM82</f>
        <v>0</v>
      </c>
      <c r="Y83" s="20" t="n">
        <f aca="false">V83*MIN(Slot1_Cost,X83)</f>
        <v>0</v>
      </c>
      <c r="Z83" s="20" t="n">
        <f aca="false">V83*Slot1_SpendLike*MIN(Slot1_Cost-Y83,T83)</f>
        <v>0</v>
      </c>
      <c r="AA83" s="20" t="n">
        <f aca="false">Y83+Z83</f>
        <v>0</v>
      </c>
      <c r="AB83" s="20" t="n">
        <f aca="false">T83-Z83+V83*IF(Slot1_SpendLike=1,X83-Y83,IF(Slot1_PotFree=1,X83,0))</f>
        <v>0</v>
      </c>
      <c r="AC83" s="20" t="n">
        <f aca="false">AF83+V83*Slot1_BufPot*X83</f>
        <v>0</v>
      </c>
      <c r="AD83" s="20" t="n">
        <f aca="false">IF(AND(V83=1,Slot1_IsMfree=1),IF(AA83&gt;=Slot1_Cost-1,0,MAX(0,L83-AA83)),L83)</f>
        <v>0</v>
      </c>
      <c r="AE83" s="20" t="n">
        <f aca="false">V83*(Slot1_Cost-AA83)</f>
        <v>0</v>
      </c>
      <c r="AF83" s="20" t="n">
        <f aca="false">QL82</f>
        <v>0</v>
      </c>
      <c r="AG83" s="20" t="n">
        <f aca="false">IF(AND(Slot2_On=1,D83=Slot2_Age),1,0)</f>
        <v>0</v>
      </c>
      <c r="AH83" s="20" t="n">
        <f aca="false">IF(AND(Slot2_On=1,Slot2_Age&gt;D83),1,0)</f>
        <v>0</v>
      </c>
      <c r="AI83" s="20" t="n">
        <f aca="false">QQ82</f>
        <v>0</v>
      </c>
      <c r="AJ83" s="20" t="n">
        <f aca="false">AG83*MIN(Slot2_Cost,AI83)</f>
        <v>0</v>
      </c>
      <c r="AK83" s="20" t="n">
        <f aca="false">AG83*Slot2_SpendLike*MIN(Slot2_Cost-AJ83,AB83)</f>
        <v>0</v>
      </c>
      <c r="AL83" s="20" t="n">
        <f aca="false">AJ83+AK83</f>
        <v>0</v>
      </c>
      <c r="AM83" s="20" t="n">
        <f aca="false">AB83-AK83+AG83*IF(Slot2_SpendLike=1,AI83-AJ83,IF(Slot2_PotFree=1,AI83,0))</f>
        <v>0</v>
      </c>
      <c r="AN83" s="20" t="n">
        <f aca="false">AC83+AG83*Slot2_BufPot*AI83</f>
        <v>0</v>
      </c>
      <c r="AO83" s="20" t="n">
        <f aca="false">IF(AND(AG83=1,Slot2_IsMfree=1),IF(AL83&gt;=Slot2_Cost-1,0,MAX(0,AD83-AL83)),AD83)</f>
        <v>0</v>
      </c>
      <c r="AP83" s="20" t="n">
        <f aca="false">AG83*(Slot2_Cost-AL83)</f>
        <v>0</v>
      </c>
      <c r="AQ83" s="20" t="n">
        <f aca="false">IF(AND(Slot3_On=1,D83=Slot3_Age),1,0)</f>
        <v>0</v>
      </c>
      <c r="AR83" s="20" t="n">
        <f aca="false">IF(AND(Slot3_On=1,Slot3_Age&gt;D83),1,0)</f>
        <v>0</v>
      </c>
      <c r="AS83" s="20" t="n">
        <f aca="false">QU82</f>
        <v>0</v>
      </c>
      <c r="AT83" s="20" t="n">
        <f aca="false">AQ83*MIN(Slot3_Cost,AS83)</f>
        <v>0</v>
      </c>
      <c r="AU83" s="20" t="n">
        <f aca="false">AQ83*Slot3_SpendLike*MIN(Slot3_Cost-AT83,AM83)</f>
        <v>0</v>
      </c>
      <c r="AV83" s="20" t="n">
        <f aca="false">AT83+AU83</f>
        <v>0</v>
      </c>
      <c r="AW83" s="20" t="n">
        <f aca="false">AM83-AU83+AQ83*IF(Slot3_SpendLike=1,AS83-AT83,IF(Slot3_PotFree=1,AS83,0))</f>
        <v>0</v>
      </c>
      <c r="AX83" s="20" t="n">
        <f aca="false">AN83+AQ83*Slot3_BufPot*AS83</f>
        <v>0</v>
      </c>
      <c r="AY83" s="20" t="n">
        <f aca="false">IF(AND(AQ83=1,Slot3_IsMfree=1),IF(AV83&gt;=Slot3_Cost-1,0,MAX(0,AO83-AV83)),AO83)</f>
        <v>0</v>
      </c>
      <c r="AZ83" s="20" t="n">
        <f aca="false">AQ83*(Slot3_Cost-AV83)</f>
        <v>0</v>
      </c>
      <c r="BA83" s="20" t="n">
        <f aca="false">IF(AND(Slot4_On=1,D83=Slot4_Age),1,0)</f>
        <v>0</v>
      </c>
      <c r="BB83" s="20" t="n">
        <f aca="false">IF(AND(Slot4_On=1,Slot4_Age&gt;D83),1,0)</f>
        <v>0</v>
      </c>
      <c r="BC83" s="20" t="n">
        <f aca="false">QY82</f>
        <v>0</v>
      </c>
      <c r="BD83" s="20" t="n">
        <f aca="false">BA83*MIN(Slot4_Cost,BC83)</f>
        <v>0</v>
      </c>
      <c r="BE83" s="20" t="n">
        <f aca="false">BA83*Slot4_SpendLike*MIN(Slot4_Cost-BD83,AW83)</f>
        <v>0</v>
      </c>
      <c r="BF83" s="20" t="n">
        <f aca="false">BD83+BE83</f>
        <v>0</v>
      </c>
      <c r="BG83" s="20" t="n">
        <f aca="false">AW83-BE83+BA83*IF(Slot4_SpendLike=1,BC83-BD83,IF(Slot4_PotFree=1,BC83,0))</f>
        <v>0</v>
      </c>
      <c r="BH83" s="20" t="n">
        <f aca="false">AX83+BA83*Slot4_BufPot*BC83</f>
        <v>0</v>
      </c>
      <c r="BI83" s="20" t="n">
        <f aca="false">IF(AND(BA83=1,Slot4_IsMfree=1),IF(BF83&gt;=Slot4_Cost-1,0,MAX(0,AY83-BF83)),AY83)</f>
        <v>0</v>
      </c>
      <c r="BJ83" s="20" t="n">
        <f aca="false">BA83*(Slot4_Cost-BF83)</f>
        <v>0</v>
      </c>
      <c r="BK83" s="20" t="n">
        <f aca="false">IF(AND(Slot5_On=1,D83=Slot5_Age),1,0)</f>
        <v>0</v>
      </c>
      <c r="BL83" s="20" t="n">
        <f aca="false">IF(AND(Slot5_On=1,Slot5_Age&gt;D83),1,0)</f>
        <v>0</v>
      </c>
      <c r="BM83" s="20" t="n">
        <f aca="false">RC82</f>
        <v>0</v>
      </c>
      <c r="BN83" s="20" t="n">
        <f aca="false">BK83*MIN(Slot5_Cost,BM83)</f>
        <v>0</v>
      </c>
      <c r="BO83" s="20" t="n">
        <f aca="false">BK83*Slot5_SpendLike*MIN(Slot5_Cost-BN83,BG83)</f>
        <v>0</v>
      </c>
      <c r="BP83" s="20" t="n">
        <f aca="false">BN83+BO83</f>
        <v>0</v>
      </c>
      <c r="BQ83" s="20" t="n">
        <f aca="false">BG83-BO83+BK83*IF(Slot5_SpendLike=1,BM83-BN83,IF(Slot5_PotFree=1,BM83,0))</f>
        <v>0</v>
      </c>
      <c r="BR83" s="20" t="n">
        <f aca="false">BH83+BK83*Slot5_BufPot*BM83</f>
        <v>0</v>
      </c>
      <c r="BS83" s="20" t="n">
        <f aca="false">IF(AND(BK83=1,Slot5_IsMfree=1),IF(BP83&gt;=Slot5_Cost-1,0,MAX(0,BI83-BP83)),BI83)</f>
        <v>0</v>
      </c>
      <c r="BT83" s="20" t="n">
        <f aca="false">BK83*(Slot5_Cost-BP83)</f>
        <v>0</v>
      </c>
      <c r="BU83" s="20" t="n">
        <f aca="false">IF(AND(Slot6_On=1,D83=Slot6_Age),1,0)</f>
        <v>0</v>
      </c>
      <c r="BV83" s="20" t="n">
        <f aca="false">IF(AND(Slot6_On=1,Slot6_Age&gt;D83),1,0)</f>
        <v>0</v>
      </c>
      <c r="BW83" s="20" t="n">
        <f aca="false">RG82</f>
        <v>0</v>
      </c>
      <c r="BX83" s="20" t="n">
        <f aca="false">BU83*MIN(Slot6_Cost,BW83)</f>
        <v>0</v>
      </c>
      <c r="BY83" s="20" t="n">
        <f aca="false">BU83*Slot6_SpendLike*MIN(Slot6_Cost-BX83,BQ83)</f>
        <v>0</v>
      </c>
      <c r="BZ83" s="20" t="n">
        <f aca="false">BX83+BY83</f>
        <v>0</v>
      </c>
      <c r="CA83" s="20" t="n">
        <f aca="false">BQ83-BY83+BU83*IF(Slot6_SpendLike=1,BW83-BX83,IF(Slot6_PotFree=1,BW83,0))</f>
        <v>0</v>
      </c>
      <c r="CB83" s="20" t="n">
        <f aca="false">BR83+BU83*Slot6_BufPot*BW83</f>
        <v>0</v>
      </c>
      <c r="CC83" s="20" t="n">
        <f aca="false">IF(AND(BU83=1,Slot6_IsMfree=1),IF(BZ83&gt;=Slot6_Cost-1,0,MAX(0,BS83-BZ83)),BS83)</f>
        <v>0</v>
      </c>
      <c r="CD83" s="20" t="n">
        <f aca="false">BU83*(Slot6_Cost-BZ83)</f>
        <v>0</v>
      </c>
      <c r="CE83" s="20" t="n">
        <f aca="false">IF(AND(Slot7_On=1,D83=Slot7_Age),1,0)</f>
        <v>0</v>
      </c>
      <c r="CF83" s="20" t="n">
        <f aca="false">IF(AND(Slot7_On=1,Slot7_Age&gt;D83),1,0)</f>
        <v>0</v>
      </c>
      <c r="CG83" s="20" t="n">
        <f aca="false">RK82</f>
        <v>0</v>
      </c>
      <c r="CH83" s="20" t="n">
        <f aca="false">CE83*MIN(Slot7_Cost,CG83)</f>
        <v>0</v>
      </c>
      <c r="CI83" s="20" t="n">
        <f aca="false">CE83*Slot7_SpendLike*MIN(Slot7_Cost-CH83,CA83)</f>
        <v>0</v>
      </c>
      <c r="CJ83" s="20" t="n">
        <f aca="false">CH83+CI83</f>
        <v>0</v>
      </c>
      <c r="CK83" s="20" t="n">
        <f aca="false">CA83-CI83+CE83*IF(Slot7_SpendLike=1,CG83-CH83,IF(Slot7_PotFree=1,CG83,0))</f>
        <v>0</v>
      </c>
      <c r="CL83" s="20" t="n">
        <f aca="false">CB83+CE83*Slot7_BufPot*CG83</f>
        <v>0</v>
      </c>
      <c r="CM83" s="20" t="n">
        <f aca="false">IF(AND(CE83=1,Slot7_IsMfree=1),IF(CJ83&gt;=Slot7_Cost-1,0,MAX(0,CC83-CJ83)),CC83)</f>
        <v>0</v>
      </c>
      <c r="CN83" s="20" t="n">
        <f aca="false">CE83*(Slot7_Cost-CJ83)</f>
        <v>0</v>
      </c>
      <c r="CO83" s="20" t="n">
        <f aca="false">IF(AND(Slot8_On=1,D83=Slot8_Age),1,0)</f>
        <v>0</v>
      </c>
      <c r="CP83" s="20" t="n">
        <f aca="false">IF(AND(Slot8_On=1,Slot8_Age&gt;D83),1,0)</f>
        <v>0</v>
      </c>
      <c r="CQ83" s="20" t="n">
        <f aca="false">RO82</f>
        <v>0</v>
      </c>
      <c r="CR83" s="20" t="n">
        <f aca="false">CO83*MIN(Slot8_Cost,CQ83)</f>
        <v>0</v>
      </c>
      <c r="CS83" s="20" t="n">
        <f aca="false">CO83*Slot8_SpendLike*MIN(Slot8_Cost-CR83,CK83)</f>
        <v>0</v>
      </c>
      <c r="CT83" s="20" t="n">
        <f aca="false">CR83+CS83</f>
        <v>0</v>
      </c>
      <c r="CU83" s="20" t="n">
        <f aca="false">CK83-CS83+CO83*IF(Slot8_SpendLike=1,CQ83-CR83,IF(Slot8_PotFree=1,CQ83,0))</f>
        <v>0</v>
      </c>
      <c r="CV83" s="20" t="n">
        <f aca="false">CL83+CO83*Slot8_BufPot*CQ83</f>
        <v>0</v>
      </c>
      <c r="CW83" s="20" t="n">
        <f aca="false">IF(AND(CO83=1,Slot8_IsMfree=1),IF(CT83&gt;=Slot8_Cost-1,0,MAX(0,CM83-CT83)),CM83)</f>
        <v>0</v>
      </c>
      <c r="CX83" s="20" t="n">
        <f aca="false">CO83*(Slot8_Cost-CT83)</f>
        <v>0</v>
      </c>
      <c r="CY83" s="20" t="n">
        <f aca="false">IF(AND(Slot9_On=1,D83=Slot9_Age),1,0)</f>
        <v>0</v>
      </c>
      <c r="CZ83" s="20" t="n">
        <f aca="false">IF(AND(Slot9_On=1,Slot9_Age&gt;D83),1,0)</f>
        <v>0</v>
      </c>
      <c r="DA83" s="20" t="n">
        <f aca="false">RS82</f>
        <v>0</v>
      </c>
      <c r="DB83" s="20" t="n">
        <f aca="false">CY83*MIN(Slot9_Cost,DA83)</f>
        <v>0</v>
      </c>
      <c r="DC83" s="20" t="n">
        <f aca="false">CY83*Slot9_SpendLike*MIN(Slot9_Cost-DB83,CU83)</f>
        <v>0</v>
      </c>
      <c r="DD83" s="20" t="n">
        <f aca="false">DB83+DC83</f>
        <v>0</v>
      </c>
      <c r="DE83" s="20" t="n">
        <f aca="false">CU83-DC83+CY83*IF(Slot9_SpendLike=1,DA83-DB83,IF(Slot9_PotFree=1,DA83,0))</f>
        <v>0</v>
      </c>
      <c r="DF83" s="20" t="n">
        <f aca="false">CV83+CY83*Slot9_BufPot*DA83</f>
        <v>0</v>
      </c>
      <c r="DG83" s="20" t="n">
        <f aca="false">IF(AND(CY83=1,Slot9_IsMfree=1),IF(DD83&gt;=Slot9_Cost-1,0,MAX(0,CW83-DD83)),CW83)</f>
        <v>0</v>
      </c>
      <c r="DH83" s="20" t="n">
        <f aca="false">CY83*(Slot9_Cost-DD83)</f>
        <v>0</v>
      </c>
      <c r="DI83" s="20" t="n">
        <f aca="false">IF(AND(Slot10_On=1,D83=Slot10_Age),1,0)</f>
        <v>0</v>
      </c>
      <c r="DJ83" s="20" t="n">
        <f aca="false">IF(AND(Slot10_On=1,Slot10_Age&gt;D83),1,0)</f>
        <v>0</v>
      </c>
      <c r="DK83" s="20" t="n">
        <f aca="false">RW82</f>
        <v>0</v>
      </c>
      <c r="DL83" s="20" t="n">
        <f aca="false">DI83*MIN(Slot10_Cost,DK83)</f>
        <v>0</v>
      </c>
      <c r="DM83" s="20" t="n">
        <f aca="false">DI83*Slot10_SpendLike*MIN(Slot10_Cost-DL83,DE83)</f>
        <v>0</v>
      </c>
      <c r="DN83" s="20" t="n">
        <f aca="false">DL83+DM83</f>
        <v>0</v>
      </c>
      <c r="DO83" s="20" t="n">
        <f aca="false">DE83-DM83+DI83*IF(Slot10_SpendLike=1,DK83-DL83,IF(Slot10_PotFree=1,DK83,0))</f>
        <v>0</v>
      </c>
      <c r="DP83" s="20" t="n">
        <f aca="false">DF83+DI83*Slot10_BufPot*DK83</f>
        <v>0</v>
      </c>
      <c r="DQ83" s="20" t="n">
        <f aca="false">IF(AND(DI83=1,Slot10_IsMfree=1),IF(DN83&gt;=Slot10_Cost-1,0,MAX(0,DG83-DN83)),DG83)</f>
        <v>0</v>
      </c>
      <c r="DR83" s="20" t="n">
        <f aca="false">DI83*(Slot10_Cost-DN83)</f>
        <v>0</v>
      </c>
      <c r="DS83" s="20" t="n">
        <f aca="false">IF(AND(Slot11_On=1,D83=Slot11_Age),1,0)</f>
        <v>0</v>
      </c>
      <c r="DT83" s="20" t="n">
        <f aca="false">IF(AND(Slot11_On=1,Slot11_Age&gt;D83),1,0)</f>
        <v>0</v>
      </c>
      <c r="DU83" s="20" t="n">
        <f aca="false">SA82</f>
        <v>0</v>
      </c>
      <c r="DV83" s="20" t="n">
        <f aca="false">DS83*MIN(Slot11_Cost,DU83)</f>
        <v>0</v>
      </c>
      <c r="DW83" s="20" t="n">
        <f aca="false">DS83*Slot11_SpendLike*MIN(Slot11_Cost-DV83,DO83)</f>
        <v>0</v>
      </c>
      <c r="DX83" s="20" t="n">
        <f aca="false">DV83+DW83</f>
        <v>0</v>
      </c>
      <c r="DY83" s="20" t="n">
        <f aca="false">DO83-DW83+DS83*IF(Slot11_SpendLike=1,DU83-DV83,IF(Slot11_PotFree=1,DU83,0))</f>
        <v>0</v>
      </c>
      <c r="DZ83" s="20" t="n">
        <f aca="false">DP83+DS83*Slot11_BufPot*DU83</f>
        <v>0</v>
      </c>
      <c r="EA83" s="20" t="n">
        <f aca="false">IF(AND(DS83=1,Slot11_IsMfree=1),IF(DX83&gt;=Slot11_Cost-1,0,MAX(0,DQ83-DX83)),DQ83)</f>
        <v>0</v>
      </c>
      <c r="EB83" s="20" t="n">
        <f aca="false">DS83*(Slot11_Cost-DX83)</f>
        <v>0</v>
      </c>
      <c r="EC83" s="20" t="n">
        <f aca="false">IF(AND(Slot12_On=1,D83=Slot12_Age),1,0)</f>
        <v>0</v>
      </c>
      <c r="ED83" s="20" t="n">
        <f aca="false">IF(AND(Slot12_On=1,Slot12_Age&gt;D83),1,0)</f>
        <v>0</v>
      </c>
      <c r="EE83" s="20" t="n">
        <f aca="false">SE82</f>
        <v>0</v>
      </c>
      <c r="EF83" s="20" t="n">
        <f aca="false">EC83*MIN(Slot12_Cost,EE83)</f>
        <v>0</v>
      </c>
      <c r="EG83" s="20" t="n">
        <f aca="false">EC83*Slot12_SpendLike*MIN(Slot12_Cost-EF83,DY83)</f>
        <v>0</v>
      </c>
      <c r="EH83" s="20" t="n">
        <f aca="false">EF83+EG83</f>
        <v>0</v>
      </c>
      <c r="EI83" s="20" t="n">
        <f aca="false">DY83-EG83+EC83*IF(Slot12_SpendLike=1,EE83-EF83,IF(Slot12_PotFree=1,EE83,0))</f>
        <v>0</v>
      </c>
      <c r="EJ83" s="20" t="n">
        <f aca="false">DZ83+EC83*Slot12_BufPot*EE83</f>
        <v>0</v>
      </c>
      <c r="EK83" s="20" t="n">
        <f aca="false">IF(AND(EC83=1,Slot12_IsMfree=1),IF(EH83&gt;=Slot12_Cost-1,0,MAX(0,EA83-EH83)),EA83)</f>
        <v>0</v>
      </c>
      <c r="EL83" s="20" t="n">
        <f aca="false">EC83*(Slot12_Cost-EH83)</f>
        <v>0</v>
      </c>
      <c r="EM83" s="20" t="n">
        <f aca="false">IF(AND(Slot13_On=1,D83=Slot13_Age),1,0)</f>
        <v>0</v>
      </c>
      <c r="EN83" s="20" t="n">
        <f aca="false">IF(AND(Slot13_On=1,Slot13_Age&gt;D83),1,0)</f>
        <v>0</v>
      </c>
      <c r="EO83" s="20" t="n">
        <f aca="false">SI82</f>
        <v>0</v>
      </c>
      <c r="EP83" s="20" t="n">
        <f aca="false">EM83*MIN(Slot13_Cost,EO83)</f>
        <v>0</v>
      </c>
      <c r="EQ83" s="20" t="n">
        <f aca="false">EM83*Slot13_SpendLike*MIN(Slot13_Cost-EP83,EI83)</f>
        <v>0</v>
      </c>
      <c r="ER83" s="20" t="n">
        <f aca="false">EP83+EQ83</f>
        <v>0</v>
      </c>
      <c r="ES83" s="20" t="n">
        <f aca="false">EI83-EQ83+EM83*IF(Slot13_SpendLike=1,EO83-EP83,IF(Slot13_PotFree=1,EO83,0))</f>
        <v>0</v>
      </c>
      <c r="ET83" s="20" t="n">
        <f aca="false">EJ83+EM83*Slot13_BufPot*EO83</f>
        <v>0</v>
      </c>
      <c r="EU83" s="20" t="n">
        <f aca="false">IF(AND(EM83=1,Slot13_IsMfree=1),IF(ER83&gt;=Slot13_Cost-1,0,MAX(0,EK83-ER83)),EK83)</f>
        <v>0</v>
      </c>
      <c r="EV83" s="20" t="n">
        <f aca="false">EM83*(Slot13_Cost-ER83)</f>
        <v>0</v>
      </c>
      <c r="EW83" s="20" t="n">
        <f aca="false">IF(AND(Slot14_On=1,D83=Slot14_Age),1,0)</f>
        <v>0</v>
      </c>
      <c r="EX83" s="20" t="n">
        <f aca="false">IF(AND(Slot14_On=1,Slot14_Age&gt;D83),1,0)</f>
        <v>0</v>
      </c>
      <c r="EY83" s="20" t="n">
        <f aca="false">SM82</f>
        <v>0</v>
      </c>
      <c r="EZ83" s="20" t="n">
        <f aca="false">EW83*MIN(Slot14_Cost,EY83)</f>
        <v>0</v>
      </c>
      <c r="FA83" s="20" t="n">
        <f aca="false">EW83*Slot14_SpendLike*MIN(Slot14_Cost-EZ83,ES83)</f>
        <v>0</v>
      </c>
      <c r="FB83" s="20" t="n">
        <f aca="false">EZ83+FA83</f>
        <v>0</v>
      </c>
      <c r="FC83" s="20" t="n">
        <f aca="false">ES83-FA83+EW83*IF(Slot14_SpendLike=1,EY83-EZ83,IF(Slot14_PotFree=1,EY83,0))</f>
        <v>0</v>
      </c>
      <c r="FD83" s="20" t="n">
        <f aca="false">ET83+EW83*Slot14_BufPot*EY83</f>
        <v>0</v>
      </c>
      <c r="FE83" s="20" t="n">
        <f aca="false">IF(AND(EW83=1,Slot14_IsMfree=1),IF(FB83&gt;=Slot14_Cost-1,0,MAX(0,EU83-FB83)),EU83)</f>
        <v>0</v>
      </c>
      <c r="FF83" s="20" t="n">
        <f aca="false">EW83*(Slot14_Cost-FB83)</f>
        <v>0</v>
      </c>
      <c r="FG83" s="20" t="n">
        <f aca="false">IF(AND(Slot15_On=1,D83=Slot15_Age),1,0)</f>
        <v>0</v>
      </c>
      <c r="FH83" s="20" t="n">
        <f aca="false">IF(AND(Slot15_On=1,Slot15_Age&gt;D83),1,0)</f>
        <v>0</v>
      </c>
      <c r="FI83" s="20" t="n">
        <f aca="false">SQ82</f>
        <v>0</v>
      </c>
      <c r="FJ83" s="20" t="n">
        <f aca="false">FG83*MIN(Slot15_Cost,FI83)</f>
        <v>0</v>
      </c>
      <c r="FK83" s="20" t="n">
        <f aca="false">FG83*Slot15_SpendLike*MIN(Slot15_Cost-FJ83,FC83)</f>
        <v>0</v>
      </c>
      <c r="FL83" s="20" t="n">
        <f aca="false">FJ83+FK83</f>
        <v>0</v>
      </c>
      <c r="FM83" s="20" t="n">
        <f aca="false">FC83-FK83+FG83*IF(Slot15_SpendLike=1,FI83-FJ83,IF(Slot15_PotFree=1,FI83,0))</f>
        <v>0</v>
      </c>
      <c r="FN83" s="20" t="n">
        <f aca="false">FD83+FG83*Slot15_BufPot*FI83</f>
        <v>0</v>
      </c>
      <c r="FO83" s="20" t="n">
        <f aca="false">IF(AND(FG83=1,Slot15_IsMfree=1),IF(FL83&gt;=Slot15_Cost-1,0,MAX(0,FE83-FL83)),FE83)</f>
        <v>0</v>
      </c>
      <c r="FP83" s="20" t="n">
        <f aca="false">FG83*(Slot15_Cost-FL83)</f>
        <v>0</v>
      </c>
      <c r="FQ83" s="20" t="n">
        <f aca="false">IF(AND(Slot16_On=1,D83=Slot16_Age),1,0)</f>
        <v>0</v>
      </c>
      <c r="FR83" s="20" t="n">
        <f aca="false">IF(AND(Slot16_On=1,Slot16_Age&gt;D83),1,0)</f>
        <v>0</v>
      </c>
      <c r="FS83" s="20" t="n">
        <f aca="false">SU82</f>
        <v>0</v>
      </c>
      <c r="FT83" s="20" t="n">
        <f aca="false">FQ83*MIN(Slot16_Cost,FS83)</f>
        <v>0</v>
      </c>
      <c r="FU83" s="20" t="n">
        <f aca="false">FQ83*Slot16_SpendLike*MIN(Slot16_Cost-FT83,FM83)</f>
        <v>0</v>
      </c>
      <c r="FV83" s="20" t="n">
        <f aca="false">FT83+FU83</f>
        <v>0</v>
      </c>
      <c r="FW83" s="20" t="n">
        <f aca="false">FM83-FU83+FQ83*IF(Slot16_SpendLike=1,FS83-FT83,IF(Slot16_PotFree=1,FS83,0))</f>
        <v>0</v>
      </c>
      <c r="FX83" s="20" t="n">
        <f aca="false">FN83+FQ83*Slot16_BufPot*FS83</f>
        <v>0</v>
      </c>
      <c r="FY83" s="20" t="n">
        <f aca="false">IF(AND(FQ83=1,Slot16_IsMfree=1),IF(FV83&gt;=Slot16_Cost-1,0,MAX(0,FO83-FV83)),FO83)</f>
        <v>0</v>
      </c>
      <c r="FZ83" s="20" t="n">
        <f aca="false">FQ83*(Slot16_Cost-FV83)</f>
        <v>0</v>
      </c>
      <c r="GA83" s="20" t="n">
        <f aca="false">IF(AND(Slot17_On=1,D83=Slot17_Age),1,0)</f>
        <v>0</v>
      </c>
      <c r="GB83" s="20" t="n">
        <f aca="false">IF(AND(Slot17_On=1,Slot17_Age&gt;D83),1,0)</f>
        <v>0</v>
      </c>
      <c r="GC83" s="20" t="n">
        <f aca="false">SY82</f>
        <v>0</v>
      </c>
      <c r="GD83" s="20" t="n">
        <f aca="false">GA83*MIN(Slot17_Cost,GC83)</f>
        <v>0</v>
      </c>
      <c r="GE83" s="20" t="n">
        <f aca="false">GA83*Slot17_SpendLike*MIN(Slot17_Cost-GD83,FW83)</f>
        <v>0</v>
      </c>
      <c r="GF83" s="20" t="n">
        <f aca="false">GD83+GE83</f>
        <v>0</v>
      </c>
      <c r="GG83" s="20" t="n">
        <f aca="false">FW83-GE83+GA83*IF(Slot17_SpendLike=1,GC83-GD83,IF(Slot17_PotFree=1,GC83,0))</f>
        <v>0</v>
      </c>
      <c r="GH83" s="20" t="n">
        <f aca="false">FX83+GA83*Slot17_BufPot*GC83</f>
        <v>0</v>
      </c>
      <c r="GI83" s="20" t="n">
        <f aca="false">IF(AND(GA83=1,Slot17_IsMfree=1),IF(GF83&gt;=Slot17_Cost-1,0,MAX(0,FY83-GF83)),FY83)</f>
        <v>0</v>
      </c>
      <c r="GJ83" s="20" t="n">
        <f aca="false">GA83*(Slot17_Cost-GF83)</f>
        <v>0</v>
      </c>
      <c r="GK83" s="20" t="n">
        <f aca="false">IF(AND(Slot18_On=1,D83=Slot18_Age),1,0)</f>
        <v>0</v>
      </c>
      <c r="GL83" s="20" t="n">
        <f aca="false">IF(AND(Slot18_On=1,Slot18_Age&gt;D83),1,0)</f>
        <v>0</v>
      </c>
      <c r="GM83" s="20" t="n">
        <f aca="false">TC82</f>
        <v>0</v>
      </c>
      <c r="GN83" s="20" t="n">
        <f aca="false">GK83*MIN(Slot18_Cost,GM83)</f>
        <v>0</v>
      </c>
      <c r="GO83" s="20" t="n">
        <f aca="false">GK83*Slot18_SpendLike*MIN(Slot18_Cost-GN83,GG83)</f>
        <v>0</v>
      </c>
      <c r="GP83" s="20" t="n">
        <f aca="false">GN83+GO83</f>
        <v>0</v>
      </c>
      <c r="GQ83" s="20" t="n">
        <f aca="false">GG83-GO83+GK83*IF(Slot18_SpendLike=1,GM83-GN83,IF(Slot18_PotFree=1,GM83,0))</f>
        <v>0</v>
      </c>
      <c r="GR83" s="20" t="n">
        <f aca="false">GH83+GK83*Slot18_BufPot*GM83</f>
        <v>0</v>
      </c>
      <c r="GS83" s="20" t="n">
        <f aca="false">IF(AND(GK83=1,Slot18_IsMfree=1),IF(GP83&gt;=Slot18_Cost-1,0,MAX(0,GI83-GP83)),GI83)</f>
        <v>0</v>
      </c>
      <c r="GT83" s="20" t="n">
        <f aca="false">GK83*(Slot18_Cost-GP83)</f>
        <v>0</v>
      </c>
      <c r="GU83" s="20" t="n">
        <f aca="false">IF(AND(Slot19_On=1,D83=Slot19_Age),1,0)</f>
        <v>0</v>
      </c>
      <c r="GV83" s="20" t="n">
        <f aca="false">IF(AND(Slot19_On=1,Slot19_Age&gt;D83),1,0)</f>
        <v>0</v>
      </c>
      <c r="GW83" s="20" t="n">
        <f aca="false">TG82</f>
        <v>0</v>
      </c>
      <c r="GX83" s="20" t="n">
        <f aca="false">GU83*MIN(Slot19_Cost,GW83)</f>
        <v>0</v>
      </c>
      <c r="GY83" s="20" t="n">
        <f aca="false">GU83*Slot19_SpendLike*MIN(Slot19_Cost-GX83,GQ83)</f>
        <v>0</v>
      </c>
      <c r="GZ83" s="20" t="n">
        <f aca="false">GX83+GY83</f>
        <v>0</v>
      </c>
      <c r="HA83" s="20" t="n">
        <f aca="false">GQ83-GY83+GU83*IF(Slot19_SpendLike=1,GW83-GX83,IF(Slot19_PotFree=1,GW83,0))</f>
        <v>0</v>
      </c>
      <c r="HB83" s="20" t="n">
        <f aca="false">GR83+GU83*Slot19_BufPot*GW83</f>
        <v>0</v>
      </c>
      <c r="HC83" s="20" t="n">
        <f aca="false">IF(AND(GU83=1,Slot19_IsMfree=1),IF(GZ83&gt;=Slot19_Cost-1,0,MAX(0,GS83-GZ83)),GS83)</f>
        <v>0</v>
      </c>
      <c r="HD83" s="20" t="n">
        <f aca="false">GU83*(Slot19_Cost-GZ83)</f>
        <v>0</v>
      </c>
      <c r="HE83" s="20" t="n">
        <f aca="false">IF(AND(Slot20_On=1,D83=Slot20_Age),1,0)</f>
        <v>0</v>
      </c>
      <c r="HF83" s="20" t="n">
        <f aca="false">IF(AND(Slot20_On=1,Slot20_Age&gt;D83),1,0)</f>
        <v>0</v>
      </c>
      <c r="HG83" s="20" t="n">
        <f aca="false">TK82</f>
        <v>0</v>
      </c>
      <c r="HH83" s="20" t="n">
        <f aca="false">HE83*MIN(Slot20_Cost,HG83)</f>
        <v>0</v>
      </c>
      <c r="HI83" s="20" t="n">
        <f aca="false">HE83*Slot20_SpendLike*MIN(Slot20_Cost-HH83,HA83)</f>
        <v>0</v>
      </c>
      <c r="HJ83" s="20" t="n">
        <f aca="false">HH83+HI83</f>
        <v>0</v>
      </c>
      <c r="HK83" s="20" t="n">
        <f aca="false">HA83-HI83+HE83*IF(Slot20_SpendLike=1,HG83-HH83,IF(Slot20_PotFree=1,HG83,0))</f>
        <v>0</v>
      </c>
      <c r="HL83" s="20" t="n">
        <f aca="false">HB83+HE83*Slot20_BufPot*HG83</f>
        <v>0</v>
      </c>
      <c r="HM83" s="20" t="n">
        <f aca="false">IF(AND(HE83=1,Slot20_IsMfree=1),IF(HJ83&gt;=Slot20_Cost-1,0,MAX(0,HC83-HJ83)),HC83)</f>
        <v>0</v>
      </c>
      <c r="HN83" s="20" t="n">
        <f aca="false">HE83*(Slot20_Cost-HJ83)</f>
        <v>0</v>
      </c>
      <c r="HO83" s="20" t="n">
        <f aca="false">V83*Slot1_SpendLike*AA83+AG83*Slot2_SpendLike*AL83+AQ83*Slot3_SpendLike*AV83+BA83*Slot4_SpendLike*BF83+BK83*Slot5_SpendLike*BP83+BU83*Slot6_SpendLike*BZ83+CE83*Slot7_SpendLike*CJ83+CO83*Slot8_SpendLike*CT83+CY83*Slot9_SpendLike*DD83+DI83*Slot10_SpendLike*DN83+DS83*Slot11_SpendLike*DX83+EC83*Slot12_SpendLike*EH83+EM83*Slot13_SpendLike*ER83+EW83*Slot14_SpendLike*FB83+FG83*Slot15_SpendLike*FL83+FQ83*Slot16_SpendLike*FV83+GA83*Slot17_SpendLike*GF83+GK83*Slot18_SpendLike*GP83+GU83*Slot19_SpendLike*GZ83+HE83*Slot20_SpendLike*HJ83</f>
        <v>0</v>
      </c>
      <c r="HP83" s="20" t="n">
        <f aca="false">AE83+AP83+AZ83+BJ83+BT83+CD83+CN83+CX83+DH83+DR83+EB83+EL83+EV83+FF83+FP83+FZ83+GJ83+GT83+HD83+HN83</f>
        <v>0</v>
      </c>
      <c r="HQ83" s="20" t="n">
        <f aca="false">V83*Slot1_Cost+AG83*Slot2_Cost+AQ83*Slot3_Cost+BA83*Slot4_Cost+BK83*Slot5_Cost+BU83*Slot6_Cost+CE83*Slot7_Cost+CO83*Slot8_Cost+CY83*Slot9_Cost+DI83*Slot10_Cost+DS83*Slot11_Cost+EC83*Slot12_Cost+EM83*Slot13_Cost+EW83*Slot14_Cost+FG83*Slot15_Cost+FQ83*Slot16_Cost+GA83*Slot17_Cost+GK83*Slot18_Cost+GU83*Slot19_Cost+HE83*Slot20_Cost</f>
        <v>0</v>
      </c>
      <c r="HR83" s="20" t="n">
        <f aca="false">HM83</f>
        <v>0</v>
      </c>
      <c r="HS83" s="20" t="n">
        <f aca="false">H83-I83-S83</f>
        <v>-85073.3662774712</v>
      </c>
      <c r="HT83" s="20" t="n">
        <f aca="false">IF(B83=0,IF(AND(Has_q6=1,In_q6=4),PR_ShareVaries*(MAX(0,HS83)/12),MIN(IF(Has_q6=1,CHOOSE(In_q6+1,PR_SaveB1,PR_SaveB2,PR_SaveB3,PR_SaveB4,0),AS_NoAnswer),AS_SaveShare*(MAX(0,HS83)/12))),HT82)</f>
        <v>67.3316893520437</v>
      </c>
      <c r="HU83" s="20" t="n">
        <f aca="false">IF(HS83&gt;=0,1,0)</f>
        <v>0</v>
      </c>
      <c r="HV83" s="20" t="n">
        <f aca="false">MAX(0,HS83/12/F83)</f>
        <v>0</v>
      </c>
      <c r="HW83" s="20" t="n">
        <f aca="false">IF(AND(Has_q6=1,In_q6=4),PR_ShareVaries*(HV83),MIN(IF(Has_q6=1,CHOOSE(In_q6+1,PR_SaveB1,PR_SaveB2,PR_SaveB3,PR_SaveB4,0),AS_NoAnswer),AS_SaveShare*(HV83)))</f>
        <v>0</v>
      </c>
      <c r="HX83" s="20" t="n">
        <f aca="false">IF(Has_saveM=1,IF(In_saveUp="Yes",1,IF(In_saveUp="No",0,IF(In_saveM&gt;=HT83-0.5,1,0))),0)</f>
        <v>0</v>
      </c>
      <c r="HY83" s="20" t="n">
        <f aca="false">IF(Has_saveM=1,MIN(HV83,IF(HX83=1,MAX(In_saveM,HW83),MIN(In_saveM,HW83))),HW83)</f>
        <v>0</v>
      </c>
      <c r="HZ83" s="20" t="n">
        <f aca="false">IF(G83=1,HY83*12*F83,0)</f>
        <v>0</v>
      </c>
      <c r="IA83" s="20" t="n">
        <f aca="false">MAX(0,HZ83+IF(AND(WI_Retire=0,WI_M&lt;0,G83=1),WI_M*12*F83,0))</f>
        <v>0</v>
      </c>
      <c r="IB83" s="20" t="n">
        <f aca="false">Slot1_IsWG*W83+Slot2_IsWG*AH83+Slot3_IsWG*AR83+Slot4_IsWG*BB83+Slot5_IsWG*BL83+Slot6_IsWG*BV83+Slot7_IsWG*CF83+Slot8_IsWG*CP83+Slot9_IsWG*CZ83+Slot10_IsWG*DJ83+Slot11_IsWG*DT83+Slot12_IsWG*ED83+Slot13_IsWG*EN83+Slot14_IsWG*EX83+Slot15_IsWG*FH83+Slot16_IsWG*FR83+Slot17_IsWG*GB83+Slot18_IsWG*GL83+Slot19_IsWG*GV83+Slot20_IsWG*HF83</f>
        <v>0</v>
      </c>
      <c r="IC83" s="20" t="n">
        <f aca="false">IF(AND(WI_Retire=0,WI_M&gt;0,G83=1,IB83&gt;=1),WI_M*12*F83,0)</f>
        <v>0</v>
      </c>
      <c r="ID83" s="20" t="n">
        <f aca="false">IF(HU83=1,MIN(IA83,HS83),0)</f>
        <v>0</v>
      </c>
      <c r="IE83" s="20" t="n">
        <f aca="false">IF(HU83=1,MIN(IC83,HS83-ID83),0)</f>
        <v>0</v>
      </c>
      <c r="IF83" s="20" t="n">
        <f aca="false">IF(W83=1,IF(ABS((1+AS_Wage)/(1+Slot1_Rate)-1)&lt;0.000000000001,(Slot1_Age-D83)*(1+Slot1_Rate)^(Slot1_Age-D83),(1+Slot1_Rate)^(Slot1_Age-D83)*(1-((1+AS_Wage)/(1+Slot1_Rate))^(Slot1_Age-D83))/(1-(1+AS_Wage)/(1+Slot1_Rate))),1)</f>
        <v>1</v>
      </c>
      <c r="IG83" s="20" t="n">
        <f aca="false">IF(AND(HU83=1,IE83&gt;0,Slot1_IsWG=1,W83=1),MAX(0,(Slot1_Cost-X83*(1+Slot1_Rate)^(Slot1_Age-D83))/IF83),0)</f>
        <v>0</v>
      </c>
      <c r="IH83" s="20" t="n">
        <f aca="false">IF(AND(HU83=1,IE83&gt;0,Slot1_IsWG=1,W83=1),MIN(IE83,IG83),0)</f>
        <v>0</v>
      </c>
      <c r="II83" s="20" t="n">
        <f aca="false">X83+IH83</f>
        <v>0</v>
      </c>
      <c r="IJ83" s="20" t="n">
        <f aca="false">IF(W83=1,MAX(0,(Slot1_Cost-II83*(1+Slot1_Rate)^(Slot1_Age-D83))/IF83),0)</f>
        <v>0</v>
      </c>
      <c r="IK83" s="20" t="n">
        <f aca="false">IF(W83=1,MAX(0,(Slot1_Cost-X83*(1+Slot1_Rate)^(Slot1_Age-D83))/IF83),0)</f>
        <v>0</v>
      </c>
      <c r="IL83" s="20" t="n">
        <f aca="false">IF(AND(HU83=1,W83=1),MIN(ID83,IJ83),0)</f>
        <v>0</v>
      </c>
      <c r="IM83" s="20" t="n">
        <f aca="false">ID83-IL83</f>
        <v>0</v>
      </c>
      <c r="IN83" s="20" t="n">
        <f aca="false">IF(AH83=1,IF(ABS((1+AS_Wage)/(1+Slot2_Rate)-1)&lt;0.000000000001,(Slot2_Age-D83)*(1+Slot2_Rate)^(Slot2_Age-D83),(1+Slot2_Rate)^(Slot2_Age-D83)*(1-((1+AS_Wage)/(1+Slot2_Rate))^(Slot2_Age-D83))/(1-(1+AS_Wage)/(1+Slot2_Rate))),1)</f>
        <v>1</v>
      </c>
      <c r="IO83" s="20" t="n">
        <f aca="false">IF(AND(HU83=1,IE83&gt;0,Slot2_IsWG=1,AH83=1),MAX(0,(Slot2_Cost-AI83*(1+Slot2_Rate)^(Slot2_Age-D83))/IN83),0)</f>
        <v>0</v>
      </c>
      <c r="IP83" s="20" t="n">
        <f aca="false">IF(AND(HU83=1,IE83&gt;0,Slot2_IsWG=1,AH83=1),MIN(IE83,IO83),0)</f>
        <v>0</v>
      </c>
      <c r="IQ83" s="20" t="n">
        <f aca="false">AI83+IP83</f>
        <v>0</v>
      </c>
      <c r="IR83" s="20" t="n">
        <f aca="false">IF(AH83=1,MAX(0,(Slot2_Cost-IQ83*(1+Slot2_Rate)^(Slot2_Age-D83))/IN83),0)</f>
        <v>0</v>
      </c>
      <c r="IS83" s="20" t="n">
        <f aca="false">IF(AH83=1,MAX(0,(Slot2_Cost-AI83*(1+Slot2_Rate)^(Slot2_Age-D83))/IN83),0)</f>
        <v>0</v>
      </c>
      <c r="IT83" s="20" t="n">
        <f aca="false">IF(AND(HU83=1,AH83=1),MIN(IM83,IR83),0)</f>
        <v>0</v>
      </c>
      <c r="IU83" s="20" t="n">
        <f aca="false">IM83-IT83</f>
        <v>0</v>
      </c>
      <c r="IV83" s="20" t="n">
        <f aca="false">IF(AR83=1,IF(ABS((1+AS_Wage)/(1+Slot3_Rate)-1)&lt;0.000000000001,(Slot3_Age-D83)*(1+Slot3_Rate)^(Slot3_Age-D83),(1+Slot3_Rate)^(Slot3_Age-D83)*(1-((1+AS_Wage)/(1+Slot3_Rate))^(Slot3_Age-D83))/(1-(1+AS_Wage)/(1+Slot3_Rate))),1)</f>
        <v>1</v>
      </c>
      <c r="IW83" s="20" t="n">
        <f aca="false">IF(AND(HU83=1,IE83&gt;0,Slot3_IsWG=1,AR83=1),MAX(0,(Slot3_Cost-AS83*(1+Slot3_Rate)^(Slot3_Age-D83))/IV83),0)</f>
        <v>0</v>
      </c>
      <c r="IX83" s="20" t="n">
        <f aca="false">IF(AND(HU83=1,IE83&gt;0,Slot3_IsWG=1,AR83=1),MIN(IE83,IW83),0)</f>
        <v>0</v>
      </c>
      <c r="IY83" s="20" t="n">
        <f aca="false">AS83+IX83</f>
        <v>0</v>
      </c>
      <c r="IZ83" s="20" t="n">
        <f aca="false">IF(AR83=1,MAX(0,(Slot3_Cost-IY83*(1+Slot3_Rate)^(Slot3_Age-D83))/IV83),0)</f>
        <v>0</v>
      </c>
      <c r="JA83" s="20" t="n">
        <f aca="false">IF(AR83=1,MAX(0,(Slot3_Cost-AS83*(1+Slot3_Rate)^(Slot3_Age-D83))/IV83),0)</f>
        <v>0</v>
      </c>
      <c r="JB83" s="20" t="n">
        <f aca="false">IF(AND(HU83=1,AR83=1),MIN(IU83,IZ83),0)</f>
        <v>0</v>
      </c>
      <c r="JC83" s="20" t="n">
        <f aca="false">IU83-JB83</f>
        <v>0</v>
      </c>
      <c r="JD83" s="20" t="n">
        <f aca="false">IF(BB83=1,IF(ABS((1+AS_Wage)/(1+Slot4_Rate)-1)&lt;0.000000000001,(Slot4_Age-D83)*(1+Slot4_Rate)^(Slot4_Age-D83),(1+Slot4_Rate)^(Slot4_Age-D83)*(1-((1+AS_Wage)/(1+Slot4_Rate))^(Slot4_Age-D83))/(1-(1+AS_Wage)/(1+Slot4_Rate))),1)</f>
        <v>1</v>
      </c>
      <c r="JE83" s="20" t="n">
        <f aca="false">IF(AND(HU83=1,IE83&gt;0,Slot4_IsWG=1,BB83=1),MAX(0,(Slot4_Cost-BC83*(1+Slot4_Rate)^(Slot4_Age-D83))/JD83),0)</f>
        <v>0</v>
      </c>
      <c r="JF83" s="20" t="n">
        <f aca="false">IF(AND(HU83=1,IE83&gt;0,Slot4_IsWG=1,BB83=1),MIN(IE83,JE83),0)</f>
        <v>0</v>
      </c>
      <c r="JG83" s="20" t="n">
        <f aca="false">BC83+JF83</f>
        <v>0</v>
      </c>
      <c r="JH83" s="20" t="n">
        <f aca="false">IF(BB83=1,MAX(0,(Slot4_Cost-JG83*(1+Slot4_Rate)^(Slot4_Age-D83))/JD83),0)</f>
        <v>0</v>
      </c>
      <c r="JI83" s="20" t="n">
        <f aca="false">IF(BB83=1,MAX(0,(Slot4_Cost-BC83*(1+Slot4_Rate)^(Slot4_Age-D83))/JD83),0)</f>
        <v>0</v>
      </c>
      <c r="JJ83" s="20" t="n">
        <f aca="false">IF(AND(HU83=1,BB83=1),MIN(JC83,JH83),0)</f>
        <v>0</v>
      </c>
      <c r="JK83" s="20" t="n">
        <f aca="false">JC83-JJ83</f>
        <v>0</v>
      </c>
      <c r="JL83" s="20" t="n">
        <f aca="false">IF(BL83=1,IF(ABS((1+AS_Wage)/(1+Slot5_Rate)-1)&lt;0.000000000001,(Slot5_Age-D83)*(1+Slot5_Rate)^(Slot5_Age-D83),(1+Slot5_Rate)^(Slot5_Age-D83)*(1-((1+AS_Wage)/(1+Slot5_Rate))^(Slot5_Age-D83))/(1-(1+AS_Wage)/(1+Slot5_Rate))),1)</f>
        <v>1</v>
      </c>
      <c r="JM83" s="20" t="n">
        <f aca="false">IF(AND(HU83=1,IE83&gt;0,Slot5_IsWG=1,BL83=1),MAX(0,(Slot5_Cost-BM83*(1+Slot5_Rate)^(Slot5_Age-D83))/JL83),0)</f>
        <v>0</v>
      </c>
      <c r="JN83" s="20" t="n">
        <f aca="false">IF(AND(HU83=1,IE83&gt;0,Slot5_IsWG=1,BL83=1),MIN(IE83,JM83),0)</f>
        <v>0</v>
      </c>
      <c r="JO83" s="20" t="n">
        <f aca="false">BM83+JN83</f>
        <v>0</v>
      </c>
      <c r="JP83" s="20" t="n">
        <f aca="false">IF(BL83=1,MAX(0,(Slot5_Cost-JO83*(1+Slot5_Rate)^(Slot5_Age-D83))/JL83),0)</f>
        <v>0</v>
      </c>
      <c r="JQ83" s="20" t="n">
        <f aca="false">IF(BL83=1,MAX(0,(Slot5_Cost-BM83*(1+Slot5_Rate)^(Slot5_Age-D83))/JL83),0)</f>
        <v>0</v>
      </c>
      <c r="JR83" s="20" t="n">
        <f aca="false">IF(AND(HU83=1,BL83=1),MIN(JK83,JP83),0)</f>
        <v>0</v>
      </c>
      <c r="JS83" s="20" t="n">
        <f aca="false">JK83-JR83</f>
        <v>0</v>
      </c>
      <c r="JT83" s="20" t="n">
        <f aca="false">IF(BV83=1,IF(ABS((1+AS_Wage)/(1+Slot6_Rate)-1)&lt;0.000000000001,(Slot6_Age-D83)*(1+Slot6_Rate)^(Slot6_Age-D83),(1+Slot6_Rate)^(Slot6_Age-D83)*(1-((1+AS_Wage)/(1+Slot6_Rate))^(Slot6_Age-D83))/(1-(1+AS_Wage)/(1+Slot6_Rate))),1)</f>
        <v>1</v>
      </c>
      <c r="JU83" s="20" t="n">
        <f aca="false">IF(AND(HU83=1,IE83&gt;0,Slot6_IsWG=1,BV83=1),MAX(0,(Slot6_Cost-BW83*(1+Slot6_Rate)^(Slot6_Age-D83))/JT83),0)</f>
        <v>0</v>
      </c>
      <c r="JV83" s="20" t="n">
        <f aca="false">IF(AND(HU83=1,IE83&gt;0,Slot6_IsWG=1,BV83=1),MIN(IE83,JU83),0)</f>
        <v>0</v>
      </c>
      <c r="JW83" s="20" t="n">
        <f aca="false">BW83+JV83</f>
        <v>0</v>
      </c>
      <c r="JX83" s="20" t="n">
        <f aca="false">IF(BV83=1,MAX(0,(Slot6_Cost-JW83*(1+Slot6_Rate)^(Slot6_Age-D83))/JT83),0)</f>
        <v>0</v>
      </c>
      <c r="JY83" s="20" t="n">
        <f aca="false">IF(BV83=1,MAX(0,(Slot6_Cost-BW83*(1+Slot6_Rate)^(Slot6_Age-D83))/JT83),0)</f>
        <v>0</v>
      </c>
      <c r="JZ83" s="20" t="n">
        <f aca="false">IF(AND(HU83=1,BV83=1),MIN(JS83,JX83),0)</f>
        <v>0</v>
      </c>
      <c r="KA83" s="20" t="n">
        <f aca="false">JS83-JZ83</f>
        <v>0</v>
      </c>
      <c r="KB83" s="20" t="n">
        <f aca="false">IF(CF83=1,IF(ABS((1+AS_Wage)/(1+Slot7_Rate)-1)&lt;0.000000000001,(Slot7_Age-D83)*(1+Slot7_Rate)^(Slot7_Age-D83),(1+Slot7_Rate)^(Slot7_Age-D83)*(1-((1+AS_Wage)/(1+Slot7_Rate))^(Slot7_Age-D83))/(1-(1+AS_Wage)/(1+Slot7_Rate))),1)</f>
        <v>1</v>
      </c>
      <c r="KC83" s="20" t="n">
        <f aca="false">IF(AND(HU83=1,IE83&gt;0,Slot7_IsWG=1,CF83=1),MAX(0,(Slot7_Cost-CG83*(1+Slot7_Rate)^(Slot7_Age-D83))/KB83),0)</f>
        <v>0</v>
      </c>
      <c r="KD83" s="20" t="n">
        <f aca="false">IF(AND(HU83=1,IE83&gt;0,Slot7_IsWG=1,CF83=1),MIN(IE83,KC83),0)</f>
        <v>0</v>
      </c>
      <c r="KE83" s="20" t="n">
        <f aca="false">CG83+KD83</f>
        <v>0</v>
      </c>
      <c r="KF83" s="20" t="n">
        <f aca="false">IF(CF83=1,MAX(0,(Slot7_Cost-KE83*(1+Slot7_Rate)^(Slot7_Age-D83))/KB83),0)</f>
        <v>0</v>
      </c>
      <c r="KG83" s="20" t="n">
        <f aca="false">IF(CF83=1,MAX(0,(Slot7_Cost-CG83*(1+Slot7_Rate)^(Slot7_Age-D83))/KB83),0)</f>
        <v>0</v>
      </c>
      <c r="KH83" s="20" t="n">
        <f aca="false">IF(AND(HU83=1,CF83=1),MIN(KA83,KF83),0)</f>
        <v>0</v>
      </c>
      <c r="KI83" s="20" t="n">
        <f aca="false">KA83-KH83</f>
        <v>0</v>
      </c>
      <c r="KJ83" s="20" t="n">
        <f aca="false">IF(CP83=1,IF(ABS((1+AS_Wage)/(1+Slot8_Rate)-1)&lt;0.000000000001,(Slot8_Age-D83)*(1+Slot8_Rate)^(Slot8_Age-D83),(1+Slot8_Rate)^(Slot8_Age-D83)*(1-((1+AS_Wage)/(1+Slot8_Rate))^(Slot8_Age-D83))/(1-(1+AS_Wage)/(1+Slot8_Rate))),1)</f>
        <v>1</v>
      </c>
      <c r="KK83" s="20" t="n">
        <f aca="false">IF(AND(HU83=1,IE83&gt;0,Slot8_IsWG=1,CP83=1),MAX(0,(Slot8_Cost-CQ83*(1+Slot8_Rate)^(Slot8_Age-D83))/KJ83),0)</f>
        <v>0</v>
      </c>
      <c r="KL83" s="20" t="n">
        <f aca="false">IF(AND(HU83=1,IE83&gt;0,Slot8_IsWG=1,CP83=1),MIN(IE83,KK83),0)</f>
        <v>0</v>
      </c>
      <c r="KM83" s="20" t="n">
        <f aca="false">CQ83+KL83</f>
        <v>0</v>
      </c>
      <c r="KN83" s="20" t="n">
        <f aca="false">IF(CP83=1,MAX(0,(Slot8_Cost-KM83*(1+Slot8_Rate)^(Slot8_Age-D83))/KJ83),0)</f>
        <v>0</v>
      </c>
      <c r="KO83" s="20" t="n">
        <f aca="false">IF(CP83=1,MAX(0,(Slot8_Cost-CQ83*(1+Slot8_Rate)^(Slot8_Age-D83))/KJ83),0)</f>
        <v>0</v>
      </c>
      <c r="KP83" s="20" t="n">
        <f aca="false">IF(AND(HU83=1,CP83=1),MIN(KI83,KN83),0)</f>
        <v>0</v>
      </c>
      <c r="KQ83" s="20" t="n">
        <f aca="false">KI83-KP83</f>
        <v>0</v>
      </c>
      <c r="KR83" s="20" t="n">
        <f aca="false">IF(CZ83=1,IF(ABS((1+AS_Wage)/(1+Slot9_Rate)-1)&lt;0.000000000001,(Slot9_Age-D83)*(1+Slot9_Rate)^(Slot9_Age-D83),(1+Slot9_Rate)^(Slot9_Age-D83)*(1-((1+AS_Wage)/(1+Slot9_Rate))^(Slot9_Age-D83))/(1-(1+AS_Wage)/(1+Slot9_Rate))),1)</f>
        <v>1</v>
      </c>
      <c r="KS83" s="20" t="n">
        <f aca="false">IF(AND(HU83=1,IE83&gt;0,Slot9_IsWG=1,CZ83=1),MAX(0,(Slot9_Cost-DA83*(1+Slot9_Rate)^(Slot9_Age-D83))/KR83),0)</f>
        <v>0</v>
      </c>
      <c r="KT83" s="20" t="n">
        <f aca="false">IF(AND(HU83=1,IE83&gt;0,Slot9_IsWG=1,CZ83=1),MIN(IE83,KS83),0)</f>
        <v>0</v>
      </c>
      <c r="KU83" s="20" t="n">
        <f aca="false">DA83+KT83</f>
        <v>0</v>
      </c>
      <c r="KV83" s="20" t="n">
        <f aca="false">IF(CZ83=1,MAX(0,(Slot9_Cost-KU83*(1+Slot9_Rate)^(Slot9_Age-D83))/KR83),0)</f>
        <v>0</v>
      </c>
      <c r="KW83" s="20" t="n">
        <f aca="false">IF(CZ83=1,MAX(0,(Slot9_Cost-DA83*(1+Slot9_Rate)^(Slot9_Age-D83))/KR83),0)</f>
        <v>0</v>
      </c>
      <c r="KX83" s="20" t="n">
        <f aca="false">IF(AND(HU83=1,CZ83=1),MIN(KQ83,KV83),0)</f>
        <v>0</v>
      </c>
      <c r="KY83" s="20" t="n">
        <f aca="false">KQ83-KX83</f>
        <v>0</v>
      </c>
      <c r="KZ83" s="20" t="n">
        <f aca="false">IF(DJ83=1,IF(ABS((1+AS_Wage)/(1+Slot10_Rate)-1)&lt;0.000000000001,(Slot10_Age-D83)*(1+Slot10_Rate)^(Slot10_Age-D83),(1+Slot10_Rate)^(Slot10_Age-D83)*(1-((1+AS_Wage)/(1+Slot10_Rate))^(Slot10_Age-D83))/(1-(1+AS_Wage)/(1+Slot10_Rate))),1)</f>
        <v>1</v>
      </c>
      <c r="LA83" s="20" t="n">
        <f aca="false">IF(AND(HU83=1,IE83&gt;0,Slot10_IsWG=1,DJ83=1),MAX(0,(Slot10_Cost-DK83*(1+Slot10_Rate)^(Slot10_Age-D83))/KZ83),0)</f>
        <v>0</v>
      </c>
      <c r="LB83" s="20" t="n">
        <f aca="false">IF(AND(HU83=1,IE83&gt;0,Slot10_IsWG=1,DJ83=1),MIN(IE83,LA83),0)</f>
        <v>0</v>
      </c>
      <c r="LC83" s="20" t="n">
        <f aca="false">DK83+LB83</f>
        <v>0</v>
      </c>
      <c r="LD83" s="20" t="n">
        <f aca="false">IF(DJ83=1,MAX(0,(Slot10_Cost-LC83*(1+Slot10_Rate)^(Slot10_Age-D83))/KZ83),0)</f>
        <v>0</v>
      </c>
      <c r="LE83" s="20" t="n">
        <f aca="false">IF(DJ83=1,MAX(0,(Slot10_Cost-DK83*(1+Slot10_Rate)^(Slot10_Age-D83))/KZ83),0)</f>
        <v>0</v>
      </c>
      <c r="LF83" s="20" t="n">
        <f aca="false">IF(AND(HU83=1,DJ83=1),MIN(KY83,LD83),0)</f>
        <v>0</v>
      </c>
      <c r="LG83" s="20" t="n">
        <f aca="false">KY83-LF83</f>
        <v>0</v>
      </c>
      <c r="LH83" s="20" t="n">
        <f aca="false">IF(DT83=1,IF(ABS((1+AS_Wage)/(1+Slot11_Rate)-1)&lt;0.000000000001,(Slot11_Age-D83)*(1+Slot11_Rate)^(Slot11_Age-D83),(1+Slot11_Rate)^(Slot11_Age-D83)*(1-((1+AS_Wage)/(1+Slot11_Rate))^(Slot11_Age-D83))/(1-(1+AS_Wage)/(1+Slot11_Rate))),1)</f>
        <v>1</v>
      </c>
      <c r="LI83" s="20" t="n">
        <f aca="false">IF(AND(HU83=1,IE83&gt;0,Slot11_IsWG=1,DT83=1),MAX(0,(Slot11_Cost-DU83*(1+Slot11_Rate)^(Slot11_Age-D83))/LH83),0)</f>
        <v>0</v>
      </c>
      <c r="LJ83" s="20" t="n">
        <f aca="false">IF(AND(HU83=1,IE83&gt;0,Slot11_IsWG=1,DT83=1),MIN(IE83,LI83),0)</f>
        <v>0</v>
      </c>
      <c r="LK83" s="20" t="n">
        <f aca="false">DU83+LJ83</f>
        <v>0</v>
      </c>
      <c r="LL83" s="20" t="n">
        <f aca="false">IF(DT83=1,MAX(0,(Slot11_Cost-LK83*(1+Slot11_Rate)^(Slot11_Age-D83))/LH83),0)</f>
        <v>0</v>
      </c>
      <c r="LM83" s="20" t="n">
        <f aca="false">IF(DT83=1,MAX(0,(Slot11_Cost-DU83*(1+Slot11_Rate)^(Slot11_Age-D83))/LH83),0)</f>
        <v>0</v>
      </c>
      <c r="LN83" s="20" t="n">
        <f aca="false">IF(AND(HU83=1,DT83=1),MIN(LG83,LL83),0)</f>
        <v>0</v>
      </c>
      <c r="LO83" s="20" t="n">
        <f aca="false">LG83-LN83</f>
        <v>0</v>
      </c>
      <c r="LP83" s="20" t="n">
        <f aca="false">IF(ED83=1,IF(ABS((1+AS_Wage)/(1+Slot12_Rate)-1)&lt;0.000000000001,(Slot12_Age-D83)*(1+Slot12_Rate)^(Slot12_Age-D83),(1+Slot12_Rate)^(Slot12_Age-D83)*(1-((1+AS_Wage)/(1+Slot12_Rate))^(Slot12_Age-D83))/(1-(1+AS_Wage)/(1+Slot12_Rate))),1)</f>
        <v>1</v>
      </c>
      <c r="LQ83" s="20" t="n">
        <f aca="false">IF(AND(HU83=1,IE83&gt;0,Slot12_IsWG=1,ED83=1),MAX(0,(Slot12_Cost-EE83*(1+Slot12_Rate)^(Slot12_Age-D83))/LP83),0)</f>
        <v>0</v>
      </c>
      <c r="LR83" s="20" t="n">
        <f aca="false">IF(AND(HU83=1,IE83&gt;0,Slot12_IsWG=1,ED83=1),MIN(IE83,LQ83),0)</f>
        <v>0</v>
      </c>
      <c r="LS83" s="20" t="n">
        <f aca="false">EE83+LR83</f>
        <v>0</v>
      </c>
      <c r="LT83" s="20" t="n">
        <f aca="false">IF(ED83=1,MAX(0,(Slot12_Cost-LS83*(1+Slot12_Rate)^(Slot12_Age-D83))/LP83),0)</f>
        <v>0</v>
      </c>
      <c r="LU83" s="20" t="n">
        <f aca="false">IF(ED83=1,MAX(0,(Slot12_Cost-EE83*(1+Slot12_Rate)^(Slot12_Age-D83))/LP83),0)</f>
        <v>0</v>
      </c>
      <c r="LV83" s="20" t="n">
        <f aca="false">IF(AND(HU83=1,ED83=1),MIN(LO83,LT83),0)</f>
        <v>0</v>
      </c>
      <c r="LW83" s="20" t="n">
        <f aca="false">LO83-LV83</f>
        <v>0</v>
      </c>
      <c r="LX83" s="20" t="n">
        <f aca="false">IF(EN83=1,IF(ABS((1+AS_Wage)/(1+Slot13_Rate)-1)&lt;0.000000000001,(Slot13_Age-D83)*(1+Slot13_Rate)^(Slot13_Age-D83),(1+Slot13_Rate)^(Slot13_Age-D83)*(1-((1+AS_Wage)/(1+Slot13_Rate))^(Slot13_Age-D83))/(1-(1+AS_Wage)/(1+Slot13_Rate))),1)</f>
        <v>1</v>
      </c>
      <c r="LY83" s="20" t="n">
        <f aca="false">IF(AND(HU83=1,IE83&gt;0,Slot13_IsWG=1,EN83=1),MAX(0,(Slot13_Cost-EO83*(1+Slot13_Rate)^(Slot13_Age-D83))/LX83),0)</f>
        <v>0</v>
      </c>
      <c r="LZ83" s="20" t="n">
        <f aca="false">IF(AND(HU83=1,IE83&gt;0,Slot13_IsWG=1,EN83=1),MIN(IE83,LY83),0)</f>
        <v>0</v>
      </c>
      <c r="MA83" s="20" t="n">
        <f aca="false">EO83+LZ83</f>
        <v>0</v>
      </c>
      <c r="MB83" s="20" t="n">
        <f aca="false">IF(EN83=1,MAX(0,(Slot13_Cost-MA83*(1+Slot13_Rate)^(Slot13_Age-D83))/LX83),0)</f>
        <v>0</v>
      </c>
      <c r="MC83" s="20" t="n">
        <f aca="false">IF(EN83=1,MAX(0,(Slot13_Cost-EO83*(1+Slot13_Rate)^(Slot13_Age-D83))/LX83),0)</f>
        <v>0</v>
      </c>
      <c r="MD83" s="20" t="n">
        <f aca="false">IF(AND(HU83=1,EN83=1),MIN(LW83,MB83),0)</f>
        <v>0</v>
      </c>
      <c r="ME83" s="20" t="n">
        <f aca="false">LW83-MD83</f>
        <v>0</v>
      </c>
      <c r="MF83" s="20" t="n">
        <f aca="false">IF(EX83=1,IF(ABS((1+AS_Wage)/(1+Slot14_Rate)-1)&lt;0.000000000001,(Slot14_Age-D83)*(1+Slot14_Rate)^(Slot14_Age-D83),(1+Slot14_Rate)^(Slot14_Age-D83)*(1-((1+AS_Wage)/(1+Slot14_Rate))^(Slot14_Age-D83))/(1-(1+AS_Wage)/(1+Slot14_Rate))),1)</f>
        <v>1</v>
      </c>
      <c r="MG83" s="20" t="n">
        <f aca="false">IF(AND(HU83=1,IE83&gt;0,Slot14_IsWG=1,EX83=1),MAX(0,(Slot14_Cost-EY83*(1+Slot14_Rate)^(Slot14_Age-D83))/MF83),0)</f>
        <v>0</v>
      </c>
      <c r="MH83" s="20" t="n">
        <f aca="false">IF(AND(HU83=1,IE83&gt;0,Slot14_IsWG=1,EX83=1),MIN(IE83,MG83),0)</f>
        <v>0</v>
      </c>
      <c r="MI83" s="20" t="n">
        <f aca="false">EY83+MH83</f>
        <v>0</v>
      </c>
      <c r="MJ83" s="20" t="n">
        <f aca="false">IF(EX83=1,MAX(0,(Slot14_Cost-MI83*(1+Slot14_Rate)^(Slot14_Age-D83))/MF83),0)</f>
        <v>0</v>
      </c>
      <c r="MK83" s="20" t="n">
        <f aca="false">IF(EX83=1,MAX(0,(Slot14_Cost-EY83*(1+Slot14_Rate)^(Slot14_Age-D83))/MF83),0)</f>
        <v>0</v>
      </c>
      <c r="ML83" s="20" t="n">
        <f aca="false">IF(AND(HU83=1,EX83=1),MIN(ME83,MJ83),0)</f>
        <v>0</v>
      </c>
      <c r="MM83" s="20" t="n">
        <f aca="false">ME83-ML83</f>
        <v>0</v>
      </c>
      <c r="MN83" s="20" t="n">
        <f aca="false">IF(FH83=1,IF(ABS((1+AS_Wage)/(1+Slot15_Rate)-1)&lt;0.000000000001,(Slot15_Age-D83)*(1+Slot15_Rate)^(Slot15_Age-D83),(1+Slot15_Rate)^(Slot15_Age-D83)*(1-((1+AS_Wage)/(1+Slot15_Rate))^(Slot15_Age-D83))/(1-(1+AS_Wage)/(1+Slot15_Rate))),1)</f>
        <v>1</v>
      </c>
      <c r="MO83" s="20" t="n">
        <f aca="false">IF(AND(HU83=1,IE83&gt;0,Slot15_IsWG=1,FH83=1),MAX(0,(Slot15_Cost-FI83*(1+Slot15_Rate)^(Slot15_Age-D83))/MN83),0)</f>
        <v>0</v>
      </c>
      <c r="MP83" s="20" t="n">
        <f aca="false">IF(AND(HU83=1,IE83&gt;0,Slot15_IsWG=1,FH83=1),MIN(IE83,MO83),0)</f>
        <v>0</v>
      </c>
      <c r="MQ83" s="20" t="n">
        <f aca="false">FI83+MP83</f>
        <v>0</v>
      </c>
      <c r="MR83" s="20" t="n">
        <f aca="false">IF(FH83=1,MAX(0,(Slot15_Cost-MQ83*(1+Slot15_Rate)^(Slot15_Age-D83))/MN83),0)</f>
        <v>0</v>
      </c>
      <c r="MS83" s="20" t="n">
        <f aca="false">IF(FH83=1,MAX(0,(Slot15_Cost-FI83*(1+Slot15_Rate)^(Slot15_Age-D83))/MN83),0)</f>
        <v>0</v>
      </c>
      <c r="MT83" s="20" t="n">
        <f aca="false">IF(AND(HU83=1,FH83=1),MIN(MM83,MR83),0)</f>
        <v>0</v>
      </c>
      <c r="MU83" s="20" t="n">
        <f aca="false">MM83-MT83</f>
        <v>0</v>
      </c>
      <c r="MV83" s="20" t="n">
        <f aca="false">IF(FR83=1,IF(ABS((1+AS_Wage)/(1+Slot16_Rate)-1)&lt;0.000000000001,(Slot16_Age-D83)*(1+Slot16_Rate)^(Slot16_Age-D83),(1+Slot16_Rate)^(Slot16_Age-D83)*(1-((1+AS_Wage)/(1+Slot16_Rate))^(Slot16_Age-D83))/(1-(1+AS_Wage)/(1+Slot16_Rate))),1)</f>
        <v>1</v>
      </c>
      <c r="MW83" s="20" t="n">
        <f aca="false">IF(AND(HU83=1,IE83&gt;0,Slot16_IsWG=1,FR83=1),MAX(0,(Slot16_Cost-FS83*(1+Slot16_Rate)^(Slot16_Age-D83))/MV83),0)</f>
        <v>0</v>
      </c>
      <c r="MX83" s="20" t="n">
        <f aca="false">IF(AND(HU83=1,IE83&gt;0,Slot16_IsWG=1,FR83=1),MIN(IE83,MW83),0)</f>
        <v>0</v>
      </c>
      <c r="MY83" s="20" t="n">
        <f aca="false">FS83+MX83</f>
        <v>0</v>
      </c>
      <c r="MZ83" s="20" t="n">
        <f aca="false">IF(FR83=1,MAX(0,(Slot16_Cost-MY83*(1+Slot16_Rate)^(Slot16_Age-D83))/MV83),0)</f>
        <v>0</v>
      </c>
      <c r="NA83" s="20" t="n">
        <f aca="false">IF(FR83=1,MAX(0,(Slot16_Cost-FS83*(1+Slot16_Rate)^(Slot16_Age-D83))/MV83),0)</f>
        <v>0</v>
      </c>
      <c r="NB83" s="20" t="n">
        <f aca="false">IF(AND(HU83=1,FR83=1),MIN(MU83,MZ83),0)</f>
        <v>0</v>
      </c>
      <c r="NC83" s="20" t="n">
        <f aca="false">MU83-NB83</f>
        <v>0</v>
      </c>
      <c r="ND83" s="20" t="n">
        <f aca="false">IF(GB83=1,IF(ABS((1+AS_Wage)/(1+Slot17_Rate)-1)&lt;0.000000000001,(Slot17_Age-D83)*(1+Slot17_Rate)^(Slot17_Age-D83),(1+Slot17_Rate)^(Slot17_Age-D83)*(1-((1+AS_Wage)/(1+Slot17_Rate))^(Slot17_Age-D83))/(1-(1+AS_Wage)/(1+Slot17_Rate))),1)</f>
        <v>1</v>
      </c>
      <c r="NE83" s="20" t="n">
        <f aca="false">IF(AND(HU83=1,IE83&gt;0,Slot17_IsWG=1,GB83=1),MAX(0,(Slot17_Cost-GC83*(1+Slot17_Rate)^(Slot17_Age-D83))/ND83),0)</f>
        <v>0</v>
      </c>
      <c r="NF83" s="20" t="n">
        <f aca="false">IF(AND(HU83=1,IE83&gt;0,Slot17_IsWG=1,GB83=1),MIN(IE83,NE83),0)</f>
        <v>0</v>
      </c>
      <c r="NG83" s="20" t="n">
        <f aca="false">GC83+NF83</f>
        <v>0</v>
      </c>
      <c r="NH83" s="20" t="n">
        <f aca="false">IF(GB83=1,MAX(0,(Slot17_Cost-NG83*(1+Slot17_Rate)^(Slot17_Age-D83))/ND83),0)</f>
        <v>0</v>
      </c>
      <c r="NI83" s="20" t="n">
        <f aca="false">IF(GB83=1,MAX(0,(Slot17_Cost-GC83*(1+Slot17_Rate)^(Slot17_Age-D83))/ND83),0)</f>
        <v>0</v>
      </c>
      <c r="NJ83" s="20" t="n">
        <f aca="false">IF(AND(HU83=1,GB83=1),MIN(NC83,NH83),0)</f>
        <v>0</v>
      </c>
      <c r="NK83" s="20" t="n">
        <f aca="false">NC83-NJ83</f>
        <v>0</v>
      </c>
      <c r="NL83" s="20" t="n">
        <f aca="false">IF(GL83=1,IF(ABS((1+AS_Wage)/(1+Slot18_Rate)-1)&lt;0.000000000001,(Slot18_Age-D83)*(1+Slot18_Rate)^(Slot18_Age-D83),(1+Slot18_Rate)^(Slot18_Age-D83)*(1-((1+AS_Wage)/(1+Slot18_Rate))^(Slot18_Age-D83))/(1-(1+AS_Wage)/(1+Slot18_Rate))),1)</f>
        <v>1</v>
      </c>
      <c r="NM83" s="20" t="n">
        <f aca="false">IF(AND(HU83=1,IE83&gt;0,Slot18_IsWG=1,GL83=1),MAX(0,(Slot18_Cost-GM83*(1+Slot18_Rate)^(Slot18_Age-D83))/NL83),0)</f>
        <v>0</v>
      </c>
      <c r="NN83" s="20" t="n">
        <f aca="false">IF(AND(HU83=1,IE83&gt;0,Slot18_IsWG=1,GL83=1),MIN(IE83,NM83),0)</f>
        <v>0</v>
      </c>
      <c r="NO83" s="20" t="n">
        <f aca="false">GM83+NN83</f>
        <v>0</v>
      </c>
      <c r="NP83" s="20" t="n">
        <f aca="false">IF(GL83=1,MAX(0,(Slot18_Cost-NO83*(1+Slot18_Rate)^(Slot18_Age-D83))/NL83),0)</f>
        <v>0</v>
      </c>
      <c r="NQ83" s="20" t="n">
        <f aca="false">IF(GL83=1,MAX(0,(Slot18_Cost-GM83*(1+Slot18_Rate)^(Slot18_Age-D83))/NL83),0)</f>
        <v>0</v>
      </c>
      <c r="NR83" s="20" t="n">
        <f aca="false">IF(AND(HU83=1,GL83=1),MIN(NK83,NP83),0)</f>
        <v>0</v>
      </c>
      <c r="NS83" s="20" t="n">
        <f aca="false">NK83-NR83</f>
        <v>0</v>
      </c>
      <c r="NT83" s="20" t="n">
        <f aca="false">IF(GV83=1,IF(ABS((1+AS_Wage)/(1+Slot19_Rate)-1)&lt;0.000000000001,(Slot19_Age-D83)*(1+Slot19_Rate)^(Slot19_Age-D83),(1+Slot19_Rate)^(Slot19_Age-D83)*(1-((1+AS_Wage)/(1+Slot19_Rate))^(Slot19_Age-D83))/(1-(1+AS_Wage)/(1+Slot19_Rate))),1)</f>
        <v>1</v>
      </c>
      <c r="NU83" s="20" t="n">
        <f aca="false">IF(AND(HU83=1,IE83&gt;0,Slot19_IsWG=1,GV83=1),MAX(0,(Slot19_Cost-GW83*(1+Slot19_Rate)^(Slot19_Age-D83))/NT83),0)</f>
        <v>0</v>
      </c>
      <c r="NV83" s="20" t="n">
        <f aca="false">IF(AND(HU83=1,IE83&gt;0,Slot19_IsWG=1,GV83=1),MIN(IE83,NU83),0)</f>
        <v>0</v>
      </c>
      <c r="NW83" s="20" t="n">
        <f aca="false">GW83+NV83</f>
        <v>0</v>
      </c>
      <c r="NX83" s="20" t="n">
        <f aca="false">IF(GV83=1,MAX(0,(Slot19_Cost-NW83*(1+Slot19_Rate)^(Slot19_Age-D83))/NT83),0)</f>
        <v>0</v>
      </c>
      <c r="NY83" s="20" t="n">
        <f aca="false">IF(GV83=1,MAX(0,(Slot19_Cost-GW83*(1+Slot19_Rate)^(Slot19_Age-D83))/NT83),0)</f>
        <v>0</v>
      </c>
      <c r="NZ83" s="20" t="n">
        <f aca="false">IF(AND(HU83=1,GV83=1),MIN(NS83,NX83),0)</f>
        <v>0</v>
      </c>
      <c r="OA83" s="20" t="n">
        <f aca="false">NS83-NZ83</f>
        <v>0</v>
      </c>
      <c r="OB83" s="20" t="n">
        <f aca="false">IF(HF83=1,IF(ABS((1+AS_Wage)/(1+Slot20_Rate)-1)&lt;0.000000000001,(Slot20_Age-D83)*(1+Slot20_Rate)^(Slot20_Age-D83),(1+Slot20_Rate)^(Slot20_Age-D83)*(1-((1+AS_Wage)/(1+Slot20_Rate))^(Slot20_Age-D83))/(1-(1+AS_Wage)/(1+Slot20_Rate))),1)</f>
        <v>1</v>
      </c>
      <c r="OC83" s="20" t="n">
        <f aca="false">IF(AND(HU83=1,IE83&gt;0,Slot20_IsWG=1,HF83=1),MAX(0,(Slot20_Cost-HG83*(1+Slot20_Rate)^(Slot20_Age-D83))/OB83),0)</f>
        <v>0</v>
      </c>
      <c r="OD83" s="20" t="n">
        <f aca="false">IF(AND(HU83=1,IE83&gt;0,Slot20_IsWG=1,HF83=1),MIN(IE83,OC83),0)</f>
        <v>0</v>
      </c>
      <c r="OE83" s="20" t="n">
        <f aca="false">HG83+OD83</f>
        <v>0</v>
      </c>
      <c r="OF83" s="20" t="n">
        <f aca="false">IF(HF83=1,MAX(0,(Slot20_Cost-OE83*(1+Slot20_Rate)^(Slot20_Age-D83))/OB83),0)</f>
        <v>0</v>
      </c>
      <c r="OG83" s="20" t="n">
        <f aca="false">IF(HF83=1,MAX(0,(Slot20_Cost-HG83*(1+Slot20_Rate)^(Slot20_Age-D83))/OB83),0)</f>
        <v>0</v>
      </c>
      <c r="OH83" s="20" t="n">
        <f aca="false">IF(AND(HU83=1,HF83=1),MIN(OA83,OF83),0)</f>
        <v>0</v>
      </c>
      <c r="OI83" s="20" t="n">
        <f aca="false">OA83-OH83</f>
        <v>0</v>
      </c>
      <c r="OJ83" s="20" t="n">
        <f aca="false">IE83-(IH83+IP83+IX83+JF83+JN83+JV83+KD83+KL83+KT83+LB83+LJ83+LR83+LZ83+MH83+MP83+MX83+NF83+NN83+NV83+OD83)</f>
        <v>0</v>
      </c>
      <c r="OK83" s="20" t="n">
        <f aca="false">IF(HU83=1,HS83-ID83-IE83,0)</f>
        <v>0</v>
      </c>
      <c r="OL83" s="20" t="n">
        <f aca="false">IF(HU83=0,-HS83,0)</f>
        <v>85073.3662774712</v>
      </c>
      <c r="OM83" s="20" t="n">
        <f aca="false">MIN(OL83,HK83)</f>
        <v>0</v>
      </c>
      <c r="ON83" s="20" t="n">
        <f aca="false">OL83-OM83</f>
        <v>85073.3662774712</v>
      </c>
      <c r="OO83" s="20" t="n">
        <f aca="false">MIN(ON83,HL83)</f>
        <v>0</v>
      </c>
      <c r="OP83" s="20" t="n">
        <f aca="false">ON83-OO83</f>
        <v>85073.3662774712</v>
      </c>
      <c r="OQ83" s="20" t="n">
        <f aca="false">IF(AND(HU83=0,HF83=1,OP83&gt;0),MIN(OP83,HG83),0)</f>
        <v>0</v>
      </c>
      <c r="OR83" s="20" t="n">
        <f aca="false">OP83-OQ83</f>
        <v>85073.3662774712</v>
      </c>
      <c r="OS83" s="20" t="n">
        <f aca="false">IF(AND(HU83=0,GV83=1,OR83&gt;0),MIN(OR83,GW83),0)</f>
        <v>0</v>
      </c>
      <c r="OT83" s="20" t="n">
        <f aca="false">OR83-OS83</f>
        <v>85073.3662774712</v>
      </c>
      <c r="OU83" s="20" t="n">
        <f aca="false">IF(AND(HU83=0,GL83=1,OT83&gt;0),MIN(OT83,GM83),0)</f>
        <v>0</v>
      </c>
      <c r="OV83" s="20" t="n">
        <f aca="false">OT83-OU83</f>
        <v>85073.3662774712</v>
      </c>
      <c r="OW83" s="20" t="n">
        <f aca="false">IF(AND(HU83=0,GB83=1,OV83&gt;0),MIN(OV83,GC83),0)</f>
        <v>0</v>
      </c>
      <c r="OX83" s="20" t="n">
        <f aca="false">OV83-OW83</f>
        <v>85073.3662774712</v>
      </c>
      <c r="OY83" s="20" t="n">
        <f aca="false">IF(AND(HU83=0,FR83=1,OX83&gt;0),MIN(OX83,FS83),0)</f>
        <v>0</v>
      </c>
      <c r="OZ83" s="20" t="n">
        <f aca="false">OX83-OY83</f>
        <v>85073.3662774712</v>
      </c>
      <c r="PA83" s="20" t="n">
        <f aca="false">IF(AND(HU83=0,FH83=1,OZ83&gt;0),MIN(OZ83,FI83),0)</f>
        <v>0</v>
      </c>
      <c r="PB83" s="20" t="n">
        <f aca="false">OZ83-PA83</f>
        <v>85073.3662774712</v>
      </c>
      <c r="PC83" s="20" t="n">
        <f aca="false">IF(AND(HU83=0,EX83=1,PB83&gt;0),MIN(PB83,EY83),0)</f>
        <v>0</v>
      </c>
      <c r="PD83" s="20" t="n">
        <f aca="false">PB83-PC83</f>
        <v>85073.3662774712</v>
      </c>
      <c r="PE83" s="20" t="n">
        <f aca="false">IF(AND(HU83=0,EN83=1,PD83&gt;0),MIN(PD83,EO83),0)</f>
        <v>0</v>
      </c>
      <c r="PF83" s="20" t="n">
        <f aca="false">PD83-PE83</f>
        <v>85073.3662774712</v>
      </c>
      <c r="PG83" s="20" t="n">
        <f aca="false">IF(AND(HU83=0,ED83=1,PF83&gt;0),MIN(PF83,EE83),0)</f>
        <v>0</v>
      </c>
      <c r="PH83" s="20" t="n">
        <f aca="false">PF83-PG83</f>
        <v>85073.3662774712</v>
      </c>
      <c r="PI83" s="20" t="n">
        <f aca="false">IF(AND(HU83=0,DT83=1,PH83&gt;0),MIN(PH83,DU83),0)</f>
        <v>0</v>
      </c>
      <c r="PJ83" s="20" t="n">
        <f aca="false">PH83-PI83</f>
        <v>85073.3662774712</v>
      </c>
      <c r="PK83" s="20" t="n">
        <f aca="false">IF(AND(HU83=0,DJ83=1,PJ83&gt;0),MIN(PJ83,DK83),0)</f>
        <v>0</v>
      </c>
      <c r="PL83" s="20" t="n">
        <f aca="false">PJ83-PK83</f>
        <v>85073.3662774712</v>
      </c>
      <c r="PM83" s="20" t="n">
        <f aca="false">IF(AND(HU83=0,CZ83=1,PL83&gt;0),MIN(PL83,DA83),0)</f>
        <v>0</v>
      </c>
      <c r="PN83" s="20" t="n">
        <f aca="false">PL83-PM83</f>
        <v>85073.3662774712</v>
      </c>
      <c r="PO83" s="20" t="n">
        <f aca="false">IF(AND(HU83=0,CP83=1,PN83&gt;0),MIN(PN83,CQ83),0)</f>
        <v>0</v>
      </c>
      <c r="PP83" s="20" t="n">
        <f aca="false">PN83-PO83</f>
        <v>85073.3662774712</v>
      </c>
      <c r="PQ83" s="20" t="n">
        <f aca="false">IF(AND(HU83=0,CF83=1,PP83&gt;0),MIN(PP83,CG83),0)</f>
        <v>0</v>
      </c>
      <c r="PR83" s="20" t="n">
        <f aca="false">PP83-PQ83</f>
        <v>85073.3662774712</v>
      </c>
      <c r="PS83" s="20" t="n">
        <f aca="false">IF(AND(HU83=0,BV83=1,PR83&gt;0),MIN(PR83,BW83),0)</f>
        <v>0</v>
      </c>
      <c r="PT83" s="20" t="n">
        <f aca="false">PR83-PS83</f>
        <v>85073.3662774712</v>
      </c>
      <c r="PU83" s="20" t="n">
        <f aca="false">IF(AND(HU83=0,BL83=1,PT83&gt;0),MIN(PT83,BM83),0)</f>
        <v>0</v>
      </c>
      <c r="PV83" s="20" t="n">
        <f aca="false">PT83-PU83</f>
        <v>85073.3662774712</v>
      </c>
      <c r="PW83" s="20" t="n">
        <f aca="false">IF(AND(HU83=0,BB83=1,PV83&gt;0),MIN(PV83,BC83),0)</f>
        <v>0</v>
      </c>
      <c r="PX83" s="20" t="n">
        <f aca="false">PV83-PW83</f>
        <v>85073.3662774712</v>
      </c>
      <c r="PY83" s="20" t="n">
        <f aca="false">IF(AND(HU83=0,AR83=1,PX83&gt;0),MIN(PX83,AS83),0)</f>
        <v>0</v>
      </c>
      <c r="PZ83" s="20" t="n">
        <f aca="false">PX83-PY83</f>
        <v>85073.3662774712</v>
      </c>
      <c r="QA83" s="20" t="n">
        <f aca="false">IF(AND(HU83=0,AH83=1,PZ83&gt;0),MIN(PZ83,AI83),0)</f>
        <v>0</v>
      </c>
      <c r="QB83" s="20" t="n">
        <f aca="false">PZ83-QA83</f>
        <v>85073.3662774712</v>
      </c>
      <c r="QC83" s="20" t="n">
        <f aca="false">IF(AND(HU83=0,W83=1,QB83&gt;0),MIN(QB83,X83),0)</f>
        <v>0</v>
      </c>
      <c r="QD83" s="20" t="n">
        <f aca="false">QB83-QC83</f>
        <v>85073.3662774712</v>
      </c>
      <c r="QE83" s="20" t="n">
        <f aca="false">IF(HU83=0,QD83,0)</f>
        <v>85073.3662774712</v>
      </c>
      <c r="QF83" s="20" t="n">
        <f aca="false">OM83+OO83+QC83+QA83+PY83+PW83+PU83+PS83+PQ83+PO83+PM83+PK83+PI83+PG83+PE83+PC83+PA83+OY83+OW83+OU83+OS83+OQ83</f>
        <v>0</v>
      </c>
      <c r="QG83" s="20" t="n">
        <f aca="false">IF(HU83=1,HK83+OJ83+OI83+IF(G83=1,0,OK83),HK83-OM83)</f>
        <v>0</v>
      </c>
      <c r="QH83" s="20" t="n">
        <f aca="false">HL83-OO83</f>
        <v>0</v>
      </c>
      <c r="QI83" s="20" t="n">
        <f aca="false">IF(HU83=1,IF(G83=1,ID83+IE83,HS83),0)</f>
        <v>0</v>
      </c>
      <c r="QJ83" s="20" t="n">
        <f aca="false">IF(HU83=1,IF(G83=1,HS83-ID83-IE83,0),0)</f>
        <v>0</v>
      </c>
      <c r="QK83" s="57" t="n">
        <f aca="false">'Plan holdings'!BM83</f>
        <v>0</v>
      </c>
      <c r="QL83" s="20" t="n">
        <f aca="false">QH83*(1+AS_Cash)</f>
        <v>0</v>
      </c>
      <c r="QM83" s="20" t="n">
        <f aca="false">IF(W83=1,IF(HU83=1,II83+IL83,X83-QC83)*(1+Slot1_Rate),0)</f>
        <v>0</v>
      </c>
      <c r="QN83" s="20" t="n">
        <f aca="false">IF(AND(HU83=1,W83=1),(IH83+IL83)/F83,0)</f>
        <v>0</v>
      </c>
      <c r="QO83" s="20" t="n">
        <f aca="false">IF(B83=0,IH83+IL83,0)</f>
        <v>0</v>
      </c>
      <c r="QP83" s="20" t="n">
        <f aca="false">IF(B83=0,IF(HU83=1,IJ83,IK83),0)</f>
        <v>0</v>
      </c>
      <c r="QQ83" s="20" t="n">
        <f aca="false">IF(AH83=1,IF(HU83=1,IQ83+IT83,AI83-QA83)*(1+Slot2_Rate),0)</f>
        <v>0</v>
      </c>
      <c r="QR83" s="20" t="n">
        <f aca="false">IF(AND(HU83=1,AH83=1),(IP83+IT83)/F83,0)</f>
        <v>0</v>
      </c>
      <c r="QS83" s="20" t="n">
        <f aca="false">IF(B83=0,IP83+IT83,0)</f>
        <v>0</v>
      </c>
      <c r="QT83" s="20" t="n">
        <f aca="false">IF(B83=0,IF(HU83=1,IR83,IS83),0)</f>
        <v>0</v>
      </c>
      <c r="QU83" s="20" t="n">
        <f aca="false">IF(AR83=1,IF(HU83=1,IY83+JB83,AS83-PY83)*(1+Slot3_Rate),0)</f>
        <v>0</v>
      </c>
      <c r="QV83" s="20" t="n">
        <f aca="false">IF(AND(HU83=1,AR83=1),(IX83+JB83)/F83,0)</f>
        <v>0</v>
      </c>
      <c r="QW83" s="20" t="n">
        <f aca="false">IF(B83=0,IX83+JB83,0)</f>
        <v>0</v>
      </c>
      <c r="QX83" s="20" t="n">
        <f aca="false">IF(B83=0,IF(HU83=1,IZ83,JA83),0)</f>
        <v>0</v>
      </c>
      <c r="QY83" s="20" t="n">
        <f aca="false">IF(BB83=1,IF(HU83=1,JG83+JJ83,BC83-PW83)*(1+Slot4_Rate),0)</f>
        <v>0</v>
      </c>
      <c r="QZ83" s="20" t="n">
        <f aca="false">IF(AND(HU83=1,BB83=1),(JF83+JJ83)/F83,0)</f>
        <v>0</v>
      </c>
      <c r="RA83" s="20" t="n">
        <f aca="false">IF(B83=0,JF83+JJ83,0)</f>
        <v>0</v>
      </c>
      <c r="RB83" s="20" t="n">
        <f aca="false">IF(B83=0,IF(HU83=1,JH83,JI83),0)</f>
        <v>0</v>
      </c>
      <c r="RC83" s="20" t="n">
        <f aca="false">IF(BL83=1,IF(HU83=1,JO83+JR83,BM83-PU83)*(1+Slot5_Rate),0)</f>
        <v>0</v>
      </c>
      <c r="RD83" s="20" t="n">
        <f aca="false">IF(AND(HU83=1,BL83=1),(JN83+JR83)/F83,0)</f>
        <v>0</v>
      </c>
      <c r="RE83" s="20" t="n">
        <f aca="false">IF(B83=0,JN83+JR83,0)</f>
        <v>0</v>
      </c>
      <c r="RF83" s="20" t="n">
        <f aca="false">IF(B83=0,IF(HU83=1,JP83,JQ83),0)</f>
        <v>0</v>
      </c>
      <c r="RG83" s="20" t="n">
        <f aca="false">IF(BV83=1,IF(HU83=1,JW83+JZ83,BW83-PS83)*(1+Slot6_Rate),0)</f>
        <v>0</v>
      </c>
      <c r="RH83" s="20" t="n">
        <f aca="false">IF(AND(HU83=1,BV83=1),(JV83+JZ83)/F83,0)</f>
        <v>0</v>
      </c>
      <c r="RI83" s="20" t="n">
        <f aca="false">IF(B83=0,JV83+JZ83,0)</f>
        <v>0</v>
      </c>
      <c r="RJ83" s="20" t="n">
        <f aca="false">IF(B83=0,IF(HU83=1,JX83,JY83),0)</f>
        <v>0</v>
      </c>
      <c r="RK83" s="20" t="n">
        <f aca="false">IF(CF83=1,IF(HU83=1,KE83+KH83,CG83-PQ83)*(1+Slot7_Rate),0)</f>
        <v>0</v>
      </c>
      <c r="RL83" s="20" t="n">
        <f aca="false">IF(AND(HU83=1,CF83=1),(KD83+KH83)/F83,0)</f>
        <v>0</v>
      </c>
      <c r="RM83" s="20" t="n">
        <f aca="false">IF(B83=0,KD83+KH83,0)</f>
        <v>0</v>
      </c>
      <c r="RN83" s="20" t="n">
        <f aca="false">IF(B83=0,IF(HU83=1,KF83,KG83),0)</f>
        <v>0</v>
      </c>
      <c r="RO83" s="20" t="n">
        <f aca="false">IF(CP83=1,IF(HU83=1,KM83+KP83,CQ83-PO83)*(1+Slot8_Rate),0)</f>
        <v>0</v>
      </c>
      <c r="RP83" s="20" t="n">
        <f aca="false">IF(AND(HU83=1,CP83=1),(KL83+KP83)/F83,0)</f>
        <v>0</v>
      </c>
      <c r="RQ83" s="20" t="n">
        <f aca="false">IF(B83=0,KL83+KP83,0)</f>
        <v>0</v>
      </c>
      <c r="RR83" s="20" t="n">
        <f aca="false">IF(B83=0,IF(HU83=1,KN83,KO83),0)</f>
        <v>0</v>
      </c>
      <c r="RS83" s="20" t="n">
        <f aca="false">IF(CZ83=1,IF(HU83=1,KU83+KX83,DA83-PM83)*(1+Slot9_Rate),0)</f>
        <v>0</v>
      </c>
      <c r="RT83" s="20" t="n">
        <f aca="false">IF(AND(HU83=1,CZ83=1),(KT83+KX83)/F83,0)</f>
        <v>0</v>
      </c>
      <c r="RU83" s="20" t="n">
        <f aca="false">IF(B83=0,KT83+KX83,0)</f>
        <v>0</v>
      </c>
      <c r="RV83" s="20" t="n">
        <f aca="false">IF(B83=0,IF(HU83=1,KV83,KW83),0)</f>
        <v>0</v>
      </c>
      <c r="RW83" s="20" t="n">
        <f aca="false">IF(DJ83=1,IF(HU83=1,LC83+LF83,DK83-PK83)*(1+Slot10_Rate),0)</f>
        <v>0</v>
      </c>
      <c r="RX83" s="20" t="n">
        <f aca="false">IF(AND(HU83=1,DJ83=1),(LB83+LF83)/F83,0)</f>
        <v>0</v>
      </c>
      <c r="RY83" s="20" t="n">
        <f aca="false">IF(B83=0,LB83+LF83,0)</f>
        <v>0</v>
      </c>
      <c r="RZ83" s="20" t="n">
        <f aca="false">IF(B83=0,IF(HU83=1,LD83,LE83),0)</f>
        <v>0</v>
      </c>
      <c r="SA83" s="20" t="n">
        <f aca="false">IF(DT83=1,IF(HU83=1,LK83+LN83,DU83-PI83)*(1+Slot11_Rate),0)</f>
        <v>0</v>
      </c>
      <c r="SB83" s="20" t="n">
        <f aca="false">IF(AND(HU83=1,DT83=1),(LJ83+LN83)/F83,0)</f>
        <v>0</v>
      </c>
      <c r="SC83" s="20" t="n">
        <f aca="false">IF(B83=0,LJ83+LN83,0)</f>
        <v>0</v>
      </c>
      <c r="SD83" s="20" t="n">
        <f aca="false">IF(B83=0,IF(HU83=1,LL83,LM83),0)</f>
        <v>0</v>
      </c>
      <c r="SE83" s="20" t="n">
        <f aca="false">IF(ED83=1,IF(HU83=1,LS83+LV83,EE83-PG83)*(1+Slot12_Rate),0)</f>
        <v>0</v>
      </c>
      <c r="SF83" s="20" t="n">
        <f aca="false">IF(AND(HU83=1,ED83=1),(LR83+LV83)/F83,0)</f>
        <v>0</v>
      </c>
      <c r="SG83" s="20" t="n">
        <f aca="false">IF(B83=0,LR83+LV83,0)</f>
        <v>0</v>
      </c>
      <c r="SH83" s="20" t="n">
        <f aca="false">IF(B83=0,IF(HU83=1,LT83,LU83),0)</f>
        <v>0</v>
      </c>
      <c r="SI83" s="20" t="n">
        <f aca="false">IF(EN83=1,IF(HU83=1,MA83+MD83,EO83-PE83)*(1+Slot13_Rate),0)</f>
        <v>0</v>
      </c>
      <c r="SJ83" s="20" t="n">
        <f aca="false">IF(AND(HU83=1,EN83=1),(LZ83+MD83)/F83,0)</f>
        <v>0</v>
      </c>
      <c r="SK83" s="20" t="n">
        <f aca="false">IF(B83=0,LZ83+MD83,0)</f>
        <v>0</v>
      </c>
      <c r="SL83" s="20" t="n">
        <f aca="false">IF(B83=0,IF(HU83=1,MB83,MC83),0)</f>
        <v>0</v>
      </c>
      <c r="SM83" s="20" t="n">
        <f aca="false">IF(EX83=1,IF(HU83=1,MI83+ML83,EY83-PC83)*(1+Slot14_Rate),0)</f>
        <v>0</v>
      </c>
      <c r="SN83" s="20" t="n">
        <f aca="false">IF(AND(HU83=1,EX83=1),(MH83+ML83)/F83,0)</f>
        <v>0</v>
      </c>
      <c r="SO83" s="20" t="n">
        <f aca="false">IF(B83=0,MH83+ML83,0)</f>
        <v>0</v>
      </c>
      <c r="SP83" s="20" t="n">
        <f aca="false">IF(B83=0,IF(HU83=1,MJ83,MK83),0)</f>
        <v>0</v>
      </c>
      <c r="SQ83" s="20" t="n">
        <f aca="false">IF(FH83=1,IF(HU83=1,MQ83+MT83,FI83-PA83)*(1+Slot15_Rate),0)</f>
        <v>0</v>
      </c>
      <c r="SR83" s="20" t="n">
        <f aca="false">IF(AND(HU83=1,FH83=1),(MP83+MT83)/F83,0)</f>
        <v>0</v>
      </c>
      <c r="SS83" s="20" t="n">
        <f aca="false">IF(B83=0,MP83+MT83,0)</f>
        <v>0</v>
      </c>
      <c r="ST83" s="20" t="n">
        <f aca="false">IF(B83=0,IF(HU83=1,MR83,MS83),0)</f>
        <v>0</v>
      </c>
      <c r="SU83" s="20" t="n">
        <f aca="false">IF(FR83=1,IF(HU83=1,MY83+NB83,FS83-OY83)*(1+Slot16_Rate),0)</f>
        <v>0</v>
      </c>
      <c r="SV83" s="20" t="n">
        <f aca="false">IF(AND(HU83=1,FR83=1),(MX83+NB83)/F83,0)</f>
        <v>0</v>
      </c>
      <c r="SW83" s="20" t="n">
        <f aca="false">IF(B83=0,MX83+NB83,0)</f>
        <v>0</v>
      </c>
      <c r="SX83" s="20" t="n">
        <f aca="false">IF(B83=0,IF(HU83=1,MZ83,NA83),0)</f>
        <v>0</v>
      </c>
      <c r="SY83" s="20" t="n">
        <f aca="false">IF(GB83=1,IF(HU83=1,NG83+NJ83,GC83-OW83)*(1+Slot17_Rate),0)</f>
        <v>0</v>
      </c>
      <c r="SZ83" s="20" t="n">
        <f aca="false">IF(AND(HU83=1,GB83=1),(NF83+NJ83)/F83,0)</f>
        <v>0</v>
      </c>
      <c r="TA83" s="20" t="n">
        <f aca="false">IF(B83=0,NF83+NJ83,0)</f>
        <v>0</v>
      </c>
      <c r="TB83" s="20" t="n">
        <f aca="false">IF(B83=0,IF(HU83=1,NH83,NI83),0)</f>
        <v>0</v>
      </c>
      <c r="TC83" s="20" t="n">
        <f aca="false">IF(GL83=1,IF(HU83=1,NO83+NR83,GM83-OU83)*(1+Slot18_Rate),0)</f>
        <v>0</v>
      </c>
      <c r="TD83" s="20" t="n">
        <f aca="false">IF(AND(HU83=1,GL83=1),(NN83+NR83)/F83,0)</f>
        <v>0</v>
      </c>
      <c r="TE83" s="20" t="n">
        <f aca="false">IF(B83=0,NN83+NR83,0)</f>
        <v>0</v>
      </c>
      <c r="TF83" s="20" t="n">
        <f aca="false">IF(B83=0,IF(HU83=1,NP83,NQ83),0)</f>
        <v>0</v>
      </c>
      <c r="TG83" s="20" t="n">
        <f aca="false">IF(GV83=1,IF(HU83=1,NW83+NZ83,GW83-OS83)*(1+Slot19_Rate),0)</f>
        <v>0</v>
      </c>
      <c r="TH83" s="20" t="n">
        <f aca="false">IF(AND(HU83=1,GV83=1),(NV83+NZ83)/F83,0)</f>
        <v>0</v>
      </c>
      <c r="TI83" s="20" t="n">
        <f aca="false">IF(B83=0,NV83+NZ83,0)</f>
        <v>0</v>
      </c>
      <c r="TJ83" s="20" t="n">
        <f aca="false">IF(B83=0,IF(HU83=1,NX83,NY83),0)</f>
        <v>0</v>
      </c>
      <c r="TK83" s="20" t="n">
        <f aca="false">IF(HF83=1,IF(HU83=1,OE83+OH83,HG83-OQ83)*(1+Slot20_Rate),0)</f>
        <v>0</v>
      </c>
      <c r="TL83" s="20" t="n">
        <f aca="false">IF(AND(HU83=1,HF83=1),(OD83+OH83)/F83,0)</f>
        <v>0</v>
      </c>
      <c r="TM83" s="20" t="n">
        <f aca="false">IF(B83=0,OD83+OH83,0)</f>
        <v>0</v>
      </c>
      <c r="TN83" s="20" t="n">
        <f aca="false">IF(B83=0,IF(HU83=1,OF83,OG83),0)</f>
        <v>0</v>
      </c>
      <c r="TO83" s="20" t="n">
        <f aca="false">QK83+QL83+QM83+QQ83+QU83+QY83+RC83+RG83+RK83+RO83+RS83+RW83+SA83+SE83+SI83+SM83+SQ83+SU83+SY83+TC83+TG83+TK83</f>
        <v>0</v>
      </c>
      <c r="TP83" s="20" t="n">
        <f aca="false">QE83+HP83</f>
        <v>85073.3662774712</v>
      </c>
      <c r="TQ83" s="20" t="n">
        <f aca="false">I83+S83</f>
        <v>211076.934755103</v>
      </c>
      <c r="TR83" s="20" t="n">
        <f aca="false">1-G83</f>
        <v>1</v>
      </c>
      <c r="TS83" s="20" t="n">
        <f aca="false">IF(AND(RG_Exists=1,G83=0,C83=1),I83,0)</f>
        <v>0</v>
      </c>
      <c r="TT83" s="20" t="n">
        <f aca="false">IF(AND(RG_Exists=1,G83=0,C83=1),I83-MIN(QE83,I83),0)</f>
        <v>0</v>
      </c>
      <c r="TU83" s="20" t="n">
        <f aca="false">'Plan pay &amp; tax'!AD309</f>
        <v>0</v>
      </c>
      <c r="TV83" s="20" t="n">
        <f aca="false">IF(AND(C83=1,QE83&gt;MAX(PR_Short1,TQ83*PR_Short2)),1,0)</f>
        <v>0</v>
      </c>
      <c r="TW83" s="20" t="n">
        <f aca="false">MIN(H83,I83+S83)</f>
        <v>126003.568477631</v>
      </c>
      <c r="TX83" s="20" t="n">
        <f aca="false">QF83+MAX(0,HQ83-HP83)</f>
        <v>0</v>
      </c>
      <c r="TY83" s="20" t="n">
        <f aca="false">QE83+HP83</f>
        <v>85073.3662774712</v>
      </c>
      <c r="TZ83" s="20" t="n">
        <f aca="false">IF(AND(C83=1,TY83&gt;PR_MinShort),1,0)</f>
        <v>0</v>
      </c>
      <c r="UA83" s="20" t="n">
        <f aca="false">IF(AND(C83=1,TZ83=0,TX83&gt;PR_MinShort),1,0)</f>
        <v>0</v>
      </c>
      <c r="UB83" s="20" t="n">
        <f aca="false">IF(AND(C83=1,QE83&gt;PR_MinShort),1,0)</f>
        <v>0</v>
      </c>
      <c r="UC83" s="20" t="n">
        <f aca="false">IF(AND(C83=1,QF83&gt;1,UJ83=0),1,0)</f>
        <v>0</v>
      </c>
      <c r="UD83" s="20" t="str">
        <f aca="false">IF(C83=0,"",IF(UJ83=1,"Gap to plan for: short "&amp;"€"&amp;TEXT(ROUND(TP83,0),"#,##0"),IF(QF83&gt;1,"Using savings","Comfortable")))</f>
        <v/>
      </c>
      <c r="UE83" s="20" t="n">
        <f aca="false">IF(AND(INT(D83/10)*10=90,B83&gt;0),80,INT(D83/10)*10)</f>
        <v>110</v>
      </c>
      <c r="UF83" s="20" t="n">
        <f aca="false">IF(B83=0,1,IF(UE83&lt;&gt;UE82,UF82+1,UF82))</f>
        <v>8</v>
      </c>
      <c r="UG83" s="20" t="n">
        <f aca="false">IF(AND(C83=1,G83=1,QE83&gt;MAX(PR_Short1,TQ83*PR_Short2)),1,0)</f>
        <v>0</v>
      </c>
      <c r="UH83" s="20" t="n">
        <f aca="false">TR83*TV83</f>
        <v>0</v>
      </c>
      <c r="UI83" s="20" t="n">
        <f aca="false">IF(AND(V83=1,Slot1_PctLow=1),1,0)+IF(AND(AG83=1,Slot2_PctLow=1),1,0)+IF(AND(AQ83=1,Slot3_PctLow=1),1,0)+IF(AND(BA83=1,Slot4_PctLow=1),1,0)+IF(AND(BK83=1,Slot5_PctLow=1),1,0)+IF(AND(BU83=1,Slot6_PctLow=1),1,0)+IF(AND(CE83=1,Slot7_PctLow=1),1,0)+IF(AND(CO83=1,Slot8_PctLow=1),1,0)+IF(AND(CY83=1,Slot9_PctLow=1),1,0)+IF(AND(DI83=1,Slot10_PctLow=1),1,0)+IF(AND(DS83=1,Slot11_PctLow=1),1,0)+IF(AND(EC83=1,Slot12_PctLow=1),1,0)+IF(AND(EM83=1,Slot13_PctLow=1),1,0)+IF(AND(EW83=1,Slot14_PctLow=1),1,0)+IF(AND(FG83=1,Slot15_PctLow=1),1,0)+IF(AND(FQ83=1,Slot16_PctLow=1),1,0)+IF(AND(GA83=1,Slot17_PctLow=1),1,0)+IF(AND(GK83=1,Slot18_PctLow=1),1,0)+IF(AND(GU83=1,Slot19_PctLow=1),1,0)+IF(AND(HE83=1,Slot20_PctLow=1),1,0)</f>
        <v>0</v>
      </c>
      <c r="UJ83" s="20" t="n">
        <f aca="false">IF(C83=1,IF(OR(TV83=1,UI83&gt;0),1,0),0)</f>
        <v>0</v>
      </c>
      <c r="UK83" s="20" t="n">
        <f aca="false">Z83+AK83+AU83+BE83+BO83+BY83+CI83+CS83+DC83+DM83+DW83+EG83+EQ83+FA83+FK83+FU83+GE83+GO83+GY83+HI83+OM83</f>
        <v>0</v>
      </c>
      <c r="UL83" s="20" t="n">
        <f aca="false">V83*IF(Slot1_SpendLike=1,X83-Y83,IF(Slot1_PotFree=1,X83,0))+AG83*IF(Slot2_SpendLike=1,AI83-AJ83,IF(Slot2_PotFree=1,AI83,0))+AQ83*IF(Slot3_SpendLike=1,AS83-AT83,IF(Slot3_PotFree=1,AS83,0))+BA83*IF(Slot4_SpendLike=1,BC83-BD83,IF(Slot4_PotFree=1,BC83,0))+BK83*IF(Slot5_SpendLike=1,BM83-BN83,IF(Slot5_PotFree=1,BM83,0))+BU83*IF(Slot6_SpendLike=1,BW83-BX83,IF(Slot6_PotFree=1,BW83,0))+CE83*IF(Slot7_SpendLike=1,CG83-CH83,IF(Slot7_PotFree=1,CG83,0))+CO83*IF(Slot8_SpendLike=1,CQ83-CR83,IF(Slot8_PotFree=1,CQ83,0))+CY83*IF(Slot9_SpendLike=1,DA83-DB83,IF(Slot9_PotFree=1,DA83,0))+DI83*IF(Slot10_SpendLike=1,DK83-DL83,IF(Slot10_PotFree=1,DK83,0))+DS83*IF(Slot11_SpendLike=1,DU83-DV83,IF(Slot11_PotFree=1,DU83,0))+EC83*IF(Slot12_SpendLike=1,EE83-EF83,IF(Slot12_PotFree=1,EE83,0))+EM83*IF(Slot13_SpendLike=1,EO83-EP83,IF(Slot13_PotFree=1,EO83,0))+EW83*IF(Slot14_SpendLike=1,EY83-EZ83,IF(Slot14_PotFree=1,EY83,0))+FG83*IF(Slot15_SpendLike=1,FI83-FJ83,IF(Slot15_PotFree=1,FI83,0))+FQ83*IF(Slot16_SpendLike=1,FS83-FT83,IF(Slot16_PotFree=1,FS83,0))+GA83*IF(Slot17_SpendLike=1,GC83-GD83,IF(Slot17_PotFree=1,GC83,0))+GK83*IF(Slot18_SpendLike=1,GM83-GN83,IF(Slot18_PotFree=1,GM83,0))+GU83*IF(Slot19_SpendLike=1,GW83-GX83,IF(Slot19_PotFree=1,GW83,0))+HE83*IF(Slot20_SpendLike=1,HG83-HH83,IF(Slot20_PotFree=1,HG83,0))</f>
        <v>0</v>
      </c>
      <c r="UM83" s="20" t="n">
        <f aca="false">QG83-T83+UK83-UL83</f>
        <v>0</v>
      </c>
      <c r="UN83" s="20" t="n">
        <f aca="false">IF(OR(UN82=1,AND(In_homeUse="Yes, I'd downsize",In_downAge&gt;0,D83=In_downAge,OR(In_home="Own outright",In_home="Own with mortgage"),In_homeValue&gt;0)),1,0)</f>
        <v>0</v>
      </c>
    </row>
    <row r="84" customFormat="false" ht="15" hidden="false" customHeight="true" outlineLevel="0" collapsed="false">
      <c r="B84" s="20" t="n">
        <v>76</v>
      </c>
      <c r="C84" s="20" t="n">
        <f aca="false">IF(B84&lt;=F_N,1,0)</f>
        <v>0</v>
      </c>
      <c r="D84" s="20" t="n">
        <f aca="false">'Plan pay &amp; tax'!C310</f>
        <v>114</v>
      </c>
      <c r="E84" s="20" t="str">
        <f aca="false">IF($C84=1,"Income tax "&amp;TEXT(N('Plan pay &amp; tax'!BK310),"#,##0")&amp;"; USC "&amp;TEXT(N('Plan pay &amp; tax'!BM310)+N('Plan pay &amp; tax'!BO310),"#,##0")&amp;"; PRSI "&amp;TEXT(N('Plan pay &amp; tax'!BP310)+N('Plan pay &amp; tax'!BQ310),"#,##0")&amp;IF(N('Plan holdings'!BO84)&gt;=0.5,"; DIRT "&amp;TEXT(('Plan holdings'!BO84)/$F84,"#,##0")&amp;" (already taken from the interest earned)","")&amp;IF(N('Plan holdings'!BP84)&gt;=0.5,"; exit tax at an 8-year anniversary "&amp;TEXT(('Plan holdings'!BP84)/$F84,"#,##0"),"")&amp;IF(N('Plan holdings'!BN84)&gt;=0.5,"; tax on assets sold (exit tax or capital gains tax) "&amp;TEXT(('Plan holdings'!BN84)/$F84,"#,##0"),"")&amp;IF(N('Plan pay &amp; tax'!X310)-N('Plan pay &amp; tax'!Y310)&gt;=0.5,"; tax on the pension lump sum "&amp;TEXT(('Plan pay &amp; tax'!X310-'Plan pay &amp; tax'!Y310)/$F84,"#,##0"),"")&amp;IF(N('Plan pay &amp; tax'!V310)&gt;=0.5,"; chargeable excess tax on the pension "&amp;TEXT(('Plan pay &amp; tax'!V310)/$F84,"#,##0"),"")&amp;".","")</f>
        <v/>
      </c>
      <c r="F84" s="50" t="n">
        <f aca="false">'Plan pay &amp; tax'!E310</f>
        <v>4.50415216423022</v>
      </c>
      <c r="G84" s="20" t="n">
        <f aca="false">'Plan pay &amp; tax'!G310</f>
        <v>0</v>
      </c>
      <c r="H84" s="20" t="n">
        <f aca="false">'Plan pay &amp; tax'!BT310-'Plan pay &amp; tax'!BS310-'Plan pay &amp; tax'!R310</f>
        <v>128523.639847184</v>
      </c>
      <c r="I84" s="20" t="n">
        <f aca="false">IF(G84=1,F_CostsM*12,IF(RG_Exists=1,RG_Amount,F_CostsM*12*AS_RetireSpend))*F84+F_OneOffY*F84</f>
        <v>215298.473450205</v>
      </c>
      <c r="J84" s="20" t="n">
        <f aca="false">IF(UN84=1,0,HR83)</f>
        <v>0</v>
      </c>
      <c r="K84" s="20" t="n">
        <f aca="false">IF(J84&gt;1,'Plan debt months'!AC84,0)</f>
        <v>0</v>
      </c>
      <c r="L84" s="20" t="n">
        <f aca="false">IF(J84&gt;1,'Plan debt months'!AB84,J84)</f>
        <v>0</v>
      </c>
      <c r="M84" s="20" t="n">
        <f aca="false">O83</f>
        <v>0</v>
      </c>
      <c r="N84" s="20" t="n">
        <f aca="false">IF(M84&gt;1,'Plan debt months'!BD84,0)</f>
        <v>0</v>
      </c>
      <c r="O84" s="20" t="n">
        <f aca="false">IF(M84&gt;1,'Plan debt months'!BC84,M84)</f>
        <v>0</v>
      </c>
      <c r="P84" s="20" t="n">
        <f aca="false">R83</f>
        <v>0</v>
      </c>
      <c r="Q84" s="20" t="n">
        <f aca="false">IF(P84&gt;1,'Plan debt months'!CE84,0)</f>
        <v>0</v>
      </c>
      <c r="R84" s="20" t="n">
        <f aca="false">IF(P84&gt;1,'Plan debt months'!CD84,P84)</f>
        <v>0</v>
      </c>
      <c r="S84" s="20" t="n">
        <f aca="false">K84+N84+Q84</f>
        <v>0</v>
      </c>
      <c r="T84" s="57" t="n">
        <f aca="false">'Plan holdings'!Y84</f>
        <v>0</v>
      </c>
      <c r="U84" s="57" t="n">
        <f aca="false">'Plan holdings'!BM83</f>
        <v>0</v>
      </c>
      <c r="V84" s="20" t="n">
        <f aca="false">IF(AND(Slot1_On=1,D84=Slot1_Age),1,0)</f>
        <v>0</v>
      </c>
      <c r="W84" s="20" t="n">
        <f aca="false">IF(AND(Slot1_On=1,Slot1_Age&gt;D84),1,0)</f>
        <v>0</v>
      </c>
      <c r="X84" s="20" t="n">
        <f aca="false">QM83</f>
        <v>0</v>
      </c>
      <c r="Y84" s="20" t="n">
        <f aca="false">V84*MIN(Slot1_Cost,X84)</f>
        <v>0</v>
      </c>
      <c r="Z84" s="20" t="n">
        <f aca="false">V84*Slot1_SpendLike*MIN(Slot1_Cost-Y84,T84)</f>
        <v>0</v>
      </c>
      <c r="AA84" s="20" t="n">
        <f aca="false">Y84+Z84</f>
        <v>0</v>
      </c>
      <c r="AB84" s="20" t="n">
        <f aca="false">T84-Z84+V84*IF(Slot1_SpendLike=1,X84-Y84,IF(Slot1_PotFree=1,X84,0))</f>
        <v>0</v>
      </c>
      <c r="AC84" s="20" t="n">
        <f aca="false">AF84+V84*Slot1_BufPot*X84</f>
        <v>0</v>
      </c>
      <c r="AD84" s="20" t="n">
        <f aca="false">IF(AND(V84=1,Slot1_IsMfree=1),IF(AA84&gt;=Slot1_Cost-1,0,MAX(0,L84-AA84)),L84)</f>
        <v>0</v>
      </c>
      <c r="AE84" s="20" t="n">
        <f aca="false">V84*(Slot1_Cost-AA84)</f>
        <v>0</v>
      </c>
      <c r="AF84" s="20" t="n">
        <f aca="false">QL83</f>
        <v>0</v>
      </c>
      <c r="AG84" s="20" t="n">
        <f aca="false">IF(AND(Slot2_On=1,D84=Slot2_Age),1,0)</f>
        <v>0</v>
      </c>
      <c r="AH84" s="20" t="n">
        <f aca="false">IF(AND(Slot2_On=1,Slot2_Age&gt;D84),1,0)</f>
        <v>0</v>
      </c>
      <c r="AI84" s="20" t="n">
        <f aca="false">QQ83</f>
        <v>0</v>
      </c>
      <c r="AJ84" s="20" t="n">
        <f aca="false">AG84*MIN(Slot2_Cost,AI84)</f>
        <v>0</v>
      </c>
      <c r="AK84" s="20" t="n">
        <f aca="false">AG84*Slot2_SpendLike*MIN(Slot2_Cost-AJ84,AB84)</f>
        <v>0</v>
      </c>
      <c r="AL84" s="20" t="n">
        <f aca="false">AJ84+AK84</f>
        <v>0</v>
      </c>
      <c r="AM84" s="20" t="n">
        <f aca="false">AB84-AK84+AG84*IF(Slot2_SpendLike=1,AI84-AJ84,IF(Slot2_PotFree=1,AI84,0))</f>
        <v>0</v>
      </c>
      <c r="AN84" s="20" t="n">
        <f aca="false">AC84+AG84*Slot2_BufPot*AI84</f>
        <v>0</v>
      </c>
      <c r="AO84" s="20" t="n">
        <f aca="false">IF(AND(AG84=1,Slot2_IsMfree=1),IF(AL84&gt;=Slot2_Cost-1,0,MAX(0,AD84-AL84)),AD84)</f>
        <v>0</v>
      </c>
      <c r="AP84" s="20" t="n">
        <f aca="false">AG84*(Slot2_Cost-AL84)</f>
        <v>0</v>
      </c>
      <c r="AQ84" s="20" t="n">
        <f aca="false">IF(AND(Slot3_On=1,D84=Slot3_Age),1,0)</f>
        <v>0</v>
      </c>
      <c r="AR84" s="20" t="n">
        <f aca="false">IF(AND(Slot3_On=1,Slot3_Age&gt;D84),1,0)</f>
        <v>0</v>
      </c>
      <c r="AS84" s="20" t="n">
        <f aca="false">QU83</f>
        <v>0</v>
      </c>
      <c r="AT84" s="20" t="n">
        <f aca="false">AQ84*MIN(Slot3_Cost,AS84)</f>
        <v>0</v>
      </c>
      <c r="AU84" s="20" t="n">
        <f aca="false">AQ84*Slot3_SpendLike*MIN(Slot3_Cost-AT84,AM84)</f>
        <v>0</v>
      </c>
      <c r="AV84" s="20" t="n">
        <f aca="false">AT84+AU84</f>
        <v>0</v>
      </c>
      <c r="AW84" s="20" t="n">
        <f aca="false">AM84-AU84+AQ84*IF(Slot3_SpendLike=1,AS84-AT84,IF(Slot3_PotFree=1,AS84,0))</f>
        <v>0</v>
      </c>
      <c r="AX84" s="20" t="n">
        <f aca="false">AN84+AQ84*Slot3_BufPot*AS84</f>
        <v>0</v>
      </c>
      <c r="AY84" s="20" t="n">
        <f aca="false">IF(AND(AQ84=1,Slot3_IsMfree=1),IF(AV84&gt;=Slot3_Cost-1,0,MAX(0,AO84-AV84)),AO84)</f>
        <v>0</v>
      </c>
      <c r="AZ84" s="20" t="n">
        <f aca="false">AQ84*(Slot3_Cost-AV84)</f>
        <v>0</v>
      </c>
      <c r="BA84" s="20" t="n">
        <f aca="false">IF(AND(Slot4_On=1,D84=Slot4_Age),1,0)</f>
        <v>0</v>
      </c>
      <c r="BB84" s="20" t="n">
        <f aca="false">IF(AND(Slot4_On=1,Slot4_Age&gt;D84),1,0)</f>
        <v>0</v>
      </c>
      <c r="BC84" s="20" t="n">
        <f aca="false">QY83</f>
        <v>0</v>
      </c>
      <c r="BD84" s="20" t="n">
        <f aca="false">BA84*MIN(Slot4_Cost,BC84)</f>
        <v>0</v>
      </c>
      <c r="BE84" s="20" t="n">
        <f aca="false">BA84*Slot4_SpendLike*MIN(Slot4_Cost-BD84,AW84)</f>
        <v>0</v>
      </c>
      <c r="BF84" s="20" t="n">
        <f aca="false">BD84+BE84</f>
        <v>0</v>
      </c>
      <c r="BG84" s="20" t="n">
        <f aca="false">AW84-BE84+BA84*IF(Slot4_SpendLike=1,BC84-BD84,IF(Slot4_PotFree=1,BC84,0))</f>
        <v>0</v>
      </c>
      <c r="BH84" s="20" t="n">
        <f aca="false">AX84+BA84*Slot4_BufPot*BC84</f>
        <v>0</v>
      </c>
      <c r="BI84" s="20" t="n">
        <f aca="false">IF(AND(BA84=1,Slot4_IsMfree=1),IF(BF84&gt;=Slot4_Cost-1,0,MAX(0,AY84-BF84)),AY84)</f>
        <v>0</v>
      </c>
      <c r="BJ84" s="20" t="n">
        <f aca="false">BA84*(Slot4_Cost-BF84)</f>
        <v>0</v>
      </c>
      <c r="BK84" s="20" t="n">
        <f aca="false">IF(AND(Slot5_On=1,D84=Slot5_Age),1,0)</f>
        <v>0</v>
      </c>
      <c r="BL84" s="20" t="n">
        <f aca="false">IF(AND(Slot5_On=1,Slot5_Age&gt;D84),1,0)</f>
        <v>0</v>
      </c>
      <c r="BM84" s="20" t="n">
        <f aca="false">RC83</f>
        <v>0</v>
      </c>
      <c r="BN84" s="20" t="n">
        <f aca="false">BK84*MIN(Slot5_Cost,BM84)</f>
        <v>0</v>
      </c>
      <c r="BO84" s="20" t="n">
        <f aca="false">BK84*Slot5_SpendLike*MIN(Slot5_Cost-BN84,BG84)</f>
        <v>0</v>
      </c>
      <c r="BP84" s="20" t="n">
        <f aca="false">BN84+BO84</f>
        <v>0</v>
      </c>
      <c r="BQ84" s="20" t="n">
        <f aca="false">BG84-BO84+BK84*IF(Slot5_SpendLike=1,BM84-BN84,IF(Slot5_PotFree=1,BM84,0))</f>
        <v>0</v>
      </c>
      <c r="BR84" s="20" t="n">
        <f aca="false">BH84+BK84*Slot5_BufPot*BM84</f>
        <v>0</v>
      </c>
      <c r="BS84" s="20" t="n">
        <f aca="false">IF(AND(BK84=1,Slot5_IsMfree=1),IF(BP84&gt;=Slot5_Cost-1,0,MAX(0,BI84-BP84)),BI84)</f>
        <v>0</v>
      </c>
      <c r="BT84" s="20" t="n">
        <f aca="false">BK84*(Slot5_Cost-BP84)</f>
        <v>0</v>
      </c>
      <c r="BU84" s="20" t="n">
        <f aca="false">IF(AND(Slot6_On=1,D84=Slot6_Age),1,0)</f>
        <v>0</v>
      </c>
      <c r="BV84" s="20" t="n">
        <f aca="false">IF(AND(Slot6_On=1,Slot6_Age&gt;D84),1,0)</f>
        <v>0</v>
      </c>
      <c r="BW84" s="20" t="n">
        <f aca="false">RG83</f>
        <v>0</v>
      </c>
      <c r="BX84" s="20" t="n">
        <f aca="false">BU84*MIN(Slot6_Cost,BW84)</f>
        <v>0</v>
      </c>
      <c r="BY84" s="20" t="n">
        <f aca="false">BU84*Slot6_SpendLike*MIN(Slot6_Cost-BX84,BQ84)</f>
        <v>0</v>
      </c>
      <c r="BZ84" s="20" t="n">
        <f aca="false">BX84+BY84</f>
        <v>0</v>
      </c>
      <c r="CA84" s="20" t="n">
        <f aca="false">BQ84-BY84+BU84*IF(Slot6_SpendLike=1,BW84-BX84,IF(Slot6_PotFree=1,BW84,0))</f>
        <v>0</v>
      </c>
      <c r="CB84" s="20" t="n">
        <f aca="false">BR84+BU84*Slot6_BufPot*BW84</f>
        <v>0</v>
      </c>
      <c r="CC84" s="20" t="n">
        <f aca="false">IF(AND(BU84=1,Slot6_IsMfree=1),IF(BZ84&gt;=Slot6_Cost-1,0,MAX(0,BS84-BZ84)),BS84)</f>
        <v>0</v>
      </c>
      <c r="CD84" s="20" t="n">
        <f aca="false">BU84*(Slot6_Cost-BZ84)</f>
        <v>0</v>
      </c>
      <c r="CE84" s="20" t="n">
        <f aca="false">IF(AND(Slot7_On=1,D84=Slot7_Age),1,0)</f>
        <v>0</v>
      </c>
      <c r="CF84" s="20" t="n">
        <f aca="false">IF(AND(Slot7_On=1,Slot7_Age&gt;D84),1,0)</f>
        <v>0</v>
      </c>
      <c r="CG84" s="20" t="n">
        <f aca="false">RK83</f>
        <v>0</v>
      </c>
      <c r="CH84" s="20" t="n">
        <f aca="false">CE84*MIN(Slot7_Cost,CG84)</f>
        <v>0</v>
      </c>
      <c r="CI84" s="20" t="n">
        <f aca="false">CE84*Slot7_SpendLike*MIN(Slot7_Cost-CH84,CA84)</f>
        <v>0</v>
      </c>
      <c r="CJ84" s="20" t="n">
        <f aca="false">CH84+CI84</f>
        <v>0</v>
      </c>
      <c r="CK84" s="20" t="n">
        <f aca="false">CA84-CI84+CE84*IF(Slot7_SpendLike=1,CG84-CH84,IF(Slot7_PotFree=1,CG84,0))</f>
        <v>0</v>
      </c>
      <c r="CL84" s="20" t="n">
        <f aca="false">CB84+CE84*Slot7_BufPot*CG84</f>
        <v>0</v>
      </c>
      <c r="CM84" s="20" t="n">
        <f aca="false">IF(AND(CE84=1,Slot7_IsMfree=1),IF(CJ84&gt;=Slot7_Cost-1,0,MAX(0,CC84-CJ84)),CC84)</f>
        <v>0</v>
      </c>
      <c r="CN84" s="20" t="n">
        <f aca="false">CE84*(Slot7_Cost-CJ84)</f>
        <v>0</v>
      </c>
      <c r="CO84" s="20" t="n">
        <f aca="false">IF(AND(Slot8_On=1,D84=Slot8_Age),1,0)</f>
        <v>0</v>
      </c>
      <c r="CP84" s="20" t="n">
        <f aca="false">IF(AND(Slot8_On=1,Slot8_Age&gt;D84),1,0)</f>
        <v>0</v>
      </c>
      <c r="CQ84" s="20" t="n">
        <f aca="false">RO83</f>
        <v>0</v>
      </c>
      <c r="CR84" s="20" t="n">
        <f aca="false">CO84*MIN(Slot8_Cost,CQ84)</f>
        <v>0</v>
      </c>
      <c r="CS84" s="20" t="n">
        <f aca="false">CO84*Slot8_SpendLike*MIN(Slot8_Cost-CR84,CK84)</f>
        <v>0</v>
      </c>
      <c r="CT84" s="20" t="n">
        <f aca="false">CR84+CS84</f>
        <v>0</v>
      </c>
      <c r="CU84" s="20" t="n">
        <f aca="false">CK84-CS84+CO84*IF(Slot8_SpendLike=1,CQ84-CR84,IF(Slot8_PotFree=1,CQ84,0))</f>
        <v>0</v>
      </c>
      <c r="CV84" s="20" t="n">
        <f aca="false">CL84+CO84*Slot8_BufPot*CQ84</f>
        <v>0</v>
      </c>
      <c r="CW84" s="20" t="n">
        <f aca="false">IF(AND(CO84=1,Slot8_IsMfree=1),IF(CT84&gt;=Slot8_Cost-1,0,MAX(0,CM84-CT84)),CM84)</f>
        <v>0</v>
      </c>
      <c r="CX84" s="20" t="n">
        <f aca="false">CO84*(Slot8_Cost-CT84)</f>
        <v>0</v>
      </c>
      <c r="CY84" s="20" t="n">
        <f aca="false">IF(AND(Slot9_On=1,D84=Slot9_Age),1,0)</f>
        <v>0</v>
      </c>
      <c r="CZ84" s="20" t="n">
        <f aca="false">IF(AND(Slot9_On=1,Slot9_Age&gt;D84),1,0)</f>
        <v>0</v>
      </c>
      <c r="DA84" s="20" t="n">
        <f aca="false">RS83</f>
        <v>0</v>
      </c>
      <c r="DB84" s="20" t="n">
        <f aca="false">CY84*MIN(Slot9_Cost,DA84)</f>
        <v>0</v>
      </c>
      <c r="DC84" s="20" t="n">
        <f aca="false">CY84*Slot9_SpendLike*MIN(Slot9_Cost-DB84,CU84)</f>
        <v>0</v>
      </c>
      <c r="DD84" s="20" t="n">
        <f aca="false">DB84+DC84</f>
        <v>0</v>
      </c>
      <c r="DE84" s="20" t="n">
        <f aca="false">CU84-DC84+CY84*IF(Slot9_SpendLike=1,DA84-DB84,IF(Slot9_PotFree=1,DA84,0))</f>
        <v>0</v>
      </c>
      <c r="DF84" s="20" t="n">
        <f aca="false">CV84+CY84*Slot9_BufPot*DA84</f>
        <v>0</v>
      </c>
      <c r="DG84" s="20" t="n">
        <f aca="false">IF(AND(CY84=1,Slot9_IsMfree=1),IF(DD84&gt;=Slot9_Cost-1,0,MAX(0,CW84-DD84)),CW84)</f>
        <v>0</v>
      </c>
      <c r="DH84" s="20" t="n">
        <f aca="false">CY84*(Slot9_Cost-DD84)</f>
        <v>0</v>
      </c>
      <c r="DI84" s="20" t="n">
        <f aca="false">IF(AND(Slot10_On=1,D84=Slot10_Age),1,0)</f>
        <v>0</v>
      </c>
      <c r="DJ84" s="20" t="n">
        <f aca="false">IF(AND(Slot10_On=1,Slot10_Age&gt;D84),1,0)</f>
        <v>0</v>
      </c>
      <c r="DK84" s="20" t="n">
        <f aca="false">RW83</f>
        <v>0</v>
      </c>
      <c r="DL84" s="20" t="n">
        <f aca="false">DI84*MIN(Slot10_Cost,DK84)</f>
        <v>0</v>
      </c>
      <c r="DM84" s="20" t="n">
        <f aca="false">DI84*Slot10_SpendLike*MIN(Slot10_Cost-DL84,DE84)</f>
        <v>0</v>
      </c>
      <c r="DN84" s="20" t="n">
        <f aca="false">DL84+DM84</f>
        <v>0</v>
      </c>
      <c r="DO84" s="20" t="n">
        <f aca="false">DE84-DM84+DI84*IF(Slot10_SpendLike=1,DK84-DL84,IF(Slot10_PotFree=1,DK84,0))</f>
        <v>0</v>
      </c>
      <c r="DP84" s="20" t="n">
        <f aca="false">DF84+DI84*Slot10_BufPot*DK84</f>
        <v>0</v>
      </c>
      <c r="DQ84" s="20" t="n">
        <f aca="false">IF(AND(DI84=1,Slot10_IsMfree=1),IF(DN84&gt;=Slot10_Cost-1,0,MAX(0,DG84-DN84)),DG84)</f>
        <v>0</v>
      </c>
      <c r="DR84" s="20" t="n">
        <f aca="false">DI84*(Slot10_Cost-DN84)</f>
        <v>0</v>
      </c>
      <c r="DS84" s="20" t="n">
        <f aca="false">IF(AND(Slot11_On=1,D84=Slot11_Age),1,0)</f>
        <v>0</v>
      </c>
      <c r="DT84" s="20" t="n">
        <f aca="false">IF(AND(Slot11_On=1,Slot11_Age&gt;D84),1,0)</f>
        <v>0</v>
      </c>
      <c r="DU84" s="20" t="n">
        <f aca="false">SA83</f>
        <v>0</v>
      </c>
      <c r="DV84" s="20" t="n">
        <f aca="false">DS84*MIN(Slot11_Cost,DU84)</f>
        <v>0</v>
      </c>
      <c r="DW84" s="20" t="n">
        <f aca="false">DS84*Slot11_SpendLike*MIN(Slot11_Cost-DV84,DO84)</f>
        <v>0</v>
      </c>
      <c r="DX84" s="20" t="n">
        <f aca="false">DV84+DW84</f>
        <v>0</v>
      </c>
      <c r="DY84" s="20" t="n">
        <f aca="false">DO84-DW84+DS84*IF(Slot11_SpendLike=1,DU84-DV84,IF(Slot11_PotFree=1,DU84,0))</f>
        <v>0</v>
      </c>
      <c r="DZ84" s="20" t="n">
        <f aca="false">DP84+DS84*Slot11_BufPot*DU84</f>
        <v>0</v>
      </c>
      <c r="EA84" s="20" t="n">
        <f aca="false">IF(AND(DS84=1,Slot11_IsMfree=1),IF(DX84&gt;=Slot11_Cost-1,0,MAX(0,DQ84-DX84)),DQ84)</f>
        <v>0</v>
      </c>
      <c r="EB84" s="20" t="n">
        <f aca="false">DS84*(Slot11_Cost-DX84)</f>
        <v>0</v>
      </c>
      <c r="EC84" s="20" t="n">
        <f aca="false">IF(AND(Slot12_On=1,D84=Slot12_Age),1,0)</f>
        <v>0</v>
      </c>
      <c r="ED84" s="20" t="n">
        <f aca="false">IF(AND(Slot12_On=1,Slot12_Age&gt;D84),1,0)</f>
        <v>0</v>
      </c>
      <c r="EE84" s="20" t="n">
        <f aca="false">SE83</f>
        <v>0</v>
      </c>
      <c r="EF84" s="20" t="n">
        <f aca="false">EC84*MIN(Slot12_Cost,EE84)</f>
        <v>0</v>
      </c>
      <c r="EG84" s="20" t="n">
        <f aca="false">EC84*Slot12_SpendLike*MIN(Slot12_Cost-EF84,DY84)</f>
        <v>0</v>
      </c>
      <c r="EH84" s="20" t="n">
        <f aca="false">EF84+EG84</f>
        <v>0</v>
      </c>
      <c r="EI84" s="20" t="n">
        <f aca="false">DY84-EG84+EC84*IF(Slot12_SpendLike=1,EE84-EF84,IF(Slot12_PotFree=1,EE84,0))</f>
        <v>0</v>
      </c>
      <c r="EJ84" s="20" t="n">
        <f aca="false">DZ84+EC84*Slot12_BufPot*EE84</f>
        <v>0</v>
      </c>
      <c r="EK84" s="20" t="n">
        <f aca="false">IF(AND(EC84=1,Slot12_IsMfree=1),IF(EH84&gt;=Slot12_Cost-1,0,MAX(0,EA84-EH84)),EA84)</f>
        <v>0</v>
      </c>
      <c r="EL84" s="20" t="n">
        <f aca="false">EC84*(Slot12_Cost-EH84)</f>
        <v>0</v>
      </c>
      <c r="EM84" s="20" t="n">
        <f aca="false">IF(AND(Slot13_On=1,D84=Slot13_Age),1,0)</f>
        <v>0</v>
      </c>
      <c r="EN84" s="20" t="n">
        <f aca="false">IF(AND(Slot13_On=1,Slot13_Age&gt;D84),1,0)</f>
        <v>0</v>
      </c>
      <c r="EO84" s="20" t="n">
        <f aca="false">SI83</f>
        <v>0</v>
      </c>
      <c r="EP84" s="20" t="n">
        <f aca="false">EM84*MIN(Slot13_Cost,EO84)</f>
        <v>0</v>
      </c>
      <c r="EQ84" s="20" t="n">
        <f aca="false">EM84*Slot13_SpendLike*MIN(Slot13_Cost-EP84,EI84)</f>
        <v>0</v>
      </c>
      <c r="ER84" s="20" t="n">
        <f aca="false">EP84+EQ84</f>
        <v>0</v>
      </c>
      <c r="ES84" s="20" t="n">
        <f aca="false">EI84-EQ84+EM84*IF(Slot13_SpendLike=1,EO84-EP84,IF(Slot13_PotFree=1,EO84,0))</f>
        <v>0</v>
      </c>
      <c r="ET84" s="20" t="n">
        <f aca="false">EJ84+EM84*Slot13_BufPot*EO84</f>
        <v>0</v>
      </c>
      <c r="EU84" s="20" t="n">
        <f aca="false">IF(AND(EM84=1,Slot13_IsMfree=1),IF(ER84&gt;=Slot13_Cost-1,0,MAX(0,EK84-ER84)),EK84)</f>
        <v>0</v>
      </c>
      <c r="EV84" s="20" t="n">
        <f aca="false">EM84*(Slot13_Cost-ER84)</f>
        <v>0</v>
      </c>
      <c r="EW84" s="20" t="n">
        <f aca="false">IF(AND(Slot14_On=1,D84=Slot14_Age),1,0)</f>
        <v>0</v>
      </c>
      <c r="EX84" s="20" t="n">
        <f aca="false">IF(AND(Slot14_On=1,Slot14_Age&gt;D84),1,0)</f>
        <v>0</v>
      </c>
      <c r="EY84" s="20" t="n">
        <f aca="false">SM83</f>
        <v>0</v>
      </c>
      <c r="EZ84" s="20" t="n">
        <f aca="false">EW84*MIN(Slot14_Cost,EY84)</f>
        <v>0</v>
      </c>
      <c r="FA84" s="20" t="n">
        <f aca="false">EW84*Slot14_SpendLike*MIN(Slot14_Cost-EZ84,ES84)</f>
        <v>0</v>
      </c>
      <c r="FB84" s="20" t="n">
        <f aca="false">EZ84+FA84</f>
        <v>0</v>
      </c>
      <c r="FC84" s="20" t="n">
        <f aca="false">ES84-FA84+EW84*IF(Slot14_SpendLike=1,EY84-EZ84,IF(Slot14_PotFree=1,EY84,0))</f>
        <v>0</v>
      </c>
      <c r="FD84" s="20" t="n">
        <f aca="false">ET84+EW84*Slot14_BufPot*EY84</f>
        <v>0</v>
      </c>
      <c r="FE84" s="20" t="n">
        <f aca="false">IF(AND(EW84=1,Slot14_IsMfree=1),IF(FB84&gt;=Slot14_Cost-1,0,MAX(0,EU84-FB84)),EU84)</f>
        <v>0</v>
      </c>
      <c r="FF84" s="20" t="n">
        <f aca="false">EW84*(Slot14_Cost-FB84)</f>
        <v>0</v>
      </c>
      <c r="FG84" s="20" t="n">
        <f aca="false">IF(AND(Slot15_On=1,D84=Slot15_Age),1,0)</f>
        <v>0</v>
      </c>
      <c r="FH84" s="20" t="n">
        <f aca="false">IF(AND(Slot15_On=1,Slot15_Age&gt;D84),1,0)</f>
        <v>0</v>
      </c>
      <c r="FI84" s="20" t="n">
        <f aca="false">SQ83</f>
        <v>0</v>
      </c>
      <c r="FJ84" s="20" t="n">
        <f aca="false">FG84*MIN(Slot15_Cost,FI84)</f>
        <v>0</v>
      </c>
      <c r="FK84" s="20" t="n">
        <f aca="false">FG84*Slot15_SpendLike*MIN(Slot15_Cost-FJ84,FC84)</f>
        <v>0</v>
      </c>
      <c r="FL84" s="20" t="n">
        <f aca="false">FJ84+FK84</f>
        <v>0</v>
      </c>
      <c r="FM84" s="20" t="n">
        <f aca="false">FC84-FK84+FG84*IF(Slot15_SpendLike=1,FI84-FJ84,IF(Slot15_PotFree=1,FI84,0))</f>
        <v>0</v>
      </c>
      <c r="FN84" s="20" t="n">
        <f aca="false">FD84+FG84*Slot15_BufPot*FI84</f>
        <v>0</v>
      </c>
      <c r="FO84" s="20" t="n">
        <f aca="false">IF(AND(FG84=1,Slot15_IsMfree=1),IF(FL84&gt;=Slot15_Cost-1,0,MAX(0,FE84-FL84)),FE84)</f>
        <v>0</v>
      </c>
      <c r="FP84" s="20" t="n">
        <f aca="false">FG84*(Slot15_Cost-FL84)</f>
        <v>0</v>
      </c>
      <c r="FQ84" s="20" t="n">
        <f aca="false">IF(AND(Slot16_On=1,D84=Slot16_Age),1,0)</f>
        <v>0</v>
      </c>
      <c r="FR84" s="20" t="n">
        <f aca="false">IF(AND(Slot16_On=1,Slot16_Age&gt;D84),1,0)</f>
        <v>0</v>
      </c>
      <c r="FS84" s="20" t="n">
        <f aca="false">SU83</f>
        <v>0</v>
      </c>
      <c r="FT84" s="20" t="n">
        <f aca="false">FQ84*MIN(Slot16_Cost,FS84)</f>
        <v>0</v>
      </c>
      <c r="FU84" s="20" t="n">
        <f aca="false">FQ84*Slot16_SpendLike*MIN(Slot16_Cost-FT84,FM84)</f>
        <v>0</v>
      </c>
      <c r="FV84" s="20" t="n">
        <f aca="false">FT84+FU84</f>
        <v>0</v>
      </c>
      <c r="FW84" s="20" t="n">
        <f aca="false">FM84-FU84+FQ84*IF(Slot16_SpendLike=1,FS84-FT84,IF(Slot16_PotFree=1,FS84,0))</f>
        <v>0</v>
      </c>
      <c r="FX84" s="20" t="n">
        <f aca="false">FN84+FQ84*Slot16_BufPot*FS84</f>
        <v>0</v>
      </c>
      <c r="FY84" s="20" t="n">
        <f aca="false">IF(AND(FQ84=1,Slot16_IsMfree=1),IF(FV84&gt;=Slot16_Cost-1,0,MAX(0,FO84-FV84)),FO84)</f>
        <v>0</v>
      </c>
      <c r="FZ84" s="20" t="n">
        <f aca="false">FQ84*(Slot16_Cost-FV84)</f>
        <v>0</v>
      </c>
      <c r="GA84" s="20" t="n">
        <f aca="false">IF(AND(Slot17_On=1,D84=Slot17_Age),1,0)</f>
        <v>0</v>
      </c>
      <c r="GB84" s="20" t="n">
        <f aca="false">IF(AND(Slot17_On=1,Slot17_Age&gt;D84),1,0)</f>
        <v>0</v>
      </c>
      <c r="GC84" s="20" t="n">
        <f aca="false">SY83</f>
        <v>0</v>
      </c>
      <c r="GD84" s="20" t="n">
        <f aca="false">GA84*MIN(Slot17_Cost,GC84)</f>
        <v>0</v>
      </c>
      <c r="GE84" s="20" t="n">
        <f aca="false">GA84*Slot17_SpendLike*MIN(Slot17_Cost-GD84,FW84)</f>
        <v>0</v>
      </c>
      <c r="GF84" s="20" t="n">
        <f aca="false">GD84+GE84</f>
        <v>0</v>
      </c>
      <c r="GG84" s="20" t="n">
        <f aca="false">FW84-GE84+GA84*IF(Slot17_SpendLike=1,GC84-GD84,IF(Slot17_PotFree=1,GC84,0))</f>
        <v>0</v>
      </c>
      <c r="GH84" s="20" t="n">
        <f aca="false">FX84+GA84*Slot17_BufPot*GC84</f>
        <v>0</v>
      </c>
      <c r="GI84" s="20" t="n">
        <f aca="false">IF(AND(GA84=1,Slot17_IsMfree=1),IF(GF84&gt;=Slot17_Cost-1,0,MAX(0,FY84-GF84)),FY84)</f>
        <v>0</v>
      </c>
      <c r="GJ84" s="20" t="n">
        <f aca="false">GA84*(Slot17_Cost-GF84)</f>
        <v>0</v>
      </c>
      <c r="GK84" s="20" t="n">
        <f aca="false">IF(AND(Slot18_On=1,D84=Slot18_Age),1,0)</f>
        <v>0</v>
      </c>
      <c r="GL84" s="20" t="n">
        <f aca="false">IF(AND(Slot18_On=1,Slot18_Age&gt;D84),1,0)</f>
        <v>0</v>
      </c>
      <c r="GM84" s="20" t="n">
        <f aca="false">TC83</f>
        <v>0</v>
      </c>
      <c r="GN84" s="20" t="n">
        <f aca="false">GK84*MIN(Slot18_Cost,GM84)</f>
        <v>0</v>
      </c>
      <c r="GO84" s="20" t="n">
        <f aca="false">GK84*Slot18_SpendLike*MIN(Slot18_Cost-GN84,GG84)</f>
        <v>0</v>
      </c>
      <c r="GP84" s="20" t="n">
        <f aca="false">GN84+GO84</f>
        <v>0</v>
      </c>
      <c r="GQ84" s="20" t="n">
        <f aca="false">GG84-GO84+GK84*IF(Slot18_SpendLike=1,GM84-GN84,IF(Slot18_PotFree=1,GM84,0))</f>
        <v>0</v>
      </c>
      <c r="GR84" s="20" t="n">
        <f aca="false">GH84+GK84*Slot18_BufPot*GM84</f>
        <v>0</v>
      </c>
      <c r="GS84" s="20" t="n">
        <f aca="false">IF(AND(GK84=1,Slot18_IsMfree=1),IF(GP84&gt;=Slot18_Cost-1,0,MAX(0,GI84-GP84)),GI84)</f>
        <v>0</v>
      </c>
      <c r="GT84" s="20" t="n">
        <f aca="false">GK84*(Slot18_Cost-GP84)</f>
        <v>0</v>
      </c>
      <c r="GU84" s="20" t="n">
        <f aca="false">IF(AND(Slot19_On=1,D84=Slot19_Age),1,0)</f>
        <v>0</v>
      </c>
      <c r="GV84" s="20" t="n">
        <f aca="false">IF(AND(Slot19_On=1,Slot19_Age&gt;D84),1,0)</f>
        <v>0</v>
      </c>
      <c r="GW84" s="20" t="n">
        <f aca="false">TG83</f>
        <v>0</v>
      </c>
      <c r="GX84" s="20" t="n">
        <f aca="false">GU84*MIN(Slot19_Cost,GW84)</f>
        <v>0</v>
      </c>
      <c r="GY84" s="20" t="n">
        <f aca="false">GU84*Slot19_SpendLike*MIN(Slot19_Cost-GX84,GQ84)</f>
        <v>0</v>
      </c>
      <c r="GZ84" s="20" t="n">
        <f aca="false">GX84+GY84</f>
        <v>0</v>
      </c>
      <c r="HA84" s="20" t="n">
        <f aca="false">GQ84-GY84+GU84*IF(Slot19_SpendLike=1,GW84-GX84,IF(Slot19_PotFree=1,GW84,0))</f>
        <v>0</v>
      </c>
      <c r="HB84" s="20" t="n">
        <f aca="false">GR84+GU84*Slot19_BufPot*GW84</f>
        <v>0</v>
      </c>
      <c r="HC84" s="20" t="n">
        <f aca="false">IF(AND(GU84=1,Slot19_IsMfree=1),IF(GZ84&gt;=Slot19_Cost-1,0,MAX(0,GS84-GZ84)),GS84)</f>
        <v>0</v>
      </c>
      <c r="HD84" s="20" t="n">
        <f aca="false">GU84*(Slot19_Cost-GZ84)</f>
        <v>0</v>
      </c>
      <c r="HE84" s="20" t="n">
        <f aca="false">IF(AND(Slot20_On=1,D84=Slot20_Age),1,0)</f>
        <v>0</v>
      </c>
      <c r="HF84" s="20" t="n">
        <f aca="false">IF(AND(Slot20_On=1,Slot20_Age&gt;D84),1,0)</f>
        <v>0</v>
      </c>
      <c r="HG84" s="20" t="n">
        <f aca="false">TK83</f>
        <v>0</v>
      </c>
      <c r="HH84" s="20" t="n">
        <f aca="false">HE84*MIN(Slot20_Cost,HG84)</f>
        <v>0</v>
      </c>
      <c r="HI84" s="20" t="n">
        <f aca="false">HE84*Slot20_SpendLike*MIN(Slot20_Cost-HH84,HA84)</f>
        <v>0</v>
      </c>
      <c r="HJ84" s="20" t="n">
        <f aca="false">HH84+HI84</f>
        <v>0</v>
      </c>
      <c r="HK84" s="20" t="n">
        <f aca="false">HA84-HI84+HE84*IF(Slot20_SpendLike=1,HG84-HH84,IF(Slot20_PotFree=1,HG84,0))</f>
        <v>0</v>
      </c>
      <c r="HL84" s="20" t="n">
        <f aca="false">HB84+HE84*Slot20_BufPot*HG84</f>
        <v>0</v>
      </c>
      <c r="HM84" s="20" t="n">
        <f aca="false">IF(AND(HE84=1,Slot20_IsMfree=1),IF(HJ84&gt;=Slot20_Cost-1,0,MAX(0,HC84-HJ84)),HC84)</f>
        <v>0</v>
      </c>
      <c r="HN84" s="20" t="n">
        <f aca="false">HE84*(Slot20_Cost-HJ84)</f>
        <v>0</v>
      </c>
      <c r="HO84" s="20" t="n">
        <f aca="false">V84*Slot1_SpendLike*AA84+AG84*Slot2_SpendLike*AL84+AQ84*Slot3_SpendLike*AV84+BA84*Slot4_SpendLike*BF84+BK84*Slot5_SpendLike*BP84+BU84*Slot6_SpendLike*BZ84+CE84*Slot7_SpendLike*CJ84+CO84*Slot8_SpendLike*CT84+CY84*Slot9_SpendLike*DD84+DI84*Slot10_SpendLike*DN84+DS84*Slot11_SpendLike*DX84+EC84*Slot12_SpendLike*EH84+EM84*Slot13_SpendLike*ER84+EW84*Slot14_SpendLike*FB84+FG84*Slot15_SpendLike*FL84+FQ84*Slot16_SpendLike*FV84+GA84*Slot17_SpendLike*GF84+GK84*Slot18_SpendLike*GP84+GU84*Slot19_SpendLike*GZ84+HE84*Slot20_SpendLike*HJ84</f>
        <v>0</v>
      </c>
      <c r="HP84" s="20" t="n">
        <f aca="false">AE84+AP84+AZ84+BJ84+BT84+CD84+CN84+CX84+DH84+DR84+EB84+EL84+EV84+FF84+FP84+FZ84+GJ84+GT84+HD84+HN84</f>
        <v>0</v>
      </c>
      <c r="HQ84" s="20" t="n">
        <f aca="false">V84*Slot1_Cost+AG84*Slot2_Cost+AQ84*Slot3_Cost+BA84*Slot4_Cost+BK84*Slot5_Cost+BU84*Slot6_Cost+CE84*Slot7_Cost+CO84*Slot8_Cost+CY84*Slot9_Cost+DI84*Slot10_Cost+DS84*Slot11_Cost+EC84*Slot12_Cost+EM84*Slot13_Cost+EW84*Slot14_Cost+FG84*Slot15_Cost+FQ84*Slot16_Cost+GA84*Slot17_Cost+GK84*Slot18_Cost+GU84*Slot19_Cost+HE84*Slot20_Cost</f>
        <v>0</v>
      </c>
      <c r="HR84" s="20" t="n">
        <f aca="false">HM84</f>
        <v>0</v>
      </c>
      <c r="HS84" s="20" t="n">
        <f aca="false">H84-I84-S84</f>
        <v>-86774.8336030207</v>
      </c>
      <c r="HT84" s="20" t="n">
        <f aca="false">IF(B84=0,IF(AND(Has_q6=1,In_q6=4),PR_ShareVaries*(MAX(0,HS84)/12),MIN(IF(Has_q6=1,CHOOSE(In_q6+1,PR_SaveB1,PR_SaveB2,PR_SaveB3,PR_SaveB4,0),AS_NoAnswer),AS_SaveShare*(MAX(0,HS84)/12))),HT83)</f>
        <v>67.3316893520437</v>
      </c>
      <c r="HU84" s="20" t="n">
        <f aca="false">IF(HS84&gt;=0,1,0)</f>
        <v>0</v>
      </c>
      <c r="HV84" s="20" t="n">
        <f aca="false">MAX(0,HS84/12/F84)</f>
        <v>0</v>
      </c>
      <c r="HW84" s="20" t="n">
        <f aca="false">IF(AND(Has_q6=1,In_q6=4),PR_ShareVaries*(HV84),MIN(IF(Has_q6=1,CHOOSE(In_q6+1,PR_SaveB1,PR_SaveB2,PR_SaveB3,PR_SaveB4,0),AS_NoAnswer),AS_SaveShare*(HV84)))</f>
        <v>0</v>
      </c>
      <c r="HX84" s="20" t="n">
        <f aca="false">IF(Has_saveM=1,IF(In_saveUp="Yes",1,IF(In_saveUp="No",0,IF(In_saveM&gt;=HT84-0.5,1,0))),0)</f>
        <v>0</v>
      </c>
      <c r="HY84" s="20" t="n">
        <f aca="false">IF(Has_saveM=1,MIN(HV84,IF(HX84=1,MAX(In_saveM,HW84),MIN(In_saveM,HW84))),HW84)</f>
        <v>0</v>
      </c>
      <c r="HZ84" s="20" t="n">
        <f aca="false">IF(G84=1,HY84*12*F84,0)</f>
        <v>0</v>
      </c>
      <c r="IA84" s="20" t="n">
        <f aca="false">MAX(0,HZ84+IF(AND(WI_Retire=0,WI_M&lt;0,G84=1),WI_M*12*F84,0))</f>
        <v>0</v>
      </c>
      <c r="IB84" s="20" t="n">
        <f aca="false">Slot1_IsWG*W84+Slot2_IsWG*AH84+Slot3_IsWG*AR84+Slot4_IsWG*BB84+Slot5_IsWG*BL84+Slot6_IsWG*BV84+Slot7_IsWG*CF84+Slot8_IsWG*CP84+Slot9_IsWG*CZ84+Slot10_IsWG*DJ84+Slot11_IsWG*DT84+Slot12_IsWG*ED84+Slot13_IsWG*EN84+Slot14_IsWG*EX84+Slot15_IsWG*FH84+Slot16_IsWG*FR84+Slot17_IsWG*GB84+Slot18_IsWG*GL84+Slot19_IsWG*GV84+Slot20_IsWG*HF84</f>
        <v>0</v>
      </c>
      <c r="IC84" s="20" t="n">
        <f aca="false">IF(AND(WI_Retire=0,WI_M&gt;0,G84=1,IB84&gt;=1),WI_M*12*F84,0)</f>
        <v>0</v>
      </c>
      <c r="ID84" s="20" t="n">
        <f aca="false">IF(HU84=1,MIN(IA84,HS84),0)</f>
        <v>0</v>
      </c>
      <c r="IE84" s="20" t="n">
        <f aca="false">IF(HU84=1,MIN(IC84,HS84-ID84),0)</f>
        <v>0</v>
      </c>
      <c r="IF84" s="20" t="n">
        <f aca="false">IF(W84=1,IF(ABS((1+AS_Wage)/(1+Slot1_Rate)-1)&lt;0.000000000001,(Slot1_Age-D84)*(1+Slot1_Rate)^(Slot1_Age-D84),(1+Slot1_Rate)^(Slot1_Age-D84)*(1-((1+AS_Wage)/(1+Slot1_Rate))^(Slot1_Age-D84))/(1-(1+AS_Wage)/(1+Slot1_Rate))),1)</f>
        <v>1</v>
      </c>
      <c r="IG84" s="20" t="n">
        <f aca="false">IF(AND(HU84=1,IE84&gt;0,Slot1_IsWG=1,W84=1),MAX(0,(Slot1_Cost-X84*(1+Slot1_Rate)^(Slot1_Age-D84))/IF84),0)</f>
        <v>0</v>
      </c>
      <c r="IH84" s="20" t="n">
        <f aca="false">IF(AND(HU84=1,IE84&gt;0,Slot1_IsWG=1,W84=1),MIN(IE84,IG84),0)</f>
        <v>0</v>
      </c>
      <c r="II84" s="20" t="n">
        <f aca="false">X84+IH84</f>
        <v>0</v>
      </c>
      <c r="IJ84" s="20" t="n">
        <f aca="false">IF(W84=1,MAX(0,(Slot1_Cost-II84*(1+Slot1_Rate)^(Slot1_Age-D84))/IF84),0)</f>
        <v>0</v>
      </c>
      <c r="IK84" s="20" t="n">
        <f aca="false">IF(W84=1,MAX(0,(Slot1_Cost-X84*(1+Slot1_Rate)^(Slot1_Age-D84))/IF84),0)</f>
        <v>0</v>
      </c>
      <c r="IL84" s="20" t="n">
        <f aca="false">IF(AND(HU84=1,W84=1),MIN(ID84,IJ84),0)</f>
        <v>0</v>
      </c>
      <c r="IM84" s="20" t="n">
        <f aca="false">ID84-IL84</f>
        <v>0</v>
      </c>
      <c r="IN84" s="20" t="n">
        <f aca="false">IF(AH84=1,IF(ABS((1+AS_Wage)/(1+Slot2_Rate)-1)&lt;0.000000000001,(Slot2_Age-D84)*(1+Slot2_Rate)^(Slot2_Age-D84),(1+Slot2_Rate)^(Slot2_Age-D84)*(1-((1+AS_Wage)/(1+Slot2_Rate))^(Slot2_Age-D84))/(1-(1+AS_Wage)/(1+Slot2_Rate))),1)</f>
        <v>1</v>
      </c>
      <c r="IO84" s="20" t="n">
        <f aca="false">IF(AND(HU84=1,IE84&gt;0,Slot2_IsWG=1,AH84=1),MAX(0,(Slot2_Cost-AI84*(1+Slot2_Rate)^(Slot2_Age-D84))/IN84),0)</f>
        <v>0</v>
      </c>
      <c r="IP84" s="20" t="n">
        <f aca="false">IF(AND(HU84=1,IE84&gt;0,Slot2_IsWG=1,AH84=1),MIN(IE84,IO84),0)</f>
        <v>0</v>
      </c>
      <c r="IQ84" s="20" t="n">
        <f aca="false">AI84+IP84</f>
        <v>0</v>
      </c>
      <c r="IR84" s="20" t="n">
        <f aca="false">IF(AH84=1,MAX(0,(Slot2_Cost-IQ84*(1+Slot2_Rate)^(Slot2_Age-D84))/IN84),0)</f>
        <v>0</v>
      </c>
      <c r="IS84" s="20" t="n">
        <f aca="false">IF(AH84=1,MAX(0,(Slot2_Cost-AI84*(1+Slot2_Rate)^(Slot2_Age-D84))/IN84),0)</f>
        <v>0</v>
      </c>
      <c r="IT84" s="20" t="n">
        <f aca="false">IF(AND(HU84=1,AH84=1),MIN(IM84,IR84),0)</f>
        <v>0</v>
      </c>
      <c r="IU84" s="20" t="n">
        <f aca="false">IM84-IT84</f>
        <v>0</v>
      </c>
      <c r="IV84" s="20" t="n">
        <f aca="false">IF(AR84=1,IF(ABS((1+AS_Wage)/(1+Slot3_Rate)-1)&lt;0.000000000001,(Slot3_Age-D84)*(1+Slot3_Rate)^(Slot3_Age-D84),(1+Slot3_Rate)^(Slot3_Age-D84)*(1-((1+AS_Wage)/(1+Slot3_Rate))^(Slot3_Age-D84))/(1-(1+AS_Wage)/(1+Slot3_Rate))),1)</f>
        <v>1</v>
      </c>
      <c r="IW84" s="20" t="n">
        <f aca="false">IF(AND(HU84=1,IE84&gt;0,Slot3_IsWG=1,AR84=1),MAX(0,(Slot3_Cost-AS84*(1+Slot3_Rate)^(Slot3_Age-D84))/IV84),0)</f>
        <v>0</v>
      </c>
      <c r="IX84" s="20" t="n">
        <f aca="false">IF(AND(HU84=1,IE84&gt;0,Slot3_IsWG=1,AR84=1),MIN(IE84,IW84),0)</f>
        <v>0</v>
      </c>
      <c r="IY84" s="20" t="n">
        <f aca="false">AS84+IX84</f>
        <v>0</v>
      </c>
      <c r="IZ84" s="20" t="n">
        <f aca="false">IF(AR84=1,MAX(0,(Slot3_Cost-IY84*(1+Slot3_Rate)^(Slot3_Age-D84))/IV84),0)</f>
        <v>0</v>
      </c>
      <c r="JA84" s="20" t="n">
        <f aca="false">IF(AR84=1,MAX(0,(Slot3_Cost-AS84*(1+Slot3_Rate)^(Slot3_Age-D84))/IV84),0)</f>
        <v>0</v>
      </c>
      <c r="JB84" s="20" t="n">
        <f aca="false">IF(AND(HU84=1,AR84=1),MIN(IU84,IZ84),0)</f>
        <v>0</v>
      </c>
      <c r="JC84" s="20" t="n">
        <f aca="false">IU84-JB84</f>
        <v>0</v>
      </c>
      <c r="JD84" s="20" t="n">
        <f aca="false">IF(BB84=1,IF(ABS((1+AS_Wage)/(1+Slot4_Rate)-1)&lt;0.000000000001,(Slot4_Age-D84)*(1+Slot4_Rate)^(Slot4_Age-D84),(1+Slot4_Rate)^(Slot4_Age-D84)*(1-((1+AS_Wage)/(1+Slot4_Rate))^(Slot4_Age-D84))/(1-(1+AS_Wage)/(1+Slot4_Rate))),1)</f>
        <v>1</v>
      </c>
      <c r="JE84" s="20" t="n">
        <f aca="false">IF(AND(HU84=1,IE84&gt;0,Slot4_IsWG=1,BB84=1),MAX(0,(Slot4_Cost-BC84*(1+Slot4_Rate)^(Slot4_Age-D84))/JD84),0)</f>
        <v>0</v>
      </c>
      <c r="JF84" s="20" t="n">
        <f aca="false">IF(AND(HU84=1,IE84&gt;0,Slot4_IsWG=1,BB84=1),MIN(IE84,JE84),0)</f>
        <v>0</v>
      </c>
      <c r="JG84" s="20" t="n">
        <f aca="false">BC84+JF84</f>
        <v>0</v>
      </c>
      <c r="JH84" s="20" t="n">
        <f aca="false">IF(BB84=1,MAX(0,(Slot4_Cost-JG84*(1+Slot4_Rate)^(Slot4_Age-D84))/JD84),0)</f>
        <v>0</v>
      </c>
      <c r="JI84" s="20" t="n">
        <f aca="false">IF(BB84=1,MAX(0,(Slot4_Cost-BC84*(1+Slot4_Rate)^(Slot4_Age-D84))/JD84),0)</f>
        <v>0</v>
      </c>
      <c r="JJ84" s="20" t="n">
        <f aca="false">IF(AND(HU84=1,BB84=1),MIN(JC84,JH84),0)</f>
        <v>0</v>
      </c>
      <c r="JK84" s="20" t="n">
        <f aca="false">JC84-JJ84</f>
        <v>0</v>
      </c>
      <c r="JL84" s="20" t="n">
        <f aca="false">IF(BL84=1,IF(ABS((1+AS_Wage)/(1+Slot5_Rate)-1)&lt;0.000000000001,(Slot5_Age-D84)*(1+Slot5_Rate)^(Slot5_Age-D84),(1+Slot5_Rate)^(Slot5_Age-D84)*(1-((1+AS_Wage)/(1+Slot5_Rate))^(Slot5_Age-D84))/(1-(1+AS_Wage)/(1+Slot5_Rate))),1)</f>
        <v>1</v>
      </c>
      <c r="JM84" s="20" t="n">
        <f aca="false">IF(AND(HU84=1,IE84&gt;0,Slot5_IsWG=1,BL84=1),MAX(0,(Slot5_Cost-BM84*(1+Slot5_Rate)^(Slot5_Age-D84))/JL84),0)</f>
        <v>0</v>
      </c>
      <c r="JN84" s="20" t="n">
        <f aca="false">IF(AND(HU84=1,IE84&gt;0,Slot5_IsWG=1,BL84=1),MIN(IE84,JM84),0)</f>
        <v>0</v>
      </c>
      <c r="JO84" s="20" t="n">
        <f aca="false">BM84+JN84</f>
        <v>0</v>
      </c>
      <c r="JP84" s="20" t="n">
        <f aca="false">IF(BL84=1,MAX(0,(Slot5_Cost-JO84*(1+Slot5_Rate)^(Slot5_Age-D84))/JL84),0)</f>
        <v>0</v>
      </c>
      <c r="JQ84" s="20" t="n">
        <f aca="false">IF(BL84=1,MAX(0,(Slot5_Cost-BM84*(1+Slot5_Rate)^(Slot5_Age-D84))/JL84),0)</f>
        <v>0</v>
      </c>
      <c r="JR84" s="20" t="n">
        <f aca="false">IF(AND(HU84=1,BL84=1),MIN(JK84,JP84),0)</f>
        <v>0</v>
      </c>
      <c r="JS84" s="20" t="n">
        <f aca="false">JK84-JR84</f>
        <v>0</v>
      </c>
      <c r="JT84" s="20" t="n">
        <f aca="false">IF(BV84=1,IF(ABS((1+AS_Wage)/(1+Slot6_Rate)-1)&lt;0.000000000001,(Slot6_Age-D84)*(1+Slot6_Rate)^(Slot6_Age-D84),(1+Slot6_Rate)^(Slot6_Age-D84)*(1-((1+AS_Wage)/(1+Slot6_Rate))^(Slot6_Age-D84))/(1-(1+AS_Wage)/(1+Slot6_Rate))),1)</f>
        <v>1</v>
      </c>
      <c r="JU84" s="20" t="n">
        <f aca="false">IF(AND(HU84=1,IE84&gt;0,Slot6_IsWG=1,BV84=1),MAX(0,(Slot6_Cost-BW84*(1+Slot6_Rate)^(Slot6_Age-D84))/JT84),0)</f>
        <v>0</v>
      </c>
      <c r="JV84" s="20" t="n">
        <f aca="false">IF(AND(HU84=1,IE84&gt;0,Slot6_IsWG=1,BV84=1),MIN(IE84,JU84),0)</f>
        <v>0</v>
      </c>
      <c r="JW84" s="20" t="n">
        <f aca="false">BW84+JV84</f>
        <v>0</v>
      </c>
      <c r="JX84" s="20" t="n">
        <f aca="false">IF(BV84=1,MAX(0,(Slot6_Cost-JW84*(1+Slot6_Rate)^(Slot6_Age-D84))/JT84),0)</f>
        <v>0</v>
      </c>
      <c r="JY84" s="20" t="n">
        <f aca="false">IF(BV84=1,MAX(0,(Slot6_Cost-BW84*(1+Slot6_Rate)^(Slot6_Age-D84))/JT84),0)</f>
        <v>0</v>
      </c>
      <c r="JZ84" s="20" t="n">
        <f aca="false">IF(AND(HU84=1,BV84=1),MIN(JS84,JX84),0)</f>
        <v>0</v>
      </c>
      <c r="KA84" s="20" t="n">
        <f aca="false">JS84-JZ84</f>
        <v>0</v>
      </c>
      <c r="KB84" s="20" t="n">
        <f aca="false">IF(CF84=1,IF(ABS((1+AS_Wage)/(1+Slot7_Rate)-1)&lt;0.000000000001,(Slot7_Age-D84)*(1+Slot7_Rate)^(Slot7_Age-D84),(1+Slot7_Rate)^(Slot7_Age-D84)*(1-((1+AS_Wage)/(1+Slot7_Rate))^(Slot7_Age-D84))/(1-(1+AS_Wage)/(1+Slot7_Rate))),1)</f>
        <v>1</v>
      </c>
      <c r="KC84" s="20" t="n">
        <f aca="false">IF(AND(HU84=1,IE84&gt;0,Slot7_IsWG=1,CF84=1),MAX(0,(Slot7_Cost-CG84*(1+Slot7_Rate)^(Slot7_Age-D84))/KB84),0)</f>
        <v>0</v>
      </c>
      <c r="KD84" s="20" t="n">
        <f aca="false">IF(AND(HU84=1,IE84&gt;0,Slot7_IsWG=1,CF84=1),MIN(IE84,KC84),0)</f>
        <v>0</v>
      </c>
      <c r="KE84" s="20" t="n">
        <f aca="false">CG84+KD84</f>
        <v>0</v>
      </c>
      <c r="KF84" s="20" t="n">
        <f aca="false">IF(CF84=1,MAX(0,(Slot7_Cost-KE84*(1+Slot7_Rate)^(Slot7_Age-D84))/KB84),0)</f>
        <v>0</v>
      </c>
      <c r="KG84" s="20" t="n">
        <f aca="false">IF(CF84=1,MAX(0,(Slot7_Cost-CG84*(1+Slot7_Rate)^(Slot7_Age-D84))/KB84),0)</f>
        <v>0</v>
      </c>
      <c r="KH84" s="20" t="n">
        <f aca="false">IF(AND(HU84=1,CF84=1),MIN(KA84,KF84),0)</f>
        <v>0</v>
      </c>
      <c r="KI84" s="20" t="n">
        <f aca="false">KA84-KH84</f>
        <v>0</v>
      </c>
      <c r="KJ84" s="20" t="n">
        <f aca="false">IF(CP84=1,IF(ABS((1+AS_Wage)/(1+Slot8_Rate)-1)&lt;0.000000000001,(Slot8_Age-D84)*(1+Slot8_Rate)^(Slot8_Age-D84),(1+Slot8_Rate)^(Slot8_Age-D84)*(1-((1+AS_Wage)/(1+Slot8_Rate))^(Slot8_Age-D84))/(1-(1+AS_Wage)/(1+Slot8_Rate))),1)</f>
        <v>1</v>
      </c>
      <c r="KK84" s="20" t="n">
        <f aca="false">IF(AND(HU84=1,IE84&gt;0,Slot8_IsWG=1,CP84=1),MAX(0,(Slot8_Cost-CQ84*(1+Slot8_Rate)^(Slot8_Age-D84))/KJ84),0)</f>
        <v>0</v>
      </c>
      <c r="KL84" s="20" t="n">
        <f aca="false">IF(AND(HU84=1,IE84&gt;0,Slot8_IsWG=1,CP84=1),MIN(IE84,KK84),0)</f>
        <v>0</v>
      </c>
      <c r="KM84" s="20" t="n">
        <f aca="false">CQ84+KL84</f>
        <v>0</v>
      </c>
      <c r="KN84" s="20" t="n">
        <f aca="false">IF(CP84=1,MAX(0,(Slot8_Cost-KM84*(1+Slot8_Rate)^(Slot8_Age-D84))/KJ84),0)</f>
        <v>0</v>
      </c>
      <c r="KO84" s="20" t="n">
        <f aca="false">IF(CP84=1,MAX(0,(Slot8_Cost-CQ84*(1+Slot8_Rate)^(Slot8_Age-D84))/KJ84),0)</f>
        <v>0</v>
      </c>
      <c r="KP84" s="20" t="n">
        <f aca="false">IF(AND(HU84=1,CP84=1),MIN(KI84,KN84),0)</f>
        <v>0</v>
      </c>
      <c r="KQ84" s="20" t="n">
        <f aca="false">KI84-KP84</f>
        <v>0</v>
      </c>
      <c r="KR84" s="20" t="n">
        <f aca="false">IF(CZ84=1,IF(ABS((1+AS_Wage)/(1+Slot9_Rate)-1)&lt;0.000000000001,(Slot9_Age-D84)*(1+Slot9_Rate)^(Slot9_Age-D84),(1+Slot9_Rate)^(Slot9_Age-D84)*(1-((1+AS_Wage)/(1+Slot9_Rate))^(Slot9_Age-D84))/(1-(1+AS_Wage)/(1+Slot9_Rate))),1)</f>
        <v>1</v>
      </c>
      <c r="KS84" s="20" t="n">
        <f aca="false">IF(AND(HU84=1,IE84&gt;0,Slot9_IsWG=1,CZ84=1),MAX(0,(Slot9_Cost-DA84*(1+Slot9_Rate)^(Slot9_Age-D84))/KR84),0)</f>
        <v>0</v>
      </c>
      <c r="KT84" s="20" t="n">
        <f aca="false">IF(AND(HU84=1,IE84&gt;0,Slot9_IsWG=1,CZ84=1),MIN(IE84,KS84),0)</f>
        <v>0</v>
      </c>
      <c r="KU84" s="20" t="n">
        <f aca="false">DA84+KT84</f>
        <v>0</v>
      </c>
      <c r="KV84" s="20" t="n">
        <f aca="false">IF(CZ84=1,MAX(0,(Slot9_Cost-KU84*(1+Slot9_Rate)^(Slot9_Age-D84))/KR84),0)</f>
        <v>0</v>
      </c>
      <c r="KW84" s="20" t="n">
        <f aca="false">IF(CZ84=1,MAX(0,(Slot9_Cost-DA84*(1+Slot9_Rate)^(Slot9_Age-D84))/KR84),0)</f>
        <v>0</v>
      </c>
      <c r="KX84" s="20" t="n">
        <f aca="false">IF(AND(HU84=1,CZ84=1),MIN(KQ84,KV84),0)</f>
        <v>0</v>
      </c>
      <c r="KY84" s="20" t="n">
        <f aca="false">KQ84-KX84</f>
        <v>0</v>
      </c>
      <c r="KZ84" s="20" t="n">
        <f aca="false">IF(DJ84=1,IF(ABS((1+AS_Wage)/(1+Slot10_Rate)-1)&lt;0.000000000001,(Slot10_Age-D84)*(1+Slot10_Rate)^(Slot10_Age-D84),(1+Slot10_Rate)^(Slot10_Age-D84)*(1-((1+AS_Wage)/(1+Slot10_Rate))^(Slot10_Age-D84))/(1-(1+AS_Wage)/(1+Slot10_Rate))),1)</f>
        <v>1</v>
      </c>
      <c r="LA84" s="20" t="n">
        <f aca="false">IF(AND(HU84=1,IE84&gt;0,Slot10_IsWG=1,DJ84=1),MAX(0,(Slot10_Cost-DK84*(1+Slot10_Rate)^(Slot10_Age-D84))/KZ84),0)</f>
        <v>0</v>
      </c>
      <c r="LB84" s="20" t="n">
        <f aca="false">IF(AND(HU84=1,IE84&gt;0,Slot10_IsWG=1,DJ84=1),MIN(IE84,LA84),0)</f>
        <v>0</v>
      </c>
      <c r="LC84" s="20" t="n">
        <f aca="false">DK84+LB84</f>
        <v>0</v>
      </c>
      <c r="LD84" s="20" t="n">
        <f aca="false">IF(DJ84=1,MAX(0,(Slot10_Cost-LC84*(1+Slot10_Rate)^(Slot10_Age-D84))/KZ84),0)</f>
        <v>0</v>
      </c>
      <c r="LE84" s="20" t="n">
        <f aca="false">IF(DJ84=1,MAX(0,(Slot10_Cost-DK84*(1+Slot10_Rate)^(Slot10_Age-D84))/KZ84),0)</f>
        <v>0</v>
      </c>
      <c r="LF84" s="20" t="n">
        <f aca="false">IF(AND(HU84=1,DJ84=1),MIN(KY84,LD84),0)</f>
        <v>0</v>
      </c>
      <c r="LG84" s="20" t="n">
        <f aca="false">KY84-LF84</f>
        <v>0</v>
      </c>
      <c r="LH84" s="20" t="n">
        <f aca="false">IF(DT84=1,IF(ABS((1+AS_Wage)/(1+Slot11_Rate)-1)&lt;0.000000000001,(Slot11_Age-D84)*(1+Slot11_Rate)^(Slot11_Age-D84),(1+Slot11_Rate)^(Slot11_Age-D84)*(1-((1+AS_Wage)/(1+Slot11_Rate))^(Slot11_Age-D84))/(1-(1+AS_Wage)/(1+Slot11_Rate))),1)</f>
        <v>1</v>
      </c>
      <c r="LI84" s="20" t="n">
        <f aca="false">IF(AND(HU84=1,IE84&gt;0,Slot11_IsWG=1,DT84=1),MAX(0,(Slot11_Cost-DU84*(1+Slot11_Rate)^(Slot11_Age-D84))/LH84),0)</f>
        <v>0</v>
      </c>
      <c r="LJ84" s="20" t="n">
        <f aca="false">IF(AND(HU84=1,IE84&gt;0,Slot11_IsWG=1,DT84=1),MIN(IE84,LI84),0)</f>
        <v>0</v>
      </c>
      <c r="LK84" s="20" t="n">
        <f aca="false">DU84+LJ84</f>
        <v>0</v>
      </c>
      <c r="LL84" s="20" t="n">
        <f aca="false">IF(DT84=1,MAX(0,(Slot11_Cost-LK84*(1+Slot11_Rate)^(Slot11_Age-D84))/LH84),0)</f>
        <v>0</v>
      </c>
      <c r="LM84" s="20" t="n">
        <f aca="false">IF(DT84=1,MAX(0,(Slot11_Cost-DU84*(1+Slot11_Rate)^(Slot11_Age-D84))/LH84),0)</f>
        <v>0</v>
      </c>
      <c r="LN84" s="20" t="n">
        <f aca="false">IF(AND(HU84=1,DT84=1),MIN(LG84,LL84),0)</f>
        <v>0</v>
      </c>
      <c r="LO84" s="20" t="n">
        <f aca="false">LG84-LN84</f>
        <v>0</v>
      </c>
      <c r="LP84" s="20" t="n">
        <f aca="false">IF(ED84=1,IF(ABS((1+AS_Wage)/(1+Slot12_Rate)-1)&lt;0.000000000001,(Slot12_Age-D84)*(1+Slot12_Rate)^(Slot12_Age-D84),(1+Slot12_Rate)^(Slot12_Age-D84)*(1-((1+AS_Wage)/(1+Slot12_Rate))^(Slot12_Age-D84))/(1-(1+AS_Wage)/(1+Slot12_Rate))),1)</f>
        <v>1</v>
      </c>
      <c r="LQ84" s="20" t="n">
        <f aca="false">IF(AND(HU84=1,IE84&gt;0,Slot12_IsWG=1,ED84=1),MAX(0,(Slot12_Cost-EE84*(1+Slot12_Rate)^(Slot12_Age-D84))/LP84),0)</f>
        <v>0</v>
      </c>
      <c r="LR84" s="20" t="n">
        <f aca="false">IF(AND(HU84=1,IE84&gt;0,Slot12_IsWG=1,ED84=1),MIN(IE84,LQ84),0)</f>
        <v>0</v>
      </c>
      <c r="LS84" s="20" t="n">
        <f aca="false">EE84+LR84</f>
        <v>0</v>
      </c>
      <c r="LT84" s="20" t="n">
        <f aca="false">IF(ED84=1,MAX(0,(Slot12_Cost-LS84*(1+Slot12_Rate)^(Slot12_Age-D84))/LP84),0)</f>
        <v>0</v>
      </c>
      <c r="LU84" s="20" t="n">
        <f aca="false">IF(ED84=1,MAX(0,(Slot12_Cost-EE84*(1+Slot12_Rate)^(Slot12_Age-D84))/LP84),0)</f>
        <v>0</v>
      </c>
      <c r="LV84" s="20" t="n">
        <f aca="false">IF(AND(HU84=1,ED84=1),MIN(LO84,LT84),0)</f>
        <v>0</v>
      </c>
      <c r="LW84" s="20" t="n">
        <f aca="false">LO84-LV84</f>
        <v>0</v>
      </c>
      <c r="LX84" s="20" t="n">
        <f aca="false">IF(EN84=1,IF(ABS((1+AS_Wage)/(1+Slot13_Rate)-1)&lt;0.000000000001,(Slot13_Age-D84)*(1+Slot13_Rate)^(Slot13_Age-D84),(1+Slot13_Rate)^(Slot13_Age-D84)*(1-((1+AS_Wage)/(1+Slot13_Rate))^(Slot13_Age-D84))/(1-(1+AS_Wage)/(1+Slot13_Rate))),1)</f>
        <v>1</v>
      </c>
      <c r="LY84" s="20" t="n">
        <f aca="false">IF(AND(HU84=1,IE84&gt;0,Slot13_IsWG=1,EN84=1),MAX(0,(Slot13_Cost-EO84*(1+Slot13_Rate)^(Slot13_Age-D84))/LX84),0)</f>
        <v>0</v>
      </c>
      <c r="LZ84" s="20" t="n">
        <f aca="false">IF(AND(HU84=1,IE84&gt;0,Slot13_IsWG=1,EN84=1),MIN(IE84,LY84),0)</f>
        <v>0</v>
      </c>
      <c r="MA84" s="20" t="n">
        <f aca="false">EO84+LZ84</f>
        <v>0</v>
      </c>
      <c r="MB84" s="20" t="n">
        <f aca="false">IF(EN84=1,MAX(0,(Slot13_Cost-MA84*(1+Slot13_Rate)^(Slot13_Age-D84))/LX84),0)</f>
        <v>0</v>
      </c>
      <c r="MC84" s="20" t="n">
        <f aca="false">IF(EN84=1,MAX(0,(Slot13_Cost-EO84*(1+Slot13_Rate)^(Slot13_Age-D84))/LX84),0)</f>
        <v>0</v>
      </c>
      <c r="MD84" s="20" t="n">
        <f aca="false">IF(AND(HU84=1,EN84=1),MIN(LW84,MB84),0)</f>
        <v>0</v>
      </c>
      <c r="ME84" s="20" t="n">
        <f aca="false">LW84-MD84</f>
        <v>0</v>
      </c>
      <c r="MF84" s="20" t="n">
        <f aca="false">IF(EX84=1,IF(ABS((1+AS_Wage)/(1+Slot14_Rate)-1)&lt;0.000000000001,(Slot14_Age-D84)*(1+Slot14_Rate)^(Slot14_Age-D84),(1+Slot14_Rate)^(Slot14_Age-D84)*(1-((1+AS_Wage)/(1+Slot14_Rate))^(Slot14_Age-D84))/(1-(1+AS_Wage)/(1+Slot14_Rate))),1)</f>
        <v>1</v>
      </c>
      <c r="MG84" s="20" t="n">
        <f aca="false">IF(AND(HU84=1,IE84&gt;0,Slot14_IsWG=1,EX84=1),MAX(0,(Slot14_Cost-EY84*(1+Slot14_Rate)^(Slot14_Age-D84))/MF84),0)</f>
        <v>0</v>
      </c>
      <c r="MH84" s="20" t="n">
        <f aca="false">IF(AND(HU84=1,IE84&gt;0,Slot14_IsWG=1,EX84=1),MIN(IE84,MG84),0)</f>
        <v>0</v>
      </c>
      <c r="MI84" s="20" t="n">
        <f aca="false">EY84+MH84</f>
        <v>0</v>
      </c>
      <c r="MJ84" s="20" t="n">
        <f aca="false">IF(EX84=1,MAX(0,(Slot14_Cost-MI84*(1+Slot14_Rate)^(Slot14_Age-D84))/MF84),0)</f>
        <v>0</v>
      </c>
      <c r="MK84" s="20" t="n">
        <f aca="false">IF(EX84=1,MAX(0,(Slot14_Cost-EY84*(1+Slot14_Rate)^(Slot14_Age-D84))/MF84),0)</f>
        <v>0</v>
      </c>
      <c r="ML84" s="20" t="n">
        <f aca="false">IF(AND(HU84=1,EX84=1),MIN(ME84,MJ84),0)</f>
        <v>0</v>
      </c>
      <c r="MM84" s="20" t="n">
        <f aca="false">ME84-ML84</f>
        <v>0</v>
      </c>
      <c r="MN84" s="20" t="n">
        <f aca="false">IF(FH84=1,IF(ABS((1+AS_Wage)/(1+Slot15_Rate)-1)&lt;0.000000000001,(Slot15_Age-D84)*(1+Slot15_Rate)^(Slot15_Age-D84),(1+Slot15_Rate)^(Slot15_Age-D84)*(1-((1+AS_Wage)/(1+Slot15_Rate))^(Slot15_Age-D84))/(1-(1+AS_Wage)/(1+Slot15_Rate))),1)</f>
        <v>1</v>
      </c>
      <c r="MO84" s="20" t="n">
        <f aca="false">IF(AND(HU84=1,IE84&gt;0,Slot15_IsWG=1,FH84=1),MAX(0,(Slot15_Cost-FI84*(1+Slot15_Rate)^(Slot15_Age-D84))/MN84),0)</f>
        <v>0</v>
      </c>
      <c r="MP84" s="20" t="n">
        <f aca="false">IF(AND(HU84=1,IE84&gt;0,Slot15_IsWG=1,FH84=1),MIN(IE84,MO84),0)</f>
        <v>0</v>
      </c>
      <c r="MQ84" s="20" t="n">
        <f aca="false">FI84+MP84</f>
        <v>0</v>
      </c>
      <c r="MR84" s="20" t="n">
        <f aca="false">IF(FH84=1,MAX(0,(Slot15_Cost-MQ84*(1+Slot15_Rate)^(Slot15_Age-D84))/MN84),0)</f>
        <v>0</v>
      </c>
      <c r="MS84" s="20" t="n">
        <f aca="false">IF(FH84=1,MAX(0,(Slot15_Cost-FI84*(1+Slot15_Rate)^(Slot15_Age-D84))/MN84),0)</f>
        <v>0</v>
      </c>
      <c r="MT84" s="20" t="n">
        <f aca="false">IF(AND(HU84=1,FH84=1),MIN(MM84,MR84),0)</f>
        <v>0</v>
      </c>
      <c r="MU84" s="20" t="n">
        <f aca="false">MM84-MT84</f>
        <v>0</v>
      </c>
      <c r="MV84" s="20" t="n">
        <f aca="false">IF(FR84=1,IF(ABS((1+AS_Wage)/(1+Slot16_Rate)-1)&lt;0.000000000001,(Slot16_Age-D84)*(1+Slot16_Rate)^(Slot16_Age-D84),(1+Slot16_Rate)^(Slot16_Age-D84)*(1-((1+AS_Wage)/(1+Slot16_Rate))^(Slot16_Age-D84))/(1-(1+AS_Wage)/(1+Slot16_Rate))),1)</f>
        <v>1</v>
      </c>
      <c r="MW84" s="20" t="n">
        <f aca="false">IF(AND(HU84=1,IE84&gt;0,Slot16_IsWG=1,FR84=1),MAX(0,(Slot16_Cost-FS84*(1+Slot16_Rate)^(Slot16_Age-D84))/MV84),0)</f>
        <v>0</v>
      </c>
      <c r="MX84" s="20" t="n">
        <f aca="false">IF(AND(HU84=1,IE84&gt;0,Slot16_IsWG=1,FR84=1),MIN(IE84,MW84),0)</f>
        <v>0</v>
      </c>
      <c r="MY84" s="20" t="n">
        <f aca="false">FS84+MX84</f>
        <v>0</v>
      </c>
      <c r="MZ84" s="20" t="n">
        <f aca="false">IF(FR84=1,MAX(0,(Slot16_Cost-MY84*(1+Slot16_Rate)^(Slot16_Age-D84))/MV84),0)</f>
        <v>0</v>
      </c>
      <c r="NA84" s="20" t="n">
        <f aca="false">IF(FR84=1,MAX(0,(Slot16_Cost-FS84*(1+Slot16_Rate)^(Slot16_Age-D84))/MV84),0)</f>
        <v>0</v>
      </c>
      <c r="NB84" s="20" t="n">
        <f aca="false">IF(AND(HU84=1,FR84=1),MIN(MU84,MZ84),0)</f>
        <v>0</v>
      </c>
      <c r="NC84" s="20" t="n">
        <f aca="false">MU84-NB84</f>
        <v>0</v>
      </c>
      <c r="ND84" s="20" t="n">
        <f aca="false">IF(GB84=1,IF(ABS((1+AS_Wage)/(1+Slot17_Rate)-1)&lt;0.000000000001,(Slot17_Age-D84)*(1+Slot17_Rate)^(Slot17_Age-D84),(1+Slot17_Rate)^(Slot17_Age-D84)*(1-((1+AS_Wage)/(1+Slot17_Rate))^(Slot17_Age-D84))/(1-(1+AS_Wage)/(1+Slot17_Rate))),1)</f>
        <v>1</v>
      </c>
      <c r="NE84" s="20" t="n">
        <f aca="false">IF(AND(HU84=1,IE84&gt;0,Slot17_IsWG=1,GB84=1),MAX(0,(Slot17_Cost-GC84*(1+Slot17_Rate)^(Slot17_Age-D84))/ND84),0)</f>
        <v>0</v>
      </c>
      <c r="NF84" s="20" t="n">
        <f aca="false">IF(AND(HU84=1,IE84&gt;0,Slot17_IsWG=1,GB84=1),MIN(IE84,NE84),0)</f>
        <v>0</v>
      </c>
      <c r="NG84" s="20" t="n">
        <f aca="false">GC84+NF84</f>
        <v>0</v>
      </c>
      <c r="NH84" s="20" t="n">
        <f aca="false">IF(GB84=1,MAX(0,(Slot17_Cost-NG84*(1+Slot17_Rate)^(Slot17_Age-D84))/ND84),0)</f>
        <v>0</v>
      </c>
      <c r="NI84" s="20" t="n">
        <f aca="false">IF(GB84=1,MAX(0,(Slot17_Cost-GC84*(1+Slot17_Rate)^(Slot17_Age-D84))/ND84),0)</f>
        <v>0</v>
      </c>
      <c r="NJ84" s="20" t="n">
        <f aca="false">IF(AND(HU84=1,GB84=1),MIN(NC84,NH84),0)</f>
        <v>0</v>
      </c>
      <c r="NK84" s="20" t="n">
        <f aca="false">NC84-NJ84</f>
        <v>0</v>
      </c>
      <c r="NL84" s="20" t="n">
        <f aca="false">IF(GL84=1,IF(ABS((1+AS_Wage)/(1+Slot18_Rate)-1)&lt;0.000000000001,(Slot18_Age-D84)*(1+Slot18_Rate)^(Slot18_Age-D84),(1+Slot18_Rate)^(Slot18_Age-D84)*(1-((1+AS_Wage)/(1+Slot18_Rate))^(Slot18_Age-D84))/(1-(1+AS_Wage)/(1+Slot18_Rate))),1)</f>
        <v>1</v>
      </c>
      <c r="NM84" s="20" t="n">
        <f aca="false">IF(AND(HU84=1,IE84&gt;0,Slot18_IsWG=1,GL84=1),MAX(0,(Slot18_Cost-GM84*(1+Slot18_Rate)^(Slot18_Age-D84))/NL84),0)</f>
        <v>0</v>
      </c>
      <c r="NN84" s="20" t="n">
        <f aca="false">IF(AND(HU84=1,IE84&gt;0,Slot18_IsWG=1,GL84=1),MIN(IE84,NM84),0)</f>
        <v>0</v>
      </c>
      <c r="NO84" s="20" t="n">
        <f aca="false">GM84+NN84</f>
        <v>0</v>
      </c>
      <c r="NP84" s="20" t="n">
        <f aca="false">IF(GL84=1,MAX(0,(Slot18_Cost-NO84*(1+Slot18_Rate)^(Slot18_Age-D84))/NL84),0)</f>
        <v>0</v>
      </c>
      <c r="NQ84" s="20" t="n">
        <f aca="false">IF(GL84=1,MAX(0,(Slot18_Cost-GM84*(1+Slot18_Rate)^(Slot18_Age-D84))/NL84),0)</f>
        <v>0</v>
      </c>
      <c r="NR84" s="20" t="n">
        <f aca="false">IF(AND(HU84=1,GL84=1),MIN(NK84,NP84),0)</f>
        <v>0</v>
      </c>
      <c r="NS84" s="20" t="n">
        <f aca="false">NK84-NR84</f>
        <v>0</v>
      </c>
      <c r="NT84" s="20" t="n">
        <f aca="false">IF(GV84=1,IF(ABS((1+AS_Wage)/(1+Slot19_Rate)-1)&lt;0.000000000001,(Slot19_Age-D84)*(1+Slot19_Rate)^(Slot19_Age-D84),(1+Slot19_Rate)^(Slot19_Age-D84)*(1-((1+AS_Wage)/(1+Slot19_Rate))^(Slot19_Age-D84))/(1-(1+AS_Wage)/(1+Slot19_Rate))),1)</f>
        <v>1</v>
      </c>
      <c r="NU84" s="20" t="n">
        <f aca="false">IF(AND(HU84=1,IE84&gt;0,Slot19_IsWG=1,GV84=1),MAX(0,(Slot19_Cost-GW84*(1+Slot19_Rate)^(Slot19_Age-D84))/NT84),0)</f>
        <v>0</v>
      </c>
      <c r="NV84" s="20" t="n">
        <f aca="false">IF(AND(HU84=1,IE84&gt;0,Slot19_IsWG=1,GV84=1),MIN(IE84,NU84),0)</f>
        <v>0</v>
      </c>
      <c r="NW84" s="20" t="n">
        <f aca="false">GW84+NV84</f>
        <v>0</v>
      </c>
      <c r="NX84" s="20" t="n">
        <f aca="false">IF(GV84=1,MAX(0,(Slot19_Cost-NW84*(1+Slot19_Rate)^(Slot19_Age-D84))/NT84),0)</f>
        <v>0</v>
      </c>
      <c r="NY84" s="20" t="n">
        <f aca="false">IF(GV84=1,MAX(0,(Slot19_Cost-GW84*(1+Slot19_Rate)^(Slot19_Age-D84))/NT84),0)</f>
        <v>0</v>
      </c>
      <c r="NZ84" s="20" t="n">
        <f aca="false">IF(AND(HU84=1,GV84=1),MIN(NS84,NX84),0)</f>
        <v>0</v>
      </c>
      <c r="OA84" s="20" t="n">
        <f aca="false">NS84-NZ84</f>
        <v>0</v>
      </c>
      <c r="OB84" s="20" t="n">
        <f aca="false">IF(HF84=1,IF(ABS((1+AS_Wage)/(1+Slot20_Rate)-1)&lt;0.000000000001,(Slot20_Age-D84)*(1+Slot20_Rate)^(Slot20_Age-D84),(1+Slot20_Rate)^(Slot20_Age-D84)*(1-((1+AS_Wage)/(1+Slot20_Rate))^(Slot20_Age-D84))/(1-(1+AS_Wage)/(1+Slot20_Rate))),1)</f>
        <v>1</v>
      </c>
      <c r="OC84" s="20" t="n">
        <f aca="false">IF(AND(HU84=1,IE84&gt;0,Slot20_IsWG=1,HF84=1),MAX(0,(Slot20_Cost-HG84*(1+Slot20_Rate)^(Slot20_Age-D84))/OB84),0)</f>
        <v>0</v>
      </c>
      <c r="OD84" s="20" t="n">
        <f aca="false">IF(AND(HU84=1,IE84&gt;0,Slot20_IsWG=1,HF84=1),MIN(IE84,OC84),0)</f>
        <v>0</v>
      </c>
      <c r="OE84" s="20" t="n">
        <f aca="false">HG84+OD84</f>
        <v>0</v>
      </c>
      <c r="OF84" s="20" t="n">
        <f aca="false">IF(HF84=1,MAX(0,(Slot20_Cost-OE84*(1+Slot20_Rate)^(Slot20_Age-D84))/OB84),0)</f>
        <v>0</v>
      </c>
      <c r="OG84" s="20" t="n">
        <f aca="false">IF(HF84=1,MAX(0,(Slot20_Cost-HG84*(1+Slot20_Rate)^(Slot20_Age-D84))/OB84),0)</f>
        <v>0</v>
      </c>
      <c r="OH84" s="20" t="n">
        <f aca="false">IF(AND(HU84=1,HF84=1),MIN(OA84,OF84),0)</f>
        <v>0</v>
      </c>
      <c r="OI84" s="20" t="n">
        <f aca="false">OA84-OH84</f>
        <v>0</v>
      </c>
      <c r="OJ84" s="20" t="n">
        <f aca="false">IE84-(IH84+IP84+IX84+JF84+JN84+JV84+KD84+KL84+KT84+LB84+LJ84+LR84+LZ84+MH84+MP84+MX84+NF84+NN84+NV84+OD84)</f>
        <v>0</v>
      </c>
      <c r="OK84" s="20" t="n">
        <f aca="false">IF(HU84=1,HS84-ID84-IE84,0)</f>
        <v>0</v>
      </c>
      <c r="OL84" s="20" t="n">
        <f aca="false">IF(HU84=0,-HS84,0)</f>
        <v>86774.8336030207</v>
      </c>
      <c r="OM84" s="20" t="n">
        <f aca="false">MIN(OL84,HK84)</f>
        <v>0</v>
      </c>
      <c r="ON84" s="20" t="n">
        <f aca="false">OL84-OM84</f>
        <v>86774.8336030207</v>
      </c>
      <c r="OO84" s="20" t="n">
        <f aca="false">MIN(ON84,HL84)</f>
        <v>0</v>
      </c>
      <c r="OP84" s="20" t="n">
        <f aca="false">ON84-OO84</f>
        <v>86774.8336030207</v>
      </c>
      <c r="OQ84" s="20" t="n">
        <f aca="false">IF(AND(HU84=0,HF84=1,OP84&gt;0),MIN(OP84,HG84),0)</f>
        <v>0</v>
      </c>
      <c r="OR84" s="20" t="n">
        <f aca="false">OP84-OQ84</f>
        <v>86774.8336030207</v>
      </c>
      <c r="OS84" s="20" t="n">
        <f aca="false">IF(AND(HU84=0,GV84=1,OR84&gt;0),MIN(OR84,GW84),0)</f>
        <v>0</v>
      </c>
      <c r="OT84" s="20" t="n">
        <f aca="false">OR84-OS84</f>
        <v>86774.8336030207</v>
      </c>
      <c r="OU84" s="20" t="n">
        <f aca="false">IF(AND(HU84=0,GL84=1,OT84&gt;0),MIN(OT84,GM84),0)</f>
        <v>0</v>
      </c>
      <c r="OV84" s="20" t="n">
        <f aca="false">OT84-OU84</f>
        <v>86774.8336030207</v>
      </c>
      <c r="OW84" s="20" t="n">
        <f aca="false">IF(AND(HU84=0,GB84=1,OV84&gt;0),MIN(OV84,GC84),0)</f>
        <v>0</v>
      </c>
      <c r="OX84" s="20" t="n">
        <f aca="false">OV84-OW84</f>
        <v>86774.8336030207</v>
      </c>
      <c r="OY84" s="20" t="n">
        <f aca="false">IF(AND(HU84=0,FR84=1,OX84&gt;0),MIN(OX84,FS84),0)</f>
        <v>0</v>
      </c>
      <c r="OZ84" s="20" t="n">
        <f aca="false">OX84-OY84</f>
        <v>86774.8336030207</v>
      </c>
      <c r="PA84" s="20" t="n">
        <f aca="false">IF(AND(HU84=0,FH84=1,OZ84&gt;0),MIN(OZ84,FI84),0)</f>
        <v>0</v>
      </c>
      <c r="PB84" s="20" t="n">
        <f aca="false">OZ84-PA84</f>
        <v>86774.8336030207</v>
      </c>
      <c r="PC84" s="20" t="n">
        <f aca="false">IF(AND(HU84=0,EX84=1,PB84&gt;0),MIN(PB84,EY84),0)</f>
        <v>0</v>
      </c>
      <c r="PD84" s="20" t="n">
        <f aca="false">PB84-PC84</f>
        <v>86774.8336030207</v>
      </c>
      <c r="PE84" s="20" t="n">
        <f aca="false">IF(AND(HU84=0,EN84=1,PD84&gt;0),MIN(PD84,EO84),0)</f>
        <v>0</v>
      </c>
      <c r="PF84" s="20" t="n">
        <f aca="false">PD84-PE84</f>
        <v>86774.8336030207</v>
      </c>
      <c r="PG84" s="20" t="n">
        <f aca="false">IF(AND(HU84=0,ED84=1,PF84&gt;0),MIN(PF84,EE84),0)</f>
        <v>0</v>
      </c>
      <c r="PH84" s="20" t="n">
        <f aca="false">PF84-PG84</f>
        <v>86774.8336030207</v>
      </c>
      <c r="PI84" s="20" t="n">
        <f aca="false">IF(AND(HU84=0,DT84=1,PH84&gt;0),MIN(PH84,DU84),0)</f>
        <v>0</v>
      </c>
      <c r="PJ84" s="20" t="n">
        <f aca="false">PH84-PI84</f>
        <v>86774.8336030207</v>
      </c>
      <c r="PK84" s="20" t="n">
        <f aca="false">IF(AND(HU84=0,DJ84=1,PJ84&gt;0),MIN(PJ84,DK84),0)</f>
        <v>0</v>
      </c>
      <c r="PL84" s="20" t="n">
        <f aca="false">PJ84-PK84</f>
        <v>86774.8336030207</v>
      </c>
      <c r="PM84" s="20" t="n">
        <f aca="false">IF(AND(HU84=0,CZ84=1,PL84&gt;0),MIN(PL84,DA84),0)</f>
        <v>0</v>
      </c>
      <c r="PN84" s="20" t="n">
        <f aca="false">PL84-PM84</f>
        <v>86774.8336030207</v>
      </c>
      <c r="PO84" s="20" t="n">
        <f aca="false">IF(AND(HU84=0,CP84=1,PN84&gt;0),MIN(PN84,CQ84),0)</f>
        <v>0</v>
      </c>
      <c r="PP84" s="20" t="n">
        <f aca="false">PN84-PO84</f>
        <v>86774.8336030207</v>
      </c>
      <c r="PQ84" s="20" t="n">
        <f aca="false">IF(AND(HU84=0,CF84=1,PP84&gt;0),MIN(PP84,CG84),0)</f>
        <v>0</v>
      </c>
      <c r="PR84" s="20" t="n">
        <f aca="false">PP84-PQ84</f>
        <v>86774.8336030207</v>
      </c>
      <c r="PS84" s="20" t="n">
        <f aca="false">IF(AND(HU84=0,BV84=1,PR84&gt;0),MIN(PR84,BW84),0)</f>
        <v>0</v>
      </c>
      <c r="PT84" s="20" t="n">
        <f aca="false">PR84-PS84</f>
        <v>86774.8336030207</v>
      </c>
      <c r="PU84" s="20" t="n">
        <f aca="false">IF(AND(HU84=0,BL84=1,PT84&gt;0),MIN(PT84,BM84),0)</f>
        <v>0</v>
      </c>
      <c r="PV84" s="20" t="n">
        <f aca="false">PT84-PU84</f>
        <v>86774.8336030207</v>
      </c>
      <c r="PW84" s="20" t="n">
        <f aca="false">IF(AND(HU84=0,BB84=1,PV84&gt;0),MIN(PV84,BC84),0)</f>
        <v>0</v>
      </c>
      <c r="PX84" s="20" t="n">
        <f aca="false">PV84-PW84</f>
        <v>86774.8336030207</v>
      </c>
      <c r="PY84" s="20" t="n">
        <f aca="false">IF(AND(HU84=0,AR84=1,PX84&gt;0),MIN(PX84,AS84),0)</f>
        <v>0</v>
      </c>
      <c r="PZ84" s="20" t="n">
        <f aca="false">PX84-PY84</f>
        <v>86774.8336030207</v>
      </c>
      <c r="QA84" s="20" t="n">
        <f aca="false">IF(AND(HU84=0,AH84=1,PZ84&gt;0),MIN(PZ84,AI84),0)</f>
        <v>0</v>
      </c>
      <c r="QB84" s="20" t="n">
        <f aca="false">PZ84-QA84</f>
        <v>86774.8336030207</v>
      </c>
      <c r="QC84" s="20" t="n">
        <f aca="false">IF(AND(HU84=0,W84=1,QB84&gt;0),MIN(QB84,X84),0)</f>
        <v>0</v>
      </c>
      <c r="QD84" s="20" t="n">
        <f aca="false">QB84-QC84</f>
        <v>86774.8336030207</v>
      </c>
      <c r="QE84" s="20" t="n">
        <f aca="false">IF(HU84=0,QD84,0)</f>
        <v>86774.8336030207</v>
      </c>
      <c r="QF84" s="20" t="n">
        <f aca="false">OM84+OO84+QC84+QA84+PY84+PW84+PU84+PS84+PQ84+PO84+PM84+PK84+PI84+PG84+PE84+PC84+PA84+OY84+OW84+OU84+OS84+OQ84</f>
        <v>0</v>
      </c>
      <c r="QG84" s="20" t="n">
        <f aca="false">IF(HU84=1,HK84+OJ84+OI84+IF(G84=1,0,OK84),HK84-OM84)</f>
        <v>0</v>
      </c>
      <c r="QH84" s="20" t="n">
        <f aca="false">HL84-OO84</f>
        <v>0</v>
      </c>
      <c r="QI84" s="20" t="n">
        <f aca="false">IF(HU84=1,IF(G84=1,ID84+IE84,HS84),0)</f>
        <v>0</v>
      </c>
      <c r="QJ84" s="20" t="n">
        <f aca="false">IF(HU84=1,IF(G84=1,HS84-ID84-IE84,0),0)</f>
        <v>0</v>
      </c>
      <c r="QK84" s="57" t="n">
        <f aca="false">'Plan holdings'!BM84</f>
        <v>0</v>
      </c>
      <c r="QL84" s="20" t="n">
        <f aca="false">QH84*(1+AS_Cash)</f>
        <v>0</v>
      </c>
      <c r="QM84" s="20" t="n">
        <f aca="false">IF(W84=1,IF(HU84=1,II84+IL84,X84-QC84)*(1+Slot1_Rate),0)</f>
        <v>0</v>
      </c>
      <c r="QN84" s="20" t="n">
        <f aca="false">IF(AND(HU84=1,W84=1),(IH84+IL84)/F84,0)</f>
        <v>0</v>
      </c>
      <c r="QO84" s="20" t="n">
        <f aca="false">IF(B84=0,IH84+IL84,0)</f>
        <v>0</v>
      </c>
      <c r="QP84" s="20" t="n">
        <f aca="false">IF(B84=0,IF(HU84=1,IJ84,IK84),0)</f>
        <v>0</v>
      </c>
      <c r="QQ84" s="20" t="n">
        <f aca="false">IF(AH84=1,IF(HU84=1,IQ84+IT84,AI84-QA84)*(1+Slot2_Rate),0)</f>
        <v>0</v>
      </c>
      <c r="QR84" s="20" t="n">
        <f aca="false">IF(AND(HU84=1,AH84=1),(IP84+IT84)/F84,0)</f>
        <v>0</v>
      </c>
      <c r="QS84" s="20" t="n">
        <f aca="false">IF(B84=0,IP84+IT84,0)</f>
        <v>0</v>
      </c>
      <c r="QT84" s="20" t="n">
        <f aca="false">IF(B84=0,IF(HU84=1,IR84,IS84),0)</f>
        <v>0</v>
      </c>
      <c r="QU84" s="20" t="n">
        <f aca="false">IF(AR84=1,IF(HU84=1,IY84+JB84,AS84-PY84)*(1+Slot3_Rate),0)</f>
        <v>0</v>
      </c>
      <c r="QV84" s="20" t="n">
        <f aca="false">IF(AND(HU84=1,AR84=1),(IX84+JB84)/F84,0)</f>
        <v>0</v>
      </c>
      <c r="QW84" s="20" t="n">
        <f aca="false">IF(B84=0,IX84+JB84,0)</f>
        <v>0</v>
      </c>
      <c r="QX84" s="20" t="n">
        <f aca="false">IF(B84=0,IF(HU84=1,IZ84,JA84),0)</f>
        <v>0</v>
      </c>
      <c r="QY84" s="20" t="n">
        <f aca="false">IF(BB84=1,IF(HU84=1,JG84+JJ84,BC84-PW84)*(1+Slot4_Rate),0)</f>
        <v>0</v>
      </c>
      <c r="QZ84" s="20" t="n">
        <f aca="false">IF(AND(HU84=1,BB84=1),(JF84+JJ84)/F84,0)</f>
        <v>0</v>
      </c>
      <c r="RA84" s="20" t="n">
        <f aca="false">IF(B84=0,JF84+JJ84,0)</f>
        <v>0</v>
      </c>
      <c r="RB84" s="20" t="n">
        <f aca="false">IF(B84=0,IF(HU84=1,JH84,JI84),0)</f>
        <v>0</v>
      </c>
      <c r="RC84" s="20" t="n">
        <f aca="false">IF(BL84=1,IF(HU84=1,JO84+JR84,BM84-PU84)*(1+Slot5_Rate),0)</f>
        <v>0</v>
      </c>
      <c r="RD84" s="20" t="n">
        <f aca="false">IF(AND(HU84=1,BL84=1),(JN84+JR84)/F84,0)</f>
        <v>0</v>
      </c>
      <c r="RE84" s="20" t="n">
        <f aca="false">IF(B84=0,JN84+JR84,0)</f>
        <v>0</v>
      </c>
      <c r="RF84" s="20" t="n">
        <f aca="false">IF(B84=0,IF(HU84=1,JP84,JQ84),0)</f>
        <v>0</v>
      </c>
      <c r="RG84" s="20" t="n">
        <f aca="false">IF(BV84=1,IF(HU84=1,JW84+JZ84,BW84-PS84)*(1+Slot6_Rate),0)</f>
        <v>0</v>
      </c>
      <c r="RH84" s="20" t="n">
        <f aca="false">IF(AND(HU84=1,BV84=1),(JV84+JZ84)/F84,0)</f>
        <v>0</v>
      </c>
      <c r="RI84" s="20" t="n">
        <f aca="false">IF(B84=0,JV84+JZ84,0)</f>
        <v>0</v>
      </c>
      <c r="RJ84" s="20" t="n">
        <f aca="false">IF(B84=0,IF(HU84=1,JX84,JY84),0)</f>
        <v>0</v>
      </c>
      <c r="RK84" s="20" t="n">
        <f aca="false">IF(CF84=1,IF(HU84=1,KE84+KH84,CG84-PQ84)*(1+Slot7_Rate),0)</f>
        <v>0</v>
      </c>
      <c r="RL84" s="20" t="n">
        <f aca="false">IF(AND(HU84=1,CF84=1),(KD84+KH84)/F84,0)</f>
        <v>0</v>
      </c>
      <c r="RM84" s="20" t="n">
        <f aca="false">IF(B84=0,KD84+KH84,0)</f>
        <v>0</v>
      </c>
      <c r="RN84" s="20" t="n">
        <f aca="false">IF(B84=0,IF(HU84=1,KF84,KG84),0)</f>
        <v>0</v>
      </c>
      <c r="RO84" s="20" t="n">
        <f aca="false">IF(CP84=1,IF(HU84=1,KM84+KP84,CQ84-PO84)*(1+Slot8_Rate),0)</f>
        <v>0</v>
      </c>
      <c r="RP84" s="20" t="n">
        <f aca="false">IF(AND(HU84=1,CP84=1),(KL84+KP84)/F84,0)</f>
        <v>0</v>
      </c>
      <c r="RQ84" s="20" t="n">
        <f aca="false">IF(B84=0,KL84+KP84,0)</f>
        <v>0</v>
      </c>
      <c r="RR84" s="20" t="n">
        <f aca="false">IF(B84=0,IF(HU84=1,KN84,KO84),0)</f>
        <v>0</v>
      </c>
      <c r="RS84" s="20" t="n">
        <f aca="false">IF(CZ84=1,IF(HU84=1,KU84+KX84,DA84-PM84)*(1+Slot9_Rate),0)</f>
        <v>0</v>
      </c>
      <c r="RT84" s="20" t="n">
        <f aca="false">IF(AND(HU84=1,CZ84=1),(KT84+KX84)/F84,0)</f>
        <v>0</v>
      </c>
      <c r="RU84" s="20" t="n">
        <f aca="false">IF(B84=0,KT84+KX84,0)</f>
        <v>0</v>
      </c>
      <c r="RV84" s="20" t="n">
        <f aca="false">IF(B84=0,IF(HU84=1,KV84,KW84),0)</f>
        <v>0</v>
      </c>
      <c r="RW84" s="20" t="n">
        <f aca="false">IF(DJ84=1,IF(HU84=1,LC84+LF84,DK84-PK84)*(1+Slot10_Rate),0)</f>
        <v>0</v>
      </c>
      <c r="RX84" s="20" t="n">
        <f aca="false">IF(AND(HU84=1,DJ84=1),(LB84+LF84)/F84,0)</f>
        <v>0</v>
      </c>
      <c r="RY84" s="20" t="n">
        <f aca="false">IF(B84=0,LB84+LF84,0)</f>
        <v>0</v>
      </c>
      <c r="RZ84" s="20" t="n">
        <f aca="false">IF(B84=0,IF(HU84=1,LD84,LE84),0)</f>
        <v>0</v>
      </c>
      <c r="SA84" s="20" t="n">
        <f aca="false">IF(DT84=1,IF(HU84=1,LK84+LN84,DU84-PI84)*(1+Slot11_Rate),0)</f>
        <v>0</v>
      </c>
      <c r="SB84" s="20" t="n">
        <f aca="false">IF(AND(HU84=1,DT84=1),(LJ84+LN84)/F84,0)</f>
        <v>0</v>
      </c>
      <c r="SC84" s="20" t="n">
        <f aca="false">IF(B84=0,LJ84+LN84,0)</f>
        <v>0</v>
      </c>
      <c r="SD84" s="20" t="n">
        <f aca="false">IF(B84=0,IF(HU84=1,LL84,LM84),0)</f>
        <v>0</v>
      </c>
      <c r="SE84" s="20" t="n">
        <f aca="false">IF(ED84=1,IF(HU84=1,LS84+LV84,EE84-PG84)*(1+Slot12_Rate),0)</f>
        <v>0</v>
      </c>
      <c r="SF84" s="20" t="n">
        <f aca="false">IF(AND(HU84=1,ED84=1),(LR84+LV84)/F84,0)</f>
        <v>0</v>
      </c>
      <c r="SG84" s="20" t="n">
        <f aca="false">IF(B84=0,LR84+LV84,0)</f>
        <v>0</v>
      </c>
      <c r="SH84" s="20" t="n">
        <f aca="false">IF(B84=0,IF(HU84=1,LT84,LU84),0)</f>
        <v>0</v>
      </c>
      <c r="SI84" s="20" t="n">
        <f aca="false">IF(EN84=1,IF(HU84=1,MA84+MD84,EO84-PE84)*(1+Slot13_Rate),0)</f>
        <v>0</v>
      </c>
      <c r="SJ84" s="20" t="n">
        <f aca="false">IF(AND(HU84=1,EN84=1),(LZ84+MD84)/F84,0)</f>
        <v>0</v>
      </c>
      <c r="SK84" s="20" t="n">
        <f aca="false">IF(B84=0,LZ84+MD84,0)</f>
        <v>0</v>
      </c>
      <c r="SL84" s="20" t="n">
        <f aca="false">IF(B84=0,IF(HU84=1,MB84,MC84),0)</f>
        <v>0</v>
      </c>
      <c r="SM84" s="20" t="n">
        <f aca="false">IF(EX84=1,IF(HU84=1,MI84+ML84,EY84-PC84)*(1+Slot14_Rate),0)</f>
        <v>0</v>
      </c>
      <c r="SN84" s="20" t="n">
        <f aca="false">IF(AND(HU84=1,EX84=1),(MH84+ML84)/F84,0)</f>
        <v>0</v>
      </c>
      <c r="SO84" s="20" t="n">
        <f aca="false">IF(B84=0,MH84+ML84,0)</f>
        <v>0</v>
      </c>
      <c r="SP84" s="20" t="n">
        <f aca="false">IF(B84=0,IF(HU84=1,MJ84,MK84),0)</f>
        <v>0</v>
      </c>
      <c r="SQ84" s="20" t="n">
        <f aca="false">IF(FH84=1,IF(HU84=1,MQ84+MT84,FI84-PA84)*(1+Slot15_Rate),0)</f>
        <v>0</v>
      </c>
      <c r="SR84" s="20" t="n">
        <f aca="false">IF(AND(HU84=1,FH84=1),(MP84+MT84)/F84,0)</f>
        <v>0</v>
      </c>
      <c r="SS84" s="20" t="n">
        <f aca="false">IF(B84=0,MP84+MT84,0)</f>
        <v>0</v>
      </c>
      <c r="ST84" s="20" t="n">
        <f aca="false">IF(B84=0,IF(HU84=1,MR84,MS84),0)</f>
        <v>0</v>
      </c>
      <c r="SU84" s="20" t="n">
        <f aca="false">IF(FR84=1,IF(HU84=1,MY84+NB84,FS84-OY84)*(1+Slot16_Rate),0)</f>
        <v>0</v>
      </c>
      <c r="SV84" s="20" t="n">
        <f aca="false">IF(AND(HU84=1,FR84=1),(MX84+NB84)/F84,0)</f>
        <v>0</v>
      </c>
      <c r="SW84" s="20" t="n">
        <f aca="false">IF(B84=0,MX84+NB84,0)</f>
        <v>0</v>
      </c>
      <c r="SX84" s="20" t="n">
        <f aca="false">IF(B84=0,IF(HU84=1,MZ84,NA84),0)</f>
        <v>0</v>
      </c>
      <c r="SY84" s="20" t="n">
        <f aca="false">IF(GB84=1,IF(HU84=1,NG84+NJ84,GC84-OW84)*(1+Slot17_Rate),0)</f>
        <v>0</v>
      </c>
      <c r="SZ84" s="20" t="n">
        <f aca="false">IF(AND(HU84=1,GB84=1),(NF84+NJ84)/F84,0)</f>
        <v>0</v>
      </c>
      <c r="TA84" s="20" t="n">
        <f aca="false">IF(B84=0,NF84+NJ84,0)</f>
        <v>0</v>
      </c>
      <c r="TB84" s="20" t="n">
        <f aca="false">IF(B84=0,IF(HU84=1,NH84,NI84),0)</f>
        <v>0</v>
      </c>
      <c r="TC84" s="20" t="n">
        <f aca="false">IF(GL84=1,IF(HU84=1,NO84+NR84,GM84-OU84)*(1+Slot18_Rate),0)</f>
        <v>0</v>
      </c>
      <c r="TD84" s="20" t="n">
        <f aca="false">IF(AND(HU84=1,GL84=1),(NN84+NR84)/F84,0)</f>
        <v>0</v>
      </c>
      <c r="TE84" s="20" t="n">
        <f aca="false">IF(B84=0,NN84+NR84,0)</f>
        <v>0</v>
      </c>
      <c r="TF84" s="20" t="n">
        <f aca="false">IF(B84=0,IF(HU84=1,NP84,NQ84),0)</f>
        <v>0</v>
      </c>
      <c r="TG84" s="20" t="n">
        <f aca="false">IF(GV84=1,IF(HU84=1,NW84+NZ84,GW84-OS84)*(1+Slot19_Rate),0)</f>
        <v>0</v>
      </c>
      <c r="TH84" s="20" t="n">
        <f aca="false">IF(AND(HU84=1,GV84=1),(NV84+NZ84)/F84,0)</f>
        <v>0</v>
      </c>
      <c r="TI84" s="20" t="n">
        <f aca="false">IF(B84=0,NV84+NZ84,0)</f>
        <v>0</v>
      </c>
      <c r="TJ84" s="20" t="n">
        <f aca="false">IF(B84=0,IF(HU84=1,NX84,NY84),0)</f>
        <v>0</v>
      </c>
      <c r="TK84" s="20" t="n">
        <f aca="false">IF(HF84=1,IF(HU84=1,OE84+OH84,HG84-OQ84)*(1+Slot20_Rate),0)</f>
        <v>0</v>
      </c>
      <c r="TL84" s="20" t="n">
        <f aca="false">IF(AND(HU84=1,HF84=1),(OD84+OH84)/F84,0)</f>
        <v>0</v>
      </c>
      <c r="TM84" s="20" t="n">
        <f aca="false">IF(B84=0,OD84+OH84,0)</f>
        <v>0</v>
      </c>
      <c r="TN84" s="20" t="n">
        <f aca="false">IF(B84=0,IF(HU84=1,OF84,OG84),0)</f>
        <v>0</v>
      </c>
      <c r="TO84" s="20" t="n">
        <f aca="false">QK84+QL84+QM84+QQ84+QU84+QY84+RC84+RG84+RK84+RO84+RS84+RW84+SA84+SE84+SI84+SM84+SQ84+SU84+SY84+TC84+TG84+TK84</f>
        <v>0</v>
      </c>
      <c r="TP84" s="20" t="n">
        <f aca="false">QE84+HP84</f>
        <v>86774.8336030207</v>
      </c>
      <c r="TQ84" s="20" t="n">
        <f aca="false">I84+S84</f>
        <v>215298.473450205</v>
      </c>
      <c r="TR84" s="20" t="n">
        <f aca="false">1-G84</f>
        <v>1</v>
      </c>
      <c r="TS84" s="20" t="n">
        <f aca="false">IF(AND(RG_Exists=1,G84=0,C84=1),I84,0)</f>
        <v>0</v>
      </c>
      <c r="TT84" s="20" t="n">
        <f aca="false">IF(AND(RG_Exists=1,G84=0,C84=1),I84-MIN(QE84,I84),0)</f>
        <v>0</v>
      </c>
      <c r="TU84" s="20" t="n">
        <f aca="false">'Plan pay &amp; tax'!AD310</f>
        <v>0</v>
      </c>
      <c r="TV84" s="20" t="n">
        <f aca="false">IF(AND(C84=1,QE84&gt;MAX(PR_Short1,TQ84*PR_Short2)),1,0)</f>
        <v>0</v>
      </c>
      <c r="TW84" s="20" t="n">
        <f aca="false">MIN(H84,I84+S84)</f>
        <v>128523.639847184</v>
      </c>
      <c r="TX84" s="20" t="n">
        <f aca="false">QF84+MAX(0,HQ84-HP84)</f>
        <v>0</v>
      </c>
      <c r="TY84" s="20" t="n">
        <f aca="false">QE84+HP84</f>
        <v>86774.8336030207</v>
      </c>
      <c r="TZ84" s="20" t="n">
        <f aca="false">IF(AND(C84=1,TY84&gt;PR_MinShort),1,0)</f>
        <v>0</v>
      </c>
      <c r="UA84" s="20" t="n">
        <f aca="false">IF(AND(C84=1,TZ84=0,TX84&gt;PR_MinShort),1,0)</f>
        <v>0</v>
      </c>
      <c r="UB84" s="20" t="n">
        <f aca="false">IF(AND(C84=1,QE84&gt;PR_MinShort),1,0)</f>
        <v>0</v>
      </c>
      <c r="UC84" s="20" t="n">
        <f aca="false">IF(AND(C84=1,QF84&gt;1,UJ84=0),1,0)</f>
        <v>0</v>
      </c>
      <c r="UD84" s="20" t="str">
        <f aca="false">IF(C84=0,"",IF(UJ84=1,"Gap to plan for: short "&amp;"€"&amp;TEXT(ROUND(TP84,0),"#,##0"),IF(QF84&gt;1,"Using savings","Comfortable")))</f>
        <v/>
      </c>
      <c r="UE84" s="20" t="n">
        <f aca="false">IF(AND(INT(D84/10)*10=90,B84&gt;0),80,INT(D84/10)*10)</f>
        <v>110</v>
      </c>
      <c r="UF84" s="20" t="n">
        <f aca="false">IF(B84=0,1,IF(UE84&lt;&gt;UE83,UF83+1,UF83))</f>
        <v>8</v>
      </c>
      <c r="UG84" s="20" t="n">
        <f aca="false">IF(AND(C84=1,G84=1,QE84&gt;MAX(PR_Short1,TQ84*PR_Short2)),1,0)</f>
        <v>0</v>
      </c>
      <c r="UH84" s="20" t="n">
        <f aca="false">TR84*TV84</f>
        <v>0</v>
      </c>
      <c r="UI84" s="20" t="n">
        <f aca="false">IF(AND(V84=1,Slot1_PctLow=1),1,0)+IF(AND(AG84=1,Slot2_PctLow=1),1,0)+IF(AND(AQ84=1,Slot3_PctLow=1),1,0)+IF(AND(BA84=1,Slot4_PctLow=1),1,0)+IF(AND(BK84=1,Slot5_PctLow=1),1,0)+IF(AND(BU84=1,Slot6_PctLow=1),1,0)+IF(AND(CE84=1,Slot7_PctLow=1),1,0)+IF(AND(CO84=1,Slot8_PctLow=1),1,0)+IF(AND(CY84=1,Slot9_PctLow=1),1,0)+IF(AND(DI84=1,Slot10_PctLow=1),1,0)+IF(AND(DS84=1,Slot11_PctLow=1),1,0)+IF(AND(EC84=1,Slot12_PctLow=1),1,0)+IF(AND(EM84=1,Slot13_PctLow=1),1,0)+IF(AND(EW84=1,Slot14_PctLow=1),1,0)+IF(AND(FG84=1,Slot15_PctLow=1),1,0)+IF(AND(FQ84=1,Slot16_PctLow=1),1,0)+IF(AND(GA84=1,Slot17_PctLow=1),1,0)+IF(AND(GK84=1,Slot18_PctLow=1),1,0)+IF(AND(GU84=1,Slot19_PctLow=1),1,0)+IF(AND(HE84=1,Slot20_PctLow=1),1,0)</f>
        <v>0</v>
      </c>
      <c r="UJ84" s="20" t="n">
        <f aca="false">IF(C84=1,IF(OR(TV84=1,UI84&gt;0),1,0),0)</f>
        <v>0</v>
      </c>
      <c r="UK84" s="20" t="n">
        <f aca="false">Z84+AK84+AU84+BE84+BO84+BY84+CI84+CS84+DC84+DM84+DW84+EG84+EQ84+FA84+FK84+FU84+GE84+GO84+GY84+HI84+OM84</f>
        <v>0</v>
      </c>
      <c r="UL84" s="20" t="n">
        <f aca="false">V84*IF(Slot1_SpendLike=1,X84-Y84,IF(Slot1_PotFree=1,X84,0))+AG84*IF(Slot2_SpendLike=1,AI84-AJ84,IF(Slot2_PotFree=1,AI84,0))+AQ84*IF(Slot3_SpendLike=1,AS84-AT84,IF(Slot3_PotFree=1,AS84,0))+BA84*IF(Slot4_SpendLike=1,BC84-BD84,IF(Slot4_PotFree=1,BC84,0))+BK84*IF(Slot5_SpendLike=1,BM84-BN84,IF(Slot5_PotFree=1,BM84,0))+BU84*IF(Slot6_SpendLike=1,BW84-BX84,IF(Slot6_PotFree=1,BW84,0))+CE84*IF(Slot7_SpendLike=1,CG84-CH84,IF(Slot7_PotFree=1,CG84,0))+CO84*IF(Slot8_SpendLike=1,CQ84-CR84,IF(Slot8_PotFree=1,CQ84,0))+CY84*IF(Slot9_SpendLike=1,DA84-DB84,IF(Slot9_PotFree=1,DA84,0))+DI84*IF(Slot10_SpendLike=1,DK84-DL84,IF(Slot10_PotFree=1,DK84,0))+DS84*IF(Slot11_SpendLike=1,DU84-DV84,IF(Slot11_PotFree=1,DU84,0))+EC84*IF(Slot12_SpendLike=1,EE84-EF84,IF(Slot12_PotFree=1,EE84,0))+EM84*IF(Slot13_SpendLike=1,EO84-EP84,IF(Slot13_PotFree=1,EO84,0))+EW84*IF(Slot14_SpendLike=1,EY84-EZ84,IF(Slot14_PotFree=1,EY84,0))+FG84*IF(Slot15_SpendLike=1,FI84-FJ84,IF(Slot15_PotFree=1,FI84,0))+FQ84*IF(Slot16_SpendLike=1,FS84-FT84,IF(Slot16_PotFree=1,FS84,0))+GA84*IF(Slot17_SpendLike=1,GC84-GD84,IF(Slot17_PotFree=1,GC84,0))+GK84*IF(Slot18_SpendLike=1,GM84-GN84,IF(Slot18_PotFree=1,GM84,0))+GU84*IF(Slot19_SpendLike=1,GW84-GX84,IF(Slot19_PotFree=1,GW84,0))+HE84*IF(Slot20_SpendLike=1,HG84-HH84,IF(Slot20_PotFree=1,HG84,0))</f>
        <v>0</v>
      </c>
      <c r="UM84" s="20" t="n">
        <f aca="false">QG84-T84+UK84-UL84</f>
        <v>0</v>
      </c>
      <c r="UN84" s="20" t="n">
        <f aca="false">IF(OR(UN83=1,AND(In_homeUse="Yes, I'd downsize",In_downAge&gt;0,D84=In_downAge,OR(In_home="Own outright",In_home="Own with mortgage"),In_homeValue&gt;0)),1,0)</f>
        <v>0</v>
      </c>
    </row>
    <row r="85" customFormat="false" ht="15" hidden="false" customHeight="true" outlineLevel="0" collapsed="false">
      <c r="B85" s="20" t="n">
        <v>77</v>
      </c>
      <c r="C85" s="20" t="n">
        <f aca="false">IF(B85&lt;=F_N,1,0)</f>
        <v>0</v>
      </c>
      <c r="D85" s="20" t="n">
        <f aca="false">'Plan pay &amp; tax'!C311</f>
        <v>115</v>
      </c>
      <c r="E85" s="20" t="str">
        <f aca="false">IF($C85=1,"Income tax "&amp;TEXT(N('Plan pay &amp; tax'!BK311),"#,##0")&amp;"; USC "&amp;TEXT(N('Plan pay &amp; tax'!BM311)+N('Plan pay &amp; tax'!BO311),"#,##0")&amp;"; PRSI "&amp;TEXT(N('Plan pay &amp; tax'!BP311)+N('Plan pay &amp; tax'!BQ311),"#,##0")&amp;IF(N('Plan holdings'!BO85)&gt;=0.5,"; DIRT "&amp;TEXT(('Plan holdings'!BO85)/$F85,"#,##0")&amp;" (already taken from the interest earned)","")&amp;IF(N('Plan holdings'!BP85)&gt;=0.5,"; exit tax at an 8-year anniversary "&amp;TEXT(('Plan holdings'!BP85)/$F85,"#,##0"),"")&amp;IF(N('Plan holdings'!BN85)&gt;=0.5,"; tax on assets sold (exit tax or capital gains tax) "&amp;TEXT(('Plan holdings'!BN85)/$F85,"#,##0"),"")&amp;IF(N('Plan pay &amp; tax'!X311)-N('Plan pay &amp; tax'!Y311)&gt;=0.5,"; tax on the pension lump sum "&amp;TEXT(('Plan pay &amp; tax'!X311-'Plan pay &amp; tax'!Y311)/$F85,"#,##0"),"")&amp;IF(N('Plan pay &amp; tax'!V311)&gt;=0.5,"; chargeable excess tax on the pension "&amp;TEXT(('Plan pay &amp; tax'!V311)/$F85,"#,##0"),"")&amp;".","")</f>
        <v/>
      </c>
      <c r="F85" s="50" t="n">
        <f aca="false">'Plan pay &amp; tax'!E311</f>
        <v>4.59423520751483</v>
      </c>
      <c r="G85" s="20" t="n">
        <f aca="false">'Plan pay &amp; tax'!G311</f>
        <v>0</v>
      </c>
      <c r="H85" s="20" t="n">
        <f aca="false">'Plan pay &amp; tax'!BT311-'Plan pay &amp; tax'!BS311-'Plan pay &amp; tax'!R311</f>
        <v>131094.112644128</v>
      </c>
      <c r="I85" s="20" t="n">
        <f aca="false">IF(G85=1,F_CostsM*12,IF(RG_Exists=1,RG_Amount,F_CostsM*12*AS_RetireSpend))*F85+F_OneOffY*F85</f>
        <v>219604.442919209</v>
      </c>
      <c r="J85" s="20" t="n">
        <f aca="false">IF(UN85=1,0,HR84)</f>
        <v>0</v>
      </c>
      <c r="K85" s="20" t="n">
        <f aca="false">IF(J85&gt;1,'Plan debt months'!AC85,0)</f>
        <v>0</v>
      </c>
      <c r="L85" s="20" t="n">
        <f aca="false">IF(J85&gt;1,'Plan debt months'!AB85,J85)</f>
        <v>0</v>
      </c>
      <c r="M85" s="20" t="n">
        <f aca="false">O84</f>
        <v>0</v>
      </c>
      <c r="N85" s="20" t="n">
        <f aca="false">IF(M85&gt;1,'Plan debt months'!BD85,0)</f>
        <v>0</v>
      </c>
      <c r="O85" s="20" t="n">
        <f aca="false">IF(M85&gt;1,'Plan debt months'!BC85,M85)</f>
        <v>0</v>
      </c>
      <c r="P85" s="20" t="n">
        <f aca="false">R84</f>
        <v>0</v>
      </c>
      <c r="Q85" s="20" t="n">
        <f aca="false">IF(P85&gt;1,'Plan debt months'!CE85,0)</f>
        <v>0</v>
      </c>
      <c r="R85" s="20" t="n">
        <f aca="false">IF(P85&gt;1,'Plan debt months'!CD85,P85)</f>
        <v>0</v>
      </c>
      <c r="S85" s="20" t="n">
        <f aca="false">K85+N85+Q85</f>
        <v>0</v>
      </c>
      <c r="T85" s="57" t="n">
        <f aca="false">'Plan holdings'!Y85</f>
        <v>0</v>
      </c>
      <c r="U85" s="57" t="n">
        <f aca="false">'Plan holdings'!BM84</f>
        <v>0</v>
      </c>
      <c r="V85" s="20" t="n">
        <f aca="false">IF(AND(Slot1_On=1,D85=Slot1_Age),1,0)</f>
        <v>0</v>
      </c>
      <c r="W85" s="20" t="n">
        <f aca="false">IF(AND(Slot1_On=1,Slot1_Age&gt;D85),1,0)</f>
        <v>0</v>
      </c>
      <c r="X85" s="20" t="n">
        <f aca="false">QM84</f>
        <v>0</v>
      </c>
      <c r="Y85" s="20" t="n">
        <f aca="false">V85*MIN(Slot1_Cost,X85)</f>
        <v>0</v>
      </c>
      <c r="Z85" s="20" t="n">
        <f aca="false">V85*Slot1_SpendLike*MIN(Slot1_Cost-Y85,T85)</f>
        <v>0</v>
      </c>
      <c r="AA85" s="20" t="n">
        <f aca="false">Y85+Z85</f>
        <v>0</v>
      </c>
      <c r="AB85" s="20" t="n">
        <f aca="false">T85-Z85+V85*IF(Slot1_SpendLike=1,X85-Y85,IF(Slot1_PotFree=1,X85,0))</f>
        <v>0</v>
      </c>
      <c r="AC85" s="20" t="n">
        <f aca="false">AF85+V85*Slot1_BufPot*X85</f>
        <v>0</v>
      </c>
      <c r="AD85" s="20" t="n">
        <f aca="false">IF(AND(V85=1,Slot1_IsMfree=1),IF(AA85&gt;=Slot1_Cost-1,0,MAX(0,L85-AA85)),L85)</f>
        <v>0</v>
      </c>
      <c r="AE85" s="20" t="n">
        <f aca="false">V85*(Slot1_Cost-AA85)</f>
        <v>0</v>
      </c>
      <c r="AF85" s="20" t="n">
        <f aca="false">QL84</f>
        <v>0</v>
      </c>
      <c r="AG85" s="20" t="n">
        <f aca="false">IF(AND(Slot2_On=1,D85=Slot2_Age),1,0)</f>
        <v>0</v>
      </c>
      <c r="AH85" s="20" t="n">
        <f aca="false">IF(AND(Slot2_On=1,Slot2_Age&gt;D85),1,0)</f>
        <v>0</v>
      </c>
      <c r="AI85" s="20" t="n">
        <f aca="false">QQ84</f>
        <v>0</v>
      </c>
      <c r="AJ85" s="20" t="n">
        <f aca="false">AG85*MIN(Slot2_Cost,AI85)</f>
        <v>0</v>
      </c>
      <c r="AK85" s="20" t="n">
        <f aca="false">AG85*Slot2_SpendLike*MIN(Slot2_Cost-AJ85,AB85)</f>
        <v>0</v>
      </c>
      <c r="AL85" s="20" t="n">
        <f aca="false">AJ85+AK85</f>
        <v>0</v>
      </c>
      <c r="AM85" s="20" t="n">
        <f aca="false">AB85-AK85+AG85*IF(Slot2_SpendLike=1,AI85-AJ85,IF(Slot2_PotFree=1,AI85,0))</f>
        <v>0</v>
      </c>
      <c r="AN85" s="20" t="n">
        <f aca="false">AC85+AG85*Slot2_BufPot*AI85</f>
        <v>0</v>
      </c>
      <c r="AO85" s="20" t="n">
        <f aca="false">IF(AND(AG85=1,Slot2_IsMfree=1),IF(AL85&gt;=Slot2_Cost-1,0,MAX(0,AD85-AL85)),AD85)</f>
        <v>0</v>
      </c>
      <c r="AP85" s="20" t="n">
        <f aca="false">AG85*(Slot2_Cost-AL85)</f>
        <v>0</v>
      </c>
      <c r="AQ85" s="20" t="n">
        <f aca="false">IF(AND(Slot3_On=1,D85=Slot3_Age),1,0)</f>
        <v>0</v>
      </c>
      <c r="AR85" s="20" t="n">
        <f aca="false">IF(AND(Slot3_On=1,Slot3_Age&gt;D85),1,0)</f>
        <v>0</v>
      </c>
      <c r="AS85" s="20" t="n">
        <f aca="false">QU84</f>
        <v>0</v>
      </c>
      <c r="AT85" s="20" t="n">
        <f aca="false">AQ85*MIN(Slot3_Cost,AS85)</f>
        <v>0</v>
      </c>
      <c r="AU85" s="20" t="n">
        <f aca="false">AQ85*Slot3_SpendLike*MIN(Slot3_Cost-AT85,AM85)</f>
        <v>0</v>
      </c>
      <c r="AV85" s="20" t="n">
        <f aca="false">AT85+AU85</f>
        <v>0</v>
      </c>
      <c r="AW85" s="20" t="n">
        <f aca="false">AM85-AU85+AQ85*IF(Slot3_SpendLike=1,AS85-AT85,IF(Slot3_PotFree=1,AS85,0))</f>
        <v>0</v>
      </c>
      <c r="AX85" s="20" t="n">
        <f aca="false">AN85+AQ85*Slot3_BufPot*AS85</f>
        <v>0</v>
      </c>
      <c r="AY85" s="20" t="n">
        <f aca="false">IF(AND(AQ85=1,Slot3_IsMfree=1),IF(AV85&gt;=Slot3_Cost-1,0,MAX(0,AO85-AV85)),AO85)</f>
        <v>0</v>
      </c>
      <c r="AZ85" s="20" t="n">
        <f aca="false">AQ85*(Slot3_Cost-AV85)</f>
        <v>0</v>
      </c>
      <c r="BA85" s="20" t="n">
        <f aca="false">IF(AND(Slot4_On=1,D85=Slot4_Age),1,0)</f>
        <v>0</v>
      </c>
      <c r="BB85" s="20" t="n">
        <f aca="false">IF(AND(Slot4_On=1,Slot4_Age&gt;D85),1,0)</f>
        <v>0</v>
      </c>
      <c r="BC85" s="20" t="n">
        <f aca="false">QY84</f>
        <v>0</v>
      </c>
      <c r="BD85" s="20" t="n">
        <f aca="false">BA85*MIN(Slot4_Cost,BC85)</f>
        <v>0</v>
      </c>
      <c r="BE85" s="20" t="n">
        <f aca="false">BA85*Slot4_SpendLike*MIN(Slot4_Cost-BD85,AW85)</f>
        <v>0</v>
      </c>
      <c r="BF85" s="20" t="n">
        <f aca="false">BD85+BE85</f>
        <v>0</v>
      </c>
      <c r="BG85" s="20" t="n">
        <f aca="false">AW85-BE85+BA85*IF(Slot4_SpendLike=1,BC85-BD85,IF(Slot4_PotFree=1,BC85,0))</f>
        <v>0</v>
      </c>
      <c r="BH85" s="20" t="n">
        <f aca="false">AX85+BA85*Slot4_BufPot*BC85</f>
        <v>0</v>
      </c>
      <c r="BI85" s="20" t="n">
        <f aca="false">IF(AND(BA85=1,Slot4_IsMfree=1),IF(BF85&gt;=Slot4_Cost-1,0,MAX(0,AY85-BF85)),AY85)</f>
        <v>0</v>
      </c>
      <c r="BJ85" s="20" t="n">
        <f aca="false">BA85*(Slot4_Cost-BF85)</f>
        <v>0</v>
      </c>
      <c r="BK85" s="20" t="n">
        <f aca="false">IF(AND(Slot5_On=1,D85=Slot5_Age),1,0)</f>
        <v>0</v>
      </c>
      <c r="BL85" s="20" t="n">
        <f aca="false">IF(AND(Slot5_On=1,Slot5_Age&gt;D85),1,0)</f>
        <v>0</v>
      </c>
      <c r="BM85" s="20" t="n">
        <f aca="false">RC84</f>
        <v>0</v>
      </c>
      <c r="BN85" s="20" t="n">
        <f aca="false">BK85*MIN(Slot5_Cost,BM85)</f>
        <v>0</v>
      </c>
      <c r="BO85" s="20" t="n">
        <f aca="false">BK85*Slot5_SpendLike*MIN(Slot5_Cost-BN85,BG85)</f>
        <v>0</v>
      </c>
      <c r="BP85" s="20" t="n">
        <f aca="false">BN85+BO85</f>
        <v>0</v>
      </c>
      <c r="BQ85" s="20" t="n">
        <f aca="false">BG85-BO85+BK85*IF(Slot5_SpendLike=1,BM85-BN85,IF(Slot5_PotFree=1,BM85,0))</f>
        <v>0</v>
      </c>
      <c r="BR85" s="20" t="n">
        <f aca="false">BH85+BK85*Slot5_BufPot*BM85</f>
        <v>0</v>
      </c>
      <c r="BS85" s="20" t="n">
        <f aca="false">IF(AND(BK85=1,Slot5_IsMfree=1),IF(BP85&gt;=Slot5_Cost-1,0,MAX(0,BI85-BP85)),BI85)</f>
        <v>0</v>
      </c>
      <c r="BT85" s="20" t="n">
        <f aca="false">BK85*(Slot5_Cost-BP85)</f>
        <v>0</v>
      </c>
      <c r="BU85" s="20" t="n">
        <f aca="false">IF(AND(Slot6_On=1,D85=Slot6_Age),1,0)</f>
        <v>0</v>
      </c>
      <c r="BV85" s="20" t="n">
        <f aca="false">IF(AND(Slot6_On=1,Slot6_Age&gt;D85),1,0)</f>
        <v>0</v>
      </c>
      <c r="BW85" s="20" t="n">
        <f aca="false">RG84</f>
        <v>0</v>
      </c>
      <c r="BX85" s="20" t="n">
        <f aca="false">BU85*MIN(Slot6_Cost,BW85)</f>
        <v>0</v>
      </c>
      <c r="BY85" s="20" t="n">
        <f aca="false">BU85*Slot6_SpendLike*MIN(Slot6_Cost-BX85,BQ85)</f>
        <v>0</v>
      </c>
      <c r="BZ85" s="20" t="n">
        <f aca="false">BX85+BY85</f>
        <v>0</v>
      </c>
      <c r="CA85" s="20" t="n">
        <f aca="false">BQ85-BY85+BU85*IF(Slot6_SpendLike=1,BW85-BX85,IF(Slot6_PotFree=1,BW85,0))</f>
        <v>0</v>
      </c>
      <c r="CB85" s="20" t="n">
        <f aca="false">BR85+BU85*Slot6_BufPot*BW85</f>
        <v>0</v>
      </c>
      <c r="CC85" s="20" t="n">
        <f aca="false">IF(AND(BU85=1,Slot6_IsMfree=1),IF(BZ85&gt;=Slot6_Cost-1,0,MAX(0,BS85-BZ85)),BS85)</f>
        <v>0</v>
      </c>
      <c r="CD85" s="20" t="n">
        <f aca="false">BU85*(Slot6_Cost-BZ85)</f>
        <v>0</v>
      </c>
      <c r="CE85" s="20" t="n">
        <f aca="false">IF(AND(Slot7_On=1,D85=Slot7_Age),1,0)</f>
        <v>0</v>
      </c>
      <c r="CF85" s="20" t="n">
        <f aca="false">IF(AND(Slot7_On=1,Slot7_Age&gt;D85),1,0)</f>
        <v>0</v>
      </c>
      <c r="CG85" s="20" t="n">
        <f aca="false">RK84</f>
        <v>0</v>
      </c>
      <c r="CH85" s="20" t="n">
        <f aca="false">CE85*MIN(Slot7_Cost,CG85)</f>
        <v>0</v>
      </c>
      <c r="CI85" s="20" t="n">
        <f aca="false">CE85*Slot7_SpendLike*MIN(Slot7_Cost-CH85,CA85)</f>
        <v>0</v>
      </c>
      <c r="CJ85" s="20" t="n">
        <f aca="false">CH85+CI85</f>
        <v>0</v>
      </c>
      <c r="CK85" s="20" t="n">
        <f aca="false">CA85-CI85+CE85*IF(Slot7_SpendLike=1,CG85-CH85,IF(Slot7_PotFree=1,CG85,0))</f>
        <v>0</v>
      </c>
      <c r="CL85" s="20" t="n">
        <f aca="false">CB85+CE85*Slot7_BufPot*CG85</f>
        <v>0</v>
      </c>
      <c r="CM85" s="20" t="n">
        <f aca="false">IF(AND(CE85=1,Slot7_IsMfree=1),IF(CJ85&gt;=Slot7_Cost-1,0,MAX(0,CC85-CJ85)),CC85)</f>
        <v>0</v>
      </c>
      <c r="CN85" s="20" t="n">
        <f aca="false">CE85*(Slot7_Cost-CJ85)</f>
        <v>0</v>
      </c>
      <c r="CO85" s="20" t="n">
        <f aca="false">IF(AND(Slot8_On=1,D85=Slot8_Age),1,0)</f>
        <v>0</v>
      </c>
      <c r="CP85" s="20" t="n">
        <f aca="false">IF(AND(Slot8_On=1,Slot8_Age&gt;D85),1,0)</f>
        <v>0</v>
      </c>
      <c r="CQ85" s="20" t="n">
        <f aca="false">RO84</f>
        <v>0</v>
      </c>
      <c r="CR85" s="20" t="n">
        <f aca="false">CO85*MIN(Slot8_Cost,CQ85)</f>
        <v>0</v>
      </c>
      <c r="CS85" s="20" t="n">
        <f aca="false">CO85*Slot8_SpendLike*MIN(Slot8_Cost-CR85,CK85)</f>
        <v>0</v>
      </c>
      <c r="CT85" s="20" t="n">
        <f aca="false">CR85+CS85</f>
        <v>0</v>
      </c>
      <c r="CU85" s="20" t="n">
        <f aca="false">CK85-CS85+CO85*IF(Slot8_SpendLike=1,CQ85-CR85,IF(Slot8_PotFree=1,CQ85,0))</f>
        <v>0</v>
      </c>
      <c r="CV85" s="20" t="n">
        <f aca="false">CL85+CO85*Slot8_BufPot*CQ85</f>
        <v>0</v>
      </c>
      <c r="CW85" s="20" t="n">
        <f aca="false">IF(AND(CO85=1,Slot8_IsMfree=1),IF(CT85&gt;=Slot8_Cost-1,0,MAX(0,CM85-CT85)),CM85)</f>
        <v>0</v>
      </c>
      <c r="CX85" s="20" t="n">
        <f aca="false">CO85*(Slot8_Cost-CT85)</f>
        <v>0</v>
      </c>
      <c r="CY85" s="20" t="n">
        <f aca="false">IF(AND(Slot9_On=1,D85=Slot9_Age),1,0)</f>
        <v>0</v>
      </c>
      <c r="CZ85" s="20" t="n">
        <f aca="false">IF(AND(Slot9_On=1,Slot9_Age&gt;D85),1,0)</f>
        <v>0</v>
      </c>
      <c r="DA85" s="20" t="n">
        <f aca="false">RS84</f>
        <v>0</v>
      </c>
      <c r="DB85" s="20" t="n">
        <f aca="false">CY85*MIN(Slot9_Cost,DA85)</f>
        <v>0</v>
      </c>
      <c r="DC85" s="20" t="n">
        <f aca="false">CY85*Slot9_SpendLike*MIN(Slot9_Cost-DB85,CU85)</f>
        <v>0</v>
      </c>
      <c r="DD85" s="20" t="n">
        <f aca="false">DB85+DC85</f>
        <v>0</v>
      </c>
      <c r="DE85" s="20" t="n">
        <f aca="false">CU85-DC85+CY85*IF(Slot9_SpendLike=1,DA85-DB85,IF(Slot9_PotFree=1,DA85,0))</f>
        <v>0</v>
      </c>
      <c r="DF85" s="20" t="n">
        <f aca="false">CV85+CY85*Slot9_BufPot*DA85</f>
        <v>0</v>
      </c>
      <c r="DG85" s="20" t="n">
        <f aca="false">IF(AND(CY85=1,Slot9_IsMfree=1),IF(DD85&gt;=Slot9_Cost-1,0,MAX(0,CW85-DD85)),CW85)</f>
        <v>0</v>
      </c>
      <c r="DH85" s="20" t="n">
        <f aca="false">CY85*(Slot9_Cost-DD85)</f>
        <v>0</v>
      </c>
      <c r="DI85" s="20" t="n">
        <f aca="false">IF(AND(Slot10_On=1,D85=Slot10_Age),1,0)</f>
        <v>0</v>
      </c>
      <c r="DJ85" s="20" t="n">
        <f aca="false">IF(AND(Slot10_On=1,Slot10_Age&gt;D85),1,0)</f>
        <v>0</v>
      </c>
      <c r="DK85" s="20" t="n">
        <f aca="false">RW84</f>
        <v>0</v>
      </c>
      <c r="DL85" s="20" t="n">
        <f aca="false">DI85*MIN(Slot10_Cost,DK85)</f>
        <v>0</v>
      </c>
      <c r="DM85" s="20" t="n">
        <f aca="false">DI85*Slot10_SpendLike*MIN(Slot10_Cost-DL85,DE85)</f>
        <v>0</v>
      </c>
      <c r="DN85" s="20" t="n">
        <f aca="false">DL85+DM85</f>
        <v>0</v>
      </c>
      <c r="DO85" s="20" t="n">
        <f aca="false">DE85-DM85+DI85*IF(Slot10_SpendLike=1,DK85-DL85,IF(Slot10_PotFree=1,DK85,0))</f>
        <v>0</v>
      </c>
      <c r="DP85" s="20" t="n">
        <f aca="false">DF85+DI85*Slot10_BufPot*DK85</f>
        <v>0</v>
      </c>
      <c r="DQ85" s="20" t="n">
        <f aca="false">IF(AND(DI85=1,Slot10_IsMfree=1),IF(DN85&gt;=Slot10_Cost-1,0,MAX(0,DG85-DN85)),DG85)</f>
        <v>0</v>
      </c>
      <c r="DR85" s="20" t="n">
        <f aca="false">DI85*(Slot10_Cost-DN85)</f>
        <v>0</v>
      </c>
      <c r="DS85" s="20" t="n">
        <f aca="false">IF(AND(Slot11_On=1,D85=Slot11_Age),1,0)</f>
        <v>0</v>
      </c>
      <c r="DT85" s="20" t="n">
        <f aca="false">IF(AND(Slot11_On=1,Slot11_Age&gt;D85),1,0)</f>
        <v>0</v>
      </c>
      <c r="DU85" s="20" t="n">
        <f aca="false">SA84</f>
        <v>0</v>
      </c>
      <c r="DV85" s="20" t="n">
        <f aca="false">DS85*MIN(Slot11_Cost,DU85)</f>
        <v>0</v>
      </c>
      <c r="DW85" s="20" t="n">
        <f aca="false">DS85*Slot11_SpendLike*MIN(Slot11_Cost-DV85,DO85)</f>
        <v>0</v>
      </c>
      <c r="DX85" s="20" t="n">
        <f aca="false">DV85+DW85</f>
        <v>0</v>
      </c>
      <c r="DY85" s="20" t="n">
        <f aca="false">DO85-DW85+DS85*IF(Slot11_SpendLike=1,DU85-DV85,IF(Slot11_PotFree=1,DU85,0))</f>
        <v>0</v>
      </c>
      <c r="DZ85" s="20" t="n">
        <f aca="false">DP85+DS85*Slot11_BufPot*DU85</f>
        <v>0</v>
      </c>
      <c r="EA85" s="20" t="n">
        <f aca="false">IF(AND(DS85=1,Slot11_IsMfree=1),IF(DX85&gt;=Slot11_Cost-1,0,MAX(0,DQ85-DX85)),DQ85)</f>
        <v>0</v>
      </c>
      <c r="EB85" s="20" t="n">
        <f aca="false">DS85*(Slot11_Cost-DX85)</f>
        <v>0</v>
      </c>
      <c r="EC85" s="20" t="n">
        <f aca="false">IF(AND(Slot12_On=1,D85=Slot12_Age),1,0)</f>
        <v>0</v>
      </c>
      <c r="ED85" s="20" t="n">
        <f aca="false">IF(AND(Slot12_On=1,Slot12_Age&gt;D85),1,0)</f>
        <v>0</v>
      </c>
      <c r="EE85" s="20" t="n">
        <f aca="false">SE84</f>
        <v>0</v>
      </c>
      <c r="EF85" s="20" t="n">
        <f aca="false">EC85*MIN(Slot12_Cost,EE85)</f>
        <v>0</v>
      </c>
      <c r="EG85" s="20" t="n">
        <f aca="false">EC85*Slot12_SpendLike*MIN(Slot12_Cost-EF85,DY85)</f>
        <v>0</v>
      </c>
      <c r="EH85" s="20" t="n">
        <f aca="false">EF85+EG85</f>
        <v>0</v>
      </c>
      <c r="EI85" s="20" t="n">
        <f aca="false">DY85-EG85+EC85*IF(Slot12_SpendLike=1,EE85-EF85,IF(Slot12_PotFree=1,EE85,0))</f>
        <v>0</v>
      </c>
      <c r="EJ85" s="20" t="n">
        <f aca="false">DZ85+EC85*Slot12_BufPot*EE85</f>
        <v>0</v>
      </c>
      <c r="EK85" s="20" t="n">
        <f aca="false">IF(AND(EC85=1,Slot12_IsMfree=1),IF(EH85&gt;=Slot12_Cost-1,0,MAX(0,EA85-EH85)),EA85)</f>
        <v>0</v>
      </c>
      <c r="EL85" s="20" t="n">
        <f aca="false">EC85*(Slot12_Cost-EH85)</f>
        <v>0</v>
      </c>
      <c r="EM85" s="20" t="n">
        <f aca="false">IF(AND(Slot13_On=1,D85=Slot13_Age),1,0)</f>
        <v>0</v>
      </c>
      <c r="EN85" s="20" t="n">
        <f aca="false">IF(AND(Slot13_On=1,Slot13_Age&gt;D85),1,0)</f>
        <v>0</v>
      </c>
      <c r="EO85" s="20" t="n">
        <f aca="false">SI84</f>
        <v>0</v>
      </c>
      <c r="EP85" s="20" t="n">
        <f aca="false">EM85*MIN(Slot13_Cost,EO85)</f>
        <v>0</v>
      </c>
      <c r="EQ85" s="20" t="n">
        <f aca="false">EM85*Slot13_SpendLike*MIN(Slot13_Cost-EP85,EI85)</f>
        <v>0</v>
      </c>
      <c r="ER85" s="20" t="n">
        <f aca="false">EP85+EQ85</f>
        <v>0</v>
      </c>
      <c r="ES85" s="20" t="n">
        <f aca="false">EI85-EQ85+EM85*IF(Slot13_SpendLike=1,EO85-EP85,IF(Slot13_PotFree=1,EO85,0))</f>
        <v>0</v>
      </c>
      <c r="ET85" s="20" t="n">
        <f aca="false">EJ85+EM85*Slot13_BufPot*EO85</f>
        <v>0</v>
      </c>
      <c r="EU85" s="20" t="n">
        <f aca="false">IF(AND(EM85=1,Slot13_IsMfree=1),IF(ER85&gt;=Slot13_Cost-1,0,MAX(0,EK85-ER85)),EK85)</f>
        <v>0</v>
      </c>
      <c r="EV85" s="20" t="n">
        <f aca="false">EM85*(Slot13_Cost-ER85)</f>
        <v>0</v>
      </c>
      <c r="EW85" s="20" t="n">
        <f aca="false">IF(AND(Slot14_On=1,D85=Slot14_Age),1,0)</f>
        <v>0</v>
      </c>
      <c r="EX85" s="20" t="n">
        <f aca="false">IF(AND(Slot14_On=1,Slot14_Age&gt;D85),1,0)</f>
        <v>0</v>
      </c>
      <c r="EY85" s="20" t="n">
        <f aca="false">SM84</f>
        <v>0</v>
      </c>
      <c r="EZ85" s="20" t="n">
        <f aca="false">EW85*MIN(Slot14_Cost,EY85)</f>
        <v>0</v>
      </c>
      <c r="FA85" s="20" t="n">
        <f aca="false">EW85*Slot14_SpendLike*MIN(Slot14_Cost-EZ85,ES85)</f>
        <v>0</v>
      </c>
      <c r="FB85" s="20" t="n">
        <f aca="false">EZ85+FA85</f>
        <v>0</v>
      </c>
      <c r="FC85" s="20" t="n">
        <f aca="false">ES85-FA85+EW85*IF(Slot14_SpendLike=1,EY85-EZ85,IF(Slot14_PotFree=1,EY85,0))</f>
        <v>0</v>
      </c>
      <c r="FD85" s="20" t="n">
        <f aca="false">ET85+EW85*Slot14_BufPot*EY85</f>
        <v>0</v>
      </c>
      <c r="FE85" s="20" t="n">
        <f aca="false">IF(AND(EW85=1,Slot14_IsMfree=1),IF(FB85&gt;=Slot14_Cost-1,0,MAX(0,EU85-FB85)),EU85)</f>
        <v>0</v>
      </c>
      <c r="FF85" s="20" t="n">
        <f aca="false">EW85*(Slot14_Cost-FB85)</f>
        <v>0</v>
      </c>
      <c r="FG85" s="20" t="n">
        <f aca="false">IF(AND(Slot15_On=1,D85=Slot15_Age),1,0)</f>
        <v>0</v>
      </c>
      <c r="FH85" s="20" t="n">
        <f aca="false">IF(AND(Slot15_On=1,Slot15_Age&gt;D85),1,0)</f>
        <v>0</v>
      </c>
      <c r="FI85" s="20" t="n">
        <f aca="false">SQ84</f>
        <v>0</v>
      </c>
      <c r="FJ85" s="20" t="n">
        <f aca="false">FG85*MIN(Slot15_Cost,FI85)</f>
        <v>0</v>
      </c>
      <c r="FK85" s="20" t="n">
        <f aca="false">FG85*Slot15_SpendLike*MIN(Slot15_Cost-FJ85,FC85)</f>
        <v>0</v>
      </c>
      <c r="FL85" s="20" t="n">
        <f aca="false">FJ85+FK85</f>
        <v>0</v>
      </c>
      <c r="FM85" s="20" t="n">
        <f aca="false">FC85-FK85+FG85*IF(Slot15_SpendLike=1,FI85-FJ85,IF(Slot15_PotFree=1,FI85,0))</f>
        <v>0</v>
      </c>
      <c r="FN85" s="20" t="n">
        <f aca="false">FD85+FG85*Slot15_BufPot*FI85</f>
        <v>0</v>
      </c>
      <c r="FO85" s="20" t="n">
        <f aca="false">IF(AND(FG85=1,Slot15_IsMfree=1),IF(FL85&gt;=Slot15_Cost-1,0,MAX(0,FE85-FL85)),FE85)</f>
        <v>0</v>
      </c>
      <c r="FP85" s="20" t="n">
        <f aca="false">FG85*(Slot15_Cost-FL85)</f>
        <v>0</v>
      </c>
      <c r="FQ85" s="20" t="n">
        <f aca="false">IF(AND(Slot16_On=1,D85=Slot16_Age),1,0)</f>
        <v>0</v>
      </c>
      <c r="FR85" s="20" t="n">
        <f aca="false">IF(AND(Slot16_On=1,Slot16_Age&gt;D85),1,0)</f>
        <v>0</v>
      </c>
      <c r="FS85" s="20" t="n">
        <f aca="false">SU84</f>
        <v>0</v>
      </c>
      <c r="FT85" s="20" t="n">
        <f aca="false">FQ85*MIN(Slot16_Cost,FS85)</f>
        <v>0</v>
      </c>
      <c r="FU85" s="20" t="n">
        <f aca="false">FQ85*Slot16_SpendLike*MIN(Slot16_Cost-FT85,FM85)</f>
        <v>0</v>
      </c>
      <c r="FV85" s="20" t="n">
        <f aca="false">FT85+FU85</f>
        <v>0</v>
      </c>
      <c r="FW85" s="20" t="n">
        <f aca="false">FM85-FU85+FQ85*IF(Slot16_SpendLike=1,FS85-FT85,IF(Slot16_PotFree=1,FS85,0))</f>
        <v>0</v>
      </c>
      <c r="FX85" s="20" t="n">
        <f aca="false">FN85+FQ85*Slot16_BufPot*FS85</f>
        <v>0</v>
      </c>
      <c r="FY85" s="20" t="n">
        <f aca="false">IF(AND(FQ85=1,Slot16_IsMfree=1),IF(FV85&gt;=Slot16_Cost-1,0,MAX(0,FO85-FV85)),FO85)</f>
        <v>0</v>
      </c>
      <c r="FZ85" s="20" t="n">
        <f aca="false">FQ85*(Slot16_Cost-FV85)</f>
        <v>0</v>
      </c>
      <c r="GA85" s="20" t="n">
        <f aca="false">IF(AND(Slot17_On=1,D85=Slot17_Age),1,0)</f>
        <v>0</v>
      </c>
      <c r="GB85" s="20" t="n">
        <f aca="false">IF(AND(Slot17_On=1,Slot17_Age&gt;D85),1,0)</f>
        <v>0</v>
      </c>
      <c r="GC85" s="20" t="n">
        <f aca="false">SY84</f>
        <v>0</v>
      </c>
      <c r="GD85" s="20" t="n">
        <f aca="false">GA85*MIN(Slot17_Cost,GC85)</f>
        <v>0</v>
      </c>
      <c r="GE85" s="20" t="n">
        <f aca="false">GA85*Slot17_SpendLike*MIN(Slot17_Cost-GD85,FW85)</f>
        <v>0</v>
      </c>
      <c r="GF85" s="20" t="n">
        <f aca="false">GD85+GE85</f>
        <v>0</v>
      </c>
      <c r="GG85" s="20" t="n">
        <f aca="false">FW85-GE85+GA85*IF(Slot17_SpendLike=1,GC85-GD85,IF(Slot17_PotFree=1,GC85,0))</f>
        <v>0</v>
      </c>
      <c r="GH85" s="20" t="n">
        <f aca="false">FX85+GA85*Slot17_BufPot*GC85</f>
        <v>0</v>
      </c>
      <c r="GI85" s="20" t="n">
        <f aca="false">IF(AND(GA85=1,Slot17_IsMfree=1),IF(GF85&gt;=Slot17_Cost-1,0,MAX(0,FY85-GF85)),FY85)</f>
        <v>0</v>
      </c>
      <c r="GJ85" s="20" t="n">
        <f aca="false">GA85*(Slot17_Cost-GF85)</f>
        <v>0</v>
      </c>
      <c r="GK85" s="20" t="n">
        <f aca="false">IF(AND(Slot18_On=1,D85=Slot18_Age),1,0)</f>
        <v>0</v>
      </c>
      <c r="GL85" s="20" t="n">
        <f aca="false">IF(AND(Slot18_On=1,Slot18_Age&gt;D85),1,0)</f>
        <v>0</v>
      </c>
      <c r="GM85" s="20" t="n">
        <f aca="false">TC84</f>
        <v>0</v>
      </c>
      <c r="GN85" s="20" t="n">
        <f aca="false">GK85*MIN(Slot18_Cost,GM85)</f>
        <v>0</v>
      </c>
      <c r="GO85" s="20" t="n">
        <f aca="false">GK85*Slot18_SpendLike*MIN(Slot18_Cost-GN85,GG85)</f>
        <v>0</v>
      </c>
      <c r="GP85" s="20" t="n">
        <f aca="false">GN85+GO85</f>
        <v>0</v>
      </c>
      <c r="GQ85" s="20" t="n">
        <f aca="false">GG85-GO85+GK85*IF(Slot18_SpendLike=1,GM85-GN85,IF(Slot18_PotFree=1,GM85,0))</f>
        <v>0</v>
      </c>
      <c r="GR85" s="20" t="n">
        <f aca="false">GH85+GK85*Slot18_BufPot*GM85</f>
        <v>0</v>
      </c>
      <c r="GS85" s="20" t="n">
        <f aca="false">IF(AND(GK85=1,Slot18_IsMfree=1),IF(GP85&gt;=Slot18_Cost-1,0,MAX(0,GI85-GP85)),GI85)</f>
        <v>0</v>
      </c>
      <c r="GT85" s="20" t="n">
        <f aca="false">GK85*(Slot18_Cost-GP85)</f>
        <v>0</v>
      </c>
      <c r="GU85" s="20" t="n">
        <f aca="false">IF(AND(Slot19_On=1,D85=Slot19_Age),1,0)</f>
        <v>0</v>
      </c>
      <c r="GV85" s="20" t="n">
        <f aca="false">IF(AND(Slot19_On=1,Slot19_Age&gt;D85),1,0)</f>
        <v>0</v>
      </c>
      <c r="GW85" s="20" t="n">
        <f aca="false">TG84</f>
        <v>0</v>
      </c>
      <c r="GX85" s="20" t="n">
        <f aca="false">GU85*MIN(Slot19_Cost,GW85)</f>
        <v>0</v>
      </c>
      <c r="GY85" s="20" t="n">
        <f aca="false">GU85*Slot19_SpendLike*MIN(Slot19_Cost-GX85,GQ85)</f>
        <v>0</v>
      </c>
      <c r="GZ85" s="20" t="n">
        <f aca="false">GX85+GY85</f>
        <v>0</v>
      </c>
      <c r="HA85" s="20" t="n">
        <f aca="false">GQ85-GY85+GU85*IF(Slot19_SpendLike=1,GW85-GX85,IF(Slot19_PotFree=1,GW85,0))</f>
        <v>0</v>
      </c>
      <c r="HB85" s="20" t="n">
        <f aca="false">GR85+GU85*Slot19_BufPot*GW85</f>
        <v>0</v>
      </c>
      <c r="HC85" s="20" t="n">
        <f aca="false">IF(AND(GU85=1,Slot19_IsMfree=1),IF(GZ85&gt;=Slot19_Cost-1,0,MAX(0,GS85-GZ85)),GS85)</f>
        <v>0</v>
      </c>
      <c r="HD85" s="20" t="n">
        <f aca="false">GU85*(Slot19_Cost-GZ85)</f>
        <v>0</v>
      </c>
      <c r="HE85" s="20" t="n">
        <f aca="false">IF(AND(Slot20_On=1,D85=Slot20_Age),1,0)</f>
        <v>0</v>
      </c>
      <c r="HF85" s="20" t="n">
        <f aca="false">IF(AND(Slot20_On=1,Slot20_Age&gt;D85),1,0)</f>
        <v>0</v>
      </c>
      <c r="HG85" s="20" t="n">
        <f aca="false">TK84</f>
        <v>0</v>
      </c>
      <c r="HH85" s="20" t="n">
        <f aca="false">HE85*MIN(Slot20_Cost,HG85)</f>
        <v>0</v>
      </c>
      <c r="HI85" s="20" t="n">
        <f aca="false">HE85*Slot20_SpendLike*MIN(Slot20_Cost-HH85,HA85)</f>
        <v>0</v>
      </c>
      <c r="HJ85" s="20" t="n">
        <f aca="false">HH85+HI85</f>
        <v>0</v>
      </c>
      <c r="HK85" s="20" t="n">
        <f aca="false">HA85-HI85+HE85*IF(Slot20_SpendLike=1,HG85-HH85,IF(Slot20_PotFree=1,HG85,0))</f>
        <v>0</v>
      </c>
      <c r="HL85" s="20" t="n">
        <f aca="false">HB85+HE85*Slot20_BufPot*HG85</f>
        <v>0</v>
      </c>
      <c r="HM85" s="20" t="n">
        <f aca="false">IF(AND(HE85=1,Slot20_IsMfree=1),IF(HJ85&gt;=Slot20_Cost-1,0,MAX(0,HC85-HJ85)),HC85)</f>
        <v>0</v>
      </c>
      <c r="HN85" s="20" t="n">
        <f aca="false">HE85*(Slot20_Cost-HJ85)</f>
        <v>0</v>
      </c>
      <c r="HO85" s="20" t="n">
        <f aca="false">V85*Slot1_SpendLike*AA85+AG85*Slot2_SpendLike*AL85+AQ85*Slot3_SpendLike*AV85+BA85*Slot4_SpendLike*BF85+BK85*Slot5_SpendLike*BP85+BU85*Slot6_SpendLike*BZ85+CE85*Slot7_SpendLike*CJ85+CO85*Slot8_SpendLike*CT85+CY85*Slot9_SpendLike*DD85+DI85*Slot10_SpendLike*DN85+DS85*Slot11_SpendLike*DX85+EC85*Slot12_SpendLike*EH85+EM85*Slot13_SpendLike*ER85+EW85*Slot14_SpendLike*FB85+FG85*Slot15_SpendLike*FL85+FQ85*Slot16_SpendLike*FV85+GA85*Slot17_SpendLike*GF85+GK85*Slot18_SpendLike*GP85+GU85*Slot19_SpendLike*GZ85+HE85*Slot20_SpendLike*HJ85</f>
        <v>0</v>
      </c>
      <c r="HP85" s="20" t="n">
        <f aca="false">AE85+AP85+AZ85+BJ85+BT85+CD85+CN85+CX85+DH85+DR85+EB85+EL85+EV85+FF85+FP85+FZ85+GJ85+GT85+HD85+HN85</f>
        <v>0</v>
      </c>
      <c r="HQ85" s="20" t="n">
        <f aca="false">V85*Slot1_Cost+AG85*Slot2_Cost+AQ85*Slot3_Cost+BA85*Slot4_Cost+BK85*Slot5_Cost+BU85*Slot6_Cost+CE85*Slot7_Cost+CO85*Slot8_Cost+CY85*Slot9_Cost+DI85*Slot10_Cost+DS85*Slot11_Cost+EC85*Slot12_Cost+EM85*Slot13_Cost+EW85*Slot14_Cost+FG85*Slot15_Cost+FQ85*Slot16_Cost+GA85*Slot17_Cost+GK85*Slot18_Cost+GU85*Slot19_Cost+HE85*Slot20_Cost</f>
        <v>0</v>
      </c>
      <c r="HR85" s="20" t="n">
        <f aca="false">HM85</f>
        <v>0</v>
      </c>
      <c r="HS85" s="20" t="n">
        <f aca="false">H85-I85-S85</f>
        <v>-88510.3302750811</v>
      </c>
      <c r="HT85" s="20" t="n">
        <f aca="false">IF(B85=0,IF(AND(Has_q6=1,In_q6=4),PR_ShareVaries*(MAX(0,HS85)/12),MIN(IF(Has_q6=1,CHOOSE(In_q6+1,PR_SaveB1,PR_SaveB2,PR_SaveB3,PR_SaveB4,0),AS_NoAnswer),AS_SaveShare*(MAX(0,HS85)/12))),HT84)</f>
        <v>67.3316893520437</v>
      </c>
      <c r="HU85" s="20" t="n">
        <f aca="false">IF(HS85&gt;=0,1,0)</f>
        <v>0</v>
      </c>
      <c r="HV85" s="20" t="n">
        <f aca="false">MAX(0,HS85/12/F85)</f>
        <v>0</v>
      </c>
      <c r="HW85" s="20" t="n">
        <f aca="false">IF(AND(Has_q6=1,In_q6=4),PR_ShareVaries*(HV85),MIN(IF(Has_q6=1,CHOOSE(In_q6+1,PR_SaveB1,PR_SaveB2,PR_SaveB3,PR_SaveB4,0),AS_NoAnswer),AS_SaveShare*(HV85)))</f>
        <v>0</v>
      </c>
      <c r="HX85" s="20" t="n">
        <f aca="false">IF(Has_saveM=1,IF(In_saveUp="Yes",1,IF(In_saveUp="No",0,IF(In_saveM&gt;=HT85-0.5,1,0))),0)</f>
        <v>0</v>
      </c>
      <c r="HY85" s="20" t="n">
        <f aca="false">IF(Has_saveM=1,MIN(HV85,IF(HX85=1,MAX(In_saveM,HW85),MIN(In_saveM,HW85))),HW85)</f>
        <v>0</v>
      </c>
      <c r="HZ85" s="20" t="n">
        <f aca="false">IF(G85=1,HY85*12*F85,0)</f>
        <v>0</v>
      </c>
      <c r="IA85" s="20" t="n">
        <f aca="false">MAX(0,HZ85+IF(AND(WI_Retire=0,WI_M&lt;0,G85=1),WI_M*12*F85,0))</f>
        <v>0</v>
      </c>
      <c r="IB85" s="20" t="n">
        <f aca="false">Slot1_IsWG*W85+Slot2_IsWG*AH85+Slot3_IsWG*AR85+Slot4_IsWG*BB85+Slot5_IsWG*BL85+Slot6_IsWG*BV85+Slot7_IsWG*CF85+Slot8_IsWG*CP85+Slot9_IsWG*CZ85+Slot10_IsWG*DJ85+Slot11_IsWG*DT85+Slot12_IsWG*ED85+Slot13_IsWG*EN85+Slot14_IsWG*EX85+Slot15_IsWG*FH85+Slot16_IsWG*FR85+Slot17_IsWG*GB85+Slot18_IsWG*GL85+Slot19_IsWG*GV85+Slot20_IsWG*HF85</f>
        <v>0</v>
      </c>
      <c r="IC85" s="20" t="n">
        <f aca="false">IF(AND(WI_Retire=0,WI_M&gt;0,G85=1,IB85&gt;=1),WI_M*12*F85,0)</f>
        <v>0</v>
      </c>
      <c r="ID85" s="20" t="n">
        <f aca="false">IF(HU85=1,MIN(IA85,HS85),0)</f>
        <v>0</v>
      </c>
      <c r="IE85" s="20" t="n">
        <f aca="false">IF(HU85=1,MIN(IC85,HS85-ID85),0)</f>
        <v>0</v>
      </c>
      <c r="IF85" s="20" t="n">
        <f aca="false">IF(W85=1,IF(ABS((1+AS_Wage)/(1+Slot1_Rate)-1)&lt;0.000000000001,(Slot1_Age-D85)*(1+Slot1_Rate)^(Slot1_Age-D85),(1+Slot1_Rate)^(Slot1_Age-D85)*(1-((1+AS_Wage)/(1+Slot1_Rate))^(Slot1_Age-D85))/(1-(1+AS_Wage)/(1+Slot1_Rate))),1)</f>
        <v>1</v>
      </c>
      <c r="IG85" s="20" t="n">
        <f aca="false">IF(AND(HU85=1,IE85&gt;0,Slot1_IsWG=1,W85=1),MAX(0,(Slot1_Cost-X85*(1+Slot1_Rate)^(Slot1_Age-D85))/IF85),0)</f>
        <v>0</v>
      </c>
      <c r="IH85" s="20" t="n">
        <f aca="false">IF(AND(HU85=1,IE85&gt;0,Slot1_IsWG=1,W85=1),MIN(IE85,IG85),0)</f>
        <v>0</v>
      </c>
      <c r="II85" s="20" t="n">
        <f aca="false">X85+IH85</f>
        <v>0</v>
      </c>
      <c r="IJ85" s="20" t="n">
        <f aca="false">IF(W85=1,MAX(0,(Slot1_Cost-II85*(1+Slot1_Rate)^(Slot1_Age-D85))/IF85),0)</f>
        <v>0</v>
      </c>
      <c r="IK85" s="20" t="n">
        <f aca="false">IF(W85=1,MAX(0,(Slot1_Cost-X85*(1+Slot1_Rate)^(Slot1_Age-D85))/IF85),0)</f>
        <v>0</v>
      </c>
      <c r="IL85" s="20" t="n">
        <f aca="false">IF(AND(HU85=1,W85=1),MIN(ID85,IJ85),0)</f>
        <v>0</v>
      </c>
      <c r="IM85" s="20" t="n">
        <f aca="false">ID85-IL85</f>
        <v>0</v>
      </c>
      <c r="IN85" s="20" t="n">
        <f aca="false">IF(AH85=1,IF(ABS((1+AS_Wage)/(1+Slot2_Rate)-1)&lt;0.000000000001,(Slot2_Age-D85)*(1+Slot2_Rate)^(Slot2_Age-D85),(1+Slot2_Rate)^(Slot2_Age-D85)*(1-((1+AS_Wage)/(1+Slot2_Rate))^(Slot2_Age-D85))/(1-(1+AS_Wage)/(1+Slot2_Rate))),1)</f>
        <v>1</v>
      </c>
      <c r="IO85" s="20" t="n">
        <f aca="false">IF(AND(HU85=1,IE85&gt;0,Slot2_IsWG=1,AH85=1),MAX(0,(Slot2_Cost-AI85*(1+Slot2_Rate)^(Slot2_Age-D85))/IN85),0)</f>
        <v>0</v>
      </c>
      <c r="IP85" s="20" t="n">
        <f aca="false">IF(AND(HU85=1,IE85&gt;0,Slot2_IsWG=1,AH85=1),MIN(IE85,IO85),0)</f>
        <v>0</v>
      </c>
      <c r="IQ85" s="20" t="n">
        <f aca="false">AI85+IP85</f>
        <v>0</v>
      </c>
      <c r="IR85" s="20" t="n">
        <f aca="false">IF(AH85=1,MAX(0,(Slot2_Cost-IQ85*(1+Slot2_Rate)^(Slot2_Age-D85))/IN85),0)</f>
        <v>0</v>
      </c>
      <c r="IS85" s="20" t="n">
        <f aca="false">IF(AH85=1,MAX(0,(Slot2_Cost-AI85*(1+Slot2_Rate)^(Slot2_Age-D85))/IN85),0)</f>
        <v>0</v>
      </c>
      <c r="IT85" s="20" t="n">
        <f aca="false">IF(AND(HU85=1,AH85=1),MIN(IM85,IR85),0)</f>
        <v>0</v>
      </c>
      <c r="IU85" s="20" t="n">
        <f aca="false">IM85-IT85</f>
        <v>0</v>
      </c>
      <c r="IV85" s="20" t="n">
        <f aca="false">IF(AR85=1,IF(ABS((1+AS_Wage)/(1+Slot3_Rate)-1)&lt;0.000000000001,(Slot3_Age-D85)*(1+Slot3_Rate)^(Slot3_Age-D85),(1+Slot3_Rate)^(Slot3_Age-D85)*(1-((1+AS_Wage)/(1+Slot3_Rate))^(Slot3_Age-D85))/(1-(1+AS_Wage)/(1+Slot3_Rate))),1)</f>
        <v>1</v>
      </c>
      <c r="IW85" s="20" t="n">
        <f aca="false">IF(AND(HU85=1,IE85&gt;0,Slot3_IsWG=1,AR85=1),MAX(0,(Slot3_Cost-AS85*(1+Slot3_Rate)^(Slot3_Age-D85))/IV85),0)</f>
        <v>0</v>
      </c>
      <c r="IX85" s="20" t="n">
        <f aca="false">IF(AND(HU85=1,IE85&gt;0,Slot3_IsWG=1,AR85=1),MIN(IE85,IW85),0)</f>
        <v>0</v>
      </c>
      <c r="IY85" s="20" t="n">
        <f aca="false">AS85+IX85</f>
        <v>0</v>
      </c>
      <c r="IZ85" s="20" t="n">
        <f aca="false">IF(AR85=1,MAX(0,(Slot3_Cost-IY85*(1+Slot3_Rate)^(Slot3_Age-D85))/IV85),0)</f>
        <v>0</v>
      </c>
      <c r="JA85" s="20" t="n">
        <f aca="false">IF(AR85=1,MAX(0,(Slot3_Cost-AS85*(1+Slot3_Rate)^(Slot3_Age-D85))/IV85),0)</f>
        <v>0</v>
      </c>
      <c r="JB85" s="20" t="n">
        <f aca="false">IF(AND(HU85=1,AR85=1),MIN(IU85,IZ85),0)</f>
        <v>0</v>
      </c>
      <c r="JC85" s="20" t="n">
        <f aca="false">IU85-JB85</f>
        <v>0</v>
      </c>
      <c r="JD85" s="20" t="n">
        <f aca="false">IF(BB85=1,IF(ABS((1+AS_Wage)/(1+Slot4_Rate)-1)&lt;0.000000000001,(Slot4_Age-D85)*(1+Slot4_Rate)^(Slot4_Age-D85),(1+Slot4_Rate)^(Slot4_Age-D85)*(1-((1+AS_Wage)/(1+Slot4_Rate))^(Slot4_Age-D85))/(1-(1+AS_Wage)/(1+Slot4_Rate))),1)</f>
        <v>1</v>
      </c>
      <c r="JE85" s="20" t="n">
        <f aca="false">IF(AND(HU85=1,IE85&gt;0,Slot4_IsWG=1,BB85=1),MAX(0,(Slot4_Cost-BC85*(1+Slot4_Rate)^(Slot4_Age-D85))/JD85),0)</f>
        <v>0</v>
      </c>
      <c r="JF85" s="20" t="n">
        <f aca="false">IF(AND(HU85=1,IE85&gt;0,Slot4_IsWG=1,BB85=1),MIN(IE85,JE85),0)</f>
        <v>0</v>
      </c>
      <c r="JG85" s="20" t="n">
        <f aca="false">BC85+JF85</f>
        <v>0</v>
      </c>
      <c r="JH85" s="20" t="n">
        <f aca="false">IF(BB85=1,MAX(0,(Slot4_Cost-JG85*(1+Slot4_Rate)^(Slot4_Age-D85))/JD85),0)</f>
        <v>0</v>
      </c>
      <c r="JI85" s="20" t="n">
        <f aca="false">IF(BB85=1,MAX(0,(Slot4_Cost-BC85*(1+Slot4_Rate)^(Slot4_Age-D85))/JD85),0)</f>
        <v>0</v>
      </c>
      <c r="JJ85" s="20" t="n">
        <f aca="false">IF(AND(HU85=1,BB85=1),MIN(JC85,JH85),0)</f>
        <v>0</v>
      </c>
      <c r="JK85" s="20" t="n">
        <f aca="false">JC85-JJ85</f>
        <v>0</v>
      </c>
      <c r="JL85" s="20" t="n">
        <f aca="false">IF(BL85=1,IF(ABS((1+AS_Wage)/(1+Slot5_Rate)-1)&lt;0.000000000001,(Slot5_Age-D85)*(1+Slot5_Rate)^(Slot5_Age-D85),(1+Slot5_Rate)^(Slot5_Age-D85)*(1-((1+AS_Wage)/(1+Slot5_Rate))^(Slot5_Age-D85))/(1-(1+AS_Wage)/(1+Slot5_Rate))),1)</f>
        <v>1</v>
      </c>
      <c r="JM85" s="20" t="n">
        <f aca="false">IF(AND(HU85=1,IE85&gt;0,Slot5_IsWG=1,BL85=1),MAX(0,(Slot5_Cost-BM85*(1+Slot5_Rate)^(Slot5_Age-D85))/JL85),0)</f>
        <v>0</v>
      </c>
      <c r="JN85" s="20" t="n">
        <f aca="false">IF(AND(HU85=1,IE85&gt;0,Slot5_IsWG=1,BL85=1),MIN(IE85,JM85),0)</f>
        <v>0</v>
      </c>
      <c r="JO85" s="20" t="n">
        <f aca="false">BM85+JN85</f>
        <v>0</v>
      </c>
      <c r="JP85" s="20" t="n">
        <f aca="false">IF(BL85=1,MAX(0,(Slot5_Cost-JO85*(1+Slot5_Rate)^(Slot5_Age-D85))/JL85),0)</f>
        <v>0</v>
      </c>
      <c r="JQ85" s="20" t="n">
        <f aca="false">IF(BL85=1,MAX(0,(Slot5_Cost-BM85*(1+Slot5_Rate)^(Slot5_Age-D85))/JL85),0)</f>
        <v>0</v>
      </c>
      <c r="JR85" s="20" t="n">
        <f aca="false">IF(AND(HU85=1,BL85=1),MIN(JK85,JP85),0)</f>
        <v>0</v>
      </c>
      <c r="JS85" s="20" t="n">
        <f aca="false">JK85-JR85</f>
        <v>0</v>
      </c>
      <c r="JT85" s="20" t="n">
        <f aca="false">IF(BV85=1,IF(ABS((1+AS_Wage)/(1+Slot6_Rate)-1)&lt;0.000000000001,(Slot6_Age-D85)*(1+Slot6_Rate)^(Slot6_Age-D85),(1+Slot6_Rate)^(Slot6_Age-D85)*(1-((1+AS_Wage)/(1+Slot6_Rate))^(Slot6_Age-D85))/(1-(1+AS_Wage)/(1+Slot6_Rate))),1)</f>
        <v>1</v>
      </c>
      <c r="JU85" s="20" t="n">
        <f aca="false">IF(AND(HU85=1,IE85&gt;0,Slot6_IsWG=1,BV85=1),MAX(0,(Slot6_Cost-BW85*(1+Slot6_Rate)^(Slot6_Age-D85))/JT85),0)</f>
        <v>0</v>
      </c>
      <c r="JV85" s="20" t="n">
        <f aca="false">IF(AND(HU85=1,IE85&gt;0,Slot6_IsWG=1,BV85=1),MIN(IE85,JU85),0)</f>
        <v>0</v>
      </c>
      <c r="JW85" s="20" t="n">
        <f aca="false">BW85+JV85</f>
        <v>0</v>
      </c>
      <c r="JX85" s="20" t="n">
        <f aca="false">IF(BV85=1,MAX(0,(Slot6_Cost-JW85*(1+Slot6_Rate)^(Slot6_Age-D85))/JT85),0)</f>
        <v>0</v>
      </c>
      <c r="JY85" s="20" t="n">
        <f aca="false">IF(BV85=1,MAX(0,(Slot6_Cost-BW85*(1+Slot6_Rate)^(Slot6_Age-D85))/JT85),0)</f>
        <v>0</v>
      </c>
      <c r="JZ85" s="20" t="n">
        <f aca="false">IF(AND(HU85=1,BV85=1),MIN(JS85,JX85),0)</f>
        <v>0</v>
      </c>
      <c r="KA85" s="20" t="n">
        <f aca="false">JS85-JZ85</f>
        <v>0</v>
      </c>
      <c r="KB85" s="20" t="n">
        <f aca="false">IF(CF85=1,IF(ABS((1+AS_Wage)/(1+Slot7_Rate)-1)&lt;0.000000000001,(Slot7_Age-D85)*(1+Slot7_Rate)^(Slot7_Age-D85),(1+Slot7_Rate)^(Slot7_Age-D85)*(1-((1+AS_Wage)/(1+Slot7_Rate))^(Slot7_Age-D85))/(1-(1+AS_Wage)/(1+Slot7_Rate))),1)</f>
        <v>1</v>
      </c>
      <c r="KC85" s="20" t="n">
        <f aca="false">IF(AND(HU85=1,IE85&gt;0,Slot7_IsWG=1,CF85=1),MAX(0,(Slot7_Cost-CG85*(1+Slot7_Rate)^(Slot7_Age-D85))/KB85),0)</f>
        <v>0</v>
      </c>
      <c r="KD85" s="20" t="n">
        <f aca="false">IF(AND(HU85=1,IE85&gt;0,Slot7_IsWG=1,CF85=1),MIN(IE85,KC85),0)</f>
        <v>0</v>
      </c>
      <c r="KE85" s="20" t="n">
        <f aca="false">CG85+KD85</f>
        <v>0</v>
      </c>
      <c r="KF85" s="20" t="n">
        <f aca="false">IF(CF85=1,MAX(0,(Slot7_Cost-KE85*(1+Slot7_Rate)^(Slot7_Age-D85))/KB85),0)</f>
        <v>0</v>
      </c>
      <c r="KG85" s="20" t="n">
        <f aca="false">IF(CF85=1,MAX(0,(Slot7_Cost-CG85*(1+Slot7_Rate)^(Slot7_Age-D85))/KB85),0)</f>
        <v>0</v>
      </c>
      <c r="KH85" s="20" t="n">
        <f aca="false">IF(AND(HU85=1,CF85=1),MIN(KA85,KF85),0)</f>
        <v>0</v>
      </c>
      <c r="KI85" s="20" t="n">
        <f aca="false">KA85-KH85</f>
        <v>0</v>
      </c>
      <c r="KJ85" s="20" t="n">
        <f aca="false">IF(CP85=1,IF(ABS((1+AS_Wage)/(1+Slot8_Rate)-1)&lt;0.000000000001,(Slot8_Age-D85)*(1+Slot8_Rate)^(Slot8_Age-D85),(1+Slot8_Rate)^(Slot8_Age-D85)*(1-((1+AS_Wage)/(1+Slot8_Rate))^(Slot8_Age-D85))/(1-(1+AS_Wage)/(1+Slot8_Rate))),1)</f>
        <v>1</v>
      </c>
      <c r="KK85" s="20" t="n">
        <f aca="false">IF(AND(HU85=1,IE85&gt;0,Slot8_IsWG=1,CP85=1),MAX(0,(Slot8_Cost-CQ85*(1+Slot8_Rate)^(Slot8_Age-D85))/KJ85),0)</f>
        <v>0</v>
      </c>
      <c r="KL85" s="20" t="n">
        <f aca="false">IF(AND(HU85=1,IE85&gt;0,Slot8_IsWG=1,CP85=1),MIN(IE85,KK85),0)</f>
        <v>0</v>
      </c>
      <c r="KM85" s="20" t="n">
        <f aca="false">CQ85+KL85</f>
        <v>0</v>
      </c>
      <c r="KN85" s="20" t="n">
        <f aca="false">IF(CP85=1,MAX(0,(Slot8_Cost-KM85*(1+Slot8_Rate)^(Slot8_Age-D85))/KJ85),0)</f>
        <v>0</v>
      </c>
      <c r="KO85" s="20" t="n">
        <f aca="false">IF(CP85=1,MAX(0,(Slot8_Cost-CQ85*(1+Slot8_Rate)^(Slot8_Age-D85))/KJ85),0)</f>
        <v>0</v>
      </c>
      <c r="KP85" s="20" t="n">
        <f aca="false">IF(AND(HU85=1,CP85=1),MIN(KI85,KN85),0)</f>
        <v>0</v>
      </c>
      <c r="KQ85" s="20" t="n">
        <f aca="false">KI85-KP85</f>
        <v>0</v>
      </c>
      <c r="KR85" s="20" t="n">
        <f aca="false">IF(CZ85=1,IF(ABS((1+AS_Wage)/(1+Slot9_Rate)-1)&lt;0.000000000001,(Slot9_Age-D85)*(1+Slot9_Rate)^(Slot9_Age-D85),(1+Slot9_Rate)^(Slot9_Age-D85)*(1-((1+AS_Wage)/(1+Slot9_Rate))^(Slot9_Age-D85))/(1-(1+AS_Wage)/(1+Slot9_Rate))),1)</f>
        <v>1</v>
      </c>
      <c r="KS85" s="20" t="n">
        <f aca="false">IF(AND(HU85=1,IE85&gt;0,Slot9_IsWG=1,CZ85=1),MAX(0,(Slot9_Cost-DA85*(1+Slot9_Rate)^(Slot9_Age-D85))/KR85),0)</f>
        <v>0</v>
      </c>
      <c r="KT85" s="20" t="n">
        <f aca="false">IF(AND(HU85=1,IE85&gt;0,Slot9_IsWG=1,CZ85=1),MIN(IE85,KS85),0)</f>
        <v>0</v>
      </c>
      <c r="KU85" s="20" t="n">
        <f aca="false">DA85+KT85</f>
        <v>0</v>
      </c>
      <c r="KV85" s="20" t="n">
        <f aca="false">IF(CZ85=1,MAX(0,(Slot9_Cost-KU85*(1+Slot9_Rate)^(Slot9_Age-D85))/KR85),0)</f>
        <v>0</v>
      </c>
      <c r="KW85" s="20" t="n">
        <f aca="false">IF(CZ85=1,MAX(0,(Slot9_Cost-DA85*(1+Slot9_Rate)^(Slot9_Age-D85))/KR85),0)</f>
        <v>0</v>
      </c>
      <c r="KX85" s="20" t="n">
        <f aca="false">IF(AND(HU85=1,CZ85=1),MIN(KQ85,KV85),0)</f>
        <v>0</v>
      </c>
      <c r="KY85" s="20" t="n">
        <f aca="false">KQ85-KX85</f>
        <v>0</v>
      </c>
      <c r="KZ85" s="20" t="n">
        <f aca="false">IF(DJ85=1,IF(ABS((1+AS_Wage)/(1+Slot10_Rate)-1)&lt;0.000000000001,(Slot10_Age-D85)*(1+Slot10_Rate)^(Slot10_Age-D85),(1+Slot10_Rate)^(Slot10_Age-D85)*(1-((1+AS_Wage)/(1+Slot10_Rate))^(Slot10_Age-D85))/(1-(1+AS_Wage)/(1+Slot10_Rate))),1)</f>
        <v>1</v>
      </c>
      <c r="LA85" s="20" t="n">
        <f aca="false">IF(AND(HU85=1,IE85&gt;0,Slot10_IsWG=1,DJ85=1),MAX(0,(Slot10_Cost-DK85*(1+Slot10_Rate)^(Slot10_Age-D85))/KZ85),0)</f>
        <v>0</v>
      </c>
      <c r="LB85" s="20" t="n">
        <f aca="false">IF(AND(HU85=1,IE85&gt;0,Slot10_IsWG=1,DJ85=1),MIN(IE85,LA85),0)</f>
        <v>0</v>
      </c>
      <c r="LC85" s="20" t="n">
        <f aca="false">DK85+LB85</f>
        <v>0</v>
      </c>
      <c r="LD85" s="20" t="n">
        <f aca="false">IF(DJ85=1,MAX(0,(Slot10_Cost-LC85*(1+Slot10_Rate)^(Slot10_Age-D85))/KZ85),0)</f>
        <v>0</v>
      </c>
      <c r="LE85" s="20" t="n">
        <f aca="false">IF(DJ85=1,MAX(0,(Slot10_Cost-DK85*(1+Slot10_Rate)^(Slot10_Age-D85))/KZ85),0)</f>
        <v>0</v>
      </c>
      <c r="LF85" s="20" t="n">
        <f aca="false">IF(AND(HU85=1,DJ85=1),MIN(KY85,LD85),0)</f>
        <v>0</v>
      </c>
      <c r="LG85" s="20" t="n">
        <f aca="false">KY85-LF85</f>
        <v>0</v>
      </c>
      <c r="LH85" s="20" t="n">
        <f aca="false">IF(DT85=1,IF(ABS((1+AS_Wage)/(1+Slot11_Rate)-1)&lt;0.000000000001,(Slot11_Age-D85)*(1+Slot11_Rate)^(Slot11_Age-D85),(1+Slot11_Rate)^(Slot11_Age-D85)*(1-((1+AS_Wage)/(1+Slot11_Rate))^(Slot11_Age-D85))/(1-(1+AS_Wage)/(1+Slot11_Rate))),1)</f>
        <v>1</v>
      </c>
      <c r="LI85" s="20" t="n">
        <f aca="false">IF(AND(HU85=1,IE85&gt;0,Slot11_IsWG=1,DT85=1),MAX(0,(Slot11_Cost-DU85*(1+Slot11_Rate)^(Slot11_Age-D85))/LH85),0)</f>
        <v>0</v>
      </c>
      <c r="LJ85" s="20" t="n">
        <f aca="false">IF(AND(HU85=1,IE85&gt;0,Slot11_IsWG=1,DT85=1),MIN(IE85,LI85),0)</f>
        <v>0</v>
      </c>
      <c r="LK85" s="20" t="n">
        <f aca="false">DU85+LJ85</f>
        <v>0</v>
      </c>
      <c r="LL85" s="20" t="n">
        <f aca="false">IF(DT85=1,MAX(0,(Slot11_Cost-LK85*(1+Slot11_Rate)^(Slot11_Age-D85))/LH85),0)</f>
        <v>0</v>
      </c>
      <c r="LM85" s="20" t="n">
        <f aca="false">IF(DT85=1,MAX(0,(Slot11_Cost-DU85*(1+Slot11_Rate)^(Slot11_Age-D85))/LH85),0)</f>
        <v>0</v>
      </c>
      <c r="LN85" s="20" t="n">
        <f aca="false">IF(AND(HU85=1,DT85=1),MIN(LG85,LL85),0)</f>
        <v>0</v>
      </c>
      <c r="LO85" s="20" t="n">
        <f aca="false">LG85-LN85</f>
        <v>0</v>
      </c>
      <c r="LP85" s="20" t="n">
        <f aca="false">IF(ED85=1,IF(ABS((1+AS_Wage)/(1+Slot12_Rate)-1)&lt;0.000000000001,(Slot12_Age-D85)*(1+Slot12_Rate)^(Slot12_Age-D85),(1+Slot12_Rate)^(Slot12_Age-D85)*(1-((1+AS_Wage)/(1+Slot12_Rate))^(Slot12_Age-D85))/(1-(1+AS_Wage)/(1+Slot12_Rate))),1)</f>
        <v>1</v>
      </c>
      <c r="LQ85" s="20" t="n">
        <f aca="false">IF(AND(HU85=1,IE85&gt;0,Slot12_IsWG=1,ED85=1),MAX(0,(Slot12_Cost-EE85*(1+Slot12_Rate)^(Slot12_Age-D85))/LP85),0)</f>
        <v>0</v>
      </c>
      <c r="LR85" s="20" t="n">
        <f aca="false">IF(AND(HU85=1,IE85&gt;0,Slot12_IsWG=1,ED85=1),MIN(IE85,LQ85),0)</f>
        <v>0</v>
      </c>
      <c r="LS85" s="20" t="n">
        <f aca="false">EE85+LR85</f>
        <v>0</v>
      </c>
      <c r="LT85" s="20" t="n">
        <f aca="false">IF(ED85=1,MAX(0,(Slot12_Cost-LS85*(1+Slot12_Rate)^(Slot12_Age-D85))/LP85),0)</f>
        <v>0</v>
      </c>
      <c r="LU85" s="20" t="n">
        <f aca="false">IF(ED85=1,MAX(0,(Slot12_Cost-EE85*(1+Slot12_Rate)^(Slot12_Age-D85))/LP85),0)</f>
        <v>0</v>
      </c>
      <c r="LV85" s="20" t="n">
        <f aca="false">IF(AND(HU85=1,ED85=1),MIN(LO85,LT85),0)</f>
        <v>0</v>
      </c>
      <c r="LW85" s="20" t="n">
        <f aca="false">LO85-LV85</f>
        <v>0</v>
      </c>
      <c r="LX85" s="20" t="n">
        <f aca="false">IF(EN85=1,IF(ABS((1+AS_Wage)/(1+Slot13_Rate)-1)&lt;0.000000000001,(Slot13_Age-D85)*(1+Slot13_Rate)^(Slot13_Age-D85),(1+Slot13_Rate)^(Slot13_Age-D85)*(1-((1+AS_Wage)/(1+Slot13_Rate))^(Slot13_Age-D85))/(1-(1+AS_Wage)/(1+Slot13_Rate))),1)</f>
        <v>1</v>
      </c>
      <c r="LY85" s="20" t="n">
        <f aca="false">IF(AND(HU85=1,IE85&gt;0,Slot13_IsWG=1,EN85=1),MAX(0,(Slot13_Cost-EO85*(1+Slot13_Rate)^(Slot13_Age-D85))/LX85),0)</f>
        <v>0</v>
      </c>
      <c r="LZ85" s="20" t="n">
        <f aca="false">IF(AND(HU85=1,IE85&gt;0,Slot13_IsWG=1,EN85=1),MIN(IE85,LY85),0)</f>
        <v>0</v>
      </c>
      <c r="MA85" s="20" t="n">
        <f aca="false">EO85+LZ85</f>
        <v>0</v>
      </c>
      <c r="MB85" s="20" t="n">
        <f aca="false">IF(EN85=1,MAX(0,(Slot13_Cost-MA85*(1+Slot13_Rate)^(Slot13_Age-D85))/LX85),0)</f>
        <v>0</v>
      </c>
      <c r="MC85" s="20" t="n">
        <f aca="false">IF(EN85=1,MAX(0,(Slot13_Cost-EO85*(1+Slot13_Rate)^(Slot13_Age-D85))/LX85),0)</f>
        <v>0</v>
      </c>
      <c r="MD85" s="20" t="n">
        <f aca="false">IF(AND(HU85=1,EN85=1),MIN(LW85,MB85),0)</f>
        <v>0</v>
      </c>
      <c r="ME85" s="20" t="n">
        <f aca="false">LW85-MD85</f>
        <v>0</v>
      </c>
      <c r="MF85" s="20" t="n">
        <f aca="false">IF(EX85=1,IF(ABS((1+AS_Wage)/(1+Slot14_Rate)-1)&lt;0.000000000001,(Slot14_Age-D85)*(1+Slot14_Rate)^(Slot14_Age-D85),(1+Slot14_Rate)^(Slot14_Age-D85)*(1-((1+AS_Wage)/(1+Slot14_Rate))^(Slot14_Age-D85))/(1-(1+AS_Wage)/(1+Slot14_Rate))),1)</f>
        <v>1</v>
      </c>
      <c r="MG85" s="20" t="n">
        <f aca="false">IF(AND(HU85=1,IE85&gt;0,Slot14_IsWG=1,EX85=1),MAX(0,(Slot14_Cost-EY85*(1+Slot14_Rate)^(Slot14_Age-D85))/MF85),0)</f>
        <v>0</v>
      </c>
      <c r="MH85" s="20" t="n">
        <f aca="false">IF(AND(HU85=1,IE85&gt;0,Slot14_IsWG=1,EX85=1),MIN(IE85,MG85),0)</f>
        <v>0</v>
      </c>
      <c r="MI85" s="20" t="n">
        <f aca="false">EY85+MH85</f>
        <v>0</v>
      </c>
      <c r="MJ85" s="20" t="n">
        <f aca="false">IF(EX85=1,MAX(0,(Slot14_Cost-MI85*(1+Slot14_Rate)^(Slot14_Age-D85))/MF85),0)</f>
        <v>0</v>
      </c>
      <c r="MK85" s="20" t="n">
        <f aca="false">IF(EX85=1,MAX(0,(Slot14_Cost-EY85*(1+Slot14_Rate)^(Slot14_Age-D85))/MF85),0)</f>
        <v>0</v>
      </c>
      <c r="ML85" s="20" t="n">
        <f aca="false">IF(AND(HU85=1,EX85=1),MIN(ME85,MJ85),0)</f>
        <v>0</v>
      </c>
      <c r="MM85" s="20" t="n">
        <f aca="false">ME85-ML85</f>
        <v>0</v>
      </c>
      <c r="MN85" s="20" t="n">
        <f aca="false">IF(FH85=1,IF(ABS((1+AS_Wage)/(1+Slot15_Rate)-1)&lt;0.000000000001,(Slot15_Age-D85)*(1+Slot15_Rate)^(Slot15_Age-D85),(1+Slot15_Rate)^(Slot15_Age-D85)*(1-((1+AS_Wage)/(1+Slot15_Rate))^(Slot15_Age-D85))/(1-(1+AS_Wage)/(1+Slot15_Rate))),1)</f>
        <v>1</v>
      </c>
      <c r="MO85" s="20" t="n">
        <f aca="false">IF(AND(HU85=1,IE85&gt;0,Slot15_IsWG=1,FH85=1),MAX(0,(Slot15_Cost-FI85*(1+Slot15_Rate)^(Slot15_Age-D85))/MN85),0)</f>
        <v>0</v>
      </c>
      <c r="MP85" s="20" t="n">
        <f aca="false">IF(AND(HU85=1,IE85&gt;0,Slot15_IsWG=1,FH85=1),MIN(IE85,MO85),0)</f>
        <v>0</v>
      </c>
      <c r="MQ85" s="20" t="n">
        <f aca="false">FI85+MP85</f>
        <v>0</v>
      </c>
      <c r="MR85" s="20" t="n">
        <f aca="false">IF(FH85=1,MAX(0,(Slot15_Cost-MQ85*(1+Slot15_Rate)^(Slot15_Age-D85))/MN85),0)</f>
        <v>0</v>
      </c>
      <c r="MS85" s="20" t="n">
        <f aca="false">IF(FH85=1,MAX(0,(Slot15_Cost-FI85*(1+Slot15_Rate)^(Slot15_Age-D85))/MN85),0)</f>
        <v>0</v>
      </c>
      <c r="MT85" s="20" t="n">
        <f aca="false">IF(AND(HU85=1,FH85=1),MIN(MM85,MR85),0)</f>
        <v>0</v>
      </c>
      <c r="MU85" s="20" t="n">
        <f aca="false">MM85-MT85</f>
        <v>0</v>
      </c>
      <c r="MV85" s="20" t="n">
        <f aca="false">IF(FR85=1,IF(ABS((1+AS_Wage)/(1+Slot16_Rate)-1)&lt;0.000000000001,(Slot16_Age-D85)*(1+Slot16_Rate)^(Slot16_Age-D85),(1+Slot16_Rate)^(Slot16_Age-D85)*(1-((1+AS_Wage)/(1+Slot16_Rate))^(Slot16_Age-D85))/(1-(1+AS_Wage)/(1+Slot16_Rate))),1)</f>
        <v>1</v>
      </c>
      <c r="MW85" s="20" t="n">
        <f aca="false">IF(AND(HU85=1,IE85&gt;0,Slot16_IsWG=1,FR85=1),MAX(0,(Slot16_Cost-FS85*(1+Slot16_Rate)^(Slot16_Age-D85))/MV85),0)</f>
        <v>0</v>
      </c>
      <c r="MX85" s="20" t="n">
        <f aca="false">IF(AND(HU85=1,IE85&gt;0,Slot16_IsWG=1,FR85=1),MIN(IE85,MW85),0)</f>
        <v>0</v>
      </c>
      <c r="MY85" s="20" t="n">
        <f aca="false">FS85+MX85</f>
        <v>0</v>
      </c>
      <c r="MZ85" s="20" t="n">
        <f aca="false">IF(FR85=1,MAX(0,(Slot16_Cost-MY85*(1+Slot16_Rate)^(Slot16_Age-D85))/MV85),0)</f>
        <v>0</v>
      </c>
      <c r="NA85" s="20" t="n">
        <f aca="false">IF(FR85=1,MAX(0,(Slot16_Cost-FS85*(1+Slot16_Rate)^(Slot16_Age-D85))/MV85),0)</f>
        <v>0</v>
      </c>
      <c r="NB85" s="20" t="n">
        <f aca="false">IF(AND(HU85=1,FR85=1),MIN(MU85,MZ85),0)</f>
        <v>0</v>
      </c>
      <c r="NC85" s="20" t="n">
        <f aca="false">MU85-NB85</f>
        <v>0</v>
      </c>
      <c r="ND85" s="20" t="n">
        <f aca="false">IF(GB85=1,IF(ABS((1+AS_Wage)/(1+Slot17_Rate)-1)&lt;0.000000000001,(Slot17_Age-D85)*(1+Slot17_Rate)^(Slot17_Age-D85),(1+Slot17_Rate)^(Slot17_Age-D85)*(1-((1+AS_Wage)/(1+Slot17_Rate))^(Slot17_Age-D85))/(1-(1+AS_Wage)/(1+Slot17_Rate))),1)</f>
        <v>1</v>
      </c>
      <c r="NE85" s="20" t="n">
        <f aca="false">IF(AND(HU85=1,IE85&gt;0,Slot17_IsWG=1,GB85=1),MAX(0,(Slot17_Cost-GC85*(1+Slot17_Rate)^(Slot17_Age-D85))/ND85),0)</f>
        <v>0</v>
      </c>
      <c r="NF85" s="20" t="n">
        <f aca="false">IF(AND(HU85=1,IE85&gt;0,Slot17_IsWG=1,GB85=1),MIN(IE85,NE85),0)</f>
        <v>0</v>
      </c>
      <c r="NG85" s="20" t="n">
        <f aca="false">GC85+NF85</f>
        <v>0</v>
      </c>
      <c r="NH85" s="20" t="n">
        <f aca="false">IF(GB85=1,MAX(0,(Slot17_Cost-NG85*(1+Slot17_Rate)^(Slot17_Age-D85))/ND85),0)</f>
        <v>0</v>
      </c>
      <c r="NI85" s="20" t="n">
        <f aca="false">IF(GB85=1,MAX(0,(Slot17_Cost-GC85*(1+Slot17_Rate)^(Slot17_Age-D85))/ND85),0)</f>
        <v>0</v>
      </c>
      <c r="NJ85" s="20" t="n">
        <f aca="false">IF(AND(HU85=1,GB85=1),MIN(NC85,NH85),0)</f>
        <v>0</v>
      </c>
      <c r="NK85" s="20" t="n">
        <f aca="false">NC85-NJ85</f>
        <v>0</v>
      </c>
      <c r="NL85" s="20" t="n">
        <f aca="false">IF(GL85=1,IF(ABS((1+AS_Wage)/(1+Slot18_Rate)-1)&lt;0.000000000001,(Slot18_Age-D85)*(1+Slot18_Rate)^(Slot18_Age-D85),(1+Slot18_Rate)^(Slot18_Age-D85)*(1-((1+AS_Wage)/(1+Slot18_Rate))^(Slot18_Age-D85))/(1-(1+AS_Wage)/(1+Slot18_Rate))),1)</f>
        <v>1</v>
      </c>
      <c r="NM85" s="20" t="n">
        <f aca="false">IF(AND(HU85=1,IE85&gt;0,Slot18_IsWG=1,GL85=1),MAX(0,(Slot18_Cost-GM85*(1+Slot18_Rate)^(Slot18_Age-D85))/NL85),0)</f>
        <v>0</v>
      </c>
      <c r="NN85" s="20" t="n">
        <f aca="false">IF(AND(HU85=1,IE85&gt;0,Slot18_IsWG=1,GL85=1),MIN(IE85,NM85),0)</f>
        <v>0</v>
      </c>
      <c r="NO85" s="20" t="n">
        <f aca="false">GM85+NN85</f>
        <v>0</v>
      </c>
      <c r="NP85" s="20" t="n">
        <f aca="false">IF(GL85=1,MAX(0,(Slot18_Cost-NO85*(1+Slot18_Rate)^(Slot18_Age-D85))/NL85),0)</f>
        <v>0</v>
      </c>
      <c r="NQ85" s="20" t="n">
        <f aca="false">IF(GL85=1,MAX(0,(Slot18_Cost-GM85*(1+Slot18_Rate)^(Slot18_Age-D85))/NL85),0)</f>
        <v>0</v>
      </c>
      <c r="NR85" s="20" t="n">
        <f aca="false">IF(AND(HU85=1,GL85=1),MIN(NK85,NP85),0)</f>
        <v>0</v>
      </c>
      <c r="NS85" s="20" t="n">
        <f aca="false">NK85-NR85</f>
        <v>0</v>
      </c>
      <c r="NT85" s="20" t="n">
        <f aca="false">IF(GV85=1,IF(ABS((1+AS_Wage)/(1+Slot19_Rate)-1)&lt;0.000000000001,(Slot19_Age-D85)*(1+Slot19_Rate)^(Slot19_Age-D85),(1+Slot19_Rate)^(Slot19_Age-D85)*(1-((1+AS_Wage)/(1+Slot19_Rate))^(Slot19_Age-D85))/(1-(1+AS_Wage)/(1+Slot19_Rate))),1)</f>
        <v>1</v>
      </c>
      <c r="NU85" s="20" t="n">
        <f aca="false">IF(AND(HU85=1,IE85&gt;0,Slot19_IsWG=1,GV85=1),MAX(0,(Slot19_Cost-GW85*(1+Slot19_Rate)^(Slot19_Age-D85))/NT85),0)</f>
        <v>0</v>
      </c>
      <c r="NV85" s="20" t="n">
        <f aca="false">IF(AND(HU85=1,IE85&gt;0,Slot19_IsWG=1,GV85=1),MIN(IE85,NU85),0)</f>
        <v>0</v>
      </c>
      <c r="NW85" s="20" t="n">
        <f aca="false">GW85+NV85</f>
        <v>0</v>
      </c>
      <c r="NX85" s="20" t="n">
        <f aca="false">IF(GV85=1,MAX(0,(Slot19_Cost-NW85*(1+Slot19_Rate)^(Slot19_Age-D85))/NT85),0)</f>
        <v>0</v>
      </c>
      <c r="NY85" s="20" t="n">
        <f aca="false">IF(GV85=1,MAX(0,(Slot19_Cost-GW85*(1+Slot19_Rate)^(Slot19_Age-D85))/NT85),0)</f>
        <v>0</v>
      </c>
      <c r="NZ85" s="20" t="n">
        <f aca="false">IF(AND(HU85=1,GV85=1),MIN(NS85,NX85),0)</f>
        <v>0</v>
      </c>
      <c r="OA85" s="20" t="n">
        <f aca="false">NS85-NZ85</f>
        <v>0</v>
      </c>
      <c r="OB85" s="20" t="n">
        <f aca="false">IF(HF85=1,IF(ABS((1+AS_Wage)/(1+Slot20_Rate)-1)&lt;0.000000000001,(Slot20_Age-D85)*(1+Slot20_Rate)^(Slot20_Age-D85),(1+Slot20_Rate)^(Slot20_Age-D85)*(1-((1+AS_Wage)/(1+Slot20_Rate))^(Slot20_Age-D85))/(1-(1+AS_Wage)/(1+Slot20_Rate))),1)</f>
        <v>1</v>
      </c>
      <c r="OC85" s="20" t="n">
        <f aca="false">IF(AND(HU85=1,IE85&gt;0,Slot20_IsWG=1,HF85=1),MAX(0,(Slot20_Cost-HG85*(1+Slot20_Rate)^(Slot20_Age-D85))/OB85),0)</f>
        <v>0</v>
      </c>
      <c r="OD85" s="20" t="n">
        <f aca="false">IF(AND(HU85=1,IE85&gt;0,Slot20_IsWG=1,HF85=1),MIN(IE85,OC85),0)</f>
        <v>0</v>
      </c>
      <c r="OE85" s="20" t="n">
        <f aca="false">HG85+OD85</f>
        <v>0</v>
      </c>
      <c r="OF85" s="20" t="n">
        <f aca="false">IF(HF85=1,MAX(0,(Slot20_Cost-OE85*(1+Slot20_Rate)^(Slot20_Age-D85))/OB85),0)</f>
        <v>0</v>
      </c>
      <c r="OG85" s="20" t="n">
        <f aca="false">IF(HF85=1,MAX(0,(Slot20_Cost-HG85*(1+Slot20_Rate)^(Slot20_Age-D85))/OB85),0)</f>
        <v>0</v>
      </c>
      <c r="OH85" s="20" t="n">
        <f aca="false">IF(AND(HU85=1,HF85=1),MIN(OA85,OF85),0)</f>
        <v>0</v>
      </c>
      <c r="OI85" s="20" t="n">
        <f aca="false">OA85-OH85</f>
        <v>0</v>
      </c>
      <c r="OJ85" s="20" t="n">
        <f aca="false">IE85-(IH85+IP85+IX85+JF85+JN85+JV85+KD85+KL85+KT85+LB85+LJ85+LR85+LZ85+MH85+MP85+MX85+NF85+NN85+NV85+OD85)</f>
        <v>0</v>
      </c>
      <c r="OK85" s="20" t="n">
        <f aca="false">IF(HU85=1,HS85-ID85-IE85,0)</f>
        <v>0</v>
      </c>
      <c r="OL85" s="20" t="n">
        <f aca="false">IF(HU85=0,-HS85,0)</f>
        <v>88510.3302750811</v>
      </c>
      <c r="OM85" s="20" t="n">
        <f aca="false">MIN(OL85,HK85)</f>
        <v>0</v>
      </c>
      <c r="ON85" s="20" t="n">
        <f aca="false">OL85-OM85</f>
        <v>88510.3302750811</v>
      </c>
      <c r="OO85" s="20" t="n">
        <f aca="false">MIN(ON85,HL85)</f>
        <v>0</v>
      </c>
      <c r="OP85" s="20" t="n">
        <f aca="false">ON85-OO85</f>
        <v>88510.3302750811</v>
      </c>
      <c r="OQ85" s="20" t="n">
        <f aca="false">IF(AND(HU85=0,HF85=1,OP85&gt;0),MIN(OP85,HG85),0)</f>
        <v>0</v>
      </c>
      <c r="OR85" s="20" t="n">
        <f aca="false">OP85-OQ85</f>
        <v>88510.3302750811</v>
      </c>
      <c r="OS85" s="20" t="n">
        <f aca="false">IF(AND(HU85=0,GV85=1,OR85&gt;0),MIN(OR85,GW85),0)</f>
        <v>0</v>
      </c>
      <c r="OT85" s="20" t="n">
        <f aca="false">OR85-OS85</f>
        <v>88510.3302750811</v>
      </c>
      <c r="OU85" s="20" t="n">
        <f aca="false">IF(AND(HU85=0,GL85=1,OT85&gt;0),MIN(OT85,GM85),0)</f>
        <v>0</v>
      </c>
      <c r="OV85" s="20" t="n">
        <f aca="false">OT85-OU85</f>
        <v>88510.3302750811</v>
      </c>
      <c r="OW85" s="20" t="n">
        <f aca="false">IF(AND(HU85=0,GB85=1,OV85&gt;0),MIN(OV85,GC85),0)</f>
        <v>0</v>
      </c>
      <c r="OX85" s="20" t="n">
        <f aca="false">OV85-OW85</f>
        <v>88510.3302750811</v>
      </c>
      <c r="OY85" s="20" t="n">
        <f aca="false">IF(AND(HU85=0,FR85=1,OX85&gt;0),MIN(OX85,FS85),0)</f>
        <v>0</v>
      </c>
      <c r="OZ85" s="20" t="n">
        <f aca="false">OX85-OY85</f>
        <v>88510.3302750811</v>
      </c>
      <c r="PA85" s="20" t="n">
        <f aca="false">IF(AND(HU85=0,FH85=1,OZ85&gt;0),MIN(OZ85,FI85),0)</f>
        <v>0</v>
      </c>
      <c r="PB85" s="20" t="n">
        <f aca="false">OZ85-PA85</f>
        <v>88510.3302750811</v>
      </c>
      <c r="PC85" s="20" t="n">
        <f aca="false">IF(AND(HU85=0,EX85=1,PB85&gt;0),MIN(PB85,EY85),0)</f>
        <v>0</v>
      </c>
      <c r="PD85" s="20" t="n">
        <f aca="false">PB85-PC85</f>
        <v>88510.3302750811</v>
      </c>
      <c r="PE85" s="20" t="n">
        <f aca="false">IF(AND(HU85=0,EN85=1,PD85&gt;0),MIN(PD85,EO85),0)</f>
        <v>0</v>
      </c>
      <c r="PF85" s="20" t="n">
        <f aca="false">PD85-PE85</f>
        <v>88510.3302750811</v>
      </c>
      <c r="PG85" s="20" t="n">
        <f aca="false">IF(AND(HU85=0,ED85=1,PF85&gt;0),MIN(PF85,EE85),0)</f>
        <v>0</v>
      </c>
      <c r="PH85" s="20" t="n">
        <f aca="false">PF85-PG85</f>
        <v>88510.3302750811</v>
      </c>
      <c r="PI85" s="20" t="n">
        <f aca="false">IF(AND(HU85=0,DT85=1,PH85&gt;0),MIN(PH85,DU85),0)</f>
        <v>0</v>
      </c>
      <c r="PJ85" s="20" t="n">
        <f aca="false">PH85-PI85</f>
        <v>88510.3302750811</v>
      </c>
      <c r="PK85" s="20" t="n">
        <f aca="false">IF(AND(HU85=0,DJ85=1,PJ85&gt;0),MIN(PJ85,DK85),0)</f>
        <v>0</v>
      </c>
      <c r="PL85" s="20" t="n">
        <f aca="false">PJ85-PK85</f>
        <v>88510.3302750811</v>
      </c>
      <c r="PM85" s="20" t="n">
        <f aca="false">IF(AND(HU85=0,CZ85=1,PL85&gt;0),MIN(PL85,DA85),0)</f>
        <v>0</v>
      </c>
      <c r="PN85" s="20" t="n">
        <f aca="false">PL85-PM85</f>
        <v>88510.3302750811</v>
      </c>
      <c r="PO85" s="20" t="n">
        <f aca="false">IF(AND(HU85=0,CP85=1,PN85&gt;0),MIN(PN85,CQ85),0)</f>
        <v>0</v>
      </c>
      <c r="PP85" s="20" t="n">
        <f aca="false">PN85-PO85</f>
        <v>88510.3302750811</v>
      </c>
      <c r="PQ85" s="20" t="n">
        <f aca="false">IF(AND(HU85=0,CF85=1,PP85&gt;0),MIN(PP85,CG85),0)</f>
        <v>0</v>
      </c>
      <c r="PR85" s="20" t="n">
        <f aca="false">PP85-PQ85</f>
        <v>88510.3302750811</v>
      </c>
      <c r="PS85" s="20" t="n">
        <f aca="false">IF(AND(HU85=0,BV85=1,PR85&gt;0),MIN(PR85,BW85),0)</f>
        <v>0</v>
      </c>
      <c r="PT85" s="20" t="n">
        <f aca="false">PR85-PS85</f>
        <v>88510.3302750811</v>
      </c>
      <c r="PU85" s="20" t="n">
        <f aca="false">IF(AND(HU85=0,BL85=1,PT85&gt;0),MIN(PT85,BM85),0)</f>
        <v>0</v>
      </c>
      <c r="PV85" s="20" t="n">
        <f aca="false">PT85-PU85</f>
        <v>88510.3302750811</v>
      </c>
      <c r="PW85" s="20" t="n">
        <f aca="false">IF(AND(HU85=0,BB85=1,PV85&gt;0),MIN(PV85,BC85),0)</f>
        <v>0</v>
      </c>
      <c r="PX85" s="20" t="n">
        <f aca="false">PV85-PW85</f>
        <v>88510.3302750811</v>
      </c>
      <c r="PY85" s="20" t="n">
        <f aca="false">IF(AND(HU85=0,AR85=1,PX85&gt;0),MIN(PX85,AS85),0)</f>
        <v>0</v>
      </c>
      <c r="PZ85" s="20" t="n">
        <f aca="false">PX85-PY85</f>
        <v>88510.3302750811</v>
      </c>
      <c r="QA85" s="20" t="n">
        <f aca="false">IF(AND(HU85=0,AH85=1,PZ85&gt;0),MIN(PZ85,AI85),0)</f>
        <v>0</v>
      </c>
      <c r="QB85" s="20" t="n">
        <f aca="false">PZ85-QA85</f>
        <v>88510.3302750811</v>
      </c>
      <c r="QC85" s="20" t="n">
        <f aca="false">IF(AND(HU85=0,W85=1,QB85&gt;0),MIN(QB85,X85),0)</f>
        <v>0</v>
      </c>
      <c r="QD85" s="20" t="n">
        <f aca="false">QB85-QC85</f>
        <v>88510.3302750811</v>
      </c>
      <c r="QE85" s="20" t="n">
        <f aca="false">IF(HU85=0,QD85,0)</f>
        <v>88510.3302750811</v>
      </c>
      <c r="QF85" s="20" t="n">
        <f aca="false">OM85+OO85+QC85+QA85+PY85+PW85+PU85+PS85+PQ85+PO85+PM85+PK85+PI85+PG85+PE85+PC85+PA85+OY85+OW85+OU85+OS85+OQ85</f>
        <v>0</v>
      </c>
      <c r="QG85" s="20" t="n">
        <f aca="false">IF(HU85=1,HK85+OJ85+OI85+IF(G85=1,0,OK85),HK85-OM85)</f>
        <v>0</v>
      </c>
      <c r="QH85" s="20" t="n">
        <f aca="false">HL85-OO85</f>
        <v>0</v>
      </c>
      <c r="QI85" s="20" t="n">
        <f aca="false">IF(HU85=1,IF(G85=1,ID85+IE85,HS85),0)</f>
        <v>0</v>
      </c>
      <c r="QJ85" s="20" t="n">
        <f aca="false">IF(HU85=1,IF(G85=1,HS85-ID85-IE85,0),0)</f>
        <v>0</v>
      </c>
      <c r="QK85" s="57" t="n">
        <f aca="false">'Plan holdings'!BM85</f>
        <v>0</v>
      </c>
      <c r="QL85" s="20" t="n">
        <f aca="false">QH85*(1+AS_Cash)</f>
        <v>0</v>
      </c>
      <c r="QM85" s="20" t="n">
        <f aca="false">IF(W85=1,IF(HU85=1,II85+IL85,X85-QC85)*(1+Slot1_Rate),0)</f>
        <v>0</v>
      </c>
      <c r="QN85" s="20" t="n">
        <f aca="false">IF(AND(HU85=1,W85=1),(IH85+IL85)/F85,0)</f>
        <v>0</v>
      </c>
      <c r="QO85" s="20" t="n">
        <f aca="false">IF(B85=0,IH85+IL85,0)</f>
        <v>0</v>
      </c>
      <c r="QP85" s="20" t="n">
        <f aca="false">IF(B85=0,IF(HU85=1,IJ85,IK85),0)</f>
        <v>0</v>
      </c>
      <c r="QQ85" s="20" t="n">
        <f aca="false">IF(AH85=1,IF(HU85=1,IQ85+IT85,AI85-QA85)*(1+Slot2_Rate),0)</f>
        <v>0</v>
      </c>
      <c r="QR85" s="20" t="n">
        <f aca="false">IF(AND(HU85=1,AH85=1),(IP85+IT85)/F85,0)</f>
        <v>0</v>
      </c>
      <c r="QS85" s="20" t="n">
        <f aca="false">IF(B85=0,IP85+IT85,0)</f>
        <v>0</v>
      </c>
      <c r="QT85" s="20" t="n">
        <f aca="false">IF(B85=0,IF(HU85=1,IR85,IS85),0)</f>
        <v>0</v>
      </c>
      <c r="QU85" s="20" t="n">
        <f aca="false">IF(AR85=1,IF(HU85=1,IY85+JB85,AS85-PY85)*(1+Slot3_Rate),0)</f>
        <v>0</v>
      </c>
      <c r="QV85" s="20" t="n">
        <f aca="false">IF(AND(HU85=1,AR85=1),(IX85+JB85)/F85,0)</f>
        <v>0</v>
      </c>
      <c r="QW85" s="20" t="n">
        <f aca="false">IF(B85=0,IX85+JB85,0)</f>
        <v>0</v>
      </c>
      <c r="QX85" s="20" t="n">
        <f aca="false">IF(B85=0,IF(HU85=1,IZ85,JA85),0)</f>
        <v>0</v>
      </c>
      <c r="QY85" s="20" t="n">
        <f aca="false">IF(BB85=1,IF(HU85=1,JG85+JJ85,BC85-PW85)*(1+Slot4_Rate),0)</f>
        <v>0</v>
      </c>
      <c r="QZ85" s="20" t="n">
        <f aca="false">IF(AND(HU85=1,BB85=1),(JF85+JJ85)/F85,0)</f>
        <v>0</v>
      </c>
      <c r="RA85" s="20" t="n">
        <f aca="false">IF(B85=0,JF85+JJ85,0)</f>
        <v>0</v>
      </c>
      <c r="RB85" s="20" t="n">
        <f aca="false">IF(B85=0,IF(HU85=1,JH85,JI85),0)</f>
        <v>0</v>
      </c>
      <c r="RC85" s="20" t="n">
        <f aca="false">IF(BL85=1,IF(HU85=1,JO85+JR85,BM85-PU85)*(1+Slot5_Rate),0)</f>
        <v>0</v>
      </c>
      <c r="RD85" s="20" t="n">
        <f aca="false">IF(AND(HU85=1,BL85=1),(JN85+JR85)/F85,0)</f>
        <v>0</v>
      </c>
      <c r="RE85" s="20" t="n">
        <f aca="false">IF(B85=0,JN85+JR85,0)</f>
        <v>0</v>
      </c>
      <c r="RF85" s="20" t="n">
        <f aca="false">IF(B85=0,IF(HU85=1,JP85,JQ85),0)</f>
        <v>0</v>
      </c>
      <c r="RG85" s="20" t="n">
        <f aca="false">IF(BV85=1,IF(HU85=1,JW85+JZ85,BW85-PS85)*(1+Slot6_Rate),0)</f>
        <v>0</v>
      </c>
      <c r="RH85" s="20" t="n">
        <f aca="false">IF(AND(HU85=1,BV85=1),(JV85+JZ85)/F85,0)</f>
        <v>0</v>
      </c>
      <c r="RI85" s="20" t="n">
        <f aca="false">IF(B85=0,JV85+JZ85,0)</f>
        <v>0</v>
      </c>
      <c r="RJ85" s="20" t="n">
        <f aca="false">IF(B85=0,IF(HU85=1,JX85,JY85),0)</f>
        <v>0</v>
      </c>
      <c r="RK85" s="20" t="n">
        <f aca="false">IF(CF85=1,IF(HU85=1,KE85+KH85,CG85-PQ85)*(1+Slot7_Rate),0)</f>
        <v>0</v>
      </c>
      <c r="RL85" s="20" t="n">
        <f aca="false">IF(AND(HU85=1,CF85=1),(KD85+KH85)/F85,0)</f>
        <v>0</v>
      </c>
      <c r="RM85" s="20" t="n">
        <f aca="false">IF(B85=0,KD85+KH85,0)</f>
        <v>0</v>
      </c>
      <c r="RN85" s="20" t="n">
        <f aca="false">IF(B85=0,IF(HU85=1,KF85,KG85),0)</f>
        <v>0</v>
      </c>
      <c r="RO85" s="20" t="n">
        <f aca="false">IF(CP85=1,IF(HU85=1,KM85+KP85,CQ85-PO85)*(1+Slot8_Rate),0)</f>
        <v>0</v>
      </c>
      <c r="RP85" s="20" t="n">
        <f aca="false">IF(AND(HU85=1,CP85=1),(KL85+KP85)/F85,0)</f>
        <v>0</v>
      </c>
      <c r="RQ85" s="20" t="n">
        <f aca="false">IF(B85=0,KL85+KP85,0)</f>
        <v>0</v>
      </c>
      <c r="RR85" s="20" t="n">
        <f aca="false">IF(B85=0,IF(HU85=1,KN85,KO85),0)</f>
        <v>0</v>
      </c>
      <c r="RS85" s="20" t="n">
        <f aca="false">IF(CZ85=1,IF(HU85=1,KU85+KX85,DA85-PM85)*(1+Slot9_Rate),0)</f>
        <v>0</v>
      </c>
      <c r="RT85" s="20" t="n">
        <f aca="false">IF(AND(HU85=1,CZ85=1),(KT85+KX85)/F85,0)</f>
        <v>0</v>
      </c>
      <c r="RU85" s="20" t="n">
        <f aca="false">IF(B85=0,KT85+KX85,0)</f>
        <v>0</v>
      </c>
      <c r="RV85" s="20" t="n">
        <f aca="false">IF(B85=0,IF(HU85=1,KV85,KW85),0)</f>
        <v>0</v>
      </c>
      <c r="RW85" s="20" t="n">
        <f aca="false">IF(DJ85=1,IF(HU85=1,LC85+LF85,DK85-PK85)*(1+Slot10_Rate),0)</f>
        <v>0</v>
      </c>
      <c r="RX85" s="20" t="n">
        <f aca="false">IF(AND(HU85=1,DJ85=1),(LB85+LF85)/F85,0)</f>
        <v>0</v>
      </c>
      <c r="RY85" s="20" t="n">
        <f aca="false">IF(B85=0,LB85+LF85,0)</f>
        <v>0</v>
      </c>
      <c r="RZ85" s="20" t="n">
        <f aca="false">IF(B85=0,IF(HU85=1,LD85,LE85),0)</f>
        <v>0</v>
      </c>
      <c r="SA85" s="20" t="n">
        <f aca="false">IF(DT85=1,IF(HU85=1,LK85+LN85,DU85-PI85)*(1+Slot11_Rate),0)</f>
        <v>0</v>
      </c>
      <c r="SB85" s="20" t="n">
        <f aca="false">IF(AND(HU85=1,DT85=1),(LJ85+LN85)/F85,0)</f>
        <v>0</v>
      </c>
      <c r="SC85" s="20" t="n">
        <f aca="false">IF(B85=0,LJ85+LN85,0)</f>
        <v>0</v>
      </c>
      <c r="SD85" s="20" t="n">
        <f aca="false">IF(B85=0,IF(HU85=1,LL85,LM85),0)</f>
        <v>0</v>
      </c>
      <c r="SE85" s="20" t="n">
        <f aca="false">IF(ED85=1,IF(HU85=1,LS85+LV85,EE85-PG85)*(1+Slot12_Rate),0)</f>
        <v>0</v>
      </c>
      <c r="SF85" s="20" t="n">
        <f aca="false">IF(AND(HU85=1,ED85=1),(LR85+LV85)/F85,0)</f>
        <v>0</v>
      </c>
      <c r="SG85" s="20" t="n">
        <f aca="false">IF(B85=0,LR85+LV85,0)</f>
        <v>0</v>
      </c>
      <c r="SH85" s="20" t="n">
        <f aca="false">IF(B85=0,IF(HU85=1,LT85,LU85),0)</f>
        <v>0</v>
      </c>
      <c r="SI85" s="20" t="n">
        <f aca="false">IF(EN85=1,IF(HU85=1,MA85+MD85,EO85-PE85)*(1+Slot13_Rate),0)</f>
        <v>0</v>
      </c>
      <c r="SJ85" s="20" t="n">
        <f aca="false">IF(AND(HU85=1,EN85=1),(LZ85+MD85)/F85,0)</f>
        <v>0</v>
      </c>
      <c r="SK85" s="20" t="n">
        <f aca="false">IF(B85=0,LZ85+MD85,0)</f>
        <v>0</v>
      </c>
      <c r="SL85" s="20" t="n">
        <f aca="false">IF(B85=0,IF(HU85=1,MB85,MC85),0)</f>
        <v>0</v>
      </c>
      <c r="SM85" s="20" t="n">
        <f aca="false">IF(EX85=1,IF(HU85=1,MI85+ML85,EY85-PC85)*(1+Slot14_Rate),0)</f>
        <v>0</v>
      </c>
      <c r="SN85" s="20" t="n">
        <f aca="false">IF(AND(HU85=1,EX85=1),(MH85+ML85)/F85,0)</f>
        <v>0</v>
      </c>
      <c r="SO85" s="20" t="n">
        <f aca="false">IF(B85=0,MH85+ML85,0)</f>
        <v>0</v>
      </c>
      <c r="SP85" s="20" t="n">
        <f aca="false">IF(B85=0,IF(HU85=1,MJ85,MK85),0)</f>
        <v>0</v>
      </c>
      <c r="SQ85" s="20" t="n">
        <f aca="false">IF(FH85=1,IF(HU85=1,MQ85+MT85,FI85-PA85)*(1+Slot15_Rate),0)</f>
        <v>0</v>
      </c>
      <c r="SR85" s="20" t="n">
        <f aca="false">IF(AND(HU85=1,FH85=1),(MP85+MT85)/F85,0)</f>
        <v>0</v>
      </c>
      <c r="SS85" s="20" t="n">
        <f aca="false">IF(B85=0,MP85+MT85,0)</f>
        <v>0</v>
      </c>
      <c r="ST85" s="20" t="n">
        <f aca="false">IF(B85=0,IF(HU85=1,MR85,MS85),0)</f>
        <v>0</v>
      </c>
      <c r="SU85" s="20" t="n">
        <f aca="false">IF(FR85=1,IF(HU85=1,MY85+NB85,FS85-OY85)*(1+Slot16_Rate),0)</f>
        <v>0</v>
      </c>
      <c r="SV85" s="20" t="n">
        <f aca="false">IF(AND(HU85=1,FR85=1),(MX85+NB85)/F85,0)</f>
        <v>0</v>
      </c>
      <c r="SW85" s="20" t="n">
        <f aca="false">IF(B85=0,MX85+NB85,0)</f>
        <v>0</v>
      </c>
      <c r="SX85" s="20" t="n">
        <f aca="false">IF(B85=0,IF(HU85=1,MZ85,NA85),0)</f>
        <v>0</v>
      </c>
      <c r="SY85" s="20" t="n">
        <f aca="false">IF(GB85=1,IF(HU85=1,NG85+NJ85,GC85-OW85)*(1+Slot17_Rate),0)</f>
        <v>0</v>
      </c>
      <c r="SZ85" s="20" t="n">
        <f aca="false">IF(AND(HU85=1,GB85=1),(NF85+NJ85)/F85,0)</f>
        <v>0</v>
      </c>
      <c r="TA85" s="20" t="n">
        <f aca="false">IF(B85=0,NF85+NJ85,0)</f>
        <v>0</v>
      </c>
      <c r="TB85" s="20" t="n">
        <f aca="false">IF(B85=0,IF(HU85=1,NH85,NI85),0)</f>
        <v>0</v>
      </c>
      <c r="TC85" s="20" t="n">
        <f aca="false">IF(GL85=1,IF(HU85=1,NO85+NR85,GM85-OU85)*(1+Slot18_Rate),0)</f>
        <v>0</v>
      </c>
      <c r="TD85" s="20" t="n">
        <f aca="false">IF(AND(HU85=1,GL85=1),(NN85+NR85)/F85,0)</f>
        <v>0</v>
      </c>
      <c r="TE85" s="20" t="n">
        <f aca="false">IF(B85=0,NN85+NR85,0)</f>
        <v>0</v>
      </c>
      <c r="TF85" s="20" t="n">
        <f aca="false">IF(B85=0,IF(HU85=1,NP85,NQ85),0)</f>
        <v>0</v>
      </c>
      <c r="TG85" s="20" t="n">
        <f aca="false">IF(GV85=1,IF(HU85=1,NW85+NZ85,GW85-OS85)*(1+Slot19_Rate),0)</f>
        <v>0</v>
      </c>
      <c r="TH85" s="20" t="n">
        <f aca="false">IF(AND(HU85=1,GV85=1),(NV85+NZ85)/F85,0)</f>
        <v>0</v>
      </c>
      <c r="TI85" s="20" t="n">
        <f aca="false">IF(B85=0,NV85+NZ85,0)</f>
        <v>0</v>
      </c>
      <c r="TJ85" s="20" t="n">
        <f aca="false">IF(B85=0,IF(HU85=1,NX85,NY85),0)</f>
        <v>0</v>
      </c>
      <c r="TK85" s="20" t="n">
        <f aca="false">IF(HF85=1,IF(HU85=1,OE85+OH85,HG85-OQ85)*(1+Slot20_Rate),0)</f>
        <v>0</v>
      </c>
      <c r="TL85" s="20" t="n">
        <f aca="false">IF(AND(HU85=1,HF85=1),(OD85+OH85)/F85,0)</f>
        <v>0</v>
      </c>
      <c r="TM85" s="20" t="n">
        <f aca="false">IF(B85=0,OD85+OH85,0)</f>
        <v>0</v>
      </c>
      <c r="TN85" s="20" t="n">
        <f aca="false">IF(B85=0,IF(HU85=1,OF85,OG85),0)</f>
        <v>0</v>
      </c>
      <c r="TO85" s="20" t="n">
        <f aca="false">QK85+QL85+QM85+QQ85+QU85+QY85+RC85+RG85+RK85+RO85+RS85+RW85+SA85+SE85+SI85+SM85+SQ85+SU85+SY85+TC85+TG85+TK85</f>
        <v>0</v>
      </c>
      <c r="TP85" s="20" t="n">
        <f aca="false">QE85+HP85</f>
        <v>88510.3302750811</v>
      </c>
      <c r="TQ85" s="20" t="n">
        <f aca="false">I85+S85</f>
        <v>219604.442919209</v>
      </c>
      <c r="TR85" s="20" t="n">
        <f aca="false">1-G85</f>
        <v>1</v>
      </c>
      <c r="TS85" s="20" t="n">
        <f aca="false">IF(AND(RG_Exists=1,G85=0,C85=1),I85,0)</f>
        <v>0</v>
      </c>
      <c r="TT85" s="20" t="n">
        <f aca="false">IF(AND(RG_Exists=1,G85=0,C85=1),I85-MIN(QE85,I85),0)</f>
        <v>0</v>
      </c>
      <c r="TU85" s="20" t="n">
        <f aca="false">'Plan pay &amp; tax'!AD311</f>
        <v>0</v>
      </c>
      <c r="TV85" s="20" t="n">
        <f aca="false">IF(AND(C85=1,QE85&gt;MAX(PR_Short1,TQ85*PR_Short2)),1,0)</f>
        <v>0</v>
      </c>
      <c r="TW85" s="20" t="n">
        <f aca="false">MIN(H85,I85+S85)</f>
        <v>131094.112644128</v>
      </c>
      <c r="TX85" s="20" t="n">
        <f aca="false">QF85+MAX(0,HQ85-HP85)</f>
        <v>0</v>
      </c>
      <c r="TY85" s="20" t="n">
        <f aca="false">QE85+HP85</f>
        <v>88510.3302750811</v>
      </c>
      <c r="TZ85" s="20" t="n">
        <f aca="false">IF(AND(C85=1,TY85&gt;PR_MinShort),1,0)</f>
        <v>0</v>
      </c>
      <c r="UA85" s="20" t="n">
        <f aca="false">IF(AND(C85=1,TZ85=0,TX85&gt;PR_MinShort),1,0)</f>
        <v>0</v>
      </c>
      <c r="UB85" s="20" t="n">
        <f aca="false">IF(AND(C85=1,QE85&gt;PR_MinShort),1,0)</f>
        <v>0</v>
      </c>
      <c r="UC85" s="20" t="n">
        <f aca="false">IF(AND(C85=1,QF85&gt;1,UJ85=0),1,0)</f>
        <v>0</v>
      </c>
      <c r="UD85" s="20" t="str">
        <f aca="false">IF(C85=0,"",IF(UJ85=1,"Gap to plan for: short "&amp;"€"&amp;TEXT(ROUND(TP85,0),"#,##0"),IF(QF85&gt;1,"Using savings","Comfortable")))</f>
        <v/>
      </c>
      <c r="UE85" s="20" t="n">
        <f aca="false">IF(AND(INT(D85/10)*10=90,B85&gt;0),80,INT(D85/10)*10)</f>
        <v>110</v>
      </c>
      <c r="UF85" s="20" t="n">
        <f aca="false">IF(B85=0,1,IF(UE85&lt;&gt;UE84,UF84+1,UF84))</f>
        <v>8</v>
      </c>
      <c r="UG85" s="20" t="n">
        <f aca="false">IF(AND(C85=1,G85=1,QE85&gt;MAX(PR_Short1,TQ85*PR_Short2)),1,0)</f>
        <v>0</v>
      </c>
      <c r="UH85" s="20" t="n">
        <f aca="false">TR85*TV85</f>
        <v>0</v>
      </c>
      <c r="UI85" s="20" t="n">
        <f aca="false">IF(AND(V85=1,Slot1_PctLow=1),1,0)+IF(AND(AG85=1,Slot2_PctLow=1),1,0)+IF(AND(AQ85=1,Slot3_PctLow=1),1,0)+IF(AND(BA85=1,Slot4_PctLow=1),1,0)+IF(AND(BK85=1,Slot5_PctLow=1),1,0)+IF(AND(BU85=1,Slot6_PctLow=1),1,0)+IF(AND(CE85=1,Slot7_PctLow=1),1,0)+IF(AND(CO85=1,Slot8_PctLow=1),1,0)+IF(AND(CY85=1,Slot9_PctLow=1),1,0)+IF(AND(DI85=1,Slot10_PctLow=1),1,0)+IF(AND(DS85=1,Slot11_PctLow=1),1,0)+IF(AND(EC85=1,Slot12_PctLow=1),1,0)+IF(AND(EM85=1,Slot13_PctLow=1),1,0)+IF(AND(EW85=1,Slot14_PctLow=1),1,0)+IF(AND(FG85=1,Slot15_PctLow=1),1,0)+IF(AND(FQ85=1,Slot16_PctLow=1),1,0)+IF(AND(GA85=1,Slot17_PctLow=1),1,0)+IF(AND(GK85=1,Slot18_PctLow=1),1,0)+IF(AND(GU85=1,Slot19_PctLow=1),1,0)+IF(AND(HE85=1,Slot20_PctLow=1),1,0)</f>
        <v>0</v>
      </c>
      <c r="UJ85" s="20" t="n">
        <f aca="false">IF(C85=1,IF(OR(TV85=1,UI85&gt;0),1,0),0)</f>
        <v>0</v>
      </c>
      <c r="UK85" s="20" t="n">
        <f aca="false">Z85+AK85+AU85+BE85+BO85+BY85+CI85+CS85+DC85+DM85+DW85+EG85+EQ85+FA85+FK85+FU85+GE85+GO85+GY85+HI85+OM85</f>
        <v>0</v>
      </c>
      <c r="UL85" s="20" t="n">
        <f aca="false">V85*IF(Slot1_SpendLike=1,X85-Y85,IF(Slot1_PotFree=1,X85,0))+AG85*IF(Slot2_SpendLike=1,AI85-AJ85,IF(Slot2_PotFree=1,AI85,0))+AQ85*IF(Slot3_SpendLike=1,AS85-AT85,IF(Slot3_PotFree=1,AS85,0))+BA85*IF(Slot4_SpendLike=1,BC85-BD85,IF(Slot4_PotFree=1,BC85,0))+BK85*IF(Slot5_SpendLike=1,BM85-BN85,IF(Slot5_PotFree=1,BM85,0))+BU85*IF(Slot6_SpendLike=1,BW85-BX85,IF(Slot6_PotFree=1,BW85,0))+CE85*IF(Slot7_SpendLike=1,CG85-CH85,IF(Slot7_PotFree=1,CG85,0))+CO85*IF(Slot8_SpendLike=1,CQ85-CR85,IF(Slot8_PotFree=1,CQ85,0))+CY85*IF(Slot9_SpendLike=1,DA85-DB85,IF(Slot9_PotFree=1,DA85,0))+DI85*IF(Slot10_SpendLike=1,DK85-DL85,IF(Slot10_PotFree=1,DK85,0))+DS85*IF(Slot11_SpendLike=1,DU85-DV85,IF(Slot11_PotFree=1,DU85,0))+EC85*IF(Slot12_SpendLike=1,EE85-EF85,IF(Slot12_PotFree=1,EE85,0))+EM85*IF(Slot13_SpendLike=1,EO85-EP85,IF(Slot13_PotFree=1,EO85,0))+EW85*IF(Slot14_SpendLike=1,EY85-EZ85,IF(Slot14_PotFree=1,EY85,0))+FG85*IF(Slot15_SpendLike=1,FI85-FJ85,IF(Slot15_PotFree=1,FI85,0))+FQ85*IF(Slot16_SpendLike=1,FS85-FT85,IF(Slot16_PotFree=1,FS85,0))+GA85*IF(Slot17_SpendLike=1,GC85-GD85,IF(Slot17_PotFree=1,GC85,0))+GK85*IF(Slot18_SpendLike=1,GM85-GN85,IF(Slot18_PotFree=1,GM85,0))+GU85*IF(Slot19_SpendLike=1,GW85-GX85,IF(Slot19_PotFree=1,GW85,0))+HE85*IF(Slot20_SpendLike=1,HG85-HH85,IF(Slot20_PotFree=1,HG85,0))</f>
        <v>0</v>
      </c>
      <c r="UM85" s="20" t="n">
        <f aca="false">QG85-T85+UK85-UL85</f>
        <v>0</v>
      </c>
      <c r="UN85" s="20" t="n">
        <f aca="false">IF(OR(UN84=1,AND(In_homeUse="Yes, I'd downsize",In_downAge&gt;0,D85=In_downAge,OR(In_home="Own outright",In_home="Own with mortgage"),In_homeValue&gt;0)),1,0)</f>
        <v>0</v>
      </c>
    </row>
    <row r="86" customFormat="false" ht="15" hidden="false" customHeight="true" outlineLevel="0" collapsed="false">
      <c r="B86" s="20" t="n">
        <v>78</v>
      </c>
      <c r="C86" s="20" t="n">
        <f aca="false">IF(B86&lt;=F_N,1,0)</f>
        <v>0</v>
      </c>
      <c r="D86" s="20" t="n">
        <f aca="false">'Plan pay &amp; tax'!C312</f>
        <v>116</v>
      </c>
      <c r="E86" s="20" t="str">
        <f aca="false">IF($C86=1,"Income tax "&amp;TEXT(N('Plan pay &amp; tax'!BK312),"#,##0")&amp;"; USC "&amp;TEXT(N('Plan pay &amp; tax'!BM312)+N('Plan pay &amp; tax'!BO312),"#,##0")&amp;"; PRSI "&amp;TEXT(N('Plan pay &amp; tax'!BP312)+N('Plan pay &amp; tax'!BQ312),"#,##0")&amp;IF(N('Plan holdings'!BO86)&gt;=0.5,"; DIRT "&amp;TEXT(('Plan holdings'!BO86)/$F86,"#,##0")&amp;" (already taken from the interest earned)","")&amp;IF(N('Plan holdings'!BP86)&gt;=0.5,"; exit tax at an 8-year anniversary "&amp;TEXT(('Plan holdings'!BP86)/$F86,"#,##0"),"")&amp;IF(N('Plan holdings'!BN86)&gt;=0.5,"; tax on assets sold (exit tax or capital gains tax) "&amp;TEXT(('Plan holdings'!BN86)/$F86,"#,##0"),"")&amp;IF(N('Plan pay &amp; tax'!X312)-N('Plan pay &amp; tax'!Y312)&gt;=0.5,"; tax on the pension lump sum "&amp;TEXT(('Plan pay &amp; tax'!X312-'Plan pay &amp; tax'!Y312)/$F86,"#,##0"),"")&amp;IF(N('Plan pay &amp; tax'!V312)&gt;=0.5,"; chargeable excess tax on the pension "&amp;TEXT(('Plan pay &amp; tax'!V312)/$F86,"#,##0"),"")&amp;".","")</f>
        <v/>
      </c>
      <c r="F86" s="50" t="n">
        <f aca="false">'Plan pay &amp; tax'!E312</f>
        <v>4.68611991166513</v>
      </c>
      <c r="G86" s="20" t="n">
        <f aca="false">'Plan pay &amp; tax'!G312</f>
        <v>0</v>
      </c>
      <c r="H86" s="20" t="n">
        <f aca="false">'Plan pay &amp; tax'!BT312-'Plan pay &amp; tax'!BS312-'Plan pay &amp; tax'!R312</f>
        <v>133715.99489701</v>
      </c>
      <c r="I86" s="20" t="n">
        <f aca="false">IF(G86=1,F_CostsM*12,IF(RG_Exists=1,RG_Amount,F_CostsM*12*AS_RetireSpend))*F86+F_OneOffY*F86</f>
        <v>223996.531777593</v>
      </c>
      <c r="J86" s="20" t="n">
        <f aca="false">IF(UN86=1,0,HR85)</f>
        <v>0</v>
      </c>
      <c r="K86" s="20" t="n">
        <f aca="false">IF(J86&gt;1,'Plan debt months'!AC86,0)</f>
        <v>0</v>
      </c>
      <c r="L86" s="20" t="n">
        <f aca="false">IF(J86&gt;1,'Plan debt months'!AB86,J86)</f>
        <v>0</v>
      </c>
      <c r="M86" s="20" t="n">
        <f aca="false">O85</f>
        <v>0</v>
      </c>
      <c r="N86" s="20" t="n">
        <f aca="false">IF(M86&gt;1,'Plan debt months'!BD86,0)</f>
        <v>0</v>
      </c>
      <c r="O86" s="20" t="n">
        <f aca="false">IF(M86&gt;1,'Plan debt months'!BC86,M86)</f>
        <v>0</v>
      </c>
      <c r="P86" s="20" t="n">
        <f aca="false">R85</f>
        <v>0</v>
      </c>
      <c r="Q86" s="20" t="n">
        <f aca="false">IF(P86&gt;1,'Plan debt months'!CE86,0)</f>
        <v>0</v>
      </c>
      <c r="R86" s="20" t="n">
        <f aca="false">IF(P86&gt;1,'Plan debt months'!CD86,P86)</f>
        <v>0</v>
      </c>
      <c r="S86" s="20" t="n">
        <f aca="false">K86+N86+Q86</f>
        <v>0</v>
      </c>
      <c r="T86" s="57" t="n">
        <f aca="false">'Plan holdings'!Y86</f>
        <v>0</v>
      </c>
      <c r="U86" s="57" t="n">
        <f aca="false">'Plan holdings'!BM85</f>
        <v>0</v>
      </c>
      <c r="V86" s="20" t="n">
        <f aca="false">IF(AND(Slot1_On=1,D86=Slot1_Age),1,0)</f>
        <v>0</v>
      </c>
      <c r="W86" s="20" t="n">
        <f aca="false">IF(AND(Slot1_On=1,Slot1_Age&gt;D86),1,0)</f>
        <v>0</v>
      </c>
      <c r="X86" s="20" t="n">
        <f aca="false">QM85</f>
        <v>0</v>
      </c>
      <c r="Y86" s="20" t="n">
        <f aca="false">V86*MIN(Slot1_Cost,X86)</f>
        <v>0</v>
      </c>
      <c r="Z86" s="20" t="n">
        <f aca="false">V86*Slot1_SpendLike*MIN(Slot1_Cost-Y86,T86)</f>
        <v>0</v>
      </c>
      <c r="AA86" s="20" t="n">
        <f aca="false">Y86+Z86</f>
        <v>0</v>
      </c>
      <c r="AB86" s="20" t="n">
        <f aca="false">T86-Z86+V86*IF(Slot1_SpendLike=1,X86-Y86,IF(Slot1_PotFree=1,X86,0))</f>
        <v>0</v>
      </c>
      <c r="AC86" s="20" t="n">
        <f aca="false">AF86+V86*Slot1_BufPot*X86</f>
        <v>0</v>
      </c>
      <c r="AD86" s="20" t="n">
        <f aca="false">IF(AND(V86=1,Slot1_IsMfree=1),IF(AA86&gt;=Slot1_Cost-1,0,MAX(0,L86-AA86)),L86)</f>
        <v>0</v>
      </c>
      <c r="AE86" s="20" t="n">
        <f aca="false">V86*(Slot1_Cost-AA86)</f>
        <v>0</v>
      </c>
      <c r="AF86" s="20" t="n">
        <f aca="false">QL85</f>
        <v>0</v>
      </c>
      <c r="AG86" s="20" t="n">
        <f aca="false">IF(AND(Slot2_On=1,D86=Slot2_Age),1,0)</f>
        <v>0</v>
      </c>
      <c r="AH86" s="20" t="n">
        <f aca="false">IF(AND(Slot2_On=1,Slot2_Age&gt;D86),1,0)</f>
        <v>0</v>
      </c>
      <c r="AI86" s="20" t="n">
        <f aca="false">QQ85</f>
        <v>0</v>
      </c>
      <c r="AJ86" s="20" t="n">
        <f aca="false">AG86*MIN(Slot2_Cost,AI86)</f>
        <v>0</v>
      </c>
      <c r="AK86" s="20" t="n">
        <f aca="false">AG86*Slot2_SpendLike*MIN(Slot2_Cost-AJ86,AB86)</f>
        <v>0</v>
      </c>
      <c r="AL86" s="20" t="n">
        <f aca="false">AJ86+AK86</f>
        <v>0</v>
      </c>
      <c r="AM86" s="20" t="n">
        <f aca="false">AB86-AK86+AG86*IF(Slot2_SpendLike=1,AI86-AJ86,IF(Slot2_PotFree=1,AI86,0))</f>
        <v>0</v>
      </c>
      <c r="AN86" s="20" t="n">
        <f aca="false">AC86+AG86*Slot2_BufPot*AI86</f>
        <v>0</v>
      </c>
      <c r="AO86" s="20" t="n">
        <f aca="false">IF(AND(AG86=1,Slot2_IsMfree=1),IF(AL86&gt;=Slot2_Cost-1,0,MAX(0,AD86-AL86)),AD86)</f>
        <v>0</v>
      </c>
      <c r="AP86" s="20" t="n">
        <f aca="false">AG86*(Slot2_Cost-AL86)</f>
        <v>0</v>
      </c>
      <c r="AQ86" s="20" t="n">
        <f aca="false">IF(AND(Slot3_On=1,D86=Slot3_Age),1,0)</f>
        <v>0</v>
      </c>
      <c r="AR86" s="20" t="n">
        <f aca="false">IF(AND(Slot3_On=1,Slot3_Age&gt;D86),1,0)</f>
        <v>0</v>
      </c>
      <c r="AS86" s="20" t="n">
        <f aca="false">QU85</f>
        <v>0</v>
      </c>
      <c r="AT86" s="20" t="n">
        <f aca="false">AQ86*MIN(Slot3_Cost,AS86)</f>
        <v>0</v>
      </c>
      <c r="AU86" s="20" t="n">
        <f aca="false">AQ86*Slot3_SpendLike*MIN(Slot3_Cost-AT86,AM86)</f>
        <v>0</v>
      </c>
      <c r="AV86" s="20" t="n">
        <f aca="false">AT86+AU86</f>
        <v>0</v>
      </c>
      <c r="AW86" s="20" t="n">
        <f aca="false">AM86-AU86+AQ86*IF(Slot3_SpendLike=1,AS86-AT86,IF(Slot3_PotFree=1,AS86,0))</f>
        <v>0</v>
      </c>
      <c r="AX86" s="20" t="n">
        <f aca="false">AN86+AQ86*Slot3_BufPot*AS86</f>
        <v>0</v>
      </c>
      <c r="AY86" s="20" t="n">
        <f aca="false">IF(AND(AQ86=1,Slot3_IsMfree=1),IF(AV86&gt;=Slot3_Cost-1,0,MAX(0,AO86-AV86)),AO86)</f>
        <v>0</v>
      </c>
      <c r="AZ86" s="20" t="n">
        <f aca="false">AQ86*(Slot3_Cost-AV86)</f>
        <v>0</v>
      </c>
      <c r="BA86" s="20" t="n">
        <f aca="false">IF(AND(Slot4_On=1,D86=Slot4_Age),1,0)</f>
        <v>0</v>
      </c>
      <c r="BB86" s="20" t="n">
        <f aca="false">IF(AND(Slot4_On=1,Slot4_Age&gt;D86),1,0)</f>
        <v>0</v>
      </c>
      <c r="BC86" s="20" t="n">
        <f aca="false">QY85</f>
        <v>0</v>
      </c>
      <c r="BD86" s="20" t="n">
        <f aca="false">BA86*MIN(Slot4_Cost,BC86)</f>
        <v>0</v>
      </c>
      <c r="BE86" s="20" t="n">
        <f aca="false">BA86*Slot4_SpendLike*MIN(Slot4_Cost-BD86,AW86)</f>
        <v>0</v>
      </c>
      <c r="BF86" s="20" t="n">
        <f aca="false">BD86+BE86</f>
        <v>0</v>
      </c>
      <c r="BG86" s="20" t="n">
        <f aca="false">AW86-BE86+BA86*IF(Slot4_SpendLike=1,BC86-BD86,IF(Slot4_PotFree=1,BC86,0))</f>
        <v>0</v>
      </c>
      <c r="BH86" s="20" t="n">
        <f aca="false">AX86+BA86*Slot4_BufPot*BC86</f>
        <v>0</v>
      </c>
      <c r="BI86" s="20" t="n">
        <f aca="false">IF(AND(BA86=1,Slot4_IsMfree=1),IF(BF86&gt;=Slot4_Cost-1,0,MAX(0,AY86-BF86)),AY86)</f>
        <v>0</v>
      </c>
      <c r="BJ86" s="20" t="n">
        <f aca="false">BA86*(Slot4_Cost-BF86)</f>
        <v>0</v>
      </c>
      <c r="BK86" s="20" t="n">
        <f aca="false">IF(AND(Slot5_On=1,D86=Slot5_Age),1,0)</f>
        <v>0</v>
      </c>
      <c r="BL86" s="20" t="n">
        <f aca="false">IF(AND(Slot5_On=1,Slot5_Age&gt;D86),1,0)</f>
        <v>0</v>
      </c>
      <c r="BM86" s="20" t="n">
        <f aca="false">RC85</f>
        <v>0</v>
      </c>
      <c r="BN86" s="20" t="n">
        <f aca="false">BK86*MIN(Slot5_Cost,BM86)</f>
        <v>0</v>
      </c>
      <c r="BO86" s="20" t="n">
        <f aca="false">BK86*Slot5_SpendLike*MIN(Slot5_Cost-BN86,BG86)</f>
        <v>0</v>
      </c>
      <c r="BP86" s="20" t="n">
        <f aca="false">BN86+BO86</f>
        <v>0</v>
      </c>
      <c r="BQ86" s="20" t="n">
        <f aca="false">BG86-BO86+BK86*IF(Slot5_SpendLike=1,BM86-BN86,IF(Slot5_PotFree=1,BM86,0))</f>
        <v>0</v>
      </c>
      <c r="BR86" s="20" t="n">
        <f aca="false">BH86+BK86*Slot5_BufPot*BM86</f>
        <v>0</v>
      </c>
      <c r="BS86" s="20" t="n">
        <f aca="false">IF(AND(BK86=1,Slot5_IsMfree=1),IF(BP86&gt;=Slot5_Cost-1,0,MAX(0,BI86-BP86)),BI86)</f>
        <v>0</v>
      </c>
      <c r="BT86" s="20" t="n">
        <f aca="false">BK86*(Slot5_Cost-BP86)</f>
        <v>0</v>
      </c>
      <c r="BU86" s="20" t="n">
        <f aca="false">IF(AND(Slot6_On=1,D86=Slot6_Age),1,0)</f>
        <v>0</v>
      </c>
      <c r="BV86" s="20" t="n">
        <f aca="false">IF(AND(Slot6_On=1,Slot6_Age&gt;D86),1,0)</f>
        <v>0</v>
      </c>
      <c r="BW86" s="20" t="n">
        <f aca="false">RG85</f>
        <v>0</v>
      </c>
      <c r="BX86" s="20" t="n">
        <f aca="false">BU86*MIN(Slot6_Cost,BW86)</f>
        <v>0</v>
      </c>
      <c r="BY86" s="20" t="n">
        <f aca="false">BU86*Slot6_SpendLike*MIN(Slot6_Cost-BX86,BQ86)</f>
        <v>0</v>
      </c>
      <c r="BZ86" s="20" t="n">
        <f aca="false">BX86+BY86</f>
        <v>0</v>
      </c>
      <c r="CA86" s="20" t="n">
        <f aca="false">BQ86-BY86+BU86*IF(Slot6_SpendLike=1,BW86-BX86,IF(Slot6_PotFree=1,BW86,0))</f>
        <v>0</v>
      </c>
      <c r="CB86" s="20" t="n">
        <f aca="false">BR86+BU86*Slot6_BufPot*BW86</f>
        <v>0</v>
      </c>
      <c r="CC86" s="20" t="n">
        <f aca="false">IF(AND(BU86=1,Slot6_IsMfree=1),IF(BZ86&gt;=Slot6_Cost-1,0,MAX(0,BS86-BZ86)),BS86)</f>
        <v>0</v>
      </c>
      <c r="CD86" s="20" t="n">
        <f aca="false">BU86*(Slot6_Cost-BZ86)</f>
        <v>0</v>
      </c>
      <c r="CE86" s="20" t="n">
        <f aca="false">IF(AND(Slot7_On=1,D86=Slot7_Age),1,0)</f>
        <v>0</v>
      </c>
      <c r="CF86" s="20" t="n">
        <f aca="false">IF(AND(Slot7_On=1,Slot7_Age&gt;D86),1,0)</f>
        <v>0</v>
      </c>
      <c r="CG86" s="20" t="n">
        <f aca="false">RK85</f>
        <v>0</v>
      </c>
      <c r="CH86" s="20" t="n">
        <f aca="false">CE86*MIN(Slot7_Cost,CG86)</f>
        <v>0</v>
      </c>
      <c r="CI86" s="20" t="n">
        <f aca="false">CE86*Slot7_SpendLike*MIN(Slot7_Cost-CH86,CA86)</f>
        <v>0</v>
      </c>
      <c r="CJ86" s="20" t="n">
        <f aca="false">CH86+CI86</f>
        <v>0</v>
      </c>
      <c r="CK86" s="20" t="n">
        <f aca="false">CA86-CI86+CE86*IF(Slot7_SpendLike=1,CG86-CH86,IF(Slot7_PotFree=1,CG86,0))</f>
        <v>0</v>
      </c>
      <c r="CL86" s="20" t="n">
        <f aca="false">CB86+CE86*Slot7_BufPot*CG86</f>
        <v>0</v>
      </c>
      <c r="CM86" s="20" t="n">
        <f aca="false">IF(AND(CE86=1,Slot7_IsMfree=1),IF(CJ86&gt;=Slot7_Cost-1,0,MAX(0,CC86-CJ86)),CC86)</f>
        <v>0</v>
      </c>
      <c r="CN86" s="20" t="n">
        <f aca="false">CE86*(Slot7_Cost-CJ86)</f>
        <v>0</v>
      </c>
      <c r="CO86" s="20" t="n">
        <f aca="false">IF(AND(Slot8_On=1,D86=Slot8_Age),1,0)</f>
        <v>0</v>
      </c>
      <c r="CP86" s="20" t="n">
        <f aca="false">IF(AND(Slot8_On=1,Slot8_Age&gt;D86),1,0)</f>
        <v>0</v>
      </c>
      <c r="CQ86" s="20" t="n">
        <f aca="false">RO85</f>
        <v>0</v>
      </c>
      <c r="CR86" s="20" t="n">
        <f aca="false">CO86*MIN(Slot8_Cost,CQ86)</f>
        <v>0</v>
      </c>
      <c r="CS86" s="20" t="n">
        <f aca="false">CO86*Slot8_SpendLike*MIN(Slot8_Cost-CR86,CK86)</f>
        <v>0</v>
      </c>
      <c r="CT86" s="20" t="n">
        <f aca="false">CR86+CS86</f>
        <v>0</v>
      </c>
      <c r="CU86" s="20" t="n">
        <f aca="false">CK86-CS86+CO86*IF(Slot8_SpendLike=1,CQ86-CR86,IF(Slot8_PotFree=1,CQ86,0))</f>
        <v>0</v>
      </c>
      <c r="CV86" s="20" t="n">
        <f aca="false">CL86+CO86*Slot8_BufPot*CQ86</f>
        <v>0</v>
      </c>
      <c r="CW86" s="20" t="n">
        <f aca="false">IF(AND(CO86=1,Slot8_IsMfree=1),IF(CT86&gt;=Slot8_Cost-1,0,MAX(0,CM86-CT86)),CM86)</f>
        <v>0</v>
      </c>
      <c r="CX86" s="20" t="n">
        <f aca="false">CO86*(Slot8_Cost-CT86)</f>
        <v>0</v>
      </c>
      <c r="CY86" s="20" t="n">
        <f aca="false">IF(AND(Slot9_On=1,D86=Slot9_Age),1,0)</f>
        <v>0</v>
      </c>
      <c r="CZ86" s="20" t="n">
        <f aca="false">IF(AND(Slot9_On=1,Slot9_Age&gt;D86),1,0)</f>
        <v>0</v>
      </c>
      <c r="DA86" s="20" t="n">
        <f aca="false">RS85</f>
        <v>0</v>
      </c>
      <c r="DB86" s="20" t="n">
        <f aca="false">CY86*MIN(Slot9_Cost,DA86)</f>
        <v>0</v>
      </c>
      <c r="DC86" s="20" t="n">
        <f aca="false">CY86*Slot9_SpendLike*MIN(Slot9_Cost-DB86,CU86)</f>
        <v>0</v>
      </c>
      <c r="DD86" s="20" t="n">
        <f aca="false">DB86+DC86</f>
        <v>0</v>
      </c>
      <c r="DE86" s="20" t="n">
        <f aca="false">CU86-DC86+CY86*IF(Slot9_SpendLike=1,DA86-DB86,IF(Slot9_PotFree=1,DA86,0))</f>
        <v>0</v>
      </c>
      <c r="DF86" s="20" t="n">
        <f aca="false">CV86+CY86*Slot9_BufPot*DA86</f>
        <v>0</v>
      </c>
      <c r="DG86" s="20" t="n">
        <f aca="false">IF(AND(CY86=1,Slot9_IsMfree=1),IF(DD86&gt;=Slot9_Cost-1,0,MAX(0,CW86-DD86)),CW86)</f>
        <v>0</v>
      </c>
      <c r="DH86" s="20" t="n">
        <f aca="false">CY86*(Slot9_Cost-DD86)</f>
        <v>0</v>
      </c>
      <c r="DI86" s="20" t="n">
        <f aca="false">IF(AND(Slot10_On=1,D86=Slot10_Age),1,0)</f>
        <v>0</v>
      </c>
      <c r="DJ86" s="20" t="n">
        <f aca="false">IF(AND(Slot10_On=1,Slot10_Age&gt;D86),1,0)</f>
        <v>0</v>
      </c>
      <c r="DK86" s="20" t="n">
        <f aca="false">RW85</f>
        <v>0</v>
      </c>
      <c r="DL86" s="20" t="n">
        <f aca="false">DI86*MIN(Slot10_Cost,DK86)</f>
        <v>0</v>
      </c>
      <c r="DM86" s="20" t="n">
        <f aca="false">DI86*Slot10_SpendLike*MIN(Slot10_Cost-DL86,DE86)</f>
        <v>0</v>
      </c>
      <c r="DN86" s="20" t="n">
        <f aca="false">DL86+DM86</f>
        <v>0</v>
      </c>
      <c r="DO86" s="20" t="n">
        <f aca="false">DE86-DM86+DI86*IF(Slot10_SpendLike=1,DK86-DL86,IF(Slot10_PotFree=1,DK86,0))</f>
        <v>0</v>
      </c>
      <c r="DP86" s="20" t="n">
        <f aca="false">DF86+DI86*Slot10_BufPot*DK86</f>
        <v>0</v>
      </c>
      <c r="DQ86" s="20" t="n">
        <f aca="false">IF(AND(DI86=1,Slot10_IsMfree=1),IF(DN86&gt;=Slot10_Cost-1,0,MAX(0,DG86-DN86)),DG86)</f>
        <v>0</v>
      </c>
      <c r="DR86" s="20" t="n">
        <f aca="false">DI86*(Slot10_Cost-DN86)</f>
        <v>0</v>
      </c>
      <c r="DS86" s="20" t="n">
        <f aca="false">IF(AND(Slot11_On=1,D86=Slot11_Age),1,0)</f>
        <v>0</v>
      </c>
      <c r="DT86" s="20" t="n">
        <f aca="false">IF(AND(Slot11_On=1,Slot11_Age&gt;D86),1,0)</f>
        <v>0</v>
      </c>
      <c r="DU86" s="20" t="n">
        <f aca="false">SA85</f>
        <v>0</v>
      </c>
      <c r="DV86" s="20" t="n">
        <f aca="false">DS86*MIN(Slot11_Cost,DU86)</f>
        <v>0</v>
      </c>
      <c r="DW86" s="20" t="n">
        <f aca="false">DS86*Slot11_SpendLike*MIN(Slot11_Cost-DV86,DO86)</f>
        <v>0</v>
      </c>
      <c r="DX86" s="20" t="n">
        <f aca="false">DV86+DW86</f>
        <v>0</v>
      </c>
      <c r="DY86" s="20" t="n">
        <f aca="false">DO86-DW86+DS86*IF(Slot11_SpendLike=1,DU86-DV86,IF(Slot11_PotFree=1,DU86,0))</f>
        <v>0</v>
      </c>
      <c r="DZ86" s="20" t="n">
        <f aca="false">DP86+DS86*Slot11_BufPot*DU86</f>
        <v>0</v>
      </c>
      <c r="EA86" s="20" t="n">
        <f aca="false">IF(AND(DS86=1,Slot11_IsMfree=1),IF(DX86&gt;=Slot11_Cost-1,0,MAX(0,DQ86-DX86)),DQ86)</f>
        <v>0</v>
      </c>
      <c r="EB86" s="20" t="n">
        <f aca="false">DS86*(Slot11_Cost-DX86)</f>
        <v>0</v>
      </c>
      <c r="EC86" s="20" t="n">
        <f aca="false">IF(AND(Slot12_On=1,D86=Slot12_Age),1,0)</f>
        <v>0</v>
      </c>
      <c r="ED86" s="20" t="n">
        <f aca="false">IF(AND(Slot12_On=1,Slot12_Age&gt;D86),1,0)</f>
        <v>0</v>
      </c>
      <c r="EE86" s="20" t="n">
        <f aca="false">SE85</f>
        <v>0</v>
      </c>
      <c r="EF86" s="20" t="n">
        <f aca="false">EC86*MIN(Slot12_Cost,EE86)</f>
        <v>0</v>
      </c>
      <c r="EG86" s="20" t="n">
        <f aca="false">EC86*Slot12_SpendLike*MIN(Slot12_Cost-EF86,DY86)</f>
        <v>0</v>
      </c>
      <c r="EH86" s="20" t="n">
        <f aca="false">EF86+EG86</f>
        <v>0</v>
      </c>
      <c r="EI86" s="20" t="n">
        <f aca="false">DY86-EG86+EC86*IF(Slot12_SpendLike=1,EE86-EF86,IF(Slot12_PotFree=1,EE86,0))</f>
        <v>0</v>
      </c>
      <c r="EJ86" s="20" t="n">
        <f aca="false">DZ86+EC86*Slot12_BufPot*EE86</f>
        <v>0</v>
      </c>
      <c r="EK86" s="20" t="n">
        <f aca="false">IF(AND(EC86=1,Slot12_IsMfree=1),IF(EH86&gt;=Slot12_Cost-1,0,MAX(0,EA86-EH86)),EA86)</f>
        <v>0</v>
      </c>
      <c r="EL86" s="20" t="n">
        <f aca="false">EC86*(Slot12_Cost-EH86)</f>
        <v>0</v>
      </c>
      <c r="EM86" s="20" t="n">
        <f aca="false">IF(AND(Slot13_On=1,D86=Slot13_Age),1,0)</f>
        <v>0</v>
      </c>
      <c r="EN86" s="20" t="n">
        <f aca="false">IF(AND(Slot13_On=1,Slot13_Age&gt;D86),1,0)</f>
        <v>0</v>
      </c>
      <c r="EO86" s="20" t="n">
        <f aca="false">SI85</f>
        <v>0</v>
      </c>
      <c r="EP86" s="20" t="n">
        <f aca="false">EM86*MIN(Slot13_Cost,EO86)</f>
        <v>0</v>
      </c>
      <c r="EQ86" s="20" t="n">
        <f aca="false">EM86*Slot13_SpendLike*MIN(Slot13_Cost-EP86,EI86)</f>
        <v>0</v>
      </c>
      <c r="ER86" s="20" t="n">
        <f aca="false">EP86+EQ86</f>
        <v>0</v>
      </c>
      <c r="ES86" s="20" t="n">
        <f aca="false">EI86-EQ86+EM86*IF(Slot13_SpendLike=1,EO86-EP86,IF(Slot13_PotFree=1,EO86,0))</f>
        <v>0</v>
      </c>
      <c r="ET86" s="20" t="n">
        <f aca="false">EJ86+EM86*Slot13_BufPot*EO86</f>
        <v>0</v>
      </c>
      <c r="EU86" s="20" t="n">
        <f aca="false">IF(AND(EM86=1,Slot13_IsMfree=1),IF(ER86&gt;=Slot13_Cost-1,0,MAX(0,EK86-ER86)),EK86)</f>
        <v>0</v>
      </c>
      <c r="EV86" s="20" t="n">
        <f aca="false">EM86*(Slot13_Cost-ER86)</f>
        <v>0</v>
      </c>
      <c r="EW86" s="20" t="n">
        <f aca="false">IF(AND(Slot14_On=1,D86=Slot14_Age),1,0)</f>
        <v>0</v>
      </c>
      <c r="EX86" s="20" t="n">
        <f aca="false">IF(AND(Slot14_On=1,Slot14_Age&gt;D86),1,0)</f>
        <v>0</v>
      </c>
      <c r="EY86" s="20" t="n">
        <f aca="false">SM85</f>
        <v>0</v>
      </c>
      <c r="EZ86" s="20" t="n">
        <f aca="false">EW86*MIN(Slot14_Cost,EY86)</f>
        <v>0</v>
      </c>
      <c r="FA86" s="20" t="n">
        <f aca="false">EW86*Slot14_SpendLike*MIN(Slot14_Cost-EZ86,ES86)</f>
        <v>0</v>
      </c>
      <c r="FB86" s="20" t="n">
        <f aca="false">EZ86+FA86</f>
        <v>0</v>
      </c>
      <c r="FC86" s="20" t="n">
        <f aca="false">ES86-FA86+EW86*IF(Slot14_SpendLike=1,EY86-EZ86,IF(Slot14_PotFree=1,EY86,0))</f>
        <v>0</v>
      </c>
      <c r="FD86" s="20" t="n">
        <f aca="false">ET86+EW86*Slot14_BufPot*EY86</f>
        <v>0</v>
      </c>
      <c r="FE86" s="20" t="n">
        <f aca="false">IF(AND(EW86=1,Slot14_IsMfree=1),IF(FB86&gt;=Slot14_Cost-1,0,MAX(0,EU86-FB86)),EU86)</f>
        <v>0</v>
      </c>
      <c r="FF86" s="20" t="n">
        <f aca="false">EW86*(Slot14_Cost-FB86)</f>
        <v>0</v>
      </c>
      <c r="FG86" s="20" t="n">
        <f aca="false">IF(AND(Slot15_On=1,D86=Slot15_Age),1,0)</f>
        <v>0</v>
      </c>
      <c r="FH86" s="20" t="n">
        <f aca="false">IF(AND(Slot15_On=1,Slot15_Age&gt;D86),1,0)</f>
        <v>0</v>
      </c>
      <c r="FI86" s="20" t="n">
        <f aca="false">SQ85</f>
        <v>0</v>
      </c>
      <c r="FJ86" s="20" t="n">
        <f aca="false">FG86*MIN(Slot15_Cost,FI86)</f>
        <v>0</v>
      </c>
      <c r="FK86" s="20" t="n">
        <f aca="false">FG86*Slot15_SpendLike*MIN(Slot15_Cost-FJ86,FC86)</f>
        <v>0</v>
      </c>
      <c r="FL86" s="20" t="n">
        <f aca="false">FJ86+FK86</f>
        <v>0</v>
      </c>
      <c r="FM86" s="20" t="n">
        <f aca="false">FC86-FK86+FG86*IF(Slot15_SpendLike=1,FI86-FJ86,IF(Slot15_PotFree=1,FI86,0))</f>
        <v>0</v>
      </c>
      <c r="FN86" s="20" t="n">
        <f aca="false">FD86+FG86*Slot15_BufPot*FI86</f>
        <v>0</v>
      </c>
      <c r="FO86" s="20" t="n">
        <f aca="false">IF(AND(FG86=1,Slot15_IsMfree=1),IF(FL86&gt;=Slot15_Cost-1,0,MAX(0,FE86-FL86)),FE86)</f>
        <v>0</v>
      </c>
      <c r="FP86" s="20" t="n">
        <f aca="false">FG86*(Slot15_Cost-FL86)</f>
        <v>0</v>
      </c>
      <c r="FQ86" s="20" t="n">
        <f aca="false">IF(AND(Slot16_On=1,D86=Slot16_Age),1,0)</f>
        <v>0</v>
      </c>
      <c r="FR86" s="20" t="n">
        <f aca="false">IF(AND(Slot16_On=1,Slot16_Age&gt;D86),1,0)</f>
        <v>0</v>
      </c>
      <c r="FS86" s="20" t="n">
        <f aca="false">SU85</f>
        <v>0</v>
      </c>
      <c r="FT86" s="20" t="n">
        <f aca="false">FQ86*MIN(Slot16_Cost,FS86)</f>
        <v>0</v>
      </c>
      <c r="FU86" s="20" t="n">
        <f aca="false">FQ86*Slot16_SpendLike*MIN(Slot16_Cost-FT86,FM86)</f>
        <v>0</v>
      </c>
      <c r="FV86" s="20" t="n">
        <f aca="false">FT86+FU86</f>
        <v>0</v>
      </c>
      <c r="FW86" s="20" t="n">
        <f aca="false">FM86-FU86+FQ86*IF(Slot16_SpendLike=1,FS86-FT86,IF(Slot16_PotFree=1,FS86,0))</f>
        <v>0</v>
      </c>
      <c r="FX86" s="20" t="n">
        <f aca="false">FN86+FQ86*Slot16_BufPot*FS86</f>
        <v>0</v>
      </c>
      <c r="FY86" s="20" t="n">
        <f aca="false">IF(AND(FQ86=1,Slot16_IsMfree=1),IF(FV86&gt;=Slot16_Cost-1,0,MAX(0,FO86-FV86)),FO86)</f>
        <v>0</v>
      </c>
      <c r="FZ86" s="20" t="n">
        <f aca="false">FQ86*(Slot16_Cost-FV86)</f>
        <v>0</v>
      </c>
      <c r="GA86" s="20" t="n">
        <f aca="false">IF(AND(Slot17_On=1,D86=Slot17_Age),1,0)</f>
        <v>0</v>
      </c>
      <c r="GB86" s="20" t="n">
        <f aca="false">IF(AND(Slot17_On=1,Slot17_Age&gt;D86),1,0)</f>
        <v>0</v>
      </c>
      <c r="GC86" s="20" t="n">
        <f aca="false">SY85</f>
        <v>0</v>
      </c>
      <c r="GD86" s="20" t="n">
        <f aca="false">GA86*MIN(Slot17_Cost,GC86)</f>
        <v>0</v>
      </c>
      <c r="GE86" s="20" t="n">
        <f aca="false">GA86*Slot17_SpendLike*MIN(Slot17_Cost-GD86,FW86)</f>
        <v>0</v>
      </c>
      <c r="GF86" s="20" t="n">
        <f aca="false">GD86+GE86</f>
        <v>0</v>
      </c>
      <c r="GG86" s="20" t="n">
        <f aca="false">FW86-GE86+GA86*IF(Slot17_SpendLike=1,GC86-GD86,IF(Slot17_PotFree=1,GC86,0))</f>
        <v>0</v>
      </c>
      <c r="GH86" s="20" t="n">
        <f aca="false">FX86+GA86*Slot17_BufPot*GC86</f>
        <v>0</v>
      </c>
      <c r="GI86" s="20" t="n">
        <f aca="false">IF(AND(GA86=1,Slot17_IsMfree=1),IF(GF86&gt;=Slot17_Cost-1,0,MAX(0,FY86-GF86)),FY86)</f>
        <v>0</v>
      </c>
      <c r="GJ86" s="20" t="n">
        <f aca="false">GA86*(Slot17_Cost-GF86)</f>
        <v>0</v>
      </c>
      <c r="GK86" s="20" t="n">
        <f aca="false">IF(AND(Slot18_On=1,D86=Slot18_Age),1,0)</f>
        <v>0</v>
      </c>
      <c r="GL86" s="20" t="n">
        <f aca="false">IF(AND(Slot18_On=1,Slot18_Age&gt;D86),1,0)</f>
        <v>0</v>
      </c>
      <c r="GM86" s="20" t="n">
        <f aca="false">TC85</f>
        <v>0</v>
      </c>
      <c r="GN86" s="20" t="n">
        <f aca="false">GK86*MIN(Slot18_Cost,GM86)</f>
        <v>0</v>
      </c>
      <c r="GO86" s="20" t="n">
        <f aca="false">GK86*Slot18_SpendLike*MIN(Slot18_Cost-GN86,GG86)</f>
        <v>0</v>
      </c>
      <c r="GP86" s="20" t="n">
        <f aca="false">GN86+GO86</f>
        <v>0</v>
      </c>
      <c r="GQ86" s="20" t="n">
        <f aca="false">GG86-GO86+GK86*IF(Slot18_SpendLike=1,GM86-GN86,IF(Slot18_PotFree=1,GM86,0))</f>
        <v>0</v>
      </c>
      <c r="GR86" s="20" t="n">
        <f aca="false">GH86+GK86*Slot18_BufPot*GM86</f>
        <v>0</v>
      </c>
      <c r="GS86" s="20" t="n">
        <f aca="false">IF(AND(GK86=1,Slot18_IsMfree=1),IF(GP86&gt;=Slot18_Cost-1,0,MAX(0,GI86-GP86)),GI86)</f>
        <v>0</v>
      </c>
      <c r="GT86" s="20" t="n">
        <f aca="false">GK86*(Slot18_Cost-GP86)</f>
        <v>0</v>
      </c>
      <c r="GU86" s="20" t="n">
        <f aca="false">IF(AND(Slot19_On=1,D86=Slot19_Age),1,0)</f>
        <v>0</v>
      </c>
      <c r="GV86" s="20" t="n">
        <f aca="false">IF(AND(Slot19_On=1,Slot19_Age&gt;D86),1,0)</f>
        <v>0</v>
      </c>
      <c r="GW86" s="20" t="n">
        <f aca="false">TG85</f>
        <v>0</v>
      </c>
      <c r="GX86" s="20" t="n">
        <f aca="false">GU86*MIN(Slot19_Cost,GW86)</f>
        <v>0</v>
      </c>
      <c r="GY86" s="20" t="n">
        <f aca="false">GU86*Slot19_SpendLike*MIN(Slot19_Cost-GX86,GQ86)</f>
        <v>0</v>
      </c>
      <c r="GZ86" s="20" t="n">
        <f aca="false">GX86+GY86</f>
        <v>0</v>
      </c>
      <c r="HA86" s="20" t="n">
        <f aca="false">GQ86-GY86+GU86*IF(Slot19_SpendLike=1,GW86-GX86,IF(Slot19_PotFree=1,GW86,0))</f>
        <v>0</v>
      </c>
      <c r="HB86" s="20" t="n">
        <f aca="false">GR86+GU86*Slot19_BufPot*GW86</f>
        <v>0</v>
      </c>
      <c r="HC86" s="20" t="n">
        <f aca="false">IF(AND(GU86=1,Slot19_IsMfree=1),IF(GZ86&gt;=Slot19_Cost-1,0,MAX(0,GS86-GZ86)),GS86)</f>
        <v>0</v>
      </c>
      <c r="HD86" s="20" t="n">
        <f aca="false">GU86*(Slot19_Cost-GZ86)</f>
        <v>0</v>
      </c>
      <c r="HE86" s="20" t="n">
        <f aca="false">IF(AND(Slot20_On=1,D86=Slot20_Age),1,0)</f>
        <v>0</v>
      </c>
      <c r="HF86" s="20" t="n">
        <f aca="false">IF(AND(Slot20_On=1,Slot20_Age&gt;D86),1,0)</f>
        <v>0</v>
      </c>
      <c r="HG86" s="20" t="n">
        <f aca="false">TK85</f>
        <v>0</v>
      </c>
      <c r="HH86" s="20" t="n">
        <f aca="false">HE86*MIN(Slot20_Cost,HG86)</f>
        <v>0</v>
      </c>
      <c r="HI86" s="20" t="n">
        <f aca="false">HE86*Slot20_SpendLike*MIN(Slot20_Cost-HH86,HA86)</f>
        <v>0</v>
      </c>
      <c r="HJ86" s="20" t="n">
        <f aca="false">HH86+HI86</f>
        <v>0</v>
      </c>
      <c r="HK86" s="20" t="n">
        <f aca="false">HA86-HI86+HE86*IF(Slot20_SpendLike=1,HG86-HH86,IF(Slot20_PotFree=1,HG86,0))</f>
        <v>0</v>
      </c>
      <c r="HL86" s="20" t="n">
        <f aca="false">HB86+HE86*Slot20_BufPot*HG86</f>
        <v>0</v>
      </c>
      <c r="HM86" s="20" t="n">
        <f aca="false">IF(AND(HE86=1,Slot20_IsMfree=1),IF(HJ86&gt;=Slot20_Cost-1,0,MAX(0,HC86-HJ86)),HC86)</f>
        <v>0</v>
      </c>
      <c r="HN86" s="20" t="n">
        <f aca="false">HE86*(Slot20_Cost-HJ86)</f>
        <v>0</v>
      </c>
      <c r="HO86" s="20" t="n">
        <f aca="false">V86*Slot1_SpendLike*AA86+AG86*Slot2_SpendLike*AL86+AQ86*Slot3_SpendLike*AV86+BA86*Slot4_SpendLike*BF86+BK86*Slot5_SpendLike*BP86+BU86*Slot6_SpendLike*BZ86+CE86*Slot7_SpendLike*CJ86+CO86*Slot8_SpendLike*CT86+CY86*Slot9_SpendLike*DD86+DI86*Slot10_SpendLike*DN86+DS86*Slot11_SpendLike*DX86+EC86*Slot12_SpendLike*EH86+EM86*Slot13_SpendLike*ER86+EW86*Slot14_SpendLike*FB86+FG86*Slot15_SpendLike*FL86+FQ86*Slot16_SpendLike*FV86+GA86*Slot17_SpendLike*GF86+GK86*Slot18_SpendLike*GP86+GU86*Slot19_SpendLike*GZ86+HE86*Slot20_SpendLike*HJ86</f>
        <v>0</v>
      </c>
      <c r="HP86" s="20" t="n">
        <f aca="false">AE86+AP86+AZ86+BJ86+BT86+CD86+CN86+CX86+DH86+DR86+EB86+EL86+EV86+FF86+FP86+FZ86+GJ86+GT86+HD86+HN86</f>
        <v>0</v>
      </c>
      <c r="HQ86" s="20" t="n">
        <f aca="false">V86*Slot1_Cost+AG86*Slot2_Cost+AQ86*Slot3_Cost+BA86*Slot4_Cost+BK86*Slot5_Cost+BU86*Slot6_Cost+CE86*Slot7_Cost+CO86*Slot8_Cost+CY86*Slot9_Cost+DI86*Slot10_Cost+DS86*Slot11_Cost+EC86*Slot12_Cost+EM86*Slot13_Cost+EW86*Slot14_Cost+FG86*Slot15_Cost+FQ86*Slot16_Cost+GA86*Slot17_Cost+GK86*Slot18_Cost+GU86*Slot19_Cost+HE86*Slot20_Cost</f>
        <v>0</v>
      </c>
      <c r="HR86" s="20" t="n">
        <f aca="false">HM86</f>
        <v>0</v>
      </c>
      <c r="HS86" s="20" t="n">
        <f aca="false">H86-I86-S86</f>
        <v>-90280.5368805827</v>
      </c>
      <c r="HT86" s="20" t="n">
        <f aca="false">IF(B86=0,IF(AND(Has_q6=1,In_q6=4),PR_ShareVaries*(MAX(0,HS86)/12),MIN(IF(Has_q6=1,CHOOSE(In_q6+1,PR_SaveB1,PR_SaveB2,PR_SaveB3,PR_SaveB4,0),AS_NoAnswer),AS_SaveShare*(MAX(0,HS86)/12))),HT85)</f>
        <v>67.3316893520437</v>
      </c>
      <c r="HU86" s="20" t="n">
        <f aca="false">IF(HS86&gt;=0,1,0)</f>
        <v>0</v>
      </c>
      <c r="HV86" s="20" t="n">
        <f aca="false">MAX(0,HS86/12/F86)</f>
        <v>0</v>
      </c>
      <c r="HW86" s="20" t="n">
        <f aca="false">IF(AND(Has_q6=1,In_q6=4),PR_ShareVaries*(HV86),MIN(IF(Has_q6=1,CHOOSE(In_q6+1,PR_SaveB1,PR_SaveB2,PR_SaveB3,PR_SaveB4,0),AS_NoAnswer),AS_SaveShare*(HV86)))</f>
        <v>0</v>
      </c>
      <c r="HX86" s="20" t="n">
        <f aca="false">IF(Has_saveM=1,IF(In_saveUp="Yes",1,IF(In_saveUp="No",0,IF(In_saveM&gt;=HT86-0.5,1,0))),0)</f>
        <v>0</v>
      </c>
      <c r="HY86" s="20" t="n">
        <f aca="false">IF(Has_saveM=1,MIN(HV86,IF(HX86=1,MAX(In_saveM,HW86),MIN(In_saveM,HW86))),HW86)</f>
        <v>0</v>
      </c>
      <c r="HZ86" s="20" t="n">
        <f aca="false">IF(G86=1,HY86*12*F86,0)</f>
        <v>0</v>
      </c>
      <c r="IA86" s="20" t="n">
        <f aca="false">MAX(0,HZ86+IF(AND(WI_Retire=0,WI_M&lt;0,G86=1),WI_M*12*F86,0))</f>
        <v>0</v>
      </c>
      <c r="IB86" s="20" t="n">
        <f aca="false">Slot1_IsWG*W86+Slot2_IsWG*AH86+Slot3_IsWG*AR86+Slot4_IsWG*BB86+Slot5_IsWG*BL86+Slot6_IsWG*BV86+Slot7_IsWG*CF86+Slot8_IsWG*CP86+Slot9_IsWG*CZ86+Slot10_IsWG*DJ86+Slot11_IsWG*DT86+Slot12_IsWG*ED86+Slot13_IsWG*EN86+Slot14_IsWG*EX86+Slot15_IsWG*FH86+Slot16_IsWG*FR86+Slot17_IsWG*GB86+Slot18_IsWG*GL86+Slot19_IsWG*GV86+Slot20_IsWG*HF86</f>
        <v>0</v>
      </c>
      <c r="IC86" s="20" t="n">
        <f aca="false">IF(AND(WI_Retire=0,WI_M&gt;0,G86=1,IB86&gt;=1),WI_M*12*F86,0)</f>
        <v>0</v>
      </c>
      <c r="ID86" s="20" t="n">
        <f aca="false">IF(HU86=1,MIN(IA86,HS86),0)</f>
        <v>0</v>
      </c>
      <c r="IE86" s="20" t="n">
        <f aca="false">IF(HU86=1,MIN(IC86,HS86-ID86),0)</f>
        <v>0</v>
      </c>
      <c r="IF86" s="20" t="n">
        <f aca="false">IF(W86=1,IF(ABS((1+AS_Wage)/(1+Slot1_Rate)-1)&lt;0.000000000001,(Slot1_Age-D86)*(1+Slot1_Rate)^(Slot1_Age-D86),(1+Slot1_Rate)^(Slot1_Age-D86)*(1-((1+AS_Wage)/(1+Slot1_Rate))^(Slot1_Age-D86))/(1-(1+AS_Wage)/(1+Slot1_Rate))),1)</f>
        <v>1</v>
      </c>
      <c r="IG86" s="20" t="n">
        <f aca="false">IF(AND(HU86=1,IE86&gt;0,Slot1_IsWG=1,W86=1),MAX(0,(Slot1_Cost-X86*(1+Slot1_Rate)^(Slot1_Age-D86))/IF86),0)</f>
        <v>0</v>
      </c>
      <c r="IH86" s="20" t="n">
        <f aca="false">IF(AND(HU86=1,IE86&gt;0,Slot1_IsWG=1,W86=1),MIN(IE86,IG86),0)</f>
        <v>0</v>
      </c>
      <c r="II86" s="20" t="n">
        <f aca="false">X86+IH86</f>
        <v>0</v>
      </c>
      <c r="IJ86" s="20" t="n">
        <f aca="false">IF(W86=1,MAX(0,(Slot1_Cost-II86*(1+Slot1_Rate)^(Slot1_Age-D86))/IF86),0)</f>
        <v>0</v>
      </c>
      <c r="IK86" s="20" t="n">
        <f aca="false">IF(W86=1,MAX(0,(Slot1_Cost-X86*(1+Slot1_Rate)^(Slot1_Age-D86))/IF86),0)</f>
        <v>0</v>
      </c>
      <c r="IL86" s="20" t="n">
        <f aca="false">IF(AND(HU86=1,W86=1),MIN(ID86,IJ86),0)</f>
        <v>0</v>
      </c>
      <c r="IM86" s="20" t="n">
        <f aca="false">ID86-IL86</f>
        <v>0</v>
      </c>
      <c r="IN86" s="20" t="n">
        <f aca="false">IF(AH86=1,IF(ABS((1+AS_Wage)/(1+Slot2_Rate)-1)&lt;0.000000000001,(Slot2_Age-D86)*(1+Slot2_Rate)^(Slot2_Age-D86),(1+Slot2_Rate)^(Slot2_Age-D86)*(1-((1+AS_Wage)/(1+Slot2_Rate))^(Slot2_Age-D86))/(1-(1+AS_Wage)/(1+Slot2_Rate))),1)</f>
        <v>1</v>
      </c>
      <c r="IO86" s="20" t="n">
        <f aca="false">IF(AND(HU86=1,IE86&gt;0,Slot2_IsWG=1,AH86=1),MAX(0,(Slot2_Cost-AI86*(1+Slot2_Rate)^(Slot2_Age-D86))/IN86),0)</f>
        <v>0</v>
      </c>
      <c r="IP86" s="20" t="n">
        <f aca="false">IF(AND(HU86=1,IE86&gt;0,Slot2_IsWG=1,AH86=1),MIN(IE86,IO86),0)</f>
        <v>0</v>
      </c>
      <c r="IQ86" s="20" t="n">
        <f aca="false">AI86+IP86</f>
        <v>0</v>
      </c>
      <c r="IR86" s="20" t="n">
        <f aca="false">IF(AH86=1,MAX(0,(Slot2_Cost-IQ86*(1+Slot2_Rate)^(Slot2_Age-D86))/IN86),0)</f>
        <v>0</v>
      </c>
      <c r="IS86" s="20" t="n">
        <f aca="false">IF(AH86=1,MAX(0,(Slot2_Cost-AI86*(1+Slot2_Rate)^(Slot2_Age-D86))/IN86),0)</f>
        <v>0</v>
      </c>
      <c r="IT86" s="20" t="n">
        <f aca="false">IF(AND(HU86=1,AH86=1),MIN(IM86,IR86),0)</f>
        <v>0</v>
      </c>
      <c r="IU86" s="20" t="n">
        <f aca="false">IM86-IT86</f>
        <v>0</v>
      </c>
      <c r="IV86" s="20" t="n">
        <f aca="false">IF(AR86=1,IF(ABS((1+AS_Wage)/(1+Slot3_Rate)-1)&lt;0.000000000001,(Slot3_Age-D86)*(1+Slot3_Rate)^(Slot3_Age-D86),(1+Slot3_Rate)^(Slot3_Age-D86)*(1-((1+AS_Wage)/(1+Slot3_Rate))^(Slot3_Age-D86))/(1-(1+AS_Wage)/(1+Slot3_Rate))),1)</f>
        <v>1</v>
      </c>
      <c r="IW86" s="20" t="n">
        <f aca="false">IF(AND(HU86=1,IE86&gt;0,Slot3_IsWG=1,AR86=1),MAX(0,(Slot3_Cost-AS86*(1+Slot3_Rate)^(Slot3_Age-D86))/IV86),0)</f>
        <v>0</v>
      </c>
      <c r="IX86" s="20" t="n">
        <f aca="false">IF(AND(HU86=1,IE86&gt;0,Slot3_IsWG=1,AR86=1),MIN(IE86,IW86),0)</f>
        <v>0</v>
      </c>
      <c r="IY86" s="20" t="n">
        <f aca="false">AS86+IX86</f>
        <v>0</v>
      </c>
      <c r="IZ86" s="20" t="n">
        <f aca="false">IF(AR86=1,MAX(0,(Slot3_Cost-IY86*(1+Slot3_Rate)^(Slot3_Age-D86))/IV86),0)</f>
        <v>0</v>
      </c>
      <c r="JA86" s="20" t="n">
        <f aca="false">IF(AR86=1,MAX(0,(Slot3_Cost-AS86*(1+Slot3_Rate)^(Slot3_Age-D86))/IV86),0)</f>
        <v>0</v>
      </c>
      <c r="JB86" s="20" t="n">
        <f aca="false">IF(AND(HU86=1,AR86=1),MIN(IU86,IZ86),0)</f>
        <v>0</v>
      </c>
      <c r="JC86" s="20" t="n">
        <f aca="false">IU86-JB86</f>
        <v>0</v>
      </c>
      <c r="JD86" s="20" t="n">
        <f aca="false">IF(BB86=1,IF(ABS((1+AS_Wage)/(1+Slot4_Rate)-1)&lt;0.000000000001,(Slot4_Age-D86)*(1+Slot4_Rate)^(Slot4_Age-D86),(1+Slot4_Rate)^(Slot4_Age-D86)*(1-((1+AS_Wage)/(1+Slot4_Rate))^(Slot4_Age-D86))/(1-(1+AS_Wage)/(1+Slot4_Rate))),1)</f>
        <v>1</v>
      </c>
      <c r="JE86" s="20" t="n">
        <f aca="false">IF(AND(HU86=1,IE86&gt;0,Slot4_IsWG=1,BB86=1),MAX(0,(Slot4_Cost-BC86*(1+Slot4_Rate)^(Slot4_Age-D86))/JD86),0)</f>
        <v>0</v>
      </c>
      <c r="JF86" s="20" t="n">
        <f aca="false">IF(AND(HU86=1,IE86&gt;0,Slot4_IsWG=1,BB86=1),MIN(IE86,JE86),0)</f>
        <v>0</v>
      </c>
      <c r="JG86" s="20" t="n">
        <f aca="false">BC86+JF86</f>
        <v>0</v>
      </c>
      <c r="JH86" s="20" t="n">
        <f aca="false">IF(BB86=1,MAX(0,(Slot4_Cost-JG86*(1+Slot4_Rate)^(Slot4_Age-D86))/JD86),0)</f>
        <v>0</v>
      </c>
      <c r="JI86" s="20" t="n">
        <f aca="false">IF(BB86=1,MAX(0,(Slot4_Cost-BC86*(1+Slot4_Rate)^(Slot4_Age-D86))/JD86),0)</f>
        <v>0</v>
      </c>
      <c r="JJ86" s="20" t="n">
        <f aca="false">IF(AND(HU86=1,BB86=1),MIN(JC86,JH86),0)</f>
        <v>0</v>
      </c>
      <c r="JK86" s="20" t="n">
        <f aca="false">JC86-JJ86</f>
        <v>0</v>
      </c>
      <c r="JL86" s="20" t="n">
        <f aca="false">IF(BL86=1,IF(ABS((1+AS_Wage)/(1+Slot5_Rate)-1)&lt;0.000000000001,(Slot5_Age-D86)*(1+Slot5_Rate)^(Slot5_Age-D86),(1+Slot5_Rate)^(Slot5_Age-D86)*(1-((1+AS_Wage)/(1+Slot5_Rate))^(Slot5_Age-D86))/(1-(1+AS_Wage)/(1+Slot5_Rate))),1)</f>
        <v>1</v>
      </c>
      <c r="JM86" s="20" t="n">
        <f aca="false">IF(AND(HU86=1,IE86&gt;0,Slot5_IsWG=1,BL86=1),MAX(0,(Slot5_Cost-BM86*(1+Slot5_Rate)^(Slot5_Age-D86))/JL86),0)</f>
        <v>0</v>
      </c>
      <c r="JN86" s="20" t="n">
        <f aca="false">IF(AND(HU86=1,IE86&gt;0,Slot5_IsWG=1,BL86=1),MIN(IE86,JM86),0)</f>
        <v>0</v>
      </c>
      <c r="JO86" s="20" t="n">
        <f aca="false">BM86+JN86</f>
        <v>0</v>
      </c>
      <c r="JP86" s="20" t="n">
        <f aca="false">IF(BL86=1,MAX(0,(Slot5_Cost-JO86*(1+Slot5_Rate)^(Slot5_Age-D86))/JL86),0)</f>
        <v>0</v>
      </c>
      <c r="JQ86" s="20" t="n">
        <f aca="false">IF(BL86=1,MAX(0,(Slot5_Cost-BM86*(1+Slot5_Rate)^(Slot5_Age-D86))/JL86),0)</f>
        <v>0</v>
      </c>
      <c r="JR86" s="20" t="n">
        <f aca="false">IF(AND(HU86=1,BL86=1),MIN(JK86,JP86),0)</f>
        <v>0</v>
      </c>
      <c r="JS86" s="20" t="n">
        <f aca="false">JK86-JR86</f>
        <v>0</v>
      </c>
      <c r="JT86" s="20" t="n">
        <f aca="false">IF(BV86=1,IF(ABS((1+AS_Wage)/(1+Slot6_Rate)-1)&lt;0.000000000001,(Slot6_Age-D86)*(1+Slot6_Rate)^(Slot6_Age-D86),(1+Slot6_Rate)^(Slot6_Age-D86)*(1-((1+AS_Wage)/(1+Slot6_Rate))^(Slot6_Age-D86))/(1-(1+AS_Wage)/(1+Slot6_Rate))),1)</f>
        <v>1</v>
      </c>
      <c r="JU86" s="20" t="n">
        <f aca="false">IF(AND(HU86=1,IE86&gt;0,Slot6_IsWG=1,BV86=1),MAX(0,(Slot6_Cost-BW86*(1+Slot6_Rate)^(Slot6_Age-D86))/JT86),0)</f>
        <v>0</v>
      </c>
      <c r="JV86" s="20" t="n">
        <f aca="false">IF(AND(HU86=1,IE86&gt;0,Slot6_IsWG=1,BV86=1),MIN(IE86,JU86),0)</f>
        <v>0</v>
      </c>
      <c r="JW86" s="20" t="n">
        <f aca="false">BW86+JV86</f>
        <v>0</v>
      </c>
      <c r="JX86" s="20" t="n">
        <f aca="false">IF(BV86=1,MAX(0,(Slot6_Cost-JW86*(1+Slot6_Rate)^(Slot6_Age-D86))/JT86),0)</f>
        <v>0</v>
      </c>
      <c r="JY86" s="20" t="n">
        <f aca="false">IF(BV86=1,MAX(0,(Slot6_Cost-BW86*(1+Slot6_Rate)^(Slot6_Age-D86))/JT86),0)</f>
        <v>0</v>
      </c>
      <c r="JZ86" s="20" t="n">
        <f aca="false">IF(AND(HU86=1,BV86=1),MIN(JS86,JX86),0)</f>
        <v>0</v>
      </c>
      <c r="KA86" s="20" t="n">
        <f aca="false">JS86-JZ86</f>
        <v>0</v>
      </c>
      <c r="KB86" s="20" t="n">
        <f aca="false">IF(CF86=1,IF(ABS((1+AS_Wage)/(1+Slot7_Rate)-1)&lt;0.000000000001,(Slot7_Age-D86)*(1+Slot7_Rate)^(Slot7_Age-D86),(1+Slot7_Rate)^(Slot7_Age-D86)*(1-((1+AS_Wage)/(1+Slot7_Rate))^(Slot7_Age-D86))/(1-(1+AS_Wage)/(1+Slot7_Rate))),1)</f>
        <v>1</v>
      </c>
      <c r="KC86" s="20" t="n">
        <f aca="false">IF(AND(HU86=1,IE86&gt;0,Slot7_IsWG=1,CF86=1),MAX(0,(Slot7_Cost-CG86*(1+Slot7_Rate)^(Slot7_Age-D86))/KB86),0)</f>
        <v>0</v>
      </c>
      <c r="KD86" s="20" t="n">
        <f aca="false">IF(AND(HU86=1,IE86&gt;0,Slot7_IsWG=1,CF86=1),MIN(IE86,KC86),0)</f>
        <v>0</v>
      </c>
      <c r="KE86" s="20" t="n">
        <f aca="false">CG86+KD86</f>
        <v>0</v>
      </c>
      <c r="KF86" s="20" t="n">
        <f aca="false">IF(CF86=1,MAX(0,(Slot7_Cost-KE86*(1+Slot7_Rate)^(Slot7_Age-D86))/KB86),0)</f>
        <v>0</v>
      </c>
      <c r="KG86" s="20" t="n">
        <f aca="false">IF(CF86=1,MAX(0,(Slot7_Cost-CG86*(1+Slot7_Rate)^(Slot7_Age-D86))/KB86),0)</f>
        <v>0</v>
      </c>
      <c r="KH86" s="20" t="n">
        <f aca="false">IF(AND(HU86=1,CF86=1),MIN(KA86,KF86),0)</f>
        <v>0</v>
      </c>
      <c r="KI86" s="20" t="n">
        <f aca="false">KA86-KH86</f>
        <v>0</v>
      </c>
      <c r="KJ86" s="20" t="n">
        <f aca="false">IF(CP86=1,IF(ABS((1+AS_Wage)/(1+Slot8_Rate)-1)&lt;0.000000000001,(Slot8_Age-D86)*(1+Slot8_Rate)^(Slot8_Age-D86),(1+Slot8_Rate)^(Slot8_Age-D86)*(1-((1+AS_Wage)/(1+Slot8_Rate))^(Slot8_Age-D86))/(1-(1+AS_Wage)/(1+Slot8_Rate))),1)</f>
        <v>1</v>
      </c>
      <c r="KK86" s="20" t="n">
        <f aca="false">IF(AND(HU86=1,IE86&gt;0,Slot8_IsWG=1,CP86=1),MAX(0,(Slot8_Cost-CQ86*(1+Slot8_Rate)^(Slot8_Age-D86))/KJ86),0)</f>
        <v>0</v>
      </c>
      <c r="KL86" s="20" t="n">
        <f aca="false">IF(AND(HU86=1,IE86&gt;0,Slot8_IsWG=1,CP86=1),MIN(IE86,KK86),0)</f>
        <v>0</v>
      </c>
      <c r="KM86" s="20" t="n">
        <f aca="false">CQ86+KL86</f>
        <v>0</v>
      </c>
      <c r="KN86" s="20" t="n">
        <f aca="false">IF(CP86=1,MAX(0,(Slot8_Cost-KM86*(1+Slot8_Rate)^(Slot8_Age-D86))/KJ86),0)</f>
        <v>0</v>
      </c>
      <c r="KO86" s="20" t="n">
        <f aca="false">IF(CP86=1,MAX(0,(Slot8_Cost-CQ86*(1+Slot8_Rate)^(Slot8_Age-D86))/KJ86),0)</f>
        <v>0</v>
      </c>
      <c r="KP86" s="20" t="n">
        <f aca="false">IF(AND(HU86=1,CP86=1),MIN(KI86,KN86),0)</f>
        <v>0</v>
      </c>
      <c r="KQ86" s="20" t="n">
        <f aca="false">KI86-KP86</f>
        <v>0</v>
      </c>
      <c r="KR86" s="20" t="n">
        <f aca="false">IF(CZ86=1,IF(ABS((1+AS_Wage)/(1+Slot9_Rate)-1)&lt;0.000000000001,(Slot9_Age-D86)*(1+Slot9_Rate)^(Slot9_Age-D86),(1+Slot9_Rate)^(Slot9_Age-D86)*(1-((1+AS_Wage)/(1+Slot9_Rate))^(Slot9_Age-D86))/(1-(1+AS_Wage)/(1+Slot9_Rate))),1)</f>
        <v>1</v>
      </c>
      <c r="KS86" s="20" t="n">
        <f aca="false">IF(AND(HU86=1,IE86&gt;0,Slot9_IsWG=1,CZ86=1),MAX(0,(Slot9_Cost-DA86*(1+Slot9_Rate)^(Slot9_Age-D86))/KR86),0)</f>
        <v>0</v>
      </c>
      <c r="KT86" s="20" t="n">
        <f aca="false">IF(AND(HU86=1,IE86&gt;0,Slot9_IsWG=1,CZ86=1),MIN(IE86,KS86),0)</f>
        <v>0</v>
      </c>
      <c r="KU86" s="20" t="n">
        <f aca="false">DA86+KT86</f>
        <v>0</v>
      </c>
      <c r="KV86" s="20" t="n">
        <f aca="false">IF(CZ86=1,MAX(0,(Slot9_Cost-KU86*(1+Slot9_Rate)^(Slot9_Age-D86))/KR86),0)</f>
        <v>0</v>
      </c>
      <c r="KW86" s="20" t="n">
        <f aca="false">IF(CZ86=1,MAX(0,(Slot9_Cost-DA86*(1+Slot9_Rate)^(Slot9_Age-D86))/KR86),0)</f>
        <v>0</v>
      </c>
      <c r="KX86" s="20" t="n">
        <f aca="false">IF(AND(HU86=1,CZ86=1),MIN(KQ86,KV86),0)</f>
        <v>0</v>
      </c>
      <c r="KY86" s="20" t="n">
        <f aca="false">KQ86-KX86</f>
        <v>0</v>
      </c>
      <c r="KZ86" s="20" t="n">
        <f aca="false">IF(DJ86=1,IF(ABS((1+AS_Wage)/(1+Slot10_Rate)-1)&lt;0.000000000001,(Slot10_Age-D86)*(1+Slot10_Rate)^(Slot10_Age-D86),(1+Slot10_Rate)^(Slot10_Age-D86)*(1-((1+AS_Wage)/(1+Slot10_Rate))^(Slot10_Age-D86))/(1-(1+AS_Wage)/(1+Slot10_Rate))),1)</f>
        <v>1</v>
      </c>
      <c r="LA86" s="20" t="n">
        <f aca="false">IF(AND(HU86=1,IE86&gt;0,Slot10_IsWG=1,DJ86=1),MAX(0,(Slot10_Cost-DK86*(1+Slot10_Rate)^(Slot10_Age-D86))/KZ86),0)</f>
        <v>0</v>
      </c>
      <c r="LB86" s="20" t="n">
        <f aca="false">IF(AND(HU86=1,IE86&gt;0,Slot10_IsWG=1,DJ86=1),MIN(IE86,LA86),0)</f>
        <v>0</v>
      </c>
      <c r="LC86" s="20" t="n">
        <f aca="false">DK86+LB86</f>
        <v>0</v>
      </c>
      <c r="LD86" s="20" t="n">
        <f aca="false">IF(DJ86=1,MAX(0,(Slot10_Cost-LC86*(1+Slot10_Rate)^(Slot10_Age-D86))/KZ86),0)</f>
        <v>0</v>
      </c>
      <c r="LE86" s="20" t="n">
        <f aca="false">IF(DJ86=1,MAX(0,(Slot10_Cost-DK86*(1+Slot10_Rate)^(Slot10_Age-D86))/KZ86),0)</f>
        <v>0</v>
      </c>
      <c r="LF86" s="20" t="n">
        <f aca="false">IF(AND(HU86=1,DJ86=1),MIN(KY86,LD86),0)</f>
        <v>0</v>
      </c>
      <c r="LG86" s="20" t="n">
        <f aca="false">KY86-LF86</f>
        <v>0</v>
      </c>
      <c r="LH86" s="20" t="n">
        <f aca="false">IF(DT86=1,IF(ABS((1+AS_Wage)/(1+Slot11_Rate)-1)&lt;0.000000000001,(Slot11_Age-D86)*(1+Slot11_Rate)^(Slot11_Age-D86),(1+Slot11_Rate)^(Slot11_Age-D86)*(1-((1+AS_Wage)/(1+Slot11_Rate))^(Slot11_Age-D86))/(1-(1+AS_Wage)/(1+Slot11_Rate))),1)</f>
        <v>1</v>
      </c>
      <c r="LI86" s="20" t="n">
        <f aca="false">IF(AND(HU86=1,IE86&gt;0,Slot11_IsWG=1,DT86=1),MAX(0,(Slot11_Cost-DU86*(1+Slot11_Rate)^(Slot11_Age-D86))/LH86),0)</f>
        <v>0</v>
      </c>
      <c r="LJ86" s="20" t="n">
        <f aca="false">IF(AND(HU86=1,IE86&gt;0,Slot11_IsWG=1,DT86=1),MIN(IE86,LI86),0)</f>
        <v>0</v>
      </c>
      <c r="LK86" s="20" t="n">
        <f aca="false">DU86+LJ86</f>
        <v>0</v>
      </c>
      <c r="LL86" s="20" t="n">
        <f aca="false">IF(DT86=1,MAX(0,(Slot11_Cost-LK86*(1+Slot11_Rate)^(Slot11_Age-D86))/LH86),0)</f>
        <v>0</v>
      </c>
      <c r="LM86" s="20" t="n">
        <f aca="false">IF(DT86=1,MAX(0,(Slot11_Cost-DU86*(1+Slot11_Rate)^(Slot11_Age-D86))/LH86),0)</f>
        <v>0</v>
      </c>
      <c r="LN86" s="20" t="n">
        <f aca="false">IF(AND(HU86=1,DT86=1),MIN(LG86,LL86),0)</f>
        <v>0</v>
      </c>
      <c r="LO86" s="20" t="n">
        <f aca="false">LG86-LN86</f>
        <v>0</v>
      </c>
      <c r="LP86" s="20" t="n">
        <f aca="false">IF(ED86=1,IF(ABS((1+AS_Wage)/(1+Slot12_Rate)-1)&lt;0.000000000001,(Slot12_Age-D86)*(1+Slot12_Rate)^(Slot12_Age-D86),(1+Slot12_Rate)^(Slot12_Age-D86)*(1-((1+AS_Wage)/(1+Slot12_Rate))^(Slot12_Age-D86))/(1-(1+AS_Wage)/(1+Slot12_Rate))),1)</f>
        <v>1</v>
      </c>
      <c r="LQ86" s="20" t="n">
        <f aca="false">IF(AND(HU86=1,IE86&gt;0,Slot12_IsWG=1,ED86=1),MAX(0,(Slot12_Cost-EE86*(1+Slot12_Rate)^(Slot12_Age-D86))/LP86),0)</f>
        <v>0</v>
      </c>
      <c r="LR86" s="20" t="n">
        <f aca="false">IF(AND(HU86=1,IE86&gt;0,Slot12_IsWG=1,ED86=1),MIN(IE86,LQ86),0)</f>
        <v>0</v>
      </c>
      <c r="LS86" s="20" t="n">
        <f aca="false">EE86+LR86</f>
        <v>0</v>
      </c>
      <c r="LT86" s="20" t="n">
        <f aca="false">IF(ED86=1,MAX(0,(Slot12_Cost-LS86*(1+Slot12_Rate)^(Slot12_Age-D86))/LP86),0)</f>
        <v>0</v>
      </c>
      <c r="LU86" s="20" t="n">
        <f aca="false">IF(ED86=1,MAX(0,(Slot12_Cost-EE86*(1+Slot12_Rate)^(Slot12_Age-D86))/LP86),0)</f>
        <v>0</v>
      </c>
      <c r="LV86" s="20" t="n">
        <f aca="false">IF(AND(HU86=1,ED86=1),MIN(LO86,LT86),0)</f>
        <v>0</v>
      </c>
      <c r="LW86" s="20" t="n">
        <f aca="false">LO86-LV86</f>
        <v>0</v>
      </c>
      <c r="LX86" s="20" t="n">
        <f aca="false">IF(EN86=1,IF(ABS((1+AS_Wage)/(1+Slot13_Rate)-1)&lt;0.000000000001,(Slot13_Age-D86)*(1+Slot13_Rate)^(Slot13_Age-D86),(1+Slot13_Rate)^(Slot13_Age-D86)*(1-((1+AS_Wage)/(1+Slot13_Rate))^(Slot13_Age-D86))/(1-(1+AS_Wage)/(1+Slot13_Rate))),1)</f>
        <v>1</v>
      </c>
      <c r="LY86" s="20" t="n">
        <f aca="false">IF(AND(HU86=1,IE86&gt;0,Slot13_IsWG=1,EN86=1),MAX(0,(Slot13_Cost-EO86*(1+Slot13_Rate)^(Slot13_Age-D86))/LX86),0)</f>
        <v>0</v>
      </c>
      <c r="LZ86" s="20" t="n">
        <f aca="false">IF(AND(HU86=1,IE86&gt;0,Slot13_IsWG=1,EN86=1),MIN(IE86,LY86),0)</f>
        <v>0</v>
      </c>
      <c r="MA86" s="20" t="n">
        <f aca="false">EO86+LZ86</f>
        <v>0</v>
      </c>
      <c r="MB86" s="20" t="n">
        <f aca="false">IF(EN86=1,MAX(0,(Slot13_Cost-MA86*(1+Slot13_Rate)^(Slot13_Age-D86))/LX86),0)</f>
        <v>0</v>
      </c>
      <c r="MC86" s="20" t="n">
        <f aca="false">IF(EN86=1,MAX(0,(Slot13_Cost-EO86*(1+Slot13_Rate)^(Slot13_Age-D86))/LX86),0)</f>
        <v>0</v>
      </c>
      <c r="MD86" s="20" t="n">
        <f aca="false">IF(AND(HU86=1,EN86=1),MIN(LW86,MB86),0)</f>
        <v>0</v>
      </c>
      <c r="ME86" s="20" t="n">
        <f aca="false">LW86-MD86</f>
        <v>0</v>
      </c>
      <c r="MF86" s="20" t="n">
        <f aca="false">IF(EX86=1,IF(ABS((1+AS_Wage)/(1+Slot14_Rate)-1)&lt;0.000000000001,(Slot14_Age-D86)*(1+Slot14_Rate)^(Slot14_Age-D86),(1+Slot14_Rate)^(Slot14_Age-D86)*(1-((1+AS_Wage)/(1+Slot14_Rate))^(Slot14_Age-D86))/(1-(1+AS_Wage)/(1+Slot14_Rate))),1)</f>
        <v>1</v>
      </c>
      <c r="MG86" s="20" t="n">
        <f aca="false">IF(AND(HU86=1,IE86&gt;0,Slot14_IsWG=1,EX86=1),MAX(0,(Slot14_Cost-EY86*(1+Slot14_Rate)^(Slot14_Age-D86))/MF86),0)</f>
        <v>0</v>
      </c>
      <c r="MH86" s="20" t="n">
        <f aca="false">IF(AND(HU86=1,IE86&gt;0,Slot14_IsWG=1,EX86=1),MIN(IE86,MG86),0)</f>
        <v>0</v>
      </c>
      <c r="MI86" s="20" t="n">
        <f aca="false">EY86+MH86</f>
        <v>0</v>
      </c>
      <c r="MJ86" s="20" t="n">
        <f aca="false">IF(EX86=1,MAX(0,(Slot14_Cost-MI86*(1+Slot14_Rate)^(Slot14_Age-D86))/MF86),0)</f>
        <v>0</v>
      </c>
      <c r="MK86" s="20" t="n">
        <f aca="false">IF(EX86=1,MAX(0,(Slot14_Cost-EY86*(1+Slot14_Rate)^(Slot14_Age-D86))/MF86),0)</f>
        <v>0</v>
      </c>
      <c r="ML86" s="20" t="n">
        <f aca="false">IF(AND(HU86=1,EX86=1),MIN(ME86,MJ86),0)</f>
        <v>0</v>
      </c>
      <c r="MM86" s="20" t="n">
        <f aca="false">ME86-ML86</f>
        <v>0</v>
      </c>
      <c r="MN86" s="20" t="n">
        <f aca="false">IF(FH86=1,IF(ABS((1+AS_Wage)/(1+Slot15_Rate)-1)&lt;0.000000000001,(Slot15_Age-D86)*(1+Slot15_Rate)^(Slot15_Age-D86),(1+Slot15_Rate)^(Slot15_Age-D86)*(1-((1+AS_Wage)/(1+Slot15_Rate))^(Slot15_Age-D86))/(1-(1+AS_Wage)/(1+Slot15_Rate))),1)</f>
        <v>1</v>
      </c>
      <c r="MO86" s="20" t="n">
        <f aca="false">IF(AND(HU86=1,IE86&gt;0,Slot15_IsWG=1,FH86=1),MAX(0,(Slot15_Cost-FI86*(1+Slot15_Rate)^(Slot15_Age-D86))/MN86),0)</f>
        <v>0</v>
      </c>
      <c r="MP86" s="20" t="n">
        <f aca="false">IF(AND(HU86=1,IE86&gt;0,Slot15_IsWG=1,FH86=1),MIN(IE86,MO86),0)</f>
        <v>0</v>
      </c>
      <c r="MQ86" s="20" t="n">
        <f aca="false">FI86+MP86</f>
        <v>0</v>
      </c>
      <c r="MR86" s="20" t="n">
        <f aca="false">IF(FH86=1,MAX(0,(Slot15_Cost-MQ86*(1+Slot15_Rate)^(Slot15_Age-D86))/MN86),0)</f>
        <v>0</v>
      </c>
      <c r="MS86" s="20" t="n">
        <f aca="false">IF(FH86=1,MAX(0,(Slot15_Cost-FI86*(1+Slot15_Rate)^(Slot15_Age-D86))/MN86),0)</f>
        <v>0</v>
      </c>
      <c r="MT86" s="20" t="n">
        <f aca="false">IF(AND(HU86=1,FH86=1),MIN(MM86,MR86),0)</f>
        <v>0</v>
      </c>
      <c r="MU86" s="20" t="n">
        <f aca="false">MM86-MT86</f>
        <v>0</v>
      </c>
      <c r="MV86" s="20" t="n">
        <f aca="false">IF(FR86=1,IF(ABS((1+AS_Wage)/(1+Slot16_Rate)-1)&lt;0.000000000001,(Slot16_Age-D86)*(1+Slot16_Rate)^(Slot16_Age-D86),(1+Slot16_Rate)^(Slot16_Age-D86)*(1-((1+AS_Wage)/(1+Slot16_Rate))^(Slot16_Age-D86))/(1-(1+AS_Wage)/(1+Slot16_Rate))),1)</f>
        <v>1</v>
      </c>
      <c r="MW86" s="20" t="n">
        <f aca="false">IF(AND(HU86=1,IE86&gt;0,Slot16_IsWG=1,FR86=1),MAX(0,(Slot16_Cost-FS86*(1+Slot16_Rate)^(Slot16_Age-D86))/MV86),0)</f>
        <v>0</v>
      </c>
      <c r="MX86" s="20" t="n">
        <f aca="false">IF(AND(HU86=1,IE86&gt;0,Slot16_IsWG=1,FR86=1),MIN(IE86,MW86),0)</f>
        <v>0</v>
      </c>
      <c r="MY86" s="20" t="n">
        <f aca="false">FS86+MX86</f>
        <v>0</v>
      </c>
      <c r="MZ86" s="20" t="n">
        <f aca="false">IF(FR86=1,MAX(0,(Slot16_Cost-MY86*(1+Slot16_Rate)^(Slot16_Age-D86))/MV86),0)</f>
        <v>0</v>
      </c>
      <c r="NA86" s="20" t="n">
        <f aca="false">IF(FR86=1,MAX(0,(Slot16_Cost-FS86*(1+Slot16_Rate)^(Slot16_Age-D86))/MV86),0)</f>
        <v>0</v>
      </c>
      <c r="NB86" s="20" t="n">
        <f aca="false">IF(AND(HU86=1,FR86=1),MIN(MU86,MZ86),0)</f>
        <v>0</v>
      </c>
      <c r="NC86" s="20" t="n">
        <f aca="false">MU86-NB86</f>
        <v>0</v>
      </c>
      <c r="ND86" s="20" t="n">
        <f aca="false">IF(GB86=1,IF(ABS((1+AS_Wage)/(1+Slot17_Rate)-1)&lt;0.000000000001,(Slot17_Age-D86)*(1+Slot17_Rate)^(Slot17_Age-D86),(1+Slot17_Rate)^(Slot17_Age-D86)*(1-((1+AS_Wage)/(1+Slot17_Rate))^(Slot17_Age-D86))/(1-(1+AS_Wage)/(1+Slot17_Rate))),1)</f>
        <v>1</v>
      </c>
      <c r="NE86" s="20" t="n">
        <f aca="false">IF(AND(HU86=1,IE86&gt;0,Slot17_IsWG=1,GB86=1),MAX(0,(Slot17_Cost-GC86*(1+Slot17_Rate)^(Slot17_Age-D86))/ND86),0)</f>
        <v>0</v>
      </c>
      <c r="NF86" s="20" t="n">
        <f aca="false">IF(AND(HU86=1,IE86&gt;0,Slot17_IsWG=1,GB86=1),MIN(IE86,NE86),0)</f>
        <v>0</v>
      </c>
      <c r="NG86" s="20" t="n">
        <f aca="false">GC86+NF86</f>
        <v>0</v>
      </c>
      <c r="NH86" s="20" t="n">
        <f aca="false">IF(GB86=1,MAX(0,(Slot17_Cost-NG86*(1+Slot17_Rate)^(Slot17_Age-D86))/ND86),0)</f>
        <v>0</v>
      </c>
      <c r="NI86" s="20" t="n">
        <f aca="false">IF(GB86=1,MAX(0,(Slot17_Cost-GC86*(1+Slot17_Rate)^(Slot17_Age-D86))/ND86),0)</f>
        <v>0</v>
      </c>
      <c r="NJ86" s="20" t="n">
        <f aca="false">IF(AND(HU86=1,GB86=1),MIN(NC86,NH86),0)</f>
        <v>0</v>
      </c>
      <c r="NK86" s="20" t="n">
        <f aca="false">NC86-NJ86</f>
        <v>0</v>
      </c>
      <c r="NL86" s="20" t="n">
        <f aca="false">IF(GL86=1,IF(ABS((1+AS_Wage)/(1+Slot18_Rate)-1)&lt;0.000000000001,(Slot18_Age-D86)*(1+Slot18_Rate)^(Slot18_Age-D86),(1+Slot18_Rate)^(Slot18_Age-D86)*(1-((1+AS_Wage)/(1+Slot18_Rate))^(Slot18_Age-D86))/(1-(1+AS_Wage)/(1+Slot18_Rate))),1)</f>
        <v>1</v>
      </c>
      <c r="NM86" s="20" t="n">
        <f aca="false">IF(AND(HU86=1,IE86&gt;0,Slot18_IsWG=1,GL86=1),MAX(0,(Slot18_Cost-GM86*(1+Slot18_Rate)^(Slot18_Age-D86))/NL86),0)</f>
        <v>0</v>
      </c>
      <c r="NN86" s="20" t="n">
        <f aca="false">IF(AND(HU86=1,IE86&gt;0,Slot18_IsWG=1,GL86=1),MIN(IE86,NM86),0)</f>
        <v>0</v>
      </c>
      <c r="NO86" s="20" t="n">
        <f aca="false">GM86+NN86</f>
        <v>0</v>
      </c>
      <c r="NP86" s="20" t="n">
        <f aca="false">IF(GL86=1,MAX(0,(Slot18_Cost-NO86*(1+Slot18_Rate)^(Slot18_Age-D86))/NL86),0)</f>
        <v>0</v>
      </c>
      <c r="NQ86" s="20" t="n">
        <f aca="false">IF(GL86=1,MAX(0,(Slot18_Cost-GM86*(1+Slot18_Rate)^(Slot18_Age-D86))/NL86),0)</f>
        <v>0</v>
      </c>
      <c r="NR86" s="20" t="n">
        <f aca="false">IF(AND(HU86=1,GL86=1),MIN(NK86,NP86),0)</f>
        <v>0</v>
      </c>
      <c r="NS86" s="20" t="n">
        <f aca="false">NK86-NR86</f>
        <v>0</v>
      </c>
      <c r="NT86" s="20" t="n">
        <f aca="false">IF(GV86=1,IF(ABS((1+AS_Wage)/(1+Slot19_Rate)-1)&lt;0.000000000001,(Slot19_Age-D86)*(1+Slot19_Rate)^(Slot19_Age-D86),(1+Slot19_Rate)^(Slot19_Age-D86)*(1-((1+AS_Wage)/(1+Slot19_Rate))^(Slot19_Age-D86))/(1-(1+AS_Wage)/(1+Slot19_Rate))),1)</f>
        <v>1</v>
      </c>
      <c r="NU86" s="20" t="n">
        <f aca="false">IF(AND(HU86=1,IE86&gt;0,Slot19_IsWG=1,GV86=1),MAX(0,(Slot19_Cost-GW86*(1+Slot19_Rate)^(Slot19_Age-D86))/NT86),0)</f>
        <v>0</v>
      </c>
      <c r="NV86" s="20" t="n">
        <f aca="false">IF(AND(HU86=1,IE86&gt;0,Slot19_IsWG=1,GV86=1),MIN(IE86,NU86),0)</f>
        <v>0</v>
      </c>
      <c r="NW86" s="20" t="n">
        <f aca="false">GW86+NV86</f>
        <v>0</v>
      </c>
      <c r="NX86" s="20" t="n">
        <f aca="false">IF(GV86=1,MAX(0,(Slot19_Cost-NW86*(1+Slot19_Rate)^(Slot19_Age-D86))/NT86),0)</f>
        <v>0</v>
      </c>
      <c r="NY86" s="20" t="n">
        <f aca="false">IF(GV86=1,MAX(0,(Slot19_Cost-GW86*(1+Slot19_Rate)^(Slot19_Age-D86))/NT86),0)</f>
        <v>0</v>
      </c>
      <c r="NZ86" s="20" t="n">
        <f aca="false">IF(AND(HU86=1,GV86=1),MIN(NS86,NX86),0)</f>
        <v>0</v>
      </c>
      <c r="OA86" s="20" t="n">
        <f aca="false">NS86-NZ86</f>
        <v>0</v>
      </c>
      <c r="OB86" s="20" t="n">
        <f aca="false">IF(HF86=1,IF(ABS((1+AS_Wage)/(1+Slot20_Rate)-1)&lt;0.000000000001,(Slot20_Age-D86)*(1+Slot20_Rate)^(Slot20_Age-D86),(1+Slot20_Rate)^(Slot20_Age-D86)*(1-((1+AS_Wage)/(1+Slot20_Rate))^(Slot20_Age-D86))/(1-(1+AS_Wage)/(1+Slot20_Rate))),1)</f>
        <v>1</v>
      </c>
      <c r="OC86" s="20" t="n">
        <f aca="false">IF(AND(HU86=1,IE86&gt;0,Slot20_IsWG=1,HF86=1),MAX(0,(Slot20_Cost-HG86*(1+Slot20_Rate)^(Slot20_Age-D86))/OB86),0)</f>
        <v>0</v>
      </c>
      <c r="OD86" s="20" t="n">
        <f aca="false">IF(AND(HU86=1,IE86&gt;0,Slot20_IsWG=1,HF86=1),MIN(IE86,OC86),0)</f>
        <v>0</v>
      </c>
      <c r="OE86" s="20" t="n">
        <f aca="false">HG86+OD86</f>
        <v>0</v>
      </c>
      <c r="OF86" s="20" t="n">
        <f aca="false">IF(HF86=1,MAX(0,(Slot20_Cost-OE86*(1+Slot20_Rate)^(Slot20_Age-D86))/OB86),0)</f>
        <v>0</v>
      </c>
      <c r="OG86" s="20" t="n">
        <f aca="false">IF(HF86=1,MAX(0,(Slot20_Cost-HG86*(1+Slot20_Rate)^(Slot20_Age-D86))/OB86),0)</f>
        <v>0</v>
      </c>
      <c r="OH86" s="20" t="n">
        <f aca="false">IF(AND(HU86=1,HF86=1),MIN(OA86,OF86),0)</f>
        <v>0</v>
      </c>
      <c r="OI86" s="20" t="n">
        <f aca="false">OA86-OH86</f>
        <v>0</v>
      </c>
      <c r="OJ86" s="20" t="n">
        <f aca="false">IE86-(IH86+IP86+IX86+JF86+JN86+JV86+KD86+KL86+KT86+LB86+LJ86+LR86+LZ86+MH86+MP86+MX86+NF86+NN86+NV86+OD86)</f>
        <v>0</v>
      </c>
      <c r="OK86" s="20" t="n">
        <f aca="false">IF(HU86=1,HS86-ID86-IE86,0)</f>
        <v>0</v>
      </c>
      <c r="OL86" s="20" t="n">
        <f aca="false">IF(HU86=0,-HS86,0)</f>
        <v>90280.5368805827</v>
      </c>
      <c r="OM86" s="20" t="n">
        <f aca="false">MIN(OL86,HK86)</f>
        <v>0</v>
      </c>
      <c r="ON86" s="20" t="n">
        <f aca="false">OL86-OM86</f>
        <v>90280.5368805827</v>
      </c>
      <c r="OO86" s="20" t="n">
        <f aca="false">MIN(ON86,HL86)</f>
        <v>0</v>
      </c>
      <c r="OP86" s="20" t="n">
        <f aca="false">ON86-OO86</f>
        <v>90280.5368805827</v>
      </c>
      <c r="OQ86" s="20" t="n">
        <f aca="false">IF(AND(HU86=0,HF86=1,OP86&gt;0),MIN(OP86,HG86),0)</f>
        <v>0</v>
      </c>
      <c r="OR86" s="20" t="n">
        <f aca="false">OP86-OQ86</f>
        <v>90280.5368805827</v>
      </c>
      <c r="OS86" s="20" t="n">
        <f aca="false">IF(AND(HU86=0,GV86=1,OR86&gt;0),MIN(OR86,GW86),0)</f>
        <v>0</v>
      </c>
      <c r="OT86" s="20" t="n">
        <f aca="false">OR86-OS86</f>
        <v>90280.5368805827</v>
      </c>
      <c r="OU86" s="20" t="n">
        <f aca="false">IF(AND(HU86=0,GL86=1,OT86&gt;0),MIN(OT86,GM86),0)</f>
        <v>0</v>
      </c>
      <c r="OV86" s="20" t="n">
        <f aca="false">OT86-OU86</f>
        <v>90280.5368805827</v>
      </c>
      <c r="OW86" s="20" t="n">
        <f aca="false">IF(AND(HU86=0,GB86=1,OV86&gt;0),MIN(OV86,GC86),0)</f>
        <v>0</v>
      </c>
      <c r="OX86" s="20" t="n">
        <f aca="false">OV86-OW86</f>
        <v>90280.5368805827</v>
      </c>
      <c r="OY86" s="20" t="n">
        <f aca="false">IF(AND(HU86=0,FR86=1,OX86&gt;0),MIN(OX86,FS86),0)</f>
        <v>0</v>
      </c>
      <c r="OZ86" s="20" t="n">
        <f aca="false">OX86-OY86</f>
        <v>90280.5368805827</v>
      </c>
      <c r="PA86" s="20" t="n">
        <f aca="false">IF(AND(HU86=0,FH86=1,OZ86&gt;0),MIN(OZ86,FI86),0)</f>
        <v>0</v>
      </c>
      <c r="PB86" s="20" t="n">
        <f aca="false">OZ86-PA86</f>
        <v>90280.5368805827</v>
      </c>
      <c r="PC86" s="20" t="n">
        <f aca="false">IF(AND(HU86=0,EX86=1,PB86&gt;0),MIN(PB86,EY86),0)</f>
        <v>0</v>
      </c>
      <c r="PD86" s="20" t="n">
        <f aca="false">PB86-PC86</f>
        <v>90280.5368805827</v>
      </c>
      <c r="PE86" s="20" t="n">
        <f aca="false">IF(AND(HU86=0,EN86=1,PD86&gt;0),MIN(PD86,EO86),0)</f>
        <v>0</v>
      </c>
      <c r="PF86" s="20" t="n">
        <f aca="false">PD86-PE86</f>
        <v>90280.5368805827</v>
      </c>
      <c r="PG86" s="20" t="n">
        <f aca="false">IF(AND(HU86=0,ED86=1,PF86&gt;0),MIN(PF86,EE86),0)</f>
        <v>0</v>
      </c>
      <c r="PH86" s="20" t="n">
        <f aca="false">PF86-PG86</f>
        <v>90280.5368805827</v>
      </c>
      <c r="PI86" s="20" t="n">
        <f aca="false">IF(AND(HU86=0,DT86=1,PH86&gt;0),MIN(PH86,DU86),0)</f>
        <v>0</v>
      </c>
      <c r="PJ86" s="20" t="n">
        <f aca="false">PH86-PI86</f>
        <v>90280.5368805827</v>
      </c>
      <c r="PK86" s="20" t="n">
        <f aca="false">IF(AND(HU86=0,DJ86=1,PJ86&gt;0),MIN(PJ86,DK86),0)</f>
        <v>0</v>
      </c>
      <c r="PL86" s="20" t="n">
        <f aca="false">PJ86-PK86</f>
        <v>90280.5368805827</v>
      </c>
      <c r="PM86" s="20" t="n">
        <f aca="false">IF(AND(HU86=0,CZ86=1,PL86&gt;0),MIN(PL86,DA86),0)</f>
        <v>0</v>
      </c>
      <c r="PN86" s="20" t="n">
        <f aca="false">PL86-PM86</f>
        <v>90280.5368805827</v>
      </c>
      <c r="PO86" s="20" t="n">
        <f aca="false">IF(AND(HU86=0,CP86=1,PN86&gt;0),MIN(PN86,CQ86),0)</f>
        <v>0</v>
      </c>
      <c r="PP86" s="20" t="n">
        <f aca="false">PN86-PO86</f>
        <v>90280.5368805827</v>
      </c>
      <c r="PQ86" s="20" t="n">
        <f aca="false">IF(AND(HU86=0,CF86=1,PP86&gt;0),MIN(PP86,CG86),0)</f>
        <v>0</v>
      </c>
      <c r="PR86" s="20" t="n">
        <f aca="false">PP86-PQ86</f>
        <v>90280.5368805827</v>
      </c>
      <c r="PS86" s="20" t="n">
        <f aca="false">IF(AND(HU86=0,BV86=1,PR86&gt;0),MIN(PR86,BW86),0)</f>
        <v>0</v>
      </c>
      <c r="PT86" s="20" t="n">
        <f aca="false">PR86-PS86</f>
        <v>90280.5368805827</v>
      </c>
      <c r="PU86" s="20" t="n">
        <f aca="false">IF(AND(HU86=0,BL86=1,PT86&gt;0),MIN(PT86,BM86),0)</f>
        <v>0</v>
      </c>
      <c r="PV86" s="20" t="n">
        <f aca="false">PT86-PU86</f>
        <v>90280.5368805827</v>
      </c>
      <c r="PW86" s="20" t="n">
        <f aca="false">IF(AND(HU86=0,BB86=1,PV86&gt;0),MIN(PV86,BC86),0)</f>
        <v>0</v>
      </c>
      <c r="PX86" s="20" t="n">
        <f aca="false">PV86-PW86</f>
        <v>90280.5368805827</v>
      </c>
      <c r="PY86" s="20" t="n">
        <f aca="false">IF(AND(HU86=0,AR86=1,PX86&gt;0),MIN(PX86,AS86),0)</f>
        <v>0</v>
      </c>
      <c r="PZ86" s="20" t="n">
        <f aca="false">PX86-PY86</f>
        <v>90280.5368805827</v>
      </c>
      <c r="QA86" s="20" t="n">
        <f aca="false">IF(AND(HU86=0,AH86=1,PZ86&gt;0),MIN(PZ86,AI86),0)</f>
        <v>0</v>
      </c>
      <c r="QB86" s="20" t="n">
        <f aca="false">PZ86-QA86</f>
        <v>90280.5368805827</v>
      </c>
      <c r="QC86" s="20" t="n">
        <f aca="false">IF(AND(HU86=0,W86=1,QB86&gt;0),MIN(QB86,X86),0)</f>
        <v>0</v>
      </c>
      <c r="QD86" s="20" t="n">
        <f aca="false">QB86-QC86</f>
        <v>90280.5368805827</v>
      </c>
      <c r="QE86" s="20" t="n">
        <f aca="false">IF(HU86=0,QD86,0)</f>
        <v>90280.5368805827</v>
      </c>
      <c r="QF86" s="20" t="n">
        <f aca="false">OM86+OO86+QC86+QA86+PY86+PW86+PU86+PS86+PQ86+PO86+PM86+PK86+PI86+PG86+PE86+PC86+PA86+OY86+OW86+OU86+OS86+OQ86</f>
        <v>0</v>
      </c>
      <c r="QG86" s="20" t="n">
        <f aca="false">IF(HU86=1,HK86+OJ86+OI86+IF(G86=1,0,OK86),HK86-OM86)</f>
        <v>0</v>
      </c>
      <c r="QH86" s="20" t="n">
        <f aca="false">HL86-OO86</f>
        <v>0</v>
      </c>
      <c r="QI86" s="20" t="n">
        <f aca="false">IF(HU86=1,IF(G86=1,ID86+IE86,HS86),0)</f>
        <v>0</v>
      </c>
      <c r="QJ86" s="20" t="n">
        <f aca="false">IF(HU86=1,IF(G86=1,HS86-ID86-IE86,0),0)</f>
        <v>0</v>
      </c>
      <c r="QK86" s="57" t="n">
        <f aca="false">'Plan holdings'!BM86</f>
        <v>0</v>
      </c>
      <c r="QL86" s="20" t="n">
        <f aca="false">QH86*(1+AS_Cash)</f>
        <v>0</v>
      </c>
      <c r="QM86" s="20" t="n">
        <f aca="false">IF(W86=1,IF(HU86=1,II86+IL86,X86-QC86)*(1+Slot1_Rate),0)</f>
        <v>0</v>
      </c>
      <c r="QN86" s="20" t="n">
        <f aca="false">IF(AND(HU86=1,W86=1),(IH86+IL86)/F86,0)</f>
        <v>0</v>
      </c>
      <c r="QO86" s="20" t="n">
        <f aca="false">IF(B86=0,IH86+IL86,0)</f>
        <v>0</v>
      </c>
      <c r="QP86" s="20" t="n">
        <f aca="false">IF(B86=0,IF(HU86=1,IJ86,IK86),0)</f>
        <v>0</v>
      </c>
      <c r="QQ86" s="20" t="n">
        <f aca="false">IF(AH86=1,IF(HU86=1,IQ86+IT86,AI86-QA86)*(1+Slot2_Rate),0)</f>
        <v>0</v>
      </c>
      <c r="QR86" s="20" t="n">
        <f aca="false">IF(AND(HU86=1,AH86=1),(IP86+IT86)/F86,0)</f>
        <v>0</v>
      </c>
      <c r="QS86" s="20" t="n">
        <f aca="false">IF(B86=0,IP86+IT86,0)</f>
        <v>0</v>
      </c>
      <c r="QT86" s="20" t="n">
        <f aca="false">IF(B86=0,IF(HU86=1,IR86,IS86),0)</f>
        <v>0</v>
      </c>
      <c r="QU86" s="20" t="n">
        <f aca="false">IF(AR86=1,IF(HU86=1,IY86+JB86,AS86-PY86)*(1+Slot3_Rate),0)</f>
        <v>0</v>
      </c>
      <c r="QV86" s="20" t="n">
        <f aca="false">IF(AND(HU86=1,AR86=1),(IX86+JB86)/F86,0)</f>
        <v>0</v>
      </c>
      <c r="QW86" s="20" t="n">
        <f aca="false">IF(B86=0,IX86+JB86,0)</f>
        <v>0</v>
      </c>
      <c r="QX86" s="20" t="n">
        <f aca="false">IF(B86=0,IF(HU86=1,IZ86,JA86),0)</f>
        <v>0</v>
      </c>
      <c r="QY86" s="20" t="n">
        <f aca="false">IF(BB86=1,IF(HU86=1,JG86+JJ86,BC86-PW86)*(1+Slot4_Rate),0)</f>
        <v>0</v>
      </c>
      <c r="QZ86" s="20" t="n">
        <f aca="false">IF(AND(HU86=1,BB86=1),(JF86+JJ86)/F86,0)</f>
        <v>0</v>
      </c>
      <c r="RA86" s="20" t="n">
        <f aca="false">IF(B86=0,JF86+JJ86,0)</f>
        <v>0</v>
      </c>
      <c r="RB86" s="20" t="n">
        <f aca="false">IF(B86=0,IF(HU86=1,JH86,JI86),0)</f>
        <v>0</v>
      </c>
      <c r="RC86" s="20" t="n">
        <f aca="false">IF(BL86=1,IF(HU86=1,JO86+JR86,BM86-PU86)*(1+Slot5_Rate),0)</f>
        <v>0</v>
      </c>
      <c r="RD86" s="20" t="n">
        <f aca="false">IF(AND(HU86=1,BL86=1),(JN86+JR86)/F86,0)</f>
        <v>0</v>
      </c>
      <c r="RE86" s="20" t="n">
        <f aca="false">IF(B86=0,JN86+JR86,0)</f>
        <v>0</v>
      </c>
      <c r="RF86" s="20" t="n">
        <f aca="false">IF(B86=0,IF(HU86=1,JP86,JQ86),0)</f>
        <v>0</v>
      </c>
      <c r="RG86" s="20" t="n">
        <f aca="false">IF(BV86=1,IF(HU86=1,JW86+JZ86,BW86-PS86)*(1+Slot6_Rate),0)</f>
        <v>0</v>
      </c>
      <c r="RH86" s="20" t="n">
        <f aca="false">IF(AND(HU86=1,BV86=1),(JV86+JZ86)/F86,0)</f>
        <v>0</v>
      </c>
      <c r="RI86" s="20" t="n">
        <f aca="false">IF(B86=0,JV86+JZ86,0)</f>
        <v>0</v>
      </c>
      <c r="RJ86" s="20" t="n">
        <f aca="false">IF(B86=0,IF(HU86=1,JX86,JY86),0)</f>
        <v>0</v>
      </c>
      <c r="RK86" s="20" t="n">
        <f aca="false">IF(CF86=1,IF(HU86=1,KE86+KH86,CG86-PQ86)*(1+Slot7_Rate),0)</f>
        <v>0</v>
      </c>
      <c r="RL86" s="20" t="n">
        <f aca="false">IF(AND(HU86=1,CF86=1),(KD86+KH86)/F86,0)</f>
        <v>0</v>
      </c>
      <c r="RM86" s="20" t="n">
        <f aca="false">IF(B86=0,KD86+KH86,0)</f>
        <v>0</v>
      </c>
      <c r="RN86" s="20" t="n">
        <f aca="false">IF(B86=0,IF(HU86=1,KF86,KG86),0)</f>
        <v>0</v>
      </c>
      <c r="RO86" s="20" t="n">
        <f aca="false">IF(CP86=1,IF(HU86=1,KM86+KP86,CQ86-PO86)*(1+Slot8_Rate),0)</f>
        <v>0</v>
      </c>
      <c r="RP86" s="20" t="n">
        <f aca="false">IF(AND(HU86=1,CP86=1),(KL86+KP86)/F86,0)</f>
        <v>0</v>
      </c>
      <c r="RQ86" s="20" t="n">
        <f aca="false">IF(B86=0,KL86+KP86,0)</f>
        <v>0</v>
      </c>
      <c r="RR86" s="20" t="n">
        <f aca="false">IF(B86=0,IF(HU86=1,KN86,KO86),0)</f>
        <v>0</v>
      </c>
      <c r="RS86" s="20" t="n">
        <f aca="false">IF(CZ86=1,IF(HU86=1,KU86+KX86,DA86-PM86)*(1+Slot9_Rate),0)</f>
        <v>0</v>
      </c>
      <c r="RT86" s="20" t="n">
        <f aca="false">IF(AND(HU86=1,CZ86=1),(KT86+KX86)/F86,0)</f>
        <v>0</v>
      </c>
      <c r="RU86" s="20" t="n">
        <f aca="false">IF(B86=0,KT86+KX86,0)</f>
        <v>0</v>
      </c>
      <c r="RV86" s="20" t="n">
        <f aca="false">IF(B86=0,IF(HU86=1,KV86,KW86),0)</f>
        <v>0</v>
      </c>
      <c r="RW86" s="20" t="n">
        <f aca="false">IF(DJ86=1,IF(HU86=1,LC86+LF86,DK86-PK86)*(1+Slot10_Rate),0)</f>
        <v>0</v>
      </c>
      <c r="RX86" s="20" t="n">
        <f aca="false">IF(AND(HU86=1,DJ86=1),(LB86+LF86)/F86,0)</f>
        <v>0</v>
      </c>
      <c r="RY86" s="20" t="n">
        <f aca="false">IF(B86=0,LB86+LF86,0)</f>
        <v>0</v>
      </c>
      <c r="RZ86" s="20" t="n">
        <f aca="false">IF(B86=0,IF(HU86=1,LD86,LE86),0)</f>
        <v>0</v>
      </c>
      <c r="SA86" s="20" t="n">
        <f aca="false">IF(DT86=1,IF(HU86=1,LK86+LN86,DU86-PI86)*(1+Slot11_Rate),0)</f>
        <v>0</v>
      </c>
      <c r="SB86" s="20" t="n">
        <f aca="false">IF(AND(HU86=1,DT86=1),(LJ86+LN86)/F86,0)</f>
        <v>0</v>
      </c>
      <c r="SC86" s="20" t="n">
        <f aca="false">IF(B86=0,LJ86+LN86,0)</f>
        <v>0</v>
      </c>
      <c r="SD86" s="20" t="n">
        <f aca="false">IF(B86=0,IF(HU86=1,LL86,LM86),0)</f>
        <v>0</v>
      </c>
      <c r="SE86" s="20" t="n">
        <f aca="false">IF(ED86=1,IF(HU86=1,LS86+LV86,EE86-PG86)*(1+Slot12_Rate),0)</f>
        <v>0</v>
      </c>
      <c r="SF86" s="20" t="n">
        <f aca="false">IF(AND(HU86=1,ED86=1),(LR86+LV86)/F86,0)</f>
        <v>0</v>
      </c>
      <c r="SG86" s="20" t="n">
        <f aca="false">IF(B86=0,LR86+LV86,0)</f>
        <v>0</v>
      </c>
      <c r="SH86" s="20" t="n">
        <f aca="false">IF(B86=0,IF(HU86=1,LT86,LU86),0)</f>
        <v>0</v>
      </c>
      <c r="SI86" s="20" t="n">
        <f aca="false">IF(EN86=1,IF(HU86=1,MA86+MD86,EO86-PE86)*(1+Slot13_Rate),0)</f>
        <v>0</v>
      </c>
      <c r="SJ86" s="20" t="n">
        <f aca="false">IF(AND(HU86=1,EN86=1),(LZ86+MD86)/F86,0)</f>
        <v>0</v>
      </c>
      <c r="SK86" s="20" t="n">
        <f aca="false">IF(B86=0,LZ86+MD86,0)</f>
        <v>0</v>
      </c>
      <c r="SL86" s="20" t="n">
        <f aca="false">IF(B86=0,IF(HU86=1,MB86,MC86),0)</f>
        <v>0</v>
      </c>
      <c r="SM86" s="20" t="n">
        <f aca="false">IF(EX86=1,IF(HU86=1,MI86+ML86,EY86-PC86)*(1+Slot14_Rate),0)</f>
        <v>0</v>
      </c>
      <c r="SN86" s="20" t="n">
        <f aca="false">IF(AND(HU86=1,EX86=1),(MH86+ML86)/F86,0)</f>
        <v>0</v>
      </c>
      <c r="SO86" s="20" t="n">
        <f aca="false">IF(B86=0,MH86+ML86,0)</f>
        <v>0</v>
      </c>
      <c r="SP86" s="20" t="n">
        <f aca="false">IF(B86=0,IF(HU86=1,MJ86,MK86),0)</f>
        <v>0</v>
      </c>
      <c r="SQ86" s="20" t="n">
        <f aca="false">IF(FH86=1,IF(HU86=1,MQ86+MT86,FI86-PA86)*(1+Slot15_Rate),0)</f>
        <v>0</v>
      </c>
      <c r="SR86" s="20" t="n">
        <f aca="false">IF(AND(HU86=1,FH86=1),(MP86+MT86)/F86,0)</f>
        <v>0</v>
      </c>
      <c r="SS86" s="20" t="n">
        <f aca="false">IF(B86=0,MP86+MT86,0)</f>
        <v>0</v>
      </c>
      <c r="ST86" s="20" t="n">
        <f aca="false">IF(B86=0,IF(HU86=1,MR86,MS86),0)</f>
        <v>0</v>
      </c>
      <c r="SU86" s="20" t="n">
        <f aca="false">IF(FR86=1,IF(HU86=1,MY86+NB86,FS86-OY86)*(1+Slot16_Rate),0)</f>
        <v>0</v>
      </c>
      <c r="SV86" s="20" t="n">
        <f aca="false">IF(AND(HU86=1,FR86=1),(MX86+NB86)/F86,0)</f>
        <v>0</v>
      </c>
      <c r="SW86" s="20" t="n">
        <f aca="false">IF(B86=0,MX86+NB86,0)</f>
        <v>0</v>
      </c>
      <c r="SX86" s="20" t="n">
        <f aca="false">IF(B86=0,IF(HU86=1,MZ86,NA86),0)</f>
        <v>0</v>
      </c>
      <c r="SY86" s="20" t="n">
        <f aca="false">IF(GB86=1,IF(HU86=1,NG86+NJ86,GC86-OW86)*(1+Slot17_Rate),0)</f>
        <v>0</v>
      </c>
      <c r="SZ86" s="20" t="n">
        <f aca="false">IF(AND(HU86=1,GB86=1),(NF86+NJ86)/F86,0)</f>
        <v>0</v>
      </c>
      <c r="TA86" s="20" t="n">
        <f aca="false">IF(B86=0,NF86+NJ86,0)</f>
        <v>0</v>
      </c>
      <c r="TB86" s="20" t="n">
        <f aca="false">IF(B86=0,IF(HU86=1,NH86,NI86),0)</f>
        <v>0</v>
      </c>
      <c r="TC86" s="20" t="n">
        <f aca="false">IF(GL86=1,IF(HU86=1,NO86+NR86,GM86-OU86)*(1+Slot18_Rate),0)</f>
        <v>0</v>
      </c>
      <c r="TD86" s="20" t="n">
        <f aca="false">IF(AND(HU86=1,GL86=1),(NN86+NR86)/F86,0)</f>
        <v>0</v>
      </c>
      <c r="TE86" s="20" t="n">
        <f aca="false">IF(B86=0,NN86+NR86,0)</f>
        <v>0</v>
      </c>
      <c r="TF86" s="20" t="n">
        <f aca="false">IF(B86=0,IF(HU86=1,NP86,NQ86),0)</f>
        <v>0</v>
      </c>
      <c r="TG86" s="20" t="n">
        <f aca="false">IF(GV86=1,IF(HU86=1,NW86+NZ86,GW86-OS86)*(1+Slot19_Rate),0)</f>
        <v>0</v>
      </c>
      <c r="TH86" s="20" t="n">
        <f aca="false">IF(AND(HU86=1,GV86=1),(NV86+NZ86)/F86,0)</f>
        <v>0</v>
      </c>
      <c r="TI86" s="20" t="n">
        <f aca="false">IF(B86=0,NV86+NZ86,0)</f>
        <v>0</v>
      </c>
      <c r="TJ86" s="20" t="n">
        <f aca="false">IF(B86=0,IF(HU86=1,NX86,NY86),0)</f>
        <v>0</v>
      </c>
      <c r="TK86" s="20" t="n">
        <f aca="false">IF(HF86=1,IF(HU86=1,OE86+OH86,HG86-OQ86)*(1+Slot20_Rate),0)</f>
        <v>0</v>
      </c>
      <c r="TL86" s="20" t="n">
        <f aca="false">IF(AND(HU86=1,HF86=1),(OD86+OH86)/F86,0)</f>
        <v>0</v>
      </c>
      <c r="TM86" s="20" t="n">
        <f aca="false">IF(B86=0,OD86+OH86,0)</f>
        <v>0</v>
      </c>
      <c r="TN86" s="20" t="n">
        <f aca="false">IF(B86=0,IF(HU86=1,OF86,OG86),0)</f>
        <v>0</v>
      </c>
      <c r="TO86" s="20" t="n">
        <f aca="false">QK86+QL86+QM86+QQ86+QU86+QY86+RC86+RG86+RK86+RO86+RS86+RW86+SA86+SE86+SI86+SM86+SQ86+SU86+SY86+TC86+TG86+TK86</f>
        <v>0</v>
      </c>
      <c r="TP86" s="20" t="n">
        <f aca="false">QE86+HP86</f>
        <v>90280.5368805827</v>
      </c>
      <c r="TQ86" s="20" t="n">
        <f aca="false">I86+S86</f>
        <v>223996.531777593</v>
      </c>
      <c r="TR86" s="20" t="n">
        <f aca="false">1-G86</f>
        <v>1</v>
      </c>
      <c r="TS86" s="20" t="n">
        <f aca="false">IF(AND(RG_Exists=1,G86=0,C86=1),I86,0)</f>
        <v>0</v>
      </c>
      <c r="TT86" s="20" t="n">
        <f aca="false">IF(AND(RG_Exists=1,G86=0,C86=1),I86-MIN(QE86,I86),0)</f>
        <v>0</v>
      </c>
      <c r="TU86" s="20" t="n">
        <f aca="false">'Plan pay &amp; tax'!AD312</f>
        <v>0</v>
      </c>
      <c r="TV86" s="20" t="n">
        <f aca="false">IF(AND(C86=1,QE86&gt;MAX(PR_Short1,TQ86*PR_Short2)),1,0)</f>
        <v>0</v>
      </c>
      <c r="TW86" s="20" t="n">
        <f aca="false">MIN(H86,I86+S86)</f>
        <v>133715.99489701</v>
      </c>
      <c r="TX86" s="20" t="n">
        <f aca="false">QF86+MAX(0,HQ86-HP86)</f>
        <v>0</v>
      </c>
      <c r="TY86" s="20" t="n">
        <f aca="false">QE86+HP86</f>
        <v>90280.5368805827</v>
      </c>
      <c r="TZ86" s="20" t="n">
        <f aca="false">IF(AND(C86=1,TY86&gt;PR_MinShort),1,0)</f>
        <v>0</v>
      </c>
      <c r="UA86" s="20" t="n">
        <f aca="false">IF(AND(C86=1,TZ86=0,TX86&gt;PR_MinShort),1,0)</f>
        <v>0</v>
      </c>
      <c r="UB86" s="20" t="n">
        <f aca="false">IF(AND(C86=1,QE86&gt;PR_MinShort),1,0)</f>
        <v>0</v>
      </c>
      <c r="UC86" s="20" t="n">
        <f aca="false">IF(AND(C86=1,QF86&gt;1,UJ86=0),1,0)</f>
        <v>0</v>
      </c>
      <c r="UD86" s="20" t="str">
        <f aca="false">IF(C86=0,"",IF(UJ86=1,"Gap to plan for: short "&amp;"€"&amp;TEXT(ROUND(TP86,0),"#,##0"),IF(QF86&gt;1,"Using savings","Comfortable")))</f>
        <v/>
      </c>
      <c r="UE86" s="20" t="n">
        <f aca="false">IF(AND(INT(D86/10)*10=90,B86&gt;0),80,INT(D86/10)*10)</f>
        <v>110</v>
      </c>
      <c r="UF86" s="20" t="n">
        <f aca="false">IF(B86=0,1,IF(UE86&lt;&gt;UE85,UF85+1,UF85))</f>
        <v>8</v>
      </c>
      <c r="UG86" s="20" t="n">
        <f aca="false">IF(AND(C86=1,G86=1,QE86&gt;MAX(PR_Short1,TQ86*PR_Short2)),1,0)</f>
        <v>0</v>
      </c>
      <c r="UH86" s="20" t="n">
        <f aca="false">TR86*TV86</f>
        <v>0</v>
      </c>
      <c r="UI86" s="20" t="n">
        <f aca="false">IF(AND(V86=1,Slot1_PctLow=1),1,0)+IF(AND(AG86=1,Slot2_PctLow=1),1,0)+IF(AND(AQ86=1,Slot3_PctLow=1),1,0)+IF(AND(BA86=1,Slot4_PctLow=1),1,0)+IF(AND(BK86=1,Slot5_PctLow=1),1,0)+IF(AND(BU86=1,Slot6_PctLow=1),1,0)+IF(AND(CE86=1,Slot7_PctLow=1),1,0)+IF(AND(CO86=1,Slot8_PctLow=1),1,0)+IF(AND(CY86=1,Slot9_PctLow=1),1,0)+IF(AND(DI86=1,Slot10_PctLow=1),1,0)+IF(AND(DS86=1,Slot11_PctLow=1),1,0)+IF(AND(EC86=1,Slot12_PctLow=1),1,0)+IF(AND(EM86=1,Slot13_PctLow=1),1,0)+IF(AND(EW86=1,Slot14_PctLow=1),1,0)+IF(AND(FG86=1,Slot15_PctLow=1),1,0)+IF(AND(FQ86=1,Slot16_PctLow=1),1,0)+IF(AND(GA86=1,Slot17_PctLow=1),1,0)+IF(AND(GK86=1,Slot18_PctLow=1),1,0)+IF(AND(GU86=1,Slot19_PctLow=1),1,0)+IF(AND(HE86=1,Slot20_PctLow=1),1,0)</f>
        <v>0</v>
      </c>
      <c r="UJ86" s="20" t="n">
        <f aca="false">IF(C86=1,IF(OR(TV86=1,UI86&gt;0),1,0),0)</f>
        <v>0</v>
      </c>
      <c r="UK86" s="20" t="n">
        <f aca="false">Z86+AK86+AU86+BE86+BO86+BY86+CI86+CS86+DC86+DM86+DW86+EG86+EQ86+FA86+FK86+FU86+GE86+GO86+GY86+HI86+OM86</f>
        <v>0</v>
      </c>
      <c r="UL86" s="20" t="n">
        <f aca="false">V86*IF(Slot1_SpendLike=1,X86-Y86,IF(Slot1_PotFree=1,X86,0))+AG86*IF(Slot2_SpendLike=1,AI86-AJ86,IF(Slot2_PotFree=1,AI86,0))+AQ86*IF(Slot3_SpendLike=1,AS86-AT86,IF(Slot3_PotFree=1,AS86,0))+BA86*IF(Slot4_SpendLike=1,BC86-BD86,IF(Slot4_PotFree=1,BC86,0))+BK86*IF(Slot5_SpendLike=1,BM86-BN86,IF(Slot5_PotFree=1,BM86,0))+BU86*IF(Slot6_SpendLike=1,BW86-BX86,IF(Slot6_PotFree=1,BW86,0))+CE86*IF(Slot7_SpendLike=1,CG86-CH86,IF(Slot7_PotFree=1,CG86,0))+CO86*IF(Slot8_SpendLike=1,CQ86-CR86,IF(Slot8_PotFree=1,CQ86,0))+CY86*IF(Slot9_SpendLike=1,DA86-DB86,IF(Slot9_PotFree=1,DA86,0))+DI86*IF(Slot10_SpendLike=1,DK86-DL86,IF(Slot10_PotFree=1,DK86,0))+DS86*IF(Slot11_SpendLike=1,DU86-DV86,IF(Slot11_PotFree=1,DU86,0))+EC86*IF(Slot12_SpendLike=1,EE86-EF86,IF(Slot12_PotFree=1,EE86,0))+EM86*IF(Slot13_SpendLike=1,EO86-EP86,IF(Slot13_PotFree=1,EO86,0))+EW86*IF(Slot14_SpendLike=1,EY86-EZ86,IF(Slot14_PotFree=1,EY86,0))+FG86*IF(Slot15_SpendLike=1,FI86-FJ86,IF(Slot15_PotFree=1,FI86,0))+FQ86*IF(Slot16_SpendLike=1,FS86-FT86,IF(Slot16_PotFree=1,FS86,0))+GA86*IF(Slot17_SpendLike=1,GC86-GD86,IF(Slot17_PotFree=1,GC86,0))+GK86*IF(Slot18_SpendLike=1,GM86-GN86,IF(Slot18_PotFree=1,GM86,0))+GU86*IF(Slot19_SpendLike=1,GW86-GX86,IF(Slot19_PotFree=1,GW86,0))+HE86*IF(Slot20_SpendLike=1,HG86-HH86,IF(Slot20_PotFree=1,HG86,0))</f>
        <v>0</v>
      </c>
      <c r="UM86" s="20" t="n">
        <f aca="false">QG86-T86+UK86-UL86</f>
        <v>0</v>
      </c>
      <c r="UN86" s="20" t="n">
        <f aca="false">IF(OR(UN85=1,AND(In_homeUse="Yes, I'd downsize",In_downAge&gt;0,D86=In_downAge,OR(In_home="Own outright",In_home="Own with mortgage"),In_homeValue&gt;0)),1,0)</f>
        <v>0</v>
      </c>
    </row>
    <row r="87" customFormat="false" ht="15" hidden="false" customHeight="true" outlineLevel="0" collapsed="false">
      <c r="B87" s="20" t="n">
        <v>79</v>
      </c>
      <c r="C87" s="20" t="n">
        <f aca="false">IF(B87&lt;=F_N,1,0)</f>
        <v>0</v>
      </c>
      <c r="D87" s="20" t="n">
        <f aca="false">'Plan pay &amp; tax'!C313</f>
        <v>117</v>
      </c>
      <c r="E87" s="20" t="str">
        <f aca="false">IF($C87=1,"Income tax "&amp;TEXT(N('Plan pay &amp; tax'!BK313),"#,##0")&amp;"; USC "&amp;TEXT(N('Plan pay &amp; tax'!BM313)+N('Plan pay &amp; tax'!BO313),"#,##0")&amp;"; PRSI "&amp;TEXT(N('Plan pay &amp; tax'!BP313)+N('Plan pay &amp; tax'!BQ313),"#,##0")&amp;IF(N('Plan holdings'!BO87)&gt;=0.5,"; DIRT "&amp;TEXT(('Plan holdings'!BO87)/$F87,"#,##0")&amp;" (already taken from the interest earned)","")&amp;IF(N('Plan holdings'!BP87)&gt;=0.5,"; exit tax at an 8-year anniversary "&amp;TEXT(('Plan holdings'!BP87)/$F87,"#,##0"),"")&amp;IF(N('Plan holdings'!BN87)&gt;=0.5,"; tax on assets sold (exit tax or capital gains tax) "&amp;TEXT(('Plan holdings'!BN87)/$F87,"#,##0"),"")&amp;IF(N('Plan pay &amp; tax'!X313)-N('Plan pay &amp; tax'!Y313)&gt;=0.5,"; tax on the pension lump sum "&amp;TEXT(('Plan pay &amp; tax'!X313-'Plan pay &amp; tax'!Y313)/$F87,"#,##0"),"")&amp;IF(N('Plan pay &amp; tax'!V313)&gt;=0.5,"; chargeable excess tax on the pension "&amp;TEXT(('Plan pay &amp; tax'!V313)/$F87,"#,##0"),"")&amp;".","")</f>
        <v/>
      </c>
      <c r="F87" s="50" t="n">
        <f aca="false">'Plan pay &amp; tax'!E313</f>
        <v>4.77984230989843</v>
      </c>
      <c r="G87" s="20" t="n">
        <f aca="false">'Plan pay &amp; tax'!G313</f>
        <v>0</v>
      </c>
      <c r="H87" s="20" t="n">
        <f aca="false">'Plan pay &amp; tax'!BT313-'Plan pay &amp; tax'!BS313-'Plan pay &amp; tax'!R313</f>
        <v>136390.31479495</v>
      </c>
      <c r="I87" s="20" t="n">
        <f aca="false">IF(G87=1,F_CostsM*12,IF(RG_Exists=1,RG_Amount,F_CostsM*12*AS_RetireSpend))*F87+F_OneOffY*F87</f>
        <v>228476.462413145</v>
      </c>
      <c r="J87" s="20" t="n">
        <f aca="false">IF(UN87=1,0,HR86)</f>
        <v>0</v>
      </c>
      <c r="K87" s="20" t="n">
        <f aca="false">IF(J87&gt;1,'Plan debt months'!AC87,0)</f>
        <v>0</v>
      </c>
      <c r="L87" s="20" t="n">
        <f aca="false">IF(J87&gt;1,'Plan debt months'!AB87,J87)</f>
        <v>0</v>
      </c>
      <c r="M87" s="20" t="n">
        <f aca="false">O86</f>
        <v>0</v>
      </c>
      <c r="N87" s="20" t="n">
        <f aca="false">IF(M87&gt;1,'Plan debt months'!BD87,0)</f>
        <v>0</v>
      </c>
      <c r="O87" s="20" t="n">
        <f aca="false">IF(M87&gt;1,'Plan debt months'!BC87,M87)</f>
        <v>0</v>
      </c>
      <c r="P87" s="20" t="n">
        <f aca="false">R86</f>
        <v>0</v>
      </c>
      <c r="Q87" s="20" t="n">
        <f aca="false">IF(P87&gt;1,'Plan debt months'!CE87,0)</f>
        <v>0</v>
      </c>
      <c r="R87" s="20" t="n">
        <f aca="false">IF(P87&gt;1,'Plan debt months'!CD87,P87)</f>
        <v>0</v>
      </c>
      <c r="S87" s="20" t="n">
        <f aca="false">K87+N87+Q87</f>
        <v>0</v>
      </c>
      <c r="T87" s="57" t="n">
        <f aca="false">'Plan holdings'!Y87</f>
        <v>0</v>
      </c>
      <c r="U87" s="57" t="n">
        <f aca="false">'Plan holdings'!BM86</f>
        <v>0</v>
      </c>
      <c r="V87" s="20" t="n">
        <f aca="false">IF(AND(Slot1_On=1,D87=Slot1_Age),1,0)</f>
        <v>0</v>
      </c>
      <c r="W87" s="20" t="n">
        <f aca="false">IF(AND(Slot1_On=1,Slot1_Age&gt;D87),1,0)</f>
        <v>0</v>
      </c>
      <c r="X87" s="20" t="n">
        <f aca="false">QM86</f>
        <v>0</v>
      </c>
      <c r="Y87" s="20" t="n">
        <f aca="false">V87*MIN(Slot1_Cost,X87)</f>
        <v>0</v>
      </c>
      <c r="Z87" s="20" t="n">
        <f aca="false">V87*Slot1_SpendLike*MIN(Slot1_Cost-Y87,T87)</f>
        <v>0</v>
      </c>
      <c r="AA87" s="20" t="n">
        <f aca="false">Y87+Z87</f>
        <v>0</v>
      </c>
      <c r="AB87" s="20" t="n">
        <f aca="false">T87-Z87+V87*IF(Slot1_SpendLike=1,X87-Y87,IF(Slot1_PotFree=1,X87,0))</f>
        <v>0</v>
      </c>
      <c r="AC87" s="20" t="n">
        <f aca="false">AF87+V87*Slot1_BufPot*X87</f>
        <v>0</v>
      </c>
      <c r="AD87" s="20" t="n">
        <f aca="false">IF(AND(V87=1,Slot1_IsMfree=1),IF(AA87&gt;=Slot1_Cost-1,0,MAX(0,L87-AA87)),L87)</f>
        <v>0</v>
      </c>
      <c r="AE87" s="20" t="n">
        <f aca="false">V87*(Slot1_Cost-AA87)</f>
        <v>0</v>
      </c>
      <c r="AF87" s="20" t="n">
        <f aca="false">QL86</f>
        <v>0</v>
      </c>
      <c r="AG87" s="20" t="n">
        <f aca="false">IF(AND(Slot2_On=1,D87=Slot2_Age),1,0)</f>
        <v>0</v>
      </c>
      <c r="AH87" s="20" t="n">
        <f aca="false">IF(AND(Slot2_On=1,Slot2_Age&gt;D87),1,0)</f>
        <v>0</v>
      </c>
      <c r="AI87" s="20" t="n">
        <f aca="false">QQ86</f>
        <v>0</v>
      </c>
      <c r="AJ87" s="20" t="n">
        <f aca="false">AG87*MIN(Slot2_Cost,AI87)</f>
        <v>0</v>
      </c>
      <c r="AK87" s="20" t="n">
        <f aca="false">AG87*Slot2_SpendLike*MIN(Slot2_Cost-AJ87,AB87)</f>
        <v>0</v>
      </c>
      <c r="AL87" s="20" t="n">
        <f aca="false">AJ87+AK87</f>
        <v>0</v>
      </c>
      <c r="AM87" s="20" t="n">
        <f aca="false">AB87-AK87+AG87*IF(Slot2_SpendLike=1,AI87-AJ87,IF(Slot2_PotFree=1,AI87,0))</f>
        <v>0</v>
      </c>
      <c r="AN87" s="20" t="n">
        <f aca="false">AC87+AG87*Slot2_BufPot*AI87</f>
        <v>0</v>
      </c>
      <c r="AO87" s="20" t="n">
        <f aca="false">IF(AND(AG87=1,Slot2_IsMfree=1),IF(AL87&gt;=Slot2_Cost-1,0,MAX(0,AD87-AL87)),AD87)</f>
        <v>0</v>
      </c>
      <c r="AP87" s="20" t="n">
        <f aca="false">AG87*(Slot2_Cost-AL87)</f>
        <v>0</v>
      </c>
      <c r="AQ87" s="20" t="n">
        <f aca="false">IF(AND(Slot3_On=1,D87=Slot3_Age),1,0)</f>
        <v>0</v>
      </c>
      <c r="AR87" s="20" t="n">
        <f aca="false">IF(AND(Slot3_On=1,Slot3_Age&gt;D87),1,0)</f>
        <v>0</v>
      </c>
      <c r="AS87" s="20" t="n">
        <f aca="false">QU86</f>
        <v>0</v>
      </c>
      <c r="AT87" s="20" t="n">
        <f aca="false">AQ87*MIN(Slot3_Cost,AS87)</f>
        <v>0</v>
      </c>
      <c r="AU87" s="20" t="n">
        <f aca="false">AQ87*Slot3_SpendLike*MIN(Slot3_Cost-AT87,AM87)</f>
        <v>0</v>
      </c>
      <c r="AV87" s="20" t="n">
        <f aca="false">AT87+AU87</f>
        <v>0</v>
      </c>
      <c r="AW87" s="20" t="n">
        <f aca="false">AM87-AU87+AQ87*IF(Slot3_SpendLike=1,AS87-AT87,IF(Slot3_PotFree=1,AS87,0))</f>
        <v>0</v>
      </c>
      <c r="AX87" s="20" t="n">
        <f aca="false">AN87+AQ87*Slot3_BufPot*AS87</f>
        <v>0</v>
      </c>
      <c r="AY87" s="20" t="n">
        <f aca="false">IF(AND(AQ87=1,Slot3_IsMfree=1),IF(AV87&gt;=Slot3_Cost-1,0,MAX(0,AO87-AV87)),AO87)</f>
        <v>0</v>
      </c>
      <c r="AZ87" s="20" t="n">
        <f aca="false">AQ87*(Slot3_Cost-AV87)</f>
        <v>0</v>
      </c>
      <c r="BA87" s="20" t="n">
        <f aca="false">IF(AND(Slot4_On=1,D87=Slot4_Age),1,0)</f>
        <v>0</v>
      </c>
      <c r="BB87" s="20" t="n">
        <f aca="false">IF(AND(Slot4_On=1,Slot4_Age&gt;D87),1,0)</f>
        <v>0</v>
      </c>
      <c r="BC87" s="20" t="n">
        <f aca="false">QY86</f>
        <v>0</v>
      </c>
      <c r="BD87" s="20" t="n">
        <f aca="false">BA87*MIN(Slot4_Cost,BC87)</f>
        <v>0</v>
      </c>
      <c r="BE87" s="20" t="n">
        <f aca="false">BA87*Slot4_SpendLike*MIN(Slot4_Cost-BD87,AW87)</f>
        <v>0</v>
      </c>
      <c r="BF87" s="20" t="n">
        <f aca="false">BD87+BE87</f>
        <v>0</v>
      </c>
      <c r="BG87" s="20" t="n">
        <f aca="false">AW87-BE87+BA87*IF(Slot4_SpendLike=1,BC87-BD87,IF(Slot4_PotFree=1,BC87,0))</f>
        <v>0</v>
      </c>
      <c r="BH87" s="20" t="n">
        <f aca="false">AX87+BA87*Slot4_BufPot*BC87</f>
        <v>0</v>
      </c>
      <c r="BI87" s="20" t="n">
        <f aca="false">IF(AND(BA87=1,Slot4_IsMfree=1),IF(BF87&gt;=Slot4_Cost-1,0,MAX(0,AY87-BF87)),AY87)</f>
        <v>0</v>
      </c>
      <c r="BJ87" s="20" t="n">
        <f aca="false">BA87*(Slot4_Cost-BF87)</f>
        <v>0</v>
      </c>
      <c r="BK87" s="20" t="n">
        <f aca="false">IF(AND(Slot5_On=1,D87=Slot5_Age),1,0)</f>
        <v>0</v>
      </c>
      <c r="BL87" s="20" t="n">
        <f aca="false">IF(AND(Slot5_On=1,Slot5_Age&gt;D87),1,0)</f>
        <v>0</v>
      </c>
      <c r="BM87" s="20" t="n">
        <f aca="false">RC86</f>
        <v>0</v>
      </c>
      <c r="BN87" s="20" t="n">
        <f aca="false">BK87*MIN(Slot5_Cost,BM87)</f>
        <v>0</v>
      </c>
      <c r="BO87" s="20" t="n">
        <f aca="false">BK87*Slot5_SpendLike*MIN(Slot5_Cost-BN87,BG87)</f>
        <v>0</v>
      </c>
      <c r="BP87" s="20" t="n">
        <f aca="false">BN87+BO87</f>
        <v>0</v>
      </c>
      <c r="BQ87" s="20" t="n">
        <f aca="false">BG87-BO87+BK87*IF(Slot5_SpendLike=1,BM87-BN87,IF(Slot5_PotFree=1,BM87,0))</f>
        <v>0</v>
      </c>
      <c r="BR87" s="20" t="n">
        <f aca="false">BH87+BK87*Slot5_BufPot*BM87</f>
        <v>0</v>
      </c>
      <c r="BS87" s="20" t="n">
        <f aca="false">IF(AND(BK87=1,Slot5_IsMfree=1),IF(BP87&gt;=Slot5_Cost-1,0,MAX(0,BI87-BP87)),BI87)</f>
        <v>0</v>
      </c>
      <c r="BT87" s="20" t="n">
        <f aca="false">BK87*(Slot5_Cost-BP87)</f>
        <v>0</v>
      </c>
      <c r="BU87" s="20" t="n">
        <f aca="false">IF(AND(Slot6_On=1,D87=Slot6_Age),1,0)</f>
        <v>0</v>
      </c>
      <c r="BV87" s="20" t="n">
        <f aca="false">IF(AND(Slot6_On=1,Slot6_Age&gt;D87),1,0)</f>
        <v>0</v>
      </c>
      <c r="BW87" s="20" t="n">
        <f aca="false">RG86</f>
        <v>0</v>
      </c>
      <c r="BX87" s="20" t="n">
        <f aca="false">BU87*MIN(Slot6_Cost,BW87)</f>
        <v>0</v>
      </c>
      <c r="BY87" s="20" t="n">
        <f aca="false">BU87*Slot6_SpendLike*MIN(Slot6_Cost-BX87,BQ87)</f>
        <v>0</v>
      </c>
      <c r="BZ87" s="20" t="n">
        <f aca="false">BX87+BY87</f>
        <v>0</v>
      </c>
      <c r="CA87" s="20" t="n">
        <f aca="false">BQ87-BY87+BU87*IF(Slot6_SpendLike=1,BW87-BX87,IF(Slot6_PotFree=1,BW87,0))</f>
        <v>0</v>
      </c>
      <c r="CB87" s="20" t="n">
        <f aca="false">BR87+BU87*Slot6_BufPot*BW87</f>
        <v>0</v>
      </c>
      <c r="CC87" s="20" t="n">
        <f aca="false">IF(AND(BU87=1,Slot6_IsMfree=1),IF(BZ87&gt;=Slot6_Cost-1,0,MAX(0,BS87-BZ87)),BS87)</f>
        <v>0</v>
      </c>
      <c r="CD87" s="20" t="n">
        <f aca="false">BU87*(Slot6_Cost-BZ87)</f>
        <v>0</v>
      </c>
      <c r="CE87" s="20" t="n">
        <f aca="false">IF(AND(Slot7_On=1,D87=Slot7_Age),1,0)</f>
        <v>0</v>
      </c>
      <c r="CF87" s="20" t="n">
        <f aca="false">IF(AND(Slot7_On=1,Slot7_Age&gt;D87),1,0)</f>
        <v>0</v>
      </c>
      <c r="CG87" s="20" t="n">
        <f aca="false">RK86</f>
        <v>0</v>
      </c>
      <c r="CH87" s="20" t="n">
        <f aca="false">CE87*MIN(Slot7_Cost,CG87)</f>
        <v>0</v>
      </c>
      <c r="CI87" s="20" t="n">
        <f aca="false">CE87*Slot7_SpendLike*MIN(Slot7_Cost-CH87,CA87)</f>
        <v>0</v>
      </c>
      <c r="CJ87" s="20" t="n">
        <f aca="false">CH87+CI87</f>
        <v>0</v>
      </c>
      <c r="CK87" s="20" t="n">
        <f aca="false">CA87-CI87+CE87*IF(Slot7_SpendLike=1,CG87-CH87,IF(Slot7_PotFree=1,CG87,0))</f>
        <v>0</v>
      </c>
      <c r="CL87" s="20" t="n">
        <f aca="false">CB87+CE87*Slot7_BufPot*CG87</f>
        <v>0</v>
      </c>
      <c r="CM87" s="20" t="n">
        <f aca="false">IF(AND(CE87=1,Slot7_IsMfree=1),IF(CJ87&gt;=Slot7_Cost-1,0,MAX(0,CC87-CJ87)),CC87)</f>
        <v>0</v>
      </c>
      <c r="CN87" s="20" t="n">
        <f aca="false">CE87*(Slot7_Cost-CJ87)</f>
        <v>0</v>
      </c>
      <c r="CO87" s="20" t="n">
        <f aca="false">IF(AND(Slot8_On=1,D87=Slot8_Age),1,0)</f>
        <v>0</v>
      </c>
      <c r="CP87" s="20" t="n">
        <f aca="false">IF(AND(Slot8_On=1,Slot8_Age&gt;D87),1,0)</f>
        <v>0</v>
      </c>
      <c r="CQ87" s="20" t="n">
        <f aca="false">RO86</f>
        <v>0</v>
      </c>
      <c r="CR87" s="20" t="n">
        <f aca="false">CO87*MIN(Slot8_Cost,CQ87)</f>
        <v>0</v>
      </c>
      <c r="CS87" s="20" t="n">
        <f aca="false">CO87*Slot8_SpendLike*MIN(Slot8_Cost-CR87,CK87)</f>
        <v>0</v>
      </c>
      <c r="CT87" s="20" t="n">
        <f aca="false">CR87+CS87</f>
        <v>0</v>
      </c>
      <c r="CU87" s="20" t="n">
        <f aca="false">CK87-CS87+CO87*IF(Slot8_SpendLike=1,CQ87-CR87,IF(Slot8_PotFree=1,CQ87,0))</f>
        <v>0</v>
      </c>
      <c r="CV87" s="20" t="n">
        <f aca="false">CL87+CO87*Slot8_BufPot*CQ87</f>
        <v>0</v>
      </c>
      <c r="CW87" s="20" t="n">
        <f aca="false">IF(AND(CO87=1,Slot8_IsMfree=1),IF(CT87&gt;=Slot8_Cost-1,0,MAX(0,CM87-CT87)),CM87)</f>
        <v>0</v>
      </c>
      <c r="CX87" s="20" t="n">
        <f aca="false">CO87*(Slot8_Cost-CT87)</f>
        <v>0</v>
      </c>
      <c r="CY87" s="20" t="n">
        <f aca="false">IF(AND(Slot9_On=1,D87=Slot9_Age),1,0)</f>
        <v>0</v>
      </c>
      <c r="CZ87" s="20" t="n">
        <f aca="false">IF(AND(Slot9_On=1,Slot9_Age&gt;D87),1,0)</f>
        <v>0</v>
      </c>
      <c r="DA87" s="20" t="n">
        <f aca="false">RS86</f>
        <v>0</v>
      </c>
      <c r="DB87" s="20" t="n">
        <f aca="false">CY87*MIN(Slot9_Cost,DA87)</f>
        <v>0</v>
      </c>
      <c r="DC87" s="20" t="n">
        <f aca="false">CY87*Slot9_SpendLike*MIN(Slot9_Cost-DB87,CU87)</f>
        <v>0</v>
      </c>
      <c r="DD87" s="20" t="n">
        <f aca="false">DB87+DC87</f>
        <v>0</v>
      </c>
      <c r="DE87" s="20" t="n">
        <f aca="false">CU87-DC87+CY87*IF(Slot9_SpendLike=1,DA87-DB87,IF(Slot9_PotFree=1,DA87,0))</f>
        <v>0</v>
      </c>
      <c r="DF87" s="20" t="n">
        <f aca="false">CV87+CY87*Slot9_BufPot*DA87</f>
        <v>0</v>
      </c>
      <c r="DG87" s="20" t="n">
        <f aca="false">IF(AND(CY87=1,Slot9_IsMfree=1),IF(DD87&gt;=Slot9_Cost-1,0,MAX(0,CW87-DD87)),CW87)</f>
        <v>0</v>
      </c>
      <c r="DH87" s="20" t="n">
        <f aca="false">CY87*(Slot9_Cost-DD87)</f>
        <v>0</v>
      </c>
      <c r="DI87" s="20" t="n">
        <f aca="false">IF(AND(Slot10_On=1,D87=Slot10_Age),1,0)</f>
        <v>0</v>
      </c>
      <c r="DJ87" s="20" t="n">
        <f aca="false">IF(AND(Slot10_On=1,Slot10_Age&gt;D87),1,0)</f>
        <v>0</v>
      </c>
      <c r="DK87" s="20" t="n">
        <f aca="false">RW86</f>
        <v>0</v>
      </c>
      <c r="DL87" s="20" t="n">
        <f aca="false">DI87*MIN(Slot10_Cost,DK87)</f>
        <v>0</v>
      </c>
      <c r="DM87" s="20" t="n">
        <f aca="false">DI87*Slot10_SpendLike*MIN(Slot10_Cost-DL87,DE87)</f>
        <v>0</v>
      </c>
      <c r="DN87" s="20" t="n">
        <f aca="false">DL87+DM87</f>
        <v>0</v>
      </c>
      <c r="DO87" s="20" t="n">
        <f aca="false">DE87-DM87+DI87*IF(Slot10_SpendLike=1,DK87-DL87,IF(Slot10_PotFree=1,DK87,0))</f>
        <v>0</v>
      </c>
      <c r="DP87" s="20" t="n">
        <f aca="false">DF87+DI87*Slot10_BufPot*DK87</f>
        <v>0</v>
      </c>
      <c r="DQ87" s="20" t="n">
        <f aca="false">IF(AND(DI87=1,Slot10_IsMfree=1),IF(DN87&gt;=Slot10_Cost-1,0,MAX(0,DG87-DN87)),DG87)</f>
        <v>0</v>
      </c>
      <c r="DR87" s="20" t="n">
        <f aca="false">DI87*(Slot10_Cost-DN87)</f>
        <v>0</v>
      </c>
      <c r="DS87" s="20" t="n">
        <f aca="false">IF(AND(Slot11_On=1,D87=Slot11_Age),1,0)</f>
        <v>0</v>
      </c>
      <c r="DT87" s="20" t="n">
        <f aca="false">IF(AND(Slot11_On=1,Slot11_Age&gt;D87),1,0)</f>
        <v>0</v>
      </c>
      <c r="DU87" s="20" t="n">
        <f aca="false">SA86</f>
        <v>0</v>
      </c>
      <c r="DV87" s="20" t="n">
        <f aca="false">DS87*MIN(Slot11_Cost,DU87)</f>
        <v>0</v>
      </c>
      <c r="DW87" s="20" t="n">
        <f aca="false">DS87*Slot11_SpendLike*MIN(Slot11_Cost-DV87,DO87)</f>
        <v>0</v>
      </c>
      <c r="DX87" s="20" t="n">
        <f aca="false">DV87+DW87</f>
        <v>0</v>
      </c>
      <c r="DY87" s="20" t="n">
        <f aca="false">DO87-DW87+DS87*IF(Slot11_SpendLike=1,DU87-DV87,IF(Slot11_PotFree=1,DU87,0))</f>
        <v>0</v>
      </c>
      <c r="DZ87" s="20" t="n">
        <f aca="false">DP87+DS87*Slot11_BufPot*DU87</f>
        <v>0</v>
      </c>
      <c r="EA87" s="20" t="n">
        <f aca="false">IF(AND(DS87=1,Slot11_IsMfree=1),IF(DX87&gt;=Slot11_Cost-1,0,MAX(0,DQ87-DX87)),DQ87)</f>
        <v>0</v>
      </c>
      <c r="EB87" s="20" t="n">
        <f aca="false">DS87*(Slot11_Cost-DX87)</f>
        <v>0</v>
      </c>
      <c r="EC87" s="20" t="n">
        <f aca="false">IF(AND(Slot12_On=1,D87=Slot12_Age),1,0)</f>
        <v>0</v>
      </c>
      <c r="ED87" s="20" t="n">
        <f aca="false">IF(AND(Slot12_On=1,Slot12_Age&gt;D87),1,0)</f>
        <v>0</v>
      </c>
      <c r="EE87" s="20" t="n">
        <f aca="false">SE86</f>
        <v>0</v>
      </c>
      <c r="EF87" s="20" t="n">
        <f aca="false">EC87*MIN(Slot12_Cost,EE87)</f>
        <v>0</v>
      </c>
      <c r="EG87" s="20" t="n">
        <f aca="false">EC87*Slot12_SpendLike*MIN(Slot12_Cost-EF87,DY87)</f>
        <v>0</v>
      </c>
      <c r="EH87" s="20" t="n">
        <f aca="false">EF87+EG87</f>
        <v>0</v>
      </c>
      <c r="EI87" s="20" t="n">
        <f aca="false">DY87-EG87+EC87*IF(Slot12_SpendLike=1,EE87-EF87,IF(Slot12_PotFree=1,EE87,0))</f>
        <v>0</v>
      </c>
      <c r="EJ87" s="20" t="n">
        <f aca="false">DZ87+EC87*Slot12_BufPot*EE87</f>
        <v>0</v>
      </c>
      <c r="EK87" s="20" t="n">
        <f aca="false">IF(AND(EC87=1,Slot12_IsMfree=1),IF(EH87&gt;=Slot12_Cost-1,0,MAX(0,EA87-EH87)),EA87)</f>
        <v>0</v>
      </c>
      <c r="EL87" s="20" t="n">
        <f aca="false">EC87*(Slot12_Cost-EH87)</f>
        <v>0</v>
      </c>
      <c r="EM87" s="20" t="n">
        <f aca="false">IF(AND(Slot13_On=1,D87=Slot13_Age),1,0)</f>
        <v>0</v>
      </c>
      <c r="EN87" s="20" t="n">
        <f aca="false">IF(AND(Slot13_On=1,Slot13_Age&gt;D87),1,0)</f>
        <v>0</v>
      </c>
      <c r="EO87" s="20" t="n">
        <f aca="false">SI86</f>
        <v>0</v>
      </c>
      <c r="EP87" s="20" t="n">
        <f aca="false">EM87*MIN(Slot13_Cost,EO87)</f>
        <v>0</v>
      </c>
      <c r="EQ87" s="20" t="n">
        <f aca="false">EM87*Slot13_SpendLike*MIN(Slot13_Cost-EP87,EI87)</f>
        <v>0</v>
      </c>
      <c r="ER87" s="20" t="n">
        <f aca="false">EP87+EQ87</f>
        <v>0</v>
      </c>
      <c r="ES87" s="20" t="n">
        <f aca="false">EI87-EQ87+EM87*IF(Slot13_SpendLike=1,EO87-EP87,IF(Slot13_PotFree=1,EO87,0))</f>
        <v>0</v>
      </c>
      <c r="ET87" s="20" t="n">
        <f aca="false">EJ87+EM87*Slot13_BufPot*EO87</f>
        <v>0</v>
      </c>
      <c r="EU87" s="20" t="n">
        <f aca="false">IF(AND(EM87=1,Slot13_IsMfree=1),IF(ER87&gt;=Slot13_Cost-1,0,MAX(0,EK87-ER87)),EK87)</f>
        <v>0</v>
      </c>
      <c r="EV87" s="20" t="n">
        <f aca="false">EM87*(Slot13_Cost-ER87)</f>
        <v>0</v>
      </c>
      <c r="EW87" s="20" t="n">
        <f aca="false">IF(AND(Slot14_On=1,D87=Slot14_Age),1,0)</f>
        <v>0</v>
      </c>
      <c r="EX87" s="20" t="n">
        <f aca="false">IF(AND(Slot14_On=1,Slot14_Age&gt;D87),1,0)</f>
        <v>0</v>
      </c>
      <c r="EY87" s="20" t="n">
        <f aca="false">SM86</f>
        <v>0</v>
      </c>
      <c r="EZ87" s="20" t="n">
        <f aca="false">EW87*MIN(Slot14_Cost,EY87)</f>
        <v>0</v>
      </c>
      <c r="FA87" s="20" t="n">
        <f aca="false">EW87*Slot14_SpendLike*MIN(Slot14_Cost-EZ87,ES87)</f>
        <v>0</v>
      </c>
      <c r="FB87" s="20" t="n">
        <f aca="false">EZ87+FA87</f>
        <v>0</v>
      </c>
      <c r="FC87" s="20" t="n">
        <f aca="false">ES87-FA87+EW87*IF(Slot14_SpendLike=1,EY87-EZ87,IF(Slot14_PotFree=1,EY87,0))</f>
        <v>0</v>
      </c>
      <c r="FD87" s="20" t="n">
        <f aca="false">ET87+EW87*Slot14_BufPot*EY87</f>
        <v>0</v>
      </c>
      <c r="FE87" s="20" t="n">
        <f aca="false">IF(AND(EW87=1,Slot14_IsMfree=1),IF(FB87&gt;=Slot14_Cost-1,0,MAX(0,EU87-FB87)),EU87)</f>
        <v>0</v>
      </c>
      <c r="FF87" s="20" t="n">
        <f aca="false">EW87*(Slot14_Cost-FB87)</f>
        <v>0</v>
      </c>
      <c r="FG87" s="20" t="n">
        <f aca="false">IF(AND(Slot15_On=1,D87=Slot15_Age),1,0)</f>
        <v>0</v>
      </c>
      <c r="FH87" s="20" t="n">
        <f aca="false">IF(AND(Slot15_On=1,Slot15_Age&gt;D87),1,0)</f>
        <v>0</v>
      </c>
      <c r="FI87" s="20" t="n">
        <f aca="false">SQ86</f>
        <v>0</v>
      </c>
      <c r="FJ87" s="20" t="n">
        <f aca="false">FG87*MIN(Slot15_Cost,FI87)</f>
        <v>0</v>
      </c>
      <c r="FK87" s="20" t="n">
        <f aca="false">FG87*Slot15_SpendLike*MIN(Slot15_Cost-FJ87,FC87)</f>
        <v>0</v>
      </c>
      <c r="FL87" s="20" t="n">
        <f aca="false">FJ87+FK87</f>
        <v>0</v>
      </c>
      <c r="FM87" s="20" t="n">
        <f aca="false">FC87-FK87+FG87*IF(Slot15_SpendLike=1,FI87-FJ87,IF(Slot15_PotFree=1,FI87,0))</f>
        <v>0</v>
      </c>
      <c r="FN87" s="20" t="n">
        <f aca="false">FD87+FG87*Slot15_BufPot*FI87</f>
        <v>0</v>
      </c>
      <c r="FO87" s="20" t="n">
        <f aca="false">IF(AND(FG87=1,Slot15_IsMfree=1),IF(FL87&gt;=Slot15_Cost-1,0,MAX(0,FE87-FL87)),FE87)</f>
        <v>0</v>
      </c>
      <c r="FP87" s="20" t="n">
        <f aca="false">FG87*(Slot15_Cost-FL87)</f>
        <v>0</v>
      </c>
      <c r="FQ87" s="20" t="n">
        <f aca="false">IF(AND(Slot16_On=1,D87=Slot16_Age),1,0)</f>
        <v>0</v>
      </c>
      <c r="FR87" s="20" t="n">
        <f aca="false">IF(AND(Slot16_On=1,Slot16_Age&gt;D87),1,0)</f>
        <v>0</v>
      </c>
      <c r="FS87" s="20" t="n">
        <f aca="false">SU86</f>
        <v>0</v>
      </c>
      <c r="FT87" s="20" t="n">
        <f aca="false">FQ87*MIN(Slot16_Cost,FS87)</f>
        <v>0</v>
      </c>
      <c r="FU87" s="20" t="n">
        <f aca="false">FQ87*Slot16_SpendLike*MIN(Slot16_Cost-FT87,FM87)</f>
        <v>0</v>
      </c>
      <c r="FV87" s="20" t="n">
        <f aca="false">FT87+FU87</f>
        <v>0</v>
      </c>
      <c r="FW87" s="20" t="n">
        <f aca="false">FM87-FU87+FQ87*IF(Slot16_SpendLike=1,FS87-FT87,IF(Slot16_PotFree=1,FS87,0))</f>
        <v>0</v>
      </c>
      <c r="FX87" s="20" t="n">
        <f aca="false">FN87+FQ87*Slot16_BufPot*FS87</f>
        <v>0</v>
      </c>
      <c r="FY87" s="20" t="n">
        <f aca="false">IF(AND(FQ87=1,Slot16_IsMfree=1),IF(FV87&gt;=Slot16_Cost-1,0,MAX(0,FO87-FV87)),FO87)</f>
        <v>0</v>
      </c>
      <c r="FZ87" s="20" t="n">
        <f aca="false">FQ87*(Slot16_Cost-FV87)</f>
        <v>0</v>
      </c>
      <c r="GA87" s="20" t="n">
        <f aca="false">IF(AND(Slot17_On=1,D87=Slot17_Age),1,0)</f>
        <v>0</v>
      </c>
      <c r="GB87" s="20" t="n">
        <f aca="false">IF(AND(Slot17_On=1,Slot17_Age&gt;D87),1,0)</f>
        <v>0</v>
      </c>
      <c r="GC87" s="20" t="n">
        <f aca="false">SY86</f>
        <v>0</v>
      </c>
      <c r="GD87" s="20" t="n">
        <f aca="false">GA87*MIN(Slot17_Cost,GC87)</f>
        <v>0</v>
      </c>
      <c r="GE87" s="20" t="n">
        <f aca="false">GA87*Slot17_SpendLike*MIN(Slot17_Cost-GD87,FW87)</f>
        <v>0</v>
      </c>
      <c r="GF87" s="20" t="n">
        <f aca="false">GD87+GE87</f>
        <v>0</v>
      </c>
      <c r="GG87" s="20" t="n">
        <f aca="false">FW87-GE87+GA87*IF(Slot17_SpendLike=1,GC87-GD87,IF(Slot17_PotFree=1,GC87,0))</f>
        <v>0</v>
      </c>
      <c r="GH87" s="20" t="n">
        <f aca="false">FX87+GA87*Slot17_BufPot*GC87</f>
        <v>0</v>
      </c>
      <c r="GI87" s="20" t="n">
        <f aca="false">IF(AND(GA87=1,Slot17_IsMfree=1),IF(GF87&gt;=Slot17_Cost-1,0,MAX(0,FY87-GF87)),FY87)</f>
        <v>0</v>
      </c>
      <c r="GJ87" s="20" t="n">
        <f aca="false">GA87*(Slot17_Cost-GF87)</f>
        <v>0</v>
      </c>
      <c r="GK87" s="20" t="n">
        <f aca="false">IF(AND(Slot18_On=1,D87=Slot18_Age),1,0)</f>
        <v>0</v>
      </c>
      <c r="GL87" s="20" t="n">
        <f aca="false">IF(AND(Slot18_On=1,Slot18_Age&gt;D87),1,0)</f>
        <v>0</v>
      </c>
      <c r="GM87" s="20" t="n">
        <f aca="false">TC86</f>
        <v>0</v>
      </c>
      <c r="GN87" s="20" t="n">
        <f aca="false">GK87*MIN(Slot18_Cost,GM87)</f>
        <v>0</v>
      </c>
      <c r="GO87" s="20" t="n">
        <f aca="false">GK87*Slot18_SpendLike*MIN(Slot18_Cost-GN87,GG87)</f>
        <v>0</v>
      </c>
      <c r="GP87" s="20" t="n">
        <f aca="false">GN87+GO87</f>
        <v>0</v>
      </c>
      <c r="GQ87" s="20" t="n">
        <f aca="false">GG87-GO87+GK87*IF(Slot18_SpendLike=1,GM87-GN87,IF(Slot18_PotFree=1,GM87,0))</f>
        <v>0</v>
      </c>
      <c r="GR87" s="20" t="n">
        <f aca="false">GH87+GK87*Slot18_BufPot*GM87</f>
        <v>0</v>
      </c>
      <c r="GS87" s="20" t="n">
        <f aca="false">IF(AND(GK87=1,Slot18_IsMfree=1),IF(GP87&gt;=Slot18_Cost-1,0,MAX(0,GI87-GP87)),GI87)</f>
        <v>0</v>
      </c>
      <c r="GT87" s="20" t="n">
        <f aca="false">GK87*(Slot18_Cost-GP87)</f>
        <v>0</v>
      </c>
      <c r="GU87" s="20" t="n">
        <f aca="false">IF(AND(Slot19_On=1,D87=Slot19_Age),1,0)</f>
        <v>0</v>
      </c>
      <c r="GV87" s="20" t="n">
        <f aca="false">IF(AND(Slot19_On=1,Slot19_Age&gt;D87),1,0)</f>
        <v>0</v>
      </c>
      <c r="GW87" s="20" t="n">
        <f aca="false">TG86</f>
        <v>0</v>
      </c>
      <c r="GX87" s="20" t="n">
        <f aca="false">GU87*MIN(Slot19_Cost,GW87)</f>
        <v>0</v>
      </c>
      <c r="GY87" s="20" t="n">
        <f aca="false">GU87*Slot19_SpendLike*MIN(Slot19_Cost-GX87,GQ87)</f>
        <v>0</v>
      </c>
      <c r="GZ87" s="20" t="n">
        <f aca="false">GX87+GY87</f>
        <v>0</v>
      </c>
      <c r="HA87" s="20" t="n">
        <f aca="false">GQ87-GY87+GU87*IF(Slot19_SpendLike=1,GW87-GX87,IF(Slot19_PotFree=1,GW87,0))</f>
        <v>0</v>
      </c>
      <c r="HB87" s="20" t="n">
        <f aca="false">GR87+GU87*Slot19_BufPot*GW87</f>
        <v>0</v>
      </c>
      <c r="HC87" s="20" t="n">
        <f aca="false">IF(AND(GU87=1,Slot19_IsMfree=1),IF(GZ87&gt;=Slot19_Cost-1,0,MAX(0,GS87-GZ87)),GS87)</f>
        <v>0</v>
      </c>
      <c r="HD87" s="20" t="n">
        <f aca="false">GU87*(Slot19_Cost-GZ87)</f>
        <v>0</v>
      </c>
      <c r="HE87" s="20" t="n">
        <f aca="false">IF(AND(Slot20_On=1,D87=Slot20_Age),1,0)</f>
        <v>0</v>
      </c>
      <c r="HF87" s="20" t="n">
        <f aca="false">IF(AND(Slot20_On=1,Slot20_Age&gt;D87),1,0)</f>
        <v>0</v>
      </c>
      <c r="HG87" s="20" t="n">
        <f aca="false">TK86</f>
        <v>0</v>
      </c>
      <c r="HH87" s="20" t="n">
        <f aca="false">HE87*MIN(Slot20_Cost,HG87)</f>
        <v>0</v>
      </c>
      <c r="HI87" s="20" t="n">
        <f aca="false">HE87*Slot20_SpendLike*MIN(Slot20_Cost-HH87,HA87)</f>
        <v>0</v>
      </c>
      <c r="HJ87" s="20" t="n">
        <f aca="false">HH87+HI87</f>
        <v>0</v>
      </c>
      <c r="HK87" s="20" t="n">
        <f aca="false">HA87-HI87+HE87*IF(Slot20_SpendLike=1,HG87-HH87,IF(Slot20_PotFree=1,HG87,0))</f>
        <v>0</v>
      </c>
      <c r="HL87" s="20" t="n">
        <f aca="false">HB87+HE87*Slot20_BufPot*HG87</f>
        <v>0</v>
      </c>
      <c r="HM87" s="20" t="n">
        <f aca="false">IF(AND(HE87=1,Slot20_IsMfree=1),IF(HJ87&gt;=Slot20_Cost-1,0,MAX(0,HC87-HJ87)),HC87)</f>
        <v>0</v>
      </c>
      <c r="HN87" s="20" t="n">
        <f aca="false">HE87*(Slot20_Cost-HJ87)</f>
        <v>0</v>
      </c>
      <c r="HO87" s="20" t="n">
        <f aca="false">V87*Slot1_SpendLike*AA87+AG87*Slot2_SpendLike*AL87+AQ87*Slot3_SpendLike*AV87+BA87*Slot4_SpendLike*BF87+BK87*Slot5_SpendLike*BP87+BU87*Slot6_SpendLike*BZ87+CE87*Slot7_SpendLike*CJ87+CO87*Slot8_SpendLike*CT87+CY87*Slot9_SpendLike*DD87+DI87*Slot10_SpendLike*DN87+DS87*Slot11_SpendLike*DX87+EC87*Slot12_SpendLike*EH87+EM87*Slot13_SpendLike*ER87+EW87*Slot14_SpendLike*FB87+FG87*Slot15_SpendLike*FL87+FQ87*Slot16_SpendLike*FV87+GA87*Slot17_SpendLike*GF87+GK87*Slot18_SpendLike*GP87+GU87*Slot19_SpendLike*GZ87+HE87*Slot20_SpendLike*HJ87</f>
        <v>0</v>
      </c>
      <c r="HP87" s="20" t="n">
        <f aca="false">AE87+AP87+AZ87+BJ87+BT87+CD87+CN87+CX87+DH87+DR87+EB87+EL87+EV87+FF87+FP87+FZ87+GJ87+GT87+HD87+HN87</f>
        <v>0</v>
      </c>
      <c r="HQ87" s="20" t="n">
        <f aca="false">V87*Slot1_Cost+AG87*Slot2_Cost+AQ87*Slot3_Cost+BA87*Slot4_Cost+BK87*Slot5_Cost+BU87*Slot6_Cost+CE87*Slot7_Cost+CO87*Slot8_Cost+CY87*Slot9_Cost+DI87*Slot10_Cost+DS87*Slot11_Cost+EC87*Slot12_Cost+EM87*Slot13_Cost+EW87*Slot14_Cost+FG87*Slot15_Cost+FQ87*Slot16_Cost+GA87*Slot17_Cost+GK87*Slot18_Cost+GU87*Slot19_Cost+HE87*Slot20_Cost</f>
        <v>0</v>
      </c>
      <c r="HR87" s="20" t="n">
        <f aca="false">HM87</f>
        <v>0</v>
      </c>
      <c r="HS87" s="20" t="n">
        <f aca="false">H87-I87-S87</f>
        <v>-92086.1476181944</v>
      </c>
      <c r="HT87" s="20" t="n">
        <f aca="false">IF(B87=0,IF(AND(Has_q6=1,In_q6=4),PR_ShareVaries*(MAX(0,HS87)/12),MIN(IF(Has_q6=1,CHOOSE(In_q6+1,PR_SaveB1,PR_SaveB2,PR_SaveB3,PR_SaveB4,0),AS_NoAnswer),AS_SaveShare*(MAX(0,HS87)/12))),HT86)</f>
        <v>67.3316893520437</v>
      </c>
      <c r="HU87" s="20" t="n">
        <f aca="false">IF(HS87&gt;=0,1,0)</f>
        <v>0</v>
      </c>
      <c r="HV87" s="20" t="n">
        <f aca="false">MAX(0,HS87/12/F87)</f>
        <v>0</v>
      </c>
      <c r="HW87" s="20" t="n">
        <f aca="false">IF(AND(Has_q6=1,In_q6=4),PR_ShareVaries*(HV87),MIN(IF(Has_q6=1,CHOOSE(In_q6+1,PR_SaveB1,PR_SaveB2,PR_SaveB3,PR_SaveB4,0),AS_NoAnswer),AS_SaveShare*(HV87)))</f>
        <v>0</v>
      </c>
      <c r="HX87" s="20" t="n">
        <f aca="false">IF(Has_saveM=1,IF(In_saveUp="Yes",1,IF(In_saveUp="No",0,IF(In_saveM&gt;=HT87-0.5,1,0))),0)</f>
        <v>0</v>
      </c>
      <c r="HY87" s="20" t="n">
        <f aca="false">IF(Has_saveM=1,MIN(HV87,IF(HX87=1,MAX(In_saveM,HW87),MIN(In_saveM,HW87))),HW87)</f>
        <v>0</v>
      </c>
      <c r="HZ87" s="20" t="n">
        <f aca="false">IF(G87=1,HY87*12*F87,0)</f>
        <v>0</v>
      </c>
      <c r="IA87" s="20" t="n">
        <f aca="false">MAX(0,HZ87+IF(AND(WI_Retire=0,WI_M&lt;0,G87=1),WI_M*12*F87,0))</f>
        <v>0</v>
      </c>
      <c r="IB87" s="20" t="n">
        <f aca="false">Slot1_IsWG*W87+Slot2_IsWG*AH87+Slot3_IsWG*AR87+Slot4_IsWG*BB87+Slot5_IsWG*BL87+Slot6_IsWG*BV87+Slot7_IsWG*CF87+Slot8_IsWG*CP87+Slot9_IsWG*CZ87+Slot10_IsWG*DJ87+Slot11_IsWG*DT87+Slot12_IsWG*ED87+Slot13_IsWG*EN87+Slot14_IsWG*EX87+Slot15_IsWG*FH87+Slot16_IsWG*FR87+Slot17_IsWG*GB87+Slot18_IsWG*GL87+Slot19_IsWG*GV87+Slot20_IsWG*HF87</f>
        <v>0</v>
      </c>
      <c r="IC87" s="20" t="n">
        <f aca="false">IF(AND(WI_Retire=0,WI_M&gt;0,G87=1,IB87&gt;=1),WI_M*12*F87,0)</f>
        <v>0</v>
      </c>
      <c r="ID87" s="20" t="n">
        <f aca="false">IF(HU87=1,MIN(IA87,HS87),0)</f>
        <v>0</v>
      </c>
      <c r="IE87" s="20" t="n">
        <f aca="false">IF(HU87=1,MIN(IC87,HS87-ID87),0)</f>
        <v>0</v>
      </c>
      <c r="IF87" s="20" t="n">
        <f aca="false">IF(W87=1,IF(ABS((1+AS_Wage)/(1+Slot1_Rate)-1)&lt;0.000000000001,(Slot1_Age-D87)*(1+Slot1_Rate)^(Slot1_Age-D87),(1+Slot1_Rate)^(Slot1_Age-D87)*(1-((1+AS_Wage)/(1+Slot1_Rate))^(Slot1_Age-D87))/(1-(1+AS_Wage)/(1+Slot1_Rate))),1)</f>
        <v>1</v>
      </c>
      <c r="IG87" s="20" t="n">
        <f aca="false">IF(AND(HU87=1,IE87&gt;0,Slot1_IsWG=1,W87=1),MAX(0,(Slot1_Cost-X87*(1+Slot1_Rate)^(Slot1_Age-D87))/IF87),0)</f>
        <v>0</v>
      </c>
      <c r="IH87" s="20" t="n">
        <f aca="false">IF(AND(HU87=1,IE87&gt;0,Slot1_IsWG=1,W87=1),MIN(IE87,IG87),0)</f>
        <v>0</v>
      </c>
      <c r="II87" s="20" t="n">
        <f aca="false">X87+IH87</f>
        <v>0</v>
      </c>
      <c r="IJ87" s="20" t="n">
        <f aca="false">IF(W87=1,MAX(0,(Slot1_Cost-II87*(1+Slot1_Rate)^(Slot1_Age-D87))/IF87),0)</f>
        <v>0</v>
      </c>
      <c r="IK87" s="20" t="n">
        <f aca="false">IF(W87=1,MAX(0,(Slot1_Cost-X87*(1+Slot1_Rate)^(Slot1_Age-D87))/IF87),0)</f>
        <v>0</v>
      </c>
      <c r="IL87" s="20" t="n">
        <f aca="false">IF(AND(HU87=1,W87=1),MIN(ID87,IJ87),0)</f>
        <v>0</v>
      </c>
      <c r="IM87" s="20" t="n">
        <f aca="false">ID87-IL87</f>
        <v>0</v>
      </c>
      <c r="IN87" s="20" t="n">
        <f aca="false">IF(AH87=1,IF(ABS((1+AS_Wage)/(1+Slot2_Rate)-1)&lt;0.000000000001,(Slot2_Age-D87)*(1+Slot2_Rate)^(Slot2_Age-D87),(1+Slot2_Rate)^(Slot2_Age-D87)*(1-((1+AS_Wage)/(1+Slot2_Rate))^(Slot2_Age-D87))/(1-(1+AS_Wage)/(1+Slot2_Rate))),1)</f>
        <v>1</v>
      </c>
      <c r="IO87" s="20" t="n">
        <f aca="false">IF(AND(HU87=1,IE87&gt;0,Slot2_IsWG=1,AH87=1),MAX(0,(Slot2_Cost-AI87*(1+Slot2_Rate)^(Slot2_Age-D87))/IN87),0)</f>
        <v>0</v>
      </c>
      <c r="IP87" s="20" t="n">
        <f aca="false">IF(AND(HU87=1,IE87&gt;0,Slot2_IsWG=1,AH87=1),MIN(IE87,IO87),0)</f>
        <v>0</v>
      </c>
      <c r="IQ87" s="20" t="n">
        <f aca="false">AI87+IP87</f>
        <v>0</v>
      </c>
      <c r="IR87" s="20" t="n">
        <f aca="false">IF(AH87=1,MAX(0,(Slot2_Cost-IQ87*(1+Slot2_Rate)^(Slot2_Age-D87))/IN87),0)</f>
        <v>0</v>
      </c>
      <c r="IS87" s="20" t="n">
        <f aca="false">IF(AH87=1,MAX(0,(Slot2_Cost-AI87*(1+Slot2_Rate)^(Slot2_Age-D87))/IN87),0)</f>
        <v>0</v>
      </c>
      <c r="IT87" s="20" t="n">
        <f aca="false">IF(AND(HU87=1,AH87=1),MIN(IM87,IR87),0)</f>
        <v>0</v>
      </c>
      <c r="IU87" s="20" t="n">
        <f aca="false">IM87-IT87</f>
        <v>0</v>
      </c>
      <c r="IV87" s="20" t="n">
        <f aca="false">IF(AR87=1,IF(ABS((1+AS_Wage)/(1+Slot3_Rate)-1)&lt;0.000000000001,(Slot3_Age-D87)*(1+Slot3_Rate)^(Slot3_Age-D87),(1+Slot3_Rate)^(Slot3_Age-D87)*(1-((1+AS_Wage)/(1+Slot3_Rate))^(Slot3_Age-D87))/(1-(1+AS_Wage)/(1+Slot3_Rate))),1)</f>
        <v>1</v>
      </c>
      <c r="IW87" s="20" t="n">
        <f aca="false">IF(AND(HU87=1,IE87&gt;0,Slot3_IsWG=1,AR87=1),MAX(0,(Slot3_Cost-AS87*(1+Slot3_Rate)^(Slot3_Age-D87))/IV87),0)</f>
        <v>0</v>
      </c>
      <c r="IX87" s="20" t="n">
        <f aca="false">IF(AND(HU87=1,IE87&gt;0,Slot3_IsWG=1,AR87=1),MIN(IE87,IW87),0)</f>
        <v>0</v>
      </c>
      <c r="IY87" s="20" t="n">
        <f aca="false">AS87+IX87</f>
        <v>0</v>
      </c>
      <c r="IZ87" s="20" t="n">
        <f aca="false">IF(AR87=1,MAX(0,(Slot3_Cost-IY87*(1+Slot3_Rate)^(Slot3_Age-D87))/IV87),0)</f>
        <v>0</v>
      </c>
      <c r="JA87" s="20" t="n">
        <f aca="false">IF(AR87=1,MAX(0,(Slot3_Cost-AS87*(1+Slot3_Rate)^(Slot3_Age-D87))/IV87),0)</f>
        <v>0</v>
      </c>
      <c r="JB87" s="20" t="n">
        <f aca="false">IF(AND(HU87=1,AR87=1),MIN(IU87,IZ87),0)</f>
        <v>0</v>
      </c>
      <c r="JC87" s="20" t="n">
        <f aca="false">IU87-JB87</f>
        <v>0</v>
      </c>
      <c r="JD87" s="20" t="n">
        <f aca="false">IF(BB87=1,IF(ABS((1+AS_Wage)/(1+Slot4_Rate)-1)&lt;0.000000000001,(Slot4_Age-D87)*(1+Slot4_Rate)^(Slot4_Age-D87),(1+Slot4_Rate)^(Slot4_Age-D87)*(1-((1+AS_Wage)/(1+Slot4_Rate))^(Slot4_Age-D87))/(1-(1+AS_Wage)/(1+Slot4_Rate))),1)</f>
        <v>1</v>
      </c>
      <c r="JE87" s="20" t="n">
        <f aca="false">IF(AND(HU87=1,IE87&gt;0,Slot4_IsWG=1,BB87=1),MAX(0,(Slot4_Cost-BC87*(1+Slot4_Rate)^(Slot4_Age-D87))/JD87),0)</f>
        <v>0</v>
      </c>
      <c r="JF87" s="20" t="n">
        <f aca="false">IF(AND(HU87=1,IE87&gt;0,Slot4_IsWG=1,BB87=1),MIN(IE87,JE87),0)</f>
        <v>0</v>
      </c>
      <c r="JG87" s="20" t="n">
        <f aca="false">BC87+JF87</f>
        <v>0</v>
      </c>
      <c r="JH87" s="20" t="n">
        <f aca="false">IF(BB87=1,MAX(0,(Slot4_Cost-JG87*(1+Slot4_Rate)^(Slot4_Age-D87))/JD87),0)</f>
        <v>0</v>
      </c>
      <c r="JI87" s="20" t="n">
        <f aca="false">IF(BB87=1,MAX(0,(Slot4_Cost-BC87*(1+Slot4_Rate)^(Slot4_Age-D87))/JD87),0)</f>
        <v>0</v>
      </c>
      <c r="JJ87" s="20" t="n">
        <f aca="false">IF(AND(HU87=1,BB87=1),MIN(JC87,JH87),0)</f>
        <v>0</v>
      </c>
      <c r="JK87" s="20" t="n">
        <f aca="false">JC87-JJ87</f>
        <v>0</v>
      </c>
      <c r="JL87" s="20" t="n">
        <f aca="false">IF(BL87=1,IF(ABS((1+AS_Wage)/(1+Slot5_Rate)-1)&lt;0.000000000001,(Slot5_Age-D87)*(1+Slot5_Rate)^(Slot5_Age-D87),(1+Slot5_Rate)^(Slot5_Age-D87)*(1-((1+AS_Wage)/(1+Slot5_Rate))^(Slot5_Age-D87))/(1-(1+AS_Wage)/(1+Slot5_Rate))),1)</f>
        <v>1</v>
      </c>
      <c r="JM87" s="20" t="n">
        <f aca="false">IF(AND(HU87=1,IE87&gt;0,Slot5_IsWG=1,BL87=1),MAX(0,(Slot5_Cost-BM87*(1+Slot5_Rate)^(Slot5_Age-D87))/JL87),0)</f>
        <v>0</v>
      </c>
      <c r="JN87" s="20" t="n">
        <f aca="false">IF(AND(HU87=1,IE87&gt;0,Slot5_IsWG=1,BL87=1),MIN(IE87,JM87),0)</f>
        <v>0</v>
      </c>
      <c r="JO87" s="20" t="n">
        <f aca="false">BM87+JN87</f>
        <v>0</v>
      </c>
      <c r="JP87" s="20" t="n">
        <f aca="false">IF(BL87=1,MAX(0,(Slot5_Cost-JO87*(1+Slot5_Rate)^(Slot5_Age-D87))/JL87),0)</f>
        <v>0</v>
      </c>
      <c r="JQ87" s="20" t="n">
        <f aca="false">IF(BL87=1,MAX(0,(Slot5_Cost-BM87*(1+Slot5_Rate)^(Slot5_Age-D87))/JL87),0)</f>
        <v>0</v>
      </c>
      <c r="JR87" s="20" t="n">
        <f aca="false">IF(AND(HU87=1,BL87=1),MIN(JK87,JP87),0)</f>
        <v>0</v>
      </c>
      <c r="JS87" s="20" t="n">
        <f aca="false">JK87-JR87</f>
        <v>0</v>
      </c>
      <c r="JT87" s="20" t="n">
        <f aca="false">IF(BV87=1,IF(ABS((1+AS_Wage)/(1+Slot6_Rate)-1)&lt;0.000000000001,(Slot6_Age-D87)*(1+Slot6_Rate)^(Slot6_Age-D87),(1+Slot6_Rate)^(Slot6_Age-D87)*(1-((1+AS_Wage)/(1+Slot6_Rate))^(Slot6_Age-D87))/(1-(1+AS_Wage)/(1+Slot6_Rate))),1)</f>
        <v>1</v>
      </c>
      <c r="JU87" s="20" t="n">
        <f aca="false">IF(AND(HU87=1,IE87&gt;0,Slot6_IsWG=1,BV87=1),MAX(0,(Slot6_Cost-BW87*(1+Slot6_Rate)^(Slot6_Age-D87))/JT87),0)</f>
        <v>0</v>
      </c>
      <c r="JV87" s="20" t="n">
        <f aca="false">IF(AND(HU87=1,IE87&gt;0,Slot6_IsWG=1,BV87=1),MIN(IE87,JU87),0)</f>
        <v>0</v>
      </c>
      <c r="JW87" s="20" t="n">
        <f aca="false">BW87+JV87</f>
        <v>0</v>
      </c>
      <c r="JX87" s="20" t="n">
        <f aca="false">IF(BV87=1,MAX(0,(Slot6_Cost-JW87*(1+Slot6_Rate)^(Slot6_Age-D87))/JT87),0)</f>
        <v>0</v>
      </c>
      <c r="JY87" s="20" t="n">
        <f aca="false">IF(BV87=1,MAX(0,(Slot6_Cost-BW87*(1+Slot6_Rate)^(Slot6_Age-D87))/JT87),0)</f>
        <v>0</v>
      </c>
      <c r="JZ87" s="20" t="n">
        <f aca="false">IF(AND(HU87=1,BV87=1),MIN(JS87,JX87),0)</f>
        <v>0</v>
      </c>
      <c r="KA87" s="20" t="n">
        <f aca="false">JS87-JZ87</f>
        <v>0</v>
      </c>
      <c r="KB87" s="20" t="n">
        <f aca="false">IF(CF87=1,IF(ABS((1+AS_Wage)/(1+Slot7_Rate)-1)&lt;0.000000000001,(Slot7_Age-D87)*(1+Slot7_Rate)^(Slot7_Age-D87),(1+Slot7_Rate)^(Slot7_Age-D87)*(1-((1+AS_Wage)/(1+Slot7_Rate))^(Slot7_Age-D87))/(1-(1+AS_Wage)/(1+Slot7_Rate))),1)</f>
        <v>1</v>
      </c>
      <c r="KC87" s="20" t="n">
        <f aca="false">IF(AND(HU87=1,IE87&gt;0,Slot7_IsWG=1,CF87=1),MAX(0,(Slot7_Cost-CG87*(1+Slot7_Rate)^(Slot7_Age-D87))/KB87),0)</f>
        <v>0</v>
      </c>
      <c r="KD87" s="20" t="n">
        <f aca="false">IF(AND(HU87=1,IE87&gt;0,Slot7_IsWG=1,CF87=1),MIN(IE87,KC87),0)</f>
        <v>0</v>
      </c>
      <c r="KE87" s="20" t="n">
        <f aca="false">CG87+KD87</f>
        <v>0</v>
      </c>
      <c r="KF87" s="20" t="n">
        <f aca="false">IF(CF87=1,MAX(0,(Slot7_Cost-KE87*(1+Slot7_Rate)^(Slot7_Age-D87))/KB87),0)</f>
        <v>0</v>
      </c>
      <c r="KG87" s="20" t="n">
        <f aca="false">IF(CF87=1,MAX(0,(Slot7_Cost-CG87*(1+Slot7_Rate)^(Slot7_Age-D87))/KB87),0)</f>
        <v>0</v>
      </c>
      <c r="KH87" s="20" t="n">
        <f aca="false">IF(AND(HU87=1,CF87=1),MIN(KA87,KF87),0)</f>
        <v>0</v>
      </c>
      <c r="KI87" s="20" t="n">
        <f aca="false">KA87-KH87</f>
        <v>0</v>
      </c>
      <c r="KJ87" s="20" t="n">
        <f aca="false">IF(CP87=1,IF(ABS((1+AS_Wage)/(1+Slot8_Rate)-1)&lt;0.000000000001,(Slot8_Age-D87)*(1+Slot8_Rate)^(Slot8_Age-D87),(1+Slot8_Rate)^(Slot8_Age-D87)*(1-((1+AS_Wage)/(1+Slot8_Rate))^(Slot8_Age-D87))/(1-(1+AS_Wage)/(1+Slot8_Rate))),1)</f>
        <v>1</v>
      </c>
      <c r="KK87" s="20" t="n">
        <f aca="false">IF(AND(HU87=1,IE87&gt;0,Slot8_IsWG=1,CP87=1),MAX(0,(Slot8_Cost-CQ87*(1+Slot8_Rate)^(Slot8_Age-D87))/KJ87),0)</f>
        <v>0</v>
      </c>
      <c r="KL87" s="20" t="n">
        <f aca="false">IF(AND(HU87=1,IE87&gt;0,Slot8_IsWG=1,CP87=1),MIN(IE87,KK87),0)</f>
        <v>0</v>
      </c>
      <c r="KM87" s="20" t="n">
        <f aca="false">CQ87+KL87</f>
        <v>0</v>
      </c>
      <c r="KN87" s="20" t="n">
        <f aca="false">IF(CP87=1,MAX(0,(Slot8_Cost-KM87*(1+Slot8_Rate)^(Slot8_Age-D87))/KJ87),0)</f>
        <v>0</v>
      </c>
      <c r="KO87" s="20" t="n">
        <f aca="false">IF(CP87=1,MAX(0,(Slot8_Cost-CQ87*(1+Slot8_Rate)^(Slot8_Age-D87))/KJ87),0)</f>
        <v>0</v>
      </c>
      <c r="KP87" s="20" t="n">
        <f aca="false">IF(AND(HU87=1,CP87=1),MIN(KI87,KN87),0)</f>
        <v>0</v>
      </c>
      <c r="KQ87" s="20" t="n">
        <f aca="false">KI87-KP87</f>
        <v>0</v>
      </c>
      <c r="KR87" s="20" t="n">
        <f aca="false">IF(CZ87=1,IF(ABS((1+AS_Wage)/(1+Slot9_Rate)-1)&lt;0.000000000001,(Slot9_Age-D87)*(1+Slot9_Rate)^(Slot9_Age-D87),(1+Slot9_Rate)^(Slot9_Age-D87)*(1-((1+AS_Wage)/(1+Slot9_Rate))^(Slot9_Age-D87))/(1-(1+AS_Wage)/(1+Slot9_Rate))),1)</f>
        <v>1</v>
      </c>
      <c r="KS87" s="20" t="n">
        <f aca="false">IF(AND(HU87=1,IE87&gt;0,Slot9_IsWG=1,CZ87=1),MAX(0,(Slot9_Cost-DA87*(1+Slot9_Rate)^(Slot9_Age-D87))/KR87),0)</f>
        <v>0</v>
      </c>
      <c r="KT87" s="20" t="n">
        <f aca="false">IF(AND(HU87=1,IE87&gt;0,Slot9_IsWG=1,CZ87=1),MIN(IE87,KS87),0)</f>
        <v>0</v>
      </c>
      <c r="KU87" s="20" t="n">
        <f aca="false">DA87+KT87</f>
        <v>0</v>
      </c>
      <c r="KV87" s="20" t="n">
        <f aca="false">IF(CZ87=1,MAX(0,(Slot9_Cost-KU87*(1+Slot9_Rate)^(Slot9_Age-D87))/KR87),0)</f>
        <v>0</v>
      </c>
      <c r="KW87" s="20" t="n">
        <f aca="false">IF(CZ87=1,MAX(0,(Slot9_Cost-DA87*(1+Slot9_Rate)^(Slot9_Age-D87))/KR87),0)</f>
        <v>0</v>
      </c>
      <c r="KX87" s="20" t="n">
        <f aca="false">IF(AND(HU87=1,CZ87=1),MIN(KQ87,KV87),0)</f>
        <v>0</v>
      </c>
      <c r="KY87" s="20" t="n">
        <f aca="false">KQ87-KX87</f>
        <v>0</v>
      </c>
      <c r="KZ87" s="20" t="n">
        <f aca="false">IF(DJ87=1,IF(ABS((1+AS_Wage)/(1+Slot10_Rate)-1)&lt;0.000000000001,(Slot10_Age-D87)*(1+Slot10_Rate)^(Slot10_Age-D87),(1+Slot10_Rate)^(Slot10_Age-D87)*(1-((1+AS_Wage)/(1+Slot10_Rate))^(Slot10_Age-D87))/(1-(1+AS_Wage)/(1+Slot10_Rate))),1)</f>
        <v>1</v>
      </c>
      <c r="LA87" s="20" t="n">
        <f aca="false">IF(AND(HU87=1,IE87&gt;0,Slot10_IsWG=1,DJ87=1),MAX(0,(Slot10_Cost-DK87*(1+Slot10_Rate)^(Slot10_Age-D87))/KZ87),0)</f>
        <v>0</v>
      </c>
      <c r="LB87" s="20" t="n">
        <f aca="false">IF(AND(HU87=1,IE87&gt;0,Slot10_IsWG=1,DJ87=1),MIN(IE87,LA87),0)</f>
        <v>0</v>
      </c>
      <c r="LC87" s="20" t="n">
        <f aca="false">DK87+LB87</f>
        <v>0</v>
      </c>
      <c r="LD87" s="20" t="n">
        <f aca="false">IF(DJ87=1,MAX(0,(Slot10_Cost-LC87*(1+Slot10_Rate)^(Slot10_Age-D87))/KZ87),0)</f>
        <v>0</v>
      </c>
      <c r="LE87" s="20" t="n">
        <f aca="false">IF(DJ87=1,MAX(0,(Slot10_Cost-DK87*(1+Slot10_Rate)^(Slot10_Age-D87))/KZ87),0)</f>
        <v>0</v>
      </c>
      <c r="LF87" s="20" t="n">
        <f aca="false">IF(AND(HU87=1,DJ87=1),MIN(KY87,LD87),0)</f>
        <v>0</v>
      </c>
      <c r="LG87" s="20" t="n">
        <f aca="false">KY87-LF87</f>
        <v>0</v>
      </c>
      <c r="LH87" s="20" t="n">
        <f aca="false">IF(DT87=1,IF(ABS((1+AS_Wage)/(1+Slot11_Rate)-1)&lt;0.000000000001,(Slot11_Age-D87)*(1+Slot11_Rate)^(Slot11_Age-D87),(1+Slot11_Rate)^(Slot11_Age-D87)*(1-((1+AS_Wage)/(1+Slot11_Rate))^(Slot11_Age-D87))/(1-(1+AS_Wage)/(1+Slot11_Rate))),1)</f>
        <v>1</v>
      </c>
      <c r="LI87" s="20" t="n">
        <f aca="false">IF(AND(HU87=1,IE87&gt;0,Slot11_IsWG=1,DT87=1),MAX(0,(Slot11_Cost-DU87*(1+Slot11_Rate)^(Slot11_Age-D87))/LH87),0)</f>
        <v>0</v>
      </c>
      <c r="LJ87" s="20" t="n">
        <f aca="false">IF(AND(HU87=1,IE87&gt;0,Slot11_IsWG=1,DT87=1),MIN(IE87,LI87),0)</f>
        <v>0</v>
      </c>
      <c r="LK87" s="20" t="n">
        <f aca="false">DU87+LJ87</f>
        <v>0</v>
      </c>
      <c r="LL87" s="20" t="n">
        <f aca="false">IF(DT87=1,MAX(0,(Slot11_Cost-LK87*(1+Slot11_Rate)^(Slot11_Age-D87))/LH87),0)</f>
        <v>0</v>
      </c>
      <c r="LM87" s="20" t="n">
        <f aca="false">IF(DT87=1,MAX(0,(Slot11_Cost-DU87*(1+Slot11_Rate)^(Slot11_Age-D87))/LH87),0)</f>
        <v>0</v>
      </c>
      <c r="LN87" s="20" t="n">
        <f aca="false">IF(AND(HU87=1,DT87=1),MIN(LG87,LL87),0)</f>
        <v>0</v>
      </c>
      <c r="LO87" s="20" t="n">
        <f aca="false">LG87-LN87</f>
        <v>0</v>
      </c>
      <c r="LP87" s="20" t="n">
        <f aca="false">IF(ED87=1,IF(ABS((1+AS_Wage)/(1+Slot12_Rate)-1)&lt;0.000000000001,(Slot12_Age-D87)*(1+Slot12_Rate)^(Slot12_Age-D87),(1+Slot12_Rate)^(Slot12_Age-D87)*(1-((1+AS_Wage)/(1+Slot12_Rate))^(Slot12_Age-D87))/(1-(1+AS_Wage)/(1+Slot12_Rate))),1)</f>
        <v>1</v>
      </c>
      <c r="LQ87" s="20" t="n">
        <f aca="false">IF(AND(HU87=1,IE87&gt;0,Slot12_IsWG=1,ED87=1),MAX(0,(Slot12_Cost-EE87*(1+Slot12_Rate)^(Slot12_Age-D87))/LP87),0)</f>
        <v>0</v>
      </c>
      <c r="LR87" s="20" t="n">
        <f aca="false">IF(AND(HU87=1,IE87&gt;0,Slot12_IsWG=1,ED87=1),MIN(IE87,LQ87),0)</f>
        <v>0</v>
      </c>
      <c r="LS87" s="20" t="n">
        <f aca="false">EE87+LR87</f>
        <v>0</v>
      </c>
      <c r="LT87" s="20" t="n">
        <f aca="false">IF(ED87=1,MAX(0,(Slot12_Cost-LS87*(1+Slot12_Rate)^(Slot12_Age-D87))/LP87),0)</f>
        <v>0</v>
      </c>
      <c r="LU87" s="20" t="n">
        <f aca="false">IF(ED87=1,MAX(0,(Slot12_Cost-EE87*(1+Slot12_Rate)^(Slot12_Age-D87))/LP87),0)</f>
        <v>0</v>
      </c>
      <c r="LV87" s="20" t="n">
        <f aca="false">IF(AND(HU87=1,ED87=1),MIN(LO87,LT87),0)</f>
        <v>0</v>
      </c>
      <c r="LW87" s="20" t="n">
        <f aca="false">LO87-LV87</f>
        <v>0</v>
      </c>
      <c r="LX87" s="20" t="n">
        <f aca="false">IF(EN87=1,IF(ABS((1+AS_Wage)/(1+Slot13_Rate)-1)&lt;0.000000000001,(Slot13_Age-D87)*(1+Slot13_Rate)^(Slot13_Age-D87),(1+Slot13_Rate)^(Slot13_Age-D87)*(1-((1+AS_Wage)/(1+Slot13_Rate))^(Slot13_Age-D87))/(1-(1+AS_Wage)/(1+Slot13_Rate))),1)</f>
        <v>1</v>
      </c>
      <c r="LY87" s="20" t="n">
        <f aca="false">IF(AND(HU87=1,IE87&gt;0,Slot13_IsWG=1,EN87=1),MAX(0,(Slot13_Cost-EO87*(1+Slot13_Rate)^(Slot13_Age-D87))/LX87),0)</f>
        <v>0</v>
      </c>
      <c r="LZ87" s="20" t="n">
        <f aca="false">IF(AND(HU87=1,IE87&gt;0,Slot13_IsWG=1,EN87=1),MIN(IE87,LY87),0)</f>
        <v>0</v>
      </c>
      <c r="MA87" s="20" t="n">
        <f aca="false">EO87+LZ87</f>
        <v>0</v>
      </c>
      <c r="MB87" s="20" t="n">
        <f aca="false">IF(EN87=1,MAX(0,(Slot13_Cost-MA87*(1+Slot13_Rate)^(Slot13_Age-D87))/LX87),0)</f>
        <v>0</v>
      </c>
      <c r="MC87" s="20" t="n">
        <f aca="false">IF(EN87=1,MAX(0,(Slot13_Cost-EO87*(1+Slot13_Rate)^(Slot13_Age-D87))/LX87),0)</f>
        <v>0</v>
      </c>
      <c r="MD87" s="20" t="n">
        <f aca="false">IF(AND(HU87=1,EN87=1),MIN(LW87,MB87),0)</f>
        <v>0</v>
      </c>
      <c r="ME87" s="20" t="n">
        <f aca="false">LW87-MD87</f>
        <v>0</v>
      </c>
      <c r="MF87" s="20" t="n">
        <f aca="false">IF(EX87=1,IF(ABS((1+AS_Wage)/(1+Slot14_Rate)-1)&lt;0.000000000001,(Slot14_Age-D87)*(1+Slot14_Rate)^(Slot14_Age-D87),(1+Slot14_Rate)^(Slot14_Age-D87)*(1-((1+AS_Wage)/(1+Slot14_Rate))^(Slot14_Age-D87))/(1-(1+AS_Wage)/(1+Slot14_Rate))),1)</f>
        <v>1</v>
      </c>
      <c r="MG87" s="20" t="n">
        <f aca="false">IF(AND(HU87=1,IE87&gt;0,Slot14_IsWG=1,EX87=1),MAX(0,(Slot14_Cost-EY87*(1+Slot14_Rate)^(Slot14_Age-D87))/MF87),0)</f>
        <v>0</v>
      </c>
      <c r="MH87" s="20" t="n">
        <f aca="false">IF(AND(HU87=1,IE87&gt;0,Slot14_IsWG=1,EX87=1),MIN(IE87,MG87),0)</f>
        <v>0</v>
      </c>
      <c r="MI87" s="20" t="n">
        <f aca="false">EY87+MH87</f>
        <v>0</v>
      </c>
      <c r="MJ87" s="20" t="n">
        <f aca="false">IF(EX87=1,MAX(0,(Slot14_Cost-MI87*(1+Slot14_Rate)^(Slot14_Age-D87))/MF87),0)</f>
        <v>0</v>
      </c>
      <c r="MK87" s="20" t="n">
        <f aca="false">IF(EX87=1,MAX(0,(Slot14_Cost-EY87*(1+Slot14_Rate)^(Slot14_Age-D87))/MF87),0)</f>
        <v>0</v>
      </c>
      <c r="ML87" s="20" t="n">
        <f aca="false">IF(AND(HU87=1,EX87=1),MIN(ME87,MJ87),0)</f>
        <v>0</v>
      </c>
      <c r="MM87" s="20" t="n">
        <f aca="false">ME87-ML87</f>
        <v>0</v>
      </c>
      <c r="MN87" s="20" t="n">
        <f aca="false">IF(FH87=1,IF(ABS((1+AS_Wage)/(1+Slot15_Rate)-1)&lt;0.000000000001,(Slot15_Age-D87)*(1+Slot15_Rate)^(Slot15_Age-D87),(1+Slot15_Rate)^(Slot15_Age-D87)*(1-((1+AS_Wage)/(1+Slot15_Rate))^(Slot15_Age-D87))/(1-(1+AS_Wage)/(1+Slot15_Rate))),1)</f>
        <v>1</v>
      </c>
      <c r="MO87" s="20" t="n">
        <f aca="false">IF(AND(HU87=1,IE87&gt;0,Slot15_IsWG=1,FH87=1),MAX(0,(Slot15_Cost-FI87*(1+Slot15_Rate)^(Slot15_Age-D87))/MN87),0)</f>
        <v>0</v>
      </c>
      <c r="MP87" s="20" t="n">
        <f aca="false">IF(AND(HU87=1,IE87&gt;0,Slot15_IsWG=1,FH87=1),MIN(IE87,MO87),0)</f>
        <v>0</v>
      </c>
      <c r="MQ87" s="20" t="n">
        <f aca="false">FI87+MP87</f>
        <v>0</v>
      </c>
      <c r="MR87" s="20" t="n">
        <f aca="false">IF(FH87=1,MAX(0,(Slot15_Cost-MQ87*(1+Slot15_Rate)^(Slot15_Age-D87))/MN87),0)</f>
        <v>0</v>
      </c>
      <c r="MS87" s="20" t="n">
        <f aca="false">IF(FH87=1,MAX(0,(Slot15_Cost-FI87*(1+Slot15_Rate)^(Slot15_Age-D87))/MN87),0)</f>
        <v>0</v>
      </c>
      <c r="MT87" s="20" t="n">
        <f aca="false">IF(AND(HU87=1,FH87=1),MIN(MM87,MR87),0)</f>
        <v>0</v>
      </c>
      <c r="MU87" s="20" t="n">
        <f aca="false">MM87-MT87</f>
        <v>0</v>
      </c>
      <c r="MV87" s="20" t="n">
        <f aca="false">IF(FR87=1,IF(ABS((1+AS_Wage)/(1+Slot16_Rate)-1)&lt;0.000000000001,(Slot16_Age-D87)*(1+Slot16_Rate)^(Slot16_Age-D87),(1+Slot16_Rate)^(Slot16_Age-D87)*(1-((1+AS_Wage)/(1+Slot16_Rate))^(Slot16_Age-D87))/(1-(1+AS_Wage)/(1+Slot16_Rate))),1)</f>
        <v>1</v>
      </c>
      <c r="MW87" s="20" t="n">
        <f aca="false">IF(AND(HU87=1,IE87&gt;0,Slot16_IsWG=1,FR87=1),MAX(0,(Slot16_Cost-FS87*(1+Slot16_Rate)^(Slot16_Age-D87))/MV87),0)</f>
        <v>0</v>
      </c>
      <c r="MX87" s="20" t="n">
        <f aca="false">IF(AND(HU87=1,IE87&gt;0,Slot16_IsWG=1,FR87=1),MIN(IE87,MW87),0)</f>
        <v>0</v>
      </c>
      <c r="MY87" s="20" t="n">
        <f aca="false">FS87+MX87</f>
        <v>0</v>
      </c>
      <c r="MZ87" s="20" t="n">
        <f aca="false">IF(FR87=1,MAX(0,(Slot16_Cost-MY87*(1+Slot16_Rate)^(Slot16_Age-D87))/MV87),0)</f>
        <v>0</v>
      </c>
      <c r="NA87" s="20" t="n">
        <f aca="false">IF(FR87=1,MAX(0,(Slot16_Cost-FS87*(1+Slot16_Rate)^(Slot16_Age-D87))/MV87),0)</f>
        <v>0</v>
      </c>
      <c r="NB87" s="20" t="n">
        <f aca="false">IF(AND(HU87=1,FR87=1),MIN(MU87,MZ87),0)</f>
        <v>0</v>
      </c>
      <c r="NC87" s="20" t="n">
        <f aca="false">MU87-NB87</f>
        <v>0</v>
      </c>
      <c r="ND87" s="20" t="n">
        <f aca="false">IF(GB87=1,IF(ABS((1+AS_Wage)/(1+Slot17_Rate)-1)&lt;0.000000000001,(Slot17_Age-D87)*(1+Slot17_Rate)^(Slot17_Age-D87),(1+Slot17_Rate)^(Slot17_Age-D87)*(1-((1+AS_Wage)/(1+Slot17_Rate))^(Slot17_Age-D87))/(1-(1+AS_Wage)/(1+Slot17_Rate))),1)</f>
        <v>1</v>
      </c>
      <c r="NE87" s="20" t="n">
        <f aca="false">IF(AND(HU87=1,IE87&gt;0,Slot17_IsWG=1,GB87=1),MAX(0,(Slot17_Cost-GC87*(1+Slot17_Rate)^(Slot17_Age-D87))/ND87),0)</f>
        <v>0</v>
      </c>
      <c r="NF87" s="20" t="n">
        <f aca="false">IF(AND(HU87=1,IE87&gt;0,Slot17_IsWG=1,GB87=1),MIN(IE87,NE87),0)</f>
        <v>0</v>
      </c>
      <c r="NG87" s="20" t="n">
        <f aca="false">GC87+NF87</f>
        <v>0</v>
      </c>
      <c r="NH87" s="20" t="n">
        <f aca="false">IF(GB87=1,MAX(0,(Slot17_Cost-NG87*(1+Slot17_Rate)^(Slot17_Age-D87))/ND87),0)</f>
        <v>0</v>
      </c>
      <c r="NI87" s="20" t="n">
        <f aca="false">IF(GB87=1,MAX(0,(Slot17_Cost-GC87*(1+Slot17_Rate)^(Slot17_Age-D87))/ND87),0)</f>
        <v>0</v>
      </c>
      <c r="NJ87" s="20" t="n">
        <f aca="false">IF(AND(HU87=1,GB87=1),MIN(NC87,NH87),0)</f>
        <v>0</v>
      </c>
      <c r="NK87" s="20" t="n">
        <f aca="false">NC87-NJ87</f>
        <v>0</v>
      </c>
      <c r="NL87" s="20" t="n">
        <f aca="false">IF(GL87=1,IF(ABS((1+AS_Wage)/(1+Slot18_Rate)-1)&lt;0.000000000001,(Slot18_Age-D87)*(1+Slot18_Rate)^(Slot18_Age-D87),(1+Slot18_Rate)^(Slot18_Age-D87)*(1-((1+AS_Wage)/(1+Slot18_Rate))^(Slot18_Age-D87))/(1-(1+AS_Wage)/(1+Slot18_Rate))),1)</f>
        <v>1</v>
      </c>
      <c r="NM87" s="20" t="n">
        <f aca="false">IF(AND(HU87=1,IE87&gt;0,Slot18_IsWG=1,GL87=1),MAX(0,(Slot18_Cost-GM87*(1+Slot18_Rate)^(Slot18_Age-D87))/NL87),0)</f>
        <v>0</v>
      </c>
      <c r="NN87" s="20" t="n">
        <f aca="false">IF(AND(HU87=1,IE87&gt;0,Slot18_IsWG=1,GL87=1),MIN(IE87,NM87),0)</f>
        <v>0</v>
      </c>
      <c r="NO87" s="20" t="n">
        <f aca="false">GM87+NN87</f>
        <v>0</v>
      </c>
      <c r="NP87" s="20" t="n">
        <f aca="false">IF(GL87=1,MAX(0,(Slot18_Cost-NO87*(1+Slot18_Rate)^(Slot18_Age-D87))/NL87),0)</f>
        <v>0</v>
      </c>
      <c r="NQ87" s="20" t="n">
        <f aca="false">IF(GL87=1,MAX(0,(Slot18_Cost-GM87*(1+Slot18_Rate)^(Slot18_Age-D87))/NL87),0)</f>
        <v>0</v>
      </c>
      <c r="NR87" s="20" t="n">
        <f aca="false">IF(AND(HU87=1,GL87=1),MIN(NK87,NP87),0)</f>
        <v>0</v>
      </c>
      <c r="NS87" s="20" t="n">
        <f aca="false">NK87-NR87</f>
        <v>0</v>
      </c>
      <c r="NT87" s="20" t="n">
        <f aca="false">IF(GV87=1,IF(ABS((1+AS_Wage)/(1+Slot19_Rate)-1)&lt;0.000000000001,(Slot19_Age-D87)*(1+Slot19_Rate)^(Slot19_Age-D87),(1+Slot19_Rate)^(Slot19_Age-D87)*(1-((1+AS_Wage)/(1+Slot19_Rate))^(Slot19_Age-D87))/(1-(1+AS_Wage)/(1+Slot19_Rate))),1)</f>
        <v>1</v>
      </c>
      <c r="NU87" s="20" t="n">
        <f aca="false">IF(AND(HU87=1,IE87&gt;0,Slot19_IsWG=1,GV87=1),MAX(0,(Slot19_Cost-GW87*(1+Slot19_Rate)^(Slot19_Age-D87))/NT87),0)</f>
        <v>0</v>
      </c>
      <c r="NV87" s="20" t="n">
        <f aca="false">IF(AND(HU87=1,IE87&gt;0,Slot19_IsWG=1,GV87=1),MIN(IE87,NU87),0)</f>
        <v>0</v>
      </c>
      <c r="NW87" s="20" t="n">
        <f aca="false">GW87+NV87</f>
        <v>0</v>
      </c>
      <c r="NX87" s="20" t="n">
        <f aca="false">IF(GV87=1,MAX(0,(Slot19_Cost-NW87*(1+Slot19_Rate)^(Slot19_Age-D87))/NT87),0)</f>
        <v>0</v>
      </c>
      <c r="NY87" s="20" t="n">
        <f aca="false">IF(GV87=1,MAX(0,(Slot19_Cost-GW87*(1+Slot19_Rate)^(Slot19_Age-D87))/NT87),0)</f>
        <v>0</v>
      </c>
      <c r="NZ87" s="20" t="n">
        <f aca="false">IF(AND(HU87=1,GV87=1),MIN(NS87,NX87),0)</f>
        <v>0</v>
      </c>
      <c r="OA87" s="20" t="n">
        <f aca="false">NS87-NZ87</f>
        <v>0</v>
      </c>
      <c r="OB87" s="20" t="n">
        <f aca="false">IF(HF87=1,IF(ABS((1+AS_Wage)/(1+Slot20_Rate)-1)&lt;0.000000000001,(Slot20_Age-D87)*(1+Slot20_Rate)^(Slot20_Age-D87),(1+Slot20_Rate)^(Slot20_Age-D87)*(1-((1+AS_Wage)/(1+Slot20_Rate))^(Slot20_Age-D87))/(1-(1+AS_Wage)/(1+Slot20_Rate))),1)</f>
        <v>1</v>
      </c>
      <c r="OC87" s="20" t="n">
        <f aca="false">IF(AND(HU87=1,IE87&gt;0,Slot20_IsWG=1,HF87=1),MAX(0,(Slot20_Cost-HG87*(1+Slot20_Rate)^(Slot20_Age-D87))/OB87),0)</f>
        <v>0</v>
      </c>
      <c r="OD87" s="20" t="n">
        <f aca="false">IF(AND(HU87=1,IE87&gt;0,Slot20_IsWG=1,HF87=1),MIN(IE87,OC87),0)</f>
        <v>0</v>
      </c>
      <c r="OE87" s="20" t="n">
        <f aca="false">HG87+OD87</f>
        <v>0</v>
      </c>
      <c r="OF87" s="20" t="n">
        <f aca="false">IF(HF87=1,MAX(0,(Slot20_Cost-OE87*(1+Slot20_Rate)^(Slot20_Age-D87))/OB87),0)</f>
        <v>0</v>
      </c>
      <c r="OG87" s="20" t="n">
        <f aca="false">IF(HF87=1,MAX(0,(Slot20_Cost-HG87*(1+Slot20_Rate)^(Slot20_Age-D87))/OB87),0)</f>
        <v>0</v>
      </c>
      <c r="OH87" s="20" t="n">
        <f aca="false">IF(AND(HU87=1,HF87=1),MIN(OA87,OF87),0)</f>
        <v>0</v>
      </c>
      <c r="OI87" s="20" t="n">
        <f aca="false">OA87-OH87</f>
        <v>0</v>
      </c>
      <c r="OJ87" s="20" t="n">
        <f aca="false">IE87-(IH87+IP87+IX87+JF87+JN87+JV87+KD87+KL87+KT87+LB87+LJ87+LR87+LZ87+MH87+MP87+MX87+NF87+NN87+NV87+OD87)</f>
        <v>0</v>
      </c>
      <c r="OK87" s="20" t="n">
        <f aca="false">IF(HU87=1,HS87-ID87-IE87,0)</f>
        <v>0</v>
      </c>
      <c r="OL87" s="20" t="n">
        <f aca="false">IF(HU87=0,-HS87,0)</f>
        <v>92086.1476181944</v>
      </c>
      <c r="OM87" s="20" t="n">
        <f aca="false">MIN(OL87,HK87)</f>
        <v>0</v>
      </c>
      <c r="ON87" s="20" t="n">
        <f aca="false">OL87-OM87</f>
        <v>92086.1476181944</v>
      </c>
      <c r="OO87" s="20" t="n">
        <f aca="false">MIN(ON87,HL87)</f>
        <v>0</v>
      </c>
      <c r="OP87" s="20" t="n">
        <f aca="false">ON87-OO87</f>
        <v>92086.1476181944</v>
      </c>
      <c r="OQ87" s="20" t="n">
        <f aca="false">IF(AND(HU87=0,HF87=1,OP87&gt;0),MIN(OP87,HG87),0)</f>
        <v>0</v>
      </c>
      <c r="OR87" s="20" t="n">
        <f aca="false">OP87-OQ87</f>
        <v>92086.1476181944</v>
      </c>
      <c r="OS87" s="20" t="n">
        <f aca="false">IF(AND(HU87=0,GV87=1,OR87&gt;0),MIN(OR87,GW87),0)</f>
        <v>0</v>
      </c>
      <c r="OT87" s="20" t="n">
        <f aca="false">OR87-OS87</f>
        <v>92086.1476181944</v>
      </c>
      <c r="OU87" s="20" t="n">
        <f aca="false">IF(AND(HU87=0,GL87=1,OT87&gt;0),MIN(OT87,GM87),0)</f>
        <v>0</v>
      </c>
      <c r="OV87" s="20" t="n">
        <f aca="false">OT87-OU87</f>
        <v>92086.1476181944</v>
      </c>
      <c r="OW87" s="20" t="n">
        <f aca="false">IF(AND(HU87=0,GB87=1,OV87&gt;0),MIN(OV87,GC87),0)</f>
        <v>0</v>
      </c>
      <c r="OX87" s="20" t="n">
        <f aca="false">OV87-OW87</f>
        <v>92086.1476181944</v>
      </c>
      <c r="OY87" s="20" t="n">
        <f aca="false">IF(AND(HU87=0,FR87=1,OX87&gt;0),MIN(OX87,FS87),0)</f>
        <v>0</v>
      </c>
      <c r="OZ87" s="20" t="n">
        <f aca="false">OX87-OY87</f>
        <v>92086.1476181944</v>
      </c>
      <c r="PA87" s="20" t="n">
        <f aca="false">IF(AND(HU87=0,FH87=1,OZ87&gt;0),MIN(OZ87,FI87),0)</f>
        <v>0</v>
      </c>
      <c r="PB87" s="20" t="n">
        <f aca="false">OZ87-PA87</f>
        <v>92086.1476181944</v>
      </c>
      <c r="PC87" s="20" t="n">
        <f aca="false">IF(AND(HU87=0,EX87=1,PB87&gt;0),MIN(PB87,EY87),0)</f>
        <v>0</v>
      </c>
      <c r="PD87" s="20" t="n">
        <f aca="false">PB87-PC87</f>
        <v>92086.1476181944</v>
      </c>
      <c r="PE87" s="20" t="n">
        <f aca="false">IF(AND(HU87=0,EN87=1,PD87&gt;0),MIN(PD87,EO87),0)</f>
        <v>0</v>
      </c>
      <c r="PF87" s="20" t="n">
        <f aca="false">PD87-PE87</f>
        <v>92086.1476181944</v>
      </c>
      <c r="PG87" s="20" t="n">
        <f aca="false">IF(AND(HU87=0,ED87=1,PF87&gt;0),MIN(PF87,EE87),0)</f>
        <v>0</v>
      </c>
      <c r="PH87" s="20" t="n">
        <f aca="false">PF87-PG87</f>
        <v>92086.1476181944</v>
      </c>
      <c r="PI87" s="20" t="n">
        <f aca="false">IF(AND(HU87=0,DT87=1,PH87&gt;0),MIN(PH87,DU87),0)</f>
        <v>0</v>
      </c>
      <c r="PJ87" s="20" t="n">
        <f aca="false">PH87-PI87</f>
        <v>92086.1476181944</v>
      </c>
      <c r="PK87" s="20" t="n">
        <f aca="false">IF(AND(HU87=0,DJ87=1,PJ87&gt;0),MIN(PJ87,DK87),0)</f>
        <v>0</v>
      </c>
      <c r="PL87" s="20" t="n">
        <f aca="false">PJ87-PK87</f>
        <v>92086.1476181944</v>
      </c>
      <c r="PM87" s="20" t="n">
        <f aca="false">IF(AND(HU87=0,CZ87=1,PL87&gt;0),MIN(PL87,DA87),0)</f>
        <v>0</v>
      </c>
      <c r="PN87" s="20" t="n">
        <f aca="false">PL87-PM87</f>
        <v>92086.1476181944</v>
      </c>
      <c r="PO87" s="20" t="n">
        <f aca="false">IF(AND(HU87=0,CP87=1,PN87&gt;0),MIN(PN87,CQ87),0)</f>
        <v>0</v>
      </c>
      <c r="PP87" s="20" t="n">
        <f aca="false">PN87-PO87</f>
        <v>92086.1476181944</v>
      </c>
      <c r="PQ87" s="20" t="n">
        <f aca="false">IF(AND(HU87=0,CF87=1,PP87&gt;0),MIN(PP87,CG87),0)</f>
        <v>0</v>
      </c>
      <c r="PR87" s="20" t="n">
        <f aca="false">PP87-PQ87</f>
        <v>92086.1476181944</v>
      </c>
      <c r="PS87" s="20" t="n">
        <f aca="false">IF(AND(HU87=0,BV87=1,PR87&gt;0),MIN(PR87,BW87),0)</f>
        <v>0</v>
      </c>
      <c r="PT87" s="20" t="n">
        <f aca="false">PR87-PS87</f>
        <v>92086.1476181944</v>
      </c>
      <c r="PU87" s="20" t="n">
        <f aca="false">IF(AND(HU87=0,BL87=1,PT87&gt;0),MIN(PT87,BM87),0)</f>
        <v>0</v>
      </c>
      <c r="PV87" s="20" t="n">
        <f aca="false">PT87-PU87</f>
        <v>92086.1476181944</v>
      </c>
      <c r="PW87" s="20" t="n">
        <f aca="false">IF(AND(HU87=0,BB87=1,PV87&gt;0),MIN(PV87,BC87),0)</f>
        <v>0</v>
      </c>
      <c r="PX87" s="20" t="n">
        <f aca="false">PV87-PW87</f>
        <v>92086.1476181944</v>
      </c>
      <c r="PY87" s="20" t="n">
        <f aca="false">IF(AND(HU87=0,AR87=1,PX87&gt;0),MIN(PX87,AS87),0)</f>
        <v>0</v>
      </c>
      <c r="PZ87" s="20" t="n">
        <f aca="false">PX87-PY87</f>
        <v>92086.1476181944</v>
      </c>
      <c r="QA87" s="20" t="n">
        <f aca="false">IF(AND(HU87=0,AH87=1,PZ87&gt;0),MIN(PZ87,AI87),0)</f>
        <v>0</v>
      </c>
      <c r="QB87" s="20" t="n">
        <f aca="false">PZ87-QA87</f>
        <v>92086.1476181944</v>
      </c>
      <c r="QC87" s="20" t="n">
        <f aca="false">IF(AND(HU87=0,W87=1,QB87&gt;0),MIN(QB87,X87),0)</f>
        <v>0</v>
      </c>
      <c r="QD87" s="20" t="n">
        <f aca="false">QB87-QC87</f>
        <v>92086.1476181944</v>
      </c>
      <c r="QE87" s="20" t="n">
        <f aca="false">IF(HU87=0,QD87,0)</f>
        <v>92086.1476181944</v>
      </c>
      <c r="QF87" s="20" t="n">
        <f aca="false">OM87+OO87+QC87+QA87+PY87+PW87+PU87+PS87+PQ87+PO87+PM87+PK87+PI87+PG87+PE87+PC87+PA87+OY87+OW87+OU87+OS87+OQ87</f>
        <v>0</v>
      </c>
      <c r="QG87" s="20" t="n">
        <f aca="false">IF(HU87=1,HK87+OJ87+OI87+IF(G87=1,0,OK87),HK87-OM87)</f>
        <v>0</v>
      </c>
      <c r="QH87" s="20" t="n">
        <f aca="false">HL87-OO87</f>
        <v>0</v>
      </c>
      <c r="QI87" s="20" t="n">
        <f aca="false">IF(HU87=1,IF(G87=1,ID87+IE87,HS87),0)</f>
        <v>0</v>
      </c>
      <c r="QJ87" s="20" t="n">
        <f aca="false">IF(HU87=1,IF(G87=1,HS87-ID87-IE87,0),0)</f>
        <v>0</v>
      </c>
      <c r="QK87" s="57" t="n">
        <f aca="false">'Plan holdings'!BM87</f>
        <v>0</v>
      </c>
      <c r="QL87" s="20" t="n">
        <f aca="false">QH87*(1+AS_Cash)</f>
        <v>0</v>
      </c>
      <c r="QM87" s="20" t="n">
        <f aca="false">IF(W87=1,IF(HU87=1,II87+IL87,X87-QC87)*(1+Slot1_Rate),0)</f>
        <v>0</v>
      </c>
      <c r="QN87" s="20" t="n">
        <f aca="false">IF(AND(HU87=1,W87=1),(IH87+IL87)/F87,0)</f>
        <v>0</v>
      </c>
      <c r="QO87" s="20" t="n">
        <f aca="false">IF(B87=0,IH87+IL87,0)</f>
        <v>0</v>
      </c>
      <c r="QP87" s="20" t="n">
        <f aca="false">IF(B87=0,IF(HU87=1,IJ87,IK87),0)</f>
        <v>0</v>
      </c>
      <c r="QQ87" s="20" t="n">
        <f aca="false">IF(AH87=1,IF(HU87=1,IQ87+IT87,AI87-QA87)*(1+Slot2_Rate),0)</f>
        <v>0</v>
      </c>
      <c r="QR87" s="20" t="n">
        <f aca="false">IF(AND(HU87=1,AH87=1),(IP87+IT87)/F87,0)</f>
        <v>0</v>
      </c>
      <c r="QS87" s="20" t="n">
        <f aca="false">IF(B87=0,IP87+IT87,0)</f>
        <v>0</v>
      </c>
      <c r="QT87" s="20" t="n">
        <f aca="false">IF(B87=0,IF(HU87=1,IR87,IS87),0)</f>
        <v>0</v>
      </c>
      <c r="QU87" s="20" t="n">
        <f aca="false">IF(AR87=1,IF(HU87=1,IY87+JB87,AS87-PY87)*(1+Slot3_Rate),0)</f>
        <v>0</v>
      </c>
      <c r="QV87" s="20" t="n">
        <f aca="false">IF(AND(HU87=1,AR87=1),(IX87+JB87)/F87,0)</f>
        <v>0</v>
      </c>
      <c r="QW87" s="20" t="n">
        <f aca="false">IF(B87=0,IX87+JB87,0)</f>
        <v>0</v>
      </c>
      <c r="QX87" s="20" t="n">
        <f aca="false">IF(B87=0,IF(HU87=1,IZ87,JA87),0)</f>
        <v>0</v>
      </c>
      <c r="QY87" s="20" t="n">
        <f aca="false">IF(BB87=1,IF(HU87=1,JG87+JJ87,BC87-PW87)*(1+Slot4_Rate),0)</f>
        <v>0</v>
      </c>
      <c r="QZ87" s="20" t="n">
        <f aca="false">IF(AND(HU87=1,BB87=1),(JF87+JJ87)/F87,0)</f>
        <v>0</v>
      </c>
      <c r="RA87" s="20" t="n">
        <f aca="false">IF(B87=0,JF87+JJ87,0)</f>
        <v>0</v>
      </c>
      <c r="RB87" s="20" t="n">
        <f aca="false">IF(B87=0,IF(HU87=1,JH87,JI87),0)</f>
        <v>0</v>
      </c>
      <c r="RC87" s="20" t="n">
        <f aca="false">IF(BL87=1,IF(HU87=1,JO87+JR87,BM87-PU87)*(1+Slot5_Rate),0)</f>
        <v>0</v>
      </c>
      <c r="RD87" s="20" t="n">
        <f aca="false">IF(AND(HU87=1,BL87=1),(JN87+JR87)/F87,0)</f>
        <v>0</v>
      </c>
      <c r="RE87" s="20" t="n">
        <f aca="false">IF(B87=0,JN87+JR87,0)</f>
        <v>0</v>
      </c>
      <c r="RF87" s="20" t="n">
        <f aca="false">IF(B87=0,IF(HU87=1,JP87,JQ87),0)</f>
        <v>0</v>
      </c>
      <c r="RG87" s="20" t="n">
        <f aca="false">IF(BV87=1,IF(HU87=1,JW87+JZ87,BW87-PS87)*(1+Slot6_Rate),0)</f>
        <v>0</v>
      </c>
      <c r="RH87" s="20" t="n">
        <f aca="false">IF(AND(HU87=1,BV87=1),(JV87+JZ87)/F87,0)</f>
        <v>0</v>
      </c>
      <c r="RI87" s="20" t="n">
        <f aca="false">IF(B87=0,JV87+JZ87,0)</f>
        <v>0</v>
      </c>
      <c r="RJ87" s="20" t="n">
        <f aca="false">IF(B87=0,IF(HU87=1,JX87,JY87),0)</f>
        <v>0</v>
      </c>
      <c r="RK87" s="20" t="n">
        <f aca="false">IF(CF87=1,IF(HU87=1,KE87+KH87,CG87-PQ87)*(1+Slot7_Rate),0)</f>
        <v>0</v>
      </c>
      <c r="RL87" s="20" t="n">
        <f aca="false">IF(AND(HU87=1,CF87=1),(KD87+KH87)/F87,0)</f>
        <v>0</v>
      </c>
      <c r="RM87" s="20" t="n">
        <f aca="false">IF(B87=0,KD87+KH87,0)</f>
        <v>0</v>
      </c>
      <c r="RN87" s="20" t="n">
        <f aca="false">IF(B87=0,IF(HU87=1,KF87,KG87),0)</f>
        <v>0</v>
      </c>
      <c r="RO87" s="20" t="n">
        <f aca="false">IF(CP87=1,IF(HU87=1,KM87+KP87,CQ87-PO87)*(1+Slot8_Rate),0)</f>
        <v>0</v>
      </c>
      <c r="RP87" s="20" t="n">
        <f aca="false">IF(AND(HU87=1,CP87=1),(KL87+KP87)/F87,0)</f>
        <v>0</v>
      </c>
      <c r="RQ87" s="20" t="n">
        <f aca="false">IF(B87=0,KL87+KP87,0)</f>
        <v>0</v>
      </c>
      <c r="RR87" s="20" t="n">
        <f aca="false">IF(B87=0,IF(HU87=1,KN87,KO87),0)</f>
        <v>0</v>
      </c>
      <c r="RS87" s="20" t="n">
        <f aca="false">IF(CZ87=1,IF(HU87=1,KU87+KX87,DA87-PM87)*(1+Slot9_Rate),0)</f>
        <v>0</v>
      </c>
      <c r="RT87" s="20" t="n">
        <f aca="false">IF(AND(HU87=1,CZ87=1),(KT87+KX87)/F87,0)</f>
        <v>0</v>
      </c>
      <c r="RU87" s="20" t="n">
        <f aca="false">IF(B87=0,KT87+KX87,0)</f>
        <v>0</v>
      </c>
      <c r="RV87" s="20" t="n">
        <f aca="false">IF(B87=0,IF(HU87=1,KV87,KW87),0)</f>
        <v>0</v>
      </c>
      <c r="RW87" s="20" t="n">
        <f aca="false">IF(DJ87=1,IF(HU87=1,LC87+LF87,DK87-PK87)*(1+Slot10_Rate),0)</f>
        <v>0</v>
      </c>
      <c r="RX87" s="20" t="n">
        <f aca="false">IF(AND(HU87=1,DJ87=1),(LB87+LF87)/F87,0)</f>
        <v>0</v>
      </c>
      <c r="RY87" s="20" t="n">
        <f aca="false">IF(B87=0,LB87+LF87,0)</f>
        <v>0</v>
      </c>
      <c r="RZ87" s="20" t="n">
        <f aca="false">IF(B87=0,IF(HU87=1,LD87,LE87),0)</f>
        <v>0</v>
      </c>
      <c r="SA87" s="20" t="n">
        <f aca="false">IF(DT87=1,IF(HU87=1,LK87+LN87,DU87-PI87)*(1+Slot11_Rate),0)</f>
        <v>0</v>
      </c>
      <c r="SB87" s="20" t="n">
        <f aca="false">IF(AND(HU87=1,DT87=1),(LJ87+LN87)/F87,0)</f>
        <v>0</v>
      </c>
      <c r="SC87" s="20" t="n">
        <f aca="false">IF(B87=0,LJ87+LN87,0)</f>
        <v>0</v>
      </c>
      <c r="SD87" s="20" t="n">
        <f aca="false">IF(B87=0,IF(HU87=1,LL87,LM87),0)</f>
        <v>0</v>
      </c>
      <c r="SE87" s="20" t="n">
        <f aca="false">IF(ED87=1,IF(HU87=1,LS87+LV87,EE87-PG87)*(1+Slot12_Rate),0)</f>
        <v>0</v>
      </c>
      <c r="SF87" s="20" t="n">
        <f aca="false">IF(AND(HU87=1,ED87=1),(LR87+LV87)/F87,0)</f>
        <v>0</v>
      </c>
      <c r="SG87" s="20" t="n">
        <f aca="false">IF(B87=0,LR87+LV87,0)</f>
        <v>0</v>
      </c>
      <c r="SH87" s="20" t="n">
        <f aca="false">IF(B87=0,IF(HU87=1,LT87,LU87),0)</f>
        <v>0</v>
      </c>
      <c r="SI87" s="20" t="n">
        <f aca="false">IF(EN87=1,IF(HU87=1,MA87+MD87,EO87-PE87)*(1+Slot13_Rate),0)</f>
        <v>0</v>
      </c>
      <c r="SJ87" s="20" t="n">
        <f aca="false">IF(AND(HU87=1,EN87=1),(LZ87+MD87)/F87,0)</f>
        <v>0</v>
      </c>
      <c r="SK87" s="20" t="n">
        <f aca="false">IF(B87=0,LZ87+MD87,0)</f>
        <v>0</v>
      </c>
      <c r="SL87" s="20" t="n">
        <f aca="false">IF(B87=0,IF(HU87=1,MB87,MC87),0)</f>
        <v>0</v>
      </c>
      <c r="SM87" s="20" t="n">
        <f aca="false">IF(EX87=1,IF(HU87=1,MI87+ML87,EY87-PC87)*(1+Slot14_Rate),0)</f>
        <v>0</v>
      </c>
      <c r="SN87" s="20" t="n">
        <f aca="false">IF(AND(HU87=1,EX87=1),(MH87+ML87)/F87,0)</f>
        <v>0</v>
      </c>
      <c r="SO87" s="20" t="n">
        <f aca="false">IF(B87=0,MH87+ML87,0)</f>
        <v>0</v>
      </c>
      <c r="SP87" s="20" t="n">
        <f aca="false">IF(B87=0,IF(HU87=1,MJ87,MK87),0)</f>
        <v>0</v>
      </c>
      <c r="SQ87" s="20" t="n">
        <f aca="false">IF(FH87=1,IF(HU87=1,MQ87+MT87,FI87-PA87)*(1+Slot15_Rate),0)</f>
        <v>0</v>
      </c>
      <c r="SR87" s="20" t="n">
        <f aca="false">IF(AND(HU87=1,FH87=1),(MP87+MT87)/F87,0)</f>
        <v>0</v>
      </c>
      <c r="SS87" s="20" t="n">
        <f aca="false">IF(B87=0,MP87+MT87,0)</f>
        <v>0</v>
      </c>
      <c r="ST87" s="20" t="n">
        <f aca="false">IF(B87=0,IF(HU87=1,MR87,MS87),0)</f>
        <v>0</v>
      </c>
      <c r="SU87" s="20" t="n">
        <f aca="false">IF(FR87=1,IF(HU87=1,MY87+NB87,FS87-OY87)*(1+Slot16_Rate),0)</f>
        <v>0</v>
      </c>
      <c r="SV87" s="20" t="n">
        <f aca="false">IF(AND(HU87=1,FR87=1),(MX87+NB87)/F87,0)</f>
        <v>0</v>
      </c>
      <c r="SW87" s="20" t="n">
        <f aca="false">IF(B87=0,MX87+NB87,0)</f>
        <v>0</v>
      </c>
      <c r="SX87" s="20" t="n">
        <f aca="false">IF(B87=0,IF(HU87=1,MZ87,NA87),0)</f>
        <v>0</v>
      </c>
      <c r="SY87" s="20" t="n">
        <f aca="false">IF(GB87=1,IF(HU87=1,NG87+NJ87,GC87-OW87)*(1+Slot17_Rate),0)</f>
        <v>0</v>
      </c>
      <c r="SZ87" s="20" t="n">
        <f aca="false">IF(AND(HU87=1,GB87=1),(NF87+NJ87)/F87,0)</f>
        <v>0</v>
      </c>
      <c r="TA87" s="20" t="n">
        <f aca="false">IF(B87=0,NF87+NJ87,0)</f>
        <v>0</v>
      </c>
      <c r="TB87" s="20" t="n">
        <f aca="false">IF(B87=0,IF(HU87=1,NH87,NI87),0)</f>
        <v>0</v>
      </c>
      <c r="TC87" s="20" t="n">
        <f aca="false">IF(GL87=1,IF(HU87=1,NO87+NR87,GM87-OU87)*(1+Slot18_Rate),0)</f>
        <v>0</v>
      </c>
      <c r="TD87" s="20" t="n">
        <f aca="false">IF(AND(HU87=1,GL87=1),(NN87+NR87)/F87,0)</f>
        <v>0</v>
      </c>
      <c r="TE87" s="20" t="n">
        <f aca="false">IF(B87=0,NN87+NR87,0)</f>
        <v>0</v>
      </c>
      <c r="TF87" s="20" t="n">
        <f aca="false">IF(B87=0,IF(HU87=1,NP87,NQ87),0)</f>
        <v>0</v>
      </c>
      <c r="TG87" s="20" t="n">
        <f aca="false">IF(GV87=1,IF(HU87=1,NW87+NZ87,GW87-OS87)*(1+Slot19_Rate),0)</f>
        <v>0</v>
      </c>
      <c r="TH87" s="20" t="n">
        <f aca="false">IF(AND(HU87=1,GV87=1),(NV87+NZ87)/F87,0)</f>
        <v>0</v>
      </c>
      <c r="TI87" s="20" t="n">
        <f aca="false">IF(B87=0,NV87+NZ87,0)</f>
        <v>0</v>
      </c>
      <c r="TJ87" s="20" t="n">
        <f aca="false">IF(B87=0,IF(HU87=1,NX87,NY87),0)</f>
        <v>0</v>
      </c>
      <c r="TK87" s="20" t="n">
        <f aca="false">IF(HF87=1,IF(HU87=1,OE87+OH87,HG87-OQ87)*(1+Slot20_Rate),0)</f>
        <v>0</v>
      </c>
      <c r="TL87" s="20" t="n">
        <f aca="false">IF(AND(HU87=1,HF87=1),(OD87+OH87)/F87,0)</f>
        <v>0</v>
      </c>
      <c r="TM87" s="20" t="n">
        <f aca="false">IF(B87=0,OD87+OH87,0)</f>
        <v>0</v>
      </c>
      <c r="TN87" s="20" t="n">
        <f aca="false">IF(B87=0,IF(HU87=1,OF87,OG87),0)</f>
        <v>0</v>
      </c>
      <c r="TO87" s="20" t="n">
        <f aca="false">QK87+QL87+QM87+QQ87+QU87+QY87+RC87+RG87+RK87+RO87+RS87+RW87+SA87+SE87+SI87+SM87+SQ87+SU87+SY87+TC87+TG87+TK87</f>
        <v>0</v>
      </c>
      <c r="TP87" s="20" t="n">
        <f aca="false">QE87+HP87</f>
        <v>92086.1476181944</v>
      </c>
      <c r="TQ87" s="20" t="n">
        <f aca="false">I87+S87</f>
        <v>228476.462413145</v>
      </c>
      <c r="TR87" s="20" t="n">
        <f aca="false">1-G87</f>
        <v>1</v>
      </c>
      <c r="TS87" s="20" t="n">
        <f aca="false">IF(AND(RG_Exists=1,G87=0,C87=1),I87,0)</f>
        <v>0</v>
      </c>
      <c r="TT87" s="20" t="n">
        <f aca="false">IF(AND(RG_Exists=1,G87=0,C87=1),I87-MIN(QE87,I87),0)</f>
        <v>0</v>
      </c>
      <c r="TU87" s="20" t="n">
        <f aca="false">'Plan pay &amp; tax'!AD313</f>
        <v>0</v>
      </c>
      <c r="TV87" s="20" t="n">
        <f aca="false">IF(AND(C87=1,QE87&gt;MAX(PR_Short1,TQ87*PR_Short2)),1,0)</f>
        <v>0</v>
      </c>
      <c r="TW87" s="20" t="n">
        <f aca="false">MIN(H87,I87+S87)</f>
        <v>136390.31479495</v>
      </c>
      <c r="TX87" s="20" t="n">
        <f aca="false">QF87+MAX(0,HQ87-HP87)</f>
        <v>0</v>
      </c>
      <c r="TY87" s="20" t="n">
        <f aca="false">QE87+HP87</f>
        <v>92086.1476181944</v>
      </c>
      <c r="TZ87" s="20" t="n">
        <f aca="false">IF(AND(C87=1,TY87&gt;PR_MinShort),1,0)</f>
        <v>0</v>
      </c>
      <c r="UA87" s="20" t="n">
        <f aca="false">IF(AND(C87=1,TZ87=0,TX87&gt;PR_MinShort),1,0)</f>
        <v>0</v>
      </c>
      <c r="UB87" s="20" t="n">
        <f aca="false">IF(AND(C87=1,QE87&gt;PR_MinShort),1,0)</f>
        <v>0</v>
      </c>
      <c r="UC87" s="20" t="n">
        <f aca="false">IF(AND(C87=1,QF87&gt;1,UJ87=0),1,0)</f>
        <v>0</v>
      </c>
      <c r="UD87" s="20" t="str">
        <f aca="false">IF(C87=0,"",IF(UJ87=1,"Gap to plan for: short "&amp;"€"&amp;TEXT(ROUND(TP87,0),"#,##0"),IF(QF87&gt;1,"Using savings","Comfortable")))</f>
        <v/>
      </c>
      <c r="UE87" s="20" t="n">
        <f aca="false">IF(AND(INT(D87/10)*10=90,B87&gt;0),80,INT(D87/10)*10)</f>
        <v>110</v>
      </c>
      <c r="UF87" s="20" t="n">
        <f aca="false">IF(B87=0,1,IF(UE87&lt;&gt;UE86,UF86+1,UF86))</f>
        <v>8</v>
      </c>
      <c r="UG87" s="20" t="n">
        <f aca="false">IF(AND(C87=1,G87=1,QE87&gt;MAX(PR_Short1,TQ87*PR_Short2)),1,0)</f>
        <v>0</v>
      </c>
      <c r="UH87" s="20" t="n">
        <f aca="false">TR87*TV87</f>
        <v>0</v>
      </c>
      <c r="UI87" s="20" t="n">
        <f aca="false">IF(AND(V87=1,Slot1_PctLow=1),1,0)+IF(AND(AG87=1,Slot2_PctLow=1),1,0)+IF(AND(AQ87=1,Slot3_PctLow=1),1,0)+IF(AND(BA87=1,Slot4_PctLow=1),1,0)+IF(AND(BK87=1,Slot5_PctLow=1),1,0)+IF(AND(BU87=1,Slot6_PctLow=1),1,0)+IF(AND(CE87=1,Slot7_PctLow=1),1,0)+IF(AND(CO87=1,Slot8_PctLow=1),1,0)+IF(AND(CY87=1,Slot9_PctLow=1),1,0)+IF(AND(DI87=1,Slot10_PctLow=1),1,0)+IF(AND(DS87=1,Slot11_PctLow=1),1,0)+IF(AND(EC87=1,Slot12_PctLow=1),1,0)+IF(AND(EM87=1,Slot13_PctLow=1),1,0)+IF(AND(EW87=1,Slot14_PctLow=1),1,0)+IF(AND(FG87=1,Slot15_PctLow=1),1,0)+IF(AND(FQ87=1,Slot16_PctLow=1),1,0)+IF(AND(GA87=1,Slot17_PctLow=1),1,0)+IF(AND(GK87=1,Slot18_PctLow=1),1,0)+IF(AND(GU87=1,Slot19_PctLow=1),1,0)+IF(AND(HE87=1,Slot20_PctLow=1),1,0)</f>
        <v>0</v>
      </c>
      <c r="UJ87" s="20" t="n">
        <f aca="false">IF(C87=1,IF(OR(TV87=1,UI87&gt;0),1,0),0)</f>
        <v>0</v>
      </c>
      <c r="UK87" s="20" t="n">
        <f aca="false">Z87+AK87+AU87+BE87+BO87+BY87+CI87+CS87+DC87+DM87+DW87+EG87+EQ87+FA87+FK87+FU87+GE87+GO87+GY87+HI87+OM87</f>
        <v>0</v>
      </c>
      <c r="UL87" s="20" t="n">
        <f aca="false">V87*IF(Slot1_SpendLike=1,X87-Y87,IF(Slot1_PotFree=1,X87,0))+AG87*IF(Slot2_SpendLike=1,AI87-AJ87,IF(Slot2_PotFree=1,AI87,0))+AQ87*IF(Slot3_SpendLike=1,AS87-AT87,IF(Slot3_PotFree=1,AS87,0))+BA87*IF(Slot4_SpendLike=1,BC87-BD87,IF(Slot4_PotFree=1,BC87,0))+BK87*IF(Slot5_SpendLike=1,BM87-BN87,IF(Slot5_PotFree=1,BM87,0))+BU87*IF(Slot6_SpendLike=1,BW87-BX87,IF(Slot6_PotFree=1,BW87,0))+CE87*IF(Slot7_SpendLike=1,CG87-CH87,IF(Slot7_PotFree=1,CG87,0))+CO87*IF(Slot8_SpendLike=1,CQ87-CR87,IF(Slot8_PotFree=1,CQ87,0))+CY87*IF(Slot9_SpendLike=1,DA87-DB87,IF(Slot9_PotFree=1,DA87,0))+DI87*IF(Slot10_SpendLike=1,DK87-DL87,IF(Slot10_PotFree=1,DK87,0))+DS87*IF(Slot11_SpendLike=1,DU87-DV87,IF(Slot11_PotFree=1,DU87,0))+EC87*IF(Slot12_SpendLike=1,EE87-EF87,IF(Slot12_PotFree=1,EE87,0))+EM87*IF(Slot13_SpendLike=1,EO87-EP87,IF(Slot13_PotFree=1,EO87,0))+EW87*IF(Slot14_SpendLike=1,EY87-EZ87,IF(Slot14_PotFree=1,EY87,0))+FG87*IF(Slot15_SpendLike=1,FI87-FJ87,IF(Slot15_PotFree=1,FI87,0))+FQ87*IF(Slot16_SpendLike=1,FS87-FT87,IF(Slot16_PotFree=1,FS87,0))+GA87*IF(Slot17_SpendLike=1,GC87-GD87,IF(Slot17_PotFree=1,GC87,0))+GK87*IF(Slot18_SpendLike=1,GM87-GN87,IF(Slot18_PotFree=1,GM87,0))+GU87*IF(Slot19_SpendLike=1,GW87-GX87,IF(Slot19_PotFree=1,GW87,0))+HE87*IF(Slot20_SpendLike=1,HG87-HH87,IF(Slot20_PotFree=1,HG87,0))</f>
        <v>0</v>
      </c>
      <c r="UM87" s="20" t="n">
        <f aca="false">QG87-T87+UK87-UL87</f>
        <v>0</v>
      </c>
      <c r="UN87" s="20" t="n">
        <f aca="false">IF(OR(UN86=1,AND(In_homeUse="Yes, I'd downsize",In_downAge&gt;0,D87=In_downAge,OR(In_home="Own outright",In_home="Own with mortgage"),In_homeValue&gt;0)),1,0)</f>
        <v>0</v>
      </c>
    </row>
    <row r="88" customFormat="false" ht="15" hidden="false" customHeight="true" outlineLevel="0" collapsed="false">
      <c r="B88" s="20" t="n">
        <v>80</v>
      </c>
      <c r="C88" s="20" t="n">
        <f aca="false">IF(B88&lt;=F_N,1,0)</f>
        <v>0</v>
      </c>
      <c r="D88" s="20" t="n">
        <f aca="false">'Plan pay &amp; tax'!C314</f>
        <v>118</v>
      </c>
      <c r="E88" s="20" t="str">
        <f aca="false">IF($C88=1,"Income tax "&amp;TEXT(N('Plan pay &amp; tax'!BK314),"#,##0")&amp;"; USC "&amp;TEXT(N('Plan pay &amp; tax'!BM314)+N('Plan pay &amp; tax'!BO314),"#,##0")&amp;"; PRSI "&amp;TEXT(N('Plan pay &amp; tax'!BP314)+N('Plan pay &amp; tax'!BQ314),"#,##0")&amp;IF(N('Plan holdings'!BO88)&gt;=0.5,"; DIRT "&amp;TEXT(('Plan holdings'!BO88)/$F88,"#,##0")&amp;" (already taken from the interest earned)","")&amp;IF(N('Plan holdings'!BP88)&gt;=0.5,"; exit tax at an 8-year anniversary "&amp;TEXT(('Plan holdings'!BP88)/$F88,"#,##0"),"")&amp;IF(N('Plan holdings'!BN88)&gt;=0.5,"; tax on assets sold (exit tax or capital gains tax) "&amp;TEXT(('Plan holdings'!BN88)/$F88,"#,##0"),"")&amp;IF(N('Plan pay &amp; tax'!X314)-N('Plan pay &amp; tax'!Y314)&gt;=0.5,"; tax on the pension lump sum "&amp;TEXT(('Plan pay &amp; tax'!X314-'Plan pay &amp; tax'!Y314)/$F88,"#,##0"),"")&amp;IF(N('Plan pay &amp; tax'!V314)&gt;=0.5,"; chargeable excess tax on the pension "&amp;TEXT(('Plan pay &amp; tax'!V314)/$F88,"#,##0"),"")&amp;".","")</f>
        <v/>
      </c>
      <c r="F88" s="50" t="n">
        <f aca="false">'Plan pay &amp; tax'!E314</f>
        <v>4.8754391560964</v>
      </c>
      <c r="G88" s="20" t="n">
        <f aca="false">'Plan pay &amp; tax'!G314</f>
        <v>0</v>
      </c>
      <c r="H88" s="20" t="n">
        <f aca="false">'Plan pay &amp; tax'!BT314-'Plan pay &amp; tax'!BS314-'Plan pay &amp; tax'!R314</f>
        <v>139118.12109085</v>
      </c>
      <c r="I88" s="20" t="n">
        <f aca="false">IF(G88=1,F_CostsM*12,IF(RG_Exists=1,RG_Amount,F_CostsM*12*AS_RetireSpend))*F88+F_OneOffY*F88</f>
        <v>233045.991661408</v>
      </c>
      <c r="J88" s="20" t="n">
        <f aca="false">IF(UN88=1,0,HR87)</f>
        <v>0</v>
      </c>
      <c r="K88" s="20" t="n">
        <f aca="false">IF(J88&gt;1,'Plan debt months'!AC88,0)</f>
        <v>0</v>
      </c>
      <c r="L88" s="20" t="n">
        <f aca="false">IF(J88&gt;1,'Plan debt months'!AB88,J88)</f>
        <v>0</v>
      </c>
      <c r="M88" s="20" t="n">
        <f aca="false">O87</f>
        <v>0</v>
      </c>
      <c r="N88" s="20" t="n">
        <f aca="false">IF(M88&gt;1,'Plan debt months'!BD88,0)</f>
        <v>0</v>
      </c>
      <c r="O88" s="20" t="n">
        <f aca="false">IF(M88&gt;1,'Plan debt months'!BC88,M88)</f>
        <v>0</v>
      </c>
      <c r="P88" s="20" t="n">
        <f aca="false">R87</f>
        <v>0</v>
      </c>
      <c r="Q88" s="20" t="n">
        <f aca="false">IF(P88&gt;1,'Plan debt months'!CE88,0)</f>
        <v>0</v>
      </c>
      <c r="R88" s="20" t="n">
        <f aca="false">IF(P88&gt;1,'Plan debt months'!CD88,P88)</f>
        <v>0</v>
      </c>
      <c r="S88" s="20" t="n">
        <f aca="false">K88+N88+Q88</f>
        <v>0</v>
      </c>
      <c r="T88" s="57" t="n">
        <f aca="false">'Plan holdings'!Y88</f>
        <v>0</v>
      </c>
      <c r="U88" s="57" t="n">
        <f aca="false">'Plan holdings'!BM87</f>
        <v>0</v>
      </c>
      <c r="V88" s="20" t="n">
        <f aca="false">IF(AND(Slot1_On=1,D88=Slot1_Age),1,0)</f>
        <v>0</v>
      </c>
      <c r="W88" s="20" t="n">
        <f aca="false">IF(AND(Slot1_On=1,Slot1_Age&gt;D88),1,0)</f>
        <v>0</v>
      </c>
      <c r="X88" s="20" t="n">
        <f aca="false">QM87</f>
        <v>0</v>
      </c>
      <c r="Y88" s="20" t="n">
        <f aca="false">V88*MIN(Slot1_Cost,X88)</f>
        <v>0</v>
      </c>
      <c r="Z88" s="20" t="n">
        <f aca="false">V88*Slot1_SpendLike*MIN(Slot1_Cost-Y88,T88)</f>
        <v>0</v>
      </c>
      <c r="AA88" s="20" t="n">
        <f aca="false">Y88+Z88</f>
        <v>0</v>
      </c>
      <c r="AB88" s="20" t="n">
        <f aca="false">T88-Z88+V88*IF(Slot1_SpendLike=1,X88-Y88,IF(Slot1_PotFree=1,X88,0))</f>
        <v>0</v>
      </c>
      <c r="AC88" s="20" t="n">
        <f aca="false">AF88+V88*Slot1_BufPot*X88</f>
        <v>0</v>
      </c>
      <c r="AD88" s="20" t="n">
        <f aca="false">IF(AND(V88=1,Slot1_IsMfree=1),IF(AA88&gt;=Slot1_Cost-1,0,MAX(0,L88-AA88)),L88)</f>
        <v>0</v>
      </c>
      <c r="AE88" s="20" t="n">
        <f aca="false">V88*(Slot1_Cost-AA88)</f>
        <v>0</v>
      </c>
      <c r="AF88" s="20" t="n">
        <f aca="false">QL87</f>
        <v>0</v>
      </c>
      <c r="AG88" s="20" t="n">
        <f aca="false">IF(AND(Slot2_On=1,D88=Slot2_Age),1,0)</f>
        <v>0</v>
      </c>
      <c r="AH88" s="20" t="n">
        <f aca="false">IF(AND(Slot2_On=1,Slot2_Age&gt;D88),1,0)</f>
        <v>0</v>
      </c>
      <c r="AI88" s="20" t="n">
        <f aca="false">QQ87</f>
        <v>0</v>
      </c>
      <c r="AJ88" s="20" t="n">
        <f aca="false">AG88*MIN(Slot2_Cost,AI88)</f>
        <v>0</v>
      </c>
      <c r="AK88" s="20" t="n">
        <f aca="false">AG88*Slot2_SpendLike*MIN(Slot2_Cost-AJ88,AB88)</f>
        <v>0</v>
      </c>
      <c r="AL88" s="20" t="n">
        <f aca="false">AJ88+AK88</f>
        <v>0</v>
      </c>
      <c r="AM88" s="20" t="n">
        <f aca="false">AB88-AK88+AG88*IF(Slot2_SpendLike=1,AI88-AJ88,IF(Slot2_PotFree=1,AI88,0))</f>
        <v>0</v>
      </c>
      <c r="AN88" s="20" t="n">
        <f aca="false">AC88+AG88*Slot2_BufPot*AI88</f>
        <v>0</v>
      </c>
      <c r="AO88" s="20" t="n">
        <f aca="false">IF(AND(AG88=1,Slot2_IsMfree=1),IF(AL88&gt;=Slot2_Cost-1,0,MAX(0,AD88-AL88)),AD88)</f>
        <v>0</v>
      </c>
      <c r="AP88" s="20" t="n">
        <f aca="false">AG88*(Slot2_Cost-AL88)</f>
        <v>0</v>
      </c>
      <c r="AQ88" s="20" t="n">
        <f aca="false">IF(AND(Slot3_On=1,D88=Slot3_Age),1,0)</f>
        <v>0</v>
      </c>
      <c r="AR88" s="20" t="n">
        <f aca="false">IF(AND(Slot3_On=1,Slot3_Age&gt;D88),1,0)</f>
        <v>0</v>
      </c>
      <c r="AS88" s="20" t="n">
        <f aca="false">QU87</f>
        <v>0</v>
      </c>
      <c r="AT88" s="20" t="n">
        <f aca="false">AQ88*MIN(Slot3_Cost,AS88)</f>
        <v>0</v>
      </c>
      <c r="AU88" s="20" t="n">
        <f aca="false">AQ88*Slot3_SpendLike*MIN(Slot3_Cost-AT88,AM88)</f>
        <v>0</v>
      </c>
      <c r="AV88" s="20" t="n">
        <f aca="false">AT88+AU88</f>
        <v>0</v>
      </c>
      <c r="AW88" s="20" t="n">
        <f aca="false">AM88-AU88+AQ88*IF(Slot3_SpendLike=1,AS88-AT88,IF(Slot3_PotFree=1,AS88,0))</f>
        <v>0</v>
      </c>
      <c r="AX88" s="20" t="n">
        <f aca="false">AN88+AQ88*Slot3_BufPot*AS88</f>
        <v>0</v>
      </c>
      <c r="AY88" s="20" t="n">
        <f aca="false">IF(AND(AQ88=1,Slot3_IsMfree=1),IF(AV88&gt;=Slot3_Cost-1,0,MAX(0,AO88-AV88)),AO88)</f>
        <v>0</v>
      </c>
      <c r="AZ88" s="20" t="n">
        <f aca="false">AQ88*(Slot3_Cost-AV88)</f>
        <v>0</v>
      </c>
      <c r="BA88" s="20" t="n">
        <f aca="false">IF(AND(Slot4_On=1,D88=Slot4_Age),1,0)</f>
        <v>0</v>
      </c>
      <c r="BB88" s="20" t="n">
        <f aca="false">IF(AND(Slot4_On=1,Slot4_Age&gt;D88),1,0)</f>
        <v>0</v>
      </c>
      <c r="BC88" s="20" t="n">
        <f aca="false">QY87</f>
        <v>0</v>
      </c>
      <c r="BD88" s="20" t="n">
        <f aca="false">BA88*MIN(Slot4_Cost,BC88)</f>
        <v>0</v>
      </c>
      <c r="BE88" s="20" t="n">
        <f aca="false">BA88*Slot4_SpendLike*MIN(Slot4_Cost-BD88,AW88)</f>
        <v>0</v>
      </c>
      <c r="BF88" s="20" t="n">
        <f aca="false">BD88+BE88</f>
        <v>0</v>
      </c>
      <c r="BG88" s="20" t="n">
        <f aca="false">AW88-BE88+BA88*IF(Slot4_SpendLike=1,BC88-BD88,IF(Slot4_PotFree=1,BC88,0))</f>
        <v>0</v>
      </c>
      <c r="BH88" s="20" t="n">
        <f aca="false">AX88+BA88*Slot4_BufPot*BC88</f>
        <v>0</v>
      </c>
      <c r="BI88" s="20" t="n">
        <f aca="false">IF(AND(BA88=1,Slot4_IsMfree=1),IF(BF88&gt;=Slot4_Cost-1,0,MAX(0,AY88-BF88)),AY88)</f>
        <v>0</v>
      </c>
      <c r="BJ88" s="20" t="n">
        <f aca="false">BA88*(Slot4_Cost-BF88)</f>
        <v>0</v>
      </c>
      <c r="BK88" s="20" t="n">
        <f aca="false">IF(AND(Slot5_On=1,D88=Slot5_Age),1,0)</f>
        <v>0</v>
      </c>
      <c r="BL88" s="20" t="n">
        <f aca="false">IF(AND(Slot5_On=1,Slot5_Age&gt;D88),1,0)</f>
        <v>0</v>
      </c>
      <c r="BM88" s="20" t="n">
        <f aca="false">RC87</f>
        <v>0</v>
      </c>
      <c r="BN88" s="20" t="n">
        <f aca="false">BK88*MIN(Slot5_Cost,BM88)</f>
        <v>0</v>
      </c>
      <c r="BO88" s="20" t="n">
        <f aca="false">BK88*Slot5_SpendLike*MIN(Slot5_Cost-BN88,BG88)</f>
        <v>0</v>
      </c>
      <c r="BP88" s="20" t="n">
        <f aca="false">BN88+BO88</f>
        <v>0</v>
      </c>
      <c r="BQ88" s="20" t="n">
        <f aca="false">BG88-BO88+BK88*IF(Slot5_SpendLike=1,BM88-BN88,IF(Slot5_PotFree=1,BM88,0))</f>
        <v>0</v>
      </c>
      <c r="BR88" s="20" t="n">
        <f aca="false">BH88+BK88*Slot5_BufPot*BM88</f>
        <v>0</v>
      </c>
      <c r="BS88" s="20" t="n">
        <f aca="false">IF(AND(BK88=1,Slot5_IsMfree=1),IF(BP88&gt;=Slot5_Cost-1,0,MAX(0,BI88-BP88)),BI88)</f>
        <v>0</v>
      </c>
      <c r="BT88" s="20" t="n">
        <f aca="false">BK88*(Slot5_Cost-BP88)</f>
        <v>0</v>
      </c>
      <c r="BU88" s="20" t="n">
        <f aca="false">IF(AND(Slot6_On=1,D88=Slot6_Age),1,0)</f>
        <v>0</v>
      </c>
      <c r="BV88" s="20" t="n">
        <f aca="false">IF(AND(Slot6_On=1,Slot6_Age&gt;D88),1,0)</f>
        <v>0</v>
      </c>
      <c r="BW88" s="20" t="n">
        <f aca="false">RG87</f>
        <v>0</v>
      </c>
      <c r="BX88" s="20" t="n">
        <f aca="false">BU88*MIN(Slot6_Cost,BW88)</f>
        <v>0</v>
      </c>
      <c r="BY88" s="20" t="n">
        <f aca="false">BU88*Slot6_SpendLike*MIN(Slot6_Cost-BX88,BQ88)</f>
        <v>0</v>
      </c>
      <c r="BZ88" s="20" t="n">
        <f aca="false">BX88+BY88</f>
        <v>0</v>
      </c>
      <c r="CA88" s="20" t="n">
        <f aca="false">BQ88-BY88+BU88*IF(Slot6_SpendLike=1,BW88-BX88,IF(Slot6_PotFree=1,BW88,0))</f>
        <v>0</v>
      </c>
      <c r="CB88" s="20" t="n">
        <f aca="false">BR88+BU88*Slot6_BufPot*BW88</f>
        <v>0</v>
      </c>
      <c r="CC88" s="20" t="n">
        <f aca="false">IF(AND(BU88=1,Slot6_IsMfree=1),IF(BZ88&gt;=Slot6_Cost-1,0,MAX(0,BS88-BZ88)),BS88)</f>
        <v>0</v>
      </c>
      <c r="CD88" s="20" t="n">
        <f aca="false">BU88*(Slot6_Cost-BZ88)</f>
        <v>0</v>
      </c>
      <c r="CE88" s="20" t="n">
        <f aca="false">IF(AND(Slot7_On=1,D88=Slot7_Age),1,0)</f>
        <v>0</v>
      </c>
      <c r="CF88" s="20" t="n">
        <f aca="false">IF(AND(Slot7_On=1,Slot7_Age&gt;D88),1,0)</f>
        <v>0</v>
      </c>
      <c r="CG88" s="20" t="n">
        <f aca="false">RK87</f>
        <v>0</v>
      </c>
      <c r="CH88" s="20" t="n">
        <f aca="false">CE88*MIN(Slot7_Cost,CG88)</f>
        <v>0</v>
      </c>
      <c r="CI88" s="20" t="n">
        <f aca="false">CE88*Slot7_SpendLike*MIN(Slot7_Cost-CH88,CA88)</f>
        <v>0</v>
      </c>
      <c r="CJ88" s="20" t="n">
        <f aca="false">CH88+CI88</f>
        <v>0</v>
      </c>
      <c r="CK88" s="20" t="n">
        <f aca="false">CA88-CI88+CE88*IF(Slot7_SpendLike=1,CG88-CH88,IF(Slot7_PotFree=1,CG88,0))</f>
        <v>0</v>
      </c>
      <c r="CL88" s="20" t="n">
        <f aca="false">CB88+CE88*Slot7_BufPot*CG88</f>
        <v>0</v>
      </c>
      <c r="CM88" s="20" t="n">
        <f aca="false">IF(AND(CE88=1,Slot7_IsMfree=1),IF(CJ88&gt;=Slot7_Cost-1,0,MAX(0,CC88-CJ88)),CC88)</f>
        <v>0</v>
      </c>
      <c r="CN88" s="20" t="n">
        <f aca="false">CE88*(Slot7_Cost-CJ88)</f>
        <v>0</v>
      </c>
      <c r="CO88" s="20" t="n">
        <f aca="false">IF(AND(Slot8_On=1,D88=Slot8_Age),1,0)</f>
        <v>0</v>
      </c>
      <c r="CP88" s="20" t="n">
        <f aca="false">IF(AND(Slot8_On=1,Slot8_Age&gt;D88),1,0)</f>
        <v>0</v>
      </c>
      <c r="CQ88" s="20" t="n">
        <f aca="false">RO87</f>
        <v>0</v>
      </c>
      <c r="CR88" s="20" t="n">
        <f aca="false">CO88*MIN(Slot8_Cost,CQ88)</f>
        <v>0</v>
      </c>
      <c r="CS88" s="20" t="n">
        <f aca="false">CO88*Slot8_SpendLike*MIN(Slot8_Cost-CR88,CK88)</f>
        <v>0</v>
      </c>
      <c r="CT88" s="20" t="n">
        <f aca="false">CR88+CS88</f>
        <v>0</v>
      </c>
      <c r="CU88" s="20" t="n">
        <f aca="false">CK88-CS88+CO88*IF(Slot8_SpendLike=1,CQ88-CR88,IF(Slot8_PotFree=1,CQ88,0))</f>
        <v>0</v>
      </c>
      <c r="CV88" s="20" t="n">
        <f aca="false">CL88+CO88*Slot8_BufPot*CQ88</f>
        <v>0</v>
      </c>
      <c r="CW88" s="20" t="n">
        <f aca="false">IF(AND(CO88=1,Slot8_IsMfree=1),IF(CT88&gt;=Slot8_Cost-1,0,MAX(0,CM88-CT88)),CM88)</f>
        <v>0</v>
      </c>
      <c r="CX88" s="20" t="n">
        <f aca="false">CO88*(Slot8_Cost-CT88)</f>
        <v>0</v>
      </c>
      <c r="CY88" s="20" t="n">
        <f aca="false">IF(AND(Slot9_On=1,D88=Slot9_Age),1,0)</f>
        <v>0</v>
      </c>
      <c r="CZ88" s="20" t="n">
        <f aca="false">IF(AND(Slot9_On=1,Slot9_Age&gt;D88),1,0)</f>
        <v>0</v>
      </c>
      <c r="DA88" s="20" t="n">
        <f aca="false">RS87</f>
        <v>0</v>
      </c>
      <c r="DB88" s="20" t="n">
        <f aca="false">CY88*MIN(Slot9_Cost,DA88)</f>
        <v>0</v>
      </c>
      <c r="DC88" s="20" t="n">
        <f aca="false">CY88*Slot9_SpendLike*MIN(Slot9_Cost-DB88,CU88)</f>
        <v>0</v>
      </c>
      <c r="DD88" s="20" t="n">
        <f aca="false">DB88+DC88</f>
        <v>0</v>
      </c>
      <c r="DE88" s="20" t="n">
        <f aca="false">CU88-DC88+CY88*IF(Slot9_SpendLike=1,DA88-DB88,IF(Slot9_PotFree=1,DA88,0))</f>
        <v>0</v>
      </c>
      <c r="DF88" s="20" t="n">
        <f aca="false">CV88+CY88*Slot9_BufPot*DA88</f>
        <v>0</v>
      </c>
      <c r="DG88" s="20" t="n">
        <f aca="false">IF(AND(CY88=1,Slot9_IsMfree=1),IF(DD88&gt;=Slot9_Cost-1,0,MAX(0,CW88-DD88)),CW88)</f>
        <v>0</v>
      </c>
      <c r="DH88" s="20" t="n">
        <f aca="false">CY88*(Slot9_Cost-DD88)</f>
        <v>0</v>
      </c>
      <c r="DI88" s="20" t="n">
        <f aca="false">IF(AND(Slot10_On=1,D88=Slot10_Age),1,0)</f>
        <v>0</v>
      </c>
      <c r="DJ88" s="20" t="n">
        <f aca="false">IF(AND(Slot10_On=1,Slot10_Age&gt;D88),1,0)</f>
        <v>0</v>
      </c>
      <c r="DK88" s="20" t="n">
        <f aca="false">RW87</f>
        <v>0</v>
      </c>
      <c r="DL88" s="20" t="n">
        <f aca="false">DI88*MIN(Slot10_Cost,DK88)</f>
        <v>0</v>
      </c>
      <c r="DM88" s="20" t="n">
        <f aca="false">DI88*Slot10_SpendLike*MIN(Slot10_Cost-DL88,DE88)</f>
        <v>0</v>
      </c>
      <c r="DN88" s="20" t="n">
        <f aca="false">DL88+DM88</f>
        <v>0</v>
      </c>
      <c r="DO88" s="20" t="n">
        <f aca="false">DE88-DM88+DI88*IF(Slot10_SpendLike=1,DK88-DL88,IF(Slot10_PotFree=1,DK88,0))</f>
        <v>0</v>
      </c>
      <c r="DP88" s="20" t="n">
        <f aca="false">DF88+DI88*Slot10_BufPot*DK88</f>
        <v>0</v>
      </c>
      <c r="DQ88" s="20" t="n">
        <f aca="false">IF(AND(DI88=1,Slot10_IsMfree=1),IF(DN88&gt;=Slot10_Cost-1,0,MAX(0,DG88-DN88)),DG88)</f>
        <v>0</v>
      </c>
      <c r="DR88" s="20" t="n">
        <f aca="false">DI88*(Slot10_Cost-DN88)</f>
        <v>0</v>
      </c>
      <c r="DS88" s="20" t="n">
        <f aca="false">IF(AND(Slot11_On=1,D88=Slot11_Age),1,0)</f>
        <v>0</v>
      </c>
      <c r="DT88" s="20" t="n">
        <f aca="false">IF(AND(Slot11_On=1,Slot11_Age&gt;D88),1,0)</f>
        <v>0</v>
      </c>
      <c r="DU88" s="20" t="n">
        <f aca="false">SA87</f>
        <v>0</v>
      </c>
      <c r="DV88" s="20" t="n">
        <f aca="false">DS88*MIN(Slot11_Cost,DU88)</f>
        <v>0</v>
      </c>
      <c r="DW88" s="20" t="n">
        <f aca="false">DS88*Slot11_SpendLike*MIN(Slot11_Cost-DV88,DO88)</f>
        <v>0</v>
      </c>
      <c r="DX88" s="20" t="n">
        <f aca="false">DV88+DW88</f>
        <v>0</v>
      </c>
      <c r="DY88" s="20" t="n">
        <f aca="false">DO88-DW88+DS88*IF(Slot11_SpendLike=1,DU88-DV88,IF(Slot11_PotFree=1,DU88,0))</f>
        <v>0</v>
      </c>
      <c r="DZ88" s="20" t="n">
        <f aca="false">DP88+DS88*Slot11_BufPot*DU88</f>
        <v>0</v>
      </c>
      <c r="EA88" s="20" t="n">
        <f aca="false">IF(AND(DS88=1,Slot11_IsMfree=1),IF(DX88&gt;=Slot11_Cost-1,0,MAX(0,DQ88-DX88)),DQ88)</f>
        <v>0</v>
      </c>
      <c r="EB88" s="20" t="n">
        <f aca="false">DS88*(Slot11_Cost-DX88)</f>
        <v>0</v>
      </c>
      <c r="EC88" s="20" t="n">
        <f aca="false">IF(AND(Slot12_On=1,D88=Slot12_Age),1,0)</f>
        <v>0</v>
      </c>
      <c r="ED88" s="20" t="n">
        <f aca="false">IF(AND(Slot12_On=1,Slot12_Age&gt;D88),1,0)</f>
        <v>0</v>
      </c>
      <c r="EE88" s="20" t="n">
        <f aca="false">SE87</f>
        <v>0</v>
      </c>
      <c r="EF88" s="20" t="n">
        <f aca="false">EC88*MIN(Slot12_Cost,EE88)</f>
        <v>0</v>
      </c>
      <c r="EG88" s="20" t="n">
        <f aca="false">EC88*Slot12_SpendLike*MIN(Slot12_Cost-EF88,DY88)</f>
        <v>0</v>
      </c>
      <c r="EH88" s="20" t="n">
        <f aca="false">EF88+EG88</f>
        <v>0</v>
      </c>
      <c r="EI88" s="20" t="n">
        <f aca="false">DY88-EG88+EC88*IF(Slot12_SpendLike=1,EE88-EF88,IF(Slot12_PotFree=1,EE88,0))</f>
        <v>0</v>
      </c>
      <c r="EJ88" s="20" t="n">
        <f aca="false">DZ88+EC88*Slot12_BufPot*EE88</f>
        <v>0</v>
      </c>
      <c r="EK88" s="20" t="n">
        <f aca="false">IF(AND(EC88=1,Slot12_IsMfree=1),IF(EH88&gt;=Slot12_Cost-1,0,MAX(0,EA88-EH88)),EA88)</f>
        <v>0</v>
      </c>
      <c r="EL88" s="20" t="n">
        <f aca="false">EC88*(Slot12_Cost-EH88)</f>
        <v>0</v>
      </c>
      <c r="EM88" s="20" t="n">
        <f aca="false">IF(AND(Slot13_On=1,D88=Slot13_Age),1,0)</f>
        <v>0</v>
      </c>
      <c r="EN88" s="20" t="n">
        <f aca="false">IF(AND(Slot13_On=1,Slot13_Age&gt;D88),1,0)</f>
        <v>0</v>
      </c>
      <c r="EO88" s="20" t="n">
        <f aca="false">SI87</f>
        <v>0</v>
      </c>
      <c r="EP88" s="20" t="n">
        <f aca="false">EM88*MIN(Slot13_Cost,EO88)</f>
        <v>0</v>
      </c>
      <c r="EQ88" s="20" t="n">
        <f aca="false">EM88*Slot13_SpendLike*MIN(Slot13_Cost-EP88,EI88)</f>
        <v>0</v>
      </c>
      <c r="ER88" s="20" t="n">
        <f aca="false">EP88+EQ88</f>
        <v>0</v>
      </c>
      <c r="ES88" s="20" t="n">
        <f aca="false">EI88-EQ88+EM88*IF(Slot13_SpendLike=1,EO88-EP88,IF(Slot13_PotFree=1,EO88,0))</f>
        <v>0</v>
      </c>
      <c r="ET88" s="20" t="n">
        <f aca="false">EJ88+EM88*Slot13_BufPot*EO88</f>
        <v>0</v>
      </c>
      <c r="EU88" s="20" t="n">
        <f aca="false">IF(AND(EM88=1,Slot13_IsMfree=1),IF(ER88&gt;=Slot13_Cost-1,0,MAX(0,EK88-ER88)),EK88)</f>
        <v>0</v>
      </c>
      <c r="EV88" s="20" t="n">
        <f aca="false">EM88*(Slot13_Cost-ER88)</f>
        <v>0</v>
      </c>
      <c r="EW88" s="20" t="n">
        <f aca="false">IF(AND(Slot14_On=1,D88=Slot14_Age),1,0)</f>
        <v>0</v>
      </c>
      <c r="EX88" s="20" t="n">
        <f aca="false">IF(AND(Slot14_On=1,Slot14_Age&gt;D88),1,0)</f>
        <v>0</v>
      </c>
      <c r="EY88" s="20" t="n">
        <f aca="false">SM87</f>
        <v>0</v>
      </c>
      <c r="EZ88" s="20" t="n">
        <f aca="false">EW88*MIN(Slot14_Cost,EY88)</f>
        <v>0</v>
      </c>
      <c r="FA88" s="20" t="n">
        <f aca="false">EW88*Slot14_SpendLike*MIN(Slot14_Cost-EZ88,ES88)</f>
        <v>0</v>
      </c>
      <c r="FB88" s="20" t="n">
        <f aca="false">EZ88+FA88</f>
        <v>0</v>
      </c>
      <c r="FC88" s="20" t="n">
        <f aca="false">ES88-FA88+EW88*IF(Slot14_SpendLike=1,EY88-EZ88,IF(Slot14_PotFree=1,EY88,0))</f>
        <v>0</v>
      </c>
      <c r="FD88" s="20" t="n">
        <f aca="false">ET88+EW88*Slot14_BufPot*EY88</f>
        <v>0</v>
      </c>
      <c r="FE88" s="20" t="n">
        <f aca="false">IF(AND(EW88=1,Slot14_IsMfree=1),IF(FB88&gt;=Slot14_Cost-1,0,MAX(0,EU88-FB88)),EU88)</f>
        <v>0</v>
      </c>
      <c r="FF88" s="20" t="n">
        <f aca="false">EW88*(Slot14_Cost-FB88)</f>
        <v>0</v>
      </c>
      <c r="FG88" s="20" t="n">
        <f aca="false">IF(AND(Slot15_On=1,D88=Slot15_Age),1,0)</f>
        <v>0</v>
      </c>
      <c r="FH88" s="20" t="n">
        <f aca="false">IF(AND(Slot15_On=1,Slot15_Age&gt;D88),1,0)</f>
        <v>0</v>
      </c>
      <c r="FI88" s="20" t="n">
        <f aca="false">SQ87</f>
        <v>0</v>
      </c>
      <c r="FJ88" s="20" t="n">
        <f aca="false">FG88*MIN(Slot15_Cost,FI88)</f>
        <v>0</v>
      </c>
      <c r="FK88" s="20" t="n">
        <f aca="false">FG88*Slot15_SpendLike*MIN(Slot15_Cost-FJ88,FC88)</f>
        <v>0</v>
      </c>
      <c r="FL88" s="20" t="n">
        <f aca="false">FJ88+FK88</f>
        <v>0</v>
      </c>
      <c r="FM88" s="20" t="n">
        <f aca="false">FC88-FK88+FG88*IF(Slot15_SpendLike=1,FI88-FJ88,IF(Slot15_PotFree=1,FI88,0))</f>
        <v>0</v>
      </c>
      <c r="FN88" s="20" t="n">
        <f aca="false">FD88+FG88*Slot15_BufPot*FI88</f>
        <v>0</v>
      </c>
      <c r="FO88" s="20" t="n">
        <f aca="false">IF(AND(FG88=1,Slot15_IsMfree=1),IF(FL88&gt;=Slot15_Cost-1,0,MAX(0,FE88-FL88)),FE88)</f>
        <v>0</v>
      </c>
      <c r="FP88" s="20" t="n">
        <f aca="false">FG88*(Slot15_Cost-FL88)</f>
        <v>0</v>
      </c>
      <c r="FQ88" s="20" t="n">
        <f aca="false">IF(AND(Slot16_On=1,D88=Slot16_Age),1,0)</f>
        <v>0</v>
      </c>
      <c r="FR88" s="20" t="n">
        <f aca="false">IF(AND(Slot16_On=1,Slot16_Age&gt;D88),1,0)</f>
        <v>0</v>
      </c>
      <c r="FS88" s="20" t="n">
        <f aca="false">SU87</f>
        <v>0</v>
      </c>
      <c r="FT88" s="20" t="n">
        <f aca="false">FQ88*MIN(Slot16_Cost,FS88)</f>
        <v>0</v>
      </c>
      <c r="FU88" s="20" t="n">
        <f aca="false">FQ88*Slot16_SpendLike*MIN(Slot16_Cost-FT88,FM88)</f>
        <v>0</v>
      </c>
      <c r="FV88" s="20" t="n">
        <f aca="false">FT88+FU88</f>
        <v>0</v>
      </c>
      <c r="FW88" s="20" t="n">
        <f aca="false">FM88-FU88+FQ88*IF(Slot16_SpendLike=1,FS88-FT88,IF(Slot16_PotFree=1,FS88,0))</f>
        <v>0</v>
      </c>
      <c r="FX88" s="20" t="n">
        <f aca="false">FN88+FQ88*Slot16_BufPot*FS88</f>
        <v>0</v>
      </c>
      <c r="FY88" s="20" t="n">
        <f aca="false">IF(AND(FQ88=1,Slot16_IsMfree=1),IF(FV88&gt;=Slot16_Cost-1,0,MAX(0,FO88-FV88)),FO88)</f>
        <v>0</v>
      </c>
      <c r="FZ88" s="20" t="n">
        <f aca="false">FQ88*(Slot16_Cost-FV88)</f>
        <v>0</v>
      </c>
      <c r="GA88" s="20" t="n">
        <f aca="false">IF(AND(Slot17_On=1,D88=Slot17_Age),1,0)</f>
        <v>0</v>
      </c>
      <c r="GB88" s="20" t="n">
        <f aca="false">IF(AND(Slot17_On=1,Slot17_Age&gt;D88),1,0)</f>
        <v>0</v>
      </c>
      <c r="GC88" s="20" t="n">
        <f aca="false">SY87</f>
        <v>0</v>
      </c>
      <c r="GD88" s="20" t="n">
        <f aca="false">GA88*MIN(Slot17_Cost,GC88)</f>
        <v>0</v>
      </c>
      <c r="GE88" s="20" t="n">
        <f aca="false">GA88*Slot17_SpendLike*MIN(Slot17_Cost-GD88,FW88)</f>
        <v>0</v>
      </c>
      <c r="GF88" s="20" t="n">
        <f aca="false">GD88+GE88</f>
        <v>0</v>
      </c>
      <c r="GG88" s="20" t="n">
        <f aca="false">FW88-GE88+GA88*IF(Slot17_SpendLike=1,GC88-GD88,IF(Slot17_PotFree=1,GC88,0))</f>
        <v>0</v>
      </c>
      <c r="GH88" s="20" t="n">
        <f aca="false">FX88+GA88*Slot17_BufPot*GC88</f>
        <v>0</v>
      </c>
      <c r="GI88" s="20" t="n">
        <f aca="false">IF(AND(GA88=1,Slot17_IsMfree=1),IF(GF88&gt;=Slot17_Cost-1,0,MAX(0,FY88-GF88)),FY88)</f>
        <v>0</v>
      </c>
      <c r="GJ88" s="20" t="n">
        <f aca="false">GA88*(Slot17_Cost-GF88)</f>
        <v>0</v>
      </c>
      <c r="GK88" s="20" t="n">
        <f aca="false">IF(AND(Slot18_On=1,D88=Slot18_Age),1,0)</f>
        <v>0</v>
      </c>
      <c r="GL88" s="20" t="n">
        <f aca="false">IF(AND(Slot18_On=1,Slot18_Age&gt;D88),1,0)</f>
        <v>0</v>
      </c>
      <c r="GM88" s="20" t="n">
        <f aca="false">TC87</f>
        <v>0</v>
      </c>
      <c r="GN88" s="20" t="n">
        <f aca="false">GK88*MIN(Slot18_Cost,GM88)</f>
        <v>0</v>
      </c>
      <c r="GO88" s="20" t="n">
        <f aca="false">GK88*Slot18_SpendLike*MIN(Slot18_Cost-GN88,GG88)</f>
        <v>0</v>
      </c>
      <c r="GP88" s="20" t="n">
        <f aca="false">GN88+GO88</f>
        <v>0</v>
      </c>
      <c r="GQ88" s="20" t="n">
        <f aca="false">GG88-GO88+GK88*IF(Slot18_SpendLike=1,GM88-GN88,IF(Slot18_PotFree=1,GM88,0))</f>
        <v>0</v>
      </c>
      <c r="GR88" s="20" t="n">
        <f aca="false">GH88+GK88*Slot18_BufPot*GM88</f>
        <v>0</v>
      </c>
      <c r="GS88" s="20" t="n">
        <f aca="false">IF(AND(GK88=1,Slot18_IsMfree=1),IF(GP88&gt;=Slot18_Cost-1,0,MAX(0,GI88-GP88)),GI88)</f>
        <v>0</v>
      </c>
      <c r="GT88" s="20" t="n">
        <f aca="false">GK88*(Slot18_Cost-GP88)</f>
        <v>0</v>
      </c>
      <c r="GU88" s="20" t="n">
        <f aca="false">IF(AND(Slot19_On=1,D88=Slot19_Age),1,0)</f>
        <v>0</v>
      </c>
      <c r="GV88" s="20" t="n">
        <f aca="false">IF(AND(Slot19_On=1,Slot19_Age&gt;D88),1,0)</f>
        <v>0</v>
      </c>
      <c r="GW88" s="20" t="n">
        <f aca="false">TG87</f>
        <v>0</v>
      </c>
      <c r="GX88" s="20" t="n">
        <f aca="false">GU88*MIN(Slot19_Cost,GW88)</f>
        <v>0</v>
      </c>
      <c r="GY88" s="20" t="n">
        <f aca="false">GU88*Slot19_SpendLike*MIN(Slot19_Cost-GX88,GQ88)</f>
        <v>0</v>
      </c>
      <c r="GZ88" s="20" t="n">
        <f aca="false">GX88+GY88</f>
        <v>0</v>
      </c>
      <c r="HA88" s="20" t="n">
        <f aca="false">GQ88-GY88+GU88*IF(Slot19_SpendLike=1,GW88-GX88,IF(Slot19_PotFree=1,GW88,0))</f>
        <v>0</v>
      </c>
      <c r="HB88" s="20" t="n">
        <f aca="false">GR88+GU88*Slot19_BufPot*GW88</f>
        <v>0</v>
      </c>
      <c r="HC88" s="20" t="n">
        <f aca="false">IF(AND(GU88=1,Slot19_IsMfree=1),IF(GZ88&gt;=Slot19_Cost-1,0,MAX(0,GS88-GZ88)),GS88)</f>
        <v>0</v>
      </c>
      <c r="HD88" s="20" t="n">
        <f aca="false">GU88*(Slot19_Cost-GZ88)</f>
        <v>0</v>
      </c>
      <c r="HE88" s="20" t="n">
        <f aca="false">IF(AND(Slot20_On=1,D88=Slot20_Age),1,0)</f>
        <v>0</v>
      </c>
      <c r="HF88" s="20" t="n">
        <f aca="false">IF(AND(Slot20_On=1,Slot20_Age&gt;D88),1,0)</f>
        <v>0</v>
      </c>
      <c r="HG88" s="20" t="n">
        <f aca="false">TK87</f>
        <v>0</v>
      </c>
      <c r="HH88" s="20" t="n">
        <f aca="false">HE88*MIN(Slot20_Cost,HG88)</f>
        <v>0</v>
      </c>
      <c r="HI88" s="20" t="n">
        <f aca="false">HE88*Slot20_SpendLike*MIN(Slot20_Cost-HH88,HA88)</f>
        <v>0</v>
      </c>
      <c r="HJ88" s="20" t="n">
        <f aca="false">HH88+HI88</f>
        <v>0</v>
      </c>
      <c r="HK88" s="20" t="n">
        <f aca="false">HA88-HI88+HE88*IF(Slot20_SpendLike=1,HG88-HH88,IF(Slot20_PotFree=1,HG88,0))</f>
        <v>0</v>
      </c>
      <c r="HL88" s="20" t="n">
        <f aca="false">HB88+HE88*Slot20_BufPot*HG88</f>
        <v>0</v>
      </c>
      <c r="HM88" s="20" t="n">
        <f aca="false">IF(AND(HE88=1,Slot20_IsMfree=1),IF(HJ88&gt;=Slot20_Cost-1,0,MAX(0,HC88-HJ88)),HC88)</f>
        <v>0</v>
      </c>
      <c r="HN88" s="20" t="n">
        <f aca="false">HE88*(Slot20_Cost-HJ88)</f>
        <v>0</v>
      </c>
      <c r="HO88" s="20" t="n">
        <f aca="false">V88*Slot1_SpendLike*AA88+AG88*Slot2_SpendLike*AL88+AQ88*Slot3_SpendLike*AV88+BA88*Slot4_SpendLike*BF88+BK88*Slot5_SpendLike*BP88+BU88*Slot6_SpendLike*BZ88+CE88*Slot7_SpendLike*CJ88+CO88*Slot8_SpendLike*CT88+CY88*Slot9_SpendLike*DD88+DI88*Slot10_SpendLike*DN88+DS88*Slot11_SpendLike*DX88+EC88*Slot12_SpendLike*EH88+EM88*Slot13_SpendLike*ER88+EW88*Slot14_SpendLike*FB88+FG88*Slot15_SpendLike*FL88+FQ88*Slot16_SpendLike*FV88+GA88*Slot17_SpendLike*GF88+GK88*Slot18_SpendLike*GP88+GU88*Slot19_SpendLike*GZ88+HE88*Slot20_SpendLike*HJ88</f>
        <v>0</v>
      </c>
      <c r="HP88" s="20" t="n">
        <f aca="false">AE88+AP88+AZ88+BJ88+BT88+CD88+CN88+CX88+DH88+DR88+EB88+EL88+EV88+FF88+FP88+FZ88+GJ88+GT88+HD88+HN88</f>
        <v>0</v>
      </c>
      <c r="HQ88" s="20" t="n">
        <f aca="false">V88*Slot1_Cost+AG88*Slot2_Cost+AQ88*Slot3_Cost+BA88*Slot4_Cost+BK88*Slot5_Cost+BU88*Slot6_Cost+CE88*Slot7_Cost+CO88*Slot8_Cost+CY88*Slot9_Cost+DI88*Slot10_Cost+DS88*Slot11_Cost+EC88*Slot12_Cost+EM88*Slot13_Cost+EW88*Slot14_Cost+FG88*Slot15_Cost+FQ88*Slot16_Cost+GA88*Slot17_Cost+GK88*Slot18_Cost+GU88*Slot19_Cost+HE88*Slot20_Cost</f>
        <v>0</v>
      </c>
      <c r="HR88" s="20" t="n">
        <f aca="false">HM88</f>
        <v>0</v>
      </c>
      <c r="HS88" s="20" t="n">
        <f aca="false">H88-I88-S88</f>
        <v>-93927.8705705582</v>
      </c>
      <c r="HT88" s="20" t="n">
        <f aca="false">IF(B88=0,IF(AND(Has_q6=1,In_q6=4),PR_ShareVaries*(MAX(0,HS88)/12),MIN(IF(Has_q6=1,CHOOSE(In_q6+1,PR_SaveB1,PR_SaveB2,PR_SaveB3,PR_SaveB4,0),AS_NoAnswer),AS_SaveShare*(MAX(0,HS88)/12))),HT87)</f>
        <v>67.3316893520437</v>
      </c>
      <c r="HU88" s="20" t="n">
        <f aca="false">IF(HS88&gt;=0,1,0)</f>
        <v>0</v>
      </c>
      <c r="HV88" s="20" t="n">
        <f aca="false">MAX(0,HS88/12/F88)</f>
        <v>0</v>
      </c>
      <c r="HW88" s="20" t="n">
        <f aca="false">IF(AND(Has_q6=1,In_q6=4),PR_ShareVaries*(HV88),MIN(IF(Has_q6=1,CHOOSE(In_q6+1,PR_SaveB1,PR_SaveB2,PR_SaveB3,PR_SaveB4,0),AS_NoAnswer),AS_SaveShare*(HV88)))</f>
        <v>0</v>
      </c>
      <c r="HX88" s="20" t="n">
        <f aca="false">IF(Has_saveM=1,IF(In_saveUp="Yes",1,IF(In_saveUp="No",0,IF(In_saveM&gt;=HT88-0.5,1,0))),0)</f>
        <v>0</v>
      </c>
      <c r="HY88" s="20" t="n">
        <f aca="false">IF(Has_saveM=1,MIN(HV88,IF(HX88=1,MAX(In_saveM,HW88),MIN(In_saveM,HW88))),HW88)</f>
        <v>0</v>
      </c>
      <c r="HZ88" s="20" t="n">
        <f aca="false">IF(G88=1,HY88*12*F88,0)</f>
        <v>0</v>
      </c>
      <c r="IA88" s="20" t="n">
        <f aca="false">MAX(0,HZ88+IF(AND(WI_Retire=0,WI_M&lt;0,G88=1),WI_M*12*F88,0))</f>
        <v>0</v>
      </c>
      <c r="IB88" s="20" t="n">
        <f aca="false">Slot1_IsWG*W88+Slot2_IsWG*AH88+Slot3_IsWG*AR88+Slot4_IsWG*BB88+Slot5_IsWG*BL88+Slot6_IsWG*BV88+Slot7_IsWG*CF88+Slot8_IsWG*CP88+Slot9_IsWG*CZ88+Slot10_IsWG*DJ88+Slot11_IsWG*DT88+Slot12_IsWG*ED88+Slot13_IsWG*EN88+Slot14_IsWG*EX88+Slot15_IsWG*FH88+Slot16_IsWG*FR88+Slot17_IsWG*GB88+Slot18_IsWG*GL88+Slot19_IsWG*GV88+Slot20_IsWG*HF88</f>
        <v>0</v>
      </c>
      <c r="IC88" s="20" t="n">
        <f aca="false">IF(AND(WI_Retire=0,WI_M&gt;0,G88=1,IB88&gt;=1),WI_M*12*F88,0)</f>
        <v>0</v>
      </c>
      <c r="ID88" s="20" t="n">
        <f aca="false">IF(HU88=1,MIN(IA88,HS88),0)</f>
        <v>0</v>
      </c>
      <c r="IE88" s="20" t="n">
        <f aca="false">IF(HU88=1,MIN(IC88,HS88-ID88),0)</f>
        <v>0</v>
      </c>
      <c r="IF88" s="20" t="n">
        <f aca="false">IF(W88=1,IF(ABS((1+AS_Wage)/(1+Slot1_Rate)-1)&lt;0.000000000001,(Slot1_Age-D88)*(1+Slot1_Rate)^(Slot1_Age-D88),(1+Slot1_Rate)^(Slot1_Age-D88)*(1-((1+AS_Wage)/(1+Slot1_Rate))^(Slot1_Age-D88))/(1-(1+AS_Wage)/(1+Slot1_Rate))),1)</f>
        <v>1</v>
      </c>
      <c r="IG88" s="20" t="n">
        <f aca="false">IF(AND(HU88=1,IE88&gt;0,Slot1_IsWG=1,W88=1),MAX(0,(Slot1_Cost-X88*(1+Slot1_Rate)^(Slot1_Age-D88))/IF88),0)</f>
        <v>0</v>
      </c>
      <c r="IH88" s="20" t="n">
        <f aca="false">IF(AND(HU88=1,IE88&gt;0,Slot1_IsWG=1,W88=1),MIN(IE88,IG88),0)</f>
        <v>0</v>
      </c>
      <c r="II88" s="20" t="n">
        <f aca="false">X88+IH88</f>
        <v>0</v>
      </c>
      <c r="IJ88" s="20" t="n">
        <f aca="false">IF(W88=1,MAX(0,(Slot1_Cost-II88*(1+Slot1_Rate)^(Slot1_Age-D88))/IF88),0)</f>
        <v>0</v>
      </c>
      <c r="IK88" s="20" t="n">
        <f aca="false">IF(W88=1,MAX(0,(Slot1_Cost-X88*(1+Slot1_Rate)^(Slot1_Age-D88))/IF88),0)</f>
        <v>0</v>
      </c>
      <c r="IL88" s="20" t="n">
        <f aca="false">IF(AND(HU88=1,W88=1),MIN(ID88,IJ88),0)</f>
        <v>0</v>
      </c>
      <c r="IM88" s="20" t="n">
        <f aca="false">ID88-IL88</f>
        <v>0</v>
      </c>
      <c r="IN88" s="20" t="n">
        <f aca="false">IF(AH88=1,IF(ABS((1+AS_Wage)/(1+Slot2_Rate)-1)&lt;0.000000000001,(Slot2_Age-D88)*(1+Slot2_Rate)^(Slot2_Age-D88),(1+Slot2_Rate)^(Slot2_Age-D88)*(1-((1+AS_Wage)/(1+Slot2_Rate))^(Slot2_Age-D88))/(1-(1+AS_Wage)/(1+Slot2_Rate))),1)</f>
        <v>1</v>
      </c>
      <c r="IO88" s="20" t="n">
        <f aca="false">IF(AND(HU88=1,IE88&gt;0,Slot2_IsWG=1,AH88=1),MAX(0,(Slot2_Cost-AI88*(1+Slot2_Rate)^(Slot2_Age-D88))/IN88),0)</f>
        <v>0</v>
      </c>
      <c r="IP88" s="20" t="n">
        <f aca="false">IF(AND(HU88=1,IE88&gt;0,Slot2_IsWG=1,AH88=1),MIN(IE88,IO88),0)</f>
        <v>0</v>
      </c>
      <c r="IQ88" s="20" t="n">
        <f aca="false">AI88+IP88</f>
        <v>0</v>
      </c>
      <c r="IR88" s="20" t="n">
        <f aca="false">IF(AH88=1,MAX(0,(Slot2_Cost-IQ88*(1+Slot2_Rate)^(Slot2_Age-D88))/IN88),0)</f>
        <v>0</v>
      </c>
      <c r="IS88" s="20" t="n">
        <f aca="false">IF(AH88=1,MAX(0,(Slot2_Cost-AI88*(1+Slot2_Rate)^(Slot2_Age-D88))/IN88),0)</f>
        <v>0</v>
      </c>
      <c r="IT88" s="20" t="n">
        <f aca="false">IF(AND(HU88=1,AH88=1),MIN(IM88,IR88),0)</f>
        <v>0</v>
      </c>
      <c r="IU88" s="20" t="n">
        <f aca="false">IM88-IT88</f>
        <v>0</v>
      </c>
      <c r="IV88" s="20" t="n">
        <f aca="false">IF(AR88=1,IF(ABS((1+AS_Wage)/(1+Slot3_Rate)-1)&lt;0.000000000001,(Slot3_Age-D88)*(1+Slot3_Rate)^(Slot3_Age-D88),(1+Slot3_Rate)^(Slot3_Age-D88)*(1-((1+AS_Wage)/(1+Slot3_Rate))^(Slot3_Age-D88))/(1-(1+AS_Wage)/(1+Slot3_Rate))),1)</f>
        <v>1</v>
      </c>
      <c r="IW88" s="20" t="n">
        <f aca="false">IF(AND(HU88=1,IE88&gt;0,Slot3_IsWG=1,AR88=1),MAX(0,(Slot3_Cost-AS88*(1+Slot3_Rate)^(Slot3_Age-D88))/IV88),0)</f>
        <v>0</v>
      </c>
      <c r="IX88" s="20" t="n">
        <f aca="false">IF(AND(HU88=1,IE88&gt;0,Slot3_IsWG=1,AR88=1),MIN(IE88,IW88),0)</f>
        <v>0</v>
      </c>
      <c r="IY88" s="20" t="n">
        <f aca="false">AS88+IX88</f>
        <v>0</v>
      </c>
      <c r="IZ88" s="20" t="n">
        <f aca="false">IF(AR88=1,MAX(0,(Slot3_Cost-IY88*(1+Slot3_Rate)^(Slot3_Age-D88))/IV88),0)</f>
        <v>0</v>
      </c>
      <c r="JA88" s="20" t="n">
        <f aca="false">IF(AR88=1,MAX(0,(Slot3_Cost-AS88*(1+Slot3_Rate)^(Slot3_Age-D88))/IV88),0)</f>
        <v>0</v>
      </c>
      <c r="JB88" s="20" t="n">
        <f aca="false">IF(AND(HU88=1,AR88=1),MIN(IU88,IZ88),0)</f>
        <v>0</v>
      </c>
      <c r="JC88" s="20" t="n">
        <f aca="false">IU88-JB88</f>
        <v>0</v>
      </c>
      <c r="JD88" s="20" t="n">
        <f aca="false">IF(BB88=1,IF(ABS((1+AS_Wage)/(1+Slot4_Rate)-1)&lt;0.000000000001,(Slot4_Age-D88)*(1+Slot4_Rate)^(Slot4_Age-D88),(1+Slot4_Rate)^(Slot4_Age-D88)*(1-((1+AS_Wage)/(1+Slot4_Rate))^(Slot4_Age-D88))/(1-(1+AS_Wage)/(1+Slot4_Rate))),1)</f>
        <v>1</v>
      </c>
      <c r="JE88" s="20" t="n">
        <f aca="false">IF(AND(HU88=1,IE88&gt;0,Slot4_IsWG=1,BB88=1),MAX(0,(Slot4_Cost-BC88*(1+Slot4_Rate)^(Slot4_Age-D88))/JD88),0)</f>
        <v>0</v>
      </c>
      <c r="JF88" s="20" t="n">
        <f aca="false">IF(AND(HU88=1,IE88&gt;0,Slot4_IsWG=1,BB88=1),MIN(IE88,JE88),0)</f>
        <v>0</v>
      </c>
      <c r="JG88" s="20" t="n">
        <f aca="false">BC88+JF88</f>
        <v>0</v>
      </c>
      <c r="JH88" s="20" t="n">
        <f aca="false">IF(BB88=1,MAX(0,(Slot4_Cost-JG88*(1+Slot4_Rate)^(Slot4_Age-D88))/JD88),0)</f>
        <v>0</v>
      </c>
      <c r="JI88" s="20" t="n">
        <f aca="false">IF(BB88=1,MAX(0,(Slot4_Cost-BC88*(1+Slot4_Rate)^(Slot4_Age-D88))/JD88),0)</f>
        <v>0</v>
      </c>
      <c r="JJ88" s="20" t="n">
        <f aca="false">IF(AND(HU88=1,BB88=1),MIN(JC88,JH88),0)</f>
        <v>0</v>
      </c>
      <c r="JK88" s="20" t="n">
        <f aca="false">JC88-JJ88</f>
        <v>0</v>
      </c>
      <c r="JL88" s="20" t="n">
        <f aca="false">IF(BL88=1,IF(ABS((1+AS_Wage)/(1+Slot5_Rate)-1)&lt;0.000000000001,(Slot5_Age-D88)*(1+Slot5_Rate)^(Slot5_Age-D88),(1+Slot5_Rate)^(Slot5_Age-D88)*(1-((1+AS_Wage)/(1+Slot5_Rate))^(Slot5_Age-D88))/(1-(1+AS_Wage)/(1+Slot5_Rate))),1)</f>
        <v>1</v>
      </c>
      <c r="JM88" s="20" t="n">
        <f aca="false">IF(AND(HU88=1,IE88&gt;0,Slot5_IsWG=1,BL88=1),MAX(0,(Slot5_Cost-BM88*(1+Slot5_Rate)^(Slot5_Age-D88))/JL88),0)</f>
        <v>0</v>
      </c>
      <c r="JN88" s="20" t="n">
        <f aca="false">IF(AND(HU88=1,IE88&gt;0,Slot5_IsWG=1,BL88=1),MIN(IE88,JM88),0)</f>
        <v>0</v>
      </c>
      <c r="JO88" s="20" t="n">
        <f aca="false">BM88+JN88</f>
        <v>0</v>
      </c>
      <c r="JP88" s="20" t="n">
        <f aca="false">IF(BL88=1,MAX(0,(Slot5_Cost-JO88*(1+Slot5_Rate)^(Slot5_Age-D88))/JL88),0)</f>
        <v>0</v>
      </c>
      <c r="JQ88" s="20" t="n">
        <f aca="false">IF(BL88=1,MAX(0,(Slot5_Cost-BM88*(1+Slot5_Rate)^(Slot5_Age-D88))/JL88),0)</f>
        <v>0</v>
      </c>
      <c r="JR88" s="20" t="n">
        <f aca="false">IF(AND(HU88=1,BL88=1),MIN(JK88,JP88),0)</f>
        <v>0</v>
      </c>
      <c r="JS88" s="20" t="n">
        <f aca="false">JK88-JR88</f>
        <v>0</v>
      </c>
      <c r="JT88" s="20" t="n">
        <f aca="false">IF(BV88=1,IF(ABS((1+AS_Wage)/(1+Slot6_Rate)-1)&lt;0.000000000001,(Slot6_Age-D88)*(1+Slot6_Rate)^(Slot6_Age-D88),(1+Slot6_Rate)^(Slot6_Age-D88)*(1-((1+AS_Wage)/(1+Slot6_Rate))^(Slot6_Age-D88))/(1-(1+AS_Wage)/(1+Slot6_Rate))),1)</f>
        <v>1</v>
      </c>
      <c r="JU88" s="20" t="n">
        <f aca="false">IF(AND(HU88=1,IE88&gt;0,Slot6_IsWG=1,BV88=1),MAX(0,(Slot6_Cost-BW88*(1+Slot6_Rate)^(Slot6_Age-D88))/JT88),0)</f>
        <v>0</v>
      </c>
      <c r="JV88" s="20" t="n">
        <f aca="false">IF(AND(HU88=1,IE88&gt;0,Slot6_IsWG=1,BV88=1),MIN(IE88,JU88),0)</f>
        <v>0</v>
      </c>
      <c r="JW88" s="20" t="n">
        <f aca="false">BW88+JV88</f>
        <v>0</v>
      </c>
      <c r="JX88" s="20" t="n">
        <f aca="false">IF(BV88=1,MAX(0,(Slot6_Cost-JW88*(1+Slot6_Rate)^(Slot6_Age-D88))/JT88),0)</f>
        <v>0</v>
      </c>
      <c r="JY88" s="20" t="n">
        <f aca="false">IF(BV88=1,MAX(0,(Slot6_Cost-BW88*(1+Slot6_Rate)^(Slot6_Age-D88))/JT88),0)</f>
        <v>0</v>
      </c>
      <c r="JZ88" s="20" t="n">
        <f aca="false">IF(AND(HU88=1,BV88=1),MIN(JS88,JX88),0)</f>
        <v>0</v>
      </c>
      <c r="KA88" s="20" t="n">
        <f aca="false">JS88-JZ88</f>
        <v>0</v>
      </c>
      <c r="KB88" s="20" t="n">
        <f aca="false">IF(CF88=1,IF(ABS((1+AS_Wage)/(1+Slot7_Rate)-1)&lt;0.000000000001,(Slot7_Age-D88)*(1+Slot7_Rate)^(Slot7_Age-D88),(1+Slot7_Rate)^(Slot7_Age-D88)*(1-((1+AS_Wage)/(1+Slot7_Rate))^(Slot7_Age-D88))/(1-(1+AS_Wage)/(1+Slot7_Rate))),1)</f>
        <v>1</v>
      </c>
      <c r="KC88" s="20" t="n">
        <f aca="false">IF(AND(HU88=1,IE88&gt;0,Slot7_IsWG=1,CF88=1),MAX(0,(Slot7_Cost-CG88*(1+Slot7_Rate)^(Slot7_Age-D88))/KB88),0)</f>
        <v>0</v>
      </c>
      <c r="KD88" s="20" t="n">
        <f aca="false">IF(AND(HU88=1,IE88&gt;0,Slot7_IsWG=1,CF88=1),MIN(IE88,KC88),0)</f>
        <v>0</v>
      </c>
      <c r="KE88" s="20" t="n">
        <f aca="false">CG88+KD88</f>
        <v>0</v>
      </c>
      <c r="KF88" s="20" t="n">
        <f aca="false">IF(CF88=1,MAX(0,(Slot7_Cost-KE88*(1+Slot7_Rate)^(Slot7_Age-D88))/KB88),0)</f>
        <v>0</v>
      </c>
      <c r="KG88" s="20" t="n">
        <f aca="false">IF(CF88=1,MAX(0,(Slot7_Cost-CG88*(1+Slot7_Rate)^(Slot7_Age-D88))/KB88),0)</f>
        <v>0</v>
      </c>
      <c r="KH88" s="20" t="n">
        <f aca="false">IF(AND(HU88=1,CF88=1),MIN(KA88,KF88),0)</f>
        <v>0</v>
      </c>
      <c r="KI88" s="20" t="n">
        <f aca="false">KA88-KH88</f>
        <v>0</v>
      </c>
      <c r="KJ88" s="20" t="n">
        <f aca="false">IF(CP88=1,IF(ABS((1+AS_Wage)/(1+Slot8_Rate)-1)&lt;0.000000000001,(Slot8_Age-D88)*(1+Slot8_Rate)^(Slot8_Age-D88),(1+Slot8_Rate)^(Slot8_Age-D88)*(1-((1+AS_Wage)/(1+Slot8_Rate))^(Slot8_Age-D88))/(1-(1+AS_Wage)/(1+Slot8_Rate))),1)</f>
        <v>1</v>
      </c>
      <c r="KK88" s="20" t="n">
        <f aca="false">IF(AND(HU88=1,IE88&gt;0,Slot8_IsWG=1,CP88=1),MAX(0,(Slot8_Cost-CQ88*(1+Slot8_Rate)^(Slot8_Age-D88))/KJ88),0)</f>
        <v>0</v>
      </c>
      <c r="KL88" s="20" t="n">
        <f aca="false">IF(AND(HU88=1,IE88&gt;0,Slot8_IsWG=1,CP88=1),MIN(IE88,KK88),0)</f>
        <v>0</v>
      </c>
      <c r="KM88" s="20" t="n">
        <f aca="false">CQ88+KL88</f>
        <v>0</v>
      </c>
      <c r="KN88" s="20" t="n">
        <f aca="false">IF(CP88=1,MAX(0,(Slot8_Cost-KM88*(1+Slot8_Rate)^(Slot8_Age-D88))/KJ88),0)</f>
        <v>0</v>
      </c>
      <c r="KO88" s="20" t="n">
        <f aca="false">IF(CP88=1,MAX(0,(Slot8_Cost-CQ88*(1+Slot8_Rate)^(Slot8_Age-D88))/KJ88),0)</f>
        <v>0</v>
      </c>
      <c r="KP88" s="20" t="n">
        <f aca="false">IF(AND(HU88=1,CP88=1),MIN(KI88,KN88),0)</f>
        <v>0</v>
      </c>
      <c r="KQ88" s="20" t="n">
        <f aca="false">KI88-KP88</f>
        <v>0</v>
      </c>
      <c r="KR88" s="20" t="n">
        <f aca="false">IF(CZ88=1,IF(ABS((1+AS_Wage)/(1+Slot9_Rate)-1)&lt;0.000000000001,(Slot9_Age-D88)*(1+Slot9_Rate)^(Slot9_Age-D88),(1+Slot9_Rate)^(Slot9_Age-D88)*(1-((1+AS_Wage)/(1+Slot9_Rate))^(Slot9_Age-D88))/(1-(1+AS_Wage)/(1+Slot9_Rate))),1)</f>
        <v>1</v>
      </c>
      <c r="KS88" s="20" t="n">
        <f aca="false">IF(AND(HU88=1,IE88&gt;0,Slot9_IsWG=1,CZ88=1),MAX(0,(Slot9_Cost-DA88*(1+Slot9_Rate)^(Slot9_Age-D88))/KR88),0)</f>
        <v>0</v>
      </c>
      <c r="KT88" s="20" t="n">
        <f aca="false">IF(AND(HU88=1,IE88&gt;0,Slot9_IsWG=1,CZ88=1),MIN(IE88,KS88),0)</f>
        <v>0</v>
      </c>
      <c r="KU88" s="20" t="n">
        <f aca="false">DA88+KT88</f>
        <v>0</v>
      </c>
      <c r="KV88" s="20" t="n">
        <f aca="false">IF(CZ88=1,MAX(0,(Slot9_Cost-KU88*(1+Slot9_Rate)^(Slot9_Age-D88))/KR88),0)</f>
        <v>0</v>
      </c>
      <c r="KW88" s="20" t="n">
        <f aca="false">IF(CZ88=1,MAX(0,(Slot9_Cost-DA88*(1+Slot9_Rate)^(Slot9_Age-D88))/KR88),0)</f>
        <v>0</v>
      </c>
      <c r="KX88" s="20" t="n">
        <f aca="false">IF(AND(HU88=1,CZ88=1),MIN(KQ88,KV88),0)</f>
        <v>0</v>
      </c>
      <c r="KY88" s="20" t="n">
        <f aca="false">KQ88-KX88</f>
        <v>0</v>
      </c>
      <c r="KZ88" s="20" t="n">
        <f aca="false">IF(DJ88=1,IF(ABS((1+AS_Wage)/(1+Slot10_Rate)-1)&lt;0.000000000001,(Slot10_Age-D88)*(1+Slot10_Rate)^(Slot10_Age-D88),(1+Slot10_Rate)^(Slot10_Age-D88)*(1-((1+AS_Wage)/(1+Slot10_Rate))^(Slot10_Age-D88))/(1-(1+AS_Wage)/(1+Slot10_Rate))),1)</f>
        <v>1</v>
      </c>
      <c r="LA88" s="20" t="n">
        <f aca="false">IF(AND(HU88=1,IE88&gt;0,Slot10_IsWG=1,DJ88=1),MAX(0,(Slot10_Cost-DK88*(1+Slot10_Rate)^(Slot10_Age-D88))/KZ88),0)</f>
        <v>0</v>
      </c>
      <c r="LB88" s="20" t="n">
        <f aca="false">IF(AND(HU88=1,IE88&gt;0,Slot10_IsWG=1,DJ88=1),MIN(IE88,LA88),0)</f>
        <v>0</v>
      </c>
      <c r="LC88" s="20" t="n">
        <f aca="false">DK88+LB88</f>
        <v>0</v>
      </c>
      <c r="LD88" s="20" t="n">
        <f aca="false">IF(DJ88=1,MAX(0,(Slot10_Cost-LC88*(1+Slot10_Rate)^(Slot10_Age-D88))/KZ88),0)</f>
        <v>0</v>
      </c>
      <c r="LE88" s="20" t="n">
        <f aca="false">IF(DJ88=1,MAX(0,(Slot10_Cost-DK88*(1+Slot10_Rate)^(Slot10_Age-D88))/KZ88),0)</f>
        <v>0</v>
      </c>
      <c r="LF88" s="20" t="n">
        <f aca="false">IF(AND(HU88=1,DJ88=1),MIN(KY88,LD88),0)</f>
        <v>0</v>
      </c>
      <c r="LG88" s="20" t="n">
        <f aca="false">KY88-LF88</f>
        <v>0</v>
      </c>
      <c r="LH88" s="20" t="n">
        <f aca="false">IF(DT88=1,IF(ABS((1+AS_Wage)/(1+Slot11_Rate)-1)&lt;0.000000000001,(Slot11_Age-D88)*(1+Slot11_Rate)^(Slot11_Age-D88),(1+Slot11_Rate)^(Slot11_Age-D88)*(1-((1+AS_Wage)/(1+Slot11_Rate))^(Slot11_Age-D88))/(1-(1+AS_Wage)/(1+Slot11_Rate))),1)</f>
        <v>1</v>
      </c>
      <c r="LI88" s="20" t="n">
        <f aca="false">IF(AND(HU88=1,IE88&gt;0,Slot11_IsWG=1,DT88=1),MAX(0,(Slot11_Cost-DU88*(1+Slot11_Rate)^(Slot11_Age-D88))/LH88),0)</f>
        <v>0</v>
      </c>
      <c r="LJ88" s="20" t="n">
        <f aca="false">IF(AND(HU88=1,IE88&gt;0,Slot11_IsWG=1,DT88=1),MIN(IE88,LI88),0)</f>
        <v>0</v>
      </c>
      <c r="LK88" s="20" t="n">
        <f aca="false">DU88+LJ88</f>
        <v>0</v>
      </c>
      <c r="LL88" s="20" t="n">
        <f aca="false">IF(DT88=1,MAX(0,(Slot11_Cost-LK88*(1+Slot11_Rate)^(Slot11_Age-D88))/LH88),0)</f>
        <v>0</v>
      </c>
      <c r="LM88" s="20" t="n">
        <f aca="false">IF(DT88=1,MAX(0,(Slot11_Cost-DU88*(1+Slot11_Rate)^(Slot11_Age-D88))/LH88),0)</f>
        <v>0</v>
      </c>
      <c r="LN88" s="20" t="n">
        <f aca="false">IF(AND(HU88=1,DT88=1),MIN(LG88,LL88),0)</f>
        <v>0</v>
      </c>
      <c r="LO88" s="20" t="n">
        <f aca="false">LG88-LN88</f>
        <v>0</v>
      </c>
      <c r="LP88" s="20" t="n">
        <f aca="false">IF(ED88=1,IF(ABS((1+AS_Wage)/(1+Slot12_Rate)-1)&lt;0.000000000001,(Slot12_Age-D88)*(1+Slot12_Rate)^(Slot12_Age-D88),(1+Slot12_Rate)^(Slot12_Age-D88)*(1-((1+AS_Wage)/(1+Slot12_Rate))^(Slot12_Age-D88))/(1-(1+AS_Wage)/(1+Slot12_Rate))),1)</f>
        <v>1</v>
      </c>
      <c r="LQ88" s="20" t="n">
        <f aca="false">IF(AND(HU88=1,IE88&gt;0,Slot12_IsWG=1,ED88=1),MAX(0,(Slot12_Cost-EE88*(1+Slot12_Rate)^(Slot12_Age-D88))/LP88),0)</f>
        <v>0</v>
      </c>
      <c r="LR88" s="20" t="n">
        <f aca="false">IF(AND(HU88=1,IE88&gt;0,Slot12_IsWG=1,ED88=1),MIN(IE88,LQ88),0)</f>
        <v>0</v>
      </c>
      <c r="LS88" s="20" t="n">
        <f aca="false">EE88+LR88</f>
        <v>0</v>
      </c>
      <c r="LT88" s="20" t="n">
        <f aca="false">IF(ED88=1,MAX(0,(Slot12_Cost-LS88*(1+Slot12_Rate)^(Slot12_Age-D88))/LP88),0)</f>
        <v>0</v>
      </c>
      <c r="LU88" s="20" t="n">
        <f aca="false">IF(ED88=1,MAX(0,(Slot12_Cost-EE88*(1+Slot12_Rate)^(Slot12_Age-D88))/LP88),0)</f>
        <v>0</v>
      </c>
      <c r="LV88" s="20" t="n">
        <f aca="false">IF(AND(HU88=1,ED88=1),MIN(LO88,LT88),0)</f>
        <v>0</v>
      </c>
      <c r="LW88" s="20" t="n">
        <f aca="false">LO88-LV88</f>
        <v>0</v>
      </c>
      <c r="LX88" s="20" t="n">
        <f aca="false">IF(EN88=1,IF(ABS((1+AS_Wage)/(1+Slot13_Rate)-1)&lt;0.000000000001,(Slot13_Age-D88)*(1+Slot13_Rate)^(Slot13_Age-D88),(1+Slot13_Rate)^(Slot13_Age-D88)*(1-((1+AS_Wage)/(1+Slot13_Rate))^(Slot13_Age-D88))/(1-(1+AS_Wage)/(1+Slot13_Rate))),1)</f>
        <v>1</v>
      </c>
      <c r="LY88" s="20" t="n">
        <f aca="false">IF(AND(HU88=1,IE88&gt;0,Slot13_IsWG=1,EN88=1),MAX(0,(Slot13_Cost-EO88*(1+Slot13_Rate)^(Slot13_Age-D88))/LX88),0)</f>
        <v>0</v>
      </c>
      <c r="LZ88" s="20" t="n">
        <f aca="false">IF(AND(HU88=1,IE88&gt;0,Slot13_IsWG=1,EN88=1),MIN(IE88,LY88),0)</f>
        <v>0</v>
      </c>
      <c r="MA88" s="20" t="n">
        <f aca="false">EO88+LZ88</f>
        <v>0</v>
      </c>
      <c r="MB88" s="20" t="n">
        <f aca="false">IF(EN88=1,MAX(0,(Slot13_Cost-MA88*(1+Slot13_Rate)^(Slot13_Age-D88))/LX88),0)</f>
        <v>0</v>
      </c>
      <c r="MC88" s="20" t="n">
        <f aca="false">IF(EN88=1,MAX(0,(Slot13_Cost-EO88*(1+Slot13_Rate)^(Slot13_Age-D88))/LX88),0)</f>
        <v>0</v>
      </c>
      <c r="MD88" s="20" t="n">
        <f aca="false">IF(AND(HU88=1,EN88=1),MIN(LW88,MB88),0)</f>
        <v>0</v>
      </c>
      <c r="ME88" s="20" t="n">
        <f aca="false">LW88-MD88</f>
        <v>0</v>
      </c>
      <c r="MF88" s="20" t="n">
        <f aca="false">IF(EX88=1,IF(ABS((1+AS_Wage)/(1+Slot14_Rate)-1)&lt;0.000000000001,(Slot14_Age-D88)*(1+Slot14_Rate)^(Slot14_Age-D88),(1+Slot14_Rate)^(Slot14_Age-D88)*(1-((1+AS_Wage)/(1+Slot14_Rate))^(Slot14_Age-D88))/(1-(1+AS_Wage)/(1+Slot14_Rate))),1)</f>
        <v>1</v>
      </c>
      <c r="MG88" s="20" t="n">
        <f aca="false">IF(AND(HU88=1,IE88&gt;0,Slot14_IsWG=1,EX88=1),MAX(0,(Slot14_Cost-EY88*(1+Slot14_Rate)^(Slot14_Age-D88))/MF88),0)</f>
        <v>0</v>
      </c>
      <c r="MH88" s="20" t="n">
        <f aca="false">IF(AND(HU88=1,IE88&gt;0,Slot14_IsWG=1,EX88=1),MIN(IE88,MG88),0)</f>
        <v>0</v>
      </c>
      <c r="MI88" s="20" t="n">
        <f aca="false">EY88+MH88</f>
        <v>0</v>
      </c>
      <c r="MJ88" s="20" t="n">
        <f aca="false">IF(EX88=1,MAX(0,(Slot14_Cost-MI88*(1+Slot14_Rate)^(Slot14_Age-D88))/MF88),0)</f>
        <v>0</v>
      </c>
      <c r="MK88" s="20" t="n">
        <f aca="false">IF(EX88=1,MAX(0,(Slot14_Cost-EY88*(1+Slot14_Rate)^(Slot14_Age-D88))/MF88),0)</f>
        <v>0</v>
      </c>
      <c r="ML88" s="20" t="n">
        <f aca="false">IF(AND(HU88=1,EX88=1),MIN(ME88,MJ88),0)</f>
        <v>0</v>
      </c>
      <c r="MM88" s="20" t="n">
        <f aca="false">ME88-ML88</f>
        <v>0</v>
      </c>
      <c r="MN88" s="20" t="n">
        <f aca="false">IF(FH88=1,IF(ABS((1+AS_Wage)/(1+Slot15_Rate)-1)&lt;0.000000000001,(Slot15_Age-D88)*(1+Slot15_Rate)^(Slot15_Age-D88),(1+Slot15_Rate)^(Slot15_Age-D88)*(1-((1+AS_Wage)/(1+Slot15_Rate))^(Slot15_Age-D88))/(1-(1+AS_Wage)/(1+Slot15_Rate))),1)</f>
        <v>1</v>
      </c>
      <c r="MO88" s="20" t="n">
        <f aca="false">IF(AND(HU88=1,IE88&gt;0,Slot15_IsWG=1,FH88=1),MAX(0,(Slot15_Cost-FI88*(1+Slot15_Rate)^(Slot15_Age-D88))/MN88),0)</f>
        <v>0</v>
      </c>
      <c r="MP88" s="20" t="n">
        <f aca="false">IF(AND(HU88=1,IE88&gt;0,Slot15_IsWG=1,FH88=1),MIN(IE88,MO88),0)</f>
        <v>0</v>
      </c>
      <c r="MQ88" s="20" t="n">
        <f aca="false">FI88+MP88</f>
        <v>0</v>
      </c>
      <c r="MR88" s="20" t="n">
        <f aca="false">IF(FH88=1,MAX(0,(Slot15_Cost-MQ88*(1+Slot15_Rate)^(Slot15_Age-D88))/MN88),0)</f>
        <v>0</v>
      </c>
      <c r="MS88" s="20" t="n">
        <f aca="false">IF(FH88=1,MAX(0,(Slot15_Cost-FI88*(1+Slot15_Rate)^(Slot15_Age-D88))/MN88),0)</f>
        <v>0</v>
      </c>
      <c r="MT88" s="20" t="n">
        <f aca="false">IF(AND(HU88=1,FH88=1),MIN(MM88,MR88),0)</f>
        <v>0</v>
      </c>
      <c r="MU88" s="20" t="n">
        <f aca="false">MM88-MT88</f>
        <v>0</v>
      </c>
      <c r="MV88" s="20" t="n">
        <f aca="false">IF(FR88=1,IF(ABS((1+AS_Wage)/(1+Slot16_Rate)-1)&lt;0.000000000001,(Slot16_Age-D88)*(1+Slot16_Rate)^(Slot16_Age-D88),(1+Slot16_Rate)^(Slot16_Age-D88)*(1-((1+AS_Wage)/(1+Slot16_Rate))^(Slot16_Age-D88))/(1-(1+AS_Wage)/(1+Slot16_Rate))),1)</f>
        <v>1</v>
      </c>
      <c r="MW88" s="20" t="n">
        <f aca="false">IF(AND(HU88=1,IE88&gt;0,Slot16_IsWG=1,FR88=1),MAX(0,(Slot16_Cost-FS88*(1+Slot16_Rate)^(Slot16_Age-D88))/MV88),0)</f>
        <v>0</v>
      </c>
      <c r="MX88" s="20" t="n">
        <f aca="false">IF(AND(HU88=1,IE88&gt;0,Slot16_IsWG=1,FR88=1),MIN(IE88,MW88),0)</f>
        <v>0</v>
      </c>
      <c r="MY88" s="20" t="n">
        <f aca="false">FS88+MX88</f>
        <v>0</v>
      </c>
      <c r="MZ88" s="20" t="n">
        <f aca="false">IF(FR88=1,MAX(0,(Slot16_Cost-MY88*(1+Slot16_Rate)^(Slot16_Age-D88))/MV88),0)</f>
        <v>0</v>
      </c>
      <c r="NA88" s="20" t="n">
        <f aca="false">IF(FR88=1,MAX(0,(Slot16_Cost-FS88*(1+Slot16_Rate)^(Slot16_Age-D88))/MV88),0)</f>
        <v>0</v>
      </c>
      <c r="NB88" s="20" t="n">
        <f aca="false">IF(AND(HU88=1,FR88=1),MIN(MU88,MZ88),0)</f>
        <v>0</v>
      </c>
      <c r="NC88" s="20" t="n">
        <f aca="false">MU88-NB88</f>
        <v>0</v>
      </c>
      <c r="ND88" s="20" t="n">
        <f aca="false">IF(GB88=1,IF(ABS((1+AS_Wage)/(1+Slot17_Rate)-1)&lt;0.000000000001,(Slot17_Age-D88)*(1+Slot17_Rate)^(Slot17_Age-D88),(1+Slot17_Rate)^(Slot17_Age-D88)*(1-((1+AS_Wage)/(1+Slot17_Rate))^(Slot17_Age-D88))/(1-(1+AS_Wage)/(1+Slot17_Rate))),1)</f>
        <v>1</v>
      </c>
      <c r="NE88" s="20" t="n">
        <f aca="false">IF(AND(HU88=1,IE88&gt;0,Slot17_IsWG=1,GB88=1),MAX(0,(Slot17_Cost-GC88*(1+Slot17_Rate)^(Slot17_Age-D88))/ND88),0)</f>
        <v>0</v>
      </c>
      <c r="NF88" s="20" t="n">
        <f aca="false">IF(AND(HU88=1,IE88&gt;0,Slot17_IsWG=1,GB88=1),MIN(IE88,NE88),0)</f>
        <v>0</v>
      </c>
      <c r="NG88" s="20" t="n">
        <f aca="false">GC88+NF88</f>
        <v>0</v>
      </c>
      <c r="NH88" s="20" t="n">
        <f aca="false">IF(GB88=1,MAX(0,(Slot17_Cost-NG88*(1+Slot17_Rate)^(Slot17_Age-D88))/ND88),0)</f>
        <v>0</v>
      </c>
      <c r="NI88" s="20" t="n">
        <f aca="false">IF(GB88=1,MAX(0,(Slot17_Cost-GC88*(1+Slot17_Rate)^(Slot17_Age-D88))/ND88),0)</f>
        <v>0</v>
      </c>
      <c r="NJ88" s="20" t="n">
        <f aca="false">IF(AND(HU88=1,GB88=1),MIN(NC88,NH88),0)</f>
        <v>0</v>
      </c>
      <c r="NK88" s="20" t="n">
        <f aca="false">NC88-NJ88</f>
        <v>0</v>
      </c>
      <c r="NL88" s="20" t="n">
        <f aca="false">IF(GL88=1,IF(ABS((1+AS_Wage)/(1+Slot18_Rate)-1)&lt;0.000000000001,(Slot18_Age-D88)*(1+Slot18_Rate)^(Slot18_Age-D88),(1+Slot18_Rate)^(Slot18_Age-D88)*(1-((1+AS_Wage)/(1+Slot18_Rate))^(Slot18_Age-D88))/(1-(1+AS_Wage)/(1+Slot18_Rate))),1)</f>
        <v>1</v>
      </c>
      <c r="NM88" s="20" t="n">
        <f aca="false">IF(AND(HU88=1,IE88&gt;0,Slot18_IsWG=1,GL88=1),MAX(0,(Slot18_Cost-GM88*(1+Slot18_Rate)^(Slot18_Age-D88))/NL88),0)</f>
        <v>0</v>
      </c>
      <c r="NN88" s="20" t="n">
        <f aca="false">IF(AND(HU88=1,IE88&gt;0,Slot18_IsWG=1,GL88=1),MIN(IE88,NM88),0)</f>
        <v>0</v>
      </c>
      <c r="NO88" s="20" t="n">
        <f aca="false">GM88+NN88</f>
        <v>0</v>
      </c>
      <c r="NP88" s="20" t="n">
        <f aca="false">IF(GL88=1,MAX(0,(Slot18_Cost-NO88*(1+Slot18_Rate)^(Slot18_Age-D88))/NL88),0)</f>
        <v>0</v>
      </c>
      <c r="NQ88" s="20" t="n">
        <f aca="false">IF(GL88=1,MAX(0,(Slot18_Cost-GM88*(1+Slot18_Rate)^(Slot18_Age-D88))/NL88),0)</f>
        <v>0</v>
      </c>
      <c r="NR88" s="20" t="n">
        <f aca="false">IF(AND(HU88=1,GL88=1),MIN(NK88,NP88),0)</f>
        <v>0</v>
      </c>
      <c r="NS88" s="20" t="n">
        <f aca="false">NK88-NR88</f>
        <v>0</v>
      </c>
      <c r="NT88" s="20" t="n">
        <f aca="false">IF(GV88=1,IF(ABS((1+AS_Wage)/(1+Slot19_Rate)-1)&lt;0.000000000001,(Slot19_Age-D88)*(1+Slot19_Rate)^(Slot19_Age-D88),(1+Slot19_Rate)^(Slot19_Age-D88)*(1-((1+AS_Wage)/(1+Slot19_Rate))^(Slot19_Age-D88))/(1-(1+AS_Wage)/(1+Slot19_Rate))),1)</f>
        <v>1</v>
      </c>
      <c r="NU88" s="20" t="n">
        <f aca="false">IF(AND(HU88=1,IE88&gt;0,Slot19_IsWG=1,GV88=1),MAX(0,(Slot19_Cost-GW88*(1+Slot19_Rate)^(Slot19_Age-D88))/NT88),0)</f>
        <v>0</v>
      </c>
      <c r="NV88" s="20" t="n">
        <f aca="false">IF(AND(HU88=1,IE88&gt;0,Slot19_IsWG=1,GV88=1),MIN(IE88,NU88),0)</f>
        <v>0</v>
      </c>
      <c r="NW88" s="20" t="n">
        <f aca="false">GW88+NV88</f>
        <v>0</v>
      </c>
      <c r="NX88" s="20" t="n">
        <f aca="false">IF(GV88=1,MAX(0,(Slot19_Cost-NW88*(1+Slot19_Rate)^(Slot19_Age-D88))/NT88),0)</f>
        <v>0</v>
      </c>
      <c r="NY88" s="20" t="n">
        <f aca="false">IF(GV88=1,MAX(0,(Slot19_Cost-GW88*(1+Slot19_Rate)^(Slot19_Age-D88))/NT88),0)</f>
        <v>0</v>
      </c>
      <c r="NZ88" s="20" t="n">
        <f aca="false">IF(AND(HU88=1,GV88=1),MIN(NS88,NX88),0)</f>
        <v>0</v>
      </c>
      <c r="OA88" s="20" t="n">
        <f aca="false">NS88-NZ88</f>
        <v>0</v>
      </c>
      <c r="OB88" s="20" t="n">
        <f aca="false">IF(HF88=1,IF(ABS((1+AS_Wage)/(1+Slot20_Rate)-1)&lt;0.000000000001,(Slot20_Age-D88)*(1+Slot20_Rate)^(Slot20_Age-D88),(1+Slot20_Rate)^(Slot20_Age-D88)*(1-((1+AS_Wage)/(1+Slot20_Rate))^(Slot20_Age-D88))/(1-(1+AS_Wage)/(1+Slot20_Rate))),1)</f>
        <v>1</v>
      </c>
      <c r="OC88" s="20" t="n">
        <f aca="false">IF(AND(HU88=1,IE88&gt;0,Slot20_IsWG=1,HF88=1),MAX(0,(Slot20_Cost-HG88*(1+Slot20_Rate)^(Slot20_Age-D88))/OB88),0)</f>
        <v>0</v>
      </c>
      <c r="OD88" s="20" t="n">
        <f aca="false">IF(AND(HU88=1,IE88&gt;0,Slot20_IsWG=1,HF88=1),MIN(IE88,OC88),0)</f>
        <v>0</v>
      </c>
      <c r="OE88" s="20" t="n">
        <f aca="false">HG88+OD88</f>
        <v>0</v>
      </c>
      <c r="OF88" s="20" t="n">
        <f aca="false">IF(HF88=1,MAX(0,(Slot20_Cost-OE88*(1+Slot20_Rate)^(Slot20_Age-D88))/OB88),0)</f>
        <v>0</v>
      </c>
      <c r="OG88" s="20" t="n">
        <f aca="false">IF(HF88=1,MAX(0,(Slot20_Cost-HG88*(1+Slot20_Rate)^(Slot20_Age-D88))/OB88),0)</f>
        <v>0</v>
      </c>
      <c r="OH88" s="20" t="n">
        <f aca="false">IF(AND(HU88=1,HF88=1),MIN(OA88,OF88),0)</f>
        <v>0</v>
      </c>
      <c r="OI88" s="20" t="n">
        <f aca="false">OA88-OH88</f>
        <v>0</v>
      </c>
      <c r="OJ88" s="20" t="n">
        <f aca="false">IE88-(IH88+IP88+IX88+JF88+JN88+JV88+KD88+KL88+KT88+LB88+LJ88+LR88+LZ88+MH88+MP88+MX88+NF88+NN88+NV88+OD88)</f>
        <v>0</v>
      </c>
      <c r="OK88" s="20" t="n">
        <f aca="false">IF(HU88=1,HS88-ID88-IE88,0)</f>
        <v>0</v>
      </c>
      <c r="OL88" s="20" t="n">
        <f aca="false">IF(HU88=0,-HS88,0)</f>
        <v>93927.8705705582</v>
      </c>
      <c r="OM88" s="20" t="n">
        <f aca="false">MIN(OL88,HK88)</f>
        <v>0</v>
      </c>
      <c r="ON88" s="20" t="n">
        <f aca="false">OL88-OM88</f>
        <v>93927.8705705582</v>
      </c>
      <c r="OO88" s="20" t="n">
        <f aca="false">MIN(ON88,HL88)</f>
        <v>0</v>
      </c>
      <c r="OP88" s="20" t="n">
        <f aca="false">ON88-OO88</f>
        <v>93927.8705705582</v>
      </c>
      <c r="OQ88" s="20" t="n">
        <f aca="false">IF(AND(HU88=0,HF88=1,OP88&gt;0),MIN(OP88,HG88),0)</f>
        <v>0</v>
      </c>
      <c r="OR88" s="20" t="n">
        <f aca="false">OP88-OQ88</f>
        <v>93927.8705705582</v>
      </c>
      <c r="OS88" s="20" t="n">
        <f aca="false">IF(AND(HU88=0,GV88=1,OR88&gt;0),MIN(OR88,GW88),0)</f>
        <v>0</v>
      </c>
      <c r="OT88" s="20" t="n">
        <f aca="false">OR88-OS88</f>
        <v>93927.8705705582</v>
      </c>
      <c r="OU88" s="20" t="n">
        <f aca="false">IF(AND(HU88=0,GL88=1,OT88&gt;0),MIN(OT88,GM88),0)</f>
        <v>0</v>
      </c>
      <c r="OV88" s="20" t="n">
        <f aca="false">OT88-OU88</f>
        <v>93927.8705705582</v>
      </c>
      <c r="OW88" s="20" t="n">
        <f aca="false">IF(AND(HU88=0,GB88=1,OV88&gt;0),MIN(OV88,GC88),0)</f>
        <v>0</v>
      </c>
      <c r="OX88" s="20" t="n">
        <f aca="false">OV88-OW88</f>
        <v>93927.8705705582</v>
      </c>
      <c r="OY88" s="20" t="n">
        <f aca="false">IF(AND(HU88=0,FR88=1,OX88&gt;0),MIN(OX88,FS88),0)</f>
        <v>0</v>
      </c>
      <c r="OZ88" s="20" t="n">
        <f aca="false">OX88-OY88</f>
        <v>93927.8705705582</v>
      </c>
      <c r="PA88" s="20" t="n">
        <f aca="false">IF(AND(HU88=0,FH88=1,OZ88&gt;0),MIN(OZ88,FI88),0)</f>
        <v>0</v>
      </c>
      <c r="PB88" s="20" t="n">
        <f aca="false">OZ88-PA88</f>
        <v>93927.8705705582</v>
      </c>
      <c r="PC88" s="20" t="n">
        <f aca="false">IF(AND(HU88=0,EX88=1,PB88&gt;0),MIN(PB88,EY88),0)</f>
        <v>0</v>
      </c>
      <c r="PD88" s="20" t="n">
        <f aca="false">PB88-PC88</f>
        <v>93927.8705705582</v>
      </c>
      <c r="PE88" s="20" t="n">
        <f aca="false">IF(AND(HU88=0,EN88=1,PD88&gt;0),MIN(PD88,EO88),0)</f>
        <v>0</v>
      </c>
      <c r="PF88" s="20" t="n">
        <f aca="false">PD88-PE88</f>
        <v>93927.8705705582</v>
      </c>
      <c r="PG88" s="20" t="n">
        <f aca="false">IF(AND(HU88=0,ED88=1,PF88&gt;0),MIN(PF88,EE88),0)</f>
        <v>0</v>
      </c>
      <c r="PH88" s="20" t="n">
        <f aca="false">PF88-PG88</f>
        <v>93927.8705705582</v>
      </c>
      <c r="PI88" s="20" t="n">
        <f aca="false">IF(AND(HU88=0,DT88=1,PH88&gt;0),MIN(PH88,DU88),0)</f>
        <v>0</v>
      </c>
      <c r="PJ88" s="20" t="n">
        <f aca="false">PH88-PI88</f>
        <v>93927.8705705582</v>
      </c>
      <c r="PK88" s="20" t="n">
        <f aca="false">IF(AND(HU88=0,DJ88=1,PJ88&gt;0),MIN(PJ88,DK88),0)</f>
        <v>0</v>
      </c>
      <c r="PL88" s="20" t="n">
        <f aca="false">PJ88-PK88</f>
        <v>93927.8705705582</v>
      </c>
      <c r="PM88" s="20" t="n">
        <f aca="false">IF(AND(HU88=0,CZ88=1,PL88&gt;0),MIN(PL88,DA88),0)</f>
        <v>0</v>
      </c>
      <c r="PN88" s="20" t="n">
        <f aca="false">PL88-PM88</f>
        <v>93927.8705705582</v>
      </c>
      <c r="PO88" s="20" t="n">
        <f aca="false">IF(AND(HU88=0,CP88=1,PN88&gt;0),MIN(PN88,CQ88),0)</f>
        <v>0</v>
      </c>
      <c r="PP88" s="20" t="n">
        <f aca="false">PN88-PO88</f>
        <v>93927.8705705582</v>
      </c>
      <c r="PQ88" s="20" t="n">
        <f aca="false">IF(AND(HU88=0,CF88=1,PP88&gt;0),MIN(PP88,CG88),0)</f>
        <v>0</v>
      </c>
      <c r="PR88" s="20" t="n">
        <f aca="false">PP88-PQ88</f>
        <v>93927.8705705582</v>
      </c>
      <c r="PS88" s="20" t="n">
        <f aca="false">IF(AND(HU88=0,BV88=1,PR88&gt;0),MIN(PR88,BW88),0)</f>
        <v>0</v>
      </c>
      <c r="PT88" s="20" t="n">
        <f aca="false">PR88-PS88</f>
        <v>93927.8705705582</v>
      </c>
      <c r="PU88" s="20" t="n">
        <f aca="false">IF(AND(HU88=0,BL88=1,PT88&gt;0),MIN(PT88,BM88),0)</f>
        <v>0</v>
      </c>
      <c r="PV88" s="20" t="n">
        <f aca="false">PT88-PU88</f>
        <v>93927.8705705582</v>
      </c>
      <c r="PW88" s="20" t="n">
        <f aca="false">IF(AND(HU88=0,BB88=1,PV88&gt;0),MIN(PV88,BC88),0)</f>
        <v>0</v>
      </c>
      <c r="PX88" s="20" t="n">
        <f aca="false">PV88-PW88</f>
        <v>93927.8705705582</v>
      </c>
      <c r="PY88" s="20" t="n">
        <f aca="false">IF(AND(HU88=0,AR88=1,PX88&gt;0),MIN(PX88,AS88),0)</f>
        <v>0</v>
      </c>
      <c r="PZ88" s="20" t="n">
        <f aca="false">PX88-PY88</f>
        <v>93927.8705705582</v>
      </c>
      <c r="QA88" s="20" t="n">
        <f aca="false">IF(AND(HU88=0,AH88=1,PZ88&gt;0),MIN(PZ88,AI88),0)</f>
        <v>0</v>
      </c>
      <c r="QB88" s="20" t="n">
        <f aca="false">PZ88-QA88</f>
        <v>93927.8705705582</v>
      </c>
      <c r="QC88" s="20" t="n">
        <f aca="false">IF(AND(HU88=0,W88=1,QB88&gt;0),MIN(QB88,X88),0)</f>
        <v>0</v>
      </c>
      <c r="QD88" s="20" t="n">
        <f aca="false">QB88-QC88</f>
        <v>93927.8705705582</v>
      </c>
      <c r="QE88" s="20" t="n">
        <f aca="false">IF(HU88=0,QD88,0)</f>
        <v>93927.8705705582</v>
      </c>
      <c r="QF88" s="20" t="n">
        <f aca="false">OM88+OO88+QC88+QA88+PY88+PW88+PU88+PS88+PQ88+PO88+PM88+PK88+PI88+PG88+PE88+PC88+PA88+OY88+OW88+OU88+OS88+OQ88</f>
        <v>0</v>
      </c>
      <c r="QG88" s="20" t="n">
        <f aca="false">IF(HU88=1,HK88+OJ88+OI88+IF(G88=1,0,OK88),HK88-OM88)</f>
        <v>0</v>
      </c>
      <c r="QH88" s="20" t="n">
        <f aca="false">HL88-OO88</f>
        <v>0</v>
      </c>
      <c r="QI88" s="20" t="n">
        <f aca="false">IF(HU88=1,IF(G88=1,ID88+IE88,HS88),0)</f>
        <v>0</v>
      </c>
      <c r="QJ88" s="20" t="n">
        <f aca="false">IF(HU88=1,IF(G88=1,HS88-ID88-IE88,0),0)</f>
        <v>0</v>
      </c>
      <c r="QK88" s="57" t="n">
        <f aca="false">'Plan holdings'!BM88</f>
        <v>0</v>
      </c>
      <c r="QL88" s="20" t="n">
        <f aca="false">QH88*(1+AS_Cash)</f>
        <v>0</v>
      </c>
      <c r="QM88" s="20" t="n">
        <f aca="false">IF(W88=1,IF(HU88=1,II88+IL88,X88-QC88)*(1+Slot1_Rate),0)</f>
        <v>0</v>
      </c>
      <c r="QN88" s="20" t="n">
        <f aca="false">IF(AND(HU88=1,W88=1),(IH88+IL88)/F88,0)</f>
        <v>0</v>
      </c>
      <c r="QO88" s="20" t="n">
        <f aca="false">IF(B88=0,IH88+IL88,0)</f>
        <v>0</v>
      </c>
      <c r="QP88" s="20" t="n">
        <f aca="false">IF(B88=0,IF(HU88=1,IJ88,IK88),0)</f>
        <v>0</v>
      </c>
      <c r="QQ88" s="20" t="n">
        <f aca="false">IF(AH88=1,IF(HU88=1,IQ88+IT88,AI88-QA88)*(1+Slot2_Rate),0)</f>
        <v>0</v>
      </c>
      <c r="QR88" s="20" t="n">
        <f aca="false">IF(AND(HU88=1,AH88=1),(IP88+IT88)/F88,0)</f>
        <v>0</v>
      </c>
      <c r="QS88" s="20" t="n">
        <f aca="false">IF(B88=0,IP88+IT88,0)</f>
        <v>0</v>
      </c>
      <c r="QT88" s="20" t="n">
        <f aca="false">IF(B88=0,IF(HU88=1,IR88,IS88),0)</f>
        <v>0</v>
      </c>
      <c r="QU88" s="20" t="n">
        <f aca="false">IF(AR88=1,IF(HU88=1,IY88+JB88,AS88-PY88)*(1+Slot3_Rate),0)</f>
        <v>0</v>
      </c>
      <c r="QV88" s="20" t="n">
        <f aca="false">IF(AND(HU88=1,AR88=1),(IX88+JB88)/F88,0)</f>
        <v>0</v>
      </c>
      <c r="QW88" s="20" t="n">
        <f aca="false">IF(B88=0,IX88+JB88,0)</f>
        <v>0</v>
      </c>
      <c r="QX88" s="20" t="n">
        <f aca="false">IF(B88=0,IF(HU88=1,IZ88,JA88),0)</f>
        <v>0</v>
      </c>
      <c r="QY88" s="20" t="n">
        <f aca="false">IF(BB88=1,IF(HU88=1,JG88+JJ88,BC88-PW88)*(1+Slot4_Rate),0)</f>
        <v>0</v>
      </c>
      <c r="QZ88" s="20" t="n">
        <f aca="false">IF(AND(HU88=1,BB88=1),(JF88+JJ88)/F88,0)</f>
        <v>0</v>
      </c>
      <c r="RA88" s="20" t="n">
        <f aca="false">IF(B88=0,JF88+JJ88,0)</f>
        <v>0</v>
      </c>
      <c r="RB88" s="20" t="n">
        <f aca="false">IF(B88=0,IF(HU88=1,JH88,JI88),0)</f>
        <v>0</v>
      </c>
      <c r="RC88" s="20" t="n">
        <f aca="false">IF(BL88=1,IF(HU88=1,JO88+JR88,BM88-PU88)*(1+Slot5_Rate),0)</f>
        <v>0</v>
      </c>
      <c r="RD88" s="20" t="n">
        <f aca="false">IF(AND(HU88=1,BL88=1),(JN88+JR88)/F88,0)</f>
        <v>0</v>
      </c>
      <c r="RE88" s="20" t="n">
        <f aca="false">IF(B88=0,JN88+JR88,0)</f>
        <v>0</v>
      </c>
      <c r="RF88" s="20" t="n">
        <f aca="false">IF(B88=0,IF(HU88=1,JP88,JQ88),0)</f>
        <v>0</v>
      </c>
      <c r="RG88" s="20" t="n">
        <f aca="false">IF(BV88=1,IF(HU88=1,JW88+JZ88,BW88-PS88)*(1+Slot6_Rate),0)</f>
        <v>0</v>
      </c>
      <c r="RH88" s="20" t="n">
        <f aca="false">IF(AND(HU88=1,BV88=1),(JV88+JZ88)/F88,0)</f>
        <v>0</v>
      </c>
      <c r="RI88" s="20" t="n">
        <f aca="false">IF(B88=0,JV88+JZ88,0)</f>
        <v>0</v>
      </c>
      <c r="RJ88" s="20" t="n">
        <f aca="false">IF(B88=0,IF(HU88=1,JX88,JY88),0)</f>
        <v>0</v>
      </c>
      <c r="RK88" s="20" t="n">
        <f aca="false">IF(CF88=1,IF(HU88=1,KE88+KH88,CG88-PQ88)*(1+Slot7_Rate),0)</f>
        <v>0</v>
      </c>
      <c r="RL88" s="20" t="n">
        <f aca="false">IF(AND(HU88=1,CF88=1),(KD88+KH88)/F88,0)</f>
        <v>0</v>
      </c>
      <c r="RM88" s="20" t="n">
        <f aca="false">IF(B88=0,KD88+KH88,0)</f>
        <v>0</v>
      </c>
      <c r="RN88" s="20" t="n">
        <f aca="false">IF(B88=0,IF(HU88=1,KF88,KG88),0)</f>
        <v>0</v>
      </c>
      <c r="RO88" s="20" t="n">
        <f aca="false">IF(CP88=1,IF(HU88=1,KM88+KP88,CQ88-PO88)*(1+Slot8_Rate),0)</f>
        <v>0</v>
      </c>
      <c r="RP88" s="20" t="n">
        <f aca="false">IF(AND(HU88=1,CP88=1),(KL88+KP88)/F88,0)</f>
        <v>0</v>
      </c>
      <c r="RQ88" s="20" t="n">
        <f aca="false">IF(B88=0,KL88+KP88,0)</f>
        <v>0</v>
      </c>
      <c r="RR88" s="20" t="n">
        <f aca="false">IF(B88=0,IF(HU88=1,KN88,KO88),0)</f>
        <v>0</v>
      </c>
      <c r="RS88" s="20" t="n">
        <f aca="false">IF(CZ88=1,IF(HU88=1,KU88+KX88,DA88-PM88)*(1+Slot9_Rate),0)</f>
        <v>0</v>
      </c>
      <c r="RT88" s="20" t="n">
        <f aca="false">IF(AND(HU88=1,CZ88=1),(KT88+KX88)/F88,0)</f>
        <v>0</v>
      </c>
      <c r="RU88" s="20" t="n">
        <f aca="false">IF(B88=0,KT88+KX88,0)</f>
        <v>0</v>
      </c>
      <c r="RV88" s="20" t="n">
        <f aca="false">IF(B88=0,IF(HU88=1,KV88,KW88),0)</f>
        <v>0</v>
      </c>
      <c r="RW88" s="20" t="n">
        <f aca="false">IF(DJ88=1,IF(HU88=1,LC88+LF88,DK88-PK88)*(1+Slot10_Rate),0)</f>
        <v>0</v>
      </c>
      <c r="RX88" s="20" t="n">
        <f aca="false">IF(AND(HU88=1,DJ88=1),(LB88+LF88)/F88,0)</f>
        <v>0</v>
      </c>
      <c r="RY88" s="20" t="n">
        <f aca="false">IF(B88=0,LB88+LF88,0)</f>
        <v>0</v>
      </c>
      <c r="RZ88" s="20" t="n">
        <f aca="false">IF(B88=0,IF(HU88=1,LD88,LE88),0)</f>
        <v>0</v>
      </c>
      <c r="SA88" s="20" t="n">
        <f aca="false">IF(DT88=1,IF(HU88=1,LK88+LN88,DU88-PI88)*(1+Slot11_Rate),0)</f>
        <v>0</v>
      </c>
      <c r="SB88" s="20" t="n">
        <f aca="false">IF(AND(HU88=1,DT88=1),(LJ88+LN88)/F88,0)</f>
        <v>0</v>
      </c>
      <c r="SC88" s="20" t="n">
        <f aca="false">IF(B88=0,LJ88+LN88,0)</f>
        <v>0</v>
      </c>
      <c r="SD88" s="20" t="n">
        <f aca="false">IF(B88=0,IF(HU88=1,LL88,LM88),0)</f>
        <v>0</v>
      </c>
      <c r="SE88" s="20" t="n">
        <f aca="false">IF(ED88=1,IF(HU88=1,LS88+LV88,EE88-PG88)*(1+Slot12_Rate),0)</f>
        <v>0</v>
      </c>
      <c r="SF88" s="20" t="n">
        <f aca="false">IF(AND(HU88=1,ED88=1),(LR88+LV88)/F88,0)</f>
        <v>0</v>
      </c>
      <c r="SG88" s="20" t="n">
        <f aca="false">IF(B88=0,LR88+LV88,0)</f>
        <v>0</v>
      </c>
      <c r="SH88" s="20" t="n">
        <f aca="false">IF(B88=0,IF(HU88=1,LT88,LU88),0)</f>
        <v>0</v>
      </c>
      <c r="SI88" s="20" t="n">
        <f aca="false">IF(EN88=1,IF(HU88=1,MA88+MD88,EO88-PE88)*(1+Slot13_Rate),0)</f>
        <v>0</v>
      </c>
      <c r="SJ88" s="20" t="n">
        <f aca="false">IF(AND(HU88=1,EN88=1),(LZ88+MD88)/F88,0)</f>
        <v>0</v>
      </c>
      <c r="SK88" s="20" t="n">
        <f aca="false">IF(B88=0,LZ88+MD88,0)</f>
        <v>0</v>
      </c>
      <c r="SL88" s="20" t="n">
        <f aca="false">IF(B88=0,IF(HU88=1,MB88,MC88),0)</f>
        <v>0</v>
      </c>
      <c r="SM88" s="20" t="n">
        <f aca="false">IF(EX88=1,IF(HU88=1,MI88+ML88,EY88-PC88)*(1+Slot14_Rate),0)</f>
        <v>0</v>
      </c>
      <c r="SN88" s="20" t="n">
        <f aca="false">IF(AND(HU88=1,EX88=1),(MH88+ML88)/F88,0)</f>
        <v>0</v>
      </c>
      <c r="SO88" s="20" t="n">
        <f aca="false">IF(B88=0,MH88+ML88,0)</f>
        <v>0</v>
      </c>
      <c r="SP88" s="20" t="n">
        <f aca="false">IF(B88=0,IF(HU88=1,MJ88,MK88),0)</f>
        <v>0</v>
      </c>
      <c r="SQ88" s="20" t="n">
        <f aca="false">IF(FH88=1,IF(HU88=1,MQ88+MT88,FI88-PA88)*(1+Slot15_Rate),0)</f>
        <v>0</v>
      </c>
      <c r="SR88" s="20" t="n">
        <f aca="false">IF(AND(HU88=1,FH88=1),(MP88+MT88)/F88,0)</f>
        <v>0</v>
      </c>
      <c r="SS88" s="20" t="n">
        <f aca="false">IF(B88=0,MP88+MT88,0)</f>
        <v>0</v>
      </c>
      <c r="ST88" s="20" t="n">
        <f aca="false">IF(B88=0,IF(HU88=1,MR88,MS88),0)</f>
        <v>0</v>
      </c>
      <c r="SU88" s="20" t="n">
        <f aca="false">IF(FR88=1,IF(HU88=1,MY88+NB88,FS88-OY88)*(1+Slot16_Rate),0)</f>
        <v>0</v>
      </c>
      <c r="SV88" s="20" t="n">
        <f aca="false">IF(AND(HU88=1,FR88=1),(MX88+NB88)/F88,0)</f>
        <v>0</v>
      </c>
      <c r="SW88" s="20" t="n">
        <f aca="false">IF(B88=0,MX88+NB88,0)</f>
        <v>0</v>
      </c>
      <c r="SX88" s="20" t="n">
        <f aca="false">IF(B88=0,IF(HU88=1,MZ88,NA88),0)</f>
        <v>0</v>
      </c>
      <c r="SY88" s="20" t="n">
        <f aca="false">IF(GB88=1,IF(HU88=1,NG88+NJ88,GC88-OW88)*(1+Slot17_Rate),0)</f>
        <v>0</v>
      </c>
      <c r="SZ88" s="20" t="n">
        <f aca="false">IF(AND(HU88=1,GB88=1),(NF88+NJ88)/F88,0)</f>
        <v>0</v>
      </c>
      <c r="TA88" s="20" t="n">
        <f aca="false">IF(B88=0,NF88+NJ88,0)</f>
        <v>0</v>
      </c>
      <c r="TB88" s="20" t="n">
        <f aca="false">IF(B88=0,IF(HU88=1,NH88,NI88),0)</f>
        <v>0</v>
      </c>
      <c r="TC88" s="20" t="n">
        <f aca="false">IF(GL88=1,IF(HU88=1,NO88+NR88,GM88-OU88)*(1+Slot18_Rate),0)</f>
        <v>0</v>
      </c>
      <c r="TD88" s="20" t="n">
        <f aca="false">IF(AND(HU88=1,GL88=1),(NN88+NR88)/F88,0)</f>
        <v>0</v>
      </c>
      <c r="TE88" s="20" t="n">
        <f aca="false">IF(B88=0,NN88+NR88,0)</f>
        <v>0</v>
      </c>
      <c r="TF88" s="20" t="n">
        <f aca="false">IF(B88=0,IF(HU88=1,NP88,NQ88),0)</f>
        <v>0</v>
      </c>
      <c r="TG88" s="20" t="n">
        <f aca="false">IF(GV88=1,IF(HU88=1,NW88+NZ88,GW88-OS88)*(1+Slot19_Rate),0)</f>
        <v>0</v>
      </c>
      <c r="TH88" s="20" t="n">
        <f aca="false">IF(AND(HU88=1,GV88=1),(NV88+NZ88)/F88,0)</f>
        <v>0</v>
      </c>
      <c r="TI88" s="20" t="n">
        <f aca="false">IF(B88=0,NV88+NZ88,0)</f>
        <v>0</v>
      </c>
      <c r="TJ88" s="20" t="n">
        <f aca="false">IF(B88=0,IF(HU88=1,NX88,NY88),0)</f>
        <v>0</v>
      </c>
      <c r="TK88" s="20" t="n">
        <f aca="false">IF(HF88=1,IF(HU88=1,OE88+OH88,HG88-OQ88)*(1+Slot20_Rate),0)</f>
        <v>0</v>
      </c>
      <c r="TL88" s="20" t="n">
        <f aca="false">IF(AND(HU88=1,HF88=1),(OD88+OH88)/F88,0)</f>
        <v>0</v>
      </c>
      <c r="TM88" s="20" t="n">
        <f aca="false">IF(B88=0,OD88+OH88,0)</f>
        <v>0</v>
      </c>
      <c r="TN88" s="20" t="n">
        <f aca="false">IF(B88=0,IF(HU88=1,OF88,OG88),0)</f>
        <v>0</v>
      </c>
      <c r="TO88" s="20" t="n">
        <f aca="false">QK88+QL88+QM88+QQ88+QU88+QY88+RC88+RG88+RK88+RO88+RS88+RW88+SA88+SE88+SI88+SM88+SQ88+SU88+SY88+TC88+TG88+TK88</f>
        <v>0</v>
      </c>
      <c r="TP88" s="20" t="n">
        <f aca="false">QE88+HP88</f>
        <v>93927.8705705582</v>
      </c>
      <c r="TQ88" s="20" t="n">
        <f aca="false">I88+S88</f>
        <v>233045.991661408</v>
      </c>
      <c r="TR88" s="20" t="n">
        <f aca="false">1-G88</f>
        <v>1</v>
      </c>
      <c r="TS88" s="20" t="n">
        <f aca="false">IF(AND(RG_Exists=1,G88=0,C88=1),I88,0)</f>
        <v>0</v>
      </c>
      <c r="TT88" s="20" t="n">
        <f aca="false">IF(AND(RG_Exists=1,G88=0,C88=1),I88-MIN(QE88,I88),0)</f>
        <v>0</v>
      </c>
      <c r="TU88" s="20" t="n">
        <f aca="false">'Plan pay &amp; tax'!AD314</f>
        <v>0</v>
      </c>
      <c r="TV88" s="20" t="n">
        <f aca="false">IF(AND(C88=1,QE88&gt;MAX(PR_Short1,TQ88*PR_Short2)),1,0)</f>
        <v>0</v>
      </c>
      <c r="TW88" s="20" t="n">
        <f aca="false">MIN(H88,I88+S88)</f>
        <v>139118.12109085</v>
      </c>
      <c r="TX88" s="20" t="n">
        <f aca="false">QF88+MAX(0,HQ88-HP88)</f>
        <v>0</v>
      </c>
      <c r="TY88" s="20" t="n">
        <f aca="false">QE88+HP88</f>
        <v>93927.8705705582</v>
      </c>
      <c r="TZ88" s="20" t="n">
        <f aca="false">IF(AND(C88=1,TY88&gt;PR_MinShort),1,0)</f>
        <v>0</v>
      </c>
      <c r="UA88" s="20" t="n">
        <f aca="false">IF(AND(C88=1,TZ88=0,TX88&gt;PR_MinShort),1,0)</f>
        <v>0</v>
      </c>
      <c r="UB88" s="20" t="n">
        <f aca="false">IF(AND(C88=1,QE88&gt;PR_MinShort),1,0)</f>
        <v>0</v>
      </c>
      <c r="UC88" s="20" t="n">
        <f aca="false">IF(AND(C88=1,QF88&gt;1,UJ88=0),1,0)</f>
        <v>0</v>
      </c>
      <c r="UD88" s="20" t="str">
        <f aca="false">IF(C88=0,"",IF(UJ88=1,"Gap to plan for: short "&amp;"€"&amp;TEXT(ROUND(TP88,0),"#,##0"),IF(QF88&gt;1,"Using savings","Comfortable")))</f>
        <v/>
      </c>
      <c r="UE88" s="20" t="n">
        <f aca="false">IF(AND(INT(D88/10)*10=90,B88&gt;0),80,INT(D88/10)*10)</f>
        <v>110</v>
      </c>
      <c r="UF88" s="20" t="n">
        <f aca="false">IF(B88=0,1,IF(UE88&lt;&gt;UE87,UF87+1,UF87))</f>
        <v>8</v>
      </c>
      <c r="UG88" s="20" t="n">
        <f aca="false">IF(AND(C88=1,G88=1,QE88&gt;MAX(PR_Short1,TQ88*PR_Short2)),1,0)</f>
        <v>0</v>
      </c>
      <c r="UH88" s="20" t="n">
        <f aca="false">TR88*TV88</f>
        <v>0</v>
      </c>
      <c r="UI88" s="20" t="n">
        <f aca="false">IF(AND(V88=1,Slot1_PctLow=1),1,0)+IF(AND(AG88=1,Slot2_PctLow=1),1,0)+IF(AND(AQ88=1,Slot3_PctLow=1),1,0)+IF(AND(BA88=1,Slot4_PctLow=1),1,0)+IF(AND(BK88=1,Slot5_PctLow=1),1,0)+IF(AND(BU88=1,Slot6_PctLow=1),1,0)+IF(AND(CE88=1,Slot7_PctLow=1),1,0)+IF(AND(CO88=1,Slot8_PctLow=1),1,0)+IF(AND(CY88=1,Slot9_PctLow=1),1,0)+IF(AND(DI88=1,Slot10_PctLow=1),1,0)+IF(AND(DS88=1,Slot11_PctLow=1),1,0)+IF(AND(EC88=1,Slot12_PctLow=1),1,0)+IF(AND(EM88=1,Slot13_PctLow=1),1,0)+IF(AND(EW88=1,Slot14_PctLow=1),1,0)+IF(AND(FG88=1,Slot15_PctLow=1),1,0)+IF(AND(FQ88=1,Slot16_PctLow=1),1,0)+IF(AND(GA88=1,Slot17_PctLow=1),1,0)+IF(AND(GK88=1,Slot18_PctLow=1),1,0)+IF(AND(GU88=1,Slot19_PctLow=1),1,0)+IF(AND(HE88=1,Slot20_PctLow=1),1,0)</f>
        <v>0</v>
      </c>
      <c r="UJ88" s="20" t="n">
        <f aca="false">IF(C88=1,IF(OR(TV88=1,UI88&gt;0),1,0),0)</f>
        <v>0</v>
      </c>
      <c r="UK88" s="20" t="n">
        <f aca="false">Z88+AK88+AU88+BE88+BO88+BY88+CI88+CS88+DC88+DM88+DW88+EG88+EQ88+FA88+FK88+FU88+GE88+GO88+GY88+HI88+OM88</f>
        <v>0</v>
      </c>
      <c r="UL88" s="20" t="n">
        <f aca="false">V88*IF(Slot1_SpendLike=1,X88-Y88,IF(Slot1_PotFree=1,X88,0))+AG88*IF(Slot2_SpendLike=1,AI88-AJ88,IF(Slot2_PotFree=1,AI88,0))+AQ88*IF(Slot3_SpendLike=1,AS88-AT88,IF(Slot3_PotFree=1,AS88,0))+BA88*IF(Slot4_SpendLike=1,BC88-BD88,IF(Slot4_PotFree=1,BC88,0))+BK88*IF(Slot5_SpendLike=1,BM88-BN88,IF(Slot5_PotFree=1,BM88,0))+BU88*IF(Slot6_SpendLike=1,BW88-BX88,IF(Slot6_PotFree=1,BW88,0))+CE88*IF(Slot7_SpendLike=1,CG88-CH88,IF(Slot7_PotFree=1,CG88,0))+CO88*IF(Slot8_SpendLike=1,CQ88-CR88,IF(Slot8_PotFree=1,CQ88,0))+CY88*IF(Slot9_SpendLike=1,DA88-DB88,IF(Slot9_PotFree=1,DA88,0))+DI88*IF(Slot10_SpendLike=1,DK88-DL88,IF(Slot10_PotFree=1,DK88,0))+DS88*IF(Slot11_SpendLike=1,DU88-DV88,IF(Slot11_PotFree=1,DU88,0))+EC88*IF(Slot12_SpendLike=1,EE88-EF88,IF(Slot12_PotFree=1,EE88,0))+EM88*IF(Slot13_SpendLike=1,EO88-EP88,IF(Slot13_PotFree=1,EO88,0))+EW88*IF(Slot14_SpendLike=1,EY88-EZ88,IF(Slot14_PotFree=1,EY88,0))+FG88*IF(Slot15_SpendLike=1,FI88-FJ88,IF(Slot15_PotFree=1,FI88,0))+FQ88*IF(Slot16_SpendLike=1,FS88-FT88,IF(Slot16_PotFree=1,FS88,0))+GA88*IF(Slot17_SpendLike=1,GC88-GD88,IF(Slot17_PotFree=1,GC88,0))+GK88*IF(Slot18_SpendLike=1,GM88-GN88,IF(Slot18_PotFree=1,GM88,0))+GU88*IF(Slot19_SpendLike=1,GW88-GX88,IF(Slot19_PotFree=1,GW88,0))+HE88*IF(Slot20_SpendLike=1,HG88-HH88,IF(Slot20_PotFree=1,HG88,0))</f>
        <v>0</v>
      </c>
      <c r="UM88" s="20" t="n">
        <f aca="false">QG88-T88+UK88-UL88</f>
        <v>0</v>
      </c>
      <c r="UN88" s="20" t="n">
        <f aca="false">IF(OR(UN87=1,AND(In_homeUse="Yes, I'd downsize",In_downAge&gt;0,D88=In_downAge,OR(In_home="Own outright",In_home="Own with mortgage"),In_homeValue&gt;0)),1,0)</f>
        <v>0</v>
      </c>
    </row>
    <row r="89" customFormat="false" ht="15" hidden="false" customHeight="true" outlineLevel="0" collapsed="false">
      <c r="B89" s="20" t="n">
        <v>81</v>
      </c>
      <c r="C89" s="20" t="n">
        <f aca="false">IF(B89&lt;=F_N,1,0)</f>
        <v>0</v>
      </c>
      <c r="D89" s="20" t="n">
        <f aca="false">'Plan pay &amp; tax'!C315</f>
        <v>119</v>
      </c>
      <c r="E89" s="20" t="str">
        <f aca="false">IF($C89=1,"Income tax "&amp;TEXT(N('Plan pay &amp; tax'!BK315),"#,##0")&amp;"; USC "&amp;TEXT(N('Plan pay &amp; tax'!BM315)+N('Plan pay &amp; tax'!BO315),"#,##0")&amp;"; PRSI "&amp;TEXT(N('Plan pay &amp; tax'!BP315)+N('Plan pay &amp; tax'!BQ315),"#,##0")&amp;IF(N('Plan holdings'!BO89)&gt;=0.5,"; DIRT "&amp;TEXT(('Plan holdings'!BO89)/$F89,"#,##0")&amp;" (already taken from the interest earned)","")&amp;IF(N('Plan holdings'!BP89)&gt;=0.5,"; exit tax at an 8-year anniversary "&amp;TEXT(('Plan holdings'!BP89)/$F89,"#,##0"),"")&amp;IF(N('Plan holdings'!BN89)&gt;=0.5,"; tax on assets sold (exit tax or capital gains tax) "&amp;TEXT(('Plan holdings'!BN89)/$F89,"#,##0"),"")&amp;IF(N('Plan pay &amp; tax'!X315)-N('Plan pay &amp; tax'!Y315)&gt;=0.5,"; tax on the pension lump sum "&amp;TEXT(('Plan pay &amp; tax'!X315-'Plan pay &amp; tax'!Y315)/$F89,"#,##0"),"")&amp;IF(N('Plan pay &amp; tax'!V315)&gt;=0.5,"; chargeable excess tax on the pension "&amp;TEXT(('Plan pay &amp; tax'!V315)/$F89,"#,##0"),"")&amp;".","")</f>
        <v/>
      </c>
      <c r="F89" s="50" t="n">
        <f aca="false">'Plan pay &amp; tax'!E315</f>
        <v>4.97294793921833</v>
      </c>
      <c r="G89" s="20" t="n">
        <f aca="false">'Plan pay &amp; tax'!G315</f>
        <v>0</v>
      </c>
      <c r="H89" s="20" t="n">
        <f aca="false">'Plan pay &amp; tax'!BT315-'Plan pay &amp; tax'!BS315-'Plan pay &amp; tax'!R315</f>
        <v>141900.483512666</v>
      </c>
      <c r="I89" s="20" t="n">
        <f aca="false">IF(G89=1,F_CostsM*12,IF(RG_Exists=1,RG_Amount,F_CostsM*12*AS_RetireSpend))*F89+F_OneOffY*F89</f>
        <v>237706.911494636</v>
      </c>
      <c r="J89" s="20" t="n">
        <f aca="false">IF(UN89=1,0,HR88)</f>
        <v>0</v>
      </c>
      <c r="K89" s="20" t="n">
        <f aca="false">IF(J89&gt;1,'Plan debt months'!AC89,0)</f>
        <v>0</v>
      </c>
      <c r="L89" s="20" t="n">
        <f aca="false">IF(J89&gt;1,'Plan debt months'!AB89,J89)</f>
        <v>0</v>
      </c>
      <c r="M89" s="20" t="n">
        <f aca="false">O88</f>
        <v>0</v>
      </c>
      <c r="N89" s="20" t="n">
        <f aca="false">IF(M89&gt;1,'Plan debt months'!BD89,0)</f>
        <v>0</v>
      </c>
      <c r="O89" s="20" t="n">
        <f aca="false">IF(M89&gt;1,'Plan debt months'!BC89,M89)</f>
        <v>0</v>
      </c>
      <c r="P89" s="20" t="n">
        <f aca="false">R88</f>
        <v>0</v>
      </c>
      <c r="Q89" s="20" t="n">
        <f aca="false">IF(P89&gt;1,'Plan debt months'!CE89,0)</f>
        <v>0</v>
      </c>
      <c r="R89" s="20" t="n">
        <f aca="false">IF(P89&gt;1,'Plan debt months'!CD89,P89)</f>
        <v>0</v>
      </c>
      <c r="S89" s="20" t="n">
        <f aca="false">K89+N89+Q89</f>
        <v>0</v>
      </c>
      <c r="T89" s="57" t="n">
        <f aca="false">'Plan holdings'!Y89</f>
        <v>0</v>
      </c>
      <c r="U89" s="57" t="n">
        <f aca="false">'Plan holdings'!BM88</f>
        <v>0</v>
      </c>
      <c r="V89" s="20" t="n">
        <f aca="false">IF(AND(Slot1_On=1,D89=Slot1_Age),1,0)</f>
        <v>0</v>
      </c>
      <c r="W89" s="20" t="n">
        <f aca="false">IF(AND(Slot1_On=1,Slot1_Age&gt;D89),1,0)</f>
        <v>0</v>
      </c>
      <c r="X89" s="20" t="n">
        <f aca="false">QM88</f>
        <v>0</v>
      </c>
      <c r="Y89" s="20" t="n">
        <f aca="false">V89*MIN(Slot1_Cost,X89)</f>
        <v>0</v>
      </c>
      <c r="Z89" s="20" t="n">
        <f aca="false">V89*Slot1_SpendLike*MIN(Slot1_Cost-Y89,T89)</f>
        <v>0</v>
      </c>
      <c r="AA89" s="20" t="n">
        <f aca="false">Y89+Z89</f>
        <v>0</v>
      </c>
      <c r="AB89" s="20" t="n">
        <f aca="false">T89-Z89+V89*IF(Slot1_SpendLike=1,X89-Y89,IF(Slot1_PotFree=1,X89,0))</f>
        <v>0</v>
      </c>
      <c r="AC89" s="20" t="n">
        <f aca="false">AF89+V89*Slot1_BufPot*X89</f>
        <v>0</v>
      </c>
      <c r="AD89" s="20" t="n">
        <f aca="false">IF(AND(V89=1,Slot1_IsMfree=1),IF(AA89&gt;=Slot1_Cost-1,0,MAX(0,L89-AA89)),L89)</f>
        <v>0</v>
      </c>
      <c r="AE89" s="20" t="n">
        <f aca="false">V89*(Slot1_Cost-AA89)</f>
        <v>0</v>
      </c>
      <c r="AF89" s="20" t="n">
        <f aca="false">QL88</f>
        <v>0</v>
      </c>
      <c r="AG89" s="20" t="n">
        <f aca="false">IF(AND(Slot2_On=1,D89=Slot2_Age),1,0)</f>
        <v>0</v>
      </c>
      <c r="AH89" s="20" t="n">
        <f aca="false">IF(AND(Slot2_On=1,Slot2_Age&gt;D89),1,0)</f>
        <v>0</v>
      </c>
      <c r="AI89" s="20" t="n">
        <f aca="false">QQ88</f>
        <v>0</v>
      </c>
      <c r="AJ89" s="20" t="n">
        <f aca="false">AG89*MIN(Slot2_Cost,AI89)</f>
        <v>0</v>
      </c>
      <c r="AK89" s="20" t="n">
        <f aca="false">AG89*Slot2_SpendLike*MIN(Slot2_Cost-AJ89,AB89)</f>
        <v>0</v>
      </c>
      <c r="AL89" s="20" t="n">
        <f aca="false">AJ89+AK89</f>
        <v>0</v>
      </c>
      <c r="AM89" s="20" t="n">
        <f aca="false">AB89-AK89+AG89*IF(Slot2_SpendLike=1,AI89-AJ89,IF(Slot2_PotFree=1,AI89,0))</f>
        <v>0</v>
      </c>
      <c r="AN89" s="20" t="n">
        <f aca="false">AC89+AG89*Slot2_BufPot*AI89</f>
        <v>0</v>
      </c>
      <c r="AO89" s="20" t="n">
        <f aca="false">IF(AND(AG89=1,Slot2_IsMfree=1),IF(AL89&gt;=Slot2_Cost-1,0,MAX(0,AD89-AL89)),AD89)</f>
        <v>0</v>
      </c>
      <c r="AP89" s="20" t="n">
        <f aca="false">AG89*(Slot2_Cost-AL89)</f>
        <v>0</v>
      </c>
      <c r="AQ89" s="20" t="n">
        <f aca="false">IF(AND(Slot3_On=1,D89=Slot3_Age),1,0)</f>
        <v>0</v>
      </c>
      <c r="AR89" s="20" t="n">
        <f aca="false">IF(AND(Slot3_On=1,Slot3_Age&gt;D89),1,0)</f>
        <v>0</v>
      </c>
      <c r="AS89" s="20" t="n">
        <f aca="false">QU88</f>
        <v>0</v>
      </c>
      <c r="AT89" s="20" t="n">
        <f aca="false">AQ89*MIN(Slot3_Cost,AS89)</f>
        <v>0</v>
      </c>
      <c r="AU89" s="20" t="n">
        <f aca="false">AQ89*Slot3_SpendLike*MIN(Slot3_Cost-AT89,AM89)</f>
        <v>0</v>
      </c>
      <c r="AV89" s="20" t="n">
        <f aca="false">AT89+AU89</f>
        <v>0</v>
      </c>
      <c r="AW89" s="20" t="n">
        <f aca="false">AM89-AU89+AQ89*IF(Slot3_SpendLike=1,AS89-AT89,IF(Slot3_PotFree=1,AS89,0))</f>
        <v>0</v>
      </c>
      <c r="AX89" s="20" t="n">
        <f aca="false">AN89+AQ89*Slot3_BufPot*AS89</f>
        <v>0</v>
      </c>
      <c r="AY89" s="20" t="n">
        <f aca="false">IF(AND(AQ89=1,Slot3_IsMfree=1),IF(AV89&gt;=Slot3_Cost-1,0,MAX(0,AO89-AV89)),AO89)</f>
        <v>0</v>
      </c>
      <c r="AZ89" s="20" t="n">
        <f aca="false">AQ89*(Slot3_Cost-AV89)</f>
        <v>0</v>
      </c>
      <c r="BA89" s="20" t="n">
        <f aca="false">IF(AND(Slot4_On=1,D89=Slot4_Age),1,0)</f>
        <v>0</v>
      </c>
      <c r="BB89" s="20" t="n">
        <f aca="false">IF(AND(Slot4_On=1,Slot4_Age&gt;D89),1,0)</f>
        <v>0</v>
      </c>
      <c r="BC89" s="20" t="n">
        <f aca="false">QY88</f>
        <v>0</v>
      </c>
      <c r="BD89" s="20" t="n">
        <f aca="false">BA89*MIN(Slot4_Cost,BC89)</f>
        <v>0</v>
      </c>
      <c r="BE89" s="20" t="n">
        <f aca="false">BA89*Slot4_SpendLike*MIN(Slot4_Cost-BD89,AW89)</f>
        <v>0</v>
      </c>
      <c r="BF89" s="20" t="n">
        <f aca="false">BD89+BE89</f>
        <v>0</v>
      </c>
      <c r="BG89" s="20" t="n">
        <f aca="false">AW89-BE89+BA89*IF(Slot4_SpendLike=1,BC89-BD89,IF(Slot4_PotFree=1,BC89,0))</f>
        <v>0</v>
      </c>
      <c r="BH89" s="20" t="n">
        <f aca="false">AX89+BA89*Slot4_BufPot*BC89</f>
        <v>0</v>
      </c>
      <c r="BI89" s="20" t="n">
        <f aca="false">IF(AND(BA89=1,Slot4_IsMfree=1),IF(BF89&gt;=Slot4_Cost-1,0,MAX(0,AY89-BF89)),AY89)</f>
        <v>0</v>
      </c>
      <c r="BJ89" s="20" t="n">
        <f aca="false">BA89*(Slot4_Cost-BF89)</f>
        <v>0</v>
      </c>
      <c r="BK89" s="20" t="n">
        <f aca="false">IF(AND(Slot5_On=1,D89=Slot5_Age),1,0)</f>
        <v>0</v>
      </c>
      <c r="BL89" s="20" t="n">
        <f aca="false">IF(AND(Slot5_On=1,Slot5_Age&gt;D89),1,0)</f>
        <v>0</v>
      </c>
      <c r="BM89" s="20" t="n">
        <f aca="false">RC88</f>
        <v>0</v>
      </c>
      <c r="BN89" s="20" t="n">
        <f aca="false">BK89*MIN(Slot5_Cost,BM89)</f>
        <v>0</v>
      </c>
      <c r="BO89" s="20" t="n">
        <f aca="false">BK89*Slot5_SpendLike*MIN(Slot5_Cost-BN89,BG89)</f>
        <v>0</v>
      </c>
      <c r="BP89" s="20" t="n">
        <f aca="false">BN89+BO89</f>
        <v>0</v>
      </c>
      <c r="BQ89" s="20" t="n">
        <f aca="false">BG89-BO89+BK89*IF(Slot5_SpendLike=1,BM89-BN89,IF(Slot5_PotFree=1,BM89,0))</f>
        <v>0</v>
      </c>
      <c r="BR89" s="20" t="n">
        <f aca="false">BH89+BK89*Slot5_BufPot*BM89</f>
        <v>0</v>
      </c>
      <c r="BS89" s="20" t="n">
        <f aca="false">IF(AND(BK89=1,Slot5_IsMfree=1),IF(BP89&gt;=Slot5_Cost-1,0,MAX(0,BI89-BP89)),BI89)</f>
        <v>0</v>
      </c>
      <c r="BT89" s="20" t="n">
        <f aca="false">BK89*(Slot5_Cost-BP89)</f>
        <v>0</v>
      </c>
      <c r="BU89" s="20" t="n">
        <f aca="false">IF(AND(Slot6_On=1,D89=Slot6_Age),1,0)</f>
        <v>0</v>
      </c>
      <c r="BV89" s="20" t="n">
        <f aca="false">IF(AND(Slot6_On=1,Slot6_Age&gt;D89),1,0)</f>
        <v>0</v>
      </c>
      <c r="BW89" s="20" t="n">
        <f aca="false">RG88</f>
        <v>0</v>
      </c>
      <c r="BX89" s="20" t="n">
        <f aca="false">BU89*MIN(Slot6_Cost,BW89)</f>
        <v>0</v>
      </c>
      <c r="BY89" s="20" t="n">
        <f aca="false">BU89*Slot6_SpendLike*MIN(Slot6_Cost-BX89,BQ89)</f>
        <v>0</v>
      </c>
      <c r="BZ89" s="20" t="n">
        <f aca="false">BX89+BY89</f>
        <v>0</v>
      </c>
      <c r="CA89" s="20" t="n">
        <f aca="false">BQ89-BY89+BU89*IF(Slot6_SpendLike=1,BW89-BX89,IF(Slot6_PotFree=1,BW89,0))</f>
        <v>0</v>
      </c>
      <c r="CB89" s="20" t="n">
        <f aca="false">BR89+BU89*Slot6_BufPot*BW89</f>
        <v>0</v>
      </c>
      <c r="CC89" s="20" t="n">
        <f aca="false">IF(AND(BU89=1,Slot6_IsMfree=1),IF(BZ89&gt;=Slot6_Cost-1,0,MAX(0,BS89-BZ89)),BS89)</f>
        <v>0</v>
      </c>
      <c r="CD89" s="20" t="n">
        <f aca="false">BU89*(Slot6_Cost-BZ89)</f>
        <v>0</v>
      </c>
      <c r="CE89" s="20" t="n">
        <f aca="false">IF(AND(Slot7_On=1,D89=Slot7_Age),1,0)</f>
        <v>0</v>
      </c>
      <c r="CF89" s="20" t="n">
        <f aca="false">IF(AND(Slot7_On=1,Slot7_Age&gt;D89),1,0)</f>
        <v>0</v>
      </c>
      <c r="CG89" s="20" t="n">
        <f aca="false">RK88</f>
        <v>0</v>
      </c>
      <c r="CH89" s="20" t="n">
        <f aca="false">CE89*MIN(Slot7_Cost,CG89)</f>
        <v>0</v>
      </c>
      <c r="CI89" s="20" t="n">
        <f aca="false">CE89*Slot7_SpendLike*MIN(Slot7_Cost-CH89,CA89)</f>
        <v>0</v>
      </c>
      <c r="CJ89" s="20" t="n">
        <f aca="false">CH89+CI89</f>
        <v>0</v>
      </c>
      <c r="CK89" s="20" t="n">
        <f aca="false">CA89-CI89+CE89*IF(Slot7_SpendLike=1,CG89-CH89,IF(Slot7_PotFree=1,CG89,0))</f>
        <v>0</v>
      </c>
      <c r="CL89" s="20" t="n">
        <f aca="false">CB89+CE89*Slot7_BufPot*CG89</f>
        <v>0</v>
      </c>
      <c r="CM89" s="20" t="n">
        <f aca="false">IF(AND(CE89=1,Slot7_IsMfree=1),IF(CJ89&gt;=Slot7_Cost-1,0,MAX(0,CC89-CJ89)),CC89)</f>
        <v>0</v>
      </c>
      <c r="CN89" s="20" t="n">
        <f aca="false">CE89*(Slot7_Cost-CJ89)</f>
        <v>0</v>
      </c>
      <c r="CO89" s="20" t="n">
        <f aca="false">IF(AND(Slot8_On=1,D89=Slot8_Age),1,0)</f>
        <v>0</v>
      </c>
      <c r="CP89" s="20" t="n">
        <f aca="false">IF(AND(Slot8_On=1,Slot8_Age&gt;D89),1,0)</f>
        <v>0</v>
      </c>
      <c r="CQ89" s="20" t="n">
        <f aca="false">RO88</f>
        <v>0</v>
      </c>
      <c r="CR89" s="20" t="n">
        <f aca="false">CO89*MIN(Slot8_Cost,CQ89)</f>
        <v>0</v>
      </c>
      <c r="CS89" s="20" t="n">
        <f aca="false">CO89*Slot8_SpendLike*MIN(Slot8_Cost-CR89,CK89)</f>
        <v>0</v>
      </c>
      <c r="CT89" s="20" t="n">
        <f aca="false">CR89+CS89</f>
        <v>0</v>
      </c>
      <c r="CU89" s="20" t="n">
        <f aca="false">CK89-CS89+CO89*IF(Slot8_SpendLike=1,CQ89-CR89,IF(Slot8_PotFree=1,CQ89,0))</f>
        <v>0</v>
      </c>
      <c r="CV89" s="20" t="n">
        <f aca="false">CL89+CO89*Slot8_BufPot*CQ89</f>
        <v>0</v>
      </c>
      <c r="CW89" s="20" t="n">
        <f aca="false">IF(AND(CO89=1,Slot8_IsMfree=1),IF(CT89&gt;=Slot8_Cost-1,0,MAX(0,CM89-CT89)),CM89)</f>
        <v>0</v>
      </c>
      <c r="CX89" s="20" t="n">
        <f aca="false">CO89*(Slot8_Cost-CT89)</f>
        <v>0</v>
      </c>
      <c r="CY89" s="20" t="n">
        <f aca="false">IF(AND(Slot9_On=1,D89=Slot9_Age),1,0)</f>
        <v>0</v>
      </c>
      <c r="CZ89" s="20" t="n">
        <f aca="false">IF(AND(Slot9_On=1,Slot9_Age&gt;D89),1,0)</f>
        <v>0</v>
      </c>
      <c r="DA89" s="20" t="n">
        <f aca="false">RS88</f>
        <v>0</v>
      </c>
      <c r="DB89" s="20" t="n">
        <f aca="false">CY89*MIN(Slot9_Cost,DA89)</f>
        <v>0</v>
      </c>
      <c r="DC89" s="20" t="n">
        <f aca="false">CY89*Slot9_SpendLike*MIN(Slot9_Cost-DB89,CU89)</f>
        <v>0</v>
      </c>
      <c r="DD89" s="20" t="n">
        <f aca="false">DB89+DC89</f>
        <v>0</v>
      </c>
      <c r="DE89" s="20" t="n">
        <f aca="false">CU89-DC89+CY89*IF(Slot9_SpendLike=1,DA89-DB89,IF(Slot9_PotFree=1,DA89,0))</f>
        <v>0</v>
      </c>
      <c r="DF89" s="20" t="n">
        <f aca="false">CV89+CY89*Slot9_BufPot*DA89</f>
        <v>0</v>
      </c>
      <c r="DG89" s="20" t="n">
        <f aca="false">IF(AND(CY89=1,Slot9_IsMfree=1),IF(DD89&gt;=Slot9_Cost-1,0,MAX(0,CW89-DD89)),CW89)</f>
        <v>0</v>
      </c>
      <c r="DH89" s="20" t="n">
        <f aca="false">CY89*(Slot9_Cost-DD89)</f>
        <v>0</v>
      </c>
      <c r="DI89" s="20" t="n">
        <f aca="false">IF(AND(Slot10_On=1,D89=Slot10_Age),1,0)</f>
        <v>0</v>
      </c>
      <c r="DJ89" s="20" t="n">
        <f aca="false">IF(AND(Slot10_On=1,Slot10_Age&gt;D89),1,0)</f>
        <v>0</v>
      </c>
      <c r="DK89" s="20" t="n">
        <f aca="false">RW88</f>
        <v>0</v>
      </c>
      <c r="DL89" s="20" t="n">
        <f aca="false">DI89*MIN(Slot10_Cost,DK89)</f>
        <v>0</v>
      </c>
      <c r="DM89" s="20" t="n">
        <f aca="false">DI89*Slot10_SpendLike*MIN(Slot10_Cost-DL89,DE89)</f>
        <v>0</v>
      </c>
      <c r="DN89" s="20" t="n">
        <f aca="false">DL89+DM89</f>
        <v>0</v>
      </c>
      <c r="DO89" s="20" t="n">
        <f aca="false">DE89-DM89+DI89*IF(Slot10_SpendLike=1,DK89-DL89,IF(Slot10_PotFree=1,DK89,0))</f>
        <v>0</v>
      </c>
      <c r="DP89" s="20" t="n">
        <f aca="false">DF89+DI89*Slot10_BufPot*DK89</f>
        <v>0</v>
      </c>
      <c r="DQ89" s="20" t="n">
        <f aca="false">IF(AND(DI89=1,Slot10_IsMfree=1),IF(DN89&gt;=Slot10_Cost-1,0,MAX(0,DG89-DN89)),DG89)</f>
        <v>0</v>
      </c>
      <c r="DR89" s="20" t="n">
        <f aca="false">DI89*(Slot10_Cost-DN89)</f>
        <v>0</v>
      </c>
      <c r="DS89" s="20" t="n">
        <f aca="false">IF(AND(Slot11_On=1,D89=Slot11_Age),1,0)</f>
        <v>0</v>
      </c>
      <c r="DT89" s="20" t="n">
        <f aca="false">IF(AND(Slot11_On=1,Slot11_Age&gt;D89),1,0)</f>
        <v>0</v>
      </c>
      <c r="DU89" s="20" t="n">
        <f aca="false">SA88</f>
        <v>0</v>
      </c>
      <c r="DV89" s="20" t="n">
        <f aca="false">DS89*MIN(Slot11_Cost,DU89)</f>
        <v>0</v>
      </c>
      <c r="DW89" s="20" t="n">
        <f aca="false">DS89*Slot11_SpendLike*MIN(Slot11_Cost-DV89,DO89)</f>
        <v>0</v>
      </c>
      <c r="DX89" s="20" t="n">
        <f aca="false">DV89+DW89</f>
        <v>0</v>
      </c>
      <c r="DY89" s="20" t="n">
        <f aca="false">DO89-DW89+DS89*IF(Slot11_SpendLike=1,DU89-DV89,IF(Slot11_PotFree=1,DU89,0))</f>
        <v>0</v>
      </c>
      <c r="DZ89" s="20" t="n">
        <f aca="false">DP89+DS89*Slot11_BufPot*DU89</f>
        <v>0</v>
      </c>
      <c r="EA89" s="20" t="n">
        <f aca="false">IF(AND(DS89=1,Slot11_IsMfree=1),IF(DX89&gt;=Slot11_Cost-1,0,MAX(0,DQ89-DX89)),DQ89)</f>
        <v>0</v>
      </c>
      <c r="EB89" s="20" t="n">
        <f aca="false">DS89*(Slot11_Cost-DX89)</f>
        <v>0</v>
      </c>
      <c r="EC89" s="20" t="n">
        <f aca="false">IF(AND(Slot12_On=1,D89=Slot12_Age),1,0)</f>
        <v>0</v>
      </c>
      <c r="ED89" s="20" t="n">
        <f aca="false">IF(AND(Slot12_On=1,Slot12_Age&gt;D89),1,0)</f>
        <v>0</v>
      </c>
      <c r="EE89" s="20" t="n">
        <f aca="false">SE88</f>
        <v>0</v>
      </c>
      <c r="EF89" s="20" t="n">
        <f aca="false">EC89*MIN(Slot12_Cost,EE89)</f>
        <v>0</v>
      </c>
      <c r="EG89" s="20" t="n">
        <f aca="false">EC89*Slot12_SpendLike*MIN(Slot12_Cost-EF89,DY89)</f>
        <v>0</v>
      </c>
      <c r="EH89" s="20" t="n">
        <f aca="false">EF89+EG89</f>
        <v>0</v>
      </c>
      <c r="EI89" s="20" t="n">
        <f aca="false">DY89-EG89+EC89*IF(Slot12_SpendLike=1,EE89-EF89,IF(Slot12_PotFree=1,EE89,0))</f>
        <v>0</v>
      </c>
      <c r="EJ89" s="20" t="n">
        <f aca="false">DZ89+EC89*Slot12_BufPot*EE89</f>
        <v>0</v>
      </c>
      <c r="EK89" s="20" t="n">
        <f aca="false">IF(AND(EC89=1,Slot12_IsMfree=1),IF(EH89&gt;=Slot12_Cost-1,0,MAX(0,EA89-EH89)),EA89)</f>
        <v>0</v>
      </c>
      <c r="EL89" s="20" t="n">
        <f aca="false">EC89*(Slot12_Cost-EH89)</f>
        <v>0</v>
      </c>
      <c r="EM89" s="20" t="n">
        <f aca="false">IF(AND(Slot13_On=1,D89=Slot13_Age),1,0)</f>
        <v>0</v>
      </c>
      <c r="EN89" s="20" t="n">
        <f aca="false">IF(AND(Slot13_On=1,Slot13_Age&gt;D89),1,0)</f>
        <v>0</v>
      </c>
      <c r="EO89" s="20" t="n">
        <f aca="false">SI88</f>
        <v>0</v>
      </c>
      <c r="EP89" s="20" t="n">
        <f aca="false">EM89*MIN(Slot13_Cost,EO89)</f>
        <v>0</v>
      </c>
      <c r="EQ89" s="20" t="n">
        <f aca="false">EM89*Slot13_SpendLike*MIN(Slot13_Cost-EP89,EI89)</f>
        <v>0</v>
      </c>
      <c r="ER89" s="20" t="n">
        <f aca="false">EP89+EQ89</f>
        <v>0</v>
      </c>
      <c r="ES89" s="20" t="n">
        <f aca="false">EI89-EQ89+EM89*IF(Slot13_SpendLike=1,EO89-EP89,IF(Slot13_PotFree=1,EO89,0))</f>
        <v>0</v>
      </c>
      <c r="ET89" s="20" t="n">
        <f aca="false">EJ89+EM89*Slot13_BufPot*EO89</f>
        <v>0</v>
      </c>
      <c r="EU89" s="20" t="n">
        <f aca="false">IF(AND(EM89=1,Slot13_IsMfree=1),IF(ER89&gt;=Slot13_Cost-1,0,MAX(0,EK89-ER89)),EK89)</f>
        <v>0</v>
      </c>
      <c r="EV89" s="20" t="n">
        <f aca="false">EM89*(Slot13_Cost-ER89)</f>
        <v>0</v>
      </c>
      <c r="EW89" s="20" t="n">
        <f aca="false">IF(AND(Slot14_On=1,D89=Slot14_Age),1,0)</f>
        <v>0</v>
      </c>
      <c r="EX89" s="20" t="n">
        <f aca="false">IF(AND(Slot14_On=1,Slot14_Age&gt;D89),1,0)</f>
        <v>0</v>
      </c>
      <c r="EY89" s="20" t="n">
        <f aca="false">SM88</f>
        <v>0</v>
      </c>
      <c r="EZ89" s="20" t="n">
        <f aca="false">EW89*MIN(Slot14_Cost,EY89)</f>
        <v>0</v>
      </c>
      <c r="FA89" s="20" t="n">
        <f aca="false">EW89*Slot14_SpendLike*MIN(Slot14_Cost-EZ89,ES89)</f>
        <v>0</v>
      </c>
      <c r="FB89" s="20" t="n">
        <f aca="false">EZ89+FA89</f>
        <v>0</v>
      </c>
      <c r="FC89" s="20" t="n">
        <f aca="false">ES89-FA89+EW89*IF(Slot14_SpendLike=1,EY89-EZ89,IF(Slot14_PotFree=1,EY89,0))</f>
        <v>0</v>
      </c>
      <c r="FD89" s="20" t="n">
        <f aca="false">ET89+EW89*Slot14_BufPot*EY89</f>
        <v>0</v>
      </c>
      <c r="FE89" s="20" t="n">
        <f aca="false">IF(AND(EW89=1,Slot14_IsMfree=1),IF(FB89&gt;=Slot14_Cost-1,0,MAX(0,EU89-FB89)),EU89)</f>
        <v>0</v>
      </c>
      <c r="FF89" s="20" t="n">
        <f aca="false">EW89*(Slot14_Cost-FB89)</f>
        <v>0</v>
      </c>
      <c r="FG89" s="20" t="n">
        <f aca="false">IF(AND(Slot15_On=1,D89=Slot15_Age),1,0)</f>
        <v>0</v>
      </c>
      <c r="FH89" s="20" t="n">
        <f aca="false">IF(AND(Slot15_On=1,Slot15_Age&gt;D89),1,0)</f>
        <v>0</v>
      </c>
      <c r="FI89" s="20" t="n">
        <f aca="false">SQ88</f>
        <v>0</v>
      </c>
      <c r="FJ89" s="20" t="n">
        <f aca="false">FG89*MIN(Slot15_Cost,FI89)</f>
        <v>0</v>
      </c>
      <c r="FK89" s="20" t="n">
        <f aca="false">FG89*Slot15_SpendLike*MIN(Slot15_Cost-FJ89,FC89)</f>
        <v>0</v>
      </c>
      <c r="FL89" s="20" t="n">
        <f aca="false">FJ89+FK89</f>
        <v>0</v>
      </c>
      <c r="FM89" s="20" t="n">
        <f aca="false">FC89-FK89+FG89*IF(Slot15_SpendLike=1,FI89-FJ89,IF(Slot15_PotFree=1,FI89,0))</f>
        <v>0</v>
      </c>
      <c r="FN89" s="20" t="n">
        <f aca="false">FD89+FG89*Slot15_BufPot*FI89</f>
        <v>0</v>
      </c>
      <c r="FO89" s="20" t="n">
        <f aca="false">IF(AND(FG89=1,Slot15_IsMfree=1),IF(FL89&gt;=Slot15_Cost-1,0,MAX(0,FE89-FL89)),FE89)</f>
        <v>0</v>
      </c>
      <c r="FP89" s="20" t="n">
        <f aca="false">FG89*(Slot15_Cost-FL89)</f>
        <v>0</v>
      </c>
      <c r="FQ89" s="20" t="n">
        <f aca="false">IF(AND(Slot16_On=1,D89=Slot16_Age),1,0)</f>
        <v>0</v>
      </c>
      <c r="FR89" s="20" t="n">
        <f aca="false">IF(AND(Slot16_On=1,Slot16_Age&gt;D89),1,0)</f>
        <v>0</v>
      </c>
      <c r="FS89" s="20" t="n">
        <f aca="false">SU88</f>
        <v>0</v>
      </c>
      <c r="FT89" s="20" t="n">
        <f aca="false">FQ89*MIN(Slot16_Cost,FS89)</f>
        <v>0</v>
      </c>
      <c r="FU89" s="20" t="n">
        <f aca="false">FQ89*Slot16_SpendLike*MIN(Slot16_Cost-FT89,FM89)</f>
        <v>0</v>
      </c>
      <c r="FV89" s="20" t="n">
        <f aca="false">FT89+FU89</f>
        <v>0</v>
      </c>
      <c r="FW89" s="20" t="n">
        <f aca="false">FM89-FU89+FQ89*IF(Slot16_SpendLike=1,FS89-FT89,IF(Slot16_PotFree=1,FS89,0))</f>
        <v>0</v>
      </c>
      <c r="FX89" s="20" t="n">
        <f aca="false">FN89+FQ89*Slot16_BufPot*FS89</f>
        <v>0</v>
      </c>
      <c r="FY89" s="20" t="n">
        <f aca="false">IF(AND(FQ89=1,Slot16_IsMfree=1),IF(FV89&gt;=Slot16_Cost-1,0,MAX(0,FO89-FV89)),FO89)</f>
        <v>0</v>
      </c>
      <c r="FZ89" s="20" t="n">
        <f aca="false">FQ89*(Slot16_Cost-FV89)</f>
        <v>0</v>
      </c>
      <c r="GA89" s="20" t="n">
        <f aca="false">IF(AND(Slot17_On=1,D89=Slot17_Age),1,0)</f>
        <v>0</v>
      </c>
      <c r="GB89" s="20" t="n">
        <f aca="false">IF(AND(Slot17_On=1,Slot17_Age&gt;D89),1,0)</f>
        <v>0</v>
      </c>
      <c r="GC89" s="20" t="n">
        <f aca="false">SY88</f>
        <v>0</v>
      </c>
      <c r="GD89" s="20" t="n">
        <f aca="false">GA89*MIN(Slot17_Cost,GC89)</f>
        <v>0</v>
      </c>
      <c r="GE89" s="20" t="n">
        <f aca="false">GA89*Slot17_SpendLike*MIN(Slot17_Cost-GD89,FW89)</f>
        <v>0</v>
      </c>
      <c r="GF89" s="20" t="n">
        <f aca="false">GD89+GE89</f>
        <v>0</v>
      </c>
      <c r="GG89" s="20" t="n">
        <f aca="false">FW89-GE89+GA89*IF(Slot17_SpendLike=1,GC89-GD89,IF(Slot17_PotFree=1,GC89,0))</f>
        <v>0</v>
      </c>
      <c r="GH89" s="20" t="n">
        <f aca="false">FX89+GA89*Slot17_BufPot*GC89</f>
        <v>0</v>
      </c>
      <c r="GI89" s="20" t="n">
        <f aca="false">IF(AND(GA89=1,Slot17_IsMfree=1),IF(GF89&gt;=Slot17_Cost-1,0,MAX(0,FY89-GF89)),FY89)</f>
        <v>0</v>
      </c>
      <c r="GJ89" s="20" t="n">
        <f aca="false">GA89*(Slot17_Cost-GF89)</f>
        <v>0</v>
      </c>
      <c r="GK89" s="20" t="n">
        <f aca="false">IF(AND(Slot18_On=1,D89=Slot18_Age),1,0)</f>
        <v>0</v>
      </c>
      <c r="GL89" s="20" t="n">
        <f aca="false">IF(AND(Slot18_On=1,Slot18_Age&gt;D89),1,0)</f>
        <v>0</v>
      </c>
      <c r="GM89" s="20" t="n">
        <f aca="false">TC88</f>
        <v>0</v>
      </c>
      <c r="GN89" s="20" t="n">
        <f aca="false">GK89*MIN(Slot18_Cost,GM89)</f>
        <v>0</v>
      </c>
      <c r="GO89" s="20" t="n">
        <f aca="false">GK89*Slot18_SpendLike*MIN(Slot18_Cost-GN89,GG89)</f>
        <v>0</v>
      </c>
      <c r="GP89" s="20" t="n">
        <f aca="false">GN89+GO89</f>
        <v>0</v>
      </c>
      <c r="GQ89" s="20" t="n">
        <f aca="false">GG89-GO89+GK89*IF(Slot18_SpendLike=1,GM89-GN89,IF(Slot18_PotFree=1,GM89,0))</f>
        <v>0</v>
      </c>
      <c r="GR89" s="20" t="n">
        <f aca="false">GH89+GK89*Slot18_BufPot*GM89</f>
        <v>0</v>
      </c>
      <c r="GS89" s="20" t="n">
        <f aca="false">IF(AND(GK89=1,Slot18_IsMfree=1),IF(GP89&gt;=Slot18_Cost-1,0,MAX(0,GI89-GP89)),GI89)</f>
        <v>0</v>
      </c>
      <c r="GT89" s="20" t="n">
        <f aca="false">GK89*(Slot18_Cost-GP89)</f>
        <v>0</v>
      </c>
      <c r="GU89" s="20" t="n">
        <f aca="false">IF(AND(Slot19_On=1,D89=Slot19_Age),1,0)</f>
        <v>0</v>
      </c>
      <c r="GV89" s="20" t="n">
        <f aca="false">IF(AND(Slot19_On=1,Slot19_Age&gt;D89),1,0)</f>
        <v>0</v>
      </c>
      <c r="GW89" s="20" t="n">
        <f aca="false">TG88</f>
        <v>0</v>
      </c>
      <c r="GX89" s="20" t="n">
        <f aca="false">GU89*MIN(Slot19_Cost,GW89)</f>
        <v>0</v>
      </c>
      <c r="GY89" s="20" t="n">
        <f aca="false">GU89*Slot19_SpendLike*MIN(Slot19_Cost-GX89,GQ89)</f>
        <v>0</v>
      </c>
      <c r="GZ89" s="20" t="n">
        <f aca="false">GX89+GY89</f>
        <v>0</v>
      </c>
      <c r="HA89" s="20" t="n">
        <f aca="false">GQ89-GY89+GU89*IF(Slot19_SpendLike=1,GW89-GX89,IF(Slot19_PotFree=1,GW89,0))</f>
        <v>0</v>
      </c>
      <c r="HB89" s="20" t="n">
        <f aca="false">GR89+GU89*Slot19_BufPot*GW89</f>
        <v>0</v>
      </c>
      <c r="HC89" s="20" t="n">
        <f aca="false">IF(AND(GU89=1,Slot19_IsMfree=1),IF(GZ89&gt;=Slot19_Cost-1,0,MAX(0,GS89-GZ89)),GS89)</f>
        <v>0</v>
      </c>
      <c r="HD89" s="20" t="n">
        <f aca="false">GU89*(Slot19_Cost-GZ89)</f>
        <v>0</v>
      </c>
      <c r="HE89" s="20" t="n">
        <f aca="false">IF(AND(Slot20_On=1,D89=Slot20_Age),1,0)</f>
        <v>0</v>
      </c>
      <c r="HF89" s="20" t="n">
        <f aca="false">IF(AND(Slot20_On=1,Slot20_Age&gt;D89),1,0)</f>
        <v>0</v>
      </c>
      <c r="HG89" s="20" t="n">
        <f aca="false">TK88</f>
        <v>0</v>
      </c>
      <c r="HH89" s="20" t="n">
        <f aca="false">HE89*MIN(Slot20_Cost,HG89)</f>
        <v>0</v>
      </c>
      <c r="HI89" s="20" t="n">
        <f aca="false">HE89*Slot20_SpendLike*MIN(Slot20_Cost-HH89,HA89)</f>
        <v>0</v>
      </c>
      <c r="HJ89" s="20" t="n">
        <f aca="false">HH89+HI89</f>
        <v>0</v>
      </c>
      <c r="HK89" s="20" t="n">
        <f aca="false">HA89-HI89+HE89*IF(Slot20_SpendLike=1,HG89-HH89,IF(Slot20_PotFree=1,HG89,0))</f>
        <v>0</v>
      </c>
      <c r="HL89" s="20" t="n">
        <f aca="false">HB89+HE89*Slot20_BufPot*HG89</f>
        <v>0</v>
      </c>
      <c r="HM89" s="20" t="n">
        <f aca="false">IF(AND(HE89=1,Slot20_IsMfree=1),IF(HJ89&gt;=Slot20_Cost-1,0,MAX(0,HC89-HJ89)),HC89)</f>
        <v>0</v>
      </c>
      <c r="HN89" s="20" t="n">
        <f aca="false">HE89*(Slot20_Cost-HJ89)</f>
        <v>0</v>
      </c>
      <c r="HO89" s="20" t="n">
        <f aca="false">V89*Slot1_SpendLike*AA89+AG89*Slot2_SpendLike*AL89+AQ89*Slot3_SpendLike*AV89+BA89*Slot4_SpendLike*BF89+BK89*Slot5_SpendLike*BP89+BU89*Slot6_SpendLike*BZ89+CE89*Slot7_SpendLike*CJ89+CO89*Slot8_SpendLike*CT89+CY89*Slot9_SpendLike*DD89+DI89*Slot10_SpendLike*DN89+DS89*Slot11_SpendLike*DX89+EC89*Slot12_SpendLike*EH89+EM89*Slot13_SpendLike*ER89+EW89*Slot14_SpendLike*FB89+FG89*Slot15_SpendLike*FL89+FQ89*Slot16_SpendLike*FV89+GA89*Slot17_SpendLike*GF89+GK89*Slot18_SpendLike*GP89+GU89*Slot19_SpendLike*GZ89+HE89*Slot20_SpendLike*HJ89</f>
        <v>0</v>
      </c>
      <c r="HP89" s="20" t="n">
        <f aca="false">AE89+AP89+AZ89+BJ89+BT89+CD89+CN89+CX89+DH89+DR89+EB89+EL89+EV89+FF89+FP89+FZ89+GJ89+GT89+HD89+HN89</f>
        <v>0</v>
      </c>
      <c r="HQ89" s="20" t="n">
        <f aca="false">V89*Slot1_Cost+AG89*Slot2_Cost+AQ89*Slot3_Cost+BA89*Slot4_Cost+BK89*Slot5_Cost+BU89*Slot6_Cost+CE89*Slot7_Cost+CO89*Slot8_Cost+CY89*Slot9_Cost+DI89*Slot10_Cost+DS89*Slot11_Cost+EC89*Slot12_Cost+EM89*Slot13_Cost+EW89*Slot14_Cost+FG89*Slot15_Cost+FQ89*Slot16_Cost+GA89*Slot17_Cost+GK89*Slot18_Cost+GU89*Slot19_Cost+HE89*Slot20_Cost</f>
        <v>0</v>
      </c>
      <c r="HR89" s="20" t="n">
        <f aca="false">HM89</f>
        <v>0</v>
      </c>
      <c r="HS89" s="20" t="n">
        <f aca="false">H89-I89-S89</f>
        <v>-95806.4279819695</v>
      </c>
      <c r="HT89" s="20" t="n">
        <f aca="false">IF(B89=0,IF(AND(Has_q6=1,In_q6=4),PR_ShareVaries*(MAX(0,HS89)/12),MIN(IF(Has_q6=1,CHOOSE(In_q6+1,PR_SaveB1,PR_SaveB2,PR_SaveB3,PR_SaveB4,0),AS_NoAnswer),AS_SaveShare*(MAX(0,HS89)/12))),HT88)</f>
        <v>67.3316893520437</v>
      </c>
      <c r="HU89" s="20" t="n">
        <f aca="false">IF(HS89&gt;=0,1,0)</f>
        <v>0</v>
      </c>
      <c r="HV89" s="20" t="n">
        <f aca="false">MAX(0,HS89/12/F89)</f>
        <v>0</v>
      </c>
      <c r="HW89" s="20" t="n">
        <f aca="false">IF(AND(Has_q6=1,In_q6=4),PR_ShareVaries*(HV89),MIN(IF(Has_q6=1,CHOOSE(In_q6+1,PR_SaveB1,PR_SaveB2,PR_SaveB3,PR_SaveB4,0),AS_NoAnswer),AS_SaveShare*(HV89)))</f>
        <v>0</v>
      </c>
      <c r="HX89" s="20" t="n">
        <f aca="false">IF(Has_saveM=1,IF(In_saveUp="Yes",1,IF(In_saveUp="No",0,IF(In_saveM&gt;=HT89-0.5,1,0))),0)</f>
        <v>0</v>
      </c>
      <c r="HY89" s="20" t="n">
        <f aca="false">IF(Has_saveM=1,MIN(HV89,IF(HX89=1,MAX(In_saveM,HW89),MIN(In_saveM,HW89))),HW89)</f>
        <v>0</v>
      </c>
      <c r="HZ89" s="20" t="n">
        <f aca="false">IF(G89=1,HY89*12*F89,0)</f>
        <v>0</v>
      </c>
      <c r="IA89" s="20" t="n">
        <f aca="false">MAX(0,HZ89+IF(AND(WI_Retire=0,WI_M&lt;0,G89=1),WI_M*12*F89,0))</f>
        <v>0</v>
      </c>
      <c r="IB89" s="20" t="n">
        <f aca="false">Slot1_IsWG*W89+Slot2_IsWG*AH89+Slot3_IsWG*AR89+Slot4_IsWG*BB89+Slot5_IsWG*BL89+Slot6_IsWG*BV89+Slot7_IsWG*CF89+Slot8_IsWG*CP89+Slot9_IsWG*CZ89+Slot10_IsWG*DJ89+Slot11_IsWG*DT89+Slot12_IsWG*ED89+Slot13_IsWG*EN89+Slot14_IsWG*EX89+Slot15_IsWG*FH89+Slot16_IsWG*FR89+Slot17_IsWG*GB89+Slot18_IsWG*GL89+Slot19_IsWG*GV89+Slot20_IsWG*HF89</f>
        <v>0</v>
      </c>
      <c r="IC89" s="20" t="n">
        <f aca="false">IF(AND(WI_Retire=0,WI_M&gt;0,G89=1,IB89&gt;=1),WI_M*12*F89,0)</f>
        <v>0</v>
      </c>
      <c r="ID89" s="20" t="n">
        <f aca="false">IF(HU89=1,MIN(IA89,HS89),0)</f>
        <v>0</v>
      </c>
      <c r="IE89" s="20" t="n">
        <f aca="false">IF(HU89=1,MIN(IC89,HS89-ID89),0)</f>
        <v>0</v>
      </c>
      <c r="IF89" s="20" t="n">
        <f aca="false">IF(W89=1,IF(ABS((1+AS_Wage)/(1+Slot1_Rate)-1)&lt;0.000000000001,(Slot1_Age-D89)*(1+Slot1_Rate)^(Slot1_Age-D89),(1+Slot1_Rate)^(Slot1_Age-D89)*(1-((1+AS_Wage)/(1+Slot1_Rate))^(Slot1_Age-D89))/(1-(1+AS_Wage)/(1+Slot1_Rate))),1)</f>
        <v>1</v>
      </c>
      <c r="IG89" s="20" t="n">
        <f aca="false">IF(AND(HU89=1,IE89&gt;0,Slot1_IsWG=1,W89=1),MAX(0,(Slot1_Cost-X89*(1+Slot1_Rate)^(Slot1_Age-D89))/IF89),0)</f>
        <v>0</v>
      </c>
      <c r="IH89" s="20" t="n">
        <f aca="false">IF(AND(HU89=1,IE89&gt;0,Slot1_IsWG=1,W89=1),MIN(IE89,IG89),0)</f>
        <v>0</v>
      </c>
      <c r="II89" s="20" t="n">
        <f aca="false">X89+IH89</f>
        <v>0</v>
      </c>
      <c r="IJ89" s="20" t="n">
        <f aca="false">IF(W89=1,MAX(0,(Slot1_Cost-II89*(1+Slot1_Rate)^(Slot1_Age-D89))/IF89),0)</f>
        <v>0</v>
      </c>
      <c r="IK89" s="20" t="n">
        <f aca="false">IF(W89=1,MAX(0,(Slot1_Cost-X89*(1+Slot1_Rate)^(Slot1_Age-D89))/IF89),0)</f>
        <v>0</v>
      </c>
      <c r="IL89" s="20" t="n">
        <f aca="false">IF(AND(HU89=1,W89=1),MIN(ID89,IJ89),0)</f>
        <v>0</v>
      </c>
      <c r="IM89" s="20" t="n">
        <f aca="false">ID89-IL89</f>
        <v>0</v>
      </c>
      <c r="IN89" s="20" t="n">
        <f aca="false">IF(AH89=1,IF(ABS((1+AS_Wage)/(1+Slot2_Rate)-1)&lt;0.000000000001,(Slot2_Age-D89)*(1+Slot2_Rate)^(Slot2_Age-D89),(1+Slot2_Rate)^(Slot2_Age-D89)*(1-((1+AS_Wage)/(1+Slot2_Rate))^(Slot2_Age-D89))/(1-(1+AS_Wage)/(1+Slot2_Rate))),1)</f>
        <v>1</v>
      </c>
      <c r="IO89" s="20" t="n">
        <f aca="false">IF(AND(HU89=1,IE89&gt;0,Slot2_IsWG=1,AH89=1),MAX(0,(Slot2_Cost-AI89*(1+Slot2_Rate)^(Slot2_Age-D89))/IN89),0)</f>
        <v>0</v>
      </c>
      <c r="IP89" s="20" t="n">
        <f aca="false">IF(AND(HU89=1,IE89&gt;0,Slot2_IsWG=1,AH89=1),MIN(IE89,IO89),0)</f>
        <v>0</v>
      </c>
      <c r="IQ89" s="20" t="n">
        <f aca="false">AI89+IP89</f>
        <v>0</v>
      </c>
      <c r="IR89" s="20" t="n">
        <f aca="false">IF(AH89=1,MAX(0,(Slot2_Cost-IQ89*(1+Slot2_Rate)^(Slot2_Age-D89))/IN89),0)</f>
        <v>0</v>
      </c>
      <c r="IS89" s="20" t="n">
        <f aca="false">IF(AH89=1,MAX(0,(Slot2_Cost-AI89*(1+Slot2_Rate)^(Slot2_Age-D89))/IN89),0)</f>
        <v>0</v>
      </c>
      <c r="IT89" s="20" t="n">
        <f aca="false">IF(AND(HU89=1,AH89=1),MIN(IM89,IR89),0)</f>
        <v>0</v>
      </c>
      <c r="IU89" s="20" t="n">
        <f aca="false">IM89-IT89</f>
        <v>0</v>
      </c>
      <c r="IV89" s="20" t="n">
        <f aca="false">IF(AR89=1,IF(ABS((1+AS_Wage)/(1+Slot3_Rate)-1)&lt;0.000000000001,(Slot3_Age-D89)*(1+Slot3_Rate)^(Slot3_Age-D89),(1+Slot3_Rate)^(Slot3_Age-D89)*(1-((1+AS_Wage)/(1+Slot3_Rate))^(Slot3_Age-D89))/(1-(1+AS_Wage)/(1+Slot3_Rate))),1)</f>
        <v>1</v>
      </c>
      <c r="IW89" s="20" t="n">
        <f aca="false">IF(AND(HU89=1,IE89&gt;0,Slot3_IsWG=1,AR89=1),MAX(0,(Slot3_Cost-AS89*(1+Slot3_Rate)^(Slot3_Age-D89))/IV89),0)</f>
        <v>0</v>
      </c>
      <c r="IX89" s="20" t="n">
        <f aca="false">IF(AND(HU89=1,IE89&gt;0,Slot3_IsWG=1,AR89=1),MIN(IE89,IW89),0)</f>
        <v>0</v>
      </c>
      <c r="IY89" s="20" t="n">
        <f aca="false">AS89+IX89</f>
        <v>0</v>
      </c>
      <c r="IZ89" s="20" t="n">
        <f aca="false">IF(AR89=1,MAX(0,(Slot3_Cost-IY89*(1+Slot3_Rate)^(Slot3_Age-D89))/IV89),0)</f>
        <v>0</v>
      </c>
      <c r="JA89" s="20" t="n">
        <f aca="false">IF(AR89=1,MAX(0,(Slot3_Cost-AS89*(1+Slot3_Rate)^(Slot3_Age-D89))/IV89),0)</f>
        <v>0</v>
      </c>
      <c r="JB89" s="20" t="n">
        <f aca="false">IF(AND(HU89=1,AR89=1),MIN(IU89,IZ89),0)</f>
        <v>0</v>
      </c>
      <c r="JC89" s="20" t="n">
        <f aca="false">IU89-JB89</f>
        <v>0</v>
      </c>
      <c r="JD89" s="20" t="n">
        <f aca="false">IF(BB89=1,IF(ABS((1+AS_Wage)/(1+Slot4_Rate)-1)&lt;0.000000000001,(Slot4_Age-D89)*(1+Slot4_Rate)^(Slot4_Age-D89),(1+Slot4_Rate)^(Slot4_Age-D89)*(1-((1+AS_Wage)/(1+Slot4_Rate))^(Slot4_Age-D89))/(1-(1+AS_Wage)/(1+Slot4_Rate))),1)</f>
        <v>1</v>
      </c>
      <c r="JE89" s="20" t="n">
        <f aca="false">IF(AND(HU89=1,IE89&gt;0,Slot4_IsWG=1,BB89=1),MAX(0,(Slot4_Cost-BC89*(1+Slot4_Rate)^(Slot4_Age-D89))/JD89),0)</f>
        <v>0</v>
      </c>
      <c r="JF89" s="20" t="n">
        <f aca="false">IF(AND(HU89=1,IE89&gt;0,Slot4_IsWG=1,BB89=1),MIN(IE89,JE89),0)</f>
        <v>0</v>
      </c>
      <c r="JG89" s="20" t="n">
        <f aca="false">BC89+JF89</f>
        <v>0</v>
      </c>
      <c r="JH89" s="20" t="n">
        <f aca="false">IF(BB89=1,MAX(0,(Slot4_Cost-JG89*(1+Slot4_Rate)^(Slot4_Age-D89))/JD89),0)</f>
        <v>0</v>
      </c>
      <c r="JI89" s="20" t="n">
        <f aca="false">IF(BB89=1,MAX(0,(Slot4_Cost-BC89*(1+Slot4_Rate)^(Slot4_Age-D89))/JD89),0)</f>
        <v>0</v>
      </c>
      <c r="JJ89" s="20" t="n">
        <f aca="false">IF(AND(HU89=1,BB89=1),MIN(JC89,JH89),0)</f>
        <v>0</v>
      </c>
      <c r="JK89" s="20" t="n">
        <f aca="false">JC89-JJ89</f>
        <v>0</v>
      </c>
      <c r="JL89" s="20" t="n">
        <f aca="false">IF(BL89=1,IF(ABS((1+AS_Wage)/(1+Slot5_Rate)-1)&lt;0.000000000001,(Slot5_Age-D89)*(1+Slot5_Rate)^(Slot5_Age-D89),(1+Slot5_Rate)^(Slot5_Age-D89)*(1-((1+AS_Wage)/(1+Slot5_Rate))^(Slot5_Age-D89))/(1-(1+AS_Wage)/(1+Slot5_Rate))),1)</f>
        <v>1</v>
      </c>
      <c r="JM89" s="20" t="n">
        <f aca="false">IF(AND(HU89=1,IE89&gt;0,Slot5_IsWG=1,BL89=1),MAX(0,(Slot5_Cost-BM89*(1+Slot5_Rate)^(Slot5_Age-D89))/JL89),0)</f>
        <v>0</v>
      </c>
      <c r="JN89" s="20" t="n">
        <f aca="false">IF(AND(HU89=1,IE89&gt;0,Slot5_IsWG=1,BL89=1),MIN(IE89,JM89),0)</f>
        <v>0</v>
      </c>
      <c r="JO89" s="20" t="n">
        <f aca="false">BM89+JN89</f>
        <v>0</v>
      </c>
      <c r="JP89" s="20" t="n">
        <f aca="false">IF(BL89=1,MAX(0,(Slot5_Cost-JO89*(1+Slot5_Rate)^(Slot5_Age-D89))/JL89),0)</f>
        <v>0</v>
      </c>
      <c r="JQ89" s="20" t="n">
        <f aca="false">IF(BL89=1,MAX(0,(Slot5_Cost-BM89*(1+Slot5_Rate)^(Slot5_Age-D89))/JL89),0)</f>
        <v>0</v>
      </c>
      <c r="JR89" s="20" t="n">
        <f aca="false">IF(AND(HU89=1,BL89=1),MIN(JK89,JP89),0)</f>
        <v>0</v>
      </c>
      <c r="JS89" s="20" t="n">
        <f aca="false">JK89-JR89</f>
        <v>0</v>
      </c>
      <c r="JT89" s="20" t="n">
        <f aca="false">IF(BV89=1,IF(ABS((1+AS_Wage)/(1+Slot6_Rate)-1)&lt;0.000000000001,(Slot6_Age-D89)*(1+Slot6_Rate)^(Slot6_Age-D89),(1+Slot6_Rate)^(Slot6_Age-D89)*(1-((1+AS_Wage)/(1+Slot6_Rate))^(Slot6_Age-D89))/(1-(1+AS_Wage)/(1+Slot6_Rate))),1)</f>
        <v>1</v>
      </c>
      <c r="JU89" s="20" t="n">
        <f aca="false">IF(AND(HU89=1,IE89&gt;0,Slot6_IsWG=1,BV89=1),MAX(0,(Slot6_Cost-BW89*(1+Slot6_Rate)^(Slot6_Age-D89))/JT89),0)</f>
        <v>0</v>
      </c>
      <c r="JV89" s="20" t="n">
        <f aca="false">IF(AND(HU89=1,IE89&gt;0,Slot6_IsWG=1,BV89=1),MIN(IE89,JU89),0)</f>
        <v>0</v>
      </c>
      <c r="JW89" s="20" t="n">
        <f aca="false">BW89+JV89</f>
        <v>0</v>
      </c>
      <c r="JX89" s="20" t="n">
        <f aca="false">IF(BV89=1,MAX(0,(Slot6_Cost-JW89*(1+Slot6_Rate)^(Slot6_Age-D89))/JT89),0)</f>
        <v>0</v>
      </c>
      <c r="JY89" s="20" t="n">
        <f aca="false">IF(BV89=1,MAX(0,(Slot6_Cost-BW89*(1+Slot6_Rate)^(Slot6_Age-D89))/JT89),0)</f>
        <v>0</v>
      </c>
      <c r="JZ89" s="20" t="n">
        <f aca="false">IF(AND(HU89=1,BV89=1),MIN(JS89,JX89),0)</f>
        <v>0</v>
      </c>
      <c r="KA89" s="20" t="n">
        <f aca="false">JS89-JZ89</f>
        <v>0</v>
      </c>
      <c r="KB89" s="20" t="n">
        <f aca="false">IF(CF89=1,IF(ABS((1+AS_Wage)/(1+Slot7_Rate)-1)&lt;0.000000000001,(Slot7_Age-D89)*(1+Slot7_Rate)^(Slot7_Age-D89),(1+Slot7_Rate)^(Slot7_Age-D89)*(1-((1+AS_Wage)/(1+Slot7_Rate))^(Slot7_Age-D89))/(1-(1+AS_Wage)/(1+Slot7_Rate))),1)</f>
        <v>1</v>
      </c>
      <c r="KC89" s="20" t="n">
        <f aca="false">IF(AND(HU89=1,IE89&gt;0,Slot7_IsWG=1,CF89=1),MAX(0,(Slot7_Cost-CG89*(1+Slot7_Rate)^(Slot7_Age-D89))/KB89),0)</f>
        <v>0</v>
      </c>
      <c r="KD89" s="20" t="n">
        <f aca="false">IF(AND(HU89=1,IE89&gt;0,Slot7_IsWG=1,CF89=1),MIN(IE89,KC89),0)</f>
        <v>0</v>
      </c>
      <c r="KE89" s="20" t="n">
        <f aca="false">CG89+KD89</f>
        <v>0</v>
      </c>
      <c r="KF89" s="20" t="n">
        <f aca="false">IF(CF89=1,MAX(0,(Slot7_Cost-KE89*(1+Slot7_Rate)^(Slot7_Age-D89))/KB89),0)</f>
        <v>0</v>
      </c>
      <c r="KG89" s="20" t="n">
        <f aca="false">IF(CF89=1,MAX(0,(Slot7_Cost-CG89*(1+Slot7_Rate)^(Slot7_Age-D89))/KB89),0)</f>
        <v>0</v>
      </c>
      <c r="KH89" s="20" t="n">
        <f aca="false">IF(AND(HU89=1,CF89=1),MIN(KA89,KF89),0)</f>
        <v>0</v>
      </c>
      <c r="KI89" s="20" t="n">
        <f aca="false">KA89-KH89</f>
        <v>0</v>
      </c>
      <c r="KJ89" s="20" t="n">
        <f aca="false">IF(CP89=1,IF(ABS((1+AS_Wage)/(1+Slot8_Rate)-1)&lt;0.000000000001,(Slot8_Age-D89)*(1+Slot8_Rate)^(Slot8_Age-D89),(1+Slot8_Rate)^(Slot8_Age-D89)*(1-((1+AS_Wage)/(1+Slot8_Rate))^(Slot8_Age-D89))/(1-(1+AS_Wage)/(1+Slot8_Rate))),1)</f>
        <v>1</v>
      </c>
      <c r="KK89" s="20" t="n">
        <f aca="false">IF(AND(HU89=1,IE89&gt;0,Slot8_IsWG=1,CP89=1),MAX(0,(Slot8_Cost-CQ89*(1+Slot8_Rate)^(Slot8_Age-D89))/KJ89),0)</f>
        <v>0</v>
      </c>
      <c r="KL89" s="20" t="n">
        <f aca="false">IF(AND(HU89=1,IE89&gt;0,Slot8_IsWG=1,CP89=1),MIN(IE89,KK89),0)</f>
        <v>0</v>
      </c>
      <c r="KM89" s="20" t="n">
        <f aca="false">CQ89+KL89</f>
        <v>0</v>
      </c>
      <c r="KN89" s="20" t="n">
        <f aca="false">IF(CP89=1,MAX(0,(Slot8_Cost-KM89*(1+Slot8_Rate)^(Slot8_Age-D89))/KJ89),0)</f>
        <v>0</v>
      </c>
      <c r="KO89" s="20" t="n">
        <f aca="false">IF(CP89=1,MAX(0,(Slot8_Cost-CQ89*(1+Slot8_Rate)^(Slot8_Age-D89))/KJ89),0)</f>
        <v>0</v>
      </c>
      <c r="KP89" s="20" t="n">
        <f aca="false">IF(AND(HU89=1,CP89=1),MIN(KI89,KN89),0)</f>
        <v>0</v>
      </c>
      <c r="KQ89" s="20" t="n">
        <f aca="false">KI89-KP89</f>
        <v>0</v>
      </c>
      <c r="KR89" s="20" t="n">
        <f aca="false">IF(CZ89=1,IF(ABS((1+AS_Wage)/(1+Slot9_Rate)-1)&lt;0.000000000001,(Slot9_Age-D89)*(1+Slot9_Rate)^(Slot9_Age-D89),(1+Slot9_Rate)^(Slot9_Age-D89)*(1-((1+AS_Wage)/(1+Slot9_Rate))^(Slot9_Age-D89))/(1-(1+AS_Wage)/(1+Slot9_Rate))),1)</f>
        <v>1</v>
      </c>
      <c r="KS89" s="20" t="n">
        <f aca="false">IF(AND(HU89=1,IE89&gt;0,Slot9_IsWG=1,CZ89=1),MAX(0,(Slot9_Cost-DA89*(1+Slot9_Rate)^(Slot9_Age-D89))/KR89),0)</f>
        <v>0</v>
      </c>
      <c r="KT89" s="20" t="n">
        <f aca="false">IF(AND(HU89=1,IE89&gt;0,Slot9_IsWG=1,CZ89=1),MIN(IE89,KS89),0)</f>
        <v>0</v>
      </c>
      <c r="KU89" s="20" t="n">
        <f aca="false">DA89+KT89</f>
        <v>0</v>
      </c>
      <c r="KV89" s="20" t="n">
        <f aca="false">IF(CZ89=1,MAX(0,(Slot9_Cost-KU89*(1+Slot9_Rate)^(Slot9_Age-D89))/KR89),0)</f>
        <v>0</v>
      </c>
      <c r="KW89" s="20" t="n">
        <f aca="false">IF(CZ89=1,MAX(0,(Slot9_Cost-DA89*(1+Slot9_Rate)^(Slot9_Age-D89))/KR89),0)</f>
        <v>0</v>
      </c>
      <c r="KX89" s="20" t="n">
        <f aca="false">IF(AND(HU89=1,CZ89=1),MIN(KQ89,KV89),0)</f>
        <v>0</v>
      </c>
      <c r="KY89" s="20" t="n">
        <f aca="false">KQ89-KX89</f>
        <v>0</v>
      </c>
      <c r="KZ89" s="20" t="n">
        <f aca="false">IF(DJ89=1,IF(ABS((1+AS_Wage)/(1+Slot10_Rate)-1)&lt;0.000000000001,(Slot10_Age-D89)*(1+Slot10_Rate)^(Slot10_Age-D89),(1+Slot10_Rate)^(Slot10_Age-D89)*(1-((1+AS_Wage)/(1+Slot10_Rate))^(Slot10_Age-D89))/(1-(1+AS_Wage)/(1+Slot10_Rate))),1)</f>
        <v>1</v>
      </c>
      <c r="LA89" s="20" t="n">
        <f aca="false">IF(AND(HU89=1,IE89&gt;0,Slot10_IsWG=1,DJ89=1),MAX(0,(Slot10_Cost-DK89*(1+Slot10_Rate)^(Slot10_Age-D89))/KZ89),0)</f>
        <v>0</v>
      </c>
      <c r="LB89" s="20" t="n">
        <f aca="false">IF(AND(HU89=1,IE89&gt;0,Slot10_IsWG=1,DJ89=1),MIN(IE89,LA89),0)</f>
        <v>0</v>
      </c>
      <c r="LC89" s="20" t="n">
        <f aca="false">DK89+LB89</f>
        <v>0</v>
      </c>
      <c r="LD89" s="20" t="n">
        <f aca="false">IF(DJ89=1,MAX(0,(Slot10_Cost-LC89*(1+Slot10_Rate)^(Slot10_Age-D89))/KZ89),0)</f>
        <v>0</v>
      </c>
      <c r="LE89" s="20" t="n">
        <f aca="false">IF(DJ89=1,MAX(0,(Slot10_Cost-DK89*(1+Slot10_Rate)^(Slot10_Age-D89))/KZ89),0)</f>
        <v>0</v>
      </c>
      <c r="LF89" s="20" t="n">
        <f aca="false">IF(AND(HU89=1,DJ89=1),MIN(KY89,LD89),0)</f>
        <v>0</v>
      </c>
      <c r="LG89" s="20" t="n">
        <f aca="false">KY89-LF89</f>
        <v>0</v>
      </c>
      <c r="LH89" s="20" t="n">
        <f aca="false">IF(DT89=1,IF(ABS((1+AS_Wage)/(1+Slot11_Rate)-1)&lt;0.000000000001,(Slot11_Age-D89)*(1+Slot11_Rate)^(Slot11_Age-D89),(1+Slot11_Rate)^(Slot11_Age-D89)*(1-((1+AS_Wage)/(1+Slot11_Rate))^(Slot11_Age-D89))/(1-(1+AS_Wage)/(1+Slot11_Rate))),1)</f>
        <v>1</v>
      </c>
      <c r="LI89" s="20" t="n">
        <f aca="false">IF(AND(HU89=1,IE89&gt;0,Slot11_IsWG=1,DT89=1),MAX(0,(Slot11_Cost-DU89*(1+Slot11_Rate)^(Slot11_Age-D89))/LH89),0)</f>
        <v>0</v>
      </c>
      <c r="LJ89" s="20" t="n">
        <f aca="false">IF(AND(HU89=1,IE89&gt;0,Slot11_IsWG=1,DT89=1),MIN(IE89,LI89),0)</f>
        <v>0</v>
      </c>
      <c r="LK89" s="20" t="n">
        <f aca="false">DU89+LJ89</f>
        <v>0</v>
      </c>
      <c r="LL89" s="20" t="n">
        <f aca="false">IF(DT89=1,MAX(0,(Slot11_Cost-LK89*(1+Slot11_Rate)^(Slot11_Age-D89))/LH89),0)</f>
        <v>0</v>
      </c>
      <c r="LM89" s="20" t="n">
        <f aca="false">IF(DT89=1,MAX(0,(Slot11_Cost-DU89*(1+Slot11_Rate)^(Slot11_Age-D89))/LH89),0)</f>
        <v>0</v>
      </c>
      <c r="LN89" s="20" t="n">
        <f aca="false">IF(AND(HU89=1,DT89=1),MIN(LG89,LL89),0)</f>
        <v>0</v>
      </c>
      <c r="LO89" s="20" t="n">
        <f aca="false">LG89-LN89</f>
        <v>0</v>
      </c>
      <c r="LP89" s="20" t="n">
        <f aca="false">IF(ED89=1,IF(ABS((1+AS_Wage)/(1+Slot12_Rate)-1)&lt;0.000000000001,(Slot12_Age-D89)*(1+Slot12_Rate)^(Slot12_Age-D89),(1+Slot12_Rate)^(Slot12_Age-D89)*(1-((1+AS_Wage)/(1+Slot12_Rate))^(Slot12_Age-D89))/(1-(1+AS_Wage)/(1+Slot12_Rate))),1)</f>
        <v>1</v>
      </c>
      <c r="LQ89" s="20" t="n">
        <f aca="false">IF(AND(HU89=1,IE89&gt;0,Slot12_IsWG=1,ED89=1),MAX(0,(Slot12_Cost-EE89*(1+Slot12_Rate)^(Slot12_Age-D89))/LP89),0)</f>
        <v>0</v>
      </c>
      <c r="LR89" s="20" t="n">
        <f aca="false">IF(AND(HU89=1,IE89&gt;0,Slot12_IsWG=1,ED89=1),MIN(IE89,LQ89),0)</f>
        <v>0</v>
      </c>
      <c r="LS89" s="20" t="n">
        <f aca="false">EE89+LR89</f>
        <v>0</v>
      </c>
      <c r="LT89" s="20" t="n">
        <f aca="false">IF(ED89=1,MAX(0,(Slot12_Cost-LS89*(1+Slot12_Rate)^(Slot12_Age-D89))/LP89),0)</f>
        <v>0</v>
      </c>
      <c r="LU89" s="20" t="n">
        <f aca="false">IF(ED89=1,MAX(0,(Slot12_Cost-EE89*(1+Slot12_Rate)^(Slot12_Age-D89))/LP89),0)</f>
        <v>0</v>
      </c>
      <c r="LV89" s="20" t="n">
        <f aca="false">IF(AND(HU89=1,ED89=1),MIN(LO89,LT89),0)</f>
        <v>0</v>
      </c>
      <c r="LW89" s="20" t="n">
        <f aca="false">LO89-LV89</f>
        <v>0</v>
      </c>
      <c r="LX89" s="20" t="n">
        <f aca="false">IF(EN89=1,IF(ABS((1+AS_Wage)/(1+Slot13_Rate)-1)&lt;0.000000000001,(Slot13_Age-D89)*(1+Slot13_Rate)^(Slot13_Age-D89),(1+Slot13_Rate)^(Slot13_Age-D89)*(1-((1+AS_Wage)/(1+Slot13_Rate))^(Slot13_Age-D89))/(1-(1+AS_Wage)/(1+Slot13_Rate))),1)</f>
        <v>1</v>
      </c>
      <c r="LY89" s="20" t="n">
        <f aca="false">IF(AND(HU89=1,IE89&gt;0,Slot13_IsWG=1,EN89=1),MAX(0,(Slot13_Cost-EO89*(1+Slot13_Rate)^(Slot13_Age-D89))/LX89),0)</f>
        <v>0</v>
      </c>
      <c r="LZ89" s="20" t="n">
        <f aca="false">IF(AND(HU89=1,IE89&gt;0,Slot13_IsWG=1,EN89=1),MIN(IE89,LY89),0)</f>
        <v>0</v>
      </c>
      <c r="MA89" s="20" t="n">
        <f aca="false">EO89+LZ89</f>
        <v>0</v>
      </c>
      <c r="MB89" s="20" t="n">
        <f aca="false">IF(EN89=1,MAX(0,(Slot13_Cost-MA89*(1+Slot13_Rate)^(Slot13_Age-D89))/LX89),0)</f>
        <v>0</v>
      </c>
      <c r="MC89" s="20" t="n">
        <f aca="false">IF(EN89=1,MAX(0,(Slot13_Cost-EO89*(1+Slot13_Rate)^(Slot13_Age-D89))/LX89),0)</f>
        <v>0</v>
      </c>
      <c r="MD89" s="20" t="n">
        <f aca="false">IF(AND(HU89=1,EN89=1),MIN(LW89,MB89),0)</f>
        <v>0</v>
      </c>
      <c r="ME89" s="20" t="n">
        <f aca="false">LW89-MD89</f>
        <v>0</v>
      </c>
      <c r="MF89" s="20" t="n">
        <f aca="false">IF(EX89=1,IF(ABS((1+AS_Wage)/(1+Slot14_Rate)-1)&lt;0.000000000001,(Slot14_Age-D89)*(1+Slot14_Rate)^(Slot14_Age-D89),(1+Slot14_Rate)^(Slot14_Age-D89)*(1-((1+AS_Wage)/(1+Slot14_Rate))^(Slot14_Age-D89))/(1-(1+AS_Wage)/(1+Slot14_Rate))),1)</f>
        <v>1</v>
      </c>
      <c r="MG89" s="20" t="n">
        <f aca="false">IF(AND(HU89=1,IE89&gt;0,Slot14_IsWG=1,EX89=1),MAX(0,(Slot14_Cost-EY89*(1+Slot14_Rate)^(Slot14_Age-D89))/MF89),0)</f>
        <v>0</v>
      </c>
      <c r="MH89" s="20" t="n">
        <f aca="false">IF(AND(HU89=1,IE89&gt;0,Slot14_IsWG=1,EX89=1),MIN(IE89,MG89),0)</f>
        <v>0</v>
      </c>
      <c r="MI89" s="20" t="n">
        <f aca="false">EY89+MH89</f>
        <v>0</v>
      </c>
      <c r="MJ89" s="20" t="n">
        <f aca="false">IF(EX89=1,MAX(0,(Slot14_Cost-MI89*(1+Slot14_Rate)^(Slot14_Age-D89))/MF89),0)</f>
        <v>0</v>
      </c>
      <c r="MK89" s="20" t="n">
        <f aca="false">IF(EX89=1,MAX(0,(Slot14_Cost-EY89*(1+Slot14_Rate)^(Slot14_Age-D89))/MF89),0)</f>
        <v>0</v>
      </c>
      <c r="ML89" s="20" t="n">
        <f aca="false">IF(AND(HU89=1,EX89=1),MIN(ME89,MJ89),0)</f>
        <v>0</v>
      </c>
      <c r="MM89" s="20" t="n">
        <f aca="false">ME89-ML89</f>
        <v>0</v>
      </c>
      <c r="MN89" s="20" t="n">
        <f aca="false">IF(FH89=1,IF(ABS((1+AS_Wage)/(1+Slot15_Rate)-1)&lt;0.000000000001,(Slot15_Age-D89)*(1+Slot15_Rate)^(Slot15_Age-D89),(1+Slot15_Rate)^(Slot15_Age-D89)*(1-((1+AS_Wage)/(1+Slot15_Rate))^(Slot15_Age-D89))/(1-(1+AS_Wage)/(1+Slot15_Rate))),1)</f>
        <v>1</v>
      </c>
      <c r="MO89" s="20" t="n">
        <f aca="false">IF(AND(HU89=1,IE89&gt;0,Slot15_IsWG=1,FH89=1),MAX(0,(Slot15_Cost-FI89*(1+Slot15_Rate)^(Slot15_Age-D89))/MN89),0)</f>
        <v>0</v>
      </c>
      <c r="MP89" s="20" t="n">
        <f aca="false">IF(AND(HU89=1,IE89&gt;0,Slot15_IsWG=1,FH89=1),MIN(IE89,MO89),0)</f>
        <v>0</v>
      </c>
      <c r="MQ89" s="20" t="n">
        <f aca="false">FI89+MP89</f>
        <v>0</v>
      </c>
      <c r="MR89" s="20" t="n">
        <f aca="false">IF(FH89=1,MAX(0,(Slot15_Cost-MQ89*(1+Slot15_Rate)^(Slot15_Age-D89))/MN89),0)</f>
        <v>0</v>
      </c>
      <c r="MS89" s="20" t="n">
        <f aca="false">IF(FH89=1,MAX(0,(Slot15_Cost-FI89*(1+Slot15_Rate)^(Slot15_Age-D89))/MN89),0)</f>
        <v>0</v>
      </c>
      <c r="MT89" s="20" t="n">
        <f aca="false">IF(AND(HU89=1,FH89=1),MIN(MM89,MR89),0)</f>
        <v>0</v>
      </c>
      <c r="MU89" s="20" t="n">
        <f aca="false">MM89-MT89</f>
        <v>0</v>
      </c>
      <c r="MV89" s="20" t="n">
        <f aca="false">IF(FR89=1,IF(ABS((1+AS_Wage)/(1+Slot16_Rate)-1)&lt;0.000000000001,(Slot16_Age-D89)*(1+Slot16_Rate)^(Slot16_Age-D89),(1+Slot16_Rate)^(Slot16_Age-D89)*(1-((1+AS_Wage)/(1+Slot16_Rate))^(Slot16_Age-D89))/(1-(1+AS_Wage)/(1+Slot16_Rate))),1)</f>
        <v>1</v>
      </c>
      <c r="MW89" s="20" t="n">
        <f aca="false">IF(AND(HU89=1,IE89&gt;0,Slot16_IsWG=1,FR89=1),MAX(0,(Slot16_Cost-FS89*(1+Slot16_Rate)^(Slot16_Age-D89))/MV89),0)</f>
        <v>0</v>
      </c>
      <c r="MX89" s="20" t="n">
        <f aca="false">IF(AND(HU89=1,IE89&gt;0,Slot16_IsWG=1,FR89=1),MIN(IE89,MW89),0)</f>
        <v>0</v>
      </c>
      <c r="MY89" s="20" t="n">
        <f aca="false">FS89+MX89</f>
        <v>0</v>
      </c>
      <c r="MZ89" s="20" t="n">
        <f aca="false">IF(FR89=1,MAX(0,(Slot16_Cost-MY89*(1+Slot16_Rate)^(Slot16_Age-D89))/MV89),0)</f>
        <v>0</v>
      </c>
      <c r="NA89" s="20" t="n">
        <f aca="false">IF(FR89=1,MAX(0,(Slot16_Cost-FS89*(1+Slot16_Rate)^(Slot16_Age-D89))/MV89),0)</f>
        <v>0</v>
      </c>
      <c r="NB89" s="20" t="n">
        <f aca="false">IF(AND(HU89=1,FR89=1),MIN(MU89,MZ89),0)</f>
        <v>0</v>
      </c>
      <c r="NC89" s="20" t="n">
        <f aca="false">MU89-NB89</f>
        <v>0</v>
      </c>
      <c r="ND89" s="20" t="n">
        <f aca="false">IF(GB89=1,IF(ABS((1+AS_Wage)/(1+Slot17_Rate)-1)&lt;0.000000000001,(Slot17_Age-D89)*(1+Slot17_Rate)^(Slot17_Age-D89),(1+Slot17_Rate)^(Slot17_Age-D89)*(1-((1+AS_Wage)/(1+Slot17_Rate))^(Slot17_Age-D89))/(1-(1+AS_Wage)/(1+Slot17_Rate))),1)</f>
        <v>1</v>
      </c>
      <c r="NE89" s="20" t="n">
        <f aca="false">IF(AND(HU89=1,IE89&gt;0,Slot17_IsWG=1,GB89=1),MAX(0,(Slot17_Cost-GC89*(1+Slot17_Rate)^(Slot17_Age-D89))/ND89),0)</f>
        <v>0</v>
      </c>
      <c r="NF89" s="20" t="n">
        <f aca="false">IF(AND(HU89=1,IE89&gt;0,Slot17_IsWG=1,GB89=1),MIN(IE89,NE89),0)</f>
        <v>0</v>
      </c>
      <c r="NG89" s="20" t="n">
        <f aca="false">GC89+NF89</f>
        <v>0</v>
      </c>
      <c r="NH89" s="20" t="n">
        <f aca="false">IF(GB89=1,MAX(0,(Slot17_Cost-NG89*(1+Slot17_Rate)^(Slot17_Age-D89))/ND89),0)</f>
        <v>0</v>
      </c>
      <c r="NI89" s="20" t="n">
        <f aca="false">IF(GB89=1,MAX(0,(Slot17_Cost-GC89*(1+Slot17_Rate)^(Slot17_Age-D89))/ND89),0)</f>
        <v>0</v>
      </c>
      <c r="NJ89" s="20" t="n">
        <f aca="false">IF(AND(HU89=1,GB89=1),MIN(NC89,NH89),0)</f>
        <v>0</v>
      </c>
      <c r="NK89" s="20" t="n">
        <f aca="false">NC89-NJ89</f>
        <v>0</v>
      </c>
      <c r="NL89" s="20" t="n">
        <f aca="false">IF(GL89=1,IF(ABS((1+AS_Wage)/(1+Slot18_Rate)-1)&lt;0.000000000001,(Slot18_Age-D89)*(1+Slot18_Rate)^(Slot18_Age-D89),(1+Slot18_Rate)^(Slot18_Age-D89)*(1-((1+AS_Wage)/(1+Slot18_Rate))^(Slot18_Age-D89))/(1-(1+AS_Wage)/(1+Slot18_Rate))),1)</f>
        <v>1</v>
      </c>
      <c r="NM89" s="20" t="n">
        <f aca="false">IF(AND(HU89=1,IE89&gt;0,Slot18_IsWG=1,GL89=1),MAX(0,(Slot18_Cost-GM89*(1+Slot18_Rate)^(Slot18_Age-D89))/NL89),0)</f>
        <v>0</v>
      </c>
      <c r="NN89" s="20" t="n">
        <f aca="false">IF(AND(HU89=1,IE89&gt;0,Slot18_IsWG=1,GL89=1),MIN(IE89,NM89),0)</f>
        <v>0</v>
      </c>
      <c r="NO89" s="20" t="n">
        <f aca="false">GM89+NN89</f>
        <v>0</v>
      </c>
      <c r="NP89" s="20" t="n">
        <f aca="false">IF(GL89=1,MAX(0,(Slot18_Cost-NO89*(1+Slot18_Rate)^(Slot18_Age-D89))/NL89),0)</f>
        <v>0</v>
      </c>
      <c r="NQ89" s="20" t="n">
        <f aca="false">IF(GL89=1,MAX(0,(Slot18_Cost-GM89*(1+Slot18_Rate)^(Slot18_Age-D89))/NL89),0)</f>
        <v>0</v>
      </c>
      <c r="NR89" s="20" t="n">
        <f aca="false">IF(AND(HU89=1,GL89=1),MIN(NK89,NP89),0)</f>
        <v>0</v>
      </c>
      <c r="NS89" s="20" t="n">
        <f aca="false">NK89-NR89</f>
        <v>0</v>
      </c>
      <c r="NT89" s="20" t="n">
        <f aca="false">IF(GV89=1,IF(ABS((1+AS_Wage)/(1+Slot19_Rate)-1)&lt;0.000000000001,(Slot19_Age-D89)*(1+Slot19_Rate)^(Slot19_Age-D89),(1+Slot19_Rate)^(Slot19_Age-D89)*(1-((1+AS_Wage)/(1+Slot19_Rate))^(Slot19_Age-D89))/(1-(1+AS_Wage)/(1+Slot19_Rate))),1)</f>
        <v>1</v>
      </c>
      <c r="NU89" s="20" t="n">
        <f aca="false">IF(AND(HU89=1,IE89&gt;0,Slot19_IsWG=1,GV89=1),MAX(0,(Slot19_Cost-GW89*(1+Slot19_Rate)^(Slot19_Age-D89))/NT89),0)</f>
        <v>0</v>
      </c>
      <c r="NV89" s="20" t="n">
        <f aca="false">IF(AND(HU89=1,IE89&gt;0,Slot19_IsWG=1,GV89=1),MIN(IE89,NU89),0)</f>
        <v>0</v>
      </c>
      <c r="NW89" s="20" t="n">
        <f aca="false">GW89+NV89</f>
        <v>0</v>
      </c>
      <c r="NX89" s="20" t="n">
        <f aca="false">IF(GV89=1,MAX(0,(Slot19_Cost-NW89*(1+Slot19_Rate)^(Slot19_Age-D89))/NT89),0)</f>
        <v>0</v>
      </c>
      <c r="NY89" s="20" t="n">
        <f aca="false">IF(GV89=1,MAX(0,(Slot19_Cost-GW89*(1+Slot19_Rate)^(Slot19_Age-D89))/NT89),0)</f>
        <v>0</v>
      </c>
      <c r="NZ89" s="20" t="n">
        <f aca="false">IF(AND(HU89=1,GV89=1),MIN(NS89,NX89),0)</f>
        <v>0</v>
      </c>
      <c r="OA89" s="20" t="n">
        <f aca="false">NS89-NZ89</f>
        <v>0</v>
      </c>
      <c r="OB89" s="20" t="n">
        <f aca="false">IF(HF89=1,IF(ABS((1+AS_Wage)/(1+Slot20_Rate)-1)&lt;0.000000000001,(Slot20_Age-D89)*(1+Slot20_Rate)^(Slot20_Age-D89),(1+Slot20_Rate)^(Slot20_Age-D89)*(1-((1+AS_Wage)/(1+Slot20_Rate))^(Slot20_Age-D89))/(1-(1+AS_Wage)/(1+Slot20_Rate))),1)</f>
        <v>1</v>
      </c>
      <c r="OC89" s="20" t="n">
        <f aca="false">IF(AND(HU89=1,IE89&gt;0,Slot20_IsWG=1,HF89=1),MAX(0,(Slot20_Cost-HG89*(1+Slot20_Rate)^(Slot20_Age-D89))/OB89),0)</f>
        <v>0</v>
      </c>
      <c r="OD89" s="20" t="n">
        <f aca="false">IF(AND(HU89=1,IE89&gt;0,Slot20_IsWG=1,HF89=1),MIN(IE89,OC89),0)</f>
        <v>0</v>
      </c>
      <c r="OE89" s="20" t="n">
        <f aca="false">HG89+OD89</f>
        <v>0</v>
      </c>
      <c r="OF89" s="20" t="n">
        <f aca="false">IF(HF89=1,MAX(0,(Slot20_Cost-OE89*(1+Slot20_Rate)^(Slot20_Age-D89))/OB89),0)</f>
        <v>0</v>
      </c>
      <c r="OG89" s="20" t="n">
        <f aca="false">IF(HF89=1,MAX(0,(Slot20_Cost-HG89*(1+Slot20_Rate)^(Slot20_Age-D89))/OB89),0)</f>
        <v>0</v>
      </c>
      <c r="OH89" s="20" t="n">
        <f aca="false">IF(AND(HU89=1,HF89=1),MIN(OA89,OF89),0)</f>
        <v>0</v>
      </c>
      <c r="OI89" s="20" t="n">
        <f aca="false">OA89-OH89</f>
        <v>0</v>
      </c>
      <c r="OJ89" s="20" t="n">
        <f aca="false">IE89-(IH89+IP89+IX89+JF89+JN89+JV89+KD89+KL89+KT89+LB89+LJ89+LR89+LZ89+MH89+MP89+MX89+NF89+NN89+NV89+OD89)</f>
        <v>0</v>
      </c>
      <c r="OK89" s="20" t="n">
        <f aca="false">IF(HU89=1,HS89-ID89-IE89,0)</f>
        <v>0</v>
      </c>
      <c r="OL89" s="20" t="n">
        <f aca="false">IF(HU89=0,-HS89,0)</f>
        <v>95806.4279819695</v>
      </c>
      <c r="OM89" s="20" t="n">
        <f aca="false">MIN(OL89,HK89)</f>
        <v>0</v>
      </c>
      <c r="ON89" s="20" t="n">
        <f aca="false">OL89-OM89</f>
        <v>95806.4279819695</v>
      </c>
      <c r="OO89" s="20" t="n">
        <f aca="false">MIN(ON89,HL89)</f>
        <v>0</v>
      </c>
      <c r="OP89" s="20" t="n">
        <f aca="false">ON89-OO89</f>
        <v>95806.4279819695</v>
      </c>
      <c r="OQ89" s="20" t="n">
        <f aca="false">IF(AND(HU89=0,HF89=1,OP89&gt;0),MIN(OP89,HG89),0)</f>
        <v>0</v>
      </c>
      <c r="OR89" s="20" t="n">
        <f aca="false">OP89-OQ89</f>
        <v>95806.4279819695</v>
      </c>
      <c r="OS89" s="20" t="n">
        <f aca="false">IF(AND(HU89=0,GV89=1,OR89&gt;0),MIN(OR89,GW89),0)</f>
        <v>0</v>
      </c>
      <c r="OT89" s="20" t="n">
        <f aca="false">OR89-OS89</f>
        <v>95806.4279819695</v>
      </c>
      <c r="OU89" s="20" t="n">
        <f aca="false">IF(AND(HU89=0,GL89=1,OT89&gt;0),MIN(OT89,GM89),0)</f>
        <v>0</v>
      </c>
      <c r="OV89" s="20" t="n">
        <f aca="false">OT89-OU89</f>
        <v>95806.4279819695</v>
      </c>
      <c r="OW89" s="20" t="n">
        <f aca="false">IF(AND(HU89=0,GB89=1,OV89&gt;0),MIN(OV89,GC89),0)</f>
        <v>0</v>
      </c>
      <c r="OX89" s="20" t="n">
        <f aca="false">OV89-OW89</f>
        <v>95806.4279819695</v>
      </c>
      <c r="OY89" s="20" t="n">
        <f aca="false">IF(AND(HU89=0,FR89=1,OX89&gt;0),MIN(OX89,FS89),0)</f>
        <v>0</v>
      </c>
      <c r="OZ89" s="20" t="n">
        <f aca="false">OX89-OY89</f>
        <v>95806.4279819695</v>
      </c>
      <c r="PA89" s="20" t="n">
        <f aca="false">IF(AND(HU89=0,FH89=1,OZ89&gt;0),MIN(OZ89,FI89),0)</f>
        <v>0</v>
      </c>
      <c r="PB89" s="20" t="n">
        <f aca="false">OZ89-PA89</f>
        <v>95806.4279819695</v>
      </c>
      <c r="PC89" s="20" t="n">
        <f aca="false">IF(AND(HU89=0,EX89=1,PB89&gt;0),MIN(PB89,EY89),0)</f>
        <v>0</v>
      </c>
      <c r="PD89" s="20" t="n">
        <f aca="false">PB89-PC89</f>
        <v>95806.4279819695</v>
      </c>
      <c r="PE89" s="20" t="n">
        <f aca="false">IF(AND(HU89=0,EN89=1,PD89&gt;0),MIN(PD89,EO89),0)</f>
        <v>0</v>
      </c>
      <c r="PF89" s="20" t="n">
        <f aca="false">PD89-PE89</f>
        <v>95806.4279819695</v>
      </c>
      <c r="PG89" s="20" t="n">
        <f aca="false">IF(AND(HU89=0,ED89=1,PF89&gt;0),MIN(PF89,EE89),0)</f>
        <v>0</v>
      </c>
      <c r="PH89" s="20" t="n">
        <f aca="false">PF89-PG89</f>
        <v>95806.4279819695</v>
      </c>
      <c r="PI89" s="20" t="n">
        <f aca="false">IF(AND(HU89=0,DT89=1,PH89&gt;0),MIN(PH89,DU89),0)</f>
        <v>0</v>
      </c>
      <c r="PJ89" s="20" t="n">
        <f aca="false">PH89-PI89</f>
        <v>95806.4279819695</v>
      </c>
      <c r="PK89" s="20" t="n">
        <f aca="false">IF(AND(HU89=0,DJ89=1,PJ89&gt;0),MIN(PJ89,DK89),0)</f>
        <v>0</v>
      </c>
      <c r="PL89" s="20" t="n">
        <f aca="false">PJ89-PK89</f>
        <v>95806.4279819695</v>
      </c>
      <c r="PM89" s="20" t="n">
        <f aca="false">IF(AND(HU89=0,CZ89=1,PL89&gt;0),MIN(PL89,DA89),0)</f>
        <v>0</v>
      </c>
      <c r="PN89" s="20" t="n">
        <f aca="false">PL89-PM89</f>
        <v>95806.4279819695</v>
      </c>
      <c r="PO89" s="20" t="n">
        <f aca="false">IF(AND(HU89=0,CP89=1,PN89&gt;0),MIN(PN89,CQ89),0)</f>
        <v>0</v>
      </c>
      <c r="PP89" s="20" t="n">
        <f aca="false">PN89-PO89</f>
        <v>95806.4279819695</v>
      </c>
      <c r="PQ89" s="20" t="n">
        <f aca="false">IF(AND(HU89=0,CF89=1,PP89&gt;0),MIN(PP89,CG89),0)</f>
        <v>0</v>
      </c>
      <c r="PR89" s="20" t="n">
        <f aca="false">PP89-PQ89</f>
        <v>95806.4279819695</v>
      </c>
      <c r="PS89" s="20" t="n">
        <f aca="false">IF(AND(HU89=0,BV89=1,PR89&gt;0),MIN(PR89,BW89),0)</f>
        <v>0</v>
      </c>
      <c r="PT89" s="20" t="n">
        <f aca="false">PR89-PS89</f>
        <v>95806.4279819695</v>
      </c>
      <c r="PU89" s="20" t="n">
        <f aca="false">IF(AND(HU89=0,BL89=1,PT89&gt;0),MIN(PT89,BM89),0)</f>
        <v>0</v>
      </c>
      <c r="PV89" s="20" t="n">
        <f aca="false">PT89-PU89</f>
        <v>95806.4279819695</v>
      </c>
      <c r="PW89" s="20" t="n">
        <f aca="false">IF(AND(HU89=0,BB89=1,PV89&gt;0),MIN(PV89,BC89),0)</f>
        <v>0</v>
      </c>
      <c r="PX89" s="20" t="n">
        <f aca="false">PV89-PW89</f>
        <v>95806.4279819695</v>
      </c>
      <c r="PY89" s="20" t="n">
        <f aca="false">IF(AND(HU89=0,AR89=1,PX89&gt;0),MIN(PX89,AS89),0)</f>
        <v>0</v>
      </c>
      <c r="PZ89" s="20" t="n">
        <f aca="false">PX89-PY89</f>
        <v>95806.4279819695</v>
      </c>
      <c r="QA89" s="20" t="n">
        <f aca="false">IF(AND(HU89=0,AH89=1,PZ89&gt;0),MIN(PZ89,AI89),0)</f>
        <v>0</v>
      </c>
      <c r="QB89" s="20" t="n">
        <f aca="false">PZ89-QA89</f>
        <v>95806.4279819695</v>
      </c>
      <c r="QC89" s="20" t="n">
        <f aca="false">IF(AND(HU89=0,W89=1,QB89&gt;0),MIN(QB89,X89),0)</f>
        <v>0</v>
      </c>
      <c r="QD89" s="20" t="n">
        <f aca="false">QB89-QC89</f>
        <v>95806.4279819695</v>
      </c>
      <c r="QE89" s="20" t="n">
        <f aca="false">IF(HU89=0,QD89,0)</f>
        <v>95806.4279819695</v>
      </c>
      <c r="QF89" s="20" t="n">
        <f aca="false">OM89+OO89+QC89+QA89+PY89+PW89+PU89+PS89+PQ89+PO89+PM89+PK89+PI89+PG89+PE89+PC89+PA89+OY89+OW89+OU89+OS89+OQ89</f>
        <v>0</v>
      </c>
      <c r="QG89" s="20" t="n">
        <f aca="false">IF(HU89=1,HK89+OJ89+OI89+IF(G89=1,0,OK89),HK89-OM89)</f>
        <v>0</v>
      </c>
      <c r="QH89" s="20" t="n">
        <f aca="false">HL89-OO89</f>
        <v>0</v>
      </c>
      <c r="QI89" s="20" t="n">
        <f aca="false">IF(HU89=1,IF(G89=1,ID89+IE89,HS89),0)</f>
        <v>0</v>
      </c>
      <c r="QJ89" s="20" t="n">
        <f aca="false">IF(HU89=1,IF(G89=1,HS89-ID89-IE89,0),0)</f>
        <v>0</v>
      </c>
      <c r="QK89" s="57" t="n">
        <f aca="false">'Plan holdings'!BM89</f>
        <v>0</v>
      </c>
      <c r="QL89" s="20" t="n">
        <f aca="false">QH89*(1+AS_Cash)</f>
        <v>0</v>
      </c>
      <c r="QM89" s="20" t="n">
        <f aca="false">IF(W89=1,IF(HU89=1,II89+IL89,X89-QC89)*(1+Slot1_Rate),0)</f>
        <v>0</v>
      </c>
      <c r="QN89" s="20" t="n">
        <f aca="false">IF(AND(HU89=1,W89=1),(IH89+IL89)/F89,0)</f>
        <v>0</v>
      </c>
      <c r="QO89" s="20" t="n">
        <f aca="false">IF(B89=0,IH89+IL89,0)</f>
        <v>0</v>
      </c>
      <c r="QP89" s="20" t="n">
        <f aca="false">IF(B89=0,IF(HU89=1,IJ89,IK89),0)</f>
        <v>0</v>
      </c>
      <c r="QQ89" s="20" t="n">
        <f aca="false">IF(AH89=1,IF(HU89=1,IQ89+IT89,AI89-QA89)*(1+Slot2_Rate),0)</f>
        <v>0</v>
      </c>
      <c r="QR89" s="20" t="n">
        <f aca="false">IF(AND(HU89=1,AH89=1),(IP89+IT89)/F89,0)</f>
        <v>0</v>
      </c>
      <c r="QS89" s="20" t="n">
        <f aca="false">IF(B89=0,IP89+IT89,0)</f>
        <v>0</v>
      </c>
      <c r="QT89" s="20" t="n">
        <f aca="false">IF(B89=0,IF(HU89=1,IR89,IS89),0)</f>
        <v>0</v>
      </c>
      <c r="QU89" s="20" t="n">
        <f aca="false">IF(AR89=1,IF(HU89=1,IY89+JB89,AS89-PY89)*(1+Slot3_Rate),0)</f>
        <v>0</v>
      </c>
      <c r="QV89" s="20" t="n">
        <f aca="false">IF(AND(HU89=1,AR89=1),(IX89+JB89)/F89,0)</f>
        <v>0</v>
      </c>
      <c r="QW89" s="20" t="n">
        <f aca="false">IF(B89=0,IX89+JB89,0)</f>
        <v>0</v>
      </c>
      <c r="QX89" s="20" t="n">
        <f aca="false">IF(B89=0,IF(HU89=1,IZ89,JA89),0)</f>
        <v>0</v>
      </c>
      <c r="QY89" s="20" t="n">
        <f aca="false">IF(BB89=1,IF(HU89=1,JG89+JJ89,BC89-PW89)*(1+Slot4_Rate),0)</f>
        <v>0</v>
      </c>
      <c r="QZ89" s="20" t="n">
        <f aca="false">IF(AND(HU89=1,BB89=1),(JF89+JJ89)/F89,0)</f>
        <v>0</v>
      </c>
      <c r="RA89" s="20" t="n">
        <f aca="false">IF(B89=0,JF89+JJ89,0)</f>
        <v>0</v>
      </c>
      <c r="RB89" s="20" t="n">
        <f aca="false">IF(B89=0,IF(HU89=1,JH89,JI89),0)</f>
        <v>0</v>
      </c>
      <c r="RC89" s="20" t="n">
        <f aca="false">IF(BL89=1,IF(HU89=1,JO89+JR89,BM89-PU89)*(1+Slot5_Rate),0)</f>
        <v>0</v>
      </c>
      <c r="RD89" s="20" t="n">
        <f aca="false">IF(AND(HU89=1,BL89=1),(JN89+JR89)/F89,0)</f>
        <v>0</v>
      </c>
      <c r="RE89" s="20" t="n">
        <f aca="false">IF(B89=0,JN89+JR89,0)</f>
        <v>0</v>
      </c>
      <c r="RF89" s="20" t="n">
        <f aca="false">IF(B89=0,IF(HU89=1,JP89,JQ89),0)</f>
        <v>0</v>
      </c>
      <c r="RG89" s="20" t="n">
        <f aca="false">IF(BV89=1,IF(HU89=1,JW89+JZ89,BW89-PS89)*(1+Slot6_Rate),0)</f>
        <v>0</v>
      </c>
      <c r="RH89" s="20" t="n">
        <f aca="false">IF(AND(HU89=1,BV89=1),(JV89+JZ89)/F89,0)</f>
        <v>0</v>
      </c>
      <c r="RI89" s="20" t="n">
        <f aca="false">IF(B89=0,JV89+JZ89,0)</f>
        <v>0</v>
      </c>
      <c r="RJ89" s="20" t="n">
        <f aca="false">IF(B89=0,IF(HU89=1,JX89,JY89),0)</f>
        <v>0</v>
      </c>
      <c r="RK89" s="20" t="n">
        <f aca="false">IF(CF89=1,IF(HU89=1,KE89+KH89,CG89-PQ89)*(1+Slot7_Rate),0)</f>
        <v>0</v>
      </c>
      <c r="RL89" s="20" t="n">
        <f aca="false">IF(AND(HU89=1,CF89=1),(KD89+KH89)/F89,0)</f>
        <v>0</v>
      </c>
      <c r="RM89" s="20" t="n">
        <f aca="false">IF(B89=0,KD89+KH89,0)</f>
        <v>0</v>
      </c>
      <c r="RN89" s="20" t="n">
        <f aca="false">IF(B89=0,IF(HU89=1,KF89,KG89),0)</f>
        <v>0</v>
      </c>
      <c r="RO89" s="20" t="n">
        <f aca="false">IF(CP89=1,IF(HU89=1,KM89+KP89,CQ89-PO89)*(1+Slot8_Rate),0)</f>
        <v>0</v>
      </c>
      <c r="RP89" s="20" t="n">
        <f aca="false">IF(AND(HU89=1,CP89=1),(KL89+KP89)/F89,0)</f>
        <v>0</v>
      </c>
      <c r="RQ89" s="20" t="n">
        <f aca="false">IF(B89=0,KL89+KP89,0)</f>
        <v>0</v>
      </c>
      <c r="RR89" s="20" t="n">
        <f aca="false">IF(B89=0,IF(HU89=1,KN89,KO89),0)</f>
        <v>0</v>
      </c>
      <c r="RS89" s="20" t="n">
        <f aca="false">IF(CZ89=1,IF(HU89=1,KU89+KX89,DA89-PM89)*(1+Slot9_Rate),0)</f>
        <v>0</v>
      </c>
      <c r="RT89" s="20" t="n">
        <f aca="false">IF(AND(HU89=1,CZ89=1),(KT89+KX89)/F89,0)</f>
        <v>0</v>
      </c>
      <c r="RU89" s="20" t="n">
        <f aca="false">IF(B89=0,KT89+KX89,0)</f>
        <v>0</v>
      </c>
      <c r="RV89" s="20" t="n">
        <f aca="false">IF(B89=0,IF(HU89=1,KV89,KW89),0)</f>
        <v>0</v>
      </c>
      <c r="RW89" s="20" t="n">
        <f aca="false">IF(DJ89=1,IF(HU89=1,LC89+LF89,DK89-PK89)*(1+Slot10_Rate),0)</f>
        <v>0</v>
      </c>
      <c r="RX89" s="20" t="n">
        <f aca="false">IF(AND(HU89=1,DJ89=1),(LB89+LF89)/F89,0)</f>
        <v>0</v>
      </c>
      <c r="RY89" s="20" t="n">
        <f aca="false">IF(B89=0,LB89+LF89,0)</f>
        <v>0</v>
      </c>
      <c r="RZ89" s="20" t="n">
        <f aca="false">IF(B89=0,IF(HU89=1,LD89,LE89),0)</f>
        <v>0</v>
      </c>
      <c r="SA89" s="20" t="n">
        <f aca="false">IF(DT89=1,IF(HU89=1,LK89+LN89,DU89-PI89)*(1+Slot11_Rate),0)</f>
        <v>0</v>
      </c>
      <c r="SB89" s="20" t="n">
        <f aca="false">IF(AND(HU89=1,DT89=1),(LJ89+LN89)/F89,0)</f>
        <v>0</v>
      </c>
      <c r="SC89" s="20" t="n">
        <f aca="false">IF(B89=0,LJ89+LN89,0)</f>
        <v>0</v>
      </c>
      <c r="SD89" s="20" t="n">
        <f aca="false">IF(B89=0,IF(HU89=1,LL89,LM89),0)</f>
        <v>0</v>
      </c>
      <c r="SE89" s="20" t="n">
        <f aca="false">IF(ED89=1,IF(HU89=1,LS89+LV89,EE89-PG89)*(1+Slot12_Rate),0)</f>
        <v>0</v>
      </c>
      <c r="SF89" s="20" t="n">
        <f aca="false">IF(AND(HU89=1,ED89=1),(LR89+LV89)/F89,0)</f>
        <v>0</v>
      </c>
      <c r="SG89" s="20" t="n">
        <f aca="false">IF(B89=0,LR89+LV89,0)</f>
        <v>0</v>
      </c>
      <c r="SH89" s="20" t="n">
        <f aca="false">IF(B89=0,IF(HU89=1,LT89,LU89),0)</f>
        <v>0</v>
      </c>
      <c r="SI89" s="20" t="n">
        <f aca="false">IF(EN89=1,IF(HU89=1,MA89+MD89,EO89-PE89)*(1+Slot13_Rate),0)</f>
        <v>0</v>
      </c>
      <c r="SJ89" s="20" t="n">
        <f aca="false">IF(AND(HU89=1,EN89=1),(LZ89+MD89)/F89,0)</f>
        <v>0</v>
      </c>
      <c r="SK89" s="20" t="n">
        <f aca="false">IF(B89=0,LZ89+MD89,0)</f>
        <v>0</v>
      </c>
      <c r="SL89" s="20" t="n">
        <f aca="false">IF(B89=0,IF(HU89=1,MB89,MC89),0)</f>
        <v>0</v>
      </c>
      <c r="SM89" s="20" t="n">
        <f aca="false">IF(EX89=1,IF(HU89=1,MI89+ML89,EY89-PC89)*(1+Slot14_Rate),0)</f>
        <v>0</v>
      </c>
      <c r="SN89" s="20" t="n">
        <f aca="false">IF(AND(HU89=1,EX89=1),(MH89+ML89)/F89,0)</f>
        <v>0</v>
      </c>
      <c r="SO89" s="20" t="n">
        <f aca="false">IF(B89=0,MH89+ML89,0)</f>
        <v>0</v>
      </c>
      <c r="SP89" s="20" t="n">
        <f aca="false">IF(B89=0,IF(HU89=1,MJ89,MK89),0)</f>
        <v>0</v>
      </c>
      <c r="SQ89" s="20" t="n">
        <f aca="false">IF(FH89=1,IF(HU89=1,MQ89+MT89,FI89-PA89)*(1+Slot15_Rate),0)</f>
        <v>0</v>
      </c>
      <c r="SR89" s="20" t="n">
        <f aca="false">IF(AND(HU89=1,FH89=1),(MP89+MT89)/F89,0)</f>
        <v>0</v>
      </c>
      <c r="SS89" s="20" t="n">
        <f aca="false">IF(B89=0,MP89+MT89,0)</f>
        <v>0</v>
      </c>
      <c r="ST89" s="20" t="n">
        <f aca="false">IF(B89=0,IF(HU89=1,MR89,MS89),0)</f>
        <v>0</v>
      </c>
      <c r="SU89" s="20" t="n">
        <f aca="false">IF(FR89=1,IF(HU89=1,MY89+NB89,FS89-OY89)*(1+Slot16_Rate),0)</f>
        <v>0</v>
      </c>
      <c r="SV89" s="20" t="n">
        <f aca="false">IF(AND(HU89=1,FR89=1),(MX89+NB89)/F89,0)</f>
        <v>0</v>
      </c>
      <c r="SW89" s="20" t="n">
        <f aca="false">IF(B89=0,MX89+NB89,0)</f>
        <v>0</v>
      </c>
      <c r="SX89" s="20" t="n">
        <f aca="false">IF(B89=0,IF(HU89=1,MZ89,NA89),0)</f>
        <v>0</v>
      </c>
      <c r="SY89" s="20" t="n">
        <f aca="false">IF(GB89=1,IF(HU89=1,NG89+NJ89,GC89-OW89)*(1+Slot17_Rate),0)</f>
        <v>0</v>
      </c>
      <c r="SZ89" s="20" t="n">
        <f aca="false">IF(AND(HU89=1,GB89=1),(NF89+NJ89)/F89,0)</f>
        <v>0</v>
      </c>
      <c r="TA89" s="20" t="n">
        <f aca="false">IF(B89=0,NF89+NJ89,0)</f>
        <v>0</v>
      </c>
      <c r="TB89" s="20" t="n">
        <f aca="false">IF(B89=0,IF(HU89=1,NH89,NI89),0)</f>
        <v>0</v>
      </c>
      <c r="TC89" s="20" t="n">
        <f aca="false">IF(GL89=1,IF(HU89=1,NO89+NR89,GM89-OU89)*(1+Slot18_Rate),0)</f>
        <v>0</v>
      </c>
      <c r="TD89" s="20" t="n">
        <f aca="false">IF(AND(HU89=1,GL89=1),(NN89+NR89)/F89,0)</f>
        <v>0</v>
      </c>
      <c r="TE89" s="20" t="n">
        <f aca="false">IF(B89=0,NN89+NR89,0)</f>
        <v>0</v>
      </c>
      <c r="TF89" s="20" t="n">
        <f aca="false">IF(B89=0,IF(HU89=1,NP89,NQ89),0)</f>
        <v>0</v>
      </c>
      <c r="TG89" s="20" t="n">
        <f aca="false">IF(GV89=1,IF(HU89=1,NW89+NZ89,GW89-OS89)*(1+Slot19_Rate),0)</f>
        <v>0</v>
      </c>
      <c r="TH89" s="20" t="n">
        <f aca="false">IF(AND(HU89=1,GV89=1),(NV89+NZ89)/F89,0)</f>
        <v>0</v>
      </c>
      <c r="TI89" s="20" t="n">
        <f aca="false">IF(B89=0,NV89+NZ89,0)</f>
        <v>0</v>
      </c>
      <c r="TJ89" s="20" t="n">
        <f aca="false">IF(B89=0,IF(HU89=1,NX89,NY89),0)</f>
        <v>0</v>
      </c>
      <c r="TK89" s="20" t="n">
        <f aca="false">IF(HF89=1,IF(HU89=1,OE89+OH89,HG89-OQ89)*(1+Slot20_Rate),0)</f>
        <v>0</v>
      </c>
      <c r="TL89" s="20" t="n">
        <f aca="false">IF(AND(HU89=1,HF89=1),(OD89+OH89)/F89,0)</f>
        <v>0</v>
      </c>
      <c r="TM89" s="20" t="n">
        <f aca="false">IF(B89=0,OD89+OH89,0)</f>
        <v>0</v>
      </c>
      <c r="TN89" s="20" t="n">
        <f aca="false">IF(B89=0,IF(HU89=1,OF89,OG89),0)</f>
        <v>0</v>
      </c>
      <c r="TO89" s="20" t="n">
        <f aca="false">QK89+QL89+QM89+QQ89+QU89+QY89+RC89+RG89+RK89+RO89+RS89+RW89+SA89+SE89+SI89+SM89+SQ89+SU89+SY89+TC89+TG89+TK89</f>
        <v>0</v>
      </c>
      <c r="TP89" s="20" t="n">
        <f aca="false">QE89+HP89</f>
        <v>95806.4279819695</v>
      </c>
      <c r="TQ89" s="20" t="n">
        <f aca="false">I89+S89</f>
        <v>237706.911494636</v>
      </c>
      <c r="TR89" s="20" t="n">
        <f aca="false">1-G89</f>
        <v>1</v>
      </c>
      <c r="TS89" s="20" t="n">
        <f aca="false">IF(AND(RG_Exists=1,G89=0,C89=1),I89,0)</f>
        <v>0</v>
      </c>
      <c r="TT89" s="20" t="n">
        <f aca="false">IF(AND(RG_Exists=1,G89=0,C89=1),I89-MIN(QE89,I89),0)</f>
        <v>0</v>
      </c>
      <c r="TU89" s="20" t="n">
        <f aca="false">'Plan pay &amp; tax'!AD315</f>
        <v>0</v>
      </c>
      <c r="TV89" s="20" t="n">
        <f aca="false">IF(AND(C89=1,QE89&gt;MAX(PR_Short1,TQ89*PR_Short2)),1,0)</f>
        <v>0</v>
      </c>
      <c r="TW89" s="20" t="n">
        <f aca="false">MIN(H89,I89+S89)</f>
        <v>141900.483512666</v>
      </c>
      <c r="TX89" s="20" t="n">
        <f aca="false">QF89+MAX(0,HQ89-HP89)</f>
        <v>0</v>
      </c>
      <c r="TY89" s="20" t="n">
        <f aca="false">QE89+HP89</f>
        <v>95806.4279819695</v>
      </c>
      <c r="TZ89" s="20" t="n">
        <f aca="false">IF(AND(C89=1,TY89&gt;PR_MinShort),1,0)</f>
        <v>0</v>
      </c>
      <c r="UA89" s="20" t="n">
        <f aca="false">IF(AND(C89=1,TZ89=0,TX89&gt;PR_MinShort),1,0)</f>
        <v>0</v>
      </c>
      <c r="UB89" s="20" t="n">
        <f aca="false">IF(AND(C89=1,QE89&gt;PR_MinShort),1,0)</f>
        <v>0</v>
      </c>
      <c r="UC89" s="20" t="n">
        <f aca="false">IF(AND(C89=1,QF89&gt;1,UJ89=0),1,0)</f>
        <v>0</v>
      </c>
      <c r="UD89" s="20" t="str">
        <f aca="false">IF(C89=0,"",IF(UJ89=1,"Gap to plan for: short "&amp;"€"&amp;TEXT(ROUND(TP89,0),"#,##0"),IF(QF89&gt;1,"Using savings","Comfortable")))</f>
        <v/>
      </c>
      <c r="UE89" s="20" t="n">
        <f aca="false">IF(AND(INT(D89/10)*10=90,B89&gt;0),80,INT(D89/10)*10)</f>
        <v>110</v>
      </c>
      <c r="UF89" s="20" t="n">
        <f aca="false">IF(B89=0,1,IF(UE89&lt;&gt;UE88,UF88+1,UF88))</f>
        <v>8</v>
      </c>
      <c r="UG89" s="20" t="n">
        <f aca="false">IF(AND(C89=1,G89=1,QE89&gt;MAX(PR_Short1,TQ89*PR_Short2)),1,0)</f>
        <v>0</v>
      </c>
      <c r="UH89" s="20" t="n">
        <f aca="false">TR89*TV89</f>
        <v>0</v>
      </c>
      <c r="UI89" s="20" t="n">
        <f aca="false">IF(AND(V89=1,Slot1_PctLow=1),1,0)+IF(AND(AG89=1,Slot2_PctLow=1),1,0)+IF(AND(AQ89=1,Slot3_PctLow=1),1,0)+IF(AND(BA89=1,Slot4_PctLow=1),1,0)+IF(AND(BK89=1,Slot5_PctLow=1),1,0)+IF(AND(BU89=1,Slot6_PctLow=1),1,0)+IF(AND(CE89=1,Slot7_PctLow=1),1,0)+IF(AND(CO89=1,Slot8_PctLow=1),1,0)+IF(AND(CY89=1,Slot9_PctLow=1),1,0)+IF(AND(DI89=1,Slot10_PctLow=1),1,0)+IF(AND(DS89=1,Slot11_PctLow=1),1,0)+IF(AND(EC89=1,Slot12_PctLow=1),1,0)+IF(AND(EM89=1,Slot13_PctLow=1),1,0)+IF(AND(EW89=1,Slot14_PctLow=1),1,0)+IF(AND(FG89=1,Slot15_PctLow=1),1,0)+IF(AND(FQ89=1,Slot16_PctLow=1),1,0)+IF(AND(GA89=1,Slot17_PctLow=1),1,0)+IF(AND(GK89=1,Slot18_PctLow=1),1,0)+IF(AND(GU89=1,Slot19_PctLow=1),1,0)+IF(AND(HE89=1,Slot20_PctLow=1),1,0)</f>
        <v>0</v>
      </c>
      <c r="UJ89" s="20" t="n">
        <f aca="false">IF(C89=1,IF(OR(TV89=1,UI89&gt;0),1,0),0)</f>
        <v>0</v>
      </c>
      <c r="UK89" s="20" t="n">
        <f aca="false">Z89+AK89+AU89+BE89+BO89+BY89+CI89+CS89+DC89+DM89+DW89+EG89+EQ89+FA89+FK89+FU89+GE89+GO89+GY89+HI89+OM89</f>
        <v>0</v>
      </c>
      <c r="UL89" s="20" t="n">
        <f aca="false">V89*IF(Slot1_SpendLike=1,X89-Y89,IF(Slot1_PotFree=1,X89,0))+AG89*IF(Slot2_SpendLike=1,AI89-AJ89,IF(Slot2_PotFree=1,AI89,0))+AQ89*IF(Slot3_SpendLike=1,AS89-AT89,IF(Slot3_PotFree=1,AS89,0))+BA89*IF(Slot4_SpendLike=1,BC89-BD89,IF(Slot4_PotFree=1,BC89,0))+BK89*IF(Slot5_SpendLike=1,BM89-BN89,IF(Slot5_PotFree=1,BM89,0))+BU89*IF(Slot6_SpendLike=1,BW89-BX89,IF(Slot6_PotFree=1,BW89,0))+CE89*IF(Slot7_SpendLike=1,CG89-CH89,IF(Slot7_PotFree=1,CG89,0))+CO89*IF(Slot8_SpendLike=1,CQ89-CR89,IF(Slot8_PotFree=1,CQ89,0))+CY89*IF(Slot9_SpendLike=1,DA89-DB89,IF(Slot9_PotFree=1,DA89,0))+DI89*IF(Slot10_SpendLike=1,DK89-DL89,IF(Slot10_PotFree=1,DK89,0))+DS89*IF(Slot11_SpendLike=1,DU89-DV89,IF(Slot11_PotFree=1,DU89,0))+EC89*IF(Slot12_SpendLike=1,EE89-EF89,IF(Slot12_PotFree=1,EE89,0))+EM89*IF(Slot13_SpendLike=1,EO89-EP89,IF(Slot13_PotFree=1,EO89,0))+EW89*IF(Slot14_SpendLike=1,EY89-EZ89,IF(Slot14_PotFree=1,EY89,0))+FG89*IF(Slot15_SpendLike=1,FI89-FJ89,IF(Slot15_PotFree=1,FI89,0))+FQ89*IF(Slot16_SpendLike=1,FS89-FT89,IF(Slot16_PotFree=1,FS89,0))+GA89*IF(Slot17_SpendLike=1,GC89-GD89,IF(Slot17_PotFree=1,GC89,0))+GK89*IF(Slot18_SpendLike=1,GM89-GN89,IF(Slot18_PotFree=1,GM89,0))+GU89*IF(Slot19_SpendLike=1,GW89-GX89,IF(Slot19_PotFree=1,GW89,0))+HE89*IF(Slot20_SpendLike=1,HG89-HH89,IF(Slot20_PotFree=1,HG89,0))</f>
        <v>0</v>
      </c>
      <c r="UM89" s="20" t="n">
        <f aca="false">QG89-T89+UK89-UL89</f>
        <v>0</v>
      </c>
      <c r="UN89" s="20" t="n">
        <f aca="false">IF(OR(UN88=1,AND(In_homeUse="Yes, I'd downsize",In_downAge&gt;0,D89=In_downAge,OR(In_home="Own outright",In_home="Own with mortgage"),In_homeValue&gt;0)),1,0)</f>
        <v>0</v>
      </c>
    </row>
    <row r="90" customFormat="false" ht="15" hidden="false" customHeight="true" outlineLevel="0" collapsed="false">
      <c r="B90" s="20" t="n">
        <v>82</v>
      </c>
      <c r="C90" s="20" t="n">
        <f aca="false">IF(B90&lt;=F_N,1,0)</f>
        <v>0</v>
      </c>
      <c r="D90" s="20" t="n">
        <f aca="false">'Plan pay &amp; tax'!C316</f>
        <v>120</v>
      </c>
      <c r="E90" s="20" t="str">
        <f aca="false">IF($C90=1,"Income tax "&amp;TEXT(N('Plan pay &amp; tax'!BK316),"#,##0")&amp;"; USC "&amp;TEXT(N('Plan pay &amp; tax'!BM316)+N('Plan pay &amp; tax'!BO316),"#,##0")&amp;"; PRSI "&amp;TEXT(N('Plan pay &amp; tax'!BP316)+N('Plan pay &amp; tax'!BQ316),"#,##0")&amp;IF(N('Plan holdings'!BO90)&gt;=0.5,"; DIRT "&amp;TEXT(('Plan holdings'!BO90)/$F90,"#,##0")&amp;" (already taken from the interest earned)","")&amp;IF(N('Plan holdings'!BP90)&gt;=0.5,"; exit tax at an 8-year anniversary "&amp;TEXT(('Plan holdings'!BP90)/$F90,"#,##0"),"")&amp;IF(N('Plan holdings'!BN90)&gt;=0.5,"; tax on assets sold (exit tax or capital gains tax) "&amp;TEXT(('Plan holdings'!BN90)/$F90,"#,##0"),"")&amp;IF(N('Plan pay &amp; tax'!X316)-N('Plan pay &amp; tax'!Y316)&gt;=0.5,"; tax on the pension lump sum "&amp;TEXT(('Plan pay &amp; tax'!X316-'Plan pay &amp; tax'!Y316)/$F90,"#,##0"),"")&amp;IF(N('Plan pay &amp; tax'!V316)&gt;=0.5,"; chargeable excess tax on the pension "&amp;TEXT(('Plan pay &amp; tax'!V316)/$F90,"#,##0"),"")&amp;".","")</f>
        <v/>
      </c>
      <c r="F90" s="50" t="n">
        <f aca="false">'Plan pay &amp; tax'!E316</f>
        <v>5.07240689800269</v>
      </c>
      <c r="G90" s="20" t="n">
        <f aca="false">'Plan pay &amp; tax'!G316</f>
        <v>0</v>
      </c>
      <c r="H90" s="20" t="n">
        <f aca="false">'Plan pay &amp; tax'!BT316-'Plan pay &amp; tax'!BS316-'Plan pay &amp; tax'!R316</f>
        <v>144738.49318292</v>
      </c>
      <c r="I90" s="20" t="n">
        <f aca="false">IF(G90=1,F_CostsM*12,IF(RG_Exists=1,RG_Amount,F_CostsM*12*AS_RetireSpend))*F90+F_OneOffY*F90</f>
        <v>242461.049724529</v>
      </c>
      <c r="J90" s="20" t="n">
        <f aca="false">IF(UN90=1,0,HR89)</f>
        <v>0</v>
      </c>
      <c r="K90" s="20" t="n">
        <f aca="false">IF(J90&gt;1,'Plan debt months'!AC90,0)</f>
        <v>0</v>
      </c>
      <c r="L90" s="20" t="n">
        <f aca="false">IF(J90&gt;1,'Plan debt months'!AB90,J90)</f>
        <v>0</v>
      </c>
      <c r="M90" s="20" t="n">
        <f aca="false">O89</f>
        <v>0</v>
      </c>
      <c r="N90" s="20" t="n">
        <f aca="false">IF(M90&gt;1,'Plan debt months'!BD90,0)</f>
        <v>0</v>
      </c>
      <c r="O90" s="20" t="n">
        <f aca="false">IF(M90&gt;1,'Plan debt months'!BC90,M90)</f>
        <v>0</v>
      </c>
      <c r="P90" s="20" t="n">
        <f aca="false">R89</f>
        <v>0</v>
      </c>
      <c r="Q90" s="20" t="n">
        <f aca="false">IF(P90&gt;1,'Plan debt months'!CE90,0)</f>
        <v>0</v>
      </c>
      <c r="R90" s="20" t="n">
        <f aca="false">IF(P90&gt;1,'Plan debt months'!CD90,P90)</f>
        <v>0</v>
      </c>
      <c r="S90" s="20" t="n">
        <f aca="false">K90+N90+Q90</f>
        <v>0</v>
      </c>
      <c r="T90" s="57" t="n">
        <f aca="false">'Plan holdings'!Y90</f>
        <v>0</v>
      </c>
      <c r="U90" s="57" t="n">
        <f aca="false">'Plan holdings'!BM89</f>
        <v>0</v>
      </c>
      <c r="V90" s="20" t="n">
        <f aca="false">IF(AND(Slot1_On=1,D90=Slot1_Age),1,0)</f>
        <v>0</v>
      </c>
      <c r="W90" s="20" t="n">
        <f aca="false">IF(AND(Slot1_On=1,Slot1_Age&gt;D90),1,0)</f>
        <v>0</v>
      </c>
      <c r="X90" s="20" t="n">
        <f aca="false">QM89</f>
        <v>0</v>
      </c>
      <c r="Y90" s="20" t="n">
        <f aca="false">V90*MIN(Slot1_Cost,X90)</f>
        <v>0</v>
      </c>
      <c r="Z90" s="20" t="n">
        <f aca="false">V90*Slot1_SpendLike*MIN(Slot1_Cost-Y90,T90)</f>
        <v>0</v>
      </c>
      <c r="AA90" s="20" t="n">
        <f aca="false">Y90+Z90</f>
        <v>0</v>
      </c>
      <c r="AB90" s="20" t="n">
        <f aca="false">T90-Z90+V90*IF(Slot1_SpendLike=1,X90-Y90,IF(Slot1_PotFree=1,X90,0))</f>
        <v>0</v>
      </c>
      <c r="AC90" s="20" t="n">
        <f aca="false">AF90+V90*Slot1_BufPot*X90</f>
        <v>0</v>
      </c>
      <c r="AD90" s="20" t="n">
        <f aca="false">IF(AND(V90=1,Slot1_IsMfree=1),IF(AA90&gt;=Slot1_Cost-1,0,MAX(0,L90-AA90)),L90)</f>
        <v>0</v>
      </c>
      <c r="AE90" s="20" t="n">
        <f aca="false">V90*(Slot1_Cost-AA90)</f>
        <v>0</v>
      </c>
      <c r="AF90" s="20" t="n">
        <f aca="false">QL89</f>
        <v>0</v>
      </c>
      <c r="AG90" s="20" t="n">
        <f aca="false">IF(AND(Slot2_On=1,D90=Slot2_Age),1,0)</f>
        <v>0</v>
      </c>
      <c r="AH90" s="20" t="n">
        <f aca="false">IF(AND(Slot2_On=1,Slot2_Age&gt;D90),1,0)</f>
        <v>0</v>
      </c>
      <c r="AI90" s="20" t="n">
        <f aca="false">QQ89</f>
        <v>0</v>
      </c>
      <c r="AJ90" s="20" t="n">
        <f aca="false">AG90*MIN(Slot2_Cost,AI90)</f>
        <v>0</v>
      </c>
      <c r="AK90" s="20" t="n">
        <f aca="false">AG90*Slot2_SpendLike*MIN(Slot2_Cost-AJ90,AB90)</f>
        <v>0</v>
      </c>
      <c r="AL90" s="20" t="n">
        <f aca="false">AJ90+AK90</f>
        <v>0</v>
      </c>
      <c r="AM90" s="20" t="n">
        <f aca="false">AB90-AK90+AG90*IF(Slot2_SpendLike=1,AI90-AJ90,IF(Slot2_PotFree=1,AI90,0))</f>
        <v>0</v>
      </c>
      <c r="AN90" s="20" t="n">
        <f aca="false">AC90+AG90*Slot2_BufPot*AI90</f>
        <v>0</v>
      </c>
      <c r="AO90" s="20" t="n">
        <f aca="false">IF(AND(AG90=1,Slot2_IsMfree=1),IF(AL90&gt;=Slot2_Cost-1,0,MAX(0,AD90-AL90)),AD90)</f>
        <v>0</v>
      </c>
      <c r="AP90" s="20" t="n">
        <f aca="false">AG90*(Slot2_Cost-AL90)</f>
        <v>0</v>
      </c>
      <c r="AQ90" s="20" t="n">
        <f aca="false">IF(AND(Slot3_On=1,D90=Slot3_Age),1,0)</f>
        <v>0</v>
      </c>
      <c r="AR90" s="20" t="n">
        <f aca="false">IF(AND(Slot3_On=1,Slot3_Age&gt;D90),1,0)</f>
        <v>0</v>
      </c>
      <c r="AS90" s="20" t="n">
        <f aca="false">QU89</f>
        <v>0</v>
      </c>
      <c r="AT90" s="20" t="n">
        <f aca="false">AQ90*MIN(Slot3_Cost,AS90)</f>
        <v>0</v>
      </c>
      <c r="AU90" s="20" t="n">
        <f aca="false">AQ90*Slot3_SpendLike*MIN(Slot3_Cost-AT90,AM90)</f>
        <v>0</v>
      </c>
      <c r="AV90" s="20" t="n">
        <f aca="false">AT90+AU90</f>
        <v>0</v>
      </c>
      <c r="AW90" s="20" t="n">
        <f aca="false">AM90-AU90+AQ90*IF(Slot3_SpendLike=1,AS90-AT90,IF(Slot3_PotFree=1,AS90,0))</f>
        <v>0</v>
      </c>
      <c r="AX90" s="20" t="n">
        <f aca="false">AN90+AQ90*Slot3_BufPot*AS90</f>
        <v>0</v>
      </c>
      <c r="AY90" s="20" t="n">
        <f aca="false">IF(AND(AQ90=1,Slot3_IsMfree=1),IF(AV90&gt;=Slot3_Cost-1,0,MAX(0,AO90-AV90)),AO90)</f>
        <v>0</v>
      </c>
      <c r="AZ90" s="20" t="n">
        <f aca="false">AQ90*(Slot3_Cost-AV90)</f>
        <v>0</v>
      </c>
      <c r="BA90" s="20" t="n">
        <f aca="false">IF(AND(Slot4_On=1,D90=Slot4_Age),1,0)</f>
        <v>0</v>
      </c>
      <c r="BB90" s="20" t="n">
        <f aca="false">IF(AND(Slot4_On=1,Slot4_Age&gt;D90),1,0)</f>
        <v>0</v>
      </c>
      <c r="BC90" s="20" t="n">
        <f aca="false">QY89</f>
        <v>0</v>
      </c>
      <c r="BD90" s="20" t="n">
        <f aca="false">BA90*MIN(Slot4_Cost,BC90)</f>
        <v>0</v>
      </c>
      <c r="BE90" s="20" t="n">
        <f aca="false">BA90*Slot4_SpendLike*MIN(Slot4_Cost-BD90,AW90)</f>
        <v>0</v>
      </c>
      <c r="BF90" s="20" t="n">
        <f aca="false">BD90+BE90</f>
        <v>0</v>
      </c>
      <c r="BG90" s="20" t="n">
        <f aca="false">AW90-BE90+BA90*IF(Slot4_SpendLike=1,BC90-BD90,IF(Slot4_PotFree=1,BC90,0))</f>
        <v>0</v>
      </c>
      <c r="BH90" s="20" t="n">
        <f aca="false">AX90+BA90*Slot4_BufPot*BC90</f>
        <v>0</v>
      </c>
      <c r="BI90" s="20" t="n">
        <f aca="false">IF(AND(BA90=1,Slot4_IsMfree=1),IF(BF90&gt;=Slot4_Cost-1,0,MAX(0,AY90-BF90)),AY90)</f>
        <v>0</v>
      </c>
      <c r="BJ90" s="20" t="n">
        <f aca="false">BA90*(Slot4_Cost-BF90)</f>
        <v>0</v>
      </c>
      <c r="BK90" s="20" t="n">
        <f aca="false">IF(AND(Slot5_On=1,D90=Slot5_Age),1,0)</f>
        <v>0</v>
      </c>
      <c r="BL90" s="20" t="n">
        <f aca="false">IF(AND(Slot5_On=1,Slot5_Age&gt;D90),1,0)</f>
        <v>0</v>
      </c>
      <c r="BM90" s="20" t="n">
        <f aca="false">RC89</f>
        <v>0</v>
      </c>
      <c r="BN90" s="20" t="n">
        <f aca="false">BK90*MIN(Slot5_Cost,BM90)</f>
        <v>0</v>
      </c>
      <c r="BO90" s="20" t="n">
        <f aca="false">BK90*Slot5_SpendLike*MIN(Slot5_Cost-BN90,BG90)</f>
        <v>0</v>
      </c>
      <c r="BP90" s="20" t="n">
        <f aca="false">BN90+BO90</f>
        <v>0</v>
      </c>
      <c r="BQ90" s="20" t="n">
        <f aca="false">BG90-BO90+BK90*IF(Slot5_SpendLike=1,BM90-BN90,IF(Slot5_PotFree=1,BM90,0))</f>
        <v>0</v>
      </c>
      <c r="BR90" s="20" t="n">
        <f aca="false">BH90+BK90*Slot5_BufPot*BM90</f>
        <v>0</v>
      </c>
      <c r="BS90" s="20" t="n">
        <f aca="false">IF(AND(BK90=1,Slot5_IsMfree=1),IF(BP90&gt;=Slot5_Cost-1,0,MAX(0,BI90-BP90)),BI90)</f>
        <v>0</v>
      </c>
      <c r="BT90" s="20" t="n">
        <f aca="false">BK90*(Slot5_Cost-BP90)</f>
        <v>0</v>
      </c>
      <c r="BU90" s="20" t="n">
        <f aca="false">IF(AND(Slot6_On=1,D90=Slot6_Age),1,0)</f>
        <v>0</v>
      </c>
      <c r="BV90" s="20" t="n">
        <f aca="false">IF(AND(Slot6_On=1,Slot6_Age&gt;D90),1,0)</f>
        <v>0</v>
      </c>
      <c r="BW90" s="20" t="n">
        <f aca="false">RG89</f>
        <v>0</v>
      </c>
      <c r="BX90" s="20" t="n">
        <f aca="false">BU90*MIN(Slot6_Cost,BW90)</f>
        <v>0</v>
      </c>
      <c r="BY90" s="20" t="n">
        <f aca="false">BU90*Slot6_SpendLike*MIN(Slot6_Cost-BX90,BQ90)</f>
        <v>0</v>
      </c>
      <c r="BZ90" s="20" t="n">
        <f aca="false">BX90+BY90</f>
        <v>0</v>
      </c>
      <c r="CA90" s="20" t="n">
        <f aca="false">BQ90-BY90+BU90*IF(Slot6_SpendLike=1,BW90-BX90,IF(Slot6_PotFree=1,BW90,0))</f>
        <v>0</v>
      </c>
      <c r="CB90" s="20" t="n">
        <f aca="false">BR90+BU90*Slot6_BufPot*BW90</f>
        <v>0</v>
      </c>
      <c r="CC90" s="20" t="n">
        <f aca="false">IF(AND(BU90=1,Slot6_IsMfree=1),IF(BZ90&gt;=Slot6_Cost-1,0,MAX(0,BS90-BZ90)),BS90)</f>
        <v>0</v>
      </c>
      <c r="CD90" s="20" t="n">
        <f aca="false">BU90*(Slot6_Cost-BZ90)</f>
        <v>0</v>
      </c>
      <c r="CE90" s="20" t="n">
        <f aca="false">IF(AND(Slot7_On=1,D90=Slot7_Age),1,0)</f>
        <v>0</v>
      </c>
      <c r="CF90" s="20" t="n">
        <f aca="false">IF(AND(Slot7_On=1,Slot7_Age&gt;D90),1,0)</f>
        <v>0</v>
      </c>
      <c r="CG90" s="20" t="n">
        <f aca="false">RK89</f>
        <v>0</v>
      </c>
      <c r="CH90" s="20" t="n">
        <f aca="false">CE90*MIN(Slot7_Cost,CG90)</f>
        <v>0</v>
      </c>
      <c r="CI90" s="20" t="n">
        <f aca="false">CE90*Slot7_SpendLike*MIN(Slot7_Cost-CH90,CA90)</f>
        <v>0</v>
      </c>
      <c r="CJ90" s="20" t="n">
        <f aca="false">CH90+CI90</f>
        <v>0</v>
      </c>
      <c r="CK90" s="20" t="n">
        <f aca="false">CA90-CI90+CE90*IF(Slot7_SpendLike=1,CG90-CH90,IF(Slot7_PotFree=1,CG90,0))</f>
        <v>0</v>
      </c>
      <c r="CL90" s="20" t="n">
        <f aca="false">CB90+CE90*Slot7_BufPot*CG90</f>
        <v>0</v>
      </c>
      <c r="CM90" s="20" t="n">
        <f aca="false">IF(AND(CE90=1,Slot7_IsMfree=1),IF(CJ90&gt;=Slot7_Cost-1,0,MAX(0,CC90-CJ90)),CC90)</f>
        <v>0</v>
      </c>
      <c r="CN90" s="20" t="n">
        <f aca="false">CE90*(Slot7_Cost-CJ90)</f>
        <v>0</v>
      </c>
      <c r="CO90" s="20" t="n">
        <f aca="false">IF(AND(Slot8_On=1,D90=Slot8_Age),1,0)</f>
        <v>0</v>
      </c>
      <c r="CP90" s="20" t="n">
        <f aca="false">IF(AND(Slot8_On=1,Slot8_Age&gt;D90),1,0)</f>
        <v>0</v>
      </c>
      <c r="CQ90" s="20" t="n">
        <f aca="false">RO89</f>
        <v>0</v>
      </c>
      <c r="CR90" s="20" t="n">
        <f aca="false">CO90*MIN(Slot8_Cost,CQ90)</f>
        <v>0</v>
      </c>
      <c r="CS90" s="20" t="n">
        <f aca="false">CO90*Slot8_SpendLike*MIN(Slot8_Cost-CR90,CK90)</f>
        <v>0</v>
      </c>
      <c r="CT90" s="20" t="n">
        <f aca="false">CR90+CS90</f>
        <v>0</v>
      </c>
      <c r="CU90" s="20" t="n">
        <f aca="false">CK90-CS90+CO90*IF(Slot8_SpendLike=1,CQ90-CR90,IF(Slot8_PotFree=1,CQ90,0))</f>
        <v>0</v>
      </c>
      <c r="CV90" s="20" t="n">
        <f aca="false">CL90+CO90*Slot8_BufPot*CQ90</f>
        <v>0</v>
      </c>
      <c r="CW90" s="20" t="n">
        <f aca="false">IF(AND(CO90=1,Slot8_IsMfree=1),IF(CT90&gt;=Slot8_Cost-1,0,MAX(0,CM90-CT90)),CM90)</f>
        <v>0</v>
      </c>
      <c r="CX90" s="20" t="n">
        <f aca="false">CO90*(Slot8_Cost-CT90)</f>
        <v>0</v>
      </c>
      <c r="CY90" s="20" t="n">
        <f aca="false">IF(AND(Slot9_On=1,D90=Slot9_Age),1,0)</f>
        <v>0</v>
      </c>
      <c r="CZ90" s="20" t="n">
        <f aca="false">IF(AND(Slot9_On=1,Slot9_Age&gt;D90),1,0)</f>
        <v>0</v>
      </c>
      <c r="DA90" s="20" t="n">
        <f aca="false">RS89</f>
        <v>0</v>
      </c>
      <c r="DB90" s="20" t="n">
        <f aca="false">CY90*MIN(Slot9_Cost,DA90)</f>
        <v>0</v>
      </c>
      <c r="DC90" s="20" t="n">
        <f aca="false">CY90*Slot9_SpendLike*MIN(Slot9_Cost-DB90,CU90)</f>
        <v>0</v>
      </c>
      <c r="DD90" s="20" t="n">
        <f aca="false">DB90+DC90</f>
        <v>0</v>
      </c>
      <c r="DE90" s="20" t="n">
        <f aca="false">CU90-DC90+CY90*IF(Slot9_SpendLike=1,DA90-DB90,IF(Slot9_PotFree=1,DA90,0))</f>
        <v>0</v>
      </c>
      <c r="DF90" s="20" t="n">
        <f aca="false">CV90+CY90*Slot9_BufPot*DA90</f>
        <v>0</v>
      </c>
      <c r="DG90" s="20" t="n">
        <f aca="false">IF(AND(CY90=1,Slot9_IsMfree=1),IF(DD90&gt;=Slot9_Cost-1,0,MAX(0,CW90-DD90)),CW90)</f>
        <v>0</v>
      </c>
      <c r="DH90" s="20" t="n">
        <f aca="false">CY90*(Slot9_Cost-DD90)</f>
        <v>0</v>
      </c>
      <c r="DI90" s="20" t="n">
        <f aca="false">IF(AND(Slot10_On=1,D90=Slot10_Age),1,0)</f>
        <v>0</v>
      </c>
      <c r="DJ90" s="20" t="n">
        <f aca="false">IF(AND(Slot10_On=1,Slot10_Age&gt;D90),1,0)</f>
        <v>0</v>
      </c>
      <c r="DK90" s="20" t="n">
        <f aca="false">RW89</f>
        <v>0</v>
      </c>
      <c r="DL90" s="20" t="n">
        <f aca="false">DI90*MIN(Slot10_Cost,DK90)</f>
        <v>0</v>
      </c>
      <c r="DM90" s="20" t="n">
        <f aca="false">DI90*Slot10_SpendLike*MIN(Slot10_Cost-DL90,DE90)</f>
        <v>0</v>
      </c>
      <c r="DN90" s="20" t="n">
        <f aca="false">DL90+DM90</f>
        <v>0</v>
      </c>
      <c r="DO90" s="20" t="n">
        <f aca="false">DE90-DM90+DI90*IF(Slot10_SpendLike=1,DK90-DL90,IF(Slot10_PotFree=1,DK90,0))</f>
        <v>0</v>
      </c>
      <c r="DP90" s="20" t="n">
        <f aca="false">DF90+DI90*Slot10_BufPot*DK90</f>
        <v>0</v>
      </c>
      <c r="DQ90" s="20" t="n">
        <f aca="false">IF(AND(DI90=1,Slot10_IsMfree=1),IF(DN90&gt;=Slot10_Cost-1,0,MAX(0,DG90-DN90)),DG90)</f>
        <v>0</v>
      </c>
      <c r="DR90" s="20" t="n">
        <f aca="false">DI90*(Slot10_Cost-DN90)</f>
        <v>0</v>
      </c>
      <c r="DS90" s="20" t="n">
        <f aca="false">IF(AND(Slot11_On=1,D90=Slot11_Age),1,0)</f>
        <v>0</v>
      </c>
      <c r="DT90" s="20" t="n">
        <f aca="false">IF(AND(Slot11_On=1,Slot11_Age&gt;D90),1,0)</f>
        <v>0</v>
      </c>
      <c r="DU90" s="20" t="n">
        <f aca="false">SA89</f>
        <v>0</v>
      </c>
      <c r="DV90" s="20" t="n">
        <f aca="false">DS90*MIN(Slot11_Cost,DU90)</f>
        <v>0</v>
      </c>
      <c r="DW90" s="20" t="n">
        <f aca="false">DS90*Slot11_SpendLike*MIN(Slot11_Cost-DV90,DO90)</f>
        <v>0</v>
      </c>
      <c r="DX90" s="20" t="n">
        <f aca="false">DV90+DW90</f>
        <v>0</v>
      </c>
      <c r="DY90" s="20" t="n">
        <f aca="false">DO90-DW90+DS90*IF(Slot11_SpendLike=1,DU90-DV90,IF(Slot11_PotFree=1,DU90,0))</f>
        <v>0</v>
      </c>
      <c r="DZ90" s="20" t="n">
        <f aca="false">DP90+DS90*Slot11_BufPot*DU90</f>
        <v>0</v>
      </c>
      <c r="EA90" s="20" t="n">
        <f aca="false">IF(AND(DS90=1,Slot11_IsMfree=1),IF(DX90&gt;=Slot11_Cost-1,0,MAX(0,DQ90-DX90)),DQ90)</f>
        <v>0</v>
      </c>
      <c r="EB90" s="20" t="n">
        <f aca="false">DS90*(Slot11_Cost-DX90)</f>
        <v>0</v>
      </c>
      <c r="EC90" s="20" t="n">
        <f aca="false">IF(AND(Slot12_On=1,D90=Slot12_Age),1,0)</f>
        <v>0</v>
      </c>
      <c r="ED90" s="20" t="n">
        <f aca="false">IF(AND(Slot12_On=1,Slot12_Age&gt;D90),1,0)</f>
        <v>0</v>
      </c>
      <c r="EE90" s="20" t="n">
        <f aca="false">SE89</f>
        <v>0</v>
      </c>
      <c r="EF90" s="20" t="n">
        <f aca="false">EC90*MIN(Slot12_Cost,EE90)</f>
        <v>0</v>
      </c>
      <c r="EG90" s="20" t="n">
        <f aca="false">EC90*Slot12_SpendLike*MIN(Slot12_Cost-EF90,DY90)</f>
        <v>0</v>
      </c>
      <c r="EH90" s="20" t="n">
        <f aca="false">EF90+EG90</f>
        <v>0</v>
      </c>
      <c r="EI90" s="20" t="n">
        <f aca="false">DY90-EG90+EC90*IF(Slot12_SpendLike=1,EE90-EF90,IF(Slot12_PotFree=1,EE90,0))</f>
        <v>0</v>
      </c>
      <c r="EJ90" s="20" t="n">
        <f aca="false">DZ90+EC90*Slot12_BufPot*EE90</f>
        <v>0</v>
      </c>
      <c r="EK90" s="20" t="n">
        <f aca="false">IF(AND(EC90=1,Slot12_IsMfree=1),IF(EH90&gt;=Slot12_Cost-1,0,MAX(0,EA90-EH90)),EA90)</f>
        <v>0</v>
      </c>
      <c r="EL90" s="20" t="n">
        <f aca="false">EC90*(Slot12_Cost-EH90)</f>
        <v>0</v>
      </c>
      <c r="EM90" s="20" t="n">
        <f aca="false">IF(AND(Slot13_On=1,D90=Slot13_Age),1,0)</f>
        <v>0</v>
      </c>
      <c r="EN90" s="20" t="n">
        <f aca="false">IF(AND(Slot13_On=1,Slot13_Age&gt;D90),1,0)</f>
        <v>0</v>
      </c>
      <c r="EO90" s="20" t="n">
        <f aca="false">SI89</f>
        <v>0</v>
      </c>
      <c r="EP90" s="20" t="n">
        <f aca="false">EM90*MIN(Slot13_Cost,EO90)</f>
        <v>0</v>
      </c>
      <c r="EQ90" s="20" t="n">
        <f aca="false">EM90*Slot13_SpendLike*MIN(Slot13_Cost-EP90,EI90)</f>
        <v>0</v>
      </c>
      <c r="ER90" s="20" t="n">
        <f aca="false">EP90+EQ90</f>
        <v>0</v>
      </c>
      <c r="ES90" s="20" t="n">
        <f aca="false">EI90-EQ90+EM90*IF(Slot13_SpendLike=1,EO90-EP90,IF(Slot13_PotFree=1,EO90,0))</f>
        <v>0</v>
      </c>
      <c r="ET90" s="20" t="n">
        <f aca="false">EJ90+EM90*Slot13_BufPot*EO90</f>
        <v>0</v>
      </c>
      <c r="EU90" s="20" t="n">
        <f aca="false">IF(AND(EM90=1,Slot13_IsMfree=1),IF(ER90&gt;=Slot13_Cost-1,0,MAX(0,EK90-ER90)),EK90)</f>
        <v>0</v>
      </c>
      <c r="EV90" s="20" t="n">
        <f aca="false">EM90*(Slot13_Cost-ER90)</f>
        <v>0</v>
      </c>
      <c r="EW90" s="20" t="n">
        <f aca="false">IF(AND(Slot14_On=1,D90=Slot14_Age),1,0)</f>
        <v>0</v>
      </c>
      <c r="EX90" s="20" t="n">
        <f aca="false">IF(AND(Slot14_On=1,Slot14_Age&gt;D90),1,0)</f>
        <v>0</v>
      </c>
      <c r="EY90" s="20" t="n">
        <f aca="false">SM89</f>
        <v>0</v>
      </c>
      <c r="EZ90" s="20" t="n">
        <f aca="false">EW90*MIN(Slot14_Cost,EY90)</f>
        <v>0</v>
      </c>
      <c r="FA90" s="20" t="n">
        <f aca="false">EW90*Slot14_SpendLike*MIN(Slot14_Cost-EZ90,ES90)</f>
        <v>0</v>
      </c>
      <c r="FB90" s="20" t="n">
        <f aca="false">EZ90+FA90</f>
        <v>0</v>
      </c>
      <c r="FC90" s="20" t="n">
        <f aca="false">ES90-FA90+EW90*IF(Slot14_SpendLike=1,EY90-EZ90,IF(Slot14_PotFree=1,EY90,0))</f>
        <v>0</v>
      </c>
      <c r="FD90" s="20" t="n">
        <f aca="false">ET90+EW90*Slot14_BufPot*EY90</f>
        <v>0</v>
      </c>
      <c r="FE90" s="20" t="n">
        <f aca="false">IF(AND(EW90=1,Slot14_IsMfree=1),IF(FB90&gt;=Slot14_Cost-1,0,MAX(0,EU90-FB90)),EU90)</f>
        <v>0</v>
      </c>
      <c r="FF90" s="20" t="n">
        <f aca="false">EW90*(Slot14_Cost-FB90)</f>
        <v>0</v>
      </c>
      <c r="FG90" s="20" t="n">
        <f aca="false">IF(AND(Slot15_On=1,D90=Slot15_Age),1,0)</f>
        <v>0</v>
      </c>
      <c r="FH90" s="20" t="n">
        <f aca="false">IF(AND(Slot15_On=1,Slot15_Age&gt;D90),1,0)</f>
        <v>0</v>
      </c>
      <c r="FI90" s="20" t="n">
        <f aca="false">SQ89</f>
        <v>0</v>
      </c>
      <c r="FJ90" s="20" t="n">
        <f aca="false">FG90*MIN(Slot15_Cost,FI90)</f>
        <v>0</v>
      </c>
      <c r="FK90" s="20" t="n">
        <f aca="false">FG90*Slot15_SpendLike*MIN(Slot15_Cost-FJ90,FC90)</f>
        <v>0</v>
      </c>
      <c r="FL90" s="20" t="n">
        <f aca="false">FJ90+FK90</f>
        <v>0</v>
      </c>
      <c r="FM90" s="20" t="n">
        <f aca="false">FC90-FK90+FG90*IF(Slot15_SpendLike=1,FI90-FJ90,IF(Slot15_PotFree=1,FI90,0))</f>
        <v>0</v>
      </c>
      <c r="FN90" s="20" t="n">
        <f aca="false">FD90+FG90*Slot15_BufPot*FI90</f>
        <v>0</v>
      </c>
      <c r="FO90" s="20" t="n">
        <f aca="false">IF(AND(FG90=1,Slot15_IsMfree=1),IF(FL90&gt;=Slot15_Cost-1,0,MAX(0,FE90-FL90)),FE90)</f>
        <v>0</v>
      </c>
      <c r="FP90" s="20" t="n">
        <f aca="false">FG90*(Slot15_Cost-FL90)</f>
        <v>0</v>
      </c>
      <c r="FQ90" s="20" t="n">
        <f aca="false">IF(AND(Slot16_On=1,D90=Slot16_Age),1,0)</f>
        <v>0</v>
      </c>
      <c r="FR90" s="20" t="n">
        <f aca="false">IF(AND(Slot16_On=1,Slot16_Age&gt;D90),1,0)</f>
        <v>0</v>
      </c>
      <c r="FS90" s="20" t="n">
        <f aca="false">SU89</f>
        <v>0</v>
      </c>
      <c r="FT90" s="20" t="n">
        <f aca="false">FQ90*MIN(Slot16_Cost,FS90)</f>
        <v>0</v>
      </c>
      <c r="FU90" s="20" t="n">
        <f aca="false">FQ90*Slot16_SpendLike*MIN(Slot16_Cost-FT90,FM90)</f>
        <v>0</v>
      </c>
      <c r="FV90" s="20" t="n">
        <f aca="false">FT90+FU90</f>
        <v>0</v>
      </c>
      <c r="FW90" s="20" t="n">
        <f aca="false">FM90-FU90+FQ90*IF(Slot16_SpendLike=1,FS90-FT90,IF(Slot16_PotFree=1,FS90,0))</f>
        <v>0</v>
      </c>
      <c r="FX90" s="20" t="n">
        <f aca="false">FN90+FQ90*Slot16_BufPot*FS90</f>
        <v>0</v>
      </c>
      <c r="FY90" s="20" t="n">
        <f aca="false">IF(AND(FQ90=1,Slot16_IsMfree=1),IF(FV90&gt;=Slot16_Cost-1,0,MAX(0,FO90-FV90)),FO90)</f>
        <v>0</v>
      </c>
      <c r="FZ90" s="20" t="n">
        <f aca="false">FQ90*(Slot16_Cost-FV90)</f>
        <v>0</v>
      </c>
      <c r="GA90" s="20" t="n">
        <f aca="false">IF(AND(Slot17_On=1,D90=Slot17_Age),1,0)</f>
        <v>0</v>
      </c>
      <c r="GB90" s="20" t="n">
        <f aca="false">IF(AND(Slot17_On=1,Slot17_Age&gt;D90),1,0)</f>
        <v>0</v>
      </c>
      <c r="GC90" s="20" t="n">
        <f aca="false">SY89</f>
        <v>0</v>
      </c>
      <c r="GD90" s="20" t="n">
        <f aca="false">GA90*MIN(Slot17_Cost,GC90)</f>
        <v>0</v>
      </c>
      <c r="GE90" s="20" t="n">
        <f aca="false">GA90*Slot17_SpendLike*MIN(Slot17_Cost-GD90,FW90)</f>
        <v>0</v>
      </c>
      <c r="GF90" s="20" t="n">
        <f aca="false">GD90+GE90</f>
        <v>0</v>
      </c>
      <c r="GG90" s="20" t="n">
        <f aca="false">FW90-GE90+GA90*IF(Slot17_SpendLike=1,GC90-GD90,IF(Slot17_PotFree=1,GC90,0))</f>
        <v>0</v>
      </c>
      <c r="GH90" s="20" t="n">
        <f aca="false">FX90+GA90*Slot17_BufPot*GC90</f>
        <v>0</v>
      </c>
      <c r="GI90" s="20" t="n">
        <f aca="false">IF(AND(GA90=1,Slot17_IsMfree=1),IF(GF90&gt;=Slot17_Cost-1,0,MAX(0,FY90-GF90)),FY90)</f>
        <v>0</v>
      </c>
      <c r="GJ90" s="20" t="n">
        <f aca="false">GA90*(Slot17_Cost-GF90)</f>
        <v>0</v>
      </c>
      <c r="GK90" s="20" t="n">
        <f aca="false">IF(AND(Slot18_On=1,D90=Slot18_Age),1,0)</f>
        <v>0</v>
      </c>
      <c r="GL90" s="20" t="n">
        <f aca="false">IF(AND(Slot18_On=1,Slot18_Age&gt;D90),1,0)</f>
        <v>0</v>
      </c>
      <c r="GM90" s="20" t="n">
        <f aca="false">TC89</f>
        <v>0</v>
      </c>
      <c r="GN90" s="20" t="n">
        <f aca="false">GK90*MIN(Slot18_Cost,GM90)</f>
        <v>0</v>
      </c>
      <c r="GO90" s="20" t="n">
        <f aca="false">GK90*Slot18_SpendLike*MIN(Slot18_Cost-GN90,GG90)</f>
        <v>0</v>
      </c>
      <c r="GP90" s="20" t="n">
        <f aca="false">GN90+GO90</f>
        <v>0</v>
      </c>
      <c r="GQ90" s="20" t="n">
        <f aca="false">GG90-GO90+GK90*IF(Slot18_SpendLike=1,GM90-GN90,IF(Slot18_PotFree=1,GM90,0))</f>
        <v>0</v>
      </c>
      <c r="GR90" s="20" t="n">
        <f aca="false">GH90+GK90*Slot18_BufPot*GM90</f>
        <v>0</v>
      </c>
      <c r="GS90" s="20" t="n">
        <f aca="false">IF(AND(GK90=1,Slot18_IsMfree=1),IF(GP90&gt;=Slot18_Cost-1,0,MAX(0,GI90-GP90)),GI90)</f>
        <v>0</v>
      </c>
      <c r="GT90" s="20" t="n">
        <f aca="false">GK90*(Slot18_Cost-GP90)</f>
        <v>0</v>
      </c>
      <c r="GU90" s="20" t="n">
        <f aca="false">IF(AND(Slot19_On=1,D90=Slot19_Age),1,0)</f>
        <v>0</v>
      </c>
      <c r="GV90" s="20" t="n">
        <f aca="false">IF(AND(Slot19_On=1,Slot19_Age&gt;D90),1,0)</f>
        <v>0</v>
      </c>
      <c r="GW90" s="20" t="n">
        <f aca="false">TG89</f>
        <v>0</v>
      </c>
      <c r="GX90" s="20" t="n">
        <f aca="false">GU90*MIN(Slot19_Cost,GW90)</f>
        <v>0</v>
      </c>
      <c r="GY90" s="20" t="n">
        <f aca="false">GU90*Slot19_SpendLike*MIN(Slot19_Cost-GX90,GQ90)</f>
        <v>0</v>
      </c>
      <c r="GZ90" s="20" t="n">
        <f aca="false">GX90+GY90</f>
        <v>0</v>
      </c>
      <c r="HA90" s="20" t="n">
        <f aca="false">GQ90-GY90+GU90*IF(Slot19_SpendLike=1,GW90-GX90,IF(Slot19_PotFree=1,GW90,0))</f>
        <v>0</v>
      </c>
      <c r="HB90" s="20" t="n">
        <f aca="false">GR90+GU90*Slot19_BufPot*GW90</f>
        <v>0</v>
      </c>
      <c r="HC90" s="20" t="n">
        <f aca="false">IF(AND(GU90=1,Slot19_IsMfree=1),IF(GZ90&gt;=Slot19_Cost-1,0,MAX(0,GS90-GZ90)),GS90)</f>
        <v>0</v>
      </c>
      <c r="HD90" s="20" t="n">
        <f aca="false">GU90*(Slot19_Cost-GZ90)</f>
        <v>0</v>
      </c>
      <c r="HE90" s="20" t="n">
        <f aca="false">IF(AND(Slot20_On=1,D90=Slot20_Age),1,0)</f>
        <v>0</v>
      </c>
      <c r="HF90" s="20" t="n">
        <f aca="false">IF(AND(Slot20_On=1,Slot20_Age&gt;D90),1,0)</f>
        <v>0</v>
      </c>
      <c r="HG90" s="20" t="n">
        <f aca="false">TK89</f>
        <v>0</v>
      </c>
      <c r="HH90" s="20" t="n">
        <f aca="false">HE90*MIN(Slot20_Cost,HG90)</f>
        <v>0</v>
      </c>
      <c r="HI90" s="20" t="n">
        <f aca="false">HE90*Slot20_SpendLike*MIN(Slot20_Cost-HH90,HA90)</f>
        <v>0</v>
      </c>
      <c r="HJ90" s="20" t="n">
        <f aca="false">HH90+HI90</f>
        <v>0</v>
      </c>
      <c r="HK90" s="20" t="n">
        <f aca="false">HA90-HI90+HE90*IF(Slot20_SpendLike=1,HG90-HH90,IF(Slot20_PotFree=1,HG90,0))</f>
        <v>0</v>
      </c>
      <c r="HL90" s="20" t="n">
        <f aca="false">HB90+HE90*Slot20_BufPot*HG90</f>
        <v>0</v>
      </c>
      <c r="HM90" s="20" t="n">
        <f aca="false">IF(AND(HE90=1,Slot20_IsMfree=1),IF(HJ90&gt;=Slot20_Cost-1,0,MAX(0,HC90-HJ90)),HC90)</f>
        <v>0</v>
      </c>
      <c r="HN90" s="20" t="n">
        <f aca="false">HE90*(Slot20_Cost-HJ90)</f>
        <v>0</v>
      </c>
      <c r="HO90" s="20" t="n">
        <f aca="false">V90*Slot1_SpendLike*AA90+AG90*Slot2_SpendLike*AL90+AQ90*Slot3_SpendLike*AV90+BA90*Slot4_SpendLike*BF90+BK90*Slot5_SpendLike*BP90+BU90*Slot6_SpendLike*BZ90+CE90*Slot7_SpendLike*CJ90+CO90*Slot8_SpendLike*CT90+CY90*Slot9_SpendLike*DD90+DI90*Slot10_SpendLike*DN90+DS90*Slot11_SpendLike*DX90+EC90*Slot12_SpendLike*EH90+EM90*Slot13_SpendLike*ER90+EW90*Slot14_SpendLike*FB90+FG90*Slot15_SpendLike*FL90+FQ90*Slot16_SpendLike*FV90+GA90*Slot17_SpendLike*GF90+GK90*Slot18_SpendLike*GP90+GU90*Slot19_SpendLike*GZ90+HE90*Slot20_SpendLike*HJ90</f>
        <v>0</v>
      </c>
      <c r="HP90" s="20" t="n">
        <f aca="false">AE90+AP90+AZ90+BJ90+BT90+CD90+CN90+CX90+DH90+DR90+EB90+EL90+EV90+FF90+FP90+FZ90+GJ90+GT90+HD90+HN90</f>
        <v>0</v>
      </c>
      <c r="HQ90" s="20" t="n">
        <f aca="false">V90*Slot1_Cost+AG90*Slot2_Cost+AQ90*Slot3_Cost+BA90*Slot4_Cost+BK90*Slot5_Cost+BU90*Slot6_Cost+CE90*Slot7_Cost+CO90*Slot8_Cost+CY90*Slot9_Cost+DI90*Slot10_Cost+DS90*Slot11_Cost+EC90*Slot12_Cost+EM90*Slot13_Cost+EW90*Slot14_Cost+FG90*Slot15_Cost+FQ90*Slot16_Cost+GA90*Slot17_Cost+GK90*Slot18_Cost+GU90*Slot19_Cost+HE90*Slot20_Cost</f>
        <v>0</v>
      </c>
      <c r="HR90" s="20" t="n">
        <f aca="false">HM90</f>
        <v>0</v>
      </c>
      <c r="HS90" s="20" t="n">
        <f aca="false">H90-I90-S90</f>
        <v>-97722.5565416088</v>
      </c>
      <c r="HT90" s="20" t="n">
        <f aca="false">IF(B90=0,IF(AND(Has_q6=1,In_q6=4),PR_ShareVaries*(MAX(0,HS90)/12),MIN(IF(Has_q6=1,CHOOSE(In_q6+1,PR_SaveB1,PR_SaveB2,PR_SaveB3,PR_SaveB4,0),AS_NoAnswer),AS_SaveShare*(MAX(0,HS90)/12))),HT89)</f>
        <v>67.3316893520437</v>
      </c>
      <c r="HU90" s="20" t="n">
        <f aca="false">IF(HS90&gt;=0,1,0)</f>
        <v>0</v>
      </c>
      <c r="HV90" s="20" t="n">
        <f aca="false">MAX(0,HS90/12/F90)</f>
        <v>0</v>
      </c>
      <c r="HW90" s="20" t="n">
        <f aca="false">IF(AND(Has_q6=1,In_q6=4),PR_ShareVaries*(HV90),MIN(IF(Has_q6=1,CHOOSE(In_q6+1,PR_SaveB1,PR_SaveB2,PR_SaveB3,PR_SaveB4,0),AS_NoAnswer),AS_SaveShare*(HV90)))</f>
        <v>0</v>
      </c>
      <c r="HX90" s="20" t="n">
        <f aca="false">IF(Has_saveM=1,IF(In_saveUp="Yes",1,IF(In_saveUp="No",0,IF(In_saveM&gt;=HT90-0.5,1,0))),0)</f>
        <v>0</v>
      </c>
      <c r="HY90" s="20" t="n">
        <f aca="false">IF(Has_saveM=1,MIN(HV90,IF(HX90=1,MAX(In_saveM,HW90),MIN(In_saveM,HW90))),HW90)</f>
        <v>0</v>
      </c>
      <c r="HZ90" s="20" t="n">
        <f aca="false">IF(G90=1,HY90*12*F90,0)</f>
        <v>0</v>
      </c>
      <c r="IA90" s="20" t="n">
        <f aca="false">MAX(0,HZ90+IF(AND(WI_Retire=0,WI_M&lt;0,G90=1),WI_M*12*F90,0))</f>
        <v>0</v>
      </c>
      <c r="IB90" s="20" t="n">
        <f aca="false">Slot1_IsWG*W90+Slot2_IsWG*AH90+Slot3_IsWG*AR90+Slot4_IsWG*BB90+Slot5_IsWG*BL90+Slot6_IsWG*BV90+Slot7_IsWG*CF90+Slot8_IsWG*CP90+Slot9_IsWG*CZ90+Slot10_IsWG*DJ90+Slot11_IsWG*DT90+Slot12_IsWG*ED90+Slot13_IsWG*EN90+Slot14_IsWG*EX90+Slot15_IsWG*FH90+Slot16_IsWG*FR90+Slot17_IsWG*GB90+Slot18_IsWG*GL90+Slot19_IsWG*GV90+Slot20_IsWG*HF90</f>
        <v>0</v>
      </c>
      <c r="IC90" s="20" t="n">
        <f aca="false">IF(AND(WI_Retire=0,WI_M&gt;0,G90=1,IB90&gt;=1),WI_M*12*F90,0)</f>
        <v>0</v>
      </c>
      <c r="ID90" s="20" t="n">
        <f aca="false">IF(HU90=1,MIN(IA90,HS90),0)</f>
        <v>0</v>
      </c>
      <c r="IE90" s="20" t="n">
        <f aca="false">IF(HU90=1,MIN(IC90,HS90-ID90),0)</f>
        <v>0</v>
      </c>
      <c r="IF90" s="20" t="n">
        <f aca="false">IF(W90=1,IF(ABS((1+AS_Wage)/(1+Slot1_Rate)-1)&lt;0.000000000001,(Slot1_Age-D90)*(1+Slot1_Rate)^(Slot1_Age-D90),(1+Slot1_Rate)^(Slot1_Age-D90)*(1-((1+AS_Wage)/(1+Slot1_Rate))^(Slot1_Age-D90))/(1-(1+AS_Wage)/(1+Slot1_Rate))),1)</f>
        <v>1</v>
      </c>
      <c r="IG90" s="20" t="n">
        <f aca="false">IF(AND(HU90=1,IE90&gt;0,Slot1_IsWG=1,W90=1),MAX(0,(Slot1_Cost-X90*(1+Slot1_Rate)^(Slot1_Age-D90))/IF90),0)</f>
        <v>0</v>
      </c>
      <c r="IH90" s="20" t="n">
        <f aca="false">IF(AND(HU90=1,IE90&gt;0,Slot1_IsWG=1,W90=1),MIN(IE90,IG90),0)</f>
        <v>0</v>
      </c>
      <c r="II90" s="20" t="n">
        <f aca="false">X90+IH90</f>
        <v>0</v>
      </c>
      <c r="IJ90" s="20" t="n">
        <f aca="false">IF(W90=1,MAX(0,(Slot1_Cost-II90*(1+Slot1_Rate)^(Slot1_Age-D90))/IF90),0)</f>
        <v>0</v>
      </c>
      <c r="IK90" s="20" t="n">
        <f aca="false">IF(W90=1,MAX(0,(Slot1_Cost-X90*(1+Slot1_Rate)^(Slot1_Age-D90))/IF90),0)</f>
        <v>0</v>
      </c>
      <c r="IL90" s="20" t="n">
        <f aca="false">IF(AND(HU90=1,W90=1),MIN(ID90,IJ90),0)</f>
        <v>0</v>
      </c>
      <c r="IM90" s="20" t="n">
        <f aca="false">ID90-IL90</f>
        <v>0</v>
      </c>
      <c r="IN90" s="20" t="n">
        <f aca="false">IF(AH90=1,IF(ABS((1+AS_Wage)/(1+Slot2_Rate)-1)&lt;0.000000000001,(Slot2_Age-D90)*(1+Slot2_Rate)^(Slot2_Age-D90),(1+Slot2_Rate)^(Slot2_Age-D90)*(1-((1+AS_Wage)/(1+Slot2_Rate))^(Slot2_Age-D90))/(1-(1+AS_Wage)/(1+Slot2_Rate))),1)</f>
        <v>1</v>
      </c>
      <c r="IO90" s="20" t="n">
        <f aca="false">IF(AND(HU90=1,IE90&gt;0,Slot2_IsWG=1,AH90=1),MAX(0,(Slot2_Cost-AI90*(1+Slot2_Rate)^(Slot2_Age-D90))/IN90),0)</f>
        <v>0</v>
      </c>
      <c r="IP90" s="20" t="n">
        <f aca="false">IF(AND(HU90=1,IE90&gt;0,Slot2_IsWG=1,AH90=1),MIN(IE90,IO90),0)</f>
        <v>0</v>
      </c>
      <c r="IQ90" s="20" t="n">
        <f aca="false">AI90+IP90</f>
        <v>0</v>
      </c>
      <c r="IR90" s="20" t="n">
        <f aca="false">IF(AH90=1,MAX(0,(Slot2_Cost-IQ90*(1+Slot2_Rate)^(Slot2_Age-D90))/IN90),0)</f>
        <v>0</v>
      </c>
      <c r="IS90" s="20" t="n">
        <f aca="false">IF(AH90=1,MAX(0,(Slot2_Cost-AI90*(1+Slot2_Rate)^(Slot2_Age-D90))/IN90),0)</f>
        <v>0</v>
      </c>
      <c r="IT90" s="20" t="n">
        <f aca="false">IF(AND(HU90=1,AH90=1),MIN(IM90,IR90),0)</f>
        <v>0</v>
      </c>
      <c r="IU90" s="20" t="n">
        <f aca="false">IM90-IT90</f>
        <v>0</v>
      </c>
      <c r="IV90" s="20" t="n">
        <f aca="false">IF(AR90=1,IF(ABS((1+AS_Wage)/(1+Slot3_Rate)-1)&lt;0.000000000001,(Slot3_Age-D90)*(1+Slot3_Rate)^(Slot3_Age-D90),(1+Slot3_Rate)^(Slot3_Age-D90)*(1-((1+AS_Wage)/(1+Slot3_Rate))^(Slot3_Age-D90))/(1-(1+AS_Wage)/(1+Slot3_Rate))),1)</f>
        <v>1</v>
      </c>
      <c r="IW90" s="20" t="n">
        <f aca="false">IF(AND(HU90=1,IE90&gt;0,Slot3_IsWG=1,AR90=1),MAX(0,(Slot3_Cost-AS90*(1+Slot3_Rate)^(Slot3_Age-D90))/IV90),0)</f>
        <v>0</v>
      </c>
      <c r="IX90" s="20" t="n">
        <f aca="false">IF(AND(HU90=1,IE90&gt;0,Slot3_IsWG=1,AR90=1),MIN(IE90,IW90),0)</f>
        <v>0</v>
      </c>
      <c r="IY90" s="20" t="n">
        <f aca="false">AS90+IX90</f>
        <v>0</v>
      </c>
      <c r="IZ90" s="20" t="n">
        <f aca="false">IF(AR90=1,MAX(0,(Slot3_Cost-IY90*(1+Slot3_Rate)^(Slot3_Age-D90))/IV90),0)</f>
        <v>0</v>
      </c>
      <c r="JA90" s="20" t="n">
        <f aca="false">IF(AR90=1,MAX(0,(Slot3_Cost-AS90*(1+Slot3_Rate)^(Slot3_Age-D90))/IV90),0)</f>
        <v>0</v>
      </c>
      <c r="JB90" s="20" t="n">
        <f aca="false">IF(AND(HU90=1,AR90=1),MIN(IU90,IZ90),0)</f>
        <v>0</v>
      </c>
      <c r="JC90" s="20" t="n">
        <f aca="false">IU90-JB90</f>
        <v>0</v>
      </c>
      <c r="JD90" s="20" t="n">
        <f aca="false">IF(BB90=1,IF(ABS((1+AS_Wage)/(1+Slot4_Rate)-1)&lt;0.000000000001,(Slot4_Age-D90)*(1+Slot4_Rate)^(Slot4_Age-D90),(1+Slot4_Rate)^(Slot4_Age-D90)*(1-((1+AS_Wage)/(1+Slot4_Rate))^(Slot4_Age-D90))/(1-(1+AS_Wage)/(1+Slot4_Rate))),1)</f>
        <v>1</v>
      </c>
      <c r="JE90" s="20" t="n">
        <f aca="false">IF(AND(HU90=1,IE90&gt;0,Slot4_IsWG=1,BB90=1),MAX(0,(Slot4_Cost-BC90*(1+Slot4_Rate)^(Slot4_Age-D90))/JD90),0)</f>
        <v>0</v>
      </c>
      <c r="JF90" s="20" t="n">
        <f aca="false">IF(AND(HU90=1,IE90&gt;0,Slot4_IsWG=1,BB90=1),MIN(IE90,JE90),0)</f>
        <v>0</v>
      </c>
      <c r="JG90" s="20" t="n">
        <f aca="false">BC90+JF90</f>
        <v>0</v>
      </c>
      <c r="JH90" s="20" t="n">
        <f aca="false">IF(BB90=1,MAX(0,(Slot4_Cost-JG90*(1+Slot4_Rate)^(Slot4_Age-D90))/JD90),0)</f>
        <v>0</v>
      </c>
      <c r="JI90" s="20" t="n">
        <f aca="false">IF(BB90=1,MAX(0,(Slot4_Cost-BC90*(1+Slot4_Rate)^(Slot4_Age-D90))/JD90),0)</f>
        <v>0</v>
      </c>
      <c r="JJ90" s="20" t="n">
        <f aca="false">IF(AND(HU90=1,BB90=1),MIN(JC90,JH90),0)</f>
        <v>0</v>
      </c>
      <c r="JK90" s="20" t="n">
        <f aca="false">JC90-JJ90</f>
        <v>0</v>
      </c>
      <c r="JL90" s="20" t="n">
        <f aca="false">IF(BL90=1,IF(ABS((1+AS_Wage)/(1+Slot5_Rate)-1)&lt;0.000000000001,(Slot5_Age-D90)*(1+Slot5_Rate)^(Slot5_Age-D90),(1+Slot5_Rate)^(Slot5_Age-D90)*(1-((1+AS_Wage)/(1+Slot5_Rate))^(Slot5_Age-D90))/(1-(1+AS_Wage)/(1+Slot5_Rate))),1)</f>
        <v>1</v>
      </c>
      <c r="JM90" s="20" t="n">
        <f aca="false">IF(AND(HU90=1,IE90&gt;0,Slot5_IsWG=1,BL90=1),MAX(0,(Slot5_Cost-BM90*(1+Slot5_Rate)^(Slot5_Age-D90))/JL90),0)</f>
        <v>0</v>
      </c>
      <c r="JN90" s="20" t="n">
        <f aca="false">IF(AND(HU90=1,IE90&gt;0,Slot5_IsWG=1,BL90=1),MIN(IE90,JM90),0)</f>
        <v>0</v>
      </c>
      <c r="JO90" s="20" t="n">
        <f aca="false">BM90+JN90</f>
        <v>0</v>
      </c>
      <c r="JP90" s="20" t="n">
        <f aca="false">IF(BL90=1,MAX(0,(Slot5_Cost-JO90*(1+Slot5_Rate)^(Slot5_Age-D90))/JL90),0)</f>
        <v>0</v>
      </c>
      <c r="JQ90" s="20" t="n">
        <f aca="false">IF(BL90=1,MAX(0,(Slot5_Cost-BM90*(1+Slot5_Rate)^(Slot5_Age-D90))/JL90),0)</f>
        <v>0</v>
      </c>
      <c r="JR90" s="20" t="n">
        <f aca="false">IF(AND(HU90=1,BL90=1),MIN(JK90,JP90),0)</f>
        <v>0</v>
      </c>
      <c r="JS90" s="20" t="n">
        <f aca="false">JK90-JR90</f>
        <v>0</v>
      </c>
      <c r="JT90" s="20" t="n">
        <f aca="false">IF(BV90=1,IF(ABS((1+AS_Wage)/(1+Slot6_Rate)-1)&lt;0.000000000001,(Slot6_Age-D90)*(1+Slot6_Rate)^(Slot6_Age-D90),(1+Slot6_Rate)^(Slot6_Age-D90)*(1-((1+AS_Wage)/(1+Slot6_Rate))^(Slot6_Age-D90))/(1-(1+AS_Wage)/(1+Slot6_Rate))),1)</f>
        <v>1</v>
      </c>
      <c r="JU90" s="20" t="n">
        <f aca="false">IF(AND(HU90=1,IE90&gt;0,Slot6_IsWG=1,BV90=1),MAX(0,(Slot6_Cost-BW90*(1+Slot6_Rate)^(Slot6_Age-D90))/JT90),0)</f>
        <v>0</v>
      </c>
      <c r="JV90" s="20" t="n">
        <f aca="false">IF(AND(HU90=1,IE90&gt;0,Slot6_IsWG=1,BV90=1),MIN(IE90,JU90),0)</f>
        <v>0</v>
      </c>
      <c r="JW90" s="20" t="n">
        <f aca="false">BW90+JV90</f>
        <v>0</v>
      </c>
      <c r="JX90" s="20" t="n">
        <f aca="false">IF(BV90=1,MAX(0,(Slot6_Cost-JW90*(1+Slot6_Rate)^(Slot6_Age-D90))/JT90),0)</f>
        <v>0</v>
      </c>
      <c r="JY90" s="20" t="n">
        <f aca="false">IF(BV90=1,MAX(0,(Slot6_Cost-BW90*(1+Slot6_Rate)^(Slot6_Age-D90))/JT90),0)</f>
        <v>0</v>
      </c>
      <c r="JZ90" s="20" t="n">
        <f aca="false">IF(AND(HU90=1,BV90=1),MIN(JS90,JX90),0)</f>
        <v>0</v>
      </c>
      <c r="KA90" s="20" t="n">
        <f aca="false">JS90-JZ90</f>
        <v>0</v>
      </c>
      <c r="KB90" s="20" t="n">
        <f aca="false">IF(CF90=1,IF(ABS((1+AS_Wage)/(1+Slot7_Rate)-1)&lt;0.000000000001,(Slot7_Age-D90)*(1+Slot7_Rate)^(Slot7_Age-D90),(1+Slot7_Rate)^(Slot7_Age-D90)*(1-((1+AS_Wage)/(1+Slot7_Rate))^(Slot7_Age-D90))/(1-(1+AS_Wage)/(1+Slot7_Rate))),1)</f>
        <v>1</v>
      </c>
      <c r="KC90" s="20" t="n">
        <f aca="false">IF(AND(HU90=1,IE90&gt;0,Slot7_IsWG=1,CF90=1),MAX(0,(Slot7_Cost-CG90*(1+Slot7_Rate)^(Slot7_Age-D90))/KB90),0)</f>
        <v>0</v>
      </c>
      <c r="KD90" s="20" t="n">
        <f aca="false">IF(AND(HU90=1,IE90&gt;0,Slot7_IsWG=1,CF90=1),MIN(IE90,KC90),0)</f>
        <v>0</v>
      </c>
      <c r="KE90" s="20" t="n">
        <f aca="false">CG90+KD90</f>
        <v>0</v>
      </c>
      <c r="KF90" s="20" t="n">
        <f aca="false">IF(CF90=1,MAX(0,(Slot7_Cost-KE90*(1+Slot7_Rate)^(Slot7_Age-D90))/KB90),0)</f>
        <v>0</v>
      </c>
      <c r="KG90" s="20" t="n">
        <f aca="false">IF(CF90=1,MAX(0,(Slot7_Cost-CG90*(1+Slot7_Rate)^(Slot7_Age-D90))/KB90),0)</f>
        <v>0</v>
      </c>
      <c r="KH90" s="20" t="n">
        <f aca="false">IF(AND(HU90=1,CF90=1),MIN(KA90,KF90),0)</f>
        <v>0</v>
      </c>
      <c r="KI90" s="20" t="n">
        <f aca="false">KA90-KH90</f>
        <v>0</v>
      </c>
      <c r="KJ90" s="20" t="n">
        <f aca="false">IF(CP90=1,IF(ABS((1+AS_Wage)/(1+Slot8_Rate)-1)&lt;0.000000000001,(Slot8_Age-D90)*(1+Slot8_Rate)^(Slot8_Age-D90),(1+Slot8_Rate)^(Slot8_Age-D90)*(1-((1+AS_Wage)/(1+Slot8_Rate))^(Slot8_Age-D90))/(1-(1+AS_Wage)/(1+Slot8_Rate))),1)</f>
        <v>1</v>
      </c>
      <c r="KK90" s="20" t="n">
        <f aca="false">IF(AND(HU90=1,IE90&gt;0,Slot8_IsWG=1,CP90=1),MAX(0,(Slot8_Cost-CQ90*(1+Slot8_Rate)^(Slot8_Age-D90))/KJ90),0)</f>
        <v>0</v>
      </c>
      <c r="KL90" s="20" t="n">
        <f aca="false">IF(AND(HU90=1,IE90&gt;0,Slot8_IsWG=1,CP90=1),MIN(IE90,KK90),0)</f>
        <v>0</v>
      </c>
      <c r="KM90" s="20" t="n">
        <f aca="false">CQ90+KL90</f>
        <v>0</v>
      </c>
      <c r="KN90" s="20" t="n">
        <f aca="false">IF(CP90=1,MAX(0,(Slot8_Cost-KM90*(1+Slot8_Rate)^(Slot8_Age-D90))/KJ90),0)</f>
        <v>0</v>
      </c>
      <c r="KO90" s="20" t="n">
        <f aca="false">IF(CP90=1,MAX(0,(Slot8_Cost-CQ90*(1+Slot8_Rate)^(Slot8_Age-D90))/KJ90),0)</f>
        <v>0</v>
      </c>
      <c r="KP90" s="20" t="n">
        <f aca="false">IF(AND(HU90=1,CP90=1),MIN(KI90,KN90),0)</f>
        <v>0</v>
      </c>
      <c r="KQ90" s="20" t="n">
        <f aca="false">KI90-KP90</f>
        <v>0</v>
      </c>
      <c r="KR90" s="20" t="n">
        <f aca="false">IF(CZ90=1,IF(ABS((1+AS_Wage)/(1+Slot9_Rate)-1)&lt;0.000000000001,(Slot9_Age-D90)*(1+Slot9_Rate)^(Slot9_Age-D90),(1+Slot9_Rate)^(Slot9_Age-D90)*(1-((1+AS_Wage)/(1+Slot9_Rate))^(Slot9_Age-D90))/(1-(1+AS_Wage)/(1+Slot9_Rate))),1)</f>
        <v>1</v>
      </c>
      <c r="KS90" s="20" t="n">
        <f aca="false">IF(AND(HU90=1,IE90&gt;0,Slot9_IsWG=1,CZ90=1),MAX(0,(Slot9_Cost-DA90*(1+Slot9_Rate)^(Slot9_Age-D90))/KR90),0)</f>
        <v>0</v>
      </c>
      <c r="KT90" s="20" t="n">
        <f aca="false">IF(AND(HU90=1,IE90&gt;0,Slot9_IsWG=1,CZ90=1),MIN(IE90,KS90),0)</f>
        <v>0</v>
      </c>
      <c r="KU90" s="20" t="n">
        <f aca="false">DA90+KT90</f>
        <v>0</v>
      </c>
      <c r="KV90" s="20" t="n">
        <f aca="false">IF(CZ90=1,MAX(0,(Slot9_Cost-KU90*(1+Slot9_Rate)^(Slot9_Age-D90))/KR90),0)</f>
        <v>0</v>
      </c>
      <c r="KW90" s="20" t="n">
        <f aca="false">IF(CZ90=1,MAX(0,(Slot9_Cost-DA90*(1+Slot9_Rate)^(Slot9_Age-D90))/KR90),0)</f>
        <v>0</v>
      </c>
      <c r="KX90" s="20" t="n">
        <f aca="false">IF(AND(HU90=1,CZ90=1),MIN(KQ90,KV90),0)</f>
        <v>0</v>
      </c>
      <c r="KY90" s="20" t="n">
        <f aca="false">KQ90-KX90</f>
        <v>0</v>
      </c>
      <c r="KZ90" s="20" t="n">
        <f aca="false">IF(DJ90=1,IF(ABS((1+AS_Wage)/(1+Slot10_Rate)-1)&lt;0.000000000001,(Slot10_Age-D90)*(1+Slot10_Rate)^(Slot10_Age-D90),(1+Slot10_Rate)^(Slot10_Age-D90)*(1-((1+AS_Wage)/(1+Slot10_Rate))^(Slot10_Age-D90))/(1-(1+AS_Wage)/(1+Slot10_Rate))),1)</f>
        <v>1</v>
      </c>
      <c r="LA90" s="20" t="n">
        <f aca="false">IF(AND(HU90=1,IE90&gt;0,Slot10_IsWG=1,DJ90=1),MAX(0,(Slot10_Cost-DK90*(1+Slot10_Rate)^(Slot10_Age-D90))/KZ90),0)</f>
        <v>0</v>
      </c>
      <c r="LB90" s="20" t="n">
        <f aca="false">IF(AND(HU90=1,IE90&gt;0,Slot10_IsWG=1,DJ90=1),MIN(IE90,LA90),0)</f>
        <v>0</v>
      </c>
      <c r="LC90" s="20" t="n">
        <f aca="false">DK90+LB90</f>
        <v>0</v>
      </c>
      <c r="LD90" s="20" t="n">
        <f aca="false">IF(DJ90=1,MAX(0,(Slot10_Cost-LC90*(1+Slot10_Rate)^(Slot10_Age-D90))/KZ90),0)</f>
        <v>0</v>
      </c>
      <c r="LE90" s="20" t="n">
        <f aca="false">IF(DJ90=1,MAX(0,(Slot10_Cost-DK90*(1+Slot10_Rate)^(Slot10_Age-D90))/KZ90),0)</f>
        <v>0</v>
      </c>
      <c r="LF90" s="20" t="n">
        <f aca="false">IF(AND(HU90=1,DJ90=1),MIN(KY90,LD90),0)</f>
        <v>0</v>
      </c>
      <c r="LG90" s="20" t="n">
        <f aca="false">KY90-LF90</f>
        <v>0</v>
      </c>
      <c r="LH90" s="20" t="n">
        <f aca="false">IF(DT90=1,IF(ABS((1+AS_Wage)/(1+Slot11_Rate)-1)&lt;0.000000000001,(Slot11_Age-D90)*(1+Slot11_Rate)^(Slot11_Age-D90),(1+Slot11_Rate)^(Slot11_Age-D90)*(1-((1+AS_Wage)/(1+Slot11_Rate))^(Slot11_Age-D90))/(1-(1+AS_Wage)/(1+Slot11_Rate))),1)</f>
        <v>1</v>
      </c>
      <c r="LI90" s="20" t="n">
        <f aca="false">IF(AND(HU90=1,IE90&gt;0,Slot11_IsWG=1,DT90=1),MAX(0,(Slot11_Cost-DU90*(1+Slot11_Rate)^(Slot11_Age-D90))/LH90),0)</f>
        <v>0</v>
      </c>
      <c r="LJ90" s="20" t="n">
        <f aca="false">IF(AND(HU90=1,IE90&gt;0,Slot11_IsWG=1,DT90=1),MIN(IE90,LI90),0)</f>
        <v>0</v>
      </c>
      <c r="LK90" s="20" t="n">
        <f aca="false">DU90+LJ90</f>
        <v>0</v>
      </c>
      <c r="LL90" s="20" t="n">
        <f aca="false">IF(DT90=1,MAX(0,(Slot11_Cost-LK90*(1+Slot11_Rate)^(Slot11_Age-D90))/LH90),0)</f>
        <v>0</v>
      </c>
      <c r="LM90" s="20" t="n">
        <f aca="false">IF(DT90=1,MAX(0,(Slot11_Cost-DU90*(1+Slot11_Rate)^(Slot11_Age-D90))/LH90),0)</f>
        <v>0</v>
      </c>
      <c r="LN90" s="20" t="n">
        <f aca="false">IF(AND(HU90=1,DT90=1),MIN(LG90,LL90),0)</f>
        <v>0</v>
      </c>
      <c r="LO90" s="20" t="n">
        <f aca="false">LG90-LN90</f>
        <v>0</v>
      </c>
      <c r="LP90" s="20" t="n">
        <f aca="false">IF(ED90=1,IF(ABS((1+AS_Wage)/(1+Slot12_Rate)-1)&lt;0.000000000001,(Slot12_Age-D90)*(1+Slot12_Rate)^(Slot12_Age-D90),(1+Slot12_Rate)^(Slot12_Age-D90)*(1-((1+AS_Wage)/(1+Slot12_Rate))^(Slot12_Age-D90))/(1-(1+AS_Wage)/(1+Slot12_Rate))),1)</f>
        <v>1</v>
      </c>
      <c r="LQ90" s="20" t="n">
        <f aca="false">IF(AND(HU90=1,IE90&gt;0,Slot12_IsWG=1,ED90=1),MAX(0,(Slot12_Cost-EE90*(1+Slot12_Rate)^(Slot12_Age-D90))/LP90),0)</f>
        <v>0</v>
      </c>
      <c r="LR90" s="20" t="n">
        <f aca="false">IF(AND(HU90=1,IE90&gt;0,Slot12_IsWG=1,ED90=1),MIN(IE90,LQ90),0)</f>
        <v>0</v>
      </c>
      <c r="LS90" s="20" t="n">
        <f aca="false">EE90+LR90</f>
        <v>0</v>
      </c>
      <c r="LT90" s="20" t="n">
        <f aca="false">IF(ED90=1,MAX(0,(Slot12_Cost-LS90*(1+Slot12_Rate)^(Slot12_Age-D90))/LP90),0)</f>
        <v>0</v>
      </c>
      <c r="LU90" s="20" t="n">
        <f aca="false">IF(ED90=1,MAX(0,(Slot12_Cost-EE90*(1+Slot12_Rate)^(Slot12_Age-D90))/LP90),0)</f>
        <v>0</v>
      </c>
      <c r="LV90" s="20" t="n">
        <f aca="false">IF(AND(HU90=1,ED90=1),MIN(LO90,LT90),0)</f>
        <v>0</v>
      </c>
      <c r="LW90" s="20" t="n">
        <f aca="false">LO90-LV90</f>
        <v>0</v>
      </c>
      <c r="LX90" s="20" t="n">
        <f aca="false">IF(EN90=1,IF(ABS((1+AS_Wage)/(1+Slot13_Rate)-1)&lt;0.000000000001,(Slot13_Age-D90)*(1+Slot13_Rate)^(Slot13_Age-D90),(1+Slot13_Rate)^(Slot13_Age-D90)*(1-((1+AS_Wage)/(1+Slot13_Rate))^(Slot13_Age-D90))/(1-(1+AS_Wage)/(1+Slot13_Rate))),1)</f>
        <v>1</v>
      </c>
      <c r="LY90" s="20" t="n">
        <f aca="false">IF(AND(HU90=1,IE90&gt;0,Slot13_IsWG=1,EN90=1),MAX(0,(Slot13_Cost-EO90*(1+Slot13_Rate)^(Slot13_Age-D90))/LX90),0)</f>
        <v>0</v>
      </c>
      <c r="LZ90" s="20" t="n">
        <f aca="false">IF(AND(HU90=1,IE90&gt;0,Slot13_IsWG=1,EN90=1),MIN(IE90,LY90),0)</f>
        <v>0</v>
      </c>
      <c r="MA90" s="20" t="n">
        <f aca="false">EO90+LZ90</f>
        <v>0</v>
      </c>
      <c r="MB90" s="20" t="n">
        <f aca="false">IF(EN90=1,MAX(0,(Slot13_Cost-MA90*(1+Slot13_Rate)^(Slot13_Age-D90))/LX90),0)</f>
        <v>0</v>
      </c>
      <c r="MC90" s="20" t="n">
        <f aca="false">IF(EN90=1,MAX(0,(Slot13_Cost-EO90*(1+Slot13_Rate)^(Slot13_Age-D90))/LX90),0)</f>
        <v>0</v>
      </c>
      <c r="MD90" s="20" t="n">
        <f aca="false">IF(AND(HU90=1,EN90=1),MIN(LW90,MB90),0)</f>
        <v>0</v>
      </c>
      <c r="ME90" s="20" t="n">
        <f aca="false">LW90-MD90</f>
        <v>0</v>
      </c>
      <c r="MF90" s="20" t="n">
        <f aca="false">IF(EX90=1,IF(ABS((1+AS_Wage)/(1+Slot14_Rate)-1)&lt;0.000000000001,(Slot14_Age-D90)*(1+Slot14_Rate)^(Slot14_Age-D90),(1+Slot14_Rate)^(Slot14_Age-D90)*(1-((1+AS_Wage)/(1+Slot14_Rate))^(Slot14_Age-D90))/(1-(1+AS_Wage)/(1+Slot14_Rate))),1)</f>
        <v>1</v>
      </c>
      <c r="MG90" s="20" t="n">
        <f aca="false">IF(AND(HU90=1,IE90&gt;0,Slot14_IsWG=1,EX90=1),MAX(0,(Slot14_Cost-EY90*(1+Slot14_Rate)^(Slot14_Age-D90))/MF90),0)</f>
        <v>0</v>
      </c>
      <c r="MH90" s="20" t="n">
        <f aca="false">IF(AND(HU90=1,IE90&gt;0,Slot14_IsWG=1,EX90=1),MIN(IE90,MG90),0)</f>
        <v>0</v>
      </c>
      <c r="MI90" s="20" t="n">
        <f aca="false">EY90+MH90</f>
        <v>0</v>
      </c>
      <c r="MJ90" s="20" t="n">
        <f aca="false">IF(EX90=1,MAX(0,(Slot14_Cost-MI90*(1+Slot14_Rate)^(Slot14_Age-D90))/MF90),0)</f>
        <v>0</v>
      </c>
      <c r="MK90" s="20" t="n">
        <f aca="false">IF(EX90=1,MAX(0,(Slot14_Cost-EY90*(1+Slot14_Rate)^(Slot14_Age-D90))/MF90),0)</f>
        <v>0</v>
      </c>
      <c r="ML90" s="20" t="n">
        <f aca="false">IF(AND(HU90=1,EX90=1),MIN(ME90,MJ90),0)</f>
        <v>0</v>
      </c>
      <c r="MM90" s="20" t="n">
        <f aca="false">ME90-ML90</f>
        <v>0</v>
      </c>
      <c r="MN90" s="20" t="n">
        <f aca="false">IF(FH90=1,IF(ABS((1+AS_Wage)/(1+Slot15_Rate)-1)&lt;0.000000000001,(Slot15_Age-D90)*(1+Slot15_Rate)^(Slot15_Age-D90),(1+Slot15_Rate)^(Slot15_Age-D90)*(1-((1+AS_Wage)/(1+Slot15_Rate))^(Slot15_Age-D90))/(1-(1+AS_Wage)/(1+Slot15_Rate))),1)</f>
        <v>1</v>
      </c>
      <c r="MO90" s="20" t="n">
        <f aca="false">IF(AND(HU90=1,IE90&gt;0,Slot15_IsWG=1,FH90=1),MAX(0,(Slot15_Cost-FI90*(1+Slot15_Rate)^(Slot15_Age-D90))/MN90),0)</f>
        <v>0</v>
      </c>
      <c r="MP90" s="20" t="n">
        <f aca="false">IF(AND(HU90=1,IE90&gt;0,Slot15_IsWG=1,FH90=1),MIN(IE90,MO90),0)</f>
        <v>0</v>
      </c>
      <c r="MQ90" s="20" t="n">
        <f aca="false">FI90+MP90</f>
        <v>0</v>
      </c>
      <c r="MR90" s="20" t="n">
        <f aca="false">IF(FH90=1,MAX(0,(Slot15_Cost-MQ90*(1+Slot15_Rate)^(Slot15_Age-D90))/MN90),0)</f>
        <v>0</v>
      </c>
      <c r="MS90" s="20" t="n">
        <f aca="false">IF(FH90=1,MAX(0,(Slot15_Cost-FI90*(1+Slot15_Rate)^(Slot15_Age-D90))/MN90),0)</f>
        <v>0</v>
      </c>
      <c r="MT90" s="20" t="n">
        <f aca="false">IF(AND(HU90=1,FH90=1),MIN(MM90,MR90),0)</f>
        <v>0</v>
      </c>
      <c r="MU90" s="20" t="n">
        <f aca="false">MM90-MT90</f>
        <v>0</v>
      </c>
      <c r="MV90" s="20" t="n">
        <f aca="false">IF(FR90=1,IF(ABS((1+AS_Wage)/(1+Slot16_Rate)-1)&lt;0.000000000001,(Slot16_Age-D90)*(1+Slot16_Rate)^(Slot16_Age-D90),(1+Slot16_Rate)^(Slot16_Age-D90)*(1-((1+AS_Wage)/(1+Slot16_Rate))^(Slot16_Age-D90))/(1-(1+AS_Wage)/(1+Slot16_Rate))),1)</f>
        <v>1</v>
      </c>
      <c r="MW90" s="20" t="n">
        <f aca="false">IF(AND(HU90=1,IE90&gt;0,Slot16_IsWG=1,FR90=1),MAX(0,(Slot16_Cost-FS90*(1+Slot16_Rate)^(Slot16_Age-D90))/MV90),0)</f>
        <v>0</v>
      </c>
      <c r="MX90" s="20" t="n">
        <f aca="false">IF(AND(HU90=1,IE90&gt;0,Slot16_IsWG=1,FR90=1),MIN(IE90,MW90),0)</f>
        <v>0</v>
      </c>
      <c r="MY90" s="20" t="n">
        <f aca="false">FS90+MX90</f>
        <v>0</v>
      </c>
      <c r="MZ90" s="20" t="n">
        <f aca="false">IF(FR90=1,MAX(0,(Slot16_Cost-MY90*(1+Slot16_Rate)^(Slot16_Age-D90))/MV90),0)</f>
        <v>0</v>
      </c>
      <c r="NA90" s="20" t="n">
        <f aca="false">IF(FR90=1,MAX(0,(Slot16_Cost-FS90*(1+Slot16_Rate)^(Slot16_Age-D90))/MV90),0)</f>
        <v>0</v>
      </c>
      <c r="NB90" s="20" t="n">
        <f aca="false">IF(AND(HU90=1,FR90=1),MIN(MU90,MZ90),0)</f>
        <v>0</v>
      </c>
      <c r="NC90" s="20" t="n">
        <f aca="false">MU90-NB90</f>
        <v>0</v>
      </c>
      <c r="ND90" s="20" t="n">
        <f aca="false">IF(GB90=1,IF(ABS((1+AS_Wage)/(1+Slot17_Rate)-1)&lt;0.000000000001,(Slot17_Age-D90)*(1+Slot17_Rate)^(Slot17_Age-D90),(1+Slot17_Rate)^(Slot17_Age-D90)*(1-((1+AS_Wage)/(1+Slot17_Rate))^(Slot17_Age-D90))/(1-(1+AS_Wage)/(1+Slot17_Rate))),1)</f>
        <v>1</v>
      </c>
      <c r="NE90" s="20" t="n">
        <f aca="false">IF(AND(HU90=1,IE90&gt;0,Slot17_IsWG=1,GB90=1),MAX(0,(Slot17_Cost-GC90*(1+Slot17_Rate)^(Slot17_Age-D90))/ND90),0)</f>
        <v>0</v>
      </c>
      <c r="NF90" s="20" t="n">
        <f aca="false">IF(AND(HU90=1,IE90&gt;0,Slot17_IsWG=1,GB90=1),MIN(IE90,NE90),0)</f>
        <v>0</v>
      </c>
      <c r="NG90" s="20" t="n">
        <f aca="false">GC90+NF90</f>
        <v>0</v>
      </c>
      <c r="NH90" s="20" t="n">
        <f aca="false">IF(GB90=1,MAX(0,(Slot17_Cost-NG90*(1+Slot17_Rate)^(Slot17_Age-D90))/ND90),0)</f>
        <v>0</v>
      </c>
      <c r="NI90" s="20" t="n">
        <f aca="false">IF(GB90=1,MAX(0,(Slot17_Cost-GC90*(1+Slot17_Rate)^(Slot17_Age-D90))/ND90),0)</f>
        <v>0</v>
      </c>
      <c r="NJ90" s="20" t="n">
        <f aca="false">IF(AND(HU90=1,GB90=1),MIN(NC90,NH90),0)</f>
        <v>0</v>
      </c>
      <c r="NK90" s="20" t="n">
        <f aca="false">NC90-NJ90</f>
        <v>0</v>
      </c>
      <c r="NL90" s="20" t="n">
        <f aca="false">IF(GL90=1,IF(ABS((1+AS_Wage)/(1+Slot18_Rate)-1)&lt;0.000000000001,(Slot18_Age-D90)*(1+Slot18_Rate)^(Slot18_Age-D90),(1+Slot18_Rate)^(Slot18_Age-D90)*(1-((1+AS_Wage)/(1+Slot18_Rate))^(Slot18_Age-D90))/(1-(1+AS_Wage)/(1+Slot18_Rate))),1)</f>
        <v>1</v>
      </c>
      <c r="NM90" s="20" t="n">
        <f aca="false">IF(AND(HU90=1,IE90&gt;0,Slot18_IsWG=1,GL90=1),MAX(0,(Slot18_Cost-GM90*(1+Slot18_Rate)^(Slot18_Age-D90))/NL90),0)</f>
        <v>0</v>
      </c>
      <c r="NN90" s="20" t="n">
        <f aca="false">IF(AND(HU90=1,IE90&gt;0,Slot18_IsWG=1,GL90=1),MIN(IE90,NM90),0)</f>
        <v>0</v>
      </c>
      <c r="NO90" s="20" t="n">
        <f aca="false">GM90+NN90</f>
        <v>0</v>
      </c>
      <c r="NP90" s="20" t="n">
        <f aca="false">IF(GL90=1,MAX(0,(Slot18_Cost-NO90*(1+Slot18_Rate)^(Slot18_Age-D90))/NL90),0)</f>
        <v>0</v>
      </c>
      <c r="NQ90" s="20" t="n">
        <f aca="false">IF(GL90=1,MAX(0,(Slot18_Cost-GM90*(1+Slot18_Rate)^(Slot18_Age-D90))/NL90),0)</f>
        <v>0</v>
      </c>
      <c r="NR90" s="20" t="n">
        <f aca="false">IF(AND(HU90=1,GL90=1),MIN(NK90,NP90),0)</f>
        <v>0</v>
      </c>
      <c r="NS90" s="20" t="n">
        <f aca="false">NK90-NR90</f>
        <v>0</v>
      </c>
      <c r="NT90" s="20" t="n">
        <f aca="false">IF(GV90=1,IF(ABS((1+AS_Wage)/(1+Slot19_Rate)-1)&lt;0.000000000001,(Slot19_Age-D90)*(1+Slot19_Rate)^(Slot19_Age-D90),(1+Slot19_Rate)^(Slot19_Age-D90)*(1-((1+AS_Wage)/(1+Slot19_Rate))^(Slot19_Age-D90))/(1-(1+AS_Wage)/(1+Slot19_Rate))),1)</f>
        <v>1</v>
      </c>
      <c r="NU90" s="20" t="n">
        <f aca="false">IF(AND(HU90=1,IE90&gt;0,Slot19_IsWG=1,GV90=1),MAX(0,(Slot19_Cost-GW90*(1+Slot19_Rate)^(Slot19_Age-D90))/NT90),0)</f>
        <v>0</v>
      </c>
      <c r="NV90" s="20" t="n">
        <f aca="false">IF(AND(HU90=1,IE90&gt;0,Slot19_IsWG=1,GV90=1),MIN(IE90,NU90),0)</f>
        <v>0</v>
      </c>
      <c r="NW90" s="20" t="n">
        <f aca="false">GW90+NV90</f>
        <v>0</v>
      </c>
      <c r="NX90" s="20" t="n">
        <f aca="false">IF(GV90=1,MAX(0,(Slot19_Cost-NW90*(1+Slot19_Rate)^(Slot19_Age-D90))/NT90),0)</f>
        <v>0</v>
      </c>
      <c r="NY90" s="20" t="n">
        <f aca="false">IF(GV90=1,MAX(0,(Slot19_Cost-GW90*(1+Slot19_Rate)^(Slot19_Age-D90))/NT90),0)</f>
        <v>0</v>
      </c>
      <c r="NZ90" s="20" t="n">
        <f aca="false">IF(AND(HU90=1,GV90=1),MIN(NS90,NX90),0)</f>
        <v>0</v>
      </c>
      <c r="OA90" s="20" t="n">
        <f aca="false">NS90-NZ90</f>
        <v>0</v>
      </c>
      <c r="OB90" s="20" t="n">
        <f aca="false">IF(HF90=1,IF(ABS((1+AS_Wage)/(1+Slot20_Rate)-1)&lt;0.000000000001,(Slot20_Age-D90)*(1+Slot20_Rate)^(Slot20_Age-D90),(1+Slot20_Rate)^(Slot20_Age-D90)*(1-((1+AS_Wage)/(1+Slot20_Rate))^(Slot20_Age-D90))/(1-(1+AS_Wage)/(1+Slot20_Rate))),1)</f>
        <v>1</v>
      </c>
      <c r="OC90" s="20" t="n">
        <f aca="false">IF(AND(HU90=1,IE90&gt;0,Slot20_IsWG=1,HF90=1),MAX(0,(Slot20_Cost-HG90*(1+Slot20_Rate)^(Slot20_Age-D90))/OB90),0)</f>
        <v>0</v>
      </c>
      <c r="OD90" s="20" t="n">
        <f aca="false">IF(AND(HU90=1,IE90&gt;0,Slot20_IsWG=1,HF90=1),MIN(IE90,OC90),0)</f>
        <v>0</v>
      </c>
      <c r="OE90" s="20" t="n">
        <f aca="false">HG90+OD90</f>
        <v>0</v>
      </c>
      <c r="OF90" s="20" t="n">
        <f aca="false">IF(HF90=1,MAX(0,(Slot20_Cost-OE90*(1+Slot20_Rate)^(Slot20_Age-D90))/OB90),0)</f>
        <v>0</v>
      </c>
      <c r="OG90" s="20" t="n">
        <f aca="false">IF(HF90=1,MAX(0,(Slot20_Cost-HG90*(1+Slot20_Rate)^(Slot20_Age-D90))/OB90),0)</f>
        <v>0</v>
      </c>
      <c r="OH90" s="20" t="n">
        <f aca="false">IF(AND(HU90=1,HF90=1),MIN(OA90,OF90),0)</f>
        <v>0</v>
      </c>
      <c r="OI90" s="20" t="n">
        <f aca="false">OA90-OH90</f>
        <v>0</v>
      </c>
      <c r="OJ90" s="20" t="n">
        <f aca="false">IE90-(IH90+IP90+IX90+JF90+JN90+JV90+KD90+KL90+KT90+LB90+LJ90+LR90+LZ90+MH90+MP90+MX90+NF90+NN90+NV90+OD90)</f>
        <v>0</v>
      </c>
      <c r="OK90" s="20" t="n">
        <f aca="false">IF(HU90=1,HS90-ID90-IE90,0)</f>
        <v>0</v>
      </c>
      <c r="OL90" s="20" t="n">
        <f aca="false">IF(HU90=0,-HS90,0)</f>
        <v>97722.5565416088</v>
      </c>
      <c r="OM90" s="20" t="n">
        <f aca="false">MIN(OL90,HK90)</f>
        <v>0</v>
      </c>
      <c r="ON90" s="20" t="n">
        <f aca="false">OL90-OM90</f>
        <v>97722.5565416088</v>
      </c>
      <c r="OO90" s="20" t="n">
        <f aca="false">MIN(ON90,HL90)</f>
        <v>0</v>
      </c>
      <c r="OP90" s="20" t="n">
        <f aca="false">ON90-OO90</f>
        <v>97722.5565416088</v>
      </c>
      <c r="OQ90" s="20" t="n">
        <f aca="false">IF(AND(HU90=0,HF90=1,OP90&gt;0),MIN(OP90,HG90),0)</f>
        <v>0</v>
      </c>
      <c r="OR90" s="20" t="n">
        <f aca="false">OP90-OQ90</f>
        <v>97722.5565416088</v>
      </c>
      <c r="OS90" s="20" t="n">
        <f aca="false">IF(AND(HU90=0,GV90=1,OR90&gt;0),MIN(OR90,GW90),0)</f>
        <v>0</v>
      </c>
      <c r="OT90" s="20" t="n">
        <f aca="false">OR90-OS90</f>
        <v>97722.5565416088</v>
      </c>
      <c r="OU90" s="20" t="n">
        <f aca="false">IF(AND(HU90=0,GL90=1,OT90&gt;0),MIN(OT90,GM90),0)</f>
        <v>0</v>
      </c>
      <c r="OV90" s="20" t="n">
        <f aca="false">OT90-OU90</f>
        <v>97722.5565416088</v>
      </c>
      <c r="OW90" s="20" t="n">
        <f aca="false">IF(AND(HU90=0,GB90=1,OV90&gt;0),MIN(OV90,GC90),0)</f>
        <v>0</v>
      </c>
      <c r="OX90" s="20" t="n">
        <f aca="false">OV90-OW90</f>
        <v>97722.5565416088</v>
      </c>
      <c r="OY90" s="20" t="n">
        <f aca="false">IF(AND(HU90=0,FR90=1,OX90&gt;0),MIN(OX90,FS90),0)</f>
        <v>0</v>
      </c>
      <c r="OZ90" s="20" t="n">
        <f aca="false">OX90-OY90</f>
        <v>97722.5565416088</v>
      </c>
      <c r="PA90" s="20" t="n">
        <f aca="false">IF(AND(HU90=0,FH90=1,OZ90&gt;0),MIN(OZ90,FI90),0)</f>
        <v>0</v>
      </c>
      <c r="PB90" s="20" t="n">
        <f aca="false">OZ90-PA90</f>
        <v>97722.5565416088</v>
      </c>
      <c r="PC90" s="20" t="n">
        <f aca="false">IF(AND(HU90=0,EX90=1,PB90&gt;0),MIN(PB90,EY90),0)</f>
        <v>0</v>
      </c>
      <c r="PD90" s="20" t="n">
        <f aca="false">PB90-PC90</f>
        <v>97722.5565416088</v>
      </c>
      <c r="PE90" s="20" t="n">
        <f aca="false">IF(AND(HU90=0,EN90=1,PD90&gt;0),MIN(PD90,EO90),0)</f>
        <v>0</v>
      </c>
      <c r="PF90" s="20" t="n">
        <f aca="false">PD90-PE90</f>
        <v>97722.5565416088</v>
      </c>
      <c r="PG90" s="20" t="n">
        <f aca="false">IF(AND(HU90=0,ED90=1,PF90&gt;0),MIN(PF90,EE90),0)</f>
        <v>0</v>
      </c>
      <c r="PH90" s="20" t="n">
        <f aca="false">PF90-PG90</f>
        <v>97722.5565416088</v>
      </c>
      <c r="PI90" s="20" t="n">
        <f aca="false">IF(AND(HU90=0,DT90=1,PH90&gt;0),MIN(PH90,DU90),0)</f>
        <v>0</v>
      </c>
      <c r="PJ90" s="20" t="n">
        <f aca="false">PH90-PI90</f>
        <v>97722.5565416088</v>
      </c>
      <c r="PK90" s="20" t="n">
        <f aca="false">IF(AND(HU90=0,DJ90=1,PJ90&gt;0),MIN(PJ90,DK90),0)</f>
        <v>0</v>
      </c>
      <c r="PL90" s="20" t="n">
        <f aca="false">PJ90-PK90</f>
        <v>97722.5565416088</v>
      </c>
      <c r="PM90" s="20" t="n">
        <f aca="false">IF(AND(HU90=0,CZ90=1,PL90&gt;0),MIN(PL90,DA90),0)</f>
        <v>0</v>
      </c>
      <c r="PN90" s="20" t="n">
        <f aca="false">PL90-PM90</f>
        <v>97722.5565416088</v>
      </c>
      <c r="PO90" s="20" t="n">
        <f aca="false">IF(AND(HU90=0,CP90=1,PN90&gt;0),MIN(PN90,CQ90),0)</f>
        <v>0</v>
      </c>
      <c r="PP90" s="20" t="n">
        <f aca="false">PN90-PO90</f>
        <v>97722.5565416088</v>
      </c>
      <c r="PQ90" s="20" t="n">
        <f aca="false">IF(AND(HU90=0,CF90=1,PP90&gt;0),MIN(PP90,CG90),0)</f>
        <v>0</v>
      </c>
      <c r="PR90" s="20" t="n">
        <f aca="false">PP90-PQ90</f>
        <v>97722.5565416088</v>
      </c>
      <c r="PS90" s="20" t="n">
        <f aca="false">IF(AND(HU90=0,BV90=1,PR90&gt;0),MIN(PR90,BW90),0)</f>
        <v>0</v>
      </c>
      <c r="PT90" s="20" t="n">
        <f aca="false">PR90-PS90</f>
        <v>97722.5565416088</v>
      </c>
      <c r="PU90" s="20" t="n">
        <f aca="false">IF(AND(HU90=0,BL90=1,PT90&gt;0),MIN(PT90,BM90),0)</f>
        <v>0</v>
      </c>
      <c r="PV90" s="20" t="n">
        <f aca="false">PT90-PU90</f>
        <v>97722.5565416088</v>
      </c>
      <c r="PW90" s="20" t="n">
        <f aca="false">IF(AND(HU90=0,BB90=1,PV90&gt;0),MIN(PV90,BC90),0)</f>
        <v>0</v>
      </c>
      <c r="PX90" s="20" t="n">
        <f aca="false">PV90-PW90</f>
        <v>97722.5565416088</v>
      </c>
      <c r="PY90" s="20" t="n">
        <f aca="false">IF(AND(HU90=0,AR90=1,PX90&gt;0),MIN(PX90,AS90),0)</f>
        <v>0</v>
      </c>
      <c r="PZ90" s="20" t="n">
        <f aca="false">PX90-PY90</f>
        <v>97722.5565416088</v>
      </c>
      <c r="QA90" s="20" t="n">
        <f aca="false">IF(AND(HU90=0,AH90=1,PZ90&gt;0),MIN(PZ90,AI90),0)</f>
        <v>0</v>
      </c>
      <c r="QB90" s="20" t="n">
        <f aca="false">PZ90-QA90</f>
        <v>97722.5565416088</v>
      </c>
      <c r="QC90" s="20" t="n">
        <f aca="false">IF(AND(HU90=0,W90=1,QB90&gt;0),MIN(QB90,X90),0)</f>
        <v>0</v>
      </c>
      <c r="QD90" s="20" t="n">
        <f aca="false">QB90-QC90</f>
        <v>97722.5565416088</v>
      </c>
      <c r="QE90" s="20" t="n">
        <f aca="false">IF(HU90=0,QD90,0)</f>
        <v>97722.5565416088</v>
      </c>
      <c r="QF90" s="20" t="n">
        <f aca="false">OM90+OO90+QC90+QA90+PY90+PW90+PU90+PS90+PQ90+PO90+PM90+PK90+PI90+PG90+PE90+PC90+PA90+OY90+OW90+OU90+OS90+OQ90</f>
        <v>0</v>
      </c>
      <c r="QG90" s="20" t="n">
        <f aca="false">IF(HU90=1,HK90+OJ90+OI90+IF(G90=1,0,OK90),HK90-OM90)</f>
        <v>0</v>
      </c>
      <c r="QH90" s="20" t="n">
        <f aca="false">HL90-OO90</f>
        <v>0</v>
      </c>
      <c r="QI90" s="20" t="n">
        <f aca="false">IF(HU90=1,IF(G90=1,ID90+IE90,HS90),0)</f>
        <v>0</v>
      </c>
      <c r="QJ90" s="20" t="n">
        <f aca="false">IF(HU90=1,IF(G90=1,HS90-ID90-IE90,0),0)</f>
        <v>0</v>
      </c>
      <c r="QK90" s="57" t="n">
        <f aca="false">'Plan holdings'!BM90</f>
        <v>0</v>
      </c>
      <c r="QL90" s="20" t="n">
        <f aca="false">QH90*(1+AS_Cash)</f>
        <v>0</v>
      </c>
      <c r="QM90" s="20" t="n">
        <f aca="false">IF(W90=1,IF(HU90=1,II90+IL90,X90-QC90)*(1+Slot1_Rate),0)</f>
        <v>0</v>
      </c>
      <c r="QN90" s="20" t="n">
        <f aca="false">IF(AND(HU90=1,W90=1),(IH90+IL90)/F90,0)</f>
        <v>0</v>
      </c>
      <c r="QO90" s="20" t="n">
        <f aca="false">IF(B90=0,IH90+IL90,0)</f>
        <v>0</v>
      </c>
      <c r="QP90" s="20" t="n">
        <f aca="false">IF(B90=0,IF(HU90=1,IJ90,IK90),0)</f>
        <v>0</v>
      </c>
      <c r="QQ90" s="20" t="n">
        <f aca="false">IF(AH90=1,IF(HU90=1,IQ90+IT90,AI90-QA90)*(1+Slot2_Rate),0)</f>
        <v>0</v>
      </c>
      <c r="QR90" s="20" t="n">
        <f aca="false">IF(AND(HU90=1,AH90=1),(IP90+IT90)/F90,0)</f>
        <v>0</v>
      </c>
      <c r="QS90" s="20" t="n">
        <f aca="false">IF(B90=0,IP90+IT90,0)</f>
        <v>0</v>
      </c>
      <c r="QT90" s="20" t="n">
        <f aca="false">IF(B90=0,IF(HU90=1,IR90,IS90),0)</f>
        <v>0</v>
      </c>
      <c r="QU90" s="20" t="n">
        <f aca="false">IF(AR90=1,IF(HU90=1,IY90+JB90,AS90-PY90)*(1+Slot3_Rate),0)</f>
        <v>0</v>
      </c>
      <c r="QV90" s="20" t="n">
        <f aca="false">IF(AND(HU90=1,AR90=1),(IX90+JB90)/F90,0)</f>
        <v>0</v>
      </c>
      <c r="QW90" s="20" t="n">
        <f aca="false">IF(B90=0,IX90+JB90,0)</f>
        <v>0</v>
      </c>
      <c r="QX90" s="20" t="n">
        <f aca="false">IF(B90=0,IF(HU90=1,IZ90,JA90),0)</f>
        <v>0</v>
      </c>
      <c r="QY90" s="20" t="n">
        <f aca="false">IF(BB90=1,IF(HU90=1,JG90+JJ90,BC90-PW90)*(1+Slot4_Rate),0)</f>
        <v>0</v>
      </c>
      <c r="QZ90" s="20" t="n">
        <f aca="false">IF(AND(HU90=1,BB90=1),(JF90+JJ90)/F90,0)</f>
        <v>0</v>
      </c>
      <c r="RA90" s="20" t="n">
        <f aca="false">IF(B90=0,JF90+JJ90,0)</f>
        <v>0</v>
      </c>
      <c r="RB90" s="20" t="n">
        <f aca="false">IF(B90=0,IF(HU90=1,JH90,JI90),0)</f>
        <v>0</v>
      </c>
      <c r="RC90" s="20" t="n">
        <f aca="false">IF(BL90=1,IF(HU90=1,JO90+JR90,BM90-PU90)*(1+Slot5_Rate),0)</f>
        <v>0</v>
      </c>
      <c r="RD90" s="20" t="n">
        <f aca="false">IF(AND(HU90=1,BL90=1),(JN90+JR90)/F90,0)</f>
        <v>0</v>
      </c>
      <c r="RE90" s="20" t="n">
        <f aca="false">IF(B90=0,JN90+JR90,0)</f>
        <v>0</v>
      </c>
      <c r="RF90" s="20" t="n">
        <f aca="false">IF(B90=0,IF(HU90=1,JP90,JQ90),0)</f>
        <v>0</v>
      </c>
      <c r="RG90" s="20" t="n">
        <f aca="false">IF(BV90=1,IF(HU90=1,JW90+JZ90,BW90-PS90)*(1+Slot6_Rate),0)</f>
        <v>0</v>
      </c>
      <c r="RH90" s="20" t="n">
        <f aca="false">IF(AND(HU90=1,BV90=1),(JV90+JZ90)/F90,0)</f>
        <v>0</v>
      </c>
      <c r="RI90" s="20" t="n">
        <f aca="false">IF(B90=0,JV90+JZ90,0)</f>
        <v>0</v>
      </c>
      <c r="RJ90" s="20" t="n">
        <f aca="false">IF(B90=0,IF(HU90=1,JX90,JY90),0)</f>
        <v>0</v>
      </c>
      <c r="RK90" s="20" t="n">
        <f aca="false">IF(CF90=1,IF(HU90=1,KE90+KH90,CG90-PQ90)*(1+Slot7_Rate),0)</f>
        <v>0</v>
      </c>
      <c r="RL90" s="20" t="n">
        <f aca="false">IF(AND(HU90=1,CF90=1),(KD90+KH90)/F90,0)</f>
        <v>0</v>
      </c>
      <c r="RM90" s="20" t="n">
        <f aca="false">IF(B90=0,KD90+KH90,0)</f>
        <v>0</v>
      </c>
      <c r="RN90" s="20" t="n">
        <f aca="false">IF(B90=0,IF(HU90=1,KF90,KG90),0)</f>
        <v>0</v>
      </c>
      <c r="RO90" s="20" t="n">
        <f aca="false">IF(CP90=1,IF(HU90=1,KM90+KP90,CQ90-PO90)*(1+Slot8_Rate),0)</f>
        <v>0</v>
      </c>
      <c r="RP90" s="20" t="n">
        <f aca="false">IF(AND(HU90=1,CP90=1),(KL90+KP90)/F90,0)</f>
        <v>0</v>
      </c>
      <c r="RQ90" s="20" t="n">
        <f aca="false">IF(B90=0,KL90+KP90,0)</f>
        <v>0</v>
      </c>
      <c r="RR90" s="20" t="n">
        <f aca="false">IF(B90=0,IF(HU90=1,KN90,KO90),0)</f>
        <v>0</v>
      </c>
      <c r="RS90" s="20" t="n">
        <f aca="false">IF(CZ90=1,IF(HU90=1,KU90+KX90,DA90-PM90)*(1+Slot9_Rate),0)</f>
        <v>0</v>
      </c>
      <c r="RT90" s="20" t="n">
        <f aca="false">IF(AND(HU90=1,CZ90=1),(KT90+KX90)/F90,0)</f>
        <v>0</v>
      </c>
      <c r="RU90" s="20" t="n">
        <f aca="false">IF(B90=0,KT90+KX90,0)</f>
        <v>0</v>
      </c>
      <c r="RV90" s="20" t="n">
        <f aca="false">IF(B90=0,IF(HU90=1,KV90,KW90),0)</f>
        <v>0</v>
      </c>
      <c r="RW90" s="20" t="n">
        <f aca="false">IF(DJ90=1,IF(HU90=1,LC90+LF90,DK90-PK90)*(1+Slot10_Rate),0)</f>
        <v>0</v>
      </c>
      <c r="RX90" s="20" t="n">
        <f aca="false">IF(AND(HU90=1,DJ90=1),(LB90+LF90)/F90,0)</f>
        <v>0</v>
      </c>
      <c r="RY90" s="20" t="n">
        <f aca="false">IF(B90=0,LB90+LF90,0)</f>
        <v>0</v>
      </c>
      <c r="RZ90" s="20" t="n">
        <f aca="false">IF(B90=0,IF(HU90=1,LD90,LE90),0)</f>
        <v>0</v>
      </c>
      <c r="SA90" s="20" t="n">
        <f aca="false">IF(DT90=1,IF(HU90=1,LK90+LN90,DU90-PI90)*(1+Slot11_Rate),0)</f>
        <v>0</v>
      </c>
      <c r="SB90" s="20" t="n">
        <f aca="false">IF(AND(HU90=1,DT90=1),(LJ90+LN90)/F90,0)</f>
        <v>0</v>
      </c>
      <c r="SC90" s="20" t="n">
        <f aca="false">IF(B90=0,LJ90+LN90,0)</f>
        <v>0</v>
      </c>
      <c r="SD90" s="20" t="n">
        <f aca="false">IF(B90=0,IF(HU90=1,LL90,LM90),0)</f>
        <v>0</v>
      </c>
      <c r="SE90" s="20" t="n">
        <f aca="false">IF(ED90=1,IF(HU90=1,LS90+LV90,EE90-PG90)*(1+Slot12_Rate),0)</f>
        <v>0</v>
      </c>
      <c r="SF90" s="20" t="n">
        <f aca="false">IF(AND(HU90=1,ED90=1),(LR90+LV90)/F90,0)</f>
        <v>0</v>
      </c>
      <c r="SG90" s="20" t="n">
        <f aca="false">IF(B90=0,LR90+LV90,0)</f>
        <v>0</v>
      </c>
      <c r="SH90" s="20" t="n">
        <f aca="false">IF(B90=0,IF(HU90=1,LT90,LU90),0)</f>
        <v>0</v>
      </c>
      <c r="SI90" s="20" t="n">
        <f aca="false">IF(EN90=1,IF(HU90=1,MA90+MD90,EO90-PE90)*(1+Slot13_Rate),0)</f>
        <v>0</v>
      </c>
      <c r="SJ90" s="20" t="n">
        <f aca="false">IF(AND(HU90=1,EN90=1),(LZ90+MD90)/F90,0)</f>
        <v>0</v>
      </c>
      <c r="SK90" s="20" t="n">
        <f aca="false">IF(B90=0,LZ90+MD90,0)</f>
        <v>0</v>
      </c>
      <c r="SL90" s="20" t="n">
        <f aca="false">IF(B90=0,IF(HU90=1,MB90,MC90),0)</f>
        <v>0</v>
      </c>
      <c r="SM90" s="20" t="n">
        <f aca="false">IF(EX90=1,IF(HU90=1,MI90+ML90,EY90-PC90)*(1+Slot14_Rate),0)</f>
        <v>0</v>
      </c>
      <c r="SN90" s="20" t="n">
        <f aca="false">IF(AND(HU90=1,EX90=1),(MH90+ML90)/F90,0)</f>
        <v>0</v>
      </c>
      <c r="SO90" s="20" t="n">
        <f aca="false">IF(B90=0,MH90+ML90,0)</f>
        <v>0</v>
      </c>
      <c r="SP90" s="20" t="n">
        <f aca="false">IF(B90=0,IF(HU90=1,MJ90,MK90),0)</f>
        <v>0</v>
      </c>
      <c r="SQ90" s="20" t="n">
        <f aca="false">IF(FH90=1,IF(HU90=1,MQ90+MT90,FI90-PA90)*(1+Slot15_Rate),0)</f>
        <v>0</v>
      </c>
      <c r="SR90" s="20" t="n">
        <f aca="false">IF(AND(HU90=1,FH90=1),(MP90+MT90)/F90,0)</f>
        <v>0</v>
      </c>
      <c r="SS90" s="20" t="n">
        <f aca="false">IF(B90=0,MP90+MT90,0)</f>
        <v>0</v>
      </c>
      <c r="ST90" s="20" t="n">
        <f aca="false">IF(B90=0,IF(HU90=1,MR90,MS90),0)</f>
        <v>0</v>
      </c>
      <c r="SU90" s="20" t="n">
        <f aca="false">IF(FR90=1,IF(HU90=1,MY90+NB90,FS90-OY90)*(1+Slot16_Rate),0)</f>
        <v>0</v>
      </c>
      <c r="SV90" s="20" t="n">
        <f aca="false">IF(AND(HU90=1,FR90=1),(MX90+NB90)/F90,0)</f>
        <v>0</v>
      </c>
      <c r="SW90" s="20" t="n">
        <f aca="false">IF(B90=0,MX90+NB90,0)</f>
        <v>0</v>
      </c>
      <c r="SX90" s="20" t="n">
        <f aca="false">IF(B90=0,IF(HU90=1,MZ90,NA90),0)</f>
        <v>0</v>
      </c>
      <c r="SY90" s="20" t="n">
        <f aca="false">IF(GB90=1,IF(HU90=1,NG90+NJ90,GC90-OW90)*(1+Slot17_Rate),0)</f>
        <v>0</v>
      </c>
      <c r="SZ90" s="20" t="n">
        <f aca="false">IF(AND(HU90=1,GB90=1),(NF90+NJ90)/F90,0)</f>
        <v>0</v>
      </c>
      <c r="TA90" s="20" t="n">
        <f aca="false">IF(B90=0,NF90+NJ90,0)</f>
        <v>0</v>
      </c>
      <c r="TB90" s="20" t="n">
        <f aca="false">IF(B90=0,IF(HU90=1,NH90,NI90),0)</f>
        <v>0</v>
      </c>
      <c r="TC90" s="20" t="n">
        <f aca="false">IF(GL90=1,IF(HU90=1,NO90+NR90,GM90-OU90)*(1+Slot18_Rate),0)</f>
        <v>0</v>
      </c>
      <c r="TD90" s="20" t="n">
        <f aca="false">IF(AND(HU90=1,GL90=1),(NN90+NR90)/F90,0)</f>
        <v>0</v>
      </c>
      <c r="TE90" s="20" t="n">
        <f aca="false">IF(B90=0,NN90+NR90,0)</f>
        <v>0</v>
      </c>
      <c r="TF90" s="20" t="n">
        <f aca="false">IF(B90=0,IF(HU90=1,NP90,NQ90),0)</f>
        <v>0</v>
      </c>
      <c r="TG90" s="20" t="n">
        <f aca="false">IF(GV90=1,IF(HU90=1,NW90+NZ90,GW90-OS90)*(1+Slot19_Rate),0)</f>
        <v>0</v>
      </c>
      <c r="TH90" s="20" t="n">
        <f aca="false">IF(AND(HU90=1,GV90=1),(NV90+NZ90)/F90,0)</f>
        <v>0</v>
      </c>
      <c r="TI90" s="20" t="n">
        <f aca="false">IF(B90=0,NV90+NZ90,0)</f>
        <v>0</v>
      </c>
      <c r="TJ90" s="20" t="n">
        <f aca="false">IF(B90=0,IF(HU90=1,NX90,NY90),0)</f>
        <v>0</v>
      </c>
      <c r="TK90" s="20" t="n">
        <f aca="false">IF(HF90=1,IF(HU90=1,OE90+OH90,HG90-OQ90)*(1+Slot20_Rate),0)</f>
        <v>0</v>
      </c>
      <c r="TL90" s="20" t="n">
        <f aca="false">IF(AND(HU90=1,HF90=1),(OD90+OH90)/F90,0)</f>
        <v>0</v>
      </c>
      <c r="TM90" s="20" t="n">
        <f aca="false">IF(B90=0,OD90+OH90,0)</f>
        <v>0</v>
      </c>
      <c r="TN90" s="20" t="n">
        <f aca="false">IF(B90=0,IF(HU90=1,OF90,OG90),0)</f>
        <v>0</v>
      </c>
      <c r="TO90" s="20" t="n">
        <f aca="false">QK90+QL90+QM90+QQ90+QU90+QY90+RC90+RG90+RK90+RO90+RS90+RW90+SA90+SE90+SI90+SM90+SQ90+SU90+SY90+TC90+TG90+TK90</f>
        <v>0</v>
      </c>
      <c r="TP90" s="20" t="n">
        <f aca="false">QE90+HP90</f>
        <v>97722.5565416088</v>
      </c>
      <c r="TQ90" s="20" t="n">
        <f aca="false">I90+S90</f>
        <v>242461.049724529</v>
      </c>
      <c r="TR90" s="20" t="n">
        <f aca="false">1-G90</f>
        <v>1</v>
      </c>
      <c r="TS90" s="20" t="n">
        <f aca="false">IF(AND(RG_Exists=1,G90=0,C90=1),I90,0)</f>
        <v>0</v>
      </c>
      <c r="TT90" s="20" t="n">
        <f aca="false">IF(AND(RG_Exists=1,G90=0,C90=1),I90-MIN(QE90,I90),0)</f>
        <v>0</v>
      </c>
      <c r="TU90" s="20" t="n">
        <f aca="false">'Plan pay &amp; tax'!AD316</f>
        <v>0</v>
      </c>
      <c r="TV90" s="20" t="n">
        <f aca="false">IF(AND(C90=1,QE90&gt;MAX(PR_Short1,TQ90*PR_Short2)),1,0)</f>
        <v>0</v>
      </c>
      <c r="TW90" s="20" t="n">
        <f aca="false">MIN(H90,I90+S90)</f>
        <v>144738.49318292</v>
      </c>
      <c r="TX90" s="20" t="n">
        <f aca="false">QF90+MAX(0,HQ90-HP90)</f>
        <v>0</v>
      </c>
      <c r="TY90" s="20" t="n">
        <f aca="false">QE90+HP90</f>
        <v>97722.5565416088</v>
      </c>
      <c r="TZ90" s="20" t="n">
        <f aca="false">IF(AND(C90=1,TY90&gt;PR_MinShort),1,0)</f>
        <v>0</v>
      </c>
      <c r="UA90" s="20" t="n">
        <f aca="false">IF(AND(C90=1,TZ90=0,TX90&gt;PR_MinShort),1,0)</f>
        <v>0</v>
      </c>
      <c r="UB90" s="20" t="n">
        <f aca="false">IF(AND(C90=1,QE90&gt;PR_MinShort),1,0)</f>
        <v>0</v>
      </c>
      <c r="UC90" s="20" t="n">
        <f aca="false">IF(AND(C90=1,QF90&gt;1,UJ90=0),1,0)</f>
        <v>0</v>
      </c>
      <c r="UD90" s="20" t="str">
        <f aca="false">IF(C90=0,"",IF(UJ90=1,"Gap to plan for: short "&amp;"€"&amp;TEXT(ROUND(TP90,0),"#,##0"),IF(QF90&gt;1,"Using savings","Comfortable")))</f>
        <v/>
      </c>
      <c r="UE90" s="20" t="n">
        <f aca="false">IF(AND(INT(D90/10)*10=90,B90&gt;0),80,INT(D90/10)*10)</f>
        <v>120</v>
      </c>
      <c r="UF90" s="20" t="n">
        <f aca="false">IF(B90=0,1,IF(UE90&lt;&gt;UE89,UF89+1,UF89))</f>
        <v>9</v>
      </c>
      <c r="UG90" s="20" t="n">
        <f aca="false">IF(AND(C90=1,G90=1,QE90&gt;MAX(PR_Short1,TQ90*PR_Short2)),1,0)</f>
        <v>0</v>
      </c>
      <c r="UH90" s="20" t="n">
        <f aca="false">TR90*TV90</f>
        <v>0</v>
      </c>
      <c r="UI90" s="20" t="n">
        <f aca="false">IF(AND(V90=1,Slot1_PctLow=1),1,0)+IF(AND(AG90=1,Slot2_PctLow=1),1,0)+IF(AND(AQ90=1,Slot3_PctLow=1),1,0)+IF(AND(BA90=1,Slot4_PctLow=1),1,0)+IF(AND(BK90=1,Slot5_PctLow=1),1,0)+IF(AND(BU90=1,Slot6_PctLow=1),1,0)+IF(AND(CE90=1,Slot7_PctLow=1),1,0)+IF(AND(CO90=1,Slot8_PctLow=1),1,0)+IF(AND(CY90=1,Slot9_PctLow=1),1,0)+IF(AND(DI90=1,Slot10_PctLow=1),1,0)+IF(AND(DS90=1,Slot11_PctLow=1),1,0)+IF(AND(EC90=1,Slot12_PctLow=1),1,0)+IF(AND(EM90=1,Slot13_PctLow=1),1,0)+IF(AND(EW90=1,Slot14_PctLow=1),1,0)+IF(AND(FG90=1,Slot15_PctLow=1),1,0)+IF(AND(FQ90=1,Slot16_PctLow=1),1,0)+IF(AND(GA90=1,Slot17_PctLow=1),1,0)+IF(AND(GK90=1,Slot18_PctLow=1),1,0)+IF(AND(GU90=1,Slot19_PctLow=1),1,0)+IF(AND(HE90=1,Slot20_PctLow=1),1,0)</f>
        <v>0</v>
      </c>
      <c r="UJ90" s="20" t="n">
        <f aca="false">IF(C90=1,IF(OR(TV90=1,UI90&gt;0),1,0),0)</f>
        <v>0</v>
      </c>
      <c r="UK90" s="20" t="n">
        <f aca="false">Z90+AK90+AU90+BE90+BO90+BY90+CI90+CS90+DC90+DM90+DW90+EG90+EQ90+FA90+FK90+FU90+GE90+GO90+GY90+HI90+OM90</f>
        <v>0</v>
      </c>
      <c r="UL90" s="20" t="n">
        <f aca="false">V90*IF(Slot1_SpendLike=1,X90-Y90,IF(Slot1_PotFree=1,X90,0))+AG90*IF(Slot2_SpendLike=1,AI90-AJ90,IF(Slot2_PotFree=1,AI90,0))+AQ90*IF(Slot3_SpendLike=1,AS90-AT90,IF(Slot3_PotFree=1,AS90,0))+BA90*IF(Slot4_SpendLike=1,BC90-BD90,IF(Slot4_PotFree=1,BC90,0))+BK90*IF(Slot5_SpendLike=1,BM90-BN90,IF(Slot5_PotFree=1,BM90,0))+BU90*IF(Slot6_SpendLike=1,BW90-BX90,IF(Slot6_PotFree=1,BW90,0))+CE90*IF(Slot7_SpendLike=1,CG90-CH90,IF(Slot7_PotFree=1,CG90,0))+CO90*IF(Slot8_SpendLike=1,CQ90-CR90,IF(Slot8_PotFree=1,CQ90,0))+CY90*IF(Slot9_SpendLike=1,DA90-DB90,IF(Slot9_PotFree=1,DA90,0))+DI90*IF(Slot10_SpendLike=1,DK90-DL90,IF(Slot10_PotFree=1,DK90,0))+DS90*IF(Slot11_SpendLike=1,DU90-DV90,IF(Slot11_PotFree=1,DU90,0))+EC90*IF(Slot12_SpendLike=1,EE90-EF90,IF(Slot12_PotFree=1,EE90,0))+EM90*IF(Slot13_SpendLike=1,EO90-EP90,IF(Slot13_PotFree=1,EO90,0))+EW90*IF(Slot14_SpendLike=1,EY90-EZ90,IF(Slot14_PotFree=1,EY90,0))+FG90*IF(Slot15_SpendLike=1,FI90-FJ90,IF(Slot15_PotFree=1,FI90,0))+FQ90*IF(Slot16_SpendLike=1,FS90-FT90,IF(Slot16_PotFree=1,FS90,0))+GA90*IF(Slot17_SpendLike=1,GC90-GD90,IF(Slot17_PotFree=1,GC90,0))+GK90*IF(Slot18_SpendLike=1,GM90-GN90,IF(Slot18_PotFree=1,GM90,0))+GU90*IF(Slot19_SpendLike=1,GW90-GX90,IF(Slot19_PotFree=1,GW90,0))+HE90*IF(Slot20_SpendLike=1,HG90-HH90,IF(Slot20_PotFree=1,HG90,0))</f>
        <v>0</v>
      </c>
      <c r="UM90" s="20" t="n">
        <f aca="false">QG90-T90+UK90-UL90</f>
        <v>0</v>
      </c>
      <c r="UN90" s="20" t="n">
        <f aca="false">IF(OR(UN89=1,AND(In_homeUse="Yes, I'd downsize",In_downAge&gt;0,D90=In_downAge,OR(In_home="Own outright",In_home="Own with mortgage"),In_homeValue&gt;0)),1,0)</f>
        <v>0</v>
      </c>
    </row>
    <row r="91" customFormat="false" ht="15" hidden="false" customHeight="true" outlineLevel="0" collapsed="false">
      <c r="B91" s="20" t="n">
        <v>83</v>
      </c>
      <c r="C91" s="20" t="n">
        <f aca="false">IF(B91&lt;=F_N,1,0)</f>
        <v>0</v>
      </c>
      <c r="D91" s="20" t="n">
        <f aca="false">'Plan pay &amp; tax'!C317</f>
        <v>121</v>
      </c>
      <c r="E91" s="20" t="str">
        <f aca="false">IF($C91=1,"Income tax "&amp;TEXT(N('Plan pay &amp; tax'!BK317),"#,##0")&amp;"; USC "&amp;TEXT(N('Plan pay &amp; tax'!BM317)+N('Plan pay &amp; tax'!BO317),"#,##0")&amp;"; PRSI "&amp;TEXT(N('Plan pay &amp; tax'!BP317)+N('Plan pay &amp; tax'!BQ317),"#,##0")&amp;IF(N('Plan holdings'!BO91)&gt;=0.5,"; DIRT "&amp;TEXT(('Plan holdings'!BO91)/$F91,"#,##0")&amp;" (already taken from the interest earned)","")&amp;IF(N('Plan holdings'!BP91)&gt;=0.5,"; exit tax at an 8-year anniversary "&amp;TEXT(('Plan holdings'!BP91)/$F91,"#,##0"),"")&amp;IF(N('Plan holdings'!BN91)&gt;=0.5,"; tax on assets sold (exit tax or capital gains tax) "&amp;TEXT(('Plan holdings'!BN91)/$F91,"#,##0"),"")&amp;IF(N('Plan pay &amp; tax'!X317)-N('Plan pay &amp; tax'!Y317)&gt;=0.5,"; tax on the pension lump sum "&amp;TEXT(('Plan pay &amp; tax'!X317-'Plan pay &amp; tax'!Y317)/$F91,"#,##0"),"")&amp;IF(N('Plan pay &amp; tax'!V317)&gt;=0.5,"; chargeable excess tax on the pension "&amp;TEXT(('Plan pay &amp; tax'!V317)/$F91,"#,##0"),"")&amp;".","")</f>
        <v/>
      </c>
      <c r="F91" s="50" t="n">
        <f aca="false">'Plan pay &amp; tax'!E317</f>
        <v>5.17385503596275</v>
      </c>
      <c r="G91" s="20" t="n">
        <f aca="false">'Plan pay &amp; tax'!G317</f>
        <v>0</v>
      </c>
      <c r="H91" s="20" t="n">
        <f aca="false">'Plan pay &amp; tax'!BT317-'Plan pay &amp; tax'!BS317-'Plan pay &amp; tax'!R317</f>
        <v>147633.263046578</v>
      </c>
      <c r="I91" s="20" t="n">
        <f aca="false">IF(G91=1,F_CostsM*12,IF(RG_Exists=1,RG_Amount,F_CostsM*12*AS_RetireSpend))*F91+F_OneOffY*F91</f>
        <v>247310.270719019</v>
      </c>
      <c r="J91" s="20" t="n">
        <f aca="false">IF(UN91=1,0,HR90)</f>
        <v>0</v>
      </c>
      <c r="K91" s="20" t="n">
        <f aca="false">IF(J91&gt;1,'Plan debt months'!AC91,0)</f>
        <v>0</v>
      </c>
      <c r="L91" s="20" t="n">
        <f aca="false">IF(J91&gt;1,'Plan debt months'!AB91,J91)</f>
        <v>0</v>
      </c>
      <c r="M91" s="20" t="n">
        <f aca="false">O90</f>
        <v>0</v>
      </c>
      <c r="N91" s="20" t="n">
        <f aca="false">IF(M91&gt;1,'Plan debt months'!BD91,0)</f>
        <v>0</v>
      </c>
      <c r="O91" s="20" t="n">
        <f aca="false">IF(M91&gt;1,'Plan debt months'!BC91,M91)</f>
        <v>0</v>
      </c>
      <c r="P91" s="20" t="n">
        <f aca="false">R90</f>
        <v>0</v>
      </c>
      <c r="Q91" s="20" t="n">
        <f aca="false">IF(P91&gt;1,'Plan debt months'!CE91,0)</f>
        <v>0</v>
      </c>
      <c r="R91" s="20" t="n">
        <f aca="false">IF(P91&gt;1,'Plan debt months'!CD91,P91)</f>
        <v>0</v>
      </c>
      <c r="S91" s="20" t="n">
        <f aca="false">K91+N91+Q91</f>
        <v>0</v>
      </c>
      <c r="T91" s="57" t="n">
        <f aca="false">'Plan holdings'!Y91</f>
        <v>0</v>
      </c>
      <c r="U91" s="57" t="n">
        <f aca="false">'Plan holdings'!BM90</f>
        <v>0</v>
      </c>
      <c r="V91" s="20" t="n">
        <f aca="false">IF(AND(Slot1_On=1,D91=Slot1_Age),1,0)</f>
        <v>0</v>
      </c>
      <c r="W91" s="20" t="n">
        <f aca="false">IF(AND(Slot1_On=1,Slot1_Age&gt;D91),1,0)</f>
        <v>0</v>
      </c>
      <c r="X91" s="20" t="n">
        <f aca="false">QM90</f>
        <v>0</v>
      </c>
      <c r="Y91" s="20" t="n">
        <f aca="false">V91*MIN(Slot1_Cost,X91)</f>
        <v>0</v>
      </c>
      <c r="Z91" s="20" t="n">
        <f aca="false">V91*Slot1_SpendLike*MIN(Slot1_Cost-Y91,T91)</f>
        <v>0</v>
      </c>
      <c r="AA91" s="20" t="n">
        <f aca="false">Y91+Z91</f>
        <v>0</v>
      </c>
      <c r="AB91" s="20" t="n">
        <f aca="false">T91-Z91+V91*IF(Slot1_SpendLike=1,X91-Y91,IF(Slot1_PotFree=1,X91,0))</f>
        <v>0</v>
      </c>
      <c r="AC91" s="20" t="n">
        <f aca="false">AF91+V91*Slot1_BufPot*X91</f>
        <v>0</v>
      </c>
      <c r="AD91" s="20" t="n">
        <f aca="false">IF(AND(V91=1,Slot1_IsMfree=1),IF(AA91&gt;=Slot1_Cost-1,0,MAX(0,L91-AA91)),L91)</f>
        <v>0</v>
      </c>
      <c r="AE91" s="20" t="n">
        <f aca="false">V91*(Slot1_Cost-AA91)</f>
        <v>0</v>
      </c>
      <c r="AF91" s="20" t="n">
        <f aca="false">QL90</f>
        <v>0</v>
      </c>
      <c r="AG91" s="20" t="n">
        <f aca="false">IF(AND(Slot2_On=1,D91=Slot2_Age),1,0)</f>
        <v>0</v>
      </c>
      <c r="AH91" s="20" t="n">
        <f aca="false">IF(AND(Slot2_On=1,Slot2_Age&gt;D91),1,0)</f>
        <v>0</v>
      </c>
      <c r="AI91" s="20" t="n">
        <f aca="false">QQ90</f>
        <v>0</v>
      </c>
      <c r="AJ91" s="20" t="n">
        <f aca="false">AG91*MIN(Slot2_Cost,AI91)</f>
        <v>0</v>
      </c>
      <c r="AK91" s="20" t="n">
        <f aca="false">AG91*Slot2_SpendLike*MIN(Slot2_Cost-AJ91,AB91)</f>
        <v>0</v>
      </c>
      <c r="AL91" s="20" t="n">
        <f aca="false">AJ91+AK91</f>
        <v>0</v>
      </c>
      <c r="AM91" s="20" t="n">
        <f aca="false">AB91-AK91+AG91*IF(Slot2_SpendLike=1,AI91-AJ91,IF(Slot2_PotFree=1,AI91,0))</f>
        <v>0</v>
      </c>
      <c r="AN91" s="20" t="n">
        <f aca="false">AC91+AG91*Slot2_BufPot*AI91</f>
        <v>0</v>
      </c>
      <c r="AO91" s="20" t="n">
        <f aca="false">IF(AND(AG91=1,Slot2_IsMfree=1),IF(AL91&gt;=Slot2_Cost-1,0,MAX(0,AD91-AL91)),AD91)</f>
        <v>0</v>
      </c>
      <c r="AP91" s="20" t="n">
        <f aca="false">AG91*(Slot2_Cost-AL91)</f>
        <v>0</v>
      </c>
      <c r="AQ91" s="20" t="n">
        <f aca="false">IF(AND(Slot3_On=1,D91=Slot3_Age),1,0)</f>
        <v>0</v>
      </c>
      <c r="AR91" s="20" t="n">
        <f aca="false">IF(AND(Slot3_On=1,Slot3_Age&gt;D91),1,0)</f>
        <v>0</v>
      </c>
      <c r="AS91" s="20" t="n">
        <f aca="false">QU90</f>
        <v>0</v>
      </c>
      <c r="AT91" s="20" t="n">
        <f aca="false">AQ91*MIN(Slot3_Cost,AS91)</f>
        <v>0</v>
      </c>
      <c r="AU91" s="20" t="n">
        <f aca="false">AQ91*Slot3_SpendLike*MIN(Slot3_Cost-AT91,AM91)</f>
        <v>0</v>
      </c>
      <c r="AV91" s="20" t="n">
        <f aca="false">AT91+AU91</f>
        <v>0</v>
      </c>
      <c r="AW91" s="20" t="n">
        <f aca="false">AM91-AU91+AQ91*IF(Slot3_SpendLike=1,AS91-AT91,IF(Slot3_PotFree=1,AS91,0))</f>
        <v>0</v>
      </c>
      <c r="AX91" s="20" t="n">
        <f aca="false">AN91+AQ91*Slot3_BufPot*AS91</f>
        <v>0</v>
      </c>
      <c r="AY91" s="20" t="n">
        <f aca="false">IF(AND(AQ91=1,Slot3_IsMfree=1),IF(AV91&gt;=Slot3_Cost-1,0,MAX(0,AO91-AV91)),AO91)</f>
        <v>0</v>
      </c>
      <c r="AZ91" s="20" t="n">
        <f aca="false">AQ91*(Slot3_Cost-AV91)</f>
        <v>0</v>
      </c>
      <c r="BA91" s="20" t="n">
        <f aca="false">IF(AND(Slot4_On=1,D91=Slot4_Age),1,0)</f>
        <v>0</v>
      </c>
      <c r="BB91" s="20" t="n">
        <f aca="false">IF(AND(Slot4_On=1,Slot4_Age&gt;D91),1,0)</f>
        <v>0</v>
      </c>
      <c r="BC91" s="20" t="n">
        <f aca="false">QY90</f>
        <v>0</v>
      </c>
      <c r="BD91" s="20" t="n">
        <f aca="false">BA91*MIN(Slot4_Cost,BC91)</f>
        <v>0</v>
      </c>
      <c r="BE91" s="20" t="n">
        <f aca="false">BA91*Slot4_SpendLike*MIN(Slot4_Cost-BD91,AW91)</f>
        <v>0</v>
      </c>
      <c r="BF91" s="20" t="n">
        <f aca="false">BD91+BE91</f>
        <v>0</v>
      </c>
      <c r="BG91" s="20" t="n">
        <f aca="false">AW91-BE91+BA91*IF(Slot4_SpendLike=1,BC91-BD91,IF(Slot4_PotFree=1,BC91,0))</f>
        <v>0</v>
      </c>
      <c r="BH91" s="20" t="n">
        <f aca="false">AX91+BA91*Slot4_BufPot*BC91</f>
        <v>0</v>
      </c>
      <c r="BI91" s="20" t="n">
        <f aca="false">IF(AND(BA91=1,Slot4_IsMfree=1),IF(BF91&gt;=Slot4_Cost-1,0,MAX(0,AY91-BF91)),AY91)</f>
        <v>0</v>
      </c>
      <c r="BJ91" s="20" t="n">
        <f aca="false">BA91*(Slot4_Cost-BF91)</f>
        <v>0</v>
      </c>
      <c r="BK91" s="20" t="n">
        <f aca="false">IF(AND(Slot5_On=1,D91=Slot5_Age),1,0)</f>
        <v>0</v>
      </c>
      <c r="BL91" s="20" t="n">
        <f aca="false">IF(AND(Slot5_On=1,Slot5_Age&gt;D91),1,0)</f>
        <v>0</v>
      </c>
      <c r="BM91" s="20" t="n">
        <f aca="false">RC90</f>
        <v>0</v>
      </c>
      <c r="BN91" s="20" t="n">
        <f aca="false">BK91*MIN(Slot5_Cost,BM91)</f>
        <v>0</v>
      </c>
      <c r="BO91" s="20" t="n">
        <f aca="false">BK91*Slot5_SpendLike*MIN(Slot5_Cost-BN91,BG91)</f>
        <v>0</v>
      </c>
      <c r="BP91" s="20" t="n">
        <f aca="false">BN91+BO91</f>
        <v>0</v>
      </c>
      <c r="BQ91" s="20" t="n">
        <f aca="false">BG91-BO91+BK91*IF(Slot5_SpendLike=1,BM91-BN91,IF(Slot5_PotFree=1,BM91,0))</f>
        <v>0</v>
      </c>
      <c r="BR91" s="20" t="n">
        <f aca="false">BH91+BK91*Slot5_BufPot*BM91</f>
        <v>0</v>
      </c>
      <c r="BS91" s="20" t="n">
        <f aca="false">IF(AND(BK91=1,Slot5_IsMfree=1),IF(BP91&gt;=Slot5_Cost-1,0,MAX(0,BI91-BP91)),BI91)</f>
        <v>0</v>
      </c>
      <c r="BT91" s="20" t="n">
        <f aca="false">BK91*(Slot5_Cost-BP91)</f>
        <v>0</v>
      </c>
      <c r="BU91" s="20" t="n">
        <f aca="false">IF(AND(Slot6_On=1,D91=Slot6_Age),1,0)</f>
        <v>0</v>
      </c>
      <c r="BV91" s="20" t="n">
        <f aca="false">IF(AND(Slot6_On=1,Slot6_Age&gt;D91),1,0)</f>
        <v>0</v>
      </c>
      <c r="BW91" s="20" t="n">
        <f aca="false">RG90</f>
        <v>0</v>
      </c>
      <c r="BX91" s="20" t="n">
        <f aca="false">BU91*MIN(Slot6_Cost,BW91)</f>
        <v>0</v>
      </c>
      <c r="BY91" s="20" t="n">
        <f aca="false">BU91*Slot6_SpendLike*MIN(Slot6_Cost-BX91,BQ91)</f>
        <v>0</v>
      </c>
      <c r="BZ91" s="20" t="n">
        <f aca="false">BX91+BY91</f>
        <v>0</v>
      </c>
      <c r="CA91" s="20" t="n">
        <f aca="false">BQ91-BY91+BU91*IF(Slot6_SpendLike=1,BW91-BX91,IF(Slot6_PotFree=1,BW91,0))</f>
        <v>0</v>
      </c>
      <c r="CB91" s="20" t="n">
        <f aca="false">BR91+BU91*Slot6_BufPot*BW91</f>
        <v>0</v>
      </c>
      <c r="CC91" s="20" t="n">
        <f aca="false">IF(AND(BU91=1,Slot6_IsMfree=1),IF(BZ91&gt;=Slot6_Cost-1,0,MAX(0,BS91-BZ91)),BS91)</f>
        <v>0</v>
      </c>
      <c r="CD91" s="20" t="n">
        <f aca="false">BU91*(Slot6_Cost-BZ91)</f>
        <v>0</v>
      </c>
      <c r="CE91" s="20" t="n">
        <f aca="false">IF(AND(Slot7_On=1,D91=Slot7_Age),1,0)</f>
        <v>0</v>
      </c>
      <c r="CF91" s="20" t="n">
        <f aca="false">IF(AND(Slot7_On=1,Slot7_Age&gt;D91),1,0)</f>
        <v>0</v>
      </c>
      <c r="CG91" s="20" t="n">
        <f aca="false">RK90</f>
        <v>0</v>
      </c>
      <c r="CH91" s="20" t="n">
        <f aca="false">CE91*MIN(Slot7_Cost,CG91)</f>
        <v>0</v>
      </c>
      <c r="CI91" s="20" t="n">
        <f aca="false">CE91*Slot7_SpendLike*MIN(Slot7_Cost-CH91,CA91)</f>
        <v>0</v>
      </c>
      <c r="CJ91" s="20" t="n">
        <f aca="false">CH91+CI91</f>
        <v>0</v>
      </c>
      <c r="CK91" s="20" t="n">
        <f aca="false">CA91-CI91+CE91*IF(Slot7_SpendLike=1,CG91-CH91,IF(Slot7_PotFree=1,CG91,0))</f>
        <v>0</v>
      </c>
      <c r="CL91" s="20" t="n">
        <f aca="false">CB91+CE91*Slot7_BufPot*CG91</f>
        <v>0</v>
      </c>
      <c r="CM91" s="20" t="n">
        <f aca="false">IF(AND(CE91=1,Slot7_IsMfree=1),IF(CJ91&gt;=Slot7_Cost-1,0,MAX(0,CC91-CJ91)),CC91)</f>
        <v>0</v>
      </c>
      <c r="CN91" s="20" t="n">
        <f aca="false">CE91*(Slot7_Cost-CJ91)</f>
        <v>0</v>
      </c>
      <c r="CO91" s="20" t="n">
        <f aca="false">IF(AND(Slot8_On=1,D91=Slot8_Age),1,0)</f>
        <v>0</v>
      </c>
      <c r="CP91" s="20" t="n">
        <f aca="false">IF(AND(Slot8_On=1,Slot8_Age&gt;D91),1,0)</f>
        <v>0</v>
      </c>
      <c r="CQ91" s="20" t="n">
        <f aca="false">RO90</f>
        <v>0</v>
      </c>
      <c r="CR91" s="20" t="n">
        <f aca="false">CO91*MIN(Slot8_Cost,CQ91)</f>
        <v>0</v>
      </c>
      <c r="CS91" s="20" t="n">
        <f aca="false">CO91*Slot8_SpendLike*MIN(Slot8_Cost-CR91,CK91)</f>
        <v>0</v>
      </c>
      <c r="CT91" s="20" t="n">
        <f aca="false">CR91+CS91</f>
        <v>0</v>
      </c>
      <c r="CU91" s="20" t="n">
        <f aca="false">CK91-CS91+CO91*IF(Slot8_SpendLike=1,CQ91-CR91,IF(Slot8_PotFree=1,CQ91,0))</f>
        <v>0</v>
      </c>
      <c r="CV91" s="20" t="n">
        <f aca="false">CL91+CO91*Slot8_BufPot*CQ91</f>
        <v>0</v>
      </c>
      <c r="CW91" s="20" t="n">
        <f aca="false">IF(AND(CO91=1,Slot8_IsMfree=1),IF(CT91&gt;=Slot8_Cost-1,0,MAX(0,CM91-CT91)),CM91)</f>
        <v>0</v>
      </c>
      <c r="CX91" s="20" t="n">
        <f aca="false">CO91*(Slot8_Cost-CT91)</f>
        <v>0</v>
      </c>
      <c r="CY91" s="20" t="n">
        <f aca="false">IF(AND(Slot9_On=1,D91=Slot9_Age),1,0)</f>
        <v>0</v>
      </c>
      <c r="CZ91" s="20" t="n">
        <f aca="false">IF(AND(Slot9_On=1,Slot9_Age&gt;D91),1,0)</f>
        <v>0</v>
      </c>
      <c r="DA91" s="20" t="n">
        <f aca="false">RS90</f>
        <v>0</v>
      </c>
      <c r="DB91" s="20" t="n">
        <f aca="false">CY91*MIN(Slot9_Cost,DA91)</f>
        <v>0</v>
      </c>
      <c r="DC91" s="20" t="n">
        <f aca="false">CY91*Slot9_SpendLike*MIN(Slot9_Cost-DB91,CU91)</f>
        <v>0</v>
      </c>
      <c r="DD91" s="20" t="n">
        <f aca="false">DB91+DC91</f>
        <v>0</v>
      </c>
      <c r="DE91" s="20" t="n">
        <f aca="false">CU91-DC91+CY91*IF(Slot9_SpendLike=1,DA91-DB91,IF(Slot9_PotFree=1,DA91,0))</f>
        <v>0</v>
      </c>
      <c r="DF91" s="20" t="n">
        <f aca="false">CV91+CY91*Slot9_BufPot*DA91</f>
        <v>0</v>
      </c>
      <c r="DG91" s="20" t="n">
        <f aca="false">IF(AND(CY91=1,Slot9_IsMfree=1),IF(DD91&gt;=Slot9_Cost-1,0,MAX(0,CW91-DD91)),CW91)</f>
        <v>0</v>
      </c>
      <c r="DH91" s="20" t="n">
        <f aca="false">CY91*(Slot9_Cost-DD91)</f>
        <v>0</v>
      </c>
      <c r="DI91" s="20" t="n">
        <f aca="false">IF(AND(Slot10_On=1,D91=Slot10_Age),1,0)</f>
        <v>0</v>
      </c>
      <c r="DJ91" s="20" t="n">
        <f aca="false">IF(AND(Slot10_On=1,Slot10_Age&gt;D91),1,0)</f>
        <v>0</v>
      </c>
      <c r="DK91" s="20" t="n">
        <f aca="false">RW90</f>
        <v>0</v>
      </c>
      <c r="DL91" s="20" t="n">
        <f aca="false">DI91*MIN(Slot10_Cost,DK91)</f>
        <v>0</v>
      </c>
      <c r="DM91" s="20" t="n">
        <f aca="false">DI91*Slot10_SpendLike*MIN(Slot10_Cost-DL91,DE91)</f>
        <v>0</v>
      </c>
      <c r="DN91" s="20" t="n">
        <f aca="false">DL91+DM91</f>
        <v>0</v>
      </c>
      <c r="DO91" s="20" t="n">
        <f aca="false">DE91-DM91+DI91*IF(Slot10_SpendLike=1,DK91-DL91,IF(Slot10_PotFree=1,DK91,0))</f>
        <v>0</v>
      </c>
      <c r="DP91" s="20" t="n">
        <f aca="false">DF91+DI91*Slot10_BufPot*DK91</f>
        <v>0</v>
      </c>
      <c r="DQ91" s="20" t="n">
        <f aca="false">IF(AND(DI91=1,Slot10_IsMfree=1),IF(DN91&gt;=Slot10_Cost-1,0,MAX(0,DG91-DN91)),DG91)</f>
        <v>0</v>
      </c>
      <c r="DR91" s="20" t="n">
        <f aca="false">DI91*(Slot10_Cost-DN91)</f>
        <v>0</v>
      </c>
      <c r="DS91" s="20" t="n">
        <f aca="false">IF(AND(Slot11_On=1,D91=Slot11_Age),1,0)</f>
        <v>0</v>
      </c>
      <c r="DT91" s="20" t="n">
        <f aca="false">IF(AND(Slot11_On=1,Slot11_Age&gt;D91),1,0)</f>
        <v>0</v>
      </c>
      <c r="DU91" s="20" t="n">
        <f aca="false">SA90</f>
        <v>0</v>
      </c>
      <c r="DV91" s="20" t="n">
        <f aca="false">DS91*MIN(Slot11_Cost,DU91)</f>
        <v>0</v>
      </c>
      <c r="DW91" s="20" t="n">
        <f aca="false">DS91*Slot11_SpendLike*MIN(Slot11_Cost-DV91,DO91)</f>
        <v>0</v>
      </c>
      <c r="DX91" s="20" t="n">
        <f aca="false">DV91+DW91</f>
        <v>0</v>
      </c>
      <c r="DY91" s="20" t="n">
        <f aca="false">DO91-DW91+DS91*IF(Slot11_SpendLike=1,DU91-DV91,IF(Slot11_PotFree=1,DU91,0))</f>
        <v>0</v>
      </c>
      <c r="DZ91" s="20" t="n">
        <f aca="false">DP91+DS91*Slot11_BufPot*DU91</f>
        <v>0</v>
      </c>
      <c r="EA91" s="20" t="n">
        <f aca="false">IF(AND(DS91=1,Slot11_IsMfree=1),IF(DX91&gt;=Slot11_Cost-1,0,MAX(0,DQ91-DX91)),DQ91)</f>
        <v>0</v>
      </c>
      <c r="EB91" s="20" t="n">
        <f aca="false">DS91*(Slot11_Cost-DX91)</f>
        <v>0</v>
      </c>
      <c r="EC91" s="20" t="n">
        <f aca="false">IF(AND(Slot12_On=1,D91=Slot12_Age),1,0)</f>
        <v>0</v>
      </c>
      <c r="ED91" s="20" t="n">
        <f aca="false">IF(AND(Slot12_On=1,Slot12_Age&gt;D91),1,0)</f>
        <v>0</v>
      </c>
      <c r="EE91" s="20" t="n">
        <f aca="false">SE90</f>
        <v>0</v>
      </c>
      <c r="EF91" s="20" t="n">
        <f aca="false">EC91*MIN(Slot12_Cost,EE91)</f>
        <v>0</v>
      </c>
      <c r="EG91" s="20" t="n">
        <f aca="false">EC91*Slot12_SpendLike*MIN(Slot12_Cost-EF91,DY91)</f>
        <v>0</v>
      </c>
      <c r="EH91" s="20" t="n">
        <f aca="false">EF91+EG91</f>
        <v>0</v>
      </c>
      <c r="EI91" s="20" t="n">
        <f aca="false">DY91-EG91+EC91*IF(Slot12_SpendLike=1,EE91-EF91,IF(Slot12_PotFree=1,EE91,0))</f>
        <v>0</v>
      </c>
      <c r="EJ91" s="20" t="n">
        <f aca="false">DZ91+EC91*Slot12_BufPot*EE91</f>
        <v>0</v>
      </c>
      <c r="EK91" s="20" t="n">
        <f aca="false">IF(AND(EC91=1,Slot12_IsMfree=1),IF(EH91&gt;=Slot12_Cost-1,0,MAX(0,EA91-EH91)),EA91)</f>
        <v>0</v>
      </c>
      <c r="EL91" s="20" t="n">
        <f aca="false">EC91*(Slot12_Cost-EH91)</f>
        <v>0</v>
      </c>
      <c r="EM91" s="20" t="n">
        <f aca="false">IF(AND(Slot13_On=1,D91=Slot13_Age),1,0)</f>
        <v>0</v>
      </c>
      <c r="EN91" s="20" t="n">
        <f aca="false">IF(AND(Slot13_On=1,Slot13_Age&gt;D91),1,0)</f>
        <v>0</v>
      </c>
      <c r="EO91" s="20" t="n">
        <f aca="false">SI90</f>
        <v>0</v>
      </c>
      <c r="EP91" s="20" t="n">
        <f aca="false">EM91*MIN(Slot13_Cost,EO91)</f>
        <v>0</v>
      </c>
      <c r="EQ91" s="20" t="n">
        <f aca="false">EM91*Slot13_SpendLike*MIN(Slot13_Cost-EP91,EI91)</f>
        <v>0</v>
      </c>
      <c r="ER91" s="20" t="n">
        <f aca="false">EP91+EQ91</f>
        <v>0</v>
      </c>
      <c r="ES91" s="20" t="n">
        <f aca="false">EI91-EQ91+EM91*IF(Slot13_SpendLike=1,EO91-EP91,IF(Slot13_PotFree=1,EO91,0))</f>
        <v>0</v>
      </c>
      <c r="ET91" s="20" t="n">
        <f aca="false">EJ91+EM91*Slot13_BufPot*EO91</f>
        <v>0</v>
      </c>
      <c r="EU91" s="20" t="n">
        <f aca="false">IF(AND(EM91=1,Slot13_IsMfree=1),IF(ER91&gt;=Slot13_Cost-1,0,MAX(0,EK91-ER91)),EK91)</f>
        <v>0</v>
      </c>
      <c r="EV91" s="20" t="n">
        <f aca="false">EM91*(Slot13_Cost-ER91)</f>
        <v>0</v>
      </c>
      <c r="EW91" s="20" t="n">
        <f aca="false">IF(AND(Slot14_On=1,D91=Slot14_Age),1,0)</f>
        <v>0</v>
      </c>
      <c r="EX91" s="20" t="n">
        <f aca="false">IF(AND(Slot14_On=1,Slot14_Age&gt;D91),1,0)</f>
        <v>0</v>
      </c>
      <c r="EY91" s="20" t="n">
        <f aca="false">SM90</f>
        <v>0</v>
      </c>
      <c r="EZ91" s="20" t="n">
        <f aca="false">EW91*MIN(Slot14_Cost,EY91)</f>
        <v>0</v>
      </c>
      <c r="FA91" s="20" t="n">
        <f aca="false">EW91*Slot14_SpendLike*MIN(Slot14_Cost-EZ91,ES91)</f>
        <v>0</v>
      </c>
      <c r="FB91" s="20" t="n">
        <f aca="false">EZ91+FA91</f>
        <v>0</v>
      </c>
      <c r="FC91" s="20" t="n">
        <f aca="false">ES91-FA91+EW91*IF(Slot14_SpendLike=1,EY91-EZ91,IF(Slot14_PotFree=1,EY91,0))</f>
        <v>0</v>
      </c>
      <c r="FD91" s="20" t="n">
        <f aca="false">ET91+EW91*Slot14_BufPot*EY91</f>
        <v>0</v>
      </c>
      <c r="FE91" s="20" t="n">
        <f aca="false">IF(AND(EW91=1,Slot14_IsMfree=1),IF(FB91&gt;=Slot14_Cost-1,0,MAX(0,EU91-FB91)),EU91)</f>
        <v>0</v>
      </c>
      <c r="FF91" s="20" t="n">
        <f aca="false">EW91*(Slot14_Cost-FB91)</f>
        <v>0</v>
      </c>
      <c r="FG91" s="20" t="n">
        <f aca="false">IF(AND(Slot15_On=1,D91=Slot15_Age),1,0)</f>
        <v>0</v>
      </c>
      <c r="FH91" s="20" t="n">
        <f aca="false">IF(AND(Slot15_On=1,Slot15_Age&gt;D91),1,0)</f>
        <v>0</v>
      </c>
      <c r="FI91" s="20" t="n">
        <f aca="false">SQ90</f>
        <v>0</v>
      </c>
      <c r="FJ91" s="20" t="n">
        <f aca="false">FG91*MIN(Slot15_Cost,FI91)</f>
        <v>0</v>
      </c>
      <c r="FK91" s="20" t="n">
        <f aca="false">FG91*Slot15_SpendLike*MIN(Slot15_Cost-FJ91,FC91)</f>
        <v>0</v>
      </c>
      <c r="FL91" s="20" t="n">
        <f aca="false">FJ91+FK91</f>
        <v>0</v>
      </c>
      <c r="FM91" s="20" t="n">
        <f aca="false">FC91-FK91+FG91*IF(Slot15_SpendLike=1,FI91-FJ91,IF(Slot15_PotFree=1,FI91,0))</f>
        <v>0</v>
      </c>
      <c r="FN91" s="20" t="n">
        <f aca="false">FD91+FG91*Slot15_BufPot*FI91</f>
        <v>0</v>
      </c>
      <c r="FO91" s="20" t="n">
        <f aca="false">IF(AND(FG91=1,Slot15_IsMfree=1),IF(FL91&gt;=Slot15_Cost-1,0,MAX(0,FE91-FL91)),FE91)</f>
        <v>0</v>
      </c>
      <c r="FP91" s="20" t="n">
        <f aca="false">FG91*(Slot15_Cost-FL91)</f>
        <v>0</v>
      </c>
      <c r="FQ91" s="20" t="n">
        <f aca="false">IF(AND(Slot16_On=1,D91=Slot16_Age),1,0)</f>
        <v>0</v>
      </c>
      <c r="FR91" s="20" t="n">
        <f aca="false">IF(AND(Slot16_On=1,Slot16_Age&gt;D91),1,0)</f>
        <v>0</v>
      </c>
      <c r="FS91" s="20" t="n">
        <f aca="false">SU90</f>
        <v>0</v>
      </c>
      <c r="FT91" s="20" t="n">
        <f aca="false">FQ91*MIN(Slot16_Cost,FS91)</f>
        <v>0</v>
      </c>
      <c r="FU91" s="20" t="n">
        <f aca="false">FQ91*Slot16_SpendLike*MIN(Slot16_Cost-FT91,FM91)</f>
        <v>0</v>
      </c>
      <c r="FV91" s="20" t="n">
        <f aca="false">FT91+FU91</f>
        <v>0</v>
      </c>
      <c r="FW91" s="20" t="n">
        <f aca="false">FM91-FU91+FQ91*IF(Slot16_SpendLike=1,FS91-FT91,IF(Slot16_PotFree=1,FS91,0))</f>
        <v>0</v>
      </c>
      <c r="FX91" s="20" t="n">
        <f aca="false">FN91+FQ91*Slot16_BufPot*FS91</f>
        <v>0</v>
      </c>
      <c r="FY91" s="20" t="n">
        <f aca="false">IF(AND(FQ91=1,Slot16_IsMfree=1),IF(FV91&gt;=Slot16_Cost-1,0,MAX(0,FO91-FV91)),FO91)</f>
        <v>0</v>
      </c>
      <c r="FZ91" s="20" t="n">
        <f aca="false">FQ91*(Slot16_Cost-FV91)</f>
        <v>0</v>
      </c>
      <c r="GA91" s="20" t="n">
        <f aca="false">IF(AND(Slot17_On=1,D91=Slot17_Age),1,0)</f>
        <v>0</v>
      </c>
      <c r="GB91" s="20" t="n">
        <f aca="false">IF(AND(Slot17_On=1,Slot17_Age&gt;D91),1,0)</f>
        <v>0</v>
      </c>
      <c r="GC91" s="20" t="n">
        <f aca="false">SY90</f>
        <v>0</v>
      </c>
      <c r="GD91" s="20" t="n">
        <f aca="false">GA91*MIN(Slot17_Cost,GC91)</f>
        <v>0</v>
      </c>
      <c r="GE91" s="20" t="n">
        <f aca="false">GA91*Slot17_SpendLike*MIN(Slot17_Cost-GD91,FW91)</f>
        <v>0</v>
      </c>
      <c r="GF91" s="20" t="n">
        <f aca="false">GD91+GE91</f>
        <v>0</v>
      </c>
      <c r="GG91" s="20" t="n">
        <f aca="false">FW91-GE91+GA91*IF(Slot17_SpendLike=1,GC91-GD91,IF(Slot17_PotFree=1,GC91,0))</f>
        <v>0</v>
      </c>
      <c r="GH91" s="20" t="n">
        <f aca="false">FX91+GA91*Slot17_BufPot*GC91</f>
        <v>0</v>
      </c>
      <c r="GI91" s="20" t="n">
        <f aca="false">IF(AND(GA91=1,Slot17_IsMfree=1),IF(GF91&gt;=Slot17_Cost-1,0,MAX(0,FY91-GF91)),FY91)</f>
        <v>0</v>
      </c>
      <c r="GJ91" s="20" t="n">
        <f aca="false">GA91*(Slot17_Cost-GF91)</f>
        <v>0</v>
      </c>
      <c r="GK91" s="20" t="n">
        <f aca="false">IF(AND(Slot18_On=1,D91=Slot18_Age),1,0)</f>
        <v>0</v>
      </c>
      <c r="GL91" s="20" t="n">
        <f aca="false">IF(AND(Slot18_On=1,Slot18_Age&gt;D91),1,0)</f>
        <v>0</v>
      </c>
      <c r="GM91" s="20" t="n">
        <f aca="false">TC90</f>
        <v>0</v>
      </c>
      <c r="GN91" s="20" t="n">
        <f aca="false">GK91*MIN(Slot18_Cost,GM91)</f>
        <v>0</v>
      </c>
      <c r="GO91" s="20" t="n">
        <f aca="false">GK91*Slot18_SpendLike*MIN(Slot18_Cost-GN91,GG91)</f>
        <v>0</v>
      </c>
      <c r="GP91" s="20" t="n">
        <f aca="false">GN91+GO91</f>
        <v>0</v>
      </c>
      <c r="GQ91" s="20" t="n">
        <f aca="false">GG91-GO91+GK91*IF(Slot18_SpendLike=1,GM91-GN91,IF(Slot18_PotFree=1,GM91,0))</f>
        <v>0</v>
      </c>
      <c r="GR91" s="20" t="n">
        <f aca="false">GH91+GK91*Slot18_BufPot*GM91</f>
        <v>0</v>
      </c>
      <c r="GS91" s="20" t="n">
        <f aca="false">IF(AND(GK91=1,Slot18_IsMfree=1),IF(GP91&gt;=Slot18_Cost-1,0,MAX(0,GI91-GP91)),GI91)</f>
        <v>0</v>
      </c>
      <c r="GT91" s="20" t="n">
        <f aca="false">GK91*(Slot18_Cost-GP91)</f>
        <v>0</v>
      </c>
      <c r="GU91" s="20" t="n">
        <f aca="false">IF(AND(Slot19_On=1,D91=Slot19_Age),1,0)</f>
        <v>0</v>
      </c>
      <c r="GV91" s="20" t="n">
        <f aca="false">IF(AND(Slot19_On=1,Slot19_Age&gt;D91),1,0)</f>
        <v>0</v>
      </c>
      <c r="GW91" s="20" t="n">
        <f aca="false">TG90</f>
        <v>0</v>
      </c>
      <c r="GX91" s="20" t="n">
        <f aca="false">GU91*MIN(Slot19_Cost,GW91)</f>
        <v>0</v>
      </c>
      <c r="GY91" s="20" t="n">
        <f aca="false">GU91*Slot19_SpendLike*MIN(Slot19_Cost-GX91,GQ91)</f>
        <v>0</v>
      </c>
      <c r="GZ91" s="20" t="n">
        <f aca="false">GX91+GY91</f>
        <v>0</v>
      </c>
      <c r="HA91" s="20" t="n">
        <f aca="false">GQ91-GY91+GU91*IF(Slot19_SpendLike=1,GW91-GX91,IF(Slot19_PotFree=1,GW91,0))</f>
        <v>0</v>
      </c>
      <c r="HB91" s="20" t="n">
        <f aca="false">GR91+GU91*Slot19_BufPot*GW91</f>
        <v>0</v>
      </c>
      <c r="HC91" s="20" t="n">
        <f aca="false">IF(AND(GU91=1,Slot19_IsMfree=1),IF(GZ91&gt;=Slot19_Cost-1,0,MAX(0,GS91-GZ91)),GS91)</f>
        <v>0</v>
      </c>
      <c r="HD91" s="20" t="n">
        <f aca="false">GU91*(Slot19_Cost-GZ91)</f>
        <v>0</v>
      </c>
      <c r="HE91" s="20" t="n">
        <f aca="false">IF(AND(Slot20_On=1,D91=Slot20_Age),1,0)</f>
        <v>0</v>
      </c>
      <c r="HF91" s="20" t="n">
        <f aca="false">IF(AND(Slot20_On=1,Slot20_Age&gt;D91),1,0)</f>
        <v>0</v>
      </c>
      <c r="HG91" s="20" t="n">
        <f aca="false">TK90</f>
        <v>0</v>
      </c>
      <c r="HH91" s="20" t="n">
        <f aca="false">HE91*MIN(Slot20_Cost,HG91)</f>
        <v>0</v>
      </c>
      <c r="HI91" s="20" t="n">
        <f aca="false">HE91*Slot20_SpendLike*MIN(Slot20_Cost-HH91,HA91)</f>
        <v>0</v>
      </c>
      <c r="HJ91" s="20" t="n">
        <f aca="false">HH91+HI91</f>
        <v>0</v>
      </c>
      <c r="HK91" s="20" t="n">
        <f aca="false">HA91-HI91+HE91*IF(Slot20_SpendLike=1,HG91-HH91,IF(Slot20_PotFree=1,HG91,0))</f>
        <v>0</v>
      </c>
      <c r="HL91" s="20" t="n">
        <f aca="false">HB91+HE91*Slot20_BufPot*HG91</f>
        <v>0</v>
      </c>
      <c r="HM91" s="20" t="n">
        <f aca="false">IF(AND(HE91=1,Slot20_IsMfree=1),IF(HJ91&gt;=Slot20_Cost-1,0,MAX(0,HC91-HJ91)),HC91)</f>
        <v>0</v>
      </c>
      <c r="HN91" s="20" t="n">
        <f aca="false">HE91*(Slot20_Cost-HJ91)</f>
        <v>0</v>
      </c>
      <c r="HO91" s="20" t="n">
        <f aca="false">V91*Slot1_SpendLike*AA91+AG91*Slot2_SpendLike*AL91+AQ91*Slot3_SpendLike*AV91+BA91*Slot4_SpendLike*BF91+BK91*Slot5_SpendLike*BP91+BU91*Slot6_SpendLike*BZ91+CE91*Slot7_SpendLike*CJ91+CO91*Slot8_SpendLike*CT91+CY91*Slot9_SpendLike*DD91+DI91*Slot10_SpendLike*DN91+DS91*Slot11_SpendLike*DX91+EC91*Slot12_SpendLike*EH91+EM91*Slot13_SpendLike*ER91+EW91*Slot14_SpendLike*FB91+FG91*Slot15_SpendLike*FL91+FQ91*Slot16_SpendLike*FV91+GA91*Slot17_SpendLike*GF91+GK91*Slot18_SpendLike*GP91+GU91*Slot19_SpendLike*GZ91+HE91*Slot20_SpendLike*HJ91</f>
        <v>0</v>
      </c>
      <c r="HP91" s="20" t="n">
        <f aca="false">AE91+AP91+AZ91+BJ91+BT91+CD91+CN91+CX91+DH91+DR91+EB91+EL91+EV91+FF91+FP91+FZ91+GJ91+GT91+HD91+HN91</f>
        <v>0</v>
      </c>
      <c r="HQ91" s="20" t="n">
        <f aca="false">V91*Slot1_Cost+AG91*Slot2_Cost+AQ91*Slot3_Cost+BA91*Slot4_Cost+BK91*Slot5_Cost+BU91*Slot6_Cost+CE91*Slot7_Cost+CO91*Slot8_Cost+CY91*Slot9_Cost+DI91*Slot10_Cost+DS91*Slot11_Cost+EC91*Slot12_Cost+EM91*Slot13_Cost+EW91*Slot14_Cost+FG91*Slot15_Cost+FQ91*Slot16_Cost+GA91*Slot17_Cost+GK91*Slot18_Cost+GU91*Slot19_Cost+HE91*Slot20_Cost</f>
        <v>0</v>
      </c>
      <c r="HR91" s="20" t="n">
        <f aca="false">HM91</f>
        <v>0</v>
      </c>
      <c r="HS91" s="20" t="n">
        <f aca="false">H91-I91-S91</f>
        <v>-99677.007672441</v>
      </c>
      <c r="HT91" s="20" t="n">
        <f aca="false">IF(B91=0,IF(AND(Has_q6=1,In_q6=4),PR_ShareVaries*(MAX(0,HS91)/12),MIN(IF(Has_q6=1,CHOOSE(In_q6+1,PR_SaveB1,PR_SaveB2,PR_SaveB3,PR_SaveB4,0),AS_NoAnswer),AS_SaveShare*(MAX(0,HS91)/12))),HT90)</f>
        <v>67.3316893520437</v>
      </c>
      <c r="HU91" s="20" t="n">
        <f aca="false">IF(HS91&gt;=0,1,0)</f>
        <v>0</v>
      </c>
      <c r="HV91" s="20" t="n">
        <f aca="false">MAX(0,HS91/12/F91)</f>
        <v>0</v>
      </c>
      <c r="HW91" s="20" t="n">
        <f aca="false">IF(AND(Has_q6=1,In_q6=4),PR_ShareVaries*(HV91),MIN(IF(Has_q6=1,CHOOSE(In_q6+1,PR_SaveB1,PR_SaveB2,PR_SaveB3,PR_SaveB4,0),AS_NoAnswer),AS_SaveShare*(HV91)))</f>
        <v>0</v>
      </c>
      <c r="HX91" s="20" t="n">
        <f aca="false">IF(Has_saveM=1,IF(In_saveUp="Yes",1,IF(In_saveUp="No",0,IF(In_saveM&gt;=HT91-0.5,1,0))),0)</f>
        <v>0</v>
      </c>
      <c r="HY91" s="20" t="n">
        <f aca="false">IF(Has_saveM=1,MIN(HV91,IF(HX91=1,MAX(In_saveM,HW91),MIN(In_saveM,HW91))),HW91)</f>
        <v>0</v>
      </c>
      <c r="HZ91" s="20" t="n">
        <f aca="false">IF(G91=1,HY91*12*F91,0)</f>
        <v>0</v>
      </c>
      <c r="IA91" s="20" t="n">
        <f aca="false">MAX(0,HZ91+IF(AND(WI_Retire=0,WI_M&lt;0,G91=1),WI_M*12*F91,0))</f>
        <v>0</v>
      </c>
      <c r="IB91" s="20" t="n">
        <f aca="false">Slot1_IsWG*W91+Slot2_IsWG*AH91+Slot3_IsWG*AR91+Slot4_IsWG*BB91+Slot5_IsWG*BL91+Slot6_IsWG*BV91+Slot7_IsWG*CF91+Slot8_IsWG*CP91+Slot9_IsWG*CZ91+Slot10_IsWG*DJ91+Slot11_IsWG*DT91+Slot12_IsWG*ED91+Slot13_IsWG*EN91+Slot14_IsWG*EX91+Slot15_IsWG*FH91+Slot16_IsWG*FR91+Slot17_IsWG*GB91+Slot18_IsWG*GL91+Slot19_IsWG*GV91+Slot20_IsWG*HF91</f>
        <v>0</v>
      </c>
      <c r="IC91" s="20" t="n">
        <f aca="false">IF(AND(WI_Retire=0,WI_M&gt;0,G91=1,IB91&gt;=1),WI_M*12*F91,0)</f>
        <v>0</v>
      </c>
      <c r="ID91" s="20" t="n">
        <f aca="false">IF(HU91=1,MIN(IA91,HS91),0)</f>
        <v>0</v>
      </c>
      <c r="IE91" s="20" t="n">
        <f aca="false">IF(HU91=1,MIN(IC91,HS91-ID91),0)</f>
        <v>0</v>
      </c>
      <c r="IF91" s="20" t="n">
        <f aca="false">IF(W91=1,IF(ABS((1+AS_Wage)/(1+Slot1_Rate)-1)&lt;0.000000000001,(Slot1_Age-D91)*(1+Slot1_Rate)^(Slot1_Age-D91),(1+Slot1_Rate)^(Slot1_Age-D91)*(1-((1+AS_Wage)/(1+Slot1_Rate))^(Slot1_Age-D91))/(1-(1+AS_Wage)/(1+Slot1_Rate))),1)</f>
        <v>1</v>
      </c>
      <c r="IG91" s="20" t="n">
        <f aca="false">IF(AND(HU91=1,IE91&gt;0,Slot1_IsWG=1,W91=1),MAX(0,(Slot1_Cost-X91*(1+Slot1_Rate)^(Slot1_Age-D91))/IF91),0)</f>
        <v>0</v>
      </c>
      <c r="IH91" s="20" t="n">
        <f aca="false">IF(AND(HU91=1,IE91&gt;0,Slot1_IsWG=1,W91=1),MIN(IE91,IG91),0)</f>
        <v>0</v>
      </c>
      <c r="II91" s="20" t="n">
        <f aca="false">X91+IH91</f>
        <v>0</v>
      </c>
      <c r="IJ91" s="20" t="n">
        <f aca="false">IF(W91=1,MAX(0,(Slot1_Cost-II91*(1+Slot1_Rate)^(Slot1_Age-D91))/IF91),0)</f>
        <v>0</v>
      </c>
      <c r="IK91" s="20" t="n">
        <f aca="false">IF(W91=1,MAX(0,(Slot1_Cost-X91*(1+Slot1_Rate)^(Slot1_Age-D91))/IF91),0)</f>
        <v>0</v>
      </c>
      <c r="IL91" s="20" t="n">
        <f aca="false">IF(AND(HU91=1,W91=1),MIN(ID91,IJ91),0)</f>
        <v>0</v>
      </c>
      <c r="IM91" s="20" t="n">
        <f aca="false">ID91-IL91</f>
        <v>0</v>
      </c>
      <c r="IN91" s="20" t="n">
        <f aca="false">IF(AH91=1,IF(ABS((1+AS_Wage)/(1+Slot2_Rate)-1)&lt;0.000000000001,(Slot2_Age-D91)*(1+Slot2_Rate)^(Slot2_Age-D91),(1+Slot2_Rate)^(Slot2_Age-D91)*(1-((1+AS_Wage)/(1+Slot2_Rate))^(Slot2_Age-D91))/(1-(1+AS_Wage)/(1+Slot2_Rate))),1)</f>
        <v>1</v>
      </c>
      <c r="IO91" s="20" t="n">
        <f aca="false">IF(AND(HU91=1,IE91&gt;0,Slot2_IsWG=1,AH91=1),MAX(0,(Slot2_Cost-AI91*(1+Slot2_Rate)^(Slot2_Age-D91))/IN91),0)</f>
        <v>0</v>
      </c>
      <c r="IP91" s="20" t="n">
        <f aca="false">IF(AND(HU91=1,IE91&gt;0,Slot2_IsWG=1,AH91=1),MIN(IE91,IO91),0)</f>
        <v>0</v>
      </c>
      <c r="IQ91" s="20" t="n">
        <f aca="false">AI91+IP91</f>
        <v>0</v>
      </c>
      <c r="IR91" s="20" t="n">
        <f aca="false">IF(AH91=1,MAX(0,(Slot2_Cost-IQ91*(1+Slot2_Rate)^(Slot2_Age-D91))/IN91),0)</f>
        <v>0</v>
      </c>
      <c r="IS91" s="20" t="n">
        <f aca="false">IF(AH91=1,MAX(0,(Slot2_Cost-AI91*(1+Slot2_Rate)^(Slot2_Age-D91))/IN91),0)</f>
        <v>0</v>
      </c>
      <c r="IT91" s="20" t="n">
        <f aca="false">IF(AND(HU91=1,AH91=1),MIN(IM91,IR91),0)</f>
        <v>0</v>
      </c>
      <c r="IU91" s="20" t="n">
        <f aca="false">IM91-IT91</f>
        <v>0</v>
      </c>
      <c r="IV91" s="20" t="n">
        <f aca="false">IF(AR91=1,IF(ABS((1+AS_Wage)/(1+Slot3_Rate)-1)&lt;0.000000000001,(Slot3_Age-D91)*(1+Slot3_Rate)^(Slot3_Age-D91),(1+Slot3_Rate)^(Slot3_Age-D91)*(1-((1+AS_Wage)/(1+Slot3_Rate))^(Slot3_Age-D91))/(1-(1+AS_Wage)/(1+Slot3_Rate))),1)</f>
        <v>1</v>
      </c>
      <c r="IW91" s="20" t="n">
        <f aca="false">IF(AND(HU91=1,IE91&gt;0,Slot3_IsWG=1,AR91=1),MAX(0,(Slot3_Cost-AS91*(1+Slot3_Rate)^(Slot3_Age-D91))/IV91),0)</f>
        <v>0</v>
      </c>
      <c r="IX91" s="20" t="n">
        <f aca="false">IF(AND(HU91=1,IE91&gt;0,Slot3_IsWG=1,AR91=1),MIN(IE91,IW91),0)</f>
        <v>0</v>
      </c>
      <c r="IY91" s="20" t="n">
        <f aca="false">AS91+IX91</f>
        <v>0</v>
      </c>
      <c r="IZ91" s="20" t="n">
        <f aca="false">IF(AR91=1,MAX(0,(Slot3_Cost-IY91*(1+Slot3_Rate)^(Slot3_Age-D91))/IV91),0)</f>
        <v>0</v>
      </c>
      <c r="JA91" s="20" t="n">
        <f aca="false">IF(AR91=1,MAX(0,(Slot3_Cost-AS91*(1+Slot3_Rate)^(Slot3_Age-D91))/IV91),0)</f>
        <v>0</v>
      </c>
      <c r="JB91" s="20" t="n">
        <f aca="false">IF(AND(HU91=1,AR91=1),MIN(IU91,IZ91),0)</f>
        <v>0</v>
      </c>
      <c r="JC91" s="20" t="n">
        <f aca="false">IU91-JB91</f>
        <v>0</v>
      </c>
      <c r="JD91" s="20" t="n">
        <f aca="false">IF(BB91=1,IF(ABS((1+AS_Wage)/(1+Slot4_Rate)-1)&lt;0.000000000001,(Slot4_Age-D91)*(1+Slot4_Rate)^(Slot4_Age-D91),(1+Slot4_Rate)^(Slot4_Age-D91)*(1-((1+AS_Wage)/(1+Slot4_Rate))^(Slot4_Age-D91))/(1-(1+AS_Wage)/(1+Slot4_Rate))),1)</f>
        <v>1</v>
      </c>
      <c r="JE91" s="20" t="n">
        <f aca="false">IF(AND(HU91=1,IE91&gt;0,Slot4_IsWG=1,BB91=1),MAX(0,(Slot4_Cost-BC91*(1+Slot4_Rate)^(Slot4_Age-D91))/JD91),0)</f>
        <v>0</v>
      </c>
      <c r="JF91" s="20" t="n">
        <f aca="false">IF(AND(HU91=1,IE91&gt;0,Slot4_IsWG=1,BB91=1),MIN(IE91,JE91),0)</f>
        <v>0</v>
      </c>
      <c r="JG91" s="20" t="n">
        <f aca="false">BC91+JF91</f>
        <v>0</v>
      </c>
      <c r="JH91" s="20" t="n">
        <f aca="false">IF(BB91=1,MAX(0,(Slot4_Cost-JG91*(1+Slot4_Rate)^(Slot4_Age-D91))/JD91),0)</f>
        <v>0</v>
      </c>
      <c r="JI91" s="20" t="n">
        <f aca="false">IF(BB91=1,MAX(0,(Slot4_Cost-BC91*(1+Slot4_Rate)^(Slot4_Age-D91))/JD91),0)</f>
        <v>0</v>
      </c>
      <c r="JJ91" s="20" t="n">
        <f aca="false">IF(AND(HU91=1,BB91=1),MIN(JC91,JH91),0)</f>
        <v>0</v>
      </c>
      <c r="JK91" s="20" t="n">
        <f aca="false">JC91-JJ91</f>
        <v>0</v>
      </c>
      <c r="JL91" s="20" t="n">
        <f aca="false">IF(BL91=1,IF(ABS((1+AS_Wage)/(1+Slot5_Rate)-1)&lt;0.000000000001,(Slot5_Age-D91)*(1+Slot5_Rate)^(Slot5_Age-D91),(1+Slot5_Rate)^(Slot5_Age-D91)*(1-((1+AS_Wage)/(1+Slot5_Rate))^(Slot5_Age-D91))/(1-(1+AS_Wage)/(1+Slot5_Rate))),1)</f>
        <v>1</v>
      </c>
      <c r="JM91" s="20" t="n">
        <f aca="false">IF(AND(HU91=1,IE91&gt;0,Slot5_IsWG=1,BL91=1),MAX(0,(Slot5_Cost-BM91*(1+Slot5_Rate)^(Slot5_Age-D91))/JL91),0)</f>
        <v>0</v>
      </c>
      <c r="JN91" s="20" t="n">
        <f aca="false">IF(AND(HU91=1,IE91&gt;0,Slot5_IsWG=1,BL91=1),MIN(IE91,JM91),0)</f>
        <v>0</v>
      </c>
      <c r="JO91" s="20" t="n">
        <f aca="false">BM91+JN91</f>
        <v>0</v>
      </c>
      <c r="JP91" s="20" t="n">
        <f aca="false">IF(BL91=1,MAX(0,(Slot5_Cost-JO91*(1+Slot5_Rate)^(Slot5_Age-D91))/JL91),0)</f>
        <v>0</v>
      </c>
      <c r="JQ91" s="20" t="n">
        <f aca="false">IF(BL91=1,MAX(0,(Slot5_Cost-BM91*(1+Slot5_Rate)^(Slot5_Age-D91))/JL91),0)</f>
        <v>0</v>
      </c>
      <c r="JR91" s="20" t="n">
        <f aca="false">IF(AND(HU91=1,BL91=1),MIN(JK91,JP91),0)</f>
        <v>0</v>
      </c>
      <c r="JS91" s="20" t="n">
        <f aca="false">JK91-JR91</f>
        <v>0</v>
      </c>
      <c r="JT91" s="20" t="n">
        <f aca="false">IF(BV91=1,IF(ABS((1+AS_Wage)/(1+Slot6_Rate)-1)&lt;0.000000000001,(Slot6_Age-D91)*(1+Slot6_Rate)^(Slot6_Age-D91),(1+Slot6_Rate)^(Slot6_Age-D91)*(1-((1+AS_Wage)/(1+Slot6_Rate))^(Slot6_Age-D91))/(1-(1+AS_Wage)/(1+Slot6_Rate))),1)</f>
        <v>1</v>
      </c>
      <c r="JU91" s="20" t="n">
        <f aca="false">IF(AND(HU91=1,IE91&gt;0,Slot6_IsWG=1,BV91=1),MAX(0,(Slot6_Cost-BW91*(1+Slot6_Rate)^(Slot6_Age-D91))/JT91),0)</f>
        <v>0</v>
      </c>
      <c r="JV91" s="20" t="n">
        <f aca="false">IF(AND(HU91=1,IE91&gt;0,Slot6_IsWG=1,BV91=1),MIN(IE91,JU91),0)</f>
        <v>0</v>
      </c>
      <c r="JW91" s="20" t="n">
        <f aca="false">BW91+JV91</f>
        <v>0</v>
      </c>
      <c r="JX91" s="20" t="n">
        <f aca="false">IF(BV91=1,MAX(0,(Slot6_Cost-JW91*(1+Slot6_Rate)^(Slot6_Age-D91))/JT91),0)</f>
        <v>0</v>
      </c>
      <c r="JY91" s="20" t="n">
        <f aca="false">IF(BV91=1,MAX(0,(Slot6_Cost-BW91*(1+Slot6_Rate)^(Slot6_Age-D91))/JT91),0)</f>
        <v>0</v>
      </c>
      <c r="JZ91" s="20" t="n">
        <f aca="false">IF(AND(HU91=1,BV91=1),MIN(JS91,JX91),0)</f>
        <v>0</v>
      </c>
      <c r="KA91" s="20" t="n">
        <f aca="false">JS91-JZ91</f>
        <v>0</v>
      </c>
      <c r="KB91" s="20" t="n">
        <f aca="false">IF(CF91=1,IF(ABS((1+AS_Wage)/(1+Slot7_Rate)-1)&lt;0.000000000001,(Slot7_Age-D91)*(1+Slot7_Rate)^(Slot7_Age-D91),(1+Slot7_Rate)^(Slot7_Age-D91)*(1-((1+AS_Wage)/(1+Slot7_Rate))^(Slot7_Age-D91))/(1-(1+AS_Wage)/(1+Slot7_Rate))),1)</f>
        <v>1</v>
      </c>
      <c r="KC91" s="20" t="n">
        <f aca="false">IF(AND(HU91=1,IE91&gt;0,Slot7_IsWG=1,CF91=1),MAX(0,(Slot7_Cost-CG91*(1+Slot7_Rate)^(Slot7_Age-D91))/KB91),0)</f>
        <v>0</v>
      </c>
      <c r="KD91" s="20" t="n">
        <f aca="false">IF(AND(HU91=1,IE91&gt;0,Slot7_IsWG=1,CF91=1),MIN(IE91,KC91),0)</f>
        <v>0</v>
      </c>
      <c r="KE91" s="20" t="n">
        <f aca="false">CG91+KD91</f>
        <v>0</v>
      </c>
      <c r="KF91" s="20" t="n">
        <f aca="false">IF(CF91=1,MAX(0,(Slot7_Cost-KE91*(1+Slot7_Rate)^(Slot7_Age-D91))/KB91),0)</f>
        <v>0</v>
      </c>
      <c r="KG91" s="20" t="n">
        <f aca="false">IF(CF91=1,MAX(0,(Slot7_Cost-CG91*(1+Slot7_Rate)^(Slot7_Age-D91))/KB91),0)</f>
        <v>0</v>
      </c>
      <c r="KH91" s="20" t="n">
        <f aca="false">IF(AND(HU91=1,CF91=1),MIN(KA91,KF91),0)</f>
        <v>0</v>
      </c>
      <c r="KI91" s="20" t="n">
        <f aca="false">KA91-KH91</f>
        <v>0</v>
      </c>
      <c r="KJ91" s="20" t="n">
        <f aca="false">IF(CP91=1,IF(ABS((1+AS_Wage)/(1+Slot8_Rate)-1)&lt;0.000000000001,(Slot8_Age-D91)*(1+Slot8_Rate)^(Slot8_Age-D91),(1+Slot8_Rate)^(Slot8_Age-D91)*(1-((1+AS_Wage)/(1+Slot8_Rate))^(Slot8_Age-D91))/(1-(1+AS_Wage)/(1+Slot8_Rate))),1)</f>
        <v>1</v>
      </c>
      <c r="KK91" s="20" t="n">
        <f aca="false">IF(AND(HU91=1,IE91&gt;0,Slot8_IsWG=1,CP91=1),MAX(0,(Slot8_Cost-CQ91*(1+Slot8_Rate)^(Slot8_Age-D91))/KJ91),0)</f>
        <v>0</v>
      </c>
      <c r="KL91" s="20" t="n">
        <f aca="false">IF(AND(HU91=1,IE91&gt;0,Slot8_IsWG=1,CP91=1),MIN(IE91,KK91),0)</f>
        <v>0</v>
      </c>
      <c r="KM91" s="20" t="n">
        <f aca="false">CQ91+KL91</f>
        <v>0</v>
      </c>
      <c r="KN91" s="20" t="n">
        <f aca="false">IF(CP91=1,MAX(0,(Slot8_Cost-KM91*(1+Slot8_Rate)^(Slot8_Age-D91))/KJ91),0)</f>
        <v>0</v>
      </c>
      <c r="KO91" s="20" t="n">
        <f aca="false">IF(CP91=1,MAX(0,(Slot8_Cost-CQ91*(1+Slot8_Rate)^(Slot8_Age-D91))/KJ91),0)</f>
        <v>0</v>
      </c>
      <c r="KP91" s="20" t="n">
        <f aca="false">IF(AND(HU91=1,CP91=1),MIN(KI91,KN91),0)</f>
        <v>0</v>
      </c>
      <c r="KQ91" s="20" t="n">
        <f aca="false">KI91-KP91</f>
        <v>0</v>
      </c>
      <c r="KR91" s="20" t="n">
        <f aca="false">IF(CZ91=1,IF(ABS((1+AS_Wage)/(1+Slot9_Rate)-1)&lt;0.000000000001,(Slot9_Age-D91)*(1+Slot9_Rate)^(Slot9_Age-D91),(1+Slot9_Rate)^(Slot9_Age-D91)*(1-((1+AS_Wage)/(1+Slot9_Rate))^(Slot9_Age-D91))/(1-(1+AS_Wage)/(1+Slot9_Rate))),1)</f>
        <v>1</v>
      </c>
      <c r="KS91" s="20" t="n">
        <f aca="false">IF(AND(HU91=1,IE91&gt;0,Slot9_IsWG=1,CZ91=1),MAX(0,(Slot9_Cost-DA91*(1+Slot9_Rate)^(Slot9_Age-D91))/KR91),0)</f>
        <v>0</v>
      </c>
      <c r="KT91" s="20" t="n">
        <f aca="false">IF(AND(HU91=1,IE91&gt;0,Slot9_IsWG=1,CZ91=1),MIN(IE91,KS91),0)</f>
        <v>0</v>
      </c>
      <c r="KU91" s="20" t="n">
        <f aca="false">DA91+KT91</f>
        <v>0</v>
      </c>
      <c r="KV91" s="20" t="n">
        <f aca="false">IF(CZ91=1,MAX(0,(Slot9_Cost-KU91*(1+Slot9_Rate)^(Slot9_Age-D91))/KR91),0)</f>
        <v>0</v>
      </c>
      <c r="KW91" s="20" t="n">
        <f aca="false">IF(CZ91=1,MAX(0,(Slot9_Cost-DA91*(1+Slot9_Rate)^(Slot9_Age-D91))/KR91),0)</f>
        <v>0</v>
      </c>
      <c r="KX91" s="20" t="n">
        <f aca="false">IF(AND(HU91=1,CZ91=1),MIN(KQ91,KV91),0)</f>
        <v>0</v>
      </c>
      <c r="KY91" s="20" t="n">
        <f aca="false">KQ91-KX91</f>
        <v>0</v>
      </c>
      <c r="KZ91" s="20" t="n">
        <f aca="false">IF(DJ91=1,IF(ABS((1+AS_Wage)/(1+Slot10_Rate)-1)&lt;0.000000000001,(Slot10_Age-D91)*(1+Slot10_Rate)^(Slot10_Age-D91),(1+Slot10_Rate)^(Slot10_Age-D91)*(1-((1+AS_Wage)/(1+Slot10_Rate))^(Slot10_Age-D91))/(1-(1+AS_Wage)/(1+Slot10_Rate))),1)</f>
        <v>1</v>
      </c>
      <c r="LA91" s="20" t="n">
        <f aca="false">IF(AND(HU91=1,IE91&gt;0,Slot10_IsWG=1,DJ91=1),MAX(0,(Slot10_Cost-DK91*(1+Slot10_Rate)^(Slot10_Age-D91))/KZ91),0)</f>
        <v>0</v>
      </c>
      <c r="LB91" s="20" t="n">
        <f aca="false">IF(AND(HU91=1,IE91&gt;0,Slot10_IsWG=1,DJ91=1),MIN(IE91,LA91),0)</f>
        <v>0</v>
      </c>
      <c r="LC91" s="20" t="n">
        <f aca="false">DK91+LB91</f>
        <v>0</v>
      </c>
      <c r="LD91" s="20" t="n">
        <f aca="false">IF(DJ91=1,MAX(0,(Slot10_Cost-LC91*(1+Slot10_Rate)^(Slot10_Age-D91))/KZ91),0)</f>
        <v>0</v>
      </c>
      <c r="LE91" s="20" t="n">
        <f aca="false">IF(DJ91=1,MAX(0,(Slot10_Cost-DK91*(1+Slot10_Rate)^(Slot10_Age-D91))/KZ91),0)</f>
        <v>0</v>
      </c>
      <c r="LF91" s="20" t="n">
        <f aca="false">IF(AND(HU91=1,DJ91=1),MIN(KY91,LD91),0)</f>
        <v>0</v>
      </c>
      <c r="LG91" s="20" t="n">
        <f aca="false">KY91-LF91</f>
        <v>0</v>
      </c>
      <c r="LH91" s="20" t="n">
        <f aca="false">IF(DT91=1,IF(ABS((1+AS_Wage)/(1+Slot11_Rate)-1)&lt;0.000000000001,(Slot11_Age-D91)*(1+Slot11_Rate)^(Slot11_Age-D91),(1+Slot11_Rate)^(Slot11_Age-D91)*(1-((1+AS_Wage)/(1+Slot11_Rate))^(Slot11_Age-D91))/(1-(1+AS_Wage)/(1+Slot11_Rate))),1)</f>
        <v>1</v>
      </c>
      <c r="LI91" s="20" t="n">
        <f aca="false">IF(AND(HU91=1,IE91&gt;0,Slot11_IsWG=1,DT91=1),MAX(0,(Slot11_Cost-DU91*(1+Slot11_Rate)^(Slot11_Age-D91))/LH91),0)</f>
        <v>0</v>
      </c>
      <c r="LJ91" s="20" t="n">
        <f aca="false">IF(AND(HU91=1,IE91&gt;0,Slot11_IsWG=1,DT91=1),MIN(IE91,LI91),0)</f>
        <v>0</v>
      </c>
      <c r="LK91" s="20" t="n">
        <f aca="false">DU91+LJ91</f>
        <v>0</v>
      </c>
      <c r="LL91" s="20" t="n">
        <f aca="false">IF(DT91=1,MAX(0,(Slot11_Cost-LK91*(1+Slot11_Rate)^(Slot11_Age-D91))/LH91),0)</f>
        <v>0</v>
      </c>
      <c r="LM91" s="20" t="n">
        <f aca="false">IF(DT91=1,MAX(0,(Slot11_Cost-DU91*(1+Slot11_Rate)^(Slot11_Age-D91))/LH91),0)</f>
        <v>0</v>
      </c>
      <c r="LN91" s="20" t="n">
        <f aca="false">IF(AND(HU91=1,DT91=1),MIN(LG91,LL91),0)</f>
        <v>0</v>
      </c>
      <c r="LO91" s="20" t="n">
        <f aca="false">LG91-LN91</f>
        <v>0</v>
      </c>
      <c r="LP91" s="20" t="n">
        <f aca="false">IF(ED91=1,IF(ABS((1+AS_Wage)/(1+Slot12_Rate)-1)&lt;0.000000000001,(Slot12_Age-D91)*(1+Slot12_Rate)^(Slot12_Age-D91),(1+Slot12_Rate)^(Slot12_Age-D91)*(1-((1+AS_Wage)/(1+Slot12_Rate))^(Slot12_Age-D91))/(1-(1+AS_Wage)/(1+Slot12_Rate))),1)</f>
        <v>1</v>
      </c>
      <c r="LQ91" s="20" t="n">
        <f aca="false">IF(AND(HU91=1,IE91&gt;0,Slot12_IsWG=1,ED91=1),MAX(0,(Slot12_Cost-EE91*(1+Slot12_Rate)^(Slot12_Age-D91))/LP91),0)</f>
        <v>0</v>
      </c>
      <c r="LR91" s="20" t="n">
        <f aca="false">IF(AND(HU91=1,IE91&gt;0,Slot12_IsWG=1,ED91=1),MIN(IE91,LQ91),0)</f>
        <v>0</v>
      </c>
      <c r="LS91" s="20" t="n">
        <f aca="false">EE91+LR91</f>
        <v>0</v>
      </c>
      <c r="LT91" s="20" t="n">
        <f aca="false">IF(ED91=1,MAX(0,(Slot12_Cost-LS91*(1+Slot12_Rate)^(Slot12_Age-D91))/LP91),0)</f>
        <v>0</v>
      </c>
      <c r="LU91" s="20" t="n">
        <f aca="false">IF(ED91=1,MAX(0,(Slot12_Cost-EE91*(1+Slot12_Rate)^(Slot12_Age-D91))/LP91),0)</f>
        <v>0</v>
      </c>
      <c r="LV91" s="20" t="n">
        <f aca="false">IF(AND(HU91=1,ED91=1),MIN(LO91,LT91),0)</f>
        <v>0</v>
      </c>
      <c r="LW91" s="20" t="n">
        <f aca="false">LO91-LV91</f>
        <v>0</v>
      </c>
      <c r="LX91" s="20" t="n">
        <f aca="false">IF(EN91=1,IF(ABS((1+AS_Wage)/(1+Slot13_Rate)-1)&lt;0.000000000001,(Slot13_Age-D91)*(1+Slot13_Rate)^(Slot13_Age-D91),(1+Slot13_Rate)^(Slot13_Age-D91)*(1-((1+AS_Wage)/(1+Slot13_Rate))^(Slot13_Age-D91))/(1-(1+AS_Wage)/(1+Slot13_Rate))),1)</f>
        <v>1</v>
      </c>
      <c r="LY91" s="20" t="n">
        <f aca="false">IF(AND(HU91=1,IE91&gt;0,Slot13_IsWG=1,EN91=1),MAX(0,(Slot13_Cost-EO91*(1+Slot13_Rate)^(Slot13_Age-D91))/LX91),0)</f>
        <v>0</v>
      </c>
      <c r="LZ91" s="20" t="n">
        <f aca="false">IF(AND(HU91=1,IE91&gt;0,Slot13_IsWG=1,EN91=1),MIN(IE91,LY91),0)</f>
        <v>0</v>
      </c>
      <c r="MA91" s="20" t="n">
        <f aca="false">EO91+LZ91</f>
        <v>0</v>
      </c>
      <c r="MB91" s="20" t="n">
        <f aca="false">IF(EN91=1,MAX(0,(Slot13_Cost-MA91*(1+Slot13_Rate)^(Slot13_Age-D91))/LX91),0)</f>
        <v>0</v>
      </c>
      <c r="MC91" s="20" t="n">
        <f aca="false">IF(EN91=1,MAX(0,(Slot13_Cost-EO91*(1+Slot13_Rate)^(Slot13_Age-D91))/LX91),0)</f>
        <v>0</v>
      </c>
      <c r="MD91" s="20" t="n">
        <f aca="false">IF(AND(HU91=1,EN91=1),MIN(LW91,MB91),0)</f>
        <v>0</v>
      </c>
      <c r="ME91" s="20" t="n">
        <f aca="false">LW91-MD91</f>
        <v>0</v>
      </c>
      <c r="MF91" s="20" t="n">
        <f aca="false">IF(EX91=1,IF(ABS((1+AS_Wage)/(1+Slot14_Rate)-1)&lt;0.000000000001,(Slot14_Age-D91)*(1+Slot14_Rate)^(Slot14_Age-D91),(1+Slot14_Rate)^(Slot14_Age-D91)*(1-((1+AS_Wage)/(1+Slot14_Rate))^(Slot14_Age-D91))/(1-(1+AS_Wage)/(1+Slot14_Rate))),1)</f>
        <v>1</v>
      </c>
      <c r="MG91" s="20" t="n">
        <f aca="false">IF(AND(HU91=1,IE91&gt;0,Slot14_IsWG=1,EX91=1),MAX(0,(Slot14_Cost-EY91*(1+Slot14_Rate)^(Slot14_Age-D91))/MF91),0)</f>
        <v>0</v>
      </c>
      <c r="MH91" s="20" t="n">
        <f aca="false">IF(AND(HU91=1,IE91&gt;0,Slot14_IsWG=1,EX91=1),MIN(IE91,MG91),0)</f>
        <v>0</v>
      </c>
      <c r="MI91" s="20" t="n">
        <f aca="false">EY91+MH91</f>
        <v>0</v>
      </c>
      <c r="MJ91" s="20" t="n">
        <f aca="false">IF(EX91=1,MAX(0,(Slot14_Cost-MI91*(1+Slot14_Rate)^(Slot14_Age-D91))/MF91),0)</f>
        <v>0</v>
      </c>
      <c r="MK91" s="20" t="n">
        <f aca="false">IF(EX91=1,MAX(0,(Slot14_Cost-EY91*(1+Slot14_Rate)^(Slot14_Age-D91))/MF91),0)</f>
        <v>0</v>
      </c>
      <c r="ML91" s="20" t="n">
        <f aca="false">IF(AND(HU91=1,EX91=1),MIN(ME91,MJ91),0)</f>
        <v>0</v>
      </c>
      <c r="MM91" s="20" t="n">
        <f aca="false">ME91-ML91</f>
        <v>0</v>
      </c>
      <c r="MN91" s="20" t="n">
        <f aca="false">IF(FH91=1,IF(ABS((1+AS_Wage)/(1+Slot15_Rate)-1)&lt;0.000000000001,(Slot15_Age-D91)*(1+Slot15_Rate)^(Slot15_Age-D91),(1+Slot15_Rate)^(Slot15_Age-D91)*(1-((1+AS_Wage)/(1+Slot15_Rate))^(Slot15_Age-D91))/(1-(1+AS_Wage)/(1+Slot15_Rate))),1)</f>
        <v>1</v>
      </c>
      <c r="MO91" s="20" t="n">
        <f aca="false">IF(AND(HU91=1,IE91&gt;0,Slot15_IsWG=1,FH91=1),MAX(0,(Slot15_Cost-FI91*(1+Slot15_Rate)^(Slot15_Age-D91))/MN91),0)</f>
        <v>0</v>
      </c>
      <c r="MP91" s="20" t="n">
        <f aca="false">IF(AND(HU91=1,IE91&gt;0,Slot15_IsWG=1,FH91=1),MIN(IE91,MO91),0)</f>
        <v>0</v>
      </c>
      <c r="MQ91" s="20" t="n">
        <f aca="false">FI91+MP91</f>
        <v>0</v>
      </c>
      <c r="MR91" s="20" t="n">
        <f aca="false">IF(FH91=1,MAX(0,(Slot15_Cost-MQ91*(1+Slot15_Rate)^(Slot15_Age-D91))/MN91),0)</f>
        <v>0</v>
      </c>
      <c r="MS91" s="20" t="n">
        <f aca="false">IF(FH91=1,MAX(0,(Slot15_Cost-FI91*(1+Slot15_Rate)^(Slot15_Age-D91))/MN91),0)</f>
        <v>0</v>
      </c>
      <c r="MT91" s="20" t="n">
        <f aca="false">IF(AND(HU91=1,FH91=1),MIN(MM91,MR91),0)</f>
        <v>0</v>
      </c>
      <c r="MU91" s="20" t="n">
        <f aca="false">MM91-MT91</f>
        <v>0</v>
      </c>
      <c r="MV91" s="20" t="n">
        <f aca="false">IF(FR91=1,IF(ABS((1+AS_Wage)/(1+Slot16_Rate)-1)&lt;0.000000000001,(Slot16_Age-D91)*(1+Slot16_Rate)^(Slot16_Age-D91),(1+Slot16_Rate)^(Slot16_Age-D91)*(1-((1+AS_Wage)/(1+Slot16_Rate))^(Slot16_Age-D91))/(1-(1+AS_Wage)/(1+Slot16_Rate))),1)</f>
        <v>1</v>
      </c>
      <c r="MW91" s="20" t="n">
        <f aca="false">IF(AND(HU91=1,IE91&gt;0,Slot16_IsWG=1,FR91=1),MAX(0,(Slot16_Cost-FS91*(1+Slot16_Rate)^(Slot16_Age-D91))/MV91),0)</f>
        <v>0</v>
      </c>
      <c r="MX91" s="20" t="n">
        <f aca="false">IF(AND(HU91=1,IE91&gt;0,Slot16_IsWG=1,FR91=1),MIN(IE91,MW91),0)</f>
        <v>0</v>
      </c>
      <c r="MY91" s="20" t="n">
        <f aca="false">FS91+MX91</f>
        <v>0</v>
      </c>
      <c r="MZ91" s="20" t="n">
        <f aca="false">IF(FR91=1,MAX(0,(Slot16_Cost-MY91*(1+Slot16_Rate)^(Slot16_Age-D91))/MV91),0)</f>
        <v>0</v>
      </c>
      <c r="NA91" s="20" t="n">
        <f aca="false">IF(FR91=1,MAX(0,(Slot16_Cost-FS91*(1+Slot16_Rate)^(Slot16_Age-D91))/MV91),0)</f>
        <v>0</v>
      </c>
      <c r="NB91" s="20" t="n">
        <f aca="false">IF(AND(HU91=1,FR91=1),MIN(MU91,MZ91),0)</f>
        <v>0</v>
      </c>
      <c r="NC91" s="20" t="n">
        <f aca="false">MU91-NB91</f>
        <v>0</v>
      </c>
      <c r="ND91" s="20" t="n">
        <f aca="false">IF(GB91=1,IF(ABS((1+AS_Wage)/(1+Slot17_Rate)-1)&lt;0.000000000001,(Slot17_Age-D91)*(1+Slot17_Rate)^(Slot17_Age-D91),(1+Slot17_Rate)^(Slot17_Age-D91)*(1-((1+AS_Wage)/(1+Slot17_Rate))^(Slot17_Age-D91))/(1-(1+AS_Wage)/(1+Slot17_Rate))),1)</f>
        <v>1</v>
      </c>
      <c r="NE91" s="20" t="n">
        <f aca="false">IF(AND(HU91=1,IE91&gt;0,Slot17_IsWG=1,GB91=1),MAX(0,(Slot17_Cost-GC91*(1+Slot17_Rate)^(Slot17_Age-D91))/ND91),0)</f>
        <v>0</v>
      </c>
      <c r="NF91" s="20" t="n">
        <f aca="false">IF(AND(HU91=1,IE91&gt;0,Slot17_IsWG=1,GB91=1),MIN(IE91,NE91),0)</f>
        <v>0</v>
      </c>
      <c r="NG91" s="20" t="n">
        <f aca="false">GC91+NF91</f>
        <v>0</v>
      </c>
      <c r="NH91" s="20" t="n">
        <f aca="false">IF(GB91=1,MAX(0,(Slot17_Cost-NG91*(1+Slot17_Rate)^(Slot17_Age-D91))/ND91),0)</f>
        <v>0</v>
      </c>
      <c r="NI91" s="20" t="n">
        <f aca="false">IF(GB91=1,MAX(0,(Slot17_Cost-GC91*(1+Slot17_Rate)^(Slot17_Age-D91))/ND91),0)</f>
        <v>0</v>
      </c>
      <c r="NJ91" s="20" t="n">
        <f aca="false">IF(AND(HU91=1,GB91=1),MIN(NC91,NH91),0)</f>
        <v>0</v>
      </c>
      <c r="NK91" s="20" t="n">
        <f aca="false">NC91-NJ91</f>
        <v>0</v>
      </c>
      <c r="NL91" s="20" t="n">
        <f aca="false">IF(GL91=1,IF(ABS((1+AS_Wage)/(1+Slot18_Rate)-1)&lt;0.000000000001,(Slot18_Age-D91)*(1+Slot18_Rate)^(Slot18_Age-D91),(1+Slot18_Rate)^(Slot18_Age-D91)*(1-((1+AS_Wage)/(1+Slot18_Rate))^(Slot18_Age-D91))/(1-(1+AS_Wage)/(1+Slot18_Rate))),1)</f>
        <v>1</v>
      </c>
      <c r="NM91" s="20" t="n">
        <f aca="false">IF(AND(HU91=1,IE91&gt;0,Slot18_IsWG=1,GL91=1),MAX(0,(Slot18_Cost-GM91*(1+Slot18_Rate)^(Slot18_Age-D91))/NL91),0)</f>
        <v>0</v>
      </c>
      <c r="NN91" s="20" t="n">
        <f aca="false">IF(AND(HU91=1,IE91&gt;0,Slot18_IsWG=1,GL91=1),MIN(IE91,NM91),0)</f>
        <v>0</v>
      </c>
      <c r="NO91" s="20" t="n">
        <f aca="false">GM91+NN91</f>
        <v>0</v>
      </c>
      <c r="NP91" s="20" t="n">
        <f aca="false">IF(GL91=1,MAX(0,(Slot18_Cost-NO91*(1+Slot18_Rate)^(Slot18_Age-D91))/NL91),0)</f>
        <v>0</v>
      </c>
      <c r="NQ91" s="20" t="n">
        <f aca="false">IF(GL91=1,MAX(0,(Slot18_Cost-GM91*(1+Slot18_Rate)^(Slot18_Age-D91))/NL91),0)</f>
        <v>0</v>
      </c>
      <c r="NR91" s="20" t="n">
        <f aca="false">IF(AND(HU91=1,GL91=1),MIN(NK91,NP91),0)</f>
        <v>0</v>
      </c>
      <c r="NS91" s="20" t="n">
        <f aca="false">NK91-NR91</f>
        <v>0</v>
      </c>
      <c r="NT91" s="20" t="n">
        <f aca="false">IF(GV91=1,IF(ABS((1+AS_Wage)/(1+Slot19_Rate)-1)&lt;0.000000000001,(Slot19_Age-D91)*(1+Slot19_Rate)^(Slot19_Age-D91),(1+Slot19_Rate)^(Slot19_Age-D91)*(1-((1+AS_Wage)/(1+Slot19_Rate))^(Slot19_Age-D91))/(1-(1+AS_Wage)/(1+Slot19_Rate))),1)</f>
        <v>1</v>
      </c>
      <c r="NU91" s="20" t="n">
        <f aca="false">IF(AND(HU91=1,IE91&gt;0,Slot19_IsWG=1,GV91=1),MAX(0,(Slot19_Cost-GW91*(1+Slot19_Rate)^(Slot19_Age-D91))/NT91),0)</f>
        <v>0</v>
      </c>
      <c r="NV91" s="20" t="n">
        <f aca="false">IF(AND(HU91=1,IE91&gt;0,Slot19_IsWG=1,GV91=1),MIN(IE91,NU91),0)</f>
        <v>0</v>
      </c>
      <c r="NW91" s="20" t="n">
        <f aca="false">GW91+NV91</f>
        <v>0</v>
      </c>
      <c r="NX91" s="20" t="n">
        <f aca="false">IF(GV91=1,MAX(0,(Slot19_Cost-NW91*(1+Slot19_Rate)^(Slot19_Age-D91))/NT91),0)</f>
        <v>0</v>
      </c>
      <c r="NY91" s="20" t="n">
        <f aca="false">IF(GV91=1,MAX(0,(Slot19_Cost-GW91*(1+Slot19_Rate)^(Slot19_Age-D91))/NT91),0)</f>
        <v>0</v>
      </c>
      <c r="NZ91" s="20" t="n">
        <f aca="false">IF(AND(HU91=1,GV91=1),MIN(NS91,NX91),0)</f>
        <v>0</v>
      </c>
      <c r="OA91" s="20" t="n">
        <f aca="false">NS91-NZ91</f>
        <v>0</v>
      </c>
      <c r="OB91" s="20" t="n">
        <f aca="false">IF(HF91=1,IF(ABS((1+AS_Wage)/(1+Slot20_Rate)-1)&lt;0.000000000001,(Slot20_Age-D91)*(1+Slot20_Rate)^(Slot20_Age-D91),(1+Slot20_Rate)^(Slot20_Age-D91)*(1-((1+AS_Wage)/(1+Slot20_Rate))^(Slot20_Age-D91))/(1-(1+AS_Wage)/(1+Slot20_Rate))),1)</f>
        <v>1</v>
      </c>
      <c r="OC91" s="20" t="n">
        <f aca="false">IF(AND(HU91=1,IE91&gt;0,Slot20_IsWG=1,HF91=1),MAX(0,(Slot20_Cost-HG91*(1+Slot20_Rate)^(Slot20_Age-D91))/OB91),0)</f>
        <v>0</v>
      </c>
      <c r="OD91" s="20" t="n">
        <f aca="false">IF(AND(HU91=1,IE91&gt;0,Slot20_IsWG=1,HF91=1),MIN(IE91,OC91),0)</f>
        <v>0</v>
      </c>
      <c r="OE91" s="20" t="n">
        <f aca="false">HG91+OD91</f>
        <v>0</v>
      </c>
      <c r="OF91" s="20" t="n">
        <f aca="false">IF(HF91=1,MAX(0,(Slot20_Cost-OE91*(1+Slot20_Rate)^(Slot20_Age-D91))/OB91),0)</f>
        <v>0</v>
      </c>
      <c r="OG91" s="20" t="n">
        <f aca="false">IF(HF91=1,MAX(0,(Slot20_Cost-HG91*(1+Slot20_Rate)^(Slot20_Age-D91))/OB91),0)</f>
        <v>0</v>
      </c>
      <c r="OH91" s="20" t="n">
        <f aca="false">IF(AND(HU91=1,HF91=1),MIN(OA91,OF91),0)</f>
        <v>0</v>
      </c>
      <c r="OI91" s="20" t="n">
        <f aca="false">OA91-OH91</f>
        <v>0</v>
      </c>
      <c r="OJ91" s="20" t="n">
        <f aca="false">IE91-(IH91+IP91+IX91+JF91+JN91+JV91+KD91+KL91+KT91+LB91+LJ91+LR91+LZ91+MH91+MP91+MX91+NF91+NN91+NV91+OD91)</f>
        <v>0</v>
      </c>
      <c r="OK91" s="20" t="n">
        <f aca="false">IF(HU91=1,HS91-ID91-IE91,0)</f>
        <v>0</v>
      </c>
      <c r="OL91" s="20" t="n">
        <f aca="false">IF(HU91=0,-HS91,0)</f>
        <v>99677.007672441</v>
      </c>
      <c r="OM91" s="20" t="n">
        <f aca="false">MIN(OL91,HK91)</f>
        <v>0</v>
      </c>
      <c r="ON91" s="20" t="n">
        <f aca="false">OL91-OM91</f>
        <v>99677.007672441</v>
      </c>
      <c r="OO91" s="20" t="n">
        <f aca="false">MIN(ON91,HL91)</f>
        <v>0</v>
      </c>
      <c r="OP91" s="20" t="n">
        <f aca="false">ON91-OO91</f>
        <v>99677.007672441</v>
      </c>
      <c r="OQ91" s="20" t="n">
        <f aca="false">IF(AND(HU91=0,HF91=1,OP91&gt;0),MIN(OP91,HG91),0)</f>
        <v>0</v>
      </c>
      <c r="OR91" s="20" t="n">
        <f aca="false">OP91-OQ91</f>
        <v>99677.007672441</v>
      </c>
      <c r="OS91" s="20" t="n">
        <f aca="false">IF(AND(HU91=0,GV91=1,OR91&gt;0),MIN(OR91,GW91),0)</f>
        <v>0</v>
      </c>
      <c r="OT91" s="20" t="n">
        <f aca="false">OR91-OS91</f>
        <v>99677.007672441</v>
      </c>
      <c r="OU91" s="20" t="n">
        <f aca="false">IF(AND(HU91=0,GL91=1,OT91&gt;0),MIN(OT91,GM91),0)</f>
        <v>0</v>
      </c>
      <c r="OV91" s="20" t="n">
        <f aca="false">OT91-OU91</f>
        <v>99677.007672441</v>
      </c>
      <c r="OW91" s="20" t="n">
        <f aca="false">IF(AND(HU91=0,GB91=1,OV91&gt;0),MIN(OV91,GC91),0)</f>
        <v>0</v>
      </c>
      <c r="OX91" s="20" t="n">
        <f aca="false">OV91-OW91</f>
        <v>99677.007672441</v>
      </c>
      <c r="OY91" s="20" t="n">
        <f aca="false">IF(AND(HU91=0,FR91=1,OX91&gt;0),MIN(OX91,FS91),0)</f>
        <v>0</v>
      </c>
      <c r="OZ91" s="20" t="n">
        <f aca="false">OX91-OY91</f>
        <v>99677.007672441</v>
      </c>
      <c r="PA91" s="20" t="n">
        <f aca="false">IF(AND(HU91=0,FH91=1,OZ91&gt;0),MIN(OZ91,FI91),0)</f>
        <v>0</v>
      </c>
      <c r="PB91" s="20" t="n">
        <f aca="false">OZ91-PA91</f>
        <v>99677.007672441</v>
      </c>
      <c r="PC91" s="20" t="n">
        <f aca="false">IF(AND(HU91=0,EX91=1,PB91&gt;0),MIN(PB91,EY91),0)</f>
        <v>0</v>
      </c>
      <c r="PD91" s="20" t="n">
        <f aca="false">PB91-PC91</f>
        <v>99677.007672441</v>
      </c>
      <c r="PE91" s="20" t="n">
        <f aca="false">IF(AND(HU91=0,EN91=1,PD91&gt;0),MIN(PD91,EO91),0)</f>
        <v>0</v>
      </c>
      <c r="PF91" s="20" t="n">
        <f aca="false">PD91-PE91</f>
        <v>99677.007672441</v>
      </c>
      <c r="PG91" s="20" t="n">
        <f aca="false">IF(AND(HU91=0,ED91=1,PF91&gt;0),MIN(PF91,EE91),0)</f>
        <v>0</v>
      </c>
      <c r="PH91" s="20" t="n">
        <f aca="false">PF91-PG91</f>
        <v>99677.007672441</v>
      </c>
      <c r="PI91" s="20" t="n">
        <f aca="false">IF(AND(HU91=0,DT91=1,PH91&gt;0),MIN(PH91,DU91),0)</f>
        <v>0</v>
      </c>
      <c r="PJ91" s="20" t="n">
        <f aca="false">PH91-PI91</f>
        <v>99677.007672441</v>
      </c>
      <c r="PK91" s="20" t="n">
        <f aca="false">IF(AND(HU91=0,DJ91=1,PJ91&gt;0),MIN(PJ91,DK91),0)</f>
        <v>0</v>
      </c>
      <c r="PL91" s="20" t="n">
        <f aca="false">PJ91-PK91</f>
        <v>99677.007672441</v>
      </c>
      <c r="PM91" s="20" t="n">
        <f aca="false">IF(AND(HU91=0,CZ91=1,PL91&gt;0),MIN(PL91,DA91),0)</f>
        <v>0</v>
      </c>
      <c r="PN91" s="20" t="n">
        <f aca="false">PL91-PM91</f>
        <v>99677.007672441</v>
      </c>
      <c r="PO91" s="20" t="n">
        <f aca="false">IF(AND(HU91=0,CP91=1,PN91&gt;0),MIN(PN91,CQ91),0)</f>
        <v>0</v>
      </c>
      <c r="PP91" s="20" t="n">
        <f aca="false">PN91-PO91</f>
        <v>99677.007672441</v>
      </c>
      <c r="PQ91" s="20" t="n">
        <f aca="false">IF(AND(HU91=0,CF91=1,PP91&gt;0),MIN(PP91,CG91),0)</f>
        <v>0</v>
      </c>
      <c r="PR91" s="20" t="n">
        <f aca="false">PP91-PQ91</f>
        <v>99677.007672441</v>
      </c>
      <c r="PS91" s="20" t="n">
        <f aca="false">IF(AND(HU91=0,BV91=1,PR91&gt;0),MIN(PR91,BW91),0)</f>
        <v>0</v>
      </c>
      <c r="PT91" s="20" t="n">
        <f aca="false">PR91-PS91</f>
        <v>99677.007672441</v>
      </c>
      <c r="PU91" s="20" t="n">
        <f aca="false">IF(AND(HU91=0,BL91=1,PT91&gt;0),MIN(PT91,BM91),0)</f>
        <v>0</v>
      </c>
      <c r="PV91" s="20" t="n">
        <f aca="false">PT91-PU91</f>
        <v>99677.007672441</v>
      </c>
      <c r="PW91" s="20" t="n">
        <f aca="false">IF(AND(HU91=0,BB91=1,PV91&gt;0),MIN(PV91,BC91),0)</f>
        <v>0</v>
      </c>
      <c r="PX91" s="20" t="n">
        <f aca="false">PV91-PW91</f>
        <v>99677.007672441</v>
      </c>
      <c r="PY91" s="20" t="n">
        <f aca="false">IF(AND(HU91=0,AR91=1,PX91&gt;0),MIN(PX91,AS91),0)</f>
        <v>0</v>
      </c>
      <c r="PZ91" s="20" t="n">
        <f aca="false">PX91-PY91</f>
        <v>99677.007672441</v>
      </c>
      <c r="QA91" s="20" t="n">
        <f aca="false">IF(AND(HU91=0,AH91=1,PZ91&gt;0),MIN(PZ91,AI91),0)</f>
        <v>0</v>
      </c>
      <c r="QB91" s="20" t="n">
        <f aca="false">PZ91-QA91</f>
        <v>99677.007672441</v>
      </c>
      <c r="QC91" s="20" t="n">
        <f aca="false">IF(AND(HU91=0,W91=1,QB91&gt;0),MIN(QB91,X91),0)</f>
        <v>0</v>
      </c>
      <c r="QD91" s="20" t="n">
        <f aca="false">QB91-QC91</f>
        <v>99677.007672441</v>
      </c>
      <c r="QE91" s="20" t="n">
        <f aca="false">IF(HU91=0,QD91,0)</f>
        <v>99677.007672441</v>
      </c>
      <c r="QF91" s="20" t="n">
        <f aca="false">OM91+OO91+QC91+QA91+PY91+PW91+PU91+PS91+PQ91+PO91+PM91+PK91+PI91+PG91+PE91+PC91+PA91+OY91+OW91+OU91+OS91+OQ91</f>
        <v>0</v>
      </c>
      <c r="QG91" s="20" t="n">
        <f aca="false">IF(HU91=1,HK91+OJ91+OI91+IF(G91=1,0,OK91),HK91-OM91)</f>
        <v>0</v>
      </c>
      <c r="QH91" s="20" t="n">
        <f aca="false">HL91-OO91</f>
        <v>0</v>
      </c>
      <c r="QI91" s="20" t="n">
        <f aca="false">IF(HU91=1,IF(G91=1,ID91+IE91,HS91),0)</f>
        <v>0</v>
      </c>
      <c r="QJ91" s="20" t="n">
        <f aca="false">IF(HU91=1,IF(G91=1,HS91-ID91-IE91,0),0)</f>
        <v>0</v>
      </c>
      <c r="QK91" s="57" t="n">
        <f aca="false">'Plan holdings'!BM91</f>
        <v>0</v>
      </c>
      <c r="QL91" s="20" t="n">
        <f aca="false">QH91*(1+AS_Cash)</f>
        <v>0</v>
      </c>
      <c r="QM91" s="20" t="n">
        <f aca="false">IF(W91=1,IF(HU91=1,II91+IL91,X91-QC91)*(1+Slot1_Rate),0)</f>
        <v>0</v>
      </c>
      <c r="QN91" s="20" t="n">
        <f aca="false">IF(AND(HU91=1,W91=1),(IH91+IL91)/F91,0)</f>
        <v>0</v>
      </c>
      <c r="QO91" s="20" t="n">
        <f aca="false">IF(B91=0,IH91+IL91,0)</f>
        <v>0</v>
      </c>
      <c r="QP91" s="20" t="n">
        <f aca="false">IF(B91=0,IF(HU91=1,IJ91,IK91),0)</f>
        <v>0</v>
      </c>
      <c r="QQ91" s="20" t="n">
        <f aca="false">IF(AH91=1,IF(HU91=1,IQ91+IT91,AI91-QA91)*(1+Slot2_Rate),0)</f>
        <v>0</v>
      </c>
      <c r="QR91" s="20" t="n">
        <f aca="false">IF(AND(HU91=1,AH91=1),(IP91+IT91)/F91,0)</f>
        <v>0</v>
      </c>
      <c r="QS91" s="20" t="n">
        <f aca="false">IF(B91=0,IP91+IT91,0)</f>
        <v>0</v>
      </c>
      <c r="QT91" s="20" t="n">
        <f aca="false">IF(B91=0,IF(HU91=1,IR91,IS91),0)</f>
        <v>0</v>
      </c>
      <c r="QU91" s="20" t="n">
        <f aca="false">IF(AR91=1,IF(HU91=1,IY91+JB91,AS91-PY91)*(1+Slot3_Rate),0)</f>
        <v>0</v>
      </c>
      <c r="QV91" s="20" t="n">
        <f aca="false">IF(AND(HU91=1,AR91=1),(IX91+JB91)/F91,0)</f>
        <v>0</v>
      </c>
      <c r="QW91" s="20" t="n">
        <f aca="false">IF(B91=0,IX91+JB91,0)</f>
        <v>0</v>
      </c>
      <c r="QX91" s="20" t="n">
        <f aca="false">IF(B91=0,IF(HU91=1,IZ91,JA91),0)</f>
        <v>0</v>
      </c>
      <c r="QY91" s="20" t="n">
        <f aca="false">IF(BB91=1,IF(HU91=1,JG91+JJ91,BC91-PW91)*(1+Slot4_Rate),0)</f>
        <v>0</v>
      </c>
      <c r="QZ91" s="20" t="n">
        <f aca="false">IF(AND(HU91=1,BB91=1),(JF91+JJ91)/F91,0)</f>
        <v>0</v>
      </c>
      <c r="RA91" s="20" t="n">
        <f aca="false">IF(B91=0,JF91+JJ91,0)</f>
        <v>0</v>
      </c>
      <c r="RB91" s="20" t="n">
        <f aca="false">IF(B91=0,IF(HU91=1,JH91,JI91),0)</f>
        <v>0</v>
      </c>
      <c r="RC91" s="20" t="n">
        <f aca="false">IF(BL91=1,IF(HU91=1,JO91+JR91,BM91-PU91)*(1+Slot5_Rate),0)</f>
        <v>0</v>
      </c>
      <c r="RD91" s="20" t="n">
        <f aca="false">IF(AND(HU91=1,BL91=1),(JN91+JR91)/F91,0)</f>
        <v>0</v>
      </c>
      <c r="RE91" s="20" t="n">
        <f aca="false">IF(B91=0,JN91+JR91,0)</f>
        <v>0</v>
      </c>
      <c r="RF91" s="20" t="n">
        <f aca="false">IF(B91=0,IF(HU91=1,JP91,JQ91),0)</f>
        <v>0</v>
      </c>
      <c r="RG91" s="20" t="n">
        <f aca="false">IF(BV91=1,IF(HU91=1,JW91+JZ91,BW91-PS91)*(1+Slot6_Rate),0)</f>
        <v>0</v>
      </c>
      <c r="RH91" s="20" t="n">
        <f aca="false">IF(AND(HU91=1,BV91=1),(JV91+JZ91)/F91,0)</f>
        <v>0</v>
      </c>
      <c r="RI91" s="20" t="n">
        <f aca="false">IF(B91=0,JV91+JZ91,0)</f>
        <v>0</v>
      </c>
      <c r="RJ91" s="20" t="n">
        <f aca="false">IF(B91=0,IF(HU91=1,JX91,JY91),0)</f>
        <v>0</v>
      </c>
      <c r="RK91" s="20" t="n">
        <f aca="false">IF(CF91=1,IF(HU91=1,KE91+KH91,CG91-PQ91)*(1+Slot7_Rate),0)</f>
        <v>0</v>
      </c>
      <c r="RL91" s="20" t="n">
        <f aca="false">IF(AND(HU91=1,CF91=1),(KD91+KH91)/F91,0)</f>
        <v>0</v>
      </c>
      <c r="RM91" s="20" t="n">
        <f aca="false">IF(B91=0,KD91+KH91,0)</f>
        <v>0</v>
      </c>
      <c r="RN91" s="20" t="n">
        <f aca="false">IF(B91=0,IF(HU91=1,KF91,KG91),0)</f>
        <v>0</v>
      </c>
      <c r="RO91" s="20" t="n">
        <f aca="false">IF(CP91=1,IF(HU91=1,KM91+KP91,CQ91-PO91)*(1+Slot8_Rate),0)</f>
        <v>0</v>
      </c>
      <c r="RP91" s="20" t="n">
        <f aca="false">IF(AND(HU91=1,CP91=1),(KL91+KP91)/F91,0)</f>
        <v>0</v>
      </c>
      <c r="RQ91" s="20" t="n">
        <f aca="false">IF(B91=0,KL91+KP91,0)</f>
        <v>0</v>
      </c>
      <c r="RR91" s="20" t="n">
        <f aca="false">IF(B91=0,IF(HU91=1,KN91,KO91),0)</f>
        <v>0</v>
      </c>
      <c r="RS91" s="20" t="n">
        <f aca="false">IF(CZ91=1,IF(HU91=1,KU91+KX91,DA91-PM91)*(1+Slot9_Rate),0)</f>
        <v>0</v>
      </c>
      <c r="RT91" s="20" t="n">
        <f aca="false">IF(AND(HU91=1,CZ91=1),(KT91+KX91)/F91,0)</f>
        <v>0</v>
      </c>
      <c r="RU91" s="20" t="n">
        <f aca="false">IF(B91=0,KT91+KX91,0)</f>
        <v>0</v>
      </c>
      <c r="RV91" s="20" t="n">
        <f aca="false">IF(B91=0,IF(HU91=1,KV91,KW91),0)</f>
        <v>0</v>
      </c>
      <c r="RW91" s="20" t="n">
        <f aca="false">IF(DJ91=1,IF(HU91=1,LC91+LF91,DK91-PK91)*(1+Slot10_Rate),0)</f>
        <v>0</v>
      </c>
      <c r="RX91" s="20" t="n">
        <f aca="false">IF(AND(HU91=1,DJ91=1),(LB91+LF91)/F91,0)</f>
        <v>0</v>
      </c>
      <c r="RY91" s="20" t="n">
        <f aca="false">IF(B91=0,LB91+LF91,0)</f>
        <v>0</v>
      </c>
      <c r="RZ91" s="20" t="n">
        <f aca="false">IF(B91=0,IF(HU91=1,LD91,LE91),0)</f>
        <v>0</v>
      </c>
      <c r="SA91" s="20" t="n">
        <f aca="false">IF(DT91=1,IF(HU91=1,LK91+LN91,DU91-PI91)*(1+Slot11_Rate),0)</f>
        <v>0</v>
      </c>
      <c r="SB91" s="20" t="n">
        <f aca="false">IF(AND(HU91=1,DT91=1),(LJ91+LN91)/F91,0)</f>
        <v>0</v>
      </c>
      <c r="SC91" s="20" t="n">
        <f aca="false">IF(B91=0,LJ91+LN91,0)</f>
        <v>0</v>
      </c>
      <c r="SD91" s="20" t="n">
        <f aca="false">IF(B91=0,IF(HU91=1,LL91,LM91),0)</f>
        <v>0</v>
      </c>
      <c r="SE91" s="20" t="n">
        <f aca="false">IF(ED91=1,IF(HU91=1,LS91+LV91,EE91-PG91)*(1+Slot12_Rate),0)</f>
        <v>0</v>
      </c>
      <c r="SF91" s="20" t="n">
        <f aca="false">IF(AND(HU91=1,ED91=1),(LR91+LV91)/F91,0)</f>
        <v>0</v>
      </c>
      <c r="SG91" s="20" t="n">
        <f aca="false">IF(B91=0,LR91+LV91,0)</f>
        <v>0</v>
      </c>
      <c r="SH91" s="20" t="n">
        <f aca="false">IF(B91=0,IF(HU91=1,LT91,LU91),0)</f>
        <v>0</v>
      </c>
      <c r="SI91" s="20" t="n">
        <f aca="false">IF(EN91=1,IF(HU91=1,MA91+MD91,EO91-PE91)*(1+Slot13_Rate),0)</f>
        <v>0</v>
      </c>
      <c r="SJ91" s="20" t="n">
        <f aca="false">IF(AND(HU91=1,EN91=1),(LZ91+MD91)/F91,0)</f>
        <v>0</v>
      </c>
      <c r="SK91" s="20" t="n">
        <f aca="false">IF(B91=0,LZ91+MD91,0)</f>
        <v>0</v>
      </c>
      <c r="SL91" s="20" t="n">
        <f aca="false">IF(B91=0,IF(HU91=1,MB91,MC91),0)</f>
        <v>0</v>
      </c>
      <c r="SM91" s="20" t="n">
        <f aca="false">IF(EX91=1,IF(HU91=1,MI91+ML91,EY91-PC91)*(1+Slot14_Rate),0)</f>
        <v>0</v>
      </c>
      <c r="SN91" s="20" t="n">
        <f aca="false">IF(AND(HU91=1,EX91=1),(MH91+ML91)/F91,0)</f>
        <v>0</v>
      </c>
      <c r="SO91" s="20" t="n">
        <f aca="false">IF(B91=0,MH91+ML91,0)</f>
        <v>0</v>
      </c>
      <c r="SP91" s="20" t="n">
        <f aca="false">IF(B91=0,IF(HU91=1,MJ91,MK91),0)</f>
        <v>0</v>
      </c>
      <c r="SQ91" s="20" t="n">
        <f aca="false">IF(FH91=1,IF(HU91=1,MQ91+MT91,FI91-PA91)*(1+Slot15_Rate),0)</f>
        <v>0</v>
      </c>
      <c r="SR91" s="20" t="n">
        <f aca="false">IF(AND(HU91=1,FH91=1),(MP91+MT91)/F91,0)</f>
        <v>0</v>
      </c>
      <c r="SS91" s="20" t="n">
        <f aca="false">IF(B91=0,MP91+MT91,0)</f>
        <v>0</v>
      </c>
      <c r="ST91" s="20" t="n">
        <f aca="false">IF(B91=0,IF(HU91=1,MR91,MS91),0)</f>
        <v>0</v>
      </c>
      <c r="SU91" s="20" t="n">
        <f aca="false">IF(FR91=1,IF(HU91=1,MY91+NB91,FS91-OY91)*(1+Slot16_Rate),0)</f>
        <v>0</v>
      </c>
      <c r="SV91" s="20" t="n">
        <f aca="false">IF(AND(HU91=1,FR91=1),(MX91+NB91)/F91,0)</f>
        <v>0</v>
      </c>
      <c r="SW91" s="20" t="n">
        <f aca="false">IF(B91=0,MX91+NB91,0)</f>
        <v>0</v>
      </c>
      <c r="SX91" s="20" t="n">
        <f aca="false">IF(B91=0,IF(HU91=1,MZ91,NA91),0)</f>
        <v>0</v>
      </c>
      <c r="SY91" s="20" t="n">
        <f aca="false">IF(GB91=1,IF(HU91=1,NG91+NJ91,GC91-OW91)*(1+Slot17_Rate),0)</f>
        <v>0</v>
      </c>
      <c r="SZ91" s="20" t="n">
        <f aca="false">IF(AND(HU91=1,GB91=1),(NF91+NJ91)/F91,0)</f>
        <v>0</v>
      </c>
      <c r="TA91" s="20" t="n">
        <f aca="false">IF(B91=0,NF91+NJ91,0)</f>
        <v>0</v>
      </c>
      <c r="TB91" s="20" t="n">
        <f aca="false">IF(B91=0,IF(HU91=1,NH91,NI91),0)</f>
        <v>0</v>
      </c>
      <c r="TC91" s="20" t="n">
        <f aca="false">IF(GL91=1,IF(HU91=1,NO91+NR91,GM91-OU91)*(1+Slot18_Rate),0)</f>
        <v>0</v>
      </c>
      <c r="TD91" s="20" t="n">
        <f aca="false">IF(AND(HU91=1,GL91=1),(NN91+NR91)/F91,0)</f>
        <v>0</v>
      </c>
      <c r="TE91" s="20" t="n">
        <f aca="false">IF(B91=0,NN91+NR91,0)</f>
        <v>0</v>
      </c>
      <c r="TF91" s="20" t="n">
        <f aca="false">IF(B91=0,IF(HU91=1,NP91,NQ91),0)</f>
        <v>0</v>
      </c>
      <c r="TG91" s="20" t="n">
        <f aca="false">IF(GV91=1,IF(HU91=1,NW91+NZ91,GW91-OS91)*(1+Slot19_Rate),0)</f>
        <v>0</v>
      </c>
      <c r="TH91" s="20" t="n">
        <f aca="false">IF(AND(HU91=1,GV91=1),(NV91+NZ91)/F91,0)</f>
        <v>0</v>
      </c>
      <c r="TI91" s="20" t="n">
        <f aca="false">IF(B91=0,NV91+NZ91,0)</f>
        <v>0</v>
      </c>
      <c r="TJ91" s="20" t="n">
        <f aca="false">IF(B91=0,IF(HU91=1,NX91,NY91),0)</f>
        <v>0</v>
      </c>
      <c r="TK91" s="20" t="n">
        <f aca="false">IF(HF91=1,IF(HU91=1,OE91+OH91,HG91-OQ91)*(1+Slot20_Rate),0)</f>
        <v>0</v>
      </c>
      <c r="TL91" s="20" t="n">
        <f aca="false">IF(AND(HU91=1,HF91=1),(OD91+OH91)/F91,0)</f>
        <v>0</v>
      </c>
      <c r="TM91" s="20" t="n">
        <f aca="false">IF(B91=0,OD91+OH91,0)</f>
        <v>0</v>
      </c>
      <c r="TN91" s="20" t="n">
        <f aca="false">IF(B91=0,IF(HU91=1,OF91,OG91),0)</f>
        <v>0</v>
      </c>
      <c r="TO91" s="20" t="n">
        <f aca="false">QK91+QL91+QM91+QQ91+QU91+QY91+RC91+RG91+RK91+RO91+RS91+RW91+SA91+SE91+SI91+SM91+SQ91+SU91+SY91+TC91+TG91+TK91</f>
        <v>0</v>
      </c>
      <c r="TP91" s="20" t="n">
        <f aca="false">QE91+HP91</f>
        <v>99677.007672441</v>
      </c>
      <c r="TQ91" s="20" t="n">
        <f aca="false">I91+S91</f>
        <v>247310.270719019</v>
      </c>
      <c r="TR91" s="20" t="n">
        <f aca="false">1-G91</f>
        <v>1</v>
      </c>
      <c r="TS91" s="20" t="n">
        <f aca="false">IF(AND(RG_Exists=1,G91=0,C91=1),I91,0)</f>
        <v>0</v>
      </c>
      <c r="TT91" s="20" t="n">
        <f aca="false">IF(AND(RG_Exists=1,G91=0,C91=1),I91-MIN(QE91,I91),0)</f>
        <v>0</v>
      </c>
      <c r="TU91" s="20" t="n">
        <f aca="false">'Plan pay &amp; tax'!AD317</f>
        <v>0</v>
      </c>
      <c r="TV91" s="20" t="n">
        <f aca="false">IF(AND(C91=1,QE91&gt;MAX(PR_Short1,TQ91*PR_Short2)),1,0)</f>
        <v>0</v>
      </c>
      <c r="TW91" s="20" t="n">
        <f aca="false">MIN(H91,I91+S91)</f>
        <v>147633.263046578</v>
      </c>
      <c r="TX91" s="20" t="n">
        <f aca="false">QF91+MAX(0,HQ91-HP91)</f>
        <v>0</v>
      </c>
      <c r="TY91" s="20" t="n">
        <f aca="false">QE91+HP91</f>
        <v>99677.007672441</v>
      </c>
      <c r="TZ91" s="20" t="n">
        <f aca="false">IF(AND(C91=1,TY91&gt;PR_MinShort),1,0)</f>
        <v>0</v>
      </c>
      <c r="UA91" s="20" t="n">
        <f aca="false">IF(AND(C91=1,TZ91=0,TX91&gt;PR_MinShort),1,0)</f>
        <v>0</v>
      </c>
      <c r="UB91" s="20" t="n">
        <f aca="false">IF(AND(C91=1,QE91&gt;PR_MinShort),1,0)</f>
        <v>0</v>
      </c>
      <c r="UC91" s="20" t="n">
        <f aca="false">IF(AND(C91=1,QF91&gt;1,UJ91=0),1,0)</f>
        <v>0</v>
      </c>
      <c r="UD91" s="20" t="str">
        <f aca="false">IF(C91=0,"",IF(UJ91=1,"Gap to plan for: short "&amp;"€"&amp;TEXT(ROUND(TP91,0),"#,##0"),IF(QF91&gt;1,"Using savings","Comfortable")))</f>
        <v/>
      </c>
      <c r="UE91" s="20" t="n">
        <f aca="false">IF(AND(INT(D91/10)*10=90,B91&gt;0),80,INT(D91/10)*10)</f>
        <v>120</v>
      </c>
      <c r="UF91" s="20" t="n">
        <f aca="false">IF(B91=0,1,IF(UE91&lt;&gt;UE90,UF90+1,UF90))</f>
        <v>9</v>
      </c>
      <c r="UG91" s="20" t="n">
        <f aca="false">IF(AND(C91=1,G91=1,QE91&gt;MAX(PR_Short1,TQ91*PR_Short2)),1,0)</f>
        <v>0</v>
      </c>
      <c r="UH91" s="20" t="n">
        <f aca="false">TR91*TV91</f>
        <v>0</v>
      </c>
      <c r="UI91" s="20" t="n">
        <f aca="false">IF(AND(V91=1,Slot1_PctLow=1),1,0)+IF(AND(AG91=1,Slot2_PctLow=1),1,0)+IF(AND(AQ91=1,Slot3_PctLow=1),1,0)+IF(AND(BA91=1,Slot4_PctLow=1),1,0)+IF(AND(BK91=1,Slot5_PctLow=1),1,0)+IF(AND(BU91=1,Slot6_PctLow=1),1,0)+IF(AND(CE91=1,Slot7_PctLow=1),1,0)+IF(AND(CO91=1,Slot8_PctLow=1),1,0)+IF(AND(CY91=1,Slot9_PctLow=1),1,0)+IF(AND(DI91=1,Slot10_PctLow=1),1,0)+IF(AND(DS91=1,Slot11_PctLow=1),1,0)+IF(AND(EC91=1,Slot12_PctLow=1),1,0)+IF(AND(EM91=1,Slot13_PctLow=1),1,0)+IF(AND(EW91=1,Slot14_PctLow=1),1,0)+IF(AND(FG91=1,Slot15_PctLow=1),1,0)+IF(AND(FQ91=1,Slot16_PctLow=1),1,0)+IF(AND(GA91=1,Slot17_PctLow=1),1,0)+IF(AND(GK91=1,Slot18_PctLow=1),1,0)+IF(AND(GU91=1,Slot19_PctLow=1),1,0)+IF(AND(HE91=1,Slot20_PctLow=1),1,0)</f>
        <v>0</v>
      </c>
      <c r="UJ91" s="20" t="n">
        <f aca="false">IF(C91=1,IF(OR(TV91=1,UI91&gt;0),1,0),0)</f>
        <v>0</v>
      </c>
      <c r="UK91" s="20" t="n">
        <f aca="false">Z91+AK91+AU91+BE91+BO91+BY91+CI91+CS91+DC91+DM91+DW91+EG91+EQ91+FA91+FK91+FU91+GE91+GO91+GY91+HI91+OM91</f>
        <v>0</v>
      </c>
      <c r="UL91" s="20" t="n">
        <f aca="false">V91*IF(Slot1_SpendLike=1,X91-Y91,IF(Slot1_PotFree=1,X91,0))+AG91*IF(Slot2_SpendLike=1,AI91-AJ91,IF(Slot2_PotFree=1,AI91,0))+AQ91*IF(Slot3_SpendLike=1,AS91-AT91,IF(Slot3_PotFree=1,AS91,0))+BA91*IF(Slot4_SpendLike=1,BC91-BD91,IF(Slot4_PotFree=1,BC91,0))+BK91*IF(Slot5_SpendLike=1,BM91-BN91,IF(Slot5_PotFree=1,BM91,0))+BU91*IF(Slot6_SpendLike=1,BW91-BX91,IF(Slot6_PotFree=1,BW91,0))+CE91*IF(Slot7_SpendLike=1,CG91-CH91,IF(Slot7_PotFree=1,CG91,0))+CO91*IF(Slot8_SpendLike=1,CQ91-CR91,IF(Slot8_PotFree=1,CQ91,0))+CY91*IF(Slot9_SpendLike=1,DA91-DB91,IF(Slot9_PotFree=1,DA91,0))+DI91*IF(Slot10_SpendLike=1,DK91-DL91,IF(Slot10_PotFree=1,DK91,0))+DS91*IF(Slot11_SpendLike=1,DU91-DV91,IF(Slot11_PotFree=1,DU91,0))+EC91*IF(Slot12_SpendLike=1,EE91-EF91,IF(Slot12_PotFree=1,EE91,0))+EM91*IF(Slot13_SpendLike=1,EO91-EP91,IF(Slot13_PotFree=1,EO91,0))+EW91*IF(Slot14_SpendLike=1,EY91-EZ91,IF(Slot14_PotFree=1,EY91,0))+FG91*IF(Slot15_SpendLike=1,FI91-FJ91,IF(Slot15_PotFree=1,FI91,0))+FQ91*IF(Slot16_SpendLike=1,FS91-FT91,IF(Slot16_PotFree=1,FS91,0))+GA91*IF(Slot17_SpendLike=1,GC91-GD91,IF(Slot17_PotFree=1,GC91,0))+GK91*IF(Slot18_SpendLike=1,GM91-GN91,IF(Slot18_PotFree=1,GM91,0))+GU91*IF(Slot19_SpendLike=1,GW91-GX91,IF(Slot19_PotFree=1,GW91,0))+HE91*IF(Slot20_SpendLike=1,HG91-HH91,IF(Slot20_PotFree=1,HG91,0))</f>
        <v>0</v>
      </c>
      <c r="UM91" s="20" t="n">
        <f aca="false">QG91-T91+UK91-UL91</f>
        <v>0</v>
      </c>
      <c r="UN91" s="20" t="n">
        <f aca="false">IF(OR(UN90=1,AND(In_homeUse="Yes, I'd downsize",In_downAge&gt;0,D91=In_downAge,OR(In_home="Own outright",In_home="Own with mortgage"),In_homeValue&gt;0)),1,0)</f>
        <v>0</v>
      </c>
    </row>
    <row r="92" customFormat="false" ht="15" hidden="false" customHeight="true" outlineLevel="0" collapsed="false">
      <c r="B92" s="20" t="n">
        <v>84</v>
      </c>
      <c r="C92" s="20" t="n">
        <f aca="false">IF(B92&lt;=F_N,1,0)</f>
        <v>0</v>
      </c>
      <c r="D92" s="20" t="n">
        <f aca="false">'Plan pay &amp; tax'!C318</f>
        <v>122</v>
      </c>
      <c r="E92" s="20" t="str">
        <f aca="false">IF($C92=1,"Income tax "&amp;TEXT(N('Plan pay &amp; tax'!BK318),"#,##0")&amp;"; USC "&amp;TEXT(N('Plan pay &amp; tax'!BM318)+N('Plan pay &amp; tax'!BO318),"#,##0")&amp;"; PRSI "&amp;TEXT(N('Plan pay &amp; tax'!BP318)+N('Plan pay &amp; tax'!BQ318),"#,##0")&amp;IF(N('Plan holdings'!BO92)&gt;=0.5,"; DIRT "&amp;TEXT(('Plan holdings'!BO92)/$F92,"#,##0")&amp;" (already taken from the interest earned)","")&amp;IF(N('Plan holdings'!BP92)&gt;=0.5,"; exit tax at an 8-year anniversary "&amp;TEXT(('Plan holdings'!BP92)/$F92,"#,##0"),"")&amp;IF(N('Plan holdings'!BN92)&gt;=0.5,"; tax on assets sold (exit tax or capital gains tax) "&amp;TEXT(('Plan holdings'!BN92)/$F92,"#,##0"),"")&amp;IF(N('Plan pay &amp; tax'!X318)-N('Plan pay &amp; tax'!Y318)&gt;=0.5,"; tax on the pension lump sum "&amp;TEXT(('Plan pay &amp; tax'!X318-'Plan pay &amp; tax'!Y318)/$F92,"#,##0"),"")&amp;IF(N('Plan pay &amp; tax'!V318)&gt;=0.5,"; chargeable excess tax on the pension "&amp;TEXT(('Plan pay &amp; tax'!V318)/$F92,"#,##0"),"")&amp;".","")</f>
        <v/>
      </c>
      <c r="F92" s="50" t="n">
        <f aca="false">'Plan pay &amp; tax'!E318</f>
        <v>5.277332136682</v>
      </c>
      <c r="G92" s="20" t="n">
        <f aca="false">'Plan pay &amp; tax'!G318</f>
        <v>0</v>
      </c>
      <c r="H92" s="20" t="n">
        <f aca="false">'Plan pay &amp; tax'!BT318-'Plan pay &amp; tax'!BS318-'Plan pay &amp; tax'!R318</f>
        <v>150585.92830751</v>
      </c>
      <c r="I92" s="20" t="n">
        <f aca="false">IF(G92=1,F_CostsM*12,IF(RG_Exists=1,RG_Amount,F_CostsM*12*AS_RetireSpend))*F92+F_OneOffY*F92</f>
        <v>252256.4761334</v>
      </c>
      <c r="J92" s="20" t="n">
        <f aca="false">IF(UN92=1,0,HR91)</f>
        <v>0</v>
      </c>
      <c r="K92" s="20" t="n">
        <f aca="false">IF(J92&gt;1,'Plan debt months'!AC92,0)</f>
        <v>0</v>
      </c>
      <c r="L92" s="20" t="n">
        <f aca="false">IF(J92&gt;1,'Plan debt months'!AB92,J92)</f>
        <v>0</v>
      </c>
      <c r="M92" s="20" t="n">
        <f aca="false">O91</f>
        <v>0</v>
      </c>
      <c r="N92" s="20" t="n">
        <f aca="false">IF(M92&gt;1,'Plan debt months'!BD92,0)</f>
        <v>0</v>
      </c>
      <c r="O92" s="20" t="n">
        <f aca="false">IF(M92&gt;1,'Plan debt months'!BC92,M92)</f>
        <v>0</v>
      </c>
      <c r="P92" s="20" t="n">
        <f aca="false">R91</f>
        <v>0</v>
      </c>
      <c r="Q92" s="20" t="n">
        <f aca="false">IF(P92&gt;1,'Plan debt months'!CE92,0)</f>
        <v>0</v>
      </c>
      <c r="R92" s="20" t="n">
        <f aca="false">IF(P92&gt;1,'Plan debt months'!CD92,P92)</f>
        <v>0</v>
      </c>
      <c r="S92" s="20" t="n">
        <f aca="false">K92+N92+Q92</f>
        <v>0</v>
      </c>
      <c r="T92" s="57" t="n">
        <f aca="false">'Plan holdings'!Y92</f>
        <v>0</v>
      </c>
      <c r="U92" s="57" t="n">
        <f aca="false">'Plan holdings'!BM91</f>
        <v>0</v>
      </c>
      <c r="V92" s="20" t="n">
        <f aca="false">IF(AND(Slot1_On=1,D92=Slot1_Age),1,0)</f>
        <v>0</v>
      </c>
      <c r="W92" s="20" t="n">
        <f aca="false">IF(AND(Slot1_On=1,Slot1_Age&gt;D92),1,0)</f>
        <v>0</v>
      </c>
      <c r="X92" s="20" t="n">
        <f aca="false">QM91</f>
        <v>0</v>
      </c>
      <c r="Y92" s="20" t="n">
        <f aca="false">V92*MIN(Slot1_Cost,X92)</f>
        <v>0</v>
      </c>
      <c r="Z92" s="20" t="n">
        <f aca="false">V92*Slot1_SpendLike*MIN(Slot1_Cost-Y92,T92)</f>
        <v>0</v>
      </c>
      <c r="AA92" s="20" t="n">
        <f aca="false">Y92+Z92</f>
        <v>0</v>
      </c>
      <c r="AB92" s="20" t="n">
        <f aca="false">T92-Z92+V92*IF(Slot1_SpendLike=1,X92-Y92,IF(Slot1_PotFree=1,X92,0))</f>
        <v>0</v>
      </c>
      <c r="AC92" s="20" t="n">
        <f aca="false">AF92+V92*Slot1_BufPot*X92</f>
        <v>0</v>
      </c>
      <c r="AD92" s="20" t="n">
        <f aca="false">IF(AND(V92=1,Slot1_IsMfree=1),IF(AA92&gt;=Slot1_Cost-1,0,MAX(0,L92-AA92)),L92)</f>
        <v>0</v>
      </c>
      <c r="AE92" s="20" t="n">
        <f aca="false">V92*(Slot1_Cost-AA92)</f>
        <v>0</v>
      </c>
      <c r="AF92" s="20" t="n">
        <f aca="false">QL91</f>
        <v>0</v>
      </c>
      <c r="AG92" s="20" t="n">
        <f aca="false">IF(AND(Slot2_On=1,D92=Slot2_Age),1,0)</f>
        <v>0</v>
      </c>
      <c r="AH92" s="20" t="n">
        <f aca="false">IF(AND(Slot2_On=1,Slot2_Age&gt;D92),1,0)</f>
        <v>0</v>
      </c>
      <c r="AI92" s="20" t="n">
        <f aca="false">QQ91</f>
        <v>0</v>
      </c>
      <c r="AJ92" s="20" t="n">
        <f aca="false">AG92*MIN(Slot2_Cost,AI92)</f>
        <v>0</v>
      </c>
      <c r="AK92" s="20" t="n">
        <f aca="false">AG92*Slot2_SpendLike*MIN(Slot2_Cost-AJ92,AB92)</f>
        <v>0</v>
      </c>
      <c r="AL92" s="20" t="n">
        <f aca="false">AJ92+AK92</f>
        <v>0</v>
      </c>
      <c r="AM92" s="20" t="n">
        <f aca="false">AB92-AK92+AG92*IF(Slot2_SpendLike=1,AI92-AJ92,IF(Slot2_PotFree=1,AI92,0))</f>
        <v>0</v>
      </c>
      <c r="AN92" s="20" t="n">
        <f aca="false">AC92+AG92*Slot2_BufPot*AI92</f>
        <v>0</v>
      </c>
      <c r="AO92" s="20" t="n">
        <f aca="false">IF(AND(AG92=1,Slot2_IsMfree=1),IF(AL92&gt;=Slot2_Cost-1,0,MAX(0,AD92-AL92)),AD92)</f>
        <v>0</v>
      </c>
      <c r="AP92" s="20" t="n">
        <f aca="false">AG92*(Slot2_Cost-AL92)</f>
        <v>0</v>
      </c>
      <c r="AQ92" s="20" t="n">
        <f aca="false">IF(AND(Slot3_On=1,D92=Slot3_Age),1,0)</f>
        <v>0</v>
      </c>
      <c r="AR92" s="20" t="n">
        <f aca="false">IF(AND(Slot3_On=1,Slot3_Age&gt;D92),1,0)</f>
        <v>0</v>
      </c>
      <c r="AS92" s="20" t="n">
        <f aca="false">QU91</f>
        <v>0</v>
      </c>
      <c r="AT92" s="20" t="n">
        <f aca="false">AQ92*MIN(Slot3_Cost,AS92)</f>
        <v>0</v>
      </c>
      <c r="AU92" s="20" t="n">
        <f aca="false">AQ92*Slot3_SpendLike*MIN(Slot3_Cost-AT92,AM92)</f>
        <v>0</v>
      </c>
      <c r="AV92" s="20" t="n">
        <f aca="false">AT92+AU92</f>
        <v>0</v>
      </c>
      <c r="AW92" s="20" t="n">
        <f aca="false">AM92-AU92+AQ92*IF(Slot3_SpendLike=1,AS92-AT92,IF(Slot3_PotFree=1,AS92,0))</f>
        <v>0</v>
      </c>
      <c r="AX92" s="20" t="n">
        <f aca="false">AN92+AQ92*Slot3_BufPot*AS92</f>
        <v>0</v>
      </c>
      <c r="AY92" s="20" t="n">
        <f aca="false">IF(AND(AQ92=1,Slot3_IsMfree=1),IF(AV92&gt;=Slot3_Cost-1,0,MAX(0,AO92-AV92)),AO92)</f>
        <v>0</v>
      </c>
      <c r="AZ92" s="20" t="n">
        <f aca="false">AQ92*(Slot3_Cost-AV92)</f>
        <v>0</v>
      </c>
      <c r="BA92" s="20" t="n">
        <f aca="false">IF(AND(Slot4_On=1,D92=Slot4_Age),1,0)</f>
        <v>0</v>
      </c>
      <c r="BB92" s="20" t="n">
        <f aca="false">IF(AND(Slot4_On=1,Slot4_Age&gt;D92),1,0)</f>
        <v>0</v>
      </c>
      <c r="BC92" s="20" t="n">
        <f aca="false">QY91</f>
        <v>0</v>
      </c>
      <c r="BD92" s="20" t="n">
        <f aca="false">BA92*MIN(Slot4_Cost,BC92)</f>
        <v>0</v>
      </c>
      <c r="BE92" s="20" t="n">
        <f aca="false">BA92*Slot4_SpendLike*MIN(Slot4_Cost-BD92,AW92)</f>
        <v>0</v>
      </c>
      <c r="BF92" s="20" t="n">
        <f aca="false">BD92+BE92</f>
        <v>0</v>
      </c>
      <c r="BG92" s="20" t="n">
        <f aca="false">AW92-BE92+BA92*IF(Slot4_SpendLike=1,BC92-BD92,IF(Slot4_PotFree=1,BC92,0))</f>
        <v>0</v>
      </c>
      <c r="BH92" s="20" t="n">
        <f aca="false">AX92+BA92*Slot4_BufPot*BC92</f>
        <v>0</v>
      </c>
      <c r="BI92" s="20" t="n">
        <f aca="false">IF(AND(BA92=1,Slot4_IsMfree=1),IF(BF92&gt;=Slot4_Cost-1,0,MAX(0,AY92-BF92)),AY92)</f>
        <v>0</v>
      </c>
      <c r="BJ92" s="20" t="n">
        <f aca="false">BA92*(Slot4_Cost-BF92)</f>
        <v>0</v>
      </c>
      <c r="BK92" s="20" t="n">
        <f aca="false">IF(AND(Slot5_On=1,D92=Slot5_Age),1,0)</f>
        <v>0</v>
      </c>
      <c r="BL92" s="20" t="n">
        <f aca="false">IF(AND(Slot5_On=1,Slot5_Age&gt;D92),1,0)</f>
        <v>0</v>
      </c>
      <c r="BM92" s="20" t="n">
        <f aca="false">RC91</f>
        <v>0</v>
      </c>
      <c r="BN92" s="20" t="n">
        <f aca="false">BK92*MIN(Slot5_Cost,BM92)</f>
        <v>0</v>
      </c>
      <c r="BO92" s="20" t="n">
        <f aca="false">BK92*Slot5_SpendLike*MIN(Slot5_Cost-BN92,BG92)</f>
        <v>0</v>
      </c>
      <c r="BP92" s="20" t="n">
        <f aca="false">BN92+BO92</f>
        <v>0</v>
      </c>
      <c r="BQ92" s="20" t="n">
        <f aca="false">BG92-BO92+BK92*IF(Slot5_SpendLike=1,BM92-BN92,IF(Slot5_PotFree=1,BM92,0))</f>
        <v>0</v>
      </c>
      <c r="BR92" s="20" t="n">
        <f aca="false">BH92+BK92*Slot5_BufPot*BM92</f>
        <v>0</v>
      </c>
      <c r="BS92" s="20" t="n">
        <f aca="false">IF(AND(BK92=1,Slot5_IsMfree=1),IF(BP92&gt;=Slot5_Cost-1,0,MAX(0,BI92-BP92)),BI92)</f>
        <v>0</v>
      </c>
      <c r="BT92" s="20" t="n">
        <f aca="false">BK92*(Slot5_Cost-BP92)</f>
        <v>0</v>
      </c>
      <c r="BU92" s="20" t="n">
        <f aca="false">IF(AND(Slot6_On=1,D92=Slot6_Age),1,0)</f>
        <v>0</v>
      </c>
      <c r="BV92" s="20" t="n">
        <f aca="false">IF(AND(Slot6_On=1,Slot6_Age&gt;D92),1,0)</f>
        <v>0</v>
      </c>
      <c r="BW92" s="20" t="n">
        <f aca="false">RG91</f>
        <v>0</v>
      </c>
      <c r="BX92" s="20" t="n">
        <f aca="false">BU92*MIN(Slot6_Cost,BW92)</f>
        <v>0</v>
      </c>
      <c r="BY92" s="20" t="n">
        <f aca="false">BU92*Slot6_SpendLike*MIN(Slot6_Cost-BX92,BQ92)</f>
        <v>0</v>
      </c>
      <c r="BZ92" s="20" t="n">
        <f aca="false">BX92+BY92</f>
        <v>0</v>
      </c>
      <c r="CA92" s="20" t="n">
        <f aca="false">BQ92-BY92+BU92*IF(Slot6_SpendLike=1,BW92-BX92,IF(Slot6_PotFree=1,BW92,0))</f>
        <v>0</v>
      </c>
      <c r="CB92" s="20" t="n">
        <f aca="false">BR92+BU92*Slot6_BufPot*BW92</f>
        <v>0</v>
      </c>
      <c r="CC92" s="20" t="n">
        <f aca="false">IF(AND(BU92=1,Slot6_IsMfree=1),IF(BZ92&gt;=Slot6_Cost-1,0,MAX(0,BS92-BZ92)),BS92)</f>
        <v>0</v>
      </c>
      <c r="CD92" s="20" t="n">
        <f aca="false">BU92*(Slot6_Cost-BZ92)</f>
        <v>0</v>
      </c>
      <c r="CE92" s="20" t="n">
        <f aca="false">IF(AND(Slot7_On=1,D92=Slot7_Age),1,0)</f>
        <v>0</v>
      </c>
      <c r="CF92" s="20" t="n">
        <f aca="false">IF(AND(Slot7_On=1,Slot7_Age&gt;D92),1,0)</f>
        <v>0</v>
      </c>
      <c r="CG92" s="20" t="n">
        <f aca="false">RK91</f>
        <v>0</v>
      </c>
      <c r="CH92" s="20" t="n">
        <f aca="false">CE92*MIN(Slot7_Cost,CG92)</f>
        <v>0</v>
      </c>
      <c r="CI92" s="20" t="n">
        <f aca="false">CE92*Slot7_SpendLike*MIN(Slot7_Cost-CH92,CA92)</f>
        <v>0</v>
      </c>
      <c r="CJ92" s="20" t="n">
        <f aca="false">CH92+CI92</f>
        <v>0</v>
      </c>
      <c r="CK92" s="20" t="n">
        <f aca="false">CA92-CI92+CE92*IF(Slot7_SpendLike=1,CG92-CH92,IF(Slot7_PotFree=1,CG92,0))</f>
        <v>0</v>
      </c>
      <c r="CL92" s="20" t="n">
        <f aca="false">CB92+CE92*Slot7_BufPot*CG92</f>
        <v>0</v>
      </c>
      <c r="CM92" s="20" t="n">
        <f aca="false">IF(AND(CE92=1,Slot7_IsMfree=1),IF(CJ92&gt;=Slot7_Cost-1,0,MAX(0,CC92-CJ92)),CC92)</f>
        <v>0</v>
      </c>
      <c r="CN92" s="20" t="n">
        <f aca="false">CE92*(Slot7_Cost-CJ92)</f>
        <v>0</v>
      </c>
      <c r="CO92" s="20" t="n">
        <f aca="false">IF(AND(Slot8_On=1,D92=Slot8_Age),1,0)</f>
        <v>0</v>
      </c>
      <c r="CP92" s="20" t="n">
        <f aca="false">IF(AND(Slot8_On=1,Slot8_Age&gt;D92),1,0)</f>
        <v>0</v>
      </c>
      <c r="CQ92" s="20" t="n">
        <f aca="false">RO91</f>
        <v>0</v>
      </c>
      <c r="CR92" s="20" t="n">
        <f aca="false">CO92*MIN(Slot8_Cost,CQ92)</f>
        <v>0</v>
      </c>
      <c r="CS92" s="20" t="n">
        <f aca="false">CO92*Slot8_SpendLike*MIN(Slot8_Cost-CR92,CK92)</f>
        <v>0</v>
      </c>
      <c r="CT92" s="20" t="n">
        <f aca="false">CR92+CS92</f>
        <v>0</v>
      </c>
      <c r="CU92" s="20" t="n">
        <f aca="false">CK92-CS92+CO92*IF(Slot8_SpendLike=1,CQ92-CR92,IF(Slot8_PotFree=1,CQ92,0))</f>
        <v>0</v>
      </c>
      <c r="CV92" s="20" t="n">
        <f aca="false">CL92+CO92*Slot8_BufPot*CQ92</f>
        <v>0</v>
      </c>
      <c r="CW92" s="20" t="n">
        <f aca="false">IF(AND(CO92=1,Slot8_IsMfree=1),IF(CT92&gt;=Slot8_Cost-1,0,MAX(0,CM92-CT92)),CM92)</f>
        <v>0</v>
      </c>
      <c r="CX92" s="20" t="n">
        <f aca="false">CO92*(Slot8_Cost-CT92)</f>
        <v>0</v>
      </c>
      <c r="CY92" s="20" t="n">
        <f aca="false">IF(AND(Slot9_On=1,D92=Slot9_Age),1,0)</f>
        <v>0</v>
      </c>
      <c r="CZ92" s="20" t="n">
        <f aca="false">IF(AND(Slot9_On=1,Slot9_Age&gt;D92),1,0)</f>
        <v>0</v>
      </c>
      <c r="DA92" s="20" t="n">
        <f aca="false">RS91</f>
        <v>0</v>
      </c>
      <c r="DB92" s="20" t="n">
        <f aca="false">CY92*MIN(Slot9_Cost,DA92)</f>
        <v>0</v>
      </c>
      <c r="DC92" s="20" t="n">
        <f aca="false">CY92*Slot9_SpendLike*MIN(Slot9_Cost-DB92,CU92)</f>
        <v>0</v>
      </c>
      <c r="DD92" s="20" t="n">
        <f aca="false">DB92+DC92</f>
        <v>0</v>
      </c>
      <c r="DE92" s="20" t="n">
        <f aca="false">CU92-DC92+CY92*IF(Slot9_SpendLike=1,DA92-DB92,IF(Slot9_PotFree=1,DA92,0))</f>
        <v>0</v>
      </c>
      <c r="DF92" s="20" t="n">
        <f aca="false">CV92+CY92*Slot9_BufPot*DA92</f>
        <v>0</v>
      </c>
      <c r="DG92" s="20" t="n">
        <f aca="false">IF(AND(CY92=1,Slot9_IsMfree=1),IF(DD92&gt;=Slot9_Cost-1,0,MAX(0,CW92-DD92)),CW92)</f>
        <v>0</v>
      </c>
      <c r="DH92" s="20" t="n">
        <f aca="false">CY92*(Slot9_Cost-DD92)</f>
        <v>0</v>
      </c>
      <c r="DI92" s="20" t="n">
        <f aca="false">IF(AND(Slot10_On=1,D92=Slot10_Age),1,0)</f>
        <v>0</v>
      </c>
      <c r="DJ92" s="20" t="n">
        <f aca="false">IF(AND(Slot10_On=1,Slot10_Age&gt;D92),1,0)</f>
        <v>0</v>
      </c>
      <c r="DK92" s="20" t="n">
        <f aca="false">RW91</f>
        <v>0</v>
      </c>
      <c r="DL92" s="20" t="n">
        <f aca="false">DI92*MIN(Slot10_Cost,DK92)</f>
        <v>0</v>
      </c>
      <c r="DM92" s="20" t="n">
        <f aca="false">DI92*Slot10_SpendLike*MIN(Slot10_Cost-DL92,DE92)</f>
        <v>0</v>
      </c>
      <c r="DN92" s="20" t="n">
        <f aca="false">DL92+DM92</f>
        <v>0</v>
      </c>
      <c r="DO92" s="20" t="n">
        <f aca="false">DE92-DM92+DI92*IF(Slot10_SpendLike=1,DK92-DL92,IF(Slot10_PotFree=1,DK92,0))</f>
        <v>0</v>
      </c>
      <c r="DP92" s="20" t="n">
        <f aca="false">DF92+DI92*Slot10_BufPot*DK92</f>
        <v>0</v>
      </c>
      <c r="DQ92" s="20" t="n">
        <f aca="false">IF(AND(DI92=1,Slot10_IsMfree=1),IF(DN92&gt;=Slot10_Cost-1,0,MAX(0,DG92-DN92)),DG92)</f>
        <v>0</v>
      </c>
      <c r="DR92" s="20" t="n">
        <f aca="false">DI92*(Slot10_Cost-DN92)</f>
        <v>0</v>
      </c>
      <c r="DS92" s="20" t="n">
        <f aca="false">IF(AND(Slot11_On=1,D92=Slot11_Age),1,0)</f>
        <v>0</v>
      </c>
      <c r="DT92" s="20" t="n">
        <f aca="false">IF(AND(Slot11_On=1,Slot11_Age&gt;D92),1,0)</f>
        <v>0</v>
      </c>
      <c r="DU92" s="20" t="n">
        <f aca="false">SA91</f>
        <v>0</v>
      </c>
      <c r="DV92" s="20" t="n">
        <f aca="false">DS92*MIN(Slot11_Cost,DU92)</f>
        <v>0</v>
      </c>
      <c r="DW92" s="20" t="n">
        <f aca="false">DS92*Slot11_SpendLike*MIN(Slot11_Cost-DV92,DO92)</f>
        <v>0</v>
      </c>
      <c r="DX92" s="20" t="n">
        <f aca="false">DV92+DW92</f>
        <v>0</v>
      </c>
      <c r="DY92" s="20" t="n">
        <f aca="false">DO92-DW92+DS92*IF(Slot11_SpendLike=1,DU92-DV92,IF(Slot11_PotFree=1,DU92,0))</f>
        <v>0</v>
      </c>
      <c r="DZ92" s="20" t="n">
        <f aca="false">DP92+DS92*Slot11_BufPot*DU92</f>
        <v>0</v>
      </c>
      <c r="EA92" s="20" t="n">
        <f aca="false">IF(AND(DS92=1,Slot11_IsMfree=1),IF(DX92&gt;=Slot11_Cost-1,0,MAX(0,DQ92-DX92)),DQ92)</f>
        <v>0</v>
      </c>
      <c r="EB92" s="20" t="n">
        <f aca="false">DS92*(Slot11_Cost-DX92)</f>
        <v>0</v>
      </c>
      <c r="EC92" s="20" t="n">
        <f aca="false">IF(AND(Slot12_On=1,D92=Slot12_Age),1,0)</f>
        <v>0</v>
      </c>
      <c r="ED92" s="20" t="n">
        <f aca="false">IF(AND(Slot12_On=1,Slot12_Age&gt;D92),1,0)</f>
        <v>0</v>
      </c>
      <c r="EE92" s="20" t="n">
        <f aca="false">SE91</f>
        <v>0</v>
      </c>
      <c r="EF92" s="20" t="n">
        <f aca="false">EC92*MIN(Slot12_Cost,EE92)</f>
        <v>0</v>
      </c>
      <c r="EG92" s="20" t="n">
        <f aca="false">EC92*Slot12_SpendLike*MIN(Slot12_Cost-EF92,DY92)</f>
        <v>0</v>
      </c>
      <c r="EH92" s="20" t="n">
        <f aca="false">EF92+EG92</f>
        <v>0</v>
      </c>
      <c r="EI92" s="20" t="n">
        <f aca="false">DY92-EG92+EC92*IF(Slot12_SpendLike=1,EE92-EF92,IF(Slot12_PotFree=1,EE92,0))</f>
        <v>0</v>
      </c>
      <c r="EJ92" s="20" t="n">
        <f aca="false">DZ92+EC92*Slot12_BufPot*EE92</f>
        <v>0</v>
      </c>
      <c r="EK92" s="20" t="n">
        <f aca="false">IF(AND(EC92=1,Slot12_IsMfree=1),IF(EH92&gt;=Slot12_Cost-1,0,MAX(0,EA92-EH92)),EA92)</f>
        <v>0</v>
      </c>
      <c r="EL92" s="20" t="n">
        <f aca="false">EC92*(Slot12_Cost-EH92)</f>
        <v>0</v>
      </c>
      <c r="EM92" s="20" t="n">
        <f aca="false">IF(AND(Slot13_On=1,D92=Slot13_Age),1,0)</f>
        <v>0</v>
      </c>
      <c r="EN92" s="20" t="n">
        <f aca="false">IF(AND(Slot13_On=1,Slot13_Age&gt;D92),1,0)</f>
        <v>0</v>
      </c>
      <c r="EO92" s="20" t="n">
        <f aca="false">SI91</f>
        <v>0</v>
      </c>
      <c r="EP92" s="20" t="n">
        <f aca="false">EM92*MIN(Slot13_Cost,EO92)</f>
        <v>0</v>
      </c>
      <c r="EQ92" s="20" t="n">
        <f aca="false">EM92*Slot13_SpendLike*MIN(Slot13_Cost-EP92,EI92)</f>
        <v>0</v>
      </c>
      <c r="ER92" s="20" t="n">
        <f aca="false">EP92+EQ92</f>
        <v>0</v>
      </c>
      <c r="ES92" s="20" t="n">
        <f aca="false">EI92-EQ92+EM92*IF(Slot13_SpendLike=1,EO92-EP92,IF(Slot13_PotFree=1,EO92,0))</f>
        <v>0</v>
      </c>
      <c r="ET92" s="20" t="n">
        <f aca="false">EJ92+EM92*Slot13_BufPot*EO92</f>
        <v>0</v>
      </c>
      <c r="EU92" s="20" t="n">
        <f aca="false">IF(AND(EM92=1,Slot13_IsMfree=1),IF(ER92&gt;=Slot13_Cost-1,0,MAX(0,EK92-ER92)),EK92)</f>
        <v>0</v>
      </c>
      <c r="EV92" s="20" t="n">
        <f aca="false">EM92*(Slot13_Cost-ER92)</f>
        <v>0</v>
      </c>
      <c r="EW92" s="20" t="n">
        <f aca="false">IF(AND(Slot14_On=1,D92=Slot14_Age),1,0)</f>
        <v>0</v>
      </c>
      <c r="EX92" s="20" t="n">
        <f aca="false">IF(AND(Slot14_On=1,Slot14_Age&gt;D92),1,0)</f>
        <v>0</v>
      </c>
      <c r="EY92" s="20" t="n">
        <f aca="false">SM91</f>
        <v>0</v>
      </c>
      <c r="EZ92" s="20" t="n">
        <f aca="false">EW92*MIN(Slot14_Cost,EY92)</f>
        <v>0</v>
      </c>
      <c r="FA92" s="20" t="n">
        <f aca="false">EW92*Slot14_SpendLike*MIN(Slot14_Cost-EZ92,ES92)</f>
        <v>0</v>
      </c>
      <c r="FB92" s="20" t="n">
        <f aca="false">EZ92+FA92</f>
        <v>0</v>
      </c>
      <c r="FC92" s="20" t="n">
        <f aca="false">ES92-FA92+EW92*IF(Slot14_SpendLike=1,EY92-EZ92,IF(Slot14_PotFree=1,EY92,0))</f>
        <v>0</v>
      </c>
      <c r="FD92" s="20" t="n">
        <f aca="false">ET92+EW92*Slot14_BufPot*EY92</f>
        <v>0</v>
      </c>
      <c r="FE92" s="20" t="n">
        <f aca="false">IF(AND(EW92=1,Slot14_IsMfree=1),IF(FB92&gt;=Slot14_Cost-1,0,MAX(0,EU92-FB92)),EU92)</f>
        <v>0</v>
      </c>
      <c r="FF92" s="20" t="n">
        <f aca="false">EW92*(Slot14_Cost-FB92)</f>
        <v>0</v>
      </c>
      <c r="FG92" s="20" t="n">
        <f aca="false">IF(AND(Slot15_On=1,D92=Slot15_Age),1,0)</f>
        <v>0</v>
      </c>
      <c r="FH92" s="20" t="n">
        <f aca="false">IF(AND(Slot15_On=1,Slot15_Age&gt;D92),1,0)</f>
        <v>0</v>
      </c>
      <c r="FI92" s="20" t="n">
        <f aca="false">SQ91</f>
        <v>0</v>
      </c>
      <c r="FJ92" s="20" t="n">
        <f aca="false">FG92*MIN(Slot15_Cost,FI92)</f>
        <v>0</v>
      </c>
      <c r="FK92" s="20" t="n">
        <f aca="false">FG92*Slot15_SpendLike*MIN(Slot15_Cost-FJ92,FC92)</f>
        <v>0</v>
      </c>
      <c r="FL92" s="20" t="n">
        <f aca="false">FJ92+FK92</f>
        <v>0</v>
      </c>
      <c r="FM92" s="20" t="n">
        <f aca="false">FC92-FK92+FG92*IF(Slot15_SpendLike=1,FI92-FJ92,IF(Slot15_PotFree=1,FI92,0))</f>
        <v>0</v>
      </c>
      <c r="FN92" s="20" t="n">
        <f aca="false">FD92+FG92*Slot15_BufPot*FI92</f>
        <v>0</v>
      </c>
      <c r="FO92" s="20" t="n">
        <f aca="false">IF(AND(FG92=1,Slot15_IsMfree=1),IF(FL92&gt;=Slot15_Cost-1,0,MAX(0,FE92-FL92)),FE92)</f>
        <v>0</v>
      </c>
      <c r="FP92" s="20" t="n">
        <f aca="false">FG92*(Slot15_Cost-FL92)</f>
        <v>0</v>
      </c>
      <c r="FQ92" s="20" t="n">
        <f aca="false">IF(AND(Slot16_On=1,D92=Slot16_Age),1,0)</f>
        <v>0</v>
      </c>
      <c r="FR92" s="20" t="n">
        <f aca="false">IF(AND(Slot16_On=1,Slot16_Age&gt;D92),1,0)</f>
        <v>0</v>
      </c>
      <c r="FS92" s="20" t="n">
        <f aca="false">SU91</f>
        <v>0</v>
      </c>
      <c r="FT92" s="20" t="n">
        <f aca="false">FQ92*MIN(Slot16_Cost,FS92)</f>
        <v>0</v>
      </c>
      <c r="FU92" s="20" t="n">
        <f aca="false">FQ92*Slot16_SpendLike*MIN(Slot16_Cost-FT92,FM92)</f>
        <v>0</v>
      </c>
      <c r="FV92" s="20" t="n">
        <f aca="false">FT92+FU92</f>
        <v>0</v>
      </c>
      <c r="FW92" s="20" t="n">
        <f aca="false">FM92-FU92+FQ92*IF(Slot16_SpendLike=1,FS92-FT92,IF(Slot16_PotFree=1,FS92,0))</f>
        <v>0</v>
      </c>
      <c r="FX92" s="20" t="n">
        <f aca="false">FN92+FQ92*Slot16_BufPot*FS92</f>
        <v>0</v>
      </c>
      <c r="FY92" s="20" t="n">
        <f aca="false">IF(AND(FQ92=1,Slot16_IsMfree=1),IF(FV92&gt;=Slot16_Cost-1,0,MAX(0,FO92-FV92)),FO92)</f>
        <v>0</v>
      </c>
      <c r="FZ92" s="20" t="n">
        <f aca="false">FQ92*(Slot16_Cost-FV92)</f>
        <v>0</v>
      </c>
      <c r="GA92" s="20" t="n">
        <f aca="false">IF(AND(Slot17_On=1,D92=Slot17_Age),1,0)</f>
        <v>0</v>
      </c>
      <c r="GB92" s="20" t="n">
        <f aca="false">IF(AND(Slot17_On=1,Slot17_Age&gt;D92),1,0)</f>
        <v>0</v>
      </c>
      <c r="GC92" s="20" t="n">
        <f aca="false">SY91</f>
        <v>0</v>
      </c>
      <c r="GD92" s="20" t="n">
        <f aca="false">GA92*MIN(Slot17_Cost,GC92)</f>
        <v>0</v>
      </c>
      <c r="GE92" s="20" t="n">
        <f aca="false">GA92*Slot17_SpendLike*MIN(Slot17_Cost-GD92,FW92)</f>
        <v>0</v>
      </c>
      <c r="GF92" s="20" t="n">
        <f aca="false">GD92+GE92</f>
        <v>0</v>
      </c>
      <c r="GG92" s="20" t="n">
        <f aca="false">FW92-GE92+GA92*IF(Slot17_SpendLike=1,GC92-GD92,IF(Slot17_PotFree=1,GC92,0))</f>
        <v>0</v>
      </c>
      <c r="GH92" s="20" t="n">
        <f aca="false">FX92+GA92*Slot17_BufPot*GC92</f>
        <v>0</v>
      </c>
      <c r="GI92" s="20" t="n">
        <f aca="false">IF(AND(GA92=1,Slot17_IsMfree=1),IF(GF92&gt;=Slot17_Cost-1,0,MAX(0,FY92-GF92)),FY92)</f>
        <v>0</v>
      </c>
      <c r="GJ92" s="20" t="n">
        <f aca="false">GA92*(Slot17_Cost-GF92)</f>
        <v>0</v>
      </c>
      <c r="GK92" s="20" t="n">
        <f aca="false">IF(AND(Slot18_On=1,D92=Slot18_Age),1,0)</f>
        <v>0</v>
      </c>
      <c r="GL92" s="20" t="n">
        <f aca="false">IF(AND(Slot18_On=1,Slot18_Age&gt;D92),1,0)</f>
        <v>0</v>
      </c>
      <c r="GM92" s="20" t="n">
        <f aca="false">TC91</f>
        <v>0</v>
      </c>
      <c r="GN92" s="20" t="n">
        <f aca="false">GK92*MIN(Slot18_Cost,GM92)</f>
        <v>0</v>
      </c>
      <c r="GO92" s="20" t="n">
        <f aca="false">GK92*Slot18_SpendLike*MIN(Slot18_Cost-GN92,GG92)</f>
        <v>0</v>
      </c>
      <c r="GP92" s="20" t="n">
        <f aca="false">GN92+GO92</f>
        <v>0</v>
      </c>
      <c r="GQ92" s="20" t="n">
        <f aca="false">GG92-GO92+GK92*IF(Slot18_SpendLike=1,GM92-GN92,IF(Slot18_PotFree=1,GM92,0))</f>
        <v>0</v>
      </c>
      <c r="GR92" s="20" t="n">
        <f aca="false">GH92+GK92*Slot18_BufPot*GM92</f>
        <v>0</v>
      </c>
      <c r="GS92" s="20" t="n">
        <f aca="false">IF(AND(GK92=1,Slot18_IsMfree=1),IF(GP92&gt;=Slot18_Cost-1,0,MAX(0,GI92-GP92)),GI92)</f>
        <v>0</v>
      </c>
      <c r="GT92" s="20" t="n">
        <f aca="false">GK92*(Slot18_Cost-GP92)</f>
        <v>0</v>
      </c>
      <c r="GU92" s="20" t="n">
        <f aca="false">IF(AND(Slot19_On=1,D92=Slot19_Age),1,0)</f>
        <v>0</v>
      </c>
      <c r="GV92" s="20" t="n">
        <f aca="false">IF(AND(Slot19_On=1,Slot19_Age&gt;D92),1,0)</f>
        <v>0</v>
      </c>
      <c r="GW92" s="20" t="n">
        <f aca="false">TG91</f>
        <v>0</v>
      </c>
      <c r="GX92" s="20" t="n">
        <f aca="false">GU92*MIN(Slot19_Cost,GW92)</f>
        <v>0</v>
      </c>
      <c r="GY92" s="20" t="n">
        <f aca="false">GU92*Slot19_SpendLike*MIN(Slot19_Cost-GX92,GQ92)</f>
        <v>0</v>
      </c>
      <c r="GZ92" s="20" t="n">
        <f aca="false">GX92+GY92</f>
        <v>0</v>
      </c>
      <c r="HA92" s="20" t="n">
        <f aca="false">GQ92-GY92+GU92*IF(Slot19_SpendLike=1,GW92-GX92,IF(Slot19_PotFree=1,GW92,0))</f>
        <v>0</v>
      </c>
      <c r="HB92" s="20" t="n">
        <f aca="false">GR92+GU92*Slot19_BufPot*GW92</f>
        <v>0</v>
      </c>
      <c r="HC92" s="20" t="n">
        <f aca="false">IF(AND(GU92=1,Slot19_IsMfree=1),IF(GZ92&gt;=Slot19_Cost-1,0,MAX(0,GS92-GZ92)),GS92)</f>
        <v>0</v>
      </c>
      <c r="HD92" s="20" t="n">
        <f aca="false">GU92*(Slot19_Cost-GZ92)</f>
        <v>0</v>
      </c>
      <c r="HE92" s="20" t="n">
        <f aca="false">IF(AND(Slot20_On=1,D92=Slot20_Age),1,0)</f>
        <v>0</v>
      </c>
      <c r="HF92" s="20" t="n">
        <f aca="false">IF(AND(Slot20_On=1,Slot20_Age&gt;D92),1,0)</f>
        <v>0</v>
      </c>
      <c r="HG92" s="20" t="n">
        <f aca="false">TK91</f>
        <v>0</v>
      </c>
      <c r="HH92" s="20" t="n">
        <f aca="false">HE92*MIN(Slot20_Cost,HG92)</f>
        <v>0</v>
      </c>
      <c r="HI92" s="20" t="n">
        <f aca="false">HE92*Slot20_SpendLike*MIN(Slot20_Cost-HH92,HA92)</f>
        <v>0</v>
      </c>
      <c r="HJ92" s="20" t="n">
        <f aca="false">HH92+HI92</f>
        <v>0</v>
      </c>
      <c r="HK92" s="20" t="n">
        <f aca="false">HA92-HI92+HE92*IF(Slot20_SpendLike=1,HG92-HH92,IF(Slot20_PotFree=1,HG92,0))</f>
        <v>0</v>
      </c>
      <c r="HL92" s="20" t="n">
        <f aca="false">HB92+HE92*Slot20_BufPot*HG92</f>
        <v>0</v>
      </c>
      <c r="HM92" s="20" t="n">
        <f aca="false">IF(AND(HE92=1,Slot20_IsMfree=1),IF(HJ92&gt;=Slot20_Cost-1,0,MAX(0,HC92-HJ92)),HC92)</f>
        <v>0</v>
      </c>
      <c r="HN92" s="20" t="n">
        <f aca="false">HE92*(Slot20_Cost-HJ92)</f>
        <v>0</v>
      </c>
      <c r="HO92" s="20" t="n">
        <f aca="false">V92*Slot1_SpendLike*AA92+AG92*Slot2_SpendLike*AL92+AQ92*Slot3_SpendLike*AV92+BA92*Slot4_SpendLike*BF92+BK92*Slot5_SpendLike*BP92+BU92*Slot6_SpendLike*BZ92+CE92*Slot7_SpendLike*CJ92+CO92*Slot8_SpendLike*CT92+CY92*Slot9_SpendLike*DD92+DI92*Slot10_SpendLike*DN92+DS92*Slot11_SpendLike*DX92+EC92*Slot12_SpendLike*EH92+EM92*Slot13_SpendLike*ER92+EW92*Slot14_SpendLike*FB92+FG92*Slot15_SpendLike*FL92+FQ92*Slot16_SpendLike*FV92+GA92*Slot17_SpendLike*GF92+GK92*Slot18_SpendLike*GP92+GU92*Slot19_SpendLike*GZ92+HE92*Slot20_SpendLike*HJ92</f>
        <v>0</v>
      </c>
      <c r="HP92" s="20" t="n">
        <f aca="false">AE92+AP92+AZ92+BJ92+BT92+CD92+CN92+CX92+DH92+DR92+EB92+EL92+EV92+FF92+FP92+FZ92+GJ92+GT92+HD92+HN92</f>
        <v>0</v>
      </c>
      <c r="HQ92" s="20" t="n">
        <f aca="false">V92*Slot1_Cost+AG92*Slot2_Cost+AQ92*Slot3_Cost+BA92*Slot4_Cost+BK92*Slot5_Cost+BU92*Slot6_Cost+CE92*Slot7_Cost+CO92*Slot8_Cost+CY92*Slot9_Cost+DI92*Slot10_Cost+DS92*Slot11_Cost+EC92*Slot12_Cost+EM92*Slot13_Cost+EW92*Slot14_Cost+FG92*Slot15_Cost+FQ92*Slot16_Cost+GA92*Slot17_Cost+GK92*Slot18_Cost+GU92*Slot19_Cost+HE92*Slot20_Cost</f>
        <v>0</v>
      </c>
      <c r="HR92" s="20" t="n">
        <f aca="false">HM92</f>
        <v>0</v>
      </c>
      <c r="HS92" s="20" t="n">
        <f aca="false">H92-I92-S92</f>
        <v>-101670.54782589</v>
      </c>
      <c r="HT92" s="20" t="n">
        <f aca="false">IF(B92=0,IF(AND(Has_q6=1,In_q6=4),PR_ShareVaries*(MAX(0,HS92)/12),MIN(IF(Has_q6=1,CHOOSE(In_q6+1,PR_SaveB1,PR_SaveB2,PR_SaveB3,PR_SaveB4,0),AS_NoAnswer),AS_SaveShare*(MAX(0,HS92)/12))),HT91)</f>
        <v>67.3316893520437</v>
      </c>
      <c r="HU92" s="20" t="n">
        <f aca="false">IF(HS92&gt;=0,1,0)</f>
        <v>0</v>
      </c>
      <c r="HV92" s="20" t="n">
        <f aca="false">MAX(0,HS92/12/F92)</f>
        <v>0</v>
      </c>
      <c r="HW92" s="20" t="n">
        <f aca="false">IF(AND(Has_q6=1,In_q6=4),PR_ShareVaries*(HV92),MIN(IF(Has_q6=1,CHOOSE(In_q6+1,PR_SaveB1,PR_SaveB2,PR_SaveB3,PR_SaveB4,0),AS_NoAnswer),AS_SaveShare*(HV92)))</f>
        <v>0</v>
      </c>
      <c r="HX92" s="20" t="n">
        <f aca="false">IF(Has_saveM=1,IF(In_saveUp="Yes",1,IF(In_saveUp="No",0,IF(In_saveM&gt;=HT92-0.5,1,0))),0)</f>
        <v>0</v>
      </c>
      <c r="HY92" s="20" t="n">
        <f aca="false">IF(Has_saveM=1,MIN(HV92,IF(HX92=1,MAX(In_saveM,HW92),MIN(In_saveM,HW92))),HW92)</f>
        <v>0</v>
      </c>
      <c r="HZ92" s="20" t="n">
        <f aca="false">IF(G92=1,HY92*12*F92,0)</f>
        <v>0</v>
      </c>
      <c r="IA92" s="20" t="n">
        <f aca="false">MAX(0,HZ92+IF(AND(WI_Retire=0,WI_M&lt;0,G92=1),WI_M*12*F92,0))</f>
        <v>0</v>
      </c>
      <c r="IB92" s="20" t="n">
        <f aca="false">Slot1_IsWG*W92+Slot2_IsWG*AH92+Slot3_IsWG*AR92+Slot4_IsWG*BB92+Slot5_IsWG*BL92+Slot6_IsWG*BV92+Slot7_IsWG*CF92+Slot8_IsWG*CP92+Slot9_IsWG*CZ92+Slot10_IsWG*DJ92+Slot11_IsWG*DT92+Slot12_IsWG*ED92+Slot13_IsWG*EN92+Slot14_IsWG*EX92+Slot15_IsWG*FH92+Slot16_IsWG*FR92+Slot17_IsWG*GB92+Slot18_IsWG*GL92+Slot19_IsWG*GV92+Slot20_IsWG*HF92</f>
        <v>0</v>
      </c>
      <c r="IC92" s="20" t="n">
        <f aca="false">IF(AND(WI_Retire=0,WI_M&gt;0,G92=1,IB92&gt;=1),WI_M*12*F92,0)</f>
        <v>0</v>
      </c>
      <c r="ID92" s="20" t="n">
        <f aca="false">IF(HU92=1,MIN(IA92,HS92),0)</f>
        <v>0</v>
      </c>
      <c r="IE92" s="20" t="n">
        <f aca="false">IF(HU92=1,MIN(IC92,HS92-ID92),0)</f>
        <v>0</v>
      </c>
      <c r="IF92" s="20" t="n">
        <f aca="false">IF(W92=1,IF(ABS((1+AS_Wage)/(1+Slot1_Rate)-1)&lt;0.000000000001,(Slot1_Age-D92)*(1+Slot1_Rate)^(Slot1_Age-D92),(1+Slot1_Rate)^(Slot1_Age-D92)*(1-((1+AS_Wage)/(1+Slot1_Rate))^(Slot1_Age-D92))/(1-(1+AS_Wage)/(1+Slot1_Rate))),1)</f>
        <v>1</v>
      </c>
      <c r="IG92" s="20" t="n">
        <f aca="false">IF(AND(HU92=1,IE92&gt;0,Slot1_IsWG=1,W92=1),MAX(0,(Slot1_Cost-X92*(1+Slot1_Rate)^(Slot1_Age-D92))/IF92),0)</f>
        <v>0</v>
      </c>
      <c r="IH92" s="20" t="n">
        <f aca="false">IF(AND(HU92=1,IE92&gt;0,Slot1_IsWG=1,W92=1),MIN(IE92,IG92),0)</f>
        <v>0</v>
      </c>
      <c r="II92" s="20" t="n">
        <f aca="false">X92+IH92</f>
        <v>0</v>
      </c>
      <c r="IJ92" s="20" t="n">
        <f aca="false">IF(W92=1,MAX(0,(Slot1_Cost-II92*(1+Slot1_Rate)^(Slot1_Age-D92))/IF92),0)</f>
        <v>0</v>
      </c>
      <c r="IK92" s="20" t="n">
        <f aca="false">IF(W92=1,MAX(0,(Slot1_Cost-X92*(1+Slot1_Rate)^(Slot1_Age-D92))/IF92),0)</f>
        <v>0</v>
      </c>
      <c r="IL92" s="20" t="n">
        <f aca="false">IF(AND(HU92=1,W92=1),MIN(ID92,IJ92),0)</f>
        <v>0</v>
      </c>
      <c r="IM92" s="20" t="n">
        <f aca="false">ID92-IL92</f>
        <v>0</v>
      </c>
      <c r="IN92" s="20" t="n">
        <f aca="false">IF(AH92=1,IF(ABS((1+AS_Wage)/(1+Slot2_Rate)-1)&lt;0.000000000001,(Slot2_Age-D92)*(1+Slot2_Rate)^(Slot2_Age-D92),(1+Slot2_Rate)^(Slot2_Age-D92)*(1-((1+AS_Wage)/(1+Slot2_Rate))^(Slot2_Age-D92))/(1-(1+AS_Wage)/(1+Slot2_Rate))),1)</f>
        <v>1</v>
      </c>
      <c r="IO92" s="20" t="n">
        <f aca="false">IF(AND(HU92=1,IE92&gt;0,Slot2_IsWG=1,AH92=1),MAX(0,(Slot2_Cost-AI92*(1+Slot2_Rate)^(Slot2_Age-D92))/IN92),0)</f>
        <v>0</v>
      </c>
      <c r="IP92" s="20" t="n">
        <f aca="false">IF(AND(HU92=1,IE92&gt;0,Slot2_IsWG=1,AH92=1),MIN(IE92,IO92),0)</f>
        <v>0</v>
      </c>
      <c r="IQ92" s="20" t="n">
        <f aca="false">AI92+IP92</f>
        <v>0</v>
      </c>
      <c r="IR92" s="20" t="n">
        <f aca="false">IF(AH92=1,MAX(0,(Slot2_Cost-IQ92*(1+Slot2_Rate)^(Slot2_Age-D92))/IN92),0)</f>
        <v>0</v>
      </c>
      <c r="IS92" s="20" t="n">
        <f aca="false">IF(AH92=1,MAX(0,(Slot2_Cost-AI92*(1+Slot2_Rate)^(Slot2_Age-D92))/IN92),0)</f>
        <v>0</v>
      </c>
      <c r="IT92" s="20" t="n">
        <f aca="false">IF(AND(HU92=1,AH92=1),MIN(IM92,IR92),0)</f>
        <v>0</v>
      </c>
      <c r="IU92" s="20" t="n">
        <f aca="false">IM92-IT92</f>
        <v>0</v>
      </c>
      <c r="IV92" s="20" t="n">
        <f aca="false">IF(AR92=1,IF(ABS((1+AS_Wage)/(1+Slot3_Rate)-1)&lt;0.000000000001,(Slot3_Age-D92)*(1+Slot3_Rate)^(Slot3_Age-D92),(1+Slot3_Rate)^(Slot3_Age-D92)*(1-((1+AS_Wage)/(1+Slot3_Rate))^(Slot3_Age-D92))/(1-(1+AS_Wage)/(1+Slot3_Rate))),1)</f>
        <v>1</v>
      </c>
      <c r="IW92" s="20" t="n">
        <f aca="false">IF(AND(HU92=1,IE92&gt;0,Slot3_IsWG=1,AR92=1),MAX(0,(Slot3_Cost-AS92*(1+Slot3_Rate)^(Slot3_Age-D92))/IV92),0)</f>
        <v>0</v>
      </c>
      <c r="IX92" s="20" t="n">
        <f aca="false">IF(AND(HU92=1,IE92&gt;0,Slot3_IsWG=1,AR92=1),MIN(IE92,IW92),0)</f>
        <v>0</v>
      </c>
      <c r="IY92" s="20" t="n">
        <f aca="false">AS92+IX92</f>
        <v>0</v>
      </c>
      <c r="IZ92" s="20" t="n">
        <f aca="false">IF(AR92=1,MAX(0,(Slot3_Cost-IY92*(1+Slot3_Rate)^(Slot3_Age-D92))/IV92),0)</f>
        <v>0</v>
      </c>
      <c r="JA92" s="20" t="n">
        <f aca="false">IF(AR92=1,MAX(0,(Slot3_Cost-AS92*(1+Slot3_Rate)^(Slot3_Age-D92))/IV92),0)</f>
        <v>0</v>
      </c>
      <c r="JB92" s="20" t="n">
        <f aca="false">IF(AND(HU92=1,AR92=1),MIN(IU92,IZ92),0)</f>
        <v>0</v>
      </c>
      <c r="JC92" s="20" t="n">
        <f aca="false">IU92-JB92</f>
        <v>0</v>
      </c>
      <c r="JD92" s="20" t="n">
        <f aca="false">IF(BB92=1,IF(ABS((1+AS_Wage)/(1+Slot4_Rate)-1)&lt;0.000000000001,(Slot4_Age-D92)*(1+Slot4_Rate)^(Slot4_Age-D92),(1+Slot4_Rate)^(Slot4_Age-D92)*(1-((1+AS_Wage)/(1+Slot4_Rate))^(Slot4_Age-D92))/(1-(1+AS_Wage)/(1+Slot4_Rate))),1)</f>
        <v>1</v>
      </c>
      <c r="JE92" s="20" t="n">
        <f aca="false">IF(AND(HU92=1,IE92&gt;0,Slot4_IsWG=1,BB92=1),MAX(0,(Slot4_Cost-BC92*(1+Slot4_Rate)^(Slot4_Age-D92))/JD92),0)</f>
        <v>0</v>
      </c>
      <c r="JF92" s="20" t="n">
        <f aca="false">IF(AND(HU92=1,IE92&gt;0,Slot4_IsWG=1,BB92=1),MIN(IE92,JE92),0)</f>
        <v>0</v>
      </c>
      <c r="JG92" s="20" t="n">
        <f aca="false">BC92+JF92</f>
        <v>0</v>
      </c>
      <c r="JH92" s="20" t="n">
        <f aca="false">IF(BB92=1,MAX(0,(Slot4_Cost-JG92*(1+Slot4_Rate)^(Slot4_Age-D92))/JD92),0)</f>
        <v>0</v>
      </c>
      <c r="JI92" s="20" t="n">
        <f aca="false">IF(BB92=1,MAX(0,(Slot4_Cost-BC92*(1+Slot4_Rate)^(Slot4_Age-D92))/JD92),0)</f>
        <v>0</v>
      </c>
      <c r="JJ92" s="20" t="n">
        <f aca="false">IF(AND(HU92=1,BB92=1),MIN(JC92,JH92),0)</f>
        <v>0</v>
      </c>
      <c r="JK92" s="20" t="n">
        <f aca="false">JC92-JJ92</f>
        <v>0</v>
      </c>
      <c r="JL92" s="20" t="n">
        <f aca="false">IF(BL92=1,IF(ABS((1+AS_Wage)/(1+Slot5_Rate)-1)&lt;0.000000000001,(Slot5_Age-D92)*(1+Slot5_Rate)^(Slot5_Age-D92),(1+Slot5_Rate)^(Slot5_Age-D92)*(1-((1+AS_Wage)/(1+Slot5_Rate))^(Slot5_Age-D92))/(1-(1+AS_Wage)/(1+Slot5_Rate))),1)</f>
        <v>1</v>
      </c>
      <c r="JM92" s="20" t="n">
        <f aca="false">IF(AND(HU92=1,IE92&gt;0,Slot5_IsWG=1,BL92=1),MAX(0,(Slot5_Cost-BM92*(1+Slot5_Rate)^(Slot5_Age-D92))/JL92),0)</f>
        <v>0</v>
      </c>
      <c r="JN92" s="20" t="n">
        <f aca="false">IF(AND(HU92=1,IE92&gt;0,Slot5_IsWG=1,BL92=1),MIN(IE92,JM92),0)</f>
        <v>0</v>
      </c>
      <c r="JO92" s="20" t="n">
        <f aca="false">BM92+JN92</f>
        <v>0</v>
      </c>
      <c r="JP92" s="20" t="n">
        <f aca="false">IF(BL92=1,MAX(0,(Slot5_Cost-JO92*(1+Slot5_Rate)^(Slot5_Age-D92))/JL92),0)</f>
        <v>0</v>
      </c>
      <c r="JQ92" s="20" t="n">
        <f aca="false">IF(BL92=1,MAX(0,(Slot5_Cost-BM92*(1+Slot5_Rate)^(Slot5_Age-D92))/JL92),0)</f>
        <v>0</v>
      </c>
      <c r="JR92" s="20" t="n">
        <f aca="false">IF(AND(HU92=1,BL92=1),MIN(JK92,JP92),0)</f>
        <v>0</v>
      </c>
      <c r="JS92" s="20" t="n">
        <f aca="false">JK92-JR92</f>
        <v>0</v>
      </c>
      <c r="JT92" s="20" t="n">
        <f aca="false">IF(BV92=1,IF(ABS((1+AS_Wage)/(1+Slot6_Rate)-1)&lt;0.000000000001,(Slot6_Age-D92)*(1+Slot6_Rate)^(Slot6_Age-D92),(1+Slot6_Rate)^(Slot6_Age-D92)*(1-((1+AS_Wage)/(1+Slot6_Rate))^(Slot6_Age-D92))/(1-(1+AS_Wage)/(1+Slot6_Rate))),1)</f>
        <v>1</v>
      </c>
      <c r="JU92" s="20" t="n">
        <f aca="false">IF(AND(HU92=1,IE92&gt;0,Slot6_IsWG=1,BV92=1),MAX(0,(Slot6_Cost-BW92*(1+Slot6_Rate)^(Slot6_Age-D92))/JT92),0)</f>
        <v>0</v>
      </c>
      <c r="JV92" s="20" t="n">
        <f aca="false">IF(AND(HU92=1,IE92&gt;0,Slot6_IsWG=1,BV92=1),MIN(IE92,JU92),0)</f>
        <v>0</v>
      </c>
      <c r="JW92" s="20" t="n">
        <f aca="false">BW92+JV92</f>
        <v>0</v>
      </c>
      <c r="JX92" s="20" t="n">
        <f aca="false">IF(BV92=1,MAX(0,(Slot6_Cost-JW92*(1+Slot6_Rate)^(Slot6_Age-D92))/JT92),0)</f>
        <v>0</v>
      </c>
      <c r="JY92" s="20" t="n">
        <f aca="false">IF(BV92=1,MAX(0,(Slot6_Cost-BW92*(1+Slot6_Rate)^(Slot6_Age-D92))/JT92),0)</f>
        <v>0</v>
      </c>
      <c r="JZ92" s="20" t="n">
        <f aca="false">IF(AND(HU92=1,BV92=1),MIN(JS92,JX92),0)</f>
        <v>0</v>
      </c>
      <c r="KA92" s="20" t="n">
        <f aca="false">JS92-JZ92</f>
        <v>0</v>
      </c>
      <c r="KB92" s="20" t="n">
        <f aca="false">IF(CF92=1,IF(ABS((1+AS_Wage)/(1+Slot7_Rate)-1)&lt;0.000000000001,(Slot7_Age-D92)*(1+Slot7_Rate)^(Slot7_Age-D92),(1+Slot7_Rate)^(Slot7_Age-D92)*(1-((1+AS_Wage)/(1+Slot7_Rate))^(Slot7_Age-D92))/(1-(1+AS_Wage)/(1+Slot7_Rate))),1)</f>
        <v>1</v>
      </c>
      <c r="KC92" s="20" t="n">
        <f aca="false">IF(AND(HU92=1,IE92&gt;0,Slot7_IsWG=1,CF92=1),MAX(0,(Slot7_Cost-CG92*(1+Slot7_Rate)^(Slot7_Age-D92))/KB92),0)</f>
        <v>0</v>
      </c>
      <c r="KD92" s="20" t="n">
        <f aca="false">IF(AND(HU92=1,IE92&gt;0,Slot7_IsWG=1,CF92=1),MIN(IE92,KC92),0)</f>
        <v>0</v>
      </c>
      <c r="KE92" s="20" t="n">
        <f aca="false">CG92+KD92</f>
        <v>0</v>
      </c>
      <c r="KF92" s="20" t="n">
        <f aca="false">IF(CF92=1,MAX(0,(Slot7_Cost-KE92*(1+Slot7_Rate)^(Slot7_Age-D92))/KB92),0)</f>
        <v>0</v>
      </c>
      <c r="KG92" s="20" t="n">
        <f aca="false">IF(CF92=1,MAX(0,(Slot7_Cost-CG92*(1+Slot7_Rate)^(Slot7_Age-D92))/KB92),0)</f>
        <v>0</v>
      </c>
      <c r="KH92" s="20" t="n">
        <f aca="false">IF(AND(HU92=1,CF92=1),MIN(KA92,KF92),0)</f>
        <v>0</v>
      </c>
      <c r="KI92" s="20" t="n">
        <f aca="false">KA92-KH92</f>
        <v>0</v>
      </c>
      <c r="KJ92" s="20" t="n">
        <f aca="false">IF(CP92=1,IF(ABS((1+AS_Wage)/(1+Slot8_Rate)-1)&lt;0.000000000001,(Slot8_Age-D92)*(1+Slot8_Rate)^(Slot8_Age-D92),(1+Slot8_Rate)^(Slot8_Age-D92)*(1-((1+AS_Wage)/(1+Slot8_Rate))^(Slot8_Age-D92))/(1-(1+AS_Wage)/(1+Slot8_Rate))),1)</f>
        <v>1</v>
      </c>
      <c r="KK92" s="20" t="n">
        <f aca="false">IF(AND(HU92=1,IE92&gt;0,Slot8_IsWG=1,CP92=1),MAX(0,(Slot8_Cost-CQ92*(1+Slot8_Rate)^(Slot8_Age-D92))/KJ92),0)</f>
        <v>0</v>
      </c>
      <c r="KL92" s="20" t="n">
        <f aca="false">IF(AND(HU92=1,IE92&gt;0,Slot8_IsWG=1,CP92=1),MIN(IE92,KK92),0)</f>
        <v>0</v>
      </c>
      <c r="KM92" s="20" t="n">
        <f aca="false">CQ92+KL92</f>
        <v>0</v>
      </c>
      <c r="KN92" s="20" t="n">
        <f aca="false">IF(CP92=1,MAX(0,(Slot8_Cost-KM92*(1+Slot8_Rate)^(Slot8_Age-D92))/KJ92),0)</f>
        <v>0</v>
      </c>
      <c r="KO92" s="20" t="n">
        <f aca="false">IF(CP92=1,MAX(0,(Slot8_Cost-CQ92*(1+Slot8_Rate)^(Slot8_Age-D92))/KJ92),0)</f>
        <v>0</v>
      </c>
      <c r="KP92" s="20" t="n">
        <f aca="false">IF(AND(HU92=1,CP92=1),MIN(KI92,KN92),0)</f>
        <v>0</v>
      </c>
      <c r="KQ92" s="20" t="n">
        <f aca="false">KI92-KP92</f>
        <v>0</v>
      </c>
      <c r="KR92" s="20" t="n">
        <f aca="false">IF(CZ92=1,IF(ABS((1+AS_Wage)/(1+Slot9_Rate)-1)&lt;0.000000000001,(Slot9_Age-D92)*(1+Slot9_Rate)^(Slot9_Age-D92),(1+Slot9_Rate)^(Slot9_Age-D92)*(1-((1+AS_Wage)/(1+Slot9_Rate))^(Slot9_Age-D92))/(1-(1+AS_Wage)/(1+Slot9_Rate))),1)</f>
        <v>1</v>
      </c>
      <c r="KS92" s="20" t="n">
        <f aca="false">IF(AND(HU92=1,IE92&gt;0,Slot9_IsWG=1,CZ92=1),MAX(0,(Slot9_Cost-DA92*(1+Slot9_Rate)^(Slot9_Age-D92))/KR92),0)</f>
        <v>0</v>
      </c>
      <c r="KT92" s="20" t="n">
        <f aca="false">IF(AND(HU92=1,IE92&gt;0,Slot9_IsWG=1,CZ92=1),MIN(IE92,KS92),0)</f>
        <v>0</v>
      </c>
      <c r="KU92" s="20" t="n">
        <f aca="false">DA92+KT92</f>
        <v>0</v>
      </c>
      <c r="KV92" s="20" t="n">
        <f aca="false">IF(CZ92=1,MAX(0,(Slot9_Cost-KU92*(1+Slot9_Rate)^(Slot9_Age-D92))/KR92),0)</f>
        <v>0</v>
      </c>
      <c r="KW92" s="20" t="n">
        <f aca="false">IF(CZ92=1,MAX(0,(Slot9_Cost-DA92*(1+Slot9_Rate)^(Slot9_Age-D92))/KR92),0)</f>
        <v>0</v>
      </c>
      <c r="KX92" s="20" t="n">
        <f aca="false">IF(AND(HU92=1,CZ92=1),MIN(KQ92,KV92),0)</f>
        <v>0</v>
      </c>
      <c r="KY92" s="20" t="n">
        <f aca="false">KQ92-KX92</f>
        <v>0</v>
      </c>
      <c r="KZ92" s="20" t="n">
        <f aca="false">IF(DJ92=1,IF(ABS((1+AS_Wage)/(1+Slot10_Rate)-1)&lt;0.000000000001,(Slot10_Age-D92)*(1+Slot10_Rate)^(Slot10_Age-D92),(1+Slot10_Rate)^(Slot10_Age-D92)*(1-((1+AS_Wage)/(1+Slot10_Rate))^(Slot10_Age-D92))/(1-(1+AS_Wage)/(1+Slot10_Rate))),1)</f>
        <v>1</v>
      </c>
      <c r="LA92" s="20" t="n">
        <f aca="false">IF(AND(HU92=1,IE92&gt;0,Slot10_IsWG=1,DJ92=1),MAX(0,(Slot10_Cost-DK92*(1+Slot10_Rate)^(Slot10_Age-D92))/KZ92),0)</f>
        <v>0</v>
      </c>
      <c r="LB92" s="20" t="n">
        <f aca="false">IF(AND(HU92=1,IE92&gt;0,Slot10_IsWG=1,DJ92=1),MIN(IE92,LA92),0)</f>
        <v>0</v>
      </c>
      <c r="LC92" s="20" t="n">
        <f aca="false">DK92+LB92</f>
        <v>0</v>
      </c>
      <c r="LD92" s="20" t="n">
        <f aca="false">IF(DJ92=1,MAX(0,(Slot10_Cost-LC92*(1+Slot10_Rate)^(Slot10_Age-D92))/KZ92),0)</f>
        <v>0</v>
      </c>
      <c r="LE92" s="20" t="n">
        <f aca="false">IF(DJ92=1,MAX(0,(Slot10_Cost-DK92*(1+Slot10_Rate)^(Slot10_Age-D92))/KZ92),0)</f>
        <v>0</v>
      </c>
      <c r="LF92" s="20" t="n">
        <f aca="false">IF(AND(HU92=1,DJ92=1),MIN(KY92,LD92),0)</f>
        <v>0</v>
      </c>
      <c r="LG92" s="20" t="n">
        <f aca="false">KY92-LF92</f>
        <v>0</v>
      </c>
      <c r="LH92" s="20" t="n">
        <f aca="false">IF(DT92=1,IF(ABS((1+AS_Wage)/(1+Slot11_Rate)-1)&lt;0.000000000001,(Slot11_Age-D92)*(1+Slot11_Rate)^(Slot11_Age-D92),(1+Slot11_Rate)^(Slot11_Age-D92)*(1-((1+AS_Wage)/(1+Slot11_Rate))^(Slot11_Age-D92))/(1-(1+AS_Wage)/(1+Slot11_Rate))),1)</f>
        <v>1</v>
      </c>
      <c r="LI92" s="20" t="n">
        <f aca="false">IF(AND(HU92=1,IE92&gt;0,Slot11_IsWG=1,DT92=1),MAX(0,(Slot11_Cost-DU92*(1+Slot11_Rate)^(Slot11_Age-D92))/LH92),0)</f>
        <v>0</v>
      </c>
      <c r="LJ92" s="20" t="n">
        <f aca="false">IF(AND(HU92=1,IE92&gt;0,Slot11_IsWG=1,DT92=1),MIN(IE92,LI92),0)</f>
        <v>0</v>
      </c>
      <c r="LK92" s="20" t="n">
        <f aca="false">DU92+LJ92</f>
        <v>0</v>
      </c>
      <c r="LL92" s="20" t="n">
        <f aca="false">IF(DT92=1,MAX(0,(Slot11_Cost-LK92*(1+Slot11_Rate)^(Slot11_Age-D92))/LH92),0)</f>
        <v>0</v>
      </c>
      <c r="LM92" s="20" t="n">
        <f aca="false">IF(DT92=1,MAX(0,(Slot11_Cost-DU92*(1+Slot11_Rate)^(Slot11_Age-D92))/LH92),0)</f>
        <v>0</v>
      </c>
      <c r="LN92" s="20" t="n">
        <f aca="false">IF(AND(HU92=1,DT92=1),MIN(LG92,LL92),0)</f>
        <v>0</v>
      </c>
      <c r="LO92" s="20" t="n">
        <f aca="false">LG92-LN92</f>
        <v>0</v>
      </c>
      <c r="LP92" s="20" t="n">
        <f aca="false">IF(ED92=1,IF(ABS((1+AS_Wage)/(1+Slot12_Rate)-1)&lt;0.000000000001,(Slot12_Age-D92)*(1+Slot12_Rate)^(Slot12_Age-D92),(1+Slot12_Rate)^(Slot12_Age-D92)*(1-((1+AS_Wage)/(1+Slot12_Rate))^(Slot12_Age-D92))/(1-(1+AS_Wage)/(1+Slot12_Rate))),1)</f>
        <v>1</v>
      </c>
      <c r="LQ92" s="20" t="n">
        <f aca="false">IF(AND(HU92=1,IE92&gt;0,Slot12_IsWG=1,ED92=1),MAX(0,(Slot12_Cost-EE92*(1+Slot12_Rate)^(Slot12_Age-D92))/LP92),0)</f>
        <v>0</v>
      </c>
      <c r="LR92" s="20" t="n">
        <f aca="false">IF(AND(HU92=1,IE92&gt;0,Slot12_IsWG=1,ED92=1),MIN(IE92,LQ92),0)</f>
        <v>0</v>
      </c>
      <c r="LS92" s="20" t="n">
        <f aca="false">EE92+LR92</f>
        <v>0</v>
      </c>
      <c r="LT92" s="20" t="n">
        <f aca="false">IF(ED92=1,MAX(0,(Slot12_Cost-LS92*(1+Slot12_Rate)^(Slot12_Age-D92))/LP92),0)</f>
        <v>0</v>
      </c>
      <c r="LU92" s="20" t="n">
        <f aca="false">IF(ED92=1,MAX(0,(Slot12_Cost-EE92*(1+Slot12_Rate)^(Slot12_Age-D92))/LP92),0)</f>
        <v>0</v>
      </c>
      <c r="LV92" s="20" t="n">
        <f aca="false">IF(AND(HU92=1,ED92=1),MIN(LO92,LT92),0)</f>
        <v>0</v>
      </c>
      <c r="LW92" s="20" t="n">
        <f aca="false">LO92-LV92</f>
        <v>0</v>
      </c>
      <c r="LX92" s="20" t="n">
        <f aca="false">IF(EN92=1,IF(ABS((1+AS_Wage)/(1+Slot13_Rate)-1)&lt;0.000000000001,(Slot13_Age-D92)*(1+Slot13_Rate)^(Slot13_Age-D92),(1+Slot13_Rate)^(Slot13_Age-D92)*(1-((1+AS_Wage)/(1+Slot13_Rate))^(Slot13_Age-D92))/(1-(1+AS_Wage)/(1+Slot13_Rate))),1)</f>
        <v>1</v>
      </c>
      <c r="LY92" s="20" t="n">
        <f aca="false">IF(AND(HU92=1,IE92&gt;0,Slot13_IsWG=1,EN92=1),MAX(0,(Slot13_Cost-EO92*(1+Slot13_Rate)^(Slot13_Age-D92))/LX92),0)</f>
        <v>0</v>
      </c>
      <c r="LZ92" s="20" t="n">
        <f aca="false">IF(AND(HU92=1,IE92&gt;0,Slot13_IsWG=1,EN92=1),MIN(IE92,LY92),0)</f>
        <v>0</v>
      </c>
      <c r="MA92" s="20" t="n">
        <f aca="false">EO92+LZ92</f>
        <v>0</v>
      </c>
      <c r="MB92" s="20" t="n">
        <f aca="false">IF(EN92=1,MAX(0,(Slot13_Cost-MA92*(1+Slot13_Rate)^(Slot13_Age-D92))/LX92),0)</f>
        <v>0</v>
      </c>
      <c r="MC92" s="20" t="n">
        <f aca="false">IF(EN92=1,MAX(0,(Slot13_Cost-EO92*(1+Slot13_Rate)^(Slot13_Age-D92))/LX92),0)</f>
        <v>0</v>
      </c>
      <c r="MD92" s="20" t="n">
        <f aca="false">IF(AND(HU92=1,EN92=1),MIN(LW92,MB92),0)</f>
        <v>0</v>
      </c>
      <c r="ME92" s="20" t="n">
        <f aca="false">LW92-MD92</f>
        <v>0</v>
      </c>
      <c r="MF92" s="20" t="n">
        <f aca="false">IF(EX92=1,IF(ABS((1+AS_Wage)/(1+Slot14_Rate)-1)&lt;0.000000000001,(Slot14_Age-D92)*(1+Slot14_Rate)^(Slot14_Age-D92),(1+Slot14_Rate)^(Slot14_Age-D92)*(1-((1+AS_Wage)/(1+Slot14_Rate))^(Slot14_Age-D92))/(1-(1+AS_Wage)/(1+Slot14_Rate))),1)</f>
        <v>1</v>
      </c>
      <c r="MG92" s="20" t="n">
        <f aca="false">IF(AND(HU92=1,IE92&gt;0,Slot14_IsWG=1,EX92=1),MAX(0,(Slot14_Cost-EY92*(1+Slot14_Rate)^(Slot14_Age-D92))/MF92),0)</f>
        <v>0</v>
      </c>
      <c r="MH92" s="20" t="n">
        <f aca="false">IF(AND(HU92=1,IE92&gt;0,Slot14_IsWG=1,EX92=1),MIN(IE92,MG92),0)</f>
        <v>0</v>
      </c>
      <c r="MI92" s="20" t="n">
        <f aca="false">EY92+MH92</f>
        <v>0</v>
      </c>
      <c r="MJ92" s="20" t="n">
        <f aca="false">IF(EX92=1,MAX(0,(Slot14_Cost-MI92*(1+Slot14_Rate)^(Slot14_Age-D92))/MF92),0)</f>
        <v>0</v>
      </c>
      <c r="MK92" s="20" t="n">
        <f aca="false">IF(EX92=1,MAX(0,(Slot14_Cost-EY92*(1+Slot14_Rate)^(Slot14_Age-D92))/MF92),0)</f>
        <v>0</v>
      </c>
      <c r="ML92" s="20" t="n">
        <f aca="false">IF(AND(HU92=1,EX92=1),MIN(ME92,MJ92),0)</f>
        <v>0</v>
      </c>
      <c r="MM92" s="20" t="n">
        <f aca="false">ME92-ML92</f>
        <v>0</v>
      </c>
      <c r="MN92" s="20" t="n">
        <f aca="false">IF(FH92=1,IF(ABS((1+AS_Wage)/(1+Slot15_Rate)-1)&lt;0.000000000001,(Slot15_Age-D92)*(1+Slot15_Rate)^(Slot15_Age-D92),(1+Slot15_Rate)^(Slot15_Age-D92)*(1-((1+AS_Wage)/(1+Slot15_Rate))^(Slot15_Age-D92))/(1-(1+AS_Wage)/(1+Slot15_Rate))),1)</f>
        <v>1</v>
      </c>
      <c r="MO92" s="20" t="n">
        <f aca="false">IF(AND(HU92=1,IE92&gt;0,Slot15_IsWG=1,FH92=1),MAX(0,(Slot15_Cost-FI92*(1+Slot15_Rate)^(Slot15_Age-D92))/MN92),0)</f>
        <v>0</v>
      </c>
      <c r="MP92" s="20" t="n">
        <f aca="false">IF(AND(HU92=1,IE92&gt;0,Slot15_IsWG=1,FH92=1),MIN(IE92,MO92),0)</f>
        <v>0</v>
      </c>
      <c r="MQ92" s="20" t="n">
        <f aca="false">FI92+MP92</f>
        <v>0</v>
      </c>
      <c r="MR92" s="20" t="n">
        <f aca="false">IF(FH92=1,MAX(0,(Slot15_Cost-MQ92*(1+Slot15_Rate)^(Slot15_Age-D92))/MN92),0)</f>
        <v>0</v>
      </c>
      <c r="MS92" s="20" t="n">
        <f aca="false">IF(FH92=1,MAX(0,(Slot15_Cost-FI92*(1+Slot15_Rate)^(Slot15_Age-D92))/MN92),0)</f>
        <v>0</v>
      </c>
      <c r="MT92" s="20" t="n">
        <f aca="false">IF(AND(HU92=1,FH92=1),MIN(MM92,MR92),0)</f>
        <v>0</v>
      </c>
      <c r="MU92" s="20" t="n">
        <f aca="false">MM92-MT92</f>
        <v>0</v>
      </c>
      <c r="MV92" s="20" t="n">
        <f aca="false">IF(FR92=1,IF(ABS((1+AS_Wage)/(1+Slot16_Rate)-1)&lt;0.000000000001,(Slot16_Age-D92)*(1+Slot16_Rate)^(Slot16_Age-D92),(1+Slot16_Rate)^(Slot16_Age-D92)*(1-((1+AS_Wage)/(1+Slot16_Rate))^(Slot16_Age-D92))/(1-(1+AS_Wage)/(1+Slot16_Rate))),1)</f>
        <v>1</v>
      </c>
      <c r="MW92" s="20" t="n">
        <f aca="false">IF(AND(HU92=1,IE92&gt;0,Slot16_IsWG=1,FR92=1),MAX(0,(Slot16_Cost-FS92*(1+Slot16_Rate)^(Slot16_Age-D92))/MV92),0)</f>
        <v>0</v>
      </c>
      <c r="MX92" s="20" t="n">
        <f aca="false">IF(AND(HU92=1,IE92&gt;0,Slot16_IsWG=1,FR92=1),MIN(IE92,MW92),0)</f>
        <v>0</v>
      </c>
      <c r="MY92" s="20" t="n">
        <f aca="false">FS92+MX92</f>
        <v>0</v>
      </c>
      <c r="MZ92" s="20" t="n">
        <f aca="false">IF(FR92=1,MAX(0,(Slot16_Cost-MY92*(1+Slot16_Rate)^(Slot16_Age-D92))/MV92),0)</f>
        <v>0</v>
      </c>
      <c r="NA92" s="20" t="n">
        <f aca="false">IF(FR92=1,MAX(0,(Slot16_Cost-FS92*(1+Slot16_Rate)^(Slot16_Age-D92))/MV92),0)</f>
        <v>0</v>
      </c>
      <c r="NB92" s="20" t="n">
        <f aca="false">IF(AND(HU92=1,FR92=1),MIN(MU92,MZ92),0)</f>
        <v>0</v>
      </c>
      <c r="NC92" s="20" t="n">
        <f aca="false">MU92-NB92</f>
        <v>0</v>
      </c>
      <c r="ND92" s="20" t="n">
        <f aca="false">IF(GB92=1,IF(ABS((1+AS_Wage)/(1+Slot17_Rate)-1)&lt;0.000000000001,(Slot17_Age-D92)*(1+Slot17_Rate)^(Slot17_Age-D92),(1+Slot17_Rate)^(Slot17_Age-D92)*(1-((1+AS_Wage)/(1+Slot17_Rate))^(Slot17_Age-D92))/(1-(1+AS_Wage)/(1+Slot17_Rate))),1)</f>
        <v>1</v>
      </c>
      <c r="NE92" s="20" t="n">
        <f aca="false">IF(AND(HU92=1,IE92&gt;0,Slot17_IsWG=1,GB92=1),MAX(0,(Slot17_Cost-GC92*(1+Slot17_Rate)^(Slot17_Age-D92))/ND92),0)</f>
        <v>0</v>
      </c>
      <c r="NF92" s="20" t="n">
        <f aca="false">IF(AND(HU92=1,IE92&gt;0,Slot17_IsWG=1,GB92=1),MIN(IE92,NE92),0)</f>
        <v>0</v>
      </c>
      <c r="NG92" s="20" t="n">
        <f aca="false">GC92+NF92</f>
        <v>0</v>
      </c>
      <c r="NH92" s="20" t="n">
        <f aca="false">IF(GB92=1,MAX(0,(Slot17_Cost-NG92*(1+Slot17_Rate)^(Slot17_Age-D92))/ND92),0)</f>
        <v>0</v>
      </c>
      <c r="NI92" s="20" t="n">
        <f aca="false">IF(GB92=1,MAX(0,(Slot17_Cost-GC92*(1+Slot17_Rate)^(Slot17_Age-D92))/ND92),0)</f>
        <v>0</v>
      </c>
      <c r="NJ92" s="20" t="n">
        <f aca="false">IF(AND(HU92=1,GB92=1),MIN(NC92,NH92),0)</f>
        <v>0</v>
      </c>
      <c r="NK92" s="20" t="n">
        <f aca="false">NC92-NJ92</f>
        <v>0</v>
      </c>
      <c r="NL92" s="20" t="n">
        <f aca="false">IF(GL92=1,IF(ABS((1+AS_Wage)/(1+Slot18_Rate)-1)&lt;0.000000000001,(Slot18_Age-D92)*(1+Slot18_Rate)^(Slot18_Age-D92),(1+Slot18_Rate)^(Slot18_Age-D92)*(1-((1+AS_Wage)/(1+Slot18_Rate))^(Slot18_Age-D92))/(1-(1+AS_Wage)/(1+Slot18_Rate))),1)</f>
        <v>1</v>
      </c>
      <c r="NM92" s="20" t="n">
        <f aca="false">IF(AND(HU92=1,IE92&gt;0,Slot18_IsWG=1,GL92=1),MAX(0,(Slot18_Cost-GM92*(1+Slot18_Rate)^(Slot18_Age-D92))/NL92),0)</f>
        <v>0</v>
      </c>
      <c r="NN92" s="20" t="n">
        <f aca="false">IF(AND(HU92=1,IE92&gt;0,Slot18_IsWG=1,GL92=1),MIN(IE92,NM92),0)</f>
        <v>0</v>
      </c>
      <c r="NO92" s="20" t="n">
        <f aca="false">GM92+NN92</f>
        <v>0</v>
      </c>
      <c r="NP92" s="20" t="n">
        <f aca="false">IF(GL92=1,MAX(0,(Slot18_Cost-NO92*(1+Slot18_Rate)^(Slot18_Age-D92))/NL92),0)</f>
        <v>0</v>
      </c>
      <c r="NQ92" s="20" t="n">
        <f aca="false">IF(GL92=1,MAX(0,(Slot18_Cost-GM92*(1+Slot18_Rate)^(Slot18_Age-D92))/NL92),0)</f>
        <v>0</v>
      </c>
      <c r="NR92" s="20" t="n">
        <f aca="false">IF(AND(HU92=1,GL92=1),MIN(NK92,NP92),0)</f>
        <v>0</v>
      </c>
      <c r="NS92" s="20" t="n">
        <f aca="false">NK92-NR92</f>
        <v>0</v>
      </c>
      <c r="NT92" s="20" t="n">
        <f aca="false">IF(GV92=1,IF(ABS((1+AS_Wage)/(1+Slot19_Rate)-1)&lt;0.000000000001,(Slot19_Age-D92)*(1+Slot19_Rate)^(Slot19_Age-D92),(1+Slot19_Rate)^(Slot19_Age-D92)*(1-((1+AS_Wage)/(1+Slot19_Rate))^(Slot19_Age-D92))/(1-(1+AS_Wage)/(1+Slot19_Rate))),1)</f>
        <v>1</v>
      </c>
      <c r="NU92" s="20" t="n">
        <f aca="false">IF(AND(HU92=1,IE92&gt;0,Slot19_IsWG=1,GV92=1),MAX(0,(Slot19_Cost-GW92*(1+Slot19_Rate)^(Slot19_Age-D92))/NT92),0)</f>
        <v>0</v>
      </c>
      <c r="NV92" s="20" t="n">
        <f aca="false">IF(AND(HU92=1,IE92&gt;0,Slot19_IsWG=1,GV92=1),MIN(IE92,NU92),0)</f>
        <v>0</v>
      </c>
      <c r="NW92" s="20" t="n">
        <f aca="false">GW92+NV92</f>
        <v>0</v>
      </c>
      <c r="NX92" s="20" t="n">
        <f aca="false">IF(GV92=1,MAX(0,(Slot19_Cost-NW92*(1+Slot19_Rate)^(Slot19_Age-D92))/NT92),0)</f>
        <v>0</v>
      </c>
      <c r="NY92" s="20" t="n">
        <f aca="false">IF(GV92=1,MAX(0,(Slot19_Cost-GW92*(1+Slot19_Rate)^(Slot19_Age-D92))/NT92),0)</f>
        <v>0</v>
      </c>
      <c r="NZ92" s="20" t="n">
        <f aca="false">IF(AND(HU92=1,GV92=1),MIN(NS92,NX92),0)</f>
        <v>0</v>
      </c>
      <c r="OA92" s="20" t="n">
        <f aca="false">NS92-NZ92</f>
        <v>0</v>
      </c>
      <c r="OB92" s="20" t="n">
        <f aca="false">IF(HF92=1,IF(ABS((1+AS_Wage)/(1+Slot20_Rate)-1)&lt;0.000000000001,(Slot20_Age-D92)*(1+Slot20_Rate)^(Slot20_Age-D92),(1+Slot20_Rate)^(Slot20_Age-D92)*(1-((1+AS_Wage)/(1+Slot20_Rate))^(Slot20_Age-D92))/(1-(1+AS_Wage)/(1+Slot20_Rate))),1)</f>
        <v>1</v>
      </c>
      <c r="OC92" s="20" t="n">
        <f aca="false">IF(AND(HU92=1,IE92&gt;0,Slot20_IsWG=1,HF92=1),MAX(0,(Slot20_Cost-HG92*(1+Slot20_Rate)^(Slot20_Age-D92))/OB92),0)</f>
        <v>0</v>
      </c>
      <c r="OD92" s="20" t="n">
        <f aca="false">IF(AND(HU92=1,IE92&gt;0,Slot20_IsWG=1,HF92=1),MIN(IE92,OC92),0)</f>
        <v>0</v>
      </c>
      <c r="OE92" s="20" t="n">
        <f aca="false">HG92+OD92</f>
        <v>0</v>
      </c>
      <c r="OF92" s="20" t="n">
        <f aca="false">IF(HF92=1,MAX(0,(Slot20_Cost-OE92*(1+Slot20_Rate)^(Slot20_Age-D92))/OB92),0)</f>
        <v>0</v>
      </c>
      <c r="OG92" s="20" t="n">
        <f aca="false">IF(HF92=1,MAX(0,(Slot20_Cost-HG92*(1+Slot20_Rate)^(Slot20_Age-D92))/OB92),0)</f>
        <v>0</v>
      </c>
      <c r="OH92" s="20" t="n">
        <f aca="false">IF(AND(HU92=1,HF92=1),MIN(OA92,OF92),0)</f>
        <v>0</v>
      </c>
      <c r="OI92" s="20" t="n">
        <f aca="false">OA92-OH92</f>
        <v>0</v>
      </c>
      <c r="OJ92" s="20" t="n">
        <f aca="false">IE92-(IH92+IP92+IX92+JF92+JN92+JV92+KD92+KL92+KT92+LB92+LJ92+LR92+LZ92+MH92+MP92+MX92+NF92+NN92+NV92+OD92)</f>
        <v>0</v>
      </c>
      <c r="OK92" s="20" t="n">
        <f aca="false">IF(HU92=1,HS92-ID92-IE92,0)</f>
        <v>0</v>
      </c>
      <c r="OL92" s="20" t="n">
        <f aca="false">IF(HU92=0,-HS92,0)</f>
        <v>101670.54782589</v>
      </c>
      <c r="OM92" s="20" t="n">
        <f aca="false">MIN(OL92,HK92)</f>
        <v>0</v>
      </c>
      <c r="ON92" s="20" t="n">
        <f aca="false">OL92-OM92</f>
        <v>101670.54782589</v>
      </c>
      <c r="OO92" s="20" t="n">
        <f aca="false">MIN(ON92,HL92)</f>
        <v>0</v>
      </c>
      <c r="OP92" s="20" t="n">
        <f aca="false">ON92-OO92</f>
        <v>101670.54782589</v>
      </c>
      <c r="OQ92" s="20" t="n">
        <f aca="false">IF(AND(HU92=0,HF92=1,OP92&gt;0),MIN(OP92,HG92),0)</f>
        <v>0</v>
      </c>
      <c r="OR92" s="20" t="n">
        <f aca="false">OP92-OQ92</f>
        <v>101670.54782589</v>
      </c>
      <c r="OS92" s="20" t="n">
        <f aca="false">IF(AND(HU92=0,GV92=1,OR92&gt;0),MIN(OR92,GW92),0)</f>
        <v>0</v>
      </c>
      <c r="OT92" s="20" t="n">
        <f aca="false">OR92-OS92</f>
        <v>101670.54782589</v>
      </c>
      <c r="OU92" s="20" t="n">
        <f aca="false">IF(AND(HU92=0,GL92=1,OT92&gt;0),MIN(OT92,GM92),0)</f>
        <v>0</v>
      </c>
      <c r="OV92" s="20" t="n">
        <f aca="false">OT92-OU92</f>
        <v>101670.54782589</v>
      </c>
      <c r="OW92" s="20" t="n">
        <f aca="false">IF(AND(HU92=0,GB92=1,OV92&gt;0),MIN(OV92,GC92),0)</f>
        <v>0</v>
      </c>
      <c r="OX92" s="20" t="n">
        <f aca="false">OV92-OW92</f>
        <v>101670.54782589</v>
      </c>
      <c r="OY92" s="20" t="n">
        <f aca="false">IF(AND(HU92=0,FR92=1,OX92&gt;0),MIN(OX92,FS92),0)</f>
        <v>0</v>
      </c>
      <c r="OZ92" s="20" t="n">
        <f aca="false">OX92-OY92</f>
        <v>101670.54782589</v>
      </c>
      <c r="PA92" s="20" t="n">
        <f aca="false">IF(AND(HU92=0,FH92=1,OZ92&gt;0),MIN(OZ92,FI92),0)</f>
        <v>0</v>
      </c>
      <c r="PB92" s="20" t="n">
        <f aca="false">OZ92-PA92</f>
        <v>101670.54782589</v>
      </c>
      <c r="PC92" s="20" t="n">
        <f aca="false">IF(AND(HU92=0,EX92=1,PB92&gt;0),MIN(PB92,EY92),0)</f>
        <v>0</v>
      </c>
      <c r="PD92" s="20" t="n">
        <f aca="false">PB92-PC92</f>
        <v>101670.54782589</v>
      </c>
      <c r="PE92" s="20" t="n">
        <f aca="false">IF(AND(HU92=0,EN92=1,PD92&gt;0),MIN(PD92,EO92),0)</f>
        <v>0</v>
      </c>
      <c r="PF92" s="20" t="n">
        <f aca="false">PD92-PE92</f>
        <v>101670.54782589</v>
      </c>
      <c r="PG92" s="20" t="n">
        <f aca="false">IF(AND(HU92=0,ED92=1,PF92&gt;0),MIN(PF92,EE92),0)</f>
        <v>0</v>
      </c>
      <c r="PH92" s="20" t="n">
        <f aca="false">PF92-PG92</f>
        <v>101670.54782589</v>
      </c>
      <c r="PI92" s="20" t="n">
        <f aca="false">IF(AND(HU92=0,DT92=1,PH92&gt;0),MIN(PH92,DU92),0)</f>
        <v>0</v>
      </c>
      <c r="PJ92" s="20" t="n">
        <f aca="false">PH92-PI92</f>
        <v>101670.54782589</v>
      </c>
      <c r="PK92" s="20" t="n">
        <f aca="false">IF(AND(HU92=0,DJ92=1,PJ92&gt;0),MIN(PJ92,DK92),0)</f>
        <v>0</v>
      </c>
      <c r="PL92" s="20" t="n">
        <f aca="false">PJ92-PK92</f>
        <v>101670.54782589</v>
      </c>
      <c r="PM92" s="20" t="n">
        <f aca="false">IF(AND(HU92=0,CZ92=1,PL92&gt;0),MIN(PL92,DA92),0)</f>
        <v>0</v>
      </c>
      <c r="PN92" s="20" t="n">
        <f aca="false">PL92-PM92</f>
        <v>101670.54782589</v>
      </c>
      <c r="PO92" s="20" t="n">
        <f aca="false">IF(AND(HU92=0,CP92=1,PN92&gt;0),MIN(PN92,CQ92),0)</f>
        <v>0</v>
      </c>
      <c r="PP92" s="20" t="n">
        <f aca="false">PN92-PO92</f>
        <v>101670.54782589</v>
      </c>
      <c r="PQ92" s="20" t="n">
        <f aca="false">IF(AND(HU92=0,CF92=1,PP92&gt;0),MIN(PP92,CG92),0)</f>
        <v>0</v>
      </c>
      <c r="PR92" s="20" t="n">
        <f aca="false">PP92-PQ92</f>
        <v>101670.54782589</v>
      </c>
      <c r="PS92" s="20" t="n">
        <f aca="false">IF(AND(HU92=0,BV92=1,PR92&gt;0),MIN(PR92,BW92),0)</f>
        <v>0</v>
      </c>
      <c r="PT92" s="20" t="n">
        <f aca="false">PR92-PS92</f>
        <v>101670.54782589</v>
      </c>
      <c r="PU92" s="20" t="n">
        <f aca="false">IF(AND(HU92=0,BL92=1,PT92&gt;0),MIN(PT92,BM92),0)</f>
        <v>0</v>
      </c>
      <c r="PV92" s="20" t="n">
        <f aca="false">PT92-PU92</f>
        <v>101670.54782589</v>
      </c>
      <c r="PW92" s="20" t="n">
        <f aca="false">IF(AND(HU92=0,BB92=1,PV92&gt;0),MIN(PV92,BC92),0)</f>
        <v>0</v>
      </c>
      <c r="PX92" s="20" t="n">
        <f aca="false">PV92-PW92</f>
        <v>101670.54782589</v>
      </c>
      <c r="PY92" s="20" t="n">
        <f aca="false">IF(AND(HU92=0,AR92=1,PX92&gt;0),MIN(PX92,AS92),0)</f>
        <v>0</v>
      </c>
      <c r="PZ92" s="20" t="n">
        <f aca="false">PX92-PY92</f>
        <v>101670.54782589</v>
      </c>
      <c r="QA92" s="20" t="n">
        <f aca="false">IF(AND(HU92=0,AH92=1,PZ92&gt;0),MIN(PZ92,AI92),0)</f>
        <v>0</v>
      </c>
      <c r="QB92" s="20" t="n">
        <f aca="false">PZ92-QA92</f>
        <v>101670.54782589</v>
      </c>
      <c r="QC92" s="20" t="n">
        <f aca="false">IF(AND(HU92=0,W92=1,QB92&gt;0),MIN(QB92,X92),0)</f>
        <v>0</v>
      </c>
      <c r="QD92" s="20" t="n">
        <f aca="false">QB92-QC92</f>
        <v>101670.54782589</v>
      </c>
      <c r="QE92" s="20" t="n">
        <f aca="false">IF(HU92=0,QD92,0)</f>
        <v>101670.54782589</v>
      </c>
      <c r="QF92" s="20" t="n">
        <f aca="false">OM92+OO92+QC92+QA92+PY92+PW92+PU92+PS92+PQ92+PO92+PM92+PK92+PI92+PG92+PE92+PC92+PA92+OY92+OW92+OU92+OS92+OQ92</f>
        <v>0</v>
      </c>
      <c r="QG92" s="20" t="n">
        <f aca="false">IF(HU92=1,HK92+OJ92+OI92+IF(G92=1,0,OK92),HK92-OM92)</f>
        <v>0</v>
      </c>
      <c r="QH92" s="20" t="n">
        <f aca="false">HL92-OO92</f>
        <v>0</v>
      </c>
      <c r="QI92" s="20" t="n">
        <f aca="false">IF(HU92=1,IF(G92=1,ID92+IE92,HS92),0)</f>
        <v>0</v>
      </c>
      <c r="QJ92" s="20" t="n">
        <f aca="false">IF(HU92=1,IF(G92=1,HS92-ID92-IE92,0),0)</f>
        <v>0</v>
      </c>
      <c r="QK92" s="57" t="n">
        <f aca="false">'Plan holdings'!BM92</f>
        <v>0</v>
      </c>
      <c r="QL92" s="20" t="n">
        <f aca="false">QH92*(1+AS_Cash)</f>
        <v>0</v>
      </c>
      <c r="QM92" s="20" t="n">
        <f aca="false">IF(W92=1,IF(HU92=1,II92+IL92,X92-QC92)*(1+Slot1_Rate),0)</f>
        <v>0</v>
      </c>
      <c r="QN92" s="20" t="n">
        <f aca="false">IF(AND(HU92=1,W92=1),(IH92+IL92)/F92,0)</f>
        <v>0</v>
      </c>
      <c r="QO92" s="20" t="n">
        <f aca="false">IF(B92=0,IH92+IL92,0)</f>
        <v>0</v>
      </c>
      <c r="QP92" s="20" t="n">
        <f aca="false">IF(B92=0,IF(HU92=1,IJ92,IK92),0)</f>
        <v>0</v>
      </c>
      <c r="QQ92" s="20" t="n">
        <f aca="false">IF(AH92=1,IF(HU92=1,IQ92+IT92,AI92-QA92)*(1+Slot2_Rate),0)</f>
        <v>0</v>
      </c>
      <c r="QR92" s="20" t="n">
        <f aca="false">IF(AND(HU92=1,AH92=1),(IP92+IT92)/F92,0)</f>
        <v>0</v>
      </c>
      <c r="QS92" s="20" t="n">
        <f aca="false">IF(B92=0,IP92+IT92,0)</f>
        <v>0</v>
      </c>
      <c r="QT92" s="20" t="n">
        <f aca="false">IF(B92=0,IF(HU92=1,IR92,IS92),0)</f>
        <v>0</v>
      </c>
      <c r="QU92" s="20" t="n">
        <f aca="false">IF(AR92=1,IF(HU92=1,IY92+JB92,AS92-PY92)*(1+Slot3_Rate),0)</f>
        <v>0</v>
      </c>
      <c r="QV92" s="20" t="n">
        <f aca="false">IF(AND(HU92=1,AR92=1),(IX92+JB92)/F92,0)</f>
        <v>0</v>
      </c>
      <c r="QW92" s="20" t="n">
        <f aca="false">IF(B92=0,IX92+JB92,0)</f>
        <v>0</v>
      </c>
      <c r="QX92" s="20" t="n">
        <f aca="false">IF(B92=0,IF(HU92=1,IZ92,JA92),0)</f>
        <v>0</v>
      </c>
      <c r="QY92" s="20" t="n">
        <f aca="false">IF(BB92=1,IF(HU92=1,JG92+JJ92,BC92-PW92)*(1+Slot4_Rate),0)</f>
        <v>0</v>
      </c>
      <c r="QZ92" s="20" t="n">
        <f aca="false">IF(AND(HU92=1,BB92=1),(JF92+JJ92)/F92,0)</f>
        <v>0</v>
      </c>
      <c r="RA92" s="20" t="n">
        <f aca="false">IF(B92=0,JF92+JJ92,0)</f>
        <v>0</v>
      </c>
      <c r="RB92" s="20" t="n">
        <f aca="false">IF(B92=0,IF(HU92=1,JH92,JI92),0)</f>
        <v>0</v>
      </c>
      <c r="RC92" s="20" t="n">
        <f aca="false">IF(BL92=1,IF(HU92=1,JO92+JR92,BM92-PU92)*(1+Slot5_Rate),0)</f>
        <v>0</v>
      </c>
      <c r="RD92" s="20" t="n">
        <f aca="false">IF(AND(HU92=1,BL92=1),(JN92+JR92)/F92,0)</f>
        <v>0</v>
      </c>
      <c r="RE92" s="20" t="n">
        <f aca="false">IF(B92=0,JN92+JR92,0)</f>
        <v>0</v>
      </c>
      <c r="RF92" s="20" t="n">
        <f aca="false">IF(B92=0,IF(HU92=1,JP92,JQ92),0)</f>
        <v>0</v>
      </c>
      <c r="RG92" s="20" t="n">
        <f aca="false">IF(BV92=1,IF(HU92=1,JW92+JZ92,BW92-PS92)*(1+Slot6_Rate),0)</f>
        <v>0</v>
      </c>
      <c r="RH92" s="20" t="n">
        <f aca="false">IF(AND(HU92=1,BV92=1),(JV92+JZ92)/F92,0)</f>
        <v>0</v>
      </c>
      <c r="RI92" s="20" t="n">
        <f aca="false">IF(B92=0,JV92+JZ92,0)</f>
        <v>0</v>
      </c>
      <c r="RJ92" s="20" t="n">
        <f aca="false">IF(B92=0,IF(HU92=1,JX92,JY92),0)</f>
        <v>0</v>
      </c>
      <c r="RK92" s="20" t="n">
        <f aca="false">IF(CF92=1,IF(HU92=1,KE92+KH92,CG92-PQ92)*(1+Slot7_Rate),0)</f>
        <v>0</v>
      </c>
      <c r="RL92" s="20" t="n">
        <f aca="false">IF(AND(HU92=1,CF92=1),(KD92+KH92)/F92,0)</f>
        <v>0</v>
      </c>
      <c r="RM92" s="20" t="n">
        <f aca="false">IF(B92=0,KD92+KH92,0)</f>
        <v>0</v>
      </c>
      <c r="RN92" s="20" t="n">
        <f aca="false">IF(B92=0,IF(HU92=1,KF92,KG92),0)</f>
        <v>0</v>
      </c>
      <c r="RO92" s="20" t="n">
        <f aca="false">IF(CP92=1,IF(HU92=1,KM92+KP92,CQ92-PO92)*(1+Slot8_Rate),0)</f>
        <v>0</v>
      </c>
      <c r="RP92" s="20" t="n">
        <f aca="false">IF(AND(HU92=1,CP92=1),(KL92+KP92)/F92,0)</f>
        <v>0</v>
      </c>
      <c r="RQ92" s="20" t="n">
        <f aca="false">IF(B92=0,KL92+KP92,0)</f>
        <v>0</v>
      </c>
      <c r="RR92" s="20" t="n">
        <f aca="false">IF(B92=0,IF(HU92=1,KN92,KO92),0)</f>
        <v>0</v>
      </c>
      <c r="RS92" s="20" t="n">
        <f aca="false">IF(CZ92=1,IF(HU92=1,KU92+KX92,DA92-PM92)*(1+Slot9_Rate),0)</f>
        <v>0</v>
      </c>
      <c r="RT92" s="20" t="n">
        <f aca="false">IF(AND(HU92=1,CZ92=1),(KT92+KX92)/F92,0)</f>
        <v>0</v>
      </c>
      <c r="RU92" s="20" t="n">
        <f aca="false">IF(B92=0,KT92+KX92,0)</f>
        <v>0</v>
      </c>
      <c r="RV92" s="20" t="n">
        <f aca="false">IF(B92=0,IF(HU92=1,KV92,KW92),0)</f>
        <v>0</v>
      </c>
      <c r="RW92" s="20" t="n">
        <f aca="false">IF(DJ92=1,IF(HU92=1,LC92+LF92,DK92-PK92)*(1+Slot10_Rate),0)</f>
        <v>0</v>
      </c>
      <c r="RX92" s="20" t="n">
        <f aca="false">IF(AND(HU92=1,DJ92=1),(LB92+LF92)/F92,0)</f>
        <v>0</v>
      </c>
      <c r="RY92" s="20" t="n">
        <f aca="false">IF(B92=0,LB92+LF92,0)</f>
        <v>0</v>
      </c>
      <c r="RZ92" s="20" t="n">
        <f aca="false">IF(B92=0,IF(HU92=1,LD92,LE92),0)</f>
        <v>0</v>
      </c>
      <c r="SA92" s="20" t="n">
        <f aca="false">IF(DT92=1,IF(HU92=1,LK92+LN92,DU92-PI92)*(1+Slot11_Rate),0)</f>
        <v>0</v>
      </c>
      <c r="SB92" s="20" t="n">
        <f aca="false">IF(AND(HU92=1,DT92=1),(LJ92+LN92)/F92,0)</f>
        <v>0</v>
      </c>
      <c r="SC92" s="20" t="n">
        <f aca="false">IF(B92=0,LJ92+LN92,0)</f>
        <v>0</v>
      </c>
      <c r="SD92" s="20" t="n">
        <f aca="false">IF(B92=0,IF(HU92=1,LL92,LM92),0)</f>
        <v>0</v>
      </c>
      <c r="SE92" s="20" t="n">
        <f aca="false">IF(ED92=1,IF(HU92=1,LS92+LV92,EE92-PG92)*(1+Slot12_Rate),0)</f>
        <v>0</v>
      </c>
      <c r="SF92" s="20" t="n">
        <f aca="false">IF(AND(HU92=1,ED92=1),(LR92+LV92)/F92,0)</f>
        <v>0</v>
      </c>
      <c r="SG92" s="20" t="n">
        <f aca="false">IF(B92=0,LR92+LV92,0)</f>
        <v>0</v>
      </c>
      <c r="SH92" s="20" t="n">
        <f aca="false">IF(B92=0,IF(HU92=1,LT92,LU92),0)</f>
        <v>0</v>
      </c>
      <c r="SI92" s="20" t="n">
        <f aca="false">IF(EN92=1,IF(HU92=1,MA92+MD92,EO92-PE92)*(1+Slot13_Rate),0)</f>
        <v>0</v>
      </c>
      <c r="SJ92" s="20" t="n">
        <f aca="false">IF(AND(HU92=1,EN92=1),(LZ92+MD92)/F92,0)</f>
        <v>0</v>
      </c>
      <c r="SK92" s="20" t="n">
        <f aca="false">IF(B92=0,LZ92+MD92,0)</f>
        <v>0</v>
      </c>
      <c r="SL92" s="20" t="n">
        <f aca="false">IF(B92=0,IF(HU92=1,MB92,MC92),0)</f>
        <v>0</v>
      </c>
      <c r="SM92" s="20" t="n">
        <f aca="false">IF(EX92=1,IF(HU92=1,MI92+ML92,EY92-PC92)*(1+Slot14_Rate),0)</f>
        <v>0</v>
      </c>
      <c r="SN92" s="20" t="n">
        <f aca="false">IF(AND(HU92=1,EX92=1),(MH92+ML92)/F92,0)</f>
        <v>0</v>
      </c>
      <c r="SO92" s="20" t="n">
        <f aca="false">IF(B92=0,MH92+ML92,0)</f>
        <v>0</v>
      </c>
      <c r="SP92" s="20" t="n">
        <f aca="false">IF(B92=0,IF(HU92=1,MJ92,MK92),0)</f>
        <v>0</v>
      </c>
      <c r="SQ92" s="20" t="n">
        <f aca="false">IF(FH92=1,IF(HU92=1,MQ92+MT92,FI92-PA92)*(1+Slot15_Rate),0)</f>
        <v>0</v>
      </c>
      <c r="SR92" s="20" t="n">
        <f aca="false">IF(AND(HU92=1,FH92=1),(MP92+MT92)/F92,0)</f>
        <v>0</v>
      </c>
      <c r="SS92" s="20" t="n">
        <f aca="false">IF(B92=0,MP92+MT92,0)</f>
        <v>0</v>
      </c>
      <c r="ST92" s="20" t="n">
        <f aca="false">IF(B92=0,IF(HU92=1,MR92,MS92),0)</f>
        <v>0</v>
      </c>
      <c r="SU92" s="20" t="n">
        <f aca="false">IF(FR92=1,IF(HU92=1,MY92+NB92,FS92-OY92)*(1+Slot16_Rate),0)</f>
        <v>0</v>
      </c>
      <c r="SV92" s="20" t="n">
        <f aca="false">IF(AND(HU92=1,FR92=1),(MX92+NB92)/F92,0)</f>
        <v>0</v>
      </c>
      <c r="SW92" s="20" t="n">
        <f aca="false">IF(B92=0,MX92+NB92,0)</f>
        <v>0</v>
      </c>
      <c r="SX92" s="20" t="n">
        <f aca="false">IF(B92=0,IF(HU92=1,MZ92,NA92),0)</f>
        <v>0</v>
      </c>
      <c r="SY92" s="20" t="n">
        <f aca="false">IF(GB92=1,IF(HU92=1,NG92+NJ92,GC92-OW92)*(1+Slot17_Rate),0)</f>
        <v>0</v>
      </c>
      <c r="SZ92" s="20" t="n">
        <f aca="false">IF(AND(HU92=1,GB92=1),(NF92+NJ92)/F92,0)</f>
        <v>0</v>
      </c>
      <c r="TA92" s="20" t="n">
        <f aca="false">IF(B92=0,NF92+NJ92,0)</f>
        <v>0</v>
      </c>
      <c r="TB92" s="20" t="n">
        <f aca="false">IF(B92=0,IF(HU92=1,NH92,NI92),0)</f>
        <v>0</v>
      </c>
      <c r="TC92" s="20" t="n">
        <f aca="false">IF(GL92=1,IF(HU92=1,NO92+NR92,GM92-OU92)*(1+Slot18_Rate),0)</f>
        <v>0</v>
      </c>
      <c r="TD92" s="20" t="n">
        <f aca="false">IF(AND(HU92=1,GL92=1),(NN92+NR92)/F92,0)</f>
        <v>0</v>
      </c>
      <c r="TE92" s="20" t="n">
        <f aca="false">IF(B92=0,NN92+NR92,0)</f>
        <v>0</v>
      </c>
      <c r="TF92" s="20" t="n">
        <f aca="false">IF(B92=0,IF(HU92=1,NP92,NQ92),0)</f>
        <v>0</v>
      </c>
      <c r="TG92" s="20" t="n">
        <f aca="false">IF(GV92=1,IF(HU92=1,NW92+NZ92,GW92-OS92)*(1+Slot19_Rate),0)</f>
        <v>0</v>
      </c>
      <c r="TH92" s="20" t="n">
        <f aca="false">IF(AND(HU92=1,GV92=1),(NV92+NZ92)/F92,0)</f>
        <v>0</v>
      </c>
      <c r="TI92" s="20" t="n">
        <f aca="false">IF(B92=0,NV92+NZ92,0)</f>
        <v>0</v>
      </c>
      <c r="TJ92" s="20" t="n">
        <f aca="false">IF(B92=0,IF(HU92=1,NX92,NY92),0)</f>
        <v>0</v>
      </c>
      <c r="TK92" s="20" t="n">
        <f aca="false">IF(HF92=1,IF(HU92=1,OE92+OH92,HG92-OQ92)*(1+Slot20_Rate),0)</f>
        <v>0</v>
      </c>
      <c r="TL92" s="20" t="n">
        <f aca="false">IF(AND(HU92=1,HF92=1),(OD92+OH92)/F92,0)</f>
        <v>0</v>
      </c>
      <c r="TM92" s="20" t="n">
        <f aca="false">IF(B92=0,OD92+OH92,0)</f>
        <v>0</v>
      </c>
      <c r="TN92" s="20" t="n">
        <f aca="false">IF(B92=0,IF(HU92=1,OF92,OG92),0)</f>
        <v>0</v>
      </c>
      <c r="TO92" s="20" t="n">
        <f aca="false">QK92+QL92+QM92+QQ92+QU92+QY92+RC92+RG92+RK92+RO92+RS92+RW92+SA92+SE92+SI92+SM92+SQ92+SU92+SY92+TC92+TG92+TK92</f>
        <v>0</v>
      </c>
      <c r="TP92" s="20" t="n">
        <f aca="false">QE92+HP92</f>
        <v>101670.54782589</v>
      </c>
      <c r="TQ92" s="20" t="n">
        <f aca="false">I92+S92</f>
        <v>252256.4761334</v>
      </c>
      <c r="TR92" s="20" t="n">
        <f aca="false">1-G92</f>
        <v>1</v>
      </c>
      <c r="TS92" s="20" t="n">
        <f aca="false">IF(AND(RG_Exists=1,G92=0,C92=1),I92,0)</f>
        <v>0</v>
      </c>
      <c r="TT92" s="20" t="n">
        <f aca="false">IF(AND(RG_Exists=1,G92=0,C92=1),I92-MIN(QE92,I92),0)</f>
        <v>0</v>
      </c>
      <c r="TU92" s="20" t="n">
        <f aca="false">'Plan pay &amp; tax'!AD318</f>
        <v>0</v>
      </c>
      <c r="TV92" s="20" t="n">
        <f aca="false">IF(AND(C92=1,QE92&gt;MAX(PR_Short1,TQ92*PR_Short2)),1,0)</f>
        <v>0</v>
      </c>
      <c r="TW92" s="20" t="n">
        <f aca="false">MIN(H92,I92+S92)</f>
        <v>150585.92830751</v>
      </c>
      <c r="TX92" s="20" t="n">
        <f aca="false">QF92+MAX(0,HQ92-HP92)</f>
        <v>0</v>
      </c>
      <c r="TY92" s="20" t="n">
        <f aca="false">QE92+HP92</f>
        <v>101670.54782589</v>
      </c>
      <c r="TZ92" s="20" t="n">
        <f aca="false">IF(AND(C92=1,TY92&gt;PR_MinShort),1,0)</f>
        <v>0</v>
      </c>
      <c r="UA92" s="20" t="n">
        <f aca="false">IF(AND(C92=1,TZ92=0,TX92&gt;PR_MinShort),1,0)</f>
        <v>0</v>
      </c>
      <c r="UB92" s="20" t="n">
        <f aca="false">IF(AND(C92=1,QE92&gt;PR_MinShort),1,0)</f>
        <v>0</v>
      </c>
      <c r="UC92" s="20" t="n">
        <f aca="false">IF(AND(C92=1,QF92&gt;1,UJ92=0),1,0)</f>
        <v>0</v>
      </c>
      <c r="UD92" s="20" t="str">
        <f aca="false">IF(C92=0,"",IF(UJ92=1,"Gap to plan for: short "&amp;"€"&amp;TEXT(ROUND(TP92,0),"#,##0"),IF(QF92&gt;1,"Using savings","Comfortable")))</f>
        <v/>
      </c>
      <c r="UE92" s="20" t="n">
        <f aca="false">IF(AND(INT(D92/10)*10=90,B92&gt;0),80,INT(D92/10)*10)</f>
        <v>120</v>
      </c>
      <c r="UF92" s="20" t="n">
        <f aca="false">IF(B92=0,1,IF(UE92&lt;&gt;UE91,UF91+1,UF91))</f>
        <v>9</v>
      </c>
      <c r="UG92" s="20" t="n">
        <f aca="false">IF(AND(C92=1,G92=1,QE92&gt;MAX(PR_Short1,TQ92*PR_Short2)),1,0)</f>
        <v>0</v>
      </c>
      <c r="UH92" s="20" t="n">
        <f aca="false">TR92*TV92</f>
        <v>0</v>
      </c>
      <c r="UI92" s="20" t="n">
        <f aca="false">IF(AND(V92=1,Slot1_PctLow=1),1,0)+IF(AND(AG92=1,Slot2_PctLow=1),1,0)+IF(AND(AQ92=1,Slot3_PctLow=1),1,0)+IF(AND(BA92=1,Slot4_PctLow=1),1,0)+IF(AND(BK92=1,Slot5_PctLow=1),1,0)+IF(AND(BU92=1,Slot6_PctLow=1),1,0)+IF(AND(CE92=1,Slot7_PctLow=1),1,0)+IF(AND(CO92=1,Slot8_PctLow=1),1,0)+IF(AND(CY92=1,Slot9_PctLow=1),1,0)+IF(AND(DI92=1,Slot10_PctLow=1),1,0)+IF(AND(DS92=1,Slot11_PctLow=1),1,0)+IF(AND(EC92=1,Slot12_PctLow=1),1,0)+IF(AND(EM92=1,Slot13_PctLow=1),1,0)+IF(AND(EW92=1,Slot14_PctLow=1),1,0)+IF(AND(FG92=1,Slot15_PctLow=1),1,0)+IF(AND(FQ92=1,Slot16_PctLow=1),1,0)+IF(AND(GA92=1,Slot17_PctLow=1),1,0)+IF(AND(GK92=1,Slot18_PctLow=1),1,0)+IF(AND(GU92=1,Slot19_PctLow=1),1,0)+IF(AND(HE92=1,Slot20_PctLow=1),1,0)</f>
        <v>0</v>
      </c>
      <c r="UJ92" s="20" t="n">
        <f aca="false">IF(C92=1,IF(OR(TV92=1,UI92&gt;0),1,0),0)</f>
        <v>0</v>
      </c>
      <c r="UK92" s="20" t="n">
        <f aca="false">Z92+AK92+AU92+BE92+BO92+BY92+CI92+CS92+DC92+DM92+DW92+EG92+EQ92+FA92+FK92+FU92+GE92+GO92+GY92+HI92+OM92</f>
        <v>0</v>
      </c>
      <c r="UL92" s="20" t="n">
        <f aca="false">V92*IF(Slot1_SpendLike=1,X92-Y92,IF(Slot1_PotFree=1,X92,0))+AG92*IF(Slot2_SpendLike=1,AI92-AJ92,IF(Slot2_PotFree=1,AI92,0))+AQ92*IF(Slot3_SpendLike=1,AS92-AT92,IF(Slot3_PotFree=1,AS92,0))+BA92*IF(Slot4_SpendLike=1,BC92-BD92,IF(Slot4_PotFree=1,BC92,0))+BK92*IF(Slot5_SpendLike=1,BM92-BN92,IF(Slot5_PotFree=1,BM92,0))+BU92*IF(Slot6_SpendLike=1,BW92-BX92,IF(Slot6_PotFree=1,BW92,0))+CE92*IF(Slot7_SpendLike=1,CG92-CH92,IF(Slot7_PotFree=1,CG92,0))+CO92*IF(Slot8_SpendLike=1,CQ92-CR92,IF(Slot8_PotFree=1,CQ92,0))+CY92*IF(Slot9_SpendLike=1,DA92-DB92,IF(Slot9_PotFree=1,DA92,0))+DI92*IF(Slot10_SpendLike=1,DK92-DL92,IF(Slot10_PotFree=1,DK92,0))+DS92*IF(Slot11_SpendLike=1,DU92-DV92,IF(Slot11_PotFree=1,DU92,0))+EC92*IF(Slot12_SpendLike=1,EE92-EF92,IF(Slot12_PotFree=1,EE92,0))+EM92*IF(Slot13_SpendLike=1,EO92-EP92,IF(Slot13_PotFree=1,EO92,0))+EW92*IF(Slot14_SpendLike=1,EY92-EZ92,IF(Slot14_PotFree=1,EY92,0))+FG92*IF(Slot15_SpendLike=1,FI92-FJ92,IF(Slot15_PotFree=1,FI92,0))+FQ92*IF(Slot16_SpendLike=1,FS92-FT92,IF(Slot16_PotFree=1,FS92,0))+GA92*IF(Slot17_SpendLike=1,GC92-GD92,IF(Slot17_PotFree=1,GC92,0))+GK92*IF(Slot18_SpendLike=1,GM92-GN92,IF(Slot18_PotFree=1,GM92,0))+GU92*IF(Slot19_SpendLike=1,GW92-GX92,IF(Slot19_PotFree=1,GW92,0))+HE92*IF(Slot20_SpendLike=1,HG92-HH92,IF(Slot20_PotFree=1,HG92,0))</f>
        <v>0</v>
      </c>
      <c r="UM92" s="20" t="n">
        <f aca="false">QG92-T92+UK92-UL92</f>
        <v>0</v>
      </c>
      <c r="UN92" s="20" t="n">
        <f aca="false">IF(OR(UN91=1,AND(In_homeUse="Yes, I'd downsize",In_downAge&gt;0,D92=In_downAge,OR(In_home="Own outright",In_home="Own with mortgage"),In_homeValue&gt;0)),1,0)</f>
        <v>0</v>
      </c>
    </row>
    <row r="93" customFormat="false" ht="15" hidden="false" customHeight="true" outlineLevel="0" collapsed="false">
      <c r="B93" s="20" t="n">
        <v>85</v>
      </c>
      <c r="C93" s="20" t="n">
        <f aca="false">IF(B93&lt;=F_N,1,0)</f>
        <v>0</v>
      </c>
      <c r="D93" s="20" t="n">
        <f aca="false">'Plan pay &amp; tax'!C319</f>
        <v>123</v>
      </c>
      <c r="E93" s="20" t="str">
        <f aca="false">IF($C93=1,"Income tax "&amp;TEXT(N('Plan pay &amp; tax'!BK319),"#,##0")&amp;"; USC "&amp;TEXT(N('Plan pay &amp; tax'!BM319)+N('Plan pay &amp; tax'!BO319),"#,##0")&amp;"; PRSI "&amp;TEXT(N('Plan pay &amp; tax'!BP319)+N('Plan pay &amp; tax'!BQ319),"#,##0")&amp;IF(N('Plan holdings'!BO93)&gt;=0.5,"; DIRT "&amp;TEXT(('Plan holdings'!BO93)/$F93,"#,##0")&amp;" (already taken from the interest earned)","")&amp;IF(N('Plan holdings'!BP93)&gt;=0.5,"; exit tax at an 8-year anniversary "&amp;TEXT(('Plan holdings'!BP93)/$F93,"#,##0"),"")&amp;IF(N('Plan holdings'!BN93)&gt;=0.5,"; tax on assets sold (exit tax or capital gains tax) "&amp;TEXT(('Plan holdings'!BN93)/$F93,"#,##0"),"")&amp;IF(N('Plan pay &amp; tax'!X319)-N('Plan pay &amp; tax'!Y319)&gt;=0.5,"; tax on the pension lump sum "&amp;TEXT(('Plan pay &amp; tax'!X319-'Plan pay &amp; tax'!Y319)/$F93,"#,##0"),"")&amp;IF(N('Plan pay &amp; tax'!V319)&gt;=0.5,"; chargeable excess tax on the pension "&amp;TEXT(('Plan pay &amp; tax'!V319)/$F93,"#,##0"),"")&amp;".","")</f>
        <v/>
      </c>
      <c r="F93" s="50" t="n">
        <f aca="false">'Plan pay &amp; tax'!E319</f>
        <v>5.38287877941564</v>
      </c>
      <c r="G93" s="20" t="n">
        <f aca="false">'Plan pay &amp; tax'!G319</f>
        <v>0</v>
      </c>
      <c r="H93" s="20" t="n">
        <f aca="false">'Plan pay &amp; tax'!BT319-'Plan pay &amp; tax'!BS319-'Plan pay &amp; tax'!R319</f>
        <v>153597.64687366</v>
      </c>
      <c r="I93" s="20" t="n">
        <f aca="false">IF(G93=1,F_CostsM*12,IF(RG_Exists=1,RG_Amount,F_CostsM*12*AS_RetireSpend))*F93+F_OneOffY*F93</f>
        <v>257301.605656068</v>
      </c>
      <c r="J93" s="20" t="n">
        <f aca="false">IF(UN93=1,0,HR92)</f>
        <v>0</v>
      </c>
      <c r="K93" s="20" t="n">
        <f aca="false">IF(J93&gt;1,'Plan debt months'!AC93,0)</f>
        <v>0</v>
      </c>
      <c r="L93" s="20" t="n">
        <f aca="false">IF(J93&gt;1,'Plan debt months'!AB93,J93)</f>
        <v>0</v>
      </c>
      <c r="M93" s="20" t="n">
        <f aca="false">O92</f>
        <v>0</v>
      </c>
      <c r="N93" s="20" t="n">
        <f aca="false">IF(M93&gt;1,'Plan debt months'!BD93,0)</f>
        <v>0</v>
      </c>
      <c r="O93" s="20" t="n">
        <f aca="false">IF(M93&gt;1,'Plan debt months'!BC93,M93)</f>
        <v>0</v>
      </c>
      <c r="P93" s="20" t="n">
        <f aca="false">R92</f>
        <v>0</v>
      </c>
      <c r="Q93" s="20" t="n">
        <f aca="false">IF(P93&gt;1,'Plan debt months'!CE93,0)</f>
        <v>0</v>
      </c>
      <c r="R93" s="20" t="n">
        <f aca="false">IF(P93&gt;1,'Plan debt months'!CD93,P93)</f>
        <v>0</v>
      </c>
      <c r="S93" s="20" t="n">
        <f aca="false">K93+N93+Q93</f>
        <v>0</v>
      </c>
      <c r="T93" s="57" t="n">
        <f aca="false">'Plan holdings'!Y93</f>
        <v>0</v>
      </c>
      <c r="U93" s="57" t="n">
        <f aca="false">'Plan holdings'!BM92</f>
        <v>0</v>
      </c>
      <c r="V93" s="20" t="n">
        <f aca="false">IF(AND(Slot1_On=1,D93=Slot1_Age),1,0)</f>
        <v>0</v>
      </c>
      <c r="W93" s="20" t="n">
        <f aca="false">IF(AND(Slot1_On=1,Slot1_Age&gt;D93),1,0)</f>
        <v>0</v>
      </c>
      <c r="X93" s="20" t="n">
        <f aca="false">QM92</f>
        <v>0</v>
      </c>
      <c r="Y93" s="20" t="n">
        <f aca="false">V93*MIN(Slot1_Cost,X93)</f>
        <v>0</v>
      </c>
      <c r="Z93" s="20" t="n">
        <f aca="false">V93*Slot1_SpendLike*MIN(Slot1_Cost-Y93,T93)</f>
        <v>0</v>
      </c>
      <c r="AA93" s="20" t="n">
        <f aca="false">Y93+Z93</f>
        <v>0</v>
      </c>
      <c r="AB93" s="20" t="n">
        <f aca="false">T93-Z93+V93*IF(Slot1_SpendLike=1,X93-Y93,IF(Slot1_PotFree=1,X93,0))</f>
        <v>0</v>
      </c>
      <c r="AC93" s="20" t="n">
        <f aca="false">AF93+V93*Slot1_BufPot*X93</f>
        <v>0</v>
      </c>
      <c r="AD93" s="20" t="n">
        <f aca="false">IF(AND(V93=1,Slot1_IsMfree=1),IF(AA93&gt;=Slot1_Cost-1,0,MAX(0,L93-AA93)),L93)</f>
        <v>0</v>
      </c>
      <c r="AE93" s="20" t="n">
        <f aca="false">V93*(Slot1_Cost-AA93)</f>
        <v>0</v>
      </c>
      <c r="AF93" s="20" t="n">
        <f aca="false">QL92</f>
        <v>0</v>
      </c>
      <c r="AG93" s="20" t="n">
        <f aca="false">IF(AND(Slot2_On=1,D93=Slot2_Age),1,0)</f>
        <v>0</v>
      </c>
      <c r="AH93" s="20" t="n">
        <f aca="false">IF(AND(Slot2_On=1,Slot2_Age&gt;D93),1,0)</f>
        <v>0</v>
      </c>
      <c r="AI93" s="20" t="n">
        <f aca="false">QQ92</f>
        <v>0</v>
      </c>
      <c r="AJ93" s="20" t="n">
        <f aca="false">AG93*MIN(Slot2_Cost,AI93)</f>
        <v>0</v>
      </c>
      <c r="AK93" s="20" t="n">
        <f aca="false">AG93*Slot2_SpendLike*MIN(Slot2_Cost-AJ93,AB93)</f>
        <v>0</v>
      </c>
      <c r="AL93" s="20" t="n">
        <f aca="false">AJ93+AK93</f>
        <v>0</v>
      </c>
      <c r="AM93" s="20" t="n">
        <f aca="false">AB93-AK93+AG93*IF(Slot2_SpendLike=1,AI93-AJ93,IF(Slot2_PotFree=1,AI93,0))</f>
        <v>0</v>
      </c>
      <c r="AN93" s="20" t="n">
        <f aca="false">AC93+AG93*Slot2_BufPot*AI93</f>
        <v>0</v>
      </c>
      <c r="AO93" s="20" t="n">
        <f aca="false">IF(AND(AG93=1,Slot2_IsMfree=1),IF(AL93&gt;=Slot2_Cost-1,0,MAX(0,AD93-AL93)),AD93)</f>
        <v>0</v>
      </c>
      <c r="AP93" s="20" t="n">
        <f aca="false">AG93*(Slot2_Cost-AL93)</f>
        <v>0</v>
      </c>
      <c r="AQ93" s="20" t="n">
        <f aca="false">IF(AND(Slot3_On=1,D93=Slot3_Age),1,0)</f>
        <v>0</v>
      </c>
      <c r="AR93" s="20" t="n">
        <f aca="false">IF(AND(Slot3_On=1,Slot3_Age&gt;D93),1,0)</f>
        <v>0</v>
      </c>
      <c r="AS93" s="20" t="n">
        <f aca="false">QU92</f>
        <v>0</v>
      </c>
      <c r="AT93" s="20" t="n">
        <f aca="false">AQ93*MIN(Slot3_Cost,AS93)</f>
        <v>0</v>
      </c>
      <c r="AU93" s="20" t="n">
        <f aca="false">AQ93*Slot3_SpendLike*MIN(Slot3_Cost-AT93,AM93)</f>
        <v>0</v>
      </c>
      <c r="AV93" s="20" t="n">
        <f aca="false">AT93+AU93</f>
        <v>0</v>
      </c>
      <c r="AW93" s="20" t="n">
        <f aca="false">AM93-AU93+AQ93*IF(Slot3_SpendLike=1,AS93-AT93,IF(Slot3_PotFree=1,AS93,0))</f>
        <v>0</v>
      </c>
      <c r="AX93" s="20" t="n">
        <f aca="false">AN93+AQ93*Slot3_BufPot*AS93</f>
        <v>0</v>
      </c>
      <c r="AY93" s="20" t="n">
        <f aca="false">IF(AND(AQ93=1,Slot3_IsMfree=1),IF(AV93&gt;=Slot3_Cost-1,0,MAX(0,AO93-AV93)),AO93)</f>
        <v>0</v>
      </c>
      <c r="AZ93" s="20" t="n">
        <f aca="false">AQ93*(Slot3_Cost-AV93)</f>
        <v>0</v>
      </c>
      <c r="BA93" s="20" t="n">
        <f aca="false">IF(AND(Slot4_On=1,D93=Slot4_Age),1,0)</f>
        <v>0</v>
      </c>
      <c r="BB93" s="20" t="n">
        <f aca="false">IF(AND(Slot4_On=1,Slot4_Age&gt;D93),1,0)</f>
        <v>0</v>
      </c>
      <c r="BC93" s="20" t="n">
        <f aca="false">QY92</f>
        <v>0</v>
      </c>
      <c r="BD93" s="20" t="n">
        <f aca="false">BA93*MIN(Slot4_Cost,BC93)</f>
        <v>0</v>
      </c>
      <c r="BE93" s="20" t="n">
        <f aca="false">BA93*Slot4_SpendLike*MIN(Slot4_Cost-BD93,AW93)</f>
        <v>0</v>
      </c>
      <c r="BF93" s="20" t="n">
        <f aca="false">BD93+BE93</f>
        <v>0</v>
      </c>
      <c r="BG93" s="20" t="n">
        <f aca="false">AW93-BE93+BA93*IF(Slot4_SpendLike=1,BC93-BD93,IF(Slot4_PotFree=1,BC93,0))</f>
        <v>0</v>
      </c>
      <c r="BH93" s="20" t="n">
        <f aca="false">AX93+BA93*Slot4_BufPot*BC93</f>
        <v>0</v>
      </c>
      <c r="BI93" s="20" t="n">
        <f aca="false">IF(AND(BA93=1,Slot4_IsMfree=1),IF(BF93&gt;=Slot4_Cost-1,0,MAX(0,AY93-BF93)),AY93)</f>
        <v>0</v>
      </c>
      <c r="BJ93" s="20" t="n">
        <f aca="false">BA93*(Slot4_Cost-BF93)</f>
        <v>0</v>
      </c>
      <c r="BK93" s="20" t="n">
        <f aca="false">IF(AND(Slot5_On=1,D93=Slot5_Age),1,0)</f>
        <v>0</v>
      </c>
      <c r="BL93" s="20" t="n">
        <f aca="false">IF(AND(Slot5_On=1,Slot5_Age&gt;D93),1,0)</f>
        <v>0</v>
      </c>
      <c r="BM93" s="20" t="n">
        <f aca="false">RC92</f>
        <v>0</v>
      </c>
      <c r="BN93" s="20" t="n">
        <f aca="false">BK93*MIN(Slot5_Cost,BM93)</f>
        <v>0</v>
      </c>
      <c r="BO93" s="20" t="n">
        <f aca="false">BK93*Slot5_SpendLike*MIN(Slot5_Cost-BN93,BG93)</f>
        <v>0</v>
      </c>
      <c r="BP93" s="20" t="n">
        <f aca="false">BN93+BO93</f>
        <v>0</v>
      </c>
      <c r="BQ93" s="20" t="n">
        <f aca="false">BG93-BO93+BK93*IF(Slot5_SpendLike=1,BM93-BN93,IF(Slot5_PotFree=1,BM93,0))</f>
        <v>0</v>
      </c>
      <c r="BR93" s="20" t="n">
        <f aca="false">BH93+BK93*Slot5_BufPot*BM93</f>
        <v>0</v>
      </c>
      <c r="BS93" s="20" t="n">
        <f aca="false">IF(AND(BK93=1,Slot5_IsMfree=1),IF(BP93&gt;=Slot5_Cost-1,0,MAX(0,BI93-BP93)),BI93)</f>
        <v>0</v>
      </c>
      <c r="BT93" s="20" t="n">
        <f aca="false">BK93*(Slot5_Cost-BP93)</f>
        <v>0</v>
      </c>
      <c r="BU93" s="20" t="n">
        <f aca="false">IF(AND(Slot6_On=1,D93=Slot6_Age),1,0)</f>
        <v>0</v>
      </c>
      <c r="BV93" s="20" t="n">
        <f aca="false">IF(AND(Slot6_On=1,Slot6_Age&gt;D93),1,0)</f>
        <v>0</v>
      </c>
      <c r="BW93" s="20" t="n">
        <f aca="false">RG92</f>
        <v>0</v>
      </c>
      <c r="BX93" s="20" t="n">
        <f aca="false">BU93*MIN(Slot6_Cost,BW93)</f>
        <v>0</v>
      </c>
      <c r="BY93" s="20" t="n">
        <f aca="false">BU93*Slot6_SpendLike*MIN(Slot6_Cost-BX93,BQ93)</f>
        <v>0</v>
      </c>
      <c r="BZ93" s="20" t="n">
        <f aca="false">BX93+BY93</f>
        <v>0</v>
      </c>
      <c r="CA93" s="20" t="n">
        <f aca="false">BQ93-BY93+BU93*IF(Slot6_SpendLike=1,BW93-BX93,IF(Slot6_PotFree=1,BW93,0))</f>
        <v>0</v>
      </c>
      <c r="CB93" s="20" t="n">
        <f aca="false">BR93+BU93*Slot6_BufPot*BW93</f>
        <v>0</v>
      </c>
      <c r="CC93" s="20" t="n">
        <f aca="false">IF(AND(BU93=1,Slot6_IsMfree=1),IF(BZ93&gt;=Slot6_Cost-1,0,MAX(0,BS93-BZ93)),BS93)</f>
        <v>0</v>
      </c>
      <c r="CD93" s="20" t="n">
        <f aca="false">BU93*(Slot6_Cost-BZ93)</f>
        <v>0</v>
      </c>
      <c r="CE93" s="20" t="n">
        <f aca="false">IF(AND(Slot7_On=1,D93=Slot7_Age),1,0)</f>
        <v>0</v>
      </c>
      <c r="CF93" s="20" t="n">
        <f aca="false">IF(AND(Slot7_On=1,Slot7_Age&gt;D93),1,0)</f>
        <v>0</v>
      </c>
      <c r="CG93" s="20" t="n">
        <f aca="false">RK92</f>
        <v>0</v>
      </c>
      <c r="CH93" s="20" t="n">
        <f aca="false">CE93*MIN(Slot7_Cost,CG93)</f>
        <v>0</v>
      </c>
      <c r="CI93" s="20" t="n">
        <f aca="false">CE93*Slot7_SpendLike*MIN(Slot7_Cost-CH93,CA93)</f>
        <v>0</v>
      </c>
      <c r="CJ93" s="20" t="n">
        <f aca="false">CH93+CI93</f>
        <v>0</v>
      </c>
      <c r="CK93" s="20" t="n">
        <f aca="false">CA93-CI93+CE93*IF(Slot7_SpendLike=1,CG93-CH93,IF(Slot7_PotFree=1,CG93,0))</f>
        <v>0</v>
      </c>
      <c r="CL93" s="20" t="n">
        <f aca="false">CB93+CE93*Slot7_BufPot*CG93</f>
        <v>0</v>
      </c>
      <c r="CM93" s="20" t="n">
        <f aca="false">IF(AND(CE93=1,Slot7_IsMfree=1),IF(CJ93&gt;=Slot7_Cost-1,0,MAX(0,CC93-CJ93)),CC93)</f>
        <v>0</v>
      </c>
      <c r="CN93" s="20" t="n">
        <f aca="false">CE93*(Slot7_Cost-CJ93)</f>
        <v>0</v>
      </c>
      <c r="CO93" s="20" t="n">
        <f aca="false">IF(AND(Slot8_On=1,D93=Slot8_Age),1,0)</f>
        <v>0</v>
      </c>
      <c r="CP93" s="20" t="n">
        <f aca="false">IF(AND(Slot8_On=1,Slot8_Age&gt;D93),1,0)</f>
        <v>0</v>
      </c>
      <c r="CQ93" s="20" t="n">
        <f aca="false">RO92</f>
        <v>0</v>
      </c>
      <c r="CR93" s="20" t="n">
        <f aca="false">CO93*MIN(Slot8_Cost,CQ93)</f>
        <v>0</v>
      </c>
      <c r="CS93" s="20" t="n">
        <f aca="false">CO93*Slot8_SpendLike*MIN(Slot8_Cost-CR93,CK93)</f>
        <v>0</v>
      </c>
      <c r="CT93" s="20" t="n">
        <f aca="false">CR93+CS93</f>
        <v>0</v>
      </c>
      <c r="CU93" s="20" t="n">
        <f aca="false">CK93-CS93+CO93*IF(Slot8_SpendLike=1,CQ93-CR93,IF(Slot8_PotFree=1,CQ93,0))</f>
        <v>0</v>
      </c>
      <c r="CV93" s="20" t="n">
        <f aca="false">CL93+CO93*Slot8_BufPot*CQ93</f>
        <v>0</v>
      </c>
      <c r="CW93" s="20" t="n">
        <f aca="false">IF(AND(CO93=1,Slot8_IsMfree=1),IF(CT93&gt;=Slot8_Cost-1,0,MAX(0,CM93-CT93)),CM93)</f>
        <v>0</v>
      </c>
      <c r="CX93" s="20" t="n">
        <f aca="false">CO93*(Slot8_Cost-CT93)</f>
        <v>0</v>
      </c>
      <c r="CY93" s="20" t="n">
        <f aca="false">IF(AND(Slot9_On=1,D93=Slot9_Age),1,0)</f>
        <v>0</v>
      </c>
      <c r="CZ93" s="20" t="n">
        <f aca="false">IF(AND(Slot9_On=1,Slot9_Age&gt;D93),1,0)</f>
        <v>0</v>
      </c>
      <c r="DA93" s="20" t="n">
        <f aca="false">RS92</f>
        <v>0</v>
      </c>
      <c r="DB93" s="20" t="n">
        <f aca="false">CY93*MIN(Slot9_Cost,DA93)</f>
        <v>0</v>
      </c>
      <c r="DC93" s="20" t="n">
        <f aca="false">CY93*Slot9_SpendLike*MIN(Slot9_Cost-DB93,CU93)</f>
        <v>0</v>
      </c>
      <c r="DD93" s="20" t="n">
        <f aca="false">DB93+DC93</f>
        <v>0</v>
      </c>
      <c r="DE93" s="20" t="n">
        <f aca="false">CU93-DC93+CY93*IF(Slot9_SpendLike=1,DA93-DB93,IF(Slot9_PotFree=1,DA93,0))</f>
        <v>0</v>
      </c>
      <c r="DF93" s="20" t="n">
        <f aca="false">CV93+CY93*Slot9_BufPot*DA93</f>
        <v>0</v>
      </c>
      <c r="DG93" s="20" t="n">
        <f aca="false">IF(AND(CY93=1,Slot9_IsMfree=1),IF(DD93&gt;=Slot9_Cost-1,0,MAX(0,CW93-DD93)),CW93)</f>
        <v>0</v>
      </c>
      <c r="DH93" s="20" t="n">
        <f aca="false">CY93*(Slot9_Cost-DD93)</f>
        <v>0</v>
      </c>
      <c r="DI93" s="20" t="n">
        <f aca="false">IF(AND(Slot10_On=1,D93=Slot10_Age),1,0)</f>
        <v>0</v>
      </c>
      <c r="DJ93" s="20" t="n">
        <f aca="false">IF(AND(Slot10_On=1,Slot10_Age&gt;D93),1,0)</f>
        <v>0</v>
      </c>
      <c r="DK93" s="20" t="n">
        <f aca="false">RW92</f>
        <v>0</v>
      </c>
      <c r="DL93" s="20" t="n">
        <f aca="false">DI93*MIN(Slot10_Cost,DK93)</f>
        <v>0</v>
      </c>
      <c r="DM93" s="20" t="n">
        <f aca="false">DI93*Slot10_SpendLike*MIN(Slot10_Cost-DL93,DE93)</f>
        <v>0</v>
      </c>
      <c r="DN93" s="20" t="n">
        <f aca="false">DL93+DM93</f>
        <v>0</v>
      </c>
      <c r="DO93" s="20" t="n">
        <f aca="false">DE93-DM93+DI93*IF(Slot10_SpendLike=1,DK93-DL93,IF(Slot10_PotFree=1,DK93,0))</f>
        <v>0</v>
      </c>
      <c r="DP93" s="20" t="n">
        <f aca="false">DF93+DI93*Slot10_BufPot*DK93</f>
        <v>0</v>
      </c>
      <c r="DQ93" s="20" t="n">
        <f aca="false">IF(AND(DI93=1,Slot10_IsMfree=1),IF(DN93&gt;=Slot10_Cost-1,0,MAX(0,DG93-DN93)),DG93)</f>
        <v>0</v>
      </c>
      <c r="DR93" s="20" t="n">
        <f aca="false">DI93*(Slot10_Cost-DN93)</f>
        <v>0</v>
      </c>
      <c r="DS93" s="20" t="n">
        <f aca="false">IF(AND(Slot11_On=1,D93=Slot11_Age),1,0)</f>
        <v>0</v>
      </c>
      <c r="DT93" s="20" t="n">
        <f aca="false">IF(AND(Slot11_On=1,Slot11_Age&gt;D93),1,0)</f>
        <v>0</v>
      </c>
      <c r="DU93" s="20" t="n">
        <f aca="false">SA92</f>
        <v>0</v>
      </c>
      <c r="DV93" s="20" t="n">
        <f aca="false">DS93*MIN(Slot11_Cost,DU93)</f>
        <v>0</v>
      </c>
      <c r="DW93" s="20" t="n">
        <f aca="false">DS93*Slot11_SpendLike*MIN(Slot11_Cost-DV93,DO93)</f>
        <v>0</v>
      </c>
      <c r="DX93" s="20" t="n">
        <f aca="false">DV93+DW93</f>
        <v>0</v>
      </c>
      <c r="DY93" s="20" t="n">
        <f aca="false">DO93-DW93+DS93*IF(Slot11_SpendLike=1,DU93-DV93,IF(Slot11_PotFree=1,DU93,0))</f>
        <v>0</v>
      </c>
      <c r="DZ93" s="20" t="n">
        <f aca="false">DP93+DS93*Slot11_BufPot*DU93</f>
        <v>0</v>
      </c>
      <c r="EA93" s="20" t="n">
        <f aca="false">IF(AND(DS93=1,Slot11_IsMfree=1),IF(DX93&gt;=Slot11_Cost-1,0,MAX(0,DQ93-DX93)),DQ93)</f>
        <v>0</v>
      </c>
      <c r="EB93" s="20" t="n">
        <f aca="false">DS93*(Slot11_Cost-DX93)</f>
        <v>0</v>
      </c>
      <c r="EC93" s="20" t="n">
        <f aca="false">IF(AND(Slot12_On=1,D93=Slot12_Age),1,0)</f>
        <v>0</v>
      </c>
      <c r="ED93" s="20" t="n">
        <f aca="false">IF(AND(Slot12_On=1,Slot12_Age&gt;D93),1,0)</f>
        <v>0</v>
      </c>
      <c r="EE93" s="20" t="n">
        <f aca="false">SE92</f>
        <v>0</v>
      </c>
      <c r="EF93" s="20" t="n">
        <f aca="false">EC93*MIN(Slot12_Cost,EE93)</f>
        <v>0</v>
      </c>
      <c r="EG93" s="20" t="n">
        <f aca="false">EC93*Slot12_SpendLike*MIN(Slot12_Cost-EF93,DY93)</f>
        <v>0</v>
      </c>
      <c r="EH93" s="20" t="n">
        <f aca="false">EF93+EG93</f>
        <v>0</v>
      </c>
      <c r="EI93" s="20" t="n">
        <f aca="false">DY93-EG93+EC93*IF(Slot12_SpendLike=1,EE93-EF93,IF(Slot12_PotFree=1,EE93,0))</f>
        <v>0</v>
      </c>
      <c r="EJ93" s="20" t="n">
        <f aca="false">DZ93+EC93*Slot12_BufPot*EE93</f>
        <v>0</v>
      </c>
      <c r="EK93" s="20" t="n">
        <f aca="false">IF(AND(EC93=1,Slot12_IsMfree=1),IF(EH93&gt;=Slot12_Cost-1,0,MAX(0,EA93-EH93)),EA93)</f>
        <v>0</v>
      </c>
      <c r="EL93" s="20" t="n">
        <f aca="false">EC93*(Slot12_Cost-EH93)</f>
        <v>0</v>
      </c>
      <c r="EM93" s="20" t="n">
        <f aca="false">IF(AND(Slot13_On=1,D93=Slot13_Age),1,0)</f>
        <v>0</v>
      </c>
      <c r="EN93" s="20" t="n">
        <f aca="false">IF(AND(Slot13_On=1,Slot13_Age&gt;D93),1,0)</f>
        <v>0</v>
      </c>
      <c r="EO93" s="20" t="n">
        <f aca="false">SI92</f>
        <v>0</v>
      </c>
      <c r="EP93" s="20" t="n">
        <f aca="false">EM93*MIN(Slot13_Cost,EO93)</f>
        <v>0</v>
      </c>
      <c r="EQ93" s="20" t="n">
        <f aca="false">EM93*Slot13_SpendLike*MIN(Slot13_Cost-EP93,EI93)</f>
        <v>0</v>
      </c>
      <c r="ER93" s="20" t="n">
        <f aca="false">EP93+EQ93</f>
        <v>0</v>
      </c>
      <c r="ES93" s="20" t="n">
        <f aca="false">EI93-EQ93+EM93*IF(Slot13_SpendLike=1,EO93-EP93,IF(Slot13_PotFree=1,EO93,0))</f>
        <v>0</v>
      </c>
      <c r="ET93" s="20" t="n">
        <f aca="false">EJ93+EM93*Slot13_BufPot*EO93</f>
        <v>0</v>
      </c>
      <c r="EU93" s="20" t="n">
        <f aca="false">IF(AND(EM93=1,Slot13_IsMfree=1),IF(ER93&gt;=Slot13_Cost-1,0,MAX(0,EK93-ER93)),EK93)</f>
        <v>0</v>
      </c>
      <c r="EV93" s="20" t="n">
        <f aca="false">EM93*(Slot13_Cost-ER93)</f>
        <v>0</v>
      </c>
      <c r="EW93" s="20" t="n">
        <f aca="false">IF(AND(Slot14_On=1,D93=Slot14_Age),1,0)</f>
        <v>0</v>
      </c>
      <c r="EX93" s="20" t="n">
        <f aca="false">IF(AND(Slot14_On=1,Slot14_Age&gt;D93),1,0)</f>
        <v>0</v>
      </c>
      <c r="EY93" s="20" t="n">
        <f aca="false">SM92</f>
        <v>0</v>
      </c>
      <c r="EZ93" s="20" t="n">
        <f aca="false">EW93*MIN(Slot14_Cost,EY93)</f>
        <v>0</v>
      </c>
      <c r="FA93" s="20" t="n">
        <f aca="false">EW93*Slot14_SpendLike*MIN(Slot14_Cost-EZ93,ES93)</f>
        <v>0</v>
      </c>
      <c r="FB93" s="20" t="n">
        <f aca="false">EZ93+FA93</f>
        <v>0</v>
      </c>
      <c r="FC93" s="20" t="n">
        <f aca="false">ES93-FA93+EW93*IF(Slot14_SpendLike=1,EY93-EZ93,IF(Slot14_PotFree=1,EY93,0))</f>
        <v>0</v>
      </c>
      <c r="FD93" s="20" t="n">
        <f aca="false">ET93+EW93*Slot14_BufPot*EY93</f>
        <v>0</v>
      </c>
      <c r="FE93" s="20" t="n">
        <f aca="false">IF(AND(EW93=1,Slot14_IsMfree=1),IF(FB93&gt;=Slot14_Cost-1,0,MAX(0,EU93-FB93)),EU93)</f>
        <v>0</v>
      </c>
      <c r="FF93" s="20" t="n">
        <f aca="false">EW93*(Slot14_Cost-FB93)</f>
        <v>0</v>
      </c>
      <c r="FG93" s="20" t="n">
        <f aca="false">IF(AND(Slot15_On=1,D93=Slot15_Age),1,0)</f>
        <v>0</v>
      </c>
      <c r="FH93" s="20" t="n">
        <f aca="false">IF(AND(Slot15_On=1,Slot15_Age&gt;D93),1,0)</f>
        <v>0</v>
      </c>
      <c r="FI93" s="20" t="n">
        <f aca="false">SQ92</f>
        <v>0</v>
      </c>
      <c r="FJ93" s="20" t="n">
        <f aca="false">FG93*MIN(Slot15_Cost,FI93)</f>
        <v>0</v>
      </c>
      <c r="FK93" s="20" t="n">
        <f aca="false">FG93*Slot15_SpendLike*MIN(Slot15_Cost-FJ93,FC93)</f>
        <v>0</v>
      </c>
      <c r="FL93" s="20" t="n">
        <f aca="false">FJ93+FK93</f>
        <v>0</v>
      </c>
      <c r="FM93" s="20" t="n">
        <f aca="false">FC93-FK93+FG93*IF(Slot15_SpendLike=1,FI93-FJ93,IF(Slot15_PotFree=1,FI93,0))</f>
        <v>0</v>
      </c>
      <c r="FN93" s="20" t="n">
        <f aca="false">FD93+FG93*Slot15_BufPot*FI93</f>
        <v>0</v>
      </c>
      <c r="FO93" s="20" t="n">
        <f aca="false">IF(AND(FG93=1,Slot15_IsMfree=1),IF(FL93&gt;=Slot15_Cost-1,0,MAX(0,FE93-FL93)),FE93)</f>
        <v>0</v>
      </c>
      <c r="FP93" s="20" t="n">
        <f aca="false">FG93*(Slot15_Cost-FL93)</f>
        <v>0</v>
      </c>
      <c r="FQ93" s="20" t="n">
        <f aca="false">IF(AND(Slot16_On=1,D93=Slot16_Age),1,0)</f>
        <v>0</v>
      </c>
      <c r="FR93" s="20" t="n">
        <f aca="false">IF(AND(Slot16_On=1,Slot16_Age&gt;D93),1,0)</f>
        <v>0</v>
      </c>
      <c r="FS93" s="20" t="n">
        <f aca="false">SU92</f>
        <v>0</v>
      </c>
      <c r="FT93" s="20" t="n">
        <f aca="false">FQ93*MIN(Slot16_Cost,FS93)</f>
        <v>0</v>
      </c>
      <c r="FU93" s="20" t="n">
        <f aca="false">FQ93*Slot16_SpendLike*MIN(Slot16_Cost-FT93,FM93)</f>
        <v>0</v>
      </c>
      <c r="FV93" s="20" t="n">
        <f aca="false">FT93+FU93</f>
        <v>0</v>
      </c>
      <c r="FW93" s="20" t="n">
        <f aca="false">FM93-FU93+FQ93*IF(Slot16_SpendLike=1,FS93-FT93,IF(Slot16_PotFree=1,FS93,0))</f>
        <v>0</v>
      </c>
      <c r="FX93" s="20" t="n">
        <f aca="false">FN93+FQ93*Slot16_BufPot*FS93</f>
        <v>0</v>
      </c>
      <c r="FY93" s="20" t="n">
        <f aca="false">IF(AND(FQ93=1,Slot16_IsMfree=1),IF(FV93&gt;=Slot16_Cost-1,0,MAX(0,FO93-FV93)),FO93)</f>
        <v>0</v>
      </c>
      <c r="FZ93" s="20" t="n">
        <f aca="false">FQ93*(Slot16_Cost-FV93)</f>
        <v>0</v>
      </c>
      <c r="GA93" s="20" t="n">
        <f aca="false">IF(AND(Slot17_On=1,D93=Slot17_Age),1,0)</f>
        <v>0</v>
      </c>
      <c r="GB93" s="20" t="n">
        <f aca="false">IF(AND(Slot17_On=1,Slot17_Age&gt;D93),1,0)</f>
        <v>0</v>
      </c>
      <c r="GC93" s="20" t="n">
        <f aca="false">SY92</f>
        <v>0</v>
      </c>
      <c r="GD93" s="20" t="n">
        <f aca="false">GA93*MIN(Slot17_Cost,GC93)</f>
        <v>0</v>
      </c>
      <c r="GE93" s="20" t="n">
        <f aca="false">GA93*Slot17_SpendLike*MIN(Slot17_Cost-GD93,FW93)</f>
        <v>0</v>
      </c>
      <c r="GF93" s="20" t="n">
        <f aca="false">GD93+GE93</f>
        <v>0</v>
      </c>
      <c r="GG93" s="20" t="n">
        <f aca="false">FW93-GE93+GA93*IF(Slot17_SpendLike=1,GC93-GD93,IF(Slot17_PotFree=1,GC93,0))</f>
        <v>0</v>
      </c>
      <c r="GH93" s="20" t="n">
        <f aca="false">FX93+GA93*Slot17_BufPot*GC93</f>
        <v>0</v>
      </c>
      <c r="GI93" s="20" t="n">
        <f aca="false">IF(AND(GA93=1,Slot17_IsMfree=1),IF(GF93&gt;=Slot17_Cost-1,0,MAX(0,FY93-GF93)),FY93)</f>
        <v>0</v>
      </c>
      <c r="GJ93" s="20" t="n">
        <f aca="false">GA93*(Slot17_Cost-GF93)</f>
        <v>0</v>
      </c>
      <c r="GK93" s="20" t="n">
        <f aca="false">IF(AND(Slot18_On=1,D93=Slot18_Age),1,0)</f>
        <v>0</v>
      </c>
      <c r="GL93" s="20" t="n">
        <f aca="false">IF(AND(Slot18_On=1,Slot18_Age&gt;D93),1,0)</f>
        <v>0</v>
      </c>
      <c r="GM93" s="20" t="n">
        <f aca="false">TC92</f>
        <v>0</v>
      </c>
      <c r="GN93" s="20" t="n">
        <f aca="false">GK93*MIN(Slot18_Cost,GM93)</f>
        <v>0</v>
      </c>
      <c r="GO93" s="20" t="n">
        <f aca="false">GK93*Slot18_SpendLike*MIN(Slot18_Cost-GN93,GG93)</f>
        <v>0</v>
      </c>
      <c r="GP93" s="20" t="n">
        <f aca="false">GN93+GO93</f>
        <v>0</v>
      </c>
      <c r="GQ93" s="20" t="n">
        <f aca="false">GG93-GO93+GK93*IF(Slot18_SpendLike=1,GM93-GN93,IF(Slot18_PotFree=1,GM93,0))</f>
        <v>0</v>
      </c>
      <c r="GR93" s="20" t="n">
        <f aca="false">GH93+GK93*Slot18_BufPot*GM93</f>
        <v>0</v>
      </c>
      <c r="GS93" s="20" t="n">
        <f aca="false">IF(AND(GK93=1,Slot18_IsMfree=1),IF(GP93&gt;=Slot18_Cost-1,0,MAX(0,GI93-GP93)),GI93)</f>
        <v>0</v>
      </c>
      <c r="GT93" s="20" t="n">
        <f aca="false">GK93*(Slot18_Cost-GP93)</f>
        <v>0</v>
      </c>
      <c r="GU93" s="20" t="n">
        <f aca="false">IF(AND(Slot19_On=1,D93=Slot19_Age),1,0)</f>
        <v>0</v>
      </c>
      <c r="GV93" s="20" t="n">
        <f aca="false">IF(AND(Slot19_On=1,Slot19_Age&gt;D93),1,0)</f>
        <v>0</v>
      </c>
      <c r="GW93" s="20" t="n">
        <f aca="false">TG92</f>
        <v>0</v>
      </c>
      <c r="GX93" s="20" t="n">
        <f aca="false">GU93*MIN(Slot19_Cost,GW93)</f>
        <v>0</v>
      </c>
      <c r="GY93" s="20" t="n">
        <f aca="false">GU93*Slot19_SpendLike*MIN(Slot19_Cost-GX93,GQ93)</f>
        <v>0</v>
      </c>
      <c r="GZ93" s="20" t="n">
        <f aca="false">GX93+GY93</f>
        <v>0</v>
      </c>
      <c r="HA93" s="20" t="n">
        <f aca="false">GQ93-GY93+GU93*IF(Slot19_SpendLike=1,GW93-GX93,IF(Slot19_PotFree=1,GW93,0))</f>
        <v>0</v>
      </c>
      <c r="HB93" s="20" t="n">
        <f aca="false">GR93+GU93*Slot19_BufPot*GW93</f>
        <v>0</v>
      </c>
      <c r="HC93" s="20" t="n">
        <f aca="false">IF(AND(GU93=1,Slot19_IsMfree=1),IF(GZ93&gt;=Slot19_Cost-1,0,MAX(0,GS93-GZ93)),GS93)</f>
        <v>0</v>
      </c>
      <c r="HD93" s="20" t="n">
        <f aca="false">GU93*(Slot19_Cost-GZ93)</f>
        <v>0</v>
      </c>
      <c r="HE93" s="20" t="n">
        <f aca="false">IF(AND(Slot20_On=1,D93=Slot20_Age),1,0)</f>
        <v>0</v>
      </c>
      <c r="HF93" s="20" t="n">
        <f aca="false">IF(AND(Slot20_On=1,Slot20_Age&gt;D93),1,0)</f>
        <v>0</v>
      </c>
      <c r="HG93" s="20" t="n">
        <f aca="false">TK92</f>
        <v>0</v>
      </c>
      <c r="HH93" s="20" t="n">
        <f aca="false">HE93*MIN(Slot20_Cost,HG93)</f>
        <v>0</v>
      </c>
      <c r="HI93" s="20" t="n">
        <f aca="false">HE93*Slot20_SpendLike*MIN(Slot20_Cost-HH93,HA93)</f>
        <v>0</v>
      </c>
      <c r="HJ93" s="20" t="n">
        <f aca="false">HH93+HI93</f>
        <v>0</v>
      </c>
      <c r="HK93" s="20" t="n">
        <f aca="false">HA93-HI93+HE93*IF(Slot20_SpendLike=1,HG93-HH93,IF(Slot20_PotFree=1,HG93,0))</f>
        <v>0</v>
      </c>
      <c r="HL93" s="20" t="n">
        <f aca="false">HB93+HE93*Slot20_BufPot*HG93</f>
        <v>0</v>
      </c>
      <c r="HM93" s="20" t="n">
        <f aca="false">IF(AND(HE93=1,Slot20_IsMfree=1),IF(HJ93&gt;=Slot20_Cost-1,0,MAX(0,HC93-HJ93)),HC93)</f>
        <v>0</v>
      </c>
      <c r="HN93" s="20" t="n">
        <f aca="false">HE93*(Slot20_Cost-HJ93)</f>
        <v>0</v>
      </c>
      <c r="HO93" s="20" t="n">
        <f aca="false">V93*Slot1_SpendLike*AA93+AG93*Slot2_SpendLike*AL93+AQ93*Slot3_SpendLike*AV93+BA93*Slot4_SpendLike*BF93+BK93*Slot5_SpendLike*BP93+BU93*Slot6_SpendLike*BZ93+CE93*Slot7_SpendLike*CJ93+CO93*Slot8_SpendLike*CT93+CY93*Slot9_SpendLike*DD93+DI93*Slot10_SpendLike*DN93+DS93*Slot11_SpendLike*DX93+EC93*Slot12_SpendLike*EH93+EM93*Slot13_SpendLike*ER93+EW93*Slot14_SpendLike*FB93+FG93*Slot15_SpendLike*FL93+FQ93*Slot16_SpendLike*FV93+GA93*Slot17_SpendLike*GF93+GK93*Slot18_SpendLike*GP93+GU93*Slot19_SpendLike*GZ93+HE93*Slot20_SpendLike*HJ93</f>
        <v>0</v>
      </c>
      <c r="HP93" s="20" t="n">
        <f aca="false">AE93+AP93+AZ93+BJ93+BT93+CD93+CN93+CX93+DH93+DR93+EB93+EL93+EV93+FF93+FP93+FZ93+GJ93+GT93+HD93+HN93</f>
        <v>0</v>
      </c>
      <c r="HQ93" s="20" t="n">
        <f aca="false">V93*Slot1_Cost+AG93*Slot2_Cost+AQ93*Slot3_Cost+BA93*Slot4_Cost+BK93*Slot5_Cost+BU93*Slot6_Cost+CE93*Slot7_Cost+CO93*Slot8_Cost+CY93*Slot9_Cost+DI93*Slot10_Cost+DS93*Slot11_Cost+EC93*Slot12_Cost+EM93*Slot13_Cost+EW93*Slot14_Cost+FG93*Slot15_Cost+FQ93*Slot16_Cost+GA93*Slot17_Cost+GK93*Slot18_Cost+GU93*Slot19_Cost+HE93*Slot20_Cost</f>
        <v>0</v>
      </c>
      <c r="HR93" s="20" t="n">
        <f aca="false">HM93</f>
        <v>0</v>
      </c>
      <c r="HS93" s="20" t="n">
        <f aca="false">H93-I93-S93</f>
        <v>-103703.958782408</v>
      </c>
      <c r="HT93" s="20" t="n">
        <f aca="false">IF(B93=0,IF(AND(Has_q6=1,In_q6=4),PR_ShareVaries*(MAX(0,HS93)/12),MIN(IF(Has_q6=1,CHOOSE(In_q6+1,PR_SaveB1,PR_SaveB2,PR_SaveB3,PR_SaveB4,0),AS_NoAnswer),AS_SaveShare*(MAX(0,HS93)/12))),HT92)</f>
        <v>67.3316893520437</v>
      </c>
      <c r="HU93" s="20" t="n">
        <f aca="false">IF(HS93&gt;=0,1,0)</f>
        <v>0</v>
      </c>
      <c r="HV93" s="20" t="n">
        <f aca="false">MAX(0,HS93/12/F93)</f>
        <v>0</v>
      </c>
      <c r="HW93" s="20" t="n">
        <f aca="false">IF(AND(Has_q6=1,In_q6=4),PR_ShareVaries*(HV93),MIN(IF(Has_q6=1,CHOOSE(In_q6+1,PR_SaveB1,PR_SaveB2,PR_SaveB3,PR_SaveB4,0),AS_NoAnswer),AS_SaveShare*(HV93)))</f>
        <v>0</v>
      </c>
      <c r="HX93" s="20" t="n">
        <f aca="false">IF(Has_saveM=1,IF(In_saveUp="Yes",1,IF(In_saveUp="No",0,IF(In_saveM&gt;=HT93-0.5,1,0))),0)</f>
        <v>0</v>
      </c>
      <c r="HY93" s="20" t="n">
        <f aca="false">IF(Has_saveM=1,MIN(HV93,IF(HX93=1,MAX(In_saveM,HW93),MIN(In_saveM,HW93))),HW93)</f>
        <v>0</v>
      </c>
      <c r="HZ93" s="20" t="n">
        <f aca="false">IF(G93=1,HY93*12*F93,0)</f>
        <v>0</v>
      </c>
      <c r="IA93" s="20" t="n">
        <f aca="false">MAX(0,HZ93+IF(AND(WI_Retire=0,WI_M&lt;0,G93=1),WI_M*12*F93,0))</f>
        <v>0</v>
      </c>
      <c r="IB93" s="20" t="n">
        <f aca="false">Slot1_IsWG*W93+Slot2_IsWG*AH93+Slot3_IsWG*AR93+Slot4_IsWG*BB93+Slot5_IsWG*BL93+Slot6_IsWG*BV93+Slot7_IsWG*CF93+Slot8_IsWG*CP93+Slot9_IsWG*CZ93+Slot10_IsWG*DJ93+Slot11_IsWG*DT93+Slot12_IsWG*ED93+Slot13_IsWG*EN93+Slot14_IsWG*EX93+Slot15_IsWG*FH93+Slot16_IsWG*FR93+Slot17_IsWG*GB93+Slot18_IsWG*GL93+Slot19_IsWG*GV93+Slot20_IsWG*HF93</f>
        <v>0</v>
      </c>
      <c r="IC93" s="20" t="n">
        <f aca="false">IF(AND(WI_Retire=0,WI_M&gt;0,G93=1,IB93&gt;=1),WI_M*12*F93,0)</f>
        <v>0</v>
      </c>
      <c r="ID93" s="20" t="n">
        <f aca="false">IF(HU93=1,MIN(IA93,HS93),0)</f>
        <v>0</v>
      </c>
      <c r="IE93" s="20" t="n">
        <f aca="false">IF(HU93=1,MIN(IC93,HS93-ID93),0)</f>
        <v>0</v>
      </c>
      <c r="IF93" s="20" t="n">
        <f aca="false">IF(W93=1,IF(ABS((1+AS_Wage)/(1+Slot1_Rate)-1)&lt;0.000000000001,(Slot1_Age-D93)*(1+Slot1_Rate)^(Slot1_Age-D93),(1+Slot1_Rate)^(Slot1_Age-D93)*(1-((1+AS_Wage)/(1+Slot1_Rate))^(Slot1_Age-D93))/(1-(1+AS_Wage)/(1+Slot1_Rate))),1)</f>
        <v>1</v>
      </c>
      <c r="IG93" s="20" t="n">
        <f aca="false">IF(AND(HU93=1,IE93&gt;0,Slot1_IsWG=1,W93=1),MAX(0,(Slot1_Cost-X93*(1+Slot1_Rate)^(Slot1_Age-D93))/IF93),0)</f>
        <v>0</v>
      </c>
      <c r="IH93" s="20" t="n">
        <f aca="false">IF(AND(HU93=1,IE93&gt;0,Slot1_IsWG=1,W93=1),MIN(IE93,IG93),0)</f>
        <v>0</v>
      </c>
      <c r="II93" s="20" t="n">
        <f aca="false">X93+IH93</f>
        <v>0</v>
      </c>
      <c r="IJ93" s="20" t="n">
        <f aca="false">IF(W93=1,MAX(0,(Slot1_Cost-II93*(1+Slot1_Rate)^(Slot1_Age-D93))/IF93),0)</f>
        <v>0</v>
      </c>
      <c r="IK93" s="20" t="n">
        <f aca="false">IF(W93=1,MAX(0,(Slot1_Cost-X93*(1+Slot1_Rate)^(Slot1_Age-D93))/IF93),0)</f>
        <v>0</v>
      </c>
      <c r="IL93" s="20" t="n">
        <f aca="false">IF(AND(HU93=1,W93=1),MIN(ID93,IJ93),0)</f>
        <v>0</v>
      </c>
      <c r="IM93" s="20" t="n">
        <f aca="false">ID93-IL93</f>
        <v>0</v>
      </c>
      <c r="IN93" s="20" t="n">
        <f aca="false">IF(AH93=1,IF(ABS((1+AS_Wage)/(1+Slot2_Rate)-1)&lt;0.000000000001,(Slot2_Age-D93)*(1+Slot2_Rate)^(Slot2_Age-D93),(1+Slot2_Rate)^(Slot2_Age-D93)*(1-((1+AS_Wage)/(1+Slot2_Rate))^(Slot2_Age-D93))/(1-(1+AS_Wage)/(1+Slot2_Rate))),1)</f>
        <v>1</v>
      </c>
      <c r="IO93" s="20" t="n">
        <f aca="false">IF(AND(HU93=1,IE93&gt;0,Slot2_IsWG=1,AH93=1),MAX(0,(Slot2_Cost-AI93*(1+Slot2_Rate)^(Slot2_Age-D93))/IN93),0)</f>
        <v>0</v>
      </c>
      <c r="IP93" s="20" t="n">
        <f aca="false">IF(AND(HU93=1,IE93&gt;0,Slot2_IsWG=1,AH93=1),MIN(IE93,IO93),0)</f>
        <v>0</v>
      </c>
      <c r="IQ93" s="20" t="n">
        <f aca="false">AI93+IP93</f>
        <v>0</v>
      </c>
      <c r="IR93" s="20" t="n">
        <f aca="false">IF(AH93=1,MAX(0,(Slot2_Cost-IQ93*(1+Slot2_Rate)^(Slot2_Age-D93))/IN93),0)</f>
        <v>0</v>
      </c>
      <c r="IS93" s="20" t="n">
        <f aca="false">IF(AH93=1,MAX(0,(Slot2_Cost-AI93*(1+Slot2_Rate)^(Slot2_Age-D93))/IN93),0)</f>
        <v>0</v>
      </c>
      <c r="IT93" s="20" t="n">
        <f aca="false">IF(AND(HU93=1,AH93=1),MIN(IM93,IR93),0)</f>
        <v>0</v>
      </c>
      <c r="IU93" s="20" t="n">
        <f aca="false">IM93-IT93</f>
        <v>0</v>
      </c>
      <c r="IV93" s="20" t="n">
        <f aca="false">IF(AR93=1,IF(ABS((1+AS_Wage)/(1+Slot3_Rate)-1)&lt;0.000000000001,(Slot3_Age-D93)*(1+Slot3_Rate)^(Slot3_Age-D93),(1+Slot3_Rate)^(Slot3_Age-D93)*(1-((1+AS_Wage)/(1+Slot3_Rate))^(Slot3_Age-D93))/(1-(1+AS_Wage)/(1+Slot3_Rate))),1)</f>
        <v>1</v>
      </c>
      <c r="IW93" s="20" t="n">
        <f aca="false">IF(AND(HU93=1,IE93&gt;0,Slot3_IsWG=1,AR93=1),MAX(0,(Slot3_Cost-AS93*(1+Slot3_Rate)^(Slot3_Age-D93))/IV93),0)</f>
        <v>0</v>
      </c>
      <c r="IX93" s="20" t="n">
        <f aca="false">IF(AND(HU93=1,IE93&gt;0,Slot3_IsWG=1,AR93=1),MIN(IE93,IW93),0)</f>
        <v>0</v>
      </c>
      <c r="IY93" s="20" t="n">
        <f aca="false">AS93+IX93</f>
        <v>0</v>
      </c>
      <c r="IZ93" s="20" t="n">
        <f aca="false">IF(AR93=1,MAX(0,(Slot3_Cost-IY93*(1+Slot3_Rate)^(Slot3_Age-D93))/IV93),0)</f>
        <v>0</v>
      </c>
      <c r="JA93" s="20" t="n">
        <f aca="false">IF(AR93=1,MAX(0,(Slot3_Cost-AS93*(1+Slot3_Rate)^(Slot3_Age-D93))/IV93),0)</f>
        <v>0</v>
      </c>
      <c r="JB93" s="20" t="n">
        <f aca="false">IF(AND(HU93=1,AR93=1),MIN(IU93,IZ93),0)</f>
        <v>0</v>
      </c>
      <c r="JC93" s="20" t="n">
        <f aca="false">IU93-JB93</f>
        <v>0</v>
      </c>
      <c r="JD93" s="20" t="n">
        <f aca="false">IF(BB93=1,IF(ABS((1+AS_Wage)/(1+Slot4_Rate)-1)&lt;0.000000000001,(Slot4_Age-D93)*(1+Slot4_Rate)^(Slot4_Age-D93),(1+Slot4_Rate)^(Slot4_Age-D93)*(1-((1+AS_Wage)/(1+Slot4_Rate))^(Slot4_Age-D93))/(1-(1+AS_Wage)/(1+Slot4_Rate))),1)</f>
        <v>1</v>
      </c>
      <c r="JE93" s="20" t="n">
        <f aca="false">IF(AND(HU93=1,IE93&gt;0,Slot4_IsWG=1,BB93=1),MAX(0,(Slot4_Cost-BC93*(1+Slot4_Rate)^(Slot4_Age-D93))/JD93),0)</f>
        <v>0</v>
      </c>
      <c r="JF93" s="20" t="n">
        <f aca="false">IF(AND(HU93=1,IE93&gt;0,Slot4_IsWG=1,BB93=1),MIN(IE93,JE93),0)</f>
        <v>0</v>
      </c>
      <c r="JG93" s="20" t="n">
        <f aca="false">BC93+JF93</f>
        <v>0</v>
      </c>
      <c r="JH93" s="20" t="n">
        <f aca="false">IF(BB93=1,MAX(0,(Slot4_Cost-JG93*(1+Slot4_Rate)^(Slot4_Age-D93))/JD93),0)</f>
        <v>0</v>
      </c>
      <c r="JI93" s="20" t="n">
        <f aca="false">IF(BB93=1,MAX(0,(Slot4_Cost-BC93*(1+Slot4_Rate)^(Slot4_Age-D93))/JD93),0)</f>
        <v>0</v>
      </c>
      <c r="JJ93" s="20" t="n">
        <f aca="false">IF(AND(HU93=1,BB93=1),MIN(JC93,JH93),0)</f>
        <v>0</v>
      </c>
      <c r="JK93" s="20" t="n">
        <f aca="false">JC93-JJ93</f>
        <v>0</v>
      </c>
      <c r="JL93" s="20" t="n">
        <f aca="false">IF(BL93=1,IF(ABS((1+AS_Wage)/(1+Slot5_Rate)-1)&lt;0.000000000001,(Slot5_Age-D93)*(1+Slot5_Rate)^(Slot5_Age-D93),(1+Slot5_Rate)^(Slot5_Age-D93)*(1-((1+AS_Wage)/(1+Slot5_Rate))^(Slot5_Age-D93))/(1-(1+AS_Wage)/(1+Slot5_Rate))),1)</f>
        <v>1</v>
      </c>
      <c r="JM93" s="20" t="n">
        <f aca="false">IF(AND(HU93=1,IE93&gt;0,Slot5_IsWG=1,BL93=1),MAX(0,(Slot5_Cost-BM93*(1+Slot5_Rate)^(Slot5_Age-D93))/JL93),0)</f>
        <v>0</v>
      </c>
      <c r="JN93" s="20" t="n">
        <f aca="false">IF(AND(HU93=1,IE93&gt;0,Slot5_IsWG=1,BL93=1),MIN(IE93,JM93),0)</f>
        <v>0</v>
      </c>
      <c r="JO93" s="20" t="n">
        <f aca="false">BM93+JN93</f>
        <v>0</v>
      </c>
      <c r="JP93" s="20" t="n">
        <f aca="false">IF(BL93=1,MAX(0,(Slot5_Cost-JO93*(1+Slot5_Rate)^(Slot5_Age-D93))/JL93),0)</f>
        <v>0</v>
      </c>
      <c r="JQ93" s="20" t="n">
        <f aca="false">IF(BL93=1,MAX(0,(Slot5_Cost-BM93*(1+Slot5_Rate)^(Slot5_Age-D93))/JL93),0)</f>
        <v>0</v>
      </c>
      <c r="JR93" s="20" t="n">
        <f aca="false">IF(AND(HU93=1,BL93=1),MIN(JK93,JP93),0)</f>
        <v>0</v>
      </c>
      <c r="JS93" s="20" t="n">
        <f aca="false">JK93-JR93</f>
        <v>0</v>
      </c>
      <c r="JT93" s="20" t="n">
        <f aca="false">IF(BV93=1,IF(ABS((1+AS_Wage)/(1+Slot6_Rate)-1)&lt;0.000000000001,(Slot6_Age-D93)*(1+Slot6_Rate)^(Slot6_Age-D93),(1+Slot6_Rate)^(Slot6_Age-D93)*(1-((1+AS_Wage)/(1+Slot6_Rate))^(Slot6_Age-D93))/(1-(1+AS_Wage)/(1+Slot6_Rate))),1)</f>
        <v>1</v>
      </c>
      <c r="JU93" s="20" t="n">
        <f aca="false">IF(AND(HU93=1,IE93&gt;0,Slot6_IsWG=1,BV93=1),MAX(0,(Slot6_Cost-BW93*(1+Slot6_Rate)^(Slot6_Age-D93))/JT93),0)</f>
        <v>0</v>
      </c>
      <c r="JV93" s="20" t="n">
        <f aca="false">IF(AND(HU93=1,IE93&gt;0,Slot6_IsWG=1,BV93=1),MIN(IE93,JU93),0)</f>
        <v>0</v>
      </c>
      <c r="JW93" s="20" t="n">
        <f aca="false">BW93+JV93</f>
        <v>0</v>
      </c>
      <c r="JX93" s="20" t="n">
        <f aca="false">IF(BV93=1,MAX(0,(Slot6_Cost-JW93*(1+Slot6_Rate)^(Slot6_Age-D93))/JT93),0)</f>
        <v>0</v>
      </c>
      <c r="JY93" s="20" t="n">
        <f aca="false">IF(BV93=1,MAX(0,(Slot6_Cost-BW93*(1+Slot6_Rate)^(Slot6_Age-D93))/JT93),0)</f>
        <v>0</v>
      </c>
      <c r="JZ93" s="20" t="n">
        <f aca="false">IF(AND(HU93=1,BV93=1),MIN(JS93,JX93),0)</f>
        <v>0</v>
      </c>
      <c r="KA93" s="20" t="n">
        <f aca="false">JS93-JZ93</f>
        <v>0</v>
      </c>
      <c r="KB93" s="20" t="n">
        <f aca="false">IF(CF93=1,IF(ABS((1+AS_Wage)/(1+Slot7_Rate)-1)&lt;0.000000000001,(Slot7_Age-D93)*(1+Slot7_Rate)^(Slot7_Age-D93),(1+Slot7_Rate)^(Slot7_Age-D93)*(1-((1+AS_Wage)/(1+Slot7_Rate))^(Slot7_Age-D93))/(1-(1+AS_Wage)/(1+Slot7_Rate))),1)</f>
        <v>1</v>
      </c>
      <c r="KC93" s="20" t="n">
        <f aca="false">IF(AND(HU93=1,IE93&gt;0,Slot7_IsWG=1,CF93=1),MAX(0,(Slot7_Cost-CG93*(1+Slot7_Rate)^(Slot7_Age-D93))/KB93),0)</f>
        <v>0</v>
      </c>
      <c r="KD93" s="20" t="n">
        <f aca="false">IF(AND(HU93=1,IE93&gt;0,Slot7_IsWG=1,CF93=1),MIN(IE93,KC93),0)</f>
        <v>0</v>
      </c>
      <c r="KE93" s="20" t="n">
        <f aca="false">CG93+KD93</f>
        <v>0</v>
      </c>
      <c r="KF93" s="20" t="n">
        <f aca="false">IF(CF93=1,MAX(0,(Slot7_Cost-KE93*(1+Slot7_Rate)^(Slot7_Age-D93))/KB93),0)</f>
        <v>0</v>
      </c>
      <c r="KG93" s="20" t="n">
        <f aca="false">IF(CF93=1,MAX(0,(Slot7_Cost-CG93*(1+Slot7_Rate)^(Slot7_Age-D93))/KB93),0)</f>
        <v>0</v>
      </c>
      <c r="KH93" s="20" t="n">
        <f aca="false">IF(AND(HU93=1,CF93=1),MIN(KA93,KF93),0)</f>
        <v>0</v>
      </c>
      <c r="KI93" s="20" t="n">
        <f aca="false">KA93-KH93</f>
        <v>0</v>
      </c>
      <c r="KJ93" s="20" t="n">
        <f aca="false">IF(CP93=1,IF(ABS((1+AS_Wage)/(1+Slot8_Rate)-1)&lt;0.000000000001,(Slot8_Age-D93)*(1+Slot8_Rate)^(Slot8_Age-D93),(1+Slot8_Rate)^(Slot8_Age-D93)*(1-((1+AS_Wage)/(1+Slot8_Rate))^(Slot8_Age-D93))/(1-(1+AS_Wage)/(1+Slot8_Rate))),1)</f>
        <v>1</v>
      </c>
      <c r="KK93" s="20" t="n">
        <f aca="false">IF(AND(HU93=1,IE93&gt;0,Slot8_IsWG=1,CP93=1),MAX(0,(Slot8_Cost-CQ93*(1+Slot8_Rate)^(Slot8_Age-D93))/KJ93),0)</f>
        <v>0</v>
      </c>
      <c r="KL93" s="20" t="n">
        <f aca="false">IF(AND(HU93=1,IE93&gt;0,Slot8_IsWG=1,CP93=1),MIN(IE93,KK93),0)</f>
        <v>0</v>
      </c>
      <c r="KM93" s="20" t="n">
        <f aca="false">CQ93+KL93</f>
        <v>0</v>
      </c>
      <c r="KN93" s="20" t="n">
        <f aca="false">IF(CP93=1,MAX(0,(Slot8_Cost-KM93*(1+Slot8_Rate)^(Slot8_Age-D93))/KJ93),0)</f>
        <v>0</v>
      </c>
      <c r="KO93" s="20" t="n">
        <f aca="false">IF(CP93=1,MAX(0,(Slot8_Cost-CQ93*(1+Slot8_Rate)^(Slot8_Age-D93))/KJ93),0)</f>
        <v>0</v>
      </c>
      <c r="KP93" s="20" t="n">
        <f aca="false">IF(AND(HU93=1,CP93=1),MIN(KI93,KN93),0)</f>
        <v>0</v>
      </c>
      <c r="KQ93" s="20" t="n">
        <f aca="false">KI93-KP93</f>
        <v>0</v>
      </c>
      <c r="KR93" s="20" t="n">
        <f aca="false">IF(CZ93=1,IF(ABS((1+AS_Wage)/(1+Slot9_Rate)-1)&lt;0.000000000001,(Slot9_Age-D93)*(1+Slot9_Rate)^(Slot9_Age-D93),(1+Slot9_Rate)^(Slot9_Age-D93)*(1-((1+AS_Wage)/(1+Slot9_Rate))^(Slot9_Age-D93))/(1-(1+AS_Wage)/(1+Slot9_Rate))),1)</f>
        <v>1</v>
      </c>
      <c r="KS93" s="20" t="n">
        <f aca="false">IF(AND(HU93=1,IE93&gt;0,Slot9_IsWG=1,CZ93=1),MAX(0,(Slot9_Cost-DA93*(1+Slot9_Rate)^(Slot9_Age-D93))/KR93),0)</f>
        <v>0</v>
      </c>
      <c r="KT93" s="20" t="n">
        <f aca="false">IF(AND(HU93=1,IE93&gt;0,Slot9_IsWG=1,CZ93=1),MIN(IE93,KS93),0)</f>
        <v>0</v>
      </c>
      <c r="KU93" s="20" t="n">
        <f aca="false">DA93+KT93</f>
        <v>0</v>
      </c>
      <c r="KV93" s="20" t="n">
        <f aca="false">IF(CZ93=1,MAX(0,(Slot9_Cost-KU93*(1+Slot9_Rate)^(Slot9_Age-D93))/KR93),0)</f>
        <v>0</v>
      </c>
      <c r="KW93" s="20" t="n">
        <f aca="false">IF(CZ93=1,MAX(0,(Slot9_Cost-DA93*(1+Slot9_Rate)^(Slot9_Age-D93))/KR93),0)</f>
        <v>0</v>
      </c>
      <c r="KX93" s="20" t="n">
        <f aca="false">IF(AND(HU93=1,CZ93=1),MIN(KQ93,KV93),0)</f>
        <v>0</v>
      </c>
      <c r="KY93" s="20" t="n">
        <f aca="false">KQ93-KX93</f>
        <v>0</v>
      </c>
      <c r="KZ93" s="20" t="n">
        <f aca="false">IF(DJ93=1,IF(ABS((1+AS_Wage)/(1+Slot10_Rate)-1)&lt;0.000000000001,(Slot10_Age-D93)*(1+Slot10_Rate)^(Slot10_Age-D93),(1+Slot10_Rate)^(Slot10_Age-D93)*(1-((1+AS_Wage)/(1+Slot10_Rate))^(Slot10_Age-D93))/(1-(1+AS_Wage)/(1+Slot10_Rate))),1)</f>
        <v>1</v>
      </c>
      <c r="LA93" s="20" t="n">
        <f aca="false">IF(AND(HU93=1,IE93&gt;0,Slot10_IsWG=1,DJ93=1),MAX(0,(Slot10_Cost-DK93*(1+Slot10_Rate)^(Slot10_Age-D93))/KZ93),0)</f>
        <v>0</v>
      </c>
      <c r="LB93" s="20" t="n">
        <f aca="false">IF(AND(HU93=1,IE93&gt;0,Slot10_IsWG=1,DJ93=1),MIN(IE93,LA93),0)</f>
        <v>0</v>
      </c>
      <c r="LC93" s="20" t="n">
        <f aca="false">DK93+LB93</f>
        <v>0</v>
      </c>
      <c r="LD93" s="20" t="n">
        <f aca="false">IF(DJ93=1,MAX(0,(Slot10_Cost-LC93*(1+Slot10_Rate)^(Slot10_Age-D93))/KZ93),0)</f>
        <v>0</v>
      </c>
      <c r="LE93" s="20" t="n">
        <f aca="false">IF(DJ93=1,MAX(0,(Slot10_Cost-DK93*(1+Slot10_Rate)^(Slot10_Age-D93))/KZ93),0)</f>
        <v>0</v>
      </c>
      <c r="LF93" s="20" t="n">
        <f aca="false">IF(AND(HU93=1,DJ93=1),MIN(KY93,LD93),0)</f>
        <v>0</v>
      </c>
      <c r="LG93" s="20" t="n">
        <f aca="false">KY93-LF93</f>
        <v>0</v>
      </c>
      <c r="LH93" s="20" t="n">
        <f aca="false">IF(DT93=1,IF(ABS((1+AS_Wage)/(1+Slot11_Rate)-1)&lt;0.000000000001,(Slot11_Age-D93)*(1+Slot11_Rate)^(Slot11_Age-D93),(1+Slot11_Rate)^(Slot11_Age-D93)*(1-((1+AS_Wage)/(1+Slot11_Rate))^(Slot11_Age-D93))/(1-(1+AS_Wage)/(1+Slot11_Rate))),1)</f>
        <v>1</v>
      </c>
      <c r="LI93" s="20" t="n">
        <f aca="false">IF(AND(HU93=1,IE93&gt;0,Slot11_IsWG=1,DT93=1),MAX(0,(Slot11_Cost-DU93*(1+Slot11_Rate)^(Slot11_Age-D93))/LH93),0)</f>
        <v>0</v>
      </c>
      <c r="LJ93" s="20" t="n">
        <f aca="false">IF(AND(HU93=1,IE93&gt;0,Slot11_IsWG=1,DT93=1),MIN(IE93,LI93),0)</f>
        <v>0</v>
      </c>
      <c r="LK93" s="20" t="n">
        <f aca="false">DU93+LJ93</f>
        <v>0</v>
      </c>
      <c r="LL93" s="20" t="n">
        <f aca="false">IF(DT93=1,MAX(0,(Slot11_Cost-LK93*(1+Slot11_Rate)^(Slot11_Age-D93))/LH93),0)</f>
        <v>0</v>
      </c>
      <c r="LM93" s="20" t="n">
        <f aca="false">IF(DT93=1,MAX(0,(Slot11_Cost-DU93*(1+Slot11_Rate)^(Slot11_Age-D93))/LH93),0)</f>
        <v>0</v>
      </c>
      <c r="LN93" s="20" t="n">
        <f aca="false">IF(AND(HU93=1,DT93=1),MIN(LG93,LL93),0)</f>
        <v>0</v>
      </c>
      <c r="LO93" s="20" t="n">
        <f aca="false">LG93-LN93</f>
        <v>0</v>
      </c>
      <c r="LP93" s="20" t="n">
        <f aca="false">IF(ED93=1,IF(ABS((1+AS_Wage)/(1+Slot12_Rate)-1)&lt;0.000000000001,(Slot12_Age-D93)*(1+Slot12_Rate)^(Slot12_Age-D93),(1+Slot12_Rate)^(Slot12_Age-D93)*(1-((1+AS_Wage)/(1+Slot12_Rate))^(Slot12_Age-D93))/(1-(1+AS_Wage)/(1+Slot12_Rate))),1)</f>
        <v>1</v>
      </c>
      <c r="LQ93" s="20" t="n">
        <f aca="false">IF(AND(HU93=1,IE93&gt;0,Slot12_IsWG=1,ED93=1),MAX(0,(Slot12_Cost-EE93*(1+Slot12_Rate)^(Slot12_Age-D93))/LP93),0)</f>
        <v>0</v>
      </c>
      <c r="LR93" s="20" t="n">
        <f aca="false">IF(AND(HU93=1,IE93&gt;0,Slot12_IsWG=1,ED93=1),MIN(IE93,LQ93),0)</f>
        <v>0</v>
      </c>
      <c r="LS93" s="20" t="n">
        <f aca="false">EE93+LR93</f>
        <v>0</v>
      </c>
      <c r="LT93" s="20" t="n">
        <f aca="false">IF(ED93=1,MAX(0,(Slot12_Cost-LS93*(1+Slot12_Rate)^(Slot12_Age-D93))/LP93),0)</f>
        <v>0</v>
      </c>
      <c r="LU93" s="20" t="n">
        <f aca="false">IF(ED93=1,MAX(0,(Slot12_Cost-EE93*(1+Slot12_Rate)^(Slot12_Age-D93))/LP93),0)</f>
        <v>0</v>
      </c>
      <c r="LV93" s="20" t="n">
        <f aca="false">IF(AND(HU93=1,ED93=1),MIN(LO93,LT93),0)</f>
        <v>0</v>
      </c>
      <c r="LW93" s="20" t="n">
        <f aca="false">LO93-LV93</f>
        <v>0</v>
      </c>
      <c r="LX93" s="20" t="n">
        <f aca="false">IF(EN93=1,IF(ABS((1+AS_Wage)/(1+Slot13_Rate)-1)&lt;0.000000000001,(Slot13_Age-D93)*(1+Slot13_Rate)^(Slot13_Age-D93),(1+Slot13_Rate)^(Slot13_Age-D93)*(1-((1+AS_Wage)/(1+Slot13_Rate))^(Slot13_Age-D93))/(1-(1+AS_Wage)/(1+Slot13_Rate))),1)</f>
        <v>1</v>
      </c>
      <c r="LY93" s="20" t="n">
        <f aca="false">IF(AND(HU93=1,IE93&gt;0,Slot13_IsWG=1,EN93=1),MAX(0,(Slot13_Cost-EO93*(1+Slot13_Rate)^(Slot13_Age-D93))/LX93),0)</f>
        <v>0</v>
      </c>
      <c r="LZ93" s="20" t="n">
        <f aca="false">IF(AND(HU93=1,IE93&gt;0,Slot13_IsWG=1,EN93=1),MIN(IE93,LY93),0)</f>
        <v>0</v>
      </c>
      <c r="MA93" s="20" t="n">
        <f aca="false">EO93+LZ93</f>
        <v>0</v>
      </c>
      <c r="MB93" s="20" t="n">
        <f aca="false">IF(EN93=1,MAX(0,(Slot13_Cost-MA93*(1+Slot13_Rate)^(Slot13_Age-D93))/LX93),0)</f>
        <v>0</v>
      </c>
      <c r="MC93" s="20" t="n">
        <f aca="false">IF(EN93=1,MAX(0,(Slot13_Cost-EO93*(1+Slot13_Rate)^(Slot13_Age-D93))/LX93),0)</f>
        <v>0</v>
      </c>
      <c r="MD93" s="20" t="n">
        <f aca="false">IF(AND(HU93=1,EN93=1),MIN(LW93,MB93),0)</f>
        <v>0</v>
      </c>
      <c r="ME93" s="20" t="n">
        <f aca="false">LW93-MD93</f>
        <v>0</v>
      </c>
      <c r="MF93" s="20" t="n">
        <f aca="false">IF(EX93=1,IF(ABS((1+AS_Wage)/(1+Slot14_Rate)-1)&lt;0.000000000001,(Slot14_Age-D93)*(1+Slot14_Rate)^(Slot14_Age-D93),(1+Slot14_Rate)^(Slot14_Age-D93)*(1-((1+AS_Wage)/(1+Slot14_Rate))^(Slot14_Age-D93))/(1-(1+AS_Wage)/(1+Slot14_Rate))),1)</f>
        <v>1</v>
      </c>
      <c r="MG93" s="20" t="n">
        <f aca="false">IF(AND(HU93=1,IE93&gt;0,Slot14_IsWG=1,EX93=1),MAX(0,(Slot14_Cost-EY93*(1+Slot14_Rate)^(Slot14_Age-D93))/MF93),0)</f>
        <v>0</v>
      </c>
      <c r="MH93" s="20" t="n">
        <f aca="false">IF(AND(HU93=1,IE93&gt;0,Slot14_IsWG=1,EX93=1),MIN(IE93,MG93),0)</f>
        <v>0</v>
      </c>
      <c r="MI93" s="20" t="n">
        <f aca="false">EY93+MH93</f>
        <v>0</v>
      </c>
      <c r="MJ93" s="20" t="n">
        <f aca="false">IF(EX93=1,MAX(0,(Slot14_Cost-MI93*(1+Slot14_Rate)^(Slot14_Age-D93))/MF93),0)</f>
        <v>0</v>
      </c>
      <c r="MK93" s="20" t="n">
        <f aca="false">IF(EX93=1,MAX(0,(Slot14_Cost-EY93*(1+Slot14_Rate)^(Slot14_Age-D93))/MF93),0)</f>
        <v>0</v>
      </c>
      <c r="ML93" s="20" t="n">
        <f aca="false">IF(AND(HU93=1,EX93=1),MIN(ME93,MJ93),0)</f>
        <v>0</v>
      </c>
      <c r="MM93" s="20" t="n">
        <f aca="false">ME93-ML93</f>
        <v>0</v>
      </c>
      <c r="MN93" s="20" t="n">
        <f aca="false">IF(FH93=1,IF(ABS((1+AS_Wage)/(1+Slot15_Rate)-1)&lt;0.000000000001,(Slot15_Age-D93)*(1+Slot15_Rate)^(Slot15_Age-D93),(1+Slot15_Rate)^(Slot15_Age-D93)*(1-((1+AS_Wage)/(1+Slot15_Rate))^(Slot15_Age-D93))/(1-(1+AS_Wage)/(1+Slot15_Rate))),1)</f>
        <v>1</v>
      </c>
      <c r="MO93" s="20" t="n">
        <f aca="false">IF(AND(HU93=1,IE93&gt;0,Slot15_IsWG=1,FH93=1),MAX(0,(Slot15_Cost-FI93*(1+Slot15_Rate)^(Slot15_Age-D93))/MN93),0)</f>
        <v>0</v>
      </c>
      <c r="MP93" s="20" t="n">
        <f aca="false">IF(AND(HU93=1,IE93&gt;0,Slot15_IsWG=1,FH93=1),MIN(IE93,MO93),0)</f>
        <v>0</v>
      </c>
      <c r="MQ93" s="20" t="n">
        <f aca="false">FI93+MP93</f>
        <v>0</v>
      </c>
      <c r="MR93" s="20" t="n">
        <f aca="false">IF(FH93=1,MAX(0,(Slot15_Cost-MQ93*(1+Slot15_Rate)^(Slot15_Age-D93))/MN93),0)</f>
        <v>0</v>
      </c>
      <c r="MS93" s="20" t="n">
        <f aca="false">IF(FH93=1,MAX(0,(Slot15_Cost-FI93*(1+Slot15_Rate)^(Slot15_Age-D93))/MN93),0)</f>
        <v>0</v>
      </c>
      <c r="MT93" s="20" t="n">
        <f aca="false">IF(AND(HU93=1,FH93=1),MIN(MM93,MR93),0)</f>
        <v>0</v>
      </c>
      <c r="MU93" s="20" t="n">
        <f aca="false">MM93-MT93</f>
        <v>0</v>
      </c>
      <c r="MV93" s="20" t="n">
        <f aca="false">IF(FR93=1,IF(ABS((1+AS_Wage)/(1+Slot16_Rate)-1)&lt;0.000000000001,(Slot16_Age-D93)*(1+Slot16_Rate)^(Slot16_Age-D93),(1+Slot16_Rate)^(Slot16_Age-D93)*(1-((1+AS_Wage)/(1+Slot16_Rate))^(Slot16_Age-D93))/(1-(1+AS_Wage)/(1+Slot16_Rate))),1)</f>
        <v>1</v>
      </c>
      <c r="MW93" s="20" t="n">
        <f aca="false">IF(AND(HU93=1,IE93&gt;0,Slot16_IsWG=1,FR93=1),MAX(0,(Slot16_Cost-FS93*(1+Slot16_Rate)^(Slot16_Age-D93))/MV93),0)</f>
        <v>0</v>
      </c>
      <c r="MX93" s="20" t="n">
        <f aca="false">IF(AND(HU93=1,IE93&gt;0,Slot16_IsWG=1,FR93=1),MIN(IE93,MW93),0)</f>
        <v>0</v>
      </c>
      <c r="MY93" s="20" t="n">
        <f aca="false">FS93+MX93</f>
        <v>0</v>
      </c>
      <c r="MZ93" s="20" t="n">
        <f aca="false">IF(FR93=1,MAX(0,(Slot16_Cost-MY93*(1+Slot16_Rate)^(Slot16_Age-D93))/MV93),0)</f>
        <v>0</v>
      </c>
      <c r="NA93" s="20" t="n">
        <f aca="false">IF(FR93=1,MAX(0,(Slot16_Cost-FS93*(1+Slot16_Rate)^(Slot16_Age-D93))/MV93),0)</f>
        <v>0</v>
      </c>
      <c r="NB93" s="20" t="n">
        <f aca="false">IF(AND(HU93=1,FR93=1),MIN(MU93,MZ93),0)</f>
        <v>0</v>
      </c>
      <c r="NC93" s="20" t="n">
        <f aca="false">MU93-NB93</f>
        <v>0</v>
      </c>
      <c r="ND93" s="20" t="n">
        <f aca="false">IF(GB93=1,IF(ABS((1+AS_Wage)/(1+Slot17_Rate)-1)&lt;0.000000000001,(Slot17_Age-D93)*(1+Slot17_Rate)^(Slot17_Age-D93),(1+Slot17_Rate)^(Slot17_Age-D93)*(1-((1+AS_Wage)/(1+Slot17_Rate))^(Slot17_Age-D93))/(1-(1+AS_Wage)/(1+Slot17_Rate))),1)</f>
        <v>1</v>
      </c>
      <c r="NE93" s="20" t="n">
        <f aca="false">IF(AND(HU93=1,IE93&gt;0,Slot17_IsWG=1,GB93=1),MAX(0,(Slot17_Cost-GC93*(1+Slot17_Rate)^(Slot17_Age-D93))/ND93),0)</f>
        <v>0</v>
      </c>
      <c r="NF93" s="20" t="n">
        <f aca="false">IF(AND(HU93=1,IE93&gt;0,Slot17_IsWG=1,GB93=1),MIN(IE93,NE93),0)</f>
        <v>0</v>
      </c>
      <c r="NG93" s="20" t="n">
        <f aca="false">GC93+NF93</f>
        <v>0</v>
      </c>
      <c r="NH93" s="20" t="n">
        <f aca="false">IF(GB93=1,MAX(0,(Slot17_Cost-NG93*(1+Slot17_Rate)^(Slot17_Age-D93))/ND93),0)</f>
        <v>0</v>
      </c>
      <c r="NI93" s="20" t="n">
        <f aca="false">IF(GB93=1,MAX(0,(Slot17_Cost-GC93*(1+Slot17_Rate)^(Slot17_Age-D93))/ND93),0)</f>
        <v>0</v>
      </c>
      <c r="NJ93" s="20" t="n">
        <f aca="false">IF(AND(HU93=1,GB93=1),MIN(NC93,NH93),0)</f>
        <v>0</v>
      </c>
      <c r="NK93" s="20" t="n">
        <f aca="false">NC93-NJ93</f>
        <v>0</v>
      </c>
      <c r="NL93" s="20" t="n">
        <f aca="false">IF(GL93=1,IF(ABS((1+AS_Wage)/(1+Slot18_Rate)-1)&lt;0.000000000001,(Slot18_Age-D93)*(1+Slot18_Rate)^(Slot18_Age-D93),(1+Slot18_Rate)^(Slot18_Age-D93)*(1-((1+AS_Wage)/(1+Slot18_Rate))^(Slot18_Age-D93))/(1-(1+AS_Wage)/(1+Slot18_Rate))),1)</f>
        <v>1</v>
      </c>
      <c r="NM93" s="20" t="n">
        <f aca="false">IF(AND(HU93=1,IE93&gt;0,Slot18_IsWG=1,GL93=1),MAX(0,(Slot18_Cost-GM93*(1+Slot18_Rate)^(Slot18_Age-D93))/NL93),0)</f>
        <v>0</v>
      </c>
      <c r="NN93" s="20" t="n">
        <f aca="false">IF(AND(HU93=1,IE93&gt;0,Slot18_IsWG=1,GL93=1),MIN(IE93,NM93),0)</f>
        <v>0</v>
      </c>
      <c r="NO93" s="20" t="n">
        <f aca="false">GM93+NN93</f>
        <v>0</v>
      </c>
      <c r="NP93" s="20" t="n">
        <f aca="false">IF(GL93=1,MAX(0,(Slot18_Cost-NO93*(1+Slot18_Rate)^(Slot18_Age-D93))/NL93),0)</f>
        <v>0</v>
      </c>
      <c r="NQ93" s="20" t="n">
        <f aca="false">IF(GL93=1,MAX(0,(Slot18_Cost-GM93*(1+Slot18_Rate)^(Slot18_Age-D93))/NL93),0)</f>
        <v>0</v>
      </c>
      <c r="NR93" s="20" t="n">
        <f aca="false">IF(AND(HU93=1,GL93=1),MIN(NK93,NP93),0)</f>
        <v>0</v>
      </c>
      <c r="NS93" s="20" t="n">
        <f aca="false">NK93-NR93</f>
        <v>0</v>
      </c>
      <c r="NT93" s="20" t="n">
        <f aca="false">IF(GV93=1,IF(ABS((1+AS_Wage)/(1+Slot19_Rate)-1)&lt;0.000000000001,(Slot19_Age-D93)*(1+Slot19_Rate)^(Slot19_Age-D93),(1+Slot19_Rate)^(Slot19_Age-D93)*(1-((1+AS_Wage)/(1+Slot19_Rate))^(Slot19_Age-D93))/(1-(1+AS_Wage)/(1+Slot19_Rate))),1)</f>
        <v>1</v>
      </c>
      <c r="NU93" s="20" t="n">
        <f aca="false">IF(AND(HU93=1,IE93&gt;0,Slot19_IsWG=1,GV93=1),MAX(0,(Slot19_Cost-GW93*(1+Slot19_Rate)^(Slot19_Age-D93))/NT93),0)</f>
        <v>0</v>
      </c>
      <c r="NV93" s="20" t="n">
        <f aca="false">IF(AND(HU93=1,IE93&gt;0,Slot19_IsWG=1,GV93=1),MIN(IE93,NU93),0)</f>
        <v>0</v>
      </c>
      <c r="NW93" s="20" t="n">
        <f aca="false">GW93+NV93</f>
        <v>0</v>
      </c>
      <c r="NX93" s="20" t="n">
        <f aca="false">IF(GV93=1,MAX(0,(Slot19_Cost-NW93*(1+Slot19_Rate)^(Slot19_Age-D93))/NT93),0)</f>
        <v>0</v>
      </c>
      <c r="NY93" s="20" t="n">
        <f aca="false">IF(GV93=1,MAX(0,(Slot19_Cost-GW93*(1+Slot19_Rate)^(Slot19_Age-D93))/NT93),0)</f>
        <v>0</v>
      </c>
      <c r="NZ93" s="20" t="n">
        <f aca="false">IF(AND(HU93=1,GV93=1),MIN(NS93,NX93),0)</f>
        <v>0</v>
      </c>
      <c r="OA93" s="20" t="n">
        <f aca="false">NS93-NZ93</f>
        <v>0</v>
      </c>
      <c r="OB93" s="20" t="n">
        <f aca="false">IF(HF93=1,IF(ABS((1+AS_Wage)/(1+Slot20_Rate)-1)&lt;0.000000000001,(Slot20_Age-D93)*(1+Slot20_Rate)^(Slot20_Age-D93),(1+Slot20_Rate)^(Slot20_Age-D93)*(1-((1+AS_Wage)/(1+Slot20_Rate))^(Slot20_Age-D93))/(1-(1+AS_Wage)/(1+Slot20_Rate))),1)</f>
        <v>1</v>
      </c>
      <c r="OC93" s="20" t="n">
        <f aca="false">IF(AND(HU93=1,IE93&gt;0,Slot20_IsWG=1,HF93=1),MAX(0,(Slot20_Cost-HG93*(1+Slot20_Rate)^(Slot20_Age-D93))/OB93),0)</f>
        <v>0</v>
      </c>
      <c r="OD93" s="20" t="n">
        <f aca="false">IF(AND(HU93=1,IE93&gt;0,Slot20_IsWG=1,HF93=1),MIN(IE93,OC93),0)</f>
        <v>0</v>
      </c>
      <c r="OE93" s="20" t="n">
        <f aca="false">HG93+OD93</f>
        <v>0</v>
      </c>
      <c r="OF93" s="20" t="n">
        <f aca="false">IF(HF93=1,MAX(0,(Slot20_Cost-OE93*(1+Slot20_Rate)^(Slot20_Age-D93))/OB93),0)</f>
        <v>0</v>
      </c>
      <c r="OG93" s="20" t="n">
        <f aca="false">IF(HF93=1,MAX(0,(Slot20_Cost-HG93*(1+Slot20_Rate)^(Slot20_Age-D93))/OB93),0)</f>
        <v>0</v>
      </c>
      <c r="OH93" s="20" t="n">
        <f aca="false">IF(AND(HU93=1,HF93=1),MIN(OA93,OF93),0)</f>
        <v>0</v>
      </c>
      <c r="OI93" s="20" t="n">
        <f aca="false">OA93-OH93</f>
        <v>0</v>
      </c>
      <c r="OJ93" s="20" t="n">
        <f aca="false">IE93-(IH93+IP93+IX93+JF93+JN93+JV93+KD93+KL93+KT93+LB93+LJ93+LR93+LZ93+MH93+MP93+MX93+NF93+NN93+NV93+OD93)</f>
        <v>0</v>
      </c>
      <c r="OK93" s="20" t="n">
        <f aca="false">IF(HU93=1,HS93-ID93-IE93,0)</f>
        <v>0</v>
      </c>
      <c r="OL93" s="20" t="n">
        <f aca="false">IF(HU93=0,-HS93,0)</f>
        <v>103703.958782408</v>
      </c>
      <c r="OM93" s="20" t="n">
        <f aca="false">MIN(OL93,HK93)</f>
        <v>0</v>
      </c>
      <c r="ON93" s="20" t="n">
        <f aca="false">OL93-OM93</f>
        <v>103703.958782408</v>
      </c>
      <c r="OO93" s="20" t="n">
        <f aca="false">MIN(ON93,HL93)</f>
        <v>0</v>
      </c>
      <c r="OP93" s="20" t="n">
        <f aca="false">ON93-OO93</f>
        <v>103703.958782408</v>
      </c>
      <c r="OQ93" s="20" t="n">
        <f aca="false">IF(AND(HU93=0,HF93=1,OP93&gt;0),MIN(OP93,HG93),0)</f>
        <v>0</v>
      </c>
      <c r="OR93" s="20" t="n">
        <f aca="false">OP93-OQ93</f>
        <v>103703.958782408</v>
      </c>
      <c r="OS93" s="20" t="n">
        <f aca="false">IF(AND(HU93=0,GV93=1,OR93&gt;0),MIN(OR93,GW93),0)</f>
        <v>0</v>
      </c>
      <c r="OT93" s="20" t="n">
        <f aca="false">OR93-OS93</f>
        <v>103703.958782408</v>
      </c>
      <c r="OU93" s="20" t="n">
        <f aca="false">IF(AND(HU93=0,GL93=1,OT93&gt;0),MIN(OT93,GM93),0)</f>
        <v>0</v>
      </c>
      <c r="OV93" s="20" t="n">
        <f aca="false">OT93-OU93</f>
        <v>103703.958782408</v>
      </c>
      <c r="OW93" s="20" t="n">
        <f aca="false">IF(AND(HU93=0,GB93=1,OV93&gt;0),MIN(OV93,GC93),0)</f>
        <v>0</v>
      </c>
      <c r="OX93" s="20" t="n">
        <f aca="false">OV93-OW93</f>
        <v>103703.958782408</v>
      </c>
      <c r="OY93" s="20" t="n">
        <f aca="false">IF(AND(HU93=0,FR93=1,OX93&gt;0),MIN(OX93,FS93),0)</f>
        <v>0</v>
      </c>
      <c r="OZ93" s="20" t="n">
        <f aca="false">OX93-OY93</f>
        <v>103703.958782408</v>
      </c>
      <c r="PA93" s="20" t="n">
        <f aca="false">IF(AND(HU93=0,FH93=1,OZ93&gt;0),MIN(OZ93,FI93),0)</f>
        <v>0</v>
      </c>
      <c r="PB93" s="20" t="n">
        <f aca="false">OZ93-PA93</f>
        <v>103703.958782408</v>
      </c>
      <c r="PC93" s="20" t="n">
        <f aca="false">IF(AND(HU93=0,EX93=1,PB93&gt;0),MIN(PB93,EY93),0)</f>
        <v>0</v>
      </c>
      <c r="PD93" s="20" t="n">
        <f aca="false">PB93-PC93</f>
        <v>103703.958782408</v>
      </c>
      <c r="PE93" s="20" t="n">
        <f aca="false">IF(AND(HU93=0,EN93=1,PD93&gt;0),MIN(PD93,EO93),0)</f>
        <v>0</v>
      </c>
      <c r="PF93" s="20" t="n">
        <f aca="false">PD93-PE93</f>
        <v>103703.958782408</v>
      </c>
      <c r="PG93" s="20" t="n">
        <f aca="false">IF(AND(HU93=0,ED93=1,PF93&gt;0),MIN(PF93,EE93),0)</f>
        <v>0</v>
      </c>
      <c r="PH93" s="20" t="n">
        <f aca="false">PF93-PG93</f>
        <v>103703.958782408</v>
      </c>
      <c r="PI93" s="20" t="n">
        <f aca="false">IF(AND(HU93=0,DT93=1,PH93&gt;0),MIN(PH93,DU93),0)</f>
        <v>0</v>
      </c>
      <c r="PJ93" s="20" t="n">
        <f aca="false">PH93-PI93</f>
        <v>103703.958782408</v>
      </c>
      <c r="PK93" s="20" t="n">
        <f aca="false">IF(AND(HU93=0,DJ93=1,PJ93&gt;0),MIN(PJ93,DK93),0)</f>
        <v>0</v>
      </c>
      <c r="PL93" s="20" t="n">
        <f aca="false">PJ93-PK93</f>
        <v>103703.958782408</v>
      </c>
      <c r="PM93" s="20" t="n">
        <f aca="false">IF(AND(HU93=0,CZ93=1,PL93&gt;0),MIN(PL93,DA93),0)</f>
        <v>0</v>
      </c>
      <c r="PN93" s="20" t="n">
        <f aca="false">PL93-PM93</f>
        <v>103703.958782408</v>
      </c>
      <c r="PO93" s="20" t="n">
        <f aca="false">IF(AND(HU93=0,CP93=1,PN93&gt;0),MIN(PN93,CQ93),0)</f>
        <v>0</v>
      </c>
      <c r="PP93" s="20" t="n">
        <f aca="false">PN93-PO93</f>
        <v>103703.958782408</v>
      </c>
      <c r="PQ93" s="20" t="n">
        <f aca="false">IF(AND(HU93=0,CF93=1,PP93&gt;0),MIN(PP93,CG93),0)</f>
        <v>0</v>
      </c>
      <c r="PR93" s="20" t="n">
        <f aca="false">PP93-PQ93</f>
        <v>103703.958782408</v>
      </c>
      <c r="PS93" s="20" t="n">
        <f aca="false">IF(AND(HU93=0,BV93=1,PR93&gt;0),MIN(PR93,BW93),0)</f>
        <v>0</v>
      </c>
      <c r="PT93" s="20" t="n">
        <f aca="false">PR93-PS93</f>
        <v>103703.958782408</v>
      </c>
      <c r="PU93" s="20" t="n">
        <f aca="false">IF(AND(HU93=0,BL93=1,PT93&gt;0),MIN(PT93,BM93),0)</f>
        <v>0</v>
      </c>
      <c r="PV93" s="20" t="n">
        <f aca="false">PT93-PU93</f>
        <v>103703.958782408</v>
      </c>
      <c r="PW93" s="20" t="n">
        <f aca="false">IF(AND(HU93=0,BB93=1,PV93&gt;0),MIN(PV93,BC93),0)</f>
        <v>0</v>
      </c>
      <c r="PX93" s="20" t="n">
        <f aca="false">PV93-PW93</f>
        <v>103703.958782408</v>
      </c>
      <c r="PY93" s="20" t="n">
        <f aca="false">IF(AND(HU93=0,AR93=1,PX93&gt;0),MIN(PX93,AS93),0)</f>
        <v>0</v>
      </c>
      <c r="PZ93" s="20" t="n">
        <f aca="false">PX93-PY93</f>
        <v>103703.958782408</v>
      </c>
      <c r="QA93" s="20" t="n">
        <f aca="false">IF(AND(HU93=0,AH93=1,PZ93&gt;0),MIN(PZ93,AI93),0)</f>
        <v>0</v>
      </c>
      <c r="QB93" s="20" t="n">
        <f aca="false">PZ93-QA93</f>
        <v>103703.958782408</v>
      </c>
      <c r="QC93" s="20" t="n">
        <f aca="false">IF(AND(HU93=0,W93=1,QB93&gt;0),MIN(QB93,X93),0)</f>
        <v>0</v>
      </c>
      <c r="QD93" s="20" t="n">
        <f aca="false">QB93-QC93</f>
        <v>103703.958782408</v>
      </c>
      <c r="QE93" s="20" t="n">
        <f aca="false">IF(HU93=0,QD93,0)</f>
        <v>103703.958782408</v>
      </c>
      <c r="QF93" s="20" t="n">
        <f aca="false">OM93+OO93+QC93+QA93+PY93+PW93+PU93+PS93+PQ93+PO93+PM93+PK93+PI93+PG93+PE93+PC93+PA93+OY93+OW93+OU93+OS93+OQ93</f>
        <v>0</v>
      </c>
      <c r="QG93" s="20" t="n">
        <f aca="false">IF(HU93=1,HK93+OJ93+OI93+IF(G93=1,0,OK93),HK93-OM93)</f>
        <v>0</v>
      </c>
      <c r="QH93" s="20" t="n">
        <f aca="false">HL93-OO93</f>
        <v>0</v>
      </c>
      <c r="QI93" s="20" t="n">
        <f aca="false">IF(HU93=1,IF(G93=1,ID93+IE93,HS93),0)</f>
        <v>0</v>
      </c>
      <c r="QJ93" s="20" t="n">
        <f aca="false">IF(HU93=1,IF(G93=1,HS93-ID93-IE93,0),0)</f>
        <v>0</v>
      </c>
      <c r="QK93" s="57" t="n">
        <f aca="false">'Plan holdings'!BM93</f>
        <v>0</v>
      </c>
      <c r="QL93" s="20" t="n">
        <f aca="false">QH93*(1+AS_Cash)</f>
        <v>0</v>
      </c>
      <c r="QM93" s="20" t="n">
        <f aca="false">IF(W93=1,IF(HU93=1,II93+IL93,X93-QC93)*(1+Slot1_Rate),0)</f>
        <v>0</v>
      </c>
      <c r="QN93" s="20" t="n">
        <f aca="false">IF(AND(HU93=1,W93=1),(IH93+IL93)/F93,0)</f>
        <v>0</v>
      </c>
      <c r="QO93" s="20" t="n">
        <f aca="false">IF(B93=0,IH93+IL93,0)</f>
        <v>0</v>
      </c>
      <c r="QP93" s="20" t="n">
        <f aca="false">IF(B93=0,IF(HU93=1,IJ93,IK93),0)</f>
        <v>0</v>
      </c>
      <c r="QQ93" s="20" t="n">
        <f aca="false">IF(AH93=1,IF(HU93=1,IQ93+IT93,AI93-QA93)*(1+Slot2_Rate),0)</f>
        <v>0</v>
      </c>
      <c r="QR93" s="20" t="n">
        <f aca="false">IF(AND(HU93=1,AH93=1),(IP93+IT93)/F93,0)</f>
        <v>0</v>
      </c>
      <c r="QS93" s="20" t="n">
        <f aca="false">IF(B93=0,IP93+IT93,0)</f>
        <v>0</v>
      </c>
      <c r="QT93" s="20" t="n">
        <f aca="false">IF(B93=0,IF(HU93=1,IR93,IS93),0)</f>
        <v>0</v>
      </c>
      <c r="QU93" s="20" t="n">
        <f aca="false">IF(AR93=1,IF(HU93=1,IY93+JB93,AS93-PY93)*(1+Slot3_Rate),0)</f>
        <v>0</v>
      </c>
      <c r="QV93" s="20" t="n">
        <f aca="false">IF(AND(HU93=1,AR93=1),(IX93+JB93)/F93,0)</f>
        <v>0</v>
      </c>
      <c r="QW93" s="20" t="n">
        <f aca="false">IF(B93=0,IX93+JB93,0)</f>
        <v>0</v>
      </c>
      <c r="QX93" s="20" t="n">
        <f aca="false">IF(B93=0,IF(HU93=1,IZ93,JA93),0)</f>
        <v>0</v>
      </c>
      <c r="QY93" s="20" t="n">
        <f aca="false">IF(BB93=1,IF(HU93=1,JG93+JJ93,BC93-PW93)*(1+Slot4_Rate),0)</f>
        <v>0</v>
      </c>
      <c r="QZ93" s="20" t="n">
        <f aca="false">IF(AND(HU93=1,BB93=1),(JF93+JJ93)/F93,0)</f>
        <v>0</v>
      </c>
      <c r="RA93" s="20" t="n">
        <f aca="false">IF(B93=0,JF93+JJ93,0)</f>
        <v>0</v>
      </c>
      <c r="RB93" s="20" t="n">
        <f aca="false">IF(B93=0,IF(HU93=1,JH93,JI93),0)</f>
        <v>0</v>
      </c>
      <c r="RC93" s="20" t="n">
        <f aca="false">IF(BL93=1,IF(HU93=1,JO93+JR93,BM93-PU93)*(1+Slot5_Rate),0)</f>
        <v>0</v>
      </c>
      <c r="RD93" s="20" t="n">
        <f aca="false">IF(AND(HU93=1,BL93=1),(JN93+JR93)/F93,0)</f>
        <v>0</v>
      </c>
      <c r="RE93" s="20" t="n">
        <f aca="false">IF(B93=0,JN93+JR93,0)</f>
        <v>0</v>
      </c>
      <c r="RF93" s="20" t="n">
        <f aca="false">IF(B93=0,IF(HU93=1,JP93,JQ93),0)</f>
        <v>0</v>
      </c>
      <c r="RG93" s="20" t="n">
        <f aca="false">IF(BV93=1,IF(HU93=1,JW93+JZ93,BW93-PS93)*(1+Slot6_Rate),0)</f>
        <v>0</v>
      </c>
      <c r="RH93" s="20" t="n">
        <f aca="false">IF(AND(HU93=1,BV93=1),(JV93+JZ93)/F93,0)</f>
        <v>0</v>
      </c>
      <c r="RI93" s="20" t="n">
        <f aca="false">IF(B93=0,JV93+JZ93,0)</f>
        <v>0</v>
      </c>
      <c r="RJ93" s="20" t="n">
        <f aca="false">IF(B93=0,IF(HU93=1,JX93,JY93),0)</f>
        <v>0</v>
      </c>
      <c r="RK93" s="20" t="n">
        <f aca="false">IF(CF93=1,IF(HU93=1,KE93+KH93,CG93-PQ93)*(1+Slot7_Rate),0)</f>
        <v>0</v>
      </c>
      <c r="RL93" s="20" t="n">
        <f aca="false">IF(AND(HU93=1,CF93=1),(KD93+KH93)/F93,0)</f>
        <v>0</v>
      </c>
      <c r="RM93" s="20" t="n">
        <f aca="false">IF(B93=0,KD93+KH93,0)</f>
        <v>0</v>
      </c>
      <c r="RN93" s="20" t="n">
        <f aca="false">IF(B93=0,IF(HU93=1,KF93,KG93),0)</f>
        <v>0</v>
      </c>
      <c r="RO93" s="20" t="n">
        <f aca="false">IF(CP93=1,IF(HU93=1,KM93+KP93,CQ93-PO93)*(1+Slot8_Rate),0)</f>
        <v>0</v>
      </c>
      <c r="RP93" s="20" t="n">
        <f aca="false">IF(AND(HU93=1,CP93=1),(KL93+KP93)/F93,0)</f>
        <v>0</v>
      </c>
      <c r="RQ93" s="20" t="n">
        <f aca="false">IF(B93=0,KL93+KP93,0)</f>
        <v>0</v>
      </c>
      <c r="RR93" s="20" t="n">
        <f aca="false">IF(B93=0,IF(HU93=1,KN93,KO93),0)</f>
        <v>0</v>
      </c>
      <c r="RS93" s="20" t="n">
        <f aca="false">IF(CZ93=1,IF(HU93=1,KU93+KX93,DA93-PM93)*(1+Slot9_Rate),0)</f>
        <v>0</v>
      </c>
      <c r="RT93" s="20" t="n">
        <f aca="false">IF(AND(HU93=1,CZ93=1),(KT93+KX93)/F93,0)</f>
        <v>0</v>
      </c>
      <c r="RU93" s="20" t="n">
        <f aca="false">IF(B93=0,KT93+KX93,0)</f>
        <v>0</v>
      </c>
      <c r="RV93" s="20" t="n">
        <f aca="false">IF(B93=0,IF(HU93=1,KV93,KW93),0)</f>
        <v>0</v>
      </c>
      <c r="RW93" s="20" t="n">
        <f aca="false">IF(DJ93=1,IF(HU93=1,LC93+LF93,DK93-PK93)*(1+Slot10_Rate),0)</f>
        <v>0</v>
      </c>
      <c r="RX93" s="20" t="n">
        <f aca="false">IF(AND(HU93=1,DJ93=1),(LB93+LF93)/F93,0)</f>
        <v>0</v>
      </c>
      <c r="RY93" s="20" t="n">
        <f aca="false">IF(B93=0,LB93+LF93,0)</f>
        <v>0</v>
      </c>
      <c r="RZ93" s="20" t="n">
        <f aca="false">IF(B93=0,IF(HU93=1,LD93,LE93),0)</f>
        <v>0</v>
      </c>
      <c r="SA93" s="20" t="n">
        <f aca="false">IF(DT93=1,IF(HU93=1,LK93+LN93,DU93-PI93)*(1+Slot11_Rate),0)</f>
        <v>0</v>
      </c>
      <c r="SB93" s="20" t="n">
        <f aca="false">IF(AND(HU93=1,DT93=1),(LJ93+LN93)/F93,0)</f>
        <v>0</v>
      </c>
      <c r="SC93" s="20" t="n">
        <f aca="false">IF(B93=0,LJ93+LN93,0)</f>
        <v>0</v>
      </c>
      <c r="SD93" s="20" t="n">
        <f aca="false">IF(B93=0,IF(HU93=1,LL93,LM93),0)</f>
        <v>0</v>
      </c>
      <c r="SE93" s="20" t="n">
        <f aca="false">IF(ED93=1,IF(HU93=1,LS93+LV93,EE93-PG93)*(1+Slot12_Rate),0)</f>
        <v>0</v>
      </c>
      <c r="SF93" s="20" t="n">
        <f aca="false">IF(AND(HU93=1,ED93=1),(LR93+LV93)/F93,0)</f>
        <v>0</v>
      </c>
      <c r="SG93" s="20" t="n">
        <f aca="false">IF(B93=0,LR93+LV93,0)</f>
        <v>0</v>
      </c>
      <c r="SH93" s="20" t="n">
        <f aca="false">IF(B93=0,IF(HU93=1,LT93,LU93),0)</f>
        <v>0</v>
      </c>
      <c r="SI93" s="20" t="n">
        <f aca="false">IF(EN93=1,IF(HU93=1,MA93+MD93,EO93-PE93)*(1+Slot13_Rate),0)</f>
        <v>0</v>
      </c>
      <c r="SJ93" s="20" t="n">
        <f aca="false">IF(AND(HU93=1,EN93=1),(LZ93+MD93)/F93,0)</f>
        <v>0</v>
      </c>
      <c r="SK93" s="20" t="n">
        <f aca="false">IF(B93=0,LZ93+MD93,0)</f>
        <v>0</v>
      </c>
      <c r="SL93" s="20" t="n">
        <f aca="false">IF(B93=0,IF(HU93=1,MB93,MC93),0)</f>
        <v>0</v>
      </c>
      <c r="SM93" s="20" t="n">
        <f aca="false">IF(EX93=1,IF(HU93=1,MI93+ML93,EY93-PC93)*(1+Slot14_Rate),0)</f>
        <v>0</v>
      </c>
      <c r="SN93" s="20" t="n">
        <f aca="false">IF(AND(HU93=1,EX93=1),(MH93+ML93)/F93,0)</f>
        <v>0</v>
      </c>
      <c r="SO93" s="20" t="n">
        <f aca="false">IF(B93=0,MH93+ML93,0)</f>
        <v>0</v>
      </c>
      <c r="SP93" s="20" t="n">
        <f aca="false">IF(B93=0,IF(HU93=1,MJ93,MK93),0)</f>
        <v>0</v>
      </c>
      <c r="SQ93" s="20" t="n">
        <f aca="false">IF(FH93=1,IF(HU93=1,MQ93+MT93,FI93-PA93)*(1+Slot15_Rate),0)</f>
        <v>0</v>
      </c>
      <c r="SR93" s="20" t="n">
        <f aca="false">IF(AND(HU93=1,FH93=1),(MP93+MT93)/F93,0)</f>
        <v>0</v>
      </c>
      <c r="SS93" s="20" t="n">
        <f aca="false">IF(B93=0,MP93+MT93,0)</f>
        <v>0</v>
      </c>
      <c r="ST93" s="20" t="n">
        <f aca="false">IF(B93=0,IF(HU93=1,MR93,MS93),0)</f>
        <v>0</v>
      </c>
      <c r="SU93" s="20" t="n">
        <f aca="false">IF(FR93=1,IF(HU93=1,MY93+NB93,FS93-OY93)*(1+Slot16_Rate),0)</f>
        <v>0</v>
      </c>
      <c r="SV93" s="20" t="n">
        <f aca="false">IF(AND(HU93=1,FR93=1),(MX93+NB93)/F93,0)</f>
        <v>0</v>
      </c>
      <c r="SW93" s="20" t="n">
        <f aca="false">IF(B93=0,MX93+NB93,0)</f>
        <v>0</v>
      </c>
      <c r="SX93" s="20" t="n">
        <f aca="false">IF(B93=0,IF(HU93=1,MZ93,NA93),0)</f>
        <v>0</v>
      </c>
      <c r="SY93" s="20" t="n">
        <f aca="false">IF(GB93=1,IF(HU93=1,NG93+NJ93,GC93-OW93)*(1+Slot17_Rate),0)</f>
        <v>0</v>
      </c>
      <c r="SZ93" s="20" t="n">
        <f aca="false">IF(AND(HU93=1,GB93=1),(NF93+NJ93)/F93,0)</f>
        <v>0</v>
      </c>
      <c r="TA93" s="20" t="n">
        <f aca="false">IF(B93=0,NF93+NJ93,0)</f>
        <v>0</v>
      </c>
      <c r="TB93" s="20" t="n">
        <f aca="false">IF(B93=0,IF(HU93=1,NH93,NI93),0)</f>
        <v>0</v>
      </c>
      <c r="TC93" s="20" t="n">
        <f aca="false">IF(GL93=1,IF(HU93=1,NO93+NR93,GM93-OU93)*(1+Slot18_Rate),0)</f>
        <v>0</v>
      </c>
      <c r="TD93" s="20" t="n">
        <f aca="false">IF(AND(HU93=1,GL93=1),(NN93+NR93)/F93,0)</f>
        <v>0</v>
      </c>
      <c r="TE93" s="20" t="n">
        <f aca="false">IF(B93=0,NN93+NR93,0)</f>
        <v>0</v>
      </c>
      <c r="TF93" s="20" t="n">
        <f aca="false">IF(B93=0,IF(HU93=1,NP93,NQ93),0)</f>
        <v>0</v>
      </c>
      <c r="TG93" s="20" t="n">
        <f aca="false">IF(GV93=1,IF(HU93=1,NW93+NZ93,GW93-OS93)*(1+Slot19_Rate),0)</f>
        <v>0</v>
      </c>
      <c r="TH93" s="20" t="n">
        <f aca="false">IF(AND(HU93=1,GV93=1),(NV93+NZ93)/F93,0)</f>
        <v>0</v>
      </c>
      <c r="TI93" s="20" t="n">
        <f aca="false">IF(B93=0,NV93+NZ93,0)</f>
        <v>0</v>
      </c>
      <c r="TJ93" s="20" t="n">
        <f aca="false">IF(B93=0,IF(HU93=1,NX93,NY93),0)</f>
        <v>0</v>
      </c>
      <c r="TK93" s="20" t="n">
        <f aca="false">IF(HF93=1,IF(HU93=1,OE93+OH93,HG93-OQ93)*(1+Slot20_Rate),0)</f>
        <v>0</v>
      </c>
      <c r="TL93" s="20" t="n">
        <f aca="false">IF(AND(HU93=1,HF93=1),(OD93+OH93)/F93,0)</f>
        <v>0</v>
      </c>
      <c r="TM93" s="20" t="n">
        <f aca="false">IF(B93=0,OD93+OH93,0)</f>
        <v>0</v>
      </c>
      <c r="TN93" s="20" t="n">
        <f aca="false">IF(B93=0,IF(HU93=1,OF93,OG93),0)</f>
        <v>0</v>
      </c>
      <c r="TO93" s="20" t="n">
        <f aca="false">QK93+QL93+QM93+QQ93+QU93+QY93+RC93+RG93+RK93+RO93+RS93+RW93+SA93+SE93+SI93+SM93+SQ93+SU93+SY93+TC93+TG93+TK93</f>
        <v>0</v>
      </c>
      <c r="TP93" s="20" t="n">
        <f aca="false">QE93+HP93</f>
        <v>103703.958782408</v>
      </c>
      <c r="TQ93" s="20" t="n">
        <f aca="false">I93+S93</f>
        <v>257301.605656068</v>
      </c>
      <c r="TR93" s="20" t="n">
        <f aca="false">1-G93</f>
        <v>1</v>
      </c>
      <c r="TS93" s="20" t="n">
        <f aca="false">IF(AND(RG_Exists=1,G93=0,C93=1),I93,0)</f>
        <v>0</v>
      </c>
      <c r="TT93" s="20" t="n">
        <f aca="false">IF(AND(RG_Exists=1,G93=0,C93=1),I93-MIN(QE93,I93),0)</f>
        <v>0</v>
      </c>
      <c r="TU93" s="20" t="n">
        <f aca="false">'Plan pay &amp; tax'!AD319</f>
        <v>0</v>
      </c>
      <c r="TV93" s="20" t="n">
        <f aca="false">IF(AND(C93=1,QE93&gt;MAX(PR_Short1,TQ93*PR_Short2)),1,0)</f>
        <v>0</v>
      </c>
      <c r="TW93" s="20" t="n">
        <f aca="false">MIN(H93,I93+S93)</f>
        <v>153597.64687366</v>
      </c>
      <c r="TX93" s="20" t="n">
        <f aca="false">QF93+MAX(0,HQ93-HP93)</f>
        <v>0</v>
      </c>
      <c r="TY93" s="20" t="n">
        <f aca="false">QE93+HP93</f>
        <v>103703.958782408</v>
      </c>
      <c r="TZ93" s="20" t="n">
        <f aca="false">IF(AND(C93=1,TY93&gt;PR_MinShort),1,0)</f>
        <v>0</v>
      </c>
      <c r="UA93" s="20" t="n">
        <f aca="false">IF(AND(C93=1,TZ93=0,TX93&gt;PR_MinShort),1,0)</f>
        <v>0</v>
      </c>
      <c r="UB93" s="20" t="n">
        <f aca="false">IF(AND(C93=1,QE93&gt;PR_MinShort),1,0)</f>
        <v>0</v>
      </c>
      <c r="UC93" s="20" t="n">
        <f aca="false">IF(AND(C93=1,QF93&gt;1,UJ93=0),1,0)</f>
        <v>0</v>
      </c>
      <c r="UD93" s="20" t="str">
        <f aca="false">IF(C93=0,"",IF(UJ93=1,"Gap to plan for: short "&amp;"€"&amp;TEXT(ROUND(TP93,0),"#,##0"),IF(QF93&gt;1,"Using savings","Comfortable")))</f>
        <v/>
      </c>
      <c r="UE93" s="20" t="n">
        <f aca="false">IF(AND(INT(D93/10)*10=90,B93&gt;0),80,INT(D93/10)*10)</f>
        <v>120</v>
      </c>
      <c r="UF93" s="20" t="n">
        <f aca="false">IF(B93=0,1,IF(UE93&lt;&gt;UE92,UF92+1,UF92))</f>
        <v>9</v>
      </c>
      <c r="UG93" s="20" t="n">
        <f aca="false">IF(AND(C93=1,G93=1,QE93&gt;MAX(PR_Short1,TQ93*PR_Short2)),1,0)</f>
        <v>0</v>
      </c>
      <c r="UH93" s="20" t="n">
        <f aca="false">TR93*TV93</f>
        <v>0</v>
      </c>
      <c r="UI93" s="20" t="n">
        <f aca="false">IF(AND(V93=1,Slot1_PctLow=1),1,0)+IF(AND(AG93=1,Slot2_PctLow=1),1,0)+IF(AND(AQ93=1,Slot3_PctLow=1),1,0)+IF(AND(BA93=1,Slot4_PctLow=1),1,0)+IF(AND(BK93=1,Slot5_PctLow=1),1,0)+IF(AND(BU93=1,Slot6_PctLow=1),1,0)+IF(AND(CE93=1,Slot7_PctLow=1),1,0)+IF(AND(CO93=1,Slot8_PctLow=1),1,0)+IF(AND(CY93=1,Slot9_PctLow=1),1,0)+IF(AND(DI93=1,Slot10_PctLow=1),1,0)+IF(AND(DS93=1,Slot11_PctLow=1),1,0)+IF(AND(EC93=1,Slot12_PctLow=1),1,0)+IF(AND(EM93=1,Slot13_PctLow=1),1,0)+IF(AND(EW93=1,Slot14_PctLow=1),1,0)+IF(AND(FG93=1,Slot15_PctLow=1),1,0)+IF(AND(FQ93=1,Slot16_PctLow=1),1,0)+IF(AND(GA93=1,Slot17_PctLow=1),1,0)+IF(AND(GK93=1,Slot18_PctLow=1),1,0)+IF(AND(GU93=1,Slot19_PctLow=1),1,0)+IF(AND(HE93=1,Slot20_PctLow=1),1,0)</f>
        <v>0</v>
      </c>
      <c r="UJ93" s="20" t="n">
        <f aca="false">IF(C93=1,IF(OR(TV93=1,UI93&gt;0),1,0),0)</f>
        <v>0</v>
      </c>
      <c r="UK93" s="20" t="n">
        <f aca="false">Z93+AK93+AU93+BE93+BO93+BY93+CI93+CS93+DC93+DM93+DW93+EG93+EQ93+FA93+FK93+FU93+GE93+GO93+GY93+HI93+OM93</f>
        <v>0</v>
      </c>
      <c r="UL93" s="20" t="n">
        <f aca="false">V93*IF(Slot1_SpendLike=1,X93-Y93,IF(Slot1_PotFree=1,X93,0))+AG93*IF(Slot2_SpendLike=1,AI93-AJ93,IF(Slot2_PotFree=1,AI93,0))+AQ93*IF(Slot3_SpendLike=1,AS93-AT93,IF(Slot3_PotFree=1,AS93,0))+BA93*IF(Slot4_SpendLike=1,BC93-BD93,IF(Slot4_PotFree=1,BC93,0))+BK93*IF(Slot5_SpendLike=1,BM93-BN93,IF(Slot5_PotFree=1,BM93,0))+BU93*IF(Slot6_SpendLike=1,BW93-BX93,IF(Slot6_PotFree=1,BW93,0))+CE93*IF(Slot7_SpendLike=1,CG93-CH93,IF(Slot7_PotFree=1,CG93,0))+CO93*IF(Slot8_SpendLike=1,CQ93-CR93,IF(Slot8_PotFree=1,CQ93,0))+CY93*IF(Slot9_SpendLike=1,DA93-DB93,IF(Slot9_PotFree=1,DA93,0))+DI93*IF(Slot10_SpendLike=1,DK93-DL93,IF(Slot10_PotFree=1,DK93,0))+DS93*IF(Slot11_SpendLike=1,DU93-DV93,IF(Slot11_PotFree=1,DU93,0))+EC93*IF(Slot12_SpendLike=1,EE93-EF93,IF(Slot12_PotFree=1,EE93,0))+EM93*IF(Slot13_SpendLike=1,EO93-EP93,IF(Slot13_PotFree=1,EO93,0))+EW93*IF(Slot14_SpendLike=1,EY93-EZ93,IF(Slot14_PotFree=1,EY93,0))+FG93*IF(Slot15_SpendLike=1,FI93-FJ93,IF(Slot15_PotFree=1,FI93,0))+FQ93*IF(Slot16_SpendLike=1,FS93-FT93,IF(Slot16_PotFree=1,FS93,0))+GA93*IF(Slot17_SpendLike=1,GC93-GD93,IF(Slot17_PotFree=1,GC93,0))+GK93*IF(Slot18_SpendLike=1,GM93-GN93,IF(Slot18_PotFree=1,GM93,0))+GU93*IF(Slot19_SpendLike=1,GW93-GX93,IF(Slot19_PotFree=1,GW93,0))+HE93*IF(Slot20_SpendLike=1,HG93-HH93,IF(Slot20_PotFree=1,HG93,0))</f>
        <v>0</v>
      </c>
      <c r="UM93" s="20" t="n">
        <f aca="false">QG93-T93+UK93-UL93</f>
        <v>0</v>
      </c>
      <c r="UN93" s="20" t="n">
        <f aca="false">IF(OR(UN92=1,AND(In_homeUse="Yes, I'd downsize",In_downAge&gt;0,D93=In_downAge,OR(In_home="Own outright",In_home="Own with mortgage"),In_homeValue&gt;0)),1,0)</f>
        <v>0</v>
      </c>
    </row>
    <row r="94" customFormat="false" ht="15" hidden="false" customHeight="true" outlineLevel="0" collapsed="false">
      <c r="B94" s="20" t="n">
        <v>86</v>
      </c>
      <c r="C94" s="20" t="n">
        <f aca="false">IF(B94&lt;=F_N,1,0)</f>
        <v>0</v>
      </c>
      <c r="D94" s="20" t="n">
        <f aca="false">'Plan pay &amp; tax'!C320</f>
        <v>124</v>
      </c>
      <c r="E94" s="20" t="str">
        <f aca="false">IF($C94=1,"Income tax "&amp;TEXT(N('Plan pay &amp; tax'!BK320),"#,##0")&amp;"; USC "&amp;TEXT(N('Plan pay &amp; tax'!BM320)+N('Plan pay &amp; tax'!BO320),"#,##0")&amp;"; PRSI "&amp;TEXT(N('Plan pay &amp; tax'!BP320)+N('Plan pay &amp; tax'!BQ320),"#,##0")&amp;IF(N('Plan holdings'!BO94)&gt;=0.5,"; DIRT "&amp;TEXT(('Plan holdings'!BO94)/$F94,"#,##0")&amp;" (already taken from the interest earned)","")&amp;IF(N('Plan holdings'!BP94)&gt;=0.5,"; exit tax at an 8-year anniversary "&amp;TEXT(('Plan holdings'!BP94)/$F94,"#,##0"),"")&amp;IF(N('Plan holdings'!BN94)&gt;=0.5,"; tax on assets sold (exit tax or capital gains tax) "&amp;TEXT(('Plan holdings'!BN94)/$F94,"#,##0"),"")&amp;IF(N('Plan pay &amp; tax'!X320)-N('Plan pay &amp; tax'!Y320)&gt;=0.5,"; tax on the pension lump sum "&amp;TEXT(('Plan pay &amp; tax'!X320-'Plan pay &amp; tax'!Y320)/$F94,"#,##0"),"")&amp;IF(N('Plan pay &amp; tax'!V320)&gt;=0.5,"; chargeable excess tax on the pension "&amp;TEXT(('Plan pay &amp; tax'!V320)/$F94,"#,##0"),"")&amp;".","")</f>
        <v/>
      </c>
      <c r="F94" s="50" t="n">
        <f aca="false">'Plan pay &amp; tax'!E320</f>
        <v>5.49053635500395</v>
      </c>
      <c r="G94" s="20" t="n">
        <f aca="false">'Plan pay &amp; tax'!G320</f>
        <v>0</v>
      </c>
      <c r="H94" s="20" t="n">
        <f aca="false">'Plan pay &amp; tax'!BT320-'Plan pay &amp; tax'!BS320-'Plan pay &amp; tax'!R320</f>
        <v>156669.599811133</v>
      </c>
      <c r="I94" s="20" t="n">
        <f aca="false">IF(G94=1,F_CostsM*12,IF(RG_Exists=1,RG_Amount,F_CostsM*12*AS_RetireSpend))*F94+F_OneOffY*F94</f>
        <v>262447.637769189</v>
      </c>
      <c r="J94" s="20" t="n">
        <f aca="false">IF(UN94=1,0,HR93)</f>
        <v>0</v>
      </c>
      <c r="K94" s="20" t="n">
        <f aca="false">IF(J94&gt;1,'Plan debt months'!AC94,0)</f>
        <v>0</v>
      </c>
      <c r="L94" s="20" t="n">
        <f aca="false">IF(J94&gt;1,'Plan debt months'!AB94,J94)</f>
        <v>0</v>
      </c>
      <c r="M94" s="20" t="n">
        <f aca="false">O93</f>
        <v>0</v>
      </c>
      <c r="N94" s="20" t="n">
        <f aca="false">IF(M94&gt;1,'Plan debt months'!BD94,0)</f>
        <v>0</v>
      </c>
      <c r="O94" s="20" t="n">
        <f aca="false">IF(M94&gt;1,'Plan debt months'!BC94,M94)</f>
        <v>0</v>
      </c>
      <c r="P94" s="20" t="n">
        <f aca="false">R93</f>
        <v>0</v>
      </c>
      <c r="Q94" s="20" t="n">
        <f aca="false">IF(P94&gt;1,'Plan debt months'!CE94,0)</f>
        <v>0</v>
      </c>
      <c r="R94" s="20" t="n">
        <f aca="false">IF(P94&gt;1,'Plan debt months'!CD94,P94)</f>
        <v>0</v>
      </c>
      <c r="S94" s="20" t="n">
        <f aca="false">K94+N94+Q94</f>
        <v>0</v>
      </c>
      <c r="T94" s="57" t="n">
        <f aca="false">'Plan holdings'!Y94</f>
        <v>0</v>
      </c>
      <c r="U94" s="57" t="n">
        <f aca="false">'Plan holdings'!BM93</f>
        <v>0</v>
      </c>
      <c r="V94" s="20" t="n">
        <f aca="false">IF(AND(Slot1_On=1,D94=Slot1_Age),1,0)</f>
        <v>0</v>
      </c>
      <c r="W94" s="20" t="n">
        <f aca="false">IF(AND(Slot1_On=1,Slot1_Age&gt;D94),1,0)</f>
        <v>0</v>
      </c>
      <c r="X94" s="20" t="n">
        <f aca="false">QM93</f>
        <v>0</v>
      </c>
      <c r="Y94" s="20" t="n">
        <f aca="false">V94*MIN(Slot1_Cost,X94)</f>
        <v>0</v>
      </c>
      <c r="Z94" s="20" t="n">
        <f aca="false">V94*Slot1_SpendLike*MIN(Slot1_Cost-Y94,T94)</f>
        <v>0</v>
      </c>
      <c r="AA94" s="20" t="n">
        <f aca="false">Y94+Z94</f>
        <v>0</v>
      </c>
      <c r="AB94" s="20" t="n">
        <f aca="false">T94-Z94+V94*IF(Slot1_SpendLike=1,X94-Y94,IF(Slot1_PotFree=1,X94,0))</f>
        <v>0</v>
      </c>
      <c r="AC94" s="20" t="n">
        <f aca="false">AF94+V94*Slot1_BufPot*X94</f>
        <v>0</v>
      </c>
      <c r="AD94" s="20" t="n">
        <f aca="false">IF(AND(V94=1,Slot1_IsMfree=1),IF(AA94&gt;=Slot1_Cost-1,0,MAX(0,L94-AA94)),L94)</f>
        <v>0</v>
      </c>
      <c r="AE94" s="20" t="n">
        <f aca="false">V94*(Slot1_Cost-AA94)</f>
        <v>0</v>
      </c>
      <c r="AF94" s="20" t="n">
        <f aca="false">QL93</f>
        <v>0</v>
      </c>
      <c r="AG94" s="20" t="n">
        <f aca="false">IF(AND(Slot2_On=1,D94=Slot2_Age),1,0)</f>
        <v>0</v>
      </c>
      <c r="AH94" s="20" t="n">
        <f aca="false">IF(AND(Slot2_On=1,Slot2_Age&gt;D94),1,0)</f>
        <v>0</v>
      </c>
      <c r="AI94" s="20" t="n">
        <f aca="false">QQ93</f>
        <v>0</v>
      </c>
      <c r="AJ94" s="20" t="n">
        <f aca="false">AG94*MIN(Slot2_Cost,AI94)</f>
        <v>0</v>
      </c>
      <c r="AK94" s="20" t="n">
        <f aca="false">AG94*Slot2_SpendLike*MIN(Slot2_Cost-AJ94,AB94)</f>
        <v>0</v>
      </c>
      <c r="AL94" s="20" t="n">
        <f aca="false">AJ94+AK94</f>
        <v>0</v>
      </c>
      <c r="AM94" s="20" t="n">
        <f aca="false">AB94-AK94+AG94*IF(Slot2_SpendLike=1,AI94-AJ94,IF(Slot2_PotFree=1,AI94,0))</f>
        <v>0</v>
      </c>
      <c r="AN94" s="20" t="n">
        <f aca="false">AC94+AG94*Slot2_BufPot*AI94</f>
        <v>0</v>
      </c>
      <c r="AO94" s="20" t="n">
        <f aca="false">IF(AND(AG94=1,Slot2_IsMfree=1),IF(AL94&gt;=Slot2_Cost-1,0,MAX(0,AD94-AL94)),AD94)</f>
        <v>0</v>
      </c>
      <c r="AP94" s="20" t="n">
        <f aca="false">AG94*(Slot2_Cost-AL94)</f>
        <v>0</v>
      </c>
      <c r="AQ94" s="20" t="n">
        <f aca="false">IF(AND(Slot3_On=1,D94=Slot3_Age),1,0)</f>
        <v>0</v>
      </c>
      <c r="AR94" s="20" t="n">
        <f aca="false">IF(AND(Slot3_On=1,Slot3_Age&gt;D94),1,0)</f>
        <v>0</v>
      </c>
      <c r="AS94" s="20" t="n">
        <f aca="false">QU93</f>
        <v>0</v>
      </c>
      <c r="AT94" s="20" t="n">
        <f aca="false">AQ94*MIN(Slot3_Cost,AS94)</f>
        <v>0</v>
      </c>
      <c r="AU94" s="20" t="n">
        <f aca="false">AQ94*Slot3_SpendLike*MIN(Slot3_Cost-AT94,AM94)</f>
        <v>0</v>
      </c>
      <c r="AV94" s="20" t="n">
        <f aca="false">AT94+AU94</f>
        <v>0</v>
      </c>
      <c r="AW94" s="20" t="n">
        <f aca="false">AM94-AU94+AQ94*IF(Slot3_SpendLike=1,AS94-AT94,IF(Slot3_PotFree=1,AS94,0))</f>
        <v>0</v>
      </c>
      <c r="AX94" s="20" t="n">
        <f aca="false">AN94+AQ94*Slot3_BufPot*AS94</f>
        <v>0</v>
      </c>
      <c r="AY94" s="20" t="n">
        <f aca="false">IF(AND(AQ94=1,Slot3_IsMfree=1),IF(AV94&gt;=Slot3_Cost-1,0,MAX(0,AO94-AV94)),AO94)</f>
        <v>0</v>
      </c>
      <c r="AZ94" s="20" t="n">
        <f aca="false">AQ94*(Slot3_Cost-AV94)</f>
        <v>0</v>
      </c>
      <c r="BA94" s="20" t="n">
        <f aca="false">IF(AND(Slot4_On=1,D94=Slot4_Age),1,0)</f>
        <v>0</v>
      </c>
      <c r="BB94" s="20" t="n">
        <f aca="false">IF(AND(Slot4_On=1,Slot4_Age&gt;D94),1,0)</f>
        <v>0</v>
      </c>
      <c r="BC94" s="20" t="n">
        <f aca="false">QY93</f>
        <v>0</v>
      </c>
      <c r="BD94" s="20" t="n">
        <f aca="false">BA94*MIN(Slot4_Cost,BC94)</f>
        <v>0</v>
      </c>
      <c r="BE94" s="20" t="n">
        <f aca="false">BA94*Slot4_SpendLike*MIN(Slot4_Cost-BD94,AW94)</f>
        <v>0</v>
      </c>
      <c r="BF94" s="20" t="n">
        <f aca="false">BD94+BE94</f>
        <v>0</v>
      </c>
      <c r="BG94" s="20" t="n">
        <f aca="false">AW94-BE94+BA94*IF(Slot4_SpendLike=1,BC94-BD94,IF(Slot4_PotFree=1,BC94,0))</f>
        <v>0</v>
      </c>
      <c r="BH94" s="20" t="n">
        <f aca="false">AX94+BA94*Slot4_BufPot*BC94</f>
        <v>0</v>
      </c>
      <c r="BI94" s="20" t="n">
        <f aca="false">IF(AND(BA94=1,Slot4_IsMfree=1),IF(BF94&gt;=Slot4_Cost-1,0,MAX(0,AY94-BF94)),AY94)</f>
        <v>0</v>
      </c>
      <c r="BJ94" s="20" t="n">
        <f aca="false">BA94*(Slot4_Cost-BF94)</f>
        <v>0</v>
      </c>
      <c r="BK94" s="20" t="n">
        <f aca="false">IF(AND(Slot5_On=1,D94=Slot5_Age),1,0)</f>
        <v>0</v>
      </c>
      <c r="BL94" s="20" t="n">
        <f aca="false">IF(AND(Slot5_On=1,Slot5_Age&gt;D94),1,0)</f>
        <v>0</v>
      </c>
      <c r="BM94" s="20" t="n">
        <f aca="false">RC93</f>
        <v>0</v>
      </c>
      <c r="BN94" s="20" t="n">
        <f aca="false">BK94*MIN(Slot5_Cost,BM94)</f>
        <v>0</v>
      </c>
      <c r="BO94" s="20" t="n">
        <f aca="false">BK94*Slot5_SpendLike*MIN(Slot5_Cost-BN94,BG94)</f>
        <v>0</v>
      </c>
      <c r="BP94" s="20" t="n">
        <f aca="false">BN94+BO94</f>
        <v>0</v>
      </c>
      <c r="BQ94" s="20" t="n">
        <f aca="false">BG94-BO94+BK94*IF(Slot5_SpendLike=1,BM94-BN94,IF(Slot5_PotFree=1,BM94,0))</f>
        <v>0</v>
      </c>
      <c r="BR94" s="20" t="n">
        <f aca="false">BH94+BK94*Slot5_BufPot*BM94</f>
        <v>0</v>
      </c>
      <c r="BS94" s="20" t="n">
        <f aca="false">IF(AND(BK94=1,Slot5_IsMfree=1),IF(BP94&gt;=Slot5_Cost-1,0,MAX(0,BI94-BP94)),BI94)</f>
        <v>0</v>
      </c>
      <c r="BT94" s="20" t="n">
        <f aca="false">BK94*(Slot5_Cost-BP94)</f>
        <v>0</v>
      </c>
      <c r="BU94" s="20" t="n">
        <f aca="false">IF(AND(Slot6_On=1,D94=Slot6_Age),1,0)</f>
        <v>0</v>
      </c>
      <c r="BV94" s="20" t="n">
        <f aca="false">IF(AND(Slot6_On=1,Slot6_Age&gt;D94),1,0)</f>
        <v>0</v>
      </c>
      <c r="BW94" s="20" t="n">
        <f aca="false">RG93</f>
        <v>0</v>
      </c>
      <c r="BX94" s="20" t="n">
        <f aca="false">BU94*MIN(Slot6_Cost,BW94)</f>
        <v>0</v>
      </c>
      <c r="BY94" s="20" t="n">
        <f aca="false">BU94*Slot6_SpendLike*MIN(Slot6_Cost-BX94,BQ94)</f>
        <v>0</v>
      </c>
      <c r="BZ94" s="20" t="n">
        <f aca="false">BX94+BY94</f>
        <v>0</v>
      </c>
      <c r="CA94" s="20" t="n">
        <f aca="false">BQ94-BY94+BU94*IF(Slot6_SpendLike=1,BW94-BX94,IF(Slot6_PotFree=1,BW94,0))</f>
        <v>0</v>
      </c>
      <c r="CB94" s="20" t="n">
        <f aca="false">BR94+BU94*Slot6_BufPot*BW94</f>
        <v>0</v>
      </c>
      <c r="CC94" s="20" t="n">
        <f aca="false">IF(AND(BU94=1,Slot6_IsMfree=1),IF(BZ94&gt;=Slot6_Cost-1,0,MAX(0,BS94-BZ94)),BS94)</f>
        <v>0</v>
      </c>
      <c r="CD94" s="20" t="n">
        <f aca="false">BU94*(Slot6_Cost-BZ94)</f>
        <v>0</v>
      </c>
      <c r="CE94" s="20" t="n">
        <f aca="false">IF(AND(Slot7_On=1,D94=Slot7_Age),1,0)</f>
        <v>0</v>
      </c>
      <c r="CF94" s="20" t="n">
        <f aca="false">IF(AND(Slot7_On=1,Slot7_Age&gt;D94),1,0)</f>
        <v>0</v>
      </c>
      <c r="CG94" s="20" t="n">
        <f aca="false">RK93</f>
        <v>0</v>
      </c>
      <c r="CH94" s="20" t="n">
        <f aca="false">CE94*MIN(Slot7_Cost,CG94)</f>
        <v>0</v>
      </c>
      <c r="CI94" s="20" t="n">
        <f aca="false">CE94*Slot7_SpendLike*MIN(Slot7_Cost-CH94,CA94)</f>
        <v>0</v>
      </c>
      <c r="CJ94" s="20" t="n">
        <f aca="false">CH94+CI94</f>
        <v>0</v>
      </c>
      <c r="CK94" s="20" t="n">
        <f aca="false">CA94-CI94+CE94*IF(Slot7_SpendLike=1,CG94-CH94,IF(Slot7_PotFree=1,CG94,0))</f>
        <v>0</v>
      </c>
      <c r="CL94" s="20" t="n">
        <f aca="false">CB94+CE94*Slot7_BufPot*CG94</f>
        <v>0</v>
      </c>
      <c r="CM94" s="20" t="n">
        <f aca="false">IF(AND(CE94=1,Slot7_IsMfree=1),IF(CJ94&gt;=Slot7_Cost-1,0,MAX(0,CC94-CJ94)),CC94)</f>
        <v>0</v>
      </c>
      <c r="CN94" s="20" t="n">
        <f aca="false">CE94*(Slot7_Cost-CJ94)</f>
        <v>0</v>
      </c>
      <c r="CO94" s="20" t="n">
        <f aca="false">IF(AND(Slot8_On=1,D94=Slot8_Age),1,0)</f>
        <v>0</v>
      </c>
      <c r="CP94" s="20" t="n">
        <f aca="false">IF(AND(Slot8_On=1,Slot8_Age&gt;D94),1,0)</f>
        <v>0</v>
      </c>
      <c r="CQ94" s="20" t="n">
        <f aca="false">RO93</f>
        <v>0</v>
      </c>
      <c r="CR94" s="20" t="n">
        <f aca="false">CO94*MIN(Slot8_Cost,CQ94)</f>
        <v>0</v>
      </c>
      <c r="CS94" s="20" t="n">
        <f aca="false">CO94*Slot8_SpendLike*MIN(Slot8_Cost-CR94,CK94)</f>
        <v>0</v>
      </c>
      <c r="CT94" s="20" t="n">
        <f aca="false">CR94+CS94</f>
        <v>0</v>
      </c>
      <c r="CU94" s="20" t="n">
        <f aca="false">CK94-CS94+CO94*IF(Slot8_SpendLike=1,CQ94-CR94,IF(Slot8_PotFree=1,CQ94,0))</f>
        <v>0</v>
      </c>
      <c r="CV94" s="20" t="n">
        <f aca="false">CL94+CO94*Slot8_BufPot*CQ94</f>
        <v>0</v>
      </c>
      <c r="CW94" s="20" t="n">
        <f aca="false">IF(AND(CO94=1,Slot8_IsMfree=1),IF(CT94&gt;=Slot8_Cost-1,0,MAX(0,CM94-CT94)),CM94)</f>
        <v>0</v>
      </c>
      <c r="CX94" s="20" t="n">
        <f aca="false">CO94*(Slot8_Cost-CT94)</f>
        <v>0</v>
      </c>
      <c r="CY94" s="20" t="n">
        <f aca="false">IF(AND(Slot9_On=1,D94=Slot9_Age),1,0)</f>
        <v>0</v>
      </c>
      <c r="CZ94" s="20" t="n">
        <f aca="false">IF(AND(Slot9_On=1,Slot9_Age&gt;D94),1,0)</f>
        <v>0</v>
      </c>
      <c r="DA94" s="20" t="n">
        <f aca="false">RS93</f>
        <v>0</v>
      </c>
      <c r="DB94" s="20" t="n">
        <f aca="false">CY94*MIN(Slot9_Cost,DA94)</f>
        <v>0</v>
      </c>
      <c r="DC94" s="20" t="n">
        <f aca="false">CY94*Slot9_SpendLike*MIN(Slot9_Cost-DB94,CU94)</f>
        <v>0</v>
      </c>
      <c r="DD94" s="20" t="n">
        <f aca="false">DB94+DC94</f>
        <v>0</v>
      </c>
      <c r="DE94" s="20" t="n">
        <f aca="false">CU94-DC94+CY94*IF(Slot9_SpendLike=1,DA94-DB94,IF(Slot9_PotFree=1,DA94,0))</f>
        <v>0</v>
      </c>
      <c r="DF94" s="20" t="n">
        <f aca="false">CV94+CY94*Slot9_BufPot*DA94</f>
        <v>0</v>
      </c>
      <c r="DG94" s="20" t="n">
        <f aca="false">IF(AND(CY94=1,Slot9_IsMfree=1),IF(DD94&gt;=Slot9_Cost-1,0,MAX(0,CW94-DD94)),CW94)</f>
        <v>0</v>
      </c>
      <c r="DH94" s="20" t="n">
        <f aca="false">CY94*(Slot9_Cost-DD94)</f>
        <v>0</v>
      </c>
      <c r="DI94" s="20" t="n">
        <f aca="false">IF(AND(Slot10_On=1,D94=Slot10_Age),1,0)</f>
        <v>0</v>
      </c>
      <c r="DJ94" s="20" t="n">
        <f aca="false">IF(AND(Slot10_On=1,Slot10_Age&gt;D94),1,0)</f>
        <v>0</v>
      </c>
      <c r="DK94" s="20" t="n">
        <f aca="false">RW93</f>
        <v>0</v>
      </c>
      <c r="DL94" s="20" t="n">
        <f aca="false">DI94*MIN(Slot10_Cost,DK94)</f>
        <v>0</v>
      </c>
      <c r="DM94" s="20" t="n">
        <f aca="false">DI94*Slot10_SpendLike*MIN(Slot10_Cost-DL94,DE94)</f>
        <v>0</v>
      </c>
      <c r="DN94" s="20" t="n">
        <f aca="false">DL94+DM94</f>
        <v>0</v>
      </c>
      <c r="DO94" s="20" t="n">
        <f aca="false">DE94-DM94+DI94*IF(Slot10_SpendLike=1,DK94-DL94,IF(Slot10_PotFree=1,DK94,0))</f>
        <v>0</v>
      </c>
      <c r="DP94" s="20" t="n">
        <f aca="false">DF94+DI94*Slot10_BufPot*DK94</f>
        <v>0</v>
      </c>
      <c r="DQ94" s="20" t="n">
        <f aca="false">IF(AND(DI94=1,Slot10_IsMfree=1),IF(DN94&gt;=Slot10_Cost-1,0,MAX(0,DG94-DN94)),DG94)</f>
        <v>0</v>
      </c>
      <c r="DR94" s="20" t="n">
        <f aca="false">DI94*(Slot10_Cost-DN94)</f>
        <v>0</v>
      </c>
      <c r="DS94" s="20" t="n">
        <f aca="false">IF(AND(Slot11_On=1,D94=Slot11_Age),1,0)</f>
        <v>0</v>
      </c>
      <c r="DT94" s="20" t="n">
        <f aca="false">IF(AND(Slot11_On=1,Slot11_Age&gt;D94),1,0)</f>
        <v>0</v>
      </c>
      <c r="DU94" s="20" t="n">
        <f aca="false">SA93</f>
        <v>0</v>
      </c>
      <c r="DV94" s="20" t="n">
        <f aca="false">DS94*MIN(Slot11_Cost,DU94)</f>
        <v>0</v>
      </c>
      <c r="DW94" s="20" t="n">
        <f aca="false">DS94*Slot11_SpendLike*MIN(Slot11_Cost-DV94,DO94)</f>
        <v>0</v>
      </c>
      <c r="DX94" s="20" t="n">
        <f aca="false">DV94+DW94</f>
        <v>0</v>
      </c>
      <c r="DY94" s="20" t="n">
        <f aca="false">DO94-DW94+DS94*IF(Slot11_SpendLike=1,DU94-DV94,IF(Slot11_PotFree=1,DU94,0))</f>
        <v>0</v>
      </c>
      <c r="DZ94" s="20" t="n">
        <f aca="false">DP94+DS94*Slot11_BufPot*DU94</f>
        <v>0</v>
      </c>
      <c r="EA94" s="20" t="n">
        <f aca="false">IF(AND(DS94=1,Slot11_IsMfree=1),IF(DX94&gt;=Slot11_Cost-1,0,MAX(0,DQ94-DX94)),DQ94)</f>
        <v>0</v>
      </c>
      <c r="EB94" s="20" t="n">
        <f aca="false">DS94*(Slot11_Cost-DX94)</f>
        <v>0</v>
      </c>
      <c r="EC94" s="20" t="n">
        <f aca="false">IF(AND(Slot12_On=1,D94=Slot12_Age),1,0)</f>
        <v>0</v>
      </c>
      <c r="ED94" s="20" t="n">
        <f aca="false">IF(AND(Slot12_On=1,Slot12_Age&gt;D94),1,0)</f>
        <v>0</v>
      </c>
      <c r="EE94" s="20" t="n">
        <f aca="false">SE93</f>
        <v>0</v>
      </c>
      <c r="EF94" s="20" t="n">
        <f aca="false">EC94*MIN(Slot12_Cost,EE94)</f>
        <v>0</v>
      </c>
      <c r="EG94" s="20" t="n">
        <f aca="false">EC94*Slot12_SpendLike*MIN(Slot12_Cost-EF94,DY94)</f>
        <v>0</v>
      </c>
      <c r="EH94" s="20" t="n">
        <f aca="false">EF94+EG94</f>
        <v>0</v>
      </c>
      <c r="EI94" s="20" t="n">
        <f aca="false">DY94-EG94+EC94*IF(Slot12_SpendLike=1,EE94-EF94,IF(Slot12_PotFree=1,EE94,0))</f>
        <v>0</v>
      </c>
      <c r="EJ94" s="20" t="n">
        <f aca="false">DZ94+EC94*Slot12_BufPot*EE94</f>
        <v>0</v>
      </c>
      <c r="EK94" s="20" t="n">
        <f aca="false">IF(AND(EC94=1,Slot12_IsMfree=1),IF(EH94&gt;=Slot12_Cost-1,0,MAX(0,EA94-EH94)),EA94)</f>
        <v>0</v>
      </c>
      <c r="EL94" s="20" t="n">
        <f aca="false">EC94*(Slot12_Cost-EH94)</f>
        <v>0</v>
      </c>
      <c r="EM94" s="20" t="n">
        <f aca="false">IF(AND(Slot13_On=1,D94=Slot13_Age),1,0)</f>
        <v>0</v>
      </c>
      <c r="EN94" s="20" t="n">
        <f aca="false">IF(AND(Slot13_On=1,Slot13_Age&gt;D94),1,0)</f>
        <v>0</v>
      </c>
      <c r="EO94" s="20" t="n">
        <f aca="false">SI93</f>
        <v>0</v>
      </c>
      <c r="EP94" s="20" t="n">
        <f aca="false">EM94*MIN(Slot13_Cost,EO94)</f>
        <v>0</v>
      </c>
      <c r="EQ94" s="20" t="n">
        <f aca="false">EM94*Slot13_SpendLike*MIN(Slot13_Cost-EP94,EI94)</f>
        <v>0</v>
      </c>
      <c r="ER94" s="20" t="n">
        <f aca="false">EP94+EQ94</f>
        <v>0</v>
      </c>
      <c r="ES94" s="20" t="n">
        <f aca="false">EI94-EQ94+EM94*IF(Slot13_SpendLike=1,EO94-EP94,IF(Slot13_PotFree=1,EO94,0))</f>
        <v>0</v>
      </c>
      <c r="ET94" s="20" t="n">
        <f aca="false">EJ94+EM94*Slot13_BufPot*EO94</f>
        <v>0</v>
      </c>
      <c r="EU94" s="20" t="n">
        <f aca="false">IF(AND(EM94=1,Slot13_IsMfree=1),IF(ER94&gt;=Slot13_Cost-1,0,MAX(0,EK94-ER94)),EK94)</f>
        <v>0</v>
      </c>
      <c r="EV94" s="20" t="n">
        <f aca="false">EM94*(Slot13_Cost-ER94)</f>
        <v>0</v>
      </c>
      <c r="EW94" s="20" t="n">
        <f aca="false">IF(AND(Slot14_On=1,D94=Slot14_Age),1,0)</f>
        <v>0</v>
      </c>
      <c r="EX94" s="20" t="n">
        <f aca="false">IF(AND(Slot14_On=1,Slot14_Age&gt;D94),1,0)</f>
        <v>0</v>
      </c>
      <c r="EY94" s="20" t="n">
        <f aca="false">SM93</f>
        <v>0</v>
      </c>
      <c r="EZ94" s="20" t="n">
        <f aca="false">EW94*MIN(Slot14_Cost,EY94)</f>
        <v>0</v>
      </c>
      <c r="FA94" s="20" t="n">
        <f aca="false">EW94*Slot14_SpendLike*MIN(Slot14_Cost-EZ94,ES94)</f>
        <v>0</v>
      </c>
      <c r="FB94" s="20" t="n">
        <f aca="false">EZ94+FA94</f>
        <v>0</v>
      </c>
      <c r="FC94" s="20" t="n">
        <f aca="false">ES94-FA94+EW94*IF(Slot14_SpendLike=1,EY94-EZ94,IF(Slot14_PotFree=1,EY94,0))</f>
        <v>0</v>
      </c>
      <c r="FD94" s="20" t="n">
        <f aca="false">ET94+EW94*Slot14_BufPot*EY94</f>
        <v>0</v>
      </c>
      <c r="FE94" s="20" t="n">
        <f aca="false">IF(AND(EW94=1,Slot14_IsMfree=1),IF(FB94&gt;=Slot14_Cost-1,0,MAX(0,EU94-FB94)),EU94)</f>
        <v>0</v>
      </c>
      <c r="FF94" s="20" t="n">
        <f aca="false">EW94*(Slot14_Cost-FB94)</f>
        <v>0</v>
      </c>
      <c r="FG94" s="20" t="n">
        <f aca="false">IF(AND(Slot15_On=1,D94=Slot15_Age),1,0)</f>
        <v>0</v>
      </c>
      <c r="FH94" s="20" t="n">
        <f aca="false">IF(AND(Slot15_On=1,Slot15_Age&gt;D94),1,0)</f>
        <v>0</v>
      </c>
      <c r="FI94" s="20" t="n">
        <f aca="false">SQ93</f>
        <v>0</v>
      </c>
      <c r="FJ94" s="20" t="n">
        <f aca="false">FG94*MIN(Slot15_Cost,FI94)</f>
        <v>0</v>
      </c>
      <c r="FK94" s="20" t="n">
        <f aca="false">FG94*Slot15_SpendLike*MIN(Slot15_Cost-FJ94,FC94)</f>
        <v>0</v>
      </c>
      <c r="FL94" s="20" t="n">
        <f aca="false">FJ94+FK94</f>
        <v>0</v>
      </c>
      <c r="FM94" s="20" t="n">
        <f aca="false">FC94-FK94+FG94*IF(Slot15_SpendLike=1,FI94-FJ94,IF(Slot15_PotFree=1,FI94,0))</f>
        <v>0</v>
      </c>
      <c r="FN94" s="20" t="n">
        <f aca="false">FD94+FG94*Slot15_BufPot*FI94</f>
        <v>0</v>
      </c>
      <c r="FO94" s="20" t="n">
        <f aca="false">IF(AND(FG94=1,Slot15_IsMfree=1),IF(FL94&gt;=Slot15_Cost-1,0,MAX(0,FE94-FL94)),FE94)</f>
        <v>0</v>
      </c>
      <c r="FP94" s="20" t="n">
        <f aca="false">FG94*(Slot15_Cost-FL94)</f>
        <v>0</v>
      </c>
      <c r="FQ94" s="20" t="n">
        <f aca="false">IF(AND(Slot16_On=1,D94=Slot16_Age),1,0)</f>
        <v>0</v>
      </c>
      <c r="FR94" s="20" t="n">
        <f aca="false">IF(AND(Slot16_On=1,Slot16_Age&gt;D94),1,0)</f>
        <v>0</v>
      </c>
      <c r="FS94" s="20" t="n">
        <f aca="false">SU93</f>
        <v>0</v>
      </c>
      <c r="FT94" s="20" t="n">
        <f aca="false">FQ94*MIN(Slot16_Cost,FS94)</f>
        <v>0</v>
      </c>
      <c r="FU94" s="20" t="n">
        <f aca="false">FQ94*Slot16_SpendLike*MIN(Slot16_Cost-FT94,FM94)</f>
        <v>0</v>
      </c>
      <c r="FV94" s="20" t="n">
        <f aca="false">FT94+FU94</f>
        <v>0</v>
      </c>
      <c r="FW94" s="20" t="n">
        <f aca="false">FM94-FU94+FQ94*IF(Slot16_SpendLike=1,FS94-FT94,IF(Slot16_PotFree=1,FS94,0))</f>
        <v>0</v>
      </c>
      <c r="FX94" s="20" t="n">
        <f aca="false">FN94+FQ94*Slot16_BufPot*FS94</f>
        <v>0</v>
      </c>
      <c r="FY94" s="20" t="n">
        <f aca="false">IF(AND(FQ94=1,Slot16_IsMfree=1),IF(FV94&gt;=Slot16_Cost-1,0,MAX(0,FO94-FV94)),FO94)</f>
        <v>0</v>
      </c>
      <c r="FZ94" s="20" t="n">
        <f aca="false">FQ94*(Slot16_Cost-FV94)</f>
        <v>0</v>
      </c>
      <c r="GA94" s="20" t="n">
        <f aca="false">IF(AND(Slot17_On=1,D94=Slot17_Age),1,0)</f>
        <v>0</v>
      </c>
      <c r="GB94" s="20" t="n">
        <f aca="false">IF(AND(Slot17_On=1,Slot17_Age&gt;D94),1,0)</f>
        <v>0</v>
      </c>
      <c r="GC94" s="20" t="n">
        <f aca="false">SY93</f>
        <v>0</v>
      </c>
      <c r="GD94" s="20" t="n">
        <f aca="false">GA94*MIN(Slot17_Cost,GC94)</f>
        <v>0</v>
      </c>
      <c r="GE94" s="20" t="n">
        <f aca="false">GA94*Slot17_SpendLike*MIN(Slot17_Cost-GD94,FW94)</f>
        <v>0</v>
      </c>
      <c r="GF94" s="20" t="n">
        <f aca="false">GD94+GE94</f>
        <v>0</v>
      </c>
      <c r="GG94" s="20" t="n">
        <f aca="false">FW94-GE94+GA94*IF(Slot17_SpendLike=1,GC94-GD94,IF(Slot17_PotFree=1,GC94,0))</f>
        <v>0</v>
      </c>
      <c r="GH94" s="20" t="n">
        <f aca="false">FX94+GA94*Slot17_BufPot*GC94</f>
        <v>0</v>
      </c>
      <c r="GI94" s="20" t="n">
        <f aca="false">IF(AND(GA94=1,Slot17_IsMfree=1),IF(GF94&gt;=Slot17_Cost-1,0,MAX(0,FY94-GF94)),FY94)</f>
        <v>0</v>
      </c>
      <c r="GJ94" s="20" t="n">
        <f aca="false">GA94*(Slot17_Cost-GF94)</f>
        <v>0</v>
      </c>
      <c r="GK94" s="20" t="n">
        <f aca="false">IF(AND(Slot18_On=1,D94=Slot18_Age),1,0)</f>
        <v>0</v>
      </c>
      <c r="GL94" s="20" t="n">
        <f aca="false">IF(AND(Slot18_On=1,Slot18_Age&gt;D94),1,0)</f>
        <v>0</v>
      </c>
      <c r="GM94" s="20" t="n">
        <f aca="false">TC93</f>
        <v>0</v>
      </c>
      <c r="GN94" s="20" t="n">
        <f aca="false">GK94*MIN(Slot18_Cost,GM94)</f>
        <v>0</v>
      </c>
      <c r="GO94" s="20" t="n">
        <f aca="false">GK94*Slot18_SpendLike*MIN(Slot18_Cost-GN94,GG94)</f>
        <v>0</v>
      </c>
      <c r="GP94" s="20" t="n">
        <f aca="false">GN94+GO94</f>
        <v>0</v>
      </c>
      <c r="GQ94" s="20" t="n">
        <f aca="false">GG94-GO94+GK94*IF(Slot18_SpendLike=1,GM94-GN94,IF(Slot18_PotFree=1,GM94,0))</f>
        <v>0</v>
      </c>
      <c r="GR94" s="20" t="n">
        <f aca="false">GH94+GK94*Slot18_BufPot*GM94</f>
        <v>0</v>
      </c>
      <c r="GS94" s="20" t="n">
        <f aca="false">IF(AND(GK94=1,Slot18_IsMfree=1),IF(GP94&gt;=Slot18_Cost-1,0,MAX(0,GI94-GP94)),GI94)</f>
        <v>0</v>
      </c>
      <c r="GT94" s="20" t="n">
        <f aca="false">GK94*(Slot18_Cost-GP94)</f>
        <v>0</v>
      </c>
      <c r="GU94" s="20" t="n">
        <f aca="false">IF(AND(Slot19_On=1,D94=Slot19_Age),1,0)</f>
        <v>0</v>
      </c>
      <c r="GV94" s="20" t="n">
        <f aca="false">IF(AND(Slot19_On=1,Slot19_Age&gt;D94),1,0)</f>
        <v>0</v>
      </c>
      <c r="GW94" s="20" t="n">
        <f aca="false">TG93</f>
        <v>0</v>
      </c>
      <c r="GX94" s="20" t="n">
        <f aca="false">GU94*MIN(Slot19_Cost,GW94)</f>
        <v>0</v>
      </c>
      <c r="GY94" s="20" t="n">
        <f aca="false">GU94*Slot19_SpendLike*MIN(Slot19_Cost-GX94,GQ94)</f>
        <v>0</v>
      </c>
      <c r="GZ94" s="20" t="n">
        <f aca="false">GX94+GY94</f>
        <v>0</v>
      </c>
      <c r="HA94" s="20" t="n">
        <f aca="false">GQ94-GY94+GU94*IF(Slot19_SpendLike=1,GW94-GX94,IF(Slot19_PotFree=1,GW94,0))</f>
        <v>0</v>
      </c>
      <c r="HB94" s="20" t="n">
        <f aca="false">GR94+GU94*Slot19_BufPot*GW94</f>
        <v>0</v>
      </c>
      <c r="HC94" s="20" t="n">
        <f aca="false">IF(AND(GU94=1,Slot19_IsMfree=1),IF(GZ94&gt;=Slot19_Cost-1,0,MAX(0,GS94-GZ94)),GS94)</f>
        <v>0</v>
      </c>
      <c r="HD94" s="20" t="n">
        <f aca="false">GU94*(Slot19_Cost-GZ94)</f>
        <v>0</v>
      </c>
      <c r="HE94" s="20" t="n">
        <f aca="false">IF(AND(Slot20_On=1,D94=Slot20_Age),1,0)</f>
        <v>0</v>
      </c>
      <c r="HF94" s="20" t="n">
        <f aca="false">IF(AND(Slot20_On=1,Slot20_Age&gt;D94),1,0)</f>
        <v>0</v>
      </c>
      <c r="HG94" s="20" t="n">
        <f aca="false">TK93</f>
        <v>0</v>
      </c>
      <c r="HH94" s="20" t="n">
        <f aca="false">HE94*MIN(Slot20_Cost,HG94)</f>
        <v>0</v>
      </c>
      <c r="HI94" s="20" t="n">
        <f aca="false">HE94*Slot20_SpendLike*MIN(Slot20_Cost-HH94,HA94)</f>
        <v>0</v>
      </c>
      <c r="HJ94" s="20" t="n">
        <f aca="false">HH94+HI94</f>
        <v>0</v>
      </c>
      <c r="HK94" s="20" t="n">
        <f aca="false">HA94-HI94+HE94*IF(Slot20_SpendLike=1,HG94-HH94,IF(Slot20_PotFree=1,HG94,0))</f>
        <v>0</v>
      </c>
      <c r="HL94" s="20" t="n">
        <f aca="false">HB94+HE94*Slot20_BufPot*HG94</f>
        <v>0</v>
      </c>
      <c r="HM94" s="20" t="n">
        <f aca="false">IF(AND(HE94=1,Slot20_IsMfree=1),IF(HJ94&gt;=Slot20_Cost-1,0,MAX(0,HC94-HJ94)),HC94)</f>
        <v>0</v>
      </c>
      <c r="HN94" s="20" t="n">
        <f aca="false">HE94*(Slot20_Cost-HJ94)</f>
        <v>0</v>
      </c>
      <c r="HO94" s="20" t="n">
        <f aca="false">V94*Slot1_SpendLike*AA94+AG94*Slot2_SpendLike*AL94+AQ94*Slot3_SpendLike*AV94+BA94*Slot4_SpendLike*BF94+BK94*Slot5_SpendLike*BP94+BU94*Slot6_SpendLike*BZ94+CE94*Slot7_SpendLike*CJ94+CO94*Slot8_SpendLike*CT94+CY94*Slot9_SpendLike*DD94+DI94*Slot10_SpendLike*DN94+DS94*Slot11_SpendLike*DX94+EC94*Slot12_SpendLike*EH94+EM94*Slot13_SpendLike*ER94+EW94*Slot14_SpendLike*FB94+FG94*Slot15_SpendLike*FL94+FQ94*Slot16_SpendLike*FV94+GA94*Slot17_SpendLike*GF94+GK94*Slot18_SpendLike*GP94+GU94*Slot19_SpendLike*GZ94+HE94*Slot20_SpendLike*HJ94</f>
        <v>0</v>
      </c>
      <c r="HP94" s="20" t="n">
        <f aca="false">AE94+AP94+AZ94+BJ94+BT94+CD94+CN94+CX94+DH94+DR94+EB94+EL94+EV94+FF94+FP94+FZ94+GJ94+GT94+HD94+HN94</f>
        <v>0</v>
      </c>
      <c r="HQ94" s="20" t="n">
        <f aca="false">V94*Slot1_Cost+AG94*Slot2_Cost+AQ94*Slot3_Cost+BA94*Slot4_Cost+BK94*Slot5_Cost+BU94*Slot6_Cost+CE94*Slot7_Cost+CO94*Slot8_Cost+CY94*Slot9_Cost+DI94*Slot10_Cost+DS94*Slot11_Cost+EC94*Slot12_Cost+EM94*Slot13_Cost+EW94*Slot14_Cost+FG94*Slot15_Cost+FQ94*Slot16_Cost+GA94*Slot17_Cost+GK94*Slot18_Cost+GU94*Slot19_Cost+HE94*Slot20_Cost</f>
        <v>0</v>
      </c>
      <c r="HR94" s="20" t="n">
        <f aca="false">HM94</f>
        <v>0</v>
      </c>
      <c r="HS94" s="20" t="n">
        <f aca="false">H94-I94-S94</f>
        <v>-105778.037958056</v>
      </c>
      <c r="HT94" s="20" t="n">
        <f aca="false">IF(B94=0,IF(AND(Has_q6=1,In_q6=4),PR_ShareVaries*(MAX(0,HS94)/12),MIN(IF(Has_q6=1,CHOOSE(In_q6+1,PR_SaveB1,PR_SaveB2,PR_SaveB3,PR_SaveB4,0),AS_NoAnswer),AS_SaveShare*(MAX(0,HS94)/12))),HT93)</f>
        <v>67.3316893520437</v>
      </c>
      <c r="HU94" s="20" t="n">
        <f aca="false">IF(HS94&gt;=0,1,0)</f>
        <v>0</v>
      </c>
      <c r="HV94" s="20" t="n">
        <f aca="false">MAX(0,HS94/12/F94)</f>
        <v>0</v>
      </c>
      <c r="HW94" s="20" t="n">
        <f aca="false">IF(AND(Has_q6=1,In_q6=4),PR_ShareVaries*(HV94),MIN(IF(Has_q6=1,CHOOSE(In_q6+1,PR_SaveB1,PR_SaveB2,PR_SaveB3,PR_SaveB4,0),AS_NoAnswer),AS_SaveShare*(HV94)))</f>
        <v>0</v>
      </c>
      <c r="HX94" s="20" t="n">
        <f aca="false">IF(Has_saveM=1,IF(In_saveUp="Yes",1,IF(In_saveUp="No",0,IF(In_saveM&gt;=HT94-0.5,1,0))),0)</f>
        <v>0</v>
      </c>
      <c r="HY94" s="20" t="n">
        <f aca="false">IF(Has_saveM=1,MIN(HV94,IF(HX94=1,MAX(In_saveM,HW94),MIN(In_saveM,HW94))),HW94)</f>
        <v>0</v>
      </c>
      <c r="HZ94" s="20" t="n">
        <f aca="false">IF(G94=1,HY94*12*F94,0)</f>
        <v>0</v>
      </c>
      <c r="IA94" s="20" t="n">
        <f aca="false">MAX(0,HZ94+IF(AND(WI_Retire=0,WI_M&lt;0,G94=1),WI_M*12*F94,0))</f>
        <v>0</v>
      </c>
      <c r="IB94" s="20" t="n">
        <f aca="false">Slot1_IsWG*W94+Slot2_IsWG*AH94+Slot3_IsWG*AR94+Slot4_IsWG*BB94+Slot5_IsWG*BL94+Slot6_IsWG*BV94+Slot7_IsWG*CF94+Slot8_IsWG*CP94+Slot9_IsWG*CZ94+Slot10_IsWG*DJ94+Slot11_IsWG*DT94+Slot12_IsWG*ED94+Slot13_IsWG*EN94+Slot14_IsWG*EX94+Slot15_IsWG*FH94+Slot16_IsWG*FR94+Slot17_IsWG*GB94+Slot18_IsWG*GL94+Slot19_IsWG*GV94+Slot20_IsWG*HF94</f>
        <v>0</v>
      </c>
      <c r="IC94" s="20" t="n">
        <f aca="false">IF(AND(WI_Retire=0,WI_M&gt;0,G94=1,IB94&gt;=1),WI_M*12*F94,0)</f>
        <v>0</v>
      </c>
      <c r="ID94" s="20" t="n">
        <f aca="false">IF(HU94=1,MIN(IA94,HS94),0)</f>
        <v>0</v>
      </c>
      <c r="IE94" s="20" t="n">
        <f aca="false">IF(HU94=1,MIN(IC94,HS94-ID94),0)</f>
        <v>0</v>
      </c>
      <c r="IF94" s="20" t="n">
        <f aca="false">IF(W94=1,IF(ABS((1+AS_Wage)/(1+Slot1_Rate)-1)&lt;0.000000000001,(Slot1_Age-D94)*(1+Slot1_Rate)^(Slot1_Age-D94),(1+Slot1_Rate)^(Slot1_Age-D94)*(1-((1+AS_Wage)/(1+Slot1_Rate))^(Slot1_Age-D94))/(1-(1+AS_Wage)/(1+Slot1_Rate))),1)</f>
        <v>1</v>
      </c>
      <c r="IG94" s="20" t="n">
        <f aca="false">IF(AND(HU94=1,IE94&gt;0,Slot1_IsWG=1,W94=1),MAX(0,(Slot1_Cost-X94*(1+Slot1_Rate)^(Slot1_Age-D94))/IF94),0)</f>
        <v>0</v>
      </c>
      <c r="IH94" s="20" t="n">
        <f aca="false">IF(AND(HU94=1,IE94&gt;0,Slot1_IsWG=1,W94=1),MIN(IE94,IG94),0)</f>
        <v>0</v>
      </c>
      <c r="II94" s="20" t="n">
        <f aca="false">X94+IH94</f>
        <v>0</v>
      </c>
      <c r="IJ94" s="20" t="n">
        <f aca="false">IF(W94=1,MAX(0,(Slot1_Cost-II94*(1+Slot1_Rate)^(Slot1_Age-D94))/IF94),0)</f>
        <v>0</v>
      </c>
      <c r="IK94" s="20" t="n">
        <f aca="false">IF(W94=1,MAX(0,(Slot1_Cost-X94*(1+Slot1_Rate)^(Slot1_Age-D94))/IF94),0)</f>
        <v>0</v>
      </c>
      <c r="IL94" s="20" t="n">
        <f aca="false">IF(AND(HU94=1,W94=1),MIN(ID94,IJ94),0)</f>
        <v>0</v>
      </c>
      <c r="IM94" s="20" t="n">
        <f aca="false">ID94-IL94</f>
        <v>0</v>
      </c>
      <c r="IN94" s="20" t="n">
        <f aca="false">IF(AH94=1,IF(ABS((1+AS_Wage)/(1+Slot2_Rate)-1)&lt;0.000000000001,(Slot2_Age-D94)*(1+Slot2_Rate)^(Slot2_Age-D94),(1+Slot2_Rate)^(Slot2_Age-D94)*(1-((1+AS_Wage)/(1+Slot2_Rate))^(Slot2_Age-D94))/(1-(1+AS_Wage)/(1+Slot2_Rate))),1)</f>
        <v>1</v>
      </c>
      <c r="IO94" s="20" t="n">
        <f aca="false">IF(AND(HU94=1,IE94&gt;0,Slot2_IsWG=1,AH94=1),MAX(0,(Slot2_Cost-AI94*(1+Slot2_Rate)^(Slot2_Age-D94))/IN94),0)</f>
        <v>0</v>
      </c>
      <c r="IP94" s="20" t="n">
        <f aca="false">IF(AND(HU94=1,IE94&gt;0,Slot2_IsWG=1,AH94=1),MIN(IE94,IO94),0)</f>
        <v>0</v>
      </c>
      <c r="IQ94" s="20" t="n">
        <f aca="false">AI94+IP94</f>
        <v>0</v>
      </c>
      <c r="IR94" s="20" t="n">
        <f aca="false">IF(AH94=1,MAX(0,(Slot2_Cost-IQ94*(1+Slot2_Rate)^(Slot2_Age-D94))/IN94),0)</f>
        <v>0</v>
      </c>
      <c r="IS94" s="20" t="n">
        <f aca="false">IF(AH94=1,MAX(0,(Slot2_Cost-AI94*(1+Slot2_Rate)^(Slot2_Age-D94))/IN94),0)</f>
        <v>0</v>
      </c>
      <c r="IT94" s="20" t="n">
        <f aca="false">IF(AND(HU94=1,AH94=1),MIN(IM94,IR94),0)</f>
        <v>0</v>
      </c>
      <c r="IU94" s="20" t="n">
        <f aca="false">IM94-IT94</f>
        <v>0</v>
      </c>
      <c r="IV94" s="20" t="n">
        <f aca="false">IF(AR94=1,IF(ABS((1+AS_Wage)/(1+Slot3_Rate)-1)&lt;0.000000000001,(Slot3_Age-D94)*(1+Slot3_Rate)^(Slot3_Age-D94),(1+Slot3_Rate)^(Slot3_Age-D94)*(1-((1+AS_Wage)/(1+Slot3_Rate))^(Slot3_Age-D94))/(1-(1+AS_Wage)/(1+Slot3_Rate))),1)</f>
        <v>1</v>
      </c>
      <c r="IW94" s="20" t="n">
        <f aca="false">IF(AND(HU94=1,IE94&gt;0,Slot3_IsWG=1,AR94=1),MAX(0,(Slot3_Cost-AS94*(1+Slot3_Rate)^(Slot3_Age-D94))/IV94),0)</f>
        <v>0</v>
      </c>
      <c r="IX94" s="20" t="n">
        <f aca="false">IF(AND(HU94=1,IE94&gt;0,Slot3_IsWG=1,AR94=1),MIN(IE94,IW94),0)</f>
        <v>0</v>
      </c>
      <c r="IY94" s="20" t="n">
        <f aca="false">AS94+IX94</f>
        <v>0</v>
      </c>
      <c r="IZ94" s="20" t="n">
        <f aca="false">IF(AR94=1,MAX(0,(Slot3_Cost-IY94*(1+Slot3_Rate)^(Slot3_Age-D94))/IV94),0)</f>
        <v>0</v>
      </c>
      <c r="JA94" s="20" t="n">
        <f aca="false">IF(AR94=1,MAX(0,(Slot3_Cost-AS94*(1+Slot3_Rate)^(Slot3_Age-D94))/IV94),0)</f>
        <v>0</v>
      </c>
      <c r="JB94" s="20" t="n">
        <f aca="false">IF(AND(HU94=1,AR94=1),MIN(IU94,IZ94),0)</f>
        <v>0</v>
      </c>
      <c r="JC94" s="20" t="n">
        <f aca="false">IU94-JB94</f>
        <v>0</v>
      </c>
      <c r="JD94" s="20" t="n">
        <f aca="false">IF(BB94=1,IF(ABS((1+AS_Wage)/(1+Slot4_Rate)-1)&lt;0.000000000001,(Slot4_Age-D94)*(1+Slot4_Rate)^(Slot4_Age-D94),(1+Slot4_Rate)^(Slot4_Age-D94)*(1-((1+AS_Wage)/(1+Slot4_Rate))^(Slot4_Age-D94))/(1-(1+AS_Wage)/(1+Slot4_Rate))),1)</f>
        <v>1</v>
      </c>
      <c r="JE94" s="20" t="n">
        <f aca="false">IF(AND(HU94=1,IE94&gt;0,Slot4_IsWG=1,BB94=1),MAX(0,(Slot4_Cost-BC94*(1+Slot4_Rate)^(Slot4_Age-D94))/JD94),0)</f>
        <v>0</v>
      </c>
      <c r="JF94" s="20" t="n">
        <f aca="false">IF(AND(HU94=1,IE94&gt;0,Slot4_IsWG=1,BB94=1),MIN(IE94,JE94),0)</f>
        <v>0</v>
      </c>
      <c r="JG94" s="20" t="n">
        <f aca="false">BC94+JF94</f>
        <v>0</v>
      </c>
      <c r="JH94" s="20" t="n">
        <f aca="false">IF(BB94=1,MAX(0,(Slot4_Cost-JG94*(1+Slot4_Rate)^(Slot4_Age-D94))/JD94),0)</f>
        <v>0</v>
      </c>
      <c r="JI94" s="20" t="n">
        <f aca="false">IF(BB94=1,MAX(0,(Slot4_Cost-BC94*(1+Slot4_Rate)^(Slot4_Age-D94))/JD94),0)</f>
        <v>0</v>
      </c>
      <c r="JJ94" s="20" t="n">
        <f aca="false">IF(AND(HU94=1,BB94=1),MIN(JC94,JH94),0)</f>
        <v>0</v>
      </c>
      <c r="JK94" s="20" t="n">
        <f aca="false">JC94-JJ94</f>
        <v>0</v>
      </c>
      <c r="JL94" s="20" t="n">
        <f aca="false">IF(BL94=1,IF(ABS((1+AS_Wage)/(1+Slot5_Rate)-1)&lt;0.000000000001,(Slot5_Age-D94)*(1+Slot5_Rate)^(Slot5_Age-D94),(1+Slot5_Rate)^(Slot5_Age-D94)*(1-((1+AS_Wage)/(1+Slot5_Rate))^(Slot5_Age-D94))/(1-(1+AS_Wage)/(1+Slot5_Rate))),1)</f>
        <v>1</v>
      </c>
      <c r="JM94" s="20" t="n">
        <f aca="false">IF(AND(HU94=1,IE94&gt;0,Slot5_IsWG=1,BL94=1),MAX(0,(Slot5_Cost-BM94*(1+Slot5_Rate)^(Slot5_Age-D94))/JL94),0)</f>
        <v>0</v>
      </c>
      <c r="JN94" s="20" t="n">
        <f aca="false">IF(AND(HU94=1,IE94&gt;0,Slot5_IsWG=1,BL94=1),MIN(IE94,JM94),0)</f>
        <v>0</v>
      </c>
      <c r="JO94" s="20" t="n">
        <f aca="false">BM94+JN94</f>
        <v>0</v>
      </c>
      <c r="JP94" s="20" t="n">
        <f aca="false">IF(BL94=1,MAX(0,(Slot5_Cost-JO94*(1+Slot5_Rate)^(Slot5_Age-D94))/JL94),0)</f>
        <v>0</v>
      </c>
      <c r="JQ94" s="20" t="n">
        <f aca="false">IF(BL94=1,MAX(0,(Slot5_Cost-BM94*(1+Slot5_Rate)^(Slot5_Age-D94))/JL94),0)</f>
        <v>0</v>
      </c>
      <c r="JR94" s="20" t="n">
        <f aca="false">IF(AND(HU94=1,BL94=1),MIN(JK94,JP94),0)</f>
        <v>0</v>
      </c>
      <c r="JS94" s="20" t="n">
        <f aca="false">JK94-JR94</f>
        <v>0</v>
      </c>
      <c r="JT94" s="20" t="n">
        <f aca="false">IF(BV94=1,IF(ABS((1+AS_Wage)/(1+Slot6_Rate)-1)&lt;0.000000000001,(Slot6_Age-D94)*(1+Slot6_Rate)^(Slot6_Age-D94),(1+Slot6_Rate)^(Slot6_Age-D94)*(1-((1+AS_Wage)/(1+Slot6_Rate))^(Slot6_Age-D94))/(1-(1+AS_Wage)/(1+Slot6_Rate))),1)</f>
        <v>1</v>
      </c>
      <c r="JU94" s="20" t="n">
        <f aca="false">IF(AND(HU94=1,IE94&gt;0,Slot6_IsWG=1,BV94=1),MAX(0,(Slot6_Cost-BW94*(1+Slot6_Rate)^(Slot6_Age-D94))/JT94),0)</f>
        <v>0</v>
      </c>
      <c r="JV94" s="20" t="n">
        <f aca="false">IF(AND(HU94=1,IE94&gt;0,Slot6_IsWG=1,BV94=1),MIN(IE94,JU94),0)</f>
        <v>0</v>
      </c>
      <c r="JW94" s="20" t="n">
        <f aca="false">BW94+JV94</f>
        <v>0</v>
      </c>
      <c r="JX94" s="20" t="n">
        <f aca="false">IF(BV94=1,MAX(0,(Slot6_Cost-JW94*(1+Slot6_Rate)^(Slot6_Age-D94))/JT94),0)</f>
        <v>0</v>
      </c>
      <c r="JY94" s="20" t="n">
        <f aca="false">IF(BV94=1,MAX(0,(Slot6_Cost-BW94*(1+Slot6_Rate)^(Slot6_Age-D94))/JT94),0)</f>
        <v>0</v>
      </c>
      <c r="JZ94" s="20" t="n">
        <f aca="false">IF(AND(HU94=1,BV94=1),MIN(JS94,JX94),0)</f>
        <v>0</v>
      </c>
      <c r="KA94" s="20" t="n">
        <f aca="false">JS94-JZ94</f>
        <v>0</v>
      </c>
      <c r="KB94" s="20" t="n">
        <f aca="false">IF(CF94=1,IF(ABS((1+AS_Wage)/(1+Slot7_Rate)-1)&lt;0.000000000001,(Slot7_Age-D94)*(1+Slot7_Rate)^(Slot7_Age-D94),(1+Slot7_Rate)^(Slot7_Age-D94)*(1-((1+AS_Wage)/(1+Slot7_Rate))^(Slot7_Age-D94))/(1-(1+AS_Wage)/(1+Slot7_Rate))),1)</f>
        <v>1</v>
      </c>
      <c r="KC94" s="20" t="n">
        <f aca="false">IF(AND(HU94=1,IE94&gt;0,Slot7_IsWG=1,CF94=1),MAX(0,(Slot7_Cost-CG94*(1+Slot7_Rate)^(Slot7_Age-D94))/KB94),0)</f>
        <v>0</v>
      </c>
      <c r="KD94" s="20" t="n">
        <f aca="false">IF(AND(HU94=1,IE94&gt;0,Slot7_IsWG=1,CF94=1),MIN(IE94,KC94),0)</f>
        <v>0</v>
      </c>
      <c r="KE94" s="20" t="n">
        <f aca="false">CG94+KD94</f>
        <v>0</v>
      </c>
      <c r="KF94" s="20" t="n">
        <f aca="false">IF(CF94=1,MAX(0,(Slot7_Cost-KE94*(1+Slot7_Rate)^(Slot7_Age-D94))/KB94),0)</f>
        <v>0</v>
      </c>
      <c r="KG94" s="20" t="n">
        <f aca="false">IF(CF94=1,MAX(0,(Slot7_Cost-CG94*(1+Slot7_Rate)^(Slot7_Age-D94))/KB94),0)</f>
        <v>0</v>
      </c>
      <c r="KH94" s="20" t="n">
        <f aca="false">IF(AND(HU94=1,CF94=1),MIN(KA94,KF94),0)</f>
        <v>0</v>
      </c>
      <c r="KI94" s="20" t="n">
        <f aca="false">KA94-KH94</f>
        <v>0</v>
      </c>
      <c r="KJ94" s="20" t="n">
        <f aca="false">IF(CP94=1,IF(ABS((1+AS_Wage)/(1+Slot8_Rate)-1)&lt;0.000000000001,(Slot8_Age-D94)*(1+Slot8_Rate)^(Slot8_Age-D94),(1+Slot8_Rate)^(Slot8_Age-D94)*(1-((1+AS_Wage)/(1+Slot8_Rate))^(Slot8_Age-D94))/(1-(1+AS_Wage)/(1+Slot8_Rate))),1)</f>
        <v>1</v>
      </c>
      <c r="KK94" s="20" t="n">
        <f aca="false">IF(AND(HU94=1,IE94&gt;0,Slot8_IsWG=1,CP94=1),MAX(0,(Slot8_Cost-CQ94*(1+Slot8_Rate)^(Slot8_Age-D94))/KJ94),0)</f>
        <v>0</v>
      </c>
      <c r="KL94" s="20" t="n">
        <f aca="false">IF(AND(HU94=1,IE94&gt;0,Slot8_IsWG=1,CP94=1),MIN(IE94,KK94),0)</f>
        <v>0</v>
      </c>
      <c r="KM94" s="20" t="n">
        <f aca="false">CQ94+KL94</f>
        <v>0</v>
      </c>
      <c r="KN94" s="20" t="n">
        <f aca="false">IF(CP94=1,MAX(0,(Slot8_Cost-KM94*(1+Slot8_Rate)^(Slot8_Age-D94))/KJ94),0)</f>
        <v>0</v>
      </c>
      <c r="KO94" s="20" t="n">
        <f aca="false">IF(CP94=1,MAX(0,(Slot8_Cost-CQ94*(1+Slot8_Rate)^(Slot8_Age-D94))/KJ94),0)</f>
        <v>0</v>
      </c>
      <c r="KP94" s="20" t="n">
        <f aca="false">IF(AND(HU94=1,CP94=1),MIN(KI94,KN94),0)</f>
        <v>0</v>
      </c>
      <c r="KQ94" s="20" t="n">
        <f aca="false">KI94-KP94</f>
        <v>0</v>
      </c>
      <c r="KR94" s="20" t="n">
        <f aca="false">IF(CZ94=1,IF(ABS((1+AS_Wage)/(1+Slot9_Rate)-1)&lt;0.000000000001,(Slot9_Age-D94)*(1+Slot9_Rate)^(Slot9_Age-D94),(1+Slot9_Rate)^(Slot9_Age-D94)*(1-((1+AS_Wage)/(1+Slot9_Rate))^(Slot9_Age-D94))/(1-(1+AS_Wage)/(1+Slot9_Rate))),1)</f>
        <v>1</v>
      </c>
      <c r="KS94" s="20" t="n">
        <f aca="false">IF(AND(HU94=1,IE94&gt;0,Slot9_IsWG=1,CZ94=1),MAX(0,(Slot9_Cost-DA94*(1+Slot9_Rate)^(Slot9_Age-D94))/KR94),0)</f>
        <v>0</v>
      </c>
      <c r="KT94" s="20" t="n">
        <f aca="false">IF(AND(HU94=1,IE94&gt;0,Slot9_IsWG=1,CZ94=1),MIN(IE94,KS94),0)</f>
        <v>0</v>
      </c>
      <c r="KU94" s="20" t="n">
        <f aca="false">DA94+KT94</f>
        <v>0</v>
      </c>
      <c r="KV94" s="20" t="n">
        <f aca="false">IF(CZ94=1,MAX(0,(Slot9_Cost-KU94*(1+Slot9_Rate)^(Slot9_Age-D94))/KR94),0)</f>
        <v>0</v>
      </c>
      <c r="KW94" s="20" t="n">
        <f aca="false">IF(CZ94=1,MAX(0,(Slot9_Cost-DA94*(1+Slot9_Rate)^(Slot9_Age-D94))/KR94),0)</f>
        <v>0</v>
      </c>
      <c r="KX94" s="20" t="n">
        <f aca="false">IF(AND(HU94=1,CZ94=1),MIN(KQ94,KV94),0)</f>
        <v>0</v>
      </c>
      <c r="KY94" s="20" t="n">
        <f aca="false">KQ94-KX94</f>
        <v>0</v>
      </c>
      <c r="KZ94" s="20" t="n">
        <f aca="false">IF(DJ94=1,IF(ABS((1+AS_Wage)/(1+Slot10_Rate)-1)&lt;0.000000000001,(Slot10_Age-D94)*(1+Slot10_Rate)^(Slot10_Age-D94),(1+Slot10_Rate)^(Slot10_Age-D94)*(1-((1+AS_Wage)/(1+Slot10_Rate))^(Slot10_Age-D94))/(1-(1+AS_Wage)/(1+Slot10_Rate))),1)</f>
        <v>1</v>
      </c>
      <c r="LA94" s="20" t="n">
        <f aca="false">IF(AND(HU94=1,IE94&gt;0,Slot10_IsWG=1,DJ94=1),MAX(0,(Slot10_Cost-DK94*(1+Slot10_Rate)^(Slot10_Age-D94))/KZ94),0)</f>
        <v>0</v>
      </c>
      <c r="LB94" s="20" t="n">
        <f aca="false">IF(AND(HU94=1,IE94&gt;0,Slot10_IsWG=1,DJ94=1),MIN(IE94,LA94),0)</f>
        <v>0</v>
      </c>
      <c r="LC94" s="20" t="n">
        <f aca="false">DK94+LB94</f>
        <v>0</v>
      </c>
      <c r="LD94" s="20" t="n">
        <f aca="false">IF(DJ94=1,MAX(0,(Slot10_Cost-LC94*(1+Slot10_Rate)^(Slot10_Age-D94))/KZ94),0)</f>
        <v>0</v>
      </c>
      <c r="LE94" s="20" t="n">
        <f aca="false">IF(DJ94=1,MAX(0,(Slot10_Cost-DK94*(1+Slot10_Rate)^(Slot10_Age-D94))/KZ94),0)</f>
        <v>0</v>
      </c>
      <c r="LF94" s="20" t="n">
        <f aca="false">IF(AND(HU94=1,DJ94=1),MIN(KY94,LD94),0)</f>
        <v>0</v>
      </c>
      <c r="LG94" s="20" t="n">
        <f aca="false">KY94-LF94</f>
        <v>0</v>
      </c>
      <c r="LH94" s="20" t="n">
        <f aca="false">IF(DT94=1,IF(ABS((1+AS_Wage)/(1+Slot11_Rate)-1)&lt;0.000000000001,(Slot11_Age-D94)*(1+Slot11_Rate)^(Slot11_Age-D94),(1+Slot11_Rate)^(Slot11_Age-D94)*(1-((1+AS_Wage)/(1+Slot11_Rate))^(Slot11_Age-D94))/(1-(1+AS_Wage)/(1+Slot11_Rate))),1)</f>
        <v>1</v>
      </c>
      <c r="LI94" s="20" t="n">
        <f aca="false">IF(AND(HU94=1,IE94&gt;0,Slot11_IsWG=1,DT94=1),MAX(0,(Slot11_Cost-DU94*(1+Slot11_Rate)^(Slot11_Age-D94))/LH94),0)</f>
        <v>0</v>
      </c>
      <c r="LJ94" s="20" t="n">
        <f aca="false">IF(AND(HU94=1,IE94&gt;0,Slot11_IsWG=1,DT94=1),MIN(IE94,LI94),0)</f>
        <v>0</v>
      </c>
      <c r="LK94" s="20" t="n">
        <f aca="false">DU94+LJ94</f>
        <v>0</v>
      </c>
      <c r="LL94" s="20" t="n">
        <f aca="false">IF(DT94=1,MAX(0,(Slot11_Cost-LK94*(1+Slot11_Rate)^(Slot11_Age-D94))/LH94),0)</f>
        <v>0</v>
      </c>
      <c r="LM94" s="20" t="n">
        <f aca="false">IF(DT94=1,MAX(0,(Slot11_Cost-DU94*(1+Slot11_Rate)^(Slot11_Age-D94))/LH94),0)</f>
        <v>0</v>
      </c>
      <c r="LN94" s="20" t="n">
        <f aca="false">IF(AND(HU94=1,DT94=1),MIN(LG94,LL94),0)</f>
        <v>0</v>
      </c>
      <c r="LO94" s="20" t="n">
        <f aca="false">LG94-LN94</f>
        <v>0</v>
      </c>
      <c r="LP94" s="20" t="n">
        <f aca="false">IF(ED94=1,IF(ABS((1+AS_Wage)/(1+Slot12_Rate)-1)&lt;0.000000000001,(Slot12_Age-D94)*(1+Slot12_Rate)^(Slot12_Age-D94),(1+Slot12_Rate)^(Slot12_Age-D94)*(1-((1+AS_Wage)/(1+Slot12_Rate))^(Slot12_Age-D94))/(1-(1+AS_Wage)/(1+Slot12_Rate))),1)</f>
        <v>1</v>
      </c>
      <c r="LQ94" s="20" t="n">
        <f aca="false">IF(AND(HU94=1,IE94&gt;0,Slot12_IsWG=1,ED94=1),MAX(0,(Slot12_Cost-EE94*(1+Slot12_Rate)^(Slot12_Age-D94))/LP94),0)</f>
        <v>0</v>
      </c>
      <c r="LR94" s="20" t="n">
        <f aca="false">IF(AND(HU94=1,IE94&gt;0,Slot12_IsWG=1,ED94=1),MIN(IE94,LQ94),0)</f>
        <v>0</v>
      </c>
      <c r="LS94" s="20" t="n">
        <f aca="false">EE94+LR94</f>
        <v>0</v>
      </c>
      <c r="LT94" s="20" t="n">
        <f aca="false">IF(ED94=1,MAX(0,(Slot12_Cost-LS94*(1+Slot12_Rate)^(Slot12_Age-D94))/LP94),0)</f>
        <v>0</v>
      </c>
      <c r="LU94" s="20" t="n">
        <f aca="false">IF(ED94=1,MAX(0,(Slot12_Cost-EE94*(1+Slot12_Rate)^(Slot12_Age-D94))/LP94),0)</f>
        <v>0</v>
      </c>
      <c r="LV94" s="20" t="n">
        <f aca="false">IF(AND(HU94=1,ED94=1),MIN(LO94,LT94),0)</f>
        <v>0</v>
      </c>
      <c r="LW94" s="20" t="n">
        <f aca="false">LO94-LV94</f>
        <v>0</v>
      </c>
      <c r="LX94" s="20" t="n">
        <f aca="false">IF(EN94=1,IF(ABS((1+AS_Wage)/(1+Slot13_Rate)-1)&lt;0.000000000001,(Slot13_Age-D94)*(1+Slot13_Rate)^(Slot13_Age-D94),(1+Slot13_Rate)^(Slot13_Age-D94)*(1-((1+AS_Wage)/(1+Slot13_Rate))^(Slot13_Age-D94))/(1-(1+AS_Wage)/(1+Slot13_Rate))),1)</f>
        <v>1</v>
      </c>
      <c r="LY94" s="20" t="n">
        <f aca="false">IF(AND(HU94=1,IE94&gt;0,Slot13_IsWG=1,EN94=1),MAX(0,(Slot13_Cost-EO94*(1+Slot13_Rate)^(Slot13_Age-D94))/LX94),0)</f>
        <v>0</v>
      </c>
      <c r="LZ94" s="20" t="n">
        <f aca="false">IF(AND(HU94=1,IE94&gt;0,Slot13_IsWG=1,EN94=1),MIN(IE94,LY94),0)</f>
        <v>0</v>
      </c>
      <c r="MA94" s="20" t="n">
        <f aca="false">EO94+LZ94</f>
        <v>0</v>
      </c>
      <c r="MB94" s="20" t="n">
        <f aca="false">IF(EN94=1,MAX(0,(Slot13_Cost-MA94*(1+Slot13_Rate)^(Slot13_Age-D94))/LX94),0)</f>
        <v>0</v>
      </c>
      <c r="MC94" s="20" t="n">
        <f aca="false">IF(EN94=1,MAX(0,(Slot13_Cost-EO94*(1+Slot13_Rate)^(Slot13_Age-D94))/LX94),0)</f>
        <v>0</v>
      </c>
      <c r="MD94" s="20" t="n">
        <f aca="false">IF(AND(HU94=1,EN94=1),MIN(LW94,MB94),0)</f>
        <v>0</v>
      </c>
      <c r="ME94" s="20" t="n">
        <f aca="false">LW94-MD94</f>
        <v>0</v>
      </c>
      <c r="MF94" s="20" t="n">
        <f aca="false">IF(EX94=1,IF(ABS((1+AS_Wage)/(1+Slot14_Rate)-1)&lt;0.000000000001,(Slot14_Age-D94)*(1+Slot14_Rate)^(Slot14_Age-D94),(1+Slot14_Rate)^(Slot14_Age-D94)*(1-((1+AS_Wage)/(1+Slot14_Rate))^(Slot14_Age-D94))/(1-(1+AS_Wage)/(1+Slot14_Rate))),1)</f>
        <v>1</v>
      </c>
      <c r="MG94" s="20" t="n">
        <f aca="false">IF(AND(HU94=1,IE94&gt;0,Slot14_IsWG=1,EX94=1),MAX(0,(Slot14_Cost-EY94*(1+Slot14_Rate)^(Slot14_Age-D94))/MF94),0)</f>
        <v>0</v>
      </c>
      <c r="MH94" s="20" t="n">
        <f aca="false">IF(AND(HU94=1,IE94&gt;0,Slot14_IsWG=1,EX94=1),MIN(IE94,MG94),0)</f>
        <v>0</v>
      </c>
      <c r="MI94" s="20" t="n">
        <f aca="false">EY94+MH94</f>
        <v>0</v>
      </c>
      <c r="MJ94" s="20" t="n">
        <f aca="false">IF(EX94=1,MAX(0,(Slot14_Cost-MI94*(1+Slot14_Rate)^(Slot14_Age-D94))/MF94),0)</f>
        <v>0</v>
      </c>
      <c r="MK94" s="20" t="n">
        <f aca="false">IF(EX94=1,MAX(0,(Slot14_Cost-EY94*(1+Slot14_Rate)^(Slot14_Age-D94))/MF94),0)</f>
        <v>0</v>
      </c>
      <c r="ML94" s="20" t="n">
        <f aca="false">IF(AND(HU94=1,EX94=1),MIN(ME94,MJ94),0)</f>
        <v>0</v>
      </c>
      <c r="MM94" s="20" t="n">
        <f aca="false">ME94-ML94</f>
        <v>0</v>
      </c>
      <c r="MN94" s="20" t="n">
        <f aca="false">IF(FH94=1,IF(ABS((1+AS_Wage)/(1+Slot15_Rate)-1)&lt;0.000000000001,(Slot15_Age-D94)*(1+Slot15_Rate)^(Slot15_Age-D94),(1+Slot15_Rate)^(Slot15_Age-D94)*(1-((1+AS_Wage)/(1+Slot15_Rate))^(Slot15_Age-D94))/(1-(1+AS_Wage)/(1+Slot15_Rate))),1)</f>
        <v>1</v>
      </c>
      <c r="MO94" s="20" t="n">
        <f aca="false">IF(AND(HU94=1,IE94&gt;0,Slot15_IsWG=1,FH94=1),MAX(0,(Slot15_Cost-FI94*(1+Slot15_Rate)^(Slot15_Age-D94))/MN94),0)</f>
        <v>0</v>
      </c>
      <c r="MP94" s="20" t="n">
        <f aca="false">IF(AND(HU94=1,IE94&gt;0,Slot15_IsWG=1,FH94=1),MIN(IE94,MO94),0)</f>
        <v>0</v>
      </c>
      <c r="MQ94" s="20" t="n">
        <f aca="false">FI94+MP94</f>
        <v>0</v>
      </c>
      <c r="MR94" s="20" t="n">
        <f aca="false">IF(FH94=1,MAX(0,(Slot15_Cost-MQ94*(1+Slot15_Rate)^(Slot15_Age-D94))/MN94),0)</f>
        <v>0</v>
      </c>
      <c r="MS94" s="20" t="n">
        <f aca="false">IF(FH94=1,MAX(0,(Slot15_Cost-FI94*(1+Slot15_Rate)^(Slot15_Age-D94))/MN94),0)</f>
        <v>0</v>
      </c>
      <c r="MT94" s="20" t="n">
        <f aca="false">IF(AND(HU94=1,FH94=1),MIN(MM94,MR94),0)</f>
        <v>0</v>
      </c>
      <c r="MU94" s="20" t="n">
        <f aca="false">MM94-MT94</f>
        <v>0</v>
      </c>
      <c r="MV94" s="20" t="n">
        <f aca="false">IF(FR94=1,IF(ABS((1+AS_Wage)/(1+Slot16_Rate)-1)&lt;0.000000000001,(Slot16_Age-D94)*(1+Slot16_Rate)^(Slot16_Age-D94),(1+Slot16_Rate)^(Slot16_Age-D94)*(1-((1+AS_Wage)/(1+Slot16_Rate))^(Slot16_Age-D94))/(1-(1+AS_Wage)/(1+Slot16_Rate))),1)</f>
        <v>1</v>
      </c>
      <c r="MW94" s="20" t="n">
        <f aca="false">IF(AND(HU94=1,IE94&gt;0,Slot16_IsWG=1,FR94=1),MAX(0,(Slot16_Cost-FS94*(1+Slot16_Rate)^(Slot16_Age-D94))/MV94),0)</f>
        <v>0</v>
      </c>
      <c r="MX94" s="20" t="n">
        <f aca="false">IF(AND(HU94=1,IE94&gt;0,Slot16_IsWG=1,FR94=1),MIN(IE94,MW94),0)</f>
        <v>0</v>
      </c>
      <c r="MY94" s="20" t="n">
        <f aca="false">FS94+MX94</f>
        <v>0</v>
      </c>
      <c r="MZ94" s="20" t="n">
        <f aca="false">IF(FR94=1,MAX(0,(Slot16_Cost-MY94*(1+Slot16_Rate)^(Slot16_Age-D94))/MV94),0)</f>
        <v>0</v>
      </c>
      <c r="NA94" s="20" t="n">
        <f aca="false">IF(FR94=1,MAX(0,(Slot16_Cost-FS94*(1+Slot16_Rate)^(Slot16_Age-D94))/MV94),0)</f>
        <v>0</v>
      </c>
      <c r="NB94" s="20" t="n">
        <f aca="false">IF(AND(HU94=1,FR94=1),MIN(MU94,MZ94),0)</f>
        <v>0</v>
      </c>
      <c r="NC94" s="20" t="n">
        <f aca="false">MU94-NB94</f>
        <v>0</v>
      </c>
      <c r="ND94" s="20" t="n">
        <f aca="false">IF(GB94=1,IF(ABS((1+AS_Wage)/(1+Slot17_Rate)-1)&lt;0.000000000001,(Slot17_Age-D94)*(1+Slot17_Rate)^(Slot17_Age-D94),(1+Slot17_Rate)^(Slot17_Age-D94)*(1-((1+AS_Wage)/(1+Slot17_Rate))^(Slot17_Age-D94))/(1-(1+AS_Wage)/(1+Slot17_Rate))),1)</f>
        <v>1</v>
      </c>
      <c r="NE94" s="20" t="n">
        <f aca="false">IF(AND(HU94=1,IE94&gt;0,Slot17_IsWG=1,GB94=1),MAX(0,(Slot17_Cost-GC94*(1+Slot17_Rate)^(Slot17_Age-D94))/ND94),0)</f>
        <v>0</v>
      </c>
      <c r="NF94" s="20" t="n">
        <f aca="false">IF(AND(HU94=1,IE94&gt;0,Slot17_IsWG=1,GB94=1),MIN(IE94,NE94),0)</f>
        <v>0</v>
      </c>
      <c r="NG94" s="20" t="n">
        <f aca="false">GC94+NF94</f>
        <v>0</v>
      </c>
      <c r="NH94" s="20" t="n">
        <f aca="false">IF(GB94=1,MAX(0,(Slot17_Cost-NG94*(1+Slot17_Rate)^(Slot17_Age-D94))/ND94),0)</f>
        <v>0</v>
      </c>
      <c r="NI94" s="20" t="n">
        <f aca="false">IF(GB94=1,MAX(0,(Slot17_Cost-GC94*(1+Slot17_Rate)^(Slot17_Age-D94))/ND94),0)</f>
        <v>0</v>
      </c>
      <c r="NJ94" s="20" t="n">
        <f aca="false">IF(AND(HU94=1,GB94=1),MIN(NC94,NH94),0)</f>
        <v>0</v>
      </c>
      <c r="NK94" s="20" t="n">
        <f aca="false">NC94-NJ94</f>
        <v>0</v>
      </c>
      <c r="NL94" s="20" t="n">
        <f aca="false">IF(GL94=1,IF(ABS((1+AS_Wage)/(1+Slot18_Rate)-1)&lt;0.000000000001,(Slot18_Age-D94)*(1+Slot18_Rate)^(Slot18_Age-D94),(1+Slot18_Rate)^(Slot18_Age-D94)*(1-((1+AS_Wage)/(1+Slot18_Rate))^(Slot18_Age-D94))/(1-(1+AS_Wage)/(1+Slot18_Rate))),1)</f>
        <v>1</v>
      </c>
      <c r="NM94" s="20" t="n">
        <f aca="false">IF(AND(HU94=1,IE94&gt;0,Slot18_IsWG=1,GL94=1),MAX(0,(Slot18_Cost-GM94*(1+Slot18_Rate)^(Slot18_Age-D94))/NL94),0)</f>
        <v>0</v>
      </c>
      <c r="NN94" s="20" t="n">
        <f aca="false">IF(AND(HU94=1,IE94&gt;0,Slot18_IsWG=1,GL94=1),MIN(IE94,NM94),0)</f>
        <v>0</v>
      </c>
      <c r="NO94" s="20" t="n">
        <f aca="false">GM94+NN94</f>
        <v>0</v>
      </c>
      <c r="NP94" s="20" t="n">
        <f aca="false">IF(GL94=1,MAX(0,(Slot18_Cost-NO94*(1+Slot18_Rate)^(Slot18_Age-D94))/NL94),0)</f>
        <v>0</v>
      </c>
      <c r="NQ94" s="20" t="n">
        <f aca="false">IF(GL94=1,MAX(0,(Slot18_Cost-GM94*(1+Slot18_Rate)^(Slot18_Age-D94))/NL94),0)</f>
        <v>0</v>
      </c>
      <c r="NR94" s="20" t="n">
        <f aca="false">IF(AND(HU94=1,GL94=1),MIN(NK94,NP94),0)</f>
        <v>0</v>
      </c>
      <c r="NS94" s="20" t="n">
        <f aca="false">NK94-NR94</f>
        <v>0</v>
      </c>
      <c r="NT94" s="20" t="n">
        <f aca="false">IF(GV94=1,IF(ABS((1+AS_Wage)/(1+Slot19_Rate)-1)&lt;0.000000000001,(Slot19_Age-D94)*(1+Slot19_Rate)^(Slot19_Age-D94),(1+Slot19_Rate)^(Slot19_Age-D94)*(1-((1+AS_Wage)/(1+Slot19_Rate))^(Slot19_Age-D94))/(1-(1+AS_Wage)/(1+Slot19_Rate))),1)</f>
        <v>1</v>
      </c>
      <c r="NU94" s="20" t="n">
        <f aca="false">IF(AND(HU94=1,IE94&gt;0,Slot19_IsWG=1,GV94=1),MAX(0,(Slot19_Cost-GW94*(1+Slot19_Rate)^(Slot19_Age-D94))/NT94),0)</f>
        <v>0</v>
      </c>
      <c r="NV94" s="20" t="n">
        <f aca="false">IF(AND(HU94=1,IE94&gt;0,Slot19_IsWG=1,GV94=1),MIN(IE94,NU94),0)</f>
        <v>0</v>
      </c>
      <c r="NW94" s="20" t="n">
        <f aca="false">GW94+NV94</f>
        <v>0</v>
      </c>
      <c r="NX94" s="20" t="n">
        <f aca="false">IF(GV94=1,MAX(0,(Slot19_Cost-NW94*(1+Slot19_Rate)^(Slot19_Age-D94))/NT94),0)</f>
        <v>0</v>
      </c>
      <c r="NY94" s="20" t="n">
        <f aca="false">IF(GV94=1,MAX(0,(Slot19_Cost-GW94*(1+Slot19_Rate)^(Slot19_Age-D94))/NT94),0)</f>
        <v>0</v>
      </c>
      <c r="NZ94" s="20" t="n">
        <f aca="false">IF(AND(HU94=1,GV94=1),MIN(NS94,NX94),0)</f>
        <v>0</v>
      </c>
      <c r="OA94" s="20" t="n">
        <f aca="false">NS94-NZ94</f>
        <v>0</v>
      </c>
      <c r="OB94" s="20" t="n">
        <f aca="false">IF(HF94=1,IF(ABS((1+AS_Wage)/(1+Slot20_Rate)-1)&lt;0.000000000001,(Slot20_Age-D94)*(1+Slot20_Rate)^(Slot20_Age-D94),(1+Slot20_Rate)^(Slot20_Age-D94)*(1-((1+AS_Wage)/(1+Slot20_Rate))^(Slot20_Age-D94))/(1-(1+AS_Wage)/(1+Slot20_Rate))),1)</f>
        <v>1</v>
      </c>
      <c r="OC94" s="20" t="n">
        <f aca="false">IF(AND(HU94=1,IE94&gt;0,Slot20_IsWG=1,HF94=1),MAX(0,(Slot20_Cost-HG94*(1+Slot20_Rate)^(Slot20_Age-D94))/OB94),0)</f>
        <v>0</v>
      </c>
      <c r="OD94" s="20" t="n">
        <f aca="false">IF(AND(HU94=1,IE94&gt;0,Slot20_IsWG=1,HF94=1),MIN(IE94,OC94),0)</f>
        <v>0</v>
      </c>
      <c r="OE94" s="20" t="n">
        <f aca="false">HG94+OD94</f>
        <v>0</v>
      </c>
      <c r="OF94" s="20" t="n">
        <f aca="false">IF(HF94=1,MAX(0,(Slot20_Cost-OE94*(1+Slot20_Rate)^(Slot20_Age-D94))/OB94),0)</f>
        <v>0</v>
      </c>
      <c r="OG94" s="20" t="n">
        <f aca="false">IF(HF94=1,MAX(0,(Slot20_Cost-HG94*(1+Slot20_Rate)^(Slot20_Age-D94))/OB94),0)</f>
        <v>0</v>
      </c>
      <c r="OH94" s="20" t="n">
        <f aca="false">IF(AND(HU94=1,HF94=1),MIN(OA94,OF94),0)</f>
        <v>0</v>
      </c>
      <c r="OI94" s="20" t="n">
        <f aca="false">OA94-OH94</f>
        <v>0</v>
      </c>
      <c r="OJ94" s="20" t="n">
        <f aca="false">IE94-(IH94+IP94+IX94+JF94+JN94+JV94+KD94+KL94+KT94+LB94+LJ94+LR94+LZ94+MH94+MP94+MX94+NF94+NN94+NV94+OD94)</f>
        <v>0</v>
      </c>
      <c r="OK94" s="20" t="n">
        <f aca="false">IF(HU94=1,HS94-ID94-IE94,0)</f>
        <v>0</v>
      </c>
      <c r="OL94" s="20" t="n">
        <f aca="false">IF(HU94=0,-HS94,0)</f>
        <v>105778.037958056</v>
      </c>
      <c r="OM94" s="20" t="n">
        <f aca="false">MIN(OL94,HK94)</f>
        <v>0</v>
      </c>
      <c r="ON94" s="20" t="n">
        <f aca="false">OL94-OM94</f>
        <v>105778.037958056</v>
      </c>
      <c r="OO94" s="20" t="n">
        <f aca="false">MIN(ON94,HL94)</f>
        <v>0</v>
      </c>
      <c r="OP94" s="20" t="n">
        <f aca="false">ON94-OO94</f>
        <v>105778.037958056</v>
      </c>
      <c r="OQ94" s="20" t="n">
        <f aca="false">IF(AND(HU94=0,HF94=1,OP94&gt;0),MIN(OP94,HG94),0)</f>
        <v>0</v>
      </c>
      <c r="OR94" s="20" t="n">
        <f aca="false">OP94-OQ94</f>
        <v>105778.037958056</v>
      </c>
      <c r="OS94" s="20" t="n">
        <f aca="false">IF(AND(HU94=0,GV94=1,OR94&gt;0),MIN(OR94,GW94),0)</f>
        <v>0</v>
      </c>
      <c r="OT94" s="20" t="n">
        <f aca="false">OR94-OS94</f>
        <v>105778.037958056</v>
      </c>
      <c r="OU94" s="20" t="n">
        <f aca="false">IF(AND(HU94=0,GL94=1,OT94&gt;0),MIN(OT94,GM94),0)</f>
        <v>0</v>
      </c>
      <c r="OV94" s="20" t="n">
        <f aca="false">OT94-OU94</f>
        <v>105778.037958056</v>
      </c>
      <c r="OW94" s="20" t="n">
        <f aca="false">IF(AND(HU94=0,GB94=1,OV94&gt;0),MIN(OV94,GC94),0)</f>
        <v>0</v>
      </c>
      <c r="OX94" s="20" t="n">
        <f aca="false">OV94-OW94</f>
        <v>105778.037958056</v>
      </c>
      <c r="OY94" s="20" t="n">
        <f aca="false">IF(AND(HU94=0,FR94=1,OX94&gt;0),MIN(OX94,FS94),0)</f>
        <v>0</v>
      </c>
      <c r="OZ94" s="20" t="n">
        <f aca="false">OX94-OY94</f>
        <v>105778.037958056</v>
      </c>
      <c r="PA94" s="20" t="n">
        <f aca="false">IF(AND(HU94=0,FH94=1,OZ94&gt;0),MIN(OZ94,FI94),0)</f>
        <v>0</v>
      </c>
      <c r="PB94" s="20" t="n">
        <f aca="false">OZ94-PA94</f>
        <v>105778.037958056</v>
      </c>
      <c r="PC94" s="20" t="n">
        <f aca="false">IF(AND(HU94=0,EX94=1,PB94&gt;0),MIN(PB94,EY94),0)</f>
        <v>0</v>
      </c>
      <c r="PD94" s="20" t="n">
        <f aca="false">PB94-PC94</f>
        <v>105778.037958056</v>
      </c>
      <c r="PE94" s="20" t="n">
        <f aca="false">IF(AND(HU94=0,EN94=1,PD94&gt;0),MIN(PD94,EO94),0)</f>
        <v>0</v>
      </c>
      <c r="PF94" s="20" t="n">
        <f aca="false">PD94-PE94</f>
        <v>105778.037958056</v>
      </c>
      <c r="PG94" s="20" t="n">
        <f aca="false">IF(AND(HU94=0,ED94=1,PF94&gt;0),MIN(PF94,EE94),0)</f>
        <v>0</v>
      </c>
      <c r="PH94" s="20" t="n">
        <f aca="false">PF94-PG94</f>
        <v>105778.037958056</v>
      </c>
      <c r="PI94" s="20" t="n">
        <f aca="false">IF(AND(HU94=0,DT94=1,PH94&gt;0),MIN(PH94,DU94),0)</f>
        <v>0</v>
      </c>
      <c r="PJ94" s="20" t="n">
        <f aca="false">PH94-PI94</f>
        <v>105778.037958056</v>
      </c>
      <c r="PK94" s="20" t="n">
        <f aca="false">IF(AND(HU94=0,DJ94=1,PJ94&gt;0),MIN(PJ94,DK94),0)</f>
        <v>0</v>
      </c>
      <c r="PL94" s="20" t="n">
        <f aca="false">PJ94-PK94</f>
        <v>105778.037958056</v>
      </c>
      <c r="PM94" s="20" t="n">
        <f aca="false">IF(AND(HU94=0,CZ94=1,PL94&gt;0),MIN(PL94,DA94),0)</f>
        <v>0</v>
      </c>
      <c r="PN94" s="20" t="n">
        <f aca="false">PL94-PM94</f>
        <v>105778.037958056</v>
      </c>
      <c r="PO94" s="20" t="n">
        <f aca="false">IF(AND(HU94=0,CP94=1,PN94&gt;0),MIN(PN94,CQ94),0)</f>
        <v>0</v>
      </c>
      <c r="PP94" s="20" t="n">
        <f aca="false">PN94-PO94</f>
        <v>105778.037958056</v>
      </c>
      <c r="PQ94" s="20" t="n">
        <f aca="false">IF(AND(HU94=0,CF94=1,PP94&gt;0),MIN(PP94,CG94),0)</f>
        <v>0</v>
      </c>
      <c r="PR94" s="20" t="n">
        <f aca="false">PP94-PQ94</f>
        <v>105778.037958056</v>
      </c>
      <c r="PS94" s="20" t="n">
        <f aca="false">IF(AND(HU94=0,BV94=1,PR94&gt;0),MIN(PR94,BW94),0)</f>
        <v>0</v>
      </c>
      <c r="PT94" s="20" t="n">
        <f aca="false">PR94-PS94</f>
        <v>105778.037958056</v>
      </c>
      <c r="PU94" s="20" t="n">
        <f aca="false">IF(AND(HU94=0,BL94=1,PT94&gt;0),MIN(PT94,BM94),0)</f>
        <v>0</v>
      </c>
      <c r="PV94" s="20" t="n">
        <f aca="false">PT94-PU94</f>
        <v>105778.037958056</v>
      </c>
      <c r="PW94" s="20" t="n">
        <f aca="false">IF(AND(HU94=0,BB94=1,PV94&gt;0),MIN(PV94,BC94),0)</f>
        <v>0</v>
      </c>
      <c r="PX94" s="20" t="n">
        <f aca="false">PV94-PW94</f>
        <v>105778.037958056</v>
      </c>
      <c r="PY94" s="20" t="n">
        <f aca="false">IF(AND(HU94=0,AR94=1,PX94&gt;0),MIN(PX94,AS94),0)</f>
        <v>0</v>
      </c>
      <c r="PZ94" s="20" t="n">
        <f aca="false">PX94-PY94</f>
        <v>105778.037958056</v>
      </c>
      <c r="QA94" s="20" t="n">
        <f aca="false">IF(AND(HU94=0,AH94=1,PZ94&gt;0),MIN(PZ94,AI94),0)</f>
        <v>0</v>
      </c>
      <c r="QB94" s="20" t="n">
        <f aca="false">PZ94-QA94</f>
        <v>105778.037958056</v>
      </c>
      <c r="QC94" s="20" t="n">
        <f aca="false">IF(AND(HU94=0,W94=1,QB94&gt;0),MIN(QB94,X94),0)</f>
        <v>0</v>
      </c>
      <c r="QD94" s="20" t="n">
        <f aca="false">QB94-QC94</f>
        <v>105778.037958056</v>
      </c>
      <c r="QE94" s="20" t="n">
        <f aca="false">IF(HU94=0,QD94,0)</f>
        <v>105778.037958056</v>
      </c>
      <c r="QF94" s="20" t="n">
        <f aca="false">OM94+OO94+QC94+QA94+PY94+PW94+PU94+PS94+PQ94+PO94+PM94+PK94+PI94+PG94+PE94+PC94+PA94+OY94+OW94+OU94+OS94+OQ94</f>
        <v>0</v>
      </c>
      <c r="QG94" s="20" t="n">
        <f aca="false">IF(HU94=1,HK94+OJ94+OI94+IF(G94=1,0,OK94),HK94-OM94)</f>
        <v>0</v>
      </c>
      <c r="QH94" s="20" t="n">
        <f aca="false">HL94-OO94</f>
        <v>0</v>
      </c>
      <c r="QI94" s="20" t="n">
        <f aca="false">IF(HU94=1,IF(G94=1,ID94+IE94,HS94),0)</f>
        <v>0</v>
      </c>
      <c r="QJ94" s="20" t="n">
        <f aca="false">IF(HU94=1,IF(G94=1,HS94-ID94-IE94,0),0)</f>
        <v>0</v>
      </c>
      <c r="QK94" s="57" t="n">
        <f aca="false">'Plan holdings'!BM94</f>
        <v>0</v>
      </c>
      <c r="QL94" s="20" t="n">
        <f aca="false">QH94*(1+AS_Cash)</f>
        <v>0</v>
      </c>
      <c r="QM94" s="20" t="n">
        <f aca="false">IF(W94=1,IF(HU94=1,II94+IL94,X94-QC94)*(1+Slot1_Rate),0)</f>
        <v>0</v>
      </c>
      <c r="QN94" s="20" t="n">
        <f aca="false">IF(AND(HU94=1,W94=1),(IH94+IL94)/F94,0)</f>
        <v>0</v>
      </c>
      <c r="QO94" s="20" t="n">
        <f aca="false">IF(B94=0,IH94+IL94,0)</f>
        <v>0</v>
      </c>
      <c r="QP94" s="20" t="n">
        <f aca="false">IF(B94=0,IF(HU94=1,IJ94,IK94),0)</f>
        <v>0</v>
      </c>
      <c r="QQ94" s="20" t="n">
        <f aca="false">IF(AH94=1,IF(HU94=1,IQ94+IT94,AI94-QA94)*(1+Slot2_Rate),0)</f>
        <v>0</v>
      </c>
      <c r="QR94" s="20" t="n">
        <f aca="false">IF(AND(HU94=1,AH94=1),(IP94+IT94)/F94,0)</f>
        <v>0</v>
      </c>
      <c r="QS94" s="20" t="n">
        <f aca="false">IF(B94=0,IP94+IT94,0)</f>
        <v>0</v>
      </c>
      <c r="QT94" s="20" t="n">
        <f aca="false">IF(B94=0,IF(HU94=1,IR94,IS94),0)</f>
        <v>0</v>
      </c>
      <c r="QU94" s="20" t="n">
        <f aca="false">IF(AR94=1,IF(HU94=1,IY94+JB94,AS94-PY94)*(1+Slot3_Rate),0)</f>
        <v>0</v>
      </c>
      <c r="QV94" s="20" t="n">
        <f aca="false">IF(AND(HU94=1,AR94=1),(IX94+JB94)/F94,0)</f>
        <v>0</v>
      </c>
      <c r="QW94" s="20" t="n">
        <f aca="false">IF(B94=0,IX94+JB94,0)</f>
        <v>0</v>
      </c>
      <c r="QX94" s="20" t="n">
        <f aca="false">IF(B94=0,IF(HU94=1,IZ94,JA94),0)</f>
        <v>0</v>
      </c>
      <c r="QY94" s="20" t="n">
        <f aca="false">IF(BB94=1,IF(HU94=1,JG94+JJ94,BC94-PW94)*(1+Slot4_Rate),0)</f>
        <v>0</v>
      </c>
      <c r="QZ94" s="20" t="n">
        <f aca="false">IF(AND(HU94=1,BB94=1),(JF94+JJ94)/F94,0)</f>
        <v>0</v>
      </c>
      <c r="RA94" s="20" t="n">
        <f aca="false">IF(B94=0,JF94+JJ94,0)</f>
        <v>0</v>
      </c>
      <c r="RB94" s="20" t="n">
        <f aca="false">IF(B94=0,IF(HU94=1,JH94,JI94),0)</f>
        <v>0</v>
      </c>
      <c r="RC94" s="20" t="n">
        <f aca="false">IF(BL94=1,IF(HU94=1,JO94+JR94,BM94-PU94)*(1+Slot5_Rate),0)</f>
        <v>0</v>
      </c>
      <c r="RD94" s="20" t="n">
        <f aca="false">IF(AND(HU94=1,BL94=1),(JN94+JR94)/F94,0)</f>
        <v>0</v>
      </c>
      <c r="RE94" s="20" t="n">
        <f aca="false">IF(B94=0,JN94+JR94,0)</f>
        <v>0</v>
      </c>
      <c r="RF94" s="20" t="n">
        <f aca="false">IF(B94=0,IF(HU94=1,JP94,JQ94),0)</f>
        <v>0</v>
      </c>
      <c r="RG94" s="20" t="n">
        <f aca="false">IF(BV94=1,IF(HU94=1,JW94+JZ94,BW94-PS94)*(1+Slot6_Rate),0)</f>
        <v>0</v>
      </c>
      <c r="RH94" s="20" t="n">
        <f aca="false">IF(AND(HU94=1,BV94=1),(JV94+JZ94)/F94,0)</f>
        <v>0</v>
      </c>
      <c r="RI94" s="20" t="n">
        <f aca="false">IF(B94=0,JV94+JZ94,0)</f>
        <v>0</v>
      </c>
      <c r="RJ94" s="20" t="n">
        <f aca="false">IF(B94=0,IF(HU94=1,JX94,JY94),0)</f>
        <v>0</v>
      </c>
      <c r="RK94" s="20" t="n">
        <f aca="false">IF(CF94=1,IF(HU94=1,KE94+KH94,CG94-PQ94)*(1+Slot7_Rate),0)</f>
        <v>0</v>
      </c>
      <c r="RL94" s="20" t="n">
        <f aca="false">IF(AND(HU94=1,CF94=1),(KD94+KH94)/F94,0)</f>
        <v>0</v>
      </c>
      <c r="RM94" s="20" t="n">
        <f aca="false">IF(B94=0,KD94+KH94,0)</f>
        <v>0</v>
      </c>
      <c r="RN94" s="20" t="n">
        <f aca="false">IF(B94=0,IF(HU94=1,KF94,KG94),0)</f>
        <v>0</v>
      </c>
      <c r="RO94" s="20" t="n">
        <f aca="false">IF(CP94=1,IF(HU94=1,KM94+KP94,CQ94-PO94)*(1+Slot8_Rate),0)</f>
        <v>0</v>
      </c>
      <c r="RP94" s="20" t="n">
        <f aca="false">IF(AND(HU94=1,CP94=1),(KL94+KP94)/F94,0)</f>
        <v>0</v>
      </c>
      <c r="RQ94" s="20" t="n">
        <f aca="false">IF(B94=0,KL94+KP94,0)</f>
        <v>0</v>
      </c>
      <c r="RR94" s="20" t="n">
        <f aca="false">IF(B94=0,IF(HU94=1,KN94,KO94),0)</f>
        <v>0</v>
      </c>
      <c r="RS94" s="20" t="n">
        <f aca="false">IF(CZ94=1,IF(HU94=1,KU94+KX94,DA94-PM94)*(1+Slot9_Rate),0)</f>
        <v>0</v>
      </c>
      <c r="RT94" s="20" t="n">
        <f aca="false">IF(AND(HU94=1,CZ94=1),(KT94+KX94)/F94,0)</f>
        <v>0</v>
      </c>
      <c r="RU94" s="20" t="n">
        <f aca="false">IF(B94=0,KT94+KX94,0)</f>
        <v>0</v>
      </c>
      <c r="RV94" s="20" t="n">
        <f aca="false">IF(B94=0,IF(HU94=1,KV94,KW94),0)</f>
        <v>0</v>
      </c>
      <c r="RW94" s="20" t="n">
        <f aca="false">IF(DJ94=1,IF(HU94=1,LC94+LF94,DK94-PK94)*(1+Slot10_Rate),0)</f>
        <v>0</v>
      </c>
      <c r="RX94" s="20" t="n">
        <f aca="false">IF(AND(HU94=1,DJ94=1),(LB94+LF94)/F94,0)</f>
        <v>0</v>
      </c>
      <c r="RY94" s="20" t="n">
        <f aca="false">IF(B94=0,LB94+LF94,0)</f>
        <v>0</v>
      </c>
      <c r="RZ94" s="20" t="n">
        <f aca="false">IF(B94=0,IF(HU94=1,LD94,LE94),0)</f>
        <v>0</v>
      </c>
      <c r="SA94" s="20" t="n">
        <f aca="false">IF(DT94=1,IF(HU94=1,LK94+LN94,DU94-PI94)*(1+Slot11_Rate),0)</f>
        <v>0</v>
      </c>
      <c r="SB94" s="20" t="n">
        <f aca="false">IF(AND(HU94=1,DT94=1),(LJ94+LN94)/F94,0)</f>
        <v>0</v>
      </c>
      <c r="SC94" s="20" t="n">
        <f aca="false">IF(B94=0,LJ94+LN94,0)</f>
        <v>0</v>
      </c>
      <c r="SD94" s="20" t="n">
        <f aca="false">IF(B94=0,IF(HU94=1,LL94,LM94),0)</f>
        <v>0</v>
      </c>
      <c r="SE94" s="20" t="n">
        <f aca="false">IF(ED94=1,IF(HU94=1,LS94+LV94,EE94-PG94)*(1+Slot12_Rate),0)</f>
        <v>0</v>
      </c>
      <c r="SF94" s="20" t="n">
        <f aca="false">IF(AND(HU94=1,ED94=1),(LR94+LV94)/F94,0)</f>
        <v>0</v>
      </c>
      <c r="SG94" s="20" t="n">
        <f aca="false">IF(B94=0,LR94+LV94,0)</f>
        <v>0</v>
      </c>
      <c r="SH94" s="20" t="n">
        <f aca="false">IF(B94=0,IF(HU94=1,LT94,LU94),0)</f>
        <v>0</v>
      </c>
      <c r="SI94" s="20" t="n">
        <f aca="false">IF(EN94=1,IF(HU94=1,MA94+MD94,EO94-PE94)*(1+Slot13_Rate),0)</f>
        <v>0</v>
      </c>
      <c r="SJ94" s="20" t="n">
        <f aca="false">IF(AND(HU94=1,EN94=1),(LZ94+MD94)/F94,0)</f>
        <v>0</v>
      </c>
      <c r="SK94" s="20" t="n">
        <f aca="false">IF(B94=0,LZ94+MD94,0)</f>
        <v>0</v>
      </c>
      <c r="SL94" s="20" t="n">
        <f aca="false">IF(B94=0,IF(HU94=1,MB94,MC94),0)</f>
        <v>0</v>
      </c>
      <c r="SM94" s="20" t="n">
        <f aca="false">IF(EX94=1,IF(HU94=1,MI94+ML94,EY94-PC94)*(1+Slot14_Rate),0)</f>
        <v>0</v>
      </c>
      <c r="SN94" s="20" t="n">
        <f aca="false">IF(AND(HU94=1,EX94=1),(MH94+ML94)/F94,0)</f>
        <v>0</v>
      </c>
      <c r="SO94" s="20" t="n">
        <f aca="false">IF(B94=0,MH94+ML94,0)</f>
        <v>0</v>
      </c>
      <c r="SP94" s="20" t="n">
        <f aca="false">IF(B94=0,IF(HU94=1,MJ94,MK94),0)</f>
        <v>0</v>
      </c>
      <c r="SQ94" s="20" t="n">
        <f aca="false">IF(FH94=1,IF(HU94=1,MQ94+MT94,FI94-PA94)*(1+Slot15_Rate),0)</f>
        <v>0</v>
      </c>
      <c r="SR94" s="20" t="n">
        <f aca="false">IF(AND(HU94=1,FH94=1),(MP94+MT94)/F94,0)</f>
        <v>0</v>
      </c>
      <c r="SS94" s="20" t="n">
        <f aca="false">IF(B94=0,MP94+MT94,0)</f>
        <v>0</v>
      </c>
      <c r="ST94" s="20" t="n">
        <f aca="false">IF(B94=0,IF(HU94=1,MR94,MS94),0)</f>
        <v>0</v>
      </c>
      <c r="SU94" s="20" t="n">
        <f aca="false">IF(FR94=1,IF(HU94=1,MY94+NB94,FS94-OY94)*(1+Slot16_Rate),0)</f>
        <v>0</v>
      </c>
      <c r="SV94" s="20" t="n">
        <f aca="false">IF(AND(HU94=1,FR94=1),(MX94+NB94)/F94,0)</f>
        <v>0</v>
      </c>
      <c r="SW94" s="20" t="n">
        <f aca="false">IF(B94=0,MX94+NB94,0)</f>
        <v>0</v>
      </c>
      <c r="SX94" s="20" t="n">
        <f aca="false">IF(B94=0,IF(HU94=1,MZ94,NA94),0)</f>
        <v>0</v>
      </c>
      <c r="SY94" s="20" t="n">
        <f aca="false">IF(GB94=1,IF(HU94=1,NG94+NJ94,GC94-OW94)*(1+Slot17_Rate),0)</f>
        <v>0</v>
      </c>
      <c r="SZ94" s="20" t="n">
        <f aca="false">IF(AND(HU94=1,GB94=1),(NF94+NJ94)/F94,0)</f>
        <v>0</v>
      </c>
      <c r="TA94" s="20" t="n">
        <f aca="false">IF(B94=0,NF94+NJ94,0)</f>
        <v>0</v>
      </c>
      <c r="TB94" s="20" t="n">
        <f aca="false">IF(B94=0,IF(HU94=1,NH94,NI94),0)</f>
        <v>0</v>
      </c>
      <c r="TC94" s="20" t="n">
        <f aca="false">IF(GL94=1,IF(HU94=1,NO94+NR94,GM94-OU94)*(1+Slot18_Rate),0)</f>
        <v>0</v>
      </c>
      <c r="TD94" s="20" t="n">
        <f aca="false">IF(AND(HU94=1,GL94=1),(NN94+NR94)/F94,0)</f>
        <v>0</v>
      </c>
      <c r="TE94" s="20" t="n">
        <f aca="false">IF(B94=0,NN94+NR94,0)</f>
        <v>0</v>
      </c>
      <c r="TF94" s="20" t="n">
        <f aca="false">IF(B94=0,IF(HU94=1,NP94,NQ94),0)</f>
        <v>0</v>
      </c>
      <c r="TG94" s="20" t="n">
        <f aca="false">IF(GV94=1,IF(HU94=1,NW94+NZ94,GW94-OS94)*(1+Slot19_Rate),0)</f>
        <v>0</v>
      </c>
      <c r="TH94" s="20" t="n">
        <f aca="false">IF(AND(HU94=1,GV94=1),(NV94+NZ94)/F94,0)</f>
        <v>0</v>
      </c>
      <c r="TI94" s="20" t="n">
        <f aca="false">IF(B94=0,NV94+NZ94,0)</f>
        <v>0</v>
      </c>
      <c r="TJ94" s="20" t="n">
        <f aca="false">IF(B94=0,IF(HU94=1,NX94,NY94),0)</f>
        <v>0</v>
      </c>
      <c r="TK94" s="20" t="n">
        <f aca="false">IF(HF94=1,IF(HU94=1,OE94+OH94,HG94-OQ94)*(1+Slot20_Rate),0)</f>
        <v>0</v>
      </c>
      <c r="TL94" s="20" t="n">
        <f aca="false">IF(AND(HU94=1,HF94=1),(OD94+OH94)/F94,0)</f>
        <v>0</v>
      </c>
      <c r="TM94" s="20" t="n">
        <f aca="false">IF(B94=0,OD94+OH94,0)</f>
        <v>0</v>
      </c>
      <c r="TN94" s="20" t="n">
        <f aca="false">IF(B94=0,IF(HU94=1,OF94,OG94),0)</f>
        <v>0</v>
      </c>
      <c r="TO94" s="20" t="n">
        <f aca="false">QK94+QL94+QM94+QQ94+QU94+QY94+RC94+RG94+RK94+RO94+RS94+RW94+SA94+SE94+SI94+SM94+SQ94+SU94+SY94+TC94+TG94+TK94</f>
        <v>0</v>
      </c>
      <c r="TP94" s="20" t="n">
        <f aca="false">QE94+HP94</f>
        <v>105778.037958056</v>
      </c>
      <c r="TQ94" s="20" t="n">
        <f aca="false">I94+S94</f>
        <v>262447.637769189</v>
      </c>
      <c r="TR94" s="20" t="n">
        <f aca="false">1-G94</f>
        <v>1</v>
      </c>
      <c r="TS94" s="20" t="n">
        <f aca="false">IF(AND(RG_Exists=1,G94=0,C94=1),I94,0)</f>
        <v>0</v>
      </c>
      <c r="TT94" s="20" t="n">
        <f aca="false">IF(AND(RG_Exists=1,G94=0,C94=1),I94-MIN(QE94,I94),0)</f>
        <v>0</v>
      </c>
      <c r="TU94" s="20" t="n">
        <f aca="false">'Plan pay &amp; tax'!AD320</f>
        <v>0</v>
      </c>
      <c r="TV94" s="20" t="n">
        <f aca="false">IF(AND(C94=1,QE94&gt;MAX(PR_Short1,TQ94*PR_Short2)),1,0)</f>
        <v>0</v>
      </c>
      <c r="TW94" s="20" t="n">
        <f aca="false">MIN(H94,I94+S94)</f>
        <v>156669.599811133</v>
      </c>
      <c r="TX94" s="20" t="n">
        <f aca="false">QF94+MAX(0,HQ94-HP94)</f>
        <v>0</v>
      </c>
      <c r="TY94" s="20" t="n">
        <f aca="false">QE94+HP94</f>
        <v>105778.037958056</v>
      </c>
      <c r="TZ94" s="20" t="n">
        <f aca="false">IF(AND(C94=1,TY94&gt;PR_MinShort),1,0)</f>
        <v>0</v>
      </c>
      <c r="UA94" s="20" t="n">
        <f aca="false">IF(AND(C94=1,TZ94=0,TX94&gt;PR_MinShort),1,0)</f>
        <v>0</v>
      </c>
      <c r="UB94" s="20" t="n">
        <f aca="false">IF(AND(C94=1,QE94&gt;PR_MinShort),1,0)</f>
        <v>0</v>
      </c>
      <c r="UC94" s="20" t="n">
        <f aca="false">IF(AND(C94=1,QF94&gt;1,UJ94=0),1,0)</f>
        <v>0</v>
      </c>
      <c r="UD94" s="20" t="str">
        <f aca="false">IF(C94=0,"",IF(UJ94=1,"Gap to plan for: short "&amp;"€"&amp;TEXT(ROUND(TP94,0),"#,##0"),IF(QF94&gt;1,"Using savings","Comfortable")))</f>
        <v/>
      </c>
      <c r="UE94" s="20" t="n">
        <f aca="false">IF(AND(INT(D94/10)*10=90,B94&gt;0),80,INT(D94/10)*10)</f>
        <v>120</v>
      </c>
      <c r="UF94" s="20" t="n">
        <f aca="false">IF(B94=0,1,IF(UE94&lt;&gt;UE93,UF93+1,UF93))</f>
        <v>9</v>
      </c>
      <c r="UG94" s="20" t="n">
        <f aca="false">IF(AND(C94=1,G94=1,QE94&gt;MAX(PR_Short1,TQ94*PR_Short2)),1,0)</f>
        <v>0</v>
      </c>
      <c r="UH94" s="20" t="n">
        <f aca="false">TR94*TV94</f>
        <v>0</v>
      </c>
      <c r="UI94" s="20" t="n">
        <f aca="false">IF(AND(V94=1,Slot1_PctLow=1),1,0)+IF(AND(AG94=1,Slot2_PctLow=1),1,0)+IF(AND(AQ94=1,Slot3_PctLow=1),1,0)+IF(AND(BA94=1,Slot4_PctLow=1),1,0)+IF(AND(BK94=1,Slot5_PctLow=1),1,0)+IF(AND(BU94=1,Slot6_PctLow=1),1,0)+IF(AND(CE94=1,Slot7_PctLow=1),1,0)+IF(AND(CO94=1,Slot8_PctLow=1),1,0)+IF(AND(CY94=1,Slot9_PctLow=1),1,0)+IF(AND(DI94=1,Slot10_PctLow=1),1,0)+IF(AND(DS94=1,Slot11_PctLow=1),1,0)+IF(AND(EC94=1,Slot12_PctLow=1),1,0)+IF(AND(EM94=1,Slot13_PctLow=1),1,0)+IF(AND(EW94=1,Slot14_PctLow=1),1,0)+IF(AND(FG94=1,Slot15_PctLow=1),1,0)+IF(AND(FQ94=1,Slot16_PctLow=1),1,0)+IF(AND(GA94=1,Slot17_PctLow=1),1,0)+IF(AND(GK94=1,Slot18_PctLow=1),1,0)+IF(AND(GU94=1,Slot19_PctLow=1),1,0)+IF(AND(HE94=1,Slot20_PctLow=1),1,0)</f>
        <v>0</v>
      </c>
      <c r="UJ94" s="20" t="n">
        <f aca="false">IF(C94=1,IF(OR(TV94=1,UI94&gt;0),1,0),0)</f>
        <v>0</v>
      </c>
      <c r="UK94" s="20" t="n">
        <f aca="false">Z94+AK94+AU94+BE94+BO94+BY94+CI94+CS94+DC94+DM94+DW94+EG94+EQ94+FA94+FK94+FU94+GE94+GO94+GY94+HI94+OM94</f>
        <v>0</v>
      </c>
      <c r="UL94" s="20" t="n">
        <f aca="false">V94*IF(Slot1_SpendLike=1,X94-Y94,IF(Slot1_PotFree=1,X94,0))+AG94*IF(Slot2_SpendLike=1,AI94-AJ94,IF(Slot2_PotFree=1,AI94,0))+AQ94*IF(Slot3_SpendLike=1,AS94-AT94,IF(Slot3_PotFree=1,AS94,0))+BA94*IF(Slot4_SpendLike=1,BC94-BD94,IF(Slot4_PotFree=1,BC94,0))+BK94*IF(Slot5_SpendLike=1,BM94-BN94,IF(Slot5_PotFree=1,BM94,0))+BU94*IF(Slot6_SpendLike=1,BW94-BX94,IF(Slot6_PotFree=1,BW94,0))+CE94*IF(Slot7_SpendLike=1,CG94-CH94,IF(Slot7_PotFree=1,CG94,0))+CO94*IF(Slot8_SpendLike=1,CQ94-CR94,IF(Slot8_PotFree=1,CQ94,0))+CY94*IF(Slot9_SpendLike=1,DA94-DB94,IF(Slot9_PotFree=1,DA94,0))+DI94*IF(Slot10_SpendLike=1,DK94-DL94,IF(Slot10_PotFree=1,DK94,0))+DS94*IF(Slot11_SpendLike=1,DU94-DV94,IF(Slot11_PotFree=1,DU94,0))+EC94*IF(Slot12_SpendLike=1,EE94-EF94,IF(Slot12_PotFree=1,EE94,0))+EM94*IF(Slot13_SpendLike=1,EO94-EP94,IF(Slot13_PotFree=1,EO94,0))+EW94*IF(Slot14_SpendLike=1,EY94-EZ94,IF(Slot14_PotFree=1,EY94,0))+FG94*IF(Slot15_SpendLike=1,FI94-FJ94,IF(Slot15_PotFree=1,FI94,0))+FQ94*IF(Slot16_SpendLike=1,FS94-FT94,IF(Slot16_PotFree=1,FS94,0))+GA94*IF(Slot17_SpendLike=1,GC94-GD94,IF(Slot17_PotFree=1,GC94,0))+GK94*IF(Slot18_SpendLike=1,GM94-GN94,IF(Slot18_PotFree=1,GM94,0))+GU94*IF(Slot19_SpendLike=1,GW94-GX94,IF(Slot19_PotFree=1,GW94,0))+HE94*IF(Slot20_SpendLike=1,HG94-HH94,IF(Slot20_PotFree=1,HG94,0))</f>
        <v>0</v>
      </c>
      <c r="UM94" s="20" t="n">
        <f aca="false">QG94-T94+UK94-UL94</f>
        <v>0</v>
      </c>
      <c r="UN94" s="20" t="n">
        <f aca="false">IF(OR(UN93=1,AND(In_homeUse="Yes, I'd downsize",In_downAge&gt;0,D94=In_downAge,OR(In_home="Own outright",In_home="Own with mortgage"),In_homeValue&gt;0)),1,0)</f>
        <v>0</v>
      </c>
    </row>
    <row r="95" customFormat="false" ht="15" hidden="false" customHeight="true" outlineLevel="0" collapsed="false">
      <c r="B95" s="20" t="n">
        <v>87</v>
      </c>
      <c r="C95" s="20" t="n">
        <f aca="false">IF(B95&lt;=F_N,1,0)</f>
        <v>0</v>
      </c>
      <c r="D95" s="20" t="n">
        <f aca="false">'Plan pay &amp; tax'!C321</f>
        <v>125</v>
      </c>
      <c r="E95" s="20" t="str">
        <f aca="false">IF($C95=1,"Income tax "&amp;TEXT(N('Plan pay &amp; tax'!BK321),"#,##0")&amp;"; USC "&amp;TEXT(N('Plan pay &amp; tax'!BM321)+N('Plan pay &amp; tax'!BO321),"#,##0")&amp;"; PRSI "&amp;TEXT(N('Plan pay &amp; tax'!BP321)+N('Plan pay &amp; tax'!BQ321),"#,##0")&amp;IF(N('Plan holdings'!BO95)&gt;=0.5,"; DIRT "&amp;TEXT(('Plan holdings'!BO95)/$F95,"#,##0")&amp;" (already taken from the interest earned)","")&amp;IF(N('Plan holdings'!BP95)&gt;=0.5,"; exit tax at an 8-year anniversary "&amp;TEXT(('Plan holdings'!BP95)/$F95,"#,##0"),"")&amp;IF(N('Plan holdings'!BN95)&gt;=0.5,"; tax on assets sold (exit tax or capital gains tax) "&amp;TEXT(('Plan holdings'!BN95)/$F95,"#,##0"),"")&amp;IF(N('Plan pay &amp; tax'!X321)-N('Plan pay &amp; tax'!Y321)&gt;=0.5,"; tax on the pension lump sum "&amp;TEXT(('Plan pay &amp; tax'!X321-'Plan pay &amp; tax'!Y321)/$F95,"#,##0"),"")&amp;IF(N('Plan pay &amp; tax'!V321)&gt;=0.5,"; chargeable excess tax on the pension "&amp;TEXT(('Plan pay &amp; tax'!V321)/$F95,"#,##0"),"")&amp;".","")</f>
        <v/>
      </c>
      <c r="F95" s="50" t="n">
        <f aca="false">'Plan pay &amp; tax'!E321</f>
        <v>5.60034708210403</v>
      </c>
      <c r="G95" s="20" t="n">
        <f aca="false">'Plan pay &amp; tax'!G321</f>
        <v>0</v>
      </c>
      <c r="H95" s="20" t="n">
        <f aca="false">'Plan pay &amp; tax'!BT321-'Plan pay &amp; tax'!BS321-'Plan pay &amp; tax'!R321</f>
        <v>159802.991807356</v>
      </c>
      <c r="I95" s="20" t="n">
        <f aca="false">IF(G95=1,F_CostsM*12,IF(RG_Exists=1,RG_Amount,F_CostsM*12*AS_RetireSpend))*F95+F_OneOffY*F95</f>
        <v>267696.590524573</v>
      </c>
      <c r="J95" s="20" t="n">
        <f aca="false">IF(UN95=1,0,HR94)</f>
        <v>0</v>
      </c>
      <c r="K95" s="20" t="n">
        <f aca="false">IF(J95&gt;1,'Plan debt months'!AC95,0)</f>
        <v>0</v>
      </c>
      <c r="L95" s="20" t="n">
        <f aca="false">IF(J95&gt;1,'Plan debt months'!AB95,J95)</f>
        <v>0</v>
      </c>
      <c r="M95" s="20" t="n">
        <f aca="false">O94</f>
        <v>0</v>
      </c>
      <c r="N95" s="20" t="n">
        <f aca="false">IF(M95&gt;1,'Plan debt months'!BD95,0)</f>
        <v>0</v>
      </c>
      <c r="O95" s="20" t="n">
        <f aca="false">IF(M95&gt;1,'Plan debt months'!BC95,M95)</f>
        <v>0</v>
      </c>
      <c r="P95" s="20" t="n">
        <f aca="false">R94</f>
        <v>0</v>
      </c>
      <c r="Q95" s="20" t="n">
        <f aca="false">IF(P95&gt;1,'Plan debt months'!CE95,0)</f>
        <v>0</v>
      </c>
      <c r="R95" s="20" t="n">
        <f aca="false">IF(P95&gt;1,'Plan debt months'!CD95,P95)</f>
        <v>0</v>
      </c>
      <c r="S95" s="20" t="n">
        <f aca="false">K95+N95+Q95</f>
        <v>0</v>
      </c>
      <c r="T95" s="57" t="n">
        <f aca="false">'Plan holdings'!Y95</f>
        <v>0</v>
      </c>
      <c r="U95" s="57" t="n">
        <f aca="false">'Plan holdings'!BM94</f>
        <v>0</v>
      </c>
      <c r="V95" s="20" t="n">
        <f aca="false">IF(AND(Slot1_On=1,D95=Slot1_Age),1,0)</f>
        <v>0</v>
      </c>
      <c r="W95" s="20" t="n">
        <f aca="false">IF(AND(Slot1_On=1,Slot1_Age&gt;D95),1,0)</f>
        <v>0</v>
      </c>
      <c r="X95" s="20" t="n">
        <f aca="false">QM94</f>
        <v>0</v>
      </c>
      <c r="Y95" s="20" t="n">
        <f aca="false">V95*MIN(Slot1_Cost,X95)</f>
        <v>0</v>
      </c>
      <c r="Z95" s="20" t="n">
        <f aca="false">V95*Slot1_SpendLike*MIN(Slot1_Cost-Y95,T95)</f>
        <v>0</v>
      </c>
      <c r="AA95" s="20" t="n">
        <f aca="false">Y95+Z95</f>
        <v>0</v>
      </c>
      <c r="AB95" s="20" t="n">
        <f aca="false">T95-Z95+V95*IF(Slot1_SpendLike=1,X95-Y95,IF(Slot1_PotFree=1,X95,0))</f>
        <v>0</v>
      </c>
      <c r="AC95" s="20" t="n">
        <f aca="false">AF95+V95*Slot1_BufPot*X95</f>
        <v>0</v>
      </c>
      <c r="AD95" s="20" t="n">
        <f aca="false">IF(AND(V95=1,Slot1_IsMfree=1),IF(AA95&gt;=Slot1_Cost-1,0,MAX(0,L95-AA95)),L95)</f>
        <v>0</v>
      </c>
      <c r="AE95" s="20" t="n">
        <f aca="false">V95*(Slot1_Cost-AA95)</f>
        <v>0</v>
      </c>
      <c r="AF95" s="20" t="n">
        <f aca="false">QL94</f>
        <v>0</v>
      </c>
      <c r="AG95" s="20" t="n">
        <f aca="false">IF(AND(Slot2_On=1,D95=Slot2_Age),1,0)</f>
        <v>0</v>
      </c>
      <c r="AH95" s="20" t="n">
        <f aca="false">IF(AND(Slot2_On=1,Slot2_Age&gt;D95),1,0)</f>
        <v>0</v>
      </c>
      <c r="AI95" s="20" t="n">
        <f aca="false">QQ94</f>
        <v>0</v>
      </c>
      <c r="AJ95" s="20" t="n">
        <f aca="false">AG95*MIN(Slot2_Cost,AI95)</f>
        <v>0</v>
      </c>
      <c r="AK95" s="20" t="n">
        <f aca="false">AG95*Slot2_SpendLike*MIN(Slot2_Cost-AJ95,AB95)</f>
        <v>0</v>
      </c>
      <c r="AL95" s="20" t="n">
        <f aca="false">AJ95+AK95</f>
        <v>0</v>
      </c>
      <c r="AM95" s="20" t="n">
        <f aca="false">AB95-AK95+AG95*IF(Slot2_SpendLike=1,AI95-AJ95,IF(Slot2_PotFree=1,AI95,0))</f>
        <v>0</v>
      </c>
      <c r="AN95" s="20" t="n">
        <f aca="false">AC95+AG95*Slot2_BufPot*AI95</f>
        <v>0</v>
      </c>
      <c r="AO95" s="20" t="n">
        <f aca="false">IF(AND(AG95=1,Slot2_IsMfree=1),IF(AL95&gt;=Slot2_Cost-1,0,MAX(0,AD95-AL95)),AD95)</f>
        <v>0</v>
      </c>
      <c r="AP95" s="20" t="n">
        <f aca="false">AG95*(Slot2_Cost-AL95)</f>
        <v>0</v>
      </c>
      <c r="AQ95" s="20" t="n">
        <f aca="false">IF(AND(Slot3_On=1,D95=Slot3_Age),1,0)</f>
        <v>0</v>
      </c>
      <c r="AR95" s="20" t="n">
        <f aca="false">IF(AND(Slot3_On=1,Slot3_Age&gt;D95),1,0)</f>
        <v>0</v>
      </c>
      <c r="AS95" s="20" t="n">
        <f aca="false">QU94</f>
        <v>0</v>
      </c>
      <c r="AT95" s="20" t="n">
        <f aca="false">AQ95*MIN(Slot3_Cost,AS95)</f>
        <v>0</v>
      </c>
      <c r="AU95" s="20" t="n">
        <f aca="false">AQ95*Slot3_SpendLike*MIN(Slot3_Cost-AT95,AM95)</f>
        <v>0</v>
      </c>
      <c r="AV95" s="20" t="n">
        <f aca="false">AT95+AU95</f>
        <v>0</v>
      </c>
      <c r="AW95" s="20" t="n">
        <f aca="false">AM95-AU95+AQ95*IF(Slot3_SpendLike=1,AS95-AT95,IF(Slot3_PotFree=1,AS95,0))</f>
        <v>0</v>
      </c>
      <c r="AX95" s="20" t="n">
        <f aca="false">AN95+AQ95*Slot3_BufPot*AS95</f>
        <v>0</v>
      </c>
      <c r="AY95" s="20" t="n">
        <f aca="false">IF(AND(AQ95=1,Slot3_IsMfree=1),IF(AV95&gt;=Slot3_Cost-1,0,MAX(0,AO95-AV95)),AO95)</f>
        <v>0</v>
      </c>
      <c r="AZ95" s="20" t="n">
        <f aca="false">AQ95*(Slot3_Cost-AV95)</f>
        <v>0</v>
      </c>
      <c r="BA95" s="20" t="n">
        <f aca="false">IF(AND(Slot4_On=1,D95=Slot4_Age),1,0)</f>
        <v>0</v>
      </c>
      <c r="BB95" s="20" t="n">
        <f aca="false">IF(AND(Slot4_On=1,Slot4_Age&gt;D95),1,0)</f>
        <v>0</v>
      </c>
      <c r="BC95" s="20" t="n">
        <f aca="false">QY94</f>
        <v>0</v>
      </c>
      <c r="BD95" s="20" t="n">
        <f aca="false">BA95*MIN(Slot4_Cost,BC95)</f>
        <v>0</v>
      </c>
      <c r="BE95" s="20" t="n">
        <f aca="false">BA95*Slot4_SpendLike*MIN(Slot4_Cost-BD95,AW95)</f>
        <v>0</v>
      </c>
      <c r="BF95" s="20" t="n">
        <f aca="false">BD95+BE95</f>
        <v>0</v>
      </c>
      <c r="BG95" s="20" t="n">
        <f aca="false">AW95-BE95+BA95*IF(Slot4_SpendLike=1,BC95-BD95,IF(Slot4_PotFree=1,BC95,0))</f>
        <v>0</v>
      </c>
      <c r="BH95" s="20" t="n">
        <f aca="false">AX95+BA95*Slot4_BufPot*BC95</f>
        <v>0</v>
      </c>
      <c r="BI95" s="20" t="n">
        <f aca="false">IF(AND(BA95=1,Slot4_IsMfree=1),IF(BF95&gt;=Slot4_Cost-1,0,MAX(0,AY95-BF95)),AY95)</f>
        <v>0</v>
      </c>
      <c r="BJ95" s="20" t="n">
        <f aca="false">BA95*(Slot4_Cost-BF95)</f>
        <v>0</v>
      </c>
      <c r="BK95" s="20" t="n">
        <f aca="false">IF(AND(Slot5_On=1,D95=Slot5_Age),1,0)</f>
        <v>0</v>
      </c>
      <c r="BL95" s="20" t="n">
        <f aca="false">IF(AND(Slot5_On=1,Slot5_Age&gt;D95),1,0)</f>
        <v>0</v>
      </c>
      <c r="BM95" s="20" t="n">
        <f aca="false">RC94</f>
        <v>0</v>
      </c>
      <c r="BN95" s="20" t="n">
        <f aca="false">BK95*MIN(Slot5_Cost,BM95)</f>
        <v>0</v>
      </c>
      <c r="BO95" s="20" t="n">
        <f aca="false">BK95*Slot5_SpendLike*MIN(Slot5_Cost-BN95,BG95)</f>
        <v>0</v>
      </c>
      <c r="BP95" s="20" t="n">
        <f aca="false">BN95+BO95</f>
        <v>0</v>
      </c>
      <c r="BQ95" s="20" t="n">
        <f aca="false">BG95-BO95+BK95*IF(Slot5_SpendLike=1,BM95-BN95,IF(Slot5_PotFree=1,BM95,0))</f>
        <v>0</v>
      </c>
      <c r="BR95" s="20" t="n">
        <f aca="false">BH95+BK95*Slot5_BufPot*BM95</f>
        <v>0</v>
      </c>
      <c r="BS95" s="20" t="n">
        <f aca="false">IF(AND(BK95=1,Slot5_IsMfree=1),IF(BP95&gt;=Slot5_Cost-1,0,MAX(0,BI95-BP95)),BI95)</f>
        <v>0</v>
      </c>
      <c r="BT95" s="20" t="n">
        <f aca="false">BK95*(Slot5_Cost-BP95)</f>
        <v>0</v>
      </c>
      <c r="BU95" s="20" t="n">
        <f aca="false">IF(AND(Slot6_On=1,D95=Slot6_Age),1,0)</f>
        <v>0</v>
      </c>
      <c r="BV95" s="20" t="n">
        <f aca="false">IF(AND(Slot6_On=1,Slot6_Age&gt;D95),1,0)</f>
        <v>0</v>
      </c>
      <c r="BW95" s="20" t="n">
        <f aca="false">RG94</f>
        <v>0</v>
      </c>
      <c r="BX95" s="20" t="n">
        <f aca="false">BU95*MIN(Slot6_Cost,BW95)</f>
        <v>0</v>
      </c>
      <c r="BY95" s="20" t="n">
        <f aca="false">BU95*Slot6_SpendLike*MIN(Slot6_Cost-BX95,BQ95)</f>
        <v>0</v>
      </c>
      <c r="BZ95" s="20" t="n">
        <f aca="false">BX95+BY95</f>
        <v>0</v>
      </c>
      <c r="CA95" s="20" t="n">
        <f aca="false">BQ95-BY95+BU95*IF(Slot6_SpendLike=1,BW95-BX95,IF(Slot6_PotFree=1,BW95,0))</f>
        <v>0</v>
      </c>
      <c r="CB95" s="20" t="n">
        <f aca="false">BR95+BU95*Slot6_BufPot*BW95</f>
        <v>0</v>
      </c>
      <c r="CC95" s="20" t="n">
        <f aca="false">IF(AND(BU95=1,Slot6_IsMfree=1),IF(BZ95&gt;=Slot6_Cost-1,0,MAX(0,BS95-BZ95)),BS95)</f>
        <v>0</v>
      </c>
      <c r="CD95" s="20" t="n">
        <f aca="false">BU95*(Slot6_Cost-BZ95)</f>
        <v>0</v>
      </c>
      <c r="CE95" s="20" t="n">
        <f aca="false">IF(AND(Slot7_On=1,D95=Slot7_Age),1,0)</f>
        <v>0</v>
      </c>
      <c r="CF95" s="20" t="n">
        <f aca="false">IF(AND(Slot7_On=1,Slot7_Age&gt;D95),1,0)</f>
        <v>0</v>
      </c>
      <c r="CG95" s="20" t="n">
        <f aca="false">RK94</f>
        <v>0</v>
      </c>
      <c r="CH95" s="20" t="n">
        <f aca="false">CE95*MIN(Slot7_Cost,CG95)</f>
        <v>0</v>
      </c>
      <c r="CI95" s="20" t="n">
        <f aca="false">CE95*Slot7_SpendLike*MIN(Slot7_Cost-CH95,CA95)</f>
        <v>0</v>
      </c>
      <c r="CJ95" s="20" t="n">
        <f aca="false">CH95+CI95</f>
        <v>0</v>
      </c>
      <c r="CK95" s="20" t="n">
        <f aca="false">CA95-CI95+CE95*IF(Slot7_SpendLike=1,CG95-CH95,IF(Slot7_PotFree=1,CG95,0))</f>
        <v>0</v>
      </c>
      <c r="CL95" s="20" t="n">
        <f aca="false">CB95+CE95*Slot7_BufPot*CG95</f>
        <v>0</v>
      </c>
      <c r="CM95" s="20" t="n">
        <f aca="false">IF(AND(CE95=1,Slot7_IsMfree=1),IF(CJ95&gt;=Slot7_Cost-1,0,MAX(0,CC95-CJ95)),CC95)</f>
        <v>0</v>
      </c>
      <c r="CN95" s="20" t="n">
        <f aca="false">CE95*(Slot7_Cost-CJ95)</f>
        <v>0</v>
      </c>
      <c r="CO95" s="20" t="n">
        <f aca="false">IF(AND(Slot8_On=1,D95=Slot8_Age),1,0)</f>
        <v>0</v>
      </c>
      <c r="CP95" s="20" t="n">
        <f aca="false">IF(AND(Slot8_On=1,Slot8_Age&gt;D95),1,0)</f>
        <v>0</v>
      </c>
      <c r="CQ95" s="20" t="n">
        <f aca="false">RO94</f>
        <v>0</v>
      </c>
      <c r="CR95" s="20" t="n">
        <f aca="false">CO95*MIN(Slot8_Cost,CQ95)</f>
        <v>0</v>
      </c>
      <c r="CS95" s="20" t="n">
        <f aca="false">CO95*Slot8_SpendLike*MIN(Slot8_Cost-CR95,CK95)</f>
        <v>0</v>
      </c>
      <c r="CT95" s="20" t="n">
        <f aca="false">CR95+CS95</f>
        <v>0</v>
      </c>
      <c r="CU95" s="20" t="n">
        <f aca="false">CK95-CS95+CO95*IF(Slot8_SpendLike=1,CQ95-CR95,IF(Slot8_PotFree=1,CQ95,0))</f>
        <v>0</v>
      </c>
      <c r="CV95" s="20" t="n">
        <f aca="false">CL95+CO95*Slot8_BufPot*CQ95</f>
        <v>0</v>
      </c>
      <c r="CW95" s="20" t="n">
        <f aca="false">IF(AND(CO95=1,Slot8_IsMfree=1),IF(CT95&gt;=Slot8_Cost-1,0,MAX(0,CM95-CT95)),CM95)</f>
        <v>0</v>
      </c>
      <c r="CX95" s="20" t="n">
        <f aca="false">CO95*(Slot8_Cost-CT95)</f>
        <v>0</v>
      </c>
      <c r="CY95" s="20" t="n">
        <f aca="false">IF(AND(Slot9_On=1,D95=Slot9_Age),1,0)</f>
        <v>0</v>
      </c>
      <c r="CZ95" s="20" t="n">
        <f aca="false">IF(AND(Slot9_On=1,Slot9_Age&gt;D95),1,0)</f>
        <v>0</v>
      </c>
      <c r="DA95" s="20" t="n">
        <f aca="false">RS94</f>
        <v>0</v>
      </c>
      <c r="DB95" s="20" t="n">
        <f aca="false">CY95*MIN(Slot9_Cost,DA95)</f>
        <v>0</v>
      </c>
      <c r="DC95" s="20" t="n">
        <f aca="false">CY95*Slot9_SpendLike*MIN(Slot9_Cost-DB95,CU95)</f>
        <v>0</v>
      </c>
      <c r="DD95" s="20" t="n">
        <f aca="false">DB95+DC95</f>
        <v>0</v>
      </c>
      <c r="DE95" s="20" t="n">
        <f aca="false">CU95-DC95+CY95*IF(Slot9_SpendLike=1,DA95-DB95,IF(Slot9_PotFree=1,DA95,0))</f>
        <v>0</v>
      </c>
      <c r="DF95" s="20" t="n">
        <f aca="false">CV95+CY95*Slot9_BufPot*DA95</f>
        <v>0</v>
      </c>
      <c r="DG95" s="20" t="n">
        <f aca="false">IF(AND(CY95=1,Slot9_IsMfree=1),IF(DD95&gt;=Slot9_Cost-1,0,MAX(0,CW95-DD95)),CW95)</f>
        <v>0</v>
      </c>
      <c r="DH95" s="20" t="n">
        <f aca="false">CY95*(Slot9_Cost-DD95)</f>
        <v>0</v>
      </c>
      <c r="DI95" s="20" t="n">
        <f aca="false">IF(AND(Slot10_On=1,D95=Slot10_Age),1,0)</f>
        <v>0</v>
      </c>
      <c r="DJ95" s="20" t="n">
        <f aca="false">IF(AND(Slot10_On=1,Slot10_Age&gt;D95),1,0)</f>
        <v>0</v>
      </c>
      <c r="DK95" s="20" t="n">
        <f aca="false">RW94</f>
        <v>0</v>
      </c>
      <c r="DL95" s="20" t="n">
        <f aca="false">DI95*MIN(Slot10_Cost,DK95)</f>
        <v>0</v>
      </c>
      <c r="DM95" s="20" t="n">
        <f aca="false">DI95*Slot10_SpendLike*MIN(Slot10_Cost-DL95,DE95)</f>
        <v>0</v>
      </c>
      <c r="DN95" s="20" t="n">
        <f aca="false">DL95+DM95</f>
        <v>0</v>
      </c>
      <c r="DO95" s="20" t="n">
        <f aca="false">DE95-DM95+DI95*IF(Slot10_SpendLike=1,DK95-DL95,IF(Slot10_PotFree=1,DK95,0))</f>
        <v>0</v>
      </c>
      <c r="DP95" s="20" t="n">
        <f aca="false">DF95+DI95*Slot10_BufPot*DK95</f>
        <v>0</v>
      </c>
      <c r="DQ95" s="20" t="n">
        <f aca="false">IF(AND(DI95=1,Slot10_IsMfree=1),IF(DN95&gt;=Slot10_Cost-1,0,MAX(0,DG95-DN95)),DG95)</f>
        <v>0</v>
      </c>
      <c r="DR95" s="20" t="n">
        <f aca="false">DI95*(Slot10_Cost-DN95)</f>
        <v>0</v>
      </c>
      <c r="DS95" s="20" t="n">
        <f aca="false">IF(AND(Slot11_On=1,D95=Slot11_Age),1,0)</f>
        <v>0</v>
      </c>
      <c r="DT95" s="20" t="n">
        <f aca="false">IF(AND(Slot11_On=1,Slot11_Age&gt;D95),1,0)</f>
        <v>0</v>
      </c>
      <c r="DU95" s="20" t="n">
        <f aca="false">SA94</f>
        <v>0</v>
      </c>
      <c r="DV95" s="20" t="n">
        <f aca="false">DS95*MIN(Slot11_Cost,DU95)</f>
        <v>0</v>
      </c>
      <c r="DW95" s="20" t="n">
        <f aca="false">DS95*Slot11_SpendLike*MIN(Slot11_Cost-DV95,DO95)</f>
        <v>0</v>
      </c>
      <c r="DX95" s="20" t="n">
        <f aca="false">DV95+DW95</f>
        <v>0</v>
      </c>
      <c r="DY95" s="20" t="n">
        <f aca="false">DO95-DW95+DS95*IF(Slot11_SpendLike=1,DU95-DV95,IF(Slot11_PotFree=1,DU95,0))</f>
        <v>0</v>
      </c>
      <c r="DZ95" s="20" t="n">
        <f aca="false">DP95+DS95*Slot11_BufPot*DU95</f>
        <v>0</v>
      </c>
      <c r="EA95" s="20" t="n">
        <f aca="false">IF(AND(DS95=1,Slot11_IsMfree=1),IF(DX95&gt;=Slot11_Cost-1,0,MAX(0,DQ95-DX95)),DQ95)</f>
        <v>0</v>
      </c>
      <c r="EB95" s="20" t="n">
        <f aca="false">DS95*(Slot11_Cost-DX95)</f>
        <v>0</v>
      </c>
      <c r="EC95" s="20" t="n">
        <f aca="false">IF(AND(Slot12_On=1,D95=Slot12_Age),1,0)</f>
        <v>0</v>
      </c>
      <c r="ED95" s="20" t="n">
        <f aca="false">IF(AND(Slot12_On=1,Slot12_Age&gt;D95),1,0)</f>
        <v>0</v>
      </c>
      <c r="EE95" s="20" t="n">
        <f aca="false">SE94</f>
        <v>0</v>
      </c>
      <c r="EF95" s="20" t="n">
        <f aca="false">EC95*MIN(Slot12_Cost,EE95)</f>
        <v>0</v>
      </c>
      <c r="EG95" s="20" t="n">
        <f aca="false">EC95*Slot12_SpendLike*MIN(Slot12_Cost-EF95,DY95)</f>
        <v>0</v>
      </c>
      <c r="EH95" s="20" t="n">
        <f aca="false">EF95+EG95</f>
        <v>0</v>
      </c>
      <c r="EI95" s="20" t="n">
        <f aca="false">DY95-EG95+EC95*IF(Slot12_SpendLike=1,EE95-EF95,IF(Slot12_PotFree=1,EE95,0))</f>
        <v>0</v>
      </c>
      <c r="EJ95" s="20" t="n">
        <f aca="false">DZ95+EC95*Slot12_BufPot*EE95</f>
        <v>0</v>
      </c>
      <c r="EK95" s="20" t="n">
        <f aca="false">IF(AND(EC95=1,Slot12_IsMfree=1),IF(EH95&gt;=Slot12_Cost-1,0,MAX(0,EA95-EH95)),EA95)</f>
        <v>0</v>
      </c>
      <c r="EL95" s="20" t="n">
        <f aca="false">EC95*(Slot12_Cost-EH95)</f>
        <v>0</v>
      </c>
      <c r="EM95" s="20" t="n">
        <f aca="false">IF(AND(Slot13_On=1,D95=Slot13_Age),1,0)</f>
        <v>0</v>
      </c>
      <c r="EN95" s="20" t="n">
        <f aca="false">IF(AND(Slot13_On=1,Slot13_Age&gt;D95),1,0)</f>
        <v>0</v>
      </c>
      <c r="EO95" s="20" t="n">
        <f aca="false">SI94</f>
        <v>0</v>
      </c>
      <c r="EP95" s="20" t="n">
        <f aca="false">EM95*MIN(Slot13_Cost,EO95)</f>
        <v>0</v>
      </c>
      <c r="EQ95" s="20" t="n">
        <f aca="false">EM95*Slot13_SpendLike*MIN(Slot13_Cost-EP95,EI95)</f>
        <v>0</v>
      </c>
      <c r="ER95" s="20" t="n">
        <f aca="false">EP95+EQ95</f>
        <v>0</v>
      </c>
      <c r="ES95" s="20" t="n">
        <f aca="false">EI95-EQ95+EM95*IF(Slot13_SpendLike=1,EO95-EP95,IF(Slot13_PotFree=1,EO95,0))</f>
        <v>0</v>
      </c>
      <c r="ET95" s="20" t="n">
        <f aca="false">EJ95+EM95*Slot13_BufPot*EO95</f>
        <v>0</v>
      </c>
      <c r="EU95" s="20" t="n">
        <f aca="false">IF(AND(EM95=1,Slot13_IsMfree=1),IF(ER95&gt;=Slot13_Cost-1,0,MAX(0,EK95-ER95)),EK95)</f>
        <v>0</v>
      </c>
      <c r="EV95" s="20" t="n">
        <f aca="false">EM95*(Slot13_Cost-ER95)</f>
        <v>0</v>
      </c>
      <c r="EW95" s="20" t="n">
        <f aca="false">IF(AND(Slot14_On=1,D95=Slot14_Age),1,0)</f>
        <v>0</v>
      </c>
      <c r="EX95" s="20" t="n">
        <f aca="false">IF(AND(Slot14_On=1,Slot14_Age&gt;D95),1,0)</f>
        <v>0</v>
      </c>
      <c r="EY95" s="20" t="n">
        <f aca="false">SM94</f>
        <v>0</v>
      </c>
      <c r="EZ95" s="20" t="n">
        <f aca="false">EW95*MIN(Slot14_Cost,EY95)</f>
        <v>0</v>
      </c>
      <c r="FA95" s="20" t="n">
        <f aca="false">EW95*Slot14_SpendLike*MIN(Slot14_Cost-EZ95,ES95)</f>
        <v>0</v>
      </c>
      <c r="FB95" s="20" t="n">
        <f aca="false">EZ95+FA95</f>
        <v>0</v>
      </c>
      <c r="FC95" s="20" t="n">
        <f aca="false">ES95-FA95+EW95*IF(Slot14_SpendLike=1,EY95-EZ95,IF(Slot14_PotFree=1,EY95,0))</f>
        <v>0</v>
      </c>
      <c r="FD95" s="20" t="n">
        <f aca="false">ET95+EW95*Slot14_BufPot*EY95</f>
        <v>0</v>
      </c>
      <c r="FE95" s="20" t="n">
        <f aca="false">IF(AND(EW95=1,Slot14_IsMfree=1),IF(FB95&gt;=Slot14_Cost-1,0,MAX(0,EU95-FB95)),EU95)</f>
        <v>0</v>
      </c>
      <c r="FF95" s="20" t="n">
        <f aca="false">EW95*(Slot14_Cost-FB95)</f>
        <v>0</v>
      </c>
      <c r="FG95" s="20" t="n">
        <f aca="false">IF(AND(Slot15_On=1,D95=Slot15_Age),1,0)</f>
        <v>0</v>
      </c>
      <c r="FH95" s="20" t="n">
        <f aca="false">IF(AND(Slot15_On=1,Slot15_Age&gt;D95),1,0)</f>
        <v>0</v>
      </c>
      <c r="FI95" s="20" t="n">
        <f aca="false">SQ94</f>
        <v>0</v>
      </c>
      <c r="FJ95" s="20" t="n">
        <f aca="false">FG95*MIN(Slot15_Cost,FI95)</f>
        <v>0</v>
      </c>
      <c r="FK95" s="20" t="n">
        <f aca="false">FG95*Slot15_SpendLike*MIN(Slot15_Cost-FJ95,FC95)</f>
        <v>0</v>
      </c>
      <c r="FL95" s="20" t="n">
        <f aca="false">FJ95+FK95</f>
        <v>0</v>
      </c>
      <c r="FM95" s="20" t="n">
        <f aca="false">FC95-FK95+FG95*IF(Slot15_SpendLike=1,FI95-FJ95,IF(Slot15_PotFree=1,FI95,0))</f>
        <v>0</v>
      </c>
      <c r="FN95" s="20" t="n">
        <f aca="false">FD95+FG95*Slot15_BufPot*FI95</f>
        <v>0</v>
      </c>
      <c r="FO95" s="20" t="n">
        <f aca="false">IF(AND(FG95=1,Slot15_IsMfree=1),IF(FL95&gt;=Slot15_Cost-1,0,MAX(0,FE95-FL95)),FE95)</f>
        <v>0</v>
      </c>
      <c r="FP95" s="20" t="n">
        <f aca="false">FG95*(Slot15_Cost-FL95)</f>
        <v>0</v>
      </c>
      <c r="FQ95" s="20" t="n">
        <f aca="false">IF(AND(Slot16_On=1,D95=Slot16_Age),1,0)</f>
        <v>0</v>
      </c>
      <c r="FR95" s="20" t="n">
        <f aca="false">IF(AND(Slot16_On=1,Slot16_Age&gt;D95),1,0)</f>
        <v>0</v>
      </c>
      <c r="FS95" s="20" t="n">
        <f aca="false">SU94</f>
        <v>0</v>
      </c>
      <c r="FT95" s="20" t="n">
        <f aca="false">FQ95*MIN(Slot16_Cost,FS95)</f>
        <v>0</v>
      </c>
      <c r="FU95" s="20" t="n">
        <f aca="false">FQ95*Slot16_SpendLike*MIN(Slot16_Cost-FT95,FM95)</f>
        <v>0</v>
      </c>
      <c r="FV95" s="20" t="n">
        <f aca="false">FT95+FU95</f>
        <v>0</v>
      </c>
      <c r="FW95" s="20" t="n">
        <f aca="false">FM95-FU95+FQ95*IF(Slot16_SpendLike=1,FS95-FT95,IF(Slot16_PotFree=1,FS95,0))</f>
        <v>0</v>
      </c>
      <c r="FX95" s="20" t="n">
        <f aca="false">FN95+FQ95*Slot16_BufPot*FS95</f>
        <v>0</v>
      </c>
      <c r="FY95" s="20" t="n">
        <f aca="false">IF(AND(FQ95=1,Slot16_IsMfree=1),IF(FV95&gt;=Slot16_Cost-1,0,MAX(0,FO95-FV95)),FO95)</f>
        <v>0</v>
      </c>
      <c r="FZ95" s="20" t="n">
        <f aca="false">FQ95*(Slot16_Cost-FV95)</f>
        <v>0</v>
      </c>
      <c r="GA95" s="20" t="n">
        <f aca="false">IF(AND(Slot17_On=1,D95=Slot17_Age),1,0)</f>
        <v>0</v>
      </c>
      <c r="GB95" s="20" t="n">
        <f aca="false">IF(AND(Slot17_On=1,Slot17_Age&gt;D95),1,0)</f>
        <v>0</v>
      </c>
      <c r="GC95" s="20" t="n">
        <f aca="false">SY94</f>
        <v>0</v>
      </c>
      <c r="GD95" s="20" t="n">
        <f aca="false">GA95*MIN(Slot17_Cost,GC95)</f>
        <v>0</v>
      </c>
      <c r="GE95" s="20" t="n">
        <f aca="false">GA95*Slot17_SpendLike*MIN(Slot17_Cost-GD95,FW95)</f>
        <v>0</v>
      </c>
      <c r="GF95" s="20" t="n">
        <f aca="false">GD95+GE95</f>
        <v>0</v>
      </c>
      <c r="GG95" s="20" t="n">
        <f aca="false">FW95-GE95+GA95*IF(Slot17_SpendLike=1,GC95-GD95,IF(Slot17_PotFree=1,GC95,0))</f>
        <v>0</v>
      </c>
      <c r="GH95" s="20" t="n">
        <f aca="false">FX95+GA95*Slot17_BufPot*GC95</f>
        <v>0</v>
      </c>
      <c r="GI95" s="20" t="n">
        <f aca="false">IF(AND(GA95=1,Slot17_IsMfree=1),IF(GF95&gt;=Slot17_Cost-1,0,MAX(0,FY95-GF95)),FY95)</f>
        <v>0</v>
      </c>
      <c r="GJ95" s="20" t="n">
        <f aca="false">GA95*(Slot17_Cost-GF95)</f>
        <v>0</v>
      </c>
      <c r="GK95" s="20" t="n">
        <f aca="false">IF(AND(Slot18_On=1,D95=Slot18_Age),1,0)</f>
        <v>0</v>
      </c>
      <c r="GL95" s="20" t="n">
        <f aca="false">IF(AND(Slot18_On=1,Slot18_Age&gt;D95),1,0)</f>
        <v>0</v>
      </c>
      <c r="GM95" s="20" t="n">
        <f aca="false">TC94</f>
        <v>0</v>
      </c>
      <c r="GN95" s="20" t="n">
        <f aca="false">GK95*MIN(Slot18_Cost,GM95)</f>
        <v>0</v>
      </c>
      <c r="GO95" s="20" t="n">
        <f aca="false">GK95*Slot18_SpendLike*MIN(Slot18_Cost-GN95,GG95)</f>
        <v>0</v>
      </c>
      <c r="GP95" s="20" t="n">
        <f aca="false">GN95+GO95</f>
        <v>0</v>
      </c>
      <c r="GQ95" s="20" t="n">
        <f aca="false">GG95-GO95+GK95*IF(Slot18_SpendLike=1,GM95-GN95,IF(Slot18_PotFree=1,GM95,0))</f>
        <v>0</v>
      </c>
      <c r="GR95" s="20" t="n">
        <f aca="false">GH95+GK95*Slot18_BufPot*GM95</f>
        <v>0</v>
      </c>
      <c r="GS95" s="20" t="n">
        <f aca="false">IF(AND(GK95=1,Slot18_IsMfree=1),IF(GP95&gt;=Slot18_Cost-1,0,MAX(0,GI95-GP95)),GI95)</f>
        <v>0</v>
      </c>
      <c r="GT95" s="20" t="n">
        <f aca="false">GK95*(Slot18_Cost-GP95)</f>
        <v>0</v>
      </c>
      <c r="GU95" s="20" t="n">
        <f aca="false">IF(AND(Slot19_On=1,D95=Slot19_Age),1,0)</f>
        <v>0</v>
      </c>
      <c r="GV95" s="20" t="n">
        <f aca="false">IF(AND(Slot19_On=1,Slot19_Age&gt;D95),1,0)</f>
        <v>0</v>
      </c>
      <c r="GW95" s="20" t="n">
        <f aca="false">TG94</f>
        <v>0</v>
      </c>
      <c r="GX95" s="20" t="n">
        <f aca="false">GU95*MIN(Slot19_Cost,GW95)</f>
        <v>0</v>
      </c>
      <c r="GY95" s="20" t="n">
        <f aca="false">GU95*Slot19_SpendLike*MIN(Slot19_Cost-GX95,GQ95)</f>
        <v>0</v>
      </c>
      <c r="GZ95" s="20" t="n">
        <f aca="false">GX95+GY95</f>
        <v>0</v>
      </c>
      <c r="HA95" s="20" t="n">
        <f aca="false">GQ95-GY95+GU95*IF(Slot19_SpendLike=1,GW95-GX95,IF(Slot19_PotFree=1,GW95,0))</f>
        <v>0</v>
      </c>
      <c r="HB95" s="20" t="n">
        <f aca="false">GR95+GU95*Slot19_BufPot*GW95</f>
        <v>0</v>
      </c>
      <c r="HC95" s="20" t="n">
        <f aca="false">IF(AND(GU95=1,Slot19_IsMfree=1),IF(GZ95&gt;=Slot19_Cost-1,0,MAX(0,GS95-GZ95)),GS95)</f>
        <v>0</v>
      </c>
      <c r="HD95" s="20" t="n">
        <f aca="false">GU95*(Slot19_Cost-GZ95)</f>
        <v>0</v>
      </c>
      <c r="HE95" s="20" t="n">
        <f aca="false">IF(AND(Slot20_On=1,D95=Slot20_Age),1,0)</f>
        <v>0</v>
      </c>
      <c r="HF95" s="20" t="n">
        <f aca="false">IF(AND(Slot20_On=1,Slot20_Age&gt;D95),1,0)</f>
        <v>0</v>
      </c>
      <c r="HG95" s="20" t="n">
        <f aca="false">TK94</f>
        <v>0</v>
      </c>
      <c r="HH95" s="20" t="n">
        <f aca="false">HE95*MIN(Slot20_Cost,HG95)</f>
        <v>0</v>
      </c>
      <c r="HI95" s="20" t="n">
        <f aca="false">HE95*Slot20_SpendLike*MIN(Slot20_Cost-HH95,HA95)</f>
        <v>0</v>
      </c>
      <c r="HJ95" s="20" t="n">
        <f aca="false">HH95+HI95</f>
        <v>0</v>
      </c>
      <c r="HK95" s="20" t="n">
        <f aca="false">HA95-HI95+HE95*IF(Slot20_SpendLike=1,HG95-HH95,IF(Slot20_PotFree=1,HG95,0))</f>
        <v>0</v>
      </c>
      <c r="HL95" s="20" t="n">
        <f aca="false">HB95+HE95*Slot20_BufPot*HG95</f>
        <v>0</v>
      </c>
      <c r="HM95" s="20" t="n">
        <f aca="false">IF(AND(HE95=1,Slot20_IsMfree=1),IF(HJ95&gt;=Slot20_Cost-1,0,MAX(0,HC95-HJ95)),HC95)</f>
        <v>0</v>
      </c>
      <c r="HN95" s="20" t="n">
        <f aca="false">HE95*(Slot20_Cost-HJ95)</f>
        <v>0</v>
      </c>
      <c r="HO95" s="20" t="n">
        <f aca="false">V95*Slot1_SpendLike*AA95+AG95*Slot2_SpendLike*AL95+AQ95*Slot3_SpendLike*AV95+BA95*Slot4_SpendLike*BF95+BK95*Slot5_SpendLike*BP95+BU95*Slot6_SpendLike*BZ95+CE95*Slot7_SpendLike*CJ95+CO95*Slot8_SpendLike*CT95+CY95*Slot9_SpendLike*DD95+DI95*Slot10_SpendLike*DN95+DS95*Slot11_SpendLike*DX95+EC95*Slot12_SpendLike*EH95+EM95*Slot13_SpendLike*ER95+EW95*Slot14_SpendLike*FB95+FG95*Slot15_SpendLike*FL95+FQ95*Slot16_SpendLike*FV95+GA95*Slot17_SpendLike*GF95+GK95*Slot18_SpendLike*GP95+GU95*Slot19_SpendLike*GZ95+HE95*Slot20_SpendLike*HJ95</f>
        <v>0</v>
      </c>
      <c r="HP95" s="20" t="n">
        <f aca="false">AE95+AP95+AZ95+BJ95+BT95+CD95+CN95+CX95+DH95+DR95+EB95+EL95+EV95+FF95+FP95+FZ95+GJ95+GT95+HD95+HN95</f>
        <v>0</v>
      </c>
      <c r="HQ95" s="20" t="n">
        <f aca="false">V95*Slot1_Cost+AG95*Slot2_Cost+AQ95*Slot3_Cost+BA95*Slot4_Cost+BK95*Slot5_Cost+BU95*Slot6_Cost+CE95*Slot7_Cost+CO95*Slot8_Cost+CY95*Slot9_Cost+DI95*Slot10_Cost+DS95*Slot11_Cost+EC95*Slot12_Cost+EM95*Slot13_Cost+EW95*Slot14_Cost+FG95*Slot15_Cost+FQ95*Slot16_Cost+GA95*Slot17_Cost+GK95*Slot18_Cost+GU95*Slot19_Cost+HE95*Slot20_Cost</f>
        <v>0</v>
      </c>
      <c r="HR95" s="20" t="n">
        <f aca="false">HM95</f>
        <v>0</v>
      </c>
      <c r="HS95" s="20" t="n">
        <f aca="false">H95-I95-S95</f>
        <v>-107893.598717217</v>
      </c>
      <c r="HT95" s="20" t="n">
        <f aca="false">IF(B95=0,IF(AND(Has_q6=1,In_q6=4),PR_ShareVaries*(MAX(0,HS95)/12),MIN(IF(Has_q6=1,CHOOSE(In_q6+1,PR_SaveB1,PR_SaveB2,PR_SaveB3,PR_SaveB4,0),AS_NoAnswer),AS_SaveShare*(MAX(0,HS95)/12))),HT94)</f>
        <v>67.3316893520437</v>
      </c>
      <c r="HU95" s="20" t="n">
        <f aca="false">IF(HS95&gt;=0,1,0)</f>
        <v>0</v>
      </c>
      <c r="HV95" s="20" t="n">
        <f aca="false">MAX(0,HS95/12/F95)</f>
        <v>0</v>
      </c>
      <c r="HW95" s="20" t="n">
        <f aca="false">IF(AND(Has_q6=1,In_q6=4),PR_ShareVaries*(HV95),MIN(IF(Has_q6=1,CHOOSE(In_q6+1,PR_SaveB1,PR_SaveB2,PR_SaveB3,PR_SaveB4,0),AS_NoAnswer),AS_SaveShare*(HV95)))</f>
        <v>0</v>
      </c>
      <c r="HX95" s="20" t="n">
        <f aca="false">IF(Has_saveM=1,IF(In_saveUp="Yes",1,IF(In_saveUp="No",0,IF(In_saveM&gt;=HT95-0.5,1,0))),0)</f>
        <v>0</v>
      </c>
      <c r="HY95" s="20" t="n">
        <f aca="false">IF(Has_saveM=1,MIN(HV95,IF(HX95=1,MAX(In_saveM,HW95),MIN(In_saveM,HW95))),HW95)</f>
        <v>0</v>
      </c>
      <c r="HZ95" s="20" t="n">
        <f aca="false">IF(G95=1,HY95*12*F95,0)</f>
        <v>0</v>
      </c>
      <c r="IA95" s="20" t="n">
        <f aca="false">MAX(0,HZ95+IF(AND(WI_Retire=0,WI_M&lt;0,G95=1),WI_M*12*F95,0))</f>
        <v>0</v>
      </c>
      <c r="IB95" s="20" t="n">
        <f aca="false">Slot1_IsWG*W95+Slot2_IsWG*AH95+Slot3_IsWG*AR95+Slot4_IsWG*BB95+Slot5_IsWG*BL95+Slot6_IsWG*BV95+Slot7_IsWG*CF95+Slot8_IsWG*CP95+Slot9_IsWG*CZ95+Slot10_IsWG*DJ95+Slot11_IsWG*DT95+Slot12_IsWG*ED95+Slot13_IsWG*EN95+Slot14_IsWG*EX95+Slot15_IsWG*FH95+Slot16_IsWG*FR95+Slot17_IsWG*GB95+Slot18_IsWG*GL95+Slot19_IsWG*GV95+Slot20_IsWG*HF95</f>
        <v>0</v>
      </c>
      <c r="IC95" s="20" t="n">
        <f aca="false">IF(AND(WI_Retire=0,WI_M&gt;0,G95=1,IB95&gt;=1),WI_M*12*F95,0)</f>
        <v>0</v>
      </c>
      <c r="ID95" s="20" t="n">
        <f aca="false">IF(HU95=1,MIN(IA95,HS95),0)</f>
        <v>0</v>
      </c>
      <c r="IE95" s="20" t="n">
        <f aca="false">IF(HU95=1,MIN(IC95,HS95-ID95),0)</f>
        <v>0</v>
      </c>
      <c r="IF95" s="20" t="n">
        <f aca="false">IF(W95=1,IF(ABS((1+AS_Wage)/(1+Slot1_Rate)-1)&lt;0.000000000001,(Slot1_Age-D95)*(1+Slot1_Rate)^(Slot1_Age-D95),(1+Slot1_Rate)^(Slot1_Age-D95)*(1-((1+AS_Wage)/(1+Slot1_Rate))^(Slot1_Age-D95))/(1-(1+AS_Wage)/(1+Slot1_Rate))),1)</f>
        <v>1</v>
      </c>
      <c r="IG95" s="20" t="n">
        <f aca="false">IF(AND(HU95=1,IE95&gt;0,Slot1_IsWG=1,W95=1),MAX(0,(Slot1_Cost-X95*(1+Slot1_Rate)^(Slot1_Age-D95))/IF95),0)</f>
        <v>0</v>
      </c>
      <c r="IH95" s="20" t="n">
        <f aca="false">IF(AND(HU95=1,IE95&gt;0,Slot1_IsWG=1,W95=1),MIN(IE95,IG95),0)</f>
        <v>0</v>
      </c>
      <c r="II95" s="20" t="n">
        <f aca="false">X95+IH95</f>
        <v>0</v>
      </c>
      <c r="IJ95" s="20" t="n">
        <f aca="false">IF(W95=1,MAX(0,(Slot1_Cost-II95*(1+Slot1_Rate)^(Slot1_Age-D95))/IF95),0)</f>
        <v>0</v>
      </c>
      <c r="IK95" s="20" t="n">
        <f aca="false">IF(W95=1,MAX(0,(Slot1_Cost-X95*(1+Slot1_Rate)^(Slot1_Age-D95))/IF95),0)</f>
        <v>0</v>
      </c>
      <c r="IL95" s="20" t="n">
        <f aca="false">IF(AND(HU95=1,W95=1),MIN(ID95,IJ95),0)</f>
        <v>0</v>
      </c>
      <c r="IM95" s="20" t="n">
        <f aca="false">ID95-IL95</f>
        <v>0</v>
      </c>
      <c r="IN95" s="20" t="n">
        <f aca="false">IF(AH95=1,IF(ABS((1+AS_Wage)/(1+Slot2_Rate)-1)&lt;0.000000000001,(Slot2_Age-D95)*(1+Slot2_Rate)^(Slot2_Age-D95),(1+Slot2_Rate)^(Slot2_Age-D95)*(1-((1+AS_Wage)/(1+Slot2_Rate))^(Slot2_Age-D95))/(1-(1+AS_Wage)/(1+Slot2_Rate))),1)</f>
        <v>1</v>
      </c>
      <c r="IO95" s="20" t="n">
        <f aca="false">IF(AND(HU95=1,IE95&gt;0,Slot2_IsWG=1,AH95=1),MAX(0,(Slot2_Cost-AI95*(1+Slot2_Rate)^(Slot2_Age-D95))/IN95),0)</f>
        <v>0</v>
      </c>
      <c r="IP95" s="20" t="n">
        <f aca="false">IF(AND(HU95=1,IE95&gt;0,Slot2_IsWG=1,AH95=1),MIN(IE95,IO95),0)</f>
        <v>0</v>
      </c>
      <c r="IQ95" s="20" t="n">
        <f aca="false">AI95+IP95</f>
        <v>0</v>
      </c>
      <c r="IR95" s="20" t="n">
        <f aca="false">IF(AH95=1,MAX(0,(Slot2_Cost-IQ95*(1+Slot2_Rate)^(Slot2_Age-D95))/IN95),0)</f>
        <v>0</v>
      </c>
      <c r="IS95" s="20" t="n">
        <f aca="false">IF(AH95=1,MAX(0,(Slot2_Cost-AI95*(1+Slot2_Rate)^(Slot2_Age-D95))/IN95),0)</f>
        <v>0</v>
      </c>
      <c r="IT95" s="20" t="n">
        <f aca="false">IF(AND(HU95=1,AH95=1),MIN(IM95,IR95),0)</f>
        <v>0</v>
      </c>
      <c r="IU95" s="20" t="n">
        <f aca="false">IM95-IT95</f>
        <v>0</v>
      </c>
      <c r="IV95" s="20" t="n">
        <f aca="false">IF(AR95=1,IF(ABS((1+AS_Wage)/(1+Slot3_Rate)-1)&lt;0.000000000001,(Slot3_Age-D95)*(1+Slot3_Rate)^(Slot3_Age-D95),(1+Slot3_Rate)^(Slot3_Age-D95)*(1-((1+AS_Wage)/(1+Slot3_Rate))^(Slot3_Age-D95))/(1-(1+AS_Wage)/(1+Slot3_Rate))),1)</f>
        <v>1</v>
      </c>
      <c r="IW95" s="20" t="n">
        <f aca="false">IF(AND(HU95=1,IE95&gt;0,Slot3_IsWG=1,AR95=1),MAX(0,(Slot3_Cost-AS95*(1+Slot3_Rate)^(Slot3_Age-D95))/IV95),0)</f>
        <v>0</v>
      </c>
      <c r="IX95" s="20" t="n">
        <f aca="false">IF(AND(HU95=1,IE95&gt;0,Slot3_IsWG=1,AR95=1),MIN(IE95,IW95),0)</f>
        <v>0</v>
      </c>
      <c r="IY95" s="20" t="n">
        <f aca="false">AS95+IX95</f>
        <v>0</v>
      </c>
      <c r="IZ95" s="20" t="n">
        <f aca="false">IF(AR95=1,MAX(0,(Slot3_Cost-IY95*(1+Slot3_Rate)^(Slot3_Age-D95))/IV95),0)</f>
        <v>0</v>
      </c>
      <c r="JA95" s="20" t="n">
        <f aca="false">IF(AR95=1,MAX(0,(Slot3_Cost-AS95*(1+Slot3_Rate)^(Slot3_Age-D95))/IV95),0)</f>
        <v>0</v>
      </c>
      <c r="JB95" s="20" t="n">
        <f aca="false">IF(AND(HU95=1,AR95=1),MIN(IU95,IZ95),0)</f>
        <v>0</v>
      </c>
      <c r="JC95" s="20" t="n">
        <f aca="false">IU95-JB95</f>
        <v>0</v>
      </c>
      <c r="JD95" s="20" t="n">
        <f aca="false">IF(BB95=1,IF(ABS((1+AS_Wage)/(1+Slot4_Rate)-1)&lt;0.000000000001,(Slot4_Age-D95)*(1+Slot4_Rate)^(Slot4_Age-D95),(1+Slot4_Rate)^(Slot4_Age-D95)*(1-((1+AS_Wage)/(1+Slot4_Rate))^(Slot4_Age-D95))/(1-(1+AS_Wage)/(1+Slot4_Rate))),1)</f>
        <v>1</v>
      </c>
      <c r="JE95" s="20" t="n">
        <f aca="false">IF(AND(HU95=1,IE95&gt;0,Slot4_IsWG=1,BB95=1),MAX(0,(Slot4_Cost-BC95*(1+Slot4_Rate)^(Slot4_Age-D95))/JD95),0)</f>
        <v>0</v>
      </c>
      <c r="JF95" s="20" t="n">
        <f aca="false">IF(AND(HU95=1,IE95&gt;0,Slot4_IsWG=1,BB95=1),MIN(IE95,JE95),0)</f>
        <v>0</v>
      </c>
      <c r="JG95" s="20" t="n">
        <f aca="false">BC95+JF95</f>
        <v>0</v>
      </c>
      <c r="JH95" s="20" t="n">
        <f aca="false">IF(BB95=1,MAX(0,(Slot4_Cost-JG95*(1+Slot4_Rate)^(Slot4_Age-D95))/JD95),0)</f>
        <v>0</v>
      </c>
      <c r="JI95" s="20" t="n">
        <f aca="false">IF(BB95=1,MAX(0,(Slot4_Cost-BC95*(1+Slot4_Rate)^(Slot4_Age-D95))/JD95),0)</f>
        <v>0</v>
      </c>
      <c r="JJ95" s="20" t="n">
        <f aca="false">IF(AND(HU95=1,BB95=1),MIN(JC95,JH95),0)</f>
        <v>0</v>
      </c>
      <c r="JK95" s="20" t="n">
        <f aca="false">JC95-JJ95</f>
        <v>0</v>
      </c>
      <c r="JL95" s="20" t="n">
        <f aca="false">IF(BL95=1,IF(ABS((1+AS_Wage)/(1+Slot5_Rate)-1)&lt;0.000000000001,(Slot5_Age-D95)*(1+Slot5_Rate)^(Slot5_Age-D95),(1+Slot5_Rate)^(Slot5_Age-D95)*(1-((1+AS_Wage)/(1+Slot5_Rate))^(Slot5_Age-D95))/(1-(1+AS_Wage)/(1+Slot5_Rate))),1)</f>
        <v>1</v>
      </c>
      <c r="JM95" s="20" t="n">
        <f aca="false">IF(AND(HU95=1,IE95&gt;0,Slot5_IsWG=1,BL95=1),MAX(0,(Slot5_Cost-BM95*(1+Slot5_Rate)^(Slot5_Age-D95))/JL95),0)</f>
        <v>0</v>
      </c>
      <c r="JN95" s="20" t="n">
        <f aca="false">IF(AND(HU95=1,IE95&gt;0,Slot5_IsWG=1,BL95=1),MIN(IE95,JM95),0)</f>
        <v>0</v>
      </c>
      <c r="JO95" s="20" t="n">
        <f aca="false">BM95+JN95</f>
        <v>0</v>
      </c>
      <c r="JP95" s="20" t="n">
        <f aca="false">IF(BL95=1,MAX(0,(Slot5_Cost-JO95*(1+Slot5_Rate)^(Slot5_Age-D95))/JL95),0)</f>
        <v>0</v>
      </c>
      <c r="JQ95" s="20" t="n">
        <f aca="false">IF(BL95=1,MAX(0,(Slot5_Cost-BM95*(1+Slot5_Rate)^(Slot5_Age-D95))/JL95),0)</f>
        <v>0</v>
      </c>
      <c r="JR95" s="20" t="n">
        <f aca="false">IF(AND(HU95=1,BL95=1),MIN(JK95,JP95),0)</f>
        <v>0</v>
      </c>
      <c r="JS95" s="20" t="n">
        <f aca="false">JK95-JR95</f>
        <v>0</v>
      </c>
      <c r="JT95" s="20" t="n">
        <f aca="false">IF(BV95=1,IF(ABS((1+AS_Wage)/(1+Slot6_Rate)-1)&lt;0.000000000001,(Slot6_Age-D95)*(1+Slot6_Rate)^(Slot6_Age-D95),(1+Slot6_Rate)^(Slot6_Age-D95)*(1-((1+AS_Wage)/(1+Slot6_Rate))^(Slot6_Age-D95))/(1-(1+AS_Wage)/(1+Slot6_Rate))),1)</f>
        <v>1</v>
      </c>
      <c r="JU95" s="20" t="n">
        <f aca="false">IF(AND(HU95=1,IE95&gt;0,Slot6_IsWG=1,BV95=1),MAX(0,(Slot6_Cost-BW95*(1+Slot6_Rate)^(Slot6_Age-D95))/JT95),0)</f>
        <v>0</v>
      </c>
      <c r="JV95" s="20" t="n">
        <f aca="false">IF(AND(HU95=1,IE95&gt;0,Slot6_IsWG=1,BV95=1),MIN(IE95,JU95),0)</f>
        <v>0</v>
      </c>
      <c r="JW95" s="20" t="n">
        <f aca="false">BW95+JV95</f>
        <v>0</v>
      </c>
      <c r="JX95" s="20" t="n">
        <f aca="false">IF(BV95=1,MAX(0,(Slot6_Cost-JW95*(1+Slot6_Rate)^(Slot6_Age-D95))/JT95),0)</f>
        <v>0</v>
      </c>
      <c r="JY95" s="20" t="n">
        <f aca="false">IF(BV95=1,MAX(0,(Slot6_Cost-BW95*(1+Slot6_Rate)^(Slot6_Age-D95))/JT95),0)</f>
        <v>0</v>
      </c>
      <c r="JZ95" s="20" t="n">
        <f aca="false">IF(AND(HU95=1,BV95=1),MIN(JS95,JX95),0)</f>
        <v>0</v>
      </c>
      <c r="KA95" s="20" t="n">
        <f aca="false">JS95-JZ95</f>
        <v>0</v>
      </c>
      <c r="KB95" s="20" t="n">
        <f aca="false">IF(CF95=1,IF(ABS((1+AS_Wage)/(1+Slot7_Rate)-1)&lt;0.000000000001,(Slot7_Age-D95)*(1+Slot7_Rate)^(Slot7_Age-D95),(1+Slot7_Rate)^(Slot7_Age-D95)*(1-((1+AS_Wage)/(1+Slot7_Rate))^(Slot7_Age-D95))/(1-(1+AS_Wage)/(1+Slot7_Rate))),1)</f>
        <v>1</v>
      </c>
      <c r="KC95" s="20" t="n">
        <f aca="false">IF(AND(HU95=1,IE95&gt;0,Slot7_IsWG=1,CF95=1),MAX(0,(Slot7_Cost-CG95*(1+Slot7_Rate)^(Slot7_Age-D95))/KB95),0)</f>
        <v>0</v>
      </c>
      <c r="KD95" s="20" t="n">
        <f aca="false">IF(AND(HU95=1,IE95&gt;0,Slot7_IsWG=1,CF95=1),MIN(IE95,KC95),0)</f>
        <v>0</v>
      </c>
      <c r="KE95" s="20" t="n">
        <f aca="false">CG95+KD95</f>
        <v>0</v>
      </c>
      <c r="KF95" s="20" t="n">
        <f aca="false">IF(CF95=1,MAX(0,(Slot7_Cost-KE95*(1+Slot7_Rate)^(Slot7_Age-D95))/KB95),0)</f>
        <v>0</v>
      </c>
      <c r="KG95" s="20" t="n">
        <f aca="false">IF(CF95=1,MAX(0,(Slot7_Cost-CG95*(1+Slot7_Rate)^(Slot7_Age-D95))/KB95),0)</f>
        <v>0</v>
      </c>
      <c r="KH95" s="20" t="n">
        <f aca="false">IF(AND(HU95=1,CF95=1),MIN(KA95,KF95),0)</f>
        <v>0</v>
      </c>
      <c r="KI95" s="20" t="n">
        <f aca="false">KA95-KH95</f>
        <v>0</v>
      </c>
      <c r="KJ95" s="20" t="n">
        <f aca="false">IF(CP95=1,IF(ABS((1+AS_Wage)/(1+Slot8_Rate)-1)&lt;0.000000000001,(Slot8_Age-D95)*(1+Slot8_Rate)^(Slot8_Age-D95),(1+Slot8_Rate)^(Slot8_Age-D95)*(1-((1+AS_Wage)/(1+Slot8_Rate))^(Slot8_Age-D95))/(1-(1+AS_Wage)/(1+Slot8_Rate))),1)</f>
        <v>1</v>
      </c>
      <c r="KK95" s="20" t="n">
        <f aca="false">IF(AND(HU95=1,IE95&gt;0,Slot8_IsWG=1,CP95=1),MAX(0,(Slot8_Cost-CQ95*(1+Slot8_Rate)^(Slot8_Age-D95))/KJ95),0)</f>
        <v>0</v>
      </c>
      <c r="KL95" s="20" t="n">
        <f aca="false">IF(AND(HU95=1,IE95&gt;0,Slot8_IsWG=1,CP95=1),MIN(IE95,KK95),0)</f>
        <v>0</v>
      </c>
      <c r="KM95" s="20" t="n">
        <f aca="false">CQ95+KL95</f>
        <v>0</v>
      </c>
      <c r="KN95" s="20" t="n">
        <f aca="false">IF(CP95=1,MAX(0,(Slot8_Cost-KM95*(1+Slot8_Rate)^(Slot8_Age-D95))/KJ95),0)</f>
        <v>0</v>
      </c>
      <c r="KO95" s="20" t="n">
        <f aca="false">IF(CP95=1,MAX(0,(Slot8_Cost-CQ95*(1+Slot8_Rate)^(Slot8_Age-D95))/KJ95),0)</f>
        <v>0</v>
      </c>
      <c r="KP95" s="20" t="n">
        <f aca="false">IF(AND(HU95=1,CP95=1),MIN(KI95,KN95),0)</f>
        <v>0</v>
      </c>
      <c r="KQ95" s="20" t="n">
        <f aca="false">KI95-KP95</f>
        <v>0</v>
      </c>
      <c r="KR95" s="20" t="n">
        <f aca="false">IF(CZ95=1,IF(ABS((1+AS_Wage)/(1+Slot9_Rate)-1)&lt;0.000000000001,(Slot9_Age-D95)*(1+Slot9_Rate)^(Slot9_Age-D95),(1+Slot9_Rate)^(Slot9_Age-D95)*(1-((1+AS_Wage)/(1+Slot9_Rate))^(Slot9_Age-D95))/(1-(1+AS_Wage)/(1+Slot9_Rate))),1)</f>
        <v>1</v>
      </c>
      <c r="KS95" s="20" t="n">
        <f aca="false">IF(AND(HU95=1,IE95&gt;0,Slot9_IsWG=1,CZ95=1),MAX(0,(Slot9_Cost-DA95*(1+Slot9_Rate)^(Slot9_Age-D95))/KR95),0)</f>
        <v>0</v>
      </c>
      <c r="KT95" s="20" t="n">
        <f aca="false">IF(AND(HU95=1,IE95&gt;0,Slot9_IsWG=1,CZ95=1),MIN(IE95,KS95),0)</f>
        <v>0</v>
      </c>
      <c r="KU95" s="20" t="n">
        <f aca="false">DA95+KT95</f>
        <v>0</v>
      </c>
      <c r="KV95" s="20" t="n">
        <f aca="false">IF(CZ95=1,MAX(0,(Slot9_Cost-KU95*(1+Slot9_Rate)^(Slot9_Age-D95))/KR95),0)</f>
        <v>0</v>
      </c>
      <c r="KW95" s="20" t="n">
        <f aca="false">IF(CZ95=1,MAX(0,(Slot9_Cost-DA95*(1+Slot9_Rate)^(Slot9_Age-D95))/KR95),0)</f>
        <v>0</v>
      </c>
      <c r="KX95" s="20" t="n">
        <f aca="false">IF(AND(HU95=1,CZ95=1),MIN(KQ95,KV95),0)</f>
        <v>0</v>
      </c>
      <c r="KY95" s="20" t="n">
        <f aca="false">KQ95-KX95</f>
        <v>0</v>
      </c>
      <c r="KZ95" s="20" t="n">
        <f aca="false">IF(DJ95=1,IF(ABS((1+AS_Wage)/(1+Slot10_Rate)-1)&lt;0.000000000001,(Slot10_Age-D95)*(1+Slot10_Rate)^(Slot10_Age-D95),(1+Slot10_Rate)^(Slot10_Age-D95)*(1-((1+AS_Wage)/(1+Slot10_Rate))^(Slot10_Age-D95))/(1-(1+AS_Wage)/(1+Slot10_Rate))),1)</f>
        <v>1</v>
      </c>
      <c r="LA95" s="20" t="n">
        <f aca="false">IF(AND(HU95=1,IE95&gt;0,Slot10_IsWG=1,DJ95=1),MAX(0,(Slot10_Cost-DK95*(1+Slot10_Rate)^(Slot10_Age-D95))/KZ95),0)</f>
        <v>0</v>
      </c>
      <c r="LB95" s="20" t="n">
        <f aca="false">IF(AND(HU95=1,IE95&gt;0,Slot10_IsWG=1,DJ95=1),MIN(IE95,LA95),0)</f>
        <v>0</v>
      </c>
      <c r="LC95" s="20" t="n">
        <f aca="false">DK95+LB95</f>
        <v>0</v>
      </c>
      <c r="LD95" s="20" t="n">
        <f aca="false">IF(DJ95=1,MAX(0,(Slot10_Cost-LC95*(1+Slot10_Rate)^(Slot10_Age-D95))/KZ95),0)</f>
        <v>0</v>
      </c>
      <c r="LE95" s="20" t="n">
        <f aca="false">IF(DJ95=1,MAX(0,(Slot10_Cost-DK95*(1+Slot10_Rate)^(Slot10_Age-D95))/KZ95),0)</f>
        <v>0</v>
      </c>
      <c r="LF95" s="20" t="n">
        <f aca="false">IF(AND(HU95=1,DJ95=1),MIN(KY95,LD95),0)</f>
        <v>0</v>
      </c>
      <c r="LG95" s="20" t="n">
        <f aca="false">KY95-LF95</f>
        <v>0</v>
      </c>
      <c r="LH95" s="20" t="n">
        <f aca="false">IF(DT95=1,IF(ABS((1+AS_Wage)/(1+Slot11_Rate)-1)&lt;0.000000000001,(Slot11_Age-D95)*(1+Slot11_Rate)^(Slot11_Age-D95),(1+Slot11_Rate)^(Slot11_Age-D95)*(1-((1+AS_Wage)/(1+Slot11_Rate))^(Slot11_Age-D95))/(1-(1+AS_Wage)/(1+Slot11_Rate))),1)</f>
        <v>1</v>
      </c>
      <c r="LI95" s="20" t="n">
        <f aca="false">IF(AND(HU95=1,IE95&gt;0,Slot11_IsWG=1,DT95=1),MAX(0,(Slot11_Cost-DU95*(1+Slot11_Rate)^(Slot11_Age-D95))/LH95),0)</f>
        <v>0</v>
      </c>
      <c r="LJ95" s="20" t="n">
        <f aca="false">IF(AND(HU95=1,IE95&gt;0,Slot11_IsWG=1,DT95=1),MIN(IE95,LI95),0)</f>
        <v>0</v>
      </c>
      <c r="LK95" s="20" t="n">
        <f aca="false">DU95+LJ95</f>
        <v>0</v>
      </c>
      <c r="LL95" s="20" t="n">
        <f aca="false">IF(DT95=1,MAX(0,(Slot11_Cost-LK95*(1+Slot11_Rate)^(Slot11_Age-D95))/LH95),0)</f>
        <v>0</v>
      </c>
      <c r="LM95" s="20" t="n">
        <f aca="false">IF(DT95=1,MAX(0,(Slot11_Cost-DU95*(1+Slot11_Rate)^(Slot11_Age-D95))/LH95),0)</f>
        <v>0</v>
      </c>
      <c r="LN95" s="20" t="n">
        <f aca="false">IF(AND(HU95=1,DT95=1),MIN(LG95,LL95),0)</f>
        <v>0</v>
      </c>
      <c r="LO95" s="20" t="n">
        <f aca="false">LG95-LN95</f>
        <v>0</v>
      </c>
      <c r="LP95" s="20" t="n">
        <f aca="false">IF(ED95=1,IF(ABS((1+AS_Wage)/(1+Slot12_Rate)-1)&lt;0.000000000001,(Slot12_Age-D95)*(1+Slot12_Rate)^(Slot12_Age-D95),(1+Slot12_Rate)^(Slot12_Age-D95)*(1-((1+AS_Wage)/(1+Slot12_Rate))^(Slot12_Age-D95))/(1-(1+AS_Wage)/(1+Slot12_Rate))),1)</f>
        <v>1</v>
      </c>
      <c r="LQ95" s="20" t="n">
        <f aca="false">IF(AND(HU95=1,IE95&gt;0,Slot12_IsWG=1,ED95=1),MAX(0,(Slot12_Cost-EE95*(1+Slot12_Rate)^(Slot12_Age-D95))/LP95),0)</f>
        <v>0</v>
      </c>
      <c r="LR95" s="20" t="n">
        <f aca="false">IF(AND(HU95=1,IE95&gt;0,Slot12_IsWG=1,ED95=1),MIN(IE95,LQ95),0)</f>
        <v>0</v>
      </c>
      <c r="LS95" s="20" t="n">
        <f aca="false">EE95+LR95</f>
        <v>0</v>
      </c>
      <c r="LT95" s="20" t="n">
        <f aca="false">IF(ED95=1,MAX(0,(Slot12_Cost-LS95*(1+Slot12_Rate)^(Slot12_Age-D95))/LP95),0)</f>
        <v>0</v>
      </c>
      <c r="LU95" s="20" t="n">
        <f aca="false">IF(ED95=1,MAX(0,(Slot12_Cost-EE95*(1+Slot12_Rate)^(Slot12_Age-D95))/LP95),0)</f>
        <v>0</v>
      </c>
      <c r="LV95" s="20" t="n">
        <f aca="false">IF(AND(HU95=1,ED95=1),MIN(LO95,LT95),0)</f>
        <v>0</v>
      </c>
      <c r="LW95" s="20" t="n">
        <f aca="false">LO95-LV95</f>
        <v>0</v>
      </c>
      <c r="LX95" s="20" t="n">
        <f aca="false">IF(EN95=1,IF(ABS((1+AS_Wage)/(1+Slot13_Rate)-1)&lt;0.000000000001,(Slot13_Age-D95)*(1+Slot13_Rate)^(Slot13_Age-D95),(1+Slot13_Rate)^(Slot13_Age-D95)*(1-((1+AS_Wage)/(1+Slot13_Rate))^(Slot13_Age-D95))/(1-(1+AS_Wage)/(1+Slot13_Rate))),1)</f>
        <v>1</v>
      </c>
      <c r="LY95" s="20" t="n">
        <f aca="false">IF(AND(HU95=1,IE95&gt;0,Slot13_IsWG=1,EN95=1),MAX(0,(Slot13_Cost-EO95*(1+Slot13_Rate)^(Slot13_Age-D95))/LX95),0)</f>
        <v>0</v>
      </c>
      <c r="LZ95" s="20" t="n">
        <f aca="false">IF(AND(HU95=1,IE95&gt;0,Slot13_IsWG=1,EN95=1),MIN(IE95,LY95),0)</f>
        <v>0</v>
      </c>
      <c r="MA95" s="20" t="n">
        <f aca="false">EO95+LZ95</f>
        <v>0</v>
      </c>
      <c r="MB95" s="20" t="n">
        <f aca="false">IF(EN95=1,MAX(0,(Slot13_Cost-MA95*(1+Slot13_Rate)^(Slot13_Age-D95))/LX95),0)</f>
        <v>0</v>
      </c>
      <c r="MC95" s="20" t="n">
        <f aca="false">IF(EN95=1,MAX(0,(Slot13_Cost-EO95*(1+Slot13_Rate)^(Slot13_Age-D95))/LX95),0)</f>
        <v>0</v>
      </c>
      <c r="MD95" s="20" t="n">
        <f aca="false">IF(AND(HU95=1,EN95=1),MIN(LW95,MB95),0)</f>
        <v>0</v>
      </c>
      <c r="ME95" s="20" t="n">
        <f aca="false">LW95-MD95</f>
        <v>0</v>
      </c>
      <c r="MF95" s="20" t="n">
        <f aca="false">IF(EX95=1,IF(ABS((1+AS_Wage)/(1+Slot14_Rate)-1)&lt;0.000000000001,(Slot14_Age-D95)*(1+Slot14_Rate)^(Slot14_Age-D95),(1+Slot14_Rate)^(Slot14_Age-D95)*(1-((1+AS_Wage)/(1+Slot14_Rate))^(Slot14_Age-D95))/(1-(1+AS_Wage)/(1+Slot14_Rate))),1)</f>
        <v>1</v>
      </c>
      <c r="MG95" s="20" t="n">
        <f aca="false">IF(AND(HU95=1,IE95&gt;0,Slot14_IsWG=1,EX95=1),MAX(0,(Slot14_Cost-EY95*(1+Slot14_Rate)^(Slot14_Age-D95))/MF95),0)</f>
        <v>0</v>
      </c>
      <c r="MH95" s="20" t="n">
        <f aca="false">IF(AND(HU95=1,IE95&gt;0,Slot14_IsWG=1,EX95=1),MIN(IE95,MG95),0)</f>
        <v>0</v>
      </c>
      <c r="MI95" s="20" t="n">
        <f aca="false">EY95+MH95</f>
        <v>0</v>
      </c>
      <c r="MJ95" s="20" t="n">
        <f aca="false">IF(EX95=1,MAX(0,(Slot14_Cost-MI95*(1+Slot14_Rate)^(Slot14_Age-D95))/MF95),0)</f>
        <v>0</v>
      </c>
      <c r="MK95" s="20" t="n">
        <f aca="false">IF(EX95=1,MAX(0,(Slot14_Cost-EY95*(1+Slot14_Rate)^(Slot14_Age-D95))/MF95),0)</f>
        <v>0</v>
      </c>
      <c r="ML95" s="20" t="n">
        <f aca="false">IF(AND(HU95=1,EX95=1),MIN(ME95,MJ95),0)</f>
        <v>0</v>
      </c>
      <c r="MM95" s="20" t="n">
        <f aca="false">ME95-ML95</f>
        <v>0</v>
      </c>
      <c r="MN95" s="20" t="n">
        <f aca="false">IF(FH95=1,IF(ABS((1+AS_Wage)/(1+Slot15_Rate)-1)&lt;0.000000000001,(Slot15_Age-D95)*(1+Slot15_Rate)^(Slot15_Age-D95),(1+Slot15_Rate)^(Slot15_Age-D95)*(1-((1+AS_Wage)/(1+Slot15_Rate))^(Slot15_Age-D95))/(1-(1+AS_Wage)/(1+Slot15_Rate))),1)</f>
        <v>1</v>
      </c>
      <c r="MO95" s="20" t="n">
        <f aca="false">IF(AND(HU95=1,IE95&gt;0,Slot15_IsWG=1,FH95=1),MAX(0,(Slot15_Cost-FI95*(1+Slot15_Rate)^(Slot15_Age-D95))/MN95),0)</f>
        <v>0</v>
      </c>
      <c r="MP95" s="20" t="n">
        <f aca="false">IF(AND(HU95=1,IE95&gt;0,Slot15_IsWG=1,FH95=1),MIN(IE95,MO95),0)</f>
        <v>0</v>
      </c>
      <c r="MQ95" s="20" t="n">
        <f aca="false">FI95+MP95</f>
        <v>0</v>
      </c>
      <c r="MR95" s="20" t="n">
        <f aca="false">IF(FH95=1,MAX(0,(Slot15_Cost-MQ95*(1+Slot15_Rate)^(Slot15_Age-D95))/MN95),0)</f>
        <v>0</v>
      </c>
      <c r="MS95" s="20" t="n">
        <f aca="false">IF(FH95=1,MAX(0,(Slot15_Cost-FI95*(1+Slot15_Rate)^(Slot15_Age-D95))/MN95),0)</f>
        <v>0</v>
      </c>
      <c r="MT95" s="20" t="n">
        <f aca="false">IF(AND(HU95=1,FH95=1),MIN(MM95,MR95),0)</f>
        <v>0</v>
      </c>
      <c r="MU95" s="20" t="n">
        <f aca="false">MM95-MT95</f>
        <v>0</v>
      </c>
      <c r="MV95" s="20" t="n">
        <f aca="false">IF(FR95=1,IF(ABS((1+AS_Wage)/(1+Slot16_Rate)-1)&lt;0.000000000001,(Slot16_Age-D95)*(1+Slot16_Rate)^(Slot16_Age-D95),(1+Slot16_Rate)^(Slot16_Age-D95)*(1-((1+AS_Wage)/(1+Slot16_Rate))^(Slot16_Age-D95))/(1-(1+AS_Wage)/(1+Slot16_Rate))),1)</f>
        <v>1</v>
      </c>
      <c r="MW95" s="20" t="n">
        <f aca="false">IF(AND(HU95=1,IE95&gt;0,Slot16_IsWG=1,FR95=1),MAX(0,(Slot16_Cost-FS95*(1+Slot16_Rate)^(Slot16_Age-D95))/MV95),0)</f>
        <v>0</v>
      </c>
      <c r="MX95" s="20" t="n">
        <f aca="false">IF(AND(HU95=1,IE95&gt;0,Slot16_IsWG=1,FR95=1),MIN(IE95,MW95),0)</f>
        <v>0</v>
      </c>
      <c r="MY95" s="20" t="n">
        <f aca="false">FS95+MX95</f>
        <v>0</v>
      </c>
      <c r="MZ95" s="20" t="n">
        <f aca="false">IF(FR95=1,MAX(0,(Slot16_Cost-MY95*(1+Slot16_Rate)^(Slot16_Age-D95))/MV95),0)</f>
        <v>0</v>
      </c>
      <c r="NA95" s="20" t="n">
        <f aca="false">IF(FR95=1,MAX(0,(Slot16_Cost-FS95*(1+Slot16_Rate)^(Slot16_Age-D95))/MV95),0)</f>
        <v>0</v>
      </c>
      <c r="NB95" s="20" t="n">
        <f aca="false">IF(AND(HU95=1,FR95=1),MIN(MU95,MZ95),0)</f>
        <v>0</v>
      </c>
      <c r="NC95" s="20" t="n">
        <f aca="false">MU95-NB95</f>
        <v>0</v>
      </c>
      <c r="ND95" s="20" t="n">
        <f aca="false">IF(GB95=1,IF(ABS((1+AS_Wage)/(1+Slot17_Rate)-1)&lt;0.000000000001,(Slot17_Age-D95)*(1+Slot17_Rate)^(Slot17_Age-D95),(1+Slot17_Rate)^(Slot17_Age-D95)*(1-((1+AS_Wage)/(1+Slot17_Rate))^(Slot17_Age-D95))/(1-(1+AS_Wage)/(1+Slot17_Rate))),1)</f>
        <v>1</v>
      </c>
      <c r="NE95" s="20" t="n">
        <f aca="false">IF(AND(HU95=1,IE95&gt;0,Slot17_IsWG=1,GB95=1),MAX(0,(Slot17_Cost-GC95*(1+Slot17_Rate)^(Slot17_Age-D95))/ND95),0)</f>
        <v>0</v>
      </c>
      <c r="NF95" s="20" t="n">
        <f aca="false">IF(AND(HU95=1,IE95&gt;0,Slot17_IsWG=1,GB95=1),MIN(IE95,NE95),0)</f>
        <v>0</v>
      </c>
      <c r="NG95" s="20" t="n">
        <f aca="false">GC95+NF95</f>
        <v>0</v>
      </c>
      <c r="NH95" s="20" t="n">
        <f aca="false">IF(GB95=1,MAX(0,(Slot17_Cost-NG95*(1+Slot17_Rate)^(Slot17_Age-D95))/ND95),0)</f>
        <v>0</v>
      </c>
      <c r="NI95" s="20" t="n">
        <f aca="false">IF(GB95=1,MAX(0,(Slot17_Cost-GC95*(1+Slot17_Rate)^(Slot17_Age-D95))/ND95),0)</f>
        <v>0</v>
      </c>
      <c r="NJ95" s="20" t="n">
        <f aca="false">IF(AND(HU95=1,GB95=1),MIN(NC95,NH95),0)</f>
        <v>0</v>
      </c>
      <c r="NK95" s="20" t="n">
        <f aca="false">NC95-NJ95</f>
        <v>0</v>
      </c>
      <c r="NL95" s="20" t="n">
        <f aca="false">IF(GL95=1,IF(ABS((1+AS_Wage)/(1+Slot18_Rate)-1)&lt;0.000000000001,(Slot18_Age-D95)*(1+Slot18_Rate)^(Slot18_Age-D95),(1+Slot18_Rate)^(Slot18_Age-D95)*(1-((1+AS_Wage)/(1+Slot18_Rate))^(Slot18_Age-D95))/(1-(1+AS_Wage)/(1+Slot18_Rate))),1)</f>
        <v>1</v>
      </c>
      <c r="NM95" s="20" t="n">
        <f aca="false">IF(AND(HU95=1,IE95&gt;0,Slot18_IsWG=1,GL95=1),MAX(0,(Slot18_Cost-GM95*(1+Slot18_Rate)^(Slot18_Age-D95))/NL95),0)</f>
        <v>0</v>
      </c>
      <c r="NN95" s="20" t="n">
        <f aca="false">IF(AND(HU95=1,IE95&gt;0,Slot18_IsWG=1,GL95=1),MIN(IE95,NM95),0)</f>
        <v>0</v>
      </c>
      <c r="NO95" s="20" t="n">
        <f aca="false">GM95+NN95</f>
        <v>0</v>
      </c>
      <c r="NP95" s="20" t="n">
        <f aca="false">IF(GL95=1,MAX(0,(Slot18_Cost-NO95*(1+Slot18_Rate)^(Slot18_Age-D95))/NL95),0)</f>
        <v>0</v>
      </c>
      <c r="NQ95" s="20" t="n">
        <f aca="false">IF(GL95=1,MAX(0,(Slot18_Cost-GM95*(1+Slot18_Rate)^(Slot18_Age-D95))/NL95),0)</f>
        <v>0</v>
      </c>
      <c r="NR95" s="20" t="n">
        <f aca="false">IF(AND(HU95=1,GL95=1),MIN(NK95,NP95),0)</f>
        <v>0</v>
      </c>
      <c r="NS95" s="20" t="n">
        <f aca="false">NK95-NR95</f>
        <v>0</v>
      </c>
      <c r="NT95" s="20" t="n">
        <f aca="false">IF(GV95=1,IF(ABS((1+AS_Wage)/(1+Slot19_Rate)-1)&lt;0.000000000001,(Slot19_Age-D95)*(1+Slot19_Rate)^(Slot19_Age-D95),(1+Slot19_Rate)^(Slot19_Age-D95)*(1-((1+AS_Wage)/(1+Slot19_Rate))^(Slot19_Age-D95))/(1-(1+AS_Wage)/(1+Slot19_Rate))),1)</f>
        <v>1</v>
      </c>
      <c r="NU95" s="20" t="n">
        <f aca="false">IF(AND(HU95=1,IE95&gt;0,Slot19_IsWG=1,GV95=1),MAX(0,(Slot19_Cost-GW95*(1+Slot19_Rate)^(Slot19_Age-D95))/NT95),0)</f>
        <v>0</v>
      </c>
      <c r="NV95" s="20" t="n">
        <f aca="false">IF(AND(HU95=1,IE95&gt;0,Slot19_IsWG=1,GV95=1),MIN(IE95,NU95),0)</f>
        <v>0</v>
      </c>
      <c r="NW95" s="20" t="n">
        <f aca="false">GW95+NV95</f>
        <v>0</v>
      </c>
      <c r="NX95" s="20" t="n">
        <f aca="false">IF(GV95=1,MAX(0,(Slot19_Cost-NW95*(1+Slot19_Rate)^(Slot19_Age-D95))/NT95),0)</f>
        <v>0</v>
      </c>
      <c r="NY95" s="20" t="n">
        <f aca="false">IF(GV95=1,MAX(0,(Slot19_Cost-GW95*(1+Slot19_Rate)^(Slot19_Age-D95))/NT95),0)</f>
        <v>0</v>
      </c>
      <c r="NZ95" s="20" t="n">
        <f aca="false">IF(AND(HU95=1,GV95=1),MIN(NS95,NX95),0)</f>
        <v>0</v>
      </c>
      <c r="OA95" s="20" t="n">
        <f aca="false">NS95-NZ95</f>
        <v>0</v>
      </c>
      <c r="OB95" s="20" t="n">
        <f aca="false">IF(HF95=1,IF(ABS((1+AS_Wage)/(1+Slot20_Rate)-1)&lt;0.000000000001,(Slot20_Age-D95)*(1+Slot20_Rate)^(Slot20_Age-D95),(1+Slot20_Rate)^(Slot20_Age-D95)*(1-((1+AS_Wage)/(1+Slot20_Rate))^(Slot20_Age-D95))/(1-(1+AS_Wage)/(1+Slot20_Rate))),1)</f>
        <v>1</v>
      </c>
      <c r="OC95" s="20" t="n">
        <f aca="false">IF(AND(HU95=1,IE95&gt;0,Slot20_IsWG=1,HF95=1),MAX(0,(Slot20_Cost-HG95*(1+Slot20_Rate)^(Slot20_Age-D95))/OB95),0)</f>
        <v>0</v>
      </c>
      <c r="OD95" s="20" t="n">
        <f aca="false">IF(AND(HU95=1,IE95&gt;0,Slot20_IsWG=1,HF95=1),MIN(IE95,OC95),0)</f>
        <v>0</v>
      </c>
      <c r="OE95" s="20" t="n">
        <f aca="false">HG95+OD95</f>
        <v>0</v>
      </c>
      <c r="OF95" s="20" t="n">
        <f aca="false">IF(HF95=1,MAX(0,(Slot20_Cost-OE95*(1+Slot20_Rate)^(Slot20_Age-D95))/OB95),0)</f>
        <v>0</v>
      </c>
      <c r="OG95" s="20" t="n">
        <f aca="false">IF(HF95=1,MAX(0,(Slot20_Cost-HG95*(1+Slot20_Rate)^(Slot20_Age-D95))/OB95),0)</f>
        <v>0</v>
      </c>
      <c r="OH95" s="20" t="n">
        <f aca="false">IF(AND(HU95=1,HF95=1),MIN(OA95,OF95),0)</f>
        <v>0</v>
      </c>
      <c r="OI95" s="20" t="n">
        <f aca="false">OA95-OH95</f>
        <v>0</v>
      </c>
      <c r="OJ95" s="20" t="n">
        <f aca="false">IE95-(IH95+IP95+IX95+JF95+JN95+JV95+KD95+KL95+KT95+LB95+LJ95+LR95+LZ95+MH95+MP95+MX95+NF95+NN95+NV95+OD95)</f>
        <v>0</v>
      </c>
      <c r="OK95" s="20" t="n">
        <f aca="false">IF(HU95=1,HS95-ID95-IE95,0)</f>
        <v>0</v>
      </c>
      <c r="OL95" s="20" t="n">
        <f aca="false">IF(HU95=0,-HS95,0)</f>
        <v>107893.598717217</v>
      </c>
      <c r="OM95" s="20" t="n">
        <f aca="false">MIN(OL95,HK95)</f>
        <v>0</v>
      </c>
      <c r="ON95" s="20" t="n">
        <f aca="false">OL95-OM95</f>
        <v>107893.598717217</v>
      </c>
      <c r="OO95" s="20" t="n">
        <f aca="false">MIN(ON95,HL95)</f>
        <v>0</v>
      </c>
      <c r="OP95" s="20" t="n">
        <f aca="false">ON95-OO95</f>
        <v>107893.598717217</v>
      </c>
      <c r="OQ95" s="20" t="n">
        <f aca="false">IF(AND(HU95=0,HF95=1,OP95&gt;0),MIN(OP95,HG95),0)</f>
        <v>0</v>
      </c>
      <c r="OR95" s="20" t="n">
        <f aca="false">OP95-OQ95</f>
        <v>107893.598717217</v>
      </c>
      <c r="OS95" s="20" t="n">
        <f aca="false">IF(AND(HU95=0,GV95=1,OR95&gt;0),MIN(OR95,GW95),0)</f>
        <v>0</v>
      </c>
      <c r="OT95" s="20" t="n">
        <f aca="false">OR95-OS95</f>
        <v>107893.598717217</v>
      </c>
      <c r="OU95" s="20" t="n">
        <f aca="false">IF(AND(HU95=0,GL95=1,OT95&gt;0),MIN(OT95,GM95),0)</f>
        <v>0</v>
      </c>
      <c r="OV95" s="20" t="n">
        <f aca="false">OT95-OU95</f>
        <v>107893.598717217</v>
      </c>
      <c r="OW95" s="20" t="n">
        <f aca="false">IF(AND(HU95=0,GB95=1,OV95&gt;0),MIN(OV95,GC95),0)</f>
        <v>0</v>
      </c>
      <c r="OX95" s="20" t="n">
        <f aca="false">OV95-OW95</f>
        <v>107893.598717217</v>
      </c>
      <c r="OY95" s="20" t="n">
        <f aca="false">IF(AND(HU95=0,FR95=1,OX95&gt;0),MIN(OX95,FS95),0)</f>
        <v>0</v>
      </c>
      <c r="OZ95" s="20" t="n">
        <f aca="false">OX95-OY95</f>
        <v>107893.598717217</v>
      </c>
      <c r="PA95" s="20" t="n">
        <f aca="false">IF(AND(HU95=0,FH95=1,OZ95&gt;0),MIN(OZ95,FI95),0)</f>
        <v>0</v>
      </c>
      <c r="PB95" s="20" t="n">
        <f aca="false">OZ95-PA95</f>
        <v>107893.598717217</v>
      </c>
      <c r="PC95" s="20" t="n">
        <f aca="false">IF(AND(HU95=0,EX95=1,PB95&gt;0),MIN(PB95,EY95),0)</f>
        <v>0</v>
      </c>
      <c r="PD95" s="20" t="n">
        <f aca="false">PB95-PC95</f>
        <v>107893.598717217</v>
      </c>
      <c r="PE95" s="20" t="n">
        <f aca="false">IF(AND(HU95=0,EN95=1,PD95&gt;0),MIN(PD95,EO95),0)</f>
        <v>0</v>
      </c>
      <c r="PF95" s="20" t="n">
        <f aca="false">PD95-PE95</f>
        <v>107893.598717217</v>
      </c>
      <c r="PG95" s="20" t="n">
        <f aca="false">IF(AND(HU95=0,ED95=1,PF95&gt;0),MIN(PF95,EE95),0)</f>
        <v>0</v>
      </c>
      <c r="PH95" s="20" t="n">
        <f aca="false">PF95-PG95</f>
        <v>107893.598717217</v>
      </c>
      <c r="PI95" s="20" t="n">
        <f aca="false">IF(AND(HU95=0,DT95=1,PH95&gt;0),MIN(PH95,DU95),0)</f>
        <v>0</v>
      </c>
      <c r="PJ95" s="20" t="n">
        <f aca="false">PH95-PI95</f>
        <v>107893.598717217</v>
      </c>
      <c r="PK95" s="20" t="n">
        <f aca="false">IF(AND(HU95=0,DJ95=1,PJ95&gt;0),MIN(PJ95,DK95),0)</f>
        <v>0</v>
      </c>
      <c r="PL95" s="20" t="n">
        <f aca="false">PJ95-PK95</f>
        <v>107893.598717217</v>
      </c>
      <c r="PM95" s="20" t="n">
        <f aca="false">IF(AND(HU95=0,CZ95=1,PL95&gt;0),MIN(PL95,DA95),0)</f>
        <v>0</v>
      </c>
      <c r="PN95" s="20" t="n">
        <f aca="false">PL95-PM95</f>
        <v>107893.598717217</v>
      </c>
      <c r="PO95" s="20" t="n">
        <f aca="false">IF(AND(HU95=0,CP95=1,PN95&gt;0),MIN(PN95,CQ95),0)</f>
        <v>0</v>
      </c>
      <c r="PP95" s="20" t="n">
        <f aca="false">PN95-PO95</f>
        <v>107893.598717217</v>
      </c>
      <c r="PQ95" s="20" t="n">
        <f aca="false">IF(AND(HU95=0,CF95=1,PP95&gt;0),MIN(PP95,CG95),0)</f>
        <v>0</v>
      </c>
      <c r="PR95" s="20" t="n">
        <f aca="false">PP95-PQ95</f>
        <v>107893.598717217</v>
      </c>
      <c r="PS95" s="20" t="n">
        <f aca="false">IF(AND(HU95=0,BV95=1,PR95&gt;0),MIN(PR95,BW95),0)</f>
        <v>0</v>
      </c>
      <c r="PT95" s="20" t="n">
        <f aca="false">PR95-PS95</f>
        <v>107893.598717217</v>
      </c>
      <c r="PU95" s="20" t="n">
        <f aca="false">IF(AND(HU95=0,BL95=1,PT95&gt;0),MIN(PT95,BM95),0)</f>
        <v>0</v>
      </c>
      <c r="PV95" s="20" t="n">
        <f aca="false">PT95-PU95</f>
        <v>107893.598717217</v>
      </c>
      <c r="PW95" s="20" t="n">
        <f aca="false">IF(AND(HU95=0,BB95=1,PV95&gt;0),MIN(PV95,BC95),0)</f>
        <v>0</v>
      </c>
      <c r="PX95" s="20" t="n">
        <f aca="false">PV95-PW95</f>
        <v>107893.598717217</v>
      </c>
      <c r="PY95" s="20" t="n">
        <f aca="false">IF(AND(HU95=0,AR95=1,PX95&gt;0),MIN(PX95,AS95),0)</f>
        <v>0</v>
      </c>
      <c r="PZ95" s="20" t="n">
        <f aca="false">PX95-PY95</f>
        <v>107893.598717217</v>
      </c>
      <c r="QA95" s="20" t="n">
        <f aca="false">IF(AND(HU95=0,AH95=1,PZ95&gt;0),MIN(PZ95,AI95),0)</f>
        <v>0</v>
      </c>
      <c r="QB95" s="20" t="n">
        <f aca="false">PZ95-QA95</f>
        <v>107893.598717217</v>
      </c>
      <c r="QC95" s="20" t="n">
        <f aca="false">IF(AND(HU95=0,W95=1,QB95&gt;0),MIN(QB95,X95),0)</f>
        <v>0</v>
      </c>
      <c r="QD95" s="20" t="n">
        <f aca="false">QB95-QC95</f>
        <v>107893.598717217</v>
      </c>
      <c r="QE95" s="20" t="n">
        <f aca="false">IF(HU95=0,QD95,0)</f>
        <v>107893.598717217</v>
      </c>
      <c r="QF95" s="20" t="n">
        <f aca="false">OM95+OO95+QC95+QA95+PY95+PW95+PU95+PS95+PQ95+PO95+PM95+PK95+PI95+PG95+PE95+PC95+PA95+OY95+OW95+OU95+OS95+OQ95</f>
        <v>0</v>
      </c>
      <c r="QG95" s="20" t="n">
        <f aca="false">IF(HU95=1,HK95+OJ95+OI95+IF(G95=1,0,OK95),HK95-OM95)</f>
        <v>0</v>
      </c>
      <c r="QH95" s="20" t="n">
        <f aca="false">HL95-OO95</f>
        <v>0</v>
      </c>
      <c r="QI95" s="20" t="n">
        <f aca="false">IF(HU95=1,IF(G95=1,ID95+IE95,HS95),0)</f>
        <v>0</v>
      </c>
      <c r="QJ95" s="20" t="n">
        <f aca="false">IF(HU95=1,IF(G95=1,HS95-ID95-IE95,0),0)</f>
        <v>0</v>
      </c>
      <c r="QK95" s="57" t="n">
        <f aca="false">'Plan holdings'!BM95</f>
        <v>0</v>
      </c>
      <c r="QL95" s="20" t="n">
        <f aca="false">QH95*(1+AS_Cash)</f>
        <v>0</v>
      </c>
      <c r="QM95" s="20" t="n">
        <f aca="false">IF(W95=1,IF(HU95=1,II95+IL95,X95-QC95)*(1+Slot1_Rate),0)</f>
        <v>0</v>
      </c>
      <c r="QN95" s="20" t="n">
        <f aca="false">IF(AND(HU95=1,W95=1),(IH95+IL95)/F95,0)</f>
        <v>0</v>
      </c>
      <c r="QO95" s="20" t="n">
        <f aca="false">IF(B95=0,IH95+IL95,0)</f>
        <v>0</v>
      </c>
      <c r="QP95" s="20" t="n">
        <f aca="false">IF(B95=0,IF(HU95=1,IJ95,IK95),0)</f>
        <v>0</v>
      </c>
      <c r="QQ95" s="20" t="n">
        <f aca="false">IF(AH95=1,IF(HU95=1,IQ95+IT95,AI95-QA95)*(1+Slot2_Rate),0)</f>
        <v>0</v>
      </c>
      <c r="QR95" s="20" t="n">
        <f aca="false">IF(AND(HU95=1,AH95=1),(IP95+IT95)/F95,0)</f>
        <v>0</v>
      </c>
      <c r="QS95" s="20" t="n">
        <f aca="false">IF(B95=0,IP95+IT95,0)</f>
        <v>0</v>
      </c>
      <c r="QT95" s="20" t="n">
        <f aca="false">IF(B95=0,IF(HU95=1,IR95,IS95),0)</f>
        <v>0</v>
      </c>
      <c r="QU95" s="20" t="n">
        <f aca="false">IF(AR95=1,IF(HU95=1,IY95+JB95,AS95-PY95)*(1+Slot3_Rate),0)</f>
        <v>0</v>
      </c>
      <c r="QV95" s="20" t="n">
        <f aca="false">IF(AND(HU95=1,AR95=1),(IX95+JB95)/F95,0)</f>
        <v>0</v>
      </c>
      <c r="QW95" s="20" t="n">
        <f aca="false">IF(B95=0,IX95+JB95,0)</f>
        <v>0</v>
      </c>
      <c r="QX95" s="20" t="n">
        <f aca="false">IF(B95=0,IF(HU95=1,IZ95,JA95),0)</f>
        <v>0</v>
      </c>
      <c r="QY95" s="20" t="n">
        <f aca="false">IF(BB95=1,IF(HU95=1,JG95+JJ95,BC95-PW95)*(1+Slot4_Rate),0)</f>
        <v>0</v>
      </c>
      <c r="QZ95" s="20" t="n">
        <f aca="false">IF(AND(HU95=1,BB95=1),(JF95+JJ95)/F95,0)</f>
        <v>0</v>
      </c>
      <c r="RA95" s="20" t="n">
        <f aca="false">IF(B95=0,JF95+JJ95,0)</f>
        <v>0</v>
      </c>
      <c r="RB95" s="20" t="n">
        <f aca="false">IF(B95=0,IF(HU95=1,JH95,JI95),0)</f>
        <v>0</v>
      </c>
      <c r="RC95" s="20" t="n">
        <f aca="false">IF(BL95=1,IF(HU95=1,JO95+JR95,BM95-PU95)*(1+Slot5_Rate),0)</f>
        <v>0</v>
      </c>
      <c r="RD95" s="20" t="n">
        <f aca="false">IF(AND(HU95=1,BL95=1),(JN95+JR95)/F95,0)</f>
        <v>0</v>
      </c>
      <c r="RE95" s="20" t="n">
        <f aca="false">IF(B95=0,JN95+JR95,0)</f>
        <v>0</v>
      </c>
      <c r="RF95" s="20" t="n">
        <f aca="false">IF(B95=0,IF(HU95=1,JP95,JQ95),0)</f>
        <v>0</v>
      </c>
      <c r="RG95" s="20" t="n">
        <f aca="false">IF(BV95=1,IF(HU95=1,JW95+JZ95,BW95-PS95)*(1+Slot6_Rate),0)</f>
        <v>0</v>
      </c>
      <c r="RH95" s="20" t="n">
        <f aca="false">IF(AND(HU95=1,BV95=1),(JV95+JZ95)/F95,0)</f>
        <v>0</v>
      </c>
      <c r="RI95" s="20" t="n">
        <f aca="false">IF(B95=0,JV95+JZ95,0)</f>
        <v>0</v>
      </c>
      <c r="RJ95" s="20" t="n">
        <f aca="false">IF(B95=0,IF(HU95=1,JX95,JY95),0)</f>
        <v>0</v>
      </c>
      <c r="RK95" s="20" t="n">
        <f aca="false">IF(CF95=1,IF(HU95=1,KE95+KH95,CG95-PQ95)*(1+Slot7_Rate),0)</f>
        <v>0</v>
      </c>
      <c r="RL95" s="20" t="n">
        <f aca="false">IF(AND(HU95=1,CF95=1),(KD95+KH95)/F95,0)</f>
        <v>0</v>
      </c>
      <c r="RM95" s="20" t="n">
        <f aca="false">IF(B95=0,KD95+KH95,0)</f>
        <v>0</v>
      </c>
      <c r="RN95" s="20" t="n">
        <f aca="false">IF(B95=0,IF(HU95=1,KF95,KG95),0)</f>
        <v>0</v>
      </c>
      <c r="RO95" s="20" t="n">
        <f aca="false">IF(CP95=1,IF(HU95=1,KM95+KP95,CQ95-PO95)*(1+Slot8_Rate),0)</f>
        <v>0</v>
      </c>
      <c r="RP95" s="20" t="n">
        <f aca="false">IF(AND(HU95=1,CP95=1),(KL95+KP95)/F95,0)</f>
        <v>0</v>
      </c>
      <c r="RQ95" s="20" t="n">
        <f aca="false">IF(B95=0,KL95+KP95,0)</f>
        <v>0</v>
      </c>
      <c r="RR95" s="20" t="n">
        <f aca="false">IF(B95=0,IF(HU95=1,KN95,KO95),0)</f>
        <v>0</v>
      </c>
      <c r="RS95" s="20" t="n">
        <f aca="false">IF(CZ95=1,IF(HU95=1,KU95+KX95,DA95-PM95)*(1+Slot9_Rate),0)</f>
        <v>0</v>
      </c>
      <c r="RT95" s="20" t="n">
        <f aca="false">IF(AND(HU95=1,CZ95=1),(KT95+KX95)/F95,0)</f>
        <v>0</v>
      </c>
      <c r="RU95" s="20" t="n">
        <f aca="false">IF(B95=0,KT95+KX95,0)</f>
        <v>0</v>
      </c>
      <c r="RV95" s="20" t="n">
        <f aca="false">IF(B95=0,IF(HU95=1,KV95,KW95),0)</f>
        <v>0</v>
      </c>
      <c r="RW95" s="20" t="n">
        <f aca="false">IF(DJ95=1,IF(HU95=1,LC95+LF95,DK95-PK95)*(1+Slot10_Rate),0)</f>
        <v>0</v>
      </c>
      <c r="RX95" s="20" t="n">
        <f aca="false">IF(AND(HU95=1,DJ95=1),(LB95+LF95)/F95,0)</f>
        <v>0</v>
      </c>
      <c r="RY95" s="20" t="n">
        <f aca="false">IF(B95=0,LB95+LF95,0)</f>
        <v>0</v>
      </c>
      <c r="RZ95" s="20" t="n">
        <f aca="false">IF(B95=0,IF(HU95=1,LD95,LE95),0)</f>
        <v>0</v>
      </c>
      <c r="SA95" s="20" t="n">
        <f aca="false">IF(DT95=1,IF(HU95=1,LK95+LN95,DU95-PI95)*(1+Slot11_Rate),0)</f>
        <v>0</v>
      </c>
      <c r="SB95" s="20" t="n">
        <f aca="false">IF(AND(HU95=1,DT95=1),(LJ95+LN95)/F95,0)</f>
        <v>0</v>
      </c>
      <c r="SC95" s="20" t="n">
        <f aca="false">IF(B95=0,LJ95+LN95,0)</f>
        <v>0</v>
      </c>
      <c r="SD95" s="20" t="n">
        <f aca="false">IF(B95=0,IF(HU95=1,LL95,LM95),0)</f>
        <v>0</v>
      </c>
      <c r="SE95" s="20" t="n">
        <f aca="false">IF(ED95=1,IF(HU95=1,LS95+LV95,EE95-PG95)*(1+Slot12_Rate),0)</f>
        <v>0</v>
      </c>
      <c r="SF95" s="20" t="n">
        <f aca="false">IF(AND(HU95=1,ED95=1),(LR95+LV95)/F95,0)</f>
        <v>0</v>
      </c>
      <c r="SG95" s="20" t="n">
        <f aca="false">IF(B95=0,LR95+LV95,0)</f>
        <v>0</v>
      </c>
      <c r="SH95" s="20" t="n">
        <f aca="false">IF(B95=0,IF(HU95=1,LT95,LU95),0)</f>
        <v>0</v>
      </c>
      <c r="SI95" s="20" t="n">
        <f aca="false">IF(EN95=1,IF(HU95=1,MA95+MD95,EO95-PE95)*(1+Slot13_Rate),0)</f>
        <v>0</v>
      </c>
      <c r="SJ95" s="20" t="n">
        <f aca="false">IF(AND(HU95=1,EN95=1),(LZ95+MD95)/F95,0)</f>
        <v>0</v>
      </c>
      <c r="SK95" s="20" t="n">
        <f aca="false">IF(B95=0,LZ95+MD95,0)</f>
        <v>0</v>
      </c>
      <c r="SL95" s="20" t="n">
        <f aca="false">IF(B95=0,IF(HU95=1,MB95,MC95),0)</f>
        <v>0</v>
      </c>
      <c r="SM95" s="20" t="n">
        <f aca="false">IF(EX95=1,IF(HU95=1,MI95+ML95,EY95-PC95)*(1+Slot14_Rate),0)</f>
        <v>0</v>
      </c>
      <c r="SN95" s="20" t="n">
        <f aca="false">IF(AND(HU95=1,EX95=1),(MH95+ML95)/F95,0)</f>
        <v>0</v>
      </c>
      <c r="SO95" s="20" t="n">
        <f aca="false">IF(B95=0,MH95+ML95,0)</f>
        <v>0</v>
      </c>
      <c r="SP95" s="20" t="n">
        <f aca="false">IF(B95=0,IF(HU95=1,MJ95,MK95),0)</f>
        <v>0</v>
      </c>
      <c r="SQ95" s="20" t="n">
        <f aca="false">IF(FH95=1,IF(HU95=1,MQ95+MT95,FI95-PA95)*(1+Slot15_Rate),0)</f>
        <v>0</v>
      </c>
      <c r="SR95" s="20" t="n">
        <f aca="false">IF(AND(HU95=1,FH95=1),(MP95+MT95)/F95,0)</f>
        <v>0</v>
      </c>
      <c r="SS95" s="20" t="n">
        <f aca="false">IF(B95=0,MP95+MT95,0)</f>
        <v>0</v>
      </c>
      <c r="ST95" s="20" t="n">
        <f aca="false">IF(B95=0,IF(HU95=1,MR95,MS95),0)</f>
        <v>0</v>
      </c>
      <c r="SU95" s="20" t="n">
        <f aca="false">IF(FR95=1,IF(HU95=1,MY95+NB95,FS95-OY95)*(1+Slot16_Rate),0)</f>
        <v>0</v>
      </c>
      <c r="SV95" s="20" t="n">
        <f aca="false">IF(AND(HU95=1,FR95=1),(MX95+NB95)/F95,0)</f>
        <v>0</v>
      </c>
      <c r="SW95" s="20" t="n">
        <f aca="false">IF(B95=0,MX95+NB95,0)</f>
        <v>0</v>
      </c>
      <c r="SX95" s="20" t="n">
        <f aca="false">IF(B95=0,IF(HU95=1,MZ95,NA95),0)</f>
        <v>0</v>
      </c>
      <c r="SY95" s="20" t="n">
        <f aca="false">IF(GB95=1,IF(HU95=1,NG95+NJ95,GC95-OW95)*(1+Slot17_Rate),0)</f>
        <v>0</v>
      </c>
      <c r="SZ95" s="20" t="n">
        <f aca="false">IF(AND(HU95=1,GB95=1),(NF95+NJ95)/F95,0)</f>
        <v>0</v>
      </c>
      <c r="TA95" s="20" t="n">
        <f aca="false">IF(B95=0,NF95+NJ95,0)</f>
        <v>0</v>
      </c>
      <c r="TB95" s="20" t="n">
        <f aca="false">IF(B95=0,IF(HU95=1,NH95,NI95),0)</f>
        <v>0</v>
      </c>
      <c r="TC95" s="20" t="n">
        <f aca="false">IF(GL95=1,IF(HU95=1,NO95+NR95,GM95-OU95)*(1+Slot18_Rate),0)</f>
        <v>0</v>
      </c>
      <c r="TD95" s="20" t="n">
        <f aca="false">IF(AND(HU95=1,GL95=1),(NN95+NR95)/F95,0)</f>
        <v>0</v>
      </c>
      <c r="TE95" s="20" t="n">
        <f aca="false">IF(B95=0,NN95+NR95,0)</f>
        <v>0</v>
      </c>
      <c r="TF95" s="20" t="n">
        <f aca="false">IF(B95=0,IF(HU95=1,NP95,NQ95),0)</f>
        <v>0</v>
      </c>
      <c r="TG95" s="20" t="n">
        <f aca="false">IF(GV95=1,IF(HU95=1,NW95+NZ95,GW95-OS95)*(1+Slot19_Rate),0)</f>
        <v>0</v>
      </c>
      <c r="TH95" s="20" t="n">
        <f aca="false">IF(AND(HU95=1,GV95=1),(NV95+NZ95)/F95,0)</f>
        <v>0</v>
      </c>
      <c r="TI95" s="20" t="n">
        <f aca="false">IF(B95=0,NV95+NZ95,0)</f>
        <v>0</v>
      </c>
      <c r="TJ95" s="20" t="n">
        <f aca="false">IF(B95=0,IF(HU95=1,NX95,NY95),0)</f>
        <v>0</v>
      </c>
      <c r="TK95" s="20" t="n">
        <f aca="false">IF(HF95=1,IF(HU95=1,OE95+OH95,HG95-OQ95)*(1+Slot20_Rate),0)</f>
        <v>0</v>
      </c>
      <c r="TL95" s="20" t="n">
        <f aca="false">IF(AND(HU95=1,HF95=1),(OD95+OH95)/F95,0)</f>
        <v>0</v>
      </c>
      <c r="TM95" s="20" t="n">
        <f aca="false">IF(B95=0,OD95+OH95,0)</f>
        <v>0</v>
      </c>
      <c r="TN95" s="20" t="n">
        <f aca="false">IF(B95=0,IF(HU95=1,OF95,OG95),0)</f>
        <v>0</v>
      </c>
      <c r="TO95" s="20" t="n">
        <f aca="false">QK95+QL95+QM95+QQ95+QU95+QY95+RC95+RG95+RK95+RO95+RS95+RW95+SA95+SE95+SI95+SM95+SQ95+SU95+SY95+TC95+TG95+TK95</f>
        <v>0</v>
      </c>
      <c r="TP95" s="20" t="n">
        <f aca="false">QE95+HP95</f>
        <v>107893.598717217</v>
      </c>
      <c r="TQ95" s="20" t="n">
        <f aca="false">I95+S95</f>
        <v>267696.590524573</v>
      </c>
      <c r="TR95" s="20" t="n">
        <f aca="false">1-G95</f>
        <v>1</v>
      </c>
      <c r="TS95" s="20" t="n">
        <f aca="false">IF(AND(RG_Exists=1,G95=0,C95=1),I95,0)</f>
        <v>0</v>
      </c>
      <c r="TT95" s="20" t="n">
        <f aca="false">IF(AND(RG_Exists=1,G95=0,C95=1),I95-MIN(QE95,I95),0)</f>
        <v>0</v>
      </c>
      <c r="TU95" s="20" t="n">
        <f aca="false">'Plan pay &amp; tax'!AD321</f>
        <v>0</v>
      </c>
      <c r="TV95" s="20" t="n">
        <f aca="false">IF(AND(C95=1,QE95&gt;MAX(PR_Short1,TQ95*PR_Short2)),1,0)</f>
        <v>0</v>
      </c>
      <c r="TW95" s="20" t="n">
        <f aca="false">MIN(H95,I95+S95)</f>
        <v>159802.991807356</v>
      </c>
      <c r="TX95" s="20" t="n">
        <f aca="false">QF95+MAX(0,HQ95-HP95)</f>
        <v>0</v>
      </c>
      <c r="TY95" s="20" t="n">
        <f aca="false">QE95+HP95</f>
        <v>107893.598717217</v>
      </c>
      <c r="TZ95" s="20" t="n">
        <f aca="false">IF(AND(C95=1,TY95&gt;PR_MinShort),1,0)</f>
        <v>0</v>
      </c>
      <c r="UA95" s="20" t="n">
        <f aca="false">IF(AND(C95=1,TZ95=0,TX95&gt;PR_MinShort),1,0)</f>
        <v>0</v>
      </c>
      <c r="UB95" s="20" t="n">
        <f aca="false">IF(AND(C95=1,QE95&gt;PR_MinShort),1,0)</f>
        <v>0</v>
      </c>
      <c r="UC95" s="20" t="n">
        <f aca="false">IF(AND(C95=1,QF95&gt;1,UJ95=0),1,0)</f>
        <v>0</v>
      </c>
      <c r="UD95" s="20" t="str">
        <f aca="false">IF(C95=0,"",IF(UJ95=1,"Gap to plan for: short "&amp;"€"&amp;TEXT(ROUND(TP95,0),"#,##0"),IF(QF95&gt;1,"Using savings","Comfortable")))</f>
        <v/>
      </c>
      <c r="UE95" s="20" t="n">
        <f aca="false">IF(AND(INT(D95/10)*10=90,B95&gt;0),80,INT(D95/10)*10)</f>
        <v>120</v>
      </c>
      <c r="UF95" s="20" t="n">
        <f aca="false">IF(B95=0,1,IF(UE95&lt;&gt;UE94,UF94+1,UF94))</f>
        <v>9</v>
      </c>
      <c r="UG95" s="20" t="n">
        <f aca="false">IF(AND(C95=1,G95=1,QE95&gt;MAX(PR_Short1,TQ95*PR_Short2)),1,0)</f>
        <v>0</v>
      </c>
      <c r="UH95" s="20" t="n">
        <f aca="false">TR95*TV95</f>
        <v>0</v>
      </c>
      <c r="UI95" s="20" t="n">
        <f aca="false">IF(AND(V95=1,Slot1_PctLow=1),1,0)+IF(AND(AG95=1,Slot2_PctLow=1),1,0)+IF(AND(AQ95=1,Slot3_PctLow=1),1,0)+IF(AND(BA95=1,Slot4_PctLow=1),1,0)+IF(AND(BK95=1,Slot5_PctLow=1),1,0)+IF(AND(BU95=1,Slot6_PctLow=1),1,0)+IF(AND(CE95=1,Slot7_PctLow=1),1,0)+IF(AND(CO95=1,Slot8_PctLow=1),1,0)+IF(AND(CY95=1,Slot9_PctLow=1),1,0)+IF(AND(DI95=1,Slot10_PctLow=1),1,0)+IF(AND(DS95=1,Slot11_PctLow=1),1,0)+IF(AND(EC95=1,Slot12_PctLow=1),1,0)+IF(AND(EM95=1,Slot13_PctLow=1),1,0)+IF(AND(EW95=1,Slot14_PctLow=1),1,0)+IF(AND(FG95=1,Slot15_PctLow=1),1,0)+IF(AND(FQ95=1,Slot16_PctLow=1),1,0)+IF(AND(GA95=1,Slot17_PctLow=1),1,0)+IF(AND(GK95=1,Slot18_PctLow=1),1,0)+IF(AND(GU95=1,Slot19_PctLow=1),1,0)+IF(AND(HE95=1,Slot20_PctLow=1),1,0)</f>
        <v>0</v>
      </c>
      <c r="UJ95" s="20" t="n">
        <f aca="false">IF(C95=1,IF(OR(TV95=1,UI95&gt;0),1,0),0)</f>
        <v>0</v>
      </c>
      <c r="UK95" s="20" t="n">
        <f aca="false">Z95+AK95+AU95+BE95+BO95+BY95+CI95+CS95+DC95+DM95+DW95+EG95+EQ95+FA95+FK95+FU95+GE95+GO95+GY95+HI95+OM95</f>
        <v>0</v>
      </c>
      <c r="UL95" s="20" t="n">
        <f aca="false">V95*IF(Slot1_SpendLike=1,X95-Y95,IF(Slot1_PotFree=1,X95,0))+AG95*IF(Slot2_SpendLike=1,AI95-AJ95,IF(Slot2_PotFree=1,AI95,0))+AQ95*IF(Slot3_SpendLike=1,AS95-AT95,IF(Slot3_PotFree=1,AS95,0))+BA95*IF(Slot4_SpendLike=1,BC95-BD95,IF(Slot4_PotFree=1,BC95,0))+BK95*IF(Slot5_SpendLike=1,BM95-BN95,IF(Slot5_PotFree=1,BM95,0))+BU95*IF(Slot6_SpendLike=1,BW95-BX95,IF(Slot6_PotFree=1,BW95,0))+CE95*IF(Slot7_SpendLike=1,CG95-CH95,IF(Slot7_PotFree=1,CG95,0))+CO95*IF(Slot8_SpendLike=1,CQ95-CR95,IF(Slot8_PotFree=1,CQ95,0))+CY95*IF(Slot9_SpendLike=1,DA95-DB95,IF(Slot9_PotFree=1,DA95,0))+DI95*IF(Slot10_SpendLike=1,DK95-DL95,IF(Slot10_PotFree=1,DK95,0))+DS95*IF(Slot11_SpendLike=1,DU95-DV95,IF(Slot11_PotFree=1,DU95,0))+EC95*IF(Slot12_SpendLike=1,EE95-EF95,IF(Slot12_PotFree=1,EE95,0))+EM95*IF(Slot13_SpendLike=1,EO95-EP95,IF(Slot13_PotFree=1,EO95,0))+EW95*IF(Slot14_SpendLike=1,EY95-EZ95,IF(Slot14_PotFree=1,EY95,0))+FG95*IF(Slot15_SpendLike=1,FI95-FJ95,IF(Slot15_PotFree=1,FI95,0))+FQ95*IF(Slot16_SpendLike=1,FS95-FT95,IF(Slot16_PotFree=1,FS95,0))+GA95*IF(Slot17_SpendLike=1,GC95-GD95,IF(Slot17_PotFree=1,GC95,0))+GK95*IF(Slot18_SpendLike=1,GM95-GN95,IF(Slot18_PotFree=1,GM95,0))+GU95*IF(Slot19_SpendLike=1,GW95-GX95,IF(Slot19_PotFree=1,GW95,0))+HE95*IF(Slot20_SpendLike=1,HG95-HH95,IF(Slot20_PotFree=1,HG95,0))</f>
        <v>0</v>
      </c>
      <c r="UM95" s="20" t="n">
        <f aca="false">QG95-T95+UK95-UL95</f>
        <v>0</v>
      </c>
      <c r="UN95" s="20" t="n">
        <f aca="false">IF(OR(UN94=1,AND(In_homeUse="Yes, I'd downsize",In_downAge&gt;0,D95=In_downAge,OR(In_home="Own outright",In_home="Own with mortgage"),In_homeValue&gt;0)),1,0)</f>
        <v>0</v>
      </c>
    </row>
    <row r="96" customFormat="false" ht="15" hidden="false" customHeight="true" outlineLevel="0" collapsed="false">
      <c r="B96" s="20" t="n">
        <v>88</v>
      </c>
      <c r="C96" s="20" t="n">
        <f aca="false">IF(B96&lt;=F_N,1,0)</f>
        <v>0</v>
      </c>
      <c r="D96" s="20" t="n">
        <f aca="false">'Plan pay &amp; tax'!C322</f>
        <v>126</v>
      </c>
      <c r="E96" s="20" t="str">
        <f aca="false">IF($C96=1,"Income tax "&amp;TEXT(N('Plan pay &amp; tax'!BK322),"#,##0")&amp;"; USC "&amp;TEXT(N('Plan pay &amp; tax'!BM322)+N('Plan pay &amp; tax'!BO322),"#,##0")&amp;"; PRSI "&amp;TEXT(N('Plan pay &amp; tax'!BP322)+N('Plan pay &amp; tax'!BQ322),"#,##0")&amp;IF(N('Plan holdings'!BO96)&gt;=0.5,"; DIRT "&amp;TEXT(('Plan holdings'!BO96)/$F96,"#,##0")&amp;" (already taken from the interest earned)","")&amp;IF(N('Plan holdings'!BP96)&gt;=0.5,"; exit tax at an 8-year anniversary "&amp;TEXT(('Plan holdings'!BP96)/$F96,"#,##0"),"")&amp;IF(N('Plan holdings'!BN96)&gt;=0.5,"; tax on assets sold (exit tax or capital gains tax) "&amp;TEXT(('Plan holdings'!BN96)/$F96,"#,##0"),"")&amp;IF(N('Plan pay &amp; tax'!X322)-N('Plan pay &amp; tax'!Y322)&gt;=0.5,"; tax on the pension lump sum "&amp;TEXT(('Plan pay &amp; tax'!X322-'Plan pay &amp; tax'!Y322)/$F96,"#,##0"),"")&amp;IF(N('Plan pay &amp; tax'!V322)&gt;=0.5,"; chargeable excess tax on the pension "&amp;TEXT(('Plan pay &amp; tax'!V322)/$F96,"#,##0"),"")&amp;".","")</f>
        <v/>
      </c>
      <c r="F96" s="50" t="n">
        <f aca="false">'Plan pay &amp; tax'!E322</f>
        <v>5.71235402374611</v>
      </c>
      <c r="G96" s="20" t="n">
        <f aca="false">'Plan pay &amp; tax'!G322</f>
        <v>0</v>
      </c>
      <c r="H96" s="20" t="n">
        <f aca="false">'Plan pay &amp; tax'!BT322-'Plan pay &amp; tax'!BS322-'Plan pay &amp; tax'!R322</f>
        <v>162999.051643503</v>
      </c>
      <c r="I96" s="20" t="n">
        <f aca="false">IF(G96=1,F_CostsM*12,IF(RG_Exists=1,RG_Amount,F_CostsM*12*AS_RetireSpend))*F96+F_OneOffY*F96</f>
        <v>273050.522335064</v>
      </c>
      <c r="J96" s="20" t="n">
        <f aca="false">IF(UN96=1,0,HR95)</f>
        <v>0</v>
      </c>
      <c r="K96" s="20" t="n">
        <f aca="false">IF(J96&gt;1,'Plan debt months'!AC96,0)</f>
        <v>0</v>
      </c>
      <c r="L96" s="20" t="n">
        <f aca="false">IF(J96&gt;1,'Plan debt months'!AB96,J96)</f>
        <v>0</v>
      </c>
      <c r="M96" s="20" t="n">
        <f aca="false">O95</f>
        <v>0</v>
      </c>
      <c r="N96" s="20" t="n">
        <f aca="false">IF(M96&gt;1,'Plan debt months'!BD96,0)</f>
        <v>0</v>
      </c>
      <c r="O96" s="20" t="n">
        <f aca="false">IF(M96&gt;1,'Plan debt months'!BC96,M96)</f>
        <v>0</v>
      </c>
      <c r="P96" s="20" t="n">
        <f aca="false">R95</f>
        <v>0</v>
      </c>
      <c r="Q96" s="20" t="n">
        <f aca="false">IF(P96&gt;1,'Plan debt months'!CE96,0)</f>
        <v>0</v>
      </c>
      <c r="R96" s="20" t="n">
        <f aca="false">IF(P96&gt;1,'Plan debt months'!CD96,P96)</f>
        <v>0</v>
      </c>
      <c r="S96" s="20" t="n">
        <f aca="false">K96+N96+Q96</f>
        <v>0</v>
      </c>
      <c r="T96" s="57" t="n">
        <f aca="false">'Plan holdings'!Y96</f>
        <v>0</v>
      </c>
      <c r="U96" s="57" t="n">
        <f aca="false">'Plan holdings'!BM95</f>
        <v>0</v>
      </c>
      <c r="V96" s="20" t="n">
        <f aca="false">IF(AND(Slot1_On=1,D96=Slot1_Age),1,0)</f>
        <v>0</v>
      </c>
      <c r="W96" s="20" t="n">
        <f aca="false">IF(AND(Slot1_On=1,Slot1_Age&gt;D96),1,0)</f>
        <v>0</v>
      </c>
      <c r="X96" s="20" t="n">
        <f aca="false">QM95</f>
        <v>0</v>
      </c>
      <c r="Y96" s="20" t="n">
        <f aca="false">V96*MIN(Slot1_Cost,X96)</f>
        <v>0</v>
      </c>
      <c r="Z96" s="20" t="n">
        <f aca="false">V96*Slot1_SpendLike*MIN(Slot1_Cost-Y96,T96)</f>
        <v>0</v>
      </c>
      <c r="AA96" s="20" t="n">
        <f aca="false">Y96+Z96</f>
        <v>0</v>
      </c>
      <c r="AB96" s="20" t="n">
        <f aca="false">T96-Z96+V96*IF(Slot1_SpendLike=1,X96-Y96,IF(Slot1_PotFree=1,X96,0))</f>
        <v>0</v>
      </c>
      <c r="AC96" s="20" t="n">
        <f aca="false">AF96+V96*Slot1_BufPot*X96</f>
        <v>0</v>
      </c>
      <c r="AD96" s="20" t="n">
        <f aca="false">IF(AND(V96=1,Slot1_IsMfree=1),IF(AA96&gt;=Slot1_Cost-1,0,MAX(0,L96-AA96)),L96)</f>
        <v>0</v>
      </c>
      <c r="AE96" s="20" t="n">
        <f aca="false">V96*(Slot1_Cost-AA96)</f>
        <v>0</v>
      </c>
      <c r="AF96" s="20" t="n">
        <f aca="false">QL95</f>
        <v>0</v>
      </c>
      <c r="AG96" s="20" t="n">
        <f aca="false">IF(AND(Slot2_On=1,D96=Slot2_Age),1,0)</f>
        <v>0</v>
      </c>
      <c r="AH96" s="20" t="n">
        <f aca="false">IF(AND(Slot2_On=1,Slot2_Age&gt;D96),1,0)</f>
        <v>0</v>
      </c>
      <c r="AI96" s="20" t="n">
        <f aca="false">QQ95</f>
        <v>0</v>
      </c>
      <c r="AJ96" s="20" t="n">
        <f aca="false">AG96*MIN(Slot2_Cost,AI96)</f>
        <v>0</v>
      </c>
      <c r="AK96" s="20" t="n">
        <f aca="false">AG96*Slot2_SpendLike*MIN(Slot2_Cost-AJ96,AB96)</f>
        <v>0</v>
      </c>
      <c r="AL96" s="20" t="n">
        <f aca="false">AJ96+AK96</f>
        <v>0</v>
      </c>
      <c r="AM96" s="20" t="n">
        <f aca="false">AB96-AK96+AG96*IF(Slot2_SpendLike=1,AI96-AJ96,IF(Slot2_PotFree=1,AI96,0))</f>
        <v>0</v>
      </c>
      <c r="AN96" s="20" t="n">
        <f aca="false">AC96+AG96*Slot2_BufPot*AI96</f>
        <v>0</v>
      </c>
      <c r="AO96" s="20" t="n">
        <f aca="false">IF(AND(AG96=1,Slot2_IsMfree=1),IF(AL96&gt;=Slot2_Cost-1,0,MAX(0,AD96-AL96)),AD96)</f>
        <v>0</v>
      </c>
      <c r="AP96" s="20" t="n">
        <f aca="false">AG96*(Slot2_Cost-AL96)</f>
        <v>0</v>
      </c>
      <c r="AQ96" s="20" t="n">
        <f aca="false">IF(AND(Slot3_On=1,D96=Slot3_Age),1,0)</f>
        <v>0</v>
      </c>
      <c r="AR96" s="20" t="n">
        <f aca="false">IF(AND(Slot3_On=1,Slot3_Age&gt;D96),1,0)</f>
        <v>0</v>
      </c>
      <c r="AS96" s="20" t="n">
        <f aca="false">QU95</f>
        <v>0</v>
      </c>
      <c r="AT96" s="20" t="n">
        <f aca="false">AQ96*MIN(Slot3_Cost,AS96)</f>
        <v>0</v>
      </c>
      <c r="AU96" s="20" t="n">
        <f aca="false">AQ96*Slot3_SpendLike*MIN(Slot3_Cost-AT96,AM96)</f>
        <v>0</v>
      </c>
      <c r="AV96" s="20" t="n">
        <f aca="false">AT96+AU96</f>
        <v>0</v>
      </c>
      <c r="AW96" s="20" t="n">
        <f aca="false">AM96-AU96+AQ96*IF(Slot3_SpendLike=1,AS96-AT96,IF(Slot3_PotFree=1,AS96,0))</f>
        <v>0</v>
      </c>
      <c r="AX96" s="20" t="n">
        <f aca="false">AN96+AQ96*Slot3_BufPot*AS96</f>
        <v>0</v>
      </c>
      <c r="AY96" s="20" t="n">
        <f aca="false">IF(AND(AQ96=1,Slot3_IsMfree=1),IF(AV96&gt;=Slot3_Cost-1,0,MAX(0,AO96-AV96)),AO96)</f>
        <v>0</v>
      </c>
      <c r="AZ96" s="20" t="n">
        <f aca="false">AQ96*(Slot3_Cost-AV96)</f>
        <v>0</v>
      </c>
      <c r="BA96" s="20" t="n">
        <f aca="false">IF(AND(Slot4_On=1,D96=Slot4_Age),1,0)</f>
        <v>0</v>
      </c>
      <c r="BB96" s="20" t="n">
        <f aca="false">IF(AND(Slot4_On=1,Slot4_Age&gt;D96),1,0)</f>
        <v>0</v>
      </c>
      <c r="BC96" s="20" t="n">
        <f aca="false">QY95</f>
        <v>0</v>
      </c>
      <c r="BD96" s="20" t="n">
        <f aca="false">BA96*MIN(Slot4_Cost,BC96)</f>
        <v>0</v>
      </c>
      <c r="BE96" s="20" t="n">
        <f aca="false">BA96*Slot4_SpendLike*MIN(Slot4_Cost-BD96,AW96)</f>
        <v>0</v>
      </c>
      <c r="BF96" s="20" t="n">
        <f aca="false">BD96+BE96</f>
        <v>0</v>
      </c>
      <c r="BG96" s="20" t="n">
        <f aca="false">AW96-BE96+BA96*IF(Slot4_SpendLike=1,BC96-BD96,IF(Slot4_PotFree=1,BC96,0))</f>
        <v>0</v>
      </c>
      <c r="BH96" s="20" t="n">
        <f aca="false">AX96+BA96*Slot4_BufPot*BC96</f>
        <v>0</v>
      </c>
      <c r="BI96" s="20" t="n">
        <f aca="false">IF(AND(BA96=1,Slot4_IsMfree=1),IF(BF96&gt;=Slot4_Cost-1,0,MAX(0,AY96-BF96)),AY96)</f>
        <v>0</v>
      </c>
      <c r="BJ96" s="20" t="n">
        <f aca="false">BA96*(Slot4_Cost-BF96)</f>
        <v>0</v>
      </c>
      <c r="BK96" s="20" t="n">
        <f aca="false">IF(AND(Slot5_On=1,D96=Slot5_Age),1,0)</f>
        <v>0</v>
      </c>
      <c r="BL96" s="20" t="n">
        <f aca="false">IF(AND(Slot5_On=1,Slot5_Age&gt;D96),1,0)</f>
        <v>0</v>
      </c>
      <c r="BM96" s="20" t="n">
        <f aca="false">RC95</f>
        <v>0</v>
      </c>
      <c r="BN96" s="20" t="n">
        <f aca="false">BK96*MIN(Slot5_Cost,BM96)</f>
        <v>0</v>
      </c>
      <c r="BO96" s="20" t="n">
        <f aca="false">BK96*Slot5_SpendLike*MIN(Slot5_Cost-BN96,BG96)</f>
        <v>0</v>
      </c>
      <c r="BP96" s="20" t="n">
        <f aca="false">BN96+BO96</f>
        <v>0</v>
      </c>
      <c r="BQ96" s="20" t="n">
        <f aca="false">BG96-BO96+BK96*IF(Slot5_SpendLike=1,BM96-BN96,IF(Slot5_PotFree=1,BM96,0))</f>
        <v>0</v>
      </c>
      <c r="BR96" s="20" t="n">
        <f aca="false">BH96+BK96*Slot5_BufPot*BM96</f>
        <v>0</v>
      </c>
      <c r="BS96" s="20" t="n">
        <f aca="false">IF(AND(BK96=1,Slot5_IsMfree=1),IF(BP96&gt;=Slot5_Cost-1,0,MAX(0,BI96-BP96)),BI96)</f>
        <v>0</v>
      </c>
      <c r="BT96" s="20" t="n">
        <f aca="false">BK96*(Slot5_Cost-BP96)</f>
        <v>0</v>
      </c>
      <c r="BU96" s="20" t="n">
        <f aca="false">IF(AND(Slot6_On=1,D96=Slot6_Age),1,0)</f>
        <v>0</v>
      </c>
      <c r="BV96" s="20" t="n">
        <f aca="false">IF(AND(Slot6_On=1,Slot6_Age&gt;D96),1,0)</f>
        <v>0</v>
      </c>
      <c r="BW96" s="20" t="n">
        <f aca="false">RG95</f>
        <v>0</v>
      </c>
      <c r="BX96" s="20" t="n">
        <f aca="false">BU96*MIN(Slot6_Cost,BW96)</f>
        <v>0</v>
      </c>
      <c r="BY96" s="20" t="n">
        <f aca="false">BU96*Slot6_SpendLike*MIN(Slot6_Cost-BX96,BQ96)</f>
        <v>0</v>
      </c>
      <c r="BZ96" s="20" t="n">
        <f aca="false">BX96+BY96</f>
        <v>0</v>
      </c>
      <c r="CA96" s="20" t="n">
        <f aca="false">BQ96-BY96+BU96*IF(Slot6_SpendLike=1,BW96-BX96,IF(Slot6_PotFree=1,BW96,0))</f>
        <v>0</v>
      </c>
      <c r="CB96" s="20" t="n">
        <f aca="false">BR96+BU96*Slot6_BufPot*BW96</f>
        <v>0</v>
      </c>
      <c r="CC96" s="20" t="n">
        <f aca="false">IF(AND(BU96=1,Slot6_IsMfree=1),IF(BZ96&gt;=Slot6_Cost-1,0,MAX(0,BS96-BZ96)),BS96)</f>
        <v>0</v>
      </c>
      <c r="CD96" s="20" t="n">
        <f aca="false">BU96*(Slot6_Cost-BZ96)</f>
        <v>0</v>
      </c>
      <c r="CE96" s="20" t="n">
        <f aca="false">IF(AND(Slot7_On=1,D96=Slot7_Age),1,0)</f>
        <v>0</v>
      </c>
      <c r="CF96" s="20" t="n">
        <f aca="false">IF(AND(Slot7_On=1,Slot7_Age&gt;D96),1,0)</f>
        <v>0</v>
      </c>
      <c r="CG96" s="20" t="n">
        <f aca="false">RK95</f>
        <v>0</v>
      </c>
      <c r="CH96" s="20" t="n">
        <f aca="false">CE96*MIN(Slot7_Cost,CG96)</f>
        <v>0</v>
      </c>
      <c r="CI96" s="20" t="n">
        <f aca="false">CE96*Slot7_SpendLike*MIN(Slot7_Cost-CH96,CA96)</f>
        <v>0</v>
      </c>
      <c r="CJ96" s="20" t="n">
        <f aca="false">CH96+CI96</f>
        <v>0</v>
      </c>
      <c r="CK96" s="20" t="n">
        <f aca="false">CA96-CI96+CE96*IF(Slot7_SpendLike=1,CG96-CH96,IF(Slot7_PotFree=1,CG96,0))</f>
        <v>0</v>
      </c>
      <c r="CL96" s="20" t="n">
        <f aca="false">CB96+CE96*Slot7_BufPot*CG96</f>
        <v>0</v>
      </c>
      <c r="CM96" s="20" t="n">
        <f aca="false">IF(AND(CE96=1,Slot7_IsMfree=1),IF(CJ96&gt;=Slot7_Cost-1,0,MAX(0,CC96-CJ96)),CC96)</f>
        <v>0</v>
      </c>
      <c r="CN96" s="20" t="n">
        <f aca="false">CE96*(Slot7_Cost-CJ96)</f>
        <v>0</v>
      </c>
      <c r="CO96" s="20" t="n">
        <f aca="false">IF(AND(Slot8_On=1,D96=Slot8_Age),1,0)</f>
        <v>0</v>
      </c>
      <c r="CP96" s="20" t="n">
        <f aca="false">IF(AND(Slot8_On=1,Slot8_Age&gt;D96),1,0)</f>
        <v>0</v>
      </c>
      <c r="CQ96" s="20" t="n">
        <f aca="false">RO95</f>
        <v>0</v>
      </c>
      <c r="CR96" s="20" t="n">
        <f aca="false">CO96*MIN(Slot8_Cost,CQ96)</f>
        <v>0</v>
      </c>
      <c r="CS96" s="20" t="n">
        <f aca="false">CO96*Slot8_SpendLike*MIN(Slot8_Cost-CR96,CK96)</f>
        <v>0</v>
      </c>
      <c r="CT96" s="20" t="n">
        <f aca="false">CR96+CS96</f>
        <v>0</v>
      </c>
      <c r="CU96" s="20" t="n">
        <f aca="false">CK96-CS96+CO96*IF(Slot8_SpendLike=1,CQ96-CR96,IF(Slot8_PotFree=1,CQ96,0))</f>
        <v>0</v>
      </c>
      <c r="CV96" s="20" t="n">
        <f aca="false">CL96+CO96*Slot8_BufPot*CQ96</f>
        <v>0</v>
      </c>
      <c r="CW96" s="20" t="n">
        <f aca="false">IF(AND(CO96=1,Slot8_IsMfree=1),IF(CT96&gt;=Slot8_Cost-1,0,MAX(0,CM96-CT96)),CM96)</f>
        <v>0</v>
      </c>
      <c r="CX96" s="20" t="n">
        <f aca="false">CO96*(Slot8_Cost-CT96)</f>
        <v>0</v>
      </c>
      <c r="CY96" s="20" t="n">
        <f aca="false">IF(AND(Slot9_On=1,D96=Slot9_Age),1,0)</f>
        <v>0</v>
      </c>
      <c r="CZ96" s="20" t="n">
        <f aca="false">IF(AND(Slot9_On=1,Slot9_Age&gt;D96),1,0)</f>
        <v>0</v>
      </c>
      <c r="DA96" s="20" t="n">
        <f aca="false">RS95</f>
        <v>0</v>
      </c>
      <c r="DB96" s="20" t="n">
        <f aca="false">CY96*MIN(Slot9_Cost,DA96)</f>
        <v>0</v>
      </c>
      <c r="DC96" s="20" t="n">
        <f aca="false">CY96*Slot9_SpendLike*MIN(Slot9_Cost-DB96,CU96)</f>
        <v>0</v>
      </c>
      <c r="DD96" s="20" t="n">
        <f aca="false">DB96+DC96</f>
        <v>0</v>
      </c>
      <c r="DE96" s="20" t="n">
        <f aca="false">CU96-DC96+CY96*IF(Slot9_SpendLike=1,DA96-DB96,IF(Slot9_PotFree=1,DA96,0))</f>
        <v>0</v>
      </c>
      <c r="DF96" s="20" t="n">
        <f aca="false">CV96+CY96*Slot9_BufPot*DA96</f>
        <v>0</v>
      </c>
      <c r="DG96" s="20" t="n">
        <f aca="false">IF(AND(CY96=1,Slot9_IsMfree=1),IF(DD96&gt;=Slot9_Cost-1,0,MAX(0,CW96-DD96)),CW96)</f>
        <v>0</v>
      </c>
      <c r="DH96" s="20" t="n">
        <f aca="false">CY96*(Slot9_Cost-DD96)</f>
        <v>0</v>
      </c>
      <c r="DI96" s="20" t="n">
        <f aca="false">IF(AND(Slot10_On=1,D96=Slot10_Age),1,0)</f>
        <v>0</v>
      </c>
      <c r="DJ96" s="20" t="n">
        <f aca="false">IF(AND(Slot10_On=1,Slot10_Age&gt;D96),1,0)</f>
        <v>0</v>
      </c>
      <c r="DK96" s="20" t="n">
        <f aca="false">RW95</f>
        <v>0</v>
      </c>
      <c r="DL96" s="20" t="n">
        <f aca="false">DI96*MIN(Slot10_Cost,DK96)</f>
        <v>0</v>
      </c>
      <c r="DM96" s="20" t="n">
        <f aca="false">DI96*Slot10_SpendLike*MIN(Slot10_Cost-DL96,DE96)</f>
        <v>0</v>
      </c>
      <c r="DN96" s="20" t="n">
        <f aca="false">DL96+DM96</f>
        <v>0</v>
      </c>
      <c r="DO96" s="20" t="n">
        <f aca="false">DE96-DM96+DI96*IF(Slot10_SpendLike=1,DK96-DL96,IF(Slot10_PotFree=1,DK96,0))</f>
        <v>0</v>
      </c>
      <c r="DP96" s="20" t="n">
        <f aca="false">DF96+DI96*Slot10_BufPot*DK96</f>
        <v>0</v>
      </c>
      <c r="DQ96" s="20" t="n">
        <f aca="false">IF(AND(DI96=1,Slot10_IsMfree=1),IF(DN96&gt;=Slot10_Cost-1,0,MAX(0,DG96-DN96)),DG96)</f>
        <v>0</v>
      </c>
      <c r="DR96" s="20" t="n">
        <f aca="false">DI96*(Slot10_Cost-DN96)</f>
        <v>0</v>
      </c>
      <c r="DS96" s="20" t="n">
        <f aca="false">IF(AND(Slot11_On=1,D96=Slot11_Age),1,0)</f>
        <v>0</v>
      </c>
      <c r="DT96" s="20" t="n">
        <f aca="false">IF(AND(Slot11_On=1,Slot11_Age&gt;D96),1,0)</f>
        <v>0</v>
      </c>
      <c r="DU96" s="20" t="n">
        <f aca="false">SA95</f>
        <v>0</v>
      </c>
      <c r="DV96" s="20" t="n">
        <f aca="false">DS96*MIN(Slot11_Cost,DU96)</f>
        <v>0</v>
      </c>
      <c r="DW96" s="20" t="n">
        <f aca="false">DS96*Slot11_SpendLike*MIN(Slot11_Cost-DV96,DO96)</f>
        <v>0</v>
      </c>
      <c r="DX96" s="20" t="n">
        <f aca="false">DV96+DW96</f>
        <v>0</v>
      </c>
      <c r="DY96" s="20" t="n">
        <f aca="false">DO96-DW96+DS96*IF(Slot11_SpendLike=1,DU96-DV96,IF(Slot11_PotFree=1,DU96,0))</f>
        <v>0</v>
      </c>
      <c r="DZ96" s="20" t="n">
        <f aca="false">DP96+DS96*Slot11_BufPot*DU96</f>
        <v>0</v>
      </c>
      <c r="EA96" s="20" t="n">
        <f aca="false">IF(AND(DS96=1,Slot11_IsMfree=1),IF(DX96&gt;=Slot11_Cost-1,0,MAX(0,DQ96-DX96)),DQ96)</f>
        <v>0</v>
      </c>
      <c r="EB96" s="20" t="n">
        <f aca="false">DS96*(Slot11_Cost-DX96)</f>
        <v>0</v>
      </c>
      <c r="EC96" s="20" t="n">
        <f aca="false">IF(AND(Slot12_On=1,D96=Slot12_Age),1,0)</f>
        <v>0</v>
      </c>
      <c r="ED96" s="20" t="n">
        <f aca="false">IF(AND(Slot12_On=1,Slot12_Age&gt;D96),1,0)</f>
        <v>0</v>
      </c>
      <c r="EE96" s="20" t="n">
        <f aca="false">SE95</f>
        <v>0</v>
      </c>
      <c r="EF96" s="20" t="n">
        <f aca="false">EC96*MIN(Slot12_Cost,EE96)</f>
        <v>0</v>
      </c>
      <c r="EG96" s="20" t="n">
        <f aca="false">EC96*Slot12_SpendLike*MIN(Slot12_Cost-EF96,DY96)</f>
        <v>0</v>
      </c>
      <c r="EH96" s="20" t="n">
        <f aca="false">EF96+EG96</f>
        <v>0</v>
      </c>
      <c r="EI96" s="20" t="n">
        <f aca="false">DY96-EG96+EC96*IF(Slot12_SpendLike=1,EE96-EF96,IF(Slot12_PotFree=1,EE96,0))</f>
        <v>0</v>
      </c>
      <c r="EJ96" s="20" t="n">
        <f aca="false">DZ96+EC96*Slot12_BufPot*EE96</f>
        <v>0</v>
      </c>
      <c r="EK96" s="20" t="n">
        <f aca="false">IF(AND(EC96=1,Slot12_IsMfree=1),IF(EH96&gt;=Slot12_Cost-1,0,MAX(0,EA96-EH96)),EA96)</f>
        <v>0</v>
      </c>
      <c r="EL96" s="20" t="n">
        <f aca="false">EC96*(Slot12_Cost-EH96)</f>
        <v>0</v>
      </c>
      <c r="EM96" s="20" t="n">
        <f aca="false">IF(AND(Slot13_On=1,D96=Slot13_Age),1,0)</f>
        <v>0</v>
      </c>
      <c r="EN96" s="20" t="n">
        <f aca="false">IF(AND(Slot13_On=1,Slot13_Age&gt;D96),1,0)</f>
        <v>0</v>
      </c>
      <c r="EO96" s="20" t="n">
        <f aca="false">SI95</f>
        <v>0</v>
      </c>
      <c r="EP96" s="20" t="n">
        <f aca="false">EM96*MIN(Slot13_Cost,EO96)</f>
        <v>0</v>
      </c>
      <c r="EQ96" s="20" t="n">
        <f aca="false">EM96*Slot13_SpendLike*MIN(Slot13_Cost-EP96,EI96)</f>
        <v>0</v>
      </c>
      <c r="ER96" s="20" t="n">
        <f aca="false">EP96+EQ96</f>
        <v>0</v>
      </c>
      <c r="ES96" s="20" t="n">
        <f aca="false">EI96-EQ96+EM96*IF(Slot13_SpendLike=1,EO96-EP96,IF(Slot13_PotFree=1,EO96,0))</f>
        <v>0</v>
      </c>
      <c r="ET96" s="20" t="n">
        <f aca="false">EJ96+EM96*Slot13_BufPot*EO96</f>
        <v>0</v>
      </c>
      <c r="EU96" s="20" t="n">
        <f aca="false">IF(AND(EM96=1,Slot13_IsMfree=1),IF(ER96&gt;=Slot13_Cost-1,0,MAX(0,EK96-ER96)),EK96)</f>
        <v>0</v>
      </c>
      <c r="EV96" s="20" t="n">
        <f aca="false">EM96*(Slot13_Cost-ER96)</f>
        <v>0</v>
      </c>
      <c r="EW96" s="20" t="n">
        <f aca="false">IF(AND(Slot14_On=1,D96=Slot14_Age),1,0)</f>
        <v>0</v>
      </c>
      <c r="EX96" s="20" t="n">
        <f aca="false">IF(AND(Slot14_On=1,Slot14_Age&gt;D96),1,0)</f>
        <v>0</v>
      </c>
      <c r="EY96" s="20" t="n">
        <f aca="false">SM95</f>
        <v>0</v>
      </c>
      <c r="EZ96" s="20" t="n">
        <f aca="false">EW96*MIN(Slot14_Cost,EY96)</f>
        <v>0</v>
      </c>
      <c r="FA96" s="20" t="n">
        <f aca="false">EW96*Slot14_SpendLike*MIN(Slot14_Cost-EZ96,ES96)</f>
        <v>0</v>
      </c>
      <c r="FB96" s="20" t="n">
        <f aca="false">EZ96+FA96</f>
        <v>0</v>
      </c>
      <c r="FC96" s="20" t="n">
        <f aca="false">ES96-FA96+EW96*IF(Slot14_SpendLike=1,EY96-EZ96,IF(Slot14_PotFree=1,EY96,0))</f>
        <v>0</v>
      </c>
      <c r="FD96" s="20" t="n">
        <f aca="false">ET96+EW96*Slot14_BufPot*EY96</f>
        <v>0</v>
      </c>
      <c r="FE96" s="20" t="n">
        <f aca="false">IF(AND(EW96=1,Slot14_IsMfree=1),IF(FB96&gt;=Slot14_Cost-1,0,MAX(0,EU96-FB96)),EU96)</f>
        <v>0</v>
      </c>
      <c r="FF96" s="20" t="n">
        <f aca="false">EW96*(Slot14_Cost-FB96)</f>
        <v>0</v>
      </c>
      <c r="FG96" s="20" t="n">
        <f aca="false">IF(AND(Slot15_On=1,D96=Slot15_Age),1,0)</f>
        <v>0</v>
      </c>
      <c r="FH96" s="20" t="n">
        <f aca="false">IF(AND(Slot15_On=1,Slot15_Age&gt;D96),1,0)</f>
        <v>0</v>
      </c>
      <c r="FI96" s="20" t="n">
        <f aca="false">SQ95</f>
        <v>0</v>
      </c>
      <c r="FJ96" s="20" t="n">
        <f aca="false">FG96*MIN(Slot15_Cost,FI96)</f>
        <v>0</v>
      </c>
      <c r="FK96" s="20" t="n">
        <f aca="false">FG96*Slot15_SpendLike*MIN(Slot15_Cost-FJ96,FC96)</f>
        <v>0</v>
      </c>
      <c r="FL96" s="20" t="n">
        <f aca="false">FJ96+FK96</f>
        <v>0</v>
      </c>
      <c r="FM96" s="20" t="n">
        <f aca="false">FC96-FK96+FG96*IF(Slot15_SpendLike=1,FI96-FJ96,IF(Slot15_PotFree=1,FI96,0))</f>
        <v>0</v>
      </c>
      <c r="FN96" s="20" t="n">
        <f aca="false">FD96+FG96*Slot15_BufPot*FI96</f>
        <v>0</v>
      </c>
      <c r="FO96" s="20" t="n">
        <f aca="false">IF(AND(FG96=1,Slot15_IsMfree=1),IF(FL96&gt;=Slot15_Cost-1,0,MAX(0,FE96-FL96)),FE96)</f>
        <v>0</v>
      </c>
      <c r="FP96" s="20" t="n">
        <f aca="false">FG96*(Slot15_Cost-FL96)</f>
        <v>0</v>
      </c>
      <c r="FQ96" s="20" t="n">
        <f aca="false">IF(AND(Slot16_On=1,D96=Slot16_Age),1,0)</f>
        <v>0</v>
      </c>
      <c r="FR96" s="20" t="n">
        <f aca="false">IF(AND(Slot16_On=1,Slot16_Age&gt;D96),1,0)</f>
        <v>0</v>
      </c>
      <c r="FS96" s="20" t="n">
        <f aca="false">SU95</f>
        <v>0</v>
      </c>
      <c r="FT96" s="20" t="n">
        <f aca="false">FQ96*MIN(Slot16_Cost,FS96)</f>
        <v>0</v>
      </c>
      <c r="FU96" s="20" t="n">
        <f aca="false">FQ96*Slot16_SpendLike*MIN(Slot16_Cost-FT96,FM96)</f>
        <v>0</v>
      </c>
      <c r="FV96" s="20" t="n">
        <f aca="false">FT96+FU96</f>
        <v>0</v>
      </c>
      <c r="FW96" s="20" t="n">
        <f aca="false">FM96-FU96+FQ96*IF(Slot16_SpendLike=1,FS96-FT96,IF(Slot16_PotFree=1,FS96,0))</f>
        <v>0</v>
      </c>
      <c r="FX96" s="20" t="n">
        <f aca="false">FN96+FQ96*Slot16_BufPot*FS96</f>
        <v>0</v>
      </c>
      <c r="FY96" s="20" t="n">
        <f aca="false">IF(AND(FQ96=1,Slot16_IsMfree=1),IF(FV96&gt;=Slot16_Cost-1,0,MAX(0,FO96-FV96)),FO96)</f>
        <v>0</v>
      </c>
      <c r="FZ96" s="20" t="n">
        <f aca="false">FQ96*(Slot16_Cost-FV96)</f>
        <v>0</v>
      </c>
      <c r="GA96" s="20" t="n">
        <f aca="false">IF(AND(Slot17_On=1,D96=Slot17_Age),1,0)</f>
        <v>0</v>
      </c>
      <c r="GB96" s="20" t="n">
        <f aca="false">IF(AND(Slot17_On=1,Slot17_Age&gt;D96),1,0)</f>
        <v>0</v>
      </c>
      <c r="GC96" s="20" t="n">
        <f aca="false">SY95</f>
        <v>0</v>
      </c>
      <c r="GD96" s="20" t="n">
        <f aca="false">GA96*MIN(Slot17_Cost,GC96)</f>
        <v>0</v>
      </c>
      <c r="GE96" s="20" t="n">
        <f aca="false">GA96*Slot17_SpendLike*MIN(Slot17_Cost-GD96,FW96)</f>
        <v>0</v>
      </c>
      <c r="GF96" s="20" t="n">
        <f aca="false">GD96+GE96</f>
        <v>0</v>
      </c>
      <c r="GG96" s="20" t="n">
        <f aca="false">FW96-GE96+GA96*IF(Slot17_SpendLike=1,GC96-GD96,IF(Slot17_PotFree=1,GC96,0))</f>
        <v>0</v>
      </c>
      <c r="GH96" s="20" t="n">
        <f aca="false">FX96+GA96*Slot17_BufPot*GC96</f>
        <v>0</v>
      </c>
      <c r="GI96" s="20" t="n">
        <f aca="false">IF(AND(GA96=1,Slot17_IsMfree=1),IF(GF96&gt;=Slot17_Cost-1,0,MAX(0,FY96-GF96)),FY96)</f>
        <v>0</v>
      </c>
      <c r="GJ96" s="20" t="n">
        <f aca="false">GA96*(Slot17_Cost-GF96)</f>
        <v>0</v>
      </c>
      <c r="GK96" s="20" t="n">
        <f aca="false">IF(AND(Slot18_On=1,D96=Slot18_Age),1,0)</f>
        <v>0</v>
      </c>
      <c r="GL96" s="20" t="n">
        <f aca="false">IF(AND(Slot18_On=1,Slot18_Age&gt;D96),1,0)</f>
        <v>0</v>
      </c>
      <c r="GM96" s="20" t="n">
        <f aca="false">TC95</f>
        <v>0</v>
      </c>
      <c r="GN96" s="20" t="n">
        <f aca="false">GK96*MIN(Slot18_Cost,GM96)</f>
        <v>0</v>
      </c>
      <c r="GO96" s="20" t="n">
        <f aca="false">GK96*Slot18_SpendLike*MIN(Slot18_Cost-GN96,GG96)</f>
        <v>0</v>
      </c>
      <c r="GP96" s="20" t="n">
        <f aca="false">GN96+GO96</f>
        <v>0</v>
      </c>
      <c r="GQ96" s="20" t="n">
        <f aca="false">GG96-GO96+GK96*IF(Slot18_SpendLike=1,GM96-GN96,IF(Slot18_PotFree=1,GM96,0))</f>
        <v>0</v>
      </c>
      <c r="GR96" s="20" t="n">
        <f aca="false">GH96+GK96*Slot18_BufPot*GM96</f>
        <v>0</v>
      </c>
      <c r="GS96" s="20" t="n">
        <f aca="false">IF(AND(GK96=1,Slot18_IsMfree=1),IF(GP96&gt;=Slot18_Cost-1,0,MAX(0,GI96-GP96)),GI96)</f>
        <v>0</v>
      </c>
      <c r="GT96" s="20" t="n">
        <f aca="false">GK96*(Slot18_Cost-GP96)</f>
        <v>0</v>
      </c>
      <c r="GU96" s="20" t="n">
        <f aca="false">IF(AND(Slot19_On=1,D96=Slot19_Age),1,0)</f>
        <v>0</v>
      </c>
      <c r="GV96" s="20" t="n">
        <f aca="false">IF(AND(Slot19_On=1,Slot19_Age&gt;D96),1,0)</f>
        <v>0</v>
      </c>
      <c r="GW96" s="20" t="n">
        <f aca="false">TG95</f>
        <v>0</v>
      </c>
      <c r="GX96" s="20" t="n">
        <f aca="false">GU96*MIN(Slot19_Cost,GW96)</f>
        <v>0</v>
      </c>
      <c r="GY96" s="20" t="n">
        <f aca="false">GU96*Slot19_SpendLike*MIN(Slot19_Cost-GX96,GQ96)</f>
        <v>0</v>
      </c>
      <c r="GZ96" s="20" t="n">
        <f aca="false">GX96+GY96</f>
        <v>0</v>
      </c>
      <c r="HA96" s="20" t="n">
        <f aca="false">GQ96-GY96+GU96*IF(Slot19_SpendLike=1,GW96-GX96,IF(Slot19_PotFree=1,GW96,0))</f>
        <v>0</v>
      </c>
      <c r="HB96" s="20" t="n">
        <f aca="false">GR96+GU96*Slot19_BufPot*GW96</f>
        <v>0</v>
      </c>
      <c r="HC96" s="20" t="n">
        <f aca="false">IF(AND(GU96=1,Slot19_IsMfree=1),IF(GZ96&gt;=Slot19_Cost-1,0,MAX(0,GS96-GZ96)),GS96)</f>
        <v>0</v>
      </c>
      <c r="HD96" s="20" t="n">
        <f aca="false">GU96*(Slot19_Cost-GZ96)</f>
        <v>0</v>
      </c>
      <c r="HE96" s="20" t="n">
        <f aca="false">IF(AND(Slot20_On=1,D96=Slot20_Age),1,0)</f>
        <v>0</v>
      </c>
      <c r="HF96" s="20" t="n">
        <f aca="false">IF(AND(Slot20_On=1,Slot20_Age&gt;D96),1,0)</f>
        <v>0</v>
      </c>
      <c r="HG96" s="20" t="n">
        <f aca="false">TK95</f>
        <v>0</v>
      </c>
      <c r="HH96" s="20" t="n">
        <f aca="false">HE96*MIN(Slot20_Cost,HG96)</f>
        <v>0</v>
      </c>
      <c r="HI96" s="20" t="n">
        <f aca="false">HE96*Slot20_SpendLike*MIN(Slot20_Cost-HH96,HA96)</f>
        <v>0</v>
      </c>
      <c r="HJ96" s="20" t="n">
        <f aca="false">HH96+HI96</f>
        <v>0</v>
      </c>
      <c r="HK96" s="20" t="n">
        <f aca="false">HA96-HI96+HE96*IF(Slot20_SpendLike=1,HG96-HH96,IF(Slot20_PotFree=1,HG96,0))</f>
        <v>0</v>
      </c>
      <c r="HL96" s="20" t="n">
        <f aca="false">HB96+HE96*Slot20_BufPot*HG96</f>
        <v>0</v>
      </c>
      <c r="HM96" s="20" t="n">
        <f aca="false">IF(AND(HE96=1,Slot20_IsMfree=1),IF(HJ96&gt;=Slot20_Cost-1,0,MAX(0,HC96-HJ96)),HC96)</f>
        <v>0</v>
      </c>
      <c r="HN96" s="20" t="n">
        <f aca="false">HE96*(Slot20_Cost-HJ96)</f>
        <v>0</v>
      </c>
      <c r="HO96" s="20" t="n">
        <f aca="false">V96*Slot1_SpendLike*AA96+AG96*Slot2_SpendLike*AL96+AQ96*Slot3_SpendLike*AV96+BA96*Slot4_SpendLike*BF96+BK96*Slot5_SpendLike*BP96+BU96*Slot6_SpendLike*BZ96+CE96*Slot7_SpendLike*CJ96+CO96*Slot8_SpendLike*CT96+CY96*Slot9_SpendLike*DD96+DI96*Slot10_SpendLike*DN96+DS96*Slot11_SpendLike*DX96+EC96*Slot12_SpendLike*EH96+EM96*Slot13_SpendLike*ER96+EW96*Slot14_SpendLike*FB96+FG96*Slot15_SpendLike*FL96+FQ96*Slot16_SpendLike*FV96+GA96*Slot17_SpendLike*GF96+GK96*Slot18_SpendLike*GP96+GU96*Slot19_SpendLike*GZ96+HE96*Slot20_SpendLike*HJ96</f>
        <v>0</v>
      </c>
      <c r="HP96" s="20" t="n">
        <f aca="false">AE96+AP96+AZ96+BJ96+BT96+CD96+CN96+CX96+DH96+DR96+EB96+EL96+EV96+FF96+FP96+FZ96+GJ96+GT96+HD96+HN96</f>
        <v>0</v>
      </c>
      <c r="HQ96" s="20" t="n">
        <f aca="false">V96*Slot1_Cost+AG96*Slot2_Cost+AQ96*Slot3_Cost+BA96*Slot4_Cost+BK96*Slot5_Cost+BU96*Slot6_Cost+CE96*Slot7_Cost+CO96*Slot8_Cost+CY96*Slot9_Cost+DI96*Slot10_Cost+DS96*Slot11_Cost+EC96*Slot12_Cost+EM96*Slot13_Cost+EW96*Slot14_Cost+FG96*Slot15_Cost+FQ96*Slot16_Cost+GA96*Slot17_Cost+GK96*Slot18_Cost+GU96*Slot19_Cost+HE96*Slot20_Cost</f>
        <v>0</v>
      </c>
      <c r="HR96" s="20" t="n">
        <f aca="false">HM96</f>
        <v>0</v>
      </c>
      <c r="HS96" s="20" t="n">
        <f aca="false">H96-I96-S96</f>
        <v>-110051.470691561</v>
      </c>
      <c r="HT96" s="20" t="n">
        <f aca="false">IF(B96=0,IF(AND(Has_q6=1,In_q6=4),PR_ShareVaries*(MAX(0,HS96)/12),MIN(IF(Has_q6=1,CHOOSE(In_q6+1,PR_SaveB1,PR_SaveB2,PR_SaveB3,PR_SaveB4,0),AS_NoAnswer),AS_SaveShare*(MAX(0,HS96)/12))),HT95)</f>
        <v>67.3316893520437</v>
      </c>
      <c r="HU96" s="20" t="n">
        <f aca="false">IF(HS96&gt;=0,1,0)</f>
        <v>0</v>
      </c>
      <c r="HV96" s="20" t="n">
        <f aca="false">MAX(0,HS96/12/F96)</f>
        <v>0</v>
      </c>
      <c r="HW96" s="20" t="n">
        <f aca="false">IF(AND(Has_q6=1,In_q6=4),PR_ShareVaries*(HV96),MIN(IF(Has_q6=1,CHOOSE(In_q6+1,PR_SaveB1,PR_SaveB2,PR_SaveB3,PR_SaveB4,0),AS_NoAnswer),AS_SaveShare*(HV96)))</f>
        <v>0</v>
      </c>
      <c r="HX96" s="20" t="n">
        <f aca="false">IF(Has_saveM=1,IF(In_saveUp="Yes",1,IF(In_saveUp="No",0,IF(In_saveM&gt;=HT96-0.5,1,0))),0)</f>
        <v>0</v>
      </c>
      <c r="HY96" s="20" t="n">
        <f aca="false">IF(Has_saveM=1,MIN(HV96,IF(HX96=1,MAX(In_saveM,HW96),MIN(In_saveM,HW96))),HW96)</f>
        <v>0</v>
      </c>
      <c r="HZ96" s="20" t="n">
        <f aca="false">IF(G96=1,HY96*12*F96,0)</f>
        <v>0</v>
      </c>
      <c r="IA96" s="20" t="n">
        <f aca="false">MAX(0,HZ96+IF(AND(WI_Retire=0,WI_M&lt;0,G96=1),WI_M*12*F96,0))</f>
        <v>0</v>
      </c>
      <c r="IB96" s="20" t="n">
        <f aca="false">Slot1_IsWG*W96+Slot2_IsWG*AH96+Slot3_IsWG*AR96+Slot4_IsWG*BB96+Slot5_IsWG*BL96+Slot6_IsWG*BV96+Slot7_IsWG*CF96+Slot8_IsWG*CP96+Slot9_IsWG*CZ96+Slot10_IsWG*DJ96+Slot11_IsWG*DT96+Slot12_IsWG*ED96+Slot13_IsWG*EN96+Slot14_IsWG*EX96+Slot15_IsWG*FH96+Slot16_IsWG*FR96+Slot17_IsWG*GB96+Slot18_IsWG*GL96+Slot19_IsWG*GV96+Slot20_IsWG*HF96</f>
        <v>0</v>
      </c>
      <c r="IC96" s="20" t="n">
        <f aca="false">IF(AND(WI_Retire=0,WI_M&gt;0,G96=1,IB96&gt;=1),WI_M*12*F96,0)</f>
        <v>0</v>
      </c>
      <c r="ID96" s="20" t="n">
        <f aca="false">IF(HU96=1,MIN(IA96,HS96),0)</f>
        <v>0</v>
      </c>
      <c r="IE96" s="20" t="n">
        <f aca="false">IF(HU96=1,MIN(IC96,HS96-ID96),0)</f>
        <v>0</v>
      </c>
      <c r="IF96" s="20" t="n">
        <f aca="false">IF(W96=1,IF(ABS((1+AS_Wage)/(1+Slot1_Rate)-1)&lt;0.000000000001,(Slot1_Age-D96)*(1+Slot1_Rate)^(Slot1_Age-D96),(1+Slot1_Rate)^(Slot1_Age-D96)*(1-((1+AS_Wage)/(1+Slot1_Rate))^(Slot1_Age-D96))/(1-(1+AS_Wage)/(1+Slot1_Rate))),1)</f>
        <v>1</v>
      </c>
      <c r="IG96" s="20" t="n">
        <f aca="false">IF(AND(HU96=1,IE96&gt;0,Slot1_IsWG=1,W96=1),MAX(0,(Slot1_Cost-X96*(1+Slot1_Rate)^(Slot1_Age-D96))/IF96),0)</f>
        <v>0</v>
      </c>
      <c r="IH96" s="20" t="n">
        <f aca="false">IF(AND(HU96=1,IE96&gt;0,Slot1_IsWG=1,W96=1),MIN(IE96,IG96),0)</f>
        <v>0</v>
      </c>
      <c r="II96" s="20" t="n">
        <f aca="false">X96+IH96</f>
        <v>0</v>
      </c>
      <c r="IJ96" s="20" t="n">
        <f aca="false">IF(W96=1,MAX(0,(Slot1_Cost-II96*(1+Slot1_Rate)^(Slot1_Age-D96))/IF96),0)</f>
        <v>0</v>
      </c>
      <c r="IK96" s="20" t="n">
        <f aca="false">IF(W96=1,MAX(0,(Slot1_Cost-X96*(1+Slot1_Rate)^(Slot1_Age-D96))/IF96),0)</f>
        <v>0</v>
      </c>
      <c r="IL96" s="20" t="n">
        <f aca="false">IF(AND(HU96=1,W96=1),MIN(ID96,IJ96),0)</f>
        <v>0</v>
      </c>
      <c r="IM96" s="20" t="n">
        <f aca="false">ID96-IL96</f>
        <v>0</v>
      </c>
      <c r="IN96" s="20" t="n">
        <f aca="false">IF(AH96=1,IF(ABS((1+AS_Wage)/(1+Slot2_Rate)-1)&lt;0.000000000001,(Slot2_Age-D96)*(1+Slot2_Rate)^(Slot2_Age-D96),(1+Slot2_Rate)^(Slot2_Age-D96)*(1-((1+AS_Wage)/(1+Slot2_Rate))^(Slot2_Age-D96))/(1-(1+AS_Wage)/(1+Slot2_Rate))),1)</f>
        <v>1</v>
      </c>
      <c r="IO96" s="20" t="n">
        <f aca="false">IF(AND(HU96=1,IE96&gt;0,Slot2_IsWG=1,AH96=1),MAX(0,(Slot2_Cost-AI96*(1+Slot2_Rate)^(Slot2_Age-D96))/IN96),0)</f>
        <v>0</v>
      </c>
      <c r="IP96" s="20" t="n">
        <f aca="false">IF(AND(HU96=1,IE96&gt;0,Slot2_IsWG=1,AH96=1),MIN(IE96,IO96),0)</f>
        <v>0</v>
      </c>
      <c r="IQ96" s="20" t="n">
        <f aca="false">AI96+IP96</f>
        <v>0</v>
      </c>
      <c r="IR96" s="20" t="n">
        <f aca="false">IF(AH96=1,MAX(0,(Slot2_Cost-IQ96*(1+Slot2_Rate)^(Slot2_Age-D96))/IN96),0)</f>
        <v>0</v>
      </c>
      <c r="IS96" s="20" t="n">
        <f aca="false">IF(AH96=1,MAX(0,(Slot2_Cost-AI96*(1+Slot2_Rate)^(Slot2_Age-D96))/IN96),0)</f>
        <v>0</v>
      </c>
      <c r="IT96" s="20" t="n">
        <f aca="false">IF(AND(HU96=1,AH96=1),MIN(IM96,IR96),0)</f>
        <v>0</v>
      </c>
      <c r="IU96" s="20" t="n">
        <f aca="false">IM96-IT96</f>
        <v>0</v>
      </c>
      <c r="IV96" s="20" t="n">
        <f aca="false">IF(AR96=1,IF(ABS((1+AS_Wage)/(1+Slot3_Rate)-1)&lt;0.000000000001,(Slot3_Age-D96)*(1+Slot3_Rate)^(Slot3_Age-D96),(1+Slot3_Rate)^(Slot3_Age-D96)*(1-((1+AS_Wage)/(1+Slot3_Rate))^(Slot3_Age-D96))/(1-(1+AS_Wage)/(1+Slot3_Rate))),1)</f>
        <v>1</v>
      </c>
      <c r="IW96" s="20" t="n">
        <f aca="false">IF(AND(HU96=1,IE96&gt;0,Slot3_IsWG=1,AR96=1),MAX(0,(Slot3_Cost-AS96*(1+Slot3_Rate)^(Slot3_Age-D96))/IV96),0)</f>
        <v>0</v>
      </c>
      <c r="IX96" s="20" t="n">
        <f aca="false">IF(AND(HU96=1,IE96&gt;0,Slot3_IsWG=1,AR96=1),MIN(IE96,IW96),0)</f>
        <v>0</v>
      </c>
      <c r="IY96" s="20" t="n">
        <f aca="false">AS96+IX96</f>
        <v>0</v>
      </c>
      <c r="IZ96" s="20" t="n">
        <f aca="false">IF(AR96=1,MAX(0,(Slot3_Cost-IY96*(1+Slot3_Rate)^(Slot3_Age-D96))/IV96),0)</f>
        <v>0</v>
      </c>
      <c r="JA96" s="20" t="n">
        <f aca="false">IF(AR96=1,MAX(0,(Slot3_Cost-AS96*(1+Slot3_Rate)^(Slot3_Age-D96))/IV96),0)</f>
        <v>0</v>
      </c>
      <c r="JB96" s="20" t="n">
        <f aca="false">IF(AND(HU96=1,AR96=1),MIN(IU96,IZ96),0)</f>
        <v>0</v>
      </c>
      <c r="JC96" s="20" t="n">
        <f aca="false">IU96-JB96</f>
        <v>0</v>
      </c>
      <c r="JD96" s="20" t="n">
        <f aca="false">IF(BB96=1,IF(ABS((1+AS_Wage)/(1+Slot4_Rate)-1)&lt;0.000000000001,(Slot4_Age-D96)*(1+Slot4_Rate)^(Slot4_Age-D96),(1+Slot4_Rate)^(Slot4_Age-D96)*(1-((1+AS_Wage)/(1+Slot4_Rate))^(Slot4_Age-D96))/(1-(1+AS_Wage)/(1+Slot4_Rate))),1)</f>
        <v>1</v>
      </c>
      <c r="JE96" s="20" t="n">
        <f aca="false">IF(AND(HU96=1,IE96&gt;0,Slot4_IsWG=1,BB96=1),MAX(0,(Slot4_Cost-BC96*(1+Slot4_Rate)^(Slot4_Age-D96))/JD96),0)</f>
        <v>0</v>
      </c>
      <c r="JF96" s="20" t="n">
        <f aca="false">IF(AND(HU96=1,IE96&gt;0,Slot4_IsWG=1,BB96=1),MIN(IE96,JE96),0)</f>
        <v>0</v>
      </c>
      <c r="JG96" s="20" t="n">
        <f aca="false">BC96+JF96</f>
        <v>0</v>
      </c>
      <c r="JH96" s="20" t="n">
        <f aca="false">IF(BB96=1,MAX(0,(Slot4_Cost-JG96*(1+Slot4_Rate)^(Slot4_Age-D96))/JD96),0)</f>
        <v>0</v>
      </c>
      <c r="JI96" s="20" t="n">
        <f aca="false">IF(BB96=1,MAX(0,(Slot4_Cost-BC96*(1+Slot4_Rate)^(Slot4_Age-D96))/JD96),0)</f>
        <v>0</v>
      </c>
      <c r="JJ96" s="20" t="n">
        <f aca="false">IF(AND(HU96=1,BB96=1),MIN(JC96,JH96),0)</f>
        <v>0</v>
      </c>
      <c r="JK96" s="20" t="n">
        <f aca="false">JC96-JJ96</f>
        <v>0</v>
      </c>
      <c r="JL96" s="20" t="n">
        <f aca="false">IF(BL96=1,IF(ABS((1+AS_Wage)/(1+Slot5_Rate)-1)&lt;0.000000000001,(Slot5_Age-D96)*(1+Slot5_Rate)^(Slot5_Age-D96),(1+Slot5_Rate)^(Slot5_Age-D96)*(1-((1+AS_Wage)/(1+Slot5_Rate))^(Slot5_Age-D96))/(1-(1+AS_Wage)/(1+Slot5_Rate))),1)</f>
        <v>1</v>
      </c>
      <c r="JM96" s="20" t="n">
        <f aca="false">IF(AND(HU96=1,IE96&gt;0,Slot5_IsWG=1,BL96=1),MAX(0,(Slot5_Cost-BM96*(1+Slot5_Rate)^(Slot5_Age-D96))/JL96),0)</f>
        <v>0</v>
      </c>
      <c r="JN96" s="20" t="n">
        <f aca="false">IF(AND(HU96=1,IE96&gt;0,Slot5_IsWG=1,BL96=1),MIN(IE96,JM96),0)</f>
        <v>0</v>
      </c>
      <c r="JO96" s="20" t="n">
        <f aca="false">BM96+JN96</f>
        <v>0</v>
      </c>
      <c r="JP96" s="20" t="n">
        <f aca="false">IF(BL96=1,MAX(0,(Slot5_Cost-JO96*(1+Slot5_Rate)^(Slot5_Age-D96))/JL96),0)</f>
        <v>0</v>
      </c>
      <c r="JQ96" s="20" t="n">
        <f aca="false">IF(BL96=1,MAX(0,(Slot5_Cost-BM96*(1+Slot5_Rate)^(Slot5_Age-D96))/JL96),0)</f>
        <v>0</v>
      </c>
      <c r="JR96" s="20" t="n">
        <f aca="false">IF(AND(HU96=1,BL96=1),MIN(JK96,JP96),0)</f>
        <v>0</v>
      </c>
      <c r="JS96" s="20" t="n">
        <f aca="false">JK96-JR96</f>
        <v>0</v>
      </c>
      <c r="JT96" s="20" t="n">
        <f aca="false">IF(BV96=1,IF(ABS((1+AS_Wage)/(1+Slot6_Rate)-1)&lt;0.000000000001,(Slot6_Age-D96)*(1+Slot6_Rate)^(Slot6_Age-D96),(1+Slot6_Rate)^(Slot6_Age-D96)*(1-((1+AS_Wage)/(1+Slot6_Rate))^(Slot6_Age-D96))/(1-(1+AS_Wage)/(1+Slot6_Rate))),1)</f>
        <v>1</v>
      </c>
      <c r="JU96" s="20" t="n">
        <f aca="false">IF(AND(HU96=1,IE96&gt;0,Slot6_IsWG=1,BV96=1),MAX(0,(Slot6_Cost-BW96*(1+Slot6_Rate)^(Slot6_Age-D96))/JT96),0)</f>
        <v>0</v>
      </c>
      <c r="JV96" s="20" t="n">
        <f aca="false">IF(AND(HU96=1,IE96&gt;0,Slot6_IsWG=1,BV96=1),MIN(IE96,JU96),0)</f>
        <v>0</v>
      </c>
      <c r="JW96" s="20" t="n">
        <f aca="false">BW96+JV96</f>
        <v>0</v>
      </c>
      <c r="JX96" s="20" t="n">
        <f aca="false">IF(BV96=1,MAX(0,(Slot6_Cost-JW96*(1+Slot6_Rate)^(Slot6_Age-D96))/JT96),0)</f>
        <v>0</v>
      </c>
      <c r="JY96" s="20" t="n">
        <f aca="false">IF(BV96=1,MAX(0,(Slot6_Cost-BW96*(1+Slot6_Rate)^(Slot6_Age-D96))/JT96),0)</f>
        <v>0</v>
      </c>
      <c r="JZ96" s="20" t="n">
        <f aca="false">IF(AND(HU96=1,BV96=1),MIN(JS96,JX96),0)</f>
        <v>0</v>
      </c>
      <c r="KA96" s="20" t="n">
        <f aca="false">JS96-JZ96</f>
        <v>0</v>
      </c>
      <c r="KB96" s="20" t="n">
        <f aca="false">IF(CF96=1,IF(ABS((1+AS_Wage)/(1+Slot7_Rate)-1)&lt;0.000000000001,(Slot7_Age-D96)*(1+Slot7_Rate)^(Slot7_Age-D96),(1+Slot7_Rate)^(Slot7_Age-D96)*(1-((1+AS_Wage)/(1+Slot7_Rate))^(Slot7_Age-D96))/(1-(1+AS_Wage)/(1+Slot7_Rate))),1)</f>
        <v>1</v>
      </c>
      <c r="KC96" s="20" t="n">
        <f aca="false">IF(AND(HU96=1,IE96&gt;0,Slot7_IsWG=1,CF96=1),MAX(0,(Slot7_Cost-CG96*(1+Slot7_Rate)^(Slot7_Age-D96))/KB96),0)</f>
        <v>0</v>
      </c>
      <c r="KD96" s="20" t="n">
        <f aca="false">IF(AND(HU96=1,IE96&gt;0,Slot7_IsWG=1,CF96=1),MIN(IE96,KC96),0)</f>
        <v>0</v>
      </c>
      <c r="KE96" s="20" t="n">
        <f aca="false">CG96+KD96</f>
        <v>0</v>
      </c>
      <c r="KF96" s="20" t="n">
        <f aca="false">IF(CF96=1,MAX(0,(Slot7_Cost-KE96*(1+Slot7_Rate)^(Slot7_Age-D96))/KB96),0)</f>
        <v>0</v>
      </c>
      <c r="KG96" s="20" t="n">
        <f aca="false">IF(CF96=1,MAX(0,(Slot7_Cost-CG96*(1+Slot7_Rate)^(Slot7_Age-D96))/KB96),0)</f>
        <v>0</v>
      </c>
      <c r="KH96" s="20" t="n">
        <f aca="false">IF(AND(HU96=1,CF96=1),MIN(KA96,KF96),0)</f>
        <v>0</v>
      </c>
      <c r="KI96" s="20" t="n">
        <f aca="false">KA96-KH96</f>
        <v>0</v>
      </c>
      <c r="KJ96" s="20" t="n">
        <f aca="false">IF(CP96=1,IF(ABS((1+AS_Wage)/(1+Slot8_Rate)-1)&lt;0.000000000001,(Slot8_Age-D96)*(1+Slot8_Rate)^(Slot8_Age-D96),(1+Slot8_Rate)^(Slot8_Age-D96)*(1-((1+AS_Wage)/(1+Slot8_Rate))^(Slot8_Age-D96))/(1-(1+AS_Wage)/(1+Slot8_Rate))),1)</f>
        <v>1</v>
      </c>
      <c r="KK96" s="20" t="n">
        <f aca="false">IF(AND(HU96=1,IE96&gt;0,Slot8_IsWG=1,CP96=1),MAX(0,(Slot8_Cost-CQ96*(1+Slot8_Rate)^(Slot8_Age-D96))/KJ96),0)</f>
        <v>0</v>
      </c>
      <c r="KL96" s="20" t="n">
        <f aca="false">IF(AND(HU96=1,IE96&gt;0,Slot8_IsWG=1,CP96=1),MIN(IE96,KK96),0)</f>
        <v>0</v>
      </c>
      <c r="KM96" s="20" t="n">
        <f aca="false">CQ96+KL96</f>
        <v>0</v>
      </c>
      <c r="KN96" s="20" t="n">
        <f aca="false">IF(CP96=1,MAX(0,(Slot8_Cost-KM96*(1+Slot8_Rate)^(Slot8_Age-D96))/KJ96),0)</f>
        <v>0</v>
      </c>
      <c r="KO96" s="20" t="n">
        <f aca="false">IF(CP96=1,MAX(0,(Slot8_Cost-CQ96*(1+Slot8_Rate)^(Slot8_Age-D96))/KJ96),0)</f>
        <v>0</v>
      </c>
      <c r="KP96" s="20" t="n">
        <f aca="false">IF(AND(HU96=1,CP96=1),MIN(KI96,KN96),0)</f>
        <v>0</v>
      </c>
      <c r="KQ96" s="20" t="n">
        <f aca="false">KI96-KP96</f>
        <v>0</v>
      </c>
      <c r="KR96" s="20" t="n">
        <f aca="false">IF(CZ96=1,IF(ABS((1+AS_Wage)/(1+Slot9_Rate)-1)&lt;0.000000000001,(Slot9_Age-D96)*(1+Slot9_Rate)^(Slot9_Age-D96),(1+Slot9_Rate)^(Slot9_Age-D96)*(1-((1+AS_Wage)/(1+Slot9_Rate))^(Slot9_Age-D96))/(1-(1+AS_Wage)/(1+Slot9_Rate))),1)</f>
        <v>1</v>
      </c>
      <c r="KS96" s="20" t="n">
        <f aca="false">IF(AND(HU96=1,IE96&gt;0,Slot9_IsWG=1,CZ96=1),MAX(0,(Slot9_Cost-DA96*(1+Slot9_Rate)^(Slot9_Age-D96))/KR96),0)</f>
        <v>0</v>
      </c>
      <c r="KT96" s="20" t="n">
        <f aca="false">IF(AND(HU96=1,IE96&gt;0,Slot9_IsWG=1,CZ96=1),MIN(IE96,KS96),0)</f>
        <v>0</v>
      </c>
      <c r="KU96" s="20" t="n">
        <f aca="false">DA96+KT96</f>
        <v>0</v>
      </c>
      <c r="KV96" s="20" t="n">
        <f aca="false">IF(CZ96=1,MAX(0,(Slot9_Cost-KU96*(1+Slot9_Rate)^(Slot9_Age-D96))/KR96),0)</f>
        <v>0</v>
      </c>
      <c r="KW96" s="20" t="n">
        <f aca="false">IF(CZ96=1,MAX(0,(Slot9_Cost-DA96*(1+Slot9_Rate)^(Slot9_Age-D96))/KR96),0)</f>
        <v>0</v>
      </c>
      <c r="KX96" s="20" t="n">
        <f aca="false">IF(AND(HU96=1,CZ96=1),MIN(KQ96,KV96),0)</f>
        <v>0</v>
      </c>
      <c r="KY96" s="20" t="n">
        <f aca="false">KQ96-KX96</f>
        <v>0</v>
      </c>
      <c r="KZ96" s="20" t="n">
        <f aca="false">IF(DJ96=1,IF(ABS((1+AS_Wage)/(1+Slot10_Rate)-1)&lt;0.000000000001,(Slot10_Age-D96)*(1+Slot10_Rate)^(Slot10_Age-D96),(1+Slot10_Rate)^(Slot10_Age-D96)*(1-((1+AS_Wage)/(1+Slot10_Rate))^(Slot10_Age-D96))/(1-(1+AS_Wage)/(1+Slot10_Rate))),1)</f>
        <v>1</v>
      </c>
      <c r="LA96" s="20" t="n">
        <f aca="false">IF(AND(HU96=1,IE96&gt;0,Slot10_IsWG=1,DJ96=1),MAX(0,(Slot10_Cost-DK96*(1+Slot10_Rate)^(Slot10_Age-D96))/KZ96),0)</f>
        <v>0</v>
      </c>
      <c r="LB96" s="20" t="n">
        <f aca="false">IF(AND(HU96=1,IE96&gt;0,Slot10_IsWG=1,DJ96=1),MIN(IE96,LA96),0)</f>
        <v>0</v>
      </c>
      <c r="LC96" s="20" t="n">
        <f aca="false">DK96+LB96</f>
        <v>0</v>
      </c>
      <c r="LD96" s="20" t="n">
        <f aca="false">IF(DJ96=1,MAX(0,(Slot10_Cost-LC96*(1+Slot10_Rate)^(Slot10_Age-D96))/KZ96),0)</f>
        <v>0</v>
      </c>
      <c r="LE96" s="20" t="n">
        <f aca="false">IF(DJ96=1,MAX(0,(Slot10_Cost-DK96*(1+Slot10_Rate)^(Slot10_Age-D96))/KZ96),0)</f>
        <v>0</v>
      </c>
      <c r="LF96" s="20" t="n">
        <f aca="false">IF(AND(HU96=1,DJ96=1),MIN(KY96,LD96),0)</f>
        <v>0</v>
      </c>
      <c r="LG96" s="20" t="n">
        <f aca="false">KY96-LF96</f>
        <v>0</v>
      </c>
      <c r="LH96" s="20" t="n">
        <f aca="false">IF(DT96=1,IF(ABS((1+AS_Wage)/(1+Slot11_Rate)-1)&lt;0.000000000001,(Slot11_Age-D96)*(1+Slot11_Rate)^(Slot11_Age-D96),(1+Slot11_Rate)^(Slot11_Age-D96)*(1-((1+AS_Wage)/(1+Slot11_Rate))^(Slot11_Age-D96))/(1-(1+AS_Wage)/(1+Slot11_Rate))),1)</f>
        <v>1</v>
      </c>
      <c r="LI96" s="20" t="n">
        <f aca="false">IF(AND(HU96=1,IE96&gt;0,Slot11_IsWG=1,DT96=1),MAX(0,(Slot11_Cost-DU96*(1+Slot11_Rate)^(Slot11_Age-D96))/LH96),0)</f>
        <v>0</v>
      </c>
      <c r="LJ96" s="20" t="n">
        <f aca="false">IF(AND(HU96=1,IE96&gt;0,Slot11_IsWG=1,DT96=1),MIN(IE96,LI96),0)</f>
        <v>0</v>
      </c>
      <c r="LK96" s="20" t="n">
        <f aca="false">DU96+LJ96</f>
        <v>0</v>
      </c>
      <c r="LL96" s="20" t="n">
        <f aca="false">IF(DT96=1,MAX(0,(Slot11_Cost-LK96*(1+Slot11_Rate)^(Slot11_Age-D96))/LH96),0)</f>
        <v>0</v>
      </c>
      <c r="LM96" s="20" t="n">
        <f aca="false">IF(DT96=1,MAX(0,(Slot11_Cost-DU96*(1+Slot11_Rate)^(Slot11_Age-D96))/LH96),0)</f>
        <v>0</v>
      </c>
      <c r="LN96" s="20" t="n">
        <f aca="false">IF(AND(HU96=1,DT96=1),MIN(LG96,LL96),0)</f>
        <v>0</v>
      </c>
      <c r="LO96" s="20" t="n">
        <f aca="false">LG96-LN96</f>
        <v>0</v>
      </c>
      <c r="LP96" s="20" t="n">
        <f aca="false">IF(ED96=1,IF(ABS((1+AS_Wage)/(1+Slot12_Rate)-1)&lt;0.000000000001,(Slot12_Age-D96)*(1+Slot12_Rate)^(Slot12_Age-D96),(1+Slot12_Rate)^(Slot12_Age-D96)*(1-((1+AS_Wage)/(1+Slot12_Rate))^(Slot12_Age-D96))/(1-(1+AS_Wage)/(1+Slot12_Rate))),1)</f>
        <v>1</v>
      </c>
      <c r="LQ96" s="20" t="n">
        <f aca="false">IF(AND(HU96=1,IE96&gt;0,Slot12_IsWG=1,ED96=1),MAX(0,(Slot12_Cost-EE96*(1+Slot12_Rate)^(Slot12_Age-D96))/LP96),0)</f>
        <v>0</v>
      </c>
      <c r="LR96" s="20" t="n">
        <f aca="false">IF(AND(HU96=1,IE96&gt;0,Slot12_IsWG=1,ED96=1),MIN(IE96,LQ96),0)</f>
        <v>0</v>
      </c>
      <c r="LS96" s="20" t="n">
        <f aca="false">EE96+LR96</f>
        <v>0</v>
      </c>
      <c r="LT96" s="20" t="n">
        <f aca="false">IF(ED96=1,MAX(0,(Slot12_Cost-LS96*(1+Slot12_Rate)^(Slot12_Age-D96))/LP96),0)</f>
        <v>0</v>
      </c>
      <c r="LU96" s="20" t="n">
        <f aca="false">IF(ED96=1,MAX(0,(Slot12_Cost-EE96*(1+Slot12_Rate)^(Slot12_Age-D96))/LP96),0)</f>
        <v>0</v>
      </c>
      <c r="LV96" s="20" t="n">
        <f aca="false">IF(AND(HU96=1,ED96=1),MIN(LO96,LT96),0)</f>
        <v>0</v>
      </c>
      <c r="LW96" s="20" t="n">
        <f aca="false">LO96-LV96</f>
        <v>0</v>
      </c>
      <c r="LX96" s="20" t="n">
        <f aca="false">IF(EN96=1,IF(ABS((1+AS_Wage)/(1+Slot13_Rate)-1)&lt;0.000000000001,(Slot13_Age-D96)*(1+Slot13_Rate)^(Slot13_Age-D96),(1+Slot13_Rate)^(Slot13_Age-D96)*(1-((1+AS_Wage)/(1+Slot13_Rate))^(Slot13_Age-D96))/(1-(1+AS_Wage)/(1+Slot13_Rate))),1)</f>
        <v>1</v>
      </c>
      <c r="LY96" s="20" t="n">
        <f aca="false">IF(AND(HU96=1,IE96&gt;0,Slot13_IsWG=1,EN96=1),MAX(0,(Slot13_Cost-EO96*(1+Slot13_Rate)^(Slot13_Age-D96))/LX96),0)</f>
        <v>0</v>
      </c>
      <c r="LZ96" s="20" t="n">
        <f aca="false">IF(AND(HU96=1,IE96&gt;0,Slot13_IsWG=1,EN96=1),MIN(IE96,LY96),0)</f>
        <v>0</v>
      </c>
      <c r="MA96" s="20" t="n">
        <f aca="false">EO96+LZ96</f>
        <v>0</v>
      </c>
      <c r="MB96" s="20" t="n">
        <f aca="false">IF(EN96=1,MAX(0,(Slot13_Cost-MA96*(1+Slot13_Rate)^(Slot13_Age-D96))/LX96),0)</f>
        <v>0</v>
      </c>
      <c r="MC96" s="20" t="n">
        <f aca="false">IF(EN96=1,MAX(0,(Slot13_Cost-EO96*(1+Slot13_Rate)^(Slot13_Age-D96))/LX96),0)</f>
        <v>0</v>
      </c>
      <c r="MD96" s="20" t="n">
        <f aca="false">IF(AND(HU96=1,EN96=1),MIN(LW96,MB96),0)</f>
        <v>0</v>
      </c>
      <c r="ME96" s="20" t="n">
        <f aca="false">LW96-MD96</f>
        <v>0</v>
      </c>
      <c r="MF96" s="20" t="n">
        <f aca="false">IF(EX96=1,IF(ABS((1+AS_Wage)/(1+Slot14_Rate)-1)&lt;0.000000000001,(Slot14_Age-D96)*(1+Slot14_Rate)^(Slot14_Age-D96),(1+Slot14_Rate)^(Slot14_Age-D96)*(1-((1+AS_Wage)/(1+Slot14_Rate))^(Slot14_Age-D96))/(1-(1+AS_Wage)/(1+Slot14_Rate))),1)</f>
        <v>1</v>
      </c>
      <c r="MG96" s="20" t="n">
        <f aca="false">IF(AND(HU96=1,IE96&gt;0,Slot14_IsWG=1,EX96=1),MAX(0,(Slot14_Cost-EY96*(1+Slot14_Rate)^(Slot14_Age-D96))/MF96),0)</f>
        <v>0</v>
      </c>
      <c r="MH96" s="20" t="n">
        <f aca="false">IF(AND(HU96=1,IE96&gt;0,Slot14_IsWG=1,EX96=1),MIN(IE96,MG96),0)</f>
        <v>0</v>
      </c>
      <c r="MI96" s="20" t="n">
        <f aca="false">EY96+MH96</f>
        <v>0</v>
      </c>
      <c r="MJ96" s="20" t="n">
        <f aca="false">IF(EX96=1,MAX(0,(Slot14_Cost-MI96*(1+Slot14_Rate)^(Slot14_Age-D96))/MF96),0)</f>
        <v>0</v>
      </c>
      <c r="MK96" s="20" t="n">
        <f aca="false">IF(EX96=1,MAX(0,(Slot14_Cost-EY96*(1+Slot14_Rate)^(Slot14_Age-D96))/MF96),0)</f>
        <v>0</v>
      </c>
      <c r="ML96" s="20" t="n">
        <f aca="false">IF(AND(HU96=1,EX96=1),MIN(ME96,MJ96),0)</f>
        <v>0</v>
      </c>
      <c r="MM96" s="20" t="n">
        <f aca="false">ME96-ML96</f>
        <v>0</v>
      </c>
      <c r="MN96" s="20" t="n">
        <f aca="false">IF(FH96=1,IF(ABS((1+AS_Wage)/(1+Slot15_Rate)-1)&lt;0.000000000001,(Slot15_Age-D96)*(1+Slot15_Rate)^(Slot15_Age-D96),(1+Slot15_Rate)^(Slot15_Age-D96)*(1-((1+AS_Wage)/(1+Slot15_Rate))^(Slot15_Age-D96))/(1-(1+AS_Wage)/(1+Slot15_Rate))),1)</f>
        <v>1</v>
      </c>
      <c r="MO96" s="20" t="n">
        <f aca="false">IF(AND(HU96=1,IE96&gt;0,Slot15_IsWG=1,FH96=1),MAX(0,(Slot15_Cost-FI96*(1+Slot15_Rate)^(Slot15_Age-D96))/MN96),0)</f>
        <v>0</v>
      </c>
      <c r="MP96" s="20" t="n">
        <f aca="false">IF(AND(HU96=1,IE96&gt;0,Slot15_IsWG=1,FH96=1),MIN(IE96,MO96),0)</f>
        <v>0</v>
      </c>
      <c r="MQ96" s="20" t="n">
        <f aca="false">FI96+MP96</f>
        <v>0</v>
      </c>
      <c r="MR96" s="20" t="n">
        <f aca="false">IF(FH96=1,MAX(0,(Slot15_Cost-MQ96*(1+Slot15_Rate)^(Slot15_Age-D96))/MN96),0)</f>
        <v>0</v>
      </c>
      <c r="MS96" s="20" t="n">
        <f aca="false">IF(FH96=1,MAX(0,(Slot15_Cost-FI96*(1+Slot15_Rate)^(Slot15_Age-D96))/MN96),0)</f>
        <v>0</v>
      </c>
      <c r="MT96" s="20" t="n">
        <f aca="false">IF(AND(HU96=1,FH96=1),MIN(MM96,MR96),0)</f>
        <v>0</v>
      </c>
      <c r="MU96" s="20" t="n">
        <f aca="false">MM96-MT96</f>
        <v>0</v>
      </c>
      <c r="MV96" s="20" t="n">
        <f aca="false">IF(FR96=1,IF(ABS((1+AS_Wage)/(1+Slot16_Rate)-1)&lt;0.000000000001,(Slot16_Age-D96)*(1+Slot16_Rate)^(Slot16_Age-D96),(1+Slot16_Rate)^(Slot16_Age-D96)*(1-((1+AS_Wage)/(1+Slot16_Rate))^(Slot16_Age-D96))/(1-(1+AS_Wage)/(1+Slot16_Rate))),1)</f>
        <v>1</v>
      </c>
      <c r="MW96" s="20" t="n">
        <f aca="false">IF(AND(HU96=1,IE96&gt;0,Slot16_IsWG=1,FR96=1),MAX(0,(Slot16_Cost-FS96*(1+Slot16_Rate)^(Slot16_Age-D96))/MV96),0)</f>
        <v>0</v>
      </c>
      <c r="MX96" s="20" t="n">
        <f aca="false">IF(AND(HU96=1,IE96&gt;0,Slot16_IsWG=1,FR96=1),MIN(IE96,MW96),0)</f>
        <v>0</v>
      </c>
      <c r="MY96" s="20" t="n">
        <f aca="false">FS96+MX96</f>
        <v>0</v>
      </c>
      <c r="MZ96" s="20" t="n">
        <f aca="false">IF(FR96=1,MAX(0,(Slot16_Cost-MY96*(1+Slot16_Rate)^(Slot16_Age-D96))/MV96),0)</f>
        <v>0</v>
      </c>
      <c r="NA96" s="20" t="n">
        <f aca="false">IF(FR96=1,MAX(0,(Slot16_Cost-FS96*(1+Slot16_Rate)^(Slot16_Age-D96))/MV96),0)</f>
        <v>0</v>
      </c>
      <c r="NB96" s="20" t="n">
        <f aca="false">IF(AND(HU96=1,FR96=1),MIN(MU96,MZ96),0)</f>
        <v>0</v>
      </c>
      <c r="NC96" s="20" t="n">
        <f aca="false">MU96-NB96</f>
        <v>0</v>
      </c>
      <c r="ND96" s="20" t="n">
        <f aca="false">IF(GB96=1,IF(ABS((1+AS_Wage)/(1+Slot17_Rate)-1)&lt;0.000000000001,(Slot17_Age-D96)*(1+Slot17_Rate)^(Slot17_Age-D96),(1+Slot17_Rate)^(Slot17_Age-D96)*(1-((1+AS_Wage)/(1+Slot17_Rate))^(Slot17_Age-D96))/(1-(1+AS_Wage)/(1+Slot17_Rate))),1)</f>
        <v>1</v>
      </c>
      <c r="NE96" s="20" t="n">
        <f aca="false">IF(AND(HU96=1,IE96&gt;0,Slot17_IsWG=1,GB96=1),MAX(0,(Slot17_Cost-GC96*(1+Slot17_Rate)^(Slot17_Age-D96))/ND96),0)</f>
        <v>0</v>
      </c>
      <c r="NF96" s="20" t="n">
        <f aca="false">IF(AND(HU96=1,IE96&gt;0,Slot17_IsWG=1,GB96=1),MIN(IE96,NE96),0)</f>
        <v>0</v>
      </c>
      <c r="NG96" s="20" t="n">
        <f aca="false">GC96+NF96</f>
        <v>0</v>
      </c>
      <c r="NH96" s="20" t="n">
        <f aca="false">IF(GB96=1,MAX(0,(Slot17_Cost-NG96*(1+Slot17_Rate)^(Slot17_Age-D96))/ND96),0)</f>
        <v>0</v>
      </c>
      <c r="NI96" s="20" t="n">
        <f aca="false">IF(GB96=1,MAX(0,(Slot17_Cost-GC96*(1+Slot17_Rate)^(Slot17_Age-D96))/ND96),0)</f>
        <v>0</v>
      </c>
      <c r="NJ96" s="20" t="n">
        <f aca="false">IF(AND(HU96=1,GB96=1),MIN(NC96,NH96),0)</f>
        <v>0</v>
      </c>
      <c r="NK96" s="20" t="n">
        <f aca="false">NC96-NJ96</f>
        <v>0</v>
      </c>
      <c r="NL96" s="20" t="n">
        <f aca="false">IF(GL96=1,IF(ABS((1+AS_Wage)/(1+Slot18_Rate)-1)&lt;0.000000000001,(Slot18_Age-D96)*(1+Slot18_Rate)^(Slot18_Age-D96),(1+Slot18_Rate)^(Slot18_Age-D96)*(1-((1+AS_Wage)/(1+Slot18_Rate))^(Slot18_Age-D96))/(1-(1+AS_Wage)/(1+Slot18_Rate))),1)</f>
        <v>1</v>
      </c>
      <c r="NM96" s="20" t="n">
        <f aca="false">IF(AND(HU96=1,IE96&gt;0,Slot18_IsWG=1,GL96=1),MAX(0,(Slot18_Cost-GM96*(1+Slot18_Rate)^(Slot18_Age-D96))/NL96),0)</f>
        <v>0</v>
      </c>
      <c r="NN96" s="20" t="n">
        <f aca="false">IF(AND(HU96=1,IE96&gt;0,Slot18_IsWG=1,GL96=1),MIN(IE96,NM96),0)</f>
        <v>0</v>
      </c>
      <c r="NO96" s="20" t="n">
        <f aca="false">GM96+NN96</f>
        <v>0</v>
      </c>
      <c r="NP96" s="20" t="n">
        <f aca="false">IF(GL96=1,MAX(0,(Slot18_Cost-NO96*(1+Slot18_Rate)^(Slot18_Age-D96))/NL96),0)</f>
        <v>0</v>
      </c>
      <c r="NQ96" s="20" t="n">
        <f aca="false">IF(GL96=1,MAX(0,(Slot18_Cost-GM96*(1+Slot18_Rate)^(Slot18_Age-D96))/NL96),0)</f>
        <v>0</v>
      </c>
      <c r="NR96" s="20" t="n">
        <f aca="false">IF(AND(HU96=1,GL96=1),MIN(NK96,NP96),0)</f>
        <v>0</v>
      </c>
      <c r="NS96" s="20" t="n">
        <f aca="false">NK96-NR96</f>
        <v>0</v>
      </c>
      <c r="NT96" s="20" t="n">
        <f aca="false">IF(GV96=1,IF(ABS((1+AS_Wage)/(1+Slot19_Rate)-1)&lt;0.000000000001,(Slot19_Age-D96)*(1+Slot19_Rate)^(Slot19_Age-D96),(1+Slot19_Rate)^(Slot19_Age-D96)*(1-((1+AS_Wage)/(1+Slot19_Rate))^(Slot19_Age-D96))/(1-(1+AS_Wage)/(1+Slot19_Rate))),1)</f>
        <v>1</v>
      </c>
      <c r="NU96" s="20" t="n">
        <f aca="false">IF(AND(HU96=1,IE96&gt;0,Slot19_IsWG=1,GV96=1),MAX(0,(Slot19_Cost-GW96*(1+Slot19_Rate)^(Slot19_Age-D96))/NT96),0)</f>
        <v>0</v>
      </c>
      <c r="NV96" s="20" t="n">
        <f aca="false">IF(AND(HU96=1,IE96&gt;0,Slot19_IsWG=1,GV96=1),MIN(IE96,NU96),0)</f>
        <v>0</v>
      </c>
      <c r="NW96" s="20" t="n">
        <f aca="false">GW96+NV96</f>
        <v>0</v>
      </c>
      <c r="NX96" s="20" t="n">
        <f aca="false">IF(GV96=1,MAX(0,(Slot19_Cost-NW96*(1+Slot19_Rate)^(Slot19_Age-D96))/NT96),0)</f>
        <v>0</v>
      </c>
      <c r="NY96" s="20" t="n">
        <f aca="false">IF(GV96=1,MAX(0,(Slot19_Cost-GW96*(1+Slot19_Rate)^(Slot19_Age-D96))/NT96),0)</f>
        <v>0</v>
      </c>
      <c r="NZ96" s="20" t="n">
        <f aca="false">IF(AND(HU96=1,GV96=1),MIN(NS96,NX96),0)</f>
        <v>0</v>
      </c>
      <c r="OA96" s="20" t="n">
        <f aca="false">NS96-NZ96</f>
        <v>0</v>
      </c>
      <c r="OB96" s="20" t="n">
        <f aca="false">IF(HF96=1,IF(ABS((1+AS_Wage)/(1+Slot20_Rate)-1)&lt;0.000000000001,(Slot20_Age-D96)*(1+Slot20_Rate)^(Slot20_Age-D96),(1+Slot20_Rate)^(Slot20_Age-D96)*(1-((1+AS_Wage)/(1+Slot20_Rate))^(Slot20_Age-D96))/(1-(1+AS_Wage)/(1+Slot20_Rate))),1)</f>
        <v>1</v>
      </c>
      <c r="OC96" s="20" t="n">
        <f aca="false">IF(AND(HU96=1,IE96&gt;0,Slot20_IsWG=1,HF96=1),MAX(0,(Slot20_Cost-HG96*(1+Slot20_Rate)^(Slot20_Age-D96))/OB96),0)</f>
        <v>0</v>
      </c>
      <c r="OD96" s="20" t="n">
        <f aca="false">IF(AND(HU96=1,IE96&gt;0,Slot20_IsWG=1,HF96=1),MIN(IE96,OC96),0)</f>
        <v>0</v>
      </c>
      <c r="OE96" s="20" t="n">
        <f aca="false">HG96+OD96</f>
        <v>0</v>
      </c>
      <c r="OF96" s="20" t="n">
        <f aca="false">IF(HF96=1,MAX(0,(Slot20_Cost-OE96*(1+Slot20_Rate)^(Slot20_Age-D96))/OB96),0)</f>
        <v>0</v>
      </c>
      <c r="OG96" s="20" t="n">
        <f aca="false">IF(HF96=1,MAX(0,(Slot20_Cost-HG96*(1+Slot20_Rate)^(Slot20_Age-D96))/OB96),0)</f>
        <v>0</v>
      </c>
      <c r="OH96" s="20" t="n">
        <f aca="false">IF(AND(HU96=1,HF96=1),MIN(OA96,OF96),0)</f>
        <v>0</v>
      </c>
      <c r="OI96" s="20" t="n">
        <f aca="false">OA96-OH96</f>
        <v>0</v>
      </c>
      <c r="OJ96" s="20" t="n">
        <f aca="false">IE96-(IH96+IP96+IX96+JF96+JN96+JV96+KD96+KL96+KT96+LB96+LJ96+LR96+LZ96+MH96+MP96+MX96+NF96+NN96+NV96+OD96)</f>
        <v>0</v>
      </c>
      <c r="OK96" s="20" t="n">
        <f aca="false">IF(HU96=1,HS96-ID96-IE96,0)</f>
        <v>0</v>
      </c>
      <c r="OL96" s="20" t="n">
        <f aca="false">IF(HU96=0,-HS96,0)</f>
        <v>110051.470691561</v>
      </c>
      <c r="OM96" s="20" t="n">
        <f aca="false">MIN(OL96,HK96)</f>
        <v>0</v>
      </c>
      <c r="ON96" s="20" t="n">
        <f aca="false">OL96-OM96</f>
        <v>110051.470691561</v>
      </c>
      <c r="OO96" s="20" t="n">
        <f aca="false">MIN(ON96,HL96)</f>
        <v>0</v>
      </c>
      <c r="OP96" s="20" t="n">
        <f aca="false">ON96-OO96</f>
        <v>110051.470691561</v>
      </c>
      <c r="OQ96" s="20" t="n">
        <f aca="false">IF(AND(HU96=0,HF96=1,OP96&gt;0),MIN(OP96,HG96),0)</f>
        <v>0</v>
      </c>
      <c r="OR96" s="20" t="n">
        <f aca="false">OP96-OQ96</f>
        <v>110051.470691561</v>
      </c>
      <c r="OS96" s="20" t="n">
        <f aca="false">IF(AND(HU96=0,GV96=1,OR96&gt;0),MIN(OR96,GW96),0)</f>
        <v>0</v>
      </c>
      <c r="OT96" s="20" t="n">
        <f aca="false">OR96-OS96</f>
        <v>110051.470691561</v>
      </c>
      <c r="OU96" s="20" t="n">
        <f aca="false">IF(AND(HU96=0,GL96=1,OT96&gt;0),MIN(OT96,GM96),0)</f>
        <v>0</v>
      </c>
      <c r="OV96" s="20" t="n">
        <f aca="false">OT96-OU96</f>
        <v>110051.470691561</v>
      </c>
      <c r="OW96" s="20" t="n">
        <f aca="false">IF(AND(HU96=0,GB96=1,OV96&gt;0),MIN(OV96,GC96),0)</f>
        <v>0</v>
      </c>
      <c r="OX96" s="20" t="n">
        <f aca="false">OV96-OW96</f>
        <v>110051.470691561</v>
      </c>
      <c r="OY96" s="20" t="n">
        <f aca="false">IF(AND(HU96=0,FR96=1,OX96&gt;0),MIN(OX96,FS96),0)</f>
        <v>0</v>
      </c>
      <c r="OZ96" s="20" t="n">
        <f aca="false">OX96-OY96</f>
        <v>110051.470691561</v>
      </c>
      <c r="PA96" s="20" t="n">
        <f aca="false">IF(AND(HU96=0,FH96=1,OZ96&gt;0),MIN(OZ96,FI96),0)</f>
        <v>0</v>
      </c>
      <c r="PB96" s="20" t="n">
        <f aca="false">OZ96-PA96</f>
        <v>110051.470691561</v>
      </c>
      <c r="PC96" s="20" t="n">
        <f aca="false">IF(AND(HU96=0,EX96=1,PB96&gt;0),MIN(PB96,EY96),0)</f>
        <v>0</v>
      </c>
      <c r="PD96" s="20" t="n">
        <f aca="false">PB96-PC96</f>
        <v>110051.470691561</v>
      </c>
      <c r="PE96" s="20" t="n">
        <f aca="false">IF(AND(HU96=0,EN96=1,PD96&gt;0),MIN(PD96,EO96),0)</f>
        <v>0</v>
      </c>
      <c r="PF96" s="20" t="n">
        <f aca="false">PD96-PE96</f>
        <v>110051.470691561</v>
      </c>
      <c r="PG96" s="20" t="n">
        <f aca="false">IF(AND(HU96=0,ED96=1,PF96&gt;0),MIN(PF96,EE96),0)</f>
        <v>0</v>
      </c>
      <c r="PH96" s="20" t="n">
        <f aca="false">PF96-PG96</f>
        <v>110051.470691561</v>
      </c>
      <c r="PI96" s="20" t="n">
        <f aca="false">IF(AND(HU96=0,DT96=1,PH96&gt;0),MIN(PH96,DU96),0)</f>
        <v>0</v>
      </c>
      <c r="PJ96" s="20" t="n">
        <f aca="false">PH96-PI96</f>
        <v>110051.470691561</v>
      </c>
      <c r="PK96" s="20" t="n">
        <f aca="false">IF(AND(HU96=0,DJ96=1,PJ96&gt;0),MIN(PJ96,DK96),0)</f>
        <v>0</v>
      </c>
      <c r="PL96" s="20" t="n">
        <f aca="false">PJ96-PK96</f>
        <v>110051.470691561</v>
      </c>
      <c r="PM96" s="20" t="n">
        <f aca="false">IF(AND(HU96=0,CZ96=1,PL96&gt;0),MIN(PL96,DA96),0)</f>
        <v>0</v>
      </c>
      <c r="PN96" s="20" t="n">
        <f aca="false">PL96-PM96</f>
        <v>110051.470691561</v>
      </c>
      <c r="PO96" s="20" t="n">
        <f aca="false">IF(AND(HU96=0,CP96=1,PN96&gt;0),MIN(PN96,CQ96),0)</f>
        <v>0</v>
      </c>
      <c r="PP96" s="20" t="n">
        <f aca="false">PN96-PO96</f>
        <v>110051.470691561</v>
      </c>
      <c r="PQ96" s="20" t="n">
        <f aca="false">IF(AND(HU96=0,CF96=1,PP96&gt;0),MIN(PP96,CG96),0)</f>
        <v>0</v>
      </c>
      <c r="PR96" s="20" t="n">
        <f aca="false">PP96-PQ96</f>
        <v>110051.470691561</v>
      </c>
      <c r="PS96" s="20" t="n">
        <f aca="false">IF(AND(HU96=0,BV96=1,PR96&gt;0),MIN(PR96,BW96),0)</f>
        <v>0</v>
      </c>
      <c r="PT96" s="20" t="n">
        <f aca="false">PR96-PS96</f>
        <v>110051.470691561</v>
      </c>
      <c r="PU96" s="20" t="n">
        <f aca="false">IF(AND(HU96=0,BL96=1,PT96&gt;0),MIN(PT96,BM96),0)</f>
        <v>0</v>
      </c>
      <c r="PV96" s="20" t="n">
        <f aca="false">PT96-PU96</f>
        <v>110051.470691561</v>
      </c>
      <c r="PW96" s="20" t="n">
        <f aca="false">IF(AND(HU96=0,BB96=1,PV96&gt;0),MIN(PV96,BC96),0)</f>
        <v>0</v>
      </c>
      <c r="PX96" s="20" t="n">
        <f aca="false">PV96-PW96</f>
        <v>110051.470691561</v>
      </c>
      <c r="PY96" s="20" t="n">
        <f aca="false">IF(AND(HU96=0,AR96=1,PX96&gt;0),MIN(PX96,AS96),0)</f>
        <v>0</v>
      </c>
      <c r="PZ96" s="20" t="n">
        <f aca="false">PX96-PY96</f>
        <v>110051.470691561</v>
      </c>
      <c r="QA96" s="20" t="n">
        <f aca="false">IF(AND(HU96=0,AH96=1,PZ96&gt;0),MIN(PZ96,AI96),0)</f>
        <v>0</v>
      </c>
      <c r="QB96" s="20" t="n">
        <f aca="false">PZ96-QA96</f>
        <v>110051.470691561</v>
      </c>
      <c r="QC96" s="20" t="n">
        <f aca="false">IF(AND(HU96=0,W96=1,QB96&gt;0),MIN(QB96,X96),0)</f>
        <v>0</v>
      </c>
      <c r="QD96" s="20" t="n">
        <f aca="false">QB96-QC96</f>
        <v>110051.470691561</v>
      </c>
      <c r="QE96" s="20" t="n">
        <f aca="false">IF(HU96=0,QD96,0)</f>
        <v>110051.470691561</v>
      </c>
      <c r="QF96" s="20" t="n">
        <f aca="false">OM96+OO96+QC96+QA96+PY96+PW96+PU96+PS96+PQ96+PO96+PM96+PK96+PI96+PG96+PE96+PC96+PA96+OY96+OW96+OU96+OS96+OQ96</f>
        <v>0</v>
      </c>
      <c r="QG96" s="20" t="n">
        <f aca="false">IF(HU96=1,HK96+OJ96+OI96+IF(G96=1,0,OK96),HK96-OM96)</f>
        <v>0</v>
      </c>
      <c r="QH96" s="20" t="n">
        <f aca="false">HL96-OO96</f>
        <v>0</v>
      </c>
      <c r="QI96" s="20" t="n">
        <f aca="false">IF(HU96=1,IF(G96=1,ID96+IE96,HS96),0)</f>
        <v>0</v>
      </c>
      <c r="QJ96" s="20" t="n">
        <f aca="false">IF(HU96=1,IF(G96=1,HS96-ID96-IE96,0),0)</f>
        <v>0</v>
      </c>
      <c r="QK96" s="57" t="n">
        <f aca="false">'Plan holdings'!BM96</f>
        <v>0</v>
      </c>
      <c r="QL96" s="20" t="n">
        <f aca="false">QH96*(1+AS_Cash)</f>
        <v>0</v>
      </c>
      <c r="QM96" s="20" t="n">
        <f aca="false">IF(W96=1,IF(HU96=1,II96+IL96,X96-QC96)*(1+Slot1_Rate),0)</f>
        <v>0</v>
      </c>
      <c r="QN96" s="20" t="n">
        <f aca="false">IF(AND(HU96=1,W96=1),(IH96+IL96)/F96,0)</f>
        <v>0</v>
      </c>
      <c r="QO96" s="20" t="n">
        <f aca="false">IF(B96=0,IH96+IL96,0)</f>
        <v>0</v>
      </c>
      <c r="QP96" s="20" t="n">
        <f aca="false">IF(B96=0,IF(HU96=1,IJ96,IK96),0)</f>
        <v>0</v>
      </c>
      <c r="QQ96" s="20" t="n">
        <f aca="false">IF(AH96=1,IF(HU96=1,IQ96+IT96,AI96-QA96)*(1+Slot2_Rate),0)</f>
        <v>0</v>
      </c>
      <c r="QR96" s="20" t="n">
        <f aca="false">IF(AND(HU96=1,AH96=1),(IP96+IT96)/F96,0)</f>
        <v>0</v>
      </c>
      <c r="QS96" s="20" t="n">
        <f aca="false">IF(B96=0,IP96+IT96,0)</f>
        <v>0</v>
      </c>
      <c r="QT96" s="20" t="n">
        <f aca="false">IF(B96=0,IF(HU96=1,IR96,IS96),0)</f>
        <v>0</v>
      </c>
      <c r="QU96" s="20" t="n">
        <f aca="false">IF(AR96=1,IF(HU96=1,IY96+JB96,AS96-PY96)*(1+Slot3_Rate),0)</f>
        <v>0</v>
      </c>
      <c r="QV96" s="20" t="n">
        <f aca="false">IF(AND(HU96=1,AR96=1),(IX96+JB96)/F96,0)</f>
        <v>0</v>
      </c>
      <c r="QW96" s="20" t="n">
        <f aca="false">IF(B96=0,IX96+JB96,0)</f>
        <v>0</v>
      </c>
      <c r="QX96" s="20" t="n">
        <f aca="false">IF(B96=0,IF(HU96=1,IZ96,JA96),0)</f>
        <v>0</v>
      </c>
      <c r="QY96" s="20" t="n">
        <f aca="false">IF(BB96=1,IF(HU96=1,JG96+JJ96,BC96-PW96)*(1+Slot4_Rate),0)</f>
        <v>0</v>
      </c>
      <c r="QZ96" s="20" t="n">
        <f aca="false">IF(AND(HU96=1,BB96=1),(JF96+JJ96)/F96,0)</f>
        <v>0</v>
      </c>
      <c r="RA96" s="20" t="n">
        <f aca="false">IF(B96=0,JF96+JJ96,0)</f>
        <v>0</v>
      </c>
      <c r="RB96" s="20" t="n">
        <f aca="false">IF(B96=0,IF(HU96=1,JH96,JI96),0)</f>
        <v>0</v>
      </c>
      <c r="RC96" s="20" t="n">
        <f aca="false">IF(BL96=1,IF(HU96=1,JO96+JR96,BM96-PU96)*(1+Slot5_Rate),0)</f>
        <v>0</v>
      </c>
      <c r="RD96" s="20" t="n">
        <f aca="false">IF(AND(HU96=1,BL96=1),(JN96+JR96)/F96,0)</f>
        <v>0</v>
      </c>
      <c r="RE96" s="20" t="n">
        <f aca="false">IF(B96=0,JN96+JR96,0)</f>
        <v>0</v>
      </c>
      <c r="RF96" s="20" t="n">
        <f aca="false">IF(B96=0,IF(HU96=1,JP96,JQ96),0)</f>
        <v>0</v>
      </c>
      <c r="RG96" s="20" t="n">
        <f aca="false">IF(BV96=1,IF(HU96=1,JW96+JZ96,BW96-PS96)*(1+Slot6_Rate),0)</f>
        <v>0</v>
      </c>
      <c r="RH96" s="20" t="n">
        <f aca="false">IF(AND(HU96=1,BV96=1),(JV96+JZ96)/F96,0)</f>
        <v>0</v>
      </c>
      <c r="RI96" s="20" t="n">
        <f aca="false">IF(B96=0,JV96+JZ96,0)</f>
        <v>0</v>
      </c>
      <c r="RJ96" s="20" t="n">
        <f aca="false">IF(B96=0,IF(HU96=1,JX96,JY96),0)</f>
        <v>0</v>
      </c>
      <c r="RK96" s="20" t="n">
        <f aca="false">IF(CF96=1,IF(HU96=1,KE96+KH96,CG96-PQ96)*(1+Slot7_Rate),0)</f>
        <v>0</v>
      </c>
      <c r="RL96" s="20" t="n">
        <f aca="false">IF(AND(HU96=1,CF96=1),(KD96+KH96)/F96,0)</f>
        <v>0</v>
      </c>
      <c r="RM96" s="20" t="n">
        <f aca="false">IF(B96=0,KD96+KH96,0)</f>
        <v>0</v>
      </c>
      <c r="RN96" s="20" t="n">
        <f aca="false">IF(B96=0,IF(HU96=1,KF96,KG96),0)</f>
        <v>0</v>
      </c>
      <c r="RO96" s="20" t="n">
        <f aca="false">IF(CP96=1,IF(HU96=1,KM96+KP96,CQ96-PO96)*(1+Slot8_Rate),0)</f>
        <v>0</v>
      </c>
      <c r="RP96" s="20" t="n">
        <f aca="false">IF(AND(HU96=1,CP96=1),(KL96+KP96)/F96,0)</f>
        <v>0</v>
      </c>
      <c r="RQ96" s="20" t="n">
        <f aca="false">IF(B96=0,KL96+KP96,0)</f>
        <v>0</v>
      </c>
      <c r="RR96" s="20" t="n">
        <f aca="false">IF(B96=0,IF(HU96=1,KN96,KO96),0)</f>
        <v>0</v>
      </c>
      <c r="RS96" s="20" t="n">
        <f aca="false">IF(CZ96=1,IF(HU96=1,KU96+KX96,DA96-PM96)*(1+Slot9_Rate),0)</f>
        <v>0</v>
      </c>
      <c r="RT96" s="20" t="n">
        <f aca="false">IF(AND(HU96=1,CZ96=1),(KT96+KX96)/F96,0)</f>
        <v>0</v>
      </c>
      <c r="RU96" s="20" t="n">
        <f aca="false">IF(B96=0,KT96+KX96,0)</f>
        <v>0</v>
      </c>
      <c r="RV96" s="20" t="n">
        <f aca="false">IF(B96=0,IF(HU96=1,KV96,KW96),0)</f>
        <v>0</v>
      </c>
      <c r="RW96" s="20" t="n">
        <f aca="false">IF(DJ96=1,IF(HU96=1,LC96+LF96,DK96-PK96)*(1+Slot10_Rate),0)</f>
        <v>0</v>
      </c>
      <c r="RX96" s="20" t="n">
        <f aca="false">IF(AND(HU96=1,DJ96=1),(LB96+LF96)/F96,0)</f>
        <v>0</v>
      </c>
      <c r="RY96" s="20" t="n">
        <f aca="false">IF(B96=0,LB96+LF96,0)</f>
        <v>0</v>
      </c>
      <c r="RZ96" s="20" t="n">
        <f aca="false">IF(B96=0,IF(HU96=1,LD96,LE96),0)</f>
        <v>0</v>
      </c>
      <c r="SA96" s="20" t="n">
        <f aca="false">IF(DT96=1,IF(HU96=1,LK96+LN96,DU96-PI96)*(1+Slot11_Rate),0)</f>
        <v>0</v>
      </c>
      <c r="SB96" s="20" t="n">
        <f aca="false">IF(AND(HU96=1,DT96=1),(LJ96+LN96)/F96,0)</f>
        <v>0</v>
      </c>
      <c r="SC96" s="20" t="n">
        <f aca="false">IF(B96=0,LJ96+LN96,0)</f>
        <v>0</v>
      </c>
      <c r="SD96" s="20" t="n">
        <f aca="false">IF(B96=0,IF(HU96=1,LL96,LM96),0)</f>
        <v>0</v>
      </c>
      <c r="SE96" s="20" t="n">
        <f aca="false">IF(ED96=1,IF(HU96=1,LS96+LV96,EE96-PG96)*(1+Slot12_Rate),0)</f>
        <v>0</v>
      </c>
      <c r="SF96" s="20" t="n">
        <f aca="false">IF(AND(HU96=1,ED96=1),(LR96+LV96)/F96,0)</f>
        <v>0</v>
      </c>
      <c r="SG96" s="20" t="n">
        <f aca="false">IF(B96=0,LR96+LV96,0)</f>
        <v>0</v>
      </c>
      <c r="SH96" s="20" t="n">
        <f aca="false">IF(B96=0,IF(HU96=1,LT96,LU96),0)</f>
        <v>0</v>
      </c>
      <c r="SI96" s="20" t="n">
        <f aca="false">IF(EN96=1,IF(HU96=1,MA96+MD96,EO96-PE96)*(1+Slot13_Rate),0)</f>
        <v>0</v>
      </c>
      <c r="SJ96" s="20" t="n">
        <f aca="false">IF(AND(HU96=1,EN96=1),(LZ96+MD96)/F96,0)</f>
        <v>0</v>
      </c>
      <c r="SK96" s="20" t="n">
        <f aca="false">IF(B96=0,LZ96+MD96,0)</f>
        <v>0</v>
      </c>
      <c r="SL96" s="20" t="n">
        <f aca="false">IF(B96=0,IF(HU96=1,MB96,MC96),0)</f>
        <v>0</v>
      </c>
      <c r="SM96" s="20" t="n">
        <f aca="false">IF(EX96=1,IF(HU96=1,MI96+ML96,EY96-PC96)*(1+Slot14_Rate),0)</f>
        <v>0</v>
      </c>
      <c r="SN96" s="20" t="n">
        <f aca="false">IF(AND(HU96=1,EX96=1),(MH96+ML96)/F96,0)</f>
        <v>0</v>
      </c>
      <c r="SO96" s="20" t="n">
        <f aca="false">IF(B96=0,MH96+ML96,0)</f>
        <v>0</v>
      </c>
      <c r="SP96" s="20" t="n">
        <f aca="false">IF(B96=0,IF(HU96=1,MJ96,MK96),0)</f>
        <v>0</v>
      </c>
      <c r="SQ96" s="20" t="n">
        <f aca="false">IF(FH96=1,IF(HU96=1,MQ96+MT96,FI96-PA96)*(1+Slot15_Rate),0)</f>
        <v>0</v>
      </c>
      <c r="SR96" s="20" t="n">
        <f aca="false">IF(AND(HU96=1,FH96=1),(MP96+MT96)/F96,0)</f>
        <v>0</v>
      </c>
      <c r="SS96" s="20" t="n">
        <f aca="false">IF(B96=0,MP96+MT96,0)</f>
        <v>0</v>
      </c>
      <c r="ST96" s="20" t="n">
        <f aca="false">IF(B96=0,IF(HU96=1,MR96,MS96),0)</f>
        <v>0</v>
      </c>
      <c r="SU96" s="20" t="n">
        <f aca="false">IF(FR96=1,IF(HU96=1,MY96+NB96,FS96-OY96)*(1+Slot16_Rate),0)</f>
        <v>0</v>
      </c>
      <c r="SV96" s="20" t="n">
        <f aca="false">IF(AND(HU96=1,FR96=1),(MX96+NB96)/F96,0)</f>
        <v>0</v>
      </c>
      <c r="SW96" s="20" t="n">
        <f aca="false">IF(B96=0,MX96+NB96,0)</f>
        <v>0</v>
      </c>
      <c r="SX96" s="20" t="n">
        <f aca="false">IF(B96=0,IF(HU96=1,MZ96,NA96),0)</f>
        <v>0</v>
      </c>
      <c r="SY96" s="20" t="n">
        <f aca="false">IF(GB96=1,IF(HU96=1,NG96+NJ96,GC96-OW96)*(1+Slot17_Rate),0)</f>
        <v>0</v>
      </c>
      <c r="SZ96" s="20" t="n">
        <f aca="false">IF(AND(HU96=1,GB96=1),(NF96+NJ96)/F96,0)</f>
        <v>0</v>
      </c>
      <c r="TA96" s="20" t="n">
        <f aca="false">IF(B96=0,NF96+NJ96,0)</f>
        <v>0</v>
      </c>
      <c r="TB96" s="20" t="n">
        <f aca="false">IF(B96=0,IF(HU96=1,NH96,NI96),0)</f>
        <v>0</v>
      </c>
      <c r="TC96" s="20" t="n">
        <f aca="false">IF(GL96=1,IF(HU96=1,NO96+NR96,GM96-OU96)*(1+Slot18_Rate),0)</f>
        <v>0</v>
      </c>
      <c r="TD96" s="20" t="n">
        <f aca="false">IF(AND(HU96=1,GL96=1),(NN96+NR96)/F96,0)</f>
        <v>0</v>
      </c>
      <c r="TE96" s="20" t="n">
        <f aca="false">IF(B96=0,NN96+NR96,0)</f>
        <v>0</v>
      </c>
      <c r="TF96" s="20" t="n">
        <f aca="false">IF(B96=0,IF(HU96=1,NP96,NQ96),0)</f>
        <v>0</v>
      </c>
      <c r="TG96" s="20" t="n">
        <f aca="false">IF(GV96=1,IF(HU96=1,NW96+NZ96,GW96-OS96)*(1+Slot19_Rate),0)</f>
        <v>0</v>
      </c>
      <c r="TH96" s="20" t="n">
        <f aca="false">IF(AND(HU96=1,GV96=1),(NV96+NZ96)/F96,0)</f>
        <v>0</v>
      </c>
      <c r="TI96" s="20" t="n">
        <f aca="false">IF(B96=0,NV96+NZ96,0)</f>
        <v>0</v>
      </c>
      <c r="TJ96" s="20" t="n">
        <f aca="false">IF(B96=0,IF(HU96=1,NX96,NY96),0)</f>
        <v>0</v>
      </c>
      <c r="TK96" s="20" t="n">
        <f aca="false">IF(HF96=1,IF(HU96=1,OE96+OH96,HG96-OQ96)*(1+Slot20_Rate),0)</f>
        <v>0</v>
      </c>
      <c r="TL96" s="20" t="n">
        <f aca="false">IF(AND(HU96=1,HF96=1),(OD96+OH96)/F96,0)</f>
        <v>0</v>
      </c>
      <c r="TM96" s="20" t="n">
        <f aca="false">IF(B96=0,OD96+OH96,0)</f>
        <v>0</v>
      </c>
      <c r="TN96" s="20" t="n">
        <f aca="false">IF(B96=0,IF(HU96=1,OF96,OG96),0)</f>
        <v>0</v>
      </c>
      <c r="TO96" s="20" t="n">
        <f aca="false">QK96+QL96+QM96+QQ96+QU96+QY96+RC96+RG96+RK96+RO96+RS96+RW96+SA96+SE96+SI96+SM96+SQ96+SU96+SY96+TC96+TG96+TK96</f>
        <v>0</v>
      </c>
      <c r="TP96" s="20" t="n">
        <f aca="false">QE96+HP96</f>
        <v>110051.470691561</v>
      </c>
      <c r="TQ96" s="20" t="n">
        <f aca="false">I96+S96</f>
        <v>273050.522335064</v>
      </c>
      <c r="TR96" s="20" t="n">
        <f aca="false">1-G96</f>
        <v>1</v>
      </c>
      <c r="TS96" s="20" t="n">
        <f aca="false">IF(AND(RG_Exists=1,G96=0,C96=1),I96,0)</f>
        <v>0</v>
      </c>
      <c r="TT96" s="20" t="n">
        <f aca="false">IF(AND(RG_Exists=1,G96=0,C96=1),I96-MIN(QE96,I96),0)</f>
        <v>0</v>
      </c>
      <c r="TU96" s="20" t="n">
        <f aca="false">'Plan pay &amp; tax'!AD322</f>
        <v>0</v>
      </c>
      <c r="TV96" s="20" t="n">
        <f aca="false">IF(AND(C96=1,QE96&gt;MAX(PR_Short1,TQ96*PR_Short2)),1,0)</f>
        <v>0</v>
      </c>
      <c r="TW96" s="20" t="n">
        <f aca="false">MIN(H96,I96+S96)</f>
        <v>162999.051643503</v>
      </c>
      <c r="TX96" s="20" t="n">
        <f aca="false">QF96+MAX(0,HQ96-HP96)</f>
        <v>0</v>
      </c>
      <c r="TY96" s="20" t="n">
        <f aca="false">QE96+HP96</f>
        <v>110051.470691561</v>
      </c>
      <c r="TZ96" s="20" t="n">
        <f aca="false">IF(AND(C96=1,TY96&gt;PR_MinShort),1,0)</f>
        <v>0</v>
      </c>
      <c r="UA96" s="20" t="n">
        <f aca="false">IF(AND(C96=1,TZ96=0,TX96&gt;PR_MinShort),1,0)</f>
        <v>0</v>
      </c>
      <c r="UB96" s="20" t="n">
        <f aca="false">IF(AND(C96=1,QE96&gt;PR_MinShort),1,0)</f>
        <v>0</v>
      </c>
      <c r="UC96" s="20" t="n">
        <f aca="false">IF(AND(C96=1,QF96&gt;1,UJ96=0),1,0)</f>
        <v>0</v>
      </c>
      <c r="UD96" s="20" t="str">
        <f aca="false">IF(C96=0,"",IF(UJ96=1,"Gap to plan for: short "&amp;"€"&amp;TEXT(ROUND(TP96,0),"#,##0"),IF(QF96&gt;1,"Using savings","Comfortable")))</f>
        <v/>
      </c>
      <c r="UE96" s="20" t="n">
        <f aca="false">IF(AND(INT(D96/10)*10=90,B96&gt;0),80,INT(D96/10)*10)</f>
        <v>120</v>
      </c>
      <c r="UF96" s="20" t="n">
        <f aca="false">IF(B96=0,1,IF(UE96&lt;&gt;UE95,UF95+1,UF95))</f>
        <v>9</v>
      </c>
      <c r="UG96" s="20" t="n">
        <f aca="false">IF(AND(C96=1,G96=1,QE96&gt;MAX(PR_Short1,TQ96*PR_Short2)),1,0)</f>
        <v>0</v>
      </c>
      <c r="UH96" s="20" t="n">
        <f aca="false">TR96*TV96</f>
        <v>0</v>
      </c>
      <c r="UI96" s="20" t="n">
        <f aca="false">IF(AND(V96=1,Slot1_PctLow=1),1,0)+IF(AND(AG96=1,Slot2_PctLow=1),1,0)+IF(AND(AQ96=1,Slot3_PctLow=1),1,0)+IF(AND(BA96=1,Slot4_PctLow=1),1,0)+IF(AND(BK96=1,Slot5_PctLow=1),1,0)+IF(AND(BU96=1,Slot6_PctLow=1),1,0)+IF(AND(CE96=1,Slot7_PctLow=1),1,0)+IF(AND(CO96=1,Slot8_PctLow=1),1,0)+IF(AND(CY96=1,Slot9_PctLow=1),1,0)+IF(AND(DI96=1,Slot10_PctLow=1),1,0)+IF(AND(DS96=1,Slot11_PctLow=1),1,0)+IF(AND(EC96=1,Slot12_PctLow=1),1,0)+IF(AND(EM96=1,Slot13_PctLow=1),1,0)+IF(AND(EW96=1,Slot14_PctLow=1),1,0)+IF(AND(FG96=1,Slot15_PctLow=1),1,0)+IF(AND(FQ96=1,Slot16_PctLow=1),1,0)+IF(AND(GA96=1,Slot17_PctLow=1),1,0)+IF(AND(GK96=1,Slot18_PctLow=1),1,0)+IF(AND(GU96=1,Slot19_PctLow=1),1,0)+IF(AND(HE96=1,Slot20_PctLow=1),1,0)</f>
        <v>0</v>
      </c>
      <c r="UJ96" s="20" t="n">
        <f aca="false">IF(C96=1,IF(OR(TV96=1,UI96&gt;0),1,0),0)</f>
        <v>0</v>
      </c>
      <c r="UK96" s="20" t="n">
        <f aca="false">Z96+AK96+AU96+BE96+BO96+BY96+CI96+CS96+DC96+DM96+DW96+EG96+EQ96+FA96+FK96+FU96+GE96+GO96+GY96+HI96+OM96</f>
        <v>0</v>
      </c>
      <c r="UL96" s="20" t="n">
        <f aca="false">V96*IF(Slot1_SpendLike=1,X96-Y96,IF(Slot1_PotFree=1,X96,0))+AG96*IF(Slot2_SpendLike=1,AI96-AJ96,IF(Slot2_PotFree=1,AI96,0))+AQ96*IF(Slot3_SpendLike=1,AS96-AT96,IF(Slot3_PotFree=1,AS96,0))+BA96*IF(Slot4_SpendLike=1,BC96-BD96,IF(Slot4_PotFree=1,BC96,0))+BK96*IF(Slot5_SpendLike=1,BM96-BN96,IF(Slot5_PotFree=1,BM96,0))+BU96*IF(Slot6_SpendLike=1,BW96-BX96,IF(Slot6_PotFree=1,BW96,0))+CE96*IF(Slot7_SpendLike=1,CG96-CH96,IF(Slot7_PotFree=1,CG96,0))+CO96*IF(Slot8_SpendLike=1,CQ96-CR96,IF(Slot8_PotFree=1,CQ96,0))+CY96*IF(Slot9_SpendLike=1,DA96-DB96,IF(Slot9_PotFree=1,DA96,0))+DI96*IF(Slot10_SpendLike=1,DK96-DL96,IF(Slot10_PotFree=1,DK96,0))+DS96*IF(Slot11_SpendLike=1,DU96-DV96,IF(Slot11_PotFree=1,DU96,0))+EC96*IF(Slot12_SpendLike=1,EE96-EF96,IF(Slot12_PotFree=1,EE96,0))+EM96*IF(Slot13_SpendLike=1,EO96-EP96,IF(Slot13_PotFree=1,EO96,0))+EW96*IF(Slot14_SpendLike=1,EY96-EZ96,IF(Slot14_PotFree=1,EY96,0))+FG96*IF(Slot15_SpendLike=1,FI96-FJ96,IF(Slot15_PotFree=1,FI96,0))+FQ96*IF(Slot16_SpendLike=1,FS96-FT96,IF(Slot16_PotFree=1,FS96,0))+GA96*IF(Slot17_SpendLike=1,GC96-GD96,IF(Slot17_PotFree=1,GC96,0))+GK96*IF(Slot18_SpendLike=1,GM96-GN96,IF(Slot18_PotFree=1,GM96,0))+GU96*IF(Slot19_SpendLike=1,GW96-GX96,IF(Slot19_PotFree=1,GW96,0))+HE96*IF(Slot20_SpendLike=1,HG96-HH96,IF(Slot20_PotFree=1,HG96,0))</f>
        <v>0</v>
      </c>
      <c r="UM96" s="20" t="n">
        <f aca="false">QG96-T96+UK96-UL96</f>
        <v>0</v>
      </c>
      <c r="UN96" s="20" t="n">
        <f aca="false">IF(OR(UN95=1,AND(In_homeUse="Yes, I'd downsize",In_downAge&gt;0,D96=In_downAge,OR(In_home="Own outright",In_home="Own with mortgage"),In_homeValue&gt;0)),1,0)</f>
        <v>0</v>
      </c>
    </row>
    <row r="97" customFormat="false" ht="15" hidden="false" customHeight="true" outlineLevel="0" collapsed="false">
      <c r="B97" s="20" t="n">
        <v>89</v>
      </c>
      <c r="C97" s="20" t="n">
        <f aca="false">IF(B97&lt;=F_N,1,0)</f>
        <v>0</v>
      </c>
      <c r="D97" s="20" t="n">
        <f aca="false">'Plan pay &amp; tax'!C323</f>
        <v>127</v>
      </c>
      <c r="E97" s="20" t="str">
        <f aca="false">IF($C97=1,"Income tax "&amp;TEXT(N('Plan pay &amp; tax'!BK323),"#,##0")&amp;"; USC "&amp;TEXT(N('Plan pay &amp; tax'!BM323)+N('Plan pay &amp; tax'!BO323),"#,##0")&amp;"; PRSI "&amp;TEXT(N('Plan pay &amp; tax'!BP323)+N('Plan pay &amp; tax'!BQ323),"#,##0")&amp;IF(N('Plan holdings'!BO97)&gt;=0.5,"; DIRT "&amp;TEXT(('Plan holdings'!BO97)/$F97,"#,##0")&amp;" (already taken from the interest earned)","")&amp;IF(N('Plan holdings'!BP97)&gt;=0.5,"; exit tax at an 8-year anniversary "&amp;TEXT(('Plan holdings'!BP97)/$F97,"#,##0"),"")&amp;IF(N('Plan holdings'!BN97)&gt;=0.5,"; tax on assets sold (exit tax or capital gains tax) "&amp;TEXT(('Plan holdings'!BN97)/$F97,"#,##0"),"")&amp;IF(N('Plan pay &amp; tax'!X323)-N('Plan pay &amp; tax'!Y323)&gt;=0.5,"; tax on the pension lump sum "&amp;TEXT(('Plan pay &amp; tax'!X323-'Plan pay &amp; tax'!Y323)/$F97,"#,##0"),"")&amp;IF(N('Plan pay &amp; tax'!V323)&gt;=0.5,"; chargeable excess tax on the pension "&amp;TEXT(('Plan pay &amp; tax'!V323)/$F97,"#,##0"),"")&amp;".","")</f>
        <v/>
      </c>
      <c r="F97" s="50" t="n">
        <f aca="false">'Plan pay &amp; tax'!E323</f>
        <v>5.82660110422104</v>
      </c>
      <c r="G97" s="20" t="n">
        <f aca="false">'Plan pay &amp; tax'!G323</f>
        <v>0</v>
      </c>
      <c r="H97" s="20" t="n">
        <f aca="false">'Plan pay &amp; tax'!BT323-'Plan pay &amp; tax'!BS323-'Plan pay &amp; tax'!R323</f>
        <v>166259.032676373</v>
      </c>
      <c r="I97" s="20" t="n">
        <f aca="false">IF(G97=1,F_CostsM*12,IF(RG_Exists=1,RG_Amount,F_CostsM*12*AS_RetireSpend))*F97+F_OneOffY*F97</f>
        <v>278511.532781766</v>
      </c>
      <c r="J97" s="20" t="n">
        <f aca="false">IF(UN97=1,0,HR96)</f>
        <v>0</v>
      </c>
      <c r="K97" s="20" t="n">
        <f aca="false">IF(J97&gt;1,'Plan debt months'!AC97,0)</f>
        <v>0</v>
      </c>
      <c r="L97" s="20" t="n">
        <f aca="false">IF(J97&gt;1,'Plan debt months'!AB97,J97)</f>
        <v>0</v>
      </c>
      <c r="M97" s="20" t="n">
        <f aca="false">O96</f>
        <v>0</v>
      </c>
      <c r="N97" s="20" t="n">
        <f aca="false">IF(M97&gt;1,'Plan debt months'!BD97,0)</f>
        <v>0</v>
      </c>
      <c r="O97" s="20" t="n">
        <f aca="false">IF(M97&gt;1,'Plan debt months'!BC97,M97)</f>
        <v>0</v>
      </c>
      <c r="P97" s="20" t="n">
        <f aca="false">R96</f>
        <v>0</v>
      </c>
      <c r="Q97" s="20" t="n">
        <f aca="false">IF(P97&gt;1,'Plan debt months'!CE97,0)</f>
        <v>0</v>
      </c>
      <c r="R97" s="20" t="n">
        <f aca="false">IF(P97&gt;1,'Plan debt months'!CD97,P97)</f>
        <v>0</v>
      </c>
      <c r="S97" s="20" t="n">
        <f aca="false">K97+N97+Q97</f>
        <v>0</v>
      </c>
      <c r="T97" s="57" t="n">
        <f aca="false">'Plan holdings'!Y97</f>
        <v>0</v>
      </c>
      <c r="U97" s="57" t="n">
        <f aca="false">'Plan holdings'!BM96</f>
        <v>0</v>
      </c>
      <c r="V97" s="20" t="n">
        <f aca="false">IF(AND(Slot1_On=1,D97=Slot1_Age),1,0)</f>
        <v>0</v>
      </c>
      <c r="W97" s="20" t="n">
        <f aca="false">IF(AND(Slot1_On=1,Slot1_Age&gt;D97),1,0)</f>
        <v>0</v>
      </c>
      <c r="X97" s="20" t="n">
        <f aca="false">QM96</f>
        <v>0</v>
      </c>
      <c r="Y97" s="20" t="n">
        <f aca="false">V97*MIN(Slot1_Cost,X97)</f>
        <v>0</v>
      </c>
      <c r="Z97" s="20" t="n">
        <f aca="false">V97*Slot1_SpendLike*MIN(Slot1_Cost-Y97,T97)</f>
        <v>0</v>
      </c>
      <c r="AA97" s="20" t="n">
        <f aca="false">Y97+Z97</f>
        <v>0</v>
      </c>
      <c r="AB97" s="20" t="n">
        <f aca="false">T97-Z97+V97*IF(Slot1_SpendLike=1,X97-Y97,IF(Slot1_PotFree=1,X97,0))</f>
        <v>0</v>
      </c>
      <c r="AC97" s="20" t="n">
        <f aca="false">AF97+V97*Slot1_BufPot*X97</f>
        <v>0</v>
      </c>
      <c r="AD97" s="20" t="n">
        <f aca="false">IF(AND(V97=1,Slot1_IsMfree=1),IF(AA97&gt;=Slot1_Cost-1,0,MAX(0,L97-AA97)),L97)</f>
        <v>0</v>
      </c>
      <c r="AE97" s="20" t="n">
        <f aca="false">V97*(Slot1_Cost-AA97)</f>
        <v>0</v>
      </c>
      <c r="AF97" s="20" t="n">
        <f aca="false">QL96</f>
        <v>0</v>
      </c>
      <c r="AG97" s="20" t="n">
        <f aca="false">IF(AND(Slot2_On=1,D97=Slot2_Age),1,0)</f>
        <v>0</v>
      </c>
      <c r="AH97" s="20" t="n">
        <f aca="false">IF(AND(Slot2_On=1,Slot2_Age&gt;D97),1,0)</f>
        <v>0</v>
      </c>
      <c r="AI97" s="20" t="n">
        <f aca="false">QQ96</f>
        <v>0</v>
      </c>
      <c r="AJ97" s="20" t="n">
        <f aca="false">AG97*MIN(Slot2_Cost,AI97)</f>
        <v>0</v>
      </c>
      <c r="AK97" s="20" t="n">
        <f aca="false">AG97*Slot2_SpendLike*MIN(Slot2_Cost-AJ97,AB97)</f>
        <v>0</v>
      </c>
      <c r="AL97" s="20" t="n">
        <f aca="false">AJ97+AK97</f>
        <v>0</v>
      </c>
      <c r="AM97" s="20" t="n">
        <f aca="false">AB97-AK97+AG97*IF(Slot2_SpendLike=1,AI97-AJ97,IF(Slot2_PotFree=1,AI97,0))</f>
        <v>0</v>
      </c>
      <c r="AN97" s="20" t="n">
        <f aca="false">AC97+AG97*Slot2_BufPot*AI97</f>
        <v>0</v>
      </c>
      <c r="AO97" s="20" t="n">
        <f aca="false">IF(AND(AG97=1,Slot2_IsMfree=1),IF(AL97&gt;=Slot2_Cost-1,0,MAX(0,AD97-AL97)),AD97)</f>
        <v>0</v>
      </c>
      <c r="AP97" s="20" t="n">
        <f aca="false">AG97*(Slot2_Cost-AL97)</f>
        <v>0</v>
      </c>
      <c r="AQ97" s="20" t="n">
        <f aca="false">IF(AND(Slot3_On=1,D97=Slot3_Age),1,0)</f>
        <v>0</v>
      </c>
      <c r="AR97" s="20" t="n">
        <f aca="false">IF(AND(Slot3_On=1,Slot3_Age&gt;D97),1,0)</f>
        <v>0</v>
      </c>
      <c r="AS97" s="20" t="n">
        <f aca="false">QU96</f>
        <v>0</v>
      </c>
      <c r="AT97" s="20" t="n">
        <f aca="false">AQ97*MIN(Slot3_Cost,AS97)</f>
        <v>0</v>
      </c>
      <c r="AU97" s="20" t="n">
        <f aca="false">AQ97*Slot3_SpendLike*MIN(Slot3_Cost-AT97,AM97)</f>
        <v>0</v>
      </c>
      <c r="AV97" s="20" t="n">
        <f aca="false">AT97+AU97</f>
        <v>0</v>
      </c>
      <c r="AW97" s="20" t="n">
        <f aca="false">AM97-AU97+AQ97*IF(Slot3_SpendLike=1,AS97-AT97,IF(Slot3_PotFree=1,AS97,0))</f>
        <v>0</v>
      </c>
      <c r="AX97" s="20" t="n">
        <f aca="false">AN97+AQ97*Slot3_BufPot*AS97</f>
        <v>0</v>
      </c>
      <c r="AY97" s="20" t="n">
        <f aca="false">IF(AND(AQ97=1,Slot3_IsMfree=1),IF(AV97&gt;=Slot3_Cost-1,0,MAX(0,AO97-AV97)),AO97)</f>
        <v>0</v>
      </c>
      <c r="AZ97" s="20" t="n">
        <f aca="false">AQ97*(Slot3_Cost-AV97)</f>
        <v>0</v>
      </c>
      <c r="BA97" s="20" t="n">
        <f aca="false">IF(AND(Slot4_On=1,D97=Slot4_Age),1,0)</f>
        <v>0</v>
      </c>
      <c r="BB97" s="20" t="n">
        <f aca="false">IF(AND(Slot4_On=1,Slot4_Age&gt;D97),1,0)</f>
        <v>0</v>
      </c>
      <c r="BC97" s="20" t="n">
        <f aca="false">QY96</f>
        <v>0</v>
      </c>
      <c r="BD97" s="20" t="n">
        <f aca="false">BA97*MIN(Slot4_Cost,BC97)</f>
        <v>0</v>
      </c>
      <c r="BE97" s="20" t="n">
        <f aca="false">BA97*Slot4_SpendLike*MIN(Slot4_Cost-BD97,AW97)</f>
        <v>0</v>
      </c>
      <c r="BF97" s="20" t="n">
        <f aca="false">BD97+BE97</f>
        <v>0</v>
      </c>
      <c r="BG97" s="20" t="n">
        <f aca="false">AW97-BE97+BA97*IF(Slot4_SpendLike=1,BC97-BD97,IF(Slot4_PotFree=1,BC97,0))</f>
        <v>0</v>
      </c>
      <c r="BH97" s="20" t="n">
        <f aca="false">AX97+BA97*Slot4_BufPot*BC97</f>
        <v>0</v>
      </c>
      <c r="BI97" s="20" t="n">
        <f aca="false">IF(AND(BA97=1,Slot4_IsMfree=1),IF(BF97&gt;=Slot4_Cost-1,0,MAX(0,AY97-BF97)),AY97)</f>
        <v>0</v>
      </c>
      <c r="BJ97" s="20" t="n">
        <f aca="false">BA97*(Slot4_Cost-BF97)</f>
        <v>0</v>
      </c>
      <c r="BK97" s="20" t="n">
        <f aca="false">IF(AND(Slot5_On=1,D97=Slot5_Age),1,0)</f>
        <v>0</v>
      </c>
      <c r="BL97" s="20" t="n">
        <f aca="false">IF(AND(Slot5_On=1,Slot5_Age&gt;D97),1,0)</f>
        <v>0</v>
      </c>
      <c r="BM97" s="20" t="n">
        <f aca="false">RC96</f>
        <v>0</v>
      </c>
      <c r="BN97" s="20" t="n">
        <f aca="false">BK97*MIN(Slot5_Cost,BM97)</f>
        <v>0</v>
      </c>
      <c r="BO97" s="20" t="n">
        <f aca="false">BK97*Slot5_SpendLike*MIN(Slot5_Cost-BN97,BG97)</f>
        <v>0</v>
      </c>
      <c r="BP97" s="20" t="n">
        <f aca="false">BN97+BO97</f>
        <v>0</v>
      </c>
      <c r="BQ97" s="20" t="n">
        <f aca="false">BG97-BO97+BK97*IF(Slot5_SpendLike=1,BM97-BN97,IF(Slot5_PotFree=1,BM97,0))</f>
        <v>0</v>
      </c>
      <c r="BR97" s="20" t="n">
        <f aca="false">BH97+BK97*Slot5_BufPot*BM97</f>
        <v>0</v>
      </c>
      <c r="BS97" s="20" t="n">
        <f aca="false">IF(AND(BK97=1,Slot5_IsMfree=1),IF(BP97&gt;=Slot5_Cost-1,0,MAX(0,BI97-BP97)),BI97)</f>
        <v>0</v>
      </c>
      <c r="BT97" s="20" t="n">
        <f aca="false">BK97*(Slot5_Cost-BP97)</f>
        <v>0</v>
      </c>
      <c r="BU97" s="20" t="n">
        <f aca="false">IF(AND(Slot6_On=1,D97=Slot6_Age),1,0)</f>
        <v>0</v>
      </c>
      <c r="BV97" s="20" t="n">
        <f aca="false">IF(AND(Slot6_On=1,Slot6_Age&gt;D97),1,0)</f>
        <v>0</v>
      </c>
      <c r="BW97" s="20" t="n">
        <f aca="false">RG96</f>
        <v>0</v>
      </c>
      <c r="BX97" s="20" t="n">
        <f aca="false">BU97*MIN(Slot6_Cost,BW97)</f>
        <v>0</v>
      </c>
      <c r="BY97" s="20" t="n">
        <f aca="false">BU97*Slot6_SpendLike*MIN(Slot6_Cost-BX97,BQ97)</f>
        <v>0</v>
      </c>
      <c r="BZ97" s="20" t="n">
        <f aca="false">BX97+BY97</f>
        <v>0</v>
      </c>
      <c r="CA97" s="20" t="n">
        <f aca="false">BQ97-BY97+BU97*IF(Slot6_SpendLike=1,BW97-BX97,IF(Slot6_PotFree=1,BW97,0))</f>
        <v>0</v>
      </c>
      <c r="CB97" s="20" t="n">
        <f aca="false">BR97+BU97*Slot6_BufPot*BW97</f>
        <v>0</v>
      </c>
      <c r="CC97" s="20" t="n">
        <f aca="false">IF(AND(BU97=1,Slot6_IsMfree=1),IF(BZ97&gt;=Slot6_Cost-1,0,MAX(0,BS97-BZ97)),BS97)</f>
        <v>0</v>
      </c>
      <c r="CD97" s="20" t="n">
        <f aca="false">BU97*(Slot6_Cost-BZ97)</f>
        <v>0</v>
      </c>
      <c r="CE97" s="20" t="n">
        <f aca="false">IF(AND(Slot7_On=1,D97=Slot7_Age),1,0)</f>
        <v>0</v>
      </c>
      <c r="CF97" s="20" t="n">
        <f aca="false">IF(AND(Slot7_On=1,Slot7_Age&gt;D97),1,0)</f>
        <v>0</v>
      </c>
      <c r="CG97" s="20" t="n">
        <f aca="false">RK96</f>
        <v>0</v>
      </c>
      <c r="CH97" s="20" t="n">
        <f aca="false">CE97*MIN(Slot7_Cost,CG97)</f>
        <v>0</v>
      </c>
      <c r="CI97" s="20" t="n">
        <f aca="false">CE97*Slot7_SpendLike*MIN(Slot7_Cost-CH97,CA97)</f>
        <v>0</v>
      </c>
      <c r="CJ97" s="20" t="n">
        <f aca="false">CH97+CI97</f>
        <v>0</v>
      </c>
      <c r="CK97" s="20" t="n">
        <f aca="false">CA97-CI97+CE97*IF(Slot7_SpendLike=1,CG97-CH97,IF(Slot7_PotFree=1,CG97,0))</f>
        <v>0</v>
      </c>
      <c r="CL97" s="20" t="n">
        <f aca="false">CB97+CE97*Slot7_BufPot*CG97</f>
        <v>0</v>
      </c>
      <c r="CM97" s="20" t="n">
        <f aca="false">IF(AND(CE97=1,Slot7_IsMfree=1),IF(CJ97&gt;=Slot7_Cost-1,0,MAX(0,CC97-CJ97)),CC97)</f>
        <v>0</v>
      </c>
      <c r="CN97" s="20" t="n">
        <f aca="false">CE97*(Slot7_Cost-CJ97)</f>
        <v>0</v>
      </c>
      <c r="CO97" s="20" t="n">
        <f aca="false">IF(AND(Slot8_On=1,D97=Slot8_Age),1,0)</f>
        <v>0</v>
      </c>
      <c r="CP97" s="20" t="n">
        <f aca="false">IF(AND(Slot8_On=1,Slot8_Age&gt;D97),1,0)</f>
        <v>0</v>
      </c>
      <c r="CQ97" s="20" t="n">
        <f aca="false">RO96</f>
        <v>0</v>
      </c>
      <c r="CR97" s="20" t="n">
        <f aca="false">CO97*MIN(Slot8_Cost,CQ97)</f>
        <v>0</v>
      </c>
      <c r="CS97" s="20" t="n">
        <f aca="false">CO97*Slot8_SpendLike*MIN(Slot8_Cost-CR97,CK97)</f>
        <v>0</v>
      </c>
      <c r="CT97" s="20" t="n">
        <f aca="false">CR97+CS97</f>
        <v>0</v>
      </c>
      <c r="CU97" s="20" t="n">
        <f aca="false">CK97-CS97+CO97*IF(Slot8_SpendLike=1,CQ97-CR97,IF(Slot8_PotFree=1,CQ97,0))</f>
        <v>0</v>
      </c>
      <c r="CV97" s="20" t="n">
        <f aca="false">CL97+CO97*Slot8_BufPot*CQ97</f>
        <v>0</v>
      </c>
      <c r="CW97" s="20" t="n">
        <f aca="false">IF(AND(CO97=1,Slot8_IsMfree=1),IF(CT97&gt;=Slot8_Cost-1,0,MAX(0,CM97-CT97)),CM97)</f>
        <v>0</v>
      </c>
      <c r="CX97" s="20" t="n">
        <f aca="false">CO97*(Slot8_Cost-CT97)</f>
        <v>0</v>
      </c>
      <c r="CY97" s="20" t="n">
        <f aca="false">IF(AND(Slot9_On=1,D97=Slot9_Age),1,0)</f>
        <v>0</v>
      </c>
      <c r="CZ97" s="20" t="n">
        <f aca="false">IF(AND(Slot9_On=1,Slot9_Age&gt;D97),1,0)</f>
        <v>0</v>
      </c>
      <c r="DA97" s="20" t="n">
        <f aca="false">RS96</f>
        <v>0</v>
      </c>
      <c r="DB97" s="20" t="n">
        <f aca="false">CY97*MIN(Slot9_Cost,DA97)</f>
        <v>0</v>
      </c>
      <c r="DC97" s="20" t="n">
        <f aca="false">CY97*Slot9_SpendLike*MIN(Slot9_Cost-DB97,CU97)</f>
        <v>0</v>
      </c>
      <c r="DD97" s="20" t="n">
        <f aca="false">DB97+DC97</f>
        <v>0</v>
      </c>
      <c r="DE97" s="20" t="n">
        <f aca="false">CU97-DC97+CY97*IF(Slot9_SpendLike=1,DA97-DB97,IF(Slot9_PotFree=1,DA97,0))</f>
        <v>0</v>
      </c>
      <c r="DF97" s="20" t="n">
        <f aca="false">CV97+CY97*Slot9_BufPot*DA97</f>
        <v>0</v>
      </c>
      <c r="DG97" s="20" t="n">
        <f aca="false">IF(AND(CY97=1,Slot9_IsMfree=1),IF(DD97&gt;=Slot9_Cost-1,0,MAX(0,CW97-DD97)),CW97)</f>
        <v>0</v>
      </c>
      <c r="DH97" s="20" t="n">
        <f aca="false">CY97*(Slot9_Cost-DD97)</f>
        <v>0</v>
      </c>
      <c r="DI97" s="20" t="n">
        <f aca="false">IF(AND(Slot10_On=1,D97=Slot10_Age),1,0)</f>
        <v>0</v>
      </c>
      <c r="DJ97" s="20" t="n">
        <f aca="false">IF(AND(Slot10_On=1,Slot10_Age&gt;D97),1,0)</f>
        <v>0</v>
      </c>
      <c r="DK97" s="20" t="n">
        <f aca="false">RW96</f>
        <v>0</v>
      </c>
      <c r="DL97" s="20" t="n">
        <f aca="false">DI97*MIN(Slot10_Cost,DK97)</f>
        <v>0</v>
      </c>
      <c r="DM97" s="20" t="n">
        <f aca="false">DI97*Slot10_SpendLike*MIN(Slot10_Cost-DL97,DE97)</f>
        <v>0</v>
      </c>
      <c r="DN97" s="20" t="n">
        <f aca="false">DL97+DM97</f>
        <v>0</v>
      </c>
      <c r="DO97" s="20" t="n">
        <f aca="false">DE97-DM97+DI97*IF(Slot10_SpendLike=1,DK97-DL97,IF(Slot10_PotFree=1,DK97,0))</f>
        <v>0</v>
      </c>
      <c r="DP97" s="20" t="n">
        <f aca="false">DF97+DI97*Slot10_BufPot*DK97</f>
        <v>0</v>
      </c>
      <c r="DQ97" s="20" t="n">
        <f aca="false">IF(AND(DI97=1,Slot10_IsMfree=1),IF(DN97&gt;=Slot10_Cost-1,0,MAX(0,DG97-DN97)),DG97)</f>
        <v>0</v>
      </c>
      <c r="DR97" s="20" t="n">
        <f aca="false">DI97*(Slot10_Cost-DN97)</f>
        <v>0</v>
      </c>
      <c r="DS97" s="20" t="n">
        <f aca="false">IF(AND(Slot11_On=1,D97=Slot11_Age),1,0)</f>
        <v>0</v>
      </c>
      <c r="DT97" s="20" t="n">
        <f aca="false">IF(AND(Slot11_On=1,Slot11_Age&gt;D97),1,0)</f>
        <v>0</v>
      </c>
      <c r="DU97" s="20" t="n">
        <f aca="false">SA96</f>
        <v>0</v>
      </c>
      <c r="DV97" s="20" t="n">
        <f aca="false">DS97*MIN(Slot11_Cost,DU97)</f>
        <v>0</v>
      </c>
      <c r="DW97" s="20" t="n">
        <f aca="false">DS97*Slot11_SpendLike*MIN(Slot11_Cost-DV97,DO97)</f>
        <v>0</v>
      </c>
      <c r="DX97" s="20" t="n">
        <f aca="false">DV97+DW97</f>
        <v>0</v>
      </c>
      <c r="DY97" s="20" t="n">
        <f aca="false">DO97-DW97+DS97*IF(Slot11_SpendLike=1,DU97-DV97,IF(Slot11_PotFree=1,DU97,0))</f>
        <v>0</v>
      </c>
      <c r="DZ97" s="20" t="n">
        <f aca="false">DP97+DS97*Slot11_BufPot*DU97</f>
        <v>0</v>
      </c>
      <c r="EA97" s="20" t="n">
        <f aca="false">IF(AND(DS97=1,Slot11_IsMfree=1),IF(DX97&gt;=Slot11_Cost-1,0,MAX(0,DQ97-DX97)),DQ97)</f>
        <v>0</v>
      </c>
      <c r="EB97" s="20" t="n">
        <f aca="false">DS97*(Slot11_Cost-DX97)</f>
        <v>0</v>
      </c>
      <c r="EC97" s="20" t="n">
        <f aca="false">IF(AND(Slot12_On=1,D97=Slot12_Age),1,0)</f>
        <v>0</v>
      </c>
      <c r="ED97" s="20" t="n">
        <f aca="false">IF(AND(Slot12_On=1,Slot12_Age&gt;D97),1,0)</f>
        <v>0</v>
      </c>
      <c r="EE97" s="20" t="n">
        <f aca="false">SE96</f>
        <v>0</v>
      </c>
      <c r="EF97" s="20" t="n">
        <f aca="false">EC97*MIN(Slot12_Cost,EE97)</f>
        <v>0</v>
      </c>
      <c r="EG97" s="20" t="n">
        <f aca="false">EC97*Slot12_SpendLike*MIN(Slot12_Cost-EF97,DY97)</f>
        <v>0</v>
      </c>
      <c r="EH97" s="20" t="n">
        <f aca="false">EF97+EG97</f>
        <v>0</v>
      </c>
      <c r="EI97" s="20" t="n">
        <f aca="false">DY97-EG97+EC97*IF(Slot12_SpendLike=1,EE97-EF97,IF(Slot12_PotFree=1,EE97,0))</f>
        <v>0</v>
      </c>
      <c r="EJ97" s="20" t="n">
        <f aca="false">DZ97+EC97*Slot12_BufPot*EE97</f>
        <v>0</v>
      </c>
      <c r="EK97" s="20" t="n">
        <f aca="false">IF(AND(EC97=1,Slot12_IsMfree=1),IF(EH97&gt;=Slot12_Cost-1,0,MAX(0,EA97-EH97)),EA97)</f>
        <v>0</v>
      </c>
      <c r="EL97" s="20" t="n">
        <f aca="false">EC97*(Slot12_Cost-EH97)</f>
        <v>0</v>
      </c>
      <c r="EM97" s="20" t="n">
        <f aca="false">IF(AND(Slot13_On=1,D97=Slot13_Age),1,0)</f>
        <v>0</v>
      </c>
      <c r="EN97" s="20" t="n">
        <f aca="false">IF(AND(Slot13_On=1,Slot13_Age&gt;D97),1,0)</f>
        <v>0</v>
      </c>
      <c r="EO97" s="20" t="n">
        <f aca="false">SI96</f>
        <v>0</v>
      </c>
      <c r="EP97" s="20" t="n">
        <f aca="false">EM97*MIN(Slot13_Cost,EO97)</f>
        <v>0</v>
      </c>
      <c r="EQ97" s="20" t="n">
        <f aca="false">EM97*Slot13_SpendLike*MIN(Slot13_Cost-EP97,EI97)</f>
        <v>0</v>
      </c>
      <c r="ER97" s="20" t="n">
        <f aca="false">EP97+EQ97</f>
        <v>0</v>
      </c>
      <c r="ES97" s="20" t="n">
        <f aca="false">EI97-EQ97+EM97*IF(Slot13_SpendLike=1,EO97-EP97,IF(Slot13_PotFree=1,EO97,0))</f>
        <v>0</v>
      </c>
      <c r="ET97" s="20" t="n">
        <f aca="false">EJ97+EM97*Slot13_BufPot*EO97</f>
        <v>0</v>
      </c>
      <c r="EU97" s="20" t="n">
        <f aca="false">IF(AND(EM97=1,Slot13_IsMfree=1),IF(ER97&gt;=Slot13_Cost-1,0,MAX(0,EK97-ER97)),EK97)</f>
        <v>0</v>
      </c>
      <c r="EV97" s="20" t="n">
        <f aca="false">EM97*(Slot13_Cost-ER97)</f>
        <v>0</v>
      </c>
      <c r="EW97" s="20" t="n">
        <f aca="false">IF(AND(Slot14_On=1,D97=Slot14_Age),1,0)</f>
        <v>0</v>
      </c>
      <c r="EX97" s="20" t="n">
        <f aca="false">IF(AND(Slot14_On=1,Slot14_Age&gt;D97),1,0)</f>
        <v>0</v>
      </c>
      <c r="EY97" s="20" t="n">
        <f aca="false">SM96</f>
        <v>0</v>
      </c>
      <c r="EZ97" s="20" t="n">
        <f aca="false">EW97*MIN(Slot14_Cost,EY97)</f>
        <v>0</v>
      </c>
      <c r="FA97" s="20" t="n">
        <f aca="false">EW97*Slot14_SpendLike*MIN(Slot14_Cost-EZ97,ES97)</f>
        <v>0</v>
      </c>
      <c r="FB97" s="20" t="n">
        <f aca="false">EZ97+FA97</f>
        <v>0</v>
      </c>
      <c r="FC97" s="20" t="n">
        <f aca="false">ES97-FA97+EW97*IF(Slot14_SpendLike=1,EY97-EZ97,IF(Slot14_PotFree=1,EY97,0))</f>
        <v>0</v>
      </c>
      <c r="FD97" s="20" t="n">
        <f aca="false">ET97+EW97*Slot14_BufPot*EY97</f>
        <v>0</v>
      </c>
      <c r="FE97" s="20" t="n">
        <f aca="false">IF(AND(EW97=1,Slot14_IsMfree=1),IF(FB97&gt;=Slot14_Cost-1,0,MAX(0,EU97-FB97)),EU97)</f>
        <v>0</v>
      </c>
      <c r="FF97" s="20" t="n">
        <f aca="false">EW97*(Slot14_Cost-FB97)</f>
        <v>0</v>
      </c>
      <c r="FG97" s="20" t="n">
        <f aca="false">IF(AND(Slot15_On=1,D97=Slot15_Age),1,0)</f>
        <v>0</v>
      </c>
      <c r="FH97" s="20" t="n">
        <f aca="false">IF(AND(Slot15_On=1,Slot15_Age&gt;D97),1,0)</f>
        <v>0</v>
      </c>
      <c r="FI97" s="20" t="n">
        <f aca="false">SQ96</f>
        <v>0</v>
      </c>
      <c r="FJ97" s="20" t="n">
        <f aca="false">FG97*MIN(Slot15_Cost,FI97)</f>
        <v>0</v>
      </c>
      <c r="FK97" s="20" t="n">
        <f aca="false">FG97*Slot15_SpendLike*MIN(Slot15_Cost-FJ97,FC97)</f>
        <v>0</v>
      </c>
      <c r="FL97" s="20" t="n">
        <f aca="false">FJ97+FK97</f>
        <v>0</v>
      </c>
      <c r="FM97" s="20" t="n">
        <f aca="false">FC97-FK97+FG97*IF(Slot15_SpendLike=1,FI97-FJ97,IF(Slot15_PotFree=1,FI97,0))</f>
        <v>0</v>
      </c>
      <c r="FN97" s="20" t="n">
        <f aca="false">FD97+FG97*Slot15_BufPot*FI97</f>
        <v>0</v>
      </c>
      <c r="FO97" s="20" t="n">
        <f aca="false">IF(AND(FG97=1,Slot15_IsMfree=1),IF(FL97&gt;=Slot15_Cost-1,0,MAX(0,FE97-FL97)),FE97)</f>
        <v>0</v>
      </c>
      <c r="FP97" s="20" t="n">
        <f aca="false">FG97*(Slot15_Cost-FL97)</f>
        <v>0</v>
      </c>
      <c r="FQ97" s="20" t="n">
        <f aca="false">IF(AND(Slot16_On=1,D97=Slot16_Age),1,0)</f>
        <v>0</v>
      </c>
      <c r="FR97" s="20" t="n">
        <f aca="false">IF(AND(Slot16_On=1,Slot16_Age&gt;D97),1,0)</f>
        <v>0</v>
      </c>
      <c r="FS97" s="20" t="n">
        <f aca="false">SU96</f>
        <v>0</v>
      </c>
      <c r="FT97" s="20" t="n">
        <f aca="false">FQ97*MIN(Slot16_Cost,FS97)</f>
        <v>0</v>
      </c>
      <c r="FU97" s="20" t="n">
        <f aca="false">FQ97*Slot16_SpendLike*MIN(Slot16_Cost-FT97,FM97)</f>
        <v>0</v>
      </c>
      <c r="FV97" s="20" t="n">
        <f aca="false">FT97+FU97</f>
        <v>0</v>
      </c>
      <c r="FW97" s="20" t="n">
        <f aca="false">FM97-FU97+FQ97*IF(Slot16_SpendLike=1,FS97-FT97,IF(Slot16_PotFree=1,FS97,0))</f>
        <v>0</v>
      </c>
      <c r="FX97" s="20" t="n">
        <f aca="false">FN97+FQ97*Slot16_BufPot*FS97</f>
        <v>0</v>
      </c>
      <c r="FY97" s="20" t="n">
        <f aca="false">IF(AND(FQ97=1,Slot16_IsMfree=1),IF(FV97&gt;=Slot16_Cost-1,0,MAX(0,FO97-FV97)),FO97)</f>
        <v>0</v>
      </c>
      <c r="FZ97" s="20" t="n">
        <f aca="false">FQ97*(Slot16_Cost-FV97)</f>
        <v>0</v>
      </c>
      <c r="GA97" s="20" t="n">
        <f aca="false">IF(AND(Slot17_On=1,D97=Slot17_Age),1,0)</f>
        <v>0</v>
      </c>
      <c r="GB97" s="20" t="n">
        <f aca="false">IF(AND(Slot17_On=1,Slot17_Age&gt;D97),1,0)</f>
        <v>0</v>
      </c>
      <c r="GC97" s="20" t="n">
        <f aca="false">SY96</f>
        <v>0</v>
      </c>
      <c r="GD97" s="20" t="n">
        <f aca="false">GA97*MIN(Slot17_Cost,GC97)</f>
        <v>0</v>
      </c>
      <c r="GE97" s="20" t="n">
        <f aca="false">GA97*Slot17_SpendLike*MIN(Slot17_Cost-GD97,FW97)</f>
        <v>0</v>
      </c>
      <c r="GF97" s="20" t="n">
        <f aca="false">GD97+GE97</f>
        <v>0</v>
      </c>
      <c r="GG97" s="20" t="n">
        <f aca="false">FW97-GE97+GA97*IF(Slot17_SpendLike=1,GC97-GD97,IF(Slot17_PotFree=1,GC97,0))</f>
        <v>0</v>
      </c>
      <c r="GH97" s="20" t="n">
        <f aca="false">FX97+GA97*Slot17_BufPot*GC97</f>
        <v>0</v>
      </c>
      <c r="GI97" s="20" t="n">
        <f aca="false">IF(AND(GA97=1,Slot17_IsMfree=1),IF(GF97&gt;=Slot17_Cost-1,0,MAX(0,FY97-GF97)),FY97)</f>
        <v>0</v>
      </c>
      <c r="GJ97" s="20" t="n">
        <f aca="false">GA97*(Slot17_Cost-GF97)</f>
        <v>0</v>
      </c>
      <c r="GK97" s="20" t="n">
        <f aca="false">IF(AND(Slot18_On=1,D97=Slot18_Age),1,0)</f>
        <v>0</v>
      </c>
      <c r="GL97" s="20" t="n">
        <f aca="false">IF(AND(Slot18_On=1,Slot18_Age&gt;D97),1,0)</f>
        <v>0</v>
      </c>
      <c r="GM97" s="20" t="n">
        <f aca="false">TC96</f>
        <v>0</v>
      </c>
      <c r="GN97" s="20" t="n">
        <f aca="false">GK97*MIN(Slot18_Cost,GM97)</f>
        <v>0</v>
      </c>
      <c r="GO97" s="20" t="n">
        <f aca="false">GK97*Slot18_SpendLike*MIN(Slot18_Cost-GN97,GG97)</f>
        <v>0</v>
      </c>
      <c r="GP97" s="20" t="n">
        <f aca="false">GN97+GO97</f>
        <v>0</v>
      </c>
      <c r="GQ97" s="20" t="n">
        <f aca="false">GG97-GO97+GK97*IF(Slot18_SpendLike=1,GM97-GN97,IF(Slot18_PotFree=1,GM97,0))</f>
        <v>0</v>
      </c>
      <c r="GR97" s="20" t="n">
        <f aca="false">GH97+GK97*Slot18_BufPot*GM97</f>
        <v>0</v>
      </c>
      <c r="GS97" s="20" t="n">
        <f aca="false">IF(AND(GK97=1,Slot18_IsMfree=1),IF(GP97&gt;=Slot18_Cost-1,0,MAX(0,GI97-GP97)),GI97)</f>
        <v>0</v>
      </c>
      <c r="GT97" s="20" t="n">
        <f aca="false">GK97*(Slot18_Cost-GP97)</f>
        <v>0</v>
      </c>
      <c r="GU97" s="20" t="n">
        <f aca="false">IF(AND(Slot19_On=1,D97=Slot19_Age),1,0)</f>
        <v>0</v>
      </c>
      <c r="GV97" s="20" t="n">
        <f aca="false">IF(AND(Slot19_On=1,Slot19_Age&gt;D97),1,0)</f>
        <v>0</v>
      </c>
      <c r="GW97" s="20" t="n">
        <f aca="false">TG96</f>
        <v>0</v>
      </c>
      <c r="GX97" s="20" t="n">
        <f aca="false">GU97*MIN(Slot19_Cost,GW97)</f>
        <v>0</v>
      </c>
      <c r="GY97" s="20" t="n">
        <f aca="false">GU97*Slot19_SpendLike*MIN(Slot19_Cost-GX97,GQ97)</f>
        <v>0</v>
      </c>
      <c r="GZ97" s="20" t="n">
        <f aca="false">GX97+GY97</f>
        <v>0</v>
      </c>
      <c r="HA97" s="20" t="n">
        <f aca="false">GQ97-GY97+GU97*IF(Slot19_SpendLike=1,GW97-GX97,IF(Slot19_PotFree=1,GW97,0))</f>
        <v>0</v>
      </c>
      <c r="HB97" s="20" t="n">
        <f aca="false">GR97+GU97*Slot19_BufPot*GW97</f>
        <v>0</v>
      </c>
      <c r="HC97" s="20" t="n">
        <f aca="false">IF(AND(GU97=1,Slot19_IsMfree=1),IF(GZ97&gt;=Slot19_Cost-1,0,MAX(0,GS97-GZ97)),GS97)</f>
        <v>0</v>
      </c>
      <c r="HD97" s="20" t="n">
        <f aca="false">GU97*(Slot19_Cost-GZ97)</f>
        <v>0</v>
      </c>
      <c r="HE97" s="20" t="n">
        <f aca="false">IF(AND(Slot20_On=1,D97=Slot20_Age),1,0)</f>
        <v>0</v>
      </c>
      <c r="HF97" s="20" t="n">
        <f aca="false">IF(AND(Slot20_On=1,Slot20_Age&gt;D97),1,0)</f>
        <v>0</v>
      </c>
      <c r="HG97" s="20" t="n">
        <f aca="false">TK96</f>
        <v>0</v>
      </c>
      <c r="HH97" s="20" t="n">
        <f aca="false">HE97*MIN(Slot20_Cost,HG97)</f>
        <v>0</v>
      </c>
      <c r="HI97" s="20" t="n">
        <f aca="false">HE97*Slot20_SpendLike*MIN(Slot20_Cost-HH97,HA97)</f>
        <v>0</v>
      </c>
      <c r="HJ97" s="20" t="n">
        <f aca="false">HH97+HI97</f>
        <v>0</v>
      </c>
      <c r="HK97" s="20" t="n">
        <f aca="false">HA97-HI97+HE97*IF(Slot20_SpendLike=1,HG97-HH97,IF(Slot20_PotFree=1,HG97,0))</f>
        <v>0</v>
      </c>
      <c r="HL97" s="20" t="n">
        <f aca="false">HB97+HE97*Slot20_BufPot*HG97</f>
        <v>0</v>
      </c>
      <c r="HM97" s="20" t="n">
        <f aca="false">IF(AND(HE97=1,Slot20_IsMfree=1),IF(HJ97&gt;=Slot20_Cost-1,0,MAX(0,HC97-HJ97)),HC97)</f>
        <v>0</v>
      </c>
      <c r="HN97" s="20" t="n">
        <f aca="false">HE97*(Slot20_Cost-HJ97)</f>
        <v>0</v>
      </c>
      <c r="HO97" s="20" t="n">
        <f aca="false">V97*Slot1_SpendLike*AA97+AG97*Slot2_SpendLike*AL97+AQ97*Slot3_SpendLike*AV97+BA97*Slot4_SpendLike*BF97+BK97*Slot5_SpendLike*BP97+BU97*Slot6_SpendLike*BZ97+CE97*Slot7_SpendLike*CJ97+CO97*Slot8_SpendLike*CT97+CY97*Slot9_SpendLike*DD97+DI97*Slot10_SpendLike*DN97+DS97*Slot11_SpendLike*DX97+EC97*Slot12_SpendLike*EH97+EM97*Slot13_SpendLike*ER97+EW97*Slot14_SpendLike*FB97+FG97*Slot15_SpendLike*FL97+FQ97*Slot16_SpendLike*FV97+GA97*Slot17_SpendLike*GF97+GK97*Slot18_SpendLike*GP97+GU97*Slot19_SpendLike*GZ97+HE97*Slot20_SpendLike*HJ97</f>
        <v>0</v>
      </c>
      <c r="HP97" s="20" t="n">
        <f aca="false">AE97+AP97+AZ97+BJ97+BT97+CD97+CN97+CX97+DH97+DR97+EB97+EL97+EV97+FF97+FP97+FZ97+GJ97+GT97+HD97+HN97</f>
        <v>0</v>
      </c>
      <c r="HQ97" s="20" t="n">
        <f aca="false">V97*Slot1_Cost+AG97*Slot2_Cost+AQ97*Slot3_Cost+BA97*Slot4_Cost+BK97*Slot5_Cost+BU97*Slot6_Cost+CE97*Slot7_Cost+CO97*Slot8_Cost+CY97*Slot9_Cost+DI97*Slot10_Cost+DS97*Slot11_Cost+EC97*Slot12_Cost+EM97*Slot13_Cost+EW97*Slot14_Cost+FG97*Slot15_Cost+FQ97*Slot16_Cost+GA97*Slot17_Cost+GK97*Slot18_Cost+GU97*Slot19_Cost+HE97*Slot20_Cost</f>
        <v>0</v>
      </c>
      <c r="HR97" s="20" t="n">
        <f aca="false">HM97</f>
        <v>0</v>
      </c>
      <c r="HS97" s="20" t="n">
        <f aca="false">H97-I97-S97</f>
        <v>-112252.500105392</v>
      </c>
      <c r="HT97" s="20" t="n">
        <f aca="false">IF(B97=0,IF(AND(Has_q6=1,In_q6=4),PR_ShareVaries*(MAX(0,HS97)/12),MIN(IF(Has_q6=1,CHOOSE(In_q6+1,PR_SaveB1,PR_SaveB2,PR_SaveB3,PR_SaveB4,0),AS_NoAnswer),AS_SaveShare*(MAX(0,HS97)/12))),HT96)</f>
        <v>67.3316893520437</v>
      </c>
      <c r="HU97" s="20" t="n">
        <f aca="false">IF(HS97&gt;=0,1,0)</f>
        <v>0</v>
      </c>
      <c r="HV97" s="20" t="n">
        <f aca="false">MAX(0,HS97/12/F97)</f>
        <v>0</v>
      </c>
      <c r="HW97" s="20" t="n">
        <f aca="false">IF(AND(Has_q6=1,In_q6=4),PR_ShareVaries*(HV97),MIN(IF(Has_q6=1,CHOOSE(In_q6+1,PR_SaveB1,PR_SaveB2,PR_SaveB3,PR_SaveB4,0),AS_NoAnswer),AS_SaveShare*(HV97)))</f>
        <v>0</v>
      </c>
      <c r="HX97" s="20" t="n">
        <f aca="false">IF(Has_saveM=1,IF(In_saveUp="Yes",1,IF(In_saveUp="No",0,IF(In_saveM&gt;=HT97-0.5,1,0))),0)</f>
        <v>0</v>
      </c>
      <c r="HY97" s="20" t="n">
        <f aca="false">IF(Has_saveM=1,MIN(HV97,IF(HX97=1,MAX(In_saveM,HW97),MIN(In_saveM,HW97))),HW97)</f>
        <v>0</v>
      </c>
      <c r="HZ97" s="20" t="n">
        <f aca="false">IF(G97=1,HY97*12*F97,0)</f>
        <v>0</v>
      </c>
      <c r="IA97" s="20" t="n">
        <f aca="false">MAX(0,HZ97+IF(AND(WI_Retire=0,WI_M&lt;0,G97=1),WI_M*12*F97,0))</f>
        <v>0</v>
      </c>
      <c r="IB97" s="20" t="n">
        <f aca="false">Slot1_IsWG*W97+Slot2_IsWG*AH97+Slot3_IsWG*AR97+Slot4_IsWG*BB97+Slot5_IsWG*BL97+Slot6_IsWG*BV97+Slot7_IsWG*CF97+Slot8_IsWG*CP97+Slot9_IsWG*CZ97+Slot10_IsWG*DJ97+Slot11_IsWG*DT97+Slot12_IsWG*ED97+Slot13_IsWG*EN97+Slot14_IsWG*EX97+Slot15_IsWG*FH97+Slot16_IsWG*FR97+Slot17_IsWG*GB97+Slot18_IsWG*GL97+Slot19_IsWG*GV97+Slot20_IsWG*HF97</f>
        <v>0</v>
      </c>
      <c r="IC97" s="20" t="n">
        <f aca="false">IF(AND(WI_Retire=0,WI_M&gt;0,G97=1,IB97&gt;=1),WI_M*12*F97,0)</f>
        <v>0</v>
      </c>
      <c r="ID97" s="20" t="n">
        <f aca="false">IF(HU97=1,MIN(IA97,HS97),0)</f>
        <v>0</v>
      </c>
      <c r="IE97" s="20" t="n">
        <f aca="false">IF(HU97=1,MIN(IC97,HS97-ID97),0)</f>
        <v>0</v>
      </c>
      <c r="IF97" s="20" t="n">
        <f aca="false">IF(W97=1,IF(ABS((1+AS_Wage)/(1+Slot1_Rate)-1)&lt;0.000000000001,(Slot1_Age-D97)*(1+Slot1_Rate)^(Slot1_Age-D97),(1+Slot1_Rate)^(Slot1_Age-D97)*(1-((1+AS_Wage)/(1+Slot1_Rate))^(Slot1_Age-D97))/(1-(1+AS_Wage)/(1+Slot1_Rate))),1)</f>
        <v>1</v>
      </c>
      <c r="IG97" s="20" t="n">
        <f aca="false">IF(AND(HU97=1,IE97&gt;0,Slot1_IsWG=1,W97=1),MAX(0,(Slot1_Cost-X97*(1+Slot1_Rate)^(Slot1_Age-D97))/IF97),0)</f>
        <v>0</v>
      </c>
      <c r="IH97" s="20" t="n">
        <f aca="false">IF(AND(HU97=1,IE97&gt;0,Slot1_IsWG=1,W97=1),MIN(IE97,IG97),0)</f>
        <v>0</v>
      </c>
      <c r="II97" s="20" t="n">
        <f aca="false">X97+IH97</f>
        <v>0</v>
      </c>
      <c r="IJ97" s="20" t="n">
        <f aca="false">IF(W97=1,MAX(0,(Slot1_Cost-II97*(1+Slot1_Rate)^(Slot1_Age-D97))/IF97),0)</f>
        <v>0</v>
      </c>
      <c r="IK97" s="20" t="n">
        <f aca="false">IF(W97=1,MAX(0,(Slot1_Cost-X97*(1+Slot1_Rate)^(Slot1_Age-D97))/IF97),0)</f>
        <v>0</v>
      </c>
      <c r="IL97" s="20" t="n">
        <f aca="false">IF(AND(HU97=1,W97=1),MIN(ID97,IJ97),0)</f>
        <v>0</v>
      </c>
      <c r="IM97" s="20" t="n">
        <f aca="false">ID97-IL97</f>
        <v>0</v>
      </c>
      <c r="IN97" s="20" t="n">
        <f aca="false">IF(AH97=1,IF(ABS((1+AS_Wage)/(1+Slot2_Rate)-1)&lt;0.000000000001,(Slot2_Age-D97)*(1+Slot2_Rate)^(Slot2_Age-D97),(1+Slot2_Rate)^(Slot2_Age-D97)*(1-((1+AS_Wage)/(1+Slot2_Rate))^(Slot2_Age-D97))/(1-(1+AS_Wage)/(1+Slot2_Rate))),1)</f>
        <v>1</v>
      </c>
      <c r="IO97" s="20" t="n">
        <f aca="false">IF(AND(HU97=1,IE97&gt;0,Slot2_IsWG=1,AH97=1),MAX(0,(Slot2_Cost-AI97*(1+Slot2_Rate)^(Slot2_Age-D97))/IN97),0)</f>
        <v>0</v>
      </c>
      <c r="IP97" s="20" t="n">
        <f aca="false">IF(AND(HU97=1,IE97&gt;0,Slot2_IsWG=1,AH97=1),MIN(IE97,IO97),0)</f>
        <v>0</v>
      </c>
      <c r="IQ97" s="20" t="n">
        <f aca="false">AI97+IP97</f>
        <v>0</v>
      </c>
      <c r="IR97" s="20" t="n">
        <f aca="false">IF(AH97=1,MAX(0,(Slot2_Cost-IQ97*(1+Slot2_Rate)^(Slot2_Age-D97))/IN97),0)</f>
        <v>0</v>
      </c>
      <c r="IS97" s="20" t="n">
        <f aca="false">IF(AH97=1,MAX(0,(Slot2_Cost-AI97*(1+Slot2_Rate)^(Slot2_Age-D97))/IN97),0)</f>
        <v>0</v>
      </c>
      <c r="IT97" s="20" t="n">
        <f aca="false">IF(AND(HU97=1,AH97=1),MIN(IM97,IR97),0)</f>
        <v>0</v>
      </c>
      <c r="IU97" s="20" t="n">
        <f aca="false">IM97-IT97</f>
        <v>0</v>
      </c>
      <c r="IV97" s="20" t="n">
        <f aca="false">IF(AR97=1,IF(ABS((1+AS_Wage)/(1+Slot3_Rate)-1)&lt;0.000000000001,(Slot3_Age-D97)*(1+Slot3_Rate)^(Slot3_Age-D97),(1+Slot3_Rate)^(Slot3_Age-D97)*(1-((1+AS_Wage)/(1+Slot3_Rate))^(Slot3_Age-D97))/(1-(1+AS_Wage)/(1+Slot3_Rate))),1)</f>
        <v>1</v>
      </c>
      <c r="IW97" s="20" t="n">
        <f aca="false">IF(AND(HU97=1,IE97&gt;0,Slot3_IsWG=1,AR97=1),MAX(0,(Slot3_Cost-AS97*(1+Slot3_Rate)^(Slot3_Age-D97))/IV97),0)</f>
        <v>0</v>
      </c>
      <c r="IX97" s="20" t="n">
        <f aca="false">IF(AND(HU97=1,IE97&gt;0,Slot3_IsWG=1,AR97=1),MIN(IE97,IW97),0)</f>
        <v>0</v>
      </c>
      <c r="IY97" s="20" t="n">
        <f aca="false">AS97+IX97</f>
        <v>0</v>
      </c>
      <c r="IZ97" s="20" t="n">
        <f aca="false">IF(AR97=1,MAX(0,(Slot3_Cost-IY97*(1+Slot3_Rate)^(Slot3_Age-D97))/IV97),0)</f>
        <v>0</v>
      </c>
      <c r="JA97" s="20" t="n">
        <f aca="false">IF(AR97=1,MAX(0,(Slot3_Cost-AS97*(1+Slot3_Rate)^(Slot3_Age-D97))/IV97),0)</f>
        <v>0</v>
      </c>
      <c r="JB97" s="20" t="n">
        <f aca="false">IF(AND(HU97=1,AR97=1),MIN(IU97,IZ97),0)</f>
        <v>0</v>
      </c>
      <c r="JC97" s="20" t="n">
        <f aca="false">IU97-JB97</f>
        <v>0</v>
      </c>
      <c r="JD97" s="20" t="n">
        <f aca="false">IF(BB97=1,IF(ABS((1+AS_Wage)/(1+Slot4_Rate)-1)&lt;0.000000000001,(Slot4_Age-D97)*(1+Slot4_Rate)^(Slot4_Age-D97),(1+Slot4_Rate)^(Slot4_Age-D97)*(1-((1+AS_Wage)/(1+Slot4_Rate))^(Slot4_Age-D97))/(1-(1+AS_Wage)/(1+Slot4_Rate))),1)</f>
        <v>1</v>
      </c>
      <c r="JE97" s="20" t="n">
        <f aca="false">IF(AND(HU97=1,IE97&gt;0,Slot4_IsWG=1,BB97=1),MAX(0,(Slot4_Cost-BC97*(1+Slot4_Rate)^(Slot4_Age-D97))/JD97),0)</f>
        <v>0</v>
      </c>
      <c r="JF97" s="20" t="n">
        <f aca="false">IF(AND(HU97=1,IE97&gt;0,Slot4_IsWG=1,BB97=1),MIN(IE97,JE97),0)</f>
        <v>0</v>
      </c>
      <c r="JG97" s="20" t="n">
        <f aca="false">BC97+JF97</f>
        <v>0</v>
      </c>
      <c r="JH97" s="20" t="n">
        <f aca="false">IF(BB97=1,MAX(0,(Slot4_Cost-JG97*(1+Slot4_Rate)^(Slot4_Age-D97))/JD97),0)</f>
        <v>0</v>
      </c>
      <c r="JI97" s="20" t="n">
        <f aca="false">IF(BB97=1,MAX(0,(Slot4_Cost-BC97*(1+Slot4_Rate)^(Slot4_Age-D97))/JD97),0)</f>
        <v>0</v>
      </c>
      <c r="JJ97" s="20" t="n">
        <f aca="false">IF(AND(HU97=1,BB97=1),MIN(JC97,JH97),0)</f>
        <v>0</v>
      </c>
      <c r="JK97" s="20" t="n">
        <f aca="false">JC97-JJ97</f>
        <v>0</v>
      </c>
      <c r="JL97" s="20" t="n">
        <f aca="false">IF(BL97=1,IF(ABS((1+AS_Wage)/(1+Slot5_Rate)-1)&lt;0.000000000001,(Slot5_Age-D97)*(1+Slot5_Rate)^(Slot5_Age-D97),(1+Slot5_Rate)^(Slot5_Age-D97)*(1-((1+AS_Wage)/(1+Slot5_Rate))^(Slot5_Age-D97))/(1-(1+AS_Wage)/(1+Slot5_Rate))),1)</f>
        <v>1</v>
      </c>
      <c r="JM97" s="20" t="n">
        <f aca="false">IF(AND(HU97=1,IE97&gt;0,Slot5_IsWG=1,BL97=1),MAX(0,(Slot5_Cost-BM97*(1+Slot5_Rate)^(Slot5_Age-D97))/JL97),0)</f>
        <v>0</v>
      </c>
      <c r="JN97" s="20" t="n">
        <f aca="false">IF(AND(HU97=1,IE97&gt;0,Slot5_IsWG=1,BL97=1),MIN(IE97,JM97),0)</f>
        <v>0</v>
      </c>
      <c r="JO97" s="20" t="n">
        <f aca="false">BM97+JN97</f>
        <v>0</v>
      </c>
      <c r="JP97" s="20" t="n">
        <f aca="false">IF(BL97=1,MAX(0,(Slot5_Cost-JO97*(1+Slot5_Rate)^(Slot5_Age-D97))/JL97),0)</f>
        <v>0</v>
      </c>
      <c r="JQ97" s="20" t="n">
        <f aca="false">IF(BL97=1,MAX(0,(Slot5_Cost-BM97*(1+Slot5_Rate)^(Slot5_Age-D97))/JL97),0)</f>
        <v>0</v>
      </c>
      <c r="JR97" s="20" t="n">
        <f aca="false">IF(AND(HU97=1,BL97=1),MIN(JK97,JP97),0)</f>
        <v>0</v>
      </c>
      <c r="JS97" s="20" t="n">
        <f aca="false">JK97-JR97</f>
        <v>0</v>
      </c>
      <c r="JT97" s="20" t="n">
        <f aca="false">IF(BV97=1,IF(ABS((1+AS_Wage)/(1+Slot6_Rate)-1)&lt;0.000000000001,(Slot6_Age-D97)*(1+Slot6_Rate)^(Slot6_Age-D97),(1+Slot6_Rate)^(Slot6_Age-D97)*(1-((1+AS_Wage)/(1+Slot6_Rate))^(Slot6_Age-D97))/(1-(1+AS_Wage)/(1+Slot6_Rate))),1)</f>
        <v>1</v>
      </c>
      <c r="JU97" s="20" t="n">
        <f aca="false">IF(AND(HU97=1,IE97&gt;0,Slot6_IsWG=1,BV97=1),MAX(0,(Slot6_Cost-BW97*(1+Slot6_Rate)^(Slot6_Age-D97))/JT97),0)</f>
        <v>0</v>
      </c>
      <c r="JV97" s="20" t="n">
        <f aca="false">IF(AND(HU97=1,IE97&gt;0,Slot6_IsWG=1,BV97=1),MIN(IE97,JU97),0)</f>
        <v>0</v>
      </c>
      <c r="JW97" s="20" t="n">
        <f aca="false">BW97+JV97</f>
        <v>0</v>
      </c>
      <c r="JX97" s="20" t="n">
        <f aca="false">IF(BV97=1,MAX(0,(Slot6_Cost-JW97*(1+Slot6_Rate)^(Slot6_Age-D97))/JT97),0)</f>
        <v>0</v>
      </c>
      <c r="JY97" s="20" t="n">
        <f aca="false">IF(BV97=1,MAX(0,(Slot6_Cost-BW97*(1+Slot6_Rate)^(Slot6_Age-D97))/JT97),0)</f>
        <v>0</v>
      </c>
      <c r="JZ97" s="20" t="n">
        <f aca="false">IF(AND(HU97=1,BV97=1),MIN(JS97,JX97),0)</f>
        <v>0</v>
      </c>
      <c r="KA97" s="20" t="n">
        <f aca="false">JS97-JZ97</f>
        <v>0</v>
      </c>
      <c r="KB97" s="20" t="n">
        <f aca="false">IF(CF97=1,IF(ABS((1+AS_Wage)/(1+Slot7_Rate)-1)&lt;0.000000000001,(Slot7_Age-D97)*(1+Slot7_Rate)^(Slot7_Age-D97),(1+Slot7_Rate)^(Slot7_Age-D97)*(1-((1+AS_Wage)/(1+Slot7_Rate))^(Slot7_Age-D97))/(1-(1+AS_Wage)/(1+Slot7_Rate))),1)</f>
        <v>1</v>
      </c>
      <c r="KC97" s="20" t="n">
        <f aca="false">IF(AND(HU97=1,IE97&gt;0,Slot7_IsWG=1,CF97=1),MAX(0,(Slot7_Cost-CG97*(1+Slot7_Rate)^(Slot7_Age-D97))/KB97),0)</f>
        <v>0</v>
      </c>
      <c r="KD97" s="20" t="n">
        <f aca="false">IF(AND(HU97=1,IE97&gt;0,Slot7_IsWG=1,CF97=1),MIN(IE97,KC97),0)</f>
        <v>0</v>
      </c>
      <c r="KE97" s="20" t="n">
        <f aca="false">CG97+KD97</f>
        <v>0</v>
      </c>
      <c r="KF97" s="20" t="n">
        <f aca="false">IF(CF97=1,MAX(0,(Slot7_Cost-KE97*(1+Slot7_Rate)^(Slot7_Age-D97))/KB97),0)</f>
        <v>0</v>
      </c>
      <c r="KG97" s="20" t="n">
        <f aca="false">IF(CF97=1,MAX(0,(Slot7_Cost-CG97*(1+Slot7_Rate)^(Slot7_Age-D97))/KB97),0)</f>
        <v>0</v>
      </c>
      <c r="KH97" s="20" t="n">
        <f aca="false">IF(AND(HU97=1,CF97=1),MIN(KA97,KF97),0)</f>
        <v>0</v>
      </c>
      <c r="KI97" s="20" t="n">
        <f aca="false">KA97-KH97</f>
        <v>0</v>
      </c>
      <c r="KJ97" s="20" t="n">
        <f aca="false">IF(CP97=1,IF(ABS((1+AS_Wage)/(1+Slot8_Rate)-1)&lt;0.000000000001,(Slot8_Age-D97)*(1+Slot8_Rate)^(Slot8_Age-D97),(1+Slot8_Rate)^(Slot8_Age-D97)*(1-((1+AS_Wage)/(1+Slot8_Rate))^(Slot8_Age-D97))/(1-(1+AS_Wage)/(1+Slot8_Rate))),1)</f>
        <v>1</v>
      </c>
      <c r="KK97" s="20" t="n">
        <f aca="false">IF(AND(HU97=1,IE97&gt;0,Slot8_IsWG=1,CP97=1),MAX(0,(Slot8_Cost-CQ97*(1+Slot8_Rate)^(Slot8_Age-D97))/KJ97),0)</f>
        <v>0</v>
      </c>
      <c r="KL97" s="20" t="n">
        <f aca="false">IF(AND(HU97=1,IE97&gt;0,Slot8_IsWG=1,CP97=1),MIN(IE97,KK97),0)</f>
        <v>0</v>
      </c>
      <c r="KM97" s="20" t="n">
        <f aca="false">CQ97+KL97</f>
        <v>0</v>
      </c>
      <c r="KN97" s="20" t="n">
        <f aca="false">IF(CP97=1,MAX(0,(Slot8_Cost-KM97*(1+Slot8_Rate)^(Slot8_Age-D97))/KJ97),0)</f>
        <v>0</v>
      </c>
      <c r="KO97" s="20" t="n">
        <f aca="false">IF(CP97=1,MAX(0,(Slot8_Cost-CQ97*(1+Slot8_Rate)^(Slot8_Age-D97))/KJ97),0)</f>
        <v>0</v>
      </c>
      <c r="KP97" s="20" t="n">
        <f aca="false">IF(AND(HU97=1,CP97=1),MIN(KI97,KN97),0)</f>
        <v>0</v>
      </c>
      <c r="KQ97" s="20" t="n">
        <f aca="false">KI97-KP97</f>
        <v>0</v>
      </c>
      <c r="KR97" s="20" t="n">
        <f aca="false">IF(CZ97=1,IF(ABS((1+AS_Wage)/(1+Slot9_Rate)-1)&lt;0.000000000001,(Slot9_Age-D97)*(1+Slot9_Rate)^(Slot9_Age-D97),(1+Slot9_Rate)^(Slot9_Age-D97)*(1-((1+AS_Wage)/(1+Slot9_Rate))^(Slot9_Age-D97))/(1-(1+AS_Wage)/(1+Slot9_Rate))),1)</f>
        <v>1</v>
      </c>
      <c r="KS97" s="20" t="n">
        <f aca="false">IF(AND(HU97=1,IE97&gt;0,Slot9_IsWG=1,CZ97=1),MAX(0,(Slot9_Cost-DA97*(1+Slot9_Rate)^(Slot9_Age-D97))/KR97),0)</f>
        <v>0</v>
      </c>
      <c r="KT97" s="20" t="n">
        <f aca="false">IF(AND(HU97=1,IE97&gt;0,Slot9_IsWG=1,CZ97=1),MIN(IE97,KS97),0)</f>
        <v>0</v>
      </c>
      <c r="KU97" s="20" t="n">
        <f aca="false">DA97+KT97</f>
        <v>0</v>
      </c>
      <c r="KV97" s="20" t="n">
        <f aca="false">IF(CZ97=1,MAX(0,(Slot9_Cost-KU97*(1+Slot9_Rate)^(Slot9_Age-D97))/KR97),0)</f>
        <v>0</v>
      </c>
      <c r="KW97" s="20" t="n">
        <f aca="false">IF(CZ97=1,MAX(0,(Slot9_Cost-DA97*(1+Slot9_Rate)^(Slot9_Age-D97))/KR97),0)</f>
        <v>0</v>
      </c>
      <c r="KX97" s="20" t="n">
        <f aca="false">IF(AND(HU97=1,CZ97=1),MIN(KQ97,KV97),0)</f>
        <v>0</v>
      </c>
      <c r="KY97" s="20" t="n">
        <f aca="false">KQ97-KX97</f>
        <v>0</v>
      </c>
      <c r="KZ97" s="20" t="n">
        <f aca="false">IF(DJ97=1,IF(ABS((1+AS_Wage)/(1+Slot10_Rate)-1)&lt;0.000000000001,(Slot10_Age-D97)*(1+Slot10_Rate)^(Slot10_Age-D97),(1+Slot10_Rate)^(Slot10_Age-D97)*(1-((1+AS_Wage)/(1+Slot10_Rate))^(Slot10_Age-D97))/(1-(1+AS_Wage)/(1+Slot10_Rate))),1)</f>
        <v>1</v>
      </c>
      <c r="LA97" s="20" t="n">
        <f aca="false">IF(AND(HU97=1,IE97&gt;0,Slot10_IsWG=1,DJ97=1),MAX(0,(Slot10_Cost-DK97*(1+Slot10_Rate)^(Slot10_Age-D97))/KZ97),0)</f>
        <v>0</v>
      </c>
      <c r="LB97" s="20" t="n">
        <f aca="false">IF(AND(HU97=1,IE97&gt;0,Slot10_IsWG=1,DJ97=1),MIN(IE97,LA97),0)</f>
        <v>0</v>
      </c>
      <c r="LC97" s="20" t="n">
        <f aca="false">DK97+LB97</f>
        <v>0</v>
      </c>
      <c r="LD97" s="20" t="n">
        <f aca="false">IF(DJ97=1,MAX(0,(Slot10_Cost-LC97*(1+Slot10_Rate)^(Slot10_Age-D97))/KZ97),0)</f>
        <v>0</v>
      </c>
      <c r="LE97" s="20" t="n">
        <f aca="false">IF(DJ97=1,MAX(0,(Slot10_Cost-DK97*(1+Slot10_Rate)^(Slot10_Age-D97))/KZ97),0)</f>
        <v>0</v>
      </c>
      <c r="LF97" s="20" t="n">
        <f aca="false">IF(AND(HU97=1,DJ97=1),MIN(KY97,LD97),0)</f>
        <v>0</v>
      </c>
      <c r="LG97" s="20" t="n">
        <f aca="false">KY97-LF97</f>
        <v>0</v>
      </c>
      <c r="LH97" s="20" t="n">
        <f aca="false">IF(DT97=1,IF(ABS((1+AS_Wage)/(1+Slot11_Rate)-1)&lt;0.000000000001,(Slot11_Age-D97)*(1+Slot11_Rate)^(Slot11_Age-D97),(1+Slot11_Rate)^(Slot11_Age-D97)*(1-((1+AS_Wage)/(1+Slot11_Rate))^(Slot11_Age-D97))/(1-(1+AS_Wage)/(1+Slot11_Rate))),1)</f>
        <v>1</v>
      </c>
      <c r="LI97" s="20" t="n">
        <f aca="false">IF(AND(HU97=1,IE97&gt;0,Slot11_IsWG=1,DT97=1),MAX(0,(Slot11_Cost-DU97*(1+Slot11_Rate)^(Slot11_Age-D97))/LH97),0)</f>
        <v>0</v>
      </c>
      <c r="LJ97" s="20" t="n">
        <f aca="false">IF(AND(HU97=1,IE97&gt;0,Slot11_IsWG=1,DT97=1),MIN(IE97,LI97),0)</f>
        <v>0</v>
      </c>
      <c r="LK97" s="20" t="n">
        <f aca="false">DU97+LJ97</f>
        <v>0</v>
      </c>
      <c r="LL97" s="20" t="n">
        <f aca="false">IF(DT97=1,MAX(0,(Slot11_Cost-LK97*(1+Slot11_Rate)^(Slot11_Age-D97))/LH97),0)</f>
        <v>0</v>
      </c>
      <c r="LM97" s="20" t="n">
        <f aca="false">IF(DT97=1,MAX(0,(Slot11_Cost-DU97*(1+Slot11_Rate)^(Slot11_Age-D97))/LH97),0)</f>
        <v>0</v>
      </c>
      <c r="LN97" s="20" t="n">
        <f aca="false">IF(AND(HU97=1,DT97=1),MIN(LG97,LL97),0)</f>
        <v>0</v>
      </c>
      <c r="LO97" s="20" t="n">
        <f aca="false">LG97-LN97</f>
        <v>0</v>
      </c>
      <c r="LP97" s="20" t="n">
        <f aca="false">IF(ED97=1,IF(ABS((1+AS_Wage)/(1+Slot12_Rate)-1)&lt;0.000000000001,(Slot12_Age-D97)*(1+Slot12_Rate)^(Slot12_Age-D97),(1+Slot12_Rate)^(Slot12_Age-D97)*(1-((1+AS_Wage)/(1+Slot12_Rate))^(Slot12_Age-D97))/(1-(1+AS_Wage)/(1+Slot12_Rate))),1)</f>
        <v>1</v>
      </c>
      <c r="LQ97" s="20" t="n">
        <f aca="false">IF(AND(HU97=1,IE97&gt;0,Slot12_IsWG=1,ED97=1),MAX(0,(Slot12_Cost-EE97*(1+Slot12_Rate)^(Slot12_Age-D97))/LP97),0)</f>
        <v>0</v>
      </c>
      <c r="LR97" s="20" t="n">
        <f aca="false">IF(AND(HU97=1,IE97&gt;0,Slot12_IsWG=1,ED97=1),MIN(IE97,LQ97),0)</f>
        <v>0</v>
      </c>
      <c r="LS97" s="20" t="n">
        <f aca="false">EE97+LR97</f>
        <v>0</v>
      </c>
      <c r="LT97" s="20" t="n">
        <f aca="false">IF(ED97=1,MAX(0,(Slot12_Cost-LS97*(1+Slot12_Rate)^(Slot12_Age-D97))/LP97),0)</f>
        <v>0</v>
      </c>
      <c r="LU97" s="20" t="n">
        <f aca="false">IF(ED97=1,MAX(0,(Slot12_Cost-EE97*(1+Slot12_Rate)^(Slot12_Age-D97))/LP97),0)</f>
        <v>0</v>
      </c>
      <c r="LV97" s="20" t="n">
        <f aca="false">IF(AND(HU97=1,ED97=1),MIN(LO97,LT97),0)</f>
        <v>0</v>
      </c>
      <c r="LW97" s="20" t="n">
        <f aca="false">LO97-LV97</f>
        <v>0</v>
      </c>
      <c r="LX97" s="20" t="n">
        <f aca="false">IF(EN97=1,IF(ABS((1+AS_Wage)/(1+Slot13_Rate)-1)&lt;0.000000000001,(Slot13_Age-D97)*(1+Slot13_Rate)^(Slot13_Age-D97),(1+Slot13_Rate)^(Slot13_Age-D97)*(1-((1+AS_Wage)/(1+Slot13_Rate))^(Slot13_Age-D97))/(1-(1+AS_Wage)/(1+Slot13_Rate))),1)</f>
        <v>1</v>
      </c>
      <c r="LY97" s="20" t="n">
        <f aca="false">IF(AND(HU97=1,IE97&gt;0,Slot13_IsWG=1,EN97=1),MAX(0,(Slot13_Cost-EO97*(1+Slot13_Rate)^(Slot13_Age-D97))/LX97),0)</f>
        <v>0</v>
      </c>
      <c r="LZ97" s="20" t="n">
        <f aca="false">IF(AND(HU97=1,IE97&gt;0,Slot13_IsWG=1,EN97=1),MIN(IE97,LY97),0)</f>
        <v>0</v>
      </c>
      <c r="MA97" s="20" t="n">
        <f aca="false">EO97+LZ97</f>
        <v>0</v>
      </c>
      <c r="MB97" s="20" t="n">
        <f aca="false">IF(EN97=1,MAX(0,(Slot13_Cost-MA97*(1+Slot13_Rate)^(Slot13_Age-D97))/LX97),0)</f>
        <v>0</v>
      </c>
      <c r="MC97" s="20" t="n">
        <f aca="false">IF(EN97=1,MAX(0,(Slot13_Cost-EO97*(1+Slot13_Rate)^(Slot13_Age-D97))/LX97),0)</f>
        <v>0</v>
      </c>
      <c r="MD97" s="20" t="n">
        <f aca="false">IF(AND(HU97=1,EN97=1),MIN(LW97,MB97),0)</f>
        <v>0</v>
      </c>
      <c r="ME97" s="20" t="n">
        <f aca="false">LW97-MD97</f>
        <v>0</v>
      </c>
      <c r="MF97" s="20" t="n">
        <f aca="false">IF(EX97=1,IF(ABS((1+AS_Wage)/(1+Slot14_Rate)-1)&lt;0.000000000001,(Slot14_Age-D97)*(1+Slot14_Rate)^(Slot14_Age-D97),(1+Slot14_Rate)^(Slot14_Age-D97)*(1-((1+AS_Wage)/(1+Slot14_Rate))^(Slot14_Age-D97))/(1-(1+AS_Wage)/(1+Slot14_Rate))),1)</f>
        <v>1</v>
      </c>
      <c r="MG97" s="20" t="n">
        <f aca="false">IF(AND(HU97=1,IE97&gt;0,Slot14_IsWG=1,EX97=1),MAX(0,(Slot14_Cost-EY97*(1+Slot14_Rate)^(Slot14_Age-D97))/MF97),0)</f>
        <v>0</v>
      </c>
      <c r="MH97" s="20" t="n">
        <f aca="false">IF(AND(HU97=1,IE97&gt;0,Slot14_IsWG=1,EX97=1),MIN(IE97,MG97),0)</f>
        <v>0</v>
      </c>
      <c r="MI97" s="20" t="n">
        <f aca="false">EY97+MH97</f>
        <v>0</v>
      </c>
      <c r="MJ97" s="20" t="n">
        <f aca="false">IF(EX97=1,MAX(0,(Slot14_Cost-MI97*(1+Slot14_Rate)^(Slot14_Age-D97))/MF97),0)</f>
        <v>0</v>
      </c>
      <c r="MK97" s="20" t="n">
        <f aca="false">IF(EX97=1,MAX(0,(Slot14_Cost-EY97*(1+Slot14_Rate)^(Slot14_Age-D97))/MF97),0)</f>
        <v>0</v>
      </c>
      <c r="ML97" s="20" t="n">
        <f aca="false">IF(AND(HU97=1,EX97=1),MIN(ME97,MJ97),0)</f>
        <v>0</v>
      </c>
      <c r="MM97" s="20" t="n">
        <f aca="false">ME97-ML97</f>
        <v>0</v>
      </c>
      <c r="MN97" s="20" t="n">
        <f aca="false">IF(FH97=1,IF(ABS((1+AS_Wage)/(1+Slot15_Rate)-1)&lt;0.000000000001,(Slot15_Age-D97)*(1+Slot15_Rate)^(Slot15_Age-D97),(1+Slot15_Rate)^(Slot15_Age-D97)*(1-((1+AS_Wage)/(1+Slot15_Rate))^(Slot15_Age-D97))/(1-(1+AS_Wage)/(1+Slot15_Rate))),1)</f>
        <v>1</v>
      </c>
      <c r="MO97" s="20" t="n">
        <f aca="false">IF(AND(HU97=1,IE97&gt;0,Slot15_IsWG=1,FH97=1),MAX(0,(Slot15_Cost-FI97*(1+Slot15_Rate)^(Slot15_Age-D97))/MN97),0)</f>
        <v>0</v>
      </c>
      <c r="MP97" s="20" t="n">
        <f aca="false">IF(AND(HU97=1,IE97&gt;0,Slot15_IsWG=1,FH97=1),MIN(IE97,MO97),0)</f>
        <v>0</v>
      </c>
      <c r="MQ97" s="20" t="n">
        <f aca="false">FI97+MP97</f>
        <v>0</v>
      </c>
      <c r="MR97" s="20" t="n">
        <f aca="false">IF(FH97=1,MAX(0,(Slot15_Cost-MQ97*(1+Slot15_Rate)^(Slot15_Age-D97))/MN97),0)</f>
        <v>0</v>
      </c>
      <c r="MS97" s="20" t="n">
        <f aca="false">IF(FH97=1,MAX(0,(Slot15_Cost-FI97*(1+Slot15_Rate)^(Slot15_Age-D97))/MN97),0)</f>
        <v>0</v>
      </c>
      <c r="MT97" s="20" t="n">
        <f aca="false">IF(AND(HU97=1,FH97=1),MIN(MM97,MR97),0)</f>
        <v>0</v>
      </c>
      <c r="MU97" s="20" t="n">
        <f aca="false">MM97-MT97</f>
        <v>0</v>
      </c>
      <c r="MV97" s="20" t="n">
        <f aca="false">IF(FR97=1,IF(ABS((1+AS_Wage)/(1+Slot16_Rate)-1)&lt;0.000000000001,(Slot16_Age-D97)*(1+Slot16_Rate)^(Slot16_Age-D97),(1+Slot16_Rate)^(Slot16_Age-D97)*(1-((1+AS_Wage)/(1+Slot16_Rate))^(Slot16_Age-D97))/(1-(1+AS_Wage)/(1+Slot16_Rate))),1)</f>
        <v>1</v>
      </c>
      <c r="MW97" s="20" t="n">
        <f aca="false">IF(AND(HU97=1,IE97&gt;0,Slot16_IsWG=1,FR97=1),MAX(0,(Slot16_Cost-FS97*(1+Slot16_Rate)^(Slot16_Age-D97))/MV97),0)</f>
        <v>0</v>
      </c>
      <c r="MX97" s="20" t="n">
        <f aca="false">IF(AND(HU97=1,IE97&gt;0,Slot16_IsWG=1,FR97=1),MIN(IE97,MW97),0)</f>
        <v>0</v>
      </c>
      <c r="MY97" s="20" t="n">
        <f aca="false">FS97+MX97</f>
        <v>0</v>
      </c>
      <c r="MZ97" s="20" t="n">
        <f aca="false">IF(FR97=1,MAX(0,(Slot16_Cost-MY97*(1+Slot16_Rate)^(Slot16_Age-D97))/MV97),0)</f>
        <v>0</v>
      </c>
      <c r="NA97" s="20" t="n">
        <f aca="false">IF(FR97=1,MAX(0,(Slot16_Cost-FS97*(1+Slot16_Rate)^(Slot16_Age-D97))/MV97),0)</f>
        <v>0</v>
      </c>
      <c r="NB97" s="20" t="n">
        <f aca="false">IF(AND(HU97=1,FR97=1),MIN(MU97,MZ97),0)</f>
        <v>0</v>
      </c>
      <c r="NC97" s="20" t="n">
        <f aca="false">MU97-NB97</f>
        <v>0</v>
      </c>
      <c r="ND97" s="20" t="n">
        <f aca="false">IF(GB97=1,IF(ABS((1+AS_Wage)/(1+Slot17_Rate)-1)&lt;0.000000000001,(Slot17_Age-D97)*(1+Slot17_Rate)^(Slot17_Age-D97),(1+Slot17_Rate)^(Slot17_Age-D97)*(1-((1+AS_Wage)/(1+Slot17_Rate))^(Slot17_Age-D97))/(1-(1+AS_Wage)/(1+Slot17_Rate))),1)</f>
        <v>1</v>
      </c>
      <c r="NE97" s="20" t="n">
        <f aca="false">IF(AND(HU97=1,IE97&gt;0,Slot17_IsWG=1,GB97=1),MAX(0,(Slot17_Cost-GC97*(1+Slot17_Rate)^(Slot17_Age-D97))/ND97),0)</f>
        <v>0</v>
      </c>
      <c r="NF97" s="20" t="n">
        <f aca="false">IF(AND(HU97=1,IE97&gt;0,Slot17_IsWG=1,GB97=1),MIN(IE97,NE97),0)</f>
        <v>0</v>
      </c>
      <c r="NG97" s="20" t="n">
        <f aca="false">GC97+NF97</f>
        <v>0</v>
      </c>
      <c r="NH97" s="20" t="n">
        <f aca="false">IF(GB97=1,MAX(0,(Slot17_Cost-NG97*(1+Slot17_Rate)^(Slot17_Age-D97))/ND97),0)</f>
        <v>0</v>
      </c>
      <c r="NI97" s="20" t="n">
        <f aca="false">IF(GB97=1,MAX(0,(Slot17_Cost-GC97*(1+Slot17_Rate)^(Slot17_Age-D97))/ND97),0)</f>
        <v>0</v>
      </c>
      <c r="NJ97" s="20" t="n">
        <f aca="false">IF(AND(HU97=1,GB97=1),MIN(NC97,NH97),0)</f>
        <v>0</v>
      </c>
      <c r="NK97" s="20" t="n">
        <f aca="false">NC97-NJ97</f>
        <v>0</v>
      </c>
      <c r="NL97" s="20" t="n">
        <f aca="false">IF(GL97=1,IF(ABS((1+AS_Wage)/(1+Slot18_Rate)-1)&lt;0.000000000001,(Slot18_Age-D97)*(1+Slot18_Rate)^(Slot18_Age-D97),(1+Slot18_Rate)^(Slot18_Age-D97)*(1-((1+AS_Wage)/(1+Slot18_Rate))^(Slot18_Age-D97))/(1-(1+AS_Wage)/(1+Slot18_Rate))),1)</f>
        <v>1</v>
      </c>
      <c r="NM97" s="20" t="n">
        <f aca="false">IF(AND(HU97=1,IE97&gt;0,Slot18_IsWG=1,GL97=1),MAX(0,(Slot18_Cost-GM97*(1+Slot18_Rate)^(Slot18_Age-D97))/NL97),0)</f>
        <v>0</v>
      </c>
      <c r="NN97" s="20" t="n">
        <f aca="false">IF(AND(HU97=1,IE97&gt;0,Slot18_IsWG=1,GL97=1),MIN(IE97,NM97),0)</f>
        <v>0</v>
      </c>
      <c r="NO97" s="20" t="n">
        <f aca="false">GM97+NN97</f>
        <v>0</v>
      </c>
      <c r="NP97" s="20" t="n">
        <f aca="false">IF(GL97=1,MAX(0,(Slot18_Cost-NO97*(1+Slot18_Rate)^(Slot18_Age-D97))/NL97),0)</f>
        <v>0</v>
      </c>
      <c r="NQ97" s="20" t="n">
        <f aca="false">IF(GL97=1,MAX(0,(Slot18_Cost-GM97*(1+Slot18_Rate)^(Slot18_Age-D97))/NL97),0)</f>
        <v>0</v>
      </c>
      <c r="NR97" s="20" t="n">
        <f aca="false">IF(AND(HU97=1,GL97=1),MIN(NK97,NP97),0)</f>
        <v>0</v>
      </c>
      <c r="NS97" s="20" t="n">
        <f aca="false">NK97-NR97</f>
        <v>0</v>
      </c>
      <c r="NT97" s="20" t="n">
        <f aca="false">IF(GV97=1,IF(ABS((1+AS_Wage)/(1+Slot19_Rate)-1)&lt;0.000000000001,(Slot19_Age-D97)*(1+Slot19_Rate)^(Slot19_Age-D97),(1+Slot19_Rate)^(Slot19_Age-D97)*(1-((1+AS_Wage)/(1+Slot19_Rate))^(Slot19_Age-D97))/(1-(1+AS_Wage)/(1+Slot19_Rate))),1)</f>
        <v>1</v>
      </c>
      <c r="NU97" s="20" t="n">
        <f aca="false">IF(AND(HU97=1,IE97&gt;0,Slot19_IsWG=1,GV97=1),MAX(0,(Slot19_Cost-GW97*(1+Slot19_Rate)^(Slot19_Age-D97))/NT97),0)</f>
        <v>0</v>
      </c>
      <c r="NV97" s="20" t="n">
        <f aca="false">IF(AND(HU97=1,IE97&gt;0,Slot19_IsWG=1,GV97=1),MIN(IE97,NU97),0)</f>
        <v>0</v>
      </c>
      <c r="NW97" s="20" t="n">
        <f aca="false">GW97+NV97</f>
        <v>0</v>
      </c>
      <c r="NX97" s="20" t="n">
        <f aca="false">IF(GV97=1,MAX(0,(Slot19_Cost-NW97*(1+Slot19_Rate)^(Slot19_Age-D97))/NT97),0)</f>
        <v>0</v>
      </c>
      <c r="NY97" s="20" t="n">
        <f aca="false">IF(GV97=1,MAX(0,(Slot19_Cost-GW97*(1+Slot19_Rate)^(Slot19_Age-D97))/NT97),0)</f>
        <v>0</v>
      </c>
      <c r="NZ97" s="20" t="n">
        <f aca="false">IF(AND(HU97=1,GV97=1),MIN(NS97,NX97),0)</f>
        <v>0</v>
      </c>
      <c r="OA97" s="20" t="n">
        <f aca="false">NS97-NZ97</f>
        <v>0</v>
      </c>
      <c r="OB97" s="20" t="n">
        <f aca="false">IF(HF97=1,IF(ABS((1+AS_Wage)/(1+Slot20_Rate)-1)&lt;0.000000000001,(Slot20_Age-D97)*(1+Slot20_Rate)^(Slot20_Age-D97),(1+Slot20_Rate)^(Slot20_Age-D97)*(1-((1+AS_Wage)/(1+Slot20_Rate))^(Slot20_Age-D97))/(1-(1+AS_Wage)/(1+Slot20_Rate))),1)</f>
        <v>1</v>
      </c>
      <c r="OC97" s="20" t="n">
        <f aca="false">IF(AND(HU97=1,IE97&gt;0,Slot20_IsWG=1,HF97=1),MAX(0,(Slot20_Cost-HG97*(1+Slot20_Rate)^(Slot20_Age-D97))/OB97),0)</f>
        <v>0</v>
      </c>
      <c r="OD97" s="20" t="n">
        <f aca="false">IF(AND(HU97=1,IE97&gt;0,Slot20_IsWG=1,HF97=1),MIN(IE97,OC97),0)</f>
        <v>0</v>
      </c>
      <c r="OE97" s="20" t="n">
        <f aca="false">HG97+OD97</f>
        <v>0</v>
      </c>
      <c r="OF97" s="20" t="n">
        <f aca="false">IF(HF97=1,MAX(0,(Slot20_Cost-OE97*(1+Slot20_Rate)^(Slot20_Age-D97))/OB97),0)</f>
        <v>0</v>
      </c>
      <c r="OG97" s="20" t="n">
        <f aca="false">IF(HF97=1,MAX(0,(Slot20_Cost-HG97*(1+Slot20_Rate)^(Slot20_Age-D97))/OB97),0)</f>
        <v>0</v>
      </c>
      <c r="OH97" s="20" t="n">
        <f aca="false">IF(AND(HU97=1,HF97=1),MIN(OA97,OF97),0)</f>
        <v>0</v>
      </c>
      <c r="OI97" s="20" t="n">
        <f aca="false">OA97-OH97</f>
        <v>0</v>
      </c>
      <c r="OJ97" s="20" t="n">
        <f aca="false">IE97-(IH97+IP97+IX97+JF97+JN97+JV97+KD97+KL97+KT97+LB97+LJ97+LR97+LZ97+MH97+MP97+MX97+NF97+NN97+NV97+OD97)</f>
        <v>0</v>
      </c>
      <c r="OK97" s="20" t="n">
        <f aca="false">IF(HU97=1,HS97-ID97-IE97,0)</f>
        <v>0</v>
      </c>
      <c r="OL97" s="20" t="n">
        <f aca="false">IF(HU97=0,-HS97,0)</f>
        <v>112252.500105392</v>
      </c>
      <c r="OM97" s="20" t="n">
        <f aca="false">MIN(OL97,HK97)</f>
        <v>0</v>
      </c>
      <c r="ON97" s="20" t="n">
        <f aca="false">OL97-OM97</f>
        <v>112252.500105392</v>
      </c>
      <c r="OO97" s="20" t="n">
        <f aca="false">MIN(ON97,HL97)</f>
        <v>0</v>
      </c>
      <c r="OP97" s="20" t="n">
        <f aca="false">ON97-OO97</f>
        <v>112252.500105392</v>
      </c>
      <c r="OQ97" s="20" t="n">
        <f aca="false">IF(AND(HU97=0,HF97=1,OP97&gt;0),MIN(OP97,HG97),0)</f>
        <v>0</v>
      </c>
      <c r="OR97" s="20" t="n">
        <f aca="false">OP97-OQ97</f>
        <v>112252.500105392</v>
      </c>
      <c r="OS97" s="20" t="n">
        <f aca="false">IF(AND(HU97=0,GV97=1,OR97&gt;0),MIN(OR97,GW97),0)</f>
        <v>0</v>
      </c>
      <c r="OT97" s="20" t="n">
        <f aca="false">OR97-OS97</f>
        <v>112252.500105392</v>
      </c>
      <c r="OU97" s="20" t="n">
        <f aca="false">IF(AND(HU97=0,GL97=1,OT97&gt;0),MIN(OT97,GM97),0)</f>
        <v>0</v>
      </c>
      <c r="OV97" s="20" t="n">
        <f aca="false">OT97-OU97</f>
        <v>112252.500105392</v>
      </c>
      <c r="OW97" s="20" t="n">
        <f aca="false">IF(AND(HU97=0,GB97=1,OV97&gt;0),MIN(OV97,GC97),0)</f>
        <v>0</v>
      </c>
      <c r="OX97" s="20" t="n">
        <f aca="false">OV97-OW97</f>
        <v>112252.500105392</v>
      </c>
      <c r="OY97" s="20" t="n">
        <f aca="false">IF(AND(HU97=0,FR97=1,OX97&gt;0),MIN(OX97,FS97),0)</f>
        <v>0</v>
      </c>
      <c r="OZ97" s="20" t="n">
        <f aca="false">OX97-OY97</f>
        <v>112252.500105392</v>
      </c>
      <c r="PA97" s="20" t="n">
        <f aca="false">IF(AND(HU97=0,FH97=1,OZ97&gt;0),MIN(OZ97,FI97),0)</f>
        <v>0</v>
      </c>
      <c r="PB97" s="20" t="n">
        <f aca="false">OZ97-PA97</f>
        <v>112252.500105392</v>
      </c>
      <c r="PC97" s="20" t="n">
        <f aca="false">IF(AND(HU97=0,EX97=1,PB97&gt;0),MIN(PB97,EY97),0)</f>
        <v>0</v>
      </c>
      <c r="PD97" s="20" t="n">
        <f aca="false">PB97-PC97</f>
        <v>112252.500105392</v>
      </c>
      <c r="PE97" s="20" t="n">
        <f aca="false">IF(AND(HU97=0,EN97=1,PD97&gt;0),MIN(PD97,EO97),0)</f>
        <v>0</v>
      </c>
      <c r="PF97" s="20" t="n">
        <f aca="false">PD97-PE97</f>
        <v>112252.500105392</v>
      </c>
      <c r="PG97" s="20" t="n">
        <f aca="false">IF(AND(HU97=0,ED97=1,PF97&gt;0),MIN(PF97,EE97),0)</f>
        <v>0</v>
      </c>
      <c r="PH97" s="20" t="n">
        <f aca="false">PF97-PG97</f>
        <v>112252.500105392</v>
      </c>
      <c r="PI97" s="20" t="n">
        <f aca="false">IF(AND(HU97=0,DT97=1,PH97&gt;0),MIN(PH97,DU97),0)</f>
        <v>0</v>
      </c>
      <c r="PJ97" s="20" t="n">
        <f aca="false">PH97-PI97</f>
        <v>112252.500105392</v>
      </c>
      <c r="PK97" s="20" t="n">
        <f aca="false">IF(AND(HU97=0,DJ97=1,PJ97&gt;0),MIN(PJ97,DK97),0)</f>
        <v>0</v>
      </c>
      <c r="PL97" s="20" t="n">
        <f aca="false">PJ97-PK97</f>
        <v>112252.500105392</v>
      </c>
      <c r="PM97" s="20" t="n">
        <f aca="false">IF(AND(HU97=0,CZ97=1,PL97&gt;0),MIN(PL97,DA97),0)</f>
        <v>0</v>
      </c>
      <c r="PN97" s="20" t="n">
        <f aca="false">PL97-PM97</f>
        <v>112252.500105392</v>
      </c>
      <c r="PO97" s="20" t="n">
        <f aca="false">IF(AND(HU97=0,CP97=1,PN97&gt;0),MIN(PN97,CQ97),0)</f>
        <v>0</v>
      </c>
      <c r="PP97" s="20" t="n">
        <f aca="false">PN97-PO97</f>
        <v>112252.500105392</v>
      </c>
      <c r="PQ97" s="20" t="n">
        <f aca="false">IF(AND(HU97=0,CF97=1,PP97&gt;0),MIN(PP97,CG97),0)</f>
        <v>0</v>
      </c>
      <c r="PR97" s="20" t="n">
        <f aca="false">PP97-PQ97</f>
        <v>112252.500105392</v>
      </c>
      <c r="PS97" s="20" t="n">
        <f aca="false">IF(AND(HU97=0,BV97=1,PR97&gt;0),MIN(PR97,BW97),0)</f>
        <v>0</v>
      </c>
      <c r="PT97" s="20" t="n">
        <f aca="false">PR97-PS97</f>
        <v>112252.500105392</v>
      </c>
      <c r="PU97" s="20" t="n">
        <f aca="false">IF(AND(HU97=0,BL97=1,PT97&gt;0),MIN(PT97,BM97),0)</f>
        <v>0</v>
      </c>
      <c r="PV97" s="20" t="n">
        <f aca="false">PT97-PU97</f>
        <v>112252.500105392</v>
      </c>
      <c r="PW97" s="20" t="n">
        <f aca="false">IF(AND(HU97=0,BB97=1,PV97&gt;0),MIN(PV97,BC97),0)</f>
        <v>0</v>
      </c>
      <c r="PX97" s="20" t="n">
        <f aca="false">PV97-PW97</f>
        <v>112252.500105392</v>
      </c>
      <c r="PY97" s="20" t="n">
        <f aca="false">IF(AND(HU97=0,AR97=1,PX97&gt;0),MIN(PX97,AS97),0)</f>
        <v>0</v>
      </c>
      <c r="PZ97" s="20" t="n">
        <f aca="false">PX97-PY97</f>
        <v>112252.500105392</v>
      </c>
      <c r="QA97" s="20" t="n">
        <f aca="false">IF(AND(HU97=0,AH97=1,PZ97&gt;0),MIN(PZ97,AI97),0)</f>
        <v>0</v>
      </c>
      <c r="QB97" s="20" t="n">
        <f aca="false">PZ97-QA97</f>
        <v>112252.500105392</v>
      </c>
      <c r="QC97" s="20" t="n">
        <f aca="false">IF(AND(HU97=0,W97=1,QB97&gt;0),MIN(QB97,X97),0)</f>
        <v>0</v>
      </c>
      <c r="QD97" s="20" t="n">
        <f aca="false">QB97-QC97</f>
        <v>112252.500105392</v>
      </c>
      <c r="QE97" s="20" t="n">
        <f aca="false">IF(HU97=0,QD97,0)</f>
        <v>112252.500105392</v>
      </c>
      <c r="QF97" s="20" t="n">
        <f aca="false">OM97+OO97+QC97+QA97+PY97+PW97+PU97+PS97+PQ97+PO97+PM97+PK97+PI97+PG97+PE97+PC97+PA97+OY97+OW97+OU97+OS97+OQ97</f>
        <v>0</v>
      </c>
      <c r="QG97" s="20" t="n">
        <f aca="false">IF(HU97=1,HK97+OJ97+OI97+IF(G97=1,0,OK97),HK97-OM97)</f>
        <v>0</v>
      </c>
      <c r="QH97" s="20" t="n">
        <f aca="false">HL97-OO97</f>
        <v>0</v>
      </c>
      <c r="QI97" s="20" t="n">
        <f aca="false">IF(HU97=1,IF(G97=1,ID97+IE97,HS97),0)</f>
        <v>0</v>
      </c>
      <c r="QJ97" s="20" t="n">
        <f aca="false">IF(HU97=1,IF(G97=1,HS97-ID97-IE97,0),0)</f>
        <v>0</v>
      </c>
      <c r="QK97" s="57" t="n">
        <f aca="false">'Plan holdings'!BM97</f>
        <v>0</v>
      </c>
      <c r="QL97" s="20" t="n">
        <f aca="false">QH97*(1+AS_Cash)</f>
        <v>0</v>
      </c>
      <c r="QM97" s="20" t="n">
        <f aca="false">IF(W97=1,IF(HU97=1,II97+IL97,X97-QC97)*(1+Slot1_Rate),0)</f>
        <v>0</v>
      </c>
      <c r="QN97" s="20" t="n">
        <f aca="false">IF(AND(HU97=1,W97=1),(IH97+IL97)/F97,0)</f>
        <v>0</v>
      </c>
      <c r="QO97" s="20" t="n">
        <f aca="false">IF(B97=0,IH97+IL97,0)</f>
        <v>0</v>
      </c>
      <c r="QP97" s="20" t="n">
        <f aca="false">IF(B97=0,IF(HU97=1,IJ97,IK97),0)</f>
        <v>0</v>
      </c>
      <c r="QQ97" s="20" t="n">
        <f aca="false">IF(AH97=1,IF(HU97=1,IQ97+IT97,AI97-QA97)*(1+Slot2_Rate),0)</f>
        <v>0</v>
      </c>
      <c r="QR97" s="20" t="n">
        <f aca="false">IF(AND(HU97=1,AH97=1),(IP97+IT97)/F97,0)</f>
        <v>0</v>
      </c>
      <c r="QS97" s="20" t="n">
        <f aca="false">IF(B97=0,IP97+IT97,0)</f>
        <v>0</v>
      </c>
      <c r="QT97" s="20" t="n">
        <f aca="false">IF(B97=0,IF(HU97=1,IR97,IS97),0)</f>
        <v>0</v>
      </c>
      <c r="QU97" s="20" t="n">
        <f aca="false">IF(AR97=1,IF(HU97=1,IY97+JB97,AS97-PY97)*(1+Slot3_Rate),0)</f>
        <v>0</v>
      </c>
      <c r="QV97" s="20" t="n">
        <f aca="false">IF(AND(HU97=1,AR97=1),(IX97+JB97)/F97,0)</f>
        <v>0</v>
      </c>
      <c r="QW97" s="20" t="n">
        <f aca="false">IF(B97=0,IX97+JB97,0)</f>
        <v>0</v>
      </c>
      <c r="QX97" s="20" t="n">
        <f aca="false">IF(B97=0,IF(HU97=1,IZ97,JA97),0)</f>
        <v>0</v>
      </c>
      <c r="QY97" s="20" t="n">
        <f aca="false">IF(BB97=1,IF(HU97=1,JG97+JJ97,BC97-PW97)*(1+Slot4_Rate),0)</f>
        <v>0</v>
      </c>
      <c r="QZ97" s="20" t="n">
        <f aca="false">IF(AND(HU97=1,BB97=1),(JF97+JJ97)/F97,0)</f>
        <v>0</v>
      </c>
      <c r="RA97" s="20" t="n">
        <f aca="false">IF(B97=0,JF97+JJ97,0)</f>
        <v>0</v>
      </c>
      <c r="RB97" s="20" t="n">
        <f aca="false">IF(B97=0,IF(HU97=1,JH97,JI97),0)</f>
        <v>0</v>
      </c>
      <c r="RC97" s="20" t="n">
        <f aca="false">IF(BL97=1,IF(HU97=1,JO97+JR97,BM97-PU97)*(1+Slot5_Rate),0)</f>
        <v>0</v>
      </c>
      <c r="RD97" s="20" t="n">
        <f aca="false">IF(AND(HU97=1,BL97=1),(JN97+JR97)/F97,0)</f>
        <v>0</v>
      </c>
      <c r="RE97" s="20" t="n">
        <f aca="false">IF(B97=0,JN97+JR97,0)</f>
        <v>0</v>
      </c>
      <c r="RF97" s="20" t="n">
        <f aca="false">IF(B97=0,IF(HU97=1,JP97,JQ97),0)</f>
        <v>0</v>
      </c>
      <c r="RG97" s="20" t="n">
        <f aca="false">IF(BV97=1,IF(HU97=1,JW97+JZ97,BW97-PS97)*(1+Slot6_Rate),0)</f>
        <v>0</v>
      </c>
      <c r="RH97" s="20" t="n">
        <f aca="false">IF(AND(HU97=1,BV97=1),(JV97+JZ97)/F97,0)</f>
        <v>0</v>
      </c>
      <c r="RI97" s="20" t="n">
        <f aca="false">IF(B97=0,JV97+JZ97,0)</f>
        <v>0</v>
      </c>
      <c r="RJ97" s="20" t="n">
        <f aca="false">IF(B97=0,IF(HU97=1,JX97,JY97),0)</f>
        <v>0</v>
      </c>
      <c r="RK97" s="20" t="n">
        <f aca="false">IF(CF97=1,IF(HU97=1,KE97+KH97,CG97-PQ97)*(1+Slot7_Rate),0)</f>
        <v>0</v>
      </c>
      <c r="RL97" s="20" t="n">
        <f aca="false">IF(AND(HU97=1,CF97=1),(KD97+KH97)/F97,0)</f>
        <v>0</v>
      </c>
      <c r="RM97" s="20" t="n">
        <f aca="false">IF(B97=0,KD97+KH97,0)</f>
        <v>0</v>
      </c>
      <c r="RN97" s="20" t="n">
        <f aca="false">IF(B97=0,IF(HU97=1,KF97,KG97),0)</f>
        <v>0</v>
      </c>
      <c r="RO97" s="20" t="n">
        <f aca="false">IF(CP97=1,IF(HU97=1,KM97+KP97,CQ97-PO97)*(1+Slot8_Rate),0)</f>
        <v>0</v>
      </c>
      <c r="RP97" s="20" t="n">
        <f aca="false">IF(AND(HU97=1,CP97=1),(KL97+KP97)/F97,0)</f>
        <v>0</v>
      </c>
      <c r="RQ97" s="20" t="n">
        <f aca="false">IF(B97=0,KL97+KP97,0)</f>
        <v>0</v>
      </c>
      <c r="RR97" s="20" t="n">
        <f aca="false">IF(B97=0,IF(HU97=1,KN97,KO97),0)</f>
        <v>0</v>
      </c>
      <c r="RS97" s="20" t="n">
        <f aca="false">IF(CZ97=1,IF(HU97=1,KU97+KX97,DA97-PM97)*(1+Slot9_Rate),0)</f>
        <v>0</v>
      </c>
      <c r="RT97" s="20" t="n">
        <f aca="false">IF(AND(HU97=1,CZ97=1),(KT97+KX97)/F97,0)</f>
        <v>0</v>
      </c>
      <c r="RU97" s="20" t="n">
        <f aca="false">IF(B97=0,KT97+KX97,0)</f>
        <v>0</v>
      </c>
      <c r="RV97" s="20" t="n">
        <f aca="false">IF(B97=0,IF(HU97=1,KV97,KW97),0)</f>
        <v>0</v>
      </c>
      <c r="RW97" s="20" t="n">
        <f aca="false">IF(DJ97=1,IF(HU97=1,LC97+LF97,DK97-PK97)*(1+Slot10_Rate),0)</f>
        <v>0</v>
      </c>
      <c r="RX97" s="20" t="n">
        <f aca="false">IF(AND(HU97=1,DJ97=1),(LB97+LF97)/F97,0)</f>
        <v>0</v>
      </c>
      <c r="RY97" s="20" t="n">
        <f aca="false">IF(B97=0,LB97+LF97,0)</f>
        <v>0</v>
      </c>
      <c r="RZ97" s="20" t="n">
        <f aca="false">IF(B97=0,IF(HU97=1,LD97,LE97),0)</f>
        <v>0</v>
      </c>
      <c r="SA97" s="20" t="n">
        <f aca="false">IF(DT97=1,IF(HU97=1,LK97+LN97,DU97-PI97)*(1+Slot11_Rate),0)</f>
        <v>0</v>
      </c>
      <c r="SB97" s="20" t="n">
        <f aca="false">IF(AND(HU97=1,DT97=1),(LJ97+LN97)/F97,0)</f>
        <v>0</v>
      </c>
      <c r="SC97" s="20" t="n">
        <f aca="false">IF(B97=0,LJ97+LN97,0)</f>
        <v>0</v>
      </c>
      <c r="SD97" s="20" t="n">
        <f aca="false">IF(B97=0,IF(HU97=1,LL97,LM97),0)</f>
        <v>0</v>
      </c>
      <c r="SE97" s="20" t="n">
        <f aca="false">IF(ED97=1,IF(HU97=1,LS97+LV97,EE97-PG97)*(1+Slot12_Rate),0)</f>
        <v>0</v>
      </c>
      <c r="SF97" s="20" t="n">
        <f aca="false">IF(AND(HU97=1,ED97=1),(LR97+LV97)/F97,0)</f>
        <v>0</v>
      </c>
      <c r="SG97" s="20" t="n">
        <f aca="false">IF(B97=0,LR97+LV97,0)</f>
        <v>0</v>
      </c>
      <c r="SH97" s="20" t="n">
        <f aca="false">IF(B97=0,IF(HU97=1,LT97,LU97),0)</f>
        <v>0</v>
      </c>
      <c r="SI97" s="20" t="n">
        <f aca="false">IF(EN97=1,IF(HU97=1,MA97+MD97,EO97-PE97)*(1+Slot13_Rate),0)</f>
        <v>0</v>
      </c>
      <c r="SJ97" s="20" t="n">
        <f aca="false">IF(AND(HU97=1,EN97=1),(LZ97+MD97)/F97,0)</f>
        <v>0</v>
      </c>
      <c r="SK97" s="20" t="n">
        <f aca="false">IF(B97=0,LZ97+MD97,0)</f>
        <v>0</v>
      </c>
      <c r="SL97" s="20" t="n">
        <f aca="false">IF(B97=0,IF(HU97=1,MB97,MC97),0)</f>
        <v>0</v>
      </c>
      <c r="SM97" s="20" t="n">
        <f aca="false">IF(EX97=1,IF(HU97=1,MI97+ML97,EY97-PC97)*(1+Slot14_Rate),0)</f>
        <v>0</v>
      </c>
      <c r="SN97" s="20" t="n">
        <f aca="false">IF(AND(HU97=1,EX97=1),(MH97+ML97)/F97,0)</f>
        <v>0</v>
      </c>
      <c r="SO97" s="20" t="n">
        <f aca="false">IF(B97=0,MH97+ML97,0)</f>
        <v>0</v>
      </c>
      <c r="SP97" s="20" t="n">
        <f aca="false">IF(B97=0,IF(HU97=1,MJ97,MK97),0)</f>
        <v>0</v>
      </c>
      <c r="SQ97" s="20" t="n">
        <f aca="false">IF(FH97=1,IF(HU97=1,MQ97+MT97,FI97-PA97)*(1+Slot15_Rate),0)</f>
        <v>0</v>
      </c>
      <c r="SR97" s="20" t="n">
        <f aca="false">IF(AND(HU97=1,FH97=1),(MP97+MT97)/F97,0)</f>
        <v>0</v>
      </c>
      <c r="SS97" s="20" t="n">
        <f aca="false">IF(B97=0,MP97+MT97,0)</f>
        <v>0</v>
      </c>
      <c r="ST97" s="20" t="n">
        <f aca="false">IF(B97=0,IF(HU97=1,MR97,MS97),0)</f>
        <v>0</v>
      </c>
      <c r="SU97" s="20" t="n">
        <f aca="false">IF(FR97=1,IF(HU97=1,MY97+NB97,FS97-OY97)*(1+Slot16_Rate),0)</f>
        <v>0</v>
      </c>
      <c r="SV97" s="20" t="n">
        <f aca="false">IF(AND(HU97=1,FR97=1),(MX97+NB97)/F97,0)</f>
        <v>0</v>
      </c>
      <c r="SW97" s="20" t="n">
        <f aca="false">IF(B97=0,MX97+NB97,0)</f>
        <v>0</v>
      </c>
      <c r="SX97" s="20" t="n">
        <f aca="false">IF(B97=0,IF(HU97=1,MZ97,NA97),0)</f>
        <v>0</v>
      </c>
      <c r="SY97" s="20" t="n">
        <f aca="false">IF(GB97=1,IF(HU97=1,NG97+NJ97,GC97-OW97)*(1+Slot17_Rate),0)</f>
        <v>0</v>
      </c>
      <c r="SZ97" s="20" t="n">
        <f aca="false">IF(AND(HU97=1,GB97=1),(NF97+NJ97)/F97,0)</f>
        <v>0</v>
      </c>
      <c r="TA97" s="20" t="n">
        <f aca="false">IF(B97=0,NF97+NJ97,0)</f>
        <v>0</v>
      </c>
      <c r="TB97" s="20" t="n">
        <f aca="false">IF(B97=0,IF(HU97=1,NH97,NI97),0)</f>
        <v>0</v>
      </c>
      <c r="TC97" s="20" t="n">
        <f aca="false">IF(GL97=1,IF(HU97=1,NO97+NR97,GM97-OU97)*(1+Slot18_Rate),0)</f>
        <v>0</v>
      </c>
      <c r="TD97" s="20" t="n">
        <f aca="false">IF(AND(HU97=1,GL97=1),(NN97+NR97)/F97,0)</f>
        <v>0</v>
      </c>
      <c r="TE97" s="20" t="n">
        <f aca="false">IF(B97=0,NN97+NR97,0)</f>
        <v>0</v>
      </c>
      <c r="TF97" s="20" t="n">
        <f aca="false">IF(B97=0,IF(HU97=1,NP97,NQ97),0)</f>
        <v>0</v>
      </c>
      <c r="TG97" s="20" t="n">
        <f aca="false">IF(GV97=1,IF(HU97=1,NW97+NZ97,GW97-OS97)*(1+Slot19_Rate),0)</f>
        <v>0</v>
      </c>
      <c r="TH97" s="20" t="n">
        <f aca="false">IF(AND(HU97=1,GV97=1),(NV97+NZ97)/F97,0)</f>
        <v>0</v>
      </c>
      <c r="TI97" s="20" t="n">
        <f aca="false">IF(B97=0,NV97+NZ97,0)</f>
        <v>0</v>
      </c>
      <c r="TJ97" s="20" t="n">
        <f aca="false">IF(B97=0,IF(HU97=1,NX97,NY97),0)</f>
        <v>0</v>
      </c>
      <c r="TK97" s="20" t="n">
        <f aca="false">IF(HF97=1,IF(HU97=1,OE97+OH97,HG97-OQ97)*(1+Slot20_Rate),0)</f>
        <v>0</v>
      </c>
      <c r="TL97" s="20" t="n">
        <f aca="false">IF(AND(HU97=1,HF97=1),(OD97+OH97)/F97,0)</f>
        <v>0</v>
      </c>
      <c r="TM97" s="20" t="n">
        <f aca="false">IF(B97=0,OD97+OH97,0)</f>
        <v>0</v>
      </c>
      <c r="TN97" s="20" t="n">
        <f aca="false">IF(B97=0,IF(HU97=1,OF97,OG97),0)</f>
        <v>0</v>
      </c>
      <c r="TO97" s="20" t="n">
        <f aca="false">QK97+QL97+QM97+QQ97+QU97+QY97+RC97+RG97+RK97+RO97+RS97+RW97+SA97+SE97+SI97+SM97+SQ97+SU97+SY97+TC97+TG97+TK97</f>
        <v>0</v>
      </c>
      <c r="TP97" s="20" t="n">
        <f aca="false">QE97+HP97</f>
        <v>112252.500105392</v>
      </c>
      <c r="TQ97" s="20" t="n">
        <f aca="false">I97+S97</f>
        <v>278511.532781766</v>
      </c>
      <c r="TR97" s="20" t="n">
        <f aca="false">1-G97</f>
        <v>1</v>
      </c>
      <c r="TS97" s="20" t="n">
        <f aca="false">IF(AND(RG_Exists=1,G97=0,C97=1),I97,0)</f>
        <v>0</v>
      </c>
      <c r="TT97" s="20" t="n">
        <f aca="false">IF(AND(RG_Exists=1,G97=0,C97=1),I97-MIN(QE97,I97),0)</f>
        <v>0</v>
      </c>
      <c r="TU97" s="20" t="n">
        <f aca="false">'Plan pay &amp; tax'!AD323</f>
        <v>0</v>
      </c>
      <c r="TV97" s="20" t="n">
        <f aca="false">IF(AND(C97=1,QE97&gt;MAX(PR_Short1,TQ97*PR_Short2)),1,0)</f>
        <v>0</v>
      </c>
      <c r="TW97" s="20" t="n">
        <f aca="false">MIN(H97,I97+S97)</f>
        <v>166259.032676373</v>
      </c>
      <c r="TX97" s="20" t="n">
        <f aca="false">QF97+MAX(0,HQ97-HP97)</f>
        <v>0</v>
      </c>
      <c r="TY97" s="20" t="n">
        <f aca="false">QE97+HP97</f>
        <v>112252.500105392</v>
      </c>
      <c r="TZ97" s="20" t="n">
        <f aca="false">IF(AND(C97=1,TY97&gt;PR_MinShort),1,0)</f>
        <v>0</v>
      </c>
      <c r="UA97" s="20" t="n">
        <f aca="false">IF(AND(C97=1,TZ97=0,TX97&gt;PR_MinShort),1,0)</f>
        <v>0</v>
      </c>
      <c r="UB97" s="20" t="n">
        <f aca="false">IF(AND(C97=1,QE97&gt;PR_MinShort),1,0)</f>
        <v>0</v>
      </c>
      <c r="UC97" s="20" t="n">
        <f aca="false">IF(AND(C97=1,QF97&gt;1,UJ97=0),1,0)</f>
        <v>0</v>
      </c>
      <c r="UD97" s="20" t="str">
        <f aca="false">IF(C97=0,"",IF(UJ97=1,"Gap to plan for: short "&amp;"€"&amp;TEXT(ROUND(TP97,0),"#,##0"),IF(QF97&gt;1,"Using savings","Comfortable")))</f>
        <v/>
      </c>
      <c r="UE97" s="20" t="n">
        <f aca="false">IF(AND(INT(D97/10)*10=90,B97&gt;0),80,INT(D97/10)*10)</f>
        <v>120</v>
      </c>
      <c r="UF97" s="20" t="n">
        <f aca="false">IF(B97=0,1,IF(UE97&lt;&gt;UE96,UF96+1,UF96))</f>
        <v>9</v>
      </c>
      <c r="UG97" s="20" t="n">
        <f aca="false">IF(AND(C97=1,G97=1,QE97&gt;MAX(PR_Short1,TQ97*PR_Short2)),1,0)</f>
        <v>0</v>
      </c>
      <c r="UH97" s="20" t="n">
        <f aca="false">TR97*TV97</f>
        <v>0</v>
      </c>
      <c r="UI97" s="20" t="n">
        <f aca="false">IF(AND(V97=1,Slot1_PctLow=1),1,0)+IF(AND(AG97=1,Slot2_PctLow=1),1,0)+IF(AND(AQ97=1,Slot3_PctLow=1),1,0)+IF(AND(BA97=1,Slot4_PctLow=1),1,0)+IF(AND(BK97=1,Slot5_PctLow=1),1,0)+IF(AND(BU97=1,Slot6_PctLow=1),1,0)+IF(AND(CE97=1,Slot7_PctLow=1),1,0)+IF(AND(CO97=1,Slot8_PctLow=1),1,0)+IF(AND(CY97=1,Slot9_PctLow=1),1,0)+IF(AND(DI97=1,Slot10_PctLow=1),1,0)+IF(AND(DS97=1,Slot11_PctLow=1),1,0)+IF(AND(EC97=1,Slot12_PctLow=1),1,0)+IF(AND(EM97=1,Slot13_PctLow=1),1,0)+IF(AND(EW97=1,Slot14_PctLow=1),1,0)+IF(AND(FG97=1,Slot15_PctLow=1),1,0)+IF(AND(FQ97=1,Slot16_PctLow=1),1,0)+IF(AND(GA97=1,Slot17_PctLow=1),1,0)+IF(AND(GK97=1,Slot18_PctLow=1),1,0)+IF(AND(GU97=1,Slot19_PctLow=1),1,0)+IF(AND(HE97=1,Slot20_PctLow=1),1,0)</f>
        <v>0</v>
      </c>
      <c r="UJ97" s="20" t="n">
        <f aca="false">IF(C97=1,IF(OR(TV97=1,UI97&gt;0),1,0),0)</f>
        <v>0</v>
      </c>
      <c r="UK97" s="20" t="n">
        <f aca="false">Z97+AK97+AU97+BE97+BO97+BY97+CI97+CS97+DC97+DM97+DW97+EG97+EQ97+FA97+FK97+FU97+GE97+GO97+GY97+HI97+OM97</f>
        <v>0</v>
      </c>
      <c r="UL97" s="20" t="n">
        <f aca="false">V97*IF(Slot1_SpendLike=1,X97-Y97,IF(Slot1_PotFree=1,X97,0))+AG97*IF(Slot2_SpendLike=1,AI97-AJ97,IF(Slot2_PotFree=1,AI97,0))+AQ97*IF(Slot3_SpendLike=1,AS97-AT97,IF(Slot3_PotFree=1,AS97,0))+BA97*IF(Slot4_SpendLike=1,BC97-BD97,IF(Slot4_PotFree=1,BC97,0))+BK97*IF(Slot5_SpendLike=1,BM97-BN97,IF(Slot5_PotFree=1,BM97,0))+BU97*IF(Slot6_SpendLike=1,BW97-BX97,IF(Slot6_PotFree=1,BW97,0))+CE97*IF(Slot7_SpendLike=1,CG97-CH97,IF(Slot7_PotFree=1,CG97,0))+CO97*IF(Slot8_SpendLike=1,CQ97-CR97,IF(Slot8_PotFree=1,CQ97,0))+CY97*IF(Slot9_SpendLike=1,DA97-DB97,IF(Slot9_PotFree=1,DA97,0))+DI97*IF(Slot10_SpendLike=1,DK97-DL97,IF(Slot10_PotFree=1,DK97,0))+DS97*IF(Slot11_SpendLike=1,DU97-DV97,IF(Slot11_PotFree=1,DU97,0))+EC97*IF(Slot12_SpendLike=1,EE97-EF97,IF(Slot12_PotFree=1,EE97,0))+EM97*IF(Slot13_SpendLike=1,EO97-EP97,IF(Slot13_PotFree=1,EO97,0))+EW97*IF(Slot14_SpendLike=1,EY97-EZ97,IF(Slot14_PotFree=1,EY97,0))+FG97*IF(Slot15_SpendLike=1,FI97-FJ97,IF(Slot15_PotFree=1,FI97,0))+FQ97*IF(Slot16_SpendLike=1,FS97-FT97,IF(Slot16_PotFree=1,FS97,0))+GA97*IF(Slot17_SpendLike=1,GC97-GD97,IF(Slot17_PotFree=1,GC97,0))+GK97*IF(Slot18_SpendLike=1,GM97-GN97,IF(Slot18_PotFree=1,GM97,0))+GU97*IF(Slot19_SpendLike=1,GW97-GX97,IF(Slot19_PotFree=1,GW97,0))+HE97*IF(Slot20_SpendLike=1,HG97-HH97,IF(Slot20_PotFree=1,HG97,0))</f>
        <v>0</v>
      </c>
      <c r="UM97" s="20" t="n">
        <f aca="false">QG97-T97+UK97-UL97</f>
        <v>0</v>
      </c>
      <c r="UN97" s="20" t="n">
        <f aca="false">IF(OR(UN96=1,AND(In_homeUse="Yes, I'd downsize",In_downAge&gt;0,D97=In_downAge,OR(In_home="Own outright",In_home="Own with mortgage"),In_homeValue&gt;0)),1,0)</f>
        <v>0</v>
      </c>
    </row>
  </sheetData>
  <mergeCells count="1">
    <mergeCell ref="B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AYQ1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7" topLeftCell="E8" activePane="bottomRight" state="frozen"/>
      <selection pane="topLeft" activeCell="A1" activeCellId="0" sqref="A1"/>
      <selection pane="topRight" activeCell="E1" activeCellId="0" sqref="E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69" min="2" style="0" width="11"/>
    <col collapsed="false" customWidth="true" hidden="false" outlineLevel="0" max="1343" min="70" style="0" width="9"/>
  </cols>
  <sheetData>
    <row r="1" customFormat="false" ht="17.35" hidden="false" customHeight="false" outlineLevel="0" collapsed="false">
      <c r="B1" s="58" t="s">
        <v>2316</v>
      </c>
    </row>
    <row r="2" customFormat="false" ht="87.75" hidden="false" customHeight="true" outlineLevel="0" collapsed="false">
      <c r="B2" s="2" t="s">
        <v>2317</v>
      </c>
      <c r="C2" s="2"/>
      <c r="D2" s="2"/>
      <c r="E2" s="2"/>
      <c r="F2" s="2"/>
      <c r="G2" s="2"/>
      <c r="H2" s="2"/>
      <c r="I2" s="2"/>
      <c r="J2" s="2"/>
      <c r="K2" s="2"/>
      <c r="L2" s="2"/>
    </row>
    <row r="6" customFormat="false" ht="60" hidden="false" customHeight="true" outlineLevel="0" collapsed="false">
      <c r="A6" s="36" t="s">
        <v>1559</v>
      </c>
      <c r="B6" s="33" t="s">
        <v>2318</v>
      </c>
      <c r="C6" s="33" t="s">
        <v>1762</v>
      </c>
      <c r="D6" s="33" t="s">
        <v>1499</v>
      </c>
      <c r="E6" s="33" t="s">
        <v>2319</v>
      </c>
      <c r="F6" s="33" t="s">
        <v>1562</v>
      </c>
      <c r="G6" s="33" t="s">
        <v>2320</v>
      </c>
      <c r="H6" s="33" t="s">
        <v>2321</v>
      </c>
      <c r="I6" s="33" t="s">
        <v>2322</v>
      </c>
      <c r="J6" s="33" t="s">
        <v>2323</v>
      </c>
      <c r="K6" s="33" t="s">
        <v>2324</v>
      </c>
      <c r="L6" s="33" t="s">
        <v>2325</v>
      </c>
      <c r="M6" s="33" t="s">
        <v>2326</v>
      </c>
      <c r="N6" s="33" t="s">
        <v>2327</v>
      </c>
      <c r="O6" s="33" t="s">
        <v>2328</v>
      </c>
      <c r="P6" s="33" t="s">
        <v>2329</v>
      </c>
      <c r="Q6" s="33" t="s">
        <v>2330</v>
      </c>
      <c r="R6" s="33" t="s">
        <v>2331</v>
      </c>
      <c r="S6" s="33" t="s">
        <v>2332</v>
      </c>
      <c r="T6" s="33" t="s">
        <v>2333</v>
      </c>
      <c r="U6" s="33" t="s">
        <v>2334</v>
      </c>
      <c r="V6" s="33" t="s">
        <v>2335</v>
      </c>
      <c r="W6" s="33" t="s">
        <v>2336</v>
      </c>
      <c r="X6" s="33" t="s">
        <v>2337</v>
      </c>
      <c r="Y6" s="33" t="s">
        <v>2338</v>
      </c>
      <c r="Z6" s="33" t="s">
        <v>2339</v>
      </c>
      <c r="AA6" s="33" t="s">
        <v>2340</v>
      </c>
      <c r="AB6" s="33" t="s">
        <v>1711</v>
      </c>
      <c r="AC6" s="33" t="s">
        <v>2341</v>
      </c>
      <c r="AD6" s="33" t="s">
        <v>2342</v>
      </c>
      <c r="AE6" s="33" t="s">
        <v>2343</v>
      </c>
      <c r="AF6" s="33" t="s">
        <v>2344</v>
      </c>
      <c r="AG6" s="33" t="s">
        <v>2345</v>
      </c>
      <c r="AH6" s="33" t="s">
        <v>2346</v>
      </c>
      <c r="AI6" s="33" t="s">
        <v>2347</v>
      </c>
      <c r="AJ6" s="33" t="s">
        <v>2348</v>
      </c>
      <c r="AK6" s="33" t="s">
        <v>2349</v>
      </c>
      <c r="AL6" s="33" t="s">
        <v>2350</v>
      </c>
      <c r="AM6" s="33" t="s">
        <v>2351</v>
      </c>
      <c r="AN6" s="33" t="s">
        <v>2352</v>
      </c>
      <c r="AO6" s="33" t="s">
        <v>2353</v>
      </c>
      <c r="AP6" s="33" t="s">
        <v>2354</v>
      </c>
      <c r="AQ6" s="33" t="s">
        <v>2355</v>
      </c>
      <c r="AR6" s="33" t="s">
        <v>2356</v>
      </c>
      <c r="AS6" s="33" t="s">
        <v>2357</v>
      </c>
      <c r="AT6" s="33" t="s">
        <v>2358</v>
      </c>
      <c r="AU6" s="33" t="s">
        <v>2359</v>
      </c>
      <c r="AV6" s="33" t="s">
        <v>2360</v>
      </c>
      <c r="AW6" s="33" t="s">
        <v>2361</v>
      </c>
      <c r="AX6" s="33" t="s">
        <v>2362</v>
      </c>
      <c r="AY6" s="33" t="s">
        <v>2363</v>
      </c>
      <c r="AZ6" s="33" t="s">
        <v>2364</v>
      </c>
      <c r="BA6" s="33" t="s">
        <v>2365</v>
      </c>
      <c r="BB6" s="33" t="s">
        <v>2366</v>
      </c>
      <c r="BC6" s="33" t="s">
        <v>2367</v>
      </c>
      <c r="BD6" s="33" t="s">
        <v>2331</v>
      </c>
      <c r="BE6" s="33" t="s">
        <v>2332</v>
      </c>
      <c r="BF6" s="33" t="s">
        <v>2368</v>
      </c>
      <c r="BG6" s="33" t="s">
        <v>2369</v>
      </c>
      <c r="BH6" s="33" t="s">
        <v>2370</v>
      </c>
      <c r="BI6" s="33" t="s">
        <v>2371</v>
      </c>
      <c r="BJ6" s="33" t="s">
        <v>2372</v>
      </c>
      <c r="BK6" s="33" t="s">
        <v>2373</v>
      </c>
      <c r="BL6" s="33" t="s">
        <v>2374</v>
      </c>
      <c r="BM6" s="33" t="s">
        <v>2375</v>
      </c>
      <c r="BN6" s="33" t="s">
        <v>2376</v>
      </c>
      <c r="BO6" s="33" t="s">
        <v>2377</v>
      </c>
      <c r="BP6" s="33" t="s">
        <v>2378</v>
      </c>
      <c r="BQ6" s="33" t="s">
        <v>2379</v>
      </c>
      <c r="BR6" s="33" t="s">
        <v>2380</v>
      </c>
      <c r="BS6" s="33" t="s">
        <v>2381</v>
      </c>
      <c r="BT6" s="33" t="s">
        <v>2382</v>
      </c>
      <c r="BU6" s="33" t="s">
        <v>2383</v>
      </c>
      <c r="BV6" s="33" t="s">
        <v>2384</v>
      </c>
      <c r="BW6" s="33" t="s">
        <v>2385</v>
      </c>
      <c r="BX6" s="33" t="s">
        <v>2386</v>
      </c>
      <c r="BY6" s="33" t="s">
        <v>2387</v>
      </c>
      <c r="BZ6" s="33" t="s">
        <v>2388</v>
      </c>
      <c r="CA6" s="33" t="s">
        <v>2389</v>
      </c>
      <c r="CB6" s="33" t="s">
        <v>2390</v>
      </c>
      <c r="CC6" s="33" t="s">
        <v>2391</v>
      </c>
      <c r="CD6" s="33" t="s">
        <v>2392</v>
      </c>
      <c r="CE6" s="33" t="s">
        <v>2393</v>
      </c>
      <c r="CF6" s="33" t="s">
        <v>2394</v>
      </c>
      <c r="CG6" s="33" t="s">
        <v>2395</v>
      </c>
      <c r="CH6" s="33" t="s">
        <v>2396</v>
      </c>
      <c r="CI6" s="33" t="s">
        <v>2397</v>
      </c>
      <c r="CJ6" s="33" t="s">
        <v>2398</v>
      </c>
      <c r="CK6" s="33" t="s">
        <v>2399</v>
      </c>
      <c r="CL6" s="33" t="s">
        <v>2400</v>
      </c>
      <c r="CM6" s="33" t="s">
        <v>2401</v>
      </c>
      <c r="CN6" s="33" t="s">
        <v>2402</v>
      </c>
      <c r="CO6" s="33" t="s">
        <v>2403</v>
      </c>
      <c r="CP6" s="33" t="s">
        <v>2404</v>
      </c>
      <c r="CQ6" s="33" t="s">
        <v>2405</v>
      </c>
      <c r="CR6" s="33" t="s">
        <v>2406</v>
      </c>
      <c r="CS6" s="33" t="s">
        <v>2407</v>
      </c>
      <c r="CT6" s="33" t="s">
        <v>2408</v>
      </c>
      <c r="CU6" s="33" t="s">
        <v>2409</v>
      </c>
      <c r="CV6" s="33" t="s">
        <v>2410</v>
      </c>
      <c r="CW6" s="33" t="s">
        <v>2411</v>
      </c>
      <c r="CX6" s="33" t="s">
        <v>2412</v>
      </c>
      <c r="CY6" s="33" t="s">
        <v>2413</v>
      </c>
      <c r="CZ6" s="33" t="s">
        <v>2414</v>
      </c>
      <c r="DA6" s="33" t="s">
        <v>2415</v>
      </c>
      <c r="DB6" s="33" t="s">
        <v>2416</v>
      </c>
      <c r="DC6" s="33" t="s">
        <v>2417</v>
      </c>
      <c r="DD6" s="33" t="s">
        <v>2418</v>
      </c>
      <c r="DE6" s="33" t="s">
        <v>2419</v>
      </c>
      <c r="DF6" s="33" t="s">
        <v>2420</v>
      </c>
      <c r="DG6" s="33" t="s">
        <v>2421</v>
      </c>
      <c r="DH6" s="33" t="s">
        <v>2422</v>
      </c>
      <c r="DI6" s="33" t="s">
        <v>2423</v>
      </c>
      <c r="DJ6" s="33" t="s">
        <v>2424</v>
      </c>
      <c r="DK6" s="33" t="s">
        <v>2425</v>
      </c>
      <c r="DL6" s="33" t="s">
        <v>2426</v>
      </c>
      <c r="DM6" s="33" t="s">
        <v>2427</v>
      </c>
      <c r="DN6" s="33" t="s">
        <v>2428</v>
      </c>
      <c r="DO6" s="33" t="s">
        <v>2429</v>
      </c>
      <c r="DP6" s="33" t="s">
        <v>2430</v>
      </c>
      <c r="DQ6" s="33" t="s">
        <v>2431</v>
      </c>
      <c r="DR6" s="33" t="s">
        <v>2432</v>
      </c>
      <c r="DS6" s="33" t="s">
        <v>2433</v>
      </c>
      <c r="DT6" s="33" t="s">
        <v>2434</v>
      </c>
      <c r="DU6" s="33" t="s">
        <v>2435</v>
      </c>
      <c r="DV6" s="33" t="s">
        <v>2436</v>
      </c>
      <c r="DW6" s="33" t="s">
        <v>2437</v>
      </c>
      <c r="DX6" s="33" t="s">
        <v>2438</v>
      </c>
      <c r="DY6" s="33" t="s">
        <v>2439</v>
      </c>
      <c r="DZ6" s="33" t="s">
        <v>2440</v>
      </c>
      <c r="EA6" s="33" t="s">
        <v>2441</v>
      </c>
      <c r="EB6" s="33" t="s">
        <v>2442</v>
      </c>
      <c r="EC6" s="33" t="s">
        <v>2443</v>
      </c>
      <c r="ED6" s="33" t="s">
        <v>2444</v>
      </c>
      <c r="EE6" s="33" t="s">
        <v>2445</v>
      </c>
      <c r="EF6" s="33" t="s">
        <v>2446</v>
      </c>
      <c r="EG6" s="33" t="s">
        <v>2447</v>
      </c>
      <c r="EH6" s="33" t="s">
        <v>2448</v>
      </c>
      <c r="EI6" s="33" t="s">
        <v>2449</v>
      </c>
      <c r="EJ6" s="33" t="s">
        <v>2450</v>
      </c>
      <c r="EK6" s="33" t="s">
        <v>2451</v>
      </c>
      <c r="EL6" s="33" t="s">
        <v>2452</v>
      </c>
      <c r="EM6" s="33" t="s">
        <v>2453</v>
      </c>
      <c r="EN6" s="33" t="s">
        <v>2454</v>
      </c>
      <c r="EO6" s="33" t="s">
        <v>2455</v>
      </c>
      <c r="EP6" s="33" t="s">
        <v>2456</v>
      </c>
      <c r="EQ6" s="33" t="s">
        <v>2457</v>
      </c>
      <c r="ER6" s="33" t="s">
        <v>2458</v>
      </c>
      <c r="ES6" s="33" t="s">
        <v>2459</v>
      </c>
      <c r="ET6" s="33" t="s">
        <v>2460</v>
      </c>
      <c r="EU6" s="33" t="s">
        <v>2461</v>
      </c>
      <c r="EV6" s="33" t="s">
        <v>2462</v>
      </c>
      <c r="EW6" s="33" t="s">
        <v>2463</v>
      </c>
      <c r="EX6" s="33" t="s">
        <v>2464</v>
      </c>
      <c r="EY6" s="33" t="s">
        <v>2465</v>
      </c>
      <c r="EZ6" s="33" t="s">
        <v>2466</v>
      </c>
      <c r="FA6" s="33" t="s">
        <v>2467</v>
      </c>
      <c r="FB6" s="33" t="s">
        <v>2468</v>
      </c>
      <c r="FC6" s="33" t="s">
        <v>2469</v>
      </c>
      <c r="FD6" s="33" t="s">
        <v>2470</v>
      </c>
      <c r="FE6" s="33" t="s">
        <v>2471</v>
      </c>
      <c r="FF6" s="33" t="s">
        <v>2472</v>
      </c>
      <c r="FG6" s="33" t="s">
        <v>2473</v>
      </c>
      <c r="FH6" s="33" t="s">
        <v>2474</v>
      </c>
      <c r="FI6" s="33" t="s">
        <v>2475</v>
      </c>
      <c r="FJ6" s="33" t="s">
        <v>2476</v>
      </c>
      <c r="FK6" s="33" t="s">
        <v>2477</v>
      </c>
      <c r="FL6" s="33" t="s">
        <v>2478</v>
      </c>
      <c r="FM6" s="33" t="s">
        <v>2479</v>
      </c>
      <c r="FN6" s="33" t="s">
        <v>2480</v>
      </c>
      <c r="FO6" s="33" t="s">
        <v>2481</v>
      </c>
      <c r="FP6" s="33" t="s">
        <v>2482</v>
      </c>
      <c r="FQ6" s="33" t="s">
        <v>2483</v>
      </c>
      <c r="FR6" s="33" t="s">
        <v>2484</v>
      </c>
      <c r="FS6" s="33" t="s">
        <v>2485</v>
      </c>
      <c r="FT6" s="33" t="s">
        <v>2486</v>
      </c>
      <c r="FU6" s="33" t="s">
        <v>2487</v>
      </c>
      <c r="FV6" s="33" t="s">
        <v>2488</v>
      </c>
      <c r="FW6" s="33" t="s">
        <v>2489</v>
      </c>
      <c r="FX6" s="33" t="s">
        <v>2490</v>
      </c>
      <c r="FY6" s="33" t="s">
        <v>2491</v>
      </c>
      <c r="FZ6" s="33" t="s">
        <v>2492</v>
      </c>
      <c r="GA6" s="33" t="s">
        <v>2493</v>
      </c>
      <c r="GB6" s="33" t="s">
        <v>2494</v>
      </c>
      <c r="GC6" s="33" t="s">
        <v>2495</v>
      </c>
      <c r="GD6" s="33" t="s">
        <v>2496</v>
      </c>
      <c r="GE6" s="33" t="s">
        <v>2497</v>
      </c>
      <c r="GF6" s="33" t="s">
        <v>2498</v>
      </c>
      <c r="GG6" s="33" t="s">
        <v>2499</v>
      </c>
      <c r="GH6" s="33" t="s">
        <v>2500</v>
      </c>
      <c r="GI6" s="33" t="s">
        <v>2501</v>
      </c>
      <c r="GJ6" s="33" t="s">
        <v>2502</v>
      </c>
      <c r="GK6" s="33" t="s">
        <v>2503</v>
      </c>
      <c r="GL6" s="33" t="s">
        <v>2504</v>
      </c>
      <c r="GM6" s="33" t="s">
        <v>2505</v>
      </c>
      <c r="GN6" s="33" t="s">
        <v>2506</v>
      </c>
      <c r="GO6" s="33" t="s">
        <v>2507</v>
      </c>
      <c r="GP6" s="33" t="s">
        <v>2508</v>
      </c>
      <c r="GQ6" s="33" t="s">
        <v>2509</v>
      </c>
      <c r="GR6" s="33" t="s">
        <v>2510</v>
      </c>
      <c r="GS6" s="33" t="s">
        <v>2511</v>
      </c>
      <c r="GT6" s="33" t="s">
        <v>2512</v>
      </c>
      <c r="GU6" s="33" t="s">
        <v>2513</v>
      </c>
      <c r="GV6" s="33" t="s">
        <v>2514</v>
      </c>
      <c r="GW6" s="33" t="s">
        <v>2515</v>
      </c>
      <c r="GX6" s="33" t="s">
        <v>2516</v>
      </c>
      <c r="GY6" s="33" t="s">
        <v>2517</v>
      </c>
      <c r="GZ6" s="33" t="s">
        <v>2518</v>
      </c>
      <c r="HA6" s="33" t="s">
        <v>2519</v>
      </c>
      <c r="HB6" s="33" t="s">
        <v>2520</v>
      </c>
      <c r="HC6" s="33" t="s">
        <v>2521</v>
      </c>
      <c r="HD6" s="33" t="s">
        <v>2522</v>
      </c>
      <c r="HE6" s="33" t="s">
        <v>2523</v>
      </c>
      <c r="HF6" s="33" t="s">
        <v>2524</v>
      </c>
      <c r="HG6" s="33" t="s">
        <v>2525</v>
      </c>
      <c r="HH6" s="33" t="s">
        <v>2526</v>
      </c>
      <c r="HI6" s="33" t="s">
        <v>2527</v>
      </c>
      <c r="HJ6" s="33" t="s">
        <v>2528</v>
      </c>
      <c r="HK6" s="33" t="s">
        <v>2529</v>
      </c>
      <c r="HL6" s="33" t="s">
        <v>2530</v>
      </c>
      <c r="HM6" s="33" t="s">
        <v>2531</v>
      </c>
      <c r="HN6" s="33" t="s">
        <v>2532</v>
      </c>
      <c r="HO6" s="33" t="s">
        <v>2533</v>
      </c>
      <c r="HP6" s="33" t="s">
        <v>2534</v>
      </c>
      <c r="HQ6" s="33" t="s">
        <v>2535</v>
      </c>
      <c r="HR6" s="33" t="s">
        <v>2536</v>
      </c>
      <c r="HS6" s="33" t="s">
        <v>2537</v>
      </c>
      <c r="HT6" s="33" t="s">
        <v>2538</v>
      </c>
      <c r="HU6" s="33" t="s">
        <v>2539</v>
      </c>
      <c r="HV6" s="33" t="s">
        <v>2540</v>
      </c>
      <c r="HW6" s="33" t="s">
        <v>2541</v>
      </c>
      <c r="HX6" s="33" t="s">
        <v>2542</v>
      </c>
      <c r="HY6" s="33" t="s">
        <v>2543</v>
      </c>
      <c r="HZ6" s="33" t="s">
        <v>2544</v>
      </c>
      <c r="IA6" s="33" t="s">
        <v>2545</v>
      </c>
      <c r="IB6" s="33" t="s">
        <v>2546</v>
      </c>
      <c r="IC6" s="33" t="s">
        <v>2547</v>
      </c>
      <c r="ID6" s="33" t="s">
        <v>2548</v>
      </c>
      <c r="IE6" s="33" t="s">
        <v>2549</v>
      </c>
      <c r="IF6" s="33" t="s">
        <v>2550</v>
      </c>
      <c r="IG6" s="33" t="s">
        <v>2551</v>
      </c>
      <c r="IH6" s="33" t="s">
        <v>2552</v>
      </c>
      <c r="II6" s="33" t="s">
        <v>2553</v>
      </c>
      <c r="IJ6" s="33" t="s">
        <v>2554</v>
      </c>
      <c r="IK6" s="33" t="s">
        <v>2555</v>
      </c>
      <c r="IL6" s="33" t="s">
        <v>2556</v>
      </c>
      <c r="IM6" s="33" t="s">
        <v>2557</v>
      </c>
      <c r="IN6" s="33" t="s">
        <v>2558</v>
      </c>
      <c r="IO6" s="33" t="s">
        <v>2559</v>
      </c>
      <c r="IP6" s="33" t="s">
        <v>2560</v>
      </c>
      <c r="IQ6" s="33" t="s">
        <v>2561</v>
      </c>
      <c r="IR6" s="33" t="s">
        <v>2562</v>
      </c>
      <c r="IS6" s="33" t="s">
        <v>2563</v>
      </c>
      <c r="IT6" s="33" t="s">
        <v>2564</v>
      </c>
      <c r="IU6" s="33" t="s">
        <v>2565</v>
      </c>
      <c r="IV6" s="33" t="s">
        <v>2566</v>
      </c>
      <c r="IW6" s="33" t="s">
        <v>2567</v>
      </c>
      <c r="IX6" s="33" t="s">
        <v>2568</v>
      </c>
      <c r="IY6" s="33" t="s">
        <v>2569</v>
      </c>
      <c r="IZ6" s="33" t="s">
        <v>2570</v>
      </c>
      <c r="JA6" s="33" t="s">
        <v>2571</v>
      </c>
      <c r="JB6" s="33" t="s">
        <v>2572</v>
      </c>
      <c r="JC6" s="33" t="s">
        <v>2573</v>
      </c>
      <c r="JD6" s="33" t="s">
        <v>2574</v>
      </c>
      <c r="JE6" s="33" t="s">
        <v>2575</v>
      </c>
      <c r="JF6" s="33" t="s">
        <v>2576</v>
      </c>
      <c r="JG6" s="33" t="s">
        <v>2577</v>
      </c>
      <c r="JH6" s="33" t="s">
        <v>2578</v>
      </c>
      <c r="JI6" s="33" t="s">
        <v>2579</v>
      </c>
      <c r="JJ6" s="33" t="s">
        <v>2580</v>
      </c>
      <c r="JK6" s="33" t="s">
        <v>2581</v>
      </c>
      <c r="JL6" s="33" t="s">
        <v>2582</v>
      </c>
      <c r="JM6" s="33" t="s">
        <v>2583</v>
      </c>
      <c r="JN6" s="33" t="s">
        <v>2584</v>
      </c>
      <c r="JO6" s="33" t="s">
        <v>2585</v>
      </c>
      <c r="JP6" s="33" t="s">
        <v>2586</v>
      </c>
      <c r="JQ6" s="33" t="s">
        <v>2587</v>
      </c>
      <c r="JR6" s="33" t="s">
        <v>2588</v>
      </c>
      <c r="JS6" s="33" t="s">
        <v>2589</v>
      </c>
      <c r="JT6" s="33" t="s">
        <v>2590</v>
      </c>
      <c r="JU6" s="33" t="s">
        <v>2591</v>
      </c>
      <c r="JV6" s="33" t="s">
        <v>2592</v>
      </c>
      <c r="JW6" s="33" t="s">
        <v>2593</v>
      </c>
      <c r="JX6" s="33" t="s">
        <v>2594</v>
      </c>
      <c r="JY6" s="33" t="s">
        <v>2595</v>
      </c>
      <c r="JZ6" s="33" t="s">
        <v>2596</v>
      </c>
      <c r="KA6" s="33" t="s">
        <v>2597</v>
      </c>
      <c r="KB6" s="33" t="s">
        <v>2598</v>
      </c>
      <c r="KC6" s="33" t="s">
        <v>2599</v>
      </c>
      <c r="KD6" s="33" t="s">
        <v>2600</v>
      </c>
      <c r="KE6" s="33" t="s">
        <v>2601</v>
      </c>
      <c r="KF6" s="33" t="s">
        <v>2602</v>
      </c>
      <c r="KG6" s="33" t="s">
        <v>2603</v>
      </c>
      <c r="KH6" s="33" t="s">
        <v>2604</v>
      </c>
      <c r="KI6" s="33" t="s">
        <v>2605</v>
      </c>
      <c r="KJ6" s="33" t="s">
        <v>2606</v>
      </c>
      <c r="KK6" s="33" t="s">
        <v>2607</v>
      </c>
      <c r="KL6" s="33" t="s">
        <v>2608</v>
      </c>
      <c r="KM6" s="33" t="s">
        <v>2609</v>
      </c>
      <c r="KN6" s="33" t="s">
        <v>2610</v>
      </c>
      <c r="KO6" s="33" t="s">
        <v>2611</v>
      </c>
      <c r="KP6" s="33" t="s">
        <v>2612</v>
      </c>
      <c r="KQ6" s="33" t="s">
        <v>2613</v>
      </c>
      <c r="KR6" s="33" t="s">
        <v>2614</v>
      </c>
      <c r="KS6" s="33" t="s">
        <v>2615</v>
      </c>
      <c r="KT6" s="33" t="s">
        <v>2616</v>
      </c>
      <c r="KU6" s="33" t="s">
        <v>2617</v>
      </c>
      <c r="KV6" s="33" t="s">
        <v>2618</v>
      </c>
      <c r="KW6" s="33" t="s">
        <v>2619</v>
      </c>
      <c r="KX6" s="33" t="s">
        <v>2620</v>
      </c>
      <c r="KY6" s="33" t="s">
        <v>2621</v>
      </c>
      <c r="KZ6" s="33" t="s">
        <v>2622</v>
      </c>
      <c r="LA6" s="33" t="s">
        <v>2623</v>
      </c>
      <c r="LB6" s="33" t="s">
        <v>2624</v>
      </c>
      <c r="LC6" s="33" t="s">
        <v>2625</v>
      </c>
      <c r="LD6" s="33" t="s">
        <v>2626</v>
      </c>
      <c r="LE6" s="33" t="s">
        <v>2627</v>
      </c>
      <c r="LF6" s="33" t="s">
        <v>2628</v>
      </c>
      <c r="LG6" s="33" t="s">
        <v>2629</v>
      </c>
      <c r="LH6" s="33" t="s">
        <v>2630</v>
      </c>
      <c r="LI6" s="33" t="s">
        <v>2631</v>
      </c>
      <c r="LJ6" s="33" t="s">
        <v>2632</v>
      </c>
      <c r="LK6" s="33" t="s">
        <v>2633</v>
      </c>
      <c r="LL6" s="33" t="s">
        <v>2634</v>
      </c>
      <c r="LM6" s="33" t="s">
        <v>2635</v>
      </c>
      <c r="LN6" s="33" t="s">
        <v>2636</v>
      </c>
      <c r="LO6" s="33" t="s">
        <v>2637</v>
      </c>
      <c r="LP6" s="33" t="s">
        <v>2638</v>
      </c>
      <c r="LQ6" s="33" t="s">
        <v>2639</v>
      </c>
      <c r="LR6" s="33" t="s">
        <v>2640</v>
      </c>
      <c r="LS6" s="33" t="s">
        <v>2641</v>
      </c>
      <c r="LT6" s="33" t="s">
        <v>2642</v>
      </c>
      <c r="LU6" s="33" t="s">
        <v>2643</v>
      </c>
      <c r="LV6" s="33" t="s">
        <v>2644</v>
      </c>
      <c r="LW6" s="33" t="s">
        <v>2645</v>
      </c>
      <c r="LX6" s="33" t="s">
        <v>2646</v>
      </c>
      <c r="LY6" s="33" t="s">
        <v>2647</v>
      </c>
      <c r="LZ6" s="33" t="s">
        <v>2648</v>
      </c>
      <c r="MA6" s="33" t="s">
        <v>2649</v>
      </c>
      <c r="MB6" s="33" t="s">
        <v>2650</v>
      </c>
      <c r="MC6" s="33" t="s">
        <v>2651</v>
      </c>
      <c r="MD6" s="33" t="s">
        <v>2652</v>
      </c>
      <c r="ME6" s="33" t="s">
        <v>2653</v>
      </c>
      <c r="MF6" s="33" t="s">
        <v>2654</v>
      </c>
      <c r="MG6" s="33" t="s">
        <v>2655</v>
      </c>
      <c r="MH6" s="33" t="s">
        <v>2656</v>
      </c>
      <c r="MI6" s="33" t="s">
        <v>2657</v>
      </c>
      <c r="MJ6" s="33" t="s">
        <v>2658</v>
      </c>
      <c r="MK6" s="33" t="s">
        <v>2659</v>
      </c>
      <c r="ML6" s="33" t="s">
        <v>2660</v>
      </c>
      <c r="MM6" s="33" t="s">
        <v>2661</v>
      </c>
      <c r="MN6" s="33" t="s">
        <v>2662</v>
      </c>
      <c r="MO6" s="33" t="s">
        <v>2663</v>
      </c>
      <c r="MP6" s="33" t="s">
        <v>2664</v>
      </c>
      <c r="MQ6" s="33" t="s">
        <v>2665</v>
      </c>
      <c r="MR6" s="33" t="s">
        <v>2666</v>
      </c>
      <c r="MS6" s="33" t="s">
        <v>2667</v>
      </c>
      <c r="MT6" s="33" t="s">
        <v>2668</v>
      </c>
      <c r="MU6" s="33" t="s">
        <v>2669</v>
      </c>
      <c r="MV6" s="33" t="s">
        <v>2670</v>
      </c>
      <c r="MW6" s="33" t="s">
        <v>2671</v>
      </c>
      <c r="MX6" s="33" t="s">
        <v>2672</v>
      </c>
      <c r="MY6" s="33" t="s">
        <v>2673</v>
      </c>
      <c r="MZ6" s="33" t="s">
        <v>2674</v>
      </c>
      <c r="NA6" s="33" t="s">
        <v>2675</v>
      </c>
      <c r="NB6" s="33" t="s">
        <v>2676</v>
      </c>
      <c r="NC6" s="33" t="s">
        <v>2677</v>
      </c>
      <c r="ND6" s="33" t="s">
        <v>2678</v>
      </c>
      <c r="NE6" s="33" t="s">
        <v>2679</v>
      </c>
      <c r="NF6" s="33" t="s">
        <v>2680</v>
      </c>
      <c r="NG6" s="33" t="s">
        <v>2681</v>
      </c>
      <c r="NH6" s="33" t="s">
        <v>2682</v>
      </c>
      <c r="NI6" s="33" t="s">
        <v>2683</v>
      </c>
      <c r="NJ6" s="33" t="s">
        <v>2684</v>
      </c>
      <c r="NK6" s="33" t="s">
        <v>2685</v>
      </c>
      <c r="NL6" s="33" t="s">
        <v>2686</v>
      </c>
      <c r="NM6" s="33" t="s">
        <v>2687</v>
      </c>
      <c r="NN6" s="33" t="s">
        <v>2688</v>
      </c>
      <c r="NO6" s="33" t="s">
        <v>2689</v>
      </c>
      <c r="NP6" s="33" t="s">
        <v>2690</v>
      </c>
      <c r="NQ6" s="33" t="s">
        <v>2691</v>
      </c>
      <c r="NR6" s="33" t="s">
        <v>2692</v>
      </c>
      <c r="NS6" s="33" t="s">
        <v>2693</v>
      </c>
      <c r="NT6" s="33" t="s">
        <v>2694</v>
      </c>
      <c r="NU6" s="33" t="s">
        <v>2695</v>
      </c>
      <c r="NV6" s="33" t="s">
        <v>2696</v>
      </c>
      <c r="NW6" s="33" t="s">
        <v>2697</v>
      </c>
      <c r="NX6" s="33" t="s">
        <v>2698</v>
      </c>
      <c r="NY6" s="33" t="s">
        <v>2699</v>
      </c>
      <c r="NZ6" s="33" t="s">
        <v>2700</v>
      </c>
      <c r="OA6" s="33" t="s">
        <v>2701</v>
      </c>
      <c r="OB6" s="33" t="s">
        <v>2702</v>
      </c>
      <c r="OC6" s="33" t="s">
        <v>2703</v>
      </c>
      <c r="OD6" s="33" t="s">
        <v>2704</v>
      </c>
      <c r="OE6" s="33" t="s">
        <v>2705</v>
      </c>
      <c r="OF6" s="33" t="s">
        <v>2706</v>
      </c>
      <c r="OG6" s="33" t="s">
        <v>2707</v>
      </c>
      <c r="OH6" s="33" t="s">
        <v>2708</v>
      </c>
      <c r="OI6" s="33" t="s">
        <v>2709</v>
      </c>
      <c r="OJ6" s="33" t="s">
        <v>2710</v>
      </c>
      <c r="OK6" s="33" t="s">
        <v>2711</v>
      </c>
      <c r="OL6" s="33" t="s">
        <v>2712</v>
      </c>
      <c r="OM6" s="33" t="s">
        <v>2713</v>
      </c>
      <c r="ON6" s="33" t="s">
        <v>2714</v>
      </c>
      <c r="OO6" s="33" t="s">
        <v>2715</v>
      </c>
      <c r="OP6" s="33" t="s">
        <v>2716</v>
      </c>
      <c r="OQ6" s="33" t="s">
        <v>2717</v>
      </c>
      <c r="OR6" s="33" t="s">
        <v>2718</v>
      </c>
      <c r="OS6" s="33" t="s">
        <v>2719</v>
      </c>
      <c r="OT6" s="33" t="s">
        <v>2720</v>
      </c>
      <c r="OU6" s="33" t="s">
        <v>2721</v>
      </c>
      <c r="OV6" s="33" t="s">
        <v>2722</v>
      </c>
      <c r="OW6" s="33" t="s">
        <v>2723</v>
      </c>
      <c r="OX6" s="33" t="s">
        <v>2724</v>
      </c>
      <c r="OY6" s="33" t="s">
        <v>2725</v>
      </c>
      <c r="OZ6" s="33" t="s">
        <v>2726</v>
      </c>
      <c r="PA6" s="33" t="s">
        <v>2727</v>
      </c>
      <c r="PB6" s="33" t="s">
        <v>2728</v>
      </c>
      <c r="PC6" s="33" t="s">
        <v>2729</v>
      </c>
      <c r="PD6" s="33" t="s">
        <v>2730</v>
      </c>
      <c r="PE6" s="33" t="s">
        <v>2731</v>
      </c>
      <c r="PF6" s="33" t="s">
        <v>2732</v>
      </c>
      <c r="PG6" s="33" t="s">
        <v>2733</v>
      </c>
      <c r="PH6" s="33" t="s">
        <v>2734</v>
      </c>
      <c r="PI6" s="33" t="s">
        <v>2735</v>
      </c>
      <c r="PJ6" s="33" t="s">
        <v>2736</v>
      </c>
      <c r="PK6" s="33" t="s">
        <v>2737</v>
      </c>
      <c r="PL6" s="33" t="s">
        <v>2738</v>
      </c>
      <c r="PM6" s="33" t="s">
        <v>2739</v>
      </c>
      <c r="PN6" s="33" t="s">
        <v>2740</v>
      </c>
      <c r="PO6" s="33" t="s">
        <v>2741</v>
      </c>
      <c r="PP6" s="33" t="s">
        <v>2742</v>
      </c>
      <c r="PQ6" s="33" t="s">
        <v>2743</v>
      </c>
      <c r="PR6" s="33" t="s">
        <v>2744</v>
      </c>
      <c r="PS6" s="33" t="s">
        <v>2745</v>
      </c>
      <c r="PT6" s="33" t="s">
        <v>2746</v>
      </c>
      <c r="PU6" s="33" t="s">
        <v>2747</v>
      </c>
      <c r="PV6" s="33" t="s">
        <v>2748</v>
      </c>
      <c r="PW6" s="33" t="s">
        <v>2749</v>
      </c>
      <c r="PX6" s="33" t="s">
        <v>2750</v>
      </c>
      <c r="PY6" s="33" t="s">
        <v>2751</v>
      </c>
      <c r="PZ6" s="33" t="s">
        <v>2752</v>
      </c>
      <c r="QA6" s="33" t="s">
        <v>2753</v>
      </c>
      <c r="QB6" s="33" t="s">
        <v>2754</v>
      </c>
      <c r="QC6" s="33" t="s">
        <v>2755</v>
      </c>
      <c r="QD6" s="33" t="s">
        <v>2756</v>
      </c>
      <c r="QE6" s="33" t="s">
        <v>2757</v>
      </c>
      <c r="QF6" s="33" t="s">
        <v>2758</v>
      </c>
      <c r="QG6" s="33" t="s">
        <v>2759</v>
      </c>
      <c r="QH6" s="33" t="s">
        <v>2760</v>
      </c>
      <c r="QI6" s="33" t="s">
        <v>2761</v>
      </c>
      <c r="QJ6" s="33" t="s">
        <v>2762</v>
      </c>
      <c r="QK6" s="33" t="s">
        <v>2763</v>
      </c>
      <c r="QL6" s="33" t="s">
        <v>2764</v>
      </c>
      <c r="QM6" s="33" t="s">
        <v>2765</v>
      </c>
      <c r="QN6" s="33" t="s">
        <v>2766</v>
      </c>
      <c r="QO6" s="33" t="s">
        <v>2767</v>
      </c>
      <c r="QP6" s="33" t="s">
        <v>2768</v>
      </c>
      <c r="QQ6" s="33" t="s">
        <v>2769</v>
      </c>
      <c r="QR6" s="33" t="s">
        <v>2770</v>
      </c>
      <c r="QS6" s="33" t="s">
        <v>2771</v>
      </c>
      <c r="QT6" s="33" t="s">
        <v>2772</v>
      </c>
      <c r="QU6" s="33" t="s">
        <v>2773</v>
      </c>
      <c r="QV6" s="33" t="s">
        <v>2774</v>
      </c>
      <c r="QW6" s="33" t="s">
        <v>2775</v>
      </c>
      <c r="QX6" s="33" t="s">
        <v>2776</v>
      </c>
      <c r="QY6" s="33" t="s">
        <v>2777</v>
      </c>
      <c r="QZ6" s="33" t="s">
        <v>2778</v>
      </c>
      <c r="RA6" s="33" t="s">
        <v>2779</v>
      </c>
      <c r="RB6" s="33" t="s">
        <v>2780</v>
      </c>
      <c r="RC6" s="33" t="s">
        <v>2781</v>
      </c>
      <c r="RD6" s="33" t="s">
        <v>2782</v>
      </c>
      <c r="RE6" s="33" t="s">
        <v>2783</v>
      </c>
      <c r="RF6" s="33" t="s">
        <v>2784</v>
      </c>
      <c r="RG6" s="33" t="s">
        <v>2785</v>
      </c>
      <c r="RH6" s="33" t="s">
        <v>2786</v>
      </c>
      <c r="RI6" s="33" t="s">
        <v>2787</v>
      </c>
      <c r="RJ6" s="33" t="s">
        <v>2788</v>
      </c>
      <c r="RK6" s="33" t="s">
        <v>2789</v>
      </c>
      <c r="RL6" s="33" t="s">
        <v>2790</v>
      </c>
      <c r="RM6" s="33" t="s">
        <v>2791</v>
      </c>
      <c r="RN6" s="33" t="s">
        <v>2792</v>
      </c>
      <c r="RO6" s="33" t="s">
        <v>2793</v>
      </c>
      <c r="RP6" s="33" t="s">
        <v>2794</v>
      </c>
      <c r="RQ6" s="33" t="s">
        <v>2795</v>
      </c>
      <c r="RR6" s="33" t="s">
        <v>2796</v>
      </c>
      <c r="RS6" s="33" t="s">
        <v>2797</v>
      </c>
      <c r="RT6" s="33" t="s">
        <v>2798</v>
      </c>
      <c r="RU6" s="33" t="s">
        <v>2799</v>
      </c>
      <c r="RV6" s="33" t="s">
        <v>2800</v>
      </c>
      <c r="RW6" s="33" t="s">
        <v>2801</v>
      </c>
      <c r="RX6" s="33" t="s">
        <v>2802</v>
      </c>
      <c r="RY6" s="33" t="s">
        <v>2803</v>
      </c>
      <c r="RZ6" s="33" t="s">
        <v>2804</v>
      </c>
      <c r="SA6" s="33" t="s">
        <v>2805</v>
      </c>
      <c r="SB6" s="33" t="s">
        <v>2806</v>
      </c>
      <c r="SC6" s="33" t="s">
        <v>2807</v>
      </c>
      <c r="SD6" s="33" t="s">
        <v>2808</v>
      </c>
      <c r="SE6" s="33" t="s">
        <v>2809</v>
      </c>
      <c r="SF6" s="33" t="s">
        <v>2810</v>
      </c>
      <c r="SG6" s="33" t="s">
        <v>2811</v>
      </c>
      <c r="SH6" s="33" t="s">
        <v>2812</v>
      </c>
      <c r="SI6" s="33" t="s">
        <v>2813</v>
      </c>
      <c r="SJ6" s="33" t="s">
        <v>2814</v>
      </c>
      <c r="SK6" s="33" t="s">
        <v>2815</v>
      </c>
      <c r="SL6" s="33" t="s">
        <v>2816</v>
      </c>
      <c r="SM6" s="33" t="s">
        <v>2817</v>
      </c>
      <c r="SN6" s="33" t="s">
        <v>2818</v>
      </c>
      <c r="SO6" s="33" t="s">
        <v>2819</v>
      </c>
      <c r="SP6" s="33" t="s">
        <v>2820</v>
      </c>
      <c r="SQ6" s="33" t="s">
        <v>2821</v>
      </c>
      <c r="SR6" s="33" t="s">
        <v>2822</v>
      </c>
      <c r="SS6" s="33" t="s">
        <v>2823</v>
      </c>
      <c r="ST6" s="33" t="s">
        <v>2824</v>
      </c>
      <c r="SU6" s="33" t="s">
        <v>2825</v>
      </c>
      <c r="SV6" s="33" t="s">
        <v>2826</v>
      </c>
      <c r="SW6" s="33" t="s">
        <v>2827</v>
      </c>
      <c r="SX6" s="33" t="s">
        <v>2828</v>
      </c>
      <c r="SY6" s="33" t="s">
        <v>2829</v>
      </c>
      <c r="SZ6" s="33" t="s">
        <v>2830</v>
      </c>
      <c r="TA6" s="33" t="s">
        <v>2831</v>
      </c>
      <c r="TB6" s="33" t="s">
        <v>2832</v>
      </c>
      <c r="TC6" s="33" t="s">
        <v>2833</v>
      </c>
      <c r="TD6" s="33" t="s">
        <v>2834</v>
      </c>
      <c r="TE6" s="33" t="s">
        <v>2835</v>
      </c>
      <c r="TF6" s="33" t="s">
        <v>2836</v>
      </c>
      <c r="TG6" s="33" t="s">
        <v>2837</v>
      </c>
      <c r="TH6" s="33" t="s">
        <v>2838</v>
      </c>
      <c r="TI6" s="33" t="s">
        <v>2839</v>
      </c>
      <c r="TJ6" s="33" t="s">
        <v>2840</v>
      </c>
      <c r="TK6" s="33" t="s">
        <v>2841</v>
      </c>
      <c r="TL6" s="33" t="s">
        <v>2842</v>
      </c>
      <c r="TM6" s="33" t="s">
        <v>2843</v>
      </c>
      <c r="TN6" s="33" t="s">
        <v>2844</v>
      </c>
      <c r="TO6" s="33" t="s">
        <v>2845</v>
      </c>
      <c r="TP6" s="33" t="s">
        <v>2846</v>
      </c>
      <c r="TQ6" s="33" t="s">
        <v>2847</v>
      </c>
      <c r="TR6" s="33" t="s">
        <v>2848</v>
      </c>
      <c r="TS6" s="33" t="s">
        <v>2849</v>
      </c>
      <c r="TT6" s="33" t="s">
        <v>2850</v>
      </c>
      <c r="TU6" s="33" t="s">
        <v>2851</v>
      </c>
      <c r="TV6" s="33" t="s">
        <v>2852</v>
      </c>
      <c r="TW6" s="33" t="s">
        <v>2853</v>
      </c>
      <c r="TX6" s="33" t="s">
        <v>2854</v>
      </c>
      <c r="TY6" s="33" t="s">
        <v>2855</v>
      </c>
      <c r="TZ6" s="33" t="s">
        <v>2856</v>
      </c>
      <c r="UA6" s="33" t="s">
        <v>2857</v>
      </c>
      <c r="UB6" s="33" t="s">
        <v>2858</v>
      </c>
      <c r="UC6" s="33" t="s">
        <v>2859</v>
      </c>
      <c r="UD6" s="33" t="s">
        <v>2860</v>
      </c>
      <c r="UE6" s="33" t="s">
        <v>2861</v>
      </c>
      <c r="UF6" s="33" t="s">
        <v>2862</v>
      </c>
      <c r="UG6" s="33" t="s">
        <v>2863</v>
      </c>
      <c r="UH6" s="33" t="s">
        <v>2864</v>
      </c>
      <c r="UI6" s="33" t="s">
        <v>2865</v>
      </c>
      <c r="UJ6" s="33" t="s">
        <v>2866</v>
      </c>
      <c r="UK6" s="33" t="s">
        <v>2867</v>
      </c>
      <c r="UL6" s="33" t="s">
        <v>2868</v>
      </c>
      <c r="UM6" s="33" t="s">
        <v>2869</v>
      </c>
      <c r="UN6" s="33" t="s">
        <v>2870</v>
      </c>
      <c r="UO6" s="33" t="s">
        <v>2871</v>
      </c>
      <c r="UP6" s="33" t="s">
        <v>2872</v>
      </c>
      <c r="UQ6" s="33" t="s">
        <v>2873</v>
      </c>
      <c r="UR6" s="33" t="s">
        <v>2874</v>
      </c>
      <c r="US6" s="33" t="s">
        <v>2875</v>
      </c>
      <c r="UT6" s="33" t="s">
        <v>2876</v>
      </c>
      <c r="UU6" s="33" t="s">
        <v>2877</v>
      </c>
      <c r="UV6" s="33" t="s">
        <v>2878</v>
      </c>
      <c r="UW6" s="33" t="s">
        <v>2879</v>
      </c>
      <c r="UX6" s="33" t="s">
        <v>2880</v>
      </c>
      <c r="UY6" s="33" t="s">
        <v>2881</v>
      </c>
      <c r="UZ6" s="33" t="s">
        <v>2882</v>
      </c>
      <c r="VA6" s="33" t="s">
        <v>2883</v>
      </c>
      <c r="VB6" s="33" t="s">
        <v>2884</v>
      </c>
      <c r="VC6" s="33" t="s">
        <v>2885</v>
      </c>
      <c r="VD6" s="33" t="s">
        <v>2886</v>
      </c>
      <c r="VE6" s="33" t="s">
        <v>2887</v>
      </c>
      <c r="VF6" s="33" t="s">
        <v>2888</v>
      </c>
      <c r="VG6" s="33" t="s">
        <v>2889</v>
      </c>
      <c r="VH6" s="33" t="s">
        <v>2890</v>
      </c>
      <c r="VI6" s="33" t="s">
        <v>2891</v>
      </c>
      <c r="VJ6" s="33" t="s">
        <v>2892</v>
      </c>
      <c r="VK6" s="33" t="s">
        <v>2893</v>
      </c>
      <c r="VL6" s="33" t="s">
        <v>2894</v>
      </c>
      <c r="VM6" s="33" t="s">
        <v>2895</v>
      </c>
      <c r="VN6" s="33" t="s">
        <v>2896</v>
      </c>
      <c r="VO6" s="33" t="s">
        <v>2897</v>
      </c>
      <c r="VP6" s="33" t="s">
        <v>2898</v>
      </c>
      <c r="VQ6" s="33" t="s">
        <v>2899</v>
      </c>
      <c r="VR6" s="33" t="s">
        <v>2900</v>
      </c>
      <c r="VS6" s="33" t="s">
        <v>2901</v>
      </c>
      <c r="VT6" s="33" t="s">
        <v>2902</v>
      </c>
      <c r="VU6" s="33" t="s">
        <v>2903</v>
      </c>
      <c r="VV6" s="33" t="s">
        <v>2904</v>
      </c>
      <c r="VW6" s="33" t="s">
        <v>2905</v>
      </c>
      <c r="VX6" s="33" t="s">
        <v>2906</v>
      </c>
      <c r="VY6" s="33" t="s">
        <v>2907</v>
      </c>
      <c r="VZ6" s="33" t="s">
        <v>2908</v>
      </c>
      <c r="WA6" s="33" t="s">
        <v>2909</v>
      </c>
      <c r="WB6" s="33" t="s">
        <v>2910</v>
      </c>
      <c r="WC6" s="33" t="s">
        <v>2911</v>
      </c>
      <c r="WD6" s="33" t="s">
        <v>2912</v>
      </c>
      <c r="WE6" s="33" t="s">
        <v>2913</v>
      </c>
      <c r="WF6" s="33" t="s">
        <v>2914</v>
      </c>
      <c r="WG6" s="33" t="s">
        <v>2915</v>
      </c>
      <c r="WH6" s="33" t="s">
        <v>2916</v>
      </c>
      <c r="WI6" s="33" t="s">
        <v>2917</v>
      </c>
      <c r="WJ6" s="33" t="s">
        <v>2918</v>
      </c>
      <c r="WK6" s="33" t="s">
        <v>2919</v>
      </c>
      <c r="WL6" s="33" t="s">
        <v>2920</v>
      </c>
      <c r="WM6" s="33" t="s">
        <v>2921</v>
      </c>
      <c r="WN6" s="33" t="s">
        <v>2922</v>
      </c>
      <c r="WO6" s="33" t="s">
        <v>2923</v>
      </c>
      <c r="WP6" s="33" t="s">
        <v>2924</v>
      </c>
      <c r="WQ6" s="33" t="s">
        <v>2925</v>
      </c>
      <c r="WR6" s="33" t="s">
        <v>2926</v>
      </c>
      <c r="WS6" s="33" t="s">
        <v>2927</v>
      </c>
      <c r="WT6" s="33" t="s">
        <v>2928</v>
      </c>
      <c r="WU6" s="33" t="s">
        <v>2929</v>
      </c>
      <c r="WV6" s="33" t="s">
        <v>2930</v>
      </c>
      <c r="WW6" s="33" t="s">
        <v>2931</v>
      </c>
      <c r="WX6" s="33" t="s">
        <v>2932</v>
      </c>
      <c r="WY6" s="33" t="s">
        <v>2933</v>
      </c>
      <c r="WZ6" s="33" t="s">
        <v>2934</v>
      </c>
      <c r="XA6" s="33" t="s">
        <v>2935</v>
      </c>
      <c r="XB6" s="33" t="s">
        <v>2936</v>
      </c>
      <c r="XC6" s="33" t="s">
        <v>2937</v>
      </c>
      <c r="XD6" s="33" t="s">
        <v>2938</v>
      </c>
      <c r="XE6" s="33" t="s">
        <v>2939</v>
      </c>
      <c r="XF6" s="33" t="s">
        <v>2940</v>
      </c>
      <c r="XG6" s="33" t="s">
        <v>2941</v>
      </c>
      <c r="XH6" s="33" t="s">
        <v>2942</v>
      </c>
      <c r="XI6" s="33" t="s">
        <v>2943</v>
      </c>
      <c r="XJ6" s="33" t="s">
        <v>2944</v>
      </c>
      <c r="XK6" s="33" t="s">
        <v>2945</v>
      </c>
      <c r="XL6" s="33" t="s">
        <v>2946</v>
      </c>
      <c r="XM6" s="33" t="s">
        <v>2947</v>
      </c>
      <c r="XN6" s="33" t="s">
        <v>2948</v>
      </c>
      <c r="XO6" s="33" t="s">
        <v>2949</v>
      </c>
      <c r="XP6" s="33" t="s">
        <v>2950</v>
      </c>
      <c r="XQ6" s="33" t="s">
        <v>2951</v>
      </c>
      <c r="XR6" s="33" t="s">
        <v>2952</v>
      </c>
      <c r="XS6" s="33" t="s">
        <v>2953</v>
      </c>
      <c r="XT6" s="33" t="s">
        <v>2954</v>
      </c>
      <c r="XU6" s="33" t="s">
        <v>2955</v>
      </c>
      <c r="XV6" s="33" t="s">
        <v>2956</v>
      </c>
      <c r="XW6" s="33" t="s">
        <v>2957</v>
      </c>
      <c r="XX6" s="33" t="s">
        <v>2958</v>
      </c>
      <c r="XY6" s="33" t="s">
        <v>2959</v>
      </c>
      <c r="XZ6" s="33" t="s">
        <v>2960</v>
      </c>
      <c r="YA6" s="33" t="s">
        <v>2961</v>
      </c>
      <c r="YB6" s="33" t="s">
        <v>2962</v>
      </c>
      <c r="YC6" s="33" t="s">
        <v>2963</v>
      </c>
      <c r="YD6" s="33" t="s">
        <v>2964</v>
      </c>
      <c r="YE6" s="33" t="s">
        <v>2965</v>
      </c>
      <c r="YF6" s="33" t="s">
        <v>2966</v>
      </c>
      <c r="YG6" s="33" t="s">
        <v>2967</v>
      </c>
      <c r="YH6" s="33" t="s">
        <v>2968</v>
      </c>
      <c r="YI6" s="33" t="s">
        <v>2969</v>
      </c>
      <c r="YJ6" s="33" t="s">
        <v>2970</v>
      </c>
      <c r="YK6" s="33" t="s">
        <v>2971</v>
      </c>
      <c r="YL6" s="33" t="s">
        <v>2972</v>
      </c>
      <c r="YM6" s="33" t="s">
        <v>2973</v>
      </c>
      <c r="YN6" s="33" t="s">
        <v>2974</v>
      </c>
      <c r="YO6" s="33" t="s">
        <v>2975</v>
      </c>
      <c r="YP6" s="33" t="s">
        <v>2976</v>
      </c>
      <c r="YQ6" s="33" t="s">
        <v>2977</v>
      </c>
      <c r="YR6" s="33" t="s">
        <v>2978</v>
      </c>
      <c r="YS6" s="33" t="s">
        <v>2979</v>
      </c>
      <c r="YT6" s="33" t="s">
        <v>2980</v>
      </c>
      <c r="YU6" s="33" t="s">
        <v>2981</v>
      </c>
      <c r="YV6" s="33" t="s">
        <v>2982</v>
      </c>
      <c r="YW6" s="33" t="s">
        <v>2983</v>
      </c>
      <c r="YX6" s="33" t="s">
        <v>2984</v>
      </c>
      <c r="YY6" s="33" t="s">
        <v>2985</v>
      </c>
      <c r="YZ6" s="33" t="s">
        <v>2986</v>
      </c>
      <c r="ZA6" s="33" t="s">
        <v>2987</v>
      </c>
      <c r="ZB6" s="33" t="s">
        <v>2988</v>
      </c>
      <c r="ZC6" s="33" t="s">
        <v>2989</v>
      </c>
      <c r="ZD6" s="33" t="s">
        <v>2990</v>
      </c>
      <c r="ZE6" s="33" t="s">
        <v>2991</v>
      </c>
      <c r="ZF6" s="33" t="s">
        <v>2992</v>
      </c>
      <c r="ZG6" s="33" t="s">
        <v>2993</v>
      </c>
      <c r="ZH6" s="33" t="s">
        <v>2994</v>
      </c>
      <c r="ZI6" s="33" t="s">
        <v>2995</v>
      </c>
      <c r="ZJ6" s="33" t="s">
        <v>2996</v>
      </c>
      <c r="ZK6" s="33" t="s">
        <v>2997</v>
      </c>
      <c r="ZL6" s="33" t="s">
        <v>2998</v>
      </c>
      <c r="ZM6" s="33" t="s">
        <v>2999</v>
      </c>
      <c r="ZN6" s="33" t="s">
        <v>3000</v>
      </c>
      <c r="ZO6" s="33" t="s">
        <v>3001</v>
      </c>
      <c r="ZP6" s="33" t="s">
        <v>3002</v>
      </c>
      <c r="ZQ6" s="33" t="s">
        <v>3003</v>
      </c>
      <c r="ZR6" s="33" t="s">
        <v>3004</v>
      </c>
      <c r="ZS6" s="33" t="s">
        <v>3005</v>
      </c>
      <c r="ZT6" s="33" t="s">
        <v>3006</v>
      </c>
      <c r="ZU6" s="33" t="s">
        <v>3007</v>
      </c>
      <c r="ZV6" s="33" t="s">
        <v>3008</v>
      </c>
      <c r="ZW6" s="33" t="s">
        <v>3009</v>
      </c>
      <c r="ZX6" s="33" t="s">
        <v>3010</v>
      </c>
      <c r="ZY6" s="33" t="s">
        <v>3011</v>
      </c>
      <c r="ZZ6" s="33" t="s">
        <v>3012</v>
      </c>
      <c r="AAA6" s="33" t="s">
        <v>3013</v>
      </c>
      <c r="AAB6" s="33" t="s">
        <v>3014</v>
      </c>
      <c r="AAC6" s="33" t="s">
        <v>3015</v>
      </c>
      <c r="AAD6" s="33" t="s">
        <v>3016</v>
      </c>
      <c r="AAE6" s="33" t="s">
        <v>3017</v>
      </c>
      <c r="AAF6" s="33" t="s">
        <v>3018</v>
      </c>
      <c r="AAG6" s="33" t="s">
        <v>3019</v>
      </c>
      <c r="AAH6" s="33" t="s">
        <v>3020</v>
      </c>
      <c r="AAI6" s="33" t="s">
        <v>3021</v>
      </c>
      <c r="AAJ6" s="33" t="s">
        <v>3022</v>
      </c>
      <c r="AAK6" s="33" t="s">
        <v>3023</v>
      </c>
      <c r="AAL6" s="33" t="s">
        <v>3024</v>
      </c>
      <c r="AAM6" s="33" t="s">
        <v>3025</v>
      </c>
      <c r="AAN6" s="33" t="s">
        <v>3026</v>
      </c>
      <c r="AAO6" s="33" t="s">
        <v>3027</v>
      </c>
      <c r="AAP6" s="33" t="s">
        <v>3028</v>
      </c>
      <c r="AAQ6" s="33" t="s">
        <v>3029</v>
      </c>
      <c r="AAR6" s="33" t="s">
        <v>3030</v>
      </c>
      <c r="AAS6" s="33" t="s">
        <v>3031</v>
      </c>
      <c r="AAT6" s="33" t="s">
        <v>3032</v>
      </c>
      <c r="AAU6" s="33" t="s">
        <v>3033</v>
      </c>
      <c r="AAV6" s="33" t="s">
        <v>3034</v>
      </c>
      <c r="AAW6" s="33" t="s">
        <v>3035</v>
      </c>
      <c r="AAX6" s="33" t="s">
        <v>3036</v>
      </c>
      <c r="AAY6" s="33" t="s">
        <v>3037</v>
      </c>
      <c r="AAZ6" s="33" t="s">
        <v>3038</v>
      </c>
      <c r="ABA6" s="33" t="s">
        <v>3039</v>
      </c>
      <c r="ABB6" s="33" t="s">
        <v>3040</v>
      </c>
      <c r="ABC6" s="33" t="s">
        <v>3041</v>
      </c>
      <c r="ABD6" s="33" t="s">
        <v>3042</v>
      </c>
      <c r="ABE6" s="33" t="s">
        <v>3043</v>
      </c>
      <c r="ABF6" s="33" t="s">
        <v>3044</v>
      </c>
      <c r="ABG6" s="33" t="s">
        <v>3045</v>
      </c>
      <c r="ABH6" s="33" t="s">
        <v>3046</v>
      </c>
      <c r="ABI6" s="33" t="s">
        <v>3047</v>
      </c>
      <c r="ABJ6" s="33" t="s">
        <v>3048</v>
      </c>
      <c r="ABK6" s="33" t="s">
        <v>3049</v>
      </c>
      <c r="ABL6" s="33" t="s">
        <v>3050</v>
      </c>
      <c r="ABM6" s="33" t="s">
        <v>3051</v>
      </c>
      <c r="ABN6" s="33" t="s">
        <v>3052</v>
      </c>
      <c r="ABO6" s="33" t="s">
        <v>3053</v>
      </c>
      <c r="ABP6" s="33" t="s">
        <v>3054</v>
      </c>
      <c r="ABQ6" s="33" t="s">
        <v>3055</v>
      </c>
      <c r="ABR6" s="33" t="s">
        <v>3056</v>
      </c>
      <c r="ABS6" s="33" t="s">
        <v>3057</v>
      </c>
      <c r="ABT6" s="33" t="s">
        <v>3058</v>
      </c>
      <c r="ABU6" s="33" t="s">
        <v>3059</v>
      </c>
      <c r="ABV6" s="33" t="s">
        <v>3060</v>
      </c>
      <c r="ABW6" s="33" t="s">
        <v>3061</v>
      </c>
      <c r="ABX6" s="33" t="s">
        <v>3062</v>
      </c>
      <c r="ABY6" s="33" t="s">
        <v>3063</v>
      </c>
      <c r="ABZ6" s="33" t="s">
        <v>3064</v>
      </c>
      <c r="ACA6" s="33" t="s">
        <v>3065</v>
      </c>
      <c r="ACB6" s="33" t="s">
        <v>3066</v>
      </c>
      <c r="ACC6" s="33" t="s">
        <v>3067</v>
      </c>
      <c r="ACD6" s="33" t="s">
        <v>3068</v>
      </c>
      <c r="ACE6" s="33" t="s">
        <v>3069</v>
      </c>
      <c r="ACF6" s="33" t="s">
        <v>3070</v>
      </c>
      <c r="ACG6" s="33" t="s">
        <v>3071</v>
      </c>
      <c r="ACH6" s="33" t="s">
        <v>3072</v>
      </c>
      <c r="ACI6" s="33" t="s">
        <v>3073</v>
      </c>
      <c r="ACJ6" s="33" t="s">
        <v>3074</v>
      </c>
      <c r="ACK6" s="33" t="s">
        <v>3075</v>
      </c>
      <c r="ACL6" s="33" t="s">
        <v>3076</v>
      </c>
      <c r="ACM6" s="33" t="s">
        <v>3077</v>
      </c>
      <c r="ACN6" s="33" t="s">
        <v>3078</v>
      </c>
      <c r="ACO6" s="33" t="s">
        <v>3079</v>
      </c>
      <c r="ACP6" s="33" t="s">
        <v>3080</v>
      </c>
      <c r="ACQ6" s="33" t="s">
        <v>3081</v>
      </c>
      <c r="ACR6" s="33" t="s">
        <v>3082</v>
      </c>
      <c r="ACS6" s="33" t="s">
        <v>3083</v>
      </c>
      <c r="ACT6" s="33" t="s">
        <v>3084</v>
      </c>
      <c r="ACU6" s="33" t="s">
        <v>3085</v>
      </c>
      <c r="ACV6" s="33" t="s">
        <v>3086</v>
      </c>
      <c r="ACW6" s="33" t="s">
        <v>3087</v>
      </c>
      <c r="ACX6" s="33" t="s">
        <v>3088</v>
      </c>
      <c r="ACY6" s="33" t="s">
        <v>3089</v>
      </c>
      <c r="ACZ6" s="33" t="s">
        <v>3090</v>
      </c>
      <c r="ADA6" s="33" t="s">
        <v>3091</v>
      </c>
      <c r="ADB6" s="33" t="s">
        <v>3092</v>
      </c>
      <c r="ADC6" s="33" t="s">
        <v>3093</v>
      </c>
      <c r="ADD6" s="33" t="s">
        <v>3094</v>
      </c>
      <c r="ADE6" s="33" t="s">
        <v>3095</v>
      </c>
      <c r="ADF6" s="33" t="s">
        <v>3096</v>
      </c>
      <c r="ADG6" s="33" t="s">
        <v>3097</v>
      </c>
      <c r="ADH6" s="33" t="s">
        <v>3098</v>
      </c>
      <c r="ADI6" s="33" t="s">
        <v>3099</v>
      </c>
      <c r="ADJ6" s="33" t="s">
        <v>3100</v>
      </c>
      <c r="ADK6" s="33" t="s">
        <v>3101</v>
      </c>
      <c r="ADL6" s="33" t="s">
        <v>3102</v>
      </c>
      <c r="ADM6" s="33" t="s">
        <v>3103</v>
      </c>
      <c r="ADN6" s="33" t="s">
        <v>3104</v>
      </c>
      <c r="ADO6" s="33" t="s">
        <v>3105</v>
      </c>
      <c r="ADP6" s="33" t="s">
        <v>3106</v>
      </c>
      <c r="ADQ6" s="33" t="s">
        <v>3107</v>
      </c>
      <c r="ADR6" s="33" t="s">
        <v>3108</v>
      </c>
      <c r="ADS6" s="33" t="s">
        <v>3109</v>
      </c>
      <c r="ADT6" s="33" t="s">
        <v>3110</v>
      </c>
      <c r="ADU6" s="33" t="s">
        <v>3111</v>
      </c>
      <c r="ADV6" s="33" t="s">
        <v>3112</v>
      </c>
      <c r="ADW6" s="33" t="s">
        <v>3113</v>
      </c>
      <c r="ADX6" s="33" t="s">
        <v>3114</v>
      </c>
      <c r="ADY6" s="33" t="s">
        <v>3115</v>
      </c>
      <c r="ADZ6" s="33" t="s">
        <v>3116</v>
      </c>
      <c r="AEA6" s="33" t="s">
        <v>3117</v>
      </c>
      <c r="AEB6" s="33" t="s">
        <v>3118</v>
      </c>
      <c r="AEC6" s="33" t="s">
        <v>3119</v>
      </c>
      <c r="AED6" s="33" t="s">
        <v>3120</v>
      </c>
      <c r="AEE6" s="33" t="s">
        <v>3121</v>
      </c>
      <c r="AEF6" s="33" t="s">
        <v>3122</v>
      </c>
      <c r="AEG6" s="33" t="s">
        <v>3123</v>
      </c>
      <c r="AEH6" s="33" t="s">
        <v>3124</v>
      </c>
      <c r="AEI6" s="33" t="s">
        <v>3125</v>
      </c>
      <c r="AEJ6" s="33" t="s">
        <v>3126</v>
      </c>
      <c r="AEK6" s="33" t="s">
        <v>3127</v>
      </c>
      <c r="AEL6" s="33" t="s">
        <v>3128</v>
      </c>
      <c r="AEM6" s="33" t="s">
        <v>3129</v>
      </c>
      <c r="AEN6" s="33" t="s">
        <v>3130</v>
      </c>
      <c r="AEO6" s="33" t="s">
        <v>3131</v>
      </c>
      <c r="AEP6" s="33" t="s">
        <v>3132</v>
      </c>
      <c r="AEQ6" s="33" t="s">
        <v>3133</v>
      </c>
      <c r="AER6" s="33" t="s">
        <v>3134</v>
      </c>
      <c r="AES6" s="33" t="s">
        <v>3135</v>
      </c>
      <c r="AET6" s="33" t="s">
        <v>3136</v>
      </c>
      <c r="AEU6" s="33" t="s">
        <v>3137</v>
      </c>
      <c r="AEV6" s="33" t="s">
        <v>3138</v>
      </c>
      <c r="AEW6" s="33" t="s">
        <v>3139</v>
      </c>
      <c r="AEX6" s="33" t="s">
        <v>3140</v>
      </c>
      <c r="AEY6" s="33" t="s">
        <v>3141</v>
      </c>
      <c r="AEZ6" s="33" t="s">
        <v>3142</v>
      </c>
      <c r="AFA6" s="33" t="s">
        <v>3143</v>
      </c>
      <c r="AFB6" s="33" t="s">
        <v>3144</v>
      </c>
      <c r="AFC6" s="33" t="s">
        <v>3145</v>
      </c>
      <c r="AFD6" s="33" t="s">
        <v>3146</v>
      </c>
      <c r="AFE6" s="33" t="s">
        <v>3147</v>
      </c>
      <c r="AFF6" s="33" t="s">
        <v>3148</v>
      </c>
      <c r="AFG6" s="33" t="s">
        <v>3149</v>
      </c>
      <c r="AFH6" s="33" t="s">
        <v>3150</v>
      </c>
      <c r="AFI6" s="33" t="s">
        <v>3151</v>
      </c>
      <c r="AFJ6" s="33" t="s">
        <v>3152</v>
      </c>
      <c r="AFK6" s="33" t="s">
        <v>3153</v>
      </c>
      <c r="AFL6" s="33" t="s">
        <v>3154</v>
      </c>
      <c r="AFM6" s="33" t="s">
        <v>3155</v>
      </c>
      <c r="AFN6" s="33" t="s">
        <v>3156</v>
      </c>
      <c r="AFO6" s="33" t="s">
        <v>3157</v>
      </c>
      <c r="AFP6" s="33" t="s">
        <v>3158</v>
      </c>
      <c r="AFQ6" s="33" t="s">
        <v>3159</v>
      </c>
      <c r="AFR6" s="33" t="s">
        <v>3160</v>
      </c>
      <c r="AFS6" s="33" t="s">
        <v>3161</v>
      </c>
      <c r="AFT6" s="33" t="s">
        <v>3162</v>
      </c>
      <c r="AFU6" s="33" t="s">
        <v>3163</v>
      </c>
      <c r="AFV6" s="33" t="s">
        <v>3164</v>
      </c>
      <c r="AFW6" s="33" t="s">
        <v>3165</v>
      </c>
      <c r="AFX6" s="33" t="s">
        <v>3166</v>
      </c>
      <c r="AFY6" s="33" t="s">
        <v>3167</v>
      </c>
      <c r="AFZ6" s="33" t="s">
        <v>3168</v>
      </c>
      <c r="AGA6" s="33" t="s">
        <v>3169</v>
      </c>
      <c r="AGB6" s="33" t="s">
        <v>3170</v>
      </c>
      <c r="AGC6" s="33" t="s">
        <v>3171</v>
      </c>
      <c r="AGD6" s="33" t="s">
        <v>3172</v>
      </c>
      <c r="AGE6" s="33" t="s">
        <v>3173</v>
      </c>
      <c r="AGF6" s="33" t="s">
        <v>3174</v>
      </c>
      <c r="AGG6" s="33" t="s">
        <v>3175</v>
      </c>
      <c r="AGH6" s="33" t="s">
        <v>3176</v>
      </c>
      <c r="AGI6" s="33" t="s">
        <v>3177</v>
      </c>
      <c r="AGJ6" s="33" t="s">
        <v>3178</v>
      </c>
      <c r="AGK6" s="33" t="s">
        <v>3179</v>
      </c>
      <c r="AGL6" s="33" t="s">
        <v>3180</v>
      </c>
      <c r="AGM6" s="33" t="s">
        <v>3181</v>
      </c>
      <c r="AGN6" s="33" t="s">
        <v>3182</v>
      </c>
      <c r="AGO6" s="33" t="s">
        <v>3183</v>
      </c>
      <c r="AGP6" s="33" t="s">
        <v>3184</v>
      </c>
      <c r="AGQ6" s="33" t="s">
        <v>3185</v>
      </c>
      <c r="AGR6" s="33" t="s">
        <v>3186</v>
      </c>
      <c r="AGS6" s="33" t="s">
        <v>3187</v>
      </c>
      <c r="AGT6" s="33" t="s">
        <v>3188</v>
      </c>
      <c r="AGU6" s="33" t="s">
        <v>3189</v>
      </c>
      <c r="AGV6" s="33" t="s">
        <v>3190</v>
      </c>
      <c r="AGW6" s="33" t="s">
        <v>3191</v>
      </c>
      <c r="AGX6" s="33" t="s">
        <v>3192</v>
      </c>
      <c r="AGY6" s="33" t="s">
        <v>3193</v>
      </c>
      <c r="AGZ6" s="33" t="s">
        <v>3194</v>
      </c>
      <c r="AHA6" s="33" t="s">
        <v>3195</v>
      </c>
      <c r="AHB6" s="33" t="s">
        <v>3196</v>
      </c>
      <c r="AHC6" s="33" t="s">
        <v>3197</v>
      </c>
      <c r="AHD6" s="33" t="s">
        <v>3198</v>
      </c>
      <c r="AHE6" s="33" t="s">
        <v>3199</v>
      </c>
      <c r="AHF6" s="33" t="s">
        <v>3200</v>
      </c>
      <c r="AHG6" s="33" t="s">
        <v>3201</v>
      </c>
      <c r="AHH6" s="33" t="s">
        <v>3202</v>
      </c>
      <c r="AHI6" s="33" t="s">
        <v>3203</v>
      </c>
      <c r="AHJ6" s="33" t="s">
        <v>3204</v>
      </c>
      <c r="AHK6" s="33" t="s">
        <v>3205</v>
      </c>
      <c r="AHL6" s="33" t="s">
        <v>3206</v>
      </c>
      <c r="AHM6" s="33" t="s">
        <v>3207</v>
      </c>
      <c r="AHN6" s="33" t="s">
        <v>3208</v>
      </c>
      <c r="AHO6" s="33" t="s">
        <v>3209</v>
      </c>
      <c r="AHP6" s="33" t="s">
        <v>3210</v>
      </c>
      <c r="AHQ6" s="33" t="s">
        <v>3211</v>
      </c>
      <c r="AHR6" s="33" t="s">
        <v>3212</v>
      </c>
      <c r="AHS6" s="33" t="s">
        <v>3213</v>
      </c>
      <c r="AHT6" s="33" t="s">
        <v>3214</v>
      </c>
      <c r="AHU6" s="33" t="s">
        <v>3215</v>
      </c>
      <c r="AHV6" s="33" t="s">
        <v>3216</v>
      </c>
      <c r="AHW6" s="33" t="s">
        <v>3217</v>
      </c>
      <c r="AHX6" s="33" t="s">
        <v>3218</v>
      </c>
      <c r="AHY6" s="33" t="s">
        <v>3219</v>
      </c>
      <c r="AHZ6" s="33" t="s">
        <v>3220</v>
      </c>
      <c r="AIA6" s="33" t="s">
        <v>3221</v>
      </c>
      <c r="AIB6" s="33" t="s">
        <v>3222</v>
      </c>
      <c r="AIC6" s="33" t="s">
        <v>3223</v>
      </c>
      <c r="AID6" s="33" t="s">
        <v>3224</v>
      </c>
      <c r="AIE6" s="33" t="s">
        <v>3225</v>
      </c>
      <c r="AIF6" s="33" t="s">
        <v>3226</v>
      </c>
      <c r="AIG6" s="33" t="s">
        <v>3227</v>
      </c>
      <c r="AIH6" s="33" t="s">
        <v>3228</v>
      </c>
      <c r="AII6" s="33" t="s">
        <v>3229</v>
      </c>
      <c r="AIJ6" s="33" t="s">
        <v>3230</v>
      </c>
      <c r="AIK6" s="33" t="s">
        <v>3231</v>
      </c>
      <c r="AIL6" s="33" t="s">
        <v>3232</v>
      </c>
      <c r="AIM6" s="33" t="s">
        <v>3233</v>
      </c>
      <c r="AIN6" s="33" t="s">
        <v>3234</v>
      </c>
      <c r="AIO6" s="33" t="s">
        <v>3235</v>
      </c>
      <c r="AIP6" s="33" t="s">
        <v>3236</v>
      </c>
      <c r="AIQ6" s="33" t="s">
        <v>3237</v>
      </c>
      <c r="AIR6" s="33" t="s">
        <v>3238</v>
      </c>
      <c r="AIS6" s="33" t="s">
        <v>3239</v>
      </c>
      <c r="AIT6" s="33" t="s">
        <v>3240</v>
      </c>
      <c r="AIU6" s="33" t="s">
        <v>3241</v>
      </c>
      <c r="AIV6" s="33" t="s">
        <v>3242</v>
      </c>
      <c r="AIW6" s="33" t="s">
        <v>3243</v>
      </c>
      <c r="AIX6" s="33" t="s">
        <v>3244</v>
      </c>
      <c r="AIY6" s="33" t="s">
        <v>3245</v>
      </c>
      <c r="AIZ6" s="33" t="s">
        <v>3246</v>
      </c>
      <c r="AJA6" s="33" t="s">
        <v>3247</v>
      </c>
      <c r="AJB6" s="33" t="s">
        <v>3248</v>
      </c>
      <c r="AJC6" s="33" t="s">
        <v>3249</v>
      </c>
      <c r="AJD6" s="33" t="s">
        <v>3250</v>
      </c>
      <c r="AJE6" s="33" t="s">
        <v>3251</v>
      </c>
      <c r="AJF6" s="33" t="s">
        <v>3252</v>
      </c>
      <c r="AJG6" s="33" t="s">
        <v>3253</v>
      </c>
      <c r="AJH6" s="33" t="s">
        <v>3254</v>
      </c>
      <c r="AJI6" s="33" t="s">
        <v>3255</v>
      </c>
      <c r="AJJ6" s="33" t="s">
        <v>3256</v>
      </c>
      <c r="AJK6" s="33" t="s">
        <v>3257</v>
      </c>
      <c r="AJL6" s="33" t="s">
        <v>3258</v>
      </c>
      <c r="AJM6" s="33" t="s">
        <v>3259</v>
      </c>
      <c r="AJN6" s="33" t="s">
        <v>3260</v>
      </c>
      <c r="AJO6" s="33" t="s">
        <v>3261</v>
      </c>
      <c r="AJP6" s="33" t="s">
        <v>3262</v>
      </c>
      <c r="AJQ6" s="33" t="s">
        <v>3263</v>
      </c>
      <c r="AJR6" s="33" t="s">
        <v>3264</v>
      </c>
      <c r="AJS6" s="33" t="s">
        <v>3265</v>
      </c>
      <c r="AJT6" s="33" t="s">
        <v>3266</v>
      </c>
      <c r="AJU6" s="33" t="s">
        <v>3267</v>
      </c>
      <c r="AJV6" s="33" t="s">
        <v>3268</v>
      </c>
      <c r="AJW6" s="33" t="s">
        <v>3269</v>
      </c>
      <c r="AJX6" s="33" t="s">
        <v>3270</v>
      </c>
      <c r="AJY6" s="33" t="s">
        <v>3271</v>
      </c>
      <c r="AJZ6" s="33" t="s">
        <v>3272</v>
      </c>
      <c r="AKA6" s="33" t="s">
        <v>3273</v>
      </c>
      <c r="AKB6" s="33" t="s">
        <v>3274</v>
      </c>
      <c r="AKC6" s="33" t="s">
        <v>3275</v>
      </c>
      <c r="AKD6" s="33" t="s">
        <v>3276</v>
      </c>
      <c r="AKE6" s="33" t="s">
        <v>3277</v>
      </c>
      <c r="AKF6" s="33" t="s">
        <v>3278</v>
      </c>
      <c r="AKG6" s="33" t="s">
        <v>3279</v>
      </c>
      <c r="AKH6" s="33" t="s">
        <v>3280</v>
      </c>
      <c r="AKI6" s="33" t="s">
        <v>3281</v>
      </c>
      <c r="AKJ6" s="33" t="s">
        <v>3282</v>
      </c>
      <c r="AKK6" s="33" t="s">
        <v>3283</v>
      </c>
      <c r="AKL6" s="33" t="s">
        <v>3284</v>
      </c>
      <c r="AKM6" s="33" t="s">
        <v>3285</v>
      </c>
      <c r="AKN6" s="33" t="s">
        <v>3286</v>
      </c>
      <c r="AKO6" s="33" t="s">
        <v>3287</v>
      </c>
      <c r="AKP6" s="33" t="s">
        <v>3288</v>
      </c>
      <c r="AKQ6" s="33" t="s">
        <v>3289</v>
      </c>
      <c r="AKR6" s="33" t="s">
        <v>3290</v>
      </c>
      <c r="AKS6" s="33" t="s">
        <v>3291</v>
      </c>
      <c r="AKT6" s="33" t="s">
        <v>3292</v>
      </c>
      <c r="AKU6" s="33" t="s">
        <v>3293</v>
      </c>
      <c r="AKV6" s="33" t="s">
        <v>3294</v>
      </c>
      <c r="AKW6" s="33" t="s">
        <v>3295</v>
      </c>
      <c r="AKX6" s="33" t="s">
        <v>3296</v>
      </c>
      <c r="AKY6" s="33" t="s">
        <v>3297</v>
      </c>
      <c r="AKZ6" s="33" t="s">
        <v>3298</v>
      </c>
      <c r="ALA6" s="33" t="s">
        <v>3299</v>
      </c>
      <c r="ALB6" s="33" t="s">
        <v>3300</v>
      </c>
      <c r="ALC6" s="33" t="s">
        <v>3301</v>
      </c>
      <c r="ALD6" s="33" t="s">
        <v>3302</v>
      </c>
      <c r="ALE6" s="33" t="s">
        <v>3303</v>
      </c>
      <c r="ALF6" s="33" t="s">
        <v>3304</v>
      </c>
      <c r="ALG6" s="33" t="s">
        <v>3305</v>
      </c>
      <c r="ALH6" s="33" t="s">
        <v>3306</v>
      </c>
      <c r="ALI6" s="33" t="s">
        <v>3307</v>
      </c>
      <c r="ALJ6" s="33" t="s">
        <v>3308</v>
      </c>
      <c r="ALK6" s="33" t="s">
        <v>3309</v>
      </c>
      <c r="ALL6" s="33" t="s">
        <v>3310</v>
      </c>
      <c r="ALM6" s="33" t="s">
        <v>3311</v>
      </c>
      <c r="ALN6" s="33" t="s">
        <v>3312</v>
      </c>
      <c r="ALO6" s="33" t="s">
        <v>3313</v>
      </c>
      <c r="ALP6" s="33" t="s">
        <v>3314</v>
      </c>
      <c r="ALQ6" s="33" t="s">
        <v>3315</v>
      </c>
      <c r="ALR6" s="33" t="s">
        <v>3316</v>
      </c>
      <c r="ALS6" s="33" t="s">
        <v>3317</v>
      </c>
      <c r="ALT6" s="33" t="s">
        <v>3318</v>
      </c>
      <c r="ALU6" s="33" t="s">
        <v>3319</v>
      </c>
      <c r="ALV6" s="33" t="s">
        <v>3320</v>
      </c>
      <c r="ALW6" s="33" t="s">
        <v>3321</v>
      </c>
      <c r="ALX6" s="33" t="s">
        <v>3322</v>
      </c>
      <c r="ALY6" s="33" t="s">
        <v>3323</v>
      </c>
      <c r="ALZ6" s="33" t="s">
        <v>3324</v>
      </c>
      <c r="AMA6" s="33" t="s">
        <v>3325</v>
      </c>
      <c r="AMB6" s="33" t="s">
        <v>3326</v>
      </c>
      <c r="AMC6" s="33" t="s">
        <v>3327</v>
      </c>
      <c r="AMD6" s="33" t="s">
        <v>3328</v>
      </c>
      <c r="AME6" s="33" t="s">
        <v>3329</v>
      </c>
      <c r="AMF6" s="33" t="s">
        <v>3330</v>
      </c>
      <c r="AMG6" s="33" t="s">
        <v>3331</v>
      </c>
      <c r="AMH6" s="33" t="s">
        <v>3332</v>
      </c>
      <c r="AMI6" s="33" t="s">
        <v>3333</v>
      </c>
      <c r="AMJ6" s="33" t="s">
        <v>3334</v>
      </c>
      <c r="AMK6" s="33" t="s">
        <v>3335</v>
      </c>
      <c r="AML6" s="33" t="s">
        <v>3336</v>
      </c>
      <c r="AMM6" s="33" t="s">
        <v>3337</v>
      </c>
      <c r="AMN6" s="33" t="s">
        <v>3338</v>
      </c>
      <c r="AMO6" s="33" t="s">
        <v>3339</v>
      </c>
      <c r="AMP6" s="33" t="s">
        <v>3340</v>
      </c>
      <c r="AMQ6" s="33" t="s">
        <v>3341</v>
      </c>
      <c r="AMR6" s="33" t="s">
        <v>3342</v>
      </c>
      <c r="AMS6" s="33" t="s">
        <v>3343</v>
      </c>
      <c r="AMT6" s="33" t="s">
        <v>3344</v>
      </c>
      <c r="AMU6" s="33" t="s">
        <v>3345</v>
      </c>
      <c r="AMV6" s="33" t="s">
        <v>3346</v>
      </c>
      <c r="AMW6" s="33" t="s">
        <v>3347</v>
      </c>
      <c r="AMX6" s="33" t="s">
        <v>3348</v>
      </c>
      <c r="AMY6" s="33" t="s">
        <v>3349</v>
      </c>
      <c r="AMZ6" s="33" t="s">
        <v>3350</v>
      </c>
      <c r="ANA6" s="33" t="s">
        <v>3351</v>
      </c>
      <c r="ANB6" s="33" t="s">
        <v>3352</v>
      </c>
      <c r="ANC6" s="33" t="s">
        <v>3353</v>
      </c>
      <c r="AND6" s="33" t="s">
        <v>3354</v>
      </c>
      <c r="ANE6" s="33" t="s">
        <v>3355</v>
      </c>
      <c r="ANF6" s="33" t="s">
        <v>3356</v>
      </c>
      <c r="ANG6" s="33" t="s">
        <v>3357</v>
      </c>
      <c r="ANH6" s="33" t="s">
        <v>3358</v>
      </c>
      <c r="ANI6" s="33" t="s">
        <v>3359</v>
      </c>
      <c r="ANJ6" s="33" t="s">
        <v>3360</v>
      </c>
      <c r="ANK6" s="33" t="s">
        <v>3361</v>
      </c>
      <c r="ANL6" s="33" t="s">
        <v>3362</v>
      </c>
      <c r="ANM6" s="33" t="s">
        <v>3363</v>
      </c>
      <c r="ANN6" s="33" t="s">
        <v>3364</v>
      </c>
      <c r="ANO6" s="33" t="s">
        <v>3365</v>
      </c>
      <c r="ANP6" s="33" t="s">
        <v>3366</v>
      </c>
      <c r="ANQ6" s="33" t="s">
        <v>3367</v>
      </c>
      <c r="ANR6" s="33" t="s">
        <v>3368</v>
      </c>
      <c r="ANS6" s="33" t="s">
        <v>3369</v>
      </c>
      <c r="ANT6" s="33" t="s">
        <v>3370</v>
      </c>
      <c r="ANU6" s="33" t="s">
        <v>3371</v>
      </c>
      <c r="ANV6" s="33" t="s">
        <v>3372</v>
      </c>
      <c r="ANW6" s="33" t="s">
        <v>3373</v>
      </c>
      <c r="ANX6" s="33" t="s">
        <v>3374</v>
      </c>
      <c r="ANY6" s="33" t="s">
        <v>3375</v>
      </c>
      <c r="ANZ6" s="33" t="s">
        <v>3376</v>
      </c>
      <c r="AOA6" s="33" t="s">
        <v>3377</v>
      </c>
      <c r="AOB6" s="33" t="s">
        <v>3378</v>
      </c>
      <c r="AOC6" s="33" t="s">
        <v>3379</v>
      </c>
      <c r="AOD6" s="33" t="s">
        <v>3380</v>
      </c>
      <c r="AOE6" s="33" t="s">
        <v>3381</v>
      </c>
      <c r="AOF6" s="33" t="s">
        <v>3382</v>
      </c>
      <c r="AOG6" s="33" t="s">
        <v>3383</v>
      </c>
      <c r="AOH6" s="33" t="s">
        <v>3384</v>
      </c>
      <c r="AOI6" s="33" t="s">
        <v>3385</v>
      </c>
      <c r="AOJ6" s="33" t="s">
        <v>3386</v>
      </c>
      <c r="AOK6" s="33" t="s">
        <v>3387</v>
      </c>
      <c r="AOL6" s="33" t="s">
        <v>3388</v>
      </c>
      <c r="AOM6" s="33" t="s">
        <v>3389</v>
      </c>
      <c r="AON6" s="33" t="s">
        <v>3390</v>
      </c>
      <c r="AOO6" s="33" t="s">
        <v>3391</v>
      </c>
      <c r="AOP6" s="33" t="s">
        <v>3392</v>
      </c>
      <c r="AOQ6" s="33" t="s">
        <v>3393</v>
      </c>
      <c r="AOR6" s="33" t="s">
        <v>3394</v>
      </c>
      <c r="AOS6" s="33" t="s">
        <v>3395</v>
      </c>
      <c r="AOT6" s="33" t="s">
        <v>3396</v>
      </c>
      <c r="AOU6" s="33" t="s">
        <v>3397</v>
      </c>
      <c r="AOV6" s="33" t="s">
        <v>3398</v>
      </c>
      <c r="AOW6" s="33" t="s">
        <v>3399</v>
      </c>
      <c r="AOX6" s="33" t="s">
        <v>3400</v>
      </c>
      <c r="AOY6" s="33" t="s">
        <v>3401</v>
      </c>
      <c r="AOZ6" s="33" t="s">
        <v>3402</v>
      </c>
      <c r="APA6" s="33" t="s">
        <v>3403</v>
      </c>
      <c r="APB6" s="33" t="s">
        <v>3404</v>
      </c>
      <c r="APC6" s="33" t="s">
        <v>3405</v>
      </c>
      <c r="APD6" s="33" t="s">
        <v>3406</v>
      </c>
      <c r="APE6" s="33" t="s">
        <v>3407</v>
      </c>
      <c r="APF6" s="33" t="s">
        <v>3408</v>
      </c>
      <c r="APG6" s="33" t="s">
        <v>3409</v>
      </c>
      <c r="APH6" s="33" t="s">
        <v>3410</v>
      </c>
      <c r="API6" s="33" t="s">
        <v>3411</v>
      </c>
      <c r="APJ6" s="33" t="s">
        <v>3412</v>
      </c>
      <c r="APK6" s="33" t="s">
        <v>3413</v>
      </c>
      <c r="APL6" s="33" t="s">
        <v>3414</v>
      </c>
      <c r="APM6" s="33" t="s">
        <v>3415</v>
      </c>
      <c r="APN6" s="33" t="s">
        <v>3416</v>
      </c>
      <c r="APO6" s="33" t="s">
        <v>3417</v>
      </c>
      <c r="APP6" s="33" t="s">
        <v>3418</v>
      </c>
      <c r="APQ6" s="33" t="s">
        <v>3419</v>
      </c>
      <c r="APR6" s="33" t="s">
        <v>3420</v>
      </c>
      <c r="APS6" s="33" t="s">
        <v>3421</v>
      </c>
      <c r="APT6" s="33" t="s">
        <v>3422</v>
      </c>
      <c r="APU6" s="33" t="s">
        <v>3423</v>
      </c>
      <c r="APV6" s="33" t="s">
        <v>3424</v>
      </c>
      <c r="APW6" s="33" t="s">
        <v>3425</v>
      </c>
      <c r="APX6" s="33" t="s">
        <v>3426</v>
      </c>
      <c r="APY6" s="33" t="s">
        <v>3427</v>
      </c>
      <c r="APZ6" s="33" t="s">
        <v>3428</v>
      </c>
      <c r="AQA6" s="33" t="s">
        <v>3429</v>
      </c>
      <c r="AQB6" s="33" t="s">
        <v>3430</v>
      </c>
      <c r="AQC6" s="33" t="s">
        <v>3431</v>
      </c>
      <c r="AQD6" s="33" t="s">
        <v>3432</v>
      </c>
      <c r="AQE6" s="33" t="s">
        <v>3433</v>
      </c>
      <c r="AQF6" s="33" t="s">
        <v>3434</v>
      </c>
      <c r="AQG6" s="33" t="s">
        <v>3435</v>
      </c>
      <c r="AQH6" s="33" t="s">
        <v>3436</v>
      </c>
      <c r="AQI6" s="33" t="s">
        <v>3437</v>
      </c>
      <c r="AQJ6" s="33" t="s">
        <v>3438</v>
      </c>
      <c r="AQK6" s="33" t="s">
        <v>3439</v>
      </c>
      <c r="AQL6" s="33" t="s">
        <v>3440</v>
      </c>
      <c r="AQM6" s="33" t="s">
        <v>3441</v>
      </c>
      <c r="AQN6" s="33" t="s">
        <v>3442</v>
      </c>
      <c r="AQO6" s="33" t="s">
        <v>3443</v>
      </c>
      <c r="AQP6" s="33" t="s">
        <v>3444</v>
      </c>
      <c r="AQQ6" s="33" t="s">
        <v>3445</v>
      </c>
      <c r="AQR6" s="33" t="s">
        <v>3446</v>
      </c>
      <c r="AQS6" s="33" t="s">
        <v>3447</v>
      </c>
      <c r="AQT6" s="33" t="s">
        <v>3448</v>
      </c>
      <c r="AQU6" s="33" t="s">
        <v>3449</v>
      </c>
      <c r="AQV6" s="33" t="s">
        <v>3450</v>
      </c>
      <c r="AQW6" s="33" t="s">
        <v>3451</v>
      </c>
      <c r="AQX6" s="33" t="s">
        <v>3452</v>
      </c>
      <c r="AQY6" s="33" t="s">
        <v>3453</v>
      </c>
      <c r="AQZ6" s="33" t="s">
        <v>3454</v>
      </c>
      <c r="ARA6" s="33" t="s">
        <v>3455</v>
      </c>
      <c r="ARB6" s="33" t="s">
        <v>3456</v>
      </c>
      <c r="ARC6" s="33" t="s">
        <v>3457</v>
      </c>
      <c r="ARD6" s="33" t="s">
        <v>3458</v>
      </c>
      <c r="ARE6" s="33" t="s">
        <v>3459</v>
      </c>
      <c r="ARF6" s="33" t="s">
        <v>3460</v>
      </c>
      <c r="ARG6" s="33" t="s">
        <v>3461</v>
      </c>
      <c r="ARH6" s="33" t="s">
        <v>3462</v>
      </c>
      <c r="ARI6" s="33" t="s">
        <v>3463</v>
      </c>
      <c r="ARJ6" s="33" t="s">
        <v>3464</v>
      </c>
      <c r="ARK6" s="33" t="s">
        <v>3465</v>
      </c>
      <c r="ARL6" s="33" t="s">
        <v>3466</v>
      </c>
      <c r="ARM6" s="33" t="s">
        <v>3467</v>
      </c>
      <c r="ARN6" s="33" t="s">
        <v>3468</v>
      </c>
      <c r="ARO6" s="33" t="s">
        <v>3469</v>
      </c>
      <c r="ARP6" s="33" t="s">
        <v>3470</v>
      </c>
      <c r="ARQ6" s="33" t="s">
        <v>3471</v>
      </c>
      <c r="ARR6" s="33" t="s">
        <v>3472</v>
      </c>
      <c r="ARS6" s="33" t="s">
        <v>3473</v>
      </c>
      <c r="ART6" s="33" t="s">
        <v>3474</v>
      </c>
      <c r="ARU6" s="33" t="s">
        <v>3475</v>
      </c>
      <c r="ARV6" s="33" t="s">
        <v>3476</v>
      </c>
      <c r="ARW6" s="33" t="s">
        <v>3477</v>
      </c>
      <c r="ARX6" s="33" t="s">
        <v>3478</v>
      </c>
      <c r="ARY6" s="33" t="s">
        <v>3479</v>
      </c>
      <c r="ARZ6" s="33" t="s">
        <v>3480</v>
      </c>
      <c r="ASA6" s="33" t="s">
        <v>3481</v>
      </c>
      <c r="ASB6" s="33" t="s">
        <v>3482</v>
      </c>
      <c r="ASC6" s="33" t="s">
        <v>3483</v>
      </c>
      <c r="ASD6" s="33" t="s">
        <v>3484</v>
      </c>
      <c r="ASE6" s="33" t="s">
        <v>3485</v>
      </c>
      <c r="ASF6" s="33" t="s">
        <v>3486</v>
      </c>
      <c r="ASG6" s="33" t="s">
        <v>3487</v>
      </c>
      <c r="ASH6" s="33" t="s">
        <v>3488</v>
      </c>
      <c r="ASI6" s="33" t="s">
        <v>3489</v>
      </c>
      <c r="ASJ6" s="33" t="s">
        <v>3490</v>
      </c>
      <c r="ASK6" s="33" t="s">
        <v>3491</v>
      </c>
      <c r="ASL6" s="33" t="s">
        <v>3492</v>
      </c>
      <c r="ASM6" s="33" t="s">
        <v>3493</v>
      </c>
      <c r="ASN6" s="33" t="s">
        <v>3494</v>
      </c>
      <c r="ASO6" s="33" t="s">
        <v>3495</v>
      </c>
      <c r="ASP6" s="33" t="s">
        <v>3496</v>
      </c>
      <c r="ASQ6" s="33" t="s">
        <v>3497</v>
      </c>
      <c r="ASR6" s="33" t="s">
        <v>3498</v>
      </c>
      <c r="ASS6" s="33" t="s">
        <v>3499</v>
      </c>
      <c r="AST6" s="33" t="s">
        <v>3500</v>
      </c>
      <c r="ASU6" s="33" t="s">
        <v>3501</v>
      </c>
      <c r="ASV6" s="33" t="s">
        <v>3502</v>
      </c>
      <c r="ASW6" s="33" t="s">
        <v>3503</v>
      </c>
      <c r="ASX6" s="33" t="s">
        <v>3504</v>
      </c>
      <c r="ASY6" s="33" t="s">
        <v>3505</v>
      </c>
      <c r="ASZ6" s="33" t="s">
        <v>3506</v>
      </c>
      <c r="ATA6" s="33" t="s">
        <v>3507</v>
      </c>
      <c r="ATB6" s="33" t="s">
        <v>3508</v>
      </c>
      <c r="ATC6" s="33" t="s">
        <v>3509</v>
      </c>
      <c r="ATD6" s="33" t="s">
        <v>3510</v>
      </c>
      <c r="ATE6" s="33" t="s">
        <v>3511</v>
      </c>
      <c r="ATF6" s="33" t="s">
        <v>3512</v>
      </c>
      <c r="ATG6" s="33" t="s">
        <v>3513</v>
      </c>
      <c r="ATH6" s="33" t="s">
        <v>3514</v>
      </c>
      <c r="ATI6" s="33" t="s">
        <v>3515</v>
      </c>
      <c r="ATJ6" s="33" t="s">
        <v>3516</v>
      </c>
      <c r="ATK6" s="33" t="s">
        <v>3517</v>
      </c>
      <c r="ATL6" s="33" t="s">
        <v>3518</v>
      </c>
      <c r="ATM6" s="33" t="s">
        <v>3519</v>
      </c>
      <c r="ATN6" s="33" t="s">
        <v>3520</v>
      </c>
      <c r="ATO6" s="33" t="s">
        <v>3521</v>
      </c>
      <c r="ATP6" s="33" t="s">
        <v>3522</v>
      </c>
      <c r="ATQ6" s="33" t="s">
        <v>3523</v>
      </c>
      <c r="ATR6" s="33" t="s">
        <v>3524</v>
      </c>
      <c r="ATS6" s="33" t="s">
        <v>3525</v>
      </c>
      <c r="ATT6" s="33" t="s">
        <v>3526</v>
      </c>
      <c r="ATU6" s="33" t="s">
        <v>3527</v>
      </c>
      <c r="ATV6" s="33" t="s">
        <v>3528</v>
      </c>
      <c r="ATW6" s="33" t="s">
        <v>3529</v>
      </c>
      <c r="ATX6" s="33" t="s">
        <v>3530</v>
      </c>
      <c r="ATY6" s="33" t="s">
        <v>3531</v>
      </c>
      <c r="ATZ6" s="33" t="s">
        <v>3532</v>
      </c>
      <c r="AUA6" s="33" t="s">
        <v>3533</v>
      </c>
      <c r="AUB6" s="33" t="s">
        <v>3534</v>
      </c>
      <c r="AUC6" s="33" t="s">
        <v>3535</v>
      </c>
      <c r="AUD6" s="33" t="s">
        <v>3536</v>
      </c>
      <c r="AUE6" s="33" t="s">
        <v>3537</v>
      </c>
      <c r="AUF6" s="33" t="s">
        <v>3538</v>
      </c>
      <c r="AUG6" s="33" t="s">
        <v>3539</v>
      </c>
      <c r="AUH6" s="33" t="s">
        <v>3540</v>
      </c>
      <c r="AUI6" s="33" t="s">
        <v>3541</v>
      </c>
      <c r="AUJ6" s="33" t="s">
        <v>3542</v>
      </c>
      <c r="AUK6" s="33" t="s">
        <v>3543</v>
      </c>
      <c r="AUL6" s="33" t="s">
        <v>3544</v>
      </c>
      <c r="AUM6" s="33" t="s">
        <v>3545</v>
      </c>
      <c r="AUN6" s="33" t="s">
        <v>3546</v>
      </c>
      <c r="AUO6" s="33" t="s">
        <v>3547</v>
      </c>
      <c r="AUP6" s="33" t="s">
        <v>3548</v>
      </c>
      <c r="AUQ6" s="33" t="s">
        <v>3549</v>
      </c>
      <c r="AUR6" s="33" t="s">
        <v>3550</v>
      </c>
      <c r="AUS6" s="33" t="s">
        <v>3551</v>
      </c>
      <c r="AUT6" s="33" t="s">
        <v>3552</v>
      </c>
      <c r="AUU6" s="33" t="s">
        <v>3553</v>
      </c>
      <c r="AUV6" s="33" t="s">
        <v>3554</v>
      </c>
      <c r="AUW6" s="33" t="s">
        <v>3555</v>
      </c>
      <c r="AUX6" s="33" t="s">
        <v>3556</v>
      </c>
      <c r="AUY6" s="33" t="s">
        <v>3557</v>
      </c>
      <c r="AUZ6" s="33" t="s">
        <v>3558</v>
      </c>
      <c r="AVA6" s="33" t="s">
        <v>3559</v>
      </c>
      <c r="AVB6" s="33" t="s">
        <v>3560</v>
      </c>
      <c r="AVC6" s="33" t="s">
        <v>3561</v>
      </c>
      <c r="AVD6" s="33" t="s">
        <v>3562</v>
      </c>
      <c r="AVE6" s="33" t="s">
        <v>3563</v>
      </c>
      <c r="AVF6" s="33" t="s">
        <v>3564</v>
      </c>
      <c r="AVG6" s="33" t="s">
        <v>3565</v>
      </c>
      <c r="AVH6" s="33" t="s">
        <v>3566</v>
      </c>
      <c r="AVI6" s="33" t="s">
        <v>3567</v>
      </c>
      <c r="AVJ6" s="33" t="s">
        <v>3568</v>
      </c>
      <c r="AVK6" s="33" t="s">
        <v>3569</v>
      </c>
      <c r="AVL6" s="33" t="s">
        <v>3570</v>
      </c>
      <c r="AVM6" s="33" t="s">
        <v>3571</v>
      </c>
      <c r="AVN6" s="33" t="s">
        <v>3572</v>
      </c>
      <c r="AVO6" s="33" t="s">
        <v>3573</v>
      </c>
      <c r="AVP6" s="33" t="s">
        <v>3574</v>
      </c>
      <c r="AVQ6" s="33" t="s">
        <v>3575</v>
      </c>
      <c r="AVR6" s="33" t="s">
        <v>3576</v>
      </c>
      <c r="AVS6" s="33" t="s">
        <v>3577</v>
      </c>
      <c r="AVT6" s="33" t="s">
        <v>3578</v>
      </c>
      <c r="AVU6" s="33" t="s">
        <v>3579</v>
      </c>
      <c r="AVV6" s="33" t="s">
        <v>3580</v>
      </c>
      <c r="AVW6" s="33" t="s">
        <v>3581</v>
      </c>
      <c r="AVX6" s="33" t="s">
        <v>3582</v>
      </c>
      <c r="AVY6" s="33" t="s">
        <v>3583</v>
      </c>
      <c r="AVZ6" s="33" t="s">
        <v>3584</v>
      </c>
      <c r="AWA6" s="33" t="s">
        <v>3585</v>
      </c>
      <c r="AWB6" s="33" t="s">
        <v>3586</v>
      </c>
      <c r="AWC6" s="33" t="s">
        <v>3587</v>
      </c>
      <c r="AWD6" s="33" t="s">
        <v>3588</v>
      </c>
      <c r="AWE6" s="33" t="s">
        <v>3589</v>
      </c>
      <c r="AWF6" s="33" t="s">
        <v>3590</v>
      </c>
      <c r="AWG6" s="33" t="s">
        <v>3591</v>
      </c>
      <c r="AWH6" s="33" t="s">
        <v>3592</v>
      </c>
      <c r="AWI6" s="33" t="s">
        <v>3593</v>
      </c>
      <c r="AWJ6" s="33" t="s">
        <v>3594</v>
      </c>
      <c r="AWK6" s="33" t="s">
        <v>3595</v>
      </c>
      <c r="AWL6" s="33" t="s">
        <v>3596</v>
      </c>
      <c r="AWM6" s="33" t="s">
        <v>3597</v>
      </c>
      <c r="AWN6" s="33" t="s">
        <v>3598</v>
      </c>
      <c r="AWO6" s="33" t="s">
        <v>3599</v>
      </c>
      <c r="AWP6" s="33" t="s">
        <v>3600</v>
      </c>
      <c r="AWQ6" s="33" t="s">
        <v>3601</v>
      </c>
      <c r="AWR6" s="33" t="s">
        <v>3602</v>
      </c>
      <c r="AWS6" s="33" t="s">
        <v>3603</v>
      </c>
      <c r="AWT6" s="33" t="s">
        <v>3604</v>
      </c>
      <c r="AWU6" s="33" t="s">
        <v>3605</v>
      </c>
      <c r="AWV6" s="33" t="s">
        <v>3606</v>
      </c>
      <c r="AWW6" s="33" t="s">
        <v>3607</v>
      </c>
      <c r="AWX6" s="33" t="s">
        <v>3608</v>
      </c>
      <c r="AWY6" s="33" t="s">
        <v>3609</v>
      </c>
      <c r="AWZ6" s="33" t="s">
        <v>3610</v>
      </c>
      <c r="AXA6" s="33" t="s">
        <v>3611</v>
      </c>
      <c r="AXB6" s="33" t="s">
        <v>3612</v>
      </c>
      <c r="AXC6" s="33" t="s">
        <v>3613</v>
      </c>
      <c r="AXD6" s="33" t="s">
        <v>3614</v>
      </c>
      <c r="AXE6" s="33" t="s">
        <v>3615</v>
      </c>
      <c r="AXF6" s="33" t="s">
        <v>3616</v>
      </c>
      <c r="AXG6" s="33" t="s">
        <v>3617</v>
      </c>
      <c r="AXH6" s="33" t="s">
        <v>3618</v>
      </c>
      <c r="AXI6" s="33" t="s">
        <v>3619</v>
      </c>
      <c r="AXJ6" s="33" t="s">
        <v>3620</v>
      </c>
      <c r="AXK6" s="33" t="s">
        <v>3621</v>
      </c>
      <c r="AXL6" s="33" t="s">
        <v>3622</v>
      </c>
      <c r="AXM6" s="33" t="s">
        <v>3623</v>
      </c>
      <c r="AXN6" s="33" t="s">
        <v>3624</v>
      </c>
      <c r="AXO6" s="33" t="s">
        <v>3625</v>
      </c>
      <c r="AXP6" s="33" t="s">
        <v>3626</v>
      </c>
      <c r="AXQ6" s="33" t="s">
        <v>3627</v>
      </c>
      <c r="AXR6" s="33" t="s">
        <v>3628</v>
      </c>
      <c r="AXS6" s="33" t="s">
        <v>3629</v>
      </c>
      <c r="AXT6" s="33" t="s">
        <v>3630</v>
      </c>
      <c r="AXU6" s="33" t="s">
        <v>3631</v>
      </c>
      <c r="AXV6" s="33" t="s">
        <v>3632</v>
      </c>
      <c r="AXW6" s="33" t="s">
        <v>3633</v>
      </c>
      <c r="AXX6" s="33" t="s">
        <v>3634</v>
      </c>
      <c r="AXY6" s="33" t="s">
        <v>3635</v>
      </c>
      <c r="AXZ6" s="33" t="s">
        <v>3636</v>
      </c>
      <c r="AYA6" s="33" t="s">
        <v>3637</v>
      </c>
      <c r="AYB6" s="33" t="s">
        <v>3638</v>
      </c>
      <c r="AYC6" s="33" t="s">
        <v>3639</v>
      </c>
      <c r="AYD6" s="33" t="s">
        <v>3640</v>
      </c>
      <c r="AYE6" s="33" t="s">
        <v>3641</v>
      </c>
      <c r="AYF6" s="33" t="s">
        <v>3642</v>
      </c>
      <c r="AYG6" s="33" t="s">
        <v>3643</v>
      </c>
      <c r="AYH6" s="33" t="s">
        <v>3644</v>
      </c>
      <c r="AYI6" s="33" t="s">
        <v>3645</v>
      </c>
      <c r="AYJ6" s="33" t="s">
        <v>3646</v>
      </c>
      <c r="AYK6" s="33" t="s">
        <v>3647</v>
      </c>
      <c r="AYL6" s="33" t="s">
        <v>3648</v>
      </c>
      <c r="AYM6" s="33" t="s">
        <v>3649</v>
      </c>
      <c r="AYN6" s="33" t="s">
        <v>3650</v>
      </c>
      <c r="AYO6" s="33" t="s">
        <v>3651</v>
      </c>
      <c r="AYP6" s="33" t="s">
        <v>3652</v>
      </c>
      <c r="AYQ6" s="33" t="s">
        <v>3653</v>
      </c>
    </row>
    <row r="7" customFormat="false" ht="15" hidden="false" customHeight="false" outlineLevel="0" collapsed="false">
      <c r="A7" s="20" t="s">
        <v>3654</v>
      </c>
      <c r="B7" s="20" t="n">
        <v>-1</v>
      </c>
      <c r="C7" s="20" t="n">
        <v>1</v>
      </c>
      <c r="D7" s="20" t="n">
        <f aca="false">F_Age</f>
        <v>38</v>
      </c>
      <c r="E7" s="20" t="n">
        <f aca="false">AS_Year0</f>
        <v>2026</v>
      </c>
      <c r="F7" s="20" t="n">
        <v>1</v>
      </c>
      <c r="G7" s="59" t="n">
        <f aca="true">IF(MAX(TODAY(),DATE(E7,1,1))&gt;=H_CGTfrom,H_CGT1,H_CGT0)</f>
        <v>0.31</v>
      </c>
      <c r="H7" s="20" t="n">
        <f aca="false">H_Exempt*H_Persons</f>
        <v>1270</v>
      </c>
      <c r="I7" s="57" t="n">
        <f aca="false">H_CapLoss</f>
        <v>0</v>
      </c>
      <c r="J7" s="60" t="n">
        <f aca="false">'Plan goals'!J75</f>
        <v>4000</v>
      </c>
      <c r="K7" s="60" t="n">
        <f aca="false">H_Sav0</f>
        <v>0</v>
      </c>
      <c r="L7" s="20" t="n">
        <v>0</v>
      </c>
      <c r="M7" s="20" t="n">
        <v>0</v>
      </c>
      <c r="N7" s="20" t="n">
        <v>0</v>
      </c>
      <c r="O7" s="20" t="n">
        <v>0</v>
      </c>
      <c r="P7" s="20" t="n">
        <v>0</v>
      </c>
      <c r="Q7" s="20" t="n">
        <v>0</v>
      </c>
      <c r="R7" s="20" t="n">
        <f aca="false">(1-H_Sh)*Q7</f>
        <v>0</v>
      </c>
      <c r="S7" s="20" t="n">
        <f aca="false">H_Sh*Q7</f>
        <v>0</v>
      </c>
      <c r="T7" s="20" t="n">
        <f aca="false">J7+K7+O7</f>
        <v>4000</v>
      </c>
      <c r="U7" s="20" t="n">
        <f aca="false">T7+R7</f>
        <v>4000</v>
      </c>
      <c r="V7" s="60" t="n">
        <f aca="false">SUM(FE7:IQ7)</f>
        <v>6200</v>
      </c>
      <c r="W7" s="60" t="n">
        <f aca="false">IF(AJ7&lt;=0,0,IF(AL7&lt;=0,AJ7,AJ7-G7*MAX(0,AL7*AJ7-(AY7+AZ7))))</f>
        <v>0</v>
      </c>
      <c r="X7" s="60" t="n">
        <f aca="false">IF(AR7&lt;=0,0,IF(AT7&lt;=0,AR7,AR7-G7*MAX(0,AT7*AR7-(BA7+BB7))))</f>
        <v>0</v>
      </c>
      <c r="Y7" s="60" t="n">
        <f aca="false">T7+V7-S7+W7+X7</f>
        <v>10200</v>
      </c>
      <c r="Z7" s="60" t="n">
        <f aca="false">'Plan goals'!J78+'Plan goals'!J79</f>
        <v>10200</v>
      </c>
      <c r="AA7" s="20" t="n">
        <f aca="false">'Plan goals'!J78</f>
        <v>4000</v>
      </c>
      <c r="AB7" s="20" t="n">
        <f aca="false">'Plan goals'!J79</f>
        <v>6200</v>
      </c>
      <c r="AC7" s="20" t="n">
        <f aca="false">MIN(AA7,J7+O7+R7)</f>
        <v>4000</v>
      </c>
      <c r="AD7" s="20" t="n">
        <f aca="false">AA7-AC7</f>
        <v>0</v>
      </c>
      <c r="AE7" s="20" t="n">
        <f aca="false">J7+O7+R7-AC7</f>
        <v>0</v>
      </c>
      <c r="AF7" s="20" t="n">
        <f aca="false">K7-AD7</f>
        <v>0</v>
      </c>
      <c r="AG7" s="20" t="n">
        <f aca="false">SUM(PR7:TD7)</f>
        <v>6200</v>
      </c>
      <c r="AH7" s="20" t="n">
        <f aca="false">SUM(TE7:WQ7)</f>
        <v>6200</v>
      </c>
      <c r="AI7" s="20" t="n">
        <f aca="false">MAX(0,AB7-AG7)</f>
        <v>0</v>
      </c>
      <c r="AJ7" s="57" t="n">
        <f aca="false">H_Oth0</f>
        <v>0</v>
      </c>
      <c r="AK7" s="57" t="n">
        <f aca="false">H_OthB0</f>
        <v>0</v>
      </c>
      <c r="AL7" s="20" t="n">
        <f aca="false">IF(AJ7&gt;0,(AJ7-AK7)/AJ7,0)</f>
        <v>0</v>
      </c>
      <c r="AM7" s="20" t="n">
        <f aca="false">IF(AJ7&lt;=0,0,IF(AL7&lt;=0,MIN(AI7,AJ7),MIN(AI7,AJ7-G7*MAX(0,AL7*AJ7-(AAD7+ADQ7)))))</f>
        <v>0</v>
      </c>
      <c r="AN7" s="20" t="n">
        <f aca="false">IF(AJ7&lt;=0,0,IF(AL7&lt;=0,AM7,IF(AM7&lt;=(AAD7+ADQ7)/AL7,AM7,(AM7-G7*(AAD7+ADQ7))/(1-G7*AL7))))</f>
        <v>0</v>
      </c>
      <c r="AO7" s="20" t="n">
        <f aca="false">IF(AL7&gt;0,MAX(0,AAD7-(MIN(AL7*AN7,(AAD7+ADQ7))-MIN(MIN(AL7*AN7,(AAD7+ADQ7)),ADQ7))),AAD7)</f>
        <v>1270</v>
      </c>
      <c r="AP7" s="20" t="n">
        <f aca="false">IF(AL7&lt;=0,ADQ7-AL7*AN7,ADQ7-MIN(MIN(AL7*AN7,(AAD7+ADQ7)),ADQ7))</f>
        <v>0</v>
      </c>
      <c r="AQ7" s="20" t="n">
        <f aca="false">MAX(0,AI7-AM7)</f>
        <v>0</v>
      </c>
      <c r="AR7" s="57" t="n">
        <f aca="false">H_Alt0</f>
        <v>0</v>
      </c>
      <c r="AS7" s="57" t="n">
        <f aca="false">H_AltB0</f>
        <v>0</v>
      </c>
      <c r="AT7" s="20" t="n">
        <f aca="false">IF(AR7&gt;0,(AR7-AS7)/AR7,0)</f>
        <v>0</v>
      </c>
      <c r="AU7" s="20" t="n">
        <f aca="false">IF(AR7&lt;=0,0,IF(AT7&lt;=0,MIN(AQ7,AR7),MIN(AQ7,AR7-G7*MAX(0,AT7*AR7-(AO7+AP7)))))</f>
        <v>0</v>
      </c>
      <c r="AV7" s="20" t="n">
        <f aca="false">IF(AR7&lt;=0,0,IF(AT7&lt;=0,AU7,IF(AU7&lt;=(AO7+AP7)/AT7,AU7,(AU7-G7*(AO7+AP7))/(1-G7*AT7))))</f>
        <v>0</v>
      </c>
      <c r="AW7" s="20" t="n">
        <f aca="false">IF(AT7&gt;0,MAX(0,AO7-(MIN(AT7*AV7,(AO7+AP7))-MIN(MIN(AT7*AV7,(AO7+AP7)),AP7))),AO7)</f>
        <v>1270</v>
      </c>
      <c r="AX7" s="20" t="n">
        <f aca="false">IF(AT7&lt;=0,AP7-AT7*AV7,AP7-MIN(MIN(AT7*AV7,(AO7+AP7)),AP7))</f>
        <v>0</v>
      </c>
      <c r="AY7" s="20" t="n">
        <f aca="false">MD7</f>
        <v>1270</v>
      </c>
      <c r="AZ7" s="57" t="n">
        <f aca="false">PQ7</f>
        <v>0</v>
      </c>
      <c r="BA7" s="20" t="n">
        <f aca="false">IF(AL7&gt;0,MAX(0,AY7-(MIN(AL7*AJ7,AY7+AZ7)-MIN(MIN(AL7*AJ7,AY7+AZ7),AZ7))),AY7)</f>
        <v>1270</v>
      </c>
      <c r="BB7" s="20" t="n">
        <f aca="false">IF(AL7&lt;=0,AZ7-AL7*AJ7,AZ7-MIN(MIN(AL7*AJ7,AY7+AZ7),AZ7))</f>
        <v>0</v>
      </c>
      <c r="BC7" s="20" t="n">
        <v>0</v>
      </c>
      <c r="BD7" s="20" t="n">
        <f aca="false">(1-H_Sh)*BC7</f>
        <v>0</v>
      </c>
      <c r="BE7" s="20" t="n">
        <f aca="false">H_Sh*BC7</f>
        <v>0</v>
      </c>
      <c r="BF7" s="60" t="n">
        <f aca="false">(AE7+BD7)</f>
        <v>0</v>
      </c>
      <c r="BG7" s="60" t="n">
        <f aca="false">AF7</f>
        <v>0</v>
      </c>
      <c r="BH7" s="60" t="n">
        <f aca="false">SUM(AKR7:AOD7)</f>
        <v>0</v>
      </c>
      <c r="BI7" s="60" t="n">
        <f aca="false">(AJ7-AN7)</f>
        <v>0</v>
      </c>
      <c r="BJ7" s="20" t="n">
        <f aca="false">IF(AJ7&gt;0,AK7-AK7*AN7/AJ7,0)</f>
        <v>0</v>
      </c>
      <c r="BK7" s="60" t="n">
        <f aca="false">(AR7-AV7)</f>
        <v>0</v>
      </c>
      <c r="BL7" s="20" t="n">
        <f aca="false">IF(AR7&gt;0,AS7-AS7*AV7/AR7,0)</f>
        <v>0</v>
      </c>
      <c r="BM7" s="60" t="n">
        <f aca="false">BF7+BG7+BH7+BI7+BK7</f>
        <v>0</v>
      </c>
      <c r="BN7" s="60" t="n">
        <f aca="false">(AH7-AG7)+(AN7-AM7)+(AV7-AU7)</f>
        <v>0</v>
      </c>
      <c r="BO7" s="20" t="n">
        <v>0</v>
      </c>
      <c r="BP7" s="60" t="n">
        <f aca="false">SUM(AVE7:AYQ7)</f>
        <v>0</v>
      </c>
      <c r="BQ7" s="54" t="n">
        <f aca="false">IF(H_TaxEvt=1,H_InvG,AS_Inv)</f>
        <v>0.04</v>
      </c>
      <c r="BR7" s="20" t="n">
        <f aca="false">IF(H_Inv0&gt;0,(H_Inv0-H_InvB0)/H_Inv0,0)</f>
        <v>0</v>
      </c>
      <c r="BS7" s="20" t="n">
        <v>0</v>
      </c>
      <c r="BT7" s="20" t="n">
        <v>0</v>
      </c>
      <c r="BU7" s="20" t="n">
        <v>0</v>
      </c>
      <c r="BV7" s="20" t="n">
        <v>0</v>
      </c>
      <c r="BW7" s="20" t="n">
        <v>0</v>
      </c>
      <c r="BX7" s="20" t="n">
        <v>0</v>
      </c>
      <c r="BY7" s="20" t="n">
        <v>0</v>
      </c>
      <c r="BZ7" s="20" t="n">
        <v>0</v>
      </c>
      <c r="CA7" s="20" t="n">
        <v>0</v>
      </c>
      <c r="CB7" s="20" t="n">
        <v>0</v>
      </c>
      <c r="CC7" s="20" t="n">
        <v>0</v>
      </c>
      <c r="CD7" s="20" t="n">
        <v>0</v>
      </c>
      <c r="CE7" s="20" t="n">
        <v>0</v>
      </c>
      <c r="CF7" s="20" t="n">
        <v>0</v>
      </c>
      <c r="CG7" s="20" t="n">
        <v>0</v>
      </c>
      <c r="CH7" s="20" t="n">
        <v>0</v>
      </c>
      <c r="CI7" s="20" t="n">
        <v>0</v>
      </c>
      <c r="CJ7" s="20" t="n">
        <v>0</v>
      </c>
      <c r="CK7" s="20" t="n">
        <v>0</v>
      </c>
      <c r="CL7" s="20" t="n">
        <v>0</v>
      </c>
      <c r="CM7" s="20" t="n">
        <v>0</v>
      </c>
      <c r="CN7" s="20" t="n">
        <v>0</v>
      </c>
      <c r="CO7" s="20" t="n">
        <v>0</v>
      </c>
      <c r="CP7" s="20" t="n">
        <v>0</v>
      </c>
      <c r="CQ7" s="20" t="n">
        <v>0</v>
      </c>
      <c r="CR7" s="20" t="n">
        <v>0</v>
      </c>
      <c r="CS7" s="20" t="n">
        <v>0</v>
      </c>
      <c r="CT7" s="20" t="n">
        <v>0</v>
      </c>
      <c r="CU7" s="20" t="n">
        <v>0</v>
      </c>
      <c r="CV7" s="20" t="n">
        <v>0</v>
      </c>
      <c r="CW7" s="20" t="n">
        <v>0</v>
      </c>
      <c r="CX7" s="20" t="n">
        <v>0</v>
      </c>
      <c r="CY7" s="20" t="n">
        <v>0</v>
      </c>
      <c r="CZ7" s="20" t="n">
        <v>0</v>
      </c>
      <c r="DA7" s="20" t="n">
        <v>0</v>
      </c>
      <c r="DB7" s="20" t="n">
        <v>0</v>
      </c>
      <c r="DC7" s="20" t="n">
        <v>0</v>
      </c>
      <c r="DD7" s="20" t="n">
        <v>0</v>
      </c>
      <c r="DE7" s="20" t="n">
        <v>0</v>
      </c>
      <c r="DF7" s="20" t="n">
        <v>0</v>
      </c>
      <c r="DG7" s="20" t="n">
        <v>0</v>
      </c>
      <c r="DH7" s="20" t="n">
        <v>0</v>
      </c>
      <c r="DI7" s="20" t="n">
        <v>0</v>
      </c>
      <c r="DJ7" s="20" t="n">
        <v>0</v>
      </c>
      <c r="DK7" s="20" t="n">
        <v>0</v>
      </c>
      <c r="DL7" s="20" t="n">
        <v>0</v>
      </c>
      <c r="DM7" s="20" t="n">
        <v>0</v>
      </c>
      <c r="DN7" s="20" t="n">
        <v>0</v>
      </c>
      <c r="DO7" s="20" t="n">
        <v>0</v>
      </c>
      <c r="DP7" s="20" t="n">
        <v>0</v>
      </c>
      <c r="DQ7" s="20" t="n">
        <v>0</v>
      </c>
      <c r="DR7" s="20" t="n">
        <v>0</v>
      </c>
      <c r="DS7" s="20" t="n">
        <v>0</v>
      </c>
      <c r="DT7" s="20" t="n">
        <v>0</v>
      </c>
      <c r="DU7" s="20" t="n">
        <v>0</v>
      </c>
      <c r="DV7" s="20" t="n">
        <v>0</v>
      </c>
      <c r="DW7" s="20" t="n">
        <v>0</v>
      </c>
      <c r="DX7" s="20" t="n">
        <v>0</v>
      </c>
      <c r="DY7" s="20" t="n">
        <v>0</v>
      </c>
      <c r="DZ7" s="20" t="n">
        <v>0</v>
      </c>
      <c r="EA7" s="20" t="n">
        <v>0</v>
      </c>
      <c r="EB7" s="20" t="n">
        <v>0</v>
      </c>
      <c r="EC7" s="20" t="n">
        <v>0</v>
      </c>
      <c r="ED7" s="20" t="n">
        <v>0</v>
      </c>
      <c r="EE7" s="20" t="n">
        <v>0</v>
      </c>
      <c r="EF7" s="20" t="n">
        <v>0</v>
      </c>
      <c r="EG7" s="20" t="n">
        <v>0</v>
      </c>
      <c r="EH7" s="20" t="n">
        <v>0</v>
      </c>
      <c r="EI7" s="20" t="n">
        <v>0</v>
      </c>
      <c r="EJ7" s="20" t="n">
        <v>0</v>
      </c>
      <c r="EK7" s="20" t="n">
        <v>0</v>
      </c>
      <c r="EL7" s="20" t="n">
        <v>0</v>
      </c>
      <c r="EM7" s="20" t="n">
        <v>0</v>
      </c>
      <c r="EN7" s="20" t="n">
        <v>0</v>
      </c>
      <c r="EO7" s="20" t="n">
        <v>0</v>
      </c>
      <c r="EP7" s="20" t="n">
        <v>0</v>
      </c>
      <c r="EQ7" s="20" t="n">
        <v>0</v>
      </c>
      <c r="ER7" s="20" t="n">
        <v>0</v>
      </c>
      <c r="ES7" s="20" t="n">
        <v>0</v>
      </c>
      <c r="ET7" s="20" t="n">
        <v>0</v>
      </c>
      <c r="EU7" s="20" t="n">
        <v>0</v>
      </c>
      <c r="EV7" s="20" t="n">
        <v>0</v>
      </c>
      <c r="EW7" s="20" t="n">
        <v>0</v>
      </c>
      <c r="EX7" s="20" t="n">
        <v>0</v>
      </c>
      <c r="EY7" s="20" t="n">
        <v>0</v>
      </c>
      <c r="EZ7" s="20" t="n">
        <v>0</v>
      </c>
      <c r="FA7" s="20" t="n">
        <v>0</v>
      </c>
      <c r="FB7" s="20" t="n">
        <v>0</v>
      </c>
      <c r="FC7" s="20" t="n">
        <v>0</v>
      </c>
      <c r="FD7" s="20" t="n">
        <v>0</v>
      </c>
      <c r="FE7" s="20" t="n">
        <f aca="false">IF(H_Direct=1,IF(H_Inv0&lt;=0,0,IF(BR7&lt;=0,H_Inv0,H_Inv0-G7*MAX(0,BR7*H_Inv0-(H7+I7)))),H_Inv0*(1-MAX(0,BR7)*H_Exit))</f>
        <v>6200</v>
      </c>
      <c r="FF7" s="20" t="n">
        <v>0</v>
      </c>
      <c r="FG7" s="20" t="n">
        <v>0</v>
      </c>
      <c r="FH7" s="20" t="n">
        <v>0</v>
      </c>
      <c r="FI7" s="20" t="n">
        <v>0</v>
      </c>
      <c r="FJ7" s="20" t="n">
        <v>0</v>
      </c>
      <c r="FK7" s="20" t="n">
        <v>0</v>
      </c>
      <c r="FL7" s="20" t="n">
        <v>0</v>
      </c>
      <c r="FM7" s="20" t="n">
        <v>0</v>
      </c>
      <c r="FN7" s="20" t="n">
        <v>0</v>
      </c>
      <c r="FO7" s="20" t="n">
        <v>0</v>
      </c>
      <c r="FP7" s="20" t="n">
        <v>0</v>
      </c>
      <c r="FQ7" s="20" t="n">
        <v>0</v>
      </c>
      <c r="FR7" s="20" t="n">
        <v>0</v>
      </c>
      <c r="FS7" s="20" t="n">
        <v>0</v>
      </c>
      <c r="FT7" s="20" t="n">
        <v>0</v>
      </c>
      <c r="FU7" s="20" t="n">
        <v>0</v>
      </c>
      <c r="FV7" s="20" t="n">
        <v>0</v>
      </c>
      <c r="FW7" s="20" t="n">
        <v>0</v>
      </c>
      <c r="FX7" s="20" t="n">
        <v>0</v>
      </c>
      <c r="FY7" s="20" t="n">
        <v>0</v>
      </c>
      <c r="FZ7" s="20" t="n">
        <v>0</v>
      </c>
      <c r="GA7" s="20" t="n">
        <v>0</v>
      </c>
      <c r="GB7" s="20" t="n">
        <v>0</v>
      </c>
      <c r="GC7" s="20" t="n">
        <v>0</v>
      </c>
      <c r="GD7" s="20" t="n">
        <v>0</v>
      </c>
      <c r="GE7" s="20" t="n">
        <v>0</v>
      </c>
      <c r="GF7" s="20" t="n">
        <v>0</v>
      </c>
      <c r="GG7" s="20" t="n">
        <v>0</v>
      </c>
      <c r="GH7" s="20" t="n">
        <v>0</v>
      </c>
      <c r="GI7" s="20" t="n">
        <v>0</v>
      </c>
      <c r="GJ7" s="20" t="n">
        <v>0</v>
      </c>
      <c r="GK7" s="20" t="n">
        <v>0</v>
      </c>
      <c r="GL7" s="20" t="n">
        <v>0</v>
      </c>
      <c r="GM7" s="20" t="n">
        <v>0</v>
      </c>
      <c r="GN7" s="20" t="n">
        <v>0</v>
      </c>
      <c r="GO7" s="20" t="n">
        <v>0</v>
      </c>
      <c r="GP7" s="20" t="n">
        <v>0</v>
      </c>
      <c r="GQ7" s="20" t="n">
        <v>0</v>
      </c>
      <c r="GR7" s="20" t="n">
        <v>0</v>
      </c>
      <c r="GS7" s="20" t="n">
        <v>0</v>
      </c>
      <c r="GT7" s="20" t="n">
        <v>0</v>
      </c>
      <c r="GU7" s="20" t="n">
        <v>0</v>
      </c>
      <c r="GV7" s="20" t="n">
        <v>0</v>
      </c>
      <c r="GW7" s="20" t="n">
        <v>0</v>
      </c>
      <c r="GX7" s="20" t="n">
        <v>0</v>
      </c>
      <c r="GY7" s="20" t="n">
        <v>0</v>
      </c>
      <c r="GZ7" s="20" t="n">
        <v>0</v>
      </c>
      <c r="HA7" s="20" t="n">
        <v>0</v>
      </c>
      <c r="HB7" s="20" t="n">
        <v>0</v>
      </c>
      <c r="HC7" s="20" t="n">
        <v>0</v>
      </c>
      <c r="HD7" s="20" t="n">
        <v>0</v>
      </c>
      <c r="HE7" s="20" t="n">
        <v>0</v>
      </c>
      <c r="HF7" s="20" t="n">
        <v>0</v>
      </c>
      <c r="HG7" s="20" t="n">
        <v>0</v>
      </c>
      <c r="HH7" s="20" t="n">
        <v>0</v>
      </c>
      <c r="HI7" s="20" t="n">
        <v>0</v>
      </c>
      <c r="HJ7" s="20" t="n">
        <v>0</v>
      </c>
      <c r="HK7" s="20" t="n">
        <v>0</v>
      </c>
      <c r="HL7" s="20" t="n">
        <v>0</v>
      </c>
      <c r="HM7" s="20" t="n">
        <v>0</v>
      </c>
      <c r="HN7" s="20" t="n">
        <v>0</v>
      </c>
      <c r="HO7" s="20" t="n">
        <v>0</v>
      </c>
      <c r="HP7" s="20" t="n">
        <v>0</v>
      </c>
      <c r="HQ7" s="20" t="n">
        <v>0</v>
      </c>
      <c r="HR7" s="20" t="n">
        <v>0</v>
      </c>
      <c r="HS7" s="20" t="n">
        <v>0</v>
      </c>
      <c r="HT7" s="20" t="n">
        <v>0</v>
      </c>
      <c r="HU7" s="20" t="n">
        <v>0</v>
      </c>
      <c r="HV7" s="20" t="n">
        <v>0</v>
      </c>
      <c r="HW7" s="20" t="n">
        <v>0</v>
      </c>
      <c r="HX7" s="20" t="n">
        <v>0</v>
      </c>
      <c r="HY7" s="20" t="n">
        <v>0</v>
      </c>
      <c r="HZ7" s="20" t="n">
        <v>0</v>
      </c>
      <c r="IA7" s="20" t="n">
        <v>0</v>
      </c>
      <c r="IB7" s="20" t="n">
        <v>0</v>
      </c>
      <c r="IC7" s="20" t="n">
        <v>0</v>
      </c>
      <c r="ID7" s="20" t="n">
        <v>0</v>
      </c>
      <c r="IE7" s="20" t="n">
        <v>0</v>
      </c>
      <c r="IF7" s="20" t="n">
        <v>0</v>
      </c>
      <c r="IG7" s="20" t="n">
        <v>0</v>
      </c>
      <c r="IH7" s="20" t="n">
        <v>0</v>
      </c>
      <c r="II7" s="20" t="n">
        <v>0</v>
      </c>
      <c r="IJ7" s="20" t="n">
        <v>0</v>
      </c>
      <c r="IK7" s="20" t="n">
        <v>0</v>
      </c>
      <c r="IL7" s="20" t="n">
        <v>0</v>
      </c>
      <c r="IM7" s="20" t="n">
        <v>0</v>
      </c>
      <c r="IN7" s="20" t="n">
        <v>0</v>
      </c>
      <c r="IO7" s="20" t="n">
        <v>0</v>
      </c>
      <c r="IP7" s="20" t="n">
        <v>0</v>
      </c>
      <c r="IQ7" s="20" t="n">
        <v>0</v>
      </c>
      <c r="IR7" s="20" t="n">
        <f aca="false">IF(AND(H_Direct=1,BR7&gt;0),MAX(0,H7-(MIN(BR7*H_Inv0,H7+I7)-MIN(MIN(BR7*H_Inv0,H7+I7),I7))),H7)</f>
        <v>1270</v>
      </c>
      <c r="IS7" s="20" t="n">
        <f aca="false">IR7</f>
        <v>1270</v>
      </c>
      <c r="IT7" s="20" t="n">
        <f aca="false">IS7</f>
        <v>1270</v>
      </c>
      <c r="IU7" s="20" t="n">
        <f aca="false">IT7</f>
        <v>1270</v>
      </c>
      <c r="IV7" s="20" t="n">
        <f aca="false">IU7</f>
        <v>1270</v>
      </c>
      <c r="IW7" s="20" t="n">
        <f aca="false">IV7</f>
        <v>1270</v>
      </c>
      <c r="IX7" s="20" t="n">
        <f aca="false">IW7</f>
        <v>1270</v>
      </c>
      <c r="IY7" s="20" t="n">
        <f aca="false">IX7</f>
        <v>1270</v>
      </c>
      <c r="IZ7" s="20" t="n">
        <f aca="false">IY7</f>
        <v>1270</v>
      </c>
      <c r="JA7" s="20" t="n">
        <f aca="false">IZ7</f>
        <v>1270</v>
      </c>
      <c r="JB7" s="20" t="n">
        <f aca="false">JA7</f>
        <v>1270</v>
      </c>
      <c r="JC7" s="20" t="n">
        <f aca="false">JB7</f>
        <v>1270</v>
      </c>
      <c r="JD7" s="20" t="n">
        <f aca="false">JC7</f>
        <v>1270</v>
      </c>
      <c r="JE7" s="20" t="n">
        <f aca="false">JD7</f>
        <v>1270</v>
      </c>
      <c r="JF7" s="20" t="n">
        <f aca="false">JE7</f>
        <v>1270</v>
      </c>
      <c r="JG7" s="20" t="n">
        <f aca="false">JF7</f>
        <v>1270</v>
      </c>
      <c r="JH7" s="20" t="n">
        <f aca="false">JG7</f>
        <v>1270</v>
      </c>
      <c r="JI7" s="20" t="n">
        <f aca="false">JH7</f>
        <v>1270</v>
      </c>
      <c r="JJ7" s="20" t="n">
        <f aca="false">JI7</f>
        <v>1270</v>
      </c>
      <c r="JK7" s="20" t="n">
        <f aca="false">JJ7</f>
        <v>1270</v>
      </c>
      <c r="JL7" s="20" t="n">
        <f aca="false">JK7</f>
        <v>1270</v>
      </c>
      <c r="JM7" s="20" t="n">
        <f aca="false">JL7</f>
        <v>1270</v>
      </c>
      <c r="JN7" s="20" t="n">
        <f aca="false">JM7</f>
        <v>1270</v>
      </c>
      <c r="JO7" s="20" t="n">
        <f aca="false">JN7</f>
        <v>1270</v>
      </c>
      <c r="JP7" s="20" t="n">
        <f aca="false">JO7</f>
        <v>1270</v>
      </c>
      <c r="JQ7" s="20" t="n">
        <f aca="false">JP7</f>
        <v>1270</v>
      </c>
      <c r="JR7" s="20" t="n">
        <f aca="false">JQ7</f>
        <v>1270</v>
      </c>
      <c r="JS7" s="20" t="n">
        <f aca="false">JR7</f>
        <v>1270</v>
      </c>
      <c r="JT7" s="20" t="n">
        <f aca="false">JS7</f>
        <v>1270</v>
      </c>
      <c r="JU7" s="20" t="n">
        <f aca="false">JT7</f>
        <v>1270</v>
      </c>
      <c r="JV7" s="20" t="n">
        <f aca="false">JU7</f>
        <v>1270</v>
      </c>
      <c r="JW7" s="20" t="n">
        <f aca="false">JV7</f>
        <v>1270</v>
      </c>
      <c r="JX7" s="20" t="n">
        <f aca="false">JW7</f>
        <v>1270</v>
      </c>
      <c r="JY7" s="20" t="n">
        <f aca="false">JX7</f>
        <v>1270</v>
      </c>
      <c r="JZ7" s="20" t="n">
        <f aca="false">JY7</f>
        <v>1270</v>
      </c>
      <c r="KA7" s="20" t="n">
        <f aca="false">JZ7</f>
        <v>1270</v>
      </c>
      <c r="KB7" s="20" t="n">
        <f aca="false">KA7</f>
        <v>1270</v>
      </c>
      <c r="KC7" s="20" t="n">
        <f aca="false">KB7</f>
        <v>1270</v>
      </c>
      <c r="KD7" s="20" t="n">
        <f aca="false">KC7</f>
        <v>1270</v>
      </c>
      <c r="KE7" s="20" t="n">
        <f aca="false">KD7</f>
        <v>1270</v>
      </c>
      <c r="KF7" s="20" t="n">
        <f aca="false">KE7</f>
        <v>1270</v>
      </c>
      <c r="KG7" s="20" t="n">
        <f aca="false">KF7</f>
        <v>1270</v>
      </c>
      <c r="KH7" s="20" t="n">
        <f aca="false">KG7</f>
        <v>1270</v>
      </c>
      <c r="KI7" s="20" t="n">
        <f aca="false">KH7</f>
        <v>1270</v>
      </c>
      <c r="KJ7" s="20" t="n">
        <f aca="false">KI7</f>
        <v>1270</v>
      </c>
      <c r="KK7" s="20" t="n">
        <f aca="false">KJ7</f>
        <v>1270</v>
      </c>
      <c r="KL7" s="20" t="n">
        <f aca="false">KK7</f>
        <v>1270</v>
      </c>
      <c r="KM7" s="20" t="n">
        <f aca="false">KL7</f>
        <v>1270</v>
      </c>
      <c r="KN7" s="20" t="n">
        <f aca="false">KM7</f>
        <v>1270</v>
      </c>
      <c r="KO7" s="20" t="n">
        <f aca="false">KN7</f>
        <v>1270</v>
      </c>
      <c r="KP7" s="20" t="n">
        <f aca="false">KO7</f>
        <v>1270</v>
      </c>
      <c r="KQ7" s="20" t="n">
        <f aca="false">KP7</f>
        <v>1270</v>
      </c>
      <c r="KR7" s="20" t="n">
        <f aca="false">KQ7</f>
        <v>1270</v>
      </c>
      <c r="KS7" s="20" t="n">
        <f aca="false">KR7</f>
        <v>1270</v>
      </c>
      <c r="KT7" s="20" t="n">
        <f aca="false">KS7</f>
        <v>1270</v>
      </c>
      <c r="KU7" s="20" t="n">
        <f aca="false">KT7</f>
        <v>1270</v>
      </c>
      <c r="KV7" s="20" t="n">
        <f aca="false">KU7</f>
        <v>1270</v>
      </c>
      <c r="KW7" s="20" t="n">
        <f aca="false">KV7</f>
        <v>1270</v>
      </c>
      <c r="KX7" s="20" t="n">
        <f aca="false">KW7</f>
        <v>1270</v>
      </c>
      <c r="KY7" s="20" t="n">
        <f aca="false">KX7</f>
        <v>1270</v>
      </c>
      <c r="KZ7" s="20" t="n">
        <f aca="false">KY7</f>
        <v>1270</v>
      </c>
      <c r="LA7" s="20" t="n">
        <f aca="false">KZ7</f>
        <v>1270</v>
      </c>
      <c r="LB7" s="20" t="n">
        <f aca="false">LA7</f>
        <v>1270</v>
      </c>
      <c r="LC7" s="20" t="n">
        <f aca="false">LB7</f>
        <v>1270</v>
      </c>
      <c r="LD7" s="20" t="n">
        <f aca="false">LC7</f>
        <v>1270</v>
      </c>
      <c r="LE7" s="20" t="n">
        <f aca="false">LD7</f>
        <v>1270</v>
      </c>
      <c r="LF7" s="20" t="n">
        <f aca="false">LE7</f>
        <v>1270</v>
      </c>
      <c r="LG7" s="20" t="n">
        <f aca="false">LF7</f>
        <v>1270</v>
      </c>
      <c r="LH7" s="20" t="n">
        <f aca="false">LG7</f>
        <v>1270</v>
      </c>
      <c r="LI7" s="20" t="n">
        <f aca="false">LH7</f>
        <v>1270</v>
      </c>
      <c r="LJ7" s="20" t="n">
        <f aca="false">LI7</f>
        <v>1270</v>
      </c>
      <c r="LK7" s="20" t="n">
        <f aca="false">LJ7</f>
        <v>1270</v>
      </c>
      <c r="LL7" s="20" t="n">
        <f aca="false">LK7</f>
        <v>1270</v>
      </c>
      <c r="LM7" s="20" t="n">
        <f aca="false">LL7</f>
        <v>1270</v>
      </c>
      <c r="LN7" s="20" t="n">
        <f aca="false">LM7</f>
        <v>1270</v>
      </c>
      <c r="LO7" s="20" t="n">
        <f aca="false">LN7</f>
        <v>1270</v>
      </c>
      <c r="LP7" s="20" t="n">
        <f aca="false">LO7</f>
        <v>1270</v>
      </c>
      <c r="LQ7" s="20" t="n">
        <f aca="false">LP7</f>
        <v>1270</v>
      </c>
      <c r="LR7" s="20" t="n">
        <f aca="false">LQ7</f>
        <v>1270</v>
      </c>
      <c r="LS7" s="20" t="n">
        <f aca="false">LR7</f>
        <v>1270</v>
      </c>
      <c r="LT7" s="20" t="n">
        <f aca="false">LS7</f>
        <v>1270</v>
      </c>
      <c r="LU7" s="20" t="n">
        <f aca="false">LT7</f>
        <v>1270</v>
      </c>
      <c r="LV7" s="20" t="n">
        <f aca="false">LU7</f>
        <v>1270</v>
      </c>
      <c r="LW7" s="20" t="n">
        <f aca="false">LV7</f>
        <v>1270</v>
      </c>
      <c r="LX7" s="20" t="n">
        <f aca="false">LW7</f>
        <v>1270</v>
      </c>
      <c r="LY7" s="20" t="n">
        <f aca="false">LX7</f>
        <v>1270</v>
      </c>
      <c r="LZ7" s="20" t="n">
        <f aca="false">LY7</f>
        <v>1270</v>
      </c>
      <c r="MA7" s="20" t="n">
        <f aca="false">LZ7</f>
        <v>1270</v>
      </c>
      <c r="MB7" s="20" t="n">
        <f aca="false">MA7</f>
        <v>1270</v>
      </c>
      <c r="MC7" s="20" t="n">
        <f aca="false">MB7</f>
        <v>1270</v>
      </c>
      <c r="MD7" s="20" t="n">
        <f aca="false">MC7</f>
        <v>1270</v>
      </c>
      <c r="ME7" s="57" t="n">
        <f aca="false">IF(H_Direct=1,IF(BR7&lt;=0,I7-BR7*H_Inv0,I7-MIN(MIN(BR7*H_Inv0,H7+I7),I7)),I7)</f>
        <v>0</v>
      </c>
      <c r="MF7" s="57" t="n">
        <f aca="false">ME7</f>
        <v>0</v>
      </c>
      <c r="MG7" s="57" t="n">
        <f aca="false">MF7</f>
        <v>0</v>
      </c>
      <c r="MH7" s="57" t="n">
        <f aca="false">MG7</f>
        <v>0</v>
      </c>
      <c r="MI7" s="57" t="n">
        <f aca="false">MH7</f>
        <v>0</v>
      </c>
      <c r="MJ7" s="57" t="n">
        <f aca="false">MI7</f>
        <v>0</v>
      </c>
      <c r="MK7" s="57" t="n">
        <f aca="false">MJ7</f>
        <v>0</v>
      </c>
      <c r="ML7" s="57" t="n">
        <f aca="false">MK7</f>
        <v>0</v>
      </c>
      <c r="MM7" s="57" t="n">
        <f aca="false">ML7</f>
        <v>0</v>
      </c>
      <c r="MN7" s="57" t="n">
        <f aca="false">MM7</f>
        <v>0</v>
      </c>
      <c r="MO7" s="57" t="n">
        <f aca="false">MN7</f>
        <v>0</v>
      </c>
      <c r="MP7" s="57" t="n">
        <f aca="false">MO7</f>
        <v>0</v>
      </c>
      <c r="MQ7" s="57" t="n">
        <f aca="false">MP7</f>
        <v>0</v>
      </c>
      <c r="MR7" s="57" t="n">
        <f aca="false">MQ7</f>
        <v>0</v>
      </c>
      <c r="MS7" s="57" t="n">
        <f aca="false">MR7</f>
        <v>0</v>
      </c>
      <c r="MT7" s="57" t="n">
        <f aca="false">MS7</f>
        <v>0</v>
      </c>
      <c r="MU7" s="57" t="n">
        <f aca="false">MT7</f>
        <v>0</v>
      </c>
      <c r="MV7" s="57" t="n">
        <f aca="false">MU7</f>
        <v>0</v>
      </c>
      <c r="MW7" s="57" t="n">
        <f aca="false">MV7</f>
        <v>0</v>
      </c>
      <c r="MX7" s="57" t="n">
        <f aca="false">MW7</f>
        <v>0</v>
      </c>
      <c r="MY7" s="57" t="n">
        <f aca="false">MX7</f>
        <v>0</v>
      </c>
      <c r="MZ7" s="57" t="n">
        <f aca="false">MY7</f>
        <v>0</v>
      </c>
      <c r="NA7" s="57" t="n">
        <f aca="false">MZ7</f>
        <v>0</v>
      </c>
      <c r="NB7" s="57" t="n">
        <f aca="false">NA7</f>
        <v>0</v>
      </c>
      <c r="NC7" s="57" t="n">
        <f aca="false">NB7</f>
        <v>0</v>
      </c>
      <c r="ND7" s="57" t="n">
        <f aca="false">NC7</f>
        <v>0</v>
      </c>
      <c r="NE7" s="57" t="n">
        <f aca="false">ND7</f>
        <v>0</v>
      </c>
      <c r="NF7" s="57" t="n">
        <f aca="false">NE7</f>
        <v>0</v>
      </c>
      <c r="NG7" s="57" t="n">
        <f aca="false">NF7</f>
        <v>0</v>
      </c>
      <c r="NH7" s="57" t="n">
        <f aca="false">NG7</f>
        <v>0</v>
      </c>
      <c r="NI7" s="57" t="n">
        <f aca="false">NH7</f>
        <v>0</v>
      </c>
      <c r="NJ7" s="57" t="n">
        <f aca="false">NI7</f>
        <v>0</v>
      </c>
      <c r="NK7" s="57" t="n">
        <f aca="false">NJ7</f>
        <v>0</v>
      </c>
      <c r="NL7" s="57" t="n">
        <f aca="false">NK7</f>
        <v>0</v>
      </c>
      <c r="NM7" s="57" t="n">
        <f aca="false">NL7</f>
        <v>0</v>
      </c>
      <c r="NN7" s="57" t="n">
        <f aca="false">NM7</f>
        <v>0</v>
      </c>
      <c r="NO7" s="57" t="n">
        <f aca="false">NN7</f>
        <v>0</v>
      </c>
      <c r="NP7" s="57" t="n">
        <f aca="false">NO7</f>
        <v>0</v>
      </c>
      <c r="NQ7" s="57" t="n">
        <f aca="false">NP7</f>
        <v>0</v>
      </c>
      <c r="NR7" s="57" t="n">
        <f aca="false">NQ7</f>
        <v>0</v>
      </c>
      <c r="NS7" s="57" t="n">
        <f aca="false">NR7</f>
        <v>0</v>
      </c>
      <c r="NT7" s="57" t="n">
        <f aca="false">NS7</f>
        <v>0</v>
      </c>
      <c r="NU7" s="57" t="n">
        <f aca="false">NT7</f>
        <v>0</v>
      </c>
      <c r="NV7" s="57" t="n">
        <f aca="false">NU7</f>
        <v>0</v>
      </c>
      <c r="NW7" s="57" t="n">
        <f aca="false">NV7</f>
        <v>0</v>
      </c>
      <c r="NX7" s="57" t="n">
        <f aca="false">NW7</f>
        <v>0</v>
      </c>
      <c r="NY7" s="57" t="n">
        <f aca="false">NX7</f>
        <v>0</v>
      </c>
      <c r="NZ7" s="57" t="n">
        <f aca="false">NY7</f>
        <v>0</v>
      </c>
      <c r="OA7" s="57" t="n">
        <f aca="false">NZ7</f>
        <v>0</v>
      </c>
      <c r="OB7" s="57" t="n">
        <f aca="false">OA7</f>
        <v>0</v>
      </c>
      <c r="OC7" s="57" t="n">
        <f aca="false">OB7</f>
        <v>0</v>
      </c>
      <c r="OD7" s="57" t="n">
        <f aca="false">OC7</f>
        <v>0</v>
      </c>
      <c r="OE7" s="57" t="n">
        <f aca="false">OD7</f>
        <v>0</v>
      </c>
      <c r="OF7" s="57" t="n">
        <f aca="false">OE7</f>
        <v>0</v>
      </c>
      <c r="OG7" s="57" t="n">
        <f aca="false">OF7</f>
        <v>0</v>
      </c>
      <c r="OH7" s="57" t="n">
        <f aca="false">OG7</f>
        <v>0</v>
      </c>
      <c r="OI7" s="57" t="n">
        <f aca="false">OH7</f>
        <v>0</v>
      </c>
      <c r="OJ7" s="57" t="n">
        <f aca="false">OI7</f>
        <v>0</v>
      </c>
      <c r="OK7" s="57" t="n">
        <f aca="false">OJ7</f>
        <v>0</v>
      </c>
      <c r="OL7" s="57" t="n">
        <f aca="false">OK7</f>
        <v>0</v>
      </c>
      <c r="OM7" s="57" t="n">
        <f aca="false">OL7</f>
        <v>0</v>
      </c>
      <c r="ON7" s="57" t="n">
        <f aca="false">OM7</f>
        <v>0</v>
      </c>
      <c r="OO7" s="57" t="n">
        <f aca="false">ON7</f>
        <v>0</v>
      </c>
      <c r="OP7" s="57" t="n">
        <f aca="false">OO7</f>
        <v>0</v>
      </c>
      <c r="OQ7" s="57" t="n">
        <f aca="false">OP7</f>
        <v>0</v>
      </c>
      <c r="OR7" s="57" t="n">
        <f aca="false">OQ7</f>
        <v>0</v>
      </c>
      <c r="OS7" s="57" t="n">
        <f aca="false">OR7</f>
        <v>0</v>
      </c>
      <c r="OT7" s="57" t="n">
        <f aca="false">OS7</f>
        <v>0</v>
      </c>
      <c r="OU7" s="57" t="n">
        <f aca="false">OT7</f>
        <v>0</v>
      </c>
      <c r="OV7" s="57" t="n">
        <f aca="false">OU7</f>
        <v>0</v>
      </c>
      <c r="OW7" s="57" t="n">
        <f aca="false">OV7</f>
        <v>0</v>
      </c>
      <c r="OX7" s="57" t="n">
        <f aca="false">OW7</f>
        <v>0</v>
      </c>
      <c r="OY7" s="57" t="n">
        <f aca="false">OX7</f>
        <v>0</v>
      </c>
      <c r="OZ7" s="57" t="n">
        <f aca="false">OY7</f>
        <v>0</v>
      </c>
      <c r="PA7" s="57" t="n">
        <f aca="false">OZ7</f>
        <v>0</v>
      </c>
      <c r="PB7" s="57" t="n">
        <f aca="false">PA7</f>
        <v>0</v>
      </c>
      <c r="PC7" s="57" t="n">
        <f aca="false">PB7</f>
        <v>0</v>
      </c>
      <c r="PD7" s="57" t="n">
        <f aca="false">PC7</f>
        <v>0</v>
      </c>
      <c r="PE7" s="57" t="n">
        <f aca="false">PD7</f>
        <v>0</v>
      </c>
      <c r="PF7" s="57" t="n">
        <f aca="false">PE7</f>
        <v>0</v>
      </c>
      <c r="PG7" s="57" t="n">
        <f aca="false">PF7</f>
        <v>0</v>
      </c>
      <c r="PH7" s="57" t="n">
        <f aca="false">PG7</f>
        <v>0</v>
      </c>
      <c r="PI7" s="57" t="n">
        <f aca="false">PH7</f>
        <v>0</v>
      </c>
      <c r="PJ7" s="57" t="n">
        <f aca="false">PI7</f>
        <v>0</v>
      </c>
      <c r="PK7" s="57" t="n">
        <f aca="false">PJ7</f>
        <v>0</v>
      </c>
      <c r="PL7" s="57" t="n">
        <f aca="false">PK7</f>
        <v>0</v>
      </c>
      <c r="PM7" s="57" t="n">
        <f aca="false">PL7</f>
        <v>0</v>
      </c>
      <c r="PN7" s="57" t="n">
        <f aca="false">PM7</f>
        <v>0</v>
      </c>
      <c r="PO7" s="57" t="n">
        <f aca="false">PN7</f>
        <v>0</v>
      </c>
      <c r="PP7" s="57" t="n">
        <f aca="false">PO7</f>
        <v>0</v>
      </c>
      <c r="PQ7" s="57" t="n">
        <f aca="false">PP7</f>
        <v>0</v>
      </c>
      <c r="PR7" s="20" t="n">
        <f aca="false">IF(H_Direct=1,IF(H_Inv0&lt;=0,0,IF(BR7&lt;=0,MIN(MAX(0,AB7),H_Inv0),MIN(MAX(0,AB7),H_Inv0-G7*MAX(0,BR7*H_Inv0-(H7+I7))))),MIN(FE7,MAX(0,AB7)))</f>
        <v>6200</v>
      </c>
      <c r="PS7" s="20" t="n">
        <v>0</v>
      </c>
      <c r="PT7" s="20" t="n">
        <v>0</v>
      </c>
      <c r="PU7" s="20" t="n">
        <v>0</v>
      </c>
      <c r="PV7" s="20" t="n">
        <v>0</v>
      </c>
      <c r="PW7" s="20" t="n">
        <v>0</v>
      </c>
      <c r="PX7" s="20" t="n">
        <v>0</v>
      </c>
      <c r="PY7" s="20" t="n">
        <v>0</v>
      </c>
      <c r="PZ7" s="20" t="n">
        <v>0</v>
      </c>
      <c r="QA7" s="20" t="n">
        <v>0</v>
      </c>
      <c r="QB7" s="20" t="n">
        <v>0</v>
      </c>
      <c r="QC7" s="20" t="n">
        <v>0</v>
      </c>
      <c r="QD7" s="20" t="n">
        <v>0</v>
      </c>
      <c r="QE7" s="20" t="n">
        <v>0</v>
      </c>
      <c r="QF7" s="20" t="n">
        <v>0</v>
      </c>
      <c r="QG7" s="20" t="n">
        <v>0</v>
      </c>
      <c r="QH7" s="20" t="n">
        <v>0</v>
      </c>
      <c r="QI7" s="20" t="n">
        <v>0</v>
      </c>
      <c r="QJ7" s="20" t="n">
        <v>0</v>
      </c>
      <c r="QK7" s="20" t="n">
        <v>0</v>
      </c>
      <c r="QL7" s="20" t="n">
        <v>0</v>
      </c>
      <c r="QM7" s="20" t="n">
        <v>0</v>
      </c>
      <c r="QN7" s="20" t="n">
        <v>0</v>
      </c>
      <c r="QO7" s="20" t="n">
        <v>0</v>
      </c>
      <c r="QP7" s="20" t="n">
        <v>0</v>
      </c>
      <c r="QQ7" s="20" t="n">
        <v>0</v>
      </c>
      <c r="QR7" s="20" t="n">
        <v>0</v>
      </c>
      <c r="QS7" s="20" t="n">
        <v>0</v>
      </c>
      <c r="QT7" s="20" t="n">
        <v>0</v>
      </c>
      <c r="QU7" s="20" t="n">
        <v>0</v>
      </c>
      <c r="QV7" s="20" t="n">
        <v>0</v>
      </c>
      <c r="QW7" s="20" t="n">
        <v>0</v>
      </c>
      <c r="QX7" s="20" t="n">
        <v>0</v>
      </c>
      <c r="QY7" s="20" t="n">
        <v>0</v>
      </c>
      <c r="QZ7" s="20" t="n">
        <v>0</v>
      </c>
      <c r="RA7" s="20" t="n">
        <v>0</v>
      </c>
      <c r="RB7" s="20" t="n">
        <v>0</v>
      </c>
      <c r="RC7" s="20" t="n">
        <v>0</v>
      </c>
      <c r="RD7" s="20" t="n">
        <v>0</v>
      </c>
      <c r="RE7" s="20" t="n">
        <v>0</v>
      </c>
      <c r="RF7" s="20" t="n">
        <v>0</v>
      </c>
      <c r="RG7" s="20" t="n">
        <v>0</v>
      </c>
      <c r="RH7" s="20" t="n">
        <v>0</v>
      </c>
      <c r="RI7" s="20" t="n">
        <v>0</v>
      </c>
      <c r="RJ7" s="20" t="n">
        <v>0</v>
      </c>
      <c r="RK7" s="20" t="n">
        <v>0</v>
      </c>
      <c r="RL7" s="20" t="n">
        <v>0</v>
      </c>
      <c r="RM7" s="20" t="n">
        <v>0</v>
      </c>
      <c r="RN7" s="20" t="n">
        <v>0</v>
      </c>
      <c r="RO7" s="20" t="n">
        <v>0</v>
      </c>
      <c r="RP7" s="20" t="n">
        <v>0</v>
      </c>
      <c r="RQ7" s="20" t="n">
        <v>0</v>
      </c>
      <c r="RR7" s="20" t="n">
        <v>0</v>
      </c>
      <c r="RS7" s="20" t="n">
        <v>0</v>
      </c>
      <c r="RT7" s="20" t="n">
        <v>0</v>
      </c>
      <c r="RU7" s="20" t="n">
        <v>0</v>
      </c>
      <c r="RV7" s="20" t="n">
        <v>0</v>
      </c>
      <c r="RW7" s="20" t="n">
        <v>0</v>
      </c>
      <c r="RX7" s="20" t="n">
        <v>0</v>
      </c>
      <c r="RY7" s="20" t="n">
        <v>0</v>
      </c>
      <c r="RZ7" s="20" t="n">
        <v>0</v>
      </c>
      <c r="SA7" s="20" t="n">
        <v>0</v>
      </c>
      <c r="SB7" s="20" t="n">
        <v>0</v>
      </c>
      <c r="SC7" s="20" t="n">
        <v>0</v>
      </c>
      <c r="SD7" s="20" t="n">
        <v>0</v>
      </c>
      <c r="SE7" s="20" t="n">
        <v>0</v>
      </c>
      <c r="SF7" s="20" t="n">
        <v>0</v>
      </c>
      <c r="SG7" s="20" t="n">
        <v>0</v>
      </c>
      <c r="SH7" s="20" t="n">
        <v>0</v>
      </c>
      <c r="SI7" s="20" t="n">
        <v>0</v>
      </c>
      <c r="SJ7" s="20" t="n">
        <v>0</v>
      </c>
      <c r="SK7" s="20" t="n">
        <v>0</v>
      </c>
      <c r="SL7" s="20" t="n">
        <v>0</v>
      </c>
      <c r="SM7" s="20" t="n">
        <v>0</v>
      </c>
      <c r="SN7" s="20" t="n">
        <v>0</v>
      </c>
      <c r="SO7" s="20" t="n">
        <v>0</v>
      </c>
      <c r="SP7" s="20" t="n">
        <v>0</v>
      </c>
      <c r="SQ7" s="20" t="n">
        <v>0</v>
      </c>
      <c r="SR7" s="20" t="n">
        <v>0</v>
      </c>
      <c r="SS7" s="20" t="n">
        <v>0</v>
      </c>
      <c r="ST7" s="20" t="n">
        <v>0</v>
      </c>
      <c r="SU7" s="20" t="n">
        <v>0</v>
      </c>
      <c r="SV7" s="20" t="n">
        <v>0</v>
      </c>
      <c r="SW7" s="20" t="n">
        <v>0</v>
      </c>
      <c r="SX7" s="20" t="n">
        <v>0</v>
      </c>
      <c r="SY7" s="20" t="n">
        <v>0</v>
      </c>
      <c r="SZ7" s="20" t="n">
        <v>0</v>
      </c>
      <c r="TA7" s="20" t="n">
        <v>0</v>
      </c>
      <c r="TB7" s="20" t="n">
        <v>0</v>
      </c>
      <c r="TC7" s="20" t="n">
        <v>0</v>
      </c>
      <c r="TD7" s="20" t="n">
        <v>0</v>
      </c>
      <c r="TE7" s="20" t="n">
        <f aca="false">IF(H_Inv0&lt;=0,0,IF(H_Direct=1,IF(BR7&lt;=0,PR7,IF(PR7&lt;=(H7+I7)/BR7,PR7,(PR7-G7*(H7+I7))/(1-G7*BR7))),PR7/(1-MAX(0,BR7)*H_Exit)))</f>
        <v>6200</v>
      </c>
      <c r="TF7" s="20" t="n">
        <v>0</v>
      </c>
      <c r="TG7" s="20" t="n">
        <v>0</v>
      </c>
      <c r="TH7" s="20" t="n">
        <v>0</v>
      </c>
      <c r="TI7" s="20" t="n">
        <v>0</v>
      </c>
      <c r="TJ7" s="20" t="n">
        <v>0</v>
      </c>
      <c r="TK7" s="20" t="n">
        <v>0</v>
      </c>
      <c r="TL7" s="20" t="n">
        <v>0</v>
      </c>
      <c r="TM7" s="20" t="n">
        <v>0</v>
      </c>
      <c r="TN7" s="20" t="n">
        <v>0</v>
      </c>
      <c r="TO7" s="20" t="n">
        <v>0</v>
      </c>
      <c r="TP7" s="20" t="n">
        <v>0</v>
      </c>
      <c r="TQ7" s="20" t="n">
        <v>0</v>
      </c>
      <c r="TR7" s="20" t="n">
        <v>0</v>
      </c>
      <c r="TS7" s="20" t="n">
        <v>0</v>
      </c>
      <c r="TT7" s="20" t="n">
        <v>0</v>
      </c>
      <c r="TU7" s="20" t="n">
        <v>0</v>
      </c>
      <c r="TV7" s="20" t="n">
        <v>0</v>
      </c>
      <c r="TW7" s="20" t="n">
        <v>0</v>
      </c>
      <c r="TX7" s="20" t="n">
        <v>0</v>
      </c>
      <c r="TY7" s="20" t="n">
        <v>0</v>
      </c>
      <c r="TZ7" s="20" t="n">
        <v>0</v>
      </c>
      <c r="UA7" s="20" t="n">
        <v>0</v>
      </c>
      <c r="UB7" s="20" t="n">
        <v>0</v>
      </c>
      <c r="UC7" s="20" t="n">
        <v>0</v>
      </c>
      <c r="UD7" s="20" t="n">
        <v>0</v>
      </c>
      <c r="UE7" s="20" t="n">
        <v>0</v>
      </c>
      <c r="UF7" s="20" t="n">
        <v>0</v>
      </c>
      <c r="UG7" s="20" t="n">
        <v>0</v>
      </c>
      <c r="UH7" s="20" t="n">
        <v>0</v>
      </c>
      <c r="UI7" s="20" t="n">
        <v>0</v>
      </c>
      <c r="UJ7" s="20" t="n">
        <v>0</v>
      </c>
      <c r="UK7" s="20" t="n">
        <v>0</v>
      </c>
      <c r="UL7" s="20" t="n">
        <v>0</v>
      </c>
      <c r="UM7" s="20" t="n">
        <v>0</v>
      </c>
      <c r="UN7" s="20" t="n">
        <v>0</v>
      </c>
      <c r="UO7" s="20" t="n">
        <v>0</v>
      </c>
      <c r="UP7" s="20" t="n">
        <v>0</v>
      </c>
      <c r="UQ7" s="20" t="n">
        <v>0</v>
      </c>
      <c r="UR7" s="20" t="n">
        <v>0</v>
      </c>
      <c r="US7" s="20" t="n">
        <v>0</v>
      </c>
      <c r="UT7" s="20" t="n">
        <v>0</v>
      </c>
      <c r="UU7" s="20" t="n">
        <v>0</v>
      </c>
      <c r="UV7" s="20" t="n">
        <v>0</v>
      </c>
      <c r="UW7" s="20" t="n">
        <v>0</v>
      </c>
      <c r="UX7" s="20" t="n">
        <v>0</v>
      </c>
      <c r="UY7" s="20" t="n">
        <v>0</v>
      </c>
      <c r="UZ7" s="20" t="n">
        <v>0</v>
      </c>
      <c r="VA7" s="20" t="n">
        <v>0</v>
      </c>
      <c r="VB7" s="20" t="n">
        <v>0</v>
      </c>
      <c r="VC7" s="20" t="n">
        <v>0</v>
      </c>
      <c r="VD7" s="20" t="n">
        <v>0</v>
      </c>
      <c r="VE7" s="20" t="n">
        <v>0</v>
      </c>
      <c r="VF7" s="20" t="n">
        <v>0</v>
      </c>
      <c r="VG7" s="20" t="n">
        <v>0</v>
      </c>
      <c r="VH7" s="20" t="n">
        <v>0</v>
      </c>
      <c r="VI7" s="20" t="n">
        <v>0</v>
      </c>
      <c r="VJ7" s="20" t="n">
        <v>0</v>
      </c>
      <c r="VK7" s="20" t="n">
        <v>0</v>
      </c>
      <c r="VL7" s="20" t="n">
        <v>0</v>
      </c>
      <c r="VM7" s="20" t="n">
        <v>0</v>
      </c>
      <c r="VN7" s="20" t="n">
        <v>0</v>
      </c>
      <c r="VO7" s="20" t="n">
        <v>0</v>
      </c>
      <c r="VP7" s="20" t="n">
        <v>0</v>
      </c>
      <c r="VQ7" s="20" t="n">
        <v>0</v>
      </c>
      <c r="VR7" s="20" t="n">
        <v>0</v>
      </c>
      <c r="VS7" s="20" t="n">
        <v>0</v>
      </c>
      <c r="VT7" s="20" t="n">
        <v>0</v>
      </c>
      <c r="VU7" s="20" t="n">
        <v>0</v>
      </c>
      <c r="VV7" s="20" t="n">
        <v>0</v>
      </c>
      <c r="VW7" s="20" t="n">
        <v>0</v>
      </c>
      <c r="VX7" s="20" t="n">
        <v>0</v>
      </c>
      <c r="VY7" s="20" t="n">
        <v>0</v>
      </c>
      <c r="VZ7" s="20" t="n">
        <v>0</v>
      </c>
      <c r="WA7" s="20" t="n">
        <v>0</v>
      </c>
      <c r="WB7" s="20" t="n">
        <v>0</v>
      </c>
      <c r="WC7" s="20" t="n">
        <v>0</v>
      </c>
      <c r="WD7" s="20" t="n">
        <v>0</v>
      </c>
      <c r="WE7" s="20" t="n">
        <v>0</v>
      </c>
      <c r="WF7" s="20" t="n">
        <v>0</v>
      </c>
      <c r="WG7" s="20" t="n">
        <v>0</v>
      </c>
      <c r="WH7" s="20" t="n">
        <v>0</v>
      </c>
      <c r="WI7" s="20" t="n">
        <v>0</v>
      </c>
      <c r="WJ7" s="20" t="n">
        <v>0</v>
      </c>
      <c r="WK7" s="20" t="n">
        <v>0</v>
      </c>
      <c r="WL7" s="20" t="n">
        <v>0</v>
      </c>
      <c r="WM7" s="20" t="n">
        <v>0</v>
      </c>
      <c r="WN7" s="20" t="n">
        <v>0</v>
      </c>
      <c r="WO7" s="20" t="n">
        <v>0</v>
      </c>
      <c r="WP7" s="20" t="n">
        <v>0</v>
      </c>
      <c r="WQ7" s="20" t="n">
        <v>0</v>
      </c>
      <c r="WR7" s="20" t="n">
        <f aca="false">IF(AND(H_Direct=1,BR7&gt;0),MAX(0,H7-(MIN(BR7*TE7,(H7+I7))-MIN(MIN(BR7*TE7,(H7+I7)),I7))),H7)</f>
        <v>1270</v>
      </c>
      <c r="WS7" s="20" t="n">
        <f aca="false">WR7</f>
        <v>1270</v>
      </c>
      <c r="WT7" s="20" t="n">
        <f aca="false">WS7</f>
        <v>1270</v>
      </c>
      <c r="WU7" s="20" t="n">
        <f aca="false">WT7</f>
        <v>1270</v>
      </c>
      <c r="WV7" s="20" t="n">
        <f aca="false">WU7</f>
        <v>1270</v>
      </c>
      <c r="WW7" s="20" t="n">
        <f aca="false">WV7</f>
        <v>1270</v>
      </c>
      <c r="WX7" s="20" t="n">
        <f aca="false">WW7</f>
        <v>1270</v>
      </c>
      <c r="WY7" s="20" t="n">
        <f aca="false">WX7</f>
        <v>1270</v>
      </c>
      <c r="WZ7" s="20" t="n">
        <f aca="false">WY7</f>
        <v>1270</v>
      </c>
      <c r="XA7" s="20" t="n">
        <f aca="false">WZ7</f>
        <v>1270</v>
      </c>
      <c r="XB7" s="20" t="n">
        <f aca="false">XA7</f>
        <v>1270</v>
      </c>
      <c r="XC7" s="20" t="n">
        <f aca="false">XB7</f>
        <v>1270</v>
      </c>
      <c r="XD7" s="20" t="n">
        <f aca="false">XC7</f>
        <v>1270</v>
      </c>
      <c r="XE7" s="20" t="n">
        <f aca="false">XD7</f>
        <v>1270</v>
      </c>
      <c r="XF7" s="20" t="n">
        <f aca="false">XE7</f>
        <v>1270</v>
      </c>
      <c r="XG7" s="20" t="n">
        <f aca="false">XF7</f>
        <v>1270</v>
      </c>
      <c r="XH7" s="20" t="n">
        <f aca="false">XG7</f>
        <v>1270</v>
      </c>
      <c r="XI7" s="20" t="n">
        <f aca="false">XH7</f>
        <v>1270</v>
      </c>
      <c r="XJ7" s="20" t="n">
        <f aca="false">XI7</f>
        <v>1270</v>
      </c>
      <c r="XK7" s="20" t="n">
        <f aca="false">XJ7</f>
        <v>1270</v>
      </c>
      <c r="XL7" s="20" t="n">
        <f aca="false">XK7</f>
        <v>1270</v>
      </c>
      <c r="XM7" s="20" t="n">
        <f aca="false">XL7</f>
        <v>1270</v>
      </c>
      <c r="XN7" s="20" t="n">
        <f aca="false">XM7</f>
        <v>1270</v>
      </c>
      <c r="XO7" s="20" t="n">
        <f aca="false">XN7</f>
        <v>1270</v>
      </c>
      <c r="XP7" s="20" t="n">
        <f aca="false">XO7</f>
        <v>1270</v>
      </c>
      <c r="XQ7" s="20" t="n">
        <f aca="false">XP7</f>
        <v>1270</v>
      </c>
      <c r="XR7" s="20" t="n">
        <f aca="false">XQ7</f>
        <v>1270</v>
      </c>
      <c r="XS7" s="20" t="n">
        <f aca="false">XR7</f>
        <v>1270</v>
      </c>
      <c r="XT7" s="20" t="n">
        <f aca="false">XS7</f>
        <v>1270</v>
      </c>
      <c r="XU7" s="20" t="n">
        <f aca="false">XT7</f>
        <v>1270</v>
      </c>
      <c r="XV7" s="20" t="n">
        <f aca="false">XU7</f>
        <v>1270</v>
      </c>
      <c r="XW7" s="20" t="n">
        <f aca="false">XV7</f>
        <v>1270</v>
      </c>
      <c r="XX7" s="20" t="n">
        <f aca="false">XW7</f>
        <v>1270</v>
      </c>
      <c r="XY7" s="20" t="n">
        <f aca="false">XX7</f>
        <v>1270</v>
      </c>
      <c r="XZ7" s="20" t="n">
        <f aca="false">XY7</f>
        <v>1270</v>
      </c>
      <c r="YA7" s="20" t="n">
        <f aca="false">XZ7</f>
        <v>1270</v>
      </c>
      <c r="YB7" s="20" t="n">
        <f aca="false">YA7</f>
        <v>1270</v>
      </c>
      <c r="YC7" s="20" t="n">
        <f aca="false">YB7</f>
        <v>1270</v>
      </c>
      <c r="YD7" s="20" t="n">
        <f aca="false">YC7</f>
        <v>1270</v>
      </c>
      <c r="YE7" s="20" t="n">
        <f aca="false">YD7</f>
        <v>1270</v>
      </c>
      <c r="YF7" s="20" t="n">
        <f aca="false">YE7</f>
        <v>1270</v>
      </c>
      <c r="YG7" s="20" t="n">
        <f aca="false">YF7</f>
        <v>1270</v>
      </c>
      <c r="YH7" s="20" t="n">
        <f aca="false">YG7</f>
        <v>1270</v>
      </c>
      <c r="YI7" s="20" t="n">
        <f aca="false">YH7</f>
        <v>1270</v>
      </c>
      <c r="YJ7" s="20" t="n">
        <f aca="false">YI7</f>
        <v>1270</v>
      </c>
      <c r="YK7" s="20" t="n">
        <f aca="false">YJ7</f>
        <v>1270</v>
      </c>
      <c r="YL7" s="20" t="n">
        <f aca="false">YK7</f>
        <v>1270</v>
      </c>
      <c r="YM7" s="20" t="n">
        <f aca="false">YL7</f>
        <v>1270</v>
      </c>
      <c r="YN7" s="20" t="n">
        <f aca="false">YM7</f>
        <v>1270</v>
      </c>
      <c r="YO7" s="20" t="n">
        <f aca="false">YN7</f>
        <v>1270</v>
      </c>
      <c r="YP7" s="20" t="n">
        <f aca="false">YO7</f>
        <v>1270</v>
      </c>
      <c r="YQ7" s="20" t="n">
        <f aca="false">YP7</f>
        <v>1270</v>
      </c>
      <c r="YR7" s="20" t="n">
        <f aca="false">YQ7</f>
        <v>1270</v>
      </c>
      <c r="YS7" s="20" t="n">
        <f aca="false">YR7</f>
        <v>1270</v>
      </c>
      <c r="YT7" s="20" t="n">
        <f aca="false">YS7</f>
        <v>1270</v>
      </c>
      <c r="YU7" s="20" t="n">
        <f aca="false">YT7</f>
        <v>1270</v>
      </c>
      <c r="YV7" s="20" t="n">
        <f aca="false">YU7</f>
        <v>1270</v>
      </c>
      <c r="YW7" s="20" t="n">
        <f aca="false">YV7</f>
        <v>1270</v>
      </c>
      <c r="YX7" s="20" t="n">
        <f aca="false">YW7</f>
        <v>1270</v>
      </c>
      <c r="YY7" s="20" t="n">
        <f aca="false">YX7</f>
        <v>1270</v>
      </c>
      <c r="YZ7" s="20" t="n">
        <f aca="false">YY7</f>
        <v>1270</v>
      </c>
      <c r="ZA7" s="20" t="n">
        <f aca="false">YZ7</f>
        <v>1270</v>
      </c>
      <c r="ZB7" s="20" t="n">
        <f aca="false">ZA7</f>
        <v>1270</v>
      </c>
      <c r="ZC7" s="20" t="n">
        <f aca="false">ZB7</f>
        <v>1270</v>
      </c>
      <c r="ZD7" s="20" t="n">
        <f aca="false">ZC7</f>
        <v>1270</v>
      </c>
      <c r="ZE7" s="20" t="n">
        <f aca="false">ZD7</f>
        <v>1270</v>
      </c>
      <c r="ZF7" s="20" t="n">
        <f aca="false">ZE7</f>
        <v>1270</v>
      </c>
      <c r="ZG7" s="20" t="n">
        <f aca="false">ZF7</f>
        <v>1270</v>
      </c>
      <c r="ZH7" s="20" t="n">
        <f aca="false">ZG7</f>
        <v>1270</v>
      </c>
      <c r="ZI7" s="20" t="n">
        <f aca="false">ZH7</f>
        <v>1270</v>
      </c>
      <c r="ZJ7" s="20" t="n">
        <f aca="false">ZI7</f>
        <v>1270</v>
      </c>
      <c r="ZK7" s="20" t="n">
        <f aca="false">ZJ7</f>
        <v>1270</v>
      </c>
      <c r="ZL7" s="20" t="n">
        <f aca="false">ZK7</f>
        <v>1270</v>
      </c>
      <c r="ZM7" s="20" t="n">
        <f aca="false">ZL7</f>
        <v>1270</v>
      </c>
      <c r="ZN7" s="20" t="n">
        <f aca="false">ZM7</f>
        <v>1270</v>
      </c>
      <c r="ZO7" s="20" t="n">
        <f aca="false">ZN7</f>
        <v>1270</v>
      </c>
      <c r="ZP7" s="20" t="n">
        <f aca="false">ZO7</f>
        <v>1270</v>
      </c>
      <c r="ZQ7" s="20" t="n">
        <f aca="false">ZP7</f>
        <v>1270</v>
      </c>
      <c r="ZR7" s="20" t="n">
        <f aca="false">ZQ7</f>
        <v>1270</v>
      </c>
      <c r="ZS7" s="20" t="n">
        <f aca="false">ZR7</f>
        <v>1270</v>
      </c>
      <c r="ZT7" s="20" t="n">
        <f aca="false">ZS7</f>
        <v>1270</v>
      </c>
      <c r="ZU7" s="20" t="n">
        <f aca="false">ZT7</f>
        <v>1270</v>
      </c>
      <c r="ZV7" s="20" t="n">
        <f aca="false">ZU7</f>
        <v>1270</v>
      </c>
      <c r="ZW7" s="20" t="n">
        <f aca="false">ZV7</f>
        <v>1270</v>
      </c>
      <c r="ZX7" s="20" t="n">
        <f aca="false">ZW7</f>
        <v>1270</v>
      </c>
      <c r="ZY7" s="20" t="n">
        <f aca="false">ZX7</f>
        <v>1270</v>
      </c>
      <c r="ZZ7" s="20" t="n">
        <f aca="false">ZY7</f>
        <v>1270</v>
      </c>
      <c r="AAA7" s="20" t="n">
        <f aca="false">ZZ7</f>
        <v>1270</v>
      </c>
      <c r="AAB7" s="20" t="n">
        <f aca="false">AAA7</f>
        <v>1270</v>
      </c>
      <c r="AAC7" s="20" t="n">
        <f aca="false">AAB7</f>
        <v>1270</v>
      </c>
      <c r="AAD7" s="20" t="n">
        <f aca="false">AAC7</f>
        <v>1270</v>
      </c>
      <c r="AAE7" s="57" t="n">
        <f aca="false">IF(H_Direct=1,IF(BR7&lt;=0,I7-BR7*TE7,I7-MIN(MIN(BR7*TE7,(H7+I7)),I7)),I7)</f>
        <v>0</v>
      </c>
      <c r="AAF7" s="57" t="n">
        <f aca="false">AAE7</f>
        <v>0</v>
      </c>
      <c r="AAG7" s="57" t="n">
        <f aca="false">AAF7</f>
        <v>0</v>
      </c>
      <c r="AAH7" s="57" t="n">
        <f aca="false">AAG7</f>
        <v>0</v>
      </c>
      <c r="AAI7" s="57" t="n">
        <f aca="false">AAH7</f>
        <v>0</v>
      </c>
      <c r="AAJ7" s="57" t="n">
        <f aca="false">AAI7</f>
        <v>0</v>
      </c>
      <c r="AAK7" s="57" t="n">
        <f aca="false">AAJ7</f>
        <v>0</v>
      </c>
      <c r="AAL7" s="57" t="n">
        <f aca="false">AAK7</f>
        <v>0</v>
      </c>
      <c r="AAM7" s="57" t="n">
        <f aca="false">AAL7</f>
        <v>0</v>
      </c>
      <c r="AAN7" s="57" t="n">
        <f aca="false">AAM7</f>
        <v>0</v>
      </c>
      <c r="AAO7" s="57" t="n">
        <f aca="false">AAN7</f>
        <v>0</v>
      </c>
      <c r="AAP7" s="57" t="n">
        <f aca="false">AAO7</f>
        <v>0</v>
      </c>
      <c r="AAQ7" s="57" t="n">
        <f aca="false">AAP7</f>
        <v>0</v>
      </c>
      <c r="AAR7" s="57" t="n">
        <f aca="false">AAQ7</f>
        <v>0</v>
      </c>
      <c r="AAS7" s="57" t="n">
        <f aca="false">AAR7</f>
        <v>0</v>
      </c>
      <c r="AAT7" s="57" t="n">
        <f aca="false">AAS7</f>
        <v>0</v>
      </c>
      <c r="AAU7" s="57" t="n">
        <f aca="false">AAT7</f>
        <v>0</v>
      </c>
      <c r="AAV7" s="57" t="n">
        <f aca="false">AAU7</f>
        <v>0</v>
      </c>
      <c r="AAW7" s="57" t="n">
        <f aca="false">AAV7</f>
        <v>0</v>
      </c>
      <c r="AAX7" s="57" t="n">
        <f aca="false">AAW7</f>
        <v>0</v>
      </c>
      <c r="AAY7" s="57" t="n">
        <f aca="false">AAX7</f>
        <v>0</v>
      </c>
      <c r="AAZ7" s="57" t="n">
        <f aca="false">AAY7</f>
        <v>0</v>
      </c>
      <c r="ABA7" s="57" t="n">
        <f aca="false">AAZ7</f>
        <v>0</v>
      </c>
      <c r="ABB7" s="57" t="n">
        <f aca="false">ABA7</f>
        <v>0</v>
      </c>
      <c r="ABC7" s="57" t="n">
        <f aca="false">ABB7</f>
        <v>0</v>
      </c>
      <c r="ABD7" s="57" t="n">
        <f aca="false">ABC7</f>
        <v>0</v>
      </c>
      <c r="ABE7" s="57" t="n">
        <f aca="false">ABD7</f>
        <v>0</v>
      </c>
      <c r="ABF7" s="57" t="n">
        <f aca="false">ABE7</f>
        <v>0</v>
      </c>
      <c r="ABG7" s="57" t="n">
        <f aca="false">ABF7</f>
        <v>0</v>
      </c>
      <c r="ABH7" s="57" t="n">
        <f aca="false">ABG7</f>
        <v>0</v>
      </c>
      <c r="ABI7" s="57" t="n">
        <f aca="false">ABH7</f>
        <v>0</v>
      </c>
      <c r="ABJ7" s="57" t="n">
        <f aca="false">ABI7</f>
        <v>0</v>
      </c>
      <c r="ABK7" s="57" t="n">
        <f aca="false">ABJ7</f>
        <v>0</v>
      </c>
      <c r="ABL7" s="57" t="n">
        <f aca="false">ABK7</f>
        <v>0</v>
      </c>
      <c r="ABM7" s="57" t="n">
        <f aca="false">ABL7</f>
        <v>0</v>
      </c>
      <c r="ABN7" s="57" t="n">
        <f aca="false">ABM7</f>
        <v>0</v>
      </c>
      <c r="ABO7" s="57" t="n">
        <f aca="false">ABN7</f>
        <v>0</v>
      </c>
      <c r="ABP7" s="57" t="n">
        <f aca="false">ABO7</f>
        <v>0</v>
      </c>
      <c r="ABQ7" s="57" t="n">
        <f aca="false">ABP7</f>
        <v>0</v>
      </c>
      <c r="ABR7" s="57" t="n">
        <f aca="false">ABQ7</f>
        <v>0</v>
      </c>
      <c r="ABS7" s="57" t="n">
        <f aca="false">ABR7</f>
        <v>0</v>
      </c>
      <c r="ABT7" s="57" t="n">
        <f aca="false">ABS7</f>
        <v>0</v>
      </c>
      <c r="ABU7" s="57" t="n">
        <f aca="false">ABT7</f>
        <v>0</v>
      </c>
      <c r="ABV7" s="57" t="n">
        <f aca="false">ABU7</f>
        <v>0</v>
      </c>
      <c r="ABW7" s="57" t="n">
        <f aca="false">ABV7</f>
        <v>0</v>
      </c>
      <c r="ABX7" s="57" t="n">
        <f aca="false">ABW7</f>
        <v>0</v>
      </c>
      <c r="ABY7" s="57" t="n">
        <f aca="false">ABX7</f>
        <v>0</v>
      </c>
      <c r="ABZ7" s="57" t="n">
        <f aca="false">ABY7</f>
        <v>0</v>
      </c>
      <c r="ACA7" s="57" t="n">
        <f aca="false">ABZ7</f>
        <v>0</v>
      </c>
      <c r="ACB7" s="57" t="n">
        <f aca="false">ACA7</f>
        <v>0</v>
      </c>
      <c r="ACC7" s="57" t="n">
        <f aca="false">ACB7</f>
        <v>0</v>
      </c>
      <c r="ACD7" s="57" t="n">
        <f aca="false">ACC7</f>
        <v>0</v>
      </c>
      <c r="ACE7" s="57" t="n">
        <f aca="false">ACD7</f>
        <v>0</v>
      </c>
      <c r="ACF7" s="57" t="n">
        <f aca="false">ACE7</f>
        <v>0</v>
      </c>
      <c r="ACG7" s="57" t="n">
        <f aca="false">ACF7</f>
        <v>0</v>
      </c>
      <c r="ACH7" s="57" t="n">
        <f aca="false">ACG7</f>
        <v>0</v>
      </c>
      <c r="ACI7" s="57" t="n">
        <f aca="false">ACH7</f>
        <v>0</v>
      </c>
      <c r="ACJ7" s="57" t="n">
        <f aca="false">ACI7</f>
        <v>0</v>
      </c>
      <c r="ACK7" s="57" t="n">
        <f aca="false">ACJ7</f>
        <v>0</v>
      </c>
      <c r="ACL7" s="57" t="n">
        <f aca="false">ACK7</f>
        <v>0</v>
      </c>
      <c r="ACM7" s="57" t="n">
        <f aca="false">ACL7</f>
        <v>0</v>
      </c>
      <c r="ACN7" s="57" t="n">
        <f aca="false">ACM7</f>
        <v>0</v>
      </c>
      <c r="ACO7" s="57" t="n">
        <f aca="false">ACN7</f>
        <v>0</v>
      </c>
      <c r="ACP7" s="57" t="n">
        <f aca="false">ACO7</f>
        <v>0</v>
      </c>
      <c r="ACQ7" s="57" t="n">
        <f aca="false">ACP7</f>
        <v>0</v>
      </c>
      <c r="ACR7" s="57" t="n">
        <f aca="false">ACQ7</f>
        <v>0</v>
      </c>
      <c r="ACS7" s="57" t="n">
        <f aca="false">ACR7</f>
        <v>0</v>
      </c>
      <c r="ACT7" s="57" t="n">
        <f aca="false">ACS7</f>
        <v>0</v>
      </c>
      <c r="ACU7" s="57" t="n">
        <f aca="false">ACT7</f>
        <v>0</v>
      </c>
      <c r="ACV7" s="57" t="n">
        <f aca="false">ACU7</f>
        <v>0</v>
      </c>
      <c r="ACW7" s="57" t="n">
        <f aca="false">ACV7</f>
        <v>0</v>
      </c>
      <c r="ACX7" s="57" t="n">
        <f aca="false">ACW7</f>
        <v>0</v>
      </c>
      <c r="ACY7" s="57" t="n">
        <f aca="false">ACX7</f>
        <v>0</v>
      </c>
      <c r="ACZ7" s="57" t="n">
        <f aca="false">ACY7</f>
        <v>0</v>
      </c>
      <c r="ADA7" s="57" t="n">
        <f aca="false">ACZ7</f>
        <v>0</v>
      </c>
      <c r="ADB7" s="57" t="n">
        <f aca="false">ADA7</f>
        <v>0</v>
      </c>
      <c r="ADC7" s="57" t="n">
        <f aca="false">ADB7</f>
        <v>0</v>
      </c>
      <c r="ADD7" s="57" t="n">
        <f aca="false">ADC7</f>
        <v>0</v>
      </c>
      <c r="ADE7" s="57" t="n">
        <f aca="false">ADD7</f>
        <v>0</v>
      </c>
      <c r="ADF7" s="57" t="n">
        <f aca="false">ADE7</f>
        <v>0</v>
      </c>
      <c r="ADG7" s="57" t="n">
        <f aca="false">ADF7</f>
        <v>0</v>
      </c>
      <c r="ADH7" s="57" t="n">
        <f aca="false">ADG7</f>
        <v>0</v>
      </c>
      <c r="ADI7" s="57" t="n">
        <f aca="false">ADH7</f>
        <v>0</v>
      </c>
      <c r="ADJ7" s="57" t="n">
        <f aca="false">ADI7</f>
        <v>0</v>
      </c>
      <c r="ADK7" s="57" t="n">
        <f aca="false">ADJ7</f>
        <v>0</v>
      </c>
      <c r="ADL7" s="57" t="n">
        <f aca="false">ADK7</f>
        <v>0</v>
      </c>
      <c r="ADM7" s="57" t="n">
        <f aca="false">ADL7</f>
        <v>0</v>
      </c>
      <c r="ADN7" s="57" t="n">
        <f aca="false">ADM7</f>
        <v>0</v>
      </c>
      <c r="ADO7" s="57" t="n">
        <f aca="false">ADN7</f>
        <v>0</v>
      </c>
      <c r="ADP7" s="57" t="n">
        <f aca="false">ADO7</f>
        <v>0</v>
      </c>
      <c r="ADQ7" s="57" t="n">
        <f aca="false">ADP7</f>
        <v>0</v>
      </c>
      <c r="ADR7" s="20" t="n">
        <f aca="false">H_Inv0-TE7</f>
        <v>0</v>
      </c>
      <c r="ADS7" s="20" t="n">
        <v>0</v>
      </c>
      <c r="ADT7" s="20" t="n">
        <v>0</v>
      </c>
      <c r="ADU7" s="20" t="n">
        <v>0</v>
      </c>
      <c r="ADV7" s="20" t="n">
        <v>0</v>
      </c>
      <c r="ADW7" s="20" t="n">
        <v>0</v>
      </c>
      <c r="ADX7" s="20" t="n">
        <v>0</v>
      </c>
      <c r="ADY7" s="20" t="n">
        <v>0</v>
      </c>
      <c r="ADZ7" s="20" t="n">
        <v>0</v>
      </c>
      <c r="AEA7" s="20" t="n">
        <v>0</v>
      </c>
      <c r="AEB7" s="20" t="n">
        <v>0</v>
      </c>
      <c r="AEC7" s="20" t="n">
        <v>0</v>
      </c>
      <c r="AED7" s="20" t="n">
        <v>0</v>
      </c>
      <c r="AEE7" s="20" t="n">
        <v>0</v>
      </c>
      <c r="AEF7" s="20" t="n">
        <v>0</v>
      </c>
      <c r="AEG7" s="20" t="n">
        <v>0</v>
      </c>
      <c r="AEH7" s="20" t="n">
        <v>0</v>
      </c>
      <c r="AEI7" s="20" t="n">
        <v>0</v>
      </c>
      <c r="AEJ7" s="20" t="n">
        <v>0</v>
      </c>
      <c r="AEK7" s="20" t="n">
        <v>0</v>
      </c>
      <c r="AEL7" s="20" t="n">
        <v>0</v>
      </c>
      <c r="AEM7" s="20" t="n">
        <v>0</v>
      </c>
      <c r="AEN7" s="20" t="n">
        <v>0</v>
      </c>
      <c r="AEO7" s="20" t="n">
        <v>0</v>
      </c>
      <c r="AEP7" s="20" t="n">
        <v>0</v>
      </c>
      <c r="AEQ7" s="20" t="n">
        <v>0</v>
      </c>
      <c r="AER7" s="20" t="n">
        <v>0</v>
      </c>
      <c r="AES7" s="20" t="n">
        <v>0</v>
      </c>
      <c r="AET7" s="20" t="n">
        <v>0</v>
      </c>
      <c r="AEU7" s="20" t="n">
        <v>0</v>
      </c>
      <c r="AEV7" s="20" t="n">
        <v>0</v>
      </c>
      <c r="AEW7" s="20" t="n">
        <v>0</v>
      </c>
      <c r="AEX7" s="20" t="n">
        <v>0</v>
      </c>
      <c r="AEY7" s="20" t="n">
        <v>0</v>
      </c>
      <c r="AEZ7" s="20" t="n">
        <v>0</v>
      </c>
      <c r="AFA7" s="20" t="n">
        <v>0</v>
      </c>
      <c r="AFB7" s="20" t="n">
        <v>0</v>
      </c>
      <c r="AFC7" s="20" t="n">
        <v>0</v>
      </c>
      <c r="AFD7" s="20" t="n">
        <v>0</v>
      </c>
      <c r="AFE7" s="20" t="n">
        <v>0</v>
      </c>
      <c r="AFF7" s="20" t="n">
        <v>0</v>
      </c>
      <c r="AFG7" s="20" t="n">
        <v>0</v>
      </c>
      <c r="AFH7" s="20" t="n">
        <v>0</v>
      </c>
      <c r="AFI7" s="20" t="n">
        <v>0</v>
      </c>
      <c r="AFJ7" s="20" t="n">
        <v>0</v>
      </c>
      <c r="AFK7" s="20" t="n">
        <v>0</v>
      </c>
      <c r="AFL7" s="20" t="n">
        <v>0</v>
      </c>
      <c r="AFM7" s="20" t="n">
        <v>0</v>
      </c>
      <c r="AFN7" s="20" t="n">
        <v>0</v>
      </c>
      <c r="AFO7" s="20" t="n">
        <v>0</v>
      </c>
      <c r="AFP7" s="20" t="n">
        <v>0</v>
      </c>
      <c r="AFQ7" s="20" t="n">
        <v>0</v>
      </c>
      <c r="AFR7" s="20" t="n">
        <v>0</v>
      </c>
      <c r="AFS7" s="20" t="n">
        <v>0</v>
      </c>
      <c r="AFT7" s="20" t="n">
        <v>0</v>
      </c>
      <c r="AFU7" s="20" t="n">
        <v>0</v>
      </c>
      <c r="AFV7" s="20" t="n">
        <v>0</v>
      </c>
      <c r="AFW7" s="20" t="n">
        <v>0</v>
      </c>
      <c r="AFX7" s="20" t="n">
        <v>0</v>
      </c>
      <c r="AFY7" s="20" t="n">
        <v>0</v>
      </c>
      <c r="AFZ7" s="20" t="n">
        <v>0</v>
      </c>
      <c r="AGA7" s="20" t="n">
        <v>0</v>
      </c>
      <c r="AGB7" s="20" t="n">
        <v>0</v>
      </c>
      <c r="AGC7" s="20" t="n">
        <v>0</v>
      </c>
      <c r="AGD7" s="20" t="n">
        <v>0</v>
      </c>
      <c r="AGE7" s="20" t="n">
        <v>0</v>
      </c>
      <c r="AGF7" s="20" t="n">
        <v>0</v>
      </c>
      <c r="AGG7" s="20" t="n">
        <v>0</v>
      </c>
      <c r="AGH7" s="20" t="n">
        <v>0</v>
      </c>
      <c r="AGI7" s="20" t="n">
        <v>0</v>
      </c>
      <c r="AGJ7" s="20" t="n">
        <v>0</v>
      </c>
      <c r="AGK7" s="20" t="n">
        <v>0</v>
      </c>
      <c r="AGL7" s="20" t="n">
        <v>0</v>
      </c>
      <c r="AGM7" s="20" t="n">
        <v>0</v>
      </c>
      <c r="AGN7" s="20" t="n">
        <v>0</v>
      </c>
      <c r="AGO7" s="20" t="n">
        <v>0</v>
      </c>
      <c r="AGP7" s="20" t="n">
        <v>0</v>
      </c>
      <c r="AGQ7" s="20" t="n">
        <v>0</v>
      </c>
      <c r="AGR7" s="20" t="n">
        <v>0</v>
      </c>
      <c r="AGS7" s="20" t="n">
        <v>0</v>
      </c>
      <c r="AGT7" s="20" t="n">
        <v>0</v>
      </c>
      <c r="AGU7" s="20" t="n">
        <v>0</v>
      </c>
      <c r="AGV7" s="20" t="n">
        <v>0</v>
      </c>
      <c r="AGW7" s="20" t="n">
        <v>0</v>
      </c>
      <c r="AGX7" s="20" t="n">
        <v>0</v>
      </c>
      <c r="AGY7" s="20" t="n">
        <v>0</v>
      </c>
      <c r="AGZ7" s="20" t="n">
        <v>0</v>
      </c>
      <c r="AHA7" s="20" t="n">
        <v>0</v>
      </c>
      <c r="AHB7" s="20" t="n">
        <v>0</v>
      </c>
      <c r="AHC7" s="20" t="n">
        <v>0</v>
      </c>
      <c r="AHD7" s="20" t="n">
        <v>0</v>
      </c>
      <c r="AHE7" s="20" t="n">
        <f aca="false">IF(H_Inv0&gt;0,H_InvB0-H_InvB0*TE7/H_Inv0,0)</f>
        <v>0</v>
      </c>
      <c r="AHF7" s="20" t="n">
        <v>0</v>
      </c>
      <c r="AHG7" s="20" t="n">
        <v>0</v>
      </c>
      <c r="AHH7" s="20" t="n">
        <v>0</v>
      </c>
      <c r="AHI7" s="20" t="n">
        <v>0</v>
      </c>
      <c r="AHJ7" s="20" t="n">
        <v>0</v>
      </c>
      <c r="AHK7" s="20" t="n">
        <v>0</v>
      </c>
      <c r="AHL7" s="20" t="n">
        <v>0</v>
      </c>
      <c r="AHM7" s="20" t="n">
        <v>0</v>
      </c>
      <c r="AHN7" s="20" t="n">
        <v>0</v>
      </c>
      <c r="AHO7" s="20" t="n">
        <v>0</v>
      </c>
      <c r="AHP7" s="20" t="n">
        <v>0</v>
      </c>
      <c r="AHQ7" s="20" t="n">
        <v>0</v>
      </c>
      <c r="AHR7" s="20" t="n">
        <v>0</v>
      </c>
      <c r="AHS7" s="20" t="n">
        <v>0</v>
      </c>
      <c r="AHT7" s="20" t="n">
        <v>0</v>
      </c>
      <c r="AHU7" s="20" t="n">
        <v>0</v>
      </c>
      <c r="AHV7" s="20" t="n">
        <v>0</v>
      </c>
      <c r="AHW7" s="20" t="n">
        <v>0</v>
      </c>
      <c r="AHX7" s="20" t="n">
        <v>0</v>
      </c>
      <c r="AHY7" s="20" t="n">
        <v>0</v>
      </c>
      <c r="AHZ7" s="20" t="n">
        <v>0</v>
      </c>
      <c r="AIA7" s="20" t="n">
        <v>0</v>
      </c>
      <c r="AIB7" s="20" t="n">
        <v>0</v>
      </c>
      <c r="AIC7" s="20" t="n">
        <v>0</v>
      </c>
      <c r="AID7" s="20" t="n">
        <v>0</v>
      </c>
      <c r="AIE7" s="20" t="n">
        <v>0</v>
      </c>
      <c r="AIF7" s="20" t="n">
        <v>0</v>
      </c>
      <c r="AIG7" s="20" t="n">
        <v>0</v>
      </c>
      <c r="AIH7" s="20" t="n">
        <v>0</v>
      </c>
      <c r="AII7" s="20" t="n">
        <v>0</v>
      </c>
      <c r="AIJ7" s="20" t="n">
        <v>0</v>
      </c>
      <c r="AIK7" s="20" t="n">
        <v>0</v>
      </c>
      <c r="AIL7" s="20" t="n">
        <v>0</v>
      </c>
      <c r="AIM7" s="20" t="n">
        <v>0</v>
      </c>
      <c r="AIN7" s="20" t="n">
        <v>0</v>
      </c>
      <c r="AIO7" s="20" t="n">
        <v>0</v>
      </c>
      <c r="AIP7" s="20" t="n">
        <v>0</v>
      </c>
      <c r="AIQ7" s="20" t="n">
        <v>0</v>
      </c>
      <c r="AIR7" s="20" t="n">
        <v>0</v>
      </c>
      <c r="AIS7" s="20" t="n">
        <v>0</v>
      </c>
      <c r="AIT7" s="20" t="n">
        <v>0</v>
      </c>
      <c r="AIU7" s="20" t="n">
        <v>0</v>
      </c>
      <c r="AIV7" s="20" t="n">
        <v>0</v>
      </c>
      <c r="AIW7" s="20" t="n">
        <v>0</v>
      </c>
      <c r="AIX7" s="20" t="n">
        <v>0</v>
      </c>
      <c r="AIY7" s="20" t="n">
        <v>0</v>
      </c>
      <c r="AIZ7" s="20" t="n">
        <v>0</v>
      </c>
      <c r="AJA7" s="20" t="n">
        <v>0</v>
      </c>
      <c r="AJB7" s="20" t="n">
        <v>0</v>
      </c>
      <c r="AJC7" s="20" t="n">
        <v>0</v>
      </c>
      <c r="AJD7" s="20" t="n">
        <v>0</v>
      </c>
      <c r="AJE7" s="20" t="n">
        <v>0</v>
      </c>
      <c r="AJF7" s="20" t="n">
        <v>0</v>
      </c>
      <c r="AJG7" s="20" t="n">
        <v>0</v>
      </c>
      <c r="AJH7" s="20" t="n">
        <v>0</v>
      </c>
      <c r="AJI7" s="20" t="n">
        <v>0</v>
      </c>
      <c r="AJJ7" s="20" t="n">
        <v>0</v>
      </c>
      <c r="AJK7" s="20" t="n">
        <v>0</v>
      </c>
      <c r="AJL7" s="20" t="n">
        <v>0</v>
      </c>
      <c r="AJM7" s="20" t="n">
        <v>0</v>
      </c>
      <c r="AJN7" s="20" t="n">
        <v>0</v>
      </c>
      <c r="AJO7" s="20" t="n">
        <v>0</v>
      </c>
      <c r="AJP7" s="20" t="n">
        <v>0</v>
      </c>
      <c r="AJQ7" s="20" t="n">
        <v>0</v>
      </c>
      <c r="AJR7" s="20" t="n">
        <v>0</v>
      </c>
      <c r="AJS7" s="20" t="n">
        <v>0</v>
      </c>
      <c r="AJT7" s="20" t="n">
        <v>0</v>
      </c>
      <c r="AJU7" s="20" t="n">
        <v>0</v>
      </c>
      <c r="AJV7" s="20" t="n">
        <v>0</v>
      </c>
      <c r="AJW7" s="20" t="n">
        <v>0</v>
      </c>
      <c r="AJX7" s="20" t="n">
        <v>0</v>
      </c>
      <c r="AJY7" s="20" t="n">
        <v>0</v>
      </c>
      <c r="AJZ7" s="20" t="n">
        <v>0</v>
      </c>
      <c r="AKA7" s="20" t="n">
        <v>0</v>
      </c>
      <c r="AKB7" s="20" t="n">
        <v>0</v>
      </c>
      <c r="AKC7" s="20" t="n">
        <v>0</v>
      </c>
      <c r="AKD7" s="20" t="n">
        <v>0</v>
      </c>
      <c r="AKE7" s="20" t="n">
        <v>0</v>
      </c>
      <c r="AKF7" s="20" t="n">
        <v>0</v>
      </c>
      <c r="AKG7" s="20" t="n">
        <v>0</v>
      </c>
      <c r="AKH7" s="20" t="n">
        <v>0</v>
      </c>
      <c r="AKI7" s="20" t="n">
        <v>0</v>
      </c>
      <c r="AKJ7" s="20" t="n">
        <v>0</v>
      </c>
      <c r="AKK7" s="20" t="n">
        <v>0</v>
      </c>
      <c r="AKL7" s="20" t="n">
        <v>0</v>
      </c>
      <c r="AKM7" s="20" t="n">
        <v>0</v>
      </c>
      <c r="AKN7" s="20" t="n">
        <v>0</v>
      </c>
      <c r="AKO7" s="20" t="n">
        <v>0</v>
      </c>
      <c r="AKP7" s="20" t="n">
        <v>0</v>
      </c>
      <c r="AKQ7" s="20" t="n">
        <v>0</v>
      </c>
      <c r="AKR7" s="20" t="n">
        <f aca="false">ADR7</f>
        <v>0</v>
      </c>
      <c r="AKS7" s="20" t="n">
        <v>0</v>
      </c>
      <c r="AKT7" s="20" t="n">
        <v>0</v>
      </c>
      <c r="AKU7" s="20" t="n">
        <v>0</v>
      </c>
      <c r="AKV7" s="20" t="n">
        <v>0</v>
      </c>
      <c r="AKW7" s="20" t="n">
        <v>0</v>
      </c>
      <c r="AKX7" s="20" t="n">
        <v>0</v>
      </c>
      <c r="AKY7" s="20" t="n">
        <v>0</v>
      </c>
      <c r="AKZ7" s="20" t="n">
        <v>0</v>
      </c>
      <c r="ALA7" s="20" t="n">
        <v>0</v>
      </c>
      <c r="ALB7" s="20" t="n">
        <v>0</v>
      </c>
      <c r="ALC7" s="20" t="n">
        <v>0</v>
      </c>
      <c r="ALD7" s="20" t="n">
        <v>0</v>
      </c>
      <c r="ALE7" s="20" t="n">
        <v>0</v>
      </c>
      <c r="ALF7" s="20" t="n">
        <v>0</v>
      </c>
      <c r="ALG7" s="20" t="n">
        <v>0</v>
      </c>
      <c r="ALH7" s="20" t="n">
        <v>0</v>
      </c>
      <c r="ALI7" s="20" t="n">
        <v>0</v>
      </c>
      <c r="ALJ7" s="20" t="n">
        <v>0</v>
      </c>
      <c r="ALK7" s="20" t="n">
        <v>0</v>
      </c>
      <c r="ALL7" s="20" t="n">
        <v>0</v>
      </c>
      <c r="ALM7" s="20" t="n">
        <v>0</v>
      </c>
      <c r="ALN7" s="20" t="n">
        <v>0</v>
      </c>
      <c r="ALO7" s="20" t="n">
        <v>0</v>
      </c>
      <c r="ALP7" s="20" t="n">
        <v>0</v>
      </c>
      <c r="ALQ7" s="20" t="n">
        <v>0</v>
      </c>
      <c r="ALR7" s="20" t="n">
        <v>0</v>
      </c>
      <c r="ALS7" s="20" t="n">
        <v>0</v>
      </c>
      <c r="ALT7" s="20" t="n">
        <v>0</v>
      </c>
      <c r="ALU7" s="20" t="n">
        <v>0</v>
      </c>
      <c r="ALV7" s="20" t="n">
        <v>0</v>
      </c>
      <c r="ALW7" s="20" t="n">
        <v>0</v>
      </c>
      <c r="ALX7" s="20" t="n">
        <v>0</v>
      </c>
      <c r="ALY7" s="20" t="n">
        <v>0</v>
      </c>
      <c r="ALZ7" s="20" t="n">
        <v>0</v>
      </c>
      <c r="AMA7" s="20" t="n">
        <v>0</v>
      </c>
      <c r="AMB7" s="20" t="n">
        <v>0</v>
      </c>
      <c r="AMC7" s="20" t="n">
        <v>0</v>
      </c>
      <c r="AMD7" s="20" t="n">
        <v>0</v>
      </c>
      <c r="AME7" s="20" t="n">
        <v>0</v>
      </c>
      <c r="AMF7" s="20" t="n">
        <v>0</v>
      </c>
      <c r="AMG7" s="20" t="n">
        <v>0</v>
      </c>
      <c r="AMH7" s="20" t="n">
        <v>0</v>
      </c>
      <c r="AMI7" s="20" t="n">
        <v>0</v>
      </c>
      <c r="AMJ7" s="20" t="n">
        <v>0</v>
      </c>
      <c r="AMK7" s="20" t="n">
        <v>0</v>
      </c>
      <c r="AML7" s="20" t="n">
        <v>0</v>
      </c>
      <c r="AMM7" s="20" t="n">
        <v>0</v>
      </c>
      <c r="AMN7" s="20" t="n">
        <v>0</v>
      </c>
      <c r="AMO7" s="20" t="n">
        <v>0</v>
      </c>
      <c r="AMP7" s="20" t="n">
        <v>0</v>
      </c>
      <c r="AMQ7" s="20" t="n">
        <v>0</v>
      </c>
      <c r="AMR7" s="20" t="n">
        <v>0</v>
      </c>
      <c r="AMS7" s="20" t="n">
        <v>0</v>
      </c>
      <c r="AMT7" s="20" t="n">
        <v>0</v>
      </c>
      <c r="AMU7" s="20" t="n">
        <v>0</v>
      </c>
      <c r="AMV7" s="20" t="n">
        <v>0</v>
      </c>
      <c r="AMW7" s="20" t="n">
        <v>0</v>
      </c>
      <c r="AMX7" s="20" t="n">
        <v>0</v>
      </c>
      <c r="AMY7" s="20" t="n">
        <v>0</v>
      </c>
      <c r="AMZ7" s="20" t="n">
        <v>0</v>
      </c>
      <c r="ANA7" s="20" t="n">
        <v>0</v>
      </c>
      <c r="ANB7" s="20" t="n">
        <v>0</v>
      </c>
      <c r="ANC7" s="20" t="n">
        <v>0</v>
      </c>
      <c r="AND7" s="20" t="n">
        <v>0</v>
      </c>
      <c r="ANE7" s="20" t="n">
        <v>0</v>
      </c>
      <c r="ANF7" s="20" t="n">
        <v>0</v>
      </c>
      <c r="ANG7" s="20" t="n">
        <v>0</v>
      </c>
      <c r="ANH7" s="20" t="n">
        <v>0</v>
      </c>
      <c r="ANI7" s="20" t="n">
        <v>0</v>
      </c>
      <c r="ANJ7" s="20" t="n">
        <v>0</v>
      </c>
      <c r="ANK7" s="20" t="n">
        <v>0</v>
      </c>
      <c r="ANL7" s="20" t="n">
        <v>0</v>
      </c>
      <c r="ANM7" s="20" t="n">
        <v>0</v>
      </c>
      <c r="ANN7" s="20" t="n">
        <v>0</v>
      </c>
      <c r="ANO7" s="20" t="n">
        <v>0</v>
      </c>
      <c r="ANP7" s="20" t="n">
        <v>0</v>
      </c>
      <c r="ANQ7" s="20" t="n">
        <v>0</v>
      </c>
      <c r="ANR7" s="20" t="n">
        <v>0</v>
      </c>
      <c r="ANS7" s="20" t="n">
        <v>0</v>
      </c>
      <c r="ANT7" s="20" t="n">
        <v>0</v>
      </c>
      <c r="ANU7" s="20" t="n">
        <v>0</v>
      </c>
      <c r="ANV7" s="20" t="n">
        <v>0</v>
      </c>
      <c r="ANW7" s="20" t="n">
        <v>0</v>
      </c>
      <c r="ANX7" s="20" t="n">
        <v>0</v>
      </c>
      <c r="ANY7" s="20" t="n">
        <v>0</v>
      </c>
      <c r="ANZ7" s="20" t="n">
        <v>0</v>
      </c>
      <c r="AOA7" s="20" t="n">
        <v>0</v>
      </c>
      <c r="AOB7" s="20" t="n">
        <v>0</v>
      </c>
      <c r="AOC7" s="20" t="n">
        <v>0</v>
      </c>
      <c r="AOD7" s="20" t="n">
        <v>0</v>
      </c>
      <c r="AOE7" s="20" t="n">
        <f aca="false">AHE7</f>
        <v>0</v>
      </c>
      <c r="AOF7" s="20" t="n">
        <v>0</v>
      </c>
      <c r="AOG7" s="20" t="n">
        <v>0</v>
      </c>
      <c r="AOH7" s="20" t="n">
        <v>0</v>
      </c>
      <c r="AOI7" s="20" t="n">
        <v>0</v>
      </c>
      <c r="AOJ7" s="20" t="n">
        <v>0</v>
      </c>
      <c r="AOK7" s="20" t="n">
        <v>0</v>
      </c>
      <c r="AOL7" s="20" t="n">
        <v>0</v>
      </c>
      <c r="AOM7" s="20" t="n">
        <v>0</v>
      </c>
      <c r="AON7" s="20" t="n">
        <v>0</v>
      </c>
      <c r="AOO7" s="20" t="n">
        <v>0</v>
      </c>
      <c r="AOP7" s="20" t="n">
        <v>0</v>
      </c>
      <c r="AOQ7" s="20" t="n">
        <v>0</v>
      </c>
      <c r="AOR7" s="20" t="n">
        <v>0</v>
      </c>
      <c r="AOS7" s="20" t="n">
        <v>0</v>
      </c>
      <c r="AOT7" s="20" t="n">
        <v>0</v>
      </c>
      <c r="AOU7" s="20" t="n">
        <v>0</v>
      </c>
      <c r="AOV7" s="20" t="n">
        <v>0</v>
      </c>
      <c r="AOW7" s="20" t="n">
        <v>0</v>
      </c>
      <c r="AOX7" s="20" t="n">
        <v>0</v>
      </c>
      <c r="AOY7" s="20" t="n">
        <v>0</v>
      </c>
      <c r="AOZ7" s="20" t="n">
        <v>0</v>
      </c>
      <c r="APA7" s="20" t="n">
        <v>0</v>
      </c>
      <c r="APB7" s="20" t="n">
        <v>0</v>
      </c>
      <c r="APC7" s="20" t="n">
        <v>0</v>
      </c>
      <c r="APD7" s="20" t="n">
        <v>0</v>
      </c>
      <c r="APE7" s="20" t="n">
        <v>0</v>
      </c>
      <c r="APF7" s="20" t="n">
        <v>0</v>
      </c>
      <c r="APG7" s="20" t="n">
        <v>0</v>
      </c>
      <c r="APH7" s="20" t="n">
        <v>0</v>
      </c>
      <c r="API7" s="20" t="n">
        <v>0</v>
      </c>
      <c r="APJ7" s="20" t="n">
        <v>0</v>
      </c>
      <c r="APK7" s="20" t="n">
        <v>0</v>
      </c>
      <c r="APL7" s="20" t="n">
        <v>0</v>
      </c>
      <c r="APM7" s="20" t="n">
        <v>0</v>
      </c>
      <c r="APN7" s="20" t="n">
        <v>0</v>
      </c>
      <c r="APO7" s="20" t="n">
        <v>0</v>
      </c>
      <c r="APP7" s="20" t="n">
        <v>0</v>
      </c>
      <c r="APQ7" s="20" t="n">
        <v>0</v>
      </c>
      <c r="APR7" s="20" t="n">
        <v>0</v>
      </c>
      <c r="APS7" s="20" t="n">
        <v>0</v>
      </c>
      <c r="APT7" s="20" t="n">
        <v>0</v>
      </c>
      <c r="APU7" s="20" t="n">
        <v>0</v>
      </c>
      <c r="APV7" s="20" t="n">
        <v>0</v>
      </c>
      <c r="APW7" s="20" t="n">
        <v>0</v>
      </c>
      <c r="APX7" s="20" t="n">
        <v>0</v>
      </c>
      <c r="APY7" s="20" t="n">
        <v>0</v>
      </c>
      <c r="APZ7" s="20" t="n">
        <v>0</v>
      </c>
      <c r="AQA7" s="20" t="n">
        <v>0</v>
      </c>
      <c r="AQB7" s="20" t="n">
        <v>0</v>
      </c>
      <c r="AQC7" s="20" t="n">
        <v>0</v>
      </c>
      <c r="AQD7" s="20" t="n">
        <v>0</v>
      </c>
      <c r="AQE7" s="20" t="n">
        <v>0</v>
      </c>
      <c r="AQF7" s="20" t="n">
        <v>0</v>
      </c>
      <c r="AQG7" s="20" t="n">
        <v>0</v>
      </c>
      <c r="AQH7" s="20" t="n">
        <v>0</v>
      </c>
      <c r="AQI7" s="20" t="n">
        <v>0</v>
      </c>
      <c r="AQJ7" s="20" t="n">
        <v>0</v>
      </c>
      <c r="AQK7" s="20" t="n">
        <v>0</v>
      </c>
      <c r="AQL7" s="20" t="n">
        <v>0</v>
      </c>
      <c r="AQM7" s="20" t="n">
        <v>0</v>
      </c>
      <c r="AQN7" s="20" t="n">
        <v>0</v>
      </c>
      <c r="AQO7" s="20" t="n">
        <v>0</v>
      </c>
      <c r="AQP7" s="20" t="n">
        <v>0</v>
      </c>
      <c r="AQQ7" s="20" t="n">
        <v>0</v>
      </c>
      <c r="AQR7" s="20" t="n">
        <v>0</v>
      </c>
      <c r="AQS7" s="20" t="n">
        <v>0</v>
      </c>
      <c r="AQT7" s="20" t="n">
        <v>0</v>
      </c>
      <c r="AQU7" s="20" t="n">
        <v>0</v>
      </c>
      <c r="AQV7" s="20" t="n">
        <v>0</v>
      </c>
      <c r="AQW7" s="20" t="n">
        <v>0</v>
      </c>
      <c r="AQX7" s="20" t="n">
        <v>0</v>
      </c>
      <c r="AQY7" s="20" t="n">
        <v>0</v>
      </c>
      <c r="AQZ7" s="20" t="n">
        <v>0</v>
      </c>
      <c r="ARA7" s="20" t="n">
        <v>0</v>
      </c>
      <c r="ARB7" s="20" t="n">
        <v>0</v>
      </c>
      <c r="ARC7" s="20" t="n">
        <v>0</v>
      </c>
      <c r="ARD7" s="20" t="n">
        <v>0</v>
      </c>
      <c r="ARE7" s="20" t="n">
        <v>0</v>
      </c>
      <c r="ARF7" s="20" t="n">
        <v>0</v>
      </c>
      <c r="ARG7" s="20" t="n">
        <v>0</v>
      </c>
      <c r="ARH7" s="20" t="n">
        <v>0</v>
      </c>
      <c r="ARI7" s="20" t="n">
        <v>0</v>
      </c>
      <c r="ARJ7" s="20" t="n">
        <v>0</v>
      </c>
      <c r="ARK7" s="20" t="n">
        <v>0</v>
      </c>
      <c r="ARL7" s="20" t="n">
        <v>0</v>
      </c>
      <c r="ARM7" s="20" t="n">
        <v>0</v>
      </c>
      <c r="ARN7" s="20" t="n">
        <v>0</v>
      </c>
      <c r="ARO7" s="20" t="n">
        <v>0</v>
      </c>
      <c r="ARP7" s="20" t="n">
        <v>0</v>
      </c>
      <c r="ARQ7" s="20" t="n">
        <v>0</v>
      </c>
      <c r="ARR7" s="61" t="n">
        <f aca="false">H_InvA0</f>
        <v>0</v>
      </c>
      <c r="ARS7" s="20" t="n">
        <v>0</v>
      </c>
      <c r="ART7" s="20" t="n">
        <v>0</v>
      </c>
      <c r="ARU7" s="20" t="n">
        <v>0</v>
      </c>
      <c r="ARV7" s="20" t="n">
        <v>0</v>
      </c>
      <c r="ARW7" s="20" t="n">
        <v>0</v>
      </c>
      <c r="ARX7" s="20" t="n">
        <v>0</v>
      </c>
      <c r="ARY7" s="20" t="n">
        <v>0</v>
      </c>
      <c r="ARZ7" s="20" t="n">
        <v>0</v>
      </c>
      <c r="ASA7" s="20" t="n">
        <v>0</v>
      </c>
      <c r="ASB7" s="20" t="n">
        <v>0</v>
      </c>
      <c r="ASC7" s="20" t="n">
        <v>0</v>
      </c>
      <c r="ASD7" s="20" t="n">
        <v>0</v>
      </c>
      <c r="ASE7" s="20" t="n">
        <v>0</v>
      </c>
      <c r="ASF7" s="20" t="n">
        <v>0</v>
      </c>
      <c r="ASG7" s="20" t="n">
        <v>0</v>
      </c>
      <c r="ASH7" s="20" t="n">
        <v>0</v>
      </c>
      <c r="ASI7" s="20" t="n">
        <v>0</v>
      </c>
      <c r="ASJ7" s="20" t="n">
        <v>0</v>
      </c>
      <c r="ASK7" s="20" t="n">
        <v>0</v>
      </c>
      <c r="ASL7" s="20" t="n">
        <v>0</v>
      </c>
      <c r="ASM7" s="20" t="n">
        <v>0</v>
      </c>
      <c r="ASN7" s="20" t="n">
        <v>0</v>
      </c>
      <c r="ASO7" s="20" t="n">
        <v>0</v>
      </c>
      <c r="ASP7" s="20" t="n">
        <v>0</v>
      </c>
      <c r="ASQ7" s="20" t="n">
        <v>0</v>
      </c>
      <c r="ASR7" s="20" t="n">
        <v>0</v>
      </c>
      <c r="ASS7" s="20" t="n">
        <v>0</v>
      </c>
      <c r="AST7" s="20" t="n">
        <v>0</v>
      </c>
      <c r="ASU7" s="20" t="n">
        <v>0</v>
      </c>
      <c r="ASV7" s="20" t="n">
        <v>0</v>
      </c>
      <c r="ASW7" s="20" t="n">
        <v>0</v>
      </c>
      <c r="ASX7" s="20" t="n">
        <v>0</v>
      </c>
      <c r="ASY7" s="20" t="n">
        <v>0</v>
      </c>
      <c r="ASZ7" s="20" t="n">
        <v>0</v>
      </c>
      <c r="ATA7" s="20" t="n">
        <v>0</v>
      </c>
      <c r="ATB7" s="20" t="n">
        <v>0</v>
      </c>
      <c r="ATC7" s="20" t="n">
        <v>0</v>
      </c>
      <c r="ATD7" s="20" t="n">
        <v>0</v>
      </c>
      <c r="ATE7" s="20" t="n">
        <v>0</v>
      </c>
      <c r="ATF7" s="20" t="n">
        <v>0</v>
      </c>
      <c r="ATG7" s="20" t="n">
        <v>0</v>
      </c>
      <c r="ATH7" s="20" t="n">
        <v>0</v>
      </c>
      <c r="ATI7" s="20" t="n">
        <v>0</v>
      </c>
      <c r="ATJ7" s="20" t="n">
        <v>0</v>
      </c>
      <c r="ATK7" s="20" t="n">
        <v>0</v>
      </c>
      <c r="ATL7" s="20" t="n">
        <v>0</v>
      </c>
      <c r="ATM7" s="20" t="n">
        <v>0</v>
      </c>
      <c r="ATN7" s="20" t="n">
        <v>0</v>
      </c>
      <c r="ATO7" s="20" t="n">
        <v>0</v>
      </c>
      <c r="ATP7" s="20" t="n">
        <v>0</v>
      </c>
      <c r="ATQ7" s="20" t="n">
        <v>0</v>
      </c>
      <c r="ATR7" s="20" t="n">
        <v>0</v>
      </c>
      <c r="ATS7" s="20" t="n">
        <v>0</v>
      </c>
      <c r="ATT7" s="20" t="n">
        <v>0</v>
      </c>
      <c r="ATU7" s="20" t="n">
        <v>0</v>
      </c>
      <c r="ATV7" s="20" t="n">
        <v>0</v>
      </c>
      <c r="ATW7" s="20" t="n">
        <v>0</v>
      </c>
      <c r="ATX7" s="20" t="n">
        <v>0</v>
      </c>
      <c r="ATY7" s="20" t="n">
        <v>0</v>
      </c>
      <c r="ATZ7" s="20" t="n">
        <v>0</v>
      </c>
      <c r="AUA7" s="20" t="n">
        <v>0</v>
      </c>
      <c r="AUB7" s="20" t="n">
        <v>0</v>
      </c>
      <c r="AUC7" s="20" t="n">
        <v>0</v>
      </c>
      <c r="AUD7" s="20" t="n">
        <v>0</v>
      </c>
      <c r="AUE7" s="20" t="n">
        <v>0</v>
      </c>
      <c r="AUF7" s="20" t="n">
        <v>0</v>
      </c>
      <c r="AUG7" s="20" t="n">
        <v>0</v>
      </c>
      <c r="AUH7" s="20" t="n">
        <v>0</v>
      </c>
      <c r="AUI7" s="20" t="n">
        <v>0</v>
      </c>
      <c r="AUJ7" s="20" t="n">
        <v>0</v>
      </c>
      <c r="AUK7" s="20" t="n">
        <v>0</v>
      </c>
      <c r="AUL7" s="20" t="n">
        <v>0</v>
      </c>
      <c r="AUM7" s="20" t="n">
        <v>0</v>
      </c>
      <c r="AUN7" s="20" t="n">
        <v>0</v>
      </c>
      <c r="AUO7" s="20" t="n">
        <v>0</v>
      </c>
      <c r="AUP7" s="20" t="n">
        <v>0</v>
      </c>
      <c r="AUQ7" s="20" t="n">
        <v>0</v>
      </c>
      <c r="AUR7" s="20" t="n">
        <v>0</v>
      </c>
      <c r="AUS7" s="20" t="n">
        <v>0</v>
      </c>
      <c r="AUT7" s="20" t="n">
        <v>0</v>
      </c>
      <c r="AUU7" s="20" t="n">
        <v>0</v>
      </c>
      <c r="AUV7" s="20" t="n">
        <v>0</v>
      </c>
      <c r="AUW7" s="20" t="n">
        <v>0</v>
      </c>
      <c r="AUX7" s="20" t="n">
        <v>0</v>
      </c>
      <c r="AUY7" s="20" t="n">
        <v>0</v>
      </c>
      <c r="AUZ7" s="20" t="n">
        <v>0</v>
      </c>
      <c r="AVA7" s="20" t="n">
        <v>0</v>
      </c>
      <c r="AVB7" s="20" t="n">
        <v>0</v>
      </c>
      <c r="AVC7" s="20" t="n">
        <v>0</v>
      </c>
      <c r="AVD7" s="20" t="n">
        <v>0</v>
      </c>
      <c r="AVE7" s="20" t="n">
        <v>0</v>
      </c>
      <c r="AVF7" s="20" t="n">
        <v>0</v>
      </c>
      <c r="AVG7" s="20" t="n">
        <v>0</v>
      </c>
      <c r="AVH7" s="20" t="n">
        <v>0</v>
      </c>
      <c r="AVI7" s="20" t="n">
        <v>0</v>
      </c>
      <c r="AVJ7" s="20" t="n">
        <v>0</v>
      </c>
      <c r="AVK7" s="20" t="n">
        <v>0</v>
      </c>
      <c r="AVL7" s="20" t="n">
        <v>0</v>
      </c>
      <c r="AVM7" s="20" t="n">
        <v>0</v>
      </c>
      <c r="AVN7" s="20" t="n">
        <v>0</v>
      </c>
      <c r="AVO7" s="20" t="n">
        <v>0</v>
      </c>
      <c r="AVP7" s="20" t="n">
        <v>0</v>
      </c>
      <c r="AVQ7" s="20" t="n">
        <v>0</v>
      </c>
      <c r="AVR7" s="20" t="n">
        <v>0</v>
      </c>
      <c r="AVS7" s="20" t="n">
        <v>0</v>
      </c>
      <c r="AVT7" s="20" t="n">
        <v>0</v>
      </c>
      <c r="AVU7" s="20" t="n">
        <v>0</v>
      </c>
      <c r="AVV7" s="20" t="n">
        <v>0</v>
      </c>
      <c r="AVW7" s="20" t="n">
        <v>0</v>
      </c>
      <c r="AVX7" s="20" t="n">
        <v>0</v>
      </c>
      <c r="AVY7" s="20" t="n">
        <v>0</v>
      </c>
      <c r="AVZ7" s="20" t="n">
        <v>0</v>
      </c>
      <c r="AWA7" s="20" t="n">
        <v>0</v>
      </c>
      <c r="AWB7" s="20" t="n">
        <v>0</v>
      </c>
      <c r="AWC7" s="20" t="n">
        <v>0</v>
      </c>
      <c r="AWD7" s="20" t="n">
        <v>0</v>
      </c>
      <c r="AWE7" s="20" t="n">
        <v>0</v>
      </c>
      <c r="AWF7" s="20" t="n">
        <v>0</v>
      </c>
      <c r="AWG7" s="20" t="n">
        <v>0</v>
      </c>
      <c r="AWH7" s="20" t="n">
        <v>0</v>
      </c>
      <c r="AWI7" s="20" t="n">
        <v>0</v>
      </c>
      <c r="AWJ7" s="20" t="n">
        <v>0</v>
      </c>
      <c r="AWK7" s="20" t="n">
        <v>0</v>
      </c>
      <c r="AWL7" s="20" t="n">
        <v>0</v>
      </c>
      <c r="AWM7" s="20" t="n">
        <v>0</v>
      </c>
      <c r="AWN7" s="20" t="n">
        <v>0</v>
      </c>
      <c r="AWO7" s="20" t="n">
        <v>0</v>
      </c>
      <c r="AWP7" s="20" t="n">
        <v>0</v>
      </c>
      <c r="AWQ7" s="20" t="n">
        <v>0</v>
      </c>
      <c r="AWR7" s="20" t="n">
        <v>0</v>
      </c>
      <c r="AWS7" s="20" t="n">
        <v>0</v>
      </c>
      <c r="AWT7" s="20" t="n">
        <v>0</v>
      </c>
      <c r="AWU7" s="20" t="n">
        <v>0</v>
      </c>
      <c r="AWV7" s="20" t="n">
        <v>0</v>
      </c>
      <c r="AWW7" s="20" t="n">
        <v>0</v>
      </c>
      <c r="AWX7" s="20" t="n">
        <v>0</v>
      </c>
      <c r="AWY7" s="20" t="n">
        <v>0</v>
      </c>
      <c r="AWZ7" s="20" t="n">
        <v>0</v>
      </c>
      <c r="AXA7" s="20" t="n">
        <v>0</v>
      </c>
      <c r="AXB7" s="20" t="n">
        <v>0</v>
      </c>
      <c r="AXC7" s="20" t="n">
        <v>0</v>
      </c>
      <c r="AXD7" s="20" t="n">
        <v>0</v>
      </c>
      <c r="AXE7" s="20" t="n">
        <v>0</v>
      </c>
      <c r="AXF7" s="20" t="n">
        <v>0</v>
      </c>
      <c r="AXG7" s="20" t="n">
        <v>0</v>
      </c>
      <c r="AXH7" s="20" t="n">
        <v>0</v>
      </c>
      <c r="AXI7" s="20" t="n">
        <v>0</v>
      </c>
      <c r="AXJ7" s="20" t="n">
        <v>0</v>
      </c>
      <c r="AXK7" s="20" t="n">
        <v>0</v>
      </c>
      <c r="AXL7" s="20" t="n">
        <v>0</v>
      </c>
      <c r="AXM7" s="20" t="n">
        <v>0</v>
      </c>
      <c r="AXN7" s="20" t="n">
        <v>0</v>
      </c>
      <c r="AXO7" s="20" t="n">
        <v>0</v>
      </c>
      <c r="AXP7" s="20" t="n">
        <v>0</v>
      </c>
      <c r="AXQ7" s="20" t="n">
        <v>0</v>
      </c>
      <c r="AXR7" s="20" t="n">
        <v>0</v>
      </c>
      <c r="AXS7" s="20" t="n">
        <v>0</v>
      </c>
      <c r="AXT7" s="20" t="n">
        <v>0</v>
      </c>
      <c r="AXU7" s="20" t="n">
        <v>0</v>
      </c>
      <c r="AXV7" s="20" t="n">
        <v>0</v>
      </c>
      <c r="AXW7" s="20" t="n">
        <v>0</v>
      </c>
      <c r="AXX7" s="20" t="n">
        <v>0</v>
      </c>
      <c r="AXY7" s="20" t="n">
        <v>0</v>
      </c>
      <c r="AXZ7" s="20" t="n">
        <v>0</v>
      </c>
      <c r="AYA7" s="20" t="n">
        <v>0</v>
      </c>
      <c r="AYB7" s="20" t="n">
        <v>0</v>
      </c>
      <c r="AYC7" s="20" t="n">
        <v>0</v>
      </c>
      <c r="AYD7" s="20" t="n">
        <v>0</v>
      </c>
      <c r="AYE7" s="20" t="n">
        <v>0</v>
      </c>
      <c r="AYF7" s="20" t="n">
        <v>0</v>
      </c>
      <c r="AYG7" s="20" t="n">
        <v>0</v>
      </c>
      <c r="AYH7" s="20" t="n">
        <v>0</v>
      </c>
      <c r="AYI7" s="20" t="n">
        <v>0</v>
      </c>
      <c r="AYJ7" s="20" t="n">
        <v>0</v>
      </c>
      <c r="AYK7" s="20" t="n">
        <v>0</v>
      </c>
      <c r="AYL7" s="20" t="n">
        <v>0</v>
      </c>
      <c r="AYM7" s="20" t="n">
        <v>0</v>
      </c>
      <c r="AYN7" s="20" t="n">
        <v>0</v>
      </c>
      <c r="AYO7" s="20" t="n">
        <v>0</v>
      </c>
      <c r="AYP7" s="20" t="n">
        <v>0</v>
      </c>
      <c r="AYQ7" s="20" t="n">
        <v>0</v>
      </c>
    </row>
    <row r="8" customFormat="false" ht="15" hidden="false" customHeight="false" outlineLevel="0" collapsed="false">
      <c r="B8" s="20" t="n">
        <v>0</v>
      </c>
      <c r="C8" s="20" t="n">
        <f aca="false">'Plan cashflow'!C8</f>
        <v>1</v>
      </c>
      <c r="D8" s="20" t="n">
        <f aca="false">'Plan cashflow'!D8</f>
        <v>38</v>
      </c>
      <c r="E8" s="20" t="n">
        <f aca="false">AS_Year0+0</f>
        <v>2026</v>
      </c>
      <c r="F8" s="50" t="n">
        <f aca="false">'Plan cashflow'!F8</f>
        <v>1</v>
      </c>
      <c r="G8" s="59" t="n">
        <f aca="true">IF(MAX(TODAY(),DATE(E8,1,1))&gt;=H_CGTfrom,H_CGT1,H_CGT0)</f>
        <v>0.31</v>
      </c>
      <c r="H8" s="20" t="n">
        <f aca="false">H_Exempt*H_Persons</f>
        <v>1270</v>
      </c>
      <c r="I8" s="20" t="n">
        <f aca="false">AX7</f>
        <v>0</v>
      </c>
      <c r="J8" s="60" t="n">
        <f aca="false">BF7</f>
        <v>0</v>
      </c>
      <c r="K8" s="60" t="n">
        <f aca="false">BG7</f>
        <v>0</v>
      </c>
      <c r="L8" s="20" t="n">
        <f aca="false">IF(AND(In_polLump&gt;0,In_polLumpAge&gt;0,D8=In_polLumpAge),In_polLump,0)</f>
        <v>0</v>
      </c>
      <c r="M8" s="20" t="n">
        <f aca="false">IF(AND(In_homeUse="Yes, I'd downsize",In_downAge&gt;0,D8=In_downAge,OR(In_home="Own outright",In_home="Own with mortgage"),In_homeValue&gt;0),MAX(0,MAX(0,In_homeValue-In_downValue)*F8*0.9-'Plan cashflow'!HR7),0)</f>
        <v>0</v>
      </c>
      <c r="N8" s="20" t="n">
        <f aca="false">'Plan pay &amp; tax'!Y234</f>
        <v>0</v>
      </c>
      <c r="O8" s="20" t="n">
        <f aca="false">L8+M8+(1-H_Sh)*N8</f>
        <v>0</v>
      </c>
      <c r="P8" s="20" t="n">
        <f aca="false">H_Sh*N8</f>
        <v>0</v>
      </c>
      <c r="Q8" s="20" t="n">
        <f aca="false">'Plan cashflow'!UL8</f>
        <v>0</v>
      </c>
      <c r="R8" s="20" t="n">
        <f aca="false">(1-H_Sh)*Q8</f>
        <v>0</v>
      </c>
      <c r="S8" s="20" t="n">
        <f aca="false">H_Sh*Q8</f>
        <v>0</v>
      </c>
      <c r="T8" s="20" t="n">
        <f aca="false">J8+K8+O8</f>
        <v>0</v>
      </c>
      <c r="U8" s="20" t="n">
        <f aca="false">T8+R8</f>
        <v>0</v>
      </c>
      <c r="V8" s="60" t="n">
        <f aca="false">SUM(FE8:IQ8)</f>
        <v>0</v>
      </c>
      <c r="W8" s="60" t="n">
        <f aca="false">IF(AJ8&lt;=0,0,IF(AL8&lt;=0,AJ8,AJ8-G8*MAX(0,AL8*AJ8-(AY8+AZ8))))</f>
        <v>0</v>
      </c>
      <c r="X8" s="60" t="n">
        <f aca="false">IF(AR8&lt;=0,0,IF(AT8&lt;=0,AR8,AR8-G8*MAX(0,AT8*AR8-(BA8+BB8))))</f>
        <v>0</v>
      </c>
      <c r="Y8" s="60" t="n">
        <f aca="false">T8+V8-S8+W8+X8</f>
        <v>0</v>
      </c>
      <c r="Z8" s="60" t="n">
        <f aca="false">'Plan cashflow'!UK8</f>
        <v>0</v>
      </c>
      <c r="AA8" s="20" t="n">
        <f aca="false">MIN(Z8,U8)</f>
        <v>0</v>
      </c>
      <c r="AB8" s="20" t="n">
        <f aca="false">Z8-AA8</f>
        <v>0</v>
      </c>
      <c r="AC8" s="20" t="n">
        <f aca="false">MIN(AA8,J8+O8+R8)</f>
        <v>0</v>
      </c>
      <c r="AD8" s="20" t="n">
        <f aca="false">AA8-AC8</f>
        <v>0</v>
      </c>
      <c r="AE8" s="20" t="n">
        <f aca="false">J8+O8+R8-AC8</f>
        <v>0</v>
      </c>
      <c r="AF8" s="20" t="n">
        <f aca="false">K8-AD8</f>
        <v>0</v>
      </c>
      <c r="AG8" s="20" t="n">
        <f aca="false">SUM(PR8:TD8)</f>
        <v>0</v>
      </c>
      <c r="AH8" s="20" t="n">
        <f aca="false">SUM(TE8:WQ8)</f>
        <v>0</v>
      </c>
      <c r="AI8" s="20" t="n">
        <f aca="false">MAX(0,AB8-AG8)</f>
        <v>0</v>
      </c>
      <c r="AJ8" s="57" t="n">
        <f aca="false">BI7</f>
        <v>0</v>
      </c>
      <c r="AK8" s="20" t="n">
        <f aca="false">BJ7</f>
        <v>0</v>
      </c>
      <c r="AL8" s="20" t="n">
        <f aca="false">IF(AJ8&gt;0,(AJ8-AK8)/AJ8,0)</f>
        <v>0</v>
      </c>
      <c r="AM8" s="20" t="n">
        <f aca="false">IF(AJ8&lt;=0,0,IF(AL8&lt;=0,MIN(AI8,AJ8),MIN(AI8,AJ8-G8*MAX(0,AL8*AJ8-(AAD8+ADQ8)))))</f>
        <v>0</v>
      </c>
      <c r="AN8" s="20" t="n">
        <f aca="false">IF(AJ8&lt;=0,0,IF(AL8&lt;=0,AM8,IF(AM8&lt;=(AAD8+ADQ8)/AL8,AM8,(AM8-G8*(AAD8+ADQ8))/(1-G8*AL8))))</f>
        <v>0</v>
      </c>
      <c r="AO8" s="20" t="n">
        <f aca="false">IF(AL8&gt;0,MAX(0,AAD8-(MIN(AL8*AN8,(AAD8+ADQ8))-MIN(MIN(AL8*AN8,(AAD8+ADQ8)),ADQ8))),AAD8)</f>
        <v>1270</v>
      </c>
      <c r="AP8" s="20" t="n">
        <f aca="false">IF(AL8&lt;=0,ADQ8-AL8*AN8,ADQ8-MIN(MIN(AL8*AN8,(AAD8+ADQ8)),ADQ8))</f>
        <v>0</v>
      </c>
      <c r="AQ8" s="20" t="n">
        <f aca="false">MAX(0,AI8-AM8)</f>
        <v>0</v>
      </c>
      <c r="AR8" s="57" t="n">
        <f aca="false">BK7</f>
        <v>0</v>
      </c>
      <c r="AS8" s="20" t="n">
        <f aca="false">BL7</f>
        <v>0</v>
      </c>
      <c r="AT8" s="20" t="n">
        <f aca="false">IF(AR8&gt;0,(AR8-AS8)/AR8,0)</f>
        <v>0</v>
      </c>
      <c r="AU8" s="20" t="n">
        <f aca="false">IF(AR8&lt;=0,0,IF(AT8&lt;=0,MIN(AQ8,AR8),MIN(AQ8,AR8-G8*MAX(0,AT8*AR8-(AO8+AP8)))))</f>
        <v>0</v>
      </c>
      <c r="AV8" s="20" t="n">
        <f aca="false">IF(AR8&lt;=0,0,IF(AT8&lt;=0,AU8,IF(AU8&lt;=(AO8+AP8)/AT8,AU8,(AU8-G8*(AO8+AP8))/(1-G8*AT8))))</f>
        <v>0</v>
      </c>
      <c r="AW8" s="20" t="n">
        <f aca="false">IF(AT8&gt;0,MAX(0,AO8-(MIN(AT8*AV8,(AO8+AP8))-MIN(MIN(AT8*AV8,(AO8+AP8)),AP8))),AO8)</f>
        <v>1270</v>
      </c>
      <c r="AX8" s="20" t="n">
        <f aca="false">IF(AT8&lt;=0,AP8-AT8*AV8,AP8-MIN(MIN(AT8*AV8,(AO8+AP8)),AP8))</f>
        <v>0</v>
      </c>
      <c r="AY8" s="20" t="n">
        <f aca="false">MD8</f>
        <v>1270</v>
      </c>
      <c r="AZ8" s="20" t="n">
        <f aca="false">PQ8</f>
        <v>0</v>
      </c>
      <c r="BA8" s="20" t="n">
        <f aca="false">IF(AL8&gt;0,MAX(0,AY8-(MIN(AL8*AJ8,AY8+AZ8)-MIN(MIN(AL8*AJ8,AY8+AZ8),AZ8))),AY8)</f>
        <v>1270</v>
      </c>
      <c r="BB8" s="20" t="n">
        <f aca="false">IF(AL8&lt;=0,AZ8-AL8*AJ8,AZ8-MIN(MIN(AL8*AJ8,AY8+AZ8),AZ8))</f>
        <v>0</v>
      </c>
      <c r="BC8" s="20" t="n">
        <f aca="false">'Plan cashflow'!UM8</f>
        <v>0</v>
      </c>
      <c r="BD8" s="20" t="n">
        <f aca="false">(1-H_Sh)*BC8</f>
        <v>0</v>
      </c>
      <c r="BE8" s="20" t="n">
        <f aca="false">H_Sh*BC8</f>
        <v>0</v>
      </c>
      <c r="BF8" s="60" t="n">
        <f aca="false">(AE8+BD8)*(1+AS_Cash)</f>
        <v>0</v>
      </c>
      <c r="BG8" s="60" t="n">
        <f aca="false">AF8*(1+AS_Cash)</f>
        <v>0</v>
      </c>
      <c r="BH8" s="60" t="n">
        <f aca="false">SUM(AKR8:AOD8)</f>
        <v>0</v>
      </c>
      <c r="BI8" s="60" t="n">
        <f aca="false">(AJ8-AN8)*(1+AS_Infl)</f>
        <v>0</v>
      </c>
      <c r="BJ8" s="20" t="n">
        <f aca="false">IF(AJ8&gt;0,AK8-AK8*AN8/AJ8,0)</f>
        <v>0</v>
      </c>
      <c r="BK8" s="60" t="n">
        <f aca="false">(AR8-AV8)*(1+BQ8)</f>
        <v>0</v>
      </c>
      <c r="BL8" s="20" t="n">
        <f aca="false">IF(AR8&gt;0,AS8-AS8*AV8/AR8,0)</f>
        <v>0</v>
      </c>
      <c r="BM8" s="60" t="n">
        <f aca="false">BF8+BG8+BH8+BI8+BK8</f>
        <v>0</v>
      </c>
      <c r="BN8" s="60" t="n">
        <f aca="false">(AH8-AG8)+(AN8-AM8)+(AV8-AU8)</f>
        <v>0</v>
      </c>
      <c r="BO8" s="20" t="n">
        <f aca="false">(AE8+BD8+AF8+MAX(0,'Plan cashflow'!QH8)+IF(Slot1_Rate=AS_Cash,'Plan cashflow'!QM8/(1+AS_Cash),0)+IF(Slot2_Rate=AS_Cash,'Plan cashflow'!QQ8/(1+AS_Cash),0)+IF(Slot3_Rate=AS_Cash,'Plan cashflow'!QU8/(1+AS_Cash),0)+IF(Slot4_Rate=AS_Cash,'Plan cashflow'!QY8/(1+AS_Cash),0)+IF(Slot5_Rate=AS_Cash,'Plan cashflow'!RC8/(1+AS_Cash),0)+IF(Slot6_Rate=AS_Cash,'Plan cashflow'!RG8/(1+AS_Cash),0)+IF(Slot7_Rate=AS_Cash,'Plan cashflow'!RK8/(1+AS_Cash),0)+IF(Slot8_Rate=AS_Cash,'Plan cashflow'!RO8/(1+AS_Cash),0)+IF(Slot9_Rate=AS_Cash,'Plan cashflow'!RS8/(1+AS_Cash),0)+IF(Slot10_Rate=AS_Cash,'Plan cashflow'!RW8/(1+AS_Cash),0)+IF(Slot11_Rate=AS_Cash,'Plan cashflow'!SA8/(1+AS_Cash),0)+IF(Slot12_Rate=AS_Cash,'Plan cashflow'!SE8/(1+AS_Cash),0)+IF(Slot13_Rate=AS_Cash,'Plan cashflow'!SI8/(1+AS_Cash),0)+IF(Slot14_Rate=AS_Cash,'Plan cashflow'!SM8/(1+AS_Cash),0)+IF(Slot15_Rate=AS_Cash,'Plan cashflow'!SQ8/(1+AS_Cash),0)+IF(Slot16_Rate=AS_Cash,'Plan cashflow'!SU8/(1+AS_Cash),0)+IF(Slot17_Rate=AS_Cash,'Plan cashflow'!SY8/(1+AS_Cash),0)+IF(Slot18_Rate=AS_Cash,'Plan cashflow'!TC8/(1+AS_Cash),0)+IF(Slot19_Rate=AS_Cash,'Plan cashflow'!TG8/(1+AS_Cash),0)+IF(Slot20_Rate=AS_Cash,'Plan cashflow'!TK8/(1+AS_Cash),0))*AS_Cash*H_DIRT/(1-H_DIRT)</f>
        <v>78.8452759676731</v>
      </c>
      <c r="BP8" s="60" t="n">
        <f aca="false">SUM(AVE8:AYQ8)</f>
        <v>0</v>
      </c>
      <c r="BQ8" s="54" t="n">
        <f aca="false">IF(H_TaxEvt=1,H_InvG,AS_Inv)</f>
        <v>0.04</v>
      </c>
      <c r="BR8" s="20" t="n">
        <f aca="false">IF(AKR7&gt;0,(AKR7-AOE7)/AKR7,0)</f>
        <v>0</v>
      </c>
      <c r="BS8" s="20" t="n">
        <f aca="false">IF((P8+S8)&gt;0,((P8+S8)-(P8+S8))/(P8+S8),0)</f>
        <v>0</v>
      </c>
      <c r="BT8" s="20" t="n">
        <v>0</v>
      </c>
      <c r="BU8" s="20" t="n">
        <v>0</v>
      </c>
      <c r="BV8" s="20" t="n">
        <v>0</v>
      </c>
      <c r="BW8" s="20" t="n">
        <v>0</v>
      </c>
      <c r="BX8" s="20" t="n">
        <v>0</v>
      </c>
      <c r="BY8" s="20" t="n">
        <v>0</v>
      </c>
      <c r="BZ8" s="20" t="n">
        <v>0</v>
      </c>
      <c r="CA8" s="20" t="n">
        <v>0</v>
      </c>
      <c r="CB8" s="20" t="n">
        <v>0</v>
      </c>
      <c r="CC8" s="20" t="n">
        <v>0</v>
      </c>
      <c r="CD8" s="20" t="n">
        <v>0</v>
      </c>
      <c r="CE8" s="20" t="n">
        <v>0</v>
      </c>
      <c r="CF8" s="20" t="n">
        <v>0</v>
      </c>
      <c r="CG8" s="20" t="n">
        <v>0</v>
      </c>
      <c r="CH8" s="20" t="n">
        <v>0</v>
      </c>
      <c r="CI8" s="20" t="n">
        <v>0</v>
      </c>
      <c r="CJ8" s="20" t="n">
        <v>0</v>
      </c>
      <c r="CK8" s="20" t="n">
        <v>0</v>
      </c>
      <c r="CL8" s="20" t="n">
        <v>0</v>
      </c>
      <c r="CM8" s="20" t="n">
        <v>0</v>
      </c>
      <c r="CN8" s="20" t="n">
        <v>0</v>
      </c>
      <c r="CO8" s="20" t="n">
        <v>0</v>
      </c>
      <c r="CP8" s="20" t="n">
        <v>0</v>
      </c>
      <c r="CQ8" s="20" t="n">
        <v>0</v>
      </c>
      <c r="CR8" s="20" t="n">
        <v>0</v>
      </c>
      <c r="CS8" s="20" t="n">
        <v>0</v>
      </c>
      <c r="CT8" s="20" t="n">
        <v>0</v>
      </c>
      <c r="CU8" s="20" t="n">
        <v>0</v>
      </c>
      <c r="CV8" s="20" t="n">
        <v>0</v>
      </c>
      <c r="CW8" s="20" t="n">
        <v>0</v>
      </c>
      <c r="CX8" s="20" t="n">
        <v>0</v>
      </c>
      <c r="CY8" s="20" t="n">
        <v>0</v>
      </c>
      <c r="CZ8" s="20" t="n">
        <v>0</v>
      </c>
      <c r="DA8" s="20" t="n">
        <v>0</v>
      </c>
      <c r="DB8" s="20" t="n">
        <v>0</v>
      </c>
      <c r="DC8" s="20" t="n">
        <v>0</v>
      </c>
      <c r="DD8" s="20" t="n">
        <v>0</v>
      </c>
      <c r="DE8" s="20" t="n">
        <v>0</v>
      </c>
      <c r="DF8" s="20" t="n">
        <v>0</v>
      </c>
      <c r="DG8" s="20" t="n">
        <v>0</v>
      </c>
      <c r="DH8" s="20" t="n">
        <v>0</v>
      </c>
      <c r="DI8" s="20" t="n">
        <v>0</v>
      </c>
      <c r="DJ8" s="20" t="n">
        <v>0</v>
      </c>
      <c r="DK8" s="20" t="n">
        <v>0</v>
      </c>
      <c r="DL8" s="20" t="n">
        <v>0</v>
      </c>
      <c r="DM8" s="20" t="n">
        <v>0</v>
      </c>
      <c r="DN8" s="20" t="n">
        <v>0</v>
      </c>
      <c r="DO8" s="20" t="n">
        <v>0</v>
      </c>
      <c r="DP8" s="20" t="n">
        <v>0</v>
      </c>
      <c r="DQ8" s="20" t="n">
        <v>0</v>
      </c>
      <c r="DR8" s="20" t="n">
        <v>0</v>
      </c>
      <c r="DS8" s="20" t="n">
        <v>0</v>
      </c>
      <c r="DT8" s="20" t="n">
        <v>0</v>
      </c>
      <c r="DU8" s="20" t="n">
        <v>0</v>
      </c>
      <c r="DV8" s="20" t="n">
        <v>0</v>
      </c>
      <c r="DW8" s="20" t="n">
        <v>0</v>
      </c>
      <c r="DX8" s="20" t="n">
        <v>0</v>
      </c>
      <c r="DY8" s="20" t="n">
        <v>0</v>
      </c>
      <c r="DZ8" s="20" t="n">
        <v>0</v>
      </c>
      <c r="EA8" s="20" t="n">
        <v>0</v>
      </c>
      <c r="EB8" s="20" t="n">
        <v>0</v>
      </c>
      <c r="EC8" s="20" t="n">
        <v>0</v>
      </c>
      <c r="ED8" s="20" t="n">
        <v>0</v>
      </c>
      <c r="EE8" s="20" t="n">
        <v>0</v>
      </c>
      <c r="EF8" s="20" t="n">
        <v>0</v>
      </c>
      <c r="EG8" s="20" t="n">
        <v>0</v>
      </c>
      <c r="EH8" s="20" t="n">
        <v>0</v>
      </c>
      <c r="EI8" s="20" t="n">
        <v>0</v>
      </c>
      <c r="EJ8" s="20" t="n">
        <v>0</v>
      </c>
      <c r="EK8" s="20" t="n">
        <v>0</v>
      </c>
      <c r="EL8" s="20" t="n">
        <v>0</v>
      </c>
      <c r="EM8" s="20" t="n">
        <v>0</v>
      </c>
      <c r="EN8" s="20" t="n">
        <v>0</v>
      </c>
      <c r="EO8" s="20" t="n">
        <v>0</v>
      </c>
      <c r="EP8" s="20" t="n">
        <v>0</v>
      </c>
      <c r="EQ8" s="20" t="n">
        <v>0</v>
      </c>
      <c r="ER8" s="20" t="n">
        <v>0</v>
      </c>
      <c r="ES8" s="20" t="n">
        <v>0</v>
      </c>
      <c r="ET8" s="20" t="n">
        <v>0</v>
      </c>
      <c r="EU8" s="20" t="n">
        <v>0</v>
      </c>
      <c r="EV8" s="20" t="n">
        <v>0</v>
      </c>
      <c r="EW8" s="20" t="n">
        <v>0</v>
      </c>
      <c r="EX8" s="20" t="n">
        <v>0</v>
      </c>
      <c r="EY8" s="20" t="n">
        <v>0</v>
      </c>
      <c r="EZ8" s="20" t="n">
        <v>0</v>
      </c>
      <c r="FA8" s="20" t="n">
        <v>0</v>
      </c>
      <c r="FB8" s="20" t="n">
        <v>0</v>
      </c>
      <c r="FC8" s="20" t="n">
        <v>0</v>
      </c>
      <c r="FD8" s="20" t="n">
        <v>0</v>
      </c>
      <c r="FE8" s="20" t="n">
        <f aca="false">IF(H_Direct=1,IF(AKR7&lt;=0,0,IF(BR8&lt;=0,AKR7,AKR7-G8*MAX(0,BR8*AKR7-(H8+I8)))),AKR7*(1-MAX(0,BR8)*H_Exit))</f>
        <v>0</v>
      </c>
      <c r="FF8" s="20" t="n">
        <f aca="false">IF(H_Direct=1,IF((P8+S8)&lt;=0,0,IF(BS8&lt;=0,(P8+S8),(P8+S8)-G8*MAX(0,BS8*(P8+S8)-(IR8+ME8)))),(P8+S8)*(1-MAX(0,BS8)*H_Exit))</f>
        <v>0</v>
      </c>
      <c r="FG8" s="20" t="n">
        <v>0</v>
      </c>
      <c r="FH8" s="20" t="n">
        <v>0</v>
      </c>
      <c r="FI8" s="20" t="n">
        <v>0</v>
      </c>
      <c r="FJ8" s="20" t="n">
        <v>0</v>
      </c>
      <c r="FK8" s="20" t="n">
        <v>0</v>
      </c>
      <c r="FL8" s="20" t="n">
        <v>0</v>
      </c>
      <c r="FM8" s="20" t="n">
        <v>0</v>
      </c>
      <c r="FN8" s="20" t="n">
        <v>0</v>
      </c>
      <c r="FO8" s="20" t="n">
        <v>0</v>
      </c>
      <c r="FP8" s="20" t="n">
        <v>0</v>
      </c>
      <c r="FQ8" s="20" t="n">
        <v>0</v>
      </c>
      <c r="FR8" s="20" t="n">
        <v>0</v>
      </c>
      <c r="FS8" s="20" t="n">
        <v>0</v>
      </c>
      <c r="FT8" s="20" t="n">
        <v>0</v>
      </c>
      <c r="FU8" s="20" t="n">
        <v>0</v>
      </c>
      <c r="FV8" s="20" t="n">
        <v>0</v>
      </c>
      <c r="FW8" s="20" t="n">
        <v>0</v>
      </c>
      <c r="FX8" s="20" t="n">
        <v>0</v>
      </c>
      <c r="FY8" s="20" t="n">
        <v>0</v>
      </c>
      <c r="FZ8" s="20" t="n">
        <v>0</v>
      </c>
      <c r="GA8" s="20" t="n">
        <v>0</v>
      </c>
      <c r="GB8" s="20" t="n">
        <v>0</v>
      </c>
      <c r="GC8" s="20" t="n">
        <v>0</v>
      </c>
      <c r="GD8" s="20" t="n">
        <v>0</v>
      </c>
      <c r="GE8" s="20" t="n">
        <v>0</v>
      </c>
      <c r="GF8" s="20" t="n">
        <v>0</v>
      </c>
      <c r="GG8" s="20" t="n">
        <v>0</v>
      </c>
      <c r="GH8" s="20" t="n">
        <v>0</v>
      </c>
      <c r="GI8" s="20" t="n">
        <v>0</v>
      </c>
      <c r="GJ8" s="20" t="n">
        <v>0</v>
      </c>
      <c r="GK8" s="20" t="n">
        <v>0</v>
      </c>
      <c r="GL8" s="20" t="n">
        <v>0</v>
      </c>
      <c r="GM8" s="20" t="n">
        <v>0</v>
      </c>
      <c r="GN8" s="20" t="n">
        <v>0</v>
      </c>
      <c r="GO8" s="20" t="n">
        <v>0</v>
      </c>
      <c r="GP8" s="20" t="n">
        <v>0</v>
      </c>
      <c r="GQ8" s="20" t="n">
        <v>0</v>
      </c>
      <c r="GR8" s="20" t="n">
        <v>0</v>
      </c>
      <c r="GS8" s="20" t="n">
        <v>0</v>
      </c>
      <c r="GT8" s="20" t="n">
        <v>0</v>
      </c>
      <c r="GU8" s="20" t="n">
        <v>0</v>
      </c>
      <c r="GV8" s="20" t="n">
        <v>0</v>
      </c>
      <c r="GW8" s="20" t="n">
        <v>0</v>
      </c>
      <c r="GX8" s="20" t="n">
        <v>0</v>
      </c>
      <c r="GY8" s="20" t="n">
        <v>0</v>
      </c>
      <c r="GZ8" s="20" t="n">
        <v>0</v>
      </c>
      <c r="HA8" s="20" t="n">
        <v>0</v>
      </c>
      <c r="HB8" s="20" t="n">
        <v>0</v>
      </c>
      <c r="HC8" s="20" t="n">
        <v>0</v>
      </c>
      <c r="HD8" s="20" t="n">
        <v>0</v>
      </c>
      <c r="HE8" s="20" t="n">
        <v>0</v>
      </c>
      <c r="HF8" s="20" t="n">
        <v>0</v>
      </c>
      <c r="HG8" s="20" t="n">
        <v>0</v>
      </c>
      <c r="HH8" s="20" t="n">
        <v>0</v>
      </c>
      <c r="HI8" s="20" t="n">
        <v>0</v>
      </c>
      <c r="HJ8" s="20" t="n">
        <v>0</v>
      </c>
      <c r="HK8" s="20" t="n">
        <v>0</v>
      </c>
      <c r="HL8" s="20" t="n">
        <v>0</v>
      </c>
      <c r="HM8" s="20" t="n">
        <v>0</v>
      </c>
      <c r="HN8" s="20" t="n">
        <v>0</v>
      </c>
      <c r="HO8" s="20" t="n">
        <v>0</v>
      </c>
      <c r="HP8" s="20" t="n">
        <v>0</v>
      </c>
      <c r="HQ8" s="20" t="n">
        <v>0</v>
      </c>
      <c r="HR8" s="20" t="n">
        <v>0</v>
      </c>
      <c r="HS8" s="20" t="n">
        <v>0</v>
      </c>
      <c r="HT8" s="20" t="n">
        <v>0</v>
      </c>
      <c r="HU8" s="20" t="n">
        <v>0</v>
      </c>
      <c r="HV8" s="20" t="n">
        <v>0</v>
      </c>
      <c r="HW8" s="20" t="n">
        <v>0</v>
      </c>
      <c r="HX8" s="20" t="n">
        <v>0</v>
      </c>
      <c r="HY8" s="20" t="n">
        <v>0</v>
      </c>
      <c r="HZ8" s="20" t="n">
        <v>0</v>
      </c>
      <c r="IA8" s="20" t="n">
        <v>0</v>
      </c>
      <c r="IB8" s="20" t="n">
        <v>0</v>
      </c>
      <c r="IC8" s="20" t="n">
        <v>0</v>
      </c>
      <c r="ID8" s="20" t="n">
        <v>0</v>
      </c>
      <c r="IE8" s="20" t="n">
        <v>0</v>
      </c>
      <c r="IF8" s="20" t="n">
        <v>0</v>
      </c>
      <c r="IG8" s="20" t="n">
        <v>0</v>
      </c>
      <c r="IH8" s="20" t="n">
        <v>0</v>
      </c>
      <c r="II8" s="20" t="n">
        <v>0</v>
      </c>
      <c r="IJ8" s="20" t="n">
        <v>0</v>
      </c>
      <c r="IK8" s="20" t="n">
        <v>0</v>
      </c>
      <c r="IL8" s="20" t="n">
        <v>0</v>
      </c>
      <c r="IM8" s="20" t="n">
        <v>0</v>
      </c>
      <c r="IN8" s="20" t="n">
        <v>0</v>
      </c>
      <c r="IO8" s="20" t="n">
        <v>0</v>
      </c>
      <c r="IP8" s="20" t="n">
        <v>0</v>
      </c>
      <c r="IQ8" s="20" t="n">
        <v>0</v>
      </c>
      <c r="IR8" s="20" t="n">
        <f aca="false">IF(AND(H_Direct=1,BR8&gt;0),MAX(0,H8-(MIN(BR8*AKR7,H8+I8)-MIN(MIN(BR8*AKR7,H8+I8),I8))),H8)</f>
        <v>1270</v>
      </c>
      <c r="IS8" s="20" t="n">
        <f aca="false">IF(AND(H_Direct=1,BS8&gt;0),MAX(0,IR8-(MIN(BS8*(P8+S8),IR8+ME8)-MIN(MIN(BS8*(P8+S8),IR8+ME8),ME8))),IR8)</f>
        <v>1270</v>
      </c>
      <c r="IT8" s="20" t="n">
        <f aca="false">IS8</f>
        <v>1270</v>
      </c>
      <c r="IU8" s="20" t="n">
        <f aca="false">IT8</f>
        <v>1270</v>
      </c>
      <c r="IV8" s="20" t="n">
        <f aca="false">IU8</f>
        <v>1270</v>
      </c>
      <c r="IW8" s="20" t="n">
        <f aca="false">IV8</f>
        <v>1270</v>
      </c>
      <c r="IX8" s="20" t="n">
        <f aca="false">IW8</f>
        <v>1270</v>
      </c>
      <c r="IY8" s="20" t="n">
        <f aca="false">IX8</f>
        <v>1270</v>
      </c>
      <c r="IZ8" s="20" t="n">
        <f aca="false">IY8</f>
        <v>1270</v>
      </c>
      <c r="JA8" s="20" t="n">
        <f aca="false">IZ8</f>
        <v>1270</v>
      </c>
      <c r="JB8" s="20" t="n">
        <f aca="false">JA8</f>
        <v>1270</v>
      </c>
      <c r="JC8" s="20" t="n">
        <f aca="false">JB8</f>
        <v>1270</v>
      </c>
      <c r="JD8" s="20" t="n">
        <f aca="false">JC8</f>
        <v>1270</v>
      </c>
      <c r="JE8" s="20" t="n">
        <f aca="false">JD8</f>
        <v>1270</v>
      </c>
      <c r="JF8" s="20" t="n">
        <f aca="false">JE8</f>
        <v>1270</v>
      </c>
      <c r="JG8" s="20" t="n">
        <f aca="false">JF8</f>
        <v>1270</v>
      </c>
      <c r="JH8" s="20" t="n">
        <f aca="false">JG8</f>
        <v>1270</v>
      </c>
      <c r="JI8" s="20" t="n">
        <f aca="false">JH8</f>
        <v>1270</v>
      </c>
      <c r="JJ8" s="20" t="n">
        <f aca="false">JI8</f>
        <v>1270</v>
      </c>
      <c r="JK8" s="20" t="n">
        <f aca="false">JJ8</f>
        <v>1270</v>
      </c>
      <c r="JL8" s="20" t="n">
        <f aca="false">JK8</f>
        <v>1270</v>
      </c>
      <c r="JM8" s="20" t="n">
        <f aca="false">JL8</f>
        <v>1270</v>
      </c>
      <c r="JN8" s="20" t="n">
        <f aca="false">JM8</f>
        <v>1270</v>
      </c>
      <c r="JO8" s="20" t="n">
        <f aca="false">JN8</f>
        <v>1270</v>
      </c>
      <c r="JP8" s="20" t="n">
        <f aca="false">JO8</f>
        <v>1270</v>
      </c>
      <c r="JQ8" s="20" t="n">
        <f aca="false">JP8</f>
        <v>1270</v>
      </c>
      <c r="JR8" s="20" t="n">
        <f aca="false">JQ8</f>
        <v>1270</v>
      </c>
      <c r="JS8" s="20" t="n">
        <f aca="false">JR8</f>
        <v>1270</v>
      </c>
      <c r="JT8" s="20" t="n">
        <f aca="false">JS8</f>
        <v>1270</v>
      </c>
      <c r="JU8" s="20" t="n">
        <f aca="false">JT8</f>
        <v>1270</v>
      </c>
      <c r="JV8" s="20" t="n">
        <f aca="false">JU8</f>
        <v>1270</v>
      </c>
      <c r="JW8" s="20" t="n">
        <f aca="false">JV8</f>
        <v>1270</v>
      </c>
      <c r="JX8" s="20" t="n">
        <f aca="false">JW8</f>
        <v>1270</v>
      </c>
      <c r="JY8" s="20" t="n">
        <f aca="false">JX8</f>
        <v>1270</v>
      </c>
      <c r="JZ8" s="20" t="n">
        <f aca="false">JY8</f>
        <v>1270</v>
      </c>
      <c r="KA8" s="20" t="n">
        <f aca="false">JZ8</f>
        <v>1270</v>
      </c>
      <c r="KB8" s="20" t="n">
        <f aca="false">KA8</f>
        <v>1270</v>
      </c>
      <c r="KC8" s="20" t="n">
        <f aca="false">KB8</f>
        <v>1270</v>
      </c>
      <c r="KD8" s="20" t="n">
        <f aca="false">KC8</f>
        <v>1270</v>
      </c>
      <c r="KE8" s="20" t="n">
        <f aca="false">KD8</f>
        <v>1270</v>
      </c>
      <c r="KF8" s="20" t="n">
        <f aca="false">KE8</f>
        <v>1270</v>
      </c>
      <c r="KG8" s="20" t="n">
        <f aca="false">KF8</f>
        <v>1270</v>
      </c>
      <c r="KH8" s="20" t="n">
        <f aca="false">KG8</f>
        <v>1270</v>
      </c>
      <c r="KI8" s="20" t="n">
        <f aca="false">KH8</f>
        <v>1270</v>
      </c>
      <c r="KJ8" s="20" t="n">
        <f aca="false">KI8</f>
        <v>1270</v>
      </c>
      <c r="KK8" s="20" t="n">
        <f aca="false">KJ8</f>
        <v>1270</v>
      </c>
      <c r="KL8" s="20" t="n">
        <f aca="false">KK8</f>
        <v>1270</v>
      </c>
      <c r="KM8" s="20" t="n">
        <f aca="false">KL8</f>
        <v>1270</v>
      </c>
      <c r="KN8" s="20" t="n">
        <f aca="false">KM8</f>
        <v>1270</v>
      </c>
      <c r="KO8" s="20" t="n">
        <f aca="false">KN8</f>
        <v>1270</v>
      </c>
      <c r="KP8" s="20" t="n">
        <f aca="false">KO8</f>
        <v>1270</v>
      </c>
      <c r="KQ8" s="20" t="n">
        <f aca="false">KP8</f>
        <v>1270</v>
      </c>
      <c r="KR8" s="20" t="n">
        <f aca="false">KQ8</f>
        <v>1270</v>
      </c>
      <c r="KS8" s="20" t="n">
        <f aca="false">KR8</f>
        <v>1270</v>
      </c>
      <c r="KT8" s="20" t="n">
        <f aca="false">KS8</f>
        <v>1270</v>
      </c>
      <c r="KU8" s="20" t="n">
        <f aca="false">KT8</f>
        <v>1270</v>
      </c>
      <c r="KV8" s="20" t="n">
        <f aca="false">KU8</f>
        <v>1270</v>
      </c>
      <c r="KW8" s="20" t="n">
        <f aca="false">KV8</f>
        <v>1270</v>
      </c>
      <c r="KX8" s="20" t="n">
        <f aca="false">KW8</f>
        <v>1270</v>
      </c>
      <c r="KY8" s="20" t="n">
        <f aca="false">KX8</f>
        <v>1270</v>
      </c>
      <c r="KZ8" s="20" t="n">
        <f aca="false">KY8</f>
        <v>1270</v>
      </c>
      <c r="LA8" s="20" t="n">
        <f aca="false">KZ8</f>
        <v>1270</v>
      </c>
      <c r="LB8" s="20" t="n">
        <f aca="false">LA8</f>
        <v>1270</v>
      </c>
      <c r="LC8" s="20" t="n">
        <f aca="false">LB8</f>
        <v>1270</v>
      </c>
      <c r="LD8" s="20" t="n">
        <f aca="false">LC8</f>
        <v>1270</v>
      </c>
      <c r="LE8" s="20" t="n">
        <f aca="false">LD8</f>
        <v>1270</v>
      </c>
      <c r="LF8" s="20" t="n">
        <f aca="false">LE8</f>
        <v>1270</v>
      </c>
      <c r="LG8" s="20" t="n">
        <f aca="false">LF8</f>
        <v>1270</v>
      </c>
      <c r="LH8" s="20" t="n">
        <f aca="false">LG8</f>
        <v>1270</v>
      </c>
      <c r="LI8" s="20" t="n">
        <f aca="false">LH8</f>
        <v>1270</v>
      </c>
      <c r="LJ8" s="20" t="n">
        <f aca="false">LI8</f>
        <v>1270</v>
      </c>
      <c r="LK8" s="20" t="n">
        <f aca="false">LJ8</f>
        <v>1270</v>
      </c>
      <c r="LL8" s="20" t="n">
        <f aca="false">LK8</f>
        <v>1270</v>
      </c>
      <c r="LM8" s="20" t="n">
        <f aca="false">LL8</f>
        <v>1270</v>
      </c>
      <c r="LN8" s="20" t="n">
        <f aca="false">LM8</f>
        <v>1270</v>
      </c>
      <c r="LO8" s="20" t="n">
        <f aca="false">LN8</f>
        <v>1270</v>
      </c>
      <c r="LP8" s="20" t="n">
        <f aca="false">LO8</f>
        <v>1270</v>
      </c>
      <c r="LQ8" s="20" t="n">
        <f aca="false">LP8</f>
        <v>1270</v>
      </c>
      <c r="LR8" s="20" t="n">
        <f aca="false">LQ8</f>
        <v>1270</v>
      </c>
      <c r="LS8" s="20" t="n">
        <f aca="false">LR8</f>
        <v>1270</v>
      </c>
      <c r="LT8" s="20" t="n">
        <f aca="false">LS8</f>
        <v>1270</v>
      </c>
      <c r="LU8" s="20" t="n">
        <f aca="false">LT8</f>
        <v>1270</v>
      </c>
      <c r="LV8" s="20" t="n">
        <f aca="false">LU8</f>
        <v>1270</v>
      </c>
      <c r="LW8" s="20" t="n">
        <f aca="false">LV8</f>
        <v>1270</v>
      </c>
      <c r="LX8" s="20" t="n">
        <f aca="false">LW8</f>
        <v>1270</v>
      </c>
      <c r="LY8" s="20" t="n">
        <f aca="false">LX8</f>
        <v>1270</v>
      </c>
      <c r="LZ8" s="20" t="n">
        <f aca="false">LY8</f>
        <v>1270</v>
      </c>
      <c r="MA8" s="20" t="n">
        <f aca="false">LZ8</f>
        <v>1270</v>
      </c>
      <c r="MB8" s="20" t="n">
        <f aca="false">MA8</f>
        <v>1270</v>
      </c>
      <c r="MC8" s="20" t="n">
        <f aca="false">MB8</f>
        <v>1270</v>
      </c>
      <c r="MD8" s="20" t="n">
        <f aca="false">MC8</f>
        <v>1270</v>
      </c>
      <c r="ME8" s="20" t="n">
        <f aca="false">IF(H_Direct=1,IF(BR8&lt;=0,I8-BR8*AKR7,I8-MIN(MIN(BR8*AKR7,H8+I8),I8)),I8)</f>
        <v>0</v>
      </c>
      <c r="MF8" s="20" t="n">
        <f aca="false">IF(H_Direct=1,IF(BS8&lt;=0,ME8-BS8*(P8+S8),ME8-MIN(MIN(BS8*(P8+S8),IR8+ME8),ME8)),ME8)</f>
        <v>0</v>
      </c>
      <c r="MG8" s="20" t="n">
        <f aca="false">MF8</f>
        <v>0</v>
      </c>
      <c r="MH8" s="20" t="n">
        <f aca="false">MG8</f>
        <v>0</v>
      </c>
      <c r="MI8" s="20" t="n">
        <f aca="false">MH8</f>
        <v>0</v>
      </c>
      <c r="MJ8" s="20" t="n">
        <f aca="false">MI8</f>
        <v>0</v>
      </c>
      <c r="MK8" s="20" t="n">
        <f aca="false">MJ8</f>
        <v>0</v>
      </c>
      <c r="ML8" s="20" t="n">
        <f aca="false">MK8</f>
        <v>0</v>
      </c>
      <c r="MM8" s="20" t="n">
        <f aca="false">ML8</f>
        <v>0</v>
      </c>
      <c r="MN8" s="20" t="n">
        <f aca="false">MM8</f>
        <v>0</v>
      </c>
      <c r="MO8" s="20" t="n">
        <f aca="false">MN8</f>
        <v>0</v>
      </c>
      <c r="MP8" s="20" t="n">
        <f aca="false">MO8</f>
        <v>0</v>
      </c>
      <c r="MQ8" s="20" t="n">
        <f aca="false">MP8</f>
        <v>0</v>
      </c>
      <c r="MR8" s="20" t="n">
        <f aca="false">MQ8</f>
        <v>0</v>
      </c>
      <c r="MS8" s="20" t="n">
        <f aca="false">MR8</f>
        <v>0</v>
      </c>
      <c r="MT8" s="20" t="n">
        <f aca="false">MS8</f>
        <v>0</v>
      </c>
      <c r="MU8" s="20" t="n">
        <f aca="false">MT8</f>
        <v>0</v>
      </c>
      <c r="MV8" s="20" t="n">
        <f aca="false">MU8</f>
        <v>0</v>
      </c>
      <c r="MW8" s="20" t="n">
        <f aca="false">MV8</f>
        <v>0</v>
      </c>
      <c r="MX8" s="20" t="n">
        <f aca="false">MW8</f>
        <v>0</v>
      </c>
      <c r="MY8" s="20" t="n">
        <f aca="false">MX8</f>
        <v>0</v>
      </c>
      <c r="MZ8" s="20" t="n">
        <f aca="false">MY8</f>
        <v>0</v>
      </c>
      <c r="NA8" s="20" t="n">
        <f aca="false">MZ8</f>
        <v>0</v>
      </c>
      <c r="NB8" s="20" t="n">
        <f aca="false">NA8</f>
        <v>0</v>
      </c>
      <c r="NC8" s="20" t="n">
        <f aca="false">NB8</f>
        <v>0</v>
      </c>
      <c r="ND8" s="20" t="n">
        <f aca="false">NC8</f>
        <v>0</v>
      </c>
      <c r="NE8" s="20" t="n">
        <f aca="false">ND8</f>
        <v>0</v>
      </c>
      <c r="NF8" s="20" t="n">
        <f aca="false">NE8</f>
        <v>0</v>
      </c>
      <c r="NG8" s="20" t="n">
        <f aca="false">NF8</f>
        <v>0</v>
      </c>
      <c r="NH8" s="20" t="n">
        <f aca="false">NG8</f>
        <v>0</v>
      </c>
      <c r="NI8" s="20" t="n">
        <f aca="false">NH8</f>
        <v>0</v>
      </c>
      <c r="NJ8" s="20" t="n">
        <f aca="false">NI8</f>
        <v>0</v>
      </c>
      <c r="NK8" s="20" t="n">
        <f aca="false">NJ8</f>
        <v>0</v>
      </c>
      <c r="NL8" s="20" t="n">
        <f aca="false">NK8</f>
        <v>0</v>
      </c>
      <c r="NM8" s="20" t="n">
        <f aca="false">NL8</f>
        <v>0</v>
      </c>
      <c r="NN8" s="20" t="n">
        <f aca="false">NM8</f>
        <v>0</v>
      </c>
      <c r="NO8" s="20" t="n">
        <f aca="false">NN8</f>
        <v>0</v>
      </c>
      <c r="NP8" s="20" t="n">
        <f aca="false">NO8</f>
        <v>0</v>
      </c>
      <c r="NQ8" s="20" t="n">
        <f aca="false">NP8</f>
        <v>0</v>
      </c>
      <c r="NR8" s="20" t="n">
        <f aca="false">NQ8</f>
        <v>0</v>
      </c>
      <c r="NS8" s="20" t="n">
        <f aca="false">NR8</f>
        <v>0</v>
      </c>
      <c r="NT8" s="20" t="n">
        <f aca="false">NS8</f>
        <v>0</v>
      </c>
      <c r="NU8" s="20" t="n">
        <f aca="false">NT8</f>
        <v>0</v>
      </c>
      <c r="NV8" s="20" t="n">
        <f aca="false">NU8</f>
        <v>0</v>
      </c>
      <c r="NW8" s="20" t="n">
        <f aca="false">NV8</f>
        <v>0</v>
      </c>
      <c r="NX8" s="20" t="n">
        <f aca="false">NW8</f>
        <v>0</v>
      </c>
      <c r="NY8" s="20" t="n">
        <f aca="false">NX8</f>
        <v>0</v>
      </c>
      <c r="NZ8" s="20" t="n">
        <f aca="false">NY8</f>
        <v>0</v>
      </c>
      <c r="OA8" s="20" t="n">
        <f aca="false">NZ8</f>
        <v>0</v>
      </c>
      <c r="OB8" s="20" t="n">
        <f aca="false">OA8</f>
        <v>0</v>
      </c>
      <c r="OC8" s="20" t="n">
        <f aca="false">OB8</f>
        <v>0</v>
      </c>
      <c r="OD8" s="20" t="n">
        <f aca="false">OC8</f>
        <v>0</v>
      </c>
      <c r="OE8" s="20" t="n">
        <f aca="false">OD8</f>
        <v>0</v>
      </c>
      <c r="OF8" s="20" t="n">
        <f aca="false">OE8</f>
        <v>0</v>
      </c>
      <c r="OG8" s="20" t="n">
        <f aca="false">OF8</f>
        <v>0</v>
      </c>
      <c r="OH8" s="20" t="n">
        <f aca="false">OG8</f>
        <v>0</v>
      </c>
      <c r="OI8" s="20" t="n">
        <f aca="false">OH8</f>
        <v>0</v>
      </c>
      <c r="OJ8" s="20" t="n">
        <f aca="false">OI8</f>
        <v>0</v>
      </c>
      <c r="OK8" s="20" t="n">
        <f aca="false">OJ8</f>
        <v>0</v>
      </c>
      <c r="OL8" s="20" t="n">
        <f aca="false">OK8</f>
        <v>0</v>
      </c>
      <c r="OM8" s="20" t="n">
        <f aca="false">OL8</f>
        <v>0</v>
      </c>
      <c r="ON8" s="20" t="n">
        <f aca="false">OM8</f>
        <v>0</v>
      </c>
      <c r="OO8" s="20" t="n">
        <f aca="false">ON8</f>
        <v>0</v>
      </c>
      <c r="OP8" s="20" t="n">
        <f aca="false">OO8</f>
        <v>0</v>
      </c>
      <c r="OQ8" s="20" t="n">
        <f aca="false">OP8</f>
        <v>0</v>
      </c>
      <c r="OR8" s="20" t="n">
        <f aca="false">OQ8</f>
        <v>0</v>
      </c>
      <c r="OS8" s="20" t="n">
        <f aca="false">OR8</f>
        <v>0</v>
      </c>
      <c r="OT8" s="20" t="n">
        <f aca="false">OS8</f>
        <v>0</v>
      </c>
      <c r="OU8" s="20" t="n">
        <f aca="false">OT8</f>
        <v>0</v>
      </c>
      <c r="OV8" s="20" t="n">
        <f aca="false">OU8</f>
        <v>0</v>
      </c>
      <c r="OW8" s="20" t="n">
        <f aca="false">OV8</f>
        <v>0</v>
      </c>
      <c r="OX8" s="20" t="n">
        <f aca="false">OW8</f>
        <v>0</v>
      </c>
      <c r="OY8" s="20" t="n">
        <f aca="false">OX8</f>
        <v>0</v>
      </c>
      <c r="OZ8" s="20" t="n">
        <f aca="false">OY8</f>
        <v>0</v>
      </c>
      <c r="PA8" s="20" t="n">
        <f aca="false">OZ8</f>
        <v>0</v>
      </c>
      <c r="PB8" s="20" t="n">
        <f aca="false">PA8</f>
        <v>0</v>
      </c>
      <c r="PC8" s="20" t="n">
        <f aca="false">PB8</f>
        <v>0</v>
      </c>
      <c r="PD8" s="20" t="n">
        <f aca="false">PC8</f>
        <v>0</v>
      </c>
      <c r="PE8" s="20" t="n">
        <f aca="false">PD8</f>
        <v>0</v>
      </c>
      <c r="PF8" s="20" t="n">
        <f aca="false">PE8</f>
        <v>0</v>
      </c>
      <c r="PG8" s="20" t="n">
        <f aca="false">PF8</f>
        <v>0</v>
      </c>
      <c r="PH8" s="20" t="n">
        <f aca="false">PG8</f>
        <v>0</v>
      </c>
      <c r="PI8" s="20" t="n">
        <f aca="false">PH8</f>
        <v>0</v>
      </c>
      <c r="PJ8" s="20" t="n">
        <f aca="false">PI8</f>
        <v>0</v>
      </c>
      <c r="PK8" s="20" t="n">
        <f aca="false">PJ8</f>
        <v>0</v>
      </c>
      <c r="PL8" s="20" t="n">
        <f aca="false">PK8</f>
        <v>0</v>
      </c>
      <c r="PM8" s="20" t="n">
        <f aca="false">PL8</f>
        <v>0</v>
      </c>
      <c r="PN8" s="20" t="n">
        <f aca="false">PM8</f>
        <v>0</v>
      </c>
      <c r="PO8" s="20" t="n">
        <f aca="false">PN8</f>
        <v>0</v>
      </c>
      <c r="PP8" s="20" t="n">
        <f aca="false">PO8</f>
        <v>0</v>
      </c>
      <c r="PQ8" s="20" t="n">
        <f aca="false">PP8</f>
        <v>0</v>
      </c>
      <c r="PR8" s="20" t="n">
        <f aca="false">IF(H_Direct=1,IF(AKR7&lt;=0,0,IF(BR8&lt;=0,MIN(MAX(0,AB8),AKR7),MIN(MAX(0,AB8),AKR7-G8*MAX(0,BR8*AKR7-(H8+I8))))),MIN(FE8,MAX(0,AB8)))</f>
        <v>0</v>
      </c>
      <c r="PS8" s="20" t="n">
        <f aca="false">IF(H_Direct=1,IF((P8+S8)&lt;=0,0,IF(BS8&lt;=0,MIN(MAX(0,AB8-SUM(PR8:PR8)),(P8+S8)),MIN(MAX(0,AB8-SUM(PR8:PR8)),(P8+S8)-G8*MAX(0,BS8*(P8+S8)-(WR8+AAE8))))),MIN(FF8,MAX(0,AB8-SUM(PR8:PR8))))</f>
        <v>0</v>
      </c>
      <c r="PT8" s="20" t="n">
        <v>0</v>
      </c>
      <c r="PU8" s="20" t="n">
        <v>0</v>
      </c>
      <c r="PV8" s="20" t="n">
        <v>0</v>
      </c>
      <c r="PW8" s="20" t="n">
        <v>0</v>
      </c>
      <c r="PX8" s="20" t="n">
        <v>0</v>
      </c>
      <c r="PY8" s="20" t="n">
        <v>0</v>
      </c>
      <c r="PZ8" s="20" t="n">
        <v>0</v>
      </c>
      <c r="QA8" s="20" t="n">
        <v>0</v>
      </c>
      <c r="QB8" s="20" t="n">
        <v>0</v>
      </c>
      <c r="QC8" s="20" t="n">
        <v>0</v>
      </c>
      <c r="QD8" s="20" t="n">
        <v>0</v>
      </c>
      <c r="QE8" s="20" t="n">
        <v>0</v>
      </c>
      <c r="QF8" s="20" t="n">
        <v>0</v>
      </c>
      <c r="QG8" s="20" t="n">
        <v>0</v>
      </c>
      <c r="QH8" s="20" t="n">
        <v>0</v>
      </c>
      <c r="QI8" s="20" t="n">
        <v>0</v>
      </c>
      <c r="QJ8" s="20" t="n">
        <v>0</v>
      </c>
      <c r="QK8" s="20" t="n">
        <v>0</v>
      </c>
      <c r="QL8" s="20" t="n">
        <v>0</v>
      </c>
      <c r="QM8" s="20" t="n">
        <v>0</v>
      </c>
      <c r="QN8" s="20" t="n">
        <v>0</v>
      </c>
      <c r="QO8" s="20" t="n">
        <v>0</v>
      </c>
      <c r="QP8" s="20" t="n">
        <v>0</v>
      </c>
      <c r="QQ8" s="20" t="n">
        <v>0</v>
      </c>
      <c r="QR8" s="20" t="n">
        <v>0</v>
      </c>
      <c r="QS8" s="20" t="n">
        <v>0</v>
      </c>
      <c r="QT8" s="20" t="n">
        <v>0</v>
      </c>
      <c r="QU8" s="20" t="n">
        <v>0</v>
      </c>
      <c r="QV8" s="20" t="n">
        <v>0</v>
      </c>
      <c r="QW8" s="20" t="n">
        <v>0</v>
      </c>
      <c r="QX8" s="20" t="n">
        <v>0</v>
      </c>
      <c r="QY8" s="20" t="n">
        <v>0</v>
      </c>
      <c r="QZ8" s="20" t="n">
        <v>0</v>
      </c>
      <c r="RA8" s="20" t="n">
        <v>0</v>
      </c>
      <c r="RB8" s="20" t="n">
        <v>0</v>
      </c>
      <c r="RC8" s="20" t="n">
        <v>0</v>
      </c>
      <c r="RD8" s="20" t="n">
        <v>0</v>
      </c>
      <c r="RE8" s="20" t="n">
        <v>0</v>
      </c>
      <c r="RF8" s="20" t="n">
        <v>0</v>
      </c>
      <c r="RG8" s="20" t="n">
        <v>0</v>
      </c>
      <c r="RH8" s="20" t="n">
        <v>0</v>
      </c>
      <c r="RI8" s="20" t="n">
        <v>0</v>
      </c>
      <c r="RJ8" s="20" t="n">
        <v>0</v>
      </c>
      <c r="RK8" s="20" t="n">
        <v>0</v>
      </c>
      <c r="RL8" s="20" t="n">
        <v>0</v>
      </c>
      <c r="RM8" s="20" t="n">
        <v>0</v>
      </c>
      <c r="RN8" s="20" t="n">
        <v>0</v>
      </c>
      <c r="RO8" s="20" t="n">
        <v>0</v>
      </c>
      <c r="RP8" s="20" t="n">
        <v>0</v>
      </c>
      <c r="RQ8" s="20" t="n">
        <v>0</v>
      </c>
      <c r="RR8" s="20" t="n">
        <v>0</v>
      </c>
      <c r="RS8" s="20" t="n">
        <v>0</v>
      </c>
      <c r="RT8" s="20" t="n">
        <v>0</v>
      </c>
      <c r="RU8" s="20" t="n">
        <v>0</v>
      </c>
      <c r="RV8" s="20" t="n">
        <v>0</v>
      </c>
      <c r="RW8" s="20" t="n">
        <v>0</v>
      </c>
      <c r="RX8" s="20" t="n">
        <v>0</v>
      </c>
      <c r="RY8" s="20" t="n">
        <v>0</v>
      </c>
      <c r="RZ8" s="20" t="n">
        <v>0</v>
      </c>
      <c r="SA8" s="20" t="n">
        <v>0</v>
      </c>
      <c r="SB8" s="20" t="n">
        <v>0</v>
      </c>
      <c r="SC8" s="20" t="n">
        <v>0</v>
      </c>
      <c r="SD8" s="20" t="n">
        <v>0</v>
      </c>
      <c r="SE8" s="20" t="n">
        <v>0</v>
      </c>
      <c r="SF8" s="20" t="n">
        <v>0</v>
      </c>
      <c r="SG8" s="20" t="n">
        <v>0</v>
      </c>
      <c r="SH8" s="20" t="n">
        <v>0</v>
      </c>
      <c r="SI8" s="20" t="n">
        <v>0</v>
      </c>
      <c r="SJ8" s="20" t="n">
        <v>0</v>
      </c>
      <c r="SK8" s="20" t="n">
        <v>0</v>
      </c>
      <c r="SL8" s="20" t="n">
        <v>0</v>
      </c>
      <c r="SM8" s="20" t="n">
        <v>0</v>
      </c>
      <c r="SN8" s="20" t="n">
        <v>0</v>
      </c>
      <c r="SO8" s="20" t="n">
        <v>0</v>
      </c>
      <c r="SP8" s="20" t="n">
        <v>0</v>
      </c>
      <c r="SQ8" s="20" t="n">
        <v>0</v>
      </c>
      <c r="SR8" s="20" t="n">
        <v>0</v>
      </c>
      <c r="SS8" s="20" t="n">
        <v>0</v>
      </c>
      <c r="ST8" s="20" t="n">
        <v>0</v>
      </c>
      <c r="SU8" s="20" t="n">
        <v>0</v>
      </c>
      <c r="SV8" s="20" t="n">
        <v>0</v>
      </c>
      <c r="SW8" s="20" t="n">
        <v>0</v>
      </c>
      <c r="SX8" s="20" t="n">
        <v>0</v>
      </c>
      <c r="SY8" s="20" t="n">
        <v>0</v>
      </c>
      <c r="SZ8" s="20" t="n">
        <v>0</v>
      </c>
      <c r="TA8" s="20" t="n">
        <v>0</v>
      </c>
      <c r="TB8" s="20" t="n">
        <v>0</v>
      </c>
      <c r="TC8" s="20" t="n">
        <v>0</v>
      </c>
      <c r="TD8" s="20" t="n">
        <v>0</v>
      </c>
      <c r="TE8" s="20" t="n">
        <f aca="false">IF(AKR7&lt;=0,0,IF(H_Direct=1,IF(BR8&lt;=0,PR8,IF(PR8&lt;=(H8+I8)/BR8,PR8,(PR8-G8*(H8+I8))/(1-G8*BR8))),PR8/(1-MAX(0,BR8)*H_Exit)))</f>
        <v>0</v>
      </c>
      <c r="TF8" s="20" t="n">
        <f aca="false">IF((P8+S8)&lt;=0,0,IF(H_Direct=1,IF(BS8&lt;=0,PS8,IF(PS8&lt;=(WR8+AAE8)/BS8,PS8,(PS8-G8*(WR8+AAE8))/(1-G8*BS8))),PS8/(1-MAX(0,BS8)*H_Exit)))</f>
        <v>0</v>
      </c>
      <c r="TG8" s="20" t="n">
        <v>0</v>
      </c>
      <c r="TH8" s="20" t="n">
        <v>0</v>
      </c>
      <c r="TI8" s="20" t="n">
        <v>0</v>
      </c>
      <c r="TJ8" s="20" t="n">
        <v>0</v>
      </c>
      <c r="TK8" s="20" t="n">
        <v>0</v>
      </c>
      <c r="TL8" s="20" t="n">
        <v>0</v>
      </c>
      <c r="TM8" s="20" t="n">
        <v>0</v>
      </c>
      <c r="TN8" s="20" t="n">
        <v>0</v>
      </c>
      <c r="TO8" s="20" t="n">
        <v>0</v>
      </c>
      <c r="TP8" s="20" t="n">
        <v>0</v>
      </c>
      <c r="TQ8" s="20" t="n">
        <v>0</v>
      </c>
      <c r="TR8" s="20" t="n">
        <v>0</v>
      </c>
      <c r="TS8" s="20" t="n">
        <v>0</v>
      </c>
      <c r="TT8" s="20" t="n">
        <v>0</v>
      </c>
      <c r="TU8" s="20" t="n">
        <v>0</v>
      </c>
      <c r="TV8" s="20" t="n">
        <v>0</v>
      </c>
      <c r="TW8" s="20" t="n">
        <v>0</v>
      </c>
      <c r="TX8" s="20" t="n">
        <v>0</v>
      </c>
      <c r="TY8" s="20" t="n">
        <v>0</v>
      </c>
      <c r="TZ8" s="20" t="n">
        <v>0</v>
      </c>
      <c r="UA8" s="20" t="n">
        <v>0</v>
      </c>
      <c r="UB8" s="20" t="n">
        <v>0</v>
      </c>
      <c r="UC8" s="20" t="n">
        <v>0</v>
      </c>
      <c r="UD8" s="20" t="n">
        <v>0</v>
      </c>
      <c r="UE8" s="20" t="n">
        <v>0</v>
      </c>
      <c r="UF8" s="20" t="n">
        <v>0</v>
      </c>
      <c r="UG8" s="20" t="n">
        <v>0</v>
      </c>
      <c r="UH8" s="20" t="n">
        <v>0</v>
      </c>
      <c r="UI8" s="20" t="n">
        <v>0</v>
      </c>
      <c r="UJ8" s="20" t="n">
        <v>0</v>
      </c>
      <c r="UK8" s="20" t="n">
        <v>0</v>
      </c>
      <c r="UL8" s="20" t="n">
        <v>0</v>
      </c>
      <c r="UM8" s="20" t="n">
        <v>0</v>
      </c>
      <c r="UN8" s="20" t="n">
        <v>0</v>
      </c>
      <c r="UO8" s="20" t="n">
        <v>0</v>
      </c>
      <c r="UP8" s="20" t="n">
        <v>0</v>
      </c>
      <c r="UQ8" s="20" t="n">
        <v>0</v>
      </c>
      <c r="UR8" s="20" t="n">
        <v>0</v>
      </c>
      <c r="US8" s="20" t="n">
        <v>0</v>
      </c>
      <c r="UT8" s="20" t="n">
        <v>0</v>
      </c>
      <c r="UU8" s="20" t="n">
        <v>0</v>
      </c>
      <c r="UV8" s="20" t="n">
        <v>0</v>
      </c>
      <c r="UW8" s="20" t="n">
        <v>0</v>
      </c>
      <c r="UX8" s="20" t="n">
        <v>0</v>
      </c>
      <c r="UY8" s="20" t="n">
        <v>0</v>
      </c>
      <c r="UZ8" s="20" t="n">
        <v>0</v>
      </c>
      <c r="VA8" s="20" t="n">
        <v>0</v>
      </c>
      <c r="VB8" s="20" t="n">
        <v>0</v>
      </c>
      <c r="VC8" s="20" t="n">
        <v>0</v>
      </c>
      <c r="VD8" s="20" t="n">
        <v>0</v>
      </c>
      <c r="VE8" s="20" t="n">
        <v>0</v>
      </c>
      <c r="VF8" s="20" t="n">
        <v>0</v>
      </c>
      <c r="VG8" s="20" t="n">
        <v>0</v>
      </c>
      <c r="VH8" s="20" t="n">
        <v>0</v>
      </c>
      <c r="VI8" s="20" t="n">
        <v>0</v>
      </c>
      <c r="VJ8" s="20" t="n">
        <v>0</v>
      </c>
      <c r="VK8" s="20" t="n">
        <v>0</v>
      </c>
      <c r="VL8" s="20" t="n">
        <v>0</v>
      </c>
      <c r="VM8" s="20" t="n">
        <v>0</v>
      </c>
      <c r="VN8" s="20" t="n">
        <v>0</v>
      </c>
      <c r="VO8" s="20" t="n">
        <v>0</v>
      </c>
      <c r="VP8" s="20" t="n">
        <v>0</v>
      </c>
      <c r="VQ8" s="20" t="n">
        <v>0</v>
      </c>
      <c r="VR8" s="20" t="n">
        <v>0</v>
      </c>
      <c r="VS8" s="20" t="n">
        <v>0</v>
      </c>
      <c r="VT8" s="20" t="n">
        <v>0</v>
      </c>
      <c r="VU8" s="20" t="n">
        <v>0</v>
      </c>
      <c r="VV8" s="20" t="n">
        <v>0</v>
      </c>
      <c r="VW8" s="20" t="n">
        <v>0</v>
      </c>
      <c r="VX8" s="20" t="n">
        <v>0</v>
      </c>
      <c r="VY8" s="20" t="n">
        <v>0</v>
      </c>
      <c r="VZ8" s="20" t="n">
        <v>0</v>
      </c>
      <c r="WA8" s="20" t="n">
        <v>0</v>
      </c>
      <c r="WB8" s="20" t="n">
        <v>0</v>
      </c>
      <c r="WC8" s="20" t="n">
        <v>0</v>
      </c>
      <c r="WD8" s="20" t="n">
        <v>0</v>
      </c>
      <c r="WE8" s="20" t="n">
        <v>0</v>
      </c>
      <c r="WF8" s="20" t="n">
        <v>0</v>
      </c>
      <c r="WG8" s="20" t="n">
        <v>0</v>
      </c>
      <c r="WH8" s="20" t="n">
        <v>0</v>
      </c>
      <c r="WI8" s="20" t="n">
        <v>0</v>
      </c>
      <c r="WJ8" s="20" t="n">
        <v>0</v>
      </c>
      <c r="WK8" s="20" t="n">
        <v>0</v>
      </c>
      <c r="WL8" s="20" t="n">
        <v>0</v>
      </c>
      <c r="WM8" s="20" t="n">
        <v>0</v>
      </c>
      <c r="WN8" s="20" t="n">
        <v>0</v>
      </c>
      <c r="WO8" s="20" t="n">
        <v>0</v>
      </c>
      <c r="WP8" s="20" t="n">
        <v>0</v>
      </c>
      <c r="WQ8" s="20" t="n">
        <v>0</v>
      </c>
      <c r="WR8" s="20" t="n">
        <f aca="false">IF(AND(H_Direct=1,BR8&gt;0),MAX(0,H8-(MIN(BR8*TE8,(H8+I8))-MIN(MIN(BR8*TE8,(H8+I8)),I8))),H8)</f>
        <v>1270</v>
      </c>
      <c r="WS8" s="20" t="n">
        <f aca="false">IF(AND(H_Direct=1,BS8&gt;0),MAX(0,WR8-(MIN(BS8*TF8,(WR8+AAE8))-MIN(MIN(BS8*TF8,(WR8+AAE8)),AAE8))),WR8)</f>
        <v>1270</v>
      </c>
      <c r="WT8" s="20" t="n">
        <f aca="false">WS8</f>
        <v>1270</v>
      </c>
      <c r="WU8" s="20" t="n">
        <f aca="false">WT8</f>
        <v>1270</v>
      </c>
      <c r="WV8" s="20" t="n">
        <f aca="false">WU8</f>
        <v>1270</v>
      </c>
      <c r="WW8" s="20" t="n">
        <f aca="false">WV8</f>
        <v>1270</v>
      </c>
      <c r="WX8" s="20" t="n">
        <f aca="false">WW8</f>
        <v>1270</v>
      </c>
      <c r="WY8" s="20" t="n">
        <f aca="false">WX8</f>
        <v>1270</v>
      </c>
      <c r="WZ8" s="20" t="n">
        <f aca="false">WY8</f>
        <v>1270</v>
      </c>
      <c r="XA8" s="20" t="n">
        <f aca="false">WZ8</f>
        <v>1270</v>
      </c>
      <c r="XB8" s="20" t="n">
        <f aca="false">XA8</f>
        <v>1270</v>
      </c>
      <c r="XC8" s="20" t="n">
        <f aca="false">XB8</f>
        <v>1270</v>
      </c>
      <c r="XD8" s="20" t="n">
        <f aca="false">XC8</f>
        <v>1270</v>
      </c>
      <c r="XE8" s="20" t="n">
        <f aca="false">XD8</f>
        <v>1270</v>
      </c>
      <c r="XF8" s="20" t="n">
        <f aca="false">XE8</f>
        <v>1270</v>
      </c>
      <c r="XG8" s="20" t="n">
        <f aca="false">XF8</f>
        <v>1270</v>
      </c>
      <c r="XH8" s="20" t="n">
        <f aca="false">XG8</f>
        <v>1270</v>
      </c>
      <c r="XI8" s="20" t="n">
        <f aca="false">XH8</f>
        <v>1270</v>
      </c>
      <c r="XJ8" s="20" t="n">
        <f aca="false">XI8</f>
        <v>1270</v>
      </c>
      <c r="XK8" s="20" t="n">
        <f aca="false">XJ8</f>
        <v>1270</v>
      </c>
      <c r="XL8" s="20" t="n">
        <f aca="false">XK8</f>
        <v>1270</v>
      </c>
      <c r="XM8" s="20" t="n">
        <f aca="false">XL8</f>
        <v>1270</v>
      </c>
      <c r="XN8" s="20" t="n">
        <f aca="false">XM8</f>
        <v>1270</v>
      </c>
      <c r="XO8" s="20" t="n">
        <f aca="false">XN8</f>
        <v>1270</v>
      </c>
      <c r="XP8" s="20" t="n">
        <f aca="false">XO8</f>
        <v>1270</v>
      </c>
      <c r="XQ8" s="20" t="n">
        <f aca="false">XP8</f>
        <v>1270</v>
      </c>
      <c r="XR8" s="20" t="n">
        <f aca="false">XQ8</f>
        <v>1270</v>
      </c>
      <c r="XS8" s="20" t="n">
        <f aca="false">XR8</f>
        <v>1270</v>
      </c>
      <c r="XT8" s="20" t="n">
        <f aca="false">XS8</f>
        <v>1270</v>
      </c>
      <c r="XU8" s="20" t="n">
        <f aca="false">XT8</f>
        <v>1270</v>
      </c>
      <c r="XV8" s="20" t="n">
        <f aca="false">XU8</f>
        <v>1270</v>
      </c>
      <c r="XW8" s="20" t="n">
        <f aca="false">XV8</f>
        <v>1270</v>
      </c>
      <c r="XX8" s="20" t="n">
        <f aca="false">XW8</f>
        <v>1270</v>
      </c>
      <c r="XY8" s="20" t="n">
        <f aca="false">XX8</f>
        <v>1270</v>
      </c>
      <c r="XZ8" s="20" t="n">
        <f aca="false">XY8</f>
        <v>1270</v>
      </c>
      <c r="YA8" s="20" t="n">
        <f aca="false">XZ8</f>
        <v>1270</v>
      </c>
      <c r="YB8" s="20" t="n">
        <f aca="false">YA8</f>
        <v>1270</v>
      </c>
      <c r="YC8" s="20" t="n">
        <f aca="false">YB8</f>
        <v>1270</v>
      </c>
      <c r="YD8" s="20" t="n">
        <f aca="false">YC8</f>
        <v>1270</v>
      </c>
      <c r="YE8" s="20" t="n">
        <f aca="false">YD8</f>
        <v>1270</v>
      </c>
      <c r="YF8" s="20" t="n">
        <f aca="false">YE8</f>
        <v>1270</v>
      </c>
      <c r="YG8" s="20" t="n">
        <f aca="false">YF8</f>
        <v>1270</v>
      </c>
      <c r="YH8" s="20" t="n">
        <f aca="false">YG8</f>
        <v>1270</v>
      </c>
      <c r="YI8" s="20" t="n">
        <f aca="false">YH8</f>
        <v>1270</v>
      </c>
      <c r="YJ8" s="20" t="n">
        <f aca="false">YI8</f>
        <v>1270</v>
      </c>
      <c r="YK8" s="20" t="n">
        <f aca="false">YJ8</f>
        <v>1270</v>
      </c>
      <c r="YL8" s="20" t="n">
        <f aca="false">YK8</f>
        <v>1270</v>
      </c>
      <c r="YM8" s="20" t="n">
        <f aca="false">YL8</f>
        <v>1270</v>
      </c>
      <c r="YN8" s="20" t="n">
        <f aca="false">YM8</f>
        <v>1270</v>
      </c>
      <c r="YO8" s="20" t="n">
        <f aca="false">YN8</f>
        <v>1270</v>
      </c>
      <c r="YP8" s="20" t="n">
        <f aca="false">YO8</f>
        <v>1270</v>
      </c>
      <c r="YQ8" s="20" t="n">
        <f aca="false">YP8</f>
        <v>1270</v>
      </c>
      <c r="YR8" s="20" t="n">
        <f aca="false">YQ8</f>
        <v>1270</v>
      </c>
      <c r="YS8" s="20" t="n">
        <f aca="false">YR8</f>
        <v>1270</v>
      </c>
      <c r="YT8" s="20" t="n">
        <f aca="false">YS8</f>
        <v>1270</v>
      </c>
      <c r="YU8" s="20" t="n">
        <f aca="false">YT8</f>
        <v>1270</v>
      </c>
      <c r="YV8" s="20" t="n">
        <f aca="false">YU8</f>
        <v>1270</v>
      </c>
      <c r="YW8" s="20" t="n">
        <f aca="false">YV8</f>
        <v>1270</v>
      </c>
      <c r="YX8" s="20" t="n">
        <f aca="false">YW8</f>
        <v>1270</v>
      </c>
      <c r="YY8" s="20" t="n">
        <f aca="false">YX8</f>
        <v>1270</v>
      </c>
      <c r="YZ8" s="20" t="n">
        <f aca="false">YY8</f>
        <v>1270</v>
      </c>
      <c r="ZA8" s="20" t="n">
        <f aca="false">YZ8</f>
        <v>1270</v>
      </c>
      <c r="ZB8" s="20" t="n">
        <f aca="false">ZA8</f>
        <v>1270</v>
      </c>
      <c r="ZC8" s="20" t="n">
        <f aca="false">ZB8</f>
        <v>1270</v>
      </c>
      <c r="ZD8" s="20" t="n">
        <f aca="false">ZC8</f>
        <v>1270</v>
      </c>
      <c r="ZE8" s="20" t="n">
        <f aca="false">ZD8</f>
        <v>1270</v>
      </c>
      <c r="ZF8" s="20" t="n">
        <f aca="false">ZE8</f>
        <v>1270</v>
      </c>
      <c r="ZG8" s="20" t="n">
        <f aca="false">ZF8</f>
        <v>1270</v>
      </c>
      <c r="ZH8" s="20" t="n">
        <f aca="false">ZG8</f>
        <v>1270</v>
      </c>
      <c r="ZI8" s="20" t="n">
        <f aca="false">ZH8</f>
        <v>1270</v>
      </c>
      <c r="ZJ8" s="20" t="n">
        <f aca="false">ZI8</f>
        <v>1270</v>
      </c>
      <c r="ZK8" s="20" t="n">
        <f aca="false">ZJ8</f>
        <v>1270</v>
      </c>
      <c r="ZL8" s="20" t="n">
        <f aca="false">ZK8</f>
        <v>1270</v>
      </c>
      <c r="ZM8" s="20" t="n">
        <f aca="false">ZL8</f>
        <v>1270</v>
      </c>
      <c r="ZN8" s="20" t="n">
        <f aca="false">ZM8</f>
        <v>1270</v>
      </c>
      <c r="ZO8" s="20" t="n">
        <f aca="false">ZN8</f>
        <v>1270</v>
      </c>
      <c r="ZP8" s="20" t="n">
        <f aca="false">ZO8</f>
        <v>1270</v>
      </c>
      <c r="ZQ8" s="20" t="n">
        <f aca="false">ZP8</f>
        <v>1270</v>
      </c>
      <c r="ZR8" s="20" t="n">
        <f aca="false">ZQ8</f>
        <v>1270</v>
      </c>
      <c r="ZS8" s="20" t="n">
        <f aca="false">ZR8</f>
        <v>1270</v>
      </c>
      <c r="ZT8" s="20" t="n">
        <f aca="false">ZS8</f>
        <v>1270</v>
      </c>
      <c r="ZU8" s="20" t="n">
        <f aca="false">ZT8</f>
        <v>1270</v>
      </c>
      <c r="ZV8" s="20" t="n">
        <f aca="false">ZU8</f>
        <v>1270</v>
      </c>
      <c r="ZW8" s="20" t="n">
        <f aca="false">ZV8</f>
        <v>1270</v>
      </c>
      <c r="ZX8" s="20" t="n">
        <f aca="false">ZW8</f>
        <v>1270</v>
      </c>
      <c r="ZY8" s="20" t="n">
        <f aca="false">ZX8</f>
        <v>1270</v>
      </c>
      <c r="ZZ8" s="20" t="n">
        <f aca="false">ZY8</f>
        <v>1270</v>
      </c>
      <c r="AAA8" s="20" t="n">
        <f aca="false">ZZ8</f>
        <v>1270</v>
      </c>
      <c r="AAB8" s="20" t="n">
        <f aca="false">AAA8</f>
        <v>1270</v>
      </c>
      <c r="AAC8" s="20" t="n">
        <f aca="false">AAB8</f>
        <v>1270</v>
      </c>
      <c r="AAD8" s="20" t="n">
        <f aca="false">AAC8</f>
        <v>1270</v>
      </c>
      <c r="AAE8" s="20" t="n">
        <f aca="false">IF(H_Direct=1,IF(BR8&lt;=0,I8-BR8*TE8,I8-MIN(MIN(BR8*TE8,(H8+I8)),I8)),I8)</f>
        <v>0</v>
      </c>
      <c r="AAF8" s="20" t="n">
        <f aca="false">IF(H_Direct=1,IF(BS8&lt;=0,AAE8-BS8*TF8,AAE8-MIN(MIN(BS8*TF8,(WR8+AAE8)),AAE8)),AAE8)</f>
        <v>0</v>
      </c>
      <c r="AAG8" s="20" t="n">
        <f aca="false">AAF8</f>
        <v>0</v>
      </c>
      <c r="AAH8" s="20" t="n">
        <f aca="false">AAG8</f>
        <v>0</v>
      </c>
      <c r="AAI8" s="20" t="n">
        <f aca="false">AAH8</f>
        <v>0</v>
      </c>
      <c r="AAJ8" s="20" t="n">
        <f aca="false">AAI8</f>
        <v>0</v>
      </c>
      <c r="AAK8" s="20" t="n">
        <f aca="false">AAJ8</f>
        <v>0</v>
      </c>
      <c r="AAL8" s="20" t="n">
        <f aca="false">AAK8</f>
        <v>0</v>
      </c>
      <c r="AAM8" s="20" t="n">
        <f aca="false">AAL8</f>
        <v>0</v>
      </c>
      <c r="AAN8" s="20" t="n">
        <f aca="false">AAM8</f>
        <v>0</v>
      </c>
      <c r="AAO8" s="20" t="n">
        <f aca="false">AAN8</f>
        <v>0</v>
      </c>
      <c r="AAP8" s="20" t="n">
        <f aca="false">AAO8</f>
        <v>0</v>
      </c>
      <c r="AAQ8" s="20" t="n">
        <f aca="false">AAP8</f>
        <v>0</v>
      </c>
      <c r="AAR8" s="20" t="n">
        <f aca="false">AAQ8</f>
        <v>0</v>
      </c>
      <c r="AAS8" s="20" t="n">
        <f aca="false">AAR8</f>
        <v>0</v>
      </c>
      <c r="AAT8" s="20" t="n">
        <f aca="false">AAS8</f>
        <v>0</v>
      </c>
      <c r="AAU8" s="20" t="n">
        <f aca="false">AAT8</f>
        <v>0</v>
      </c>
      <c r="AAV8" s="20" t="n">
        <f aca="false">AAU8</f>
        <v>0</v>
      </c>
      <c r="AAW8" s="20" t="n">
        <f aca="false">AAV8</f>
        <v>0</v>
      </c>
      <c r="AAX8" s="20" t="n">
        <f aca="false">AAW8</f>
        <v>0</v>
      </c>
      <c r="AAY8" s="20" t="n">
        <f aca="false">AAX8</f>
        <v>0</v>
      </c>
      <c r="AAZ8" s="20" t="n">
        <f aca="false">AAY8</f>
        <v>0</v>
      </c>
      <c r="ABA8" s="20" t="n">
        <f aca="false">AAZ8</f>
        <v>0</v>
      </c>
      <c r="ABB8" s="20" t="n">
        <f aca="false">ABA8</f>
        <v>0</v>
      </c>
      <c r="ABC8" s="20" t="n">
        <f aca="false">ABB8</f>
        <v>0</v>
      </c>
      <c r="ABD8" s="20" t="n">
        <f aca="false">ABC8</f>
        <v>0</v>
      </c>
      <c r="ABE8" s="20" t="n">
        <f aca="false">ABD8</f>
        <v>0</v>
      </c>
      <c r="ABF8" s="20" t="n">
        <f aca="false">ABE8</f>
        <v>0</v>
      </c>
      <c r="ABG8" s="20" t="n">
        <f aca="false">ABF8</f>
        <v>0</v>
      </c>
      <c r="ABH8" s="20" t="n">
        <f aca="false">ABG8</f>
        <v>0</v>
      </c>
      <c r="ABI8" s="20" t="n">
        <f aca="false">ABH8</f>
        <v>0</v>
      </c>
      <c r="ABJ8" s="20" t="n">
        <f aca="false">ABI8</f>
        <v>0</v>
      </c>
      <c r="ABK8" s="20" t="n">
        <f aca="false">ABJ8</f>
        <v>0</v>
      </c>
      <c r="ABL8" s="20" t="n">
        <f aca="false">ABK8</f>
        <v>0</v>
      </c>
      <c r="ABM8" s="20" t="n">
        <f aca="false">ABL8</f>
        <v>0</v>
      </c>
      <c r="ABN8" s="20" t="n">
        <f aca="false">ABM8</f>
        <v>0</v>
      </c>
      <c r="ABO8" s="20" t="n">
        <f aca="false">ABN8</f>
        <v>0</v>
      </c>
      <c r="ABP8" s="20" t="n">
        <f aca="false">ABO8</f>
        <v>0</v>
      </c>
      <c r="ABQ8" s="20" t="n">
        <f aca="false">ABP8</f>
        <v>0</v>
      </c>
      <c r="ABR8" s="20" t="n">
        <f aca="false">ABQ8</f>
        <v>0</v>
      </c>
      <c r="ABS8" s="20" t="n">
        <f aca="false">ABR8</f>
        <v>0</v>
      </c>
      <c r="ABT8" s="20" t="n">
        <f aca="false">ABS8</f>
        <v>0</v>
      </c>
      <c r="ABU8" s="20" t="n">
        <f aca="false">ABT8</f>
        <v>0</v>
      </c>
      <c r="ABV8" s="20" t="n">
        <f aca="false">ABU8</f>
        <v>0</v>
      </c>
      <c r="ABW8" s="20" t="n">
        <f aca="false">ABV8</f>
        <v>0</v>
      </c>
      <c r="ABX8" s="20" t="n">
        <f aca="false">ABW8</f>
        <v>0</v>
      </c>
      <c r="ABY8" s="20" t="n">
        <f aca="false">ABX8</f>
        <v>0</v>
      </c>
      <c r="ABZ8" s="20" t="n">
        <f aca="false">ABY8</f>
        <v>0</v>
      </c>
      <c r="ACA8" s="20" t="n">
        <f aca="false">ABZ8</f>
        <v>0</v>
      </c>
      <c r="ACB8" s="20" t="n">
        <f aca="false">ACA8</f>
        <v>0</v>
      </c>
      <c r="ACC8" s="20" t="n">
        <f aca="false">ACB8</f>
        <v>0</v>
      </c>
      <c r="ACD8" s="20" t="n">
        <f aca="false">ACC8</f>
        <v>0</v>
      </c>
      <c r="ACE8" s="20" t="n">
        <f aca="false">ACD8</f>
        <v>0</v>
      </c>
      <c r="ACF8" s="20" t="n">
        <f aca="false">ACE8</f>
        <v>0</v>
      </c>
      <c r="ACG8" s="20" t="n">
        <f aca="false">ACF8</f>
        <v>0</v>
      </c>
      <c r="ACH8" s="20" t="n">
        <f aca="false">ACG8</f>
        <v>0</v>
      </c>
      <c r="ACI8" s="20" t="n">
        <f aca="false">ACH8</f>
        <v>0</v>
      </c>
      <c r="ACJ8" s="20" t="n">
        <f aca="false">ACI8</f>
        <v>0</v>
      </c>
      <c r="ACK8" s="20" t="n">
        <f aca="false">ACJ8</f>
        <v>0</v>
      </c>
      <c r="ACL8" s="20" t="n">
        <f aca="false">ACK8</f>
        <v>0</v>
      </c>
      <c r="ACM8" s="20" t="n">
        <f aca="false">ACL8</f>
        <v>0</v>
      </c>
      <c r="ACN8" s="20" t="n">
        <f aca="false">ACM8</f>
        <v>0</v>
      </c>
      <c r="ACO8" s="20" t="n">
        <f aca="false">ACN8</f>
        <v>0</v>
      </c>
      <c r="ACP8" s="20" t="n">
        <f aca="false">ACO8</f>
        <v>0</v>
      </c>
      <c r="ACQ8" s="20" t="n">
        <f aca="false">ACP8</f>
        <v>0</v>
      </c>
      <c r="ACR8" s="20" t="n">
        <f aca="false">ACQ8</f>
        <v>0</v>
      </c>
      <c r="ACS8" s="20" t="n">
        <f aca="false">ACR8</f>
        <v>0</v>
      </c>
      <c r="ACT8" s="20" t="n">
        <f aca="false">ACS8</f>
        <v>0</v>
      </c>
      <c r="ACU8" s="20" t="n">
        <f aca="false">ACT8</f>
        <v>0</v>
      </c>
      <c r="ACV8" s="20" t="n">
        <f aca="false">ACU8</f>
        <v>0</v>
      </c>
      <c r="ACW8" s="20" t="n">
        <f aca="false">ACV8</f>
        <v>0</v>
      </c>
      <c r="ACX8" s="20" t="n">
        <f aca="false">ACW8</f>
        <v>0</v>
      </c>
      <c r="ACY8" s="20" t="n">
        <f aca="false">ACX8</f>
        <v>0</v>
      </c>
      <c r="ACZ8" s="20" t="n">
        <f aca="false">ACY8</f>
        <v>0</v>
      </c>
      <c r="ADA8" s="20" t="n">
        <f aca="false">ACZ8</f>
        <v>0</v>
      </c>
      <c r="ADB8" s="20" t="n">
        <f aca="false">ADA8</f>
        <v>0</v>
      </c>
      <c r="ADC8" s="20" t="n">
        <f aca="false">ADB8</f>
        <v>0</v>
      </c>
      <c r="ADD8" s="20" t="n">
        <f aca="false">ADC8</f>
        <v>0</v>
      </c>
      <c r="ADE8" s="20" t="n">
        <f aca="false">ADD8</f>
        <v>0</v>
      </c>
      <c r="ADF8" s="20" t="n">
        <f aca="false">ADE8</f>
        <v>0</v>
      </c>
      <c r="ADG8" s="20" t="n">
        <f aca="false">ADF8</f>
        <v>0</v>
      </c>
      <c r="ADH8" s="20" t="n">
        <f aca="false">ADG8</f>
        <v>0</v>
      </c>
      <c r="ADI8" s="20" t="n">
        <f aca="false">ADH8</f>
        <v>0</v>
      </c>
      <c r="ADJ8" s="20" t="n">
        <f aca="false">ADI8</f>
        <v>0</v>
      </c>
      <c r="ADK8" s="20" t="n">
        <f aca="false">ADJ8</f>
        <v>0</v>
      </c>
      <c r="ADL8" s="20" t="n">
        <f aca="false">ADK8</f>
        <v>0</v>
      </c>
      <c r="ADM8" s="20" t="n">
        <f aca="false">ADL8</f>
        <v>0</v>
      </c>
      <c r="ADN8" s="20" t="n">
        <f aca="false">ADM8</f>
        <v>0</v>
      </c>
      <c r="ADO8" s="20" t="n">
        <f aca="false">ADN8</f>
        <v>0</v>
      </c>
      <c r="ADP8" s="20" t="n">
        <f aca="false">ADO8</f>
        <v>0</v>
      </c>
      <c r="ADQ8" s="20" t="n">
        <f aca="false">ADP8</f>
        <v>0</v>
      </c>
      <c r="ADR8" s="20" t="n">
        <f aca="false">(AKR7-TE8+0)*(1+BQ8)</f>
        <v>0</v>
      </c>
      <c r="ADS8" s="20" t="n">
        <f aca="false">((P8+S8)-TF8+BE8)*(1+BQ8)</f>
        <v>0</v>
      </c>
      <c r="ADT8" s="20" t="n">
        <v>0</v>
      </c>
      <c r="ADU8" s="20" t="n">
        <v>0</v>
      </c>
      <c r="ADV8" s="20" t="n">
        <v>0</v>
      </c>
      <c r="ADW8" s="20" t="n">
        <v>0</v>
      </c>
      <c r="ADX8" s="20" t="n">
        <v>0</v>
      </c>
      <c r="ADY8" s="20" t="n">
        <v>0</v>
      </c>
      <c r="ADZ8" s="20" t="n">
        <v>0</v>
      </c>
      <c r="AEA8" s="20" t="n">
        <v>0</v>
      </c>
      <c r="AEB8" s="20" t="n">
        <v>0</v>
      </c>
      <c r="AEC8" s="20" t="n">
        <v>0</v>
      </c>
      <c r="AED8" s="20" t="n">
        <v>0</v>
      </c>
      <c r="AEE8" s="20" t="n">
        <v>0</v>
      </c>
      <c r="AEF8" s="20" t="n">
        <v>0</v>
      </c>
      <c r="AEG8" s="20" t="n">
        <v>0</v>
      </c>
      <c r="AEH8" s="20" t="n">
        <v>0</v>
      </c>
      <c r="AEI8" s="20" t="n">
        <v>0</v>
      </c>
      <c r="AEJ8" s="20" t="n">
        <v>0</v>
      </c>
      <c r="AEK8" s="20" t="n">
        <v>0</v>
      </c>
      <c r="AEL8" s="20" t="n">
        <v>0</v>
      </c>
      <c r="AEM8" s="20" t="n">
        <v>0</v>
      </c>
      <c r="AEN8" s="20" t="n">
        <v>0</v>
      </c>
      <c r="AEO8" s="20" t="n">
        <v>0</v>
      </c>
      <c r="AEP8" s="20" t="n">
        <v>0</v>
      </c>
      <c r="AEQ8" s="20" t="n">
        <v>0</v>
      </c>
      <c r="AER8" s="20" t="n">
        <v>0</v>
      </c>
      <c r="AES8" s="20" t="n">
        <v>0</v>
      </c>
      <c r="AET8" s="20" t="n">
        <v>0</v>
      </c>
      <c r="AEU8" s="20" t="n">
        <v>0</v>
      </c>
      <c r="AEV8" s="20" t="n">
        <v>0</v>
      </c>
      <c r="AEW8" s="20" t="n">
        <v>0</v>
      </c>
      <c r="AEX8" s="20" t="n">
        <v>0</v>
      </c>
      <c r="AEY8" s="20" t="n">
        <v>0</v>
      </c>
      <c r="AEZ8" s="20" t="n">
        <v>0</v>
      </c>
      <c r="AFA8" s="20" t="n">
        <v>0</v>
      </c>
      <c r="AFB8" s="20" t="n">
        <v>0</v>
      </c>
      <c r="AFC8" s="20" t="n">
        <v>0</v>
      </c>
      <c r="AFD8" s="20" t="n">
        <v>0</v>
      </c>
      <c r="AFE8" s="20" t="n">
        <v>0</v>
      </c>
      <c r="AFF8" s="20" t="n">
        <v>0</v>
      </c>
      <c r="AFG8" s="20" t="n">
        <v>0</v>
      </c>
      <c r="AFH8" s="20" t="n">
        <v>0</v>
      </c>
      <c r="AFI8" s="20" t="n">
        <v>0</v>
      </c>
      <c r="AFJ8" s="20" t="n">
        <v>0</v>
      </c>
      <c r="AFK8" s="20" t="n">
        <v>0</v>
      </c>
      <c r="AFL8" s="20" t="n">
        <v>0</v>
      </c>
      <c r="AFM8" s="20" t="n">
        <v>0</v>
      </c>
      <c r="AFN8" s="20" t="n">
        <v>0</v>
      </c>
      <c r="AFO8" s="20" t="n">
        <v>0</v>
      </c>
      <c r="AFP8" s="20" t="n">
        <v>0</v>
      </c>
      <c r="AFQ8" s="20" t="n">
        <v>0</v>
      </c>
      <c r="AFR8" s="20" t="n">
        <v>0</v>
      </c>
      <c r="AFS8" s="20" t="n">
        <v>0</v>
      </c>
      <c r="AFT8" s="20" t="n">
        <v>0</v>
      </c>
      <c r="AFU8" s="20" t="n">
        <v>0</v>
      </c>
      <c r="AFV8" s="20" t="n">
        <v>0</v>
      </c>
      <c r="AFW8" s="20" t="n">
        <v>0</v>
      </c>
      <c r="AFX8" s="20" t="n">
        <v>0</v>
      </c>
      <c r="AFY8" s="20" t="n">
        <v>0</v>
      </c>
      <c r="AFZ8" s="20" t="n">
        <v>0</v>
      </c>
      <c r="AGA8" s="20" t="n">
        <v>0</v>
      </c>
      <c r="AGB8" s="20" t="n">
        <v>0</v>
      </c>
      <c r="AGC8" s="20" t="n">
        <v>0</v>
      </c>
      <c r="AGD8" s="20" t="n">
        <v>0</v>
      </c>
      <c r="AGE8" s="20" t="n">
        <v>0</v>
      </c>
      <c r="AGF8" s="20" t="n">
        <v>0</v>
      </c>
      <c r="AGG8" s="20" t="n">
        <v>0</v>
      </c>
      <c r="AGH8" s="20" t="n">
        <v>0</v>
      </c>
      <c r="AGI8" s="20" t="n">
        <v>0</v>
      </c>
      <c r="AGJ8" s="20" t="n">
        <v>0</v>
      </c>
      <c r="AGK8" s="20" t="n">
        <v>0</v>
      </c>
      <c r="AGL8" s="20" t="n">
        <v>0</v>
      </c>
      <c r="AGM8" s="20" t="n">
        <v>0</v>
      </c>
      <c r="AGN8" s="20" t="n">
        <v>0</v>
      </c>
      <c r="AGO8" s="20" t="n">
        <v>0</v>
      </c>
      <c r="AGP8" s="20" t="n">
        <v>0</v>
      </c>
      <c r="AGQ8" s="20" t="n">
        <v>0</v>
      </c>
      <c r="AGR8" s="20" t="n">
        <v>0</v>
      </c>
      <c r="AGS8" s="20" t="n">
        <v>0</v>
      </c>
      <c r="AGT8" s="20" t="n">
        <v>0</v>
      </c>
      <c r="AGU8" s="20" t="n">
        <v>0</v>
      </c>
      <c r="AGV8" s="20" t="n">
        <v>0</v>
      </c>
      <c r="AGW8" s="20" t="n">
        <v>0</v>
      </c>
      <c r="AGX8" s="20" t="n">
        <v>0</v>
      </c>
      <c r="AGY8" s="20" t="n">
        <v>0</v>
      </c>
      <c r="AGZ8" s="20" t="n">
        <v>0</v>
      </c>
      <c r="AHA8" s="20" t="n">
        <v>0</v>
      </c>
      <c r="AHB8" s="20" t="n">
        <v>0</v>
      </c>
      <c r="AHC8" s="20" t="n">
        <v>0</v>
      </c>
      <c r="AHD8" s="20" t="n">
        <v>0</v>
      </c>
      <c r="AHE8" s="20" t="n">
        <f aca="false">IF(AKR7&gt;0,AOE7-AOE7*TE8/AKR7,0)+0</f>
        <v>0</v>
      </c>
      <c r="AHF8" s="20" t="n">
        <f aca="false">IF((P8+S8)&gt;0,(P8+S8)-(P8+S8)*TF8/(P8+S8),0)+BE8</f>
        <v>0</v>
      </c>
      <c r="AHG8" s="20" t="n">
        <v>0</v>
      </c>
      <c r="AHH8" s="20" t="n">
        <v>0</v>
      </c>
      <c r="AHI8" s="20" t="n">
        <v>0</v>
      </c>
      <c r="AHJ8" s="20" t="n">
        <v>0</v>
      </c>
      <c r="AHK8" s="20" t="n">
        <v>0</v>
      </c>
      <c r="AHL8" s="20" t="n">
        <v>0</v>
      </c>
      <c r="AHM8" s="20" t="n">
        <v>0</v>
      </c>
      <c r="AHN8" s="20" t="n">
        <v>0</v>
      </c>
      <c r="AHO8" s="20" t="n">
        <v>0</v>
      </c>
      <c r="AHP8" s="20" t="n">
        <v>0</v>
      </c>
      <c r="AHQ8" s="20" t="n">
        <v>0</v>
      </c>
      <c r="AHR8" s="20" t="n">
        <v>0</v>
      </c>
      <c r="AHS8" s="20" t="n">
        <v>0</v>
      </c>
      <c r="AHT8" s="20" t="n">
        <v>0</v>
      </c>
      <c r="AHU8" s="20" t="n">
        <v>0</v>
      </c>
      <c r="AHV8" s="20" t="n">
        <v>0</v>
      </c>
      <c r="AHW8" s="20" t="n">
        <v>0</v>
      </c>
      <c r="AHX8" s="20" t="n">
        <v>0</v>
      </c>
      <c r="AHY8" s="20" t="n">
        <v>0</v>
      </c>
      <c r="AHZ8" s="20" t="n">
        <v>0</v>
      </c>
      <c r="AIA8" s="20" t="n">
        <v>0</v>
      </c>
      <c r="AIB8" s="20" t="n">
        <v>0</v>
      </c>
      <c r="AIC8" s="20" t="n">
        <v>0</v>
      </c>
      <c r="AID8" s="20" t="n">
        <v>0</v>
      </c>
      <c r="AIE8" s="20" t="n">
        <v>0</v>
      </c>
      <c r="AIF8" s="20" t="n">
        <v>0</v>
      </c>
      <c r="AIG8" s="20" t="n">
        <v>0</v>
      </c>
      <c r="AIH8" s="20" t="n">
        <v>0</v>
      </c>
      <c r="AII8" s="20" t="n">
        <v>0</v>
      </c>
      <c r="AIJ8" s="20" t="n">
        <v>0</v>
      </c>
      <c r="AIK8" s="20" t="n">
        <v>0</v>
      </c>
      <c r="AIL8" s="20" t="n">
        <v>0</v>
      </c>
      <c r="AIM8" s="20" t="n">
        <v>0</v>
      </c>
      <c r="AIN8" s="20" t="n">
        <v>0</v>
      </c>
      <c r="AIO8" s="20" t="n">
        <v>0</v>
      </c>
      <c r="AIP8" s="20" t="n">
        <v>0</v>
      </c>
      <c r="AIQ8" s="20" t="n">
        <v>0</v>
      </c>
      <c r="AIR8" s="20" t="n">
        <v>0</v>
      </c>
      <c r="AIS8" s="20" t="n">
        <v>0</v>
      </c>
      <c r="AIT8" s="20" t="n">
        <v>0</v>
      </c>
      <c r="AIU8" s="20" t="n">
        <v>0</v>
      </c>
      <c r="AIV8" s="20" t="n">
        <v>0</v>
      </c>
      <c r="AIW8" s="20" t="n">
        <v>0</v>
      </c>
      <c r="AIX8" s="20" t="n">
        <v>0</v>
      </c>
      <c r="AIY8" s="20" t="n">
        <v>0</v>
      </c>
      <c r="AIZ8" s="20" t="n">
        <v>0</v>
      </c>
      <c r="AJA8" s="20" t="n">
        <v>0</v>
      </c>
      <c r="AJB8" s="20" t="n">
        <v>0</v>
      </c>
      <c r="AJC8" s="20" t="n">
        <v>0</v>
      </c>
      <c r="AJD8" s="20" t="n">
        <v>0</v>
      </c>
      <c r="AJE8" s="20" t="n">
        <v>0</v>
      </c>
      <c r="AJF8" s="20" t="n">
        <v>0</v>
      </c>
      <c r="AJG8" s="20" t="n">
        <v>0</v>
      </c>
      <c r="AJH8" s="20" t="n">
        <v>0</v>
      </c>
      <c r="AJI8" s="20" t="n">
        <v>0</v>
      </c>
      <c r="AJJ8" s="20" t="n">
        <v>0</v>
      </c>
      <c r="AJK8" s="20" t="n">
        <v>0</v>
      </c>
      <c r="AJL8" s="20" t="n">
        <v>0</v>
      </c>
      <c r="AJM8" s="20" t="n">
        <v>0</v>
      </c>
      <c r="AJN8" s="20" t="n">
        <v>0</v>
      </c>
      <c r="AJO8" s="20" t="n">
        <v>0</v>
      </c>
      <c r="AJP8" s="20" t="n">
        <v>0</v>
      </c>
      <c r="AJQ8" s="20" t="n">
        <v>0</v>
      </c>
      <c r="AJR8" s="20" t="n">
        <v>0</v>
      </c>
      <c r="AJS8" s="20" t="n">
        <v>0</v>
      </c>
      <c r="AJT8" s="20" t="n">
        <v>0</v>
      </c>
      <c r="AJU8" s="20" t="n">
        <v>0</v>
      </c>
      <c r="AJV8" s="20" t="n">
        <v>0</v>
      </c>
      <c r="AJW8" s="20" t="n">
        <v>0</v>
      </c>
      <c r="AJX8" s="20" t="n">
        <v>0</v>
      </c>
      <c r="AJY8" s="20" t="n">
        <v>0</v>
      </c>
      <c r="AJZ8" s="20" t="n">
        <v>0</v>
      </c>
      <c r="AKA8" s="20" t="n">
        <v>0</v>
      </c>
      <c r="AKB8" s="20" t="n">
        <v>0</v>
      </c>
      <c r="AKC8" s="20" t="n">
        <v>0</v>
      </c>
      <c r="AKD8" s="20" t="n">
        <v>0</v>
      </c>
      <c r="AKE8" s="20" t="n">
        <v>0</v>
      </c>
      <c r="AKF8" s="20" t="n">
        <v>0</v>
      </c>
      <c r="AKG8" s="20" t="n">
        <v>0</v>
      </c>
      <c r="AKH8" s="20" t="n">
        <v>0</v>
      </c>
      <c r="AKI8" s="20" t="n">
        <v>0</v>
      </c>
      <c r="AKJ8" s="20" t="n">
        <v>0</v>
      </c>
      <c r="AKK8" s="20" t="n">
        <v>0</v>
      </c>
      <c r="AKL8" s="20" t="n">
        <v>0</v>
      </c>
      <c r="AKM8" s="20" t="n">
        <v>0</v>
      </c>
      <c r="AKN8" s="20" t="n">
        <v>0</v>
      </c>
      <c r="AKO8" s="20" t="n">
        <v>0</v>
      </c>
      <c r="AKP8" s="20" t="n">
        <v>0</v>
      </c>
      <c r="AKQ8" s="20" t="n">
        <v>0</v>
      </c>
      <c r="AKR8" s="20" t="n">
        <f aca="false">ADR8-AVE8</f>
        <v>0</v>
      </c>
      <c r="AKS8" s="20" t="n">
        <f aca="false">ADS8-AVF8</f>
        <v>0</v>
      </c>
      <c r="AKT8" s="20" t="n">
        <v>0</v>
      </c>
      <c r="AKU8" s="20" t="n">
        <v>0</v>
      </c>
      <c r="AKV8" s="20" t="n">
        <v>0</v>
      </c>
      <c r="AKW8" s="20" t="n">
        <v>0</v>
      </c>
      <c r="AKX8" s="20" t="n">
        <v>0</v>
      </c>
      <c r="AKY8" s="20" t="n">
        <v>0</v>
      </c>
      <c r="AKZ8" s="20" t="n">
        <v>0</v>
      </c>
      <c r="ALA8" s="20" t="n">
        <v>0</v>
      </c>
      <c r="ALB8" s="20" t="n">
        <v>0</v>
      </c>
      <c r="ALC8" s="20" t="n">
        <v>0</v>
      </c>
      <c r="ALD8" s="20" t="n">
        <v>0</v>
      </c>
      <c r="ALE8" s="20" t="n">
        <v>0</v>
      </c>
      <c r="ALF8" s="20" t="n">
        <v>0</v>
      </c>
      <c r="ALG8" s="20" t="n">
        <v>0</v>
      </c>
      <c r="ALH8" s="20" t="n">
        <v>0</v>
      </c>
      <c r="ALI8" s="20" t="n">
        <v>0</v>
      </c>
      <c r="ALJ8" s="20" t="n">
        <v>0</v>
      </c>
      <c r="ALK8" s="20" t="n">
        <v>0</v>
      </c>
      <c r="ALL8" s="20" t="n">
        <v>0</v>
      </c>
      <c r="ALM8" s="20" t="n">
        <v>0</v>
      </c>
      <c r="ALN8" s="20" t="n">
        <v>0</v>
      </c>
      <c r="ALO8" s="20" t="n">
        <v>0</v>
      </c>
      <c r="ALP8" s="20" t="n">
        <v>0</v>
      </c>
      <c r="ALQ8" s="20" t="n">
        <v>0</v>
      </c>
      <c r="ALR8" s="20" t="n">
        <v>0</v>
      </c>
      <c r="ALS8" s="20" t="n">
        <v>0</v>
      </c>
      <c r="ALT8" s="20" t="n">
        <v>0</v>
      </c>
      <c r="ALU8" s="20" t="n">
        <v>0</v>
      </c>
      <c r="ALV8" s="20" t="n">
        <v>0</v>
      </c>
      <c r="ALW8" s="20" t="n">
        <v>0</v>
      </c>
      <c r="ALX8" s="20" t="n">
        <v>0</v>
      </c>
      <c r="ALY8" s="20" t="n">
        <v>0</v>
      </c>
      <c r="ALZ8" s="20" t="n">
        <v>0</v>
      </c>
      <c r="AMA8" s="20" t="n">
        <v>0</v>
      </c>
      <c r="AMB8" s="20" t="n">
        <v>0</v>
      </c>
      <c r="AMC8" s="20" t="n">
        <v>0</v>
      </c>
      <c r="AMD8" s="20" t="n">
        <v>0</v>
      </c>
      <c r="AME8" s="20" t="n">
        <v>0</v>
      </c>
      <c r="AMF8" s="20" t="n">
        <v>0</v>
      </c>
      <c r="AMG8" s="20" t="n">
        <v>0</v>
      </c>
      <c r="AMH8" s="20" t="n">
        <v>0</v>
      </c>
      <c r="AMI8" s="20" t="n">
        <v>0</v>
      </c>
      <c r="AMJ8" s="20" t="n">
        <v>0</v>
      </c>
      <c r="AMK8" s="20" t="n">
        <v>0</v>
      </c>
      <c r="AML8" s="20" t="n">
        <v>0</v>
      </c>
      <c r="AMM8" s="20" t="n">
        <v>0</v>
      </c>
      <c r="AMN8" s="20" t="n">
        <v>0</v>
      </c>
      <c r="AMO8" s="20" t="n">
        <v>0</v>
      </c>
      <c r="AMP8" s="20" t="n">
        <v>0</v>
      </c>
      <c r="AMQ8" s="20" t="n">
        <v>0</v>
      </c>
      <c r="AMR8" s="20" t="n">
        <v>0</v>
      </c>
      <c r="AMS8" s="20" t="n">
        <v>0</v>
      </c>
      <c r="AMT8" s="20" t="n">
        <v>0</v>
      </c>
      <c r="AMU8" s="20" t="n">
        <v>0</v>
      </c>
      <c r="AMV8" s="20" t="n">
        <v>0</v>
      </c>
      <c r="AMW8" s="20" t="n">
        <v>0</v>
      </c>
      <c r="AMX8" s="20" t="n">
        <v>0</v>
      </c>
      <c r="AMY8" s="20" t="n">
        <v>0</v>
      </c>
      <c r="AMZ8" s="20" t="n">
        <v>0</v>
      </c>
      <c r="ANA8" s="20" t="n">
        <v>0</v>
      </c>
      <c r="ANB8" s="20" t="n">
        <v>0</v>
      </c>
      <c r="ANC8" s="20" t="n">
        <v>0</v>
      </c>
      <c r="AND8" s="20" t="n">
        <v>0</v>
      </c>
      <c r="ANE8" s="20" t="n">
        <v>0</v>
      </c>
      <c r="ANF8" s="20" t="n">
        <v>0</v>
      </c>
      <c r="ANG8" s="20" t="n">
        <v>0</v>
      </c>
      <c r="ANH8" s="20" t="n">
        <v>0</v>
      </c>
      <c r="ANI8" s="20" t="n">
        <v>0</v>
      </c>
      <c r="ANJ8" s="20" t="n">
        <v>0</v>
      </c>
      <c r="ANK8" s="20" t="n">
        <v>0</v>
      </c>
      <c r="ANL8" s="20" t="n">
        <v>0</v>
      </c>
      <c r="ANM8" s="20" t="n">
        <v>0</v>
      </c>
      <c r="ANN8" s="20" t="n">
        <v>0</v>
      </c>
      <c r="ANO8" s="20" t="n">
        <v>0</v>
      </c>
      <c r="ANP8" s="20" t="n">
        <v>0</v>
      </c>
      <c r="ANQ8" s="20" t="n">
        <v>0</v>
      </c>
      <c r="ANR8" s="20" t="n">
        <v>0</v>
      </c>
      <c r="ANS8" s="20" t="n">
        <v>0</v>
      </c>
      <c r="ANT8" s="20" t="n">
        <v>0</v>
      </c>
      <c r="ANU8" s="20" t="n">
        <v>0</v>
      </c>
      <c r="ANV8" s="20" t="n">
        <v>0</v>
      </c>
      <c r="ANW8" s="20" t="n">
        <v>0</v>
      </c>
      <c r="ANX8" s="20" t="n">
        <v>0</v>
      </c>
      <c r="ANY8" s="20" t="n">
        <v>0</v>
      </c>
      <c r="ANZ8" s="20" t="n">
        <v>0</v>
      </c>
      <c r="AOA8" s="20" t="n">
        <v>0</v>
      </c>
      <c r="AOB8" s="20" t="n">
        <v>0</v>
      </c>
      <c r="AOC8" s="20" t="n">
        <v>0</v>
      </c>
      <c r="AOD8" s="20" t="n">
        <v>0</v>
      </c>
      <c r="AOE8" s="20" t="n">
        <f aca="false">IF(AND(H_Direct=0,H_TaxEvt=1,ARR7+1&gt;=H_Deemed),AKR8,AHE8)</f>
        <v>0</v>
      </c>
      <c r="AOF8" s="20" t="n">
        <f aca="false">IF(AND(H_Direct=0,H_TaxEvt=1,0+1&gt;=H_Deemed),AKS8,AHF8)</f>
        <v>0</v>
      </c>
      <c r="AOG8" s="20" t="n">
        <v>0</v>
      </c>
      <c r="AOH8" s="20" t="n">
        <v>0</v>
      </c>
      <c r="AOI8" s="20" t="n">
        <v>0</v>
      </c>
      <c r="AOJ8" s="20" t="n">
        <v>0</v>
      </c>
      <c r="AOK8" s="20" t="n">
        <v>0</v>
      </c>
      <c r="AOL8" s="20" t="n">
        <v>0</v>
      </c>
      <c r="AOM8" s="20" t="n">
        <v>0</v>
      </c>
      <c r="AON8" s="20" t="n">
        <v>0</v>
      </c>
      <c r="AOO8" s="20" t="n">
        <v>0</v>
      </c>
      <c r="AOP8" s="20" t="n">
        <v>0</v>
      </c>
      <c r="AOQ8" s="20" t="n">
        <v>0</v>
      </c>
      <c r="AOR8" s="20" t="n">
        <v>0</v>
      </c>
      <c r="AOS8" s="20" t="n">
        <v>0</v>
      </c>
      <c r="AOT8" s="20" t="n">
        <v>0</v>
      </c>
      <c r="AOU8" s="20" t="n">
        <v>0</v>
      </c>
      <c r="AOV8" s="20" t="n">
        <v>0</v>
      </c>
      <c r="AOW8" s="20" t="n">
        <v>0</v>
      </c>
      <c r="AOX8" s="20" t="n">
        <v>0</v>
      </c>
      <c r="AOY8" s="20" t="n">
        <v>0</v>
      </c>
      <c r="AOZ8" s="20" t="n">
        <v>0</v>
      </c>
      <c r="APA8" s="20" t="n">
        <v>0</v>
      </c>
      <c r="APB8" s="20" t="n">
        <v>0</v>
      </c>
      <c r="APC8" s="20" t="n">
        <v>0</v>
      </c>
      <c r="APD8" s="20" t="n">
        <v>0</v>
      </c>
      <c r="APE8" s="20" t="n">
        <v>0</v>
      </c>
      <c r="APF8" s="20" t="n">
        <v>0</v>
      </c>
      <c r="APG8" s="20" t="n">
        <v>0</v>
      </c>
      <c r="APH8" s="20" t="n">
        <v>0</v>
      </c>
      <c r="API8" s="20" t="n">
        <v>0</v>
      </c>
      <c r="APJ8" s="20" t="n">
        <v>0</v>
      </c>
      <c r="APK8" s="20" t="n">
        <v>0</v>
      </c>
      <c r="APL8" s="20" t="n">
        <v>0</v>
      </c>
      <c r="APM8" s="20" t="n">
        <v>0</v>
      </c>
      <c r="APN8" s="20" t="n">
        <v>0</v>
      </c>
      <c r="APO8" s="20" t="n">
        <v>0</v>
      </c>
      <c r="APP8" s="20" t="n">
        <v>0</v>
      </c>
      <c r="APQ8" s="20" t="n">
        <v>0</v>
      </c>
      <c r="APR8" s="20" t="n">
        <v>0</v>
      </c>
      <c r="APS8" s="20" t="n">
        <v>0</v>
      </c>
      <c r="APT8" s="20" t="n">
        <v>0</v>
      </c>
      <c r="APU8" s="20" t="n">
        <v>0</v>
      </c>
      <c r="APV8" s="20" t="n">
        <v>0</v>
      </c>
      <c r="APW8" s="20" t="n">
        <v>0</v>
      </c>
      <c r="APX8" s="20" t="n">
        <v>0</v>
      </c>
      <c r="APY8" s="20" t="n">
        <v>0</v>
      </c>
      <c r="APZ8" s="20" t="n">
        <v>0</v>
      </c>
      <c r="AQA8" s="20" t="n">
        <v>0</v>
      </c>
      <c r="AQB8" s="20" t="n">
        <v>0</v>
      </c>
      <c r="AQC8" s="20" t="n">
        <v>0</v>
      </c>
      <c r="AQD8" s="20" t="n">
        <v>0</v>
      </c>
      <c r="AQE8" s="20" t="n">
        <v>0</v>
      </c>
      <c r="AQF8" s="20" t="n">
        <v>0</v>
      </c>
      <c r="AQG8" s="20" t="n">
        <v>0</v>
      </c>
      <c r="AQH8" s="20" t="n">
        <v>0</v>
      </c>
      <c r="AQI8" s="20" t="n">
        <v>0</v>
      </c>
      <c r="AQJ8" s="20" t="n">
        <v>0</v>
      </c>
      <c r="AQK8" s="20" t="n">
        <v>0</v>
      </c>
      <c r="AQL8" s="20" t="n">
        <v>0</v>
      </c>
      <c r="AQM8" s="20" t="n">
        <v>0</v>
      </c>
      <c r="AQN8" s="20" t="n">
        <v>0</v>
      </c>
      <c r="AQO8" s="20" t="n">
        <v>0</v>
      </c>
      <c r="AQP8" s="20" t="n">
        <v>0</v>
      </c>
      <c r="AQQ8" s="20" t="n">
        <v>0</v>
      </c>
      <c r="AQR8" s="20" t="n">
        <v>0</v>
      </c>
      <c r="AQS8" s="20" t="n">
        <v>0</v>
      </c>
      <c r="AQT8" s="20" t="n">
        <v>0</v>
      </c>
      <c r="AQU8" s="20" t="n">
        <v>0</v>
      </c>
      <c r="AQV8" s="20" t="n">
        <v>0</v>
      </c>
      <c r="AQW8" s="20" t="n">
        <v>0</v>
      </c>
      <c r="AQX8" s="20" t="n">
        <v>0</v>
      </c>
      <c r="AQY8" s="20" t="n">
        <v>0</v>
      </c>
      <c r="AQZ8" s="20" t="n">
        <v>0</v>
      </c>
      <c r="ARA8" s="20" t="n">
        <v>0</v>
      </c>
      <c r="ARB8" s="20" t="n">
        <v>0</v>
      </c>
      <c r="ARC8" s="20" t="n">
        <v>0</v>
      </c>
      <c r="ARD8" s="20" t="n">
        <v>0</v>
      </c>
      <c r="ARE8" s="20" t="n">
        <v>0</v>
      </c>
      <c r="ARF8" s="20" t="n">
        <v>0</v>
      </c>
      <c r="ARG8" s="20" t="n">
        <v>0</v>
      </c>
      <c r="ARH8" s="20" t="n">
        <v>0</v>
      </c>
      <c r="ARI8" s="20" t="n">
        <v>0</v>
      </c>
      <c r="ARJ8" s="20" t="n">
        <v>0</v>
      </c>
      <c r="ARK8" s="20" t="n">
        <v>0</v>
      </c>
      <c r="ARL8" s="20" t="n">
        <v>0</v>
      </c>
      <c r="ARM8" s="20" t="n">
        <v>0</v>
      </c>
      <c r="ARN8" s="20" t="n">
        <v>0</v>
      </c>
      <c r="ARO8" s="20" t="n">
        <v>0</v>
      </c>
      <c r="ARP8" s="20" t="n">
        <v>0</v>
      </c>
      <c r="ARQ8" s="20" t="n">
        <v>0</v>
      </c>
      <c r="ARR8" s="20" t="n">
        <f aca="false">IF(AND(H_Direct=0,H_TaxEvt=1),IF(ARR7+1&gt;=H_Deemed,0,ARR7+1),ARR7)</f>
        <v>1</v>
      </c>
      <c r="ARS8" s="20" t="n">
        <f aca="false">IF(AND(H_Direct=0,H_TaxEvt=1),IF(0+1&gt;=H_Deemed,0,0+1),0)</f>
        <v>1</v>
      </c>
      <c r="ART8" s="20" t="n">
        <v>0</v>
      </c>
      <c r="ARU8" s="20" t="n">
        <v>0</v>
      </c>
      <c r="ARV8" s="20" t="n">
        <v>0</v>
      </c>
      <c r="ARW8" s="20" t="n">
        <v>0</v>
      </c>
      <c r="ARX8" s="20" t="n">
        <v>0</v>
      </c>
      <c r="ARY8" s="20" t="n">
        <v>0</v>
      </c>
      <c r="ARZ8" s="20" t="n">
        <v>0</v>
      </c>
      <c r="ASA8" s="20" t="n">
        <v>0</v>
      </c>
      <c r="ASB8" s="20" t="n">
        <v>0</v>
      </c>
      <c r="ASC8" s="20" t="n">
        <v>0</v>
      </c>
      <c r="ASD8" s="20" t="n">
        <v>0</v>
      </c>
      <c r="ASE8" s="20" t="n">
        <v>0</v>
      </c>
      <c r="ASF8" s="20" t="n">
        <v>0</v>
      </c>
      <c r="ASG8" s="20" t="n">
        <v>0</v>
      </c>
      <c r="ASH8" s="20" t="n">
        <v>0</v>
      </c>
      <c r="ASI8" s="20" t="n">
        <v>0</v>
      </c>
      <c r="ASJ8" s="20" t="n">
        <v>0</v>
      </c>
      <c r="ASK8" s="20" t="n">
        <v>0</v>
      </c>
      <c r="ASL8" s="20" t="n">
        <v>0</v>
      </c>
      <c r="ASM8" s="20" t="n">
        <v>0</v>
      </c>
      <c r="ASN8" s="20" t="n">
        <v>0</v>
      </c>
      <c r="ASO8" s="20" t="n">
        <v>0</v>
      </c>
      <c r="ASP8" s="20" t="n">
        <v>0</v>
      </c>
      <c r="ASQ8" s="20" t="n">
        <v>0</v>
      </c>
      <c r="ASR8" s="20" t="n">
        <v>0</v>
      </c>
      <c r="ASS8" s="20" t="n">
        <v>0</v>
      </c>
      <c r="AST8" s="20" t="n">
        <v>0</v>
      </c>
      <c r="ASU8" s="20" t="n">
        <v>0</v>
      </c>
      <c r="ASV8" s="20" t="n">
        <v>0</v>
      </c>
      <c r="ASW8" s="20" t="n">
        <v>0</v>
      </c>
      <c r="ASX8" s="20" t="n">
        <v>0</v>
      </c>
      <c r="ASY8" s="20" t="n">
        <v>0</v>
      </c>
      <c r="ASZ8" s="20" t="n">
        <v>0</v>
      </c>
      <c r="ATA8" s="20" t="n">
        <v>0</v>
      </c>
      <c r="ATB8" s="20" t="n">
        <v>0</v>
      </c>
      <c r="ATC8" s="20" t="n">
        <v>0</v>
      </c>
      <c r="ATD8" s="20" t="n">
        <v>0</v>
      </c>
      <c r="ATE8" s="20" t="n">
        <v>0</v>
      </c>
      <c r="ATF8" s="20" t="n">
        <v>0</v>
      </c>
      <c r="ATG8" s="20" t="n">
        <v>0</v>
      </c>
      <c r="ATH8" s="20" t="n">
        <v>0</v>
      </c>
      <c r="ATI8" s="20" t="n">
        <v>0</v>
      </c>
      <c r="ATJ8" s="20" t="n">
        <v>0</v>
      </c>
      <c r="ATK8" s="20" t="n">
        <v>0</v>
      </c>
      <c r="ATL8" s="20" t="n">
        <v>0</v>
      </c>
      <c r="ATM8" s="20" t="n">
        <v>0</v>
      </c>
      <c r="ATN8" s="20" t="n">
        <v>0</v>
      </c>
      <c r="ATO8" s="20" t="n">
        <v>0</v>
      </c>
      <c r="ATP8" s="20" t="n">
        <v>0</v>
      </c>
      <c r="ATQ8" s="20" t="n">
        <v>0</v>
      </c>
      <c r="ATR8" s="20" t="n">
        <v>0</v>
      </c>
      <c r="ATS8" s="20" t="n">
        <v>0</v>
      </c>
      <c r="ATT8" s="20" t="n">
        <v>0</v>
      </c>
      <c r="ATU8" s="20" t="n">
        <v>0</v>
      </c>
      <c r="ATV8" s="20" t="n">
        <v>0</v>
      </c>
      <c r="ATW8" s="20" t="n">
        <v>0</v>
      </c>
      <c r="ATX8" s="20" t="n">
        <v>0</v>
      </c>
      <c r="ATY8" s="20" t="n">
        <v>0</v>
      </c>
      <c r="ATZ8" s="20" t="n">
        <v>0</v>
      </c>
      <c r="AUA8" s="20" t="n">
        <v>0</v>
      </c>
      <c r="AUB8" s="20" t="n">
        <v>0</v>
      </c>
      <c r="AUC8" s="20" t="n">
        <v>0</v>
      </c>
      <c r="AUD8" s="20" t="n">
        <v>0</v>
      </c>
      <c r="AUE8" s="20" t="n">
        <v>0</v>
      </c>
      <c r="AUF8" s="20" t="n">
        <v>0</v>
      </c>
      <c r="AUG8" s="20" t="n">
        <v>0</v>
      </c>
      <c r="AUH8" s="20" t="n">
        <v>0</v>
      </c>
      <c r="AUI8" s="20" t="n">
        <v>0</v>
      </c>
      <c r="AUJ8" s="20" t="n">
        <v>0</v>
      </c>
      <c r="AUK8" s="20" t="n">
        <v>0</v>
      </c>
      <c r="AUL8" s="20" t="n">
        <v>0</v>
      </c>
      <c r="AUM8" s="20" t="n">
        <v>0</v>
      </c>
      <c r="AUN8" s="20" t="n">
        <v>0</v>
      </c>
      <c r="AUO8" s="20" t="n">
        <v>0</v>
      </c>
      <c r="AUP8" s="20" t="n">
        <v>0</v>
      </c>
      <c r="AUQ8" s="20" t="n">
        <v>0</v>
      </c>
      <c r="AUR8" s="20" t="n">
        <v>0</v>
      </c>
      <c r="AUS8" s="20" t="n">
        <v>0</v>
      </c>
      <c r="AUT8" s="20" t="n">
        <v>0</v>
      </c>
      <c r="AUU8" s="20" t="n">
        <v>0</v>
      </c>
      <c r="AUV8" s="20" t="n">
        <v>0</v>
      </c>
      <c r="AUW8" s="20" t="n">
        <v>0</v>
      </c>
      <c r="AUX8" s="20" t="n">
        <v>0</v>
      </c>
      <c r="AUY8" s="20" t="n">
        <v>0</v>
      </c>
      <c r="AUZ8" s="20" t="n">
        <v>0</v>
      </c>
      <c r="AVA8" s="20" t="n">
        <v>0</v>
      </c>
      <c r="AVB8" s="20" t="n">
        <v>0</v>
      </c>
      <c r="AVC8" s="20" t="n">
        <v>0</v>
      </c>
      <c r="AVD8" s="20" t="n">
        <v>0</v>
      </c>
      <c r="AVE8" s="20" t="n">
        <f aca="false">IF(AND(H_Direct=0,H_TaxEvt=1,ARR7+1&gt;=H_Deemed),MAX(0,ADR8-AHE8)*H_Exit,0)</f>
        <v>0</v>
      </c>
      <c r="AVF8" s="20" t="n">
        <f aca="false">IF(AND(H_Direct=0,H_TaxEvt=1,0+1&gt;=H_Deemed),MAX(0,ADS8-AHF8)*H_Exit,0)</f>
        <v>0</v>
      </c>
      <c r="AVG8" s="20" t="n">
        <v>0</v>
      </c>
      <c r="AVH8" s="20" t="n">
        <v>0</v>
      </c>
      <c r="AVI8" s="20" t="n">
        <v>0</v>
      </c>
      <c r="AVJ8" s="20" t="n">
        <v>0</v>
      </c>
      <c r="AVK8" s="20" t="n">
        <v>0</v>
      </c>
      <c r="AVL8" s="20" t="n">
        <v>0</v>
      </c>
      <c r="AVM8" s="20" t="n">
        <v>0</v>
      </c>
      <c r="AVN8" s="20" t="n">
        <v>0</v>
      </c>
      <c r="AVO8" s="20" t="n">
        <v>0</v>
      </c>
      <c r="AVP8" s="20" t="n">
        <v>0</v>
      </c>
      <c r="AVQ8" s="20" t="n">
        <v>0</v>
      </c>
      <c r="AVR8" s="20" t="n">
        <v>0</v>
      </c>
      <c r="AVS8" s="20" t="n">
        <v>0</v>
      </c>
      <c r="AVT8" s="20" t="n">
        <v>0</v>
      </c>
      <c r="AVU8" s="20" t="n">
        <v>0</v>
      </c>
      <c r="AVV8" s="20" t="n">
        <v>0</v>
      </c>
      <c r="AVW8" s="20" t="n">
        <v>0</v>
      </c>
      <c r="AVX8" s="20" t="n">
        <v>0</v>
      </c>
      <c r="AVY8" s="20" t="n">
        <v>0</v>
      </c>
      <c r="AVZ8" s="20" t="n">
        <v>0</v>
      </c>
      <c r="AWA8" s="20" t="n">
        <v>0</v>
      </c>
      <c r="AWB8" s="20" t="n">
        <v>0</v>
      </c>
      <c r="AWC8" s="20" t="n">
        <v>0</v>
      </c>
      <c r="AWD8" s="20" t="n">
        <v>0</v>
      </c>
      <c r="AWE8" s="20" t="n">
        <v>0</v>
      </c>
      <c r="AWF8" s="20" t="n">
        <v>0</v>
      </c>
      <c r="AWG8" s="20" t="n">
        <v>0</v>
      </c>
      <c r="AWH8" s="20" t="n">
        <v>0</v>
      </c>
      <c r="AWI8" s="20" t="n">
        <v>0</v>
      </c>
      <c r="AWJ8" s="20" t="n">
        <v>0</v>
      </c>
      <c r="AWK8" s="20" t="n">
        <v>0</v>
      </c>
      <c r="AWL8" s="20" t="n">
        <v>0</v>
      </c>
      <c r="AWM8" s="20" t="n">
        <v>0</v>
      </c>
      <c r="AWN8" s="20" t="n">
        <v>0</v>
      </c>
      <c r="AWO8" s="20" t="n">
        <v>0</v>
      </c>
      <c r="AWP8" s="20" t="n">
        <v>0</v>
      </c>
      <c r="AWQ8" s="20" t="n">
        <v>0</v>
      </c>
      <c r="AWR8" s="20" t="n">
        <v>0</v>
      </c>
      <c r="AWS8" s="20" t="n">
        <v>0</v>
      </c>
      <c r="AWT8" s="20" t="n">
        <v>0</v>
      </c>
      <c r="AWU8" s="20" t="n">
        <v>0</v>
      </c>
      <c r="AWV8" s="20" t="n">
        <v>0</v>
      </c>
      <c r="AWW8" s="20" t="n">
        <v>0</v>
      </c>
      <c r="AWX8" s="20" t="n">
        <v>0</v>
      </c>
      <c r="AWY8" s="20" t="n">
        <v>0</v>
      </c>
      <c r="AWZ8" s="20" t="n">
        <v>0</v>
      </c>
      <c r="AXA8" s="20" t="n">
        <v>0</v>
      </c>
      <c r="AXB8" s="20" t="n">
        <v>0</v>
      </c>
      <c r="AXC8" s="20" t="n">
        <v>0</v>
      </c>
      <c r="AXD8" s="20" t="n">
        <v>0</v>
      </c>
      <c r="AXE8" s="20" t="n">
        <v>0</v>
      </c>
      <c r="AXF8" s="20" t="n">
        <v>0</v>
      </c>
      <c r="AXG8" s="20" t="n">
        <v>0</v>
      </c>
      <c r="AXH8" s="20" t="n">
        <v>0</v>
      </c>
      <c r="AXI8" s="20" t="n">
        <v>0</v>
      </c>
      <c r="AXJ8" s="20" t="n">
        <v>0</v>
      </c>
      <c r="AXK8" s="20" t="n">
        <v>0</v>
      </c>
      <c r="AXL8" s="20" t="n">
        <v>0</v>
      </c>
      <c r="AXM8" s="20" t="n">
        <v>0</v>
      </c>
      <c r="AXN8" s="20" t="n">
        <v>0</v>
      </c>
      <c r="AXO8" s="20" t="n">
        <v>0</v>
      </c>
      <c r="AXP8" s="20" t="n">
        <v>0</v>
      </c>
      <c r="AXQ8" s="20" t="n">
        <v>0</v>
      </c>
      <c r="AXR8" s="20" t="n">
        <v>0</v>
      </c>
      <c r="AXS8" s="20" t="n">
        <v>0</v>
      </c>
      <c r="AXT8" s="20" t="n">
        <v>0</v>
      </c>
      <c r="AXU8" s="20" t="n">
        <v>0</v>
      </c>
      <c r="AXV8" s="20" t="n">
        <v>0</v>
      </c>
      <c r="AXW8" s="20" t="n">
        <v>0</v>
      </c>
      <c r="AXX8" s="20" t="n">
        <v>0</v>
      </c>
      <c r="AXY8" s="20" t="n">
        <v>0</v>
      </c>
      <c r="AXZ8" s="20" t="n">
        <v>0</v>
      </c>
      <c r="AYA8" s="20" t="n">
        <v>0</v>
      </c>
      <c r="AYB8" s="20" t="n">
        <v>0</v>
      </c>
      <c r="AYC8" s="20" t="n">
        <v>0</v>
      </c>
      <c r="AYD8" s="20" t="n">
        <v>0</v>
      </c>
      <c r="AYE8" s="20" t="n">
        <v>0</v>
      </c>
      <c r="AYF8" s="20" t="n">
        <v>0</v>
      </c>
      <c r="AYG8" s="20" t="n">
        <v>0</v>
      </c>
      <c r="AYH8" s="20" t="n">
        <v>0</v>
      </c>
      <c r="AYI8" s="20" t="n">
        <v>0</v>
      </c>
      <c r="AYJ8" s="20" t="n">
        <v>0</v>
      </c>
      <c r="AYK8" s="20" t="n">
        <v>0</v>
      </c>
      <c r="AYL8" s="20" t="n">
        <v>0</v>
      </c>
      <c r="AYM8" s="20" t="n">
        <v>0</v>
      </c>
      <c r="AYN8" s="20" t="n">
        <v>0</v>
      </c>
      <c r="AYO8" s="20" t="n">
        <v>0</v>
      </c>
      <c r="AYP8" s="20" t="n">
        <v>0</v>
      </c>
      <c r="AYQ8" s="20" t="n">
        <v>0</v>
      </c>
    </row>
    <row r="9" customFormat="false" ht="15" hidden="false" customHeight="false" outlineLevel="0" collapsed="false">
      <c r="B9" s="20" t="n">
        <v>1</v>
      </c>
      <c r="C9" s="20" t="n">
        <f aca="false">'Plan cashflow'!C9</f>
        <v>1</v>
      </c>
      <c r="D9" s="20" t="n">
        <f aca="false">'Plan cashflow'!D9</f>
        <v>39</v>
      </c>
      <c r="E9" s="20" t="n">
        <f aca="false">AS_Year0+1</f>
        <v>2027</v>
      </c>
      <c r="F9" s="50" t="n">
        <f aca="false">'Plan cashflow'!F9</f>
        <v>1.02</v>
      </c>
      <c r="G9" s="59" t="n">
        <f aca="true">IF(MAX(TODAY(),DATE(E9,1,1))&gt;=H_CGTfrom,H_CGT1,H_CGT0)</f>
        <v>0.31</v>
      </c>
      <c r="H9" s="20" t="n">
        <f aca="false">H_Exempt*H_Persons</f>
        <v>1270</v>
      </c>
      <c r="I9" s="20" t="n">
        <f aca="false">AX8</f>
        <v>0</v>
      </c>
      <c r="J9" s="60" t="n">
        <f aca="false">BF8</f>
        <v>0</v>
      </c>
      <c r="K9" s="60" t="n">
        <f aca="false">BG8</f>
        <v>0</v>
      </c>
      <c r="L9" s="20" t="n">
        <f aca="false">IF(AND(In_polLump&gt;0,In_polLumpAge&gt;0,D9=In_polLumpAge),In_polLump,0)</f>
        <v>0</v>
      </c>
      <c r="M9" s="20" t="n">
        <f aca="false">IF(AND(In_homeUse="Yes, I'd downsize",In_downAge&gt;0,D9=In_downAge,OR(In_home="Own outright",In_home="Own with mortgage"),In_homeValue&gt;0),MAX(0,MAX(0,In_homeValue-In_downValue)*F9*0.9-'Plan cashflow'!HR8),0)</f>
        <v>0</v>
      </c>
      <c r="N9" s="20" t="n">
        <f aca="false">'Plan pay &amp; tax'!Y235</f>
        <v>0</v>
      </c>
      <c r="O9" s="20" t="n">
        <f aca="false">L9+M9+(1-H_Sh)*N9</f>
        <v>0</v>
      </c>
      <c r="P9" s="20" t="n">
        <f aca="false">H_Sh*N9</f>
        <v>0</v>
      </c>
      <c r="Q9" s="20" t="n">
        <f aca="false">'Plan cashflow'!UL9</f>
        <v>0</v>
      </c>
      <c r="R9" s="20" t="n">
        <f aca="false">(1-H_Sh)*Q9</f>
        <v>0</v>
      </c>
      <c r="S9" s="20" t="n">
        <f aca="false">H_Sh*Q9</f>
        <v>0</v>
      </c>
      <c r="T9" s="20" t="n">
        <f aca="false">J9+K9+O9</f>
        <v>0</v>
      </c>
      <c r="U9" s="20" t="n">
        <f aca="false">T9+R9</f>
        <v>0</v>
      </c>
      <c r="V9" s="60" t="n">
        <f aca="false">SUM(FE9:IQ9)</f>
        <v>0</v>
      </c>
      <c r="W9" s="60" t="n">
        <f aca="false">IF(AJ9&lt;=0,0,IF(AL9&lt;=0,AJ9,AJ9-G9*MAX(0,AL9*AJ9-(AY9+AZ9))))</f>
        <v>0</v>
      </c>
      <c r="X9" s="60" t="n">
        <f aca="false">IF(AR9&lt;=0,0,IF(AT9&lt;=0,AR9,AR9-G9*MAX(0,AT9*AR9-(BA9+BB9))))</f>
        <v>0</v>
      </c>
      <c r="Y9" s="60" t="n">
        <f aca="false">T9+V9-S9+W9+X9</f>
        <v>0</v>
      </c>
      <c r="Z9" s="60" t="n">
        <f aca="false">'Plan cashflow'!UK9</f>
        <v>0</v>
      </c>
      <c r="AA9" s="20" t="n">
        <f aca="false">MIN(Z9,U9)</f>
        <v>0</v>
      </c>
      <c r="AB9" s="20" t="n">
        <f aca="false">Z9-AA9</f>
        <v>0</v>
      </c>
      <c r="AC9" s="20" t="n">
        <f aca="false">MIN(AA9,J9+O9+R9)</f>
        <v>0</v>
      </c>
      <c r="AD9" s="20" t="n">
        <f aca="false">AA9-AC9</f>
        <v>0</v>
      </c>
      <c r="AE9" s="20" t="n">
        <f aca="false">J9+O9+R9-AC9</f>
        <v>0</v>
      </c>
      <c r="AF9" s="20" t="n">
        <f aca="false">K9-AD9</f>
        <v>0</v>
      </c>
      <c r="AG9" s="20" t="n">
        <f aca="false">SUM(PR9:TD9)</f>
        <v>0</v>
      </c>
      <c r="AH9" s="20" t="n">
        <f aca="false">SUM(TE9:WQ9)</f>
        <v>0</v>
      </c>
      <c r="AI9" s="20" t="n">
        <f aca="false">MAX(0,AB9-AG9)</f>
        <v>0</v>
      </c>
      <c r="AJ9" s="57" t="n">
        <f aca="false">BI8</f>
        <v>0</v>
      </c>
      <c r="AK9" s="20" t="n">
        <f aca="false">BJ8</f>
        <v>0</v>
      </c>
      <c r="AL9" s="20" t="n">
        <f aca="false">IF(AJ9&gt;0,(AJ9-AK9)/AJ9,0)</f>
        <v>0</v>
      </c>
      <c r="AM9" s="20" t="n">
        <f aca="false">IF(AJ9&lt;=0,0,IF(AL9&lt;=0,MIN(AI9,AJ9),MIN(AI9,AJ9-G9*MAX(0,AL9*AJ9-(AAD9+ADQ9)))))</f>
        <v>0</v>
      </c>
      <c r="AN9" s="20" t="n">
        <f aca="false">IF(AJ9&lt;=0,0,IF(AL9&lt;=0,AM9,IF(AM9&lt;=(AAD9+ADQ9)/AL9,AM9,(AM9-G9*(AAD9+ADQ9))/(1-G9*AL9))))</f>
        <v>0</v>
      </c>
      <c r="AO9" s="20" t="n">
        <f aca="false">IF(AL9&gt;0,MAX(0,AAD9-(MIN(AL9*AN9,(AAD9+ADQ9))-MIN(MIN(AL9*AN9,(AAD9+ADQ9)),ADQ9))),AAD9)</f>
        <v>1270</v>
      </c>
      <c r="AP9" s="20" t="n">
        <f aca="false">IF(AL9&lt;=0,ADQ9-AL9*AN9,ADQ9-MIN(MIN(AL9*AN9,(AAD9+ADQ9)),ADQ9))</f>
        <v>0</v>
      </c>
      <c r="AQ9" s="20" t="n">
        <f aca="false">MAX(0,AI9-AM9)</f>
        <v>0</v>
      </c>
      <c r="AR9" s="57" t="n">
        <f aca="false">BK8</f>
        <v>0</v>
      </c>
      <c r="AS9" s="20" t="n">
        <f aca="false">BL8</f>
        <v>0</v>
      </c>
      <c r="AT9" s="20" t="n">
        <f aca="false">IF(AR9&gt;0,(AR9-AS9)/AR9,0)</f>
        <v>0</v>
      </c>
      <c r="AU9" s="20" t="n">
        <f aca="false">IF(AR9&lt;=0,0,IF(AT9&lt;=0,MIN(AQ9,AR9),MIN(AQ9,AR9-G9*MAX(0,AT9*AR9-(AO9+AP9)))))</f>
        <v>0</v>
      </c>
      <c r="AV9" s="20" t="n">
        <f aca="false">IF(AR9&lt;=0,0,IF(AT9&lt;=0,AU9,IF(AU9&lt;=(AO9+AP9)/AT9,AU9,(AU9-G9*(AO9+AP9))/(1-G9*AT9))))</f>
        <v>0</v>
      </c>
      <c r="AW9" s="20" t="n">
        <f aca="false">IF(AT9&gt;0,MAX(0,AO9-(MIN(AT9*AV9,(AO9+AP9))-MIN(MIN(AT9*AV9,(AO9+AP9)),AP9))),AO9)</f>
        <v>1270</v>
      </c>
      <c r="AX9" s="20" t="n">
        <f aca="false">IF(AT9&lt;=0,AP9-AT9*AV9,AP9-MIN(MIN(AT9*AV9,(AO9+AP9)),AP9))</f>
        <v>0</v>
      </c>
      <c r="AY9" s="20" t="n">
        <f aca="false">MD9</f>
        <v>1270</v>
      </c>
      <c r="AZ9" s="20" t="n">
        <f aca="false">PQ9</f>
        <v>0</v>
      </c>
      <c r="BA9" s="20" t="n">
        <f aca="false">IF(AL9&gt;0,MAX(0,AY9-(MIN(AL9*AJ9,AY9+AZ9)-MIN(MIN(AL9*AJ9,AY9+AZ9),AZ9))),AY9)</f>
        <v>1270</v>
      </c>
      <c r="BB9" s="20" t="n">
        <f aca="false">IF(AL9&lt;=0,AZ9-AL9*AJ9,AZ9-MIN(MIN(AL9*AJ9,AY9+AZ9),AZ9))</f>
        <v>0</v>
      </c>
      <c r="BC9" s="20" t="n">
        <f aca="false">'Plan cashflow'!UM9</f>
        <v>0</v>
      </c>
      <c r="BD9" s="20" t="n">
        <f aca="false">(1-H_Sh)*BC9</f>
        <v>0</v>
      </c>
      <c r="BE9" s="20" t="n">
        <f aca="false">H_Sh*BC9</f>
        <v>0</v>
      </c>
      <c r="BF9" s="60" t="n">
        <f aca="false">(AE9+BD9)*(1+AS_Cash)</f>
        <v>0</v>
      </c>
      <c r="BG9" s="60" t="n">
        <f aca="false">AF9*(1+AS_Cash)</f>
        <v>0</v>
      </c>
      <c r="BH9" s="60" t="n">
        <f aca="false">SUM(AKR9:AOD9)</f>
        <v>0</v>
      </c>
      <c r="BI9" s="60" t="n">
        <f aca="false">(AJ9-AN9)*(1+AS_Infl)</f>
        <v>0</v>
      </c>
      <c r="BJ9" s="20" t="n">
        <f aca="false">IF(AJ9&gt;0,AK9-AK9*AN9/AJ9,0)</f>
        <v>0</v>
      </c>
      <c r="BK9" s="60" t="n">
        <f aca="false">(AR9-AV9)*(1+BQ9)</f>
        <v>0</v>
      </c>
      <c r="BL9" s="20" t="n">
        <f aca="false">IF(AR9&gt;0,AS9-AS9*AV9/AR9,0)</f>
        <v>0</v>
      </c>
      <c r="BM9" s="60" t="n">
        <f aca="false">BF9+BG9+BH9+BI9+BK9</f>
        <v>0</v>
      </c>
      <c r="BN9" s="60" t="n">
        <f aca="false">(AH9-AG9)+(AN9-AM9)+(AV9-AU9)</f>
        <v>0</v>
      </c>
      <c r="BO9" s="20" t="n">
        <f aca="false">(AE9+BD9+AF9+MAX(0,'Plan cashflow'!QH9)+IF(Slot1_Rate=AS_Cash,'Plan cashflow'!QM9/(1+AS_Cash),0)+IF(Slot2_Rate=AS_Cash,'Plan cashflow'!QQ9/(1+AS_Cash),0)+IF(Slot3_Rate=AS_Cash,'Plan cashflow'!QU9/(1+AS_Cash),0)+IF(Slot4_Rate=AS_Cash,'Plan cashflow'!QY9/(1+AS_Cash),0)+IF(Slot5_Rate=AS_Cash,'Plan cashflow'!RC9/(1+AS_Cash),0)+IF(Slot6_Rate=AS_Cash,'Plan cashflow'!RG9/(1+AS_Cash),0)+IF(Slot7_Rate=AS_Cash,'Plan cashflow'!RK9/(1+AS_Cash),0)+IF(Slot8_Rate=AS_Cash,'Plan cashflow'!RO9/(1+AS_Cash),0)+IF(Slot9_Rate=AS_Cash,'Plan cashflow'!RS9/(1+AS_Cash),0)+IF(Slot10_Rate=AS_Cash,'Plan cashflow'!RW9/(1+AS_Cash),0)+IF(Slot11_Rate=AS_Cash,'Plan cashflow'!SA9/(1+AS_Cash),0)+IF(Slot12_Rate=AS_Cash,'Plan cashflow'!SE9/(1+AS_Cash),0)+IF(Slot13_Rate=AS_Cash,'Plan cashflow'!SI9/(1+AS_Cash),0)+IF(Slot14_Rate=AS_Cash,'Plan cashflow'!SM9/(1+AS_Cash),0)+IF(Slot15_Rate=AS_Cash,'Plan cashflow'!SQ9/(1+AS_Cash),0)+IF(Slot16_Rate=AS_Cash,'Plan cashflow'!SU9/(1+AS_Cash),0)+IF(Slot17_Rate=AS_Cash,'Plan cashflow'!SY9/(1+AS_Cash),0)+IF(Slot18_Rate=AS_Cash,'Plan cashflow'!TC9/(1+AS_Cash),0)+IF(Slot19_Rate=AS_Cash,'Plan cashflow'!TG9/(1+AS_Cash),0)+IF(Slot20_Rate=AS_Cash,'Plan cashflow'!TK9/(1+AS_Cash),0))*AS_Cash*H_DIRT/(1-H_DIRT)</f>
        <v>86.330874816902</v>
      </c>
      <c r="BP9" s="60" t="n">
        <f aca="false">SUM(AVE9:AYQ9)</f>
        <v>0</v>
      </c>
      <c r="BQ9" s="54" t="n">
        <f aca="false">IF(H_TaxEvt=1,H_InvG,AS_Inv)</f>
        <v>0.04</v>
      </c>
      <c r="BR9" s="20" t="n">
        <f aca="false">IF(AKR8&gt;0,(AKR8-AOE8)/AKR8,0)</f>
        <v>0</v>
      </c>
      <c r="BS9" s="20" t="n">
        <f aca="false">IF(AKS8&gt;0,(AKS8-AOF8)/AKS8,0)</f>
        <v>0</v>
      </c>
      <c r="BT9" s="20" t="n">
        <f aca="false">IF((P9+S9)&gt;0,((P9+S9)-(P9+S9))/(P9+S9),0)</f>
        <v>0</v>
      </c>
      <c r="BU9" s="20" t="n">
        <v>0</v>
      </c>
      <c r="BV9" s="20" t="n">
        <v>0</v>
      </c>
      <c r="BW9" s="20" t="n">
        <v>0</v>
      </c>
      <c r="BX9" s="20" t="n">
        <v>0</v>
      </c>
      <c r="BY9" s="20" t="n">
        <v>0</v>
      </c>
      <c r="BZ9" s="20" t="n">
        <v>0</v>
      </c>
      <c r="CA9" s="20" t="n">
        <v>0</v>
      </c>
      <c r="CB9" s="20" t="n">
        <v>0</v>
      </c>
      <c r="CC9" s="20" t="n">
        <v>0</v>
      </c>
      <c r="CD9" s="20" t="n">
        <v>0</v>
      </c>
      <c r="CE9" s="20" t="n">
        <v>0</v>
      </c>
      <c r="CF9" s="20" t="n">
        <v>0</v>
      </c>
      <c r="CG9" s="20" t="n">
        <v>0</v>
      </c>
      <c r="CH9" s="20" t="n">
        <v>0</v>
      </c>
      <c r="CI9" s="20" t="n">
        <v>0</v>
      </c>
      <c r="CJ9" s="20" t="n">
        <v>0</v>
      </c>
      <c r="CK9" s="20" t="n">
        <v>0</v>
      </c>
      <c r="CL9" s="20" t="n">
        <v>0</v>
      </c>
      <c r="CM9" s="20" t="n">
        <v>0</v>
      </c>
      <c r="CN9" s="20" t="n">
        <v>0</v>
      </c>
      <c r="CO9" s="20" t="n">
        <v>0</v>
      </c>
      <c r="CP9" s="20" t="n">
        <v>0</v>
      </c>
      <c r="CQ9" s="20" t="n">
        <v>0</v>
      </c>
      <c r="CR9" s="20" t="n">
        <v>0</v>
      </c>
      <c r="CS9" s="20" t="n">
        <v>0</v>
      </c>
      <c r="CT9" s="20" t="n">
        <v>0</v>
      </c>
      <c r="CU9" s="20" t="n">
        <v>0</v>
      </c>
      <c r="CV9" s="20" t="n">
        <v>0</v>
      </c>
      <c r="CW9" s="20" t="n">
        <v>0</v>
      </c>
      <c r="CX9" s="20" t="n">
        <v>0</v>
      </c>
      <c r="CY9" s="20" t="n">
        <v>0</v>
      </c>
      <c r="CZ9" s="20" t="n">
        <v>0</v>
      </c>
      <c r="DA9" s="20" t="n">
        <v>0</v>
      </c>
      <c r="DB9" s="20" t="n">
        <v>0</v>
      </c>
      <c r="DC9" s="20" t="n">
        <v>0</v>
      </c>
      <c r="DD9" s="20" t="n">
        <v>0</v>
      </c>
      <c r="DE9" s="20" t="n">
        <v>0</v>
      </c>
      <c r="DF9" s="20" t="n">
        <v>0</v>
      </c>
      <c r="DG9" s="20" t="n">
        <v>0</v>
      </c>
      <c r="DH9" s="20" t="n">
        <v>0</v>
      </c>
      <c r="DI9" s="20" t="n">
        <v>0</v>
      </c>
      <c r="DJ9" s="20" t="n">
        <v>0</v>
      </c>
      <c r="DK9" s="20" t="n">
        <v>0</v>
      </c>
      <c r="DL9" s="20" t="n">
        <v>0</v>
      </c>
      <c r="DM9" s="20" t="n">
        <v>0</v>
      </c>
      <c r="DN9" s="20" t="n">
        <v>0</v>
      </c>
      <c r="DO9" s="20" t="n">
        <v>0</v>
      </c>
      <c r="DP9" s="20" t="n">
        <v>0</v>
      </c>
      <c r="DQ9" s="20" t="n">
        <v>0</v>
      </c>
      <c r="DR9" s="20" t="n">
        <v>0</v>
      </c>
      <c r="DS9" s="20" t="n">
        <v>0</v>
      </c>
      <c r="DT9" s="20" t="n">
        <v>0</v>
      </c>
      <c r="DU9" s="20" t="n">
        <v>0</v>
      </c>
      <c r="DV9" s="20" t="n">
        <v>0</v>
      </c>
      <c r="DW9" s="20" t="n">
        <v>0</v>
      </c>
      <c r="DX9" s="20" t="n">
        <v>0</v>
      </c>
      <c r="DY9" s="20" t="n">
        <v>0</v>
      </c>
      <c r="DZ9" s="20" t="n">
        <v>0</v>
      </c>
      <c r="EA9" s="20" t="n">
        <v>0</v>
      </c>
      <c r="EB9" s="20" t="n">
        <v>0</v>
      </c>
      <c r="EC9" s="20" t="n">
        <v>0</v>
      </c>
      <c r="ED9" s="20" t="n">
        <v>0</v>
      </c>
      <c r="EE9" s="20" t="n">
        <v>0</v>
      </c>
      <c r="EF9" s="20" t="n">
        <v>0</v>
      </c>
      <c r="EG9" s="20" t="n">
        <v>0</v>
      </c>
      <c r="EH9" s="20" t="n">
        <v>0</v>
      </c>
      <c r="EI9" s="20" t="n">
        <v>0</v>
      </c>
      <c r="EJ9" s="20" t="n">
        <v>0</v>
      </c>
      <c r="EK9" s="20" t="n">
        <v>0</v>
      </c>
      <c r="EL9" s="20" t="n">
        <v>0</v>
      </c>
      <c r="EM9" s="20" t="n">
        <v>0</v>
      </c>
      <c r="EN9" s="20" t="n">
        <v>0</v>
      </c>
      <c r="EO9" s="20" t="n">
        <v>0</v>
      </c>
      <c r="EP9" s="20" t="n">
        <v>0</v>
      </c>
      <c r="EQ9" s="20" t="n">
        <v>0</v>
      </c>
      <c r="ER9" s="20" t="n">
        <v>0</v>
      </c>
      <c r="ES9" s="20" t="n">
        <v>0</v>
      </c>
      <c r="ET9" s="20" t="n">
        <v>0</v>
      </c>
      <c r="EU9" s="20" t="n">
        <v>0</v>
      </c>
      <c r="EV9" s="20" t="n">
        <v>0</v>
      </c>
      <c r="EW9" s="20" t="n">
        <v>0</v>
      </c>
      <c r="EX9" s="20" t="n">
        <v>0</v>
      </c>
      <c r="EY9" s="20" t="n">
        <v>0</v>
      </c>
      <c r="EZ9" s="20" t="n">
        <v>0</v>
      </c>
      <c r="FA9" s="20" t="n">
        <v>0</v>
      </c>
      <c r="FB9" s="20" t="n">
        <v>0</v>
      </c>
      <c r="FC9" s="20" t="n">
        <v>0</v>
      </c>
      <c r="FD9" s="20" t="n">
        <v>0</v>
      </c>
      <c r="FE9" s="20" t="n">
        <f aca="false">IF(H_Direct=1,IF(AKR8&lt;=0,0,IF(BR9&lt;=0,AKR8,AKR8-G9*MAX(0,BR9*AKR8-(H9+I9)))),AKR8*(1-MAX(0,BR9)*H_Exit))</f>
        <v>0</v>
      </c>
      <c r="FF9" s="20" t="n">
        <f aca="false">IF(H_Direct=1,IF(AKS8&lt;=0,0,IF(BS9&lt;=0,AKS8,AKS8-G9*MAX(0,BS9*AKS8-(IR9+ME9)))),AKS8*(1-MAX(0,BS9)*H_Exit))</f>
        <v>0</v>
      </c>
      <c r="FG9" s="20" t="n">
        <f aca="false">IF(H_Direct=1,IF((P9+S9)&lt;=0,0,IF(BT9&lt;=0,(P9+S9),(P9+S9)-G9*MAX(0,BT9*(P9+S9)-(IS9+MF9)))),(P9+S9)*(1-MAX(0,BT9)*H_Exit))</f>
        <v>0</v>
      </c>
      <c r="FH9" s="20" t="n">
        <v>0</v>
      </c>
      <c r="FI9" s="20" t="n">
        <v>0</v>
      </c>
      <c r="FJ9" s="20" t="n">
        <v>0</v>
      </c>
      <c r="FK9" s="20" t="n">
        <v>0</v>
      </c>
      <c r="FL9" s="20" t="n">
        <v>0</v>
      </c>
      <c r="FM9" s="20" t="n">
        <v>0</v>
      </c>
      <c r="FN9" s="20" t="n">
        <v>0</v>
      </c>
      <c r="FO9" s="20" t="n">
        <v>0</v>
      </c>
      <c r="FP9" s="20" t="n">
        <v>0</v>
      </c>
      <c r="FQ9" s="20" t="n">
        <v>0</v>
      </c>
      <c r="FR9" s="20" t="n">
        <v>0</v>
      </c>
      <c r="FS9" s="20" t="n">
        <v>0</v>
      </c>
      <c r="FT9" s="20" t="n">
        <v>0</v>
      </c>
      <c r="FU9" s="20" t="n">
        <v>0</v>
      </c>
      <c r="FV9" s="20" t="n">
        <v>0</v>
      </c>
      <c r="FW9" s="20" t="n">
        <v>0</v>
      </c>
      <c r="FX9" s="20" t="n">
        <v>0</v>
      </c>
      <c r="FY9" s="20" t="n">
        <v>0</v>
      </c>
      <c r="FZ9" s="20" t="n">
        <v>0</v>
      </c>
      <c r="GA9" s="20" t="n">
        <v>0</v>
      </c>
      <c r="GB9" s="20" t="n">
        <v>0</v>
      </c>
      <c r="GC9" s="20" t="n">
        <v>0</v>
      </c>
      <c r="GD9" s="20" t="n">
        <v>0</v>
      </c>
      <c r="GE9" s="20" t="n">
        <v>0</v>
      </c>
      <c r="GF9" s="20" t="n">
        <v>0</v>
      </c>
      <c r="GG9" s="20" t="n">
        <v>0</v>
      </c>
      <c r="GH9" s="20" t="n">
        <v>0</v>
      </c>
      <c r="GI9" s="20" t="n">
        <v>0</v>
      </c>
      <c r="GJ9" s="20" t="n">
        <v>0</v>
      </c>
      <c r="GK9" s="20" t="n">
        <v>0</v>
      </c>
      <c r="GL9" s="20" t="n">
        <v>0</v>
      </c>
      <c r="GM9" s="20" t="n">
        <v>0</v>
      </c>
      <c r="GN9" s="20" t="n">
        <v>0</v>
      </c>
      <c r="GO9" s="20" t="n">
        <v>0</v>
      </c>
      <c r="GP9" s="20" t="n">
        <v>0</v>
      </c>
      <c r="GQ9" s="20" t="n">
        <v>0</v>
      </c>
      <c r="GR9" s="20" t="n">
        <v>0</v>
      </c>
      <c r="GS9" s="20" t="n">
        <v>0</v>
      </c>
      <c r="GT9" s="20" t="n">
        <v>0</v>
      </c>
      <c r="GU9" s="20" t="n">
        <v>0</v>
      </c>
      <c r="GV9" s="20" t="n">
        <v>0</v>
      </c>
      <c r="GW9" s="20" t="n">
        <v>0</v>
      </c>
      <c r="GX9" s="20" t="n">
        <v>0</v>
      </c>
      <c r="GY9" s="20" t="n">
        <v>0</v>
      </c>
      <c r="GZ9" s="20" t="n">
        <v>0</v>
      </c>
      <c r="HA9" s="20" t="n">
        <v>0</v>
      </c>
      <c r="HB9" s="20" t="n">
        <v>0</v>
      </c>
      <c r="HC9" s="20" t="n">
        <v>0</v>
      </c>
      <c r="HD9" s="20" t="n">
        <v>0</v>
      </c>
      <c r="HE9" s="20" t="n">
        <v>0</v>
      </c>
      <c r="HF9" s="20" t="n">
        <v>0</v>
      </c>
      <c r="HG9" s="20" t="n">
        <v>0</v>
      </c>
      <c r="HH9" s="20" t="n">
        <v>0</v>
      </c>
      <c r="HI9" s="20" t="n">
        <v>0</v>
      </c>
      <c r="HJ9" s="20" t="n">
        <v>0</v>
      </c>
      <c r="HK9" s="20" t="n">
        <v>0</v>
      </c>
      <c r="HL9" s="20" t="n">
        <v>0</v>
      </c>
      <c r="HM9" s="20" t="n">
        <v>0</v>
      </c>
      <c r="HN9" s="20" t="n">
        <v>0</v>
      </c>
      <c r="HO9" s="20" t="n">
        <v>0</v>
      </c>
      <c r="HP9" s="20" t="n">
        <v>0</v>
      </c>
      <c r="HQ9" s="20" t="n">
        <v>0</v>
      </c>
      <c r="HR9" s="20" t="n">
        <v>0</v>
      </c>
      <c r="HS9" s="20" t="n">
        <v>0</v>
      </c>
      <c r="HT9" s="20" t="n">
        <v>0</v>
      </c>
      <c r="HU9" s="20" t="n">
        <v>0</v>
      </c>
      <c r="HV9" s="20" t="n">
        <v>0</v>
      </c>
      <c r="HW9" s="20" t="n">
        <v>0</v>
      </c>
      <c r="HX9" s="20" t="n">
        <v>0</v>
      </c>
      <c r="HY9" s="20" t="n">
        <v>0</v>
      </c>
      <c r="HZ9" s="20" t="n">
        <v>0</v>
      </c>
      <c r="IA9" s="20" t="n">
        <v>0</v>
      </c>
      <c r="IB9" s="20" t="n">
        <v>0</v>
      </c>
      <c r="IC9" s="20" t="n">
        <v>0</v>
      </c>
      <c r="ID9" s="20" t="n">
        <v>0</v>
      </c>
      <c r="IE9" s="20" t="n">
        <v>0</v>
      </c>
      <c r="IF9" s="20" t="n">
        <v>0</v>
      </c>
      <c r="IG9" s="20" t="n">
        <v>0</v>
      </c>
      <c r="IH9" s="20" t="n">
        <v>0</v>
      </c>
      <c r="II9" s="20" t="n">
        <v>0</v>
      </c>
      <c r="IJ9" s="20" t="n">
        <v>0</v>
      </c>
      <c r="IK9" s="20" t="n">
        <v>0</v>
      </c>
      <c r="IL9" s="20" t="n">
        <v>0</v>
      </c>
      <c r="IM9" s="20" t="n">
        <v>0</v>
      </c>
      <c r="IN9" s="20" t="n">
        <v>0</v>
      </c>
      <c r="IO9" s="20" t="n">
        <v>0</v>
      </c>
      <c r="IP9" s="20" t="n">
        <v>0</v>
      </c>
      <c r="IQ9" s="20" t="n">
        <v>0</v>
      </c>
      <c r="IR9" s="20" t="n">
        <f aca="false">IF(AND(H_Direct=1,BR9&gt;0),MAX(0,H9-(MIN(BR9*AKR8,H9+I9)-MIN(MIN(BR9*AKR8,H9+I9),I9))),H9)</f>
        <v>1270</v>
      </c>
      <c r="IS9" s="20" t="n">
        <f aca="false">IF(AND(H_Direct=1,BS9&gt;0),MAX(0,IR9-(MIN(BS9*AKS8,IR9+ME9)-MIN(MIN(BS9*AKS8,IR9+ME9),ME9))),IR9)</f>
        <v>1270</v>
      </c>
      <c r="IT9" s="20" t="n">
        <f aca="false">IF(AND(H_Direct=1,BT9&gt;0),MAX(0,IS9-(MIN(BT9*(P9+S9),IS9+MF9)-MIN(MIN(BT9*(P9+S9),IS9+MF9),MF9))),IS9)</f>
        <v>1270</v>
      </c>
      <c r="IU9" s="20" t="n">
        <f aca="false">IT9</f>
        <v>1270</v>
      </c>
      <c r="IV9" s="20" t="n">
        <f aca="false">IU9</f>
        <v>1270</v>
      </c>
      <c r="IW9" s="20" t="n">
        <f aca="false">IV9</f>
        <v>1270</v>
      </c>
      <c r="IX9" s="20" t="n">
        <f aca="false">IW9</f>
        <v>1270</v>
      </c>
      <c r="IY9" s="20" t="n">
        <f aca="false">IX9</f>
        <v>1270</v>
      </c>
      <c r="IZ9" s="20" t="n">
        <f aca="false">IY9</f>
        <v>1270</v>
      </c>
      <c r="JA9" s="20" t="n">
        <f aca="false">IZ9</f>
        <v>1270</v>
      </c>
      <c r="JB9" s="20" t="n">
        <f aca="false">JA9</f>
        <v>1270</v>
      </c>
      <c r="JC9" s="20" t="n">
        <f aca="false">JB9</f>
        <v>1270</v>
      </c>
      <c r="JD9" s="20" t="n">
        <f aca="false">JC9</f>
        <v>1270</v>
      </c>
      <c r="JE9" s="20" t="n">
        <f aca="false">JD9</f>
        <v>1270</v>
      </c>
      <c r="JF9" s="20" t="n">
        <f aca="false">JE9</f>
        <v>1270</v>
      </c>
      <c r="JG9" s="20" t="n">
        <f aca="false">JF9</f>
        <v>1270</v>
      </c>
      <c r="JH9" s="20" t="n">
        <f aca="false">JG9</f>
        <v>1270</v>
      </c>
      <c r="JI9" s="20" t="n">
        <f aca="false">JH9</f>
        <v>1270</v>
      </c>
      <c r="JJ9" s="20" t="n">
        <f aca="false">JI9</f>
        <v>1270</v>
      </c>
      <c r="JK9" s="20" t="n">
        <f aca="false">JJ9</f>
        <v>1270</v>
      </c>
      <c r="JL9" s="20" t="n">
        <f aca="false">JK9</f>
        <v>1270</v>
      </c>
      <c r="JM9" s="20" t="n">
        <f aca="false">JL9</f>
        <v>1270</v>
      </c>
      <c r="JN9" s="20" t="n">
        <f aca="false">JM9</f>
        <v>1270</v>
      </c>
      <c r="JO9" s="20" t="n">
        <f aca="false">JN9</f>
        <v>1270</v>
      </c>
      <c r="JP9" s="20" t="n">
        <f aca="false">JO9</f>
        <v>1270</v>
      </c>
      <c r="JQ9" s="20" t="n">
        <f aca="false">JP9</f>
        <v>1270</v>
      </c>
      <c r="JR9" s="20" t="n">
        <f aca="false">JQ9</f>
        <v>1270</v>
      </c>
      <c r="JS9" s="20" t="n">
        <f aca="false">JR9</f>
        <v>1270</v>
      </c>
      <c r="JT9" s="20" t="n">
        <f aca="false">JS9</f>
        <v>1270</v>
      </c>
      <c r="JU9" s="20" t="n">
        <f aca="false">JT9</f>
        <v>1270</v>
      </c>
      <c r="JV9" s="20" t="n">
        <f aca="false">JU9</f>
        <v>1270</v>
      </c>
      <c r="JW9" s="20" t="n">
        <f aca="false">JV9</f>
        <v>1270</v>
      </c>
      <c r="JX9" s="20" t="n">
        <f aca="false">JW9</f>
        <v>1270</v>
      </c>
      <c r="JY9" s="20" t="n">
        <f aca="false">JX9</f>
        <v>1270</v>
      </c>
      <c r="JZ9" s="20" t="n">
        <f aca="false">JY9</f>
        <v>1270</v>
      </c>
      <c r="KA9" s="20" t="n">
        <f aca="false">JZ9</f>
        <v>1270</v>
      </c>
      <c r="KB9" s="20" t="n">
        <f aca="false">KA9</f>
        <v>1270</v>
      </c>
      <c r="KC9" s="20" t="n">
        <f aca="false">KB9</f>
        <v>1270</v>
      </c>
      <c r="KD9" s="20" t="n">
        <f aca="false">KC9</f>
        <v>1270</v>
      </c>
      <c r="KE9" s="20" t="n">
        <f aca="false">KD9</f>
        <v>1270</v>
      </c>
      <c r="KF9" s="20" t="n">
        <f aca="false">KE9</f>
        <v>1270</v>
      </c>
      <c r="KG9" s="20" t="n">
        <f aca="false">KF9</f>
        <v>1270</v>
      </c>
      <c r="KH9" s="20" t="n">
        <f aca="false">KG9</f>
        <v>1270</v>
      </c>
      <c r="KI9" s="20" t="n">
        <f aca="false">KH9</f>
        <v>1270</v>
      </c>
      <c r="KJ9" s="20" t="n">
        <f aca="false">KI9</f>
        <v>1270</v>
      </c>
      <c r="KK9" s="20" t="n">
        <f aca="false">KJ9</f>
        <v>1270</v>
      </c>
      <c r="KL9" s="20" t="n">
        <f aca="false">KK9</f>
        <v>1270</v>
      </c>
      <c r="KM9" s="20" t="n">
        <f aca="false">KL9</f>
        <v>1270</v>
      </c>
      <c r="KN9" s="20" t="n">
        <f aca="false">KM9</f>
        <v>1270</v>
      </c>
      <c r="KO9" s="20" t="n">
        <f aca="false">KN9</f>
        <v>1270</v>
      </c>
      <c r="KP9" s="20" t="n">
        <f aca="false">KO9</f>
        <v>1270</v>
      </c>
      <c r="KQ9" s="20" t="n">
        <f aca="false">KP9</f>
        <v>1270</v>
      </c>
      <c r="KR9" s="20" t="n">
        <f aca="false">KQ9</f>
        <v>1270</v>
      </c>
      <c r="KS9" s="20" t="n">
        <f aca="false">KR9</f>
        <v>1270</v>
      </c>
      <c r="KT9" s="20" t="n">
        <f aca="false">KS9</f>
        <v>1270</v>
      </c>
      <c r="KU9" s="20" t="n">
        <f aca="false">KT9</f>
        <v>1270</v>
      </c>
      <c r="KV9" s="20" t="n">
        <f aca="false">KU9</f>
        <v>1270</v>
      </c>
      <c r="KW9" s="20" t="n">
        <f aca="false">KV9</f>
        <v>1270</v>
      </c>
      <c r="KX9" s="20" t="n">
        <f aca="false">KW9</f>
        <v>1270</v>
      </c>
      <c r="KY9" s="20" t="n">
        <f aca="false">KX9</f>
        <v>1270</v>
      </c>
      <c r="KZ9" s="20" t="n">
        <f aca="false">KY9</f>
        <v>1270</v>
      </c>
      <c r="LA9" s="20" t="n">
        <f aca="false">KZ9</f>
        <v>1270</v>
      </c>
      <c r="LB9" s="20" t="n">
        <f aca="false">LA9</f>
        <v>1270</v>
      </c>
      <c r="LC9" s="20" t="n">
        <f aca="false">LB9</f>
        <v>1270</v>
      </c>
      <c r="LD9" s="20" t="n">
        <f aca="false">LC9</f>
        <v>1270</v>
      </c>
      <c r="LE9" s="20" t="n">
        <f aca="false">LD9</f>
        <v>1270</v>
      </c>
      <c r="LF9" s="20" t="n">
        <f aca="false">LE9</f>
        <v>1270</v>
      </c>
      <c r="LG9" s="20" t="n">
        <f aca="false">LF9</f>
        <v>1270</v>
      </c>
      <c r="LH9" s="20" t="n">
        <f aca="false">LG9</f>
        <v>1270</v>
      </c>
      <c r="LI9" s="20" t="n">
        <f aca="false">LH9</f>
        <v>1270</v>
      </c>
      <c r="LJ9" s="20" t="n">
        <f aca="false">LI9</f>
        <v>1270</v>
      </c>
      <c r="LK9" s="20" t="n">
        <f aca="false">LJ9</f>
        <v>1270</v>
      </c>
      <c r="LL9" s="20" t="n">
        <f aca="false">LK9</f>
        <v>1270</v>
      </c>
      <c r="LM9" s="20" t="n">
        <f aca="false">LL9</f>
        <v>1270</v>
      </c>
      <c r="LN9" s="20" t="n">
        <f aca="false">LM9</f>
        <v>1270</v>
      </c>
      <c r="LO9" s="20" t="n">
        <f aca="false">LN9</f>
        <v>1270</v>
      </c>
      <c r="LP9" s="20" t="n">
        <f aca="false">LO9</f>
        <v>1270</v>
      </c>
      <c r="LQ9" s="20" t="n">
        <f aca="false">LP9</f>
        <v>1270</v>
      </c>
      <c r="LR9" s="20" t="n">
        <f aca="false">LQ9</f>
        <v>1270</v>
      </c>
      <c r="LS9" s="20" t="n">
        <f aca="false">LR9</f>
        <v>1270</v>
      </c>
      <c r="LT9" s="20" t="n">
        <f aca="false">LS9</f>
        <v>1270</v>
      </c>
      <c r="LU9" s="20" t="n">
        <f aca="false">LT9</f>
        <v>1270</v>
      </c>
      <c r="LV9" s="20" t="n">
        <f aca="false">LU9</f>
        <v>1270</v>
      </c>
      <c r="LW9" s="20" t="n">
        <f aca="false">LV9</f>
        <v>1270</v>
      </c>
      <c r="LX9" s="20" t="n">
        <f aca="false">LW9</f>
        <v>1270</v>
      </c>
      <c r="LY9" s="20" t="n">
        <f aca="false">LX9</f>
        <v>1270</v>
      </c>
      <c r="LZ9" s="20" t="n">
        <f aca="false">LY9</f>
        <v>1270</v>
      </c>
      <c r="MA9" s="20" t="n">
        <f aca="false">LZ9</f>
        <v>1270</v>
      </c>
      <c r="MB9" s="20" t="n">
        <f aca="false">MA9</f>
        <v>1270</v>
      </c>
      <c r="MC9" s="20" t="n">
        <f aca="false">MB9</f>
        <v>1270</v>
      </c>
      <c r="MD9" s="20" t="n">
        <f aca="false">MC9</f>
        <v>1270</v>
      </c>
      <c r="ME9" s="20" t="n">
        <f aca="false">IF(H_Direct=1,IF(BR9&lt;=0,I9-BR9*AKR8,I9-MIN(MIN(BR9*AKR8,H9+I9),I9)),I9)</f>
        <v>0</v>
      </c>
      <c r="MF9" s="20" t="n">
        <f aca="false">IF(H_Direct=1,IF(BS9&lt;=0,ME9-BS9*AKS8,ME9-MIN(MIN(BS9*AKS8,IR9+ME9),ME9)),ME9)</f>
        <v>0</v>
      </c>
      <c r="MG9" s="20" t="n">
        <f aca="false">IF(H_Direct=1,IF(BT9&lt;=0,MF9-BT9*(P9+S9),MF9-MIN(MIN(BT9*(P9+S9),IS9+MF9),MF9)),MF9)</f>
        <v>0</v>
      </c>
      <c r="MH9" s="20" t="n">
        <f aca="false">MG9</f>
        <v>0</v>
      </c>
      <c r="MI9" s="20" t="n">
        <f aca="false">MH9</f>
        <v>0</v>
      </c>
      <c r="MJ9" s="20" t="n">
        <f aca="false">MI9</f>
        <v>0</v>
      </c>
      <c r="MK9" s="20" t="n">
        <f aca="false">MJ9</f>
        <v>0</v>
      </c>
      <c r="ML9" s="20" t="n">
        <f aca="false">MK9</f>
        <v>0</v>
      </c>
      <c r="MM9" s="20" t="n">
        <f aca="false">ML9</f>
        <v>0</v>
      </c>
      <c r="MN9" s="20" t="n">
        <f aca="false">MM9</f>
        <v>0</v>
      </c>
      <c r="MO9" s="20" t="n">
        <f aca="false">MN9</f>
        <v>0</v>
      </c>
      <c r="MP9" s="20" t="n">
        <f aca="false">MO9</f>
        <v>0</v>
      </c>
      <c r="MQ9" s="20" t="n">
        <f aca="false">MP9</f>
        <v>0</v>
      </c>
      <c r="MR9" s="20" t="n">
        <f aca="false">MQ9</f>
        <v>0</v>
      </c>
      <c r="MS9" s="20" t="n">
        <f aca="false">MR9</f>
        <v>0</v>
      </c>
      <c r="MT9" s="20" t="n">
        <f aca="false">MS9</f>
        <v>0</v>
      </c>
      <c r="MU9" s="20" t="n">
        <f aca="false">MT9</f>
        <v>0</v>
      </c>
      <c r="MV9" s="20" t="n">
        <f aca="false">MU9</f>
        <v>0</v>
      </c>
      <c r="MW9" s="20" t="n">
        <f aca="false">MV9</f>
        <v>0</v>
      </c>
      <c r="MX9" s="20" t="n">
        <f aca="false">MW9</f>
        <v>0</v>
      </c>
      <c r="MY9" s="20" t="n">
        <f aca="false">MX9</f>
        <v>0</v>
      </c>
      <c r="MZ9" s="20" t="n">
        <f aca="false">MY9</f>
        <v>0</v>
      </c>
      <c r="NA9" s="20" t="n">
        <f aca="false">MZ9</f>
        <v>0</v>
      </c>
      <c r="NB9" s="20" t="n">
        <f aca="false">NA9</f>
        <v>0</v>
      </c>
      <c r="NC9" s="20" t="n">
        <f aca="false">NB9</f>
        <v>0</v>
      </c>
      <c r="ND9" s="20" t="n">
        <f aca="false">NC9</f>
        <v>0</v>
      </c>
      <c r="NE9" s="20" t="n">
        <f aca="false">ND9</f>
        <v>0</v>
      </c>
      <c r="NF9" s="20" t="n">
        <f aca="false">NE9</f>
        <v>0</v>
      </c>
      <c r="NG9" s="20" t="n">
        <f aca="false">NF9</f>
        <v>0</v>
      </c>
      <c r="NH9" s="20" t="n">
        <f aca="false">NG9</f>
        <v>0</v>
      </c>
      <c r="NI9" s="20" t="n">
        <f aca="false">NH9</f>
        <v>0</v>
      </c>
      <c r="NJ9" s="20" t="n">
        <f aca="false">NI9</f>
        <v>0</v>
      </c>
      <c r="NK9" s="20" t="n">
        <f aca="false">NJ9</f>
        <v>0</v>
      </c>
      <c r="NL9" s="20" t="n">
        <f aca="false">NK9</f>
        <v>0</v>
      </c>
      <c r="NM9" s="20" t="n">
        <f aca="false">NL9</f>
        <v>0</v>
      </c>
      <c r="NN9" s="20" t="n">
        <f aca="false">NM9</f>
        <v>0</v>
      </c>
      <c r="NO9" s="20" t="n">
        <f aca="false">NN9</f>
        <v>0</v>
      </c>
      <c r="NP9" s="20" t="n">
        <f aca="false">NO9</f>
        <v>0</v>
      </c>
      <c r="NQ9" s="20" t="n">
        <f aca="false">NP9</f>
        <v>0</v>
      </c>
      <c r="NR9" s="20" t="n">
        <f aca="false">NQ9</f>
        <v>0</v>
      </c>
      <c r="NS9" s="20" t="n">
        <f aca="false">NR9</f>
        <v>0</v>
      </c>
      <c r="NT9" s="20" t="n">
        <f aca="false">NS9</f>
        <v>0</v>
      </c>
      <c r="NU9" s="20" t="n">
        <f aca="false">NT9</f>
        <v>0</v>
      </c>
      <c r="NV9" s="20" t="n">
        <f aca="false">NU9</f>
        <v>0</v>
      </c>
      <c r="NW9" s="20" t="n">
        <f aca="false">NV9</f>
        <v>0</v>
      </c>
      <c r="NX9" s="20" t="n">
        <f aca="false">NW9</f>
        <v>0</v>
      </c>
      <c r="NY9" s="20" t="n">
        <f aca="false">NX9</f>
        <v>0</v>
      </c>
      <c r="NZ9" s="20" t="n">
        <f aca="false">NY9</f>
        <v>0</v>
      </c>
      <c r="OA9" s="20" t="n">
        <f aca="false">NZ9</f>
        <v>0</v>
      </c>
      <c r="OB9" s="20" t="n">
        <f aca="false">OA9</f>
        <v>0</v>
      </c>
      <c r="OC9" s="20" t="n">
        <f aca="false">OB9</f>
        <v>0</v>
      </c>
      <c r="OD9" s="20" t="n">
        <f aca="false">OC9</f>
        <v>0</v>
      </c>
      <c r="OE9" s="20" t="n">
        <f aca="false">OD9</f>
        <v>0</v>
      </c>
      <c r="OF9" s="20" t="n">
        <f aca="false">OE9</f>
        <v>0</v>
      </c>
      <c r="OG9" s="20" t="n">
        <f aca="false">OF9</f>
        <v>0</v>
      </c>
      <c r="OH9" s="20" t="n">
        <f aca="false">OG9</f>
        <v>0</v>
      </c>
      <c r="OI9" s="20" t="n">
        <f aca="false">OH9</f>
        <v>0</v>
      </c>
      <c r="OJ9" s="20" t="n">
        <f aca="false">OI9</f>
        <v>0</v>
      </c>
      <c r="OK9" s="20" t="n">
        <f aca="false">OJ9</f>
        <v>0</v>
      </c>
      <c r="OL9" s="20" t="n">
        <f aca="false">OK9</f>
        <v>0</v>
      </c>
      <c r="OM9" s="20" t="n">
        <f aca="false">OL9</f>
        <v>0</v>
      </c>
      <c r="ON9" s="20" t="n">
        <f aca="false">OM9</f>
        <v>0</v>
      </c>
      <c r="OO9" s="20" t="n">
        <f aca="false">ON9</f>
        <v>0</v>
      </c>
      <c r="OP9" s="20" t="n">
        <f aca="false">OO9</f>
        <v>0</v>
      </c>
      <c r="OQ9" s="20" t="n">
        <f aca="false">OP9</f>
        <v>0</v>
      </c>
      <c r="OR9" s="20" t="n">
        <f aca="false">OQ9</f>
        <v>0</v>
      </c>
      <c r="OS9" s="20" t="n">
        <f aca="false">OR9</f>
        <v>0</v>
      </c>
      <c r="OT9" s="20" t="n">
        <f aca="false">OS9</f>
        <v>0</v>
      </c>
      <c r="OU9" s="20" t="n">
        <f aca="false">OT9</f>
        <v>0</v>
      </c>
      <c r="OV9" s="20" t="n">
        <f aca="false">OU9</f>
        <v>0</v>
      </c>
      <c r="OW9" s="20" t="n">
        <f aca="false">OV9</f>
        <v>0</v>
      </c>
      <c r="OX9" s="20" t="n">
        <f aca="false">OW9</f>
        <v>0</v>
      </c>
      <c r="OY9" s="20" t="n">
        <f aca="false">OX9</f>
        <v>0</v>
      </c>
      <c r="OZ9" s="20" t="n">
        <f aca="false">OY9</f>
        <v>0</v>
      </c>
      <c r="PA9" s="20" t="n">
        <f aca="false">OZ9</f>
        <v>0</v>
      </c>
      <c r="PB9" s="20" t="n">
        <f aca="false">PA9</f>
        <v>0</v>
      </c>
      <c r="PC9" s="20" t="n">
        <f aca="false">PB9</f>
        <v>0</v>
      </c>
      <c r="PD9" s="20" t="n">
        <f aca="false">PC9</f>
        <v>0</v>
      </c>
      <c r="PE9" s="20" t="n">
        <f aca="false">PD9</f>
        <v>0</v>
      </c>
      <c r="PF9" s="20" t="n">
        <f aca="false">PE9</f>
        <v>0</v>
      </c>
      <c r="PG9" s="20" t="n">
        <f aca="false">PF9</f>
        <v>0</v>
      </c>
      <c r="PH9" s="20" t="n">
        <f aca="false">PG9</f>
        <v>0</v>
      </c>
      <c r="PI9" s="20" t="n">
        <f aca="false">PH9</f>
        <v>0</v>
      </c>
      <c r="PJ9" s="20" t="n">
        <f aca="false">PI9</f>
        <v>0</v>
      </c>
      <c r="PK9" s="20" t="n">
        <f aca="false">PJ9</f>
        <v>0</v>
      </c>
      <c r="PL9" s="20" t="n">
        <f aca="false">PK9</f>
        <v>0</v>
      </c>
      <c r="PM9" s="20" t="n">
        <f aca="false">PL9</f>
        <v>0</v>
      </c>
      <c r="PN9" s="20" t="n">
        <f aca="false">PM9</f>
        <v>0</v>
      </c>
      <c r="PO9" s="20" t="n">
        <f aca="false">PN9</f>
        <v>0</v>
      </c>
      <c r="PP9" s="20" t="n">
        <f aca="false">PO9</f>
        <v>0</v>
      </c>
      <c r="PQ9" s="20" t="n">
        <f aca="false">PP9</f>
        <v>0</v>
      </c>
      <c r="PR9" s="20" t="n">
        <f aca="false">IF(H_Direct=1,IF(AKR8&lt;=0,0,IF(BR9&lt;=0,MIN(MAX(0,AB9),AKR8),MIN(MAX(0,AB9),AKR8-G9*MAX(0,BR9*AKR8-(H9+I9))))),MIN(FE9,MAX(0,AB9)))</f>
        <v>0</v>
      </c>
      <c r="PS9" s="20" t="n">
        <f aca="false">IF(H_Direct=1,IF(AKS8&lt;=0,0,IF(BS9&lt;=0,MIN(MAX(0,AB9-SUM(PR9:PR9)),AKS8),MIN(MAX(0,AB9-SUM(PR9:PR9)),AKS8-G9*MAX(0,BS9*AKS8-(WR9+AAE9))))),MIN(FF9,MAX(0,AB9-SUM(PR9:PR9))))</f>
        <v>0</v>
      </c>
      <c r="PT9" s="20" t="n">
        <f aca="false">IF(H_Direct=1,IF((P9+S9)&lt;=0,0,IF(BT9&lt;=0,MIN(MAX(0,AB9-SUM(PR9:PS9)),(P9+S9)),MIN(MAX(0,AB9-SUM(PR9:PS9)),(P9+S9)-G9*MAX(0,BT9*(P9+S9)-(WS9+AAF9))))),MIN(FG9,MAX(0,AB9-SUM(PR9:PS9))))</f>
        <v>0</v>
      </c>
      <c r="PU9" s="20" t="n">
        <v>0</v>
      </c>
      <c r="PV9" s="20" t="n">
        <v>0</v>
      </c>
      <c r="PW9" s="20" t="n">
        <v>0</v>
      </c>
      <c r="PX9" s="20" t="n">
        <v>0</v>
      </c>
      <c r="PY9" s="20" t="n">
        <v>0</v>
      </c>
      <c r="PZ9" s="20" t="n">
        <v>0</v>
      </c>
      <c r="QA9" s="20" t="n">
        <v>0</v>
      </c>
      <c r="QB9" s="20" t="n">
        <v>0</v>
      </c>
      <c r="QC9" s="20" t="n">
        <v>0</v>
      </c>
      <c r="QD9" s="20" t="n">
        <v>0</v>
      </c>
      <c r="QE9" s="20" t="n">
        <v>0</v>
      </c>
      <c r="QF9" s="20" t="n">
        <v>0</v>
      </c>
      <c r="QG9" s="20" t="n">
        <v>0</v>
      </c>
      <c r="QH9" s="20" t="n">
        <v>0</v>
      </c>
      <c r="QI9" s="20" t="n">
        <v>0</v>
      </c>
      <c r="QJ9" s="20" t="n">
        <v>0</v>
      </c>
      <c r="QK9" s="20" t="n">
        <v>0</v>
      </c>
      <c r="QL9" s="20" t="n">
        <v>0</v>
      </c>
      <c r="QM9" s="20" t="n">
        <v>0</v>
      </c>
      <c r="QN9" s="20" t="n">
        <v>0</v>
      </c>
      <c r="QO9" s="20" t="n">
        <v>0</v>
      </c>
      <c r="QP9" s="20" t="n">
        <v>0</v>
      </c>
      <c r="QQ9" s="20" t="n">
        <v>0</v>
      </c>
      <c r="QR9" s="20" t="n">
        <v>0</v>
      </c>
      <c r="QS9" s="20" t="n">
        <v>0</v>
      </c>
      <c r="QT9" s="20" t="n">
        <v>0</v>
      </c>
      <c r="QU9" s="20" t="n">
        <v>0</v>
      </c>
      <c r="QV9" s="20" t="n">
        <v>0</v>
      </c>
      <c r="QW9" s="20" t="n">
        <v>0</v>
      </c>
      <c r="QX9" s="20" t="n">
        <v>0</v>
      </c>
      <c r="QY9" s="20" t="n">
        <v>0</v>
      </c>
      <c r="QZ9" s="20" t="n">
        <v>0</v>
      </c>
      <c r="RA9" s="20" t="n">
        <v>0</v>
      </c>
      <c r="RB9" s="20" t="n">
        <v>0</v>
      </c>
      <c r="RC9" s="20" t="n">
        <v>0</v>
      </c>
      <c r="RD9" s="20" t="n">
        <v>0</v>
      </c>
      <c r="RE9" s="20" t="n">
        <v>0</v>
      </c>
      <c r="RF9" s="20" t="n">
        <v>0</v>
      </c>
      <c r="RG9" s="20" t="n">
        <v>0</v>
      </c>
      <c r="RH9" s="20" t="n">
        <v>0</v>
      </c>
      <c r="RI9" s="20" t="n">
        <v>0</v>
      </c>
      <c r="RJ9" s="20" t="n">
        <v>0</v>
      </c>
      <c r="RK9" s="20" t="n">
        <v>0</v>
      </c>
      <c r="RL9" s="20" t="n">
        <v>0</v>
      </c>
      <c r="RM9" s="20" t="n">
        <v>0</v>
      </c>
      <c r="RN9" s="20" t="n">
        <v>0</v>
      </c>
      <c r="RO9" s="20" t="n">
        <v>0</v>
      </c>
      <c r="RP9" s="20" t="n">
        <v>0</v>
      </c>
      <c r="RQ9" s="20" t="n">
        <v>0</v>
      </c>
      <c r="RR9" s="20" t="n">
        <v>0</v>
      </c>
      <c r="RS9" s="20" t="n">
        <v>0</v>
      </c>
      <c r="RT9" s="20" t="n">
        <v>0</v>
      </c>
      <c r="RU9" s="20" t="n">
        <v>0</v>
      </c>
      <c r="RV9" s="20" t="n">
        <v>0</v>
      </c>
      <c r="RW9" s="20" t="n">
        <v>0</v>
      </c>
      <c r="RX9" s="20" t="n">
        <v>0</v>
      </c>
      <c r="RY9" s="20" t="n">
        <v>0</v>
      </c>
      <c r="RZ9" s="20" t="n">
        <v>0</v>
      </c>
      <c r="SA9" s="20" t="n">
        <v>0</v>
      </c>
      <c r="SB9" s="20" t="n">
        <v>0</v>
      </c>
      <c r="SC9" s="20" t="n">
        <v>0</v>
      </c>
      <c r="SD9" s="20" t="n">
        <v>0</v>
      </c>
      <c r="SE9" s="20" t="n">
        <v>0</v>
      </c>
      <c r="SF9" s="20" t="n">
        <v>0</v>
      </c>
      <c r="SG9" s="20" t="n">
        <v>0</v>
      </c>
      <c r="SH9" s="20" t="n">
        <v>0</v>
      </c>
      <c r="SI9" s="20" t="n">
        <v>0</v>
      </c>
      <c r="SJ9" s="20" t="n">
        <v>0</v>
      </c>
      <c r="SK9" s="20" t="n">
        <v>0</v>
      </c>
      <c r="SL9" s="20" t="n">
        <v>0</v>
      </c>
      <c r="SM9" s="20" t="n">
        <v>0</v>
      </c>
      <c r="SN9" s="20" t="n">
        <v>0</v>
      </c>
      <c r="SO9" s="20" t="n">
        <v>0</v>
      </c>
      <c r="SP9" s="20" t="n">
        <v>0</v>
      </c>
      <c r="SQ9" s="20" t="n">
        <v>0</v>
      </c>
      <c r="SR9" s="20" t="n">
        <v>0</v>
      </c>
      <c r="SS9" s="20" t="n">
        <v>0</v>
      </c>
      <c r="ST9" s="20" t="n">
        <v>0</v>
      </c>
      <c r="SU9" s="20" t="n">
        <v>0</v>
      </c>
      <c r="SV9" s="20" t="n">
        <v>0</v>
      </c>
      <c r="SW9" s="20" t="n">
        <v>0</v>
      </c>
      <c r="SX9" s="20" t="n">
        <v>0</v>
      </c>
      <c r="SY9" s="20" t="n">
        <v>0</v>
      </c>
      <c r="SZ9" s="20" t="n">
        <v>0</v>
      </c>
      <c r="TA9" s="20" t="n">
        <v>0</v>
      </c>
      <c r="TB9" s="20" t="n">
        <v>0</v>
      </c>
      <c r="TC9" s="20" t="n">
        <v>0</v>
      </c>
      <c r="TD9" s="20" t="n">
        <v>0</v>
      </c>
      <c r="TE9" s="20" t="n">
        <f aca="false">IF(AKR8&lt;=0,0,IF(H_Direct=1,IF(BR9&lt;=0,PR9,IF(PR9&lt;=(H9+I9)/BR9,PR9,(PR9-G9*(H9+I9))/(1-G9*BR9))),PR9/(1-MAX(0,BR9)*H_Exit)))</f>
        <v>0</v>
      </c>
      <c r="TF9" s="20" t="n">
        <f aca="false">IF(AKS8&lt;=0,0,IF(H_Direct=1,IF(BS9&lt;=0,PS9,IF(PS9&lt;=(WR9+AAE9)/BS9,PS9,(PS9-G9*(WR9+AAE9))/(1-G9*BS9))),PS9/(1-MAX(0,BS9)*H_Exit)))</f>
        <v>0</v>
      </c>
      <c r="TG9" s="20" t="n">
        <f aca="false">IF((P9+S9)&lt;=0,0,IF(H_Direct=1,IF(BT9&lt;=0,PT9,IF(PT9&lt;=(WS9+AAF9)/BT9,PT9,(PT9-G9*(WS9+AAF9))/(1-G9*BT9))),PT9/(1-MAX(0,BT9)*H_Exit)))</f>
        <v>0</v>
      </c>
      <c r="TH9" s="20" t="n">
        <v>0</v>
      </c>
      <c r="TI9" s="20" t="n">
        <v>0</v>
      </c>
      <c r="TJ9" s="20" t="n">
        <v>0</v>
      </c>
      <c r="TK9" s="20" t="n">
        <v>0</v>
      </c>
      <c r="TL9" s="20" t="n">
        <v>0</v>
      </c>
      <c r="TM9" s="20" t="n">
        <v>0</v>
      </c>
      <c r="TN9" s="20" t="n">
        <v>0</v>
      </c>
      <c r="TO9" s="20" t="n">
        <v>0</v>
      </c>
      <c r="TP9" s="20" t="n">
        <v>0</v>
      </c>
      <c r="TQ9" s="20" t="n">
        <v>0</v>
      </c>
      <c r="TR9" s="20" t="n">
        <v>0</v>
      </c>
      <c r="TS9" s="20" t="n">
        <v>0</v>
      </c>
      <c r="TT9" s="20" t="n">
        <v>0</v>
      </c>
      <c r="TU9" s="20" t="n">
        <v>0</v>
      </c>
      <c r="TV9" s="20" t="n">
        <v>0</v>
      </c>
      <c r="TW9" s="20" t="n">
        <v>0</v>
      </c>
      <c r="TX9" s="20" t="n">
        <v>0</v>
      </c>
      <c r="TY9" s="20" t="n">
        <v>0</v>
      </c>
      <c r="TZ9" s="20" t="n">
        <v>0</v>
      </c>
      <c r="UA9" s="20" t="n">
        <v>0</v>
      </c>
      <c r="UB9" s="20" t="n">
        <v>0</v>
      </c>
      <c r="UC9" s="20" t="n">
        <v>0</v>
      </c>
      <c r="UD9" s="20" t="n">
        <v>0</v>
      </c>
      <c r="UE9" s="20" t="n">
        <v>0</v>
      </c>
      <c r="UF9" s="20" t="n">
        <v>0</v>
      </c>
      <c r="UG9" s="20" t="n">
        <v>0</v>
      </c>
      <c r="UH9" s="20" t="n">
        <v>0</v>
      </c>
      <c r="UI9" s="20" t="n">
        <v>0</v>
      </c>
      <c r="UJ9" s="20" t="n">
        <v>0</v>
      </c>
      <c r="UK9" s="20" t="n">
        <v>0</v>
      </c>
      <c r="UL9" s="20" t="n">
        <v>0</v>
      </c>
      <c r="UM9" s="20" t="n">
        <v>0</v>
      </c>
      <c r="UN9" s="20" t="n">
        <v>0</v>
      </c>
      <c r="UO9" s="20" t="n">
        <v>0</v>
      </c>
      <c r="UP9" s="20" t="n">
        <v>0</v>
      </c>
      <c r="UQ9" s="20" t="n">
        <v>0</v>
      </c>
      <c r="UR9" s="20" t="n">
        <v>0</v>
      </c>
      <c r="US9" s="20" t="n">
        <v>0</v>
      </c>
      <c r="UT9" s="20" t="n">
        <v>0</v>
      </c>
      <c r="UU9" s="20" t="n">
        <v>0</v>
      </c>
      <c r="UV9" s="20" t="n">
        <v>0</v>
      </c>
      <c r="UW9" s="20" t="n">
        <v>0</v>
      </c>
      <c r="UX9" s="20" t="n">
        <v>0</v>
      </c>
      <c r="UY9" s="20" t="n">
        <v>0</v>
      </c>
      <c r="UZ9" s="20" t="n">
        <v>0</v>
      </c>
      <c r="VA9" s="20" t="n">
        <v>0</v>
      </c>
      <c r="VB9" s="20" t="n">
        <v>0</v>
      </c>
      <c r="VC9" s="20" t="n">
        <v>0</v>
      </c>
      <c r="VD9" s="20" t="n">
        <v>0</v>
      </c>
      <c r="VE9" s="20" t="n">
        <v>0</v>
      </c>
      <c r="VF9" s="20" t="n">
        <v>0</v>
      </c>
      <c r="VG9" s="20" t="n">
        <v>0</v>
      </c>
      <c r="VH9" s="20" t="n">
        <v>0</v>
      </c>
      <c r="VI9" s="20" t="n">
        <v>0</v>
      </c>
      <c r="VJ9" s="20" t="n">
        <v>0</v>
      </c>
      <c r="VK9" s="20" t="n">
        <v>0</v>
      </c>
      <c r="VL9" s="20" t="n">
        <v>0</v>
      </c>
      <c r="VM9" s="20" t="n">
        <v>0</v>
      </c>
      <c r="VN9" s="20" t="n">
        <v>0</v>
      </c>
      <c r="VO9" s="20" t="n">
        <v>0</v>
      </c>
      <c r="VP9" s="20" t="n">
        <v>0</v>
      </c>
      <c r="VQ9" s="20" t="n">
        <v>0</v>
      </c>
      <c r="VR9" s="20" t="n">
        <v>0</v>
      </c>
      <c r="VS9" s="20" t="n">
        <v>0</v>
      </c>
      <c r="VT9" s="20" t="n">
        <v>0</v>
      </c>
      <c r="VU9" s="20" t="n">
        <v>0</v>
      </c>
      <c r="VV9" s="20" t="n">
        <v>0</v>
      </c>
      <c r="VW9" s="20" t="n">
        <v>0</v>
      </c>
      <c r="VX9" s="20" t="n">
        <v>0</v>
      </c>
      <c r="VY9" s="20" t="n">
        <v>0</v>
      </c>
      <c r="VZ9" s="20" t="n">
        <v>0</v>
      </c>
      <c r="WA9" s="20" t="n">
        <v>0</v>
      </c>
      <c r="WB9" s="20" t="n">
        <v>0</v>
      </c>
      <c r="WC9" s="20" t="n">
        <v>0</v>
      </c>
      <c r="WD9" s="20" t="n">
        <v>0</v>
      </c>
      <c r="WE9" s="20" t="n">
        <v>0</v>
      </c>
      <c r="WF9" s="20" t="n">
        <v>0</v>
      </c>
      <c r="WG9" s="20" t="n">
        <v>0</v>
      </c>
      <c r="WH9" s="20" t="n">
        <v>0</v>
      </c>
      <c r="WI9" s="20" t="n">
        <v>0</v>
      </c>
      <c r="WJ9" s="20" t="n">
        <v>0</v>
      </c>
      <c r="WK9" s="20" t="n">
        <v>0</v>
      </c>
      <c r="WL9" s="20" t="n">
        <v>0</v>
      </c>
      <c r="WM9" s="20" t="n">
        <v>0</v>
      </c>
      <c r="WN9" s="20" t="n">
        <v>0</v>
      </c>
      <c r="WO9" s="20" t="n">
        <v>0</v>
      </c>
      <c r="WP9" s="20" t="n">
        <v>0</v>
      </c>
      <c r="WQ9" s="20" t="n">
        <v>0</v>
      </c>
      <c r="WR9" s="20" t="n">
        <f aca="false">IF(AND(H_Direct=1,BR9&gt;0),MAX(0,H9-(MIN(BR9*TE9,(H9+I9))-MIN(MIN(BR9*TE9,(H9+I9)),I9))),H9)</f>
        <v>1270</v>
      </c>
      <c r="WS9" s="20" t="n">
        <f aca="false">IF(AND(H_Direct=1,BS9&gt;0),MAX(0,WR9-(MIN(BS9*TF9,(WR9+AAE9))-MIN(MIN(BS9*TF9,(WR9+AAE9)),AAE9))),WR9)</f>
        <v>1270</v>
      </c>
      <c r="WT9" s="20" t="n">
        <f aca="false">IF(AND(H_Direct=1,BT9&gt;0),MAX(0,WS9-(MIN(BT9*TG9,(WS9+AAF9))-MIN(MIN(BT9*TG9,(WS9+AAF9)),AAF9))),WS9)</f>
        <v>1270</v>
      </c>
      <c r="WU9" s="20" t="n">
        <f aca="false">WT9</f>
        <v>1270</v>
      </c>
      <c r="WV9" s="20" t="n">
        <f aca="false">WU9</f>
        <v>1270</v>
      </c>
      <c r="WW9" s="20" t="n">
        <f aca="false">WV9</f>
        <v>1270</v>
      </c>
      <c r="WX9" s="20" t="n">
        <f aca="false">WW9</f>
        <v>1270</v>
      </c>
      <c r="WY9" s="20" t="n">
        <f aca="false">WX9</f>
        <v>1270</v>
      </c>
      <c r="WZ9" s="20" t="n">
        <f aca="false">WY9</f>
        <v>1270</v>
      </c>
      <c r="XA9" s="20" t="n">
        <f aca="false">WZ9</f>
        <v>1270</v>
      </c>
      <c r="XB9" s="20" t="n">
        <f aca="false">XA9</f>
        <v>1270</v>
      </c>
      <c r="XC9" s="20" t="n">
        <f aca="false">XB9</f>
        <v>1270</v>
      </c>
      <c r="XD9" s="20" t="n">
        <f aca="false">XC9</f>
        <v>1270</v>
      </c>
      <c r="XE9" s="20" t="n">
        <f aca="false">XD9</f>
        <v>1270</v>
      </c>
      <c r="XF9" s="20" t="n">
        <f aca="false">XE9</f>
        <v>1270</v>
      </c>
      <c r="XG9" s="20" t="n">
        <f aca="false">XF9</f>
        <v>1270</v>
      </c>
      <c r="XH9" s="20" t="n">
        <f aca="false">XG9</f>
        <v>1270</v>
      </c>
      <c r="XI9" s="20" t="n">
        <f aca="false">XH9</f>
        <v>1270</v>
      </c>
      <c r="XJ9" s="20" t="n">
        <f aca="false">XI9</f>
        <v>1270</v>
      </c>
      <c r="XK9" s="20" t="n">
        <f aca="false">XJ9</f>
        <v>1270</v>
      </c>
      <c r="XL9" s="20" t="n">
        <f aca="false">XK9</f>
        <v>1270</v>
      </c>
      <c r="XM9" s="20" t="n">
        <f aca="false">XL9</f>
        <v>1270</v>
      </c>
      <c r="XN9" s="20" t="n">
        <f aca="false">XM9</f>
        <v>1270</v>
      </c>
      <c r="XO9" s="20" t="n">
        <f aca="false">XN9</f>
        <v>1270</v>
      </c>
      <c r="XP9" s="20" t="n">
        <f aca="false">XO9</f>
        <v>1270</v>
      </c>
      <c r="XQ9" s="20" t="n">
        <f aca="false">XP9</f>
        <v>1270</v>
      </c>
      <c r="XR9" s="20" t="n">
        <f aca="false">XQ9</f>
        <v>1270</v>
      </c>
      <c r="XS9" s="20" t="n">
        <f aca="false">XR9</f>
        <v>1270</v>
      </c>
      <c r="XT9" s="20" t="n">
        <f aca="false">XS9</f>
        <v>1270</v>
      </c>
      <c r="XU9" s="20" t="n">
        <f aca="false">XT9</f>
        <v>1270</v>
      </c>
      <c r="XV9" s="20" t="n">
        <f aca="false">XU9</f>
        <v>1270</v>
      </c>
      <c r="XW9" s="20" t="n">
        <f aca="false">XV9</f>
        <v>1270</v>
      </c>
      <c r="XX9" s="20" t="n">
        <f aca="false">XW9</f>
        <v>1270</v>
      </c>
      <c r="XY9" s="20" t="n">
        <f aca="false">XX9</f>
        <v>1270</v>
      </c>
      <c r="XZ9" s="20" t="n">
        <f aca="false">XY9</f>
        <v>1270</v>
      </c>
      <c r="YA9" s="20" t="n">
        <f aca="false">XZ9</f>
        <v>1270</v>
      </c>
      <c r="YB9" s="20" t="n">
        <f aca="false">YA9</f>
        <v>1270</v>
      </c>
      <c r="YC9" s="20" t="n">
        <f aca="false">YB9</f>
        <v>1270</v>
      </c>
      <c r="YD9" s="20" t="n">
        <f aca="false">YC9</f>
        <v>1270</v>
      </c>
      <c r="YE9" s="20" t="n">
        <f aca="false">YD9</f>
        <v>1270</v>
      </c>
      <c r="YF9" s="20" t="n">
        <f aca="false">YE9</f>
        <v>1270</v>
      </c>
      <c r="YG9" s="20" t="n">
        <f aca="false">YF9</f>
        <v>1270</v>
      </c>
      <c r="YH9" s="20" t="n">
        <f aca="false">YG9</f>
        <v>1270</v>
      </c>
      <c r="YI9" s="20" t="n">
        <f aca="false">YH9</f>
        <v>1270</v>
      </c>
      <c r="YJ9" s="20" t="n">
        <f aca="false">YI9</f>
        <v>1270</v>
      </c>
      <c r="YK9" s="20" t="n">
        <f aca="false">YJ9</f>
        <v>1270</v>
      </c>
      <c r="YL9" s="20" t="n">
        <f aca="false">YK9</f>
        <v>1270</v>
      </c>
      <c r="YM9" s="20" t="n">
        <f aca="false">YL9</f>
        <v>1270</v>
      </c>
      <c r="YN9" s="20" t="n">
        <f aca="false">YM9</f>
        <v>1270</v>
      </c>
      <c r="YO9" s="20" t="n">
        <f aca="false">YN9</f>
        <v>1270</v>
      </c>
      <c r="YP9" s="20" t="n">
        <f aca="false">YO9</f>
        <v>1270</v>
      </c>
      <c r="YQ9" s="20" t="n">
        <f aca="false">YP9</f>
        <v>1270</v>
      </c>
      <c r="YR9" s="20" t="n">
        <f aca="false">YQ9</f>
        <v>1270</v>
      </c>
      <c r="YS9" s="20" t="n">
        <f aca="false">YR9</f>
        <v>1270</v>
      </c>
      <c r="YT9" s="20" t="n">
        <f aca="false">YS9</f>
        <v>1270</v>
      </c>
      <c r="YU9" s="20" t="n">
        <f aca="false">YT9</f>
        <v>1270</v>
      </c>
      <c r="YV9" s="20" t="n">
        <f aca="false">YU9</f>
        <v>1270</v>
      </c>
      <c r="YW9" s="20" t="n">
        <f aca="false">YV9</f>
        <v>1270</v>
      </c>
      <c r="YX9" s="20" t="n">
        <f aca="false">YW9</f>
        <v>1270</v>
      </c>
      <c r="YY9" s="20" t="n">
        <f aca="false">YX9</f>
        <v>1270</v>
      </c>
      <c r="YZ9" s="20" t="n">
        <f aca="false">YY9</f>
        <v>1270</v>
      </c>
      <c r="ZA9" s="20" t="n">
        <f aca="false">YZ9</f>
        <v>1270</v>
      </c>
      <c r="ZB9" s="20" t="n">
        <f aca="false">ZA9</f>
        <v>1270</v>
      </c>
      <c r="ZC9" s="20" t="n">
        <f aca="false">ZB9</f>
        <v>1270</v>
      </c>
      <c r="ZD9" s="20" t="n">
        <f aca="false">ZC9</f>
        <v>1270</v>
      </c>
      <c r="ZE9" s="20" t="n">
        <f aca="false">ZD9</f>
        <v>1270</v>
      </c>
      <c r="ZF9" s="20" t="n">
        <f aca="false">ZE9</f>
        <v>1270</v>
      </c>
      <c r="ZG9" s="20" t="n">
        <f aca="false">ZF9</f>
        <v>1270</v>
      </c>
      <c r="ZH9" s="20" t="n">
        <f aca="false">ZG9</f>
        <v>1270</v>
      </c>
      <c r="ZI9" s="20" t="n">
        <f aca="false">ZH9</f>
        <v>1270</v>
      </c>
      <c r="ZJ9" s="20" t="n">
        <f aca="false">ZI9</f>
        <v>1270</v>
      </c>
      <c r="ZK9" s="20" t="n">
        <f aca="false">ZJ9</f>
        <v>1270</v>
      </c>
      <c r="ZL9" s="20" t="n">
        <f aca="false">ZK9</f>
        <v>1270</v>
      </c>
      <c r="ZM9" s="20" t="n">
        <f aca="false">ZL9</f>
        <v>1270</v>
      </c>
      <c r="ZN9" s="20" t="n">
        <f aca="false">ZM9</f>
        <v>1270</v>
      </c>
      <c r="ZO9" s="20" t="n">
        <f aca="false">ZN9</f>
        <v>1270</v>
      </c>
      <c r="ZP9" s="20" t="n">
        <f aca="false">ZO9</f>
        <v>1270</v>
      </c>
      <c r="ZQ9" s="20" t="n">
        <f aca="false">ZP9</f>
        <v>1270</v>
      </c>
      <c r="ZR9" s="20" t="n">
        <f aca="false">ZQ9</f>
        <v>1270</v>
      </c>
      <c r="ZS9" s="20" t="n">
        <f aca="false">ZR9</f>
        <v>1270</v>
      </c>
      <c r="ZT9" s="20" t="n">
        <f aca="false">ZS9</f>
        <v>1270</v>
      </c>
      <c r="ZU9" s="20" t="n">
        <f aca="false">ZT9</f>
        <v>1270</v>
      </c>
      <c r="ZV9" s="20" t="n">
        <f aca="false">ZU9</f>
        <v>1270</v>
      </c>
      <c r="ZW9" s="20" t="n">
        <f aca="false">ZV9</f>
        <v>1270</v>
      </c>
      <c r="ZX9" s="20" t="n">
        <f aca="false">ZW9</f>
        <v>1270</v>
      </c>
      <c r="ZY9" s="20" t="n">
        <f aca="false">ZX9</f>
        <v>1270</v>
      </c>
      <c r="ZZ9" s="20" t="n">
        <f aca="false">ZY9</f>
        <v>1270</v>
      </c>
      <c r="AAA9" s="20" t="n">
        <f aca="false">ZZ9</f>
        <v>1270</v>
      </c>
      <c r="AAB9" s="20" t="n">
        <f aca="false">AAA9</f>
        <v>1270</v>
      </c>
      <c r="AAC9" s="20" t="n">
        <f aca="false">AAB9</f>
        <v>1270</v>
      </c>
      <c r="AAD9" s="20" t="n">
        <f aca="false">AAC9</f>
        <v>1270</v>
      </c>
      <c r="AAE9" s="20" t="n">
        <f aca="false">IF(H_Direct=1,IF(BR9&lt;=0,I9-BR9*TE9,I9-MIN(MIN(BR9*TE9,(H9+I9)),I9)),I9)</f>
        <v>0</v>
      </c>
      <c r="AAF9" s="20" t="n">
        <f aca="false">IF(H_Direct=1,IF(BS9&lt;=0,AAE9-BS9*TF9,AAE9-MIN(MIN(BS9*TF9,(WR9+AAE9)),AAE9)),AAE9)</f>
        <v>0</v>
      </c>
      <c r="AAG9" s="20" t="n">
        <f aca="false">IF(H_Direct=1,IF(BT9&lt;=0,AAF9-BT9*TG9,AAF9-MIN(MIN(BT9*TG9,(WS9+AAF9)),AAF9)),AAF9)</f>
        <v>0</v>
      </c>
      <c r="AAH9" s="20" t="n">
        <f aca="false">AAG9</f>
        <v>0</v>
      </c>
      <c r="AAI9" s="20" t="n">
        <f aca="false">AAH9</f>
        <v>0</v>
      </c>
      <c r="AAJ9" s="20" t="n">
        <f aca="false">AAI9</f>
        <v>0</v>
      </c>
      <c r="AAK9" s="20" t="n">
        <f aca="false">AAJ9</f>
        <v>0</v>
      </c>
      <c r="AAL9" s="20" t="n">
        <f aca="false">AAK9</f>
        <v>0</v>
      </c>
      <c r="AAM9" s="20" t="n">
        <f aca="false">AAL9</f>
        <v>0</v>
      </c>
      <c r="AAN9" s="20" t="n">
        <f aca="false">AAM9</f>
        <v>0</v>
      </c>
      <c r="AAO9" s="20" t="n">
        <f aca="false">AAN9</f>
        <v>0</v>
      </c>
      <c r="AAP9" s="20" t="n">
        <f aca="false">AAO9</f>
        <v>0</v>
      </c>
      <c r="AAQ9" s="20" t="n">
        <f aca="false">AAP9</f>
        <v>0</v>
      </c>
      <c r="AAR9" s="20" t="n">
        <f aca="false">AAQ9</f>
        <v>0</v>
      </c>
      <c r="AAS9" s="20" t="n">
        <f aca="false">AAR9</f>
        <v>0</v>
      </c>
      <c r="AAT9" s="20" t="n">
        <f aca="false">AAS9</f>
        <v>0</v>
      </c>
      <c r="AAU9" s="20" t="n">
        <f aca="false">AAT9</f>
        <v>0</v>
      </c>
      <c r="AAV9" s="20" t="n">
        <f aca="false">AAU9</f>
        <v>0</v>
      </c>
      <c r="AAW9" s="20" t="n">
        <f aca="false">AAV9</f>
        <v>0</v>
      </c>
      <c r="AAX9" s="20" t="n">
        <f aca="false">AAW9</f>
        <v>0</v>
      </c>
      <c r="AAY9" s="20" t="n">
        <f aca="false">AAX9</f>
        <v>0</v>
      </c>
      <c r="AAZ9" s="20" t="n">
        <f aca="false">AAY9</f>
        <v>0</v>
      </c>
      <c r="ABA9" s="20" t="n">
        <f aca="false">AAZ9</f>
        <v>0</v>
      </c>
      <c r="ABB9" s="20" t="n">
        <f aca="false">ABA9</f>
        <v>0</v>
      </c>
      <c r="ABC9" s="20" t="n">
        <f aca="false">ABB9</f>
        <v>0</v>
      </c>
      <c r="ABD9" s="20" t="n">
        <f aca="false">ABC9</f>
        <v>0</v>
      </c>
      <c r="ABE9" s="20" t="n">
        <f aca="false">ABD9</f>
        <v>0</v>
      </c>
      <c r="ABF9" s="20" t="n">
        <f aca="false">ABE9</f>
        <v>0</v>
      </c>
      <c r="ABG9" s="20" t="n">
        <f aca="false">ABF9</f>
        <v>0</v>
      </c>
      <c r="ABH9" s="20" t="n">
        <f aca="false">ABG9</f>
        <v>0</v>
      </c>
      <c r="ABI9" s="20" t="n">
        <f aca="false">ABH9</f>
        <v>0</v>
      </c>
      <c r="ABJ9" s="20" t="n">
        <f aca="false">ABI9</f>
        <v>0</v>
      </c>
      <c r="ABK9" s="20" t="n">
        <f aca="false">ABJ9</f>
        <v>0</v>
      </c>
      <c r="ABL9" s="20" t="n">
        <f aca="false">ABK9</f>
        <v>0</v>
      </c>
      <c r="ABM9" s="20" t="n">
        <f aca="false">ABL9</f>
        <v>0</v>
      </c>
      <c r="ABN9" s="20" t="n">
        <f aca="false">ABM9</f>
        <v>0</v>
      </c>
      <c r="ABO9" s="20" t="n">
        <f aca="false">ABN9</f>
        <v>0</v>
      </c>
      <c r="ABP9" s="20" t="n">
        <f aca="false">ABO9</f>
        <v>0</v>
      </c>
      <c r="ABQ9" s="20" t="n">
        <f aca="false">ABP9</f>
        <v>0</v>
      </c>
      <c r="ABR9" s="20" t="n">
        <f aca="false">ABQ9</f>
        <v>0</v>
      </c>
      <c r="ABS9" s="20" t="n">
        <f aca="false">ABR9</f>
        <v>0</v>
      </c>
      <c r="ABT9" s="20" t="n">
        <f aca="false">ABS9</f>
        <v>0</v>
      </c>
      <c r="ABU9" s="20" t="n">
        <f aca="false">ABT9</f>
        <v>0</v>
      </c>
      <c r="ABV9" s="20" t="n">
        <f aca="false">ABU9</f>
        <v>0</v>
      </c>
      <c r="ABW9" s="20" t="n">
        <f aca="false">ABV9</f>
        <v>0</v>
      </c>
      <c r="ABX9" s="20" t="n">
        <f aca="false">ABW9</f>
        <v>0</v>
      </c>
      <c r="ABY9" s="20" t="n">
        <f aca="false">ABX9</f>
        <v>0</v>
      </c>
      <c r="ABZ9" s="20" t="n">
        <f aca="false">ABY9</f>
        <v>0</v>
      </c>
      <c r="ACA9" s="20" t="n">
        <f aca="false">ABZ9</f>
        <v>0</v>
      </c>
      <c r="ACB9" s="20" t="n">
        <f aca="false">ACA9</f>
        <v>0</v>
      </c>
      <c r="ACC9" s="20" t="n">
        <f aca="false">ACB9</f>
        <v>0</v>
      </c>
      <c r="ACD9" s="20" t="n">
        <f aca="false">ACC9</f>
        <v>0</v>
      </c>
      <c r="ACE9" s="20" t="n">
        <f aca="false">ACD9</f>
        <v>0</v>
      </c>
      <c r="ACF9" s="20" t="n">
        <f aca="false">ACE9</f>
        <v>0</v>
      </c>
      <c r="ACG9" s="20" t="n">
        <f aca="false">ACF9</f>
        <v>0</v>
      </c>
      <c r="ACH9" s="20" t="n">
        <f aca="false">ACG9</f>
        <v>0</v>
      </c>
      <c r="ACI9" s="20" t="n">
        <f aca="false">ACH9</f>
        <v>0</v>
      </c>
      <c r="ACJ9" s="20" t="n">
        <f aca="false">ACI9</f>
        <v>0</v>
      </c>
      <c r="ACK9" s="20" t="n">
        <f aca="false">ACJ9</f>
        <v>0</v>
      </c>
      <c r="ACL9" s="20" t="n">
        <f aca="false">ACK9</f>
        <v>0</v>
      </c>
      <c r="ACM9" s="20" t="n">
        <f aca="false">ACL9</f>
        <v>0</v>
      </c>
      <c r="ACN9" s="20" t="n">
        <f aca="false">ACM9</f>
        <v>0</v>
      </c>
      <c r="ACO9" s="20" t="n">
        <f aca="false">ACN9</f>
        <v>0</v>
      </c>
      <c r="ACP9" s="20" t="n">
        <f aca="false">ACO9</f>
        <v>0</v>
      </c>
      <c r="ACQ9" s="20" t="n">
        <f aca="false">ACP9</f>
        <v>0</v>
      </c>
      <c r="ACR9" s="20" t="n">
        <f aca="false">ACQ9</f>
        <v>0</v>
      </c>
      <c r="ACS9" s="20" t="n">
        <f aca="false">ACR9</f>
        <v>0</v>
      </c>
      <c r="ACT9" s="20" t="n">
        <f aca="false">ACS9</f>
        <v>0</v>
      </c>
      <c r="ACU9" s="20" t="n">
        <f aca="false">ACT9</f>
        <v>0</v>
      </c>
      <c r="ACV9" s="20" t="n">
        <f aca="false">ACU9</f>
        <v>0</v>
      </c>
      <c r="ACW9" s="20" t="n">
        <f aca="false">ACV9</f>
        <v>0</v>
      </c>
      <c r="ACX9" s="20" t="n">
        <f aca="false">ACW9</f>
        <v>0</v>
      </c>
      <c r="ACY9" s="20" t="n">
        <f aca="false">ACX9</f>
        <v>0</v>
      </c>
      <c r="ACZ9" s="20" t="n">
        <f aca="false">ACY9</f>
        <v>0</v>
      </c>
      <c r="ADA9" s="20" t="n">
        <f aca="false">ACZ9</f>
        <v>0</v>
      </c>
      <c r="ADB9" s="20" t="n">
        <f aca="false">ADA9</f>
        <v>0</v>
      </c>
      <c r="ADC9" s="20" t="n">
        <f aca="false">ADB9</f>
        <v>0</v>
      </c>
      <c r="ADD9" s="20" t="n">
        <f aca="false">ADC9</f>
        <v>0</v>
      </c>
      <c r="ADE9" s="20" t="n">
        <f aca="false">ADD9</f>
        <v>0</v>
      </c>
      <c r="ADF9" s="20" t="n">
        <f aca="false">ADE9</f>
        <v>0</v>
      </c>
      <c r="ADG9" s="20" t="n">
        <f aca="false">ADF9</f>
        <v>0</v>
      </c>
      <c r="ADH9" s="20" t="n">
        <f aca="false">ADG9</f>
        <v>0</v>
      </c>
      <c r="ADI9" s="20" t="n">
        <f aca="false">ADH9</f>
        <v>0</v>
      </c>
      <c r="ADJ9" s="20" t="n">
        <f aca="false">ADI9</f>
        <v>0</v>
      </c>
      <c r="ADK9" s="20" t="n">
        <f aca="false">ADJ9</f>
        <v>0</v>
      </c>
      <c r="ADL9" s="20" t="n">
        <f aca="false">ADK9</f>
        <v>0</v>
      </c>
      <c r="ADM9" s="20" t="n">
        <f aca="false">ADL9</f>
        <v>0</v>
      </c>
      <c r="ADN9" s="20" t="n">
        <f aca="false">ADM9</f>
        <v>0</v>
      </c>
      <c r="ADO9" s="20" t="n">
        <f aca="false">ADN9</f>
        <v>0</v>
      </c>
      <c r="ADP9" s="20" t="n">
        <f aca="false">ADO9</f>
        <v>0</v>
      </c>
      <c r="ADQ9" s="20" t="n">
        <f aca="false">ADP9</f>
        <v>0</v>
      </c>
      <c r="ADR9" s="20" t="n">
        <f aca="false">(AKR8-TE9+0)*(1+BQ9)</f>
        <v>0</v>
      </c>
      <c r="ADS9" s="20" t="n">
        <f aca="false">(AKS8-TF9+0)*(1+BQ9)</f>
        <v>0</v>
      </c>
      <c r="ADT9" s="20" t="n">
        <f aca="false">((P9+S9)-TG9+BE9)*(1+BQ9)</f>
        <v>0</v>
      </c>
      <c r="ADU9" s="20" t="n">
        <v>0</v>
      </c>
      <c r="ADV9" s="20" t="n">
        <v>0</v>
      </c>
      <c r="ADW9" s="20" t="n">
        <v>0</v>
      </c>
      <c r="ADX9" s="20" t="n">
        <v>0</v>
      </c>
      <c r="ADY9" s="20" t="n">
        <v>0</v>
      </c>
      <c r="ADZ9" s="20" t="n">
        <v>0</v>
      </c>
      <c r="AEA9" s="20" t="n">
        <v>0</v>
      </c>
      <c r="AEB9" s="20" t="n">
        <v>0</v>
      </c>
      <c r="AEC9" s="20" t="n">
        <v>0</v>
      </c>
      <c r="AED9" s="20" t="n">
        <v>0</v>
      </c>
      <c r="AEE9" s="20" t="n">
        <v>0</v>
      </c>
      <c r="AEF9" s="20" t="n">
        <v>0</v>
      </c>
      <c r="AEG9" s="20" t="n">
        <v>0</v>
      </c>
      <c r="AEH9" s="20" t="n">
        <v>0</v>
      </c>
      <c r="AEI9" s="20" t="n">
        <v>0</v>
      </c>
      <c r="AEJ9" s="20" t="n">
        <v>0</v>
      </c>
      <c r="AEK9" s="20" t="n">
        <v>0</v>
      </c>
      <c r="AEL9" s="20" t="n">
        <v>0</v>
      </c>
      <c r="AEM9" s="20" t="n">
        <v>0</v>
      </c>
      <c r="AEN9" s="20" t="n">
        <v>0</v>
      </c>
      <c r="AEO9" s="20" t="n">
        <v>0</v>
      </c>
      <c r="AEP9" s="20" t="n">
        <v>0</v>
      </c>
      <c r="AEQ9" s="20" t="n">
        <v>0</v>
      </c>
      <c r="AER9" s="20" t="n">
        <v>0</v>
      </c>
      <c r="AES9" s="20" t="n">
        <v>0</v>
      </c>
      <c r="AET9" s="20" t="n">
        <v>0</v>
      </c>
      <c r="AEU9" s="20" t="n">
        <v>0</v>
      </c>
      <c r="AEV9" s="20" t="n">
        <v>0</v>
      </c>
      <c r="AEW9" s="20" t="n">
        <v>0</v>
      </c>
      <c r="AEX9" s="20" t="n">
        <v>0</v>
      </c>
      <c r="AEY9" s="20" t="n">
        <v>0</v>
      </c>
      <c r="AEZ9" s="20" t="n">
        <v>0</v>
      </c>
      <c r="AFA9" s="20" t="n">
        <v>0</v>
      </c>
      <c r="AFB9" s="20" t="n">
        <v>0</v>
      </c>
      <c r="AFC9" s="20" t="n">
        <v>0</v>
      </c>
      <c r="AFD9" s="20" t="n">
        <v>0</v>
      </c>
      <c r="AFE9" s="20" t="n">
        <v>0</v>
      </c>
      <c r="AFF9" s="20" t="n">
        <v>0</v>
      </c>
      <c r="AFG9" s="20" t="n">
        <v>0</v>
      </c>
      <c r="AFH9" s="20" t="n">
        <v>0</v>
      </c>
      <c r="AFI9" s="20" t="n">
        <v>0</v>
      </c>
      <c r="AFJ9" s="20" t="n">
        <v>0</v>
      </c>
      <c r="AFK9" s="20" t="n">
        <v>0</v>
      </c>
      <c r="AFL9" s="20" t="n">
        <v>0</v>
      </c>
      <c r="AFM9" s="20" t="n">
        <v>0</v>
      </c>
      <c r="AFN9" s="20" t="n">
        <v>0</v>
      </c>
      <c r="AFO9" s="20" t="n">
        <v>0</v>
      </c>
      <c r="AFP9" s="20" t="n">
        <v>0</v>
      </c>
      <c r="AFQ9" s="20" t="n">
        <v>0</v>
      </c>
      <c r="AFR9" s="20" t="n">
        <v>0</v>
      </c>
      <c r="AFS9" s="20" t="n">
        <v>0</v>
      </c>
      <c r="AFT9" s="20" t="n">
        <v>0</v>
      </c>
      <c r="AFU9" s="20" t="n">
        <v>0</v>
      </c>
      <c r="AFV9" s="20" t="n">
        <v>0</v>
      </c>
      <c r="AFW9" s="20" t="n">
        <v>0</v>
      </c>
      <c r="AFX9" s="20" t="n">
        <v>0</v>
      </c>
      <c r="AFY9" s="20" t="n">
        <v>0</v>
      </c>
      <c r="AFZ9" s="20" t="n">
        <v>0</v>
      </c>
      <c r="AGA9" s="20" t="n">
        <v>0</v>
      </c>
      <c r="AGB9" s="20" t="n">
        <v>0</v>
      </c>
      <c r="AGC9" s="20" t="n">
        <v>0</v>
      </c>
      <c r="AGD9" s="20" t="n">
        <v>0</v>
      </c>
      <c r="AGE9" s="20" t="n">
        <v>0</v>
      </c>
      <c r="AGF9" s="20" t="n">
        <v>0</v>
      </c>
      <c r="AGG9" s="20" t="n">
        <v>0</v>
      </c>
      <c r="AGH9" s="20" t="n">
        <v>0</v>
      </c>
      <c r="AGI9" s="20" t="n">
        <v>0</v>
      </c>
      <c r="AGJ9" s="20" t="n">
        <v>0</v>
      </c>
      <c r="AGK9" s="20" t="n">
        <v>0</v>
      </c>
      <c r="AGL9" s="20" t="n">
        <v>0</v>
      </c>
      <c r="AGM9" s="20" t="n">
        <v>0</v>
      </c>
      <c r="AGN9" s="20" t="n">
        <v>0</v>
      </c>
      <c r="AGO9" s="20" t="n">
        <v>0</v>
      </c>
      <c r="AGP9" s="20" t="n">
        <v>0</v>
      </c>
      <c r="AGQ9" s="20" t="n">
        <v>0</v>
      </c>
      <c r="AGR9" s="20" t="n">
        <v>0</v>
      </c>
      <c r="AGS9" s="20" t="n">
        <v>0</v>
      </c>
      <c r="AGT9" s="20" t="n">
        <v>0</v>
      </c>
      <c r="AGU9" s="20" t="n">
        <v>0</v>
      </c>
      <c r="AGV9" s="20" t="n">
        <v>0</v>
      </c>
      <c r="AGW9" s="20" t="n">
        <v>0</v>
      </c>
      <c r="AGX9" s="20" t="n">
        <v>0</v>
      </c>
      <c r="AGY9" s="20" t="n">
        <v>0</v>
      </c>
      <c r="AGZ9" s="20" t="n">
        <v>0</v>
      </c>
      <c r="AHA9" s="20" t="n">
        <v>0</v>
      </c>
      <c r="AHB9" s="20" t="n">
        <v>0</v>
      </c>
      <c r="AHC9" s="20" t="n">
        <v>0</v>
      </c>
      <c r="AHD9" s="20" t="n">
        <v>0</v>
      </c>
      <c r="AHE9" s="20" t="n">
        <f aca="false">IF(AKR8&gt;0,AOE8-AOE8*TE9/AKR8,0)+0</f>
        <v>0</v>
      </c>
      <c r="AHF9" s="20" t="n">
        <f aca="false">IF(AKS8&gt;0,AOF8-AOF8*TF9/AKS8,0)+0</f>
        <v>0</v>
      </c>
      <c r="AHG9" s="20" t="n">
        <f aca="false">IF((P9+S9)&gt;0,(P9+S9)-(P9+S9)*TG9/(P9+S9),0)+BE9</f>
        <v>0</v>
      </c>
      <c r="AHH9" s="20" t="n">
        <v>0</v>
      </c>
      <c r="AHI9" s="20" t="n">
        <v>0</v>
      </c>
      <c r="AHJ9" s="20" t="n">
        <v>0</v>
      </c>
      <c r="AHK9" s="20" t="n">
        <v>0</v>
      </c>
      <c r="AHL9" s="20" t="n">
        <v>0</v>
      </c>
      <c r="AHM9" s="20" t="n">
        <v>0</v>
      </c>
      <c r="AHN9" s="20" t="n">
        <v>0</v>
      </c>
      <c r="AHO9" s="20" t="n">
        <v>0</v>
      </c>
      <c r="AHP9" s="20" t="n">
        <v>0</v>
      </c>
      <c r="AHQ9" s="20" t="n">
        <v>0</v>
      </c>
      <c r="AHR9" s="20" t="n">
        <v>0</v>
      </c>
      <c r="AHS9" s="20" t="n">
        <v>0</v>
      </c>
      <c r="AHT9" s="20" t="n">
        <v>0</v>
      </c>
      <c r="AHU9" s="20" t="n">
        <v>0</v>
      </c>
      <c r="AHV9" s="20" t="n">
        <v>0</v>
      </c>
      <c r="AHW9" s="20" t="n">
        <v>0</v>
      </c>
      <c r="AHX9" s="20" t="n">
        <v>0</v>
      </c>
      <c r="AHY9" s="20" t="n">
        <v>0</v>
      </c>
      <c r="AHZ9" s="20" t="n">
        <v>0</v>
      </c>
      <c r="AIA9" s="20" t="n">
        <v>0</v>
      </c>
      <c r="AIB9" s="20" t="n">
        <v>0</v>
      </c>
      <c r="AIC9" s="20" t="n">
        <v>0</v>
      </c>
      <c r="AID9" s="20" t="n">
        <v>0</v>
      </c>
      <c r="AIE9" s="20" t="n">
        <v>0</v>
      </c>
      <c r="AIF9" s="20" t="n">
        <v>0</v>
      </c>
      <c r="AIG9" s="20" t="n">
        <v>0</v>
      </c>
      <c r="AIH9" s="20" t="n">
        <v>0</v>
      </c>
      <c r="AII9" s="20" t="n">
        <v>0</v>
      </c>
      <c r="AIJ9" s="20" t="n">
        <v>0</v>
      </c>
      <c r="AIK9" s="20" t="n">
        <v>0</v>
      </c>
      <c r="AIL9" s="20" t="n">
        <v>0</v>
      </c>
      <c r="AIM9" s="20" t="n">
        <v>0</v>
      </c>
      <c r="AIN9" s="20" t="n">
        <v>0</v>
      </c>
      <c r="AIO9" s="20" t="n">
        <v>0</v>
      </c>
      <c r="AIP9" s="20" t="n">
        <v>0</v>
      </c>
      <c r="AIQ9" s="20" t="n">
        <v>0</v>
      </c>
      <c r="AIR9" s="20" t="n">
        <v>0</v>
      </c>
      <c r="AIS9" s="20" t="n">
        <v>0</v>
      </c>
      <c r="AIT9" s="20" t="n">
        <v>0</v>
      </c>
      <c r="AIU9" s="20" t="n">
        <v>0</v>
      </c>
      <c r="AIV9" s="20" t="n">
        <v>0</v>
      </c>
      <c r="AIW9" s="20" t="n">
        <v>0</v>
      </c>
      <c r="AIX9" s="20" t="n">
        <v>0</v>
      </c>
      <c r="AIY9" s="20" t="n">
        <v>0</v>
      </c>
      <c r="AIZ9" s="20" t="n">
        <v>0</v>
      </c>
      <c r="AJA9" s="20" t="n">
        <v>0</v>
      </c>
      <c r="AJB9" s="20" t="n">
        <v>0</v>
      </c>
      <c r="AJC9" s="20" t="n">
        <v>0</v>
      </c>
      <c r="AJD9" s="20" t="n">
        <v>0</v>
      </c>
      <c r="AJE9" s="20" t="n">
        <v>0</v>
      </c>
      <c r="AJF9" s="20" t="n">
        <v>0</v>
      </c>
      <c r="AJG9" s="20" t="n">
        <v>0</v>
      </c>
      <c r="AJH9" s="20" t="n">
        <v>0</v>
      </c>
      <c r="AJI9" s="20" t="n">
        <v>0</v>
      </c>
      <c r="AJJ9" s="20" t="n">
        <v>0</v>
      </c>
      <c r="AJK9" s="20" t="n">
        <v>0</v>
      </c>
      <c r="AJL9" s="20" t="n">
        <v>0</v>
      </c>
      <c r="AJM9" s="20" t="n">
        <v>0</v>
      </c>
      <c r="AJN9" s="20" t="n">
        <v>0</v>
      </c>
      <c r="AJO9" s="20" t="n">
        <v>0</v>
      </c>
      <c r="AJP9" s="20" t="n">
        <v>0</v>
      </c>
      <c r="AJQ9" s="20" t="n">
        <v>0</v>
      </c>
      <c r="AJR9" s="20" t="n">
        <v>0</v>
      </c>
      <c r="AJS9" s="20" t="n">
        <v>0</v>
      </c>
      <c r="AJT9" s="20" t="n">
        <v>0</v>
      </c>
      <c r="AJU9" s="20" t="n">
        <v>0</v>
      </c>
      <c r="AJV9" s="20" t="n">
        <v>0</v>
      </c>
      <c r="AJW9" s="20" t="n">
        <v>0</v>
      </c>
      <c r="AJX9" s="20" t="n">
        <v>0</v>
      </c>
      <c r="AJY9" s="20" t="n">
        <v>0</v>
      </c>
      <c r="AJZ9" s="20" t="n">
        <v>0</v>
      </c>
      <c r="AKA9" s="20" t="n">
        <v>0</v>
      </c>
      <c r="AKB9" s="20" t="n">
        <v>0</v>
      </c>
      <c r="AKC9" s="20" t="n">
        <v>0</v>
      </c>
      <c r="AKD9" s="20" t="n">
        <v>0</v>
      </c>
      <c r="AKE9" s="20" t="n">
        <v>0</v>
      </c>
      <c r="AKF9" s="20" t="n">
        <v>0</v>
      </c>
      <c r="AKG9" s="20" t="n">
        <v>0</v>
      </c>
      <c r="AKH9" s="20" t="n">
        <v>0</v>
      </c>
      <c r="AKI9" s="20" t="n">
        <v>0</v>
      </c>
      <c r="AKJ9" s="20" t="n">
        <v>0</v>
      </c>
      <c r="AKK9" s="20" t="n">
        <v>0</v>
      </c>
      <c r="AKL9" s="20" t="n">
        <v>0</v>
      </c>
      <c r="AKM9" s="20" t="n">
        <v>0</v>
      </c>
      <c r="AKN9" s="20" t="n">
        <v>0</v>
      </c>
      <c r="AKO9" s="20" t="n">
        <v>0</v>
      </c>
      <c r="AKP9" s="20" t="n">
        <v>0</v>
      </c>
      <c r="AKQ9" s="20" t="n">
        <v>0</v>
      </c>
      <c r="AKR9" s="20" t="n">
        <f aca="false">ADR9-AVE9</f>
        <v>0</v>
      </c>
      <c r="AKS9" s="20" t="n">
        <f aca="false">ADS9-AVF9</f>
        <v>0</v>
      </c>
      <c r="AKT9" s="20" t="n">
        <f aca="false">ADT9-AVG9</f>
        <v>0</v>
      </c>
      <c r="AKU9" s="20" t="n">
        <v>0</v>
      </c>
      <c r="AKV9" s="20" t="n">
        <v>0</v>
      </c>
      <c r="AKW9" s="20" t="n">
        <v>0</v>
      </c>
      <c r="AKX9" s="20" t="n">
        <v>0</v>
      </c>
      <c r="AKY9" s="20" t="n">
        <v>0</v>
      </c>
      <c r="AKZ9" s="20" t="n">
        <v>0</v>
      </c>
      <c r="ALA9" s="20" t="n">
        <v>0</v>
      </c>
      <c r="ALB9" s="20" t="n">
        <v>0</v>
      </c>
      <c r="ALC9" s="20" t="n">
        <v>0</v>
      </c>
      <c r="ALD9" s="20" t="n">
        <v>0</v>
      </c>
      <c r="ALE9" s="20" t="n">
        <v>0</v>
      </c>
      <c r="ALF9" s="20" t="n">
        <v>0</v>
      </c>
      <c r="ALG9" s="20" t="n">
        <v>0</v>
      </c>
      <c r="ALH9" s="20" t="n">
        <v>0</v>
      </c>
      <c r="ALI9" s="20" t="n">
        <v>0</v>
      </c>
      <c r="ALJ9" s="20" t="n">
        <v>0</v>
      </c>
      <c r="ALK9" s="20" t="n">
        <v>0</v>
      </c>
      <c r="ALL9" s="20" t="n">
        <v>0</v>
      </c>
      <c r="ALM9" s="20" t="n">
        <v>0</v>
      </c>
      <c r="ALN9" s="20" t="n">
        <v>0</v>
      </c>
      <c r="ALO9" s="20" t="n">
        <v>0</v>
      </c>
      <c r="ALP9" s="20" t="n">
        <v>0</v>
      </c>
      <c r="ALQ9" s="20" t="n">
        <v>0</v>
      </c>
      <c r="ALR9" s="20" t="n">
        <v>0</v>
      </c>
      <c r="ALS9" s="20" t="n">
        <v>0</v>
      </c>
      <c r="ALT9" s="20" t="n">
        <v>0</v>
      </c>
      <c r="ALU9" s="20" t="n">
        <v>0</v>
      </c>
      <c r="ALV9" s="20" t="n">
        <v>0</v>
      </c>
      <c r="ALW9" s="20" t="n">
        <v>0</v>
      </c>
      <c r="ALX9" s="20" t="n">
        <v>0</v>
      </c>
      <c r="ALY9" s="20" t="n">
        <v>0</v>
      </c>
      <c r="ALZ9" s="20" t="n">
        <v>0</v>
      </c>
      <c r="AMA9" s="20" t="n">
        <v>0</v>
      </c>
      <c r="AMB9" s="20" t="n">
        <v>0</v>
      </c>
      <c r="AMC9" s="20" t="n">
        <v>0</v>
      </c>
      <c r="AMD9" s="20" t="n">
        <v>0</v>
      </c>
      <c r="AME9" s="20" t="n">
        <v>0</v>
      </c>
      <c r="AMF9" s="20" t="n">
        <v>0</v>
      </c>
      <c r="AMG9" s="20" t="n">
        <v>0</v>
      </c>
      <c r="AMH9" s="20" t="n">
        <v>0</v>
      </c>
      <c r="AMI9" s="20" t="n">
        <v>0</v>
      </c>
      <c r="AMJ9" s="20" t="n">
        <v>0</v>
      </c>
      <c r="AMK9" s="20" t="n">
        <v>0</v>
      </c>
      <c r="AML9" s="20" t="n">
        <v>0</v>
      </c>
      <c r="AMM9" s="20" t="n">
        <v>0</v>
      </c>
      <c r="AMN9" s="20" t="n">
        <v>0</v>
      </c>
      <c r="AMO9" s="20" t="n">
        <v>0</v>
      </c>
      <c r="AMP9" s="20" t="n">
        <v>0</v>
      </c>
      <c r="AMQ9" s="20" t="n">
        <v>0</v>
      </c>
      <c r="AMR9" s="20" t="n">
        <v>0</v>
      </c>
      <c r="AMS9" s="20" t="n">
        <v>0</v>
      </c>
      <c r="AMT9" s="20" t="n">
        <v>0</v>
      </c>
      <c r="AMU9" s="20" t="n">
        <v>0</v>
      </c>
      <c r="AMV9" s="20" t="n">
        <v>0</v>
      </c>
      <c r="AMW9" s="20" t="n">
        <v>0</v>
      </c>
      <c r="AMX9" s="20" t="n">
        <v>0</v>
      </c>
      <c r="AMY9" s="20" t="n">
        <v>0</v>
      </c>
      <c r="AMZ9" s="20" t="n">
        <v>0</v>
      </c>
      <c r="ANA9" s="20" t="n">
        <v>0</v>
      </c>
      <c r="ANB9" s="20" t="n">
        <v>0</v>
      </c>
      <c r="ANC9" s="20" t="n">
        <v>0</v>
      </c>
      <c r="AND9" s="20" t="n">
        <v>0</v>
      </c>
      <c r="ANE9" s="20" t="n">
        <v>0</v>
      </c>
      <c r="ANF9" s="20" t="n">
        <v>0</v>
      </c>
      <c r="ANG9" s="20" t="n">
        <v>0</v>
      </c>
      <c r="ANH9" s="20" t="n">
        <v>0</v>
      </c>
      <c r="ANI9" s="20" t="n">
        <v>0</v>
      </c>
      <c r="ANJ9" s="20" t="n">
        <v>0</v>
      </c>
      <c r="ANK9" s="20" t="n">
        <v>0</v>
      </c>
      <c r="ANL9" s="20" t="n">
        <v>0</v>
      </c>
      <c r="ANM9" s="20" t="n">
        <v>0</v>
      </c>
      <c r="ANN9" s="20" t="n">
        <v>0</v>
      </c>
      <c r="ANO9" s="20" t="n">
        <v>0</v>
      </c>
      <c r="ANP9" s="20" t="n">
        <v>0</v>
      </c>
      <c r="ANQ9" s="20" t="n">
        <v>0</v>
      </c>
      <c r="ANR9" s="20" t="n">
        <v>0</v>
      </c>
      <c r="ANS9" s="20" t="n">
        <v>0</v>
      </c>
      <c r="ANT9" s="20" t="n">
        <v>0</v>
      </c>
      <c r="ANU9" s="20" t="n">
        <v>0</v>
      </c>
      <c r="ANV9" s="20" t="n">
        <v>0</v>
      </c>
      <c r="ANW9" s="20" t="n">
        <v>0</v>
      </c>
      <c r="ANX9" s="20" t="n">
        <v>0</v>
      </c>
      <c r="ANY9" s="20" t="n">
        <v>0</v>
      </c>
      <c r="ANZ9" s="20" t="n">
        <v>0</v>
      </c>
      <c r="AOA9" s="20" t="n">
        <v>0</v>
      </c>
      <c r="AOB9" s="20" t="n">
        <v>0</v>
      </c>
      <c r="AOC9" s="20" t="n">
        <v>0</v>
      </c>
      <c r="AOD9" s="20" t="n">
        <v>0</v>
      </c>
      <c r="AOE9" s="20" t="n">
        <f aca="false">IF(AND(H_Direct=0,H_TaxEvt=1,ARR8+1&gt;=H_Deemed),AKR9,AHE9)</f>
        <v>0</v>
      </c>
      <c r="AOF9" s="20" t="n">
        <f aca="false">IF(AND(H_Direct=0,H_TaxEvt=1,ARS8+1&gt;=H_Deemed),AKS9,AHF9)</f>
        <v>0</v>
      </c>
      <c r="AOG9" s="20" t="n">
        <f aca="false">IF(AND(H_Direct=0,H_TaxEvt=1,0+1&gt;=H_Deemed),AKT9,AHG9)</f>
        <v>0</v>
      </c>
      <c r="AOH9" s="20" t="n">
        <v>0</v>
      </c>
      <c r="AOI9" s="20" t="n">
        <v>0</v>
      </c>
      <c r="AOJ9" s="20" t="n">
        <v>0</v>
      </c>
      <c r="AOK9" s="20" t="n">
        <v>0</v>
      </c>
      <c r="AOL9" s="20" t="n">
        <v>0</v>
      </c>
      <c r="AOM9" s="20" t="n">
        <v>0</v>
      </c>
      <c r="AON9" s="20" t="n">
        <v>0</v>
      </c>
      <c r="AOO9" s="20" t="n">
        <v>0</v>
      </c>
      <c r="AOP9" s="20" t="n">
        <v>0</v>
      </c>
      <c r="AOQ9" s="20" t="n">
        <v>0</v>
      </c>
      <c r="AOR9" s="20" t="n">
        <v>0</v>
      </c>
      <c r="AOS9" s="20" t="n">
        <v>0</v>
      </c>
      <c r="AOT9" s="20" t="n">
        <v>0</v>
      </c>
      <c r="AOU9" s="20" t="n">
        <v>0</v>
      </c>
      <c r="AOV9" s="20" t="n">
        <v>0</v>
      </c>
      <c r="AOW9" s="20" t="n">
        <v>0</v>
      </c>
      <c r="AOX9" s="20" t="n">
        <v>0</v>
      </c>
      <c r="AOY9" s="20" t="n">
        <v>0</v>
      </c>
      <c r="AOZ9" s="20" t="n">
        <v>0</v>
      </c>
      <c r="APA9" s="20" t="n">
        <v>0</v>
      </c>
      <c r="APB9" s="20" t="n">
        <v>0</v>
      </c>
      <c r="APC9" s="20" t="n">
        <v>0</v>
      </c>
      <c r="APD9" s="20" t="n">
        <v>0</v>
      </c>
      <c r="APE9" s="20" t="n">
        <v>0</v>
      </c>
      <c r="APF9" s="20" t="n">
        <v>0</v>
      </c>
      <c r="APG9" s="20" t="n">
        <v>0</v>
      </c>
      <c r="APH9" s="20" t="n">
        <v>0</v>
      </c>
      <c r="API9" s="20" t="n">
        <v>0</v>
      </c>
      <c r="APJ9" s="20" t="n">
        <v>0</v>
      </c>
      <c r="APK9" s="20" t="n">
        <v>0</v>
      </c>
      <c r="APL9" s="20" t="n">
        <v>0</v>
      </c>
      <c r="APM9" s="20" t="n">
        <v>0</v>
      </c>
      <c r="APN9" s="20" t="n">
        <v>0</v>
      </c>
      <c r="APO9" s="20" t="n">
        <v>0</v>
      </c>
      <c r="APP9" s="20" t="n">
        <v>0</v>
      </c>
      <c r="APQ9" s="20" t="n">
        <v>0</v>
      </c>
      <c r="APR9" s="20" t="n">
        <v>0</v>
      </c>
      <c r="APS9" s="20" t="n">
        <v>0</v>
      </c>
      <c r="APT9" s="20" t="n">
        <v>0</v>
      </c>
      <c r="APU9" s="20" t="n">
        <v>0</v>
      </c>
      <c r="APV9" s="20" t="n">
        <v>0</v>
      </c>
      <c r="APW9" s="20" t="n">
        <v>0</v>
      </c>
      <c r="APX9" s="20" t="n">
        <v>0</v>
      </c>
      <c r="APY9" s="20" t="n">
        <v>0</v>
      </c>
      <c r="APZ9" s="20" t="n">
        <v>0</v>
      </c>
      <c r="AQA9" s="20" t="n">
        <v>0</v>
      </c>
      <c r="AQB9" s="20" t="n">
        <v>0</v>
      </c>
      <c r="AQC9" s="20" t="n">
        <v>0</v>
      </c>
      <c r="AQD9" s="20" t="n">
        <v>0</v>
      </c>
      <c r="AQE9" s="20" t="n">
        <v>0</v>
      </c>
      <c r="AQF9" s="20" t="n">
        <v>0</v>
      </c>
      <c r="AQG9" s="20" t="n">
        <v>0</v>
      </c>
      <c r="AQH9" s="20" t="n">
        <v>0</v>
      </c>
      <c r="AQI9" s="20" t="n">
        <v>0</v>
      </c>
      <c r="AQJ9" s="20" t="n">
        <v>0</v>
      </c>
      <c r="AQK9" s="20" t="n">
        <v>0</v>
      </c>
      <c r="AQL9" s="20" t="n">
        <v>0</v>
      </c>
      <c r="AQM9" s="20" t="n">
        <v>0</v>
      </c>
      <c r="AQN9" s="20" t="n">
        <v>0</v>
      </c>
      <c r="AQO9" s="20" t="n">
        <v>0</v>
      </c>
      <c r="AQP9" s="20" t="n">
        <v>0</v>
      </c>
      <c r="AQQ9" s="20" t="n">
        <v>0</v>
      </c>
      <c r="AQR9" s="20" t="n">
        <v>0</v>
      </c>
      <c r="AQS9" s="20" t="n">
        <v>0</v>
      </c>
      <c r="AQT9" s="20" t="n">
        <v>0</v>
      </c>
      <c r="AQU9" s="20" t="n">
        <v>0</v>
      </c>
      <c r="AQV9" s="20" t="n">
        <v>0</v>
      </c>
      <c r="AQW9" s="20" t="n">
        <v>0</v>
      </c>
      <c r="AQX9" s="20" t="n">
        <v>0</v>
      </c>
      <c r="AQY9" s="20" t="n">
        <v>0</v>
      </c>
      <c r="AQZ9" s="20" t="n">
        <v>0</v>
      </c>
      <c r="ARA9" s="20" t="n">
        <v>0</v>
      </c>
      <c r="ARB9" s="20" t="n">
        <v>0</v>
      </c>
      <c r="ARC9" s="20" t="n">
        <v>0</v>
      </c>
      <c r="ARD9" s="20" t="n">
        <v>0</v>
      </c>
      <c r="ARE9" s="20" t="n">
        <v>0</v>
      </c>
      <c r="ARF9" s="20" t="n">
        <v>0</v>
      </c>
      <c r="ARG9" s="20" t="n">
        <v>0</v>
      </c>
      <c r="ARH9" s="20" t="n">
        <v>0</v>
      </c>
      <c r="ARI9" s="20" t="n">
        <v>0</v>
      </c>
      <c r="ARJ9" s="20" t="n">
        <v>0</v>
      </c>
      <c r="ARK9" s="20" t="n">
        <v>0</v>
      </c>
      <c r="ARL9" s="20" t="n">
        <v>0</v>
      </c>
      <c r="ARM9" s="20" t="n">
        <v>0</v>
      </c>
      <c r="ARN9" s="20" t="n">
        <v>0</v>
      </c>
      <c r="ARO9" s="20" t="n">
        <v>0</v>
      </c>
      <c r="ARP9" s="20" t="n">
        <v>0</v>
      </c>
      <c r="ARQ9" s="20" t="n">
        <v>0</v>
      </c>
      <c r="ARR9" s="20" t="n">
        <f aca="false">IF(AND(H_Direct=0,H_TaxEvt=1),IF(ARR8+1&gt;=H_Deemed,0,ARR8+1),ARR8)</f>
        <v>2</v>
      </c>
      <c r="ARS9" s="20" t="n">
        <f aca="false">IF(AND(H_Direct=0,H_TaxEvt=1),IF(ARS8+1&gt;=H_Deemed,0,ARS8+1),ARS8)</f>
        <v>2</v>
      </c>
      <c r="ART9" s="20" t="n">
        <f aca="false">IF(AND(H_Direct=0,H_TaxEvt=1),IF(0+1&gt;=H_Deemed,0,0+1),0)</f>
        <v>1</v>
      </c>
      <c r="ARU9" s="20" t="n">
        <v>0</v>
      </c>
      <c r="ARV9" s="20" t="n">
        <v>0</v>
      </c>
      <c r="ARW9" s="20" t="n">
        <v>0</v>
      </c>
      <c r="ARX9" s="20" t="n">
        <v>0</v>
      </c>
      <c r="ARY9" s="20" t="n">
        <v>0</v>
      </c>
      <c r="ARZ9" s="20" t="n">
        <v>0</v>
      </c>
      <c r="ASA9" s="20" t="n">
        <v>0</v>
      </c>
      <c r="ASB9" s="20" t="n">
        <v>0</v>
      </c>
      <c r="ASC9" s="20" t="n">
        <v>0</v>
      </c>
      <c r="ASD9" s="20" t="n">
        <v>0</v>
      </c>
      <c r="ASE9" s="20" t="n">
        <v>0</v>
      </c>
      <c r="ASF9" s="20" t="n">
        <v>0</v>
      </c>
      <c r="ASG9" s="20" t="n">
        <v>0</v>
      </c>
      <c r="ASH9" s="20" t="n">
        <v>0</v>
      </c>
      <c r="ASI9" s="20" t="n">
        <v>0</v>
      </c>
      <c r="ASJ9" s="20" t="n">
        <v>0</v>
      </c>
      <c r="ASK9" s="20" t="n">
        <v>0</v>
      </c>
      <c r="ASL9" s="20" t="n">
        <v>0</v>
      </c>
      <c r="ASM9" s="20" t="n">
        <v>0</v>
      </c>
      <c r="ASN9" s="20" t="n">
        <v>0</v>
      </c>
      <c r="ASO9" s="20" t="n">
        <v>0</v>
      </c>
      <c r="ASP9" s="20" t="n">
        <v>0</v>
      </c>
      <c r="ASQ9" s="20" t="n">
        <v>0</v>
      </c>
      <c r="ASR9" s="20" t="n">
        <v>0</v>
      </c>
      <c r="ASS9" s="20" t="n">
        <v>0</v>
      </c>
      <c r="AST9" s="20" t="n">
        <v>0</v>
      </c>
      <c r="ASU9" s="20" t="n">
        <v>0</v>
      </c>
      <c r="ASV9" s="20" t="n">
        <v>0</v>
      </c>
      <c r="ASW9" s="20" t="n">
        <v>0</v>
      </c>
      <c r="ASX9" s="20" t="n">
        <v>0</v>
      </c>
      <c r="ASY9" s="20" t="n">
        <v>0</v>
      </c>
      <c r="ASZ9" s="20" t="n">
        <v>0</v>
      </c>
      <c r="ATA9" s="20" t="n">
        <v>0</v>
      </c>
      <c r="ATB9" s="20" t="n">
        <v>0</v>
      </c>
      <c r="ATC9" s="20" t="n">
        <v>0</v>
      </c>
      <c r="ATD9" s="20" t="n">
        <v>0</v>
      </c>
      <c r="ATE9" s="20" t="n">
        <v>0</v>
      </c>
      <c r="ATF9" s="20" t="n">
        <v>0</v>
      </c>
      <c r="ATG9" s="20" t="n">
        <v>0</v>
      </c>
      <c r="ATH9" s="20" t="n">
        <v>0</v>
      </c>
      <c r="ATI9" s="20" t="n">
        <v>0</v>
      </c>
      <c r="ATJ9" s="20" t="n">
        <v>0</v>
      </c>
      <c r="ATK9" s="20" t="n">
        <v>0</v>
      </c>
      <c r="ATL9" s="20" t="n">
        <v>0</v>
      </c>
      <c r="ATM9" s="20" t="n">
        <v>0</v>
      </c>
      <c r="ATN9" s="20" t="n">
        <v>0</v>
      </c>
      <c r="ATO9" s="20" t="n">
        <v>0</v>
      </c>
      <c r="ATP9" s="20" t="n">
        <v>0</v>
      </c>
      <c r="ATQ9" s="20" t="n">
        <v>0</v>
      </c>
      <c r="ATR9" s="20" t="n">
        <v>0</v>
      </c>
      <c r="ATS9" s="20" t="n">
        <v>0</v>
      </c>
      <c r="ATT9" s="20" t="n">
        <v>0</v>
      </c>
      <c r="ATU9" s="20" t="n">
        <v>0</v>
      </c>
      <c r="ATV9" s="20" t="n">
        <v>0</v>
      </c>
      <c r="ATW9" s="20" t="n">
        <v>0</v>
      </c>
      <c r="ATX9" s="20" t="n">
        <v>0</v>
      </c>
      <c r="ATY9" s="20" t="n">
        <v>0</v>
      </c>
      <c r="ATZ9" s="20" t="n">
        <v>0</v>
      </c>
      <c r="AUA9" s="20" t="n">
        <v>0</v>
      </c>
      <c r="AUB9" s="20" t="n">
        <v>0</v>
      </c>
      <c r="AUC9" s="20" t="n">
        <v>0</v>
      </c>
      <c r="AUD9" s="20" t="n">
        <v>0</v>
      </c>
      <c r="AUE9" s="20" t="n">
        <v>0</v>
      </c>
      <c r="AUF9" s="20" t="n">
        <v>0</v>
      </c>
      <c r="AUG9" s="20" t="n">
        <v>0</v>
      </c>
      <c r="AUH9" s="20" t="n">
        <v>0</v>
      </c>
      <c r="AUI9" s="20" t="n">
        <v>0</v>
      </c>
      <c r="AUJ9" s="20" t="n">
        <v>0</v>
      </c>
      <c r="AUK9" s="20" t="n">
        <v>0</v>
      </c>
      <c r="AUL9" s="20" t="n">
        <v>0</v>
      </c>
      <c r="AUM9" s="20" t="n">
        <v>0</v>
      </c>
      <c r="AUN9" s="20" t="n">
        <v>0</v>
      </c>
      <c r="AUO9" s="20" t="n">
        <v>0</v>
      </c>
      <c r="AUP9" s="20" t="n">
        <v>0</v>
      </c>
      <c r="AUQ9" s="20" t="n">
        <v>0</v>
      </c>
      <c r="AUR9" s="20" t="n">
        <v>0</v>
      </c>
      <c r="AUS9" s="20" t="n">
        <v>0</v>
      </c>
      <c r="AUT9" s="20" t="n">
        <v>0</v>
      </c>
      <c r="AUU9" s="20" t="n">
        <v>0</v>
      </c>
      <c r="AUV9" s="20" t="n">
        <v>0</v>
      </c>
      <c r="AUW9" s="20" t="n">
        <v>0</v>
      </c>
      <c r="AUX9" s="20" t="n">
        <v>0</v>
      </c>
      <c r="AUY9" s="20" t="n">
        <v>0</v>
      </c>
      <c r="AUZ9" s="20" t="n">
        <v>0</v>
      </c>
      <c r="AVA9" s="20" t="n">
        <v>0</v>
      </c>
      <c r="AVB9" s="20" t="n">
        <v>0</v>
      </c>
      <c r="AVC9" s="20" t="n">
        <v>0</v>
      </c>
      <c r="AVD9" s="20" t="n">
        <v>0</v>
      </c>
      <c r="AVE9" s="20" t="n">
        <f aca="false">IF(AND(H_Direct=0,H_TaxEvt=1,ARR8+1&gt;=H_Deemed),MAX(0,ADR9-AHE9)*H_Exit,0)</f>
        <v>0</v>
      </c>
      <c r="AVF9" s="20" t="n">
        <f aca="false">IF(AND(H_Direct=0,H_TaxEvt=1,ARS8+1&gt;=H_Deemed),MAX(0,ADS9-AHF9)*H_Exit,0)</f>
        <v>0</v>
      </c>
      <c r="AVG9" s="20" t="n">
        <f aca="false">IF(AND(H_Direct=0,H_TaxEvt=1,0+1&gt;=H_Deemed),MAX(0,ADT9-AHG9)*H_Exit,0)</f>
        <v>0</v>
      </c>
      <c r="AVH9" s="20" t="n">
        <v>0</v>
      </c>
      <c r="AVI9" s="20" t="n">
        <v>0</v>
      </c>
      <c r="AVJ9" s="20" t="n">
        <v>0</v>
      </c>
      <c r="AVK9" s="20" t="n">
        <v>0</v>
      </c>
      <c r="AVL9" s="20" t="n">
        <v>0</v>
      </c>
      <c r="AVM9" s="20" t="n">
        <v>0</v>
      </c>
      <c r="AVN9" s="20" t="n">
        <v>0</v>
      </c>
      <c r="AVO9" s="20" t="n">
        <v>0</v>
      </c>
      <c r="AVP9" s="20" t="n">
        <v>0</v>
      </c>
      <c r="AVQ9" s="20" t="n">
        <v>0</v>
      </c>
      <c r="AVR9" s="20" t="n">
        <v>0</v>
      </c>
      <c r="AVS9" s="20" t="n">
        <v>0</v>
      </c>
      <c r="AVT9" s="20" t="n">
        <v>0</v>
      </c>
      <c r="AVU9" s="20" t="n">
        <v>0</v>
      </c>
      <c r="AVV9" s="20" t="n">
        <v>0</v>
      </c>
      <c r="AVW9" s="20" t="n">
        <v>0</v>
      </c>
      <c r="AVX9" s="20" t="n">
        <v>0</v>
      </c>
      <c r="AVY9" s="20" t="n">
        <v>0</v>
      </c>
      <c r="AVZ9" s="20" t="n">
        <v>0</v>
      </c>
      <c r="AWA9" s="20" t="n">
        <v>0</v>
      </c>
      <c r="AWB9" s="20" t="n">
        <v>0</v>
      </c>
      <c r="AWC9" s="20" t="n">
        <v>0</v>
      </c>
      <c r="AWD9" s="20" t="n">
        <v>0</v>
      </c>
      <c r="AWE9" s="20" t="n">
        <v>0</v>
      </c>
      <c r="AWF9" s="20" t="n">
        <v>0</v>
      </c>
      <c r="AWG9" s="20" t="n">
        <v>0</v>
      </c>
      <c r="AWH9" s="20" t="n">
        <v>0</v>
      </c>
      <c r="AWI9" s="20" t="n">
        <v>0</v>
      </c>
      <c r="AWJ9" s="20" t="n">
        <v>0</v>
      </c>
      <c r="AWK9" s="20" t="n">
        <v>0</v>
      </c>
      <c r="AWL9" s="20" t="n">
        <v>0</v>
      </c>
      <c r="AWM9" s="20" t="n">
        <v>0</v>
      </c>
      <c r="AWN9" s="20" t="n">
        <v>0</v>
      </c>
      <c r="AWO9" s="20" t="n">
        <v>0</v>
      </c>
      <c r="AWP9" s="20" t="n">
        <v>0</v>
      </c>
      <c r="AWQ9" s="20" t="n">
        <v>0</v>
      </c>
      <c r="AWR9" s="20" t="n">
        <v>0</v>
      </c>
      <c r="AWS9" s="20" t="n">
        <v>0</v>
      </c>
      <c r="AWT9" s="20" t="n">
        <v>0</v>
      </c>
      <c r="AWU9" s="20" t="n">
        <v>0</v>
      </c>
      <c r="AWV9" s="20" t="n">
        <v>0</v>
      </c>
      <c r="AWW9" s="20" t="n">
        <v>0</v>
      </c>
      <c r="AWX9" s="20" t="n">
        <v>0</v>
      </c>
      <c r="AWY9" s="20" t="n">
        <v>0</v>
      </c>
      <c r="AWZ9" s="20" t="n">
        <v>0</v>
      </c>
      <c r="AXA9" s="20" t="n">
        <v>0</v>
      </c>
      <c r="AXB9" s="20" t="n">
        <v>0</v>
      </c>
      <c r="AXC9" s="20" t="n">
        <v>0</v>
      </c>
      <c r="AXD9" s="20" t="n">
        <v>0</v>
      </c>
      <c r="AXE9" s="20" t="n">
        <v>0</v>
      </c>
      <c r="AXF9" s="20" t="n">
        <v>0</v>
      </c>
      <c r="AXG9" s="20" t="n">
        <v>0</v>
      </c>
      <c r="AXH9" s="20" t="n">
        <v>0</v>
      </c>
      <c r="AXI9" s="20" t="n">
        <v>0</v>
      </c>
      <c r="AXJ9" s="20" t="n">
        <v>0</v>
      </c>
      <c r="AXK9" s="20" t="n">
        <v>0</v>
      </c>
      <c r="AXL9" s="20" t="n">
        <v>0</v>
      </c>
      <c r="AXM9" s="20" t="n">
        <v>0</v>
      </c>
      <c r="AXN9" s="20" t="n">
        <v>0</v>
      </c>
      <c r="AXO9" s="20" t="n">
        <v>0</v>
      </c>
      <c r="AXP9" s="20" t="n">
        <v>0</v>
      </c>
      <c r="AXQ9" s="20" t="n">
        <v>0</v>
      </c>
      <c r="AXR9" s="20" t="n">
        <v>0</v>
      </c>
      <c r="AXS9" s="20" t="n">
        <v>0</v>
      </c>
      <c r="AXT9" s="20" t="n">
        <v>0</v>
      </c>
      <c r="AXU9" s="20" t="n">
        <v>0</v>
      </c>
      <c r="AXV9" s="20" t="n">
        <v>0</v>
      </c>
      <c r="AXW9" s="20" t="n">
        <v>0</v>
      </c>
      <c r="AXX9" s="20" t="n">
        <v>0</v>
      </c>
      <c r="AXY9" s="20" t="n">
        <v>0</v>
      </c>
      <c r="AXZ9" s="20" t="n">
        <v>0</v>
      </c>
      <c r="AYA9" s="20" t="n">
        <v>0</v>
      </c>
      <c r="AYB9" s="20" t="n">
        <v>0</v>
      </c>
      <c r="AYC9" s="20" t="n">
        <v>0</v>
      </c>
      <c r="AYD9" s="20" t="n">
        <v>0</v>
      </c>
      <c r="AYE9" s="20" t="n">
        <v>0</v>
      </c>
      <c r="AYF9" s="20" t="n">
        <v>0</v>
      </c>
      <c r="AYG9" s="20" t="n">
        <v>0</v>
      </c>
      <c r="AYH9" s="20" t="n">
        <v>0</v>
      </c>
      <c r="AYI9" s="20" t="n">
        <v>0</v>
      </c>
      <c r="AYJ9" s="20" t="n">
        <v>0</v>
      </c>
      <c r="AYK9" s="20" t="n">
        <v>0</v>
      </c>
      <c r="AYL9" s="20" t="n">
        <v>0</v>
      </c>
      <c r="AYM9" s="20" t="n">
        <v>0</v>
      </c>
      <c r="AYN9" s="20" t="n">
        <v>0</v>
      </c>
      <c r="AYO9" s="20" t="n">
        <v>0</v>
      </c>
      <c r="AYP9" s="20" t="n">
        <v>0</v>
      </c>
      <c r="AYQ9" s="20" t="n">
        <v>0</v>
      </c>
    </row>
    <row r="10" customFormat="false" ht="15" hidden="false" customHeight="false" outlineLevel="0" collapsed="false">
      <c r="B10" s="20" t="n">
        <v>2</v>
      </c>
      <c r="C10" s="20" t="n">
        <f aca="false">'Plan cashflow'!C10</f>
        <v>1</v>
      </c>
      <c r="D10" s="20" t="n">
        <f aca="false">'Plan cashflow'!D10</f>
        <v>40</v>
      </c>
      <c r="E10" s="20" t="n">
        <f aca="false">AS_Year0+2</f>
        <v>2028</v>
      </c>
      <c r="F10" s="50" t="n">
        <f aca="false">'Plan cashflow'!F10</f>
        <v>1.0404</v>
      </c>
      <c r="G10" s="59" t="n">
        <f aca="true">IF(MAX(TODAY(),DATE(E10,1,1))&gt;=H_CGTfrom,H_CGT1,H_CGT0)</f>
        <v>0.31</v>
      </c>
      <c r="H10" s="20" t="n">
        <f aca="false">H_Exempt*H_Persons</f>
        <v>1270</v>
      </c>
      <c r="I10" s="20" t="n">
        <f aca="false">AX9</f>
        <v>0</v>
      </c>
      <c r="J10" s="60" t="n">
        <f aca="false">BF9</f>
        <v>0</v>
      </c>
      <c r="K10" s="60" t="n">
        <f aca="false">BG9</f>
        <v>0</v>
      </c>
      <c r="L10" s="20" t="n">
        <f aca="false">IF(AND(In_polLump&gt;0,In_polLumpAge&gt;0,D10=In_polLumpAge),In_polLump,0)</f>
        <v>0</v>
      </c>
      <c r="M10" s="20" t="n">
        <f aca="false">IF(AND(In_homeUse="Yes, I'd downsize",In_downAge&gt;0,D10=In_downAge,OR(In_home="Own outright",In_home="Own with mortgage"),In_homeValue&gt;0),MAX(0,MAX(0,In_homeValue-In_downValue)*F10*0.9-'Plan cashflow'!HR9),0)</f>
        <v>0</v>
      </c>
      <c r="N10" s="20" t="n">
        <f aca="false">'Plan pay &amp; tax'!Y236</f>
        <v>0</v>
      </c>
      <c r="O10" s="20" t="n">
        <f aca="false">L10+M10+(1-H_Sh)*N10</f>
        <v>0</v>
      </c>
      <c r="P10" s="20" t="n">
        <f aca="false">H_Sh*N10</f>
        <v>0</v>
      </c>
      <c r="Q10" s="20" t="n">
        <f aca="false">'Plan cashflow'!UL10</f>
        <v>0</v>
      </c>
      <c r="R10" s="20" t="n">
        <f aca="false">(1-H_Sh)*Q10</f>
        <v>0</v>
      </c>
      <c r="S10" s="20" t="n">
        <f aca="false">H_Sh*Q10</f>
        <v>0</v>
      </c>
      <c r="T10" s="20" t="n">
        <f aca="false">J10+K10+O10</f>
        <v>0</v>
      </c>
      <c r="U10" s="20" t="n">
        <f aca="false">T10+R10</f>
        <v>0</v>
      </c>
      <c r="V10" s="60" t="n">
        <f aca="false">SUM(FE10:IQ10)</f>
        <v>0</v>
      </c>
      <c r="W10" s="60" t="n">
        <f aca="false">IF(AJ10&lt;=0,0,IF(AL10&lt;=0,AJ10,AJ10-G10*MAX(0,AL10*AJ10-(AY10+AZ10))))</f>
        <v>0</v>
      </c>
      <c r="X10" s="60" t="n">
        <f aca="false">IF(AR10&lt;=0,0,IF(AT10&lt;=0,AR10,AR10-G10*MAX(0,AT10*AR10-(BA10+BB10))))</f>
        <v>0</v>
      </c>
      <c r="Y10" s="60" t="n">
        <f aca="false">T10+V10-S10+W10+X10</f>
        <v>0</v>
      </c>
      <c r="Z10" s="60" t="n">
        <f aca="false">'Plan cashflow'!UK10</f>
        <v>0</v>
      </c>
      <c r="AA10" s="20" t="n">
        <f aca="false">MIN(Z10,U10)</f>
        <v>0</v>
      </c>
      <c r="AB10" s="20" t="n">
        <f aca="false">Z10-AA10</f>
        <v>0</v>
      </c>
      <c r="AC10" s="20" t="n">
        <f aca="false">MIN(AA10,J10+O10+R10)</f>
        <v>0</v>
      </c>
      <c r="AD10" s="20" t="n">
        <f aca="false">AA10-AC10</f>
        <v>0</v>
      </c>
      <c r="AE10" s="20" t="n">
        <f aca="false">J10+O10+R10-AC10</f>
        <v>0</v>
      </c>
      <c r="AF10" s="20" t="n">
        <f aca="false">K10-AD10</f>
        <v>0</v>
      </c>
      <c r="AG10" s="20" t="n">
        <f aca="false">SUM(PR10:TD10)</f>
        <v>0</v>
      </c>
      <c r="AH10" s="20" t="n">
        <f aca="false">SUM(TE10:WQ10)</f>
        <v>0</v>
      </c>
      <c r="AI10" s="20" t="n">
        <f aca="false">MAX(0,AB10-AG10)</f>
        <v>0</v>
      </c>
      <c r="AJ10" s="57" t="n">
        <f aca="false">BI9</f>
        <v>0</v>
      </c>
      <c r="AK10" s="20" t="n">
        <f aca="false">BJ9</f>
        <v>0</v>
      </c>
      <c r="AL10" s="20" t="n">
        <f aca="false">IF(AJ10&gt;0,(AJ10-AK10)/AJ10,0)</f>
        <v>0</v>
      </c>
      <c r="AM10" s="20" t="n">
        <f aca="false">IF(AJ10&lt;=0,0,IF(AL10&lt;=0,MIN(AI10,AJ10),MIN(AI10,AJ10-G10*MAX(0,AL10*AJ10-(AAD10+ADQ10)))))</f>
        <v>0</v>
      </c>
      <c r="AN10" s="20" t="n">
        <f aca="false">IF(AJ10&lt;=0,0,IF(AL10&lt;=0,AM10,IF(AM10&lt;=(AAD10+ADQ10)/AL10,AM10,(AM10-G10*(AAD10+ADQ10))/(1-G10*AL10))))</f>
        <v>0</v>
      </c>
      <c r="AO10" s="20" t="n">
        <f aca="false">IF(AL10&gt;0,MAX(0,AAD10-(MIN(AL10*AN10,(AAD10+ADQ10))-MIN(MIN(AL10*AN10,(AAD10+ADQ10)),ADQ10))),AAD10)</f>
        <v>1270</v>
      </c>
      <c r="AP10" s="20" t="n">
        <f aca="false">IF(AL10&lt;=0,ADQ10-AL10*AN10,ADQ10-MIN(MIN(AL10*AN10,(AAD10+ADQ10)),ADQ10))</f>
        <v>0</v>
      </c>
      <c r="AQ10" s="20" t="n">
        <f aca="false">MAX(0,AI10-AM10)</f>
        <v>0</v>
      </c>
      <c r="AR10" s="57" t="n">
        <f aca="false">BK9</f>
        <v>0</v>
      </c>
      <c r="AS10" s="20" t="n">
        <f aca="false">BL9</f>
        <v>0</v>
      </c>
      <c r="AT10" s="20" t="n">
        <f aca="false">IF(AR10&gt;0,(AR10-AS10)/AR10,0)</f>
        <v>0</v>
      </c>
      <c r="AU10" s="20" t="n">
        <f aca="false">IF(AR10&lt;=0,0,IF(AT10&lt;=0,MIN(AQ10,AR10),MIN(AQ10,AR10-G10*MAX(0,AT10*AR10-(AO10+AP10)))))</f>
        <v>0</v>
      </c>
      <c r="AV10" s="20" t="n">
        <f aca="false">IF(AR10&lt;=0,0,IF(AT10&lt;=0,AU10,IF(AU10&lt;=(AO10+AP10)/AT10,AU10,(AU10-G10*(AO10+AP10))/(1-G10*AT10))))</f>
        <v>0</v>
      </c>
      <c r="AW10" s="20" t="n">
        <f aca="false">IF(AT10&gt;0,MAX(0,AO10-(MIN(AT10*AV10,(AO10+AP10))-MIN(MIN(AT10*AV10,(AO10+AP10)),AP10))),AO10)</f>
        <v>1270</v>
      </c>
      <c r="AX10" s="20" t="n">
        <f aca="false">IF(AT10&lt;=0,AP10-AT10*AV10,AP10-MIN(MIN(AT10*AV10,(AO10+AP10)),AP10))</f>
        <v>0</v>
      </c>
      <c r="AY10" s="20" t="n">
        <f aca="false">MD10</f>
        <v>1270</v>
      </c>
      <c r="AZ10" s="20" t="n">
        <f aca="false">PQ10</f>
        <v>0</v>
      </c>
      <c r="BA10" s="20" t="n">
        <f aca="false">IF(AL10&gt;0,MAX(0,AY10-(MIN(AL10*AJ10,AY10+AZ10)-MIN(MIN(AL10*AJ10,AY10+AZ10),AZ10))),AY10)</f>
        <v>1270</v>
      </c>
      <c r="BB10" s="20" t="n">
        <f aca="false">IF(AL10&lt;=0,AZ10-AL10*AJ10,AZ10-MIN(MIN(AL10*AJ10,AY10+AZ10),AZ10))</f>
        <v>0</v>
      </c>
      <c r="BC10" s="20" t="n">
        <f aca="false">'Plan cashflow'!UM10</f>
        <v>0</v>
      </c>
      <c r="BD10" s="20" t="n">
        <f aca="false">(1-H_Sh)*BC10</f>
        <v>0</v>
      </c>
      <c r="BE10" s="20" t="n">
        <f aca="false">H_Sh*BC10</f>
        <v>0</v>
      </c>
      <c r="BF10" s="60" t="n">
        <f aca="false">(AE10+BD10)*(1+AS_Cash)</f>
        <v>0</v>
      </c>
      <c r="BG10" s="60" t="n">
        <f aca="false">AF10*(1+AS_Cash)</f>
        <v>0</v>
      </c>
      <c r="BH10" s="60" t="n">
        <f aca="false">SUM(AKR10:AOD10)</f>
        <v>0</v>
      </c>
      <c r="BI10" s="60" t="n">
        <f aca="false">(AJ10-AN10)*(1+AS_Infl)</f>
        <v>0</v>
      </c>
      <c r="BJ10" s="20" t="n">
        <f aca="false">IF(AJ10&gt;0,AK10-AK10*AN10/AJ10,0)</f>
        <v>0</v>
      </c>
      <c r="BK10" s="60" t="n">
        <f aca="false">(AR10-AV10)*(1+BQ10)</f>
        <v>0</v>
      </c>
      <c r="BL10" s="20" t="n">
        <f aca="false">IF(AR10&gt;0,AS10-AS10*AV10/AR10,0)</f>
        <v>0</v>
      </c>
      <c r="BM10" s="60" t="n">
        <f aca="false">BF10+BG10+BH10+BI10+BK10</f>
        <v>0</v>
      </c>
      <c r="BN10" s="60" t="n">
        <f aca="false">(AH10-AG10)+(AN10-AM10)+(AV10-AU10)</f>
        <v>0</v>
      </c>
      <c r="BO10" s="20" t="n">
        <f aca="false">(AE10+BD10+AF10+MAX(0,'Plan cashflow'!QH10)+IF(Slot1_Rate=AS_Cash,'Plan cashflow'!QM10/(1+AS_Cash),0)+IF(Slot2_Rate=AS_Cash,'Plan cashflow'!QQ10/(1+AS_Cash),0)+IF(Slot3_Rate=AS_Cash,'Plan cashflow'!QU10/(1+AS_Cash),0)+IF(Slot4_Rate=AS_Cash,'Plan cashflow'!QY10/(1+AS_Cash),0)+IF(Slot5_Rate=AS_Cash,'Plan cashflow'!RC10/(1+AS_Cash),0)+IF(Slot6_Rate=AS_Cash,'Plan cashflow'!RG10/(1+AS_Cash),0)+IF(Slot7_Rate=AS_Cash,'Plan cashflow'!RK10/(1+AS_Cash),0)+IF(Slot8_Rate=AS_Cash,'Plan cashflow'!RO10/(1+AS_Cash),0)+IF(Slot9_Rate=AS_Cash,'Plan cashflow'!RS10/(1+AS_Cash),0)+IF(Slot10_Rate=AS_Cash,'Plan cashflow'!RW10/(1+AS_Cash),0)+IF(Slot11_Rate=AS_Cash,'Plan cashflow'!SA10/(1+AS_Cash),0)+IF(Slot12_Rate=AS_Cash,'Plan cashflow'!SE10/(1+AS_Cash),0)+IF(Slot13_Rate=AS_Cash,'Plan cashflow'!SI10/(1+AS_Cash),0)+IF(Slot14_Rate=AS_Cash,'Plan cashflow'!SM10/(1+AS_Cash),0)+IF(Slot15_Rate=AS_Cash,'Plan cashflow'!SQ10/(1+AS_Cash),0)+IF(Slot16_Rate=AS_Cash,'Plan cashflow'!SU10/(1+AS_Cash),0)+IF(Slot17_Rate=AS_Cash,'Plan cashflow'!SY10/(1+AS_Cash),0)+IF(Slot18_Rate=AS_Cash,'Plan cashflow'!TC10/(1+AS_Cash),0)+IF(Slot19_Rate=AS_Cash,'Plan cashflow'!TG10/(1+AS_Cash),0)+IF(Slot20_Rate=AS_Cash,'Plan cashflow'!TK10/(1+AS_Cash),0))*AS_Cash*H_DIRT/(1-H_DIRT)</f>
        <v>95.5795095316382</v>
      </c>
      <c r="BP10" s="60" t="n">
        <f aca="false">SUM(AVE10:AYQ10)</f>
        <v>0</v>
      </c>
      <c r="BQ10" s="54" t="n">
        <f aca="false">IF(H_TaxEvt=1,H_InvG,AS_Inv)</f>
        <v>0.04</v>
      </c>
      <c r="BR10" s="20" t="n">
        <f aca="false">IF(AKR9&gt;0,(AKR9-AOE9)/AKR9,0)</f>
        <v>0</v>
      </c>
      <c r="BS10" s="20" t="n">
        <f aca="false">IF(AKS9&gt;0,(AKS9-AOF9)/AKS9,0)</f>
        <v>0</v>
      </c>
      <c r="BT10" s="20" t="n">
        <f aca="false">IF(AKT9&gt;0,(AKT9-AOG9)/AKT9,0)</f>
        <v>0</v>
      </c>
      <c r="BU10" s="20" t="n">
        <f aca="false">IF((P10+S10)&gt;0,((P10+S10)-(P10+S10))/(P10+S10),0)</f>
        <v>0</v>
      </c>
      <c r="BV10" s="20" t="n">
        <v>0</v>
      </c>
      <c r="BW10" s="20" t="n">
        <v>0</v>
      </c>
      <c r="BX10" s="20" t="n">
        <v>0</v>
      </c>
      <c r="BY10" s="20" t="n">
        <v>0</v>
      </c>
      <c r="BZ10" s="20" t="n">
        <v>0</v>
      </c>
      <c r="CA10" s="20" t="n">
        <v>0</v>
      </c>
      <c r="CB10" s="20" t="n">
        <v>0</v>
      </c>
      <c r="CC10" s="20" t="n">
        <v>0</v>
      </c>
      <c r="CD10" s="20" t="n">
        <v>0</v>
      </c>
      <c r="CE10" s="20" t="n">
        <v>0</v>
      </c>
      <c r="CF10" s="20" t="n">
        <v>0</v>
      </c>
      <c r="CG10" s="20" t="n">
        <v>0</v>
      </c>
      <c r="CH10" s="20" t="n">
        <v>0</v>
      </c>
      <c r="CI10" s="20" t="n">
        <v>0</v>
      </c>
      <c r="CJ10" s="20" t="n">
        <v>0</v>
      </c>
      <c r="CK10" s="20" t="n">
        <v>0</v>
      </c>
      <c r="CL10" s="20" t="n">
        <v>0</v>
      </c>
      <c r="CM10" s="20" t="n">
        <v>0</v>
      </c>
      <c r="CN10" s="20" t="n">
        <v>0</v>
      </c>
      <c r="CO10" s="20" t="n">
        <v>0</v>
      </c>
      <c r="CP10" s="20" t="n">
        <v>0</v>
      </c>
      <c r="CQ10" s="20" t="n">
        <v>0</v>
      </c>
      <c r="CR10" s="20" t="n">
        <v>0</v>
      </c>
      <c r="CS10" s="20" t="n">
        <v>0</v>
      </c>
      <c r="CT10" s="20" t="n">
        <v>0</v>
      </c>
      <c r="CU10" s="20" t="n">
        <v>0</v>
      </c>
      <c r="CV10" s="20" t="n">
        <v>0</v>
      </c>
      <c r="CW10" s="20" t="n">
        <v>0</v>
      </c>
      <c r="CX10" s="20" t="n">
        <v>0</v>
      </c>
      <c r="CY10" s="20" t="n">
        <v>0</v>
      </c>
      <c r="CZ10" s="20" t="n">
        <v>0</v>
      </c>
      <c r="DA10" s="20" t="n">
        <v>0</v>
      </c>
      <c r="DB10" s="20" t="n">
        <v>0</v>
      </c>
      <c r="DC10" s="20" t="n">
        <v>0</v>
      </c>
      <c r="DD10" s="20" t="n">
        <v>0</v>
      </c>
      <c r="DE10" s="20" t="n">
        <v>0</v>
      </c>
      <c r="DF10" s="20" t="n">
        <v>0</v>
      </c>
      <c r="DG10" s="20" t="n">
        <v>0</v>
      </c>
      <c r="DH10" s="20" t="n">
        <v>0</v>
      </c>
      <c r="DI10" s="20" t="n">
        <v>0</v>
      </c>
      <c r="DJ10" s="20" t="n">
        <v>0</v>
      </c>
      <c r="DK10" s="20" t="n">
        <v>0</v>
      </c>
      <c r="DL10" s="20" t="n">
        <v>0</v>
      </c>
      <c r="DM10" s="20" t="n">
        <v>0</v>
      </c>
      <c r="DN10" s="20" t="n">
        <v>0</v>
      </c>
      <c r="DO10" s="20" t="n">
        <v>0</v>
      </c>
      <c r="DP10" s="20" t="n">
        <v>0</v>
      </c>
      <c r="DQ10" s="20" t="n">
        <v>0</v>
      </c>
      <c r="DR10" s="20" t="n">
        <v>0</v>
      </c>
      <c r="DS10" s="20" t="n">
        <v>0</v>
      </c>
      <c r="DT10" s="20" t="n">
        <v>0</v>
      </c>
      <c r="DU10" s="20" t="n">
        <v>0</v>
      </c>
      <c r="DV10" s="20" t="n">
        <v>0</v>
      </c>
      <c r="DW10" s="20" t="n">
        <v>0</v>
      </c>
      <c r="DX10" s="20" t="n">
        <v>0</v>
      </c>
      <c r="DY10" s="20" t="n">
        <v>0</v>
      </c>
      <c r="DZ10" s="20" t="n">
        <v>0</v>
      </c>
      <c r="EA10" s="20" t="n">
        <v>0</v>
      </c>
      <c r="EB10" s="20" t="n">
        <v>0</v>
      </c>
      <c r="EC10" s="20" t="n">
        <v>0</v>
      </c>
      <c r="ED10" s="20" t="n">
        <v>0</v>
      </c>
      <c r="EE10" s="20" t="n">
        <v>0</v>
      </c>
      <c r="EF10" s="20" t="n">
        <v>0</v>
      </c>
      <c r="EG10" s="20" t="n">
        <v>0</v>
      </c>
      <c r="EH10" s="20" t="n">
        <v>0</v>
      </c>
      <c r="EI10" s="20" t="n">
        <v>0</v>
      </c>
      <c r="EJ10" s="20" t="n">
        <v>0</v>
      </c>
      <c r="EK10" s="20" t="n">
        <v>0</v>
      </c>
      <c r="EL10" s="20" t="n">
        <v>0</v>
      </c>
      <c r="EM10" s="20" t="n">
        <v>0</v>
      </c>
      <c r="EN10" s="20" t="n">
        <v>0</v>
      </c>
      <c r="EO10" s="20" t="n">
        <v>0</v>
      </c>
      <c r="EP10" s="20" t="n">
        <v>0</v>
      </c>
      <c r="EQ10" s="20" t="n">
        <v>0</v>
      </c>
      <c r="ER10" s="20" t="n">
        <v>0</v>
      </c>
      <c r="ES10" s="20" t="n">
        <v>0</v>
      </c>
      <c r="ET10" s="20" t="n">
        <v>0</v>
      </c>
      <c r="EU10" s="20" t="n">
        <v>0</v>
      </c>
      <c r="EV10" s="20" t="n">
        <v>0</v>
      </c>
      <c r="EW10" s="20" t="n">
        <v>0</v>
      </c>
      <c r="EX10" s="20" t="n">
        <v>0</v>
      </c>
      <c r="EY10" s="20" t="n">
        <v>0</v>
      </c>
      <c r="EZ10" s="20" t="n">
        <v>0</v>
      </c>
      <c r="FA10" s="20" t="n">
        <v>0</v>
      </c>
      <c r="FB10" s="20" t="n">
        <v>0</v>
      </c>
      <c r="FC10" s="20" t="n">
        <v>0</v>
      </c>
      <c r="FD10" s="20" t="n">
        <v>0</v>
      </c>
      <c r="FE10" s="20" t="n">
        <f aca="false">IF(H_Direct=1,IF(AKR9&lt;=0,0,IF(BR10&lt;=0,AKR9,AKR9-G10*MAX(0,BR10*AKR9-(H10+I10)))),AKR9*(1-MAX(0,BR10)*H_Exit))</f>
        <v>0</v>
      </c>
      <c r="FF10" s="20" t="n">
        <f aca="false">IF(H_Direct=1,IF(AKS9&lt;=0,0,IF(BS10&lt;=0,AKS9,AKS9-G10*MAX(0,BS10*AKS9-(IR10+ME10)))),AKS9*(1-MAX(0,BS10)*H_Exit))</f>
        <v>0</v>
      </c>
      <c r="FG10" s="20" t="n">
        <f aca="false">IF(H_Direct=1,IF(AKT9&lt;=0,0,IF(BT10&lt;=0,AKT9,AKT9-G10*MAX(0,BT10*AKT9-(IS10+MF10)))),AKT9*(1-MAX(0,BT10)*H_Exit))</f>
        <v>0</v>
      </c>
      <c r="FH10" s="20" t="n">
        <f aca="false">IF(H_Direct=1,IF((P10+S10)&lt;=0,0,IF(BU10&lt;=0,(P10+S10),(P10+S10)-G10*MAX(0,BU10*(P10+S10)-(IT10+MG10)))),(P10+S10)*(1-MAX(0,BU10)*H_Exit))</f>
        <v>0</v>
      </c>
      <c r="FI10" s="20" t="n">
        <v>0</v>
      </c>
      <c r="FJ10" s="20" t="n">
        <v>0</v>
      </c>
      <c r="FK10" s="20" t="n">
        <v>0</v>
      </c>
      <c r="FL10" s="20" t="n">
        <v>0</v>
      </c>
      <c r="FM10" s="20" t="n">
        <v>0</v>
      </c>
      <c r="FN10" s="20" t="n">
        <v>0</v>
      </c>
      <c r="FO10" s="20" t="n">
        <v>0</v>
      </c>
      <c r="FP10" s="20" t="n">
        <v>0</v>
      </c>
      <c r="FQ10" s="20" t="n">
        <v>0</v>
      </c>
      <c r="FR10" s="20" t="n">
        <v>0</v>
      </c>
      <c r="FS10" s="20" t="n">
        <v>0</v>
      </c>
      <c r="FT10" s="20" t="n">
        <v>0</v>
      </c>
      <c r="FU10" s="20" t="n">
        <v>0</v>
      </c>
      <c r="FV10" s="20" t="n">
        <v>0</v>
      </c>
      <c r="FW10" s="20" t="n">
        <v>0</v>
      </c>
      <c r="FX10" s="20" t="n">
        <v>0</v>
      </c>
      <c r="FY10" s="20" t="n">
        <v>0</v>
      </c>
      <c r="FZ10" s="20" t="n">
        <v>0</v>
      </c>
      <c r="GA10" s="20" t="n">
        <v>0</v>
      </c>
      <c r="GB10" s="20" t="n">
        <v>0</v>
      </c>
      <c r="GC10" s="20" t="n">
        <v>0</v>
      </c>
      <c r="GD10" s="20" t="n">
        <v>0</v>
      </c>
      <c r="GE10" s="20" t="n">
        <v>0</v>
      </c>
      <c r="GF10" s="20" t="n">
        <v>0</v>
      </c>
      <c r="GG10" s="20" t="n">
        <v>0</v>
      </c>
      <c r="GH10" s="20" t="n">
        <v>0</v>
      </c>
      <c r="GI10" s="20" t="n">
        <v>0</v>
      </c>
      <c r="GJ10" s="20" t="n">
        <v>0</v>
      </c>
      <c r="GK10" s="20" t="n">
        <v>0</v>
      </c>
      <c r="GL10" s="20" t="n">
        <v>0</v>
      </c>
      <c r="GM10" s="20" t="n">
        <v>0</v>
      </c>
      <c r="GN10" s="20" t="n">
        <v>0</v>
      </c>
      <c r="GO10" s="20" t="n">
        <v>0</v>
      </c>
      <c r="GP10" s="20" t="n">
        <v>0</v>
      </c>
      <c r="GQ10" s="20" t="n">
        <v>0</v>
      </c>
      <c r="GR10" s="20" t="n">
        <v>0</v>
      </c>
      <c r="GS10" s="20" t="n">
        <v>0</v>
      </c>
      <c r="GT10" s="20" t="n">
        <v>0</v>
      </c>
      <c r="GU10" s="20" t="n">
        <v>0</v>
      </c>
      <c r="GV10" s="20" t="n">
        <v>0</v>
      </c>
      <c r="GW10" s="20" t="n">
        <v>0</v>
      </c>
      <c r="GX10" s="20" t="n">
        <v>0</v>
      </c>
      <c r="GY10" s="20" t="n">
        <v>0</v>
      </c>
      <c r="GZ10" s="20" t="n">
        <v>0</v>
      </c>
      <c r="HA10" s="20" t="n">
        <v>0</v>
      </c>
      <c r="HB10" s="20" t="n">
        <v>0</v>
      </c>
      <c r="HC10" s="20" t="n">
        <v>0</v>
      </c>
      <c r="HD10" s="20" t="n">
        <v>0</v>
      </c>
      <c r="HE10" s="20" t="n">
        <v>0</v>
      </c>
      <c r="HF10" s="20" t="n">
        <v>0</v>
      </c>
      <c r="HG10" s="20" t="n">
        <v>0</v>
      </c>
      <c r="HH10" s="20" t="n">
        <v>0</v>
      </c>
      <c r="HI10" s="20" t="n">
        <v>0</v>
      </c>
      <c r="HJ10" s="20" t="n">
        <v>0</v>
      </c>
      <c r="HK10" s="20" t="n">
        <v>0</v>
      </c>
      <c r="HL10" s="20" t="n">
        <v>0</v>
      </c>
      <c r="HM10" s="20" t="n">
        <v>0</v>
      </c>
      <c r="HN10" s="20" t="n">
        <v>0</v>
      </c>
      <c r="HO10" s="20" t="n">
        <v>0</v>
      </c>
      <c r="HP10" s="20" t="n">
        <v>0</v>
      </c>
      <c r="HQ10" s="20" t="n">
        <v>0</v>
      </c>
      <c r="HR10" s="20" t="n">
        <v>0</v>
      </c>
      <c r="HS10" s="20" t="n">
        <v>0</v>
      </c>
      <c r="HT10" s="20" t="n">
        <v>0</v>
      </c>
      <c r="HU10" s="20" t="n">
        <v>0</v>
      </c>
      <c r="HV10" s="20" t="n">
        <v>0</v>
      </c>
      <c r="HW10" s="20" t="n">
        <v>0</v>
      </c>
      <c r="HX10" s="20" t="n">
        <v>0</v>
      </c>
      <c r="HY10" s="20" t="n">
        <v>0</v>
      </c>
      <c r="HZ10" s="20" t="n">
        <v>0</v>
      </c>
      <c r="IA10" s="20" t="n">
        <v>0</v>
      </c>
      <c r="IB10" s="20" t="n">
        <v>0</v>
      </c>
      <c r="IC10" s="20" t="n">
        <v>0</v>
      </c>
      <c r="ID10" s="20" t="n">
        <v>0</v>
      </c>
      <c r="IE10" s="20" t="n">
        <v>0</v>
      </c>
      <c r="IF10" s="20" t="n">
        <v>0</v>
      </c>
      <c r="IG10" s="20" t="n">
        <v>0</v>
      </c>
      <c r="IH10" s="20" t="n">
        <v>0</v>
      </c>
      <c r="II10" s="20" t="n">
        <v>0</v>
      </c>
      <c r="IJ10" s="20" t="n">
        <v>0</v>
      </c>
      <c r="IK10" s="20" t="n">
        <v>0</v>
      </c>
      <c r="IL10" s="20" t="n">
        <v>0</v>
      </c>
      <c r="IM10" s="20" t="n">
        <v>0</v>
      </c>
      <c r="IN10" s="20" t="n">
        <v>0</v>
      </c>
      <c r="IO10" s="20" t="n">
        <v>0</v>
      </c>
      <c r="IP10" s="20" t="n">
        <v>0</v>
      </c>
      <c r="IQ10" s="20" t="n">
        <v>0</v>
      </c>
      <c r="IR10" s="20" t="n">
        <f aca="false">IF(AND(H_Direct=1,BR10&gt;0),MAX(0,H10-(MIN(BR10*AKR9,H10+I10)-MIN(MIN(BR10*AKR9,H10+I10),I10))),H10)</f>
        <v>1270</v>
      </c>
      <c r="IS10" s="20" t="n">
        <f aca="false">IF(AND(H_Direct=1,BS10&gt;0),MAX(0,IR10-(MIN(BS10*AKS9,IR10+ME10)-MIN(MIN(BS10*AKS9,IR10+ME10),ME10))),IR10)</f>
        <v>1270</v>
      </c>
      <c r="IT10" s="20" t="n">
        <f aca="false">IF(AND(H_Direct=1,BT10&gt;0),MAX(0,IS10-(MIN(BT10*AKT9,IS10+MF10)-MIN(MIN(BT10*AKT9,IS10+MF10),MF10))),IS10)</f>
        <v>1270</v>
      </c>
      <c r="IU10" s="20" t="n">
        <f aca="false">IF(AND(H_Direct=1,BU10&gt;0),MAX(0,IT10-(MIN(BU10*(P10+S10),IT10+MG10)-MIN(MIN(BU10*(P10+S10),IT10+MG10),MG10))),IT10)</f>
        <v>1270</v>
      </c>
      <c r="IV10" s="20" t="n">
        <f aca="false">IU10</f>
        <v>1270</v>
      </c>
      <c r="IW10" s="20" t="n">
        <f aca="false">IV10</f>
        <v>1270</v>
      </c>
      <c r="IX10" s="20" t="n">
        <f aca="false">IW10</f>
        <v>1270</v>
      </c>
      <c r="IY10" s="20" t="n">
        <f aca="false">IX10</f>
        <v>1270</v>
      </c>
      <c r="IZ10" s="20" t="n">
        <f aca="false">IY10</f>
        <v>1270</v>
      </c>
      <c r="JA10" s="20" t="n">
        <f aca="false">IZ10</f>
        <v>1270</v>
      </c>
      <c r="JB10" s="20" t="n">
        <f aca="false">JA10</f>
        <v>1270</v>
      </c>
      <c r="JC10" s="20" t="n">
        <f aca="false">JB10</f>
        <v>1270</v>
      </c>
      <c r="JD10" s="20" t="n">
        <f aca="false">JC10</f>
        <v>1270</v>
      </c>
      <c r="JE10" s="20" t="n">
        <f aca="false">JD10</f>
        <v>1270</v>
      </c>
      <c r="JF10" s="20" t="n">
        <f aca="false">JE10</f>
        <v>1270</v>
      </c>
      <c r="JG10" s="20" t="n">
        <f aca="false">JF10</f>
        <v>1270</v>
      </c>
      <c r="JH10" s="20" t="n">
        <f aca="false">JG10</f>
        <v>1270</v>
      </c>
      <c r="JI10" s="20" t="n">
        <f aca="false">JH10</f>
        <v>1270</v>
      </c>
      <c r="JJ10" s="20" t="n">
        <f aca="false">JI10</f>
        <v>1270</v>
      </c>
      <c r="JK10" s="20" t="n">
        <f aca="false">JJ10</f>
        <v>1270</v>
      </c>
      <c r="JL10" s="20" t="n">
        <f aca="false">JK10</f>
        <v>1270</v>
      </c>
      <c r="JM10" s="20" t="n">
        <f aca="false">JL10</f>
        <v>1270</v>
      </c>
      <c r="JN10" s="20" t="n">
        <f aca="false">JM10</f>
        <v>1270</v>
      </c>
      <c r="JO10" s="20" t="n">
        <f aca="false">JN10</f>
        <v>1270</v>
      </c>
      <c r="JP10" s="20" t="n">
        <f aca="false">JO10</f>
        <v>1270</v>
      </c>
      <c r="JQ10" s="20" t="n">
        <f aca="false">JP10</f>
        <v>1270</v>
      </c>
      <c r="JR10" s="20" t="n">
        <f aca="false">JQ10</f>
        <v>1270</v>
      </c>
      <c r="JS10" s="20" t="n">
        <f aca="false">JR10</f>
        <v>1270</v>
      </c>
      <c r="JT10" s="20" t="n">
        <f aca="false">JS10</f>
        <v>1270</v>
      </c>
      <c r="JU10" s="20" t="n">
        <f aca="false">JT10</f>
        <v>1270</v>
      </c>
      <c r="JV10" s="20" t="n">
        <f aca="false">JU10</f>
        <v>1270</v>
      </c>
      <c r="JW10" s="20" t="n">
        <f aca="false">JV10</f>
        <v>1270</v>
      </c>
      <c r="JX10" s="20" t="n">
        <f aca="false">JW10</f>
        <v>1270</v>
      </c>
      <c r="JY10" s="20" t="n">
        <f aca="false">JX10</f>
        <v>1270</v>
      </c>
      <c r="JZ10" s="20" t="n">
        <f aca="false">JY10</f>
        <v>1270</v>
      </c>
      <c r="KA10" s="20" t="n">
        <f aca="false">JZ10</f>
        <v>1270</v>
      </c>
      <c r="KB10" s="20" t="n">
        <f aca="false">KA10</f>
        <v>1270</v>
      </c>
      <c r="KC10" s="20" t="n">
        <f aca="false">KB10</f>
        <v>1270</v>
      </c>
      <c r="KD10" s="20" t="n">
        <f aca="false">KC10</f>
        <v>1270</v>
      </c>
      <c r="KE10" s="20" t="n">
        <f aca="false">KD10</f>
        <v>1270</v>
      </c>
      <c r="KF10" s="20" t="n">
        <f aca="false">KE10</f>
        <v>1270</v>
      </c>
      <c r="KG10" s="20" t="n">
        <f aca="false">KF10</f>
        <v>1270</v>
      </c>
      <c r="KH10" s="20" t="n">
        <f aca="false">KG10</f>
        <v>1270</v>
      </c>
      <c r="KI10" s="20" t="n">
        <f aca="false">KH10</f>
        <v>1270</v>
      </c>
      <c r="KJ10" s="20" t="n">
        <f aca="false">KI10</f>
        <v>1270</v>
      </c>
      <c r="KK10" s="20" t="n">
        <f aca="false">KJ10</f>
        <v>1270</v>
      </c>
      <c r="KL10" s="20" t="n">
        <f aca="false">KK10</f>
        <v>1270</v>
      </c>
      <c r="KM10" s="20" t="n">
        <f aca="false">KL10</f>
        <v>1270</v>
      </c>
      <c r="KN10" s="20" t="n">
        <f aca="false">KM10</f>
        <v>1270</v>
      </c>
      <c r="KO10" s="20" t="n">
        <f aca="false">KN10</f>
        <v>1270</v>
      </c>
      <c r="KP10" s="20" t="n">
        <f aca="false">KO10</f>
        <v>1270</v>
      </c>
      <c r="KQ10" s="20" t="n">
        <f aca="false">KP10</f>
        <v>1270</v>
      </c>
      <c r="KR10" s="20" t="n">
        <f aca="false">KQ10</f>
        <v>1270</v>
      </c>
      <c r="KS10" s="20" t="n">
        <f aca="false">KR10</f>
        <v>1270</v>
      </c>
      <c r="KT10" s="20" t="n">
        <f aca="false">KS10</f>
        <v>1270</v>
      </c>
      <c r="KU10" s="20" t="n">
        <f aca="false">KT10</f>
        <v>1270</v>
      </c>
      <c r="KV10" s="20" t="n">
        <f aca="false">KU10</f>
        <v>1270</v>
      </c>
      <c r="KW10" s="20" t="n">
        <f aca="false">KV10</f>
        <v>1270</v>
      </c>
      <c r="KX10" s="20" t="n">
        <f aca="false">KW10</f>
        <v>1270</v>
      </c>
      <c r="KY10" s="20" t="n">
        <f aca="false">KX10</f>
        <v>1270</v>
      </c>
      <c r="KZ10" s="20" t="n">
        <f aca="false">KY10</f>
        <v>1270</v>
      </c>
      <c r="LA10" s="20" t="n">
        <f aca="false">KZ10</f>
        <v>1270</v>
      </c>
      <c r="LB10" s="20" t="n">
        <f aca="false">LA10</f>
        <v>1270</v>
      </c>
      <c r="LC10" s="20" t="n">
        <f aca="false">LB10</f>
        <v>1270</v>
      </c>
      <c r="LD10" s="20" t="n">
        <f aca="false">LC10</f>
        <v>1270</v>
      </c>
      <c r="LE10" s="20" t="n">
        <f aca="false">LD10</f>
        <v>1270</v>
      </c>
      <c r="LF10" s="20" t="n">
        <f aca="false">LE10</f>
        <v>1270</v>
      </c>
      <c r="LG10" s="20" t="n">
        <f aca="false">LF10</f>
        <v>1270</v>
      </c>
      <c r="LH10" s="20" t="n">
        <f aca="false">LG10</f>
        <v>1270</v>
      </c>
      <c r="LI10" s="20" t="n">
        <f aca="false">LH10</f>
        <v>1270</v>
      </c>
      <c r="LJ10" s="20" t="n">
        <f aca="false">LI10</f>
        <v>1270</v>
      </c>
      <c r="LK10" s="20" t="n">
        <f aca="false">LJ10</f>
        <v>1270</v>
      </c>
      <c r="LL10" s="20" t="n">
        <f aca="false">LK10</f>
        <v>1270</v>
      </c>
      <c r="LM10" s="20" t="n">
        <f aca="false">LL10</f>
        <v>1270</v>
      </c>
      <c r="LN10" s="20" t="n">
        <f aca="false">LM10</f>
        <v>1270</v>
      </c>
      <c r="LO10" s="20" t="n">
        <f aca="false">LN10</f>
        <v>1270</v>
      </c>
      <c r="LP10" s="20" t="n">
        <f aca="false">LO10</f>
        <v>1270</v>
      </c>
      <c r="LQ10" s="20" t="n">
        <f aca="false">LP10</f>
        <v>1270</v>
      </c>
      <c r="LR10" s="20" t="n">
        <f aca="false">LQ10</f>
        <v>1270</v>
      </c>
      <c r="LS10" s="20" t="n">
        <f aca="false">LR10</f>
        <v>1270</v>
      </c>
      <c r="LT10" s="20" t="n">
        <f aca="false">LS10</f>
        <v>1270</v>
      </c>
      <c r="LU10" s="20" t="n">
        <f aca="false">LT10</f>
        <v>1270</v>
      </c>
      <c r="LV10" s="20" t="n">
        <f aca="false">LU10</f>
        <v>1270</v>
      </c>
      <c r="LW10" s="20" t="n">
        <f aca="false">LV10</f>
        <v>1270</v>
      </c>
      <c r="LX10" s="20" t="n">
        <f aca="false">LW10</f>
        <v>1270</v>
      </c>
      <c r="LY10" s="20" t="n">
        <f aca="false">LX10</f>
        <v>1270</v>
      </c>
      <c r="LZ10" s="20" t="n">
        <f aca="false">LY10</f>
        <v>1270</v>
      </c>
      <c r="MA10" s="20" t="n">
        <f aca="false">LZ10</f>
        <v>1270</v>
      </c>
      <c r="MB10" s="20" t="n">
        <f aca="false">MA10</f>
        <v>1270</v>
      </c>
      <c r="MC10" s="20" t="n">
        <f aca="false">MB10</f>
        <v>1270</v>
      </c>
      <c r="MD10" s="20" t="n">
        <f aca="false">MC10</f>
        <v>1270</v>
      </c>
      <c r="ME10" s="20" t="n">
        <f aca="false">IF(H_Direct=1,IF(BR10&lt;=0,I10-BR10*AKR9,I10-MIN(MIN(BR10*AKR9,H10+I10),I10)),I10)</f>
        <v>0</v>
      </c>
      <c r="MF10" s="20" t="n">
        <f aca="false">IF(H_Direct=1,IF(BS10&lt;=0,ME10-BS10*AKS9,ME10-MIN(MIN(BS10*AKS9,IR10+ME10),ME10)),ME10)</f>
        <v>0</v>
      </c>
      <c r="MG10" s="20" t="n">
        <f aca="false">IF(H_Direct=1,IF(BT10&lt;=0,MF10-BT10*AKT9,MF10-MIN(MIN(BT10*AKT9,IS10+MF10),MF10)),MF10)</f>
        <v>0</v>
      </c>
      <c r="MH10" s="20" t="n">
        <f aca="false">IF(H_Direct=1,IF(BU10&lt;=0,MG10-BU10*(P10+S10),MG10-MIN(MIN(BU10*(P10+S10),IT10+MG10),MG10)),MG10)</f>
        <v>0</v>
      </c>
      <c r="MI10" s="20" t="n">
        <f aca="false">MH10</f>
        <v>0</v>
      </c>
      <c r="MJ10" s="20" t="n">
        <f aca="false">MI10</f>
        <v>0</v>
      </c>
      <c r="MK10" s="20" t="n">
        <f aca="false">MJ10</f>
        <v>0</v>
      </c>
      <c r="ML10" s="20" t="n">
        <f aca="false">MK10</f>
        <v>0</v>
      </c>
      <c r="MM10" s="20" t="n">
        <f aca="false">ML10</f>
        <v>0</v>
      </c>
      <c r="MN10" s="20" t="n">
        <f aca="false">MM10</f>
        <v>0</v>
      </c>
      <c r="MO10" s="20" t="n">
        <f aca="false">MN10</f>
        <v>0</v>
      </c>
      <c r="MP10" s="20" t="n">
        <f aca="false">MO10</f>
        <v>0</v>
      </c>
      <c r="MQ10" s="20" t="n">
        <f aca="false">MP10</f>
        <v>0</v>
      </c>
      <c r="MR10" s="20" t="n">
        <f aca="false">MQ10</f>
        <v>0</v>
      </c>
      <c r="MS10" s="20" t="n">
        <f aca="false">MR10</f>
        <v>0</v>
      </c>
      <c r="MT10" s="20" t="n">
        <f aca="false">MS10</f>
        <v>0</v>
      </c>
      <c r="MU10" s="20" t="n">
        <f aca="false">MT10</f>
        <v>0</v>
      </c>
      <c r="MV10" s="20" t="n">
        <f aca="false">MU10</f>
        <v>0</v>
      </c>
      <c r="MW10" s="20" t="n">
        <f aca="false">MV10</f>
        <v>0</v>
      </c>
      <c r="MX10" s="20" t="n">
        <f aca="false">MW10</f>
        <v>0</v>
      </c>
      <c r="MY10" s="20" t="n">
        <f aca="false">MX10</f>
        <v>0</v>
      </c>
      <c r="MZ10" s="20" t="n">
        <f aca="false">MY10</f>
        <v>0</v>
      </c>
      <c r="NA10" s="20" t="n">
        <f aca="false">MZ10</f>
        <v>0</v>
      </c>
      <c r="NB10" s="20" t="n">
        <f aca="false">NA10</f>
        <v>0</v>
      </c>
      <c r="NC10" s="20" t="n">
        <f aca="false">NB10</f>
        <v>0</v>
      </c>
      <c r="ND10" s="20" t="n">
        <f aca="false">NC10</f>
        <v>0</v>
      </c>
      <c r="NE10" s="20" t="n">
        <f aca="false">ND10</f>
        <v>0</v>
      </c>
      <c r="NF10" s="20" t="n">
        <f aca="false">NE10</f>
        <v>0</v>
      </c>
      <c r="NG10" s="20" t="n">
        <f aca="false">NF10</f>
        <v>0</v>
      </c>
      <c r="NH10" s="20" t="n">
        <f aca="false">NG10</f>
        <v>0</v>
      </c>
      <c r="NI10" s="20" t="n">
        <f aca="false">NH10</f>
        <v>0</v>
      </c>
      <c r="NJ10" s="20" t="n">
        <f aca="false">NI10</f>
        <v>0</v>
      </c>
      <c r="NK10" s="20" t="n">
        <f aca="false">NJ10</f>
        <v>0</v>
      </c>
      <c r="NL10" s="20" t="n">
        <f aca="false">NK10</f>
        <v>0</v>
      </c>
      <c r="NM10" s="20" t="n">
        <f aca="false">NL10</f>
        <v>0</v>
      </c>
      <c r="NN10" s="20" t="n">
        <f aca="false">NM10</f>
        <v>0</v>
      </c>
      <c r="NO10" s="20" t="n">
        <f aca="false">NN10</f>
        <v>0</v>
      </c>
      <c r="NP10" s="20" t="n">
        <f aca="false">NO10</f>
        <v>0</v>
      </c>
      <c r="NQ10" s="20" t="n">
        <f aca="false">NP10</f>
        <v>0</v>
      </c>
      <c r="NR10" s="20" t="n">
        <f aca="false">NQ10</f>
        <v>0</v>
      </c>
      <c r="NS10" s="20" t="n">
        <f aca="false">NR10</f>
        <v>0</v>
      </c>
      <c r="NT10" s="20" t="n">
        <f aca="false">NS10</f>
        <v>0</v>
      </c>
      <c r="NU10" s="20" t="n">
        <f aca="false">NT10</f>
        <v>0</v>
      </c>
      <c r="NV10" s="20" t="n">
        <f aca="false">NU10</f>
        <v>0</v>
      </c>
      <c r="NW10" s="20" t="n">
        <f aca="false">NV10</f>
        <v>0</v>
      </c>
      <c r="NX10" s="20" t="n">
        <f aca="false">NW10</f>
        <v>0</v>
      </c>
      <c r="NY10" s="20" t="n">
        <f aca="false">NX10</f>
        <v>0</v>
      </c>
      <c r="NZ10" s="20" t="n">
        <f aca="false">NY10</f>
        <v>0</v>
      </c>
      <c r="OA10" s="20" t="n">
        <f aca="false">NZ10</f>
        <v>0</v>
      </c>
      <c r="OB10" s="20" t="n">
        <f aca="false">OA10</f>
        <v>0</v>
      </c>
      <c r="OC10" s="20" t="n">
        <f aca="false">OB10</f>
        <v>0</v>
      </c>
      <c r="OD10" s="20" t="n">
        <f aca="false">OC10</f>
        <v>0</v>
      </c>
      <c r="OE10" s="20" t="n">
        <f aca="false">OD10</f>
        <v>0</v>
      </c>
      <c r="OF10" s="20" t="n">
        <f aca="false">OE10</f>
        <v>0</v>
      </c>
      <c r="OG10" s="20" t="n">
        <f aca="false">OF10</f>
        <v>0</v>
      </c>
      <c r="OH10" s="20" t="n">
        <f aca="false">OG10</f>
        <v>0</v>
      </c>
      <c r="OI10" s="20" t="n">
        <f aca="false">OH10</f>
        <v>0</v>
      </c>
      <c r="OJ10" s="20" t="n">
        <f aca="false">OI10</f>
        <v>0</v>
      </c>
      <c r="OK10" s="20" t="n">
        <f aca="false">OJ10</f>
        <v>0</v>
      </c>
      <c r="OL10" s="20" t="n">
        <f aca="false">OK10</f>
        <v>0</v>
      </c>
      <c r="OM10" s="20" t="n">
        <f aca="false">OL10</f>
        <v>0</v>
      </c>
      <c r="ON10" s="20" t="n">
        <f aca="false">OM10</f>
        <v>0</v>
      </c>
      <c r="OO10" s="20" t="n">
        <f aca="false">ON10</f>
        <v>0</v>
      </c>
      <c r="OP10" s="20" t="n">
        <f aca="false">OO10</f>
        <v>0</v>
      </c>
      <c r="OQ10" s="20" t="n">
        <f aca="false">OP10</f>
        <v>0</v>
      </c>
      <c r="OR10" s="20" t="n">
        <f aca="false">OQ10</f>
        <v>0</v>
      </c>
      <c r="OS10" s="20" t="n">
        <f aca="false">OR10</f>
        <v>0</v>
      </c>
      <c r="OT10" s="20" t="n">
        <f aca="false">OS10</f>
        <v>0</v>
      </c>
      <c r="OU10" s="20" t="n">
        <f aca="false">OT10</f>
        <v>0</v>
      </c>
      <c r="OV10" s="20" t="n">
        <f aca="false">OU10</f>
        <v>0</v>
      </c>
      <c r="OW10" s="20" t="n">
        <f aca="false">OV10</f>
        <v>0</v>
      </c>
      <c r="OX10" s="20" t="n">
        <f aca="false">OW10</f>
        <v>0</v>
      </c>
      <c r="OY10" s="20" t="n">
        <f aca="false">OX10</f>
        <v>0</v>
      </c>
      <c r="OZ10" s="20" t="n">
        <f aca="false">OY10</f>
        <v>0</v>
      </c>
      <c r="PA10" s="20" t="n">
        <f aca="false">OZ10</f>
        <v>0</v>
      </c>
      <c r="PB10" s="20" t="n">
        <f aca="false">PA10</f>
        <v>0</v>
      </c>
      <c r="PC10" s="20" t="n">
        <f aca="false">PB10</f>
        <v>0</v>
      </c>
      <c r="PD10" s="20" t="n">
        <f aca="false">PC10</f>
        <v>0</v>
      </c>
      <c r="PE10" s="20" t="n">
        <f aca="false">PD10</f>
        <v>0</v>
      </c>
      <c r="PF10" s="20" t="n">
        <f aca="false">PE10</f>
        <v>0</v>
      </c>
      <c r="PG10" s="20" t="n">
        <f aca="false">PF10</f>
        <v>0</v>
      </c>
      <c r="PH10" s="20" t="n">
        <f aca="false">PG10</f>
        <v>0</v>
      </c>
      <c r="PI10" s="20" t="n">
        <f aca="false">PH10</f>
        <v>0</v>
      </c>
      <c r="PJ10" s="20" t="n">
        <f aca="false">PI10</f>
        <v>0</v>
      </c>
      <c r="PK10" s="20" t="n">
        <f aca="false">PJ10</f>
        <v>0</v>
      </c>
      <c r="PL10" s="20" t="n">
        <f aca="false">PK10</f>
        <v>0</v>
      </c>
      <c r="PM10" s="20" t="n">
        <f aca="false">PL10</f>
        <v>0</v>
      </c>
      <c r="PN10" s="20" t="n">
        <f aca="false">PM10</f>
        <v>0</v>
      </c>
      <c r="PO10" s="20" t="n">
        <f aca="false">PN10</f>
        <v>0</v>
      </c>
      <c r="PP10" s="20" t="n">
        <f aca="false">PO10</f>
        <v>0</v>
      </c>
      <c r="PQ10" s="20" t="n">
        <f aca="false">PP10</f>
        <v>0</v>
      </c>
      <c r="PR10" s="20" t="n">
        <f aca="false">IF(H_Direct=1,IF(AKR9&lt;=0,0,IF(BR10&lt;=0,MIN(MAX(0,AB10),AKR9),MIN(MAX(0,AB10),AKR9-G10*MAX(0,BR10*AKR9-(H10+I10))))),MIN(FE10,MAX(0,AB10)))</f>
        <v>0</v>
      </c>
      <c r="PS10" s="20" t="n">
        <f aca="false">IF(H_Direct=1,IF(AKS9&lt;=0,0,IF(BS10&lt;=0,MIN(MAX(0,AB10-SUM(PR10:PR10)),AKS9),MIN(MAX(0,AB10-SUM(PR10:PR10)),AKS9-G10*MAX(0,BS10*AKS9-(WR10+AAE10))))),MIN(FF10,MAX(0,AB10-SUM(PR10:PR10))))</f>
        <v>0</v>
      </c>
      <c r="PT10" s="20" t="n">
        <f aca="false">IF(H_Direct=1,IF(AKT9&lt;=0,0,IF(BT10&lt;=0,MIN(MAX(0,AB10-SUM(PR10:PS10)),AKT9),MIN(MAX(0,AB10-SUM(PR10:PS10)),AKT9-G10*MAX(0,BT10*AKT9-(WS10+AAF10))))),MIN(FG10,MAX(0,AB10-SUM(PR10:PS10))))</f>
        <v>0</v>
      </c>
      <c r="PU10" s="20" t="n">
        <f aca="false">IF(H_Direct=1,IF((P10+S10)&lt;=0,0,IF(BU10&lt;=0,MIN(MAX(0,AB10-SUM(PR10:PT10)),(P10+S10)),MIN(MAX(0,AB10-SUM(PR10:PT10)),(P10+S10)-G10*MAX(0,BU10*(P10+S10)-(WT10+AAG10))))),MIN(FH10,MAX(0,AB10-SUM(PR10:PT10))))</f>
        <v>0</v>
      </c>
      <c r="PV10" s="20" t="n">
        <v>0</v>
      </c>
      <c r="PW10" s="20" t="n">
        <v>0</v>
      </c>
      <c r="PX10" s="20" t="n">
        <v>0</v>
      </c>
      <c r="PY10" s="20" t="n">
        <v>0</v>
      </c>
      <c r="PZ10" s="20" t="n">
        <v>0</v>
      </c>
      <c r="QA10" s="20" t="n">
        <v>0</v>
      </c>
      <c r="QB10" s="20" t="n">
        <v>0</v>
      </c>
      <c r="QC10" s="20" t="n">
        <v>0</v>
      </c>
      <c r="QD10" s="20" t="n">
        <v>0</v>
      </c>
      <c r="QE10" s="20" t="n">
        <v>0</v>
      </c>
      <c r="QF10" s="20" t="n">
        <v>0</v>
      </c>
      <c r="QG10" s="20" t="n">
        <v>0</v>
      </c>
      <c r="QH10" s="20" t="n">
        <v>0</v>
      </c>
      <c r="QI10" s="20" t="n">
        <v>0</v>
      </c>
      <c r="QJ10" s="20" t="n">
        <v>0</v>
      </c>
      <c r="QK10" s="20" t="n">
        <v>0</v>
      </c>
      <c r="QL10" s="20" t="n">
        <v>0</v>
      </c>
      <c r="QM10" s="20" t="n">
        <v>0</v>
      </c>
      <c r="QN10" s="20" t="n">
        <v>0</v>
      </c>
      <c r="QO10" s="20" t="n">
        <v>0</v>
      </c>
      <c r="QP10" s="20" t="n">
        <v>0</v>
      </c>
      <c r="QQ10" s="20" t="n">
        <v>0</v>
      </c>
      <c r="QR10" s="20" t="n">
        <v>0</v>
      </c>
      <c r="QS10" s="20" t="n">
        <v>0</v>
      </c>
      <c r="QT10" s="20" t="n">
        <v>0</v>
      </c>
      <c r="QU10" s="20" t="n">
        <v>0</v>
      </c>
      <c r="QV10" s="20" t="n">
        <v>0</v>
      </c>
      <c r="QW10" s="20" t="n">
        <v>0</v>
      </c>
      <c r="QX10" s="20" t="n">
        <v>0</v>
      </c>
      <c r="QY10" s="20" t="n">
        <v>0</v>
      </c>
      <c r="QZ10" s="20" t="n">
        <v>0</v>
      </c>
      <c r="RA10" s="20" t="n">
        <v>0</v>
      </c>
      <c r="RB10" s="20" t="n">
        <v>0</v>
      </c>
      <c r="RC10" s="20" t="n">
        <v>0</v>
      </c>
      <c r="RD10" s="20" t="n">
        <v>0</v>
      </c>
      <c r="RE10" s="20" t="n">
        <v>0</v>
      </c>
      <c r="RF10" s="20" t="n">
        <v>0</v>
      </c>
      <c r="RG10" s="20" t="n">
        <v>0</v>
      </c>
      <c r="RH10" s="20" t="n">
        <v>0</v>
      </c>
      <c r="RI10" s="20" t="n">
        <v>0</v>
      </c>
      <c r="RJ10" s="20" t="n">
        <v>0</v>
      </c>
      <c r="RK10" s="20" t="n">
        <v>0</v>
      </c>
      <c r="RL10" s="20" t="n">
        <v>0</v>
      </c>
      <c r="RM10" s="20" t="n">
        <v>0</v>
      </c>
      <c r="RN10" s="20" t="n">
        <v>0</v>
      </c>
      <c r="RO10" s="20" t="n">
        <v>0</v>
      </c>
      <c r="RP10" s="20" t="n">
        <v>0</v>
      </c>
      <c r="RQ10" s="20" t="n">
        <v>0</v>
      </c>
      <c r="RR10" s="20" t="n">
        <v>0</v>
      </c>
      <c r="RS10" s="20" t="n">
        <v>0</v>
      </c>
      <c r="RT10" s="20" t="n">
        <v>0</v>
      </c>
      <c r="RU10" s="20" t="n">
        <v>0</v>
      </c>
      <c r="RV10" s="20" t="n">
        <v>0</v>
      </c>
      <c r="RW10" s="20" t="n">
        <v>0</v>
      </c>
      <c r="RX10" s="20" t="n">
        <v>0</v>
      </c>
      <c r="RY10" s="20" t="n">
        <v>0</v>
      </c>
      <c r="RZ10" s="20" t="n">
        <v>0</v>
      </c>
      <c r="SA10" s="20" t="n">
        <v>0</v>
      </c>
      <c r="SB10" s="20" t="n">
        <v>0</v>
      </c>
      <c r="SC10" s="20" t="n">
        <v>0</v>
      </c>
      <c r="SD10" s="20" t="n">
        <v>0</v>
      </c>
      <c r="SE10" s="20" t="n">
        <v>0</v>
      </c>
      <c r="SF10" s="20" t="n">
        <v>0</v>
      </c>
      <c r="SG10" s="20" t="n">
        <v>0</v>
      </c>
      <c r="SH10" s="20" t="n">
        <v>0</v>
      </c>
      <c r="SI10" s="20" t="n">
        <v>0</v>
      </c>
      <c r="SJ10" s="20" t="n">
        <v>0</v>
      </c>
      <c r="SK10" s="20" t="n">
        <v>0</v>
      </c>
      <c r="SL10" s="20" t="n">
        <v>0</v>
      </c>
      <c r="SM10" s="20" t="n">
        <v>0</v>
      </c>
      <c r="SN10" s="20" t="n">
        <v>0</v>
      </c>
      <c r="SO10" s="20" t="n">
        <v>0</v>
      </c>
      <c r="SP10" s="20" t="n">
        <v>0</v>
      </c>
      <c r="SQ10" s="20" t="n">
        <v>0</v>
      </c>
      <c r="SR10" s="20" t="n">
        <v>0</v>
      </c>
      <c r="SS10" s="20" t="n">
        <v>0</v>
      </c>
      <c r="ST10" s="20" t="n">
        <v>0</v>
      </c>
      <c r="SU10" s="20" t="n">
        <v>0</v>
      </c>
      <c r="SV10" s="20" t="n">
        <v>0</v>
      </c>
      <c r="SW10" s="20" t="n">
        <v>0</v>
      </c>
      <c r="SX10" s="20" t="n">
        <v>0</v>
      </c>
      <c r="SY10" s="20" t="n">
        <v>0</v>
      </c>
      <c r="SZ10" s="20" t="n">
        <v>0</v>
      </c>
      <c r="TA10" s="20" t="n">
        <v>0</v>
      </c>
      <c r="TB10" s="20" t="n">
        <v>0</v>
      </c>
      <c r="TC10" s="20" t="n">
        <v>0</v>
      </c>
      <c r="TD10" s="20" t="n">
        <v>0</v>
      </c>
      <c r="TE10" s="20" t="n">
        <f aca="false">IF(AKR9&lt;=0,0,IF(H_Direct=1,IF(BR10&lt;=0,PR10,IF(PR10&lt;=(H10+I10)/BR10,PR10,(PR10-G10*(H10+I10))/(1-G10*BR10))),PR10/(1-MAX(0,BR10)*H_Exit)))</f>
        <v>0</v>
      </c>
      <c r="TF10" s="20" t="n">
        <f aca="false">IF(AKS9&lt;=0,0,IF(H_Direct=1,IF(BS10&lt;=0,PS10,IF(PS10&lt;=(WR10+AAE10)/BS10,PS10,(PS10-G10*(WR10+AAE10))/(1-G10*BS10))),PS10/(1-MAX(0,BS10)*H_Exit)))</f>
        <v>0</v>
      </c>
      <c r="TG10" s="20" t="n">
        <f aca="false">IF(AKT9&lt;=0,0,IF(H_Direct=1,IF(BT10&lt;=0,PT10,IF(PT10&lt;=(WS10+AAF10)/BT10,PT10,(PT10-G10*(WS10+AAF10))/(1-G10*BT10))),PT10/(1-MAX(0,BT10)*H_Exit)))</f>
        <v>0</v>
      </c>
      <c r="TH10" s="20" t="n">
        <f aca="false">IF((P10+S10)&lt;=0,0,IF(H_Direct=1,IF(BU10&lt;=0,PU10,IF(PU10&lt;=(WT10+AAG10)/BU10,PU10,(PU10-G10*(WT10+AAG10))/(1-G10*BU10))),PU10/(1-MAX(0,BU10)*H_Exit)))</f>
        <v>0</v>
      </c>
      <c r="TI10" s="20" t="n">
        <v>0</v>
      </c>
      <c r="TJ10" s="20" t="n">
        <v>0</v>
      </c>
      <c r="TK10" s="20" t="n">
        <v>0</v>
      </c>
      <c r="TL10" s="20" t="n">
        <v>0</v>
      </c>
      <c r="TM10" s="20" t="n">
        <v>0</v>
      </c>
      <c r="TN10" s="20" t="n">
        <v>0</v>
      </c>
      <c r="TO10" s="20" t="n">
        <v>0</v>
      </c>
      <c r="TP10" s="20" t="n">
        <v>0</v>
      </c>
      <c r="TQ10" s="20" t="n">
        <v>0</v>
      </c>
      <c r="TR10" s="20" t="n">
        <v>0</v>
      </c>
      <c r="TS10" s="20" t="n">
        <v>0</v>
      </c>
      <c r="TT10" s="20" t="n">
        <v>0</v>
      </c>
      <c r="TU10" s="20" t="n">
        <v>0</v>
      </c>
      <c r="TV10" s="20" t="n">
        <v>0</v>
      </c>
      <c r="TW10" s="20" t="n">
        <v>0</v>
      </c>
      <c r="TX10" s="20" t="n">
        <v>0</v>
      </c>
      <c r="TY10" s="20" t="n">
        <v>0</v>
      </c>
      <c r="TZ10" s="20" t="n">
        <v>0</v>
      </c>
      <c r="UA10" s="20" t="n">
        <v>0</v>
      </c>
      <c r="UB10" s="20" t="n">
        <v>0</v>
      </c>
      <c r="UC10" s="20" t="n">
        <v>0</v>
      </c>
      <c r="UD10" s="20" t="n">
        <v>0</v>
      </c>
      <c r="UE10" s="20" t="n">
        <v>0</v>
      </c>
      <c r="UF10" s="20" t="n">
        <v>0</v>
      </c>
      <c r="UG10" s="20" t="n">
        <v>0</v>
      </c>
      <c r="UH10" s="20" t="n">
        <v>0</v>
      </c>
      <c r="UI10" s="20" t="n">
        <v>0</v>
      </c>
      <c r="UJ10" s="20" t="n">
        <v>0</v>
      </c>
      <c r="UK10" s="20" t="n">
        <v>0</v>
      </c>
      <c r="UL10" s="20" t="n">
        <v>0</v>
      </c>
      <c r="UM10" s="20" t="n">
        <v>0</v>
      </c>
      <c r="UN10" s="20" t="n">
        <v>0</v>
      </c>
      <c r="UO10" s="20" t="n">
        <v>0</v>
      </c>
      <c r="UP10" s="20" t="n">
        <v>0</v>
      </c>
      <c r="UQ10" s="20" t="n">
        <v>0</v>
      </c>
      <c r="UR10" s="20" t="n">
        <v>0</v>
      </c>
      <c r="US10" s="20" t="n">
        <v>0</v>
      </c>
      <c r="UT10" s="20" t="n">
        <v>0</v>
      </c>
      <c r="UU10" s="20" t="n">
        <v>0</v>
      </c>
      <c r="UV10" s="20" t="n">
        <v>0</v>
      </c>
      <c r="UW10" s="20" t="n">
        <v>0</v>
      </c>
      <c r="UX10" s="20" t="n">
        <v>0</v>
      </c>
      <c r="UY10" s="20" t="n">
        <v>0</v>
      </c>
      <c r="UZ10" s="20" t="n">
        <v>0</v>
      </c>
      <c r="VA10" s="20" t="n">
        <v>0</v>
      </c>
      <c r="VB10" s="20" t="n">
        <v>0</v>
      </c>
      <c r="VC10" s="20" t="n">
        <v>0</v>
      </c>
      <c r="VD10" s="20" t="n">
        <v>0</v>
      </c>
      <c r="VE10" s="20" t="n">
        <v>0</v>
      </c>
      <c r="VF10" s="20" t="n">
        <v>0</v>
      </c>
      <c r="VG10" s="20" t="n">
        <v>0</v>
      </c>
      <c r="VH10" s="20" t="n">
        <v>0</v>
      </c>
      <c r="VI10" s="20" t="n">
        <v>0</v>
      </c>
      <c r="VJ10" s="20" t="n">
        <v>0</v>
      </c>
      <c r="VK10" s="20" t="n">
        <v>0</v>
      </c>
      <c r="VL10" s="20" t="n">
        <v>0</v>
      </c>
      <c r="VM10" s="20" t="n">
        <v>0</v>
      </c>
      <c r="VN10" s="20" t="n">
        <v>0</v>
      </c>
      <c r="VO10" s="20" t="n">
        <v>0</v>
      </c>
      <c r="VP10" s="20" t="n">
        <v>0</v>
      </c>
      <c r="VQ10" s="20" t="n">
        <v>0</v>
      </c>
      <c r="VR10" s="20" t="n">
        <v>0</v>
      </c>
      <c r="VS10" s="20" t="n">
        <v>0</v>
      </c>
      <c r="VT10" s="20" t="n">
        <v>0</v>
      </c>
      <c r="VU10" s="20" t="n">
        <v>0</v>
      </c>
      <c r="VV10" s="20" t="n">
        <v>0</v>
      </c>
      <c r="VW10" s="20" t="n">
        <v>0</v>
      </c>
      <c r="VX10" s="20" t="n">
        <v>0</v>
      </c>
      <c r="VY10" s="20" t="n">
        <v>0</v>
      </c>
      <c r="VZ10" s="20" t="n">
        <v>0</v>
      </c>
      <c r="WA10" s="20" t="n">
        <v>0</v>
      </c>
      <c r="WB10" s="20" t="n">
        <v>0</v>
      </c>
      <c r="WC10" s="20" t="n">
        <v>0</v>
      </c>
      <c r="WD10" s="20" t="n">
        <v>0</v>
      </c>
      <c r="WE10" s="20" t="n">
        <v>0</v>
      </c>
      <c r="WF10" s="20" t="n">
        <v>0</v>
      </c>
      <c r="WG10" s="20" t="n">
        <v>0</v>
      </c>
      <c r="WH10" s="20" t="n">
        <v>0</v>
      </c>
      <c r="WI10" s="20" t="n">
        <v>0</v>
      </c>
      <c r="WJ10" s="20" t="n">
        <v>0</v>
      </c>
      <c r="WK10" s="20" t="n">
        <v>0</v>
      </c>
      <c r="WL10" s="20" t="n">
        <v>0</v>
      </c>
      <c r="WM10" s="20" t="n">
        <v>0</v>
      </c>
      <c r="WN10" s="20" t="n">
        <v>0</v>
      </c>
      <c r="WO10" s="20" t="n">
        <v>0</v>
      </c>
      <c r="WP10" s="20" t="n">
        <v>0</v>
      </c>
      <c r="WQ10" s="20" t="n">
        <v>0</v>
      </c>
      <c r="WR10" s="20" t="n">
        <f aca="false">IF(AND(H_Direct=1,BR10&gt;0),MAX(0,H10-(MIN(BR10*TE10,(H10+I10))-MIN(MIN(BR10*TE10,(H10+I10)),I10))),H10)</f>
        <v>1270</v>
      </c>
      <c r="WS10" s="20" t="n">
        <f aca="false">IF(AND(H_Direct=1,BS10&gt;0),MAX(0,WR10-(MIN(BS10*TF10,(WR10+AAE10))-MIN(MIN(BS10*TF10,(WR10+AAE10)),AAE10))),WR10)</f>
        <v>1270</v>
      </c>
      <c r="WT10" s="20" t="n">
        <f aca="false">IF(AND(H_Direct=1,BT10&gt;0),MAX(0,WS10-(MIN(BT10*TG10,(WS10+AAF10))-MIN(MIN(BT10*TG10,(WS10+AAF10)),AAF10))),WS10)</f>
        <v>1270</v>
      </c>
      <c r="WU10" s="20" t="n">
        <f aca="false">IF(AND(H_Direct=1,BU10&gt;0),MAX(0,WT10-(MIN(BU10*TH10,(WT10+AAG10))-MIN(MIN(BU10*TH10,(WT10+AAG10)),AAG10))),WT10)</f>
        <v>1270</v>
      </c>
      <c r="WV10" s="20" t="n">
        <f aca="false">WU10</f>
        <v>1270</v>
      </c>
      <c r="WW10" s="20" t="n">
        <f aca="false">WV10</f>
        <v>1270</v>
      </c>
      <c r="WX10" s="20" t="n">
        <f aca="false">WW10</f>
        <v>1270</v>
      </c>
      <c r="WY10" s="20" t="n">
        <f aca="false">WX10</f>
        <v>1270</v>
      </c>
      <c r="WZ10" s="20" t="n">
        <f aca="false">WY10</f>
        <v>1270</v>
      </c>
      <c r="XA10" s="20" t="n">
        <f aca="false">WZ10</f>
        <v>1270</v>
      </c>
      <c r="XB10" s="20" t="n">
        <f aca="false">XA10</f>
        <v>1270</v>
      </c>
      <c r="XC10" s="20" t="n">
        <f aca="false">XB10</f>
        <v>1270</v>
      </c>
      <c r="XD10" s="20" t="n">
        <f aca="false">XC10</f>
        <v>1270</v>
      </c>
      <c r="XE10" s="20" t="n">
        <f aca="false">XD10</f>
        <v>1270</v>
      </c>
      <c r="XF10" s="20" t="n">
        <f aca="false">XE10</f>
        <v>1270</v>
      </c>
      <c r="XG10" s="20" t="n">
        <f aca="false">XF10</f>
        <v>1270</v>
      </c>
      <c r="XH10" s="20" t="n">
        <f aca="false">XG10</f>
        <v>1270</v>
      </c>
      <c r="XI10" s="20" t="n">
        <f aca="false">XH10</f>
        <v>1270</v>
      </c>
      <c r="XJ10" s="20" t="n">
        <f aca="false">XI10</f>
        <v>1270</v>
      </c>
      <c r="XK10" s="20" t="n">
        <f aca="false">XJ10</f>
        <v>1270</v>
      </c>
      <c r="XL10" s="20" t="n">
        <f aca="false">XK10</f>
        <v>1270</v>
      </c>
      <c r="XM10" s="20" t="n">
        <f aca="false">XL10</f>
        <v>1270</v>
      </c>
      <c r="XN10" s="20" t="n">
        <f aca="false">XM10</f>
        <v>1270</v>
      </c>
      <c r="XO10" s="20" t="n">
        <f aca="false">XN10</f>
        <v>1270</v>
      </c>
      <c r="XP10" s="20" t="n">
        <f aca="false">XO10</f>
        <v>1270</v>
      </c>
      <c r="XQ10" s="20" t="n">
        <f aca="false">XP10</f>
        <v>1270</v>
      </c>
      <c r="XR10" s="20" t="n">
        <f aca="false">XQ10</f>
        <v>1270</v>
      </c>
      <c r="XS10" s="20" t="n">
        <f aca="false">XR10</f>
        <v>1270</v>
      </c>
      <c r="XT10" s="20" t="n">
        <f aca="false">XS10</f>
        <v>1270</v>
      </c>
      <c r="XU10" s="20" t="n">
        <f aca="false">XT10</f>
        <v>1270</v>
      </c>
      <c r="XV10" s="20" t="n">
        <f aca="false">XU10</f>
        <v>1270</v>
      </c>
      <c r="XW10" s="20" t="n">
        <f aca="false">XV10</f>
        <v>1270</v>
      </c>
      <c r="XX10" s="20" t="n">
        <f aca="false">XW10</f>
        <v>1270</v>
      </c>
      <c r="XY10" s="20" t="n">
        <f aca="false">XX10</f>
        <v>1270</v>
      </c>
      <c r="XZ10" s="20" t="n">
        <f aca="false">XY10</f>
        <v>1270</v>
      </c>
      <c r="YA10" s="20" t="n">
        <f aca="false">XZ10</f>
        <v>1270</v>
      </c>
      <c r="YB10" s="20" t="n">
        <f aca="false">YA10</f>
        <v>1270</v>
      </c>
      <c r="YC10" s="20" t="n">
        <f aca="false">YB10</f>
        <v>1270</v>
      </c>
      <c r="YD10" s="20" t="n">
        <f aca="false">YC10</f>
        <v>1270</v>
      </c>
      <c r="YE10" s="20" t="n">
        <f aca="false">YD10</f>
        <v>1270</v>
      </c>
      <c r="YF10" s="20" t="n">
        <f aca="false">YE10</f>
        <v>1270</v>
      </c>
      <c r="YG10" s="20" t="n">
        <f aca="false">YF10</f>
        <v>1270</v>
      </c>
      <c r="YH10" s="20" t="n">
        <f aca="false">YG10</f>
        <v>1270</v>
      </c>
      <c r="YI10" s="20" t="n">
        <f aca="false">YH10</f>
        <v>1270</v>
      </c>
      <c r="YJ10" s="20" t="n">
        <f aca="false">YI10</f>
        <v>1270</v>
      </c>
      <c r="YK10" s="20" t="n">
        <f aca="false">YJ10</f>
        <v>1270</v>
      </c>
      <c r="YL10" s="20" t="n">
        <f aca="false">YK10</f>
        <v>1270</v>
      </c>
      <c r="YM10" s="20" t="n">
        <f aca="false">YL10</f>
        <v>1270</v>
      </c>
      <c r="YN10" s="20" t="n">
        <f aca="false">YM10</f>
        <v>1270</v>
      </c>
      <c r="YO10" s="20" t="n">
        <f aca="false">YN10</f>
        <v>1270</v>
      </c>
      <c r="YP10" s="20" t="n">
        <f aca="false">YO10</f>
        <v>1270</v>
      </c>
      <c r="YQ10" s="20" t="n">
        <f aca="false">YP10</f>
        <v>1270</v>
      </c>
      <c r="YR10" s="20" t="n">
        <f aca="false">YQ10</f>
        <v>1270</v>
      </c>
      <c r="YS10" s="20" t="n">
        <f aca="false">YR10</f>
        <v>1270</v>
      </c>
      <c r="YT10" s="20" t="n">
        <f aca="false">YS10</f>
        <v>1270</v>
      </c>
      <c r="YU10" s="20" t="n">
        <f aca="false">YT10</f>
        <v>1270</v>
      </c>
      <c r="YV10" s="20" t="n">
        <f aca="false">YU10</f>
        <v>1270</v>
      </c>
      <c r="YW10" s="20" t="n">
        <f aca="false">YV10</f>
        <v>1270</v>
      </c>
      <c r="YX10" s="20" t="n">
        <f aca="false">YW10</f>
        <v>1270</v>
      </c>
      <c r="YY10" s="20" t="n">
        <f aca="false">YX10</f>
        <v>1270</v>
      </c>
      <c r="YZ10" s="20" t="n">
        <f aca="false">YY10</f>
        <v>1270</v>
      </c>
      <c r="ZA10" s="20" t="n">
        <f aca="false">YZ10</f>
        <v>1270</v>
      </c>
      <c r="ZB10" s="20" t="n">
        <f aca="false">ZA10</f>
        <v>1270</v>
      </c>
      <c r="ZC10" s="20" t="n">
        <f aca="false">ZB10</f>
        <v>1270</v>
      </c>
      <c r="ZD10" s="20" t="n">
        <f aca="false">ZC10</f>
        <v>1270</v>
      </c>
      <c r="ZE10" s="20" t="n">
        <f aca="false">ZD10</f>
        <v>1270</v>
      </c>
      <c r="ZF10" s="20" t="n">
        <f aca="false">ZE10</f>
        <v>1270</v>
      </c>
      <c r="ZG10" s="20" t="n">
        <f aca="false">ZF10</f>
        <v>1270</v>
      </c>
      <c r="ZH10" s="20" t="n">
        <f aca="false">ZG10</f>
        <v>1270</v>
      </c>
      <c r="ZI10" s="20" t="n">
        <f aca="false">ZH10</f>
        <v>1270</v>
      </c>
      <c r="ZJ10" s="20" t="n">
        <f aca="false">ZI10</f>
        <v>1270</v>
      </c>
      <c r="ZK10" s="20" t="n">
        <f aca="false">ZJ10</f>
        <v>1270</v>
      </c>
      <c r="ZL10" s="20" t="n">
        <f aca="false">ZK10</f>
        <v>1270</v>
      </c>
      <c r="ZM10" s="20" t="n">
        <f aca="false">ZL10</f>
        <v>1270</v>
      </c>
      <c r="ZN10" s="20" t="n">
        <f aca="false">ZM10</f>
        <v>1270</v>
      </c>
      <c r="ZO10" s="20" t="n">
        <f aca="false">ZN10</f>
        <v>1270</v>
      </c>
      <c r="ZP10" s="20" t="n">
        <f aca="false">ZO10</f>
        <v>1270</v>
      </c>
      <c r="ZQ10" s="20" t="n">
        <f aca="false">ZP10</f>
        <v>1270</v>
      </c>
      <c r="ZR10" s="20" t="n">
        <f aca="false">ZQ10</f>
        <v>1270</v>
      </c>
      <c r="ZS10" s="20" t="n">
        <f aca="false">ZR10</f>
        <v>1270</v>
      </c>
      <c r="ZT10" s="20" t="n">
        <f aca="false">ZS10</f>
        <v>1270</v>
      </c>
      <c r="ZU10" s="20" t="n">
        <f aca="false">ZT10</f>
        <v>1270</v>
      </c>
      <c r="ZV10" s="20" t="n">
        <f aca="false">ZU10</f>
        <v>1270</v>
      </c>
      <c r="ZW10" s="20" t="n">
        <f aca="false">ZV10</f>
        <v>1270</v>
      </c>
      <c r="ZX10" s="20" t="n">
        <f aca="false">ZW10</f>
        <v>1270</v>
      </c>
      <c r="ZY10" s="20" t="n">
        <f aca="false">ZX10</f>
        <v>1270</v>
      </c>
      <c r="ZZ10" s="20" t="n">
        <f aca="false">ZY10</f>
        <v>1270</v>
      </c>
      <c r="AAA10" s="20" t="n">
        <f aca="false">ZZ10</f>
        <v>1270</v>
      </c>
      <c r="AAB10" s="20" t="n">
        <f aca="false">AAA10</f>
        <v>1270</v>
      </c>
      <c r="AAC10" s="20" t="n">
        <f aca="false">AAB10</f>
        <v>1270</v>
      </c>
      <c r="AAD10" s="20" t="n">
        <f aca="false">AAC10</f>
        <v>1270</v>
      </c>
      <c r="AAE10" s="20" t="n">
        <f aca="false">IF(H_Direct=1,IF(BR10&lt;=0,I10-BR10*TE10,I10-MIN(MIN(BR10*TE10,(H10+I10)),I10)),I10)</f>
        <v>0</v>
      </c>
      <c r="AAF10" s="20" t="n">
        <f aca="false">IF(H_Direct=1,IF(BS10&lt;=0,AAE10-BS10*TF10,AAE10-MIN(MIN(BS10*TF10,(WR10+AAE10)),AAE10)),AAE10)</f>
        <v>0</v>
      </c>
      <c r="AAG10" s="20" t="n">
        <f aca="false">IF(H_Direct=1,IF(BT10&lt;=0,AAF10-BT10*TG10,AAF10-MIN(MIN(BT10*TG10,(WS10+AAF10)),AAF10)),AAF10)</f>
        <v>0</v>
      </c>
      <c r="AAH10" s="20" t="n">
        <f aca="false">IF(H_Direct=1,IF(BU10&lt;=0,AAG10-BU10*TH10,AAG10-MIN(MIN(BU10*TH10,(WT10+AAG10)),AAG10)),AAG10)</f>
        <v>0</v>
      </c>
      <c r="AAI10" s="20" t="n">
        <f aca="false">AAH10</f>
        <v>0</v>
      </c>
      <c r="AAJ10" s="20" t="n">
        <f aca="false">AAI10</f>
        <v>0</v>
      </c>
      <c r="AAK10" s="20" t="n">
        <f aca="false">AAJ10</f>
        <v>0</v>
      </c>
      <c r="AAL10" s="20" t="n">
        <f aca="false">AAK10</f>
        <v>0</v>
      </c>
      <c r="AAM10" s="20" t="n">
        <f aca="false">AAL10</f>
        <v>0</v>
      </c>
      <c r="AAN10" s="20" t="n">
        <f aca="false">AAM10</f>
        <v>0</v>
      </c>
      <c r="AAO10" s="20" t="n">
        <f aca="false">AAN10</f>
        <v>0</v>
      </c>
      <c r="AAP10" s="20" t="n">
        <f aca="false">AAO10</f>
        <v>0</v>
      </c>
      <c r="AAQ10" s="20" t="n">
        <f aca="false">AAP10</f>
        <v>0</v>
      </c>
      <c r="AAR10" s="20" t="n">
        <f aca="false">AAQ10</f>
        <v>0</v>
      </c>
      <c r="AAS10" s="20" t="n">
        <f aca="false">AAR10</f>
        <v>0</v>
      </c>
      <c r="AAT10" s="20" t="n">
        <f aca="false">AAS10</f>
        <v>0</v>
      </c>
      <c r="AAU10" s="20" t="n">
        <f aca="false">AAT10</f>
        <v>0</v>
      </c>
      <c r="AAV10" s="20" t="n">
        <f aca="false">AAU10</f>
        <v>0</v>
      </c>
      <c r="AAW10" s="20" t="n">
        <f aca="false">AAV10</f>
        <v>0</v>
      </c>
      <c r="AAX10" s="20" t="n">
        <f aca="false">AAW10</f>
        <v>0</v>
      </c>
      <c r="AAY10" s="20" t="n">
        <f aca="false">AAX10</f>
        <v>0</v>
      </c>
      <c r="AAZ10" s="20" t="n">
        <f aca="false">AAY10</f>
        <v>0</v>
      </c>
      <c r="ABA10" s="20" t="n">
        <f aca="false">AAZ10</f>
        <v>0</v>
      </c>
      <c r="ABB10" s="20" t="n">
        <f aca="false">ABA10</f>
        <v>0</v>
      </c>
      <c r="ABC10" s="20" t="n">
        <f aca="false">ABB10</f>
        <v>0</v>
      </c>
      <c r="ABD10" s="20" t="n">
        <f aca="false">ABC10</f>
        <v>0</v>
      </c>
      <c r="ABE10" s="20" t="n">
        <f aca="false">ABD10</f>
        <v>0</v>
      </c>
      <c r="ABF10" s="20" t="n">
        <f aca="false">ABE10</f>
        <v>0</v>
      </c>
      <c r="ABG10" s="20" t="n">
        <f aca="false">ABF10</f>
        <v>0</v>
      </c>
      <c r="ABH10" s="20" t="n">
        <f aca="false">ABG10</f>
        <v>0</v>
      </c>
      <c r="ABI10" s="20" t="n">
        <f aca="false">ABH10</f>
        <v>0</v>
      </c>
      <c r="ABJ10" s="20" t="n">
        <f aca="false">ABI10</f>
        <v>0</v>
      </c>
      <c r="ABK10" s="20" t="n">
        <f aca="false">ABJ10</f>
        <v>0</v>
      </c>
      <c r="ABL10" s="20" t="n">
        <f aca="false">ABK10</f>
        <v>0</v>
      </c>
      <c r="ABM10" s="20" t="n">
        <f aca="false">ABL10</f>
        <v>0</v>
      </c>
      <c r="ABN10" s="20" t="n">
        <f aca="false">ABM10</f>
        <v>0</v>
      </c>
      <c r="ABO10" s="20" t="n">
        <f aca="false">ABN10</f>
        <v>0</v>
      </c>
      <c r="ABP10" s="20" t="n">
        <f aca="false">ABO10</f>
        <v>0</v>
      </c>
      <c r="ABQ10" s="20" t="n">
        <f aca="false">ABP10</f>
        <v>0</v>
      </c>
      <c r="ABR10" s="20" t="n">
        <f aca="false">ABQ10</f>
        <v>0</v>
      </c>
      <c r="ABS10" s="20" t="n">
        <f aca="false">ABR10</f>
        <v>0</v>
      </c>
      <c r="ABT10" s="20" t="n">
        <f aca="false">ABS10</f>
        <v>0</v>
      </c>
      <c r="ABU10" s="20" t="n">
        <f aca="false">ABT10</f>
        <v>0</v>
      </c>
      <c r="ABV10" s="20" t="n">
        <f aca="false">ABU10</f>
        <v>0</v>
      </c>
      <c r="ABW10" s="20" t="n">
        <f aca="false">ABV10</f>
        <v>0</v>
      </c>
      <c r="ABX10" s="20" t="n">
        <f aca="false">ABW10</f>
        <v>0</v>
      </c>
      <c r="ABY10" s="20" t="n">
        <f aca="false">ABX10</f>
        <v>0</v>
      </c>
      <c r="ABZ10" s="20" t="n">
        <f aca="false">ABY10</f>
        <v>0</v>
      </c>
      <c r="ACA10" s="20" t="n">
        <f aca="false">ABZ10</f>
        <v>0</v>
      </c>
      <c r="ACB10" s="20" t="n">
        <f aca="false">ACA10</f>
        <v>0</v>
      </c>
      <c r="ACC10" s="20" t="n">
        <f aca="false">ACB10</f>
        <v>0</v>
      </c>
      <c r="ACD10" s="20" t="n">
        <f aca="false">ACC10</f>
        <v>0</v>
      </c>
      <c r="ACE10" s="20" t="n">
        <f aca="false">ACD10</f>
        <v>0</v>
      </c>
      <c r="ACF10" s="20" t="n">
        <f aca="false">ACE10</f>
        <v>0</v>
      </c>
      <c r="ACG10" s="20" t="n">
        <f aca="false">ACF10</f>
        <v>0</v>
      </c>
      <c r="ACH10" s="20" t="n">
        <f aca="false">ACG10</f>
        <v>0</v>
      </c>
      <c r="ACI10" s="20" t="n">
        <f aca="false">ACH10</f>
        <v>0</v>
      </c>
      <c r="ACJ10" s="20" t="n">
        <f aca="false">ACI10</f>
        <v>0</v>
      </c>
      <c r="ACK10" s="20" t="n">
        <f aca="false">ACJ10</f>
        <v>0</v>
      </c>
      <c r="ACL10" s="20" t="n">
        <f aca="false">ACK10</f>
        <v>0</v>
      </c>
      <c r="ACM10" s="20" t="n">
        <f aca="false">ACL10</f>
        <v>0</v>
      </c>
      <c r="ACN10" s="20" t="n">
        <f aca="false">ACM10</f>
        <v>0</v>
      </c>
      <c r="ACO10" s="20" t="n">
        <f aca="false">ACN10</f>
        <v>0</v>
      </c>
      <c r="ACP10" s="20" t="n">
        <f aca="false">ACO10</f>
        <v>0</v>
      </c>
      <c r="ACQ10" s="20" t="n">
        <f aca="false">ACP10</f>
        <v>0</v>
      </c>
      <c r="ACR10" s="20" t="n">
        <f aca="false">ACQ10</f>
        <v>0</v>
      </c>
      <c r="ACS10" s="20" t="n">
        <f aca="false">ACR10</f>
        <v>0</v>
      </c>
      <c r="ACT10" s="20" t="n">
        <f aca="false">ACS10</f>
        <v>0</v>
      </c>
      <c r="ACU10" s="20" t="n">
        <f aca="false">ACT10</f>
        <v>0</v>
      </c>
      <c r="ACV10" s="20" t="n">
        <f aca="false">ACU10</f>
        <v>0</v>
      </c>
      <c r="ACW10" s="20" t="n">
        <f aca="false">ACV10</f>
        <v>0</v>
      </c>
      <c r="ACX10" s="20" t="n">
        <f aca="false">ACW10</f>
        <v>0</v>
      </c>
      <c r="ACY10" s="20" t="n">
        <f aca="false">ACX10</f>
        <v>0</v>
      </c>
      <c r="ACZ10" s="20" t="n">
        <f aca="false">ACY10</f>
        <v>0</v>
      </c>
      <c r="ADA10" s="20" t="n">
        <f aca="false">ACZ10</f>
        <v>0</v>
      </c>
      <c r="ADB10" s="20" t="n">
        <f aca="false">ADA10</f>
        <v>0</v>
      </c>
      <c r="ADC10" s="20" t="n">
        <f aca="false">ADB10</f>
        <v>0</v>
      </c>
      <c r="ADD10" s="20" t="n">
        <f aca="false">ADC10</f>
        <v>0</v>
      </c>
      <c r="ADE10" s="20" t="n">
        <f aca="false">ADD10</f>
        <v>0</v>
      </c>
      <c r="ADF10" s="20" t="n">
        <f aca="false">ADE10</f>
        <v>0</v>
      </c>
      <c r="ADG10" s="20" t="n">
        <f aca="false">ADF10</f>
        <v>0</v>
      </c>
      <c r="ADH10" s="20" t="n">
        <f aca="false">ADG10</f>
        <v>0</v>
      </c>
      <c r="ADI10" s="20" t="n">
        <f aca="false">ADH10</f>
        <v>0</v>
      </c>
      <c r="ADJ10" s="20" t="n">
        <f aca="false">ADI10</f>
        <v>0</v>
      </c>
      <c r="ADK10" s="20" t="n">
        <f aca="false">ADJ10</f>
        <v>0</v>
      </c>
      <c r="ADL10" s="20" t="n">
        <f aca="false">ADK10</f>
        <v>0</v>
      </c>
      <c r="ADM10" s="20" t="n">
        <f aca="false">ADL10</f>
        <v>0</v>
      </c>
      <c r="ADN10" s="20" t="n">
        <f aca="false">ADM10</f>
        <v>0</v>
      </c>
      <c r="ADO10" s="20" t="n">
        <f aca="false">ADN10</f>
        <v>0</v>
      </c>
      <c r="ADP10" s="20" t="n">
        <f aca="false">ADO10</f>
        <v>0</v>
      </c>
      <c r="ADQ10" s="20" t="n">
        <f aca="false">ADP10</f>
        <v>0</v>
      </c>
      <c r="ADR10" s="20" t="n">
        <f aca="false">(AKR9-TE10+0)*(1+BQ10)</f>
        <v>0</v>
      </c>
      <c r="ADS10" s="20" t="n">
        <f aca="false">(AKS9-TF10+0)*(1+BQ10)</f>
        <v>0</v>
      </c>
      <c r="ADT10" s="20" t="n">
        <f aca="false">(AKT9-TG10+0)*(1+BQ10)</f>
        <v>0</v>
      </c>
      <c r="ADU10" s="20" t="n">
        <f aca="false">((P10+S10)-TH10+BE10)*(1+BQ10)</f>
        <v>0</v>
      </c>
      <c r="ADV10" s="20" t="n">
        <v>0</v>
      </c>
      <c r="ADW10" s="20" t="n">
        <v>0</v>
      </c>
      <c r="ADX10" s="20" t="n">
        <v>0</v>
      </c>
      <c r="ADY10" s="20" t="n">
        <v>0</v>
      </c>
      <c r="ADZ10" s="20" t="n">
        <v>0</v>
      </c>
      <c r="AEA10" s="20" t="n">
        <v>0</v>
      </c>
      <c r="AEB10" s="20" t="n">
        <v>0</v>
      </c>
      <c r="AEC10" s="20" t="n">
        <v>0</v>
      </c>
      <c r="AED10" s="20" t="n">
        <v>0</v>
      </c>
      <c r="AEE10" s="20" t="n">
        <v>0</v>
      </c>
      <c r="AEF10" s="20" t="n">
        <v>0</v>
      </c>
      <c r="AEG10" s="20" t="n">
        <v>0</v>
      </c>
      <c r="AEH10" s="20" t="n">
        <v>0</v>
      </c>
      <c r="AEI10" s="20" t="n">
        <v>0</v>
      </c>
      <c r="AEJ10" s="20" t="n">
        <v>0</v>
      </c>
      <c r="AEK10" s="20" t="n">
        <v>0</v>
      </c>
      <c r="AEL10" s="20" t="n">
        <v>0</v>
      </c>
      <c r="AEM10" s="20" t="n">
        <v>0</v>
      </c>
      <c r="AEN10" s="20" t="n">
        <v>0</v>
      </c>
      <c r="AEO10" s="20" t="n">
        <v>0</v>
      </c>
      <c r="AEP10" s="20" t="n">
        <v>0</v>
      </c>
      <c r="AEQ10" s="20" t="n">
        <v>0</v>
      </c>
      <c r="AER10" s="20" t="n">
        <v>0</v>
      </c>
      <c r="AES10" s="20" t="n">
        <v>0</v>
      </c>
      <c r="AET10" s="20" t="n">
        <v>0</v>
      </c>
      <c r="AEU10" s="20" t="n">
        <v>0</v>
      </c>
      <c r="AEV10" s="20" t="n">
        <v>0</v>
      </c>
      <c r="AEW10" s="20" t="n">
        <v>0</v>
      </c>
      <c r="AEX10" s="20" t="n">
        <v>0</v>
      </c>
      <c r="AEY10" s="20" t="n">
        <v>0</v>
      </c>
      <c r="AEZ10" s="20" t="n">
        <v>0</v>
      </c>
      <c r="AFA10" s="20" t="n">
        <v>0</v>
      </c>
      <c r="AFB10" s="20" t="n">
        <v>0</v>
      </c>
      <c r="AFC10" s="20" t="n">
        <v>0</v>
      </c>
      <c r="AFD10" s="20" t="n">
        <v>0</v>
      </c>
      <c r="AFE10" s="20" t="n">
        <v>0</v>
      </c>
      <c r="AFF10" s="20" t="n">
        <v>0</v>
      </c>
      <c r="AFG10" s="20" t="n">
        <v>0</v>
      </c>
      <c r="AFH10" s="20" t="n">
        <v>0</v>
      </c>
      <c r="AFI10" s="20" t="n">
        <v>0</v>
      </c>
      <c r="AFJ10" s="20" t="n">
        <v>0</v>
      </c>
      <c r="AFK10" s="20" t="n">
        <v>0</v>
      </c>
      <c r="AFL10" s="20" t="n">
        <v>0</v>
      </c>
      <c r="AFM10" s="20" t="n">
        <v>0</v>
      </c>
      <c r="AFN10" s="20" t="n">
        <v>0</v>
      </c>
      <c r="AFO10" s="20" t="n">
        <v>0</v>
      </c>
      <c r="AFP10" s="20" t="n">
        <v>0</v>
      </c>
      <c r="AFQ10" s="20" t="n">
        <v>0</v>
      </c>
      <c r="AFR10" s="20" t="n">
        <v>0</v>
      </c>
      <c r="AFS10" s="20" t="n">
        <v>0</v>
      </c>
      <c r="AFT10" s="20" t="n">
        <v>0</v>
      </c>
      <c r="AFU10" s="20" t="n">
        <v>0</v>
      </c>
      <c r="AFV10" s="20" t="n">
        <v>0</v>
      </c>
      <c r="AFW10" s="20" t="n">
        <v>0</v>
      </c>
      <c r="AFX10" s="20" t="n">
        <v>0</v>
      </c>
      <c r="AFY10" s="20" t="n">
        <v>0</v>
      </c>
      <c r="AFZ10" s="20" t="n">
        <v>0</v>
      </c>
      <c r="AGA10" s="20" t="n">
        <v>0</v>
      </c>
      <c r="AGB10" s="20" t="n">
        <v>0</v>
      </c>
      <c r="AGC10" s="20" t="n">
        <v>0</v>
      </c>
      <c r="AGD10" s="20" t="n">
        <v>0</v>
      </c>
      <c r="AGE10" s="20" t="n">
        <v>0</v>
      </c>
      <c r="AGF10" s="20" t="n">
        <v>0</v>
      </c>
      <c r="AGG10" s="20" t="n">
        <v>0</v>
      </c>
      <c r="AGH10" s="20" t="n">
        <v>0</v>
      </c>
      <c r="AGI10" s="20" t="n">
        <v>0</v>
      </c>
      <c r="AGJ10" s="20" t="n">
        <v>0</v>
      </c>
      <c r="AGK10" s="20" t="n">
        <v>0</v>
      </c>
      <c r="AGL10" s="20" t="n">
        <v>0</v>
      </c>
      <c r="AGM10" s="20" t="n">
        <v>0</v>
      </c>
      <c r="AGN10" s="20" t="n">
        <v>0</v>
      </c>
      <c r="AGO10" s="20" t="n">
        <v>0</v>
      </c>
      <c r="AGP10" s="20" t="n">
        <v>0</v>
      </c>
      <c r="AGQ10" s="20" t="n">
        <v>0</v>
      </c>
      <c r="AGR10" s="20" t="n">
        <v>0</v>
      </c>
      <c r="AGS10" s="20" t="n">
        <v>0</v>
      </c>
      <c r="AGT10" s="20" t="n">
        <v>0</v>
      </c>
      <c r="AGU10" s="20" t="n">
        <v>0</v>
      </c>
      <c r="AGV10" s="20" t="n">
        <v>0</v>
      </c>
      <c r="AGW10" s="20" t="n">
        <v>0</v>
      </c>
      <c r="AGX10" s="20" t="n">
        <v>0</v>
      </c>
      <c r="AGY10" s="20" t="n">
        <v>0</v>
      </c>
      <c r="AGZ10" s="20" t="n">
        <v>0</v>
      </c>
      <c r="AHA10" s="20" t="n">
        <v>0</v>
      </c>
      <c r="AHB10" s="20" t="n">
        <v>0</v>
      </c>
      <c r="AHC10" s="20" t="n">
        <v>0</v>
      </c>
      <c r="AHD10" s="20" t="n">
        <v>0</v>
      </c>
      <c r="AHE10" s="20" t="n">
        <f aca="false">IF(AKR9&gt;0,AOE9-AOE9*TE10/AKR9,0)+0</f>
        <v>0</v>
      </c>
      <c r="AHF10" s="20" t="n">
        <f aca="false">IF(AKS9&gt;0,AOF9-AOF9*TF10/AKS9,0)+0</f>
        <v>0</v>
      </c>
      <c r="AHG10" s="20" t="n">
        <f aca="false">IF(AKT9&gt;0,AOG9-AOG9*TG10/AKT9,0)+0</f>
        <v>0</v>
      </c>
      <c r="AHH10" s="20" t="n">
        <f aca="false">IF((P10+S10)&gt;0,(P10+S10)-(P10+S10)*TH10/(P10+S10),0)+BE10</f>
        <v>0</v>
      </c>
      <c r="AHI10" s="20" t="n">
        <v>0</v>
      </c>
      <c r="AHJ10" s="20" t="n">
        <v>0</v>
      </c>
      <c r="AHK10" s="20" t="n">
        <v>0</v>
      </c>
      <c r="AHL10" s="20" t="n">
        <v>0</v>
      </c>
      <c r="AHM10" s="20" t="n">
        <v>0</v>
      </c>
      <c r="AHN10" s="20" t="n">
        <v>0</v>
      </c>
      <c r="AHO10" s="20" t="n">
        <v>0</v>
      </c>
      <c r="AHP10" s="20" t="n">
        <v>0</v>
      </c>
      <c r="AHQ10" s="20" t="n">
        <v>0</v>
      </c>
      <c r="AHR10" s="20" t="n">
        <v>0</v>
      </c>
      <c r="AHS10" s="20" t="n">
        <v>0</v>
      </c>
      <c r="AHT10" s="20" t="n">
        <v>0</v>
      </c>
      <c r="AHU10" s="20" t="n">
        <v>0</v>
      </c>
      <c r="AHV10" s="20" t="n">
        <v>0</v>
      </c>
      <c r="AHW10" s="20" t="n">
        <v>0</v>
      </c>
      <c r="AHX10" s="20" t="n">
        <v>0</v>
      </c>
      <c r="AHY10" s="20" t="n">
        <v>0</v>
      </c>
      <c r="AHZ10" s="20" t="n">
        <v>0</v>
      </c>
      <c r="AIA10" s="20" t="n">
        <v>0</v>
      </c>
      <c r="AIB10" s="20" t="n">
        <v>0</v>
      </c>
      <c r="AIC10" s="20" t="n">
        <v>0</v>
      </c>
      <c r="AID10" s="20" t="n">
        <v>0</v>
      </c>
      <c r="AIE10" s="20" t="n">
        <v>0</v>
      </c>
      <c r="AIF10" s="20" t="n">
        <v>0</v>
      </c>
      <c r="AIG10" s="20" t="n">
        <v>0</v>
      </c>
      <c r="AIH10" s="20" t="n">
        <v>0</v>
      </c>
      <c r="AII10" s="20" t="n">
        <v>0</v>
      </c>
      <c r="AIJ10" s="20" t="n">
        <v>0</v>
      </c>
      <c r="AIK10" s="20" t="n">
        <v>0</v>
      </c>
      <c r="AIL10" s="20" t="n">
        <v>0</v>
      </c>
      <c r="AIM10" s="20" t="n">
        <v>0</v>
      </c>
      <c r="AIN10" s="20" t="n">
        <v>0</v>
      </c>
      <c r="AIO10" s="20" t="n">
        <v>0</v>
      </c>
      <c r="AIP10" s="20" t="n">
        <v>0</v>
      </c>
      <c r="AIQ10" s="20" t="n">
        <v>0</v>
      </c>
      <c r="AIR10" s="20" t="n">
        <v>0</v>
      </c>
      <c r="AIS10" s="20" t="n">
        <v>0</v>
      </c>
      <c r="AIT10" s="20" t="n">
        <v>0</v>
      </c>
      <c r="AIU10" s="20" t="n">
        <v>0</v>
      </c>
      <c r="AIV10" s="20" t="n">
        <v>0</v>
      </c>
      <c r="AIW10" s="20" t="n">
        <v>0</v>
      </c>
      <c r="AIX10" s="20" t="n">
        <v>0</v>
      </c>
      <c r="AIY10" s="20" t="n">
        <v>0</v>
      </c>
      <c r="AIZ10" s="20" t="n">
        <v>0</v>
      </c>
      <c r="AJA10" s="20" t="n">
        <v>0</v>
      </c>
      <c r="AJB10" s="20" t="n">
        <v>0</v>
      </c>
      <c r="AJC10" s="20" t="n">
        <v>0</v>
      </c>
      <c r="AJD10" s="20" t="n">
        <v>0</v>
      </c>
      <c r="AJE10" s="20" t="n">
        <v>0</v>
      </c>
      <c r="AJF10" s="20" t="n">
        <v>0</v>
      </c>
      <c r="AJG10" s="20" t="n">
        <v>0</v>
      </c>
      <c r="AJH10" s="20" t="n">
        <v>0</v>
      </c>
      <c r="AJI10" s="20" t="n">
        <v>0</v>
      </c>
      <c r="AJJ10" s="20" t="n">
        <v>0</v>
      </c>
      <c r="AJK10" s="20" t="n">
        <v>0</v>
      </c>
      <c r="AJL10" s="20" t="n">
        <v>0</v>
      </c>
      <c r="AJM10" s="20" t="n">
        <v>0</v>
      </c>
      <c r="AJN10" s="20" t="n">
        <v>0</v>
      </c>
      <c r="AJO10" s="20" t="n">
        <v>0</v>
      </c>
      <c r="AJP10" s="20" t="n">
        <v>0</v>
      </c>
      <c r="AJQ10" s="20" t="n">
        <v>0</v>
      </c>
      <c r="AJR10" s="20" t="n">
        <v>0</v>
      </c>
      <c r="AJS10" s="20" t="n">
        <v>0</v>
      </c>
      <c r="AJT10" s="20" t="n">
        <v>0</v>
      </c>
      <c r="AJU10" s="20" t="n">
        <v>0</v>
      </c>
      <c r="AJV10" s="20" t="n">
        <v>0</v>
      </c>
      <c r="AJW10" s="20" t="n">
        <v>0</v>
      </c>
      <c r="AJX10" s="20" t="n">
        <v>0</v>
      </c>
      <c r="AJY10" s="20" t="n">
        <v>0</v>
      </c>
      <c r="AJZ10" s="20" t="n">
        <v>0</v>
      </c>
      <c r="AKA10" s="20" t="n">
        <v>0</v>
      </c>
      <c r="AKB10" s="20" t="n">
        <v>0</v>
      </c>
      <c r="AKC10" s="20" t="n">
        <v>0</v>
      </c>
      <c r="AKD10" s="20" t="n">
        <v>0</v>
      </c>
      <c r="AKE10" s="20" t="n">
        <v>0</v>
      </c>
      <c r="AKF10" s="20" t="n">
        <v>0</v>
      </c>
      <c r="AKG10" s="20" t="n">
        <v>0</v>
      </c>
      <c r="AKH10" s="20" t="n">
        <v>0</v>
      </c>
      <c r="AKI10" s="20" t="n">
        <v>0</v>
      </c>
      <c r="AKJ10" s="20" t="n">
        <v>0</v>
      </c>
      <c r="AKK10" s="20" t="n">
        <v>0</v>
      </c>
      <c r="AKL10" s="20" t="n">
        <v>0</v>
      </c>
      <c r="AKM10" s="20" t="n">
        <v>0</v>
      </c>
      <c r="AKN10" s="20" t="n">
        <v>0</v>
      </c>
      <c r="AKO10" s="20" t="n">
        <v>0</v>
      </c>
      <c r="AKP10" s="20" t="n">
        <v>0</v>
      </c>
      <c r="AKQ10" s="20" t="n">
        <v>0</v>
      </c>
      <c r="AKR10" s="20" t="n">
        <f aca="false">ADR10-AVE10</f>
        <v>0</v>
      </c>
      <c r="AKS10" s="20" t="n">
        <f aca="false">ADS10-AVF10</f>
        <v>0</v>
      </c>
      <c r="AKT10" s="20" t="n">
        <f aca="false">ADT10-AVG10</f>
        <v>0</v>
      </c>
      <c r="AKU10" s="20" t="n">
        <f aca="false">ADU10-AVH10</f>
        <v>0</v>
      </c>
      <c r="AKV10" s="20" t="n">
        <v>0</v>
      </c>
      <c r="AKW10" s="20" t="n">
        <v>0</v>
      </c>
      <c r="AKX10" s="20" t="n">
        <v>0</v>
      </c>
      <c r="AKY10" s="20" t="n">
        <v>0</v>
      </c>
      <c r="AKZ10" s="20" t="n">
        <v>0</v>
      </c>
      <c r="ALA10" s="20" t="n">
        <v>0</v>
      </c>
      <c r="ALB10" s="20" t="n">
        <v>0</v>
      </c>
      <c r="ALC10" s="20" t="n">
        <v>0</v>
      </c>
      <c r="ALD10" s="20" t="n">
        <v>0</v>
      </c>
      <c r="ALE10" s="20" t="n">
        <v>0</v>
      </c>
      <c r="ALF10" s="20" t="n">
        <v>0</v>
      </c>
      <c r="ALG10" s="20" t="n">
        <v>0</v>
      </c>
      <c r="ALH10" s="20" t="n">
        <v>0</v>
      </c>
      <c r="ALI10" s="20" t="n">
        <v>0</v>
      </c>
      <c r="ALJ10" s="20" t="n">
        <v>0</v>
      </c>
      <c r="ALK10" s="20" t="n">
        <v>0</v>
      </c>
      <c r="ALL10" s="20" t="n">
        <v>0</v>
      </c>
      <c r="ALM10" s="20" t="n">
        <v>0</v>
      </c>
      <c r="ALN10" s="20" t="n">
        <v>0</v>
      </c>
      <c r="ALO10" s="20" t="n">
        <v>0</v>
      </c>
      <c r="ALP10" s="20" t="n">
        <v>0</v>
      </c>
      <c r="ALQ10" s="20" t="n">
        <v>0</v>
      </c>
      <c r="ALR10" s="20" t="n">
        <v>0</v>
      </c>
      <c r="ALS10" s="20" t="n">
        <v>0</v>
      </c>
      <c r="ALT10" s="20" t="n">
        <v>0</v>
      </c>
      <c r="ALU10" s="20" t="n">
        <v>0</v>
      </c>
      <c r="ALV10" s="20" t="n">
        <v>0</v>
      </c>
      <c r="ALW10" s="20" t="n">
        <v>0</v>
      </c>
      <c r="ALX10" s="20" t="n">
        <v>0</v>
      </c>
      <c r="ALY10" s="20" t="n">
        <v>0</v>
      </c>
      <c r="ALZ10" s="20" t="n">
        <v>0</v>
      </c>
      <c r="AMA10" s="20" t="n">
        <v>0</v>
      </c>
      <c r="AMB10" s="20" t="n">
        <v>0</v>
      </c>
      <c r="AMC10" s="20" t="n">
        <v>0</v>
      </c>
      <c r="AMD10" s="20" t="n">
        <v>0</v>
      </c>
      <c r="AME10" s="20" t="n">
        <v>0</v>
      </c>
      <c r="AMF10" s="20" t="n">
        <v>0</v>
      </c>
      <c r="AMG10" s="20" t="n">
        <v>0</v>
      </c>
      <c r="AMH10" s="20" t="n">
        <v>0</v>
      </c>
      <c r="AMI10" s="20" t="n">
        <v>0</v>
      </c>
      <c r="AMJ10" s="20" t="n">
        <v>0</v>
      </c>
      <c r="AMK10" s="20" t="n">
        <v>0</v>
      </c>
      <c r="AML10" s="20" t="n">
        <v>0</v>
      </c>
      <c r="AMM10" s="20" t="n">
        <v>0</v>
      </c>
      <c r="AMN10" s="20" t="n">
        <v>0</v>
      </c>
      <c r="AMO10" s="20" t="n">
        <v>0</v>
      </c>
      <c r="AMP10" s="20" t="n">
        <v>0</v>
      </c>
      <c r="AMQ10" s="20" t="n">
        <v>0</v>
      </c>
      <c r="AMR10" s="20" t="n">
        <v>0</v>
      </c>
      <c r="AMS10" s="20" t="n">
        <v>0</v>
      </c>
      <c r="AMT10" s="20" t="n">
        <v>0</v>
      </c>
      <c r="AMU10" s="20" t="n">
        <v>0</v>
      </c>
      <c r="AMV10" s="20" t="n">
        <v>0</v>
      </c>
      <c r="AMW10" s="20" t="n">
        <v>0</v>
      </c>
      <c r="AMX10" s="20" t="n">
        <v>0</v>
      </c>
      <c r="AMY10" s="20" t="n">
        <v>0</v>
      </c>
      <c r="AMZ10" s="20" t="n">
        <v>0</v>
      </c>
      <c r="ANA10" s="20" t="n">
        <v>0</v>
      </c>
      <c r="ANB10" s="20" t="n">
        <v>0</v>
      </c>
      <c r="ANC10" s="20" t="n">
        <v>0</v>
      </c>
      <c r="AND10" s="20" t="n">
        <v>0</v>
      </c>
      <c r="ANE10" s="20" t="n">
        <v>0</v>
      </c>
      <c r="ANF10" s="20" t="n">
        <v>0</v>
      </c>
      <c r="ANG10" s="20" t="n">
        <v>0</v>
      </c>
      <c r="ANH10" s="20" t="n">
        <v>0</v>
      </c>
      <c r="ANI10" s="20" t="n">
        <v>0</v>
      </c>
      <c r="ANJ10" s="20" t="n">
        <v>0</v>
      </c>
      <c r="ANK10" s="20" t="n">
        <v>0</v>
      </c>
      <c r="ANL10" s="20" t="n">
        <v>0</v>
      </c>
      <c r="ANM10" s="20" t="n">
        <v>0</v>
      </c>
      <c r="ANN10" s="20" t="n">
        <v>0</v>
      </c>
      <c r="ANO10" s="20" t="n">
        <v>0</v>
      </c>
      <c r="ANP10" s="20" t="n">
        <v>0</v>
      </c>
      <c r="ANQ10" s="20" t="n">
        <v>0</v>
      </c>
      <c r="ANR10" s="20" t="n">
        <v>0</v>
      </c>
      <c r="ANS10" s="20" t="n">
        <v>0</v>
      </c>
      <c r="ANT10" s="20" t="n">
        <v>0</v>
      </c>
      <c r="ANU10" s="20" t="n">
        <v>0</v>
      </c>
      <c r="ANV10" s="20" t="n">
        <v>0</v>
      </c>
      <c r="ANW10" s="20" t="n">
        <v>0</v>
      </c>
      <c r="ANX10" s="20" t="n">
        <v>0</v>
      </c>
      <c r="ANY10" s="20" t="n">
        <v>0</v>
      </c>
      <c r="ANZ10" s="20" t="n">
        <v>0</v>
      </c>
      <c r="AOA10" s="20" t="n">
        <v>0</v>
      </c>
      <c r="AOB10" s="20" t="n">
        <v>0</v>
      </c>
      <c r="AOC10" s="20" t="n">
        <v>0</v>
      </c>
      <c r="AOD10" s="20" t="n">
        <v>0</v>
      </c>
      <c r="AOE10" s="20" t="n">
        <f aca="false">IF(AND(H_Direct=0,H_TaxEvt=1,ARR9+1&gt;=H_Deemed),AKR10,AHE10)</f>
        <v>0</v>
      </c>
      <c r="AOF10" s="20" t="n">
        <f aca="false">IF(AND(H_Direct=0,H_TaxEvt=1,ARS9+1&gt;=H_Deemed),AKS10,AHF10)</f>
        <v>0</v>
      </c>
      <c r="AOG10" s="20" t="n">
        <f aca="false">IF(AND(H_Direct=0,H_TaxEvt=1,ART9+1&gt;=H_Deemed),AKT10,AHG10)</f>
        <v>0</v>
      </c>
      <c r="AOH10" s="20" t="n">
        <f aca="false">IF(AND(H_Direct=0,H_TaxEvt=1,0+1&gt;=H_Deemed),AKU10,AHH10)</f>
        <v>0</v>
      </c>
      <c r="AOI10" s="20" t="n">
        <v>0</v>
      </c>
      <c r="AOJ10" s="20" t="n">
        <v>0</v>
      </c>
      <c r="AOK10" s="20" t="n">
        <v>0</v>
      </c>
      <c r="AOL10" s="20" t="n">
        <v>0</v>
      </c>
      <c r="AOM10" s="20" t="n">
        <v>0</v>
      </c>
      <c r="AON10" s="20" t="n">
        <v>0</v>
      </c>
      <c r="AOO10" s="20" t="n">
        <v>0</v>
      </c>
      <c r="AOP10" s="20" t="n">
        <v>0</v>
      </c>
      <c r="AOQ10" s="20" t="n">
        <v>0</v>
      </c>
      <c r="AOR10" s="20" t="n">
        <v>0</v>
      </c>
      <c r="AOS10" s="20" t="n">
        <v>0</v>
      </c>
      <c r="AOT10" s="20" t="n">
        <v>0</v>
      </c>
      <c r="AOU10" s="20" t="n">
        <v>0</v>
      </c>
      <c r="AOV10" s="20" t="n">
        <v>0</v>
      </c>
      <c r="AOW10" s="20" t="n">
        <v>0</v>
      </c>
      <c r="AOX10" s="20" t="n">
        <v>0</v>
      </c>
      <c r="AOY10" s="20" t="n">
        <v>0</v>
      </c>
      <c r="AOZ10" s="20" t="n">
        <v>0</v>
      </c>
      <c r="APA10" s="20" t="n">
        <v>0</v>
      </c>
      <c r="APB10" s="20" t="n">
        <v>0</v>
      </c>
      <c r="APC10" s="20" t="n">
        <v>0</v>
      </c>
      <c r="APD10" s="20" t="n">
        <v>0</v>
      </c>
      <c r="APE10" s="20" t="n">
        <v>0</v>
      </c>
      <c r="APF10" s="20" t="n">
        <v>0</v>
      </c>
      <c r="APG10" s="20" t="n">
        <v>0</v>
      </c>
      <c r="APH10" s="20" t="n">
        <v>0</v>
      </c>
      <c r="API10" s="20" t="n">
        <v>0</v>
      </c>
      <c r="APJ10" s="20" t="n">
        <v>0</v>
      </c>
      <c r="APK10" s="20" t="n">
        <v>0</v>
      </c>
      <c r="APL10" s="20" t="n">
        <v>0</v>
      </c>
      <c r="APM10" s="20" t="n">
        <v>0</v>
      </c>
      <c r="APN10" s="20" t="n">
        <v>0</v>
      </c>
      <c r="APO10" s="20" t="n">
        <v>0</v>
      </c>
      <c r="APP10" s="20" t="n">
        <v>0</v>
      </c>
      <c r="APQ10" s="20" t="n">
        <v>0</v>
      </c>
      <c r="APR10" s="20" t="n">
        <v>0</v>
      </c>
      <c r="APS10" s="20" t="n">
        <v>0</v>
      </c>
      <c r="APT10" s="20" t="n">
        <v>0</v>
      </c>
      <c r="APU10" s="20" t="n">
        <v>0</v>
      </c>
      <c r="APV10" s="20" t="n">
        <v>0</v>
      </c>
      <c r="APW10" s="20" t="n">
        <v>0</v>
      </c>
      <c r="APX10" s="20" t="n">
        <v>0</v>
      </c>
      <c r="APY10" s="20" t="n">
        <v>0</v>
      </c>
      <c r="APZ10" s="20" t="n">
        <v>0</v>
      </c>
      <c r="AQA10" s="20" t="n">
        <v>0</v>
      </c>
      <c r="AQB10" s="20" t="n">
        <v>0</v>
      </c>
      <c r="AQC10" s="20" t="n">
        <v>0</v>
      </c>
      <c r="AQD10" s="20" t="n">
        <v>0</v>
      </c>
      <c r="AQE10" s="20" t="n">
        <v>0</v>
      </c>
      <c r="AQF10" s="20" t="n">
        <v>0</v>
      </c>
      <c r="AQG10" s="20" t="n">
        <v>0</v>
      </c>
      <c r="AQH10" s="20" t="n">
        <v>0</v>
      </c>
      <c r="AQI10" s="20" t="n">
        <v>0</v>
      </c>
      <c r="AQJ10" s="20" t="n">
        <v>0</v>
      </c>
      <c r="AQK10" s="20" t="n">
        <v>0</v>
      </c>
      <c r="AQL10" s="20" t="n">
        <v>0</v>
      </c>
      <c r="AQM10" s="20" t="n">
        <v>0</v>
      </c>
      <c r="AQN10" s="20" t="n">
        <v>0</v>
      </c>
      <c r="AQO10" s="20" t="n">
        <v>0</v>
      </c>
      <c r="AQP10" s="20" t="n">
        <v>0</v>
      </c>
      <c r="AQQ10" s="20" t="n">
        <v>0</v>
      </c>
      <c r="AQR10" s="20" t="n">
        <v>0</v>
      </c>
      <c r="AQS10" s="20" t="n">
        <v>0</v>
      </c>
      <c r="AQT10" s="20" t="n">
        <v>0</v>
      </c>
      <c r="AQU10" s="20" t="n">
        <v>0</v>
      </c>
      <c r="AQV10" s="20" t="n">
        <v>0</v>
      </c>
      <c r="AQW10" s="20" t="n">
        <v>0</v>
      </c>
      <c r="AQX10" s="20" t="n">
        <v>0</v>
      </c>
      <c r="AQY10" s="20" t="n">
        <v>0</v>
      </c>
      <c r="AQZ10" s="20" t="n">
        <v>0</v>
      </c>
      <c r="ARA10" s="20" t="n">
        <v>0</v>
      </c>
      <c r="ARB10" s="20" t="n">
        <v>0</v>
      </c>
      <c r="ARC10" s="20" t="n">
        <v>0</v>
      </c>
      <c r="ARD10" s="20" t="n">
        <v>0</v>
      </c>
      <c r="ARE10" s="20" t="n">
        <v>0</v>
      </c>
      <c r="ARF10" s="20" t="n">
        <v>0</v>
      </c>
      <c r="ARG10" s="20" t="n">
        <v>0</v>
      </c>
      <c r="ARH10" s="20" t="n">
        <v>0</v>
      </c>
      <c r="ARI10" s="20" t="n">
        <v>0</v>
      </c>
      <c r="ARJ10" s="20" t="n">
        <v>0</v>
      </c>
      <c r="ARK10" s="20" t="n">
        <v>0</v>
      </c>
      <c r="ARL10" s="20" t="n">
        <v>0</v>
      </c>
      <c r="ARM10" s="20" t="n">
        <v>0</v>
      </c>
      <c r="ARN10" s="20" t="n">
        <v>0</v>
      </c>
      <c r="ARO10" s="20" t="n">
        <v>0</v>
      </c>
      <c r="ARP10" s="20" t="n">
        <v>0</v>
      </c>
      <c r="ARQ10" s="20" t="n">
        <v>0</v>
      </c>
      <c r="ARR10" s="20" t="n">
        <f aca="false">IF(AND(H_Direct=0,H_TaxEvt=1),IF(ARR9+1&gt;=H_Deemed,0,ARR9+1),ARR9)</f>
        <v>3</v>
      </c>
      <c r="ARS10" s="20" t="n">
        <f aca="false">IF(AND(H_Direct=0,H_TaxEvt=1),IF(ARS9+1&gt;=H_Deemed,0,ARS9+1),ARS9)</f>
        <v>3</v>
      </c>
      <c r="ART10" s="20" t="n">
        <f aca="false">IF(AND(H_Direct=0,H_TaxEvt=1),IF(ART9+1&gt;=H_Deemed,0,ART9+1),ART9)</f>
        <v>2</v>
      </c>
      <c r="ARU10" s="20" t="n">
        <f aca="false">IF(AND(H_Direct=0,H_TaxEvt=1),IF(0+1&gt;=H_Deemed,0,0+1),0)</f>
        <v>1</v>
      </c>
      <c r="ARV10" s="20" t="n">
        <v>0</v>
      </c>
      <c r="ARW10" s="20" t="n">
        <v>0</v>
      </c>
      <c r="ARX10" s="20" t="n">
        <v>0</v>
      </c>
      <c r="ARY10" s="20" t="n">
        <v>0</v>
      </c>
      <c r="ARZ10" s="20" t="n">
        <v>0</v>
      </c>
      <c r="ASA10" s="20" t="n">
        <v>0</v>
      </c>
      <c r="ASB10" s="20" t="n">
        <v>0</v>
      </c>
      <c r="ASC10" s="20" t="n">
        <v>0</v>
      </c>
      <c r="ASD10" s="20" t="n">
        <v>0</v>
      </c>
      <c r="ASE10" s="20" t="n">
        <v>0</v>
      </c>
      <c r="ASF10" s="20" t="n">
        <v>0</v>
      </c>
      <c r="ASG10" s="20" t="n">
        <v>0</v>
      </c>
      <c r="ASH10" s="20" t="n">
        <v>0</v>
      </c>
      <c r="ASI10" s="20" t="n">
        <v>0</v>
      </c>
      <c r="ASJ10" s="20" t="n">
        <v>0</v>
      </c>
      <c r="ASK10" s="20" t="n">
        <v>0</v>
      </c>
      <c r="ASL10" s="20" t="n">
        <v>0</v>
      </c>
      <c r="ASM10" s="20" t="n">
        <v>0</v>
      </c>
      <c r="ASN10" s="20" t="n">
        <v>0</v>
      </c>
      <c r="ASO10" s="20" t="n">
        <v>0</v>
      </c>
      <c r="ASP10" s="20" t="n">
        <v>0</v>
      </c>
      <c r="ASQ10" s="20" t="n">
        <v>0</v>
      </c>
      <c r="ASR10" s="20" t="n">
        <v>0</v>
      </c>
      <c r="ASS10" s="20" t="n">
        <v>0</v>
      </c>
      <c r="AST10" s="20" t="n">
        <v>0</v>
      </c>
      <c r="ASU10" s="20" t="n">
        <v>0</v>
      </c>
      <c r="ASV10" s="20" t="n">
        <v>0</v>
      </c>
      <c r="ASW10" s="20" t="n">
        <v>0</v>
      </c>
      <c r="ASX10" s="20" t="n">
        <v>0</v>
      </c>
      <c r="ASY10" s="20" t="n">
        <v>0</v>
      </c>
      <c r="ASZ10" s="20" t="n">
        <v>0</v>
      </c>
      <c r="ATA10" s="20" t="n">
        <v>0</v>
      </c>
      <c r="ATB10" s="20" t="n">
        <v>0</v>
      </c>
      <c r="ATC10" s="20" t="n">
        <v>0</v>
      </c>
      <c r="ATD10" s="20" t="n">
        <v>0</v>
      </c>
      <c r="ATE10" s="20" t="n">
        <v>0</v>
      </c>
      <c r="ATF10" s="20" t="n">
        <v>0</v>
      </c>
      <c r="ATG10" s="20" t="n">
        <v>0</v>
      </c>
      <c r="ATH10" s="20" t="n">
        <v>0</v>
      </c>
      <c r="ATI10" s="20" t="n">
        <v>0</v>
      </c>
      <c r="ATJ10" s="20" t="n">
        <v>0</v>
      </c>
      <c r="ATK10" s="20" t="n">
        <v>0</v>
      </c>
      <c r="ATL10" s="20" t="n">
        <v>0</v>
      </c>
      <c r="ATM10" s="20" t="n">
        <v>0</v>
      </c>
      <c r="ATN10" s="20" t="n">
        <v>0</v>
      </c>
      <c r="ATO10" s="20" t="n">
        <v>0</v>
      </c>
      <c r="ATP10" s="20" t="n">
        <v>0</v>
      </c>
      <c r="ATQ10" s="20" t="n">
        <v>0</v>
      </c>
      <c r="ATR10" s="20" t="n">
        <v>0</v>
      </c>
      <c r="ATS10" s="20" t="n">
        <v>0</v>
      </c>
      <c r="ATT10" s="20" t="n">
        <v>0</v>
      </c>
      <c r="ATU10" s="20" t="n">
        <v>0</v>
      </c>
      <c r="ATV10" s="20" t="n">
        <v>0</v>
      </c>
      <c r="ATW10" s="20" t="n">
        <v>0</v>
      </c>
      <c r="ATX10" s="20" t="n">
        <v>0</v>
      </c>
      <c r="ATY10" s="20" t="n">
        <v>0</v>
      </c>
      <c r="ATZ10" s="20" t="n">
        <v>0</v>
      </c>
      <c r="AUA10" s="20" t="n">
        <v>0</v>
      </c>
      <c r="AUB10" s="20" t="n">
        <v>0</v>
      </c>
      <c r="AUC10" s="20" t="n">
        <v>0</v>
      </c>
      <c r="AUD10" s="20" t="n">
        <v>0</v>
      </c>
      <c r="AUE10" s="20" t="n">
        <v>0</v>
      </c>
      <c r="AUF10" s="20" t="n">
        <v>0</v>
      </c>
      <c r="AUG10" s="20" t="n">
        <v>0</v>
      </c>
      <c r="AUH10" s="20" t="n">
        <v>0</v>
      </c>
      <c r="AUI10" s="20" t="n">
        <v>0</v>
      </c>
      <c r="AUJ10" s="20" t="n">
        <v>0</v>
      </c>
      <c r="AUK10" s="20" t="n">
        <v>0</v>
      </c>
      <c r="AUL10" s="20" t="n">
        <v>0</v>
      </c>
      <c r="AUM10" s="20" t="n">
        <v>0</v>
      </c>
      <c r="AUN10" s="20" t="n">
        <v>0</v>
      </c>
      <c r="AUO10" s="20" t="n">
        <v>0</v>
      </c>
      <c r="AUP10" s="20" t="n">
        <v>0</v>
      </c>
      <c r="AUQ10" s="20" t="n">
        <v>0</v>
      </c>
      <c r="AUR10" s="20" t="n">
        <v>0</v>
      </c>
      <c r="AUS10" s="20" t="n">
        <v>0</v>
      </c>
      <c r="AUT10" s="20" t="n">
        <v>0</v>
      </c>
      <c r="AUU10" s="20" t="n">
        <v>0</v>
      </c>
      <c r="AUV10" s="20" t="n">
        <v>0</v>
      </c>
      <c r="AUW10" s="20" t="n">
        <v>0</v>
      </c>
      <c r="AUX10" s="20" t="n">
        <v>0</v>
      </c>
      <c r="AUY10" s="20" t="n">
        <v>0</v>
      </c>
      <c r="AUZ10" s="20" t="n">
        <v>0</v>
      </c>
      <c r="AVA10" s="20" t="n">
        <v>0</v>
      </c>
      <c r="AVB10" s="20" t="n">
        <v>0</v>
      </c>
      <c r="AVC10" s="20" t="n">
        <v>0</v>
      </c>
      <c r="AVD10" s="20" t="n">
        <v>0</v>
      </c>
      <c r="AVE10" s="20" t="n">
        <f aca="false">IF(AND(H_Direct=0,H_TaxEvt=1,ARR9+1&gt;=H_Deemed),MAX(0,ADR10-AHE10)*H_Exit,0)</f>
        <v>0</v>
      </c>
      <c r="AVF10" s="20" t="n">
        <f aca="false">IF(AND(H_Direct=0,H_TaxEvt=1,ARS9+1&gt;=H_Deemed),MAX(0,ADS10-AHF10)*H_Exit,0)</f>
        <v>0</v>
      </c>
      <c r="AVG10" s="20" t="n">
        <f aca="false">IF(AND(H_Direct=0,H_TaxEvt=1,ART9+1&gt;=H_Deemed),MAX(0,ADT10-AHG10)*H_Exit,0)</f>
        <v>0</v>
      </c>
      <c r="AVH10" s="20" t="n">
        <f aca="false">IF(AND(H_Direct=0,H_TaxEvt=1,0+1&gt;=H_Deemed),MAX(0,ADU10-AHH10)*H_Exit,0)</f>
        <v>0</v>
      </c>
      <c r="AVI10" s="20" t="n">
        <v>0</v>
      </c>
      <c r="AVJ10" s="20" t="n">
        <v>0</v>
      </c>
      <c r="AVK10" s="20" t="n">
        <v>0</v>
      </c>
      <c r="AVL10" s="20" t="n">
        <v>0</v>
      </c>
      <c r="AVM10" s="20" t="n">
        <v>0</v>
      </c>
      <c r="AVN10" s="20" t="n">
        <v>0</v>
      </c>
      <c r="AVO10" s="20" t="n">
        <v>0</v>
      </c>
      <c r="AVP10" s="20" t="n">
        <v>0</v>
      </c>
      <c r="AVQ10" s="20" t="n">
        <v>0</v>
      </c>
      <c r="AVR10" s="20" t="n">
        <v>0</v>
      </c>
      <c r="AVS10" s="20" t="n">
        <v>0</v>
      </c>
      <c r="AVT10" s="20" t="n">
        <v>0</v>
      </c>
      <c r="AVU10" s="20" t="n">
        <v>0</v>
      </c>
      <c r="AVV10" s="20" t="n">
        <v>0</v>
      </c>
      <c r="AVW10" s="20" t="n">
        <v>0</v>
      </c>
      <c r="AVX10" s="20" t="n">
        <v>0</v>
      </c>
      <c r="AVY10" s="20" t="n">
        <v>0</v>
      </c>
      <c r="AVZ10" s="20" t="n">
        <v>0</v>
      </c>
      <c r="AWA10" s="20" t="n">
        <v>0</v>
      </c>
      <c r="AWB10" s="20" t="n">
        <v>0</v>
      </c>
      <c r="AWC10" s="20" t="n">
        <v>0</v>
      </c>
      <c r="AWD10" s="20" t="n">
        <v>0</v>
      </c>
      <c r="AWE10" s="20" t="n">
        <v>0</v>
      </c>
      <c r="AWF10" s="20" t="n">
        <v>0</v>
      </c>
      <c r="AWG10" s="20" t="n">
        <v>0</v>
      </c>
      <c r="AWH10" s="20" t="n">
        <v>0</v>
      </c>
      <c r="AWI10" s="20" t="n">
        <v>0</v>
      </c>
      <c r="AWJ10" s="20" t="n">
        <v>0</v>
      </c>
      <c r="AWK10" s="20" t="n">
        <v>0</v>
      </c>
      <c r="AWL10" s="20" t="n">
        <v>0</v>
      </c>
      <c r="AWM10" s="20" t="n">
        <v>0</v>
      </c>
      <c r="AWN10" s="20" t="n">
        <v>0</v>
      </c>
      <c r="AWO10" s="20" t="n">
        <v>0</v>
      </c>
      <c r="AWP10" s="20" t="n">
        <v>0</v>
      </c>
      <c r="AWQ10" s="20" t="n">
        <v>0</v>
      </c>
      <c r="AWR10" s="20" t="n">
        <v>0</v>
      </c>
      <c r="AWS10" s="20" t="n">
        <v>0</v>
      </c>
      <c r="AWT10" s="20" t="n">
        <v>0</v>
      </c>
      <c r="AWU10" s="20" t="n">
        <v>0</v>
      </c>
      <c r="AWV10" s="20" t="n">
        <v>0</v>
      </c>
      <c r="AWW10" s="20" t="n">
        <v>0</v>
      </c>
      <c r="AWX10" s="20" t="n">
        <v>0</v>
      </c>
      <c r="AWY10" s="20" t="n">
        <v>0</v>
      </c>
      <c r="AWZ10" s="20" t="n">
        <v>0</v>
      </c>
      <c r="AXA10" s="20" t="n">
        <v>0</v>
      </c>
      <c r="AXB10" s="20" t="n">
        <v>0</v>
      </c>
      <c r="AXC10" s="20" t="n">
        <v>0</v>
      </c>
      <c r="AXD10" s="20" t="n">
        <v>0</v>
      </c>
      <c r="AXE10" s="20" t="n">
        <v>0</v>
      </c>
      <c r="AXF10" s="20" t="n">
        <v>0</v>
      </c>
      <c r="AXG10" s="20" t="n">
        <v>0</v>
      </c>
      <c r="AXH10" s="20" t="n">
        <v>0</v>
      </c>
      <c r="AXI10" s="20" t="n">
        <v>0</v>
      </c>
      <c r="AXJ10" s="20" t="n">
        <v>0</v>
      </c>
      <c r="AXK10" s="20" t="n">
        <v>0</v>
      </c>
      <c r="AXL10" s="20" t="n">
        <v>0</v>
      </c>
      <c r="AXM10" s="20" t="n">
        <v>0</v>
      </c>
      <c r="AXN10" s="20" t="n">
        <v>0</v>
      </c>
      <c r="AXO10" s="20" t="n">
        <v>0</v>
      </c>
      <c r="AXP10" s="20" t="n">
        <v>0</v>
      </c>
      <c r="AXQ10" s="20" t="n">
        <v>0</v>
      </c>
      <c r="AXR10" s="20" t="n">
        <v>0</v>
      </c>
      <c r="AXS10" s="20" t="n">
        <v>0</v>
      </c>
      <c r="AXT10" s="20" t="n">
        <v>0</v>
      </c>
      <c r="AXU10" s="20" t="n">
        <v>0</v>
      </c>
      <c r="AXV10" s="20" t="n">
        <v>0</v>
      </c>
      <c r="AXW10" s="20" t="n">
        <v>0</v>
      </c>
      <c r="AXX10" s="20" t="n">
        <v>0</v>
      </c>
      <c r="AXY10" s="20" t="n">
        <v>0</v>
      </c>
      <c r="AXZ10" s="20" t="n">
        <v>0</v>
      </c>
      <c r="AYA10" s="20" t="n">
        <v>0</v>
      </c>
      <c r="AYB10" s="20" t="n">
        <v>0</v>
      </c>
      <c r="AYC10" s="20" t="n">
        <v>0</v>
      </c>
      <c r="AYD10" s="20" t="n">
        <v>0</v>
      </c>
      <c r="AYE10" s="20" t="n">
        <v>0</v>
      </c>
      <c r="AYF10" s="20" t="n">
        <v>0</v>
      </c>
      <c r="AYG10" s="20" t="n">
        <v>0</v>
      </c>
      <c r="AYH10" s="20" t="n">
        <v>0</v>
      </c>
      <c r="AYI10" s="20" t="n">
        <v>0</v>
      </c>
      <c r="AYJ10" s="20" t="n">
        <v>0</v>
      </c>
      <c r="AYK10" s="20" t="n">
        <v>0</v>
      </c>
      <c r="AYL10" s="20" t="n">
        <v>0</v>
      </c>
      <c r="AYM10" s="20" t="n">
        <v>0</v>
      </c>
      <c r="AYN10" s="20" t="n">
        <v>0</v>
      </c>
      <c r="AYO10" s="20" t="n">
        <v>0</v>
      </c>
      <c r="AYP10" s="20" t="n">
        <v>0</v>
      </c>
      <c r="AYQ10" s="20" t="n">
        <v>0</v>
      </c>
    </row>
    <row r="11" customFormat="false" ht="15" hidden="false" customHeight="false" outlineLevel="0" collapsed="false">
      <c r="B11" s="20" t="n">
        <v>3</v>
      </c>
      <c r="C11" s="20" t="n">
        <f aca="false">'Plan cashflow'!C11</f>
        <v>1</v>
      </c>
      <c r="D11" s="20" t="n">
        <f aca="false">'Plan cashflow'!D11</f>
        <v>41</v>
      </c>
      <c r="E11" s="20" t="n">
        <f aca="false">AS_Year0+3</f>
        <v>2029</v>
      </c>
      <c r="F11" s="50" t="n">
        <f aca="false">'Plan cashflow'!F11</f>
        <v>1.061208</v>
      </c>
      <c r="G11" s="59" t="n">
        <f aca="true">IF(MAX(TODAY(),DATE(E11,1,1))&gt;=H_CGTfrom,H_CGT1,H_CGT0)</f>
        <v>0.31</v>
      </c>
      <c r="H11" s="20" t="n">
        <f aca="false">H_Exempt*H_Persons</f>
        <v>1270</v>
      </c>
      <c r="I11" s="20" t="n">
        <f aca="false">AX10</f>
        <v>0</v>
      </c>
      <c r="J11" s="60" t="n">
        <f aca="false">BF10</f>
        <v>0</v>
      </c>
      <c r="K11" s="60" t="n">
        <f aca="false">BG10</f>
        <v>0</v>
      </c>
      <c r="L11" s="20" t="n">
        <f aca="false">IF(AND(In_polLump&gt;0,In_polLumpAge&gt;0,D11=In_polLumpAge),In_polLump,0)</f>
        <v>0</v>
      </c>
      <c r="M11" s="20" t="n">
        <f aca="false">IF(AND(In_homeUse="Yes, I'd downsize",In_downAge&gt;0,D11=In_downAge,OR(In_home="Own outright",In_home="Own with mortgage"),In_homeValue&gt;0),MAX(0,MAX(0,In_homeValue-In_downValue)*F11*0.9-'Plan cashflow'!HR10),0)</f>
        <v>0</v>
      </c>
      <c r="N11" s="20" t="n">
        <f aca="false">'Plan pay &amp; tax'!Y237</f>
        <v>0</v>
      </c>
      <c r="O11" s="20" t="n">
        <f aca="false">L11+M11+(1-H_Sh)*N11</f>
        <v>0</v>
      </c>
      <c r="P11" s="20" t="n">
        <f aca="false">H_Sh*N11</f>
        <v>0</v>
      </c>
      <c r="Q11" s="20" t="n">
        <f aca="false">'Plan cashflow'!UL11</f>
        <v>0</v>
      </c>
      <c r="R11" s="20" t="n">
        <f aca="false">(1-H_Sh)*Q11</f>
        <v>0</v>
      </c>
      <c r="S11" s="20" t="n">
        <f aca="false">H_Sh*Q11</f>
        <v>0</v>
      </c>
      <c r="T11" s="20" t="n">
        <f aca="false">J11+K11+O11</f>
        <v>0</v>
      </c>
      <c r="U11" s="20" t="n">
        <f aca="false">T11+R11</f>
        <v>0</v>
      </c>
      <c r="V11" s="60" t="n">
        <f aca="false">SUM(FE11:IQ11)</f>
        <v>0</v>
      </c>
      <c r="W11" s="60" t="n">
        <f aca="false">IF(AJ11&lt;=0,0,IF(AL11&lt;=0,AJ11,AJ11-G11*MAX(0,AL11*AJ11-(AY11+AZ11))))</f>
        <v>0</v>
      </c>
      <c r="X11" s="60" t="n">
        <f aca="false">IF(AR11&lt;=0,0,IF(AT11&lt;=0,AR11,AR11-G11*MAX(0,AT11*AR11-(BA11+BB11))))</f>
        <v>0</v>
      </c>
      <c r="Y11" s="60" t="n">
        <f aca="false">T11+V11-S11+W11+X11</f>
        <v>0</v>
      </c>
      <c r="Z11" s="60" t="n">
        <f aca="false">'Plan cashflow'!UK11</f>
        <v>0</v>
      </c>
      <c r="AA11" s="20" t="n">
        <f aca="false">MIN(Z11,U11)</f>
        <v>0</v>
      </c>
      <c r="AB11" s="20" t="n">
        <f aca="false">Z11-AA11</f>
        <v>0</v>
      </c>
      <c r="AC11" s="20" t="n">
        <f aca="false">MIN(AA11,J11+O11+R11)</f>
        <v>0</v>
      </c>
      <c r="AD11" s="20" t="n">
        <f aca="false">AA11-AC11</f>
        <v>0</v>
      </c>
      <c r="AE11" s="20" t="n">
        <f aca="false">J11+O11+R11-AC11</f>
        <v>0</v>
      </c>
      <c r="AF11" s="20" t="n">
        <f aca="false">K11-AD11</f>
        <v>0</v>
      </c>
      <c r="AG11" s="20" t="n">
        <f aca="false">SUM(PR11:TD11)</f>
        <v>0</v>
      </c>
      <c r="AH11" s="20" t="n">
        <f aca="false">SUM(TE11:WQ11)</f>
        <v>0</v>
      </c>
      <c r="AI11" s="20" t="n">
        <f aca="false">MAX(0,AB11-AG11)</f>
        <v>0</v>
      </c>
      <c r="AJ11" s="57" t="n">
        <f aca="false">BI10</f>
        <v>0</v>
      </c>
      <c r="AK11" s="20" t="n">
        <f aca="false">BJ10</f>
        <v>0</v>
      </c>
      <c r="AL11" s="20" t="n">
        <f aca="false">IF(AJ11&gt;0,(AJ11-AK11)/AJ11,0)</f>
        <v>0</v>
      </c>
      <c r="AM11" s="20" t="n">
        <f aca="false">IF(AJ11&lt;=0,0,IF(AL11&lt;=0,MIN(AI11,AJ11),MIN(AI11,AJ11-G11*MAX(0,AL11*AJ11-(AAD11+ADQ11)))))</f>
        <v>0</v>
      </c>
      <c r="AN11" s="20" t="n">
        <f aca="false">IF(AJ11&lt;=0,0,IF(AL11&lt;=0,AM11,IF(AM11&lt;=(AAD11+ADQ11)/AL11,AM11,(AM11-G11*(AAD11+ADQ11))/(1-G11*AL11))))</f>
        <v>0</v>
      </c>
      <c r="AO11" s="20" t="n">
        <f aca="false">IF(AL11&gt;0,MAX(0,AAD11-(MIN(AL11*AN11,(AAD11+ADQ11))-MIN(MIN(AL11*AN11,(AAD11+ADQ11)),ADQ11))),AAD11)</f>
        <v>1270</v>
      </c>
      <c r="AP11" s="20" t="n">
        <f aca="false">IF(AL11&lt;=0,ADQ11-AL11*AN11,ADQ11-MIN(MIN(AL11*AN11,(AAD11+ADQ11)),ADQ11))</f>
        <v>0</v>
      </c>
      <c r="AQ11" s="20" t="n">
        <f aca="false">MAX(0,AI11-AM11)</f>
        <v>0</v>
      </c>
      <c r="AR11" s="57" t="n">
        <f aca="false">BK10</f>
        <v>0</v>
      </c>
      <c r="AS11" s="20" t="n">
        <f aca="false">BL10</f>
        <v>0</v>
      </c>
      <c r="AT11" s="20" t="n">
        <f aca="false">IF(AR11&gt;0,(AR11-AS11)/AR11,0)</f>
        <v>0</v>
      </c>
      <c r="AU11" s="20" t="n">
        <f aca="false">IF(AR11&lt;=0,0,IF(AT11&lt;=0,MIN(AQ11,AR11),MIN(AQ11,AR11-G11*MAX(0,AT11*AR11-(AO11+AP11)))))</f>
        <v>0</v>
      </c>
      <c r="AV11" s="20" t="n">
        <f aca="false">IF(AR11&lt;=0,0,IF(AT11&lt;=0,AU11,IF(AU11&lt;=(AO11+AP11)/AT11,AU11,(AU11-G11*(AO11+AP11))/(1-G11*AT11))))</f>
        <v>0</v>
      </c>
      <c r="AW11" s="20" t="n">
        <f aca="false">IF(AT11&gt;0,MAX(0,AO11-(MIN(AT11*AV11,(AO11+AP11))-MIN(MIN(AT11*AV11,(AO11+AP11)),AP11))),AO11)</f>
        <v>1270</v>
      </c>
      <c r="AX11" s="20" t="n">
        <f aca="false">IF(AT11&lt;=0,AP11-AT11*AV11,AP11-MIN(MIN(AT11*AV11,(AO11+AP11)),AP11))</f>
        <v>0</v>
      </c>
      <c r="AY11" s="20" t="n">
        <f aca="false">MD11</f>
        <v>1270</v>
      </c>
      <c r="AZ11" s="20" t="n">
        <f aca="false">PQ11</f>
        <v>0</v>
      </c>
      <c r="BA11" s="20" t="n">
        <f aca="false">IF(AL11&gt;0,MAX(0,AY11-(MIN(AL11*AJ11,AY11+AZ11)-MIN(MIN(AL11*AJ11,AY11+AZ11),AZ11))),AY11)</f>
        <v>1270</v>
      </c>
      <c r="BB11" s="20" t="n">
        <f aca="false">IF(AL11&lt;=0,AZ11-AL11*AJ11,AZ11-MIN(MIN(AL11*AJ11,AY11+AZ11),AZ11))</f>
        <v>0</v>
      </c>
      <c r="BC11" s="20" t="n">
        <f aca="false">'Plan cashflow'!UM11</f>
        <v>0</v>
      </c>
      <c r="BD11" s="20" t="n">
        <f aca="false">(1-H_Sh)*BC11</f>
        <v>0</v>
      </c>
      <c r="BE11" s="20" t="n">
        <f aca="false">H_Sh*BC11</f>
        <v>0</v>
      </c>
      <c r="BF11" s="60" t="n">
        <f aca="false">(AE11+BD11)*(1+AS_Cash)</f>
        <v>0</v>
      </c>
      <c r="BG11" s="60" t="n">
        <f aca="false">AF11*(1+AS_Cash)</f>
        <v>0</v>
      </c>
      <c r="BH11" s="60" t="n">
        <f aca="false">SUM(AKR11:AOD11)</f>
        <v>0</v>
      </c>
      <c r="BI11" s="60" t="n">
        <f aca="false">(AJ11-AN11)*(1+AS_Infl)</f>
        <v>0</v>
      </c>
      <c r="BJ11" s="20" t="n">
        <f aca="false">IF(AJ11&gt;0,AK11-AK11*AN11/AJ11,0)</f>
        <v>0</v>
      </c>
      <c r="BK11" s="60" t="n">
        <f aca="false">(AR11-AV11)*(1+BQ11)</f>
        <v>0</v>
      </c>
      <c r="BL11" s="20" t="n">
        <f aca="false">IF(AR11&gt;0,AS11-AS11*AV11/AR11,0)</f>
        <v>0</v>
      </c>
      <c r="BM11" s="60" t="n">
        <f aca="false">BF11+BG11+BH11+BI11+BK11</f>
        <v>0</v>
      </c>
      <c r="BN11" s="60" t="n">
        <f aca="false">(AH11-AG11)+(AN11-AM11)+(AV11-AU11)</f>
        <v>0</v>
      </c>
      <c r="BO11" s="20" t="n">
        <f aca="false">(AE11+BD11+AF11+MAX(0,'Plan cashflow'!QH11)+IF(Slot1_Rate=AS_Cash,'Plan cashflow'!QM11/(1+AS_Cash),0)+IF(Slot2_Rate=AS_Cash,'Plan cashflow'!QQ11/(1+AS_Cash),0)+IF(Slot3_Rate=AS_Cash,'Plan cashflow'!QU11/(1+AS_Cash),0)+IF(Slot4_Rate=AS_Cash,'Plan cashflow'!QY11/(1+AS_Cash),0)+IF(Slot5_Rate=AS_Cash,'Plan cashflow'!RC11/(1+AS_Cash),0)+IF(Slot6_Rate=AS_Cash,'Plan cashflow'!RG11/(1+AS_Cash),0)+IF(Slot7_Rate=AS_Cash,'Plan cashflow'!RK11/(1+AS_Cash),0)+IF(Slot8_Rate=AS_Cash,'Plan cashflow'!RO11/(1+AS_Cash),0)+IF(Slot9_Rate=AS_Cash,'Plan cashflow'!RS11/(1+AS_Cash),0)+IF(Slot10_Rate=AS_Cash,'Plan cashflow'!RW11/(1+AS_Cash),0)+IF(Slot11_Rate=AS_Cash,'Plan cashflow'!SA11/(1+AS_Cash),0)+IF(Slot12_Rate=AS_Cash,'Plan cashflow'!SE11/(1+AS_Cash),0)+IF(Slot13_Rate=AS_Cash,'Plan cashflow'!SI11/(1+AS_Cash),0)+IF(Slot14_Rate=AS_Cash,'Plan cashflow'!SM11/(1+AS_Cash),0)+IF(Slot15_Rate=AS_Cash,'Plan cashflow'!SQ11/(1+AS_Cash),0)+IF(Slot16_Rate=AS_Cash,'Plan cashflow'!SU11/(1+AS_Cash),0)+IF(Slot17_Rate=AS_Cash,'Plan cashflow'!SY11/(1+AS_Cash),0)+IF(Slot18_Rate=AS_Cash,'Plan cashflow'!TC11/(1+AS_Cash),0)+IF(Slot19_Rate=AS_Cash,'Plan cashflow'!TG11/(1+AS_Cash),0)+IF(Slot20_Rate=AS_Cash,'Plan cashflow'!TK11/(1+AS_Cash),0))*AS_Cash*H_DIRT/(1-H_DIRT)</f>
        <v>56.6035008335576</v>
      </c>
      <c r="BP11" s="60" t="n">
        <f aca="false">SUM(AVE11:AYQ11)</f>
        <v>0</v>
      </c>
      <c r="BQ11" s="54" t="n">
        <f aca="false">IF(H_TaxEvt=1,H_InvG,AS_Inv)</f>
        <v>0.04</v>
      </c>
      <c r="BR11" s="20" t="n">
        <f aca="false">IF(AKR10&gt;0,(AKR10-AOE10)/AKR10,0)</f>
        <v>0</v>
      </c>
      <c r="BS11" s="20" t="n">
        <f aca="false">IF(AKS10&gt;0,(AKS10-AOF10)/AKS10,0)</f>
        <v>0</v>
      </c>
      <c r="BT11" s="20" t="n">
        <f aca="false">IF(AKT10&gt;0,(AKT10-AOG10)/AKT10,0)</f>
        <v>0</v>
      </c>
      <c r="BU11" s="20" t="n">
        <f aca="false">IF(AKU10&gt;0,(AKU10-AOH10)/AKU10,0)</f>
        <v>0</v>
      </c>
      <c r="BV11" s="20" t="n">
        <f aca="false">IF((P11+S11)&gt;0,((P11+S11)-(P11+S11))/(P11+S11),0)</f>
        <v>0</v>
      </c>
      <c r="BW11" s="20" t="n">
        <v>0</v>
      </c>
      <c r="BX11" s="20" t="n">
        <v>0</v>
      </c>
      <c r="BY11" s="20" t="n">
        <v>0</v>
      </c>
      <c r="BZ11" s="20" t="n">
        <v>0</v>
      </c>
      <c r="CA11" s="20" t="n">
        <v>0</v>
      </c>
      <c r="CB11" s="20" t="n">
        <v>0</v>
      </c>
      <c r="CC11" s="20" t="n">
        <v>0</v>
      </c>
      <c r="CD11" s="20" t="n">
        <v>0</v>
      </c>
      <c r="CE11" s="20" t="n">
        <v>0</v>
      </c>
      <c r="CF11" s="20" t="n">
        <v>0</v>
      </c>
      <c r="CG11" s="20" t="n">
        <v>0</v>
      </c>
      <c r="CH11" s="20" t="n">
        <v>0</v>
      </c>
      <c r="CI11" s="20" t="n">
        <v>0</v>
      </c>
      <c r="CJ11" s="20" t="n">
        <v>0</v>
      </c>
      <c r="CK11" s="20" t="n">
        <v>0</v>
      </c>
      <c r="CL11" s="20" t="n">
        <v>0</v>
      </c>
      <c r="CM11" s="20" t="n">
        <v>0</v>
      </c>
      <c r="CN11" s="20" t="n">
        <v>0</v>
      </c>
      <c r="CO11" s="20" t="n">
        <v>0</v>
      </c>
      <c r="CP11" s="20" t="n">
        <v>0</v>
      </c>
      <c r="CQ11" s="20" t="n">
        <v>0</v>
      </c>
      <c r="CR11" s="20" t="n">
        <v>0</v>
      </c>
      <c r="CS11" s="20" t="n">
        <v>0</v>
      </c>
      <c r="CT11" s="20" t="n">
        <v>0</v>
      </c>
      <c r="CU11" s="20" t="n">
        <v>0</v>
      </c>
      <c r="CV11" s="20" t="n">
        <v>0</v>
      </c>
      <c r="CW11" s="20" t="n">
        <v>0</v>
      </c>
      <c r="CX11" s="20" t="n">
        <v>0</v>
      </c>
      <c r="CY11" s="20" t="n">
        <v>0</v>
      </c>
      <c r="CZ11" s="20" t="n">
        <v>0</v>
      </c>
      <c r="DA11" s="20" t="n">
        <v>0</v>
      </c>
      <c r="DB11" s="20" t="n">
        <v>0</v>
      </c>
      <c r="DC11" s="20" t="n">
        <v>0</v>
      </c>
      <c r="DD11" s="20" t="n">
        <v>0</v>
      </c>
      <c r="DE11" s="20" t="n">
        <v>0</v>
      </c>
      <c r="DF11" s="20" t="n">
        <v>0</v>
      </c>
      <c r="DG11" s="20" t="n">
        <v>0</v>
      </c>
      <c r="DH11" s="20" t="n">
        <v>0</v>
      </c>
      <c r="DI11" s="20" t="n">
        <v>0</v>
      </c>
      <c r="DJ11" s="20" t="n">
        <v>0</v>
      </c>
      <c r="DK11" s="20" t="n">
        <v>0</v>
      </c>
      <c r="DL11" s="20" t="n">
        <v>0</v>
      </c>
      <c r="DM11" s="20" t="n">
        <v>0</v>
      </c>
      <c r="DN11" s="20" t="n">
        <v>0</v>
      </c>
      <c r="DO11" s="20" t="n">
        <v>0</v>
      </c>
      <c r="DP11" s="20" t="n">
        <v>0</v>
      </c>
      <c r="DQ11" s="20" t="n">
        <v>0</v>
      </c>
      <c r="DR11" s="20" t="n">
        <v>0</v>
      </c>
      <c r="DS11" s="20" t="n">
        <v>0</v>
      </c>
      <c r="DT11" s="20" t="n">
        <v>0</v>
      </c>
      <c r="DU11" s="20" t="n">
        <v>0</v>
      </c>
      <c r="DV11" s="20" t="n">
        <v>0</v>
      </c>
      <c r="DW11" s="20" t="n">
        <v>0</v>
      </c>
      <c r="DX11" s="20" t="n">
        <v>0</v>
      </c>
      <c r="DY11" s="20" t="n">
        <v>0</v>
      </c>
      <c r="DZ11" s="20" t="n">
        <v>0</v>
      </c>
      <c r="EA11" s="20" t="n">
        <v>0</v>
      </c>
      <c r="EB11" s="20" t="n">
        <v>0</v>
      </c>
      <c r="EC11" s="20" t="n">
        <v>0</v>
      </c>
      <c r="ED11" s="20" t="n">
        <v>0</v>
      </c>
      <c r="EE11" s="20" t="n">
        <v>0</v>
      </c>
      <c r="EF11" s="20" t="n">
        <v>0</v>
      </c>
      <c r="EG11" s="20" t="n">
        <v>0</v>
      </c>
      <c r="EH11" s="20" t="n">
        <v>0</v>
      </c>
      <c r="EI11" s="20" t="n">
        <v>0</v>
      </c>
      <c r="EJ11" s="20" t="n">
        <v>0</v>
      </c>
      <c r="EK11" s="20" t="n">
        <v>0</v>
      </c>
      <c r="EL11" s="20" t="n">
        <v>0</v>
      </c>
      <c r="EM11" s="20" t="n">
        <v>0</v>
      </c>
      <c r="EN11" s="20" t="n">
        <v>0</v>
      </c>
      <c r="EO11" s="20" t="n">
        <v>0</v>
      </c>
      <c r="EP11" s="20" t="n">
        <v>0</v>
      </c>
      <c r="EQ11" s="20" t="n">
        <v>0</v>
      </c>
      <c r="ER11" s="20" t="n">
        <v>0</v>
      </c>
      <c r="ES11" s="20" t="n">
        <v>0</v>
      </c>
      <c r="ET11" s="20" t="n">
        <v>0</v>
      </c>
      <c r="EU11" s="20" t="n">
        <v>0</v>
      </c>
      <c r="EV11" s="20" t="n">
        <v>0</v>
      </c>
      <c r="EW11" s="20" t="n">
        <v>0</v>
      </c>
      <c r="EX11" s="20" t="n">
        <v>0</v>
      </c>
      <c r="EY11" s="20" t="n">
        <v>0</v>
      </c>
      <c r="EZ11" s="20" t="n">
        <v>0</v>
      </c>
      <c r="FA11" s="20" t="n">
        <v>0</v>
      </c>
      <c r="FB11" s="20" t="n">
        <v>0</v>
      </c>
      <c r="FC11" s="20" t="n">
        <v>0</v>
      </c>
      <c r="FD11" s="20" t="n">
        <v>0</v>
      </c>
      <c r="FE11" s="20" t="n">
        <f aca="false">IF(H_Direct=1,IF(AKR10&lt;=0,0,IF(BR11&lt;=0,AKR10,AKR10-G11*MAX(0,BR11*AKR10-(H11+I11)))),AKR10*(1-MAX(0,BR11)*H_Exit))</f>
        <v>0</v>
      </c>
      <c r="FF11" s="20" t="n">
        <f aca="false">IF(H_Direct=1,IF(AKS10&lt;=0,0,IF(BS11&lt;=0,AKS10,AKS10-G11*MAX(0,BS11*AKS10-(IR11+ME11)))),AKS10*(1-MAX(0,BS11)*H_Exit))</f>
        <v>0</v>
      </c>
      <c r="FG11" s="20" t="n">
        <f aca="false">IF(H_Direct=1,IF(AKT10&lt;=0,0,IF(BT11&lt;=0,AKT10,AKT10-G11*MAX(0,BT11*AKT10-(IS11+MF11)))),AKT10*(1-MAX(0,BT11)*H_Exit))</f>
        <v>0</v>
      </c>
      <c r="FH11" s="20" t="n">
        <f aca="false">IF(H_Direct=1,IF(AKU10&lt;=0,0,IF(BU11&lt;=0,AKU10,AKU10-G11*MAX(0,BU11*AKU10-(IT11+MG11)))),AKU10*(1-MAX(0,BU11)*H_Exit))</f>
        <v>0</v>
      </c>
      <c r="FI11" s="20" t="n">
        <f aca="false">IF(H_Direct=1,IF((P11+S11)&lt;=0,0,IF(BV11&lt;=0,(P11+S11),(P11+S11)-G11*MAX(0,BV11*(P11+S11)-(IU11+MH11)))),(P11+S11)*(1-MAX(0,BV11)*H_Exit))</f>
        <v>0</v>
      </c>
      <c r="FJ11" s="20" t="n">
        <v>0</v>
      </c>
      <c r="FK11" s="20" t="n">
        <v>0</v>
      </c>
      <c r="FL11" s="20" t="n">
        <v>0</v>
      </c>
      <c r="FM11" s="20" t="n">
        <v>0</v>
      </c>
      <c r="FN11" s="20" t="n">
        <v>0</v>
      </c>
      <c r="FO11" s="20" t="n">
        <v>0</v>
      </c>
      <c r="FP11" s="20" t="n">
        <v>0</v>
      </c>
      <c r="FQ11" s="20" t="n">
        <v>0</v>
      </c>
      <c r="FR11" s="20" t="n">
        <v>0</v>
      </c>
      <c r="FS11" s="20" t="n">
        <v>0</v>
      </c>
      <c r="FT11" s="20" t="n">
        <v>0</v>
      </c>
      <c r="FU11" s="20" t="n">
        <v>0</v>
      </c>
      <c r="FV11" s="20" t="n">
        <v>0</v>
      </c>
      <c r="FW11" s="20" t="n">
        <v>0</v>
      </c>
      <c r="FX11" s="20" t="n">
        <v>0</v>
      </c>
      <c r="FY11" s="20" t="n">
        <v>0</v>
      </c>
      <c r="FZ11" s="20" t="n">
        <v>0</v>
      </c>
      <c r="GA11" s="20" t="n">
        <v>0</v>
      </c>
      <c r="GB11" s="20" t="n">
        <v>0</v>
      </c>
      <c r="GC11" s="20" t="n">
        <v>0</v>
      </c>
      <c r="GD11" s="20" t="n">
        <v>0</v>
      </c>
      <c r="GE11" s="20" t="n">
        <v>0</v>
      </c>
      <c r="GF11" s="20" t="n">
        <v>0</v>
      </c>
      <c r="GG11" s="20" t="n">
        <v>0</v>
      </c>
      <c r="GH11" s="20" t="n">
        <v>0</v>
      </c>
      <c r="GI11" s="20" t="n">
        <v>0</v>
      </c>
      <c r="GJ11" s="20" t="n">
        <v>0</v>
      </c>
      <c r="GK11" s="20" t="n">
        <v>0</v>
      </c>
      <c r="GL11" s="20" t="n">
        <v>0</v>
      </c>
      <c r="GM11" s="20" t="n">
        <v>0</v>
      </c>
      <c r="GN11" s="20" t="n">
        <v>0</v>
      </c>
      <c r="GO11" s="20" t="n">
        <v>0</v>
      </c>
      <c r="GP11" s="20" t="n">
        <v>0</v>
      </c>
      <c r="GQ11" s="20" t="n">
        <v>0</v>
      </c>
      <c r="GR11" s="20" t="n">
        <v>0</v>
      </c>
      <c r="GS11" s="20" t="n">
        <v>0</v>
      </c>
      <c r="GT11" s="20" t="n">
        <v>0</v>
      </c>
      <c r="GU11" s="20" t="n">
        <v>0</v>
      </c>
      <c r="GV11" s="20" t="n">
        <v>0</v>
      </c>
      <c r="GW11" s="20" t="n">
        <v>0</v>
      </c>
      <c r="GX11" s="20" t="n">
        <v>0</v>
      </c>
      <c r="GY11" s="20" t="n">
        <v>0</v>
      </c>
      <c r="GZ11" s="20" t="n">
        <v>0</v>
      </c>
      <c r="HA11" s="20" t="n">
        <v>0</v>
      </c>
      <c r="HB11" s="20" t="n">
        <v>0</v>
      </c>
      <c r="HC11" s="20" t="n">
        <v>0</v>
      </c>
      <c r="HD11" s="20" t="n">
        <v>0</v>
      </c>
      <c r="HE11" s="20" t="n">
        <v>0</v>
      </c>
      <c r="HF11" s="20" t="n">
        <v>0</v>
      </c>
      <c r="HG11" s="20" t="n">
        <v>0</v>
      </c>
      <c r="HH11" s="20" t="n">
        <v>0</v>
      </c>
      <c r="HI11" s="20" t="n">
        <v>0</v>
      </c>
      <c r="HJ11" s="20" t="n">
        <v>0</v>
      </c>
      <c r="HK11" s="20" t="n">
        <v>0</v>
      </c>
      <c r="HL11" s="20" t="n">
        <v>0</v>
      </c>
      <c r="HM11" s="20" t="n">
        <v>0</v>
      </c>
      <c r="HN11" s="20" t="n">
        <v>0</v>
      </c>
      <c r="HO11" s="20" t="n">
        <v>0</v>
      </c>
      <c r="HP11" s="20" t="n">
        <v>0</v>
      </c>
      <c r="HQ11" s="20" t="n">
        <v>0</v>
      </c>
      <c r="HR11" s="20" t="n">
        <v>0</v>
      </c>
      <c r="HS11" s="20" t="n">
        <v>0</v>
      </c>
      <c r="HT11" s="20" t="n">
        <v>0</v>
      </c>
      <c r="HU11" s="20" t="n">
        <v>0</v>
      </c>
      <c r="HV11" s="20" t="n">
        <v>0</v>
      </c>
      <c r="HW11" s="20" t="n">
        <v>0</v>
      </c>
      <c r="HX11" s="20" t="n">
        <v>0</v>
      </c>
      <c r="HY11" s="20" t="n">
        <v>0</v>
      </c>
      <c r="HZ11" s="20" t="n">
        <v>0</v>
      </c>
      <c r="IA11" s="20" t="n">
        <v>0</v>
      </c>
      <c r="IB11" s="20" t="n">
        <v>0</v>
      </c>
      <c r="IC11" s="20" t="n">
        <v>0</v>
      </c>
      <c r="ID11" s="20" t="n">
        <v>0</v>
      </c>
      <c r="IE11" s="20" t="n">
        <v>0</v>
      </c>
      <c r="IF11" s="20" t="n">
        <v>0</v>
      </c>
      <c r="IG11" s="20" t="n">
        <v>0</v>
      </c>
      <c r="IH11" s="20" t="n">
        <v>0</v>
      </c>
      <c r="II11" s="20" t="n">
        <v>0</v>
      </c>
      <c r="IJ11" s="20" t="n">
        <v>0</v>
      </c>
      <c r="IK11" s="20" t="n">
        <v>0</v>
      </c>
      <c r="IL11" s="20" t="n">
        <v>0</v>
      </c>
      <c r="IM11" s="20" t="n">
        <v>0</v>
      </c>
      <c r="IN11" s="20" t="n">
        <v>0</v>
      </c>
      <c r="IO11" s="20" t="n">
        <v>0</v>
      </c>
      <c r="IP11" s="20" t="n">
        <v>0</v>
      </c>
      <c r="IQ11" s="20" t="n">
        <v>0</v>
      </c>
      <c r="IR11" s="20" t="n">
        <f aca="false">IF(AND(H_Direct=1,BR11&gt;0),MAX(0,H11-(MIN(BR11*AKR10,H11+I11)-MIN(MIN(BR11*AKR10,H11+I11),I11))),H11)</f>
        <v>1270</v>
      </c>
      <c r="IS11" s="20" t="n">
        <f aca="false">IF(AND(H_Direct=1,BS11&gt;0),MAX(0,IR11-(MIN(BS11*AKS10,IR11+ME11)-MIN(MIN(BS11*AKS10,IR11+ME11),ME11))),IR11)</f>
        <v>1270</v>
      </c>
      <c r="IT11" s="20" t="n">
        <f aca="false">IF(AND(H_Direct=1,BT11&gt;0),MAX(0,IS11-(MIN(BT11*AKT10,IS11+MF11)-MIN(MIN(BT11*AKT10,IS11+MF11),MF11))),IS11)</f>
        <v>1270</v>
      </c>
      <c r="IU11" s="20" t="n">
        <f aca="false">IF(AND(H_Direct=1,BU11&gt;0),MAX(0,IT11-(MIN(BU11*AKU10,IT11+MG11)-MIN(MIN(BU11*AKU10,IT11+MG11),MG11))),IT11)</f>
        <v>1270</v>
      </c>
      <c r="IV11" s="20" t="n">
        <f aca="false">IF(AND(H_Direct=1,BV11&gt;0),MAX(0,IU11-(MIN(BV11*(P11+S11),IU11+MH11)-MIN(MIN(BV11*(P11+S11),IU11+MH11),MH11))),IU11)</f>
        <v>1270</v>
      </c>
      <c r="IW11" s="20" t="n">
        <f aca="false">IV11</f>
        <v>1270</v>
      </c>
      <c r="IX11" s="20" t="n">
        <f aca="false">IW11</f>
        <v>1270</v>
      </c>
      <c r="IY11" s="20" t="n">
        <f aca="false">IX11</f>
        <v>1270</v>
      </c>
      <c r="IZ11" s="20" t="n">
        <f aca="false">IY11</f>
        <v>1270</v>
      </c>
      <c r="JA11" s="20" t="n">
        <f aca="false">IZ11</f>
        <v>1270</v>
      </c>
      <c r="JB11" s="20" t="n">
        <f aca="false">JA11</f>
        <v>1270</v>
      </c>
      <c r="JC11" s="20" t="n">
        <f aca="false">JB11</f>
        <v>1270</v>
      </c>
      <c r="JD11" s="20" t="n">
        <f aca="false">JC11</f>
        <v>1270</v>
      </c>
      <c r="JE11" s="20" t="n">
        <f aca="false">JD11</f>
        <v>1270</v>
      </c>
      <c r="JF11" s="20" t="n">
        <f aca="false">JE11</f>
        <v>1270</v>
      </c>
      <c r="JG11" s="20" t="n">
        <f aca="false">JF11</f>
        <v>1270</v>
      </c>
      <c r="JH11" s="20" t="n">
        <f aca="false">JG11</f>
        <v>1270</v>
      </c>
      <c r="JI11" s="20" t="n">
        <f aca="false">JH11</f>
        <v>1270</v>
      </c>
      <c r="JJ11" s="20" t="n">
        <f aca="false">JI11</f>
        <v>1270</v>
      </c>
      <c r="JK11" s="20" t="n">
        <f aca="false">JJ11</f>
        <v>1270</v>
      </c>
      <c r="JL11" s="20" t="n">
        <f aca="false">JK11</f>
        <v>1270</v>
      </c>
      <c r="JM11" s="20" t="n">
        <f aca="false">JL11</f>
        <v>1270</v>
      </c>
      <c r="JN11" s="20" t="n">
        <f aca="false">JM11</f>
        <v>1270</v>
      </c>
      <c r="JO11" s="20" t="n">
        <f aca="false">JN11</f>
        <v>1270</v>
      </c>
      <c r="JP11" s="20" t="n">
        <f aca="false">JO11</f>
        <v>1270</v>
      </c>
      <c r="JQ11" s="20" t="n">
        <f aca="false">JP11</f>
        <v>1270</v>
      </c>
      <c r="JR11" s="20" t="n">
        <f aca="false">JQ11</f>
        <v>1270</v>
      </c>
      <c r="JS11" s="20" t="n">
        <f aca="false">JR11</f>
        <v>1270</v>
      </c>
      <c r="JT11" s="20" t="n">
        <f aca="false">JS11</f>
        <v>1270</v>
      </c>
      <c r="JU11" s="20" t="n">
        <f aca="false">JT11</f>
        <v>1270</v>
      </c>
      <c r="JV11" s="20" t="n">
        <f aca="false">JU11</f>
        <v>1270</v>
      </c>
      <c r="JW11" s="20" t="n">
        <f aca="false">JV11</f>
        <v>1270</v>
      </c>
      <c r="JX11" s="20" t="n">
        <f aca="false">JW11</f>
        <v>1270</v>
      </c>
      <c r="JY11" s="20" t="n">
        <f aca="false">JX11</f>
        <v>1270</v>
      </c>
      <c r="JZ11" s="20" t="n">
        <f aca="false">JY11</f>
        <v>1270</v>
      </c>
      <c r="KA11" s="20" t="n">
        <f aca="false">JZ11</f>
        <v>1270</v>
      </c>
      <c r="KB11" s="20" t="n">
        <f aca="false">KA11</f>
        <v>1270</v>
      </c>
      <c r="KC11" s="20" t="n">
        <f aca="false">KB11</f>
        <v>1270</v>
      </c>
      <c r="KD11" s="20" t="n">
        <f aca="false">KC11</f>
        <v>1270</v>
      </c>
      <c r="KE11" s="20" t="n">
        <f aca="false">KD11</f>
        <v>1270</v>
      </c>
      <c r="KF11" s="20" t="n">
        <f aca="false">KE11</f>
        <v>1270</v>
      </c>
      <c r="KG11" s="20" t="n">
        <f aca="false">KF11</f>
        <v>1270</v>
      </c>
      <c r="KH11" s="20" t="n">
        <f aca="false">KG11</f>
        <v>1270</v>
      </c>
      <c r="KI11" s="20" t="n">
        <f aca="false">KH11</f>
        <v>1270</v>
      </c>
      <c r="KJ11" s="20" t="n">
        <f aca="false">KI11</f>
        <v>1270</v>
      </c>
      <c r="KK11" s="20" t="n">
        <f aca="false">KJ11</f>
        <v>1270</v>
      </c>
      <c r="KL11" s="20" t="n">
        <f aca="false">KK11</f>
        <v>1270</v>
      </c>
      <c r="KM11" s="20" t="n">
        <f aca="false">KL11</f>
        <v>1270</v>
      </c>
      <c r="KN11" s="20" t="n">
        <f aca="false">KM11</f>
        <v>1270</v>
      </c>
      <c r="KO11" s="20" t="n">
        <f aca="false">KN11</f>
        <v>1270</v>
      </c>
      <c r="KP11" s="20" t="n">
        <f aca="false">KO11</f>
        <v>1270</v>
      </c>
      <c r="KQ11" s="20" t="n">
        <f aca="false">KP11</f>
        <v>1270</v>
      </c>
      <c r="KR11" s="20" t="n">
        <f aca="false">KQ11</f>
        <v>1270</v>
      </c>
      <c r="KS11" s="20" t="n">
        <f aca="false">KR11</f>
        <v>1270</v>
      </c>
      <c r="KT11" s="20" t="n">
        <f aca="false">KS11</f>
        <v>1270</v>
      </c>
      <c r="KU11" s="20" t="n">
        <f aca="false">KT11</f>
        <v>1270</v>
      </c>
      <c r="KV11" s="20" t="n">
        <f aca="false">KU11</f>
        <v>1270</v>
      </c>
      <c r="KW11" s="20" t="n">
        <f aca="false">KV11</f>
        <v>1270</v>
      </c>
      <c r="KX11" s="20" t="n">
        <f aca="false">KW11</f>
        <v>1270</v>
      </c>
      <c r="KY11" s="20" t="n">
        <f aca="false">KX11</f>
        <v>1270</v>
      </c>
      <c r="KZ11" s="20" t="n">
        <f aca="false">KY11</f>
        <v>1270</v>
      </c>
      <c r="LA11" s="20" t="n">
        <f aca="false">KZ11</f>
        <v>1270</v>
      </c>
      <c r="LB11" s="20" t="n">
        <f aca="false">LA11</f>
        <v>1270</v>
      </c>
      <c r="LC11" s="20" t="n">
        <f aca="false">LB11</f>
        <v>1270</v>
      </c>
      <c r="LD11" s="20" t="n">
        <f aca="false">LC11</f>
        <v>1270</v>
      </c>
      <c r="LE11" s="20" t="n">
        <f aca="false">LD11</f>
        <v>1270</v>
      </c>
      <c r="LF11" s="20" t="n">
        <f aca="false">LE11</f>
        <v>1270</v>
      </c>
      <c r="LG11" s="20" t="n">
        <f aca="false">LF11</f>
        <v>1270</v>
      </c>
      <c r="LH11" s="20" t="n">
        <f aca="false">LG11</f>
        <v>1270</v>
      </c>
      <c r="LI11" s="20" t="n">
        <f aca="false">LH11</f>
        <v>1270</v>
      </c>
      <c r="LJ11" s="20" t="n">
        <f aca="false">LI11</f>
        <v>1270</v>
      </c>
      <c r="LK11" s="20" t="n">
        <f aca="false">LJ11</f>
        <v>1270</v>
      </c>
      <c r="LL11" s="20" t="n">
        <f aca="false">LK11</f>
        <v>1270</v>
      </c>
      <c r="LM11" s="20" t="n">
        <f aca="false">LL11</f>
        <v>1270</v>
      </c>
      <c r="LN11" s="20" t="n">
        <f aca="false">LM11</f>
        <v>1270</v>
      </c>
      <c r="LO11" s="20" t="n">
        <f aca="false">LN11</f>
        <v>1270</v>
      </c>
      <c r="LP11" s="20" t="n">
        <f aca="false">LO11</f>
        <v>1270</v>
      </c>
      <c r="LQ11" s="20" t="n">
        <f aca="false">LP11</f>
        <v>1270</v>
      </c>
      <c r="LR11" s="20" t="n">
        <f aca="false">LQ11</f>
        <v>1270</v>
      </c>
      <c r="LS11" s="20" t="n">
        <f aca="false">LR11</f>
        <v>1270</v>
      </c>
      <c r="LT11" s="20" t="n">
        <f aca="false">LS11</f>
        <v>1270</v>
      </c>
      <c r="LU11" s="20" t="n">
        <f aca="false">LT11</f>
        <v>1270</v>
      </c>
      <c r="LV11" s="20" t="n">
        <f aca="false">LU11</f>
        <v>1270</v>
      </c>
      <c r="LW11" s="20" t="n">
        <f aca="false">LV11</f>
        <v>1270</v>
      </c>
      <c r="LX11" s="20" t="n">
        <f aca="false">LW11</f>
        <v>1270</v>
      </c>
      <c r="LY11" s="20" t="n">
        <f aca="false">LX11</f>
        <v>1270</v>
      </c>
      <c r="LZ11" s="20" t="n">
        <f aca="false">LY11</f>
        <v>1270</v>
      </c>
      <c r="MA11" s="20" t="n">
        <f aca="false">LZ11</f>
        <v>1270</v>
      </c>
      <c r="MB11" s="20" t="n">
        <f aca="false">MA11</f>
        <v>1270</v>
      </c>
      <c r="MC11" s="20" t="n">
        <f aca="false">MB11</f>
        <v>1270</v>
      </c>
      <c r="MD11" s="20" t="n">
        <f aca="false">MC11</f>
        <v>1270</v>
      </c>
      <c r="ME11" s="20" t="n">
        <f aca="false">IF(H_Direct=1,IF(BR11&lt;=0,I11-BR11*AKR10,I11-MIN(MIN(BR11*AKR10,H11+I11),I11)),I11)</f>
        <v>0</v>
      </c>
      <c r="MF11" s="20" t="n">
        <f aca="false">IF(H_Direct=1,IF(BS11&lt;=0,ME11-BS11*AKS10,ME11-MIN(MIN(BS11*AKS10,IR11+ME11),ME11)),ME11)</f>
        <v>0</v>
      </c>
      <c r="MG11" s="20" t="n">
        <f aca="false">IF(H_Direct=1,IF(BT11&lt;=0,MF11-BT11*AKT10,MF11-MIN(MIN(BT11*AKT10,IS11+MF11),MF11)),MF11)</f>
        <v>0</v>
      </c>
      <c r="MH11" s="20" t="n">
        <f aca="false">IF(H_Direct=1,IF(BU11&lt;=0,MG11-BU11*AKU10,MG11-MIN(MIN(BU11*AKU10,IT11+MG11),MG11)),MG11)</f>
        <v>0</v>
      </c>
      <c r="MI11" s="20" t="n">
        <f aca="false">IF(H_Direct=1,IF(BV11&lt;=0,MH11-BV11*(P11+S11),MH11-MIN(MIN(BV11*(P11+S11),IU11+MH11),MH11)),MH11)</f>
        <v>0</v>
      </c>
      <c r="MJ11" s="20" t="n">
        <f aca="false">MI11</f>
        <v>0</v>
      </c>
      <c r="MK11" s="20" t="n">
        <f aca="false">MJ11</f>
        <v>0</v>
      </c>
      <c r="ML11" s="20" t="n">
        <f aca="false">MK11</f>
        <v>0</v>
      </c>
      <c r="MM11" s="20" t="n">
        <f aca="false">ML11</f>
        <v>0</v>
      </c>
      <c r="MN11" s="20" t="n">
        <f aca="false">MM11</f>
        <v>0</v>
      </c>
      <c r="MO11" s="20" t="n">
        <f aca="false">MN11</f>
        <v>0</v>
      </c>
      <c r="MP11" s="20" t="n">
        <f aca="false">MO11</f>
        <v>0</v>
      </c>
      <c r="MQ11" s="20" t="n">
        <f aca="false">MP11</f>
        <v>0</v>
      </c>
      <c r="MR11" s="20" t="n">
        <f aca="false">MQ11</f>
        <v>0</v>
      </c>
      <c r="MS11" s="20" t="n">
        <f aca="false">MR11</f>
        <v>0</v>
      </c>
      <c r="MT11" s="20" t="n">
        <f aca="false">MS11</f>
        <v>0</v>
      </c>
      <c r="MU11" s="20" t="n">
        <f aca="false">MT11</f>
        <v>0</v>
      </c>
      <c r="MV11" s="20" t="n">
        <f aca="false">MU11</f>
        <v>0</v>
      </c>
      <c r="MW11" s="20" t="n">
        <f aca="false">MV11</f>
        <v>0</v>
      </c>
      <c r="MX11" s="20" t="n">
        <f aca="false">MW11</f>
        <v>0</v>
      </c>
      <c r="MY11" s="20" t="n">
        <f aca="false">MX11</f>
        <v>0</v>
      </c>
      <c r="MZ11" s="20" t="n">
        <f aca="false">MY11</f>
        <v>0</v>
      </c>
      <c r="NA11" s="20" t="n">
        <f aca="false">MZ11</f>
        <v>0</v>
      </c>
      <c r="NB11" s="20" t="n">
        <f aca="false">NA11</f>
        <v>0</v>
      </c>
      <c r="NC11" s="20" t="n">
        <f aca="false">NB11</f>
        <v>0</v>
      </c>
      <c r="ND11" s="20" t="n">
        <f aca="false">NC11</f>
        <v>0</v>
      </c>
      <c r="NE11" s="20" t="n">
        <f aca="false">ND11</f>
        <v>0</v>
      </c>
      <c r="NF11" s="20" t="n">
        <f aca="false">NE11</f>
        <v>0</v>
      </c>
      <c r="NG11" s="20" t="n">
        <f aca="false">NF11</f>
        <v>0</v>
      </c>
      <c r="NH11" s="20" t="n">
        <f aca="false">NG11</f>
        <v>0</v>
      </c>
      <c r="NI11" s="20" t="n">
        <f aca="false">NH11</f>
        <v>0</v>
      </c>
      <c r="NJ11" s="20" t="n">
        <f aca="false">NI11</f>
        <v>0</v>
      </c>
      <c r="NK11" s="20" t="n">
        <f aca="false">NJ11</f>
        <v>0</v>
      </c>
      <c r="NL11" s="20" t="n">
        <f aca="false">NK11</f>
        <v>0</v>
      </c>
      <c r="NM11" s="20" t="n">
        <f aca="false">NL11</f>
        <v>0</v>
      </c>
      <c r="NN11" s="20" t="n">
        <f aca="false">NM11</f>
        <v>0</v>
      </c>
      <c r="NO11" s="20" t="n">
        <f aca="false">NN11</f>
        <v>0</v>
      </c>
      <c r="NP11" s="20" t="n">
        <f aca="false">NO11</f>
        <v>0</v>
      </c>
      <c r="NQ11" s="20" t="n">
        <f aca="false">NP11</f>
        <v>0</v>
      </c>
      <c r="NR11" s="20" t="n">
        <f aca="false">NQ11</f>
        <v>0</v>
      </c>
      <c r="NS11" s="20" t="n">
        <f aca="false">NR11</f>
        <v>0</v>
      </c>
      <c r="NT11" s="20" t="n">
        <f aca="false">NS11</f>
        <v>0</v>
      </c>
      <c r="NU11" s="20" t="n">
        <f aca="false">NT11</f>
        <v>0</v>
      </c>
      <c r="NV11" s="20" t="n">
        <f aca="false">NU11</f>
        <v>0</v>
      </c>
      <c r="NW11" s="20" t="n">
        <f aca="false">NV11</f>
        <v>0</v>
      </c>
      <c r="NX11" s="20" t="n">
        <f aca="false">NW11</f>
        <v>0</v>
      </c>
      <c r="NY11" s="20" t="n">
        <f aca="false">NX11</f>
        <v>0</v>
      </c>
      <c r="NZ11" s="20" t="n">
        <f aca="false">NY11</f>
        <v>0</v>
      </c>
      <c r="OA11" s="20" t="n">
        <f aca="false">NZ11</f>
        <v>0</v>
      </c>
      <c r="OB11" s="20" t="n">
        <f aca="false">OA11</f>
        <v>0</v>
      </c>
      <c r="OC11" s="20" t="n">
        <f aca="false">OB11</f>
        <v>0</v>
      </c>
      <c r="OD11" s="20" t="n">
        <f aca="false">OC11</f>
        <v>0</v>
      </c>
      <c r="OE11" s="20" t="n">
        <f aca="false">OD11</f>
        <v>0</v>
      </c>
      <c r="OF11" s="20" t="n">
        <f aca="false">OE11</f>
        <v>0</v>
      </c>
      <c r="OG11" s="20" t="n">
        <f aca="false">OF11</f>
        <v>0</v>
      </c>
      <c r="OH11" s="20" t="n">
        <f aca="false">OG11</f>
        <v>0</v>
      </c>
      <c r="OI11" s="20" t="n">
        <f aca="false">OH11</f>
        <v>0</v>
      </c>
      <c r="OJ11" s="20" t="n">
        <f aca="false">OI11</f>
        <v>0</v>
      </c>
      <c r="OK11" s="20" t="n">
        <f aca="false">OJ11</f>
        <v>0</v>
      </c>
      <c r="OL11" s="20" t="n">
        <f aca="false">OK11</f>
        <v>0</v>
      </c>
      <c r="OM11" s="20" t="n">
        <f aca="false">OL11</f>
        <v>0</v>
      </c>
      <c r="ON11" s="20" t="n">
        <f aca="false">OM11</f>
        <v>0</v>
      </c>
      <c r="OO11" s="20" t="n">
        <f aca="false">ON11</f>
        <v>0</v>
      </c>
      <c r="OP11" s="20" t="n">
        <f aca="false">OO11</f>
        <v>0</v>
      </c>
      <c r="OQ11" s="20" t="n">
        <f aca="false">OP11</f>
        <v>0</v>
      </c>
      <c r="OR11" s="20" t="n">
        <f aca="false">OQ11</f>
        <v>0</v>
      </c>
      <c r="OS11" s="20" t="n">
        <f aca="false">OR11</f>
        <v>0</v>
      </c>
      <c r="OT11" s="20" t="n">
        <f aca="false">OS11</f>
        <v>0</v>
      </c>
      <c r="OU11" s="20" t="n">
        <f aca="false">OT11</f>
        <v>0</v>
      </c>
      <c r="OV11" s="20" t="n">
        <f aca="false">OU11</f>
        <v>0</v>
      </c>
      <c r="OW11" s="20" t="n">
        <f aca="false">OV11</f>
        <v>0</v>
      </c>
      <c r="OX11" s="20" t="n">
        <f aca="false">OW11</f>
        <v>0</v>
      </c>
      <c r="OY11" s="20" t="n">
        <f aca="false">OX11</f>
        <v>0</v>
      </c>
      <c r="OZ11" s="20" t="n">
        <f aca="false">OY11</f>
        <v>0</v>
      </c>
      <c r="PA11" s="20" t="n">
        <f aca="false">OZ11</f>
        <v>0</v>
      </c>
      <c r="PB11" s="20" t="n">
        <f aca="false">PA11</f>
        <v>0</v>
      </c>
      <c r="PC11" s="20" t="n">
        <f aca="false">PB11</f>
        <v>0</v>
      </c>
      <c r="PD11" s="20" t="n">
        <f aca="false">PC11</f>
        <v>0</v>
      </c>
      <c r="PE11" s="20" t="n">
        <f aca="false">PD11</f>
        <v>0</v>
      </c>
      <c r="PF11" s="20" t="n">
        <f aca="false">PE11</f>
        <v>0</v>
      </c>
      <c r="PG11" s="20" t="n">
        <f aca="false">PF11</f>
        <v>0</v>
      </c>
      <c r="PH11" s="20" t="n">
        <f aca="false">PG11</f>
        <v>0</v>
      </c>
      <c r="PI11" s="20" t="n">
        <f aca="false">PH11</f>
        <v>0</v>
      </c>
      <c r="PJ11" s="20" t="n">
        <f aca="false">PI11</f>
        <v>0</v>
      </c>
      <c r="PK11" s="20" t="n">
        <f aca="false">PJ11</f>
        <v>0</v>
      </c>
      <c r="PL11" s="20" t="n">
        <f aca="false">PK11</f>
        <v>0</v>
      </c>
      <c r="PM11" s="20" t="n">
        <f aca="false">PL11</f>
        <v>0</v>
      </c>
      <c r="PN11" s="20" t="n">
        <f aca="false">PM11</f>
        <v>0</v>
      </c>
      <c r="PO11" s="20" t="n">
        <f aca="false">PN11</f>
        <v>0</v>
      </c>
      <c r="PP11" s="20" t="n">
        <f aca="false">PO11</f>
        <v>0</v>
      </c>
      <c r="PQ11" s="20" t="n">
        <f aca="false">PP11</f>
        <v>0</v>
      </c>
      <c r="PR11" s="20" t="n">
        <f aca="false">IF(H_Direct=1,IF(AKR10&lt;=0,0,IF(BR11&lt;=0,MIN(MAX(0,AB11),AKR10),MIN(MAX(0,AB11),AKR10-G11*MAX(0,BR11*AKR10-(H11+I11))))),MIN(FE11,MAX(0,AB11)))</f>
        <v>0</v>
      </c>
      <c r="PS11" s="20" t="n">
        <f aca="false">IF(H_Direct=1,IF(AKS10&lt;=0,0,IF(BS11&lt;=0,MIN(MAX(0,AB11-SUM(PR11:PR11)),AKS10),MIN(MAX(0,AB11-SUM(PR11:PR11)),AKS10-G11*MAX(0,BS11*AKS10-(WR11+AAE11))))),MIN(FF11,MAX(0,AB11-SUM(PR11:PR11))))</f>
        <v>0</v>
      </c>
      <c r="PT11" s="20" t="n">
        <f aca="false">IF(H_Direct=1,IF(AKT10&lt;=0,0,IF(BT11&lt;=0,MIN(MAX(0,AB11-SUM(PR11:PS11)),AKT10),MIN(MAX(0,AB11-SUM(PR11:PS11)),AKT10-G11*MAX(0,BT11*AKT10-(WS11+AAF11))))),MIN(FG11,MAX(0,AB11-SUM(PR11:PS11))))</f>
        <v>0</v>
      </c>
      <c r="PU11" s="20" t="n">
        <f aca="false">IF(H_Direct=1,IF(AKU10&lt;=0,0,IF(BU11&lt;=0,MIN(MAX(0,AB11-SUM(PR11:PT11)),AKU10),MIN(MAX(0,AB11-SUM(PR11:PT11)),AKU10-G11*MAX(0,BU11*AKU10-(WT11+AAG11))))),MIN(FH11,MAX(0,AB11-SUM(PR11:PT11))))</f>
        <v>0</v>
      </c>
      <c r="PV11" s="20" t="n">
        <f aca="false">IF(H_Direct=1,IF((P11+S11)&lt;=0,0,IF(BV11&lt;=0,MIN(MAX(0,AB11-SUM(PR11:PU11)),(P11+S11)),MIN(MAX(0,AB11-SUM(PR11:PU11)),(P11+S11)-G11*MAX(0,BV11*(P11+S11)-(WU11+AAH11))))),MIN(FI11,MAX(0,AB11-SUM(PR11:PU11))))</f>
        <v>0</v>
      </c>
      <c r="PW11" s="20" t="n">
        <v>0</v>
      </c>
      <c r="PX11" s="20" t="n">
        <v>0</v>
      </c>
      <c r="PY11" s="20" t="n">
        <v>0</v>
      </c>
      <c r="PZ11" s="20" t="n">
        <v>0</v>
      </c>
      <c r="QA11" s="20" t="n">
        <v>0</v>
      </c>
      <c r="QB11" s="20" t="n">
        <v>0</v>
      </c>
      <c r="QC11" s="20" t="n">
        <v>0</v>
      </c>
      <c r="QD11" s="20" t="n">
        <v>0</v>
      </c>
      <c r="QE11" s="20" t="n">
        <v>0</v>
      </c>
      <c r="QF11" s="20" t="n">
        <v>0</v>
      </c>
      <c r="QG11" s="20" t="n">
        <v>0</v>
      </c>
      <c r="QH11" s="20" t="n">
        <v>0</v>
      </c>
      <c r="QI11" s="20" t="n">
        <v>0</v>
      </c>
      <c r="QJ11" s="20" t="n">
        <v>0</v>
      </c>
      <c r="QK11" s="20" t="n">
        <v>0</v>
      </c>
      <c r="QL11" s="20" t="n">
        <v>0</v>
      </c>
      <c r="QM11" s="20" t="n">
        <v>0</v>
      </c>
      <c r="QN11" s="20" t="n">
        <v>0</v>
      </c>
      <c r="QO11" s="20" t="n">
        <v>0</v>
      </c>
      <c r="QP11" s="20" t="n">
        <v>0</v>
      </c>
      <c r="QQ11" s="20" t="n">
        <v>0</v>
      </c>
      <c r="QR11" s="20" t="n">
        <v>0</v>
      </c>
      <c r="QS11" s="20" t="n">
        <v>0</v>
      </c>
      <c r="QT11" s="20" t="n">
        <v>0</v>
      </c>
      <c r="QU11" s="20" t="n">
        <v>0</v>
      </c>
      <c r="QV11" s="20" t="n">
        <v>0</v>
      </c>
      <c r="QW11" s="20" t="n">
        <v>0</v>
      </c>
      <c r="QX11" s="20" t="n">
        <v>0</v>
      </c>
      <c r="QY11" s="20" t="n">
        <v>0</v>
      </c>
      <c r="QZ11" s="20" t="n">
        <v>0</v>
      </c>
      <c r="RA11" s="20" t="n">
        <v>0</v>
      </c>
      <c r="RB11" s="20" t="n">
        <v>0</v>
      </c>
      <c r="RC11" s="20" t="n">
        <v>0</v>
      </c>
      <c r="RD11" s="20" t="n">
        <v>0</v>
      </c>
      <c r="RE11" s="20" t="n">
        <v>0</v>
      </c>
      <c r="RF11" s="20" t="n">
        <v>0</v>
      </c>
      <c r="RG11" s="20" t="n">
        <v>0</v>
      </c>
      <c r="RH11" s="20" t="n">
        <v>0</v>
      </c>
      <c r="RI11" s="20" t="n">
        <v>0</v>
      </c>
      <c r="RJ11" s="20" t="n">
        <v>0</v>
      </c>
      <c r="RK11" s="20" t="n">
        <v>0</v>
      </c>
      <c r="RL11" s="20" t="n">
        <v>0</v>
      </c>
      <c r="RM11" s="20" t="n">
        <v>0</v>
      </c>
      <c r="RN11" s="20" t="n">
        <v>0</v>
      </c>
      <c r="RO11" s="20" t="n">
        <v>0</v>
      </c>
      <c r="RP11" s="20" t="n">
        <v>0</v>
      </c>
      <c r="RQ11" s="20" t="n">
        <v>0</v>
      </c>
      <c r="RR11" s="20" t="n">
        <v>0</v>
      </c>
      <c r="RS11" s="20" t="n">
        <v>0</v>
      </c>
      <c r="RT11" s="20" t="n">
        <v>0</v>
      </c>
      <c r="RU11" s="20" t="n">
        <v>0</v>
      </c>
      <c r="RV11" s="20" t="n">
        <v>0</v>
      </c>
      <c r="RW11" s="20" t="n">
        <v>0</v>
      </c>
      <c r="RX11" s="20" t="n">
        <v>0</v>
      </c>
      <c r="RY11" s="20" t="n">
        <v>0</v>
      </c>
      <c r="RZ11" s="20" t="n">
        <v>0</v>
      </c>
      <c r="SA11" s="20" t="n">
        <v>0</v>
      </c>
      <c r="SB11" s="20" t="n">
        <v>0</v>
      </c>
      <c r="SC11" s="20" t="n">
        <v>0</v>
      </c>
      <c r="SD11" s="20" t="n">
        <v>0</v>
      </c>
      <c r="SE11" s="20" t="n">
        <v>0</v>
      </c>
      <c r="SF11" s="20" t="n">
        <v>0</v>
      </c>
      <c r="SG11" s="20" t="n">
        <v>0</v>
      </c>
      <c r="SH11" s="20" t="n">
        <v>0</v>
      </c>
      <c r="SI11" s="20" t="n">
        <v>0</v>
      </c>
      <c r="SJ11" s="20" t="n">
        <v>0</v>
      </c>
      <c r="SK11" s="20" t="n">
        <v>0</v>
      </c>
      <c r="SL11" s="20" t="n">
        <v>0</v>
      </c>
      <c r="SM11" s="20" t="n">
        <v>0</v>
      </c>
      <c r="SN11" s="20" t="n">
        <v>0</v>
      </c>
      <c r="SO11" s="20" t="n">
        <v>0</v>
      </c>
      <c r="SP11" s="20" t="n">
        <v>0</v>
      </c>
      <c r="SQ11" s="20" t="n">
        <v>0</v>
      </c>
      <c r="SR11" s="20" t="n">
        <v>0</v>
      </c>
      <c r="SS11" s="20" t="n">
        <v>0</v>
      </c>
      <c r="ST11" s="20" t="n">
        <v>0</v>
      </c>
      <c r="SU11" s="20" t="n">
        <v>0</v>
      </c>
      <c r="SV11" s="20" t="n">
        <v>0</v>
      </c>
      <c r="SW11" s="20" t="n">
        <v>0</v>
      </c>
      <c r="SX11" s="20" t="n">
        <v>0</v>
      </c>
      <c r="SY11" s="20" t="n">
        <v>0</v>
      </c>
      <c r="SZ11" s="20" t="n">
        <v>0</v>
      </c>
      <c r="TA11" s="20" t="n">
        <v>0</v>
      </c>
      <c r="TB11" s="20" t="n">
        <v>0</v>
      </c>
      <c r="TC11" s="20" t="n">
        <v>0</v>
      </c>
      <c r="TD11" s="20" t="n">
        <v>0</v>
      </c>
      <c r="TE11" s="20" t="n">
        <f aca="false">IF(AKR10&lt;=0,0,IF(H_Direct=1,IF(BR11&lt;=0,PR11,IF(PR11&lt;=(H11+I11)/BR11,PR11,(PR11-G11*(H11+I11))/(1-G11*BR11))),PR11/(1-MAX(0,BR11)*H_Exit)))</f>
        <v>0</v>
      </c>
      <c r="TF11" s="20" t="n">
        <f aca="false">IF(AKS10&lt;=0,0,IF(H_Direct=1,IF(BS11&lt;=0,PS11,IF(PS11&lt;=(WR11+AAE11)/BS11,PS11,(PS11-G11*(WR11+AAE11))/(1-G11*BS11))),PS11/(1-MAX(0,BS11)*H_Exit)))</f>
        <v>0</v>
      </c>
      <c r="TG11" s="20" t="n">
        <f aca="false">IF(AKT10&lt;=0,0,IF(H_Direct=1,IF(BT11&lt;=0,PT11,IF(PT11&lt;=(WS11+AAF11)/BT11,PT11,(PT11-G11*(WS11+AAF11))/(1-G11*BT11))),PT11/(1-MAX(0,BT11)*H_Exit)))</f>
        <v>0</v>
      </c>
      <c r="TH11" s="20" t="n">
        <f aca="false">IF(AKU10&lt;=0,0,IF(H_Direct=1,IF(BU11&lt;=0,PU11,IF(PU11&lt;=(WT11+AAG11)/BU11,PU11,(PU11-G11*(WT11+AAG11))/(1-G11*BU11))),PU11/(1-MAX(0,BU11)*H_Exit)))</f>
        <v>0</v>
      </c>
      <c r="TI11" s="20" t="n">
        <f aca="false">IF((P11+S11)&lt;=0,0,IF(H_Direct=1,IF(BV11&lt;=0,PV11,IF(PV11&lt;=(WU11+AAH11)/BV11,PV11,(PV11-G11*(WU11+AAH11))/(1-G11*BV11))),PV11/(1-MAX(0,BV11)*H_Exit)))</f>
        <v>0</v>
      </c>
      <c r="TJ11" s="20" t="n">
        <v>0</v>
      </c>
      <c r="TK11" s="20" t="n">
        <v>0</v>
      </c>
      <c r="TL11" s="20" t="n">
        <v>0</v>
      </c>
      <c r="TM11" s="20" t="n">
        <v>0</v>
      </c>
      <c r="TN11" s="20" t="n">
        <v>0</v>
      </c>
      <c r="TO11" s="20" t="n">
        <v>0</v>
      </c>
      <c r="TP11" s="20" t="n">
        <v>0</v>
      </c>
      <c r="TQ11" s="20" t="n">
        <v>0</v>
      </c>
      <c r="TR11" s="20" t="n">
        <v>0</v>
      </c>
      <c r="TS11" s="20" t="n">
        <v>0</v>
      </c>
      <c r="TT11" s="20" t="n">
        <v>0</v>
      </c>
      <c r="TU11" s="20" t="n">
        <v>0</v>
      </c>
      <c r="TV11" s="20" t="n">
        <v>0</v>
      </c>
      <c r="TW11" s="20" t="n">
        <v>0</v>
      </c>
      <c r="TX11" s="20" t="n">
        <v>0</v>
      </c>
      <c r="TY11" s="20" t="n">
        <v>0</v>
      </c>
      <c r="TZ11" s="20" t="n">
        <v>0</v>
      </c>
      <c r="UA11" s="20" t="n">
        <v>0</v>
      </c>
      <c r="UB11" s="20" t="n">
        <v>0</v>
      </c>
      <c r="UC11" s="20" t="n">
        <v>0</v>
      </c>
      <c r="UD11" s="20" t="n">
        <v>0</v>
      </c>
      <c r="UE11" s="20" t="n">
        <v>0</v>
      </c>
      <c r="UF11" s="20" t="n">
        <v>0</v>
      </c>
      <c r="UG11" s="20" t="n">
        <v>0</v>
      </c>
      <c r="UH11" s="20" t="n">
        <v>0</v>
      </c>
      <c r="UI11" s="20" t="n">
        <v>0</v>
      </c>
      <c r="UJ11" s="20" t="n">
        <v>0</v>
      </c>
      <c r="UK11" s="20" t="n">
        <v>0</v>
      </c>
      <c r="UL11" s="20" t="n">
        <v>0</v>
      </c>
      <c r="UM11" s="20" t="n">
        <v>0</v>
      </c>
      <c r="UN11" s="20" t="n">
        <v>0</v>
      </c>
      <c r="UO11" s="20" t="n">
        <v>0</v>
      </c>
      <c r="UP11" s="20" t="n">
        <v>0</v>
      </c>
      <c r="UQ11" s="20" t="n">
        <v>0</v>
      </c>
      <c r="UR11" s="20" t="n">
        <v>0</v>
      </c>
      <c r="US11" s="20" t="n">
        <v>0</v>
      </c>
      <c r="UT11" s="20" t="n">
        <v>0</v>
      </c>
      <c r="UU11" s="20" t="n">
        <v>0</v>
      </c>
      <c r="UV11" s="20" t="n">
        <v>0</v>
      </c>
      <c r="UW11" s="20" t="n">
        <v>0</v>
      </c>
      <c r="UX11" s="20" t="n">
        <v>0</v>
      </c>
      <c r="UY11" s="20" t="n">
        <v>0</v>
      </c>
      <c r="UZ11" s="20" t="n">
        <v>0</v>
      </c>
      <c r="VA11" s="20" t="n">
        <v>0</v>
      </c>
      <c r="VB11" s="20" t="n">
        <v>0</v>
      </c>
      <c r="VC11" s="20" t="n">
        <v>0</v>
      </c>
      <c r="VD11" s="20" t="n">
        <v>0</v>
      </c>
      <c r="VE11" s="20" t="n">
        <v>0</v>
      </c>
      <c r="VF11" s="20" t="n">
        <v>0</v>
      </c>
      <c r="VG11" s="20" t="n">
        <v>0</v>
      </c>
      <c r="VH11" s="20" t="n">
        <v>0</v>
      </c>
      <c r="VI11" s="20" t="n">
        <v>0</v>
      </c>
      <c r="VJ11" s="20" t="n">
        <v>0</v>
      </c>
      <c r="VK11" s="20" t="n">
        <v>0</v>
      </c>
      <c r="VL11" s="20" t="n">
        <v>0</v>
      </c>
      <c r="VM11" s="20" t="n">
        <v>0</v>
      </c>
      <c r="VN11" s="20" t="n">
        <v>0</v>
      </c>
      <c r="VO11" s="20" t="n">
        <v>0</v>
      </c>
      <c r="VP11" s="20" t="n">
        <v>0</v>
      </c>
      <c r="VQ11" s="20" t="n">
        <v>0</v>
      </c>
      <c r="VR11" s="20" t="n">
        <v>0</v>
      </c>
      <c r="VS11" s="20" t="n">
        <v>0</v>
      </c>
      <c r="VT11" s="20" t="n">
        <v>0</v>
      </c>
      <c r="VU11" s="20" t="n">
        <v>0</v>
      </c>
      <c r="VV11" s="20" t="n">
        <v>0</v>
      </c>
      <c r="VW11" s="20" t="n">
        <v>0</v>
      </c>
      <c r="VX11" s="20" t="n">
        <v>0</v>
      </c>
      <c r="VY11" s="20" t="n">
        <v>0</v>
      </c>
      <c r="VZ11" s="20" t="n">
        <v>0</v>
      </c>
      <c r="WA11" s="20" t="n">
        <v>0</v>
      </c>
      <c r="WB11" s="20" t="n">
        <v>0</v>
      </c>
      <c r="WC11" s="20" t="n">
        <v>0</v>
      </c>
      <c r="WD11" s="20" t="n">
        <v>0</v>
      </c>
      <c r="WE11" s="20" t="n">
        <v>0</v>
      </c>
      <c r="WF11" s="20" t="n">
        <v>0</v>
      </c>
      <c r="WG11" s="20" t="n">
        <v>0</v>
      </c>
      <c r="WH11" s="20" t="n">
        <v>0</v>
      </c>
      <c r="WI11" s="20" t="n">
        <v>0</v>
      </c>
      <c r="WJ11" s="20" t="n">
        <v>0</v>
      </c>
      <c r="WK11" s="20" t="n">
        <v>0</v>
      </c>
      <c r="WL11" s="20" t="n">
        <v>0</v>
      </c>
      <c r="WM11" s="20" t="n">
        <v>0</v>
      </c>
      <c r="WN11" s="20" t="n">
        <v>0</v>
      </c>
      <c r="WO11" s="20" t="n">
        <v>0</v>
      </c>
      <c r="WP11" s="20" t="n">
        <v>0</v>
      </c>
      <c r="WQ11" s="20" t="n">
        <v>0</v>
      </c>
      <c r="WR11" s="20" t="n">
        <f aca="false">IF(AND(H_Direct=1,BR11&gt;0),MAX(0,H11-(MIN(BR11*TE11,(H11+I11))-MIN(MIN(BR11*TE11,(H11+I11)),I11))),H11)</f>
        <v>1270</v>
      </c>
      <c r="WS11" s="20" t="n">
        <f aca="false">IF(AND(H_Direct=1,BS11&gt;0),MAX(0,WR11-(MIN(BS11*TF11,(WR11+AAE11))-MIN(MIN(BS11*TF11,(WR11+AAE11)),AAE11))),WR11)</f>
        <v>1270</v>
      </c>
      <c r="WT11" s="20" t="n">
        <f aca="false">IF(AND(H_Direct=1,BT11&gt;0),MAX(0,WS11-(MIN(BT11*TG11,(WS11+AAF11))-MIN(MIN(BT11*TG11,(WS11+AAF11)),AAF11))),WS11)</f>
        <v>1270</v>
      </c>
      <c r="WU11" s="20" t="n">
        <f aca="false">IF(AND(H_Direct=1,BU11&gt;0),MAX(0,WT11-(MIN(BU11*TH11,(WT11+AAG11))-MIN(MIN(BU11*TH11,(WT11+AAG11)),AAG11))),WT11)</f>
        <v>1270</v>
      </c>
      <c r="WV11" s="20" t="n">
        <f aca="false">IF(AND(H_Direct=1,BV11&gt;0),MAX(0,WU11-(MIN(BV11*TI11,(WU11+AAH11))-MIN(MIN(BV11*TI11,(WU11+AAH11)),AAH11))),WU11)</f>
        <v>1270</v>
      </c>
      <c r="WW11" s="20" t="n">
        <f aca="false">WV11</f>
        <v>1270</v>
      </c>
      <c r="WX11" s="20" t="n">
        <f aca="false">WW11</f>
        <v>1270</v>
      </c>
      <c r="WY11" s="20" t="n">
        <f aca="false">WX11</f>
        <v>1270</v>
      </c>
      <c r="WZ11" s="20" t="n">
        <f aca="false">WY11</f>
        <v>1270</v>
      </c>
      <c r="XA11" s="20" t="n">
        <f aca="false">WZ11</f>
        <v>1270</v>
      </c>
      <c r="XB11" s="20" t="n">
        <f aca="false">XA11</f>
        <v>1270</v>
      </c>
      <c r="XC11" s="20" t="n">
        <f aca="false">XB11</f>
        <v>1270</v>
      </c>
      <c r="XD11" s="20" t="n">
        <f aca="false">XC11</f>
        <v>1270</v>
      </c>
      <c r="XE11" s="20" t="n">
        <f aca="false">XD11</f>
        <v>1270</v>
      </c>
      <c r="XF11" s="20" t="n">
        <f aca="false">XE11</f>
        <v>1270</v>
      </c>
      <c r="XG11" s="20" t="n">
        <f aca="false">XF11</f>
        <v>1270</v>
      </c>
      <c r="XH11" s="20" t="n">
        <f aca="false">XG11</f>
        <v>1270</v>
      </c>
      <c r="XI11" s="20" t="n">
        <f aca="false">XH11</f>
        <v>1270</v>
      </c>
      <c r="XJ11" s="20" t="n">
        <f aca="false">XI11</f>
        <v>1270</v>
      </c>
      <c r="XK11" s="20" t="n">
        <f aca="false">XJ11</f>
        <v>1270</v>
      </c>
      <c r="XL11" s="20" t="n">
        <f aca="false">XK11</f>
        <v>1270</v>
      </c>
      <c r="XM11" s="20" t="n">
        <f aca="false">XL11</f>
        <v>1270</v>
      </c>
      <c r="XN11" s="20" t="n">
        <f aca="false">XM11</f>
        <v>1270</v>
      </c>
      <c r="XO11" s="20" t="n">
        <f aca="false">XN11</f>
        <v>1270</v>
      </c>
      <c r="XP11" s="20" t="n">
        <f aca="false">XO11</f>
        <v>1270</v>
      </c>
      <c r="XQ11" s="20" t="n">
        <f aca="false">XP11</f>
        <v>1270</v>
      </c>
      <c r="XR11" s="20" t="n">
        <f aca="false">XQ11</f>
        <v>1270</v>
      </c>
      <c r="XS11" s="20" t="n">
        <f aca="false">XR11</f>
        <v>1270</v>
      </c>
      <c r="XT11" s="20" t="n">
        <f aca="false">XS11</f>
        <v>1270</v>
      </c>
      <c r="XU11" s="20" t="n">
        <f aca="false">XT11</f>
        <v>1270</v>
      </c>
      <c r="XV11" s="20" t="n">
        <f aca="false">XU11</f>
        <v>1270</v>
      </c>
      <c r="XW11" s="20" t="n">
        <f aca="false">XV11</f>
        <v>1270</v>
      </c>
      <c r="XX11" s="20" t="n">
        <f aca="false">XW11</f>
        <v>1270</v>
      </c>
      <c r="XY11" s="20" t="n">
        <f aca="false">XX11</f>
        <v>1270</v>
      </c>
      <c r="XZ11" s="20" t="n">
        <f aca="false">XY11</f>
        <v>1270</v>
      </c>
      <c r="YA11" s="20" t="n">
        <f aca="false">XZ11</f>
        <v>1270</v>
      </c>
      <c r="YB11" s="20" t="n">
        <f aca="false">YA11</f>
        <v>1270</v>
      </c>
      <c r="YC11" s="20" t="n">
        <f aca="false">YB11</f>
        <v>1270</v>
      </c>
      <c r="YD11" s="20" t="n">
        <f aca="false">YC11</f>
        <v>1270</v>
      </c>
      <c r="YE11" s="20" t="n">
        <f aca="false">YD11</f>
        <v>1270</v>
      </c>
      <c r="YF11" s="20" t="n">
        <f aca="false">YE11</f>
        <v>1270</v>
      </c>
      <c r="YG11" s="20" t="n">
        <f aca="false">YF11</f>
        <v>1270</v>
      </c>
      <c r="YH11" s="20" t="n">
        <f aca="false">YG11</f>
        <v>1270</v>
      </c>
      <c r="YI11" s="20" t="n">
        <f aca="false">YH11</f>
        <v>1270</v>
      </c>
      <c r="YJ11" s="20" t="n">
        <f aca="false">YI11</f>
        <v>1270</v>
      </c>
      <c r="YK11" s="20" t="n">
        <f aca="false">YJ11</f>
        <v>1270</v>
      </c>
      <c r="YL11" s="20" t="n">
        <f aca="false">YK11</f>
        <v>1270</v>
      </c>
      <c r="YM11" s="20" t="n">
        <f aca="false">YL11</f>
        <v>1270</v>
      </c>
      <c r="YN11" s="20" t="n">
        <f aca="false">YM11</f>
        <v>1270</v>
      </c>
      <c r="YO11" s="20" t="n">
        <f aca="false">YN11</f>
        <v>1270</v>
      </c>
      <c r="YP11" s="20" t="n">
        <f aca="false">YO11</f>
        <v>1270</v>
      </c>
      <c r="YQ11" s="20" t="n">
        <f aca="false">YP11</f>
        <v>1270</v>
      </c>
      <c r="YR11" s="20" t="n">
        <f aca="false">YQ11</f>
        <v>1270</v>
      </c>
      <c r="YS11" s="20" t="n">
        <f aca="false">YR11</f>
        <v>1270</v>
      </c>
      <c r="YT11" s="20" t="n">
        <f aca="false">YS11</f>
        <v>1270</v>
      </c>
      <c r="YU11" s="20" t="n">
        <f aca="false">YT11</f>
        <v>1270</v>
      </c>
      <c r="YV11" s="20" t="n">
        <f aca="false">YU11</f>
        <v>1270</v>
      </c>
      <c r="YW11" s="20" t="n">
        <f aca="false">YV11</f>
        <v>1270</v>
      </c>
      <c r="YX11" s="20" t="n">
        <f aca="false">YW11</f>
        <v>1270</v>
      </c>
      <c r="YY11" s="20" t="n">
        <f aca="false">YX11</f>
        <v>1270</v>
      </c>
      <c r="YZ11" s="20" t="n">
        <f aca="false">YY11</f>
        <v>1270</v>
      </c>
      <c r="ZA11" s="20" t="n">
        <f aca="false">YZ11</f>
        <v>1270</v>
      </c>
      <c r="ZB11" s="20" t="n">
        <f aca="false">ZA11</f>
        <v>1270</v>
      </c>
      <c r="ZC11" s="20" t="n">
        <f aca="false">ZB11</f>
        <v>1270</v>
      </c>
      <c r="ZD11" s="20" t="n">
        <f aca="false">ZC11</f>
        <v>1270</v>
      </c>
      <c r="ZE11" s="20" t="n">
        <f aca="false">ZD11</f>
        <v>1270</v>
      </c>
      <c r="ZF11" s="20" t="n">
        <f aca="false">ZE11</f>
        <v>1270</v>
      </c>
      <c r="ZG11" s="20" t="n">
        <f aca="false">ZF11</f>
        <v>1270</v>
      </c>
      <c r="ZH11" s="20" t="n">
        <f aca="false">ZG11</f>
        <v>1270</v>
      </c>
      <c r="ZI11" s="20" t="n">
        <f aca="false">ZH11</f>
        <v>1270</v>
      </c>
      <c r="ZJ11" s="20" t="n">
        <f aca="false">ZI11</f>
        <v>1270</v>
      </c>
      <c r="ZK11" s="20" t="n">
        <f aca="false">ZJ11</f>
        <v>1270</v>
      </c>
      <c r="ZL11" s="20" t="n">
        <f aca="false">ZK11</f>
        <v>1270</v>
      </c>
      <c r="ZM11" s="20" t="n">
        <f aca="false">ZL11</f>
        <v>1270</v>
      </c>
      <c r="ZN11" s="20" t="n">
        <f aca="false">ZM11</f>
        <v>1270</v>
      </c>
      <c r="ZO11" s="20" t="n">
        <f aca="false">ZN11</f>
        <v>1270</v>
      </c>
      <c r="ZP11" s="20" t="n">
        <f aca="false">ZO11</f>
        <v>1270</v>
      </c>
      <c r="ZQ11" s="20" t="n">
        <f aca="false">ZP11</f>
        <v>1270</v>
      </c>
      <c r="ZR11" s="20" t="n">
        <f aca="false">ZQ11</f>
        <v>1270</v>
      </c>
      <c r="ZS11" s="20" t="n">
        <f aca="false">ZR11</f>
        <v>1270</v>
      </c>
      <c r="ZT11" s="20" t="n">
        <f aca="false">ZS11</f>
        <v>1270</v>
      </c>
      <c r="ZU11" s="20" t="n">
        <f aca="false">ZT11</f>
        <v>1270</v>
      </c>
      <c r="ZV11" s="20" t="n">
        <f aca="false">ZU11</f>
        <v>1270</v>
      </c>
      <c r="ZW11" s="20" t="n">
        <f aca="false">ZV11</f>
        <v>1270</v>
      </c>
      <c r="ZX11" s="20" t="n">
        <f aca="false">ZW11</f>
        <v>1270</v>
      </c>
      <c r="ZY11" s="20" t="n">
        <f aca="false">ZX11</f>
        <v>1270</v>
      </c>
      <c r="ZZ11" s="20" t="n">
        <f aca="false">ZY11</f>
        <v>1270</v>
      </c>
      <c r="AAA11" s="20" t="n">
        <f aca="false">ZZ11</f>
        <v>1270</v>
      </c>
      <c r="AAB11" s="20" t="n">
        <f aca="false">AAA11</f>
        <v>1270</v>
      </c>
      <c r="AAC11" s="20" t="n">
        <f aca="false">AAB11</f>
        <v>1270</v>
      </c>
      <c r="AAD11" s="20" t="n">
        <f aca="false">AAC11</f>
        <v>1270</v>
      </c>
      <c r="AAE11" s="20" t="n">
        <f aca="false">IF(H_Direct=1,IF(BR11&lt;=0,I11-BR11*TE11,I11-MIN(MIN(BR11*TE11,(H11+I11)),I11)),I11)</f>
        <v>0</v>
      </c>
      <c r="AAF11" s="20" t="n">
        <f aca="false">IF(H_Direct=1,IF(BS11&lt;=0,AAE11-BS11*TF11,AAE11-MIN(MIN(BS11*TF11,(WR11+AAE11)),AAE11)),AAE11)</f>
        <v>0</v>
      </c>
      <c r="AAG11" s="20" t="n">
        <f aca="false">IF(H_Direct=1,IF(BT11&lt;=0,AAF11-BT11*TG11,AAF11-MIN(MIN(BT11*TG11,(WS11+AAF11)),AAF11)),AAF11)</f>
        <v>0</v>
      </c>
      <c r="AAH11" s="20" t="n">
        <f aca="false">IF(H_Direct=1,IF(BU11&lt;=0,AAG11-BU11*TH11,AAG11-MIN(MIN(BU11*TH11,(WT11+AAG11)),AAG11)),AAG11)</f>
        <v>0</v>
      </c>
      <c r="AAI11" s="20" t="n">
        <f aca="false">IF(H_Direct=1,IF(BV11&lt;=0,AAH11-BV11*TI11,AAH11-MIN(MIN(BV11*TI11,(WU11+AAH11)),AAH11)),AAH11)</f>
        <v>0</v>
      </c>
      <c r="AAJ11" s="20" t="n">
        <f aca="false">AAI11</f>
        <v>0</v>
      </c>
      <c r="AAK11" s="20" t="n">
        <f aca="false">AAJ11</f>
        <v>0</v>
      </c>
      <c r="AAL11" s="20" t="n">
        <f aca="false">AAK11</f>
        <v>0</v>
      </c>
      <c r="AAM11" s="20" t="n">
        <f aca="false">AAL11</f>
        <v>0</v>
      </c>
      <c r="AAN11" s="20" t="n">
        <f aca="false">AAM11</f>
        <v>0</v>
      </c>
      <c r="AAO11" s="20" t="n">
        <f aca="false">AAN11</f>
        <v>0</v>
      </c>
      <c r="AAP11" s="20" t="n">
        <f aca="false">AAO11</f>
        <v>0</v>
      </c>
      <c r="AAQ11" s="20" t="n">
        <f aca="false">AAP11</f>
        <v>0</v>
      </c>
      <c r="AAR11" s="20" t="n">
        <f aca="false">AAQ11</f>
        <v>0</v>
      </c>
      <c r="AAS11" s="20" t="n">
        <f aca="false">AAR11</f>
        <v>0</v>
      </c>
      <c r="AAT11" s="20" t="n">
        <f aca="false">AAS11</f>
        <v>0</v>
      </c>
      <c r="AAU11" s="20" t="n">
        <f aca="false">AAT11</f>
        <v>0</v>
      </c>
      <c r="AAV11" s="20" t="n">
        <f aca="false">AAU11</f>
        <v>0</v>
      </c>
      <c r="AAW11" s="20" t="n">
        <f aca="false">AAV11</f>
        <v>0</v>
      </c>
      <c r="AAX11" s="20" t="n">
        <f aca="false">AAW11</f>
        <v>0</v>
      </c>
      <c r="AAY11" s="20" t="n">
        <f aca="false">AAX11</f>
        <v>0</v>
      </c>
      <c r="AAZ11" s="20" t="n">
        <f aca="false">AAY11</f>
        <v>0</v>
      </c>
      <c r="ABA11" s="20" t="n">
        <f aca="false">AAZ11</f>
        <v>0</v>
      </c>
      <c r="ABB11" s="20" t="n">
        <f aca="false">ABA11</f>
        <v>0</v>
      </c>
      <c r="ABC11" s="20" t="n">
        <f aca="false">ABB11</f>
        <v>0</v>
      </c>
      <c r="ABD11" s="20" t="n">
        <f aca="false">ABC11</f>
        <v>0</v>
      </c>
      <c r="ABE11" s="20" t="n">
        <f aca="false">ABD11</f>
        <v>0</v>
      </c>
      <c r="ABF11" s="20" t="n">
        <f aca="false">ABE11</f>
        <v>0</v>
      </c>
      <c r="ABG11" s="20" t="n">
        <f aca="false">ABF11</f>
        <v>0</v>
      </c>
      <c r="ABH11" s="20" t="n">
        <f aca="false">ABG11</f>
        <v>0</v>
      </c>
      <c r="ABI11" s="20" t="n">
        <f aca="false">ABH11</f>
        <v>0</v>
      </c>
      <c r="ABJ11" s="20" t="n">
        <f aca="false">ABI11</f>
        <v>0</v>
      </c>
      <c r="ABK11" s="20" t="n">
        <f aca="false">ABJ11</f>
        <v>0</v>
      </c>
      <c r="ABL11" s="20" t="n">
        <f aca="false">ABK11</f>
        <v>0</v>
      </c>
      <c r="ABM11" s="20" t="n">
        <f aca="false">ABL11</f>
        <v>0</v>
      </c>
      <c r="ABN11" s="20" t="n">
        <f aca="false">ABM11</f>
        <v>0</v>
      </c>
      <c r="ABO11" s="20" t="n">
        <f aca="false">ABN11</f>
        <v>0</v>
      </c>
      <c r="ABP11" s="20" t="n">
        <f aca="false">ABO11</f>
        <v>0</v>
      </c>
      <c r="ABQ11" s="20" t="n">
        <f aca="false">ABP11</f>
        <v>0</v>
      </c>
      <c r="ABR11" s="20" t="n">
        <f aca="false">ABQ11</f>
        <v>0</v>
      </c>
      <c r="ABS11" s="20" t="n">
        <f aca="false">ABR11</f>
        <v>0</v>
      </c>
      <c r="ABT11" s="20" t="n">
        <f aca="false">ABS11</f>
        <v>0</v>
      </c>
      <c r="ABU11" s="20" t="n">
        <f aca="false">ABT11</f>
        <v>0</v>
      </c>
      <c r="ABV11" s="20" t="n">
        <f aca="false">ABU11</f>
        <v>0</v>
      </c>
      <c r="ABW11" s="20" t="n">
        <f aca="false">ABV11</f>
        <v>0</v>
      </c>
      <c r="ABX11" s="20" t="n">
        <f aca="false">ABW11</f>
        <v>0</v>
      </c>
      <c r="ABY11" s="20" t="n">
        <f aca="false">ABX11</f>
        <v>0</v>
      </c>
      <c r="ABZ11" s="20" t="n">
        <f aca="false">ABY11</f>
        <v>0</v>
      </c>
      <c r="ACA11" s="20" t="n">
        <f aca="false">ABZ11</f>
        <v>0</v>
      </c>
      <c r="ACB11" s="20" t="n">
        <f aca="false">ACA11</f>
        <v>0</v>
      </c>
      <c r="ACC11" s="20" t="n">
        <f aca="false">ACB11</f>
        <v>0</v>
      </c>
      <c r="ACD11" s="20" t="n">
        <f aca="false">ACC11</f>
        <v>0</v>
      </c>
      <c r="ACE11" s="20" t="n">
        <f aca="false">ACD11</f>
        <v>0</v>
      </c>
      <c r="ACF11" s="20" t="n">
        <f aca="false">ACE11</f>
        <v>0</v>
      </c>
      <c r="ACG11" s="20" t="n">
        <f aca="false">ACF11</f>
        <v>0</v>
      </c>
      <c r="ACH11" s="20" t="n">
        <f aca="false">ACG11</f>
        <v>0</v>
      </c>
      <c r="ACI11" s="20" t="n">
        <f aca="false">ACH11</f>
        <v>0</v>
      </c>
      <c r="ACJ11" s="20" t="n">
        <f aca="false">ACI11</f>
        <v>0</v>
      </c>
      <c r="ACK11" s="20" t="n">
        <f aca="false">ACJ11</f>
        <v>0</v>
      </c>
      <c r="ACL11" s="20" t="n">
        <f aca="false">ACK11</f>
        <v>0</v>
      </c>
      <c r="ACM11" s="20" t="n">
        <f aca="false">ACL11</f>
        <v>0</v>
      </c>
      <c r="ACN11" s="20" t="n">
        <f aca="false">ACM11</f>
        <v>0</v>
      </c>
      <c r="ACO11" s="20" t="n">
        <f aca="false">ACN11</f>
        <v>0</v>
      </c>
      <c r="ACP11" s="20" t="n">
        <f aca="false">ACO11</f>
        <v>0</v>
      </c>
      <c r="ACQ11" s="20" t="n">
        <f aca="false">ACP11</f>
        <v>0</v>
      </c>
      <c r="ACR11" s="20" t="n">
        <f aca="false">ACQ11</f>
        <v>0</v>
      </c>
      <c r="ACS11" s="20" t="n">
        <f aca="false">ACR11</f>
        <v>0</v>
      </c>
      <c r="ACT11" s="20" t="n">
        <f aca="false">ACS11</f>
        <v>0</v>
      </c>
      <c r="ACU11" s="20" t="n">
        <f aca="false">ACT11</f>
        <v>0</v>
      </c>
      <c r="ACV11" s="20" t="n">
        <f aca="false">ACU11</f>
        <v>0</v>
      </c>
      <c r="ACW11" s="20" t="n">
        <f aca="false">ACV11</f>
        <v>0</v>
      </c>
      <c r="ACX11" s="20" t="n">
        <f aca="false">ACW11</f>
        <v>0</v>
      </c>
      <c r="ACY11" s="20" t="n">
        <f aca="false">ACX11</f>
        <v>0</v>
      </c>
      <c r="ACZ11" s="20" t="n">
        <f aca="false">ACY11</f>
        <v>0</v>
      </c>
      <c r="ADA11" s="20" t="n">
        <f aca="false">ACZ11</f>
        <v>0</v>
      </c>
      <c r="ADB11" s="20" t="n">
        <f aca="false">ADA11</f>
        <v>0</v>
      </c>
      <c r="ADC11" s="20" t="n">
        <f aca="false">ADB11</f>
        <v>0</v>
      </c>
      <c r="ADD11" s="20" t="n">
        <f aca="false">ADC11</f>
        <v>0</v>
      </c>
      <c r="ADE11" s="20" t="n">
        <f aca="false">ADD11</f>
        <v>0</v>
      </c>
      <c r="ADF11" s="20" t="n">
        <f aca="false">ADE11</f>
        <v>0</v>
      </c>
      <c r="ADG11" s="20" t="n">
        <f aca="false">ADF11</f>
        <v>0</v>
      </c>
      <c r="ADH11" s="20" t="n">
        <f aca="false">ADG11</f>
        <v>0</v>
      </c>
      <c r="ADI11" s="20" t="n">
        <f aca="false">ADH11</f>
        <v>0</v>
      </c>
      <c r="ADJ11" s="20" t="n">
        <f aca="false">ADI11</f>
        <v>0</v>
      </c>
      <c r="ADK11" s="20" t="n">
        <f aca="false">ADJ11</f>
        <v>0</v>
      </c>
      <c r="ADL11" s="20" t="n">
        <f aca="false">ADK11</f>
        <v>0</v>
      </c>
      <c r="ADM11" s="20" t="n">
        <f aca="false">ADL11</f>
        <v>0</v>
      </c>
      <c r="ADN11" s="20" t="n">
        <f aca="false">ADM11</f>
        <v>0</v>
      </c>
      <c r="ADO11" s="20" t="n">
        <f aca="false">ADN11</f>
        <v>0</v>
      </c>
      <c r="ADP11" s="20" t="n">
        <f aca="false">ADO11</f>
        <v>0</v>
      </c>
      <c r="ADQ11" s="20" t="n">
        <f aca="false">ADP11</f>
        <v>0</v>
      </c>
      <c r="ADR11" s="20" t="n">
        <f aca="false">(AKR10-TE11+0)*(1+BQ11)</f>
        <v>0</v>
      </c>
      <c r="ADS11" s="20" t="n">
        <f aca="false">(AKS10-TF11+0)*(1+BQ11)</f>
        <v>0</v>
      </c>
      <c r="ADT11" s="20" t="n">
        <f aca="false">(AKT10-TG11+0)*(1+BQ11)</f>
        <v>0</v>
      </c>
      <c r="ADU11" s="20" t="n">
        <f aca="false">(AKU10-TH11+0)*(1+BQ11)</f>
        <v>0</v>
      </c>
      <c r="ADV11" s="20" t="n">
        <f aca="false">((P11+S11)-TI11+BE11)*(1+BQ11)</f>
        <v>0</v>
      </c>
      <c r="ADW11" s="20" t="n">
        <v>0</v>
      </c>
      <c r="ADX11" s="20" t="n">
        <v>0</v>
      </c>
      <c r="ADY11" s="20" t="n">
        <v>0</v>
      </c>
      <c r="ADZ11" s="20" t="n">
        <v>0</v>
      </c>
      <c r="AEA11" s="20" t="n">
        <v>0</v>
      </c>
      <c r="AEB11" s="20" t="n">
        <v>0</v>
      </c>
      <c r="AEC11" s="20" t="n">
        <v>0</v>
      </c>
      <c r="AED11" s="20" t="n">
        <v>0</v>
      </c>
      <c r="AEE11" s="20" t="n">
        <v>0</v>
      </c>
      <c r="AEF11" s="20" t="n">
        <v>0</v>
      </c>
      <c r="AEG11" s="20" t="n">
        <v>0</v>
      </c>
      <c r="AEH11" s="20" t="n">
        <v>0</v>
      </c>
      <c r="AEI11" s="20" t="n">
        <v>0</v>
      </c>
      <c r="AEJ11" s="20" t="n">
        <v>0</v>
      </c>
      <c r="AEK11" s="20" t="n">
        <v>0</v>
      </c>
      <c r="AEL11" s="20" t="n">
        <v>0</v>
      </c>
      <c r="AEM11" s="20" t="n">
        <v>0</v>
      </c>
      <c r="AEN11" s="20" t="n">
        <v>0</v>
      </c>
      <c r="AEO11" s="20" t="n">
        <v>0</v>
      </c>
      <c r="AEP11" s="20" t="n">
        <v>0</v>
      </c>
      <c r="AEQ11" s="20" t="n">
        <v>0</v>
      </c>
      <c r="AER11" s="20" t="n">
        <v>0</v>
      </c>
      <c r="AES11" s="20" t="n">
        <v>0</v>
      </c>
      <c r="AET11" s="20" t="n">
        <v>0</v>
      </c>
      <c r="AEU11" s="20" t="n">
        <v>0</v>
      </c>
      <c r="AEV11" s="20" t="n">
        <v>0</v>
      </c>
      <c r="AEW11" s="20" t="n">
        <v>0</v>
      </c>
      <c r="AEX11" s="20" t="n">
        <v>0</v>
      </c>
      <c r="AEY11" s="20" t="n">
        <v>0</v>
      </c>
      <c r="AEZ11" s="20" t="n">
        <v>0</v>
      </c>
      <c r="AFA11" s="20" t="n">
        <v>0</v>
      </c>
      <c r="AFB11" s="20" t="n">
        <v>0</v>
      </c>
      <c r="AFC11" s="20" t="n">
        <v>0</v>
      </c>
      <c r="AFD11" s="20" t="n">
        <v>0</v>
      </c>
      <c r="AFE11" s="20" t="n">
        <v>0</v>
      </c>
      <c r="AFF11" s="20" t="n">
        <v>0</v>
      </c>
      <c r="AFG11" s="20" t="n">
        <v>0</v>
      </c>
      <c r="AFH11" s="20" t="n">
        <v>0</v>
      </c>
      <c r="AFI11" s="20" t="n">
        <v>0</v>
      </c>
      <c r="AFJ11" s="20" t="n">
        <v>0</v>
      </c>
      <c r="AFK11" s="20" t="n">
        <v>0</v>
      </c>
      <c r="AFL11" s="20" t="n">
        <v>0</v>
      </c>
      <c r="AFM11" s="20" t="n">
        <v>0</v>
      </c>
      <c r="AFN11" s="20" t="n">
        <v>0</v>
      </c>
      <c r="AFO11" s="20" t="n">
        <v>0</v>
      </c>
      <c r="AFP11" s="20" t="n">
        <v>0</v>
      </c>
      <c r="AFQ11" s="20" t="n">
        <v>0</v>
      </c>
      <c r="AFR11" s="20" t="n">
        <v>0</v>
      </c>
      <c r="AFS11" s="20" t="n">
        <v>0</v>
      </c>
      <c r="AFT11" s="20" t="n">
        <v>0</v>
      </c>
      <c r="AFU11" s="20" t="n">
        <v>0</v>
      </c>
      <c r="AFV11" s="20" t="n">
        <v>0</v>
      </c>
      <c r="AFW11" s="20" t="n">
        <v>0</v>
      </c>
      <c r="AFX11" s="20" t="n">
        <v>0</v>
      </c>
      <c r="AFY11" s="20" t="n">
        <v>0</v>
      </c>
      <c r="AFZ11" s="20" t="n">
        <v>0</v>
      </c>
      <c r="AGA11" s="20" t="n">
        <v>0</v>
      </c>
      <c r="AGB11" s="20" t="n">
        <v>0</v>
      </c>
      <c r="AGC11" s="20" t="n">
        <v>0</v>
      </c>
      <c r="AGD11" s="20" t="n">
        <v>0</v>
      </c>
      <c r="AGE11" s="20" t="n">
        <v>0</v>
      </c>
      <c r="AGF11" s="20" t="n">
        <v>0</v>
      </c>
      <c r="AGG11" s="20" t="n">
        <v>0</v>
      </c>
      <c r="AGH11" s="20" t="n">
        <v>0</v>
      </c>
      <c r="AGI11" s="20" t="n">
        <v>0</v>
      </c>
      <c r="AGJ11" s="20" t="n">
        <v>0</v>
      </c>
      <c r="AGK11" s="20" t="n">
        <v>0</v>
      </c>
      <c r="AGL11" s="20" t="n">
        <v>0</v>
      </c>
      <c r="AGM11" s="20" t="n">
        <v>0</v>
      </c>
      <c r="AGN11" s="20" t="n">
        <v>0</v>
      </c>
      <c r="AGO11" s="20" t="n">
        <v>0</v>
      </c>
      <c r="AGP11" s="20" t="n">
        <v>0</v>
      </c>
      <c r="AGQ11" s="20" t="n">
        <v>0</v>
      </c>
      <c r="AGR11" s="20" t="n">
        <v>0</v>
      </c>
      <c r="AGS11" s="20" t="n">
        <v>0</v>
      </c>
      <c r="AGT11" s="20" t="n">
        <v>0</v>
      </c>
      <c r="AGU11" s="20" t="n">
        <v>0</v>
      </c>
      <c r="AGV11" s="20" t="n">
        <v>0</v>
      </c>
      <c r="AGW11" s="20" t="n">
        <v>0</v>
      </c>
      <c r="AGX11" s="20" t="n">
        <v>0</v>
      </c>
      <c r="AGY11" s="20" t="n">
        <v>0</v>
      </c>
      <c r="AGZ11" s="20" t="n">
        <v>0</v>
      </c>
      <c r="AHA11" s="20" t="n">
        <v>0</v>
      </c>
      <c r="AHB11" s="20" t="n">
        <v>0</v>
      </c>
      <c r="AHC11" s="20" t="n">
        <v>0</v>
      </c>
      <c r="AHD11" s="20" t="n">
        <v>0</v>
      </c>
      <c r="AHE11" s="20" t="n">
        <f aca="false">IF(AKR10&gt;0,AOE10-AOE10*TE11/AKR10,0)+0</f>
        <v>0</v>
      </c>
      <c r="AHF11" s="20" t="n">
        <f aca="false">IF(AKS10&gt;0,AOF10-AOF10*TF11/AKS10,0)+0</f>
        <v>0</v>
      </c>
      <c r="AHG11" s="20" t="n">
        <f aca="false">IF(AKT10&gt;0,AOG10-AOG10*TG11/AKT10,0)+0</f>
        <v>0</v>
      </c>
      <c r="AHH11" s="20" t="n">
        <f aca="false">IF(AKU10&gt;0,AOH10-AOH10*TH11/AKU10,0)+0</f>
        <v>0</v>
      </c>
      <c r="AHI11" s="20" t="n">
        <f aca="false">IF((P11+S11)&gt;0,(P11+S11)-(P11+S11)*TI11/(P11+S11),0)+BE11</f>
        <v>0</v>
      </c>
      <c r="AHJ11" s="20" t="n">
        <v>0</v>
      </c>
      <c r="AHK11" s="20" t="n">
        <v>0</v>
      </c>
      <c r="AHL11" s="20" t="n">
        <v>0</v>
      </c>
      <c r="AHM11" s="20" t="n">
        <v>0</v>
      </c>
      <c r="AHN11" s="20" t="n">
        <v>0</v>
      </c>
      <c r="AHO11" s="20" t="n">
        <v>0</v>
      </c>
      <c r="AHP11" s="20" t="n">
        <v>0</v>
      </c>
      <c r="AHQ11" s="20" t="n">
        <v>0</v>
      </c>
      <c r="AHR11" s="20" t="n">
        <v>0</v>
      </c>
      <c r="AHS11" s="20" t="n">
        <v>0</v>
      </c>
      <c r="AHT11" s="20" t="n">
        <v>0</v>
      </c>
      <c r="AHU11" s="20" t="n">
        <v>0</v>
      </c>
      <c r="AHV11" s="20" t="n">
        <v>0</v>
      </c>
      <c r="AHW11" s="20" t="n">
        <v>0</v>
      </c>
      <c r="AHX11" s="20" t="n">
        <v>0</v>
      </c>
      <c r="AHY11" s="20" t="n">
        <v>0</v>
      </c>
      <c r="AHZ11" s="20" t="n">
        <v>0</v>
      </c>
      <c r="AIA11" s="20" t="n">
        <v>0</v>
      </c>
      <c r="AIB11" s="20" t="n">
        <v>0</v>
      </c>
      <c r="AIC11" s="20" t="n">
        <v>0</v>
      </c>
      <c r="AID11" s="20" t="n">
        <v>0</v>
      </c>
      <c r="AIE11" s="20" t="n">
        <v>0</v>
      </c>
      <c r="AIF11" s="20" t="n">
        <v>0</v>
      </c>
      <c r="AIG11" s="20" t="n">
        <v>0</v>
      </c>
      <c r="AIH11" s="20" t="n">
        <v>0</v>
      </c>
      <c r="AII11" s="20" t="n">
        <v>0</v>
      </c>
      <c r="AIJ11" s="20" t="n">
        <v>0</v>
      </c>
      <c r="AIK11" s="20" t="n">
        <v>0</v>
      </c>
      <c r="AIL11" s="20" t="n">
        <v>0</v>
      </c>
      <c r="AIM11" s="20" t="n">
        <v>0</v>
      </c>
      <c r="AIN11" s="20" t="n">
        <v>0</v>
      </c>
      <c r="AIO11" s="20" t="n">
        <v>0</v>
      </c>
      <c r="AIP11" s="20" t="n">
        <v>0</v>
      </c>
      <c r="AIQ11" s="20" t="n">
        <v>0</v>
      </c>
      <c r="AIR11" s="20" t="n">
        <v>0</v>
      </c>
      <c r="AIS11" s="20" t="n">
        <v>0</v>
      </c>
      <c r="AIT11" s="20" t="n">
        <v>0</v>
      </c>
      <c r="AIU11" s="20" t="n">
        <v>0</v>
      </c>
      <c r="AIV11" s="20" t="n">
        <v>0</v>
      </c>
      <c r="AIW11" s="20" t="n">
        <v>0</v>
      </c>
      <c r="AIX11" s="20" t="n">
        <v>0</v>
      </c>
      <c r="AIY11" s="20" t="n">
        <v>0</v>
      </c>
      <c r="AIZ11" s="20" t="n">
        <v>0</v>
      </c>
      <c r="AJA11" s="20" t="n">
        <v>0</v>
      </c>
      <c r="AJB11" s="20" t="n">
        <v>0</v>
      </c>
      <c r="AJC11" s="20" t="n">
        <v>0</v>
      </c>
      <c r="AJD11" s="20" t="n">
        <v>0</v>
      </c>
      <c r="AJE11" s="20" t="n">
        <v>0</v>
      </c>
      <c r="AJF11" s="20" t="n">
        <v>0</v>
      </c>
      <c r="AJG11" s="20" t="n">
        <v>0</v>
      </c>
      <c r="AJH11" s="20" t="n">
        <v>0</v>
      </c>
      <c r="AJI11" s="20" t="n">
        <v>0</v>
      </c>
      <c r="AJJ11" s="20" t="n">
        <v>0</v>
      </c>
      <c r="AJK11" s="20" t="n">
        <v>0</v>
      </c>
      <c r="AJL11" s="20" t="n">
        <v>0</v>
      </c>
      <c r="AJM11" s="20" t="n">
        <v>0</v>
      </c>
      <c r="AJN11" s="20" t="n">
        <v>0</v>
      </c>
      <c r="AJO11" s="20" t="n">
        <v>0</v>
      </c>
      <c r="AJP11" s="20" t="n">
        <v>0</v>
      </c>
      <c r="AJQ11" s="20" t="n">
        <v>0</v>
      </c>
      <c r="AJR11" s="20" t="n">
        <v>0</v>
      </c>
      <c r="AJS11" s="20" t="n">
        <v>0</v>
      </c>
      <c r="AJT11" s="20" t="n">
        <v>0</v>
      </c>
      <c r="AJU11" s="20" t="n">
        <v>0</v>
      </c>
      <c r="AJV11" s="20" t="n">
        <v>0</v>
      </c>
      <c r="AJW11" s="20" t="n">
        <v>0</v>
      </c>
      <c r="AJX11" s="20" t="n">
        <v>0</v>
      </c>
      <c r="AJY11" s="20" t="n">
        <v>0</v>
      </c>
      <c r="AJZ11" s="20" t="n">
        <v>0</v>
      </c>
      <c r="AKA11" s="20" t="n">
        <v>0</v>
      </c>
      <c r="AKB11" s="20" t="n">
        <v>0</v>
      </c>
      <c r="AKC11" s="20" t="n">
        <v>0</v>
      </c>
      <c r="AKD11" s="20" t="n">
        <v>0</v>
      </c>
      <c r="AKE11" s="20" t="n">
        <v>0</v>
      </c>
      <c r="AKF11" s="20" t="n">
        <v>0</v>
      </c>
      <c r="AKG11" s="20" t="n">
        <v>0</v>
      </c>
      <c r="AKH11" s="20" t="n">
        <v>0</v>
      </c>
      <c r="AKI11" s="20" t="n">
        <v>0</v>
      </c>
      <c r="AKJ11" s="20" t="n">
        <v>0</v>
      </c>
      <c r="AKK11" s="20" t="n">
        <v>0</v>
      </c>
      <c r="AKL11" s="20" t="n">
        <v>0</v>
      </c>
      <c r="AKM11" s="20" t="n">
        <v>0</v>
      </c>
      <c r="AKN11" s="20" t="n">
        <v>0</v>
      </c>
      <c r="AKO11" s="20" t="n">
        <v>0</v>
      </c>
      <c r="AKP11" s="20" t="n">
        <v>0</v>
      </c>
      <c r="AKQ11" s="20" t="n">
        <v>0</v>
      </c>
      <c r="AKR11" s="20" t="n">
        <f aca="false">ADR11-AVE11</f>
        <v>0</v>
      </c>
      <c r="AKS11" s="20" t="n">
        <f aca="false">ADS11-AVF11</f>
        <v>0</v>
      </c>
      <c r="AKT11" s="20" t="n">
        <f aca="false">ADT11-AVG11</f>
        <v>0</v>
      </c>
      <c r="AKU11" s="20" t="n">
        <f aca="false">ADU11-AVH11</f>
        <v>0</v>
      </c>
      <c r="AKV11" s="20" t="n">
        <f aca="false">ADV11-AVI11</f>
        <v>0</v>
      </c>
      <c r="AKW11" s="20" t="n">
        <v>0</v>
      </c>
      <c r="AKX11" s="20" t="n">
        <v>0</v>
      </c>
      <c r="AKY11" s="20" t="n">
        <v>0</v>
      </c>
      <c r="AKZ11" s="20" t="n">
        <v>0</v>
      </c>
      <c r="ALA11" s="20" t="n">
        <v>0</v>
      </c>
      <c r="ALB11" s="20" t="n">
        <v>0</v>
      </c>
      <c r="ALC11" s="20" t="n">
        <v>0</v>
      </c>
      <c r="ALD11" s="20" t="n">
        <v>0</v>
      </c>
      <c r="ALE11" s="20" t="n">
        <v>0</v>
      </c>
      <c r="ALF11" s="20" t="n">
        <v>0</v>
      </c>
      <c r="ALG11" s="20" t="n">
        <v>0</v>
      </c>
      <c r="ALH11" s="20" t="n">
        <v>0</v>
      </c>
      <c r="ALI11" s="20" t="n">
        <v>0</v>
      </c>
      <c r="ALJ11" s="20" t="n">
        <v>0</v>
      </c>
      <c r="ALK11" s="20" t="n">
        <v>0</v>
      </c>
      <c r="ALL11" s="20" t="n">
        <v>0</v>
      </c>
      <c r="ALM11" s="20" t="n">
        <v>0</v>
      </c>
      <c r="ALN11" s="20" t="n">
        <v>0</v>
      </c>
      <c r="ALO11" s="20" t="n">
        <v>0</v>
      </c>
      <c r="ALP11" s="20" t="n">
        <v>0</v>
      </c>
      <c r="ALQ11" s="20" t="n">
        <v>0</v>
      </c>
      <c r="ALR11" s="20" t="n">
        <v>0</v>
      </c>
      <c r="ALS11" s="20" t="n">
        <v>0</v>
      </c>
      <c r="ALT11" s="20" t="n">
        <v>0</v>
      </c>
      <c r="ALU11" s="20" t="n">
        <v>0</v>
      </c>
      <c r="ALV11" s="20" t="n">
        <v>0</v>
      </c>
      <c r="ALW11" s="20" t="n">
        <v>0</v>
      </c>
      <c r="ALX11" s="20" t="n">
        <v>0</v>
      </c>
      <c r="ALY11" s="20" t="n">
        <v>0</v>
      </c>
      <c r="ALZ11" s="20" t="n">
        <v>0</v>
      </c>
      <c r="AMA11" s="20" t="n">
        <v>0</v>
      </c>
      <c r="AMB11" s="20" t="n">
        <v>0</v>
      </c>
      <c r="AMC11" s="20" t="n">
        <v>0</v>
      </c>
      <c r="AMD11" s="20" t="n">
        <v>0</v>
      </c>
      <c r="AME11" s="20" t="n">
        <v>0</v>
      </c>
      <c r="AMF11" s="20" t="n">
        <v>0</v>
      </c>
      <c r="AMG11" s="20" t="n">
        <v>0</v>
      </c>
      <c r="AMH11" s="20" t="n">
        <v>0</v>
      </c>
      <c r="AMI11" s="20" t="n">
        <v>0</v>
      </c>
      <c r="AMJ11" s="20" t="n">
        <v>0</v>
      </c>
      <c r="AMK11" s="20" t="n">
        <v>0</v>
      </c>
      <c r="AML11" s="20" t="n">
        <v>0</v>
      </c>
      <c r="AMM11" s="20" t="n">
        <v>0</v>
      </c>
      <c r="AMN11" s="20" t="n">
        <v>0</v>
      </c>
      <c r="AMO11" s="20" t="n">
        <v>0</v>
      </c>
      <c r="AMP11" s="20" t="n">
        <v>0</v>
      </c>
      <c r="AMQ11" s="20" t="n">
        <v>0</v>
      </c>
      <c r="AMR11" s="20" t="n">
        <v>0</v>
      </c>
      <c r="AMS11" s="20" t="n">
        <v>0</v>
      </c>
      <c r="AMT11" s="20" t="n">
        <v>0</v>
      </c>
      <c r="AMU11" s="20" t="n">
        <v>0</v>
      </c>
      <c r="AMV11" s="20" t="n">
        <v>0</v>
      </c>
      <c r="AMW11" s="20" t="n">
        <v>0</v>
      </c>
      <c r="AMX11" s="20" t="n">
        <v>0</v>
      </c>
      <c r="AMY11" s="20" t="n">
        <v>0</v>
      </c>
      <c r="AMZ11" s="20" t="n">
        <v>0</v>
      </c>
      <c r="ANA11" s="20" t="n">
        <v>0</v>
      </c>
      <c r="ANB11" s="20" t="n">
        <v>0</v>
      </c>
      <c r="ANC11" s="20" t="n">
        <v>0</v>
      </c>
      <c r="AND11" s="20" t="n">
        <v>0</v>
      </c>
      <c r="ANE11" s="20" t="n">
        <v>0</v>
      </c>
      <c r="ANF11" s="20" t="n">
        <v>0</v>
      </c>
      <c r="ANG11" s="20" t="n">
        <v>0</v>
      </c>
      <c r="ANH11" s="20" t="n">
        <v>0</v>
      </c>
      <c r="ANI11" s="20" t="n">
        <v>0</v>
      </c>
      <c r="ANJ11" s="20" t="n">
        <v>0</v>
      </c>
      <c r="ANK11" s="20" t="n">
        <v>0</v>
      </c>
      <c r="ANL11" s="20" t="n">
        <v>0</v>
      </c>
      <c r="ANM11" s="20" t="n">
        <v>0</v>
      </c>
      <c r="ANN11" s="20" t="n">
        <v>0</v>
      </c>
      <c r="ANO11" s="20" t="n">
        <v>0</v>
      </c>
      <c r="ANP11" s="20" t="n">
        <v>0</v>
      </c>
      <c r="ANQ11" s="20" t="n">
        <v>0</v>
      </c>
      <c r="ANR11" s="20" t="n">
        <v>0</v>
      </c>
      <c r="ANS11" s="20" t="n">
        <v>0</v>
      </c>
      <c r="ANT11" s="20" t="n">
        <v>0</v>
      </c>
      <c r="ANU11" s="20" t="n">
        <v>0</v>
      </c>
      <c r="ANV11" s="20" t="n">
        <v>0</v>
      </c>
      <c r="ANW11" s="20" t="n">
        <v>0</v>
      </c>
      <c r="ANX11" s="20" t="n">
        <v>0</v>
      </c>
      <c r="ANY11" s="20" t="n">
        <v>0</v>
      </c>
      <c r="ANZ11" s="20" t="n">
        <v>0</v>
      </c>
      <c r="AOA11" s="20" t="n">
        <v>0</v>
      </c>
      <c r="AOB11" s="20" t="n">
        <v>0</v>
      </c>
      <c r="AOC11" s="20" t="n">
        <v>0</v>
      </c>
      <c r="AOD11" s="20" t="n">
        <v>0</v>
      </c>
      <c r="AOE11" s="20" t="n">
        <f aca="false">IF(AND(H_Direct=0,H_TaxEvt=1,ARR10+1&gt;=H_Deemed),AKR11,AHE11)</f>
        <v>0</v>
      </c>
      <c r="AOF11" s="20" t="n">
        <f aca="false">IF(AND(H_Direct=0,H_TaxEvt=1,ARS10+1&gt;=H_Deemed),AKS11,AHF11)</f>
        <v>0</v>
      </c>
      <c r="AOG11" s="20" t="n">
        <f aca="false">IF(AND(H_Direct=0,H_TaxEvt=1,ART10+1&gt;=H_Deemed),AKT11,AHG11)</f>
        <v>0</v>
      </c>
      <c r="AOH11" s="20" t="n">
        <f aca="false">IF(AND(H_Direct=0,H_TaxEvt=1,ARU10+1&gt;=H_Deemed),AKU11,AHH11)</f>
        <v>0</v>
      </c>
      <c r="AOI11" s="20" t="n">
        <f aca="false">IF(AND(H_Direct=0,H_TaxEvt=1,0+1&gt;=H_Deemed),AKV11,AHI11)</f>
        <v>0</v>
      </c>
      <c r="AOJ11" s="20" t="n">
        <v>0</v>
      </c>
      <c r="AOK11" s="20" t="n">
        <v>0</v>
      </c>
      <c r="AOL11" s="20" t="n">
        <v>0</v>
      </c>
      <c r="AOM11" s="20" t="n">
        <v>0</v>
      </c>
      <c r="AON11" s="20" t="n">
        <v>0</v>
      </c>
      <c r="AOO11" s="20" t="n">
        <v>0</v>
      </c>
      <c r="AOP11" s="20" t="n">
        <v>0</v>
      </c>
      <c r="AOQ11" s="20" t="n">
        <v>0</v>
      </c>
      <c r="AOR11" s="20" t="n">
        <v>0</v>
      </c>
      <c r="AOS11" s="20" t="n">
        <v>0</v>
      </c>
      <c r="AOT11" s="20" t="n">
        <v>0</v>
      </c>
      <c r="AOU11" s="20" t="n">
        <v>0</v>
      </c>
      <c r="AOV11" s="20" t="n">
        <v>0</v>
      </c>
      <c r="AOW11" s="20" t="n">
        <v>0</v>
      </c>
      <c r="AOX11" s="20" t="n">
        <v>0</v>
      </c>
      <c r="AOY11" s="20" t="n">
        <v>0</v>
      </c>
      <c r="AOZ11" s="20" t="n">
        <v>0</v>
      </c>
      <c r="APA11" s="20" t="n">
        <v>0</v>
      </c>
      <c r="APB11" s="20" t="n">
        <v>0</v>
      </c>
      <c r="APC11" s="20" t="n">
        <v>0</v>
      </c>
      <c r="APD11" s="20" t="n">
        <v>0</v>
      </c>
      <c r="APE11" s="20" t="n">
        <v>0</v>
      </c>
      <c r="APF11" s="20" t="n">
        <v>0</v>
      </c>
      <c r="APG11" s="20" t="n">
        <v>0</v>
      </c>
      <c r="APH11" s="20" t="n">
        <v>0</v>
      </c>
      <c r="API11" s="20" t="n">
        <v>0</v>
      </c>
      <c r="APJ11" s="20" t="n">
        <v>0</v>
      </c>
      <c r="APK11" s="20" t="n">
        <v>0</v>
      </c>
      <c r="APL11" s="20" t="n">
        <v>0</v>
      </c>
      <c r="APM11" s="20" t="n">
        <v>0</v>
      </c>
      <c r="APN11" s="20" t="n">
        <v>0</v>
      </c>
      <c r="APO11" s="20" t="n">
        <v>0</v>
      </c>
      <c r="APP11" s="20" t="n">
        <v>0</v>
      </c>
      <c r="APQ11" s="20" t="n">
        <v>0</v>
      </c>
      <c r="APR11" s="20" t="n">
        <v>0</v>
      </c>
      <c r="APS11" s="20" t="n">
        <v>0</v>
      </c>
      <c r="APT11" s="20" t="n">
        <v>0</v>
      </c>
      <c r="APU11" s="20" t="n">
        <v>0</v>
      </c>
      <c r="APV11" s="20" t="n">
        <v>0</v>
      </c>
      <c r="APW11" s="20" t="n">
        <v>0</v>
      </c>
      <c r="APX11" s="20" t="n">
        <v>0</v>
      </c>
      <c r="APY11" s="20" t="n">
        <v>0</v>
      </c>
      <c r="APZ11" s="20" t="n">
        <v>0</v>
      </c>
      <c r="AQA11" s="20" t="n">
        <v>0</v>
      </c>
      <c r="AQB11" s="20" t="n">
        <v>0</v>
      </c>
      <c r="AQC11" s="20" t="n">
        <v>0</v>
      </c>
      <c r="AQD11" s="20" t="n">
        <v>0</v>
      </c>
      <c r="AQE11" s="20" t="n">
        <v>0</v>
      </c>
      <c r="AQF11" s="20" t="n">
        <v>0</v>
      </c>
      <c r="AQG11" s="20" t="n">
        <v>0</v>
      </c>
      <c r="AQH11" s="20" t="n">
        <v>0</v>
      </c>
      <c r="AQI11" s="20" t="n">
        <v>0</v>
      </c>
      <c r="AQJ11" s="20" t="n">
        <v>0</v>
      </c>
      <c r="AQK11" s="20" t="n">
        <v>0</v>
      </c>
      <c r="AQL11" s="20" t="n">
        <v>0</v>
      </c>
      <c r="AQM11" s="20" t="n">
        <v>0</v>
      </c>
      <c r="AQN11" s="20" t="n">
        <v>0</v>
      </c>
      <c r="AQO11" s="20" t="n">
        <v>0</v>
      </c>
      <c r="AQP11" s="20" t="n">
        <v>0</v>
      </c>
      <c r="AQQ11" s="20" t="n">
        <v>0</v>
      </c>
      <c r="AQR11" s="20" t="n">
        <v>0</v>
      </c>
      <c r="AQS11" s="20" t="n">
        <v>0</v>
      </c>
      <c r="AQT11" s="20" t="n">
        <v>0</v>
      </c>
      <c r="AQU11" s="20" t="n">
        <v>0</v>
      </c>
      <c r="AQV11" s="20" t="n">
        <v>0</v>
      </c>
      <c r="AQW11" s="20" t="n">
        <v>0</v>
      </c>
      <c r="AQX11" s="20" t="n">
        <v>0</v>
      </c>
      <c r="AQY11" s="20" t="n">
        <v>0</v>
      </c>
      <c r="AQZ11" s="20" t="n">
        <v>0</v>
      </c>
      <c r="ARA11" s="20" t="n">
        <v>0</v>
      </c>
      <c r="ARB11" s="20" t="n">
        <v>0</v>
      </c>
      <c r="ARC11" s="20" t="n">
        <v>0</v>
      </c>
      <c r="ARD11" s="20" t="n">
        <v>0</v>
      </c>
      <c r="ARE11" s="20" t="n">
        <v>0</v>
      </c>
      <c r="ARF11" s="20" t="n">
        <v>0</v>
      </c>
      <c r="ARG11" s="20" t="n">
        <v>0</v>
      </c>
      <c r="ARH11" s="20" t="n">
        <v>0</v>
      </c>
      <c r="ARI11" s="20" t="n">
        <v>0</v>
      </c>
      <c r="ARJ11" s="20" t="n">
        <v>0</v>
      </c>
      <c r="ARK11" s="20" t="n">
        <v>0</v>
      </c>
      <c r="ARL11" s="20" t="n">
        <v>0</v>
      </c>
      <c r="ARM11" s="20" t="n">
        <v>0</v>
      </c>
      <c r="ARN11" s="20" t="n">
        <v>0</v>
      </c>
      <c r="ARO11" s="20" t="n">
        <v>0</v>
      </c>
      <c r="ARP11" s="20" t="n">
        <v>0</v>
      </c>
      <c r="ARQ11" s="20" t="n">
        <v>0</v>
      </c>
      <c r="ARR11" s="20" t="n">
        <f aca="false">IF(AND(H_Direct=0,H_TaxEvt=1),IF(ARR10+1&gt;=H_Deemed,0,ARR10+1),ARR10)</f>
        <v>4</v>
      </c>
      <c r="ARS11" s="20" t="n">
        <f aca="false">IF(AND(H_Direct=0,H_TaxEvt=1),IF(ARS10+1&gt;=H_Deemed,0,ARS10+1),ARS10)</f>
        <v>4</v>
      </c>
      <c r="ART11" s="20" t="n">
        <f aca="false">IF(AND(H_Direct=0,H_TaxEvt=1),IF(ART10+1&gt;=H_Deemed,0,ART10+1),ART10)</f>
        <v>3</v>
      </c>
      <c r="ARU11" s="20" t="n">
        <f aca="false">IF(AND(H_Direct=0,H_TaxEvt=1),IF(ARU10+1&gt;=H_Deemed,0,ARU10+1),ARU10)</f>
        <v>2</v>
      </c>
      <c r="ARV11" s="20" t="n">
        <f aca="false">IF(AND(H_Direct=0,H_TaxEvt=1),IF(0+1&gt;=H_Deemed,0,0+1),0)</f>
        <v>1</v>
      </c>
      <c r="ARW11" s="20" t="n">
        <v>0</v>
      </c>
      <c r="ARX11" s="20" t="n">
        <v>0</v>
      </c>
      <c r="ARY11" s="20" t="n">
        <v>0</v>
      </c>
      <c r="ARZ11" s="20" t="n">
        <v>0</v>
      </c>
      <c r="ASA11" s="20" t="n">
        <v>0</v>
      </c>
      <c r="ASB11" s="20" t="n">
        <v>0</v>
      </c>
      <c r="ASC11" s="20" t="n">
        <v>0</v>
      </c>
      <c r="ASD11" s="20" t="n">
        <v>0</v>
      </c>
      <c r="ASE11" s="20" t="n">
        <v>0</v>
      </c>
      <c r="ASF11" s="20" t="n">
        <v>0</v>
      </c>
      <c r="ASG11" s="20" t="n">
        <v>0</v>
      </c>
      <c r="ASH11" s="20" t="n">
        <v>0</v>
      </c>
      <c r="ASI11" s="20" t="n">
        <v>0</v>
      </c>
      <c r="ASJ11" s="20" t="n">
        <v>0</v>
      </c>
      <c r="ASK11" s="20" t="n">
        <v>0</v>
      </c>
      <c r="ASL11" s="20" t="n">
        <v>0</v>
      </c>
      <c r="ASM11" s="20" t="n">
        <v>0</v>
      </c>
      <c r="ASN11" s="20" t="n">
        <v>0</v>
      </c>
      <c r="ASO11" s="20" t="n">
        <v>0</v>
      </c>
      <c r="ASP11" s="20" t="n">
        <v>0</v>
      </c>
      <c r="ASQ11" s="20" t="n">
        <v>0</v>
      </c>
      <c r="ASR11" s="20" t="n">
        <v>0</v>
      </c>
      <c r="ASS11" s="20" t="n">
        <v>0</v>
      </c>
      <c r="AST11" s="20" t="n">
        <v>0</v>
      </c>
      <c r="ASU11" s="20" t="n">
        <v>0</v>
      </c>
      <c r="ASV11" s="20" t="n">
        <v>0</v>
      </c>
      <c r="ASW11" s="20" t="n">
        <v>0</v>
      </c>
      <c r="ASX11" s="20" t="n">
        <v>0</v>
      </c>
      <c r="ASY11" s="20" t="n">
        <v>0</v>
      </c>
      <c r="ASZ11" s="20" t="n">
        <v>0</v>
      </c>
      <c r="ATA11" s="20" t="n">
        <v>0</v>
      </c>
      <c r="ATB11" s="20" t="n">
        <v>0</v>
      </c>
      <c r="ATC11" s="20" t="n">
        <v>0</v>
      </c>
      <c r="ATD11" s="20" t="n">
        <v>0</v>
      </c>
      <c r="ATE11" s="20" t="n">
        <v>0</v>
      </c>
      <c r="ATF11" s="20" t="n">
        <v>0</v>
      </c>
      <c r="ATG11" s="20" t="n">
        <v>0</v>
      </c>
      <c r="ATH11" s="20" t="n">
        <v>0</v>
      </c>
      <c r="ATI11" s="20" t="n">
        <v>0</v>
      </c>
      <c r="ATJ11" s="20" t="n">
        <v>0</v>
      </c>
      <c r="ATK11" s="20" t="n">
        <v>0</v>
      </c>
      <c r="ATL11" s="20" t="n">
        <v>0</v>
      </c>
      <c r="ATM11" s="20" t="n">
        <v>0</v>
      </c>
      <c r="ATN11" s="20" t="n">
        <v>0</v>
      </c>
      <c r="ATO11" s="20" t="n">
        <v>0</v>
      </c>
      <c r="ATP11" s="20" t="n">
        <v>0</v>
      </c>
      <c r="ATQ11" s="20" t="n">
        <v>0</v>
      </c>
      <c r="ATR11" s="20" t="n">
        <v>0</v>
      </c>
      <c r="ATS11" s="20" t="n">
        <v>0</v>
      </c>
      <c r="ATT11" s="20" t="n">
        <v>0</v>
      </c>
      <c r="ATU11" s="20" t="n">
        <v>0</v>
      </c>
      <c r="ATV11" s="20" t="n">
        <v>0</v>
      </c>
      <c r="ATW11" s="20" t="n">
        <v>0</v>
      </c>
      <c r="ATX11" s="20" t="n">
        <v>0</v>
      </c>
      <c r="ATY11" s="20" t="n">
        <v>0</v>
      </c>
      <c r="ATZ11" s="20" t="n">
        <v>0</v>
      </c>
      <c r="AUA11" s="20" t="n">
        <v>0</v>
      </c>
      <c r="AUB11" s="20" t="n">
        <v>0</v>
      </c>
      <c r="AUC11" s="20" t="n">
        <v>0</v>
      </c>
      <c r="AUD11" s="20" t="n">
        <v>0</v>
      </c>
      <c r="AUE11" s="20" t="n">
        <v>0</v>
      </c>
      <c r="AUF11" s="20" t="n">
        <v>0</v>
      </c>
      <c r="AUG11" s="20" t="n">
        <v>0</v>
      </c>
      <c r="AUH11" s="20" t="n">
        <v>0</v>
      </c>
      <c r="AUI11" s="20" t="n">
        <v>0</v>
      </c>
      <c r="AUJ11" s="20" t="n">
        <v>0</v>
      </c>
      <c r="AUK11" s="20" t="n">
        <v>0</v>
      </c>
      <c r="AUL11" s="20" t="n">
        <v>0</v>
      </c>
      <c r="AUM11" s="20" t="n">
        <v>0</v>
      </c>
      <c r="AUN11" s="20" t="n">
        <v>0</v>
      </c>
      <c r="AUO11" s="20" t="n">
        <v>0</v>
      </c>
      <c r="AUP11" s="20" t="n">
        <v>0</v>
      </c>
      <c r="AUQ11" s="20" t="n">
        <v>0</v>
      </c>
      <c r="AUR11" s="20" t="n">
        <v>0</v>
      </c>
      <c r="AUS11" s="20" t="n">
        <v>0</v>
      </c>
      <c r="AUT11" s="20" t="n">
        <v>0</v>
      </c>
      <c r="AUU11" s="20" t="n">
        <v>0</v>
      </c>
      <c r="AUV11" s="20" t="n">
        <v>0</v>
      </c>
      <c r="AUW11" s="20" t="n">
        <v>0</v>
      </c>
      <c r="AUX11" s="20" t="n">
        <v>0</v>
      </c>
      <c r="AUY11" s="20" t="n">
        <v>0</v>
      </c>
      <c r="AUZ11" s="20" t="n">
        <v>0</v>
      </c>
      <c r="AVA11" s="20" t="n">
        <v>0</v>
      </c>
      <c r="AVB11" s="20" t="n">
        <v>0</v>
      </c>
      <c r="AVC11" s="20" t="n">
        <v>0</v>
      </c>
      <c r="AVD11" s="20" t="n">
        <v>0</v>
      </c>
      <c r="AVE11" s="20" t="n">
        <f aca="false">IF(AND(H_Direct=0,H_TaxEvt=1,ARR10+1&gt;=H_Deemed),MAX(0,ADR11-AHE11)*H_Exit,0)</f>
        <v>0</v>
      </c>
      <c r="AVF11" s="20" t="n">
        <f aca="false">IF(AND(H_Direct=0,H_TaxEvt=1,ARS10+1&gt;=H_Deemed),MAX(0,ADS11-AHF11)*H_Exit,0)</f>
        <v>0</v>
      </c>
      <c r="AVG11" s="20" t="n">
        <f aca="false">IF(AND(H_Direct=0,H_TaxEvt=1,ART10+1&gt;=H_Deemed),MAX(0,ADT11-AHG11)*H_Exit,0)</f>
        <v>0</v>
      </c>
      <c r="AVH11" s="20" t="n">
        <f aca="false">IF(AND(H_Direct=0,H_TaxEvt=1,ARU10+1&gt;=H_Deemed),MAX(0,ADU11-AHH11)*H_Exit,0)</f>
        <v>0</v>
      </c>
      <c r="AVI11" s="20" t="n">
        <f aca="false">IF(AND(H_Direct=0,H_TaxEvt=1,0+1&gt;=H_Deemed),MAX(0,ADV11-AHI11)*H_Exit,0)</f>
        <v>0</v>
      </c>
      <c r="AVJ11" s="20" t="n">
        <v>0</v>
      </c>
      <c r="AVK11" s="20" t="n">
        <v>0</v>
      </c>
      <c r="AVL11" s="20" t="n">
        <v>0</v>
      </c>
      <c r="AVM11" s="20" t="n">
        <v>0</v>
      </c>
      <c r="AVN11" s="20" t="n">
        <v>0</v>
      </c>
      <c r="AVO11" s="20" t="n">
        <v>0</v>
      </c>
      <c r="AVP11" s="20" t="n">
        <v>0</v>
      </c>
      <c r="AVQ11" s="20" t="n">
        <v>0</v>
      </c>
      <c r="AVR11" s="20" t="n">
        <v>0</v>
      </c>
      <c r="AVS11" s="20" t="n">
        <v>0</v>
      </c>
      <c r="AVT11" s="20" t="n">
        <v>0</v>
      </c>
      <c r="AVU11" s="20" t="n">
        <v>0</v>
      </c>
      <c r="AVV11" s="20" t="n">
        <v>0</v>
      </c>
      <c r="AVW11" s="20" t="n">
        <v>0</v>
      </c>
      <c r="AVX11" s="20" t="n">
        <v>0</v>
      </c>
      <c r="AVY11" s="20" t="n">
        <v>0</v>
      </c>
      <c r="AVZ11" s="20" t="n">
        <v>0</v>
      </c>
      <c r="AWA11" s="20" t="n">
        <v>0</v>
      </c>
      <c r="AWB11" s="20" t="n">
        <v>0</v>
      </c>
      <c r="AWC11" s="20" t="n">
        <v>0</v>
      </c>
      <c r="AWD11" s="20" t="n">
        <v>0</v>
      </c>
      <c r="AWE11" s="20" t="n">
        <v>0</v>
      </c>
      <c r="AWF11" s="20" t="n">
        <v>0</v>
      </c>
      <c r="AWG11" s="20" t="n">
        <v>0</v>
      </c>
      <c r="AWH11" s="20" t="n">
        <v>0</v>
      </c>
      <c r="AWI11" s="20" t="n">
        <v>0</v>
      </c>
      <c r="AWJ11" s="20" t="n">
        <v>0</v>
      </c>
      <c r="AWK11" s="20" t="n">
        <v>0</v>
      </c>
      <c r="AWL11" s="20" t="n">
        <v>0</v>
      </c>
      <c r="AWM11" s="20" t="n">
        <v>0</v>
      </c>
      <c r="AWN11" s="20" t="n">
        <v>0</v>
      </c>
      <c r="AWO11" s="20" t="n">
        <v>0</v>
      </c>
      <c r="AWP11" s="20" t="n">
        <v>0</v>
      </c>
      <c r="AWQ11" s="20" t="n">
        <v>0</v>
      </c>
      <c r="AWR11" s="20" t="n">
        <v>0</v>
      </c>
      <c r="AWS11" s="20" t="n">
        <v>0</v>
      </c>
      <c r="AWT11" s="20" t="n">
        <v>0</v>
      </c>
      <c r="AWU11" s="20" t="n">
        <v>0</v>
      </c>
      <c r="AWV11" s="20" t="n">
        <v>0</v>
      </c>
      <c r="AWW11" s="20" t="n">
        <v>0</v>
      </c>
      <c r="AWX11" s="20" t="n">
        <v>0</v>
      </c>
      <c r="AWY11" s="20" t="n">
        <v>0</v>
      </c>
      <c r="AWZ11" s="20" t="n">
        <v>0</v>
      </c>
      <c r="AXA11" s="20" t="n">
        <v>0</v>
      </c>
      <c r="AXB11" s="20" t="n">
        <v>0</v>
      </c>
      <c r="AXC11" s="20" t="n">
        <v>0</v>
      </c>
      <c r="AXD11" s="20" t="n">
        <v>0</v>
      </c>
      <c r="AXE11" s="20" t="n">
        <v>0</v>
      </c>
      <c r="AXF11" s="20" t="n">
        <v>0</v>
      </c>
      <c r="AXG11" s="20" t="n">
        <v>0</v>
      </c>
      <c r="AXH11" s="20" t="n">
        <v>0</v>
      </c>
      <c r="AXI11" s="20" t="n">
        <v>0</v>
      </c>
      <c r="AXJ11" s="20" t="n">
        <v>0</v>
      </c>
      <c r="AXK11" s="20" t="n">
        <v>0</v>
      </c>
      <c r="AXL11" s="20" t="n">
        <v>0</v>
      </c>
      <c r="AXM11" s="20" t="n">
        <v>0</v>
      </c>
      <c r="AXN11" s="20" t="n">
        <v>0</v>
      </c>
      <c r="AXO11" s="20" t="n">
        <v>0</v>
      </c>
      <c r="AXP11" s="20" t="n">
        <v>0</v>
      </c>
      <c r="AXQ11" s="20" t="n">
        <v>0</v>
      </c>
      <c r="AXR11" s="20" t="n">
        <v>0</v>
      </c>
      <c r="AXS11" s="20" t="n">
        <v>0</v>
      </c>
      <c r="AXT11" s="20" t="n">
        <v>0</v>
      </c>
      <c r="AXU11" s="20" t="n">
        <v>0</v>
      </c>
      <c r="AXV11" s="20" t="n">
        <v>0</v>
      </c>
      <c r="AXW11" s="20" t="n">
        <v>0</v>
      </c>
      <c r="AXX11" s="20" t="n">
        <v>0</v>
      </c>
      <c r="AXY11" s="20" t="n">
        <v>0</v>
      </c>
      <c r="AXZ11" s="20" t="n">
        <v>0</v>
      </c>
      <c r="AYA11" s="20" t="n">
        <v>0</v>
      </c>
      <c r="AYB11" s="20" t="n">
        <v>0</v>
      </c>
      <c r="AYC11" s="20" t="n">
        <v>0</v>
      </c>
      <c r="AYD11" s="20" t="n">
        <v>0</v>
      </c>
      <c r="AYE11" s="20" t="n">
        <v>0</v>
      </c>
      <c r="AYF11" s="20" t="n">
        <v>0</v>
      </c>
      <c r="AYG11" s="20" t="n">
        <v>0</v>
      </c>
      <c r="AYH11" s="20" t="n">
        <v>0</v>
      </c>
      <c r="AYI11" s="20" t="n">
        <v>0</v>
      </c>
      <c r="AYJ11" s="20" t="n">
        <v>0</v>
      </c>
      <c r="AYK11" s="20" t="n">
        <v>0</v>
      </c>
      <c r="AYL11" s="20" t="n">
        <v>0</v>
      </c>
      <c r="AYM11" s="20" t="n">
        <v>0</v>
      </c>
      <c r="AYN11" s="20" t="n">
        <v>0</v>
      </c>
      <c r="AYO11" s="20" t="n">
        <v>0</v>
      </c>
      <c r="AYP11" s="20" t="n">
        <v>0</v>
      </c>
      <c r="AYQ11" s="20" t="n">
        <v>0</v>
      </c>
    </row>
    <row r="12" customFormat="false" ht="15" hidden="false" customHeight="false" outlineLevel="0" collapsed="false">
      <c r="B12" s="20" t="n">
        <v>4</v>
      </c>
      <c r="C12" s="20" t="n">
        <f aca="false">'Plan cashflow'!C12</f>
        <v>1</v>
      </c>
      <c r="D12" s="20" t="n">
        <f aca="false">'Plan cashflow'!D12</f>
        <v>42</v>
      </c>
      <c r="E12" s="20" t="n">
        <f aca="false">AS_Year0+4</f>
        <v>2030</v>
      </c>
      <c r="F12" s="50" t="n">
        <f aca="false">'Plan cashflow'!F12</f>
        <v>1.08243216</v>
      </c>
      <c r="G12" s="59" t="n">
        <f aca="true">IF(MAX(TODAY(),DATE(E12,1,1))&gt;=H_CGTfrom,H_CGT1,H_CGT0)</f>
        <v>0.31</v>
      </c>
      <c r="H12" s="20" t="n">
        <f aca="false">H_Exempt*H_Persons</f>
        <v>1270</v>
      </c>
      <c r="I12" s="20" t="n">
        <f aca="false">AX11</f>
        <v>0</v>
      </c>
      <c r="J12" s="60" t="n">
        <f aca="false">BF11</f>
        <v>0</v>
      </c>
      <c r="K12" s="60" t="n">
        <f aca="false">BG11</f>
        <v>0</v>
      </c>
      <c r="L12" s="20" t="n">
        <f aca="false">IF(AND(In_polLump&gt;0,In_polLumpAge&gt;0,D12=In_polLumpAge),In_polLump,0)</f>
        <v>0</v>
      </c>
      <c r="M12" s="20" t="n">
        <f aca="false">IF(AND(In_homeUse="Yes, I'd downsize",In_downAge&gt;0,D12=In_downAge,OR(In_home="Own outright",In_home="Own with mortgage"),In_homeValue&gt;0),MAX(0,MAX(0,In_homeValue-In_downValue)*F12*0.9-'Plan cashflow'!HR11),0)</f>
        <v>0</v>
      </c>
      <c r="N12" s="20" t="n">
        <f aca="false">'Plan pay &amp; tax'!Y238</f>
        <v>0</v>
      </c>
      <c r="O12" s="20" t="n">
        <f aca="false">L12+M12+(1-H_Sh)*N12</f>
        <v>0</v>
      </c>
      <c r="P12" s="20" t="n">
        <f aca="false">H_Sh*N12</f>
        <v>0</v>
      </c>
      <c r="Q12" s="20" t="n">
        <f aca="false">'Plan cashflow'!UL12</f>
        <v>0</v>
      </c>
      <c r="R12" s="20" t="n">
        <f aca="false">(1-H_Sh)*Q12</f>
        <v>0</v>
      </c>
      <c r="S12" s="20" t="n">
        <f aca="false">H_Sh*Q12</f>
        <v>0</v>
      </c>
      <c r="T12" s="20" t="n">
        <f aca="false">J12+K12+O12</f>
        <v>0</v>
      </c>
      <c r="U12" s="20" t="n">
        <f aca="false">T12+R12</f>
        <v>0</v>
      </c>
      <c r="V12" s="60" t="n">
        <f aca="false">SUM(FE12:IQ12)</f>
        <v>0</v>
      </c>
      <c r="W12" s="60" t="n">
        <f aca="false">IF(AJ12&lt;=0,0,IF(AL12&lt;=0,AJ12,AJ12-G12*MAX(0,AL12*AJ12-(AY12+AZ12))))</f>
        <v>0</v>
      </c>
      <c r="X12" s="60" t="n">
        <f aca="false">IF(AR12&lt;=0,0,IF(AT12&lt;=0,AR12,AR12-G12*MAX(0,AT12*AR12-(BA12+BB12))))</f>
        <v>0</v>
      </c>
      <c r="Y12" s="60" t="n">
        <f aca="false">T12+V12-S12+W12+X12</f>
        <v>0</v>
      </c>
      <c r="Z12" s="60" t="n">
        <f aca="false">'Plan cashflow'!UK12</f>
        <v>0</v>
      </c>
      <c r="AA12" s="20" t="n">
        <f aca="false">MIN(Z12,U12)</f>
        <v>0</v>
      </c>
      <c r="AB12" s="20" t="n">
        <f aca="false">Z12-AA12</f>
        <v>0</v>
      </c>
      <c r="AC12" s="20" t="n">
        <f aca="false">MIN(AA12,J12+O12+R12)</f>
        <v>0</v>
      </c>
      <c r="AD12" s="20" t="n">
        <f aca="false">AA12-AC12</f>
        <v>0</v>
      </c>
      <c r="AE12" s="20" t="n">
        <f aca="false">J12+O12+R12-AC12</f>
        <v>0</v>
      </c>
      <c r="AF12" s="20" t="n">
        <f aca="false">K12-AD12</f>
        <v>0</v>
      </c>
      <c r="AG12" s="20" t="n">
        <f aca="false">SUM(PR12:TD12)</f>
        <v>0</v>
      </c>
      <c r="AH12" s="20" t="n">
        <f aca="false">SUM(TE12:WQ12)</f>
        <v>0</v>
      </c>
      <c r="AI12" s="20" t="n">
        <f aca="false">MAX(0,AB12-AG12)</f>
        <v>0</v>
      </c>
      <c r="AJ12" s="57" t="n">
        <f aca="false">BI11</f>
        <v>0</v>
      </c>
      <c r="AK12" s="20" t="n">
        <f aca="false">BJ11</f>
        <v>0</v>
      </c>
      <c r="AL12" s="20" t="n">
        <f aca="false">IF(AJ12&gt;0,(AJ12-AK12)/AJ12,0)</f>
        <v>0</v>
      </c>
      <c r="AM12" s="20" t="n">
        <f aca="false">IF(AJ12&lt;=0,0,IF(AL12&lt;=0,MIN(AI12,AJ12),MIN(AI12,AJ12-G12*MAX(0,AL12*AJ12-(AAD12+ADQ12)))))</f>
        <v>0</v>
      </c>
      <c r="AN12" s="20" t="n">
        <f aca="false">IF(AJ12&lt;=0,0,IF(AL12&lt;=0,AM12,IF(AM12&lt;=(AAD12+ADQ12)/AL12,AM12,(AM12-G12*(AAD12+ADQ12))/(1-G12*AL12))))</f>
        <v>0</v>
      </c>
      <c r="AO12" s="20" t="n">
        <f aca="false">IF(AL12&gt;0,MAX(0,AAD12-(MIN(AL12*AN12,(AAD12+ADQ12))-MIN(MIN(AL12*AN12,(AAD12+ADQ12)),ADQ12))),AAD12)</f>
        <v>1270</v>
      </c>
      <c r="AP12" s="20" t="n">
        <f aca="false">IF(AL12&lt;=0,ADQ12-AL12*AN12,ADQ12-MIN(MIN(AL12*AN12,(AAD12+ADQ12)),ADQ12))</f>
        <v>0</v>
      </c>
      <c r="AQ12" s="20" t="n">
        <f aca="false">MAX(0,AI12-AM12)</f>
        <v>0</v>
      </c>
      <c r="AR12" s="57" t="n">
        <f aca="false">BK11</f>
        <v>0</v>
      </c>
      <c r="AS12" s="20" t="n">
        <f aca="false">BL11</f>
        <v>0</v>
      </c>
      <c r="AT12" s="20" t="n">
        <f aca="false">IF(AR12&gt;0,(AR12-AS12)/AR12,0)</f>
        <v>0</v>
      </c>
      <c r="AU12" s="20" t="n">
        <f aca="false">IF(AR12&lt;=0,0,IF(AT12&lt;=0,MIN(AQ12,AR12),MIN(AQ12,AR12-G12*MAX(0,AT12*AR12-(AO12+AP12)))))</f>
        <v>0</v>
      </c>
      <c r="AV12" s="20" t="n">
        <f aca="false">IF(AR12&lt;=0,0,IF(AT12&lt;=0,AU12,IF(AU12&lt;=(AO12+AP12)/AT12,AU12,(AU12-G12*(AO12+AP12))/(1-G12*AT12))))</f>
        <v>0</v>
      </c>
      <c r="AW12" s="20" t="n">
        <f aca="false">IF(AT12&gt;0,MAX(0,AO12-(MIN(AT12*AV12,(AO12+AP12))-MIN(MIN(AT12*AV12,(AO12+AP12)),AP12))),AO12)</f>
        <v>1270</v>
      </c>
      <c r="AX12" s="20" t="n">
        <f aca="false">IF(AT12&lt;=0,AP12-AT12*AV12,AP12-MIN(MIN(AT12*AV12,(AO12+AP12)),AP12))</f>
        <v>0</v>
      </c>
      <c r="AY12" s="20" t="n">
        <f aca="false">MD12</f>
        <v>1270</v>
      </c>
      <c r="AZ12" s="20" t="n">
        <f aca="false">PQ12</f>
        <v>0</v>
      </c>
      <c r="BA12" s="20" t="n">
        <f aca="false">IF(AL12&gt;0,MAX(0,AY12-(MIN(AL12*AJ12,AY12+AZ12)-MIN(MIN(AL12*AJ12,AY12+AZ12),AZ12))),AY12)</f>
        <v>1270</v>
      </c>
      <c r="BB12" s="20" t="n">
        <f aca="false">IF(AL12&lt;=0,AZ12-AL12*AJ12,AZ12-MIN(MIN(AL12*AJ12,AY12+AZ12),AZ12))</f>
        <v>0</v>
      </c>
      <c r="BC12" s="20" t="n">
        <f aca="false">'Plan cashflow'!UM12</f>
        <v>0</v>
      </c>
      <c r="BD12" s="20" t="n">
        <f aca="false">(1-H_Sh)*BC12</f>
        <v>0</v>
      </c>
      <c r="BE12" s="20" t="n">
        <f aca="false">H_Sh*BC12</f>
        <v>0</v>
      </c>
      <c r="BF12" s="60" t="n">
        <f aca="false">(AE12+BD12)*(1+AS_Cash)</f>
        <v>0</v>
      </c>
      <c r="BG12" s="60" t="n">
        <f aca="false">AF12*(1+AS_Cash)</f>
        <v>0</v>
      </c>
      <c r="BH12" s="60" t="n">
        <f aca="false">SUM(AKR12:AOD12)</f>
        <v>0</v>
      </c>
      <c r="BI12" s="60" t="n">
        <f aca="false">(AJ12-AN12)*(1+AS_Infl)</f>
        <v>0</v>
      </c>
      <c r="BJ12" s="20" t="n">
        <f aca="false">IF(AJ12&gt;0,AK12-AK12*AN12/AJ12,0)</f>
        <v>0</v>
      </c>
      <c r="BK12" s="60" t="n">
        <f aca="false">(AR12-AV12)*(1+BQ12)</f>
        <v>0</v>
      </c>
      <c r="BL12" s="20" t="n">
        <f aca="false">IF(AR12&gt;0,AS12-AS12*AV12/AR12,0)</f>
        <v>0</v>
      </c>
      <c r="BM12" s="60" t="n">
        <f aca="false">BF12+BG12+BH12+BI12+BK12</f>
        <v>0</v>
      </c>
      <c r="BN12" s="60" t="n">
        <f aca="false">(AH12-AG12)+(AN12-AM12)+(AV12-AU12)</f>
        <v>0</v>
      </c>
      <c r="BO12" s="20" t="n">
        <f aca="false">(AE12+BD12+AF12+MAX(0,'Plan cashflow'!QH12)+IF(Slot1_Rate=AS_Cash,'Plan cashflow'!QM12/(1+AS_Cash),0)+IF(Slot2_Rate=AS_Cash,'Plan cashflow'!QQ12/(1+AS_Cash),0)+IF(Slot3_Rate=AS_Cash,'Plan cashflow'!QU12/(1+AS_Cash),0)+IF(Slot4_Rate=AS_Cash,'Plan cashflow'!QY12/(1+AS_Cash),0)+IF(Slot5_Rate=AS_Cash,'Plan cashflow'!RC12/(1+AS_Cash),0)+IF(Slot6_Rate=AS_Cash,'Plan cashflow'!RG12/(1+AS_Cash),0)+IF(Slot7_Rate=AS_Cash,'Plan cashflow'!RK12/(1+AS_Cash),0)+IF(Slot8_Rate=AS_Cash,'Plan cashflow'!RO12/(1+AS_Cash),0)+IF(Slot9_Rate=AS_Cash,'Plan cashflow'!RS12/(1+AS_Cash),0)+IF(Slot10_Rate=AS_Cash,'Plan cashflow'!RW12/(1+AS_Cash),0)+IF(Slot11_Rate=AS_Cash,'Plan cashflow'!SA12/(1+AS_Cash),0)+IF(Slot12_Rate=AS_Cash,'Plan cashflow'!SE12/(1+AS_Cash),0)+IF(Slot13_Rate=AS_Cash,'Plan cashflow'!SI12/(1+AS_Cash),0)+IF(Slot14_Rate=AS_Cash,'Plan cashflow'!SM12/(1+AS_Cash),0)+IF(Slot15_Rate=AS_Cash,'Plan cashflow'!SQ12/(1+AS_Cash),0)+IF(Slot16_Rate=AS_Cash,'Plan cashflow'!SU12/(1+AS_Cash),0)+IF(Slot17_Rate=AS_Cash,'Plan cashflow'!SY12/(1+AS_Cash),0)+IF(Slot18_Rate=AS_Cash,'Plan cashflow'!TC12/(1+AS_Cash),0)+IF(Slot19_Rate=AS_Cash,'Plan cashflow'!TG12/(1+AS_Cash),0)+IF(Slot20_Rate=AS_Cash,'Plan cashflow'!TK12/(1+AS_Cash),0))*AS_Cash*H_DIRT/(1-H_DIRT)</f>
        <v>57.1695358418931</v>
      </c>
      <c r="BP12" s="60" t="n">
        <f aca="false">SUM(AVE12:AYQ12)</f>
        <v>0</v>
      </c>
      <c r="BQ12" s="54" t="n">
        <f aca="false">IF(H_TaxEvt=1,H_InvG,AS_Inv)</f>
        <v>0.04</v>
      </c>
      <c r="BR12" s="20" t="n">
        <f aca="false">IF(AKR11&gt;0,(AKR11-AOE11)/AKR11,0)</f>
        <v>0</v>
      </c>
      <c r="BS12" s="20" t="n">
        <f aca="false">IF(AKS11&gt;0,(AKS11-AOF11)/AKS11,0)</f>
        <v>0</v>
      </c>
      <c r="BT12" s="20" t="n">
        <f aca="false">IF(AKT11&gt;0,(AKT11-AOG11)/AKT11,0)</f>
        <v>0</v>
      </c>
      <c r="BU12" s="20" t="n">
        <f aca="false">IF(AKU11&gt;0,(AKU11-AOH11)/AKU11,0)</f>
        <v>0</v>
      </c>
      <c r="BV12" s="20" t="n">
        <f aca="false">IF(AKV11&gt;0,(AKV11-AOI11)/AKV11,0)</f>
        <v>0</v>
      </c>
      <c r="BW12" s="20" t="n">
        <f aca="false">IF((P12+S12)&gt;0,((P12+S12)-(P12+S12))/(P12+S12),0)</f>
        <v>0</v>
      </c>
      <c r="BX12" s="20" t="n">
        <v>0</v>
      </c>
      <c r="BY12" s="20" t="n">
        <v>0</v>
      </c>
      <c r="BZ12" s="20" t="n">
        <v>0</v>
      </c>
      <c r="CA12" s="20" t="n">
        <v>0</v>
      </c>
      <c r="CB12" s="20" t="n">
        <v>0</v>
      </c>
      <c r="CC12" s="20" t="n">
        <v>0</v>
      </c>
      <c r="CD12" s="20" t="n">
        <v>0</v>
      </c>
      <c r="CE12" s="20" t="n">
        <v>0</v>
      </c>
      <c r="CF12" s="20" t="n">
        <v>0</v>
      </c>
      <c r="CG12" s="20" t="n">
        <v>0</v>
      </c>
      <c r="CH12" s="20" t="n">
        <v>0</v>
      </c>
      <c r="CI12" s="20" t="n">
        <v>0</v>
      </c>
      <c r="CJ12" s="20" t="n">
        <v>0</v>
      </c>
      <c r="CK12" s="20" t="n">
        <v>0</v>
      </c>
      <c r="CL12" s="20" t="n">
        <v>0</v>
      </c>
      <c r="CM12" s="20" t="n">
        <v>0</v>
      </c>
      <c r="CN12" s="20" t="n">
        <v>0</v>
      </c>
      <c r="CO12" s="20" t="n">
        <v>0</v>
      </c>
      <c r="CP12" s="20" t="n">
        <v>0</v>
      </c>
      <c r="CQ12" s="20" t="n">
        <v>0</v>
      </c>
      <c r="CR12" s="20" t="n">
        <v>0</v>
      </c>
      <c r="CS12" s="20" t="n">
        <v>0</v>
      </c>
      <c r="CT12" s="20" t="n">
        <v>0</v>
      </c>
      <c r="CU12" s="20" t="n">
        <v>0</v>
      </c>
      <c r="CV12" s="20" t="n">
        <v>0</v>
      </c>
      <c r="CW12" s="20" t="n">
        <v>0</v>
      </c>
      <c r="CX12" s="20" t="n">
        <v>0</v>
      </c>
      <c r="CY12" s="20" t="n">
        <v>0</v>
      </c>
      <c r="CZ12" s="20" t="n">
        <v>0</v>
      </c>
      <c r="DA12" s="20" t="n">
        <v>0</v>
      </c>
      <c r="DB12" s="20" t="n">
        <v>0</v>
      </c>
      <c r="DC12" s="20" t="n">
        <v>0</v>
      </c>
      <c r="DD12" s="20" t="n">
        <v>0</v>
      </c>
      <c r="DE12" s="20" t="n">
        <v>0</v>
      </c>
      <c r="DF12" s="20" t="n">
        <v>0</v>
      </c>
      <c r="DG12" s="20" t="n">
        <v>0</v>
      </c>
      <c r="DH12" s="20" t="n">
        <v>0</v>
      </c>
      <c r="DI12" s="20" t="n">
        <v>0</v>
      </c>
      <c r="DJ12" s="20" t="n">
        <v>0</v>
      </c>
      <c r="DK12" s="20" t="n">
        <v>0</v>
      </c>
      <c r="DL12" s="20" t="n">
        <v>0</v>
      </c>
      <c r="DM12" s="20" t="n">
        <v>0</v>
      </c>
      <c r="DN12" s="20" t="n">
        <v>0</v>
      </c>
      <c r="DO12" s="20" t="n">
        <v>0</v>
      </c>
      <c r="DP12" s="20" t="n">
        <v>0</v>
      </c>
      <c r="DQ12" s="20" t="n">
        <v>0</v>
      </c>
      <c r="DR12" s="20" t="n">
        <v>0</v>
      </c>
      <c r="DS12" s="20" t="n">
        <v>0</v>
      </c>
      <c r="DT12" s="20" t="n">
        <v>0</v>
      </c>
      <c r="DU12" s="20" t="n">
        <v>0</v>
      </c>
      <c r="DV12" s="20" t="n">
        <v>0</v>
      </c>
      <c r="DW12" s="20" t="n">
        <v>0</v>
      </c>
      <c r="DX12" s="20" t="n">
        <v>0</v>
      </c>
      <c r="DY12" s="20" t="n">
        <v>0</v>
      </c>
      <c r="DZ12" s="20" t="n">
        <v>0</v>
      </c>
      <c r="EA12" s="20" t="n">
        <v>0</v>
      </c>
      <c r="EB12" s="20" t="n">
        <v>0</v>
      </c>
      <c r="EC12" s="20" t="n">
        <v>0</v>
      </c>
      <c r="ED12" s="20" t="n">
        <v>0</v>
      </c>
      <c r="EE12" s="20" t="n">
        <v>0</v>
      </c>
      <c r="EF12" s="20" t="n">
        <v>0</v>
      </c>
      <c r="EG12" s="20" t="n">
        <v>0</v>
      </c>
      <c r="EH12" s="20" t="n">
        <v>0</v>
      </c>
      <c r="EI12" s="20" t="n">
        <v>0</v>
      </c>
      <c r="EJ12" s="20" t="n">
        <v>0</v>
      </c>
      <c r="EK12" s="20" t="n">
        <v>0</v>
      </c>
      <c r="EL12" s="20" t="n">
        <v>0</v>
      </c>
      <c r="EM12" s="20" t="n">
        <v>0</v>
      </c>
      <c r="EN12" s="20" t="n">
        <v>0</v>
      </c>
      <c r="EO12" s="20" t="n">
        <v>0</v>
      </c>
      <c r="EP12" s="20" t="n">
        <v>0</v>
      </c>
      <c r="EQ12" s="20" t="n">
        <v>0</v>
      </c>
      <c r="ER12" s="20" t="n">
        <v>0</v>
      </c>
      <c r="ES12" s="20" t="n">
        <v>0</v>
      </c>
      <c r="ET12" s="20" t="n">
        <v>0</v>
      </c>
      <c r="EU12" s="20" t="n">
        <v>0</v>
      </c>
      <c r="EV12" s="20" t="n">
        <v>0</v>
      </c>
      <c r="EW12" s="20" t="n">
        <v>0</v>
      </c>
      <c r="EX12" s="20" t="n">
        <v>0</v>
      </c>
      <c r="EY12" s="20" t="n">
        <v>0</v>
      </c>
      <c r="EZ12" s="20" t="n">
        <v>0</v>
      </c>
      <c r="FA12" s="20" t="n">
        <v>0</v>
      </c>
      <c r="FB12" s="20" t="n">
        <v>0</v>
      </c>
      <c r="FC12" s="20" t="n">
        <v>0</v>
      </c>
      <c r="FD12" s="20" t="n">
        <v>0</v>
      </c>
      <c r="FE12" s="20" t="n">
        <f aca="false">IF(H_Direct=1,IF(AKR11&lt;=0,0,IF(BR12&lt;=0,AKR11,AKR11-G12*MAX(0,BR12*AKR11-(H12+I12)))),AKR11*(1-MAX(0,BR12)*H_Exit))</f>
        <v>0</v>
      </c>
      <c r="FF12" s="20" t="n">
        <f aca="false">IF(H_Direct=1,IF(AKS11&lt;=0,0,IF(BS12&lt;=0,AKS11,AKS11-G12*MAX(0,BS12*AKS11-(IR12+ME12)))),AKS11*(1-MAX(0,BS12)*H_Exit))</f>
        <v>0</v>
      </c>
      <c r="FG12" s="20" t="n">
        <f aca="false">IF(H_Direct=1,IF(AKT11&lt;=0,0,IF(BT12&lt;=0,AKT11,AKT11-G12*MAX(0,BT12*AKT11-(IS12+MF12)))),AKT11*(1-MAX(0,BT12)*H_Exit))</f>
        <v>0</v>
      </c>
      <c r="FH12" s="20" t="n">
        <f aca="false">IF(H_Direct=1,IF(AKU11&lt;=0,0,IF(BU12&lt;=0,AKU11,AKU11-G12*MAX(0,BU12*AKU11-(IT12+MG12)))),AKU11*(1-MAX(0,BU12)*H_Exit))</f>
        <v>0</v>
      </c>
      <c r="FI12" s="20" t="n">
        <f aca="false">IF(H_Direct=1,IF(AKV11&lt;=0,0,IF(BV12&lt;=0,AKV11,AKV11-G12*MAX(0,BV12*AKV11-(IU12+MH12)))),AKV11*(1-MAX(0,BV12)*H_Exit))</f>
        <v>0</v>
      </c>
      <c r="FJ12" s="20" t="n">
        <f aca="false">IF(H_Direct=1,IF((P12+S12)&lt;=0,0,IF(BW12&lt;=0,(P12+S12),(P12+S12)-G12*MAX(0,BW12*(P12+S12)-(IV12+MI12)))),(P12+S12)*(1-MAX(0,BW12)*H_Exit))</f>
        <v>0</v>
      </c>
      <c r="FK12" s="20" t="n">
        <v>0</v>
      </c>
      <c r="FL12" s="20" t="n">
        <v>0</v>
      </c>
      <c r="FM12" s="20" t="n">
        <v>0</v>
      </c>
      <c r="FN12" s="20" t="n">
        <v>0</v>
      </c>
      <c r="FO12" s="20" t="n">
        <v>0</v>
      </c>
      <c r="FP12" s="20" t="n">
        <v>0</v>
      </c>
      <c r="FQ12" s="20" t="n">
        <v>0</v>
      </c>
      <c r="FR12" s="20" t="n">
        <v>0</v>
      </c>
      <c r="FS12" s="20" t="n">
        <v>0</v>
      </c>
      <c r="FT12" s="20" t="n">
        <v>0</v>
      </c>
      <c r="FU12" s="20" t="n">
        <v>0</v>
      </c>
      <c r="FV12" s="20" t="n">
        <v>0</v>
      </c>
      <c r="FW12" s="20" t="n">
        <v>0</v>
      </c>
      <c r="FX12" s="20" t="n">
        <v>0</v>
      </c>
      <c r="FY12" s="20" t="n">
        <v>0</v>
      </c>
      <c r="FZ12" s="20" t="n">
        <v>0</v>
      </c>
      <c r="GA12" s="20" t="n">
        <v>0</v>
      </c>
      <c r="GB12" s="20" t="n">
        <v>0</v>
      </c>
      <c r="GC12" s="20" t="n">
        <v>0</v>
      </c>
      <c r="GD12" s="20" t="n">
        <v>0</v>
      </c>
      <c r="GE12" s="20" t="n">
        <v>0</v>
      </c>
      <c r="GF12" s="20" t="n">
        <v>0</v>
      </c>
      <c r="GG12" s="20" t="n">
        <v>0</v>
      </c>
      <c r="GH12" s="20" t="n">
        <v>0</v>
      </c>
      <c r="GI12" s="20" t="n">
        <v>0</v>
      </c>
      <c r="GJ12" s="20" t="n">
        <v>0</v>
      </c>
      <c r="GK12" s="20" t="n">
        <v>0</v>
      </c>
      <c r="GL12" s="20" t="n">
        <v>0</v>
      </c>
      <c r="GM12" s="20" t="n">
        <v>0</v>
      </c>
      <c r="GN12" s="20" t="n">
        <v>0</v>
      </c>
      <c r="GO12" s="20" t="n">
        <v>0</v>
      </c>
      <c r="GP12" s="20" t="n">
        <v>0</v>
      </c>
      <c r="GQ12" s="20" t="n">
        <v>0</v>
      </c>
      <c r="GR12" s="20" t="n">
        <v>0</v>
      </c>
      <c r="GS12" s="20" t="n">
        <v>0</v>
      </c>
      <c r="GT12" s="20" t="n">
        <v>0</v>
      </c>
      <c r="GU12" s="20" t="n">
        <v>0</v>
      </c>
      <c r="GV12" s="20" t="n">
        <v>0</v>
      </c>
      <c r="GW12" s="20" t="n">
        <v>0</v>
      </c>
      <c r="GX12" s="20" t="n">
        <v>0</v>
      </c>
      <c r="GY12" s="20" t="n">
        <v>0</v>
      </c>
      <c r="GZ12" s="20" t="n">
        <v>0</v>
      </c>
      <c r="HA12" s="20" t="n">
        <v>0</v>
      </c>
      <c r="HB12" s="20" t="n">
        <v>0</v>
      </c>
      <c r="HC12" s="20" t="n">
        <v>0</v>
      </c>
      <c r="HD12" s="20" t="n">
        <v>0</v>
      </c>
      <c r="HE12" s="20" t="n">
        <v>0</v>
      </c>
      <c r="HF12" s="20" t="n">
        <v>0</v>
      </c>
      <c r="HG12" s="20" t="n">
        <v>0</v>
      </c>
      <c r="HH12" s="20" t="n">
        <v>0</v>
      </c>
      <c r="HI12" s="20" t="n">
        <v>0</v>
      </c>
      <c r="HJ12" s="20" t="n">
        <v>0</v>
      </c>
      <c r="HK12" s="20" t="n">
        <v>0</v>
      </c>
      <c r="HL12" s="20" t="n">
        <v>0</v>
      </c>
      <c r="HM12" s="20" t="n">
        <v>0</v>
      </c>
      <c r="HN12" s="20" t="n">
        <v>0</v>
      </c>
      <c r="HO12" s="20" t="n">
        <v>0</v>
      </c>
      <c r="HP12" s="20" t="n">
        <v>0</v>
      </c>
      <c r="HQ12" s="20" t="n">
        <v>0</v>
      </c>
      <c r="HR12" s="20" t="n">
        <v>0</v>
      </c>
      <c r="HS12" s="20" t="n">
        <v>0</v>
      </c>
      <c r="HT12" s="20" t="n">
        <v>0</v>
      </c>
      <c r="HU12" s="20" t="n">
        <v>0</v>
      </c>
      <c r="HV12" s="20" t="n">
        <v>0</v>
      </c>
      <c r="HW12" s="20" t="n">
        <v>0</v>
      </c>
      <c r="HX12" s="20" t="n">
        <v>0</v>
      </c>
      <c r="HY12" s="20" t="n">
        <v>0</v>
      </c>
      <c r="HZ12" s="20" t="n">
        <v>0</v>
      </c>
      <c r="IA12" s="20" t="n">
        <v>0</v>
      </c>
      <c r="IB12" s="20" t="n">
        <v>0</v>
      </c>
      <c r="IC12" s="20" t="n">
        <v>0</v>
      </c>
      <c r="ID12" s="20" t="n">
        <v>0</v>
      </c>
      <c r="IE12" s="20" t="n">
        <v>0</v>
      </c>
      <c r="IF12" s="20" t="n">
        <v>0</v>
      </c>
      <c r="IG12" s="20" t="n">
        <v>0</v>
      </c>
      <c r="IH12" s="20" t="n">
        <v>0</v>
      </c>
      <c r="II12" s="20" t="n">
        <v>0</v>
      </c>
      <c r="IJ12" s="20" t="n">
        <v>0</v>
      </c>
      <c r="IK12" s="20" t="n">
        <v>0</v>
      </c>
      <c r="IL12" s="20" t="n">
        <v>0</v>
      </c>
      <c r="IM12" s="20" t="n">
        <v>0</v>
      </c>
      <c r="IN12" s="20" t="n">
        <v>0</v>
      </c>
      <c r="IO12" s="20" t="n">
        <v>0</v>
      </c>
      <c r="IP12" s="20" t="n">
        <v>0</v>
      </c>
      <c r="IQ12" s="20" t="n">
        <v>0</v>
      </c>
      <c r="IR12" s="20" t="n">
        <f aca="false">IF(AND(H_Direct=1,BR12&gt;0),MAX(0,H12-(MIN(BR12*AKR11,H12+I12)-MIN(MIN(BR12*AKR11,H12+I12),I12))),H12)</f>
        <v>1270</v>
      </c>
      <c r="IS12" s="20" t="n">
        <f aca="false">IF(AND(H_Direct=1,BS12&gt;0),MAX(0,IR12-(MIN(BS12*AKS11,IR12+ME12)-MIN(MIN(BS12*AKS11,IR12+ME12),ME12))),IR12)</f>
        <v>1270</v>
      </c>
      <c r="IT12" s="20" t="n">
        <f aca="false">IF(AND(H_Direct=1,BT12&gt;0),MAX(0,IS12-(MIN(BT12*AKT11,IS12+MF12)-MIN(MIN(BT12*AKT11,IS12+MF12),MF12))),IS12)</f>
        <v>1270</v>
      </c>
      <c r="IU12" s="20" t="n">
        <f aca="false">IF(AND(H_Direct=1,BU12&gt;0),MAX(0,IT12-(MIN(BU12*AKU11,IT12+MG12)-MIN(MIN(BU12*AKU11,IT12+MG12),MG12))),IT12)</f>
        <v>1270</v>
      </c>
      <c r="IV12" s="20" t="n">
        <f aca="false">IF(AND(H_Direct=1,BV12&gt;0),MAX(0,IU12-(MIN(BV12*AKV11,IU12+MH12)-MIN(MIN(BV12*AKV11,IU12+MH12),MH12))),IU12)</f>
        <v>1270</v>
      </c>
      <c r="IW12" s="20" t="n">
        <f aca="false">IF(AND(H_Direct=1,BW12&gt;0),MAX(0,IV12-(MIN(BW12*(P12+S12),IV12+MI12)-MIN(MIN(BW12*(P12+S12),IV12+MI12),MI12))),IV12)</f>
        <v>1270</v>
      </c>
      <c r="IX12" s="20" t="n">
        <f aca="false">IW12</f>
        <v>1270</v>
      </c>
      <c r="IY12" s="20" t="n">
        <f aca="false">IX12</f>
        <v>1270</v>
      </c>
      <c r="IZ12" s="20" t="n">
        <f aca="false">IY12</f>
        <v>1270</v>
      </c>
      <c r="JA12" s="20" t="n">
        <f aca="false">IZ12</f>
        <v>1270</v>
      </c>
      <c r="JB12" s="20" t="n">
        <f aca="false">JA12</f>
        <v>1270</v>
      </c>
      <c r="JC12" s="20" t="n">
        <f aca="false">JB12</f>
        <v>1270</v>
      </c>
      <c r="JD12" s="20" t="n">
        <f aca="false">JC12</f>
        <v>1270</v>
      </c>
      <c r="JE12" s="20" t="n">
        <f aca="false">JD12</f>
        <v>1270</v>
      </c>
      <c r="JF12" s="20" t="n">
        <f aca="false">JE12</f>
        <v>1270</v>
      </c>
      <c r="JG12" s="20" t="n">
        <f aca="false">JF12</f>
        <v>1270</v>
      </c>
      <c r="JH12" s="20" t="n">
        <f aca="false">JG12</f>
        <v>1270</v>
      </c>
      <c r="JI12" s="20" t="n">
        <f aca="false">JH12</f>
        <v>1270</v>
      </c>
      <c r="JJ12" s="20" t="n">
        <f aca="false">JI12</f>
        <v>1270</v>
      </c>
      <c r="JK12" s="20" t="n">
        <f aca="false">JJ12</f>
        <v>1270</v>
      </c>
      <c r="JL12" s="20" t="n">
        <f aca="false">JK12</f>
        <v>1270</v>
      </c>
      <c r="JM12" s="20" t="n">
        <f aca="false">JL12</f>
        <v>1270</v>
      </c>
      <c r="JN12" s="20" t="n">
        <f aca="false">JM12</f>
        <v>1270</v>
      </c>
      <c r="JO12" s="20" t="n">
        <f aca="false">JN12</f>
        <v>1270</v>
      </c>
      <c r="JP12" s="20" t="n">
        <f aca="false">JO12</f>
        <v>1270</v>
      </c>
      <c r="JQ12" s="20" t="n">
        <f aca="false">JP12</f>
        <v>1270</v>
      </c>
      <c r="JR12" s="20" t="n">
        <f aca="false">JQ12</f>
        <v>1270</v>
      </c>
      <c r="JS12" s="20" t="n">
        <f aca="false">JR12</f>
        <v>1270</v>
      </c>
      <c r="JT12" s="20" t="n">
        <f aca="false">JS12</f>
        <v>1270</v>
      </c>
      <c r="JU12" s="20" t="n">
        <f aca="false">JT12</f>
        <v>1270</v>
      </c>
      <c r="JV12" s="20" t="n">
        <f aca="false">JU12</f>
        <v>1270</v>
      </c>
      <c r="JW12" s="20" t="n">
        <f aca="false">JV12</f>
        <v>1270</v>
      </c>
      <c r="JX12" s="20" t="n">
        <f aca="false">JW12</f>
        <v>1270</v>
      </c>
      <c r="JY12" s="20" t="n">
        <f aca="false">JX12</f>
        <v>1270</v>
      </c>
      <c r="JZ12" s="20" t="n">
        <f aca="false">JY12</f>
        <v>1270</v>
      </c>
      <c r="KA12" s="20" t="n">
        <f aca="false">JZ12</f>
        <v>1270</v>
      </c>
      <c r="KB12" s="20" t="n">
        <f aca="false">KA12</f>
        <v>1270</v>
      </c>
      <c r="KC12" s="20" t="n">
        <f aca="false">KB12</f>
        <v>1270</v>
      </c>
      <c r="KD12" s="20" t="n">
        <f aca="false">KC12</f>
        <v>1270</v>
      </c>
      <c r="KE12" s="20" t="n">
        <f aca="false">KD12</f>
        <v>1270</v>
      </c>
      <c r="KF12" s="20" t="n">
        <f aca="false">KE12</f>
        <v>1270</v>
      </c>
      <c r="KG12" s="20" t="n">
        <f aca="false">KF12</f>
        <v>1270</v>
      </c>
      <c r="KH12" s="20" t="n">
        <f aca="false">KG12</f>
        <v>1270</v>
      </c>
      <c r="KI12" s="20" t="n">
        <f aca="false">KH12</f>
        <v>1270</v>
      </c>
      <c r="KJ12" s="20" t="n">
        <f aca="false">KI12</f>
        <v>1270</v>
      </c>
      <c r="KK12" s="20" t="n">
        <f aca="false">KJ12</f>
        <v>1270</v>
      </c>
      <c r="KL12" s="20" t="n">
        <f aca="false">KK12</f>
        <v>1270</v>
      </c>
      <c r="KM12" s="20" t="n">
        <f aca="false">KL12</f>
        <v>1270</v>
      </c>
      <c r="KN12" s="20" t="n">
        <f aca="false">KM12</f>
        <v>1270</v>
      </c>
      <c r="KO12" s="20" t="n">
        <f aca="false">KN12</f>
        <v>1270</v>
      </c>
      <c r="KP12" s="20" t="n">
        <f aca="false">KO12</f>
        <v>1270</v>
      </c>
      <c r="KQ12" s="20" t="n">
        <f aca="false">KP12</f>
        <v>1270</v>
      </c>
      <c r="KR12" s="20" t="n">
        <f aca="false">KQ12</f>
        <v>1270</v>
      </c>
      <c r="KS12" s="20" t="n">
        <f aca="false">KR12</f>
        <v>1270</v>
      </c>
      <c r="KT12" s="20" t="n">
        <f aca="false">KS12</f>
        <v>1270</v>
      </c>
      <c r="KU12" s="20" t="n">
        <f aca="false">KT12</f>
        <v>1270</v>
      </c>
      <c r="KV12" s="20" t="n">
        <f aca="false">KU12</f>
        <v>1270</v>
      </c>
      <c r="KW12" s="20" t="n">
        <f aca="false">KV12</f>
        <v>1270</v>
      </c>
      <c r="KX12" s="20" t="n">
        <f aca="false">KW12</f>
        <v>1270</v>
      </c>
      <c r="KY12" s="20" t="n">
        <f aca="false">KX12</f>
        <v>1270</v>
      </c>
      <c r="KZ12" s="20" t="n">
        <f aca="false">KY12</f>
        <v>1270</v>
      </c>
      <c r="LA12" s="20" t="n">
        <f aca="false">KZ12</f>
        <v>1270</v>
      </c>
      <c r="LB12" s="20" t="n">
        <f aca="false">LA12</f>
        <v>1270</v>
      </c>
      <c r="LC12" s="20" t="n">
        <f aca="false">LB12</f>
        <v>1270</v>
      </c>
      <c r="LD12" s="20" t="n">
        <f aca="false">LC12</f>
        <v>1270</v>
      </c>
      <c r="LE12" s="20" t="n">
        <f aca="false">LD12</f>
        <v>1270</v>
      </c>
      <c r="LF12" s="20" t="n">
        <f aca="false">LE12</f>
        <v>1270</v>
      </c>
      <c r="LG12" s="20" t="n">
        <f aca="false">LF12</f>
        <v>1270</v>
      </c>
      <c r="LH12" s="20" t="n">
        <f aca="false">LG12</f>
        <v>1270</v>
      </c>
      <c r="LI12" s="20" t="n">
        <f aca="false">LH12</f>
        <v>1270</v>
      </c>
      <c r="LJ12" s="20" t="n">
        <f aca="false">LI12</f>
        <v>1270</v>
      </c>
      <c r="LK12" s="20" t="n">
        <f aca="false">LJ12</f>
        <v>1270</v>
      </c>
      <c r="LL12" s="20" t="n">
        <f aca="false">LK12</f>
        <v>1270</v>
      </c>
      <c r="LM12" s="20" t="n">
        <f aca="false">LL12</f>
        <v>1270</v>
      </c>
      <c r="LN12" s="20" t="n">
        <f aca="false">LM12</f>
        <v>1270</v>
      </c>
      <c r="LO12" s="20" t="n">
        <f aca="false">LN12</f>
        <v>1270</v>
      </c>
      <c r="LP12" s="20" t="n">
        <f aca="false">LO12</f>
        <v>1270</v>
      </c>
      <c r="LQ12" s="20" t="n">
        <f aca="false">LP12</f>
        <v>1270</v>
      </c>
      <c r="LR12" s="20" t="n">
        <f aca="false">LQ12</f>
        <v>1270</v>
      </c>
      <c r="LS12" s="20" t="n">
        <f aca="false">LR12</f>
        <v>1270</v>
      </c>
      <c r="LT12" s="20" t="n">
        <f aca="false">LS12</f>
        <v>1270</v>
      </c>
      <c r="LU12" s="20" t="n">
        <f aca="false">LT12</f>
        <v>1270</v>
      </c>
      <c r="LV12" s="20" t="n">
        <f aca="false">LU12</f>
        <v>1270</v>
      </c>
      <c r="LW12" s="20" t="n">
        <f aca="false">LV12</f>
        <v>1270</v>
      </c>
      <c r="LX12" s="20" t="n">
        <f aca="false">LW12</f>
        <v>1270</v>
      </c>
      <c r="LY12" s="20" t="n">
        <f aca="false">LX12</f>
        <v>1270</v>
      </c>
      <c r="LZ12" s="20" t="n">
        <f aca="false">LY12</f>
        <v>1270</v>
      </c>
      <c r="MA12" s="20" t="n">
        <f aca="false">LZ12</f>
        <v>1270</v>
      </c>
      <c r="MB12" s="20" t="n">
        <f aca="false">MA12</f>
        <v>1270</v>
      </c>
      <c r="MC12" s="20" t="n">
        <f aca="false">MB12</f>
        <v>1270</v>
      </c>
      <c r="MD12" s="20" t="n">
        <f aca="false">MC12</f>
        <v>1270</v>
      </c>
      <c r="ME12" s="20" t="n">
        <f aca="false">IF(H_Direct=1,IF(BR12&lt;=0,I12-BR12*AKR11,I12-MIN(MIN(BR12*AKR11,H12+I12),I12)),I12)</f>
        <v>0</v>
      </c>
      <c r="MF12" s="20" t="n">
        <f aca="false">IF(H_Direct=1,IF(BS12&lt;=0,ME12-BS12*AKS11,ME12-MIN(MIN(BS12*AKS11,IR12+ME12),ME12)),ME12)</f>
        <v>0</v>
      </c>
      <c r="MG12" s="20" t="n">
        <f aca="false">IF(H_Direct=1,IF(BT12&lt;=0,MF12-BT12*AKT11,MF12-MIN(MIN(BT12*AKT11,IS12+MF12),MF12)),MF12)</f>
        <v>0</v>
      </c>
      <c r="MH12" s="20" t="n">
        <f aca="false">IF(H_Direct=1,IF(BU12&lt;=0,MG12-BU12*AKU11,MG12-MIN(MIN(BU12*AKU11,IT12+MG12),MG12)),MG12)</f>
        <v>0</v>
      </c>
      <c r="MI12" s="20" t="n">
        <f aca="false">IF(H_Direct=1,IF(BV12&lt;=0,MH12-BV12*AKV11,MH12-MIN(MIN(BV12*AKV11,IU12+MH12),MH12)),MH12)</f>
        <v>0</v>
      </c>
      <c r="MJ12" s="20" t="n">
        <f aca="false">IF(H_Direct=1,IF(BW12&lt;=0,MI12-BW12*(P12+S12),MI12-MIN(MIN(BW12*(P12+S12),IV12+MI12),MI12)),MI12)</f>
        <v>0</v>
      </c>
      <c r="MK12" s="20" t="n">
        <f aca="false">MJ12</f>
        <v>0</v>
      </c>
      <c r="ML12" s="20" t="n">
        <f aca="false">MK12</f>
        <v>0</v>
      </c>
      <c r="MM12" s="20" t="n">
        <f aca="false">ML12</f>
        <v>0</v>
      </c>
      <c r="MN12" s="20" t="n">
        <f aca="false">MM12</f>
        <v>0</v>
      </c>
      <c r="MO12" s="20" t="n">
        <f aca="false">MN12</f>
        <v>0</v>
      </c>
      <c r="MP12" s="20" t="n">
        <f aca="false">MO12</f>
        <v>0</v>
      </c>
      <c r="MQ12" s="20" t="n">
        <f aca="false">MP12</f>
        <v>0</v>
      </c>
      <c r="MR12" s="20" t="n">
        <f aca="false">MQ12</f>
        <v>0</v>
      </c>
      <c r="MS12" s="20" t="n">
        <f aca="false">MR12</f>
        <v>0</v>
      </c>
      <c r="MT12" s="20" t="n">
        <f aca="false">MS12</f>
        <v>0</v>
      </c>
      <c r="MU12" s="20" t="n">
        <f aca="false">MT12</f>
        <v>0</v>
      </c>
      <c r="MV12" s="20" t="n">
        <f aca="false">MU12</f>
        <v>0</v>
      </c>
      <c r="MW12" s="20" t="n">
        <f aca="false">MV12</f>
        <v>0</v>
      </c>
      <c r="MX12" s="20" t="n">
        <f aca="false">MW12</f>
        <v>0</v>
      </c>
      <c r="MY12" s="20" t="n">
        <f aca="false">MX12</f>
        <v>0</v>
      </c>
      <c r="MZ12" s="20" t="n">
        <f aca="false">MY12</f>
        <v>0</v>
      </c>
      <c r="NA12" s="20" t="n">
        <f aca="false">MZ12</f>
        <v>0</v>
      </c>
      <c r="NB12" s="20" t="n">
        <f aca="false">NA12</f>
        <v>0</v>
      </c>
      <c r="NC12" s="20" t="n">
        <f aca="false">NB12</f>
        <v>0</v>
      </c>
      <c r="ND12" s="20" t="n">
        <f aca="false">NC12</f>
        <v>0</v>
      </c>
      <c r="NE12" s="20" t="n">
        <f aca="false">ND12</f>
        <v>0</v>
      </c>
      <c r="NF12" s="20" t="n">
        <f aca="false">NE12</f>
        <v>0</v>
      </c>
      <c r="NG12" s="20" t="n">
        <f aca="false">NF12</f>
        <v>0</v>
      </c>
      <c r="NH12" s="20" t="n">
        <f aca="false">NG12</f>
        <v>0</v>
      </c>
      <c r="NI12" s="20" t="n">
        <f aca="false">NH12</f>
        <v>0</v>
      </c>
      <c r="NJ12" s="20" t="n">
        <f aca="false">NI12</f>
        <v>0</v>
      </c>
      <c r="NK12" s="20" t="n">
        <f aca="false">NJ12</f>
        <v>0</v>
      </c>
      <c r="NL12" s="20" t="n">
        <f aca="false">NK12</f>
        <v>0</v>
      </c>
      <c r="NM12" s="20" t="n">
        <f aca="false">NL12</f>
        <v>0</v>
      </c>
      <c r="NN12" s="20" t="n">
        <f aca="false">NM12</f>
        <v>0</v>
      </c>
      <c r="NO12" s="20" t="n">
        <f aca="false">NN12</f>
        <v>0</v>
      </c>
      <c r="NP12" s="20" t="n">
        <f aca="false">NO12</f>
        <v>0</v>
      </c>
      <c r="NQ12" s="20" t="n">
        <f aca="false">NP12</f>
        <v>0</v>
      </c>
      <c r="NR12" s="20" t="n">
        <f aca="false">NQ12</f>
        <v>0</v>
      </c>
      <c r="NS12" s="20" t="n">
        <f aca="false">NR12</f>
        <v>0</v>
      </c>
      <c r="NT12" s="20" t="n">
        <f aca="false">NS12</f>
        <v>0</v>
      </c>
      <c r="NU12" s="20" t="n">
        <f aca="false">NT12</f>
        <v>0</v>
      </c>
      <c r="NV12" s="20" t="n">
        <f aca="false">NU12</f>
        <v>0</v>
      </c>
      <c r="NW12" s="20" t="n">
        <f aca="false">NV12</f>
        <v>0</v>
      </c>
      <c r="NX12" s="20" t="n">
        <f aca="false">NW12</f>
        <v>0</v>
      </c>
      <c r="NY12" s="20" t="n">
        <f aca="false">NX12</f>
        <v>0</v>
      </c>
      <c r="NZ12" s="20" t="n">
        <f aca="false">NY12</f>
        <v>0</v>
      </c>
      <c r="OA12" s="20" t="n">
        <f aca="false">NZ12</f>
        <v>0</v>
      </c>
      <c r="OB12" s="20" t="n">
        <f aca="false">OA12</f>
        <v>0</v>
      </c>
      <c r="OC12" s="20" t="n">
        <f aca="false">OB12</f>
        <v>0</v>
      </c>
      <c r="OD12" s="20" t="n">
        <f aca="false">OC12</f>
        <v>0</v>
      </c>
      <c r="OE12" s="20" t="n">
        <f aca="false">OD12</f>
        <v>0</v>
      </c>
      <c r="OF12" s="20" t="n">
        <f aca="false">OE12</f>
        <v>0</v>
      </c>
      <c r="OG12" s="20" t="n">
        <f aca="false">OF12</f>
        <v>0</v>
      </c>
      <c r="OH12" s="20" t="n">
        <f aca="false">OG12</f>
        <v>0</v>
      </c>
      <c r="OI12" s="20" t="n">
        <f aca="false">OH12</f>
        <v>0</v>
      </c>
      <c r="OJ12" s="20" t="n">
        <f aca="false">OI12</f>
        <v>0</v>
      </c>
      <c r="OK12" s="20" t="n">
        <f aca="false">OJ12</f>
        <v>0</v>
      </c>
      <c r="OL12" s="20" t="n">
        <f aca="false">OK12</f>
        <v>0</v>
      </c>
      <c r="OM12" s="20" t="n">
        <f aca="false">OL12</f>
        <v>0</v>
      </c>
      <c r="ON12" s="20" t="n">
        <f aca="false">OM12</f>
        <v>0</v>
      </c>
      <c r="OO12" s="20" t="n">
        <f aca="false">ON12</f>
        <v>0</v>
      </c>
      <c r="OP12" s="20" t="n">
        <f aca="false">OO12</f>
        <v>0</v>
      </c>
      <c r="OQ12" s="20" t="n">
        <f aca="false">OP12</f>
        <v>0</v>
      </c>
      <c r="OR12" s="20" t="n">
        <f aca="false">OQ12</f>
        <v>0</v>
      </c>
      <c r="OS12" s="20" t="n">
        <f aca="false">OR12</f>
        <v>0</v>
      </c>
      <c r="OT12" s="20" t="n">
        <f aca="false">OS12</f>
        <v>0</v>
      </c>
      <c r="OU12" s="20" t="n">
        <f aca="false">OT12</f>
        <v>0</v>
      </c>
      <c r="OV12" s="20" t="n">
        <f aca="false">OU12</f>
        <v>0</v>
      </c>
      <c r="OW12" s="20" t="n">
        <f aca="false">OV12</f>
        <v>0</v>
      </c>
      <c r="OX12" s="20" t="n">
        <f aca="false">OW12</f>
        <v>0</v>
      </c>
      <c r="OY12" s="20" t="n">
        <f aca="false">OX12</f>
        <v>0</v>
      </c>
      <c r="OZ12" s="20" t="n">
        <f aca="false">OY12</f>
        <v>0</v>
      </c>
      <c r="PA12" s="20" t="n">
        <f aca="false">OZ12</f>
        <v>0</v>
      </c>
      <c r="PB12" s="20" t="n">
        <f aca="false">PA12</f>
        <v>0</v>
      </c>
      <c r="PC12" s="20" t="n">
        <f aca="false">PB12</f>
        <v>0</v>
      </c>
      <c r="PD12" s="20" t="n">
        <f aca="false">PC12</f>
        <v>0</v>
      </c>
      <c r="PE12" s="20" t="n">
        <f aca="false">PD12</f>
        <v>0</v>
      </c>
      <c r="PF12" s="20" t="n">
        <f aca="false">PE12</f>
        <v>0</v>
      </c>
      <c r="PG12" s="20" t="n">
        <f aca="false">PF12</f>
        <v>0</v>
      </c>
      <c r="PH12" s="20" t="n">
        <f aca="false">PG12</f>
        <v>0</v>
      </c>
      <c r="PI12" s="20" t="n">
        <f aca="false">PH12</f>
        <v>0</v>
      </c>
      <c r="PJ12" s="20" t="n">
        <f aca="false">PI12</f>
        <v>0</v>
      </c>
      <c r="PK12" s="20" t="n">
        <f aca="false">PJ12</f>
        <v>0</v>
      </c>
      <c r="PL12" s="20" t="n">
        <f aca="false">PK12</f>
        <v>0</v>
      </c>
      <c r="PM12" s="20" t="n">
        <f aca="false">PL12</f>
        <v>0</v>
      </c>
      <c r="PN12" s="20" t="n">
        <f aca="false">PM12</f>
        <v>0</v>
      </c>
      <c r="PO12" s="20" t="n">
        <f aca="false">PN12</f>
        <v>0</v>
      </c>
      <c r="PP12" s="20" t="n">
        <f aca="false">PO12</f>
        <v>0</v>
      </c>
      <c r="PQ12" s="20" t="n">
        <f aca="false">PP12</f>
        <v>0</v>
      </c>
      <c r="PR12" s="20" t="n">
        <f aca="false">IF(H_Direct=1,IF(AKR11&lt;=0,0,IF(BR12&lt;=0,MIN(MAX(0,AB12),AKR11),MIN(MAX(0,AB12),AKR11-G12*MAX(0,BR12*AKR11-(H12+I12))))),MIN(FE12,MAX(0,AB12)))</f>
        <v>0</v>
      </c>
      <c r="PS12" s="20" t="n">
        <f aca="false">IF(H_Direct=1,IF(AKS11&lt;=0,0,IF(BS12&lt;=0,MIN(MAX(0,AB12-SUM(PR12:PR12)),AKS11),MIN(MAX(0,AB12-SUM(PR12:PR12)),AKS11-G12*MAX(0,BS12*AKS11-(WR12+AAE12))))),MIN(FF12,MAX(0,AB12-SUM(PR12:PR12))))</f>
        <v>0</v>
      </c>
      <c r="PT12" s="20" t="n">
        <f aca="false">IF(H_Direct=1,IF(AKT11&lt;=0,0,IF(BT12&lt;=0,MIN(MAX(0,AB12-SUM(PR12:PS12)),AKT11),MIN(MAX(0,AB12-SUM(PR12:PS12)),AKT11-G12*MAX(0,BT12*AKT11-(WS12+AAF12))))),MIN(FG12,MAX(0,AB12-SUM(PR12:PS12))))</f>
        <v>0</v>
      </c>
      <c r="PU12" s="20" t="n">
        <f aca="false">IF(H_Direct=1,IF(AKU11&lt;=0,0,IF(BU12&lt;=0,MIN(MAX(0,AB12-SUM(PR12:PT12)),AKU11),MIN(MAX(0,AB12-SUM(PR12:PT12)),AKU11-G12*MAX(0,BU12*AKU11-(WT12+AAG12))))),MIN(FH12,MAX(0,AB12-SUM(PR12:PT12))))</f>
        <v>0</v>
      </c>
      <c r="PV12" s="20" t="n">
        <f aca="false">IF(H_Direct=1,IF(AKV11&lt;=0,0,IF(BV12&lt;=0,MIN(MAX(0,AB12-SUM(PR12:PU12)),AKV11),MIN(MAX(0,AB12-SUM(PR12:PU12)),AKV11-G12*MAX(0,BV12*AKV11-(WU12+AAH12))))),MIN(FI12,MAX(0,AB12-SUM(PR12:PU12))))</f>
        <v>0</v>
      </c>
      <c r="PW12" s="20" t="n">
        <f aca="false">IF(H_Direct=1,IF((P12+S12)&lt;=0,0,IF(BW12&lt;=0,MIN(MAX(0,AB12-SUM(PR12:PV12)),(P12+S12)),MIN(MAX(0,AB12-SUM(PR12:PV12)),(P12+S12)-G12*MAX(0,BW12*(P12+S12)-(WV12+AAI12))))),MIN(FJ12,MAX(0,AB12-SUM(PR12:PV12))))</f>
        <v>0</v>
      </c>
      <c r="PX12" s="20" t="n">
        <v>0</v>
      </c>
      <c r="PY12" s="20" t="n">
        <v>0</v>
      </c>
      <c r="PZ12" s="20" t="n">
        <v>0</v>
      </c>
      <c r="QA12" s="20" t="n">
        <v>0</v>
      </c>
      <c r="QB12" s="20" t="n">
        <v>0</v>
      </c>
      <c r="QC12" s="20" t="n">
        <v>0</v>
      </c>
      <c r="QD12" s="20" t="n">
        <v>0</v>
      </c>
      <c r="QE12" s="20" t="n">
        <v>0</v>
      </c>
      <c r="QF12" s="20" t="n">
        <v>0</v>
      </c>
      <c r="QG12" s="20" t="n">
        <v>0</v>
      </c>
      <c r="QH12" s="20" t="n">
        <v>0</v>
      </c>
      <c r="QI12" s="20" t="n">
        <v>0</v>
      </c>
      <c r="QJ12" s="20" t="n">
        <v>0</v>
      </c>
      <c r="QK12" s="20" t="n">
        <v>0</v>
      </c>
      <c r="QL12" s="20" t="n">
        <v>0</v>
      </c>
      <c r="QM12" s="20" t="n">
        <v>0</v>
      </c>
      <c r="QN12" s="20" t="n">
        <v>0</v>
      </c>
      <c r="QO12" s="20" t="n">
        <v>0</v>
      </c>
      <c r="QP12" s="20" t="n">
        <v>0</v>
      </c>
      <c r="QQ12" s="20" t="n">
        <v>0</v>
      </c>
      <c r="QR12" s="20" t="n">
        <v>0</v>
      </c>
      <c r="QS12" s="20" t="n">
        <v>0</v>
      </c>
      <c r="QT12" s="20" t="n">
        <v>0</v>
      </c>
      <c r="QU12" s="20" t="n">
        <v>0</v>
      </c>
      <c r="QV12" s="20" t="n">
        <v>0</v>
      </c>
      <c r="QW12" s="20" t="n">
        <v>0</v>
      </c>
      <c r="QX12" s="20" t="n">
        <v>0</v>
      </c>
      <c r="QY12" s="20" t="n">
        <v>0</v>
      </c>
      <c r="QZ12" s="20" t="n">
        <v>0</v>
      </c>
      <c r="RA12" s="20" t="n">
        <v>0</v>
      </c>
      <c r="RB12" s="20" t="n">
        <v>0</v>
      </c>
      <c r="RC12" s="20" t="n">
        <v>0</v>
      </c>
      <c r="RD12" s="20" t="n">
        <v>0</v>
      </c>
      <c r="RE12" s="20" t="n">
        <v>0</v>
      </c>
      <c r="RF12" s="20" t="n">
        <v>0</v>
      </c>
      <c r="RG12" s="20" t="n">
        <v>0</v>
      </c>
      <c r="RH12" s="20" t="n">
        <v>0</v>
      </c>
      <c r="RI12" s="20" t="n">
        <v>0</v>
      </c>
      <c r="RJ12" s="20" t="n">
        <v>0</v>
      </c>
      <c r="RK12" s="20" t="n">
        <v>0</v>
      </c>
      <c r="RL12" s="20" t="n">
        <v>0</v>
      </c>
      <c r="RM12" s="20" t="n">
        <v>0</v>
      </c>
      <c r="RN12" s="20" t="n">
        <v>0</v>
      </c>
      <c r="RO12" s="20" t="n">
        <v>0</v>
      </c>
      <c r="RP12" s="20" t="n">
        <v>0</v>
      </c>
      <c r="RQ12" s="20" t="n">
        <v>0</v>
      </c>
      <c r="RR12" s="20" t="n">
        <v>0</v>
      </c>
      <c r="RS12" s="20" t="n">
        <v>0</v>
      </c>
      <c r="RT12" s="20" t="n">
        <v>0</v>
      </c>
      <c r="RU12" s="20" t="n">
        <v>0</v>
      </c>
      <c r="RV12" s="20" t="n">
        <v>0</v>
      </c>
      <c r="RW12" s="20" t="n">
        <v>0</v>
      </c>
      <c r="RX12" s="20" t="n">
        <v>0</v>
      </c>
      <c r="RY12" s="20" t="n">
        <v>0</v>
      </c>
      <c r="RZ12" s="20" t="n">
        <v>0</v>
      </c>
      <c r="SA12" s="20" t="n">
        <v>0</v>
      </c>
      <c r="SB12" s="20" t="n">
        <v>0</v>
      </c>
      <c r="SC12" s="20" t="n">
        <v>0</v>
      </c>
      <c r="SD12" s="20" t="n">
        <v>0</v>
      </c>
      <c r="SE12" s="20" t="n">
        <v>0</v>
      </c>
      <c r="SF12" s="20" t="n">
        <v>0</v>
      </c>
      <c r="SG12" s="20" t="n">
        <v>0</v>
      </c>
      <c r="SH12" s="20" t="n">
        <v>0</v>
      </c>
      <c r="SI12" s="20" t="n">
        <v>0</v>
      </c>
      <c r="SJ12" s="20" t="n">
        <v>0</v>
      </c>
      <c r="SK12" s="20" t="n">
        <v>0</v>
      </c>
      <c r="SL12" s="20" t="n">
        <v>0</v>
      </c>
      <c r="SM12" s="20" t="n">
        <v>0</v>
      </c>
      <c r="SN12" s="20" t="n">
        <v>0</v>
      </c>
      <c r="SO12" s="20" t="n">
        <v>0</v>
      </c>
      <c r="SP12" s="20" t="n">
        <v>0</v>
      </c>
      <c r="SQ12" s="20" t="n">
        <v>0</v>
      </c>
      <c r="SR12" s="20" t="n">
        <v>0</v>
      </c>
      <c r="SS12" s="20" t="n">
        <v>0</v>
      </c>
      <c r="ST12" s="20" t="n">
        <v>0</v>
      </c>
      <c r="SU12" s="20" t="n">
        <v>0</v>
      </c>
      <c r="SV12" s="20" t="n">
        <v>0</v>
      </c>
      <c r="SW12" s="20" t="n">
        <v>0</v>
      </c>
      <c r="SX12" s="20" t="n">
        <v>0</v>
      </c>
      <c r="SY12" s="20" t="n">
        <v>0</v>
      </c>
      <c r="SZ12" s="20" t="n">
        <v>0</v>
      </c>
      <c r="TA12" s="20" t="n">
        <v>0</v>
      </c>
      <c r="TB12" s="20" t="n">
        <v>0</v>
      </c>
      <c r="TC12" s="20" t="n">
        <v>0</v>
      </c>
      <c r="TD12" s="20" t="n">
        <v>0</v>
      </c>
      <c r="TE12" s="20" t="n">
        <f aca="false">IF(AKR11&lt;=0,0,IF(H_Direct=1,IF(BR12&lt;=0,PR12,IF(PR12&lt;=(H12+I12)/BR12,PR12,(PR12-G12*(H12+I12))/(1-G12*BR12))),PR12/(1-MAX(0,BR12)*H_Exit)))</f>
        <v>0</v>
      </c>
      <c r="TF12" s="20" t="n">
        <f aca="false">IF(AKS11&lt;=0,0,IF(H_Direct=1,IF(BS12&lt;=0,PS12,IF(PS12&lt;=(WR12+AAE12)/BS12,PS12,(PS12-G12*(WR12+AAE12))/(1-G12*BS12))),PS12/(1-MAX(0,BS12)*H_Exit)))</f>
        <v>0</v>
      </c>
      <c r="TG12" s="20" t="n">
        <f aca="false">IF(AKT11&lt;=0,0,IF(H_Direct=1,IF(BT12&lt;=0,PT12,IF(PT12&lt;=(WS12+AAF12)/BT12,PT12,(PT12-G12*(WS12+AAF12))/(1-G12*BT12))),PT12/(1-MAX(0,BT12)*H_Exit)))</f>
        <v>0</v>
      </c>
      <c r="TH12" s="20" t="n">
        <f aca="false">IF(AKU11&lt;=0,0,IF(H_Direct=1,IF(BU12&lt;=0,PU12,IF(PU12&lt;=(WT12+AAG12)/BU12,PU12,(PU12-G12*(WT12+AAG12))/(1-G12*BU12))),PU12/(1-MAX(0,BU12)*H_Exit)))</f>
        <v>0</v>
      </c>
      <c r="TI12" s="20" t="n">
        <f aca="false">IF(AKV11&lt;=0,0,IF(H_Direct=1,IF(BV12&lt;=0,PV12,IF(PV12&lt;=(WU12+AAH12)/BV12,PV12,(PV12-G12*(WU12+AAH12))/(1-G12*BV12))),PV12/(1-MAX(0,BV12)*H_Exit)))</f>
        <v>0</v>
      </c>
      <c r="TJ12" s="20" t="n">
        <f aca="false">IF((P12+S12)&lt;=0,0,IF(H_Direct=1,IF(BW12&lt;=0,PW12,IF(PW12&lt;=(WV12+AAI12)/BW12,PW12,(PW12-G12*(WV12+AAI12))/(1-G12*BW12))),PW12/(1-MAX(0,BW12)*H_Exit)))</f>
        <v>0</v>
      </c>
      <c r="TK12" s="20" t="n">
        <v>0</v>
      </c>
      <c r="TL12" s="20" t="n">
        <v>0</v>
      </c>
      <c r="TM12" s="20" t="n">
        <v>0</v>
      </c>
      <c r="TN12" s="20" t="n">
        <v>0</v>
      </c>
      <c r="TO12" s="20" t="n">
        <v>0</v>
      </c>
      <c r="TP12" s="20" t="n">
        <v>0</v>
      </c>
      <c r="TQ12" s="20" t="n">
        <v>0</v>
      </c>
      <c r="TR12" s="20" t="n">
        <v>0</v>
      </c>
      <c r="TS12" s="20" t="n">
        <v>0</v>
      </c>
      <c r="TT12" s="20" t="n">
        <v>0</v>
      </c>
      <c r="TU12" s="20" t="n">
        <v>0</v>
      </c>
      <c r="TV12" s="20" t="n">
        <v>0</v>
      </c>
      <c r="TW12" s="20" t="n">
        <v>0</v>
      </c>
      <c r="TX12" s="20" t="n">
        <v>0</v>
      </c>
      <c r="TY12" s="20" t="n">
        <v>0</v>
      </c>
      <c r="TZ12" s="20" t="n">
        <v>0</v>
      </c>
      <c r="UA12" s="20" t="n">
        <v>0</v>
      </c>
      <c r="UB12" s="20" t="n">
        <v>0</v>
      </c>
      <c r="UC12" s="20" t="n">
        <v>0</v>
      </c>
      <c r="UD12" s="20" t="n">
        <v>0</v>
      </c>
      <c r="UE12" s="20" t="n">
        <v>0</v>
      </c>
      <c r="UF12" s="20" t="n">
        <v>0</v>
      </c>
      <c r="UG12" s="20" t="n">
        <v>0</v>
      </c>
      <c r="UH12" s="20" t="n">
        <v>0</v>
      </c>
      <c r="UI12" s="20" t="n">
        <v>0</v>
      </c>
      <c r="UJ12" s="20" t="n">
        <v>0</v>
      </c>
      <c r="UK12" s="20" t="n">
        <v>0</v>
      </c>
      <c r="UL12" s="20" t="n">
        <v>0</v>
      </c>
      <c r="UM12" s="20" t="n">
        <v>0</v>
      </c>
      <c r="UN12" s="20" t="n">
        <v>0</v>
      </c>
      <c r="UO12" s="20" t="n">
        <v>0</v>
      </c>
      <c r="UP12" s="20" t="n">
        <v>0</v>
      </c>
      <c r="UQ12" s="20" t="n">
        <v>0</v>
      </c>
      <c r="UR12" s="20" t="n">
        <v>0</v>
      </c>
      <c r="US12" s="20" t="n">
        <v>0</v>
      </c>
      <c r="UT12" s="20" t="n">
        <v>0</v>
      </c>
      <c r="UU12" s="20" t="n">
        <v>0</v>
      </c>
      <c r="UV12" s="20" t="n">
        <v>0</v>
      </c>
      <c r="UW12" s="20" t="n">
        <v>0</v>
      </c>
      <c r="UX12" s="20" t="n">
        <v>0</v>
      </c>
      <c r="UY12" s="20" t="n">
        <v>0</v>
      </c>
      <c r="UZ12" s="20" t="n">
        <v>0</v>
      </c>
      <c r="VA12" s="20" t="n">
        <v>0</v>
      </c>
      <c r="VB12" s="20" t="n">
        <v>0</v>
      </c>
      <c r="VC12" s="20" t="n">
        <v>0</v>
      </c>
      <c r="VD12" s="20" t="n">
        <v>0</v>
      </c>
      <c r="VE12" s="20" t="n">
        <v>0</v>
      </c>
      <c r="VF12" s="20" t="n">
        <v>0</v>
      </c>
      <c r="VG12" s="20" t="n">
        <v>0</v>
      </c>
      <c r="VH12" s="20" t="n">
        <v>0</v>
      </c>
      <c r="VI12" s="20" t="n">
        <v>0</v>
      </c>
      <c r="VJ12" s="20" t="n">
        <v>0</v>
      </c>
      <c r="VK12" s="20" t="n">
        <v>0</v>
      </c>
      <c r="VL12" s="20" t="n">
        <v>0</v>
      </c>
      <c r="VM12" s="20" t="n">
        <v>0</v>
      </c>
      <c r="VN12" s="20" t="n">
        <v>0</v>
      </c>
      <c r="VO12" s="20" t="n">
        <v>0</v>
      </c>
      <c r="VP12" s="20" t="n">
        <v>0</v>
      </c>
      <c r="VQ12" s="20" t="n">
        <v>0</v>
      </c>
      <c r="VR12" s="20" t="n">
        <v>0</v>
      </c>
      <c r="VS12" s="20" t="n">
        <v>0</v>
      </c>
      <c r="VT12" s="20" t="n">
        <v>0</v>
      </c>
      <c r="VU12" s="20" t="n">
        <v>0</v>
      </c>
      <c r="VV12" s="20" t="n">
        <v>0</v>
      </c>
      <c r="VW12" s="20" t="n">
        <v>0</v>
      </c>
      <c r="VX12" s="20" t="n">
        <v>0</v>
      </c>
      <c r="VY12" s="20" t="n">
        <v>0</v>
      </c>
      <c r="VZ12" s="20" t="n">
        <v>0</v>
      </c>
      <c r="WA12" s="20" t="n">
        <v>0</v>
      </c>
      <c r="WB12" s="20" t="n">
        <v>0</v>
      </c>
      <c r="WC12" s="20" t="n">
        <v>0</v>
      </c>
      <c r="WD12" s="20" t="n">
        <v>0</v>
      </c>
      <c r="WE12" s="20" t="n">
        <v>0</v>
      </c>
      <c r="WF12" s="20" t="n">
        <v>0</v>
      </c>
      <c r="WG12" s="20" t="n">
        <v>0</v>
      </c>
      <c r="WH12" s="20" t="n">
        <v>0</v>
      </c>
      <c r="WI12" s="20" t="n">
        <v>0</v>
      </c>
      <c r="WJ12" s="20" t="n">
        <v>0</v>
      </c>
      <c r="WK12" s="20" t="n">
        <v>0</v>
      </c>
      <c r="WL12" s="20" t="n">
        <v>0</v>
      </c>
      <c r="WM12" s="20" t="n">
        <v>0</v>
      </c>
      <c r="WN12" s="20" t="n">
        <v>0</v>
      </c>
      <c r="WO12" s="20" t="n">
        <v>0</v>
      </c>
      <c r="WP12" s="20" t="n">
        <v>0</v>
      </c>
      <c r="WQ12" s="20" t="n">
        <v>0</v>
      </c>
      <c r="WR12" s="20" t="n">
        <f aca="false">IF(AND(H_Direct=1,BR12&gt;0),MAX(0,H12-(MIN(BR12*TE12,(H12+I12))-MIN(MIN(BR12*TE12,(H12+I12)),I12))),H12)</f>
        <v>1270</v>
      </c>
      <c r="WS12" s="20" t="n">
        <f aca="false">IF(AND(H_Direct=1,BS12&gt;0),MAX(0,WR12-(MIN(BS12*TF12,(WR12+AAE12))-MIN(MIN(BS12*TF12,(WR12+AAE12)),AAE12))),WR12)</f>
        <v>1270</v>
      </c>
      <c r="WT12" s="20" t="n">
        <f aca="false">IF(AND(H_Direct=1,BT12&gt;0),MAX(0,WS12-(MIN(BT12*TG12,(WS12+AAF12))-MIN(MIN(BT12*TG12,(WS12+AAF12)),AAF12))),WS12)</f>
        <v>1270</v>
      </c>
      <c r="WU12" s="20" t="n">
        <f aca="false">IF(AND(H_Direct=1,BU12&gt;0),MAX(0,WT12-(MIN(BU12*TH12,(WT12+AAG12))-MIN(MIN(BU12*TH12,(WT12+AAG12)),AAG12))),WT12)</f>
        <v>1270</v>
      </c>
      <c r="WV12" s="20" t="n">
        <f aca="false">IF(AND(H_Direct=1,BV12&gt;0),MAX(0,WU12-(MIN(BV12*TI12,(WU12+AAH12))-MIN(MIN(BV12*TI12,(WU12+AAH12)),AAH12))),WU12)</f>
        <v>1270</v>
      </c>
      <c r="WW12" s="20" t="n">
        <f aca="false">IF(AND(H_Direct=1,BW12&gt;0),MAX(0,WV12-(MIN(BW12*TJ12,(WV12+AAI12))-MIN(MIN(BW12*TJ12,(WV12+AAI12)),AAI12))),WV12)</f>
        <v>1270</v>
      </c>
      <c r="WX12" s="20" t="n">
        <f aca="false">WW12</f>
        <v>1270</v>
      </c>
      <c r="WY12" s="20" t="n">
        <f aca="false">WX12</f>
        <v>1270</v>
      </c>
      <c r="WZ12" s="20" t="n">
        <f aca="false">WY12</f>
        <v>1270</v>
      </c>
      <c r="XA12" s="20" t="n">
        <f aca="false">WZ12</f>
        <v>1270</v>
      </c>
      <c r="XB12" s="20" t="n">
        <f aca="false">XA12</f>
        <v>1270</v>
      </c>
      <c r="XC12" s="20" t="n">
        <f aca="false">XB12</f>
        <v>1270</v>
      </c>
      <c r="XD12" s="20" t="n">
        <f aca="false">XC12</f>
        <v>1270</v>
      </c>
      <c r="XE12" s="20" t="n">
        <f aca="false">XD12</f>
        <v>1270</v>
      </c>
      <c r="XF12" s="20" t="n">
        <f aca="false">XE12</f>
        <v>1270</v>
      </c>
      <c r="XG12" s="20" t="n">
        <f aca="false">XF12</f>
        <v>1270</v>
      </c>
      <c r="XH12" s="20" t="n">
        <f aca="false">XG12</f>
        <v>1270</v>
      </c>
      <c r="XI12" s="20" t="n">
        <f aca="false">XH12</f>
        <v>1270</v>
      </c>
      <c r="XJ12" s="20" t="n">
        <f aca="false">XI12</f>
        <v>1270</v>
      </c>
      <c r="XK12" s="20" t="n">
        <f aca="false">XJ12</f>
        <v>1270</v>
      </c>
      <c r="XL12" s="20" t="n">
        <f aca="false">XK12</f>
        <v>1270</v>
      </c>
      <c r="XM12" s="20" t="n">
        <f aca="false">XL12</f>
        <v>1270</v>
      </c>
      <c r="XN12" s="20" t="n">
        <f aca="false">XM12</f>
        <v>1270</v>
      </c>
      <c r="XO12" s="20" t="n">
        <f aca="false">XN12</f>
        <v>1270</v>
      </c>
      <c r="XP12" s="20" t="n">
        <f aca="false">XO12</f>
        <v>1270</v>
      </c>
      <c r="XQ12" s="20" t="n">
        <f aca="false">XP12</f>
        <v>1270</v>
      </c>
      <c r="XR12" s="20" t="n">
        <f aca="false">XQ12</f>
        <v>1270</v>
      </c>
      <c r="XS12" s="20" t="n">
        <f aca="false">XR12</f>
        <v>1270</v>
      </c>
      <c r="XT12" s="20" t="n">
        <f aca="false">XS12</f>
        <v>1270</v>
      </c>
      <c r="XU12" s="20" t="n">
        <f aca="false">XT12</f>
        <v>1270</v>
      </c>
      <c r="XV12" s="20" t="n">
        <f aca="false">XU12</f>
        <v>1270</v>
      </c>
      <c r="XW12" s="20" t="n">
        <f aca="false">XV12</f>
        <v>1270</v>
      </c>
      <c r="XX12" s="20" t="n">
        <f aca="false">XW12</f>
        <v>1270</v>
      </c>
      <c r="XY12" s="20" t="n">
        <f aca="false">XX12</f>
        <v>1270</v>
      </c>
      <c r="XZ12" s="20" t="n">
        <f aca="false">XY12</f>
        <v>1270</v>
      </c>
      <c r="YA12" s="20" t="n">
        <f aca="false">XZ12</f>
        <v>1270</v>
      </c>
      <c r="YB12" s="20" t="n">
        <f aca="false">YA12</f>
        <v>1270</v>
      </c>
      <c r="YC12" s="20" t="n">
        <f aca="false">YB12</f>
        <v>1270</v>
      </c>
      <c r="YD12" s="20" t="n">
        <f aca="false">YC12</f>
        <v>1270</v>
      </c>
      <c r="YE12" s="20" t="n">
        <f aca="false">YD12</f>
        <v>1270</v>
      </c>
      <c r="YF12" s="20" t="n">
        <f aca="false">YE12</f>
        <v>1270</v>
      </c>
      <c r="YG12" s="20" t="n">
        <f aca="false">YF12</f>
        <v>1270</v>
      </c>
      <c r="YH12" s="20" t="n">
        <f aca="false">YG12</f>
        <v>1270</v>
      </c>
      <c r="YI12" s="20" t="n">
        <f aca="false">YH12</f>
        <v>1270</v>
      </c>
      <c r="YJ12" s="20" t="n">
        <f aca="false">YI12</f>
        <v>1270</v>
      </c>
      <c r="YK12" s="20" t="n">
        <f aca="false">YJ12</f>
        <v>1270</v>
      </c>
      <c r="YL12" s="20" t="n">
        <f aca="false">YK12</f>
        <v>1270</v>
      </c>
      <c r="YM12" s="20" t="n">
        <f aca="false">YL12</f>
        <v>1270</v>
      </c>
      <c r="YN12" s="20" t="n">
        <f aca="false">YM12</f>
        <v>1270</v>
      </c>
      <c r="YO12" s="20" t="n">
        <f aca="false">YN12</f>
        <v>1270</v>
      </c>
      <c r="YP12" s="20" t="n">
        <f aca="false">YO12</f>
        <v>1270</v>
      </c>
      <c r="YQ12" s="20" t="n">
        <f aca="false">YP12</f>
        <v>1270</v>
      </c>
      <c r="YR12" s="20" t="n">
        <f aca="false">YQ12</f>
        <v>1270</v>
      </c>
      <c r="YS12" s="20" t="n">
        <f aca="false">YR12</f>
        <v>1270</v>
      </c>
      <c r="YT12" s="20" t="n">
        <f aca="false">YS12</f>
        <v>1270</v>
      </c>
      <c r="YU12" s="20" t="n">
        <f aca="false">YT12</f>
        <v>1270</v>
      </c>
      <c r="YV12" s="20" t="n">
        <f aca="false">YU12</f>
        <v>1270</v>
      </c>
      <c r="YW12" s="20" t="n">
        <f aca="false">YV12</f>
        <v>1270</v>
      </c>
      <c r="YX12" s="20" t="n">
        <f aca="false">YW12</f>
        <v>1270</v>
      </c>
      <c r="YY12" s="20" t="n">
        <f aca="false">YX12</f>
        <v>1270</v>
      </c>
      <c r="YZ12" s="20" t="n">
        <f aca="false">YY12</f>
        <v>1270</v>
      </c>
      <c r="ZA12" s="20" t="n">
        <f aca="false">YZ12</f>
        <v>1270</v>
      </c>
      <c r="ZB12" s="20" t="n">
        <f aca="false">ZA12</f>
        <v>1270</v>
      </c>
      <c r="ZC12" s="20" t="n">
        <f aca="false">ZB12</f>
        <v>1270</v>
      </c>
      <c r="ZD12" s="20" t="n">
        <f aca="false">ZC12</f>
        <v>1270</v>
      </c>
      <c r="ZE12" s="20" t="n">
        <f aca="false">ZD12</f>
        <v>1270</v>
      </c>
      <c r="ZF12" s="20" t="n">
        <f aca="false">ZE12</f>
        <v>1270</v>
      </c>
      <c r="ZG12" s="20" t="n">
        <f aca="false">ZF12</f>
        <v>1270</v>
      </c>
      <c r="ZH12" s="20" t="n">
        <f aca="false">ZG12</f>
        <v>1270</v>
      </c>
      <c r="ZI12" s="20" t="n">
        <f aca="false">ZH12</f>
        <v>1270</v>
      </c>
      <c r="ZJ12" s="20" t="n">
        <f aca="false">ZI12</f>
        <v>1270</v>
      </c>
      <c r="ZK12" s="20" t="n">
        <f aca="false">ZJ12</f>
        <v>1270</v>
      </c>
      <c r="ZL12" s="20" t="n">
        <f aca="false">ZK12</f>
        <v>1270</v>
      </c>
      <c r="ZM12" s="20" t="n">
        <f aca="false">ZL12</f>
        <v>1270</v>
      </c>
      <c r="ZN12" s="20" t="n">
        <f aca="false">ZM12</f>
        <v>1270</v>
      </c>
      <c r="ZO12" s="20" t="n">
        <f aca="false">ZN12</f>
        <v>1270</v>
      </c>
      <c r="ZP12" s="20" t="n">
        <f aca="false">ZO12</f>
        <v>1270</v>
      </c>
      <c r="ZQ12" s="20" t="n">
        <f aca="false">ZP12</f>
        <v>1270</v>
      </c>
      <c r="ZR12" s="20" t="n">
        <f aca="false">ZQ12</f>
        <v>1270</v>
      </c>
      <c r="ZS12" s="20" t="n">
        <f aca="false">ZR12</f>
        <v>1270</v>
      </c>
      <c r="ZT12" s="20" t="n">
        <f aca="false">ZS12</f>
        <v>1270</v>
      </c>
      <c r="ZU12" s="20" t="n">
        <f aca="false">ZT12</f>
        <v>1270</v>
      </c>
      <c r="ZV12" s="20" t="n">
        <f aca="false">ZU12</f>
        <v>1270</v>
      </c>
      <c r="ZW12" s="20" t="n">
        <f aca="false">ZV12</f>
        <v>1270</v>
      </c>
      <c r="ZX12" s="20" t="n">
        <f aca="false">ZW12</f>
        <v>1270</v>
      </c>
      <c r="ZY12" s="20" t="n">
        <f aca="false">ZX12</f>
        <v>1270</v>
      </c>
      <c r="ZZ12" s="20" t="n">
        <f aca="false">ZY12</f>
        <v>1270</v>
      </c>
      <c r="AAA12" s="20" t="n">
        <f aca="false">ZZ12</f>
        <v>1270</v>
      </c>
      <c r="AAB12" s="20" t="n">
        <f aca="false">AAA12</f>
        <v>1270</v>
      </c>
      <c r="AAC12" s="20" t="n">
        <f aca="false">AAB12</f>
        <v>1270</v>
      </c>
      <c r="AAD12" s="20" t="n">
        <f aca="false">AAC12</f>
        <v>1270</v>
      </c>
      <c r="AAE12" s="20" t="n">
        <f aca="false">IF(H_Direct=1,IF(BR12&lt;=0,I12-BR12*TE12,I12-MIN(MIN(BR12*TE12,(H12+I12)),I12)),I12)</f>
        <v>0</v>
      </c>
      <c r="AAF12" s="20" t="n">
        <f aca="false">IF(H_Direct=1,IF(BS12&lt;=0,AAE12-BS12*TF12,AAE12-MIN(MIN(BS12*TF12,(WR12+AAE12)),AAE12)),AAE12)</f>
        <v>0</v>
      </c>
      <c r="AAG12" s="20" t="n">
        <f aca="false">IF(H_Direct=1,IF(BT12&lt;=0,AAF12-BT12*TG12,AAF12-MIN(MIN(BT12*TG12,(WS12+AAF12)),AAF12)),AAF12)</f>
        <v>0</v>
      </c>
      <c r="AAH12" s="20" t="n">
        <f aca="false">IF(H_Direct=1,IF(BU12&lt;=0,AAG12-BU12*TH12,AAG12-MIN(MIN(BU12*TH12,(WT12+AAG12)),AAG12)),AAG12)</f>
        <v>0</v>
      </c>
      <c r="AAI12" s="20" t="n">
        <f aca="false">IF(H_Direct=1,IF(BV12&lt;=0,AAH12-BV12*TI12,AAH12-MIN(MIN(BV12*TI12,(WU12+AAH12)),AAH12)),AAH12)</f>
        <v>0</v>
      </c>
      <c r="AAJ12" s="20" t="n">
        <f aca="false">IF(H_Direct=1,IF(BW12&lt;=0,AAI12-BW12*TJ12,AAI12-MIN(MIN(BW12*TJ12,(WV12+AAI12)),AAI12)),AAI12)</f>
        <v>0</v>
      </c>
      <c r="AAK12" s="20" t="n">
        <f aca="false">AAJ12</f>
        <v>0</v>
      </c>
      <c r="AAL12" s="20" t="n">
        <f aca="false">AAK12</f>
        <v>0</v>
      </c>
      <c r="AAM12" s="20" t="n">
        <f aca="false">AAL12</f>
        <v>0</v>
      </c>
      <c r="AAN12" s="20" t="n">
        <f aca="false">AAM12</f>
        <v>0</v>
      </c>
      <c r="AAO12" s="20" t="n">
        <f aca="false">AAN12</f>
        <v>0</v>
      </c>
      <c r="AAP12" s="20" t="n">
        <f aca="false">AAO12</f>
        <v>0</v>
      </c>
      <c r="AAQ12" s="20" t="n">
        <f aca="false">AAP12</f>
        <v>0</v>
      </c>
      <c r="AAR12" s="20" t="n">
        <f aca="false">AAQ12</f>
        <v>0</v>
      </c>
      <c r="AAS12" s="20" t="n">
        <f aca="false">AAR12</f>
        <v>0</v>
      </c>
      <c r="AAT12" s="20" t="n">
        <f aca="false">AAS12</f>
        <v>0</v>
      </c>
      <c r="AAU12" s="20" t="n">
        <f aca="false">AAT12</f>
        <v>0</v>
      </c>
      <c r="AAV12" s="20" t="n">
        <f aca="false">AAU12</f>
        <v>0</v>
      </c>
      <c r="AAW12" s="20" t="n">
        <f aca="false">AAV12</f>
        <v>0</v>
      </c>
      <c r="AAX12" s="20" t="n">
        <f aca="false">AAW12</f>
        <v>0</v>
      </c>
      <c r="AAY12" s="20" t="n">
        <f aca="false">AAX12</f>
        <v>0</v>
      </c>
      <c r="AAZ12" s="20" t="n">
        <f aca="false">AAY12</f>
        <v>0</v>
      </c>
      <c r="ABA12" s="20" t="n">
        <f aca="false">AAZ12</f>
        <v>0</v>
      </c>
      <c r="ABB12" s="20" t="n">
        <f aca="false">ABA12</f>
        <v>0</v>
      </c>
      <c r="ABC12" s="20" t="n">
        <f aca="false">ABB12</f>
        <v>0</v>
      </c>
      <c r="ABD12" s="20" t="n">
        <f aca="false">ABC12</f>
        <v>0</v>
      </c>
      <c r="ABE12" s="20" t="n">
        <f aca="false">ABD12</f>
        <v>0</v>
      </c>
      <c r="ABF12" s="20" t="n">
        <f aca="false">ABE12</f>
        <v>0</v>
      </c>
      <c r="ABG12" s="20" t="n">
        <f aca="false">ABF12</f>
        <v>0</v>
      </c>
      <c r="ABH12" s="20" t="n">
        <f aca="false">ABG12</f>
        <v>0</v>
      </c>
      <c r="ABI12" s="20" t="n">
        <f aca="false">ABH12</f>
        <v>0</v>
      </c>
      <c r="ABJ12" s="20" t="n">
        <f aca="false">ABI12</f>
        <v>0</v>
      </c>
      <c r="ABK12" s="20" t="n">
        <f aca="false">ABJ12</f>
        <v>0</v>
      </c>
      <c r="ABL12" s="20" t="n">
        <f aca="false">ABK12</f>
        <v>0</v>
      </c>
      <c r="ABM12" s="20" t="n">
        <f aca="false">ABL12</f>
        <v>0</v>
      </c>
      <c r="ABN12" s="20" t="n">
        <f aca="false">ABM12</f>
        <v>0</v>
      </c>
      <c r="ABO12" s="20" t="n">
        <f aca="false">ABN12</f>
        <v>0</v>
      </c>
      <c r="ABP12" s="20" t="n">
        <f aca="false">ABO12</f>
        <v>0</v>
      </c>
      <c r="ABQ12" s="20" t="n">
        <f aca="false">ABP12</f>
        <v>0</v>
      </c>
      <c r="ABR12" s="20" t="n">
        <f aca="false">ABQ12</f>
        <v>0</v>
      </c>
      <c r="ABS12" s="20" t="n">
        <f aca="false">ABR12</f>
        <v>0</v>
      </c>
      <c r="ABT12" s="20" t="n">
        <f aca="false">ABS12</f>
        <v>0</v>
      </c>
      <c r="ABU12" s="20" t="n">
        <f aca="false">ABT12</f>
        <v>0</v>
      </c>
      <c r="ABV12" s="20" t="n">
        <f aca="false">ABU12</f>
        <v>0</v>
      </c>
      <c r="ABW12" s="20" t="n">
        <f aca="false">ABV12</f>
        <v>0</v>
      </c>
      <c r="ABX12" s="20" t="n">
        <f aca="false">ABW12</f>
        <v>0</v>
      </c>
      <c r="ABY12" s="20" t="n">
        <f aca="false">ABX12</f>
        <v>0</v>
      </c>
      <c r="ABZ12" s="20" t="n">
        <f aca="false">ABY12</f>
        <v>0</v>
      </c>
      <c r="ACA12" s="20" t="n">
        <f aca="false">ABZ12</f>
        <v>0</v>
      </c>
      <c r="ACB12" s="20" t="n">
        <f aca="false">ACA12</f>
        <v>0</v>
      </c>
      <c r="ACC12" s="20" t="n">
        <f aca="false">ACB12</f>
        <v>0</v>
      </c>
      <c r="ACD12" s="20" t="n">
        <f aca="false">ACC12</f>
        <v>0</v>
      </c>
      <c r="ACE12" s="20" t="n">
        <f aca="false">ACD12</f>
        <v>0</v>
      </c>
      <c r="ACF12" s="20" t="n">
        <f aca="false">ACE12</f>
        <v>0</v>
      </c>
      <c r="ACG12" s="20" t="n">
        <f aca="false">ACF12</f>
        <v>0</v>
      </c>
      <c r="ACH12" s="20" t="n">
        <f aca="false">ACG12</f>
        <v>0</v>
      </c>
      <c r="ACI12" s="20" t="n">
        <f aca="false">ACH12</f>
        <v>0</v>
      </c>
      <c r="ACJ12" s="20" t="n">
        <f aca="false">ACI12</f>
        <v>0</v>
      </c>
      <c r="ACK12" s="20" t="n">
        <f aca="false">ACJ12</f>
        <v>0</v>
      </c>
      <c r="ACL12" s="20" t="n">
        <f aca="false">ACK12</f>
        <v>0</v>
      </c>
      <c r="ACM12" s="20" t="n">
        <f aca="false">ACL12</f>
        <v>0</v>
      </c>
      <c r="ACN12" s="20" t="n">
        <f aca="false">ACM12</f>
        <v>0</v>
      </c>
      <c r="ACO12" s="20" t="n">
        <f aca="false">ACN12</f>
        <v>0</v>
      </c>
      <c r="ACP12" s="20" t="n">
        <f aca="false">ACO12</f>
        <v>0</v>
      </c>
      <c r="ACQ12" s="20" t="n">
        <f aca="false">ACP12</f>
        <v>0</v>
      </c>
      <c r="ACR12" s="20" t="n">
        <f aca="false">ACQ12</f>
        <v>0</v>
      </c>
      <c r="ACS12" s="20" t="n">
        <f aca="false">ACR12</f>
        <v>0</v>
      </c>
      <c r="ACT12" s="20" t="n">
        <f aca="false">ACS12</f>
        <v>0</v>
      </c>
      <c r="ACU12" s="20" t="n">
        <f aca="false">ACT12</f>
        <v>0</v>
      </c>
      <c r="ACV12" s="20" t="n">
        <f aca="false">ACU12</f>
        <v>0</v>
      </c>
      <c r="ACW12" s="20" t="n">
        <f aca="false">ACV12</f>
        <v>0</v>
      </c>
      <c r="ACX12" s="20" t="n">
        <f aca="false">ACW12</f>
        <v>0</v>
      </c>
      <c r="ACY12" s="20" t="n">
        <f aca="false">ACX12</f>
        <v>0</v>
      </c>
      <c r="ACZ12" s="20" t="n">
        <f aca="false">ACY12</f>
        <v>0</v>
      </c>
      <c r="ADA12" s="20" t="n">
        <f aca="false">ACZ12</f>
        <v>0</v>
      </c>
      <c r="ADB12" s="20" t="n">
        <f aca="false">ADA12</f>
        <v>0</v>
      </c>
      <c r="ADC12" s="20" t="n">
        <f aca="false">ADB12</f>
        <v>0</v>
      </c>
      <c r="ADD12" s="20" t="n">
        <f aca="false">ADC12</f>
        <v>0</v>
      </c>
      <c r="ADE12" s="20" t="n">
        <f aca="false">ADD12</f>
        <v>0</v>
      </c>
      <c r="ADF12" s="20" t="n">
        <f aca="false">ADE12</f>
        <v>0</v>
      </c>
      <c r="ADG12" s="20" t="n">
        <f aca="false">ADF12</f>
        <v>0</v>
      </c>
      <c r="ADH12" s="20" t="n">
        <f aca="false">ADG12</f>
        <v>0</v>
      </c>
      <c r="ADI12" s="20" t="n">
        <f aca="false">ADH12</f>
        <v>0</v>
      </c>
      <c r="ADJ12" s="20" t="n">
        <f aca="false">ADI12</f>
        <v>0</v>
      </c>
      <c r="ADK12" s="20" t="n">
        <f aca="false">ADJ12</f>
        <v>0</v>
      </c>
      <c r="ADL12" s="20" t="n">
        <f aca="false">ADK12</f>
        <v>0</v>
      </c>
      <c r="ADM12" s="20" t="n">
        <f aca="false">ADL12</f>
        <v>0</v>
      </c>
      <c r="ADN12" s="20" t="n">
        <f aca="false">ADM12</f>
        <v>0</v>
      </c>
      <c r="ADO12" s="20" t="n">
        <f aca="false">ADN12</f>
        <v>0</v>
      </c>
      <c r="ADP12" s="20" t="n">
        <f aca="false">ADO12</f>
        <v>0</v>
      </c>
      <c r="ADQ12" s="20" t="n">
        <f aca="false">ADP12</f>
        <v>0</v>
      </c>
      <c r="ADR12" s="20" t="n">
        <f aca="false">(AKR11-TE12+0)*(1+BQ12)</f>
        <v>0</v>
      </c>
      <c r="ADS12" s="20" t="n">
        <f aca="false">(AKS11-TF12+0)*(1+BQ12)</f>
        <v>0</v>
      </c>
      <c r="ADT12" s="20" t="n">
        <f aca="false">(AKT11-TG12+0)*(1+BQ12)</f>
        <v>0</v>
      </c>
      <c r="ADU12" s="20" t="n">
        <f aca="false">(AKU11-TH12+0)*(1+BQ12)</f>
        <v>0</v>
      </c>
      <c r="ADV12" s="20" t="n">
        <f aca="false">(AKV11-TI12+0)*(1+BQ12)</f>
        <v>0</v>
      </c>
      <c r="ADW12" s="20" t="n">
        <f aca="false">((P12+S12)-TJ12+BE12)*(1+BQ12)</f>
        <v>0</v>
      </c>
      <c r="ADX12" s="20" t="n">
        <v>0</v>
      </c>
      <c r="ADY12" s="20" t="n">
        <v>0</v>
      </c>
      <c r="ADZ12" s="20" t="n">
        <v>0</v>
      </c>
      <c r="AEA12" s="20" t="n">
        <v>0</v>
      </c>
      <c r="AEB12" s="20" t="n">
        <v>0</v>
      </c>
      <c r="AEC12" s="20" t="n">
        <v>0</v>
      </c>
      <c r="AED12" s="20" t="n">
        <v>0</v>
      </c>
      <c r="AEE12" s="20" t="n">
        <v>0</v>
      </c>
      <c r="AEF12" s="20" t="n">
        <v>0</v>
      </c>
      <c r="AEG12" s="20" t="n">
        <v>0</v>
      </c>
      <c r="AEH12" s="20" t="n">
        <v>0</v>
      </c>
      <c r="AEI12" s="20" t="n">
        <v>0</v>
      </c>
      <c r="AEJ12" s="20" t="n">
        <v>0</v>
      </c>
      <c r="AEK12" s="20" t="n">
        <v>0</v>
      </c>
      <c r="AEL12" s="20" t="n">
        <v>0</v>
      </c>
      <c r="AEM12" s="20" t="n">
        <v>0</v>
      </c>
      <c r="AEN12" s="20" t="n">
        <v>0</v>
      </c>
      <c r="AEO12" s="20" t="n">
        <v>0</v>
      </c>
      <c r="AEP12" s="20" t="n">
        <v>0</v>
      </c>
      <c r="AEQ12" s="20" t="n">
        <v>0</v>
      </c>
      <c r="AER12" s="20" t="n">
        <v>0</v>
      </c>
      <c r="AES12" s="20" t="n">
        <v>0</v>
      </c>
      <c r="AET12" s="20" t="n">
        <v>0</v>
      </c>
      <c r="AEU12" s="20" t="n">
        <v>0</v>
      </c>
      <c r="AEV12" s="20" t="n">
        <v>0</v>
      </c>
      <c r="AEW12" s="20" t="n">
        <v>0</v>
      </c>
      <c r="AEX12" s="20" t="n">
        <v>0</v>
      </c>
      <c r="AEY12" s="20" t="n">
        <v>0</v>
      </c>
      <c r="AEZ12" s="20" t="n">
        <v>0</v>
      </c>
      <c r="AFA12" s="20" t="n">
        <v>0</v>
      </c>
      <c r="AFB12" s="20" t="n">
        <v>0</v>
      </c>
      <c r="AFC12" s="20" t="n">
        <v>0</v>
      </c>
      <c r="AFD12" s="20" t="n">
        <v>0</v>
      </c>
      <c r="AFE12" s="20" t="n">
        <v>0</v>
      </c>
      <c r="AFF12" s="20" t="n">
        <v>0</v>
      </c>
      <c r="AFG12" s="20" t="n">
        <v>0</v>
      </c>
      <c r="AFH12" s="20" t="n">
        <v>0</v>
      </c>
      <c r="AFI12" s="20" t="n">
        <v>0</v>
      </c>
      <c r="AFJ12" s="20" t="n">
        <v>0</v>
      </c>
      <c r="AFK12" s="20" t="n">
        <v>0</v>
      </c>
      <c r="AFL12" s="20" t="n">
        <v>0</v>
      </c>
      <c r="AFM12" s="20" t="n">
        <v>0</v>
      </c>
      <c r="AFN12" s="20" t="n">
        <v>0</v>
      </c>
      <c r="AFO12" s="20" t="n">
        <v>0</v>
      </c>
      <c r="AFP12" s="20" t="n">
        <v>0</v>
      </c>
      <c r="AFQ12" s="20" t="n">
        <v>0</v>
      </c>
      <c r="AFR12" s="20" t="n">
        <v>0</v>
      </c>
      <c r="AFS12" s="20" t="n">
        <v>0</v>
      </c>
      <c r="AFT12" s="20" t="n">
        <v>0</v>
      </c>
      <c r="AFU12" s="20" t="n">
        <v>0</v>
      </c>
      <c r="AFV12" s="20" t="n">
        <v>0</v>
      </c>
      <c r="AFW12" s="20" t="n">
        <v>0</v>
      </c>
      <c r="AFX12" s="20" t="n">
        <v>0</v>
      </c>
      <c r="AFY12" s="20" t="n">
        <v>0</v>
      </c>
      <c r="AFZ12" s="20" t="n">
        <v>0</v>
      </c>
      <c r="AGA12" s="20" t="n">
        <v>0</v>
      </c>
      <c r="AGB12" s="20" t="n">
        <v>0</v>
      </c>
      <c r="AGC12" s="20" t="n">
        <v>0</v>
      </c>
      <c r="AGD12" s="20" t="n">
        <v>0</v>
      </c>
      <c r="AGE12" s="20" t="n">
        <v>0</v>
      </c>
      <c r="AGF12" s="20" t="n">
        <v>0</v>
      </c>
      <c r="AGG12" s="20" t="n">
        <v>0</v>
      </c>
      <c r="AGH12" s="20" t="n">
        <v>0</v>
      </c>
      <c r="AGI12" s="20" t="n">
        <v>0</v>
      </c>
      <c r="AGJ12" s="20" t="n">
        <v>0</v>
      </c>
      <c r="AGK12" s="20" t="n">
        <v>0</v>
      </c>
      <c r="AGL12" s="20" t="n">
        <v>0</v>
      </c>
      <c r="AGM12" s="20" t="n">
        <v>0</v>
      </c>
      <c r="AGN12" s="20" t="n">
        <v>0</v>
      </c>
      <c r="AGO12" s="20" t="n">
        <v>0</v>
      </c>
      <c r="AGP12" s="20" t="n">
        <v>0</v>
      </c>
      <c r="AGQ12" s="20" t="n">
        <v>0</v>
      </c>
      <c r="AGR12" s="20" t="n">
        <v>0</v>
      </c>
      <c r="AGS12" s="20" t="n">
        <v>0</v>
      </c>
      <c r="AGT12" s="20" t="n">
        <v>0</v>
      </c>
      <c r="AGU12" s="20" t="n">
        <v>0</v>
      </c>
      <c r="AGV12" s="20" t="n">
        <v>0</v>
      </c>
      <c r="AGW12" s="20" t="n">
        <v>0</v>
      </c>
      <c r="AGX12" s="20" t="n">
        <v>0</v>
      </c>
      <c r="AGY12" s="20" t="n">
        <v>0</v>
      </c>
      <c r="AGZ12" s="20" t="n">
        <v>0</v>
      </c>
      <c r="AHA12" s="20" t="n">
        <v>0</v>
      </c>
      <c r="AHB12" s="20" t="n">
        <v>0</v>
      </c>
      <c r="AHC12" s="20" t="n">
        <v>0</v>
      </c>
      <c r="AHD12" s="20" t="n">
        <v>0</v>
      </c>
      <c r="AHE12" s="20" t="n">
        <f aca="false">IF(AKR11&gt;0,AOE11-AOE11*TE12/AKR11,0)+0</f>
        <v>0</v>
      </c>
      <c r="AHF12" s="20" t="n">
        <f aca="false">IF(AKS11&gt;0,AOF11-AOF11*TF12/AKS11,0)+0</f>
        <v>0</v>
      </c>
      <c r="AHG12" s="20" t="n">
        <f aca="false">IF(AKT11&gt;0,AOG11-AOG11*TG12/AKT11,0)+0</f>
        <v>0</v>
      </c>
      <c r="AHH12" s="20" t="n">
        <f aca="false">IF(AKU11&gt;0,AOH11-AOH11*TH12/AKU11,0)+0</f>
        <v>0</v>
      </c>
      <c r="AHI12" s="20" t="n">
        <f aca="false">IF(AKV11&gt;0,AOI11-AOI11*TI12/AKV11,0)+0</f>
        <v>0</v>
      </c>
      <c r="AHJ12" s="20" t="n">
        <f aca="false">IF((P12+S12)&gt;0,(P12+S12)-(P12+S12)*TJ12/(P12+S12),0)+BE12</f>
        <v>0</v>
      </c>
      <c r="AHK12" s="20" t="n">
        <v>0</v>
      </c>
      <c r="AHL12" s="20" t="n">
        <v>0</v>
      </c>
      <c r="AHM12" s="20" t="n">
        <v>0</v>
      </c>
      <c r="AHN12" s="20" t="n">
        <v>0</v>
      </c>
      <c r="AHO12" s="20" t="n">
        <v>0</v>
      </c>
      <c r="AHP12" s="20" t="n">
        <v>0</v>
      </c>
      <c r="AHQ12" s="20" t="n">
        <v>0</v>
      </c>
      <c r="AHR12" s="20" t="n">
        <v>0</v>
      </c>
      <c r="AHS12" s="20" t="n">
        <v>0</v>
      </c>
      <c r="AHT12" s="20" t="n">
        <v>0</v>
      </c>
      <c r="AHU12" s="20" t="n">
        <v>0</v>
      </c>
      <c r="AHV12" s="20" t="n">
        <v>0</v>
      </c>
      <c r="AHW12" s="20" t="n">
        <v>0</v>
      </c>
      <c r="AHX12" s="20" t="n">
        <v>0</v>
      </c>
      <c r="AHY12" s="20" t="n">
        <v>0</v>
      </c>
      <c r="AHZ12" s="20" t="n">
        <v>0</v>
      </c>
      <c r="AIA12" s="20" t="n">
        <v>0</v>
      </c>
      <c r="AIB12" s="20" t="n">
        <v>0</v>
      </c>
      <c r="AIC12" s="20" t="n">
        <v>0</v>
      </c>
      <c r="AID12" s="20" t="n">
        <v>0</v>
      </c>
      <c r="AIE12" s="20" t="n">
        <v>0</v>
      </c>
      <c r="AIF12" s="20" t="n">
        <v>0</v>
      </c>
      <c r="AIG12" s="20" t="n">
        <v>0</v>
      </c>
      <c r="AIH12" s="20" t="n">
        <v>0</v>
      </c>
      <c r="AII12" s="20" t="n">
        <v>0</v>
      </c>
      <c r="AIJ12" s="20" t="n">
        <v>0</v>
      </c>
      <c r="AIK12" s="20" t="n">
        <v>0</v>
      </c>
      <c r="AIL12" s="20" t="n">
        <v>0</v>
      </c>
      <c r="AIM12" s="20" t="n">
        <v>0</v>
      </c>
      <c r="AIN12" s="20" t="n">
        <v>0</v>
      </c>
      <c r="AIO12" s="20" t="n">
        <v>0</v>
      </c>
      <c r="AIP12" s="20" t="n">
        <v>0</v>
      </c>
      <c r="AIQ12" s="20" t="n">
        <v>0</v>
      </c>
      <c r="AIR12" s="20" t="n">
        <v>0</v>
      </c>
      <c r="AIS12" s="20" t="n">
        <v>0</v>
      </c>
      <c r="AIT12" s="20" t="n">
        <v>0</v>
      </c>
      <c r="AIU12" s="20" t="n">
        <v>0</v>
      </c>
      <c r="AIV12" s="20" t="n">
        <v>0</v>
      </c>
      <c r="AIW12" s="20" t="n">
        <v>0</v>
      </c>
      <c r="AIX12" s="20" t="n">
        <v>0</v>
      </c>
      <c r="AIY12" s="20" t="n">
        <v>0</v>
      </c>
      <c r="AIZ12" s="20" t="n">
        <v>0</v>
      </c>
      <c r="AJA12" s="20" t="n">
        <v>0</v>
      </c>
      <c r="AJB12" s="20" t="n">
        <v>0</v>
      </c>
      <c r="AJC12" s="20" t="n">
        <v>0</v>
      </c>
      <c r="AJD12" s="20" t="n">
        <v>0</v>
      </c>
      <c r="AJE12" s="20" t="n">
        <v>0</v>
      </c>
      <c r="AJF12" s="20" t="n">
        <v>0</v>
      </c>
      <c r="AJG12" s="20" t="n">
        <v>0</v>
      </c>
      <c r="AJH12" s="20" t="n">
        <v>0</v>
      </c>
      <c r="AJI12" s="20" t="n">
        <v>0</v>
      </c>
      <c r="AJJ12" s="20" t="n">
        <v>0</v>
      </c>
      <c r="AJK12" s="20" t="n">
        <v>0</v>
      </c>
      <c r="AJL12" s="20" t="n">
        <v>0</v>
      </c>
      <c r="AJM12" s="20" t="n">
        <v>0</v>
      </c>
      <c r="AJN12" s="20" t="n">
        <v>0</v>
      </c>
      <c r="AJO12" s="20" t="n">
        <v>0</v>
      </c>
      <c r="AJP12" s="20" t="n">
        <v>0</v>
      </c>
      <c r="AJQ12" s="20" t="n">
        <v>0</v>
      </c>
      <c r="AJR12" s="20" t="n">
        <v>0</v>
      </c>
      <c r="AJS12" s="20" t="n">
        <v>0</v>
      </c>
      <c r="AJT12" s="20" t="n">
        <v>0</v>
      </c>
      <c r="AJU12" s="20" t="n">
        <v>0</v>
      </c>
      <c r="AJV12" s="20" t="n">
        <v>0</v>
      </c>
      <c r="AJW12" s="20" t="n">
        <v>0</v>
      </c>
      <c r="AJX12" s="20" t="n">
        <v>0</v>
      </c>
      <c r="AJY12" s="20" t="n">
        <v>0</v>
      </c>
      <c r="AJZ12" s="20" t="n">
        <v>0</v>
      </c>
      <c r="AKA12" s="20" t="n">
        <v>0</v>
      </c>
      <c r="AKB12" s="20" t="n">
        <v>0</v>
      </c>
      <c r="AKC12" s="20" t="n">
        <v>0</v>
      </c>
      <c r="AKD12" s="20" t="n">
        <v>0</v>
      </c>
      <c r="AKE12" s="20" t="n">
        <v>0</v>
      </c>
      <c r="AKF12" s="20" t="n">
        <v>0</v>
      </c>
      <c r="AKG12" s="20" t="n">
        <v>0</v>
      </c>
      <c r="AKH12" s="20" t="n">
        <v>0</v>
      </c>
      <c r="AKI12" s="20" t="n">
        <v>0</v>
      </c>
      <c r="AKJ12" s="20" t="n">
        <v>0</v>
      </c>
      <c r="AKK12" s="20" t="n">
        <v>0</v>
      </c>
      <c r="AKL12" s="20" t="n">
        <v>0</v>
      </c>
      <c r="AKM12" s="20" t="n">
        <v>0</v>
      </c>
      <c r="AKN12" s="20" t="n">
        <v>0</v>
      </c>
      <c r="AKO12" s="20" t="n">
        <v>0</v>
      </c>
      <c r="AKP12" s="20" t="n">
        <v>0</v>
      </c>
      <c r="AKQ12" s="20" t="n">
        <v>0</v>
      </c>
      <c r="AKR12" s="20" t="n">
        <f aca="false">ADR12-AVE12</f>
        <v>0</v>
      </c>
      <c r="AKS12" s="20" t="n">
        <f aca="false">ADS12-AVF12</f>
        <v>0</v>
      </c>
      <c r="AKT12" s="20" t="n">
        <f aca="false">ADT12-AVG12</f>
        <v>0</v>
      </c>
      <c r="AKU12" s="20" t="n">
        <f aca="false">ADU12-AVH12</f>
        <v>0</v>
      </c>
      <c r="AKV12" s="20" t="n">
        <f aca="false">ADV12-AVI12</f>
        <v>0</v>
      </c>
      <c r="AKW12" s="20" t="n">
        <f aca="false">ADW12-AVJ12</f>
        <v>0</v>
      </c>
      <c r="AKX12" s="20" t="n">
        <v>0</v>
      </c>
      <c r="AKY12" s="20" t="n">
        <v>0</v>
      </c>
      <c r="AKZ12" s="20" t="n">
        <v>0</v>
      </c>
      <c r="ALA12" s="20" t="n">
        <v>0</v>
      </c>
      <c r="ALB12" s="20" t="n">
        <v>0</v>
      </c>
      <c r="ALC12" s="20" t="n">
        <v>0</v>
      </c>
      <c r="ALD12" s="20" t="n">
        <v>0</v>
      </c>
      <c r="ALE12" s="20" t="n">
        <v>0</v>
      </c>
      <c r="ALF12" s="20" t="n">
        <v>0</v>
      </c>
      <c r="ALG12" s="20" t="n">
        <v>0</v>
      </c>
      <c r="ALH12" s="20" t="n">
        <v>0</v>
      </c>
      <c r="ALI12" s="20" t="n">
        <v>0</v>
      </c>
      <c r="ALJ12" s="20" t="n">
        <v>0</v>
      </c>
      <c r="ALK12" s="20" t="n">
        <v>0</v>
      </c>
      <c r="ALL12" s="20" t="n">
        <v>0</v>
      </c>
      <c r="ALM12" s="20" t="n">
        <v>0</v>
      </c>
      <c r="ALN12" s="20" t="n">
        <v>0</v>
      </c>
      <c r="ALO12" s="20" t="n">
        <v>0</v>
      </c>
      <c r="ALP12" s="20" t="n">
        <v>0</v>
      </c>
      <c r="ALQ12" s="20" t="n">
        <v>0</v>
      </c>
      <c r="ALR12" s="20" t="n">
        <v>0</v>
      </c>
      <c r="ALS12" s="20" t="n">
        <v>0</v>
      </c>
      <c r="ALT12" s="20" t="n">
        <v>0</v>
      </c>
      <c r="ALU12" s="20" t="n">
        <v>0</v>
      </c>
      <c r="ALV12" s="20" t="n">
        <v>0</v>
      </c>
      <c r="ALW12" s="20" t="n">
        <v>0</v>
      </c>
      <c r="ALX12" s="20" t="n">
        <v>0</v>
      </c>
      <c r="ALY12" s="20" t="n">
        <v>0</v>
      </c>
      <c r="ALZ12" s="20" t="n">
        <v>0</v>
      </c>
      <c r="AMA12" s="20" t="n">
        <v>0</v>
      </c>
      <c r="AMB12" s="20" t="n">
        <v>0</v>
      </c>
      <c r="AMC12" s="20" t="n">
        <v>0</v>
      </c>
      <c r="AMD12" s="20" t="n">
        <v>0</v>
      </c>
      <c r="AME12" s="20" t="n">
        <v>0</v>
      </c>
      <c r="AMF12" s="20" t="n">
        <v>0</v>
      </c>
      <c r="AMG12" s="20" t="n">
        <v>0</v>
      </c>
      <c r="AMH12" s="20" t="n">
        <v>0</v>
      </c>
      <c r="AMI12" s="20" t="n">
        <v>0</v>
      </c>
      <c r="AMJ12" s="20" t="n">
        <v>0</v>
      </c>
      <c r="AMK12" s="20" t="n">
        <v>0</v>
      </c>
      <c r="AML12" s="20" t="n">
        <v>0</v>
      </c>
      <c r="AMM12" s="20" t="n">
        <v>0</v>
      </c>
      <c r="AMN12" s="20" t="n">
        <v>0</v>
      </c>
      <c r="AMO12" s="20" t="n">
        <v>0</v>
      </c>
      <c r="AMP12" s="20" t="n">
        <v>0</v>
      </c>
      <c r="AMQ12" s="20" t="n">
        <v>0</v>
      </c>
      <c r="AMR12" s="20" t="n">
        <v>0</v>
      </c>
      <c r="AMS12" s="20" t="n">
        <v>0</v>
      </c>
      <c r="AMT12" s="20" t="n">
        <v>0</v>
      </c>
      <c r="AMU12" s="20" t="n">
        <v>0</v>
      </c>
      <c r="AMV12" s="20" t="n">
        <v>0</v>
      </c>
      <c r="AMW12" s="20" t="n">
        <v>0</v>
      </c>
      <c r="AMX12" s="20" t="n">
        <v>0</v>
      </c>
      <c r="AMY12" s="20" t="n">
        <v>0</v>
      </c>
      <c r="AMZ12" s="20" t="n">
        <v>0</v>
      </c>
      <c r="ANA12" s="20" t="n">
        <v>0</v>
      </c>
      <c r="ANB12" s="20" t="n">
        <v>0</v>
      </c>
      <c r="ANC12" s="20" t="n">
        <v>0</v>
      </c>
      <c r="AND12" s="20" t="n">
        <v>0</v>
      </c>
      <c r="ANE12" s="20" t="n">
        <v>0</v>
      </c>
      <c r="ANF12" s="20" t="n">
        <v>0</v>
      </c>
      <c r="ANG12" s="20" t="n">
        <v>0</v>
      </c>
      <c r="ANH12" s="20" t="n">
        <v>0</v>
      </c>
      <c r="ANI12" s="20" t="n">
        <v>0</v>
      </c>
      <c r="ANJ12" s="20" t="n">
        <v>0</v>
      </c>
      <c r="ANK12" s="20" t="n">
        <v>0</v>
      </c>
      <c r="ANL12" s="20" t="n">
        <v>0</v>
      </c>
      <c r="ANM12" s="20" t="n">
        <v>0</v>
      </c>
      <c r="ANN12" s="20" t="n">
        <v>0</v>
      </c>
      <c r="ANO12" s="20" t="n">
        <v>0</v>
      </c>
      <c r="ANP12" s="20" t="n">
        <v>0</v>
      </c>
      <c r="ANQ12" s="20" t="n">
        <v>0</v>
      </c>
      <c r="ANR12" s="20" t="n">
        <v>0</v>
      </c>
      <c r="ANS12" s="20" t="n">
        <v>0</v>
      </c>
      <c r="ANT12" s="20" t="n">
        <v>0</v>
      </c>
      <c r="ANU12" s="20" t="n">
        <v>0</v>
      </c>
      <c r="ANV12" s="20" t="n">
        <v>0</v>
      </c>
      <c r="ANW12" s="20" t="n">
        <v>0</v>
      </c>
      <c r="ANX12" s="20" t="n">
        <v>0</v>
      </c>
      <c r="ANY12" s="20" t="n">
        <v>0</v>
      </c>
      <c r="ANZ12" s="20" t="n">
        <v>0</v>
      </c>
      <c r="AOA12" s="20" t="n">
        <v>0</v>
      </c>
      <c r="AOB12" s="20" t="n">
        <v>0</v>
      </c>
      <c r="AOC12" s="20" t="n">
        <v>0</v>
      </c>
      <c r="AOD12" s="20" t="n">
        <v>0</v>
      </c>
      <c r="AOE12" s="20" t="n">
        <f aca="false">IF(AND(H_Direct=0,H_TaxEvt=1,ARR11+1&gt;=H_Deemed),AKR12,AHE12)</f>
        <v>0</v>
      </c>
      <c r="AOF12" s="20" t="n">
        <f aca="false">IF(AND(H_Direct=0,H_TaxEvt=1,ARS11+1&gt;=H_Deemed),AKS12,AHF12)</f>
        <v>0</v>
      </c>
      <c r="AOG12" s="20" t="n">
        <f aca="false">IF(AND(H_Direct=0,H_TaxEvt=1,ART11+1&gt;=H_Deemed),AKT12,AHG12)</f>
        <v>0</v>
      </c>
      <c r="AOH12" s="20" t="n">
        <f aca="false">IF(AND(H_Direct=0,H_TaxEvt=1,ARU11+1&gt;=H_Deemed),AKU12,AHH12)</f>
        <v>0</v>
      </c>
      <c r="AOI12" s="20" t="n">
        <f aca="false">IF(AND(H_Direct=0,H_TaxEvt=1,ARV11+1&gt;=H_Deemed),AKV12,AHI12)</f>
        <v>0</v>
      </c>
      <c r="AOJ12" s="20" t="n">
        <f aca="false">IF(AND(H_Direct=0,H_TaxEvt=1,0+1&gt;=H_Deemed),AKW12,AHJ12)</f>
        <v>0</v>
      </c>
      <c r="AOK12" s="20" t="n">
        <v>0</v>
      </c>
      <c r="AOL12" s="20" t="n">
        <v>0</v>
      </c>
      <c r="AOM12" s="20" t="n">
        <v>0</v>
      </c>
      <c r="AON12" s="20" t="n">
        <v>0</v>
      </c>
      <c r="AOO12" s="20" t="n">
        <v>0</v>
      </c>
      <c r="AOP12" s="20" t="n">
        <v>0</v>
      </c>
      <c r="AOQ12" s="20" t="n">
        <v>0</v>
      </c>
      <c r="AOR12" s="20" t="n">
        <v>0</v>
      </c>
      <c r="AOS12" s="20" t="n">
        <v>0</v>
      </c>
      <c r="AOT12" s="20" t="n">
        <v>0</v>
      </c>
      <c r="AOU12" s="20" t="n">
        <v>0</v>
      </c>
      <c r="AOV12" s="20" t="n">
        <v>0</v>
      </c>
      <c r="AOW12" s="20" t="n">
        <v>0</v>
      </c>
      <c r="AOX12" s="20" t="n">
        <v>0</v>
      </c>
      <c r="AOY12" s="20" t="n">
        <v>0</v>
      </c>
      <c r="AOZ12" s="20" t="n">
        <v>0</v>
      </c>
      <c r="APA12" s="20" t="n">
        <v>0</v>
      </c>
      <c r="APB12" s="20" t="n">
        <v>0</v>
      </c>
      <c r="APC12" s="20" t="n">
        <v>0</v>
      </c>
      <c r="APD12" s="20" t="n">
        <v>0</v>
      </c>
      <c r="APE12" s="20" t="n">
        <v>0</v>
      </c>
      <c r="APF12" s="20" t="n">
        <v>0</v>
      </c>
      <c r="APG12" s="20" t="n">
        <v>0</v>
      </c>
      <c r="APH12" s="20" t="n">
        <v>0</v>
      </c>
      <c r="API12" s="20" t="n">
        <v>0</v>
      </c>
      <c r="APJ12" s="20" t="n">
        <v>0</v>
      </c>
      <c r="APK12" s="20" t="n">
        <v>0</v>
      </c>
      <c r="APL12" s="20" t="n">
        <v>0</v>
      </c>
      <c r="APM12" s="20" t="n">
        <v>0</v>
      </c>
      <c r="APN12" s="20" t="n">
        <v>0</v>
      </c>
      <c r="APO12" s="20" t="n">
        <v>0</v>
      </c>
      <c r="APP12" s="20" t="n">
        <v>0</v>
      </c>
      <c r="APQ12" s="20" t="n">
        <v>0</v>
      </c>
      <c r="APR12" s="20" t="n">
        <v>0</v>
      </c>
      <c r="APS12" s="20" t="n">
        <v>0</v>
      </c>
      <c r="APT12" s="20" t="n">
        <v>0</v>
      </c>
      <c r="APU12" s="20" t="n">
        <v>0</v>
      </c>
      <c r="APV12" s="20" t="n">
        <v>0</v>
      </c>
      <c r="APW12" s="20" t="n">
        <v>0</v>
      </c>
      <c r="APX12" s="20" t="n">
        <v>0</v>
      </c>
      <c r="APY12" s="20" t="n">
        <v>0</v>
      </c>
      <c r="APZ12" s="20" t="n">
        <v>0</v>
      </c>
      <c r="AQA12" s="20" t="n">
        <v>0</v>
      </c>
      <c r="AQB12" s="20" t="n">
        <v>0</v>
      </c>
      <c r="AQC12" s="20" t="n">
        <v>0</v>
      </c>
      <c r="AQD12" s="20" t="n">
        <v>0</v>
      </c>
      <c r="AQE12" s="20" t="n">
        <v>0</v>
      </c>
      <c r="AQF12" s="20" t="n">
        <v>0</v>
      </c>
      <c r="AQG12" s="20" t="n">
        <v>0</v>
      </c>
      <c r="AQH12" s="20" t="n">
        <v>0</v>
      </c>
      <c r="AQI12" s="20" t="n">
        <v>0</v>
      </c>
      <c r="AQJ12" s="20" t="n">
        <v>0</v>
      </c>
      <c r="AQK12" s="20" t="n">
        <v>0</v>
      </c>
      <c r="AQL12" s="20" t="n">
        <v>0</v>
      </c>
      <c r="AQM12" s="20" t="n">
        <v>0</v>
      </c>
      <c r="AQN12" s="20" t="n">
        <v>0</v>
      </c>
      <c r="AQO12" s="20" t="n">
        <v>0</v>
      </c>
      <c r="AQP12" s="20" t="n">
        <v>0</v>
      </c>
      <c r="AQQ12" s="20" t="n">
        <v>0</v>
      </c>
      <c r="AQR12" s="20" t="n">
        <v>0</v>
      </c>
      <c r="AQS12" s="20" t="n">
        <v>0</v>
      </c>
      <c r="AQT12" s="20" t="n">
        <v>0</v>
      </c>
      <c r="AQU12" s="20" t="n">
        <v>0</v>
      </c>
      <c r="AQV12" s="20" t="n">
        <v>0</v>
      </c>
      <c r="AQW12" s="20" t="n">
        <v>0</v>
      </c>
      <c r="AQX12" s="20" t="n">
        <v>0</v>
      </c>
      <c r="AQY12" s="20" t="n">
        <v>0</v>
      </c>
      <c r="AQZ12" s="20" t="n">
        <v>0</v>
      </c>
      <c r="ARA12" s="20" t="n">
        <v>0</v>
      </c>
      <c r="ARB12" s="20" t="n">
        <v>0</v>
      </c>
      <c r="ARC12" s="20" t="n">
        <v>0</v>
      </c>
      <c r="ARD12" s="20" t="n">
        <v>0</v>
      </c>
      <c r="ARE12" s="20" t="n">
        <v>0</v>
      </c>
      <c r="ARF12" s="20" t="n">
        <v>0</v>
      </c>
      <c r="ARG12" s="20" t="n">
        <v>0</v>
      </c>
      <c r="ARH12" s="20" t="n">
        <v>0</v>
      </c>
      <c r="ARI12" s="20" t="n">
        <v>0</v>
      </c>
      <c r="ARJ12" s="20" t="n">
        <v>0</v>
      </c>
      <c r="ARK12" s="20" t="n">
        <v>0</v>
      </c>
      <c r="ARL12" s="20" t="n">
        <v>0</v>
      </c>
      <c r="ARM12" s="20" t="n">
        <v>0</v>
      </c>
      <c r="ARN12" s="20" t="n">
        <v>0</v>
      </c>
      <c r="ARO12" s="20" t="n">
        <v>0</v>
      </c>
      <c r="ARP12" s="20" t="n">
        <v>0</v>
      </c>
      <c r="ARQ12" s="20" t="n">
        <v>0</v>
      </c>
      <c r="ARR12" s="20" t="n">
        <f aca="false">IF(AND(H_Direct=0,H_TaxEvt=1),IF(ARR11+1&gt;=H_Deemed,0,ARR11+1),ARR11)</f>
        <v>5</v>
      </c>
      <c r="ARS12" s="20" t="n">
        <f aca="false">IF(AND(H_Direct=0,H_TaxEvt=1),IF(ARS11+1&gt;=H_Deemed,0,ARS11+1),ARS11)</f>
        <v>5</v>
      </c>
      <c r="ART12" s="20" t="n">
        <f aca="false">IF(AND(H_Direct=0,H_TaxEvt=1),IF(ART11+1&gt;=H_Deemed,0,ART11+1),ART11)</f>
        <v>4</v>
      </c>
      <c r="ARU12" s="20" t="n">
        <f aca="false">IF(AND(H_Direct=0,H_TaxEvt=1),IF(ARU11+1&gt;=H_Deemed,0,ARU11+1),ARU11)</f>
        <v>3</v>
      </c>
      <c r="ARV12" s="20" t="n">
        <f aca="false">IF(AND(H_Direct=0,H_TaxEvt=1),IF(ARV11+1&gt;=H_Deemed,0,ARV11+1),ARV11)</f>
        <v>2</v>
      </c>
      <c r="ARW12" s="20" t="n">
        <f aca="false">IF(AND(H_Direct=0,H_TaxEvt=1),IF(0+1&gt;=H_Deemed,0,0+1),0)</f>
        <v>1</v>
      </c>
      <c r="ARX12" s="20" t="n">
        <v>0</v>
      </c>
      <c r="ARY12" s="20" t="n">
        <v>0</v>
      </c>
      <c r="ARZ12" s="20" t="n">
        <v>0</v>
      </c>
      <c r="ASA12" s="20" t="n">
        <v>0</v>
      </c>
      <c r="ASB12" s="20" t="n">
        <v>0</v>
      </c>
      <c r="ASC12" s="20" t="n">
        <v>0</v>
      </c>
      <c r="ASD12" s="20" t="n">
        <v>0</v>
      </c>
      <c r="ASE12" s="20" t="n">
        <v>0</v>
      </c>
      <c r="ASF12" s="20" t="n">
        <v>0</v>
      </c>
      <c r="ASG12" s="20" t="n">
        <v>0</v>
      </c>
      <c r="ASH12" s="20" t="n">
        <v>0</v>
      </c>
      <c r="ASI12" s="20" t="n">
        <v>0</v>
      </c>
      <c r="ASJ12" s="20" t="n">
        <v>0</v>
      </c>
      <c r="ASK12" s="20" t="n">
        <v>0</v>
      </c>
      <c r="ASL12" s="20" t="n">
        <v>0</v>
      </c>
      <c r="ASM12" s="20" t="n">
        <v>0</v>
      </c>
      <c r="ASN12" s="20" t="n">
        <v>0</v>
      </c>
      <c r="ASO12" s="20" t="n">
        <v>0</v>
      </c>
      <c r="ASP12" s="20" t="n">
        <v>0</v>
      </c>
      <c r="ASQ12" s="20" t="n">
        <v>0</v>
      </c>
      <c r="ASR12" s="20" t="n">
        <v>0</v>
      </c>
      <c r="ASS12" s="20" t="n">
        <v>0</v>
      </c>
      <c r="AST12" s="20" t="n">
        <v>0</v>
      </c>
      <c r="ASU12" s="20" t="n">
        <v>0</v>
      </c>
      <c r="ASV12" s="20" t="n">
        <v>0</v>
      </c>
      <c r="ASW12" s="20" t="n">
        <v>0</v>
      </c>
      <c r="ASX12" s="20" t="n">
        <v>0</v>
      </c>
      <c r="ASY12" s="20" t="n">
        <v>0</v>
      </c>
      <c r="ASZ12" s="20" t="n">
        <v>0</v>
      </c>
      <c r="ATA12" s="20" t="n">
        <v>0</v>
      </c>
      <c r="ATB12" s="20" t="n">
        <v>0</v>
      </c>
      <c r="ATC12" s="20" t="n">
        <v>0</v>
      </c>
      <c r="ATD12" s="20" t="n">
        <v>0</v>
      </c>
      <c r="ATE12" s="20" t="n">
        <v>0</v>
      </c>
      <c r="ATF12" s="20" t="n">
        <v>0</v>
      </c>
      <c r="ATG12" s="20" t="n">
        <v>0</v>
      </c>
      <c r="ATH12" s="20" t="n">
        <v>0</v>
      </c>
      <c r="ATI12" s="20" t="n">
        <v>0</v>
      </c>
      <c r="ATJ12" s="20" t="n">
        <v>0</v>
      </c>
      <c r="ATK12" s="20" t="n">
        <v>0</v>
      </c>
      <c r="ATL12" s="20" t="n">
        <v>0</v>
      </c>
      <c r="ATM12" s="20" t="n">
        <v>0</v>
      </c>
      <c r="ATN12" s="20" t="n">
        <v>0</v>
      </c>
      <c r="ATO12" s="20" t="n">
        <v>0</v>
      </c>
      <c r="ATP12" s="20" t="n">
        <v>0</v>
      </c>
      <c r="ATQ12" s="20" t="n">
        <v>0</v>
      </c>
      <c r="ATR12" s="20" t="n">
        <v>0</v>
      </c>
      <c r="ATS12" s="20" t="n">
        <v>0</v>
      </c>
      <c r="ATT12" s="20" t="n">
        <v>0</v>
      </c>
      <c r="ATU12" s="20" t="n">
        <v>0</v>
      </c>
      <c r="ATV12" s="20" t="n">
        <v>0</v>
      </c>
      <c r="ATW12" s="20" t="n">
        <v>0</v>
      </c>
      <c r="ATX12" s="20" t="n">
        <v>0</v>
      </c>
      <c r="ATY12" s="20" t="n">
        <v>0</v>
      </c>
      <c r="ATZ12" s="20" t="n">
        <v>0</v>
      </c>
      <c r="AUA12" s="20" t="n">
        <v>0</v>
      </c>
      <c r="AUB12" s="20" t="n">
        <v>0</v>
      </c>
      <c r="AUC12" s="20" t="n">
        <v>0</v>
      </c>
      <c r="AUD12" s="20" t="n">
        <v>0</v>
      </c>
      <c r="AUE12" s="20" t="n">
        <v>0</v>
      </c>
      <c r="AUF12" s="20" t="n">
        <v>0</v>
      </c>
      <c r="AUG12" s="20" t="n">
        <v>0</v>
      </c>
      <c r="AUH12" s="20" t="n">
        <v>0</v>
      </c>
      <c r="AUI12" s="20" t="n">
        <v>0</v>
      </c>
      <c r="AUJ12" s="20" t="n">
        <v>0</v>
      </c>
      <c r="AUK12" s="20" t="n">
        <v>0</v>
      </c>
      <c r="AUL12" s="20" t="n">
        <v>0</v>
      </c>
      <c r="AUM12" s="20" t="n">
        <v>0</v>
      </c>
      <c r="AUN12" s="20" t="n">
        <v>0</v>
      </c>
      <c r="AUO12" s="20" t="n">
        <v>0</v>
      </c>
      <c r="AUP12" s="20" t="n">
        <v>0</v>
      </c>
      <c r="AUQ12" s="20" t="n">
        <v>0</v>
      </c>
      <c r="AUR12" s="20" t="n">
        <v>0</v>
      </c>
      <c r="AUS12" s="20" t="n">
        <v>0</v>
      </c>
      <c r="AUT12" s="20" t="n">
        <v>0</v>
      </c>
      <c r="AUU12" s="20" t="n">
        <v>0</v>
      </c>
      <c r="AUV12" s="20" t="n">
        <v>0</v>
      </c>
      <c r="AUW12" s="20" t="n">
        <v>0</v>
      </c>
      <c r="AUX12" s="20" t="n">
        <v>0</v>
      </c>
      <c r="AUY12" s="20" t="n">
        <v>0</v>
      </c>
      <c r="AUZ12" s="20" t="n">
        <v>0</v>
      </c>
      <c r="AVA12" s="20" t="n">
        <v>0</v>
      </c>
      <c r="AVB12" s="20" t="n">
        <v>0</v>
      </c>
      <c r="AVC12" s="20" t="n">
        <v>0</v>
      </c>
      <c r="AVD12" s="20" t="n">
        <v>0</v>
      </c>
      <c r="AVE12" s="20" t="n">
        <f aca="false">IF(AND(H_Direct=0,H_TaxEvt=1,ARR11+1&gt;=H_Deemed),MAX(0,ADR12-AHE12)*H_Exit,0)</f>
        <v>0</v>
      </c>
      <c r="AVF12" s="20" t="n">
        <f aca="false">IF(AND(H_Direct=0,H_TaxEvt=1,ARS11+1&gt;=H_Deemed),MAX(0,ADS12-AHF12)*H_Exit,0)</f>
        <v>0</v>
      </c>
      <c r="AVG12" s="20" t="n">
        <f aca="false">IF(AND(H_Direct=0,H_TaxEvt=1,ART11+1&gt;=H_Deemed),MAX(0,ADT12-AHG12)*H_Exit,0)</f>
        <v>0</v>
      </c>
      <c r="AVH12" s="20" t="n">
        <f aca="false">IF(AND(H_Direct=0,H_TaxEvt=1,ARU11+1&gt;=H_Deemed),MAX(0,ADU12-AHH12)*H_Exit,0)</f>
        <v>0</v>
      </c>
      <c r="AVI12" s="20" t="n">
        <f aca="false">IF(AND(H_Direct=0,H_TaxEvt=1,ARV11+1&gt;=H_Deemed),MAX(0,ADV12-AHI12)*H_Exit,0)</f>
        <v>0</v>
      </c>
      <c r="AVJ12" s="20" t="n">
        <f aca="false">IF(AND(H_Direct=0,H_TaxEvt=1,0+1&gt;=H_Deemed),MAX(0,ADW12-AHJ12)*H_Exit,0)</f>
        <v>0</v>
      </c>
      <c r="AVK12" s="20" t="n">
        <v>0</v>
      </c>
      <c r="AVL12" s="20" t="n">
        <v>0</v>
      </c>
      <c r="AVM12" s="20" t="n">
        <v>0</v>
      </c>
      <c r="AVN12" s="20" t="n">
        <v>0</v>
      </c>
      <c r="AVO12" s="20" t="n">
        <v>0</v>
      </c>
      <c r="AVP12" s="20" t="n">
        <v>0</v>
      </c>
      <c r="AVQ12" s="20" t="n">
        <v>0</v>
      </c>
      <c r="AVR12" s="20" t="n">
        <v>0</v>
      </c>
      <c r="AVS12" s="20" t="n">
        <v>0</v>
      </c>
      <c r="AVT12" s="20" t="n">
        <v>0</v>
      </c>
      <c r="AVU12" s="20" t="n">
        <v>0</v>
      </c>
      <c r="AVV12" s="20" t="n">
        <v>0</v>
      </c>
      <c r="AVW12" s="20" t="n">
        <v>0</v>
      </c>
      <c r="AVX12" s="20" t="n">
        <v>0</v>
      </c>
      <c r="AVY12" s="20" t="n">
        <v>0</v>
      </c>
      <c r="AVZ12" s="20" t="n">
        <v>0</v>
      </c>
      <c r="AWA12" s="20" t="n">
        <v>0</v>
      </c>
      <c r="AWB12" s="20" t="n">
        <v>0</v>
      </c>
      <c r="AWC12" s="20" t="n">
        <v>0</v>
      </c>
      <c r="AWD12" s="20" t="n">
        <v>0</v>
      </c>
      <c r="AWE12" s="20" t="n">
        <v>0</v>
      </c>
      <c r="AWF12" s="20" t="n">
        <v>0</v>
      </c>
      <c r="AWG12" s="20" t="n">
        <v>0</v>
      </c>
      <c r="AWH12" s="20" t="n">
        <v>0</v>
      </c>
      <c r="AWI12" s="20" t="n">
        <v>0</v>
      </c>
      <c r="AWJ12" s="20" t="n">
        <v>0</v>
      </c>
      <c r="AWK12" s="20" t="n">
        <v>0</v>
      </c>
      <c r="AWL12" s="20" t="n">
        <v>0</v>
      </c>
      <c r="AWM12" s="20" t="n">
        <v>0</v>
      </c>
      <c r="AWN12" s="20" t="n">
        <v>0</v>
      </c>
      <c r="AWO12" s="20" t="n">
        <v>0</v>
      </c>
      <c r="AWP12" s="20" t="n">
        <v>0</v>
      </c>
      <c r="AWQ12" s="20" t="n">
        <v>0</v>
      </c>
      <c r="AWR12" s="20" t="n">
        <v>0</v>
      </c>
      <c r="AWS12" s="20" t="n">
        <v>0</v>
      </c>
      <c r="AWT12" s="20" t="n">
        <v>0</v>
      </c>
      <c r="AWU12" s="20" t="n">
        <v>0</v>
      </c>
      <c r="AWV12" s="20" t="n">
        <v>0</v>
      </c>
      <c r="AWW12" s="20" t="n">
        <v>0</v>
      </c>
      <c r="AWX12" s="20" t="n">
        <v>0</v>
      </c>
      <c r="AWY12" s="20" t="n">
        <v>0</v>
      </c>
      <c r="AWZ12" s="20" t="n">
        <v>0</v>
      </c>
      <c r="AXA12" s="20" t="n">
        <v>0</v>
      </c>
      <c r="AXB12" s="20" t="n">
        <v>0</v>
      </c>
      <c r="AXC12" s="20" t="n">
        <v>0</v>
      </c>
      <c r="AXD12" s="20" t="n">
        <v>0</v>
      </c>
      <c r="AXE12" s="20" t="n">
        <v>0</v>
      </c>
      <c r="AXF12" s="20" t="n">
        <v>0</v>
      </c>
      <c r="AXG12" s="20" t="n">
        <v>0</v>
      </c>
      <c r="AXH12" s="20" t="n">
        <v>0</v>
      </c>
      <c r="AXI12" s="20" t="n">
        <v>0</v>
      </c>
      <c r="AXJ12" s="20" t="n">
        <v>0</v>
      </c>
      <c r="AXK12" s="20" t="n">
        <v>0</v>
      </c>
      <c r="AXL12" s="20" t="n">
        <v>0</v>
      </c>
      <c r="AXM12" s="20" t="n">
        <v>0</v>
      </c>
      <c r="AXN12" s="20" t="n">
        <v>0</v>
      </c>
      <c r="AXO12" s="20" t="n">
        <v>0</v>
      </c>
      <c r="AXP12" s="20" t="n">
        <v>0</v>
      </c>
      <c r="AXQ12" s="20" t="n">
        <v>0</v>
      </c>
      <c r="AXR12" s="20" t="n">
        <v>0</v>
      </c>
      <c r="AXS12" s="20" t="n">
        <v>0</v>
      </c>
      <c r="AXT12" s="20" t="n">
        <v>0</v>
      </c>
      <c r="AXU12" s="20" t="n">
        <v>0</v>
      </c>
      <c r="AXV12" s="20" t="n">
        <v>0</v>
      </c>
      <c r="AXW12" s="20" t="n">
        <v>0</v>
      </c>
      <c r="AXX12" s="20" t="n">
        <v>0</v>
      </c>
      <c r="AXY12" s="20" t="n">
        <v>0</v>
      </c>
      <c r="AXZ12" s="20" t="n">
        <v>0</v>
      </c>
      <c r="AYA12" s="20" t="n">
        <v>0</v>
      </c>
      <c r="AYB12" s="20" t="n">
        <v>0</v>
      </c>
      <c r="AYC12" s="20" t="n">
        <v>0</v>
      </c>
      <c r="AYD12" s="20" t="n">
        <v>0</v>
      </c>
      <c r="AYE12" s="20" t="n">
        <v>0</v>
      </c>
      <c r="AYF12" s="20" t="n">
        <v>0</v>
      </c>
      <c r="AYG12" s="20" t="n">
        <v>0</v>
      </c>
      <c r="AYH12" s="20" t="n">
        <v>0</v>
      </c>
      <c r="AYI12" s="20" t="n">
        <v>0</v>
      </c>
      <c r="AYJ12" s="20" t="n">
        <v>0</v>
      </c>
      <c r="AYK12" s="20" t="n">
        <v>0</v>
      </c>
      <c r="AYL12" s="20" t="n">
        <v>0</v>
      </c>
      <c r="AYM12" s="20" t="n">
        <v>0</v>
      </c>
      <c r="AYN12" s="20" t="n">
        <v>0</v>
      </c>
      <c r="AYO12" s="20" t="n">
        <v>0</v>
      </c>
      <c r="AYP12" s="20" t="n">
        <v>0</v>
      </c>
      <c r="AYQ12" s="20" t="n">
        <v>0</v>
      </c>
    </row>
    <row r="13" customFormat="false" ht="15" hidden="false" customHeight="false" outlineLevel="0" collapsed="false">
      <c r="B13" s="20" t="n">
        <v>5</v>
      </c>
      <c r="C13" s="20" t="n">
        <f aca="false">'Plan cashflow'!C13</f>
        <v>1</v>
      </c>
      <c r="D13" s="20" t="n">
        <f aca="false">'Plan cashflow'!D13</f>
        <v>43</v>
      </c>
      <c r="E13" s="20" t="n">
        <f aca="false">AS_Year0+5</f>
        <v>2031</v>
      </c>
      <c r="F13" s="50" t="n">
        <f aca="false">'Plan cashflow'!F13</f>
        <v>1.1040808032</v>
      </c>
      <c r="G13" s="59" t="n">
        <f aca="true">IF(MAX(TODAY(),DATE(E13,1,1))&gt;=H_CGTfrom,H_CGT1,H_CGT0)</f>
        <v>0.31</v>
      </c>
      <c r="H13" s="20" t="n">
        <f aca="false">H_Exempt*H_Persons</f>
        <v>1270</v>
      </c>
      <c r="I13" s="20" t="n">
        <f aca="false">AX12</f>
        <v>0</v>
      </c>
      <c r="J13" s="60" t="n">
        <f aca="false">BF12</f>
        <v>0</v>
      </c>
      <c r="K13" s="60" t="n">
        <f aca="false">BG12</f>
        <v>0</v>
      </c>
      <c r="L13" s="20" t="n">
        <f aca="false">IF(AND(In_polLump&gt;0,In_polLumpAge&gt;0,D13=In_polLumpAge),In_polLump,0)</f>
        <v>0</v>
      </c>
      <c r="M13" s="20" t="n">
        <f aca="false">IF(AND(In_homeUse="Yes, I'd downsize",In_downAge&gt;0,D13=In_downAge,OR(In_home="Own outright",In_home="Own with mortgage"),In_homeValue&gt;0),MAX(0,MAX(0,In_homeValue-In_downValue)*F13*0.9-'Plan cashflow'!HR12),0)</f>
        <v>0</v>
      </c>
      <c r="N13" s="20" t="n">
        <f aca="false">'Plan pay &amp; tax'!Y239</f>
        <v>0</v>
      </c>
      <c r="O13" s="20" t="n">
        <f aca="false">L13+M13+(1-H_Sh)*N13</f>
        <v>0</v>
      </c>
      <c r="P13" s="20" t="n">
        <f aca="false">H_Sh*N13</f>
        <v>0</v>
      </c>
      <c r="Q13" s="20" t="n">
        <f aca="false">'Plan cashflow'!UL13</f>
        <v>0</v>
      </c>
      <c r="R13" s="20" t="n">
        <f aca="false">(1-H_Sh)*Q13</f>
        <v>0</v>
      </c>
      <c r="S13" s="20" t="n">
        <f aca="false">H_Sh*Q13</f>
        <v>0</v>
      </c>
      <c r="T13" s="20" t="n">
        <f aca="false">J13+K13+O13</f>
        <v>0</v>
      </c>
      <c r="U13" s="20" t="n">
        <f aca="false">T13+R13</f>
        <v>0</v>
      </c>
      <c r="V13" s="60" t="n">
        <f aca="false">SUM(FE13:IQ13)</f>
        <v>0</v>
      </c>
      <c r="W13" s="60" t="n">
        <f aca="false">IF(AJ13&lt;=0,0,IF(AL13&lt;=0,AJ13,AJ13-G13*MAX(0,AL13*AJ13-(AY13+AZ13))))</f>
        <v>0</v>
      </c>
      <c r="X13" s="60" t="n">
        <f aca="false">IF(AR13&lt;=0,0,IF(AT13&lt;=0,AR13,AR13-G13*MAX(0,AT13*AR13-(BA13+BB13))))</f>
        <v>0</v>
      </c>
      <c r="Y13" s="60" t="n">
        <f aca="false">T13+V13-S13+W13+X13</f>
        <v>0</v>
      </c>
      <c r="Z13" s="60" t="n">
        <f aca="false">'Plan cashflow'!UK13</f>
        <v>0</v>
      </c>
      <c r="AA13" s="20" t="n">
        <f aca="false">MIN(Z13,U13)</f>
        <v>0</v>
      </c>
      <c r="AB13" s="20" t="n">
        <f aca="false">Z13-AA13</f>
        <v>0</v>
      </c>
      <c r="AC13" s="20" t="n">
        <f aca="false">MIN(AA13,J13+O13+R13)</f>
        <v>0</v>
      </c>
      <c r="AD13" s="20" t="n">
        <f aca="false">AA13-AC13</f>
        <v>0</v>
      </c>
      <c r="AE13" s="20" t="n">
        <f aca="false">J13+O13+R13-AC13</f>
        <v>0</v>
      </c>
      <c r="AF13" s="20" t="n">
        <f aca="false">K13-AD13</f>
        <v>0</v>
      </c>
      <c r="AG13" s="20" t="n">
        <f aca="false">SUM(PR13:TD13)</f>
        <v>0</v>
      </c>
      <c r="AH13" s="20" t="n">
        <f aca="false">SUM(TE13:WQ13)</f>
        <v>0</v>
      </c>
      <c r="AI13" s="20" t="n">
        <f aca="false">MAX(0,AB13-AG13)</f>
        <v>0</v>
      </c>
      <c r="AJ13" s="57" t="n">
        <f aca="false">BI12</f>
        <v>0</v>
      </c>
      <c r="AK13" s="20" t="n">
        <f aca="false">BJ12</f>
        <v>0</v>
      </c>
      <c r="AL13" s="20" t="n">
        <f aca="false">IF(AJ13&gt;0,(AJ13-AK13)/AJ13,0)</f>
        <v>0</v>
      </c>
      <c r="AM13" s="20" t="n">
        <f aca="false">IF(AJ13&lt;=0,0,IF(AL13&lt;=0,MIN(AI13,AJ13),MIN(AI13,AJ13-G13*MAX(0,AL13*AJ13-(AAD13+ADQ13)))))</f>
        <v>0</v>
      </c>
      <c r="AN13" s="20" t="n">
        <f aca="false">IF(AJ13&lt;=0,0,IF(AL13&lt;=0,AM13,IF(AM13&lt;=(AAD13+ADQ13)/AL13,AM13,(AM13-G13*(AAD13+ADQ13))/(1-G13*AL13))))</f>
        <v>0</v>
      </c>
      <c r="AO13" s="20" t="n">
        <f aca="false">IF(AL13&gt;0,MAX(0,AAD13-(MIN(AL13*AN13,(AAD13+ADQ13))-MIN(MIN(AL13*AN13,(AAD13+ADQ13)),ADQ13))),AAD13)</f>
        <v>1270</v>
      </c>
      <c r="AP13" s="20" t="n">
        <f aca="false">IF(AL13&lt;=0,ADQ13-AL13*AN13,ADQ13-MIN(MIN(AL13*AN13,(AAD13+ADQ13)),ADQ13))</f>
        <v>0</v>
      </c>
      <c r="AQ13" s="20" t="n">
        <f aca="false">MAX(0,AI13-AM13)</f>
        <v>0</v>
      </c>
      <c r="AR13" s="57" t="n">
        <f aca="false">BK12</f>
        <v>0</v>
      </c>
      <c r="AS13" s="20" t="n">
        <f aca="false">BL12</f>
        <v>0</v>
      </c>
      <c r="AT13" s="20" t="n">
        <f aca="false">IF(AR13&gt;0,(AR13-AS13)/AR13,0)</f>
        <v>0</v>
      </c>
      <c r="AU13" s="20" t="n">
        <f aca="false">IF(AR13&lt;=0,0,IF(AT13&lt;=0,MIN(AQ13,AR13),MIN(AQ13,AR13-G13*MAX(0,AT13*AR13-(AO13+AP13)))))</f>
        <v>0</v>
      </c>
      <c r="AV13" s="20" t="n">
        <f aca="false">IF(AR13&lt;=0,0,IF(AT13&lt;=0,AU13,IF(AU13&lt;=(AO13+AP13)/AT13,AU13,(AU13-G13*(AO13+AP13))/(1-G13*AT13))))</f>
        <v>0</v>
      </c>
      <c r="AW13" s="20" t="n">
        <f aca="false">IF(AT13&gt;0,MAX(0,AO13-(MIN(AT13*AV13,(AO13+AP13))-MIN(MIN(AT13*AV13,(AO13+AP13)),AP13))),AO13)</f>
        <v>1270</v>
      </c>
      <c r="AX13" s="20" t="n">
        <f aca="false">IF(AT13&lt;=0,AP13-AT13*AV13,AP13-MIN(MIN(AT13*AV13,(AO13+AP13)),AP13))</f>
        <v>0</v>
      </c>
      <c r="AY13" s="20" t="n">
        <f aca="false">MD13</f>
        <v>1270</v>
      </c>
      <c r="AZ13" s="20" t="n">
        <f aca="false">PQ13</f>
        <v>0</v>
      </c>
      <c r="BA13" s="20" t="n">
        <f aca="false">IF(AL13&gt;0,MAX(0,AY13-(MIN(AL13*AJ13,AY13+AZ13)-MIN(MIN(AL13*AJ13,AY13+AZ13),AZ13))),AY13)</f>
        <v>1270</v>
      </c>
      <c r="BB13" s="20" t="n">
        <f aca="false">IF(AL13&lt;=0,AZ13-AL13*AJ13,AZ13-MIN(MIN(AL13*AJ13,AY13+AZ13),AZ13))</f>
        <v>0</v>
      </c>
      <c r="BC13" s="20" t="n">
        <f aca="false">'Plan cashflow'!UM13</f>
        <v>0</v>
      </c>
      <c r="BD13" s="20" t="n">
        <f aca="false">(1-H_Sh)*BC13</f>
        <v>0</v>
      </c>
      <c r="BE13" s="20" t="n">
        <f aca="false">H_Sh*BC13</f>
        <v>0</v>
      </c>
      <c r="BF13" s="60" t="n">
        <f aca="false">(AE13+BD13)*(1+AS_Cash)</f>
        <v>0</v>
      </c>
      <c r="BG13" s="60" t="n">
        <f aca="false">AF13*(1+AS_Cash)</f>
        <v>0</v>
      </c>
      <c r="BH13" s="60" t="n">
        <f aca="false">SUM(AKR13:AOD13)</f>
        <v>0</v>
      </c>
      <c r="BI13" s="60" t="n">
        <f aca="false">(AJ13-AN13)*(1+AS_Infl)</f>
        <v>0</v>
      </c>
      <c r="BJ13" s="20" t="n">
        <f aca="false">IF(AJ13&gt;0,AK13-AK13*AN13/AJ13,0)</f>
        <v>0</v>
      </c>
      <c r="BK13" s="60" t="n">
        <f aca="false">(AR13-AV13)*(1+BQ13)</f>
        <v>0</v>
      </c>
      <c r="BL13" s="20" t="n">
        <f aca="false">IF(AR13&gt;0,AS13-AS13*AV13/AR13,0)</f>
        <v>0</v>
      </c>
      <c r="BM13" s="60" t="n">
        <f aca="false">BF13+BG13+BH13+BI13+BK13</f>
        <v>0</v>
      </c>
      <c r="BN13" s="60" t="n">
        <f aca="false">(AH13-AG13)+(AN13-AM13)+(AV13-AU13)</f>
        <v>0</v>
      </c>
      <c r="BO13" s="20" t="n">
        <f aca="false">(AE13+BD13+AF13+MAX(0,'Plan cashflow'!QH13)+IF(Slot1_Rate=AS_Cash,'Plan cashflow'!QM13/(1+AS_Cash),0)+IF(Slot2_Rate=AS_Cash,'Plan cashflow'!QQ13/(1+AS_Cash),0)+IF(Slot3_Rate=AS_Cash,'Plan cashflow'!QU13/(1+AS_Cash),0)+IF(Slot4_Rate=AS_Cash,'Plan cashflow'!QY13/(1+AS_Cash),0)+IF(Slot5_Rate=AS_Cash,'Plan cashflow'!RC13/(1+AS_Cash),0)+IF(Slot6_Rate=AS_Cash,'Plan cashflow'!RG13/(1+AS_Cash),0)+IF(Slot7_Rate=AS_Cash,'Plan cashflow'!RK13/(1+AS_Cash),0)+IF(Slot8_Rate=AS_Cash,'Plan cashflow'!RO13/(1+AS_Cash),0)+IF(Slot9_Rate=AS_Cash,'Plan cashflow'!RS13/(1+AS_Cash),0)+IF(Slot10_Rate=AS_Cash,'Plan cashflow'!RW13/(1+AS_Cash),0)+IF(Slot11_Rate=AS_Cash,'Plan cashflow'!SA13/(1+AS_Cash),0)+IF(Slot12_Rate=AS_Cash,'Plan cashflow'!SE13/(1+AS_Cash),0)+IF(Slot13_Rate=AS_Cash,'Plan cashflow'!SI13/(1+AS_Cash),0)+IF(Slot14_Rate=AS_Cash,'Plan cashflow'!SM13/(1+AS_Cash),0)+IF(Slot15_Rate=AS_Cash,'Plan cashflow'!SQ13/(1+AS_Cash),0)+IF(Slot16_Rate=AS_Cash,'Plan cashflow'!SU13/(1+AS_Cash),0)+IF(Slot17_Rate=AS_Cash,'Plan cashflow'!SY13/(1+AS_Cash),0)+IF(Slot18_Rate=AS_Cash,'Plan cashflow'!TC13/(1+AS_Cash),0)+IF(Slot19_Rate=AS_Cash,'Plan cashflow'!TG13/(1+AS_Cash),0)+IF(Slot20_Rate=AS_Cash,'Plan cashflow'!TK13/(1+AS_Cash),0))*AS_Cash*H_DIRT/(1-H_DIRT)</f>
        <v>57.7412312003121</v>
      </c>
      <c r="BP13" s="60" t="n">
        <f aca="false">SUM(AVE13:AYQ13)</f>
        <v>0</v>
      </c>
      <c r="BQ13" s="54" t="n">
        <f aca="false">IF(H_TaxEvt=1,H_InvG,AS_Inv)</f>
        <v>0.04</v>
      </c>
      <c r="BR13" s="20" t="n">
        <f aca="false">IF(AKR12&gt;0,(AKR12-AOE12)/AKR12,0)</f>
        <v>0</v>
      </c>
      <c r="BS13" s="20" t="n">
        <f aca="false">IF(AKS12&gt;0,(AKS12-AOF12)/AKS12,0)</f>
        <v>0</v>
      </c>
      <c r="BT13" s="20" t="n">
        <f aca="false">IF(AKT12&gt;0,(AKT12-AOG12)/AKT12,0)</f>
        <v>0</v>
      </c>
      <c r="BU13" s="20" t="n">
        <f aca="false">IF(AKU12&gt;0,(AKU12-AOH12)/AKU12,0)</f>
        <v>0</v>
      </c>
      <c r="BV13" s="20" t="n">
        <f aca="false">IF(AKV12&gt;0,(AKV12-AOI12)/AKV12,0)</f>
        <v>0</v>
      </c>
      <c r="BW13" s="20" t="n">
        <f aca="false">IF(AKW12&gt;0,(AKW12-AOJ12)/AKW12,0)</f>
        <v>0</v>
      </c>
      <c r="BX13" s="20" t="n">
        <f aca="false">IF((P13+S13)&gt;0,((P13+S13)-(P13+S13))/(P13+S13),0)</f>
        <v>0</v>
      </c>
      <c r="BY13" s="20" t="n">
        <v>0</v>
      </c>
      <c r="BZ13" s="20" t="n">
        <v>0</v>
      </c>
      <c r="CA13" s="20" t="n">
        <v>0</v>
      </c>
      <c r="CB13" s="20" t="n">
        <v>0</v>
      </c>
      <c r="CC13" s="20" t="n">
        <v>0</v>
      </c>
      <c r="CD13" s="20" t="n">
        <v>0</v>
      </c>
      <c r="CE13" s="20" t="n">
        <v>0</v>
      </c>
      <c r="CF13" s="20" t="n">
        <v>0</v>
      </c>
      <c r="CG13" s="20" t="n">
        <v>0</v>
      </c>
      <c r="CH13" s="20" t="n">
        <v>0</v>
      </c>
      <c r="CI13" s="20" t="n">
        <v>0</v>
      </c>
      <c r="CJ13" s="20" t="n">
        <v>0</v>
      </c>
      <c r="CK13" s="20" t="n">
        <v>0</v>
      </c>
      <c r="CL13" s="20" t="n">
        <v>0</v>
      </c>
      <c r="CM13" s="20" t="n">
        <v>0</v>
      </c>
      <c r="CN13" s="20" t="n">
        <v>0</v>
      </c>
      <c r="CO13" s="20" t="n">
        <v>0</v>
      </c>
      <c r="CP13" s="20" t="n">
        <v>0</v>
      </c>
      <c r="CQ13" s="20" t="n">
        <v>0</v>
      </c>
      <c r="CR13" s="20" t="n">
        <v>0</v>
      </c>
      <c r="CS13" s="20" t="n">
        <v>0</v>
      </c>
      <c r="CT13" s="20" t="n">
        <v>0</v>
      </c>
      <c r="CU13" s="20" t="n">
        <v>0</v>
      </c>
      <c r="CV13" s="20" t="n">
        <v>0</v>
      </c>
      <c r="CW13" s="20" t="n">
        <v>0</v>
      </c>
      <c r="CX13" s="20" t="n">
        <v>0</v>
      </c>
      <c r="CY13" s="20" t="n">
        <v>0</v>
      </c>
      <c r="CZ13" s="20" t="n">
        <v>0</v>
      </c>
      <c r="DA13" s="20" t="n">
        <v>0</v>
      </c>
      <c r="DB13" s="20" t="n">
        <v>0</v>
      </c>
      <c r="DC13" s="20" t="n">
        <v>0</v>
      </c>
      <c r="DD13" s="20" t="n">
        <v>0</v>
      </c>
      <c r="DE13" s="20" t="n">
        <v>0</v>
      </c>
      <c r="DF13" s="20" t="n">
        <v>0</v>
      </c>
      <c r="DG13" s="20" t="n">
        <v>0</v>
      </c>
      <c r="DH13" s="20" t="n">
        <v>0</v>
      </c>
      <c r="DI13" s="20" t="n">
        <v>0</v>
      </c>
      <c r="DJ13" s="20" t="n">
        <v>0</v>
      </c>
      <c r="DK13" s="20" t="n">
        <v>0</v>
      </c>
      <c r="DL13" s="20" t="n">
        <v>0</v>
      </c>
      <c r="DM13" s="20" t="n">
        <v>0</v>
      </c>
      <c r="DN13" s="20" t="n">
        <v>0</v>
      </c>
      <c r="DO13" s="20" t="n">
        <v>0</v>
      </c>
      <c r="DP13" s="20" t="n">
        <v>0</v>
      </c>
      <c r="DQ13" s="20" t="n">
        <v>0</v>
      </c>
      <c r="DR13" s="20" t="n">
        <v>0</v>
      </c>
      <c r="DS13" s="20" t="n">
        <v>0</v>
      </c>
      <c r="DT13" s="20" t="n">
        <v>0</v>
      </c>
      <c r="DU13" s="20" t="n">
        <v>0</v>
      </c>
      <c r="DV13" s="20" t="n">
        <v>0</v>
      </c>
      <c r="DW13" s="20" t="n">
        <v>0</v>
      </c>
      <c r="DX13" s="20" t="n">
        <v>0</v>
      </c>
      <c r="DY13" s="20" t="n">
        <v>0</v>
      </c>
      <c r="DZ13" s="20" t="n">
        <v>0</v>
      </c>
      <c r="EA13" s="20" t="n">
        <v>0</v>
      </c>
      <c r="EB13" s="20" t="n">
        <v>0</v>
      </c>
      <c r="EC13" s="20" t="n">
        <v>0</v>
      </c>
      <c r="ED13" s="20" t="n">
        <v>0</v>
      </c>
      <c r="EE13" s="20" t="n">
        <v>0</v>
      </c>
      <c r="EF13" s="20" t="n">
        <v>0</v>
      </c>
      <c r="EG13" s="20" t="n">
        <v>0</v>
      </c>
      <c r="EH13" s="20" t="n">
        <v>0</v>
      </c>
      <c r="EI13" s="20" t="n">
        <v>0</v>
      </c>
      <c r="EJ13" s="20" t="n">
        <v>0</v>
      </c>
      <c r="EK13" s="20" t="n">
        <v>0</v>
      </c>
      <c r="EL13" s="20" t="n">
        <v>0</v>
      </c>
      <c r="EM13" s="20" t="n">
        <v>0</v>
      </c>
      <c r="EN13" s="20" t="n">
        <v>0</v>
      </c>
      <c r="EO13" s="20" t="n">
        <v>0</v>
      </c>
      <c r="EP13" s="20" t="n">
        <v>0</v>
      </c>
      <c r="EQ13" s="20" t="n">
        <v>0</v>
      </c>
      <c r="ER13" s="20" t="n">
        <v>0</v>
      </c>
      <c r="ES13" s="20" t="n">
        <v>0</v>
      </c>
      <c r="ET13" s="20" t="n">
        <v>0</v>
      </c>
      <c r="EU13" s="20" t="n">
        <v>0</v>
      </c>
      <c r="EV13" s="20" t="n">
        <v>0</v>
      </c>
      <c r="EW13" s="20" t="n">
        <v>0</v>
      </c>
      <c r="EX13" s="20" t="n">
        <v>0</v>
      </c>
      <c r="EY13" s="20" t="n">
        <v>0</v>
      </c>
      <c r="EZ13" s="20" t="n">
        <v>0</v>
      </c>
      <c r="FA13" s="20" t="n">
        <v>0</v>
      </c>
      <c r="FB13" s="20" t="n">
        <v>0</v>
      </c>
      <c r="FC13" s="20" t="n">
        <v>0</v>
      </c>
      <c r="FD13" s="20" t="n">
        <v>0</v>
      </c>
      <c r="FE13" s="20" t="n">
        <f aca="false">IF(H_Direct=1,IF(AKR12&lt;=0,0,IF(BR13&lt;=0,AKR12,AKR12-G13*MAX(0,BR13*AKR12-(H13+I13)))),AKR12*(1-MAX(0,BR13)*H_Exit))</f>
        <v>0</v>
      </c>
      <c r="FF13" s="20" t="n">
        <f aca="false">IF(H_Direct=1,IF(AKS12&lt;=0,0,IF(BS13&lt;=0,AKS12,AKS12-G13*MAX(0,BS13*AKS12-(IR13+ME13)))),AKS12*(1-MAX(0,BS13)*H_Exit))</f>
        <v>0</v>
      </c>
      <c r="FG13" s="20" t="n">
        <f aca="false">IF(H_Direct=1,IF(AKT12&lt;=0,0,IF(BT13&lt;=0,AKT12,AKT12-G13*MAX(0,BT13*AKT12-(IS13+MF13)))),AKT12*(1-MAX(0,BT13)*H_Exit))</f>
        <v>0</v>
      </c>
      <c r="FH13" s="20" t="n">
        <f aca="false">IF(H_Direct=1,IF(AKU12&lt;=0,0,IF(BU13&lt;=0,AKU12,AKU12-G13*MAX(0,BU13*AKU12-(IT13+MG13)))),AKU12*(1-MAX(0,BU13)*H_Exit))</f>
        <v>0</v>
      </c>
      <c r="FI13" s="20" t="n">
        <f aca="false">IF(H_Direct=1,IF(AKV12&lt;=0,0,IF(BV13&lt;=0,AKV12,AKV12-G13*MAX(0,BV13*AKV12-(IU13+MH13)))),AKV12*(1-MAX(0,BV13)*H_Exit))</f>
        <v>0</v>
      </c>
      <c r="FJ13" s="20" t="n">
        <f aca="false">IF(H_Direct=1,IF(AKW12&lt;=0,0,IF(BW13&lt;=0,AKW12,AKW12-G13*MAX(0,BW13*AKW12-(IV13+MI13)))),AKW12*(1-MAX(0,BW13)*H_Exit))</f>
        <v>0</v>
      </c>
      <c r="FK13" s="20" t="n">
        <f aca="false">IF(H_Direct=1,IF((P13+S13)&lt;=0,0,IF(BX13&lt;=0,(P13+S13),(P13+S13)-G13*MAX(0,BX13*(P13+S13)-(IW13+MJ13)))),(P13+S13)*(1-MAX(0,BX13)*H_Exit))</f>
        <v>0</v>
      </c>
      <c r="FL13" s="20" t="n">
        <v>0</v>
      </c>
      <c r="FM13" s="20" t="n">
        <v>0</v>
      </c>
      <c r="FN13" s="20" t="n">
        <v>0</v>
      </c>
      <c r="FO13" s="20" t="n">
        <v>0</v>
      </c>
      <c r="FP13" s="20" t="n">
        <v>0</v>
      </c>
      <c r="FQ13" s="20" t="n">
        <v>0</v>
      </c>
      <c r="FR13" s="20" t="n">
        <v>0</v>
      </c>
      <c r="FS13" s="20" t="n">
        <v>0</v>
      </c>
      <c r="FT13" s="20" t="n">
        <v>0</v>
      </c>
      <c r="FU13" s="20" t="n">
        <v>0</v>
      </c>
      <c r="FV13" s="20" t="n">
        <v>0</v>
      </c>
      <c r="FW13" s="20" t="n">
        <v>0</v>
      </c>
      <c r="FX13" s="20" t="n">
        <v>0</v>
      </c>
      <c r="FY13" s="20" t="n">
        <v>0</v>
      </c>
      <c r="FZ13" s="20" t="n">
        <v>0</v>
      </c>
      <c r="GA13" s="20" t="n">
        <v>0</v>
      </c>
      <c r="GB13" s="20" t="n">
        <v>0</v>
      </c>
      <c r="GC13" s="20" t="n">
        <v>0</v>
      </c>
      <c r="GD13" s="20" t="n">
        <v>0</v>
      </c>
      <c r="GE13" s="20" t="n">
        <v>0</v>
      </c>
      <c r="GF13" s="20" t="n">
        <v>0</v>
      </c>
      <c r="GG13" s="20" t="n">
        <v>0</v>
      </c>
      <c r="GH13" s="20" t="n">
        <v>0</v>
      </c>
      <c r="GI13" s="20" t="n">
        <v>0</v>
      </c>
      <c r="GJ13" s="20" t="n">
        <v>0</v>
      </c>
      <c r="GK13" s="20" t="n">
        <v>0</v>
      </c>
      <c r="GL13" s="20" t="n">
        <v>0</v>
      </c>
      <c r="GM13" s="20" t="n">
        <v>0</v>
      </c>
      <c r="GN13" s="20" t="n">
        <v>0</v>
      </c>
      <c r="GO13" s="20" t="n">
        <v>0</v>
      </c>
      <c r="GP13" s="20" t="n">
        <v>0</v>
      </c>
      <c r="GQ13" s="20" t="n">
        <v>0</v>
      </c>
      <c r="GR13" s="20" t="n">
        <v>0</v>
      </c>
      <c r="GS13" s="20" t="n">
        <v>0</v>
      </c>
      <c r="GT13" s="20" t="n">
        <v>0</v>
      </c>
      <c r="GU13" s="20" t="n">
        <v>0</v>
      </c>
      <c r="GV13" s="20" t="n">
        <v>0</v>
      </c>
      <c r="GW13" s="20" t="n">
        <v>0</v>
      </c>
      <c r="GX13" s="20" t="n">
        <v>0</v>
      </c>
      <c r="GY13" s="20" t="n">
        <v>0</v>
      </c>
      <c r="GZ13" s="20" t="n">
        <v>0</v>
      </c>
      <c r="HA13" s="20" t="n">
        <v>0</v>
      </c>
      <c r="HB13" s="20" t="n">
        <v>0</v>
      </c>
      <c r="HC13" s="20" t="n">
        <v>0</v>
      </c>
      <c r="HD13" s="20" t="n">
        <v>0</v>
      </c>
      <c r="HE13" s="20" t="n">
        <v>0</v>
      </c>
      <c r="HF13" s="20" t="n">
        <v>0</v>
      </c>
      <c r="HG13" s="20" t="n">
        <v>0</v>
      </c>
      <c r="HH13" s="20" t="n">
        <v>0</v>
      </c>
      <c r="HI13" s="20" t="n">
        <v>0</v>
      </c>
      <c r="HJ13" s="20" t="n">
        <v>0</v>
      </c>
      <c r="HK13" s="20" t="n">
        <v>0</v>
      </c>
      <c r="HL13" s="20" t="n">
        <v>0</v>
      </c>
      <c r="HM13" s="20" t="n">
        <v>0</v>
      </c>
      <c r="HN13" s="20" t="n">
        <v>0</v>
      </c>
      <c r="HO13" s="20" t="n">
        <v>0</v>
      </c>
      <c r="HP13" s="20" t="n">
        <v>0</v>
      </c>
      <c r="HQ13" s="20" t="n">
        <v>0</v>
      </c>
      <c r="HR13" s="20" t="n">
        <v>0</v>
      </c>
      <c r="HS13" s="20" t="n">
        <v>0</v>
      </c>
      <c r="HT13" s="20" t="n">
        <v>0</v>
      </c>
      <c r="HU13" s="20" t="n">
        <v>0</v>
      </c>
      <c r="HV13" s="20" t="n">
        <v>0</v>
      </c>
      <c r="HW13" s="20" t="n">
        <v>0</v>
      </c>
      <c r="HX13" s="20" t="n">
        <v>0</v>
      </c>
      <c r="HY13" s="20" t="n">
        <v>0</v>
      </c>
      <c r="HZ13" s="20" t="n">
        <v>0</v>
      </c>
      <c r="IA13" s="20" t="n">
        <v>0</v>
      </c>
      <c r="IB13" s="20" t="n">
        <v>0</v>
      </c>
      <c r="IC13" s="20" t="n">
        <v>0</v>
      </c>
      <c r="ID13" s="20" t="n">
        <v>0</v>
      </c>
      <c r="IE13" s="20" t="n">
        <v>0</v>
      </c>
      <c r="IF13" s="20" t="n">
        <v>0</v>
      </c>
      <c r="IG13" s="20" t="n">
        <v>0</v>
      </c>
      <c r="IH13" s="20" t="n">
        <v>0</v>
      </c>
      <c r="II13" s="20" t="n">
        <v>0</v>
      </c>
      <c r="IJ13" s="20" t="n">
        <v>0</v>
      </c>
      <c r="IK13" s="20" t="n">
        <v>0</v>
      </c>
      <c r="IL13" s="20" t="n">
        <v>0</v>
      </c>
      <c r="IM13" s="20" t="n">
        <v>0</v>
      </c>
      <c r="IN13" s="20" t="n">
        <v>0</v>
      </c>
      <c r="IO13" s="20" t="n">
        <v>0</v>
      </c>
      <c r="IP13" s="20" t="n">
        <v>0</v>
      </c>
      <c r="IQ13" s="20" t="n">
        <v>0</v>
      </c>
      <c r="IR13" s="20" t="n">
        <f aca="false">IF(AND(H_Direct=1,BR13&gt;0),MAX(0,H13-(MIN(BR13*AKR12,H13+I13)-MIN(MIN(BR13*AKR12,H13+I13),I13))),H13)</f>
        <v>1270</v>
      </c>
      <c r="IS13" s="20" t="n">
        <f aca="false">IF(AND(H_Direct=1,BS13&gt;0),MAX(0,IR13-(MIN(BS13*AKS12,IR13+ME13)-MIN(MIN(BS13*AKS12,IR13+ME13),ME13))),IR13)</f>
        <v>1270</v>
      </c>
      <c r="IT13" s="20" t="n">
        <f aca="false">IF(AND(H_Direct=1,BT13&gt;0),MAX(0,IS13-(MIN(BT13*AKT12,IS13+MF13)-MIN(MIN(BT13*AKT12,IS13+MF13),MF13))),IS13)</f>
        <v>1270</v>
      </c>
      <c r="IU13" s="20" t="n">
        <f aca="false">IF(AND(H_Direct=1,BU13&gt;0),MAX(0,IT13-(MIN(BU13*AKU12,IT13+MG13)-MIN(MIN(BU13*AKU12,IT13+MG13),MG13))),IT13)</f>
        <v>1270</v>
      </c>
      <c r="IV13" s="20" t="n">
        <f aca="false">IF(AND(H_Direct=1,BV13&gt;0),MAX(0,IU13-(MIN(BV13*AKV12,IU13+MH13)-MIN(MIN(BV13*AKV12,IU13+MH13),MH13))),IU13)</f>
        <v>1270</v>
      </c>
      <c r="IW13" s="20" t="n">
        <f aca="false">IF(AND(H_Direct=1,BW13&gt;0),MAX(0,IV13-(MIN(BW13*AKW12,IV13+MI13)-MIN(MIN(BW13*AKW12,IV13+MI13),MI13))),IV13)</f>
        <v>1270</v>
      </c>
      <c r="IX13" s="20" t="n">
        <f aca="false">IF(AND(H_Direct=1,BX13&gt;0),MAX(0,IW13-(MIN(BX13*(P13+S13),IW13+MJ13)-MIN(MIN(BX13*(P13+S13),IW13+MJ13),MJ13))),IW13)</f>
        <v>1270</v>
      </c>
      <c r="IY13" s="20" t="n">
        <f aca="false">IX13</f>
        <v>1270</v>
      </c>
      <c r="IZ13" s="20" t="n">
        <f aca="false">IY13</f>
        <v>1270</v>
      </c>
      <c r="JA13" s="20" t="n">
        <f aca="false">IZ13</f>
        <v>1270</v>
      </c>
      <c r="JB13" s="20" t="n">
        <f aca="false">JA13</f>
        <v>1270</v>
      </c>
      <c r="JC13" s="20" t="n">
        <f aca="false">JB13</f>
        <v>1270</v>
      </c>
      <c r="JD13" s="20" t="n">
        <f aca="false">JC13</f>
        <v>1270</v>
      </c>
      <c r="JE13" s="20" t="n">
        <f aca="false">JD13</f>
        <v>1270</v>
      </c>
      <c r="JF13" s="20" t="n">
        <f aca="false">JE13</f>
        <v>1270</v>
      </c>
      <c r="JG13" s="20" t="n">
        <f aca="false">JF13</f>
        <v>1270</v>
      </c>
      <c r="JH13" s="20" t="n">
        <f aca="false">JG13</f>
        <v>1270</v>
      </c>
      <c r="JI13" s="20" t="n">
        <f aca="false">JH13</f>
        <v>1270</v>
      </c>
      <c r="JJ13" s="20" t="n">
        <f aca="false">JI13</f>
        <v>1270</v>
      </c>
      <c r="JK13" s="20" t="n">
        <f aca="false">JJ13</f>
        <v>1270</v>
      </c>
      <c r="JL13" s="20" t="n">
        <f aca="false">JK13</f>
        <v>1270</v>
      </c>
      <c r="JM13" s="20" t="n">
        <f aca="false">JL13</f>
        <v>1270</v>
      </c>
      <c r="JN13" s="20" t="n">
        <f aca="false">JM13</f>
        <v>1270</v>
      </c>
      <c r="JO13" s="20" t="n">
        <f aca="false">JN13</f>
        <v>1270</v>
      </c>
      <c r="JP13" s="20" t="n">
        <f aca="false">JO13</f>
        <v>1270</v>
      </c>
      <c r="JQ13" s="20" t="n">
        <f aca="false">JP13</f>
        <v>1270</v>
      </c>
      <c r="JR13" s="20" t="n">
        <f aca="false">JQ13</f>
        <v>1270</v>
      </c>
      <c r="JS13" s="20" t="n">
        <f aca="false">JR13</f>
        <v>1270</v>
      </c>
      <c r="JT13" s="20" t="n">
        <f aca="false">JS13</f>
        <v>1270</v>
      </c>
      <c r="JU13" s="20" t="n">
        <f aca="false">JT13</f>
        <v>1270</v>
      </c>
      <c r="JV13" s="20" t="n">
        <f aca="false">JU13</f>
        <v>1270</v>
      </c>
      <c r="JW13" s="20" t="n">
        <f aca="false">JV13</f>
        <v>1270</v>
      </c>
      <c r="JX13" s="20" t="n">
        <f aca="false">JW13</f>
        <v>1270</v>
      </c>
      <c r="JY13" s="20" t="n">
        <f aca="false">JX13</f>
        <v>1270</v>
      </c>
      <c r="JZ13" s="20" t="n">
        <f aca="false">JY13</f>
        <v>1270</v>
      </c>
      <c r="KA13" s="20" t="n">
        <f aca="false">JZ13</f>
        <v>1270</v>
      </c>
      <c r="KB13" s="20" t="n">
        <f aca="false">KA13</f>
        <v>1270</v>
      </c>
      <c r="KC13" s="20" t="n">
        <f aca="false">KB13</f>
        <v>1270</v>
      </c>
      <c r="KD13" s="20" t="n">
        <f aca="false">KC13</f>
        <v>1270</v>
      </c>
      <c r="KE13" s="20" t="n">
        <f aca="false">KD13</f>
        <v>1270</v>
      </c>
      <c r="KF13" s="20" t="n">
        <f aca="false">KE13</f>
        <v>1270</v>
      </c>
      <c r="KG13" s="20" t="n">
        <f aca="false">KF13</f>
        <v>1270</v>
      </c>
      <c r="KH13" s="20" t="n">
        <f aca="false">KG13</f>
        <v>1270</v>
      </c>
      <c r="KI13" s="20" t="n">
        <f aca="false">KH13</f>
        <v>1270</v>
      </c>
      <c r="KJ13" s="20" t="n">
        <f aca="false">KI13</f>
        <v>1270</v>
      </c>
      <c r="KK13" s="20" t="n">
        <f aca="false">KJ13</f>
        <v>1270</v>
      </c>
      <c r="KL13" s="20" t="n">
        <f aca="false">KK13</f>
        <v>1270</v>
      </c>
      <c r="KM13" s="20" t="n">
        <f aca="false">KL13</f>
        <v>1270</v>
      </c>
      <c r="KN13" s="20" t="n">
        <f aca="false">KM13</f>
        <v>1270</v>
      </c>
      <c r="KO13" s="20" t="n">
        <f aca="false">KN13</f>
        <v>1270</v>
      </c>
      <c r="KP13" s="20" t="n">
        <f aca="false">KO13</f>
        <v>1270</v>
      </c>
      <c r="KQ13" s="20" t="n">
        <f aca="false">KP13</f>
        <v>1270</v>
      </c>
      <c r="KR13" s="20" t="n">
        <f aca="false">KQ13</f>
        <v>1270</v>
      </c>
      <c r="KS13" s="20" t="n">
        <f aca="false">KR13</f>
        <v>1270</v>
      </c>
      <c r="KT13" s="20" t="n">
        <f aca="false">KS13</f>
        <v>1270</v>
      </c>
      <c r="KU13" s="20" t="n">
        <f aca="false">KT13</f>
        <v>1270</v>
      </c>
      <c r="KV13" s="20" t="n">
        <f aca="false">KU13</f>
        <v>1270</v>
      </c>
      <c r="KW13" s="20" t="n">
        <f aca="false">KV13</f>
        <v>1270</v>
      </c>
      <c r="KX13" s="20" t="n">
        <f aca="false">KW13</f>
        <v>1270</v>
      </c>
      <c r="KY13" s="20" t="n">
        <f aca="false">KX13</f>
        <v>1270</v>
      </c>
      <c r="KZ13" s="20" t="n">
        <f aca="false">KY13</f>
        <v>1270</v>
      </c>
      <c r="LA13" s="20" t="n">
        <f aca="false">KZ13</f>
        <v>1270</v>
      </c>
      <c r="LB13" s="20" t="n">
        <f aca="false">LA13</f>
        <v>1270</v>
      </c>
      <c r="LC13" s="20" t="n">
        <f aca="false">LB13</f>
        <v>1270</v>
      </c>
      <c r="LD13" s="20" t="n">
        <f aca="false">LC13</f>
        <v>1270</v>
      </c>
      <c r="LE13" s="20" t="n">
        <f aca="false">LD13</f>
        <v>1270</v>
      </c>
      <c r="LF13" s="20" t="n">
        <f aca="false">LE13</f>
        <v>1270</v>
      </c>
      <c r="LG13" s="20" t="n">
        <f aca="false">LF13</f>
        <v>1270</v>
      </c>
      <c r="LH13" s="20" t="n">
        <f aca="false">LG13</f>
        <v>1270</v>
      </c>
      <c r="LI13" s="20" t="n">
        <f aca="false">LH13</f>
        <v>1270</v>
      </c>
      <c r="LJ13" s="20" t="n">
        <f aca="false">LI13</f>
        <v>1270</v>
      </c>
      <c r="LK13" s="20" t="n">
        <f aca="false">LJ13</f>
        <v>1270</v>
      </c>
      <c r="LL13" s="20" t="n">
        <f aca="false">LK13</f>
        <v>1270</v>
      </c>
      <c r="LM13" s="20" t="n">
        <f aca="false">LL13</f>
        <v>1270</v>
      </c>
      <c r="LN13" s="20" t="n">
        <f aca="false">LM13</f>
        <v>1270</v>
      </c>
      <c r="LO13" s="20" t="n">
        <f aca="false">LN13</f>
        <v>1270</v>
      </c>
      <c r="LP13" s="20" t="n">
        <f aca="false">LO13</f>
        <v>1270</v>
      </c>
      <c r="LQ13" s="20" t="n">
        <f aca="false">LP13</f>
        <v>1270</v>
      </c>
      <c r="LR13" s="20" t="n">
        <f aca="false">LQ13</f>
        <v>1270</v>
      </c>
      <c r="LS13" s="20" t="n">
        <f aca="false">LR13</f>
        <v>1270</v>
      </c>
      <c r="LT13" s="20" t="n">
        <f aca="false">LS13</f>
        <v>1270</v>
      </c>
      <c r="LU13" s="20" t="n">
        <f aca="false">LT13</f>
        <v>1270</v>
      </c>
      <c r="LV13" s="20" t="n">
        <f aca="false">LU13</f>
        <v>1270</v>
      </c>
      <c r="LW13" s="20" t="n">
        <f aca="false">LV13</f>
        <v>1270</v>
      </c>
      <c r="LX13" s="20" t="n">
        <f aca="false">LW13</f>
        <v>1270</v>
      </c>
      <c r="LY13" s="20" t="n">
        <f aca="false">LX13</f>
        <v>1270</v>
      </c>
      <c r="LZ13" s="20" t="n">
        <f aca="false">LY13</f>
        <v>1270</v>
      </c>
      <c r="MA13" s="20" t="n">
        <f aca="false">LZ13</f>
        <v>1270</v>
      </c>
      <c r="MB13" s="20" t="n">
        <f aca="false">MA13</f>
        <v>1270</v>
      </c>
      <c r="MC13" s="20" t="n">
        <f aca="false">MB13</f>
        <v>1270</v>
      </c>
      <c r="MD13" s="20" t="n">
        <f aca="false">MC13</f>
        <v>1270</v>
      </c>
      <c r="ME13" s="20" t="n">
        <f aca="false">IF(H_Direct=1,IF(BR13&lt;=0,I13-BR13*AKR12,I13-MIN(MIN(BR13*AKR12,H13+I13),I13)),I13)</f>
        <v>0</v>
      </c>
      <c r="MF13" s="20" t="n">
        <f aca="false">IF(H_Direct=1,IF(BS13&lt;=0,ME13-BS13*AKS12,ME13-MIN(MIN(BS13*AKS12,IR13+ME13),ME13)),ME13)</f>
        <v>0</v>
      </c>
      <c r="MG13" s="20" t="n">
        <f aca="false">IF(H_Direct=1,IF(BT13&lt;=0,MF13-BT13*AKT12,MF13-MIN(MIN(BT13*AKT12,IS13+MF13),MF13)),MF13)</f>
        <v>0</v>
      </c>
      <c r="MH13" s="20" t="n">
        <f aca="false">IF(H_Direct=1,IF(BU13&lt;=0,MG13-BU13*AKU12,MG13-MIN(MIN(BU13*AKU12,IT13+MG13),MG13)),MG13)</f>
        <v>0</v>
      </c>
      <c r="MI13" s="20" t="n">
        <f aca="false">IF(H_Direct=1,IF(BV13&lt;=0,MH13-BV13*AKV12,MH13-MIN(MIN(BV13*AKV12,IU13+MH13),MH13)),MH13)</f>
        <v>0</v>
      </c>
      <c r="MJ13" s="20" t="n">
        <f aca="false">IF(H_Direct=1,IF(BW13&lt;=0,MI13-BW13*AKW12,MI13-MIN(MIN(BW13*AKW12,IV13+MI13),MI13)),MI13)</f>
        <v>0</v>
      </c>
      <c r="MK13" s="20" t="n">
        <f aca="false">IF(H_Direct=1,IF(BX13&lt;=0,MJ13-BX13*(P13+S13),MJ13-MIN(MIN(BX13*(P13+S13),IW13+MJ13),MJ13)),MJ13)</f>
        <v>0</v>
      </c>
      <c r="ML13" s="20" t="n">
        <f aca="false">MK13</f>
        <v>0</v>
      </c>
      <c r="MM13" s="20" t="n">
        <f aca="false">ML13</f>
        <v>0</v>
      </c>
      <c r="MN13" s="20" t="n">
        <f aca="false">MM13</f>
        <v>0</v>
      </c>
      <c r="MO13" s="20" t="n">
        <f aca="false">MN13</f>
        <v>0</v>
      </c>
      <c r="MP13" s="20" t="n">
        <f aca="false">MO13</f>
        <v>0</v>
      </c>
      <c r="MQ13" s="20" t="n">
        <f aca="false">MP13</f>
        <v>0</v>
      </c>
      <c r="MR13" s="20" t="n">
        <f aca="false">MQ13</f>
        <v>0</v>
      </c>
      <c r="MS13" s="20" t="n">
        <f aca="false">MR13</f>
        <v>0</v>
      </c>
      <c r="MT13" s="20" t="n">
        <f aca="false">MS13</f>
        <v>0</v>
      </c>
      <c r="MU13" s="20" t="n">
        <f aca="false">MT13</f>
        <v>0</v>
      </c>
      <c r="MV13" s="20" t="n">
        <f aca="false">MU13</f>
        <v>0</v>
      </c>
      <c r="MW13" s="20" t="n">
        <f aca="false">MV13</f>
        <v>0</v>
      </c>
      <c r="MX13" s="20" t="n">
        <f aca="false">MW13</f>
        <v>0</v>
      </c>
      <c r="MY13" s="20" t="n">
        <f aca="false">MX13</f>
        <v>0</v>
      </c>
      <c r="MZ13" s="20" t="n">
        <f aca="false">MY13</f>
        <v>0</v>
      </c>
      <c r="NA13" s="20" t="n">
        <f aca="false">MZ13</f>
        <v>0</v>
      </c>
      <c r="NB13" s="20" t="n">
        <f aca="false">NA13</f>
        <v>0</v>
      </c>
      <c r="NC13" s="20" t="n">
        <f aca="false">NB13</f>
        <v>0</v>
      </c>
      <c r="ND13" s="20" t="n">
        <f aca="false">NC13</f>
        <v>0</v>
      </c>
      <c r="NE13" s="20" t="n">
        <f aca="false">ND13</f>
        <v>0</v>
      </c>
      <c r="NF13" s="20" t="n">
        <f aca="false">NE13</f>
        <v>0</v>
      </c>
      <c r="NG13" s="20" t="n">
        <f aca="false">NF13</f>
        <v>0</v>
      </c>
      <c r="NH13" s="20" t="n">
        <f aca="false">NG13</f>
        <v>0</v>
      </c>
      <c r="NI13" s="20" t="n">
        <f aca="false">NH13</f>
        <v>0</v>
      </c>
      <c r="NJ13" s="20" t="n">
        <f aca="false">NI13</f>
        <v>0</v>
      </c>
      <c r="NK13" s="20" t="n">
        <f aca="false">NJ13</f>
        <v>0</v>
      </c>
      <c r="NL13" s="20" t="n">
        <f aca="false">NK13</f>
        <v>0</v>
      </c>
      <c r="NM13" s="20" t="n">
        <f aca="false">NL13</f>
        <v>0</v>
      </c>
      <c r="NN13" s="20" t="n">
        <f aca="false">NM13</f>
        <v>0</v>
      </c>
      <c r="NO13" s="20" t="n">
        <f aca="false">NN13</f>
        <v>0</v>
      </c>
      <c r="NP13" s="20" t="n">
        <f aca="false">NO13</f>
        <v>0</v>
      </c>
      <c r="NQ13" s="20" t="n">
        <f aca="false">NP13</f>
        <v>0</v>
      </c>
      <c r="NR13" s="20" t="n">
        <f aca="false">NQ13</f>
        <v>0</v>
      </c>
      <c r="NS13" s="20" t="n">
        <f aca="false">NR13</f>
        <v>0</v>
      </c>
      <c r="NT13" s="20" t="n">
        <f aca="false">NS13</f>
        <v>0</v>
      </c>
      <c r="NU13" s="20" t="n">
        <f aca="false">NT13</f>
        <v>0</v>
      </c>
      <c r="NV13" s="20" t="n">
        <f aca="false">NU13</f>
        <v>0</v>
      </c>
      <c r="NW13" s="20" t="n">
        <f aca="false">NV13</f>
        <v>0</v>
      </c>
      <c r="NX13" s="20" t="n">
        <f aca="false">NW13</f>
        <v>0</v>
      </c>
      <c r="NY13" s="20" t="n">
        <f aca="false">NX13</f>
        <v>0</v>
      </c>
      <c r="NZ13" s="20" t="n">
        <f aca="false">NY13</f>
        <v>0</v>
      </c>
      <c r="OA13" s="20" t="n">
        <f aca="false">NZ13</f>
        <v>0</v>
      </c>
      <c r="OB13" s="20" t="n">
        <f aca="false">OA13</f>
        <v>0</v>
      </c>
      <c r="OC13" s="20" t="n">
        <f aca="false">OB13</f>
        <v>0</v>
      </c>
      <c r="OD13" s="20" t="n">
        <f aca="false">OC13</f>
        <v>0</v>
      </c>
      <c r="OE13" s="20" t="n">
        <f aca="false">OD13</f>
        <v>0</v>
      </c>
      <c r="OF13" s="20" t="n">
        <f aca="false">OE13</f>
        <v>0</v>
      </c>
      <c r="OG13" s="20" t="n">
        <f aca="false">OF13</f>
        <v>0</v>
      </c>
      <c r="OH13" s="20" t="n">
        <f aca="false">OG13</f>
        <v>0</v>
      </c>
      <c r="OI13" s="20" t="n">
        <f aca="false">OH13</f>
        <v>0</v>
      </c>
      <c r="OJ13" s="20" t="n">
        <f aca="false">OI13</f>
        <v>0</v>
      </c>
      <c r="OK13" s="20" t="n">
        <f aca="false">OJ13</f>
        <v>0</v>
      </c>
      <c r="OL13" s="20" t="n">
        <f aca="false">OK13</f>
        <v>0</v>
      </c>
      <c r="OM13" s="20" t="n">
        <f aca="false">OL13</f>
        <v>0</v>
      </c>
      <c r="ON13" s="20" t="n">
        <f aca="false">OM13</f>
        <v>0</v>
      </c>
      <c r="OO13" s="20" t="n">
        <f aca="false">ON13</f>
        <v>0</v>
      </c>
      <c r="OP13" s="20" t="n">
        <f aca="false">OO13</f>
        <v>0</v>
      </c>
      <c r="OQ13" s="20" t="n">
        <f aca="false">OP13</f>
        <v>0</v>
      </c>
      <c r="OR13" s="20" t="n">
        <f aca="false">OQ13</f>
        <v>0</v>
      </c>
      <c r="OS13" s="20" t="n">
        <f aca="false">OR13</f>
        <v>0</v>
      </c>
      <c r="OT13" s="20" t="n">
        <f aca="false">OS13</f>
        <v>0</v>
      </c>
      <c r="OU13" s="20" t="n">
        <f aca="false">OT13</f>
        <v>0</v>
      </c>
      <c r="OV13" s="20" t="n">
        <f aca="false">OU13</f>
        <v>0</v>
      </c>
      <c r="OW13" s="20" t="n">
        <f aca="false">OV13</f>
        <v>0</v>
      </c>
      <c r="OX13" s="20" t="n">
        <f aca="false">OW13</f>
        <v>0</v>
      </c>
      <c r="OY13" s="20" t="n">
        <f aca="false">OX13</f>
        <v>0</v>
      </c>
      <c r="OZ13" s="20" t="n">
        <f aca="false">OY13</f>
        <v>0</v>
      </c>
      <c r="PA13" s="20" t="n">
        <f aca="false">OZ13</f>
        <v>0</v>
      </c>
      <c r="PB13" s="20" t="n">
        <f aca="false">PA13</f>
        <v>0</v>
      </c>
      <c r="PC13" s="20" t="n">
        <f aca="false">PB13</f>
        <v>0</v>
      </c>
      <c r="PD13" s="20" t="n">
        <f aca="false">PC13</f>
        <v>0</v>
      </c>
      <c r="PE13" s="20" t="n">
        <f aca="false">PD13</f>
        <v>0</v>
      </c>
      <c r="PF13" s="20" t="n">
        <f aca="false">PE13</f>
        <v>0</v>
      </c>
      <c r="PG13" s="20" t="n">
        <f aca="false">PF13</f>
        <v>0</v>
      </c>
      <c r="PH13" s="20" t="n">
        <f aca="false">PG13</f>
        <v>0</v>
      </c>
      <c r="PI13" s="20" t="n">
        <f aca="false">PH13</f>
        <v>0</v>
      </c>
      <c r="PJ13" s="20" t="n">
        <f aca="false">PI13</f>
        <v>0</v>
      </c>
      <c r="PK13" s="20" t="n">
        <f aca="false">PJ13</f>
        <v>0</v>
      </c>
      <c r="PL13" s="20" t="n">
        <f aca="false">PK13</f>
        <v>0</v>
      </c>
      <c r="PM13" s="20" t="n">
        <f aca="false">PL13</f>
        <v>0</v>
      </c>
      <c r="PN13" s="20" t="n">
        <f aca="false">PM13</f>
        <v>0</v>
      </c>
      <c r="PO13" s="20" t="n">
        <f aca="false">PN13</f>
        <v>0</v>
      </c>
      <c r="PP13" s="20" t="n">
        <f aca="false">PO13</f>
        <v>0</v>
      </c>
      <c r="PQ13" s="20" t="n">
        <f aca="false">PP13</f>
        <v>0</v>
      </c>
      <c r="PR13" s="20" t="n">
        <f aca="false">IF(H_Direct=1,IF(AKR12&lt;=0,0,IF(BR13&lt;=0,MIN(MAX(0,AB13),AKR12),MIN(MAX(0,AB13),AKR12-G13*MAX(0,BR13*AKR12-(H13+I13))))),MIN(FE13,MAX(0,AB13)))</f>
        <v>0</v>
      </c>
      <c r="PS13" s="20" t="n">
        <f aca="false">IF(H_Direct=1,IF(AKS12&lt;=0,0,IF(BS13&lt;=0,MIN(MAX(0,AB13-SUM(PR13:PR13)),AKS12),MIN(MAX(0,AB13-SUM(PR13:PR13)),AKS12-G13*MAX(0,BS13*AKS12-(WR13+AAE13))))),MIN(FF13,MAX(0,AB13-SUM(PR13:PR13))))</f>
        <v>0</v>
      </c>
      <c r="PT13" s="20" t="n">
        <f aca="false">IF(H_Direct=1,IF(AKT12&lt;=0,0,IF(BT13&lt;=0,MIN(MAX(0,AB13-SUM(PR13:PS13)),AKT12),MIN(MAX(0,AB13-SUM(PR13:PS13)),AKT12-G13*MAX(0,BT13*AKT12-(WS13+AAF13))))),MIN(FG13,MAX(0,AB13-SUM(PR13:PS13))))</f>
        <v>0</v>
      </c>
      <c r="PU13" s="20" t="n">
        <f aca="false">IF(H_Direct=1,IF(AKU12&lt;=0,0,IF(BU13&lt;=0,MIN(MAX(0,AB13-SUM(PR13:PT13)),AKU12),MIN(MAX(0,AB13-SUM(PR13:PT13)),AKU12-G13*MAX(0,BU13*AKU12-(WT13+AAG13))))),MIN(FH13,MAX(0,AB13-SUM(PR13:PT13))))</f>
        <v>0</v>
      </c>
      <c r="PV13" s="20" t="n">
        <f aca="false">IF(H_Direct=1,IF(AKV12&lt;=0,0,IF(BV13&lt;=0,MIN(MAX(0,AB13-SUM(PR13:PU13)),AKV12),MIN(MAX(0,AB13-SUM(PR13:PU13)),AKV12-G13*MAX(0,BV13*AKV12-(WU13+AAH13))))),MIN(FI13,MAX(0,AB13-SUM(PR13:PU13))))</f>
        <v>0</v>
      </c>
      <c r="PW13" s="20" t="n">
        <f aca="false">IF(H_Direct=1,IF(AKW12&lt;=0,0,IF(BW13&lt;=0,MIN(MAX(0,AB13-SUM(PR13:PV13)),AKW12),MIN(MAX(0,AB13-SUM(PR13:PV13)),AKW12-G13*MAX(0,BW13*AKW12-(WV13+AAI13))))),MIN(FJ13,MAX(0,AB13-SUM(PR13:PV13))))</f>
        <v>0</v>
      </c>
      <c r="PX13" s="20" t="n">
        <f aca="false">IF(H_Direct=1,IF((P13+S13)&lt;=0,0,IF(BX13&lt;=0,MIN(MAX(0,AB13-SUM(PR13:PW13)),(P13+S13)),MIN(MAX(0,AB13-SUM(PR13:PW13)),(P13+S13)-G13*MAX(0,BX13*(P13+S13)-(WW13+AAJ13))))),MIN(FK13,MAX(0,AB13-SUM(PR13:PW13))))</f>
        <v>0</v>
      </c>
      <c r="PY13" s="20" t="n">
        <v>0</v>
      </c>
      <c r="PZ13" s="20" t="n">
        <v>0</v>
      </c>
      <c r="QA13" s="20" t="n">
        <v>0</v>
      </c>
      <c r="QB13" s="20" t="n">
        <v>0</v>
      </c>
      <c r="QC13" s="20" t="n">
        <v>0</v>
      </c>
      <c r="QD13" s="20" t="n">
        <v>0</v>
      </c>
      <c r="QE13" s="20" t="n">
        <v>0</v>
      </c>
      <c r="QF13" s="20" t="n">
        <v>0</v>
      </c>
      <c r="QG13" s="20" t="n">
        <v>0</v>
      </c>
      <c r="QH13" s="20" t="n">
        <v>0</v>
      </c>
      <c r="QI13" s="20" t="n">
        <v>0</v>
      </c>
      <c r="QJ13" s="20" t="n">
        <v>0</v>
      </c>
      <c r="QK13" s="20" t="n">
        <v>0</v>
      </c>
      <c r="QL13" s="20" t="n">
        <v>0</v>
      </c>
      <c r="QM13" s="20" t="n">
        <v>0</v>
      </c>
      <c r="QN13" s="20" t="n">
        <v>0</v>
      </c>
      <c r="QO13" s="20" t="n">
        <v>0</v>
      </c>
      <c r="QP13" s="20" t="n">
        <v>0</v>
      </c>
      <c r="QQ13" s="20" t="n">
        <v>0</v>
      </c>
      <c r="QR13" s="20" t="n">
        <v>0</v>
      </c>
      <c r="QS13" s="20" t="n">
        <v>0</v>
      </c>
      <c r="QT13" s="20" t="n">
        <v>0</v>
      </c>
      <c r="QU13" s="20" t="n">
        <v>0</v>
      </c>
      <c r="QV13" s="20" t="n">
        <v>0</v>
      </c>
      <c r="QW13" s="20" t="n">
        <v>0</v>
      </c>
      <c r="QX13" s="20" t="n">
        <v>0</v>
      </c>
      <c r="QY13" s="20" t="n">
        <v>0</v>
      </c>
      <c r="QZ13" s="20" t="n">
        <v>0</v>
      </c>
      <c r="RA13" s="20" t="n">
        <v>0</v>
      </c>
      <c r="RB13" s="20" t="n">
        <v>0</v>
      </c>
      <c r="RC13" s="20" t="n">
        <v>0</v>
      </c>
      <c r="RD13" s="20" t="n">
        <v>0</v>
      </c>
      <c r="RE13" s="20" t="n">
        <v>0</v>
      </c>
      <c r="RF13" s="20" t="n">
        <v>0</v>
      </c>
      <c r="RG13" s="20" t="n">
        <v>0</v>
      </c>
      <c r="RH13" s="20" t="n">
        <v>0</v>
      </c>
      <c r="RI13" s="20" t="n">
        <v>0</v>
      </c>
      <c r="RJ13" s="20" t="n">
        <v>0</v>
      </c>
      <c r="RK13" s="20" t="n">
        <v>0</v>
      </c>
      <c r="RL13" s="20" t="n">
        <v>0</v>
      </c>
      <c r="RM13" s="20" t="n">
        <v>0</v>
      </c>
      <c r="RN13" s="20" t="n">
        <v>0</v>
      </c>
      <c r="RO13" s="20" t="n">
        <v>0</v>
      </c>
      <c r="RP13" s="20" t="n">
        <v>0</v>
      </c>
      <c r="RQ13" s="20" t="n">
        <v>0</v>
      </c>
      <c r="RR13" s="20" t="n">
        <v>0</v>
      </c>
      <c r="RS13" s="20" t="n">
        <v>0</v>
      </c>
      <c r="RT13" s="20" t="n">
        <v>0</v>
      </c>
      <c r="RU13" s="20" t="n">
        <v>0</v>
      </c>
      <c r="RV13" s="20" t="n">
        <v>0</v>
      </c>
      <c r="RW13" s="20" t="n">
        <v>0</v>
      </c>
      <c r="RX13" s="20" t="n">
        <v>0</v>
      </c>
      <c r="RY13" s="20" t="n">
        <v>0</v>
      </c>
      <c r="RZ13" s="20" t="n">
        <v>0</v>
      </c>
      <c r="SA13" s="20" t="n">
        <v>0</v>
      </c>
      <c r="SB13" s="20" t="n">
        <v>0</v>
      </c>
      <c r="SC13" s="20" t="n">
        <v>0</v>
      </c>
      <c r="SD13" s="20" t="n">
        <v>0</v>
      </c>
      <c r="SE13" s="20" t="n">
        <v>0</v>
      </c>
      <c r="SF13" s="20" t="n">
        <v>0</v>
      </c>
      <c r="SG13" s="20" t="n">
        <v>0</v>
      </c>
      <c r="SH13" s="20" t="n">
        <v>0</v>
      </c>
      <c r="SI13" s="20" t="n">
        <v>0</v>
      </c>
      <c r="SJ13" s="20" t="n">
        <v>0</v>
      </c>
      <c r="SK13" s="20" t="n">
        <v>0</v>
      </c>
      <c r="SL13" s="20" t="n">
        <v>0</v>
      </c>
      <c r="SM13" s="20" t="n">
        <v>0</v>
      </c>
      <c r="SN13" s="20" t="n">
        <v>0</v>
      </c>
      <c r="SO13" s="20" t="n">
        <v>0</v>
      </c>
      <c r="SP13" s="20" t="n">
        <v>0</v>
      </c>
      <c r="SQ13" s="20" t="n">
        <v>0</v>
      </c>
      <c r="SR13" s="20" t="n">
        <v>0</v>
      </c>
      <c r="SS13" s="20" t="n">
        <v>0</v>
      </c>
      <c r="ST13" s="20" t="n">
        <v>0</v>
      </c>
      <c r="SU13" s="20" t="n">
        <v>0</v>
      </c>
      <c r="SV13" s="20" t="n">
        <v>0</v>
      </c>
      <c r="SW13" s="20" t="n">
        <v>0</v>
      </c>
      <c r="SX13" s="20" t="n">
        <v>0</v>
      </c>
      <c r="SY13" s="20" t="n">
        <v>0</v>
      </c>
      <c r="SZ13" s="20" t="n">
        <v>0</v>
      </c>
      <c r="TA13" s="20" t="n">
        <v>0</v>
      </c>
      <c r="TB13" s="20" t="n">
        <v>0</v>
      </c>
      <c r="TC13" s="20" t="n">
        <v>0</v>
      </c>
      <c r="TD13" s="20" t="n">
        <v>0</v>
      </c>
      <c r="TE13" s="20" t="n">
        <f aca="false">IF(AKR12&lt;=0,0,IF(H_Direct=1,IF(BR13&lt;=0,PR13,IF(PR13&lt;=(H13+I13)/BR13,PR13,(PR13-G13*(H13+I13))/(1-G13*BR13))),PR13/(1-MAX(0,BR13)*H_Exit)))</f>
        <v>0</v>
      </c>
      <c r="TF13" s="20" t="n">
        <f aca="false">IF(AKS12&lt;=0,0,IF(H_Direct=1,IF(BS13&lt;=0,PS13,IF(PS13&lt;=(WR13+AAE13)/BS13,PS13,(PS13-G13*(WR13+AAE13))/(1-G13*BS13))),PS13/(1-MAX(0,BS13)*H_Exit)))</f>
        <v>0</v>
      </c>
      <c r="TG13" s="20" t="n">
        <f aca="false">IF(AKT12&lt;=0,0,IF(H_Direct=1,IF(BT13&lt;=0,PT13,IF(PT13&lt;=(WS13+AAF13)/BT13,PT13,(PT13-G13*(WS13+AAF13))/(1-G13*BT13))),PT13/(1-MAX(0,BT13)*H_Exit)))</f>
        <v>0</v>
      </c>
      <c r="TH13" s="20" t="n">
        <f aca="false">IF(AKU12&lt;=0,0,IF(H_Direct=1,IF(BU13&lt;=0,PU13,IF(PU13&lt;=(WT13+AAG13)/BU13,PU13,(PU13-G13*(WT13+AAG13))/(1-G13*BU13))),PU13/(1-MAX(0,BU13)*H_Exit)))</f>
        <v>0</v>
      </c>
      <c r="TI13" s="20" t="n">
        <f aca="false">IF(AKV12&lt;=0,0,IF(H_Direct=1,IF(BV13&lt;=0,PV13,IF(PV13&lt;=(WU13+AAH13)/BV13,PV13,(PV13-G13*(WU13+AAH13))/(1-G13*BV13))),PV13/(1-MAX(0,BV13)*H_Exit)))</f>
        <v>0</v>
      </c>
      <c r="TJ13" s="20" t="n">
        <f aca="false">IF(AKW12&lt;=0,0,IF(H_Direct=1,IF(BW13&lt;=0,PW13,IF(PW13&lt;=(WV13+AAI13)/BW13,PW13,(PW13-G13*(WV13+AAI13))/(1-G13*BW13))),PW13/(1-MAX(0,BW13)*H_Exit)))</f>
        <v>0</v>
      </c>
      <c r="TK13" s="20" t="n">
        <f aca="false">IF((P13+S13)&lt;=0,0,IF(H_Direct=1,IF(BX13&lt;=0,PX13,IF(PX13&lt;=(WW13+AAJ13)/BX13,PX13,(PX13-G13*(WW13+AAJ13))/(1-G13*BX13))),PX13/(1-MAX(0,BX13)*H_Exit)))</f>
        <v>0</v>
      </c>
      <c r="TL13" s="20" t="n">
        <v>0</v>
      </c>
      <c r="TM13" s="20" t="n">
        <v>0</v>
      </c>
      <c r="TN13" s="20" t="n">
        <v>0</v>
      </c>
      <c r="TO13" s="20" t="n">
        <v>0</v>
      </c>
      <c r="TP13" s="20" t="n">
        <v>0</v>
      </c>
      <c r="TQ13" s="20" t="n">
        <v>0</v>
      </c>
      <c r="TR13" s="20" t="n">
        <v>0</v>
      </c>
      <c r="TS13" s="20" t="n">
        <v>0</v>
      </c>
      <c r="TT13" s="20" t="n">
        <v>0</v>
      </c>
      <c r="TU13" s="20" t="n">
        <v>0</v>
      </c>
      <c r="TV13" s="20" t="n">
        <v>0</v>
      </c>
      <c r="TW13" s="20" t="n">
        <v>0</v>
      </c>
      <c r="TX13" s="20" t="n">
        <v>0</v>
      </c>
      <c r="TY13" s="20" t="n">
        <v>0</v>
      </c>
      <c r="TZ13" s="20" t="n">
        <v>0</v>
      </c>
      <c r="UA13" s="20" t="n">
        <v>0</v>
      </c>
      <c r="UB13" s="20" t="n">
        <v>0</v>
      </c>
      <c r="UC13" s="20" t="n">
        <v>0</v>
      </c>
      <c r="UD13" s="20" t="n">
        <v>0</v>
      </c>
      <c r="UE13" s="20" t="n">
        <v>0</v>
      </c>
      <c r="UF13" s="20" t="n">
        <v>0</v>
      </c>
      <c r="UG13" s="20" t="n">
        <v>0</v>
      </c>
      <c r="UH13" s="20" t="n">
        <v>0</v>
      </c>
      <c r="UI13" s="20" t="n">
        <v>0</v>
      </c>
      <c r="UJ13" s="20" t="n">
        <v>0</v>
      </c>
      <c r="UK13" s="20" t="n">
        <v>0</v>
      </c>
      <c r="UL13" s="20" t="n">
        <v>0</v>
      </c>
      <c r="UM13" s="20" t="n">
        <v>0</v>
      </c>
      <c r="UN13" s="20" t="n">
        <v>0</v>
      </c>
      <c r="UO13" s="20" t="n">
        <v>0</v>
      </c>
      <c r="UP13" s="20" t="n">
        <v>0</v>
      </c>
      <c r="UQ13" s="20" t="n">
        <v>0</v>
      </c>
      <c r="UR13" s="20" t="n">
        <v>0</v>
      </c>
      <c r="US13" s="20" t="n">
        <v>0</v>
      </c>
      <c r="UT13" s="20" t="n">
        <v>0</v>
      </c>
      <c r="UU13" s="20" t="n">
        <v>0</v>
      </c>
      <c r="UV13" s="20" t="n">
        <v>0</v>
      </c>
      <c r="UW13" s="20" t="n">
        <v>0</v>
      </c>
      <c r="UX13" s="20" t="n">
        <v>0</v>
      </c>
      <c r="UY13" s="20" t="n">
        <v>0</v>
      </c>
      <c r="UZ13" s="20" t="n">
        <v>0</v>
      </c>
      <c r="VA13" s="20" t="n">
        <v>0</v>
      </c>
      <c r="VB13" s="20" t="n">
        <v>0</v>
      </c>
      <c r="VC13" s="20" t="n">
        <v>0</v>
      </c>
      <c r="VD13" s="20" t="n">
        <v>0</v>
      </c>
      <c r="VE13" s="20" t="n">
        <v>0</v>
      </c>
      <c r="VF13" s="20" t="n">
        <v>0</v>
      </c>
      <c r="VG13" s="20" t="n">
        <v>0</v>
      </c>
      <c r="VH13" s="20" t="n">
        <v>0</v>
      </c>
      <c r="VI13" s="20" t="n">
        <v>0</v>
      </c>
      <c r="VJ13" s="20" t="n">
        <v>0</v>
      </c>
      <c r="VK13" s="20" t="n">
        <v>0</v>
      </c>
      <c r="VL13" s="20" t="n">
        <v>0</v>
      </c>
      <c r="VM13" s="20" t="n">
        <v>0</v>
      </c>
      <c r="VN13" s="20" t="n">
        <v>0</v>
      </c>
      <c r="VO13" s="20" t="n">
        <v>0</v>
      </c>
      <c r="VP13" s="20" t="n">
        <v>0</v>
      </c>
      <c r="VQ13" s="20" t="n">
        <v>0</v>
      </c>
      <c r="VR13" s="20" t="n">
        <v>0</v>
      </c>
      <c r="VS13" s="20" t="n">
        <v>0</v>
      </c>
      <c r="VT13" s="20" t="n">
        <v>0</v>
      </c>
      <c r="VU13" s="20" t="n">
        <v>0</v>
      </c>
      <c r="VV13" s="20" t="n">
        <v>0</v>
      </c>
      <c r="VW13" s="20" t="n">
        <v>0</v>
      </c>
      <c r="VX13" s="20" t="n">
        <v>0</v>
      </c>
      <c r="VY13" s="20" t="n">
        <v>0</v>
      </c>
      <c r="VZ13" s="20" t="n">
        <v>0</v>
      </c>
      <c r="WA13" s="20" t="n">
        <v>0</v>
      </c>
      <c r="WB13" s="20" t="n">
        <v>0</v>
      </c>
      <c r="WC13" s="20" t="n">
        <v>0</v>
      </c>
      <c r="WD13" s="20" t="n">
        <v>0</v>
      </c>
      <c r="WE13" s="20" t="n">
        <v>0</v>
      </c>
      <c r="WF13" s="20" t="n">
        <v>0</v>
      </c>
      <c r="WG13" s="20" t="n">
        <v>0</v>
      </c>
      <c r="WH13" s="20" t="n">
        <v>0</v>
      </c>
      <c r="WI13" s="20" t="n">
        <v>0</v>
      </c>
      <c r="WJ13" s="20" t="n">
        <v>0</v>
      </c>
      <c r="WK13" s="20" t="n">
        <v>0</v>
      </c>
      <c r="WL13" s="20" t="n">
        <v>0</v>
      </c>
      <c r="WM13" s="20" t="n">
        <v>0</v>
      </c>
      <c r="WN13" s="20" t="n">
        <v>0</v>
      </c>
      <c r="WO13" s="20" t="n">
        <v>0</v>
      </c>
      <c r="WP13" s="20" t="n">
        <v>0</v>
      </c>
      <c r="WQ13" s="20" t="n">
        <v>0</v>
      </c>
      <c r="WR13" s="20" t="n">
        <f aca="false">IF(AND(H_Direct=1,BR13&gt;0),MAX(0,H13-(MIN(BR13*TE13,(H13+I13))-MIN(MIN(BR13*TE13,(H13+I13)),I13))),H13)</f>
        <v>1270</v>
      </c>
      <c r="WS13" s="20" t="n">
        <f aca="false">IF(AND(H_Direct=1,BS13&gt;0),MAX(0,WR13-(MIN(BS13*TF13,(WR13+AAE13))-MIN(MIN(BS13*TF13,(WR13+AAE13)),AAE13))),WR13)</f>
        <v>1270</v>
      </c>
      <c r="WT13" s="20" t="n">
        <f aca="false">IF(AND(H_Direct=1,BT13&gt;0),MAX(0,WS13-(MIN(BT13*TG13,(WS13+AAF13))-MIN(MIN(BT13*TG13,(WS13+AAF13)),AAF13))),WS13)</f>
        <v>1270</v>
      </c>
      <c r="WU13" s="20" t="n">
        <f aca="false">IF(AND(H_Direct=1,BU13&gt;0),MAX(0,WT13-(MIN(BU13*TH13,(WT13+AAG13))-MIN(MIN(BU13*TH13,(WT13+AAG13)),AAG13))),WT13)</f>
        <v>1270</v>
      </c>
      <c r="WV13" s="20" t="n">
        <f aca="false">IF(AND(H_Direct=1,BV13&gt;0),MAX(0,WU13-(MIN(BV13*TI13,(WU13+AAH13))-MIN(MIN(BV13*TI13,(WU13+AAH13)),AAH13))),WU13)</f>
        <v>1270</v>
      </c>
      <c r="WW13" s="20" t="n">
        <f aca="false">IF(AND(H_Direct=1,BW13&gt;0),MAX(0,WV13-(MIN(BW13*TJ13,(WV13+AAI13))-MIN(MIN(BW13*TJ13,(WV13+AAI13)),AAI13))),WV13)</f>
        <v>1270</v>
      </c>
      <c r="WX13" s="20" t="n">
        <f aca="false">IF(AND(H_Direct=1,BX13&gt;0),MAX(0,WW13-(MIN(BX13*TK13,(WW13+AAJ13))-MIN(MIN(BX13*TK13,(WW13+AAJ13)),AAJ13))),WW13)</f>
        <v>1270</v>
      </c>
      <c r="WY13" s="20" t="n">
        <f aca="false">WX13</f>
        <v>1270</v>
      </c>
      <c r="WZ13" s="20" t="n">
        <f aca="false">WY13</f>
        <v>1270</v>
      </c>
      <c r="XA13" s="20" t="n">
        <f aca="false">WZ13</f>
        <v>1270</v>
      </c>
      <c r="XB13" s="20" t="n">
        <f aca="false">XA13</f>
        <v>1270</v>
      </c>
      <c r="XC13" s="20" t="n">
        <f aca="false">XB13</f>
        <v>1270</v>
      </c>
      <c r="XD13" s="20" t="n">
        <f aca="false">XC13</f>
        <v>1270</v>
      </c>
      <c r="XE13" s="20" t="n">
        <f aca="false">XD13</f>
        <v>1270</v>
      </c>
      <c r="XF13" s="20" t="n">
        <f aca="false">XE13</f>
        <v>1270</v>
      </c>
      <c r="XG13" s="20" t="n">
        <f aca="false">XF13</f>
        <v>1270</v>
      </c>
      <c r="XH13" s="20" t="n">
        <f aca="false">XG13</f>
        <v>1270</v>
      </c>
      <c r="XI13" s="20" t="n">
        <f aca="false">XH13</f>
        <v>1270</v>
      </c>
      <c r="XJ13" s="20" t="n">
        <f aca="false">XI13</f>
        <v>1270</v>
      </c>
      <c r="XK13" s="20" t="n">
        <f aca="false">XJ13</f>
        <v>1270</v>
      </c>
      <c r="XL13" s="20" t="n">
        <f aca="false">XK13</f>
        <v>1270</v>
      </c>
      <c r="XM13" s="20" t="n">
        <f aca="false">XL13</f>
        <v>1270</v>
      </c>
      <c r="XN13" s="20" t="n">
        <f aca="false">XM13</f>
        <v>1270</v>
      </c>
      <c r="XO13" s="20" t="n">
        <f aca="false">XN13</f>
        <v>1270</v>
      </c>
      <c r="XP13" s="20" t="n">
        <f aca="false">XO13</f>
        <v>1270</v>
      </c>
      <c r="XQ13" s="20" t="n">
        <f aca="false">XP13</f>
        <v>1270</v>
      </c>
      <c r="XR13" s="20" t="n">
        <f aca="false">XQ13</f>
        <v>1270</v>
      </c>
      <c r="XS13" s="20" t="n">
        <f aca="false">XR13</f>
        <v>1270</v>
      </c>
      <c r="XT13" s="20" t="n">
        <f aca="false">XS13</f>
        <v>1270</v>
      </c>
      <c r="XU13" s="20" t="n">
        <f aca="false">XT13</f>
        <v>1270</v>
      </c>
      <c r="XV13" s="20" t="n">
        <f aca="false">XU13</f>
        <v>1270</v>
      </c>
      <c r="XW13" s="20" t="n">
        <f aca="false">XV13</f>
        <v>1270</v>
      </c>
      <c r="XX13" s="20" t="n">
        <f aca="false">XW13</f>
        <v>1270</v>
      </c>
      <c r="XY13" s="20" t="n">
        <f aca="false">XX13</f>
        <v>1270</v>
      </c>
      <c r="XZ13" s="20" t="n">
        <f aca="false">XY13</f>
        <v>1270</v>
      </c>
      <c r="YA13" s="20" t="n">
        <f aca="false">XZ13</f>
        <v>1270</v>
      </c>
      <c r="YB13" s="20" t="n">
        <f aca="false">YA13</f>
        <v>1270</v>
      </c>
      <c r="YC13" s="20" t="n">
        <f aca="false">YB13</f>
        <v>1270</v>
      </c>
      <c r="YD13" s="20" t="n">
        <f aca="false">YC13</f>
        <v>1270</v>
      </c>
      <c r="YE13" s="20" t="n">
        <f aca="false">YD13</f>
        <v>1270</v>
      </c>
      <c r="YF13" s="20" t="n">
        <f aca="false">YE13</f>
        <v>1270</v>
      </c>
      <c r="YG13" s="20" t="n">
        <f aca="false">YF13</f>
        <v>1270</v>
      </c>
      <c r="YH13" s="20" t="n">
        <f aca="false">YG13</f>
        <v>1270</v>
      </c>
      <c r="YI13" s="20" t="n">
        <f aca="false">YH13</f>
        <v>1270</v>
      </c>
      <c r="YJ13" s="20" t="n">
        <f aca="false">YI13</f>
        <v>1270</v>
      </c>
      <c r="YK13" s="20" t="n">
        <f aca="false">YJ13</f>
        <v>1270</v>
      </c>
      <c r="YL13" s="20" t="n">
        <f aca="false">YK13</f>
        <v>1270</v>
      </c>
      <c r="YM13" s="20" t="n">
        <f aca="false">YL13</f>
        <v>1270</v>
      </c>
      <c r="YN13" s="20" t="n">
        <f aca="false">YM13</f>
        <v>1270</v>
      </c>
      <c r="YO13" s="20" t="n">
        <f aca="false">YN13</f>
        <v>1270</v>
      </c>
      <c r="YP13" s="20" t="n">
        <f aca="false">YO13</f>
        <v>1270</v>
      </c>
      <c r="YQ13" s="20" t="n">
        <f aca="false">YP13</f>
        <v>1270</v>
      </c>
      <c r="YR13" s="20" t="n">
        <f aca="false">YQ13</f>
        <v>1270</v>
      </c>
      <c r="YS13" s="20" t="n">
        <f aca="false">YR13</f>
        <v>1270</v>
      </c>
      <c r="YT13" s="20" t="n">
        <f aca="false">YS13</f>
        <v>1270</v>
      </c>
      <c r="YU13" s="20" t="n">
        <f aca="false">YT13</f>
        <v>1270</v>
      </c>
      <c r="YV13" s="20" t="n">
        <f aca="false">YU13</f>
        <v>1270</v>
      </c>
      <c r="YW13" s="20" t="n">
        <f aca="false">YV13</f>
        <v>1270</v>
      </c>
      <c r="YX13" s="20" t="n">
        <f aca="false">YW13</f>
        <v>1270</v>
      </c>
      <c r="YY13" s="20" t="n">
        <f aca="false">YX13</f>
        <v>1270</v>
      </c>
      <c r="YZ13" s="20" t="n">
        <f aca="false">YY13</f>
        <v>1270</v>
      </c>
      <c r="ZA13" s="20" t="n">
        <f aca="false">YZ13</f>
        <v>1270</v>
      </c>
      <c r="ZB13" s="20" t="n">
        <f aca="false">ZA13</f>
        <v>1270</v>
      </c>
      <c r="ZC13" s="20" t="n">
        <f aca="false">ZB13</f>
        <v>1270</v>
      </c>
      <c r="ZD13" s="20" t="n">
        <f aca="false">ZC13</f>
        <v>1270</v>
      </c>
      <c r="ZE13" s="20" t="n">
        <f aca="false">ZD13</f>
        <v>1270</v>
      </c>
      <c r="ZF13" s="20" t="n">
        <f aca="false">ZE13</f>
        <v>1270</v>
      </c>
      <c r="ZG13" s="20" t="n">
        <f aca="false">ZF13</f>
        <v>1270</v>
      </c>
      <c r="ZH13" s="20" t="n">
        <f aca="false">ZG13</f>
        <v>1270</v>
      </c>
      <c r="ZI13" s="20" t="n">
        <f aca="false">ZH13</f>
        <v>1270</v>
      </c>
      <c r="ZJ13" s="20" t="n">
        <f aca="false">ZI13</f>
        <v>1270</v>
      </c>
      <c r="ZK13" s="20" t="n">
        <f aca="false">ZJ13</f>
        <v>1270</v>
      </c>
      <c r="ZL13" s="20" t="n">
        <f aca="false">ZK13</f>
        <v>1270</v>
      </c>
      <c r="ZM13" s="20" t="n">
        <f aca="false">ZL13</f>
        <v>1270</v>
      </c>
      <c r="ZN13" s="20" t="n">
        <f aca="false">ZM13</f>
        <v>1270</v>
      </c>
      <c r="ZO13" s="20" t="n">
        <f aca="false">ZN13</f>
        <v>1270</v>
      </c>
      <c r="ZP13" s="20" t="n">
        <f aca="false">ZO13</f>
        <v>1270</v>
      </c>
      <c r="ZQ13" s="20" t="n">
        <f aca="false">ZP13</f>
        <v>1270</v>
      </c>
      <c r="ZR13" s="20" t="n">
        <f aca="false">ZQ13</f>
        <v>1270</v>
      </c>
      <c r="ZS13" s="20" t="n">
        <f aca="false">ZR13</f>
        <v>1270</v>
      </c>
      <c r="ZT13" s="20" t="n">
        <f aca="false">ZS13</f>
        <v>1270</v>
      </c>
      <c r="ZU13" s="20" t="n">
        <f aca="false">ZT13</f>
        <v>1270</v>
      </c>
      <c r="ZV13" s="20" t="n">
        <f aca="false">ZU13</f>
        <v>1270</v>
      </c>
      <c r="ZW13" s="20" t="n">
        <f aca="false">ZV13</f>
        <v>1270</v>
      </c>
      <c r="ZX13" s="20" t="n">
        <f aca="false">ZW13</f>
        <v>1270</v>
      </c>
      <c r="ZY13" s="20" t="n">
        <f aca="false">ZX13</f>
        <v>1270</v>
      </c>
      <c r="ZZ13" s="20" t="n">
        <f aca="false">ZY13</f>
        <v>1270</v>
      </c>
      <c r="AAA13" s="20" t="n">
        <f aca="false">ZZ13</f>
        <v>1270</v>
      </c>
      <c r="AAB13" s="20" t="n">
        <f aca="false">AAA13</f>
        <v>1270</v>
      </c>
      <c r="AAC13" s="20" t="n">
        <f aca="false">AAB13</f>
        <v>1270</v>
      </c>
      <c r="AAD13" s="20" t="n">
        <f aca="false">AAC13</f>
        <v>1270</v>
      </c>
      <c r="AAE13" s="20" t="n">
        <f aca="false">IF(H_Direct=1,IF(BR13&lt;=0,I13-BR13*TE13,I13-MIN(MIN(BR13*TE13,(H13+I13)),I13)),I13)</f>
        <v>0</v>
      </c>
      <c r="AAF13" s="20" t="n">
        <f aca="false">IF(H_Direct=1,IF(BS13&lt;=0,AAE13-BS13*TF13,AAE13-MIN(MIN(BS13*TF13,(WR13+AAE13)),AAE13)),AAE13)</f>
        <v>0</v>
      </c>
      <c r="AAG13" s="20" t="n">
        <f aca="false">IF(H_Direct=1,IF(BT13&lt;=0,AAF13-BT13*TG13,AAF13-MIN(MIN(BT13*TG13,(WS13+AAF13)),AAF13)),AAF13)</f>
        <v>0</v>
      </c>
      <c r="AAH13" s="20" t="n">
        <f aca="false">IF(H_Direct=1,IF(BU13&lt;=0,AAG13-BU13*TH13,AAG13-MIN(MIN(BU13*TH13,(WT13+AAG13)),AAG13)),AAG13)</f>
        <v>0</v>
      </c>
      <c r="AAI13" s="20" t="n">
        <f aca="false">IF(H_Direct=1,IF(BV13&lt;=0,AAH13-BV13*TI13,AAH13-MIN(MIN(BV13*TI13,(WU13+AAH13)),AAH13)),AAH13)</f>
        <v>0</v>
      </c>
      <c r="AAJ13" s="20" t="n">
        <f aca="false">IF(H_Direct=1,IF(BW13&lt;=0,AAI13-BW13*TJ13,AAI13-MIN(MIN(BW13*TJ13,(WV13+AAI13)),AAI13)),AAI13)</f>
        <v>0</v>
      </c>
      <c r="AAK13" s="20" t="n">
        <f aca="false">IF(H_Direct=1,IF(BX13&lt;=0,AAJ13-BX13*TK13,AAJ13-MIN(MIN(BX13*TK13,(WW13+AAJ13)),AAJ13)),AAJ13)</f>
        <v>0</v>
      </c>
      <c r="AAL13" s="20" t="n">
        <f aca="false">AAK13</f>
        <v>0</v>
      </c>
      <c r="AAM13" s="20" t="n">
        <f aca="false">AAL13</f>
        <v>0</v>
      </c>
      <c r="AAN13" s="20" t="n">
        <f aca="false">AAM13</f>
        <v>0</v>
      </c>
      <c r="AAO13" s="20" t="n">
        <f aca="false">AAN13</f>
        <v>0</v>
      </c>
      <c r="AAP13" s="20" t="n">
        <f aca="false">AAO13</f>
        <v>0</v>
      </c>
      <c r="AAQ13" s="20" t="n">
        <f aca="false">AAP13</f>
        <v>0</v>
      </c>
      <c r="AAR13" s="20" t="n">
        <f aca="false">AAQ13</f>
        <v>0</v>
      </c>
      <c r="AAS13" s="20" t="n">
        <f aca="false">AAR13</f>
        <v>0</v>
      </c>
      <c r="AAT13" s="20" t="n">
        <f aca="false">AAS13</f>
        <v>0</v>
      </c>
      <c r="AAU13" s="20" t="n">
        <f aca="false">AAT13</f>
        <v>0</v>
      </c>
      <c r="AAV13" s="20" t="n">
        <f aca="false">AAU13</f>
        <v>0</v>
      </c>
      <c r="AAW13" s="20" t="n">
        <f aca="false">AAV13</f>
        <v>0</v>
      </c>
      <c r="AAX13" s="20" t="n">
        <f aca="false">AAW13</f>
        <v>0</v>
      </c>
      <c r="AAY13" s="20" t="n">
        <f aca="false">AAX13</f>
        <v>0</v>
      </c>
      <c r="AAZ13" s="20" t="n">
        <f aca="false">AAY13</f>
        <v>0</v>
      </c>
      <c r="ABA13" s="20" t="n">
        <f aca="false">AAZ13</f>
        <v>0</v>
      </c>
      <c r="ABB13" s="20" t="n">
        <f aca="false">ABA13</f>
        <v>0</v>
      </c>
      <c r="ABC13" s="20" t="n">
        <f aca="false">ABB13</f>
        <v>0</v>
      </c>
      <c r="ABD13" s="20" t="n">
        <f aca="false">ABC13</f>
        <v>0</v>
      </c>
      <c r="ABE13" s="20" t="n">
        <f aca="false">ABD13</f>
        <v>0</v>
      </c>
      <c r="ABF13" s="20" t="n">
        <f aca="false">ABE13</f>
        <v>0</v>
      </c>
      <c r="ABG13" s="20" t="n">
        <f aca="false">ABF13</f>
        <v>0</v>
      </c>
      <c r="ABH13" s="20" t="n">
        <f aca="false">ABG13</f>
        <v>0</v>
      </c>
      <c r="ABI13" s="20" t="n">
        <f aca="false">ABH13</f>
        <v>0</v>
      </c>
      <c r="ABJ13" s="20" t="n">
        <f aca="false">ABI13</f>
        <v>0</v>
      </c>
      <c r="ABK13" s="20" t="n">
        <f aca="false">ABJ13</f>
        <v>0</v>
      </c>
      <c r="ABL13" s="20" t="n">
        <f aca="false">ABK13</f>
        <v>0</v>
      </c>
      <c r="ABM13" s="20" t="n">
        <f aca="false">ABL13</f>
        <v>0</v>
      </c>
      <c r="ABN13" s="20" t="n">
        <f aca="false">ABM13</f>
        <v>0</v>
      </c>
      <c r="ABO13" s="20" t="n">
        <f aca="false">ABN13</f>
        <v>0</v>
      </c>
      <c r="ABP13" s="20" t="n">
        <f aca="false">ABO13</f>
        <v>0</v>
      </c>
      <c r="ABQ13" s="20" t="n">
        <f aca="false">ABP13</f>
        <v>0</v>
      </c>
      <c r="ABR13" s="20" t="n">
        <f aca="false">ABQ13</f>
        <v>0</v>
      </c>
      <c r="ABS13" s="20" t="n">
        <f aca="false">ABR13</f>
        <v>0</v>
      </c>
      <c r="ABT13" s="20" t="n">
        <f aca="false">ABS13</f>
        <v>0</v>
      </c>
      <c r="ABU13" s="20" t="n">
        <f aca="false">ABT13</f>
        <v>0</v>
      </c>
      <c r="ABV13" s="20" t="n">
        <f aca="false">ABU13</f>
        <v>0</v>
      </c>
      <c r="ABW13" s="20" t="n">
        <f aca="false">ABV13</f>
        <v>0</v>
      </c>
      <c r="ABX13" s="20" t="n">
        <f aca="false">ABW13</f>
        <v>0</v>
      </c>
      <c r="ABY13" s="20" t="n">
        <f aca="false">ABX13</f>
        <v>0</v>
      </c>
      <c r="ABZ13" s="20" t="n">
        <f aca="false">ABY13</f>
        <v>0</v>
      </c>
      <c r="ACA13" s="20" t="n">
        <f aca="false">ABZ13</f>
        <v>0</v>
      </c>
      <c r="ACB13" s="20" t="n">
        <f aca="false">ACA13</f>
        <v>0</v>
      </c>
      <c r="ACC13" s="20" t="n">
        <f aca="false">ACB13</f>
        <v>0</v>
      </c>
      <c r="ACD13" s="20" t="n">
        <f aca="false">ACC13</f>
        <v>0</v>
      </c>
      <c r="ACE13" s="20" t="n">
        <f aca="false">ACD13</f>
        <v>0</v>
      </c>
      <c r="ACF13" s="20" t="n">
        <f aca="false">ACE13</f>
        <v>0</v>
      </c>
      <c r="ACG13" s="20" t="n">
        <f aca="false">ACF13</f>
        <v>0</v>
      </c>
      <c r="ACH13" s="20" t="n">
        <f aca="false">ACG13</f>
        <v>0</v>
      </c>
      <c r="ACI13" s="20" t="n">
        <f aca="false">ACH13</f>
        <v>0</v>
      </c>
      <c r="ACJ13" s="20" t="n">
        <f aca="false">ACI13</f>
        <v>0</v>
      </c>
      <c r="ACK13" s="20" t="n">
        <f aca="false">ACJ13</f>
        <v>0</v>
      </c>
      <c r="ACL13" s="20" t="n">
        <f aca="false">ACK13</f>
        <v>0</v>
      </c>
      <c r="ACM13" s="20" t="n">
        <f aca="false">ACL13</f>
        <v>0</v>
      </c>
      <c r="ACN13" s="20" t="n">
        <f aca="false">ACM13</f>
        <v>0</v>
      </c>
      <c r="ACO13" s="20" t="n">
        <f aca="false">ACN13</f>
        <v>0</v>
      </c>
      <c r="ACP13" s="20" t="n">
        <f aca="false">ACO13</f>
        <v>0</v>
      </c>
      <c r="ACQ13" s="20" t="n">
        <f aca="false">ACP13</f>
        <v>0</v>
      </c>
      <c r="ACR13" s="20" t="n">
        <f aca="false">ACQ13</f>
        <v>0</v>
      </c>
      <c r="ACS13" s="20" t="n">
        <f aca="false">ACR13</f>
        <v>0</v>
      </c>
      <c r="ACT13" s="20" t="n">
        <f aca="false">ACS13</f>
        <v>0</v>
      </c>
      <c r="ACU13" s="20" t="n">
        <f aca="false">ACT13</f>
        <v>0</v>
      </c>
      <c r="ACV13" s="20" t="n">
        <f aca="false">ACU13</f>
        <v>0</v>
      </c>
      <c r="ACW13" s="20" t="n">
        <f aca="false">ACV13</f>
        <v>0</v>
      </c>
      <c r="ACX13" s="20" t="n">
        <f aca="false">ACW13</f>
        <v>0</v>
      </c>
      <c r="ACY13" s="20" t="n">
        <f aca="false">ACX13</f>
        <v>0</v>
      </c>
      <c r="ACZ13" s="20" t="n">
        <f aca="false">ACY13</f>
        <v>0</v>
      </c>
      <c r="ADA13" s="20" t="n">
        <f aca="false">ACZ13</f>
        <v>0</v>
      </c>
      <c r="ADB13" s="20" t="n">
        <f aca="false">ADA13</f>
        <v>0</v>
      </c>
      <c r="ADC13" s="20" t="n">
        <f aca="false">ADB13</f>
        <v>0</v>
      </c>
      <c r="ADD13" s="20" t="n">
        <f aca="false">ADC13</f>
        <v>0</v>
      </c>
      <c r="ADE13" s="20" t="n">
        <f aca="false">ADD13</f>
        <v>0</v>
      </c>
      <c r="ADF13" s="20" t="n">
        <f aca="false">ADE13</f>
        <v>0</v>
      </c>
      <c r="ADG13" s="20" t="n">
        <f aca="false">ADF13</f>
        <v>0</v>
      </c>
      <c r="ADH13" s="20" t="n">
        <f aca="false">ADG13</f>
        <v>0</v>
      </c>
      <c r="ADI13" s="20" t="n">
        <f aca="false">ADH13</f>
        <v>0</v>
      </c>
      <c r="ADJ13" s="20" t="n">
        <f aca="false">ADI13</f>
        <v>0</v>
      </c>
      <c r="ADK13" s="20" t="n">
        <f aca="false">ADJ13</f>
        <v>0</v>
      </c>
      <c r="ADL13" s="20" t="n">
        <f aca="false">ADK13</f>
        <v>0</v>
      </c>
      <c r="ADM13" s="20" t="n">
        <f aca="false">ADL13</f>
        <v>0</v>
      </c>
      <c r="ADN13" s="20" t="n">
        <f aca="false">ADM13</f>
        <v>0</v>
      </c>
      <c r="ADO13" s="20" t="n">
        <f aca="false">ADN13</f>
        <v>0</v>
      </c>
      <c r="ADP13" s="20" t="n">
        <f aca="false">ADO13</f>
        <v>0</v>
      </c>
      <c r="ADQ13" s="20" t="n">
        <f aca="false">ADP13</f>
        <v>0</v>
      </c>
      <c r="ADR13" s="20" t="n">
        <f aca="false">(AKR12-TE13+0)*(1+BQ13)</f>
        <v>0</v>
      </c>
      <c r="ADS13" s="20" t="n">
        <f aca="false">(AKS12-TF13+0)*(1+BQ13)</f>
        <v>0</v>
      </c>
      <c r="ADT13" s="20" t="n">
        <f aca="false">(AKT12-TG13+0)*(1+BQ13)</f>
        <v>0</v>
      </c>
      <c r="ADU13" s="20" t="n">
        <f aca="false">(AKU12-TH13+0)*(1+BQ13)</f>
        <v>0</v>
      </c>
      <c r="ADV13" s="20" t="n">
        <f aca="false">(AKV12-TI13+0)*(1+BQ13)</f>
        <v>0</v>
      </c>
      <c r="ADW13" s="20" t="n">
        <f aca="false">(AKW12-TJ13+0)*(1+BQ13)</f>
        <v>0</v>
      </c>
      <c r="ADX13" s="20" t="n">
        <f aca="false">((P13+S13)-TK13+BE13)*(1+BQ13)</f>
        <v>0</v>
      </c>
      <c r="ADY13" s="20" t="n">
        <v>0</v>
      </c>
      <c r="ADZ13" s="20" t="n">
        <v>0</v>
      </c>
      <c r="AEA13" s="20" t="n">
        <v>0</v>
      </c>
      <c r="AEB13" s="20" t="n">
        <v>0</v>
      </c>
      <c r="AEC13" s="20" t="n">
        <v>0</v>
      </c>
      <c r="AED13" s="20" t="n">
        <v>0</v>
      </c>
      <c r="AEE13" s="20" t="n">
        <v>0</v>
      </c>
      <c r="AEF13" s="20" t="n">
        <v>0</v>
      </c>
      <c r="AEG13" s="20" t="n">
        <v>0</v>
      </c>
      <c r="AEH13" s="20" t="n">
        <v>0</v>
      </c>
      <c r="AEI13" s="20" t="n">
        <v>0</v>
      </c>
      <c r="AEJ13" s="20" t="n">
        <v>0</v>
      </c>
      <c r="AEK13" s="20" t="n">
        <v>0</v>
      </c>
      <c r="AEL13" s="20" t="n">
        <v>0</v>
      </c>
      <c r="AEM13" s="20" t="n">
        <v>0</v>
      </c>
      <c r="AEN13" s="20" t="n">
        <v>0</v>
      </c>
      <c r="AEO13" s="20" t="n">
        <v>0</v>
      </c>
      <c r="AEP13" s="20" t="n">
        <v>0</v>
      </c>
      <c r="AEQ13" s="20" t="n">
        <v>0</v>
      </c>
      <c r="AER13" s="20" t="n">
        <v>0</v>
      </c>
      <c r="AES13" s="20" t="n">
        <v>0</v>
      </c>
      <c r="AET13" s="20" t="n">
        <v>0</v>
      </c>
      <c r="AEU13" s="20" t="n">
        <v>0</v>
      </c>
      <c r="AEV13" s="20" t="n">
        <v>0</v>
      </c>
      <c r="AEW13" s="20" t="n">
        <v>0</v>
      </c>
      <c r="AEX13" s="20" t="n">
        <v>0</v>
      </c>
      <c r="AEY13" s="20" t="n">
        <v>0</v>
      </c>
      <c r="AEZ13" s="20" t="n">
        <v>0</v>
      </c>
      <c r="AFA13" s="20" t="n">
        <v>0</v>
      </c>
      <c r="AFB13" s="20" t="n">
        <v>0</v>
      </c>
      <c r="AFC13" s="20" t="n">
        <v>0</v>
      </c>
      <c r="AFD13" s="20" t="n">
        <v>0</v>
      </c>
      <c r="AFE13" s="20" t="n">
        <v>0</v>
      </c>
      <c r="AFF13" s="20" t="n">
        <v>0</v>
      </c>
      <c r="AFG13" s="20" t="n">
        <v>0</v>
      </c>
      <c r="AFH13" s="20" t="n">
        <v>0</v>
      </c>
      <c r="AFI13" s="20" t="n">
        <v>0</v>
      </c>
      <c r="AFJ13" s="20" t="n">
        <v>0</v>
      </c>
      <c r="AFK13" s="20" t="n">
        <v>0</v>
      </c>
      <c r="AFL13" s="20" t="n">
        <v>0</v>
      </c>
      <c r="AFM13" s="20" t="n">
        <v>0</v>
      </c>
      <c r="AFN13" s="20" t="n">
        <v>0</v>
      </c>
      <c r="AFO13" s="20" t="n">
        <v>0</v>
      </c>
      <c r="AFP13" s="20" t="n">
        <v>0</v>
      </c>
      <c r="AFQ13" s="20" t="n">
        <v>0</v>
      </c>
      <c r="AFR13" s="20" t="n">
        <v>0</v>
      </c>
      <c r="AFS13" s="20" t="n">
        <v>0</v>
      </c>
      <c r="AFT13" s="20" t="n">
        <v>0</v>
      </c>
      <c r="AFU13" s="20" t="n">
        <v>0</v>
      </c>
      <c r="AFV13" s="20" t="n">
        <v>0</v>
      </c>
      <c r="AFW13" s="20" t="n">
        <v>0</v>
      </c>
      <c r="AFX13" s="20" t="n">
        <v>0</v>
      </c>
      <c r="AFY13" s="20" t="n">
        <v>0</v>
      </c>
      <c r="AFZ13" s="20" t="n">
        <v>0</v>
      </c>
      <c r="AGA13" s="20" t="n">
        <v>0</v>
      </c>
      <c r="AGB13" s="20" t="n">
        <v>0</v>
      </c>
      <c r="AGC13" s="20" t="n">
        <v>0</v>
      </c>
      <c r="AGD13" s="20" t="n">
        <v>0</v>
      </c>
      <c r="AGE13" s="20" t="n">
        <v>0</v>
      </c>
      <c r="AGF13" s="20" t="n">
        <v>0</v>
      </c>
      <c r="AGG13" s="20" t="n">
        <v>0</v>
      </c>
      <c r="AGH13" s="20" t="n">
        <v>0</v>
      </c>
      <c r="AGI13" s="20" t="n">
        <v>0</v>
      </c>
      <c r="AGJ13" s="20" t="n">
        <v>0</v>
      </c>
      <c r="AGK13" s="20" t="n">
        <v>0</v>
      </c>
      <c r="AGL13" s="20" t="n">
        <v>0</v>
      </c>
      <c r="AGM13" s="20" t="n">
        <v>0</v>
      </c>
      <c r="AGN13" s="20" t="n">
        <v>0</v>
      </c>
      <c r="AGO13" s="20" t="n">
        <v>0</v>
      </c>
      <c r="AGP13" s="20" t="n">
        <v>0</v>
      </c>
      <c r="AGQ13" s="20" t="n">
        <v>0</v>
      </c>
      <c r="AGR13" s="20" t="n">
        <v>0</v>
      </c>
      <c r="AGS13" s="20" t="n">
        <v>0</v>
      </c>
      <c r="AGT13" s="20" t="n">
        <v>0</v>
      </c>
      <c r="AGU13" s="20" t="n">
        <v>0</v>
      </c>
      <c r="AGV13" s="20" t="n">
        <v>0</v>
      </c>
      <c r="AGW13" s="20" t="n">
        <v>0</v>
      </c>
      <c r="AGX13" s="20" t="n">
        <v>0</v>
      </c>
      <c r="AGY13" s="20" t="n">
        <v>0</v>
      </c>
      <c r="AGZ13" s="20" t="n">
        <v>0</v>
      </c>
      <c r="AHA13" s="20" t="n">
        <v>0</v>
      </c>
      <c r="AHB13" s="20" t="n">
        <v>0</v>
      </c>
      <c r="AHC13" s="20" t="n">
        <v>0</v>
      </c>
      <c r="AHD13" s="20" t="n">
        <v>0</v>
      </c>
      <c r="AHE13" s="20" t="n">
        <f aca="false">IF(AKR12&gt;0,AOE12-AOE12*TE13/AKR12,0)+0</f>
        <v>0</v>
      </c>
      <c r="AHF13" s="20" t="n">
        <f aca="false">IF(AKS12&gt;0,AOF12-AOF12*TF13/AKS12,0)+0</f>
        <v>0</v>
      </c>
      <c r="AHG13" s="20" t="n">
        <f aca="false">IF(AKT12&gt;0,AOG12-AOG12*TG13/AKT12,0)+0</f>
        <v>0</v>
      </c>
      <c r="AHH13" s="20" t="n">
        <f aca="false">IF(AKU12&gt;0,AOH12-AOH12*TH13/AKU12,0)+0</f>
        <v>0</v>
      </c>
      <c r="AHI13" s="20" t="n">
        <f aca="false">IF(AKV12&gt;0,AOI12-AOI12*TI13/AKV12,0)+0</f>
        <v>0</v>
      </c>
      <c r="AHJ13" s="20" t="n">
        <f aca="false">IF(AKW12&gt;0,AOJ12-AOJ12*TJ13/AKW12,0)+0</f>
        <v>0</v>
      </c>
      <c r="AHK13" s="20" t="n">
        <f aca="false">IF((P13+S13)&gt;0,(P13+S13)-(P13+S13)*TK13/(P13+S13),0)+BE13</f>
        <v>0</v>
      </c>
      <c r="AHL13" s="20" t="n">
        <v>0</v>
      </c>
      <c r="AHM13" s="20" t="n">
        <v>0</v>
      </c>
      <c r="AHN13" s="20" t="n">
        <v>0</v>
      </c>
      <c r="AHO13" s="20" t="n">
        <v>0</v>
      </c>
      <c r="AHP13" s="20" t="n">
        <v>0</v>
      </c>
      <c r="AHQ13" s="20" t="n">
        <v>0</v>
      </c>
      <c r="AHR13" s="20" t="n">
        <v>0</v>
      </c>
      <c r="AHS13" s="20" t="n">
        <v>0</v>
      </c>
      <c r="AHT13" s="20" t="n">
        <v>0</v>
      </c>
      <c r="AHU13" s="20" t="n">
        <v>0</v>
      </c>
      <c r="AHV13" s="20" t="n">
        <v>0</v>
      </c>
      <c r="AHW13" s="20" t="n">
        <v>0</v>
      </c>
      <c r="AHX13" s="20" t="n">
        <v>0</v>
      </c>
      <c r="AHY13" s="20" t="n">
        <v>0</v>
      </c>
      <c r="AHZ13" s="20" t="n">
        <v>0</v>
      </c>
      <c r="AIA13" s="20" t="n">
        <v>0</v>
      </c>
      <c r="AIB13" s="20" t="n">
        <v>0</v>
      </c>
      <c r="AIC13" s="20" t="n">
        <v>0</v>
      </c>
      <c r="AID13" s="20" t="n">
        <v>0</v>
      </c>
      <c r="AIE13" s="20" t="n">
        <v>0</v>
      </c>
      <c r="AIF13" s="20" t="n">
        <v>0</v>
      </c>
      <c r="AIG13" s="20" t="n">
        <v>0</v>
      </c>
      <c r="AIH13" s="20" t="n">
        <v>0</v>
      </c>
      <c r="AII13" s="20" t="n">
        <v>0</v>
      </c>
      <c r="AIJ13" s="20" t="n">
        <v>0</v>
      </c>
      <c r="AIK13" s="20" t="n">
        <v>0</v>
      </c>
      <c r="AIL13" s="20" t="n">
        <v>0</v>
      </c>
      <c r="AIM13" s="20" t="n">
        <v>0</v>
      </c>
      <c r="AIN13" s="20" t="n">
        <v>0</v>
      </c>
      <c r="AIO13" s="20" t="n">
        <v>0</v>
      </c>
      <c r="AIP13" s="20" t="n">
        <v>0</v>
      </c>
      <c r="AIQ13" s="20" t="n">
        <v>0</v>
      </c>
      <c r="AIR13" s="20" t="n">
        <v>0</v>
      </c>
      <c r="AIS13" s="20" t="n">
        <v>0</v>
      </c>
      <c r="AIT13" s="20" t="n">
        <v>0</v>
      </c>
      <c r="AIU13" s="20" t="n">
        <v>0</v>
      </c>
      <c r="AIV13" s="20" t="n">
        <v>0</v>
      </c>
      <c r="AIW13" s="20" t="n">
        <v>0</v>
      </c>
      <c r="AIX13" s="20" t="n">
        <v>0</v>
      </c>
      <c r="AIY13" s="20" t="n">
        <v>0</v>
      </c>
      <c r="AIZ13" s="20" t="n">
        <v>0</v>
      </c>
      <c r="AJA13" s="20" t="n">
        <v>0</v>
      </c>
      <c r="AJB13" s="20" t="n">
        <v>0</v>
      </c>
      <c r="AJC13" s="20" t="n">
        <v>0</v>
      </c>
      <c r="AJD13" s="20" t="n">
        <v>0</v>
      </c>
      <c r="AJE13" s="20" t="n">
        <v>0</v>
      </c>
      <c r="AJF13" s="20" t="n">
        <v>0</v>
      </c>
      <c r="AJG13" s="20" t="n">
        <v>0</v>
      </c>
      <c r="AJH13" s="20" t="n">
        <v>0</v>
      </c>
      <c r="AJI13" s="20" t="n">
        <v>0</v>
      </c>
      <c r="AJJ13" s="20" t="n">
        <v>0</v>
      </c>
      <c r="AJK13" s="20" t="n">
        <v>0</v>
      </c>
      <c r="AJL13" s="20" t="n">
        <v>0</v>
      </c>
      <c r="AJM13" s="20" t="n">
        <v>0</v>
      </c>
      <c r="AJN13" s="20" t="n">
        <v>0</v>
      </c>
      <c r="AJO13" s="20" t="n">
        <v>0</v>
      </c>
      <c r="AJP13" s="20" t="n">
        <v>0</v>
      </c>
      <c r="AJQ13" s="20" t="n">
        <v>0</v>
      </c>
      <c r="AJR13" s="20" t="n">
        <v>0</v>
      </c>
      <c r="AJS13" s="20" t="n">
        <v>0</v>
      </c>
      <c r="AJT13" s="20" t="n">
        <v>0</v>
      </c>
      <c r="AJU13" s="20" t="n">
        <v>0</v>
      </c>
      <c r="AJV13" s="20" t="n">
        <v>0</v>
      </c>
      <c r="AJW13" s="20" t="n">
        <v>0</v>
      </c>
      <c r="AJX13" s="20" t="n">
        <v>0</v>
      </c>
      <c r="AJY13" s="20" t="n">
        <v>0</v>
      </c>
      <c r="AJZ13" s="20" t="n">
        <v>0</v>
      </c>
      <c r="AKA13" s="20" t="n">
        <v>0</v>
      </c>
      <c r="AKB13" s="20" t="n">
        <v>0</v>
      </c>
      <c r="AKC13" s="20" t="n">
        <v>0</v>
      </c>
      <c r="AKD13" s="20" t="n">
        <v>0</v>
      </c>
      <c r="AKE13" s="20" t="n">
        <v>0</v>
      </c>
      <c r="AKF13" s="20" t="n">
        <v>0</v>
      </c>
      <c r="AKG13" s="20" t="n">
        <v>0</v>
      </c>
      <c r="AKH13" s="20" t="n">
        <v>0</v>
      </c>
      <c r="AKI13" s="20" t="n">
        <v>0</v>
      </c>
      <c r="AKJ13" s="20" t="n">
        <v>0</v>
      </c>
      <c r="AKK13" s="20" t="n">
        <v>0</v>
      </c>
      <c r="AKL13" s="20" t="n">
        <v>0</v>
      </c>
      <c r="AKM13" s="20" t="n">
        <v>0</v>
      </c>
      <c r="AKN13" s="20" t="n">
        <v>0</v>
      </c>
      <c r="AKO13" s="20" t="n">
        <v>0</v>
      </c>
      <c r="AKP13" s="20" t="n">
        <v>0</v>
      </c>
      <c r="AKQ13" s="20" t="n">
        <v>0</v>
      </c>
      <c r="AKR13" s="20" t="n">
        <f aca="false">ADR13-AVE13</f>
        <v>0</v>
      </c>
      <c r="AKS13" s="20" t="n">
        <f aca="false">ADS13-AVF13</f>
        <v>0</v>
      </c>
      <c r="AKT13" s="20" t="n">
        <f aca="false">ADT13-AVG13</f>
        <v>0</v>
      </c>
      <c r="AKU13" s="20" t="n">
        <f aca="false">ADU13-AVH13</f>
        <v>0</v>
      </c>
      <c r="AKV13" s="20" t="n">
        <f aca="false">ADV13-AVI13</f>
        <v>0</v>
      </c>
      <c r="AKW13" s="20" t="n">
        <f aca="false">ADW13-AVJ13</f>
        <v>0</v>
      </c>
      <c r="AKX13" s="20" t="n">
        <f aca="false">ADX13-AVK13</f>
        <v>0</v>
      </c>
      <c r="AKY13" s="20" t="n">
        <v>0</v>
      </c>
      <c r="AKZ13" s="20" t="n">
        <v>0</v>
      </c>
      <c r="ALA13" s="20" t="n">
        <v>0</v>
      </c>
      <c r="ALB13" s="20" t="n">
        <v>0</v>
      </c>
      <c r="ALC13" s="20" t="n">
        <v>0</v>
      </c>
      <c r="ALD13" s="20" t="n">
        <v>0</v>
      </c>
      <c r="ALE13" s="20" t="n">
        <v>0</v>
      </c>
      <c r="ALF13" s="20" t="n">
        <v>0</v>
      </c>
      <c r="ALG13" s="20" t="n">
        <v>0</v>
      </c>
      <c r="ALH13" s="20" t="n">
        <v>0</v>
      </c>
      <c r="ALI13" s="20" t="n">
        <v>0</v>
      </c>
      <c r="ALJ13" s="20" t="n">
        <v>0</v>
      </c>
      <c r="ALK13" s="20" t="n">
        <v>0</v>
      </c>
      <c r="ALL13" s="20" t="n">
        <v>0</v>
      </c>
      <c r="ALM13" s="20" t="n">
        <v>0</v>
      </c>
      <c r="ALN13" s="20" t="n">
        <v>0</v>
      </c>
      <c r="ALO13" s="20" t="n">
        <v>0</v>
      </c>
      <c r="ALP13" s="20" t="n">
        <v>0</v>
      </c>
      <c r="ALQ13" s="20" t="n">
        <v>0</v>
      </c>
      <c r="ALR13" s="20" t="n">
        <v>0</v>
      </c>
      <c r="ALS13" s="20" t="n">
        <v>0</v>
      </c>
      <c r="ALT13" s="20" t="n">
        <v>0</v>
      </c>
      <c r="ALU13" s="20" t="n">
        <v>0</v>
      </c>
      <c r="ALV13" s="20" t="n">
        <v>0</v>
      </c>
      <c r="ALW13" s="20" t="n">
        <v>0</v>
      </c>
      <c r="ALX13" s="20" t="n">
        <v>0</v>
      </c>
      <c r="ALY13" s="20" t="n">
        <v>0</v>
      </c>
      <c r="ALZ13" s="20" t="n">
        <v>0</v>
      </c>
      <c r="AMA13" s="20" t="n">
        <v>0</v>
      </c>
      <c r="AMB13" s="20" t="n">
        <v>0</v>
      </c>
      <c r="AMC13" s="20" t="n">
        <v>0</v>
      </c>
      <c r="AMD13" s="20" t="n">
        <v>0</v>
      </c>
      <c r="AME13" s="20" t="n">
        <v>0</v>
      </c>
      <c r="AMF13" s="20" t="n">
        <v>0</v>
      </c>
      <c r="AMG13" s="20" t="n">
        <v>0</v>
      </c>
      <c r="AMH13" s="20" t="n">
        <v>0</v>
      </c>
      <c r="AMI13" s="20" t="n">
        <v>0</v>
      </c>
      <c r="AMJ13" s="20" t="n">
        <v>0</v>
      </c>
      <c r="AMK13" s="20" t="n">
        <v>0</v>
      </c>
      <c r="AML13" s="20" t="n">
        <v>0</v>
      </c>
      <c r="AMM13" s="20" t="n">
        <v>0</v>
      </c>
      <c r="AMN13" s="20" t="n">
        <v>0</v>
      </c>
      <c r="AMO13" s="20" t="n">
        <v>0</v>
      </c>
      <c r="AMP13" s="20" t="n">
        <v>0</v>
      </c>
      <c r="AMQ13" s="20" t="n">
        <v>0</v>
      </c>
      <c r="AMR13" s="20" t="n">
        <v>0</v>
      </c>
      <c r="AMS13" s="20" t="n">
        <v>0</v>
      </c>
      <c r="AMT13" s="20" t="n">
        <v>0</v>
      </c>
      <c r="AMU13" s="20" t="n">
        <v>0</v>
      </c>
      <c r="AMV13" s="20" t="n">
        <v>0</v>
      </c>
      <c r="AMW13" s="20" t="n">
        <v>0</v>
      </c>
      <c r="AMX13" s="20" t="n">
        <v>0</v>
      </c>
      <c r="AMY13" s="20" t="n">
        <v>0</v>
      </c>
      <c r="AMZ13" s="20" t="n">
        <v>0</v>
      </c>
      <c r="ANA13" s="20" t="n">
        <v>0</v>
      </c>
      <c r="ANB13" s="20" t="n">
        <v>0</v>
      </c>
      <c r="ANC13" s="20" t="n">
        <v>0</v>
      </c>
      <c r="AND13" s="20" t="n">
        <v>0</v>
      </c>
      <c r="ANE13" s="20" t="n">
        <v>0</v>
      </c>
      <c r="ANF13" s="20" t="n">
        <v>0</v>
      </c>
      <c r="ANG13" s="20" t="n">
        <v>0</v>
      </c>
      <c r="ANH13" s="20" t="n">
        <v>0</v>
      </c>
      <c r="ANI13" s="20" t="n">
        <v>0</v>
      </c>
      <c r="ANJ13" s="20" t="n">
        <v>0</v>
      </c>
      <c r="ANK13" s="20" t="n">
        <v>0</v>
      </c>
      <c r="ANL13" s="20" t="n">
        <v>0</v>
      </c>
      <c r="ANM13" s="20" t="n">
        <v>0</v>
      </c>
      <c r="ANN13" s="20" t="n">
        <v>0</v>
      </c>
      <c r="ANO13" s="20" t="n">
        <v>0</v>
      </c>
      <c r="ANP13" s="20" t="n">
        <v>0</v>
      </c>
      <c r="ANQ13" s="20" t="n">
        <v>0</v>
      </c>
      <c r="ANR13" s="20" t="n">
        <v>0</v>
      </c>
      <c r="ANS13" s="20" t="n">
        <v>0</v>
      </c>
      <c r="ANT13" s="20" t="n">
        <v>0</v>
      </c>
      <c r="ANU13" s="20" t="n">
        <v>0</v>
      </c>
      <c r="ANV13" s="20" t="n">
        <v>0</v>
      </c>
      <c r="ANW13" s="20" t="n">
        <v>0</v>
      </c>
      <c r="ANX13" s="20" t="n">
        <v>0</v>
      </c>
      <c r="ANY13" s="20" t="n">
        <v>0</v>
      </c>
      <c r="ANZ13" s="20" t="n">
        <v>0</v>
      </c>
      <c r="AOA13" s="20" t="n">
        <v>0</v>
      </c>
      <c r="AOB13" s="20" t="n">
        <v>0</v>
      </c>
      <c r="AOC13" s="20" t="n">
        <v>0</v>
      </c>
      <c r="AOD13" s="20" t="n">
        <v>0</v>
      </c>
      <c r="AOE13" s="20" t="n">
        <f aca="false">IF(AND(H_Direct=0,H_TaxEvt=1,ARR12+1&gt;=H_Deemed),AKR13,AHE13)</f>
        <v>0</v>
      </c>
      <c r="AOF13" s="20" t="n">
        <f aca="false">IF(AND(H_Direct=0,H_TaxEvt=1,ARS12+1&gt;=H_Deemed),AKS13,AHF13)</f>
        <v>0</v>
      </c>
      <c r="AOG13" s="20" t="n">
        <f aca="false">IF(AND(H_Direct=0,H_TaxEvt=1,ART12+1&gt;=H_Deemed),AKT13,AHG13)</f>
        <v>0</v>
      </c>
      <c r="AOH13" s="20" t="n">
        <f aca="false">IF(AND(H_Direct=0,H_TaxEvt=1,ARU12+1&gt;=H_Deemed),AKU13,AHH13)</f>
        <v>0</v>
      </c>
      <c r="AOI13" s="20" t="n">
        <f aca="false">IF(AND(H_Direct=0,H_TaxEvt=1,ARV12+1&gt;=H_Deemed),AKV13,AHI13)</f>
        <v>0</v>
      </c>
      <c r="AOJ13" s="20" t="n">
        <f aca="false">IF(AND(H_Direct=0,H_TaxEvt=1,ARW12+1&gt;=H_Deemed),AKW13,AHJ13)</f>
        <v>0</v>
      </c>
      <c r="AOK13" s="20" t="n">
        <f aca="false">IF(AND(H_Direct=0,H_TaxEvt=1,0+1&gt;=H_Deemed),AKX13,AHK13)</f>
        <v>0</v>
      </c>
      <c r="AOL13" s="20" t="n">
        <v>0</v>
      </c>
      <c r="AOM13" s="20" t="n">
        <v>0</v>
      </c>
      <c r="AON13" s="20" t="n">
        <v>0</v>
      </c>
      <c r="AOO13" s="20" t="n">
        <v>0</v>
      </c>
      <c r="AOP13" s="20" t="n">
        <v>0</v>
      </c>
      <c r="AOQ13" s="20" t="n">
        <v>0</v>
      </c>
      <c r="AOR13" s="20" t="n">
        <v>0</v>
      </c>
      <c r="AOS13" s="20" t="n">
        <v>0</v>
      </c>
      <c r="AOT13" s="20" t="n">
        <v>0</v>
      </c>
      <c r="AOU13" s="20" t="n">
        <v>0</v>
      </c>
      <c r="AOV13" s="20" t="n">
        <v>0</v>
      </c>
      <c r="AOW13" s="20" t="n">
        <v>0</v>
      </c>
      <c r="AOX13" s="20" t="n">
        <v>0</v>
      </c>
      <c r="AOY13" s="20" t="n">
        <v>0</v>
      </c>
      <c r="AOZ13" s="20" t="n">
        <v>0</v>
      </c>
      <c r="APA13" s="20" t="n">
        <v>0</v>
      </c>
      <c r="APB13" s="20" t="n">
        <v>0</v>
      </c>
      <c r="APC13" s="20" t="n">
        <v>0</v>
      </c>
      <c r="APD13" s="20" t="n">
        <v>0</v>
      </c>
      <c r="APE13" s="20" t="n">
        <v>0</v>
      </c>
      <c r="APF13" s="20" t="n">
        <v>0</v>
      </c>
      <c r="APG13" s="20" t="n">
        <v>0</v>
      </c>
      <c r="APH13" s="20" t="n">
        <v>0</v>
      </c>
      <c r="API13" s="20" t="n">
        <v>0</v>
      </c>
      <c r="APJ13" s="20" t="n">
        <v>0</v>
      </c>
      <c r="APK13" s="20" t="n">
        <v>0</v>
      </c>
      <c r="APL13" s="20" t="n">
        <v>0</v>
      </c>
      <c r="APM13" s="20" t="n">
        <v>0</v>
      </c>
      <c r="APN13" s="20" t="n">
        <v>0</v>
      </c>
      <c r="APO13" s="20" t="n">
        <v>0</v>
      </c>
      <c r="APP13" s="20" t="n">
        <v>0</v>
      </c>
      <c r="APQ13" s="20" t="n">
        <v>0</v>
      </c>
      <c r="APR13" s="20" t="n">
        <v>0</v>
      </c>
      <c r="APS13" s="20" t="n">
        <v>0</v>
      </c>
      <c r="APT13" s="20" t="n">
        <v>0</v>
      </c>
      <c r="APU13" s="20" t="n">
        <v>0</v>
      </c>
      <c r="APV13" s="20" t="n">
        <v>0</v>
      </c>
      <c r="APW13" s="20" t="n">
        <v>0</v>
      </c>
      <c r="APX13" s="20" t="n">
        <v>0</v>
      </c>
      <c r="APY13" s="20" t="n">
        <v>0</v>
      </c>
      <c r="APZ13" s="20" t="n">
        <v>0</v>
      </c>
      <c r="AQA13" s="20" t="n">
        <v>0</v>
      </c>
      <c r="AQB13" s="20" t="n">
        <v>0</v>
      </c>
      <c r="AQC13" s="20" t="n">
        <v>0</v>
      </c>
      <c r="AQD13" s="20" t="n">
        <v>0</v>
      </c>
      <c r="AQE13" s="20" t="n">
        <v>0</v>
      </c>
      <c r="AQF13" s="20" t="n">
        <v>0</v>
      </c>
      <c r="AQG13" s="20" t="n">
        <v>0</v>
      </c>
      <c r="AQH13" s="20" t="n">
        <v>0</v>
      </c>
      <c r="AQI13" s="20" t="n">
        <v>0</v>
      </c>
      <c r="AQJ13" s="20" t="n">
        <v>0</v>
      </c>
      <c r="AQK13" s="20" t="n">
        <v>0</v>
      </c>
      <c r="AQL13" s="20" t="n">
        <v>0</v>
      </c>
      <c r="AQM13" s="20" t="n">
        <v>0</v>
      </c>
      <c r="AQN13" s="20" t="n">
        <v>0</v>
      </c>
      <c r="AQO13" s="20" t="n">
        <v>0</v>
      </c>
      <c r="AQP13" s="20" t="n">
        <v>0</v>
      </c>
      <c r="AQQ13" s="20" t="n">
        <v>0</v>
      </c>
      <c r="AQR13" s="20" t="n">
        <v>0</v>
      </c>
      <c r="AQS13" s="20" t="n">
        <v>0</v>
      </c>
      <c r="AQT13" s="20" t="n">
        <v>0</v>
      </c>
      <c r="AQU13" s="20" t="n">
        <v>0</v>
      </c>
      <c r="AQV13" s="20" t="n">
        <v>0</v>
      </c>
      <c r="AQW13" s="20" t="n">
        <v>0</v>
      </c>
      <c r="AQX13" s="20" t="n">
        <v>0</v>
      </c>
      <c r="AQY13" s="20" t="n">
        <v>0</v>
      </c>
      <c r="AQZ13" s="20" t="n">
        <v>0</v>
      </c>
      <c r="ARA13" s="20" t="n">
        <v>0</v>
      </c>
      <c r="ARB13" s="20" t="n">
        <v>0</v>
      </c>
      <c r="ARC13" s="20" t="n">
        <v>0</v>
      </c>
      <c r="ARD13" s="20" t="n">
        <v>0</v>
      </c>
      <c r="ARE13" s="20" t="n">
        <v>0</v>
      </c>
      <c r="ARF13" s="20" t="n">
        <v>0</v>
      </c>
      <c r="ARG13" s="20" t="n">
        <v>0</v>
      </c>
      <c r="ARH13" s="20" t="n">
        <v>0</v>
      </c>
      <c r="ARI13" s="20" t="n">
        <v>0</v>
      </c>
      <c r="ARJ13" s="20" t="n">
        <v>0</v>
      </c>
      <c r="ARK13" s="20" t="n">
        <v>0</v>
      </c>
      <c r="ARL13" s="20" t="n">
        <v>0</v>
      </c>
      <c r="ARM13" s="20" t="n">
        <v>0</v>
      </c>
      <c r="ARN13" s="20" t="n">
        <v>0</v>
      </c>
      <c r="ARO13" s="20" t="n">
        <v>0</v>
      </c>
      <c r="ARP13" s="20" t="n">
        <v>0</v>
      </c>
      <c r="ARQ13" s="20" t="n">
        <v>0</v>
      </c>
      <c r="ARR13" s="20" t="n">
        <f aca="false">IF(AND(H_Direct=0,H_TaxEvt=1),IF(ARR12+1&gt;=H_Deemed,0,ARR12+1),ARR12)</f>
        <v>6</v>
      </c>
      <c r="ARS13" s="20" t="n">
        <f aca="false">IF(AND(H_Direct=0,H_TaxEvt=1),IF(ARS12+1&gt;=H_Deemed,0,ARS12+1),ARS12)</f>
        <v>6</v>
      </c>
      <c r="ART13" s="20" t="n">
        <f aca="false">IF(AND(H_Direct=0,H_TaxEvt=1),IF(ART12+1&gt;=H_Deemed,0,ART12+1),ART12)</f>
        <v>5</v>
      </c>
      <c r="ARU13" s="20" t="n">
        <f aca="false">IF(AND(H_Direct=0,H_TaxEvt=1),IF(ARU12+1&gt;=H_Deemed,0,ARU12+1),ARU12)</f>
        <v>4</v>
      </c>
      <c r="ARV13" s="20" t="n">
        <f aca="false">IF(AND(H_Direct=0,H_TaxEvt=1),IF(ARV12+1&gt;=H_Deemed,0,ARV12+1),ARV12)</f>
        <v>3</v>
      </c>
      <c r="ARW13" s="20" t="n">
        <f aca="false">IF(AND(H_Direct=0,H_TaxEvt=1),IF(ARW12+1&gt;=H_Deemed,0,ARW12+1),ARW12)</f>
        <v>2</v>
      </c>
      <c r="ARX13" s="20" t="n">
        <f aca="false">IF(AND(H_Direct=0,H_TaxEvt=1),IF(0+1&gt;=H_Deemed,0,0+1),0)</f>
        <v>1</v>
      </c>
      <c r="ARY13" s="20" t="n">
        <v>0</v>
      </c>
      <c r="ARZ13" s="20" t="n">
        <v>0</v>
      </c>
      <c r="ASA13" s="20" t="n">
        <v>0</v>
      </c>
      <c r="ASB13" s="20" t="n">
        <v>0</v>
      </c>
      <c r="ASC13" s="20" t="n">
        <v>0</v>
      </c>
      <c r="ASD13" s="20" t="n">
        <v>0</v>
      </c>
      <c r="ASE13" s="20" t="n">
        <v>0</v>
      </c>
      <c r="ASF13" s="20" t="n">
        <v>0</v>
      </c>
      <c r="ASG13" s="20" t="n">
        <v>0</v>
      </c>
      <c r="ASH13" s="20" t="n">
        <v>0</v>
      </c>
      <c r="ASI13" s="20" t="n">
        <v>0</v>
      </c>
      <c r="ASJ13" s="20" t="n">
        <v>0</v>
      </c>
      <c r="ASK13" s="20" t="n">
        <v>0</v>
      </c>
      <c r="ASL13" s="20" t="n">
        <v>0</v>
      </c>
      <c r="ASM13" s="20" t="n">
        <v>0</v>
      </c>
      <c r="ASN13" s="20" t="n">
        <v>0</v>
      </c>
      <c r="ASO13" s="20" t="n">
        <v>0</v>
      </c>
      <c r="ASP13" s="20" t="n">
        <v>0</v>
      </c>
      <c r="ASQ13" s="20" t="n">
        <v>0</v>
      </c>
      <c r="ASR13" s="20" t="n">
        <v>0</v>
      </c>
      <c r="ASS13" s="20" t="n">
        <v>0</v>
      </c>
      <c r="AST13" s="20" t="n">
        <v>0</v>
      </c>
      <c r="ASU13" s="20" t="n">
        <v>0</v>
      </c>
      <c r="ASV13" s="20" t="n">
        <v>0</v>
      </c>
      <c r="ASW13" s="20" t="n">
        <v>0</v>
      </c>
      <c r="ASX13" s="20" t="n">
        <v>0</v>
      </c>
      <c r="ASY13" s="20" t="n">
        <v>0</v>
      </c>
      <c r="ASZ13" s="20" t="n">
        <v>0</v>
      </c>
      <c r="ATA13" s="20" t="n">
        <v>0</v>
      </c>
      <c r="ATB13" s="20" t="n">
        <v>0</v>
      </c>
      <c r="ATC13" s="20" t="n">
        <v>0</v>
      </c>
      <c r="ATD13" s="20" t="n">
        <v>0</v>
      </c>
      <c r="ATE13" s="20" t="n">
        <v>0</v>
      </c>
      <c r="ATF13" s="20" t="n">
        <v>0</v>
      </c>
      <c r="ATG13" s="20" t="n">
        <v>0</v>
      </c>
      <c r="ATH13" s="20" t="n">
        <v>0</v>
      </c>
      <c r="ATI13" s="20" t="n">
        <v>0</v>
      </c>
      <c r="ATJ13" s="20" t="n">
        <v>0</v>
      </c>
      <c r="ATK13" s="20" t="n">
        <v>0</v>
      </c>
      <c r="ATL13" s="20" t="n">
        <v>0</v>
      </c>
      <c r="ATM13" s="20" t="n">
        <v>0</v>
      </c>
      <c r="ATN13" s="20" t="n">
        <v>0</v>
      </c>
      <c r="ATO13" s="20" t="n">
        <v>0</v>
      </c>
      <c r="ATP13" s="20" t="n">
        <v>0</v>
      </c>
      <c r="ATQ13" s="20" t="n">
        <v>0</v>
      </c>
      <c r="ATR13" s="20" t="n">
        <v>0</v>
      </c>
      <c r="ATS13" s="20" t="n">
        <v>0</v>
      </c>
      <c r="ATT13" s="20" t="n">
        <v>0</v>
      </c>
      <c r="ATU13" s="20" t="n">
        <v>0</v>
      </c>
      <c r="ATV13" s="20" t="n">
        <v>0</v>
      </c>
      <c r="ATW13" s="20" t="n">
        <v>0</v>
      </c>
      <c r="ATX13" s="20" t="n">
        <v>0</v>
      </c>
      <c r="ATY13" s="20" t="n">
        <v>0</v>
      </c>
      <c r="ATZ13" s="20" t="n">
        <v>0</v>
      </c>
      <c r="AUA13" s="20" t="n">
        <v>0</v>
      </c>
      <c r="AUB13" s="20" t="n">
        <v>0</v>
      </c>
      <c r="AUC13" s="20" t="n">
        <v>0</v>
      </c>
      <c r="AUD13" s="20" t="n">
        <v>0</v>
      </c>
      <c r="AUE13" s="20" t="n">
        <v>0</v>
      </c>
      <c r="AUF13" s="20" t="n">
        <v>0</v>
      </c>
      <c r="AUG13" s="20" t="n">
        <v>0</v>
      </c>
      <c r="AUH13" s="20" t="n">
        <v>0</v>
      </c>
      <c r="AUI13" s="20" t="n">
        <v>0</v>
      </c>
      <c r="AUJ13" s="20" t="n">
        <v>0</v>
      </c>
      <c r="AUK13" s="20" t="n">
        <v>0</v>
      </c>
      <c r="AUL13" s="20" t="n">
        <v>0</v>
      </c>
      <c r="AUM13" s="20" t="n">
        <v>0</v>
      </c>
      <c r="AUN13" s="20" t="n">
        <v>0</v>
      </c>
      <c r="AUO13" s="20" t="n">
        <v>0</v>
      </c>
      <c r="AUP13" s="20" t="n">
        <v>0</v>
      </c>
      <c r="AUQ13" s="20" t="n">
        <v>0</v>
      </c>
      <c r="AUR13" s="20" t="n">
        <v>0</v>
      </c>
      <c r="AUS13" s="20" t="n">
        <v>0</v>
      </c>
      <c r="AUT13" s="20" t="n">
        <v>0</v>
      </c>
      <c r="AUU13" s="20" t="n">
        <v>0</v>
      </c>
      <c r="AUV13" s="20" t="n">
        <v>0</v>
      </c>
      <c r="AUW13" s="20" t="n">
        <v>0</v>
      </c>
      <c r="AUX13" s="20" t="n">
        <v>0</v>
      </c>
      <c r="AUY13" s="20" t="n">
        <v>0</v>
      </c>
      <c r="AUZ13" s="20" t="n">
        <v>0</v>
      </c>
      <c r="AVA13" s="20" t="n">
        <v>0</v>
      </c>
      <c r="AVB13" s="20" t="n">
        <v>0</v>
      </c>
      <c r="AVC13" s="20" t="n">
        <v>0</v>
      </c>
      <c r="AVD13" s="20" t="n">
        <v>0</v>
      </c>
      <c r="AVE13" s="20" t="n">
        <f aca="false">IF(AND(H_Direct=0,H_TaxEvt=1,ARR12+1&gt;=H_Deemed),MAX(0,ADR13-AHE13)*H_Exit,0)</f>
        <v>0</v>
      </c>
      <c r="AVF13" s="20" t="n">
        <f aca="false">IF(AND(H_Direct=0,H_TaxEvt=1,ARS12+1&gt;=H_Deemed),MAX(0,ADS13-AHF13)*H_Exit,0)</f>
        <v>0</v>
      </c>
      <c r="AVG13" s="20" t="n">
        <f aca="false">IF(AND(H_Direct=0,H_TaxEvt=1,ART12+1&gt;=H_Deemed),MAX(0,ADT13-AHG13)*H_Exit,0)</f>
        <v>0</v>
      </c>
      <c r="AVH13" s="20" t="n">
        <f aca="false">IF(AND(H_Direct=0,H_TaxEvt=1,ARU12+1&gt;=H_Deemed),MAX(0,ADU13-AHH13)*H_Exit,0)</f>
        <v>0</v>
      </c>
      <c r="AVI13" s="20" t="n">
        <f aca="false">IF(AND(H_Direct=0,H_TaxEvt=1,ARV12+1&gt;=H_Deemed),MAX(0,ADV13-AHI13)*H_Exit,0)</f>
        <v>0</v>
      </c>
      <c r="AVJ13" s="20" t="n">
        <f aca="false">IF(AND(H_Direct=0,H_TaxEvt=1,ARW12+1&gt;=H_Deemed),MAX(0,ADW13-AHJ13)*H_Exit,0)</f>
        <v>0</v>
      </c>
      <c r="AVK13" s="20" t="n">
        <f aca="false">IF(AND(H_Direct=0,H_TaxEvt=1,0+1&gt;=H_Deemed),MAX(0,ADX13-AHK13)*H_Exit,0)</f>
        <v>0</v>
      </c>
      <c r="AVL13" s="20" t="n">
        <v>0</v>
      </c>
      <c r="AVM13" s="20" t="n">
        <v>0</v>
      </c>
      <c r="AVN13" s="20" t="n">
        <v>0</v>
      </c>
      <c r="AVO13" s="20" t="n">
        <v>0</v>
      </c>
      <c r="AVP13" s="20" t="n">
        <v>0</v>
      </c>
      <c r="AVQ13" s="20" t="n">
        <v>0</v>
      </c>
      <c r="AVR13" s="20" t="n">
        <v>0</v>
      </c>
      <c r="AVS13" s="20" t="n">
        <v>0</v>
      </c>
      <c r="AVT13" s="20" t="n">
        <v>0</v>
      </c>
      <c r="AVU13" s="20" t="n">
        <v>0</v>
      </c>
      <c r="AVV13" s="20" t="n">
        <v>0</v>
      </c>
      <c r="AVW13" s="20" t="n">
        <v>0</v>
      </c>
      <c r="AVX13" s="20" t="n">
        <v>0</v>
      </c>
      <c r="AVY13" s="20" t="n">
        <v>0</v>
      </c>
      <c r="AVZ13" s="20" t="n">
        <v>0</v>
      </c>
      <c r="AWA13" s="20" t="n">
        <v>0</v>
      </c>
      <c r="AWB13" s="20" t="n">
        <v>0</v>
      </c>
      <c r="AWC13" s="20" t="n">
        <v>0</v>
      </c>
      <c r="AWD13" s="20" t="n">
        <v>0</v>
      </c>
      <c r="AWE13" s="20" t="n">
        <v>0</v>
      </c>
      <c r="AWF13" s="20" t="n">
        <v>0</v>
      </c>
      <c r="AWG13" s="20" t="n">
        <v>0</v>
      </c>
      <c r="AWH13" s="20" t="n">
        <v>0</v>
      </c>
      <c r="AWI13" s="20" t="n">
        <v>0</v>
      </c>
      <c r="AWJ13" s="20" t="n">
        <v>0</v>
      </c>
      <c r="AWK13" s="20" t="n">
        <v>0</v>
      </c>
      <c r="AWL13" s="20" t="n">
        <v>0</v>
      </c>
      <c r="AWM13" s="20" t="n">
        <v>0</v>
      </c>
      <c r="AWN13" s="20" t="n">
        <v>0</v>
      </c>
      <c r="AWO13" s="20" t="n">
        <v>0</v>
      </c>
      <c r="AWP13" s="20" t="n">
        <v>0</v>
      </c>
      <c r="AWQ13" s="20" t="n">
        <v>0</v>
      </c>
      <c r="AWR13" s="20" t="n">
        <v>0</v>
      </c>
      <c r="AWS13" s="20" t="n">
        <v>0</v>
      </c>
      <c r="AWT13" s="20" t="n">
        <v>0</v>
      </c>
      <c r="AWU13" s="20" t="n">
        <v>0</v>
      </c>
      <c r="AWV13" s="20" t="n">
        <v>0</v>
      </c>
      <c r="AWW13" s="20" t="n">
        <v>0</v>
      </c>
      <c r="AWX13" s="20" t="n">
        <v>0</v>
      </c>
      <c r="AWY13" s="20" t="n">
        <v>0</v>
      </c>
      <c r="AWZ13" s="20" t="n">
        <v>0</v>
      </c>
      <c r="AXA13" s="20" t="n">
        <v>0</v>
      </c>
      <c r="AXB13" s="20" t="n">
        <v>0</v>
      </c>
      <c r="AXC13" s="20" t="n">
        <v>0</v>
      </c>
      <c r="AXD13" s="20" t="n">
        <v>0</v>
      </c>
      <c r="AXE13" s="20" t="n">
        <v>0</v>
      </c>
      <c r="AXF13" s="20" t="n">
        <v>0</v>
      </c>
      <c r="AXG13" s="20" t="n">
        <v>0</v>
      </c>
      <c r="AXH13" s="20" t="n">
        <v>0</v>
      </c>
      <c r="AXI13" s="20" t="n">
        <v>0</v>
      </c>
      <c r="AXJ13" s="20" t="n">
        <v>0</v>
      </c>
      <c r="AXK13" s="20" t="n">
        <v>0</v>
      </c>
      <c r="AXL13" s="20" t="n">
        <v>0</v>
      </c>
      <c r="AXM13" s="20" t="n">
        <v>0</v>
      </c>
      <c r="AXN13" s="20" t="n">
        <v>0</v>
      </c>
      <c r="AXO13" s="20" t="n">
        <v>0</v>
      </c>
      <c r="AXP13" s="20" t="n">
        <v>0</v>
      </c>
      <c r="AXQ13" s="20" t="n">
        <v>0</v>
      </c>
      <c r="AXR13" s="20" t="n">
        <v>0</v>
      </c>
      <c r="AXS13" s="20" t="n">
        <v>0</v>
      </c>
      <c r="AXT13" s="20" t="n">
        <v>0</v>
      </c>
      <c r="AXU13" s="20" t="n">
        <v>0</v>
      </c>
      <c r="AXV13" s="20" t="n">
        <v>0</v>
      </c>
      <c r="AXW13" s="20" t="n">
        <v>0</v>
      </c>
      <c r="AXX13" s="20" t="n">
        <v>0</v>
      </c>
      <c r="AXY13" s="20" t="n">
        <v>0</v>
      </c>
      <c r="AXZ13" s="20" t="n">
        <v>0</v>
      </c>
      <c r="AYA13" s="20" t="n">
        <v>0</v>
      </c>
      <c r="AYB13" s="20" t="n">
        <v>0</v>
      </c>
      <c r="AYC13" s="20" t="n">
        <v>0</v>
      </c>
      <c r="AYD13" s="20" t="n">
        <v>0</v>
      </c>
      <c r="AYE13" s="20" t="n">
        <v>0</v>
      </c>
      <c r="AYF13" s="20" t="n">
        <v>0</v>
      </c>
      <c r="AYG13" s="20" t="n">
        <v>0</v>
      </c>
      <c r="AYH13" s="20" t="n">
        <v>0</v>
      </c>
      <c r="AYI13" s="20" t="n">
        <v>0</v>
      </c>
      <c r="AYJ13" s="20" t="n">
        <v>0</v>
      </c>
      <c r="AYK13" s="20" t="n">
        <v>0</v>
      </c>
      <c r="AYL13" s="20" t="n">
        <v>0</v>
      </c>
      <c r="AYM13" s="20" t="n">
        <v>0</v>
      </c>
      <c r="AYN13" s="20" t="n">
        <v>0</v>
      </c>
      <c r="AYO13" s="20" t="n">
        <v>0</v>
      </c>
      <c r="AYP13" s="20" t="n">
        <v>0</v>
      </c>
      <c r="AYQ13" s="20" t="n">
        <v>0</v>
      </c>
    </row>
    <row r="14" customFormat="false" ht="15" hidden="false" customHeight="false" outlineLevel="0" collapsed="false">
      <c r="B14" s="20" t="n">
        <v>6</v>
      </c>
      <c r="C14" s="20" t="n">
        <f aca="false">'Plan cashflow'!C14</f>
        <v>1</v>
      </c>
      <c r="D14" s="20" t="n">
        <f aca="false">'Plan cashflow'!D14</f>
        <v>44</v>
      </c>
      <c r="E14" s="20" t="n">
        <f aca="false">AS_Year0+6</f>
        <v>2032</v>
      </c>
      <c r="F14" s="50" t="n">
        <f aca="false">'Plan cashflow'!F14</f>
        <v>1.126162419264</v>
      </c>
      <c r="G14" s="59" t="n">
        <f aca="true">IF(MAX(TODAY(),DATE(E14,1,1))&gt;=H_CGTfrom,H_CGT1,H_CGT0)</f>
        <v>0.31</v>
      </c>
      <c r="H14" s="20" t="n">
        <f aca="false">H_Exempt*H_Persons</f>
        <v>1270</v>
      </c>
      <c r="I14" s="20" t="n">
        <f aca="false">AX13</f>
        <v>0</v>
      </c>
      <c r="J14" s="60" t="n">
        <f aca="false">BF13</f>
        <v>0</v>
      </c>
      <c r="K14" s="60" t="n">
        <f aca="false">BG13</f>
        <v>0</v>
      </c>
      <c r="L14" s="20" t="n">
        <f aca="false">IF(AND(In_polLump&gt;0,In_polLumpAge&gt;0,D14=In_polLumpAge),In_polLump,0)</f>
        <v>0</v>
      </c>
      <c r="M14" s="20" t="n">
        <f aca="false">IF(AND(In_homeUse="Yes, I'd downsize",In_downAge&gt;0,D14=In_downAge,OR(In_home="Own outright",In_home="Own with mortgage"),In_homeValue&gt;0),MAX(0,MAX(0,In_homeValue-In_downValue)*F14*0.9-'Plan cashflow'!HR13),0)</f>
        <v>0</v>
      </c>
      <c r="N14" s="20" t="n">
        <f aca="false">'Plan pay &amp; tax'!Y240</f>
        <v>0</v>
      </c>
      <c r="O14" s="20" t="n">
        <f aca="false">L14+M14+(1-H_Sh)*N14</f>
        <v>0</v>
      </c>
      <c r="P14" s="20" t="n">
        <f aca="false">H_Sh*N14</f>
        <v>0</v>
      </c>
      <c r="Q14" s="20" t="n">
        <f aca="false">'Plan cashflow'!UL14</f>
        <v>0</v>
      </c>
      <c r="R14" s="20" t="n">
        <f aca="false">(1-H_Sh)*Q14</f>
        <v>0</v>
      </c>
      <c r="S14" s="20" t="n">
        <f aca="false">H_Sh*Q14</f>
        <v>0</v>
      </c>
      <c r="T14" s="20" t="n">
        <f aca="false">J14+K14+O14</f>
        <v>0</v>
      </c>
      <c r="U14" s="20" t="n">
        <f aca="false">T14+R14</f>
        <v>0</v>
      </c>
      <c r="V14" s="60" t="n">
        <f aca="false">SUM(FE14:IQ14)</f>
        <v>0</v>
      </c>
      <c r="W14" s="60" t="n">
        <f aca="false">IF(AJ14&lt;=0,0,IF(AL14&lt;=0,AJ14,AJ14-G14*MAX(0,AL14*AJ14-(AY14+AZ14))))</f>
        <v>0</v>
      </c>
      <c r="X14" s="60" t="n">
        <f aca="false">IF(AR14&lt;=0,0,IF(AT14&lt;=0,AR14,AR14-G14*MAX(0,AT14*AR14-(BA14+BB14))))</f>
        <v>0</v>
      </c>
      <c r="Y14" s="60" t="n">
        <f aca="false">T14+V14-S14+W14+X14</f>
        <v>0</v>
      </c>
      <c r="Z14" s="60" t="n">
        <f aca="false">'Plan cashflow'!UK14</f>
        <v>0</v>
      </c>
      <c r="AA14" s="20" t="n">
        <f aca="false">MIN(Z14,U14)</f>
        <v>0</v>
      </c>
      <c r="AB14" s="20" t="n">
        <f aca="false">Z14-AA14</f>
        <v>0</v>
      </c>
      <c r="AC14" s="20" t="n">
        <f aca="false">MIN(AA14,J14+O14+R14)</f>
        <v>0</v>
      </c>
      <c r="AD14" s="20" t="n">
        <f aca="false">AA14-AC14</f>
        <v>0</v>
      </c>
      <c r="AE14" s="20" t="n">
        <f aca="false">J14+O14+R14-AC14</f>
        <v>0</v>
      </c>
      <c r="AF14" s="20" t="n">
        <f aca="false">K14-AD14</f>
        <v>0</v>
      </c>
      <c r="AG14" s="20" t="n">
        <f aca="false">SUM(PR14:TD14)</f>
        <v>0</v>
      </c>
      <c r="AH14" s="20" t="n">
        <f aca="false">SUM(TE14:WQ14)</f>
        <v>0</v>
      </c>
      <c r="AI14" s="20" t="n">
        <f aca="false">MAX(0,AB14-AG14)</f>
        <v>0</v>
      </c>
      <c r="AJ14" s="57" t="n">
        <f aca="false">BI13</f>
        <v>0</v>
      </c>
      <c r="AK14" s="20" t="n">
        <f aca="false">BJ13</f>
        <v>0</v>
      </c>
      <c r="AL14" s="20" t="n">
        <f aca="false">IF(AJ14&gt;0,(AJ14-AK14)/AJ14,0)</f>
        <v>0</v>
      </c>
      <c r="AM14" s="20" t="n">
        <f aca="false">IF(AJ14&lt;=0,0,IF(AL14&lt;=0,MIN(AI14,AJ14),MIN(AI14,AJ14-G14*MAX(0,AL14*AJ14-(AAD14+ADQ14)))))</f>
        <v>0</v>
      </c>
      <c r="AN14" s="20" t="n">
        <f aca="false">IF(AJ14&lt;=0,0,IF(AL14&lt;=0,AM14,IF(AM14&lt;=(AAD14+ADQ14)/AL14,AM14,(AM14-G14*(AAD14+ADQ14))/(1-G14*AL14))))</f>
        <v>0</v>
      </c>
      <c r="AO14" s="20" t="n">
        <f aca="false">IF(AL14&gt;0,MAX(0,AAD14-(MIN(AL14*AN14,(AAD14+ADQ14))-MIN(MIN(AL14*AN14,(AAD14+ADQ14)),ADQ14))),AAD14)</f>
        <v>1270</v>
      </c>
      <c r="AP14" s="20" t="n">
        <f aca="false">IF(AL14&lt;=0,ADQ14-AL14*AN14,ADQ14-MIN(MIN(AL14*AN14,(AAD14+ADQ14)),ADQ14))</f>
        <v>0</v>
      </c>
      <c r="AQ14" s="20" t="n">
        <f aca="false">MAX(0,AI14-AM14)</f>
        <v>0</v>
      </c>
      <c r="AR14" s="57" t="n">
        <f aca="false">BK13</f>
        <v>0</v>
      </c>
      <c r="AS14" s="20" t="n">
        <f aca="false">BL13</f>
        <v>0</v>
      </c>
      <c r="AT14" s="20" t="n">
        <f aca="false">IF(AR14&gt;0,(AR14-AS14)/AR14,0)</f>
        <v>0</v>
      </c>
      <c r="AU14" s="20" t="n">
        <f aca="false">IF(AR14&lt;=0,0,IF(AT14&lt;=0,MIN(AQ14,AR14),MIN(AQ14,AR14-G14*MAX(0,AT14*AR14-(AO14+AP14)))))</f>
        <v>0</v>
      </c>
      <c r="AV14" s="20" t="n">
        <f aca="false">IF(AR14&lt;=0,0,IF(AT14&lt;=0,AU14,IF(AU14&lt;=(AO14+AP14)/AT14,AU14,(AU14-G14*(AO14+AP14))/(1-G14*AT14))))</f>
        <v>0</v>
      </c>
      <c r="AW14" s="20" t="n">
        <f aca="false">IF(AT14&gt;0,MAX(0,AO14-(MIN(AT14*AV14,(AO14+AP14))-MIN(MIN(AT14*AV14,(AO14+AP14)),AP14))),AO14)</f>
        <v>1270</v>
      </c>
      <c r="AX14" s="20" t="n">
        <f aca="false">IF(AT14&lt;=0,AP14-AT14*AV14,AP14-MIN(MIN(AT14*AV14,(AO14+AP14)),AP14))</f>
        <v>0</v>
      </c>
      <c r="AY14" s="20" t="n">
        <f aca="false">MD14</f>
        <v>1270</v>
      </c>
      <c r="AZ14" s="20" t="n">
        <f aca="false">PQ14</f>
        <v>0</v>
      </c>
      <c r="BA14" s="20" t="n">
        <f aca="false">IF(AL14&gt;0,MAX(0,AY14-(MIN(AL14*AJ14,AY14+AZ14)-MIN(MIN(AL14*AJ14,AY14+AZ14),AZ14))),AY14)</f>
        <v>1270</v>
      </c>
      <c r="BB14" s="20" t="n">
        <f aca="false">IF(AL14&lt;=0,AZ14-AL14*AJ14,AZ14-MIN(MIN(AL14*AJ14,AY14+AZ14),AZ14))</f>
        <v>0</v>
      </c>
      <c r="BC14" s="20" t="n">
        <f aca="false">'Plan cashflow'!UM14</f>
        <v>0</v>
      </c>
      <c r="BD14" s="20" t="n">
        <f aca="false">(1-H_Sh)*BC14</f>
        <v>0</v>
      </c>
      <c r="BE14" s="20" t="n">
        <f aca="false">H_Sh*BC14</f>
        <v>0</v>
      </c>
      <c r="BF14" s="60" t="n">
        <f aca="false">(AE14+BD14)*(1+AS_Cash)</f>
        <v>0</v>
      </c>
      <c r="BG14" s="60" t="n">
        <f aca="false">AF14*(1+AS_Cash)</f>
        <v>0</v>
      </c>
      <c r="BH14" s="60" t="n">
        <f aca="false">SUM(AKR14:AOD14)</f>
        <v>0</v>
      </c>
      <c r="BI14" s="60" t="n">
        <f aca="false">(AJ14-AN14)*(1+AS_Infl)</f>
        <v>0</v>
      </c>
      <c r="BJ14" s="20" t="n">
        <f aca="false">IF(AJ14&gt;0,AK14-AK14*AN14/AJ14,0)</f>
        <v>0</v>
      </c>
      <c r="BK14" s="60" t="n">
        <f aca="false">(AR14-AV14)*(1+BQ14)</f>
        <v>0</v>
      </c>
      <c r="BL14" s="20" t="n">
        <f aca="false">IF(AR14&gt;0,AS14-AS14*AV14/AR14,0)</f>
        <v>0</v>
      </c>
      <c r="BM14" s="60" t="n">
        <f aca="false">BF14+BG14+BH14+BI14+BK14</f>
        <v>0</v>
      </c>
      <c r="BN14" s="60" t="n">
        <f aca="false">(AH14-AG14)+(AN14-AM14)+(AV14-AU14)</f>
        <v>0</v>
      </c>
      <c r="BO14" s="20" t="n">
        <f aca="false">(AE14+BD14+AF14+MAX(0,'Plan cashflow'!QH14)+IF(Slot1_Rate=AS_Cash,'Plan cashflow'!QM14/(1+AS_Cash),0)+IF(Slot2_Rate=AS_Cash,'Plan cashflow'!QQ14/(1+AS_Cash),0)+IF(Slot3_Rate=AS_Cash,'Plan cashflow'!QU14/(1+AS_Cash),0)+IF(Slot4_Rate=AS_Cash,'Plan cashflow'!QY14/(1+AS_Cash),0)+IF(Slot5_Rate=AS_Cash,'Plan cashflow'!RC14/(1+AS_Cash),0)+IF(Slot6_Rate=AS_Cash,'Plan cashflow'!RG14/(1+AS_Cash),0)+IF(Slot7_Rate=AS_Cash,'Plan cashflow'!RK14/(1+AS_Cash),0)+IF(Slot8_Rate=AS_Cash,'Plan cashflow'!RO14/(1+AS_Cash),0)+IF(Slot9_Rate=AS_Cash,'Plan cashflow'!RS14/(1+AS_Cash),0)+IF(Slot10_Rate=AS_Cash,'Plan cashflow'!RW14/(1+AS_Cash),0)+IF(Slot11_Rate=AS_Cash,'Plan cashflow'!SA14/(1+AS_Cash),0)+IF(Slot12_Rate=AS_Cash,'Plan cashflow'!SE14/(1+AS_Cash),0)+IF(Slot13_Rate=AS_Cash,'Plan cashflow'!SI14/(1+AS_Cash),0)+IF(Slot14_Rate=AS_Cash,'Plan cashflow'!SM14/(1+AS_Cash),0)+IF(Slot15_Rate=AS_Cash,'Plan cashflow'!SQ14/(1+AS_Cash),0)+IF(Slot16_Rate=AS_Cash,'Plan cashflow'!SU14/(1+AS_Cash),0)+IF(Slot17_Rate=AS_Cash,'Plan cashflow'!SY14/(1+AS_Cash),0)+IF(Slot18_Rate=AS_Cash,'Plan cashflow'!TC14/(1+AS_Cash),0)+IF(Slot19_Rate=AS_Cash,'Plan cashflow'!TG14/(1+AS_Cash),0)+IF(Slot20_Rate=AS_Cash,'Plan cashflow'!TK14/(1+AS_Cash),0))*AS_Cash*H_DIRT/(1-H_DIRT)</f>
        <v>58.3186435123152</v>
      </c>
      <c r="BP14" s="60" t="n">
        <f aca="false">SUM(AVE14:AYQ14)</f>
        <v>0</v>
      </c>
      <c r="BQ14" s="54" t="n">
        <f aca="false">IF(H_TaxEvt=1,H_InvG,AS_Inv)</f>
        <v>0.04</v>
      </c>
      <c r="BR14" s="20" t="n">
        <f aca="false">IF(AKR13&gt;0,(AKR13-AOE13)/AKR13,0)</f>
        <v>0</v>
      </c>
      <c r="BS14" s="20" t="n">
        <f aca="false">IF(AKS13&gt;0,(AKS13-AOF13)/AKS13,0)</f>
        <v>0</v>
      </c>
      <c r="BT14" s="20" t="n">
        <f aca="false">IF(AKT13&gt;0,(AKT13-AOG13)/AKT13,0)</f>
        <v>0</v>
      </c>
      <c r="BU14" s="20" t="n">
        <f aca="false">IF(AKU13&gt;0,(AKU13-AOH13)/AKU13,0)</f>
        <v>0</v>
      </c>
      <c r="BV14" s="20" t="n">
        <f aca="false">IF(AKV13&gt;0,(AKV13-AOI13)/AKV13,0)</f>
        <v>0</v>
      </c>
      <c r="BW14" s="20" t="n">
        <f aca="false">IF(AKW13&gt;0,(AKW13-AOJ13)/AKW13,0)</f>
        <v>0</v>
      </c>
      <c r="BX14" s="20" t="n">
        <f aca="false">IF(AKX13&gt;0,(AKX13-AOK13)/AKX13,0)</f>
        <v>0</v>
      </c>
      <c r="BY14" s="20" t="n">
        <f aca="false">IF((P14+S14)&gt;0,((P14+S14)-(P14+S14))/(P14+S14),0)</f>
        <v>0</v>
      </c>
      <c r="BZ14" s="20" t="n">
        <v>0</v>
      </c>
      <c r="CA14" s="20" t="n">
        <v>0</v>
      </c>
      <c r="CB14" s="20" t="n">
        <v>0</v>
      </c>
      <c r="CC14" s="20" t="n">
        <v>0</v>
      </c>
      <c r="CD14" s="20" t="n">
        <v>0</v>
      </c>
      <c r="CE14" s="20" t="n">
        <v>0</v>
      </c>
      <c r="CF14" s="20" t="n">
        <v>0</v>
      </c>
      <c r="CG14" s="20" t="n">
        <v>0</v>
      </c>
      <c r="CH14" s="20" t="n">
        <v>0</v>
      </c>
      <c r="CI14" s="20" t="n">
        <v>0</v>
      </c>
      <c r="CJ14" s="20" t="n">
        <v>0</v>
      </c>
      <c r="CK14" s="20" t="n">
        <v>0</v>
      </c>
      <c r="CL14" s="20" t="n">
        <v>0</v>
      </c>
      <c r="CM14" s="20" t="n">
        <v>0</v>
      </c>
      <c r="CN14" s="20" t="n">
        <v>0</v>
      </c>
      <c r="CO14" s="20" t="n">
        <v>0</v>
      </c>
      <c r="CP14" s="20" t="n">
        <v>0</v>
      </c>
      <c r="CQ14" s="20" t="n">
        <v>0</v>
      </c>
      <c r="CR14" s="20" t="n">
        <v>0</v>
      </c>
      <c r="CS14" s="20" t="n">
        <v>0</v>
      </c>
      <c r="CT14" s="20" t="n">
        <v>0</v>
      </c>
      <c r="CU14" s="20" t="n">
        <v>0</v>
      </c>
      <c r="CV14" s="20" t="n">
        <v>0</v>
      </c>
      <c r="CW14" s="20" t="n">
        <v>0</v>
      </c>
      <c r="CX14" s="20" t="n">
        <v>0</v>
      </c>
      <c r="CY14" s="20" t="n">
        <v>0</v>
      </c>
      <c r="CZ14" s="20" t="n">
        <v>0</v>
      </c>
      <c r="DA14" s="20" t="n">
        <v>0</v>
      </c>
      <c r="DB14" s="20" t="n">
        <v>0</v>
      </c>
      <c r="DC14" s="20" t="n">
        <v>0</v>
      </c>
      <c r="DD14" s="20" t="n">
        <v>0</v>
      </c>
      <c r="DE14" s="20" t="n">
        <v>0</v>
      </c>
      <c r="DF14" s="20" t="n">
        <v>0</v>
      </c>
      <c r="DG14" s="20" t="n">
        <v>0</v>
      </c>
      <c r="DH14" s="20" t="n">
        <v>0</v>
      </c>
      <c r="DI14" s="20" t="n">
        <v>0</v>
      </c>
      <c r="DJ14" s="20" t="n">
        <v>0</v>
      </c>
      <c r="DK14" s="20" t="n">
        <v>0</v>
      </c>
      <c r="DL14" s="20" t="n">
        <v>0</v>
      </c>
      <c r="DM14" s="20" t="n">
        <v>0</v>
      </c>
      <c r="DN14" s="20" t="n">
        <v>0</v>
      </c>
      <c r="DO14" s="20" t="n">
        <v>0</v>
      </c>
      <c r="DP14" s="20" t="n">
        <v>0</v>
      </c>
      <c r="DQ14" s="20" t="n">
        <v>0</v>
      </c>
      <c r="DR14" s="20" t="n">
        <v>0</v>
      </c>
      <c r="DS14" s="20" t="n">
        <v>0</v>
      </c>
      <c r="DT14" s="20" t="n">
        <v>0</v>
      </c>
      <c r="DU14" s="20" t="n">
        <v>0</v>
      </c>
      <c r="DV14" s="20" t="n">
        <v>0</v>
      </c>
      <c r="DW14" s="20" t="n">
        <v>0</v>
      </c>
      <c r="DX14" s="20" t="n">
        <v>0</v>
      </c>
      <c r="DY14" s="20" t="n">
        <v>0</v>
      </c>
      <c r="DZ14" s="20" t="n">
        <v>0</v>
      </c>
      <c r="EA14" s="20" t="n">
        <v>0</v>
      </c>
      <c r="EB14" s="20" t="n">
        <v>0</v>
      </c>
      <c r="EC14" s="20" t="n">
        <v>0</v>
      </c>
      <c r="ED14" s="20" t="n">
        <v>0</v>
      </c>
      <c r="EE14" s="20" t="n">
        <v>0</v>
      </c>
      <c r="EF14" s="20" t="n">
        <v>0</v>
      </c>
      <c r="EG14" s="20" t="n">
        <v>0</v>
      </c>
      <c r="EH14" s="20" t="n">
        <v>0</v>
      </c>
      <c r="EI14" s="20" t="n">
        <v>0</v>
      </c>
      <c r="EJ14" s="20" t="n">
        <v>0</v>
      </c>
      <c r="EK14" s="20" t="n">
        <v>0</v>
      </c>
      <c r="EL14" s="20" t="n">
        <v>0</v>
      </c>
      <c r="EM14" s="20" t="n">
        <v>0</v>
      </c>
      <c r="EN14" s="20" t="n">
        <v>0</v>
      </c>
      <c r="EO14" s="20" t="n">
        <v>0</v>
      </c>
      <c r="EP14" s="20" t="n">
        <v>0</v>
      </c>
      <c r="EQ14" s="20" t="n">
        <v>0</v>
      </c>
      <c r="ER14" s="20" t="n">
        <v>0</v>
      </c>
      <c r="ES14" s="20" t="n">
        <v>0</v>
      </c>
      <c r="ET14" s="20" t="n">
        <v>0</v>
      </c>
      <c r="EU14" s="20" t="n">
        <v>0</v>
      </c>
      <c r="EV14" s="20" t="n">
        <v>0</v>
      </c>
      <c r="EW14" s="20" t="n">
        <v>0</v>
      </c>
      <c r="EX14" s="20" t="n">
        <v>0</v>
      </c>
      <c r="EY14" s="20" t="n">
        <v>0</v>
      </c>
      <c r="EZ14" s="20" t="n">
        <v>0</v>
      </c>
      <c r="FA14" s="20" t="n">
        <v>0</v>
      </c>
      <c r="FB14" s="20" t="n">
        <v>0</v>
      </c>
      <c r="FC14" s="20" t="n">
        <v>0</v>
      </c>
      <c r="FD14" s="20" t="n">
        <v>0</v>
      </c>
      <c r="FE14" s="20" t="n">
        <f aca="false">IF(H_Direct=1,IF(AKR13&lt;=0,0,IF(BR14&lt;=0,AKR13,AKR13-G14*MAX(0,BR14*AKR13-(H14+I14)))),AKR13*(1-MAX(0,BR14)*H_Exit))</f>
        <v>0</v>
      </c>
      <c r="FF14" s="20" t="n">
        <f aca="false">IF(H_Direct=1,IF(AKS13&lt;=0,0,IF(BS14&lt;=0,AKS13,AKS13-G14*MAX(0,BS14*AKS13-(IR14+ME14)))),AKS13*(1-MAX(0,BS14)*H_Exit))</f>
        <v>0</v>
      </c>
      <c r="FG14" s="20" t="n">
        <f aca="false">IF(H_Direct=1,IF(AKT13&lt;=0,0,IF(BT14&lt;=0,AKT13,AKT13-G14*MAX(0,BT14*AKT13-(IS14+MF14)))),AKT13*(1-MAX(0,BT14)*H_Exit))</f>
        <v>0</v>
      </c>
      <c r="FH14" s="20" t="n">
        <f aca="false">IF(H_Direct=1,IF(AKU13&lt;=0,0,IF(BU14&lt;=0,AKU13,AKU13-G14*MAX(0,BU14*AKU13-(IT14+MG14)))),AKU13*(1-MAX(0,BU14)*H_Exit))</f>
        <v>0</v>
      </c>
      <c r="FI14" s="20" t="n">
        <f aca="false">IF(H_Direct=1,IF(AKV13&lt;=0,0,IF(BV14&lt;=0,AKV13,AKV13-G14*MAX(0,BV14*AKV13-(IU14+MH14)))),AKV13*(1-MAX(0,BV14)*H_Exit))</f>
        <v>0</v>
      </c>
      <c r="FJ14" s="20" t="n">
        <f aca="false">IF(H_Direct=1,IF(AKW13&lt;=0,0,IF(BW14&lt;=0,AKW13,AKW13-G14*MAX(0,BW14*AKW13-(IV14+MI14)))),AKW13*(1-MAX(0,BW14)*H_Exit))</f>
        <v>0</v>
      </c>
      <c r="FK14" s="20" t="n">
        <f aca="false">IF(H_Direct=1,IF(AKX13&lt;=0,0,IF(BX14&lt;=0,AKX13,AKX13-G14*MAX(0,BX14*AKX13-(IW14+MJ14)))),AKX13*(1-MAX(0,BX14)*H_Exit))</f>
        <v>0</v>
      </c>
      <c r="FL14" s="20" t="n">
        <f aca="false">IF(H_Direct=1,IF((P14+S14)&lt;=0,0,IF(BY14&lt;=0,(P14+S14),(P14+S14)-G14*MAX(0,BY14*(P14+S14)-(IX14+MK14)))),(P14+S14)*(1-MAX(0,BY14)*H_Exit))</f>
        <v>0</v>
      </c>
      <c r="FM14" s="20" t="n">
        <v>0</v>
      </c>
      <c r="FN14" s="20" t="n">
        <v>0</v>
      </c>
      <c r="FO14" s="20" t="n">
        <v>0</v>
      </c>
      <c r="FP14" s="20" t="n">
        <v>0</v>
      </c>
      <c r="FQ14" s="20" t="n">
        <v>0</v>
      </c>
      <c r="FR14" s="20" t="n">
        <v>0</v>
      </c>
      <c r="FS14" s="20" t="n">
        <v>0</v>
      </c>
      <c r="FT14" s="20" t="n">
        <v>0</v>
      </c>
      <c r="FU14" s="20" t="n">
        <v>0</v>
      </c>
      <c r="FV14" s="20" t="n">
        <v>0</v>
      </c>
      <c r="FW14" s="20" t="n">
        <v>0</v>
      </c>
      <c r="FX14" s="20" t="n">
        <v>0</v>
      </c>
      <c r="FY14" s="20" t="n">
        <v>0</v>
      </c>
      <c r="FZ14" s="20" t="n">
        <v>0</v>
      </c>
      <c r="GA14" s="20" t="n">
        <v>0</v>
      </c>
      <c r="GB14" s="20" t="n">
        <v>0</v>
      </c>
      <c r="GC14" s="20" t="n">
        <v>0</v>
      </c>
      <c r="GD14" s="20" t="n">
        <v>0</v>
      </c>
      <c r="GE14" s="20" t="n">
        <v>0</v>
      </c>
      <c r="GF14" s="20" t="n">
        <v>0</v>
      </c>
      <c r="GG14" s="20" t="n">
        <v>0</v>
      </c>
      <c r="GH14" s="20" t="n">
        <v>0</v>
      </c>
      <c r="GI14" s="20" t="n">
        <v>0</v>
      </c>
      <c r="GJ14" s="20" t="n">
        <v>0</v>
      </c>
      <c r="GK14" s="20" t="n">
        <v>0</v>
      </c>
      <c r="GL14" s="20" t="n">
        <v>0</v>
      </c>
      <c r="GM14" s="20" t="n">
        <v>0</v>
      </c>
      <c r="GN14" s="20" t="n">
        <v>0</v>
      </c>
      <c r="GO14" s="20" t="n">
        <v>0</v>
      </c>
      <c r="GP14" s="20" t="n">
        <v>0</v>
      </c>
      <c r="GQ14" s="20" t="n">
        <v>0</v>
      </c>
      <c r="GR14" s="20" t="n">
        <v>0</v>
      </c>
      <c r="GS14" s="20" t="n">
        <v>0</v>
      </c>
      <c r="GT14" s="20" t="n">
        <v>0</v>
      </c>
      <c r="GU14" s="20" t="n">
        <v>0</v>
      </c>
      <c r="GV14" s="20" t="n">
        <v>0</v>
      </c>
      <c r="GW14" s="20" t="n">
        <v>0</v>
      </c>
      <c r="GX14" s="20" t="n">
        <v>0</v>
      </c>
      <c r="GY14" s="20" t="n">
        <v>0</v>
      </c>
      <c r="GZ14" s="20" t="n">
        <v>0</v>
      </c>
      <c r="HA14" s="20" t="n">
        <v>0</v>
      </c>
      <c r="HB14" s="20" t="n">
        <v>0</v>
      </c>
      <c r="HC14" s="20" t="n">
        <v>0</v>
      </c>
      <c r="HD14" s="20" t="n">
        <v>0</v>
      </c>
      <c r="HE14" s="20" t="n">
        <v>0</v>
      </c>
      <c r="HF14" s="20" t="n">
        <v>0</v>
      </c>
      <c r="HG14" s="20" t="n">
        <v>0</v>
      </c>
      <c r="HH14" s="20" t="n">
        <v>0</v>
      </c>
      <c r="HI14" s="20" t="n">
        <v>0</v>
      </c>
      <c r="HJ14" s="20" t="n">
        <v>0</v>
      </c>
      <c r="HK14" s="20" t="n">
        <v>0</v>
      </c>
      <c r="HL14" s="20" t="n">
        <v>0</v>
      </c>
      <c r="HM14" s="20" t="n">
        <v>0</v>
      </c>
      <c r="HN14" s="20" t="n">
        <v>0</v>
      </c>
      <c r="HO14" s="20" t="n">
        <v>0</v>
      </c>
      <c r="HP14" s="20" t="n">
        <v>0</v>
      </c>
      <c r="HQ14" s="20" t="n">
        <v>0</v>
      </c>
      <c r="HR14" s="20" t="n">
        <v>0</v>
      </c>
      <c r="HS14" s="20" t="n">
        <v>0</v>
      </c>
      <c r="HT14" s="20" t="n">
        <v>0</v>
      </c>
      <c r="HU14" s="20" t="n">
        <v>0</v>
      </c>
      <c r="HV14" s="20" t="n">
        <v>0</v>
      </c>
      <c r="HW14" s="20" t="n">
        <v>0</v>
      </c>
      <c r="HX14" s="20" t="n">
        <v>0</v>
      </c>
      <c r="HY14" s="20" t="n">
        <v>0</v>
      </c>
      <c r="HZ14" s="20" t="n">
        <v>0</v>
      </c>
      <c r="IA14" s="20" t="n">
        <v>0</v>
      </c>
      <c r="IB14" s="20" t="n">
        <v>0</v>
      </c>
      <c r="IC14" s="20" t="n">
        <v>0</v>
      </c>
      <c r="ID14" s="20" t="n">
        <v>0</v>
      </c>
      <c r="IE14" s="20" t="n">
        <v>0</v>
      </c>
      <c r="IF14" s="20" t="n">
        <v>0</v>
      </c>
      <c r="IG14" s="20" t="n">
        <v>0</v>
      </c>
      <c r="IH14" s="20" t="n">
        <v>0</v>
      </c>
      <c r="II14" s="20" t="n">
        <v>0</v>
      </c>
      <c r="IJ14" s="20" t="n">
        <v>0</v>
      </c>
      <c r="IK14" s="20" t="n">
        <v>0</v>
      </c>
      <c r="IL14" s="20" t="n">
        <v>0</v>
      </c>
      <c r="IM14" s="20" t="n">
        <v>0</v>
      </c>
      <c r="IN14" s="20" t="n">
        <v>0</v>
      </c>
      <c r="IO14" s="20" t="n">
        <v>0</v>
      </c>
      <c r="IP14" s="20" t="n">
        <v>0</v>
      </c>
      <c r="IQ14" s="20" t="n">
        <v>0</v>
      </c>
      <c r="IR14" s="20" t="n">
        <f aca="false">IF(AND(H_Direct=1,BR14&gt;0),MAX(0,H14-(MIN(BR14*AKR13,H14+I14)-MIN(MIN(BR14*AKR13,H14+I14),I14))),H14)</f>
        <v>1270</v>
      </c>
      <c r="IS14" s="20" t="n">
        <f aca="false">IF(AND(H_Direct=1,BS14&gt;0),MAX(0,IR14-(MIN(BS14*AKS13,IR14+ME14)-MIN(MIN(BS14*AKS13,IR14+ME14),ME14))),IR14)</f>
        <v>1270</v>
      </c>
      <c r="IT14" s="20" t="n">
        <f aca="false">IF(AND(H_Direct=1,BT14&gt;0),MAX(0,IS14-(MIN(BT14*AKT13,IS14+MF14)-MIN(MIN(BT14*AKT13,IS14+MF14),MF14))),IS14)</f>
        <v>1270</v>
      </c>
      <c r="IU14" s="20" t="n">
        <f aca="false">IF(AND(H_Direct=1,BU14&gt;0),MAX(0,IT14-(MIN(BU14*AKU13,IT14+MG14)-MIN(MIN(BU14*AKU13,IT14+MG14),MG14))),IT14)</f>
        <v>1270</v>
      </c>
      <c r="IV14" s="20" t="n">
        <f aca="false">IF(AND(H_Direct=1,BV14&gt;0),MAX(0,IU14-(MIN(BV14*AKV13,IU14+MH14)-MIN(MIN(BV14*AKV13,IU14+MH14),MH14))),IU14)</f>
        <v>1270</v>
      </c>
      <c r="IW14" s="20" t="n">
        <f aca="false">IF(AND(H_Direct=1,BW14&gt;0),MAX(0,IV14-(MIN(BW14*AKW13,IV14+MI14)-MIN(MIN(BW14*AKW13,IV14+MI14),MI14))),IV14)</f>
        <v>1270</v>
      </c>
      <c r="IX14" s="20" t="n">
        <f aca="false">IF(AND(H_Direct=1,BX14&gt;0),MAX(0,IW14-(MIN(BX14*AKX13,IW14+MJ14)-MIN(MIN(BX14*AKX13,IW14+MJ14),MJ14))),IW14)</f>
        <v>1270</v>
      </c>
      <c r="IY14" s="20" t="n">
        <f aca="false">IF(AND(H_Direct=1,BY14&gt;0),MAX(0,IX14-(MIN(BY14*(P14+S14),IX14+MK14)-MIN(MIN(BY14*(P14+S14),IX14+MK14),MK14))),IX14)</f>
        <v>1270</v>
      </c>
      <c r="IZ14" s="20" t="n">
        <f aca="false">IY14</f>
        <v>1270</v>
      </c>
      <c r="JA14" s="20" t="n">
        <f aca="false">IZ14</f>
        <v>1270</v>
      </c>
      <c r="JB14" s="20" t="n">
        <f aca="false">JA14</f>
        <v>1270</v>
      </c>
      <c r="JC14" s="20" t="n">
        <f aca="false">JB14</f>
        <v>1270</v>
      </c>
      <c r="JD14" s="20" t="n">
        <f aca="false">JC14</f>
        <v>1270</v>
      </c>
      <c r="JE14" s="20" t="n">
        <f aca="false">JD14</f>
        <v>1270</v>
      </c>
      <c r="JF14" s="20" t="n">
        <f aca="false">JE14</f>
        <v>1270</v>
      </c>
      <c r="JG14" s="20" t="n">
        <f aca="false">JF14</f>
        <v>1270</v>
      </c>
      <c r="JH14" s="20" t="n">
        <f aca="false">JG14</f>
        <v>1270</v>
      </c>
      <c r="JI14" s="20" t="n">
        <f aca="false">JH14</f>
        <v>1270</v>
      </c>
      <c r="JJ14" s="20" t="n">
        <f aca="false">JI14</f>
        <v>1270</v>
      </c>
      <c r="JK14" s="20" t="n">
        <f aca="false">JJ14</f>
        <v>1270</v>
      </c>
      <c r="JL14" s="20" t="n">
        <f aca="false">JK14</f>
        <v>1270</v>
      </c>
      <c r="JM14" s="20" t="n">
        <f aca="false">JL14</f>
        <v>1270</v>
      </c>
      <c r="JN14" s="20" t="n">
        <f aca="false">JM14</f>
        <v>1270</v>
      </c>
      <c r="JO14" s="20" t="n">
        <f aca="false">JN14</f>
        <v>1270</v>
      </c>
      <c r="JP14" s="20" t="n">
        <f aca="false">JO14</f>
        <v>1270</v>
      </c>
      <c r="JQ14" s="20" t="n">
        <f aca="false">JP14</f>
        <v>1270</v>
      </c>
      <c r="JR14" s="20" t="n">
        <f aca="false">JQ14</f>
        <v>1270</v>
      </c>
      <c r="JS14" s="20" t="n">
        <f aca="false">JR14</f>
        <v>1270</v>
      </c>
      <c r="JT14" s="20" t="n">
        <f aca="false">JS14</f>
        <v>1270</v>
      </c>
      <c r="JU14" s="20" t="n">
        <f aca="false">JT14</f>
        <v>1270</v>
      </c>
      <c r="JV14" s="20" t="n">
        <f aca="false">JU14</f>
        <v>1270</v>
      </c>
      <c r="JW14" s="20" t="n">
        <f aca="false">JV14</f>
        <v>1270</v>
      </c>
      <c r="JX14" s="20" t="n">
        <f aca="false">JW14</f>
        <v>1270</v>
      </c>
      <c r="JY14" s="20" t="n">
        <f aca="false">JX14</f>
        <v>1270</v>
      </c>
      <c r="JZ14" s="20" t="n">
        <f aca="false">JY14</f>
        <v>1270</v>
      </c>
      <c r="KA14" s="20" t="n">
        <f aca="false">JZ14</f>
        <v>1270</v>
      </c>
      <c r="KB14" s="20" t="n">
        <f aca="false">KA14</f>
        <v>1270</v>
      </c>
      <c r="KC14" s="20" t="n">
        <f aca="false">KB14</f>
        <v>1270</v>
      </c>
      <c r="KD14" s="20" t="n">
        <f aca="false">KC14</f>
        <v>1270</v>
      </c>
      <c r="KE14" s="20" t="n">
        <f aca="false">KD14</f>
        <v>1270</v>
      </c>
      <c r="KF14" s="20" t="n">
        <f aca="false">KE14</f>
        <v>1270</v>
      </c>
      <c r="KG14" s="20" t="n">
        <f aca="false">KF14</f>
        <v>1270</v>
      </c>
      <c r="KH14" s="20" t="n">
        <f aca="false">KG14</f>
        <v>1270</v>
      </c>
      <c r="KI14" s="20" t="n">
        <f aca="false">KH14</f>
        <v>1270</v>
      </c>
      <c r="KJ14" s="20" t="n">
        <f aca="false">KI14</f>
        <v>1270</v>
      </c>
      <c r="KK14" s="20" t="n">
        <f aca="false">KJ14</f>
        <v>1270</v>
      </c>
      <c r="KL14" s="20" t="n">
        <f aca="false">KK14</f>
        <v>1270</v>
      </c>
      <c r="KM14" s="20" t="n">
        <f aca="false">KL14</f>
        <v>1270</v>
      </c>
      <c r="KN14" s="20" t="n">
        <f aca="false">KM14</f>
        <v>1270</v>
      </c>
      <c r="KO14" s="20" t="n">
        <f aca="false">KN14</f>
        <v>1270</v>
      </c>
      <c r="KP14" s="20" t="n">
        <f aca="false">KO14</f>
        <v>1270</v>
      </c>
      <c r="KQ14" s="20" t="n">
        <f aca="false">KP14</f>
        <v>1270</v>
      </c>
      <c r="KR14" s="20" t="n">
        <f aca="false">KQ14</f>
        <v>1270</v>
      </c>
      <c r="KS14" s="20" t="n">
        <f aca="false">KR14</f>
        <v>1270</v>
      </c>
      <c r="KT14" s="20" t="n">
        <f aca="false">KS14</f>
        <v>1270</v>
      </c>
      <c r="KU14" s="20" t="n">
        <f aca="false">KT14</f>
        <v>1270</v>
      </c>
      <c r="KV14" s="20" t="n">
        <f aca="false">KU14</f>
        <v>1270</v>
      </c>
      <c r="KW14" s="20" t="n">
        <f aca="false">KV14</f>
        <v>1270</v>
      </c>
      <c r="KX14" s="20" t="n">
        <f aca="false">KW14</f>
        <v>1270</v>
      </c>
      <c r="KY14" s="20" t="n">
        <f aca="false">KX14</f>
        <v>1270</v>
      </c>
      <c r="KZ14" s="20" t="n">
        <f aca="false">KY14</f>
        <v>1270</v>
      </c>
      <c r="LA14" s="20" t="n">
        <f aca="false">KZ14</f>
        <v>1270</v>
      </c>
      <c r="LB14" s="20" t="n">
        <f aca="false">LA14</f>
        <v>1270</v>
      </c>
      <c r="LC14" s="20" t="n">
        <f aca="false">LB14</f>
        <v>1270</v>
      </c>
      <c r="LD14" s="20" t="n">
        <f aca="false">LC14</f>
        <v>1270</v>
      </c>
      <c r="LE14" s="20" t="n">
        <f aca="false">LD14</f>
        <v>1270</v>
      </c>
      <c r="LF14" s="20" t="n">
        <f aca="false">LE14</f>
        <v>1270</v>
      </c>
      <c r="LG14" s="20" t="n">
        <f aca="false">LF14</f>
        <v>1270</v>
      </c>
      <c r="LH14" s="20" t="n">
        <f aca="false">LG14</f>
        <v>1270</v>
      </c>
      <c r="LI14" s="20" t="n">
        <f aca="false">LH14</f>
        <v>1270</v>
      </c>
      <c r="LJ14" s="20" t="n">
        <f aca="false">LI14</f>
        <v>1270</v>
      </c>
      <c r="LK14" s="20" t="n">
        <f aca="false">LJ14</f>
        <v>1270</v>
      </c>
      <c r="LL14" s="20" t="n">
        <f aca="false">LK14</f>
        <v>1270</v>
      </c>
      <c r="LM14" s="20" t="n">
        <f aca="false">LL14</f>
        <v>1270</v>
      </c>
      <c r="LN14" s="20" t="n">
        <f aca="false">LM14</f>
        <v>1270</v>
      </c>
      <c r="LO14" s="20" t="n">
        <f aca="false">LN14</f>
        <v>1270</v>
      </c>
      <c r="LP14" s="20" t="n">
        <f aca="false">LO14</f>
        <v>1270</v>
      </c>
      <c r="LQ14" s="20" t="n">
        <f aca="false">LP14</f>
        <v>1270</v>
      </c>
      <c r="LR14" s="20" t="n">
        <f aca="false">LQ14</f>
        <v>1270</v>
      </c>
      <c r="LS14" s="20" t="n">
        <f aca="false">LR14</f>
        <v>1270</v>
      </c>
      <c r="LT14" s="20" t="n">
        <f aca="false">LS14</f>
        <v>1270</v>
      </c>
      <c r="LU14" s="20" t="n">
        <f aca="false">LT14</f>
        <v>1270</v>
      </c>
      <c r="LV14" s="20" t="n">
        <f aca="false">LU14</f>
        <v>1270</v>
      </c>
      <c r="LW14" s="20" t="n">
        <f aca="false">LV14</f>
        <v>1270</v>
      </c>
      <c r="LX14" s="20" t="n">
        <f aca="false">LW14</f>
        <v>1270</v>
      </c>
      <c r="LY14" s="20" t="n">
        <f aca="false">LX14</f>
        <v>1270</v>
      </c>
      <c r="LZ14" s="20" t="n">
        <f aca="false">LY14</f>
        <v>1270</v>
      </c>
      <c r="MA14" s="20" t="n">
        <f aca="false">LZ14</f>
        <v>1270</v>
      </c>
      <c r="MB14" s="20" t="n">
        <f aca="false">MA14</f>
        <v>1270</v>
      </c>
      <c r="MC14" s="20" t="n">
        <f aca="false">MB14</f>
        <v>1270</v>
      </c>
      <c r="MD14" s="20" t="n">
        <f aca="false">MC14</f>
        <v>1270</v>
      </c>
      <c r="ME14" s="20" t="n">
        <f aca="false">IF(H_Direct=1,IF(BR14&lt;=0,I14-BR14*AKR13,I14-MIN(MIN(BR14*AKR13,H14+I14),I14)),I14)</f>
        <v>0</v>
      </c>
      <c r="MF14" s="20" t="n">
        <f aca="false">IF(H_Direct=1,IF(BS14&lt;=0,ME14-BS14*AKS13,ME14-MIN(MIN(BS14*AKS13,IR14+ME14),ME14)),ME14)</f>
        <v>0</v>
      </c>
      <c r="MG14" s="20" t="n">
        <f aca="false">IF(H_Direct=1,IF(BT14&lt;=0,MF14-BT14*AKT13,MF14-MIN(MIN(BT14*AKT13,IS14+MF14),MF14)),MF14)</f>
        <v>0</v>
      </c>
      <c r="MH14" s="20" t="n">
        <f aca="false">IF(H_Direct=1,IF(BU14&lt;=0,MG14-BU14*AKU13,MG14-MIN(MIN(BU14*AKU13,IT14+MG14),MG14)),MG14)</f>
        <v>0</v>
      </c>
      <c r="MI14" s="20" t="n">
        <f aca="false">IF(H_Direct=1,IF(BV14&lt;=0,MH14-BV14*AKV13,MH14-MIN(MIN(BV14*AKV13,IU14+MH14),MH14)),MH14)</f>
        <v>0</v>
      </c>
      <c r="MJ14" s="20" t="n">
        <f aca="false">IF(H_Direct=1,IF(BW14&lt;=0,MI14-BW14*AKW13,MI14-MIN(MIN(BW14*AKW13,IV14+MI14),MI14)),MI14)</f>
        <v>0</v>
      </c>
      <c r="MK14" s="20" t="n">
        <f aca="false">IF(H_Direct=1,IF(BX14&lt;=0,MJ14-BX14*AKX13,MJ14-MIN(MIN(BX14*AKX13,IW14+MJ14),MJ14)),MJ14)</f>
        <v>0</v>
      </c>
      <c r="ML14" s="20" t="n">
        <f aca="false">IF(H_Direct=1,IF(BY14&lt;=0,MK14-BY14*(P14+S14),MK14-MIN(MIN(BY14*(P14+S14),IX14+MK14),MK14)),MK14)</f>
        <v>0</v>
      </c>
      <c r="MM14" s="20" t="n">
        <f aca="false">ML14</f>
        <v>0</v>
      </c>
      <c r="MN14" s="20" t="n">
        <f aca="false">MM14</f>
        <v>0</v>
      </c>
      <c r="MO14" s="20" t="n">
        <f aca="false">MN14</f>
        <v>0</v>
      </c>
      <c r="MP14" s="20" t="n">
        <f aca="false">MO14</f>
        <v>0</v>
      </c>
      <c r="MQ14" s="20" t="n">
        <f aca="false">MP14</f>
        <v>0</v>
      </c>
      <c r="MR14" s="20" t="n">
        <f aca="false">MQ14</f>
        <v>0</v>
      </c>
      <c r="MS14" s="20" t="n">
        <f aca="false">MR14</f>
        <v>0</v>
      </c>
      <c r="MT14" s="20" t="n">
        <f aca="false">MS14</f>
        <v>0</v>
      </c>
      <c r="MU14" s="20" t="n">
        <f aca="false">MT14</f>
        <v>0</v>
      </c>
      <c r="MV14" s="20" t="n">
        <f aca="false">MU14</f>
        <v>0</v>
      </c>
      <c r="MW14" s="20" t="n">
        <f aca="false">MV14</f>
        <v>0</v>
      </c>
      <c r="MX14" s="20" t="n">
        <f aca="false">MW14</f>
        <v>0</v>
      </c>
      <c r="MY14" s="20" t="n">
        <f aca="false">MX14</f>
        <v>0</v>
      </c>
      <c r="MZ14" s="20" t="n">
        <f aca="false">MY14</f>
        <v>0</v>
      </c>
      <c r="NA14" s="20" t="n">
        <f aca="false">MZ14</f>
        <v>0</v>
      </c>
      <c r="NB14" s="20" t="n">
        <f aca="false">NA14</f>
        <v>0</v>
      </c>
      <c r="NC14" s="20" t="n">
        <f aca="false">NB14</f>
        <v>0</v>
      </c>
      <c r="ND14" s="20" t="n">
        <f aca="false">NC14</f>
        <v>0</v>
      </c>
      <c r="NE14" s="20" t="n">
        <f aca="false">ND14</f>
        <v>0</v>
      </c>
      <c r="NF14" s="20" t="n">
        <f aca="false">NE14</f>
        <v>0</v>
      </c>
      <c r="NG14" s="20" t="n">
        <f aca="false">NF14</f>
        <v>0</v>
      </c>
      <c r="NH14" s="20" t="n">
        <f aca="false">NG14</f>
        <v>0</v>
      </c>
      <c r="NI14" s="20" t="n">
        <f aca="false">NH14</f>
        <v>0</v>
      </c>
      <c r="NJ14" s="20" t="n">
        <f aca="false">NI14</f>
        <v>0</v>
      </c>
      <c r="NK14" s="20" t="n">
        <f aca="false">NJ14</f>
        <v>0</v>
      </c>
      <c r="NL14" s="20" t="n">
        <f aca="false">NK14</f>
        <v>0</v>
      </c>
      <c r="NM14" s="20" t="n">
        <f aca="false">NL14</f>
        <v>0</v>
      </c>
      <c r="NN14" s="20" t="n">
        <f aca="false">NM14</f>
        <v>0</v>
      </c>
      <c r="NO14" s="20" t="n">
        <f aca="false">NN14</f>
        <v>0</v>
      </c>
      <c r="NP14" s="20" t="n">
        <f aca="false">NO14</f>
        <v>0</v>
      </c>
      <c r="NQ14" s="20" t="n">
        <f aca="false">NP14</f>
        <v>0</v>
      </c>
      <c r="NR14" s="20" t="n">
        <f aca="false">NQ14</f>
        <v>0</v>
      </c>
      <c r="NS14" s="20" t="n">
        <f aca="false">NR14</f>
        <v>0</v>
      </c>
      <c r="NT14" s="20" t="n">
        <f aca="false">NS14</f>
        <v>0</v>
      </c>
      <c r="NU14" s="20" t="n">
        <f aca="false">NT14</f>
        <v>0</v>
      </c>
      <c r="NV14" s="20" t="n">
        <f aca="false">NU14</f>
        <v>0</v>
      </c>
      <c r="NW14" s="20" t="n">
        <f aca="false">NV14</f>
        <v>0</v>
      </c>
      <c r="NX14" s="20" t="n">
        <f aca="false">NW14</f>
        <v>0</v>
      </c>
      <c r="NY14" s="20" t="n">
        <f aca="false">NX14</f>
        <v>0</v>
      </c>
      <c r="NZ14" s="20" t="n">
        <f aca="false">NY14</f>
        <v>0</v>
      </c>
      <c r="OA14" s="20" t="n">
        <f aca="false">NZ14</f>
        <v>0</v>
      </c>
      <c r="OB14" s="20" t="n">
        <f aca="false">OA14</f>
        <v>0</v>
      </c>
      <c r="OC14" s="20" t="n">
        <f aca="false">OB14</f>
        <v>0</v>
      </c>
      <c r="OD14" s="20" t="n">
        <f aca="false">OC14</f>
        <v>0</v>
      </c>
      <c r="OE14" s="20" t="n">
        <f aca="false">OD14</f>
        <v>0</v>
      </c>
      <c r="OF14" s="20" t="n">
        <f aca="false">OE14</f>
        <v>0</v>
      </c>
      <c r="OG14" s="20" t="n">
        <f aca="false">OF14</f>
        <v>0</v>
      </c>
      <c r="OH14" s="20" t="n">
        <f aca="false">OG14</f>
        <v>0</v>
      </c>
      <c r="OI14" s="20" t="n">
        <f aca="false">OH14</f>
        <v>0</v>
      </c>
      <c r="OJ14" s="20" t="n">
        <f aca="false">OI14</f>
        <v>0</v>
      </c>
      <c r="OK14" s="20" t="n">
        <f aca="false">OJ14</f>
        <v>0</v>
      </c>
      <c r="OL14" s="20" t="n">
        <f aca="false">OK14</f>
        <v>0</v>
      </c>
      <c r="OM14" s="20" t="n">
        <f aca="false">OL14</f>
        <v>0</v>
      </c>
      <c r="ON14" s="20" t="n">
        <f aca="false">OM14</f>
        <v>0</v>
      </c>
      <c r="OO14" s="20" t="n">
        <f aca="false">ON14</f>
        <v>0</v>
      </c>
      <c r="OP14" s="20" t="n">
        <f aca="false">OO14</f>
        <v>0</v>
      </c>
      <c r="OQ14" s="20" t="n">
        <f aca="false">OP14</f>
        <v>0</v>
      </c>
      <c r="OR14" s="20" t="n">
        <f aca="false">OQ14</f>
        <v>0</v>
      </c>
      <c r="OS14" s="20" t="n">
        <f aca="false">OR14</f>
        <v>0</v>
      </c>
      <c r="OT14" s="20" t="n">
        <f aca="false">OS14</f>
        <v>0</v>
      </c>
      <c r="OU14" s="20" t="n">
        <f aca="false">OT14</f>
        <v>0</v>
      </c>
      <c r="OV14" s="20" t="n">
        <f aca="false">OU14</f>
        <v>0</v>
      </c>
      <c r="OW14" s="20" t="n">
        <f aca="false">OV14</f>
        <v>0</v>
      </c>
      <c r="OX14" s="20" t="n">
        <f aca="false">OW14</f>
        <v>0</v>
      </c>
      <c r="OY14" s="20" t="n">
        <f aca="false">OX14</f>
        <v>0</v>
      </c>
      <c r="OZ14" s="20" t="n">
        <f aca="false">OY14</f>
        <v>0</v>
      </c>
      <c r="PA14" s="20" t="n">
        <f aca="false">OZ14</f>
        <v>0</v>
      </c>
      <c r="PB14" s="20" t="n">
        <f aca="false">PA14</f>
        <v>0</v>
      </c>
      <c r="PC14" s="20" t="n">
        <f aca="false">PB14</f>
        <v>0</v>
      </c>
      <c r="PD14" s="20" t="n">
        <f aca="false">PC14</f>
        <v>0</v>
      </c>
      <c r="PE14" s="20" t="n">
        <f aca="false">PD14</f>
        <v>0</v>
      </c>
      <c r="PF14" s="20" t="n">
        <f aca="false">PE14</f>
        <v>0</v>
      </c>
      <c r="PG14" s="20" t="n">
        <f aca="false">PF14</f>
        <v>0</v>
      </c>
      <c r="PH14" s="20" t="n">
        <f aca="false">PG14</f>
        <v>0</v>
      </c>
      <c r="PI14" s="20" t="n">
        <f aca="false">PH14</f>
        <v>0</v>
      </c>
      <c r="PJ14" s="20" t="n">
        <f aca="false">PI14</f>
        <v>0</v>
      </c>
      <c r="PK14" s="20" t="n">
        <f aca="false">PJ14</f>
        <v>0</v>
      </c>
      <c r="PL14" s="20" t="n">
        <f aca="false">PK14</f>
        <v>0</v>
      </c>
      <c r="PM14" s="20" t="n">
        <f aca="false">PL14</f>
        <v>0</v>
      </c>
      <c r="PN14" s="20" t="n">
        <f aca="false">PM14</f>
        <v>0</v>
      </c>
      <c r="PO14" s="20" t="n">
        <f aca="false">PN14</f>
        <v>0</v>
      </c>
      <c r="PP14" s="20" t="n">
        <f aca="false">PO14</f>
        <v>0</v>
      </c>
      <c r="PQ14" s="20" t="n">
        <f aca="false">PP14</f>
        <v>0</v>
      </c>
      <c r="PR14" s="20" t="n">
        <f aca="false">IF(H_Direct=1,IF(AKR13&lt;=0,0,IF(BR14&lt;=0,MIN(MAX(0,AB14),AKR13),MIN(MAX(0,AB14),AKR13-G14*MAX(0,BR14*AKR13-(H14+I14))))),MIN(FE14,MAX(0,AB14)))</f>
        <v>0</v>
      </c>
      <c r="PS14" s="20" t="n">
        <f aca="false">IF(H_Direct=1,IF(AKS13&lt;=0,0,IF(BS14&lt;=0,MIN(MAX(0,AB14-SUM(PR14:PR14)),AKS13),MIN(MAX(0,AB14-SUM(PR14:PR14)),AKS13-G14*MAX(0,BS14*AKS13-(WR14+AAE14))))),MIN(FF14,MAX(0,AB14-SUM(PR14:PR14))))</f>
        <v>0</v>
      </c>
      <c r="PT14" s="20" t="n">
        <f aca="false">IF(H_Direct=1,IF(AKT13&lt;=0,0,IF(BT14&lt;=0,MIN(MAX(0,AB14-SUM(PR14:PS14)),AKT13),MIN(MAX(0,AB14-SUM(PR14:PS14)),AKT13-G14*MAX(0,BT14*AKT13-(WS14+AAF14))))),MIN(FG14,MAX(0,AB14-SUM(PR14:PS14))))</f>
        <v>0</v>
      </c>
      <c r="PU14" s="20" t="n">
        <f aca="false">IF(H_Direct=1,IF(AKU13&lt;=0,0,IF(BU14&lt;=0,MIN(MAX(0,AB14-SUM(PR14:PT14)),AKU13),MIN(MAX(0,AB14-SUM(PR14:PT14)),AKU13-G14*MAX(0,BU14*AKU13-(WT14+AAG14))))),MIN(FH14,MAX(0,AB14-SUM(PR14:PT14))))</f>
        <v>0</v>
      </c>
      <c r="PV14" s="20" t="n">
        <f aca="false">IF(H_Direct=1,IF(AKV13&lt;=0,0,IF(BV14&lt;=0,MIN(MAX(0,AB14-SUM(PR14:PU14)),AKV13),MIN(MAX(0,AB14-SUM(PR14:PU14)),AKV13-G14*MAX(0,BV14*AKV13-(WU14+AAH14))))),MIN(FI14,MAX(0,AB14-SUM(PR14:PU14))))</f>
        <v>0</v>
      </c>
      <c r="PW14" s="20" t="n">
        <f aca="false">IF(H_Direct=1,IF(AKW13&lt;=0,0,IF(BW14&lt;=0,MIN(MAX(0,AB14-SUM(PR14:PV14)),AKW13),MIN(MAX(0,AB14-SUM(PR14:PV14)),AKW13-G14*MAX(0,BW14*AKW13-(WV14+AAI14))))),MIN(FJ14,MAX(0,AB14-SUM(PR14:PV14))))</f>
        <v>0</v>
      </c>
      <c r="PX14" s="20" t="n">
        <f aca="false">IF(H_Direct=1,IF(AKX13&lt;=0,0,IF(BX14&lt;=0,MIN(MAX(0,AB14-SUM(PR14:PW14)),AKX13),MIN(MAX(0,AB14-SUM(PR14:PW14)),AKX13-G14*MAX(0,BX14*AKX13-(WW14+AAJ14))))),MIN(FK14,MAX(0,AB14-SUM(PR14:PW14))))</f>
        <v>0</v>
      </c>
      <c r="PY14" s="20" t="n">
        <f aca="false">IF(H_Direct=1,IF((P14+S14)&lt;=0,0,IF(BY14&lt;=0,MIN(MAX(0,AB14-SUM(PR14:PX14)),(P14+S14)),MIN(MAX(0,AB14-SUM(PR14:PX14)),(P14+S14)-G14*MAX(0,BY14*(P14+S14)-(WX14+AAK14))))),MIN(FL14,MAX(0,AB14-SUM(PR14:PX14))))</f>
        <v>0</v>
      </c>
      <c r="PZ14" s="20" t="n">
        <v>0</v>
      </c>
      <c r="QA14" s="20" t="n">
        <v>0</v>
      </c>
      <c r="QB14" s="20" t="n">
        <v>0</v>
      </c>
      <c r="QC14" s="20" t="n">
        <v>0</v>
      </c>
      <c r="QD14" s="20" t="n">
        <v>0</v>
      </c>
      <c r="QE14" s="20" t="n">
        <v>0</v>
      </c>
      <c r="QF14" s="20" t="n">
        <v>0</v>
      </c>
      <c r="QG14" s="20" t="n">
        <v>0</v>
      </c>
      <c r="QH14" s="20" t="n">
        <v>0</v>
      </c>
      <c r="QI14" s="20" t="n">
        <v>0</v>
      </c>
      <c r="QJ14" s="20" t="n">
        <v>0</v>
      </c>
      <c r="QK14" s="20" t="n">
        <v>0</v>
      </c>
      <c r="QL14" s="20" t="n">
        <v>0</v>
      </c>
      <c r="QM14" s="20" t="n">
        <v>0</v>
      </c>
      <c r="QN14" s="20" t="n">
        <v>0</v>
      </c>
      <c r="QO14" s="20" t="n">
        <v>0</v>
      </c>
      <c r="QP14" s="20" t="n">
        <v>0</v>
      </c>
      <c r="QQ14" s="20" t="n">
        <v>0</v>
      </c>
      <c r="QR14" s="20" t="n">
        <v>0</v>
      </c>
      <c r="QS14" s="20" t="n">
        <v>0</v>
      </c>
      <c r="QT14" s="20" t="n">
        <v>0</v>
      </c>
      <c r="QU14" s="20" t="n">
        <v>0</v>
      </c>
      <c r="QV14" s="20" t="n">
        <v>0</v>
      </c>
      <c r="QW14" s="20" t="n">
        <v>0</v>
      </c>
      <c r="QX14" s="20" t="n">
        <v>0</v>
      </c>
      <c r="QY14" s="20" t="n">
        <v>0</v>
      </c>
      <c r="QZ14" s="20" t="n">
        <v>0</v>
      </c>
      <c r="RA14" s="20" t="n">
        <v>0</v>
      </c>
      <c r="RB14" s="20" t="n">
        <v>0</v>
      </c>
      <c r="RC14" s="20" t="n">
        <v>0</v>
      </c>
      <c r="RD14" s="20" t="n">
        <v>0</v>
      </c>
      <c r="RE14" s="20" t="n">
        <v>0</v>
      </c>
      <c r="RF14" s="20" t="n">
        <v>0</v>
      </c>
      <c r="RG14" s="20" t="n">
        <v>0</v>
      </c>
      <c r="RH14" s="20" t="n">
        <v>0</v>
      </c>
      <c r="RI14" s="20" t="n">
        <v>0</v>
      </c>
      <c r="RJ14" s="20" t="n">
        <v>0</v>
      </c>
      <c r="RK14" s="20" t="n">
        <v>0</v>
      </c>
      <c r="RL14" s="20" t="n">
        <v>0</v>
      </c>
      <c r="RM14" s="20" t="n">
        <v>0</v>
      </c>
      <c r="RN14" s="20" t="n">
        <v>0</v>
      </c>
      <c r="RO14" s="20" t="n">
        <v>0</v>
      </c>
      <c r="RP14" s="20" t="n">
        <v>0</v>
      </c>
      <c r="RQ14" s="20" t="n">
        <v>0</v>
      </c>
      <c r="RR14" s="20" t="n">
        <v>0</v>
      </c>
      <c r="RS14" s="20" t="n">
        <v>0</v>
      </c>
      <c r="RT14" s="20" t="n">
        <v>0</v>
      </c>
      <c r="RU14" s="20" t="n">
        <v>0</v>
      </c>
      <c r="RV14" s="20" t="n">
        <v>0</v>
      </c>
      <c r="RW14" s="20" t="n">
        <v>0</v>
      </c>
      <c r="RX14" s="20" t="n">
        <v>0</v>
      </c>
      <c r="RY14" s="20" t="n">
        <v>0</v>
      </c>
      <c r="RZ14" s="20" t="n">
        <v>0</v>
      </c>
      <c r="SA14" s="20" t="n">
        <v>0</v>
      </c>
      <c r="SB14" s="20" t="n">
        <v>0</v>
      </c>
      <c r="SC14" s="20" t="n">
        <v>0</v>
      </c>
      <c r="SD14" s="20" t="n">
        <v>0</v>
      </c>
      <c r="SE14" s="20" t="n">
        <v>0</v>
      </c>
      <c r="SF14" s="20" t="n">
        <v>0</v>
      </c>
      <c r="SG14" s="20" t="n">
        <v>0</v>
      </c>
      <c r="SH14" s="20" t="n">
        <v>0</v>
      </c>
      <c r="SI14" s="20" t="n">
        <v>0</v>
      </c>
      <c r="SJ14" s="20" t="n">
        <v>0</v>
      </c>
      <c r="SK14" s="20" t="n">
        <v>0</v>
      </c>
      <c r="SL14" s="20" t="n">
        <v>0</v>
      </c>
      <c r="SM14" s="20" t="n">
        <v>0</v>
      </c>
      <c r="SN14" s="20" t="n">
        <v>0</v>
      </c>
      <c r="SO14" s="20" t="n">
        <v>0</v>
      </c>
      <c r="SP14" s="20" t="n">
        <v>0</v>
      </c>
      <c r="SQ14" s="20" t="n">
        <v>0</v>
      </c>
      <c r="SR14" s="20" t="n">
        <v>0</v>
      </c>
      <c r="SS14" s="20" t="n">
        <v>0</v>
      </c>
      <c r="ST14" s="20" t="n">
        <v>0</v>
      </c>
      <c r="SU14" s="20" t="n">
        <v>0</v>
      </c>
      <c r="SV14" s="20" t="n">
        <v>0</v>
      </c>
      <c r="SW14" s="20" t="n">
        <v>0</v>
      </c>
      <c r="SX14" s="20" t="n">
        <v>0</v>
      </c>
      <c r="SY14" s="20" t="n">
        <v>0</v>
      </c>
      <c r="SZ14" s="20" t="n">
        <v>0</v>
      </c>
      <c r="TA14" s="20" t="n">
        <v>0</v>
      </c>
      <c r="TB14" s="20" t="n">
        <v>0</v>
      </c>
      <c r="TC14" s="20" t="n">
        <v>0</v>
      </c>
      <c r="TD14" s="20" t="n">
        <v>0</v>
      </c>
      <c r="TE14" s="20" t="n">
        <f aca="false">IF(AKR13&lt;=0,0,IF(H_Direct=1,IF(BR14&lt;=0,PR14,IF(PR14&lt;=(H14+I14)/BR14,PR14,(PR14-G14*(H14+I14))/(1-G14*BR14))),PR14/(1-MAX(0,BR14)*H_Exit)))</f>
        <v>0</v>
      </c>
      <c r="TF14" s="20" t="n">
        <f aca="false">IF(AKS13&lt;=0,0,IF(H_Direct=1,IF(BS14&lt;=0,PS14,IF(PS14&lt;=(WR14+AAE14)/BS14,PS14,(PS14-G14*(WR14+AAE14))/(1-G14*BS14))),PS14/(1-MAX(0,BS14)*H_Exit)))</f>
        <v>0</v>
      </c>
      <c r="TG14" s="20" t="n">
        <f aca="false">IF(AKT13&lt;=0,0,IF(H_Direct=1,IF(BT14&lt;=0,PT14,IF(PT14&lt;=(WS14+AAF14)/BT14,PT14,(PT14-G14*(WS14+AAF14))/(1-G14*BT14))),PT14/(1-MAX(0,BT14)*H_Exit)))</f>
        <v>0</v>
      </c>
      <c r="TH14" s="20" t="n">
        <f aca="false">IF(AKU13&lt;=0,0,IF(H_Direct=1,IF(BU14&lt;=0,PU14,IF(PU14&lt;=(WT14+AAG14)/BU14,PU14,(PU14-G14*(WT14+AAG14))/(1-G14*BU14))),PU14/(1-MAX(0,BU14)*H_Exit)))</f>
        <v>0</v>
      </c>
      <c r="TI14" s="20" t="n">
        <f aca="false">IF(AKV13&lt;=0,0,IF(H_Direct=1,IF(BV14&lt;=0,PV14,IF(PV14&lt;=(WU14+AAH14)/BV14,PV14,(PV14-G14*(WU14+AAH14))/(1-G14*BV14))),PV14/(1-MAX(0,BV14)*H_Exit)))</f>
        <v>0</v>
      </c>
      <c r="TJ14" s="20" t="n">
        <f aca="false">IF(AKW13&lt;=0,0,IF(H_Direct=1,IF(BW14&lt;=0,PW14,IF(PW14&lt;=(WV14+AAI14)/BW14,PW14,(PW14-G14*(WV14+AAI14))/(1-G14*BW14))),PW14/(1-MAX(0,BW14)*H_Exit)))</f>
        <v>0</v>
      </c>
      <c r="TK14" s="20" t="n">
        <f aca="false">IF(AKX13&lt;=0,0,IF(H_Direct=1,IF(BX14&lt;=0,PX14,IF(PX14&lt;=(WW14+AAJ14)/BX14,PX14,(PX14-G14*(WW14+AAJ14))/(1-G14*BX14))),PX14/(1-MAX(0,BX14)*H_Exit)))</f>
        <v>0</v>
      </c>
      <c r="TL14" s="20" t="n">
        <f aca="false">IF((P14+S14)&lt;=0,0,IF(H_Direct=1,IF(BY14&lt;=0,PY14,IF(PY14&lt;=(WX14+AAK14)/BY14,PY14,(PY14-G14*(WX14+AAK14))/(1-G14*BY14))),PY14/(1-MAX(0,BY14)*H_Exit)))</f>
        <v>0</v>
      </c>
      <c r="TM14" s="20" t="n">
        <v>0</v>
      </c>
      <c r="TN14" s="20" t="n">
        <v>0</v>
      </c>
      <c r="TO14" s="20" t="n">
        <v>0</v>
      </c>
      <c r="TP14" s="20" t="n">
        <v>0</v>
      </c>
      <c r="TQ14" s="20" t="n">
        <v>0</v>
      </c>
      <c r="TR14" s="20" t="n">
        <v>0</v>
      </c>
      <c r="TS14" s="20" t="n">
        <v>0</v>
      </c>
      <c r="TT14" s="20" t="n">
        <v>0</v>
      </c>
      <c r="TU14" s="20" t="n">
        <v>0</v>
      </c>
      <c r="TV14" s="20" t="n">
        <v>0</v>
      </c>
      <c r="TW14" s="20" t="n">
        <v>0</v>
      </c>
      <c r="TX14" s="20" t="n">
        <v>0</v>
      </c>
      <c r="TY14" s="20" t="n">
        <v>0</v>
      </c>
      <c r="TZ14" s="20" t="n">
        <v>0</v>
      </c>
      <c r="UA14" s="20" t="n">
        <v>0</v>
      </c>
      <c r="UB14" s="20" t="n">
        <v>0</v>
      </c>
      <c r="UC14" s="20" t="n">
        <v>0</v>
      </c>
      <c r="UD14" s="20" t="n">
        <v>0</v>
      </c>
      <c r="UE14" s="20" t="n">
        <v>0</v>
      </c>
      <c r="UF14" s="20" t="n">
        <v>0</v>
      </c>
      <c r="UG14" s="20" t="n">
        <v>0</v>
      </c>
      <c r="UH14" s="20" t="n">
        <v>0</v>
      </c>
      <c r="UI14" s="20" t="n">
        <v>0</v>
      </c>
      <c r="UJ14" s="20" t="n">
        <v>0</v>
      </c>
      <c r="UK14" s="20" t="n">
        <v>0</v>
      </c>
      <c r="UL14" s="20" t="n">
        <v>0</v>
      </c>
      <c r="UM14" s="20" t="n">
        <v>0</v>
      </c>
      <c r="UN14" s="20" t="n">
        <v>0</v>
      </c>
      <c r="UO14" s="20" t="n">
        <v>0</v>
      </c>
      <c r="UP14" s="20" t="n">
        <v>0</v>
      </c>
      <c r="UQ14" s="20" t="n">
        <v>0</v>
      </c>
      <c r="UR14" s="20" t="n">
        <v>0</v>
      </c>
      <c r="US14" s="20" t="n">
        <v>0</v>
      </c>
      <c r="UT14" s="20" t="n">
        <v>0</v>
      </c>
      <c r="UU14" s="20" t="n">
        <v>0</v>
      </c>
      <c r="UV14" s="20" t="n">
        <v>0</v>
      </c>
      <c r="UW14" s="20" t="n">
        <v>0</v>
      </c>
      <c r="UX14" s="20" t="n">
        <v>0</v>
      </c>
      <c r="UY14" s="20" t="n">
        <v>0</v>
      </c>
      <c r="UZ14" s="20" t="n">
        <v>0</v>
      </c>
      <c r="VA14" s="20" t="n">
        <v>0</v>
      </c>
      <c r="VB14" s="20" t="n">
        <v>0</v>
      </c>
      <c r="VC14" s="20" t="n">
        <v>0</v>
      </c>
      <c r="VD14" s="20" t="n">
        <v>0</v>
      </c>
      <c r="VE14" s="20" t="n">
        <v>0</v>
      </c>
      <c r="VF14" s="20" t="n">
        <v>0</v>
      </c>
      <c r="VG14" s="20" t="n">
        <v>0</v>
      </c>
      <c r="VH14" s="20" t="n">
        <v>0</v>
      </c>
      <c r="VI14" s="20" t="n">
        <v>0</v>
      </c>
      <c r="VJ14" s="20" t="n">
        <v>0</v>
      </c>
      <c r="VK14" s="20" t="n">
        <v>0</v>
      </c>
      <c r="VL14" s="20" t="n">
        <v>0</v>
      </c>
      <c r="VM14" s="20" t="n">
        <v>0</v>
      </c>
      <c r="VN14" s="20" t="n">
        <v>0</v>
      </c>
      <c r="VO14" s="20" t="n">
        <v>0</v>
      </c>
      <c r="VP14" s="20" t="n">
        <v>0</v>
      </c>
      <c r="VQ14" s="20" t="n">
        <v>0</v>
      </c>
      <c r="VR14" s="20" t="n">
        <v>0</v>
      </c>
      <c r="VS14" s="20" t="n">
        <v>0</v>
      </c>
      <c r="VT14" s="20" t="n">
        <v>0</v>
      </c>
      <c r="VU14" s="20" t="n">
        <v>0</v>
      </c>
      <c r="VV14" s="20" t="n">
        <v>0</v>
      </c>
      <c r="VW14" s="20" t="n">
        <v>0</v>
      </c>
      <c r="VX14" s="20" t="n">
        <v>0</v>
      </c>
      <c r="VY14" s="20" t="n">
        <v>0</v>
      </c>
      <c r="VZ14" s="20" t="n">
        <v>0</v>
      </c>
      <c r="WA14" s="20" t="n">
        <v>0</v>
      </c>
      <c r="WB14" s="20" t="n">
        <v>0</v>
      </c>
      <c r="WC14" s="20" t="n">
        <v>0</v>
      </c>
      <c r="WD14" s="20" t="n">
        <v>0</v>
      </c>
      <c r="WE14" s="20" t="n">
        <v>0</v>
      </c>
      <c r="WF14" s="20" t="n">
        <v>0</v>
      </c>
      <c r="WG14" s="20" t="n">
        <v>0</v>
      </c>
      <c r="WH14" s="20" t="n">
        <v>0</v>
      </c>
      <c r="WI14" s="20" t="n">
        <v>0</v>
      </c>
      <c r="WJ14" s="20" t="n">
        <v>0</v>
      </c>
      <c r="WK14" s="20" t="n">
        <v>0</v>
      </c>
      <c r="WL14" s="20" t="n">
        <v>0</v>
      </c>
      <c r="WM14" s="20" t="n">
        <v>0</v>
      </c>
      <c r="WN14" s="20" t="n">
        <v>0</v>
      </c>
      <c r="WO14" s="20" t="n">
        <v>0</v>
      </c>
      <c r="WP14" s="20" t="n">
        <v>0</v>
      </c>
      <c r="WQ14" s="20" t="n">
        <v>0</v>
      </c>
      <c r="WR14" s="20" t="n">
        <f aca="false">IF(AND(H_Direct=1,BR14&gt;0),MAX(0,H14-(MIN(BR14*TE14,(H14+I14))-MIN(MIN(BR14*TE14,(H14+I14)),I14))),H14)</f>
        <v>1270</v>
      </c>
      <c r="WS14" s="20" t="n">
        <f aca="false">IF(AND(H_Direct=1,BS14&gt;0),MAX(0,WR14-(MIN(BS14*TF14,(WR14+AAE14))-MIN(MIN(BS14*TF14,(WR14+AAE14)),AAE14))),WR14)</f>
        <v>1270</v>
      </c>
      <c r="WT14" s="20" t="n">
        <f aca="false">IF(AND(H_Direct=1,BT14&gt;0),MAX(0,WS14-(MIN(BT14*TG14,(WS14+AAF14))-MIN(MIN(BT14*TG14,(WS14+AAF14)),AAF14))),WS14)</f>
        <v>1270</v>
      </c>
      <c r="WU14" s="20" t="n">
        <f aca="false">IF(AND(H_Direct=1,BU14&gt;0),MAX(0,WT14-(MIN(BU14*TH14,(WT14+AAG14))-MIN(MIN(BU14*TH14,(WT14+AAG14)),AAG14))),WT14)</f>
        <v>1270</v>
      </c>
      <c r="WV14" s="20" t="n">
        <f aca="false">IF(AND(H_Direct=1,BV14&gt;0),MAX(0,WU14-(MIN(BV14*TI14,(WU14+AAH14))-MIN(MIN(BV14*TI14,(WU14+AAH14)),AAH14))),WU14)</f>
        <v>1270</v>
      </c>
      <c r="WW14" s="20" t="n">
        <f aca="false">IF(AND(H_Direct=1,BW14&gt;0),MAX(0,WV14-(MIN(BW14*TJ14,(WV14+AAI14))-MIN(MIN(BW14*TJ14,(WV14+AAI14)),AAI14))),WV14)</f>
        <v>1270</v>
      </c>
      <c r="WX14" s="20" t="n">
        <f aca="false">IF(AND(H_Direct=1,BX14&gt;0),MAX(0,WW14-(MIN(BX14*TK14,(WW14+AAJ14))-MIN(MIN(BX14*TK14,(WW14+AAJ14)),AAJ14))),WW14)</f>
        <v>1270</v>
      </c>
      <c r="WY14" s="20" t="n">
        <f aca="false">IF(AND(H_Direct=1,BY14&gt;0),MAX(0,WX14-(MIN(BY14*TL14,(WX14+AAK14))-MIN(MIN(BY14*TL14,(WX14+AAK14)),AAK14))),WX14)</f>
        <v>1270</v>
      </c>
      <c r="WZ14" s="20" t="n">
        <f aca="false">WY14</f>
        <v>1270</v>
      </c>
      <c r="XA14" s="20" t="n">
        <f aca="false">WZ14</f>
        <v>1270</v>
      </c>
      <c r="XB14" s="20" t="n">
        <f aca="false">XA14</f>
        <v>1270</v>
      </c>
      <c r="XC14" s="20" t="n">
        <f aca="false">XB14</f>
        <v>1270</v>
      </c>
      <c r="XD14" s="20" t="n">
        <f aca="false">XC14</f>
        <v>1270</v>
      </c>
      <c r="XE14" s="20" t="n">
        <f aca="false">XD14</f>
        <v>1270</v>
      </c>
      <c r="XF14" s="20" t="n">
        <f aca="false">XE14</f>
        <v>1270</v>
      </c>
      <c r="XG14" s="20" t="n">
        <f aca="false">XF14</f>
        <v>1270</v>
      </c>
      <c r="XH14" s="20" t="n">
        <f aca="false">XG14</f>
        <v>1270</v>
      </c>
      <c r="XI14" s="20" t="n">
        <f aca="false">XH14</f>
        <v>1270</v>
      </c>
      <c r="XJ14" s="20" t="n">
        <f aca="false">XI14</f>
        <v>1270</v>
      </c>
      <c r="XK14" s="20" t="n">
        <f aca="false">XJ14</f>
        <v>1270</v>
      </c>
      <c r="XL14" s="20" t="n">
        <f aca="false">XK14</f>
        <v>1270</v>
      </c>
      <c r="XM14" s="20" t="n">
        <f aca="false">XL14</f>
        <v>1270</v>
      </c>
      <c r="XN14" s="20" t="n">
        <f aca="false">XM14</f>
        <v>1270</v>
      </c>
      <c r="XO14" s="20" t="n">
        <f aca="false">XN14</f>
        <v>1270</v>
      </c>
      <c r="XP14" s="20" t="n">
        <f aca="false">XO14</f>
        <v>1270</v>
      </c>
      <c r="XQ14" s="20" t="n">
        <f aca="false">XP14</f>
        <v>1270</v>
      </c>
      <c r="XR14" s="20" t="n">
        <f aca="false">XQ14</f>
        <v>1270</v>
      </c>
      <c r="XS14" s="20" t="n">
        <f aca="false">XR14</f>
        <v>1270</v>
      </c>
      <c r="XT14" s="20" t="n">
        <f aca="false">XS14</f>
        <v>1270</v>
      </c>
      <c r="XU14" s="20" t="n">
        <f aca="false">XT14</f>
        <v>1270</v>
      </c>
      <c r="XV14" s="20" t="n">
        <f aca="false">XU14</f>
        <v>1270</v>
      </c>
      <c r="XW14" s="20" t="n">
        <f aca="false">XV14</f>
        <v>1270</v>
      </c>
      <c r="XX14" s="20" t="n">
        <f aca="false">XW14</f>
        <v>1270</v>
      </c>
      <c r="XY14" s="20" t="n">
        <f aca="false">XX14</f>
        <v>1270</v>
      </c>
      <c r="XZ14" s="20" t="n">
        <f aca="false">XY14</f>
        <v>1270</v>
      </c>
      <c r="YA14" s="20" t="n">
        <f aca="false">XZ14</f>
        <v>1270</v>
      </c>
      <c r="YB14" s="20" t="n">
        <f aca="false">YA14</f>
        <v>1270</v>
      </c>
      <c r="YC14" s="20" t="n">
        <f aca="false">YB14</f>
        <v>1270</v>
      </c>
      <c r="YD14" s="20" t="n">
        <f aca="false">YC14</f>
        <v>1270</v>
      </c>
      <c r="YE14" s="20" t="n">
        <f aca="false">YD14</f>
        <v>1270</v>
      </c>
      <c r="YF14" s="20" t="n">
        <f aca="false">YE14</f>
        <v>1270</v>
      </c>
      <c r="YG14" s="20" t="n">
        <f aca="false">YF14</f>
        <v>1270</v>
      </c>
      <c r="YH14" s="20" t="n">
        <f aca="false">YG14</f>
        <v>1270</v>
      </c>
      <c r="YI14" s="20" t="n">
        <f aca="false">YH14</f>
        <v>1270</v>
      </c>
      <c r="YJ14" s="20" t="n">
        <f aca="false">YI14</f>
        <v>1270</v>
      </c>
      <c r="YK14" s="20" t="n">
        <f aca="false">YJ14</f>
        <v>1270</v>
      </c>
      <c r="YL14" s="20" t="n">
        <f aca="false">YK14</f>
        <v>1270</v>
      </c>
      <c r="YM14" s="20" t="n">
        <f aca="false">YL14</f>
        <v>1270</v>
      </c>
      <c r="YN14" s="20" t="n">
        <f aca="false">YM14</f>
        <v>1270</v>
      </c>
      <c r="YO14" s="20" t="n">
        <f aca="false">YN14</f>
        <v>1270</v>
      </c>
      <c r="YP14" s="20" t="n">
        <f aca="false">YO14</f>
        <v>1270</v>
      </c>
      <c r="YQ14" s="20" t="n">
        <f aca="false">YP14</f>
        <v>1270</v>
      </c>
      <c r="YR14" s="20" t="n">
        <f aca="false">YQ14</f>
        <v>1270</v>
      </c>
      <c r="YS14" s="20" t="n">
        <f aca="false">YR14</f>
        <v>1270</v>
      </c>
      <c r="YT14" s="20" t="n">
        <f aca="false">YS14</f>
        <v>1270</v>
      </c>
      <c r="YU14" s="20" t="n">
        <f aca="false">YT14</f>
        <v>1270</v>
      </c>
      <c r="YV14" s="20" t="n">
        <f aca="false">YU14</f>
        <v>1270</v>
      </c>
      <c r="YW14" s="20" t="n">
        <f aca="false">YV14</f>
        <v>1270</v>
      </c>
      <c r="YX14" s="20" t="n">
        <f aca="false">YW14</f>
        <v>1270</v>
      </c>
      <c r="YY14" s="20" t="n">
        <f aca="false">YX14</f>
        <v>1270</v>
      </c>
      <c r="YZ14" s="20" t="n">
        <f aca="false">YY14</f>
        <v>1270</v>
      </c>
      <c r="ZA14" s="20" t="n">
        <f aca="false">YZ14</f>
        <v>1270</v>
      </c>
      <c r="ZB14" s="20" t="n">
        <f aca="false">ZA14</f>
        <v>1270</v>
      </c>
      <c r="ZC14" s="20" t="n">
        <f aca="false">ZB14</f>
        <v>1270</v>
      </c>
      <c r="ZD14" s="20" t="n">
        <f aca="false">ZC14</f>
        <v>1270</v>
      </c>
      <c r="ZE14" s="20" t="n">
        <f aca="false">ZD14</f>
        <v>1270</v>
      </c>
      <c r="ZF14" s="20" t="n">
        <f aca="false">ZE14</f>
        <v>1270</v>
      </c>
      <c r="ZG14" s="20" t="n">
        <f aca="false">ZF14</f>
        <v>1270</v>
      </c>
      <c r="ZH14" s="20" t="n">
        <f aca="false">ZG14</f>
        <v>1270</v>
      </c>
      <c r="ZI14" s="20" t="n">
        <f aca="false">ZH14</f>
        <v>1270</v>
      </c>
      <c r="ZJ14" s="20" t="n">
        <f aca="false">ZI14</f>
        <v>1270</v>
      </c>
      <c r="ZK14" s="20" t="n">
        <f aca="false">ZJ14</f>
        <v>1270</v>
      </c>
      <c r="ZL14" s="20" t="n">
        <f aca="false">ZK14</f>
        <v>1270</v>
      </c>
      <c r="ZM14" s="20" t="n">
        <f aca="false">ZL14</f>
        <v>1270</v>
      </c>
      <c r="ZN14" s="20" t="n">
        <f aca="false">ZM14</f>
        <v>1270</v>
      </c>
      <c r="ZO14" s="20" t="n">
        <f aca="false">ZN14</f>
        <v>1270</v>
      </c>
      <c r="ZP14" s="20" t="n">
        <f aca="false">ZO14</f>
        <v>1270</v>
      </c>
      <c r="ZQ14" s="20" t="n">
        <f aca="false">ZP14</f>
        <v>1270</v>
      </c>
      <c r="ZR14" s="20" t="n">
        <f aca="false">ZQ14</f>
        <v>1270</v>
      </c>
      <c r="ZS14" s="20" t="n">
        <f aca="false">ZR14</f>
        <v>1270</v>
      </c>
      <c r="ZT14" s="20" t="n">
        <f aca="false">ZS14</f>
        <v>1270</v>
      </c>
      <c r="ZU14" s="20" t="n">
        <f aca="false">ZT14</f>
        <v>1270</v>
      </c>
      <c r="ZV14" s="20" t="n">
        <f aca="false">ZU14</f>
        <v>1270</v>
      </c>
      <c r="ZW14" s="20" t="n">
        <f aca="false">ZV14</f>
        <v>1270</v>
      </c>
      <c r="ZX14" s="20" t="n">
        <f aca="false">ZW14</f>
        <v>1270</v>
      </c>
      <c r="ZY14" s="20" t="n">
        <f aca="false">ZX14</f>
        <v>1270</v>
      </c>
      <c r="ZZ14" s="20" t="n">
        <f aca="false">ZY14</f>
        <v>1270</v>
      </c>
      <c r="AAA14" s="20" t="n">
        <f aca="false">ZZ14</f>
        <v>1270</v>
      </c>
      <c r="AAB14" s="20" t="n">
        <f aca="false">AAA14</f>
        <v>1270</v>
      </c>
      <c r="AAC14" s="20" t="n">
        <f aca="false">AAB14</f>
        <v>1270</v>
      </c>
      <c r="AAD14" s="20" t="n">
        <f aca="false">AAC14</f>
        <v>1270</v>
      </c>
      <c r="AAE14" s="20" t="n">
        <f aca="false">IF(H_Direct=1,IF(BR14&lt;=0,I14-BR14*TE14,I14-MIN(MIN(BR14*TE14,(H14+I14)),I14)),I14)</f>
        <v>0</v>
      </c>
      <c r="AAF14" s="20" t="n">
        <f aca="false">IF(H_Direct=1,IF(BS14&lt;=0,AAE14-BS14*TF14,AAE14-MIN(MIN(BS14*TF14,(WR14+AAE14)),AAE14)),AAE14)</f>
        <v>0</v>
      </c>
      <c r="AAG14" s="20" t="n">
        <f aca="false">IF(H_Direct=1,IF(BT14&lt;=0,AAF14-BT14*TG14,AAF14-MIN(MIN(BT14*TG14,(WS14+AAF14)),AAF14)),AAF14)</f>
        <v>0</v>
      </c>
      <c r="AAH14" s="20" t="n">
        <f aca="false">IF(H_Direct=1,IF(BU14&lt;=0,AAG14-BU14*TH14,AAG14-MIN(MIN(BU14*TH14,(WT14+AAG14)),AAG14)),AAG14)</f>
        <v>0</v>
      </c>
      <c r="AAI14" s="20" t="n">
        <f aca="false">IF(H_Direct=1,IF(BV14&lt;=0,AAH14-BV14*TI14,AAH14-MIN(MIN(BV14*TI14,(WU14+AAH14)),AAH14)),AAH14)</f>
        <v>0</v>
      </c>
      <c r="AAJ14" s="20" t="n">
        <f aca="false">IF(H_Direct=1,IF(BW14&lt;=0,AAI14-BW14*TJ14,AAI14-MIN(MIN(BW14*TJ14,(WV14+AAI14)),AAI14)),AAI14)</f>
        <v>0</v>
      </c>
      <c r="AAK14" s="20" t="n">
        <f aca="false">IF(H_Direct=1,IF(BX14&lt;=0,AAJ14-BX14*TK14,AAJ14-MIN(MIN(BX14*TK14,(WW14+AAJ14)),AAJ14)),AAJ14)</f>
        <v>0</v>
      </c>
      <c r="AAL14" s="20" t="n">
        <f aca="false">IF(H_Direct=1,IF(BY14&lt;=0,AAK14-BY14*TL14,AAK14-MIN(MIN(BY14*TL14,(WX14+AAK14)),AAK14)),AAK14)</f>
        <v>0</v>
      </c>
      <c r="AAM14" s="20" t="n">
        <f aca="false">AAL14</f>
        <v>0</v>
      </c>
      <c r="AAN14" s="20" t="n">
        <f aca="false">AAM14</f>
        <v>0</v>
      </c>
      <c r="AAO14" s="20" t="n">
        <f aca="false">AAN14</f>
        <v>0</v>
      </c>
      <c r="AAP14" s="20" t="n">
        <f aca="false">AAO14</f>
        <v>0</v>
      </c>
      <c r="AAQ14" s="20" t="n">
        <f aca="false">AAP14</f>
        <v>0</v>
      </c>
      <c r="AAR14" s="20" t="n">
        <f aca="false">AAQ14</f>
        <v>0</v>
      </c>
      <c r="AAS14" s="20" t="n">
        <f aca="false">AAR14</f>
        <v>0</v>
      </c>
      <c r="AAT14" s="20" t="n">
        <f aca="false">AAS14</f>
        <v>0</v>
      </c>
      <c r="AAU14" s="20" t="n">
        <f aca="false">AAT14</f>
        <v>0</v>
      </c>
      <c r="AAV14" s="20" t="n">
        <f aca="false">AAU14</f>
        <v>0</v>
      </c>
      <c r="AAW14" s="20" t="n">
        <f aca="false">AAV14</f>
        <v>0</v>
      </c>
      <c r="AAX14" s="20" t="n">
        <f aca="false">AAW14</f>
        <v>0</v>
      </c>
      <c r="AAY14" s="20" t="n">
        <f aca="false">AAX14</f>
        <v>0</v>
      </c>
      <c r="AAZ14" s="20" t="n">
        <f aca="false">AAY14</f>
        <v>0</v>
      </c>
      <c r="ABA14" s="20" t="n">
        <f aca="false">AAZ14</f>
        <v>0</v>
      </c>
      <c r="ABB14" s="20" t="n">
        <f aca="false">ABA14</f>
        <v>0</v>
      </c>
      <c r="ABC14" s="20" t="n">
        <f aca="false">ABB14</f>
        <v>0</v>
      </c>
      <c r="ABD14" s="20" t="n">
        <f aca="false">ABC14</f>
        <v>0</v>
      </c>
      <c r="ABE14" s="20" t="n">
        <f aca="false">ABD14</f>
        <v>0</v>
      </c>
      <c r="ABF14" s="20" t="n">
        <f aca="false">ABE14</f>
        <v>0</v>
      </c>
      <c r="ABG14" s="20" t="n">
        <f aca="false">ABF14</f>
        <v>0</v>
      </c>
      <c r="ABH14" s="20" t="n">
        <f aca="false">ABG14</f>
        <v>0</v>
      </c>
      <c r="ABI14" s="20" t="n">
        <f aca="false">ABH14</f>
        <v>0</v>
      </c>
      <c r="ABJ14" s="20" t="n">
        <f aca="false">ABI14</f>
        <v>0</v>
      </c>
      <c r="ABK14" s="20" t="n">
        <f aca="false">ABJ14</f>
        <v>0</v>
      </c>
      <c r="ABL14" s="20" t="n">
        <f aca="false">ABK14</f>
        <v>0</v>
      </c>
      <c r="ABM14" s="20" t="n">
        <f aca="false">ABL14</f>
        <v>0</v>
      </c>
      <c r="ABN14" s="20" t="n">
        <f aca="false">ABM14</f>
        <v>0</v>
      </c>
      <c r="ABO14" s="20" t="n">
        <f aca="false">ABN14</f>
        <v>0</v>
      </c>
      <c r="ABP14" s="20" t="n">
        <f aca="false">ABO14</f>
        <v>0</v>
      </c>
      <c r="ABQ14" s="20" t="n">
        <f aca="false">ABP14</f>
        <v>0</v>
      </c>
      <c r="ABR14" s="20" t="n">
        <f aca="false">ABQ14</f>
        <v>0</v>
      </c>
      <c r="ABS14" s="20" t="n">
        <f aca="false">ABR14</f>
        <v>0</v>
      </c>
      <c r="ABT14" s="20" t="n">
        <f aca="false">ABS14</f>
        <v>0</v>
      </c>
      <c r="ABU14" s="20" t="n">
        <f aca="false">ABT14</f>
        <v>0</v>
      </c>
      <c r="ABV14" s="20" t="n">
        <f aca="false">ABU14</f>
        <v>0</v>
      </c>
      <c r="ABW14" s="20" t="n">
        <f aca="false">ABV14</f>
        <v>0</v>
      </c>
      <c r="ABX14" s="20" t="n">
        <f aca="false">ABW14</f>
        <v>0</v>
      </c>
      <c r="ABY14" s="20" t="n">
        <f aca="false">ABX14</f>
        <v>0</v>
      </c>
      <c r="ABZ14" s="20" t="n">
        <f aca="false">ABY14</f>
        <v>0</v>
      </c>
      <c r="ACA14" s="20" t="n">
        <f aca="false">ABZ14</f>
        <v>0</v>
      </c>
      <c r="ACB14" s="20" t="n">
        <f aca="false">ACA14</f>
        <v>0</v>
      </c>
      <c r="ACC14" s="20" t="n">
        <f aca="false">ACB14</f>
        <v>0</v>
      </c>
      <c r="ACD14" s="20" t="n">
        <f aca="false">ACC14</f>
        <v>0</v>
      </c>
      <c r="ACE14" s="20" t="n">
        <f aca="false">ACD14</f>
        <v>0</v>
      </c>
      <c r="ACF14" s="20" t="n">
        <f aca="false">ACE14</f>
        <v>0</v>
      </c>
      <c r="ACG14" s="20" t="n">
        <f aca="false">ACF14</f>
        <v>0</v>
      </c>
      <c r="ACH14" s="20" t="n">
        <f aca="false">ACG14</f>
        <v>0</v>
      </c>
      <c r="ACI14" s="20" t="n">
        <f aca="false">ACH14</f>
        <v>0</v>
      </c>
      <c r="ACJ14" s="20" t="n">
        <f aca="false">ACI14</f>
        <v>0</v>
      </c>
      <c r="ACK14" s="20" t="n">
        <f aca="false">ACJ14</f>
        <v>0</v>
      </c>
      <c r="ACL14" s="20" t="n">
        <f aca="false">ACK14</f>
        <v>0</v>
      </c>
      <c r="ACM14" s="20" t="n">
        <f aca="false">ACL14</f>
        <v>0</v>
      </c>
      <c r="ACN14" s="20" t="n">
        <f aca="false">ACM14</f>
        <v>0</v>
      </c>
      <c r="ACO14" s="20" t="n">
        <f aca="false">ACN14</f>
        <v>0</v>
      </c>
      <c r="ACP14" s="20" t="n">
        <f aca="false">ACO14</f>
        <v>0</v>
      </c>
      <c r="ACQ14" s="20" t="n">
        <f aca="false">ACP14</f>
        <v>0</v>
      </c>
      <c r="ACR14" s="20" t="n">
        <f aca="false">ACQ14</f>
        <v>0</v>
      </c>
      <c r="ACS14" s="20" t="n">
        <f aca="false">ACR14</f>
        <v>0</v>
      </c>
      <c r="ACT14" s="20" t="n">
        <f aca="false">ACS14</f>
        <v>0</v>
      </c>
      <c r="ACU14" s="20" t="n">
        <f aca="false">ACT14</f>
        <v>0</v>
      </c>
      <c r="ACV14" s="20" t="n">
        <f aca="false">ACU14</f>
        <v>0</v>
      </c>
      <c r="ACW14" s="20" t="n">
        <f aca="false">ACV14</f>
        <v>0</v>
      </c>
      <c r="ACX14" s="20" t="n">
        <f aca="false">ACW14</f>
        <v>0</v>
      </c>
      <c r="ACY14" s="20" t="n">
        <f aca="false">ACX14</f>
        <v>0</v>
      </c>
      <c r="ACZ14" s="20" t="n">
        <f aca="false">ACY14</f>
        <v>0</v>
      </c>
      <c r="ADA14" s="20" t="n">
        <f aca="false">ACZ14</f>
        <v>0</v>
      </c>
      <c r="ADB14" s="20" t="n">
        <f aca="false">ADA14</f>
        <v>0</v>
      </c>
      <c r="ADC14" s="20" t="n">
        <f aca="false">ADB14</f>
        <v>0</v>
      </c>
      <c r="ADD14" s="20" t="n">
        <f aca="false">ADC14</f>
        <v>0</v>
      </c>
      <c r="ADE14" s="20" t="n">
        <f aca="false">ADD14</f>
        <v>0</v>
      </c>
      <c r="ADF14" s="20" t="n">
        <f aca="false">ADE14</f>
        <v>0</v>
      </c>
      <c r="ADG14" s="20" t="n">
        <f aca="false">ADF14</f>
        <v>0</v>
      </c>
      <c r="ADH14" s="20" t="n">
        <f aca="false">ADG14</f>
        <v>0</v>
      </c>
      <c r="ADI14" s="20" t="n">
        <f aca="false">ADH14</f>
        <v>0</v>
      </c>
      <c r="ADJ14" s="20" t="n">
        <f aca="false">ADI14</f>
        <v>0</v>
      </c>
      <c r="ADK14" s="20" t="n">
        <f aca="false">ADJ14</f>
        <v>0</v>
      </c>
      <c r="ADL14" s="20" t="n">
        <f aca="false">ADK14</f>
        <v>0</v>
      </c>
      <c r="ADM14" s="20" t="n">
        <f aca="false">ADL14</f>
        <v>0</v>
      </c>
      <c r="ADN14" s="20" t="n">
        <f aca="false">ADM14</f>
        <v>0</v>
      </c>
      <c r="ADO14" s="20" t="n">
        <f aca="false">ADN14</f>
        <v>0</v>
      </c>
      <c r="ADP14" s="20" t="n">
        <f aca="false">ADO14</f>
        <v>0</v>
      </c>
      <c r="ADQ14" s="20" t="n">
        <f aca="false">ADP14</f>
        <v>0</v>
      </c>
      <c r="ADR14" s="20" t="n">
        <f aca="false">(AKR13-TE14+0)*(1+BQ14)</f>
        <v>0</v>
      </c>
      <c r="ADS14" s="20" t="n">
        <f aca="false">(AKS13-TF14+0)*(1+BQ14)</f>
        <v>0</v>
      </c>
      <c r="ADT14" s="20" t="n">
        <f aca="false">(AKT13-TG14+0)*(1+BQ14)</f>
        <v>0</v>
      </c>
      <c r="ADU14" s="20" t="n">
        <f aca="false">(AKU13-TH14+0)*(1+BQ14)</f>
        <v>0</v>
      </c>
      <c r="ADV14" s="20" t="n">
        <f aca="false">(AKV13-TI14+0)*(1+BQ14)</f>
        <v>0</v>
      </c>
      <c r="ADW14" s="20" t="n">
        <f aca="false">(AKW13-TJ14+0)*(1+BQ14)</f>
        <v>0</v>
      </c>
      <c r="ADX14" s="20" t="n">
        <f aca="false">(AKX13-TK14+0)*(1+BQ14)</f>
        <v>0</v>
      </c>
      <c r="ADY14" s="20" t="n">
        <f aca="false">((P14+S14)-TL14+BE14)*(1+BQ14)</f>
        <v>0</v>
      </c>
      <c r="ADZ14" s="20" t="n">
        <v>0</v>
      </c>
      <c r="AEA14" s="20" t="n">
        <v>0</v>
      </c>
      <c r="AEB14" s="20" t="n">
        <v>0</v>
      </c>
      <c r="AEC14" s="20" t="n">
        <v>0</v>
      </c>
      <c r="AED14" s="20" t="n">
        <v>0</v>
      </c>
      <c r="AEE14" s="20" t="n">
        <v>0</v>
      </c>
      <c r="AEF14" s="20" t="n">
        <v>0</v>
      </c>
      <c r="AEG14" s="20" t="n">
        <v>0</v>
      </c>
      <c r="AEH14" s="20" t="n">
        <v>0</v>
      </c>
      <c r="AEI14" s="20" t="n">
        <v>0</v>
      </c>
      <c r="AEJ14" s="20" t="n">
        <v>0</v>
      </c>
      <c r="AEK14" s="20" t="n">
        <v>0</v>
      </c>
      <c r="AEL14" s="20" t="n">
        <v>0</v>
      </c>
      <c r="AEM14" s="20" t="n">
        <v>0</v>
      </c>
      <c r="AEN14" s="20" t="n">
        <v>0</v>
      </c>
      <c r="AEO14" s="20" t="n">
        <v>0</v>
      </c>
      <c r="AEP14" s="20" t="n">
        <v>0</v>
      </c>
      <c r="AEQ14" s="20" t="n">
        <v>0</v>
      </c>
      <c r="AER14" s="20" t="n">
        <v>0</v>
      </c>
      <c r="AES14" s="20" t="n">
        <v>0</v>
      </c>
      <c r="AET14" s="20" t="n">
        <v>0</v>
      </c>
      <c r="AEU14" s="20" t="n">
        <v>0</v>
      </c>
      <c r="AEV14" s="20" t="n">
        <v>0</v>
      </c>
      <c r="AEW14" s="20" t="n">
        <v>0</v>
      </c>
      <c r="AEX14" s="20" t="n">
        <v>0</v>
      </c>
      <c r="AEY14" s="20" t="n">
        <v>0</v>
      </c>
      <c r="AEZ14" s="20" t="n">
        <v>0</v>
      </c>
      <c r="AFA14" s="20" t="n">
        <v>0</v>
      </c>
      <c r="AFB14" s="20" t="n">
        <v>0</v>
      </c>
      <c r="AFC14" s="20" t="n">
        <v>0</v>
      </c>
      <c r="AFD14" s="20" t="n">
        <v>0</v>
      </c>
      <c r="AFE14" s="20" t="n">
        <v>0</v>
      </c>
      <c r="AFF14" s="20" t="n">
        <v>0</v>
      </c>
      <c r="AFG14" s="20" t="n">
        <v>0</v>
      </c>
      <c r="AFH14" s="20" t="n">
        <v>0</v>
      </c>
      <c r="AFI14" s="20" t="n">
        <v>0</v>
      </c>
      <c r="AFJ14" s="20" t="n">
        <v>0</v>
      </c>
      <c r="AFK14" s="20" t="n">
        <v>0</v>
      </c>
      <c r="AFL14" s="20" t="n">
        <v>0</v>
      </c>
      <c r="AFM14" s="20" t="n">
        <v>0</v>
      </c>
      <c r="AFN14" s="20" t="n">
        <v>0</v>
      </c>
      <c r="AFO14" s="20" t="n">
        <v>0</v>
      </c>
      <c r="AFP14" s="20" t="n">
        <v>0</v>
      </c>
      <c r="AFQ14" s="20" t="n">
        <v>0</v>
      </c>
      <c r="AFR14" s="20" t="n">
        <v>0</v>
      </c>
      <c r="AFS14" s="20" t="n">
        <v>0</v>
      </c>
      <c r="AFT14" s="20" t="n">
        <v>0</v>
      </c>
      <c r="AFU14" s="20" t="n">
        <v>0</v>
      </c>
      <c r="AFV14" s="20" t="n">
        <v>0</v>
      </c>
      <c r="AFW14" s="20" t="n">
        <v>0</v>
      </c>
      <c r="AFX14" s="20" t="n">
        <v>0</v>
      </c>
      <c r="AFY14" s="20" t="n">
        <v>0</v>
      </c>
      <c r="AFZ14" s="20" t="n">
        <v>0</v>
      </c>
      <c r="AGA14" s="20" t="n">
        <v>0</v>
      </c>
      <c r="AGB14" s="20" t="n">
        <v>0</v>
      </c>
      <c r="AGC14" s="20" t="n">
        <v>0</v>
      </c>
      <c r="AGD14" s="20" t="n">
        <v>0</v>
      </c>
      <c r="AGE14" s="20" t="n">
        <v>0</v>
      </c>
      <c r="AGF14" s="20" t="n">
        <v>0</v>
      </c>
      <c r="AGG14" s="20" t="n">
        <v>0</v>
      </c>
      <c r="AGH14" s="20" t="n">
        <v>0</v>
      </c>
      <c r="AGI14" s="20" t="n">
        <v>0</v>
      </c>
      <c r="AGJ14" s="20" t="n">
        <v>0</v>
      </c>
      <c r="AGK14" s="20" t="n">
        <v>0</v>
      </c>
      <c r="AGL14" s="20" t="n">
        <v>0</v>
      </c>
      <c r="AGM14" s="20" t="n">
        <v>0</v>
      </c>
      <c r="AGN14" s="20" t="n">
        <v>0</v>
      </c>
      <c r="AGO14" s="20" t="n">
        <v>0</v>
      </c>
      <c r="AGP14" s="20" t="n">
        <v>0</v>
      </c>
      <c r="AGQ14" s="20" t="n">
        <v>0</v>
      </c>
      <c r="AGR14" s="20" t="n">
        <v>0</v>
      </c>
      <c r="AGS14" s="20" t="n">
        <v>0</v>
      </c>
      <c r="AGT14" s="20" t="n">
        <v>0</v>
      </c>
      <c r="AGU14" s="20" t="n">
        <v>0</v>
      </c>
      <c r="AGV14" s="20" t="n">
        <v>0</v>
      </c>
      <c r="AGW14" s="20" t="n">
        <v>0</v>
      </c>
      <c r="AGX14" s="20" t="n">
        <v>0</v>
      </c>
      <c r="AGY14" s="20" t="n">
        <v>0</v>
      </c>
      <c r="AGZ14" s="20" t="n">
        <v>0</v>
      </c>
      <c r="AHA14" s="20" t="n">
        <v>0</v>
      </c>
      <c r="AHB14" s="20" t="n">
        <v>0</v>
      </c>
      <c r="AHC14" s="20" t="n">
        <v>0</v>
      </c>
      <c r="AHD14" s="20" t="n">
        <v>0</v>
      </c>
      <c r="AHE14" s="20" t="n">
        <f aca="false">IF(AKR13&gt;0,AOE13-AOE13*TE14/AKR13,0)+0</f>
        <v>0</v>
      </c>
      <c r="AHF14" s="20" t="n">
        <f aca="false">IF(AKS13&gt;0,AOF13-AOF13*TF14/AKS13,0)+0</f>
        <v>0</v>
      </c>
      <c r="AHG14" s="20" t="n">
        <f aca="false">IF(AKT13&gt;0,AOG13-AOG13*TG14/AKT13,0)+0</f>
        <v>0</v>
      </c>
      <c r="AHH14" s="20" t="n">
        <f aca="false">IF(AKU13&gt;0,AOH13-AOH13*TH14/AKU13,0)+0</f>
        <v>0</v>
      </c>
      <c r="AHI14" s="20" t="n">
        <f aca="false">IF(AKV13&gt;0,AOI13-AOI13*TI14/AKV13,0)+0</f>
        <v>0</v>
      </c>
      <c r="AHJ14" s="20" t="n">
        <f aca="false">IF(AKW13&gt;0,AOJ13-AOJ13*TJ14/AKW13,0)+0</f>
        <v>0</v>
      </c>
      <c r="AHK14" s="20" t="n">
        <f aca="false">IF(AKX13&gt;0,AOK13-AOK13*TK14/AKX13,0)+0</f>
        <v>0</v>
      </c>
      <c r="AHL14" s="20" t="n">
        <f aca="false">IF((P14+S14)&gt;0,(P14+S14)-(P14+S14)*TL14/(P14+S14),0)+BE14</f>
        <v>0</v>
      </c>
      <c r="AHM14" s="20" t="n">
        <v>0</v>
      </c>
      <c r="AHN14" s="20" t="n">
        <v>0</v>
      </c>
      <c r="AHO14" s="20" t="n">
        <v>0</v>
      </c>
      <c r="AHP14" s="20" t="n">
        <v>0</v>
      </c>
      <c r="AHQ14" s="20" t="n">
        <v>0</v>
      </c>
      <c r="AHR14" s="20" t="n">
        <v>0</v>
      </c>
      <c r="AHS14" s="20" t="n">
        <v>0</v>
      </c>
      <c r="AHT14" s="20" t="n">
        <v>0</v>
      </c>
      <c r="AHU14" s="20" t="n">
        <v>0</v>
      </c>
      <c r="AHV14" s="20" t="n">
        <v>0</v>
      </c>
      <c r="AHW14" s="20" t="n">
        <v>0</v>
      </c>
      <c r="AHX14" s="20" t="n">
        <v>0</v>
      </c>
      <c r="AHY14" s="20" t="n">
        <v>0</v>
      </c>
      <c r="AHZ14" s="20" t="n">
        <v>0</v>
      </c>
      <c r="AIA14" s="20" t="n">
        <v>0</v>
      </c>
      <c r="AIB14" s="20" t="n">
        <v>0</v>
      </c>
      <c r="AIC14" s="20" t="n">
        <v>0</v>
      </c>
      <c r="AID14" s="20" t="n">
        <v>0</v>
      </c>
      <c r="AIE14" s="20" t="n">
        <v>0</v>
      </c>
      <c r="AIF14" s="20" t="n">
        <v>0</v>
      </c>
      <c r="AIG14" s="20" t="n">
        <v>0</v>
      </c>
      <c r="AIH14" s="20" t="n">
        <v>0</v>
      </c>
      <c r="AII14" s="20" t="n">
        <v>0</v>
      </c>
      <c r="AIJ14" s="20" t="n">
        <v>0</v>
      </c>
      <c r="AIK14" s="20" t="n">
        <v>0</v>
      </c>
      <c r="AIL14" s="20" t="n">
        <v>0</v>
      </c>
      <c r="AIM14" s="20" t="n">
        <v>0</v>
      </c>
      <c r="AIN14" s="20" t="n">
        <v>0</v>
      </c>
      <c r="AIO14" s="20" t="n">
        <v>0</v>
      </c>
      <c r="AIP14" s="20" t="n">
        <v>0</v>
      </c>
      <c r="AIQ14" s="20" t="n">
        <v>0</v>
      </c>
      <c r="AIR14" s="20" t="n">
        <v>0</v>
      </c>
      <c r="AIS14" s="20" t="n">
        <v>0</v>
      </c>
      <c r="AIT14" s="20" t="n">
        <v>0</v>
      </c>
      <c r="AIU14" s="20" t="n">
        <v>0</v>
      </c>
      <c r="AIV14" s="20" t="n">
        <v>0</v>
      </c>
      <c r="AIW14" s="20" t="n">
        <v>0</v>
      </c>
      <c r="AIX14" s="20" t="n">
        <v>0</v>
      </c>
      <c r="AIY14" s="20" t="n">
        <v>0</v>
      </c>
      <c r="AIZ14" s="20" t="n">
        <v>0</v>
      </c>
      <c r="AJA14" s="20" t="n">
        <v>0</v>
      </c>
      <c r="AJB14" s="20" t="n">
        <v>0</v>
      </c>
      <c r="AJC14" s="20" t="n">
        <v>0</v>
      </c>
      <c r="AJD14" s="20" t="n">
        <v>0</v>
      </c>
      <c r="AJE14" s="20" t="n">
        <v>0</v>
      </c>
      <c r="AJF14" s="20" t="n">
        <v>0</v>
      </c>
      <c r="AJG14" s="20" t="n">
        <v>0</v>
      </c>
      <c r="AJH14" s="20" t="n">
        <v>0</v>
      </c>
      <c r="AJI14" s="20" t="n">
        <v>0</v>
      </c>
      <c r="AJJ14" s="20" t="n">
        <v>0</v>
      </c>
      <c r="AJK14" s="20" t="n">
        <v>0</v>
      </c>
      <c r="AJL14" s="20" t="n">
        <v>0</v>
      </c>
      <c r="AJM14" s="20" t="n">
        <v>0</v>
      </c>
      <c r="AJN14" s="20" t="n">
        <v>0</v>
      </c>
      <c r="AJO14" s="20" t="n">
        <v>0</v>
      </c>
      <c r="AJP14" s="20" t="n">
        <v>0</v>
      </c>
      <c r="AJQ14" s="20" t="n">
        <v>0</v>
      </c>
      <c r="AJR14" s="20" t="n">
        <v>0</v>
      </c>
      <c r="AJS14" s="20" t="n">
        <v>0</v>
      </c>
      <c r="AJT14" s="20" t="n">
        <v>0</v>
      </c>
      <c r="AJU14" s="20" t="n">
        <v>0</v>
      </c>
      <c r="AJV14" s="20" t="n">
        <v>0</v>
      </c>
      <c r="AJW14" s="20" t="n">
        <v>0</v>
      </c>
      <c r="AJX14" s="20" t="n">
        <v>0</v>
      </c>
      <c r="AJY14" s="20" t="n">
        <v>0</v>
      </c>
      <c r="AJZ14" s="20" t="n">
        <v>0</v>
      </c>
      <c r="AKA14" s="20" t="n">
        <v>0</v>
      </c>
      <c r="AKB14" s="20" t="n">
        <v>0</v>
      </c>
      <c r="AKC14" s="20" t="n">
        <v>0</v>
      </c>
      <c r="AKD14" s="20" t="n">
        <v>0</v>
      </c>
      <c r="AKE14" s="20" t="n">
        <v>0</v>
      </c>
      <c r="AKF14" s="20" t="n">
        <v>0</v>
      </c>
      <c r="AKG14" s="20" t="n">
        <v>0</v>
      </c>
      <c r="AKH14" s="20" t="n">
        <v>0</v>
      </c>
      <c r="AKI14" s="20" t="n">
        <v>0</v>
      </c>
      <c r="AKJ14" s="20" t="n">
        <v>0</v>
      </c>
      <c r="AKK14" s="20" t="n">
        <v>0</v>
      </c>
      <c r="AKL14" s="20" t="n">
        <v>0</v>
      </c>
      <c r="AKM14" s="20" t="n">
        <v>0</v>
      </c>
      <c r="AKN14" s="20" t="n">
        <v>0</v>
      </c>
      <c r="AKO14" s="20" t="n">
        <v>0</v>
      </c>
      <c r="AKP14" s="20" t="n">
        <v>0</v>
      </c>
      <c r="AKQ14" s="20" t="n">
        <v>0</v>
      </c>
      <c r="AKR14" s="20" t="n">
        <f aca="false">ADR14-AVE14</f>
        <v>0</v>
      </c>
      <c r="AKS14" s="20" t="n">
        <f aca="false">ADS14-AVF14</f>
        <v>0</v>
      </c>
      <c r="AKT14" s="20" t="n">
        <f aca="false">ADT14-AVG14</f>
        <v>0</v>
      </c>
      <c r="AKU14" s="20" t="n">
        <f aca="false">ADU14-AVH14</f>
        <v>0</v>
      </c>
      <c r="AKV14" s="20" t="n">
        <f aca="false">ADV14-AVI14</f>
        <v>0</v>
      </c>
      <c r="AKW14" s="20" t="n">
        <f aca="false">ADW14-AVJ14</f>
        <v>0</v>
      </c>
      <c r="AKX14" s="20" t="n">
        <f aca="false">ADX14-AVK14</f>
        <v>0</v>
      </c>
      <c r="AKY14" s="20" t="n">
        <f aca="false">ADY14-AVL14</f>
        <v>0</v>
      </c>
      <c r="AKZ14" s="20" t="n">
        <v>0</v>
      </c>
      <c r="ALA14" s="20" t="n">
        <v>0</v>
      </c>
      <c r="ALB14" s="20" t="n">
        <v>0</v>
      </c>
      <c r="ALC14" s="20" t="n">
        <v>0</v>
      </c>
      <c r="ALD14" s="20" t="n">
        <v>0</v>
      </c>
      <c r="ALE14" s="20" t="n">
        <v>0</v>
      </c>
      <c r="ALF14" s="20" t="n">
        <v>0</v>
      </c>
      <c r="ALG14" s="20" t="n">
        <v>0</v>
      </c>
      <c r="ALH14" s="20" t="n">
        <v>0</v>
      </c>
      <c r="ALI14" s="20" t="n">
        <v>0</v>
      </c>
      <c r="ALJ14" s="20" t="n">
        <v>0</v>
      </c>
      <c r="ALK14" s="20" t="n">
        <v>0</v>
      </c>
      <c r="ALL14" s="20" t="n">
        <v>0</v>
      </c>
      <c r="ALM14" s="20" t="n">
        <v>0</v>
      </c>
      <c r="ALN14" s="20" t="n">
        <v>0</v>
      </c>
      <c r="ALO14" s="20" t="n">
        <v>0</v>
      </c>
      <c r="ALP14" s="20" t="n">
        <v>0</v>
      </c>
      <c r="ALQ14" s="20" t="n">
        <v>0</v>
      </c>
      <c r="ALR14" s="20" t="n">
        <v>0</v>
      </c>
      <c r="ALS14" s="20" t="n">
        <v>0</v>
      </c>
      <c r="ALT14" s="20" t="n">
        <v>0</v>
      </c>
      <c r="ALU14" s="20" t="n">
        <v>0</v>
      </c>
      <c r="ALV14" s="20" t="n">
        <v>0</v>
      </c>
      <c r="ALW14" s="20" t="n">
        <v>0</v>
      </c>
      <c r="ALX14" s="20" t="n">
        <v>0</v>
      </c>
      <c r="ALY14" s="20" t="n">
        <v>0</v>
      </c>
      <c r="ALZ14" s="20" t="n">
        <v>0</v>
      </c>
      <c r="AMA14" s="20" t="n">
        <v>0</v>
      </c>
      <c r="AMB14" s="20" t="n">
        <v>0</v>
      </c>
      <c r="AMC14" s="20" t="n">
        <v>0</v>
      </c>
      <c r="AMD14" s="20" t="n">
        <v>0</v>
      </c>
      <c r="AME14" s="20" t="n">
        <v>0</v>
      </c>
      <c r="AMF14" s="20" t="n">
        <v>0</v>
      </c>
      <c r="AMG14" s="20" t="n">
        <v>0</v>
      </c>
      <c r="AMH14" s="20" t="n">
        <v>0</v>
      </c>
      <c r="AMI14" s="20" t="n">
        <v>0</v>
      </c>
      <c r="AMJ14" s="20" t="n">
        <v>0</v>
      </c>
      <c r="AMK14" s="20" t="n">
        <v>0</v>
      </c>
      <c r="AML14" s="20" t="n">
        <v>0</v>
      </c>
      <c r="AMM14" s="20" t="n">
        <v>0</v>
      </c>
      <c r="AMN14" s="20" t="n">
        <v>0</v>
      </c>
      <c r="AMO14" s="20" t="n">
        <v>0</v>
      </c>
      <c r="AMP14" s="20" t="n">
        <v>0</v>
      </c>
      <c r="AMQ14" s="20" t="n">
        <v>0</v>
      </c>
      <c r="AMR14" s="20" t="n">
        <v>0</v>
      </c>
      <c r="AMS14" s="20" t="n">
        <v>0</v>
      </c>
      <c r="AMT14" s="20" t="n">
        <v>0</v>
      </c>
      <c r="AMU14" s="20" t="n">
        <v>0</v>
      </c>
      <c r="AMV14" s="20" t="n">
        <v>0</v>
      </c>
      <c r="AMW14" s="20" t="n">
        <v>0</v>
      </c>
      <c r="AMX14" s="20" t="n">
        <v>0</v>
      </c>
      <c r="AMY14" s="20" t="n">
        <v>0</v>
      </c>
      <c r="AMZ14" s="20" t="n">
        <v>0</v>
      </c>
      <c r="ANA14" s="20" t="n">
        <v>0</v>
      </c>
      <c r="ANB14" s="20" t="n">
        <v>0</v>
      </c>
      <c r="ANC14" s="20" t="n">
        <v>0</v>
      </c>
      <c r="AND14" s="20" t="n">
        <v>0</v>
      </c>
      <c r="ANE14" s="20" t="n">
        <v>0</v>
      </c>
      <c r="ANF14" s="20" t="n">
        <v>0</v>
      </c>
      <c r="ANG14" s="20" t="n">
        <v>0</v>
      </c>
      <c r="ANH14" s="20" t="n">
        <v>0</v>
      </c>
      <c r="ANI14" s="20" t="n">
        <v>0</v>
      </c>
      <c r="ANJ14" s="20" t="n">
        <v>0</v>
      </c>
      <c r="ANK14" s="20" t="n">
        <v>0</v>
      </c>
      <c r="ANL14" s="20" t="n">
        <v>0</v>
      </c>
      <c r="ANM14" s="20" t="n">
        <v>0</v>
      </c>
      <c r="ANN14" s="20" t="n">
        <v>0</v>
      </c>
      <c r="ANO14" s="20" t="n">
        <v>0</v>
      </c>
      <c r="ANP14" s="20" t="n">
        <v>0</v>
      </c>
      <c r="ANQ14" s="20" t="n">
        <v>0</v>
      </c>
      <c r="ANR14" s="20" t="n">
        <v>0</v>
      </c>
      <c r="ANS14" s="20" t="n">
        <v>0</v>
      </c>
      <c r="ANT14" s="20" t="n">
        <v>0</v>
      </c>
      <c r="ANU14" s="20" t="n">
        <v>0</v>
      </c>
      <c r="ANV14" s="20" t="n">
        <v>0</v>
      </c>
      <c r="ANW14" s="20" t="n">
        <v>0</v>
      </c>
      <c r="ANX14" s="20" t="n">
        <v>0</v>
      </c>
      <c r="ANY14" s="20" t="n">
        <v>0</v>
      </c>
      <c r="ANZ14" s="20" t="n">
        <v>0</v>
      </c>
      <c r="AOA14" s="20" t="n">
        <v>0</v>
      </c>
      <c r="AOB14" s="20" t="n">
        <v>0</v>
      </c>
      <c r="AOC14" s="20" t="n">
        <v>0</v>
      </c>
      <c r="AOD14" s="20" t="n">
        <v>0</v>
      </c>
      <c r="AOE14" s="20" t="n">
        <f aca="false">IF(AND(H_Direct=0,H_TaxEvt=1,ARR13+1&gt;=H_Deemed),AKR14,AHE14)</f>
        <v>0</v>
      </c>
      <c r="AOF14" s="20" t="n">
        <f aca="false">IF(AND(H_Direct=0,H_TaxEvt=1,ARS13+1&gt;=H_Deemed),AKS14,AHF14)</f>
        <v>0</v>
      </c>
      <c r="AOG14" s="20" t="n">
        <f aca="false">IF(AND(H_Direct=0,H_TaxEvt=1,ART13+1&gt;=H_Deemed),AKT14,AHG14)</f>
        <v>0</v>
      </c>
      <c r="AOH14" s="20" t="n">
        <f aca="false">IF(AND(H_Direct=0,H_TaxEvt=1,ARU13+1&gt;=H_Deemed),AKU14,AHH14)</f>
        <v>0</v>
      </c>
      <c r="AOI14" s="20" t="n">
        <f aca="false">IF(AND(H_Direct=0,H_TaxEvt=1,ARV13+1&gt;=H_Deemed),AKV14,AHI14)</f>
        <v>0</v>
      </c>
      <c r="AOJ14" s="20" t="n">
        <f aca="false">IF(AND(H_Direct=0,H_TaxEvt=1,ARW13+1&gt;=H_Deemed),AKW14,AHJ14)</f>
        <v>0</v>
      </c>
      <c r="AOK14" s="20" t="n">
        <f aca="false">IF(AND(H_Direct=0,H_TaxEvt=1,ARX13+1&gt;=H_Deemed),AKX14,AHK14)</f>
        <v>0</v>
      </c>
      <c r="AOL14" s="20" t="n">
        <f aca="false">IF(AND(H_Direct=0,H_TaxEvt=1,0+1&gt;=H_Deemed),AKY14,AHL14)</f>
        <v>0</v>
      </c>
      <c r="AOM14" s="20" t="n">
        <v>0</v>
      </c>
      <c r="AON14" s="20" t="n">
        <v>0</v>
      </c>
      <c r="AOO14" s="20" t="n">
        <v>0</v>
      </c>
      <c r="AOP14" s="20" t="n">
        <v>0</v>
      </c>
      <c r="AOQ14" s="20" t="n">
        <v>0</v>
      </c>
      <c r="AOR14" s="20" t="n">
        <v>0</v>
      </c>
      <c r="AOS14" s="20" t="n">
        <v>0</v>
      </c>
      <c r="AOT14" s="20" t="n">
        <v>0</v>
      </c>
      <c r="AOU14" s="20" t="n">
        <v>0</v>
      </c>
      <c r="AOV14" s="20" t="n">
        <v>0</v>
      </c>
      <c r="AOW14" s="20" t="n">
        <v>0</v>
      </c>
      <c r="AOX14" s="20" t="n">
        <v>0</v>
      </c>
      <c r="AOY14" s="20" t="n">
        <v>0</v>
      </c>
      <c r="AOZ14" s="20" t="n">
        <v>0</v>
      </c>
      <c r="APA14" s="20" t="n">
        <v>0</v>
      </c>
      <c r="APB14" s="20" t="n">
        <v>0</v>
      </c>
      <c r="APC14" s="20" t="n">
        <v>0</v>
      </c>
      <c r="APD14" s="20" t="n">
        <v>0</v>
      </c>
      <c r="APE14" s="20" t="n">
        <v>0</v>
      </c>
      <c r="APF14" s="20" t="n">
        <v>0</v>
      </c>
      <c r="APG14" s="20" t="n">
        <v>0</v>
      </c>
      <c r="APH14" s="20" t="n">
        <v>0</v>
      </c>
      <c r="API14" s="20" t="n">
        <v>0</v>
      </c>
      <c r="APJ14" s="20" t="n">
        <v>0</v>
      </c>
      <c r="APK14" s="20" t="n">
        <v>0</v>
      </c>
      <c r="APL14" s="20" t="n">
        <v>0</v>
      </c>
      <c r="APM14" s="20" t="n">
        <v>0</v>
      </c>
      <c r="APN14" s="20" t="n">
        <v>0</v>
      </c>
      <c r="APO14" s="20" t="n">
        <v>0</v>
      </c>
      <c r="APP14" s="20" t="n">
        <v>0</v>
      </c>
      <c r="APQ14" s="20" t="n">
        <v>0</v>
      </c>
      <c r="APR14" s="20" t="n">
        <v>0</v>
      </c>
      <c r="APS14" s="20" t="n">
        <v>0</v>
      </c>
      <c r="APT14" s="20" t="n">
        <v>0</v>
      </c>
      <c r="APU14" s="20" t="n">
        <v>0</v>
      </c>
      <c r="APV14" s="20" t="n">
        <v>0</v>
      </c>
      <c r="APW14" s="20" t="n">
        <v>0</v>
      </c>
      <c r="APX14" s="20" t="n">
        <v>0</v>
      </c>
      <c r="APY14" s="20" t="n">
        <v>0</v>
      </c>
      <c r="APZ14" s="20" t="n">
        <v>0</v>
      </c>
      <c r="AQA14" s="20" t="n">
        <v>0</v>
      </c>
      <c r="AQB14" s="20" t="n">
        <v>0</v>
      </c>
      <c r="AQC14" s="20" t="n">
        <v>0</v>
      </c>
      <c r="AQD14" s="20" t="n">
        <v>0</v>
      </c>
      <c r="AQE14" s="20" t="n">
        <v>0</v>
      </c>
      <c r="AQF14" s="20" t="n">
        <v>0</v>
      </c>
      <c r="AQG14" s="20" t="n">
        <v>0</v>
      </c>
      <c r="AQH14" s="20" t="n">
        <v>0</v>
      </c>
      <c r="AQI14" s="20" t="n">
        <v>0</v>
      </c>
      <c r="AQJ14" s="20" t="n">
        <v>0</v>
      </c>
      <c r="AQK14" s="20" t="n">
        <v>0</v>
      </c>
      <c r="AQL14" s="20" t="n">
        <v>0</v>
      </c>
      <c r="AQM14" s="20" t="n">
        <v>0</v>
      </c>
      <c r="AQN14" s="20" t="n">
        <v>0</v>
      </c>
      <c r="AQO14" s="20" t="n">
        <v>0</v>
      </c>
      <c r="AQP14" s="20" t="n">
        <v>0</v>
      </c>
      <c r="AQQ14" s="20" t="n">
        <v>0</v>
      </c>
      <c r="AQR14" s="20" t="n">
        <v>0</v>
      </c>
      <c r="AQS14" s="20" t="n">
        <v>0</v>
      </c>
      <c r="AQT14" s="20" t="n">
        <v>0</v>
      </c>
      <c r="AQU14" s="20" t="n">
        <v>0</v>
      </c>
      <c r="AQV14" s="20" t="n">
        <v>0</v>
      </c>
      <c r="AQW14" s="20" t="n">
        <v>0</v>
      </c>
      <c r="AQX14" s="20" t="n">
        <v>0</v>
      </c>
      <c r="AQY14" s="20" t="n">
        <v>0</v>
      </c>
      <c r="AQZ14" s="20" t="n">
        <v>0</v>
      </c>
      <c r="ARA14" s="20" t="n">
        <v>0</v>
      </c>
      <c r="ARB14" s="20" t="n">
        <v>0</v>
      </c>
      <c r="ARC14" s="20" t="n">
        <v>0</v>
      </c>
      <c r="ARD14" s="20" t="n">
        <v>0</v>
      </c>
      <c r="ARE14" s="20" t="n">
        <v>0</v>
      </c>
      <c r="ARF14" s="20" t="n">
        <v>0</v>
      </c>
      <c r="ARG14" s="20" t="n">
        <v>0</v>
      </c>
      <c r="ARH14" s="20" t="n">
        <v>0</v>
      </c>
      <c r="ARI14" s="20" t="n">
        <v>0</v>
      </c>
      <c r="ARJ14" s="20" t="n">
        <v>0</v>
      </c>
      <c r="ARK14" s="20" t="n">
        <v>0</v>
      </c>
      <c r="ARL14" s="20" t="n">
        <v>0</v>
      </c>
      <c r="ARM14" s="20" t="n">
        <v>0</v>
      </c>
      <c r="ARN14" s="20" t="n">
        <v>0</v>
      </c>
      <c r="ARO14" s="20" t="n">
        <v>0</v>
      </c>
      <c r="ARP14" s="20" t="n">
        <v>0</v>
      </c>
      <c r="ARQ14" s="20" t="n">
        <v>0</v>
      </c>
      <c r="ARR14" s="20" t="n">
        <f aca="false">IF(AND(H_Direct=0,H_TaxEvt=1),IF(ARR13+1&gt;=H_Deemed,0,ARR13+1),ARR13)</f>
        <v>7</v>
      </c>
      <c r="ARS14" s="20" t="n">
        <f aca="false">IF(AND(H_Direct=0,H_TaxEvt=1),IF(ARS13+1&gt;=H_Deemed,0,ARS13+1),ARS13)</f>
        <v>7</v>
      </c>
      <c r="ART14" s="20" t="n">
        <f aca="false">IF(AND(H_Direct=0,H_TaxEvt=1),IF(ART13+1&gt;=H_Deemed,0,ART13+1),ART13)</f>
        <v>6</v>
      </c>
      <c r="ARU14" s="20" t="n">
        <f aca="false">IF(AND(H_Direct=0,H_TaxEvt=1),IF(ARU13+1&gt;=H_Deemed,0,ARU13+1),ARU13)</f>
        <v>5</v>
      </c>
      <c r="ARV14" s="20" t="n">
        <f aca="false">IF(AND(H_Direct=0,H_TaxEvt=1),IF(ARV13+1&gt;=H_Deemed,0,ARV13+1),ARV13)</f>
        <v>4</v>
      </c>
      <c r="ARW14" s="20" t="n">
        <f aca="false">IF(AND(H_Direct=0,H_TaxEvt=1),IF(ARW13+1&gt;=H_Deemed,0,ARW13+1),ARW13)</f>
        <v>3</v>
      </c>
      <c r="ARX14" s="20" t="n">
        <f aca="false">IF(AND(H_Direct=0,H_TaxEvt=1),IF(ARX13+1&gt;=H_Deemed,0,ARX13+1),ARX13)</f>
        <v>2</v>
      </c>
      <c r="ARY14" s="20" t="n">
        <f aca="false">IF(AND(H_Direct=0,H_TaxEvt=1),IF(0+1&gt;=H_Deemed,0,0+1),0)</f>
        <v>1</v>
      </c>
      <c r="ARZ14" s="20" t="n">
        <v>0</v>
      </c>
      <c r="ASA14" s="20" t="n">
        <v>0</v>
      </c>
      <c r="ASB14" s="20" t="n">
        <v>0</v>
      </c>
      <c r="ASC14" s="20" t="n">
        <v>0</v>
      </c>
      <c r="ASD14" s="20" t="n">
        <v>0</v>
      </c>
      <c r="ASE14" s="20" t="n">
        <v>0</v>
      </c>
      <c r="ASF14" s="20" t="n">
        <v>0</v>
      </c>
      <c r="ASG14" s="20" t="n">
        <v>0</v>
      </c>
      <c r="ASH14" s="20" t="n">
        <v>0</v>
      </c>
      <c r="ASI14" s="20" t="n">
        <v>0</v>
      </c>
      <c r="ASJ14" s="20" t="n">
        <v>0</v>
      </c>
      <c r="ASK14" s="20" t="n">
        <v>0</v>
      </c>
      <c r="ASL14" s="20" t="n">
        <v>0</v>
      </c>
      <c r="ASM14" s="20" t="n">
        <v>0</v>
      </c>
      <c r="ASN14" s="20" t="n">
        <v>0</v>
      </c>
      <c r="ASO14" s="20" t="n">
        <v>0</v>
      </c>
      <c r="ASP14" s="20" t="n">
        <v>0</v>
      </c>
      <c r="ASQ14" s="20" t="n">
        <v>0</v>
      </c>
      <c r="ASR14" s="20" t="n">
        <v>0</v>
      </c>
      <c r="ASS14" s="20" t="n">
        <v>0</v>
      </c>
      <c r="AST14" s="20" t="n">
        <v>0</v>
      </c>
      <c r="ASU14" s="20" t="n">
        <v>0</v>
      </c>
      <c r="ASV14" s="20" t="n">
        <v>0</v>
      </c>
      <c r="ASW14" s="20" t="n">
        <v>0</v>
      </c>
      <c r="ASX14" s="20" t="n">
        <v>0</v>
      </c>
      <c r="ASY14" s="20" t="n">
        <v>0</v>
      </c>
      <c r="ASZ14" s="20" t="n">
        <v>0</v>
      </c>
      <c r="ATA14" s="20" t="n">
        <v>0</v>
      </c>
      <c r="ATB14" s="20" t="n">
        <v>0</v>
      </c>
      <c r="ATC14" s="20" t="n">
        <v>0</v>
      </c>
      <c r="ATD14" s="20" t="n">
        <v>0</v>
      </c>
      <c r="ATE14" s="20" t="n">
        <v>0</v>
      </c>
      <c r="ATF14" s="20" t="n">
        <v>0</v>
      </c>
      <c r="ATG14" s="20" t="n">
        <v>0</v>
      </c>
      <c r="ATH14" s="20" t="n">
        <v>0</v>
      </c>
      <c r="ATI14" s="20" t="n">
        <v>0</v>
      </c>
      <c r="ATJ14" s="20" t="n">
        <v>0</v>
      </c>
      <c r="ATK14" s="20" t="n">
        <v>0</v>
      </c>
      <c r="ATL14" s="20" t="n">
        <v>0</v>
      </c>
      <c r="ATM14" s="20" t="n">
        <v>0</v>
      </c>
      <c r="ATN14" s="20" t="n">
        <v>0</v>
      </c>
      <c r="ATO14" s="20" t="n">
        <v>0</v>
      </c>
      <c r="ATP14" s="20" t="n">
        <v>0</v>
      </c>
      <c r="ATQ14" s="20" t="n">
        <v>0</v>
      </c>
      <c r="ATR14" s="20" t="n">
        <v>0</v>
      </c>
      <c r="ATS14" s="20" t="n">
        <v>0</v>
      </c>
      <c r="ATT14" s="20" t="n">
        <v>0</v>
      </c>
      <c r="ATU14" s="20" t="n">
        <v>0</v>
      </c>
      <c r="ATV14" s="20" t="n">
        <v>0</v>
      </c>
      <c r="ATW14" s="20" t="n">
        <v>0</v>
      </c>
      <c r="ATX14" s="20" t="n">
        <v>0</v>
      </c>
      <c r="ATY14" s="20" t="n">
        <v>0</v>
      </c>
      <c r="ATZ14" s="20" t="n">
        <v>0</v>
      </c>
      <c r="AUA14" s="20" t="n">
        <v>0</v>
      </c>
      <c r="AUB14" s="20" t="n">
        <v>0</v>
      </c>
      <c r="AUC14" s="20" t="n">
        <v>0</v>
      </c>
      <c r="AUD14" s="20" t="n">
        <v>0</v>
      </c>
      <c r="AUE14" s="20" t="n">
        <v>0</v>
      </c>
      <c r="AUF14" s="20" t="n">
        <v>0</v>
      </c>
      <c r="AUG14" s="20" t="n">
        <v>0</v>
      </c>
      <c r="AUH14" s="20" t="n">
        <v>0</v>
      </c>
      <c r="AUI14" s="20" t="n">
        <v>0</v>
      </c>
      <c r="AUJ14" s="20" t="n">
        <v>0</v>
      </c>
      <c r="AUK14" s="20" t="n">
        <v>0</v>
      </c>
      <c r="AUL14" s="20" t="n">
        <v>0</v>
      </c>
      <c r="AUM14" s="20" t="n">
        <v>0</v>
      </c>
      <c r="AUN14" s="20" t="n">
        <v>0</v>
      </c>
      <c r="AUO14" s="20" t="n">
        <v>0</v>
      </c>
      <c r="AUP14" s="20" t="n">
        <v>0</v>
      </c>
      <c r="AUQ14" s="20" t="n">
        <v>0</v>
      </c>
      <c r="AUR14" s="20" t="n">
        <v>0</v>
      </c>
      <c r="AUS14" s="20" t="n">
        <v>0</v>
      </c>
      <c r="AUT14" s="20" t="n">
        <v>0</v>
      </c>
      <c r="AUU14" s="20" t="n">
        <v>0</v>
      </c>
      <c r="AUV14" s="20" t="n">
        <v>0</v>
      </c>
      <c r="AUW14" s="20" t="n">
        <v>0</v>
      </c>
      <c r="AUX14" s="20" t="n">
        <v>0</v>
      </c>
      <c r="AUY14" s="20" t="n">
        <v>0</v>
      </c>
      <c r="AUZ14" s="20" t="n">
        <v>0</v>
      </c>
      <c r="AVA14" s="20" t="n">
        <v>0</v>
      </c>
      <c r="AVB14" s="20" t="n">
        <v>0</v>
      </c>
      <c r="AVC14" s="20" t="n">
        <v>0</v>
      </c>
      <c r="AVD14" s="20" t="n">
        <v>0</v>
      </c>
      <c r="AVE14" s="20" t="n">
        <f aca="false">IF(AND(H_Direct=0,H_TaxEvt=1,ARR13+1&gt;=H_Deemed),MAX(0,ADR14-AHE14)*H_Exit,0)</f>
        <v>0</v>
      </c>
      <c r="AVF14" s="20" t="n">
        <f aca="false">IF(AND(H_Direct=0,H_TaxEvt=1,ARS13+1&gt;=H_Deemed),MAX(0,ADS14-AHF14)*H_Exit,0)</f>
        <v>0</v>
      </c>
      <c r="AVG14" s="20" t="n">
        <f aca="false">IF(AND(H_Direct=0,H_TaxEvt=1,ART13+1&gt;=H_Deemed),MAX(0,ADT14-AHG14)*H_Exit,0)</f>
        <v>0</v>
      </c>
      <c r="AVH14" s="20" t="n">
        <f aca="false">IF(AND(H_Direct=0,H_TaxEvt=1,ARU13+1&gt;=H_Deemed),MAX(0,ADU14-AHH14)*H_Exit,0)</f>
        <v>0</v>
      </c>
      <c r="AVI14" s="20" t="n">
        <f aca="false">IF(AND(H_Direct=0,H_TaxEvt=1,ARV13+1&gt;=H_Deemed),MAX(0,ADV14-AHI14)*H_Exit,0)</f>
        <v>0</v>
      </c>
      <c r="AVJ14" s="20" t="n">
        <f aca="false">IF(AND(H_Direct=0,H_TaxEvt=1,ARW13+1&gt;=H_Deemed),MAX(0,ADW14-AHJ14)*H_Exit,0)</f>
        <v>0</v>
      </c>
      <c r="AVK14" s="20" t="n">
        <f aca="false">IF(AND(H_Direct=0,H_TaxEvt=1,ARX13+1&gt;=H_Deemed),MAX(0,ADX14-AHK14)*H_Exit,0)</f>
        <v>0</v>
      </c>
      <c r="AVL14" s="20" t="n">
        <f aca="false">IF(AND(H_Direct=0,H_TaxEvt=1,0+1&gt;=H_Deemed),MAX(0,ADY14-AHL14)*H_Exit,0)</f>
        <v>0</v>
      </c>
      <c r="AVM14" s="20" t="n">
        <v>0</v>
      </c>
      <c r="AVN14" s="20" t="n">
        <v>0</v>
      </c>
      <c r="AVO14" s="20" t="n">
        <v>0</v>
      </c>
      <c r="AVP14" s="20" t="n">
        <v>0</v>
      </c>
      <c r="AVQ14" s="20" t="n">
        <v>0</v>
      </c>
      <c r="AVR14" s="20" t="n">
        <v>0</v>
      </c>
      <c r="AVS14" s="20" t="n">
        <v>0</v>
      </c>
      <c r="AVT14" s="20" t="n">
        <v>0</v>
      </c>
      <c r="AVU14" s="20" t="n">
        <v>0</v>
      </c>
      <c r="AVV14" s="20" t="n">
        <v>0</v>
      </c>
      <c r="AVW14" s="20" t="n">
        <v>0</v>
      </c>
      <c r="AVX14" s="20" t="n">
        <v>0</v>
      </c>
      <c r="AVY14" s="20" t="n">
        <v>0</v>
      </c>
      <c r="AVZ14" s="20" t="n">
        <v>0</v>
      </c>
      <c r="AWA14" s="20" t="n">
        <v>0</v>
      </c>
      <c r="AWB14" s="20" t="n">
        <v>0</v>
      </c>
      <c r="AWC14" s="20" t="n">
        <v>0</v>
      </c>
      <c r="AWD14" s="20" t="n">
        <v>0</v>
      </c>
      <c r="AWE14" s="20" t="n">
        <v>0</v>
      </c>
      <c r="AWF14" s="20" t="n">
        <v>0</v>
      </c>
      <c r="AWG14" s="20" t="n">
        <v>0</v>
      </c>
      <c r="AWH14" s="20" t="n">
        <v>0</v>
      </c>
      <c r="AWI14" s="20" t="n">
        <v>0</v>
      </c>
      <c r="AWJ14" s="20" t="n">
        <v>0</v>
      </c>
      <c r="AWK14" s="20" t="n">
        <v>0</v>
      </c>
      <c r="AWL14" s="20" t="n">
        <v>0</v>
      </c>
      <c r="AWM14" s="20" t="n">
        <v>0</v>
      </c>
      <c r="AWN14" s="20" t="n">
        <v>0</v>
      </c>
      <c r="AWO14" s="20" t="n">
        <v>0</v>
      </c>
      <c r="AWP14" s="20" t="n">
        <v>0</v>
      </c>
      <c r="AWQ14" s="20" t="n">
        <v>0</v>
      </c>
      <c r="AWR14" s="20" t="n">
        <v>0</v>
      </c>
      <c r="AWS14" s="20" t="n">
        <v>0</v>
      </c>
      <c r="AWT14" s="20" t="n">
        <v>0</v>
      </c>
      <c r="AWU14" s="20" t="n">
        <v>0</v>
      </c>
      <c r="AWV14" s="20" t="n">
        <v>0</v>
      </c>
      <c r="AWW14" s="20" t="n">
        <v>0</v>
      </c>
      <c r="AWX14" s="20" t="n">
        <v>0</v>
      </c>
      <c r="AWY14" s="20" t="n">
        <v>0</v>
      </c>
      <c r="AWZ14" s="20" t="n">
        <v>0</v>
      </c>
      <c r="AXA14" s="20" t="n">
        <v>0</v>
      </c>
      <c r="AXB14" s="20" t="n">
        <v>0</v>
      </c>
      <c r="AXC14" s="20" t="n">
        <v>0</v>
      </c>
      <c r="AXD14" s="20" t="n">
        <v>0</v>
      </c>
      <c r="AXE14" s="20" t="n">
        <v>0</v>
      </c>
      <c r="AXF14" s="20" t="n">
        <v>0</v>
      </c>
      <c r="AXG14" s="20" t="n">
        <v>0</v>
      </c>
      <c r="AXH14" s="20" t="n">
        <v>0</v>
      </c>
      <c r="AXI14" s="20" t="n">
        <v>0</v>
      </c>
      <c r="AXJ14" s="20" t="n">
        <v>0</v>
      </c>
      <c r="AXK14" s="20" t="n">
        <v>0</v>
      </c>
      <c r="AXL14" s="20" t="n">
        <v>0</v>
      </c>
      <c r="AXM14" s="20" t="n">
        <v>0</v>
      </c>
      <c r="AXN14" s="20" t="n">
        <v>0</v>
      </c>
      <c r="AXO14" s="20" t="n">
        <v>0</v>
      </c>
      <c r="AXP14" s="20" t="n">
        <v>0</v>
      </c>
      <c r="AXQ14" s="20" t="n">
        <v>0</v>
      </c>
      <c r="AXR14" s="20" t="n">
        <v>0</v>
      </c>
      <c r="AXS14" s="20" t="n">
        <v>0</v>
      </c>
      <c r="AXT14" s="20" t="n">
        <v>0</v>
      </c>
      <c r="AXU14" s="20" t="n">
        <v>0</v>
      </c>
      <c r="AXV14" s="20" t="n">
        <v>0</v>
      </c>
      <c r="AXW14" s="20" t="n">
        <v>0</v>
      </c>
      <c r="AXX14" s="20" t="n">
        <v>0</v>
      </c>
      <c r="AXY14" s="20" t="n">
        <v>0</v>
      </c>
      <c r="AXZ14" s="20" t="n">
        <v>0</v>
      </c>
      <c r="AYA14" s="20" t="n">
        <v>0</v>
      </c>
      <c r="AYB14" s="20" t="n">
        <v>0</v>
      </c>
      <c r="AYC14" s="20" t="n">
        <v>0</v>
      </c>
      <c r="AYD14" s="20" t="n">
        <v>0</v>
      </c>
      <c r="AYE14" s="20" t="n">
        <v>0</v>
      </c>
      <c r="AYF14" s="20" t="n">
        <v>0</v>
      </c>
      <c r="AYG14" s="20" t="n">
        <v>0</v>
      </c>
      <c r="AYH14" s="20" t="n">
        <v>0</v>
      </c>
      <c r="AYI14" s="20" t="n">
        <v>0</v>
      </c>
      <c r="AYJ14" s="20" t="n">
        <v>0</v>
      </c>
      <c r="AYK14" s="20" t="n">
        <v>0</v>
      </c>
      <c r="AYL14" s="20" t="n">
        <v>0</v>
      </c>
      <c r="AYM14" s="20" t="n">
        <v>0</v>
      </c>
      <c r="AYN14" s="20" t="n">
        <v>0</v>
      </c>
      <c r="AYO14" s="20" t="n">
        <v>0</v>
      </c>
      <c r="AYP14" s="20" t="n">
        <v>0</v>
      </c>
      <c r="AYQ14" s="20" t="n">
        <v>0</v>
      </c>
    </row>
    <row r="15" customFormat="false" ht="15" hidden="false" customHeight="false" outlineLevel="0" collapsed="false">
      <c r="B15" s="20" t="n">
        <v>7</v>
      </c>
      <c r="C15" s="20" t="n">
        <f aca="false">'Plan cashflow'!C15</f>
        <v>1</v>
      </c>
      <c r="D15" s="20" t="n">
        <f aca="false">'Plan cashflow'!D15</f>
        <v>45</v>
      </c>
      <c r="E15" s="20" t="n">
        <f aca="false">AS_Year0+7</f>
        <v>2033</v>
      </c>
      <c r="F15" s="50" t="n">
        <f aca="false">'Plan cashflow'!F15</f>
        <v>1.14868566764928</v>
      </c>
      <c r="G15" s="59" t="n">
        <f aca="true">IF(MAX(TODAY(),DATE(E15,1,1))&gt;=H_CGTfrom,H_CGT1,H_CGT0)</f>
        <v>0.31</v>
      </c>
      <c r="H15" s="20" t="n">
        <f aca="false">H_Exempt*H_Persons</f>
        <v>1270</v>
      </c>
      <c r="I15" s="20" t="n">
        <f aca="false">AX14</f>
        <v>0</v>
      </c>
      <c r="J15" s="60" t="n">
        <f aca="false">BF14</f>
        <v>0</v>
      </c>
      <c r="K15" s="60" t="n">
        <f aca="false">BG14</f>
        <v>0</v>
      </c>
      <c r="L15" s="20" t="n">
        <f aca="false">IF(AND(In_polLump&gt;0,In_polLumpAge&gt;0,D15=In_polLumpAge),In_polLump,0)</f>
        <v>0</v>
      </c>
      <c r="M15" s="20" t="n">
        <f aca="false">IF(AND(In_homeUse="Yes, I'd downsize",In_downAge&gt;0,D15=In_downAge,OR(In_home="Own outright",In_home="Own with mortgage"),In_homeValue&gt;0),MAX(0,MAX(0,In_homeValue-In_downValue)*F15*0.9-'Plan cashflow'!HR14),0)</f>
        <v>0</v>
      </c>
      <c r="N15" s="20" t="n">
        <f aca="false">'Plan pay &amp; tax'!Y241</f>
        <v>0</v>
      </c>
      <c r="O15" s="20" t="n">
        <f aca="false">L15+M15+(1-H_Sh)*N15</f>
        <v>0</v>
      </c>
      <c r="P15" s="20" t="n">
        <f aca="false">H_Sh*N15</f>
        <v>0</v>
      </c>
      <c r="Q15" s="20" t="n">
        <f aca="false">'Plan cashflow'!UL15</f>
        <v>0</v>
      </c>
      <c r="R15" s="20" t="n">
        <f aca="false">(1-H_Sh)*Q15</f>
        <v>0</v>
      </c>
      <c r="S15" s="20" t="n">
        <f aca="false">H_Sh*Q15</f>
        <v>0</v>
      </c>
      <c r="T15" s="20" t="n">
        <f aca="false">J15+K15+O15</f>
        <v>0</v>
      </c>
      <c r="U15" s="20" t="n">
        <f aca="false">T15+R15</f>
        <v>0</v>
      </c>
      <c r="V15" s="60" t="n">
        <f aca="false">SUM(FE15:IQ15)</f>
        <v>0</v>
      </c>
      <c r="W15" s="60" t="n">
        <f aca="false">IF(AJ15&lt;=0,0,IF(AL15&lt;=0,AJ15,AJ15-G15*MAX(0,AL15*AJ15-(AY15+AZ15))))</f>
        <v>0</v>
      </c>
      <c r="X15" s="60" t="n">
        <f aca="false">IF(AR15&lt;=0,0,IF(AT15&lt;=0,AR15,AR15-G15*MAX(0,AT15*AR15-(BA15+BB15))))</f>
        <v>0</v>
      </c>
      <c r="Y15" s="60" t="n">
        <f aca="false">T15+V15-S15+W15+X15</f>
        <v>0</v>
      </c>
      <c r="Z15" s="60" t="n">
        <f aca="false">'Plan cashflow'!UK15</f>
        <v>0</v>
      </c>
      <c r="AA15" s="20" t="n">
        <f aca="false">MIN(Z15,U15)</f>
        <v>0</v>
      </c>
      <c r="AB15" s="20" t="n">
        <f aca="false">Z15-AA15</f>
        <v>0</v>
      </c>
      <c r="AC15" s="20" t="n">
        <f aca="false">MIN(AA15,J15+O15+R15)</f>
        <v>0</v>
      </c>
      <c r="AD15" s="20" t="n">
        <f aca="false">AA15-AC15</f>
        <v>0</v>
      </c>
      <c r="AE15" s="20" t="n">
        <f aca="false">J15+O15+R15-AC15</f>
        <v>0</v>
      </c>
      <c r="AF15" s="20" t="n">
        <f aca="false">K15-AD15</f>
        <v>0</v>
      </c>
      <c r="AG15" s="20" t="n">
        <f aca="false">SUM(PR15:TD15)</f>
        <v>0</v>
      </c>
      <c r="AH15" s="20" t="n">
        <f aca="false">SUM(TE15:WQ15)</f>
        <v>0</v>
      </c>
      <c r="AI15" s="20" t="n">
        <f aca="false">MAX(0,AB15-AG15)</f>
        <v>0</v>
      </c>
      <c r="AJ15" s="57" t="n">
        <f aca="false">BI14</f>
        <v>0</v>
      </c>
      <c r="AK15" s="20" t="n">
        <f aca="false">BJ14</f>
        <v>0</v>
      </c>
      <c r="AL15" s="20" t="n">
        <f aca="false">IF(AJ15&gt;0,(AJ15-AK15)/AJ15,0)</f>
        <v>0</v>
      </c>
      <c r="AM15" s="20" t="n">
        <f aca="false">IF(AJ15&lt;=0,0,IF(AL15&lt;=0,MIN(AI15,AJ15),MIN(AI15,AJ15-G15*MAX(0,AL15*AJ15-(AAD15+ADQ15)))))</f>
        <v>0</v>
      </c>
      <c r="AN15" s="20" t="n">
        <f aca="false">IF(AJ15&lt;=0,0,IF(AL15&lt;=0,AM15,IF(AM15&lt;=(AAD15+ADQ15)/AL15,AM15,(AM15-G15*(AAD15+ADQ15))/(1-G15*AL15))))</f>
        <v>0</v>
      </c>
      <c r="AO15" s="20" t="n">
        <f aca="false">IF(AL15&gt;0,MAX(0,AAD15-(MIN(AL15*AN15,(AAD15+ADQ15))-MIN(MIN(AL15*AN15,(AAD15+ADQ15)),ADQ15))),AAD15)</f>
        <v>1270</v>
      </c>
      <c r="AP15" s="20" t="n">
        <f aca="false">IF(AL15&lt;=0,ADQ15-AL15*AN15,ADQ15-MIN(MIN(AL15*AN15,(AAD15+ADQ15)),ADQ15))</f>
        <v>0</v>
      </c>
      <c r="AQ15" s="20" t="n">
        <f aca="false">MAX(0,AI15-AM15)</f>
        <v>0</v>
      </c>
      <c r="AR15" s="57" t="n">
        <f aca="false">BK14</f>
        <v>0</v>
      </c>
      <c r="AS15" s="20" t="n">
        <f aca="false">BL14</f>
        <v>0</v>
      </c>
      <c r="AT15" s="20" t="n">
        <f aca="false">IF(AR15&gt;0,(AR15-AS15)/AR15,0)</f>
        <v>0</v>
      </c>
      <c r="AU15" s="20" t="n">
        <f aca="false">IF(AR15&lt;=0,0,IF(AT15&lt;=0,MIN(AQ15,AR15),MIN(AQ15,AR15-G15*MAX(0,AT15*AR15-(AO15+AP15)))))</f>
        <v>0</v>
      </c>
      <c r="AV15" s="20" t="n">
        <f aca="false">IF(AR15&lt;=0,0,IF(AT15&lt;=0,AU15,IF(AU15&lt;=(AO15+AP15)/AT15,AU15,(AU15-G15*(AO15+AP15))/(1-G15*AT15))))</f>
        <v>0</v>
      </c>
      <c r="AW15" s="20" t="n">
        <f aca="false">IF(AT15&gt;0,MAX(0,AO15-(MIN(AT15*AV15,(AO15+AP15))-MIN(MIN(AT15*AV15,(AO15+AP15)),AP15))),AO15)</f>
        <v>1270</v>
      </c>
      <c r="AX15" s="20" t="n">
        <f aca="false">IF(AT15&lt;=0,AP15-AT15*AV15,AP15-MIN(MIN(AT15*AV15,(AO15+AP15)),AP15))</f>
        <v>0</v>
      </c>
      <c r="AY15" s="20" t="n">
        <f aca="false">MD15</f>
        <v>1270</v>
      </c>
      <c r="AZ15" s="20" t="n">
        <f aca="false">PQ15</f>
        <v>0</v>
      </c>
      <c r="BA15" s="20" t="n">
        <f aca="false">IF(AL15&gt;0,MAX(0,AY15-(MIN(AL15*AJ15,AY15+AZ15)-MIN(MIN(AL15*AJ15,AY15+AZ15),AZ15))),AY15)</f>
        <v>1270</v>
      </c>
      <c r="BB15" s="20" t="n">
        <f aca="false">IF(AL15&lt;=0,AZ15-AL15*AJ15,AZ15-MIN(MIN(AL15*AJ15,AY15+AZ15),AZ15))</f>
        <v>0</v>
      </c>
      <c r="BC15" s="20" t="n">
        <f aca="false">'Plan cashflow'!UM15</f>
        <v>0</v>
      </c>
      <c r="BD15" s="20" t="n">
        <f aca="false">(1-H_Sh)*BC15</f>
        <v>0</v>
      </c>
      <c r="BE15" s="20" t="n">
        <f aca="false">H_Sh*BC15</f>
        <v>0</v>
      </c>
      <c r="BF15" s="60" t="n">
        <f aca="false">(AE15+BD15)*(1+AS_Cash)</f>
        <v>0</v>
      </c>
      <c r="BG15" s="60" t="n">
        <f aca="false">AF15*(1+AS_Cash)</f>
        <v>0</v>
      </c>
      <c r="BH15" s="60" t="n">
        <f aca="false">SUM(AKR15:AOD15)</f>
        <v>0</v>
      </c>
      <c r="BI15" s="60" t="n">
        <f aca="false">(AJ15-AN15)*(1+AS_Infl)</f>
        <v>0</v>
      </c>
      <c r="BJ15" s="20" t="n">
        <f aca="false">IF(AJ15&gt;0,AK15-AK15*AN15/AJ15,0)</f>
        <v>0</v>
      </c>
      <c r="BK15" s="60" t="n">
        <f aca="false">(AR15-AV15)*(1+BQ15)</f>
        <v>0</v>
      </c>
      <c r="BL15" s="20" t="n">
        <f aca="false">IF(AR15&gt;0,AS15-AS15*AV15/AR15,0)</f>
        <v>0</v>
      </c>
      <c r="BM15" s="60" t="n">
        <f aca="false">BF15+BG15+BH15+BI15+BK15</f>
        <v>0</v>
      </c>
      <c r="BN15" s="60" t="n">
        <f aca="false">(AH15-AG15)+(AN15-AM15)+(AV15-AU15)</f>
        <v>0</v>
      </c>
      <c r="BO15" s="20" t="n">
        <f aca="false">(AE15+BD15+AF15+MAX(0,'Plan cashflow'!QH15)+IF(Slot1_Rate=AS_Cash,'Plan cashflow'!QM15/(1+AS_Cash),0)+IF(Slot2_Rate=AS_Cash,'Plan cashflow'!QQ15/(1+AS_Cash),0)+IF(Slot3_Rate=AS_Cash,'Plan cashflow'!QU15/(1+AS_Cash),0)+IF(Slot4_Rate=AS_Cash,'Plan cashflow'!QY15/(1+AS_Cash),0)+IF(Slot5_Rate=AS_Cash,'Plan cashflow'!RC15/(1+AS_Cash),0)+IF(Slot6_Rate=AS_Cash,'Plan cashflow'!RG15/(1+AS_Cash),0)+IF(Slot7_Rate=AS_Cash,'Plan cashflow'!RK15/(1+AS_Cash),0)+IF(Slot8_Rate=AS_Cash,'Plan cashflow'!RO15/(1+AS_Cash),0)+IF(Slot9_Rate=AS_Cash,'Plan cashflow'!RS15/(1+AS_Cash),0)+IF(Slot10_Rate=AS_Cash,'Plan cashflow'!RW15/(1+AS_Cash),0)+IF(Slot11_Rate=AS_Cash,'Plan cashflow'!SA15/(1+AS_Cash),0)+IF(Slot12_Rate=AS_Cash,'Plan cashflow'!SE15/(1+AS_Cash),0)+IF(Slot13_Rate=AS_Cash,'Plan cashflow'!SI15/(1+AS_Cash),0)+IF(Slot14_Rate=AS_Cash,'Plan cashflow'!SM15/(1+AS_Cash),0)+IF(Slot15_Rate=AS_Cash,'Plan cashflow'!SQ15/(1+AS_Cash),0)+IF(Slot16_Rate=AS_Cash,'Plan cashflow'!SU15/(1+AS_Cash),0)+IF(Slot17_Rate=AS_Cash,'Plan cashflow'!SY15/(1+AS_Cash),0)+IF(Slot18_Rate=AS_Cash,'Plan cashflow'!TC15/(1+AS_Cash),0)+IF(Slot19_Rate=AS_Cash,'Plan cashflow'!TG15/(1+AS_Cash),0)+IF(Slot20_Rate=AS_Cash,'Plan cashflow'!TK15/(1+AS_Cash),0))*AS_Cash*H_DIRT/(1-H_DIRT)</f>
        <v>58.9018299474383</v>
      </c>
      <c r="BP15" s="60" t="n">
        <f aca="false">SUM(AVE15:AYQ15)</f>
        <v>0</v>
      </c>
      <c r="BQ15" s="54" t="n">
        <f aca="false">IF(H_TaxEvt=1,H_InvG,AS_Inv)</f>
        <v>0.04</v>
      </c>
      <c r="BR15" s="20" t="n">
        <f aca="false">IF(AKR14&gt;0,(AKR14-AOE14)/AKR14,0)</f>
        <v>0</v>
      </c>
      <c r="BS15" s="20" t="n">
        <f aca="false">IF(AKS14&gt;0,(AKS14-AOF14)/AKS14,0)</f>
        <v>0</v>
      </c>
      <c r="BT15" s="20" t="n">
        <f aca="false">IF(AKT14&gt;0,(AKT14-AOG14)/AKT14,0)</f>
        <v>0</v>
      </c>
      <c r="BU15" s="20" t="n">
        <f aca="false">IF(AKU14&gt;0,(AKU14-AOH14)/AKU14,0)</f>
        <v>0</v>
      </c>
      <c r="BV15" s="20" t="n">
        <f aca="false">IF(AKV14&gt;0,(AKV14-AOI14)/AKV14,0)</f>
        <v>0</v>
      </c>
      <c r="BW15" s="20" t="n">
        <f aca="false">IF(AKW14&gt;0,(AKW14-AOJ14)/AKW14,0)</f>
        <v>0</v>
      </c>
      <c r="BX15" s="20" t="n">
        <f aca="false">IF(AKX14&gt;0,(AKX14-AOK14)/AKX14,0)</f>
        <v>0</v>
      </c>
      <c r="BY15" s="20" t="n">
        <f aca="false">IF(AKY14&gt;0,(AKY14-AOL14)/AKY14,0)</f>
        <v>0</v>
      </c>
      <c r="BZ15" s="20" t="n">
        <f aca="false">IF((P15+S15)&gt;0,((P15+S15)-(P15+S15))/(P15+S15),0)</f>
        <v>0</v>
      </c>
      <c r="CA15" s="20" t="n">
        <v>0</v>
      </c>
      <c r="CB15" s="20" t="n">
        <v>0</v>
      </c>
      <c r="CC15" s="20" t="n">
        <v>0</v>
      </c>
      <c r="CD15" s="20" t="n">
        <v>0</v>
      </c>
      <c r="CE15" s="20" t="n">
        <v>0</v>
      </c>
      <c r="CF15" s="20" t="n">
        <v>0</v>
      </c>
      <c r="CG15" s="20" t="n">
        <v>0</v>
      </c>
      <c r="CH15" s="20" t="n">
        <v>0</v>
      </c>
      <c r="CI15" s="20" t="n">
        <v>0</v>
      </c>
      <c r="CJ15" s="20" t="n">
        <v>0</v>
      </c>
      <c r="CK15" s="20" t="n">
        <v>0</v>
      </c>
      <c r="CL15" s="20" t="n">
        <v>0</v>
      </c>
      <c r="CM15" s="20" t="n">
        <v>0</v>
      </c>
      <c r="CN15" s="20" t="n">
        <v>0</v>
      </c>
      <c r="CO15" s="20" t="n">
        <v>0</v>
      </c>
      <c r="CP15" s="20" t="n">
        <v>0</v>
      </c>
      <c r="CQ15" s="20" t="n">
        <v>0</v>
      </c>
      <c r="CR15" s="20" t="n">
        <v>0</v>
      </c>
      <c r="CS15" s="20" t="n">
        <v>0</v>
      </c>
      <c r="CT15" s="20" t="n">
        <v>0</v>
      </c>
      <c r="CU15" s="20" t="n">
        <v>0</v>
      </c>
      <c r="CV15" s="20" t="n">
        <v>0</v>
      </c>
      <c r="CW15" s="20" t="n">
        <v>0</v>
      </c>
      <c r="CX15" s="20" t="n">
        <v>0</v>
      </c>
      <c r="CY15" s="20" t="n">
        <v>0</v>
      </c>
      <c r="CZ15" s="20" t="n">
        <v>0</v>
      </c>
      <c r="DA15" s="20" t="n">
        <v>0</v>
      </c>
      <c r="DB15" s="20" t="n">
        <v>0</v>
      </c>
      <c r="DC15" s="20" t="n">
        <v>0</v>
      </c>
      <c r="DD15" s="20" t="n">
        <v>0</v>
      </c>
      <c r="DE15" s="20" t="n">
        <v>0</v>
      </c>
      <c r="DF15" s="20" t="n">
        <v>0</v>
      </c>
      <c r="DG15" s="20" t="n">
        <v>0</v>
      </c>
      <c r="DH15" s="20" t="n">
        <v>0</v>
      </c>
      <c r="DI15" s="20" t="n">
        <v>0</v>
      </c>
      <c r="DJ15" s="20" t="n">
        <v>0</v>
      </c>
      <c r="DK15" s="20" t="n">
        <v>0</v>
      </c>
      <c r="DL15" s="20" t="n">
        <v>0</v>
      </c>
      <c r="DM15" s="20" t="n">
        <v>0</v>
      </c>
      <c r="DN15" s="20" t="n">
        <v>0</v>
      </c>
      <c r="DO15" s="20" t="n">
        <v>0</v>
      </c>
      <c r="DP15" s="20" t="n">
        <v>0</v>
      </c>
      <c r="DQ15" s="20" t="n">
        <v>0</v>
      </c>
      <c r="DR15" s="20" t="n">
        <v>0</v>
      </c>
      <c r="DS15" s="20" t="n">
        <v>0</v>
      </c>
      <c r="DT15" s="20" t="n">
        <v>0</v>
      </c>
      <c r="DU15" s="20" t="n">
        <v>0</v>
      </c>
      <c r="DV15" s="20" t="n">
        <v>0</v>
      </c>
      <c r="DW15" s="20" t="n">
        <v>0</v>
      </c>
      <c r="DX15" s="20" t="n">
        <v>0</v>
      </c>
      <c r="DY15" s="20" t="n">
        <v>0</v>
      </c>
      <c r="DZ15" s="20" t="n">
        <v>0</v>
      </c>
      <c r="EA15" s="20" t="n">
        <v>0</v>
      </c>
      <c r="EB15" s="20" t="n">
        <v>0</v>
      </c>
      <c r="EC15" s="20" t="n">
        <v>0</v>
      </c>
      <c r="ED15" s="20" t="n">
        <v>0</v>
      </c>
      <c r="EE15" s="20" t="n">
        <v>0</v>
      </c>
      <c r="EF15" s="20" t="n">
        <v>0</v>
      </c>
      <c r="EG15" s="20" t="n">
        <v>0</v>
      </c>
      <c r="EH15" s="20" t="n">
        <v>0</v>
      </c>
      <c r="EI15" s="20" t="n">
        <v>0</v>
      </c>
      <c r="EJ15" s="20" t="n">
        <v>0</v>
      </c>
      <c r="EK15" s="20" t="n">
        <v>0</v>
      </c>
      <c r="EL15" s="20" t="n">
        <v>0</v>
      </c>
      <c r="EM15" s="20" t="n">
        <v>0</v>
      </c>
      <c r="EN15" s="20" t="n">
        <v>0</v>
      </c>
      <c r="EO15" s="20" t="n">
        <v>0</v>
      </c>
      <c r="EP15" s="20" t="n">
        <v>0</v>
      </c>
      <c r="EQ15" s="20" t="n">
        <v>0</v>
      </c>
      <c r="ER15" s="20" t="n">
        <v>0</v>
      </c>
      <c r="ES15" s="20" t="n">
        <v>0</v>
      </c>
      <c r="ET15" s="20" t="n">
        <v>0</v>
      </c>
      <c r="EU15" s="20" t="n">
        <v>0</v>
      </c>
      <c r="EV15" s="20" t="n">
        <v>0</v>
      </c>
      <c r="EW15" s="20" t="n">
        <v>0</v>
      </c>
      <c r="EX15" s="20" t="n">
        <v>0</v>
      </c>
      <c r="EY15" s="20" t="n">
        <v>0</v>
      </c>
      <c r="EZ15" s="20" t="n">
        <v>0</v>
      </c>
      <c r="FA15" s="20" t="n">
        <v>0</v>
      </c>
      <c r="FB15" s="20" t="n">
        <v>0</v>
      </c>
      <c r="FC15" s="20" t="n">
        <v>0</v>
      </c>
      <c r="FD15" s="20" t="n">
        <v>0</v>
      </c>
      <c r="FE15" s="20" t="n">
        <f aca="false">IF(H_Direct=1,IF(AKR14&lt;=0,0,IF(BR15&lt;=0,AKR14,AKR14-G15*MAX(0,BR15*AKR14-(H15+I15)))),AKR14*(1-MAX(0,BR15)*H_Exit))</f>
        <v>0</v>
      </c>
      <c r="FF15" s="20" t="n">
        <f aca="false">IF(H_Direct=1,IF(AKS14&lt;=0,0,IF(BS15&lt;=0,AKS14,AKS14-G15*MAX(0,BS15*AKS14-(IR15+ME15)))),AKS14*(1-MAX(0,BS15)*H_Exit))</f>
        <v>0</v>
      </c>
      <c r="FG15" s="20" t="n">
        <f aca="false">IF(H_Direct=1,IF(AKT14&lt;=0,0,IF(BT15&lt;=0,AKT14,AKT14-G15*MAX(0,BT15*AKT14-(IS15+MF15)))),AKT14*(1-MAX(0,BT15)*H_Exit))</f>
        <v>0</v>
      </c>
      <c r="FH15" s="20" t="n">
        <f aca="false">IF(H_Direct=1,IF(AKU14&lt;=0,0,IF(BU15&lt;=0,AKU14,AKU14-G15*MAX(0,BU15*AKU14-(IT15+MG15)))),AKU14*(1-MAX(0,BU15)*H_Exit))</f>
        <v>0</v>
      </c>
      <c r="FI15" s="20" t="n">
        <f aca="false">IF(H_Direct=1,IF(AKV14&lt;=0,0,IF(BV15&lt;=0,AKV14,AKV14-G15*MAX(0,BV15*AKV14-(IU15+MH15)))),AKV14*(1-MAX(0,BV15)*H_Exit))</f>
        <v>0</v>
      </c>
      <c r="FJ15" s="20" t="n">
        <f aca="false">IF(H_Direct=1,IF(AKW14&lt;=0,0,IF(BW15&lt;=0,AKW14,AKW14-G15*MAX(0,BW15*AKW14-(IV15+MI15)))),AKW14*(1-MAX(0,BW15)*H_Exit))</f>
        <v>0</v>
      </c>
      <c r="FK15" s="20" t="n">
        <f aca="false">IF(H_Direct=1,IF(AKX14&lt;=0,0,IF(BX15&lt;=0,AKX14,AKX14-G15*MAX(0,BX15*AKX14-(IW15+MJ15)))),AKX14*(1-MAX(0,BX15)*H_Exit))</f>
        <v>0</v>
      </c>
      <c r="FL15" s="20" t="n">
        <f aca="false">IF(H_Direct=1,IF(AKY14&lt;=0,0,IF(BY15&lt;=0,AKY14,AKY14-G15*MAX(0,BY15*AKY14-(IX15+MK15)))),AKY14*(1-MAX(0,BY15)*H_Exit))</f>
        <v>0</v>
      </c>
      <c r="FM15" s="20" t="n">
        <f aca="false">IF(H_Direct=1,IF((P15+S15)&lt;=0,0,IF(BZ15&lt;=0,(P15+S15),(P15+S15)-G15*MAX(0,BZ15*(P15+S15)-(IY15+ML15)))),(P15+S15)*(1-MAX(0,BZ15)*H_Exit))</f>
        <v>0</v>
      </c>
      <c r="FN15" s="20" t="n">
        <v>0</v>
      </c>
      <c r="FO15" s="20" t="n">
        <v>0</v>
      </c>
      <c r="FP15" s="20" t="n">
        <v>0</v>
      </c>
      <c r="FQ15" s="20" t="n">
        <v>0</v>
      </c>
      <c r="FR15" s="20" t="n">
        <v>0</v>
      </c>
      <c r="FS15" s="20" t="n">
        <v>0</v>
      </c>
      <c r="FT15" s="20" t="n">
        <v>0</v>
      </c>
      <c r="FU15" s="20" t="n">
        <v>0</v>
      </c>
      <c r="FV15" s="20" t="n">
        <v>0</v>
      </c>
      <c r="FW15" s="20" t="n">
        <v>0</v>
      </c>
      <c r="FX15" s="20" t="n">
        <v>0</v>
      </c>
      <c r="FY15" s="20" t="n">
        <v>0</v>
      </c>
      <c r="FZ15" s="20" t="n">
        <v>0</v>
      </c>
      <c r="GA15" s="20" t="n">
        <v>0</v>
      </c>
      <c r="GB15" s="20" t="n">
        <v>0</v>
      </c>
      <c r="GC15" s="20" t="n">
        <v>0</v>
      </c>
      <c r="GD15" s="20" t="n">
        <v>0</v>
      </c>
      <c r="GE15" s="20" t="n">
        <v>0</v>
      </c>
      <c r="GF15" s="20" t="n">
        <v>0</v>
      </c>
      <c r="GG15" s="20" t="n">
        <v>0</v>
      </c>
      <c r="GH15" s="20" t="n">
        <v>0</v>
      </c>
      <c r="GI15" s="20" t="n">
        <v>0</v>
      </c>
      <c r="GJ15" s="20" t="n">
        <v>0</v>
      </c>
      <c r="GK15" s="20" t="n">
        <v>0</v>
      </c>
      <c r="GL15" s="20" t="n">
        <v>0</v>
      </c>
      <c r="GM15" s="20" t="n">
        <v>0</v>
      </c>
      <c r="GN15" s="20" t="n">
        <v>0</v>
      </c>
      <c r="GO15" s="20" t="n">
        <v>0</v>
      </c>
      <c r="GP15" s="20" t="n">
        <v>0</v>
      </c>
      <c r="GQ15" s="20" t="n">
        <v>0</v>
      </c>
      <c r="GR15" s="20" t="n">
        <v>0</v>
      </c>
      <c r="GS15" s="20" t="n">
        <v>0</v>
      </c>
      <c r="GT15" s="20" t="n">
        <v>0</v>
      </c>
      <c r="GU15" s="20" t="n">
        <v>0</v>
      </c>
      <c r="GV15" s="20" t="n">
        <v>0</v>
      </c>
      <c r="GW15" s="20" t="n">
        <v>0</v>
      </c>
      <c r="GX15" s="20" t="n">
        <v>0</v>
      </c>
      <c r="GY15" s="20" t="n">
        <v>0</v>
      </c>
      <c r="GZ15" s="20" t="n">
        <v>0</v>
      </c>
      <c r="HA15" s="20" t="n">
        <v>0</v>
      </c>
      <c r="HB15" s="20" t="n">
        <v>0</v>
      </c>
      <c r="HC15" s="20" t="n">
        <v>0</v>
      </c>
      <c r="HD15" s="20" t="n">
        <v>0</v>
      </c>
      <c r="HE15" s="20" t="n">
        <v>0</v>
      </c>
      <c r="HF15" s="20" t="n">
        <v>0</v>
      </c>
      <c r="HG15" s="20" t="n">
        <v>0</v>
      </c>
      <c r="HH15" s="20" t="n">
        <v>0</v>
      </c>
      <c r="HI15" s="20" t="n">
        <v>0</v>
      </c>
      <c r="HJ15" s="20" t="n">
        <v>0</v>
      </c>
      <c r="HK15" s="20" t="n">
        <v>0</v>
      </c>
      <c r="HL15" s="20" t="n">
        <v>0</v>
      </c>
      <c r="HM15" s="20" t="n">
        <v>0</v>
      </c>
      <c r="HN15" s="20" t="n">
        <v>0</v>
      </c>
      <c r="HO15" s="20" t="n">
        <v>0</v>
      </c>
      <c r="HP15" s="20" t="n">
        <v>0</v>
      </c>
      <c r="HQ15" s="20" t="n">
        <v>0</v>
      </c>
      <c r="HR15" s="20" t="n">
        <v>0</v>
      </c>
      <c r="HS15" s="20" t="n">
        <v>0</v>
      </c>
      <c r="HT15" s="20" t="n">
        <v>0</v>
      </c>
      <c r="HU15" s="20" t="n">
        <v>0</v>
      </c>
      <c r="HV15" s="20" t="n">
        <v>0</v>
      </c>
      <c r="HW15" s="20" t="n">
        <v>0</v>
      </c>
      <c r="HX15" s="20" t="n">
        <v>0</v>
      </c>
      <c r="HY15" s="20" t="n">
        <v>0</v>
      </c>
      <c r="HZ15" s="20" t="n">
        <v>0</v>
      </c>
      <c r="IA15" s="20" t="n">
        <v>0</v>
      </c>
      <c r="IB15" s="20" t="n">
        <v>0</v>
      </c>
      <c r="IC15" s="20" t="n">
        <v>0</v>
      </c>
      <c r="ID15" s="20" t="n">
        <v>0</v>
      </c>
      <c r="IE15" s="20" t="n">
        <v>0</v>
      </c>
      <c r="IF15" s="20" t="n">
        <v>0</v>
      </c>
      <c r="IG15" s="20" t="n">
        <v>0</v>
      </c>
      <c r="IH15" s="20" t="n">
        <v>0</v>
      </c>
      <c r="II15" s="20" t="n">
        <v>0</v>
      </c>
      <c r="IJ15" s="20" t="n">
        <v>0</v>
      </c>
      <c r="IK15" s="20" t="n">
        <v>0</v>
      </c>
      <c r="IL15" s="20" t="n">
        <v>0</v>
      </c>
      <c r="IM15" s="20" t="n">
        <v>0</v>
      </c>
      <c r="IN15" s="20" t="n">
        <v>0</v>
      </c>
      <c r="IO15" s="20" t="n">
        <v>0</v>
      </c>
      <c r="IP15" s="20" t="n">
        <v>0</v>
      </c>
      <c r="IQ15" s="20" t="n">
        <v>0</v>
      </c>
      <c r="IR15" s="20" t="n">
        <f aca="false">IF(AND(H_Direct=1,BR15&gt;0),MAX(0,H15-(MIN(BR15*AKR14,H15+I15)-MIN(MIN(BR15*AKR14,H15+I15),I15))),H15)</f>
        <v>1270</v>
      </c>
      <c r="IS15" s="20" t="n">
        <f aca="false">IF(AND(H_Direct=1,BS15&gt;0),MAX(0,IR15-(MIN(BS15*AKS14,IR15+ME15)-MIN(MIN(BS15*AKS14,IR15+ME15),ME15))),IR15)</f>
        <v>1270</v>
      </c>
      <c r="IT15" s="20" t="n">
        <f aca="false">IF(AND(H_Direct=1,BT15&gt;0),MAX(0,IS15-(MIN(BT15*AKT14,IS15+MF15)-MIN(MIN(BT15*AKT14,IS15+MF15),MF15))),IS15)</f>
        <v>1270</v>
      </c>
      <c r="IU15" s="20" t="n">
        <f aca="false">IF(AND(H_Direct=1,BU15&gt;0),MAX(0,IT15-(MIN(BU15*AKU14,IT15+MG15)-MIN(MIN(BU15*AKU14,IT15+MG15),MG15))),IT15)</f>
        <v>1270</v>
      </c>
      <c r="IV15" s="20" t="n">
        <f aca="false">IF(AND(H_Direct=1,BV15&gt;0),MAX(0,IU15-(MIN(BV15*AKV14,IU15+MH15)-MIN(MIN(BV15*AKV14,IU15+MH15),MH15))),IU15)</f>
        <v>1270</v>
      </c>
      <c r="IW15" s="20" t="n">
        <f aca="false">IF(AND(H_Direct=1,BW15&gt;0),MAX(0,IV15-(MIN(BW15*AKW14,IV15+MI15)-MIN(MIN(BW15*AKW14,IV15+MI15),MI15))),IV15)</f>
        <v>1270</v>
      </c>
      <c r="IX15" s="20" t="n">
        <f aca="false">IF(AND(H_Direct=1,BX15&gt;0),MAX(0,IW15-(MIN(BX15*AKX14,IW15+MJ15)-MIN(MIN(BX15*AKX14,IW15+MJ15),MJ15))),IW15)</f>
        <v>1270</v>
      </c>
      <c r="IY15" s="20" t="n">
        <f aca="false">IF(AND(H_Direct=1,BY15&gt;0),MAX(0,IX15-(MIN(BY15*AKY14,IX15+MK15)-MIN(MIN(BY15*AKY14,IX15+MK15),MK15))),IX15)</f>
        <v>1270</v>
      </c>
      <c r="IZ15" s="20" t="n">
        <f aca="false">IF(AND(H_Direct=1,BZ15&gt;0),MAX(0,IY15-(MIN(BZ15*(P15+S15),IY15+ML15)-MIN(MIN(BZ15*(P15+S15),IY15+ML15),ML15))),IY15)</f>
        <v>1270</v>
      </c>
      <c r="JA15" s="20" t="n">
        <f aca="false">IZ15</f>
        <v>1270</v>
      </c>
      <c r="JB15" s="20" t="n">
        <f aca="false">JA15</f>
        <v>1270</v>
      </c>
      <c r="JC15" s="20" t="n">
        <f aca="false">JB15</f>
        <v>1270</v>
      </c>
      <c r="JD15" s="20" t="n">
        <f aca="false">JC15</f>
        <v>1270</v>
      </c>
      <c r="JE15" s="20" t="n">
        <f aca="false">JD15</f>
        <v>1270</v>
      </c>
      <c r="JF15" s="20" t="n">
        <f aca="false">JE15</f>
        <v>1270</v>
      </c>
      <c r="JG15" s="20" t="n">
        <f aca="false">JF15</f>
        <v>1270</v>
      </c>
      <c r="JH15" s="20" t="n">
        <f aca="false">JG15</f>
        <v>1270</v>
      </c>
      <c r="JI15" s="20" t="n">
        <f aca="false">JH15</f>
        <v>1270</v>
      </c>
      <c r="JJ15" s="20" t="n">
        <f aca="false">JI15</f>
        <v>1270</v>
      </c>
      <c r="JK15" s="20" t="n">
        <f aca="false">JJ15</f>
        <v>1270</v>
      </c>
      <c r="JL15" s="20" t="n">
        <f aca="false">JK15</f>
        <v>1270</v>
      </c>
      <c r="JM15" s="20" t="n">
        <f aca="false">JL15</f>
        <v>1270</v>
      </c>
      <c r="JN15" s="20" t="n">
        <f aca="false">JM15</f>
        <v>1270</v>
      </c>
      <c r="JO15" s="20" t="n">
        <f aca="false">JN15</f>
        <v>1270</v>
      </c>
      <c r="JP15" s="20" t="n">
        <f aca="false">JO15</f>
        <v>1270</v>
      </c>
      <c r="JQ15" s="20" t="n">
        <f aca="false">JP15</f>
        <v>1270</v>
      </c>
      <c r="JR15" s="20" t="n">
        <f aca="false">JQ15</f>
        <v>1270</v>
      </c>
      <c r="JS15" s="20" t="n">
        <f aca="false">JR15</f>
        <v>1270</v>
      </c>
      <c r="JT15" s="20" t="n">
        <f aca="false">JS15</f>
        <v>1270</v>
      </c>
      <c r="JU15" s="20" t="n">
        <f aca="false">JT15</f>
        <v>1270</v>
      </c>
      <c r="JV15" s="20" t="n">
        <f aca="false">JU15</f>
        <v>1270</v>
      </c>
      <c r="JW15" s="20" t="n">
        <f aca="false">JV15</f>
        <v>1270</v>
      </c>
      <c r="JX15" s="20" t="n">
        <f aca="false">JW15</f>
        <v>1270</v>
      </c>
      <c r="JY15" s="20" t="n">
        <f aca="false">JX15</f>
        <v>1270</v>
      </c>
      <c r="JZ15" s="20" t="n">
        <f aca="false">JY15</f>
        <v>1270</v>
      </c>
      <c r="KA15" s="20" t="n">
        <f aca="false">JZ15</f>
        <v>1270</v>
      </c>
      <c r="KB15" s="20" t="n">
        <f aca="false">KA15</f>
        <v>1270</v>
      </c>
      <c r="KC15" s="20" t="n">
        <f aca="false">KB15</f>
        <v>1270</v>
      </c>
      <c r="KD15" s="20" t="n">
        <f aca="false">KC15</f>
        <v>1270</v>
      </c>
      <c r="KE15" s="20" t="n">
        <f aca="false">KD15</f>
        <v>1270</v>
      </c>
      <c r="KF15" s="20" t="n">
        <f aca="false">KE15</f>
        <v>1270</v>
      </c>
      <c r="KG15" s="20" t="n">
        <f aca="false">KF15</f>
        <v>1270</v>
      </c>
      <c r="KH15" s="20" t="n">
        <f aca="false">KG15</f>
        <v>1270</v>
      </c>
      <c r="KI15" s="20" t="n">
        <f aca="false">KH15</f>
        <v>1270</v>
      </c>
      <c r="KJ15" s="20" t="n">
        <f aca="false">KI15</f>
        <v>1270</v>
      </c>
      <c r="KK15" s="20" t="n">
        <f aca="false">KJ15</f>
        <v>1270</v>
      </c>
      <c r="KL15" s="20" t="n">
        <f aca="false">KK15</f>
        <v>1270</v>
      </c>
      <c r="KM15" s="20" t="n">
        <f aca="false">KL15</f>
        <v>1270</v>
      </c>
      <c r="KN15" s="20" t="n">
        <f aca="false">KM15</f>
        <v>1270</v>
      </c>
      <c r="KO15" s="20" t="n">
        <f aca="false">KN15</f>
        <v>1270</v>
      </c>
      <c r="KP15" s="20" t="n">
        <f aca="false">KO15</f>
        <v>1270</v>
      </c>
      <c r="KQ15" s="20" t="n">
        <f aca="false">KP15</f>
        <v>1270</v>
      </c>
      <c r="KR15" s="20" t="n">
        <f aca="false">KQ15</f>
        <v>1270</v>
      </c>
      <c r="KS15" s="20" t="n">
        <f aca="false">KR15</f>
        <v>1270</v>
      </c>
      <c r="KT15" s="20" t="n">
        <f aca="false">KS15</f>
        <v>1270</v>
      </c>
      <c r="KU15" s="20" t="n">
        <f aca="false">KT15</f>
        <v>1270</v>
      </c>
      <c r="KV15" s="20" t="n">
        <f aca="false">KU15</f>
        <v>1270</v>
      </c>
      <c r="KW15" s="20" t="n">
        <f aca="false">KV15</f>
        <v>1270</v>
      </c>
      <c r="KX15" s="20" t="n">
        <f aca="false">KW15</f>
        <v>1270</v>
      </c>
      <c r="KY15" s="20" t="n">
        <f aca="false">KX15</f>
        <v>1270</v>
      </c>
      <c r="KZ15" s="20" t="n">
        <f aca="false">KY15</f>
        <v>1270</v>
      </c>
      <c r="LA15" s="20" t="n">
        <f aca="false">KZ15</f>
        <v>1270</v>
      </c>
      <c r="LB15" s="20" t="n">
        <f aca="false">LA15</f>
        <v>1270</v>
      </c>
      <c r="LC15" s="20" t="n">
        <f aca="false">LB15</f>
        <v>1270</v>
      </c>
      <c r="LD15" s="20" t="n">
        <f aca="false">LC15</f>
        <v>1270</v>
      </c>
      <c r="LE15" s="20" t="n">
        <f aca="false">LD15</f>
        <v>1270</v>
      </c>
      <c r="LF15" s="20" t="n">
        <f aca="false">LE15</f>
        <v>1270</v>
      </c>
      <c r="LG15" s="20" t="n">
        <f aca="false">LF15</f>
        <v>1270</v>
      </c>
      <c r="LH15" s="20" t="n">
        <f aca="false">LG15</f>
        <v>1270</v>
      </c>
      <c r="LI15" s="20" t="n">
        <f aca="false">LH15</f>
        <v>1270</v>
      </c>
      <c r="LJ15" s="20" t="n">
        <f aca="false">LI15</f>
        <v>1270</v>
      </c>
      <c r="LK15" s="20" t="n">
        <f aca="false">LJ15</f>
        <v>1270</v>
      </c>
      <c r="LL15" s="20" t="n">
        <f aca="false">LK15</f>
        <v>1270</v>
      </c>
      <c r="LM15" s="20" t="n">
        <f aca="false">LL15</f>
        <v>1270</v>
      </c>
      <c r="LN15" s="20" t="n">
        <f aca="false">LM15</f>
        <v>1270</v>
      </c>
      <c r="LO15" s="20" t="n">
        <f aca="false">LN15</f>
        <v>1270</v>
      </c>
      <c r="LP15" s="20" t="n">
        <f aca="false">LO15</f>
        <v>1270</v>
      </c>
      <c r="LQ15" s="20" t="n">
        <f aca="false">LP15</f>
        <v>1270</v>
      </c>
      <c r="LR15" s="20" t="n">
        <f aca="false">LQ15</f>
        <v>1270</v>
      </c>
      <c r="LS15" s="20" t="n">
        <f aca="false">LR15</f>
        <v>1270</v>
      </c>
      <c r="LT15" s="20" t="n">
        <f aca="false">LS15</f>
        <v>1270</v>
      </c>
      <c r="LU15" s="20" t="n">
        <f aca="false">LT15</f>
        <v>1270</v>
      </c>
      <c r="LV15" s="20" t="n">
        <f aca="false">LU15</f>
        <v>1270</v>
      </c>
      <c r="LW15" s="20" t="n">
        <f aca="false">LV15</f>
        <v>1270</v>
      </c>
      <c r="LX15" s="20" t="n">
        <f aca="false">LW15</f>
        <v>1270</v>
      </c>
      <c r="LY15" s="20" t="n">
        <f aca="false">LX15</f>
        <v>1270</v>
      </c>
      <c r="LZ15" s="20" t="n">
        <f aca="false">LY15</f>
        <v>1270</v>
      </c>
      <c r="MA15" s="20" t="n">
        <f aca="false">LZ15</f>
        <v>1270</v>
      </c>
      <c r="MB15" s="20" t="n">
        <f aca="false">MA15</f>
        <v>1270</v>
      </c>
      <c r="MC15" s="20" t="n">
        <f aca="false">MB15</f>
        <v>1270</v>
      </c>
      <c r="MD15" s="20" t="n">
        <f aca="false">MC15</f>
        <v>1270</v>
      </c>
      <c r="ME15" s="20" t="n">
        <f aca="false">IF(H_Direct=1,IF(BR15&lt;=0,I15-BR15*AKR14,I15-MIN(MIN(BR15*AKR14,H15+I15),I15)),I15)</f>
        <v>0</v>
      </c>
      <c r="MF15" s="20" t="n">
        <f aca="false">IF(H_Direct=1,IF(BS15&lt;=0,ME15-BS15*AKS14,ME15-MIN(MIN(BS15*AKS14,IR15+ME15),ME15)),ME15)</f>
        <v>0</v>
      </c>
      <c r="MG15" s="20" t="n">
        <f aca="false">IF(H_Direct=1,IF(BT15&lt;=0,MF15-BT15*AKT14,MF15-MIN(MIN(BT15*AKT14,IS15+MF15),MF15)),MF15)</f>
        <v>0</v>
      </c>
      <c r="MH15" s="20" t="n">
        <f aca="false">IF(H_Direct=1,IF(BU15&lt;=0,MG15-BU15*AKU14,MG15-MIN(MIN(BU15*AKU14,IT15+MG15),MG15)),MG15)</f>
        <v>0</v>
      </c>
      <c r="MI15" s="20" t="n">
        <f aca="false">IF(H_Direct=1,IF(BV15&lt;=0,MH15-BV15*AKV14,MH15-MIN(MIN(BV15*AKV14,IU15+MH15),MH15)),MH15)</f>
        <v>0</v>
      </c>
      <c r="MJ15" s="20" t="n">
        <f aca="false">IF(H_Direct=1,IF(BW15&lt;=0,MI15-BW15*AKW14,MI15-MIN(MIN(BW15*AKW14,IV15+MI15),MI15)),MI15)</f>
        <v>0</v>
      </c>
      <c r="MK15" s="20" t="n">
        <f aca="false">IF(H_Direct=1,IF(BX15&lt;=0,MJ15-BX15*AKX14,MJ15-MIN(MIN(BX15*AKX14,IW15+MJ15),MJ15)),MJ15)</f>
        <v>0</v>
      </c>
      <c r="ML15" s="20" t="n">
        <f aca="false">IF(H_Direct=1,IF(BY15&lt;=0,MK15-BY15*AKY14,MK15-MIN(MIN(BY15*AKY14,IX15+MK15),MK15)),MK15)</f>
        <v>0</v>
      </c>
      <c r="MM15" s="20" t="n">
        <f aca="false">IF(H_Direct=1,IF(BZ15&lt;=0,ML15-BZ15*(P15+S15),ML15-MIN(MIN(BZ15*(P15+S15),IY15+ML15),ML15)),ML15)</f>
        <v>0</v>
      </c>
      <c r="MN15" s="20" t="n">
        <f aca="false">MM15</f>
        <v>0</v>
      </c>
      <c r="MO15" s="20" t="n">
        <f aca="false">MN15</f>
        <v>0</v>
      </c>
      <c r="MP15" s="20" t="n">
        <f aca="false">MO15</f>
        <v>0</v>
      </c>
      <c r="MQ15" s="20" t="n">
        <f aca="false">MP15</f>
        <v>0</v>
      </c>
      <c r="MR15" s="20" t="n">
        <f aca="false">MQ15</f>
        <v>0</v>
      </c>
      <c r="MS15" s="20" t="n">
        <f aca="false">MR15</f>
        <v>0</v>
      </c>
      <c r="MT15" s="20" t="n">
        <f aca="false">MS15</f>
        <v>0</v>
      </c>
      <c r="MU15" s="20" t="n">
        <f aca="false">MT15</f>
        <v>0</v>
      </c>
      <c r="MV15" s="20" t="n">
        <f aca="false">MU15</f>
        <v>0</v>
      </c>
      <c r="MW15" s="20" t="n">
        <f aca="false">MV15</f>
        <v>0</v>
      </c>
      <c r="MX15" s="20" t="n">
        <f aca="false">MW15</f>
        <v>0</v>
      </c>
      <c r="MY15" s="20" t="n">
        <f aca="false">MX15</f>
        <v>0</v>
      </c>
      <c r="MZ15" s="20" t="n">
        <f aca="false">MY15</f>
        <v>0</v>
      </c>
      <c r="NA15" s="20" t="n">
        <f aca="false">MZ15</f>
        <v>0</v>
      </c>
      <c r="NB15" s="20" t="n">
        <f aca="false">NA15</f>
        <v>0</v>
      </c>
      <c r="NC15" s="20" t="n">
        <f aca="false">NB15</f>
        <v>0</v>
      </c>
      <c r="ND15" s="20" t="n">
        <f aca="false">NC15</f>
        <v>0</v>
      </c>
      <c r="NE15" s="20" t="n">
        <f aca="false">ND15</f>
        <v>0</v>
      </c>
      <c r="NF15" s="20" t="n">
        <f aca="false">NE15</f>
        <v>0</v>
      </c>
      <c r="NG15" s="20" t="n">
        <f aca="false">NF15</f>
        <v>0</v>
      </c>
      <c r="NH15" s="20" t="n">
        <f aca="false">NG15</f>
        <v>0</v>
      </c>
      <c r="NI15" s="20" t="n">
        <f aca="false">NH15</f>
        <v>0</v>
      </c>
      <c r="NJ15" s="20" t="n">
        <f aca="false">NI15</f>
        <v>0</v>
      </c>
      <c r="NK15" s="20" t="n">
        <f aca="false">NJ15</f>
        <v>0</v>
      </c>
      <c r="NL15" s="20" t="n">
        <f aca="false">NK15</f>
        <v>0</v>
      </c>
      <c r="NM15" s="20" t="n">
        <f aca="false">NL15</f>
        <v>0</v>
      </c>
      <c r="NN15" s="20" t="n">
        <f aca="false">NM15</f>
        <v>0</v>
      </c>
      <c r="NO15" s="20" t="n">
        <f aca="false">NN15</f>
        <v>0</v>
      </c>
      <c r="NP15" s="20" t="n">
        <f aca="false">NO15</f>
        <v>0</v>
      </c>
      <c r="NQ15" s="20" t="n">
        <f aca="false">NP15</f>
        <v>0</v>
      </c>
      <c r="NR15" s="20" t="n">
        <f aca="false">NQ15</f>
        <v>0</v>
      </c>
      <c r="NS15" s="20" t="n">
        <f aca="false">NR15</f>
        <v>0</v>
      </c>
      <c r="NT15" s="20" t="n">
        <f aca="false">NS15</f>
        <v>0</v>
      </c>
      <c r="NU15" s="20" t="n">
        <f aca="false">NT15</f>
        <v>0</v>
      </c>
      <c r="NV15" s="20" t="n">
        <f aca="false">NU15</f>
        <v>0</v>
      </c>
      <c r="NW15" s="20" t="n">
        <f aca="false">NV15</f>
        <v>0</v>
      </c>
      <c r="NX15" s="20" t="n">
        <f aca="false">NW15</f>
        <v>0</v>
      </c>
      <c r="NY15" s="20" t="n">
        <f aca="false">NX15</f>
        <v>0</v>
      </c>
      <c r="NZ15" s="20" t="n">
        <f aca="false">NY15</f>
        <v>0</v>
      </c>
      <c r="OA15" s="20" t="n">
        <f aca="false">NZ15</f>
        <v>0</v>
      </c>
      <c r="OB15" s="20" t="n">
        <f aca="false">OA15</f>
        <v>0</v>
      </c>
      <c r="OC15" s="20" t="n">
        <f aca="false">OB15</f>
        <v>0</v>
      </c>
      <c r="OD15" s="20" t="n">
        <f aca="false">OC15</f>
        <v>0</v>
      </c>
      <c r="OE15" s="20" t="n">
        <f aca="false">OD15</f>
        <v>0</v>
      </c>
      <c r="OF15" s="20" t="n">
        <f aca="false">OE15</f>
        <v>0</v>
      </c>
      <c r="OG15" s="20" t="n">
        <f aca="false">OF15</f>
        <v>0</v>
      </c>
      <c r="OH15" s="20" t="n">
        <f aca="false">OG15</f>
        <v>0</v>
      </c>
      <c r="OI15" s="20" t="n">
        <f aca="false">OH15</f>
        <v>0</v>
      </c>
      <c r="OJ15" s="20" t="n">
        <f aca="false">OI15</f>
        <v>0</v>
      </c>
      <c r="OK15" s="20" t="n">
        <f aca="false">OJ15</f>
        <v>0</v>
      </c>
      <c r="OL15" s="20" t="n">
        <f aca="false">OK15</f>
        <v>0</v>
      </c>
      <c r="OM15" s="20" t="n">
        <f aca="false">OL15</f>
        <v>0</v>
      </c>
      <c r="ON15" s="20" t="n">
        <f aca="false">OM15</f>
        <v>0</v>
      </c>
      <c r="OO15" s="20" t="n">
        <f aca="false">ON15</f>
        <v>0</v>
      </c>
      <c r="OP15" s="20" t="n">
        <f aca="false">OO15</f>
        <v>0</v>
      </c>
      <c r="OQ15" s="20" t="n">
        <f aca="false">OP15</f>
        <v>0</v>
      </c>
      <c r="OR15" s="20" t="n">
        <f aca="false">OQ15</f>
        <v>0</v>
      </c>
      <c r="OS15" s="20" t="n">
        <f aca="false">OR15</f>
        <v>0</v>
      </c>
      <c r="OT15" s="20" t="n">
        <f aca="false">OS15</f>
        <v>0</v>
      </c>
      <c r="OU15" s="20" t="n">
        <f aca="false">OT15</f>
        <v>0</v>
      </c>
      <c r="OV15" s="20" t="n">
        <f aca="false">OU15</f>
        <v>0</v>
      </c>
      <c r="OW15" s="20" t="n">
        <f aca="false">OV15</f>
        <v>0</v>
      </c>
      <c r="OX15" s="20" t="n">
        <f aca="false">OW15</f>
        <v>0</v>
      </c>
      <c r="OY15" s="20" t="n">
        <f aca="false">OX15</f>
        <v>0</v>
      </c>
      <c r="OZ15" s="20" t="n">
        <f aca="false">OY15</f>
        <v>0</v>
      </c>
      <c r="PA15" s="20" t="n">
        <f aca="false">OZ15</f>
        <v>0</v>
      </c>
      <c r="PB15" s="20" t="n">
        <f aca="false">PA15</f>
        <v>0</v>
      </c>
      <c r="PC15" s="20" t="n">
        <f aca="false">PB15</f>
        <v>0</v>
      </c>
      <c r="PD15" s="20" t="n">
        <f aca="false">PC15</f>
        <v>0</v>
      </c>
      <c r="PE15" s="20" t="n">
        <f aca="false">PD15</f>
        <v>0</v>
      </c>
      <c r="PF15" s="20" t="n">
        <f aca="false">PE15</f>
        <v>0</v>
      </c>
      <c r="PG15" s="20" t="n">
        <f aca="false">PF15</f>
        <v>0</v>
      </c>
      <c r="PH15" s="20" t="n">
        <f aca="false">PG15</f>
        <v>0</v>
      </c>
      <c r="PI15" s="20" t="n">
        <f aca="false">PH15</f>
        <v>0</v>
      </c>
      <c r="PJ15" s="20" t="n">
        <f aca="false">PI15</f>
        <v>0</v>
      </c>
      <c r="PK15" s="20" t="n">
        <f aca="false">PJ15</f>
        <v>0</v>
      </c>
      <c r="PL15" s="20" t="n">
        <f aca="false">PK15</f>
        <v>0</v>
      </c>
      <c r="PM15" s="20" t="n">
        <f aca="false">PL15</f>
        <v>0</v>
      </c>
      <c r="PN15" s="20" t="n">
        <f aca="false">PM15</f>
        <v>0</v>
      </c>
      <c r="PO15" s="20" t="n">
        <f aca="false">PN15</f>
        <v>0</v>
      </c>
      <c r="PP15" s="20" t="n">
        <f aca="false">PO15</f>
        <v>0</v>
      </c>
      <c r="PQ15" s="20" t="n">
        <f aca="false">PP15</f>
        <v>0</v>
      </c>
      <c r="PR15" s="20" t="n">
        <f aca="false">IF(H_Direct=1,IF(AKR14&lt;=0,0,IF(BR15&lt;=0,MIN(MAX(0,AB15),AKR14),MIN(MAX(0,AB15),AKR14-G15*MAX(0,BR15*AKR14-(H15+I15))))),MIN(FE15,MAX(0,AB15)))</f>
        <v>0</v>
      </c>
      <c r="PS15" s="20" t="n">
        <f aca="false">IF(H_Direct=1,IF(AKS14&lt;=0,0,IF(BS15&lt;=0,MIN(MAX(0,AB15-SUM(PR15:PR15)),AKS14),MIN(MAX(0,AB15-SUM(PR15:PR15)),AKS14-G15*MAX(0,BS15*AKS14-(WR15+AAE15))))),MIN(FF15,MAX(0,AB15-SUM(PR15:PR15))))</f>
        <v>0</v>
      </c>
      <c r="PT15" s="20" t="n">
        <f aca="false">IF(H_Direct=1,IF(AKT14&lt;=0,0,IF(BT15&lt;=0,MIN(MAX(0,AB15-SUM(PR15:PS15)),AKT14),MIN(MAX(0,AB15-SUM(PR15:PS15)),AKT14-G15*MAX(0,BT15*AKT14-(WS15+AAF15))))),MIN(FG15,MAX(0,AB15-SUM(PR15:PS15))))</f>
        <v>0</v>
      </c>
      <c r="PU15" s="20" t="n">
        <f aca="false">IF(H_Direct=1,IF(AKU14&lt;=0,0,IF(BU15&lt;=0,MIN(MAX(0,AB15-SUM(PR15:PT15)),AKU14),MIN(MAX(0,AB15-SUM(PR15:PT15)),AKU14-G15*MAX(0,BU15*AKU14-(WT15+AAG15))))),MIN(FH15,MAX(0,AB15-SUM(PR15:PT15))))</f>
        <v>0</v>
      </c>
      <c r="PV15" s="20" t="n">
        <f aca="false">IF(H_Direct=1,IF(AKV14&lt;=0,0,IF(BV15&lt;=0,MIN(MAX(0,AB15-SUM(PR15:PU15)),AKV14),MIN(MAX(0,AB15-SUM(PR15:PU15)),AKV14-G15*MAX(0,BV15*AKV14-(WU15+AAH15))))),MIN(FI15,MAX(0,AB15-SUM(PR15:PU15))))</f>
        <v>0</v>
      </c>
      <c r="PW15" s="20" t="n">
        <f aca="false">IF(H_Direct=1,IF(AKW14&lt;=0,0,IF(BW15&lt;=0,MIN(MAX(0,AB15-SUM(PR15:PV15)),AKW14),MIN(MAX(0,AB15-SUM(PR15:PV15)),AKW14-G15*MAX(0,BW15*AKW14-(WV15+AAI15))))),MIN(FJ15,MAX(0,AB15-SUM(PR15:PV15))))</f>
        <v>0</v>
      </c>
      <c r="PX15" s="20" t="n">
        <f aca="false">IF(H_Direct=1,IF(AKX14&lt;=0,0,IF(BX15&lt;=0,MIN(MAX(0,AB15-SUM(PR15:PW15)),AKX14),MIN(MAX(0,AB15-SUM(PR15:PW15)),AKX14-G15*MAX(0,BX15*AKX14-(WW15+AAJ15))))),MIN(FK15,MAX(0,AB15-SUM(PR15:PW15))))</f>
        <v>0</v>
      </c>
      <c r="PY15" s="20" t="n">
        <f aca="false">IF(H_Direct=1,IF(AKY14&lt;=0,0,IF(BY15&lt;=0,MIN(MAX(0,AB15-SUM(PR15:PX15)),AKY14),MIN(MAX(0,AB15-SUM(PR15:PX15)),AKY14-G15*MAX(0,BY15*AKY14-(WX15+AAK15))))),MIN(FL15,MAX(0,AB15-SUM(PR15:PX15))))</f>
        <v>0</v>
      </c>
      <c r="PZ15" s="20" t="n">
        <f aca="false">IF(H_Direct=1,IF((P15+S15)&lt;=0,0,IF(BZ15&lt;=0,MIN(MAX(0,AB15-SUM(PR15:PY15)),(P15+S15)),MIN(MAX(0,AB15-SUM(PR15:PY15)),(P15+S15)-G15*MAX(0,BZ15*(P15+S15)-(WY15+AAL15))))),MIN(FM15,MAX(0,AB15-SUM(PR15:PY15))))</f>
        <v>0</v>
      </c>
      <c r="QA15" s="20" t="n">
        <v>0</v>
      </c>
      <c r="QB15" s="20" t="n">
        <v>0</v>
      </c>
      <c r="QC15" s="20" t="n">
        <v>0</v>
      </c>
      <c r="QD15" s="20" t="n">
        <v>0</v>
      </c>
      <c r="QE15" s="20" t="n">
        <v>0</v>
      </c>
      <c r="QF15" s="20" t="n">
        <v>0</v>
      </c>
      <c r="QG15" s="20" t="n">
        <v>0</v>
      </c>
      <c r="QH15" s="20" t="n">
        <v>0</v>
      </c>
      <c r="QI15" s="20" t="n">
        <v>0</v>
      </c>
      <c r="QJ15" s="20" t="n">
        <v>0</v>
      </c>
      <c r="QK15" s="20" t="n">
        <v>0</v>
      </c>
      <c r="QL15" s="20" t="n">
        <v>0</v>
      </c>
      <c r="QM15" s="20" t="n">
        <v>0</v>
      </c>
      <c r="QN15" s="20" t="n">
        <v>0</v>
      </c>
      <c r="QO15" s="20" t="n">
        <v>0</v>
      </c>
      <c r="QP15" s="20" t="n">
        <v>0</v>
      </c>
      <c r="QQ15" s="20" t="n">
        <v>0</v>
      </c>
      <c r="QR15" s="20" t="n">
        <v>0</v>
      </c>
      <c r="QS15" s="20" t="n">
        <v>0</v>
      </c>
      <c r="QT15" s="20" t="n">
        <v>0</v>
      </c>
      <c r="QU15" s="20" t="n">
        <v>0</v>
      </c>
      <c r="QV15" s="20" t="n">
        <v>0</v>
      </c>
      <c r="QW15" s="20" t="n">
        <v>0</v>
      </c>
      <c r="QX15" s="20" t="n">
        <v>0</v>
      </c>
      <c r="QY15" s="20" t="n">
        <v>0</v>
      </c>
      <c r="QZ15" s="20" t="n">
        <v>0</v>
      </c>
      <c r="RA15" s="20" t="n">
        <v>0</v>
      </c>
      <c r="RB15" s="20" t="n">
        <v>0</v>
      </c>
      <c r="RC15" s="20" t="n">
        <v>0</v>
      </c>
      <c r="RD15" s="20" t="n">
        <v>0</v>
      </c>
      <c r="RE15" s="20" t="n">
        <v>0</v>
      </c>
      <c r="RF15" s="20" t="n">
        <v>0</v>
      </c>
      <c r="RG15" s="20" t="n">
        <v>0</v>
      </c>
      <c r="RH15" s="20" t="n">
        <v>0</v>
      </c>
      <c r="RI15" s="20" t="n">
        <v>0</v>
      </c>
      <c r="RJ15" s="20" t="n">
        <v>0</v>
      </c>
      <c r="RK15" s="20" t="n">
        <v>0</v>
      </c>
      <c r="RL15" s="20" t="n">
        <v>0</v>
      </c>
      <c r="RM15" s="20" t="n">
        <v>0</v>
      </c>
      <c r="RN15" s="20" t="n">
        <v>0</v>
      </c>
      <c r="RO15" s="20" t="n">
        <v>0</v>
      </c>
      <c r="RP15" s="20" t="n">
        <v>0</v>
      </c>
      <c r="RQ15" s="20" t="n">
        <v>0</v>
      </c>
      <c r="RR15" s="20" t="n">
        <v>0</v>
      </c>
      <c r="RS15" s="20" t="n">
        <v>0</v>
      </c>
      <c r="RT15" s="20" t="n">
        <v>0</v>
      </c>
      <c r="RU15" s="20" t="n">
        <v>0</v>
      </c>
      <c r="RV15" s="20" t="n">
        <v>0</v>
      </c>
      <c r="RW15" s="20" t="n">
        <v>0</v>
      </c>
      <c r="RX15" s="20" t="n">
        <v>0</v>
      </c>
      <c r="RY15" s="20" t="n">
        <v>0</v>
      </c>
      <c r="RZ15" s="20" t="n">
        <v>0</v>
      </c>
      <c r="SA15" s="20" t="n">
        <v>0</v>
      </c>
      <c r="SB15" s="20" t="n">
        <v>0</v>
      </c>
      <c r="SC15" s="20" t="n">
        <v>0</v>
      </c>
      <c r="SD15" s="20" t="n">
        <v>0</v>
      </c>
      <c r="SE15" s="20" t="n">
        <v>0</v>
      </c>
      <c r="SF15" s="20" t="n">
        <v>0</v>
      </c>
      <c r="SG15" s="20" t="n">
        <v>0</v>
      </c>
      <c r="SH15" s="20" t="n">
        <v>0</v>
      </c>
      <c r="SI15" s="20" t="n">
        <v>0</v>
      </c>
      <c r="SJ15" s="20" t="n">
        <v>0</v>
      </c>
      <c r="SK15" s="20" t="n">
        <v>0</v>
      </c>
      <c r="SL15" s="20" t="n">
        <v>0</v>
      </c>
      <c r="SM15" s="20" t="n">
        <v>0</v>
      </c>
      <c r="SN15" s="20" t="n">
        <v>0</v>
      </c>
      <c r="SO15" s="20" t="n">
        <v>0</v>
      </c>
      <c r="SP15" s="20" t="n">
        <v>0</v>
      </c>
      <c r="SQ15" s="20" t="n">
        <v>0</v>
      </c>
      <c r="SR15" s="20" t="n">
        <v>0</v>
      </c>
      <c r="SS15" s="20" t="n">
        <v>0</v>
      </c>
      <c r="ST15" s="20" t="n">
        <v>0</v>
      </c>
      <c r="SU15" s="20" t="n">
        <v>0</v>
      </c>
      <c r="SV15" s="20" t="n">
        <v>0</v>
      </c>
      <c r="SW15" s="20" t="n">
        <v>0</v>
      </c>
      <c r="SX15" s="20" t="n">
        <v>0</v>
      </c>
      <c r="SY15" s="20" t="n">
        <v>0</v>
      </c>
      <c r="SZ15" s="20" t="n">
        <v>0</v>
      </c>
      <c r="TA15" s="20" t="n">
        <v>0</v>
      </c>
      <c r="TB15" s="20" t="n">
        <v>0</v>
      </c>
      <c r="TC15" s="20" t="n">
        <v>0</v>
      </c>
      <c r="TD15" s="20" t="n">
        <v>0</v>
      </c>
      <c r="TE15" s="20" t="n">
        <f aca="false">IF(AKR14&lt;=0,0,IF(H_Direct=1,IF(BR15&lt;=0,PR15,IF(PR15&lt;=(H15+I15)/BR15,PR15,(PR15-G15*(H15+I15))/(1-G15*BR15))),PR15/(1-MAX(0,BR15)*H_Exit)))</f>
        <v>0</v>
      </c>
      <c r="TF15" s="20" t="n">
        <f aca="false">IF(AKS14&lt;=0,0,IF(H_Direct=1,IF(BS15&lt;=0,PS15,IF(PS15&lt;=(WR15+AAE15)/BS15,PS15,(PS15-G15*(WR15+AAE15))/(1-G15*BS15))),PS15/(1-MAX(0,BS15)*H_Exit)))</f>
        <v>0</v>
      </c>
      <c r="TG15" s="20" t="n">
        <f aca="false">IF(AKT14&lt;=0,0,IF(H_Direct=1,IF(BT15&lt;=0,PT15,IF(PT15&lt;=(WS15+AAF15)/BT15,PT15,(PT15-G15*(WS15+AAF15))/(1-G15*BT15))),PT15/(1-MAX(0,BT15)*H_Exit)))</f>
        <v>0</v>
      </c>
      <c r="TH15" s="20" t="n">
        <f aca="false">IF(AKU14&lt;=0,0,IF(H_Direct=1,IF(BU15&lt;=0,PU15,IF(PU15&lt;=(WT15+AAG15)/BU15,PU15,(PU15-G15*(WT15+AAG15))/(1-G15*BU15))),PU15/(1-MAX(0,BU15)*H_Exit)))</f>
        <v>0</v>
      </c>
      <c r="TI15" s="20" t="n">
        <f aca="false">IF(AKV14&lt;=0,0,IF(H_Direct=1,IF(BV15&lt;=0,PV15,IF(PV15&lt;=(WU15+AAH15)/BV15,PV15,(PV15-G15*(WU15+AAH15))/(1-G15*BV15))),PV15/(1-MAX(0,BV15)*H_Exit)))</f>
        <v>0</v>
      </c>
      <c r="TJ15" s="20" t="n">
        <f aca="false">IF(AKW14&lt;=0,0,IF(H_Direct=1,IF(BW15&lt;=0,PW15,IF(PW15&lt;=(WV15+AAI15)/BW15,PW15,(PW15-G15*(WV15+AAI15))/(1-G15*BW15))),PW15/(1-MAX(0,BW15)*H_Exit)))</f>
        <v>0</v>
      </c>
      <c r="TK15" s="20" t="n">
        <f aca="false">IF(AKX14&lt;=0,0,IF(H_Direct=1,IF(BX15&lt;=0,PX15,IF(PX15&lt;=(WW15+AAJ15)/BX15,PX15,(PX15-G15*(WW15+AAJ15))/(1-G15*BX15))),PX15/(1-MAX(0,BX15)*H_Exit)))</f>
        <v>0</v>
      </c>
      <c r="TL15" s="20" t="n">
        <f aca="false">IF(AKY14&lt;=0,0,IF(H_Direct=1,IF(BY15&lt;=0,PY15,IF(PY15&lt;=(WX15+AAK15)/BY15,PY15,(PY15-G15*(WX15+AAK15))/(1-G15*BY15))),PY15/(1-MAX(0,BY15)*H_Exit)))</f>
        <v>0</v>
      </c>
      <c r="TM15" s="20" t="n">
        <f aca="false">IF((P15+S15)&lt;=0,0,IF(H_Direct=1,IF(BZ15&lt;=0,PZ15,IF(PZ15&lt;=(WY15+AAL15)/BZ15,PZ15,(PZ15-G15*(WY15+AAL15))/(1-G15*BZ15))),PZ15/(1-MAX(0,BZ15)*H_Exit)))</f>
        <v>0</v>
      </c>
      <c r="TN15" s="20" t="n">
        <v>0</v>
      </c>
      <c r="TO15" s="20" t="n">
        <v>0</v>
      </c>
      <c r="TP15" s="20" t="n">
        <v>0</v>
      </c>
      <c r="TQ15" s="20" t="n">
        <v>0</v>
      </c>
      <c r="TR15" s="20" t="n">
        <v>0</v>
      </c>
      <c r="TS15" s="20" t="n">
        <v>0</v>
      </c>
      <c r="TT15" s="20" t="n">
        <v>0</v>
      </c>
      <c r="TU15" s="20" t="n">
        <v>0</v>
      </c>
      <c r="TV15" s="20" t="n">
        <v>0</v>
      </c>
      <c r="TW15" s="20" t="n">
        <v>0</v>
      </c>
      <c r="TX15" s="20" t="n">
        <v>0</v>
      </c>
      <c r="TY15" s="20" t="n">
        <v>0</v>
      </c>
      <c r="TZ15" s="20" t="n">
        <v>0</v>
      </c>
      <c r="UA15" s="20" t="n">
        <v>0</v>
      </c>
      <c r="UB15" s="20" t="n">
        <v>0</v>
      </c>
      <c r="UC15" s="20" t="n">
        <v>0</v>
      </c>
      <c r="UD15" s="20" t="n">
        <v>0</v>
      </c>
      <c r="UE15" s="20" t="n">
        <v>0</v>
      </c>
      <c r="UF15" s="20" t="n">
        <v>0</v>
      </c>
      <c r="UG15" s="20" t="n">
        <v>0</v>
      </c>
      <c r="UH15" s="20" t="n">
        <v>0</v>
      </c>
      <c r="UI15" s="20" t="n">
        <v>0</v>
      </c>
      <c r="UJ15" s="20" t="n">
        <v>0</v>
      </c>
      <c r="UK15" s="20" t="n">
        <v>0</v>
      </c>
      <c r="UL15" s="20" t="n">
        <v>0</v>
      </c>
      <c r="UM15" s="20" t="n">
        <v>0</v>
      </c>
      <c r="UN15" s="20" t="n">
        <v>0</v>
      </c>
      <c r="UO15" s="20" t="n">
        <v>0</v>
      </c>
      <c r="UP15" s="20" t="n">
        <v>0</v>
      </c>
      <c r="UQ15" s="20" t="n">
        <v>0</v>
      </c>
      <c r="UR15" s="20" t="n">
        <v>0</v>
      </c>
      <c r="US15" s="20" t="n">
        <v>0</v>
      </c>
      <c r="UT15" s="20" t="n">
        <v>0</v>
      </c>
      <c r="UU15" s="20" t="n">
        <v>0</v>
      </c>
      <c r="UV15" s="20" t="n">
        <v>0</v>
      </c>
      <c r="UW15" s="20" t="n">
        <v>0</v>
      </c>
      <c r="UX15" s="20" t="n">
        <v>0</v>
      </c>
      <c r="UY15" s="20" t="n">
        <v>0</v>
      </c>
      <c r="UZ15" s="20" t="n">
        <v>0</v>
      </c>
      <c r="VA15" s="20" t="n">
        <v>0</v>
      </c>
      <c r="VB15" s="20" t="n">
        <v>0</v>
      </c>
      <c r="VC15" s="20" t="n">
        <v>0</v>
      </c>
      <c r="VD15" s="20" t="n">
        <v>0</v>
      </c>
      <c r="VE15" s="20" t="n">
        <v>0</v>
      </c>
      <c r="VF15" s="20" t="n">
        <v>0</v>
      </c>
      <c r="VG15" s="20" t="n">
        <v>0</v>
      </c>
      <c r="VH15" s="20" t="n">
        <v>0</v>
      </c>
      <c r="VI15" s="20" t="n">
        <v>0</v>
      </c>
      <c r="VJ15" s="20" t="n">
        <v>0</v>
      </c>
      <c r="VK15" s="20" t="n">
        <v>0</v>
      </c>
      <c r="VL15" s="20" t="n">
        <v>0</v>
      </c>
      <c r="VM15" s="20" t="n">
        <v>0</v>
      </c>
      <c r="VN15" s="20" t="n">
        <v>0</v>
      </c>
      <c r="VO15" s="20" t="n">
        <v>0</v>
      </c>
      <c r="VP15" s="20" t="n">
        <v>0</v>
      </c>
      <c r="VQ15" s="20" t="n">
        <v>0</v>
      </c>
      <c r="VR15" s="20" t="n">
        <v>0</v>
      </c>
      <c r="VS15" s="20" t="n">
        <v>0</v>
      </c>
      <c r="VT15" s="20" t="n">
        <v>0</v>
      </c>
      <c r="VU15" s="20" t="n">
        <v>0</v>
      </c>
      <c r="VV15" s="20" t="n">
        <v>0</v>
      </c>
      <c r="VW15" s="20" t="n">
        <v>0</v>
      </c>
      <c r="VX15" s="20" t="n">
        <v>0</v>
      </c>
      <c r="VY15" s="20" t="n">
        <v>0</v>
      </c>
      <c r="VZ15" s="20" t="n">
        <v>0</v>
      </c>
      <c r="WA15" s="20" t="n">
        <v>0</v>
      </c>
      <c r="WB15" s="20" t="n">
        <v>0</v>
      </c>
      <c r="WC15" s="20" t="n">
        <v>0</v>
      </c>
      <c r="WD15" s="20" t="n">
        <v>0</v>
      </c>
      <c r="WE15" s="20" t="n">
        <v>0</v>
      </c>
      <c r="WF15" s="20" t="n">
        <v>0</v>
      </c>
      <c r="WG15" s="20" t="n">
        <v>0</v>
      </c>
      <c r="WH15" s="20" t="n">
        <v>0</v>
      </c>
      <c r="WI15" s="20" t="n">
        <v>0</v>
      </c>
      <c r="WJ15" s="20" t="n">
        <v>0</v>
      </c>
      <c r="WK15" s="20" t="n">
        <v>0</v>
      </c>
      <c r="WL15" s="20" t="n">
        <v>0</v>
      </c>
      <c r="WM15" s="20" t="n">
        <v>0</v>
      </c>
      <c r="WN15" s="20" t="n">
        <v>0</v>
      </c>
      <c r="WO15" s="20" t="n">
        <v>0</v>
      </c>
      <c r="WP15" s="20" t="n">
        <v>0</v>
      </c>
      <c r="WQ15" s="20" t="n">
        <v>0</v>
      </c>
      <c r="WR15" s="20" t="n">
        <f aca="false">IF(AND(H_Direct=1,BR15&gt;0),MAX(0,H15-(MIN(BR15*TE15,(H15+I15))-MIN(MIN(BR15*TE15,(H15+I15)),I15))),H15)</f>
        <v>1270</v>
      </c>
      <c r="WS15" s="20" t="n">
        <f aca="false">IF(AND(H_Direct=1,BS15&gt;0),MAX(0,WR15-(MIN(BS15*TF15,(WR15+AAE15))-MIN(MIN(BS15*TF15,(WR15+AAE15)),AAE15))),WR15)</f>
        <v>1270</v>
      </c>
      <c r="WT15" s="20" t="n">
        <f aca="false">IF(AND(H_Direct=1,BT15&gt;0),MAX(0,WS15-(MIN(BT15*TG15,(WS15+AAF15))-MIN(MIN(BT15*TG15,(WS15+AAF15)),AAF15))),WS15)</f>
        <v>1270</v>
      </c>
      <c r="WU15" s="20" t="n">
        <f aca="false">IF(AND(H_Direct=1,BU15&gt;0),MAX(0,WT15-(MIN(BU15*TH15,(WT15+AAG15))-MIN(MIN(BU15*TH15,(WT15+AAG15)),AAG15))),WT15)</f>
        <v>1270</v>
      </c>
      <c r="WV15" s="20" t="n">
        <f aca="false">IF(AND(H_Direct=1,BV15&gt;0),MAX(0,WU15-(MIN(BV15*TI15,(WU15+AAH15))-MIN(MIN(BV15*TI15,(WU15+AAH15)),AAH15))),WU15)</f>
        <v>1270</v>
      </c>
      <c r="WW15" s="20" t="n">
        <f aca="false">IF(AND(H_Direct=1,BW15&gt;0),MAX(0,WV15-(MIN(BW15*TJ15,(WV15+AAI15))-MIN(MIN(BW15*TJ15,(WV15+AAI15)),AAI15))),WV15)</f>
        <v>1270</v>
      </c>
      <c r="WX15" s="20" t="n">
        <f aca="false">IF(AND(H_Direct=1,BX15&gt;0),MAX(0,WW15-(MIN(BX15*TK15,(WW15+AAJ15))-MIN(MIN(BX15*TK15,(WW15+AAJ15)),AAJ15))),WW15)</f>
        <v>1270</v>
      </c>
      <c r="WY15" s="20" t="n">
        <f aca="false">IF(AND(H_Direct=1,BY15&gt;0),MAX(0,WX15-(MIN(BY15*TL15,(WX15+AAK15))-MIN(MIN(BY15*TL15,(WX15+AAK15)),AAK15))),WX15)</f>
        <v>1270</v>
      </c>
      <c r="WZ15" s="20" t="n">
        <f aca="false">IF(AND(H_Direct=1,BZ15&gt;0),MAX(0,WY15-(MIN(BZ15*TM15,(WY15+AAL15))-MIN(MIN(BZ15*TM15,(WY15+AAL15)),AAL15))),WY15)</f>
        <v>1270</v>
      </c>
      <c r="XA15" s="20" t="n">
        <f aca="false">WZ15</f>
        <v>1270</v>
      </c>
      <c r="XB15" s="20" t="n">
        <f aca="false">XA15</f>
        <v>1270</v>
      </c>
      <c r="XC15" s="20" t="n">
        <f aca="false">XB15</f>
        <v>1270</v>
      </c>
      <c r="XD15" s="20" t="n">
        <f aca="false">XC15</f>
        <v>1270</v>
      </c>
      <c r="XE15" s="20" t="n">
        <f aca="false">XD15</f>
        <v>1270</v>
      </c>
      <c r="XF15" s="20" t="n">
        <f aca="false">XE15</f>
        <v>1270</v>
      </c>
      <c r="XG15" s="20" t="n">
        <f aca="false">XF15</f>
        <v>1270</v>
      </c>
      <c r="XH15" s="20" t="n">
        <f aca="false">XG15</f>
        <v>1270</v>
      </c>
      <c r="XI15" s="20" t="n">
        <f aca="false">XH15</f>
        <v>1270</v>
      </c>
      <c r="XJ15" s="20" t="n">
        <f aca="false">XI15</f>
        <v>1270</v>
      </c>
      <c r="XK15" s="20" t="n">
        <f aca="false">XJ15</f>
        <v>1270</v>
      </c>
      <c r="XL15" s="20" t="n">
        <f aca="false">XK15</f>
        <v>1270</v>
      </c>
      <c r="XM15" s="20" t="n">
        <f aca="false">XL15</f>
        <v>1270</v>
      </c>
      <c r="XN15" s="20" t="n">
        <f aca="false">XM15</f>
        <v>1270</v>
      </c>
      <c r="XO15" s="20" t="n">
        <f aca="false">XN15</f>
        <v>1270</v>
      </c>
      <c r="XP15" s="20" t="n">
        <f aca="false">XO15</f>
        <v>1270</v>
      </c>
      <c r="XQ15" s="20" t="n">
        <f aca="false">XP15</f>
        <v>1270</v>
      </c>
      <c r="XR15" s="20" t="n">
        <f aca="false">XQ15</f>
        <v>1270</v>
      </c>
      <c r="XS15" s="20" t="n">
        <f aca="false">XR15</f>
        <v>1270</v>
      </c>
      <c r="XT15" s="20" t="n">
        <f aca="false">XS15</f>
        <v>1270</v>
      </c>
      <c r="XU15" s="20" t="n">
        <f aca="false">XT15</f>
        <v>1270</v>
      </c>
      <c r="XV15" s="20" t="n">
        <f aca="false">XU15</f>
        <v>1270</v>
      </c>
      <c r="XW15" s="20" t="n">
        <f aca="false">XV15</f>
        <v>1270</v>
      </c>
      <c r="XX15" s="20" t="n">
        <f aca="false">XW15</f>
        <v>1270</v>
      </c>
      <c r="XY15" s="20" t="n">
        <f aca="false">XX15</f>
        <v>1270</v>
      </c>
      <c r="XZ15" s="20" t="n">
        <f aca="false">XY15</f>
        <v>1270</v>
      </c>
      <c r="YA15" s="20" t="n">
        <f aca="false">XZ15</f>
        <v>1270</v>
      </c>
      <c r="YB15" s="20" t="n">
        <f aca="false">YA15</f>
        <v>1270</v>
      </c>
      <c r="YC15" s="20" t="n">
        <f aca="false">YB15</f>
        <v>1270</v>
      </c>
      <c r="YD15" s="20" t="n">
        <f aca="false">YC15</f>
        <v>1270</v>
      </c>
      <c r="YE15" s="20" t="n">
        <f aca="false">YD15</f>
        <v>1270</v>
      </c>
      <c r="YF15" s="20" t="n">
        <f aca="false">YE15</f>
        <v>1270</v>
      </c>
      <c r="YG15" s="20" t="n">
        <f aca="false">YF15</f>
        <v>1270</v>
      </c>
      <c r="YH15" s="20" t="n">
        <f aca="false">YG15</f>
        <v>1270</v>
      </c>
      <c r="YI15" s="20" t="n">
        <f aca="false">YH15</f>
        <v>1270</v>
      </c>
      <c r="YJ15" s="20" t="n">
        <f aca="false">YI15</f>
        <v>1270</v>
      </c>
      <c r="YK15" s="20" t="n">
        <f aca="false">YJ15</f>
        <v>1270</v>
      </c>
      <c r="YL15" s="20" t="n">
        <f aca="false">YK15</f>
        <v>1270</v>
      </c>
      <c r="YM15" s="20" t="n">
        <f aca="false">YL15</f>
        <v>1270</v>
      </c>
      <c r="YN15" s="20" t="n">
        <f aca="false">YM15</f>
        <v>1270</v>
      </c>
      <c r="YO15" s="20" t="n">
        <f aca="false">YN15</f>
        <v>1270</v>
      </c>
      <c r="YP15" s="20" t="n">
        <f aca="false">YO15</f>
        <v>1270</v>
      </c>
      <c r="YQ15" s="20" t="n">
        <f aca="false">YP15</f>
        <v>1270</v>
      </c>
      <c r="YR15" s="20" t="n">
        <f aca="false">YQ15</f>
        <v>1270</v>
      </c>
      <c r="YS15" s="20" t="n">
        <f aca="false">YR15</f>
        <v>1270</v>
      </c>
      <c r="YT15" s="20" t="n">
        <f aca="false">YS15</f>
        <v>1270</v>
      </c>
      <c r="YU15" s="20" t="n">
        <f aca="false">YT15</f>
        <v>1270</v>
      </c>
      <c r="YV15" s="20" t="n">
        <f aca="false">YU15</f>
        <v>1270</v>
      </c>
      <c r="YW15" s="20" t="n">
        <f aca="false">YV15</f>
        <v>1270</v>
      </c>
      <c r="YX15" s="20" t="n">
        <f aca="false">YW15</f>
        <v>1270</v>
      </c>
      <c r="YY15" s="20" t="n">
        <f aca="false">YX15</f>
        <v>1270</v>
      </c>
      <c r="YZ15" s="20" t="n">
        <f aca="false">YY15</f>
        <v>1270</v>
      </c>
      <c r="ZA15" s="20" t="n">
        <f aca="false">YZ15</f>
        <v>1270</v>
      </c>
      <c r="ZB15" s="20" t="n">
        <f aca="false">ZA15</f>
        <v>1270</v>
      </c>
      <c r="ZC15" s="20" t="n">
        <f aca="false">ZB15</f>
        <v>1270</v>
      </c>
      <c r="ZD15" s="20" t="n">
        <f aca="false">ZC15</f>
        <v>1270</v>
      </c>
      <c r="ZE15" s="20" t="n">
        <f aca="false">ZD15</f>
        <v>1270</v>
      </c>
      <c r="ZF15" s="20" t="n">
        <f aca="false">ZE15</f>
        <v>1270</v>
      </c>
      <c r="ZG15" s="20" t="n">
        <f aca="false">ZF15</f>
        <v>1270</v>
      </c>
      <c r="ZH15" s="20" t="n">
        <f aca="false">ZG15</f>
        <v>1270</v>
      </c>
      <c r="ZI15" s="20" t="n">
        <f aca="false">ZH15</f>
        <v>1270</v>
      </c>
      <c r="ZJ15" s="20" t="n">
        <f aca="false">ZI15</f>
        <v>1270</v>
      </c>
      <c r="ZK15" s="20" t="n">
        <f aca="false">ZJ15</f>
        <v>1270</v>
      </c>
      <c r="ZL15" s="20" t="n">
        <f aca="false">ZK15</f>
        <v>1270</v>
      </c>
      <c r="ZM15" s="20" t="n">
        <f aca="false">ZL15</f>
        <v>1270</v>
      </c>
      <c r="ZN15" s="20" t="n">
        <f aca="false">ZM15</f>
        <v>1270</v>
      </c>
      <c r="ZO15" s="20" t="n">
        <f aca="false">ZN15</f>
        <v>1270</v>
      </c>
      <c r="ZP15" s="20" t="n">
        <f aca="false">ZO15</f>
        <v>1270</v>
      </c>
      <c r="ZQ15" s="20" t="n">
        <f aca="false">ZP15</f>
        <v>1270</v>
      </c>
      <c r="ZR15" s="20" t="n">
        <f aca="false">ZQ15</f>
        <v>1270</v>
      </c>
      <c r="ZS15" s="20" t="n">
        <f aca="false">ZR15</f>
        <v>1270</v>
      </c>
      <c r="ZT15" s="20" t="n">
        <f aca="false">ZS15</f>
        <v>1270</v>
      </c>
      <c r="ZU15" s="20" t="n">
        <f aca="false">ZT15</f>
        <v>1270</v>
      </c>
      <c r="ZV15" s="20" t="n">
        <f aca="false">ZU15</f>
        <v>1270</v>
      </c>
      <c r="ZW15" s="20" t="n">
        <f aca="false">ZV15</f>
        <v>1270</v>
      </c>
      <c r="ZX15" s="20" t="n">
        <f aca="false">ZW15</f>
        <v>1270</v>
      </c>
      <c r="ZY15" s="20" t="n">
        <f aca="false">ZX15</f>
        <v>1270</v>
      </c>
      <c r="ZZ15" s="20" t="n">
        <f aca="false">ZY15</f>
        <v>1270</v>
      </c>
      <c r="AAA15" s="20" t="n">
        <f aca="false">ZZ15</f>
        <v>1270</v>
      </c>
      <c r="AAB15" s="20" t="n">
        <f aca="false">AAA15</f>
        <v>1270</v>
      </c>
      <c r="AAC15" s="20" t="n">
        <f aca="false">AAB15</f>
        <v>1270</v>
      </c>
      <c r="AAD15" s="20" t="n">
        <f aca="false">AAC15</f>
        <v>1270</v>
      </c>
      <c r="AAE15" s="20" t="n">
        <f aca="false">IF(H_Direct=1,IF(BR15&lt;=0,I15-BR15*TE15,I15-MIN(MIN(BR15*TE15,(H15+I15)),I15)),I15)</f>
        <v>0</v>
      </c>
      <c r="AAF15" s="20" t="n">
        <f aca="false">IF(H_Direct=1,IF(BS15&lt;=0,AAE15-BS15*TF15,AAE15-MIN(MIN(BS15*TF15,(WR15+AAE15)),AAE15)),AAE15)</f>
        <v>0</v>
      </c>
      <c r="AAG15" s="20" t="n">
        <f aca="false">IF(H_Direct=1,IF(BT15&lt;=0,AAF15-BT15*TG15,AAF15-MIN(MIN(BT15*TG15,(WS15+AAF15)),AAF15)),AAF15)</f>
        <v>0</v>
      </c>
      <c r="AAH15" s="20" t="n">
        <f aca="false">IF(H_Direct=1,IF(BU15&lt;=0,AAG15-BU15*TH15,AAG15-MIN(MIN(BU15*TH15,(WT15+AAG15)),AAG15)),AAG15)</f>
        <v>0</v>
      </c>
      <c r="AAI15" s="20" t="n">
        <f aca="false">IF(H_Direct=1,IF(BV15&lt;=0,AAH15-BV15*TI15,AAH15-MIN(MIN(BV15*TI15,(WU15+AAH15)),AAH15)),AAH15)</f>
        <v>0</v>
      </c>
      <c r="AAJ15" s="20" t="n">
        <f aca="false">IF(H_Direct=1,IF(BW15&lt;=0,AAI15-BW15*TJ15,AAI15-MIN(MIN(BW15*TJ15,(WV15+AAI15)),AAI15)),AAI15)</f>
        <v>0</v>
      </c>
      <c r="AAK15" s="20" t="n">
        <f aca="false">IF(H_Direct=1,IF(BX15&lt;=0,AAJ15-BX15*TK15,AAJ15-MIN(MIN(BX15*TK15,(WW15+AAJ15)),AAJ15)),AAJ15)</f>
        <v>0</v>
      </c>
      <c r="AAL15" s="20" t="n">
        <f aca="false">IF(H_Direct=1,IF(BY15&lt;=0,AAK15-BY15*TL15,AAK15-MIN(MIN(BY15*TL15,(WX15+AAK15)),AAK15)),AAK15)</f>
        <v>0</v>
      </c>
      <c r="AAM15" s="20" t="n">
        <f aca="false">IF(H_Direct=1,IF(BZ15&lt;=0,AAL15-BZ15*TM15,AAL15-MIN(MIN(BZ15*TM15,(WY15+AAL15)),AAL15)),AAL15)</f>
        <v>0</v>
      </c>
      <c r="AAN15" s="20" t="n">
        <f aca="false">AAM15</f>
        <v>0</v>
      </c>
      <c r="AAO15" s="20" t="n">
        <f aca="false">AAN15</f>
        <v>0</v>
      </c>
      <c r="AAP15" s="20" t="n">
        <f aca="false">AAO15</f>
        <v>0</v>
      </c>
      <c r="AAQ15" s="20" t="n">
        <f aca="false">AAP15</f>
        <v>0</v>
      </c>
      <c r="AAR15" s="20" t="n">
        <f aca="false">AAQ15</f>
        <v>0</v>
      </c>
      <c r="AAS15" s="20" t="n">
        <f aca="false">AAR15</f>
        <v>0</v>
      </c>
      <c r="AAT15" s="20" t="n">
        <f aca="false">AAS15</f>
        <v>0</v>
      </c>
      <c r="AAU15" s="20" t="n">
        <f aca="false">AAT15</f>
        <v>0</v>
      </c>
      <c r="AAV15" s="20" t="n">
        <f aca="false">AAU15</f>
        <v>0</v>
      </c>
      <c r="AAW15" s="20" t="n">
        <f aca="false">AAV15</f>
        <v>0</v>
      </c>
      <c r="AAX15" s="20" t="n">
        <f aca="false">AAW15</f>
        <v>0</v>
      </c>
      <c r="AAY15" s="20" t="n">
        <f aca="false">AAX15</f>
        <v>0</v>
      </c>
      <c r="AAZ15" s="20" t="n">
        <f aca="false">AAY15</f>
        <v>0</v>
      </c>
      <c r="ABA15" s="20" t="n">
        <f aca="false">AAZ15</f>
        <v>0</v>
      </c>
      <c r="ABB15" s="20" t="n">
        <f aca="false">ABA15</f>
        <v>0</v>
      </c>
      <c r="ABC15" s="20" t="n">
        <f aca="false">ABB15</f>
        <v>0</v>
      </c>
      <c r="ABD15" s="20" t="n">
        <f aca="false">ABC15</f>
        <v>0</v>
      </c>
      <c r="ABE15" s="20" t="n">
        <f aca="false">ABD15</f>
        <v>0</v>
      </c>
      <c r="ABF15" s="20" t="n">
        <f aca="false">ABE15</f>
        <v>0</v>
      </c>
      <c r="ABG15" s="20" t="n">
        <f aca="false">ABF15</f>
        <v>0</v>
      </c>
      <c r="ABH15" s="20" t="n">
        <f aca="false">ABG15</f>
        <v>0</v>
      </c>
      <c r="ABI15" s="20" t="n">
        <f aca="false">ABH15</f>
        <v>0</v>
      </c>
      <c r="ABJ15" s="20" t="n">
        <f aca="false">ABI15</f>
        <v>0</v>
      </c>
      <c r="ABK15" s="20" t="n">
        <f aca="false">ABJ15</f>
        <v>0</v>
      </c>
      <c r="ABL15" s="20" t="n">
        <f aca="false">ABK15</f>
        <v>0</v>
      </c>
      <c r="ABM15" s="20" t="n">
        <f aca="false">ABL15</f>
        <v>0</v>
      </c>
      <c r="ABN15" s="20" t="n">
        <f aca="false">ABM15</f>
        <v>0</v>
      </c>
      <c r="ABO15" s="20" t="n">
        <f aca="false">ABN15</f>
        <v>0</v>
      </c>
      <c r="ABP15" s="20" t="n">
        <f aca="false">ABO15</f>
        <v>0</v>
      </c>
      <c r="ABQ15" s="20" t="n">
        <f aca="false">ABP15</f>
        <v>0</v>
      </c>
      <c r="ABR15" s="20" t="n">
        <f aca="false">ABQ15</f>
        <v>0</v>
      </c>
      <c r="ABS15" s="20" t="n">
        <f aca="false">ABR15</f>
        <v>0</v>
      </c>
      <c r="ABT15" s="20" t="n">
        <f aca="false">ABS15</f>
        <v>0</v>
      </c>
      <c r="ABU15" s="20" t="n">
        <f aca="false">ABT15</f>
        <v>0</v>
      </c>
      <c r="ABV15" s="20" t="n">
        <f aca="false">ABU15</f>
        <v>0</v>
      </c>
      <c r="ABW15" s="20" t="n">
        <f aca="false">ABV15</f>
        <v>0</v>
      </c>
      <c r="ABX15" s="20" t="n">
        <f aca="false">ABW15</f>
        <v>0</v>
      </c>
      <c r="ABY15" s="20" t="n">
        <f aca="false">ABX15</f>
        <v>0</v>
      </c>
      <c r="ABZ15" s="20" t="n">
        <f aca="false">ABY15</f>
        <v>0</v>
      </c>
      <c r="ACA15" s="20" t="n">
        <f aca="false">ABZ15</f>
        <v>0</v>
      </c>
      <c r="ACB15" s="20" t="n">
        <f aca="false">ACA15</f>
        <v>0</v>
      </c>
      <c r="ACC15" s="20" t="n">
        <f aca="false">ACB15</f>
        <v>0</v>
      </c>
      <c r="ACD15" s="20" t="n">
        <f aca="false">ACC15</f>
        <v>0</v>
      </c>
      <c r="ACE15" s="20" t="n">
        <f aca="false">ACD15</f>
        <v>0</v>
      </c>
      <c r="ACF15" s="20" t="n">
        <f aca="false">ACE15</f>
        <v>0</v>
      </c>
      <c r="ACG15" s="20" t="n">
        <f aca="false">ACF15</f>
        <v>0</v>
      </c>
      <c r="ACH15" s="20" t="n">
        <f aca="false">ACG15</f>
        <v>0</v>
      </c>
      <c r="ACI15" s="20" t="n">
        <f aca="false">ACH15</f>
        <v>0</v>
      </c>
      <c r="ACJ15" s="20" t="n">
        <f aca="false">ACI15</f>
        <v>0</v>
      </c>
      <c r="ACK15" s="20" t="n">
        <f aca="false">ACJ15</f>
        <v>0</v>
      </c>
      <c r="ACL15" s="20" t="n">
        <f aca="false">ACK15</f>
        <v>0</v>
      </c>
      <c r="ACM15" s="20" t="n">
        <f aca="false">ACL15</f>
        <v>0</v>
      </c>
      <c r="ACN15" s="20" t="n">
        <f aca="false">ACM15</f>
        <v>0</v>
      </c>
      <c r="ACO15" s="20" t="n">
        <f aca="false">ACN15</f>
        <v>0</v>
      </c>
      <c r="ACP15" s="20" t="n">
        <f aca="false">ACO15</f>
        <v>0</v>
      </c>
      <c r="ACQ15" s="20" t="n">
        <f aca="false">ACP15</f>
        <v>0</v>
      </c>
      <c r="ACR15" s="20" t="n">
        <f aca="false">ACQ15</f>
        <v>0</v>
      </c>
      <c r="ACS15" s="20" t="n">
        <f aca="false">ACR15</f>
        <v>0</v>
      </c>
      <c r="ACT15" s="20" t="n">
        <f aca="false">ACS15</f>
        <v>0</v>
      </c>
      <c r="ACU15" s="20" t="n">
        <f aca="false">ACT15</f>
        <v>0</v>
      </c>
      <c r="ACV15" s="20" t="n">
        <f aca="false">ACU15</f>
        <v>0</v>
      </c>
      <c r="ACW15" s="20" t="n">
        <f aca="false">ACV15</f>
        <v>0</v>
      </c>
      <c r="ACX15" s="20" t="n">
        <f aca="false">ACW15</f>
        <v>0</v>
      </c>
      <c r="ACY15" s="20" t="n">
        <f aca="false">ACX15</f>
        <v>0</v>
      </c>
      <c r="ACZ15" s="20" t="n">
        <f aca="false">ACY15</f>
        <v>0</v>
      </c>
      <c r="ADA15" s="20" t="n">
        <f aca="false">ACZ15</f>
        <v>0</v>
      </c>
      <c r="ADB15" s="20" t="n">
        <f aca="false">ADA15</f>
        <v>0</v>
      </c>
      <c r="ADC15" s="20" t="n">
        <f aca="false">ADB15</f>
        <v>0</v>
      </c>
      <c r="ADD15" s="20" t="n">
        <f aca="false">ADC15</f>
        <v>0</v>
      </c>
      <c r="ADE15" s="20" t="n">
        <f aca="false">ADD15</f>
        <v>0</v>
      </c>
      <c r="ADF15" s="20" t="n">
        <f aca="false">ADE15</f>
        <v>0</v>
      </c>
      <c r="ADG15" s="20" t="n">
        <f aca="false">ADF15</f>
        <v>0</v>
      </c>
      <c r="ADH15" s="20" t="n">
        <f aca="false">ADG15</f>
        <v>0</v>
      </c>
      <c r="ADI15" s="20" t="n">
        <f aca="false">ADH15</f>
        <v>0</v>
      </c>
      <c r="ADJ15" s="20" t="n">
        <f aca="false">ADI15</f>
        <v>0</v>
      </c>
      <c r="ADK15" s="20" t="n">
        <f aca="false">ADJ15</f>
        <v>0</v>
      </c>
      <c r="ADL15" s="20" t="n">
        <f aca="false">ADK15</f>
        <v>0</v>
      </c>
      <c r="ADM15" s="20" t="n">
        <f aca="false">ADL15</f>
        <v>0</v>
      </c>
      <c r="ADN15" s="20" t="n">
        <f aca="false">ADM15</f>
        <v>0</v>
      </c>
      <c r="ADO15" s="20" t="n">
        <f aca="false">ADN15</f>
        <v>0</v>
      </c>
      <c r="ADP15" s="20" t="n">
        <f aca="false">ADO15</f>
        <v>0</v>
      </c>
      <c r="ADQ15" s="20" t="n">
        <f aca="false">ADP15</f>
        <v>0</v>
      </c>
      <c r="ADR15" s="20" t="n">
        <f aca="false">(AKR14-TE15+0)*(1+BQ15)</f>
        <v>0</v>
      </c>
      <c r="ADS15" s="20" t="n">
        <f aca="false">(AKS14-TF15+0)*(1+BQ15)</f>
        <v>0</v>
      </c>
      <c r="ADT15" s="20" t="n">
        <f aca="false">(AKT14-TG15+0)*(1+BQ15)</f>
        <v>0</v>
      </c>
      <c r="ADU15" s="20" t="n">
        <f aca="false">(AKU14-TH15+0)*(1+BQ15)</f>
        <v>0</v>
      </c>
      <c r="ADV15" s="20" t="n">
        <f aca="false">(AKV14-TI15+0)*(1+BQ15)</f>
        <v>0</v>
      </c>
      <c r="ADW15" s="20" t="n">
        <f aca="false">(AKW14-TJ15+0)*(1+BQ15)</f>
        <v>0</v>
      </c>
      <c r="ADX15" s="20" t="n">
        <f aca="false">(AKX14-TK15+0)*(1+BQ15)</f>
        <v>0</v>
      </c>
      <c r="ADY15" s="20" t="n">
        <f aca="false">(AKY14-TL15+0)*(1+BQ15)</f>
        <v>0</v>
      </c>
      <c r="ADZ15" s="20" t="n">
        <f aca="false">((P15+S15)-TM15+BE15)*(1+BQ15)</f>
        <v>0</v>
      </c>
      <c r="AEA15" s="20" t="n">
        <v>0</v>
      </c>
      <c r="AEB15" s="20" t="n">
        <v>0</v>
      </c>
      <c r="AEC15" s="20" t="n">
        <v>0</v>
      </c>
      <c r="AED15" s="20" t="n">
        <v>0</v>
      </c>
      <c r="AEE15" s="20" t="n">
        <v>0</v>
      </c>
      <c r="AEF15" s="20" t="n">
        <v>0</v>
      </c>
      <c r="AEG15" s="20" t="n">
        <v>0</v>
      </c>
      <c r="AEH15" s="20" t="n">
        <v>0</v>
      </c>
      <c r="AEI15" s="20" t="n">
        <v>0</v>
      </c>
      <c r="AEJ15" s="20" t="n">
        <v>0</v>
      </c>
      <c r="AEK15" s="20" t="n">
        <v>0</v>
      </c>
      <c r="AEL15" s="20" t="n">
        <v>0</v>
      </c>
      <c r="AEM15" s="20" t="n">
        <v>0</v>
      </c>
      <c r="AEN15" s="20" t="n">
        <v>0</v>
      </c>
      <c r="AEO15" s="20" t="n">
        <v>0</v>
      </c>
      <c r="AEP15" s="20" t="n">
        <v>0</v>
      </c>
      <c r="AEQ15" s="20" t="n">
        <v>0</v>
      </c>
      <c r="AER15" s="20" t="n">
        <v>0</v>
      </c>
      <c r="AES15" s="20" t="n">
        <v>0</v>
      </c>
      <c r="AET15" s="20" t="n">
        <v>0</v>
      </c>
      <c r="AEU15" s="20" t="n">
        <v>0</v>
      </c>
      <c r="AEV15" s="20" t="n">
        <v>0</v>
      </c>
      <c r="AEW15" s="20" t="n">
        <v>0</v>
      </c>
      <c r="AEX15" s="20" t="n">
        <v>0</v>
      </c>
      <c r="AEY15" s="20" t="n">
        <v>0</v>
      </c>
      <c r="AEZ15" s="20" t="n">
        <v>0</v>
      </c>
      <c r="AFA15" s="20" t="n">
        <v>0</v>
      </c>
      <c r="AFB15" s="20" t="n">
        <v>0</v>
      </c>
      <c r="AFC15" s="20" t="n">
        <v>0</v>
      </c>
      <c r="AFD15" s="20" t="n">
        <v>0</v>
      </c>
      <c r="AFE15" s="20" t="n">
        <v>0</v>
      </c>
      <c r="AFF15" s="20" t="n">
        <v>0</v>
      </c>
      <c r="AFG15" s="20" t="n">
        <v>0</v>
      </c>
      <c r="AFH15" s="20" t="n">
        <v>0</v>
      </c>
      <c r="AFI15" s="20" t="n">
        <v>0</v>
      </c>
      <c r="AFJ15" s="20" t="n">
        <v>0</v>
      </c>
      <c r="AFK15" s="20" t="n">
        <v>0</v>
      </c>
      <c r="AFL15" s="20" t="n">
        <v>0</v>
      </c>
      <c r="AFM15" s="20" t="n">
        <v>0</v>
      </c>
      <c r="AFN15" s="20" t="n">
        <v>0</v>
      </c>
      <c r="AFO15" s="20" t="n">
        <v>0</v>
      </c>
      <c r="AFP15" s="20" t="n">
        <v>0</v>
      </c>
      <c r="AFQ15" s="20" t="n">
        <v>0</v>
      </c>
      <c r="AFR15" s="20" t="n">
        <v>0</v>
      </c>
      <c r="AFS15" s="20" t="n">
        <v>0</v>
      </c>
      <c r="AFT15" s="20" t="n">
        <v>0</v>
      </c>
      <c r="AFU15" s="20" t="n">
        <v>0</v>
      </c>
      <c r="AFV15" s="20" t="n">
        <v>0</v>
      </c>
      <c r="AFW15" s="20" t="n">
        <v>0</v>
      </c>
      <c r="AFX15" s="20" t="n">
        <v>0</v>
      </c>
      <c r="AFY15" s="20" t="n">
        <v>0</v>
      </c>
      <c r="AFZ15" s="20" t="n">
        <v>0</v>
      </c>
      <c r="AGA15" s="20" t="n">
        <v>0</v>
      </c>
      <c r="AGB15" s="20" t="n">
        <v>0</v>
      </c>
      <c r="AGC15" s="20" t="n">
        <v>0</v>
      </c>
      <c r="AGD15" s="20" t="n">
        <v>0</v>
      </c>
      <c r="AGE15" s="20" t="n">
        <v>0</v>
      </c>
      <c r="AGF15" s="20" t="n">
        <v>0</v>
      </c>
      <c r="AGG15" s="20" t="n">
        <v>0</v>
      </c>
      <c r="AGH15" s="20" t="n">
        <v>0</v>
      </c>
      <c r="AGI15" s="20" t="n">
        <v>0</v>
      </c>
      <c r="AGJ15" s="20" t="n">
        <v>0</v>
      </c>
      <c r="AGK15" s="20" t="n">
        <v>0</v>
      </c>
      <c r="AGL15" s="20" t="n">
        <v>0</v>
      </c>
      <c r="AGM15" s="20" t="n">
        <v>0</v>
      </c>
      <c r="AGN15" s="20" t="n">
        <v>0</v>
      </c>
      <c r="AGO15" s="20" t="n">
        <v>0</v>
      </c>
      <c r="AGP15" s="20" t="n">
        <v>0</v>
      </c>
      <c r="AGQ15" s="20" t="n">
        <v>0</v>
      </c>
      <c r="AGR15" s="20" t="n">
        <v>0</v>
      </c>
      <c r="AGS15" s="20" t="n">
        <v>0</v>
      </c>
      <c r="AGT15" s="20" t="n">
        <v>0</v>
      </c>
      <c r="AGU15" s="20" t="n">
        <v>0</v>
      </c>
      <c r="AGV15" s="20" t="n">
        <v>0</v>
      </c>
      <c r="AGW15" s="20" t="n">
        <v>0</v>
      </c>
      <c r="AGX15" s="20" t="n">
        <v>0</v>
      </c>
      <c r="AGY15" s="20" t="n">
        <v>0</v>
      </c>
      <c r="AGZ15" s="20" t="n">
        <v>0</v>
      </c>
      <c r="AHA15" s="20" t="n">
        <v>0</v>
      </c>
      <c r="AHB15" s="20" t="n">
        <v>0</v>
      </c>
      <c r="AHC15" s="20" t="n">
        <v>0</v>
      </c>
      <c r="AHD15" s="20" t="n">
        <v>0</v>
      </c>
      <c r="AHE15" s="20" t="n">
        <f aca="false">IF(AKR14&gt;0,AOE14-AOE14*TE15/AKR14,0)+0</f>
        <v>0</v>
      </c>
      <c r="AHF15" s="20" t="n">
        <f aca="false">IF(AKS14&gt;0,AOF14-AOF14*TF15/AKS14,0)+0</f>
        <v>0</v>
      </c>
      <c r="AHG15" s="20" t="n">
        <f aca="false">IF(AKT14&gt;0,AOG14-AOG14*TG15/AKT14,0)+0</f>
        <v>0</v>
      </c>
      <c r="AHH15" s="20" t="n">
        <f aca="false">IF(AKU14&gt;0,AOH14-AOH14*TH15/AKU14,0)+0</f>
        <v>0</v>
      </c>
      <c r="AHI15" s="20" t="n">
        <f aca="false">IF(AKV14&gt;0,AOI14-AOI14*TI15/AKV14,0)+0</f>
        <v>0</v>
      </c>
      <c r="AHJ15" s="20" t="n">
        <f aca="false">IF(AKW14&gt;0,AOJ14-AOJ14*TJ15/AKW14,0)+0</f>
        <v>0</v>
      </c>
      <c r="AHK15" s="20" t="n">
        <f aca="false">IF(AKX14&gt;0,AOK14-AOK14*TK15/AKX14,0)+0</f>
        <v>0</v>
      </c>
      <c r="AHL15" s="20" t="n">
        <f aca="false">IF(AKY14&gt;0,AOL14-AOL14*TL15/AKY14,0)+0</f>
        <v>0</v>
      </c>
      <c r="AHM15" s="20" t="n">
        <f aca="false">IF((P15+S15)&gt;0,(P15+S15)-(P15+S15)*TM15/(P15+S15),0)+BE15</f>
        <v>0</v>
      </c>
      <c r="AHN15" s="20" t="n">
        <v>0</v>
      </c>
      <c r="AHO15" s="20" t="n">
        <v>0</v>
      </c>
      <c r="AHP15" s="20" t="n">
        <v>0</v>
      </c>
      <c r="AHQ15" s="20" t="n">
        <v>0</v>
      </c>
      <c r="AHR15" s="20" t="n">
        <v>0</v>
      </c>
      <c r="AHS15" s="20" t="n">
        <v>0</v>
      </c>
      <c r="AHT15" s="20" t="n">
        <v>0</v>
      </c>
      <c r="AHU15" s="20" t="n">
        <v>0</v>
      </c>
      <c r="AHV15" s="20" t="n">
        <v>0</v>
      </c>
      <c r="AHW15" s="20" t="n">
        <v>0</v>
      </c>
      <c r="AHX15" s="20" t="n">
        <v>0</v>
      </c>
      <c r="AHY15" s="20" t="n">
        <v>0</v>
      </c>
      <c r="AHZ15" s="20" t="n">
        <v>0</v>
      </c>
      <c r="AIA15" s="20" t="n">
        <v>0</v>
      </c>
      <c r="AIB15" s="20" t="n">
        <v>0</v>
      </c>
      <c r="AIC15" s="20" t="n">
        <v>0</v>
      </c>
      <c r="AID15" s="20" t="n">
        <v>0</v>
      </c>
      <c r="AIE15" s="20" t="n">
        <v>0</v>
      </c>
      <c r="AIF15" s="20" t="n">
        <v>0</v>
      </c>
      <c r="AIG15" s="20" t="n">
        <v>0</v>
      </c>
      <c r="AIH15" s="20" t="n">
        <v>0</v>
      </c>
      <c r="AII15" s="20" t="n">
        <v>0</v>
      </c>
      <c r="AIJ15" s="20" t="n">
        <v>0</v>
      </c>
      <c r="AIK15" s="20" t="n">
        <v>0</v>
      </c>
      <c r="AIL15" s="20" t="n">
        <v>0</v>
      </c>
      <c r="AIM15" s="20" t="n">
        <v>0</v>
      </c>
      <c r="AIN15" s="20" t="n">
        <v>0</v>
      </c>
      <c r="AIO15" s="20" t="n">
        <v>0</v>
      </c>
      <c r="AIP15" s="20" t="n">
        <v>0</v>
      </c>
      <c r="AIQ15" s="20" t="n">
        <v>0</v>
      </c>
      <c r="AIR15" s="20" t="n">
        <v>0</v>
      </c>
      <c r="AIS15" s="20" t="n">
        <v>0</v>
      </c>
      <c r="AIT15" s="20" t="n">
        <v>0</v>
      </c>
      <c r="AIU15" s="20" t="n">
        <v>0</v>
      </c>
      <c r="AIV15" s="20" t="n">
        <v>0</v>
      </c>
      <c r="AIW15" s="20" t="n">
        <v>0</v>
      </c>
      <c r="AIX15" s="20" t="n">
        <v>0</v>
      </c>
      <c r="AIY15" s="20" t="n">
        <v>0</v>
      </c>
      <c r="AIZ15" s="20" t="n">
        <v>0</v>
      </c>
      <c r="AJA15" s="20" t="n">
        <v>0</v>
      </c>
      <c r="AJB15" s="20" t="n">
        <v>0</v>
      </c>
      <c r="AJC15" s="20" t="n">
        <v>0</v>
      </c>
      <c r="AJD15" s="20" t="n">
        <v>0</v>
      </c>
      <c r="AJE15" s="20" t="n">
        <v>0</v>
      </c>
      <c r="AJF15" s="20" t="n">
        <v>0</v>
      </c>
      <c r="AJG15" s="20" t="n">
        <v>0</v>
      </c>
      <c r="AJH15" s="20" t="n">
        <v>0</v>
      </c>
      <c r="AJI15" s="20" t="n">
        <v>0</v>
      </c>
      <c r="AJJ15" s="20" t="n">
        <v>0</v>
      </c>
      <c r="AJK15" s="20" t="n">
        <v>0</v>
      </c>
      <c r="AJL15" s="20" t="n">
        <v>0</v>
      </c>
      <c r="AJM15" s="20" t="n">
        <v>0</v>
      </c>
      <c r="AJN15" s="20" t="n">
        <v>0</v>
      </c>
      <c r="AJO15" s="20" t="n">
        <v>0</v>
      </c>
      <c r="AJP15" s="20" t="n">
        <v>0</v>
      </c>
      <c r="AJQ15" s="20" t="n">
        <v>0</v>
      </c>
      <c r="AJR15" s="20" t="n">
        <v>0</v>
      </c>
      <c r="AJS15" s="20" t="n">
        <v>0</v>
      </c>
      <c r="AJT15" s="20" t="n">
        <v>0</v>
      </c>
      <c r="AJU15" s="20" t="n">
        <v>0</v>
      </c>
      <c r="AJV15" s="20" t="n">
        <v>0</v>
      </c>
      <c r="AJW15" s="20" t="n">
        <v>0</v>
      </c>
      <c r="AJX15" s="20" t="n">
        <v>0</v>
      </c>
      <c r="AJY15" s="20" t="n">
        <v>0</v>
      </c>
      <c r="AJZ15" s="20" t="n">
        <v>0</v>
      </c>
      <c r="AKA15" s="20" t="n">
        <v>0</v>
      </c>
      <c r="AKB15" s="20" t="n">
        <v>0</v>
      </c>
      <c r="AKC15" s="20" t="n">
        <v>0</v>
      </c>
      <c r="AKD15" s="20" t="n">
        <v>0</v>
      </c>
      <c r="AKE15" s="20" t="n">
        <v>0</v>
      </c>
      <c r="AKF15" s="20" t="n">
        <v>0</v>
      </c>
      <c r="AKG15" s="20" t="n">
        <v>0</v>
      </c>
      <c r="AKH15" s="20" t="n">
        <v>0</v>
      </c>
      <c r="AKI15" s="20" t="n">
        <v>0</v>
      </c>
      <c r="AKJ15" s="20" t="n">
        <v>0</v>
      </c>
      <c r="AKK15" s="20" t="n">
        <v>0</v>
      </c>
      <c r="AKL15" s="20" t="n">
        <v>0</v>
      </c>
      <c r="AKM15" s="20" t="n">
        <v>0</v>
      </c>
      <c r="AKN15" s="20" t="n">
        <v>0</v>
      </c>
      <c r="AKO15" s="20" t="n">
        <v>0</v>
      </c>
      <c r="AKP15" s="20" t="n">
        <v>0</v>
      </c>
      <c r="AKQ15" s="20" t="n">
        <v>0</v>
      </c>
      <c r="AKR15" s="20" t="n">
        <f aca="false">ADR15-AVE15</f>
        <v>0</v>
      </c>
      <c r="AKS15" s="20" t="n">
        <f aca="false">ADS15-AVF15</f>
        <v>0</v>
      </c>
      <c r="AKT15" s="20" t="n">
        <f aca="false">ADT15-AVG15</f>
        <v>0</v>
      </c>
      <c r="AKU15" s="20" t="n">
        <f aca="false">ADU15-AVH15</f>
        <v>0</v>
      </c>
      <c r="AKV15" s="20" t="n">
        <f aca="false">ADV15-AVI15</f>
        <v>0</v>
      </c>
      <c r="AKW15" s="20" t="n">
        <f aca="false">ADW15-AVJ15</f>
        <v>0</v>
      </c>
      <c r="AKX15" s="20" t="n">
        <f aca="false">ADX15-AVK15</f>
        <v>0</v>
      </c>
      <c r="AKY15" s="20" t="n">
        <f aca="false">ADY15-AVL15</f>
        <v>0</v>
      </c>
      <c r="AKZ15" s="20" t="n">
        <f aca="false">ADZ15-AVM15</f>
        <v>0</v>
      </c>
      <c r="ALA15" s="20" t="n">
        <v>0</v>
      </c>
      <c r="ALB15" s="20" t="n">
        <v>0</v>
      </c>
      <c r="ALC15" s="20" t="n">
        <v>0</v>
      </c>
      <c r="ALD15" s="20" t="n">
        <v>0</v>
      </c>
      <c r="ALE15" s="20" t="n">
        <v>0</v>
      </c>
      <c r="ALF15" s="20" t="n">
        <v>0</v>
      </c>
      <c r="ALG15" s="20" t="n">
        <v>0</v>
      </c>
      <c r="ALH15" s="20" t="n">
        <v>0</v>
      </c>
      <c r="ALI15" s="20" t="n">
        <v>0</v>
      </c>
      <c r="ALJ15" s="20" t="n">
        <v>0</v>
      </c>
      <c r="ALK15" s="20" t="n">
        <v>0</v>
      </c>
      <c r="ALL15" s="20" t="n">
        <v>0</v>
      </c>
      <c r="ALM15" s="20" t="n">
        <v>0</v>
      </c>
      <c r="ALN15" s="20" t="n">
        <v>0</v>
      </c>
      <c r="ALO15" s="20" t="n">
        <v>0</v>
      </c>
      <c r="ALP15" s="20" t="n">
        <v>0</v>
      </c>
      <c r="ALQ15" s="20" t="n">
        <v>0</v>
      </c>
      <c r="ALR15" s="20" t="n">
        <v>0</v>
      </c>
      <c r="ALS15" s="20" t="n">
        <v>0</v>
      </c>
      <c r="ALT15" s="20" t="n">
        <v>0</v>
      </c>
      <c r="ALU15" s="20" t="n">
        <v>0</v>
      </c>
      <c r="ALV15" s="20" t="n">
        <v>0</v>
      </c>
      <c r="ALW15" s="20" t="n">
        <v>0</v>
      </c>
      <c r="ALX15" s="20" t="n">
        <v>0</v>
      </c>
      <c r="ALY15" s="20" t="n">
        <v>0</v>
      </c>
      <c r="ALZ15" s="20" t="n">
        <v>0</v>
      </c>
      <c r="AMA15" s="20" t="n">
        <v>0</v>
      </c>
      <c r="AMB15" s="20" t="n">
        <v>0</v>
      </c>
      <c r="AMC15" s="20" t="n">
        <v>0</v>
      </c>
      <c r="AMD15" s="20" t="n">
        <v>0</v>
      </c>
      <c r="AME15" s="20" t="n">
        <v>0</v>
      </c>
      <c r="AMF15" s="20" t="n">
        <v>0</v>
      </c>
      <c r="AMG15" s="20" t="n">
        <v>0</v>
      </c>
      <c r="AMH15" s="20" t="n">
        <v>0</v>
      </c>
      <c r="AMI15" s="20" t="n">
        <v>0</v>
      </c>
      <c r="AMJ15" s="20" t="n">
        <v>0</v>
      </c>
      <c r="AMK15" s="20" t="n">
        <v>0</v>
      </c>
      <c r="AML15" s="20" t="n">
        <v>0</v>
      </c>
      <c r="AMM15" s="20" t="n">
        <v>0</v>
      </c>
      <c r="AMN15" s="20" t="n">
        <v>0</v>
      </c>
      <c r="AMO15" s="20" t="n">
        <v>0</v>
      </c>
      <c r="AMP15" s="20" t="n">
        <v>0</v>
      </c>
      <c r="AMQ15" s="20" t="n">
        <v>0</v>
      </c>
      <c r="AMR15" s="20" t="n">
        <v>0</v>
      </c>
      <c r="AMS15" s="20" t="n">
        <v>0</v>
      </c>
      <c r="AMT15" s="20" t="n">
        <v>0</v>
      </c>
      <c r="AMU15" s="20" t="n">
        <v>0</v>
      </c>
      <c r="AMV15" s="20" t="n">
        <v>0</v>
      </c>
      <c r="AMW15" s="20" t="n">
        <v>0</v>
      </c>
      <c r="AMX15" s="20" t="n">
        <v>0</v>
      </c>
      <c r="AMY15" s="20" t="n">
        <v>0</v>
      </c>
      <c r="AMZ15" s="20" t="n">
        <v>0</v>
      </c>
      <c r="ANA15" s="20" t="n">
        <v>0</v>
      </c>
      <c r="ANB15" s="20" t="n">
        <v>0</v>
      </c>
      <c r="ANC15" s="20" t="n">
        <v>0</v>
      </c>
      <c r="AND15" s="20" t="n">
        <v>0</v>
      </c>
      <c r="ANE15" s="20" t="n">
        <v>0</v>
      </c>
      <c r="ANF15" s="20" t="n">
        <v>0</v>
      </c>
      <c r="ANG15" s="20" t="n">
        <v>0</v>
      </c>
      <c r="ANH15" s="20" t="n">
        <v>0</v>
      </c>
      <c r="ANI15" s="20" t="n">
        <v>0</v>
      </c>
      <c r="ANJ15" s="20" t="n">
        <v>0</v>
      </c>
      <c r="ANK15" s="20" t="n">
        <v>0</v>
      </c>
      <c r="ANL15" s="20" t="n">
        <v>0</v>
      </c>
      <c r="ANM15" s="20" t="n">
        <v>0</v>
      </c>
      <c r="ANN15" s="20" t="n">
        <v>0</v>
      </c>
      <c r="ANO15" s="20" t="n">
        <v>0</v>
      </c>
      <c r="ANP15" s="20" t="n">
        <v>0</v>
      </c>
      <c r="ANQ15" s="20" t="n">
        <v>0</v>
      </c>
      <c r="ANR15" s="20" t="n">
        <v>0</v>
      </c>
      <c r="ANS15" s="20" t="n">
        <v>0</v>
      </c>
      <c r="ANT15" s="20" t="n">
        <v>0</v>
      </c>
      <c r="ANU15" s="20" t="n">
        <v>0</v>
      </c>
      <c r="ANV15" s="20" t="n">
        <v>0</v>
      </c>
      <c r="ANW15" s="20" t="n">
        <v>0</v>
      </c>
      <c r="ANX15" s="20" t="n">
        <v>0</v>
      </c>
      <c r="ANY15" s="20" t="n">
        <v>0</v>
      </c>
      <c r="ANZ15" s="20" t="n">
        <v>0</v>
      </c>
      <c r="AOA15" s="20" t="n">
        <v>0</v>
      </c>
      <c r="AOB15" s="20" t="n">
        <v>0</v>
      </c>
      <c r="AOC15" s="20" t="n">
        <v>0</v>
      </c>
      <c r="AOD15" s="20" t="n">
        <v>0</v>
      </c>
      <c r="AOE15" s="20" t="n">
        <f aca="false">IF(AND(H_Direct=0,H_TaxEvt=1,ARR14+1&gt;=H_Deemed),AKR15,AHE15)</f>
        <v>0</v>
      </c>
      <c r="AOF15" s="20" t="n">
        <f aca="false">IF(AND(H_Direct=0,H_TaxEvt=1,ARS14+1&gt;=H_Deemed),AKS15,AHF15)</f>
        <v>0</v>
      </c>
      <c r="AOG15" s="20" t="n">
        <f aca="false">IF(AND(H_Direct=0,H_TaxEvt=1,ART14+1&gt;=H_Deemed),AKT15,AHG15)</f>
        <v>0</v>
      </c>
      <c r="AOH15" s="20" t="n">
        <f aca="false">IF(AND(H_Direct=0,H_TaxEvt=1,ARU14+1&gt;=H_Deemed),AKU15,AHH15)</f>
        <v>0</v>
      </c>
      <c r="AOI15" s="20" t="n">
        <f aca="false">IF(AND(H_Direct=0,H_TaxEvt=1,ARV14+1&gt;=H_Deemed),AKV15,AHI15)</f>
        <v>0</v>
      </c>
      <c r="AOJ15" s="20" t="n">
        <f aca="false">IF(AND(H_Direct=0,H_TaxEvt=1,ARW14+1&gt;=H_Deemed),AKW15,AHJ15)</f>
        <v>0</v>
      </c>
      <c r="AOK15" s="20" t="n">
        <f aca="false">IF(AND(H_Direct=0,H_TaxEvt=1,ARX14+1&gt;=H_Deemed),AKX15,AHK15)</f>
        <v>0</v>
      </c>
      <c r="AOL15" s="20" t="n">
        <f aca="false">IF(AND(H_Direct=0,H_TaxEvt=1,ARY14+1&gt;=H_Deemed),AKY15,AHL15)</f>
        <v>0</v>
      </c>
      <c r="AOM15" s="20" t="n">
        <f aca="false">IF(AND(H_Direct=0,H_TaxEvt=1,0+1&gt;=H_Deemed),AKZ15,AHM15)</f>
        <v>0</v>
      </c>
      <c r="AON15" s="20" t="n">
        <v>0</v>
      </c>
      <c r="AOO15" s="20" t="n">
        <v>0</v>
      </c>
      <c r="AOP15" s="20" t="n">
        <v>0</v>
      </c>
      <c r="AOQ15" s="20" t="n">
        <v>0</v>
      </c>
      <c r="AOR15" s="20" t="n">
        <v>0</v>
      </c>
      <c r="AOS15" s="20" t="n">
        <v>0</v>
      </c>
      <c r="AOT15" s="20" t="n">
        <v>0</v>
      </c>
      <c r="AOU15" s="20" t="n">
        <v>0</v>
      </c>
      <c r="AOV15" s="20" t="n">
        <v>0</v>
      </c>
      <c r="AOW15" s="20" t="n">
        <v>0</v>
      </c>
      <c r="AOX15" s="20" t="n">
        <v>0</v>
      </c>
      <c r="AOY15" s="20" t="n">
        <v>0</v>
      </c>
      <c r="AOZ15" s="20" t="n">
        <v>0</v>
      </c>
      <c r="APA15" s="20" t="n">
        <v>0</v>
      </c>
      <c r="APB15" s="20" t="n">
        <v>0</v>
      </c>
      <c r="APC15" s="20" t="n">
        <v>0</v>
      </c>
      <c r="APD15" s="20" t="n">
        <v>0</v>
      </c>
      <c r="APE15" s="20" t="n">
        <v>0</v>
      </c>
      <c r="APF15" s="20" t="n">
        <v>0</v>
      </c>
      <c r="APG15" s="20" t="n">
        <v>0</v>
      </c>
      <c r="APH15" s="20" t="n">
        <v>0</v>
      </c>
      <c r="API15" s="20" t="n">
        <v>0</v>
      </c>
      <c r="APJ15" s="20" t="n">
        <v>0</v>
      </c>
      <c r="APK15" s="20" t="n">
        <v>0</v>
      </c>
      <c r="APL15" s="20" t="n">
        <v>0</v>
      </c>
      <c r="APM15" s="20" t="n">
        <v>0</v>
      </c>
      <c r="APN15" s="20" t="n">
        <v>0</v>
      </c>
      <c r="APO15" s="20" t="n">
        <v>0</v>
      </c>
      <c r="APP15" s="20" t="n">
        <v>0</v>
      </c>
      <c r="APQ15" s="20" t="n">
        <v>0</v>
      </c>
      <c r="APR15" s="20" t="n">
        <v>0</v>
      </c>
      <c r="APS15" s="20" t="n">
        <v>0</v>
      </c>
      <c r="APT15" s="20" t="n">
        <v>0</v>
      </c>
      <c r="APU15" s="20" t="n">
        <v>0</v>
      </c>
      <c r="APV15" s="20" t="n">
        <v>0</v>
      </c>
      <c r="APW15" s="20" t="n">
        <v>0</v>
      </c>
      <c r="APX15" s="20" t="n">
        <v>0</v>
      </c>
      <c r="APY15" s="20" t="n">
        <v>0</v>
      </c>
      <c r="APZ15" s="20" t="n">
        <v>0</v>
      </c>
      <c r="AQA15" s="20" t="n">
        <v>0</v>
      </c>
      <c r="AQB15" s="20" t="n">
        <v>0</v>
      </c>
      <c r="AQC15" s="20" t="n">
        <v>0</v>
      </c>
      <c r="AQD15" s="20" t="n">
        <v>0</v>
      </c>
      <c r="AQE15" s="20" t="n">
        <v>0</v>
      </c>
      <c r="AQF15" s="20" t="n">
        <v>0</v>
      </c>
      <c r="AQG15" s="20" t="n">
        <v>0</v>
      </c>
      <c r="AQH15" s="20" t="n">
        <v>0</v>
      </c>
      <c r="AQI15" s="20" t="n">
        <v>0</v>
      </c>
      <c r="AQJ15" s="20" t="n">
        <v>0</v>
      </c>
      <c r="AQK15" s="20" t="n">
        <v>0</v>
      </c>
      <c r="AQL15" s="20" t="n">
        <v>0</v>
      </c>
      <c r="AQM15" s="20" t="n">
        <v>0</v>
      </c>
      <c r="AQN15" s="20" t="n">
        <v>0</v>
      </c>
      <c r="AQO15" s="20" t="n">
        <v>0</v>
      </c>
      <c r="AQP15" s="20" t="n">
        <v>0</v>
      </c>
      <c r="AQQ15" s="20" t="n">
        <v>0</v>
      </c>
      <c r="AQR15" s="20" t="n">
        <v>0</v>
      </c>
      <c r="AQS15" s="20" t="n">
        <v>0</v>
      </c>
      <c r="AQT15" s="20" t="n">
        <v>0</v>
      </c>
      <c r="AQU15" s="20" t="n">
        <v>0</v>
      </c>
      <c r="AQV15" s="20" t="n">
        <v>0</v>
      </c>
      <c r="AQW15" s="20" t="n">
        <v>0</v>
      </c>
      <c r="AQX15" s="20" t="n">
        <v>0</v>
      </c>
      <c r="AQY15" s="20" t="n">
        <v>0</v>
      </c>
      <c r="AQZ15" s="20" t="n">
        <v>0</v>
      </c>
      <c r="ARA15" s="20" t="n">
        <v>0</v>
      </c>
      <c r="ARB15" s="20" t="n">
        <v>0</v>
      </c>
      <c r="ARC15" s="20" t="n">
        <v>0</v>
      </c>
      <c r="ARD15" s="20" t="n">
        <v>0</v>
      </c>
      <c r="ARE15" s="20" t="n">
        <v>0</v>
      </c>
      <c r="ARF15" s="20" t="n">
        <v>0</v>
      </c>
      <c r="ARG15" s="20" t="n">
        <v>0</v>
      </c>
      <c r="ARH15" s="20" t="n">
        <v>0</v>
      </c>
      <c r="ARI15" s="20" t="n">
        <v>0</v>
      </c>
      <c r="ARJ15" s="20" t="n">
        <v>0</v>
      </c>
      <c r="ARK15" s="20" t="n">
        <v>0</v>
      </c>
      <c r="ARL15" s="20" t="n">
        <v>0</v>
      </c>
      <c r="ARM15" s="20" t="n">
        <v>0</v>
      </c>
      <c r="ARN15" s="20" t="n">
        <v>0</v>
      </c>
      <c r="ARO15" s="20" t="n">
        <v>0</v>
      </c>
      <c r="ARP15" s="20" t="n">
        <v>0</v>
      </c>
      <c r="ARQ15" s="20" t="n">
        <v>0</v>
      </c>
      <c r="ARR15" s="20" t="n">
        <f aca="false">IF(AND(H_Direct=0,H_TaxEvt=1),IF(ARR14+1&gt;=H_Deemed,0,ARR14+1),ARR14)</f>
        <v>0</v>
      </c>
      <c r="ARS15" s="20" t="n">
        <f aca="false">IF(AND(H_Direct=0,H_TaxEvt=1),IF(ARS14+1&gt;=H_Deemed,0,ARS14+1),ARS14)</f>
        <v>0</v>
      </c>
      <c r="ART15" s="20" t="n">
        <f aca="false">IF(AND(H_Direct=0,H_TaxEvt=1),IF(ART14+1&gt;=H_Deemed,0,ART14+1),ART14)</f>
        <v>7</v>
      </c>
      <c r="ARU15" s="20" t="n">
        <f aca="false">IF(AND(H_Direct=0,H_TaxEvt=1),IF(ARU14+1&gt;=H_Deemed,0,ARU14+1),ARU14)</f>
        <v>6</v>
      </c>
      <c r="ARV15" s="20" t="n">
        <f aca="false">IF(AND(H_Direct=0,H_TaxEvt=1),IF(ARV14+1&gt;=H_Deemed,0,ARV14+1),ARV14)</f>
        <v>5</v>
      </c>
      <c r="ARW15" s="20" t="n">
        <f aca="false">IF(AND(H_Direct=0,H_TaxEvt=1),IF(ARW14+1&gt;=H_Deemed,0,ARW14+1),ARW14)</f>
        <v>4</v>
      </c>
      <c r="ARX15" s="20" t="n">
        <f aca="false">IF(AND(H_Direct=0,H_TaxEvt=1),IF(ARX14+1&gt;=H_Deemed,0,ARX14+1),ARX14)</f>
        <v>3</v>
      </c>
      <c r="ARY15" s="20" t="n">
        <f aca="false">IF(AND(H_Direct=0,H_TaxEvt=1),IF(ARY14+1&gt;=H_Deemed,0,ARY14+1),ARY14)</f>
        <v>2</v>
      </c>
      <c r="ARZ15" s="20" t="n">
        <f aca="false">IF(AND(H_Direct=0,H_TaxEvt=1),IF(0+1&gt;=H_Deemed,0,0+1),0)</f>
        <v>1</v>
      </c>
      <c r="ASA15" s="20" t="n">
        <v>0</v>
      </c>
      <c r="ASB15" s="20" t="n">
        <v>0</v>
      </c>
      <c r="ASC15" s="20" t="n">
        <v>0</v>
      </c>
      <c r="ASD15" s="20" t="n">
        <v>0</v>
      </c>
      <c r="ASE15" s="20" t="n">
        <v>0</v>
      </c>
      <c r="ASF15" s="20" t="n">
        <v>0</v>
      </c>
      <c r="ASG15" s="20" t="n">
        <v>0</v>
      </c>
      <c r="ASH15" s="20" t="n">
        <v>0</v>
      </c>
      <c r="ASI15" s="20" t="n">
        <v>0</v>
      </c>
      <c r="ASJ15" s="20" t="n">
        <v>0</v>
      </c>
      <c r="ASK15" s="20" t="n">
        <v>0</v>
      </c>
      <c r="ASL15" s="20" t="n">
        <v>0</v>
      </c>
      <c r="ASM15" s="20" t="n">
        <v>0</v>
      </c>
      <c r="ASN15" s="20" t="n">
        <v>0</v>
      </c>
      <c r="ASO15" s="20" t="n">
        <v>0</v>
      </c>
      <c r="ASP15" s="20" t="n">
        <v>0</v>
      </c>
      <c r="ASQ15" s="20" t="n">
        <v>0</v>
      </c>
      <c r="ASR15" s="20" t="n">
        <v>0</v>
      </c>
      <c r="ASS15" s="20" t="n">
        <v>0</v>
      </c>
      <c r="AST15" s="20" t="n">
        <v>0</v>
      </c>
      <c r="ASU15" s="20" t="n">
        <v>0</v>
      </c>
      <c r="ASV15" s="20" t="n">
        <v>0</v>
      </c>
      <c r="ASW15" s="20" t="n">
        <v>0</v>
      </c>
      <c r="ASX15" s="20" t="n">
        <v>0</v>
      </c>
      <c r="ASY15" s="20" t="n">
        <v>0</v>
      </c>
      <c r="ASZ15" s="20" t="n">
        <v>0</v>
      </c>
      <c r="ATA15" s="20" t="n">
        <v>0</v>
      </c>
      <c r="ATB15" s="20" t="n">
        <v>0</v>
      </c>
      <c r="ATC15" s="20" t="n">
        <v>0</v>
      </c>
      <c r="ATD15" s="20" t="n">
        <v>0</v>
      </c>
      <c r="ATE15" s="20" t="n">
        <v>0</v>
      </c>
      <c r="ATF15" s="20" t="n">
        <v>0</v>
      </c>
      <c r="ATG15" s="20" t="n">
        <v>0</v>
      </c>
      <c r="ATH15" s="20" t="n">
        <v>0</v>
      </c>
      <c r="ATI15" s="20" t="n">
        <v>0</v>
      </c>
      <c r="ATJ15" s="20" t="n">
        <v>0</v>
      </c>
      <c r="ATK15" s="20" t="n">
        <v>0</v>
      </c>
      <c r="ATL15" s="20" t="n">
        <v>0</v>
      </c>
      <c r="ATM15" s="20" t="n">
        <v>0</v>
      </c>
      <c r="ATN15" s="20" t="n">
        <v>0</v>
      </c>
      <c r="ATO15" s="20" t="n">
        <v>0</v>
      </c>
      <c r="ATP15" s="20" t="n">
        <v>0</v>
      </c>
      <c r="ATQ15" s="20" t="n">
        <v>0</v>
      </c>
      <c r="ATR15" s="20" t="n">
        <v>0</v>
      </c>
      <c r="ATS15" s="20" t="n">
        <v>0</v>
      </c>
      <c r="ATT15" s="20" t="n">
        <v>0</v>
      </c>
      <c r="ATU15" s="20" t="n">
        <v>0</v>
      </c>
      <c r="ATV15" s="20" t="n">
        <v>0</v>
      </c>
      <c r="ATW15" s="20" t="n">
        <v>0</v>
      </c>
      <c r="ATX15" s="20" t="n">
        <v>0</v>
      </c>
      <c r="ATY15" s="20" t="n">
        <v>0</v>
      </c>
      <c r="ATZ15" s="20" t="n">
        <v>0</v>
      </c>
      <c r="AUA15" s="20" t="n">
        <v>0</v>
      </c>
      <c r="AUB15" s="20" t="n">
        <v>0</v>
      </c>
      <c r="AUC15" s="20" t="n">
        <v>0</v>
      </c>
      <c r="AUD15" s="20" t="n">
        <v>0</v>
      </c>
      <c r="AUE15" s="20" t="n">
        <v>0</v>
      </c>
      <c r="AUF15" s="20" t="n">
        <v>0</v>
      </c>
      <c r="AUG15" s="20" t="n">
        <v>0</v>
      </c>
      <c r="AUH15" s="20" t="n">
        <v>0</v>
      </c>
      <c r="AUI15" s="20" t="n">
        <v>0</v>
      </c>
      <c r="AUJ15" s="20" t="n">
        <v>0</v>
      </c>
      <c r="AUK15" s="20" t="n">
        <v>0</v>
      </c>
      <c r="AUL15" s="20" t="n">
        <v>0</v>
      </c>
      <c r="AUM15" s="20" t="n">
        <v>0</v>
      </c>
      <c r="AUN15" s="20" t="n">
        <v>0</v>
      </c>
      <c r="AUO15" s="20" t="n">
        <v>0</v>
      </c>
      <c r="AUP15" s="20" t="n">
        <v>0</v>
      </c>
      <c r="AUQ15" s="20" t="n">
        <v>0</v>
      </c>
      <c r="AUR15" s="20" t="n">
        <v>0</v>
      </c>
      <c r="AUS15" s="20" t="n">
        <v>0</v>
      </c>
      <c r="AUT15" s="20" t="n">
        <v>0</v>
      </c>
      <c r="AUU15" s="20" t="n">
        <v>0</v>
      </c>
      <c r="AUV15" s="20" t="n">
        <v>0</v>
      </c>
      <c r="AUW15" s="20" t="n">
        <v>0</v>
      </c>
      <c r="AUX15" s="20" t="n">
        <v>0</v>
      </c>
      <c r="AUY15" s="20" t="n">
        <v>0</v>
      </c>
      <c r="AUZ15" s="20" t="n">
        <v>0</v>
      </c>
      <c r="AVA15" s="20" t="n">
        <v>0</v>
      </c>
      <c r="AVB15" s="20" t="n">
        <v>0</v>
      </c>
      <c r="AVC15" s="20" t="n">
        <v>0</v>
      </c>
      <c r="AVD15" s="20" t="n">
        <v>0</v>
      </c>
      <c r="AVE15" s="20" t="n">
        <f aca="false">IF(AND(H_Direct=0,H_TaxEvt=1,ARR14+1&gt;=H_Deemed),MAX(0,ADR15-AHE15)*H_Exit,0)</f>
        <v>0</v>
      </c>
      <c r="AVF15" s="20" t="n">
        <f aca="false">IF(AND(H_Direct=0,H_TaxEvt=1,ARS14+1&gt;=H_Deemed),MAX(0,ADS15-AHF15)*H_Exit,0)</f>
        <v>0</v>
      </c>
      <c r="AVG15" s="20" t="n">
        <f aca="false">IF(AND(H_Direct=0,H_TaxEvt=1,ART14+1&gt;=H_Deemed),MAX(0,ADT15-AHG15)*H_Exit,0)</f>
        <v>0</v>
      </c>
      <c r="AVH15" s="20" t="n">
        <f aca="false">IF(AND(H_Direct=0,H_TaxEvt=1,ARU14+1&gt;=H_Deemed),MAX(0,ADU15-AHH15)*H_Exit,0)</f>
        <v>0</v>
      </c>
      <c r="AVI15" s="20" t="n">
        <f aca="false">IF(AND(H_Direct=0,H_TaxEvt=1,ARV14+1&gt;=H_Deemed),MAX(0,ADV15-AHI15)*H_Exit,0)</f>
        <v>0</v>
      </c>
      <c r="AVJ15" s="20" t="n">
        <f aca="false">IF(AND(H_Direct=0,H_TaxEvt=1,ARW14+1&gt;=H_Deemed),MAX(0,ADW15-AHJ15)*H_Exit,0)</f>
        <v>0</v>
      </c>
      <c r="AVK15" s="20" t="n">
        <f aca="false">IF(AND(H_Direct=0,H_TaxEvt=1,ARX14+1&gt;=H_Deemed),MAX(0,ADX15-AHK15)*H_Exit,0)</f>
        <v>0</v>
      </c>
      <c r="AVL15" s="20" t="n">
        <f aca="false">IF(AND(H_Direct=0,H_TaxEvt=1,ARY14+1&gt;=H_Deemed),MAX(0,ADY15-AHL15)*H_Exit,0)</f>
        <v>0</v>
      </c>
      <c r="AVM15" s="20" t="n">
        <f aca="false">IF(AND(H_Direct=0,H_TaxEvt=1,0+1&gt;=H_Deemed),MAX(0,ADZ15-AHM15)*H_Exit,0)</f>
        <v>0</v>
      </c>
      <c r="AVN15" s="20" t="n">
        <v>0</v>
      </c>
      <c r="AVO15" s="20" t="n">
        <v>0</v>
      </c>
      <c r="AVP15" s="20" t="n">
        <v>0</v>
      </c>
      <c r="AVQ15" s="20" t="n">
        <v>0</v>
      </c>
      <c r="AVR15" s="20" t="n">
        <v>0</v>
      </c>
      <c r="AVS15" s="20" t="n">
        <v>0</v>
      </c>
      <c r="AVT15" s="20" t="n">
        <v>0</v>
      </c>
      <c r="AVU15" s="20" t="n">
        <v>0</v>
      </c>
      <c r="AVV15" s="20" t="n">
        <v>0</v>
      </c>
      <c r="AVW15" s="20" t="n">
        <v>0</v>
      </c>
      <c r="AVX15" s="20" t="n">
        <v>0</v>
      </c>
      <c r="AVY15" s="20" t="n">
        <v>0</v>
      </c>
      <c r="AVZ15" s="20" t="n">
        <v>0</v>
      </c>
      <c r="AWA15" s="20" t="n">
        <v>0</v>
      </c>
      <c r="AWB15" s="20" t="n">
        <v>0</v>
      </c>
      <c r="AWC15" s="20" t="n">
        <v>0</v>
      </c>
      <c r="AWD15" s="20" t="n">
        <v>0</v>
      </c>
      <c r="AWE15" s="20" t="n">
        <v>0</v>
      </c>
      <c r="AWF15" s="20" t="n">
        <v>0</v>
      </c>
      <c r="AWG15" s="20" t="n">
        <v>0</v>
      </c>
      <c r="AWH15" s="20" t="n">
        <v>0</v>
      </c>
      <c r="AWI15" s="20" t="n">
        <v>0</v>
      </c>
      <c r="AWJ15" s="20" t="n">
        <v>0</v>
      </c>
      <c r="AWK15" s="20" t="n">
        <v>0</v>
      </c>
      <c r="AWL15" s="20" t="n">
        <v>0</v>
      </c>
      <c r="AWM15" s="20" t="n">
        <v>0</v>
      </c>
      <c r="AWN15" s="20" t="n">
        <v>0</v>
      </c>
      <c r="AWO15" s="20" t="n">
        <v>0</v>
      </c>
      <c r="AWP15" s="20" t="n">
        <v>0</v>
      </c>
      <c r="AWQ15" s="20" t="n">
        <v>0</v>
      </c>
      <c r="AWR15" s="20" t="n">
        <v>0</v>
      </c>
      <c r="AWS15" s="20" t="n">
        <v>0</v>
      </c>
      <c r="AWT15" s="20" t="n">
        <v>0</v>
      </c>
      <c r="AWU15" s="20" t="n">
        <v>0</v>
      </c>
      <c r="AWV15" s="20" t="n">
        <v>0</v>
      </c>
      <c r="AWW15" s="20" t="n">
        <v>0</v>
      </c>
      <c r="AWX15" s="20" t="n">
        <v>0</v>
      </c>
      <c r="AWY15" s="20" t="n">
        <v>0</v>
      </c>
      <c r="AWZ15" s="20" t="n">
        <v>0</v>
      </c>
      <c r="AXA15" s="20" t="n">
        <v>0</v>
      </c>
      <c r="AXB15" s="20" t="n">
        <v>0</v>
      </c>
      <c r="AXC15" s="20" t="n">
        <v>0</v>
      </c>
      <c r="AXD15" s="20" t="n">
        <v>0</v>
      </c>
      <c r="AXE15" s="20" t="n">
        <v>0</v>
      </c>
      <c r="AXF15" s="20" t="n">
        <v>0</v>
      </c>
      <c r="AXG15" s="20" t="n">
        <v>0</v>
      </c>
      <c r="AXH15" s="20" t="n">
        <v>0</v>
      </c>
      <c r="AXI15" s="20" t="n">
        <v>0</v>
      </c>
      <c r="AXJ15" s="20" t="n">
        <v>0</v>
      </c>
      <c r="AXK15" s="20" t="n">
        <v>0</v>
      </c>
      <c r="AXL15" s="20" t="n">
        <v>0</v>
      </c>
      <c r="AXM15" s="20" t="n">
        <v>0</v>
      </c>
      <c r="AXN15" s="20" t="n">
        <v>0</v>
      </c>
      <c r="AXO15" s="20" t="n">
        <v>0</v>
      </c>
      <c r="AXP15" s="20" t="n">
        <v>0</v>
      </c>
      <c r="AXQ15" s="20" t="n">
        <v>0</v>
      </c>
      <c r="AXR15" s="20" t="n">
        <v>0</v>
      </c>
      <c r="AXS15" s="20" t="n">
        <v>0</v>
      </c>
      <c r="AXT15" s="20" t="n">
        <v>0</v>
      </c>
      <c r="AXU15" s="20" t="n">
        <v>0</v>
      </c>
      <c r="AXV15" s="20" t="n">
        <v>0</v>
      </c>
      <c r="AXW15" s="20" t="n">
        <v>0</v>
      </c>
      <c r="AXX15" s="20" t="n">
        <v>0</v>
      </c>
      <c r="AXY15" s="20" t="n">
        <v>0</v>
      </c>
      <c r="AXZ15" s="20" t="n">
        <v>0</v>
      </c>
      <c r="AYA15" s="20" t="n">
        <v>0</v>
      </c>
      <c r="AYB15" s="20" t="n">
        <v>0</v>
      </c>
      <c r="AYC15" s="20" t="n">
        <v>0</v>
      </c>
      <c r="AYD15" s="20" t="n">
        <v>0</v>
      </c>
      <c r="AYE15" s="20" t="n">
        <v>0</v>
      </c>
      <c r="AYF15" s="20" t="n">
        <v>0</v>
      </c>
      <c r="AYG15" s="20" t="n">
        <v>0</v>
      </c>
      <c r="AYH15" s="20" t="n">
        <v>0</v>
      </c>
      <c r="AYI15" s="20" t="n">
        <v>0</v>
      </c>
      <c r="AYJ15" s="20" t="n">
        <v>0</v>
      </c>
      <c r="AYK15" s="20" t="n">
        <v>0</v>
      </c>
      <c r="AYL15" s="20" t="n">
        <v>0</v>
      </c>
      <c r="AYM15" s="20" t="n">
        <v>0</v>
      </c>
      <c r="AYN15" s="20" t="n">
        <v>0</v>
      </c>
      <c r="AYO15" s="20" t="n">
        <v>0</v>
      </c>
      <c r="AYP15" s="20" t="n">
        <v>0</v>
      </c>
      <c r="AYQ15" s="20" t="n">
        <v>0</v>
      </c>
    </row>
    <row r="16" customFormat="false" ht="15" hidden="false" customHeight="false" outlineLevel="0" collapsed="false">
      <c r="B16" s="20" t="n">
        <v>8</v>
      </c>
      <c r="C16" s="20" t="n">
        <f aca="false">'Plan cashflow'!C16</f>
        <v>1</v>
      </c>
      <c r="D16" s="20" t="n">
        <f aca="false">'Plan cashflow'!D16</f>
        <v>46</v>
      </c>
      <c r="E16" s="20" t="n">
        <f aca="false">AS_Year0+8</f>
        <v>2034</v>
      </c>
      <c r="F16" s="50" t="n">
        <f aca="false">'Plan cashflow'!F16</f>
        <v>1.17165938100227</v>
      </c>
      <c r="G16" s="59" t="n">
        <f aca="true">IF(MAX(TODAY(),DATE(E16,1,1))&gt;=H_CGTfrom,H_CGT1,H_CGT0)</f>
        <v>0.31</v>
      </c>
      <c r="H16" s="20" t="n">
        <f aca="false">H_Exempt*H_Persons</f>
        <v>1270</v>
      </c>
      <c r="I16" s="20" t="n">
        <f aca="false">AX15</f>
        <v>0</v>
      </c>
      <c r="J16" s="60" t="n">
        <f aca="false">BF15</f>
        <v>0</v>
      </c>
      <c r="K16" s="60" t="n">
        <f aca="false">BG15</f>
        <v>0</v>
      </c>
      <c r="L16" s="20" t="n">
        <f aca="false">IF(AND(In_polLump&gt;0,In_polLumpAge&gt;0,D16=In_polLumpAge),In_polLump,0)</f>
        <v>0</v>
      </c>
      <c r="M16" s="20" t="n">
        <f aca="false">IF(AND(In_homeUse="Yes, I'd downsize",In_downAge&gt;0,D16=In_downAge,OR(In_home="Own outright",In_home="Own with mortgage"),In_homeValue&gt;0),MAX(0,MAX(0,In_homeValue-In_downValue)*F16*0.9-'Plan cashflow'!HR15),0)</f>
        <v>0</v>
      </c>
      <c r="N16" s="20" t="n">
        <f aca="false">'Plan pay &amp; tax'!Y242</f>
        <v>0</v>
      </c>
      <c r="O16" s="20" t="n">
        <f aca="false">L16+M16+(1-H_Sh)*N16</f>
        <v>0</v>
      </c>
      <c r="P16" s="20" t="n">
        <f aca="false">H_Sh*N16</f>
        <v>0</v>
      </c>
      <c r="Q16" s="20" t="n">
        <f aca="false">'Plan cashflow'!UL16</f>
        <v>0</v>
      </c>
      <c r="R16" s="20" t="n">
        <f aca="false">(1-H_Sh)*Q16</f>
        <v>0</v>
      </c>
      <c r="S16" s="20" t="n">
        <f aca="false">H_Sh*Q16</f>
        <v>0</v>
      </c>
      <c r="T16" s="20" t="n">
        <f aca="false">J16+K16+O16</f>
        <v>0</v>
      </c>
      <c r="U16" s="20" t="n">
        <f aca="false">T16+R16</f>
        <v>0</v>
      </c>
      <c r="V16" s="60" t="n">
        <f aca="false">SUM(FE16:IQ16)</f>
        <v>0</v>
      </c>
      <c r="W16" s="60" t="n">
        <f aca="false">IF(AJ16&lt;=0,0,IF(AL16&lt;=0,AJ16,AJ16-G16*MAX(0,AL16*AJ16-(AY16+AZ16))))</f>
        <v>0</v>
      </c>
      <c r="X16" s="60" t="n">
        <f aca="false">IF(AR16&lt;=0,0,IF(AT16&lt;=0,AR16,AR16-G16*MAX(0,AT16*AR16-(BA16+BB16))))</f>
        <v>0</v>
      </c>
      <c r="Y16" s="60" t="n">
        <f aca="false">T16+V16-S16+W16+X16</f>
        <v>0</v>
      </c>
      <c r="Z16" s="60" t="n">
        <f aca="false">'Plan cashflow'!UK16</f>
        <v>0</v>
      </c>
      <c r="AA16" s="20" t="n">
        <f aca="false">MIN(Z16,U16)</f>
        <v>0</v>
      </c>
      <c r="AB16" s="20" t="n">
        <f aca="false">Z16-AA16</f>
        <v>0</v>
      </c>
      <c r="AC16" s="20" t="n">
        <f aca="false">MIN(AA16,J16+O16+R16)</f>
        <v>0</v>
      </c>
      <c r="AD16" s="20" t="n">
        <f aca="false">AA16-AC16</f>
        <v>0</v>
      </c>
      <c r="AE16" s="20" t="n">
        <f aca="false">J16+O16+R16-AC16</f>
        <v>0</v>
      </c>
      <c r="AF16" s="20" t="n">
        <f aca="false">K16-AD16</f>
        <v>0</v>
      </c>
      <c r="AG16" s="20" t="n">
        <f aca="false">SUM(PR16:TD16)</f>
        <v>0</v>
      </c>
      <c r="AH16" s="20" t="n">
        <f aca="false">SUM(TE16:WQ16)</f>
        <v>0</v>
      </c>
      <c r="AI16" s="20" t="n">
        <f aca="false">MAX(0,AB16-AG16)</f>
        <v>0</v>
      </c>
      <c r="AJ16" s="57" t="n">
        <f aca="false">BI15</f>
        <v>0</v>
      </c>
      <c r="AK16" s="20" t="n">
        <f aca="false">BJ15</f>
        <v>0</v>
      </c>
      <c r="AL16" s="20" t="n">
        <f aca="false">IF(AJ16&gt;0,(AJ16-AK16)/AJ16,0)</f>
        <v>0</v>
      </c>
      <c r="AM16" s="20" t="n">
        <f aca="false">IF(AJ16&lt;=0,0,IF(AL16&lt;=0,MIN(AI16,AJ16),MIN(AI16,AJ16-G16*MAX(0,AL16*AJ16-(AAD16+ADQ16)))))</f>
        <v>0</v>
      </c>
      <c r="AN16" s="20" t="n">
        <f aca="false">IF(AJ16&lt;=0,0,IF(AL16&lt;=0,AM16,IF(AM16&lt;=(AAD16+ADQ16)/AL16,AM16,(AM16-G16*(AAD16+ADQ16))/(1-G16*AL16))))</f>
        <v>0</v>
      </c>
      <c r="AO16" s="20" t="n">
        <f aca="false">IF(AL16&gt;0,MAX(0,AAD16-(MIN(AL16*AN16,(AAD16+ADQ16))-MIN(MIN(AL16*AN16,(AAD16+ADQ16)),ADQ16))),AAD16)</f>
        <v>1270</v>
      </c>
      <c r="AP16" s="20" t="n">
        <f aca="false">IF(AL16&lt;=0,ADQ16-AL16*AN16,ADQ16-MIN(MIN(AL16*AN16,(AAD16+ADQ16)),ADQ16))</f>
        <v>0</v>
      </c>
      <c r="AQ16" s="20" t="n">
        <f aca="false">MAX(0,AI16-AM16)</f>
        <v>0</v>
      </c>
      <c r="AR16" s="57" t="n">
        <f aca="false">BK15</f>
        <v>0</v>
      </c>
      <c r="AS16" s="20" t="n">
        <f aca="false">BL15</f>
        <v>0</v>
      </c>
      <c r="AT16" s="20" t="n">
        <f aca="false">IF(AR16&gt;0,(AR16-AS16)/AR16,0)</f>
        <v>0</v>
      </c>
      <c r="AU16" s="20" t="n">
        <f aca="false">IF(AR16&lt;=0,0,IF(AT16&lt;=0,MIN(AQ16,AR16),MIN(AQ16,AR16-G16*MAX(0,AT16*AR16-(AO16+AP16)))))</f>
        <v>0</v>
      </c>
      <c r="AV16" s="20" t="n">
        <f aca="false">IF(AR16&lt;=0,0,IF(AT16&lt;=0,AU16,IF(AU16&lt;=(AO16+AP16)/AT16,AU16,(AU16-G16*(AO16+AP16))/(1-G16*AT16))))</f>
        <v>0</v>
      </c>
      <c r="AW16" s="20" t="n">
        <f aca="false">IF(AT16&gt;0,MAX(0,AO16-(MIN(AT16*AV16,(AO16+AP16))-MIN(MIN(AT16*AV16,(AO16+AP16)),AP16))),AO16)</f>
        <v>1270</v>
      </c>
      <c r="AX16" s="20" t="n">
        <f aca="false">IF(AT16&lt;=0,AP16-AT16*AV16,AP16-MIN(MIN(AT16*AV16,(AO16+AP16)),AP16))</f>
        <v>0</v>
      </c>
      <c r="AY16" s="20" t="n">
        <f aca="false">MD16</f>
        <v>1270</v>
      </c>
      <c r="AZ16" s="20" t="n">
        <f aca="false">PQ16</f>
        <v>0</v>
      </c>
      <c r="BA16" s="20" t="n">
        <f aca="false">IF(AL16&gt;0,MAX(0,AY16-(MIN(AL16*AJ16,AY16+AZ16)-MIN(MIN(AL16*AJ16,AY16+AZ16),AZ16))),AY16)</f>
        <v>1270</v>
      </c>
      <c r="BB16" s="20" t="n">
        <f aca="false">IF(AL16&lt;=0,AZ16-AL16*AJ16,AZ16-MIN(MIN(AL16*AJ16,AY16+AZ16),AZ16))</f>
        <v>0</v>
      </c>
      <c r="BC16" s="20" t="n">
        <f aca="false">'Plan cashflow'!UM16</f>
        <v>0</v>
      </c>
      <c r="BD16" s="20" t="n">
        <f aca="false">(1-H_Sh)*BC16</f>
        <v>0</v>
      </c>
      <c r="BE16" s="20" t="n">
        <f aca="false">H_Sh*BC16</f>
        <v>0</v>
      </c>
      <c r="BF16" s="60" t="n">
        <f aca="false">(AE16+BD16)*(1+AS_Cash)</f>
        <v>0</v>
      </c>
      <c r="BG16" s="60" t="n">
        <f aca="false">AF16*(1+AS_Cash)</f>
        <v>0</v>
      </c>
      <c r="BH16" s="60" t="n">
        <f aca="false">SUM(AKR16:AOD16)</f>
        <v>0</v>
      </c>
      <c r="BI16" s="60" t="n">
        <f aca="false">(AJ16-AN16)*(1+AS_Infl)</f>
        <v>0</v>
      </c>
      <c r="BJ16" s="20" t="n">
        <f aca="false">IF(AJ16&gt;0,AK16-AK16*AN16/AJ16,0)</f>
        <v>0</v>
      </c>
      <c r="BK16" s="60" t="n">
        <f aca="false">(AR16-AV16)*(1+BQ16)</f>
        <v>0</v>
      </c>
      <c r="BL16" s="20" t="n">
        <f aca="false">IF(AR16&gt;0,AS16-AS16*AV16/AR16,0)</f>
        <v>0</v>
      </c>
      <c r="BM16" s="60" t="n">
        <f aca="false">BF16+BG16+BH16+BI16+BK16</f>
        <v>0</v>
      </c>
      <c r="BN16" s="60" t="n">
        <f aca="false">(AH16-AG16)+(AN16-AM16)+(AV16-AU16)</f>
        <v>0</v>
      </c>
      <c r="BO16" s="20" t="n">
        <f aca="false">(AE16+BD16+AF16+MAX(0,'Plan cashflow'!QH16)+IF(Slot1_Rate=AS_Cash,'Plan cashflow'!QM16/(1+AS_Cash),0)+IF(Slot2_Rate=AS_Cash,'Plan cashflow'!QQ16/(1+AS_Cash),0)+IF(Slot3_Rate=AS_Cash,'Plan cashflow'!QU16/(1+AS_Cash),0)+IF(Slot4_Rate=AS_Cash,'Plan cashflow'!QY16/(1+AS_Cash),0)+IF(Slot5_Rate=AS_Cash,'Plan cashflow'!RC16/(1+AS_Cash),0)+IF(Slot6_Rate=AS_Cash,'Plan cashflow'!RG16/(1+AS_Cash),0)+IF(Slot7_Rate=AS_Cash,'Plan cashflow'!RK16/(1+AS_Cash),0)+IF(Slot8_Rate=AS_Cash,'Plan cashflow'!RO16/(1+AS_Cash),0)+IF(Slot9_Rate=AS_Cash,'Plan cashflow'!RS16/(1+AS_Cash),0)+IF(Slot10_Rate=AS_Cash,'Plan cashflow'!RW16/(1+AS_Cash),0)+IF(Slot11_Rate=AS_Cash,'Plan cashflow'!SA16/(1+AS_Cash),0)+IF(Slot12_Rate=AS_Cash,'Plan cashflow'!SE16/(1+AS_Cash),0)+IF(Slot13_Rate=AS_Cash,'Plan cashflow'!SI16/(1+AS_Cash),0)+IF(Slot14_Rate=AS_Cash,'Plan cashflow'!SM16/(1+AS_Cash),0)+IF(Slot15_Rate=AS_Cash,'Plan cashflow'!SQ16/(1+AS_Cash),0)+IF(Slot16_Rate=AS_Cash,'Plan cashflow'!SU16/(1+AS_Cash),0)+IF(Slot17_Rate=AS_Cash,'Plan cashflow'!SY16/(1+AS_Cash),0)+IF(Slot18_Rate=AS_Cash,'Plan cashflow'!TC16/(1+AS_Cash),0)+IF(Slot19_Rate=AS_Cash,'Plan cashflow'!TG16/(1+AS_Cash),0)+IF(Slot20_Rate=AS_Cash,'Plan cashflow'!TK16/(1+AS_Cash),0))*AS_Cash*H_DIRT/(1-H_DIRT)</f>
        <v>59.4908482469127</v>
      </c>
      <c r="BP16" s="60" t="n">
        <f aca="false">SUM(AVE16:AYQ16)</f>
        <v>0</v>
      </c>
      <c r="BQ16" s="54" t="n">
        <f aca="false">IF(H_TaxEvt=1,H_InvG,AS_Inv)</f>
        <v>0.04</v>
      </c>
      <c r="BR16" s="20" t="n">
        <f aca="false">IF(AKR15&gt;0,(AKR15-AOE15)/AKR15,0)</f>
        <v>0</v>
      </c>
      <c r="BS16" s="20" t="n">
        <f aca="false">IF(AKS15&gt;0,(AKS15-AOF15)/AKS15,0)</f>
        <v>0</v>
      </c>
      <c r="BT16" s="20" t="n">
        <f aca="false">IF(AKT15&gt;0,(AKT15-AOG15)/AKT15,0)</f>
        <v>0</v>
      </c>
      <c r="BU16" s="20" t="n">
        <f aca="false">IF(AKU15&gt;0,(AKU15-AOH15)/AKU15,0)</f>
        <v>0</v>
      </c>
      <c r="BV16" s="20" t="n">
        <f aca="false">IF(AKV15&gt;0,(AKV15-AOI15)/AKV15,0)</f>
        <v>0</v>
      </c>
      <c r="BW16" s="20" t="n">
        <f aca="false">IF(AKW15&gt;0,(AKW15-AOJ15)/AKW15,0)</f>
        <v>0</v>
      </c>
      <c r="BX16" s="20" t="n">
        <f aca="false">IF(AKX15&gt;0,(AKX15-AOK15)/AKX15,0)</f>
        <v>0</v>
      </c>
      <c r="BY16" s="20" t="n">
        <f aca="false">IF(AKY15&gt;0,(AKY15-AOL15)/AKY15,0)</f>
        <v>0</v>
      </c>
      <c r="BZ16" s="20" t="n">
        <f aca="false">IF(AKZ15&gt;0,(AKZ15-AOM15)/AKZ15,0)</f>
        <v>0</v>
      </c>
      <c r="CA16" s="20" t="n">
        <f aca="false">IF((P16+S16)&gt;0,((P16+S16)-(P16+S16))/(P16+S16),0)</f>
        <v>0</v>
      </c>
      <c r="CB16" s="20" t="n">
        <v>0</v>
      </c>
      <c r="CC16" s="20" t="n">
        <v>0</v>
      </c>
      <c r="CD16" s="20" t="n">
        <v>0</v>
      </c>
      <c r="CE16" s="20" t="n">
        <v>0</v>
      </c>
      <c r="CF16" s="20" t="n">
        <v>0</v>
      </c>
      <c r="CG16" s="20" t="n">
        <v>0</v>
      </c>
      <c r="CH16" s="20" t="n">
        <v>0</v>
      </c>
      <c r="CI16" s="20" t="n">
        <v>0</v>
      </c>
      <c r="CJ16" s="20" t="n">
        <v>0</v>
      </c>
      <c r="CK16" s="20" t="n">
        <v>0</v>
      </c>
      <c r="CL16" s="20" t="n">
        <v>0</v>
      </c>
      <c r="CM16" s="20" t="n">
        <v>0</v>
      </c>
      <c r="CN16" s="20" t="n">
        <v>0</v>
      </c>
      <c r="CO16" s="20" t="n">
        <v>0</v>
      </c>
      <c r="CP16" s="20" t="n">
        <v>0</v>
      </c>
      <c r="CQ16" s="20" t="n">
        <v>0</v>
      </c>
      <c r="CR16" s="20" t="n">
        <v>0</v>
      </c>
      <c r="CS16" s="20" t="n">
        <v>0</v>
      </c>
      <c r="CT16" s="20" t="n">
        <v>0</v>
      </c>
      <c r="CU16" s="20" t="n">
        <v>0</v>
      </c>
      <c r="CV16" s="20" t="n">
        <v>0</v>
      </c>
      <c r="CW16" s="20" t="n">
        <v>0</v>
      </c>
      <c r="CX16" s="20" t="n">
        <v>0</v>
      </c>
      <c r="CY16" s="20" t="n">
        <v>0</v>
      </c>
      <c r="CZ16" s="20" t="n">
        <v>0</v>
      </c>
      <c r="DA16" s="20" t="n">
        <v>0</v>
      </c>
      <c r="DB16" s="20" t="n">
        <v>0</v>
      </c>
      <c r="DC16" s="20" t="n">
        <v>0</v>
      </c>
      <c r="DD16" s="20" t="n">
        <v>0</v>
      </c>
      <c r="DE16" s="20" t="n">
        <v>0</v>
      </c>
      <c r="DF16" s="20" t="n">
        <v>0</v>
      </c>
      <c r="DG16" s="20" t="n">
        <v>0</v>
      </c>
      <c r="DH16" s="20" t="n">
        <v>0</v>
      </c>
      <c r="DI16" s="20" t="n">
        <v>0</v>
      </c>
      <c r="DJ16" s="20" t="n">
        <v>0</v>
      </c>
      <c r="DK16" s="20" t="n">
        <v>0</v>
      </c>
      <c r="DL16" s="20" t="n">
        <v>0</v>
      </c>
      <c r="DM16" s="20" t="n">
        <v>0</v>
      </c>
      <c r="DN16" s="20" t="n">
        <v>0</v>
      </c>
      <c r="DO16" s="20" t="n">
        <v>0</v>
      </c>
      <c r="DP16" s="20" t="n">
        <v>0</v>
      </c>
      <c r="DQ16" s="20" t="n">
        <v>0</v>
      </c>
      <c r="DR16" s="20" t="n">
        <v>0</v>
      </c>
      <c r="DS16" s="20" t="n">
        <v>0</v>
      </c>
      <c r="DT16" s="20" t="n">
        <v>0</v>
      </c>
      <c r="DU16" s="20" t="n">
        <v>0</v>
      </c>
      <c r="DV16" s="20" t="n">
        <v>0</v>
      </c>
      <c r="DW16" s="20" t="n">
        <v>0</v>
      </c>
      <c r="DX16" s="20" t="n">
        <v>0</v>
      </c>
      <c r="DY16" s="20" t="n">
        <v>0</v>
      </c>
      <c r="DZ16" s="20" t="n">
        <v>0</v>
      </c>
      <c r="EA16" s="20" t="n">
        <v>0</v>
      </c>
      <c r="EB16" s="20" t="n">
        <v>0</v>
      </c>
      <c r="EC16" s="20" t="n">
        <v>0</v>
      </c>
      <c r="ED16" s="20" t="n">
        <v>0</v>
      </c>
      <c r="EE16" s="20" t="n">
        <v>0</v>
      </c>
      <c r="EF16" s="20" t="n">
        <v>0</v>
      </c>
      <c r="EG16" s="20" t="n">
        <v>0</v>
      </c>
      <c r="EH16" s="20" t="n">
        <v>0</v>
      </c>
      <c r="EI16" s="20" t="n">
        <v>0</v>
      </c>
      <c r="EJ16" s="20" t="n">
        <v>0</v>
      </c>
      <c r="EK16" s="20" t="n">
        <v>0</v>
      </c>
      <c r="EL16" s="20" t="n">
        <v>0</v>
      </c>
      <c r="EM16" s="20" t="n">
        <v>0</v>
      </c>
      <c r="EN16" s="20" t="n">
        <v>0</v>
      </c>
      <c r="EO16" s="20" t="n">
        <v>0</v>
      </c>
      <c r="EP16" s="20" t="n">
        <v>0</v>
      </c>
      <c r="EQ16" s="20" t="n">
        <v>0</v>
      </c>
      <c r="ER16" s="20" t="n">
        <v>0</v>
      </c>
      <c r="ES16" s="20" t="n">
        <v>0</v>
      </c>
      <c r="ET16" s="20" t="n">
        <v>0</v>
      </c>
      <c r="EU16" s="20" t="n">
        <v>0</v>
      </c>
      <c r="EV16" s="20" t="n">
        <v>0</v>
      </c>
      <c r="EW16" s="20" t="n">
        <v>0</v>
      </c>
      <c r="EX16" s="20" t="n">
        <v>0</v>
      </c>
      <c r="EY16" s="20" t="n">
        <v>0</v>
      </c>
      <c r="EZ16" s="20" t="n">
        <v>0</v>
      </c>
      <c r="FA16" s="20" t="n">
        <v>0</v>
      </c>
      <c r="FB16" s="20" t="n">
        <v>0</v>
      </c>
      <c r="FC16" s="20" t="n">
        <v>0</v>
      </c>
      <c r="FD16" s="20" t="n">
        <v>0</v>
      </c>
      <c r="FE16" s="20" t="n">
        <f aca="false">IF(H_Direct=1,IF(AKR15&lt;=0,0,IF(BR16&lt;=0,AKR15,AKR15-G16*MAX(0,BR16*AKR15-(H16+I16)))),AKR15*(1-MAX(0,BR16)*H_Exit))</f>
        <v>0</v>
      </c>
      <c r="FF16" s="20" t="n">
        <f aca="false">IF(H_Direct=1,IF(AKS15&lt;=0,0,IF(BS16&lt;=0,AKS15,AKS15-G16*MAX(0,BS16*AKS15-(IR16+ME16)))),AKS15*(1-MAX(0,BS16)*H_Exit))</f>
        <v>0</v>
      </c>
      <c r="FG16" s="20" t="n">
        <f aca="false">IF(H_Direct=1,IF(AKT15&lt;=0,0,IF(BT16&lt;=0,AKT15,AKT15-G16*MAX(0,BT16*AKT15-(IS16+MF16)))),AKT15*(1-MAX(0,BT16)*H_Exit))</f>
        <v>0</v>
      </c>
      <c r="FH16" s="20" t="n">
        <f aca="false">IF(H_Direct=1,IF(AKU15&lt;=0,0,IF(BU16&lt;=0,AKU15,AKU15-G16*MAX(0,BU16*AKU15-(IT16+MG16)))),AKU15*(1-MAX(0,BU16)*H_Exit))</f>
        <v>0</v>
      </c>
      <c r="FI16" s="20" t="n">
        <f aca="false">IF(H_Direct=1,IF(AKV15&lt;=0,0,IF(BV16&lt;=0,AKV15,AKV15-G16*MAX(0,BV16*AKV15-(IU16+MH16)))),AKV15*(1-MAX(0,BV16)*H_Exit))</f>
        <v>0</v>
      </c>
      <c r="FJ16" s="20" t="n">
        <f aca="false">IF(H_Direct=1,IF(AKW15&lt;=0,0,IF(BW16&lt;=0,AKW15,AKW15-G16*MAX(0,BW16*AKW15-(IV16+MI16)))),AKW15*(1-MAX(0,BW16)*H_Exit))</f>
        <v>0</v>
      </c>
      <c r="FK16" s="20" t="n">
        <f aca="false">IF(H_Direct=1,IF(AKX15&lt;=0,0,IF(BX16&lt;=0,AKX15,AKX15-G16*MAX(0,BX16*AKX15-(IW16+MJ16)))),AKX15*(1-MAX(0,BX16)*H_Exit))</f>
        <v>0</v>
      </c>
      <c r="FL16" s="20" t="n">
        <f aca="false">IF(H_Direct=1,IF(AKY15&lt;=0,0,IF(BY16&lt;=0,AKY15,AKY15-G16*MAX(0,BY16*AKY15-(IX16+MK16)))),AKY15*(1-MAX(0,BY16)*H_Exit))</f>
        <v>0</v>
      </c>
      <c r="FM16" s="20" t="n">
        <f aca="false">IF(H_Direct=1,IF(AKZ15&lt;=0,0,IF(BZ16&lt;=0,AKZ15,AKZ15-G16*MAX(0,BZ16*AKZ15-(IY16+ML16)))),AKZ15*(1-MAX(0,BZ16)*H_Exit))</f>
        <v>0</v>
      </c>
      <c r="FN16" s="20" t="n">
        <f aca="false">IF(H_Direct=1,IF((P16+S16)&lt;=0,0,IF(CA16&lt;=0,(P16+S16),(P16+S16)-G16*MAX(0,CA16*(P16+S16)-(IZ16+MM16)))),(P16+S16)*(1-MAX(0,CA16)*H_Exit))</f>
        <v>0</v>
      </c>
      <c r="FO16" s="20" t="n">
        <v>0</v>
      </c>
      <c r="FP16" s="20" t="n">
        <v>0</v>
      </c>
      <c r="FQ16" s="20" t="n">
        <v>0</v>
      </c>
      <c r="FR16" s="20" t="n">
        <v>0</v>
      </c>
      <c r="FS16" s="20" t="n">
        <v>0</v>
      </c>
      <c r="FT16" s="20" t="n">
        <v>0</v>
      </c>
      <c r="FU16" s="20" t="n">
        <v>0</v>
      </c>
      <c r="FV16" s="20" t="n">
        <v>0</v>
      </c>
      <c r="FW16" s="20" t="n">
        <v>0</v>
      </c>
      <c r="FX16" s="20" t="n">
        <v>0</v>
      </c>
      <c r="FY16" s="20" t="n">
        <v>0</v>
      </c>
      <c r="FZ16" s="20" t="n">
        <v>0</v>
      </c>
      <c r="GA16" s="20" t="n">
        <v>0</v>
      </c>
      <c r="GB16" s="20" t="n">
        <v>0</v>
      </c>
      <c r="GC16" s="20" t="n">
        <v>0</v>
      </c>
      <c r="GD16" s="20" t="n">
        <v>0</v>
      </c>
      <c r="GE16" s="20" t="n">
        <v>0</v>
      </c>
      <c r="GF16" s="20" t="n">
        <v>0</v>
      </c>
      <c r="GG16" s="20" t="n">
        <v>0</v>
      </c>
      <c r="GH16" s="20" t="n">
        <v>0</v>
      </c>
      <c r="GI16" s="20" t="n">
        <v>0</v>
      </c>
      <c r="GJ16" s="20" t="n">
        <v>0</v>
      </c>
      <c r="GK16" s="20" t="n">
        <v>0</v>
      </c>
      <c r="GL16" s="20" t="n">
        <v>0</v>
      </c>
      <c r="GM16" s="20" t="n">
        <v>0</v>
      </c>
      <c r="GN16" s="20" t="n">
        <v>0</v>
      </c>
      <c r="GO16" s="20" t="n">
        <v>0</v>
      </c>
      <c r="GP16" s="20" t="n">
        <v>0</v>
      </c>
      <c r="GQ16" s="20" t="n">
        <v>0</v>
      </c>
      <c r="GR16" s="20" t="n">
        <v>0</v>
      </c>
      <c r="GS16" s="20" t="n">
        <v>0</v>
      </c>
      <c r="GT16" s="20" t="n">
        <v>0</v>
      </c>
      <c r="GU16" s="20" t="n">
        <v>0</v>
      </c>
      <c r="GV16" s="20" t="n">
        <v>0</v>
      </c>
      <c r="GW16" s="20" t="n">
        <v>0</v>
      </c>
      <c r="GX16" s="20" t="n">
        <v>0</v>
      </c>
      <c r="GY16" s="20" t="n">
        <v>0</v>
      </c>
      <c r="GZ16" s="20" t="n">
        <v>0</v>
      </c>
      <c r="HA16" s="20" t="n">
        <v>0</v>
      </c>
      <c r="HB16" s="20" t="n">
        <v>0</v>
      </c>
      <c r="HC16" s="20" t="n">
        <v>0</v>
      </c>
      <c r="HD16" s="20" t="n">
        <v>0</v>
      </c>
      <c r="HE16" s="20" t="n">
        <v>0</v>
      </c>
      <c r="HF16" s="20" t="n">
        <v>0</v>
      </c>
      <c r="HG16" s="20" t="n">
        <v>0</v>
      </c>
      <c r="HH16" s="20" t="n">
        <v>0</v>
      </c>
      <c r="HI16" s="20" t="n">
        <v>0</v>
      </c>
      <c r="HJ16" s="20" t="n">
        <v>0</v>
      </c>
      <c r="HK16" s="20" t="n">
        <v>0</v>
      </c>
      <c r="HL16" s="20" t="n">
        <v>0</v>
      </c>
      <c r="HM16" s="20" t="n">
        <v>0</v>
      </c>
      <c r="HN16" s="20" t="n">
        <v>0</v>
      </c>
      <c r="HO16" s="20" t="n">
        <v>0</v>
      </c>
      <c r="HP16" s="20" t="n">
        <v>0</v>
      </c>
      <c r="HQ16" s="20" t="n">
        <v>0</v>
      </c>
      <c r="HR16" s="20" t="n">
        <v>0</v>
      </c>
      <c r="HS16" s="20" t="n">
        <v>0</v>
      </c>
      <c r="HT16" s="20" t="n">
        <v>0</v>
      </c>
      <c r="HU16" s="20" t="n">
        <v>0</v>
      </c>
      <c r="HV16" s="20" t="n">
        <v>0</v>
      </c>
      <c r="HW16" s="20" t="n">
        <v>0</v>
      </c>
      <c r="HX16" s="20" t="n">
        <v>0</v>
      </c>
      <c r="HY16" s="20" t="n">
        <v>0</v>
      </c>
      <c r="HZ16" s="20" t="n">
        <v>0</v>
      </c>
      <c r="IA16" s="20" t="n">
        <v>0</v>
      </c>
      <c r="IB16" s="20" t="n">
        <v>0</v>
      </c>
      <c r="IC16" s="20" t="n">
        <v>0</v>
      </c>
      <c r="ID16" s="20" t="n">
        <v>0</v>
      </c>
      <c r="IE16" s="20" t="n">
        <v>0</v>
      </c>
      <c r="IF16" s="20" t="n">
        <v>0</v>
      </c>
      <c r="IG16" s="20" t="n">
        <v>0</v>
      </c>
      <c r="IH16" s="20" t="n">
        <v>0</v>
      </c>
      <c r="II16" s="20" t="n">
        <v>0</v>
      </c>
      <c r="IJ16" s="20" t="n">
        <v>0</v>
      </c>
      <c r="IK16" s="20" t="n">
        <v>0</v>
      </c>
      <c r="IL16" s="20" t="n">
        <v>0</v>
      </c>
      <c r="IM16" s="20" t="n">
        <v>0</v>
      </c>
      <c r="IN16" s="20" t="n">
        <v>0</v>
      </c>
      <c r="IO16" s="20" t="n">
        <v>0</v>
      </c>
      <c r="IP16" s="20" t="n">
        <v>0</v>
      </c>
      <c r="IQ16" s="20" t="n">
        <v>0</v>
      </c>
      <c r="IR16" s="20" t="n">
        <f aca="false">IF(AND(H_Direct=1,BR16&gt;0),MAX(0,H16-(MIN(BR16*AKR15,H16+I16)-MIN(MIN(BR16*AKR15,H16+I16),I16))),H16)</f>
        <v>1270</v>
      </c>
      <c r="IS16" s="20" t="n">
        <f aca="false">IF(AND(H_Direct=1,BS16&gt;0),MAX(0,IR16-(MIN(BS16*AKS15,IR16+ME16)-MIN(MIN(BS16*AKS15,IR16+ME16),ME16))),IR16)</f>
        <v>1270</v>
      </c>
      <c r="IT16" s="20" t="n">
        <f aca="false">IF(AND(H_Direct=1,BT16&gt;0),MAX(0,IS16-(MIN(BT16*AKT15,IS16+MF16)-MIN(MIN(BT16*AKT15,IS16+MF16),MF16))),IS16)</f>
        <v>1270</v>
      </c>
      <c r="IU16" s="20" t="n">
        <f aca="false">IF(AND(H_Direct=1,BU16&gt;0),MAX(0,IT16-(MIN(BU16*AKU15,IT16+MG16)-MIN(MIN(BU16*AKU15,IT16+MG16),MG16))),IT16)</f>
        <v>1270</v>
      </c>
      <c r="IV16" s="20" t="n">
        <f aca="false">IF(AND(H_Direct=1,BV16&gt;0),MAX(0,IU16-(MIN(BV16*AKV15,IU16+MH16)-MIN(MIN(BV16*AKV15,IU16+MH16),MH16))),IU16)</f>
        <v>1270</v>
      </c>
      <c r="IW16" s="20" t="n">
        <f aca="false">IF(AND(H_Direct=1,BW16&gt;0),MAX(0,IV16-(MIN(BW16*AKW15,IV16+MI16)-MIN(MIN(BW16*AKW15,IV16+MI16),MI16))),IV16)</f>
        <v>1270</v>
      </c>
      <c r="IX16" s="20" t="n">
        <f aca="false">IF(AND(H_Direct=1,BX16&gt;0),MAX(0,IW16-(MIN(BX16*AKX15,IW16+MJ16)-MIN(MIN(BX16*AKX15,IW16+MJ16),MJ16))),IW16)</f>
        <v>1270</v>
      </c>
      <c r="IY16" s="20" t="n">
        <f aca="false">IF(AND(H_Direct=1,BY16&gt;0),MAX(0,IX16-(MIN(BY16*AKY15,IX16+MK16)-MIN(MIN(BY16*AKY15,IX16+MK16),MK16))),IX16)</f>
        <v>1270</v>
      </c>
      <c r="IZ16" s="20" t="n">
        <f aca="false">IF(AND(H_Direct=1,BZ16&gt;0),MAX(0,IY16-(MIN(BZ16*AKZ15,IY16+ML16)-MIN(MIN(BZ16*AKZ15,IY16+ML16),ML16))),IY16)</f>
        <v>1270</v>
      </c>
      <c r="JA16" s="20" t="n">
        <f aca="false">IF(AND(H_Direct=1,CA16&gt;0),MAX(0,IZ16-(MIN(CA16*(P16+S16),IZ16+MM16)-MIN(MIN(CA16*(P16+S16),IZ16+MM16),MM16))),IZ16)</f>
        <v>1270</v>
      </c>
      <c r="JB16" s="20" t="n">
        <f aca="false">JA16</f>
        <v>1270</v>
      </c>
      <c r="JC16" s="20" t="n">
        <f aca="false">JB16</f>
        <v>1270</v>
      </c>
      <c r="JD16" s="20" t="n">
        <f aca="false">JC16</f>
        <v>1270</v>
      </c>
      <c r="JE16" s="20" t="n">
        <f aca="false">JD16</f>
        <v>1270</v>
      </c>
      <c r="JF16" s="20" t="n">
        <f aca="false">JE16</f>
        <v>1270</v>
      </c>
      <c r="JG16" s="20" t="n">
        <f aca="false">JF16</f>
        <v>1270</v>
      </c>
      <c r="JH16" s="20" t="n">
        <f aca="false">JG16</f>
        <v>1270</v>
      </c>
      <c r="JI16" s="20" t="n">
        <f aca="false">JH16</f>
        <v>1270</v>
      </c>
      <c r="JJ16" s="20" t="n">
        <f aca="false">JI16</f>
        <v>1270</v>
      </c>
      <c r="JK16" s="20" t="n">
        <f aca="false">JJ16</f>
        <v>1270</v>
      </c>
      <c r="JL16" s="20" t="n">
        <f aca="false">JK16</f>
        <v>1270</v>
      </c>
      <c r="JM16" s="20" t="n">
        <f aca="false">JL16</f>
        <v>1270</v>
      </c>
      <c r="JN16" s="20" t="n">
        <f aca="false">JM16</f>
        <v>1270</v>
      </c>
      <c r="JO16" s="20" t="n">
        <f aca="false">JN16</f>
        <v>1270</v>
      </c>
      <c r="JP16" s="20" t="n">
        <f aca="false">JO16</f>
        <v>1270</v>
      </c>
      <c r="JQ16" s="20" t="n">
        <f aca="false">JP16</f>
        <v>1270</v>
      </c>
      <c r="JR16" s="20" t="n">
        <f aca="false">JQ16</f>
        <v>1270</v>
      </c>
      <c r="JS16" s="20" t="n">
        <f aca="false">JR16</f>
        <v>1270</v>
      </c>
      <c r="JT16" s="20" t="n">
        <f aca="false">JS16</f>
        <v>1270</v>
      </c>
      <c r="JU16" s="20" t="n">
        <f aca="false">JT16</f>
        <v>1270</v>
      </c>
      <c r="JV16" s="20" t="n">
        <f aca="false">JU16</f>
        <v>1270</v>
      </c>
      <c r="JW16" s="20" t="n">
        <f aca="false">JV16</f>
        <v>1270</v>
      </c>
      <c r="JX16" s="20" t="n">
        <f aca="false">JW16</f>
        <v>1270</v>
      </c>
      <c r="JY16" s="20" t="n">
        <f aca="false">JX16</f>
        <v>1270</v>
      </c>
      <c r="JZ16" s="20" t="n">
        <f aca="false">JY16</f>
        <v>1270</v>
      </c>
      <c r="KA16" s="20" t="n">
        <f aca="false">JZ16</f>
        <v>1270</v>
      </c>
      <c r="KB16" s="20" t="n">
        <f aca="false">KA16</f>
        <v>1270</v>
      </c>
      <c r="KC16" s="20" t="n">
        <f aca="false">KB16</f>
        <v>1270</v>
      </c>
      <c r="KD16" s="20" t="n">
        <f aca="false">KC16</f>
        <v>1270</v>
      </c>
      <c r="KE16" s="20" t="n">
        <f aca="false">KD16</f>
        <v>1270</v>
      </c>
      <c r="KF16" s="20" t="n">
        <f aca="false">KE16</f>
        <v>1270</v>
      </c>
      <c r="KG16" s="20" t="n">
        <f aca="false">KF16</f>
        <v>1270</v>
      </c>
      <c r="KH16" s="20" t="n">
        <f aca="false">KG16</f>
        <v>1270</v>
      </c>
      <c r="KI16" s="20" t="n">
        <f aca="false">KH16</f>
        <v>1270</v>
      </c>
      <c r="KJ16" s="20" t="n">
        <f aca="false">KI16</f>
        <v>1270</v>
      </c>
      <c r="KK16" s="20" t="n">
        <f aca="false">KJ16</f>
        <v>1270</v>
      </c>
      <c r="KL16" s="20" t="n">
        <f aca="false">KK16</f>
        <v>1270</v>
      </c>
      <c r="KM16" s="20" t="n">
        <f aca="false">KL16</f>
        <v>1270</v>
      </c>
      <c r="KN16" s="20" t="n">
        <f aca="false">KM16</f>
        <v>1270</v>
      </c>
      <c r="KO16" s="20" t="n">
        <f aca="false">KN16</f>
        <v>1270</v>
      </c>
      <c r="KP16" s="20" t="n">
        <f aca="false">KO16</f>
        <v>1270</v>
      </c>
      <c r="KQ16" s="20" t="n">
        <f aca="false">KP16</f>
        <v>1270</v>
      </c>
      <c r="KR16" s="20" t="n">
        <f aca="false">KQ16</f>
        <v>1270</v>
      </c>
      <c r="KS16" s="20" t="n">
        <f aca="false">KR16</f>
        <v>1270</v>
      </c>
      <c r="KT16" s="20" t="n">
        <f aca="false">KS16</f>
        <v>1270</v>
      </c>
      <c r="KU16" s="20" t="n">
        <f aca="false">KT16</f>
        <v>1270</v>
      </c>
      <c r="KV16" s="20" t="n">
        <f aca="false">KU16</f>
        <v>1270</v>
      </c>
      <c r="KW16" s="20" t="n">
        <f aca="false">KV16</f>
        <v>1270</v>
      </c>
      <c r="KX16" s="20" t="n">
        <f aca="false">KW16</f>
        <v>1270</v>
      </c>
      <c r="KY16" s="20" t="n">
        <f aca="false">KX16</f>
        <v>1270</v>
      </c>
      <c r="KZ16" s="20" t="n">
        <f aca="false">KY16</f>
        <v>1270</v>
      </c>
      <c r="LA16" s="20" t="n">
        <f aca="false">KZ16</f>
        <v>1270</v>
      </c>
      <c r="LB16" s="20" t="n">
        <f aca="false">LA16</f>
        <v>1270</v>
      </c>
      <c r="LC16" s="20" t="n">
        <f aca="false">LB16</f>
        <v>1270</v>
      </c>
      <c r="LD16" s="20" t="n">
        <f aca="false">LC16</f>
        <v>1270</v>
      </c>
      <c r="LE16" s="20" t="n">
        <f aca="false">LD16</f>
        <v>1270</v>
      </c>
      <c r="LF16" s="20" t="n">
        <f aca="false">LE16</f>
        <v>1270</v>
      </c>
      <c r="LG16" s="20" t="n">
        <f aca="false">LF16</f>
        <v>1270</v>
      </c>
      <c r="LH16" s="20" t="n">
        <f aca="false">LG16</f>
        <v>1270</v>
      </c>
      <c r="LI16" s="20" t="n">
        <f aca="false">LH16</f>
        <v>1270</v>
      </c>
      <c r="LJ16" s="20" t="n">
        <f aca="false">LI16</f>
        <v>1270</v>
      </c>
      <c r="LK16" s="20" t="n">
        <f aca="false">LJ16</f>
        <v>1270</v>
      </c>
      <c r="LL16" s="20" t="n">
        <f aca="false">LK16</f>
        <v>1270</v>
      </c>
      <c r="LM16" s="20" t="n">
        <f aca="false">LL16</f>
        <v>1270</v>
      </c>
      <c r="LN16" s="20" t="n">
        <f aca="false">LM16</f>
        <v>1270</v>
      </c>
      <c r="LO16" s="20" t="n">
        <f aca="false">LN16</f>
        <v>1270</v>
      </c>
      <c r="LP16" s="20" t="n">
        <f aca="false">LO16</f>
        <v>1270</v>
      </c>
      <c r="LQ16" s="20" t="n">
        <f aca="false">LP16</f>
        <v>1270</v>
      </c>
      <c r="LR16" s="20" t="n">
        <f aca="false">LQ16</f>
        <v>1270</v>
      </c>
      <c r="LS16" s="20" t="n">
        <f aca="false">LR16</f>
        <v>1270</v>
      </c>
      <c r="LT16" s="20" t="n">
        <f aca="false">LS16</f>
        <v>1270</v>
      </c>
      <c r="LU16" s="20" t="n">
        <f aca="false">LT16</f>
        <v>1270</v>
      </c>
      <c r="LV16" s="20" t="n">
        <f aca="false">LU16</f>
        <v>1270</v>
      </c>
      <c r="LW16" s="20" t="n">
        <f aca="false">LV16</f>
        <v>1270</v>
      </c>
      <c r="LX16" s="20" t="n">
        <f aca="false">LW16</f>
        <v>1270</v>
      </c>
      <c r="LY16" s="20" t="n">
        <f aca="false">LX16</f>
        <v>1270</v>
      </c>
      <c r="LZ16" s="20" t="n">
        <f aca="false">LY16</f>
        <v>1270</v>
      </c>
      <c r="MA16" s="20" t="n">
        <f aca="false">LZ16</f>
        <v>1270</v>
      </c>
      <c r="MB16" s="20" t="n">
        <f aca="false">MA16</f>
        <v>1270</v>
      </c>
      <c r="MC16" s="20" t="n">
        <f aca="false">MB16</f>
        <v>1270</v>
      </c>
      <c r="MD16" s="20" t="n">
        <f aca="false">MC16</f>
        <v>1270</v>
      </c>
      <c r="ME16" s="20" t="n">
        <f aca="false">IF(H_Direct=1,IF(BR16&lt;=0,I16-BR16*AKR15,I16-MIN(MIN(BR16*AKR15,H16+I16),I16)),I16)</f>
        <v>0</v>
      </c>
      <c r="MF16" s="20" t="n">
        <f aca="false">IF(H_Direct=1,IF(BS16&lt;=0,ME16-BS16*AKS15,ME16-MIN(MIN(BS16*AKS15,IR16+ME16),ME16)),ME16)</f>
        <v>0</v>
      </c>
      <c r="MG16" s="20" t="n">
        <f aca="false">IF(H_Direct=1,IF(BT16&lt;=0,MF16-BT16*AKT15,MF16-MIN(MIN(BT16*AKT15,IS16+MF16),MF16)),MF16)</f>
        <v>0</v>
      </c>
      <c r="MH16" s="20" t="n">
        <f aca="false">IF(H_Direct=1,IF(BU16&lt;=0,MG16-BU16*AKU15,MG16-MIN(MIN(BU16*AKU15,IT16+MG16),MG16)),MG16)</f>
        <v>0</v>
      </c>
      <c r="MI16" s="20" t="n">
        <f aca="false">IF(H_Direct=1,IF(BV16&lt;=0,MH16-BV16*AKV15,MH16-MIN(MIN(BV16*AKV15,IU16+MH16),MH16)),MH16)</f>
        <v>0</v>
      </c>
      <c r="MJ16" s="20" t="n">
        <f aca="false">IF(H_Direct=1,IF(BW16&lt;=0,MI16-BW16*AKW15,MI16-MIN(MIN(BW16*AKW15,IV16+MI16),MI16)),MI16)</f>
        <v>0</v>
      </c>
      <c r="MK16" s="20" t="n">
        <f aca="false">IF(H_Direct=1,IF(BX16&lt;=0,MJ16-BX16*AKX15,MJ16-MIN(MIN(BX16*AKX15,IW16+MJ16),MJ16)),MJ16)</f>
        <v>0</v>
      </c>
      <c r="ML16" s="20" t="n">
        <f aca="false">IF(H_Direct=1,IF(BY16&lt;=0,MK16-BY16*AKY15,MK16-MIN(MIN(BY16*AKY15,IX16+MK16),MK16)),MK16)</f>
        <v>0</v>
      </c>
      <c r="MM16" s="20" t="n">
        <f aca="false">IF(H_Direct=1,IF(BZ16&lt;=0,ML16-BZ16*AKZ15,ML16-MIN(MIN(BZ16*AKZ15,IY16+ML16),ML16)),ML16)</f>
        <v>0</v>
      </c>
      <c r="MN16" s="20" t="n">
        <f aca="false">IF(H_Direct=1,IF(CA16&lt;=0,MM16-CA16*(P16+S16),MM16-MIN(MIN(CA16*(P16+S16),IZ16+MM16),MM16)),MM16)</f>
        <v>0</v>
      </c>
      <c r="MO16" s="20" t="n">
        <f aca="false">MN16</f>
        <v>0</v>
      </c>
      <c r="MP16" s="20" t="n">
        <f aca="false">MO16</f>
        <v>0</v>
      </c>
      <c r="MQ16" s="20" t="n">
        <f aca="false">MP16</f>
        <v>0</v>
      </c>
      <c r="MR16" s="20" t="n">
        <f aca="false">MQ16</f>
        <v>0</v>
      </c>
      <c r="MS16" s="20" t="n">
        <f aca="false">MR16</f>
        <v>0</v>
      </c>
      <c r="MT16" s="20" t="n">
        <f aca="false">MS16</f>
        <v>0</v>
      </c>
      <c r="MU16" s="20" t="n">
        <f aca="false">MT16</f>
        <v>0</v>
      </c>
      <c r="MV16" s="20" t="n">
        <f aca="false">MU16</f>
        <v>0</v>
      </c>
      <c r="MW16" s="20" t="n">
        <f aca="false">MV16</f>
        <v>0</v>
      </c>
      <c r="MX16" s="20" t="n">
        <f aca="false">MW16</f>
        <v>0</v>
      </c>
      <c r="MY16" s="20" t="n">
        <f aca="false">MX16</f>
        <v>0</v>
      </c>
      <c r="MZ16" s="20" t="n">
        <f aca="false">MY16</f>
        <v>0</v>
      </c>
      <c r="NA16" s="20" t="n">
        <f aca="false">MZ16</f>
        <v>0</v>
      </c>
      <c r="NB16" s="20" t="n">
        <f aca="false">NA16</f>
        <v>0</v>
      </c>
      <c r="NC16" s="20" t="n">
        <f aca="false">NB16</f>
        <v>0</v>
      </c>
      <c r="ND16" s="20" t="n">
        <f aca="false">NC16</f>
        <v>0</v>
      </c>
      <c r="NE16" s="20" t="n">
        <f aca="false">ND16</f>
        <v>0</v>
      </c>
      <c r="NF16" s="20" t="n">
        <f aca="false">NE16</f>
        <v>0</v>
      </c>
      <c r="NG16" s="20" t="n">
        <f aca="false">NF16</f>
        <v>0</v>
      </c>
      <c r="NH16" s="20" t="n">
        <f aca="false">NG16</f>
        <v>0</v>
      </c>
      <c r="NI16" s="20" t="n">
        <f aca="false">NH16</f>
        <v>0</v>
      </c>
      <c r="NJ16" s="20" t="n">
        <f aca="false">NI16</f>
        <v>0</v>
      </c>
      <c r="NK16" s="20" t="n">
        <f aca="false">NJ16</f>
        <v>0</v>
      </c>
      <c r="NL16" s="20" t="n">
        <f aca="false">NK16</f>
        <v>0</v>
      </c>
      <c r="NM16" s="20" t="n">
        <f aca="false">NL16</f>
        <v>0</v>
      </c>
      <c r="NN16" s="20" t="n">
        <f aca="false">NM16</f>
        <v>0</v>
      </c>
      <c r="NO16" s="20" t="n">
        <f aca="false">NN16</f>
        <v>0</v>
      </c>
      <c r="NP16" s="20" t="n">
        <f aca="false">NO16</f>
        <v>0</v>
      </c>
      <c r="NQ16" s="20" t="n">
        <f aca="false">NP16</f>
        <v>0</v>
      </c>
      <c r="NR16" s="20" t="n">
        <f aca="false">NQ16</f>
        <v>0</v>
      </c>
      <c r="NS16" s="20" t="n">
        <f aca="false">NR16</f>
        <v>0</v>
      </c>
      <c r="NT16" s="20" t="n">
        <f aca="false">NS16</f>
        <v>0</v>
      </c>
      <c r="NU16" s="20" t="n">
        <f aca="false">NT16</f>
        <v>0</v>
      </c>
      <c r="NV16" s="20" t="n">
        <f aca="false">NU16</f>
        <v>0</v>
      </c>
      <c r="NW16" s="20" t="n">
        <f aca="false">NV16</f>
        <v>0</v>
      </c>
      <c r="NX16" s="20" t="n">
        <f aca="false">NW16</f>
        <v>0</v>
      </c>
      <c r="NY16" s="20" t="n">
        <f aca="false">NX16</f>
        <v>0</v>
      </c>
      <c r="NZ16" s="20" t="n">
        <f aca="false">NY16</f>
        <v>0</v>
      </c>
      <c r="OA16" s="20" t="n">
        <f aca="false">NZ16</f>
        <v>0</v>
      </c>
      <c r="OB16" s="20" t="n">
        <f aca="false">OA16</f>
        <v>0</v>
      </c>
      <c r="OC16" s="20" t="n">
        <f aca="false">OB16</f>
        <v>0</v>
      </c>
      <c r="OD16" s="20" t="n">
        <f aca="false">OC16</f>
        <v>0</v>
      </c>
      <c r="OE16" s="20" t="n">
        <f aca="false">OD16</f>
        <v>0</v>
      </c>
      <c r="OF16" s="20" t="n">
        <f aca="false">OE16</f>
        <v>0</v>
      </c>
      <c r="OG16" s="20" t="n">
        <f aca="false">OF16</f>
        <v>0</v>
      </c>
      <c r="OH16" s="20" t="n">
        <f aca="false">OG16</f>
        <v>0</v>
      </c>
      <c r="OI16" s="20" t="n">
        <f aca="false">OH16</f>
        <v>0</v>
      </c>
      <c r="OJ16" s="20" t="n">
        <f aca="false">OI16</f>
        <v>0</v>
      </c>
      <c r="OK16" s="20" t="n">
        <f aca="false">OJ16</f>
        <v>0</v>
      </c>
      <c r="OL16" s="20" t="n">
        <f aca="false">OK16</f>
        <v>0</v>
      </c>
      <c r="OM16" s="20" t="n">
        <f aca="false">OL16</f>
        <v>0</v>
      </c>
      <c r="ON16" s="20" t="n">
        <f aca="false">OM16</f>
        <v>0</v>
      </c>
      <c r="OO16" s="20" t="n">
        <f aca="false">ON16</f>
        <v>0</v>
      </c>
      <c r="OP16" s="20" t="n">
        <f aca="false">OO16</f>
        <v>0</v>
      </c>
      <c r="OQ16" s="20" t="n">
        <f aca="false">OP16</f>
        <v>0</v>
      </c>
      <c r="OR16" s="20" t="n">
        <f aca="false">OQ16</f>
        <v>0</v>
      </c>
      <c r="OS16" s="20" t="n">
        <f aca="false">OR16</f>
        <v>0</v>
      </c>
      <c r="OT16" s="20" t="n">
        <f aca="false">OS16</f>
        <v>0</v>
      </c>
      <c r="OU16" s="20" t="n">
        <f aca="false">OT16</f>
        <v>0</v>
      </c>
      <c r="OV16" s="20" t="n">
        <f aca="false">OU16</f>
        <v>0</v>
      </c>
      <c r="OW16" s="20" t="n">
        <f aca="false">OV16</f>
        <v>0</v>
      </c>
      <c r="OX16" s="20" t="n">
        <f aca="false">OW16</f>
        <v>0</v>
      </c>
      <c r="OY16" s="20" t="n">
        <f aca="false">OX16</f>
        <v>0</v>
      </c>
      <c r="OZ16" s="20" t="n">
        <f aca="false">OY16</f>
        <v>0</v>
      </c>
      <c r="PA16" s="20" t="n">
        <f aca="false">OZ16</f>
        <v>0</v>
      </c>
      <c r="PB16" s="20" t="n">
        <f aca="false">PA16</f>
        <v>0</v>
      </c>
      <c r="PC16" s="20" t="n">
        <f aca="false">PB16</f>
        <v>0</v>
      </c>
      <c r="PD16" s="20" t="n">
        <f aca="false">PC16</f>
        <v>0</v>
      </c>
      <c r="PE16" s="20" t="n">
        <f aca="false">PD16</f>
        <v>0</v>
      </c>
      <c r="PF16" s="20" t="n">
        <f aca="false">PE16</f>
        <v>0</v>
      </c>
      <c r="PG16" s="20" t="n">
        <f aca="false">PF16</f>
        <v>0</v>
      </c>
      <c r="PH16" s="20" t="n">
        <f aca="false">PG16</f>
        <v>0</v>
      </c>
      <c r="PI16" s="20" t="n">
        <f aca="false">PH16</f>
        <v>0</v>
      </c>
      <c r="PJ16" s="20" t="n">
        <f aca="false">PI16</f>
        <v>0</v>
      </c>
      <c r="PK16" s="20" t="n">
        <f aca="false">PJ16</f>
        <v>0</v>
      </c>
      <c r="PL16" s="20" t="n">
        <f aca="false">PK16</f>
        <v>0</v>
      </c>
      <c r="PM16" s="20" t="n">
        <f aca="false">PL16</f>
        <v>0</v>
      </c>
      <c r="PN16" s="20" t="n">
        <f aca="false">PM16</f>
        <v>0</v>
      </c>
      <c r="PO16" s="20" t="n">
        <f aca="false">PN16</f>
        <v>0</v>
      </c>
      <c r="PP16" s="20" t="n">
        <f aca="false">PO16</f>
        <v>0</v>
      </c>
      <c r="PQ16" s="20" t="n">
        <f aca="false">PP16</f>
        <v>0</v>
      </c>
      <c r="PR16" s="20" t="n">
        <f aca="false">IF(H_Direct=1,IF(AKR15&lt;=0,0,IF(BR16&lt;=0,MIN(MAX(0,AB16),AKR15),MIN(MAX(0,AB16),AKR15-G16*MAX(0,BR16*AKR15-(H16+I16))))),MIN(FE16,MAX(0,AB16)))</f>
        <v>0</v>
      </c>
      <c r="PS16" s="20" t="n">
        <f aca="false">IF(H_Direct=1,IF(AKS15&lt;=0,0,IF(BS16&lt;=0,MIN(MAX(0,AB16-SUM(PR16:PR16)),AKS15),MIN(MAX(0,AB16-SUM(PR16:PR16)),AKS15-G16*MAX(0,BS16*AKS15-(WR16+AAE16))))),MIN(FF16,MAX(0,AB16-SUM(PR16:PR16))))</f>
        <v>0</v>
      </c>
      <c r="PT16" s="20" t="n">
        <f aca="false">IF(H_Direct=1,IF(AKT15&lt;=0,0,IF(BT16&lt;=0,MIN(MAX(0,AB16-SUM(PR16:PS16)),AKT15),MIN(MAX(0,AB16-SUM(PR16:PS16)),AKT15-G16*MAX(0,BT16*AKT15-(WS16+AAF16))))),MIN(FG16,MAX(0,AB16-SUM(PR16:PS16))))</f>
        <v>0</v>
      </c>
      <c r="PU16" s="20" t="n">
        <f aca="false">IF(H_Direct=1,IF(AKU15&lt;=0,0,IF(BU16&lt;=0,MIN(MAX(0,AB16-SUM(PR16:PT16)),AKU15),MIN(MAX(0,AB16-SUM(PR16:PT16)),AKU15-G16*MAX(0,BU16*AKU15-(WT16+AAG16))))),MIN(FH16,MAX(0,AB16-SUM(PR16:PT16))))</f>
        <v>0</v>
      </c>
      <c r="PV16" s="20" t="n">
        <f aca="false">IF(H_Direct=1,IF(AKV15&lt;=0,0,IF(BV16&lt;=0,MIN(MAX(0,AB16-SUM(PR16:PU16)),AKV15),MIN(MAX(0,AB16-SUM(PR16:PU16)),AKV15-G16*MAX(0,BV16*AKV15-(WU16+AAH16))))),MIN(FI16,MAX(0,AB16-SUM(PR16:PU16))))</f>
        <v>0</v>
      </c>
      <c r="PW16" s="20" t="n">
        <f aca="false">IF(H_Direct=1,IF(AKW15&lt;=0,0,IF(BW16&lt;=0,MIN(MAX(0,AB16-SUM(PR16:PV16)),AKW15),MIN(MAX(0,AB16-SUM(PR16:PV16)),AKW15-G16*MAX(0,BW16*AKW15-(WV16+AAI16))))),MIN(FJ16,MAX(0,AB16-SUM(PR16:PV16))))</f>
        <v>0</v>
      </c>
      <c r="PX16" s="20" t="n">
        <f aca="false">IF(H_Direct=1,IF(AKX15&lt;=0,0,IF(BX16&lt;=0,MIN(MAX(0,AB16-SUM(PR16:PW16)),AKX15),MIN(MAX(0,AB16-SUM(PR16:PW16)),AKX15-G16*MAX(0,BX16*AKX15-(WW16+AAJ16))))),MIN(FK16,MAX(0,AB16-SUM(PR16:PW16))))</f>
        <v>0</v>
      </c>
      <c r="PY16" s="20" t="n">
        <f aca="false">IF(H_Direct=1,IF(AKY15&lt;=0,0,IF(BY16&lt;=0,MIN(MAX(0,AB16-SUM(PR16:PX16)),AKY15),MIN(MAX(0,AB16-SUM(PR16:PX16)),AKY15-G16*MAX(0,BY16*AKY15-(WX16+AAK16))))),MIN(FL16,MAX(0,AB16-SUM(PR16:PX16))))</f>
        <v>0</v>
      </c>
      <c r="PZ16" s="20" t="n">
        <f aca="false">IF(H_Direct=1,IF(AKZ15&lt;=0,0,IF(BZ16&lt;=0,MIN(MAX(0,AB16-SUM(PR16:PY16)),AKZ15),MIN(MAX(0,AB16-SUM(PR16:PY16)),AKZ15-G16*MAX(0,BZ16*AKZ15-(WY16+AAL16))))),MIN(FM16,MAX(0,AB16-SUM(PR16:PY16))))</f>
        <v>0</v>
      </c>
      <c r="QA16" s="20" t="n">
        <f aca="false">IF(H_Direct=1,IF((P16+S16)&lt;=0,0,IF(CA16&lt;=0,MIN(MAX(0,AB16-SUM(PR16:PZ16)),(P16+S16)),MIN(MAX(0,AB16-SUM(PR16:PZ16)),(P16+S16)-G16*MAX(0,CA16*(P16+S16)-(WZ16+AAM16))))),MIN(FN16,MAX(0,AB16-SUM(PR16:PZ16))))</f>
        <v>0</v>
      </c>
      <c r="QB16" s="20" t="n">
        <v>0</v>
      </c>
      <c r="QC16" s="20" t="n">
        <v>0</v>
      </c>
      <c r="QD16" s="20" t="n">
        <v>0</v>
      </c>
      <c r="QE16" s="20" t="n">
        <v>0</v>
      </c>
      <c r="QF16" s="20" t="n">
        <v>0</v>
      </c>
      <c r="QG16" s="20" t="n">
        <v>0</v>
      </c>
      <c r="QH16" s="20" t="n">
        <v>0</v>
      </c>
      <c r="QI16" s="20" t="n">
        <v>0</v>
      </c>
      <c r="QJ16" s="20" t="n">
        <v>0</v>
      </c>
      <c r="QK16" s="20" t="n">
        <v>0</v>
      </c>
      <c r="QL16" s="20" t="n">
        <v>0</v>
      </c>
      <c r="QM16" s="20" t="n">
        <v>0</v>
      </c>
      <c r="QN16" s="20" t="n">
        <v>0</v>
      </c>
      <c r="QO16" s="20" t="n">
        <v>0</v>
      </c>
      <c r="QP16" s="20" t="n">
        <v>0</v>
      </c>
      <c r="QQ16" s="20" t="n">
        <v>0</v>
      </c>
      <c r="QR16" s="20" t="n">
        <v>0</v>
      </c>
      <c r="QS16" s="20" t="n">
        <v>0</v>
      </c>
      <c r="QT16" s="20" t="n">
        <v>0</v>
      </c>
      <c r="QU16" s="20" t="n">
        <v>0</v>
      </c>
      <c r="QV16" s="20" t="n">
        <v>0</v>
      </c>
      <c r="QW16" s="20" t="n">
        <v>0</v>
      </c>
      <c r="QX16" s="20" t="n">
        <v>0</v>
      </c>
      <c r="QY16" s="20" t="n">
        <v>0</v>
      </c>
      <c r="QZ16" s="20" t="n">
        <v>0</v>
      </c>
      <c r="RA16" s="20" t="n">
        <v>0</v>
      </c>
      <c r="RB16" s="20" t="n">
        <v>0</v>
      </c>
      <c r="RC16" s="20" t="n">
        <v>0</v>
      </c>
      <c r="RD16" s="20" t="n">
        <v>0</v>
      </c>
      <c r="RE16" s="20" t="n">
        <v>0</v>
      </c>
      <c r="RF16" s="20" t="n">
        <v>0</v>
      </c>
      <c r="RG16" s="20" t="n">
        <v>0</v>
      </c>
      <c r="RH16" s="20" t="n">
        <v>0</v>
      </c>
      <c r="RI16" s="20" t="n">
        <v>0</v>
      </c>
      <c r="RJ16" s="20" t="n">
        <v>0</v>
      </c>
      <c r="RK16" s="20" t="n">
        <v>0</v>
      </c>
      <c r="RL16" s="20" t="n">
        <v>0</v>
      </c>
      <c r="RM16" s="20" t="n">
        <v>0</v>
      </c>
      <c r="RN16" s="20" t="n">
        <v>0</v>
      </c>
      <c r="RO16" s="20" t="n">
        <v>0</v>
      </c>
      <c r="RP16" s="20" t="n">
        <v>0</v>
      </c>
      <c r="RQ16" s="20" t="n">
        <v>0</v>
      </c>
      <c r="RR16" s="20" t="n">
        <v>0</v>
      </c>
      <c r="RS16" s="20" t="n">
        <v>0</v>
      </c>
      <c r="RT16" s="20" t="n">
        <v>0</v>
      </c>
      <c r="RU16" s="20" t="n">
        <v>0</v>
      </c>
      <c r="RV16" s="20" t="n">
        <v>0</v>
      </c>
      <c r="RW16" s="20" t="n">
        <v>0</v>
      </c>
      <c r="RX16" s="20" t="n">
        <v>0</v>
      </c>
      <c r="RY16" s="20" t="n">
        <v>0</v>
      </c>
      <c r="RZ16" s="20" t="n">
        <v>0</v>
      </c>
      <c r="SA16" s="20" t="n">
        <v>0</v>
      </c>
      <c r="SB16" s="20" t="n">
        <v>0</v>
      </c>
      <c r="SC16" s="20" t="n">
        <v>0</v>
      </c>
      <c r="SD16" s="20" t="n">
        <v>0</v>
      </c>
      <c r="SE16" s="20" t="n">
        <v>0</v>
      </c>
      <c r="SF16" s="20" t="n">
        <v>0</v>
      </c>
      <c r="SG16" s="20" t="n">
        <v>0</v>
      </c>
      <c r="SH16" s="20" t="n">
        <v>0</v>
      </c>
      <c r="SI16" s="20" t="n">
        <v>0</v>
      </c>
      <c r="SJ16" s="20" t="n">
        <v>0</v>
      </c>
      <c r="SK16" s="20" t="n">
        <v>0</v>
      </c>
      <c r="SL16" s="20" t="n">
        <v>0</v>
      </c>
      <c r="SM16" s="20" t="n">
        <v>0</v>
      </c>
      <c r="SN16" s="20" t="n">
        <v>0</v>
      </c>
      <c r="SO16" s="20" t="n">
        <v>0</v>
      </c>
      <c r="SP16" s="20" t="n">
        <v>0</v>
      </c>
      <c r="SQ16" s="20" t="n">
        <v>0</v>
      </c>
      <c r="SR16" s="20" t="n">
        <v>0</v>
      </c>
      <c r="SS16" s="20" t="n">
        <v>0</v>
      </c>
      <c r="ST16" s="20" t="n">
        <v>0</v>
      </c>
      <c r="SU16" s="20" t="n">
        <v>0</v>
      </c>
      <c r="SV16" s="20" t="n">
        <v>0</v>
      </c>
      <c r="SW16" s="20" t="n">
        <v>0</v>
      </c>
      <c r="SX16" s="20" t="n">
        <v>0</v>
      </c>
      <c r="SY16" s="20" t="n">
        <v>0</v>
      </c>
      <c r="SZ16" s="20" t="n">
        <v>0</v>
      </c>
      <c r="TA16" s="20" t="n">
        <v>0</v>
      </c>
      <c r="TB16" s="20" t="n">
        <v>0</v>
      </c>
      <c r="TC16" s="20" t="n">
        <v>0</v>
      </c>
      <c r="TD16" s="20" t="n">
        <v>0</v>
      </c>
      <c r="TE16" s="20" t="n">
        <f aca="false">IF(AKR15&lt;=0,0,IF(H_Direct=1,IF(BR16&lt;=0,PR16,IF(PR16&lt;=(H16+I16)/BR16,PR16,(PR16-G16*(H16+I16))/(1-G16*BR16))),PR16/(1-MAX(0,BR16)*H_Exit)))</f>
        <v>0</v>
      </c>
      <c r="TF16" s="20" t="n">
        <f aca="false">IF(AKS15&lt;=0,0,IF(H_Direct=1,IF(BS16&lt;=0,PS16,IF(PS16&lt;=(WR16+AAE16)/BS16,PS16,(PS16-G16*(WR16+AAE16))/(1-G16*BS16))),PS16/(1-MAX(0,BS16)*H_Exit)))</f>
        <v>0</v>
      </c>
      <c r="TG16" s="20" t="n">
        <f aca="false">IF(AKT15&lt;=0,0,IF(H_Direct=1,IF(BT16&lt;=0,PT16,IF(PT16&lt;=(WS16+AAF16)/BT16,PT16,(PT16-G16*(WS16+AAF16))/(1-G16*BT16))),PT16/(1-MAX(0,BT16)*H_Exit)))</f>
        <v>0</v>
      </c>
      <c r="TH16" s="20" t="n">
        <f aca="false">IF(AKU15&lt;=0,0,IF(H_Direct=1,IF(BU16&lt;=0,PU16,IF(PU16&lt;=(WT16+AAG16)/BU16,PU16,(PU16-G16*(WT16+AAG16))/(1-G16*BU16))),PU16/(1-MAX(0,BU16)*H_Exit)))</f>
        <v>0</v>
      </c>
      <c r="TI16" s="20" t="n">
        <f aca="false">IF(AKV15&lt;=0,0,IF(H_Direct=1,IF(BV16&lt;=0,PV16,IF(PV16&lt;=(WU16+AAH16)/BV16,PV16,(PV16-G16*(WU16+AAH16))/(1-G16*BV16))),PV16/(1-MAX(0,BV16)*H_Exit)))</f>
        <v>0</v>
      </c>
      <c r="TJ16" s="20" t="n">
        <f aca="false">IF(AKW15&lt;=0,0,IF(H_Direct=1,IF(BW16&lt;=0,PW16,IF(PW16&lt;=(WV16+AAI16)/BW16,PW16,(PW16-G16*(WV16+AAI16))/(1-G16*BW16))),PW16/(1-MAX(0,BW16)*H_Exit)))</f>
        <v>0</v>
      </c>
      <c r="TK16" s="20" t="n">
        <f aca="false">IF(AKX15&lt;=0,0,IF(H_Direct=1,IF(BX16&lt;=0,PX16,IF(PX16&lt;=(WW16+AAJ16)/BX16,PX16,(PX16-G16*(WW16+AAJ16))/(1-G16*BX16))),PX16/(1-MAX(0,BX16)*H_Exit)))</f>
        <v>0</v>
      </c>
      <c r="TL16" s="20" t="n">
        <f aca="false">IF(AKY15&lt;=0,0,IF(H_Direct=1,IF(BY16&lt;=0,PY16,IF(PY16&lt;=(WX16+AAK16)/BY16,PY16,(PY16-G16*(WX16+AAK16))/(1-G16*BY16))),PY16/(1-MAX(0,BY16)*H_Exit)))</f>
        <v>0</v>
      </c>
      <c r="TM16" s="20" t="n">
        <f aca="false">IF(AKZ15&lt;=0,0,IF(H_Direct=1,IF(BZ16&lt;=0,PZ16,IF(PZ16&lt;=(WY16+AAL16)/BZ16,PZ16,(PZ16-G16*(WY16+AAL16))/(1-G16*BZ16))),PZ16/(1-MAX(0,BZ16)*H_Exit)))</f>
        <v>0</v>
      </c>
      <c r="TN16" s="20" t="n">
        <f aca="false">IF((P16+S16)&lt;=0,0,IF(H_Direct=1,IF(CA16&lt;=0,QA16,IF(QA16&lt;=(WZ16+AAM16)/CA16,QA16,(QA16-G16*(WZ16+AAM16))/(1-G16*CA16))),QA16/(1-MAX(0,CA16)*H_Exit)))</f>
        <v>0</v>
      </c>
      <c r="TO16" s="20" t="n">
        <v>0</v>
      </c>
      <c r="TP16" s="20" t="n">
        <v>0</v>
      </c>
      <c r="TQ16" s="20" t="n">
        <v>0</v>
      </c>
      <c r="TR16" s="20" t="n">
        <v>0</v>
      </c>
      <c r="TS16" s="20" t="n">
        <v>0</v>
      </c>
      <c r="TT16" s="20" t="n">
        <v>0</v>
      </c>
      <c r="TU16" s="20" t="n">
        <v>0</v>
      </c>
      <c r="TV16" s="20" t="n">
        <v>0</v>
      </c>
      <c r="TW16" s="20" t="n">
        <v>0</v>
      </c>
      <c r="TX16" s="20" t="n">
        <v>0</v>
      </c>
      <c r="TY16" s="20" t="n">
        <v>0</v>
      </c>
      <c r="TZ16" s="20" t="n">
        <v>0</v>
      </c>
      <c r="UA16" s="20" t="n">
        <v>0</v>
      </c>
      <c r="UB16" s="20" t="n">
        <v>0</v>
      </c>
      <c r="UC16" s="20" t="n">
        <v>0</v>
      </c>
      <c r="UD16" s="20" t="n">
        <v>0</v>
      </c>
      <c r="UE16" s="20" t="n">
        <v>0</v>
      </c>
      <c r="UF16" s="20" t="n">
        <v>0</v>
      </c>
      <c r="UG16" s="20" t="n">
        <v>0</v>
      </c>
      <c r="UH16" s="20" t="n">
        <v>0</v>
      </c>
      <c r="UI16" s="20" t="n">
        <v>0</v>
      </c>
      <c r="UJ16" s="20" t="n">
        <v>0</v>
      </c>
      <c r="UK16" s="20" t="n">
        <v>0</v>
      </c>
      <c r="UL16" s="20" t="n">
        <v>0</v>
      </c>
      <c r="UM16" s="20" t="n">
        <v>0</v>
      </c>
      <c r="UN16" s="20" t="n">
        <v>0</v>
      </c>
      <c r="UO16" s="20" t="n">
        <v>0</v>
      </c>
      <c r="UP16" s="20" t="n">
        <v>0</v>
      </c>
      <c r="UQ16" s="20" t="n">
        <v>0</v>
      </c>
      <c r="UR16" s="20" t="n">
        <v>0</v>
      </c>
      <c r="US16" s="20" t="n">
        <v>0</v>
      </c>
      <c r="UT16" s="20" t="n">
        <v>0</v>
      </c>
      <c r="UU16" s="20" t="n">
        <v>0</v>
      </c>
      <c r="UV16" s="20" t="n">
        <v>0</v>
      </c>
      <c r="UW16" s="20" t="n">
        <v>0</v>
      </c>
      <c r="UX16" s="20" t="n">
        <v>0</v>
      </c>
      <c r="UY16" s="20" t="n">
        <v>0</v>
      </c>
      <c r="UZ16" s="20" t="n">
        <v>0</v>
      </c>
      <c r="VA16" s="20" t="n">
        <v>0</v>
      </c>
      <c r="VB16" s="20" t="n">
        <v>0</v>
      </c>
      <c r="VC16" s="20" t="n">
        <v>0</v>
      </c>
      <c r="VD16" s="20" t="n">
        <v>0</v>
      </c>
      <c r="VE16" s="20" t="n">
        <v>0</v>
      </c>
      <c r="VF16" s="20" t="n">
        <v>0</v>
      </c>
      <c r="VG16" s="20" t="n">
        <v>0</v>
      </c>
      <c r="VH16" s="20" t="n">
        <v>0</v>
      </c>
      <c r="VI16" s="20" t="n">
        <v>0</v>
      </c>
      <c r="VJ16" s="20" t="n">
        <v>0</v>
      </c>
      <c r="VK16" s="20" t="n">
        <v>0</v>
      </c>
      <c r="VL16" s="20" t="n">
        <v>0</v>
      </c>
      <c r="VM16" s="20" t="n">
        <v>0</v>
      </c>
      <c r="VN16" s="20" t="n">
        <v>0</v>
      </c>
      <c r="VO16" s="20" t="n">
        <v>0</v>
      </c>
      <c r="VP16" s="20" t="n">
        <v>0</v>
      </c>
      <c r="VQ16" s="20" t="n">
        <v>0</v>
      </c>
      <c r="VR16" s="20" t="n">
        <v>0</v>
      </c>
      <c r="VS16" s="20" t="n">
        <v>0</v>
      </c>
      <c r="VT16" s="20" t="n">
        <v>0</v>
      </c>
      <c r="VU16" s="20" t="n">
        <v>0</v>
      </c>
      <c r="VV16" s="20" t="n">
        <v>0</v>
      </c>
      <c r="VW16" s="20" t="n">
        <v>0</v>
      </c>
      <c r="VX16" s="20" t="n">
        <v>0</v>
      </c>
      <c r="VY16" s="20" t="n">
        <v>0</v>
      </c>
      <c r="VZ16" s="20" t="n">
        <v>0</v>
      </c>
      <c r="WA16" s="20" t="n">
        <v>0</v>
      </c>
      <c r="WB16" s="20" t="n">
        <v>0</v>
      </c>
      <c r="WC16" s="20" t="n">
        <v>0</v>
      </c>
      <c r="WD16" s="20" t="n">
        <v>0</v>
      </c>
      <c r="WE16" s="20" t="n">
        <v>0</v>
      </c>
      <c r="WF16" s="20" t="n">
        <v>0</v>
      </c>
      <c r="WG16" s="20" t="n">
        <v>0</v>
      </c>
      <c r="WH16" s="20" t="n">
        <v>0</v>
      </c>
      <c r="WI16" s="20" t="n">
        <v>0</v>
      </c>
      <c r="WJ16" s="20" t="n">
        <v>0</v>
      </c>
      <c r="WK16" s="20" t="n">
        <v>0</v>
      </c>
      <c r="WL16" s="20" t="n">
        <v>0</v>
      </c>
      <c r="WM16" s="20" t="n">
        <v>0</v>
      </c>
      <c r="WN16" s="20" t="n">
        <v>0</v>
      </c>
      <c r="WO16" s="20" t="n">
        <v>0</v>
      </c>
      <c r="WP16" s="20" t="n">
        <v>0</v>
      </c>
      <c r="WQ16" s="20" t="n">
        <v>0</v>
      </c>
      <c r="WR16" s="20" t="n">
        <f aca="false">IF(AND(H_Direct=1,BR16&gt;0),MAX(0,H16-(MIN(BR16*TE16,(H16+I16))-MIN(MIN(BR16*TE16,(H16+I16)),I16))),H16)</f>
        <v>1270</v>
      </c>
      <c r="WS16" s="20" t="n">
        <f aca="false">IF(AND(H_Direct=1,BS16&gt;0),MAX(0,WR16-(MIN(BS16*TF16,(WR16+AAE16))-MIN(MIN(BS16*TF16,(WR16+AAE16)),AAE16))),WR16)</f>
        <v>1270</v>
      </c>
      <c r="WT16" s="20" t="n">
        <f aca="false">IF(AND(H_Direct=1,BT16&gt;0),MAX(0,WS16-(MIN(BT16*TG16,(WS16+AAF16))-MIN(MIN(BT16*TG16,(WS16+AAF16)),AAF16))),WS16)</f>
        <v>1270</v>
      </c>
      <c r="WU16" s="20" t="n">
        <f aca="false">IF(AND(H_Direct=1,BU16&gt;0),MAX(0,WT16-(MIN(BU16*TH16,(WT16+AAG16))-MIN(MIN(BU16*TH16,(WT16+AAG16)),AAG16))),WT16)</f>
        <v>1270</v>
      </c>
      <c r="WV16" s="20" t="n">
        <f aca="false">IF(AND(H_Direct=1,BV16&gt;0),MAX(0,WU16-(MIN(BV16*TI16,(WU16+AAH16))-MIN(MIN(BV16*TI16,(WU16+AAH16)),AAH16))),WU16)</f>
        <v>1270</v>
      </c>
      <c r="WW16" s="20" t="n">
        <f aca="false">IF(AND(H_Direct=1,BW16&gt;0),MAX(0,WV16-(MIN(BW16*TJ16,(WV16+AAI16))-MIN(MIN(BW16*TJ16,(WV16+AAI16)),AAI16))),WV16)</f>
        <v>1270</v>
      </c>
      <c r="WX16" s="20" t="n">
        <f aca="false">IF(AND(H_Direct=1,BX16&gt;0),MAX(0,WW16-(MIN(BX16*TK16,(WW16+AAJ16))-MIN(MIN(BX16*TK16,(WW16+AAJ16)),AAJ16))),WW16)</f>
        <v>1270</v>
      </c>
      <c r="WY16" s="20" t="n">
        <f aca="false">IF(AND(H_Direct=1,BY16&gt;0),MAX(0,WX16-(MIN(BY16*TL16,(WX16+AAK16))-MIN(MIN(BY16*TL16,(WX16+AAK16)),AAK16))),WX16)</f>
        <v>1270</v>
      </c>
      <c r="WZ16" s="20" t="n">
        <f aca="false">IF(AND(H_Direct=1,BZ16&gt;0),MAX(0,WY16-(MIN(BZ16*TM16,(WY16+AAL16))-MIN(MIN(BZ16*TM16,(WY16+AAL16)),AAL16))),WY16)</f>
        <v>1270</v>
      </c>
      <c r="XA16" s="20" t="n">
        <f aca="false">IF(AND(H_Direct=1,CA16&gt;0),MAX(0,WZ16-(MIN(CA16*TN16,(WZ16+AAM16))-MIN(MIN(CA16*TN16,(WZ16+AAM16)),AAM16))),WZ16)</f>
        <v>1270</v>
      </c>
      <c r="XB16" s="20" t="n">
        <f aca="false">XA16</f>
        <v>1270</v>
      </c>
      <c r="XC16" s="20" t="n">
        <f aca="false">XB16</f>
        <v>1270</v>
      </c>
      <c r="XD16" s="20" t="n">
        <f aca="false">XC16</f>
        <v>1270</v>
      </c>
      <c r="XE16" s="20" t="n">
        <f aca="false">XD16</f>
        <v>1270</v>
      </c>
      <c r="XF16" s="20" t="n">
        <f aca="false">XE16</f>
        <v>1270</v>
      </c>
      <c r="XG16" s="20" t="n">
        <f aca="false">XF16</f>
        <v>1270</v>
      </c>
      <c r="XH16" s="20" t="n">
        <f aca="false">XG16</f>
        <v>1270</v>
      </c>
      <c r="XI16" s="20" t="n">
        <f aca="false">XH16</f>
        <v>1270</v>
      </c>
      <c r="XJ16" s="20" t="n">
        <f aca="false">XI16</f>
        <v>1270</v>
      </c>
      <c r="XK16" s="20" t="n">
        <f aca="false">XJ16</f>
        <v>1270</v>
      </c>
      <c r="XL16" s="20" t="n">
        <f aca="false">XK16</f>
        <v>1270</v>
      </c>
      <c r="XM16" s="20" t="n">
        <f aca="false">XL16</f>
        <v>1270</v>
      </c>
      <c r="XN16" s="20" t="n">
        <f aca="false">XM16</f>
        <v>1270</v>
      </c>
      <c r="XO16" s="20" t="n">
        <f aca="false">XN16</f>
        <v>1270</v>
      </c>
      <c r="XP16" s="20" t="n">
        <f aca="false">XO16</f>
        <v>1270</v>
      </c>
      <c r="XQ16" s="20" t="n">
        <f aca="false">XP16</f>
        <v>1270</v>
      </c>
      <c r="XR16" s="20" t="n">
        <f aca="false">XQ16</f>
        <v>1270</v>
      </c>
      <c r="XS16" s="20" t="n">
        <f aca="false">XR16</f>
        <v>1270</v>
      </c>
      <c r="XT16" s="20" t="n">
        <f aca="false">XS16</f>
        <v>1270</v>
      </c>
      <c r="XU16" s="20" t="n">
        <f aca="false">XT16</f>
        <v>1270</v>
      </c>
      <c r="XV16" s="20" t="n">
        <f aca="false">XU16</f>
        <v>1270</v>
      </c>
      <c r="XW16" s="20" t="n">
        <f aca="false">XV16</f>
        <v>1270</v>
      </c>
      <c r="XX16" s="20" t="n">
        <f aca="false">XW16</f>
        <v>1270</v>
      </c>
      <c r="XY16" s="20" t="n">
        <f aca="false">XX16</f>
        <v>1270</v>
      </c>
      <c r="XZ16" s="20" t="n">
        <f aca="false">XY16</f>
        <v>1270</v>
      </c>
      <c r="YA16" s="20" t="n">
        <f aca="false">XZ16</f>
        <v>1270</v>
      </c>
      <c r="YB16" s="20" t="n">
        <f aca="false">YA16</f>
        <v>1270</v>
      </c>
      <c r="YC16" s="20" t="n">
        <f aca="false">YB16</f>
        <v>1270</v>
      </c>
      <c r="YD16" s="20" t="n">
        <f aca="false">YC16</f>
        <v>1270</v>
      </c>
      <c r="YE16" s="20" t="n">
        <f aca="false">YD16</f>
        <v>1270</v>
      </c>
      <c r="YF16" s="20" t="n">
        <f aca="false">YE16</f>
        <v>1270</v>
      </c>
      <c r="YG16" s="20" t="n">
        <f aca="false">YF16</f>
        <v>1270</v>
      </c>
      <c r="YH16" s="20" t="n">
        <f aca="false">YG16</f>
        <v>1270</v>
      </c>
      <c r="YI16" s="20" t="n">
        <f aca="false">YH16</f>
        <v>1270</v>
      </c>
      <c r="YJ16" s="20" t="n">
        <f aca="false">YI16</f>
        <v>1270</v>
      </c>
      <c r="YK16" s="20" t="n">
        <f aca="false">YJ16</f>
        <v>1270</v>
      </c>
      <c r="YL16" s="20" t="n">
        <f aca="false">YK16</f>
        <v>1270</v>
      </c>
      <c r="YM16" s="20" t="n">
        <f aca="false">YL16</f>
        <v>1270</v>
      </c>
      <c r="YN16" s="20" t="n">
        <f aca="false">YM16</f>
        <v>1270</v>
      </c>
      <c r="YO16" s="20" t="n">
        <f aca="false">YN16</f>
        <v>1270</v>
      </c>
      <c r="YP16" s="20" t="n">
        <f aca="false">YO16</f>
        <v>1270</v>
      </c>
      <c r="YQ16" s="20" t="n">
        <f aca="false">YP16</f>
        <v>1270</v>
      </c>
      <c r="YR16" s="20" t="n">
        <f aca="false">YQ16</f>
        <v>1270</v>
      </c>
      <c r="YS16" s="20" t="n">
        <f aca="false">YR16</f>
        <v>1270</v>
      </c>
      <c r="YT16" s="20" t="n">
        <f aca="false">YS16</f>
        <v>1270</v>
      </c>
      <c r="YU16" s="20" t="n">
        <f aca="false">YT16</f>
        <v>1270</v>
      </c>
      <c r="YV16" s="20" t="n">
        <f aca="false">YU16</f>
        <v>1270</v>
      </c>
      <c r="YW16" s="20" t="n">
        <f aca="false">YV16</f>
        <v>1270</v>
      </c>
      <c r="YX16" s="20" t="n">
        <f aca="false">YW16</f>
        <v>1270</v>
      </c>
      <c r="YY16" s="20" t="n">
        <f aca="false">YX16</f>
        <v>1270</v>
      </c>
      <c r="YZ16" s="20" t="n">
        <f aca="false">YY16</f>
        <v>1270</v>
      </c>
      <c r="ZA16" s="20" t="n">
        <f aca="false">YZ16</f>
        <v>1270</v>
      </c>
      <c r="ZB16" s="20" t="n">
        <f aca="false">ZA16</f>
        <v>1270</v>
      </c>
      <c r="ZC16" s="20" t="n">
        <f aca="false">ZB16</f>
        <v>1270</v>
      </c>
      <c r="ZD16" s="20" t="n">
        <f aca="false">ZC16</f>
        <v>1270</v>
      </c>
      <c r="ZE16" s="20" t="n">
        <f aca="false">ZD16</f>
        <v>1270</v>
      </c>
      <c r="ZF16" s="20" t="n">
        <f aca="false">ZE16</f>
        <v>1270</v>
      </c>
      <c r="ZG16" s="20" t="n">
        <f aca="false">ZF16</f>
        <v>1270</v>
      </c>
      <c r="ZH16" s="20" t="n">
        <f aca="false">ZG16</f>
        <v>1270</v>
      </c>
      <c r="ZI16" s="20" t="n">
        <f aca="false">ZH16</f>
        <v>1270</v>
      </c>
      <c r="ZJ16" s="20" t="n">
        <f aca="false">ZI16</f>
        <v>1270</v>
      </c>
      <c r="ZK16" s="20" t="n">
        <f aca="false">ZJ16</f>
        <v>1270</v>
      </c>
      <c r="ZL16" s="20" t="n">
        <f aca="false">ZK16</f>
        <v>1270</v>
      </c>
      <c r="ZM16" s="20" t="n">
        <f aca="false">ZL16</f>
        <v>1270</v>
      </c>
      <c r="ZN16" s="20" t="n">
        <f aca="false">ZM16</f>
        <v>1270</v>
      </c>
      <c r="ZO16" s="20" t="n">
        <f aca="false">ZN16</f>
        <v>1270</v>
      </c>
      <c r="ZP16" s="20" t="n">
        <f aca="false">ZO16</f>
        <v>1270</v>
      </c>
      <c r="ZQ16" s="20" t="n">
        <f aca="false">ZP16</f>
        <v>1270</v>
      </c>
      <c r="ZR16" s="20" t="n">
        <f aca="false">ZQ16</f>
        <v>1270</v>
      </c>
      <c r="ZS16" s="20" t="n">
        <f aca="false">ZR16</f>
        <v>1270</v>
      </c>
      <c r="ZT16" s="20" t="n">
        <f aca="false">ZS16</f>
        <v>1270</v>
      </c>
      <c r="ZU16" s="20" t="n">
        <f aca="false">ZT16</f>
        <v>1270</v>
      </c>
      <c r="ZV16" s="20" t="n">
        <f aca="false">ZU16</f>
        <v>1270</v>
      </c>
      <c r="ZW16" s="20" t="n">
        <f aca="false">ZV16</f>
        <v>1270</v>
      </c>
      <c r="ZX16" s="20" t="n">
        <f aca="false">ZW16</f>
        <v>1270</v>
      </c>
      <c r="ZY16" s="20" t="n">
        <f aca="false">ZX16</f>
        <v>1270</v>
      </c>
      <c r="ZZ16" s="20" t="n">
        <f aca="false">ZY16</f>
        <v>1270</v>
      </c>
      <c r="AAA16" s="20" t="n">
        <f aca="false">ZZ16</f>
        <v>1270</v>
      </c>
      <c r="AAB16" s="20" t="n">
        <f aca="false">AAA16</f>
        <v>1270</v>
      </c>
      <c r="AAC16" s="20" t="n">
        <f aca="false">AAB16</f>
        <v>1270</v>
      </c>
      <c r="AAD16" s="20" t="n">
        <f aca="false">AAC16</f>
        <v>1270</v>
      </c>
      <c r="AAE16" s="20" t="n">
        <f aca="false">IF(H_Direct=1,IF(BR16&lt;=0,I16-BR16*TE16,I16-MIN(MIN(BR16*TE16,(H16+I16)),I16)),I16)</f>
        <v>0</v>
      </c>
      <c r="AAF16" s="20" t="n">
        <f aca="false">IF(H_Direct=1,IF(BS16&lt;=0,AAE16-BS16*TF16,AAE16-MIN(MIN(BS16*TF16,(WR16+AAE16)),AAE16)),AAE16)</f>
        <v>0</v>
      </c>
      <c r="AAG16" s="20" t="n">
        <f aca="false">IF(H_Direct=1,IF(BT16&lt;=0,AAF16-BT16*TG16,AAF16-MIN(MIN(BT16*TG16,(WS16+AAF16)),AAF16)),AAF16)</f>
        <v>0</v>
      </c>
      <c r="AAH16" s="20" t="n">
        <f aca="false">IF(H_Direct=1,IF(BU16&lt;=0,AAG16-BU16*TH16,AAG16-MIN(MIN(BU16*TH16,(WT16+AAG16)),AAG16)),AAG16)</f>
        <v>0</v>
      </c>
      <c r="AAI16" s="20" t="n">
        <f aca="false">IF(H_Direct=1,IF(BV16&lt;=0,AAH16-BV16*TI16,AAH16-MIN(MIN(BV16*TI16,(WU16+AAH16)),AAH16)),AAH16)</f>
        <v>0</v>
      </c>
      <c r="AAJ16" s="20" t="n">
        <f aca="false">IF(H_Direct=1,IF(BW16&lt;=0,AAI16-BW16*TJ16,AAI16-MIN(MIN(BW16*TJ16,(WV16+AAI16)),AAI16)),AAI16)</f>
        <v>0</v>
      </c>
      <c r="AAK16" s="20" t="n">
        <f aca="false">IF(H_Direct=1,IF(BX16&lt;=0,AAJ16-BX16*TK16,AAJ16-MIN(MIN(BX16*TK16,(WW16+AAJ16)),AAJ16)),AAJ16)</f>
        <v>0</v>
      </c>
      <c r="AAL16" s="20" t="n">
        <f aca="false">IF(H_Direct=1,IF(BY16&lt;=0,AAK16-BY16*TL16,AAK16-MIN(MIN(BY16*TL16,(WX16+AAK16)),AAK16)),AAK16)</f>
        <v>0</v>
      </c>
      <c r="AAM16" s="20" t="n">
        <f aca="false">IF(H_Direct=1,IF(BZ16&lt;=0,AAL16-BZ16*TM16,AAL16-MIN(MIN(BZ16*TM16,(WY16+AAL16)),AAL16)),AAL16)</f>
        <v>0</v>
      </c>
      <c r="AAN16" s="20" t="n">
        <f aca="false">IF(H_Direct=1,IF(CA16&lt;=0,AAM16-CA16*TN16,AAM16-MIN(MIN(CA16*TN16,(WZ16+AAM16)),AAM16)),AAM16)</f>
        <v>0</v>
      </c>
      <c r="AAO16" s="20" t="n">
        <f aca="false">AAN16</f>
        <v>0</v>
      </c>
      <c r="AAP16" s="20" t="n">
        <f aca="false">AAO16</f>
        <v>0</v>
      </c>
      <c r="AAQ16" s="20" t="n">
        <f aca="false">AAP16</f>
        <v>0</v>
      </c>
      <c r="AAR16" s="20" t="n">
        <f aca="false">AAQ16</f>
        <v>0</v>
      </c>
      <c r="AAS16" s="20" t="n">
        <f aca="false">AAR16</f>
        <v>0</v>
      </c>
      <c r="AAT16" s="20" t="n">
        <f aca="false">AAS16</f>
        <v>0</v>
      </c>
      <c r="AAU16" s="20" t="n">
        <f aca="false">AAT16</f>
        <v>0</v>
      </c>
      <c r="AAV16" s="20" t="n">
        <f aca="false">AAU16</f>
        <v>0</v>
      </c>
      <c r="AAW16" s="20" t="n">
        <f aca="false">AAV16</f>
        <v>0</v>
      </c>
      <c r="AAX16" s="20" t="n">
        <f aca="false">AAW16</f>
        <v>0</v>
      </c>
      <c r="AAY16" s="20" t="n">
        <f aca="false">AAX16</f>
        <v>0</v>
      </c>
      <c r="AAZ16" s="20" t="n">
        <f aca="false">AAY16</f>
        <v>0</v>
      </c>
      <c r="ABA16" s="20" t="n">
        <f aca="false">AAZ16</f>
        <v>0</v>
      </c>
      <c r="ABB16" s="20" t="n">
        <f aca="false">ABA16</f>
        <v>0</v>
      </c>
      <c r="ABC16" s="20" t="n">
        <f aca="false">ABB16</f>
        <v>0</v>
      </c>
      <c r="ABD16" s="20" t="n">
        <f aca="false">ABC16</f>
        <v>0</v>
      </c>
      <c r="ABE16" s="20" t="n">
        <f aca="false">ABD16</f>
        <v>0</v>
      </c>
      <c r="ABF16" s="20" t="n">
        <f aca="false">ABE16</f>
        <v>0</v>
      </c>
      <c r="ABG16" s="20" t="n">
        <f aca="false">ABF16</f>
        <v>0</v>
      </c>
      <c r="ABH16" s="20" t="n">
        <f aca="false">ABG16</f>
        <v>0</v>
      </c>
      <c r="ABI16" s="20" t="n">
        <f aca="false">ABH16</f>
        <v>0</v>
      </c>
      <c r="ABJ16" s="20" t="n">
        <f aca="false">ABI16</f>
        <v>0</v>
      </c>
      <c r="ABK16" s="20" t="n">
        <f aca="false">ABJ16</f>
        <v>0</v>
      </c>
      <c r="ABL16" s="20" t="n">
        <f aca="false">ABK16</f>
        <v>0</v>
      </c>
      <c r="ABM16" s="20" t="n">
        <f aca="false">ABL16</f>
        <v>0</v>
      </c>
      <c r="ABN16" s="20" t="n">
        <f aca="false">ABM16</f>
        <v>0</v>
      </c>
      <c r="ABO16" s="20" t="n">
        <f aca="false">ABN16</f>
        <v>0</v>
      </c>
      <c r="ABP16" s="20" t="n">
        <f aca="false">ABO16</f>
        <v>0</v>
      </c>
      <c r="ABQ16" s="20" t="n">
        <f aca="false">ABP16</f>
        <v>0</v>
      </c>
      <c r="ABR16" s="20" t="n">
        <f aca="false">ABQ16</f>
        <v>0</v>
      </c>
      <c r="ABS16" s="20" t="n">
        <f aca="false">ABR16</f>
        <v>0</v>
      </c>
      <c r="ABT16" s="20" t="n">
        <f aca="false">ABS16</f>
        <v>0</v>
      </c>
      <c r="ABU16" s="20" t="n">
        <f aca="false">ABT16</f>
        <v>0</v>
      </c>
      <c r="ABV16" s="20" t="n">
        <f aca="false">ABU16</f>
        <v>0</v>
      </c>
      <c r="ABW16" s="20" t="n">
        <f aca="false">ABV16</f>
        <v>0</v>
      </c>
      <c r="ABX16" s="20" t="n">
        <f aca="false">ABW16</f>
        <v>0</v>
      </c>
      <c r="ABY16" s="20" t="n">
        <f aca="false">ABX16</f>
        <v>0</v>
      </c>
      <c r="ABZ16" s="20" t="n">
        <f aca="false">ABY16</f>
        <v>0</v>
      </c>
      <c r="ACA16" s="20" t="n">
        <f aca="false">ABZ16</f>
        <v>0</v>
      </c>
      <c r="ACB16" s="20" t="n">
        <f aca="false">ACA16</f>
        <v>0</v>
      </c>
      <c r="ACC16" s="20" t="n">
        <f aca="false">ACB16</f>
        <v>0</v>
      </c>
      <c r="ACD16" s="20" t="n">
        <f aca="false">ACC16</f>
        <v>0</v>
      </c>
      <c r="ACE16" s="20" t="n">
        <f aca="false">ACD16</f>
        <v>0</v>
      </c>
      <c r="ACF16" s="20" t="n">
        <f aca="false">ACE16</f>
        <v>0</v>
      </c>
      <c r="ACG16" s="20" t="n">
        <f aca="false">ACF16</f>
        <v>0</v>
      </c>
      <c r="ACH16" s="20" t="n">
        <f aca="false">ACG16</f>
        <v>0</v>
      </c>
      <c r="ACI16" s="20" t="n">
        <f aca="false">ACH16</f>
        <v>0</v>
      </c>
      <c r="ACJ16" s="20" t="n">
        <f aca="false">ACI16</f>
        <v>0</v>
      </c>
      <c r="ACK16" s="20" t="n">
        <f aca="false">ACJ16</f>
        <v>0</v>
      </c>
      <c r="ACL16" s="20" t="n">
        <f aca="false">ACK16</f>
        <v>0</v>
      </c>
      <c r="ACM16" s="20" t="n">
        <f aca="false">ACL16</f>
        <v>0</v>
      </c>
      <c r="ACN16" s="20" t="n">
        <f aca="false">ACM16</f>
        <v>0</v>
      </c>
      <c r="ACO16" s="20" t="n">
        <f aca="false">ACN16</f>
        <v>0</v>
      </c>
      <c r="ACP16" s="20" t="n">
        <f aca="false">ACO16</f>
        <v>0</v>
      </c>
      <c r="ACQ16" s="20" t="n">
        <f aca="false">ACP16</f>
        <v>0</v>
      </c>
      <c r="ACR16" s="20" t="n">
        <f aca="false">ACQ16</f>
        <v>0</v>
      </c>
      <c r="ACS16" s="20" t="n">
        <f aca="false">ACR16</f>
        <v>0</v>
      </c>
      <c r="ACT16" s="20" t="n">
        <f aca="false">ACS16</f>
        <v>0</v>
      </c>
      <c r="ACU16" s="20" t="n">
        <f aca="false">ACT16</f>
        <v>0</v>
      </c>
      <c r="ACV16" s="20" t="n">
        <f aca="false">ACU16</f>
        <v>0</v>
      </c>
      <c r="ACW16" s="20" t="n">
        <f aca="false">ACV16</f>
        <v>0</v>
      </c>
      <c r="ACX16" s="20" t="n">
        <f aca="false">ACW16</f>
        <v>0</v>
      </c>
      <c r="ACY16" s="20" t="n">
        <f aca="false">ACX16</f>
        <v>0</v>
      </c>
      <c r="ACZ16" s="20" t="n">
        <f aca="false">ACY16</f>
        <v>0</v>
      </c>
      <c r="ADA16" s="20" t="n">
        <f aca="false">ACZ16</f>
        <v>0</v>
      </c>
      <c r="ADB16" s="20" t="n">
        <f aca="false">ADA16</f>
        <v>0</v>
      </c>
      <c r="ADC16" s="20" t="n">
        <f aca="false">ADB16</f>
        <v>0</v>
      </c>
      <c r="ADD16" s="20" t="n">
        <f aca="false">ADC16</f>
        <v>0</v>
      </c>
      <c r="ADE16" s="20" t="n">
        <f aca="false">ADD16</f>
        <v>0</v>
      </c>
      <c r="ADF16" s="20" t="n">
        <f aca="false">ADE16</f>
        <v>0</v>
      </c>
      <c r="ADG16" s="20" t="n">
        <f aca="false">ADF16</f>
        <v>0</v>
      </c>
      <c r="ADH16" s="20" t="n">
        <f aca="false">ADG16</f>
        <v>0</v>
      </c>
      <c r="ADI16" s="20" t="n">
        <f aca="false">ADH16</f>
        <v>0</v>
      </c>
      <c r="ADJ16" s="20" t="n">
        <f aca="false">ADI16</f>
        <v>0</v>
      </c>
      <c r="ADK16" s="20" t="n">
        <f aca="false">ADJ16</f>
        <v>0</v>
      </c>
      <c r="ADL16" s="20" t="n">
        <f aca="false">ADK16</f>
        <v>0</v>
      </c>
      <c r="ADM16" s="20" t="n">
        <f aca="false">ADL16</f>
        <v>0</v>
      </c>
      <c r="ADN16" s="20" t="n">
        <f aca="false">ADM16</f>
        <v>0</v>
      </c>
      <c r="ADO16" s="20" t="n">
        <f aca="false">ADN16</f>
        <v>0</v>
      </c>
      <c r="ADP16" s="20" t="n">
        <f aca="false">ADO16</f>
        <v>0</v>
      </c>
      <c r="ADQ16" s="20" t="n">
        <f aca="false">ADP16</f>
        <v>0</v>
      </c>
      <c r="ADR16" s="20" t="n">
        <f aca="false">(AKR15-TE16+0)*(1+BQ16)</f>
        <v>0</v>
      </c>
      <c r="ADS16" s="20" t="n">
        <f aca="false">(AKS15-TF16+0)*(1+BQ16)</f>
        <v>0</v>
      </c>
      <c r="ADT16" s="20" t="n">
        <f aca="false">(AKT15-TG16+0)*(1+BQ16)</f>
        <v>0</v>
      </c>
      <c r="ADU16" s="20" t="n">
        <f aca="false">(AKU15-TH16+0)*(1+BQ16)</f>
        <v>0</v>
      </c>
      <c r="ADV16" s="20" t="n">
        <f aca="false">(AKV15-TI16+0)*(1+BQ16)</f>
        <v>0</v>
      </c>
      <c r="ADW16" s="20" t="n">
        <f aca="false">(AKW15-TJ16+0)*(1+BQ16)</f>
        <v>0</v>
      </c>
      <c r="ADX16" s="20" t="n">
        <f aca="false">(AKX15-TK16+0)*(1+BQ16)</f>
        <v>0</v>
      </c>
      <c r="ADY16" s="20" t="n">
        <f aca="false">(AKY15-TL16+0)*(1+BQ16)</f>
        <v>0</v>
      </c>
      <c r="ADZ16" s="20" t="n">
        <f aca="false">(AKZ15-TM16+0)*(1+BQ16)</f>
        <v>0</v>
      </c>
      <c r="AEA16" s="20" t="n">
        <f aca="false">((P16+S16)-TN16+BE16)*(1+BQ16)</f>
        <v>0</v>
      </c>
      <c r="AEB16" s="20" t="n">
        <v>0</v>
      </c>
      <c r="AEC16" s="20" t="n">
        <v>0</v>
      </c>
      <c r="AED16" s="20" t="n">
        <v>0</v>
      </c>
      <c r="AEE16" s="20" t="n">
        <v>0</v>
      </c>
      <c r="AEF16" s="20" t="n">
        <v>0</v>
      </c>
      <c r="AEG16" s="20" t="n">
        <v>0</v>
      </c>
      <c r="AEH16" s="20" t="n">
        <v>0</v>
      </c>
      <c r="AEI16" s="20" t="n">
        <v>0</v>
      </c>
      <c r="AEJ16" s="20" t="n">
        <v>0</v>
      </c>
      <c r="AEK16" s="20" t="n">
        <v>0</v>
      </c>
      <c r="AEL16" s="20" t="n">
        <v>0</v>
      </c>
      <c r="AEM16" s="20" t="n">
        <v>0</v>
      </c>
      <c r="AEN16" s="20" t="n">
        <v>0</v>
      </c>
      <c r="AEO16" s="20" t="n">
        <v>0</v>
      </c>
      <c r="AEP16" s="20" t="n">
        <v>0</v>
      </c>
      <c r="AEQ16" s="20" t="n">
        <v>0</v>
      </c>
      <c r="AER16" s="20" t="n">
        <v>0</v>
      </c>
      <c r="AES16" s="20" t="n">
        <v>0</v>
      </c>
      <c r="AET16" s="20" t="n">
        <v>0</v>
      </c>
      <c r="AEU16" s="20" t="n">
        <v>0</v>
      </c>
      <c r="AEV16" s="20" t="n">
        <v>0</v>
      </c>
      <c r="AEW16" s="20" t="n">
        <v>0</v>
      </c>
      <c r="AEX16" s="20" t="n">
        <v>0</v>
      </c>
      <c r="AEY16" s="20" t="n">
        <v>0</v>
      </c>
      <c r="AEZ16" s="20" t="n">
        <v>0</v>
      </c>
      <c r="AFA16" s="20" t="n">
        <v>0</v>
      </c>
      <c r="AFB16" s="20" t="n">
        <v>0</v>
      </c>
      <c r="AFC16" s="20" t="n">
        <v>0</v>
      </c>
      <c r="AFD16" s="20" t="n">
        <v>0</v>
      </c>
      <c r="AFE16" s="20" t="n">
        <v>0</v>
      </c>
      <c r="AFF16" s="20" t="n">
        <v>0</v>
      </c>
      <c r="AFG16" s="20" t="n">
        <v>0</v>
      </c>
      <c r="AFH16" s="20" t="n">
        <v>0</v>
      </c>
      <c r="AFI16" s="20" t="n">
        <v>0</v>
      </c>
      <c r="AFJ16" s="20" t="n">
        <v>0</v>
      </c>
      <c r="AFK16" s="20" t="n">
        <v>0</v>
      </c>
      <c r="AFL16" s="20" t="n">
        <v>0</v>
      </c>
      <c r="AFM16" s="20" t="n">
        <v>0</v>
      </c>
      <c r="AFN16" s="20" t="n">
        <v>0</v>
      </c>
      <c r="AFO16" s="20" t="n">
        <v>0</v>
      </c>
      <c r="AFP16" s="20" t="n">
        <v>0</v>
      </c>
      <c r="AFQ16" s="20" t="n">
        <v>0</v>
      </c>
      <c r="AFR16" s="20" t="n">
        <v>0</v>
      </c>
      <c r="AFS16" s="20" t="n">
        <v>0</v>
      </c>
      <c r="AFT16" s="20" t="n">
        <v>0</v>
      </c>
      <c r="AFU16" s="20" t="n">
        <v>0</v>
      </c>
      <c r="AFV16" s="20" t="n">
        <v>0</v>
      </c>
      <c r="AFW16" s="20" t="n">
        <v>0</v>
      </c>
      <c r="AFX16" s="20" t="n">
        <v>0</v>
      </c>
      <c r="AFY16" s="20" t="n">
        <v>0</v>
      </c>
      <c r="AFZ16" s="20" t="n">
        <v>0</v>
      </c>
      <c r="AGA16" s="20" t="n">
        <v>0</v>
      </c>
      <c r="AGB16" s="20" t="n">
        <v>0</v>
      </c>
      <c r="AGC16" s="20" t="n">
        <v>0</v>
      </c>
      <c r="AGD16" s="20" t="n">
        <v>0</v>
      </c>
      <c r="AGE16" s="20" t="n">
        <v>0</v>
      </c>
      <c r="AGF16" s="20" t="n">
        <v>0</v>
      </c>
      <c r="AGG16" s="20" t="n">
        <v>0</v>
      </c>
      <c r="AGH16" s="20" t="n">
        <v>0</v>
      </c>
      <c r="AGI16" s="20" t="n">
        <v>0</v>
      </c>
      <c r="AGJ16" s="20" t="n">
        <v>0</v>
      </c>
      <c r="AGK16" s="20" t="n">
        <v>0</v>
      </c>
      <c r="AGL16" s="20" t="n">
        <v>0</v>
      </c>
      <c r="AGM16" s="20" t="n">
        <v>0</v>
      </c>
      <c r="AGN16" s="20" t="n">
        <v>0</v>
      </c>
      <c r="AGO16" s="20" t="n">
        <v>0</v>
      </c>
      <c r="AGP16" s="20" t="n">
        <v>0</v>
      </c>
      <c r="AGQ16" s="20" t="n">
        <v>0</v>
      </c>
      <c r="AGR16" s="20" t="n">
        <v>0</v>
      </c>
      <c r="AGS16" s="20" t="n">
        <v>0</v>
      </c>
      <c r="AGT16" s="20" t="n">
        <v>0</v>
      </c>
      <c r="AGU16" s="20" t="n">
        <v>0</v>
      </c>
      <c r="AGV16" s="20" t="n">
        <v>0</v>
      </c>
      <c r="AGW16" s="20" t="n">
        <v>0</v>
      </c>
      <c r="AGX16" s="20" t="n">
        <v>0</v>
      </c>
      <c r="AGY16" s="20" t="n">
        <v>0</v>
      </c>
      <c r="AGZ16" s="20" t="n">
        <v>0</v>
      </c>
      <c r="AHA16" s="20" t="n">
        <v>0</v>
      </c>
      <c r="AHB16" s="20" t="n">
        <v>0</v>
      </c>
      <c r="AHC16" s="20" t="n">
        <v>0</v>
      </c>
      <c r="AHD16" s="20" t="n">
        <v>0</v>
      </c>
      <c r="AHE16" s="20" t="n">
        <f aca="false">IF(AKR15&gt;0,AOE15-AOE15*TE16/AKR15,0)+0</f>
        <v>0</v>
      </c>
      <c r="AHF16" s="20" t="n">
        <f aca="false">IF(AKS15&gt;0,AOF15-AOF15*TF16/AKS15,0)+0</f>
        <v>0</v>
      </c>
      <c r="AHG16" s="20" t="n">
        <f aca="false">IF(AKT15&gt;0,AOG15-AOG15*TG16/AKT15,0)+0</f>
        <v>0</v>
      </c>
      <c r="AHH16" s="20" t="n">
        <f aca="false">IF(AKU15&gt;0,AOH15-AOH15*TH16/AKU15,0)+0</f>
        <v>0</v>
      </c>
      <c r="AHI16" s="20" t="n">
        <f aca="false">IF(AKV15&gt;0,AOI15-AOI15*TI16/AKV15,0)+0</f>
        <v>0</v>
      </c>
      <c r="AHJ16" s="20" t="n">
        <f aca="false">IF(AKW15&gt;0,AOJ15-AOJ15*TJ16/AKW15,0)+0</f>
        <v>0</v>
      </c>
      <c r="AHK16" s="20" t="n">
        <f aca="false">IF(AKX15&gt;0,AOK15-AOK15*TK16/AKX15,0)+0</f>
        <v>0</v>
      </c>
      <c r="AHL16" s="20" t="n">
        <f aca="false">IF(AKY15&gt;0,AOL15-AOL15*TL16/AKY15,0)+0</f>
        <v>0</v>
      </c>
      <c r="AHM16" s="20" t="n">
        <f aca="false">IF(AKZ15&gt;0,AOM15-AOM15*TM16/AKZ15,0)+0</f>
        <v>0</v>
      </c>
      <c r="AHN16" s="20" t="n">
        <f aca="false">IF((P16+S16)&gt;0,(P16+S16)-(P16+S16)*TN16/(P16+S16),0)+BE16</f>
        <v>0</v>
      </c>
      <c r="AHO16" s="20" t="n">
        <v>0</v>
      </c>
      <c r="AHP16" s="20" t="n">
        <v>0</v>
      </c>
      <c r="AHQ16" s="20" t="n">
        <v>0</v>
      </c>
      <c r="AHR16" s="20" t="n">
        <v>0</v>
      </c>
      <c r="AHS16" s="20" t="n">
        <v>0</v>
      </c>
      <c r="AHT16" s="20" t="n">
        <v>0</v>
      </c>
      <c r="AHU16" s="20" t="n">
        <v>0</v>
      </c>
      <c r="AHV16" s="20" t="n">
        <v>0</v>
      </c>
      <c r="AHW16" s="20" t="n">
        <v>0</v>
      </c>
      <c r="AHX16" s="20" t="n">
        <v>0</v>
      </c>
      <c r="AHY16" s="20" t="n">
        <v>0</v>
      </c>
      <c r="AHZ16" s="20" t="n">
        <v>0</v>
      </c>
      <c r="AIA16" s="20" t="n">
        <v>0</v>
      </c>
      <c r="AIB16" s="20" t="n">
        <v>0</v>
      </c>
      <c r="AIC16" s="20" t="n">
        <v>0</v>
      </c>
      <c r="AID16" s="20" t="n">
        <v>0</v>
      </c>
      <c r="AIE16" s="20" t="n">
        <v>0</v>
      </c>
      <c r="AIF16" s="20" t="n">
        <v>0</v>
      </c>
      <c r="AIG16" s="20" t="n">
        <v>0</v>
      </c>
      <c r="AIH16" s="20" t="n">
        <v>0</v>
      </c>
      <c r="AII16" s="20" t="n">
        <v>0</v>
      </c>
      <c r="AIJ16" s="20" t="n">
        <v>0</v>
      </c>
      <c r="AIK16" s="20" t="n">
        <v>0</v>
      </c>
      <c r="AIL16" s="20" t="n">
        <v>0</v>
      </c>
      <c r="AIM16" s="20" t="n">
        <v>0</v>
      </c>
      <c r="AIN16" s="20" t="n">
        <v>0</v>
      </c>
      <c r="AIO16" s="20" t="n">
        <v>0</v>
      </c>
      <c r="AIP16" s="20" t="n">
        <v>0</v>
      </c>
      <c r="AIQ16" s="20" t="n">
        <v>0</v>
      </c>
      <c r="AIR16" s="20" t="n">
        <v>0</v>
      </c>
      <c r="AIS16" s="20" t="n">
        <v>0</v>
      </c>
      <c r="AIT16" s="20" t="n">
        <v>0</v>
      </c>
      <c r="AIU16" s="20" t="n">
        <v>0</v>
      </c>
      <c r="AIV16" s="20" t="n">
        <v>0</v>
      </c>
      <c r="AIW16" s="20" t="n">
        <v>0</v>
      </c>
      <c r="AIX16" s="20" t="n">
        <v>0</v>
      </c>
      <c r="AIY16" s="20" t="n">
        <v>0</v>
      </c>
      <c r="AIZ16" s="20" t="n">
        <v>0</v>
      </c>
      <c r="AJA16" s="20" t="n">
        <v>0</v>
      </c>
      <c r="AJB16" s="20" t="n">
        <v>0</v>
      </c>
      <c r="AJC16" s="20" t="n">
        <v>0</v>
      </c>
      <c r="AJD16" s="20" t="n">
        <v>0</v>
      </c>
      <c r="AJE16" s="20" t="n">
        <v>0</v>
      </c>
      <c r="AJF16" s="20" t="n">
        <v>0</v>
      </c>
      <c r="AJG16" s="20" t="n">
        <v>0</v>
      </c>
      <c r="AJH16" s="20" t="n">
        <v>0</v>
      </c>
      <c r="AJI16" s="20" t="n">
        <v>0</v>
      </c>
      <c r="AJJ16" s="20" t="n">
        <v>0</v>
      </c>
      <c r="AJK16" s="20" t="n">
        <v>0</v>
      </c>
      <c r="AJL16" s="20" t="n">
        <v>0</v>
      </c>
      <c r="AJM16" s="20" t="n">
        <v>0</v>
      </c>
      <c r="AJN16" s="20" t="n">
        <v>0</v>
      </c>
      <c r="AJO16" s="20" t="n">
        <v>0</v>
      </c>
      <c r="AJP16" s="20" t="n">
        <v>0</v>
      </c>
      <c r="AJQ16" s="20" t="n">
        <v>0</v>
      </c>
      <c r="AJR16" s="20" t="n">
        <v>0</v>
      </c>
      <c r="AJS16" s="20" t="n">
        <v>0</v>
      </c>
      <c r="AJT16" s="20" t="n">
        <v>0</v>
      </c>
      <c r="AJU16" s="20" t="n">
        <v>0</v>
      </c>
      <c r="AJV16" s="20" t="n">
        <v>0</v>
      </c>
      <c r="AJW16" s="20" t="n">
        <v>0</v>
      </c>
      <c r="AJX16" s="20" t="n">
        <v>0</v>
      </c>
      <c r="AJY16" s="20" t="n">
        <v>0</v>
      </c>
      <c r="AJZ16" s="20" t="n">
        <v>0</v>
      </c>
      <c r="AKA16" s="20" t="n">
        <v>0</v>
      </c>
      <c r="AKB16" s="20" t="n">
        <v>0</v>
      </c>
      <c r="AKC16" s="20" t="n">
        <v>0</v>
      </c>
      <c r="AKD16" s="20" t="n">
        <v>0</v>
      </c>
      <c r="AKE16" s="20" t="n">
        <v>0</v>
      </c>
      <c r="AKF16" s="20" t="n">
        <v>0</v>
      </c>
      <c r="AKG16" s="20" t="n">
        <v>0</v>
      </c>
      <c r="AKH16" s="20" t="n">
        <v>0</v>
      </c>
      <c r="AKI16" s="20" t="n">
        <v>0</v>
      </c>
      <c r="AKJ16" s="20" t="n">
        <v>0</v>
      </c>
      <c r="AKK16" s="20" t="n">
        <v>0</v>
      </c>
      <c r="AKL16" s="20" t="n">
        <v>0</v>
      </c>
      <c r="AKM16" s="20" t="n">
        <v>0</v>
      </c>
      <c r="AKN16" s="20" t="n">
        <v>0</v>
      </c>
      <c r="AKO16" s="20" t="n">
        <v>0</v>
      </c>
      <c r="AKP16" s="20" t="n">
        <v>0</v>
      </c>
      <c r="AKQ16" s="20" t="n">
        <v>0</v>
      </c>
      <c r="AKR16" s="20" t="n">
        <f aca="false">ADR16-AVE16</f>
        <v>0</v>
      </c>
      <c r="AKS16" s="20" t="n">
        <f aca="false">ADS16-AVF16</f>
        <v>0</v>
      </c>
      <c r="AKT16" s="20" t="n">
        <f aca="false">ADT16-AVG16</f>
        <v>0</v>
      </c>
      <c r="AKU16" s="20" t="n">
        <f aca="false">ADU16-AVH16</f>
        <v>0</v>
      </c>
      <c r="AKV16" s="20" t="n">
        <f aca="false">ADV16-AVI16</f>
        <v>0</v>
      </c>
      <c r="AKW16" s="20" t="n">
        <f aca="false">ADW16-AVJ16</f>
        <v>0</v>
      </c>
      <c r="AKX16" s="20" t="n">
        <f aca="false">ADX16-AVK16</f>
        <v>0</v>
      </c>
      <c r="AKY16" s="20" t="n">
        <f aca="false">ADY16-AVL16</f>
        <v>0</v>
      </c>
      <c r="AKZ16" s="20" t="n">
        <f aca="false">ADZ16-AVM16</f>
        <v>0</v>
      </c>
      <c r="ALA16" s="20" t="n">
        <f aca="false">AEA16-AVN16</f>
        <v>0</v>
      </c>
      <c r="ALB16" s="20" t="n">
        <v>0</v>
      </c>
      <c r="ALC16" s="20" t="n">
        <v>0</v>
      </c>
      <c r="ALD16" s="20" t="n">
        <v>0</v>
      </c>
      <c r="ALE16" s="20" t="n">
        <v>0</v>
      </c>
      <c r="ALF16" s="20" t="n">
        <v>0</v>
      </c>
      <c r="ALG16" s="20" t="n">
        <v>0</v>
      </c>
      <c r="ALH16" s="20" t="n">
        <v>0</v>
      </c>
      <c r="ALI16" s="20" t="n">
        <v>0</v>
      </c>
      <c r="ALJ16" s="20" t="n">
        <v>0</v>
      </c>
      <c r="ALK16" s="20" t="n">
        <v>0</v>
      </c>
      <c r="ALL16" s="20" t="n">
        <v>0</v>
      </c>
      <c r="ALM16" s="20" t="n">
        <v>0</v>
      </c>
      <c r="ALN16" s="20" t="n">
        <v>0</v>
      </c>
      <c r="ALO16" s="20" t="n">
        <v>0</v>
      </c>
      <c r="ALP16" s="20" t="n">
        <v>0</v>
      </c>
      <c r="ALQ16" s="20" t="n">
        <v>0</v>
      </c>
      <c r="ALR16" s="20" t="n">
        <v>0</v>
      </c>
      <c r="ALS16" s="20" t="n">
        <v>0</v>
      </c>
      <c r="ALT16" s="20" t="n">
        <v>0</v>
      </c>
      <c r="ALU16" s="20" t="n">
        <v>0</v>
      </c>
      <c r="ALV16" s="20" t="n">
        <v>0</v>
      </c>
      <c r="ALW16" s="20" t="n">
        <v>0</v>
      </c>
      <c r="ALX16" s="20" t="n">
        <v>0</v>
      </c>
      <c r="ALY16" s="20" t="n">
        <v>0</v>
      </c>
      <c r="ALZ16" s="20" t="n">
        <v>0</v>
      </c>
      <c r="AMA16" s="20" t="n">
        <v>0</v>
      </c>
      <c r="AMB16" s="20" t="n">
        <v>0</v>
      </c>
      <c r="AMC16" s="20" t="n">
        <v>0</v>
      </c>
      <c r="AMD16" s="20" t="n">
        <v>0</v>
      </c>
      <c r="AME16" s="20" t="n">
        <v>0</v>
      </c>
      <c r="AMF16" s="20" t="n">
        <v>0</v>
      </c>
      <c r="AMG16" s="20" t="n">
        <v>0</v>
      </c>
      <c r="AMH16" s="20" t="n">
        <v>0</v>
      </c>
      <c r="AMI16" s="20" t="n">
        <v>0</v>
      </c>
      <c r="AMJ16" s="20" t="n">
        <v>0</v>
      </c>
      <c r="AMK16" s="20" t="n">
        <v>0</v>
      </c>
      <c r="AML16" s="20" t="n">
        <v>0</v>
      </c>
      <c r="AMM16" s="20" t="n">
        <v>0</v>
      </c>
      <c r="AMN16" s="20" t="n">
        <v>0</v>
      </c>
      <c r="AMO16" s="20" t="n">
        <v>0</v>
      </c>
      <c r="AMP16" s="20" t="n">
        <v>0</v>
      </c>
      <c r="AMQ16" s="20" t="n">
        <v>0</v>
      </c>
      <c r="AMR16" s="20" t="n">
        <v>0</v>
      </c>
      <c r="AMS16" s="20" t="n">
        <v>0</v>
      </c>
      <c r="AMT16" s="20" t="n">
        <v>0</v>
      </c>
      <c r="AMU16" s="20" t="n">
        <v>0</v>
      </c>
      <c r="AMV16" s="20" t="n">
        <v>0</v>
      </c>
      <c r="AMW16" s="20" t="n">
        <v>0</v>
      </c>
      <c r="AMX16" s="20" t="n">
        <v>0</v>
      </c>
      <c r="AMY16" s="20" t="n">
        <v>0</v>
      </c>
      <c r="AMZ16" s="20" t="n">
        <v>0</v>
      </c>
      <c r="ANA16" s="20" t="n">
        <v>0</v>
      </c>
      <c r="ANB16" s="20" t="n">
        <v>0</v>
      </c>
      <c r="ANC16" s="20" t="n">
        <v>0</v>
      </c>
      <c r="AND16" s="20" t="n">
        <v>0</v>
      </c>
      <c r="ANE16" s="20" t="n">
        <v>0</v>
      </c>
      <c r="ANF16" s="20" t="n">
        <v>0</v>
      </c>
      <c r="ANG16" s="20" t="n">
        <v>0</v>
      </c>
      <c r="ANH16" s="20" t="n">
        <v>0</v>
      </c>
      <c r="ANI16" s="20" t="n">
        <v>0</v>
      </c>
      <c r="ANJ16" s="20" t="n">
        <v>0</v>
      </c>
      <c r="ANK16" s="20" t="n">
        <v>0</v>
      </c>
      <c r="ANL16" s="20" t="n">
        <v>0</v>
      </c>
      <c r="ANM16" s="20" t="n">
        <v>0</v>
      </c>
      <c r="ANN16" s="20" t="n">
        <v>0</v>
      </c>
      <c r="ANO16" s="20" t="n">
        <v>0</v>
      </c>
      <c r="ANP16" s="20" t="n">
        <v>0</v>
      </c>
      <c r="ANQ16" s="20" t="n">
        <v>0</v>
      </c>
      <c r="ANR16" s="20" t="n">
        <v>0</v>
      </c>
      <c r="ANS16" s="20" t="n">
        <v>0</v>
      </c>
      <c r="ANT16" s="20" t="n">
        <v>0</v>
      </c>
      <c r="ANU16" s="20" t="n">
        <v>0</v>
      </c>
      <c r="ANV16" s="20" t="n">
        <v>0</v>
      </c>
      <c r="ANW16" s="20" t="n">
        <v>0</v>
      </c>
      <c r="ANX16" s="20" t="n">
        <v>0</v>
      </c>
      <c r="ANY16" s="20" t="n">
        <v>0</v>
      </c>
      <c r="ANZ16" s="20" t="n">
        <v>0</v>
      </c>
      <c r="AOA16" s="20" t="n">
        <v>0</v>
      </c>
      <c r="AOB16" s="20" t="n">
        <v>0</v>
      </c>
      <c r="AOC16" s="20" t="n">
        <v>0</v>
      </c>
      <c r="AOD16" s="20" t="n">
        <v>0</v>
      </c>
      <c r="AOE16" s="20" t="n">
        <f aca="false">IF(AND(H_Direct=0,H_TaxEvt=1,ARR15+1&gt;=H_Deemed),AKR16,AHE16)</f>
        <v>0</v>
      </c>
      <c r="AOF16" s="20" t="n">
        <f aca="false">IF(AND(H_Direct=0,H_TaxEvt=1,ARS15+1&gt;=H_Deemed),AKS16,AHF16)</f>
        <v>0</v>
      </c>
      <c r="AOG16" s="20" t="n">
        <f aca="false">IF(AND(H_Direct=0,H_TaxEvt=1,ART15+1&gt;=H_Deemed),AKT16,AHG16)</f>
        <v>0</v>
      </c>
      <c r="AOH16" s="20" t="n">
        <f aca="false">IF(AND(H_Direct=0,H_TaxEvt=1,ARU15+1&gt;=H_Deemed),AKU16,AHH16)</f>
        <v>0</v>
      </c>
      <c r="AOI16" s="20" t="n">
        <f aca="false">IF(AND(H_Direct=0,H_TaxEvt=1,ARV15+1&gt;=H_Deemed),AKV16,AHI16)</f>
        <v>0</v>
      </c>
      <c r="AOJ16" s="20" t="n">
        <f aca="false">IF(AND(H_Direct=0,H_TaxEvt=1,ARW15+1&gt;=H_Deemed),AKW16,AHJ16)</f>
        <v>0</v>
      </c>
      <c r="AOK16" s="20" t="n">
        <f aca="false">IF(AND(H_Direct=0,H_TaxEvt=1,ARX15+1&gt;=H_Deemed),AKX16,AHK16)</f>
        <v>0</v>
      </c>
      <c r="AOL16" s="20" t="n">
        <f aca="false">IF(AND(H_Direct=0,H_TaxEvt=1,ARY15+1&gt;=H_Deemed),AKY16,AHL16)</f>
        <v>0</v>
      </c>
      <c r="AOM16" s="20" t="n">
        <f aca="false">IF(AND(H_Direct=0,H_TaxEvt=1,ARZ15+1&gt;=H_Deemed),AKZ16,AHM16)</f>
        <v>0</v>
      </c>
      <c r="AON16" s="20" t="n">
        <f aca="false">IF(AND(H_Direct=0,H_TaxEvt=1,0+1&gt;=H_Deemed),ALA16,AHN16)</f>
        <v>0</v>
      </c>
      <c r="AOO16" s="20" t="n">
        <v>0</v>
      </c>
      <c r="AOP16" s="20" t="n">
        <v>0</v>
      </c>
      <c r="AOQ16" s="20" t="n">
        <v>0</v>
      </c>
      <c r="AOR16" s="20" t="n">
        <v>0</v>
      </c>
      <c r="AOS16" s="20" t="n">
        <v>0</v>
      </c>
      <c r="AOT16" s="20" t="n">
        <v>0</v>
      </c>
      <c r="AOU16" s="20" t="n">
        <v>0</v>
      </c>
      <c r="AOV16" s="20" t="n">
        <v>0</v>
      </c>
      <c r="AOW16" s="20" t="n">
        <v>0</v>
      </c>
      <c r="AOX16" s="20" t="n">
        <v>0</v>
      </c>
      <c r="AOY16" s="20" t="n">
        <v>0</v>
      </c>
      <c r="AOZ16" s="20" t="n">
        <v>0</v>
      </c>
      <c r="APA16" s="20" t="n">
        <v>0</v>
      </c>
      <c r="APB16" s="20" t="n">
        <v>0</v>
      </c>
      <c r="APC16" s="20" t="n">
        <v>0</v>
      </c>
      <c r="APD16" s="20" t="n">
        <v>0</v>
      </c>
      <c r="APE16" s="20" t="n">
        <v>0</v>
      </c>
      <c r="APF16" s="20" t="n">
        <v>0</v>
      </c>
      <c r="APG16" s="20" t="n">
        <v>0</v>
      </c>
      <c r="APH16" s="20" t="n">
        <v>0</v>
      </c>
      <c r="API16" s="20" t="n">
        <v>0</v>
      </c>
      <c r="APJ16" s="20" t="n">
        <v>0</v>
      </c>
      <c r="APK16" s="20" t="n">
        <v>0</v>
      </c>
      <c r="APL16" s="20" t="n">
        <v>0</v>
      </c>
      <c r="APM16" s="20" t="n">
        <v>0</v>
      </c>
      <c r="APN16" s="20" t="n">
        <v>0</v>
      </c>
      <c r="APO16" s="20" t="n">
        <v>0</v>
      </c>
      <c r="APP16" s="20" t="n">
        <v>0</v>
      </c>
      <c r="APQ16" s="20" t="n">
        <v>0</v>
      </c>
      <c r="APR16" s="20" t="n">
        <v>0</v>
      </c>
      <c r="APS16" s="20" t="n">
        <v>0</v>
      </c>
      <c r="APT16" s="20" t="n">
        <v>0</v>
      </c>
      <c r="APU16" s="20" t="n">
        <v>0</v>
      </c>
      <c r="APV16" s="20" t="n">
        <v>0</v>
      </c>
      <c r="APW16" s="20" t="n">
        <v>0</v>
      </c>
      <c r="APX16" s="20" t="n">
        <v>0</v>
      </c>
      <c r="APY16" s="20" t="n">
        <v>0</v>
      </c>
      <c r="APZ16" s="20" t="n">
        <v>0</v>
      </c>
      <c r="AQA16" s="20" t="n">
        <v>0</v>
      </c>
      <c r="AQB16" s="20" t="n">
        <v>0</v>
      </c>
      <c r="AQC16" s="20" t="n">
        <v>0</v>
      </c>
      <c r="AQD16" s="20" t="n">
        <v>0</v>
      </c>
      <c r="AQE16" s="20" t="n">
        <v>0</v>
      </c>
      <c r="AQF16" s="20" t="n">
        <v>0</v>
      </c>
      <c r="AQG16" s="20" t="n">
        <v>0</v>
      </c>
      <c r="AQH16" s="20" t="n">
        <v>0</v>
      </c>
      <c r="AQI16" s="20" t="n">
        <v>0</v>
      </c>
      <c r="AQJ16" s="20" t="n">
        <v>0</v>
      </c>
      <c r="AQK16" s="20" t="n">
        <v>0</v>
      </c>
      <c r="AQL16" s="20" t="n">
        <v>0</v>
      </c>
      <c r="AQM16" s="20" t="n">
        <v>0</v>
      </c>
      <c r="AQN16" s="20" t="n">
        <v>0</v>
      </c>
      <c r="AQO16" s="20" t="n">
        <v>0</v>
      </c>
      <c r="AQP16" s="20" t="n">
        <v>0</v>
      </c>
      <c r="AQQ16" s="20" t="n">
        <v>0</v>
      </c>
      <c r="AQR16" s="20" t="n">
        <v>0</v>
      </c>
      <c r="AQS16" s="20" t="n">
        <v>0</v>
      </c>
      <c r="AQT16" s="20" t="n">
        <v>0</v>
      </c>
      <c r="AQU16" s="20" t="n">
        <v>0</v>
      </c>
      <c r="AQV16" s="20" t="n">
        <v>0</v>
      </c>
      <c r="AQW16" s="20" t="n">
        <v>0</v>
      </c>
      <c r="AQX16" s="20" t="n">
        <v>0</v>
      </c>
      <c r="AQY16" s="20" t="n">
        <v>0</v>
      </c>
      <c r="AQZ16" s="20" t="n">
        <v>0</v>
      </c>
      <c r="ARA16" s="20" t="n">
        <v>0</v>
      </c>
      <c r="ARB16" s="20" t="n">
        <v>0</v>
      </c>
      <c r="ARC16" s="20" t="n">
        <v>0</v>
      </c>
      <c r="ARD16" s="20" t="n">
        <v>0</v>
      </c>
      <c r="ARE16" s="20" t="n">
        <v>0</v>
      </c>
      <c r="ARF16" s="20" t="n">
        <v>0</v>
      </c>
      <c r="ARG16" s="20" t="n">
        <v>0</v>
      </c>
      <c r="ARH16" s="20" t="n">
        <v>0</v>
      </c>
      <c r="ARI16" s="20" t="n">
        <v>0</v>
      </c>
      <c r="ARJ16" s="20" t="n">
        <v>0</v>
      </c>
      <c r="ARK16" s="20" t="n">
        <v>0</v>
      </c>
      <c r="ARL16" s="20" t="n">
        <v>0</v>
      </c>
      <c r="ARM16" s="20" t="n">
        <v>0</v>
      </c>
      <c r="ARN16" s="20" t="n">
        <v>0</v>
      </c>
      <c r="ARO16" s="20" t="n">
        <v>0</v>
      </c>
      <c r="ARP16" s="20" t="n">
        <v>0</v>
      </c>
      <c r="ARQ16" s="20" t="n">
        <v>0</v>
      </c>
      <c r="ARR16" s="20" t="n">
        <f aca="false">IF(AND(H_Direct=0,H_TaxEvt=1),IF(ARR15+1&gt;=H_Deemed,0,ARR15+1),ARR15)</f>
        <v>1</v>
      </c>
      <c r="ARS16" s="20" t="n">
        <f aca="false">IF(AND(H_Direct=0,H_TaxEvt=1),IF(ARS15+1&gt;=H_Deemed,0,ARS15+1),ARS15)</f>
        <v>1</v>
      </c>
      <c r="ART16" s="20" t="n">
        <f aca="false">IF(AND(H_Direct=0,H_TaxEvt=1),IF(ART15+1&gt;=H_Deemed,0,ART15+1),ART15)</f>
        <v>0</v>
      </c>
      <c r="ARU16" s="20" t="n">
        <f aca="false">IF(AND(H_Direct=0,H_TaxEvt=1),IF(ARU15+1&gt;=H_Deemed,0,ARU15+1),ARU15)</f>
        <v>7</v>
      </c>
      <c r="ARV16" s="20" t="n">
        <f aca="false">IF(AND(H_Direct=0,H_TaxEvt=1),IF(ARV15+1&gt;=H_Deemed,0,ARV15+1),ARV15)</f>
        <v>6</v>
      </c>
      <c r="ARW16" s="20" t="n">
        <f aca="false">IF(AND(H_Direct=0,H_TaxEvt=1),IF(ARW15+1&gt;=H_Deemed,0,ARW15+1),ARW15)</f>
        <v>5</v>
      </c>
      <c r="ARX16" s="20" t="n">
        <f aca="false">IF(AND(H_Direct=0,H_TaxEvt=1),IF(ARX15+1&gt;=H_Deemed,0,ARX15+1),ARX15)</f>
        <v>4</v>
      </c>
      <c r="ARY16" s="20" t="n">
        <f aca="false">IF(AND(H_Direct=0,H_TaxEvt=1),IF(ARY15+1&gt;=H_Deemed,0,ARY15+1),ARY15)</f>
        <v>3</v>
      </c>
      <c r="ARZ16" s="20" t="n">
        <f aca="false">IF(AND(H_Direct=0,H_TaxEvt=1),IF(ARZ15+1&gt;=H_Deemed,0,ARZ15+1),ARZ15)</f>
        <v>2</v>
      </c>
      <c r="ASA16" s="20" t="n">
        <f aca="false">IF(AND(H_Direct=0,H_TaxEvt=1),IF(0+1&gt;=H_Deemed,0,0+1),0)</f>
        <v>1</v>
      </c>
      <c r="ASB16" s="20" t="n">
        <v>0</v>
      </c>
      <c r="ASC16" s="20" t="n">
        <v>0</v>
      </c>
      <c r="ASD16" s="20" t="n">
        <v>0</v>
      </c>
      <c r="ASE16" s="20" t="n">
        <v>0</v>
      </c>
      <c r="ASF16" s="20" t="n">
        <v>0</v>
      </c>
      <c r="ASG16" s="20" t="n">
        <v>0</v>
      </c>
      <c r="ASH16" s="20" t="n">
        <v>0</v>
      </c>
      <c r="ASI16" s="20" t="n">
        <v>0</v>
      </c>
      <c r="ASJ16" s="20" t="n">
        <v>0</v>
      </c>
      <c r="ASK16" s="20" t="n">
        <v>0</v>
      </c>
      <c r="ASL16" s="20" t="n">
        <v>0</v>
      </c>
      <c r="ASM16" s="20" t="n">
        <v>0</v>
      </c>
      <c r="ASN16" s="20" t="n">
        <v>0</v>
      </c>
      <c r="ASO16" s="20" t="n">
        <v>0</v>
      </c>
      <c r="ASP16" s="20" t="n">
        <v>0</v>
      </c>
      <c r="ASQ16" s="20" t="n">
        <v>0</v>
      </c>
      <c r="ASR16" s="20" t="n">
        <v>0</v>
      </c>
      <c r="ASS16" s="20" t="n">
        <v>0</v>
      </c>
      <c r="AST16" s="20" t="n">
        <v>0</v>
      </c>
      <c r="ASU16" s="20" t="n">
        <v>0</v>
      </c>
      <c r="ASV16" s="20" t="n">
        <v>0</v>
      </c>
      <c r="ASW16" s="20" t="n">
        <v>0</v>
      </c>
      <c r="ASX16" s="20" t="n">
        <v>0</v>
      </c>
      <c r="ASY16" s="20" t="n">
        <v>0</v>
      </c>
      <c r="ASZ16" s="20" t="n">
        <v>0</v>
      </c>
      <c r="ATA16" s="20" t="n">
        <v>0</v>
      </c>
      <c r="ATB16" s="20" t="n">
        <v>0</v>
      </c>
      <c r="ATC16" s="20" t="n">
        <v>0</v>
      </c>
      <c r="ATD16" s="20" t="n">
        <v>0</v>
      </c>
      <c r="ATE16" s="20" t="n">
        <v>0</v>
      </c>
      <c r="ATF16" s="20" t="n">
        <v>0</v>
      </c>
      <c r="ATG16" s="20" t="n">
        <v>0</v>
      </c>
      <c r="ATH16" s="20" t="n">
        <v>0</v>
      </c>
      <c r="ATI16" s="20" t="n">
        <v>0</v>
      </c>
      <c r="ATJ16" s="20" t="n">
        <v>0</v>
      </c>
      <c r="ATK16" s="20" t="n">
        <v>0</v>
      </c>
      <c r="ATL16" s="20" t="n">
        <v>0</v>
      </c>
      <c r="ATM16" s="20" t="n">
        <v>0</v>
      </c>
      <c r="ATN16" s="20" t="n">
        <v>0</v>
      </c>
      <c r="ATO16" s="20" t="n">
        <v>0</v>
      </c>
      <c r="ATP16" s="20" t="n">
        <v>0</v>
      </c>
      <c r="ATQ16" s="20" t="n">
        <v>0</v>
      </c>
      <c r="ATR16" s="20" t="n">
        <v>0</v>
      </c>
      <c r="ATS16" s="20" t="n">
        <v>0</v>
      </c>
      <c r="ATT16" s="20" t="n">
        <v>0</v>
      </c>
      <c r="ATU16" s="20" t="n">
        <v>0</v>
      </c>
      <c r="ATV16" s="20" t="n">
        <v>0</v>
      </c>
      <c r="ATW16" s="20" t="n">
        <v>0</v>
      </c>
      <c r="ATX16" s="20" t="n">
        <v>0</v>
      </c>
      <c r="ATY16" s="20" t="n">
        <v>0</v>
      </c>
      <c r="ATZ16" s="20" t="n">
        <v>0</v>
      </c>
      <c r="AUA16" s="20" t="n">
        <v>0</v>
      </c>
      <c r="AUB16" s="20" t="n">
        <v>0</v>
      </c>
      <c r="AUC16" s="20" t="n">
        <v>0</v>
      </c>
      <c r="AUD16" s="20" t="n">
        <v>0</v>
      </c>
      <c r="AUE16" s="20" t="n">
        <v>0</v>
      </c>
      <c r="AUF16" s="20" t="n">
        <v>0</v>
      </c>
      <c r="AUG16" s="20" t="n">
        <v>0</v>
      </c>
      <c r="AUH16" s="20" t="n">
        <v>0</v>
      </c>
      <c r="AUI16" s="20" t="n">
        <v>0</v>
      </c>
      <c r="AUJ16" s="20" t="n">
        <v>0</v>
      </c>
      <c r="AUK16" s="20" t="n">
        <v>0</v>
      </c>
      <c r="AUL16" s="20" t="n">
        <v>0</v>
      </c>
      <c r="AUM16" s="20" t="n">
        <v>0</v>
      </c>
      <c r="AUN16" s="20" t="n">
        <v>0</v>
      </c>
      <c r="AUO16" s="20" t="n">
        <v>0</v>
      </c>
      <c r="AUP16" s="20" t="n">
        <v>0</v>
      </c>
      <c r="AUQ16" s="20" t="n">
        <v>0</v>
      </c>
      <c r="AUR16" s="20" t="n">
        <v>0</v>
      </c>
      <c r="AUS16" s="20" t="n">
        <v>0</v>
      </c>
      <c r="AUT16" s="20" t="n">
        <v>0</v>
      </c>
      <c r="AUU16" s="20" t="n">
        <v>0</v>
      </c>
      <c r="AUV16" s="20" t="n">
        <v>0</v>
      </c>
      <c r="AUW16" s="20" t="n">
        <v>0</v>
      </c>
      <c r="AUX16" s="20" t="n">
        <v>0</v>
      </c>
      <c r="AUY16" s="20" t="n">
        <v>0</v>
      </c>
      <c r="AUZ16" s="20" t="n">
        <v>0</v>
      </c>
      <c r="AVA16" s="20" t="n">
        <v>0</v>
      </c>
      <c r="AVB16" s="20" t="n">
        <v>0</v>
      </c>
      <c r="AVC16" s="20" t="n">
        <v>0</v>
      </c>
      <c r="AVD16" s="20" t="n">
        <v>0</v>
      </c>
      <c r="AVE16" s="20" t="n">
        <f aca="false">IF(AND(H_Direct=0,H_TaxEvt=1,ARR15+1&gt;=H_Deemed),MAX(0,ADR16-AHE16)*H_Exit,0)</f>
        <v>0</v>
      </c>
      <c r="AVF16" s="20" t="n">
        <f aca="false">IF(AND(H_Direct=0,H_TaxEvt=1,ARS15+1&gt;=H_Deemed),MAX(0,ADS16-AHF16)*H_Exit,0)</f>
        <v>0</v>
      </c>
      <c r="AVG16" s="20" t="n">
        <f aca="false">IF(AND(H_Direct=0,H_TaxEvt=1,ART15+1&gt;=H_Deemed),MAX(0,ADT16-AHG16)*H_Exit,0)</f>
        <v>0</v>
      </c>
      <c r="AVH16" s="20" t="n">
        <f aca="false">IF(AND(H_Direct=0,H_TaxEvt=1,ARU15+1&gt;=H_Deemed),MAX(0,ADU16-AHH16)*H_Exit,0)</f>
        <v>0</v>
      </c>
      <c r="AVI16" s="20" t="n">
        <f aca="false">IF(AND(H_Direct=0,H_TaxEvt=1,ARV15+1&gt;=H_Deemed),MAX(0,ADV16-AHI16)*H_Exit,0)</f>
        <v>0</v>
      </c>
      <c r="AVJ16" s="20" t="n">
        <f aca="false">IF(AND(H_Direct=0,H_TaxEvt=1,ARW15+1&gt;=H_Deemed),MAX(0,ADW16-AHJ16)*H_Exit,0)</f>
        <v>0</v>
      </c>
      <c r="AVK16" s="20" t="n">
        <f aca="false">IF(AND(H_Direct=0,H_TaxEvt=1,ARX15+1&gt;=H_Deemed),MAX(0,ADX16-AHK16)*H_Exit,0)</f>
        <v>0</v>
      </c>
      <c r="AVL16" s="20" t="n">
        <f aca="false">IF(AND(H_Direct=0,H_TaxEvt=1,ARY15+1&gt;=H_Deemed),MAX(0,ADY16-AHL16)*H_Exit,0)</f>
        <v>0</v>
      </c>
      <c r="AVM16" s="20" t="n">
        <f aca="false">IF(AND(H_Direct=0,H_TaxEvt=1,ARZ15+1&gt;=H_Deemed),MAX(0,ADZ16-AHM16)*H_Exit,0)</f>
        <v>0</v>
      </c>
      <c r="AVN16" s="20" t="n">
        <f aca="false">IF(AND(H_Direct=0,H_TaxEvt=1,0+1&gt;=H_Deemed),MAX(0,AEA16-AHN16)*H_Exit,0)</f>
        <v>0</v>
      </c>
      <c r="AVO16" s="20" t="n">
        <v>0</v>
      </c>
      <c r="AVP16" s="20" t="n">
        <v>0</v>
      </c>
      <c r="AVQ16" s="20" t="n">
        <v>0</v>
      </c>
      <c r="AVR16" s="20" t="n">
        <v>0</v>
      </c>
      <c r="AVS16" s="20" t="n">
        <v>0</v>
      </c>
      <c r="AVT16" s="20" t="n">
        <v>0</v>
      </c>
      <c r="AVU16" s="20" t="n">
        <v>0</v>
      </c>
      <c r="AVV16" s="20" t="n">
        <v>0</v>
      </c>
      <c r="AVW16" s="20" t="n">
        <v>0</v>
      </c>
      <c r="AVX16" s="20" t="n">
        <v>0</v>
      </c>
      <c r="AVY16" s="20" t="n">
        <v>0</v>
      </c>
      <c r="AVZ16" s="20" t="n">
        <v>0</v>
      </c>
      <c r="AWA16" s="20" t="n">
        <v>0</v>
      </c>
      <c r="AWB16" s="20" t="n">
        <v>0</v>
      </c>
      <c r="AWC16" s="20" t="n">
        <v>0</v>
      </c>
      <c r="AWD16" s="20" t="n">
        <v>0</v>
      </c>
      <c r="AWE16" s="20" t="n">
        <v>0</v>
      </c>
      <c r="AWF16" s="20" t="n">
        <v>0</v>
      </c>
      <c r="AWG16" s="20" t="n">
        <v>0</v>
      </c>
      <c r="AWH16" s="20" t="n">
        <v>0</v>
      </c>
      <c r="AWI16" s="20" t="n">
        <v>0</v>
      </c>
      <c r="AWJ16" s="20" t="n">
        <v>0</v>
      </c>
      <c r="AWK16" s="20" t="n">
        <v>0</v>
      </c>
      <c r="AWL16" s="20" t="n">
        <v>0</v>
      </c>
      <c r="AWM16" s="20" t="n">
        <v>0</v>
      </c>
      <c r="AWN16" s="20" t="n">
        <v>0</v>
      </c>
      <c r="AWO16" s="20" t="n">
        <v>0</v>
      </c>
      <c r="AWP16" s="20" t="n">
        <v>0</v>
      </c>
      <c r="AWQ16" s="20" t="n">
        <v>0</v>
      </c>
      <c r="AWR16" s="20" t="n">
        <v>0</v>
      </c>
      <c r="AWS16" s="20" t="n">
        <v>0</v>
      </c>
      <c r="AWT16" s="20" t="n">
        <v>0</v>
      </c>
      <c r="AWU16" s="20" t="n">
        <v>0</v>
      </c>
      <c r="AWV16" s="20" t="n">
        <v>0</v>
      </c>
      <c r="AWW16" s="20" t="n">
        <v>0</v>
      </c>
      <c r="AWX16" s="20" t="n">
        <v>0</v>
      </c>
      <c r="AWY16" s="20" t="n">
        <v>0</v>
      </c>
      <c r="AWZ16" s="20" t="n">
        <v>0</v>
      </c>
      <c r="AXA16" s="20" t="n">
        <v>0</v>
      </c>
      <c r="AXB16" s="20" t="n">
        <v>0</v>
      </c>
      <c r="AXC16" s="20" t="n">
        <v>0</v>
      </c>
      <c r="AXD16" s="20" t="n">
        <v>0</v>
      </c>
      <c r="AXE16" s="20" t="n">
        <v>0</v>
      </c>
      <c r="AXF16" s="20" t="n">
        <v>0</v>
      </c>
      <c r="AXG16" s="20" t="n">
        <v>0</v>
      </c>
      <c r="AXH16" s="20" t="n">
        <v>0</v>
      </c>
      <c r="AXI16" s="20" t="n">
        <v>0</v>
      </c>
      <c r="AXJ16" s="20" t="n">
        <v>0</v>
      </c>
      <c r="AXK16" s="20" t="n">
        <v>0</v>
      </c>
      <c r="AXL16" s="20" t="n">
        <v>0</v>
      </c>
      <c r="AXM16" s="20" t="n">
        <v>0</v>
      </c>
      <c r="AXN16" s="20" t="n">
        <v>0</v>
      </c>
      <c r="AXO16" s="20" t="n">
        <v>0</v>
      </c>
      <c r="AXP16" s="20" t="n">
        <v>0</v>
      </c>
      <c r="AXQ16" s="20" t="n">
        <v>0</v>
      </c>
      <c r="AXR16" s="20" t="n">
        <v>0</v>
      </c>
      <c r="AXS16" s="20" t="n">
        <v>0</v>
      </c>
      <c r="AXT16" s="20" t="n">
        <v>0</v>
      </c>
      <c r="AXU16" s="20" t="n">
        <v>0</v>
      </c>
      <c r="AXV16" s="20" t="n">
        <v>0</v>
      </c>
      <c r="AXW16" s="20" t="n">
        <v>0</v>
      </c>
      <c r="AXX16" s="20" t="n">
        <v>0</v>
      </c>
      <c r="AXY16" s="20" t="n">
        <v>0</v>
      </c>
      <c r="AXZ16" s="20" t="n">
        <v>0</v>
      </c>
      <c r="AYA16" s="20" t="n">
        <v>0</v>
      </c>
      <c r="AYB16" s="20" t="n">
        <v>0</v>
      </c>
      <c r="AYC16" s="20" t="n">
        <v>0</v>
      </c>
      <c r="AYD16" s="20" t="n">
        <v>0</v>
      </c>
      <c r="AYE16" s="20" t="n">
        <v>0</v>
      </c>
      <c r="AYF16" s="20" t="n">
        <v>0</v>
      </c>
      <c r="AYG16" s="20" t="n">
        <v>0</v>
      </c>
      <c r="AYH16" s="20" t="n">
        <v>0</v>
      </c>
      <c r="AYI16" s="20" t="n">
        <v>0</v>
      </c>
      <c r="AYJ16" s="20" t="n">
        <v>0</v>
      </c>
      <c r="AYK16" s="20" t="n">
        <v>0</v>
      </c>
      <c r="AYL16" s="20" t="n">
        <v>0</v>
      </c>
      <c r="AYM16" s="20" t="n">
        <v>0</v>
      </c>
      <c r="AYN16" s="20" t="n">
        <v>0</v>
      </c>
      <c r="AYO16" s="20" t="n">
        <v>0</v>
      </c>
      <c r="AYP16" s="20" t="n">
        <v>0</v>
      </c>
      <c r="AYQ16" s="20" t="n">
        <v>0</v>
      </c>
    </row>
    <row r="17" customFormat="false" ht="15" hidden="false" customHeight="false" outlineLevel="0" collapsed="false">
      <c r="B17" s="20" t="n">
        <v>9</v>
      </c>
      <c r="C17" s="20" t="n">
        <f aca="false">'Plan cashflow'!C17</f>
        <v>1</v>
      </c>
      <c r="D17" s="20" t="n">
        <f aca="false">'Plan cashflow'!D17</f>
        <v>47</v>
      </c>
      <c r="E17" s="20" t="n">
        <f aca="false">AS_Year0+9</f>
        <v>2035</v>
      </c>
      <c r="F17" s="50" t="n">
        <f aca="false">'Plan cashflow'!F17</f>
        <v>1.19509256862231</v>
      </c>
      <c r="G17" s="59" t="n">
        <f aca="true">IF(MAX(TODAY(),DATE(E17,1,1))&gt;=H_CGTfrom,H_CGT1,H_CGT0)</f>
        <v>0.31</v>
      </c>
      <c r="H17" s="20" t="n">
        <f aca="false">H_Exempt*H_Persons</f>
        <v>1270</v>
      </c>
      <c r="I17" s="20" t="n">
        <f aca="false">AX16</f>
        <v>0</v>
      </c>
      <c r="J17" s="60" t="n">
        <f aca="false">BF16</f>
        <v>0</v>
      </c>
      <c r="K17" s="60" t="n">
        <f aca="false">BG16</f>
        <v>0</v>
      </c>
      <c r="L17" s="20" t="n">
        <f aca="false">IF(AND(In_polLump&gt;0,In_polLumpAge&gt;0,D17=In_polLumpAge),In_polLump,0)</f>
        <v>0</v>
      </c>
      <c r="M17" s="20" t="n">
        <f aca="false">IF(AND(In_homeUse="Yes, I'd downsize",In_downAge&gt;0,D17=In_downAge,OR(In_home="Own outright",In_home="Own with mortgage"),In_homeValue&gt;0),MAX(0,MAX(0,In_homeValue-In_downValue)*F17*0.9-'Plan cashflow'!HR16),0)</f>
        <v>0</v>
      </c>
      <c r="N17" s="20" t="n">
        <f aca="false">'Plan pay &amp; tax'!Y243</f>
        <v>0</v>
      </c>
      <c r="O17" s="20" t="n">
        <f aca="false">L17+M17+(1-H_Sh)*N17</f>
        <v>0</v>
      </c>
      <c r="P17" s="20" t="n">
        <f aca="false">H_Sh*N17</f>
        <v>0</v>
      </c>
      <c r="Q17" s="20" t="n">
        <f aca="false">'Plan cashflow'!UL17</f>
        <v>0</v>
      </c>
      <c r="R17" s="20" t="n">
        <f aca="false">(1-H_Sh)*Q17</f>
        <v>0</v>
      </c>
      <c r="S17" s="20" t="n">
        <f aca="false">H_Sh*Q17</f>
        <v>0</v>
      </c>
      <c r="T17" s="20" t="n">
        <f aca="false">J17+K17+O17</f>
        <v>0</v>
      </c>
      <c r="U17" s="20" t="n">
        <f aca="false">T17+R17</f>
        <v>0</v>
      </c>
      <c r="V17" s="60" t="n">
        <f aca="false">SUM(FE17:IQ17)</f>
        <v>0</v>
      </c>
      <c r="W17" s="60" t="n">
        <f aca="false">IF(AJ17&lt;=0,0,IF(AL17&lt;=0,AJ17,AJ17-G17*MAX(0,AL17*AJ17-(AY17+AZ17))))</f>
        <v>0</v>
      </c>
      <c r="X17" s="60" t="n">
        <f aca="false">IF(AR17&lt;=0,0,IF(AT17&lt;=0,AR17,AR17-G17*MAX(0,AT17*AR17-(BA17+BB17))))</f>
        <v>0</v>
      </c>
      <c r="Y17" s="60" t="n">
        <f aca="false">T17+V17-S17+W17+X17</f>
        <v>0</v>
      </c>
      <c r="Z17" s="60" t="n">
        <f aca="false">'Plan cashflow'!UK17</f>
        <v>0</v>
      </c>
      <c r="AA17" s="20" t="n">
        <f aca="false">MIN(Z17,U17)</f>
        <v>0</v>
      </c>
      <c r="AB17" s="20" t="n">
        <f aca="false">Z17-AA17</f>
        <v>0</v>
      </c>
      <c r="AC17" s="20" t="n">
        <f aca="false">MIN(AA17,J17+O17+R17)</f>
        <v>0</v>
      </c>
      <c r="AD17" s="20" t="n">
        <f aca="false">AA17-AC17</f>
        <v>0</v>
      </c>
      <c r="AE17" s="20" t="n">
        <f aca="false">J17+O17+R17-AC17</f>
        <v>0</v>
      </c>
      <c r="AF17" s="20" t="n">
        <f aca="false">K17-AD17</f>
        <v>0</v>
      </c>
      <c r="AG17" s="20" t="n">
        <f aca="false">SUM(PR17:TD17)</f>
        <v>0</v>
      </c>
      <c r="AH17" s="20" t="n">
        <f aca="false">SUM(TE17:WQ17)</f>
        <v>0</v>
      </c>
      <c r="AI17" s="20" t="n">
        <f aca="false">MAX(0,AB17-AG17)</f>
        <v>0</v>
      </c>
      <c r="AJ17" s="57" t="n">
        <f aca="false">BI16</f>
        <v>0</v>
      </c>
      <c r="AK17" s="20" t="n">
        <f aca="false">BJ16</f>
        <v>0</v>
      </c>
      <c r="AL17" s="20" t="n">
        <f aca="false">IF(AJ17&gt;0,(AJ17-AK17)/AJ17,0)</f>
        <v>0</v>
      </c>
      <c r="AM17" s="20" t="n">
        <f aca="false">IF(AJ17&lt;=0,0,IF(AL17&lt;=0,MIN(AI17,AJ17),MIN(AI17,AJ17-G17*MAX(0,AL17*AJ17-(AAD17+ADQ17)))))</f>
        <v>0</v>
      </c>
      <c r="AN17" s="20" t="n">
        <f aca="false">IF(AJ17&lt;=0,0,IF(AL17&lt;=0,AM17,IF(AM17&lt;=(AAD17+ADQ17)/AL17,AM17,(AM17-G17*(AAD17+ADQ17))/(1-G17*AL17))))</f>
        <v>0</v>
      </c>
      <c r="AO17" s="20" t="n">
        <f aca="false">IF(AL17&gt;0,MAX(0,AAD17-(MIN(AL17*AN17,(AAD17+ADQ17))-MIN(MIN(AL17*AN17,(AAD17+ADQ17)),ADQ17))),AAD17)</f>
        <v>1270</v>
      </c>
      <c r="AP17" s="20" t="n">
        <f aca="false">IF(AL17&lt;=0,ADQ17-AL17*AN17,ADQ17-MIN(MIN(AL17*AN17,(AAD17+ADQ17)),ADQ17))</f>
        <v>0</v>
      </c>
      <c r="AQ17" s="20" t="n">
        <f aca="false">MAX(0,AI17-AM17)</f>
        <v>0</v>
      </c>
      <c r="AR17" s="57" t="n">
        <f aca="false">BK16</f>
        <v>0</v>
      </c>
      <c r="AS17" s="20" t="n">
        <f aca="false">BL16</f>
        <v>0</v>
      </c>
      <c r="AT17" s="20" t="n">
        <f aca="false">IF(AR17&gt;0,(AR17-AS17)/AR17,0)</f>
        <v>0</v>
      </c>
      <c r="AU17" s="20" t="n">
        <f aca="false">IF(AR17&lt;=0,0,IF(AT17&lt;=0,MIN(AQ17,AR17),MIN(AQ17,AR17-G17*MAX(0,AT17*AR17-(AO17+AP17)))))</f>
        <v>0</v>
      </c>
      <c r="AV17" s="20" t="n">
        <f aca="false">IF(AR17&lt;=0,0,IF(AT17&lt;=0,AU17,IF(AU17&lt;=(AO17+AP17)/AT17,AU17,(AU17-G17*(AO17+AP17))/(1-G17*AT17))))</f>
        <v>0</v>
      </c>
      <c r="AW17" s="20" t="n">
        <f aca="false">IF(AT17&gt;0,MAX(0,AO17-(MIN(AT17*AV17,(AO17+AP17))-MIN(MIN(AT17*AV17,(AO17+AP17)),AP17))),AO17)</f>
        <v>1270</v>
      </c>
      <c r="AX17" s="20" t="n">
        <f aca="false">IF(AT17&lt;=0,AP17-AT17*AV17,AP17-MIN(MIN(AT17*AV17,(AO17+AP17)),AP17))</f>
        <v>0</v>
      </c>
      <c r="AY17" s="20" t="n">
        <f aca="false">MD17</f>
        <v>1270</v>
      </c>
      <c r="AZ17" s="20" t="n">
        <f aca="false">PQ17</f>
        <v>0</v>
      </c>
      <c r="BA17" s="20" t="n">
        <f aca="false">IF(AL17&gt;0,MAX(0,AY17-(MIN(AL17*AJ17,AY17+AZ17)-MIN(MIN(AL17*AJ17,AY17+AZ17),AZ17))),AY17)</f>
        <v>1270</v>
      </c>
      <c r="BB17" s="20" t="n">
        <f aca="false">IF(AL17&lt;=0,AZ17-AL17*AJ17,AZ17-MIN(MIN(AL17*AJ17,AY17+AZ17),AZ17))</f>
        <v>0</v>
      </c>
      <c r="BC17" s="20" t="n">
        <f aca="false">'Plan cashflow'!UM17</f>
        <v>0</v>
      </c>
      <c r="BD17" s="20" t="n">
        <f aca="false">(1-H_Sh)*BC17</f>
        <v>0</v>
      </c>
      <c r="BE17" s="20" t="n">
        <f aca="false">H_Sh*BC17</f>
        <v>0</v>
      </c>
      <c r="BF17" s="60" t="n">
        <f aca="false">(AE17+BD17)*(1+AS_Cash)</f>
        <v>0</v>
      </c>
      <c r="BG17" s="60" t="n">
        <f aca="false">AF17*(1+AS_Cash)</f>
        <v>0</v>
      </c>
      <c r="BH17" s="60" t="n">
        <f aca="false">SUM(AKR17:AOD17)</f>
        <v>0</v>
      </c>
      <c r="BI17" s="60" t="n">
        <f aca="false">(AJ17-AN17)*(1+AS_Infl)</f>
        <v>0</v>
      </c>
      <c r="BJ17" s="20" t="n">
        <f aca="false">IF(AJ17&gt;0,AK17-AK17*AN17/AJ17,0)</f>
        <v>0</v>
      </c>
      <c r="BK17" s="60" t="n">
        <f aca="false">(AR17-AV17)*(1+BQ17)</f>
        <v>0</v>
      </c>
      <c r="BL17" s="20" t="n">
        <f aca="false">IF(AR17&gt;0,AS17-AS17*AV17/AR17,0)</f>
        <v>0</v>
      </c>
      <c r="BM17" s="60" t="n">
        <f aca="false">BF17+BG17+BH17+BI17+BK17</f>
        <v>0</v>
      </c>
      <c r="BN17" s="60" t="n">
        <f aca="false">(AH17-AG17)+(AN17-AM17)+(AV17-AU17)</f>
        <v>0</v>
      </c>
      <c r="BO17" s="20" t="n">
        <f aca="false">(AE17+BD17+AF17+MAX(0,'Plan cashflow'!QH17)+IF(Slot1_Rate=AS_Cash,'Plan cashflow'!QM17/(1+AS_Cash),0)+IF(Slot2_Rate=AS_Cash,'Plan cashflow'!QQ17/(1+AS_Cash),0)+IF(Slot3_Rate=AS_Cash,'Plan cashflow'!QU17/(1+AS_Cash),0)+IF(Slot4_Rate=AS_Cash,'Plan cashflow'!QY17/(1+AS_Cash),0)+IF(Slot5_Rate=AS_Cash,'Plan cashflow'!RC17/(1+AS_Cash),0)+IF(Slot6_Rate=AS_Cash,'Plan cashflow'!RG17/(1+AS_Cash),0)+IF(Slot7_Rate=AS_Cash,'Plan cashflow'!RK17/(1+AS_Cash),0)+IF(Slot8_Rate=AS_Cash,'Plan cashflow'!RO17/(1+AS_Cash),0)+IF(Slot9_Rate=AS_Cash,'Plan cashflow'!RS17/(1+AS_Cash),0)+IF(Slot10_Rate=AS_Cash,'Plan cashflow'!RW17/(1+AS_Cash),0)+IF(Slot11_Rate=AS_Cash,'Plan cashflow'!SA17/(1+AS_Cash),0)+IF(Slot12_Rate=AS_Cash,'Plan cashflow'!SE17/(1+AS_Cash),0)+IF(Slot13_Rate=AS_Cash,'Plan cashflow'!SI17/(1+AS_Cash),0)+IF(Slot14_Rate=AS_Cash,'Plan cashflow'!SM17/(1+AS_Cash),0)+IF(Slot15_Rate=AS_Cash,'Plan cashflow'!SQ17/(1+AS_Cash),0)+IF(Slot16_Rate=AS_Cash,'Plan cashflow'!SU17/(1+AS_Cash),0)+IF(Slot17_Rate=AS_Cash,'Plan cashflow'!SY17/(1+AS_Cash),0)+IF(Slot18_Rate=AS_Cash,'Plan cashflow'!TC17/(1+AS_Cash),0)+IF(Slot19_Rate=AS_Cash,'Plan cashflow'!TG17/(1+AS_Cash),0)+IF(Slot20_Rate=AS_Cash,'Plan cashflow'!TK17/(1+AS_Cash),0))*AS_Cash*H_DIRT/(1-H_DIRT)</f>
        <v>60.0857567293819</v>
      </c>
      <c r="BP17" s="60" t="n">
        <f aca="false">SUM(AVE17:AYQ17)</f>
        <v>0</v>
      </c>
      <c r="BQ17" s="54" t="n">
        <f aca="false">IF(H_TaxEvt=1,H_InvG,AS_Inv)</f>
        <v>0.04</v>
      </c>
      <c r="BR17" s="20" t="n">
        <f aca="false">IF(AKR16&gt;0,(AKR16-AOE16)/AKR16,0)</f>
        <v>0</v>
      </c>
      <c r="BS17" s="20" t="n">
        <f aca="false">IF(AKS16&gt;0,(AKS16-AOF16)/AKS16,0)</f>
        <v>0</v>
      </c>
      <c r="BT17" s="20" t="n">
        <f aca="false">IF(AKT16&gt;0,(AKT16-AOG16)/AKT16,0)</f>
        <v>0</v>
      </c>
      <c r="BU17" s="20" t="n">
        <f aca="false">IF(AKU16&gt;0,(AKU16-AOH16)/AKU16,0)</f>
        <v>0</v>
      </c>
      <c r="BV17" s="20" t="n">
        <f aca="false">IF(AKV16&gt;0,(AKV16-AOI16)/AKV16,0)</f>
        <v>0</v>
      </c>
      <c r="BW17" s="20" t="n">
        <f aca="false">IF(AKW16&gt;0,(AKW16-AOJ16)/AKW16,0)</f>
        <v>0</v>
      </c>
      <c r="BX17" s="20" t="n">
        <f aca="false">IF(AKX16&gt;0,(AKX16-AOK16)/AKX16,0)</f>
        <v>0</v>
      </c>
      <c r="BY17" s="20" t="n">
        <f aca="false">IF(AKY16&gt;0,(AKY16-AOL16)/AKY16,0)</f>
        <v>0</v>
      </c>
      <c r="BZ17" s="20" t="n">
        <f aca="false">IF(AKZ16&gt;0,(AKZ16-AOM16)/AKZ16,0)</f>
        <v>0</v>
      </c>
      <c r="CA17" s="20" t="n">
        <f aca="false">IF(ALA16&gt;0,(ALA16-AON16)/ALA16,0)</f>
        <v>0</v>
      </c>
      <c r="CB17" s="20" t="n">
        <f aca="false">IF((P17+S17)&gt;0,((P17+S17)-(P17+S17))/(P17+S17),0)</f>
        <v>0</v>
      </c>
      <c r="CC17" s="20" t="n">
        <v>0</v>
      </c>
      <c r="CD17" s="20" t="n">
        <v>0</v>
      </c>
      <c r="CE17" s="20" t="n">
        <v>0</v>
      </c>
      <c r="CF17" s="20" t="n">
        <v>0</v>
      </c>
      <c r="CG17" s="20" t="n">
        <v>0</v>
      </c>
      <c r="CH17" s="20" t="n">
        <v>0</v>
      </c>
      <c r="CI17" s="20" t="n">
        <v>0</v>
      </c>
      <c r="CJ17" s="20" t="n">
        <v>0</v>
      </c>
      <c r="CK17" s="20" t="n">
        <v>0</v>
      </c>
      <c r="CL17" s="20" t="n">
        <v>0</v>
      </c>
      <c r="CM17" s="20" t="n">
        <v>0</v>
      </c>
      <c r="CN17" s="20" t="n">
        <v>0</v>
      </c>
      <c r="CO17" s="20" t="n">
        <v>0</v>
      </c>
      <c r="CP17" s="20" t="n">
        <v>0</v>
      </c>
      <c r="CQ17" s="20" t="n">
        <v>0</v>
      </c>
      <c r="CR17" s="20" t="n">
        <v>0</v>
      </c>
      <c r="CS17" s="20" t="n">
        <v>0</v>
      </c>
      <c r="CT17" s="20" t="n">
        <v>0</v>
      </c>
      <c r="CU17" s="20" t="n">
        <v>0</v>
      </c>
      <c r="CV17" s="20" t="n">
        <v>0</v>
      </c>
      <c r="CW17" s="20" t="n">
        <v>0</v>
      </c>
      <c r="CX17" s="20" t="n">
        <v>0</v>
      </c>
      <c r="CY17" s="20" t="n">
        <v>0</v>
      </c>
      <c r="CZ17" s="20" t="n">
        <v>0</v>
      </c>
      <c r="DA17" s="20" t="n">
        <v>0</v>
      </c>
      <c r="DB17" s="20" t="n">
        <v>0</v>
      </c>
      <c r="DC17" s="20" t="n">
        <v>0</v>
      </c>
      <c r="DD17" s="20" t="n">
        <v>0</v>
      </c>
      <c r="DE17" s="20" t="n">
        <v>0</v>
      </c>
      <c r="DF17" s="20" t="n">
        <v>0</v>
      </c>
      <c r="DG17" s="20" t="n">
        <v>0</v>
      </c>
      <c r="DH17" s="20" t="n">
        <v>0</v>
      </c>
      <c r="DI17" s="20" t="n">
        <v>0</v>
      </c>
      <c r="DJ17" s="20" t="n">
        <v>0</v>
      </c>
      <c r="DK17" s="20" t="n">
        <v>0</v>
      </c>
      <c r="DL17" s="20" t="n">
        <v>0</v>
      </c>
      <c r="DM17" s="20" t="n">
        <v>0</v>
      </c>
      <c r="DN17" s="20" t="n">
        <v>0</v>
      </c>
      <c r="DO17" s="20" t="n">
        <v>0</v>
      </c>
      <c r="DP17" s="20" t="n">
        <v>0</v>
      </c>
      <c r="DQ17" s="20" t="n">
        <v>0</v>
      </c>
      <c r="DR17" s="20" t="n">
        <v>0</v>
      </c>
      <c r="DS17" s="20" t="n">
        <v>0</v>
      </c>
      <c r="DT17" s="20" t="n">
        <v>0</v>
      </c>
      <c r="DU17" s="20" t="n">
        <v>0</v>
      </c>
      <c r="DV17" s="20" t="n">
        <v>0</v>
      </c>
      <c r="DW17" s="20" t="n">
        <v>0</v>
      </c>
      <c r="DX17" s="20" t="n">
        <v>0</v>
      </c>
      <c r="DY17" s="20" t="n">
        <v>0</v>
      </c>
      <c r="DZ17" s="20" t="n">
        <v>0</v>
      </c>
      <c r="EA17" s="20" t="n">
        <v>0</v>
      </c>
      <c r="EB17" s="20" t="n">
        <v>0</v>
      </c>
      <c r="EC17" s="20" t="n">
        <v>0</v>
      </c>
      <c r="ED17" s="20" t="n">
        <v>0</v>
      </c>
      <c r="EE17" s="20" t="n">
        <v>0</v>
      </c>
      <c r="EF17" s="20" t="n">
        <v>0</v>
      </c>
      <c r="EG17" s="20" t="n">
        <v>0</v>
      </c>
      <c r="EH17" s="20" t="n">
        <v>0</v>
      </c>
      <c r="EI17" s="20" t="n">
        <v>0</v>
      </c>
      <c r="EJ17" s="20" t="n">
        <v>0</v>
      </c>
      <c r="EK17" s="20" t="n">
        <v>0</v>
      </c>
      <c r="EL17" s="20" t="n">
        <v>0</v>
      </c>
      <c r="EM17" s="20" t="n">
        <v>0</v>
      </c>
      <c r="EN17" s="20" t="n">
        <v>0</v>
      </c>
      <c r="EO17" s="20" t="n">
        <v>0</v>
      </c>
      <c r="EP17" s="20" t="n">
        <v>0</v>
      </c>
      <c r="EQ17" s="20" t="n">
        <v>0</v>
      </c>
      <c r="ER17" s="20" t="n">
        <v>0</v>
      </c>
      <c r="ES17" s="20" t="n">
        <v>0</v>
      </c>
      <c r="ET17" s="20" t="n">
        <v>0</v>
      </c>
      <c r="EU17" s="20" t="n">
        <v>0</v>
      </c>
      <c r="EV17" s="20" t="n">
        <v>0</v>
      </c>
      <c r="EW17" s="20" t="n">
        <v>0</v>
      </c>
      <c r="EX17" s="20" t="n">
        <v>0</v>
      </c>
      <c r="EY17" s="20" t="n">
        <v>0</v>
      </c>
      <c r="EZ17" s="20" t="n">
        <v>0</v>
      </c>
      <c r="FA17" s="20" t="n">
        <v>0</v>
      </c>
      <c r="FB17" s="20" t="n">
        <v>0</v>
      </c>
      <c r="FC17" s="20" t="n">
        <v>0</v>
      </c>
      <c r="FD17" s="20" t="n">
        <v>0</v>
      </c>
      <c r="FE17" s="20" t="n">
        <f aca="false">IF(H_Direct=1,IF(AKR16&lt;=0,0,IF(BR17&lt;=0,AKR16,AKR16-G17*MAX(0,BR17*AKR16-(H17+I17)))),AKR16*(1-MAX(0,BR17)*H_Exit))</f>
        <v>0</v>
      </c>
      <c r="FF17" s="20" t="n">
        <f aca="false">IF(H_Direct=1,IF(AKS16&lt;=0,0,IF(BS17&lt;=0,AKS16,AKS16-G17*MAX(0,BS17*AKS16-(IR17+ME17)))),AKS16*(1-MAX(0,BS17)*H_Exit))</f>
        <v>0</v>
      </c>
      <c r="FG17" s="20" t="n">
        <f aca="false">IF(H_Direct=1,IF(AKT16&lt;=0,0,IF(BT17&lt;=0,AKT16,AKT16-G17*MAX(0,BT17*AKT16-(IS17+MF17)))),AKT16*(1-MAX(0,BT17)*H_Exit))</f>
        <v>0</v>
      </c>
      <c r="FH17" s="20" t="n">
        <f aca="false">IF(H_Direct=1,IF(AKU16&lt;=0,0,IF(BU17&lt;=0,AKU16,AKU16-G17*MAX(0,BU17*AKU16-(IT17+MG17)))),AKU16*(1-MAX(0,BU17)*H_Exit))</f>
        <v>0</v>
      </c>
      <c r="FI17" s="20" t="n">
        <f aca="false">IF(H_Direct=1,IF(AKV16&lt;=0,0,IF(BV17&lt;=0,AKV16,AKV16-G17*MAX(0,BV17*AKV16-(IU17+MH17)))),AKV16*(1-MAX(0,BV17)*H_Exit))</f>
        <v>0</v>
      </c>
      <c r="FJ17" s="20" t="n">
        <f aca="false">IF(H_Direct=1,IF(AKW16&lt;=0,0,IF(BW17&lt;=0,AKW16,AKW16-G17*MAX(0,BW17*AKW16-(IV17+MI17)))),AKW16*(1-MAX(0,BW17)*H_Exit))</f>
        <v>0</v>
      </c>
      <c r="FK17" s="20" t="n">
        <f aca="false">IF(H_Direct=1,IF(AKX16&lt;=0,0,IF(BX17&lt;=0,AKX16,AKX16-G17*MAX(0,BX17*AKX16-(IW17+MJ17)))),AKX16*(1-MAX(0,BX17)*H_Exit))</f>
        <v>0</v>
      </c>
      <c r="FL17" s="20" t="n">
        <f aca="false">IF(H_Direct=1,IF(AKY16&lt;=0,0,IF(BY17&lt;=0,AKY16,AKY16-G17*MAX(0,BY17*AKY16-(IX17+MK17)))),AKY16*(1-MAX(0,BY17)*H_Exit))</f>
        <v>0</v>
      </c>
      <c r="FM17" s="20" t="n">
        <f aca="false">IF(H_Direct=1,IF(AKZ16&lt;=0,0,IF(BZ17&lt;=0,AKZ16,AKZ16-G17*MAX(0,BZ17*AKZ16-(IY17+ML17)))),AKZ16*(1-MAX(0,BZ17)*H_Exit))</f>
        <v>0</v>
      </c>
      <c r="FN17" s="20" t="n">
        <f aca="false">IF(H_Direct=1,IF(ALA16&lt;=0,0,IF(CA17&lt;=0,ALA16,ALA16-G17*MAX(0,CA17*ALA16-(IZ17+MM17)))),ALA16*(1-MAX(0,CA17)*H_Exit))</f>
        <v>0</v>
      </c>
      <c r="FO17" s="20" t="n">
        <f aca="false">IF(H_Direct=1,IF((P17+S17)&lt;=0,0,IF(CB17&lt;=0,(P17+S17),(P17+S17)-G17*MAX(0,CB17*(P17+S17)-(JA17+MN17)))),(P17+S17)*(1-MAX(0,CB17)*H_Exit))</f>
        <v>0</v>
      </c>
      <c r="FP17" s="20" t="n">
        <v>0</v>
      </c>
      <c r="FQ17" s="20" t="n">
        <v>0</v>
      </c>
      <c r="FR17" s="20" t="n">
        <v>0</v>
      </c>
      <c r="FS17" s="20" t="n">
        <v>0</v>
      </c>
      <c r="FT17" s="20" t="n">
        <v>0</v>
      </c>
      <c r="FU17" s="20" t="n">
        <v>0</v>
      </c>
      <c r="FV17" s="20" t="n">
        <v>0</v>
      </c>
      <c r="FW17" s="20" t="n">
        <v>0</v>
      </c>
      <c r="FX17" s="20" t="n">
        <v>0</v>
      </c>
      <c r="FY17" s="20" t="n">
        <v>0</v>
      </c>
      <c r="FZ17" s="20" t="n">
        <v>0</v>
      </c>
      <c r="GA17" s="20" t="n">
        <v>0</v>
      </c>
      <c r="GB17" s="20" t="n">
        <v>0</v>
      </c>
      <c r="GC17" s="20" t="n">
        <v>0</v>
      </c>
      <c r="GD17" s="20" t="n">
        <v>0</v>
      </c>
      <c r="GE17" s="20" t="n">
        <v>0</v>
      </c>
      <c r="GF17" s="20" t="n">
        <v>0</v>
      </c>
      <c r="GG17" s="20" t="n">
        <v>0</v>
      </c>
      <c r="GH17" s="20" t="n">
        <v>0</v>
      </c>
      <c r="GI17" s="20" t="n">
        <v>0</v>
      </c>
      <c r="GJ17" s="20" t="n">
        <v>0</v>
      </c>
      <c r="GK17" s="20" t="n">
        <v>0</v>
      </c>
      <c r="GL17" s="20" t="n">
        <v>0</v>
      </c>
      <c r="GM17" s="20" t="n">
        <v>0</v>
      </c>
      <c r="GN17" s="20" t="n">
        <v>0</v>
      </c>
      <c r="GO17" s="20" t="n">
        <v>0</v>
      </c>
      <c r="GP17" s="20" t="n">
        <v>0</v>
      </c>
      <c r="GQ17" s="20" t="n">
        <v>0</v>
      </c>
      <c r="GR17" s="20" t="n">
        <v>0</v>
      </c>
      <c r="GS17" s="20" t="n">
        <v>0</v>
      </c>
      <c r="GT17" s="20" t="n">
        <v>0</v>
      </c>
      <c r="GU17" s="20" t="n">
        <v>0</v>
      </c>
      <c r="GV17" s="20" t="n">
        <v>0</v>
      </c>
      <c r="GW17" s="20" t="n">
        <v>0</v>
      </c>
      <c r="GX17" s="20" t="n">
        <v>0</v>
      </c>
      <c r="GY17" s="20" t="n">
        <v>0</v>
      </c>
      <c r="GZ17" s="20" t="n">
        <v>0</v>
      </c>
      <c r="HA17" s="20" t="n">
        <v>0</v>
      </c>
      <c r="HB17" s="20" t="n">
        <v>0</v>
      </c>
      <c r="HC17" s="20" t="n">
        <v>0</v>
      </c>
      <c r="HD17" s="20" t="n">
        <v>0</v>
      </c>
      <c r="HE17" s="20" t="n">
        <v>0</v>
      </c>
      <c r="HF17" s="20" t="n">
        <v>0</v>
      </c>
      <c r="HG17" s="20" t="n">
        <v>0</v>
      </c>
      <c r="HH17" s="20" t="n">
        <v>0</v>
      </c>
      <c r="HI17" s="20" t="n">
        <v>0</v>
      </c>
      <c r="HJ17" s="20" t="n">
        <v>0</v>
      </c>
      <c r="HK17" s="20" t="n">
        <v>0</v>
      </c>
      <c r="HL17" s="20" t="n">
        <v>0</v>
      </c>
      <c r="HM17" s="20" t="n">
        <v>0</v>
      </c>
      <c r="HN17" s="20" t="n">
        <v>0</v>
      </c>
      <c r="HO17" s="20" t="n">
        <v>0</v>
      </c>
      <c r="HP17" s="20" t="n">
        <v>0</v>
      </c>
      <c r="HQ17" s="20" t="n">
        <v>0</v>
      </c>
      <c r="HR17" s="20" t="n">
        <v>0</v>
      </c>
      <c r="HS17" s="20" t="n">
        <v>0</v>
      </c>
      <c r="HT17" s="20" t="n">
        <v>0</v>
      </c>
      <c r="HU17" s="20" t="n">
        <v>0</v>
      </c>
      <c r="HV17" s="20" t="n">
        <v>0</v>
      </c>
      <c r="HW17" s="20" t="n">
        <v>0</v>
      </c>
      <c r="HX17" s="20" t="n">
        <v>0</v>
      </c>
      <c r="HY17" s="20" t="n">
        <v>0</v>
      </c>
      <c r="HZ17" s="20" t="n">
        <v>0</v>
      </c>
      <c r="IA17" s="20" t="n">
        <v>0</v>
      </c>
      <c r="IB17" s="20" t="n">
        <v>0</v>
      </c>
      <c r="IC17" s="20" t="n">
        <v>0</v>
      </c>
      <c r="ID17" s="20" t="n">
        <v>0</v>
      </c>
      <c r="IE17" s="20" t="n">
        <v>0</v>
      </c>
      <c r="IF17" s="20" t="n">
        <v>0</v>
      </c>
      <c r="IG17" s="20" t="n">
        <v>0</v>
      </c>
      <c r="IH17" s="20" t="n">
        <v>0</v>
      </c>
      <c r="II17" s="20" t="n">
        <v>0</v>
      </c>
      <c r="IJ17" s="20" t="n">
        <v>0</v>
      </c>
      <c r="IK17" s="20" t="n">
        <v>0</v>
      </c>
      <c r="IL17" s="20" t="n">
        <v>0</v>
      </c>
      <c r="IM17" s="20" t="n">
        <v>0</v>
      </c>
      <c r="IN17" s="20" t="n">
        <v>0</v>
      </c>
      <c r="IO17" s="20" t="n">
        <v>0</v>
      </c>
      <c r="IP17" s="20" t="n">
        <v>0</v>
      </c>
      <c r="IQ17" s="20" t="n">
        <v>0</v>
      </c>
      <c r="IR17" s="20" t="n">
        <f aca="false">IF(AND(H_Direct=1,BR17&gt;0),MAX(0,H17-(MIN(BR17*AKR16,H17+I17)-MIN(MIN(BR17*AKR16,H17+I17),I17))),H17)</f>
        <v>1270</v>
      </c>
      <c r="IS17" s="20" t="n">
        <f aca="false">IF(AND(H_Direct=1,BS17&gt;0),MAX(0,IR17-(MIN(BS17*AKS16,IR17+ME17)-MIN(MIN(BS17*AKS16,IR17+ME17),ME17))),IR17)</f>
        <v>1270</v>
      </c>
      <c r="IT17" s="20" t="n">
        <f aca="false">IF(AND(H_Direct=1,BT17&gt;0),MAX(0,IS17-(MIN(BT17*AKT16,IS17+MF17)-MIN(MIN(BT17*AKT16,IS17+MF17),MF17))),IS17)</f>
        <v>1270</v>
      </c>
      <c r="IU17" s="20" t="n">
        <f aca="false">IF(AND(H_Direct=1,BU17&gt;0),MAX(0,IT17-(MIN(BU17*AKU16,IT17+MG17)-MIN(MIN(BU17*AKU16,IT17+MG17),MG17))),IT17)</f>
        <v>1270</v>
      </c>
      <c r="IV17" s="20" t="n">
        <f aca="false">IF(AND(H_Direct=1,BV17&gt;0),MAX(0,IU17-(MIN(BV17*AKV16,IU17+MH17)-MIN(MIN(BV17*AKV16,IU17+MH17),MH17))),IU17)</f>
        <v>1270</v>
      </c>
      <c r="IW17" s="20" t="n">
        <f aca="false">IF(AND(H_Direct=1,BW17&gt;0),MAX(0,IV17-(MIN(BW17*AKW16,IV17+MI17)-MIN(MIN(BW17*AKW16,IV17+MI17),MI17))),IV17)</f>
        <v>1270</v>
      </c>
      <c r="IX17" s="20" t="n">
        <f aca="false">IF(AND(H_Direct=1,BX17&gt;0),MAX(0,IW17-(MIN(BX17*AKX16,IW17+MJ17)-MIN(MIN(BX17*AKX16,IW17+MJ17),MJ17))),IW17)</f>
        <v>1270</v>
      </c>
      <c r="IY17" s="20" t="n">
        <f aca="false">IF(AND(H_Direct=1,BY17&gt;0),MAX(0,IX17-(MIN(BY17*AKY16,IX17+MK17)-MIN(MIN(BY17*AKY16,IX17+MK17),MK17))),IX17)</f>
        <v>1270</v>
      </c>
      <c r="IZ17" s="20" t="n">
        <f aca="false">IF(AND(H_Direct=1,BZ17&gt;0),MAX(0,IY17-(MIN(BZ17*AKZ16,IY17+ML17)-MIN(MIN(BZ17*AKZ16,IY17+ML17),ML17))),IY17)</f>
        <v>1270</v>
      </c>
      <c r="JA17" s="20" t="n">
        <f aca="false">IF(AND(H_Direct=1,CA17&gt;0),MAX(0,IZ17-(MIN(CA17*ALA16,IZ17+MM17)-MIN(MIN(CA17*ALA16,IZ17+MM17),MM17))),IZ17)</f>
        <v>1270</v>
      </c>
      <c r="JB17" s="20" t="n">
        <f aca="false">IF(AND(H_Direct=1,CB17&gt;0),MAX(0,JA17-(MIN(CB17*(P17+S17),JA17+MN17)-MIN(MIN(CB17*(P17+S17),JA17+MN17),MN17))),JA17)</f>
        <v>1270</v>
      </c>
      <c r="JC17" s="20" t="n">
        <f aca="false">JB17</f>
        <v>1270</v>
      </c>
      <c r="JD17" s="20" t="n">
        <f aca="false">JC17</f>
        <v>1270</v>
      </c>
      <c r="JE17" s="20" t="n">
        <f aca="false">JD17</f>
        <v>1270</v>
      </c>
      <c r="JF17" s="20" t="n">
        <f aca="false">JE17</f>
        <v>1270</v>
      </c>
      <c r="JG17" s="20" t="n">
        <f aca="false">JF17</f>
        <v>1270</v>
      </c>
      <c r="JH17" s="20" t="n">
        <f aca="false">JG17</f>
        <v>1270</v>
      </c>
      <c r="JI17" s="20" t="n">
        <f aca="false">JH17</f>
        <v>1270</v>
      </c>
      <c r="JJ17" s="20" t="n">
        <f aca="false">JI17</f>
        <v>1270</v>
      </c>
      <c r="JK17" s="20" t="n">
        <f aca="false">JJ17</f>
        <v>1270</v>
      </c>
      <c r="JL17" s="20" t="n">
        <f aca="false">JK17</f>
        <v>1270</v>
      </c>
      <c r="JM17" s="20" t="n">
        <f aca="false">JL17</f>
        <v>1270</v>
      </c>
      <c r="JN17" s="20" t="n">
        <f aca="false">JM17</f>
        <v>1270</v>
      </c>
      <c r="JO17" s="20" t="n">
        <f aca="false">JN17</f>
        <v>1270</v>
      </c>
      <c r="JP17" s="20" t="n">
        <f aca="false">JO17</f>
        <v>1270</v>
      </c>
      <c r="JQ17" s="20" t="n">
        <f aca="false">JP17</f>
        <v>1270</v>
      </c>
      <c r="JR17" s="20" t="n">
        <f aca="false">JQ17</f>
        <v>1270</v>
      </c>
      <c r="JS17" s="20" t="n">
        <f aca="false">JR17</f>
        <v>1270</v>
      </c>
      <c r="JT17" s="20" t="n">
        <f aca="false">JS17</f>
        <v>1270</v>
      </c>
      <c r="JU17" s="20" t="n">
        <f aca="false">JT17</f>
        <v>1270</v>
      </c>
      <c r="JV17" s="20" t="n">
        <f aca="false">JU17</f>
        <v>1270</v>
      </c>
      <c r="JW17" s="20" t="n">
        <f aca="false">JV17</f>
        <v>1270</v>
      </c>
      <c r="JX17" s="20" t="n">
        <f aca="false">JW17</f>
        <v>1270</v>
      </c>
      <c r="JY17" s="20" t="n">
        <f aca="false">JX17</f>
        <v>1270</v>
      </c>
      <c r="JZ17" s="20" t="n">
        <f aca="false">JY17</f>
        <v>1270</v>
      </c>
      <c r="KA17" s="20" t="n">
        <f aca="false">JZ17</f>
        <v>1270</v>
      </c>
      <c r="KB17" s="20" t="n">
        <f aca="false">KA17</f>
        <v>1270</v>
      </c>
      <c r="KC17" s="20" t="n">
        <f aca="false">KB17</f>
        <v>1270</v>
      </c>
      <c r="KD17" s="20" t="n">
        <f aca="false">KC17</f>
        <v>1270</v>
      </c>
      <c r="KE17" s="20" t="n">
        <f aca="false">KD17</f>
        <v>1270</v>
      </c>
      <c r="KF17" s="20" t="n">
        <f aca="false">KE17</f>
        <v>1270</v>
      </c>
      <c r="KG17" s="20" t="n">
        <f aca="false">KF17</f>
        <v>1270</v>
      </c>
      <c r="KH17" s="20" t="n">
        <f aca="false">KG17</f>
        <v>1270</v>
      </c>
      <c r="KI17" s="20" t="n">
        <f aca="false">KH17</f>
        <v>1270</v>
      </c>
      <c r="KJ17" s="20" t="n">
        <f aca="false">KI17</f>
        <v>1270</v>
      </c>
      <c r="KK17" s="20" t="n">
        <f aca="false">KJ17</f>
        <v>1270</v>
      </c>
      <c r="KL17" s="20" t="n">
        <f aca="false">KK17</f>
        <v>1270</v>
      </c>
      <c r="KM17" s="20" t="n">
        <f aca="false">KL17</f>
        <v>1270</v>
      </c>
      <c r="KN17" s="20" t="n">
        <f aca="false">KM17</f>
        <v>1270</v>
      </c>
      <c r="KO17" s="20" t="n">
        <f aca="false">KN17</f>
        <v>1270</v>
      </c>
      <c r="KP17" s="20" t="n">
        <f aca="false">KO17</f>
        <v>1270</v>
      </c>
      <c r="KQ17" s="20" t="n">
        <f aca="false">KP17</f>
        <v>1270</v>
      </c>
      <c r="KR17" s="20" t="n">
        <f aca="false">KQ17</f>
        <v>1270</v>
      </c>
      <c r="KS17" s="20" t="n">
        <f aca="false">KR17</f>
        <v>1270</v>
      </c>
      <c r="KT17" s="20" t="n">
        <f aca="false">KS17</f>
        <v>1270</v>
      </c>
      <c r="KU17" s="20" t="n">
        <f aca="false">KT17</f>
        <v>1270</v>
      </c>
      <c r="KV17" s="20" t="n">
        <f aca="false">KU17</f>
        <v>1270</v>
      </c>
      <c r="KW17" s="20" t="n">
        <f aca="false">KV17</f>
        <v>1270</v>
      </c>
      <c r="KX17" s="20" t="n">
        <f aca="false">KW17</f>
        <v>1270</v>
      </c>
      <c r="KY17" s="20" t="n">
        <f aca="false">KX17</f>
        <v>1270</v>
      </c>
      <c r="KZ17" s="20" t="n">
        <f aca="false">KY17</f>
        <v>1270</v>
      </c>
      <c r="LA17" s="20" t="n">
        <f aca="false">KZ17</f>
        <v>1270</v>
      </c>
      <c r="LB17" s="20" t="n">
        <f aca="false">LA17</f>
        <v>1270</v>
      </c>
      <c r="LC17" s="20" t="n">
        <f aca="false">LB17</f>
        <v>1270</v>
      </c>
      <c r="LD17" s="20" t="n">
        <f aca="false">LC17</f>
        <v>1270</v>
      </c>
      <c r="LE17" s="20" t="n">
        <f aca="false">LD17</f>
        <v>1270</v>
      </c>
      <c r="LF17" s="20" t="n">
        <f aca="false">LE17</f>
        <v>1270</v>
      </c>
      <c r="LG17" s="20" t="n">
        <f aca="false">LF17</f>
        <v>1270</v>
      </c>
      <c r="LH17" s="20" t="n">
        <f aca="false">LG17</f>
        <v>1270</v>
      </c>
      <c r="LI17" s="20" t="n">
        <f aca="false">LH17</f>
        <v>1270</v>
      </c>
      <c r="LJ17" s="20" t="n">
        <f aca="false">LI17</f>
        <v>1270</v>
      </c>
      <c r="LK17" s="20" t="n">
        <f aca="false">LJ17</f>
        <v>1270</v>
      </c>
      <c r="LL17" s="20" t="n">
        <f aca="false">LK17</f>
        <v>1270</v>
      </c>
      <c r="LM17" s="20" t="n">
        <f aca="false">LL17</f>
        <v>1270</v>
      </c>
      <c r="LN17" s="20" t="n">
        <f aca="false">LM17</f>
        <v>1270</v>
      </c>
      <c r="LO17" s="20" t="n">
        <f aca="false">LN17</f>
        <v>1270</v>
      </c>
      <c r="LP17" s="20" t="n">
        <f aca="false">LO17</f>
        <v>1270</v>
      </c>
      <c r="LQ17" s="20" t="n">
        <f aca="false">LP17</f>
        <v>1270</v>
      </c>
      <c r="LR17" s="20" t="n">
        <f aca="false">LQ17</f>
        <v>1270</v>
      </c>
      <c r="LS17" s="20" t="n">
        <f aca="false">LR17</f>
        <v>1270</v>
      </c>
      <c r="LT17" s="20" t="n">
        <f aca="false">LS17</f>
        <v>1270</v>
      </c>
      <c r="LU17" s="20" t="n">
        <f aca="false">LT17</f>
        <v>1270</v>
      </c>
      <c r="LV17" s="20" t="n">
        <f aca="false">LU17</f>
        <v>1270</v>
      </c>
      <c r="LW17" s="20" t="n">
        <f aca="false">LV17</f>
        <v>1270</v>
      </c>
      <c r="LX17" s="20" t="n">
        <f aca="false">LW17</f>
        <v>1270</v>
      </c>
      <c r="LY17" s="20" t="n">
        <f aca="false">LX17</f>
        <v>1270</v>
      </c>
      <c r="LZ17" s="20" t="n">
        <f aca="false">LY17</f>
        <v>1270</v>
      </c>
      <c r="MA17" s="20" t="n">
        <f aca="false">LZ17</f>
        <v>1270</v>
      </c>
      <c r="MB17" s="20" t="n">
        <f aca="false">MA17</f>
        <v>1270</v>
      </c>
      <c r="MC17" s="20" t="n">
        <f aca="false">MB17</f>
        <v>1270</v>
      </c>
      <c r="MD17" s="20" t="n">
        <f aca="false">MC17</f>
        <v>1270</v>
      </c>
      <c r="ME17" s="20" t="n">
        <f aca="false">IF(H_Direct=1,IF(BR17&lt;=0,I17-BR17*AKR16,I17-MIN(MIN(BR17*AKR16,H17+I17),I17)),I17)</f>
        <v>0</v>
      </c>
      <c r="MF17" s="20" t="n">
        <f aca="false">IF(H_Direct=1,IF(BS17&lt;=0,ME17-BS17*AKS16,ME17-MIN(MIN(BS17*AKS16,IR17+ME17),ME17)),ME17)</f>
        <v>0</v>
      </c>
      <c r="MG17" s="20" t="n">
        <f aca="false">IF(H_Direct=1,IF(BT17&lt;=0,MF17-BT17*AKT16,MF17-MIN(MIN(BT17*AKT16,IS17+MF17),MF17)),MF17)</f>
        <v>0</v>
      </c>
      <c r="MH17" s="20" t="n">
        <f aca="false">IF(H_Direct=1,IF(BU17&lt;=0,MG17-BU17*AKU16,MG17-MIN(MIN(BU17*AKU16,IT17+MG17),MG17)),MG17)</f>
        <v>0</v>
      </c>
      <c r="MI17" s="20" t="n">
        <f aca="false">IF(H_Direct=1,IF(BV17&lt;=0,MH17-BV17*AKV16,MH17-MIN(MIN(BV17*AKV16,IU17+MH17),MH17)),MH17)</f>
        <v>0</v>
      </c>
      <c r="MJ17" s="20" t="n">
        <f aca="false">IF(H_Direct=1,IF(BW17&lt;=0,MI17-BW17*AKW16,MI17-MIN(MIN(BW17*AKW16,IV17+MI17),MI17)),MI17)</f>
        <v>0</v>
      </c>
      <c r="MK17" s="20" t="n">
        <f aca="false">IF(H_Direct=1,IF(BX17&lt;=0,MJ17-BX17*AKX16,MJ17-MIN(MIN(BX17*AKX16,IW17+MJ17),MJ17)),MJ17)</f>
        <v>0</v>
      </c>
      <c r="ML17" s="20" t="n">
        <f aca="false">IF(H_Direct=1,IF(BY17&lt;=0,MK17-BY17*AKY16,MK17-MIN(MIN(BY17*AKY16,IX17+MK17),MK17)),MK17)</f>
        <v>0</v>
      </c>
      <c r="MM17" s="20" t="n">
        <f aca="false">IF(H_Direct=1,IF(BZ17&lt;=0,ML17-BZ17*AKZ16,ML17-MIN(MIN(BZ17*AKZ16,IY17+ML17),ML17)),ML17)</f>
        <v>0</v>
      </c>
      <c r="MN17" s="20" t="n">
        <f aca="false">IF(H_Direct=1,IF(CA17&lt;=0,MM17-CA17*ALA16,MM17-MIN(MIN(CA17*ALA16,IZ17+MM17),MM17)),MM17)</f>
        <v>0</v>
      </c>
      <c r="MO17" s="20" t="n">
        <f aca="false">IF(H_Direct=1,IF(CB17&lt;=0,MN17-CB17*(P17+S17),MN17-MIN(MIN(CB17*(P17+S17),JA17+MN17),MN17)),MN17)</f>
        <v>0</v>
      </c>
      <c r="MP17" s="20" t="n">
        <f aca="false">MO17</f>
        <v>0</v>
      </c>
      <c r="MQ17" s="20" t="n">
        <f aca="false">MP17</f>
        <v>0</v>
      </c>
      <c r="MR17" s="20" t="n">
        <f aca="false">MQ17</f>
        <v>0</v>
      </c>
      <c r="MS17" s="20" t="n">
        <f aca="false">MR17</f>
        <v>0</v>
      </c>
      <c r="MT17" s="20" t="n">
        <f aca="false">MS17</f>
        <v>0</v>
      </c>
      <c r="MU17" s="20" t="n">
        <f aca="false">MT17</f>
        <v>0</v>
      </c>
      <c r="MV17" s="20" t="n">
        <f aca="false">MU17</f>
        <v>0</v>
      </c>
      <c r="MW17" s="20" t="n">
        <f aca="false">MV17</f>
        <v>0</v>
      </c>
      <c r="MX17" s="20" t="n">
        <f aca="false">MW17</f>
        <v>0</v>
      </c>
      <c r="MY17" s="20" t="n">
        <f aca="false">MX17</f>
        <v>0</v>
      </c>
      <c r="MZ17" s="20" t="n">
        <f aca="false">MY17</f>
        <v>0</v>
      </c>
      <c r="NA17" s="20" t="n">
        <f aca="false">MZ17</f>
        <v>0</v>
      </c>
      <c r="NB17" s="20" t="n">
        <f aca="false">NA17</f>
        <v>0</v>
      </c>
      <c r="NC17" s="20" t="n">
        <f aca="false">NB17</f>
        <v>0</v>
      </c>
      <c r="ND17" s="20" t="n">
        <f aca="false">NC17</f>
        <v>0</v>
      </c>
      <c r="NE17" s="20" t="n">
        <f aca="false">ND17</f>
        <v>0</v>
      </c>
      <c r="NF17" s="20" t="n">
        <f aca="false">NE17</f>
        <v>0</v>
      </c>
      <c r="NG17" s="20" t="n">
        <f aca="false">NF17</f>
        <v>0</v>
      </c>
      <c r="NH17" s="20" t="n">
        <f aca="false">NG17</f>
        <v>0</v>
      </c>
      <c r="NI17" s="20" t="n">
        <f aca="false">NH17</f>
        <v>0</v>
      </c>
      <c r="NJ17" s="20" t="n">
        <f aca="false">NI17</f>
        <v>0</v>
      </c>
      <c r="NK17" s="20" t="n">
        <f aca="false">NJ17</f>
        <v>0</v>
      </c>
      <c r="NL17" s="20" t="n">
        <f aca="false">NK17</f>
        <v>0</v>
      </c>
      <c r="NM17" s="20" t="n">
        <f aca="false">NL17</f>
        <v>0</v>
      </c>
      <c r="NN17" s="20" t="n">
        <f aca="false">NM17</f>
        <v>0</v>
      </c>
      <c r="NO17" s="20" t="n">
        <f aca="false">NN17</f>
        <v>0</v>
      </c>
      <c r="NP17" s="20" t="n">
        <f aca="false">NO17</f>
        <v>0</v>
      </c>
      <c r="NQ17" s="20" t="n">
        <f aca="false">NP17</f>
        <v>0</v>
      </c>
      <c r="NR17" s="20" t="n">
        <f aca="false">NQ17</f>
        <v>0</v>
      </c>
      <c r="NS17" s="20" t="n">
        <f aca="false">NR17</f>
        <v>0</v>
      </c>
      <c r="NT17" s="20" t="n">
        <f aca="false">NS17</f>
        <v>0</v>
      </c>
      <c r="NU17" s="20" t="n">
        <f aca="false">NT17</f>
        <v>0</v>
      </c>
      <c r="NV17" s="20" t="n">
        <f aca="false">NU17</f>
        <v>0</v>
      </c>
      <c r="NW17" s="20" t="n">
        <f aca="false">NV17</f>
        <v>0</v>
      </c>
      <c r="NX17" s="20" t="n">
        <f aca="false">NW17</f>
        <v>0</v>
      </c>
      <c r="NY17" s="20" t="n">
        <f aca="false">NX17</f>
        <v>0</v>
      </c>
      <c r="NZ17" s="20" t="n">
        <f aca="false">NY17</f>
        <v>0</v>
      </c>
      <c r="OA17" s="20" t="n">
        <f aca="false">NZ17</f>
        <v>0</v>
      </c>
      <c r="OB17" s="20" t="n">
        <f aca="false">OA17</f>
        <v>0</v>
      </c>
      <c r="OC17" s="20" t="n">
        <f aca="false">OB17</f>
        <v>0</v>
      </c>
      <c r="OD17" s="20" t="n">
        <f aca="false">OC17</f>
        <v>0</v>
      </c>
      <c r="OE17" s="20" t="n">
        <f aca="false">OD17</f>
        <v>0</v>
      </c>
      <c r="OF17" s="20" t="n">
        <f aca="false">OE17</f>
        <v>0</v>
      </c>
      <c r="OG17" s="20" t="n">
        <f aca="false">OF17</f>
        <v>0</v>
      </c>
      <c r="OH17" s="20" t="n">
        <f aca="false">OG17</f>
        <v>0</v>
      </c>
      <c r="OI17" s="20" t="n">
        <f aca="false">OH17</f>
        <v>0</v>
      </c>
      <c r="OJ17" s="20" t="n">
        <f aca="false">OI17</f>
        <v>0</v>
      </c>
      <c r="OK17" s="20" t="n">
        <f aca="false">OJ17</f>
        <v>0</v>
      </c>
      <c r="OL17" s="20" t="n">
        <f aca="false">OK17</f>
        <v>0</v>
      </c>
      <c r="OM17" s="20" t="n">
        <f aca="false">OL17</f>
        <v>0</v>
      </c>
      <c r="ON17" s="20" t="n">
        <f aca="false">OM17</f>
        <v>0</v>
      </c>
      <c r="OO17" s="20" t="n">
        <f aca="false">ON17</f>
        <v>0</v>
      </c>
      <c r="OP17" s="20" t="n">
        <f aca="false">OO17</f>
        <v>0</v>
      </c>
      <c r="OQ17" s="20" t="n">
        <f aca="false">OP17</f>
        <v>0</v>
      </c>
      <c r="OR17" s="20" t="n">
        <f aca="false">OQ17</f>
        <v>0</v>
      </c>
      <c r="OS17" s="20" t="n">
        <f aca="false">OR17</f>
        <v>0</v>
      </c>
      <c r="OT17" s="20" t="n">
        <f aca="false">OS17</f>
        <v>0</v>
      </c>
      <c r="OU17" s="20" t="n">
        <f aca="false">OT17</f>
        <v>0</v>
      </c>
      <c r="OV17" s="20" t="n">
        <f aca="false">OU17</f>
        <v>0</v>
      </c>
      <c r="OW17" s="20" t="n">
        <f aca="false">OV17</f>
        <v>0</v>
      </c>
      <c r="OX17" s="20" t="n">
        <f aca="false">OW17</f>
        <v>0</v>
      </c>
      <c r="OY17" s="20" t="n">
        <f aca="false">OX17</f>
        <v>0</v>
      </c>
      <c r="OZ17" s="20" t="n">
        <f aca="false">OY17</f>
        <v>0</v>
      </c>
      <c r="PA17" s="20" t="n">
        <f aca="false">OZ17</f>
        <v>0</v>
      </c>
      <c r="PB17" s="20" t="n">
        <f aca="false">PA17</f>
        <v>0</v>
      </c>
      <c r="PC17" s="20" t="n">
        <f aca="false">PB17</f>
        <v>0</v>
      </c>
      <c r="PD17" s="20" t="n">
        <f aca="false">PC17</f>
        <v>0</v>
      </c>
      <c r="PE17" s="20" t="n">
        <f aca="false">PD17</f>
        <v>0</v>
      </c>
      <c r="PF17" s="20" t="n">
        <f aca="false">PE17</f>
        <v>0</v>
      </c>
      <c r="PG17" s="20" t="n">
        <f aca="false">PF17</f>
        <v>0</v>
      </c>
      <c r="PH17" s="20" t="n">
        <f aca="false">PG17</f>
        <v>0</v>
      </c>
      <c r="PI17" s="20" t="n">
        <f aca="false">PH17</f>
        <v>0</v>
      </c>
      <c r="PJ17" s="20" t="n">
        <f aca="false">PI17</f>
        <v>0</v>
      </c>
      <c r="PK17" s="20" t="n">
        <f aca="false">PJ17</f>
        <v>0</v>
      </c>
      <c r="PL17" s="20" t="n">
        <f aca="false">PK17</f>
        <v>0</v>
      </c>
      <c r="PM17" s="20" t="n">
        <f aca="false">PL17</f>
        <v>0</v>
      </c>
      <c r="PN17" s="20" t="n">
        <f aca="false">PM17</f>
        <v>0</v>
      </c>
      <c r="PO17" s="20" t="n">
        <f aca="false">PN17</f>
        <v>0</v>
      </c>
      <c r="PP17" s="20" t="n">
        <f aca="false">PO17</f>
        <v>0</v>
      </c>
      <c r="PQ17" s="20" t="n">
        <f aca="false">PP17</f>
        <v>0</v>
      </c>
      <c r="PR17" s="20" t="n">
        <f aca="false">IF(H_Direct=1,IF(AKR16&lt;=0,0,IF(BR17&lt;=0,MIN(MAX(0,AB17),AKR16),MIN(MAX(0,AB17),AKR16-G17*MAX(0,BR17*AKR16-(H17+I17))))),MIN(FE17,MAX(0,AB17)))</f>
        <v>0</v>
      </c>
      <c r="PS17" s="20" t="n">
        <f aca="false">IF(H_Direct=1,IF(AKS16&lt;=0,0,IF(BS17&lt;=0,MIN(MAX(0,AB17-SUM(PR17:PR17)),AKS16),MIN(MAX(0,AB17-SUM(PR17:PR17)),AKS16-G17*MAX(0,BS17*AKS16-(WR17+AAE17))))),MIN(FF17,MAX(0,AB17-SUM(PR17:PR17))))</f>
        <v>0</v>
      </c>
      <c r="PT17" s="20" t="n">
        <f aca="false">IF(H_Direct=1,IF(AKT16&lt;=0,0,IF(BT17&lt;=0,MIN(MAX(0,AB17-SUM(PR17:PS17)),AKT16),MIN(MAX(0,AB17-SUM(PR17:PS17)),AKT16-G17*MAX(0,BT17*AKT16-(WS17+AAF17))))),MIN(FG17,MAX(0,AB17-SUM(PR17:PS17))))</f>
        <v>0</v>
      </c>
      <c r="PU17" s="20" t="n">
        <f aca="false">IF(H_Direct=1,IF(AKU16&lt;=0,0,IF(BU17&lt;=0,MIN(MAX(0,AB17-SUM(PR17:PT17)),AKU16),MIN(MAX(0,AB17-SUM(PR17:PT17)),AKU16-G17*MAX(0,BU17*AKU16-(WT17+AAG17))))),MIN(FH17,MAX(0,AB17-SUM(PR17:PT17))))</f>
        <v>0</v>
      </c>
      <c r="PV17" s="20" t="n">
        <f aca="false">IF(H_Direct=1,IF(AKV16&lt;=0,0,IF(BV17&lt;=0,MIN(MAX(0,AB17-SUM(PR17:PU17)),AKV16),MIN(MAX(0,AB17-SUM(PR17:PU17)),AKV16-G17*MAX(0,BV17*AKV16-(WU17+AAH17))))),MIN(FI17,MAX(0,AB17-SUM(PR17:PU17))))</f>
        <v>0</v>
      </c>
      <c r="PW17" s="20" t="n">
        <f aca="false">IF(H_Direct=1,IF(AKW16&lt;=0,0,IF(BW17&lt;=0,MIN(MAX(0,AB17-SUM(PR17:PV17)),AKW16),MIN(MAX(0,AB17-SUM(PR17:PV17)),AKW16-G17*MAX(0,BW17*AKW16-(WV17+AAI17))))),MIN(FJ17,MAX(0,AB17-SUM(PR17:PV17))))</f>
        <v>0</v>
      </c>
      <c r="PX17" s="20" t="n">
        <f aca="false">IF(H_Direct=1,IF(AKX16&lt;=0,0,IF(BX17&lt;=0,MIN(MAX(0,AB17-SUM(PR17:PW17)),AKX16),MIN(MAX(0,AB17-SUM(PR17:PW17)),AKX16-G17*MAX(0,BX17*AKX16-(WW17+AAJ17))))),MIN(FK17,MAX(0,AB17-SUM(PR17:PW17))))</f>
        <v>0</v>
      </c>
      <c r="PY17" s="20" t="n">
        <f aca="false">IF(H_Direct=1,IF(AKY16&lt;=0,0,IF(BY17&lt;=0,MIN(MAX(0,AB17-SUM(PR17:PX17)),AKY16),MIN(MAX(0,AB17-SUM(PR17:PX17)),AKY16-G17*MAX(0,BY17*AKY16-(WX17+AAK17))))),MIN(FL17,MAX(0,AB17-SUM(PR17:PX17))))</f>
        <v>0</v>
      </c>
      <c r="PZ17" s="20" t="n">
        <f aca="false">IF(H_Direct=1,IF(AKZ16&lt;=0,0,IF(BZ17&lt;=0,MIN(MAX(0,AB17-SUM(PR17:PY17)),AKZ16),MIN(MAX(0,AB17-SUM(PR17:PY17)),AKZ16-G17*MAX(0,BZ17*AKZ16-(WY17+AAL17))))),MIN(FM17,MAX(0,AB17-SUM(PR17:PY17))))</f>
        <v>0</v>
      </c>
      <c r="QA17" s="20" t="n">
        <f aca="false">IF(H_Direct=1,IF(ALA16&lt;=0,0,IF(CA17&lt;=0,MIN(MAX(0,AB17-SUM(PR17:PZ17)),ALA16),MIN(MAX(0,AB17-SUM(PR17:PZ17)),ALA16-G17*MAX(0,CA17*ALA16-(WZ17+AAM17))))),MIN(FN17,MAX(0,AB17-SUM(PR17:PZ17))))</f>
        <v>0</v>
      </c>
      <c r="QB17" s="20" t="n">
        <f aca="false">IF(H_Direct=1,IF((P17+S17)&lt;=0,0,IF(CB17&lt;=0,MIN(MAX(0,AB17-SUM(PR17:QA17)),(P17+S17)),MIN(MAX(0,AB17-SUM(PR17:QA17)),(P17+S17)-G17*MAX(0,CB17*(P17+S17)-(XA17+AAN17))))),MIN(FO17,MAX(0,AB17-SUM(PR17:QA17))))</f>
        <v>0</v>
      </c>
      <c r="QC17" s="20" t="n">
        <v>0</v>
      </c>
      <c r="QD17" s="20" t="n">
        <v>0</v>
      </c>
      <c r="QE17" s="20" t="n">
        <v>0</v>
      </c>
      <c r="QF17" s="20" t="n">
        <v>0</v>
      </c>
      <c r="QG17" s="20" t="n">
        <v>0</v>
      </c>
      <c r="QH17" s="20" t="n">
        <v>0</v>
      </c>
      <c r="QI17" s="20" t="n">
        <v>0</v>
      </c>
      <c r="QJ17" s="20" t="n">
        <v>0</v>
      </c>
      <c r="QK17" s="20" t="n">
        <v>0</v>
      </c>
      <c r="QL17" s="20" t="n">
        <v>0</v>
      </c>
      <c r="QM17" s="20" t="n">
        <v>0</v>
      </c>
      <c r="QN17" s="20" t="n">
        <v>0</v>
      </c>
      <c r="QO17" s="20" t="n">
        <v>0</v>
      </c>
      <c r="QP17" s="20" t="n">
        <v>0</v>
      </c>
      <c r="QQ17" s="20" t="n">
        <v>0</v>
      </c>
      <c r="QR17" s="20" t="n">
        <v>0</v>
      </c>
      <c r="QS17" s="20" t="n">
        <v>0</v>
      </c>
      <c r="QT17" s="20" t="n">
        <v>0</v>
      </c>
      <c r="QU17" s="20" t="n">
        <v>0</v>
      </c>
      <c r="QV17" s="20" t="n">
        <v>0</v>
      </c>
      <c r="QW17" s="20" t="n">
        <v>0</v>
      </c>
      <c r="QX17" s="20" t="n">
        <v>0</v>
      </c>
      <c r="QY17" s="20" t="n">
        <v>0</v>
      </c>
      <c r="QZ17" s="20" t="n">
        <v>0</v>
      </c>
      <c r="RA17" s="20" t="n">
        <v>0</v>
      </c>
      <c r="RB17" s="20" t="n">
        <v>0</v>
      </c>
      <c r="RC17" s="20" t="n">
        <v>0</v>
      </c>
      <c r="RD17" s="20" t="n">
        <v>0</v>
      </c>
      <c r="RE17" s="20" t="n">
        <v>0</v>
      </c>
      <c r="RF17" s="20" t="n">
        <v>0</v>
      </c>
      <c r="RG17" s="20" t="n">
        <v>0</v>
      </c>
      <c r="RH17" s="20" t="n">
        <v>0</v>
      </c>
      <c r="RI17" s="20" t="n">
        <v>0</v>
      </c>
      <c r="RJ17" s="20" t="n">
        <v>0</v>
      </c>
      <c r="RK17" s="20" t="n">
        <v>0</v>
      </c>
      <c r="RL17" s="20" t="n">
        <v>0</v>
      </c>
      <c r="RM17" s="20" t="n">
        <v>0</v>
      </c>
      <c r="RN17" s="20" t="n">
        <v>0</v>
      </c>
      <c r="RO17" s="20" t="n">
        <v>0</v>
      </c>
      <c r="RP17" s="20" t="n">
        <v>0</v>
      </c>
      <c r="RQ17" s="20" t="n">
        <v>0</v>
      </c>
      <c r="RR17" s="20" t="n">
        <v>0</v>
      </c>
      <c r="RS17" s="20" t="n">
        <v>0</v>
      </c>
      <c r="RT17" s="20" t="n">
        <v>0</v>
      </c>
      <c r="RU17" s="20" t="n">
        <v>0</v>
      </c>
      <c r="RV17" s="20" t="n">
        <v>0</v>
      </c>
      <c r="RW17" s="20" t="n">
        <v>0</v>
      </c>
      <c r="RX17" s="20" t="n">
        <v>0</v>
      </c>
      <c r="RY17" s="20" t="n">
        <v>0</v>
      </c>
      <c r="RZ17" s="20" t="n">
        <v>0</v>
      </c>
      <c r="SA17" s="20" t="n">
        <v>0</v>
      </c>
      <c r="SB17" s="20" t="n">
        <v>0</v>
      </c>
      <c r="SC17" s="20" t="n">
        <v>0</v>
      </c>
      <c r="SD17" s="20" t="n">
        <v>0</v>
      </c>
      <c r="SE17" s="20" t="n">
        <v>0</v>
      </c>
      <c r="SF17" s="20" t="n">
        <v>0</v>
      </c>
      <c r="SG17" s="20" t="n">
        <v>0</v>
      </c>
      <c r="SH17" s="20" t="n">
        <v>0</v>
      </c>
      <c r="SI17" s="20" t="n">
        <v>0</v>
      </c>
      <c r="SJ17" s="20" t="n">
        <v>0</v>
      </c>
      <c r="SK17" s="20" t="n">
        <v>0</v>
      </c>
      <c r="SL17" s="20" t="n">
        <v>0</v>
      </c>
      <c r="SM17" s="20" t="n">
        <v>0</v>
      </c>
      <c r="SN17" s="20" t="n">
        <v>0</v>
      </c>
      <c r="SO17" s="20" t="n">
        <v>0</v>
      </c>
      <c r="SP17" s="20" t="n">
        <v>0</v>
      </c>
      <c r="SQ17" s="20" t="n">
        <v>0</v>
      </c>
      <c r="SR17" s="20" t="n">
        <v>0</v>
      </c>
      <c r="SS17" s="20" t="n">
        <v>0</v>
      </c>
      <c r="ST17" s="20" t="n">
        <v>0</v>
      </c>
      <c r="SU17" s="20" t="n">
        <v>0</v>
      </c>
      <c r="SV17" s="20" t="n">
        <v>0</v>
      </c>
      <c r="SW17" s="20" t="n">
        <v>0</v>
      </c>
      <c r="SX17" s="20" t="n">
        <v>0</v>
      </c>
      <c r="SY17" s="20" t="n">
        <v>0</v>
      </c>
      <c r="SZ17" s="20" t="n">
        <v>0</v>
      </c>
      <c r="TA17" s="20" t="n">
        <v>0</v>
      </c>
      <c r="TB17" s="20" t="n">
        <v>0</v>
      </c>
      <c r="TC17" s="20" t="n">
        <v>0</v>
      </c>
      <c r="TD17" s="20" t="n">
        <v>0</v>
      </c>
      <c r="TE17" s="20" t="n">
        <f aca="false">IF(AKR16&lt;=0,0,IF(H_Direct=1,IF(BR17&lt;=0,PR17,IF(PR17&lt;=(H17+I17)/BR17,PR17,(PR17-G17*(H17+I17))/(1-G17*BR17))),PR17/(1-MAX(0,BR17)*H_Exit)))</f>
        <v>0</v>
      </c>
      <c r="TF17" s="20" t="n">
        <f aca="false">IF(AKS16&lt;=0,0,IF(H_Direct=1,IF(BS17&lt;=0,PS17,IF(PS17&lt;=(WR17+AAE17)/BS17,PS17,(PS17-G17*(WR17+AAE17))/(1-G17*BS17))),PS17/(1-MAX(0,BS17)*H_Exit)))</f>
        <v>0</v>
      </c>
      <c r="TG17" s="20" t="n">
        <f aca="false">IF(AKT16&lt;=0,0,IF(H_Direct=1,IF(BT17&lt;=0,PT17,IF(PT17&lt;=(WS17+AAF17)/BT17,PT17,(PT17-G17*(WS17+AAF17))/(1-G17*BT17))),PT17/(1-MAX(0,BT17)*H_Exit)))</f>
        <v>0</v>
      </c>
      <c r="TH17" s="20" t="n">
        <f aca="false">IF(AKU16&lt;=0,0,IF(H_Direct=1,IF(BU17&lt;=0,PU17,IF(PU17&lt;=(WT17+AAG17)/BU17,PU17,(PU17-G17*(WT17+AAG17))/(1-G17*BU17))),PU17/(1-MAX(0,BU17)*H_Exit)))</f>
        <v>0</v>
      </c>
      <c r="TI17" s="20" t="n">
        <f aca="false">IF(AKV16&lt;=0,0,IF(H_Direct=1,IF(BV17&lt;=0,PV17,IF(PV17&lt;=(WU17+AAH17)/BV17,PV17,(PV17-G17*(WU17+AAH17))/(1-G17*BV17))),PV17/(1-MAX(0,BV17)*H_Exit)))</f>
        <v>0</v>
      </c>
      <c r="TJ17" s="20" t="n">
        <f aca="false">IF(AKW16&lt;=0,0,IF(H_Direct=1,IF(BW17&lt;=0,PW17,IF(PW17&lt;=(WV17+AAI17)/BW17,PW17,(PW17-G17*(WV17+AAI17))/(1-G17*BW17))),PW17/(1-MAX(0,BW17)*H_Exit)))</f>
        <v>0</v>
      </c>
      <c r="TK17" s="20" t="n">
        <f aca="false">IF(AKX16&lt;=0,0,IF(H_Direct=1,IF(BX17&lt;=0,PX17,IF(PX17&lt;=(WW17+AAJ17)/BX17,PX17,(PX17-G17*(WW17+AAJ17))/(1-G17*BX17))),PX17/(1-MAX(0,BX17)*H_Exit)))</f>
        <v>0</v>
      </c>
      <c r="TL17" s="20" t="n">
        <f aca="false">IF(AKY16&lt;=0,0,IF(H_Direct=1,IF(BY17&lt;=0,PY17,IF(PY17&lt;=(WX17+AAK17)/BY17,PY17,(PY17-G17*(WX17+AAK17))/(1-G17*BY17))),PY17/(1-MAX(0,BY17)*H_Exit)))</f>
        <v>0</v>
      </c>
      <c r="TM17" s="20" t="n">
        <f aca="false">IF(AKZ16&lt;=0,0,IF(H_Direct=1,IF(BZ17&lt;=0,PZ17,IF(PZ17&lt;=(WY17+AAL17)/BZ17,PZ17,(PZ17-G17*(WY17+AAL17))/(1-G17*BZ17))),PZ17/(1-MAX(0,BZ17)*H_Exit)))</f>
        <v>0</v>
      </c>
      <c r="TN17" s="20" t="n">
        <f aca="false">IF(ALA16&lt;=0,0,IF(H_Direct=1,IF(CA17&lt;=0,QA17,IF(QA17&lt;=(WZ17+AAM17)/CA17,QA17,(QA17-G17*(WZ17+AAM17))/(1-G17*CA17))),QA17/(1-MAX(0,CA17)*H_Exit)))</f>
        <v>0</v>
      </c>
      <c r="TO17" s="20" t="n">
        <f aca="false">IF((P17+S17)&lt;=0,0,IF(H_Direct=1,IF(CB17&lt;=0,QB17,IF(QB17&lt;=(XA17+AAN17)/CB17,QB17,(QB17-G17*(XA17+AAN17))/(1-G17*CB17))),QB17/(1-MAX(0,CB17)*H_Exit)))</f>
        <v>0</v>
      </c>
      <c r="TP17" s="20" t="n">
        <v>0</v>
      </c>
      <c r="TQ17" s="20" t="n">
        <v>0</v>
      </c>
      <c r="TR17" s="20" t="n">
        <v>0</v>
      </c>
      <c r="TS17" s="20" t="n">
        <v>0</v>
      </c>
      <c r="TT17" s="20" t="n">
        <v>0</v>
      </c>
      <c r="TU17" s="20" t="n">
        <v>0</v>
      </c>
      <c r="TV17" s="20" t="n">
        <v>0</v>
      </c>
      <c r="TW17" s="20" t="n">
        <v>0</v>
      </c>
      <c r="TX17" s="20" t="n">
        <v>0</v>
      </c>
      <c r="TY17" s="20" t="n">
        <v>0</v>
      </c>
      <c r="TZ17" s="20" t="n">
        <v>0</v>
      </c>
      <c r="UA17" s="20" t="n">
        <v>0</v>
      </c>
      <c r="UB17" s="20" t="n">
        <v>0</v>
      </c>
      <c r="UC17" s="20" t="n">
        <v>0</v>
      </c>
      <c r="UD17" s="20" t="n">
        <v>0</v>
      </c>
      <c r="UE17" s="20" t="n">
        <v>0</v>
      </c>
      <c r="UF17" s="20" t="n">
        <v>0</v>
      </c>
      <c r="UG17" s="20" t="n">
        <v>0</v>
      </c>
      <c r="UH17" s="20" t="n">
        <v>0</v>
      </c>
      <c r="UI17" s="20" t="n">
        <v>0</v>
      </c>
      <c r="UJ17" s="20" t="n">
        <v>0</v>
      </c>
      <c r="UK17" s="20" t="n">
        <v>0</v>
      </c>
      <c r="UL17" s="20" t="n">
        <v>0</v>
      </c>
      <c r="UM17" s="20" t="n">
        <v>0</v>
      </c>
      <c r="UN17" s="20" t="n">
        <v>0</v>
      </c>
      <c r="UO17" s="20" t="n">
        <v>0</v>
      </c>
      <c r="UP17" s="20" t="n">
        <v>0</v>
      </c>
      <c r="UQ17" s="20" t="n">
        <v>0</v>
      </c>
      <c r="UR17" s="20" t="n">
        <v>0</v>
      </c>
      <c r="US17" s="20" t="n">
        <v>0</v>
      </c>
      <c r="UT17" s="20" t="n">
        <v>0</v>
      </c>
      <c r="UU17" s="20" t="n">
        <v>0</v>
      </c>
      <c r="UV17" s="20" t="n">
        <v>0</v>
      </c>
      <c r="UW17" s="20" t="n">
        <v>0</v>
      </c>
      <c r="UX17" s="20" t="n">
        <v>0</v>
      </c>
      <c r="UY17" s="20" t="n">
        <v>0</v>
      </c>
      <c r="UZ17" s="20" t="n">
        <v>0</v>
      </c>
      <c r="VA17" s="20" t="n">
        <v>0</v>
      </c>
      <c r="VB17" s="20" t="n">
        <v>0</v>
      </c>
      <c r="VC17" s="20" t="n">
        <v>0</v>
      </c>
      <c r="VD17" s="20" t="n">
        <v>0</v>
      </c>
      <c r="VE17" s="20" t="n">
        <v>0</v>
      </c>
      <c r="VF17" s="20" t="n">
        <v>0</v>
      </c>
      <c r="VG17" s="20" t="n">
        <v>0</v>
      </c>
      <c r="VH17" s="20" t="n">
        <v>0</v>
      </c>
      <c r="VI17" s="20" t="n">
        <v>0</v>
      </c>
      <c r="VJ17" s="20" t="n">
        <v>0</v>
      </c>
      <c r="VK17" s="20" t="n">
        <v>0</v>
      </c>
      <c r="VL17" s="20" t="n">
        <v>0</v>
      </c>
      <c r="VM17" s="20" t="n">
        <v>0</v>
      </c>
      <c r="VN17" s="20" t="n">
        <v>0</v>
      </c>
      <c r="VO17" s="20" t="n">
        <v>0</v>
      </c>
      <c r="VP17" s="20" t="n">
        <v>0</v>
      </c>
      <c r="VQ17" s="20" t="n">
        <v>0</v>
      </c>
      <c r="VR17" s="20" t="n">
        <v>0</v>
      </c>
      <c r="VS17" s="20" t="n">
        <v>0</v>
      </c>
      <c r="VT17" s="20" t="n">
        <v>0</v>
      </c>
      <c r="VU17" s="20" t="n">
        <v>0</v>
      </c>
      <c r="VV17" s="20" t="n">
        <v>0</v>
      </c>
      <c r="VW17" s="20" t="n">
        <v>0</v>
      </c>
      <c r="VX17" s="20" t="n">
        <v>0</v>
      </c>
      <c r="VY17" s="20" t="n">
        <v>0</v>
      </c>
      <c r="VZ17" s="20" t="n">
        <v>0</v>
      </c>
      <c r="WA17" s="20" t="n">
        <v>0</v>
      </c>
      <c r="WB17" s="20" t="n">
        <v>0</v>
      </c>
      <c r="WC17" s="20" t="n">
        <v>0</v>
      </c>
      <c r="WD17" s="20" t="n">
        <v>0</v>
      </c>
      <c r="WE17" s="20" t="n">
        <v>0</v>
      </c>
      <c r="WF17" s="20" t="n">
        <v>0</v>
      </c>
      <c r="WG17" s="20" t="n">
        <v>0</v>
      </c>
      <c r="WH17" s="20" t="n">
        <v>0</v>
      </c>
      <c r="WI17" s="20" t="n">
        <v>0</v>
      </c>
      <c r="WJ17" s="20" t="n">
        <v>0</v>
      </c>
      <c r="WK17" s="20" t="n">
        <v>0</v>
      </c>
      <c r="WL17" s="20" t="n">
        <v>0</v>
      </c>
      <c r="WM17" s="20" t="n">
        <v>0</v>
      </c>
      <c r="WN17" s="20" t="n">
        <v>0</v>
      </c>
      <c r="WO17" s="20" t="n">
        <v>0</v>
      </c>
      <c r="WP17" s="20" t="n">
        <v>0</v>
      </c>
      <c r="WQ17" s="20" t="n">
        <v>0</v>
      </c>
      <c r="WR17" s="20" t="n">
        <f aca="false">IF(AND(H_Direct=1,BR17&gt;0),MAX(0,H17-(MIN(BR17*TE17,(H17+I17))-MIN(MIN(BR17*TE17,(H17+I17)),I17))),H17)</f>
        <v>1270</v>
      </c>
      <c r="WS17" s="20" t="n">
        <f aca="false">IF(AND(H_Direct=1,BS17&gt;0),MAX(0,WR17-(MIN(BS17*TF17,(WR17+AAE17))-MIN(MIN(BS17*TF17,(WR17+AAE17)),AAE17))),WR17)</f>
        <v>1270</v>
      </c>
      <c r="WT17" s="20" t="n">
        <f aca="false">IF(AND(H_Direct=1,BT17&gt;0),MAX(0,WS17-(MIN(BT17*TG17,(WS17+AAF17))-MIN(MIN(BT17*TG17,(WS17+AAF17)),AAF17))),WS17)</f>
        <v>1270</v>
      </c>
      <c r="WU17" s="20" t="n">
        <f aca="false">IF(AND(H_Direct=1,BU17&gt;0),MAX(0,WT17-(MIN(BU17*TH17,(WT17+AAG17))-MIN(MIN(BU17*TH17,(WT17+AAG17)),AAG17))),WT17)</f>
        <v>1270</v>
      </c>
      <c r="WV17" s="20" t="n">
        <f aca="false">IF(AND(H_Direct=1,BV17&gt;0),MAX(0,WU17-(MIN(BV17*TI17,(WU17+AAH17))-MIN(MIN(BV17*TI17,(WU17+AAH17)),AAH17))),WU17)</f>
        <v>1270</v>
      </c>
      <c r="WW17" s="20" t="n">
        <f aca="false">IF(AND(H_Direct=1,BW17&gt;0),MAX(0,WV17-(MIN(BW17*TJ17,(WV17+AAI17))-MIN(MIN(BW17*TJ17,(WV17+AAI17)),AAI17))),WV17)</f>
        <v>1270</v>
      </c>
      <c r="WX17" s="20" t="n">
        <f aca="false">IF(AND(H_Direct=1,BX17&gt;0),MAX(0,WW17-(MIN(BX17*TK17,(WW17+AAJ17))-MIN(MIN(BX17*TK17,(WW17+AAJ17)),AAJ17))),WW17)</f>
        <v>1270</v>
      </c>
      <c r="WY17" s="20" t="n">
        <f aca="false">IF(AND(H_Direct=1,BY17&gt;0),MAX(0,WX17-(MIN(BY17*TL17,(WX17+AAK17))-MIN(MIN(BY17*TL17,(WX17+AAK17)),AAK17))),WX17)</f>
        <v>1270</v>
      </c>
      <c r="WZ17" s="20" t="n">
        <f aca="false">IF(AND(H_Direct=1,BZ17&gt;0),MAX(0,WY17-(MIN(BZ17*TM17,(WY17+AAL17))-MIN(MIN(BZ17*TM17,(WY17+AAL17)),AAL17))),WY17)</f>
        <v>1270</v>
      </c>
      <c r="XA17" s="20" t="n">
        <f aca="false">IF(AND(H_Direct=1,CA17&gt;0),MAX(0,WZ17-(MIN(CA17*TN17,(WZ17+AAM17))-MIN(MIN(CA17*TN17,(WZ17+AAM17)),AAM17))),WZ17)</f>
        <v>1270</v>
      </c>
      <c r="XB17" s="20" t="n">
        <f aca="false">IF(AND(H_Direct=1,CB17&gt;0),MAX(0,XA17-(MIN(CB17*TO17,(XA17+AAN17))-MIN(MIN(CB17*TO17,(XA17+AAN17)),AAN17))),XA17)</f>
        <v>1270</v>
      </c>
      <c r="XC17" s="20" t="n">
        <f aca="false">XB17</f>
        <v>1270</v>
      </c>
      <c r="XD17" s="20" t="n">
        <f aca="false">XC17</f>
        <v>1270</v>
      </c>
      <c r="XE17" s="20" t="n">
        <f aca="false">XD17</f>
        <v>1270</v>
      </c>
      <c r="XF17" s="20" t="n">
        <f aca="false">XE17</f>
        <v>1270</v>
      </c>
      <c r="XG17" s="20" t="n">
        <f aca="false">XF17</f>
        <v>1270</v>
      </c>
      <c r="XH17" s="20" t="n">
        <f aca="false">XG17</f>
        <v>1270</v>
      </c>
      <c r="XI17" s="20" t="n">
        <f aca="false">XH17</f>
        <v>1270</v>
      </c>
      <c r="XJ17" s="20" t="n">
        <f aca="false">XI17</f>
        <v>1270</v>
      </c>
      <c r="XK17" s="20" t="n">
        <f aca="false">XJ17</f>
        <v>1270</v>
      </c>
      <c r="XL17" s="20" t="n">
        <f aca="false">XK17</f>
        <v>1270</v>
      </c>
      <c r="XM17" s="20" t="n">
        <f aca="false">XL17</f>
        <v>1270</v>
      </c>
      <c r="XN17" s="20" t="n">
        <f aca="false">XM17</f>
        <v>1270</v>
      </c>
      <c r="XO17" s="20" t="n">
        <f aca="false">XN17</f>
        <v>1270</v>
      </c>
      <c r="XP17" s="20" t="n">
        <f aca="false">XO17</f>
        <v>1270</v>
      </c>
      <c r="XQ17" s="20" t="n">
        <f aca="false">XP17</f>
        <v>1270</v>
      </c>
      <c r="XR17" s="20" t="n">
        <f aca="false">XQ17</f>
        <v>1270</v>
      </c>
      <c r="XS17" s="20" t="n">
        <f aca="false">XR17</f>
        <v>1270</v>
      </c>
      <c r="XT17" s="20" t="n">
        <f aca="false">XS17</f>
        <v>1270</v>
      </c>
      <c r="XU17" s="20" t="n">
        <f aca="false">XT17</f>
        <v>1270</v>
      </c>
      <c r="XV17" s="20" t="n">
        <f aca="false">XU17</f>
        <v>1270</v>
      </c>
      <c r="XW17" s="20" t="n">
        <f aca="false">XV17</f>
        <v>1270</v>
      </c>
      <c r="XX17" s="20" t="n">
        <f aca="false">XW17</f>
        <v>1270</v>
      </c>
      <c r="XY17" s="20" t="n">
        <f aca="false">XX17</f>
        <v>1270</v>
      </c>
      <c r="XZ17" s="20" t="n">
        <f aca="false">XY17</f>
        <v>1270</v>
      </c>
      <c r="YA17" s="20" t="n">
        <f aca="false">XZ17</f>
        <v>1270</v>
      </c>
      <c r="YB17" s="20" t="n">
        <f aca="false">YA17</f>
        <v>1270</v>
      </c>
      <c r="YC17" s="20" t="n">
        <f aca="false">YB17</f>
        <v>1270</v>
      </c>
      <c r="YD17" s="20" t="n">
        <f aca="false">YC17</f>
        <v>1270</v>
      </c>
      <c r="YE17" s="20" t="n">
        <f aca="false">YD17</f>
        <v>1270</v>
      </c>
      <c r="YF17" s="20" t="n">
        <f aca="false">YE17</f>
        <v>1270</v>
      </c>
      <c r="YG17" s="20" t="n">
        <f aca="false">YF17</f>
        <v>1270</v>
      </c>
      <c r="YH17" s="20" t="n">
        <f aca="false">YG17</f>
        <v>1270</v>
      </c>
      <c r="YI17" s="20" t="n">
        <f aca="false">YH17</f>
        <v>1270</v>
      </c>
      <c r="YJ17" s="20" t="n">
        <f aca="false">YI17</f>
        <v>1270</v>
      </c>
      <c r="YK17" s="20" t="n">
        <f aca="false">YJ17</f>
        <v>1270</v>
      </c>
      <c r="YL17" s="20" t="n">
        <f aca="false">YK17</f>
        <v>1270</v>
      </c>
      <c r="YM17" s="20" t="n">
        <f aca="false">YL17</f>
        <v>1270</v>
      </c>
      <c r="YN17" s="20" t="n">
        <f aca="false">YM17</f>
        <v>1270</v>
      </c>
      <c r="YO17" s="20" t="n">
        <f aca="false">YN17</f>
        <v>1270</v>
      </c>
      <c r="YP17" s="20" t="n">
        <f aca="false">YO17</f>
        <v>1270</v>
      </c>
      <c r="YQ17" s="20" t="n">
        <f aca="false">YP17</f>
        <v>1270</v>
      </c>
      <c r="YR17" s="20" t="n">
        <f aca="false">YQ17</f>
        <v>1270</v>
      </c>
      <c r="YS17" s="20" t="n">
        <f aca="false">YR17</f>
        <v>1270</v>
      </c>
      <c r="YT17" s="20" t="n">
        <f aca="false">YS17</f>
        <v>1270</v>
      </c>
      <c r="YU17" s="20" t="n">
        <f aca="false">YT17</f>
        <v>1270</v>
      </c>
      <c r="YV17" s="20" t="n">
        <f aca="false">YU17</f>
        <v>1270</v>
      </c>
      <c r="YW17" s="20" t="n">
        <f aca="false">YV17</f>
        <v>1270</v>
      </c>
      <c r="YX17" s="20" t="n">
        <f aca="false">YW17</f>
        <v>1270</v>
      </c>
      <c r="YY17" s="20" t="n">
        <f aca="false">YX17</f>
        <v>1270</v>
      </c>
      <c r="YZ17" s="20" t="n">
        <f aca="false">YY17</f>
        <v>1270</v>
      </c>
      <c r="ZA17" s="20" t="n">
        <f aca="false">YZ17</f>
        <v>1270</v>
      </c>
      <c r="ZB17" s="20" t="n">
        <f aca="false">ZA17</f>
        <v>1270</v>
      </c>
      <c r="ZC17" s="20" t="n">
        <f aca="false">ZB17</f>
        <v>1270</v>
      </c>
      <c r="ZD17" s="20" t="n">
        <f aca="false">ZC17</f>
        <v>1270</v>
      </c>
      <c r="ZE17" s="20" t="n">
        <f aca="false">ZD17</f>
        <v>1270</v>
      </c>
      <c r="ZF17" s="20" t="n">
        <f aca="false">ZE17</f>
        <v>1270</v>
      </c>
      <c r="ZG17" s="20" t="n">
        <f aca="false">ZF17</f>
        <v>1270</v>
      </c>
      <c r="ZH17" s="20" t="n">
        <f aca="false">ZG17</f>
        <v>1270</v>
      </c>
      <c r="ZI17" s="20" t="n">
        <f aca="false">ZH17</f>
        <v>1270</v>
      </c>
      <c r="ZJ17" s="20" t="n">
        <f aca="false">ZI17</f>
        <v>1270</v>
      </c>
      <c r="ZK17" s="20" t="n">
        <f aca="false">ZJ17</f>
        <v>1270</v>
      </c>
      <c r="ZL17" s="20" t="n">
        <f aca="false">ZK17</f>
        <v>1270</v>
      </c>
      <c r="ZM17" s="20" t="n">
        <f aca="false">ZL17</f>
        <v>1270</v>
      </c>
      <c r="ZN17" s="20" t="n">
        <f aca="false">ZM17</f>
        <v>1270</v>
      </c>
      <c r="ZO17" s="20" t="n">
        <f aca="false">ZN17</f>
        <v>1270</v>
      </c>
      <c r="ZP17" s="20" t="n">
        <f aca="false">ZO17</f>
        <v>1270</v>
      </c>
      <c r="ZQ17" s="20" t="n">
        <f aca="false">ZP17</f>
        <v>1270</v>
      </c>
      <c r="ZR17" s="20" t="n">
        <f aca="false">ZQ17</f>
        <v>1270</v>
      </c>
      <c r="ZS17" s="20" t="n">
        <f aca="false">ZR17</f>
        <v>1270</v>
      </c>
      <c r="ZT17" s="20" t="n">
        <f aca="false">ZS17</f>
        <v>1270</v>
      </c>
      <c r="ZU17" s="20" t="n">
        <f aca="false">ZT17</f>
        <v>1270</v>
      </c>
      <c r="ZV17" s="20" t="n">
        <f aca="false">ZU17</f>
        <v>1270</v>
      </c>
      <c r="ZW17" s="20" t="n">
        <f aca="false">ZV17</f>
        <v>1270</v>
      </c>
      <c r="ZX17" s="20" t="n">
        <f aca="false">ZW17</f>
        <v>1270</v>
      </c>
      <c r="ZY17" s="20" t="n">
        <f aca="false">ZX17</f>
        <v>1270</v>
      </c>
      <c r="ZZ17" s="20" t="n">
        <f aca="false">ZY17</f>
        <v>1270</v>
      </c>
      <c r="AAA17" s="20" t="n">
        <f aca="false">ZZ17</f>
        <v>1270</v>
      </c>
      <c r="AAB17" s="20" t="n">
        <f aca="false">AAA17</f>
        <v>1270</v>
      </c>
      <c r="AAC17" s="20" t="n">
        <f aca="false">AAB17</f>
        <v>1270</v>
      </c>
      <c r="AAD17" s="20" t="n">
        <f aca="false">AAC17</f>
        <v>1270</v>
      </c>
      <c r="AAE17" s="20" t="n">
        <f aca="false">IF(H_Direct=1,IF(BR17&lt;=0,I17-BR17*TE17,I17-MIN(MIN(BR17*TE17,(H17+I17)),I17)),I17)</f>
        <v>0</v>
      </c>
      <c r="AAF17" s="20" t="n">
        <f aca="false">IF(H_Direct=1,IF(BS17&lt;=0,AAE17-BS17*TF17,AAE17-MIN(MIN(BS17*TF17,(WR17+AAE17)),AAE17)),AAE17)</f>
        <v>0</v>
      </c>
      <c r="AAG17" s="20" t="n">
        <f aca="false">IF(H_Direct=1,IF(BT17&lt;=0,AAF17-BT17*TG17,AAF17-MIN(MIN(BT17*TG17,(WS17+AAF17)),AAF17)),AAF17)</f>
        <v>0</v>
      </c>
      <c r="AAH17" s="20" t="n">
        <f aca="false">IF(H_Direct=1,IF(BU17&lt;=0,AAG17-BU17*TH17,AAG17-MIN(MIN(BU17*TH17,(WT17+AAG17)),AAG17)),AAG17)</f>
        <v>0</v>
      </c>
      <c r="AAI17" s="20" t="n">
        <f aca="false">IF(H_Direct=1,IF(BV17&lt;=0,AAH17-BV17*TI17,AAH17-MIN(MIN(BV17*TI17,(WU17+AAH17)),AAH17)),AAH17)</f>
        <v>0</v>
      </c>
      <c r="AAJ17" s="20" t="n">
        <f aca="false">IF(H_Direct=1,IF(BW17&lt;=0,AAI17-BW17*TJ17,AAI17-MIN(MIN(BW17*TJ17,(WV17+AAI17)),AAI17)),AAI17)</f>
        <v>0</v>
      </c>
      <c r="AAK17" s="20" t="n">
        <f aca="false">IF(H_Direct=1,IF(BX17&lt;=0,AAJ17-BX17*TK17,AAJ17-MIN(MIN(BX17*TK17,(WW17+AAJ17)),AAJ17)),AAJ17)</f>
        <v>0</v>
      </c>
      <c r="AAL17" s="20" t="n">
        <f aca="false">IF(H_Direct=1,IF(BY17&lt;=0,AAK17-BY17*TL17,AAK17-MIN(MIN(BY17*TL17,(WX17+AAK17)),AAK17)),AAK17)</f>
        <v>0</v>
      </c>
      <c r="AAM17" s="20" t="n">
        <f aca="false">IF(H_Direct=1,IF(BZ17&lt;=0,AAL17-BZ17*TM17,AAL17-MIN(MIN(BZ17*TM17,(WY17+AAL17)),AAL17)),AAL17)</f>
        <v>0</v>
      </c>
      <c r="AAN17" s="20" t="n">
        <f aca="false">IF(H_Direct=1,IF(CA17&lt;=0,AAM17-CA17*TN17,AAM17-MIN(MIN(CA17*TN17,(WZ17+AAM17)),AAM17)),AAM17)</f>
        <v>0</v>
      </c>
      <c r="AAO17" s="20" t="n">
        <f aca="false">IF(H_Direct=1,IF(CB17&lt;=0,AAN17-CB17*TO17,AAN17-MIN(MIN(CB17*TO17,(XA17+AAN17)),AAN17)),AAN17)</f>
        <v>0</v>
      </c>
      <c r="AAP17" s="20" t="n">
        <f aca="false">AAO17</f>
        <v>0</v>
      </c>
      <c r="AAQ17" s="20" t="n">
        <f aca="false">AAP17</f>
        <v>0</v>
      </c>
      <c r="AAR17" s="20" t="n">
        <f aca="false">AAQ17</f>
        <v>0</v>
      </c>
      <c r="AAS17" s="20" t="n">
        <f aca="false">AAR17</f>
        <v>0</v>
      </c>
      <c r="AAT17" s="20" t="n">
        <f aca="false">AAS17</f>
        <v>0</v>
      </c>
      <c r="AAU17" s="20" t="n">
        <f aca="false">AAT17</f>
        <v>0</v>
      </c>
      <c r="AAV17" s="20" t="n">
        <f aca="false">AAU17</f>
        <v>0</v>
      </c>
      <c r="AAW17" s="20" t="n">
        <f aca="false">AAV17</f>
        <v>0</v>
      </c>
      <c r="AAX17" s="20" t="n">
        <f aca="false">AAW17</f>
        <v>0</v>
      </c>
      <c r="AAY17" s="20" t="n">
        <f aca="false">AAX17</f>
        <v>0</v>
      </c>
      <c r="AAZ17" s="20" t="n">
        <f aca="false">AAY17</f>
        <v>0</v>
      </c>
      <c r="ABA17" s="20" t="n">
        <f aca="false">AAZ17</f>
        <v>0</v>
      </c>
      <c r="ABB17" s="20" t="n">
        <f aca="false">ABA17</f>
        <v>0</v>
      </c>
      <c r="ABC17" s="20" t="n">
        <f aca="false">ABB17</f>
        <v>0</v>
      </c>
      <c r="ABD17" s="20" t="n">
        <f aca="false">ABC17</f>
        <v>0</v>
      </c>
      <c r="ABE17" s="20" t="n">
        <f aca="false">ABD17</f>
        <v>0</v>
      </c>
      <c r="ABF17" s="20" t="n">
        <f aca="false">ABE17</f>
        <v>0</v>
      </c>
      <c r="ABG17" s="20" t="n">
        <f aca="false">ABF17</f>
        <v>0</v>
      </c>
      <c r="ABH17" s="20" t="n">
        <f aca="false">ABG17</f>
        <v>0</v>
      </c>
      <c r="ABI17" s="20" t="n">
        <f aca="false">ABH17</f>
        <v>0</v>
      </c>
      <c r="ABJ17" s="20" t="n">
        <f aca="false">ABI17</f>
        <v>0</v>
      </c>
      <c r="ABK17" s="20" t="n">
        <f aca="false">ABJ17</f>
        <v>0</v>
      </c>
      <c r="ABL17" s="20" t="n">
        <f aca="false">ABK17</f>
        <v>0</v>
      </c>
      <c r="ABM17" s="20" t="n">
        <f aca="false">ABL17</f>
        <v>0</v>
      </c>
      <c r="ABN17" s="20" t="n">
        <f aca="false">ABM17</f>
        <v>0</v>
      </c>
      <c r="ABO17" s="20" t="n">
        <f aca="false">ABN17</f>
        <v>0</v>
      </c>
      <c r="ABP17" s="20" t="n">
        <f aca="false">ABO17</f>
        <v>0</v>
      </c>
      <c r="ABQ17" s="20" t="n">
        <f aca="false">ABP17</f>
        <v>0</v>
      </c>
      <c r="ABR17" s="20" t="n">
        <f aca="false">ABQ17</f>
        <v>0</v>
      </c>
      <c r="ABS17" s="20" t="n">
        <f aca="false">ABR17</f>
        <v>0</v>
      </c>
      <c r="ABT17" s="20" t="n">
        <f aca="false">ABS17</f>
        <v>0</v>
      </c>
      <c r="ABU17" s="20" t="n">
        <f aca="false">ABT17</f>
        <v>0</v>
      </c>
      <c r="ABV17" s="20" t="n">
        <f aca="false">ABU17</f>
        <v>0</v>
      </c>
      <c r="ABW17" s="20" t="n">
        <f aca="false">ABV17</f>
        <v>0</v>
      </c>
      <c r="ABX17" s="20" t="n">
        <f aca="false">ABW17</f>
        <v>0</v>
      </c>
      <c r="ABY17" s="20" t="n">
        <f aca="false">ABX17</f>
        <v>0</v>
      </c>
      <c r="ABZ17" s="20" t="n">
        <f aca="false">ABY17</f>
        <v>0</v>
      </c>
      <c r="ACA17" s="20" t="n">
        <f aca="false">ABZ17</f>
        <v>0</v>
      </c>
      <c r="ACB17" s="20" t="n">
        <f aca="false">ACA17</f>
        <v>0</v>
      </c>
      <c r="ACC17" s="20" t="n">
        <f aca="false">ACB17</f>
        <v>0</v>
      </c>
      <c r="ACD17" s="20" t="n">
        <f aca="false">ACC17</f>
        <v>0</v>
      </c>
      <c r="ACE17" s="20" t="n">
        <f aca="false">ACD17</f>
        <v>0</v>
      </c>
      <c r="ACF17" s="20" t="n">
        <f aca="false">ACE17</f>
        <v>0</v>
      </c>
      <c r="ACG17" s="20" t="n">
        <f aca="false">ACF17</f>
        <v>0</v>
      </c>
      <c r="ACH17" s="20" t="n">
        <f aca="false">ACG17</f>
        <v>0</v>
      </c>
      <c r="ACI17" s="20" t="n">
        <f aca="false">ACH17</f>
        <v>0</v>
      </c>
      <c r="ACJ17" s="20" t="n">
        <f aca="false">ACI17</f>
        <v>0</v>
      </c>
      <c r="ACK17" s="20" t="n">
        <f aca="false">ACJ17</f>
        <v>0</v>
      </c>
      <c r="ACL17" s="20" t="n">
        <f aca="false">ACK17</f>
        <v>0</v>
      </c>
      <c r="ACM17" s="20" t="n">
        <f aca="false">ACL17</f>
        <v>0</v>
      </c>
      <c r="ACN17" s="20" t="n">
        <f aca="false">ACM17</f>
        <v>0</v>
      </c>
      <c r="ACO17" s="20" t="n">
        <f aca="false">ACN17</f>
        <v>0</v>
      </c>
      <c r="ACP17" s="20" t="n">
        <f aca="false">ACO17</f>
        <v>0</v>
      </c>
      <c r="ACQ17" s="20" t="n">
        <f aca="false">ACP17</f>
        <v>0</v>
      </c>
      <c r="ACR17" s="20" t="n">
        <f aca="false">ACQ17</f>
        <v>0</v>
      </c>
      <c r="ACS17" s="20" t="n">
        <f aca="false">ACR17</f>
        <v>0</v>
      </c>
      <c r="ACT17" s="20" t="n">
        <f aca="false">ACS17</f>
        <v>0</v>
      </c>
      <c r="ACU17" s="20" t="n">
        <f aca="false">ACT17</f>
        <v>0</v>
      </c>
      <c r="ACV17" s="20" t="n">
        <f aca="false">ACU17</f>
        <v>0</v>
      </c>
      <c r="ACW17" s="20" t="n">
        <f aca="false">ACV17</f>
        <v>0</v>
      </c>
      <c r="ACX17" s="20" t="n">
        <f aca="false">ACW17</f>
        <v>0</v>
      </c>
      <c r="ACY17" s="20" t="n">
        <f aca="false">ACX17</f>
        <v>0</v>
      </c>
      <c r="ACZ17" s="20" t="n">
        <f aca="false">ACY17</f>
        <v>0</v>
      </c>
      <c r="ADA17" s="20" t="n">
        <f aca="false">ACZ17</f>
        <v>0</v>
      </c>
      <c r="ADB17" s="20" t="n">
        <f aca="false">ADA17</f>
        <v>0</v>
      </c>
      <c r="ADC17" s="20" t="n">
        <f aca="false">ADB17</f>
        <v>0</v>
      </c>
      <c r="ADD17" s="20" t="n">
        <f aca="false">ADC17</f>
        <v>0</v>
      </c>
      <c r="ADE17" s="20" t="n">
        <f aca="false">ADD17</f>
        <v>0</v>
      </c>
      <c r="ADF17" s="20" t="n">
        <f aca="false">ADE17</f>
        <v>0</v>
      </c>
      <c r="ADG17" s="20" t="n">
        <f aca="false">ADF17</f>
        <v>0</v>
      </c>
      <c r="ADH17" s="20" t="n">
        <f aca="false">ADG17</f>
        <v>0</v>
      </c>
      <c r="ADI17" s="20" t="n">
        <f aca="false">ADH17</f>
        <v>0</v>
      </c>
      <c r="ADJ17" s="20" t="n">
        <f aca="false">ADI17</f>
        <v>0</v>
      </c>
      <c r="ADK17" s="20" t="n">
        <f aca="false">ADJ17</f>
        <v>0</v>
      </c>
      <c r="ADL17" s="20" t="n">
        <f aca="false">ADK17</f>
        <v>0</v>
      </c>
      <c r="ADM17" s="20" t="n">
        <f aca="false">ADL17</f>
        <v>0</v>
      </c>
      <c r="ADN17" s="20" t="n">
        <f aca="false">ADM17</f>
        <v>0</v>
      </c>
      <c r="ADO17" s="20" t="n">
        <f aca="false">ADN17</f>
        <v>0</v>
      </c>
      <c r="ADP17" s="20" t="n">
        <f aca="false">ADO17</f>
        <v>0</v>
      </c>
      <c r="ADQ17" s="20" t="n">
        <f aca="false">ADP17</f>
        <v>0</v>
      </c>
      <c r="ADR17" s="20" t="n">
        <f aca="false">(AKR16-TE17+0)*(1+BQ17)</f>
        <v>0</v>
      </c>
      <c r="ADS17" s="20" t="n">
        <f aca="false">(AKS16-TF17+0)*(1+BQ17)</f>
        <v>0</v>
      </c>
      <c r="ADT17" s="20" t="n">
        <f aca="false">(AKT16-TG17+0)*(1+BQ17)</f>
        <v>0</v>
      </c>
      <c r="ADU17" s="20" t="n">
        <f aca="false">(AKU16-TH17+0)*(1+BQ17)</f>
        <v>0</v>
      </c>
      <c r="ADV17" s="20" t="n">
        <f aca="false">(AKV16-TI17+0)*(1+BQ17)</f>
        <v>0</v>
      </c>
      <c r="ADW17" s="20" t="n">
        <f aca="false">(AKW16-TJ17+0)*(1+BQ17)</f>
        <v>0</v>
      </c>
      <c r="ADX17" s="20" t="n">
        <f aca="false">(AKX16-TK17+0)*(1+BQ17)</f>
        <v>0</v>
      </c>
      <c r="ADY17" s="20" t="n">
        <f aca="false">(AKY16-TL17+0)*(1+BQ17)</f>
        <v>0</v>
      </c>
      <c r="ADZ17" s="20" t="n">
        <f aca="false">(AKZ16-TM17+0)*(1+BQ17)</f>
        <v>0</v>
      </c>
      <c r="AEA17" s="20" t="n">
        <f aca="false">(ALA16-TN17+0)*(1+BQ17)</f>
        <v>0</v>
      </c>
      <c r="AEB17" s="20" t="n">
        <f aca="false">((P17+S17)-TO17+BE17)*(1+BQ17)</f>
        <v>0</v>
      </c>
      <c r="AEC17" s="20" t="n">
        <v>0</v>
      </c>
      <c r="AED17" s="20" t="n">
        <v>0</v>
      </c>
      <c r="AEE17" s="20" t="n">
        <v>0</v>
      </c>
      <c r="AEF17" s="20" t="n">
        <v>0</v>
      </c>
      <c r="AEG17" s="20" t="n">
        <v>0</v>
      </c>
      <c r="AEH17" s="20" t="n">
        <v>0</v>
      </c>
      <c r="AEI17" s="20" t="n">
        <v>0</v>
      </c>
      <c r="AEJ17" s="20" t="n">
        <v>0</v>
      </c>
      <c r="AEK17" s="20" t="n">
        <v>0</v>
      </c>
      <c r="AEL17" s="20" t="n">
        <v>0</v>
      </c>
      <c r="AEM17" s="20" t="n">
        <v>0</v>
      </c>
      <c r="AEN17" s="20" t="n">
        <v>0</v>
      </c>
      <c r="AEO17" s="20" t="n">
        <v>0</v>
      </c>
      <c r="AEP17" s="20" t="n">
        <v>0</v>
      </c>
      <c r="AEQ17" s="20" t="n">
        <v>0</v>
      </c>
      <c r="AER17" s="20" t="n">
        <v>0</v>
      </c>
      <c r="AES17" s="20" t="n">
        <v>0</v>
      </c>
      <c r="AET17" s="20" t="n">
        <v>0</v>
      </c>
      <c r="AEU17" s="20" t="n">
        <v>0</v>
      </c>
      <c r="AEV17" s="20" t="n">
        <v>0</v>
      </c>
      <c r="AEW17" s="20" t="n">
        <v>0</v>
      </c>
      <c r="AEX17" s="20" t="n">
        <v>0</v>
      </c>
      <c r="AEY17" s="20" t="n">
        <v>0</v>
      </c>
      <c r="AEZ17" s="20" t="n">
        <v>0</v>
      </c>
      <c r="AFA17" s="20" t="n">
        <v>0</v>
      </c>
      <c r="AFB17" s="20" t="n">
        <v>0</v>
      </c>
      <c r="AFC17" s="20" t="n">
        <v>0</v>
      </c>
      <c r="AFD17" s="20" t="n">
        <v>0</v>
      </c>
      <c r="AFE17" s="20" t="n">
        <v>0</v>
      </c>
      <c r="AFF17" s="20" t="n">
        <v>0</v>
      </c>
      <c r="AFG17" s="20" t="n">
        <v>0</v>
      </c>
      <c r="AFH17" s="20" t="n">
        <v>0</v>
      </c>
      <c r="AFI17" s="20" t="n">
        <v>0</v>
      </c>
      <c r="AFJ17" s="20" t="n">
        <v>0</v>
      </c>
      <c r="AFK17" s="20" t="n">
        <v>0</v>
      </c>
      <c r="AFL17" s="20" t="n">
        <v>0</v>
      </c>
      <c r="AFM17" s="20" t="n">
        <v>0</v>
      </c>
      <c r="AFN17" s="20" t="n">
        <v>0</v>
      </c>
      <c r="AFO17" s="20" t="n">
        <v>0</v>
      </c>
      <c r="AFP17" s="20" t="n">
        <v>0</v>
      </c>
      <c r="AFQ17" s="20" t="n">
        <v>0</v>
      </c>
      <c r="AFR17" s="20" t="n">
        <v>0</v>
      </c>
      <c r="AFS17" s="20" t="n">
        <v>0</v>
      </c>
      <c r="AFT17" s="20" t="n">
        <v>0</v>
      </c>
      <c r="AFU17" s="20" t="n">
        <v>0</v>
      </c>
      <c r="AFV17" s="20" t="n">
        <v>0</v>
      </c>
      <c r="AFW17" s="20" t="n">
        <v>0</v>
      </c>
      <c r="AFX17" s="20" t="n">
        <v>0</v>
      </c>
      <c r="AFY17" s="20" t="n">
        <v>0</v>
      </c>
      <c r="AFZ17" s="20" t="n">
        <v>0</v>
      </c>
      <c r="AGA17" s="20" t="n">
        <v>0</v>
      </c>
      <c r="AGB17" s="20" t="n">
        <v>0</v>
      </c>
      <c r="AGC17" s="20" t="n">
        <v>0</v>
      </c>
      <c r="AGD17" s="20" t="n">
        <v>0</v>
      </c>
      <c r="AGE17" s="20" t="n">
        <v>0</v>
      </c>
      <c r="AGF17" s="20" t="n">
        <v>0</v>
      </c>
      <c r="AGG17" s="20" t="n">
        <v>0</v>
      </c>
      <c r="AGH17" s="20" t="n">
        <v>0</v>
      </c>
      <c r="AGI17" s="20" t="n">
        <v>0</v>
      </c>
      <c r="AGJ17" s="20" t="n">
        <v>0</v>
      </c>
      <c r="AGK17" s="20" t="n">
        <v>0</v>
      </c>
      <c r="AGL17" s="20" t="n">
        <v>0</v>
      </c>
      <c r="AGM17" s="20" t="n">
        <v>0</v>
      </c>
      <c r="AGN17" s="20" t="n">
        <v>0</v>
      </c>
      <c r="AGO17" s="20" t="n">
        <v>0</v>
      </c>
      <c r="AGP17" s="20" t="n">
        <v>0</v>
      </c>
      <c r="AGQ17" s="20" t="n">
        <v>0</v>
      </c>
      <c r="AGR17" s="20" t="n">
        <v>0</v>
      </c>
      <c r="AGS17" s="20" t="n">
        <v>0</v>
      </c>
      <c r="AGT17" s="20" t="n">
        <v>0</v>
      </c>
      <c r="AGU17" s="20" t="n">
        <v>0</v>
      </c>
      <c r="AGV17" s="20" t="n">
        <v>0</v>
      </c>
      <c r="AGW17" s="20" t="n">
        <v>0</v>
      </c>
      <c r="AGX17" s="20" t="n">
        <v>0</v>
      </c>
      <c r="AGY17" s="20" t="n">
        <v>0</v>
      </c>
      <c r="AGZ17" s="20" t="n">
        <v>0</v>
      </c>
      <c r="AHA17" s="20" t="n">
        <v>0</v>
      </c>
      <c r="AHB17" s="20" t="n">
        <v>0</v>
      </c>
      <c r="AHC17" s="20" t="n">
        <v>0</v>
      </c>
      <c r="AHD17" s="20" t="n">
        <v>0</v>
      </c>
      <c r="AHE17" s="20" t="n">
        <f aca="false">IF(AKR16&gt;0,AOE16-AOE16*TE17/AKR16,0)+0</f>
        <v>0</v>
      </c>
      <c r="AHF17" s="20" t="n">
        <f aca="false">IF(AKS16&gt;0,AOF16-AOF16*TF17/AKS16,0)+0</f>
        <v>0</v>
      </c>
      <c r="AHG17" s="20" t="n">
        <f aca="false">IF(AKT16&gt;0,AOG16-AOG16*TG17/AKT16,0)+0</f>
        <v>0</v>
      </c>
      <c r="AHH17" s="20" t="n">
        <f aca="false">IF(AKU16&gt;0,AOH16-AOH16*TH17/AKU16,0)+0</f>
        <v>0</v>
      </c>
      <c r="AHI17" s="20" t="n">
        <f aca="false">IF(AKV16&gt;0,AOI16-AOI16*TI17/AKV16,0)+0</f>
        <v>0</v>
      </c>
      <c r="AHJ17" s="20" t="n">
        <f aca="false">IF(AKW16&gt;0,AOJ16-AOJ16*TJ17/AKW16,0)+0</f>
        <v>0</v>
      </c>
      <c r="AHK17" s="20" t="n">
        <f aca="false">IF(AKX16&gt;0,AOK16-AOK16*TK17/AKX16,0)+0</f>
        <v>0</v>
      </c>
      <c r="AHL17" s="20" t="n">
        <f aca="false">IF(AKY16&gt;0,AOL16-AOL16*TL17/AKY16,0)+0</f>
        <v>0</v>
      </c>
      <c r="AHM17" s="20" t="n">
        <f aca="false">IF(AKZ16&gt;0,AOM16-AOM16*TM17/AKZ16,0)+0</f>
        <v>0</v>
      </c>
      <c r="AHN17" s="20" t="n">
        <f aca="false">IF(ALA16&gt;0,AON16-AON16*TN17/ALA16,0)+0</f>
        <v>0</v>
      </c>
      <c r="AHO17" s="20" t="n">
        <f aca="false">IF((P17+S17)&gt;0,(P17+S17)-(P17+S17)*TO17/(P17+S17),0)+BE17</f>
        <v>0</v>
      </c>
      <c r="AHP17" s="20" t="n">
        <v>0</v>
      </c>
      <c r="AHQ17" s="20" t="n">
        <v>0</v>
      </c>
      <c r="AHR17" s="20" t="n">
        <v>0</v>
      </c>
      <c r="AHS17" s="20" t="n">
        <v>0</v>
      </c>
      <c r="AHT17" s="20" t="n">
        <v>0</v>
      </c>
      <c r="AHU17" s="20" t="n">
        <v>0</v>
      </c>
      <c r="AHV17" s="20" t="n">
        <v>0</v>
      </c>
      <c r="AHW17" s="20" t="n">
        <v>0</v>
      </c>
      <c r="AHX17" s="20" t="n">
        <v>0</v>
      </c>
      <c r="AHY17" s="20" t="n">
        <v>0</v>
      </c>
      <c r="AHZ17" s="20" t="n">
        <v>0</v>
      </c>
      <c r="AIA17" s="20" t="n">
        <v>0</v>
      </c>
      <c r="AIB17" s="20" t="n">
        <v>0</v>
      </c>
      <c r="AIC17" s="20" t="n">
        <v>0</v>
      </c>
      <c r="AID17" s="20" t="n">
        <v>0</v>
      </c>
      <c r="AIE17" s="20" t="n">
        <v>0</v>
      </c>
      <c r="AIF17" s="20" t="n">
        <v>0</v>
      </c>
      <c r="AIG17" s="20" t="n">
        <v>0</v>
      </c>
      <c r="AIH17" s="20" t="n">
        <v>0</v>
      </c>
      <c r="AII17" s="20" t="n">
        <v>0</v>
      </c>
      <c r="AIJ17" s="20" t="n">
        <v>0</v>
      </c>
      <c r="AIK17" s="20" t="n">
        <v>0</v>
      </c>
      <c r="AIL17" s="20" t="n">
        <v>0</v>
      </c>
      <c r="AIM17" s="20" t="n">
        <v>0</v>
      </c>
      <c r="AIN17" s="20" t="n">
        <v>0</v>
      </c>
      <c r="AIO17" s="20" t="n">
        <v>0</v>
      </c>
      <c r="AIP17" s="20" t="n">
        <v>0</v>
      </c>
      <c r="AIQ17" s="20" t="n">
        <v>0</v>
      </c>
      <c r="AIR17" s="20" t="n">
        <v>0</v>
      </c>
      <c r="AIS17" s="20" t="n">
        <v>0</v>
      </c>
      <c r="AIT17" s="20" t="n">
        <v>0</v>
      </c>
      <c r="AIU17" s="20" t="n">
        <v>0</v>
      </c>
      <c r="AIV17" s="20" t="n">
        <v>0</v>
      </c>
      <c r="AIW17" s="20" t="n">
        <v>0</v>
      </c>
      <c r="AIX17" s="20" t="n">
        <v>0</v>
      </c>
      <c r="AIY17" s="20" t="n">
        <v>0</v>
      </c>
      <c r="AIZ17" s="20" t="n">
        <v>0</v>
      </c>
      <c r="AJA17" s="20" t="n">
        <v>0</v>
      </c>
      <c r="AJB17" s="20" t="n">
        <v>0</v>
      </c>
      <c r="AJC17" s="20" t="n">
        <v>0</v>
      </c>
      <c r="AJD17" s="20" t="n">
        <v>0</v>
      </c>
      <c r="AJE17" s="20" t="n">
        <v>0</v>
      </c>
      <c r="AJF17" s="20" t="n">
        <v>0</v>
      </c>
      <c r="AJG17" s="20" t="n">
        <v>0</v>
      </c>
      <c r="AJH17" s="20" t="n">
        <v>0</v>
      </c>
      <c r="AJI17" s="20" t="n">
        <v>0</v>
      </c>
      <c r="AJJ17" s="20" t="n">
        <v>0</v>
      </c>
      <c r="AJK17" s="20" t="n">
        <v>0</v>
      </c>
      <c r="AJL17" s="20" t="n">
        <v>0</v>
      </c>
      <c r="AJM17" s="20" t="n">
        <v>0</v>
      </c>
      <c r="AJN17" s="20" t="n">
        <v>0</v>
      </c>
      <c r="AJO17" s="20" t="n">
        <v>0</v>
      </c>
      <c r="AJP17" s="20" t="n">
        <v>0</v>
      </c>
      <c r="AJQ17" s="20" t="n">
        <v>0</v>
      </c>
      <c r="AJR17" s="20" t="n">
        <v>0</v>
      </c>
      <c r="AJS17" s="20" t="n">
        <v>0</v>
      </c>
      <c r="AJT17" s="20" t="n">
        <v>0</v>
      </c>
      <c r="AJU17" s="20" t="n">
        <v>0</v>
      </c>
      <c r="AJV17" s="20" t="n">
        <v>0</v>
      </c>
      <c r="AJW17" s="20" t="n">
        <v>0</v>
      </c>
      <c r="AJX17" s="20" t="n">
        <v>0</v>
      </c>
      <c r="AJY17" s="20" t="n">
        <v>0</v>
      </c>
      <c r="AJZ17" s="20" t="n">
        <v>0</v>
      </c>
      <c r="AKA17" s="20" t="n">
        <v>0</v>
      </c>
      <c r="AKB17" s="20" t="n">
        <v>0</v>
      </c>
      <c r="AKC17" s="20" t="n">
        <v>0</v>
      </c>
      <c r="AKD17" s="20" t="n">
        <v>0</v>
      </c>
      <c r="AKE17" s="20" t="n">
        <v>0</v>
      </c>
      <c r="AKF17" s="20" t="n">
        <v>0</v>
      </c>
      <c r="AKG17" s="20" t="n">
        <v>0</v>
      </c>
      <c r="AKH17" s="20" t="n">
        <v>0</v>
      </c>
      <c r="AKI17" s="20" t="n">
        <v>0</v>
      </c>
      <c r="AKJ17" s="20" t="n">
        <v>0</v>
      </c>
      <c r="AKK17" s="20" t="n">
        <v>0</v>
      </c>
      <c r="AKL17" s="20" t="n">
        <v>0</v>
      </c>
      <c r="AKM17" s="20" t="n">
        <v>0</v>
      </c>
      <c r="AKN17" s="20" t="n">
        <v>0</v>
      </c>
      <c r="AKO17" s="20" t="n">
        <v>0</v>
      </c>
      <c r="AKP17" s="20" t="n">
        <v>0</v>
      </c>
      <c r="AKQ17" s="20" t="n">
        <v>0</v>
      </c>
      <c r="AKR17" s="20" t="n">
        <f aca="false">ADR17-AVE17</f>
        <v>0</v>
      </c>
      <c r="AKS17" s="20" t="n">
        <f aca="false">ADS17-AVF17</f>
        <v>0</v>
      </c>
      <c r="AKT17" s="20" t="n">
        <f aca="false">ADT17-AVG17</f>
        <v>0</v>
      </c>
      <c r="AKU17" s="20" t="n">
        <f aca="false">ADU17-AVH17</f>
        <v>0</v>
      </c>
      <c r="AKV17" s="20" t="n">
        <f aca="false">ADV17-AVI17</f>
        <v>0</v>
      </c>
      <c r="AKW17" s="20" t="n">
        <f aca="false">ADW17-AVJ17</f>
        <v>0</v>
      </c>
      <c r="AKX17" s="20" t="n">
        <f aca="false">ADX17-AVK17</f>
        <v>0</v>
      </c>
      <c r="AKY17" s="20" t="n">
        <f aca="false">ADY17-AVL17</f>
        <v>0</v>
      </c>
      <c r="AKZ17" s="20" t="n">
        <f aca="false">ADZ17-AVM17</f>
        <v>0</v>
      </c>
      <c r="ALA17" s="20" t="n">
        <f aca="false">AEA17-AVN17</f>
        <v>0</v>
      </c>
      <c r="ALB17" s="20" t="n">
        <f aca="false">AEB17-AVO17</f>
        <v>0</v>
      </c>
      <c r="ALC17" s="20" t="n">
        <v>0</v>
      </c>
      <c r="ALD17" s="20" t="n">
        <v>0</v>
      </c>
      <c r="ALE17" s="20" t="n">
        <v>0</v>
      </c>
      <c r="ALF17" s="20" t="n">
        <v>0</v>
      </c>
      <c r="ALG17" s="20" t="n">
        <v>0</v>
      </c>
      <c r="ALH17" s="20" t="n">
        <v>0</v>
      </c>
      <c r="ALI17" s="20" t="n">
        <v>0</v>
      </c>
      <c r="ALJ17" s="20" t="n">
        <v>0</v>
      </c>
      <c r="ALK17" s="20" t="n">
        <v>0</v>
      </c>
      <c r="ALL17" s="20" t="n">
        <v>0</v>
      </c>
      <c r="ALM17" s="20" t="n">
        <v>0</v>
      </c>
      <c r="ALN17" s="20" t="n">
        <v>0</v>
      </c>
      <c r="ALO17" s="20" t="n">
        <v>0</v>
      </c>
      <c r="ALP17" s="20" t="n">
        <v>0</v>
      </c>
      <c r="ALQ17" s="20" t="n">
        <v>0</v>
      </c>
      <c r="ALR17" s="20" t="n">
        <v>0</v>
      </c>
      <c r="ALS17" s="20" t="n">
        <v>0</v>
      </c>
      <c r="ALT17" s="20" t="n">
        <v>0</v>
      </c>
      <c r="ALU17" s="20" t="n">
        <v>0</v>
      </c>
      <c r="ALV17" s="20" t="n">
        <v>0</v>
      </c>
      <c r="ALW17" s="20" t="n">
        <v>0</v>
      </c>
      <c r="ALX17" s="20" t="n">
        <v>0</v>
      </c>
      <c r="ALY17" s="20" t="n">
        <v>0</v>
      </c>
      <c r="ALZ17" s="20" t="n">
        <v>0</v>
      </c>
      <c r="AMA17" s="20" t="n">
        <v>0</v>
      </c>
      <c r="AMB17" s="20" t="n">
        <v>0</v>
      </c>
      <c r="AMC17" s="20" t="n">
        <v>0</v>
      </c>
      <c r="AMD17" s="20" t="n">
        <v>0</v>
      </c>
      <c r="AME17" s="20" t="n">
        <v>0</v>
      </c>
      <c r="AMF17" s="20" t="n">
        <v>0</v>
      </c>
      <c r="AMG17" s="20" t="n">
        <v>0</v>
      </c>
      <c r="AMH17" s="20" t="n">
        <v>0</v>
      </c>
      <c r="AMI17" s="20" t="n">
        <v>0</v>
      </c>
      <c r="AMJ17" s="20" t="n">
        <v>0</v>
      </c>
      <c r="AMK17" s="20" t="n">
        <v>0</v>
      </c>
      <c r="AML17" s="20" t="n">
        <v>0</v>
      </c>
      <c r="AMM17" s="20" t="n">
        <v>0</v>
      </c>
      <c r="AMN17" s="20" t="n">
        <v>0</v>
      </c>
      <c r="AMO17" s="20" t="n">
        <v>0</v>
      </c>
      <c r="AMP17" s="20" t="n">
        <v>0</v>
      </c>
      <c r="AMQ17" s="20" t="n">
        <v>0</v>
      </c>
      <c r="AMR17" s="20" t="n">
        <v>0</v>
      </c>
      <c r="AMS17" s="20" t="n">
        <v>0</v>
      </c>
      <c r="AMT17" s="20" t="n">
        <v>0</v>
      </c>
      <c r="AMU17" s="20" t="n">
        <v>0</v>
      </c>
      <c r="AMV17" s="20" t="n">
        <v>0</v>
      </c>
      <c r="AMW17" s="20" t="n">
        <v>0</v>
      </c>
      <c r="AMX17" s="20" t="n">
        <v>0</v>
      </c>
      <c r="AMY17" s="20" t="n">
        <v>0</v>
      </c>
      <c r="AMZ17" s="20" t="n">
        <v>0</v>
      </c>
      <c r="ANA17" s="20" t="n">
        <v>0</v>
      </c>
      <c r="ANB17" s="20" t="n">
        <v>0</v>
      </c>
      <c r="ANC17" s="20" t="n">
        <v>0</v>
      </c>
      <c r="AND17" s="20" t="n">
        <v>0</v>
      </c>
      <c r="ANE17" s="20" t="n">
        <v>0</v>
      </c>
      <c r="ANF17" s="20" t="n">
        <v>0</v>
      </c>
      <c r="ANG17" s="20" t="n">
        <v>0</v>
      </c>
      <c r="ANH17" s="20" t="n">
        <v>0</v>
      </c>
      <c r="ANI17" s="20" t="n">
        <v>0</v>
      </c>
      <c r="ANJ17" s="20" t="n">
        <v>0</v>
      </c>
      <c r="ANK17" s="20" t="n">
        <v>0</v>
      </c>
      <c r="ANL17" s="20" t="n">
        <v>0</v>
      </c>
      <c r="ANM17" s="20" t="n">
        <v>0</v>
      </c>
      <c r="ANN17" s="20" t="n">
        <v>0</v>
      </c>
      <c r="ANO17" s="20" t="n">
        <v>0</v>
      </c>
      <c r="ANP17" s="20" t="n">
        <v>0</v>
      </c>
      <c r="ANQ17" s="20" t="n">
        <v>0</v>
      </c>
      <c r="ANR17" s="20" t="n">
        <v>0</v>
      </c>
      <c r="ANS17" s="20" t="n">
        <v>0</v>
      </c>
      <c r="ANT17" s="20" t="n">
        <v>0</v>
      </c>
      <c r="ANU17" s="20" t="n">
        <v>0</v>
      </c>
      <c r="ANV17" s="20" t="n">
        <v>0</v>
      </c>
      <c r="ANW17" s="20" t="n">
        <v>0</v>
      </c>
      <c r="ANX17" s="20" t="n">
        <v>0</v>
      </c>
      <c r="ANY17" s="20" t="n">
        <v>0</v>
      </c>
      <c r="ANZ17" s="20" t="n">
        <v>0</v>
      </c>
      <c r="AOA17" s="20" t="n">
        <v>0</v>
      </c>
      <c r="AOB17" s="20" t="n">
        <v>0</v>
      </c>
      <c r="AOC17" s="20" t="n">
        <v>0</v>
      </c>
      <c r="AOD17" s="20" t="n">
        <v>0</v>
      </c>
      <c r="AOE17" s="20" t="n">
        <f aca="false">IF(AND(H_Direct=0,H_TaxEvt=1,ARR16+1&gt;=H_Deemed),AKR17,AHE17)</f>
        <v>0</v>
      </c>
      <c r="AOF17" s="20" t="n">
        <f aca="false">IF(AND(H_Direct=0,H_TaxEvt=1,ARS16+1&gt;=H_Deemed),AKS17,AHF17)</f>
        <v>0</v>
      </c>
      <c r="AOG17" s="20" t="n">
        <f aca="false">IF(AND(H_Direct=0,H_TaxEvt=1,ART16+1&gt;=H_Deemed),AKT17,AHG17)</f>
        <v>0</v>
      </c>
      <c r="AOH17" s="20" t="n">
        <f aca="false">IF(AND(H_Direct=0,H_TaxEvt=1,ARU16+1&gt;=H_Deemed),AKU17,AHH17)</f>
        <v>0</v>
      </c>
      <c r="AOI17" s="20" t="n">
        <f aca="false">IF(AND(H_Direct=0,H_TaxEvt=1,ARV16+1&gt;=H_Deemed),AKV17,AHI17)</f>
        <v>0</v>
      </c>
      <c r="AOJ17" s="20" t="n">
        <f aca="false">IF(AND(H_Direct=0,H_TaxEvt=1,ARW16+1&gt;=H_Deemed),AKW17,AHJ17)</f>
        <v>0</v>
      </c>
      <c r="AOK17" s="20" t="n">
        <f aca="false">IF(AND(H_Direct=0,H_TaxEvt=1,ARX16+1&gt;=H_Deemed),AKX17,AHK17)</f>
        <v>0</v>
      </c>
      <c r="AOL17" s="20" t="n">
        <f aca="false">IF(AND(H_Direct=0,H_TaxEvt=1,ARY16+1&gt;=H_Deemed),AKY17,AHL17)</f>
        <v>0</v>
      </c>
      <c r="AOM17" s="20" t="n">
        <f aca="false">IF(AND(H_Direct=0,H_TaxEvt=1,ARZ16+1&gt;=H_Deemed),AKZ17,AHM17)</f>
        <v>0</v>
      </c>
      <c r="AON17" s="20" t="n">
        <f aca="false">IF(AND(H_Direct=0,H_TaxEvt=1,ASA16+1&gt;=H_Deemed),ALA17,AHN17)</f>
        <v>0</v>
      </c>
      <c r="AOO17" s="20" t="n">
        <f aca="false">IF(AND(H_Direct=0,H_TaxEvt=1,0+1&gt;=H_Deemed),ALB17,AHO17)</f>
        <v>0</v>
      </c>
      <c r="AOP17" s="20" t="n">
        <v>0</v>
      </c>
      <c r="AOQ17" s="20" t="n">
        <v>0</v>
      </c>
      <c r="AOR17" s="20" t="n">
        <v>0</v>
      </c>
      <c r="AOS17" s="20" t="n">
        <v>0</v>
      </c>
      <c r="AOT17" s="20" t="n">
        <v>0</v>
      </c>
      <c r="AOU17" s="20" t="n">
        <v>0</v>
      </c>
      <c r="AOV17" s="20" t="n">
        <v>0</v>
      </c>
      <c r="AOW17" s="20" t="n">
        <v>0</v>
      </c>
      <c r="AOX17" s="20" t="n">
        <v>0</v>
      </c>
      <c r="AOY17" s="20" t="n">
        <v>0</v>
      </c>
      <c r="AOZ17" s="20" t="n">
        <v>0</v>
      </c>
      <c r="APA17" s="20" t="n">
        <v>0</v>
      </c>
      <c r="APB17" s="20" t="n">
        <v>0</v>
      </c>
      <c r="APC17" s="20" t="n">
        <v>0</v>
      </c>
      <c r="APD17" s="20" t="n">
        <v>0</v>
      </c>
      <c r="APE17" s="20" t="n">
        <v>0</v>
      </c>
      <c r="APF17" s="20" t="n">
        <v>0</v>
      </c>
      <c r="APG17" s="20" t="n">
        <v>0</v>
      </c>
      <c r="APH17" s="20" t="n">
        <v>0</v>
      </c>
      <c r="API17" s="20" t="n">
        <v>0</v>
      </c>
      <c r="APJ17" s="20" t="n">
        <v>0</v>
      </c>
      <c r="APK17" s="20" t="n">
        <v>0</v>
      </c>
      <c r="APL17" s="20" t="n">
        <v>0</v>
      </c>
      <c r="APM17" s="20" t="n">
        <v>0</v>
      </c>
      <c r="APN17" s="20" t="n">
        <v>0</v>
      </c>
      <c r="APO17" s="20" t="n">
        <v>0</v>
      </c>
      <c r="APP17" s="20" t="n">
        <v>0</v>
      </c>
      <c r="APQ17" s="20" t="n">
        <v>0</v>
      </c>
      <c r="APR17" s="20" t="n">
        <v>0</v>
      </c>
      <c r="APS17" s="20" t="n">
        <v>0</v>
      </c>
      <c r="APT17" s="20" t="n">
        <v>0</v>
      </c>
      <c r="APU17" s="20" t="n">
        <v>0</v>
      </c>
      <c r="APV17" s="20" t="n">
        <v>0</v>
      </c>
      <c r="APW17" s="20" t="n">
        <v>0</v>
      </c>
      <c r="APX17" s="20" t="n">
        <v>0</v>
      </c>
      <c r="APY17" s="20" t="n">
        <v>0</v>
      </c>
      <c r="APZ17" s="20" t="n">
        <v>0</v>
      </c>
      <c r="AQA17" s="20" t="n">
        <v>0</v>
      </c>
      <c r="AQB17" s="20" t="n">
        <v>0</v>
      </c>
      <c r="AQC17" s="20" t="n">
        <v>0</v>
      </c>
      <c r="AQD17" s="20" t="n">
        <v>0</v>
      </c>
      <c r="AQE17" s="20" t="n">
        <v>0</v>
      </c>
      <c r="AQF17" s="20" t="n">
        <v>0</v>
      </c>
      <c r="AQG17" s="20" t="n">
        <v>0</v>
      </c>
      <c r="AQH17" s="20" t="n">
        <v>0</v>
      </c>
      <c r="AQI17" s="20" t="n">
        <v>0</v>
      </c>
      <c r="AQJ17" s="20" t="n">
        <v>0</v>
      </c>
      <c r="AQK17" s="20" t="n">
        <v>0</v>
      </c>
      <c r="AQL17" s="20" t="n">
        <v>0</v>
      </c>
      <c r="AQM17" s="20" t="n">
        <v>0</v>
      </c>
      <c r="AQN17" s="20" t="n">
        <v>0</v>
      </c>
      <c r="AQO17" s="20" t="n">
        <v>0</v>
      </c>
      <c r="AQP17" s="20" t="n">
        <v>0</v>
      </c>
      <c r="AQQ17" s="20" t="n">
        <v>0</v>
      </c>
      <c r="AQR17" s="20" t="n">
        <v>0</v>
      </c>
      <c r="AQS17" s="20" t="n">
        <v>0</v>
      </c>
      <c r="AQT17" s="20" t="n">
        <v>0</v>
      </c>
      <c r="AQU17" s="20" t="n">
        <v>0</v>
      </c>
      <c r="AQV17" s="20" t="n">
        <v>0</v>
      </c>
      <c r="AQW17" s="20" t="n">
        <v>0</v>
      </c>
      <c r="AQX17" s="20" t="n">
        <v>0</v>
      </c>
      <c r="AQY17" s="20" t="n">
        <v>0</v>
      </c>
      <c r="AQZ17" s="20" t="n">
        <v>0</v>
      </c>
      <c r="ARA17" s="20" t="n">
        <v>0</v>
      </c>
      <c r="ARB17" s="20" t="n">
        <v>0</v>
      </c>
      <c r="ARC17" s="20" t="n">
        <v>0</v>
      </c>
      <c r="ARD17" s="20" t="n">
        <v>0</v>
      </c>
      <c r="ARE17" s="20" t="n">
        <v>0</v>
      </c>
      <c r="ARF17" s="20" t="n">
        <v>0</v>
      </c>
      <c r="ARG17" s="20" t="n">
        <v>0</v>
      </c>
      <c r="ARH17" s="20" t="n">
        <v>0</v>
      </c>
      <c r="ARI17" s="20" t="n">
        <v>0</v>
      </c>
      <c r="ARJ17" s="20" t="n">
        <v>0</v>
      </c>
      <c r="ARK17" s="20" t="n">
        <v>0</v>
      </c>
      <c r="ARL17" s="20" t="n">
        <v>0</v>
      </c>
      <c r="ARM17" s="20" t="n">
        <v>0</v>
      </c>
      <c r="ARN17" s="20" t="n">
        <v>0</v>
      </c>
      <c r="ARO17" s="20" t="n">
        <v>0</v>
      </c>
      <c r="ARP17" s="20" t="n">
        <v>0</v>
      </c>
      <c r="ARQ17" s="20" t="n">
        <v>0</v>
      </c>
      <c r="ARR17" s="20" t="n">
        <f aca="false">IF(AND(H_Direct=0,H_TaxEvt=1),IF(ARR16+1&gt;=H_Deemed,0,ARR16+1),ARR16)</f>
        <v>2</v>
      </c>
      <c r="ARS17" s="20" t="n">
        <f aca="false">IF(AND(H_Direct=0,H_TaxEvt=1),IF(ARS16+1&gt;=H_Deemed,0,ARS16+1),ARS16)</f>
        <v>2</v>
      </c>
      <c r="ART17" s="20" t="n">
        <f aca="false">IF(AND(H_Direct=0,H_TaxEvt=1),IF(ART16+1&gt;=H_Deemed,0,ART16+1),ART16)</f>
        <v>1</v>
      </c>
      <c r="ARU17" s="20" t="n">
        <f aca="false">IF(AND(H_Direct=0,H_TaxEvt=1),IF(ARU16+1&gt;=H_Deemed,0,ARU16+1),ARU16)</f>
        <v>0</v>
      </c>
      <c r="ARV17" s="20" t="n">
        <f aca="false">IF(AND(H_Direct=0,H_TaxEvt=1),IF(ARV16+1&gt;=H_Deemed,0,ARV16+1),ARV16)</f>
        <v>7</v>
      </c>
      <c r="ARW17" s="20" t="n">
        <f aca="false">IF(AND(H_Direct=0,H_TaxEvt=1),IF(ARW16+1&gt;=H_Deemed,0,ARW16+1),ARW16)</f>
        <v>6</v>
      </c>
      <c r="ARX17" s="20" t="n">
        <f aca="false">IF(AND(H_Direct=0,H_TaxEvt=1),IF(ARX16+1&gt;=H_Deemed,0,ARX16+1),ARX16)</f>
        <v>5</v>
      </c>
      <c r="ARY17" s="20" t="n">
        <f aca="false">IF(AND(H_Direct=0,H_TaxEvt=1),IF(ARY16+1&gt;=H_Deemed,0,ARY16+1),ARY16)</f>
        <v>4</v>
      </c>
      <c r="ARZ17" s="20" t="n">
        <f aca="false">IF(AND(H_Direct=0,H_TaxEvt=1),IF(ARZ16+1&gt;=H_Deemed,0,ARZ16+1),ARZ16)</f>
        <v>3</v>
      </c>
      <c r="ASA17" s="20" t="n">
        <f aca="false">IF(AND(H_Direct=0,H_TaxEvt=1),IF(ASA16+1&gt;=H_Deemed,0,ASA16+1),ASA16)</f>
        <v>2</v>
      </c>
      <c r="ASB17" s="20" t="n">
        <f aca="false">IF(AND(H_Direct=0,H_TaxEvt=1),IF(0+1&gt;=H_Deemed,0,0+1),0)</f>
        <v>1</v>
      </c>
      <c r="ASC17" s="20" t="n">
        <v>0</v>
      </c>
      <c r="ASD17" s="20" t="n">
        <v>0</v>
      </c>
      <c r="ASE17" s="20" t="n">
        <v>0</v>
      </c>
      <c r="ASF17" s="20" t="n">
        <v>0</v>
      </c>
      <c r="ASG17" s="20" t="n">
        <v>0</v>
      </c>
      <c r="ASH17" s="20" t="n">
        <v>0</v>
      </c>
      <c r="ASI17" s="20" t="n">
        <v>0</v>
      </c>
      <c r="ASJ17" s="20" t="n">
        <v>0</v>
      </c>
      <c r="ASK17" s="20" t="n">
        <v>0</v>
      </c>
      <c r="ASL17" s="20" t="n">
        <v>0</v>
      </c>
      <c r="ASM17" s="20" t="n">
        <v>0</v>
      </c>
      <c r="ASN17" s="20" t="n">
        <v>0</v>
      </c>
      <c r="ASO17" s="20" t="n">
        <v>0</v>
      </c>
      <c r="ASP17" s="20" t="n">
        <v>0</v>
      </c>
      <c r="ASQ17" s="20" t="n">
        <v>0</v>
      </c>
      <c r="ASR17" s="20" t="n">
        <v>0</v>
      </c>
      <c r="ASS17" s="20" t="n">
        <v>0</v>
      </c>
      <c r="AST17" s="20" t="n">
        <v>0</v>
      </c>
      <c r="ASU17" s="20" t="n">
        <v>0</v>
      </c>
      <c r="ASV17" s="20" t="n">
        <v>0</v>
      </c>
      <c r="ASW17" s="20" t="n">
        <v>0</v>
      </c>
      <c r="ASX17" s="20" t="n">
        <v>0</v>
      </c>
      <c r="ASY17" s="20" t="n">
        <v>0</v>
      </c>
      <c r="ASZ17" s="20" t="n">
        <v>0</v>
      </c>
      <c r="ATA17" s="20" t="n">
        <v>0</v>
      </c>
      <c r="ATB17" s="20" t="n">
        <v>0</v>
      </c>
      <c r="ATC17" s="20" t="n">
        <v>0</v>
      </c>
      <c r="ATD17" s="20" t="n">
        <v>0</v>
      </c>
      <c r="ATE17" s="20" t="n">
        <v>0</v>
      </c>
      <c r="ATF17" s="20" t="n">
        <v>0</v>
      </c>
      <c r="ATG17" s="20" t="n">
        <v>0</v>
      </c>
      <c r="ATH17" s="20" t="n">
        <v>0</v>
      </c>
      <c r="ATI17" s="20" t="n">
        <v>0</v>
      </c>
      <c r="ATJ17" s="20" t="n">
        <v>0</v>
      </c>
      <c r="ATK17" s="20" t="n">
        <v>0</v>
      </c>
      <c r="ATL17" s="20" t="n">
        <v>0</v>
      </c>
      <c r="ATM17" s="20" t="n">
        <v>0</v>
      </c>
      <c r="ATN17" s="20" t="n">
        <v>0</v>
      </c>
      <c r="ATO17" s="20" t="n">
        <v>0</v>
      </c>
      <c r="ATP17" s="20" t="n">
        <v>0</v>
      </c>
      <c r="ATQ17" s="20" t="n">
        <v>0</v>
      </c>
      <c r="ATR17" s="20" t="n">
        <v>0</v>
      </c>
      <c r="ATS17" s="20" t="n">
        <v>0</v>
      </c>
      <c r="ATT17" s="20" t="n">
        <v>0</v>
      </c>
      <c r="ATU17" s="20" t="n">
        <v>0</v>
      </c>
      <c r="ATV17" s="20" t="n">
        <v>0</v>
      </c>
      <c r="ATW17" s="20" t="n">
        <v>0</v>
      </c>
      <c r="ATX17" s="20" t="n">
        <v>0</v>
      </c>
      <c r="ATY17" s="20" t="n">
        <v>0</v>
      </c>
      <c r="ATZ17" s="20" t="n">
        <v>0</v>
      </c>
      <c r="AUA17" s="20" t="n">
        <v>0</v>
      </c>
      <c r="AUB17" s="20" t="n">
        <v>0</v>
      </c>
      <c r="AUC17" s="20" t="n">
        <v>0</v>
      </c>
      <c r="AUD17" s="20" t="n">
        <v>0</v>
      </c>
      <c r="AUE17" s="20" t="n">
        <v>0</v>
      </c>
      <c r="AUF17" s="20" t="n">
        <v>0</v>
      </c>
      <c r="AUG17" s="20" t="n">
        <v>0</v>
      </c>
      <c r="AUH17" s="20" t="n">
        <v>0</v>
      </c>
      <c r="AUI17" s="20" t="n">
        <v>0</v>
      </c>
      <c r="AUJ17" s="20" t="n">
        <v>0</v>
      </c>
      <c r="AUK17" s="20" t="n">
        <v>0</v>
      </c>
      <c r="AUL17" s="20" t="n">
        <v>0</v>
      </c>
      <c r="AUM17" s="20" t="n">
        <v>0</v>
      </c>
      <c r="AUN17" s="20" t="n">
        <v>0</v>
      </c>
      <c r="AUO17" s="20" t="n">
        <v>0</v>
      </c>
      <c r="AUP17" s="20" t="n">
        <v>0</v>
      </c>
      <c r="AUQ17" s="20" t="n">
        <v>0</v>
      </c>
      <c r="AUR17" s="20" t="n">
        <v>0</v>
      </c>
      <c r="AUS17" s="20" t="n">
        <v>0</v>
      </c>
      <c r="AUT17" s="20" t="n">
        <v>0</v>
      </c>
      <c r="AUU17" s="20" t="n">
        <v>0</v>
      </c>
      <c r="AUV17" s="20" t="n">
        <v>0</v>
      </c>
      <c r="AUW17" s="20" t="n">
        <v>0</v>
      </c>
      <c r="AUX17" s="20" t="n">
        <v>0</v>
      </c>
      <c r="AUY17" s="20" t="n">
        <v>0</v>
      </c>
      <c r="AUZ17" s="20" t="n">
        <v>0</v>
      </c>
      <c r="AVA17" s="20" t="n">
        <v>0</v>
      </c>
      <c r="AVB17" s="20" t="n">
        <v>0</v>
      </c>
      <c r="AVC17" s="20" t="n">
        <v>0</v>
      </c>
      <c r="AVD17" s="20" t="n">
        <v>0</v>
      </c>
      <c r="AVE17" s="20" t="n">
        <f aca="false">IF(AND(H_Direct=0,H_TaxEvt=1,ARR16+1&gt;=H_Deemed),MAX(0,ADR17-AHE17)*H_Exit,0)</f>
        <v>0</v>
      </c>
      <c r="AVF17" s="20" t="n">
        <f aca="false">IF(AND(H_Direct=0,H_TaxEvt=1,ARS16+1&gt;=H_Deemed),MAX(0,ADS17-AHF17)*H_Exit,0)</f>
        <v>0</v>
      </c>
      <c r="AVG17" s="20" t="n">
        <f aca="false">IF(AND(H_Direct=0,H_TaxEvt=1,ART16+1&gt;=H_Deemed),MAX(0,ADT17-AHG17)*H_Exit,0)</f>
        <v>0</v>
      </c>
      <c r="AVH17" s="20" t="n">
        <f aca="false">IF(AND(H_Direct=0,H_TaxEvt=1,ARU16+1&gt;=H_Deemed),MAX(0,ADU17-AHH17)*H_Exit,0)</f>
        <v>0</v>
      </c>
      <c r="AVI17" s="20" t="n">
        <f aca="false">IF(AND(H_Direct=0,H_TaxEvt=1,ARV16+1&gt;=H_Deemed),MAX(0,ADV17-AHI17)*H_Exit,0)</f>
        <v>0</v>
      </c>
      <c r="AVJ17" s="20" t="n">
        <f aca="false">IF(AND(H_Direct=0,H_TaxEvt=1,ARW16+1&gt;=H_Deemed),MAX(0,ADW17-AHJ17)*H_Exit,0)</f>
        <v>0</v>
      </c>
      <c r="AVK17" s="20" t="n">
        <f aca="false">IF(AND(H_Direct=0,H_TaxEvt=1,ARX16+1&gt;=H_Deemed),MAX(0,ADX17-AHK17)*H_Exit,0)</f>
        <v>0</v>
      </c>
      <c r="AVL17" s="20" t="n">
        <f aca="false">IF(AND(H_Direct=0,H_TaxEvt=1,ARY16+1&gt;=H_Deemed),MAX(0,ADY17-AHL17)*H_Exit,0)</f>
        <v>0</v>
      </c>
      <c r="AVM17" s="20" t="n">
        <f aca="false">IF(AND(H_Direct=0,H_TaxEvt=1,ARZ16+1&gt;=H_Deemed),MAX(0,ADZ17-AHM17)*H_Exit,0)</f>
        <v>0</v>
      </c>
      <c r="AVN17" s="20" t="n">
        <f aca="false">IF(AND(H_Direct=0,H_TaxEvt=1,ASA16+1&gt;=H_Deemed),MAX(0,AEA17-AHN17)*H_Exit,0)</f>
        <v>0</v>
      </c>
      <c r="AVO17" s="20" t="n">
        <f aca="false">IF(AND(H_Direct=0,H_TaxEvt=1,0+1&gt;=H_Deemed),MAX(0,AEB17-AHO17)*H_Exit,0)</f>
        <v>0</v>
      </c>
      <c r="AVP17" s="20" t="n">
        <v>0</v>
      </c>
      <c r="AVQ17" s="20" t="n">
        <v>0</v>
      </c>
      <c r="AVR17" s="20" t="n">
        <v>0</v>
      </c>
      <c r="AVS17" s="20" t="n">
        <v>0</v>
      </c>
      <c r="AVT17" s="20" t="n">
        <v>0</v>
      </c>
      <c r="AVU17" s="20" t="n">
        <v>0</v>
      </c>
      <c r="AVV17" s="20" t="n">
        <v>0</v>
      </c>
      <c r="AVW17" s="20" t="n">
        <v>0</v>
      </c>
      <c r="AVX17" s="20" t="n">
        <v>0</v>
      </c>
      <c r="AVY17" s="20" t="n">
        <v>0</v>
      </c>
      <c r="AVZ17" s="20" t="n">
        <v>0</v>
      </c>
      <c r="AWA17" s="20" t="n">
        <v>0</v>
      </c>
      <c r="AWB17" s="20" t="n">
        <v>0</v>
      </c>
      <c r="AWC17" s="20" t="n">
        <v>0</v>
      </c>
      <c r="AWD17" s="20" t="n">
        <v>0</v>
      </c>
      <c r="AWE17" s="20" t="n">
        <v>0</v>
      </c>
      <c r="AWF17" s="20" t="n">
        <v>0</v>
      </c>
      <c r="AWG17" s="20" t="n">
        <v>0</v>
      </c>
      <c r="AWH17" s="20" t="n">
        <v>0</v>
      </c>
      <c r="AWI17" s="20" t="n">
        <v>0</v>
      </c>
      <c r="AWJ17" s="20" t="n">
        <v>0</v>
      </c>
      <c r="AWK17" s="20" t="n">
        <v>0</v>
      </c>
      <c r="AWL17" s="20" t="n">
        <v>0</v>
      </c>
      <c r="AWM17" s="20" t="n">
        <v>0</v>
      </c>
      <c r="AWN17" s="20" t="n">
        <v>0</v>
      </c>
      <c r="AWO17" s="20" t="n">
        <v>0</v>
      </c>
      <c r="AWP17" s="20" t="n">
        <v>0</v>
      </c>
      <c r="AWQ17" s="20" t="n">
        <v>0</v>
      </c>
      <c r="AWR17" s="20" t="n">
        <v>0</v>
      </c>
      <c r="AWS17" s="20" t="n">
        <v>0</v>
      </c>
      <c r="AWT17" s="20" t="n">
        <v>0</v>
      </c>
      <c r="AWU17" s="20" t="n">
        <v>0</v>
      </c>
      <c r="AWV17" s="20" t="n">
        <v>0</v>
      </c>
      <c r="AWW17" s="20" t="n">
        <v>0</v>
      </c>
      <c r="AWX17" s="20" t="n">
        <v>0</v>
      </c>
      <c r="AWY17" s="20" t="n">
        <v>0</v>
      </c>
      <c r="AWZ17" s="20" t="n">
        <v>0</v>
      </c>
      <c r="AXA17" s="20" t="n">
        <v>0</v>
      </c>
      <c r="AXB17" s="20" t="n">
        <v>0</v>
      </c>
      <c r="AXC17" s="20" t="n">
        <v>0</v>
      </c>
      <c r="AXD17" s="20" t="n">
        <v>0</v>
      </c>
      <c r="AXE17" s="20" t="n">
        <v>0</v>
      </c>
      <c r="AXF17" s="20" t="n">
        <v>0</v>
      </c>
      <c r="AXG17" s="20" t="n">
        <v>0</v>
      </c>
      <c r="AXH17" s="20" t="n">
        <v>0</v>
      </c>
      <c r="AXI17" s="20" t="n">
        <v>0</v>
      </c>
      <c r="AXJ17" s="20" t="n">
        <v>0</v>
      </c>
      <c r="AXK17" s="20" t="n">
        <v>0</v>
      </c>
      <c r="AXL17" s="20" t="n">
        <v>0</v>
      </c>
      <c r="AXM17" s="20" t="n">
        <v>0</v>
      </c>
      <c r="AXN17" s="20" t="n">
        <v>0</v>
      </c>
      <c r="AXO17" s="20" t="n">
        <v>0</v>
      </c>
      <c r="AXP17" s="20" t="n">
        <v>0</v>
      </c>
      <c r="AXQ17" s="20" t="n">
        <v>0</v>
      </c>
      <c r="AXR17" s="20" t="n">
        <v>0</v>
      </c>
      <c r="AXS17" s="20" t="n">
        <v>0</v>
      </c>
      <c r="AXT17" s="20" t="n">
        <v>0</v>
      </c>
      <c r="AXU17" s="20" t="n">
        <v>0</v>
      </c>
      <c r="AXV17" s="20" t="n">
        <v>0</v>
      </c>
      <c r="AXW17" s="20" t="n">
        <v>0</v>
      </c>
      <c r="AXX17" s="20" t="n">
        <v>0</v>
      </c>
      <c r="AXY17" s="20" t="n">
        <v>0</v>
      </c>
      <c r="AXZ17" s="20" t="n">
        <v>0</v>
      </c>
      <c r="AYA17" s="20" t="n">
        <v>0</v>
      </c>
      <c r="AYB17" s="20" t="n">
        <v>0</v>
      </c>
      <c r="AYC17" s="20" t="n">
        <v>0</v>
      </c>
      <c r="AYD17" s="20" t="n">
        <v>0</v>
      </c>
      <c r="AYE17" s="20" t="n">
        <v>0</v>
      </c>
      <c r="AYF17" s="20" t="n">
        <v>0</v>
      </c>
      <c r="AYG17" s="20" t="n">
        <v>0</v>
      </c>
      <c r="AYH17" s="20" t="n">
        <v>0</v>
      </c>
      <c r="AYI17" s="20" t="n">
        <v>0</v>
      </c>
      <c r="AYJ17" s="20" t="n">
        <v>0</v>
      </c>
      <c r="AYK17" s="20" t="n">
        <v>0</v>
      </c>
      <c r="AYL17" s="20" t="n">
        <v>0</v>
      </c>
      <c r="AYM17" s="20" t="n">
        <v>0</v>
      </c>
      <c r="AYN17" s="20" t="n">
        <v>0</v>
      </c>
      <c r="AYO17" s="20" t="n">
        <v>0</v>
      </c>
      <c r="AYP17" s="20" t="n">
        <v>0</v>
      </c>
      <c r="AYQ17" s="20" t="n">
        <v>0</v>
      </c>
    </row>
    <row r="18" customFormat="false" ht="15" hidden="false" customHeight="false" outlineLevel="0" collapsed="false">
      <c r="B18" s="20" t="n">
        <v>10</v>
      </c>
      <c r="C18" s="20" t="n">
        <f aca="false">'Plan cashflow'!C18</f>
        <v>1</v>
      </c>
      <c r="D18" s="20" t="n">
        <f aca="false">'Plan cashflow'!D18</f>
        <v>48</v>
      </c>
      <c r="E18" s="20" t="n">
        <f aca="false">AS_Year0+10</f>
        <v>2036</v>
      </c>
      <c r="F18" s="50" t="n">
        <f aca="false">'Plan cashflow'!F18</f>
        <v>1.21899441999476</v>
      </c>
      <c r="G18" s="59" t="n">
        <f aca="true">IF(MAX(TODAY(),DATE(E18,1,1))&gt;=H_CGTfrom,H_CGT1,H_CGT0)</f>
        <v>0.31</v>
      </c>
      <c r="H18" s="20" t="n">
        <f aca="false">H_Exempt*H_Persons</f>
        <v>1270</v>
      </c>
      <c r="I18" s="20" t="n">
        <f aca="false">AX17</f>
        <v>0</v>
      </c>
      <c r="J18" s="60" t="n">
        <f aca="false">BF17</f>
        <v>0</v>
      </c>
      <c r="K18" s="60" t="n">
        <f aca="false">BG17</f>
        <v>0</v>
      </c>
      <c r="L18" s="20" t="n">
        <f aca="false">IF(AND(In_polLump&gt;0,In_polLumpAge&gt;0,D18=In_polLumpAge),In_polLump,0)</f>
        <v>0</v>
      </c>
      <c r="M18" s="20" t="n">
        <f aca="false">IF(AND(In_homeUse="Yes, I'd downsize",In_downAge&gt;0,D18=In_downAge,OR(In_home="Own outright",In_home="Own with mortgage"),In_homeValue&gt;0),MAX(0,MAX(0,In_homeValue-In_downValue)*F18*0.9-'Plan cashflow'!HR17),0)</f>
        <v>0</v>
      </c>
      <c r="N18" s="20" t="n">
        <f aca="false">'Plan pay &amp; tax'!Y244</f>
        <v>0</v>
      </c>
      <c r="O18" s="20" t="n">
        <f aca="false">L18+M18+(1-H_Sh)*N18</f>
        <v>0</v>
      </c>
      <c r="P18" s="20" t="n">
        <f aca="false">H_Sh*N18</f>
        <v>0</v>
      </c>
      <c r="Q18" s="20" t="n">
        <f aca="false">'Plan cashflow'!UL18</f>
        <v>0</v>
      </c>
      <c r="R18" s="20" t="n">
        <f aca="false">(1-H_Sh)*Q18</f>
        <v>0</v>
      </c>
      <c r="S18" s="20" t="n">
        <f aca="false">H_Sh*Q18</f>
        <v>0</v>
      </c>
      <c r="T18" s="20" t="n">
        <f aca="false">J18+K18+O18</f>
        <v>0</v>
      </c>
      <c r="U18" s="20" t="n">
        <f aca="false">T18+R18</f>
        <v>0</v>
      </c>
      <c r="V18" s="60" t="n">
        <f aca="false">SUM(FE18:IQ18)</f>
        <v>0</v>
      </c>
      <c r="W18" s="60" t="n">
        <f aca="false">IF(AJ18&lt;=0,0,IF(AL18&lt;=0,AJ18,AJ18-G18*MAX(0,AL18*AJ18-(AY18+AZ18))))</f>
        <v>0</v>
      </c>
      <c r="X18" s="60" t="n">
        <f aca="false">IF(AR18&lt;=0,0,IF(AT18&lt;=0,AR18,AR18-G18*MAX(0,AT18*AR18-(BA18+BB18))))</f>
        <v>0</v>
      </c>
      <c r="Y18" s="60" t="n">
        <f aca="false">T18+V18-S18+W18+X18</f>
        <v>0</v>
      </c>
      <c r="Z18" s="60" t="n">
        <f aca="false">'Plan cashflow'!UK18</f>
        <v>0</v>
      </c>
      <c r="AA18" s="20" t="n">
        <f aca="false">MIN(Z18,U18)</f>
        <v>0</v>
      </c>
      <c r="AB18" s="20" t="n">
        <f aca="false">Z18-AA18</f>
        <v>0</v>
      </c>
      <c r="AC18" s="20" t="n">
        <f aca="false">MIN(AA18,J18+O18+R18)</f>
        <v>0</v>
      </c>
      <c r="AD18" s="20" t="n">
        <f aca="false">AA18-AC18</f>
        <v>0</v>
      </c>
      <c r="AE18" s="20" t="n">
        <f aca="false">J18+O18+R18-AC18</f>
        <v>0</v>
      </c>
      <c r="AF18" s="20" t="n">
        <f aca="false">K18-AD18</f>
        <v>0</v>
      </c>
      <c r="AG18" s="20" t="n">
        <f aca="false">SUM(PR18:TD18)</f>
        <v>0</v>
      </c>
      <c r="AH18" s="20" t="n">
        <f aca="false">SUM(TE18:WQ18)</f>
        <v>0</v>
      </c>
      <c r="AI18" s="20" t="n">
        <f aca="false">MAX(0,AB18-AG18)</f>
        <v>0</v>
      </c>
      <c r="AJ18" s="57" t="n">
        <f aca="false">BI17</f>
        <v>0</v>
      </c>
      <c r="AK18" s="20" t="n">
        <f aca="false">BJ17</f>
        <v>0</v>
      </c>
      <c r="AL18" s="20" t="n">
        <f aca="false">IF(AJ18&gt;0,(AJ18-AK18)/AJ18,0)</f>
        <v>0</v>
      </c>
      <c r="AM18" s="20" t="n">
        <f aca="false">IF(AJ18&lt;=0,0,IF(AL18&lt;=0,MIN(AI18,AJ18),MIN(AI18,AJ18-G18*MAX(0,AL18*AJ18-(AAD18+ADQ18)))))</f>
        <v>0</v>
      </c>
      <c r="AN18" s="20" t="n">
        <f aca="false">IF(AJ18&lt;=0,0,IF(AL18&lt;=0,AM18,IF(AM18&lt;=(AAD18+ADQ18)/AL18,AM18,(AM18-G18*(AAD18+ADQ18))/(1-G18*AL18))))</f>
        <v>0</v>
      </c>
      <c r="AO18" s="20" t="n">
        <f aca="false">IF(AL18&gt;0,MAX(0,AAD18-(MIN(AL18*AN18,(AAD18+ADQ18))-MIN(MIN(AL18*AN18,(AAD18+ADQ18)),ADQ18))),AAD18)</f>
        <v>1270</v>
      </c>
      <c r="AP18" s="20" t="n">
        <f aca="false">IF(AL18&lt;=0,ADQ18-AL18*AN18,ADQ18-MIN(MIN(AL18*AN18,(AAD18+ADQ18)),ADQ18))</f>
        <v>0</v>
      </c>
      <c r="AQ18" s="20" t="n">
        <f aca="false">MAX(0,AI18-AM18)</f>
        <v>0</v>
      </c>
      <c r="AR18" s="57" t="n">
        <f aca="false">BK17</f>
        <v>0</v>
      </c>
      <c r="AS18" s="20" t="n">
        <f aca="false">BL17</f>
        <v>0</v>
      </c>
      <c r="AT18" s="20" t="n">
        <f aca="false">IF(AR18&gt;0,(AR18-AS18)/AR18,0)</f>
        <v>0</v>
      </c>
      <c r="AU18" s="20" t="n">
        <f aca="false">IF(AR18&lt;=0,0,IF(AT18&lt;=0,MIN(AQ18,AR18),MIN(AQ18,AR18-G18*MAX(0,AT18*AR18-(AO18+AP18)))))</f>
        <v>0</v>
      </c>
      <c r="AV18" s="20" t="n">
        <f aca="false">IF(AR18&lt;=0,0,IF(AT18&lt;=0,AU18,IF(AU18&lt;=(AO18+AP18)/AT18,AU18,(AU18-G18*(AO18+AP18))/(1-G18*AT18))))</f>
        <v>0</v>
      </c>
      <c r="AW18" s="20" t="n">
        <f aca="false">IF(AT18&gt;0,MAX(0,AO18-(MIN(AT18*AV18,(AO18+AP18))-MIN(MIN(AT18*AV18,(AO18+AP18)),AP18))),AO18)</f>
        <v>1270</v>
      </c>
      <c r="AX18" s="20" t="n">
        <f aca="false">IF(AT18&lt;=0,AP18-AT18*AV18,AP18-MIN(MIN(AT18*AV18,(AO18+AP18)),AP18))</f>
        <v>0</v>
      </c>
      <c r="AY18" s="20" t="n">
        <f aca="false">MD18</f>
        <v>1270</v>
      </c>
      <c r="AZ18" s="20" t="n">
        <f aca="false">PQ18</f>
        <v>0</v>
      </c>
      <c r="BA18" s="20" t="n">
        <f aca="false">IF(AL18&gt;0,MAX(0,AY18-(MIN(AL18*AJ18,AY18+AZ18)-MIN(MIN(AL18*AJ18,AY18+AZ18),AZ18))),AY18)</f>
        <v>1270</v>
      </c>
      <c r="BB18" s="20" t="n">
        <f aca="false">IF(AL18&lt;=0,AZ18-AL18*AJ18,AZ18-MIN(MIN(AL18*AJ18,AY18+AZ18),AZ18))</f>
        <v>0</v>
      </c>
      <c r="BC18" s="20" t="n">
        <f aca="false">'Plan cashflow'!UM18</f>
        <v>1366.69230072421</v>
      </c>
      <c r="BD18" s="20" t="n">
        <f aca="false">(1-H_Sh)*BC18</f>
        <v>820.015380434526</v>
      </c>
      <c r="BE18" s="20" t="n">
        <f aca="false">H_Sh*BC18</f>
        <v>546.676920289684</v>
      </c>
      <c r="BF18" s="60" t="n">
        <f aca="false">(AE18+BD18)*(1+AS_Cash)</f>
        <v>828.215534238871</v>
      </c>
      <c r="BG18" s="60" t="n">
        <f aca="false">AF18*(1+AS_Cash)</f>
        <v>0</v>
      </c>
      <c r="BH18" s="60" t="n">
        <f aca="false">SUM(AKR18:AOD18)</f>
        <v>568.543997101271</v>
      </c>
      <c r="BI18" s="60" t="n">
        <f aca="false">(AJ18-AN18)*(1+AS_Infl)</f>
        <v>0</v>
      </c>
      <c r="BJ18" s="20" t="n">
        <f aca="false">IF(AJ18&gt;0,AK18-AK18*AN18/AJ18,0)</f>
        <v>0</v>
      </c>
      <c r="BK18" s="60" t="n">
        <f aca="false">(AR18-AV18)*(1+BQ18)</f>
        <v>0</v>
      </c>
      <c r="BL18" s="20" t="n">
        <f aca="false">IF(AR18&gt;0,AS18-AS18*AV18/AR18,0)</f>
        <v>0</v>
      </c>
      <c r="BM18" s="60" t="n">
        <f aca="false">BF18+BG18+BH18+BI18+BK18</f>
        <v>1396.75953134014</v>
      </c>
      <c r="BN18" s="60" t="n">
        <f aca="false">(AH18-AG18)+(AN18-AM18)+(AV18-AU18)</f>
        <v>0</v>
      </c>
      <c r="BO18" s="20" t="n">
        <f aca="false">(AE18+BD18+AF18+MAX(0,'Plan cashflow'!QH18)+IF(Slot1_Rate=AS_Cash,'Plan cashflow'!QM18/(1+AS_Cash),0)+IF(Slot2_Rate=AS_Cash,'Plan cashflow'!QQ18/(1+AS_Cash),0)+IF(Slot3_Rate=AS_Cash,'Plan cashflow'!QU18/(1+AS_Cash),0)+IF(Slot4_Rate=AS_Cash,'Plan cashflow'!QY18/(1+AS_Cash),0)+IF(Slot5_Rate=AS_Cash,'Plan cashflow'!RC18/(1+AS_Cash),0)+IF(Slot6_Rate=AS_Cash,'Plan cashflow'!RG18/(1+AS_Cash),0)+IF(Slot7_Rate=AS_Cash,'Plan cashflow'!RK18/(1+AS_Cash),0)+IF(Slot8_Rate=AS_Cash,'Plan cashflow'!RO18/(1+AS_Cash),0)+IF(Slot9_Rate=AS_Cash,'Plan cashflow'!RS18/(1+AS_Cash),0)+IF(Slot10_Rate=AS_Cash,'Plan cashflow'!RW18/(1+AS_Cash),0)+IF(Slot11_Rate=AS_Cash,'Plan cashflow'!SA18/(1+AS_Cash),0)+IF(Slot12_Rate=AS_Cash,'Plan cashflow'!SE18/(1+AS_Cash),0)+IF(Slot13_Rate=AS_Cash,'Plan cashflow'!SI18/(1+AS_Cash),0)+IF(Slot14_Rate=AS_Cash,'Plan cashflow'!SM18/(1+AS_Cash),0)+IF(Slot15_Rate=AS_Cash,'Plan cashflow'!SQ18/(1+AS_Cash),0)+IF(Slot16_Rate=AS_Cash,'Plan cashflow'!SU18/(1+AS_Cash),0)+IF(Slot17_Rate=AS_Cash,'Plan cashflow'!SY18/(1+AS_Cash),0)+IF(Slot18_Rate=AS_Cash,'Plan cashflow'!TC18/(1+AS_Cash),0)+IF(Slot19_Rate=AS_Cash,'Plan cashflow'!TG18/(1+AS_Cash),0)+IF(Slot20_Rate=AS_Cash,'Plan cashflow'!TK18/(1+AS_Cash),0))*AS_Cash*H_DIRT/(1-H_DIRT)</f>
        <v>64.7254960212039</v>
      </c>
      <c r="BP18" s="60" t="n">
        <f aca="false">SUM(AVE18:AYQ18)</f>
        <v>0</v>
      </c>
      <c r="BQ18" s="54" t="n">
        <f aca="false">IF(H_TaxEvt=1,H_InvG,AS_Inv)</f>
        <v>0.04</v>
      </c>
      <c r="BR18" s="20" t="n">
        <f aca="false">IF(AKR17&gt;0,(AKR17-AOE17)/AKR17,0)</f>
        <v>0</v>
      </c>
      <c r="BS18" s="20" t="n">
        <f aca="false">IF(AKS17&gt;0,(AKS17-AOF17)/AKS17,0)</f>
        <v>0</v>
      </c>
      <c r="BT18" s="20" t="n">
        <f aca="false">IF(AKT17&gt;0,(AKT17-AOG17)/AKT17,0)</f>
        <v>0</v>
      </c>
      <c r="BU18" s="20" t="n">
        <f aca="false">IF(AKU17&gt;0,(AKU17-AOH17)/AKU17,0)</f>
        <v>0</v>
      </c>
      <c r="BV18" s="20" t="n">
        <f aca="false">IF(AKV17&gt;0,(AKV17-AOI17)/AKV17,0)</f>
        <v>0</v>
      </c>
      <c r="BW18" s="20" t="n">
        <f aca="false">IF(AKW17&gt;0,(AKW17-AOJ17)/AKW17,0)</f>
        <v>0</v>
      </c>
      <c r="BX18" s="20" t="n">
        <f aca="false">IF(AKX17&gt;0,(AKX17-AOK17)/AKX17,0)</f>
        <v>0</v>
      </c>
      <c r="BY18" s="20" t="n">
        <f aca="false">IF(AKY17&gt;0,(AKY17-AOL17)/AKY17,0)</f>
        <v>0</v>
      </c>
      <c r="BZ18" s="20" t="n">
        <f aca="false">IF(AKZ17&gt;0,(AKZ17-AOM17)/AKZ17,0)</f>
        <v>0</v>
      </c>
      <c r="CA18" s="20" t="n">
        <f aca="false">IF(ALA17&gt;0,(ALA17-AON17)/ALA17,0)</f>
        <v>0</v>
      </c>
      <c r="CB18" s="20" t="n">
        <f aca="false">IF(ALB17&gt;0,(ALB17-AOO17)/ALB17,0)</f>
        <v>0</v>
      </c>
      <c r="CC18" s="20" t="n">
        <f aca="false">IF((P18+S18)&gt;0,((P18+S18)-(P18+S18))/(P18+S18),0)</f>
        <v>0</v>
      </c>
      <c r="CD18" s="20" t="n">
        <v>0</v>
      </c>
      <c r="CE18" s="20" t="n">
        <v>0</v>
      </c>
      <c r="CF18" s="20" t="n">
        <v>0</v>
      </c>
      <c r="CG18" s="20" t="n">
        <v>0</v>
      </c>
      <c r="CH18" s="20" t="n">
        <v>0</v>
      </c>
      <c r="CI18" s="20" t="n">
        <v>0</v>
      </c>
      <c r="CJ18" s="20" t="n">
        <v>0</v>
      </c>
      <c r="CK18" s="20" t="n">
        <v>0</v>
      </c>
      <c r="CL18" s="20" t="n">
        <v>0</v>
      </c>
      <c r="CM18" s="20" t="n">
        <v>0</v>
      </c>
      <c r="CN18" s="20" t="n">
        <v>0</v>
      </c>
      <c r="CO18" s="20" t="n">
        <v>0</v>
      </c>
      <c r="CP18" s="20" t="n">
        <v>0</v>
      </c>
      <c r="CQ18" s="20" t="n">
        <v>0</v>
      </c>
      <c r="CR18" s="20" t="n">
        <v>0</v>
      </c>
      <c r="CS18" s="20" t="n">
        <v>0</v>
      </c>
      <c r="CT18" s="20" t="n">
        <v>0</v>
      </c>
      <c r="CU18" s="20" t="n">
        <v>0</v>
      </c>
      <c r="CV18" s="20" t="n">
        <v>0</v>
      </c>
      <c r="CW18" s="20" t="n">
        <v>0</v>
      </c>
      <c r="CX18" s="20" t="n">
        <v>0</v>
      </c>
      <c r="CY18" s="20" t="n">
        <v>0</v>
      </c>
      <c r="CZ18" s="20" t="n">
        <v>0</v>
      </c>
      <c r="DA18" s="20" t="n">
        <v>0</v>
      </c>
      <c r="DB18" s="20" t="n">
        <v>0</v>
      </c>
      <c r="DC18" s="20" t="n">
        <v>0</v>
      </c>
      <c r="DD18" s="20" t="n">
        <v>0</v>
      </c>
      <c r="DE18" s="20" t="n">
        <v>0</v>
      </c>
      <c r="DF18" s="20" t="n">
        <v>0</v>
      </c>
      <c r="DG18" s="20" t="n">
        <v>0</v>
      </c>
      <c r="DH18" s="20" t="n">
        <v>0</v>
      </c>
      <c r="DI18" s="20" t="n">
        <v>0</v>
      </c>
      <c r="DJ18" s="20" t="n">
        <v>0</v>
      </c>
      <c r="DK18" s="20" t="n">
        <v>0</v>
      </c>
      <c r="DL18" s="20" t="n">
        <v>0</v>
      </c>
      <c r="DM18" s="20" t="n">
        <v>0</v>
      </c>
      <c r="DN18" s="20" t="n">
        <v>0</v>
      </c>
      <c r="DO18" s="20" t="n">
        <v>0</v>
      </c>
      <c r="DP18" s="20" t="n">
        <v>0</v>
      </c>
      <c r="DQ18" s="20" t="n">
        <v>0</v>
      </c>
      <c r="DR18" s="20" t="n">
        <v>0</v>
      </c>
      <c r="DS18" s="20" t="n">
        <v>0</v>
      </c>
      <c r="DT18" s="20" t="n">
        <v>0</v>
      </c>
      <c r="DU18" s="20" t="n">
        <v>0</v>
      </c>
      <c r="DV18" s="20" t="n">
        <v>0</v>
      </c>
      <c r="DW18" s="20" t="n">
        <v>0</v>
      </c>
      <c r="DX18" s="20" t="n">
        <v>0</v>
      </c>
      <c r="DY18" s="20" t="n">
        <v>0</v>
      </c>
      <c r="DZ18" s="20" t="n">
        <v>0</v>
      </c>
      <c r="EA18" s="20" t="n">
        <v>0</v>
      </c>
      <c r="EB18" s="20" t="n">
        <v>0</v>
      </c>
      <c r="EC18" s="20" t="n">
        <v>0</v>
      </c>
      <c r="ED18" s="20" t="n">
        <v>0</v>
      </c>
      <c r="EE18" s="20" t="n">
        <v>0</v>
      </c>
      <c r="EF18" s="20" t="n">
        <v>0</v>
      </c>
      <c r="EG18" s="20" t="n">
        <v>0</v>
      </c>
      <c r="EH18" s="20" t="n">
        <v>0</v>
      </c>
      <c r="EI18" s="20" t="n">
        <v>0</v>
      </c>
      <c r="EJ18" s="20" t="n">
        <v>0</v>
      </c>
      <c r="EK18" s="20" t="n">
        <v>0</v>
      </c>
      <c r="EL18" s="20" t="n">
        <v>0</v>
      </c>
      <c r="EM18" s="20" t="n">
        <v>0</v>
      </c>
      <c r="EN18" s="20" t="n">
        <v>0</v>
      </c>
      <c r="EO18" s="20" t="n">
        <v>0</v>
      </c>
      <c r="EP18" s="20" t="n">
        <v>0</v>
      </c>
      <c r="EQ18" s="20" t="n">
        <v>0</v>
      </c>
      <c r="ER18" s="20" t="n">
        <v>0</v>
      </c>
      <c r="ES18" s="20" t="n">
        <v>0</v>
      </c>
      <c r="ET18" s="20" t="n">
        <v>0</v>
      </c>
      <c r="EU18" s="20" t="n">
        <v>0</v>
      </c>
      <c r="EV18" s="20" t="n">
        <v>0</v>
      </c>
      <c r="EW18" s="20" t="n">
        <v>0</v>
      </c>
      <c r="EX18" s="20" t="n">
        <v>0</v>
      </c>
      <c r="EY18" s="20" t="n">
        <v>0</v>
      </c>
      <c r="EZ18" s="20" t="n">
        <v>0</v>
      </c>
      <c r="FA18" s="20" t="n">
        <v>0</v>
      </c>
      <c r="FB18" s="20" t="n">
        <v>0</v>
      </c>
      <c r="FC18" s="20" t="n">
        <v>0</v>
      </c>
      <c r="FD18" s="20" t="n">
        <v>0</v>
      </c>
      <c r="FE18" s="20" t="n">
        <f aca="false">IF(H_Direct=1,IF(AKR17&lt;=0,0,IF(BR18&lt;=0,AKR17,AKR17-G18*MAX(0,BR18*AKR17-(H18+I18)))),AKR17*(1-MAX(0,BR18)*H_Exit))</f>
        <v>0</v>
      </c>
      <c r="FF18" s="20" t="n">
        <f aca="false">IF(H_Direct=1,IF(AKS17&lt;=0,0,IF(BS18&lt;=0,AKS17,AKS17-G18*MAX(0,BS18*AKS17-(IR18+ME18)))),AKS17*(1-MAX(0,BS18)*H_Exit))</f>
        <v>0</v>
      </c>
      <c r="FG18" s="20" t="n">
        <f aca="false">IF(H_Direct=1,IF(AKT17&lt;=0,0,IF(BT18&lt;=0,AKT17,AKT17-G18*MAX(0,BT18*AKT17-(IS18+MF18)))),AKT17*(1-MAX(0,BT18)*H_Exit))</f>
        <v>0</v>
      </c>
      <c r="FH18" s="20" t="n">
        <f aca="false">IF(H_Direct=1,IF(AKU17&lt;=0,0,IF(BU18&lt;=0,AKU17,AKU17-G18*MAX(0,BU18*AKU17-(IT18+MG18)))),AKU17*(1-MAX(0,BU18)*H_Exit))</f>
        <v>0</v>
      </c>
      <c r="FI18" s="20" t="n">
        <f aca="false">IF(H_Direct=1,IF(AKV17&lt;=0,0,IF(BV18&lt;=0,AKV17,AKV17-G18*MAX(0,BV18*AKV17-(IU18+MH18)))),AKV17*(1-MAX(0,BV18)*H_Exit))</f>
        <v>0</v>
      </c>
      <c r="FJ18" s="20" t="n">
        <f aca="false">IF(H_Direct=1,IF(AKW17&lt;=0,0,IF(BW18&lt;=0,AKW17,AKW17-G18*MAX(0,BW18*AKW17-(IV18+MI18)))),AKW17*(1-MAX(0,BW18)*H_Exit))</f>
        <v>0</v>
      </c>
      <c r="FK18" s="20" t="n">
        <f aca="false">IF(H_Direct=1,IF(AKX17&lt;=0,0,IF(BX18&lt;=0,AKX17,AKX17-G18*MAX(0,BX18*AKX17-(IW18+MJ18)))),AKX17*(1-MAX(0,BX18)*H_Exit))</f>
        <v>0</v>
      </c>
      <c r="FL18" s="20" t="n">
        <f aca="false">IF(H_Direct=1,IF(AKY17&lt;=0,0,IF(BY18&lt;=0,AKY17,AKY17-G18*MAX(0,BY18*AKY17-(IX18+MK18)))),AKY17*(1-MAX(0,BY18)*H_Exit))</f>
        <v>0</v>
      </c>
      <c r="FM18" s="20" t="n">
        <f aca="false">IF(H_Direct=1,IF(AKZ17&lt;=0,0,IF(BZ18&lt;=0,AKZ17,AKZ17-G18*MAX(0,BZ18*AKZ17-(IY18+ML18)))),AKZ17*(1-MAX(0,BZ18)*H_Exit))</f>
        <v>0</v>
      </c>
      <c r="FN18" s="20" t="n">
        <f aca="false">IF(H_Direct=1,IF(ALA17&lt;=0,0,IF(CA18&lt;=0,ALA17,ALA17-G18*MAX(0,CA18*ALA17-(IZ18+MM18)))),ALA17*(1-MAX(0,CA18)*H_Exit))</f>
        <v>0</v>
      </c>
      <c r="FO18" s="20" t="n">
        <f aca="false">IF(H_Direct=1,IF(ALB17&lt;=0,0,IF(CB18&lt;=0,ALB17,ALB17-G18*MAX(0,CB18*ALB17-(JA18+MN18)))),ALB17*(1-MAX(0,CB18)*H_Exit))</f>
        <v>0</v>
      </c>
      <c r="FP18" s="20" t="n">
        <f aca="false">IF(H_Direct=1,IF((P18+S18)&lt;=0,0,IF(CC18&lt;=0,(P18+S18),(P18+S18)-G18*MAX(0,CC18*(P18+S18)-(JB18+MO18)))),(P18+S18)*(1-MAX(0,CC18)*H_Exit))</f>
        <v>0</v>
      </c>
      <c r="FQ18" s="20" t="n">
        <v>0</v>
      </c>
      <c r="FR18" s="20" t="n">
        <v>0</v>
      </c>
      <c r="FS18" s="20" t="n">
        <v>0</v>
      </c>
      <c r="FT18" s="20" t="n">
        <v>0</v>
      </c>
      <c r="FU18" s="20" t="n">
        <v>0</v>
      </c>
      <c r="FV18" s="20" t="n">
        <v>0</v>
      </c>
      <c r="FW18" s="20" t="n">
        <v>0</v>
      </c>
      <c r="FX18" s="20" t="n">
        <v>0</v>
      </c>
      <c r="FY18" s="20" t="n">
        <v>0</v>
      </c>
      <c r="FZ18" s="20" t="n">
        <v>0</v>
      </c>
      <c r="GA18" s="20" t="n">
        <v>0</v>
      </c>
      <c r="GB18" s="20" t="n">
        <v>0</v>
      </c>
      <c r="GC18" s="20" t="n">
        <v>0</v>
      </c>
      <c r="GD18" s="20" t="n">
        <v>0</v>
      </c>
      <c r="GE18" s="20" t="n">
        <v>0</v>
      </c>
      <c r="GF18" s="20" t="n">
        <v>0</v>
      </c>
      <c r="GG18" s="20" t="n">
        <v>0</v>
      </c>
      <c r="GH18" s="20" t="n">
        <v>0</v>
      </c>
      <c r="GI18" s="20" t="n">
        <v>0</v>
      </c>
      <c r="GJ18" s="20" t="n">
        <v>0</v>
      </c>
      <c r="GK18" s="20" t="n">
        <v>0</v>
      </c>
      <c r="GL18" s="20" t="n">
        <v>0</v>
      </c>
      <c r="GM18" s="20" t="n">
        <v>0</v>
      </c>
      <c r="GN18" s="20" t="n">
        <v>0</v>
      </c>
      <c r="GO18" s="20" t="n">
        <v>0</v>
      </c>
      <c r="GP18" s="20" t="n">
        <v>0</v>
      </c>
      <c r="GQ18" s="20" t="n">
        <v>0</v>
      </c>
      <c r="GR18" s="20" t="n">
        <v>0</v>
      </c>
      <c r="GS18" s="20" t="n">
        <v>0</v>
      </c>
      <c r="GT18" s="20" t="n">
        <v>0</v>
      </c>
      <c r="GU18" s="20" t="n">
        <v>0</v>
      </c>
      <c r="GV18" s="20" t="n">
        <v>0</v>
      </c>
      <c r="GW18" s="20" t="n">
        <v>0</v>
      </c>
      <c r="GX18" s="20" t="n">
        <v>0</v>
      </c>
      <c r="GY18" s="20" t="n">
        <v>0</v>
      </c>
      <c r="GZ18" s="20" t="n">
        <v>0</v>
      </c>
      <c r="HA18" s="20" t="n">
        <v>0</v>
      </c>
      <c r="HB18" s="20" t="n">
        <v>0</v>
      </c>
      <c r="HC18" s="20" t="n">
        <v>0</v>
      </c>
      <c r="HD18" s="20" t="n">
        <v>0</v>
      </c>
      <c r="HE18" s="20" t="n">
        <v>0</v>
      </c>
      <c r="HF18" s="20" t="n">
        <v>0</v>
      </c>
      <c r="HG18" s="20" t="n">
        <v>0</v>
      </c>
      <c r="HH18" s="20" t="n">
        <v>0</v>
      </c>
      <c r="HI18" s="20" t="n">
        <v>0</v>
      </c>
      <c r="HJ18" s="20" t="n">
        <v>0</v>
      </c>
      <c r="HK18" s="20" t="n">
        <v>0</v>
      </c>
      <c r="HL18" s="20" t="n">
        <v>0</v>
      </c>
      <c r="HM18" s="20" t="n">
        <v>0</v>
      </c>
      <c r="HN18" s="20" t="n">
        <v>0</v>
      </c>
      <c r="HO18" s="20" t="n">
        <v>0</v>
      </c>
      <c r="HP18" s="20" t="n">
        <v>0</v>
      </c>
      <c r="HQ18" s="20" t="n">
        <v>0</v>
      </c>
      <c r="HR18" s="20" t="n">
        <v>0</v>
      </c>
      <c r="HS18" s="20" t="n">
        <v>0</v>
      </c>
      <c r="HT18" s="20" t="n">
        <v>0</v>
      </c>
      <c r="HU18" s="20" t="n">
        <v>0</v>
      </c>
      <c r="HV18" s="20" t="n">
        <v>0</v>
      </c>
      <c r="HW18" s="20" t="n">
        <v>0</v>
      </c>
      <c r="HX18" s="20" t="n">
        <v>0</v>
      </c>
      <c r="HY18" s="20" t="n">
        <v>0</v>
      </c>
      <c r="HZ18" s="20" t="n">
        <v>0</v>
      </c>
      <c r="IA18" s="20" t="n">
        <v>0</v>
      </c>
      <c r="IB18" s="20" t="n">
        <v>0</v>
      </c>
      <c r="IC18" s="20" t="n">
        <v>0</v>
      </c>
      <c r="ID18" s="20" t="n">
        <v>0</v>
      </c>
      <c r="IE18" s="20" t="n">
        <v>0</v>
      </c>
      <c r="IF18" s="20" t="n">
        <v>0</v>
      </c>
      <c r="IG18" s="20" t="n">
        <v>0</v>
      </c>
      <c r="IH18" s="20" t="n">
        <v>0</v>
      </c>
      <c r="II18" s="20" t="n">
        <v>0</v>
      </c>
      <c r="IJ18" s="20" t="n">
        <v>0</v>
      </c>
      <c r="IK18" s="20" t="n">
        <v>0</v>
      </c>
      <c r="IL18" s="20" t="n">
        <v>0</v>
      </c>
      <c r="IM18" s="20" t="n">
        <v>0</v>
      </c>
      <c r="IN18" s="20" t="n">
        <v>0</v>
      </c>
      <c r="IO18" s="20" t="n">
        <v>0</v>
      </c>
      <c r="IP18" s="20" t="n">
        <v>0</v>
      </c>
      <c r="IQ18" s="20" t="n">
        <v>0</v>
      </c>
      <c r="IR18" s="20" t="n">
        <f aca="false">IF(AND(H_Direct=1,BR18&gt;0),MAX(0,H18-(MIN(BR18*AKR17,H18+I18)-MIN(MIN(BR18*AKR17,H18+I18),I18))),H18)</f>
        <v>1270</v>
      </c>
      <c r="IS18" s="20" t="n">
        <f aca="false">IF(AND(H_Direct=1,BS18&gt;0),MAX(0,IR18-(MIN(BS18*AKS17,IR18+ME18)-MIN(MIN(BS18*AKS17,IR18+ME18),ME18))),IR18)</f>
        <v>1270</v>
      </c>
      <c r="IT18" s="20" t="n">
        <f aca="false">IF(AND(H_Direct=1,BT18&gt;0),MAX(0,IS18-(MIN(BT18*AKT17,IS18+MF18)-MIN(MIN(BT18*AKT17,IS18+MF18),MF18))),IS18)</f>
        <v>1270</v>
      </c>
      <c r="IU18" s="20" t="n">
        <f aca="false">IF(AND(H_Direct=1,BU18&gt;0),MAX(0,IT18-(MIN(BU18*AKU17,IT18+MG18)-MIN(MIN(BU18*AKU17,IT18+MG18),MG18))),IT18)</f>
        <v>1270</v>
      </c>
      <c r="IV18" s="20" t="n">
        <f aca="false">IF(AND(H_Direct=1,BV18&gt;0),MAX(0,IU18-(MIN(BV18*AKV17,IU18+MH18)-MIN(MIN(BV18*AKV17,IU18+MH18),MH18))),IU18)</f>
        <v>1270</v>
      </c>
      <c r="IW18" s="20" t="n">
        <f aca="false">IF(AND(H_Direct=1,BW18&gt;0),MAX(0,IV18-(MIN(BW18*AKW17,IV18+MI18)-MIN(MIN(BW18*AKW17,IV18+MI18),MI18))),IV18)</f>
        <v>1270</v>
      </c>
      <c r="IX18" s="20" t="n">
        <f aca="false">IF(AND(H_Direct=1,BX18&gt;0),MAX(0,IW18-(MIN(BX18*AKX17,IW18+MJ18)-MIN(MIN(BX18*AKX17,IW18+MJ18),MJ18))),IW18)</f>
        <v>1270</v>
      </c>
      <c r="IY18" s="20" t="n">
        <f aca="false">IF(AND(H_Direct=1,BY18&gt;0),MAX(0,IX18-(MIN(BY18*AKY17,IX18+MK18)-MIN(MIN(BY18*AKY17,IX18+MK18),MK18))),IX18)</f>
        <v>1270</v>
      </c>
      <c r="IZ18" s="20" t="n">
        <f aca="false">IF(AND(H_Direct=1,BZ18&gt;0),MAX(0,IY18-(MIN(BZ18*AKZ17,IY18+ML18)-MIN(MIN(BZ18*AKZ17,IY18+ML18),ML18))),IY18)</f>
        <v>1270</v>
      </c>
      <c r="JA18" s="20" t="n">
        <f aca="false">IF(AND(H_Direct=1,CA18&gt;0),MAX(0,IZ18-(MIN(CA18*ALA17,IZ18+MM18)-MIN(MIN(CA18*ALA17,IZ18+MM18),MM18))),IZ18)</f>
        <v>1270</v>
      </c>
      <c r="JB18" s="20" t="n">
        <f aca="false">IF(AND(H_Direct=1,CB18&gt;0),MAX(0,JA18-(MIN(CB18*ALB17,JA18+MN18)-MIN(MIN(CB18*ALB17,JA18+MN18),MN18))),JA18)</f>
        <v>1270</v>
      </c>
      <c r="JC18" s="20" t="n">
        <f aca="false">IF(AND(H_Direct=1,CC18&gt;0),MAX(0,JB18-(MIN(CC18*(P18+S18),JB18+MO18)-MIN(MIN(CC18*(P18+S18),JB18+MO18),MO18))),JB18)</f>
        <v>1270</v>
      </c>
      <c r="JD18" s="20" t="n">
        <f aca="false">JC18</f>
        <v>1270</v>
      </c>
      <c r="JE18" s="20" t="n">
        <f aca="false">JD18</f>
        <v>1270</v>
      </c>
      <c r="JF18" s="20" t="n">
        <f aca="false">JE18</f>
        <v>1270</v>
      </c>
      <c r="JG18" s="20" t="n">
        <f aca="false">JF18</f>
        <v>1270</v>
      </c>
      <c r="JH18" s="20" t="n">
        <f aca="false">JG18</f>
        <v>1270</v>
      </c>
      <c r="JI18" s="20" t="n">
        <f aca="false">JH18</f>
        <v>1270</v>
      </c>
      <c r="JJ18" s="20" t="n">
        <f aca="false">JI18</f>
        <v>1270</v>
      </c>
      <c r="JK18" s="20" t="n">
        <f aca="false">JJ18</f>
        <v>1270</v>
      </c>
      <c r="JL18" s="20" t="n">
        <f aca="false">JK18</f>
        <v>1270</v>
      </c>
      <c r="JM18" s="20" t="n">
        <f aca="false">JL18</f>
        <v>1270</v>
      </c>
      <c r="JN18" s="20" t="n">
        <f aca="false">JM18</f>
        <v>1270</v>
      </c>
      <c r="JO18" s="20" t="n">
        <f aca="false">JN18</f>
        <v>1270</v>
      </c>
      <c r="JP18" s="20" t="n">
        <f aca="false">JO18</f>
        <v>1270</v>
      </c>
      <c r="JQ18" s="20" t="n">
        <f aca="false">JP18</f>
        <v>1270</v>
      </c>
      <c r="JR18" s="20" t="n">
        <f aca="false">JQ18</f>
        <v>1270</v>
      </c>
      <c r="JS18" s="20" t="n">
        <f aca="false">JR18</f>
        <v>1270</v>
      </c>
      <c r="JT18" s="20" t="n">
        <f aca="false">JS18</f>
        <v>1270</v>
      </c>
      <c r="JU18" s="20" t="n">
        <f aca="false">JT18</f>
        <v>1270</v>
      </c>
      <c r="JV18" s="20" t="n">
        <f aca="false">JU18</f>
        <v>1270</v>
      </c>
      <c r="JW18" s="20" t="n">
        <f aca="false">JV18</f>
        <v>1270</v>
      </c>
      <c r="JX18" s="20" t="n">
        <f aca="false">JW18</f>
        <v>1270</v>
      </c>
      <c r="JY18" s="20" t="n">
        <f aca="false">JX18</f>
        <v>1270</v>
      </c>
      <c r="JZ18" s="20" t="n">
        <f aca="false">JY18</f>
        <v>1270</v>
      </c>
      <c r="KA18" s="20" t="n">
        <f aca="false">JZ18</f>
        <v>1270</v>
      </c>
      <c r="KB18" s="20" t="n">
        <f aca="false">KA18</f>
        <v>1270</v>
      </c>
      <c r="KC18" s="20" t="n">
        <f aca="false">KB18</f>
        <v>1270</v>
      </c>
      <c r="KD18" s="20" t="n">
        <f aca="false">KC18</f>
        <v>1270</v>
      </c>
      <c r="KE18" s="20" t="n">
        <f aca="false">KD18</f>
        <v>1270</v>
      </c>
      <c r="KF18" s="20" t="n">
        <f aca="false">KE18</f>
        <v>1270</v>
      </c>
      <c r="KG18" s="20" t="n">
        <f aca="false">KF18</f>
        <v>1270</v>
      </c>
      <c r="KH18" s="20" t="n">
        <f aca="false">KG18</f>
        <v>1270</v>
      </c>
      <c r="KI18" s="20" t="n">
        <f aca="false">KH18</f>
        <v>1270</v>
      </c>
      <c r="KJ18" s="20" t="n">
        <f aca="false">KI18</f>
        <v>1270</v>
      </c>
      <c r="KK18" s="20" t="n">
        <f aca="false">KJ18</f>
        <v>1270</v>
      </c>
      <c r="KL18" s="20" t="n">
        <f aca="false">KK18</f>
        <v>1270</v>
      </c>
      <c r="KM18" s="20" t="n">
        <f aca="false">KL18</f>
        <v>1270</v>
      </c>
      <c r="KN18" s="20" t="n">
        <f aca="false">KM18</f>
        <v>1270</v>
      </c>
      <c r="KO18" s="20" t="n">
        <f aca="false">KN18</f>
        <v>1270</v>
      </c>
      <c r="KP18" s="20" t="n">
        <f aca="false">KO18</f>
        <v>1270</v>
      </c>
      <c r="KQ18" s="20" t="n">
        <f aca="false">KP18</f>
        <v>1270</v>
      </c>
      <c r="KR18" s="20" t="n">
        <f aca="false">KQ18</f>
        <v>1270</v>
      </c>
      <c r="KS18" s="20" t="n">
        <f aca="false">KR18</f>
        <v>1270</v>
      </c>
      <c r="KT18" s="20" t="n">
        <f aca="false">KS18</f>
        <v>1270</v>
      </c>
      <c r="KU18" s="20" t="n">
        <f aca="false">KT18</f>
        <v>1270</v>
      </c>
      <c r="KV18" s="20" t="n">
        <f aca="false">KU18</f>
        <v>1270</v>
      </c>
      <c r="KW18" s="20" t="n">
        <f aca="false">KV18</f>
        <v>1270</v>
      </c>
      <c r="KX18" s="20" t="n">
        <f aca="false">KW18</f>
        <v>1270</v>
      </c>
      <c r="KY18" s="20" t="n">
        <f aca="false">KX18</f>
        <v>1270</v>
      </c>
      <c r="KZ18" s="20" t="n">
        <f aca="false">KY18</f>
        <v>1270</v>
      </c>
      <c r="LA18" s="20" t="n">
        <f aca="false">KZ18</f>
        <v>1270</v>
      </c>
      <c r="LB18" s="20" t="n">
        <f aca="false">LA18</f>
        <v>1270</v>
      </c>
      <c r="LC18" s="20" t="n">
        <f aca="false">LB18</f>
        <v>1270</v>
      </c>
      <c r="LD18" s="20" t="n">
        <f aca="false">LC18</f>
        <v>1270</v>
      </c>
      <c r="LE18" s="20" t="n">
        <f aca="false">LD18</f>
        <v>1270</v>
      </c>
      <c r="LF18" s="20" t="n">
        <f aca="false">LE18</f>
        <v>1270</v>
      </c>
      <c r="LG18" s="20" t="n">
        <f aca="false">LF18</f>
        <v>1270</v>
      </c>
      <c r="LH18" s="20" t="n">
        <f aca="false">LG18</f>
        <v>1270</v>
      </c>
      <c r="LI18" s="20" t="n">
        <f aca="false">LH18</f>
        <v>1270</v>
      </c>
      <c r="LJ18" s="20" t="n">
        <f aca="false">LI18</f>
        <v>1270</v>
      </c>
      <c r="LK18" s="20" t="n">
        <f aca="false">LJ18</f>
        <v>1270</v>
      </c>
      <c r="LL18" s="20" t="n">
        <f aca="false">LK18</f>
        <v>1270</v>
      </c>
      <c r="LM18" s="20" t="n">
        <f aca="false">LL18</f>
        <v>1270</v>
      </c>
      <c r="LN18" s="20" t="n">
        <f aca="false">LM18</f>
        <v>1270</v>
      </c>
      <c r="LO18" s="20" t="n">
        <f aca="false">LN18</f>
        <v>1270</v>
      </c>
      <c r="LP18" s="20" t="n">
        <f aca="false">LO18</f>
        <v>1270</v>
      </c>
      <c r="LQ18" s="20" t="n">
        <f aca="false">LP18</f>
        <v>1270</v>
      </c>
      <c r="LR18" s="20" t="n">
        <f aca="false">LQ18</f>
        <v>1270</v>
      </c>
      <c r="LS18" s="20" t="n">
        <f aca="false">LR18</f>
        <v>1270</v>
      </c>
      <c r="LT18" s="20" t="n">
        <f aca="false">LS18</f>
        <v>1270</v>
      </c>
      <c r="LU18" s="20" t="n">
        <f aca="false">LT18</f>
        <v>1270</v>
      </c>
      <c r="LV18" s="20" t="n">
        <f aca="false">LU18</f>
        <v>1270</v>
      </c>
      <c r="LW18" s="20" t="n">
        <f aca="false">LV18</f>
        <v>1270</v>
      </c>
      <c r="LX18" s="20" t="n">
        <f aca="false">LW18</f>
        <v>1270</v>
      </c>
      <c r="LY18" s="20" t="n">
        <f aca="false">LX18</f>
        <v>1270</v>
      </c>
      <c r="LZ18" s="20" t="n">
        <f aca="false">LY18</f>
        <v>1270</v>
      </c>
      <c r="MA18" s="20" t="n">
        <f aca="false">LZ18</f>
        <v>1270</v>
      </c>
      <c r="MB18" s="20" t="n">
        <f aca="false">MA18</f>
        <v>1270</v>
      </c>
      <c r="MC18" s="20" t="n">
        <f aca="false">MB18</f>
        <v>1270</v>
      </c>
      <c r="MD18" s="20" t="n">
        <f aca="false">MC18</f>
        <v>1270</v>
      </c>
      <c r="ME18" s="20" t="n">
        <f aca="false">IF(H_Direct=1,IF(BR18&lt;=0,I18-BR18*AKR17,I18-MIN(MIN(BR18*AKR17,H18+I18),I18)),I18)</f>
        <v>0</v>
      </c>
      <c r="MF18" s="20" t="n">
        <f aca="false">IF(H_Direct=1,IF(BS18&lt;=0,ME18-BS18*AKS17,ME18-MIN(MIN(BS18*AKS17,IR18+ME18),ME18)),ME18)</f>
        <v>0</v>
      </c>
      <c r="MG18" s="20" t="n">
        <f aca="false">IF(H_Direct=1,IF(BT18&lt;=0,MF18-BT18*AKT17,MF18-MIN(MIN(BT18*AKT17,IS18+MF18),MF18)),MF18)</f>
        <v>0</v>
      </c>
      <c r="MH18" s="20" t="n">
        <f aca="false">IF(H_Direct=1,IF(BU18&lt;=0,MG18-BU18*AKU17,MG18-MIN(MIN(BU18*AKU17,IT18+MG18),MG18)),MG18)</f>
        <v>0</v>
      </c>
      <c r="MI18" s="20" t="n">
        <f aca="false">IF(H_Direct=1,IF(BV18&lt;=0,MH18-BV18*AKV17,MH18-MIN(MIN(BV18*AKV17,IU18+MH18),MH18)),MH18)</f>
        <v>0</v>
      </c>
      <c r="MJ18" s="20" t="n">
        <f aca="false">IF(H_Direct=1,IF(BW18&lt;=0,MI18-BW18*AKW17,MI18-MIN(MIN(BW18*AKW17,IV18+MI18),MI18)),MI18)</f>
        <v>0</v>
      </c>
      <c r="MK18" s="20" t="n">
        <f aca="false">IF(H_Direct=1,IF(BX18&lt;=0,MJ18-BX18*AKX17,MJ18-MIN(MIN(BX18*AKX17,IW18+MJ18),MJ18)),MJ18)</f>
        <v>0</v>
      </c>
      <c r="ML18" s="20" t="n">
        <f aca="false">IF(H_Direct=1,IF(BY18&lt;=0,MK18-BY18*AKY17,MK18-MIN(MIN(BY18*AKY17,IX18+MK18),MK18)),MK18)</f>
        <v>0</v>
      </c>
      <c r="MM18" s="20" t="n">
        <f aca="false">IF(H_Direct=1,IF(BZ18&lt;=0,ML18-BZ18*AKZ17,ML18-MIN(MIN(BZ18*AKZ17,IY18+ML18),ML18)),ML18)</f>
        <v>0</v>
      </c>
      <c r="MN18" s="20" t="n">
        <f aca="false">IF(H_Direct=1,IF(CA18&lt;=0,MM18-CA18*ALA17,MM18-MIN(MIN(CA18*ALA17,IZ18+MM18),MM18)),MM18)</f>
        <v>0</v>
      </c>
      <c r="MO18" s="20" t="n">
        <f aca="false">IF(H_Direct=1,IF(CB18&lt;=0,MN18-CB18*ALB17,MN18-MIN(MIN(CB18*ALB17,JA18+MN18),MN18)),MN18)</f>
        <v>0</v>
      </c>
      <c r="MP18" s="20" t="n">
        <f aca="false">IF(H_Direct=1,IF(CC18&lt;=0,MO18-CC18*(P18+S18),MO18-MIN(MIN(CC18*(P18+S18),JB18+MO18),MO18)),MO18)</f>
        <v>0</v>
      </c>
      <c r="MQ18" s="20" t="n">
        <f aca="false">MP18</f>
        <v>0</v>
      </c>
      <c r="MR18" s="20" t="n">
        <f aca="false">MQ18</f>
        <v>0</v>
      </c>
      <c r="MS18" s="20" t="n">
        <f aca="false">MR18</f>
        <v>0</v>
      </c>
      <c r="MT18" s="20" t="n">
        <f aca="false">MS18</f>
        <v>0</v>
      </c>
      <c r="MU18" s="20" t="n">
        <f aca="false">MT18</f>
        <v>0</v>
      </c>
      <c r="MV18" s="20" t="n">
        <f aca="false">MU18</f>
        <v>0</v>
      </c>
      <c r="MW18" s="20" t="n">
        <f aca="false">MV18</f>
        <v>0</v>
      </c>
      <c r="MX18" s="20" t="n">
        <f aca="false">MW18</f>
        <v>0</v>
      </c>
      <c r="MY18" s="20" t="n">
        <f aca="false">MX18</f>
        <v>0</v>
      </c>
      <c r="MZ18" s="20" t="n">
        <f aca="false">MY18</f>
        <v>0</v>
      </c>
      <c r="NA18" s="20" t="n">
        <f aca="false">MZ18</f>
        <v>0</v>
      </c>
      <c r="NB18" s="20" t="n">
        <f aca="false">NA18</f>
        <v>0</v>
      </c>
      <c r="NC18" s="20" t="n">
        <f aca="false">NB18</f>
        <v>0</v>
      </c>
      <c r="ND18" s="20" t="n">
        <f aca="false">NC18</f>
        <v>0</v>
      </c>
      <c r="NE18" s="20" t="n">
        <f aca="false">ND18</f>
        <v>0</v>
      </c>
      <c r="NF18" s="20" t="n">
        <f aca="false">NE18</f>
        <v>0</v>
      </c>
      <c r="NG18" s="20" t="n">
        <f aca="false">NF18</f>
        <v>0</v>
      </c>
      <c r="NH18" s="20" t="n">
        <f aca="false">NG18</f>
        <v>0</v>
      </c>
      <c r="NI18" s="20" t="n">
        <f aca="false">NH18</f>
        <v>0</v>
      </c>
      <c r="NJ18" s="20" t="n">
        <f aca="false">NI18</f>
        <v>0</v>
      </c>
      <c r="NK18" s="20" t="n">
        <f aca="false">NJ18</f>
        <v>0</v>
      </c>
      <c r="NL18" s="20" t="n">
        <f aca="false">NK18</f>
        <v>0</v>
      </c>
      <c r="NM18" s="20" t="n">
        <f aca="false">NL18</f>
        <v>0</v>
      </c>
      <c r="NN18" s="20" t="n">
        <f aca="false">NM18</f>
        <v>0</v>
      </c>
      <c r="NO18" s="20" t="n">
        <f aca="false">NN18</f>
        <v>0</v>
      </c>
      <c r="NP18" s="20" t="n">
        <f aca="false">NO18</f>
        <v>0</v>
      </c>
      <c r="NQ18" s="20" t="n">
        <f aca="false">NP18</f>
        <v>0</v>
      </c>
      <c r="NR18" s="20" t="n">
        <f aca="false">NQ18</f>
        <v>0</v>
      </c>
      <c r="NS18" s="20" t="n">
        <f aca="false">NR18</f>
        <v>0</v>
      </c>
      <c r="NT18" s="20" t="n">
        <f aca="false">NS18</f>
        <v>0</v>
      </c>
      <c r="NU18" s="20" t="n">
        <f aca="false">NT18</f>
        <v>0</v>
      </c>
      <c r="NV18" s="20" t="n">
        <f aca="false">NU18</f>
        <v>0</v>
      </c>
      <c r="NW18" s="20" t="n">
        <f aca="false">NV18</f>
        <v>0</v>
      </c>
      <c r="NX18" s="20" t="n">
        <f aca="false">NW18</f>
        <v>0</v>
      </c>
      <c r="NY18" s="20" t="n">
        <f aca="false">NX18</f>
        <v>0</v>
      </c>
      <c r="NZ18" s="20" t="n">
        <f aca="false">NY18</f>
        <v>0</v>
      </c>
      <c r="OA18" s="20" t="n">
        <f aca="false">NZ18</f>
        <v>0</v>
      </c>
      <c r="OB18" s="20" t="n">
        <f aca="false">OA18</f>
        <v>0</v>
      </c>
      <c r="OC18" s="20" t="n">
        <f aca="false">OB18</f>
        <v>0</v>
      </c>
      <c r="OD18" s="20" t="n">
        <f aca="false">OC18</f>
        <v>0</v>
      </c>
      <c r="OE18" s="20" t="n">
        <f aca="false">OD18</f>
        <v>0</v>
      </c>
      <c r="OF18" s="20" t="n">
        <f aca="false">OE18</f>
        <v>0</v>
      </c>
      <c r="OG18" s="20" t="n">
        <f aca="false">OF18</f>
        <v>0</v>
      </c>
      <c r="OH18" s="20" t="n">
        <f aca="false">OG18</f>
        <v>0</v>
      </c>
      <c r="OI18" s="20" t="n">
        <f aca="false">OH18</f>
        <v>0</v>
      </c>
      <c r="OJ18" s="20" t="n">
        <f aca="false">OI18</f>
        <v>0</v>
      </c>
      <c r="OK18" s="20" t="n">
        <f aca="false">OJ18</f>
        <v>0</v>
      </c>
      <c r="OL18" s="20" t="n">
        <f aca="false">OK18</f>
        <v>0</v>
      </c>
      <c r="OM18" s="20" t="n">
        <f aca="false">OL18</f>
        <v>0</v>
      </c>
      <c r="ON18" s="20" t="n">
        <f aca="false">OM18</f>
        <v>0</v>
      </c>
      <c r="OO18" s="20" t="n">
        <f aca="false">ON18</f>
        <v>0</v>
      </c>
      <c r="OP18" s="20" t="n">
        <f aca="false">OO18</f>
        <v>0</v>
      </c>
      <c r="OQ18" s="20" t="n">
        <f aca="false">OP18</f>
        <v>0</v>
      </c>
      <c r="OR18" s="20" t="n">
        <f aca="false">OQ18</f>
        <v>0</v>
      </c>
      <c r="OS18" s="20" t="n">
        <f aca="false">OR18</f>
        <v>0</v>
      </c>
      <c r="OT18" s="20" t="n">
        <f aca="false">OS18</f>
        <v>0</v>
      </c>
      <c r="OU18" s="20" t="n">
        <f aca="false">OT18</f>
        <v>0</v>
      </c>
      <c r="OV18" s="20" t="n">
        <f aca="false">OU18</f>
        <v>0</v>
      </c>
      <c r="OW18" s="20" t="n">
        <f aca="false">OV18</f>
        <v>0</v>
      </c>
      <c r="OX18" s="20" t="n">
        <f aca="false">OW18</f>
        <v>0</v>
      </c>
      <c r="OY18" s="20" t="n">
        <f aca="false">OX18</f>
        <v>0</v>
      </c>
      <c r="OZ18" s="20" t="n">
        <f aca="false">OY18</f>
        <v>0</v>
      </c>
      <c r="PA18" s="20" t="n">
        <f aca="false">OZ18</f>
        <v>0</v>
      </c>
      <c r="PB18" s="20" t="n">
        <f aca="false">PA18</f>
        <v>0</v>
      </c>
      <c r="PC18" s="20" t="n">
        <f aca="false">PB18</f>
        <v>0</v>
      </c>
      <c r="PD18" s="20" t="n">
        <f aca="false">PC18</f>
        <v>0</v>
      </c>
      <c r="PE18" s="20" t="n">
        <f aca="false">PD18</f>
        <v>0</v>
      </c>
      <c r="PF18" s="20" t="n">
        <f aca="false">PE18</f>
        <v>0</v>
      </c>
      <c r="PG18" s="20" t="n">
        <f aca="false">PF18</f>
        <v>0</v>
      </c>
      <c r="PH18" s="20" t="n">
        <f aca="false">PG18</f>
        <v>0</v>
      </c>
      <c r="PI18" s="20" t="n">
        <f aca="false">PH18</f>
        <v>0</v>
      </c>
      <c r="PJ18" s="20" t="n">
        <f aca="false">PI18</f>
        <v>0</v>
      </c>
      <c r="PK18" s="20" t="n">
        <f aca="false">PJ18</f>
        <v>0</v>
      </c>
      <c r="PL18" s="20" t="n">
        <f aca="false">PK18</f>
        <v>0</v>
      </c>
      <c r="PM18" s="20" t="n">
        <f aca="false">PL18</f>
        <v>0</v>
      </c>
      <c r="PN18" s="20" t="n">
        <f aca="false">PM18</f>
        <v>0</v>
      </c>
      <c r="PO18" s="20" t="n">
        <f aca="false">PN18</f>
        <v>0</v>
      </c>
      <c r="PP18" s="20" t="n">
        <f aca="false">PO18</f>
        <v>0</v>
      </c>
      <c r="PQ18" s="20" t="n">
        <f aca="false">PP18</f>
        <v>0</v>
      </c>
      <c r="PR18" s="20" t="n">
        <f aca="false">IF(H_Direct=1,IF(AKR17&lt;=0,0,IF(BR18&lt;=0,MIN(MAX(0,AB18),AKR17),MIN(MAX(0,AB18),AKR17-G18*MAX(0,BR18*AKR17-(H18+I18))))),MIN(FE18,MAX(0,AB18)))</f>
        <v>0</v>
      </c>
      <c r="PS18" s="20" t="n">
        <f aca="false">IF(H_Direct=1,IF(AKS17&lt;=0,0,IF(BS18&lt;=0,MIN(MAX(0,AB18-SUM(PR18:PR18)),AKS17),MIN(MAX(0,AB18-SUM(PR18:PR18)),AKS17-G18*MAX(0,BS18*AKS17-(WR18+AAE18))))),MIN(FF18,MAX(0,AB18-SUM(PR18:PR18))))</f>
        <v>0</v>
      </c>
      <c r="PT18" s="20" t="n">
        <f aca="false">IF(H_Direct=1,IF(AKT17&lt;=0,0,IF(BT18&lt;=0,MIN(MAX(0,AB18-SUM(PR18:PS18)),AKT17),MIN(MAX(0,AB18-SUM(PR18:PS18)),AKT17-G18*MAX(0,BT18*AKT17-(WS18+AAF18))))),MIN(FG18,MAX(0,AB18-SUM(PR18:PS18))))</f>
        <v>0</v>
      </c>
      <c r="PU18" s="20" t="n">
        <f aca="false">IF(H_Direct=1,IF(AKU17&lt;=0,0,IF(BU18&lt;=0,MIN(MAX(0,AB18-SUM(PR18:PT18)),AKU17),MIN(MAX(0,AB18-SUM(PR18:PT18)),AKU17-G18*MAX(0,BU18*AKU17-(WT18+AAG18))))),MIN(FH18,MAX(0,AB18-SUM(PR18:PT18))))</f>
        <v>0</v>
      </c>
      <c r="PV18" s="20" t="n">
        <f aca="false">IF(H_Direct=1,IF(AKV17&lt;=0,0,IF(BV18&lt;=0,MIN(MAX(0,AB18-SUM(PR18:PU18)),AKV17),MIN(MAX(0,AB18-SUM(PR18:PU18)),AKV17-G18*MAX(0,BV18*AKV17-(WU18+AAH18))))),MIN(FI18,MAX(0,AB18-SUM(PR18:PU18))))</f>
        <v>0</v>
      </c>
      <c r="PW18" s="20" t="n">
        <f aca="false">IF(H_Direct=1,IF(AKW17&lt;=0,0,IF(BW18&lt;=0,MIN(MAX(0,AB18-SUM(PR18:PV18)),AKW17),MIN(MAX(0,AB18-SUM(PR18:PV18)),AKW17-G18*MAX(0,BW18*AKW17-(WV18+AAI18))))),MIN(FJ18,MAX(0,AB18-SUM(PR18:PV18))))</f>
        <v>0</v>
      </c>
      <c r="PX18" s="20" t="n">
        <f aca="false">IF(H_Direct=1,IF(AKX17&lt;=0,0,IF(BX18&lt;=0,MIN(MAX(0,AB18-SUM(PR18:PW18)),AKX17),MIN(MAX(0,AB18-SUM(PR18:PW18)),AKX17-G18*MAX(0,BX18*AKX17-(WW18+AAJ18))))),MIN(FK18,MAX(0,AB18-SUM(PR18:PW18))))</f>
        <v>0</v>
      </c>
      <c r="PY18" s="20" t="n">
        <f aca="false">IF(H_Direct=1,IF(AKY17&lt;=0,0,IF(BY18&lt;=0,MIN(MAX(0,AB18-SUM(PR18:PX18)),AKY17),MIN(MAX(0,AB18-SUM(PR18:PX18)),AKY17-G18*MAX(0,BY18*AKY17-(WX18+AAK18))))),MIN(FL18,MAX(0,AB18-SUM(PR18:PX18))))</f>
        <v>0</v>
      </c>
      <c r="PZ18" s="20" t="n">
        <f aca="false">IF(H_Direct=1,IF(AKZ17&lt;=0,0,IF(BZ18&lt;=0,MIN(MAX(0,AB18-SUM(PR18:PY18)),AKZ17),MIN(MAX(0,AB18-SUM(PR18:PY18)),AKZ17-G18*MAX(0,BZ18*AKZ17-(WY18+AAL18))))),MIN(FM18,MAX(0,AB18-SUM(PR18:PY18))))</f>
        <v>0</v>
      </c>
      <c r="QA18" s="20" t="n">
        <f aca="false">IF(H_Direct=1,IF(ALA17&lt;=0,0,IF(CA18&lt;=0,MIN(MAX(0,AB18-SUM(PR18:PZ18)),ALA17),MIN(MAX(0,AB18-SUM(PR18:PZ18)),ALA17-G18*MAX(0,CA18*ALA17-(WZ18+AAM18))))),MIN(FN18,MAX(0,AB18-SUM(PR18:PZ18))))</f>
        <v>0</v>
      </c>
      <c r="QB18" s="20" t="n">
        <f aca="false">IF(H_Direct=1,IF(ALB17&lt;=0,0,IF(CB18&lt;=0,MIN(MAX(0,AB18-SUM(PR18:QA18)),ALB17),MIN(MAX(0,AB18-SUM(PR18:QA18)),ALB17-G18*MAX(0,CB18*ALB17-(XA18+AAN18))))),MIN(FO18,MAX(0,AB18-SUM(PR18:QA18))))</f>
        <v>0</v>
      </c>
      <c r="QC18" s="20" t="n">
        <f aca="false">IF(H_Direct=1,IF((P18+S18)&lt;=0,0,IF(CC18&lt;=0,MIN(MAX(0,AB18-SUM(PR18:QB18)),(P18+S18)),MIN(MAX(0,AB18-SUM(PR18:QB18)),(P18+S18)-G18*MAX(0,CC18*(P18+S18)-(XB18+AAO18))))),MIN(FP18,MAX(0,AB18-SUM(PR18:QB18))))</f>
        <v>0</v>
      </c>
      <c r="QD18" s="20" t="n">
        <v>0</v>
      </c>
      <c r="QE18" s="20" t="n">
        <v>0</v>
      </c>
      <c r="QF18" s="20" t="n">
        <v>0</v>
      </c>
      <c r="QG18" s="20" t="n">
        <v>0</v>
      </c>
      <c r="QH18" s="20" t="n">
        <v>0</v>
      </c>
      <c r="QI18" s="20" t="n">
        <v>0</v>
      </c>
      <c r="QJ18" s="20" t="n">
        <v>0</v>
      </c>
      <c r="QK18" s="20" t="n">
        <v>0</v>
      </c>
      <c r="QL18" s="20" t="n">
        <v>0</v>
      </c>
      <c r="QM18" s="20" t="n">
        <v>0</v>
      </c>
      <c r="QN18" s="20" t="n">
        <v>0</v>
      </c>
      <c r="QO18" s="20" t="n">
        <v>0</v>
      </c>
      <c r="QP18" s="20" t="n">
        <v>0</v>
      </c>
      <c r="QQ18" s="20" t="n">
        <v>0</v>
      </c>
      <c r="QR18" s="20" t="n">
        <v>0</v>
      </c>
      <c r="QS18" s="20" t="n">
        <v>0</v>
      </c>
      <c r="QT18" s="20" t="n">
        <v>0</v>
      </c>
      <c r="QU18" s="20" t="n">
        <v>0</v>
      </c>
      <c r="QV18" s="20" t="n">
        <v>0</v>
      </c>
      <c r="QW18" s="20" t="n">
        <v>0</v>
      </c>
      <c r="QX18" s="20" t="n">
        <v>0</v>
      </c>
      <c r="QY18" s="20" t="n">
        <v>0</v>
      </c>
      <c r="QZ18" s="20" t="n">
        <v>0</v>
      </c>
      <c r="RA18" s="20" t="n">
        <v>0</v>
      </c>
      <c r="RB18" s="20" t="n">
        <v>0</v>
      </c>
      <c r="RC18" s="20" t="n">
        <v>0</v>
      </c>
      <c r="RD18" s="20" t="n">
        <v>0</v>
      </c>
      <c r="RE18" s="20" t="n">
        <v>0</v>
      </c>
      <c r="RF18" s="20" t="n">
        <v>0</v>
      </c>
      <c r="RG18" s="20" t="n">
        <v>0</v>
      </c>
      <c r="RH18" s="20" t="n">
        <v>0</v>
      </c>
      <c r="RI18" s="20" t="n">
        <v>0</v>
      </c>
      <c r="RJ18" s="20" t="n">
        <v>0</v>
      </c>
      <c r="RK18" s="20" t="n">
        <v>0</v>
      </c>
      <c r="RL18" s="20" t="n">
        <v>0</v>
      </c>
      <c r="RM18" s="20" t="n">
        <v>0</v>
      </c>
      <c r="RN18" s="20" t="n">
        <v>0</v>
      </c>
      <c r="RO18" s="20" t="n">
        <v>0</v>
      </c>
      <c r="RP18" s="20" t="n">
        <v>0</v>
      </c>
      <c r="RQ18" s="20" t="n">
        <v>0</v>
      </c>
      <c r="RR18" s="20" t="n">
        <v>0</v>
      </c>
      <c r="RS18" s="20" t="n">
        <v>0</v>
      </c>
      <c r="RT18" s="20" t="n">
        <v>0</v>
      </c>
      <c r="RU18" s="20" t="n">
        <v>0</v>
      </c>
      <c r="RV18" s="20" t="n">
        <v>0</v>
      </c>
      <c r="RW18" s="20" t="n">
        <v>0</v>
      </c>
      <c r="RX18" s="20" t="n">
        <v>0</v>
      </c>
      <c r="RY18" s="20" t="n">
        <v>0</v>
      </c>
      <c r="RZ18" s="20" t="n">
        <v>0</v>
      </c>
      <c r="SA18" s="20" t="n">
        <v>0</v>
      </c>
      <c r="SB18" s="20" t="n">
        <v>0</v>
      </c>
      <c r="SC18" s="20" t="n">
        <v>0</v>
      </c>
      <c r="SD18" s="20" t="n">
        <v>0</v>
      </c>
      <c r="SE18" s="20" t="n">
        <v>0</v>
      </c>
      <c r="SF18" s="20" t="n">
        <v>0</v>
      </c>
      <c r="SG18" s="20" t="n">
        <v>0</v>
      </c>
      <c r="SH18" s="20" t="n">
        <v>0</v>
      </c>
      <c r="SI18" s="20" t="n">
        <v>0</v>
      </c>
      <c r="SJ18" s="20" t="n">
        <v>0</v>
      </c>
      <c r="SK18" s="20" t="n">
        <v>0</v>
      </c>
      <c r="SL18" s="20" t="n">
        <v>0</v>
      </c>
      <c r="SM18" s="20" t="n">
        <v>0</v>
      </c>
      <c r="SN18" s="20" t="n">
        <v>0</v>
      </c>
      <c r="SO18" s="20" t="n">
        <v>0</v>
      </c>
      <c r="SP18" s="20" t="n">
        <v>0</v>
      </c>
      <c r="SQ18" s="20" t="n">
        <v>0</v>
      </c>
      <c r="SR18" s="20" t="n">
        <v>0</v>
      </c>
      <c r="SS18" s="20" t="n">
        <v>0</v>
      </c>
      <c r="ST18" s="20" t="n">
        <v>0</v>
      </c>
      <c r="SU18" s="20" t="n">
        <v>0</v>
      </c>
      <c r="SV18" s="20" t="n">
        <v>0</v>
      </c>
      <c r="SW18" s="20" t="n">
        <v>0</v>
      </c>
      <c r="SX18" s="20" t="n">
        <v>0</v>
      </c>
      <c r="SY18" s="20" t="n">
        <v>0</v>
      </c>
      <c r="SZ18" s="20" t="n">
        <v>0</v>
      </c>
      <c r="TA18" s="20" t="n">
        <v>0</v>
      </c>
      <c r="TB18" s="20" t="n">
        <v>0</v>
      </c>
      <c r="TC18" s="20" t="n">
        <v>0</v>
      </c>
      <c r="TD18" s="20" t="n">
        <v>0</v>
      </c>
      <c r="TE18" s="20" t="n">
        <f aca="false">IF(AKR17&lt;=0,0,IF(H_Direct=1,IF(BR18&lt;=0,PR18,IF(PR18&lt;=(H18+I18)/BR18,PR18,(PR18-G18*(H18+I18))/(1-G18*BR18))),PR18/(1-MAX(0,BR18)*H_Exit)))</f>
        <v>0</v>
      </c>
      <c r="TF18" s="20" t="n">
        <f aca="false">IF(AKS17&lt;=0,0,IF(H_Direct=1,IF(BS18&lt;=0,PS18,IF(PS18&lt;=(WR18+AAE18)/BS18,PS18,(PS18-G18*(WR18+AAE18))/(1-G18*BS18))),PS18/(1-MAX(0,BS18)*H_Exit)))</f>
        <v>0</v>
      </c>
      <c r="TG18" s="20" t="n">
        <f aca="false">IF(AKT17&lt;=0,0,IF(H_Direct=1,IF(BT18&lt;=0,PT18,IF(PT18&lt;=(WS18+AAF18)/BT18,PT18,(PT18-G18*(WS18+AAF18))/(1-G18*BT18))),PT18/(1-MAX(0,BT18)*H_Exit)))</f>
        <v>0</v>
      </c>
      <c r="TH18" s="20" t="n">
        <f aca="false">IF(AKU17&lt;=0,0,IF(H_Direct=1,IF(BU18&lt;=0,PU18,IF(PU18&lt;=(WT18+AAG18)/BU18,PU18,(PU18-G18*(WT18+AAG18))/(1-G18*BU18))),PU18/(1-MAX(0,BU18)*H_Exit)))</f>
        <v>0</v>
      </c>
      <c r="TI18" s="20" t="n">
        <f aca="false">IF(AKV17&lt;=0,0,IF(H_Direct=1,IF(BV18&lt;=0,PV18,IF(PV18&lt;=(WU18+AAH18)/BV18,PV18,(PV18-G18*(WU18+AAH18))/(1-G18*BV18))),PV18/(1-MAX(0,BV18)*H_Exit)))</f>
        <v>0</v>
      </c>
      <c r="TJ18" s="20" t="n">
        <f aca="false">IF(AKW17&lt;=0,0,IF(H_Direct=1,IF(BW18&lt;=0,PW18,IF(PW18&lt;=(WV18+AAI18)/BW18,PW18,(PW18-G18*(WV18+AAI18))/(1-G18*BW18))),PW18/(1-MAX(0,BW18)*H_Exit)))</f>
        <v>0</v>
      </c>
      <c r="TK18" s="20" t="n">
        <f aca="false">IF(AKX17&lt;=0,0,IF(H_Direct=1,IF(BX18&lt;=0,PX18,IF(PX18&lt;=(WW18+AAJ18)/BX18,PX18,(PX18-G18*(WW18+AAJ18))/(1-G18*BX18))),PX18/(1-MAX(0,BX18)*H_Exit)))</f>
        <v>0</v>
      </c>
      <c r="TL18" s="20" t="n">
        <f aca="false">IF(AKY17&lt;=0,0,IF(H_Direct=1,IF(BY18&lt;=0,PY18,IF(PY18&lt;=(WX18+AAK18)/BY18,PY18,(PY18-G18*(WX18+AAK18))/(1-G18*BY18))),PY18/(1-MAX(0,BY18)*H_Exit)))</f>
        <v>0</v>
      </c>
      <c r="TM18" s="20" t="n">
        <f aca="false">IF(AKZ17&lt;=0,0,IF(H_Direct=1,IF(BZ18&lt;=0,PZ18,IF(PZ18&lt;=(WY18+AAL18)/BZ18,PZ18,(PZ18-G18*(WY18+AAL18))/(1-G18*BZ18))),PZ18/(1-MAX(0,BZ18)*H_Exit)))</f>
        <v>0</v>
      </c>
      <c r="TN18" s="20" t="n">
        <f aca="false">IF(ALA17&lt;=0,0,IF(H_Direct=1,IF(CA18&lt;=0,QA18,IF(QA18&lt;=(WZ18+AAM18)/CA18,QA18,(QA18-G18*(WZ18+AAM18))/(1-G18*CA18))),QA18/(1-MAX(0,CA18)*H_Exit)))</f>
        <v>0</v>
      </c>
      <c r="TO18" s="20" t="n">
        <f aca="false">IF(ALB17&lt;=0,0,IF(H_Direct=1,IF(CB18&lt;=0,QB18,IF(QB18&lt;=(XA18+AAN18)/CB18,QB18,(QB18-G18*(XA18+AAN18))/(1-G18*CB18))),QB18/(1-MAX(0,CB18)*H_Exit)))</f>
        <v>0</v>
      </c>
      <c r="TP18" s="20" t="n">
        <f aca="false">IF((P18+S18)&lt;=0,0,IF(H_Direct=1,IF(CC18&lt;=0,QC18,IF(QC18&lt;=(XB18+AAO18)/CC18,QC18,(QC18-G18*(XB18+AAO18))/(1-G18*CC18))),QC18/(1-MAX(0,CC18)*H_Exit)))</f>
        <v>0</v>
      </c>
      <c r="TQ18" s="20" t="n">
        <v>0</v>
      </c>
      <c r="TR18" s="20" t="n">
        <v>0</v>
      </c>
      <c r="TS18" s="20" t="n">
        <v>0</v>
      </c>
      <c r="TT18" s="20" t="n">
        <v>0</v>
      </c>
      <c r="TU18" s="20" t="n">
        <v>0</v>
      </c>
      <c r="TV18" s="20" t="n">
        <v>0</v>
      </c>
      <c r="TW18" s="20" t="n">
        <v>0</v>
      </c>
      <c r="TX18" s="20" t="n">
        <v>0</v>
      </c>
      <c r="TY18" s="20" t="n">
        <v>0</v>
      </c>
      <c r="TZ18" s="20" t="n">
        <v>0</v>
      </c>
      <c r="UA18" s="20" t="n">
        <v>0</v>
      </c>
      <c r="UB18" s="20" t="n">
        <v>0</v>
      </c>
      <c r="UC18" s="20" t="n">
        <v>0</v>
      </c>
      <c r="UD18" s="20" t="n">
        <v>0</v>
      </c>
      <c r="UE18" s="20" t="n">
        <v>0</v>
      </c>
      <c r="UF18" s="20" t="n">
        <v>0</v>
      </c>
      <c r="UG18" s="20" t="n">
        <v>0</v>
      </c>
      <c r="UH18" s="20" t="n">
        <v>0</v>
      </c>
      <c r="UI18" s="20" t="n">
        <v>0</v>
      </c>
      <c r="UJ18" s="20" t="n">
        <v>0</v>
      </c>
      <c r="UK18" s="20" t="n">
        <v>0</v>
      </c>
      <c r="UL18" s="20" t="n">
        <v>0</v>
      </c>
      <c r="UM18" s="20" t="n">
        <v>0</v>
      </c>
      <c r="UN18" s="20" t="n">
        <v>0</v>
      </c>
      <c r="UO18" s="20" t="n">
        <v>0</v>
      </c>
      <c r="UP18" s="20" t="n">
        <v>0</v>
      </c>
      <c r="UQ18" s="20" t="n">
        <v>0</v>
      </c>
      <c r="UR18" s="20" t="n">
        <v>0</v>
      </c>
      <c r="US18" s="20" t="n">
        <v>0</v>
      </c>
      <c r="UT18" s="20" t="n">
        <v>0</v>
      </c>
      <c r="UU18" s="20" t="n">
        <v>0</v>
      </c>
      <c r="UV18" s="20" t="n">
        <v>0</v>
      </c>
      <c r="UW18" s="20" t="n">
        <v>0</v>
      </c>
      <c r="UX18" s="20" t="n">
        <v>0</v>
      </c>
      <c r="UY18" s="20" t="n">
        <v>0</v>
      </c>
      <c r="UZ18" s="20" t="n">
        <v>0</v>
      </c>
      <c r="VA18" s="20" t="n">
        <v>0</v>
      </c>
      <c r="VB18" s="20" t="n">
        <v>0</v>
      </c>
      <c r="VC18" s="20" t="n">
        <v>0</v>
      </c>
      <c r="VD18" s="20" t="n">
        <v>0</v>
      </c>
      <c r="VE18" s="20" t="n">
        <v>0</v>
      </c>
      <c r="VF18" s="20" t="n">
        <v>0</v>
      </c>
      <c r="VG18" s="20" t="n">
        <v>0</v>
      </c>
      <c r="VH18" s="20" t="n">
        <v>0</v>
      </c>
      <c r="VI18" s="20" t="n">
        <v>0</v>
      </c>
      <c r="VJ18" s="20" t="n">
        <v>0</v>
      </c>
      <c r="VK18" s="20" t="n">
        <v>0</v>
      </c>
      <c r="VL18" s="20" t="n">
        <v>0</v>
      </c>
      <c r="VM18" s="20" t="n">
        <v>0</v>
      </c>
      <c r="VN18" s="20" t="n">
        <v>0</v>
      </c>
      <c r="VO18" s="20" t="n">
        <v>0</v>
      </c>
      <c r="VP18" s="20" t="n">
        <v>0</v>
      </c>
      <c r="VQ18" s="20" t="n">
        <v>0</v>
      </c>
      <c r="VR18" s="20" t="n">
        <v>0</v>
      </c>
      <c r="VS18" s="20" t="n">
        <v>0</v>
      </c>
      <c r="VT18" s="20" t="n">
        <v>0</v>
      </c>
      <c r="VU18" s="20" t="n">
        <v>0</v>
      </c>
      <c r="VV18" s="20" t="n">
        <v>0</v>
      </c>
      <c r="VW18" s="20" t="n">
        <v>0</v>
      </c>
      <c r="VX18" s="20" t="n">
        <v>0</v>
      </c>
      <c r="VY18" s="20" t="n">
        <v>0</v>
      </c>
      <c r="VZ18" s="20" t="n">
        <v>0</v>
      </c>
      <c r="WA18" s="20" t="n">
        <v>0</v>
      </c>
      <c r="WB18" s="20" t="n">
        <v>0</v>
      </c>
      <c r="WC18" s="20" t="n">
        <v>0</v>
      </c>
      <c r="WD18" s="20" t="n">
        <v>0</v>
      </c>
      <c r="WE18" s="20" t="n">
        <v>0</v>
      </c>
      <c r="WF18" s="20" t="n">
        <v>0</v>
      </c>
      <c r="WG18" s="20" t="n">
        <v>0</v>
      </c>
      <c r="WH18" s="20" t="n">
        <v>0</v>
      </c>
      <c r="WI18" s="20" t="n">
        <v>0</v>
      </c>
      <c r="WJ18" s="20" t="n">
        <v>0</v>
      </c>
      <c r="WK18" s="20" t="n">
        <v>0</v>
      </c>
      <c r="WL18" s="20" t="n">
        <v>0</v>
      </c>
      <c r="WM18" s="20" t="n">
        <v>0</v>
      </c>
      <c r="WN18" s="20" t="n">
        <v>0</v>
      </c>
      <c r="WO18" s="20" t="n">
        <v>0</v>
      </c>
      <c r="WP18" s="20" t="n">
        <v>0</v>
      </c>
      <c r="WQ18" s="20" t="n">
        <v>0</v>
      </c>
      <c r="WR18" s="20" t="n">
        <f aca="false">IF(AND(H_Direct=1,BR18&gt;0),MAX(0,H18-(MIN(BR18*TE18,(H18+I18))-MIN(MIN(BR18*TE18,(H18+I18)),I18))),H18)</f>
        <v>1270</v>
      </c>
      <c r="WS18" s="20" t="n">
        <f aca="false">IF(AND(H_Direct=1,BS18&gt;0),MAX(0,WR18-(MIN(BS18*TF18,(WR18+AAE18))-MIN(MIN(BS18*TF18,(WR18+AAE18)),AAE18))),WR18)</f>
        <v>1270</v>
      </c>
      <c r="WT18" s="20" t="n">
        <f aca="false">IF(AND(H_Direct=1,BT18&gt;0),MAX(0,WS18-(MIN(BT18*TG18,(WS18+AAF18))-MIN(MIN(BT18*TG18,(WS18+AAF18)),AAF18))),WS18)</f>
        <v>1270</v>
      </c>
      <c r="WU18" s="20" t="n">
        <f aca="false">IF(AND(H_Direct=1,BU18&gt;0),MAX(0,WT18-(MIN(BU18*TH18,(WT18+AAG18))-MIN(MIN(BU18*TH18,(WT18+AAG18)),AAG18))),WT18)</f>
        <v>1270</v>
      </c>
      <c r="WV18" s="20" t="n">
        <f aca="false">IF(AND(H_Direct=1,BV18&gt;0),MAX(0,WU18-(MIN(BV18*TI18,(WU18+AAH18))-MIN(MIN(BV18*TI18,(WU18+AAH18)),AAH18))),WU18)</f>
        <v>1270</v>
      </c>
      <c r="WW18" s="20" t="n">
        <f aca="false">IF(AND(H_Direct=1,BW18&gt;0),MAX(0,WV18-(MIN(BW18*TJ18,(WV18+AAI18))-MIN(MIN(BW18*TJ18,(WV18+AAI18)),AAI18))),WV18)</f>
        <v>1270</v>
      </c>
      <c r="WX18" s="20" t="n">
        <f aca="false">IF(AND(H_Direct=1,BX18&gt;0),MAX(0,WW18-(MIN(BX18*TK18,(WW18+AAJ18))-MIN(MIN(BX18*TK18,(WW18+AAJ18)),AAJ18))),WW18)</f>
        <v>1270</v>
      </c>
      <c r="WY18" s="20" t="n">
        <f aca="false">IF(AND(H_Direct=1,BY18&gt;0),MAX(0,WX18-(MIN(BY18*TL18,(WX18+AAK18))-MIN(MIN(BY18*TL18,(WX18+AAK18)),AAK18))),WX18)</f>
        <v>1270</v>
      </c>
      <c r="WZ18" s="20" t="n">
        <f aca="false">IF(AND(H_Direct=1,BZ18&gt;0),MAX(0,WY18-(MIN(BZ18*TM18,(WY18+AAL18))-MIN(MIN(BZ18*TM18,(WY18+AAL18)),AAL18))),WY18)</f>
        <v>1270</v>
      </c>
      <c r="XA18" s="20" t="n">
        <f aca="false">IF(AND(H_Direct=1,CA18&gt;0),MAX(0,WZ18-(MIN(CA18*TN18,(WZ18+AAM18))-MIN(MIN(CA18*TN18,(WZ18+AAM18)),AAM18))),WZ18)</f>
        <v>1270</v>
      </c>
      <c r="XB18" s="20" t="n">
        <f aca="false">IF(AND(H_Direct=1,CB18&gt;0),MAX(0,XA18-(MIN(CB18*TO18,(XA18+AAN18))-MIN(MIN(CB18*TO18,(XA18+AAN18)),AAN18))),XA18)</f>
        <v>1270</v>
      </c>
      <c r="XC18" s="20" t="n">
        <f aca="false">IF(AND(H_Direct=1,CC18&gt;0),MAX(0,XB18-(MIN(CC18*TP18,(XB18+AAO18))-MIN(MIN(CC18*TP18,(XB18+AAO18)),AAO18))),XB18)</f>
        <v>1270</v>
      </c>
      <c r="XD18" s="20" t="n">
        <f aca="false">XC18</f>
        <v>1270</v>
      </c>
      <c r="XE18" s="20" t="n">
        <f aca="false">XD18</f>
        <v>1270</v>
      </c>
      <c r="XF18" s="20" t="n">
        <f aca="false">XE18</f>
        <v>1270</v>
      </c>
      <c r="XG18" s="20" t="n">
        <f aca="false">XF18</f>
        <v>1270</v>
      </c>
      <c r="XH18" s="20" t="n">
        <f aca="false">XG18</f>
        <v>1270</v>
      </c>
      <c r="XI18" s="20" t="n">
        <f aca="false">XH18</f>
        <v>1270</v>
      </c>
      <c r="XJ18" s="20" t="n">
        <f aca="false">XI18</f>
        <v>1270</v>
      </c>
      <c r="XK18" s="20" t="n">
        <f aca="false">XJ18</f>
        <v>1270</v>
      </c>
      <c r="XL18" s="20" t="n">
        <f aca="false">XK18</f>
        <v>1270</v>
      </c>
      <c r="XM18" s="20" t="n">
        <f aca="false">XL18</f>
        <v>1270</v>
      </c>
      <c r="XN18" s="20" t="n">
        <f aca="false">XM18</f>
        <v>1270</v>
      </c>
      <c r="XO18" s="20" t="n">
        <f aca="false">XN18</f>
        <v>1270</v>
      </c>
      <c r="XP18" s="20" t="n">
        <f aca="false">XO18</f>
        <v>1270</v>
      </c>
      <c r="XQ18" s="20" t="n">
        <f aca="false">XP18</f>
        <v>1270</v>
      </c>
      <c r="XR18" s="20" t="n">
        <f aca="false">XQ18</f>
        <v>1270</v>
      </c>
      <c r="XS18" s="20" t="n">
        <f aca="false">XR18</f>
        <v>1270</v>
      </c>
      <c r="XT18" s="20" t="n">
        <f aca="false">XS18</f>
        <v>1270</v>
      </c>
      <c r="XU18" s="20" t="n">
        <f aca="false">XT18</f>
        <v>1270</v>
      </c>
      <c r="XV18" s="20" t="n">
        <f aca="false">XU18</f>
        <v>1270</v>
      </c>
      <c r="XW18" s="20" t="n">
        <f aca="false">XV18</f>
        <v>1270</v>
      </c>
      <c r="XX18" s="20" t="n">
        <f aca="false">XW18</f>
        <v>1270</v>
      </c>
      <c r="XY18" s="20" t="n">
        <f aca="false">XX18</f>
        <v>1270</v>
      </c>
      <c r="XZ18" s="20" t="n">
        <f aca="false">XY18</f>
        <v>1270</v>
      </c>
      <c r="YA18" s="20" t="n">
        <f aca="false">XZ18</f>
        <v>1270</v>
      </c>
      <c r="YB18" s="20" t="n">
        <f aca="false">YA18</f>
        <v>1270</v>
      </c>
      <c r="YC18" s="20" t="n">
        <f aca="false">YB18</f>
        <v>1270</v>
      </c>
      <c r="YD18" s="20" t="n">
        <f aca="false">YC18</f>
        <v>1270</v>
      </c>
      <c r="YE18" s="20" t="n">
        <f aca="false">YD18</f>
        <v>1270</v>
      </c>
      <c r="YF18" s="20" t="n">
        <f aca="false">YE18</f>
        <v>1270</v>
      </c>
      <c r="YG18" s="20" t="n">
        <f aca="false">YF18</f>
        <v>1270</v>
      </c>
      <c r="YH18" s="20" t="n">
        <f aca="false">YG18</f>
        <v>1270</v>
      </c>
      <c r="YI18" s="20" t="n">
        <f aca="false">YH18</f>
        <v>1270</v>
      </c>
      <c r="YJ18" s="20" t="n">
        <f aca="false">YI18</f>
        <v>1270</v>
      </c>
      <c r="YK18" s="20" t="n">
        <f aca="false">YJ18</f>
        <v>1270</v>
      </c>
      <c r="YL18" s="20" t="n">
        <f aca="false">YK18</f>
        <v>1270</v>
      </c>
      <c r="YM18" s="20" t="n">
        <f aca="false">YL18</f>
        <v>1270</v>
      </c>
      <c r="YN18" s="20" t="n">
        <f aca="false">YM18</f>
        <v>1270</v>
      </c>
      <c r="YO18" s="20" t="n">
        <f aca="false">YN18</f>
        <v>1270</v>
      </c>
      <c r="YP18" s="20" t="n">
        <f aca="false">YO18</f>
        <v>1270</v>
      </c>
      <c r="YQ18" s="20" t="n">
        <f aca="false">YP18</f>
        <v>1270</v>
      </c>
      <c r="YR18" s="20" t="n">
        <f aca="false">YQ18</f>
        <v>1270</v>
      </c>
      <c r="YS18" s="20" t="n">
        <f aca="false">YR18</f>
        <v>1270</v>
      </c>
      <c r="YT18" s="20" t="n">
        <f aca="false">YS18</f>
        <v>1270</v>
      </c>
      <c r="YU18" s="20" t="n">
        <f aca="false">YT18</f>
        <v>1270</v>
      </c>
      <c r="YV18" s="20" t="n">
        <f aca="false">YU18</f>
        <v>1270</v>
      </c>
      <c r="YW18" s="20" t="n">
        <f aca="false">YV18</f>
        <v>1270</v>
      </c>
      <c r="YX18" s="20" t="n">
        <f aca="false">YW18</f>
        <v>1270</v>
      </c>
      <c r="YY18" s="20" t="n">
        <f aca="false">YX18</f>
        <v>1270</v>
      </c>
      <c r="YZ18" s="20" t="n">
        <f aca="false">YY18</f>
        <v>1270</v>
      </c>
      <c r="ZA18" s="20" t="n">
        <f aca="false">YZ18</f>
        <v>1270</v>
      </c>
      <c r="ZB18" s="20" t="n">
        <f aca="false">ZA18</f>
        <v>1270</v>
      </c>
      <c r="ZC18" s="20" t="n">
        <f aca="false">ZB18</f>
        <v>1270</v>
      </c>
      <c r="ZD18" s="20" t="n">
        <f aca="false">ZC18</f>
        <v>1270</v>
      </c>
      <c r="ZE18" s="20" t="n">
        <f aca="false">ZD18</f>
        <v>1270</v>
      </c>
      <c r="ZF18" s="20" t="n">
        <f aca="false">ZE18</f>
        <v>1270</v>
      </c>
      <c r="ZG18" s="20" t="n">
        <f aca="false">ZF18</f>
        <v>1270</v>
      </c>
      <c r="ZH18" s="20" t="n">
        <f aca="false">ZG18</f>
        <v>1270</v>
      </c>
      <c r="ZI18" s="20" t="n">
        <f aca="false">ZH18</f>
        <v>1270</v>
      </c>
      <c r="ZJ18" s="20" t="n">
        <f aca="false">ZI18</f>
        <v>1270</v>
      </c>
      <c r="ZK18" s="20" t="n">
        <f aca="false">ZJ18</f>
        <v>1270</v>
      </c>
      <c r="ZL18" s="20" t="n">
        <f aca="false">ZK18</f>
        <v>1270</v>
      </c>
      <c r="ZM18" s="20" t="n">
        <f aca="false">ZL18</f>
        <v>1270</v>
      </c>
      <c r="ZN18" s="20" t="n">
        <f aca="false">ZM18</f>
        <v>1270</v>
      </c>
      <c r="ZO18" s="20" t="n">
        <f aca="false">ZN18</f>
        <v>1270</v>
      </c>
      <c r="ZP18" s="20" t="n">
        <f aca="false">ZO18</f>
        <v>1270</v>
      </c>
      <c r="ZQ18" s="20" t="n">
        <f aca="false">ZP18</f>
        <v>1270</v>
      </c>
      <c r="ZR18" s="20" t="n">
        <f aca="false">ZQ18</f>
        <v>1270</v>
      </c>
      <c r="ZS18" s="20" t="n">
        <f aca="false">ZR18</f>
        <v>1270</v>
      </c>
      <c r="ZT18" s="20" t="n">
        <f aca="false">ZS18</f>
        <v>1270</v>
      </c>
      <c r="ZU18" s="20" t="n">
        <f aca="false">ZT18</f>
        <v>1270</v>
      </c>
      <c r="ZV18" s="20" t="n">
        <f aca="false">ZU18</f>
        <v>1270</v>
      </c>
      <c r="ZW18" s="20" t="n">
        <f aca="false">ZV18</f>
        <v>1270</v>
      </c>
      <c r="ZX18" s="20" t="n">
        <f aca="false">ZW18</f>
        <v>1270</v>
      </c>
      <c r="ZY18" s="20" t="n">
        <f aca="false">ZX18</f>
        <v>1270</v>
      </c>
      <c r="ZZ18" s="20" t="n">
        <f aca="false">ZY18</f>
        <v>1270</v>
      </c>
      <c r="AAA18" s="20" t="n">
        <f aca="false">ZZ18</f>
        <v>1270</v>
      </c>
      <c r="AAB18" s="20" t="n">
        <f aca="false">AAA18</f>
        <v>1270</v>
      </c>
      <c r="AAC18" s="20" t="n">
        <f aca="false">AAB18</f>
        <v>1270</v>
      </c>
      <c r="AAD18" s="20" t="n">
        <f aca="false">AAC18</f>
        <v>1270</v>
      </c>
      <c r="AAE18" s="20" t="n">
        <f aca="false">IF(H_Direct=1,IF(BR18&lt;=0,I18-BR18*TE18,I18-MIN(MIN(BR18*TE18,(H18+I18)),I18)),I18)</f>
        <v>0</v>
      </c>
      <c r="AAF18" s="20" t="n">
        <f aca="false">IF(H_Direct=1,IF(BS18&lt;=0,AAE18-BS18*TF18,AAE18-MIN(MIN(BS18*TF18,(WR18+AAE18)),AAE18)),AAE18)</f>
        <v>0</v>
      </c>
      <c r="AAG18" s="20" t="n">
        <f aca="false">IF(H_Direct=1,IF(BT18&lt;=0,AAF18-BT18*TG18,AAF18-MIN(MIN(BT18*TG18,(WS18+AAF18)),AAF18)),AAF18)</f>
        <v>0</v>
      </c>
      <c r="AAH18" s="20" t="n">
        <f aca="false">IF(H_Direct=1,IF(BU18&lt;=0,AAG18-BU18*TH18,AAG18-MIN(MIN(BU18*TH18,(WT18+AAG18)),AAG18)),AAG18)</f>
        <v>0</v>
      </c>
      <c r="AAI18" s="20" t="n">
        <f aca="false">IF(H_Direct=1,IF(BV18&lt;=0,AAH18-BV18*TI18,AAH18-MIN(MIN(BV18*TI18,(WU18+AAH18)),AAH18)),AAH18)</f>
        <v>0</v>
      </c>
      <c r="AAJ18" s="20" t="n">
        <f aca="false">IF(H_Direct=1,IF(BW18&lt;=0,AAI18-BW18*TJ18,AAI18-MIN(MIN(BW18*TJ18,(WV18+AAI18)),AAI18)),AAI18)</f>
        <v>0</v>
      </c>
      <c r="AAK18" s="20" t="n">
        <f aca="false">IF(H_Direct=1,IF(BX18&lt;=0,AAJ18-BX18*TK18,AAJ18-MIN(MIN(BX18*TK18,(WW18+AAJ18)),AAJ18)),AAJ18)</f>
        <v>0</v>
      </c>
      <c r="AAL18" s="20" t="n">
        <f aca="false">IF(H_Direct=1,IF(BY18&lt;=0,AAK18-BY18*TL18,AAK18-MIN(MIN(BY18*TL18,(WX18+AAK18)),AAK18)),AAK18)</f>
        <v>0</v>
      </c>
      <c r="AAM18" s="20" t="n">
        <f aca="false">IF(H_Direct=1,IF(BZ18&lt;=0,AAL18-BZ18*TM18,AAL18-MIN(MIN(BZ18*TM18,(WY18+AAL18)),AAL18)),AAL18)</f>
        <v>0</v>
      </c>
      <c r="AAN18" s="20" t="n">
        <f aca="false">IF(H_Direct=1,IF(CA18&lt;=0,AAM18-CA18*TN18,AAM18-MIN(MIN(CA18*TN18,(WZ18+AAM18)),AAM18)),AAM18)</f>
        <v>0</v>
      </c>
      <c r="AAO18" s="20" t="n">
        <f aca="false">IF(H_Direct=1,IF(CB18&lt;=0,AAN18-CB18*TO18,AAN18-MIN(MIN(CB18*TO18,(XA18+AAN18)),AAN18)),AAN18)</f>
        <v>0</v>
      </c>
      <c r="AAP18" s="20" t="n">
        <f aca="false">IF(H_Direct=1,IF(CC18&lt;=0,AAO18-CC18*TP18,AAO18-MIN(MIN(CC18*TP18,(XB18+AAO18)),AAO18)),AAO18)</f>
        <v>0</v>
      </c>
      <c r="AAQ18" s="20" t="n">
        <f aca="false">AAP18</f>
        <v>0</v>
      </c>
      <c r="AAR18" s="20" t="n">
        <f aca="false">AAQ18</f>
        <v>0</v>
      </c>
      <c r="AAS18" s="20" t="n">
        <f aca="false">AAR18</f>
        <v>0</v>
      </c>
      <c r="AAT18" s="20" t="n">
        <f aca="false">AAS18</f>
        <v>0</v>
      </c>
      <c r="AAU18" s="20" t="n">
        <f aca="false">AAT18</f>
        <v>0</v>
      </c>
      <c r="AAV18" s="20" t="n">
        <f aca="false">AAU18</f>
        <v>0</v>
      </c>
      <c r="AAW18" s="20" t="n">
        <f aca="false">AAV18</f>
        <v>0</v>
      </c>
      <c r="AAX18" s="20" t="n">
        <f aca="false">AAW18</f>
        <v>0</v>
      </c>
      <c r="AAY18" s="20" t="n">
        <f aca="false">AAX18</f>
        <v>0</v>
      </c>
      <c r="AAZ18" s="20" t="n">
        <f aca="false">AAY18</f>
        <v>0</v>
      </c>
      <c r="ABA18" s="20" t="n">
        <f aca="false">AAZ18</f>
        <v>0</v>
      </c>
      <c r="ABB18" s="20" t="n">
        <f aca="false">ABA18</f>
        <v>0</v>
      </c>
      <c r="ABC18" s="20" t="n">
        <f aca="false">ABB18</f>
        <v>0</v>
      </c>
      <c r="ABD18" s="20" t="n">
        <f aca="false">ABC18</f>
        <v>0</v>
      </c>
      <c r="ABE18" s="20" t="n">
        <f aca="false">ABD18</f>
        <v>0</v>
      </c>
      <c r="ABF18" s="20" t="n">
        <f aca="false">ABE18</f>
        <v>0</v>
      </c>
      <c r="ABG18" s="20" t="n">
        <f aca="false">ABF18</f>
        <v>0</v>
      </c>
      <c r="ABH18" s="20" t="n">
        <f aca="false">ABG18</f>
        <v>0</v>
      </c>
      <c r="ABI18" s="20" t="n">
        <f aca="false">ABH18</f>
        <v>0</v>
      </c>
      <c r="ABJ18" s="20" t="n">
        <f aca="false">ABI18</f>
        <v>0</v>
      </c>
      <c r="ABK18" s="20" t="n">
        <f aca="false">ABJ18</f>
        <v>0</v>
      </c>
      <c r="ABL18" s="20" t="n">
        <f aca="false">ABK18</f>
        <v>0</v>
      </c>
      <c r="ABM18" s="20" t="n">
        <f aca="false">ABL18</f>
        <v>0</v>
      </c>
      <c r="ABN18" s="20" t="n">
        <f aca="false">ABM18</f>
        <v>0</v>
      </c>
      <c r="ABO18" s="20" t="n">
        <f aca="false">ABN18</f>
        <v>0</v>
      </c>
      <c r="ABP18" s="20" t="n">
        <f aca="false">ABO18</f>
        <v>0</v>
      </c>
      <c r="ABQ18" s="20" t="n">
        <f aca="false">ABP18</f>
        <v>0</v>
      </c>
      <c r="ABR18" s="20" t="n">
        <f aca="false">ABQ18</f>
        <v>0</v>
      </c>
      <c r="ABS18" s="20" t="n">
        <f aca="false">ABR18</f>
        <v>0</v>
      </c>
      <c r="ABT18" s="20" t="n">
        <f aca="false">ABS18</f>
        <v>0</v>
      </c>
      <c r="ABU18" s="20" t="n">
        <f aca="false">ABT18</f>
        <v>0</v>
      </c>
      <c r="ABV18" s="20" t="n">
        <f aca="false">ABU18</f>
        <v>0</v>
      </c>
      <c r="ABW18" s="20" t="n">
        <f aca="false">ABV18</f>
        <v>0</v>
      </c>
      <c r="ABX18" s="20" t="n">
        <f aca="false">ABW18</f>
        <v>0</v>
      </c>
      <c r="ABY18" s="20" t="n">
        <f aca="false">ABX18</f>
        <v>0</v>
      </c>
      <c r="ABZ18" s="20" t="n">
        <f aca="false">ABY18</f>
        <v>0</v>
      </c>
      <c r="ACA18" s="20" t="n">
        <f aca="false">ABZ18</f>
        <v>0</v>
      </c>
      <c r="ACB18" s="20" t="n">
        <f aca="false">ACA18</f>
        <v>0</v>
      </c>
      <c r="ACC18" s="20" t="n">
        <f aca="false">ACB18</f>
        <v>0</v>
      </c>
      <c r="ACD18" s="20" t="n">
        <f aca="false">ACC18</f>
        <v>0</v>
      </c>
      <c r="ACE18" s="20" t="n">
        <f aca="false">ACD18</f>
        <v>0</v>
      </c>
      <c r="ACF18" s="20" t="n">
        <f aca="false">ACE18</f>
        <v>0</v>
      </c>
      <c r="ACG18" s="20" t="n">
        <f aca="false">ACF18</f>
        <v>0</v>
      </c>
      <c r="ACH18" s="20" t="n">
        <f aca="false">ACG18</f>
        <v>0</v>
      </c>
      <c r="ACI18" s="20" t="n">
        <f aca="false">ACH18</f>
        <v>0</v>
      </c>
      <c r="ACJ18" s="20" t="n">
        <f aca="false">ACI18</f>
        <v>0</v>
      </c>
      <c r="ACK18" s="20" t="n">
        <f aca="false">ACJ18</f>
        <v>0</v>
      </c>
      <c r="ACL18" s="20" t="n">
        <f aca="false">ACK18</f>
        <v>0</v>
      </c>
      <c r="ACM18" s="20" t="n">
        <f aca="false">ACL18</f>
        <v>0</v>
      </c>
      <c r="ACN18" s="20" t="n">
        <f aca="false">ACM18</f>
        <v>0</v>
      </c>
      <c r="ACO18" s="20" t="n">
        <f aca="false">ACN18</f>
        <v>0</v>
      </c>
      <c r="ACP18" s="20" t="n">
        <f aca="false">ACO18</f>
        <v>0</v>
      </c>
      <c r="ACQ18" s="20" t="n">
        <f aca="false">ACP18</f>
        <v>0</v>
      </c>
      <c r="ACR18" s="20" t="n">
        <f aca="false">ACQ18</f>
        <v>0</v>
      </c>
      <c r="ACS18" s="20" t="n">
        <f aca="false">ACR18</f>
        <v>0</v>
      </c>
      <c r="ACT18" s="20" t="n">
        <f aca="false">ACS18</f>
        <v>0</v>
      </c>
      <c r="ACU18" s="20" t="n">
        <f aca="false">ACT18</f>
        <v>0</v>
      </c>
      <c r="ACV18" s="20" t="n">
        <f aca="false">ACU18</f>
        <v>0</v>
      </c>
      <c r="ACW18" s="20" t="n">
        <f aca="false">ACV18</f>
        <v>0</v>
      </c>
      <c r="ACX18" s="20" t="n">
        <f aca="false">ACW18</f>
        <v>0</v>
      </c>
      <c r="ACY18" s="20" t="n">
        <f aca="false">ACX18</f>
        <v>0</v>
      </c>
      <c r="ACZ18" s="20" t="n">
        <f aca="false">ACY18</f>
        <v>0</v>
      </c>
      <c r="ADA18" s="20" t="n">
        <f aca="false">ACZ18</f>
        <v>0</v>
      </c>
      <c r="ADB18" s="20" t="n">
        <f aca="false">ADA18</f>
        <v>0</v>
      </c>
      <c r="ADC18" s="20" t="n">
        <f aca="false">ADB18</f>
        <v>0</v>
      </c>
      <c r="ADD18" s="20" t="n">
        <f aca="false">ADC18</f>
        <v>0</v>
      </c>
      <c r="ADE18" s="20" t="n">
        <f aca="false">ADD18</f>
        <v>0</v>
      </c>
      <c r="ADF18" s="20" t="n">
        <f aca="false">ADE18</f>
        <v>0</v>
      </c>
      <c r="ADG18" s="20" t="n">
        <f aca="false">ADF18</f>
        <v>0</v>
      </c>
      <c r="ADH18" s="20" t="n">
        <f aca="false">ADG18</f>
        <v>0</v>
      </c>
      <c r="ADI18" s="20" t="n">
        <f aca="false">ADH18</f>
        <v>0</v>
      </c>
      <c r="ADJ18" s="20" t="n">
        <f aca="false">ADI18</f>
        <v>0</v>
      </c>
      <c r="ADK18" s="20" t="n">
        <f aca="false">ADJ18</f>
        <v>0</v>
      </c>
      <c r="ADL18" s="20" t="n">
        <f aca="false">ADK18</f>
        <v>0</v>
      </c>
      <c r="ADM18" s="20" t="n">
        <f aca="false">ADL18</f>
        <v>0</v>
      </c>
      <c r="ADN18" s="20" t="n">
        <f aca="false">ADM18</f>
        <v>0</v>
      </c>
      <c r="ADO18" s="20" t="n">
        <f aca="false">ADN18</f>
        <v>0</v>
      </c>
      <c r="ADP18" s="20" t="n">
        <f aca="false">ADO18</f>
        <v>0</v>
      </c>
      <c r="ADQ18" s="20" t="n">
        <f aca="false">ADP18</f>
        <v>0</v>
      </c>
      <c r="ADR18" s="20" t="n">
        <f aca="false">(AKR17-TE18+0)*(1+BQ18)</f>
        <v>0</v>
      </c>
      <c r="ADS18" s="20" t="n">
        <f aca="false">(AKS17-TF18+0)*(1+BQ18)</f>
        <v>0</v>
      </c>
      <c r="ADT18" s="20" t="n">
        <f aca="false">(AKT17-TG18+0)*(1+BQ18)</f>
        <v>0</v>
      </c>
      <c r="ADU18" s="20" t="n">
        <f aca="false">(AKU17-TH18+0)*(1+BQ18)</f>
        <v>0</v>
      </c>
      <c r="ADV18" s="20" t="n">
        <f aca="false">(AKV17-TI18+0)*(1+BQ18)</f>
        <v>0</v>
      </c>
      <c r="ADW18" s="20" t="n">
        <f aca="false">(AKW17-TJ18+0)*(1+BQ18)</f>
        <v>0</v>
      </c>
      <c r="ADX18" s="20" t="n">
        <f aca="false">(AKX17-TK18+0)*(1+BQ18)</f>
        <v>0</v>
      </c>
      <c r="ADY18" s="20" t="n">
        <f aca="false">(AKY17-TL18+0)*(1+BQ18)</f>
        <v>0</v>
      </c>
      <c r="ADZ18" s="20" t="n">
        <f aca="false">(AKZ17-TM18+0)*(1+BQ18)</f>
        <v>0</v>
      </c>
      <c r="AEA18" s="20" t="n">
        <f aca="false">(ALA17-TN18+0)*(1+BQ18)</f>
        <v>0</v>
      </c>
      <c r="AEB18" s="20" t="n">
        <f aca="false">(ALB17-TO18+0)*(1+BQ18)</f>
        <v>0</v>
      </c>
      <c r="AEC18" s="20" t="n">
        <f aca="false">((P18+S18)-TP18+BE18)*(1+BQ18)</f>
        <v>568.543997101271</v>
      </c>
      <c r="AED18" s="20" t="n">
        <v>0</v>
      </c>
      <c r="AEE18" s="20" t="n">
        <v>0</v>
      </c>
      <c r="AEF18" s="20" t="n">
        <v>0</v>
      </c>
      <c r="AEG18" s="20" t="n">
        <v>0</v>
      </c>
      <c r="AEH18" s="20" t="n">
        <v>0</v>
      </c>
      <c r="AEI18" s="20" t="n">
        <v>0</v>
      </c>
      <c r="AEJ18" s="20" t="n">
        <v>0</v>
      </c>
      <c r="AEK18" s="20" t="n">
        <v>0</v>
      </c>
      <c r="AEL18" s="20" t="n">
        <v>0</v>
      </c>
      <c r="AEM18" s="20" t="n">
        <v>0</v>
      </c>
      <c r="AEN18" s="20" t="n">
        <v>0</v>
      </c>
      <c r="AEO18" s="20" t="n">
        <v>0</v>
      </c>
      <c r="AEP18" s="20" t="n">
        <v>0</v>
      </c>
      <c r="AEQ18" s="20" t="n">
        <v>0</v>
      </c>
      <c r="AER18" s="20" t="n">
        <v>0</v>
      </c>
      <c r="AES18" s="20" t="n">
        <v>0</v>
      </c>
      <c r="AET18" s="20" t="n">
        <v>0</v>
      </c>
      <c r="AEU18" s="20" t="n">
        <v>0</v>
      </c>
      <c r="AEV18" s="20" t="n">
        <v>0</v>
      </c>
      <c r="AEW18" s="20" t="n">
        <v>0</v>
      </c>
      <c r="AEX18" s="20" t="n">
        <v>0</v>
      </c>
      <c r="AEY18" s="20" t="n">
        <v>0</v>
      </c>
      <c r="AEZ18" s="20" t="n">
        <v>0</v>
      </c>
      <c r="AFA18" s="20" t="n">
        <v>0</v>
      </c>
      <c r="AFB18" s="20" t="n">
        <v>0</v>
      </c>
      <c r="AFC18" s="20" t="n">
        <v>0</v>
      </c>
      <c r="AFD18" s="20" t="n">
        <v>0</v>
      </c>
      <c r="AFE18" s="20" t="n">
        <v>0</v>
      </c>
      <c r="AFF18" s="20" t="n">
        <v>0</v>
      </c>
      <c r="AFG18" s="20" t="n">
        <v>0</v>
      </c>
      <c r="AFH18" s="20" t="n">
        <v>0</v>
      </c>
      <c r="AFI18" s="20" t="n">
        <v>0</v>
      </c>
      <c r="AFJ18" s="20" t="n">
        <v>0</v>
      </c>
      <c r="AFK18" s="20" t="n">
        <v>0</v>
      </c>
      <c r="AFL18" s="20" t="n">
        <v>0</v>
      </c>
      <c r="AFM18" s="20" t="n">
        <v>0</v>
      </c>
      <c r="AFN18" s="20" t="n">
        <v>0</v>
      </c>
      <c r="AFO18" s="20" t="n">
        <v>0</v>
      </c>
      <c r="AFP18" s="20" t="n">
        <v>0</v>
      </c>
      <c r="AFQ18" s="20" t="n">
        <v>0</v>
      </c>
      <c r="AFR18" s="20" t="n">
        <v>0</v>
      </c>
      <c r="AFS18" s="20" t="n">
        <v>0</v>
      </c>
      <c r="AFT18" s="20" t="n">
        <v>0</v>
      </c>
      <c r="AFU18" s="20" t="n">
        <v>0</v>
      </c>
      <c r="AFV18" s="20" t="n">
        <v>0</v>
      </c>
      <c r="AFW18" s="20" t="n">
        <v>0</v>
      </c>
      <c r="AFX18" s="20" t="n">
        <v>0</v>
      </c>
      <c r="AFY18" s="20" t="n">
        <v>0</v>
      </c>
      <c r="AFZ18" s="20" t="n">
        <v>0</v>
      </c>
      <c r="AGA18" s="20" t="n">
        <v>0</v>
      </c>
      <c r="AGB18" s="20" t="n">
        <v>0</v>
      </c>
      <c r="AGC18" s="20" t="n">
        <v>0</v>
      </c>
      <c r="AGD18" s="20" t="n">
        <v>0</v>
      </c>
      <c r="AGE18" s="20" t="n">
        <v>0</v>
      </c>
      <c r="AGF18" s="20" t="n">
        <v>0</v>
      </c>
      <c r="AGG18" s="20" t="n">
        <v>0</v>
      </c>
      <c r="AGH18" s="20" t="n">
        <v>0</v>
      </c>
      <c r="AGI18" s="20" t="n">
        <v>0</v>
      </c>
      <c r="AGJ18" s="20" t="n">
        <v>0</v>
      </c>
      <c r="AGK18" s="20" t="n">
        <v>0</v>
      </c>
      <c r="AGL18" s="20" t="n">
        <v>0</v>
      </c>
      <c r="AGM18" s="20" t="n">
        <v>0</v>
      </c>
      <c r="AGN18" s="20" t="n">
        <v>0</v>
      </c>
      <c r="AGO18" s="20" t="n">
        <v>0</v>
      </c>
      <c r="AGP18" s="20" t="n">
        <v>0</v>
      </c>
      <c r="AGQ18" s="20" t="n">
        <v>0</v>
      </c>
      <c r="AGR18" s="20" t="n">
        <v>0</v>
      </c>
      <c r="AGS18" s="20" t="n">
        <v>0</v>
      </c>
      <c r="AGT18" s="20" t="n">
        <v>0</v>
      </c>
      <c r="AGU18" s="20" t="n">
        <v>0</v>
      </c>
      <c r="AGV18" s="20" t="n">
        <v>0</v>
      </c>
      <c r="AGW18" s="20" t="n">
        <v>0</v>
      </c>
      <c r="AGX18" s="20" t="n">
        <v>0</v>
      </c>
      <c r="AGY18" s="20" t="n">
        <v>0</v>
      </c>
      <c r="AGZ18" s="20" t="n">
        <v>0</v>
      </c>
      <c r="AHA18" s="20" t="n">
        <v>0</v>
      </c>
      <c r="AHB18" s="20" t="n">
        <v>0</v>
      </c>
      <c r="AHC18" s="20" t="n">
        <v>0</v>
      </c>
      <c r="AHD18" s="20" t="n">
        <v>0</v>
      </c>
      <c r="AHE18" s="20" t="n">
        <f aca="false">IF(AKR17&gt;0,AOE17-AOE17*TE18/AKR17,0)+0</f>
        <v>0</v>
      </c>
      <c r="AHF18" s="20" t="n">
        <f aca="false">IF(AKS17&gt;0,AOF17-AOF17*TF18/AKS17,0)+0</f>
        <v>0</v>
      </c>
      <c r="AHG18" s="20" t="n">
        <f aca="false">IF(AKT17&gt;0,AOG17-AOG17*TG18/AKT17,0)+0</f>
        <v>0</v>
      </c>
      <c r="AHH18" s="20" t="n">
        <f aca="false">IF(AKU17&gt;0,AOH17-AOH17*TH18/AKU17,0)+0</f>
        <v>0</v>
      </c>
      <c r="AHI18" s="20" t="n">
        <f aca="false">IF(AKV17&gt;0,AOI17-AOI17*TI18/AKV17,0)+0</f>
        <v>0</v>
      </c>
      <c r="AHJ18" s="20" t="n">
        <f aca="false">IF(AKW17&gt;0,AOJ17-AOJ17*TJ18/AKW17,0)+0</f>
        <v>0</v>
      </c>
      <c r="AHK18" s="20" t="n">
        <f aca="false">IF(AKX17&gt;0,AOK17-AOK17*TK18/AKX17,0)+0</f>
        <v>0</v>
      </c>
      <c r="AHL18" s="20" t="n">
        <f aca="false">IF(AKY17&gt;0,AOL17-AOL17*TL18/AKY17,0)+0</f>
        <v>0</v>
      </c>
      <c r="AHM18" s="20" t="n">
        <f aca="false">IF(AKZ17&gt;0,AOM17-AOM17*TM18/AKZ17,0)+0</f>
        <v>0</v>
      </c>
      <c r="AHN18" s="20" t="n">
        <f aca="false">IF(ALA17&gt;0,AON17-AON17*TN18/ALA17,0)+0</f>
        <v>0</v>
      </c>
      <c r="AHO18" s="20" t="n">
        <f aca="false">IF(ALB17&gt;0,AOO17-AOO17*TO18/ALB17,0)+0</f>
        <v>0</v>
      </c>
      <c r="AHP18" s="20" t="n">
        <f aca="false">IF((P18+S18)&gt;0,(P18+S18)-(P18+S18)*TP18/(P18+S18),0)+BE18</f>
        <v>546.676920289684</v>
      </c>
      <c r="AHQ18" s="20" t="n">
        <v>0</v>
      </c>
      <c r="AHR18" s="20" t="n">
        <v>0</v>
      </c>
      <c r="AHS18" s="20" t="n">
        <v>0</v>
      </c>
      <c r="AHT18" s="20" t="n">
        <v>0</v>
      </c>
      <c r="AHU18" s="20" t="n">
        <v>0</v>
      </c>
      <c r="AHV18" s="20" t="n">
        <v>0</v>
      </c>
      <c r="AHW18" s="20" t="n">
        <v>0</v>
      </c>
      <c r="AHX18" s="20" t="n">
        <v>0</v>
      </c>
      <c r="AHY18" s="20" t="n">
        <v>0</v>
      </c>
      <c r="AHZ18" s="20" t="n">
        <v>0</v>
      </c>
      <c r="AIA18" s="20" t="n">
        <v>0</v>
      </c>
      <c r="AIB18" s="20" t="n">
        <v>0</v>
      </c>
      <c r="AIC18" s="20" t="n">
        <v>0</v>
      </c>
      <c r="AID18" s="20" t="n">
        <v>0</v>
      </c>
      <c r="AIE18" s="20" t="n">
        <v>0</v>
      </c>
      <c r="AIF18" s="20" t="n">
        <v>0</v>
      </c>
      <c r="AIG18" s="20" t="n">
        <v>0</v>
      </c>
      <c r="AIH18" s="20" t="n">
        <v>0</v>
      </c>
      <c r="AII18" s="20" t="n">
        <v>0</v>
      </c>
      <c r="AIJ18" s="20" t="n">
        <v>0</v>
      </c>
      <c r="AIK18" s="20" t="n">
        <v>0</v>
      </c>
      <c r="AIL18" s="20" t="n">
        <v>0</v>
      </c>
      <c r="AIM18" s="20" t="n">
        <v>0</v>
      </c>
      <c r="AIN18" s="20" t="n">
        <v>0</v>
      </c>
      <c r="AIO18" s="20" t="n">
        <v>0</v>
      </c>
      <c r="AIP18" s="20" t="n">
        <v>0</v>
      </c>
      <c r="AIQ18" s="20" t="n">
        <v>0</v>
      </c>
      <c r="AIR18" s="20" t="n">
        <v>0</v>
      </c>
      <c r="AIS18" s="20" t="n">
        <v>0</v>
      </c>
      <c r="AIT18" s="20" t="n">
        <v>0</v>
      </c>
      <c r="AIU18" s="20" t="n">
        <v>0</v>
      </c>
      <c r="AIV18" s="20" t="n">
        <v>0</v>
      </c>
      <c r="AIW18" s="20" t="n">
        <v>0</v>
      </c>
      <c r="AIX18" s="20" t="n">
        <v>0</v>
      </c>
      <c r="AIY18" s="20" t="n">
        <v>0</v>
      </c>
      <c r="AIZ18" s="20" t="n">
        <v>0</v>
      </c>
      <c r="AJA18" s="20" t="n">
        <v>0</v>
      </c>
      <c r="AJB18" s="20" t="n">
        <v>0</v>
      </c>
      <c r="AJC18" s="20" t="n">
        <v>0</v>
      </c>
      <c r="AJD18" s="20" t="n">
        <v>0</v>
      </c>
      <c r="AJE18" s="20" t="n">
        <v>0</v>
      </c>
      <c r="AJF18" s="20" t="n">
        <v>0</v>
      </c>
      <c r="AJG18" s="20" t="n">
        <v>0</v>
      </c>
      <c r="AJH18" s="20" t="n">
        <v>0</v>
      </c>
      <c r="AJI18" s="20" t="n">
        <v>0</v>
      </c>
      <c r="AJJ18" s="20" t="n">
        <v>0</v>
      </c>
      <c r="AJK18" s="20" t="n">
        <v>0</v>
      </c>
      <c r="AJL18" s="20" t="n">
        <v>0</v>
      </c>
      <c r="AJM18" s="20" t="n">
        <v>0</v>
      </c>
      <c r="AJN18" s="20" t="n">
        <v>0</v>
      </c>
      <c r="AJO18" s="20" t="n">
        <v>0</v>
      </c>
      <c r="AJP18" s="20" t="n">
        <v>0</v>
      </c>
      <c r="AJQ18" s="20" t="n">
        <v>0</v>
      </c>
      <c r="AJR18" s="20" t="n">
        <v>0</v>
      </c>
      <c r="AJS18" s="20" t="n">
        <v>0</v>
      </c>
      <c r="AJT18" s="20" t="n">
        <v>0</v>
      </c>
      <c r="AJU18" s="20" t="n">
        <v>0</v>
      </c>
      <c r="AJV18" s="20" t="n">
        <v>0</v>
      </c>
      <c r="AJW18" s="20" t="n">
        <v>0</v>
      </c>
      <c r="AJX18" s="20" t="n">
        <v>0</v>
      </c>
      <c r="AJY18" s="20" t="n">
        <v>0</v>
      </c>
      <c r="AJZ18" s="20" t="n">
        <v>0</v>
      </c>
      <c r="AKA18" s="20" t="n">
        <v>0</v>
      </c>
      <c r="AKB18" s="20" t="n">
        <v>0</v>
      </c>
      <c r="AKC18" s="20" t="n">
        <v>0</v>
      </c>
      <c r="AKD18" s="20" t="n">
        <v>0</v>
      </c>
      <c r="AKE18" s="20" t="n">
        <v>0</v>
      </c>
      <c r="AKF18" s="20" t="n">
        <v>0</v>
      </c>
      <c r="AKG18" s="20" t="n">
        <v>0</v>
      </c>
      <c r="AKH18" s="20" t="n">
        <v>0</v>
      </c>
      <c r="AKI18" s="20" t="n">
        <v>0</v>
      </c>
      <c r="AKJ18" s="20" t="n">
        <v>0</v>
      </c>
      <c r="AKK18" s="20" t="n">
        <v>0</v>
      </c>
      <c r="AKL18" s="20" t="n">
        <v>0</v>
      </c>
      <c r="AKM18" s="20" t="n">
        <v>0</v>
      </c>
      <c r="AKN18" s="20" t="n">
        <v>0</v>
      </c>
      <c r="AKO18" s="20" t="n">
        <v>0</v>
      </c>
      <c r="AKP18" s="20" t="n">
        <v>0</v>
      </c>
      <c r="AKQ18" s="20" t="n">
        <v>0</v>
      </c>
      <c r="AKR18" s="20" t="n">
        <f aca="false">ADR18-AVE18</f>
        <v>0</v>
      </c>
      <c r="AKS18" s="20" t="n">
        <f aca="false">ADS18-AVF18</f>
        <v>0</v>
      </c>
      <c r="AKT18" s="20" t="n">
        <f aca="false">ADT18-AVG18</f>
        <v>0</v>
      </c>
      <c r="AKU18" s="20" t="n">
        <f aca="false">ADU18-AVH18</f>
        <v>0</v>
      </c>
      <c r="AKV18" s="20" t="n">
        <f aca="false">ADV18-AVI18</f>
        <v>0</v>
      </c>
      <c r="AKW18" s="20" t="n">
        <f aca="false">ADW18-AVJ18</f>
        <v>0</v>
      </c>
      <c r="AKX18" s="20" t="n">
        <f aca="false">ADX18-AVK18</f>
        <v>0</v>
      </c>
      <c r="AKY18" s="20" t="n">
        <f aca="false">ADY18-AVL18</f>
        <v>0</v>
      </c>
      <c r="AKZ18" s="20" t="n">
        <f aca="false">ADZ18-AVM18</f>
        <v>0</v>
      </c>
      <c r="ALA18" s="20" t="n">
        <f aca="false">AEA18-AVN18</f>
        <v>0</v>
      </c>
      <c r="ALB18" s="20" t="n">
        <f aca="false">AEB18-AVO18</f>
        <v>0</v>
      </c>
      <c r="ALC18" s="20" t="n">
        <f aca="false">AEC18-AVP18</f>
        <v>568.543997101271</v>
      </c>
      <c r="ALD18" s="20" t="n">
        <v>0</v>
      </c>
      <c r="ALE18" s="20" t="n">
        <v>0</v>
      </c>
      <c r="ALF18" s="20" t="n">
        <v>0</v>
      </c>
      <c r="ALG18" s="20" t="n">
        <v>0</v>
      </c>
      <c r="ALH18" s="20" t="n">
        <v>0</v>
      </c>
      <c r="ALI18" s="20" t="n">
        <v>0</v>
      </c>
      <c r="ALJ18" s="20" t="n">
        <v>0</v>
      </c>
      <c r="ALK18" s="20" t="n">
        <v>0</v>
      </c>
      <c r="ALL18" s="20" t="n">
        <v>0</v>
      </c>
      <c r="ALM18" s="20" t="n">
        <v>0</v>
      </c>
      <c r="ALN18" s="20" t="n">
        <v>0</v>
      </c>
      <c r="ALO18" s="20" t="n">
        <v>0</v>
      </c>
      <c r="ALP18" s="20" t="n">
        <v>0</v>
      </c>
      <c r="ALQ18" s="20" t="n">
        <v>0</v>
      </c>
      <c r="ALR18" s="20" t="n">
        <v>0</v>
      </c>
      <c r="ALS18" s="20" t="n">
        <v>0</v>
      </c>
      <c r="ALT18" s="20" t="n">
        <v>0</v>
      </c>
      <c r="ALU18" s="20" t="n">
        <v>0</v>
      </c>
      <c r="ALV18" s="20" t="n">
        <v>0</v>
      </c>
      <c r="ALW18" s="20" t="n">
        <v>0</v>
      </c>
      <c r="ALX18" s="20" t="n">
        <v>0</v>
      </c>
      <c r="ALY18" s="20" t="n">
        <v>0</v>
      </c>
      <c r="ALZ18" s="20" t="n">
        <v>0</v>
      </c>
      <c r="AMA18" s="20" t="n">
        <v>0</v>
      </c>
      <c r="AMB18" s="20" t="n">
        <v>0</v>
      </c>
      <c r="AMC18" s="20" t="n">
        <v>0</v>
      </c>
      <c r="AMD18" s="20" t="n">
        <v>0</v>
      </c>
      <c r="AME18" s="20" t="n">
        <v>0</v>
      </c>
      <c r="AMF18" s="20" t="n">
        <v>0</v>
      </c>
      <c r="AMG18" s="20" t="n">
        <v>0</v>
      </c>
      <c r="AMH18" s="20" t="n">
        <v>0</v>
      </c>
      <c r="AMI18" s="20" t="n">
        <v>0</v>
      </c>
      <c r="AMJ18" s="20" t="n">
        <v>0</v>
      </c>
      <c r="AMK18" s="20" t="n">
        <v>0</v>
      </c>
      <c r="AML18" s="20" t="n">
        <v>0</v>
      </c>
      <c r="AMM18" s="20" t="n">
        <v>0</v>
      </c>
      <c r="AMN18" s="20" t="n">
        <v>0</v>
      </c>
      <c r="AMO18" s="20" t="n">
        <v>0</v>
      </c>
      <c r="AMP18" s="20" t="n">
        <v>0</v>
      </c>
      <c r="AMQ18" s="20" t="n">
        <v>0</v>
      </c>
      <c r="AMR18" s="20" t="n">
        <v>0</v>
      </c>
      <c r="AMS18" s="20" t="n">
        <v>0</v>
      </c>
      <c r="AMT18" s="20" t="n">
        <v>0</v>
      </c>
      <c r="AMU18" s="20" t="n">
        <v>0</v>
      </c>
      <c r="AMV18" s="20" t="n">
        <v>0</v>
      </c>
      <c r="AMW18" s="20" t="n">
        <v>0</v>
      </c>
      <c r="AMX18" s="20" t="n">
        <v>0</v>
      </c>
      <c r="AMY18" s="20" t="n">
        <v>0</v>
      </c>
      <c r="AMZ18" s="20" t="n">
        <v>0</v>
      </c>
      <c r="ANA18" s="20" t="n">
        <v>0</v>
      </c>
      <c r="ANB18" s="20" t="n">
        <v>0</v>
      </c>
      <c r="ANC18" s="20" t="n">
        <v>0</v>
      </c>
      <c r="AND18" s="20" t="n">
        <v>0</v>
      </c>
      <c r="ANE18" s="20" t="n">
        <v>0</v>
      </c>
      <c r="ANF18" s="20" t="n">
        <v>0</v>
      </c>
      <c r="ANG18" s="20" t="n">
        <v>0</v>
      </c>
      <c r="ANH18" s="20" t="n">
        <v>0</v>
      </c>
      <c r="ANI18" s="20" t="n">
        <v>0</v>
      </c>
      <c r="ANJ18" s="20" t="n">
        <v>0</v>
      </c>
      <c r="ANK18" s="20" t="n">
        <v>0</v>
      </c>
      <c r="ANL18" s="20" t="n">
        <v>0</v>
      </c>
      <c r="ANM18" s="20" t="n">
        <v>0</v>
      </c>
      <c r="ANN18" s="20" t="n">
        <v>0</v>
      </c>
      <c r="ANO18" s="20" t="n">
        <v>0</v>
      </c>
      <c r="ANP18" s="20" t="n">
        <v>0</v>
      </c>
      <c r="ANQ18" s="20" t="n">
        <v>0</v>
      </c>
      <c r="ANR18" s="20" t="n">
        <v>0</v>
      </c>
      <c r="ANS18" s="20" t="n">
        <v>0</v>
      </c>
      <c r="ANT18" s="20" t="n">
        <v>0</v>
      </c>
      <c r="ANU18" s="20" t="n">
        <v>0</v>
      </c>
      <c r="ANV18" s="20" t="n">
        <v>0</v>
      </c>
      <c r="ANW18" s="20" t="n">
        <v>0</v>
      </c>
      <c r="ANX18" s="20" t="n">
        <v>0</v>
      </c>
      <c r="ANY18" s="20" t="n">
        <v>0</v>
      </c>
      <c r="ANZ18" s="20" t="n">
        <v>0</v>
      </c>
      <c r="AOA18" s="20" t="n">
        <v>0</v>
      </c>
      <c r="AOB18" s="20" t="n">
        <v>0</v>
      </c>
      <c r="AOC18" s="20" t="n">
        <v>0</v>
      </c>
      <c r="AOD18" s="20" t="n">
        <v>0</v>
      </c>
      <c r="AOE18" s="20" t="n">
        <f aca="false">IF(AND(H_Direct=0,H_TaxEvt=1,ARR17+1&gt;=H_Deemed),AKR18,AHE18)</f>
        <v>0</v>
      </c>
      <c r="AOF18" s="20" t="n">
        <f aca="false">IF(AND(H_Direct=0,H_TaxEvt=1,ARS17+1&gt;=H_Deemed),AKS18,AHF18)</f>
        <v>0</v>
      </c>
      <c r="AOG18" s="20" t="n">
        <f aca="false">IF(AND(H_Direct=0,H_TaxEvt=1,ART17+1&gt;=H_Deemed),AKT18,AHG18)</f>
        <v>0</v>
      </c>
      <c r="AOH18" s="20" t="n">
        <f aca="false">IF(AND(H_Direct=0,H_TaxEvt=1,ARU17+1&gt;=H_Deemed),AKU18,AHH18)</f>
        <v>0</v>
      </c>
      <c r="AOI18" s="20" t="n">
        <f aca="false">IF(AND(H_Direct=0,H_TaxEvt=1,ARV17+1&gt;=H_Deemed),AKV18,AHI18)</f>
        <v>0</v>
      </c>
      <c r="AOJ18" s="20" t="n">
        <f aca="false">IF(AND(H_Direct=0,H_TaxEvt=1,ARW17+1&gt;=H_Deemed),AKW18,AHJ18)</f>
        <v>0</v>
      </c>
      <c r="AOK18" s="20" t="n">
        <f aca="false">IF(AND(H_Direct=0,H_TaxEvt=1,ARX17+1&gt;=H_Deemed),AKX18,AHK18)</f>
        <v>0</v>
      </c>
      <c r="AOL18" s="20" t="n">
        <f aca="false">IF(AND(H_Direct=0,H_TaxEvt=1,ARY17+1&gt;=H_Deemed),AKY18,AHL18)</f>
        <v>0</v>
      </c>
      <c r="AOM18" s="20" t="n">
        <f aca="false">IF(AND(H_Direct=0,H_TaxEvt=1,ARZ17+1&gt;=H_Deemed),AKZ18,AHM18)</f>
        <v>0</v>
      </c>
      <c r="AON18" s="20" t="n">
        <f aca="false">IF(AND(H_Direct=0,H_TaxEvt=1,ASA17+1&gt;=H_Deemed),ALA18,AHN18)</f>
        <v>0</v>
      </c>
      <c r="AOO18" s="20" t="n">
        <f aca="false">IF(AND(H_Direct=0,H_TaxEvt=1,ASB17+1&gt;=H_Deemed),ALB18,AHO18)</f>
        <v>0</v>
      </c>
      <c r="AOP18" s="20" t="n">
        <f aca="false">IF(AND(H_Direct=0,H_TaxEvt=1,0+1&gt;=H_Deemed),ALC18,AHP18)</f>
        <v>546.676920289684</v>
      </c>
      <c r="AOQ18" s="20" t="n">
        <v>0</v>
      </c>
      <c r="AOR18" s="20" t="n">
        <v>0</v>
      </c>
      <c r="AOS18" s="20" t="n">
        <v>0</v>
      </c>
      <c r="AOT18" s="20" t="n">
        <v>0</v>
      </c>
      <c r="AOU18" s="20" t="n">
        <v>0</v>
      </c>
      <c r="AOV18" s="20" t="n">
        <v>0</v>
      </c>
      <c r="AOW18" s="20" t="n">
        <v>0</v>
      </c>
      <c r="AOX18" s="20" t="n">
        <v>0</v>
      </c>
      <c r="AOY18" s="20" t="n">
        <v>0</v>
      </c>
      <c r="AOZ18" s="20" t="n">
        <v>0</v>
      </c>
      <c r="APA18" s="20" t="n">
        <v>0</v>
      </c>
      <c r="APB18" s="20" t="n">
        <v>0</v>
      </c>
      <c r="APC18" s="20" t="n">
        <v>0</v>
      </c>
      <c r="APD18" s="20" t="n">
        <v>0</v>
      </c>
      <c r="APE18" s="20" t="n">
        <v>0</v>
      </c>
      <c r="APF18" s="20" t="n">
        <v>0</v>
      </c>
      <c r="APG18" s="20" t="n">
        <v>0</v>
      </c>
      <c r="APH18" s="20" t="n">
        <v>0</v>
      </c>
      <c r="API18" s="20" t="n">
        <v>0</v>
      </c>
      <c r="APJ18" s="20" t="n">
        <v>0</v>
      </c>
      <c r="APK18" s="20" t="n">
        <v>0</v>
      </c>
      <c r="APL18" s="20" t="n">
        <v>0</v>
      </c>
      <c r="APM18" s="20" t="n">
        <v>0</v>
      </c>
      <c r="APN18" s="20" t="n">
        <v>0</v>
      </c>
      <c r="APO18" s="20" t="n">
        <v>0</v>
      </c>
      <c r="APP18" s="20" t="n">
        <v>0</v>
      </c>
      <c r="APQ18" s="20" t="n">
        <v>0</v>
      </c>
      <c r="APR18" s="20" t="n">
        <v>0</v>
      </c>
      <c r="APS18" s="20" t="n">
        <v>0</v>
      </c>
      <c r="APT18" s="20" t="n">
        <v>0</v>
      </c>
      <c r="APU18" s="20" t="n">
        <v>0</v>
      </c>
      <c r="APV18" s="20" t="n">
        <v>0</v>
      </c>
      <c r="APW18" s="20" t="n">
        <v>0</v>
      </c>
      <c r="APX18" s="20" t="n">
        <v>0</v>
      </c>
      <c r="APY18" s="20" t="n">
        <v>0</v>
      </c>
      <c r="APZ18" s="20" t="n">
        <v>0</v>
      </c>
      <c r="AQA18" s="20" t="n">
        <v>0</v>
      </c>
      <c r="AQB18" s="20" t="n">
        <v>0</v>
      </c>
      <c r="AQC18" s="20" t="n">
        <v>0</v>
      </c>
      <c r="AQD18" s="20" t="n">
        <v>0</v>
      </c>
      <c r="AQE18" s="20" t="n">
        <v>0</v>
      </c>
      <c r="AQF18" s="20" t="n">
        <v>0</v>
      </c>
      <c r="AQG18" s="20" t="n">
        <v>0</v>
      </c>
      <c r="AQH18" s="20" t="n">
        <v>0</v>
      </c>
      <c r="AQI18" s="20" t="n">
        <v>0</v>
      </c>
      <c r="AQJ18" s="20" t="n">
        <v>0</v>
      </c>
      <c r="AQK18" s="20" t="n">
        <v>0</v>
      </c>
      <c r="AQL18" s="20" t="n">
        <v>0</v>
      </c>
      <c r="AQM18" s="20" t="n">
        <v>0</v>
      </c>
      <c r="AQN18" s="20" t="n">
        <v>0</v>
      </c>
      <c r="AQO18" s="20" t="n">
        <v>0</v>
      </c>
      <c r="AQP18" s="20" t="n">
        <v>0</v>
      </c>
      <c r="AQQ18" s="20" t="n">
        <v>0</v>
      </c>
      <c r="AQR18" s="20" t="n">
        <v>0</v>
      </c>
      <c r="AQS18" s="20" t="n">
        <v>0</v>
      </c>
      <c r="AQT18" s="20" t="n">
        <v>0</v>
      </c>
      <c r="AQU18" s="20" t="n">
        <v>0</v>
      </c>
      <c r="AQV18" s="20" t="n">
        <v>0</v>
      </c>
      <c r="AQW18" s="20" t="n">
        <v>0</v>
      </c>
      <c r="AQX18" s="20" t="n">
        <v>0</v>
      </c>
      <c r="AQY18" s="20" t="n">
        <v>0</v>
      </c>
      <c r="AQZ18" s="20" t="n">
        <v>0</v>
      </c>
      <c r="ARA18" s="20" t="n">
        <v>0</v>
      </c>
      <c r="ARB18" s="20" t="n">
        <v>0</v>
      </c>
      <c r="ARC18" s="20" t="n">
        <v>0</v>
      </c>
      <c r="ARD18" s="20" t="n">
        <v>0</v>
      </c>
      <c r="ARE18" s="20" t="n">
        <v>0</v>
      </c>
      <c r="ARF18" s="20" t="n">
        <v>0</v>
      </c>
      <c r="ARG18" s="20" t="n">
        <v>0</v>
      </c>
      <c r="ARH18" s="20" t="n">
        <v>0</v>
      </c>
      <c r="ARI18" s="20" t="n">
        <v>0</v>
      </c>
      <c r="ARJ18" s="20" t="n">
        <v>0</v>
      </c>
      <c r="ARK18" s="20" t="n">
        <v>0</v>
      </c>
      <c r="ARL18" s="20" t="n">
        <v>0</v>
      </c>
      <c r="ARM18" s="20" t="n">
        <v>0</v>
      </c>
      <c r="ARN18" s="20" t="n">
        <v>0</v>
      </c>
      <c r="ARO18" s="20" t="n">
        <v>0</v>
      </c>
      <c r="ARP18" s="20" t="n">
        <v>0</v>
      </c>
      <c r="ARQ18" s="20" t="n">
        <v>0</v>
      </c>
      <c r="ARR18" s="20" t="n">
        <f aca="false">IF(AND(H_Direct=0,H_TaxEvt=1),IF(ARR17+1&gt;=H_Deemed,0,ARR17+1),ARR17)</f>
        <v>3</v>
      </c>
      <c r="ARS18" s="20" t="n">
        <f aca="false">IF(AND(H_Direct=0,H_TaxEvt=1),IF(ARS17+1&gt;=H_Deemed,0,ARS17+1),ARS17)</f>
        <v>3</v>
      </c>
      <c r="ART18" s="20" t="n">
        <f aca="false">IF(AND(H_Direct=0,H_TaxEvt=1),IF(ART17+1&gt;=H_Deemed,0,ART17+1),ART17)</f>
        <v>2</v>
      </c>
      <c r="ARU18" s="20" t="n">
        <f aca="false">IF(AND(H_Direct=0,H_TaxEvt=1),IF(ARU17+1&gt;=H_Deemed,0,ARU17+1),ARU17)</f>
        <v>1</v>
      </c>
      <c r="ARV18" s="20" t="n">
        <f aca="false">IF(AND(H_Direct=0,H_TaxEvt=1),IF(ARV17+1&gt;=H_Deemed,0,ARV17+1),ARV17)</f>
        <v>0</v>
      </c>
      <c r="ARW18" s="20" t="n">
        <f aca="false">IF(AND(H_Direct=0,H_TaxEvt=1),IF(ARW17+1&gt;=H_Deemed,0,ARW17+1),ARW17)</f>
        <v>7</v>
      </c>
      <c r="ARX18" s="20" t="n">
        <f aca="false">IF(AND(H_Direct=0,H_TaxEvt=1),IF(ARX17+1&gt;=H_Deemed,0,ARX17+1),ARX17)</f>
        <v>6</v>
      </c>
      <c r="ARY18" s="20" t="n">
        <f aca="false">IF(AND(H_Direct=0,H_TaxEvt=1),IF(ARY17+1&gt;=H_Deemed,0,ARY17+1),ARY17)</f>
        <v>5</v>
      </c>
      <c r="ARZ18" s="20" t="n">
        <f aca="false">IF(AND(H_Direct=0,H_TaxEvt=1),IF(ARZ17+1&gt;=H_Deemed,0,ARZ17+1),ARZ17)</f>
        <v>4</v>
      </c>
      <c r="ASA18" s="20" t="n">
        <f aca="false">IF(AND(H_Direct=0,H_TaxEvt=1),IF(ASA17+1&gt;=H_Deemed,0,ASA17+1),ASA17)</f>
        <v>3</v>
      </c>
      <c r="ASB18" s="20" t="n">
        <f aca="false">IF(AND(H_Direct=0,H_TaxEvt=1),IF(ASB17+1&gt;=H_Deemed,0,ASB17+1),ASB17)</f>
        <v>2</v>
      </c>
      <c r="ASC18" s="20" t="n">
        <f aca="false">IF(AND(H_Direct=0,H_TaxEvt=1),IF(0+1&gt;=H_Deemed,0,0+1),0)</f>
        <v>1</v>
      </c>
      <c r="ASD18" s="20" t="n">
        <v>0</v>
      </c>
      <c r="ASE18" s="20" t="n">
        <v>0</v>
      </c>
      <c r="ASF18" s="20" t="n">
        <v>0</v>
      </c>
      <c r="ASG18" s="20" t="n">
        <v>0</v>
      </c>
      <c r="ASH18" s="20" t="n">
        <v>0</v>
      </c>
      <c r="ASI18" s="20" t="n">
        <v>0</v>
      </c>
      <c r="ASJ18" s="20" t="n">
        <v>0</v>
      </c>
      <c r="ASK18" s="20" t="n">
        <v>0</v>
      </c>
      <c r="ASL18" s="20" t="n">
        <v>0</v>
      </c>
      <c r="ASM18" s="20" t="n">
        <v>0</v>
      </c>
      <c r="ASN18" s="20" t="n">
        <v>0</v>
      </c>
      <c r="ASO18" s="20" t="n">
        <v>0</v>
      </c>
      <c r="ASP18" s="20" t="n">
        <v>0</v>
      </c>
      <c r="ASQ18" s="20" t="n">
        <v>0</v>
      </c>
      <c r="ASR18" s="20" t="n">
        <v>0</v>
      </c>
      <c r="ASS18" s="20" t="n">
        <v>0</v>
      </c>
      <c r="AST18" s="20" t="n">
        <v>0</v>
      </c>
      <c r="ASU18" s="20" t="n">
        <v>0</v>
      </c>
      <c r="ASV18" s="20" t="n">
        <v>0</v>
      </c>
      <c r="ASW18" s="20" t="n">
        <v>0</v>
      </c>
      <c r="ASX18" s="20" t="n">
        <v>0</v>
      </c>
      <c r="ASY18" s="20" t="n">
        <v>0</v>
      </c>
      <c r="ASZ18" s="20" t="n">
        <v>0</v>
      </c>
      <c r="ATA18" s="20" t="n">
        <v>0</v>
      </c>
      <c r="ATB18" s="20" t="n">
        <v>0</v>
      </c>
      <c r="ATC18" s="20" t="n">
        <v>0</v>
      </c>
      <c r="ATD18" s="20" t="n">
        <v>0</v>
      </c>
      <c r="ATE18" s="20" t="n">
        <v>0</v>
      </c>
      <c r="ATF18" s="20" t="n">
        <v>0</v>
      </c>
      <c r="ATG18" s="20" t="n">
        <v>0</v>
      </c>
      <c r="ATH18" s="20" t="n">
        <v>0</v>
      </c>
      <c r="ATI18" s="20" t="n">
        <v>0</v>
      </c>
      <c r="ATJ18" s="20" t="n">
        <v>0</v>
      </c>
      <c r="ATK18" s="20" t="n">
        <v>0</v>
      </c>
      <c r="ATL18" s="20" t="n">
        <v>0</v>
      </c>
      <c r="ATM18" s="20" t="n">
        <v>0</v>
      </c>
      <c r="ATN18" s="20" t="n">
        <v>0</v>
      </c>
      <c r="ATO18" s="20" t="n">
        <v>0</v>
      </c>
      <c r="ATP18" s="20" t="n">
        <v>0</v>
      </c>
      <c r="ATQ18" s="20" t="n">
        <v>0</v>
      </c>
      <c r="ATR18" s="20" t="n">
        <v>0</v>
      </c>
      <c r="ATS18" s="20" t="n">
        <v>0</v>
      </c>
      <c r="ATT18" s="20" t="n">
        <v>0</v>
      </c>
      <c r="ATU18" s="20" t="n">
        <v>0</v>
      </c>
      <c r="ATV18" s="20" t="n">
        <v>0</v>
      </c>
      <c r="ATW18" s="20" t="n">
        <v>0</v>
      </c>
      <c r="ATX18" s="20" t="n">
        <v>0</v>
      </c>
      <c r="ATY18" s="20" t="n">
        <v>0</v>
      </c>
      <c r="ATZ18" s="20" t="n">
        <v>0</v>
      </c>
      <c r="AUA18" s="20" t="n">
        <v>0</v>
      </c>
      <c r="AUB18" s="20" t="n">
        <v>0</v>
      </c>
      <c r="AUC18" s="20" t="n">
        <v>0</v>
      </c>
      <c r="AUD18" s="20" t="n">
        <v>0</v>
      </c>
      <c r="AUE18" s="20" t="n">
        <v>0</v>
      </c>
      <c r="AUF18" s="20" t="n">
        <v>0</v>
      </c>
      <c r="AUG18" s="20" t="n">
        <v>0</v>
      </c>
      <c r="AUH18" s="20" t="n">
        <v>0</v>
      </c>
      <c r="AUI18" s="20" t="n">
        <v>0</v>
      </c>
      <c r="AUJ18" s="20" t="n">
        <v>0</v>
      </c>
      <c r="AUK18" s="20" t="n">
        <v>0</v>
      </c>
      <c r="AUL18" s="20" t="n">
        <v>0</v>
      </c>
      <c r="AUM18" s="20" t="n">
        <v>0</v>
      </c>
      <c r="AUN18" s="20" t="n">
        <v>0</v>
      </c>
      <c r="AUO18" s="20" t="n">
        <v>0</v>
      </c>
      <c r="AUP18" s="20" t="n">
        <v>0</v>
      </c>
      <c r="AUQ18" s="20" t="n">
        <v>0</v>
      </c>
      <c r="AUR18" s="20" t="n">
        <v>0</v>
      </c>
      <c r="AUS18" s="20" t="n">
        <v>0</v>
      </c>
      <c r="AUT18" s="20" t="n">
        <v>0</v>
      </c>
      <c r="AUU18" s="20" t="n">
        <v>0</v>
      </c>
      <c r="AUV18" s="20" t="n">
        <v>0</v>
      </c>
      <c r="AUW18" s="20" t="n">
        <v>0</v>
      </c>
      <c r="AUX18" s="20" t="n">
        <v>0</v>
      </c>
      <c r="AUY18" s="20" t="n">
        <v>0</v>
      </c>
      <c r="AUZ18" s="20" t="n">
        <v>0</v>
      </c>
      <c r="AVA18" s="20" t="n">
        <v>0</v>
      </c>
      <c r="AVB18" s="20" t="n">
        <v>0</v>
      </c>
      <c r="AVC18" s="20" t="n">
        <v>0</v>
      </c>
      <c r="AVD18" s="20" t="n">
        <v>0</v>
      </c>
      <c r="AVE18" s="20" t="n">
        <f aca="false">IF(AND(H_Direct=0,H_TaxEvt=1,ARR17+1&gt;=H_Deemed),MAX(0,ADR18-AHE18)*H_Exit,0)</f>
        <v>0</v>
      </c>
      <c r="AVF18" s="20" t="n">
        <f aca="false">IF(AND(H_Direct=0,H_TaxEvt=1,ARS17+1&gt;=H_Deemed),MAX(0,ADS18-AHF18)*H_Exit,0)</f>
        <v>0</v>
      </c>
      <c r="AVG18" s="20" t="n">
        <f aca="false">IF(AND(H_Direct=0,H_TaxEvt=1,ART17+1&gt;=H_Deemed),MAX(0,ADT18-AHG18)*H_Exit,0)</f>
        <v>0</v>
      </c>
      <c r="AVH18" s="20" t="n">
        <f aca="false">IF(AND(H_Direct=0,H_TaxEvt=1,ARU17+1&gt;=H_Deemed),MAX(0,ADU18-AHH18)*H_Exit,0)</f>
        <v>0</v>
      </c>
      <c r="AVI18" s="20" t="n">
        <f aca="false">IF(AND(H_Direct=0,H_TaxEvt=1,ARV17+1&gt;=H_Deemed),MAX(0,ADV18-AHI18)*H_Exit,0)</f>
        <v>0</v>
      </c>
      <c r="AVJ18" s="20" t="n">
        <f aca="false">IF(AND(H_Direct=0,H_TaxEvt=1,ARW17+1&gt;=H_Deemed),MAX(0,ADW18-AHJ18)*H_Exit,0)</f>
        <v>0</v>
      </c>
      <c r="AVK18" s="20" t="n">
        <f aca="false">IF(AND(H_Direct=0,H_TaxEvt=1,ARX17+1&gt;=H_Deemed),MAX(0,ADX18-AHK18)*H_Exit,0)</f>
        <v>0</v>
      </c>
      <c r="AVL18" s="20" t="n">
        <f aca="false">IF(AND(H_Direct=0,H_TaxEvt=1,ARY17+1&gt;=H_Deemed),MAX(0,ADY18-AHL18)*H_Exit,0)</f>
        <v>0</v>
      </c>
      <c r="AVM18" s="20" t="n">
        <f aca="false">IF(AND(H_Direct=0,H_TaxEvt=1,ARZ17+1&gt;=H_Deemed),MAX(0,ADZ18-AHM18)*H_Exit,0)</f>
        <v>0</v>
      </c>
      <c r="AVN18" s="20" t="n">
        <f aca="false">IF(AND(H_Direct=0,H_TaxEvt=1,ASA17+1&gt;=H_Deemed),MAX(0,AEA18-AHN18)*H_Exit,0)</f>
        <v>0</v>
      </c>
      <c r="AVO18" s="20" t="n">
        <f aca="false">IF(AND(H_Direct=0,H_TaxEvt=1,ASB17+1&gt;=H_Deemed),MAX(0,AEB18-AHO18)*H_Exit,0)</f>
        <v>0</v>
      </c>
      <c r="AVP18" s="20" t="n">
        <f aca="false">IF(AND(H_Direct=0,H_TaxEvt=1,0+1&gt;=H_Deemed),MAX(0,AEC18-AHP18)*H_Exit,0)</f>
        <v>0</v>
      </c>
      <c r="AVQ18" s="20" t="n">
        <v>0</v>
      </c>
      <c r="AVR18" s="20" t="n">
        <v>0</v>
      </c>
      <c r="AVS18" s="20" t="n">
        <v>0</v>
      </c>
      <c r="AVT18" s="20" t="n">
        <v>0</v>
      </c>
      <c r="AVU18" s="20" t="n">
        <v>0</v>
      </c>
      <c r="AVV18" s="20" t="n">
        <v>0</v>
      </c>
      <c r="AVW18" s="20" t="n">
        <v>0</v>
      </c>
      <c r="AVX18" s="20" t="n">
        <v>0</v>
      </c>
      <c r="AVY18" s="20" t="n">
        <v>0</v>
      </c>
      <c r="AVZ18" s="20" t="n">
        <v>0</v>
      </c>
      <c r="AWA18" s="20" t="n">
        <v>0</v>
      </c>
      <c r="AWB18" s="20" t="n">
        <v>0</v>
      </c>
      <c r="AWC18" s="20" t="n">
        <v>0</v>
      </c>
      <c r="AWD18" s="20" t="n">
        <v>0</v>
      </c>
      <c r="AWE18" s="20" t="n">
        <v>0</v>
      </c>
      <c r="AWF18" s="20" t="n">
        <v>0</v>
      </c>
      <c r="AWG18" s="20" t="n">
        <v>0</v>
      </c>
      <c r="AWH18" s="20" t="n">
        <v>0</v>
      </c>
      <c r="AWI18" s="20" t="n">
        <v>0</v>
      </c>
      <c r="AWJ18" s="20" t="n">
        <v>0</v>
      </c>
      <c r="AWK18" s="20" t="n">
        <v>0</v>
      </c>
      <c r="AWL18" s="20" t="n">
        <v>0</v>
      </c>
      <c r="AWM18" s="20" t="n">
        <v>0</v>
      </c>
      <c r="AWN18" s="20" t="n">
        <v>0</v>
      </c>
      <c r="AWO18" s="20" t="n">
        <v>0</v>
      </c>
      <c r="AWP18" s="20" t="n">
        <v>0</v>
      </c>
      <c r="AWQ18" s="20" t="n">
        <v>0</v>
      </c>
      <c r="AWR18" s="20" t="n">
        <v>0</v>
      </c>
      <c r="AWS18" s="20" t="n">
        <v>0</v>
      </c>
      <c r="AWT18" s="20" t="n">
        <v>0</v>
      </c>
      <c r="AWU18" s="20" t="n">
        <v>0</v>
      </c>
      <c r="AWV18" s="20" t="n">
        <v>0</v>
      </c>
      <c r="AWW18" s="20" t="n">
        <v>0</v>
      </c>
      <c r="AWX18" s="20" t="n">
        <v>0</v>
      </c>
      <c r="AWY18" s="20" t="n">
        <v>0</v>
      </c>
      <c r="AWZ18" s="20" t="n">
        <v>0</v>
      </c>
      <c r="AXA18" s="20" t="n">
        <v>0</v>
      </c>
      <c r="AXB18" s="20" t="n">
        <v>0</v>
      </c>
      <c r="AXC18" s="20" t="n">
        <v>0</v>
      </c>
      <c r="AXD18" s="20" t="n">
        <v>0</v>
      </c>
      <c r="AXE18" s="20" t="n">
        <v>0</v>
      </c>
      <c r="AXF18" s="20" t="n">
        <v>0</v>
      </c>
      <c r="AXG18" s="20" t="n">
        <v>0</v>
      </c>
      <c r="AXH18" s="20" t="n">
        <v>0</v>
      </c>
      <c r="AXI18" s="20" t="n">
        <v>0</v>
      </c>
      <c r="AXJ18" s="20" t="n">
        <v>0</v>
      </c>
      <c r="AXK18" s="20" t="n">
        <v>0</v>
      </c>
      <c r="AXL18" s="20" t="n">
        <v>0</v>
      </c>
      <c r="AXM18" s="20" t="n">
        <v>0</v>
      </c>
      <c r="AXN18" s="20" t="n">
        <v>0</v>
      </c>
      <c r="AXO18" s="20" t="n">
        <v>0</v>
      </c>
      <c r="AXP18" s="20" t="n">
        <v>0</v>
      </c>
      <c r="AXQ18" s="20" t="n">
        <v>0</v>
      </c>
      <c r="AXR18" s="20" t="n">
        <v>0</v>
      </c>
      <c r="AXS18" s="20" t="n">
        <v>0</v>
      </c>
      <c r="AXT18" s="20" t="n">
        <v>0</v>
      </c>
      <c r="AXU18" s="20" t="n">
        <v>0</v>
      </c>
      <c r="AXV18" s="20" t="n">
        <v>0</v>
      </c>
      <c r="AXW18" s="20" t="n">
        <v>0</v>
      </c>
      <c r="AXX18" s="20" t="n">
        <v>0</v>
      </c>
      <c r="AXY18" s="20" t="n">
        <v>0</v>
      </c>
      <c r="AXZ18" s="20" t="n">
        <v>0</v>
      </c>
      <c r="AYA18" s="20" t="n">
        <v>0</v>
      </c>
      <c r="AYB18" s="20" t="n">
        <v>0</v>
      </c>
      <c r="AYC18" s="20" t="n">
        <v>0</v>
      </c>
      <c r="AYD18" s="20" t="n">
        <v>0</v>
      </c>
      <c r="AYE18" s="20" t="n">
        <v>0</v>
      </c>
      <c r="AYF18" s="20" t="n">
        <v>0</v>
      </c>
      <c r="AYG18" s="20" t="n">
        <v>0</v>
      </c>
      <c r="AYH18" s="20" t="n">
        <v>0</v>
      </c>
      <c r="AYI18" s="20" t="n">
        <v>0</v>
      </c>
      <c r="AYJ18" s="20" t="n">
        <v>0</v>
      </c>
      <c r="AYK18" s="20" t="n">
        <v>0</v>
      </c>
      <c r="AYL18" s="20" t="n">
        <v>0</v>
      </c>
      <c r="AYM18" s="20" t="n">
        <v>0</v>
      </c>
      <c r="AYN18" s="20" t="n">
        <v>0</v>
      </c>
      <c r="AYO18" s="20" t="n">
        <v>0</v>
      </c>
      <c r="AYP18" s="20" t="n">
        <v>0</v>
      </c>
      <c r="AYQ18" s="20" t="n">
        <v>0</v>
      </c>
    </row>
    <row r="19" customFormat="false" ht="15" hidden="false" customHeight="false" outlineLevel="0" collapsed="false">
      <c r="B19" s="20" t="n">
        <v>11</v>
      </c>
      <c r="C19" s="20" t="n">
        <f aca="false">'Plan cashflow'!C19</f>
        <v>1</v>
      </c>
      <c r="D19" s="20" t="n">
        <f aca="false">'Plan cashflow'!D19</f>
        <v>49</v>
      </c>
      <c r="E19" s="20" t="n">
        <f aca="false">AS_Year0+11</f>
        <v>2037</v>
      </c>
      <c r="F19" s="50" t="n">
        <f aca="false">'Plan cashflow'!F19</f>
        <v>1.24337430839465</v>
      </c>
      <c r="G19" s="59" t="n">
        <f aca="true">IF(MAX(TODAY(),DATE(E19,1,1))&gt;=H_CGTfrom,H_CGT1,H_CGT0)</f>
        <v>0.31</v>
      </c>
      <c r="H19" s="20" t="n">
        <f aca="false">H_Exempt*H_Persons</f>
        <v>1270</v>
      </c>
      <c r="I19" s="20" t="n">
        <f aca="false">AX18</f>
        <v>0</v>
      </c>
      <c r="J19" s="60" t="n">
        <f aca="false">BF18</f>
        <v>828.215534238871</v>
      </c>
      <c r="K19" s="60" t="n">
        <f aca="false">BG18</f>
        <v>0</v>
      </c>
      <c r="L19" s="20" t="n">
        <f aca="false">IF(AND(In_polLump&gt;0,In_polLumpAge&gt;0,D19=In_polLumpAge),In_polLump,0)</f>
        <v>0</v>
      </c>
      <c r="M19" s="20" t="n">
        <f aca="false">IF(AND(In_homeUse="Yes, I'd downsize",In_downAge&gt;0,D19=In_downAge,OR(In_home="Own outright",In_home="Own with mortgage"),In_homeValue&gt;0),MAX(0,MAX(0,In_homeValue-In_downValue)*F19*0.9-'Plan cashflow'!HR18),0)</f>
        <v>0</v>
      </c>
      <c r="N19" s="20" t="n">
        <f aca="false">'Plan pay &amp; tax'!Y245</f>
        <v>0</v>
      </c>
      <c r="O19" s="20" t="n">
        <f aca="false">L19+M19+(1-H_Sh)*N19</f>
        <v>0</v>
      </c>
      <c r="P19" s="20" t="n">
        <f aca="false">H_Sh*N19</f>
        <v>0</v>
      </c>
      <c r="Q19" s="20" t="n">
        <f aca="false">'Plan cashflow'!UL19</f>
        <v>0</v>
      </c>
      <c r="R19" s="20" t="n">
        <f aca="false">(1-H_Sh)*Q19</f>
        <v>0</v>
      </c>
      <c r="S19" s="20" t="n">
        <f aca="false">H_Sh*Q19</f>
        <v>0</v>
      </c>
      <c r="T19" s="20" t="n">
        <f aca="false">J19+K19+O19</f>
        <v>828.215534238871</v>
      </c>
      <c r="U19" s="20" t="n">
        <f aca="false">T19+R19</f>
        <v>828.215534238871</v>
      </c>
      <c r="V19" s="60" t="n">
        <f aca="false">SUM(FE19:IQ19)</f>
        <v>560.234507912868</v>
      </c>
      <c r="W19" s="60" t="n">
        <f aca="false">IF(AJ19&lt;=0,0,IF(AL19&lt;=0,AJ19,AJ19-G19*MAX(0,AL19*AJ19-(AY19+AZ19))))</f>
        <v>0</v>
      </c>
      <c r="X19" s="60" t="n">
        <f aca="false">IF(AR19&lt;=0,0,IF(AT19&lt;=0,AR19,AR19-G19*MAX(0,AT19*AR19-(BA19+BB19))))</f>
        <v>0</v>
      </c>
      <c r="Y19" s="60" t="n">
        <f aca="false">T19+V19-S19+W19+X19</f>
        <v>1388.45004215174</v>
      </c>
      <c r="Z19" s="60" t="n">
        <f aca="false">'Plan cashflow'!UK19</f>
        <v>0</v>
      </c>
      <c r="AA19" s="20" t="n">
        <f aca="false">MIN(Z19,U19)</f>
        <v>0</v>
      </c>
      <c r="AB19" s="20" t="n">
        <f aca="false">Z19-AA19</f>
        <v>0</v>
      </c>
      <c r="AC19" s="20" t="n">
        <f aca="false">MIN(AA19,J19+O19+R19)</f>
        <v>0</v>
      </c>
      <c r="AD19" s="20" t="n">
        <f aca="false">AA19-AC19</f>
        <v>0</v>
      </c>
      <c r="AE19" s="20" t="n">
        <f aca="false">J19+O19+R19-AC19</f>
        <v>828.215534238871</v>
      </c>
      <c r="AF19" s="20" t="n">
        <f aca="false">K19-AD19</f>
        <v>0</v>
      </c>
      <c r="AG19" s="20" t="n">
        <f aca="false">SUM(PR19:TD19)</f>
        <v>0</v>
      </c>
      <c r="AH19" s="20" t="n">
        <f aca="false">SUM(TE19:WQ19)</f>
        <v>0</v>
      </c>
      <c r="AI19" s="20" t="n">
        <f aca="false">MAX(0,AB19-AG19)</f>
        <v>0</v>
      </c>
      <c r="AJ19" s="57" t="n">
        <f aca="false">BI18</f>
        <v>0</v>
      </c>
      <c r="AK19" s="20" t="n">
        <f aca="false">BJ18</f>
        <v>0</v>
      </c>
      <c r="AL19" s="20" t="n">
        <f aca="false">IF(AJ19&gt;0,(AJ19-AK19)/AJ19,0)</f>
        <v>0</v>
      </c>
      <c r="AM19" s="20" t="n">
        <f aca="false">IF(AJ19&lt;=0,0,IF(AL19&lt;=0,MIN(AI19,AJ19),MIN(AI19,AJ19-G19*MAX(0,AL19*AJ19-(AAD19+ADQ19)))))</f>
        <v>0</v>
      </c>
      <c r="AN19" s="20" t="n">
        <f aca="false">IF(AJ19&lt;=0,0,IF(AL19&lt;=0,AM19,IF(AM19&lt;=(AAD19+ADQ19)/AL19,AM19,(AM19-G19*(AAD19+ADQ19))/(1-G19*AL19))))</f>
        <v>0</v>
      </c>
      <c r="AO19" s="20" t="n">
        <f aca="false">IF(AL19&gt;0,MAX(0,AAD19-(MIN(AL19*AN19,(AAD19+ADQ19))-MIN(MIN(AL19*AN19,(AAD19+ADQ19)),ADQ19))),AAD19)</f>
        <v>1270</v>
      </c>
      <c r="AP19" s="20" t="n">
        <f aca="false">IF(AL19&lt;=0,ADQ19-AL19*AN19,ADQ19-MIN(MIN(AL19*AN19,(AAD19+ADQ19)),ADQ19))</f>
        <v>0</v>
      </c>
      <c r="AQ19" s="20" t="n">
        <f aca="false">MAX(0,AI19-AM19)</f>
        <v>0</v>
      </c>
      <c r="AR19" s="57" t="n">
        <f aca="false">BK18</f>
        <v>0</v>
      </c>
      <c r="AS19" s="20" t="n">
        <f aca="false">BL18</f>
        <v>0</v>
      </c>
      <c r="AT19" s="20" t="n">
        <f aca="false">IF(AR19&gt;0,(AR19-AS19)/AR19,0)</f>
        <v>0</v>
      </c>
      <c r="AU19" s="20" t="n">
        <f aca="false">IF(AR19&lt;=0,0,IF(AT19&lt;=0,MIN(AQ19,AR19),MIN(AQ19,AR19-G19*MAX(0,AT19*AR19-(AO19+AP19)))))</f>
        <v>0</v>
      </c>
      <c r="AV19" s="20" t="n">
        <f aca="false">IF(AR19&lt;=0,0,IF(AT19&lt;=0,AU19,IF(AU19&lt;=(AO19+AP19)/AT19,AU19,(AU19-G19*(AO19+AP19))/(1-G19*AT19))))</f>
        <v>0</v>
      </c>
      <c r="AW19" s="20" t="n">
        <f aca="false">IF(AT19&gt;0,MAX(0,AO19-(MIN(AT19*AV19,(AO19+AP19))-MIN(MIN(AT19*AV19,(AO19+AP19)),AP19))),AO19)</f>
        <v>1270</v>
      </c>
      <c r="AX19" s="20" t="n">
        <f aca="false">IF(AT19&lt;=0,AP19-AT19*AV19,AP19-MIN(MIN(AT19*AV19,(AO19+AP19)),AP19))</f>
        <v>0</v>
      </c>
      <c r="AY19" s="20" t="n">
        <f aca="false">MD19</f>
        <v>1270</v>
      </c>
      <c r="AZ19" s="20" t="n">
        <f aca="false">PQ19</f>
        <v>0</v>
      </c>
      <c r="BA19" s="20" t="n">
        <f aca="false">IF(AL19&gt;0,MAX(0,AY19-(MIN(AL19*AJ19,AY19+AZ19)-MIN(MIN(AL19*AJ19,AY19+AZ19),AZ19))),AY19)</f>
        <v>1270</v>
      </c>
      <c r="BB19" s="20" t="n">
        <f aca="false">IF(AL19&lt;=0,AZ19-AL19*AJ19,AZ19-MIN(MIN(AL19*AJ19,AY19+AZ19),AZ19))</f>
        <v>0</v>
      </c>
      <c r="BC19" s="20" t="n">
        <f aca="false">'Plan cashflow'!UM19</f>
        <v>1788.02564182657</v>
      </c>
      <c r="BD19" s="20" t="n">
        <f aca="false">(1-H_Sh)*BC19</f>
        <v>1072.81538509594</v>
      </c>
      <c r="BE19" s="20" t="n">
        <f aca="false">H_Sh*BC19</f>
        <v>715.210256730627</v>
      </c>
      <c r="BF19" s="60" t="n">
        <f aca="false">(AE19+BD19)*(1+AS_Cash)</f>
        <v>1920.04122852816</v>
      </c>
      <c r="BG19" s="60" t="n">
        <f aca="false">AF19*(1+AS_Cash)</f>
        <v>0</v>
      </c>
      <c r="BH19" s="60" t="n">
        <f aca="false">SUM(AKR19:AOD19)</f>
        <v>1335.10442398517</v>
      </c>
      <c r="BI19" s="60" t="n">
        <f aca="false">(AJ19-AN19)*(1+AS_Infl)</f>
        <v>0</v>
      </c>
      <c r="BJ19" s="20" t="n">
        <f aca="false">IF(AJ19&gt;0,AK19-AK19*AN19/AJ19,0)</f>
        <v>0</v>
      </c>
      <c r="BK19" s="60" t="n">
        <f aca="false">(AR19-AV19)*(1+BQ19)</f>
        <v>0</v>
      </c>
      <c r="BL19" s="20" t="n">
        <f aca="false">IF(AR19&gt;0,AS19-AS19*AV19/AR19,0)</f>
        <v>0</v>
      </c>
      <c r="BM19" s="60" t="n">
        <f aca="false">BF19+BG19+BH19+BI19+BK19</f>
        <v>3255.14565251333</v>
      </c>
      <c r="BN19" s="60" t="n">
        <f aca="false">(AH19-AG19)+(AN19-AM19)+(AV19-AU19)</f>
        <v>0</v>
      </c>
      <c r="BO19" s="20" t="n">
        <f aca="false">(AE19+BD19+AF19+MAX(0,'Plan cashflow'!QH19)+IF(Slot1_Rate=AS_Cash,'Plan cashflow'!QM19/(1+AS_Cash),0)+IF(Slot2_Rate=AS_Cash,'Plan cashflow'!QQ19/(1+AS_Cash),0)+IF(Slot3_Rate=AS_Cash,'Plan cashflow'!QU19/(1+AS_Cash),0)+IF(Slot4_Rate=AS_Cash,'Plan cashflow'!QY19/(1+AS_Cash),0)+IF(Slot5_Rate=AS_Cash,'Plan cashflow'!RC19/(1+AS_Cash),0)+IF(Slot6_Rate=AS_Cash,'Plan cashflow'!RG19/(1+AS_Cash),0)+IF(Slot7_Rate=AS_Cash,'Plan cashflow'!RK19/(1+AS_Cash),0)+IF(Slot8_Rate=AS_Cash,'Plan cashflow'!RO19/(1+AS_Cash),0)+IF(Slot9_Rate=AS_Cash,'Plan cashflow'!RS19/(1+AS_Cash),0)+IF(Slot10_Rate=AS_Cash,'Plan cashflow'!RW19/(1+AS_Cash),0)+IF(Slot11_Rate=AS_Cash,'Plan cashflow'!SA19/(1+AS_Cash),0)+IF(Slot12_Rate=AS_Cash,'Plan cashflow'!SE19/(1+AS_Cash),0)+IF(Slot13_Rate=AS_Cash,'Plan cashflow'!SI19/(1+AS_Cash),0)+IF(Slot14_Rate=AS_Cash,'Plan cashflow'!SM19/(1+AS_Cash),0)+IF(Slot15_Rate=AS_Cash,'Plan cashflow'!SQ19/(1+AS_Cash),0)+IF(Slot16_Rate=AS_Cash,'Plan cashflow'!SU19/(1+AS_Cash),0)+IF(Slot17_Rate=AS_Cash,'Plan cashflow'!SY19/(1+AS_Cash),0)+IF(Slot18_Rate=AS_Cash,'Plan cashflow'!TC19/(1+AS_Cash),0)+IF(Slot19_Rate=AS_Cash,'Plan cashflow'!TG19/(1+AS_Cash),0)+IF(Slot20_Rate=AS_Cash,'Plan cashflow'!TK19/(1+AS_Cash),0))*AS_Cash*H_DIRT/(1-H_DIRT)</f>
        <v>70.6567670572617</v>
      </c>
      <c r="BP19" s="60" t="n">
        <f aca="false">SUM(AVE19:AYQ19)</f>
        <v>0</v>
      </c>
      <c r="BQ19" s="54" t="n">
        <f aca="false">IF(H_TaxEvt=1,H_InvG,AS_Inv)</f>
        <v>0.04</v>
      </c>
      <c r="BR19" s="20" t="n">
        <f aca="false">IF(AKR18&gt;0,(AKR18-AOE18)/AKR18,0)</f>
        <v>0</v>
      </c>
      <c r="BS19" s="20" t="n">
        <f aca="false">IF(AKS18&gt;0,(AKS18-AOF18)/AKS18,0)</f>
        <v>0</v>
      </c>
      <c r="BT19" s="20" t="n">
        <f aca="false">IF(AKT18&gt;0,(AKT18-AOG18)/AKT18,0)</f>
        <v>0</v>
      </c>
      <c r="BU19" s="20" t="n">
        <f aca="false">IF(AKU18&gt;0,(AKU18-AOH18)/AKU18,0)</f>
        <v>0</v>
      </c>
      <c r="BV19" s="20" t="n">
        <f aca="false">IF(AKV18&gt;0,(AKV18-AOI18)/AKV18,0)</f>
        <v>0</v>
      </c>
      <c r="BW19" s="20" t="n">
        <f aca="false">IF(AKW18&gt;0,(AKW18-AOJ18)/AKW18,0)</f>
        <v>0</v>
      </c>
      <c r="BX19" s="20" t="n">
        <f aca="false">IF(AKX18&gt;0,(AKX18-AOK18)/AKX18,0)</f>
        <v>0</v>
      </c>
      <c r="BY19" s="20" t="n">
        <f aca="false">IF(AKY18&gt;0,(AKY18-AOL18)/AKY18,0)</f>
        <v>0</v>
      </c>
      <c r="BZ19" s="20" t="n">
        <f aca="false">IF(AKZ18&gt;0,(AKZ18-AOM18)/AKZ18,0)</f>
        <v>0</v>
      </c>
      <c r="CA19" s="20" t="n">
        <f aca="false">IF(ALA18&gt;0,(ALA18-AON18)/ALA18,0)</f>
        <v>0</v>
      </c>
      <c r="CB19" s="20" t="n">
        <f aca="false">IF(ALB18&gt;0,(ALB18-AOO18)/ALB18,0)</f>
        <v>0</v>
      </c>
      <c r="CC19" s="20" t="n">
        <f aca="false">IF(ALC18&gt;0,(ALC18-AOP18)/ALC18,0)</f>
        <v>0.0384615384615385</v>
      </c>
      <c r="CD19" s="20" t="n">
        <f aca="false">IF((P19+S19)&gt;0,((P19+S19)-(P19+S19))/(P19+S19),0)</f>
        <v>0</v>
      </c>
      <c r="CE19" s="20" t="n">
        <v>0</v>
      </c>
      <c r="CF19" s="20" t="n">
        <v>0</v>
      </c>
      <c r="CG19" s="20" t="n">
        <v>0</v>
      </c>
      <c r="CH19" s="20" t="n">
        <v>0</v>
      </c>
      <c r="CI19" s="20" t="n">
        <v>0</v>
      </c>
      <c r="CJ19" s="20" t="n">
        <v>0</v>
      </c>
      <c r="CK19" s="20" t="n">
        <v>0</v>
      </c>
      <c r="CL19" s="20" t="n">
        <v>0</v>
      </c>
      <c r="CM19" s="20" t="n">
        <v>0</v>
      </c>
      <c r="CN19" s="20" t="n">
        <v>0</v>
      </c>
      <c r="CO19" s="20" t="n">
        <v>0</v>
      </c>
      <c r="CP19" s="20" t="n">
        <v>0</v>
      </c>
      <c r="CQ19" s="20" t="n">
        <v>0</v>
      </c>
      <c r="CR19" s="20" t="n">
        <v>0</v>
      </c>
      <c r="CS19" s="20" t="n">
        <v>0</v>
      </c>
      <c r="CT19" s="20" t="n">
        <v>0</v>
      </c>
      <c r="CU19" s="20" t="n">
        <v>0</v>
      </c>
      <c r="CV19" s="20" t="n">
        <v>0</v>
      </c>
      <c r="CW19" s="20" t="n">
        <v>0</v>
      </c>
      <c r="CX19" s="20" t="n">
        <v>0</v>
      </c>
      <c r="CY19" s="20" t="n">
        <v>0</v>
      </c>
      <c r="CZ19" s="20" t="n">
        <v>0</v>
      </c>
      <c r="DA19" s="20" t="n">
        <v>0</v>
      </c>
      <c r="DB19" s="20" t="n">
        <v>0</v>
      </c>
      <c r="DC19" s="20" t="n">
        <v>0</v>
      </c>
      <c r="DD19" s="20" t="n">
        <v>0</v>
      </c>
      <c r="DE19" s="20" t="n">
        <v>0</v>
      </c>
      <c r="DF19" s="20" t="n">
        <v>0</v>
      </c>
      <c r="DG19" s="20" t="n">
        <v>0</v>
      </c>
      <c r="DH19" s="20" t="n">
        <v>0</v>
      </c>
      <c r="DI19" s="20" t="n">
        <v>0</v>
      </c>
      <c r="DJ19" s="20" t="n">
        <v>0</v>
      </c>
      <c r="DK19" s="20" t="n">
        <v>0</v>
      </c>
      <c r="DL19" s="20" t="n">
        <v>0</v>
      </c>
      <c r="DM19" s="20" t="n">
        <v>0</v>
      </c>
      <c r="DN19" s="20" t="n">
        <v>0</v>
      </c>
      <c r="DO19" s="20" t="n">
        <v>0</v>
      </c>
      <c r="DP19" s="20" t="n">
        <v>0</v>
      </c>
      <c r="DQ19" s="20" t="n">
        <v>0</v>
      </c>
      <c r="DR19" s="20" t="n">
        <v>0</v>
      </c>
      <c r="DS19" s="20" t="n">
        <v>0</v>
      </c>
      <c r="DT19" s="20" t="n">
        <v>0</v>
      </c>
      <c r="DU19" s="20" t="n">
        <v>0</v>
      </c>
      <c r="DV19" s="20" t="n">
        <v>0</v>
      </c>
      <c r="DW19" s="20" t="n">
        <v>0</v>
      </c>
      <c r="DX19" s="20" t="n">
        <v>0</v>
      </c>
      <c r="DY19" s="20" t="n">
        <v>0</v>
      </c>
      <c r="DZ19" s="20" t="n">
        <v>0</v>
      </c>
      <c r="EA19" s="20" t="n">
        <v>0</v>
      </c>
      <c r="EB19" s="20" t="n">
        <v>0</v>
      </c>
      <c r="EC19" s="20" t="n">
        <v>0</v>
      </c>
      <c r="ED19" s="20" t="n">
        <v>0</v>
      </c>
      <c r="EE19" s="20" t="n">
        <v>0</v>
      </c>
      <c r="EF19" s="20" t="n">
        <v>0</v>
      </c>
      <c r="EG19" s="20" t="n">
        <v>0</v>
      </c>
      <c r="EH19" s="20" t="n">
        <v>0</v>
      </c>
      <c r="EI19" s="20" t="n">
        <v>0</v>
      </c>
      <c r="EJ19" s="20" t="n">
        <v>0</v>
      </c>
      <c r="EK19" s="20" t="n">
        <v>0</v>
      </c>
      <c r="EL19" s="20" t="n">
        <v>0</v>
      </c>
      <c r="EM19" s="20" t="n">
        <v>0</v>
      </c>
      <c r="EN19" s="20" t="n">
        <v>0</v>
      </c>
      <c r="EO19" s="20" t="n">
        <v>0</v>
      </c>
      <c r="EP19" s="20" t="n">
        <v>0</v>
      </c>
      <c r="EQ19" s="20" t="n">
        <v>0</v>
      </c>
      <c r="ER19" s="20" t="n">
        <v>0</v>
      </c>
      <c r="ES19" s="20" t="n">
        <v>0</v>
      </c>
      <c r="ET19" s="20" t="n">
        <v>0</v>
      </c>
      <c r="EU19" s="20" t="n">
        <v>0</v>
      </c>
      <c r="EV19" s="20" t="n">
        <v>0</v>
      </c>
      <c r="EW19" s="20" t="n">
        <v>0</v>
      </c>
      <c r="EX19" s="20" t="n">
        <v>0</v>
      </c>
      <c r="EY19" s="20" t="n">
        <v>0</v>
      </c>
      <c r="EZ19" s="20" t="n">
        <v>0</v>
      </c>
      <c r="FA19" s="20" t="n">
        <v>0</v>
      </c>
      <c r="FB19" s="20" t="n">
        <v>0</v>
      </c>
      <c r="FC19" s="20" t="n">
        <v>0</v>
      </c>
      <c r="FD19" s="20" t="n">
        <v>0</v>
      </c>
      <c r="FE19" s="20" t="n">
        <f aca="false">IF(H_Direct=1,IF(AKR18&lt;=0,0,IF(BR19&lt;=0,AKR18,AKR18-G19*MAX(0,BR19*AKR18-(H19+I19)))),AKR18*(1-MAX(0,BR19)*H_Exit))</f>
        <v>0</v>
      </c>
      <c r="FF19" s="20" t="n">
        <f aca="false">IF(H_Direct=1,IF(AKS18&lt;=0,0,IF(BS19&lt;=0,AKS18,AKS18-G19*MAX(0,BS19*AKS18-(IR19+ME19)))),AKS18*(1-MAX(0,BS19)*H_Exit))</f>
        <v>0</v>
      </c>
      <c r="FG19" s="20" t="n">
        <f aca="false">IF(H_Direct=1,IF(AKT18&lt;=0,0,IF(BT19&lt;=0,AKT18,AKT18-G19*MAX(0,BT19*AKT18-(IS19+MF19)))),AKT18*(1-MAX(0,BT19)*H_Exit))</f>
        <v>0</v>
      </c>
      <c r="FH19" s="20" t="n">
        <f aca="false">IF(H_Direct=1,IF(AKU18&lt;=0,0,IF(BU19&lt;=0,AKU18,AKU18-G19*MAX(0,BU19*AKU18-(IT19+MG19)))),AKU18*(1-MAX(0,BU19)*H_Exit))</f>
        <v>0</v>
      </c>
      <c r="FI19" s="20" t="n">
        <f aca="false">IF(H_Direct=1,IF(AKV18&lt;=0,0,IF(BV19&lt;=0,AKV18,AKV18-G19*MAX(0,BV19*AKV18-(IU19+MH19)))),AKV18*(1-MAX(0,BV19)*H_Exit))</f>
        <v>0</v>
      </c>
      <c r="FJ19" s="20" t="n">
        <f aca="false">IF(H_Direct=1,IF(AKW18&lt;=0,0,IF(BW19&lt;=0,AKW18,AKW18-G19*MAX(0,BW19*AKW18-(IV19+MI19)))),AKW18*(1-MAX(0,BW19)*H_Exit))</f>
        <v>0</v>
      </c>
      <c r="FK19" s="20" t="n">
        <f aca="false">IF(H_Direct=1,IF(AKX18&lt;=0,0,IF(BX19&lt;=0,AKX18,AKX18-G19*MAX(0,BX19*AKX18-(IW19+MJ19)))),AKX18*(1-MAX(0,BX19)*H_Exit))</f>
        <v>0</v>
      </c>
      <c r="FL19" s="20" t="n">
        <f aca="false">IF(H_Direct=1,IF(AKY18&lt;=0,0,IF(BY19&lt;=0,AKY18,AKY18-G19*MAX(0,BY19*AKY18-(IX19+MK19)))),AKY18*(1-MAX(0,BY19)*H_Exit))</f>
        <v>0</v>
      </c>
      <c r="FM19" s="20" t="n">
        <f aca="false">IF(H_Direct=1,IF(AKZ18&lt;=0,0,IF(BZ19&lt;=0,AKZ18,AKZ18-G19*MAX(0,BZ19*AKZ18-(IY19+ML19)))),AKZ18*(1-MAX(0,BZ19)*H_Exit))</f>
        <v>0</v>
      </c>
      <c r="FN19" s="20" t="n">
        <f aca="false">IF(H_Direct=1,IF(ALA18&lt;=0,0,IF(CA19&lt;=0,ALA18,ALA18-G19*MAX(0,CA19*ALA18-(IZ19+MM19)))),ALA18*(1-MAX(0,CA19)*H_Exit))</f>
        <v>0</v>
      </c>
      <c r="FO19" s="20" t="n">
        <f aca="false">IF(H_Direct=1,IF(ALB18&lt;=0,0,IF(CB19&lt;=0,ALB18,ALB18-G19*MAX(0,CB19*ALB18-(JA19+MN19)))),ALB18*(1-MAX(0,CB19)*H_Exit))</f>
        <v>0</v>
      </c>
      <c r="FP19" s="20" t="n">
        <f aca="false">IF(H_Direct=1,IF(ALC18&lt;=0,0,IF(CC19&lt;=0,ALC18,ALC18-G19*MAX(0,CC19*ALC18-(JB19+MO19)))),ALC18*(1-MAX(0,CC19)*H_Exit))</f>
        <v>560.234507912868</v>
      </c>
      <c r="FQ19" s="20" t="n">
        <f aca="false">IF(H_Direct=1,IF((P19+S19)&lt;=0,0,IF(CD19&lt;=0,(P19+S19),(P19+S19)-G19*MAX(0,CD19*(P19+S19)-(JC19+MP19)))),(P19+S19)*(1-MAX(0,CD19)*H_Exit))</f>
        <v>0</v>
      </c>
      <c r="FR19" s="20" t="n">
        <v>0</v>
      </c>
      <c r="FS19" s="20" t="n">
        <v>0</v>
      </c>
      <c r="FT19" s="20" t="n">
        <v>0</v>
      </c>
      <c r="FU19" s="20" t="n">
        <v>0</v>
      </c>
      <c r="FV19" s="20" t="n">
        <v>0</v>
      </c>
      <c r="FW19" s="20" t="n">
        <v>0</v>
      </c>
      <c r="FX19" s="20" t="n">
        <v>0</v>
      </c>
      <c r="FY19" s="20" t="n">
        <v>0</v>
      </c>
      <c r="FZ19" s="20" t="n">
        <v>0</v>
      </c>
      <c r="GA19" s="20" t="n">
        <v>0</v>
      </c>
      <c r="GB19" s="20" t="n">
        <v>0</v>
      </c>
      <c r="GC19" s="20" t="n">
        <v>0</v>
      </c>
      <c r="GD19" s="20" t="n">
        <v>0</v>
      </c>
      <c r="GE19" s="20" t="n">
        <v>0</v>
      </c>
      <c r="GF19" s="20" t="n">
        <v>0</v>
      </c>
      <c r="GG19" s="20" t="n">
        <v>0</v>
      </c>
      <c r="GH19" s="20" t="n">
        <v>0</v>
      </c>
      <c r="GI19" s="20" t="n">
        <v>0</v>
      </c>
      <c r="GJ19" s="20" t="n">
        <v>0</v>
      </c>
      <c r="GK19" s="20" t="n">
        <v>0</v>
      </c>
      <c r="GL19" s="20" t="n">
        <v>0</v>
      </c>
      <c r="GM19" s="20" t="n">
        <v>0</v>
      </c>
      <c r="GN19" s="20" t="n">
        <v>0</v>
      </c>
      <c r="GO19" s="20" t="n">
        <v>0</v>
      </c>
      <c r="GP19" s="20" t="n">
        <v>0</v>
      </c>
      <c r="GQ19" s="20" t="n">
        <v>0</v>
      </c>
      <c r="GR19" s="20" t="n">
        <v>0</v>
      </c>
      <c r="GS19" s="20" t="n">
        <v>0</v>
      </c>
      <c r="GT19" s="20" t="n">
        <v>0</v>
      </c>
      <c r="GU19" s="20" t="n">
        <v>0</v>
      </c>
      <c r="GV19" s="20" t="n">
        <v>0</v>
      </c>
      <c r="GW19" s="20" t="n">
        <v>0</v>
      </c>
      <c r="GX19" s="20" t="n">
        <v>0</v>
      </c>
      <c r="GY19" s="20" t="n">
        <v>0</v>
      </c>
      <c r="GZ19" s="20" t="n">
        <v>0</v>
      </c>
      <c r="HA19" s="20" t="n">
        <v>0</v>
      </c>
      <c r="HB19" s="20" t="n">
        <v>0</v>
      </c>
      <c r="HC19" s="20" t="n">
        <v>0</v>
      </c>
      <c r="HD19" s="20" t="n">
        <v>0</v>
      </c>
      <c r="HE19" s="20" t="n">
        <v>0</v>
      </c>
      <c r="HF19" s="20" t="n">
        <v>0</v>
      </c>
      <c r="HG19" s="20" t="n">
        <v>0</v>
      </c>
      <c r="HH19" s="20" t="n">
        <v>0</v>
      </c>
      <c r="HI19" s="20" t="n">
        <v>0</v>
      </c>
      <c r="HJ19" s="20" t="n">
        <v>0</v>
      </c>
      <c r="HK19" s="20" t="n">
        <v>0</v>
      </c>
      <c r="HL19" s="20" t="n">
        <v>0</v>
      </c>
      <c r="HM19" s="20" t="n">
        <v>0</v>
      </c>
      <c r="HN19" s="20" t="n">
        <v>0</v>
      </c>
      <c r="HO19" s="20" t="n">
        <v>0</v>
      </c>
      <c r="HP19" s="20" t="n">
        <v>0</v>
      </c>
      <c r="HQ19" s="20" t="n">
        <v>0</v>
      </c>
      <c r="HR19" s="20" t="n">
        <v>0</v>
      </c>
      <c r="HS19" s="20" t="n">
        <v>0</v>
      </c>
      <c r="HT19" s="20" t="n">
        <v>0</v>
      </c>
      <c r="HU19" s="20" t="n">
        <v>0</v>
      </c>
      <c r="HV19" s="20" t="n">
        <v>0</v>
      </c>
      <c r="HW19" s="20" t="n">
        <v>0</v>
      </c>
      <c r="HX19" s="20" t="n">
        <v>0</v>
      </c>
      <c r="HY19" s="20" t="n">
        <v>0</v>
      </c>
      <c r="HZ19" s="20" t="n">
        <v>0</v>
      </c>
      <c r="IA19" s="20" t="n">
        <v>0</v>
      </c>
      <c r="IB19" s="20" t="n">
        <v>0</v>
      </c>
      <c r="IC19" s="20" t="n">
        <v>0</v>
      </c>
      <c r="ID19" s="20" t="n">
        <v>0</v>
      </c>
      <c r="IE19" s="20" t="n">
        <v>0</v>
      </c>
      <c r="IF19" s="20" t="n">
        <v>0</v>
      </c>
      <c r="IG19" s="20" t="n">
        <v>0</v>
      </c>
      <c r="IH19" s="20" t="n">
        <v>0</v>
      </c>
      <c r="II19" s="20" t="n">
        <v>0</v>
      </c>
      <c r="IJ19" s="20" t="n">
        <v>0</v>
      </c>
      <c r="IK19" s="20" t="n">
        <v>0</v>
      </c>
      <c r="IL19" s="20" t="n">
        <v>0</v>
      </c>
      <c r="IM19" s="20" t="n">
        <v>0</v>
      </c>
      <c r="IN19" s="20" t="n">
        <v>0</v>
      </c>
      <c r="IO19" s="20" t="n">
        <v>0</v>
      </c>
      <c r="IP19" s="20" t="n">
        <v>0</v>
      </c>
      <c r="IQ19" s="20" t="n">
        <v>0</v>
      </c>
      <c r="IR19" s="20" t="n">
        <f aca="false">IF(AND(H_Direct=1,BR19&gt;0),MAX(0,H19-(MIN(BR19*AKR18,H19+I19)-MIN(MIN(BR19*AKR18,H19+I19),I19))),H19)</f>
        <v>1270</v>
      </c>
      <c r="IS19" s="20" t="n">
        <f aca="false">IF(AND(H_Direct=1,BS19&gt;0),MAX(0,IR19-(MIN(BS19*AKS18,IR19+ME19)-MIN(MIN(BS19*AKS18,IR19+ME19),ME19))),IR19)</f>
        <v>1270</v>
      </c>
      <c r="IT19" s="20" t="n">
        <f aca="false">IF(AND(H_Direct=1,BT19&gt;0),MAX(0,IS19-(MIN(BT19*AKT18,IS19+MF19)-MIN(MIN(BT19*AKT18,IS19+MF19),MF19))),IS19)</f>
        <v>1270</v>
      </c>
      <c r="IU19" s="20" t="n">
        <f aca="false">IF(AND(H_Direct=1,BU19&gt;0),MAX(0,IT19-(MIN(BU19*AKU18,IT19+MG19)-MIN(MIN(BU19*AKU18,IT19+MG19),MG19))),IT19)</f>
        <v>1270</v>
      </c>
      <c r="IV19" s="20" t="n">
        <f aca="false">IF(AND(H_Direct=1,BV19&gt;0),MAX(0,IU19-(MIN(BV19*AKV18,IU19+MH19)-MIN(MIN(BV19*AKV18,IU19+MH19),MH19))),IU19)</f>
        <v>1270</v>
      </c>
      <c r="IW19" s="20" t="n">
        <f aca="false">IF(AND(H_Direct=1,BW19&gt;0),MAX(0,IV19-(MIN(BW19*AKW18,IV19+MI19)-MIN(MIN(BW19*AKW18,IV19+MI19),MI19))),IV19)</f>
        <v>1270</v>
      </c>
      <c r="IX19" s="20" t="n">
        <f aca="false">IF(AND(H_Direct=1,BX19&gt;0),MAX(0,IW19-(MIN(BX19*AKX18,IW19+MJ19)-MIN(MIN(BX19*AKX18,IW19+MJ19),MJ19))),IW19)</f>
        <v>1270</v>
      </c>
      <c r="IY19" s="20" t="n">
        <f aca="false">IF(AND(H_Direct=1,BY19&gt;0),MAX(0,IX19-(MIN(BY19*AKY18,IX19+MK19)-MIN(MIN(BY19*AKY18,IX19+MK19),MK19))),IX19)</f>
        <v>1270</v>
      </c>
      <c r="IZ19" s="20" t="n">
        <f aca="false">IF(AND(H_Direct=1,BZ19&gt;0),MAX(0,IY19-(MIN(BZ19*AKZ18,IY19+ML19)-MIN(MIN(BZ19*AKZ18,IY19+ML19),ML19))),IY19)</f>
        <v>1270</v>
      </c>
      <c r="JA19" s="20" t="n">
        <f aca="false">IF(AND(H_Direct=1,CA19&gt;0),MAX(0,IZ19-(MIN(CA19*ALA18,IZ19+MM19)-MIN(MIN(CA19*ALA18,IZ19+MM19),MM19))),IZ19)</f>
        <v>1270</v>
      </c>
      <c r="JB19" s="20" t="n">
        <f aca="false">IF(AND(H_Direct=1,CB19&gt;0),MAX(0,JA19-(MIN(CB19*ALB18,JA19+MN19)-MIN(MIN(CB19*ALB18,JA19+MN19),MN19))),JA19)</f>
        <v>1270</v>
      </c>
      <c r="JC19" s="20" t="n">
        <f aca="false">IF(AND(H_Direct=1,CC19&gt;0),MAX(0,JB19-(MIN(CC19*ALC18,JB19+MO19)-MIN(MIN(CC19*ALC18,JB19+MO19),MO19))),JB19)</f>
        <v>1270</v>
      </c>
      <c r="JD19" s="20" t="n">
        <f aca="false">IF(AND(H_Direct=1,CD19&gt;0),MAX(0,JC19-(MIN(CD19*(P19+S19),JC19+MP19)-MIN(MIN(CD19*(P19+S19),JC19+MP19),MP19))),JC19)</f>
        <v>1270</v>
      </c>
      <c r="JE19" s="20" t="n">
        <f aca="false">JD19</f>
        <v>1270</v>
      </c>
      <c r="JF19" s="20" t="n">
        <f aca="false">JE19</f>
        <v>1270</v>
      </c>
      <c r="JG19" s="20" t="n">
        <f aca="false">JF19</f>
        <v>1270</v>
      </c>
      <c r="JH19" s="20" t="n">
        <f aca="false">JG19</f>
        <v>1270</v>
      </c>
      <c r="JI19" s="20" t="n">
        <f aca="false">JH19</f>
        <v>1270</v>
      </c>
      <c r="JJ19" s="20" t="n">
        <f aca="false">JI19</f>
        <v>1270</v>
      </c>
      <c r="JK19" s="20" t="n">
        <f aca="false">JJ19</f>
        <v>1270</v>
      </c>
      <c r="JL19" s="20" t="n">
        <f aca="false">JK19</f>
        <v>1270</v>
      </c>
      <c r="JM19" s="20" t="n">
        <f aca="false">JL19</f>
        <v>1270</v>
      </c>
      <c r="JN19" s="20" t="n">
        <f aca="false">JM19</f>
        <v>1270</v>
      </c>
      <c r="JO19" s="20" t="n">
        <f aca="false">JN19</f>
        <v>1270</v>
      </c>
      <c r="JP19" s="20" t="n">
        <f aca="false">JO19</f>
        <v>1270</v>
      </c>
      <c r="JQ19" s="20" t="n">
        <f aca="false">JP19</f>
        <v>1270</v>
      </c>
      <c r="JR19" s="20" t="n">
        <f aca="false">JQ19</f>
        <v>1270</v>
      </c>
      <c r="JS19" s="20" t="n">
        <f aca="false">JR19</f>
        <v>1270</v>
      </c>
      <c r="JT19" s="20" t="n">
        <f aca="false">JS19</f>
        <v>1270</v>
      </c>
      <c r="JU19" s="20" t="n">
        <f aca="false">JT19</f>
        <v>1270</v>
      </c>
      <c r="JV19" s="20" t="n">
        <f aca="false">JU19</f>
        <v>1270</v>
      </c>
      <c r="JW19" s="20" t="n">
        <f aca="false">JV19</f>
        <v>1270</v>
      </c>
      <c r="JX19" s="20" t="n">
        <f aca="false">JW19</f>
        <v>1270</v>
      </c>
      <c r="JY19" s="20" t="n">
        <f aca="false">JX19</f>
        <v>1270</v>
      </c>
      <c r="JZ19" s="20" t="n">
        <f aca="false">JY19</f>
        <v>1270</v>
      </c>
      <c r="KA19" s="20" t="n">
        <f aca="false">JZ19</f>
        <v>1270</v>
      </c>
      <c r="KB19" s="20" t="n">
        <f aca="false">KA19</f>
        <v>1270</v>
      </c>
      <c r="KC19" s="20" t="n">
        <f aca="false">KB19</f>
        <v>1270</v>
      </c>
      <c r="KD19" s="20" t="n">
        <f aca="false">KC19</f>
        <v>1270</v>
      </c>
      <c r="KE19" s="20" t="n">
        <f aca="false">KD19</f>
        <v>1270</v>
      </c>
      <c r="KF19" s="20" t="n">
        <f aca="false">KE19</f>
        <v>1270</v>
      </c>
      <c r="KG19" s="20" t="n">
        <f aca="false">KF19</f>
        <v>1270</v>
      </c>
      <c r="KH19" s="20" t="n">
        <f aca="false">KG19</f>
        <v>1270</v>
      </c>
      <c r="KI19" s="20" t="n">
        <f aca="false">KH19</f>
        <v>1270</v>
      </c>
      <c r="KJ19" s="20" t="n">
        <f aca="false">KI19</f>
        <v>1270</v>
      </c>
      <c r="KK19" s="20" t="n">
        <f aca="false">KJ19</f>
        <v>1270</v>
      </c>
      <c r="KL19" s="20" t="n">
        <f aca="false">KK19</f>
        <v>1270</v>
      </c>
      <c r="KM19" s="20" t="n">
        <f aca="false">KL19</f>
        <v>1270</v>
      </c>
      <c r="KN19" s="20" t="n">
        <f aca="false">KM19</f>
        <v>1270</v>
      </c>
      <c r="KO19" s="20" t="n">
        <f aca="false">KN19</f>
        <v>1270</v>
      </c>
      <c r="KP19" s="20" t="n">
        <f aca="false">KO19</f>
        <v>1270</v>
      </c>
      <c r="KQ19" s="20" t="n">
        <f aca="false">KP19</f>
        <v>1270</v>
      </c>
      <c r="KR19" s="20" t="n">
        <f aca="false">KQ19</f>
        <v>1270</v>
      </c>
      <c r="KS19" s="20" t="n">
        <f aca="false">KR19</f>
        <v>1270</v>
      </c>
      <c r="KT19" s="20" t="n">
        <f aca="false">KS19</f>
        <v>1270</v>
      </c>
      <c r="KU19" s="20" t="n">
        <f aca="false">KT19</f>
        <v>1270</v>
      </c>
      <c r="KV19" s="20" t="n">
        <f aca="false">KU19</f>
        <v>1270</v>
      </c>
      <c r="KW19" s="20" t="n">
        <f aca="false">KV19</f>
        <v>1270</v>
      </c>
      <c r="KX19" s="20" t="n">
        <f aca="false">KW19</f>
        <v>1270</v>
      </c>
      <c r="KY19" s="20" t="n">
        <f aca="false">KX19</f>
        <v>1270</v>
      </c>
      <c r="KZ19" s="20" t="n">
        <f aca="false">KY19</f>
        <v>1270</v>
      </c>
      <c r="LA19" s="20" t="n">
        <f aca="false">KZ19</f>
        <v>1270</v>
      </c>
      <c r="LB19" s="20" t="n">
        <f aca="false">LA19</f>
        <v>1270</v>
      </c>
      <c r="LC19" s="20" t="n">
        <f aca="false">LB19</f>
        <v>1270</v>
      </c>
      <c r="LD19" s="20" t="n">
        <f aca="false">LC19</f>
        <v>1270</v>
      </c>
      <c r="LE19" s="20" t="n">
        <f aca="false">LD19</f>
        <v>1270</v>
      </c>
      <c r="LF19" s="20" t="n">
        <f aca="false">LE19</f>
        <v>1270</v>
      </c>
      <c r="LG19" s="20" t="n">
        <f aca="false">LF19</f>
        <v>1270</v>
      </c>
      <c r="LH19" s="20" t="n">
        <f aca="false">LG19</f>
        <v>1270</v>
      </c>
      <c r="LI19" s="20" t="n">
        <f aca="false">LH19</f>
        <v>1270</v>
      </c>
      <c r="LJ19" s="20" t="n">
        <f aca="false">LI19</f>
        <v>1270</v>
      </c>
      <c r="LK19" s="20" t="n">
        <f aca="false">LJ19</f>
        <v>1270</v>
      </c>
      <c r="LL19" s="20" t="n">
        <f aca="false">LK19</f>
        <v>1270</v>
      </c>
      <c r="LM19" s="20" t="n">
        <f aca="false">LL19</f>
        <v>1270</v>
      </c>
      <c r="LN19" s="20" t="n">
        <f aca="false">LM19</f>
        <v>1270</v>
      </c>
      <c r="LO19" s="20" t="n">
        <f aca="false">LN19</f>
        <v>1270</v>
      </c>
      <c r="LP19" s="20" t="n">
        <f aca="false">LO19</f>
        <v>1270</v>
      </c>
      <c r="LQ19" s="20" t="n">
        <f aca="false">LP19</f>
        <v>1270</v>
      </c>
      <c r="LR19" s="20" t="n">
        <f aca="false">LQ19</f>
        <v>1270</v>
      </c>
      <c r="LS19" s="20" t="n">
        <f aca="false">LR19</f>
        <v>1270</v>
      </c>
      <c r="LT19" s="20" t="n">
        <f aca="false">LS19</f>
        <v>1270</v>
      </c>
      <c r="LU19" s="20" t="n">
        <f aca="false">LT19</f>
        <v>1270</v>
      </c>
      <c r="LV19" s="20" t="n">
        <f aca="false">LU19</f>
        <v>1270</v>
      </c>
      <c r="LW19" s="20" t="n">
        <f aca="false">LV19</f>
        <v>1270</v>
      </c>
      <c r="LX19" s="20" t="n">
        <f aca="false">LW19</f>
        <v>1270</v>
      </c>
      <c r="LY19" s="20" t="n">
        <f aca="false">LX19</f>
        <v>1270</v>
      </c>
      <c r="LZ19" s="20" t="n">
        <f aca="false">LY19</f>
        <v>1270</v>
      </c>
      <c r="MA19" s="20" t="n">
        <f aca="false">LZ19</f>
        <v>1270</v>
      </c>
      <c r="MB19" s="20" t="n">
        <f aca="false">MA19</f>
        <v>1270</v>
      </c>
      <c r="MC19" s="20" t="n">
        <f aca="false">MB19</f>
        <v>1270</v>
      </c>
      <c r="MD19" s="20" t="n">
        <f aca="false">MC19</f>
        <v>1270</v>
      </c>
      <c r="ME19" s="20" t="n">
        <f aca="false">IF(H_Direct=1,IF(BR19&lt;=0,I19-BR19*AKR18,I19-MIN(MIN(BR19*AKR18,H19+I19),I19)),I19)</f>
        <v>0</v>
      </c>
      <c r="MF19" s="20" t="n">
        <f aca="false">IF(H_Direct=1,IF(BS19&lt;=0,ME19-BS19*AKS18,ME19-MIN(MIN(BS19*AKS18,IR19+ME19),ME19)),ME19)</f>
        <v>0</v>
      </c>
      <c r="MG19" s="20" t="n">
        <f aca="false">IF(H_Direct=1,IF(BT19&lt;=0,MF19-BT19*AKT18,MF19-MIN(MIN(BT19*AKT18,IS19+MF19),MF19)),MF19)</f>
        <v>0</v>
      </c>
      <c r="MH19" s="20" t="n">
        <f aca="false">IF(H_Direct=1,IF(BU19&lt;=0,MG19-BU19*AKU18,MG19-MIN(MIN(BU19*AKU18,IT19+MG19),MG19)),MG19)</f>
        <v>0</v>
      </c>
      <c r="MI19" s="20" t="n">
        <f aca="false">IF(H_Direct=1,IF(BV19&lt;=0,MH19-BV19*AKV18,MH19-MIN(MIN(BV19*AKV18,IU19+MH19),MH19)),MH19)</f>
        <v>0</v>
      </c>
      <c r="MJ19" s="20" t="n">
        <f aca="false">IF(H_Direct=1,IF(BW19&lt;=0,MI19-BW19*AKW18,MI19-MIN(MIN(BW19*AKW18,IV19+MI19),MI19)),MI19)</f>
        <v>0</v>
      </c>
      <c r="MK19" s="20" t="n">
        <f aca="false">IF(H_Direct=1,IF(BX19&lt;=0,MJ19-BX19*AKX18,MJ19-MIN(MIN(BX19*AKX18,IW19+MJ19),MJ19)),MJ19)</f>
        <v>0</v>
      </c>
      <c r="ML19" s="20" t="n">
        <f aca="false">IF(H_Direct=1,IF(BY19&lt;=0,MK19-BY19*AKY18,MK19-MIN(MIN(BY19*AKY18,IX19+MK19),MK19)),MK19)</f>
        <v>0</v>
      </c>
      <c r="MM19" s="20" t="n">
        <f aca="false">IF(H_Direct=1,IF(BZ19&lt;=0,ML19-BZ19*AKZ18,ML19-MIN(MIN(BZ19*AKZ18,IY19+ML19),ML19)),ML19)</f>
        <v>0</v>
      </c>
      <c r="MN19" s="20" t="n">
        <f aca="false">IF(H_Direct=1,IF(CA19&lt;=0,MM19-CA19*ALA18,MM19-MIN(MIN(CA19*ALA18,IZ19+MM19),MM19)),MM19)</f>
        <v>0</v>
      </c>
      <c r="MO19" s="20" t="n">
        <f aca="false">IF(H_Direct=1,IF(CB19&lt;=0,MN19-CB19*ALB18,MN19-MIN(MIN(CB19*ALB18,JA19+MN19),MN19)),MN19)</f>
        <v>0</v>
      </c>
      <c r="MP19" s="20" t="n">
        <f aca="false">IF(H_Direct=1,IF(CC19&lt;=0,MO19-CC19*ALC18,MO19-MIN(MIN(CC19*ALC18,JB19+MO19),MO19)),MO19)</f>
        <v>0</v>
      </c>
      <c r="MQ19" s="20" t="n">
        <f aca="false">IF(H_Direct=1,IF(CD19&lt;=0,MP19-CD19*(P19+S19),MP19-MIN(MIN(CD19*(P19+S19),JC19+MP19),MP19)),MP19)</f>
        <v>0</v>
      </c>
      <c r="MR19" s="20" t="n">
        <f aca="false">MQ19</f>
        <v>0</v>
      </c>
      <c r="MS19" s="20" t="n">
        <f aca="false">MR19</f>
        <v>0</v>
      </c>
      <c r="MT19" s="20" t="n">
        <f aca="false">MS19</f>
        <v>0</v>
      </c>
      <c r="MU19" s="20" t="n">
        <f aca="false">MT19</f>
        <v>0</v>
      </c>
      <c r="MV19" s="20" t="n">
        <f aca="false">MU19</f>
        <v>0</v>
      </c>
      <c r="MW19" s="20" t="n">
        <f aca="false">MV19</f>
        <v>0</v>
      </c>
      <c r="MX19" s="20" t="n">
        <f aca="false">MW19</f>
        <v>0</v>
      </c>
      <c r="MY19" s="20" t="n">
        <f aca="false">MX19</f>
        <v>0</v>
      </c>
      <c r="MZ19" s="20" t="n">
        <f aca="false">MY19</f>
        <v>0</v>
      </c>
      <c r="NA19" s="20" t="n">
        <f aca="false">MZ19</f>
        <v>0</v>
      </c>
      <c r="NB19" s="20" t="n">
        <f aca="false">NA19</f>
        <v>0</v>
      </c>
      <c r="NC19" s="20" t="n">
        <f aca="false">NB19</f>
        <v>0</v>
      </c>
      <c r="ND19" s="20" t="n">
        <f aca="false">NC19</f>
        <v>0</v>
      </c>
      <c r="NE19" s="20" t="n">
        <f aca="false">ND19</f>
        <v>0</v>
      </c>
      <c r="NF19" s="20" t="n">
        <f aca="false">NE19</f>
        <v>0</v>
      </c>
      <c r="NG19" s="20" t="n">
        <f aca="false">NF19</f>
        <v>0</v>
      </c>
      <c r="NH19" s="20" t="n">
        <f aca="false">NG19</f>
        <v>0</v>
      </c>
      <c r="NI19" s="20" t="n">
        <f aca="false">NH19</f>
        <v>0</v>
      </c>
      <c r="NJ19" s="20" t="n">
        <f aca="false">NI19</f>
        <v>0</v>
      </c>
      <c r="NK19" s="20" t="n">
        <f aca="false">NJ19</f>
        <v>0</v>
      </c>
      <c r="NL19" s="20" t="n">
        <f aca="false">NK19</f>
        <v>0</v>
      </c>
      <c r="NM19" s="20" t="n">
        <f aca="false">NL19</f>
        <v>0</v>
      </c>
      <c r="NN19" s="20" t="n">
        <f aca="false">NM19</f>
        <v>0</v>
      </c>
      <c r="NO19" s="20" t="n">
        <f aca="false">NN19</f>
        <v>0</v>
      </c>
      <c r="NP19" s="20" t="n">
        <f aca="false">NO19</f>
        <v>0</v>
      </c>
      <c r="NQ19" s="20" t="n">
        <f aca="false">NP19</f>
        <v>0</v>
      </c>
      <c r="NR19" s="20" t="n">
        <f aca="false">NQ19</f>
        <v>0</v>
      </c>
      <c r="NS19" s="20" t="n">
        <f aca="false">NR19</f>
        <v>0</v>
      </c>
      <c r="NT19" s="20" t="n">
        <f aca="false">NS19</f>
        <v>0</v>
      </c>
      <c r="NU19" s="20" t="n">
        <f aca="false">NT19</f>
        <v>0</v>
      </c>
      <c r="NV19" s="20" t="n">
        <f aca="false">NU19</f>
        <v>0</v>
      </c>
      <c r="NW19" s="20" t="n">
        <f aca="false">NV19</f>
        <v>0</v>
      </c>
      <c r="NX19" s="20" t="n">
        <f aca="false">NW19</f>
        <v>0</v>
      </c>
      <c r="NY19" s="20" t="n">
        <f aca="false">NX19</f>
        <v>0</v>
      </c>
      <c r="NZ19" s="20" t="n">
        <f aca="false">NY19</f>
        <v>0</v>
      </c>
      <c r="OA19" s="20" t="n">
        <f aca="false">NZ19</f>
        <v>0</v>
      </c>
      <c r="OB19" s="20" t="n">
        <f aca="false">OA19</f>
        <v>0</v>
      </c>
      <c r="OC19" s="20" t="n">
        <f aca="false">OB19</f>
        <v>0</v>
      </c>
      <c r="OD19" s="20" t="n">
        <f aca="false">OC19</f>
        <v>0</v>
      </c>
      <c r="OE19" s="20" t="n">
        <f aca="false">OD19</f>
        <v>0</v>
      </c>
      <c r="OF19" s="20" t="n">
        <f aca="false">OE19</f>
        <v>0</v>
      </c>
      <c r="OG19" s="20" t="n">
        <f aca="false">OF19</f>
        <v>0</v>
      </c>
      <c r="OH19" s="20" t="n">
        <f aca="false">OG19</f>
        <v>0</v>
      </c>
      <c r="OI19" s="20" t="n">
        <f aca="false">OH19</f>
        <v>0</v>
      </c>
      <c r="OJ19" s="20" t="n">
        <f aca="false">OI19</f>
        <v>0</v>
      </c>
      <c r="OK19" s="20" t="n">
        <f aca="false">OJ19</f>
        <v>0</v>
      </c>
      <c r="OL19" s="20" t="n">
        <f aca="false">OK19</f>
        <v>0</v>
      </c>
      <c r="OM19" s="20" t="n">
        <f aca="false">OL19</f>
        <v>0</v>
      </c>
      <c r="ON19" s="20" t="n">
        <f aca="false">OM19</f>
        <v>0</v>
      </c>
      <c r="OO19" s="20" t="n">
        <f aca="false">ON19</f>
        <v>0</v>
      </c>
      <c r="OP19" s="20" t="n">
        <f aca="false">OO19</f>
        <v>0</v>
      </c>
      <c r="OQ19" s="20" t="n">
        <f aca="false">OP19</f>
        <v>0</v>
      </c>
      <c r="OR19" s="20" t="n">
        <f aca="false">OQ19</f>
        <v>0</v>
      </c>
      <c r="OS19" s="20" t="n">
        <f aca="false">OR19</f>
        <v>0</v>
      </c>
      <c r="OT19" s="20" t="n">
        <f aca="false">OS19</f>
        <v>0</v>
      </c>
      <c r="OU19" s="20" t="n">
        <f aca="false">OT19</f>
        <v>0</v>
      </c>
      <c r="OV19" s="20" t="n">
        <f aca="false">OU19</f>
        <v>0</v>
      </c>
      <c r="OW19" s="20" t="n">
        <f aca="false">OV19</f>
        <v>0</v>
      </c>
      <c r="OX19" s="20" t="n">
        <f aca="false">OW19</f>
        <v>0</v>
      </c>
      <c r="OY19" s="20" t="n">
        <f aca="false">OX19</f>
        <v>0</v>
      </c>
      <c r="OZ19" s="20" t="n">
        <f aca="false">OY19</f>
        <v>0</v>
      </c>
      <c r="PA19" s="20" t="n">
        <f aca="false">OZ19</f>
        <v>0</v>
      </c>
      <c r="PB19" s="20" t="n">
        <f aca="false">PA19</f>
        <v>0</v>
      </c>
      <c r="PC19" s="20" t="n">
        <f aca="false">PB19</f>
        <v>0</v>
      </c>
      <c r="PD19" s="20" t="n">
        <f aca="false">PC19</f>
        <v>0</v>
      </c>
      <c r="PE19" s="20" t="n">
        <f aca="false">PD19</f>
        <v>0</v>
      </c>
      <c r="PF19" s="20" t="n">
        <f aca="false">PE19</f>
        <v>0</v>
      </c>
      <c r="PG19" s="20" t="n">
        <f aca="false">PF19</f>
        <v>0</v>
      </c>
      <c r="PH19" s="20" t="n">
        <f aca="false">PG19</f>
        <v>0</v>
      </c>
      <c r="PI19" s="20" t="n">
        <f aca="false">PH19</f>
        <v>0</v>
      </c>
      <c r="PJ19" s="20" t="n">
        <f aca="false">PI19</f>
        <v>0</v>
      </c>
      <c r="PK19" s="20" t="n">
        <f aca="false">PJ19</f>
        <v>0</v>
      </c>
      <c r="PL19" s="20" t="n">
        <f aca="false">PK19</f>
        <v>0</v>
      </c>
      <c r="PM19" s="20" t="n">
        <f aca="false">PL19</f>
        <v>0</v>
      </c>
      <c r="PN19" s="20" t="n">
        <f aca="false">PM19</f>
        <v>0</v>
      </c>
      <c r="PO19" s="20" t="n">
        <f aca="false">PN19</f>
        <v>0</v>
      </c>
      <c r="PP19" s="20" t="n">
        <f aca="false">PO19</f>
        <v>0</v>
      </c>
      <c r="PQ19" s="20" t="n">
        <f aca="false">PP19</f>
        <v>0</v>
      </c>
      <c r="PR19" s="20" t="n">
        <f aca="false">IF(H_Direct=1,IF(AKR18&lt;=0,0,IF(BR19&lt;=0,MIN(MAX(0,AB19),AKR18),MIN(MAX(0,AB19),AKR18-G19*MAX(0,BR19*AKR18-(H19+I19))))),MIN(FE19,MAX(0,AB19)))</f>
        <v>0</v>
      </c>
      <c r="PS19" s="20" t="n">
        <f aca="false">IF(H_Direct=1,IF(AKS18&lt;=0,0,IF(BS19&lt;=0,MIN(MAX(0,AB19-SUM(PR19:PR19)),AKS18),MIN(MAX(0,AB19-SUM(PR19:PR19)),AKS18-G19*MAX(0,BS19*AKS18-(WR19+AAE19))))),MIN(FF19,MAX(0,AB19-SUM(PR19:PR19))))</f>
        <v>0</v>
      </c>
      <c r="PT19" s="20" t="n">
        <f aca="false">IF(H_Direct=1,IF(AKT18&lt;=0,0,IF(BT19&lt;=0,MIN(MAX(0,AB19-SUM(PR19:PS19)),AKT18),MIN(MAX(0,AB19-SUM(PR19:PS19)),AKT18-G19*MAX(0,BT19*AKT18-(WS19+AAF19))))),MIN(FG19,MAX(0,AB19-SUM(PR19:PS19))))</f>
        <v>0</v>
      </c>
      <c r="PU19" s="20" t="n">
        <f aca="false">IF(H_Direct=1,IF(AKU18&lt;=0,0,IF(BU19&lt;=0,MIN(MAX(0,AB19-SUM(PR19:PT19)),AKU18),MIN(MAX(0,AB19-SUM(PR19:PT19)),AKU18-G19*MAX(0,BU19*AKU18-(WT19+AAG19))))),MIN(FH19,MAX(0,AB19-SUM(PR19:PT19))))</f>
        <v>0</v>
      </c>
      <c r="PV19" s="20" t="n">
        <f aca="false">IF(H_Direct=1,IF(AKV18&lt;=0,0,IF(BV19&lt;=0,MIN(MAX(0,AB19-SUM(PR19:PU19)),AKV18),MIN(MAX(0,AB19-SUM(PR19:PU19)),AKV18-G19*MAX(0,BV19*AKV18-(WU19+AAH19))))),MIN(FI19,MAX(0,AB19-SUM(PR19:PU19))))</f>
        <v>0</v>
      </c>
      <c r="PW19" s="20" t="n">
        <f aca="false">IF(H_Direct=1,IF(AKW18&lt;=0,0,IF(BW19&lt;=0,MIN(MAX(0,AB19-SUM(PR19:PV19)),AKW18),MIN(MAX(0,AB19-SUM(PR19:PV19)),AKW18-G19*MAX(0,BW19*AKW18-(WV19+AAI19))))),MIN(FJ19,MAX(0,AB19-SUM(PR19:PV19))))</f>
        <v>0</v>
      </c>
      <c r="PX19" s="20" t="n">
        <f aca="false">IF(H_Direct=1,IF(AKX18&lt;=0,0,IF(BX19&lt;=0,MIN(MAX(0,AB19-SUM(PR19:PW19)),AKX18),MIN(MAX(0,AB19-SUM(PR19:PW19)),AKX18-G19*MAX(0,BX19*AKX18-(WW19+AAJ19))))),MIN(FK19,MAX(0,AB19-SUM(PR19:PW19))))</f>
        <v>0</v>
      </c>
      <c r="PY19" s="20" t="n">
        <f aca="false">IF(H_Direct=1,IF(AKY18&lt;=0,0,IF(BY19&lt;=0,MIN(MAX(0,AB19-SUM(PR19:PX19)),AKY18),MIN(MAX(0,AB19-SUM(PR19:PX19)),AKY18-G19*MAX(0,BY19*AKY18-(WX19+AAK19))))),MIN(FL19,MAX(0,AB19-SUM(PR19:PX19))))</f>
        <v>0</v>
      </c>
      <c r="PZ19" s="20" t="n">
        <f aca="false">IF(H_Direct=1,IF(AKZ18&lt;=0,0,IF(BZ19&lt;=0,MIN(MAX(0,AB19-SUM(PR19:PY19)),AKZ18),MIN(MAX(0,AB19-SUM(PR19:PY19)),AKZ18-G19*MAX(0,BZ19*AKZ18-(WY19+AAL19))))),MIN(FM19,MAX(0,AB19-SUM(PR19:PY19))))</f>
        <v>0</v>
      </c>
      <c r="QA19" s="20" t="n">
        <f aca="false">IF(H_Direct=1,IF(ALA18&lt;=0,0,IF(CA19&lt;=0,MIN(MAX(0,AB19-SUM(PR19:PZ19)),ALA18),MIN(MAX(0,AB19-SUM(PR19:PZ19)),ALA18-G19*MAX(0,CA19*ALA18-(WZ19+AAM19))))),MIN(FN19,MAX(0,AB19-SUM(PR19:PZ19))))</f>
        <v>0</v>
      </c>
      <c r="QB19" s="20" t="n">
        <f aca="false">IF(H_Direct=1,IF(ALB18&lt;=0,0,IF(CB19&lt;=0,MIN(MAX(0,AB19-SUM(PR19:QA19)),ALB18),MIN(MAX(0,AB19-SUM(PR19:QA19)),ALB18-G19*MAX(0,CB19*ALB18-(XA19+AAN19))))),MIN(FO19,MAX(0,AB19-SUM(PR19:QA19))))</f>
        <v>0</v>
      </c>
      <c r="QC19" s="20" t="n">
        <f aca="false">IF(H_Direct=1,IF(ALC18&lt;=0,0,IF(CC19&lt;=0,MIN(MAX(0,AB19-SUM(PR19:QB19)),ALC18),MIN(MAX(0,AB19-SUM(PR19:QB19)),ALC18-G19*MAX(0,CC19*ALC18-(XB19+AAO19))))),MIN(FP19,MAX(0,AB19-SUM(PR19:QB19))))</f>
        <v>0</v>
      </c>
      <c r="QD19" s="20" t="n">
        <f aca="false">IF(H_Direct=1,IF((P19+S19)&lt;=0,0,IF(CD19&lt;=0,MIN(MAX(0,AB19-SUM(PR19:QC19)),(P19+S19)),MIN(MAX(0,AB19-SUM(PR19:QC19)),(P19+S19)-G19*MAX(0,CD19*(P19+S19)-(XC19+AAP19))))),MIN(FQ19,MAX(0,AB19-SUM(PR19:QC19))))</f>
        <v>0</v>
      </c>
      <c r="QE19" s="20" t="n">
        <v>0</v>
      </c>
      <c r="QF19" s="20" t="n">
        <v>0</v>
      </c>
      <c r="QG19" s="20" t="n">
        <v>0</v>
      </c>
      <c r="QH19" s="20" t="n">
        <v>0</v>
      </c>
      <c r="QI19" s="20" t="n">
        <v>0</v>
      </c>
      <c r="QJ19" s="20" t="n">
        <v>0</v>
      </c>
      <c r="QK19" s="20" t="n">
        <v>0</v>
      </c>
      <c r="QL19" s="20" t="n">
        <v>0</v>
      </c>
      <c r="QM19" s="20" t="n">
        <v>0</v>
      </c>
      <c r="QN19" s="20" t="n">
        <v>0</v>
      </c>
      <c r="QO19" s="20" t="n">
        <v>0</v>
      </c>
      <c r="QP19" s="20" t="n">
        <v>0</v>
      </c>
      <c r="QQ19" s="20" t="n">
        <v>0</v>
      </c>
      <c r="QR19" s="20" t="n">
        <v>0</v>
      </c>
      <c r="QS19" s="20" t="n">
        <v>0</v>
      </c>
      <c r="QT19" s="20" t="n">
        <v>0</v>
      </c>
      <c r="QU19" s="20" t="n">
        <v>0</v>
      </c>
      <c r="QV19" s="20" t="n">
        <v>0</v>
      </c>
      <c r="QW19" s="20" t="n">
        <v>0</v>
      </c>
      <c r="QX19" s="20" t="n">
        <v>0</v>
      </c>
      <c r="QY19" s="20" t="n">
        <v>0</v>
      </c>
      <c r="QZ19" s="20" t="n">
        <v>0</v>
      </c>
      <c r="RA19" s="20" t="n">
        <v>0</v>
      </c>
      <c r="RB19" s="20" t="n">
        <v>0</v>
      </c>
      <c r="RC19" s="20" t="n">
        <v>0</v>
      </c>
      <c r="RD19" s="20" t="n">
        <v>0</v>
      </c>
      <c r="RE19" s="20" t="n">
        <v>0</v>
      </c>
      <c r="RF19" s="20" t="n">
        <v>0</v>
      </c>
      <c r="RG19" s="20" t="n">
        <v>0</v>
      </c>
      <c r="RH19" s="20" t="n">
        <v>0</v>
      </c>
      <c r="RI19" s="20" t="n">
        <v>0</v>
      </c>
      <c r="RJ19" s="20" t="n">
        <v>0</v>
      </c>
      <c r="RK19" s="20" t="n">
        <v>0</v>
      </c>
      <c r="RL19" s="20" t="n">
        <v>0</v>
      </c>
      <c r="RM19" s="20" t="n">
        <v>0</v>
      </c>
      <c r="RN19" s="20" t="n">
        <v>0</v>
      </c>
      <c r="RO19" s="20" t="n">
        <v>0</v>
      </c>
      <c r="RP19" s="20" t="n">
        <v>0</v>
      </c>
      <c r="RQ19" s="20" t="n">
        <v>0</v>
      </c>
      <c r="RR19" s="20" t="n">
        <v>0</v>
      </c>
      <c r="RS19" s="20" t="n">
        <v>0</v>
      </c>
      <c r="RT19" s="20" t="n">
        <v>0</v>
      </c>
      <c r="RU19" s="20" t="n">
        <v>0</v>
      </c>
      <c r="RV19" s="20" t="n">
        <v>0</v>
      </c>
      <c r="RW19" s="20" t="n">
        <v>0</v>
      </c>
      <c r="RX19" s="20" t="n">
        <v>0</v>
      </c>
      <c r="RY19" s="20" t="n">
        <v>0</v>
      </c>
      <c r="RZ19" s="20" t="n">
        <v>0</v>
      </c>
      <c r="SA19" s="20" t="n">
        <v>0</v>
      </c>
      <c r="SB19" s="20" t="n">
        <v>0</v>
      </c>
      <c r="SC19" s="20" t="n">
        <v>0</v>
      </c>
      <c r="SD19" s="20" t="n">
        <v>0</v>
      </c>
      <c r="SE19" s="20" t="n">
        <v>0</v>
      </c>
      <c r="SF19" s="20" t="n">
        <v>0</v>
      </c>
      <c r="SG19" s="20" t="n">
        <v>0</v>
      </c>
      <c r="SH19" s="20" t="n">
        <v>0</v>
      </c>
      <c r="SI19" s="20" t="n">
        <v>0</v>
      </c>
      <c r="SJ19" s="20" t="n">
        <v>0</v>
      </c>
      <c r="SK19" s="20" t="n">
        <v>0</v>
      </c>
      <c r="SL19" s="20" t="n">
        <v>0</v>
      </c>
      <c r="SM19" s="20" t="n">
        <v>0</v>
      </c>
      <c r="SN19" s="20" t="n">
        <v>0</v>
      </c>
      <c r="SO19" s="20" t="n">
        <v>0</v>
      </c>
      <c r="SP19" s="20" t="n">
        <v>0</v>
      </c>
      <c r="SQ19" s="20" t="n">
        <v>0</v>
      </c>
      <c r="SR19" s="20" t="n">
        <v>0</v>
      </c>
      <c r="SS19" s="20" t="n">
        <v>0</v>
      </c>
      <c r="ST19" s="20" t="n">
        <v>0</v>
      </c>
      <c r="SU19" s="20" t="n">
        <v>0</v>
      </c>
      <c r="SV19" s="20" t="n">
        <v>0</v>
      </c>
      <c r="SW19" s="20" t="n">
        <v>0</v>
      </c>
      <c r="SX19" s="20" t="n">
        <v>0</v>
      </c>
      <c r="SY19" s="20" t="n">
        <v>0</v>
      </c>
      <c r="SZ19" s="20" t="n">
        <v>0</v>
      </c>
      <c r="TA19" s="20" t="n">
        <v>0</v>
      </c>
      <c r="TB19" s="20" t="n">
        <v>0</v>
      </c>
      <c r="TC19" s="20" t="n">
        <v>0</v>
      </c>
      <c r="TD19" s="20" t="n">
        <v>0</v>
      </c>
      <c r="TE19" s="20" t="n">
        <f aca="false">IF(AKR18&lt;=0,0,IF(H_Direct=1,IF(BR19&lt;=0,PR19,IF(PR19&lt;=(H19+I19)/BR19,PR19,(PR19-G19*(H19+I19))/(1-G19*BR19))),PR19/(1-MAX(0,BR19)*H_Exit)))</f>
        <v>0</v>
      </c>
      <c r="TF19" s="20" t="n">
        <f aca="false">IF(AKS18&lt;=0,0,IF(H_Direct=1,IF(BS19&lt;=0,PS19,IF(PS19&lt;=(WR19+AAE19)/BS19,PS19,(PS19-G19*(WR19+AAE19))/(1-G19*BS19))),PS19/(1-MAX(0,BS19)*H_Exit)))</f>
        <v>0</v>
      </c>
      <c r="TG19" s="20" t="n">
        <f aca="false">IF(AKT18&lt;=0,0,IF(H_Direct=1,IF(BT19&lt;=0,PT19,IF(PT19&lt;=(WS19+AAF19)/BT19,PT19,(PT19-G19*(WS19+AAF19))/(1-G19*BT19))),PT19/(1-MAX(0,BT19)*H_Exit)))</f>
        <v>0</v>
      </c>
      <c r="TH19" s="20" t="n">
        <f aca="false">IF(AKU18&lt;=0,0,IF(H_Direct=1,IF(BU19&lt;=0,PU19,IF(PU19&lt;=(WT19+AAG19)/BU19,PU19,(PU19-G19*(WT19+AAG19))/(1-G19*BU19))),PU19/(1-MAX(0,BU19)*H_Exit)))</f>
        <v>0</v>
      </c>
      <c r="TI19" s="20" t="n">
        <f aca="false">IF(AKV18&lt;=0,0,IF(H_Direct=1,IF(BV19&lt;=0,PV19,IF(PV19&lt;=(WU19+AAH19)/BV19,PV19,(PV19-G19*(WU19+AAH19))/(1-G19*BV19))),PV19/(1-MAX(0,BV19)*H_Exit)))</f>
        <v>0</v>
      </c>
      <c r="TJ19" s="20" t="n">
        <f aca="false">IF(AKW18&lt;=0,0,IF(H_Direct=1,IF(BW19&lt;=0,PW19,IF(PW19&lt;=(WV19+AAI19)/BW19,PW19,(PW19-G19*(WV19+AAI19))/(1-G19*BW19))),PW19/(1-MAX(0,BW19)*H_Exit)))</f>
        <v>0</v>
      </c>
      <c r="TK19" s="20" t="n">
        <f aca="false">IF(AKX18&lt;=0,0,IF(H_Direct=1,IF(BX19&lt;=0,PX19,IF(PX19&lt;=(WW19+AAJ19)/BX19,PX19,(PX19-G19*(WW19+AAJ19))/(1-G19*BX19))),PX19/(1-MAX(0,BX19)*H_Exit)))</f>
        <v>0</v>
      </c>
      <c r="TL19" s="20" t="n">
        <f aca="false">IF(AKY18&lt;=0,0,IF(H_Direct=1,IF(BY19&lt;=0,PY19,IF(PY19&lt;=(WX19+AAK19)/BY19,PY19,(PY19-G19*(WX19+AAK19))/(1-G19*BY19))),PY19/(1-MAX(0,BY19)*H_Exit)))</f>
        <v>0</v>
      </c>
      <c r="TM19" s="20" t="n">
        <f aca="false">IF(AKZ18&lt;=0,0,IF(H_Direct=1,IF(BZ19&lt;=0,PZ19,IF(PZ19&lt;=(WY19+AAL19)/BZ19,PZ19,(PZ19-G19*(WY19+AAL19))/(1-G19*BZ19))),PZ19/(1-MAX(0,BZ19)*H_Exit)))</f>
        <v>0</v>
      </c>
      <c r="TN19" s="20" t="n">
        <f aca="false">IF(ALA18&lt;=0,0,IF(H_Direct=1,IF(CA19&lt;=0,QA19,IF(QA19&lt;=(WZ19+AAM19)/CA19,QA19,(QA19-G19*(WZ19+AAM19))/(1-G19*CA19))),QA19/(1-MAX(0,CA19)*H_Exit)))</f>
        <v>0</v>
      </c>
      <c r="TO19" s="20" t="n">
        <f aca="false">IF(ALB18&lt;=0,0,IF(H_Direct=1,IF(CB19&lt;=0,QB19,IF(QB19&lt;=(XA19+AAN19)/CB19,QB19,(QB19-G19*(XA19+AAN19))/(1-G19*CB19))),QB19/(1-MAX(0,CB19)*H_Exit)))</f>
        <v>0</v>
      </c>
      <c r="TP19" s="20" t="n">
        <f aca="false">IF(ALC18&lt;=0,0,IF(H_Direct=1,IF(CC19&lt;=0,QC19,IF(QC19&lt;=(XB19+AAO19)/CC19,QC19,(QC19-G19*(XB19+AAO19))/(1-G19*CC19))),QC19/(1-MAX(0,CC19)*H_Exit)))</f>
        <v>0</v>
      </c>
      <c r="TQ19" s="20" t="n">
        <f aca="false">IF((P19+S19)&lt;=0,0,IF(H_Direct=1,IF(CD19&lt;=0,QD19,IF(QD19&lt;=(XC19+AAP19)/CD19,QD19,(QD19-G19*(XC19+AAP19))/(1-G19*CD19))),QD19/(1-MAX(0,CD19)*H_Exit)))</f>
        <v>0</v>
      </c>
      <c r="TR19" s="20" t="n">
        <v>0</v>
      </c>
      <c r="TS19" s="20" t="n">
        <v>0</v>
      </c>
      <c r="TT19" s="20" t="n">
        <v>0</v>
      </c>
      <c r="TU19" s="20" t="n">
        <v>0</v>
      </c>
      <c r="TV19" s="20" t="n">
        <v>0</v>
      </c>
      <c r="TW19" s="20" t="n">
        <v>0</v>
      </c>
      <c r="TX19" s="20" t="n">
        <v>0</v>
      </c>
      <c r="TY19" s="20" t="n">
        <v>0</v>
      </c>
      <c r="TZ19" s="20" t="n">
        <v>0</v>
      </c>
      <c r="UA19" s="20" t="n">
        <v>0</v>
      </c>
      <c r="UB19" s="20" t="n">
        <v>0</v>
      </c>
      <c r="UC19" s="20" t="n">
        <v>0</v>
      </c>
      <c r="UD19" s="20" t="n">
        <v>0</v>
      </c>
      <c r="UE19" s="20" t="n">
        <v>0</v>
      </c>
      <c r="UF19" s="20" t="n">
        <v>0</v>
      </c>
      <c r="UG19" s="20" t="n">
        <v>0</v>
      </c>
      <c r="UH19" s="20" t="n">
        <v>0</v>
      </c>
      <c r="UI19" s="20" t="n">
        <v>0</v>
      </c>
      <c r="UJ19" s="20" t="n">
        <v>0</v>
      </c>
      <c r="UK19" s="20" t="n">
        <v>0</v>
      </c>
      <c r="UL19" s="20" t="n">
        <v>0</v>
      </c>
      <c r="UM19" s="20" t="n">
        <v>0</v>
      </c>
      <c r="UN19" s="20" t="n">
        <v>0</v>
      </c>
      <c r="UO19" s="20" t="n">
        <v>0</v>
      </c>
      <c r="UP19" s="20" t="n">
        <v>0</v>
      </c>
      <c r="UQ19" s="20" t="n">
        <v>0</v>
      </c>
      <c r="UR19" s="20" t="n">
        <v>0</v>
      </c>
      <c r="US19" s="20" t="n">
        <v>0</v>
      </c>
      <c r="UT19" s="20" t="n">
        <v>0</v>
      </c>
      <c r="UU19" s="20" t="n">
        <v>0</v>
      </c>
      <c r="UV19" s="20" t="n">
        <v>0</v>
      </c>
      <c r="UW19" s="20" t="n">
        <v>0</v>
      </c>
      <c r="UX19" s="20" t="n">
        <v>0</v>
      </c>
      <c r="UY19" s="20" t="n">
        <v>0</v>
      </c>
      <c r="UZ19" s="20" t="n">
        <v>0</v>
      </c>
      <c r="VA19" s="20" t="n">
        <v>0</v>
      </c>
      <c r="VB19" s="20" t="n">
        <v>0</v>
      </c>
      <c r="VC19" s="20" t="n">
        <v>0</v>
      </c>
      <c r="VD19" s="20" t="n">
        <v>0</v>
      </c>
      <c r="VE19" s="20" t="n">
        <v>0</v>
      </c>
      <c r="VF19" s="20" t="n">
        <v>0</v>
      </c>
      <c r="VG19" s="20" t="n">
        <v>0</v>
      </c>
      <c r="VH19" s="20" t="n">
        <v>0</v>
      </c>
      <c r="VI19" s="20" t="n">
        <v>0</v>
      </c>
      <c r="VJ19" s="20" t="n">
        <v>0</v>
      </c>
      <c r="VK19" s="20" t="n">
        <v>0</v>
      </c>
      <c r="VL19" s="20" t="n">
        <v>0</v>
      </c>
      <c r="VM19" s="20" t="n">
        <v>0</v>
      </c>
      <c r="VN19" s="20" t="n">
        <v>0</v>
      </c>
      <c r="VO19" s="20" t="n">
        <v>0</v>
      </c>
      <c r="VP19" s="20" t="n">
        <v>0</v>
      </c>
      <c r="VQ19" s="20" t="n">
        <v>0</v>
      </c>
      <c r="VR19" s="20" t="n">
        <v>0</v>
      </c>
      <c r="VS19" s="20" t="n">
        <v>0</v>
      </c>
      <c r="VT19" s="20" t="n">
        <v>0</v>
      </c>
      <c r="VU19" s="20" t="n">
        <v>0</v>
      </c>
      <c r="VV19" s="20" t="n">
        <v>0</v>
      </c>
      <c r="VW19" s="20" t="n">
        <v>0</v>
      </c>
      <c r="VX19" s="20" t="n">
        <v>0</v>
      </c>
      <c r="VY19" s="20" t="n">
        <v>0</v>
      </c>
      <c r="VZ19" s="20" t="n">
        <v>0</v>
      </c>
      <c r="WA19" s="20" t="n">
        <v>0</v>
      </c>
      <c r="WB19" s="20" t="n">
        <v>0</v>
      </c>
      <c r="WC19" s="20" t="n">
        <v>0</v>
      </c>
      <c r="WD19" s="20" t="n">
        <v>0</v>
      </c>
      <c r="WE19" s="20" t="n">
        <v>0</v>
      </c>
      <c r="WF19" s="20" t="n">
        <v>0</v>
      </c>
      <c r="WG19" s="20" t="n">
        <v>0</v>
      </c>
      <c r="WH19" s="20" t="n">
        <v>0</v>
      </c>
      <c r="WI19" s="20" t="n">
        <v>0</v>
      </c>
      <c r="WJ19" s="20" t="n">
        <v>0</v>
      </c>
      <c r="WK19" s="20" t="n">
        <v>0</v>
      </c>
      <c r="WL19" s="20" t="n">
        <v>0</v>
      </c>
      <c r="WM19" s="20" t="n">
        <v>0</v>
      </c>
      <c r="WN19" s="20" t="n">
        <v>0</v>
      </c>
      <c r="WO19" s="20" t="n">
        <v>0</v>
      </c>
      <c r="WP19" s="20" t="n">
        <v>0</v>
      </c>
      <c r="WQ19" s="20" t="n">
        <v>0</v>
      </c>
      <c r="WR19" s="20" t="n">
        <f aca="false">IF(AND(H_Direct=1,BR19&gt;0),MAX(0,H19-(MIN(BR19*TE19,(H19+I19))-MIN(MIN(BR19*TE19,(H19+I19)),I19))),H19)</f>
        <v>1270</v>
      </c>
      <c r="WS19" s="20" t="n">
        <f aca="false">IF(AND(H_Direct=1,BS19&gt;0),MAX(0,WR19-(MIN(BS19*TF19,(WR19+AAE19))-MIN(MIN(BS19*TF19,(WR19+AAE19)),AAE19))),WR19)</f>
        <v>1270</v>
      </c>
      <c r="WT19" s="20" t="n">
        <f aca="false">IF(AND(H_Direct=1,BT19&gt;0),MAX(0,WS19-(MIN(BT19*TG19,(WS19+AAF19))-MIN(MIN(BT19*TG19,(WS19+AAF19)),AAF19))),WS19)</f>
        <v>1270</v>
      </c>
      <c r="WU19" s="20" t="n">
        <f aca="false">IF(AND(H_Direct=1,BU19&gt;0),MAX(0,WT19-(MIN(BU19*TH19,(WT19+AAG19))-MIN(MIN(BU19*TH19,(WT19+AAG19)),AAG19))),WT19)</f>
        <v>1270</v>
      </c>
      <c r="WV19" s="20" t="n">
        <f aca="false">IF(AND(H_Direct=1,BV19&gt;0),MAX(0,WU19-(MIN(BV19*TI19,(WU19+AAH19))-MIN(MIN(BV19*TI19,(WU19+AAH19)),AAH19))),WU19)</f>
        <v>1270</v>
      </c>
      <c r="WW19" s="20" t="n">
        <f aca="false">IF(AND(H_Direct=1,BW19&gt;0),MAX(0,WV19-(MIN(BW19*TJ19,(WV19+AAI19))-MIN(MIN(BW19*TJ19,(WV19+AAI19)),AAI19))),WV19)</f>
        <v>1270</v>
      </c>
      <c r="WX19" s="20" t="n">
        <f aca="false">IF(AND(H_Direct=1,BX19&gt;0),MAX(0,WW19-(MIN(BX19*TK19,(WW19+AAJ19))-MIN(MIN(BX19*TK19,(WW19+AAJ19)),AAJ19))),WW19)</f>
        <v>1270</v>
      </c>
      <c r="WY19" s="20" t="n">
        <f aca="false">IF(AND(H_Direct=1,BY19&gt;0),MAX(0,WX19-(MIN(BY19*TL19,(WX19+AAK19))-MIN(MIN(BY19*TL19,(WX19+AAK19)),AAK19))),WX19)</f>
        <v>1270</v>
      </c>
      <c r="WZ19" s="20" t="n">
        <f aca="false">IF(AND(H_Direct=1,BZ19&gt;0),MAX(0,WY19-(MIN(BZ19*TM19,(WY19+AAL19))-MIN(MIN(BZ19*TM19,(WY19+AAL19)),AAL19))),WY19)</f>
        <v>1270</v>
      </c>
      <c r="XA19" s="20" t="n">
        <f aca="false">IF(AND(H_Direct=1,CA19&gt;0),MAX(0,WZ19-(MIN(CA19*TN19,(WZ19+AAM19))-MIN(MIN(CA19*TN19,(WZ19+AAM19)),AAM19))),WZ19)</f>
        <v>1270</v>
      </c>
      <c r="XB19" s="20" t="n">
        <f aca="false">IF(AND(H_Direct=1,CB19&gt;0),MAX(0,XA19-(MIN(CB19*TO19,(XA19+AAN19))-MIN(MIN(CB19*TO19,(XA19+AAN19)),AAN19))),XA19)</f>
        <v>1270</v>
      </c>
      <c r="XC19" s="20" t="n">
        <f aca="false">IF(AND(H_Direct=1,CC19&gt;0),MAX(0,XB19-(MIN(CC19*TP19,(XB19+AAO19))-MIN(MIN(CC19*TP19,(XB19+AAO19)),AAO19))),XB19)</f>
        <v>1270</v>
      </c>
      <c r="XD19" s="20" t="n">
        <f aca="false">IF(AND(H_Direct=1,CD19&gt;0),MAX(0,XC19-(MIN(CD19*TQ19,(XC19+AAP19))-MIN(MIN(CD19*TQ19,(XC19+AAP19)),AAP19))),XC19)</f>
        <v>1270</v>
      </c>
      <c r="XE19" s="20" t="n">
        <f aca="false">XD19</f>
        <v>1270</v>
      </c>
      <c r="XF19" s="20" t="n">
        <f aca="false">XE19</f>
        <v>1270</v>
      </c>
      <c r="XG19" s="20" t="n">
        <f aca="false">XF19</f>
        <v>1270</v>
      </c>
      <c r="XH19" s="20" t="n">
        <f aca="false">XG19</f>
        <v>1270</v>
      </c>
      <c r="XI19" s="20" t="n">
        <f aca="false">XH19</f>
        <v>1270</v>
      </c>
      <c r="XJ19" s="20" t="n">
        <f aca="false">XI19</f>
        <v>1270</v>
      </c>
      <c r="XK19" s="20" t="n">
        <f aca="false">XJ19</f>
        <v>1270</v>
      </c>
      <c r="XL19" s="20" t="n">
        <f aca="false">XK19</f>
        <v>1270</v>
      </c>
      <c r="XM19" s="20" t="n">
        <f aca="false">XL19</f>
        <v>1270</v>
      </c>
      <c r="XN19" s="20" t="n">
        <f aca="false">XM19</f>
        <v>1270</v>
      </c>
      <c r="XO19" s="20" t="n">
        <f aca="false">XN19</f>
        <v>1270</v>
      </c>
      <c r="XP19" s="20" t="n">
        <f aca="false">XO19</f>
        <v>1270</v>
      </c>
      <c r="XQ19" s="20" t="n">
        <f aca="false">XP19</f>
        <v>1270</v>
      </c>
      <c r="XR19" s="20" t="n">
        <f aca="false">XQ19</f>
        <v>1270</v>
      </c>
      <c r="XS19" s="20" t="n">
        <f aca="false">XR19</f>
        <v>1270</v>
      </c>
      <c r="XT19" s="20" t="n">
        <f aca="false">XS19</f>
        <v>1270</v>
      </c>
      <c r="XU19" s="20" t="n">
        <f aca="false">XT19</f>
        <v>1270</v>
      </c>
      <c r="XV19" s="20" t="n">
        <f aca="false">XU19</f>
        <v>1270</v>
      </c>
      <c r="XW19" s="20" t="n">
        <f aca="false">XV19</f>
        <v>1270</v>
      </c>
      <c r="XX19" s="20" t="n">
        <f aca="false">XW19</f>
        <v>1270</v>
      </c>
      <c r="XY19" s="20" t="n">
        <f aca="false">XX19</f>
        <v>1270</v>
      </c>
      <c r="XZ19" s="20" t="n">
        <f aca="false">XY19</f>
        <v>1270</v>
      </c>
      <c r="YA19" s="20" t="n">
        <f aca="false">XZ19</f>
        <v>1270</v>
      </c>
      <c r="YB19" s="20" t="n">
        <f aca="false">YA19</f>
        <v>1270</v>
      </c>
      <c r="YC19" s="20" t="n">
        <f aca="false">YB19</f>
        <v>1270</v>
      </c>
      <c r="YD19" s="20" t="n">
        <f aca="false">YC19</f>
        <v>1270</v>
      </c>
      <c r="YE19" s="20" t="n">
        <f aca="false">YD19</f>
        <v>1270</v>
      </c>
      <c r="YF19" s="20" t="n">
        <f aca="false">YE19</f>
        <v>1270</v>
      </c>
      <c r="YG19" s="20" t="n">
        <f aca="false">YF19</f>
        <v>1270</v>
      </c>
      <c r="YH19" s="20" t="n">
        <f aca="false">YG19</f>
        <v>1270</v>
      </c>
      <c r="YI19" s="20" t="n">
        <f aca="false">YH19</f>
        <v>1270</v>
      </c>
      <c r="YJ19" s="20" t="n">
        <f aca="false">YI19</f>
        <v>1270</v>
      </c>
      <c r="YK19" s="20" t="n">
        <f aca="false">YJ19</f>
        <v>1270</v>
      </c>
      <c r="YL19" s="20" t="n">
        <f aca="false">YK19</f>
        <v>1270</v>
      </c>
      <c r="YM19" s="20" t="n">
        <f aca="false">YL19</f>
        <v>1270</v>
      </c>
      <c r="YN19" s="20" t="n">
        <f aca="false">YM19</f>
        <v>1270</v>
      </c>
      <c r="YO19" s="20" t="n">
        <f aca="false">YN19</f>
        <v>1270</v>
      </c>
      <c r="YP19" s="20" t="n">
        <f aca="false">YO19</f>
        <v>1270</v>
      </c>
      <c r="YQ19" s="20" t="n">
        <f aca="false">YP19</f>
        <v>1270</v>
      </c>
      <c r="YR19" s="20" t="n">
        <f aca="false">YQ19</f>
        <v>1270</v>
      </c>
      <c r="YS19" s="20" t="n">
        <f aca="false">YR19</f>
        <v>1270</v>
      </c>
      <c r="YT19" s="20" t="n">
        <f aca="false">YS19</f>
        <v>1270</v>
      </c>
      <c r="YU19" s="20" t="n">
        <f aca="false">YT19</f>
        <v>1270</v>
      </c>
      <c r="YV19" s="20" t="n">
        <f aca="false">YU19</f>
        <v>1270</v>
      </c>
      <c r="YW19" s="20" t="n">
        <f aca="false">YV19</f>
        <v>1270</v>
      </c>
      <c r="YX19" s="20" t="n">
        <f aca="false">YW19</f>
        <v>1270</v>
      </c>
      <c r="YY19" s="20" t="n">
        <f aca="false">YX19</f>
        <v>1270</v>
      </c>
      <c r="YZ19" s="20" t="n">
        <f aca="false">YY19</f>
        <v>1270</v>
      </c>
      <c r="ZA19" s="20" t="n">
        <f aca="false">YZ19</f>
        <v>1270</v>
      </c>
      <c r="ZB19" s="20" t="n">
        <f aca="false">ZA19</f>
        <v>1270</v>
      </c>
      <c r="ZC19" s="20" t="n">
        <f aca="false">ZB19</f>
        <v>1270</v>
      </c>
      <c r="ZD19" s="20" t="n">
        <f aca="false">ZC19</f>
        <v>1270</v>
      </c>
      <c r="ZE19" s="20" t="n">
        <f aca="false">ZD19</f>
        <v>1270</v>
      </c>
      <c r="ZF19" s="20" t="n">
        <f aca="false">ZE19</f>
        <v>1270</v>
      </c>
      <c r="ZG19" s="20" t="n">
        <f aca="false">ZF19</f>
        <v>1270</v>
      </c>
      <c r="ZH19" s="20" t="n">
        <f aca="false">ZG19</f>
        <v>1270</v>
      </c>
      <c r="ZI19" s="20" t="n">
        <f aca="false">ZH19</f>
        <v>1270</v>
      </c>
      <c r="ZJ19" s="20" t="n">
        <f aca="false">ZI19</f>
        <v>1270</v>
      </c>
      <c r="ZK19" s="20" t="n">
        <f aca="false">ZJ19</f>
        <v>1270</v>
      </c>
      <c r="ZL19" s="20" t="n">
        <f aca="false">ZK19</f>
        <v>1270</v>
      </c>
      <c r="ZM19" s="20" t="n">
        <f aca="false">ZL19</f>
        <v>1270</v>
      </c>
      <c r="ZN19" s="20" t="n">
        <f aca="false">ZM19</f>
        <v>1270</v>
      </c>
      <c r="ZO19" s="20" t="n">
        <f aca="false">ZN19</f>
        <v>1270</v>
      </c>
      <c r="ZP19" s="20" t="n">
        <f aca="false">ZO19</f>
        <v>1270</v>
      </c>
      <c r="ZQ19" s="20" t="n">
        <f aca="false">ZP19</f>
        <v>1270</v>
      </c>
      <c r="ZR19" s="20" t="n">
        <f aca="false">ZQ19</f>
        <v>1270</v>
      </c>
      <c r="ZS19" s="20" t="n">
        <f aca="false">ZR19</f>
        <v>1270</v>
      </c>
      <c r="ZT19" s="20" t="n">
        <f aca="false">ZS19</f>
        <v>1270</v>
      </c>
      <c r="ZU19" s="20" t="n">
        <f aca="false">ZT19</f>
        <v>1270</v>
      </c>
      <c r="ZV19" s="20" t="n">
        <f aca="false">ZU19</f>
        <v>1270</v>
      </c>
      <c r="ZW19" s="20" t="n">
        <f aca="false">ZV19</f>
        <v>1270</v>
      </c>
      <c r="ZX19" s="20" t="n">
        <f aca="false">ZW19</f>
        <v>1270</v>
      </c>
      <c r="ZY19" s="20" t="n">
        <f aca="false">ZX19</f>
        <v>1270</v>
      </c>
      <c r="ZZ19" s="20" t="n">
        <f aca="false">ZY19</f>
        <v>1270</v>
      </c>
      <c r="AAA19" s="20" t="n">
        <f aca="false">ZZ19</f>
        <v>1270</v>
      </c>
      <c r="AAB19" s="20" t="n">
        <f aca="false">AAA19</f>
        <v>1270</v>
      </c>
      <c r="AAC19" s="20" t="n">
        <f aca="false">AAB19</f>
        <v>1270</v>
      </c>
      <c r="AAD19" s="20" t="n">
        <f aca="false">AAC19</f>
        <v>1270</v>
      </c>
      <c r="AAE19" s="20" t="n">
        <f aca="false">IF(H_Direct=1,IF(BR19&lt;=0,I19-BR19*TE19,I19-MIN(MIN(BR19*TE19,(H19+I19)),I19)),I19)</f>
        <v>0</v>
      </c>
      <c r="AAF19" s="20" t="n">
        <f aca="false">IF(H_Direct=1,IF(BS19&lt;=0,AAE19-BS19*TF19,AAE19-MIN(MIN(BS19*TF19,(WR19+AAE19)),AAE19)),AAE19)</f>
        <v>0</v>
      </c>
      <c r="AAG19" s="20" t="n">
        <f aca="false">IF(H_Direct=1,IF(BT19&lt;=0,AAF19-BT19*TG19,AAF19-MIN(MIN(BT19*TG19,(WS19+AAF19)),AAF19)),AAF19)</f>
        <v>0</v>
      </c>
      <c r="AAH19" s="20" t="n">
        <f aca="false">IF(H_Direct=1,IF(BU19&lt;=0,AAG19-BU19*TH19,AAG19-MIN(MIN(BU19*TH19,(WT19+AAG19)),AAG19)),AAG19)</f>
        <v>0</v>
      </c>
      <c r="AAI19" s="20" t="n">
        <f aca="false">IF(H_Direct=1,IF(BV19&lt;=0,AAH19-BV19*TI19,AAH19-MIN(MIN(BV19*TI19,(WU19+AAH19)),AAH19)),AAH19)</f>
        <v>0</v>
      </c>
      <c r="AAJ19" s="20" t="n">
        <f aca="false">IF(H_Direct=1,IF(BW19&lt;=0,AAI19-BW19*TJ19,AAI19-MIN(MIN(BW19*TJ19,(WV19+AAI19)),AAI19)),AAI19)</f>
        <v>0</v>
      </c>
      <c r="AAK19" s="20" t="n">
        <f aca="false">IF(H_Direct=1,IF(BX19&lt;=0,AAJ19-BX19*TK19,AAJ19-MIN(MIN(BX19*TK19,(WW19+AAJ19)),AAJ19)),AAJ19)</f>
        <v>0</v>
      </c>
      <c r="AAL19" s="20" t="n">
        <f aca="false">IF(H_Direct=1,IF(BY19&lt;=0,AAK19-BY19*TL19,AAK19-MIN(MIN(BY19*TL19,(WX19+AAK19)),AAK19)),AAK19)</f>
        <v>0</v>
      </c>
      <c r="AAM19" s="20" t="n">
        <f aca="false">IF(H_Direct=1,IF(BZ19&lt;=0,AAL19-BZ19*TM19,AAL19-MIN(MIN(BZ19*TM19,(WY19+AAL19)),AAL19)),AAL19)</f>
        <v>0</v>
      </c>
      <c r="AAN19" s="20" t="n">
        <f aca="false">IF(H_Direct=1,IF(CA19&lt;=0,AAM19-CA19*TN19,AAM19-MIN(MIN(CA19*TN19,(WZ19+AAM19)),AAM19)),AAM19)</f>
        <v>0</v>
      </c>
      <c r="AAO19" s="20" t="n">
        <f aca="false">IF(H_Direct=1,IF(CB19&lt;=0,AAN19-CB19*TO19,AAN19-MIN(MIN(CB19*TO19,(XA19+AAN19)),AAN19)),AAN19)</f>
        <v>0</v>
      </c>
      <c r="AAP19" s="20" t="n">
        <f aca="false">IF(H_Direct=1,IF(CC19&lt;=0,AAO19-CC19*TP19,AAO19-MIN(MIN(CC19*TP19,(XB19+AAO19)),AAO19)),AAO19)</f>
        <v>0</v>
      </c>
      <c r="AAQ19" s="20" t="n">
        <f aca="false">IF(H_Direct=1,IF(CD19&lt;=0,AAP19-CD19*TQ19,AAP19-MIN(MIN(CD19*TQ19,(XC19+AAP19)),AAP19)),AAP19)</f>
        <v>0</v>
      </c>
      <c r="AAR19" s="20" t="n">
        <f aca="false">AAQ19</f>
        <v>0</v>
      </c>
      <c r="AAS19" s="20" t="n">
        <f aca="false">AAR19</f>
        <v>0</v>
      </c>
      <c r="AAT19" s="20" t="n">
        <f aca="false">AAS19</f>
        <v>0</v>
      </c>
      <c r="AAU19" s="20" t="n">
        <f aca="false">AAT19</f>
        <v>0</v>
      </c>
      <c r="AAV19" s="20" t="n">
        <f aca="false">AAU19</f>
        <v>0</v>
      </c>
      <c r="AAW19" s="20" t="n">
        <f aca="false">AAV19</f>
        <v>0</v>
      </c>
      <c r="AAX19" s="20" t="n">
        <f aca="false">AAW19</f>
        <v>0</v>
      </c>
      <c r="AAY19" s="20" t="n">
        <f aca="false">AAX19</f>
        <v>0</v>
      </c>
      <c r="AAZ19" s="20" t="n">
        <f aca="false">AAY19</f>
        <v>0</v>
      </c>
      <c r="ABA19" s="20" t="n">
        <f aca="false">AAZ19</f>
        <v>0</v>
      </c>
      <c r="ABB19" s="20" t="n">
        <f aca="false">ABA19</f>
        <v>0</v>
      </c>
      <c r="ABC19" s="20" t="n">
        <f aca="false">ABB19</f>
        <v>0</v>
      </c>
      <c r="ABD19" s="20" t="n">
        <f aca="false">ABC19</f>
        <v>0</v>
      </c>
      <c r="ABE19" s="20" t="n">
        <f aca="false">ABD19</f>
        <v>0</v>
      </c>
      <c r="ABF19" s="20" t="n">
        <f aca="false">ABE19</f>
        <v>0</v>
      </c>
      <c r="ABG19" s="20" t="n">
        <f aca="false">ABF19</f>
        <v>0</v>
      </c>
      <c r="ABH19" s="20" t="n">
        <f aca="false">ABG19</f>
        <v>0</v>
      </c>
      <c r="ABI19" s="20" t="n">
        <f aca="false">ABH19</f>
        <v>0</v>
      </c>
      <c r="ABJ19" s="20" t="n">
        <f aca="false">ABI19</f>
        <v>0</v>
      </c>
      <c r="ABK19" s="20" t="n">
        <f aca="false">ABJ19</f>
        <v>0</v>
      </c>
      <c r="ABL19" s="20" t="n">
        <f aca="false">ABK19</f>
        <v>0</v>
      </c>
      <c r="ABM19" s="20" t="n">
        <f aca="false">ABL19</f>
        <v>0</v>
      </c>
      <c r="ABN19" s="20" t="n">
        <f aca="false">ABM19</f>
        <v>0</v>
      </c>
      <c r="ABO19" s="20" t="n">
        <f aca="false">ABN19</f>
        <v>0</v>
      </c>
      <c r="ABP19" s="20" t="n">
        <f aca="false">ABO19</f>
        <v>0</v>
      </c>
      <c r="ABQ19" s="20" t="n">
        <f aca="false">ABP19</f>
        <v>0</v>
      </c>
      <c r="ABR19" s="20" t="n">
        <f aca="false">ABQ19</f>
        <v>0</v>
      </c>
      <c r="ABS19" s="20" t="n">
        <f aca="false">ABR19</f>
        <v>0</v>
      </c>
      <c r="ABT19" s="20" t="n">
        <f aca="false">ABS19</f>
        <v>0</v>
      </c>
      <c r="ABU19" s="20" t="n">
        <f aca="false">ABT19</f>
        <v>0</v>
      </c>
      <c r="ABV19" s="20" t="n">
        <f aca="false">ABU19</f>
        <v>0</v>
      </c>
      <c r="ABW19" s="20" t="n">
        <f aca="false">ABV19</f>
        <v>0</v>
      </c>
      <c r="ABX19" s="20" t="n">
        <f aca="false">ABW19</f>
        <v>0</v>
      </c>
      <c r="ABY19" s="20" t="n">
        <f aca="false">ABX19</f>
        <v>0</v>
      </c>
      <c r="ABZ19" s="20" t="n">
        <f aca="false">ABY19</f>
        <v>0</v>
      </c>
      <c r="ACA19" s="20" t="n">
        <f aca="false">ABZ19</f>
        <v>0</v>
      </c>
      <c r="ACB19" s="20" t="n">
        <f aca="false">ACA19</f>
        <v>0</v>
      </c>
      <c r="ACC19" s="20" t="n">
        <f aca="false">ACB19</f>
        <v>0</v>
      </c>
      <c r="ACD19" s="20" t="n">
        <f aca="false">ACC19</f>
        <v>0</v>
      </c>
      <c r="ACE19" s="20" t="n">
        <f aca="false">ACD19</f>
        <v>0</v>
      </c>
      <c r="ACF19" s="20" t="n">
        <f aca="false">ACE19</f>
        <v>0</v>
      </c>
      <c r="ACG19" s="20" t="n">
        <f aca="false">ACF19</f>
        <v>0</v>
      </c>
      <c r="ACH19" s="20" t="n">
        <f aca="false">ACG19</f>
        <v>0</v>
      </c>
      <c r="ACI19" s="20" t="n">
        <f aca="false">ACH19</f>
        <v>0</v>
      </c>
      <c r="ACJ19" s="20" t="n">
        <f aca="false">ACI19</f>
        <v>0</v>
      </c>
      <c r="ACK19" s="20" t="n">
        <f aca="false">ACJ19</f>
        <v>0</v>
      </c>
      <c r="ACL19" s="20" t="n">
        <f aca="false">ACK19</f>
        <v>0</v>
      </c>
      <c r="ACM19" s="20" t="n">
        <f aca="false">ACL19</f>
        <v>0</v>
      </c>
      <c r="ACN19" s="20" t="n">
        <f aca="false">ACM19</f>
        <v>0</v>
      </c>
      <c r="ACO19" s="20" t="n">
        <f aca="false">ACN19</f>
        <v>0</v>
      </c>
      <c r="ACP19" s="20" t="n">
        <f aca="false">ACO19</f>
        <v>0</v>
      </c>
      <c r="ACQ19" s="20" t="n">
        <f aca="false">ACP19</f>
        <v>0</v>
      </c>
      <c r="ACR19" s="20" t="n">
        <f aca="false">ACQ19</f>
        <v>0</v>
      </c>
      <c r="ACS19" s="20" t="n">
        <f aca="false">ACR19</f>
        <v>0</v>
      </c>
      <c r="ACT19" s="20" t="n">
        <f aca="false">ACS19</f>
        <v>0</v>
      </c>
      <c r="ACU19" s="20" t="n">
        <f aca="false">ACT19</f>
        <v>0</v>
      </c>
      <c r="ACV19" s="20" t="n">
        <f aca="false">ACU19</f>
        <v>0</v>
      </c>
      <c r="ACW19" s="20" t="n">
        <f aca="false">ACV19</f>
        <v>0</v>
      </c>
      <c r="ACX19" s="20" t="n">
        <f aca="false">ACW19</f>
        <v>0</v>
      </c>
      <c r="ACY19" s="20" t="n">
        <f aca="false">ACX19</f>
        <v>0</v>
      </c>
      <c r="ACZ19" s="20" t="n">
        <f aca="false">ACY19</f>
        <v>0</v>
      </c>
      <c r="ADA19" s="20" t="n">
        <f aca="false">ACZ19</f>
        <v>0</v>
      </c>
      <c r="ADB19" s="20" t="n">
        <f aca="false">ADA19</f>
        <v>0</v>
      </c>
      <c r="ADC19" s="20" t="n">
        <f aca="false">ADB19</f>
        <v>0</v>
      </c>
      <c r="ADD19" s="20" t="n">
        <f aca="false">ADC19</f>
        <v>0</v>
      </c>
      <c r="ADE19" s="20" t="n">
        <f aca="false">ADD19</f>
        <v>0</v>
      </c>
      <c r="ADF19" s="20" t="n">
        <f aca="false">ADE19</f>
        <v>0</v>
      </c>
      <c r="ADG19" s="20" t="n">
        <f aca="false">ADF19</f>
        <v>0</v>
      </c>
      <c r="ADH19" s="20" t="n">
        <f aca="false">ADG19</f>
        <v>0</v>
      </c>
      <c r="ADI19" s="20" t="n">
        <f aca="false">ADH19</f>
        <v>0</v>
      </c>
      <c r="ADJ19" s="20" t="n">
        <f aca="false">ADI19</f>
        <v>0</v>
      </c>
      <c r="ADK19" s="20" t="n">
        <f aca="false">ADJ19</f>
        <v>0</v>
      </c>
      <c r="ADL19" s="20" t="n">
        <f aca="false">ADK19</f>
        <v>0</v>
      </c>
      <c r="ADM19" s="20" t="n">
        <f aca="false">ADL19</f>
        <v>0</v>
      </c>
      <c r="ADN19" s="20" t="n">
        <f aca="false">ADM19</f>
        <v>0</v>
      </c>
      <c r="ADO19" s="20" t="n">
        <f aca="false">ADN19</f>
        <v>0</v>
      </c>
      <c r="ADP19" s="20" t="n">
        <f aca="false">ADO19</f>
        <v>0</v>
      </c>
      <c r="ADQ19" s="20" t="n">
        <f aca="false">ADP19</f>
        <v>0</v>
      </c>
      <c r="ADR19" s="20" t="n">
        <f aca="false">(AKR18-TE19+0)*(1+BQ19)</f>
        <v>0</v>
      </c>
      <c r="ADS19" s="20" t="n">
        <f aca="false">(AKS18-TF19+0)*(1+BQ19)</f>
        <v>0</v>
      </c>
      <c r="ADT19" s="20" t="n">
        <f aca="false">(AKT18-TG19+0)*(1+BQ19)</f>
        <v>0</v>
      </c>
      <c r="ADU19" s="20" t="n">
        <f aca="false">(AKU18-TH19+0)*(1+BQ19)</f>
        <v>0</v>
      </c>
      <c r="ADV19" s="20" t="n">
        <f aca="false">(AKV18-TI19+0)*(1+BQ19)</f>
        <v>0</v>
      </c>
      <c r="ADW19" s="20" t="n">
        <f aca="false">(AKW18-TJ19+0)*(1+BQ19)</f>
        <v>0</v>
      </c>
      <c r="ADX19" s="20" t="n">
        <f aca="false">(AKX18-TK19+0)*(1+BQ19)</f>
        <v>0</v>
      </c>
      <c r="ADY19" s="20" t="n">
        <f aca="false">(AKY18-TL19+0)*(1+BQ19)</f>
        <v>0</v>
      </c>
      <c r="ADZ19" s="20" t="n">
        <f aca="false">(AKZ18-TM19+0)*(1+BQ19)</f>
        <v>0</v>
      </c>
      <c r="AEA19" s="20" t="n">
        <f aca="false">(ALA18-TN19+0)*(1+BQ19)</f>
        <v>0</v>
      </c>
      <c r="AEB19" s="20" t="n">
        <f aca="false">(ALB18-TO19+0)*(1+BQ19)</f>
        <v>0</v>
      </c>
      <c r="AEC19" s="20" t="n">
        <f aca="false">(ALC18-TP19+0)*(1+BQ19)</f>
        <v>591.285756985322</v>
      </c>
      <c r="AED19" s="20" t="n">
        <f aca="false">((P19+S19)-TQ19+BE19)*(1+BQ19)</f>
        <v>743.818666999852</v>
      </c>
      <c r="AEE19" s="20" t="n">
        <v>0</v>
      </c>
      <c r="AEF19" s="20" t="n">
        <v>0</v>
      </c>
      <c r="AEG19" s="20" t="n">
        <v>0</v>
      </c>
      <c r="AEH19" s="20" t="n">
        <v>0</v>
      </c>
      <c r="AEI19" s="20" t="n">
        <v>0</v>
      </c>
      <c r="AEJ19" s="20" t="n">
        <v>0</v>
      </c>
      <c r="AEK19" s="20" t="n">
        <v>0</v>
      </c>
      <c r="AEL19" s="20" t="n">
        <v>0</v>
      </c>
      <c r="AEM19" s="20" t="n">
        <v>0</v>
      </c>
      <c r="AEN19" s="20" t="n">
        <v>0</v>
      </c>
      <c r="AEO19" s="20" t="n">
        <v>0</v>
      </c>
      <c r="AEP19" s="20" t="n">
        <v>0</v>
      </c>
      <c r="AEQ19" s="20" t="n">
        <v>0</v>
      </c>
      <c r="AER19" s="20" t="n">
        <v>0</v>
      </c>
      <c r="AES19" s="20" t="n">
        <v>0</v>
      </c>
      <c r="AET19" s="20" t="n">
        <v>0</v>
      </c>
      <c r="AEU19" s="20" t="n">
        <v>0</v>
      </c>
      <c r="AEV19" s="20" t="n">
        <v>0</v>
      </c>
      <c r="AEW19" s="20" t="n">
        <v>0</v>
      </c>
      <c r="AEX19" s="20" t="n">
        <v>0</v>
      </c>
      <c r="AEY19" s="20" t="n">
        <v>0</v>
      </c>
      <c r="AEZ19" s="20" t="n">
        <v>0</v>
      </c>
      <c r="AFA19" s="20" t="n">
        <v>0</v>
      </c>
      <c r="AFB19" s="20" t="n">
        <v>0</v>
      </c>
      <c r="AFC19" s="20" t="n">
        <v>0</v>
      </c>
      <c r="AFD19" s="20" t="n">
        <v>0</v>
      </c>
      <c r="AFE19" s="20" t="n">
        <v>0</v>
      </c>
      <c r="AFF19" s="20" t="n">
        <v>0</v>
      </c>
      <c r="AFG19" s="20" t="n">
        <v>0</v>
      </c>
      <c r="AFH19" s="20" t="n">
        <v>0</v>
      </c>
      <c r="AFI19" s="20" t="n">
        <v>0</v>
      </c>
      <c r="AFJ19" s="20" t="n">
        <v>0</v>
      </c>
      <c r="AFK19" s="20" t="n">
        <v>0</v>
      </c>
      <c r="AFL19" s="20" t="n">
        <v>0</v>
      </c>
      <c r="AFM19" s="20" t="n">
        <v>0</v>
      </c>
      <c r="AFN19" s="20" t="n">
        <v>0</v>
      </c>
      <c r="AFO19" s="20" t="n">
        <v>0</v>
      </c>
      <c r="AFP19" s="20" t="n">
        <v>0</v>
      </c>
      <c r="AFQ19" s="20" t="n">
        <v>0</v>
      </c>
      <c r="AFR19" s="20" t="n">
        <v>0</v>
      </c>
      <c r="AFS19" s="20" t="n">
        <v>0</v>
      </c>
      <c r="AFT19" s="20" t="n">
        <v>0</v>
      </c>
      <c r="AFU19" s="20" t="n">
        <v>0</v>
      </c>
      <c r="AFV19" s="20" t="n">
        <v>0</v>
      </c>
      <c r="AFW19" s="20" t="n">
        <v>0</v>
      </c>
      <c r="AFX19" s="20" t="n">
        <v>0</v>
      </c>
      <c r="AFY19" s="20" t="n">
        <v>0</v>
      </c>
      <c r="AFZ19" s="20" t="n">
        <v>0</v>
      </c>
      <c r="AGA19" s="20" t="n">
        <v>0</v>
      </c>
      <c r="AGB19" s="20" t="n">
        <v>0</v>
      </c>
      <c r="AGC19" s="20" t="n">
        <v>0</v>
      </c>
      <c r="AGD19" s="20" t="n">
        <v>0</v>
      </c>
      <c r="AGE19" s="20" t="n">
        <v>0</v>
      </c>
      <c r="AGF19" s="20" t="n">
        <v>0</v>
      </c>
      <c r="AGG19" s="20" t="n">
        <v>0</v>
      </c>
      <c r="AGH19" s="20" t="n">
        <v>0</v>
      </c>
      <c r="AGI19" s="20" t="n">
        <v>0</v>
      </c>
      <c r="AGJ19" s="20" t="n">
        <v>0</v>
      </c>
      <c r="AGK19" s="20" t="n">
        <v>0</v>
      </c>
      <c r="AGL19" s="20" t="n">
        <v>0</v>
      </c>
      <c r="AGM19" s="20" t="n">
        <v>0</v>
      </c>
      <c r="AGN19" s="20" t="n">
        <v>0</v>
      </c>
      <c r="AGO19" s="20" t="n">
        <v>0</v>
      </c>
      <c r="AGP19" s="20" t="n">
        <v>0</v>
      </c>
      <c r="AGQ19" s="20" t="n">
        <v>0</v>
      </c>
      <c r="AGR19" s="20" t="n">
        <v>0</v>
      </c>
      <c r="AGS19" s="20" t="n">
        <v>0</v>
      </c>
      <c r="AGT19" s="20" t="n">
        <v>0</v>
      </c>
      <c r="AGU19" s="20" t="n">
        <v>0</v>
      </c>
      <c r="AGV19" s="20" t="n">
        <v>0</v>
      </c>
      <c r="AGW19" s="20" t="n">
        <v>0</v>
      </c>
      <c r="AGX19" s="20" t="n">
        <v>0</v>
      </c>
      <c r="AGY19" s="20" t="n">
        <v>0</v>
      </c>
      <c r="AGZ19" s="20" t="n">
        <v>0</v>
      </c>
      <c r="AHA19" s="20" t="n">
        <v>0</v>
      </c>
      <c r="AHB19" s="20" t="n">
        <v>0</v>
      </c>
      <c r="AHC19" s="20" t="n">
        <v>0</v>
      </c>
      <c r="AHD19" s="20" t="n">
        <v>0</v>
      </c>
      <c r="AHE19" s="20" t="n">
        <f aca="false">IF(AKR18&gt;0,AOE18-AOE18*TE19/AKR18,0)+0</f>
        <v>0</v>
      </c>
      <c r="AHF19" s="20" t="n">
        <f aca="false">IF(AKS18&gt;0,AOF18-AOF18*TF19/AKS18,0)+0</f>
        <v>0</v>
      </c>
      <c r="AHG19" s="20" t="n">
        <f aca="false">IF(AKT18&gt;0,AOG18-AOG18*TG19/AKT18,0)+0</f>
        <v>0</v>
      </c>
      <c r="AHH19" s="20" t="n">
        <f aca="false">IF(AKU18&gt;0,AOH18-AOH18*TH19/AKU18,0)+0</f>
        <v>0</v>
      </c>
      <c r="AHI19" s="20" t="n">
        <f aca="false">IF(AKV18&gt;0,AOI18-AOI18*TI19/AKV18,0)+0</f>
        <v>0</v>
      </c>
      <c r="AHJ19" s="20" t="n">
        <f aca="false">IF(AKW18&gt;0,AOJ18-AOJ18*TJ19/AKW18,0)+0</f>
        <v>0</v>
      </c>
      <c r="AHK19" s="20" t="n">
        <f aca="false">IF(AKX18&gt;0,AOK18-AOK18*TK19/AKX18,0)+0</f>
        <v>0</v>
      </c>
      <c r="AHL19" s="20" t="n">
        <f aca="false">IF(AKY18&gt;0,AOL18-AOL18*TL19/AKY18,0)+0</f>
        <v>0</v>
      </c>
      <c r="AHM19" s="20" t="n">
        <f aca="false">IF(AKZ18&gt;0,AOM18-AOM18*TM19/AKZ18,0)+0</f>
        <v>0</v>
      </c>
      <c r="AHN19" s="20" t="n">
        <f aca="false">IF(ALA18&gt;0,AON18-AON18*TN19/ALA18,0)+0</f>
        <v>0</v>
      </c>
      <c r="AHO19" s="20" t="n">
        <f aca="false">IF(ALB18&gt;0,AOO18-AOO18*TO19/ALB18,0)+0</f>
        <v>0</v>
      </c>
      <c r="AHP19" s="20" t="n">
        <f aca="false">IF(ALC18&gt;0,AOP18-AOP18*TP19/ALC18,0)+0</f>
        <v>546.676920289684</v>
      </c>
      <c r="AHQ19" s="20" t="n">
        <f aca="false">IF((P19+S19)&gt;0,(P19+S19)-(P19+S19)*TQ19/(P19+S19),0)+BE19</f>
        <v>715.210256730627</v>
      </c>
      <c r="AHR19" s="20" t="n">
        <v>0</v>
      </c>
      <c r="AHS19" s="20" t="n">
        <v>0</v>
      </c>
      <c r="AHT19" s="20" t="n">
        <v>0</v>
      </c>
      <c r="AHU19" s="20" t="n">
        <v>0</v>
      </c>
      <c r="AHV19" s="20" t="n">
        <v>0</v>
      </c>
      <c r="AHW19" s="20" t="n">
        <v>0</v>
      </c>
      <c r="AHX19" s="20" t="n">
        <v>0</v>
      </c>
      <c r="AHY19" s="20" t="n">
        <v>0</v>
      </c>
      <c r="AHZ19" s="20" t="n">
        <v>0</v>
      </c>
      <c r="AIA19" s="20" t="n">
        <v>0</v>
      </c>
      <c r="AIB19" s="20" t="n">
        <v>0</v>
      </c>
      <c r="AIC19" s="20" t="n">
        <v>0</v>
      </c>
      <c r="AID19" s="20" t="n">
        <v>0</v>
      </c>
      <c r="AIE19" s="20" t="n">
        <v>0</v>
      </c>
      <c r="AIF19" s="20" t="n">
        <v>0</v>
      </c>
      <c r="AIG19" s="20" t="n">
        <v>0</v>
      </c>
      <c r="AIH19" s="20" t="n">
        <v>0</v>
      </c>
      <c r="AII19" s="20" t="n">
        <v>0</v>
      </c>
      <c r="AIJ19" s="20" t="n">
        <v>0</v>
      </c>
      <c r="AIK19" s="20" t="n">
        <v>0</v>
      </c>
      <c r="AIL19" s="20" t="n">
        <v>0</v>
      </c>
      <c r="AIM19" s="20" t="n">
        <v>0</v>
      </c>
      <c r="AIN19" s="20" t="n">
        <v>0</v>
      </c>
      <c r="AIO19" s="20" t="n">
        <v>0</v>
      </c>
      <c r="AIP19" s="20" t="n">
        <v>0</v>
      </c>
      <c r="AIQ19" s="20" t="n">
        <v>0</v>
      </c>
      <c r="AIR19" s="20" t="n">
        <v>0</v>
      </c>
      <c r="AIS19" s="20" t="n">
        <v>0</v>
      </c>
      <c r="AIT19" s="20" t="n">
        <v>0</v>
      </c>
      <c r="AIU19" s="20" t="n">
        <v>0</v>
      </c>
      <c r="AIV19" s="20" t="n">
        <v>0</v>
      </c>
      <c r="AIW19" s="20" t="n">
        <v>0</v>
      </c>
      <c r="AIX19" s="20" t="n">
        <v>0</v>
      </c>
      <c r="AIY19" s="20" t="n">
        <v>0</v>
      </c>
      <c r="AIZ19" s="20" t="n">
        <v>0</v>
      </c>
      <c r="AJA19" s="20" t="n">
        <v>0</v>
      </c>
      <c r="AJB19" s="20" t="n">
        <v>0</v>
      </c>
      <c r="AJC19" s="20" t="n">
        <v>0</v>
      </c>
      <c r="AJD19" s="20" t="n">
        <v>0</v>
      </c>
      <c r="AJE19" s="20" t="n">
        <v>0</v>
      </c>
      <c r="AJF19" s="20" t="n">
        <v>0</v>
      </c>
      <c r="AJG19" s="20" t="n">
        <v>0</v>
      </c>
      <c r="AJH19" s="20" t="n">
        <v>0</v>
      </c>
      <c r="AJI19" s="20" t="n">
        <v>0</v>
      </c>
      <c r="AJJ19" s="20" t="n">
        <v>0</v>
      </c>
      <c r="AJK19" s="20" t="n">
        <v>0</v>
      </c>
      <c r="AJL19" s="20" t="n">
        <v>0</v>
      </c>
      <c r="AJM19" s="20" t="n">
        <v>0</v>
      </c>
      <c r="AJN19" s="20" t="n">
        <v>0</v>
      </c>
      <c r="AJO19" s="20" t="n">
        <v>0</v>
      </c>
      <c r="AJP19" s="20" t="n">
        <v>0</v>
      </c>
      <c r="AJQ19" s="20" t="n">
        <v>0</v>
      </c>
      <c r="AJR19" s="20" t="n">
        <v>0</v>
      </c>
      <c r="AJS19" s="20" t="n">
        <v>0</v>
      </c>
      <c r="AJT19" s="20" t="n">
        <v>0</v>
      </c>
      <c r="AJU19" s="20" t="n">
        <v>0</v>
      </c>
      <c r="AJV19" s="20" t="n">
        <v>0</v>
      </c>
      <c r="AJW19" s="20" t="n">
        <v>0</v>
      </c>
      <c r="AJX19" s="20" t="n">
        <v>0</v>
      </c>
      <c r="AJY19" s="20" t="n">
        <v>0</v>
      </c>
      <c r="AJZ19" s="20" t="n">
        <v>0</v>
      </c>
      <c r="AKA19" s="20" t="n">
        <v>0</v>
      </c>
      <c r="AKB19" s="20" t="n">
        <v>0</v>
      </c>
      <c r="AKC19" s="20" t="n">
        <v>0</v>
      </c>
      <c r="AKD19" s="20" t="n">
        <v>0</v>
      </c>
      <c r="AKE19" s="20" t="n">
        <v>0</v>
      </c>
      <c r="AKF19" s="20" t="n">
        <v>0</v>
      </c>
      <c r="AKG19" s="20" t="n">
        <v>0</v>
      </c>
      <c r="AKH19" s="20" t="n">
        <v>0</v>
      </c>
      <c r="AKI19" s="20" t="n">
        <v>0</v>
      </c>
      <c r="AKJ19" s="20" t="n">
        <v>0</v>
      </c>
      <c r="AKK19" s="20" t="n">
        <v>0</v>
      </c>
      <c r="AKL19" s="20" t="n">
        <v>0</v>
      </c>
      <c r="AKM19" s="20" t="n">
        <v>0</v>
      </c>
      <c r="AKN19" s="20" t="n">
        <v>0</v>
      </c>
      <c r="AKO19" s="20" t="n">
        <v>0</v>
      </c>
      <c r="AKP19" s="20" t="n">
        <v>0</v>
      </c>
      <c r="AKQ19" s="20" t="n">
        <v>0</v>
      </c>
      <c r="AKR19" s="20" t="n">
        <f aca="false">ADR19-AVE19</f>
        <v>0</v>
      </c>
      <c r="AKS19" s="20" t="n">
        <f aca="false">ADS19-AVF19</f>
        <v>0</v>
      </c>
      <c r="AKT19" s="20" t="n">
        <f aca="false">ADT19-AVG19</f>
        <v>0</v>
      </c>
      <c r="AKU19" s="20" t="n">
        <f aca="false">ADU19-AVH19</f>
        <v>0</v>
      </c>
      <c r="AKV19" s="20" t="n">
        <f aca="false">ADV19-AVI19</f>
        <v>0</v>
      </c>
      <c r="AKW19" s="20" t="n">
        <f aca="false">ADW19-AVJ19</f>
        <v>0</v>
      </c>
      <c r="AKX19" s="20" t="n">
        <f aca="false">ADX19-AVK19</f>
        <v>0</v>
      </c>
      <c r="AKY19" s="20" t="n">
        <f aca="false">ADY19-AVL19</f>
        <v>0</v>
      </c>
      <c r="AKZ19" s="20" t="n">
        <f aca="false">ADZ19-AVM19</f>
        <v>0</v>
      </c>
      <c r="ALA19" s="20" t="n">
        <f aca="false">AEA19-AVN19</f>
        <v>0</v>
      </c>
      <c r="ALB19" s="20" t="n">
        <f aca="false">AEB19-AVO19</f>
        <v>0</v>
      </c>
      <c r="ALC19" s="20" t="n">
        <f aca="false">AEC19-AVP19</f>
        <v>591.285756985322</v>
      </c>
      <c r="ALD19" s="20" t="n">
        <f aca="false">AED19-AVQ19</f>
        <v>743.818666999852</v>
      </c>
      <c r="ALE19" s="20" t="n">
        <v>0</v>
      </c>
      <c r="ALF19" s="20" t="n">
        <v>0</v>
      </c>
      <c r="ALG19" s="20" t="n">
        <v>0</v>
      </c>
      <c r="ALH19" s="20" t="n">
        <v>0</v>
      </c>
      <c r="ALI19" s="20" t="n">
        <v>0</v>
      </c>
      <c r="ALJ19" s="20" t="n">
        <v>0</v>
      </c>
      <c r="ALK19" s="20" t="n">
        <v>0</v>
      </c>
      <c r="ALL19" s="20" t="n">
        <v>0</v>
      </c>
      <c r="ALM19" s="20" t="n">
        <v>0</v>
      </c>
      <c r="ALN19" s="20" t="n">
        <v>0</v>
      </c>
      <c r="ALO19" s="20" t="n">
        <v>0</v>
      </c>
      <c r="ALP19" s="20" t="n">
        <v>0</v>
      </c>
      <c r="ALQ19" s="20" t="n">
        <v>0</v>
      </c>
      <c r="ALR19" s="20" t="n">
        <v>0</v>
      </c>
      <c r="ALS19" s="20" t="n">
        <v>0</v>
      </c>
      <c r="ALT19" s="20" t="n">
        <v>0</v>
      </c>
      <c r="ALU19" s="20" t="n">
        <v>0</v>
      </c>
      <c r="ALV19" s="20" t="n">
        <v>0</v>
      </c>
      <c r="ALW19" s="20" t="n">
        <v>0</v>
      </c>
      <c r="ALX19" s="20" t="n">
        <v>0</v>
      </c>
      <c r="ALY19" s="20" t="n">
        <v>0</v>
      </c>
      <c r="ALZ19" s="20" t="n">
        <v>0</v>
      </c>
      <c r="AMA19" s="20" t="n">
        <v>0</v>
      </c>
      <c r="AMB19" s="20" t="n">
        <v>0</v>
      </c>
      <c r="AMC19" s="20" t="n">
        <v>0</v>
      </c>
      <c r="AMD19" s="20" t="n">
        <v>0</v>
      </c>
      <c r="AME19" s="20" t="n">
        <v>0</v>
      </c>
      <c r="AMF19" s="20" t="n">
        <v>0</v>
      </c>
      <c r="AMG19" s="20" t="n">
        <v>0</v>
      </c>
      <c r="AMH19" s="20" t="n">
        <v>0</v>
      </c>
      <c r="AMI19" s="20" t="n">
        <v>0</v>
      </c>
      <c r="AMJ19" s="20" t="n">
        <v>0</v>
      </c>
      <c r="AMK19" s="20" t="n">
        <v>0</v>
      </c>
      <c r="AML19" s="20" t="n">
        <v>0</v>
      </c>
      <c r="AMM19" s="20" t="n">
        <v>0</v>
      </c>
      <c r="AMN19" s="20" t="n">
        <v>0</v>
      </c>
      <c r="AMO19" s="20" t="n">
        <v>0</v>
      </c>
      <c r="AMP19" s="20" t="n">
        <v>0</v>
      </c>
      <c r="AMQ19" s="20" t="n">
        <v>0</v>
      </c>
      <c r="AMR19" s="20" t="n">
        <v>0</v>
      </c>
      <c r="AMS19" s="20" t="n">
        <v>0</v>
      </c>
      <c r="AMT19" s="20" t="n">
        <v>0</v>
      </c>
      <c r="AMU19" s="20" t="n">
        <v>0</v>
      </c>
      <c r="AMV19" s="20" t="n">
        <v>0</v>
      </c>
      <c r="AMW19" s="20" t="n">
        <v>0</v>
      </c>
      <c r="AMX19" s="20" t="n">
        <v>0</v>
      </c>
      <c r="AMY19" s="20" t="n">
        <v>0</v>
      </c>
      <c r="AMZ19" s="20" t="n">
        <v>0</v>
      </c>
      <c r="ANA19" s="20" t="n">
        <v>0</v>
      </c>
      <c r="ANB19" s="20" t="n">
        <v>0</v>
      </c>
      <c r="ANC19" s="20" t="n">
        <v>0</v>
      </c>
      <c r="AND19" s="20" t="n">
        <v>0</v>
      </c>
      <c r="ANE19" s="20" t="n">
        <v>0</v>
      </c>
      <c r="ANF19" s="20" t="n">
        <v>0</v>
      </c>
      <c r="ANG19" s="20" t="n">
        <v>0</v>
      </c>
      <c r="ANH19" s="20" t="n">
        <v>0</v>
      </c>
      <c r="ANI19" s="20" t="n">
        <v>0</v>
      </c>
      <c r="ANJ19" s="20" t="n">
        <v>0</v>
      </c>
      <c r="ANK19" s="20" t="n">
        <v>0</v>
      </c>
      <c r="ANL19" s="20" t="n">
        <v>0</v>
      </c>
      <c r="ANM19" s="20" t="n">
        <v>0</v>
      </c>
      <c r="ANN19" s="20" t="n">
        <v>0</v>
      </c>
      <c r="ANO19" s="20" t="n">
        <v>0</v>
      </c>
      <c r="ANP19" s="20" t="n">
        <v>0</v>
      </c>
      <c r="ANQ19" s="20" t="n">
        <v>0</v>
      </c>
      <c r="ANR19" s="20" t="n">
        <v>0</v>
      </c>
      <c r="ANS19" s="20" t="n">
        <v>0</v>
      </c>
      <c r="ANT19" s="20" t="n">
        <v>0</v>
      </c>
      <c r="ANU19" s="20" t="n">
        <v>0</v>
      </c>
      <c r="ANV19" s="20" t="n">
        <v>0</v>
      </c>
      <c r="ANW19" s="20" t="n">
        <v>0</v>
      </c>
      <c r="ANX19" s="20" t="n">
        <v>0</v>
      </c>
      <c r="ANY19" s="20" t="n">
        <v>0</v>
      </c>
      <c r="ANZ19" s="20" t="n">
        <v>0</v>
      </c>
      <c r="AOA19" s="20" t="n">
        <v>0</v>
      </c>
      <c r="AOB19" s="20" t="n">
        <v>0</v>
      </c>
      <c r="AOC19" s="20" t="n">
        <v>0</v>
      </c>
      <c r="AOD19" s="20" t="n">
        <v>0</v>
      </c>
      <c r="AOE19" s="20" t="n">
        <f aca="false">IF(AND(H_Direct=0,H_TaxEvt=1,ARR18+1&gt;=H_Deemed),AKR19,AHE19)</f>
        <v>0</v>
      </c>
      <c r="AOF19" s="20" t="n">
        <f aca="false">IF(AND(H_Direct=0,H_TaxEvt=1,ARS18+1&gt;=H_Deemed),AKS19,AHF19)</f>
        <v>0</v>
      </c>
      <c r="AOG19" s="20" t="n">
        <f aca="false">IF(AND(H_Direct=0,H_TaxEvt=1,ART18+1&gt;=H_Deemed),AKT19,AHG19)</f>
        <v>0</v>
      </c>
      <c r="AOH19" s="20" t="n">
        <f aca="false">IF(AND(H_Direct=0,H_TaxEvt=1,ARU18+1&gt;=H_Deemed),AKU19,AHH19)</f>
        <v>0</v>
      </c>
      <c r="AOI19" s="20" t="n">
        <f aca="false">IF(AND(H_Direct=0,H_TaxEvt=1,ARV18+1&gt;=H_Deemed),AKV19,AHI19)</f>
        <v>0</v>
      </c>
      <c r="AOJ19" s="20" t="n">
        <f aca="false">IF(AND(H_Direct=0,H_TaxEvt=1,ARW18+1&gt;=H_Deemed),AKW19,AHJ19)</f>
        <v>0</v>
      </c>
      <c r="AOK19" s="20" t="n">
        <f aca="false">IF(AND(H_Direct=0,H_TaxEvt=1,ARX18+1&gt;=H_Deemed),AKX19,AHK19)</f>
        <v>0</v>
      </c>
      <c r="AOL19" s="20" t="n">
        <f aca="false">IF(AND(H_Direct=0,H_TaxEvt=1,ARY18+1&gt;=H_Deemed),AKY19,AHL19)</f>
        <v>0</v>
      </c>
      <c r="AOM19" s="20" t="n">
        <f aca="false">IF(AND(H_Direct=0,H_TaxEvt=1,ARZ18+1&gt;=H_Deemed),AKZ19,AHM19)</f>
        <v>0</v>
      </c>
      <c r="AON19" s="20" t="n">
        <f aca="false">IF(AND(H_Direct=0,H_TaxEvt=1,ASA18+1&gt;=H_Deemed),ALA19,AHN19)</f>
        <v>0</v>
      </c>
      <c r="AOO19" s="20" t="n">
        <f aca="false">IF(AND(H_Direct=0,H_TaxEvt=1,ASB18+1&gt;=H_Deemed),ALB19,AHO19)</f>
        <v>0</v>
      </c>
      <c r="AOP19" s="20" t="n">
        <f aca="false">IF(AND(H_Direct=0,H_TaxEvt=1,ASC18+1&gt;=H_Deemed),ALC19,AHP19)</f>
        <v>546.676920289684</v>
      </c>
      <c r="AOQ19" s="20" t="n">
        <f aca="false">IF(AND(H_Direct=0,H_TaxEvt=1,0+1&gt;=H_Deemed),ALD19,AHQ19)</f>
        <v>715.210256730627</v>
      </c>
      <c r="AOR19" s="20" t="n">
        <v>0</v>
      </c>
      <c r="AOS19" s="20" t="n">
        <v>0</v>
      </c>
      <c r="AOT19" s="20" t="n">
        <v>0</v>
      </c>
      <c r="AOU19" s="20" t="n">
        <v>0</v>
      </c>
      <c r="AOV19" s="20" t="n">
        <v>0</v>
      </c>
      <c r="AOW19" s="20" t="n">
        <v>0</v>
      </c>
      <c r="AOX19" s="20" t="n">
        <v>0</v>
      </c>
      <c r="AOY19" s="20" t="n">
        <v>0</v>
      </c>
      <c r="AOZ19" s="20" t="n">
        <v>0</v>
      </c>
      <c r="APA19" s="20" t="n">
        <v>0</v>
      </c>
      <c r="APB19" s="20" t="n">
        <v>0</v>
      </c>
      <c r="APC19" s="20" t="n">
        <v>0</v>
      </c>
      <c r="APD19" s="20" t="n">
        <v>0</v>
      </c>
      <c r="APE19" s="20" t="n">
        <v>0</v>
      </c>
      <c r="APF19" s="20" t="n">
        <v>0</v>
      </c>
      <c r="APG19" s="20" t="n">
        <v>0</v>
      </c>
      <c r="APH19" s="20" t="n">
        <v>0</v>
      </c>
      <c r="API19" s="20" t="n">
        <v>0</v>
      </c>
      <c r="APJ19" s="20" t="n">
        <v>0</v>
      </c>
      <c r="APK19" s="20" t="n">
        <v>0</v>
      </c>
      <c r="APL19" s="20" t="n">
        <v>0</v>
      </c>
      <c r="APM19" s="20" t="n">
        <v>0</v>
      </c>
      <c r="APN19" s="20" t="n">
        <v>0</v>
      </c>
      <c r="APO19" s="20" t="n">
        <v>0</v>
      </c>
      <c r="APP19" s="20" t="n">
        <v>0</v>
      </c>
      <c r="APQ19" s="20" t="n">
        <v>0</v>
      </c>
      <c r="APR19" s="20" t="n">
        <v>0</v>
      </c>
      <c r="APS19" s="20" t="n">
        <v>0</v>
      </c>
      <c r="APT19" s="20" t="n">
        <v>0</v>
      </c>
      <c r="APU19" s="20" t="n">
        <v>0</v>
      </c>
      <c r="APV19" s="20" t="n">
        <v>0</v>
      </c>
      <c r="APW19" s="20" t="n">
        <v>0</v>
      </c>
      <c r="APX19" s="20" t="n">
        <v>0</v>
      </c>
      <c r="APY19" s="20" t="n">
        <v>0</v>
      </c>
      <c r="APZ19" s="20" t="n">
        <v>0</v>
      </c>
      <c r="AQA19" s="20" t="n">
        <v>0</v>
      </c>
      <c r="AQB19" s="20" t="n">
        <v>0</v>
      </c>
      <c r="AQC19" s="20" t="n">
        <v>0</v>
      </c>
      <c r="AQD19" s="20" t="n">
        <v>0</v>
      </c>
      <c r="AQE19" s="20" t="n">
        <v>0</v>
      </c>
      <c r="AQF19" s="20" t="n">
        <v>0</v>
      </c>
      <c r="AQG19" s="20" t="n">
        <v>0</v>
      </c>
      <c r="AQH19" s="20" t="n">
        <v>0</v>
      </c>
      <c r="AQI19" s="20" t="n">
        <v>0</v>
      </c>
      <c r="AQJ19" s="20" t="n">
        <v>0</v>
      </c>
      <c r="AQK19" s="20" t="n">
        <v>0</v>
      </c>
      <c r="AQL19" s="20" t="n">
        <v>0</v>
      </c>
      <c r="AQM19" s="20" t="n">
        <v>0</v>
      </c>
      <c r="AQN19" s="20" t="n">
        <v>0</v>
      </c>
      <c r="AQO19" s="20" t="n">
        <v>0</v>
      </c>
      <c r="AQP19" s="20" t="n">
        <v>0</v>
      </c>
      <c r="AQQ19" s="20" t="n">
        <v>0</v>
      </c>
      <c r="AQR19" s="20" t="n">
        <v>0</v>
      </c>
      <c r="AQS19" s="20" t="n">
        <v>0</v>
      </c>
      <c r="AQT19" s="20" t="n">
        <v>0</v>
      </c>
      <c r="AQU19" s="20" t="n">
        <v>0</v>
      </c>
      <c r="AQV19" s="20" t="n">
        <v>0</v>
      </c>
      <c r="AQW19" s="20" t="n">
        <v>0</v>
      </c>
      <c r="AQX19" s="20" t="n">
        <v>0</v>
      </c>
      <c r="AQY19" s="20" t="n">
        <v>0</v>
      </c>
      <c r="AQZ19" s="20" t="n">
        <v>0</v>
      </c>
      <c r="ARA19" s="20" t="n">
        <v>0</v>
      </c>
      <c r="ARB19" s="20" t="n">
        <v>0</v>
      </c>
      <c r="ARC19" s="20" t="n">
        <v>0</v>
      </c>
      <c r="ARD19" s="20" t="n">
        <v>0</v>
      </c>
      <c r="ARE19" s="20" t="n">
        <v>0</v>
      </c>
      <c r="ARF19" s="20" t="n">
        <v>0</v>
      </c>
      <c r="ARG19" s="20" t="n">
        <v>0</v>
      </c>
      <c r="ARH19" s="20" t="n">
        <v>0</v>
      </c>
      <c r="ARI19" s="20" t="n">
        <v>0</v>
      </c>
      <c r="ARJ19" s="20" t="n">
        <v>0</v>
      </c>
      <c r="ARK19" s="20" t="n">
        <v>0</v>
      </c>
      <c r="ARL19" s="20" t="n">
        <v>0</v>
      </c>
      <c r="ARM19" s="20" t="n">
        <v>0</v>
      </c>
      <c r="ARN19" s="20" t="n">
        <v>0</v>
      </c>
      <c r="ARO19" s="20" t="n">
        <v>0</v>
      </c>
      <c r="ARP19" s="20" t="n">
        <v>0</v>
      </c>
      <c r="ARQ19" s="20" t="n">
        <v>0</v>
      </c>
      <c r="ARR19" s="20" t="n">
        <f aca="false">IF(AND(H_Direct=0,H_TaxEvt=1),IF(ARR18+1&gt;=H_Deemed,0,ARR18+1),ARR18)</f>
        <v>4</v>
      </c>
      <c r="ARS19" s="20" t="n">
        <f aca="false">IF(AND(H_Direct=0,H_TaxEvt=1),IF(ARS18+1&gt;=H_Deemed,0,ARS18+1),ARS18)</f>
        <v>4</v>
      </c>
      <c r="ART19" s="20" t="n">
        <f aca="false">IF(AND(H_Direct=0,H_TaxEvt=1),IF(ART18+1&gt;=H_Deemed,0,ART18+1),ART18)</f>
        <v>3</v>
      </c>
      <c r="ARU19" s="20" t="n">
        <f aca="false">IF(AND(H_Direct=0,H_TaxEvt=1),IF(ARU18+1&gt;=H_Deemed,0,ARU18+1),ARU18)</f>
        <v>2</v>
      </c>
      <c r="ARV19" s="20" t="n">
        <f aca="false">IF(AND(H_Direct=0,H_TaxEvt=1),IF(ARV18+1&gt;=H_Deemed,0,ARV18+1),ARV18)</f>
        <v>1</v>
      </c>
      <c r="ARW19" s="20" t="n">
        <f aca="false">IF(AND(H_Direct=0,H_TaxEvt=1),IF(ARW18+1&gt;=H_Deemed,0,ARW18+1),ARW18)</f>
        <v>0</v>
      </c>
      <c r="ARX19" s="20" t="n">
        <f aca="false">IF(AND(H_Direct=0,H_TaxEvt=1),IF(ARX18+1&gt;=H_Deemed,0,ARX18+1),ARX18)</f>
        <v>7</v>
      </c>
      <c r="ARY19" s="20" t="n">
        <f aca="false">IF(AND(H_Direct=0,H_TaxEvt=1),IF(ARY18+1&gt;=H_Deemed,0,ARY18+1),ARY18)</f>
        <v>6</v>
      </c>
      <c r="ARZ19" s="20" t="n">
        <f aca="false">IF(AND(H_Direct=0,H_TaxEvt=1),IF(ARZ18+1&gt;=H_Deemed,0,ARZ18+1),ARZ18)</f>
        <v>5</v>
      </c>
      <c r="ASA19" s="20" t="n">
        <f aca="false">IF(AND(H_Direct=0,H_TaxEvt=1),IF(ASA18+1&gt;=H_Deemed,0,ASA18+1),ASA18)</f>
        <v>4</v>
      </c>
      <c r="ASB19" s="20" t="n">
        <f aca="false">IF(AND(H_Direct=0,H_TaxEvt=1),IF(ASB18+1&gt;=H_Deemed,0,ASB18+1),ASB18)</f>
        <v>3</v>
      </c>
      <c r="ASC19" s="20" t="n">
        <f aca="false">IF(AND(H_Direct=0,H_TaxEvt=1),IF(ASC18+1&gt;=H_Deemed,0,ASC18+1),ASC18)</f>
        <v>2</v>
      </c>
      <c r="ASD19" s="20" t="n">
        <f aca="false">IF(AND(H_Direct=0,H_TaxEvt=1),IF(0+1&gt;=H_Deemed,0,0+1),0)</f>
        <v>1</v>
      </c>
      <c r="ASE19" s="20" t="n">
        <v>0</v>
      </c>
      <c r="ASF19" s="20" t="n">
        <v>0</v>
      </c>
      <c r="ASG19" s="20" t="n">
        <v>0</v>
      </c>
      <c r="ASH19" s="20" t="n">
        <v>0</v>
      </c>
      <c r="ASI19" s="20" t="n">
        <v>0</v>
      </c>
      <c r="ASJ19" s="20" t="n">
        <v>0</v>
      </c>
      <c r="ASK19" s="20" t="n">
        <v>0</v>
      </c>
      <c r="ASL19" s="20" t="n">
        <v>0</v>
      </c>
      <c r="ASM19" s="20" t="n">
        <v>0</v>
      </c>
      <c r="ASN19" s="20" t="n">
        <v>0</v>
      </c>
      <c r="ASO19" s="20" t="n">
        <v>0</v>
      </c>
      <c r="ASP19" s="20" t="n">
        <v>0</v>
      </c>
      <c r="ASQ19" s="20" t="n">
        <v>0</v>
      </c>
      <c r="ASR19" s="20" t="n">
        <v>0</v>
      </c>
      <c r="ASS19" s="20" t="n">
        <v>0</v>
      </c>
      <c r="AST19" s="20" t="n">
        <v>0</v>
      </c>
      <c r="ASU19" s="20" t="n">
        <v>0</v>
      </c>
      <c r="ASV19" s="20" t="n">
        <v>0</v>
      </c>
      <c r="ASW19" s="20" t="n">
        <v>0</v>
      </c>
      <c r="ASX19" s="20" t="n">
        <v>0</v>
      </c>
      <c r="ASY19" s="20" t="n">
        <v>0</v>
      </c>
      <c r="ASZ19" s="20" t="n">
        <v>0</v>
      </c>
      <c r="ATA19" s="20" t="n">
        <v>0</v>
      </c>
      <c r="ATB19" s="20" t="n">
        <v>0</v>
      </c>
      <c r="ATC19" s="20" t="n">
        <v>0</v>
      </c>
      <c r="ATD19" s="20" t="n">
        <v>0</v>
      </c>
      <c r="ATE19" s="20" t="n">
        <v>0</v>
      </c>
      <c r="ATF19" s="20" t="n">
        <v>0</v>
      </c>
      <c r="ATG19" s="20" t="n">
        <v>0</v>
      </c>
      <c r="ATH19" s="20" t="n">
        <v>0</v>
      </c>
      <c r="ATI19" s="20" t="n">
        <v>0</v>
      </c>
      <c r="ATJ19" s="20" t="n">
        <v>0</v>
      </c>
      <c r="ATK19" s="20" t="n">
        <v>0</v>
      </c>
      <c r="ATL19" s="20" t="n">
        <v>0</v>
      </c>
      <c r="ATM19" s="20" t="n">
        <v>0</v>
      </c>
      <c r="ATN19" s="20" t="n">
        <v>0</v>
      </c>
      <c r="ATO19" s="20" t="n">
        <v>0</v>
      </c>
      <c r="ATP19" s="20" t="n">
        <v>0</v>
      </c>
      <c r="ATQ19" s="20" t="n">
        <v>0</v>
      </c>
      <c r="ATR19" s="20" t="n">
        <v>0</v>
      </c>
      <c r="ATS19" s="20" t="n">
        <v>0</v>
      </c>
      <c r="ATT19" s="20" t="n">
        <v>0</v>
      </c>
      <c r="ATU19" s="20" t="n">
        <v>0</v>
      </c>
      <c r="ATV19" s="20" t="n">
        <v>0</v>
      </c>
      <c r="ATW19" s="20" t="n">
        <v>0</v>
      </c>
      <c r="ATX19" s="20" t="n">
        <v>0</v>
      </c>
      <c r="ATY19" s="20" t="n">
        <v>0</v>
      </c>
      <c r="ATZ19" s="20" t="n">
        <v>0</v>
      </c>
      <c r="AUA19" s="20" t="n">
        <v>0</v>
      </c>
      <c r="AUB19" s="20" t="n">
        <v>0</v>
      </c>
      <c r="AUC19" s="20" t="n">
        <v>0</v>
      </c>
      <c r="AUD19" s="20" t="n">
        <v>0</v>
      </c>
      <c r="AUE19" s="20" t="n">
        <v>0</v>
      </c>
      <c r="AUF19" s="20" t="n">
        <v>0</v>
      </c>
      <c r="AUG19" s="20" t="n">
        <v>0</v>
      </c>
      <c r="AUH19" s="20" t="n">
        <v>0</v>
      </c>
      <c r="AUI19" s="20" t="n">
        <v>0</v>
      </c>
      <c r="AUJ19" s="20" t="n">
        <v>0</v>
      </c>
      <c r="AUK19" s="20" t="n">
        <v>0</v>
      </c>
      <c r="AUL19" s="20" t="n">
        <v>0</v>
      </c>
      <c r="AUM19" s="20" t="n">
        <v>0</v>
      </c>
      <c r="AUN19" s="20" t="n">
        <v>0</v>
      </c>
      <c r="AUO19" s="20" t="n">
        <v>0</v>
      </c>
      <c r="AUP19" s="20" t="n">
        <v>0</v>
      </c>
      <c r="AUQ19" s="20" t="n">
        <v>0</v>
      </c>
      <c r="AUR19" s="20" t="n">
        <v>0</v>
      </c>
      <c r="AUS19" s="20" t="n">
        <v>0</v>
      </c>
      <c r="AUT19" s="20" t="n">
        <v>0</v>
      </c>
      <c r="AUU19" s="20" t="n">
        <v>0</v>
      </c>
      <c r="AUV19" s="20" t="n">
        <v>0</v>
      </c>
      <c r="AUW19" s="20" t="n">
        <v>0</v>
      </c>
      <c r="AUX19" s="20" t="n">
        <v>0</v>
      </c>
      <c r="AUY19" s="20" t="n">
        <v>0</v>
      </c>
      <c r="AUZ19" s="20" t="n">
        <v>0</v>
      </c>
      <c r="AVA19" s="20" t="n">
        <v>0</v>
      </c>
      <c r="AVB19" s="20" t="n">
        <v>0</v>
      </c>
      <c r="AVC19" s="20" t="n">
        <v>0</v>
      </c>
      <c r="AVD19" s="20" t="n">
        <v>0</v>
      </c>
      <c r="AVE19" s="20" t="n">
        <f aca="false">IF(AND(H_Direct=0,H_TaxEvt=1,ARR18+1&gt;=H_Deemed),MAX(0,ADR19-AHE19)*H_Exit,0)</f>
        <v>0</v>
      </c>
      <c r="AVF19" s="20" t="n">
        <f aca="false">IF(AND(H_Direct=0,H_TaxEvt=1,ARS18+1&gt;=H_Deemed),MAX(0,ADS19-AHF19)*H_Exit,0)</f>
        <v>0</v>
      </c>
      <c r="AVG19" s="20" t="n">
        <f aca="false">IF(AND(H_Direct=0,H_TaxEvt=1,ART18+1&gt;=H_Deemed),MAX(0,ADT19-AHG19)*H_Exit,0)</f>
        <v>0</v>
      </c>
      <c r="AVH19" s="20" t="n">
        <f aca="false">IF(AND(H_Direct=0,H_TaxEvt=1,ARU18+1&gt;=H_Deemed),MAX(0,ADU19-AHH19)*H_Exit,0)</f>
        <v>0</v>
      </c>
      <c r="AVI19" s="20" t="n">
        <f aca="false">IF(AND(H_Direct=0,H_TaxEvt=1,ARV18+1&gt;=H_Deemed),MAX(0,ADV19-AHI19)*H_Exit,0)</f>
        <v>0</v>
      </c>
      <c r="AVJ19" s="20" t="n">
        <f aca="false">IF(AND(H_Direct=0,H_TaxEvt=1,ARW18+1&gt;=H_Deemed),MAX(0,ADW19-AHJ19)*H_Exit,0)</f>
        <v>0</v>
      </c>
      <c r="AVK19" s="20" t="n">
        <f aca="false">IF(AND(H_Direct=0,H_TaxEvt=1,ARX18+1&gt;=H_Deemed),MAX(0,ADX19-AHK19)*H_Exit,0)</f>
        <v>0</v>
      </c>
      <c r="AVL19" s="20" t="n">
        <f aca="false">IF(AND(H_Direct=0,H_TaxEvt=1,ARY18+1&gt;=H_Deemed),MAX(0,ADY19-AHL19)*H_Exit,0)</f>
        <v>0</v>
      </c>
      <c r="AVM19" s="20" t="n">
        <f aca="false">IF(AND(H_Direct=0,H_TaxEvt=1,ARZ18+1&gt;=H_Deemed),MAX(0,ADZ19-AHM19)*H_Exit,0)</f>
        <v>0</v>
      </c>
      <c r="AVN19" s="20" t="n">
        <f aca="false">IF(AND(H_Direct=0,H_TaxEvt=1,ASA18+1&gt;=H_Deemed),MAX(0,AEA19-AHN19)*H_Exit,0)</f>
        <v>0</v>
      </c>
      <c r="AVO19" s="20" t="n">
        <f aca="false">IF(AND(H_Direct=0,H_TaxEvt=1,ASB18+1&gt;=H_Deemed),MAX(0,AEB19-AHO19)*H_Exit,0)</f>
        <v>0</v>
      </c>
      <c r="AVP19" s="20" t="n">
        <f aca="false">IF(AND(H_Direct=0,H_TaxEvt=1,ASC18+1&gt;=H_Deemed),MAX(0,AEC19-AHP19)*H_Exit,0)</f>
        <v>0</v>
      </c>
      <c r="AVQ19" s="20" t="n">
        <f aca="false">IF(AND(H_Direct=0,H_TaxEvt=1,0+1&gt;=H_Deemed),MAX(0,AED19-AHQ19)*H_Exit,0)</f>
        <v>0</v>
      </c>
      <c r="AVR19" s="20" t="n">
        <v>0</v>
      </c>
      <c r="AVS19" s="20" t="n">
        <v>0</v>
      </c>
      <c r="AVT19" s="20" t="n">
        <v>0</v>
      </c>
      <c r="AVU19" s="20" t="n">
        <v>0</v>
      </c>
      <c r="AVV19" s="20" t="n">
        <v>0</v>
      </c>
      <c r="AVW19" s="20" t="n">
        <v>0</v>
      </c>
      <c r="AVX19" s="20" t="n">
        <v>0</v>
      </c>
      <c r="AVY19" s="20" t="n">
        <v>0</v>
      </c>
      <c r="AVZ19" s="20" t="n">
        <v>0</v>
      </c>
      <c r="AWA19" s="20" t="n">
        <v>0</v>
      </c>
      <c r="AWB19" s="20" t="n">
        <v>0</v>
      </c>
      <c r="AWC19" s="20" t="n">
        <v>0</v>
      </c>
      <c r="AWD19" s="20" t="n">
        <v>0</v>
      </c>
      <c r="AWE19" s="20" t="n">
        <v>0</v>
      </c>
      <c r="AWF19" s="20" t="n">
        <v>0</v>
      </c>
      <c r="AWG19" s="20" t="n">
        <v>0</v>
      </c>
      <c r="AWH19" s="20" t="n">
        <v>0</v>
      </c>
      <c r="AWI19" s="20" t="n">
        <v>0</v>
      </c>
      <c r="AWJ19" s="20" t="n">
        <v>0</v>
      </c>
      <c r="AWK19" s="20" t="n">
        <v>0</v>
      </c>
      <c r="AWL19" s="20" t="n">
        <v>0</v>
      </c>
      <c r="AWM19" s="20" t="n">
        <v>0</v>
      </c>
      <c r="AWN19" s="20" t="n">
        <v>0</v>
      </c>
      <c r="AWO19" s="20" t="n">
        <v>0</v>
      </c>
      <c r="AWP19" s="20" t="n">
        <v>0</v>
      </c>
      <c r="AWQ19" s="20" t="n">
        <v>0</v>
      </c>
      <c r="AWR19" s="20" t="n">
        <v>0</v>
      </c>
      <c r="AWS19" s="20" t="n">
        <v>0</v>
      </c>
      <c r="AWT19" s="20" t="n">
        <v>0</v>
      </c>
      <c r="AWU19" s="20" t="n">
        <v>0</v>
      </c>
      <c r="AWV19" s="20" t="n">
        <v>0</v>
      </c>
      <c r="AWW19" s="20" t="n">
        <v>0</v>
      </c>
      <c r="AWX19" s="20" t="n">
        <v>0</v>
      </c>
      <c r="AWY19" s="20" t="n">
        <v>0</v>
      </c>
      <c r="AWZ19" s="20" t="n">
        <v>0</v>
      </c>
      <c r="AXA19" s="20" t="n">
        <v>0</v>
      </c>
      <c r="AXB19" s="20" t="n">
        <v>0</v>
      </c>
      <c r="AXC19" s="20" t="n">
        <v>0</v>
      </c>
      <c r="AXD19" s="20" t="n">
        <v>0</v>
      </c>
      <c r="AXE19" s="20" t="n">
        <v>0</v>
      </c>
      <c r="AXF19" s="20" t="n">
        <v>0</v>
      </c>
      <c r="AXG19" s="20" t="n">
        <v>0</v>
      </c>
      <c r="AXH19" s="20" t="n">
        <v>0</v>
      </c>
      <c r="AXI19" s="20" t="n">
        <v>0</v>
      </c>
      <c r="AXJ19" s="20" t="n">
        <v>0</v>
      </c>
      <c r="AXK19" s="20" t="n">
        <v>0</v>
      </c>
      <c r="AXL19" s="20" t="n">
        <v>0</v>
      </c>
      <c r="AXM19" s="20" t="n">
        <v>0</v>
      </c>
      <c r="AXN19" s="20" t="n">
        <v>0</v>
      </c>
      <c r="AXO19" s="20" t="n">
        <v>0</v>
      </c>
      <c r="AXP19" s="20" t="n">
        <v>0</v>
      </c>
      <c r="AXQ19" s="20" t="n">
        <v>0</v>
      </c>
      <c r="AXR19" s="20" t="n">
        <v>0</v>
      </c>
      <c r="AXS19" s="20" t="n">
        <v>0</v>
      </c>
      <c r="AXT19" s="20" t="n">
        <v>0</v>
      </c>
      <c r="AXU19" s="20" t="n">
        <v>0</v>
      </c>
      <c r="AXV19" s="20" t="n">
        <v>0</v>
      </c>
      <c r="AXW19" s="20" t="n">
        <v>0</v>
      </c>
      <c r="AXX19" s="20" t="n">
        <v>0</v>
      </c>
      <c r="AXY19" s="20" t="n">
        <v>0</v>
      </c>
      <c r="AXZ19" s="20" t="n">
        <v>0</v>
      </c>
      <c r="AYA19" s="20" t="n">
        <v>0</v>
      </c>
      <c r="AYB19" s="20" t="n">
        <v>0</v>
      </c>
      <c r="AYC19" s="20" t="n">
        <v>0</v>
      </c>
      <c r="AYD19" s="20" t="n">
        <v>0</v>
      </c>
      <c r="AYE19" s="20" t="n">
        <v>0</v>
      </c>
      <c r="AYF19" s="20" t="n">
        <v>0</v>
      </c>
      <c r="AYG19" s="20" t="n">
        <v>0</v>
      </c>
      <c r="AYH19" s="20" t="n">
        <v>0</v>
      </c>
      <c r="AYI19" s="20" t="n">
        <v>0</v>
      </c>
      <c r="AYJ19" s="20" t="n">
        <v>0</v>
      </c>
      <c r="AYK19" s="20" t="n">
        <v>0</v>
      </c>
      <c r="AYL19" s="20" t="n">
        <v>0</v>
      </c>
      <c r="AYM19" s="20" t="n">
        <v>0</v>
      </c>
      <c r="AYN19" s="20" t="n">
        <v>0</v>
      </c>
      <c r="AYO19" s="20" t="n">
        <v>0</v>
      </c>
      <c r="AYP19" s="20" t="n">
        <v>0</v>
      </c>
      <c r="AYQ19" s="20" t="n">
        <v>0</v>
      </c>
    </row>
    <row r="20" customFormat="false" ht="15" hidden="false" customHeight="false" outlineLevel="0" collapsed="false">
      <c r="B20" s="20" t="n">
        <v>12</v>
      </c>
      <c r="C20" s="20" t="n">
        <f aca="false">'Plan cashflow'!C20</f>
        <v>1</v>
      </c>
      <c r="D20" s="20" t="n">
        <f aca="false">'Plan cashflow'!D20</f>
        <v>50</v>
      </c>
      <c r="E20" s="20" t="n">
        <f aca="false">AS_Year0+12</f>
        <v>2038</v>
      </c>
      <c r="F20" s="50" t="n">
        <f aca="false">'Plan cashflow'!F20</f>
        <v>1.26824179456255</v>
      </c>
      <c r="G20" s="59" t="n">
        <f aca="true">IF(MAX(TODAY(),DATE(E20,1,1))&gt;=H_CGTfrom,H_CGT1,H_CGT0)</f>
        <v>0.31</v>
      </c>
      <c r="H20" s="20" t="n">
        <f aca="false">H_Exempt*H_Persons</f>
        <v>1270</v>
      </c>
      <c r="I20" s="20" t="n">
        <f aca="false">AX19</f>
        <v>0</v>
      </c>
      <c r="J20" s="60" t="n">
        <f aca="false">BF19</f>
        <v>1920.04122852816</v>
      </c>
      <c r="K20" s="60" t="n">
        <f aca="false">BG19</f>
        <v>0</v>
      </c>
      <c r="L20" s="20" t="n">
        <f aca="false">IF(AND(In_polLump&gt;0,In_polLumpAge&gt;0,D20=In_polLumpAge),In_polLump,0)</f>
        <v>0</v>
      </c>
      <c r="M20" s="20" t="n">
        <f aca="false">IF(AND(In_homeUse="Yes, I'd downsize",In_downAge&gt;0,D20=In_downAge,OR(In_home="Own outright",In_home="Own with mortgage"),In_homeValue&gt;0),MAX(0,MAX(0,In_homeValue-In_downValue)*F20*0.9-'Plan cashflow'!HR19),0)</f>
        <v>0</v>
      </c>
      <c r="N20" s="20" t="n">
        <f aca="false">'Plan pay &amp; tax'!Y246</f>
        <v>0</v>
      </c>
      <c r="O20" s="20" t="n">
        <f aca="false">L20+M20+(1-H_Sh)*N20</f>
        <v>0</v>
      </c>
      <c r="P20" s="20" t="n">
        <f aca="false">H_Sh*N20</f>
        <v>0</v>
      </c>
      <c r="Q20" s="20" t="n">
        <f aca="false">'Plan cashflow'!UL20</f>
        <v>0</v>
      </c>
      <c r="R20" s="20" t="n">
        <f aca="false">(1-H_Sh)*Q20</f>
        <v>0</v>
      </c>
      <c r="S20" s="20" t="n">
        <f aca="false">H_Sh*Q20</f>
        <v>0</v>
      </c>
      <c r="T20" s="20" t="n">
        <f aca="false">J20+K20+O20</f>
        <v>1920.04122852816</v>
      </c>
      <c r="U20" s="20" t="n">
        <f aca="false">T20+R20</f>
        <v>1920.04122852816</v>
      </c>
      <c r="V20" s="60" t="n">
        <f aca="false">SUM(FE20:IQ20)</f>
        <v>1307.28187013853</v>
      </c>
      <c r="W20" s="60" t="n">
        <f aca="false">IF(AJ20&lt;=0,0,IF(AL20&lt;=0,AJ20,AJ20-G20*MAX(0,AL20*AJ20-(AY20+AZ20))))</f>
        <v>0</v>
      </c>
      <c r="X20" s="60" t="n">
        <f aca="false">IF(AR20&lt;=0,0,IF(AT20&lt;=0,AR20,AR20-G20*MAX(0,AT20*AR20-(BA20+BB20))))</f>
        <v>0</v>
      </c>
      <c r="Y20" s="60" t="n">
        <f aca="false">T20+V20-S20+W20+X20</f>
        <v>3227.32309866669</v>
      </c>
      <c r="Z20" s="60" t="n">
        <f aca="false">'Plan cashflow'!UK20</f>
        <v>0</v>
      </c>
      <c r="AA20" s="20" t="n">
        <f aca="false">MIN(Z20,U20)</f>
        <v>0</v>
      </c>
      <c r="AB20" s="20" t="n">
        <f aca="false">Z20-AA20</f>
        <v>0</v>
      </c>
      <c r="AC20" s="20" t="n">
        <f aca="false">MIN(AA20,J20+O20+R20)</f>
        <v>0</v>
      </c>
      <c r="AD20" s="20" t="n">
        <f aca="false">AA20-AC20</f>
        <v>0</v>
      </c>
      <c r="AE20" s="20" t="n">
        <f aca="false">J20+O20+R20-AC20</f>
        <v>1920.04122852816</v>
      </c>
      <c r="AF20" s="20" t="n">
        <f aca="false">K20-AD20</f>
        <v>0</v>
      </c>
      <c r="AG20" s="20" t="n">
        <f aca="false">SUM(PR20:TD20)</f>
        <v>0</v>
      </c>
      <c r="AH20" s="20" t="n">
        <f aca="false">SUM(TE20:WQ20)</f>
        <v>0</v>
      </c>
      <c r="AI20" s="20" t="n">
        <f aca="false">MAX(0,AB20-AG20)</f>
        <v>0</v>
      </c>
      <c r="AJ20" s="57" t="n">
        <f aca="false">BI19</f>
        <v>0</v>
      </c>
      <c r="AK20" s="20" t="n">
        <f aca="false">BJ19</f>
        <v>0</v>
      </c>
      <c r="AL20" s="20" t="n">
        <f aca="false">IF(AJ20&gt;0,(AJ20-AK20)/AJ20,0)</f>
        <v>0</v>
      </c>
      <c r="AM20" s="20" t="n">
        <f aca="false">IF(AJ20&lt;=0,0,IF(AL20&lt;=0,MIN(AI20,AJ20),MIN(AI20,AJ20-G20*MAX(0,AL20*AJ20-(AAD20+ADQ20)))))</f>
        <v>0</v>
      </c>
      <c r="AN20" s="20" t="n">
        <f aca="false">IF(AJ20&lt;=0,0,IF(AL20&lt;=0,AM20,IF(AM20&lt;=(AAD20+ADQ20)/AL20,AM20,(AM20-G20*(AAD20+ADQ20))/(1-G20*AL20))))</f>
        <v>0</v>
      </c>
      <c r="AO20" s="20" t="n">
        <f aca="false">IF(AL20&gt;0,MAX(0,AAD20-(MIN(AL20*AN20,(AAD20+ADQ20))-MIN(MIN(AL20*AN20,(AAD20+ADQ20)),ADQ20))),AAD20)</f>
        <v>1270</v>
      </c>
      <c r="AP20" s="20" t="n">
        <f aca="false">IF(AL20&lt;=0,ADQ20-AL20*AN20,ADQ20-MIN(MIN(AL20*AN20,(AAD20+ADQ20)),ADQ20))</f>
        <v>0</v>
      </c>
      <c r="AQ20" s="20" t="n">
        <f aca="false">MAX(0,AI20-AM20)</f>
        <v>0</v>
      </c>
      <c r="AR20" s="57" t="n">
        <f aca="false">BK19</f>
        <v>0</v>
      </c>
      <c r="AS20" s="20" t="n">
        <f aca="false">BL19</f>
        <v>0</v>
      </c>
      <c r="AT20" s="20" t="n">
        <f aca="false">IF(AR20&gt;0,(AR20-AS20)/AR20,0)</f>
        <v>0</v>
      </c>
      <c r="AU20" s="20" t="n">
        <f aca="false">IF(AR20&lt;=0,0,IF(AT20&lt;=0,MIN(AQ20,AR20),MIN(AQ20,AR20-G20*MAX(0,AT20*AR20-(AO20+AP20)))))</f>
        <v>0</v>
      </c>
      <c r="AV20" s="20" t="n">
        <f aca="false">IF(AR20&lt;=0,0,IF(AT20&lt;=0,AU20,IF(AU20&lt;=(AO20+AP20)/AT20,AU20,(AU20-G20*(AO20+AP20))/(1-G20*AT20))))</f>
        <v>0</v>
      </c>
      <c r="AW20" s="20" t="n">
        <f aca="false">IF(AT20&gt;0,MAX(0,AO20-(MIN(AT20*AV20,(AO20+AP20))-MIN(MIN(AT20*AV20,(AO20+AP20)),AP20))),AO20)</f>
        <v>1270</v>
      </c>
      <c r="AX20" s="20" t="n">
        <f aca="false">IF(AT20&lt;=0,AP20-AT20*AV20,AP20-MIN(MIN(AT20*AV20,(AO20+AP20)),AP20))</f>
        <v>0</v>
      </c>
      <c r="AY20" s="20" t="n">
        <f aca="false">MD20</f>
        <v>1270</v>
      </c>
      <c r="AZ20" s="20" t="n">
        <f aca="false">PQ20</f>
        <v>0</v>
      </c>
      <c r="BA20" s="20" t="n">
        <f aca="false">IF(AL20&gt;0,MAX(0,AY20-(MIN(AL20*AJ20,AY20+AZ20)-MIN(MIN(AL20*AJ20,AY20+AZ20),AZ20))),AY20)</f>
        <v>1270</v>
      </c>
      <c r="BB20" s="20" t="n">
        <f aca="false">IF(AL20&lt;=0,AZ20-AL20*AJ20,AZ20-MIN(MIN(AL20*AJ20,AY20+AZ20),AZ20))</f>
        <v>0</v>
      </c>
      <c r="BC20" s="20" t="n">
        <f aca="false">'Plan cashflow'!UM20</f>
        <v>2225.35763460359</v>
      </c>
      <c r="BD20" s="20" t="n">
        <f aca="false">(1-H_Sh)*BC20</f>
        <v>1335.21458076216</v>
      </c>
      <c r="BE20" s="20" t="n">
        <f aca="false">H_Sh*BC20</f>
        <v>890.143053841438</v>
      </c>
      <c r="BF20" s="60" t="n">
        <f aca="false">(AE20+BD20)*(1+AS_Cash)</f>
        <v>3287.80836738322</v>
      </c>
      <c r="BG20" s="60" t="n">
        <f aca="false">AF20*(1+AS_Cash)</f>
        <v>0</v>
      </c>
      <c r="BH20" s="60" t="n">
        <f aca="false">SUM(AKR20:AOD20)</f>
        <v>2314.25737693968</v>
      </c>
      <c r="BI20" s="60" t="n">
        <f aca="false">(AJ20-AN20)*(1+AS_Infl)</f>
        <v>0</v>
      </c>
      <c r="BJ20" s="20" t="n">
        <f aca="false">IF(AJ20&gt;0,AK20-AK20*AN20/AJ20,0)</f>
        <v>0</v>
      </c>
      <c r="BK20" s="60" t="n">
        <f aca="false">(AR20-AV20)*(1+BQ20)</f>
        <v>0</v>
      </c>
      <c r="BL20" s="20" t="n">
        <f aca="false">IF(AR20&gt;0,AS20-AS20*AV20/AR20,0)</f>
        <v>0</v>
      </c>
      <c r="BM20" s="60" t="n">
        <f aca="false">BF20+BG20+BH20+BI20+BK20</f>
        <v>5602.0657443229</v>
      </c>
      <c r="BN20" s="60" t="n">
        <f aca="false">(AH20-AG20)+(AN20-AM20)+(AV20-AU20)</f>
        <v>0</v>
      </c>
      <c r="BO20" s="20" t="n">
        <f aca="false">(AE20+BD20+AF20+MAX(0,'Plan cashflow'!QH20)+IF(Slot1_Rate=AS_Cash,'Plan cashflow'!QM20/(1+AS_Cash),0)+IF(Slot2_Rate=AS_Cash,'Plan cashflow'!QQ20/(1+AS_Cash),0)+IF(Slot3_Rate=AS_Cash,'Plan cashflow'!QU20/(1+AS_Cash),0)+IF(Slot4_Rate=AS_Cash,'Plan cashflow'!QY20/(1+AS_Cash),0)+IF(Slot5_Rate=AS_Cash,'Plan cashflow'!RC20/(1+AS_Cash),0)+IF(Slot6_Rate=AS_Cash,'Plan cashflow'!RG20/(1+AS_Cash),0)+IF(Slot7_Rate=AS_Cash,'Plan cashflow'!RK20/(1+AS_Cash),0)+IF(Slot8_Rate=AS_Cash,'Plan cashflow'!RO20/(1+AS_Cash),0)+IF(Slot9_Rate=AS_Cash,'Plan cashflow'!RS20/(1+AS_Cash),0)+IF(Slot10_Rate=AS_Cash,'Plan cashflow'!RW20/(1+AS_Cash),0)+IF(Slot11_Rate=AS_Cash,'Plan cashflow'!SA20/(1+AS_Cash),0)+IF(Slot12_Rate=AS_Cash,'Plan cashflow'!SE20/(1+AS_Cash),0)+IF(Slot13_Rate=AS_Cash,'Plan cashflow'!SI20/(1+AS_Cash),0)+IF(Slot14_Rate=AS_Cash,'Plan cashflow'!SM20/(1+AS_Cash),0)+IF(Slot15_Rate=AS_Cash,'Plan cashflow'!SQ20/(1+AS_Cash),0)+IF(Slot16_Rate=AS_Cash,'Plan cashflow'!SU20/(1+AS_Cash),0)+IF(Slot17_Rate=AS_Cash,'Plan cashflow'!SY20/(1+AS_Cash),0)+IF(Slot18_Rate=AS_Cash,'Plan cashflow'!TC20/(1+AS_Cash),0)+IF(Slot19_Rate=AS_Cash,'Plan cashflow'!TG20/(1+AS_Cash),0)+IF(Slot20_Rate=AS_Cash,'Plan cashflow'!TK20/(1+AS_Cash),0))*AS_Cash*H_DIRT/(1-H_DIRT)</f>
        <v>77.9397647524837</v>
      </c>
      <c r="BP20" s="60" t="n">
        <f aca="false">SUM(AVE20:AYQ20)</f>
        <v>0</v>
      </c>
      <c r="BQ20" s="54" t="n">
        <f aca="false">IF(H_TaxEvt=1,H_InvG,AS_Inv)</f>
        <v>0.04</v>
      </c>
      <c r="BR20" s="20" t="n">
        <f aca="false">IF(AKR19&gt;0,(AKR19-AOE19)/AKR19,0)</f>
        <v>0</v>
      </c>
      <c r="BS20" s="20" t="n">
        <f aca="false">IF(AKS19&gt;0,(AKS19-AOF19)/AKS19,0)</f>
        <v>0</v>
      </c>
      <c r="BT20" s="20" t="n">
        <f aca="false">IF(AKT19&gt;0,(AKT19-AOG19)/AKT19,0)</f>
        <v>0</v>
      </c>
      <c r="BU20" s="20" t="n">
        <f aca="false">IF(AKU19&gt;0,(AKU19-AOH19)/AKU19,0)</f>
        <v>0</v>
      </c>
      <c r="BV20" s="20" t="n">
        <f aca="false">IF(AKV19&gt;0,(AKV19-AOI19)/AKV19,0)</f>
        <v>0</v>
      </c>
      <c r="BW20" s="20" t="n">
        <f aca="false">IF(AKW19&gt;0,(AKW19-AOJ19)/AKW19,0)</f>
        <v>0</v>
      </c>
      <c r="BX20" s="20" t="n">
        <f aca="false">IF(AKX19&gt;0,(AKX19-AOK19)/AKX19,0)</f>
        <v>0</v>
      </c>
      <c r="BY20" s="20" t="n">
        <f aca="false">IF(AKY19&gt;0,(AKY19-AOL19)/AKY19,0)</f>
        <v>0</v>
      </c>
      <c r="BZ20" s="20" t="n">
        <f aca="false">IF(AKZ19&gt;0,(AKZ19-AOM19)/AKZ19,0)</f>
        <v>0</v>
      </c>
      <c r="CA20" s="20" t="n">
        <f aca="false">IF(ALA19&gt;0,(ALA19-AON19)/ALA19,0)</f>
        <v>0</v>
      </c>
      <c r="CB20" s="20" t="n">
        <f aca="false">IF(ALB19&gt;0,(ALB19-AOO19)/ALB19,0)</f>
        <v>0</v>
      </c>
      <c r="CC20" s="20" t="n">
        <f aca="false">IF(ALC19&gt;0,(ALC19-AOP19)/ALC19,0)</f>
        <v>0.0754437869822486</v>
      </c>
      <c r="CD20" s="20" t="n">
        <f aca="false">IF(ALD19&gt;0,(ALD19-AOQ19)/ALD19,0)</f>
        <v>0.0384615384615386</v>
      </c>
      <c r="CE20" s="20" t="n">
        <f aca="false">IF((P20+S20)&gt;0,((P20+S20)-(P20+S20))/(P20+S20),0)</f>
        <v>0</v>
      </c>
      <c r="CF20" s="20" t="n">
        <v>0</v>
      </c>
      <c r="CG20" s="20" t="n">
        <v>0</v>
      </c>
      <c r="CH20" s="20" t="n">
        <v>0</v>
      </c>
      <c r="CI20" s="20" t="n">
        <v>0</v>
      </c>
      <c r="CJ20" s="20" t="n">
        <v>0</v>
      </c>
      <c r="CK20" s="20" t="n">
        <v>0</v>
      </c>
      <c r="CL20" s="20" t="n">
        <v>0</v>
      </c>
      <c r="CM20" s="20" t="n">
        <v>0</v>
      </c>
      <c r="CN20" s="20" t="n">
        <v>0</v>
      </c>
      <c r="CO20" s="20" t="n">
        <v>0</v>
      </c>
      <c r="CP20" s="20" t="n">
        <v>0</v>
      </c>
      <c r="CQ20" s="20" t="n">
        <v>0</v>
      </c>
      <c r="CR20" s="20" t="n">
        <v>0</v>
      </c>
      <c r="CS20" s="20" t="n">
        <v>0</v>
      </c>
      <c r="CT20" s="20" t="n">
        <v>0</v>
      </c>
      <c r="CU20" s="20" t="n">
        <v>0</v>
      </c>
      <c r="CV20" s="20" t="n">
        <v>0</v>
      </c>
      <c r="CW20" s="20" t="n">
        <v>0</v>
      </c>
      <c r="CX20" s="20" t="n">
        <v>0</v>
      </c>
      <c r="CY20" s="20" t="n">
        <v>0</v>
      </c>
      <c r="CZ20" s="20" t="n">
        <v>0</v>
      </c>
      <c r="DA20" s="20" t="n">
        <v>0</v>
      </c>
      <c r="DB20" s="20" t="n">
        <v>0</v>
      </c>
      <c r="DC20" s="20" t="n">
        <v>0</v>
      </c>
      <c r="DD20" s="20" t="n">
        <v>0</v>
      </c>
      <c r="DE20" s="20" t="n">
        <v>0</v>
      </c>
      <c r="DF20" s="20" t="n">
        <v>0</v>
      </c>
      <c r="DG20" s="20" t="n">
        <v>0</v>
      </c>
      <c r="DH20" s="20" t="n">
        <v>0</v>
      </c>
      <c r="DI20" s="20" t="n">
        <v>0</v>
      </c>
      <c r="DJ20" s="20" t="n">
        <v>0</v>
      </c>
      <c r="DK20" s="20" t="n">
        <v>0</v>
      </c>
      <c r="DL20" s="20" t="n">
        <v>0</v>
      </c>
      <c r="DM20" s="20" t="n">
        <v>0</v>
      </c>
      <c r="DN20" s="20" t="n">
        <v>0</v>
      </c>
      <c r="DO20" s="20" t="n">
        <v>0</v>
      </c>
      <c r="DP20" s="20" t="n">
        <v>0</v>
      </c>
      <c r="DQ20" s="20" t="n">
        <v>0</v>
      </c>
      <c r="DR20" s="20" t="n">
        <v>0</v>
      </c>
      <c r="DS20" s="20" t="n">
        <v>0</v>
      </c>
      <c r="DT20" s="20" t="n">
        <v>0</v>
      </c>
      <c r="DU20" s="20" t="n">
        <v>0</v>
      </c>
      <c r="DV20" s="20" t="n">
        <v>0</v>
      </c>
      <c r="DW20" s="20" t="n">
        <v>0</v>
      </c>
      <c r="DX20" s="20" t="n">
        <v>0</v>
      </c>
      <c r="DY20" s="20" t="n">
        <v>0</v>
      </c>
      <c r="DZ20" s="20" t="n">
        <v>0</v>
      </c>
      <c r="EA20" s="20" t="n">
        <v>0</v>
      </c>
      <c r="EB20" s="20" t="n">
        <v>0</v>
      </c>
      <c r="EC20" s="20" t="n">
        <v>0</v>
      </c>
      <c r="ED20" s="20" t="n">
        <v>0</v>
      </c>
      <c r="EE20" s="20" t="n">
        <v>0</v>
      </c>
      <c r="EF20" s="20" t="n">
        <v>0</v>
      </c>
      <c r="EG20" s="20" t="n">
        <v>0</v>
      </c>
      <c r="EH20" s="20" t="n">
        <v>0</v>
      </c>
      <c r="EI20" s="20" t="n">
        <v>0</v>
      </c>
      <c r="EJ20" s="20" t="n">
        <v>0</v>
      </c>
      <c r="EK20" s="20" t="n">
        <v>0</v>
      </c>
      <c r="EL20" s="20" t="n">
        <v>0</v>
      </c>
      <c r="EM20" s="20" t="n">
        <v>0</v>
      </c>
      <c r="EN20" s="20" t="n">
        <v>0</v>
      </c>
      <c r="EO20" s="20" t="n">
        <v>0</v>
      </c>
      <c r="EP20" s="20" t="n">
        <v>0</v>
      </c>
      <c r="EQ20" s="20" t="n">
        <v>0</v>
      </c>
      <c r="ER20" s="20" t="n">
        <v>0</v>
      </c>
      <c r="ES20" s="20" t="n">
        <v>0</v>
      </c>
      <c r="ET20" s="20" t="n">
        <v>0</v>
      </c>
      <c r="EU20" s="20" t="n">
        <v>0</v>
      </c>
      <c r="EV20" s="20" t="n">
        <v>0</v>
      </c>
      <c r="EW20" s="20" t="n">
        <v>0</v>
      </c>
      <c r="EX20" s="20" t="n">
        <v>0</v>
      </c>
      <c r="EY20" s="20" t="n">
        <v>0</v>
      </c>
      <c r="EZ20" s="20" t="n">
        <v>0</v>
      </c>
      <c r="FA20" s="20" t="n">
        <v>0</v>
      </c>
      <c r="FB20" s="20" t="n">
        <v>0</v>
      </c>
      <c r="FC20" s="20" t="n">
        <v>0</v>
      </c>
      <c r="FD20" s="20" t="n">
        <v>0</v>
      </c>
      <c r="FE20" s="20" t="n">
        <f aca="false">IF(H_Direct=1,IF(AKR19&lt;=0,0,IF(BR20&lt;=0,AKR19,AKR19-G20*MAX(0,BR20*AKR19-(H20+I20)))),AKR19*(1-MAX(0,BR20)*H_Exit))</f>
        <v>0</v>
      </c>
      <c r="FF20" s="20" t="n">
        <f aca="false">IF(H_Direct=1,IF(AKS19&lt;=0,0,IF(BS20&lt;=0,AKS19,AKS19-G20*MAX(0,BS20*AKS19-(IR20+ME20)))),AKS19*(1-MAX(0,BS20)*H_Exit))</f>
        <v>0</v>
      </c>
      <c r="FG20" s="20" t="n">
        <f aca="false">IF(H_Direct=1,IF(AKT19&lt;=0,0,IF(BT20&lt;=0,AKT19,AKT19-G20*MAX(0,BT20*AKT19-(IS20+MF20)))),AKT19*(1-MAX(0,BT20)*H_Exit))</f>
        <v>0</v>
      </c>
      <c r="FH20" s="20" t="n">
        <f aca="false">IF(H_Direct=1,IF(AKU19&lt;=0,0,IF(BU20&lt;=0,AKU19,AKU19-G20*MAX(0,BU20*AKU19-(IT20+MG20)))),AKU19*(1-MAX(0,BU20)*H_Exit))</f>
        <v>0</v>
      </c>
      <c r="FI20" s="20" t="n">
        <f aca="false">IF(H_Direct=1,IF(AKV19&lt;=0,0,IF(BV20&lt;=0,AKV19,AKV19-G20*MAX(0,BV20*AKV19-(IU20+MH20)))),AKV19*(1-MAX(0,BV20)*H_Exit))</f>
        <v>0</v>
      </c>
      <c r="FJ20" s="20" t="n">
        <f aca="false">IF(H_Direct=1,IF(AKW19&lt;=0,0,IF(BW20&lt;=0,AKW19,AKW19-G20*MAX(0,BW20*AKW19-(IV20+MI20)))),AKW19*(1-MAX(0,BW20)*H_Exit))</f>
        <v>0</v>
      </c>
      <c r="FK20" s="20" t="n">
        <f aca="false">IF(H_Direct=1,IF(AKX19&lt;=0,0,IF(BX20&lt;=0,AKX19,AKX19-G20*MAX(0,BX20*AKX19-(IW20+MJ20)))),AKX19*(1-MAX(0,BX20)*H_Exit))</f>
        <v>0</v>
      </c>
      <c r="FL20" s="20" t="n">
        <f aca="false">IF(H_Direct=1,IF(AKY19&lt;=0,0,IF(BY20&lt;=0,AKY19,AKY19-G20*MAX(0,BY20*AKY19-(IX20+MK20)))),AKY19*(1-MAX(0,BY20)*H_Exit))</f>
        <v>0</v>
      </c>
      <c r="FM20" s="20" t="n">
        <f aca="false">IF(H_Direct=1,IF(AKZ19&lt;=0,0,IF(BZ20&lt;=0,AKZ19,AKZ19-G20*MAX(0,BZ20*AKZ19-(IY20+ML20)))),AKZ19*(1-MAX(0,BZ20)*H_Exit))</f>
        <v>0</v>
      </c>
      <c r="FN20" s="20" t="n">
        <f aca="false">IF(H_Direct=1,IF(ALA19&lt;=0,0,IF(CA20&lt;=0,ALA19,ALA19-G20*MAX(0,CA20*ALA19-(IZ20+MM20)))),ALA19*(1-MAX(0,CA20)*H_Exit))</f>
        <v>0</v>
      </c>
      <c r="FO20" s="20" t="n">
        <f aca="false">IF(H_Direct=1,IF(ALB19&lt;=0,0,IF(CB20&lt;=0,ALB19,ALB19-G20*MAX(0,CB20*ALB19-(JA20+MN20)))),ALB19*(1-MAX(0,CB20)*H_Exit))</f>
        <v>0</v>
      </c>
      <c r="FP20" s="20" t="n">
        <f aca="false">IF(H_Direct=1,IF(ALC19&lt;=0,0,IF(CC20&lt;=0,ALC19,ALC19-G20*MAX(0,CC20*ALC19-(JB20+MO20)))),ALC19*(1-MAX(0,CC20)*H_Exit))</f>
        <v>574.33439904098</v>
      </c>
      <c r="FQ20" s="20" t="n">
        <f aca="false">IF(H_Direct=1,IF(ALD19&lt;=0,0,IF(CD20&lt;=0,ALD19,ALD19-G20*MAX(0,CD20*ALD19-(JC20+MP20)))),ALD19*(1-MAX(0,CD20)*H_Exit))</f>
        <v>732.947471097546</v>
      </c>
      <c r="FR20" s="20" t="n">
        <f aca="false">IF(H_Direct=1,IF((P20+S20)&lt;=0,0,IF(CE20&lt;=0,(P20+S20),(P20+S20)-G20*MAX(0,CE20*(P20+S20)-(JD20+MQ20)))),(P20+S20)*(1-MAX(0,CE20)*H_Exit))</f>
        <v>0</v>
      </c>
      <c r="FS20" s="20" t="n">
        <v>0</v>
      </c>
      <c r="FT20" s="20" t="n">
        <v>0</v>
      </c>
      <c r="FU20" s="20" t="n">
        <v>0</v>
      </c>
      <c r="FV20" s="20" t="n">
        <v>0</v>
      </c>
      <c r="FW20" s="20" t="n">
        <v>0</v>
      </c>
      <c r="FX20" s="20" t="n">
        <v>0</v>
      </c>
      <c r="FY20" s="20" t="n">
        <v>0</v>
      </c>
      <c r="FZ20" s="20" t="n">
        <v>0</v>
      </c>
      <c r="GA20" s="20" t="n">
        <v>0</v>
      </c>
      <c r="GB20" s="20" t="n">
        <v>0</v>
      </c>
      <c r="GC20" s="20" t="n">
        <v>0</v>
      </c>
      <c r="GD20" s="20" t="n">
        <v>0</v>
      </c>
      <c r="GE20" s="20" t="n">
        <v>0</v>
      </c>
      <c r="GF20" s="20" t="n">
        <v>0</v>
      </c>
      <c r="GG20" s="20" t="n">
        <v>0</v>
      </c>
      <c r="GH20" s="20" t="n">
        <v>0</v>
      </c>
      <c r="GI20" s="20" t="n">
        <v>0</v>
      </c>
      <c r="GJ20" s="20" t="n">
        <v>0</v>
      </c>
      <c r="GK20" s="20" t="n">
        <v>0</v>
      </c>
      <c r="GL20" s="20" t="n">
        <v>0</v>
      </c>
      <c r="GM20" s="20" t="n">
        <v>0</v>
      </c>
      <c r="GN20" s="20" t="n">
        <v>0</v>
      </c>
      <c r="GO20" s="20" t="n">
        <v>0</v>
      </c>
      <c r="GP20" s="20" t="n">
        <v>0</v>
      </c>
      <c r="GQ20" s="20" t="n">
        <v>0</v>
      </c>
      <c r="GR20" s="20" t="n">
        <v>0</v>
      </c>
      <c r="GS20" s="20" t="n">
        <v>0</v>
      </c>
      <c r="GT20" s="20" t="n">
        <v>0</v>
      </c>
      <c r="GU20" s="20" t="n">
        <v>0</v>
      </c>
      <c r="GV20" s="20" t="n">
        <v>0</v>
      </c>
      <c r="GW20" s="20" t="n">
        <v>0</v>
      </c>
      <c r="GX20" s="20" t="n">
        <v>0</v>
      </c>
      <c r="GY20" s="20" t="n">
        <v>0</v>
      </c>
      <c r="GZ20" s="20" t="n">
        <v>0</v>
      </c>
      <c r="HA20" s="20" t="n">
        <v>0</v>
      </c>
      <c r="HB20" s="20" t="n">
        <v>0</v>
      </c>
      <c r="HC20" s="20" t="n">
        <v>0</v>
      </c>
      <c r="HD20" s="20" t="n">
        <v>0</v>
      </c>
      <c r="HE20" s="20" t="n">
        <v>0</v>
      </c>
      <c r="HF20" s="20" t="n">
        <v>0</v>
      </c>
      <c r="HG20" s="20" t="n">
        <v>0</v>
      </c>
      <c r="HH20" s="20" t="n">
        <v>0</v>
      </c>
      <c r="HI20" s="20" t="n">
        <v>0</v>
      </c>
      <c r="HJ20" s="20" t="n">
        <v>0</v>
      </c>
      <c r="HK20" s="20" t="n">
        <v>0</v>
      </c>
      <c r="HL20" s="20" t="n">
        <v>0</v>
      </c>
      <c r="HM20" s="20" t="n">
        <v>0</v>
      </c>
      <c r="HN20" s="20" t="n">
        <v>0</v>
      </c>
      <c r="HO20" s="20" t="n">
        <v>0</v>
      </c>
      <c r="HP20" s="20" t="n">
        <v>0</v>
      </c>
      <c r="HQ20" s="20" t="n">
        <v>0</v>
      </c>
      <c r="HR20" s="20" t="n">
        <v>0</v>
      </c>
      <c r="HS20" s="20" t="n">
        <v>0</v>
      </c>
      <c r="HT20" s="20" t="n">
        <v>0</v>
      </c>
      <c r="HU20" s="20" t="n">
        <v>0</v>
      </c>
      <c r="HV20" s="20" t="n">
        <v>0</v>
      </c>
      <c r="HW20" s="20" t="n">
        <v>0</v>
      </c>
      <c r="HX20" s="20" t="n">
        <v>0</v>
      </c>
      <c r="HY20" s="20" t="n">
        <v>0</v>
      </c>
      <c r="HZ20" s="20" t="n">
        <v>0</v>
      </c>
      <c r="IA20" s="20" t="n">
        <v>0</v>
      </c>
      <c r="IB20" s="20" t="n">
        <v>0</v>
      </c>
      <c r="IC20" s="20" t="n">
        <v>0</v>
      </c>
      <c r="ID20" s="20" t="n">
        <v>0</v>
      </c>
      <c r="IE20" s="20" t="n">
        <v>0</v>
      </c>
      <c r="IF20" s="20" t="n">
        <v>0</v>
      </c>
      <c r="IG20" s="20" t="n">
        <v>0</v>
      </c>
      <c r="IH20" s="20" t="n">
        <v>0</v>
      </c>
      <c r="II20" s="20" t="n">
        <v>0</v>
      </c>
      <c r="IJ20" s="20" t="n">
        <v>0</v>
      </c>
      <c r="IK20" s="20" t="n">
        <v>0</v>
      </c>
      <c r="IL20" s="20" t="n">
        <v>0</v>
      </c>
      <c r="IM20" s="20" t="n">
        <v>0</v>
      </c>
      <c r="IN20" s="20" t="n">
        <v>0</v>
      </c>
      <c r="IO20" s="20" t="n">
        <v>0</v>
      </c>
      <c r="IP20" s="20" t="n">
        <v>0</v>
      </c>
      <c r="IQ20" s="20" t="n">
        <v>0</v>
      </c>
      <c r="IR20" s="20" t="n">
        <f aca="false">IF(AND(H_Direct=1,BR20&gt;0),MAX(0,H20-(MIN(BR20*AKR19,H20+I20)-MIN(MIN(BR20*AKR19,H20+I20),I20))),H20)</f>
        <v>1270</v>
      </c>
      <c r="IS20" s="20" t="n">
        <f aca="false">IF(AND(H_Direct=1,BS20&gt;0),MAX(0,IR20-(MIN(BS20*AKS19,IR20+ME20)-MIN(MIN(BS20*AKS19,IR20+ME20),ME20))),IR20)</f>
        <v>1270</v>
      </c>
      <c r="IT20" s="20" t="n">
        <f aca="false">IF(AND(H_Direct=1,BT20&gt;0),MAX(0,IS20-(MIN(BT20*AKT19,IS20+MF20)-MIN(MIN(BT20*AKT19,IS20+MF20),MF20))),IS20)</f>
        <v>1270</v>
      </c>
      <c r="IU20" s="20" t="n">
        <f aca="false">IF(AND(H_Direct=1,BU20&gt;0),MAX(0,IT20-(MIN(BU20*AKU19,IT20+MG20)-MIN(MIN(BU20*AKU19,IT20+MG20),MG20))),IT20)</f>
        <v>1270</v>
      </c>
      <c r="IV20" s="20" t="n">
        <f aca="false">IF(AND(H_Direct=1,BV20&gt;0),MAX(0,IU20-(MIN(BV20*AKV19,IU20+MH20)-MIN(MIN(BV20*AKV19,IU20+MH20),MH20))),IU20)</f>
        <v>1270</v>
      </c>
      <c r="IW20" s="20" t="n">
        <f aca="false">IF(AND(H_Direct=1,BW20&gt;0),MAX(0,IV20-(MIN(BW20*AKW19,IV20+MI20)-MIN(MIN(BW20*AKW19,IV20+MI20),MI20))),IV20)</f>
        <v>1270</v>
      </c>
      <c r="IX20" s="20" t="n">
        <f aca="false">IF(AND(H_Direct=1,BX20&gt;0),MAX(0,IW20-(MIN(BX20*AKX19,IW20+MJ20)-MIN(MIN(BX20*AKX19,IW20+MJ20),MJ20))),IW20)</f>
        <v>1270</v>
      </c>
      <c r="IY20" s="20" t="n">
        <f aca="false">IF(AND(H_Direct=1,BY20&gt;0),MAX(0,IX20-(MIN(BY20*AKY19,IX20+MK20)-MIN(MIN(BY20*AKY19,IX20+MK20),MK20))),IX20)</f>
        <v>1270</v>
      </c>
      <c r="IZ20" s="20" t="n">
        <f aca="false">IF(AND(H_Direct=1,BZ20&gt;0),MAX(0,IY20-(MIN(BZ20*AKZ19,IY20+ML20)-MIN(MIN(BZ20*AKZ19,IY20+ML20),ML20))),IY20)</f>
        <v>1270</v>
      </c>
      <c r="JA20" s="20" t="n">
        <f aca="false">IF(AND(H_Direct=1,CA20&gt;0),MAX(0,IZ20-(MIN(CA20*ALA19,IZ20+MM20)-MIN(MIN(CA20*ALA19,IZ20+MM20),MM20))),IZ20)</f>
        <v>1270</v>
      </c>
      <c r="JB20" s="20" t="n">
        <f aca="false">IF(AND(H_Direct=1,CB20&gt;0),MAX(0,JA20-(MIN(CB20*ALB19,JA20+MN20)-MIN(MIN(CB20*ALB19,JA20+MN20),MN20))),JA20)</f>
        <v>1270</v>
      </c>
      <c r="JC20" s="20" t="n">
        <f aca="false">IF(AND(H_Direct=1,CC20&gt;0),MAX(0,JB20-(MIN(CC20*ALC19,JB20+MO20)-MIN(MIN(CC20*ALC19,JB20+MO20),MO20))),JB20)</f>
        <v>1270</v>
      </c>
      <c r="JD20" s="20" t="n">
        <f aca="false">IF(AND(H_Direct=1,CD20&gt;0),MAX(0,JC20-(MIN(CD20*ALD19,JC20+MP20)-MIN(MIN(CD20*ALD19,JC20+MP20),MP20))),JC20)</f>
        <v>1270</v>
      </c>
      <c r="JE20" s="20" t="n">
        <f aca="false">IF(AND(H_Direct=1,CE20&gt;0),MAX(0,JD20-(MIN(CE20*(P20+S20),JD20+MQ20)-MIN(MIN(CE20*(P20+S20),JD20+MQ20),MQ20))),JD20)</f>
        <v>1270</v>
      </c>
      <c r="JF20" s="20" t="n">
        <f aca="false">JE20</f>
        <v>1270</v>
      </c>
      <c r="JG20" s="20" t="n">
        <f aca="false">JF20</f>
        <v>1270</v>
      </c>
      <c r="JH20" s="20" t="n">
        <f aca="false">JG20</f>
        <v>1270</v>
      </c>
      <c r="JI20" s="20" t="n">
        <f aca="false">JH20</f>
        <v>1270</v>
      </c>
      <c r="JJ20" s="20" t="n">
        <f aca="false">JI20</f>
        <v>1270</v>
      </c>
      <c r="JK20" s="20" t="n">
        <f aca="false">JJ20</f>
        <v>1270</v>
      </c>
      <c r="JL20" s="20" t="n">
        <f aca="false">JK20</f>
        <v>1270</v>
      </c>
      <c r="JM20" s="20" t="n">
        <f aca="false">JL20</f>
        <v>1270</v>
      </c>
      <c r="JN20" s="20" t="n">
        <f aca="false">JM20</f>
        <v>1270</v>
      </c>
      <c r="JO20" s="20" t="n">
        <f aca="false">JN20</f>
        <v>1270</v>
      </c>
      <c r="JP20" s="20" t="n">
        <f aca="false">JO20</f>
        <v>1270</v>
      </c>
      <c r="JQ20" s="20" t="n">
        <f aca="false">JP20</f>
        <v>1270</v>
      </c>
      <c r="JR20" s="20" t="n">
        <f aca="false">JQ20</f>
        <v>1270</v>
      </c>
      <c r="JS20" s="20" t="n">
        <f aca="false">JR20</f>
        <v>1270</v>
      </c>
      <c r="JT20" s="20" t="n">
        <f aca="false">JS20</f>
        <v>1270</v>
      </c>
      <c r="JU20" s="20" t="n">
        <f aca="false">JT20</f>
        <v>1270</v>
      </c>
      <c r="JV20" s="20" t="n">
        <f aca="false">JU20</f>
        <v>1270</v>
      </c>
      <c r="JW20" s="20" t="n">
        <f aca="false">JV20</f>
        <v>1270</v>
      </c>
      <c r="JX20" s="20" t="n">
        <f aca="false">JW20</f>
        <v>1270</v>
      </c>
      <c r="JY20" s="20" t="n">
        <f aca="false">JX20</f>
        <v>1270</v>
      </c>
      <c r="JZ20" s="20" t="n">
        <f aca="false">JY20</f>
        <v>1270</v>
      </c>
      <c r="KA20" s="20" t="n">
        <f aca="false">JZ20</f>
        <v>1270</v>
      </c>
      <c r="KB20" s="20" t="n">
        <f aca="false">KA20</f>
        <v>1270</v>
      </c>
      <c r="KC20" s="20" t="n">
        <f aca="false">KB20</f>
        <v>1270</v>
      </c>
      <c r="KD20" s="20" t="n">
        <f aca="false">KC20</f>
        <v>1270</v>
      </c>
      <c r="KE20" s="20" t="n">
        <f aca="false">KD20</f>
        <v>1270</v>
      </c>
      <c r="KF20" s="20" t="n">
        <f aca="false">KE20</f>
        <v>1270</v>
      </c>
      <c r="KG20" s="20" t="n">
        <f aca="false">KF20</f>
        <v>1270</v>
      </c>
      <c r="KH20" s="20" t="n">
        <f aca="false">KG20</f>
        <v>1270</v>
      </c>
      <c r="KI20" s="20" t="n">
        <f aca="false">KH20</f>
        <v>1270</v>
      </c>
      <c r="KJ20" s="20" t="n">
        <f aca="false">KI20</f>
        <v>1270</v>
      </c>
      <c r="KK20" s="20" t="n">
        <f aca="false">KJ20</f>
        <v>1270</v>
      </c>
      <c r="KL20" s="20" t="n">
        <f aca="false">KK20</f>
        <v>1270</v>
      </c>
      <c r="KM20" s="20" t="n">
        <f aca="false">KL20</f>
        <v>1270</v>
      </c>
      <c r="KN20" s="20" t="n">
        <f aca="false">KM20</f>
        <v>1270</v>
      </c>
      <c r="KO20" s="20" t="n">
        <f aca="false">KN20</f>
        <v>1270</v>
      </c>
      <c r="KP20" s="20" t="n">
        <f aca="false">KO20</f>
        <v>1270</v>
      </c>
      <c r="KQ20" s="20" t="n">
        <f aca="false">KP20</f>
        <v>1270</v>
      </c>
      <c r="KR20" s="20" t="n">
        <f aca="false">KQ20</f>
        <v>1270</v>
      </c>
      <c r="KS20" s="20" t="n">
        <f aca="false">KR20</f>
        <v>1270</v>
      </c>
      <c r="KT20" s="20" t="n">
        <f aca="false">KS20</f>
        <v>1270</v>
      </c>
      <c r="KU20" s="20" t="n">
        <f aca="false">KT20</f>
        <v>1270</v>
      </c>
      <c r="KV20" s="20" t="n">
        <f aca="false">KU20</f>
        <v>1270</v>
      </c>
      <c r="KW20" s="20" t="n">
        <f aca="false">KV20</f>
        <v>1270</v>
      </c>
      <c r="KX20" s="20" t="n">
        <f aca="false">KW20</f>
        <v>1270</v>
      </c>
      <c r="KY20" s="20" t="n">
        <f aca="false">KX20</f>
        <v>1270</v>
      </c>
      <c r="KZ20" s="20" t="n">
        <f aca="false">KY20</f>
        <v>1270</v>
      </c>
      <c r="LA20" s="20" t="n">
        <f aca="false">KZ20</f>
        <v>1270</v>
      </c>
      <c r="LB20" s="20" t="n">
        <f aca="false">LA20</f>
        <v>1270</v>
      </c>
      <c r="LC20" s="20" t="n">
        <f aca="false">LB20</f>
        <v>1270</v>
      </c>
      <c r="LD20" s="20" t="n">
        <f aca="false">LC20</f>
        <v>1270</v>
      </c>
      <c r="LE20" s="20" t="n">
        <f aca="false">LD20</f>
        <v>1270</v>
      </c>
      <c r="LF20" s="20" t="n">
        <f aca="false">LE20</f>
        <v>1270</v>
      </c>
      <c r="LG20" s="20" t="n">
        <f aca="false">LF20</f>
        <v>1270</v>
      </c>
      <c r="LH20" s="20" t="n">
        <f aca="false">LG20</f>
        <v>1270</v>
      </c>
      <c r="LI20" s="20" t="n">
        <f aca="false">LH20</f>
        <v>1270</v>
      </c>
      <c r="LJ20" s="20" t="n">
        <f aca="false">LI20</f>
        <v>1270</v>
      </c>
      <c r="LK20" s="20" t="n">
        <f aca="false">LJ20</f>
        <v>1270</v>
      </c>
      <c r="LL20" s="20" t="n">
        <f aca="false">LK20</f>
        <v>1270</v>
      </c>
      <c r="LM20" s="20" t="n">
        <f aca="false">LL20</f>
        <v>1270</v>
      </c>
      <c r="LN20" s="20" t="n">
        <f aca="false">LM20</f>
        <v>1270</v>
      </c>
      <c r="LO20" s="20" t="n">
        <f aca="false">LN20</f>
        <v>1270</v>
      </c>
      <c r="LP20" s="20" t="n">
        <f aca="false">LO20</f>
        <v>1270</v>
      </c>
      <c r="LQ20" s="20" t="n">
        <f aca="false">LP20</f>
        <v>1270</v>
      </c>
      <c r="LR20" s="20" t="n">
        <f aca="false">LQ20</f>
        <v>1270</v>
      </c>
      <c r="LS20" s="20" t="n">
        <f aca="false">LR20</f>
        <v>1270</v>
      </c>
      <c r="LT20" s="20" t="n">
        <f aca="false">LS20</f>
        <v>1270</v>
      </c>
      <c r="LU20" s="20" t="n">
        <f aca="false">LT20</f>
        <v>1270</v>
      </c>
      <c r="LV20" s="20" t="n">
        <f aca="false">LU20</f>
        <v>1270</v>
      </c>
      <c r="LW20" s="20" t="n">
        <f aca="false">LV20</f>
        <v>1270</v>
      </c>
      <c r="LX20" s="20" t="n">
        <f aca="false">LW20</f>
        <v>1270</v>
      </c>
      <c r="LY20" s="20" t="n">
        <f aca="false">LX20</f>
        <v>1270</v>
      </c>
      <c r="LZ20" s="20" t="n">
        <f aca="false">LY20</f>
        <v>1270</v>
      </c>
      <c r="MA20" s="20" t="n">
        <f aca="false">LZ20</f>
        <v>1270</v>
      </c>
      <c r="MB20" s="20" t="n">
        <f aca="false">MA20</f>
        <v>1270</v>
      </c>
      <c r="MC20" s="20" t="n">
        <f aca="false">MB20</f>
        <v>1270</v>
      </c>
      <c r="MD20" s="20" t="n">
        <f aca="false">MC20</f>
        <v>1270</v>
      </c>
      <c r="ME20" s="20" t="n">
        <f aca="false">IF(H_Direct=1,IF(BR20&lt;=0,I20-BR20*AKR19,I20-MIN(MIN(BR20*AKR19,H20+I20),I20)),I20)</f>
        <v>0</v>
      </c>
      <c r="MF20" s="20" t="n">
        <f aca="false">IF(H_Direct=1,IF(BS20&lt;=0,ME20-BS20*AKS19,ME20-MIN(MIN(BS20*AKS19,IR20+ME20),ME20)),ME20)</f>
        <v>0</v>
      </c>
      <c r="MG20" s="20" t="n">
        <f aca="false">IF(H_Direct=1,IF(BT20&lt;=0,MF20-BT20*AKT19,MF20-MIN(MIN(BT20*AKT19,IS20+MF20),MF20)),MF20)</f>
        <v>0</v>
      </c>
      <c r="MH20" s="20" t="n">
        <f aca="false">IF(H_Direct=1,IF(BU20&lt;=0,MG20-BU20*AKU19,MG20-MIN(MIN(BU20*AKU19,IT20+MG20),MG20)),MG20)</f>
        <v>0</v>
      </c>
      <c r="MI20" s="20" t="n">
        <f aca="false">IF(H_Direct=1,IF(BV20&lt;=0,MH20-BV20*AKV19,MH20-MIN(MIN(BV20*AKV19,IU20+MH20),MH20)),MH20)</f>
        <v>0</v>
      </c>
      <c r="MJ20" s="20" t="n">
        <f aca="false">IF(H_Direct=1,IF(BW20&lt;=0,MI20-BW20*AKW19,MI20-MIN(MIN(BW20*AKW19,IV20+MI20),MI20)),MI20)</f>
        <v>0</v>
      </c>
      <c r="MK20" s="20" t="n">
        <f aca="false">IF(H_Direct=1,IF(BX20&lt;=0,MJ20-BX20*AKX19,MJ20-MIN(MIN(BX20*AKX19,IW20+MJ20),MJ20)),MJ20)</f>
        <v>0</v>
      </c>
      <c r="ML20" s="20" t="n">
        <f aca="false">IF(H_Direct=1,IF(BY20&lt;=0,MK20-BY20*AKY19,MK20-MIN(MIN(BY20*AKY19,IX20+MK20),MK20)),MK20)</f>
        <v>0</v>
      </c>
      <c r="MM20" s="20" t="n">
        <f aca="false">IF(H_Direct=1,IF(BZ20&lt;=0,ML20-BZ20*AKZ19,ML20-MIN(MIN(BZ20*AKZ19,IY20+ML20),ML20)),ML20)</f>
        <v>0</v>
      </c>
      <c r="MN20" s="20" t="n">
        <f aca="false">IF(H_Direct=1,IF(CA20&lt;=0,MM20-CA20*ALA19,MM20-MIN(MIN(CA20*ALA19,IZ20+MM20),MM20)),MM20)</f>
        <v>0</v>
      </c>
      <c r="MO20" s="20" t="n">
        <f aca="false">IF(H_Direct=1,IF(CB20&lt;=0,MN20-CB20*ALB19,MN20-MIN(MIN(CB20*ALB19,JA20+MN20),MN20)),MN20)</f>
        <v>0</v>
      </c>
      <c r="MP20" s="20" t="n">
        <f aca="false">IF(H_Direct=1,IF(CC20&lt;=0,MO20-CC20*ALC19,MO20-MIN(MIN(CC20*ALC19,JB20+MO20),MO20)),MO20)</f>
        <v>0</v>
      </c>
      <c r="MQ20" s="20" t="n">
        <f aca="false">IF(H_Direct=1,IF(CD20&lt;=0,MP20-CD20*ALD19,MP20-MIN(MIN(CD20*ALD19,JC20+MP20),MP20)),MP20)</f>
        <v>0</v>
      </c>
      <c r="MR20" s="20" t="n">
        <f aca="false">IF(H_Direct=1,IF(CE20&lt;=0,MQ20-CE20*(P20+S20),MQ20-MIN(MIN(CE20*(P20+S20),JD20+MQ20),MQ20)),MQ20)</f>
        <v>0</v>
      </c>
      <c r="MS20" s="20" t="n">
        <f aca="false">MR20</f>
        <v>0</v>
      </c>
      <c r="MT20" s="20" t="n">
        <f aca="false">MS20</f>
        <v>0</v>
      </c>
      <c r="MU20" s="20" t="n">
        <f aca="false">MT20</f>
        <v>0</v>
      </c>
      <c r="MV20" s="20" t="n">
        <f aca="false">MU20</f>
        <v>0</v>
      </c>
      <c r="MW20" s="20" t="n">
        <f aca="false">MV20</f>
        <v>0</v>
      </c>
      <c r="MX20" s="20" t="n">
        <f aca="false">MW20</f>
        <v>0</v>
      </c>
      <c r="MY20" s="20" t="n">
        <f aca="false">MX20</f>
        <v>0</v>
      </c>
      <c r="MZ20" s="20" t="n">
        <f aca="false">MY20</f>
        <v>0</v>
      </c>
      <c r="NA20" s="20" t="n">
        <f aca="false">MZ20</f>
        <v>0</v>
      </c>
      <c r="NB20" s="20" t="n">
        <f aca="false">NA20</f>
        <v>0</v>
      </c>
      <c r="NC20" s="20" t="n">
        <f aca="false">NB20</f>
        <v>0</v>
      </c>
      <c r="ND20" s="20" t="n">
        <f aca="false">NC20</f>
        <v>0</v>
      </c>
      <c r="NE20" s="20" t="n">
        <f aca="false">ND20</f>
        <v>0</v>
      </c>
      <c r="NF20" s="20" t="n">
        <f aca="false">NE20</f>
        <v>0</v>
      </c>
      <c r="NG20" s="20" t="n">
        <f aca="false">NF20</f>
        <v>0</v>
      </c>
      <c r="NH20" s="20" t="n">
        <f aca="false">NG20</f>
        <v>0</v>
      </c>
      <c r="NI20" s="20" t="n">
        <f aca="false">NH20</f>
        <v>0</v>
      </c>
      <c r="NJ20" s="20" t="n">
        <f aca="false">NI20</f>
        <v>0</v>
      </c>
      <c r="NK20" s="20" t="n">
        <f aca="false">NJ20</f>
        <v>0</v>
      </c>
      <c r="NL20" s="20" t="n">
        <f aca="false">NK20</f>
        <v>0</v>
      </c>
      <c r="NM20" s="20" t="n">
        <f aca="false">NL20</f>
        <v>0</v>
      </c>
      <c r="NN20" s="20" t="n">
        <f aca="false">NM20</f>
        <v>0</v>
      </c>
      <c r="NO20" s="20" t="n">
        <f aca="false">NN20</f>
        <v>0</v>
      </c>
      <c r="NP20" s="20" t="n">
        <f aca="false">NO20</f>
        <v>0</v>
      </c>
      <c r="NQ20" s="20" t="n">
        <f aca="false">NP20</f>
        <v>0</v>
      </c>
      <c r="NR20" s="20" t="n">
        <f aca="false">NQ20</f>
        <v>0</v>
      </c>
      <c r="NS20" s="20" t="n">
        <f aca="false">NR20</f>
        <v>0</v>
      </c>
      <c r="NT20" s="20" t="n">
        <f aca="false">NS20</f>
        <v>0</v>
      </c>
      <c r="NU20" s="20" t="n">
        <f aca="false">NT20</f>
        <v>0</v>
      </c>
      <c r="NV20" s="20" t="n">
        <f aca="false">NU20</f>
        <v>0</v>
      </c>
      <c r="NW20" s="20" t="n">
        <f aca="false">NV20</f>
        <v>0</v>
      </c>
      <c r="NX20" s="20" t="n">
        <f aca="false">NW20</f>
        <v>0</v>
      </c>
      <c r="NY20" s="20" t="n">
        <f aca="false">NX20</f>
        <v>0</v>
      </c>
      <c r="NZ20" s="20" t="n">
        <f aca="false">NY20</f>
        <v>0</v>
      </c>
      <c r="OA20" s="20" t="n">
        <f aca="false">NZ20</f>
        <v>0</v>
      </c>
      <c r="OB20" s="20" t="n">
        <f aca="false">OA20</f>
        <v>0</v>
      </c>
      <c r="OC20" s="20" t="n">
        <f aca="false">OB20</f>
        <v>0</v>
      </c>
      <c r="OD20" s="20" t="n">
        <f aca="false">OC20</f>
        <v>0</v>
      </c>
      <c r="OE20" s="20" t="n">
        <f aca="false">OD20</f>
        <v>0</v>
      </c>
      <c r="OF20" s="20" t="n">
        <f aca="false">OE20</f>
        <v>0</v>
      </c>
      <c r="OG20" s="20" t="n">
        <f aca="false">OF20</f>
        <v>0</v>
      </c>
      <c r="OH20" s="20" t="n">
        <f aca="false">OG20</f>
        <v>0</v>
      </c>
      <c r="OI20" s="20" t="n">
        <f aca="false">OH20</f>
        <v>0</v>
      </c>
      <c r="OJ20" s="20" t="n">
        <f aca="false">OI20</f>
        <v>0</v>
      </c>
      <c r="OK20" s="20" t="n">
        <f aca="false">OJ20</f>
        <v>0</v>
      </c>
      <c r="OL20" s="20" t="n">
        <f aca="false">OK20</f>
        <v>0</v>
      </c>
      <c r="OM20" s="20" t="n">
        <f aca="false">OL20</f>
        <v>0</v>
      </c>
      <c r="ON20" s="20" t="n">
        <f aca="false">OM20</f>
        <v>0</v>
      </c>
      <c r="OO20" s="20" t="n">
        <f aca="false">ON20</f>
        <v>0</v>
      </c>
      <c r="OP20" s="20" t="n">
        <f aca="false">OO20</f>
        <v>0</v>
      </c>
      <c r="OQ20" s="20" t="n">
        <f aca="false">OP20</f>
        <v>0</v>
      </c>
      <c r="OR20" s="20" t="n">
        <f aca="false">OQ20</f>
        <v>0</v>
      </c>
      <c r="OS20" s="20" t="n">
        <f aca="false">OR20</f>
        <v>0</v>
      </c>
      <c r="OT20" s="20" t="n">
        <f aca="false">OS20</f>
        <v>0</v>
      </c>
      <c r="OU20" s="20" t="n">
        <f aca="false">OT20</f>
        <v>0</v>
      </c>
      <c r="OV20" s="20" t="n">
        <f aca="false">OU20</f>
        <v>0</v>
      </c>
      <c r="OW20" s="20" t="n">
        <f aca="false">OV20</f>
        <v>0</v>
      </c>
      <c r="OX20" s="20" t="n">
        <f aca="false">OW20</f>
        <v>0</v>
      </c>
      <c r="OY20" s="20" t="n">
        <f aca="false">OX20</f>
        <v>0</v>
      </c>
      <c r="OZ20" s="20" t="n">
        <f aca="false">OY20</f>
        <v>0</v>
      </c>
      <c r="PA20" s="20" t="n">
        <f aca="false">OZ20</f>
        <v>0</v>
      </c>
      <c r="PB20" s="20" t="n">
        <f aca="false">PA20</f>
        <v>0</v>
      </c>
      <c r="PC20" s="20" t="n">
        <f aca="false">PB20</f>
        <v>0</v>
      </c>
      <c r="PD20" s="20" t="n">
        <f aca="false">PC20</f>
        <v>0</v>
      </c>
      <c r="PE20" s="20" t="n">
        <f aca="false">PD20</f>
        <v>0</v>
      </c>
      <c r="PF20" s="20" t="n">
        <f aca="false">PE20</f>
        <v>0</v>
      </c>
      <c r="PG20" s="20" t="n">
        <f aca="false">PF20</f>
        <v>0</v>
      </c>
      <c r="PH20" s="20" t="n">
        <f aca="false">PG20</f>
        <v>0</v>
      </c>
      <c r="PI20" s="20" t="n">
        <f aca="false">PH20</f>
        <v>0</v>
      </c>
      <c r="PJ20" s="20" t="n">
        <f aca="false">PI20</f>
        <v>0</v>
      </c>
      <c r="PK20" s="20" t="n">
        <f aca="false">PJ20</f>
        <v>0</v>
      </c>
      <c r="PL20" s="20" t="n">
        <f aca="false">PK20</f>
        <v>0</v>
      </c>
      <c r="PM20" s="20" t="n">
        <f aca="false">PL20</f>
        <v>0</v>
      </c>
      <c r="PN20" s="20" t="n">
        <f aca="false">PM20</f>
        <v>0</v>
      </c>
      <c r="PO20" s="20" t="n">
        <f aca="false">PN20</f>
        <v>0</v>
      </c>
      <c r="PP20" s="20" t="n">
        <f aca="false">PO20</f>
        <v>0</v>
      </c>
      <c r="PQ20" s="20" t="n">
        <f aca="false">PP20</f>
        <v>0</v>
      </c>
      <c r="PR20" s="20" t="n">
        <f aca="false">IF(H_Direct=1,IF(AKR19&lt;=0,0,IF(BR20&lt;=0,MIN(MAX(0,AB20),AKR19),MIN(MAX(0,AB20),AKR19-G20*MAX(0,BR20*AKR19-(H20+I20))))),MIN(FE20,MAX(0,AB20)))</f>
        <v>0</v>
      </c>
      <c r="PS20" s="20" t="n">
        <f aca="false">IF(H_Direct=1,IF(AKS19&lt;=0,0,IF(BS20&lt;=0,MIN(MAX(0,AB20-SUM(PR20:PR20)),AKS19),MIN(MAX(0,AB20-SUM(PR20:PR20)),AKS19-G20*MAX(0,BS20*AKS19-(WR20+AAE20))))),MIN(FF20,MAX(0,AB20-SUM(PR20:PR20))))</f>
        <v>0</v>
      </c>
      <c r="PT20" s="20" t="n">
        <f aca="false">IF(H_Direct=1,IF(AKT19&lt;=0,0,IF(BT20&lt;=0,MIN(MAX(0,AB20-SUM(PR20:PS20)),AKT19),MIN(MAX(0,AB20-SUM(PR20:PS20)),AKT19-G20*MAX(0,BT20*AKT19-(WS20+AAF20))))),MIN(FG20,MAX(0,AB20-SUM(PR20:PS20))))</f>
        <v>0</v>
      </c>
      <c r="PU20" s="20" t="n">
        <f aca="false">IF(H_Direct=1,IF(AKU19&lt;=0,0,IF(BU20&lt;=0,MIN(MAX(0,AB20-SUM(PR20:PT20)),AKU19),MIN(MAX(0,AB20-SUM(PR20:PT20)),AKU19-G20*MAX(0,BU20*AKU19-(WT20+AAG20))))),MIN(FH20,MAX(0,AB20-SUM(PR20:PT20))))</f>
        <v>0</v>
      </c>
      <c r="PV20" s="20" t="n">
        <f aca="false">IF(H_Direct=1,IF(AKV19&lt;=0,0,IF(BV20&lt;=0,MIN(MAX(0,AB20-SUM(PR20:PU20)),AKV19),MIN(MAX(0,AB20-SUM(PR20:PU20)),AKV19-G20*MAX(0,BV20*AKV19-(WU20+AAH20))))),MIN(FI20,MAX(0,AB20-SUM(PR20:PU20))))</f>
        <v>0</v>
      </c>
      <c r="PW20" s="20" t="n">
        <f aca="false">IF(H_Direct=1,IF(AKW19&lt;=0,0,IF(BW20&lt;=0,MIN(MAX(0,AB20-SUM(PR20:PV20)),AKW19),MIN(MAX(0,AB20-SUM(PR20:PV20)),AKW19-G20*MAX(0,BW20*AKW19-(WV20+AAI20))))),MIN(FJ20,MAX(0,AB20-SUM(PR20:PV20))))</f>
        <v>0</v>
      </c>
      <c r="PX20" s="20" t="n">
        <f aca="false">IF(H_Direct=1,IF(AKX19&lt;=0,0,IF(BX20&lt;=0,MIN(MAX(0,AB20-SUM(PR20:PW20)),AKX19),MIN(MAX(0,AB20-SUM(PR20:PW20)),AKX19-G20*MAX(0,BX20*AKX19-(WW20+AAJ20))))),MIN(FK20,MAX(0,AB20-SUM(PR20:PW20))))</f>
        <v>0</v>
      </c>
      <c r="PY20" s="20" t="n">
        <f aca="false">IF(H_Direct=1,IF(AKY19&lt;=0,0,IF(BY20&lt;=0,MIN(MAX(0,AB20-SUM(PR20:PX20)),AKY19),MIN(MAX(0,AB20-SUM(PR20:PX20)),AKY19-G20*MAX(0,BY20*AKY19-(WX20+AAK20))))),MIN(FL20,MAX(0,AB20-SUM(PR20:PX20))))</f>
        <v>0</v>
      </c>
      <c r="PZ20" s="20" t="n">
        <f aca="false">IF(H_Direct=1,IF(AKZ19&lt;=0,0,IF(BZ20&lt;=0,MIN(MAX(0,AB20-SUM(PR20:PY20)),AKZ19),MIN(MAX(0,AB20-SUM(PR20:PY20)),AKZ19-G20*MAX(0,BZ20*AKZ19-(WY20+AAL20))))),MIN(FM20,MAX(0,AB20-SUM(PR20:PY20))))</f>
        <v>0</v>
      </c>
      <c r="QA20" s="20" t="n">
        <f aca="false">IF(H_Direct=1,IF(ALA19&lt;=0,0,IF(CA20&lt;=0,MIN(MAX(0,AB20-SUM(PR20:PZ20)),ALA19),MIN(MAX(0,AB20-SUM(PR20:PZ20)),ALA19-G20*MAX(0,CA20*ALA19-(WZ20+AAM20))))),MIN(FN20,MAX(0,AB20-SUM(PR20:PZ20))))</f>
        <v>0</v>
      </c>
      <c r="QB20" s="20" t="n">
        <f aca="false">IF(H_Direct=1,IF(ALB19&lt;=0,0,IF(CB20&lt;=0,MIN(MAX(0,AB20-SUM(PR20:QA20)),ALB19),MIN(MAX(0,AB20-SUM(PR20:QA20)),ALB19-G20*MAX(0,CB20*ALB19-(XA20+AAN20))))),MIN(FO20,MAX(0,AB20-SUM(PR20:QA20))))</f>
        <v>0</v>
      </c>
      <c r="QC20" s="20" t="n">
        <f aca="false">IF(H_Direct=1,IF(ALC19&lt;=0,0,IF(CC20&lt;=0,MIN(MAX(0,AB20-SUM(PR20:QB20)),ALC19),MIN(MAX(0,AB20-SUM(PR20:QB20)),ALC19-G20*MAX(0,CC20*ALC19-(XB20+AAO20))))),MIN(FP20,MAX(0,AB20-SUM(PR20:QB20))))</f>
        <v>0</v>
      </c>
      <c r="QD20" s="20" t="n">
        <f aca="false">IF(H_Direct=1,IF(ALD19&lt;=0,0,IF(CD20&lt;=0,MIN(MAX(0,AB20-SUM(PR20:QC20)),ALD19),MIN(MAX(0,AB20-SUM(PR20:QC20)),ALD19-G20*MAX(0,CD20*ALD19-(XC20+AAP20))))),MIN(FQ20,MAX(0,AB20-SUM(PR20:QC20))))</f>
        <v>0</v>
      </c>
      <c r="QE20" s="20" t="n">
        <f aca="false">IF(H_Direct=1,IF((P20+S20)&lt;=0,0,IF(CE20&lt;=0,MIN(MAX(0,AB20-SUM(PR20:QD20)),(P20+S20)),MIN(MAX(0,AB20-SUM(PR20:QD20)),(P20+S20)-G20*MAX(0,CE20*(P20+S20)-(XD20+AAQ20))))),MIN(FR20,MAX(0,AB20-SUM(PR20:QD20))))</f>
        <v>0</v>
      </c>
      <c r="QF20" s="20" t="n">
        <v>0</v>
      </c>
      <c r="QG20" s="20" t="n">
        <v>0</v>
      </c>
      <c r="QH20" s="20" t="n">
        <v>0</v>
      </c>
      <c r="QI20" s="20" t="n">
        <v>0</v>
      </c>
      <c r="QJ20" s="20" t="n">
        <v>0</v>
      </c>
      <c r="QK20" s="20" t="n">
        <v>0</v>
      </c>
      <c r="QL20" s="20" t="n">
        <v>0</v>
      </c>
      <c r="QM20" s="20" t="n">
        <v>0</v>
      </c>
      <c r="QN20" s="20" t="n">
        <v>0</v>
      </c>
      <c r="QO20" s="20" t="n">
        <v>0</v>
      </c>
      <c r="QP20" s="20" t="n">
        <v>0</v>
      </c>
      <c r="QQ20" s="20" t="n">
        <v>0</v>
      </c>
      <c r="QR20" s="20" t="n">
        <v>0</v>
      </c>
      <c r="QS20" s="20" t="n">
        <v>0</v>
      </c>
      <c r="QT20" s="20" t="n">
        <v>0</v>
      </c>
      <c r="QU20" s="20" t="n">
        <v>0</v>
      </c>
      <c r="QV20" s="20" t="n">
        <v>0</v>
      </c>
      <c r="QW20" s="20" t="n">
        <v>0</v>
      </c>
      <c r="QX20" s="20" t="n">
        <v>0</v>
      </c>
      <c r="QY20" s="20" t="n">
        <v>0</v>
      </c>
      <c r="QZ20" s="20" t="n">
        <v>0</v>
      </c>
      <c r="RA20" s="20" t="n">
        <v>0</v>
      </c>
      <c r="RB20" s="20" t="n">
        <v>0</v>
      </c>
      <c r="RC20" s="20" t="n">
        <v>0</v>
      </c>
      <c r="RD20" s="20" t="n">
        <v>0</v>
      </c>
      <c r="RE20" s="20" t="n">
        <v>0</v>
      </c>
      <c r="RF20" s="20" t="n">
        <v>0</v>
      </c>
      <c r="RG20" s="20" t="n">
        <v>0</v>
      </c>
      <c r="RH20" s="20" t="n">
        <v>0</v>
      </c>
      <c r="RI20" s="20" t="n">
        <v>0</v>
      </c>
      <c r="RJ20" s="20" t="n">
        <v>0</v>
      </c>
      <c r="RK20" s="20" t="n">
        <v>0</v>
      </c>
      <c r="RL20" s="20" t="n">
        <v>0</v>
      </c>
      <c r="RM20" s="20" t="n">
        <v>0</v>
      </c>
      <c r="RN20" s="20" t="n">
        <v>0</v>
      </c>
      <c r="RO20" s="20" t="n">
        <v>0</v>
      </c>
      <c r="RP20" s="20" t="n">
        <v>0</v>
      </c>
      <c r="RQ20" s="20" t="n">
        <v>0</v>
      </c>
      <c r="RR20" s="20" t="n">
        <v>0</v>
      </c>
      <c r="RS20" s="20" t="n">
        <v>0</v>
      </c>
      <c r="RT20" s="20" t="n">
        <v>0</v>
      </c>
      <c r="RU20" s="20" t="n">
        <v>0</v>
      </c>
      <c r="RV20" s="20" t="n">
        <v>0</v>
      </c>
      <c r="RW20" s="20" t="n">
        <v>0</v>
      </c>
      <c r="RX20" s="20" t="n">
        <v>0</v>
      </c>
      <c r="RY20" s="20" t="n">
        <v>0</v>
      </c>
      <c r="RZ20" s="20" t="n">
        <v>0</v>
      </c>
      <c r="SA20" s="20" t="n">
        <v>0</v>
      </c>
      <c r="SB20" s="20" t="n">
        <v>0</v>
      </c>
      <c r="SC20" s="20" t="n">
        <v>0</v>
      </c>
      <c r="SD20" s="20" t="n">
        <v>0</v>
      </c>
      <c r="SE20" s="20" t="n">
        <v>0</v>
      </c>
      <c r="SF20" s="20" t="n">
        <v>0</v>
      </c>
      <c r="SG20" s="20" t="n">
        <v>0</v>
      </c>
      <c r="SH20" s="20" t="n">
        <v>0</v>
      </c>
      <c r="SI20" s="20" t="n">
        <v>0</v>
      </c>
      <c r="SJ20" s="20" t="n">
        <v>0</v>
      </c>
      <c r="SK20" s="20" t="n">
        <v>0</v>
      </c>
      <c r="SL20" s="20" t="n">
        <v>0</v>
      </c>
      <c r="SM20" s="20" t="n">
        <v>0</v>
      </c>
      <c r="SN20" s="20" t="n">
        <v>0</v>
      </c>
      <c r="SO20" s="20" t="n">
        <v>0</v>
      </c>
      <c r="SP20" s="20" t="n">
        <v>0</v>
      </c>
      <c r="SQ20" s="20" t="n">
        <v>0</v>
      </c>
      <c r="SR20" s="20" t="n">
        <v>0</v>
      </c>
      <c r="SS20" s="20" t="n">
        <v>0</v>
      </c>
      <c r="ST20" s="20" t="n">
        <v>0</v>
      </c>
      <c r="SU20" s="20" t="n">
        <v>0</v>
      </c>
      <c r="SV20" s="20" t="n">
        <v>0</v>
      </c>
      <c r="SW20" s="20" t="n">
        <v>0</v>
      </c>
      <c r="SX20" s="20" t="n">
        <v>0</v>
      </c>
      <c r="SY20" s="20" t="n">
        <v>0</v>
      </c>
      <c r="SZ20" s="20" t="n">
        <v>0</v>
      </c>
      <c r="TA20" s="20" t="n">
        <v>0</v>
      </c>
      <c r="TB20" s="20" t="n">
        <v>0</v>
      </c>
      <c r="TC20" s="20" t="n">
        <v>0</v>
      </c>
      <c r="TD20" s="20" t="n">
        <v>0</v>
      </c>
      <c r="TE20" s="20" t="n">
        <f aca="false">IF(AKR19&lt;=0,0,IF(H_Direct=1,IF(BR20&lt;=0,PR20,IF(PR20&lt;=(H20+I20)/BR20,PR20,(PR20-G20*(H20+I20))/(1-G20*BR20))),PR20/(1-MAX(0,BR20)*H_Exit)))</f>
        <v>0</v>
      </c>
      <c r="TF20" s="20" t="n">
        <f aca="false">IF(AKS19&lt;=0,0,IF(H_Direct=1,IF(BS20&lt;=0,PS20,IF(PS20&lt;=(WR20+AAE20)/BS20,PS20,(PS20-G20*(WR20+AAE20))/(1-G20*BS20))),PS20/(1-MAX(0,BS20)*H_Exit)))</f>
        <v>0</v>
      </c>
      <c r="TG20" s="20" t="n">
        <f aca="false">IF(AKT19&lt;=0,0,IF(H_Direct=1,IF(BT20&lt;=0,PT20,IF(PT20&lt;=(WS20+AAF20)/BT20,PT20,(PT20-G20*(WS20+AAF20))/(1-G20*BT20))),PT20/(1-MAX(0,BT20)*H_Exit)))</f>
        <v>0</v>
      </c>
      <c r="TH20" s="20" t="n">
        <f aca="false">IF(AKU19&lt;=0,0,IF(H_Direct=1,IF(BU20&lt;=0,PU20,IF(PU20&lt;=(WT20+AAG20)/BU20,PU20,(PU20-G20*(WT20+AAG20))/(1-G20*BU20))),PU20/(1-MAX(0,BU20)*H_Exit)))</f>
        <v>0</v>
      </c>
      <c r="TI20" s="20" t="n">
        <f aca="false">IF(AKV19&lt;=0,0,IF(H_Direct=1,IF(BV20&lt;=0,PV20,IF(PV20&lt;=(WU20+AAH20)/BV20,PV20,(PV20-G20*(WU20+AAH20))/(1-G20*BV20))),PV20/(1-MAX(0,BV20)*H_Exit)))</f>
        <v>0</v>
      </c>
      <c r="TJ20" s="20" t="n">
        <f aca="false">IF(AKW19&lt;=0,0,IF(H_Direct=1,IF(BW20&lt;=0,PW20,IF(PW20&lt;=(WV20+AAI20)/BW20,PW20,(PW20-G20*(WV20+AAI20))/(1-G20*BW20))),PW20/(1-MAX(0,BW20)*H_Exit)))</f>
        <v>0</v>
      </c>
      <c r="TK20" s="20" t="n">
        <f aca="false">IF(AKX19&lt;=0,0,IF(H_Direct=1,IF(BX20&lt;=0,PX20,IF(PX20&lt;=(WW20+AAJ20)/BX20,PX20,(PX20-G20*(WW20+AAJ20))/(1-G20*BX20))),PX20/(1-MAX(0,BX20)*H_Exit)))</f>
        <v>0</v>
      </c>
      <c r="TL20" s="20" t="n">
        <f aca="false">IF(AKY19&lt;=0,0,IF(H_Direct=1,IF(BY20&lt;=0,PY20,IF(PY20&lt;=(WX20+AAK20)/BY20,PY20,(PY20-G20*(WX20+AAK20))/(1-G20*BY20))),PY20/(1-MAX(0,BY20)*H_Exit)))</f>
        <v>0</v>
      </c>
      <c r="TM20" s="20" t="n">
        <f aca="false">IF(AKZ19&lt;=0,0,IF(H_Direct=1,IF(BZ20&lt;=0,PZ20,IF(PZ20&lt;=(WY20+AAL20)/BZ20,PZ20,(PZ20-G20*(WY20+AAL20))/(1-G20*BZ20))),PZ20/(1-MAX(0,BZ20)*H_Exit)))</f>
        <v>0</v>
      </c>
      <c r="TN20" s="20" t="n">
        <f aca="false">IF(ALA19&lt;=0,0,IF(H_Direct=1,IF(CA20&lt;=0,QA20,IF(QA20&lt;=(WZ20+AAM20)/CA20,QA20,(QA20-G20*(WZ20+AAM20))/(1-G20*CA20))),QA20/(1-MAX(0,CA20)*H_Exit)))</f>
        <v>0</v>
      </c>
      <c r="TO20" s="20" t="n">
        <f aca="false">IF(ALB19&lt;=0,0,IF(H_Direct=1,IF(CB20&lt;=0,QB20,IF(QB20&lt;=(XA20+AAN20)/CB20,QB20,(QB20-G20*(XA20+AAN20))/(1-G20*CB20))),QB20/(1-MAX(0,CB20)*H_Exit)))</f>
        <v>0</v>
      </c>
      <c r="TP20" s="20" t="n">
        <f aca="false">IF(ALC19&lt;=0,0,IF(H_Direct=1,IF(CC20&lt;=0,QC20,IF(QC20&lt;=(XB20+AAO20)/CC20,QC20,(QC20-G20*(XB20+AAO20))/(1-G20*CC20))),QC20/(1-MAX(0,CC20)*H_Exit)))</f>
        <v>0</v>
      </c>
      <c r="TQ20" s="20" t="n">
        <f aca="false">IF(ALD19&lt;=0,0,IF(H_Direct=1,IF(CD20&lt;=0,QD20,IF(QD20&lt;=(XC20+AAP20)/CD20,QD20,(QD20-G20*(XC20+AAP20))/(1-G20*CD20))),QD20/(1-MAX(0,CD20)*H_Exit)))</f>
        <v>0</v>
      </c>
      <c r="TR20" s="20" t="n">
        <f aca="false">IF((P20+S20)&lt;=0,0,IF(H_Direct=1,IF(CE20&lt;=0,QE20,IF(QE20&lt;=(XD20+AAQ20)/CE20,QE20,(QE20-G20*(XD20+AAQ20))/(1-G20*CE20))),QE20/(1-MAX(0,CE20)*H_Exit)))</f>
        <v>0</v>
      </c>
      <c r="TS20" s="20" t="n">
        <v>0</v>
      </c>
      <c r="TT20" s="20" t="n">
        <v>0</v>
      </c>
      <c r="TU20" s="20" t="n">
        <v>0</v>
      </c>
      <c r="TV20" s="20" t="n">
        <v>0</v>
      </c>
      <c r="TW20" s="20" t="n">
        <v>0</v>
      </c>
      <c r="TX20" s="20" t="n">
        <v>0</v>
      </c>
      <c r="TY20" s="20" t="n">
        <v>0</v>
      </c>
      <c r="TZ20" s="20" t="n">
        <v>0</v>
      </c>
      <c r="UA20" s="20" t="n">
        <v>0</v>
      </c>
      <c r="UB20" s="20" t="n">
        <v>0</v>
      </c>
      <c r="UC20" s="20" t="n">
        <v>0</v>
      </c>
      <c r="UD20" s="20" t="n">
        <v>0</v>
      </c>
      <c r="UE20" s="20" t="n">
        <v>0</v>
      </c>
      <c r="UF20" s="20" t="n">
        <v>0</v>
      </c>
      <c r="UG20" s="20" t="n">
        <v>0</v>
      </c>
      <c r="UH20" s="20" t="n">
        <v>0</v>
      </c>
      <c r="UI20" s="20" t="n">
        <v>0</v>
      </c>
      <c r="UJ20" s="20" t="n">
        <v>0</v>
      </c>
      <c r="UK20" s="20" t="n">
        <v>0</v>
      </c>
      <c r="UL20" s="20" t="n">
        <v>0</v>
      </c>
      <c r="UM20" s="20" t="n">
        <v>0</v>
      </c>
      <c r="UN20" s="20" t="n">
        <v>0</v>
      </c>
      <c r="UO20" s="20" t="n">
        <v>0</v>
      </c>
      <c r="UP20" s="20" t="n">
        <v>0</v>
      </c>
      <c r="UQ20" s="20" t="n">
        <v>0</v>
      </c>
      <c r="UR20" s="20" t="n">
        <v>0</v>
      </c>
      <c r="US20" s="20" t="n">
        <v>0</v>
      </c>
      <c r="UT20" s="20" t="n">
        <v>0</v>
      </c>
      <c r="UU20" s="20" t="n">
        <v>0</v>
      </c>
      <c r="UV20" s="20" t="n">
        <v>0</v>
      </c>
      <c r="UW20" s="20" t="n">
        <v>0</v>
      </c>
      <c r="UX20" s="20" t="n">
        <v>0</v>
      </c>
      <c r="UY20" s="20" t="n">
        <v>0</v>
      </c>
      <c r="UZ20" s="20" t="n">
        <v>0</v>
      </c>
      <c r="VA20" s="20" t="n">
        <v>0</v>
      </c>
      <c r="VB20" s="20" t="n">
        <v>0</v>
      </c>
      <c r="VC20" s="20" t="n">
        <v>0</v>
      </c>
      <c r="VD20" s="20" t="n">
        <v>0</v>
      </c>
      <c r="VE20" s="20" t="n">
        <v>0</v>
      </c>
      <c r="VF20" s="20" t="n">
        <v>0</v>
      </c>
      <c r="VG20" s="20" t="n">
        <v>0</v>
      </c>
      <c r="VH20" s="20" t="n">
        <v>0</v>
      </c>
      <c r="VI20" s="20" t="n">
        <v>0</v>
      </c>
      <c r="VJ20" s="20" t="n">
        <v>0</v>
      </c>
      <c r="VK20" s="20" t="n">
        <v>0</v>
      </c>
      <c r="VL20" s="20" t="n">
        <v>0</v>
      </c>
      <c r="VM20" s="20" t="n">
        <v>0</v>
      </c>
      <c r="VN20" s="20" t="n">
        <v>0</v>
      </c>
      <c r="VO20" s="20" t="n">
        <v>0</v>
      </c>
      <c r="VP20" s="20" t="n">
        <v>0</v>
      </c>
      <c r="VQ20" s="20" t="n">
        <v>0</v>
      </c>
      <c r="VR20" s="20" t="n">
        <v>0</v>
      </c>
      <c r="VS20" s="20" t="n">
        <v>0</v>
      </c>
      <c r="VT20" s="20" t="n">
        <v>0</v>
      </c>
      <c r="VU20" s="20" t="n">
        <v>0</v>
      </c>
      <c r="VV20" s="20" t="n">
        <v>0</v>
      </c>
      <c r="VW20" s="20" t="n">
        <v>0</v>
      </c>
      <c r="VX20" s="20" t="n">
        <v>0</v>
      </c>
      <c r="VY20" s="20" t="n">
        <v>0</v>
      </c>
      <c r="VZ20" s="20" t="n">
        <v>0</v>
      </c>
      <c r="WA20" s="20" t="n">
        <v>0</v>
      </c>
      <c r="WB20" s="20" t="n">
        <v>0</v>
      </c>
      <c r="WC20" s="20" t="n">
        <v>0</v>
      </c>
      <c r="WD20" s="20" t="n">
        <v>0</v>
      </c>
      <c r="WE20" s="20" t="n">
        <v>0</v>
      </c>
      <c r="WF20" s="20" t="n">
        <v>0</v>
      </c>
      <c r="WG20" s="20" t="n">
        <v>0</v>
      </c>
      <c r="WH20" s="20" t="n">
        <v>0</v>
      </c>
      <c r="WI20" s="20" t="n">
        <v>0</v>
      </c>
      <c r="WJ20" s="20" t="n">
        <v>0</v>
      </c>
      <c r="WK20" s="20" t="n">
        <v>0</v>
      </c>
      <c r="WL20" s="20" t="n">
        <v>0</v>
      </c>
      <c r="WM20" s="20" t="n">
        <v>0</v>
      </c>
      <c r="WN20" s="20" t="n">
        <v>0</v>
      </c>
      <c r="WO20" s="20" t="n">
        <v>0</v>
      </c>
      <c r="WP20" s="20" t="n">
        <v>0</v>
      </c>
      <c r="WQ20" s="20" t="n">
        <v>0</v>
      </c>
      <c r="WR20" s="20" t="n">
        <f aca="false">IF(AND(H_Direct=1,BR20&gt;0),MAX(0,H20-(MIN(BR20*TE20,(H20+I20))-MIN(MIN(BR20*TE20,(H20+I20)),I20))),H20)</f>
        <v>1270</v>
      </c>
      <c r="WS20" s="20" t="n">
        <f aca="false">IF(AND(H_Direct=1,BS20&gt;0),MAX(0,WR20-(MIN(BS20*TF20,(WR20+AAE20))-MIN(MIN(BS20*TF20,(WR20+AAE20)),AAE20))),WR20)</f>
        <v>1270</v>
      </c>
      <c r="WT20" s="20" t="n">
        <f aca="false">IF(AND(H_Direct=1,BT20&gt;0),MAX(0,WS20-(MIN(BT20*TG20,(WS20+AAF20))-MIN(MIN(BT20*TG20,(WS20+AAF20)),AAF20))),WS20)</f>
        <v>1270</v>
      </c>
      <c r="WU20" s="20" t="n">
        <f aca="false">IF(AND(H_Direct=1,BU20&gt;0),MAX(0,WT20-(MIN(BU20*TH20,(WT20+AAG20))-MIN(MIN(BU20*TH20,(WT20+AAG20)),AAG20))),WT20)</f>
        <v>1270</v>
      </c>
      <c r="WV20" s="20" t="n">
        <f aca="false">IF(AND(H_Direct=1,BV20&gt;0),MAX(0,WU20-(MIN(BV20*TI20,(WU20+AAH20))-MIN(MIN(BV20*TI20,(WU20+AAH20)),AAH20))),WU20)</f>
        <v>1270</v>
      </c>
      <c r="WW20" s="20" t="n">
        <f aca="false">IF(AND(H_Direct=1,BW20&gt;0),MAX(0,WV20-(MIN(BW20*TJ20,(WV20+AAI20))-MIN(MIN(BW20*TJ20,(WV20+AAI20)),AAI20))),WV20)</f>
        <v>1270</v>
      </c>
      <c r="WX20" s="20" t="n">
        <f aca="false">IF(AND(H_Direct=1,BX20&gt;0),MAX(0,WW20-(MIN(BX20*TK20,(WW20+AAJ20))-MIN(MIN(BX20*TK20,(WW20+AAJ20)),AAJ20))),WW20)</f>
        <v>1270</v>
      </c>
      <c r="WY20" s="20" t="n">
        <f aca="false">IF(AND(H_Direct=1,BY20&gt;0),MAX(0,WX20-(MIN(BY20*TL20,(WX20+AAK20))-MIN(MIN(BY20*TL20,(WX20+AAK20)),AAK20))),WX20)</f>
        <v>1270</v>
      </c>
      <c r="WZ20" s="20" t="n">
        <f aca="false">IF(AND(H_Direct=1,BZ20&gt;0),MAX(0,WY20-(MIN(BZ20*TM20,(WY20+AAL20))-MIN(MIN(BZ20*TM20,(WY20+AAL20)),AAL20))),WY20)</f>
        <v>1270</v>
      </c>
      <c r="XA20" s="20" t="n">
        <f aca="false">IF(AND(H_Direct=1,CA20&gt;0),MAX(0,WZ20-(MIN(CA20*TN20,(WZ20+AAM20))-MIN(MIN(CA20*TN20,(WZ20+AAM20)),AAM20))),WZ20)</f>
        <v>1270</v>
      </c>
      <c r="XB20" s="20" t="n">
        <f aca="false">IF(AND(H_Direct=1,CB20&gt;0),MAX(0,XA20-(MIN(CB20*TO20,(XA20+AAN20))-MIN(MIN(CB20*TO20,(XA20+AAN20)),AAN20))),XA20)</f>
        <v>1270</v>
      </c>
      <c r="XC20" s="20" t="n">
        <f aca="false">IF(AND(H_Direct=1,CC20&gt;0),MAX(0,XB20-(MIN(CC20*TP20,(XB20+AAO20))-MIN(MIN(CC20*TP20,(XB20+AAO20)),AAO20))),XB20)</f>
        <v>1270</v>
      </c>
      <c r="XD20" s="20" t="n">
        <f aca="false">IF(AND(H_Direct=1,CD20&gt;0),MAX(0,XC20-(MIN(CD20*TQ20,(XC20+AAP20))-MIN(MIN(CD20*TQ20,(XC20+AAP20)),AAP20))),XC20)</f>
        <v>1270</v>
      </c>
      <c r="XE20" s="20" t="n">
        <f aca="false">IF(AND(H_Direct=1,CE20&gt;0),MAX(0,XD20-(MIN(CE20*TR20,(XD20+AAQ20))-MIN(MIN(CE20*TR20,(XD20+AAQ20)),AAQ20))),XD20)</f>
        <v>1270</v>
      </c>
      <c r="XF20" s="20" t="n">
        <f aca="false">XE20</f>
        <v>1270</v>
      </c>
      <c r="XG20" s="20" t="n">
        <f aca="false">XF20</f>
        <v>1270</v>
      </c>
      <c r="XH20" s="20" t="n">
        <f aca="false">XG20</f>
        <v>1270</v>
      </c>
      <c r="XI20" s="20" t="n">
        <f aca="false">XH20</f>
        <v>1270</v>
      </c>
      <c r="XJ20" s="20" t="n">
        <f aca="false">XI20</f>
        <v>1270</v>
      </c>
      <c r="XK20" s="20" t="n">
        <f aca="false">XJ20</f>
        <v>1270</v>
      </c>
      <c r="XL20" s="20" t="n">
        <f aca="false">XK20</f>
        <v>1270</v>
      </c>
      <c r="XM20" s="20" t="n">
        <f aca="false">XL20</f>
        <v>1270</v>
      </c>
      <c r="XN20" s="20" t="n">
        <f aca="false">XM20</f>
        <v>1270</v>
      </c>
      <c r="XO20" s="20" t="n">
        <f aca="false">XN20</f>
        <v>1270</v>
      </c>
      <c r="XP20" s="20" t="n">
        <f aca="false">XO20</f>
        <v>1270</v>
      </c>
      <c r="XQ20" s="20" t="n">
        <f aca="false">XP20</f>
        <v>1270</v>
      </c>
      <c r="XR20" s="20" t="n">
        <f aca="false">XQ20</f>
        <v>1270</v>
      </c>
      <c r="XS20" s="20" t="n">
        <f aca="false">XR20</f>
        <v>1270</v>
      </c>
      <c r="XT20" s="20" t="n">
        <f aca="false">XS20</f>
        <v>1270</v>
      </c>
      <c r="XU20" s="20" t="n">
        <f aca="false">XT20</f>
        <v>1270</v>
      </c>
      <c r="XV20" s="20" t="n">
        <f aca="false">XU20</f>
        <v>1270</v>
      </c>
      <c r="XW20" s="20" t="n">
        <f aca="false">XV20</f>
        <v>1270</v>
      </c>
      <c r="XX20" s="20" t="n">
        <f aca="false">XW20</f>
        <v>1270</v>
      </c>
      <c r="XY20" s="20" t="n">
        <f aca="false">XX20</f>
        <v>1270</v>
      </c>
      <c r="XZ20" s="20" t="n">
        <f aca="false">XY20</f>
        <v>1270</v>
      </c>
      <c r="YA20" s="20" t="n">
        <f aca="false">XZ20</f>
        <v>1270</v>
      </c>
      <c r="YB20" s="20" t="n">
        <f aca="false">YA20</f>
        <v>1270</v>
      </c>
      <c r="YC20" s="20" t="n">
        <f aca="false">YB20</f>
        <v>1270</v>
      </c>
      <c r="YD20" s="20" t="n">
        <f aca="false">YC20</f>
        <v>1270</v>
      </c>
      <c r="YE20" s="20" t="n">
        <f aca="false">YD20</f>
        <v>1270</v>
      </c>
      <c r="YF20" s="20" t="n">
        <f aca="false">YE20</f>
        <v>1270</v>
      </c>
      <c r="YG20" s="20" t="n">
        <f aca="false">YF20</f>
        <v>1270</v>
      </c>
      <c r="YH20" s="20" t="n">
        <f aca="false">YG20</f>
        <v>1270</v>
      </c>
      <c r="YI20" s="20" t="n">
        <f aca="false">YH20</f>
        <v>1270</v>
      </c>
      <c r="YJ20" s="20" t="n">
        <f aca="false">YI20</f>
        <v>1270</v>
      </c>
      <c r="YK20" s="20" t="n">
        <f aca="false">YJ20</f>
        <v>1270</v>
      </c>
      <c r="YL20" s="20" t="n">
        <f aca="false">YK20</f>
        <v>1270</v>
      </c>
      <c r="YM20" s="20" t="n">
        <f aca="false">YL20</f>
        <v>1270</v>
      </c>
      <c r="YN20" s="20" t="n">
        <f aca="false">YM20</f>
        <v>1270</v>
      </c>
      <c r="YO20" s="20" t="n">
        <f aca="false">YN20</f>
        <v>1270</v>
      </c>
      <c r="YP20" s="20" t="n">
        <f aca="false">YO20</f>
        <v>1270</v>
      </c>
      <c r="YQ20" s="20" t="n">
        <f aca="false">YP20</f>
        <v>1270</v>
      </c>
      <c r="YR20" s="20" t="n">
        <f aca="false">YQ20</f>
        <v>1270</v>
      </c>
      <c r="YS20" s="20" t="n">
        <f aca="false">YR20</f>
        <v>1270</v>
      </c>
      <c r="YT20" s="20" t="n">
        <f aca="false">YS20</f>
        <v>1270</v>
      </c>
      <c r="YU20" s="20" t="n">
        <f aca="false">YT20</f>
        <v>1270</v>
      </c>
      <c r="YV20" s="20" t="n">
        <f aca="false">YU20</f>
        <v>1270</v>
      </c>
      <c r="YW20" s="20" t="n">
        <f aca="false">YV20</f>
        <v>1270</v>
      </c>
      <c r="YX20" s="20" t="n">
        <f aca="false">YW20</f>
        <v>1270</v>
      </c>
      <c r="YY20" s="20" t="n">
        <f aca="false">YX20</f>
        <v>1270</v>
      </c>
      <c r="YZ20" s="20" t="n">
        <f aca="false">YY20</f>
        <v>1270</v>
      </c>
      <c r="ZA20" s="20" t="n">
        <f aca="false">YZ20</f>
        <v>1270</v>
      </c>
      <c r="ZB20" s="20" t="n">
        <f aca="false">ZA20</f>
        <v>1270</v>
      </c>
      <c r="ZC20" s="20" t="n">
        <f aca="false">ZB20</f>
        <v>1270</v>
      </c>
      <c r="ZD20" s="20" t="n">
        <f aca="false">ZC20</f>
        <v>1270</v>
      </c>
      <c r="ZE20" s="20" t="n">
        <f aca="false">ZD20</f>
        <v>1270</v>
      </c>
      <c r="ZF20" s="20" t="n">
        <f aca="false">ZE20</f>
        <v>1270</v>
      </c>
      <c r="ZG20" s="20" t="n">
        <f aca="false">ZF20</f>
        <v>1270</v>
      </c>
      <c r="ZH20" s="20" t="n">
        <f aca="false">ZG20</f>
        <v>1270</v>
      </c>
      <c r="ZI20" s="20" t="n">
        <f aca="false">ZH20</f>
        <v>1270</v>
      </c>
      <c r="ZJ20" s="20" t="n">
        <f aca="false">ZI20</f>
        <v>1270</v>
      </c>
      <c r="ZK20" s="20" t="n">
        <f aca="false">ZJ20</f>
        <v>1270</v>
      </c>
      <c r="ZL20" s="20" t="n">
        <f aca="false">ZK20</f>
        <v>1270</v>
      </c>
      <c r="ZM20" s="20" t="n">
        <f aca="false">ZL20</f>
        <v>1270</v>
      </c>
      <c r="ZN20" s="20" t="n">
        <f aca="false">ZM20</f>
        <v>1270</v>
      </c>
      <c r="ZO20" s="20" t="n">
        <f aca="false">ZN20</f>
        <v>1270</v>
      </c>
      <c r="ZP20" s="20" t="n">
        <f aca="false">ZO20</f>
        <v>1270</v>
      </c>
      <c r="ZQ20" s="20" t="n">
        <f aca="false">ZP20</f>
        <v>1270</v>
      </c>
      <c r="ZR20" s="20" t="n">
        <f aca="false">ZQ20</f>
        <v>1270</v>
      </c>
      <c r="ZS20" s="20" t="n">
        <f aca="false">ZR20</f>
        <v>1270</v>
      </c>
      <c r="ZT20" s="20" t="n">
        <f aca="false">ZS20</f>
        <v>1270</v>
      </c>
      <c r="ZU20" s="20" t="n">
        <f aca="false">ZT20</f>
        <v>1270</v>
      </c>
      <c r="ZV20" s="20" t="n">
        <f aca="false">ZU20</f>
        <v>1270</v>
      </c>
      <c r="ZW20" s="20" t="n">
        <f aca="false">ZV20</f>
        <v>1270</v>
      </c>
      <c r="ZX20" s="20" t="n">
        <f aca="false">ZW20</f>
        <v>1270</v>
      </c>
      <c r="ZY20" s="20" t="n">
        <f aca="false">ZX20</f>
        <v>1270</v>
      </c>
      <c r="ZZ20" s="20" t="n">
        <f aca="false">ZY20</f>
        <v>1270</v>
      </c>
      <c r="AAA20" s="20" t="n">
        <f aca="false">ZZ20</f>
        <v>1270</v>
      </c>
      <c r="AAB20" s="20" t="n">
        <f aca="false">AAA20</f>
        <v>1270</v>
      </c>
      <c r="AAC20" s="20" t="n">
        <f aca="false">AAB20</f>
        <v>1270</v>
      </c>
      <c r="AAD20" s="20" t="n">
        <f aca="false">AAC20</f>
        <v>1270</v>
      </c>
      <c r="AAE20" s="20" t="n">
        <f aca="false">IF(H_Direct=1,IF(BR20&lt;=0,I20-BR20*TE20,I20-MIN(MIN(BR20*TE20,(H20+I20)),I20)),I20)</f>
        <v>0</v>
      </c>
      <c r="AAF20" s="20" t="n">
        <f aca="false">IF(H_Direct=1,IF(BS20&lt;=0,AAE20-BS20*TF20,AAE20-MIN(MIN(BS20*TF20,(WR20+AAE20)),AAE20)),AAE20)</f>
        <v>0</v>
      </c>
      <c r="AAG20" s="20" t="n">
        <f aca="false">IF(H_Direct=1,IF(BT20&lt;=0,AAF20-BT20*TG20,AAF20-MIN(MIN(BT20*TG20,(WS20+AAF20)),AAF20)),AAF20)</f>
        <v>0</v>
      </c>
      <c r="AAH20" s="20" t="n">
        <f aca="false">IF(H_Direct=1,IF(BU20&lt;=0,AAG20-BU20*TH20,AAG20-MIN(MIN(BU20*TH20,(WT20+AAG20)),AAG20)),AAG20)</f>
        <v>0</v>
      </c>
      <c r="AAI20" s="20" t="n">
        <f aca="false">IF(H_Direct=1,IF(BV20&lt;=0,AAH20-BV20*TI20,AAH20-MIN(MIN(BV20*TI20,(WU20+AAH20)),AAH20)),AAH20)</f>
        <v>0</v>
      </c>
      <c r="AAJ20" s="20" t="n">
        <f aca="false">IF(H_Direct=1,IF(BW20&lt;=0,AAI20-BW20*TJ20,AAI20-MIN(MIN(BW20*TJ20,(WV20+AAI20)),AAI20)),AAI20)</f>
        <v>0</v>
      </c>
      <c r="AAK20" s="20" t="n">
        <f aca="false">IF(H_Direct=1,IF(BX20&lt;=0,AAJ20-BX20*TK20,AAJ20-MIN(MIN(BX20*TK20,(WW20+AAJ20)),AAJ20)),AAJ20)</f>
        <v>0</v>
      </c>
      <c r="AAL20" s="20" t="n">
        <f aca="false">IF(H_Direct=1,IF(BY20&lt;=0,AAK20-BY20*TL20,AAK20-MIN(MIN(BY20*TL20,(WX20+AAK20)),AAK20)),AAK20)</f>
        <v>0</v>
      </c>
      <c r="AAM20" s="20" t="n">
        <f aca="false">IF(H_Direct=1,IF(BZ20&lt;=0,AAL20-BZ20*TM20,AAL20-MIN(MIN(BZ20*TM20,(WY20+AAL20)),AAL20)),AAL20)</f>
        <v>0</v>
      </c>
      <c r="AAN20" s="20" t="n">
        <f aca="false">IF(H_Direct=1,IF(CA20&lt;=0,AAM20-CA20*TN20,AAM20-MIN(MIN(CA20*TN20,(WZ20+AAM20)),AAM20)),AAM20)</f>
        <v>0</v>
      </c>
      <c r="AAO20" s="20" t="n">
        <f aca="false">IF(H_Direct=1,IF(CB20&lt;=0,AAN20-CB20*TO20,AAN20-MIN(MIN(CB20*TO20,(XA20+AAN20)),AAN20)),AAN20)</f>
        <v>0</v>
      </c>
      <c r="AAP20" s="20" t="n">
        <f aca="false">IF(H_Direct=1,IF(CC20&lt;=0,AAO20-CC20*TP20,AAO20-MIN(MIN(CC20*TP20,(XB20+AAO20)),AAO20)),AAO20)</f>
        <v>0</v>
      </c>
      <c r="AAQ20" s="20" t="n">
        <f aca="false">IF(H_Direct=1,IF(CD20&lt;=0,AAP20-CD20*TQ20,AAP20-MIN(MIN(CD20*TQ20,(XC20+AAP20)),AAP20)),AAP20)</f>
        <v>0</v>
      </c>
      <c r="AAR20" s="20" t="n">
        <f aca="false">IF(H_Direct=1,IF(CE20&lt;=0,AAQ20-CE20*TR20,AAQ20-MIN(MIN(CE20*TR20,(XD20+AAQ20)),AAQ20)),AAQ20)</f>
        <v>0</v>
      </c>
      <c r="AAS20" s="20" t="n">
        <f aca="false">AAR20</f>
        <v>0</v>
      </c>
      <c r="AAT20" s="20" t="n">
        <f aca="false">AAS20</f>
        <v>0</v>
      </c>
      <c r="AAU20" s="20" t="n">
        <f aca="false">AAT20</f>
        <v>0</v>
      </c>
      <c r="AAV20" s="20" t="n">
        <f aca="false">AAU20</f>
        <v>0</v>
      </c>
      <c r="AAW20" s="20" t="n">
        <f aca="false">AAV20</f>
        <v>0</v>
      </c>
      <c r="AAX20" s="20" t="n">
        <f aca="false">AAW20</f>
        <v>0</v>
      </c>
      <c r="AAY20" s="20" t="n">
        <f aca="false">AAX20</f>
        <v>0</v>
      </c>
      <c r="AAZ20" s="20" t="n">
        <f aca="false">AAY20</f>
        <v>0</v>
      </c>
      <c r="ABA20" s="20" t="n">
        <f aca="false">AAZ20</f>
        <v>0</v>
      </c>
      <c r="ABB20" s="20" t="n">
        <f aca="false">ABA20</f>
        <v>0</v>
      </c>
      <c r="ABC20" s="20" t="n">
        <f aca="false">ABB20</f>
        <v>0</v>
      </c>
      <c r="ABD20" s="20" t="n">
        <f aca="false">ABC20</f>
        <v>0</v>
      </c>
      <c r="ABE20" s="20" t="n">
        <f aca="false">ABD20</f>
        <v>0</v>
      </c>
      <c r="ABF20" s="20" t="n">
        <f aca="false">ABE20</f>
        <v>0</v>
      </c>
      <c r="ABG20" s="20" t="n">
        <f aca="false">ABF20</f>
        <v>0</v>
      </c>
      <c r="ABH20" s="20" t="n">
        <f aca="false">ABG20</f>
        <v>0</v>
      </c>
      <c r="ABI20" s="20" t="n">
        <f aca="false">ABH20</f>
        <v>0</v>
      </c>
      <c r="ABJ20" s="20" t="n">
        <f aca="false">ABI20</f>
        <v>0</v>
      </c>
      <c r="ABK20" s="20" t="n">
        <f aca="false">ABJ20</f>
        <v>0</v>
      </c>
      <c r="ABL20" s="20" t="n">
        <f aca="false">ABK20</f>
        <v>0</v>
      </c>
      <c r="ABM20" s="20" t="n">
        <f aca="false">ABL20</f>
        <v>0</v>
      </c>
      <c r="ABN20" s="20" t="n">
        <f aca="false">ABM20</f>
        <v>0</v>
      </c>
      <c r="ABO20" s="20" t="n">
        <f aca="false">ABN20</f>
        <v>0</v>
      </c>
      <c r="ABP20" s="20" t="n">
        <f aca="false">ABO20</f>
        <v>0</v>
      </c>
      <c r="ABQ20" s="20" t="n">
        <f aca="false">ABP20</f>
        <v>0</v>
      </c>
      <c r="ABR20" s="20" t="n">
        <f aca="false">ABQ20</f>
        <v>0</v>
      </c>
      <c r="ABS20" s="20" t="n">
        <f aca="false">ABR20</f>
        <v>0</v>
      </c>
      <c r="ABT20" s="20" t="n">
        <f aca="false">ABS20</f>
        <v>0</v>
      </c>
      <c r="ABU20" s="20" t="n">
        <f aca="false">ABT20</f>
        <v>0</v>
      </c>
      <c r="ABV20" s="20" t="n">
        <f aca="false">ABU20</f>
        <v>0</v>
      </c>
      <c r="ABW20" s="20" t="n">
        <f aca="false">ABV20</f>
        <v>0</v>
      </c>
      <c r="ABX20" s="20" t="n">
        <f aca="false">ABW20</f>
        <v>0</v>
      </c>
      <c r="ABY20" s="20" t="n">
        <f aca="false">ABX20</f>
        <v>0</v>
      </c>
      <c r="ABZ20" s="20" t="n">
        <f aca="false">ABY20</f>
        <v>0</v>
      </c>
      <c r="ACA20" s="20" t="n">
        <f aca="false">ABZ20</f>
        <v>0</v>
      </c>
      <c r="ACB20" s="20" t="n">
        <f aca="false">ACA20</f>
        <v>0</v>
      </c>
      <c r="ACC20" s="20" t="n">
        <f aca="false">ACB20</f>
        <v>0</v>
      </c>
      <c r="ACD20" s="20" t="n">
        <f aca="false">ACC20</f>
        <v>0</v>
      </c>
      <c r="ACE20" s="20" t="n">
        <f aca="false">ACD20</f>
        <v>0</v>
      </c>
      <c r="ACF20" s="20" t="n">
        <f aca="false">ACE20</f>
        <v>0</v>
      </c>
      <c r="ACG20" s="20" t="n">
        <f aca="false">ACF20</f>
        <v>0</v>
      </c>
      <c r="ACH20" s="20" t="n">
        <f aca="false">ACG20</f>
        <v>0</v>
      </c>
      <c r="ACI20" s="20" t="n">
        <f aca="false">ACH20</f>
        <v>0</v>
      </c>
      <c r="ACJ20" s="20" t="n">
        <f aca="false">ACI20</f>
        <v>0</v>
      </c>
      <c r="ACK20" s="20" t="n">
        <f aca="false">ACJ20</f>
        <v>0</v>
      </c>
      <c r="ACL20" s="20" t="n">
        <f aca="false">ACK20</f>
        <v>0</v>
      </c>
      <c r="ACM20" s="20" t="n">
        <f aca="false">ACL20</f>
        <v>0</v>
      </c>
      <c r="ACN20" s="20" t="n">
        <f aca="false">ACM20</f>
        <v>0</v>
      </c>
      <c r="ACO20" s="20" t="n">
        <f aca="false">ACN20</f>
        <v>0</v>
      </c>
      <c r="ACP20" s="20" t="n">
        <f aca="false">ACO20</f>
        <v>0</v>
      </c>
      <c r="ACQ20" s="20" t="n">
        <f aca="false">ACP20</f>
        <v>0</v>
      </c>
      <c r="ACR20" s="20" t="n">
        <f aca="false">ACQ20</f>
        <v>0</v>
      </c>
      <c r="ACS20" s="20" t="n">
        <f aca="false">ACR20</f>
        <v>0</v>
      </c>
      <c r="ACT20" s="20" t="n">
        <f aca="false">ACS20</f>
        <v>0</v>
      </c>
      <c r="ACU20" s="20" t="n">
        <f aca="false">ACT20</f>
        <v>0</v>
      </c>
      <c r="ACV20" s="20" t="n">
        <f aca="false">ACU20</f>
        <v>0</v>
      </c>
      <c r="ACW20" s="20" t="n">
        <f aca="false">ACV20</f>
        <v>0</v>
      </c>
      <c r="ACX20" s="20" t="n">
        <f aca="false">ACW20</f>
        <v>0</v>
      </c>
      <c r="ACY20" s="20" t="n">
        <f aca="false">ACX20</f>
        <v>0</v>
      </c>
      <c r="ACZ20" s="20" t="n">
        <f aca="false">ACY20</f>
        <v>0</v>
      </c>
      <c r="ADA20" s="20" t="n">
        <f aca="false">ACZ20</f>
        <v>0</v>
      </c>
      <c r="ADB20" s="20" t="n">
        <f aca="false">ADA20</f>
        <v>0</v>
      </c>
      <c r="ADC20" s="20" t="n">
        <f aca="false">ADB20</f>
        <v>0</v>
      </c>
      <c r="ADD20" s="20" t="n">
        <f aca="false">ADC20</f>
        <v>0</v>
      </c>
      <c r="ADE20" s="20" t="n">
        <f aca="false">ADD20</f>
        <v>0</v>
      </c>
      <c r="ADF20" s="20" t="n">
        <f aca="false">ADE20</f>
        <v>0</v>
      </c>
      <c r="ADG20" s="20" t="n">
        <f aca="false">ADF20</f>
        <v>0</v>
      </c>
      <c r="ADH20" s="20" t="n">
        <f aca="false">ADG20</f>
        <v>0</v>
      </c>
      <c r="ADI20" s="20" t="n">
        <f aca="false">ADH20</f>
        <v>0</v>
      </c>
      <c r="ADJ20" s="20" t="n">
        <f aca="false">ADI20</f>
        <v>0</v>
      </c>
      <c r="ADK20" s="20" t="n">
        <f aca="false">ADJ20</f>
        <v>0</v>
      </c>
      <c r="ADL20" s="20" t="n">
        <f aca="false">ADK20</f>
        <v>0</v>
      </c>
      <c r="ADM20" s="20" t="n">
        <f aca="false">ADL20</f>
        <v>0</v>
      </c>
      <c r="ADN20" s="20" t="n">
        <f aca="false">ADM20</f>
        <v>0</v>
      </c>
      <c r="ADO20" s="20" t="n">
        <f aca="false">ADN20</f>
        <v>0</v>
      </c>
      <c r="ADP20" s="20" t="n">
        <f aca="false">ADO20</f>
        <v>0</v>
      </c>
      <c r="ADQ20" s="20" t="n">
        <f aca="false">ADP20</f>
        <v>0</v>
      </c>
      <c r="ADR20" s="20" t="n">
        <f aca="false">(AKR19-TE20+0)*(1+BQ20)</f>
        <v>0</v>
      </c>
      <c r="ADS20" s="20" t="n">
        <f aca="false">(AKS19-TF20+0)*(1+BQ20)</f>
        <v>0</v>
      </c>
      <c r="ADT20" s="20" t="n">
        <f aca="false">(AKT19-TG20+0)*(1+BQ20)</f>
        <v>0</v>
      </c>
      <c r="ADU20" s="20" t="n">
        <f aca="false">(AKU19-TH20+0)*(1+BQ20)</f>
        <v>0</v>
      </c>
      <c r="ADV20" s="20" t="n">
        <f aca="false">(AKV19-TI20+0)*(1+BQ20)</f>
        <v>0</v>
      </c>
      <c r="ADW20" s="20" t="n">
        <f aca="false">(AKW19-TJ20+0)*(1+BQ20)</f>
        <v>0</v>
      </c>
      <c r="ADX20" s="20" t="n">
        <f aca="false">(AKX19-TK20+0)*(1+BQ20)</f>
        <v>0</v>
      </c>
      <c r="ADY20" s="20" t="n">
        <f aca="false">(AKY19-TL20+0)*(1+BQ20)</f>
        <v>0</v>
      </c>
      <c r="ADZ20" s="20" t="n">
        <f aca="false">(AKZ19-TM20+0)*(1+BQ20)</f>
        <v>0</v>
      </c>
      <c r="AEA20" s="20" t="n">
        <f aca="false">(ALA19-TN20+0)*(1+BQ20)</f>
        <v>0</v>
      </c>
      <c r="AEB20" s="20" t="n">
        <f aca="false">(ALB19-TO20+0)*(1+BQ20)</f>
        <v>0</v>
      </c>
      <c r="AEC20" s="20" t="n">
        <f aca="false">(ALC19-TP20+0)*(1+BQ20)</f>
        <v>614.937187264735</v>
      </c>
      <c r="AED20" s="20" t="n">
        <f aca="false">(ALD19-TQ20+0)*(1+BQ20)</f>
        <v>773.571413679846</v>
      </c>
      <c r="AEE20" s="20" t="n">
        <f aca="false">((P20+S20)-TR20+BE20)*(1+BQ20)</f>
        <v>925.748775995095</v>
      </c>
      <c r="AEF20" s="20" t="n">
        <v>0</v>
      </c>
      <c r="AEG20" s="20" t="n">
        <v>0</v>
      </c>
      <c r="AEH20" s="20" t="n">
        <v>0</v>
      </c>
      <c r="AEI20" s="20" t="n">
        <v>0</v>
      </c>
      <c r="AEJ20" s="20" t="n">
        <v>0</v>
      </c>
      <c r="AEK20" s="20" t="n">
        <v>0</v>
      </c>
      <c r="AEL20" s="20" t="n">
        <v>0</v>
      </c>
      <c r="AEM20" s="20" t="n">
        <v>0</v>
      </c>
      <c r="AEN20" s="20" t="n">
        <v>0</v>
      </c>
      <c r="AEO20" s="20" t="n">
        <v>0</v>
      </c>
      <c r="AEP20" s="20" t="n">
        <v>0</v>
      </c>
      <c r="AEQ20" s="20" t="n">
        <v>0</v>
      </c>
      <c r="AER20" s="20" t="n">
        <v>0</v>
      </c>
      <c r="AES20" s="20" t="n">
        <v>0</v>
      </c>
      <c r="AET20" s="20" t="n">
        <v>0</v>
      </c>
      <c r="AEU20" s="20" t="n">
        <v>0</v>
      </c>
      <c r="AEV20" s="20" t="n">
        <v>0</v>
      </c>
      <c r="AEW20" s="20" t="n">
        <v>0</v>
      </c>
      <c r="AEX20" s="20" t="n">
        <v>0</v>
      </c>
      <c r="AEY20" s="20" t="n">
        <v>0</v>
      </c>
      <c r="AEZ20" s="20" t="n">
        <v>0</v>
      </c>
      <c r="AFA20" s="20" t="n">
        <v>0</v>
      </c>
      <c r="AFB20" s="20" t="n">
        <v>0</v>
      </c>
      <c r="AFC20" s="20" t="n">
        <v>0</v>
      </c>
      <c r="AFD20" s="20" t="n">
        <v>0</v>
      </c>
      <c r="AFE20" s="20" t="n">
        <v>0</v>
      </c>
      <c r="AFF20" s="20" t="n">
        <v>0</v>
      </c>
      <c r="AFG20" s="20" t="n">
        <v>0</v>
      </c>
      <c r="AFH20" s="20" t="n">
        <v>0</v>
      </c>
      <c r="AFI20" s="20" t="n">
        <v>0</v>
      </c>
      <c r="AFJ20" s="20" t="n">
        <v>0</v>
      </c>
      <c r="AFK20" s="20" t="n">
        <v>0</v>
      </c>
      <c r="AFL20" s="20" t="n">
        <v>0</v>
      </c>
      <c r="AFM20" s="20" t="n">
        <v>0</v>
      </c>
      <c r="AFN20" s="20" t="n">
        <v>0</v>
      </c>
      <c r="AFO20" s="20" t="n">
        <v>0</v>
      </c>
      <c r="AFP20" s="20" t="n">
        <v>0</v>
      </c>
      <c r="AFQ20" s="20" t="n">
        <v>0</v>
      </c>
      <c r="AFR20" s="20" t="n">
        <v>0</v>
      </c>
      <c r="AFS20" s="20" t="n">
        <v>0</v>
      </c>
      <c r="AFT20" s="20" t="n">
        <v>0</v>
      </c>
      <c r="AFU20" s="20" t="n">
        <v>0</v>
      </c>
      <c r="AFV20" s="20" t="n">
        <v>0</v>
      </c>
      <c r="AFW20" s="20" t="n">
        <v>0</v>
      </c>
      <c r="AFX20" s="20" t="n">
        <v>0</v>
      </c>
      <c r="AFY20" s="20" t="n">
        <v>0</v>
      </c>
      <c r="AFZ20" s="20" t="n">
        <v>0</v>
      </c>
      <c r="AGA20" s="20" t="n">
        <v>0</v>
      </c>
      <c r="AGB20" s="20" t="n">
        <v>0</v>
      </c>
      <c r="AGC20" s="20" t="n">
        <v>0</v>
      </c>
      <c r="AGD20" s="20" t="n">
        <v>0</v>
      </c>
      <c r="AGE20" s="20" t="n">
        <v>0</v>
      </c>
      <c r="AGF20" s="20" t="n">
        <v>0</v>
      </c>
      <c r="AGG20" s="20" t="n">
        <v>0</v>
      </c>
      <c r="AGH20" s="20" t="n">
        <v>0</v>
      </c>
      <c r="AGI20" s="20" t="n">
        <v>0</v>
      </c>
      <c r="AGJ20" s="20" t="n">
        <v>0</v>
      </c>
      <c r="AGK20" s="20" t="n">
        <v>0</v>
      </c>
      <c r="AGL20" s="20" t="n">
        <v>0</v>
      </c>
      <c r="AGM20" s="20" t="n">
        <v>0</v>
      </c>
      <c r="AGN20" s="20" t="n">
        <v>0</v>
      </c>
      <c r="AGO20" s="20" t="n">
        <v>0</v>
      </c>
      <c r="AGP20" s="20" t="n">
        <v>0</v>
      </c>
      <c r="AGQ20" s="20" t="n">
        <v>0</v>
      </c>
      <c r="AGR20" s="20" t="n">
        <v>0</v>
      </c>
      <c r="AGS20" s="20" t="n">
        <v>0</v>
      </c>
      <c r="AGT20" s="20" t="n">
        <v>0</v>
      </c>
      <c r="AGU20" s="20" t="n">
        <v>0</v>
      </c>
      <c r="AGV20" s="20" t="n">
        <v>0</v>
      </c>
      <c r="AGW20" s="20" t="n">
        <v>0</v>
      </c>
      <c r="AGX20" s="20" t="n">
        <v>0</v>
      </c>
      <c r="AGY20" s="20" t="n">
        <v>0</v>
      </c>
      <c r="AGZ20" s="20" t="n">
        <v>0</v>
      </c>
      <c r="AHA20" s="20" t="n">
        <v>0</v>
      </c>
      <c r="AHB20" s="20" t="n">
        <v>0</v>
      </c>
      <c r="AHC20" s="20" t="n">
        <v>0</v>
      </c>
      <c r="AHD20" s="20" t="n">
        <v>0</v>
      </c>
      <c r="AHE20" s="20" t="n">
        <f aca="false">IF(AKR19&gt;0,AOE19-AOE19*TE20/AKR19,0)+0</f>
        <v>0</v>
      </c>
      <c r="AHF20" s="20" t="n">
        <f aca="false">IF(AKS19&gt;0,AOF19-AOF19*TF20/AKS19,0)+0</f>
        <v>0</v>
      </c>
      <c r="AHG20" s="20" t="n">
        <f aca="false">IF(AKT19&gt;0,AOG19-AOG19*TG20/AKT19,0)+0</f>
        <v>0</v>
      </c>
      <c r="AHH20" s="20" t="n">
        <f aca="false">IF(AKU19&gt;0,AOH19-AOH19*TH20/AKU19,0)+0</f>
        <v>0</v>
      </c>
      <c r="AHI20" s="20" t="n">
        <f aca="false">IF(AKV19&gt;0,AOI19-AOI19*TI20/AKV19,0)+0</f>
        <v>0</v>
      </c>
      <c r="AHJ20" s="20" t="n">
        <f aca="false">IF(AKW19&gt;0,AOJ19-AOJ19*TJ20/AKW19,0)+0</f>
        <v>0</v>
      </c>
      <c r="AHK20" s="20" t="n">
        <f aca="false">IF(AKX19&gt;0,AOK19-AOK19*TK20/AKX19,0)+0</f>
        <v>0</v>
      </c>
      <c r="AHL20" s="20" t="n">
        <f aca="false">IF(AKY19&gt;0,AOL19-AOL19*TL20/AKY19,0)+0</f>
        <v>0</v>
      </c>
      <c r="AHM20" s="20" t="n">
        <f aca="false">IF(AKZ19&gt;0,AOM19-AOM19*TM20/AKZ19,0)+0</f>
        <v>0</v>
      </c>
      <c r="AHN20" s="20" t="n">
        <f aca="false">IF(ALA19&gt;0,AON19-AON19*TN20/ALA19,0)+0</f>
        <v>0</v>
      </c>
      <c r="AHO20" s="20" t="n">
        <f aca="false">IF(ALB19&gt;0,AOO19-AOO19*TO20/ALB19,0)+0</f>
        <v>0</v>
      </c>
      <c r="AHP20" s="20" t="n">
        <f aca="false">IF(ALC19&gt;0,AOP19-AOP19*TP20/ALC19,0)+0</f>
        <v>546.676920289684</v>
      </c>
      <c r="AHQ20" s="20" t="n">
        <f aca="false">IF(ALD19&gt;0,AOQ19-AOQ19*TQ20/ALD19,0)+0</f>
        <v>715.210256730627</v>
      </c>
      <c r="AHR20" s="20" t="n">
        <f aca="false">IF((P20+S20)&gt;0,(P20+S20)-(P20+S20)*TR20/(P20+S20),0)+BE20</f>
        <v>890.143053841438</v>
      </c>
      <c r="AHS20" s="20" t="n">
        <v>0</v>
      </c>
      <c r="AHT20" s="20" t="n">
        <v>0</v>
      </c>
      <c r="AHU20" s="20" t="n">
        <v>0</v>
      </c>
      <c r="AHV20" s="20" t="n">
        <v>0</v>
      </c>
      <c r="AHW20" s="20" t="n">
        <v>0</v>
      </c>
      <c r="AHX20" s="20" t="n">
        <v>0</v>
      </c>
      <c r="AHY20" s="20" t="n">
        <v>0</v>
      </c>
      <c r="AHZ20" s="20" t="n">
        <v>0</v>
      </c>
      <c r="AIA20" s="20" t="n">
        <v>0</v>
      </c>
      <c r="AIB20" s="20" t="n">
        <v>0</v>
      </c>
      <c r="AIC20" s="20" t="n">
        <v>0</v>
      </c>
      <c r="AID20" s="20" t="n">
        <v>0</v>
      </c>
      <c r="AIE20" s="20" t="n">
        <v>0</v>
      </c>
      <c r="AIF20" s="20" t="n">
        <v>0</v>
      </c>
      <c r="AIG20" s="20" t="n">
        <v>0</v>
      </c>
      <c r="AIH20" s="20" t="n">
        <v>0</v>
      </c>
      <c r="AII20" s="20" t="n">
        <v>0</v>
      </c>
      <c r="AIJ20" s="20" t="n">
        <v>0</v>
      </c>
      <c r="AIK20" s="20" t="n">
        <v>0</v>
      </c>
      <c r="AIL20" s="20" t="n">
        <v>0</v>
      </c>
      <c r="AIM20" s="20" t="n">
        <v>0</v>
      </c>
      <c r="AIN20" s="20" t="n">
        <v>0</v>
      </c>
      <c r="AIO20" s="20" t="n">
        <v>0</v>
      </c>
      <c r="AIP20" s="20" t="n">
        <v>0</v>
      </c>
      <c r="AIQ20" s="20" t="n">
        <v>0</v>
      </c>
      <c r="AIR20" s="20" t="n">
        <v>0</v>
      </c>
      <c r="AIS20" s="20" t="n">
        <v>0</v>
      </c>
      <c r="AIT20" s="20" t="n">
        <v>0</v>
      </c>
      <c r="AIU20" s="20" t="n">
        <v>0</v>
      </c>
      <c r="AIV20" s="20" t="n">
        <v>0</v>
      </c>
      <c r="AIW20" s="20" t="n">
        <v>0</v>
      </c>
      <c r="AIX20" s="20" t="n">
        <v>0</v>
      </c>
      <c r="AIY20" s="20" t="n">
        <v>0</v>
      </c>
      <c r="AIZ20" s="20" t="n">
        <v>0</v>
      </c>
      <c r="AJA20" s="20" t="n">
        <v>0</v>
      </c>
      <c r="AJB20" s="20" t="n">
        <v>0</v>
      </c>
      <c r="AJC20" s="20" t="n">
        <v>0</v>
      </c>
      <c r="AJD20" s="20" t="n">
        <v>0</v>
      </c>
      <c r="AJE20" s="20" t="n">
        <v>0</v>
      </c>
      <c r="AJF20" s="20" t="n">
        <v>0</v>
      </c>
      <c r="AJG20" s="20" t="n">
        <v>0</v>
      </c>
      <c r="AJH20" s="20" t="n">
        <v>0</v>
      </c>
      <c r="AJI20" s="20" t="n">
        <v>0</v>
      </c>
      <c r="AJJ20" s="20" t="n">
        <v>0</v>
      </c>
      <c r="AJK20" s="20" t="n">
        <v>0</v>
      </c>
      <c r="AJL20" s="20" t="n">
        <v>0</v>
      </c>
      <c r="AJM20" s="20" t="n">
        <v>0</v>
      </c>
      <c r="AJN20" s="20" t="n">
        <v>0</v>
      </c>
      <c r="AJO20" s="20" t="n">
        <v>0</v>
      </c>
      <c r="AJP20" s="20" t="n">
        <v>0</v>
      </c>
      <c r="AJQ20" s="20" t="n">
        <v>0</v>
      </c>
      <c r="AJR20" s="20" t="n">
        <v>0</v>
      </c>
      <c r="AJS20" s="20" t="n">
        <v>0</v>
      </c>
      <c r="AJT20" s="20" t="n">
        <v>0</v>
      </c>
      <c r="AJU20" s="20" t="n">
        <v>0</v>
      </c>
      <c r="AJV20" s="20" t="n">
        <v>0</v>
      </c>
      <c r="AJW20" s="20" t="n">
        <v>0</v>
      </c>
      <c r="AJX20" s="20" t="n">
        <v>0</v>
      </c>
      <c r="AJY20" s="20" t="n">
        <v>0</v>
      </c>
      <c r="AJZ20" s="20" t="n">
        <v>0</v>
      </c>
      <c r="AKA20" s="20" t="n">
        <v>0</v>
      </c>
      <c r="AKB20" s="20" t="n">
        <v>0</v>
      </c>
      <c r="AKC20" s="20" t="n">
        <v>0</v>
      </c>
      <c r="AKD20" s="20" t="n">
        <v>0</v>
      </c>
      <c r="AKE20" s="20" t="n">
        <v>0</v>
      </c>
      <c r="AKF20" s="20" t="n">
        <v>0</v>
      </c>
      <c r="AKG20" s="20" t="n">
        <v>0</v>
      </c>
      <c r="AKH20" s="20" t="n">
        <v>0</v>
      </c>
      <c r="AKI20" s="20" t="n">
        <v>0</v>
      </c>
      <c r="AKJ20" s="20" t="n">
        <v>0</v>
      </c>
      <c r="AKK20" s="20" t="n">
        <v>0</v>
      </c>
      <c r="AKL20" s="20" t="n">
        <v>0</v>
      </c>
      <c r="AKM20" s="20" t="n">
        <v>0</v>
      </c>
      <c r="AKN20" s="20" t="n">
        <v>0</v>
      </c>
      <c r="AKO20" s="20" t="n">
        <v>0</v>
      </c>
      <c r="AKP20" s="20" t="n">
        <v>0</v>
      </c>
      <c r="AKQ20" s="20" t="n">
        <v>0</v>
      </c>
      <c r="AKR20" s="20" t="n">
        <f aca="false">ADR20-AVE20</f>
        <v>0</v>
      </c>
      <c r="AKS20" s="20" t="n">
        <f aca="false">ADS20-AVF20</f>
        <v>0</v>
      </c>
      <c r="AKT20" s="20" t="n">
        <f aca="false">ADT20-AVG20</f>
        <v>0</v>
      </c>
      <c r="AKU20" s="20" t="n">
        <f aca="false">ADU20-AVH20</f>
        <v>0</v>
      </c>
      <c r="AKV20" s="20" t="n">
        <f aca="false">ADV20-AVI20</f>
        <v>0</v>
      </c>
      <c r="AKW20" s="20" t="n">
        <f aca="false">ADW20-AVJ20</f>
        <v>0</v>
      </c>
      <c r="AKX20" s="20" t="n">
        <f aca="false">ADX20-AVK20</f>
        <v>0</v>
      </c>
      <c r="AKY20" s="20" t="n">
        <f aca="false">ADY20-AVL20</f>
        <v>0</v>
      </c>
      <c r="AKZ20" s="20" t="n">
        <f aca="false">ADZ20-AVM20</f>
        <v>0</v>
      </c>
      <c r="ALA20" s="20" t="n">
        <f aca="false">AEA20-AVN20</f>
        <v>0</v>
      </c>
      <c r="ALB20" s="20" t="n">
        <f aca="false">AEB20-AVO20</f>
        <v>0</v>
      </c>
      <c r="ALC20" s="20" t="n">
        <f aca="false">AEC20-AVP20</f>
        <v>614.937187264735</v>
      </c>
      <c r="ALD20" s="20" t="n">
        <f aca="false">AED20-AVQ20</f>
        <v>773.571413679846</v>
      </c>
      <c r="ALE20" s="20" t="n">
        <f aca="false">AEE20-AVR20</f>
        <v>925.748775995095</v>
      </c>
      <c r="ALF20" s="20" t="n">
        <v>0</v>
      </c>
      <c r="ALG20" s="20" t="n">
        <v>0</v>
      </c>
      <c r="ALH20" s="20" t="n">
        <v>0</v>
      </c>
      <c r="ALI20" s="20" t="n">
        <v>0</v>
      </c>
      <c r="ALJ20" s="20" t="n">
        <v>0</v>
      </c>
      <c r="ALK20" s="20" t="n">
        <v>0</v>
      </c>
      <c r="ALL20" s="20" t="n">
        <v>0</v>
      </c>
      <c r="ALM20" s="20" t="n">
        <v>0</v>
      </c>
      <c r="ALN20" s="20" t="n">
        <v>0</v>
      </c>
      <c r="ALO20" s="20" t="n">
        <v>0</v>
      </c>
      <c r="ALP20" s="20" t="n">
        <v>0</v>
      </c>
      <c r="ALQ20" s="20" t="n">
        <v>0</v>
      </c>
      <c r="ALR20" s="20" t="n">
        <v>0</v>
      </c>
      <c r="ALS20" s="20" t="n">
        <v>0</v>
      </c>
      <c r="ALT20" s="20" t="n">
        <v>0</v>
      </c>
      <c r="ALU20" s="20" t="n">
        <v>0</v>
      </c>
      <c r="ALV20" s="20" t="n">
        <v>0</v>
      </c>
      <c r="ALW20" s="20" t="n">
        <v>0</v>
      </c>
      <c r="ALX20" s="20" t="n">
        <v>0</v>
      </c>
      <c r="ALY20" s="20" t="n">
        <v>0</v>
      </c>
      <c r="ALZ20" s="20" t="n">
        <v>0</v>
      </c>
      <c r="AMA20" s="20" t="n">
        <v>0</v>
      </c>
      <c r="AMB20" s="20" t="n">
        <v>0</v>
      </c>
      <c r="AMC20" s="20" t="n">
        <v>0</v>
      </c>
      <c r="AMD20" s="20" t="n">
        <v>0</v>
      </c>
      <c r="AME20" s="20" t="n">
        <v>0</v>
      </c>
      <c r="AMF20" s="20" t="n">
        <v>0</v>
      </c>
      <c r="AMG20" s="20" t="n">
        <v>0</v>
      </c>
      <c r="AMH20" s="20" t="n">
        <v>0</v>
      </c>
      <c r="AMI20" s="20" t="n">
        <v>0</v>
      </c>
      <c r="AMJ20" s="20" t="n">
        <v>0</v>
      </c>
      <c r="AMK20" s="20" t="n">
        <v>0</v>
      </c>
      <c r="AML20" s="20" t="n">
        <v>0</v>
      </c>
      <c r="AMM20" s="20" t="n">
        <v>0</v>
      </c>
      <c r="AMN20" s="20" t="n">
        <v>0</v>
      </c>
      <c r="AMO20" s="20" t="n">
        <v>0</v>
      </c>
      <c r="AMP20" s="20" t="n">
        <v>0</v>
      </c>
      <c r="AMQ20" s="20" t="n">
        <v>0</v>
      </c>
      <c r="AMR20" s="20" t="n">
        <v>0</v>
      </c>
      <c r="AMS20" s="20" t="n">
        <v>0</v>
      </c>
      <c r="AMT20" s="20" t="n">
        <v>0</v>
      </c>
      <c r="AMU20" s="20" t="n">
        <v>0</v>
      </c>
      <c r="AMV20" s="20" t="n">
        <v>0</v>
      </c>
      <c r="AMW20" s="20" t="n">
        <v>0</v>
      </c>
      <c r="AMX20" s="20" t="n">
        <v>0</v>
      </c>
      <c r="AMY20" s="20" t="n">
        <v>0</v>
      </c>
      <c r="AMZ20" s="20" t="n">
        <v>0</v>
      </c>
      <c r="ANA20" s="20" t="n">
        <v>0</v>
      </c>
      <c r="ANB20" s="20" t="n">
        <v>0</v>
      </c>
      <c r="ANC20" s="20" t="n">
        <v>0</v>
      </c>
      <c r="AND20" s="20" t="n">
        <v>0</v>
      </c>
      <c r="ANE20" s="20" t="n">
        <v>0</v>
      </c>
      <c r="ANF20" s="20" t="n">
        <v>0</v>
      </c>
      <c r="ANG20" s="20" t="n">
        <v>0</v>
      </c>
      <c r="ANH20" s="20" t="n">
        <v>0</v>
      </c>
      <c r="ANI20" s="20" t="n">
        <v>0</v>
      </c>
      <c r="ANJ20" s="20" t="n">
        <v>0</v>
      </c>
      <c r="ANK20" s="20" t="n">
        <v>0</v>
      </c>
      <c r="ANL20" s="20" t="n">
        <v>0</v>
      </c>
      <c r="ANM20" s="20" t="n">
        <v>0</v>
      </c>
      <c r="ANN20" s="20" t="n">
        <v>0</v>
      </c>
      <c r="ANO20" s="20" t="n">
        <v>0</v>
      </c>
      <c r="ANP20" s="20" t="n">
        <v>0</v>
      </c>
      <c r="ANQ20" s="20" t="n">
        <v>0</v>
      </c>
      <c r="ANR20" s="20" t="n">
        <v>0</v>
      </c>
      <c r="ANS20" s="20" t="n">
        <v>0</v>
      </c>
      <c r="ANT20" s="20" t="n">
        <v>0</v>
      </c>
      <c r="ANU20" s="20" t="n">
        <v>0</v>
      </c>
      <c r="ANV20" s="20" t="n">
        <v>0</v>
      </c>
      <c r="ANW20" s="20" t="n">
        <v>0</v>
      </c>
      <c r="ANX20" s="20" t="n">
        <v>0</v>
      </c>
      <c r="ANY20" s="20" t="n">
        <v>0</v>
      </c>
      <c r="ANZ20" s="20" t="n">
        <v>0</v>
      </c>
      <c r="AOA20" s="20" t="n">
        <v>0</v>
      </c>
      <c r="AOB20" s="20" t="n">
        <v>0</v>
      </c>
      <c r="AOC20" s="20" t="n">
        <v>0</v>
      </c>
      <c r="AOD20" s="20" t="n">
        <v>0</v>
      </c>
      <c r="AOE20" s="20" t="n">
        <f aca="false">IF(AND(H_Direct=0,H_TaxEvt=1,ARR19+1&gt;=H_Deemed),AKR20,AHE20)</f>
        <v>0</v>
      </c>
      <c r="AOF20" s="20" t="n">
        <f aca="false">IF(AND(H_Direct=0,H_TaxEvt=1,ARS19+1&gt;=H_Deemed),AKS20,AHF20)</f>
        <v>0</v>
      </c>
      <c r="AOG20" s="20" t="n">
        <f aca="false">IF(AND(H_Direct=0,H_TaxEvt=1,ART19+1&gt;=H_Deemed),AKT20,AHG20)</f>
        <v>0</v>
      </c>
      <c r="AOH20" s="20" t="n">
        <f aca="false">IF(AND(H_Direct=0,H_TaxEvt=1,ARU19+1&gt;=H_Deemed),AKU20,AHH20)</f>
        <v>0</v>
      </c>
      <c r="AOI20" s="20" t="n">
        <f aca="false">IF(AND(H_Direct=0,H_TaxEvt=1,ARV19+1&gt;=H_Deemed),AKV20,AHI20)</f>
        <v>0</v>
      </c>
      <c r="AOJ20" s="20" t="n">
        <f aca="false">IF(AND(H_Direct=0,H_TaxEvt=1,ARW19+1&gt;=H_Deemed),AKW20,AHJ20)</f>
        <v>0</v>
      </c>
      <c r="AOK20" s="20" t="n">
        <f aca="false">IF(AND(H_Direct=0,H_TaxEvt=1,ARX19+1&gt;=H_Deemed),AKX20,AHK20)</f>
        <v>0</v>
      </c>
      <c r="AOL20" s="20" t="n">
        <f aca="false">IF(AND(H_Direct=0,H_TaxEvt=1,ARY19+1&gt;=H_Deemed),AKY20,AHL20)</f>
        <v>0</v>
      </c>
      <c r="AOM20" s="20" t="n">
        <f aca="false">IF(AND(H_Direct=0,H_TaxEvt=1,ARZ19+1&gt;=H_Deemed),AKZ20,AHM20)</f>
        <v>0</v>
      </c>
      <c r="AON20" s="20" t="n">
        <f aca="false">IF(AND(H_Direct=0,H_TaxEvt=1,ASA19+1&gt;=H_Deemed),ALA20,AHN20)</f>
        <v>0</v>
      </c>
      <c r="AOO20" s="20" t="n">
        <f aca="false">IF(AND(H_Direct=0,H_TaxEvt=1,ASB19+1&gt;=H_Deemed),ALB20,AHO20)</f>
        <v>0</v>
      </c>
      <c r="AOP20" s="20" t="n">
        <f aca="false">IF(AND(H_Direct=0,H_TaxEvt=1,ASC19+1&gt;=H_Deemed),ALC20,AHP20)</f>
        <v>546.676920289684</v>
      </c>
      <c r="AOQ20" s="20" t="n">
        <f aca="false">IF(AND(H_Direct=0,H_TaxEvt=1,ASD19+1&gt;=H_Deemed),ALD20,AHQ20)</f>
        <v>715.210256730627</v>
      </c>
      <c r="AOR20" s="20" t="n">
        <f aca="false">IF(AND(H_Direct=0,H_TaxEvt=1,0+1&gt;=H_Deemed),ALE20,AHR20)</f>
        <v>890.143053841438</v>
      </c>
      <c r="AOS20" s="20" t="n">
        <v>0</v>
      </c>
      <c r="AOT20" s="20" t="n">
        <v>0</v>
      </c>
      <c r="AOU20" s="20" t="n">
        <v>0</v>
      </c>
      <c r="AOV20" s="20" t="n">
        <v>0</v>
      </c>
      <c r="AOW20" s="20" t="n">
        <v>0</v>
      </c>
      <c r="AOX20" s="20" t="n">
        <v>0</v>
      </c>
      <c r="AOY20" s="20" t="n">
        <v>0</v>
      </c>
      <c r="AOZ20" s="20" t="n">
        <v>0</v>
      </c>
      <c r="APA20" s="20" t="n">
        <v>0</v>
      </c>
      <c r="APB20" s="20" t="n">
        <v>0</v>
      </c>
      <c r="APC20" s="20" t="n">
        <v>0</v>
      </c>
      <c r="APD20" s="20" t="n">
        <v>0</v>
      </c>
      <c r="APE20" s="20" t="n">
        <v>0</v>
      </c>
      <c r="APF20" s="20" t="n">
        <v>0</v>
      </c>
      <c r="APG20" s="20" t="n">
        <v>0</v>
      </c>
      <c r="APH20" s="20" t="n">
        <v>0</v>
      </c>
      <c r="API20" s="20" t="n">
        <v>0</v>
      </c>
      <c r="APJ20" s="20" t="n">
        <v>0</v>
      </c>
      <c r="APK20" s="20" t="n">
        <v>0</v>
      </c>
      <c r="APL20" s="20" t="n">
        <v>0</v>
      </c>
      <c r="APM20" s="20" t="n">
        <v>0</v>
      </c>
      <c r="APN20" s="20" t="n">
        <v>0</v>
      </c>
      <c r="APO20" s="20" t="n">
        <v>0</v>
      </c>
      <c r="APP20" s="20" t="n">
        <v>0</v>
      </c>
      <c r="APQ20" s="20" t="n">
        <v>0</v>
      </c>
      <c r="APR20" s="20" t="n">
        <v>0</v>
      </c>
      <c r="APS20" s="20" t="n">
        <v>0</v>
      </c>
      <c r="APT20" s="20" t="n">
        <v>0</v>
      </c>
      <c r="APU20" s="20" t="n">
        <v>0</v>
      </c>
      <c r="APV20" s="20" t="n">
        <v>0</v>
      </c>
      <c r="APW20" s="20" t="n">
        <v>0</v>
      </c>
      <c r="APX20" s="20" t="n">
        <v>0</v>
      </c>
      <c r="APY20" s="20" t="n">
        <v>0</v>
      </c>
      <c r="APZ20" s="20" t="n">
        <v>0</v>
      </c>
      <c r="AQA20" s="20" t="n">
        <v>0</v>
      </c>
      <c r="AQB20" s="20" t="n">
        <v>0</v>
      </c>
      <c r="AQC20" s="20" t="n">
        <v>0</v>
      </c>
      <c r="AQD20" s="20" t="n">
        <v>0</v>
      </c>
      <c r="AQE20" s="20" t="n">
        <v>0</v>
      </c>
      <c r="AQF20" s="20" t="n">
        <v>0</v>
      </c>
      <c r="AQG20" s="20" t="n">
        <v>0</v>
      </c>
      <c r="AQH20" s="20" t="n">
        <v>0</v>
      </c>
      <c r="AQI20" s="20" t="n">
        <v>0</v>
      </c>
      <c r="AQJ20" s="20" t="n">
        <v>0</v>
      </c>
      <c r="AQK20" s="20" t="n">
        <v>0</v>
      </c>
      <c r="AQL20" s="20" t="n">
        <v>0</v>
      </c>
      <c r="AQM20" s="20" t="n">
        <v>0</v>
      </c>
      <c r="AQN20" s="20" t="n">
        <v>0</v>
      </c>
      <c r="AQO20" s="20" t="n">
        <v>0</v>
      </c>
      <c r="AQP20" s="20" t="n">
        <v>0</v>
      </c>
      <c r="AQQ20" s="20" t="n">
        <v>0</v>
      </c>
      <c r="AQR20" s="20" t="n">
        <v>0</v>
      </c>
      <c r="AQS20" s="20" t="n">
        <v>0</v>
      </c>
      <c r="AQT20" s="20" t="n">
        <v>0</v>
      </c>
      <c r="AQU20" s="20" t="n">
        <v>0</v>
      </c>
      <c r="AQV20" s="20" t="n">
        <v>0</v>
      </c>
      <c r="AQW20" s="20" t="n">
        <v>0</v>
      </c>
      <c r="AQX20" s="20" t="n">
        <v>0</v>
      </c>
      <c r="AQY20" s="20" t="n">
        <v>0</v>
      </c>
      <c r="AQZ20" s="20" t="n">
        <v>0</v>
      </c>
      <c r="ARA20" s="20" t="n">
        <v>0</v>
      </c>
      <c r="ARB20" s="20" t="n">
        <v>0</v>
      </c>
      <c r="ARC20" s="20" t="n">
        <v>0</v>
      </c>
      <c r="ARD20" s="20" t="n">
        <v>0</v>
      </c>
      <c r="ARE20" s="20" t="n">
        <v>0</v>
      </c>
      <c r="ARF20" s="20" t="n">
        <v>0</v>
      </c>
      <c r="ARG20" s="20" t="n">
        <v>0</v>
      </c>
      <c r="ARH20" s="20" t="n">
        <v>0</v>
      </c>
      <c r="ARI20" s="20" t="n">
        <v>0</v>
      </c>
      <c r="ARJ20" s="20" t="n">
        <v>0</v>
      </c>
      <c r="ARK20" s="20" t="n">
        <v>0</v>
      </c>
      <c r="ARL20" s="20" t="n">
        <v>0</v>
      </c>
      <c r="ARM20" s="20" t="n">
        <v>0</v>
      </c>
      <c r="ARN20" s="20" t="n">
        <v>0</v>
      </c>
      <c r="ARO20" s="20" t="n">
        <v>0</v>
      </c>
      <c r="ARP20" s="20" t="n">
        <v>0</v>
      </c>
      <c r="ARQ20" s="20" t="n">
        <v>0</v>
      </c>
      <c r="ARR20" s="20" t="n">
        <f aca="false">IF(AND(H_Direct=0,H_TaxEvt=1),IF(ARR19+1&gt;=H_Deemed,0,ARR19+1),ARR19)</f>
        <v>5</v>
      </c>
      <c r="ARS20" s="20" t="n">
        <f aca="false">IF(AND(H_Direct=0,H_TaxEvt=1),IF(ARS19+1&gt;=H_Deemed,0,ARS19+1),ARS19)</f>
        <v>5</v>
      </c>
      <c r="ART20" s="20" t="n">
        <f aca="false">IF(AND(H_Direct=0,H_TaxEvt=1),IF(ART19+1&gt;=H_Deemed,0,ART19+1),ART19)</f>
        <v>4</v>
      </c>
      <c r="ARU20" s="20" t="n">
        <f aca="false">IF(AND(H_Direct=0,H_TaxEvt=1),IF(ARU19+1&gt;=H_Deemed,0,ARU19+1),ARU19)</f>
        <v>3</v>
      </c>
      <c r="ARV20" s="20" t="n">
        <f aca="false">IF(AND(H_Direct=0,H_TaxEvt=1),IF(ARV19+1&gt;=H_Deemed,0,ARV19+1),ARV19)</f>
        <v>2</v>
      </c>
      <c r="ARW20" s="20" t="n">
        <f aca="false">IF(AND(H_Direct=0,H_TaxEvt=1),IF(ARW19+1&gt;=H_Deemed,0,ARW19+1),ARW19)</f>
        <v>1</v>
      </c>
      <c r="ARX20" s="20" t="n">
        <f aca="false">IF(AND(H_Direct=0,H_TaxEvt=1),IF(ARX19+1&gt;=H_Deemed,0,ARX19+1),ARX19)</f>
        <v>0</v>
      </c>
      <c r="ARY20" s="20" t="n">
        <f aca="false">IF(AND(H_Direct=0,H_TaxEvt=1),IF(ARY19+1&gt;=H_Deemed,0,ARY19+1),ARY19)</f>
        <v>7</v>
      </c>
      <c r="ARZ20" s="20" t="n">
        <f aca="false">IF(AND(H_Direct=0,H_TaxEvt=1),IF(ARZ19+1&gt;=H_Deemed,0,ARZ19+1),ARZ19)</f>
        <v>6</v>
      </c>
      <c r="ASA20" s="20" t="n">
        <f aca="false">IF(AND(H_Direct=0,H_TaxEvt=1),IF(ASA19+1&gt;=H_Deemed,0,ASA19+1),ASA19)</f>
        <v>5</v>
      </c>
      <c r="ASB20" s="20" t="n">
        <f aca="false">IF(AND(H_Direct=0,H_TaxEvt=1),IF(ASB19+1&gt;=H_Deemed,0,ASB19+1),ASB19)</f>
        <v>4</v>
      </c>
      <c r="ASC20" s="20" t="n">
        <f aca="false">IF(AND(H_Direct=0,H_TaxEvt=1),IF(ASC19+1&gt;=H_Deemed,0,ASC19+1),ASC19)</f>
        <v>3</v>
      </c>
      <c r="ASD20" s="20" t="n">
        <f aca="false">IF(AND(H_Direct=0,H_TaxEvt=1),IF(ASD19+1&gt;=H_Deemed,0,ASD19+1),ASD19)</f>
        <v>2</v>
      </c>
      <c r="ASE20" s="20" t="n">
        <f aca="false">IF(AND(H_Direct=0,H_TaxEvt=1),IF(0+1&gt;=H_Deemed,0,0+1),0)</f>
        <v>1</v>
      </c>
      <c r="ASF20" s="20" t="n">
        <v>0</v>
      </c>
      <c r="ASG20" s="20" t="n">
        <v>0</v>
      </c>
      <c r="ASH20" s="20" t="n">
        <v>0</v>
      </c>
      <c r="ASI20" s="20" t="n">
        <v>0</v>
      </c>
      <c r="ASJ20" s="20" t="n">
        <v>0</v>
      </c>
      <c r="ASK20" s="20" t="n">
        <v>0</v>
      </c>
      <c r="ASL20" s="20" t="n">
        <v>0</v>
      </c>
      <c r="ASM20" s="20" t="n">
        <v>0</v>
      </c>
      <c r="ASN20" s="20" t="n">
        <v>0</v>
      </c>
      <c r="ASO20" s="20" t="n">
        <v>0</v>
      </c>
      <c r="ASP20" s="20" t="n">
        <v>0</v>
      </c>
      <c r="ASQ20" s="20" t="n">
        <v>0</v>
      </c>
      <c r="ASR20" s="20" t="n">
        <v>0</v>
      </c>
      <c r="ASS20" s="20" t="n">
        <v>0</v>
      </c>
      <c r="AST20" s="20" t="n">
        <v>0</v>
      </c>
      <c r="ASU20" s="20" t="n">
        <v>0</v>
      </c>
      <c r="ASV20" s="20" t="n">
        <v>0</v>
      </c>
      <c r="ASW20" s="20" t="n">
        <v>0</v>
      </c>
      <c r="ASX20" s="20" t="n">
        <v>0</v>
      </c>
      <c r="ASY20" s="20" t="n">
        <v>0</v>
      </c>
      <c r="ASZ20" s="20" t="n">
        <v>0</v>
      </c>
      <c r="ATA20" s="20" t="n">
        <v>0</v>
      </c>
      <c r="ATB20" s="20" t="n">
        <v>0</v>
      </c>
      <c r="ATC20" s="20" t="n">
        <v>0</v>
      </c>
      <c r="ATD20" s="20" t="n">
        <v>0</v>
      </c>
      <c r="ATE20" s="20" t="n">
        <v>0</v>
      </c>
      <c r="ATF20" s="20" t="n">
        <v>0</v>
      </c>
      <c r="ATG20" s="20" t="n">
        <v>0</v>
      </c>
      <c r="ATH20" s="20" t="n">
        <v>0</v>
      </c>
      <c r="ATI20" s="20" t="n">
        <v>0</v>
      </c>
      <c r="ATJ20" s="20" t="n">
        <v>0</v>
      </c>
      <c r="ATK20" s="20" t="n">
        <v>0</v>
      </c>
      <c r="ATL20" s="20" t="n">
        <v>0</v>
      </c>
      <c r="ATM20" s="20" t="n">
        <v>0</v>
      </c>
      <c r="ATN20" s="20" t="n">
        <v>0</v>
      </c>
      <c r="ATO20" s="20" t="n">
        <v>0</v>
      </c>
      <c r="ATP20" s="20" t="n">
        <v>0</v>
      </c>
      <c r="ATQ20" s="20" t="n">
        <v>0</v>
      </c>
      <c r="ATR20" s="20" t="n">
        <v>0</v>
      </c>
      <c r="ATS20" s="20" t="n">
        <v>0</v>
      </c>
      <c r="ATT20" s="20" t="n">
        <v>0</v>
      </c>
      <c r="ATU20" s="20" t="n">
        <v>0</v>
      </c>
      <c r="ATV20" s="20" t="n">
        <v>0</v>
      </c>
      <c r="ATW20" s="20" t="n">
        <v>0</v>
      </c>
      <c r="ATX20" s="20" t="n">
        <v>0</v>
      </c>
      <c r="ATY20" s="20" t="n">
        <v>0</v>
      </c>
      <c r="ATZ20" s="20" t="n">
        <v>0</v>
      </c>
      <c r="AUA20" s="20" t="n">
        <v>0</v>
      </c>
      <c r="AUB20" s="20" t="n">
        <v>0</v>
      </c>
      <c r="AUC20" s="20" t="n">
        <v>0</v>
      </c>
      <c r="AUD20" s="20" t="n">
        <v>0</v>
      </c>
      <c r="AUE20" s="20" t="n">
        <v>0</v>
      </c>
      <c r="AUF20" s="20" t="n">
        <v>0</v>
      </c>
      <c r="AUG20" s="20" t="n">
        <v>0</v>
      </c>
      <c r="AUH20" s="20" t="n">
        <v>0</v>
      </c>
      <c r="AUI20" s="20" t="n">
        <v>0</v>
      </c>
      <c r="AUJ20" s="20" t="n">
        <v>0</v>
      </c>
      <c r="AUK20" s="20" t="n">
        <v>0</v>
      </c>
      <c r="AUL20" s="20" t="n">
        <v>0</v>
      </c>
      <c r="AUM20" s="20" t="n">
        <v>0</v>
      </c>
      <c r="AUN20" s="20" t="n">
        <v>0</v>
      </c>
      <c r="AUO20" s="20" t="n">
        <v>0</v>
      </c>
      <c r="AUP20" s="20" t="n">
        <v>0</v>
      </c>
      <c r="AUQ20" s="20" t="n">
        <v>0</v>
      </c>
      <c r="AUR20" s="20" t="n">
        <v>0</v>
      </c>
      <c r="AUS20" s="20" t="n">
        <v>0</v>
      </c>
      <c r="AUT20" s="20" t="n">
        <v>0</v>
      </c>
      <c r="AUU20" s="20" t="n">
        <v>0</v>
      </c>
      <c r="AUV20" s="20" t="n">
        <v>0</v>
      </c>
      <c r="AUW20" s="20" t="n">
        <v>0</v>
      </c>
      <c r="AUX20" s="20" t="n">
        <v>0</v>
      </c>
      <c r="AUY20" s="20" t="n">
        <v>0</v>
      </c>
      <c r="AUZ20" s="20" t="n">
        <v>0</v>
      </c>
      <c r="AVA20" s="20" t="n">
        <v>0</v>
      </c>
      <c r="AVB20" s="20" t="n">
        <v>0</v>
      </c>
      <c r="AVC20" s="20" t="n">
        <v>0</v>
      </c>
      <c r="AVD20" s="20" t="n">
        <v>0</v>
      </c>
      <c r="AVE20" s="20" t="n">
        <f aca="false">IF(AND(H_Direct=0,H_TaxEvt=1,ARR19+1&gt;=H_Deemed),MAX(0,ADR20-AHE20)*H_Exit,0)</f>
        <v>0</v>
      </c>
      <c r="AVF20" s="20" t="n">
        <f aca="false">IF(AND(H_Direct=0,H_TaxEvt=1,ARS19+1&gt;=H_Deemed),MAX(0,ADS20-AHF20)*H_Exit,0)</f>
        <v>0</v>
      </c>
      <c r="AVG20" s="20" t="n">
        <f aca="false">IF(AND(H_Direct=0,H_TaxEvt=1,ART19+1&gt;=H_Deemed),MAX(0,ADT20-AHG20)*H_Exit,0)</f>
        <v>0</v>
      </c>
      <c r="AVH20" s="20" t="n">
        <f aca="false">IF(AND(H_Direct=0,H_TaxEvt=1,ARU19+1&gt;=H_Deemed),MAX(0,ADU20-AHH20)*H_Exit,0)</f>
        <v>0</v>
      </c>
      <c r="AVI20" s="20" t="n">
        <f aca="false">IF(AND(H_Direct=0,H_TaxEvt=1,ARV19+1&gt;=H_Deemed),MAX(0,ADV20-AHI20)*H_Exit,0)</f>
        <v>0</v>
      </c>
      <c r="AVJ20" s="20" t="n">
        <f aca="false">IF(AND(H_Direct=0,H_TaxEvt=1,ARW19+1&gt;=H_Deemed),MAX(0,ADW20-AHJ20)*H_Exit,0)</f>
        <v>0</v>
      </c>
      <c r="AVK20" s="20" t="n">
        <f aca="false">IF(AND(H_Direct=0,H_TaxEvt=1,ARX19+1&gt;=H_Deemed),MAX(0,ADX20-AHK20)*H_Exit,0)</f>
        <v>0</v>
      </c>
      <c r="AVL20" s="20" t="n">
        <f aca="false">IF(AND(H_Direct=0,H_TaxEvt=1,ARY19+1&gt;=H_Deemed),MAX(0,ADY20-AHL20)*H_Exit,0)</f>
        <v>0</v>
      </c>
      <c r="AVM20" s="20" t="n">
        <f aca="false">IF(AND(H_Direct=0,H_TaxEvt=1,ARZ19+1&gt;=H_Deemed),MAX(0,ADZ20-AHM20)*H_Exit,0)</f>
        <v>0</v>
      </c>
      <c r="AVN20" s="20" t="n">
        <f aca="false">IF(AND(H_Direct=0,H_TaxEvt=1,ASA19+1&gt;=H_Deemed),MAX(0,AEA20-AHN20)*H_Exit,0)</f>
        <v>0</v>
      </c>
      <c r="AVO20" s="20" t="n">
        <f aca="false">IF(AND(H_Direct=0,H_TaxEvt=1,ASB19+1&gt;=H_Deemed),MAX(0,AEB20-AHO20)*H_Exit,0)</f>
        <v>0</v>
      </c>
      <c r="AVP20" s="20" t="n">
        <f aca="false">IF(AND(H_Direct=0,H_TaxEvt=1,ASC19+1&gt;=H_Deemed),MAX(0,AEC20-AHP20)*H_Exit,0)</f>
        <v>0</v>
      </c>
      <c r="AVQ20" s="20" t="n">
        <f aca="false">IF(AND(H_Direct=0,H_TaxEvt=1,ASD19+1&gt;=H_Deemed),MAX(0,AED20-AHQ20)*H_Exit,0)</f>
        <v>0</v>
      </c>
      <c r="AVR20" s="20" t="n">
        <f aca="false">IF(AND(H_Direct=0,H_TaxEvt=1,0+1&gt;=H_Deemed),MAX(0,AEE20-AHR20)*H_Exit,0)</f>
        <v>0</v>
      </c>
      <c r="AVS20" s="20" t="n">
        <v>0</v>
      </c>
      <c r="AVT20" s="20" t="n">
        <v>0</v>
      </c>
      <c r="AVU20" s="20" t="n">
        <v>0</v>
      </c>
      <c r="AVV20" s="20" t="n">
        <v>0</v>
      </c>
      <c r="AVW20" s="20" t="n">
        <v>0</v>
      </c>
      <c r="AVX20" s="20" t="n">
        <v>0</v>
      </c>
      <c r="AVY20" s="20" t="n">
        <v>0</v>
      </c>
      <c r="AVZ20" s="20" t="n">
        <v>0</v>
      </c>
      <c r="AWA20" s="20" t="n">
        <v>0</v>
      </c>
      <c r="AWB20" s="20" t="n">
        <v>0</v>
      </c>
      <c r="AWC20" s="20" t="n">
        <v>0</v>
      </c>
      <c r="AWD20" s="20" t="n">
        <v>0</v>
      </c>
      <c r="AWE20" s="20" t="n">
        <v>0</v>
      </c>
      <c r="AWF20" s="20" t="n">
        <v>0</v>
      </c>
      <c r="AWG20" s="20" t="n">
        <v>0</v>
      </c>
      <c r="AWH20" s="20" t="n">
        <v>0</v>
      </c>
      <c r="AWI20" s="20" t="n">
        <v>0</v>
      </c>
      <c r="AWJ20" s="20" t="n">
        <v>0</v>
      </c>
      <c r="AWK20" s="20" t="n">
        <v>0</v>
      </c>
      <c r="AWL20" s="20" t="n">
        <v>0</v>
      </c>
      <c r="AWM20" s="20" t="n">
        <v>0</v>
      </c>
      <c r="AWN20" s="20" t="n">
        <v>0</v>
      </c>
      <c r="AWO20" s="20" t="n">
        <v>0</v>
      </c>
      <c r="AWP20" s="20" t="n">
        <v>0</v>
      </c>
      <c r="AWQ20" s="20" t="n">
        <v>0</v>
      </c>
      <c r="AWR20" s="20" t="n">
        <v>0</v>
      </c>
      <c r="AWS20" s="20" t="n">
        <v>0</v>
      </c>
      <c r="AWT20" s="20" t="n">
        <v>0</v>
      </c>
      <c r="AWU20" s="20" t="n">
        <v>0</v>
      </c>
      <c r="AWV20" s="20" t="n">
        <v>0</v>
      </c>
      <c r="AWW20" s="20" t="n">
        <v>0</v>
      </c>
      <c r="AWX20" s="20" t="n">
        <v>0</v>
      </c>
      <c r="AWY20" s="20" t="n">
        <v>0</v>
      </c>
      <c r="AWZ20" s="20" t="n">
        <v>0</v>
      </c>
      <c r="AXA20" s="20" t="n">
        <v>0</v>
      </c>
      <c r="AXB20" s="20" t="n">
        <v>0</v>
      </c>
      <c r="AXC20" s="20" t="n">
        <v>0</v>
      </c>
      <c r="AXD20" s="20" t="n">
        <v>0</v>
      </c>
      <c r="AXE20" s="20" t="n">
        <v>0</v>
      </c>
      <c r="AXF20" s="20" t="n">
        <v>0</v>
      </c>
      <c r="AXG20" s="20" t="n">
        <v>0</v>
      </c>
      <c r="AXH20" s="20" t="n">
        <v>0</v>
      </c>
      <c r="AXI20" s="20" t="n">
        <v>0</v>
      </c>
      <c r="AXJ20" s="20" t="n">
        <v>0</v>
      </c>
      <c r="AXK20" s="20" t="n">
        <v>0</v>
      </c>
      <c r="AXL20" s="20" t="n">
        <v>0</v>
      </c>
      <c r="AXM20" s="20" t="n">
        <v>0</v>
      </c>
      <c r="AXN20" s="20" t="n">
        <v>0</v>
      </c>
      <c r="AXO20" s="20" t="n">
        <v>0</v>
      </c>
      <c r="AXP20" s="20" t="n">
        <v>0</v>
      </c>
      <c r="AXQ20" s="20" t="n">
        <v>0</v>
      </c>
      <c r="AXR20" s="20" t="n">
        <v>0</v>
      </c>
      <c r="AXS20" s="20" t="n">
        <v>0</v>
      </c>
      <c r="AXT20" s="20" t="n">
        <v>0</v>
      </c>
      <c r="AXU20" s="20" t="n">
        <v>0</v>
      </c>
      <c r="AXV20" s="20" t="n">
        <v>0</v>
      </c>
      <c r="AXW20" s="20" t="n">
        <v>0</v>
      </c>
      <c r="AXX20" s="20" t="n">
        <v>0</v>
      </c>
      <c r="AXY20" s="20" t="n">
        <v>0</v>
      </c>
      <c r="AXZ20" s="20" t="n">
        <v>0</v>
      </c>
      <c r="AYA20" s="20" t="n">
        <v>0</v>
      </c>
      <c r="AYB20" s="20" t="n">
        <v>0</v>
      </c>
      <c r="AYC20" s="20" t="n">
        <v>0</v>
      </c>
      <c r="AYD20" s="20" t="n">
        <v>0</v>
      </c>
      <c r="AYE20" s="20" t="n">
        <v>0</v>
      </c>
      <c r="AYF20" s="20" t="n">
        <v>0</v>
      </c>
      <c r="AYG20" s="20" t="n">
        <v>0</v>
      </c>
      <c r="AYH20" s="20" t="n">
        <v>0</v>
      </c>
      <c r="AYI20" s="20" t="n">
        <v>0</v>
      </c>
      <c r="AYJ20" s="20" t="n">
        <v>0</v>
      </c>
      <c r="AYK20" s="20" t="n">
        <v>0</v>
      </c>
      <c r="AYL20" s="20" t="n">
        <v>0</v>
      </c>
      <c r="AYM20" s="20" t="n">
        <v>0</v>
      </c>
      <c r="AYN20" s="20" t="n">
        <v>0</v>
      </c>
      <c r="AYO20" s="20" t="n">
        <v>0</v>
      </c>
      <c r="AYP20" s="20" t="n">
        <v>0</v>
      </c>
      <c r="AYQ20" s="20" t="n">
        <v>0</v>
      </c>
    </row>
    <row r="21" customFormat="false" ht="15" hidden="false" customHeight="false" outlineLevel="0" collapsed="false">
      <c r="B21" s="20" t="n">
        <v>13</v>
      </c>
      <c r="C21" s="20" t="n">
        <f aca="false">'Plan cashflow'!C21</f>
        <v>1</v>
      </c>
      <c r="D21" s="20" t="n">
        <f aca="false">'Plan cashflow'!D21</f>
        <v>51</v>
      </c>
      <c r="E21" s="20" t="n">
        <f aca="false">AS_Year0+13</f>
        <v>2039</v>
      </c>
      <c r="F21" s="50" t="n">
        <f aca="false">'Plan cashflow'!F21</f>
        <v>1.2936066304538</v>
      </c>
      <c r="G21" s="59" t="n">
        <f aca="true">IF(MAX(TODAY(),DATE(E21,1,1))&gt;=H_CGTfrom,H_CGT1,H_CGT0)</f>
        <v>0.31</v>
      </c>
      <c r="H21" s="20" t="n">
        <f aca="false">H_Exempt*H_Persons</f>
        <v>1270</v>
      </c>
      <c r="I21" s="20" t="n">
        <f aca="false">AX20</f>
        <v>0</v>
      </c>
      <c r="J21" s="60" t="n">
        <f aca="false">BF20</f>
        <v>3287.80836738322</v>
      </c>
      <c r="K21" s="60" t="n">
        <f aca="false">BG20</f>
        <v>0</v>
      </c>
      <c r="L21" s="20" t="n">
        <f aca="false">IF(AND(In_polLump&gt;0,In_polLumpAge&gt;0,D21=In_polLumpAge),In_polLump,0)</f>
        <v>0</v>
      </c>
      <c r="M21" s="20" t="n">
        <f aca="false">IF(AND(In_homeUse="Yes, I'd downsize",In_downAge&gt;0,D21=In_downAge,OR(In_home="Own outright",In_home="Own with mortgage"),In_homeValue&gt;0),MAX(0,MAX(0,In_homeValue-In_downValue)*F21*0.9-'Plan cashflow'!HR20),0)</f>
        <v>0</v>
      </c>
      <c r="N21" s="20" t="n">
        <f aca="false">'Plan pay &amp; tax'!Y247</f>
        <v>0</v>
      </c>
      <c r="O21" s="20" t="n">
        <f aca="false">L21+M21+(1-H_Sh)*N21</f>
        <v>0</v>
      </c>
      <c r="P21" s="20" t="n">
        <f aca="false">H_Sh*N21</f>
        <v>0</v>
      </c>
      <c r="Q21" s="20" t="n">
        <f aca="false">'Plan cashflow'!UL21</f>
        <v>0</v>
      </c>
      <c r="R21" s="20" t="n">
        <f aca="false">(1-H_Sh)*Q21</f>
        <v>0</v>
      </c>
      <c r="S21" s="20" t="n">
        <f aca="false">H_Sh*Q21</f>
        <v>0</v>
      </c>
      <c r="T21" s="20" t="n">
        <f aca="false">J21+K21+O21</f>
        <v>3287.80836738322</v>
      </c>
      <c r="U21" s="20" t="n">
        <f aca="false">T21+R21</f>
        <v>3287.80836738322</v>
      </c>
      <c r="V21" s="60" t="n">
        <f aca="false">SUM(FE21:IQ21)</f>
        <v>2252.61106143006</v>
      </c>
      <c r="W21" s="60" t="n">
        <f aca="false">IF(AJ21&lt;=0,0,IF(AL21&lt;=0,AJ21,AJ21-G21*MAX(0,AL21*AJ21-(AY21+AZ21))))</f>
        <v>0</v>
      </c>
      <c r="X21" s="60" t="n">
        <f aca="false">IF(AR21&lt;=0,0,IF(AT21&lt;=0,AR21,AR21-G21*MAX(0,AT21*AR21-(BA21+BB21))))</f>
        <v>0</v>
      </c>
      <c r="Y21" s="60" t="n">
        <f aca="false">T21+V21-S21+W21+X21</f>
        <v>5540.41942881328</v>
      </c>
      <c r="Z21" s="60" t="n">
        <f aca="false">'Plan cashflow'!UK21</f>
        <v>0</v>
      </c>
      <c r="AA21" s="20" t="n">
        <f aca="false">MIN(Z21,U21)</f>
        <v>0</v>
      </c>
      <c r="AB21" s="20" t="n">
        <f aca="false">Z21-AA21</f>
        <v>0</v>
      </c>
      <c r="AC21" s="20" t="n">
        <f aca="false">MIN(AA21,J21+O21+R21)</f>
        <v>0</v>
      </c>
      <c r="AD21" s="20" t="n">
        <f aca="false">AA21-AC21</f>
        <v>0</v>
      </c>
      <c r="AE21" s="20" t="n">
        <f aca="false">J21+O21+R21-AC21</f>
        <v>3287.80836738322</v>
      </c>
      <c r="AF21" s="20" t="n">
        <f aca="false">K21-AD21</f>
        <v>0</v>
      </c>
      <c r="AG21" s="20" t="n">
        <f aca="false">SUM(PR21:TD21)</f>
        <v>0</v>
      </c>
      <c r="AH21" s="20" t="n">
        <f aca="false">SUM(TE21:WQ21)</f>
        <v>0</v>
      </c>
      <c r="AI21" s="20" t="n">
        <f aca="false">MAX(0,AB21-AG21)</f>
        <v>0</v>
      </c>
      <c r="AJ21" s="57" t="n">
        <f aca="false">BI20</f>
        <v>0</v>
      </c>
      <c r="AK21" s="20" t="n">
        <f aca="false">BJ20</f>
        <v>0</v>
      </c>
      <c r="AL21" s="20" t="n">
        <f aca="false">IF(AJ21&gt;0,(AJ21-AK21)/AJ21,0)</f>
        <v>0</v>
      </c>
      <c r="AM21" s="20" t="n">
        <f aca="false">IF(AJ21&lt;=0,0,IF(AL21&lt;=0,MIN(AI21,AJ21),MIN(AI21,AJ21-G21*MAX(0,AL21*AJ21-(AAD21+ADQ21)))))</f>
        <v>0</v>
      </c>
      <c r="AN21" s="20" t="n">
        <f aca="false">IF(AJ21&lt;=0,0,IF(AL21&lt;=0,AM21,IF(AM21&lt;=(AAD21+ADQ21)/AL21,AM21,(AM21-G21*(AAD21+ADQ21))/(1-G21*AL21))))</f>
        <v>0</v>
      </c>
      <c r="AO21" s="20" t="n">
        <f aca="false">IF(AL21&gt;0,MAX(0,AAD21-(MIN(AL21*AN21,(AAD21+ADQ21))-MIN(MIN(AL21*AN21,(AAD21+ADQ21)),ADQ21))),AAD21)</f>
        <v>1270</v>
      </c>
      <c r="AP21" s="20" t="n">
        <f aca="false">IF(AL21&lt;=0,ADQ21-AL21*AN21,ADQ21-MIN(MIN(AL21*AN21,(AAD21+ADQ21)),ADQ21))</f>
        <v>0</v>
      </c>
      <c r="AQ21" s="20" t="n">
        <f aca="false">MAX(0,AI21-AM21)</f>
        <v>0</v>
      </c>
      <c r="AR21" s="57" t="n">
        <f aca="false">BK20</f>
        <v>0</v>
      </c>
      <c r="AS21" s="20" t="n">
        <f aca="false">BL20</f>
        <v>0</v>
      </c>
      <c r="AT21" s="20" t="n">
        <f aca="false">IF(AR21&gt;0,(AR21-AS21)/AR21,0)</f>
        <v>0</v>
      </c>
      <c r="AU21" s="20" t="n">
        <f aca="false">IF(AR21&lt;=0,0,IF(AT21&lt;=0,MIN(AQ21,AR21),MIN(AQ21,AR21-G21*MAX(0,AT21*AR21-(AO21+AP21)))))</f>
        <v>0</v>
      </c>
      <c r="AV21" s="20" t="n">
        <f aca="false">IF(AR21&lt;=0,0,IF(AT21&lt;=0,AU21,IF(AU21&lt;=(AO21+AP21)/AT21,AU21,(AU21-G21*(AO21+AP21))/(1-G21*AT21))))</f>
        <v>0</v>
      </c>
      <c r="AW21" s="20" t="n">
        <f aca="false">IF(AT21&gt;0,MAX(0,AO21-(MIN(AT21*AV21,(AO21+AP21))-MIN(MIN(AT21*AV21,(AO21+AP21)),AP21))),AO21)</f>
        <v>1270</v>
      </c>
      <c r="AX21" s="20" t="n">
        <f aca="false">IF(AT21&lt;=0,AP21-AT21*AV21,AP21-MIN(MIN(AT21*AV21,(AO21+AP21)),AP21))</f>
        <v>0</v>
      </c>
      <c r="AY21" s="20" t="n">
        <f aca="false">MD21</f>
        <v>1270</v>
      </c>
      <c r="AZ21" s="20" t="n">
        <f aca="false">PQ21</f>
        <v>0</v>
      </c>
      <c r="BA21" s="20" t="n">
        <f aca="false">IF(AL21&gt;0,MAX(0,AY21-(MIN(AL21*AJ21,AY21+AZ21)-MIN(MIN(AL21*AJ21,AY21+AZ21),AZ21))),AY21)</f>
        <v>1270</v>
      </c>
      <c r="BB21" s="20" t="n">
        <f aca="false">IF(AL21&lt;=0,AZ21-AL21*AJ21,AZ21-MIN(MIN(AL21*AJ21,AY21+AZ21),AZ21))</f>
        <v>0</v>
      </c>
      <c r="BC21" s="20" t="n">
        <f aca="false">'Plan cashflow'!UM21</f>
        <v>2602.52348192121</v>
      </c>
      <c r="BD21" s="20" t="n">
        <f aca="false">(1-H_Sh)*BC21</f>
        <v>1561.51408915272</v>
      </c>
      <c r="BE21" s="20" t="n">
        <f aca="false">H_Sh*BC21</f>
        <v>1041.00939276848</v>
      </c>
      <c r="BF21" s="60" t="n">
        <f aca="false">(AE21+BD21)*(1+AS_Cash)</f>
        <v>4897.8156811013</v>
      </c>
      <c r="BG21" s="60" t="n">
        <f aca="false">AF21*(1+AS_Cash)</f>
        <v>0</v>
      </c>
      <c r="BH21" s="60" t="n">
        <f aca="false">SUM(AKR21:AOD21)</f>
        <v>3489.47744049649</v>
      </c>
      <c r="BI21" s="60" t="n">
        <f aca="false">(AJ21-AN21)*(1+AS_Infl)</f>
        <v>0</v>
      </c>
      <c r="BJ21" s="20" t="n">
        <f aca="false">IF(AJ21&gt;0,AK21-AK21*AN21/AJ21,0)</f>
        <v>0</v>
      </c>
      <c r="BK21" s="60" t="n">
        <f aca="false">(AR21-AV21)*(1+BQ21)</f>
        <v>0</v>
      </c>
      <c r="BL21" s="20" t="n">
        <f aca="false">IF(AR21&gt;0,AS21-AS21*AV21/AR21,0)</f>
        <v>0</v>
      </c>
      <c r="BM21" s="60" t="n">
        <f aca="false">BF21+BG21+BH21+BI21+BK21</f>
        <v>8387.29312159779</v>
      </c>
      <c r="BN21" s="60" t="n">
        <f aca="false">(AH21-AG21)+(AN21-AM21)+(AV21-AU21)</f>
        <v>0</v>
      </c>
      <c r="BO21" s="20" t="n">
        <f aca="false">(AE21+BD21+AF21+MAX(0,'Plan cashflow'!QH21)+IF(Slot1_Rate=AS_Cash,'Plan cashflow'!QM21/(1+AS_Cash),0)+IF(Slot2_Rate=AS_Cash,'Plan cashflow'!QQ21/(1+AS_Cash),0)+IF(Slot3_Rate=AS_Cash,'Plan cashflow'!QU21/(1+AS_Cash),0)+IF(Slot4_Rate=AS_Cash,'Plan cashflow'!QY21/(1+AS_Cash),0)+IF(Slot5_Rate=AS_Cash,'Plan cashflow'!RC21/(1+AS_Cash),0)+IF(Slot6_Rate=AS_Cash,'Plan cashflow'!RG21/(1+AS_Cash),0)+IF(Slot7_Rate=AS_Cash,'Plan cashflow'!RK21/(1+AS_Cash),0)+IF(Slot8_Rate=AS_Cash,'Plan cashflow'!RO21/(1+AS_Cash),0)+IF(Slot9_Rate=AS_Cash,'Plan cashflow'!RS21/(1+AS_Cash),0)+IF(Slot10_Rate=AS_Cash,'Plan cashflow'!RW21/(1+AS_Cash),0)+IF(Slot11_Rate=AS_Cash,'Plan cashflow'!SA21/(1+AS_Cash),0)+IF(Slot12_Rate=AS_Cash,'Plan cashflow'!SE21/(1+AS_Cash),0)+IF(Slot13_Rate=AS_Cash,'Plan cashflow'!SI21/(1+AS_Cash),0)+IF(Slot14_Rate=AS_Cash,'Plan cashflow'!SM21/(1+AS_Cash),0)+IF(Slot15_Rate=AS_Cash,'Plan cashflow'!SQ21/(1+AS_Cash),0)+IF(Slot16_Rate=AS_Cash,'Plan cashflow'!SU21/(1+AS_Cash),0)+IF(Slot17_Rate=AS_Cash,'Plan cashflow'!SY21/(1+AS_Cash),0)+IF(Slot18_Rate=AS_Cash,'Plan cashflow'!TC21/(1+AS_Cash),0)+IF(Slot19_Rate=AS_Cash,'Plan cashflow'!TG21/(1+AS_Cash),0)+IF(Slot20_Rate=AS_Cash,'Plan cashflow'!TK21/(1+AS_Cash),0))*AS_Cash*H_DIRT/(1-H_DIRT)</f>
        <v>86.4102019435966</v>
      </c>
      <c r="BP21" s="60" t="n">
        <f aca="false">SUM(AVE21:AYQ21)</f>
        <v>0</v>
      </c>
      <c r="BQ21" s="54" t="n">
        <f aca="false">IF(H_TaxEvt=1,H_InvG,AS_Inv)</f>
        <v>0.04</v>
      </c>
      <c r="BR21" s="20" t="n">
        <f aca="false">IF(AKR20&gt;0,(AKR20-AOE20)/AKR20,0)</f>
        <v>0</v>
      </c>
      <c r="BS21" s="20" t="n">
        <f aca="false">IF(AKS20&gt;0,(AKS20-AOF20)/AKS20,0)</f>
        <v>0</v>
      </c>
      <c r="BT21" s="20" t="n">
        <f aca="false">IF(AKT20&gt;0,(AKT20-AOG20)/AKT20,0)</f>
        <v>0</v>
      </c>
      <c r="BU21" s="20" t="n">
        <f aca="false">IF(AKU20&gt;0,(AKU20-AOH20)/AKU20,0)</f>
        <v>0</v>
      </c>
      <c r="BV21" s="20" t="n">
        <f aca="false">IF(AKV20&gt;0,(AKV20-AOI20)/AKV20,0)</f>
        <v>0</v>
      </c>
      <c r="BW21" s="20" t="n">
        <f aca="false">IF(AKW20&gt;0,(AKW20-AOJ20)/AKW20,0)</f>
        <v>0</v>
      </c>
      <c r="BX21" s="20" t="n">
        <f aca="false">IF(AKX20&gt;0,(AKX20-AOK20)/AKX20,0)</f>
        <v>0</v>
      </c>
      <c r="BY21" s="20" t="n">
        <f aca="false">IF(AKY20&gt;0,(AKY20-AOL20)/AKY20,0)</f>
        <v>0</v>
      </c>
      <c r="BZ21" s="20" t="n">
        <f aca="false">IF(AKZ20&gt;0,(AKZ20-AOM20)/AKZ20,0)</f>
        <v>0</v>
      </c>
      <c r="CA21" s="20" t="n">
        <f aca="false">IF(ALA20&gt;0,(ALA20-AON20)/ALA20,0)</f>
        <v>0</v>
      </c>
      <c r="CB21" s="20" t="n">
        <f aca="false">IF(ALB20&gt;0,(ALB20-AOO20)/ALB20,0)</f>
        <v>0</v>
      </c>
      <c r="CC21" s="20" t="n">
        <f aca="false">IF(ALC20&gt;0,(ALC20-AOP20)/ALC20,0)</f>
        <v>0.111003641329085</v>
      </c>
      <c r="CD21" s="20" t="n">
        <f aca="false">IF(ALD20&gt;0,(ALD20-AOQ20)/ALD20,0)</f>
        <v>0.0754437869822486</v>
      </c>
      <c r="CE21" s="20" t="n">
        <f aca="false">IF(ALE20&gt;0,(ALE20-AOR20)/ALE20,0)</f>
        <v>0.0384615384615385</v>
      </c>
      <c r="CF21" s="20" t="n">
        <f aca="false">IF((P21+S21)&gt;0,((P21+S21)-(P21+S21))/(P21+S21),0)</f>
        <v>0</v>
      </c>
      <c r="CG21" s="20" t="n">
        <v>0</v>
      </c>
      <c r="CH21" s="20" t="n">
        <v>0</v>
      </c>
      <c r="CI21" s="20" t="n">
        <v>0</v>
      </c>
      <c r="CJ21" s="20" t="n">
        <v>0</v>
      </c>
      <c r="CK21" s="20" t="n">
        <v>0</v>
      </c>
      <c r="CL21" s="20" t="n">
        <v>0</v>
      </c>
      <c r="CM21" s="20" t="n">
        <v>0</v>
      </c>
      <c r="CN21" s="20" t="n">
        <v>0</v>
      </c>
      <c r="CO21" s="20" t="n">
        <v>0</v>
      </c>
      <c r="CP21" s="20" t="n">
        <v>0</v>
      </c>
      <c r="CQ21" s="20" t="n">
        <v>0</v>
      </c>
      <c r="CR21" s="20" t="n">
        <v>0</v>
      </c>
      <c r="CS21" s="20" t="n">
        <v>0</v>
      </c>
      <c r="CT21" s="20" t="n">
        <v>0</v>
      </c>
      <c r="CU21" s="20" t="n">
        <v>0</v>
      </c>
      <c r="CV21" s="20" t="n">
        <v>0</v>
      </c>
      <c r="CW21" s="20" t="n">
        <v>0</v>
      </c>
      <c r="CX21" s="20" t="n">
        <v>0</v>
      </c>
      <c r="CY21" s="20" t="n">
        <v>0</v>
      </c>
      <c r="CZ21" s="20" t="n">
        <v>0</v>
      </c>
      <c r="DA21" s="20" t="n">
        <v>0</v>
      </c>
      <c r="DB21" s="20" t="n">
        <v>0</v>
      </c>
      <c r="DC21" s="20" t="n">
        <v>0</v>
      </c>
      <c r="DD21" s="20" t="n">
        <v>0</v>
      </c>
      <c r="DE21" s="20" t="n">
        <v>0</v>
      </c>
      <c r="DF21" s="20" t="n">
        <v>0</v>
      </c>
      <c r="DG21" s="20" t="n">
        <v>0</v>
      </c>
      <c r="DH21" s="20" t="n">
        <v>0</v>
      </c>
      <c r="DI21" s="20" t="n">
        <v>0</v>
      </c>
      <c r="DJ21" s="20" t="n">
        <v>0</v>
      </c>
      <c r="DK21" s="20" t="n">
        <v>0</v>
      </c>
      <c r="DL21" s="20" t="n">
        <v>0</v>
      </c>
      <c r="DM21" s="20" t="n">
        <v>0</v>
      </c>
      <c r="DN21" s="20" t="n">
        <v>0</v>
      </c>
      <c r="DO21" s="20" t="n">
        <v>0</v>
      </c>
      <c r="DP21" s="20" t="n">
        <v>0</v>
      </c>
      <c r="DQ21" s="20" t="n">
        <v>0</v>
      </c>
      <c r="DR21" s="20" t="n">
        <v>0</v>
      </c>
      <c r="DS21" s="20" t="n">
        <v>0</v>
      </c>
      <c r="DT21" s="20" t="n">
        <v>0</v>
      </c>
      <c r="DU21" s="20" t="n">
        <v>0</v>
      </c>
      <c r="DV21" s="20" t="n">
        <v>0</v>
      </c>
      <c r="DW21" s="20" t="n">
        <v>0</v>
      </c>
      <c r="DX21" s="20" t="n">
        <v>0</v>
      </c>
      <c r="DY21" s="20" t="n">
        <v>0</v>
      </c>
      <c r="DZ21" s="20" t="n">
        <v>0</v>
      </c>
      <c r="EA21" s="20" t="n">
        <v>0</v>
      </c>
      <c r="EB21" s="20" t="n">
        <v>0</v>
      </c>
      <c r="EC21" s="20" t="n">
        <v>0</v>
      </c>
      <c r="ED21" s="20" t="n">
        <v>0</v>
      </c>
      <c r="EE21" s="20" t="n">
        <v>0</v>
      </c>
      <c r="EF21" s="20" t="n">
        <v>0</v>
      </c>
      <c r="EG21" s="20" t="n">
        <v>0</v>
      </c>
      <c r="EH21" s="20" t="n">
        <v>0</v>
      </c>
      <c r="EI21" s="20" t="n">
        <v>0</v>
      </c>
      <c r="EJ21" s="20" t="n">
        <v>0</v>
      </c>
      <c r="EK21" s="20" t="n">
        <v>0</v>
      </c>
      <c r="EL21" s="20" t="n">
        <v>0</v>
      </c>
      <c r="EM21" s="20" t="n">
        <v>0</v>
      </c>
      <c r="EN21" s="20" t="n">
        <v>0</v>
      </c>
      <c r="EO21" s="20" t="n">
        <v>0</v>
      </c>
      <c r="EP21" s="20" t="n">
        <v>0</v>
      </c>
      <c r="EQ21" s="20" t="n">
        <v>0</v>
      </c>
      <c r="ER21" s="20" t="n">
        <v>0</v>
      </c>
      <c r="ES21" s="20" t="n">
        <v>0</v>
      </c>
      <c r="ET21" s="20" t="n">
        <v>0</v>
      </c>
      <c r="EU21" s="20" t="n">
        <v>0</v>
      </c>
      <c r="EV21" s="20" t="n">
        <v>0</v>
      </c>
      <c r="EW21" s="20" t="n">
        <v>0</v>
      </c>
      <c r="EX21" s="20" t="n">
        <v>0</v>
      </c>
      <c r="EY21" s="20" t="n">
        <v>0</v>
      </c>
      <c r="EZ21" s="20" t="n">
        <v>0</v>
      </c>
      <c r="FA21" s="20" t="n">
        <v>0</v>
      </c>
      <c r="FB21" s="20" t="n">
        <v>0</v>
      </c>
      <c r="FC21" s="20" t="n">
        <v>0</v>
      </c>
      <c r="FD21" s="20" t="n">
        <v>0</v>
      </c>
      <c r="FE21" s="20" t="n">
        <f aca="false">IF(H_Direct=1,IF(AKR20&lt;=0,0,IF(BR21&lt;=0,AKR20,AKR20-G21*MAX(0,BR21*AKR20-(H21+I21)))),AKR20*(1-MAX(0,BR21)*H_Exit))</f>
        <v>0</v>
      </c>
      <c r="FF21" s="20" t="n">
        <f aca="false">IF(H_Direct=1,IF(AKS20&lt;=0,0,IF(BS21&lt;=0,AKS20,AKS20-G21*MAX(0,BS21*AKS20-(IR21+ME21)))),AKS20*(1-MAX(0,BS21)*H_Exit))</f>
        <v>0</v>
      </c>
      <c r="FG21" s="20" t="n">
        <f aca="false">IF(H_Direct=1,IF(AKT20&lt;=0,0,IF(BT21&lt;=0,AKT20,AKT20-G21*MAX(0,BT21*AKT20-(IS21+MF21)))),AKT20*(1-MAX(0,BT21)*H_Exit))</f>
        <v>0</v>
      </c>
      <c r="FH21" s="20" t="n">
        <f aca="false">IF(H_Direct=1,IF(AKU20&lt;=0,0,IF(BU21&lt;=0,AKU20,AKU20-G21*MAX(0,BU21*AKU20-(IT21+MG21)))),AKU20*(1-MAX(0,BU21)*H_Exit))</f>
        <v>0</v>
      </c>
      <c r="FI21" s="20" t="n">
        <f aca="false">IF(H_Direct=1,IF(AKV20&lt;=0,0,IF(BV21&lt;=0,AKV20,AKV20-G21*MAX(0,BV21*AKV20-(IU21+MH21)))),AKV20*(1-MAX(0,BV21)*H_Exit))</f>
        <v>0</v>
      </c>
      <c r="FJ21" s="20" t="n">
        <f aca="false">IF(H_Direct=1,IF(AKW20&lt;=0,0,IF(BW21&lt;=0,AKW20,AKW20-G21*MAX(0,BW21*AKW20-(IV21+MI21)))),AKW20*(1-MAX(0,BW21)*H_Exit))</f>
        <v>0</v>
      </c>
      <c r="FK21" s="20" t="n">
        <f aca="false">IF(H_Direct=1,IF(AKX20&lt;=0,0,IF(BX21&lt;=0,AKX20,AKX20-G21*MAX(0,BX21*AKX20-(IW21+MJ21)))),AKX20*(1-MAX(0,BX21)*H_Exit))</f>
        <v>0</v>
      </c>
      <c r="FL21" s="20" t="n">
        <f aca="false">IF(H_Direct=1,IF(AKY20&lt;=0,0,IF(BY21&lt;=0,AKY20,AKY20-G21*MAX(0,BY21*AKY20-(IX21+MK21)))),AKY20*(1-MAX(0,BY21)*H_Exit))</f>
        <v>0</v>
      </c>
      <c r="FM21" s="20" t="n">
        <f aca="false">IF(H_Direct=1,IF(AKZ20&lt;=0,0,IF(BZ21&lt;=0,AKZ20,AKZ20-G21*MAX(0,BZ21*AKZ20-(IY21+ML21)))),AKZ20*(1-MAX(0,BZ21)*H_Exit))</f>
        <v>0</v>
      </c>
      <c r="FN21" s="20" t="n">
        <f aca="false">IF(H_Direct=1,IF(ALA20&lt;=0,0,IF(CA21&lt;=0,ALA20,ALA20-G21*MAX(0,CA21*ALA20-(IZ21+MM21)))),ALA20*(1-MAX(0,CA21)*H_Exit))</f>
        <v>0</v>
      </c>
      <c r="FO21" s="20" t="n">
        <f aca="false">IF(H_Direct=1,IF(ALB20&lt;=0,0,IF(CB21&lt;=0,ALB20,ALB20-G21*MAX(0,CB21*ALB20-(JA21+MN21)))),ALB20*(1-MAX(0,CB21)*H_Exit))</f>
        <v>0</v>
      </c>
      <c r="FP21" s="20" t="n">
        <f aca="false">IF(H_Direct=1,IF(ALC20&lt;=0,0,IF(CC21&lt;=0,ALC20,ALC20-G21*MAX(0,CC21*ALC20-(JB21+MO21)))),ALC20*(1-MAX(0,CC21)*H_Exit))</f>
        <v>588.998285814216</v>
      </c>
      <c r="FQ21" s="20" t="n">
        <f aca="false">IF(H_Direct=1,IF(ALD20&lt;=0,0,IF(CD21&lt;=0,ALD20,ALD20-G21*MAX(0,CD21*ALD20-(JC21+MP21)))),ALD20*(1-MAX(0,CD21)*H_Exit))</f>
        <v>751.394174039143</v>
      </c>
      <c r="FR21" s="20" t="n">
        <f aca="false">IF(H_Direct=1,IF(ALE20&lt;=0,0,IF(CE21&lt;=0,ALE20,ALE20-G21*MAX(0,CE21*ALE20-(JD21+MQ21)))),ALE20*(1-MAX(0,CE21)*H_Exit))</f>
        <v>912.218601576705</v>
      </c>
      <c r="FS21" s="20" t="n">
        <f aca="false">IF(H_Direct=1,IF((P21+S21)&lt;=0,0,IF(CF21&lt;=0,(P21+S21),(P21+S21)-G21*MAX(0,CF21*(P21+S21)-(JE21+MR21)))),(P21+S21)*(1-MAX(0,CF21)*H_Exit))</f>
        <v>0</v>
      </c>
      <c r="FT21" s="20" t="n">
        <v>0</v>
      </c>
      <c r="FU21" s="20" t="n">
        <v>0</v>
      </c>
      <c r="FV21" s="20" t="n">
        <v>0</v>
      </c>
      <c r="FW21" s="20" t="n">
        <v>0</v>
      </c>
      <c r="FX21" s="20" t="n">
        <v>0</v>
      </c>
      <c r="FY21" s="20" t="n">
        <v>0</v>
      </c>
      <c r="FZ21" s="20" t="n">
        <v>0</v>
      </c>
      <c r="GA21" s="20" t="n">
        <v>0</v>
      </c>
      <c r="GB21" s="20" t="n">
        <v>0</v>
      </c>
      <c r="GC21" s="20" t="n">
        <v>0</v>
      </c>
      <c r="GD21" s="20" t="n">
        <v>0</v>
      </c>
      <c r="GE21" s="20" t="n">
        <v>0</v>
      </c>
      <c r="GF21" s="20" t="n">
        <v>0</v>
      </c>
      <c r="GG21" s="20" t="n">
        <v>0</v>
      </c>
      <c r="GH21" s="20" t="n">
        <v>0</v>
      </c>
      <c r="GI21" s="20" t="n">
        <v>0</v>
      </c>
      <c r="GJ21" s="20" t="n">
        <v>0</v>
      </c>
      <c r="GK21" s="20" t="n">
        <v>0</v>
      </c>
      <c r="GL21" s="20" t="n">
        <v>0</v>
      </c>
      <c r="GM21" s="20" t="n">
        <v>0</v>
      </c>
      <c r="GN21" s="20" t="n">
        <v>0</v>
      </c>
      <c r="GO21" s="20" t="n">
        <v>0</v>
      </c>
      <c r="GP21" s="20" t="n">
        <v>0</v>
      </c>
      <c r="GQ21" s="20" t="n">
        <v>0</v>
      </c>
      <c r="GR21" s="20" t="n">
        <v>0</v>
      </c>
      <c r="GS21" s="20" t="n">
        <v>0</v>
      </c>
      <c r="GT21" s="20" t="n">
        <v>0</v>
      </c>
      <c r="GU21" s="20" t="n">
        <v>0</v>
      </c>
      <c r="GV21" s="20" t="n">
        <v>0</v>
      </c>
      <c r="GW21" s="20" t="n">
        <v>0</v>
      </c>
      <c r="GX21" s="20" t="n">
        <v>0</v>
      </c>
      <c r="GY21" s="20" t="n">
        <v>0</v>
      </c>
      <c r="GZ21" s="20" t="n">
        <v>0</v>
      </c>
      <c r="HA21" s="20" t="n">
        <v>0</v>
      </c>
      <c r="HB21" s="20" t="n">
        <v>0</v>
      </c>
      <c r="HC21" s="20" t="n">
        <v>0</v>
      </c>
      <c r="HD21" s="20" t="n">
        <v>0</v>
      </c>
      <c r="HE21" s="20" t="n">
        <v>0</v>
      </c>
      <c r="HF21" s="20" t="n">
        <v>0</v>
      </c>
      <c r="HG21" s="20" t="n">
        <v>0</v>
      </c>
      <c r="HH21" s="20" t="n">
        <v>0</v>
      </c>
      <c r="HI21" s="20" t="n">
        <v>0</v>
      </c>
      <c r="HJ21" s="20" t="n">
        <v>0</v>
      </c>
      <c r="HK21" s="20" t="n">
        <v>0</v>
      </c>
      <c r="HL21" s="20" t="n">
        <v>0</v>
      </c>
      <c r="HM21" s="20" t="n">
        <v>0</v>
      </c>
      <c r="HN21" s="20" t="n">
        <v>0</v>
      </c>
      <c r="HO21" s="20" t="n">
        <v>0</v>
      </c>
      <c r="HP21" s="20" t="n">
        <v>0</v>
      </c>
      <c r="HQ21" s="20" t="n">
        <v>0</v>
      </c>
      <c r="HR21" s="20" t="n">
        <v>0</v>
      </c>
      <c r="HS21" s="20" t="n">
        <v>0</v>
      </c>
      <c r="HT21" s="20" t="n">
        <v>0</v>
      </c>
      <c r="HU21" s="20" t="n">
        <v>0</v>
      </c>
      <c r="HV21" s="20" t="n">
        <v>0</v>
      </c>
      <c r="HW21" s="20" t="n">
        <v>0</v>
      </c>
      <c r="HX21" s="20" t="n">
        <v>0</v>
      </c>
      <c r="HY21" s="20" t="n">
        <v>0</v>
      </c>
      <c r="HZ21" s="20" t="n">
        <v>0</v>
      </c>
      <c r="IA21" s="20" t="n">
        <v>0</v>
      </c>
      <c r="IB21" s="20" t="n">
        <v>0</v>
      </c>
      <c r="IC21" s="20" t="n">
        <v>0</v>
      </c>
      <c r="ID21" s="20" t="n">
        <v>0</v>
      </c>
      <c r="IE21" s="20" t="n">
        <v>0</v>
      </c>
      <c r="IF21" s="20" t="n">
        <v>0</v>
      </c>
      <c r="IG21" s="20" t="n">
        <v>0</v>
      </c>
      <c r="IH21" s="20" t="n">
        <v>0</v>
      </c>
      <c r="II21" s="20" t="n">
        <v>0</v>
      </c>
      <c r="IJ21" s="20" t="n">
        <v>0</v>
      </c>
      <c r="IK21" s="20" t="n">
        <v>0</v>
      </c>
      <c r="IL21" s="20" t="n">
        <v>0</v>
      </c>
      <c r="IM21" s="20" t="n">
        <v>0</v>
      </c>
      <c r="IN21" s="20" t="n">
        <v>0</v>
      </c>
      <c r="IO21" s="20" t="n">
        <v>0</v>
      </c>
      <c r="IP21" s="20" t="n">
        <v>0</v>
      </c>
      <c r="IQ21" s="20" t="n">
        <v>0</v>
      </c>
      <c r="IR21" s="20" t="n">
        <f aca="false">IF(AND(H_Direct=1,BR21&gt;0),MAX(0,H21-(MIN(BR21*AKR20,H21+I21)-MIN(MIN(BR21*AKR20,H21+I21),I21))),H21)</f>
        <v>1270</v>
      </c>
      <c r="IS21" s="20" t="n">
        <f aca="false">IF(AND(H_Direct=1,BS21&gt;0),MAX(0,IR21-(MIN(BS21*AKS20,IR21+ME21)-MIN(MIN(BS21*AKS20,IR21+ME21),ME21))),IR21)</f>
        <v>1270</v>
      </c>
      <c r="IT21" s="20" t="n">
        <f aca="false">IF(AND(H_Direct=1,BT21&gt;0),MAX(0,IS21-(MIN(BT21*AKT20,IS21+MF21)-MIN(MIN(BT21*AKT20,IS21+MF21),MF21))),IS21)</f>
        <v>1270</v>
      </c>
      <c r="IU21" s="20" t="n">
        <f aca="false">IF(AND(H_Direct=1,BU21&gt;0),MAX(0,IT21-(MIN(BU21*AKU20,IT21+MG21)-MIN(MIN(BU21*AKU20,IT21+MG21),MG21))),IT21)</f>
        <v>1270</v>
      </c>
      <c r="IV21" s="20" t="n">
        <f aca="false">IF(AND(H_Direct=1,BV21&gt;0),MAX(0,IU21-(MIN(BV21*AKV20,IU21+MH21)-MIN(MIN(BV21*AKV20,IU21+MH21),MH21))),IU21)</f>
        <v>1270</v>
      </c>
      <c r="IW21" s="20" t="n">
        <f aca="false">IF(AND(H_Direct=1,BW21&gt;0),MAX(0,IV21-(MIN(BW21*AKW20,IV21+MI21)-MIN(MIN(BW21*AKW20,IV21+MI21),MI21))),IV21)</f>
        <v>1270</v>
      </c>
      <c r="IX21" s="20" t="n">
        <f aca="false">IF(AND(H_Direct=1,BX21&gt;0),MAX(0,IW21-(MIN(BX21*AKX20,IW21+MJ21)-MIN(MIN(BX21*AKX20,IW21+MJ21),MJ21))),IW21)</f>
        <v>1270</v>
      </c>
      <c r="IY21" s="20" t="n">
        <f aca="false">IF(AND(H_Direct=1,BY21&gt;0),MAX(0,IX21-(MIN(BY21*AKY20,IX21+MK21)-MIN(MIN(BY21*AKY20,IX21+MK21),MK21))),IX21)</f>
        <v>1270</v>
      </c>
      <c r="IZ21" s="20" t="n">
        <f aca="false">IF(AND(H_Direct=1,BZ21&gt;0),MAX(0,IY21-(MIN(BZ21*AKZ20,IY21+ML21)-MIN(MIN(BZ21*AKZ20,IY21+ML21),ML21))),IY21)</f>
        <v>1270</v>
      </c>
      <c r="JA21" s="20" t="n">
        <f aca="false">IF(AND(H_Direct=1,CA21&gt;0),MAX(0,IZ21-(MIN(CA21*ALA20,IZ21+MM21)-MIN(MIN(CA21*ALA20,IZ21+MM21),MM21))),IZ21)</f>
        <v>1270</v>
      </c>
      <c r="JB21" s="20" t="n">
        <f aca="false">IF(AND(H_Direct=1,CB21&gt;0),MAX(0,JA21-(MIN(CB21*ALB20,JA21+MN21)-MIN(MIN(CB21*ALB20,JA21+MN21),MN21))),JA21)</f>
        <v>1270</v>
      </c>
      <c r="JC21" s="20" t="n">
        <f aca="false">IF(AND(H_Direct=1,CC21&gt;0),MAX(0,JB21-(MIN(CC21*ALC20,JB21+MO21)-MIN(MIN(CC21*ALC20,JB21+MO21),MO21))),JB21)</f>
        <v>1270</v>
      </c>
      <c r="JD21" s="20" t="n">
        <f aca="false">IF(AND(H_Direct=1,CD21&gt;0),MAX(0,JC21-(MIN(CD21*ALD20,JC21+MP21)-MIN(MIN(CD21*ALD20,JC21+MP21),MP21))),JC21)</f>
        <v>1270</v>
      </c>
      <c r="JE21" s="20" t="n">
        <f aca="false">IF(AND(H_Direct=1,CE21&gt;0),MAX(0,JD21-(MIN(CE21*ALE20,JD21+MQ21)-MIN(MIN(CE21*ALE20,JD21+MQ21),MQ21))),JD21)</f>
        <v>1270</v>
      </c>
      <c r="JF21" s="20" t="n">
        <f aca="false">IF(AND(H_Direct=1,CF21&gt;0),MAX(0,JE21-(MIN(CF21*(P21+S21),JE21+MR21)-MIN(MIN(CF21*(P21+S21),JE21+MR21),MR21))),JE21)</f>
        <v>1270</v>
      </c>
      <c r="JG21" s="20" t="n">
        <f aca="false">JF21</f>
        <v>1270</v>
      </c>
      <c r="JH21" s="20" t="n">
        <f aca="false">JG21</f>
        <v>1270</v>
      </c>
      <c r="JI21" s="20" t="n">
        <f aca="false">JH21</f>
        <v>1270</v>
      </c>
      <c r="JJ21" s="20" t="n">
        <f aca="false">JI21</f>
        <v>1270</v>
      </c>
      <c r="JK21" s="20" t="n">
        <f aca="false">JJ21</f>
        <v>1270</v>
      </c>
      <c r="JL21" s="20" t="n">
        <f aca="false">JK21</f>
        <v>1270</v>
      </c>
      <c r="JM21" s="20" t="n">
        <f aca="false">JL21</f>
        <v>1270</v>
      </c>
      <c r="JN21" s="20" t="n">
        <f aca="false">JM21</f>
        <v>1270</v>
      </c>
      <c r="JO21" s="20" t="n">
        <f aca="false">JN21</f>
        <v>1270</v>
      </c>
      <c r="JP21" s="20" t="n">
        <f aca="false">JO21</f>
        <v>1270</v>
      </c>
      <c r="JQ21" s="20" t="n">
        <f aca="false">JP21</f>
        <v>1270</v>
      </c>
      <c r="JR21" s="20" t="n">
        <f aca="false">JQ21</f>
        <v>1270</v>
      </c>
      <c r="JS21" s="20" t="n">
        <f aca="false">JR21</f>
        <v>1270</v>
      </c>
      <c r="JT21" s="20" t="n">
        <f aca="false">JS21</f>
        <v>1270</v>
      </c>
      <c r="JU21" s="20" t="n">
        <f aca="false">JT21</f>
        <v>1270</v>
      </c>
      <c r="JV21" s="20" t="n">
        <f aca="false">JU21</f>
        <v>1270</v>
      </c>
      <c r="JW21" s="20" t="n">
        <f aca="false">JV21</f>
        <v>1270</v>
      </c>
      <c r="JX21" s="20" t="n">
        <f aca="false">JW21</f>
        <v>1270</v>
      </c>
      <c r="JY21" s="20" t="n">
        <f aca="false">JX21</f>
        <v>1270</v>
      </c>
      <c r="JZ21" s="20" t="n">
        <f aca="false">JY21</f>
        <v>1270</v>
      </c>
      <c r="KA21" s="20" t="n">
        <f aca="false">JZ21</f>
        <v>1270</v>
      </c>
      <c r="KB21" s="20" t="n">
        <f aca="false">KA21</f>
        <v>1270</v>
      </c>
      <c r="KC21" s="20" t="n">
        <f aca="false">KB21</f>
        <v>1270</v>
      </c>
      <c r="KD21" s="20" t="n">
        <f aca="false">KC21</f>
        <v>1270</v>
      </c>
      <c r="KE21" s="20" t="n">
        <f aca="false">KD21</f>
        <v>1270</v>
      </c>
      <c r="KF21" s="20" t="n">
        <f aca="false">KE21</f>
        <v>1270</v>
      </c>
      <c r="KG21" s="20" t="n">
        <f aca="false">KF21</f>
        <v>1270</v>
      </c>
      <c r="KH21" s="20" t="n">
        <f aca="false">KG21</f>
        <v>1270</v>
      </c>
      <c r="KI21" s="20" t="n">
        <f aca="false">KH21</f>
        <v>1270</v>
      </c>
      <c r="KJ21" s="20" t="n">
        <f aca="false">KI21</f>
        <v>1270</v>
      </c>
      <c r="KK21" s="20" t="n">
        <f aca="false">KJ21</f>
        <v>1270</v>
      </c>
      <c r="KL21" s="20" t="n">
        <f aca="false">KK21</f>
        <v>1270</v>
      </c>
      <c r="KM21" s="20" t="n">
        <f aca="false">KL21</f>
        <v>1270</v>
      </c>
      <c r="KN21" s="20" t="n">
        <f aca="false">KM21</f>
        <v>1270</v>
      </c>
      <c r="KO21" s="20" t="n">
        <f aca="false">KN21</f>
        <v>1270</v>
      </c>
      <c r="KP21" s="20" t="n">
        <f aca="false">KO21</f>
        <v>1270</v>
      </c>
      <c r="KQ21" s="20" t="n">
        <f aca="false">KP21</f>
        <v>1270</v>
      </c>
      <c r="KR21" s="20" t="n">
        <f aca="false">KQ21</f>
        <v>1270</v>
      </c>
      <c r="KS21" s="20" t="n">
        <f aca="false">KR21</f>
        <v>1270</v>
      </c>
      <c r="KT21" s="20" t="n">
        <f aca="false">KS21</f>
        <v>1270</v>
      </c>
      <c r="KU21" s="20" t="n">
        <f aca="false">KT21</f>
        <v>1270</v>
      </c>
      <c r="KV21" s="20" t="n">
        <f aca="false">KU21</f>
        <v>1270</v>
      </c>
      <c r="KW21" s="20" t="n">
        <f aca="false">KV21</f>
        <v>1270</v>
      </c>
      <c r="KX21" s="20" t="n">
        <f aca="false">KW21</f>
        <v>1270</v>
      </c>
      <c r="KY21" s="20" t="n">
        <f aca="false">KX21</f>
        <v>1270</v>
      </c>
      <c r="KZ21" s="20" t="n">
        <f aca="false">KY21</f>
        <v>1270</v>
      </c>
      <c r="LA21" s="20" t="n">
        <f aca="false">KZ21</f>
        <v>1270</v>
      </c>
      <c r="LB21" s="20" t="n">
        <f aca="false">LA21</f>
        <v>1270</v>
      </c>
      <c r="LC21" s="20" t="n">
        <f aca="false">LB21</f>
        <v>1270</v>
      </c>
      <c r="LD21" s="20" t="n">
        <f aca="false">LC21</f>
        <v>1270</v>
      </c>
      <c r="LE21" s="20" t="n">
        <f aca="false">LD21</f>
        <v>1270</v>
      </c>
      <c r="LF21" s="20" t="n">
        <f aca="false">LE21</f>
        <v>1270</v>
      </c>
      <c r="LG21" s="20" t="n">
        <f aca="false">LF21</f>
        <v>1270</v>
      </c>
      <c r="LH21" s="20" t="n">
        <f aca="false">LG21</f>
        <v>1270</v>
      </c>
      <c r="LI21" s="20" t="n">
        <f aca="false">LH21</f>
        <v>1270</v>
      </c>
      <c r="LJ21" s="20" t="n">
        <f aca="false">LI21</f>
        <v>1270</v>
      </c>
      <c r="LK21" s="20" t="n">
        <f aca="false">LJ21</f>
        <v>1270</v>
      </c>
      <c r="LL21" s="20" t="n">
        <f aca="false">LK21</f>
        <v>1270</v>
      </c>
      <c r="LM21" s="20" t="n">
        <f aca="false">LL21</f>
        <v>1270</v>
      </c>
      <c r="LN21" s="20" t="n">
        <f aca="false">LM21</f>
        <v>1270</v>
      </c>
      <c r="LO21" s="20" t="n">
        <f aca="false">LN21</f>
        <v>1270</v>
      </c>
      <c r="LP21" s="20" t="n">
        <f aca="false">LO21</f>
        <v>1270</v>
      </c>
      <c r="LQ21" s="20" t="n">
        <f aca="false">LP21</f>
        <v>1270</v>
      </c>
      <c r="LR21" s="20" t="n">
        <f aca="false">LQ21</f>
        <v>1270</v>
      </c>
      <c r="LS21" s="20" t="n">
        <f aca="false">LR21</f>
        <v>1270</v>
      </c>
      <c r="LT21" s="20" t="n">
        <f aca="false">LS21</f>
        <v>1270</v>
      </c>
      <c r="LU21" s="20" t="n">
        <f aca="false">LT21</f>
        <v>1270</v>
      </c>
      <c r="LV21" s="20" t="n">
        <f aca="false">LU21</f>
        <v>1270</v>
      </c>
      <c r="LW21" s="20" t="n">
        <f aca="false">LV21</f>
        <v>1270</v>
      </c>
      <c r="LX21" s="20" t="n">
        <f aca="false">LW21</f>
        <v>1270</v>
      </c>
      <c r="LY21" s="20" t="n">
        <f aca="false">LX21</f>
        <v>1270</v>
      </c>
      <c r="LZ21" s="20" t="n">
        <f aca="false">LY21</f>
        <v>1270</v>
      </c>
      <c r="MA21" s="20" t="n">
        <f aca="false">LZ21</f>
        <v>1270</v>
      </c>
      <c r="MB21" s="20" t="n">
        <f aca="false">MA21</f>
        <v>1270</v>
      </c>
      <c r="MC21" s="20" t="n">
        <f aca="false">MB21</f>
        <v>1270</v>
      </c>
      <c r="MD21" s="20" t="n">
        <f aca="false">MC21</f>
        <v>1270</v>
      </c>
      <c r="ME21" s="20" t="n">
        <f aca="false">IF(H_Direct=1,IF(BR21&lt;=0,I21-BR21*AKR20,I21-MIN(MIN(BR21*AKR20,H21+I21),I21)),I21)</f>
        <v>0</v>
      </c>
      <c r="MF21" s="20" t="n">
        <f aca="false">IF(H_Direct=1,IF(BS21&lt;=0,ME21-BS21*AKS20,ME21-MIN(MIN(BS21*AKS20,IR21+ME21),ME21)),ME21)</f>
        <v>0</v>
      </c>
      <c r="MG21" s="20" t="n">
        <f aca="false">IF(H_Direct=1,IF(BT21&lt;=0,MF21-BT21*AKT20,MF21-MIN(MIN(BT21*AKT20,IS21+MF21),MF21)),MF21)</f>
        <v>0</v>
      </c>
      <c r="MH21" s="20" t="n">
        <f aca="false">IF(H_Direct=1,IF(BU21&lt;=0,MG21-BU21*AKU20,MG21-MIN(MIN(BU21*AKU20,IT21+MG21),MG21)),MG21)</f>
        <v>0</v>
      </c>
      <c r="MI21" s="20" t="n">
        <f aca="false">IF(H_Direct=1,IF(BV21&lt;=0,MH21-BV21*AKV20,MH21-MIN(MIN(BV21*AKV20,IU21+MH21),MH21)),MH21)</f>
        <v>0</v>
      </c>
      <c r="MJ21" s="20" t="n">
        <f aca="false">IF(H_Direct=1,IF(BW21&lt;=0,MI21-BW21*AKW20,MI21-MIN(MIN(BW21*AKW20,IV21+MI21),MI21)),MI21)</f>
        <v>0</v>
      </c>
      <c r="MK21" s="20" t="n">
        <f aca="false">IF(H_Direct=1,IF(BX21&lt;=0,MJ21-BX21*AKX20,MJ21-MIN(MIN(BX21*AKX20,IW21+MJ21),MJ21)),MJ21)</f>
        <v>0</v>
      </c>
      <c r="ML21" s="20" t="n">
        <f aca="false">IF(H_Direct=1,IF(BY21&lt;=0,MK21-BY21*AKY20,MK21-MIN(MIN(BY21*AKY20,IX21+MK21),MK21)),MK21)</f>
        <v>0</v>
      </c>
      <c r="MM21" s="20" t="n">
        <f aca="false">IF(H_Direct=1,IF(BZ21&lt;=0,ML21-BZ21*AKZ20,ML21-MIN(MIN(BZ21*AKZ20,IY21+ML21),ML21)),ML21)</f>
        <v>0</v>
      </c>
      <c r="MN21" s="20" t="n">
        <f aca="false">IF(H_Direct=1,IF(CA21&lt;=0,MM21-CA21*ALA20,MM21-MIN(MIN(CA21*ALA20,IZ21+MM21),MM21)),MM21)</f>
        <v>0</v>
      </c>
      <c r="MO21" s="20" t="n">
        <f aca="false">IF(H_Direct=1,IF(CB21&lt;=0,MN21-CB21*ALB20,MN21-MIN(MIN(CB21*ALB20,JA21+MN21),MN21)),MN21)</f>
        <v>0</v>
      </c>
      <c r="MP21" s="20" t="n">
        <f aca="false">IF(H_Direct=1,IF(CC21&lt;=0,MO21-CC21*ALC20,MO21-MIN(MIN(CC21*ALC20,JB21+MO21),MO21)),MO21)</f>
        <v>0</v>
      </c>
      <c r="MQ21" s="20" t="n">
        <f aca="false">IF(H_Direct=1,IF(CD21&lt;=0,MP21-CD21*ALD20,MP21-MIN(MIN(CD21*ALD20,JC21+MP21),MP21)),MP21)</f>
        <v>0</v>
      </c>
      <c r="MR21" s="20" t="n">
        <f aca="false">IF(H_Direct=1,IF(CE21&lt;=0,MQ21-CE21*ALE20,MQ21-MIN(MIN(CE21*ALE20,JD21+MQ21),MQ21)),MQ21)</f>
        <v>0</v>
      </c>
      <c r="MS21" s="20" t="n">
        <f aca="false">IF(H_Direct=1,IF(CF21&lt;=0,MR21-CF21*(P21+S21),MR21-MIN(MIN(CF21*(P21+S21),JE21+MR21),MR21)),MR21)</f>
        <v>0</v>
      </c>
      <c r="MT21" s="20" t="n">
        <f aca="false">MS21</f>
        <v>0</v>
      </c>
      <c r="MU21" s="20" t="n">
        <f aca="false">MT21</f>
        <v>0</v>
      </c>
      <c r="MV21" s="20" t="n">
        <f aca="false">MU21</f>
        <v>0</v>
      </c>
      <c r="MW21" s="20" t="n">
        <f aca="false">MV21</f>
        <v>0</v>
      </c>
      <c r="MX21" s="20" t="n">
        <f aca="false">MW21</f>
        <v>0</v>
      </c>
      <c r="MY21" s="20" t="n">
        <f aca="false">MX21</f>
        <v>0</v>
      </c>
      <c r="MZ21" s="20" t="n">
        <f aca="false">MY21</f>
        <v>0</v>
      </c>
      <c r="NA21" s="20" t="n">
        <f aca="false">MZ21</f>
        <v>0</v>
      </c>
      <c r="NB21" s="20" t="n">
        <f aca="false">NA21</f>
        <v>0</v>
      </c>
      <c r="NC21" s="20" t="n">
        <f aca="false">NB21</f>
        <v>0</v>
      </c>
      <c r="ND21" s="20" t="n">
        <f aca="false">NC21</f>
        <v>0</v>
      </c>
      <c r="NE21" s="20" t="n">
        <f aca="false">ND21</f>
        <v>0</v>
      </c>
      <c r="NF21" s="20" t="n">
        <f aca="false">NE21</f>
        <v>0</v>
      </c>
      <c r="NG21" s="20" t="n">
        <f aca="false">NF21</f>
        <v>0</v>
      </c>
      <c r="NH21" s="20" t="n">
        <f aca="false">NG21</f>
        <v>0</v>
      </c>
      <c r="NI21" s="20" t="n">
        <f aca="false">NH21</f>
        <v>0</v>
      </c>
      <c r="NJ21" s="20" t="n">
        <f aca="false">NI21</f>
        <v>0</v>
      </c>
      <c r="NK21" s="20" t="n">
        <f aca="false">NJ21</f>
        <v>0</v>
      </c>
      <c r="NL21" s="20" t="n">
        <f aca="false">NK21</f>
        <v>0</v>
      </c>
      <c r="NM21" s="20" t="n">
        <f aca="false">NL21</f>
        <v>0</v>
      </c>
      <c r="NN21" s="20" t="n">
        <f aca="false">NM21</f>
        <v>0</v>
      </c>
      <c r="NO21" s="20" t="n">
        <f aca="false">NN21</f>
        <v>0</v>
      </c>
      <c r="NP21" s="20" t="n">
        <f aca="false">NO21</f>
        <v>0</v>
      </c>
      <c r="NQ21" s="20" t="n">
        <f aca="false">NP21</f>
        <v>0</v>
      </c>
      <c r="NR21" s="20" t="n">
        <f aca="false">NQ21</f>
        <v>0</v>
      </c>
      <c r="NS21" s="20" t="n">
        <f aca="false">NR21</f>
        <v>0</v>
      </c>
      <c r="NT21" s="20" t="n">
        <f aca="false">NS21</f>
        <v>0</v>
      </c>
      <c r="NU21" s="20" t="n">
        <f aca="false">NT21</f>
        <v>0</v>
      </c>
      <c r="NV21" s="20" t="n">
        <f aca="false">NU21</f>
        <v>0</v>
      </c>
      <c r="NW21" s="20" t="n">
        <f aca="false">NV21</f>
        <v>0</v>
      </c>
      <c r="NX21" s="20" t="n">
        <f aca="false">NW21</f>
        <v>0</v>
      </c>
      <c r="NY21" s="20" t="n">
        <f aca="false">NX21</f>
        <v>0</v>
      </c>
      <c r="NZ21" s="20" t="n">
        <f aca="false">NY21</f>
        <v>0</v>
      </c>
      <c r="OA21" s="20" t="n">
        <f aca="false">NZ21</f>
        <v>0</v>
      </c>
      <c r="OB21" s="20" t="n">
        <f aca="false">OA21</f>
        <v>0</v>
      </c>
      <c r="OC21" s="20" t="n">
        <f aca="false">OB21</f>
        <v>0</v>
      </c>
      <c r="OD21" s="20" t="n">
        <f aca="false">OC21</f>
        <v>0</v>
      </c>
      <c r="OE21" s="20" t="n">
        <f aca="false">OD21</f>
        <v>0</v>
      </c>
      <c r="OF21" s="20" t="n">
        <f aca="false">OE21</f>
        <v>0</v>
      </c>
      <c r="OG21" s="20" t="n">
        <f aca="false">OF21</f>
        <v>0</v>
      </c>
      <c r="OH21" s="20" t="n">
        <f aca="false">OG21</f>
        <v>0</v>
      </c>
      <c r="OI21" s="20" t="n">
        <f aca="false">OH21</f>
        <v>0</v>
      </c>
      <c r="OJ21" s="20" t="n">
        <f aca="false">OI21</f>
        <v>0</v>
      </c>
      <c r="OK21" s="20" t="n">
        <f aca="false">OJ21</f>
        <v>0</v>
      </c>
      <c r="OL21" s="20" t="n">
        <f aca="false">OK21</f>
        <v>0</v>
      </c>
      <c r="OM21" s="20" t="n">
        <f aca="false">OL21</f>
        <v>0</v>
      </c>
      <c r="ON21" s="20" t="n">
        <f aca="false">OM21</f>
        <v>0</v>
      </c>
      <c r="OO21" s="20" t="n">
        <f aca="false">ON21</f>
        <v>0</v>
      </c>
      <c r="OP21" s="20" t="n">
        <f aca="false">OO21</f>
        <v>0</v>
      </c>
      <c r="OQ21" s="20" t="n">
        <f aca="false">OP21</f>
        <v>0</v>
      </c>
      <c r="OR21" s="20" t="n">
        <f aca="false">OQ21</f>
        <v>0</v>
      </c>
      <c r="OS21" s="20" t="n">
        <f aca="false">OR21</f>
        <v>0</v>
      </c>
      <c r="OT21" s="20" t="n">
        <f aca="false">OS21</f>
        <v>0</v>
      </c>
      <c r="OU21" s="20" t="n">
        <f aca="false">OT21</f>
        <v>0</v>
      </c>
      <c r="OV21" s="20" t="n">
        <f aca="false">OU21</f>
        <v>0</v>
      </c>
      <c r="OW21" s="20" t="n">
        <f aca="false">OV21</f>
        <v>0</v>
      </c>
      <c r="OX21" s="20" t="n">
        <f aca="false">OW21</f>
        <v>0</v>
      </c>
      <c r="OY21" s="20" t="n">
        <f aca="false">OX21</f>
        <v>0</v>
      </c>
      <c r="OZ21" s="20" t="n">
        <f aca="false">OY21</f>
        <v>0</v>
      </c>
      <c r="PA21" s="20" t="n">
        <f aca="false">OZ21</f>
        <v>0</v>
      </c>
      <c r="PB21" s="20" t="n">
        <f aca="false">PA21</f>
        <v>0</v>
      </c>
      <c r="PC21" s="20" t="n">
        <f aca="false">PB21</f>
        <v>0</v>
      </c>
      <c r="PD21" s="20" t="n">
        <f aca="false">PC21</f>
        <v>0</v>
      </c>
      <c r="PE21" s="20" t="n">
        <f aca="false">PD21</f>
        <v>0</v>
      </c>
      <c r="PF21" s="20" t="n">
        <f aca="false">PE21</f>
        <v>0</v>
      </c>
      <c r="PG21" s="20" t="n">
        <f aca="false">PF21</f>
        <v>0</v>
      </c>
      <c r="PH21" s="20" t="n">
        <f aca="false">PG21</f>
        <v>0</v>
      </c>
      <c r="PI21" s="20" t="n">
        <f aca="false">PH21</f>
        <v>0</v>
      </c>
      <c r="PJ21" s="20" t="n">
        <f aca="false">PI21</f>
        <v>0</v>
      </c>
      <c r="PK21" s="20" t="n">
        <f aca="false">PJ21</f>
        <v>0</v>
      </c>
      <c r="PL21" s="20" t="n">
        <f aca="false">PK21</f>
        <v>0</v>
      </c>
      <c r="PM21" s="20" t="n">
        <f aca="false">PL21</f>
        <v>0</v>
      </c>
      <c r="PN21" s="20" t="n">
        <f aca="false">PM21</f>
        <v>0</v>
      </c>
      <c r="PO21" s="20" t="n">
        <f aca="false">PN21</f>
        <v>0</v>
      </c>
      <c r="PP21" s="20" t="n">
        <f aca="false">PO21</f>
        <v>0</v>
      </c>
      <c r="PQ21" s="20" t="n">
        <f aca="false">PP21</f>
        <v>0</v>
      </c>
      <c r="PR21" s="20" t="n">
        <f aca="false">IF(H_Direct=1,IF(AKR20&lt;=0,0,IF(BR21&lt;=0,MIN(MAX(0,AB21),AKR20),MIN(MAX(0,AB21),AKR20-G21*MAX(0,BR21*AKR20-(H21+I21))))),MIN(FE21,MAX(0,AB21)))</f>
        <v>0</v>
      </c>
      <c r="PS21" s="20" t="n">
        <f aca="false">IF(H_Direct=1,IF(AKS20&lt;=0,0,IF(BS21&lt;=0,MIN(MAX(0,AB21-SUM(PR21:PR21)),AKS20),MIN(MAX(0,AB21-SUM(PR21:PR21)),AKS20-G21*MAX(0,BS21*AKS20-(WR21+AAE21))))),MIN(FF21,MAX(0,AB21-SUM(PR21:PR21))))</f>
        <v>0</v>
      </c>
      <c r="PT21" s="20" t="n">
        <f aca="false">IF(H_Direct=1,IF(AKT20&lt;=0,0,IF(BT21&lt;=0,MIN(MAX(0,AB21-SUM(PR21:PS21)),AKT20),MIN(MAX(0,AB21-SUM(PR21:PS21)),AKT20-G21*MAX(0,BT21*AKT20-(WS21+AAF21))))),MIN(FG21,MAX(0,AB21-SUM(PR21:PS21))))</f>
        <v>0</v>
      </c>
      <c r="PU21" s="20" t="n">
        <f aca="false">IF(H_Direct=1,IF(AKU20&lt;=0,0,IF(BU21&lt;=0,MIN(MAX(0,AB21-SUM(PR21:PT21)),AKU20),MIN(MAX(0,AB21-SUM(PR21:PT21)),AKU20-G21*MAX(0,BU21*AKU20-(WT21+AAG21))))),MIN(FH21,MAX(0,AB21-SUM(PR21:PT21))))</f>
        <v>0</v>
      </c>
      <c r="PV21" s="20" t="n">
        <f aca="false">IF(H_Direct=1,IF(AKV20&lt;=0,0,IF(BV21&lt;=0,MIN(MAX(0,AB21-SUM(PR21:PU21)),AKV20),MIN(MAX(0,AB21-SUM(PR21:PU21)),AKV20-G21*MAX(0,BV21*AKV20-(WU21+AAH21))))),MIN(FI21,MAX(0,AB21-SUM(PR21:PU21))))</f>
        <v>0</v>
      </c>
      <c r="PW21" s="20" t="n">
        <f aca="false">IF(H_Direct=1,IF(AKW20&lt;=0,0,IF(BW21&lt;=0,MIN(MAX(0,AB21-SUM(PR21:PV21)),AKW20),MIN(MAX(0,AB21-SUM(PR21:PV21)),AKW20-G21*MAX(0,BW21*AKW20-(WV21+AAI21))))),MIN(FJ21,MAX(0,AB21-SUM(PR21:PV21))))</f>
        <v>0</v>
      </c>
      <c r="PX21" s="20" t="n">
        <f aca="false">IF(H_Direct=1,IF(AKX20&lt;=0,0,IF(BX21&lt;=0,MIN(MAX(0,AB21-SUM(PR21:PW21)),AKX20),MIN(MAX(0,AB21-SUM(PR21:PW21)),AKX20-G21*MAX(0,BX21*AKX20-(WW21+AAJ21))))),MIN(FK21,MAX(0,AB21-SUM(PR21:PW21))))</f>
        <v>0</v>
      </c>
      <c r="PY21" s="20" t="n">
        <f aca="false">IF(H_Direct=1,IF(AKY20&lt;=0,0,IF(BY21&lt;=0,MIN(MAX(0,AB21-SUM(PR21:PX21)),AKY20),MIN(MAX(0,AB21-SUM(PR21:PX21)),AKY20-G21*MAX(0,BY21*AKY20-(WX21+AAK21))))),MIN(FL21,MAX(0,AB21-SUM(PR21:PX21))))</f>
        <v>0</v>
      </c>
      <c r="PZ21" s="20" t="n">
        <f aca="false">IF(H_Direct=1,IF(AKZ20&lt;=0,0,IF(BZ21&lt;=0,MIN(MAX(0,AB21-SUM(PR21:PY21)),AKZ20),MIN(MAX(0,AB21-SUM(PR21:PY21)),AKZ20-G21*MAX(0,BZ21*AKZ20-(WY21+AAL21))))),MIN(FM21,MAX(0,AB21-SUM(PR21:PY21))))</f>
        <v>0</v>
      </c>
      <c r="QA21" s="20" t="n">
        <f aca="false">IF(H_Direct=1,IF(ALA20&lt;=0,0,IF(CA21&lt;=0,MIN(MAX(0,AB21-SUM(PR21:PZ21)),ALA20),MIN(MAX(0,AB21-SUM(PR21:PZ21)),ALA20-G21*MAX(0,CA21*ALA20-(WZ21+AAM21))))),MIN(FN21,MAX(0,AB21-SUM(PR21:PZ21))))</f>
        <v>0</v>
      </c>
      <c r="QB21" s="20" t="n">
        <f aca="false">IF(H_Direct=1,IF(ALB20&lt;=0,0,IF(CB21&lt;=0,MIN(MAX(0,AB21-SUM(PR21:QA21)),ALB20),MIN(MAX(0,AB21-SUM(PR21:QA21)),ALB20-G21*MAX(0,CB21*ALB20-(XA21+AAN21))))),MIN(FO21,MAX(0,AB21-SUM(PR21:QA21))))</f>
        <v>0</v>
      </c>
      <c r="QC21" s="20" t="n">
        <f aca="false">IF(H_Direct=1,IF(ALC20&lt;=0,0,IF(CC21&lt;=0,MIN(MAX(0,AB21-SUM(PR21:QB21)),ALC20),MIN(MAX(0,AB21-SUM(PR21:QB21)),ALC20-G21*MAX(0,CC21*ALC20-(XB21+AAO21))))),MIN(FP21,MAX(0,AB21-SUM(PR21:QB21))))</f>
        <v>0</v>
      </c>
      <c r="QD21" s="20" t="n">
        <f aca="false">IF(H_Direct=1,IF(ALD20&lt;=0,0,IF(CD21&lt;=0,MIN(MAX(0,AB21-SUM(PR21:QC21)),ALD20),MIN(MAX(0,AB21-SUM(PR21:QC21)),ALD20-G21*MAX(0,CD21*ALD20-(XC21+AAP21))))),MIN(FQ21,MAX(0,AB21-SUM(PR21:QC21))))</f>
        <v>0</v>
      </c>
      <c r="QE21" s="20" t="n">
        <f aca="false">IF(H_Direct=1,IF(ALE20&lt;=0,0,IF(CE21&lt;=0,MIN(MAX(0,AB21-SUM(PR21:QD21)),ALE20),MIN(MAX(0,AB21-SUM(PR21:QD21)),ALE20-G21*MAX(0,CE21*ALE20-(XD21+AAQ21))))),MIN(FR21,MAX(0,AB21-SUM(PR21:QD21))))</f>
        <v>0</v>
      </c>
      <c r="QF21" s="20" t="n">
        <f aca="false">IF(H_Direct=1,IF((P21+S21)&lt;=0,0,IF(CF21&lt;=0,MIN(MAX(0,AB21-SUM(PR21:QE21)),(P21+S21)),MIN(MAX(0,AB21-SUM(PR21:QE21)),(P21+S21)-G21*MAX(0,CF21*(P21+S21)-(XE21+AAR21))))),MIN(FS21,MAX(0,AB21-SUM(PR21:QE21))))</f>
        <v>0</v>
      </c>
      <c r="QG21" s="20" t="n">
        <v>0</v>
      </c>
      <c r="QH21" s="20" t="n">
        <v>0</v>
      </c>
      <c r="QI21" s="20" t="n">
        <v>0</v>
      </c>
      <c r="QJ21" s="20" t="n">
        <v>0</v>
      </c>
      <c r="QK21" s="20" t="n">
        <v>0</v>
      </c>
      <c r="QL21" s="20" t="n">
        <v>0</v>
      </c>
      <c r="QM21" s="20" t="n">
        <v>0</v>
      </c>
      <c r="QN21" s="20" t="n">
        <v>0</v>
      </c>
      <c r="QO21" s="20" t="n">
        <v>0</v>
      </c>
      <c r="QP21" s="20" t="n">
        <v>0</v>
      </c>
      <c r="QQ21" s="20" t="n">
        <v>0</v>
      </c>
      <c r="QR21" s="20" t="n">
        <v>0</v>
      </c>
      <c r="QS21" s="20" t="n">
        <v>0</v>
      </c>
      <c r="QT21" s="20" t="n">
        <v>0</v>
      </c>
      <c r="QU21" s="20" t="n">
        <v>0</v>
      </c>
      <c r="QV21" s="20" t="n">
        <v>0</v>
      </c>
      <c r="QW21" s="20" t="n">
        <v>0</v>
      </c>
      <c r="QX21" s="20" t="n">
        <v>0</v>
      </c>
      <c r="QY21" s="20" t="n">
        <v>0</v>
      </c>
      <c r="QZ21" s="20" t="n">
        <v>0</v>
      </c>
      <c r="RA21" s="20" t="n">
        <v>0</v>
      </c>
      <c r="RB21" s="20" t="n">
        <v>0</v>
      </c>
      <c r="RC21" s="20" t="n">
        <v>0</v>
      </c>
      <c r="RD21" s="20" t="n">
        <v>0</v>
      </c>
      <c r="RE21" s="20" t="n">
        <v>0</v>
      </c>
      <c r="RF21" s="20" t="n">
        <v>0</v>
      </c>
      <c r="RG21" s="20" t="n">
        <v>0</v>
      </c>
      <c r="RH21" s="20" t="n">
        <v>0</v>
      </c>
      <c r="RI21" s="20" t="n">
        <v>0</v>
      </c>
      <c r="RJ21" s="20" t="n">
        <v>0</v>
      </c>
      <c r="RK21" s="20" t="n">
        <v>0</v>
      </c>
      <c r="RL21" s="20" t="n">
        <v>0</v>
      </c>
      <c r="RM21" s="20" t="n">
        <v>0</v>
      </c>
      <c r="RN21" s="20" t="n">
        <v>0</v>
      </c>
      <c r="RO21" s="20" t="n">
        <v>0</v>
      </c>
      <c r="RP21" s="20" t="n">
        <v>0</v>
      </c>
      <c r="RQ21" s="20" t="n">
        <v>0</v>
      </c>
      <c r="RR21" s="20" t="n">
        <v>0</v>
      </c>
      <c r="RS21" s="20" t="n">
        <v>0</v>
      </c>
      <c r="RT21" s="20" t="n">
        <v>0</v>
      </c>
      <c r="RU21" s="20" t="n">
        <v>0</v>
      </c>
      <c r="RV21" s="20" t="n">
        <v>0</v>
      </c>
      <c r="RW21" s="20" t="n">
        <v>0</v>
      </c>
      <c r="RX21" s="20" t="n">
        <v>0</v>
      </c>
      <c r="RY21" s="20" t="n">
        <v>0</v>
      </c>
      <c r="RZ21" s="20" t="n">
        <v>0</v>
      </c>
      <c r="SA21" s="20" t="n">
        <v>0</v>
      </c>
      <c r="SB21" s="20" t="n">
        <v>0</v>
      </c>
      <c r="SC21" s="20" t="n">
        <v>0</v>
      </c>
      <c r="SD21" s="20" t="n">
        <v>0</v>
      </c>
      <c r="SE21" s="20" t="n">
        <v>0</v>
      </c>
      <c r="SF21" s="20" t="n">
        <v>0</v>
      </c>
      <c r="SG21" s="20" t="n">
        <v>0</v>
      </c>
      <c r="SH21" s="20" t="n">
        <v>0</v>
      </c>
      <c r="SI21" s="20" t="n">
        <v>0</v>
      </c>
      <c r="SJ21" s="20" t="n">
        <v>0</v>
      </c>
      <c r="SK21" s="20" t="n">
        <v>0</v>
      </c>
      <c r="SL21" s="20" t="n">
        <v>0</v>
      </c>
      <c r="SM21" s="20" t="n">
        <v>0</v>
      </c>
      <c r="SN21" s="20" t="n">
        <v>0</v>
      </c>
      <c r="SO21" s="20" t="n">
        <v>0</v>
      </c>
      <c r="SP21" s="20" t="n">
        <v>0</v>
      </c>
      <c r="SQ21" s="20" t="n">
        <v>0</v>
      </c>
      <c r="SR21" s="20" t="n">
        <v>0</v>
      </c>
      <c r="SS21" s="20" t="n">
        <v>0</v>
      </c>
      <c r="ST21" s="20" t="n">
        <v>0</v>
      </c>
      <c r="SU21" s="20" t="n">
        <v>0</v>
      </c>
      <c r="SV21" s="20" t="n">
        <v>0</v>
      </c>
      <c r="SW21" s="20" t="n">
        <v>0</v>
      </c>
      <c r="SX21" s="20" t="n">
        <v>0</v>
      </c>
      <c r="SY21" s="20" t="n">
        <v>0</v>
      </c>
      <c r="SZ21" s="20" t="n">
        <v>0</v>
      </c>
      <c r="TA21" s="20" t="n">
        <v>0</v>
      </c>
      <c r="TB21" s="20" t="n">
        <v>0</v>
      </c>
      <c r="TC21" s="20" t="n">
        <v>0</v>
      </c>
      <c r="TD21" s="20" t="n">
        <v>0</v>
      </c>
      <c r="TE21" s="20" t="n">
        <f aca="false">IF(AKR20&lt;=0,0,IF(H_Direct=1,IF(BR21&lt;=0,PR21,IF(PR21&lt;=(H21+I21)/BR21,PR21,(PR21-G21*(H21+I21))/(1-G21*BR21))),PR21/(1-MAX(0,BR21)*H_Exit)))</f>
        <v>0</v>
      </c>
      <c r="TF21" s="20" t="n">
        <f aca="false">IF(AKS20&lt;=0,0,IF(H_Direct=1,IF(BS21&lt;=0,PS21,IF(PS21&lt;=(WR21+AAE21)/BS21,PS21,(PS21-G21*(WR21+AAE21))/(1-G21*BS21))),PS21/(1-MAX(0,BS21)*H_Exit)))</f>
        <v>0</v>
      </c>
      <c r="TG21" s="20" t="n">
        <f aca="false">IF(AKT20&lt;=0,0,IF(H_Direct=1,IF(BT21&lt;=0,PT21,IF(PT21&lt;=(WS21+AAF21)/BT21,PT21,(PT21-G21*(WS21+AAF21))/(1-G21*BT21))),PT21/(1-MAX(0,BT21)*H_Exit)))</f>
        <v>0</v>
      </c>
      <c r="TH21" s="20" t="n">
        <f aca="false">IF(AKU20&lt;=0,0,IF(H_Direct=1,IF(BU21&lt;=0,PU21,IF(PU21&lt;=(WT21+AAG21)/BU21,PU21,(PU21-G21*(WT21+AAG21))/(1-G21*BU21))),PU21/(1-MAX(0,BU21)*H_Exit)))</f>
        <v>0</v>
      </c>
      <c r="TI21" s="20" t="n">
        <f aca="false">IF(AKV20&lt;=0,0,IF(H_Direct=1,IF(BV21&lt;=0,PV21,IF(PV21&lt;=(WU21+AAH21)/BV21,PV21,(PV21-G21*(WU21+AAH21))/(1-G21*BV21))),PV21/(1-MAX(0,BV21)*H_Exit)))</f>
        <v>0</v>
      </c>
      <c r="TJ21" s="20" t="n">
        <f aca="false">IF(AKW20&lt;=0,0,IF(H_Direct=1,IF(BW21&lt;=0,PW21,IF(PW21&lt;=(WV21+AAI21)/BW21,PW21,(PW21-G21*(WV21+AAI21))/(1-G21*BW21))),PW21/(1-MAX(0,BW21)*H_Exit)))</f>
        <v>0</v>
      </c>
      <c r="TK21" s="20" t="n">
        <f aca="false">IF(AKX20&lt;=0,0,IF(H_Direct=1,IF(BX21&lt;=0,PX21,IF(PX21&lt;=(WW21+AAJ21)/BX21,PX21,(PX21-G21*(WW21+AAJ21))/(1-G21*BX21))),PX21/(1-MAX(0,BX21)*H_Exit)))</f>
        <v>0</v>
      </c>
      <c r="TL21" s="20" t="n">
        <f aca="false">IF(AKY20&lt;=0,0,IF(H_Direct=1,IF(BY21&lt;=0,PY21,IF(PY21&lt;=(WX21+AAK21)/BY21,PY21,(PY21-G21*(WX21+AAK21))/(1-G21*BY21))),PY21/(1-MAX(0,BY21)*H_Exit)))</f>
        <v>0</v>
      </c>
      <c r="TM21" s="20" t="n">
        <f aca="false">IF(AKZ20&lt;=0,0,IF(H_Direct=1,IF(BZ21&lt;=0,PZ21,IF(PZ21&lt;=(WY21+AAL21)/BZ21,PZ21,(PZ21-G21*(WY21+AAL21))/(1-G21*BZ21))),PZ21/(1-MAX(0,BZ21)*H_Exit)))</f>
        <v>0</v>
      </c>
      <c r="TN21" s="20" t="n">
        <f aca="false">IF(ALA20&lt;=0,0,IF(H_Direct=1,IF(CA21&lt;=0,QA21,IF(QA21&lt;=(WZ21+AAM21)/CA21,QA21,(QA21-G21*(WZ21+AAM21))/(1-G21*CA21))),QA21/(1-MAX(0,CA21)*H_Exit)))</f>
        <v>0</v>
      </c>
      <c r="TO21" s="20" t="n">
        <f aca="false">IF(ALB20&lt;=0,0,IF(H_Direct=1,IF(CB21&lt;=0,QB21,IF(QB21&lt;=(XA21+AAN21)/CB21,QB21,(QB21-G21*(XA21+AAN21))/(1-G21*CB21))),QB21/(1-MAX(0,CB21)*H_Exit)))</f>
        <v>0</v>
      </c>
      <c r="TP21" s="20" t="n">
        <f aca="false">IF(ALC20&lt;=0,0,IF(H_Direct=1,IF(CC21&lt;=0,QC21,IF(QC21&lt;=(XB21+AAO21)/CC21,QC21,(QC21-G21*(XB21+AAO21))/(1-G21*CC21))),QC21/(1-MAX(0,CC21)*H_Exit)))</f>
        <v>0</v>
      </c>
      <c r="TQ21" s="20" t="n">
        <f aca="false">IF(ALD20&lt;=0,0,IF(H_Direct=1,IF(CD21&lt;=0,QD21,IF(QD21&lt;=(XC21+AAP21)/CD21,QD21,(QD21-G21*(XC21+AAP21))/(1-G21*CD21))),QD21/(1-MAX(0,CD21)*H_Exit)))</f>
        <v>0</v>
      </c>
      <c r="TR21" s="20" t="n">
        <f aca="false">IF(ALE20&lt;=0,0,IF(H_Direct=1,IF(CE21&lt;=0,QE21,IF(QE21&lt;=(XD21+AAQ21)/CE21,QE21,(QE21-G21*(XD21+AAQ21))/(1-G21*CE21))),QE21/(1-MAX(0,CE21)*H_Exit)))</f>
        <v>0</v>
      </c>
      <c r="TS21" s="20" t="n">
        <f aca="false">IF((P21+S21)&lt;=0,0,IF(H_Direct=1,IF(CF21&lt;=0,QF21,IF(QF21&lt;=(XE21+AAR21)/CF21,QF21,(QF21-G21*(XE21+AAR21))/(1-G21*CF21))),QF21/(1-MAX(0,CF21)*H_Exit)))</f>
        <v>0</v>
      </c>
      <c r="TT21" s="20" t="n">
        <v>0</v>
      </c>
      <c r="TU21" s="20" t="n">
        <v>0</v>
      </c>
      <c r="TV21" s="20" t="n">
        <v>0</v>
      </c>
      <c r="TW21" s="20" t="n">
        <v>0</v>
      </c>
      <c r="TX21" s="20" t="n">
        <v>0</v>
      </c>
      <c r="TY21" s="20" t="n">
        <v>0</v>
      </c>
      <c r="TZ21" s="20" t="n">
        <v>0</v>
      </c>
      <c r="UA21" s="20" t="n">
        <v>0</v>
      </c>
      <c r="UB21" s="20" t="n">
        <v>0</v>
      </c>
      <c r="UC21" s="20" t="n">
        <v>0</v>
      </c>
      <c r="UD21" s="20" t="n">
        <v>0</v>
      </c>
      <c r="UE21" s="20" t="n">
        <v>0</v>
      </c>
      <c r="UF21" s="20" t="n">
        <v>0</v>
      </c>
      <c r="UG21" s="20" t="n">
        <v>0</v>
      </c>
      <c r="UH21" s="20" t="n">
        <v>0</v>
      </c>
      <c r="UI21" s="20" t="n">
        <v>0</v>
      </c>
      <c r="UJ21" s="20" t="n">
        <v>0</v>
      </c>
      <c r="UK21" s="20" t="n">
        <v>0</v>
      </c>
      <c r="UL21" s="20" t="n">
        <v>0</v>
      </c>
      <c r="UM21" s="20" t="n">
        <v>0</v>
      </c>
      <c r="UN21" s="20" t="n">
        <v>0</v>
      </c>
      <c r="UO21" s="20" t="n">
        <v>0</v>
      </c>
      <c r="UP21" s="20" t="n">
        <v>0</v>
      </c>
      <c r="UQ21" s="20" t="n">
        <v>0</v>
      </c>
      <c r="UR21" s="20" t="n">
        <v>0</v>
      </c>
      <c r="US21" s="20" t="n">
        <v>0</v>
      </c>
      <c r="UT21" s="20" t="n">
        <v>0</v>
      </c>
      <c r="UU21" s="20" t="n">
        <v>0</v>
      </c>
      <c r="UV21" s="20" t="n">
        <v>0</v>
      </c>
      <c r="UW21" s="20" t="n">
        <v>0</v>
      </c>
      <c r="UX21" s="20" t="n">
        <v>0</v>
      </c>
      <c r="UY21" s="20" t="n">
        <v>0</v>
      </c>
      <c r="UZ21" s="20" t="n">
        <v>0</v>
      </c>
      <c r="VA21" s="20" t="n">
        <v>0</v>
      </c>
      <c r="VB21" s="20" t="n">
        <v>0</v>
      </c>
      <c r="VC21" s="20" t="n">
        <v>0</v>
      </c>
      <c r="VD21" s="20" t="n">
        <v>0</v>
      </c>
      <c r="VE21" s="20" t="n">
        <v>0</v>
      </c>
      <c r="VF21" s="20" t="n">
        <v>0</v>
      </c>
      <c r="VG21" s="20" t="n">
        <v>0</v>
      </c>
      <c r="VH21" s="20" t="n">
        <v>0</v>
      </c>
      <c r="VI21" s="20" t="n">
        <v>0</v>
      </c>
      <c r="VJ21" s="20" t="n">
        <v>0</v>
      </c>
      <c r="VK21" s="20" t="n">
        <v>0</v>
      </c>
      <c r="VL21" s="20" t="n">
        <v>0</v>
      </c>
      <c r="VM21" s="20" t="n">
        <v>0</v>
      </c>
      <c r="VN21" s="20" t="n">
        <v>0</v>
      </c>
      <c r="VO21" s="20" t="n">
        <v>0</v>
      </c>
      <c r="VP21" s="20" t="n">
        <v>0</v>
      </c>
      <c r="VQ21" s="20" t="n">
        <v>0</v>
      </c>
      <c r="VR21" s="20" t="n">
        <v>0</v>
      </c>
      <c r="VS21" s="20" t="n">
        <v>0</v>
      </c>
      <c r="VT21" s="20" t="n">
        <v>0</v>
      </c>
      <c r="VU21" s="20" t="n">
        <v>0</v>
      </c>
      <c r="VV21" s="20" t="n">
        <v>0</v>
      </c>
      <c r="VW21" s="20" t="n">
        <v>0</v>
      </c>
      <c r="VX21" s="20" t="n">
        <v>0</v>
      </c>
      <c r="VY21" s="20" t="n">
        <v>0</v>
      </c>
      <c r="VZ21" s="20" t="n">
        <v>0</v>
      </c>
      <c r="WA21" s="20" t="n">
        <v>0</v>
      </c>
      <c r="WB21" s="20" t="n">
        <v>0</v>
      </c>
      <c r="WC21" s="20" t="n">
        <v>0</v>
      </c>
      <c r="WD21" s="20" t="n">
        <v>0</v>
      </c>
      <c r="WE21" s="20" t="n">
        <v>0</v>
      </c>
      <c r="WF21" s="20" t="n">
        <v>0</v>
      </c>
      <c r="WG21" s="20" t="n">
        <v>0</v>
      </c>
      <c r="WH21" s="20" t="n">
        <v>0</v>
      </c>
      <c r="WI21" s="20" t="n">
        <v>0</v>
      </c>
      <c r="WJ21" s="20" t="n">
        <v>0</v>
      </c>
      <c r="WK21" s="20" t="n">
        <v>0</v>
      </c>
      <c r="WL21" s="20" t="n">
        <v>0</v>
      </c>
      <c r="WM21" s="20" t="n">
        <v>0</v>
      </c>
      <c r="WN21" s="20" t="n">
        <v>0</v>
      </c>
      <c r="WO21" s="20" t="n">
        <v>0</v>
      </c>
      <c r="WP21" s="20" t="n">
        <v>0</v>
      </c>
      <c r="WQ21" s="20" t="n">
        <v>0</v>
      </c>
      <c r="WR21" s="20" t="n">
        <f aca="false">IF(AND(H_Direct=1,BR21&gt;0),MAX(0,H21-(MIN(BR21*TE21,(H21+I21))-MIN(MIN(BR21*TE21,(H21+I21)),I21))),H21)</f>
        <v>1270</v>
      </c>
      <c r="WS21" s="20" t="n">
        <f aca="false">IF(AND(H_Direct=1,BS21&gt;0),MAX(0,WR21-(MIN(BS21*TF21,(WR21+AAE21))-MIN(MIN(BS21*TF21,(WR21+AAE21)),AAE21))),WR21)</f>
        <v>1270</v>
      </c>
      <c r="WT21" s="20" t="n">
        <f aca="false">IF(AND(H_Direct=1,BT21&gt;0),MAX(0,WS21-(MIN(BT21*TG21,(WS21+AAF21))-MIN(MIN(BT21*TG21,(WS21+AAF21)),AAF21))),WS21)</f>
        <v>1270</v>
      </c>
      <c r="WU21" s="20" t="n">
        <f aca="false">IF(AND(H_Direct=1,BU21&gt;0),MAX(0,WT21-(MIN(BU21*TH21,(WT21+AAG21))-MIN(MIN(BU21*TH21,(WT21+AAG21)),AAG21))),WT21)</f>
        <v>1270</v>
      </c>
      <c r="WV21" s="20" t="n">
        <f aca="false">IF(AND(H_Direct=1,BV21&gt;0),MAX(0,WU21-(MIN(BV21*TI21,(WU21+AAH21))-MIN(MIN(BV21*TI21,(WU21+AAH21)),AAH21))),WU21)</f>
        <v>1270</v>
      </c>
      <c r="WW21" s="20" t="n">
        <f aca="false">IF(AND(H_Direct=1,BW21&gt;0),MAX(0,WV21-(MIN(BW21*TJ21,(WV21+AAI21))-MIN(MIN(BW21*TJ21,(WV21+AAI21)),AAI21))),WV21)</f>
        <v>1270</v>
      </c>
      <c r="WX21" s="20" t="n">
        <f aca="false">IF(AND(H_Direct=1,BX21&gt;0),MAX(0,WW21-(MIN(BX21*TK21,(WW21+AAJ21))-MIN(MIN(BX21*TK21,(WW21+AAJ21)),AAJ21))),WW21)</f>
        <v>1270</v>
      </c>
      <c r="WY21" s="20" t="n">
        <f aca="false">IF(AND(H_Direct=1,BY21&gt;0),MAX(0,WX21-(MIN(BY21*TL21,(WX21+AAK21))-MIN(MIN(BY21*TL21,(WX21+AAK21)),AAK21))),WX21)</f>
        <v>1270</v>
      </c>
      <c r="WZ21" s="20" t="n">
        <f aca="false">IF(AND(H_Direct=1,BZ21&gt;0),MAX(0,WY21-(MIN(BZ21*TM21,(WY21+AAL21))-MIN(MIN(BZ21*TM21,(WY21+AAL21)),AAL21))),WY21)</f>
        <v>1270</v>
      </c>
      <c r="XA21" s="20" t="n">
        <f aca="false">IF(AND(H_Direct=1,CA21&gt;0),MAX(0,WZ21-(MIN(CA21*TN21,(WZ21+AAM21))-MIN(MIN(CA21*TN21,(WZ21+AAM21)),AAM21))),WZ21)</f>
        <v>1270</v>
      </c>
      <c r="XB21" s="20" t="n">
        <f aca="false">IF(AND(H_Direct=1,CB21&gt;0),MAX(0,XA21-(MIN(CB21*TO21,(XA21+AAN21))-MIN(MIN(CB21*TO21,(XA21+AAN21)),AAN21))),XA21)</f>
        <v>1270</v>
      </c>
      <c r="XC21" s="20" t="n">
        <f aca="false">IF(AND(H_Direct=1,CC21&gt;0),MAX(0,XB21-(MIN(CC21*TP21,(XB21+AAO21))-MIN(MIN(CC21*TP21,(XB21+AAO21)),AAO21))),XB21)</f>
        <v>1270</v>
      </c>
      <c r="XD21" s="20" t="n">
        <f aca="false">IF(AND(H_Direct=1,CD21&gt;0),MAX(0,XC21-(MIN(CD21*TQ21,(XC21+AAP21))-MIN(MIN(CD21*TQ21,(XC21+AAP21)),AAP21))),XC21)</f>
        <v>1270</v>
      </c>
      <c r="XE21" s="20" t="n">
        <f aca="false">IF(AND(H_Direct=1,CE21&gt;0),MAX(0,XD21-(MIN(CE21*TR21,(XD21+AAQ21))-MIN(MIN(CE21*TR21,(XD21+AAQ21)),AAQ21))),XD21)</f>
        <v>1270</v>
      </c>
      <c r="XF21" s="20" t="n">
        <f aca="false">IF(AND(H_Direct=1,CF21&gt;0),MAX(0,XE21-(MIN(CF21*TS21,(XE21+AAR21))-MIN(MIN(CF21*TS21,(XE21+AAR21)),AAR21))),XE21)</f>
        <v>1270</v>
      </c>
      <c r="XG21" s="20" t="n">
        <f aca="false">XF21</f>
        <v>1270</v>
      </c>
      <c r="XH21" s="20" t="n">
        <f aca="false">XG21</f>
        <v>1270</v>
      </c>
      <c r="XI21" s="20" t="n">
        <f aca="false">XH21</f>
        <v>1270</v>
      </c>
      <c r="XJ21" s="20" t="n">
        <f aca="false">XI21</f>
        <v>1270</v>
      </c>
      <c r="XK21" s="20" t="n">
        <f aca="false">XJ21</f>
        <v>1270</v>
      </c>
      <c r="XL21" s="20" t="n">
        <f aca="false">XK21</f>
        <v>1270</v>
      </c>
      <c r="XM21" s="20" t="n">
        <f aca="false">XL21</f>
        <v>1270</v>
      </c>
      <c r="XN21" s="20" t="n">
        <f aca="false">XM21</f>
        <v>1270</v>
      </c>
      <c r="XO21" s="20" t="n">
        <f aca="false">XN21</f>
        <v>1270</v>
      </c>
      <c r="XP21" s="20" t="n">
        <f aca="false">XO21</f>
        <v>1270</v>
      </c>
      <c r="XQ21" s="20" t="n">
        <f aca="false">XP21</f>
        <v>1270</v>
      </c>
      <c r="XR21" s="20" t="n">
        <f aca="false">XQ21</f>
        <v>1270</v>
      </c>
      <c r="XS21" s="20" t="n">
        <f aca="false">XR21</f>
        <v>1270</v>
      </c>
      <c r="XT21" s="20" t="n">
        <f aca="false">XS21</f>
        <v>1270</v>
      </c>
      <c r="XU21" s="20" t="n">
        <f aca="false">XT21</f>
        <v>1270</v>
      </c>
      <c r="XV21" s="20" t="n">
        <f aca="false">XU21</f>
        <v>1270</v>
      </c>
      <c r="XW21" s="20" t="n">
        <f aca="false">XV21</f>
        <v>1270</v>
      </c>
      <c r="XX21" s="20" t="n">
        <f aca="false">XW21</f>
        <v>1270</v>
      </c>
      <c r="XY21" s="20" t="n">
        <f aca="false">XX21</f>
        <v>1270</v>
      </c>
      <c r="XZ21" s="20" t="n">
        <f aca="false">XY21</f>
        <v>1270</v>
      </c>
      <c r="YA21" s="20" t="n">
        <f aca="false">XZ21</f>
        <v>1270</v>
      </c>
      <c r="YB21" s="20" t="n">
        <f aca="false">YA21</f>
        <v>1270</v>
      </c>
      <c r="YC21" s="20" t="n">
        <f aca="false">YB21</f>
        <v>1270</v>
      </c>
      <c r="YD21" s="20" t="n">
        <f aca="false">YC21</f>
        <v>1270</v>
      </c>
      <c r="YE21" s="20" t="n">
        <f aca="false">YD21</f>
        <v>1270</v>
      </c>
      <c r="YF21" s="20" t="n">
        <f aca="false">YE21</f>
        <v>1270</v>
      </c>
      <c r="YG21" s="20" t="n">
        <f aca="false">YF21</f>
        <v>1270</v>
      </c>
      <c r="YH21" s="20" t="n">
        <f aca="false">YG21</f>
        <v>1270</v>
      </c>
      <c r="YI21" s="20" t="n">
        <f aca="false">YH21</f>
        <v>1270</v>
      </c>
      <c r="YJ21" s="20" t="n">
        <f aca="false">YI21</f>
        <v>1270</v>
      </c>
      <c r="YK21" s="20" t="n">
        <f aca="false">YJ21</f>
        <v>1270</v>
      </c>
      <c r="YL21" s="20" t="n">
        <f aca="false">YK21</f>
        <v>1270</v>
      </c>
      <c r="YM21" s="20" t="n">
        <f aca="false">YL21</f>
        <v>1270</v>
      </c>
      <c r="YN21" s="20" t="n">
        <f aca="false">YM21</f>
        <v>1270</v>
      </c>
      <c r="YO21" s="20" t="n">
        <f aca="false">YN21</f>
        <v>1270</v>
      </c>
      <c r="YP21" s="20" t="n">
        <f aca="false">YO21</f>
        <v>1270</v>
      </c>
      <c r="YQ21" s="20" t="n">
        <f aca="false">YP21</f>
        <v>1270</v>
      </c>
      <c r="YR21" s="20" t="n">
        <f aca="false">YQ21</f>
        <v>1270</v>
      </c>
      <c r="YS21" s="20" t="n">
        <f aca="false">YR21</f>
        <v>1270</v>
      </c>
      <c r="YT21" s="20" t="n">
        <f aca="false">YS21</f>
        <v>1270</v>
      </c>
      <c r="YU21" s="20" t="n">
        <f aca="false">YT21</f>
        <v>1270</v>
      </c>
      <c r="YV21" s="20" t="n">
        <f aca="false">YU21</f>
        <v>1270</v>
      </c>
      <c r="YW21" s="20" t="n">
        <f aca="false">YV21</f>
        <v>1270</v>
      </c>
      <c r="YX21" s="20" t="n">
        <f aca="false">YW21</f>
        <v>1270</v>
      </c>
      <c r="YY21" s="20" t="n">
        <f aca="false">YX21</f>
        <v>1270</v>
      </c>
      <c r="YZ21" s="20" t="n">
        <f aca="false">YY21</f>
        <v>1270</v>
      </c>
      <c r="ZA21" s="20" t="n">
        <f aca="false">YZ21</f>
        <v>1270</v>
      </c>
      <c r="ZB21" s="20" t="n">
        <f aca="false">ZA21</f>
        <v>1270</v>
      </c>
      <c r="ZC21" s="20" t="n">
        <f aca="false">ZB21</f>
        <v>1270</v>
      </c>
      <c r="ZD21" s="20" t="n">
        <f aca="false">ZC21</f>
        <v>1270</v>
      </c>
      <c r="ZE21" s="20" t="n">
        <f aca="false">ZD21</f>
        <v>1270</v>
      </c>
      <c r="ZF21" s="20" t="n">
        <f aca="false">ZE21</f>
        <v>1270</v>
      </c>
      <c r="ZG21" s="20" t="n">
        <f aca="false">ZF21</f>
        <v>1270</v>
      </c>
      <c r="ZH21" s="20" t="n">
        <f aca="false">ZG21</f>
        <v>1270</v>
      </c>
      <c r="ZI21" s="20" t="n">
        <f aca="false">ZH21</f>
        <v>1270</v>
      </c>
      <c r="ZJ21" s="20" t="n">
        <f aca="false">ZI21</f>
        <v>1270</v>
      </c>
      <c r="ZK21" s="20" t="n">
        <f aca="false">ZJ21</f>
        <v>1270</v>
      </c>
      <c r="ZL21" s="20" t="n">
        <f aca="false">ZK21</f>
        <v>1270</v>
      </c>
      <c r="ZM21" s="20" t="n">
        <f aca="false">ZL21</f>
        <v>1270</v>
      </c>
      <c r="ZN21" s="20" t="n">
        <f aca="false">ZM21</f>
        <v>1270</v>
      </c>
      <c r="ZO21" s="20" t="n">
        <f aca="false">ZN21</f>
        <v>1270</v>
      </c>
      <c r="ZP21" s="20" t="n">
        <f aca="false">ZO21</f>
        <v>1270</v>
      </c>
      <c r="ZQ21" s="20" t="n">
        <f aca="false">ZP21</f>
        <v>1270</v>
      </c>
      <c r="ZR21" s="20" t="n">
        <f aca="false">ZQ21</f>
        <v>1270</v>
      </c>
      <c r="ZS21" s="20" t="n">
        <f aca="false">ZR21</f>
        <v>1270</v>
      </c>
      <c r="ZT21" s="20" t="n">
        <f aca="false">ZS21</f>
        <v>1270</v>
      </c>
      <c r="ZU21" s="20" t="n">
        <f aca="false">ZT21</f>
        <v>1270</v>
      </c>
      <c r="ZV21" s="20" t="n">
        <f aca="false">ZU21</f>
        <v>1270</v>
      </c>
      <c r="ZW21" s="20" t="n">
        <f aca="false">ZV21</f>
        <v>1270</v>
      </c>
      <c r="ZX21" s="20" t="n">
        <f aca="false">ZW21</f>
        <v>1270</v>
      </c>
      <c r="ZY21" s="20" t="n">
        <f aca="false">ZX21</f>
        <v>1270</v>
      </c>
      <c r="ZZ21" s="20" t="n">
        <f aca="false">ZY21</f>
        <v>1270</v>
      </c>
      <c r="AAA21" s="20" t="n">
        <f aca="false">ZZ21</f>
        <v>1270</v>
      </c>
      <c r="AAB21" s="20" t="n">
        <f aca="false">AAA21</f>
        <v>1270</v>
      </c>
      <c r="AAC21" s="20" t="n">
        <f aca="false">AAB21</f>
        <v>1270</v>
      </c>
      <c r="AAD21" s="20" t="n">
        <f aca="false">AAC21</f>
        <v>1270</v>
      </c>
      <c r="AAE21" s="20" t="n">
        <f aca="false">IF(H_Direct=1,IF(BR21&lt;=0,I21-BR21*TE21,I21-MIN(MIN(BR21*TE21,(H21+I21)),I21)),I21)</f>
        <v>0</v>
      </c>
      <c r="AAF21" s="20" t="n">
        <f aca="false">IF(H_Direct=1,IF(BS21&lt;=0,AAE21-BS21*TF21,AAE21-MIN(MIN(BS21*TF21,(WR21+AAE21)),AAE21)),AAE21)</f>
        <v>0</v>
      </c>
      <c r="AAG21" s="20" t="n">
        <f aca="false">IF(H_Direct=1,IF(BT21&lt;=0,AAF21-BT21*TG21,AAF21-MIN(MIN(BT21*TG21,(WS21+AAF21)),AAF21)),AAF21)</f>
        <v>0</v>
      </c>
      <c r="AAH21" s="20" t="n">
        <f aca="false">IF(H_Direct=1,IF(BU21&lt;=0,AAG21-BU21*TH21,AAG21-MIN(MIN(BU21*TH21,(WT21+AAG21)),AAG21)),AAG21)</f>
        <v>0</v>
      </c>
      <c r="AAI21" s="20" t="n">
        <f aca="false">IF(H_Direct=1,IF(BV21&lt;=0,AAH21-BV21*TI21,AAH21-MIN(MIN(BV21*TI21,(WU21+AAH21)),AAH21)),AAH21)</f>
        <v>0</v>
      </c>
      <c r="AAJ21" s="20" t="n">
        <f aca="false">IF(H_Direct=1,IF(BW21&lt;=0,AAI21-BW21*TJ21,AAI21-MIN(MIN(BW21*TJ21,(WV21+AAI21)),AAI21)),AAI21)</f>
        <v>0</v>
      </c>
      <c r="AAK21" s="20" t="n">
        <f aca="false">IF(H_Direct=1,IF(BX21&lt;=0,AAJ21-BX21*TK21,AAJ21-MIN(MIN(BX21*TK21,(WW21+AAJ21)),AAJ21)),AAJ21)</f>
        <v>0</v>
      </c>
      <c r="AAL21" s="20" t="n">
        <f aca="false">IF(H_Direct=1,IF(BY21&lt;=0,AAK21-BY21*TL21,AAK21-MIN(MIN(BY21*TL21,(WX21+AAK21)),AAK21)),AAK21)</f>
        <v>0</v>
      </c>
      <c r="AAM21" s="20" t="n">
        <f aca="false">IF(H_Direct=1,IF(BZ21&lt;=0,AAL21-BZ21*TM21,AAL21-MIN(MIN(BZ21*TM21,(WY21+AAL21)),AAL21)),AAL21)</f>
        <v>0</v>
      </c>
      <c r="AAN21" s="20" t="n">
        <f aca="false">IF(H_Direct=1,IF(CA21&lt;=0,AAM21-CA21*TN21,AAM21-MIN(MIN(CA21*TN21,(WZ21+AAM21)),AAM21)),AAM21)</f>
        <v>0</v>
      </c>
      <c r="AAO21" s="20" t="n">
        <f aca="false">IF(H_Direct=1,IF(CB21&lt;=0,AAN21-CB21*TO21,AAN21-MIN(MIN(CB21*TO21,(XA21+AAN21)),AAN21)),AAN21)</f>
        <v>0</v>
      </c>
      <c r="AAP21" s="20" t="n">
        <f aca="false">IF(H_Direct=1,IF(CC21&lt;=0,AAO21-CC21*TP21,AAO21-MIN(MIN(CC21*TP21,(XB21+AAO21)),AAO21)),AAO21)</f>
        <v>0</v>
      </c>
      <c r="AAQ21" s="20" t="n">
        <f aca="false">IF(H_Direct=1,IF(CD21&lt;=0,AAP21-CD21*TQ21,AAP21-MIN(MIN(CD21*TQ21,(XC21+AAP21)),AAP21)),AAP21)</f>
        <v>0</v>
      </c>
      <c r="AAR21" s="20" t="n">
        <f aca="false">IF(H_Direct=1,IF(CE21&lt;=0,AAQ21-CE21*TR21,AAQ21-MIN(MIN(CE21*TR21,(XD21+AAQ21)),AAQ21)),AAQ21)</f>
        <v>0</v>
      </c>
      <c r="AAS21" s="20" t="n">
        <f aca="false">IF(H_Direct=1,IF(CF21&lt;=0,AAR21-CF21*TS21,AAR21-MIN(MIN(CF21*TS21,(XE21+AAR21)),AAR21)),AAR21)</f>
        <v>0</v>
      </c>
      <c r="AAT21" s="20" t="n">
        <f aca="false">AAS21</f>
        <v>0</v>
      </c>
      <c r="AAU21" s="20" t="n">
        <f aca="false">AAT21</f>
        <v>0</v>
      </c>
      <c r="AAV21" s="20" t="n">
        <f aca="false">AAU21</f>
        <v>0</v>
      </c>
      <c r="AAW21" s="20" t="n">
        <f aca="false">AAV21</f>
        <v>0</v>
      </c>
      <c r="AAX21" s="20" t="n">
        <f aca="false">AAW21</f>
        <v>0</v>
      </c>
      <c r="AAY21" s="20" t="n">
        <f aca="false">AAX21</f>
        <v>0</v>
      </c>
      <c r="AAZ21" s="20" t="n">
        <f aca="false">AAY21</f>
        <v>0</v>
      </c>
      <c r="ABA21" s="20" t="n">
        <f aca="false">AAZ21</f>
        <v>0</v>
      </c>
      <c r="ABB21" s="20" t="n">
        <f aca="false">ABA21</f>
        <v>0</v>
      </c>
      <c r="ABC21" s="20" t="n">
        <f aca="false">ABB21</f>
        <v>0</v>
      </c>
      <c r="ABD21" s="20" t="n">
        <f aca="false">ABC21</f>
        <v>0</v>
      </c>
      <c r="ABE21" s="20" t="n">
        <f aca="false">ABD21</f>
        <v>0</v>
      </c>
      <c r="ABF21" s="20" t="n">
        <f aca="false">ABE21</f>
        <v>0</v>
      </c>
      <c r="ABG21" s="20" t="n">
        <f aca="false">ABF21</f>
        <v>0</v>
      </c>
      <c r="ABH21" s="20" t="n">
        <f aca="false">ABG21</f>
        <v>0</v>
      </c>
      <c r="ABI21" s="20" t="n">
        <f aca="false">ABH21</f>
        <v>0</v>
      </c>
      <c r="ABJ21" s="20" t="n">
        <f aca="false">ABI21</f>
        <v>0</v>
      </c>
      <c r="ABK21" s="20" t="n">
        <f aca="false">ABJ21</f>
        <v>0</v>
      </c>
      <c r="ABL21" s="20" t="n">
        <f aca="false">ABK21</f>
        <v>0</v>
      </c>
      <c r="ABM21" s="20" t="n">
        <f aca="false">ABL21</f>
        <v>0</v>
      </c>
      <c r="ABN21" s="20" t="n">
        <f aca="false">ABM21</f>
        <v>0</v>
      </c>
      <c r="ABO21" s="20" t="n">
        <f aca="false">ABN21</f>
        <v>0</v>
      </c>
      <c r="ABP21" s="20" t="n">
        <f aca="false">ABO21</f>
        <v>0</v>
      </c>
      <c r="ABQ21" s="20" t="n">
        <f aca="false">ABP21</f>
        <v>0</v>
      </c>
      <c r="ABR21" s="20" t="n">
        <f aca="false">ABQ21</f>
        <v>0</v>
      </c>
      <c r="ABS21" s="20" t="n">
        <f aca="false">ABR21</f>
        <v>0</v>
      </c>
      <c r="ABT21" s="20" t="n">
        <f aca="false">ABS21</f>
        <v>0</v>
      </c>
      <c r="ABU21" s="20" t="n">
        <f aca="false">ABT21</f>
        <v>0</v>
      </c>
      <c r="ABV21" s="20" t="n">
        <f aca="false">ABU21</f>
        <v>0</v>
      </c>
      <c r="ABW21" s="20" t="n">
        <f aca="false">ABV21</f>
        <v>0</v>
      </c>
      <c r="ABX21" s="20" t="n">
        <f aca="false">ABW21</f>
        <v>0</v>
      </c>
      <c r="ABY21" s="20" t="n">
        <f aca="false">ABX21</f>
        <v>0</v>
      </c>
      <c r="ABZ21" s="20" t="n">
        <f aca="false">ABY21</f>
        <v>0</v>
      </c>
      <c r="ACA21" s="20" t="n">
        <f aca="false">ABZ21</f>
        <v>0</v>
      </c>
      <c r="ACB21" s="20" t="n">
        <f aca="false">ACA21</f>
        <v>0</v>
      </c>
      <c r="ACC21" s="20" t="n">
        <f aca="false">ACB21</f>
        <v>0</v>
      </c>
      <c r="ACD21" s="20" t="n">
        <f aca="false">ACC21</f>
        <v>0</v>
      </c>
      <c r="ACE21" s="20" t="n">
        <f aca="false">ACD21</f>
        <v>0</v>
      </c>
      <c r="ACF21" s="20" t="n">
        <f aca="false">ACE21</f>
        <v>0</v>
      </c>
      <c r="ACG21" s="20" t="n">
        <f aca="false">ACF21</f>
        <v>0</v>
      </c>
      <c r="ACH21" s="20" t="n">
        <f aca="false">ACG21</f>
        <v>0</v>
      </c>
      <c r="ACI21" s="20" t="n">
        <f aca="false">ACH21</f>
        <v>0</v>
      </c>
      <c r="ACJ21" s="20" t="n">
        <f aca="false">ACI21</f>
        <v>0</v>
      </c>
      <c r="ACK21" s="20" t="n">
        <f aca="false">ACJ21</f>
        <v>0</v>
      </c>
      <c r="ACL21" s="20" t="n">
        <f aca="false">ACK21</f>
        <v>0</v>
      </c>
      <c r="ACM21" s="20" t="n">
        <f aca="false">ACL21</f>
        <v>0</v>
      </c>
      <c r="ACN21" s="20" t="n">
        <f aca="false">ACM21</f>
        <v>0</v>
      </c>
      <c r="ACO21" s="20" t="n">
        <f aca="false">ACN21</f>
        <v>0</v>
      </c>
      <c r="ACP21" s="20" t="n">
        <f aca="false">ACO21</f>
        <v>0</v>
      </c>
      <c r="ACQ21" s="20" t="n">
        <f aca="false">ACP21</f>
        <v>0</v>
      </c>
      <c r="ACR21" s="20" t="n">
        <f aca="false">ACQ21</f>
        <v>0</v>
      </c>
      <c r="ACS21" s="20" t="n">
        <f aca="false">ACR21</f>
        <v>0</v>
      </c>
      <c r="ACT21" s="20" t="n">
        <f aca="false">ACS21</f>
        <v>0</v>
      </c>
      <c r="ACU21" s="20" t="n">
        <f aca="false">ACT21</f>
        <v>0</v>
      </c>
      <c r="ACV21" s="20" t="n">
        <f aca="false">ACU21</f>
        <v>0</v>
      </c>
      <c r="ACW21" s="20" t="n">
        <f aca="false">ACV21</f>
        <v>0</v>
      </c>
      <c r="ACX21" s="20" t="n">
        <f aca="false">ACW21</f>
        <v>0</v>
      </c>
      <c r="ACY21" s="20" t="n">
        <f aca="false">ACX21</f>
        <v>0</v>
      </c>
      <c r="ACZ21" s="20" t="n">
        <f aca="false">ACY21</f>
        <v>0</v>
      </c>
      <c r="ADA21" s="20" t="n">
        <f aca="false">ACZ21</f>
        <v>0</v>
      </c>
      <c r="ADB21" s="20" t="n">
        <f aca="false">ADA21</f>
        <v>0</v>
      </c>
      <c r="ADC21" s="20" t="n">
        <f aca="false">ADB21</f>
        <v>0</v>
      </c>
      <c r="ADD21" s="20" t="n">
        <f aca="false">ADC21</f>
        <v>0</v>
      </c>
      <c r="ADE21" s="20" t="n">
        <f aca="false">ADD21</f>
        <v>0</v>
      </c>
      <c r="ADF21" s="20" t="n">
        <f aca="false">ADE21</f>
        <v>0</v>
      </c>
      <c r="ADG21" s="20" t="n">
        <f aca="false">ADF21</f>
        <v>0</v>
      </c>
      <c r="ADH21" s="20" t="n">
        <f aca="false">ADG21</f>
        <v>0</v>
      </c>
      <c r="ADI21" s="20" t="n">
        <f aca="false">ADH21</f>
        <v>0</v>
      </c>
      <c r="ADJ21" s="20" t="n">
        <f aca="false">ADI21</f>
        <v>0</v>
      </c>
      <c r="ADK21" s="20" t="n">
        <f aca="false">ADJ21</f>
        <v>0</v>
      </c>
      <c r="ADL21" s="20" t="n">
        <f aca="false">ADK21</f>
        <v>0</v>
      </c>
      <c r="ADM21" s="20" t="n">
        <f aca="false">ADL21</f>
        <v>0</v>
      </c>
      <c r="ADN21" s="20" t="n">
        <f aca="false">ADM21</f>
        <v>0</v>
      </c>
      <c r="ADO21" s="20" t="n">
        <f aca="false">ADN21</f>
        <v>0</v>
      </c>
      <c r="ADP21" s="20" t="n">
        <f aca="false">ADO21</f>
        <v>0</v>
      </c>
      <c r="ADQ21" s="20" t="n">
        <f aca="false">ADP21</f>
        <v>0</v>
      </c>
      <c r="ADR21" s="20" t="n">
        <f aca="false">(AKR20-TE21+0)*(1+BQ21)</f>
        <v>0</v>
      </c>
      <c r="ADS21" s="20" t="n">
        <f aca="false">(AKS20-TF21+0)*(1+BQ21)</f>
        <v>0</v>
      </c>
      <c r="ADT21" s="20" t="n">
        <f aca="false">(AKT20-TG21+0)*(1+BQ21)</f>
        <v>0</v>
      </c>
      <c r="ADU21" s="20" t="n">
        <f aca="false">(AKU20-TH21+0)*(1+BQ21)</f>
        <v>0</v>
      </c>
      <c r="ADV21" s="20" t="n">
        <f aca="false">(AKV20-TI21+0)*(1+BQ21)</f>
        <v>0</v>
      </c>
      <c r="ADW21" s="20" t="n">
        <f aca="false">(AKW20-TJ21+0)*(1+BQ21)</f>
        <v>0</v>
      </c>
      <c r="ADX21" s="20" t="n">
        <f aca="false">(AKX20-TK21+0)*(1+BQ21)</f>
        <v>0</v>
      </c>
      <c r="ADY21" s="20" t="n">
        <f aca="false">(AKY20-TL21+0)*(1+BQ21)</f>
        <v>0</v>
      </c>
      <c r="ADZ21" s="20" t="n">
        <f aca="false">(AKZ20-TM21+0)*(1+BQ21)</f>
        <v>0</v>
      </c>
      <c r="AEA21" s="20" t="n">
        <f aca="false">(ALA20-TN21+0)*(1+BQ21)</f>
        <v>0</v>
      </c>
      <c r="AEB21" s="20" t="n">
        <f aca="false">(ALB20-TO21+0)*(1+BQ21)</f>
        <v>0</v>
      </c>
      <c r="AEC21" s="20" t="n">
        <f aca="false">(ALC20-TP21+0)*(1+BQ21)</f>
        <v>639.534674755324</v>
      </c>
      <c r="AED21" s="20" t="n">
        <f aca="false">(ALD20-TQ21+0)*(1+BQ21)</f>
        <v>804.51427022704</v>
      </c>
      <c r="AEE21" s="20" t="n">
        <f aca="false">(ALE20-TR21+0)*(1+BQ21)</f>
        <v>962.778727034899</v>
      </c>
      <c r="AEF21" s="20" t="n">
        <f aca="false">((P21+S21)-TS21+BE21)*(1+BQ21)</f>
        <v>1082.64976847922</v>
      </c>
      <c r="AEG21" s="20" t="n">
        <v>0</v>
      </c>
      <c r="AEH21" s="20" t="n">
        <v>0</v>
      </c>
      <c r="AEI21" s="20" t="n">
        <v>0</v>
      </c>
      <c r="AEJ21" s="20" t="n">
        <v>0</v>
      </c>
      <c r="AEK21" s="20" t="n">
        <v>0</v>
      </c>
      <c r="AEL21" s="20" t="n">
        <v>0</v>
      </c>
      <c r="AEM21" s="20" t="n">
        <v>0</v>
      </c>
      <c r="AEN21" s="20" t="n">
        <v>0</v>
      </c>
      <c r="AEO21" s="20" t="n">
        <v>0</v>
      </c>
      <c r="AEP21" s="20" t="n">
        <v>0</v>
      </c>
      <c r="AEQ21" s="20" t="n">
        <v>0</v>
      </c>
      <c r="AER21" s="20" t="n">
        <v>0</v>
      </c>
      <c r="AES21" s="20" t="n">
        <v>0</v>
      </c>
      <c r="AET21" s="20" t="n">
        <v>0</v>
      </c>
      <c r="AEU21" s="20" t="n">
        <v>0</v>
      </c>
      <c r="AEV21" s="20" t="n">
        <v>0</v>
      </c>
      <c r="AEW21" s="20" t="n">
        <v>0</v>
      </c>
      <c r="AEX21" s="20" t="n">
        <v>0</v>
      </c>
      <c r="AEY21" s="20" t="n">
        <v>0</v>
      </c>
      <c r="AEZ21" s="20" t="n">
        <v>0</v>
      </c>
      <c r="AFA21" s="20" t="n">
        <v>0</v>
      </c>
      <c r="AFB21" s="20" t="n">
        <v>0</v>
      </c>
      <c r="AFC21" s="20" t="n">
        <v>0</v>
      </c>
      <c r="AFD21" s="20" t="n">
        <v>0</v>
      </c>
      <c r="AFE21" s="20" t="n">
        <v>0</v>
      </c>
      <c r="AFF21" s="20" t="n">
        <v>0</v>
      </c>
      <c r="AFG21" s="20" t="n">
        <v>0</v>
      </c>
      <c r="AFH21" s="20" t="n">
        <v>0</v>
      </c>
      <c r="AFI21" s="20" t="n">
        <v>0</v>
      </c>
      <c r="AFJ21" s="20" t="n">
        <v>0</v>
      </c>
      <c r="AFK21" s="20" t="n">
        <v>0</v>
      </c>
      <c r="AFL21" s="20" t="n">
        <v>0</v>
      </c>
      <c r="AFM21" s="20" t="n">
        <v>0</v>
      </c>
      <c r="AFN21" s="20" t="n">
        <v>0</v>
      </c>
      <c r="AFO21" s="20" t="n">
        <v>0</v>
      </c>
      <c r="AFP21" s="20" t="n">
        <v>0</v>
      </c>
      <c r="AFQ21" s="20" t="n">
        <v>0</v>
      </c>
      <c r="AFR21" s="20" t="n">
        <v>0</v>
      </c>
      <c r="AFS21" s="20" t="n">
        <v>0</v>
      </c>
      <c r="AFT21" s="20" t="n">
        <v>0</v>
      </c>
      <c r="AFU21" s="20" t="n">
        <v>0</v>
      </c>
      <c r="AFV21" s="20" t="n">
        <v>0</v>
      </c>
      <c r="AFW21" s="20" t="n">
        <v>0</v>
      </c>
      <c r="AFX21" s="20" t="n">
        <v>0</v>
      </c>
      <c r="AFY21" s="20" t="n">
        <v>0</v>
      </c>
      <c r="AFZ21" s="20" t="n">
        <v>0</v>
      </c>
      <c r="AGA21" s="20" t="n">
        <v>0</v>
      </c>
      <c r="AGB21" s="20" t="n">
        <v>0</v>
      </c>
      <c r="AGC21" s="20" t="n">
        <v>0</v>
      </c>
      <c r="AGD21" s="20" t="n">
        <v>0</v>
      </c>
      <c r="AGE21" s="20" t="n">
        <v>0</v>
      </c>
      <c r="AGF21" s="20" t="n">
        <v>0</v>
      </c>
      <c r="AGG21" s="20" t="n">
        <v>0</v>
      </c>
      <c r="AGH21" s="20" t="n">
        <v>0</v>
      </c>
      <c r="AGI21" s="20" t="n">
        <v>0</v>
      </c>
      <c r="AGJ21" s="20" t="n">
        <v>0</v>
      </c>
      <c r="AGK21" s="20" t="n">
        <v>0</v>
      </c>
      <c r="AGL21" s="20" t="n">
        <v>0</v>
      </c>
      <c r="AGM21" s="20" t="n">
        <v>0</v>
      </c>
      <c r="AGN21" s="20" t="n">
        <v>0</v>
      </c>
      <c r="AGO21" s="20" t="n">
        <v>0</v>
      </c>
      <c r="AGP21" s="20" t="n">
        <v>0</v>
      </c>
      <c r="AGQ21" s="20" t="n">
        <v>0</v>
      </c>
      <c r="AGR21" s="20" t="n">
        <v>0</v>
      </c>
      <c r="AGS21" s="20" t="n">
        <v>0</v>
      </c>
      <c r="AGT21" s="20" t="n">
        <v>0</v>
      </c>
      <c r="AGU21" s="20" t="n">
        <v>0</v>
      </c>
      <c r="AGV21" s="20" t="n">
        <v>0</v>
      </c>
      <c r="AGW21" s="20" t="n">
        <v>0</v>
      </c>
      <c r="AGX21" s="20" t="n">
        <v>0</v>
      </c>
      <c r="AGY21" s="20" t="n">
        <v>0</v>
      </c>
      <c r="AGZ21" s="20" t="n">
        <v>0</v>
      </c>
      <c r="AHA21" s="20" t="n">
        <v>0</v>
      </c>
      <c r="AHB21" s="20" t="n">
        <v>0</v>
      </c>
      <c r="AHC21" s="20" t="n">
        <v>0</v>
      </c>
      <c r="AHD21" s="20" t="n">
        <v>0</v>
      </c>
      <c r="AHE21" s="20" t="n">
        <f aca="false">IF(AKR20&gt;0,AOE20-AOE20*TE21/AKR20,0)+0</f>
        <v>0</v>
      </c>
      <c r="AHF21" s="20" t="n">
        <f aca="false">IF(AKS20&gt;0,AOF20-AOF20*TF21/AKS20,0)+0</f>
        <v>0</v>
      </c>
      <c r="AHG21" s="20" t="n">
        <f aca="false">IF(AKT20&gt;0,AOG20-AOG20*TG21/AKT20,0)+0</f>
        <v>0</v>
      </c>
      <c r="AHH21" s="20" t="n">
        <f aca="false">IF(AKU20&gt;0,AOH20-AOH20*TH21/AKU20,0)+0</f>
        <v>0</v>
      </c>
      <c r="AHI21" s="20" t="n">
        <f aca="false">IF(AKV20&gt;0,AOI20-AOI20*TI21/AKV20,0)+0</f>
        <v>0</v>
      </c>
      <c r="AHJ21" s="20" t="n">
        <f aca="false">IF(AKW20&gt;0,AOJ20-AOJ20*TJ21/AKW20,0)+0</f>
        <v>0</v>
      </c>
      <c r="AHK21" s="20" t="n">
        <f aca="false">IF(AKX20&gt;0,AOK20-AOK20*TK21/AKX20,0)+0</f>
        <v>0</v>
      </c>
      <c r="AHL21" s="20" t="n">
        <f aca="false">IF(AKY20&gt;0,AOL20-AOL20*TL21/AKY20,0)+0</f>
        <v>0</v>
      </c>
      <c r="AHM21" s="20" t="n">
        <f aca="false">IF(AKZ20&gt;0,AOM20-AOM20*TM21/AKZ20,0)+0</f>
        <v>0</v>
      </c>
      <c r="AHN21" s="20" t="n">
        <f aca="false">IF(ALA20&gt;0,AON20-AON20*TN21/ALA20,0)+0</f>
        <v>0</v>
      </c>
      <c r="AHO21" s="20" t="n">
        <f aca="false">IF(ALB20&gt;0,AOO20-AOO20*TO21/ALB20,0)+0</f>
        <v>0</v>
      </c>
      <c r="AHP21" s="20" t="n">
        <f aca="false">IF(ALC20&gt;0,AOP20-AOP20*TP21/ALC20,0)+0</f>
        <v>546.676920289684</v>
      </c>
      <c r="AHQ21" s="20" t="n">
        <f aca="false">IF(ALD20&gt;0,AOQ20-AOQ20*TQ21/ALD20,0)+0</f>
        <v>715.210256730627</v>
      </c>
      <c r="AHR21" s="20" t="n">
        <f aca="false">IF(ALE20&gt;0,AOR20-AOR20*TR21/ALE20,0)+0</f>
        <v>890.143053841438</v>
      </c>
      <c r="AHS21" s="20" t="n">
        <f aca="false">IF((P21+S21)&gt;0,(P21+S21)-(P21+S21)*TS21/(P21+S21),0)+BE21</f>
        <v>1041.00939276848</v>
      </c>
      <c r="AHT21" s="20" t="n">
        <v>0</v>
      </c>
      <c r="AHU21" s="20" t="n">
        <v>0</v>
      </c>
      <c r="AHV21" s="20" t="n">
        <v>0</v>
      </c>
      <c r="AHW21" s="20" t="n">
        <v>0</v>
      </c>
      <c r="AHX21" s="20" t="n">
        <v>0</v>
      </c>
      <c r="AHY21" s="20" t="n">
        <v>0</v>
      </c>
      <c r="AHZ21" s="20" t="n">
        <v>0</v>
      </c>
      <c r="AIA21" s="20" t="n">
        <v>0</v>
      </c>
      <c r="AIB21" s="20" t="n">
        <v>0</v>
      </c>
      <c r="AIC21" s="20" t="n">
        <v>0</v>
      </c>
      <c r="AID21" s="20" t="n">
        <v>0</v>
      </c>
      <c r="AIE21" s="20" t="n">
        <v>0</v>
      </c>
      <c r="AIF21" s="20" t="n">
        <v>0</v>
      </c>
      <c r="AIG21" s="20" t="n">
        <v>0</v>
      </c>
      <c r="AIH21" s="20" t="n">
        <v>0</v>
      </c>
      <c r="AII21" s="20" t="n">
        <v>0</v>
      </c>
      <c r="AIJ21" s="20" t="n">
        <v>0</v>
      </c>
      <c r="AIK21" s="20" t="n">
        <v>0</v>
      </c>
      <c r="AIL21" s="20" t="n">
        <v>0</v>
      </c>
      <c r="AIM21" s="20" t="n">
        <v>0</v>
      </c>
      <c r="AIN21" s="20" t="n">
        <v>0</v>
      </c>
      <c r="AIO21" s="20" t="n">
        <v>0</v>
      </c>
      <c r="AIP21" s="20" t="n">
        <v>0</v>
      </c>
      <c r="AIQ21" s="20" t="n">
        <v>0</v>
      </c>
      <c r="AIR21" s="20" t="n">
        <v>0</v>
      </c>
      <c r="AIS21" s="20" t="n">
        <v>0</v>
      </c>
      <c r="AIT21" s="20" t="n">
        <v>0</v>
      </c>
      <c r="AIU21" s="20" t="n">
        <v>0</v>
      </c>
      <c r="AIV21" s="20" t="n">
        <v>0</v>
      </c>
      <c r="AIW21" s="20" t="n">
        <v>0</v>
      </c>
      <c r="AIX21" s="20" t="n">
        <v>0</v>
      </c>
      <c r="AIY21" s="20" t="n">
        <v>0</v>
      </c>
      <c r="AIZ21" s="20" t="n">
        <v>0</v>
      </c>
      <c r="AJA21" s="20" t="n">
        <v>0</v>
      </c>
      <c r="AJB21" s="20" t="n">
        <v>0</v>
      </c>
      <c r="AJC21" s="20" t="n">
        <v>0</v>
      </c>
      <c r="AJD21" s="20" t="n">
        <v>0</v>
      </c>
      <c r="AJE21" s="20" t="n">
        <v>0</v>
      </c>
      <c r="AJF21" s="20" t="n">
        <v>0</v>
      </c>
      <c r="AJG21" s="20" t="n">
        <v>0</v>
      </c>
      <c r="AJH21" s="20" t="n">
        <v>0</v>
      </c>
      <c r="AJI21" s="20" t="n">
        <v>0</v>
      </c>
      <c r="AJJ21" s="20" t="n">
        <v>0</v>
      </c>
      <c r="AJK21" s="20" t="n">
        <v>0</v>
      </c>
      <c r="AJL21" s="20" t="n">
        <v>0</v>
      </c>
      <c r="AJM21" s="20" t="n">
        <v>0</v>
      </c>
      <c r="AJN21" s="20" t="n">
        <v>0</v>
      </c>
      <c r="AJO21" s="20" t="n">
        <v>0</v>
      </c>
      <c r="AJP21" s="20" t="n">
        <v>0</v>
      </c>
      <c r="AJQ21" s="20" t="n">
        <v>0</v>
      </c>
      <c r="AJR21" s="20" t="n">
        <v>0</v>
      </c>
      <c r="AJS21" s="20" t="n">
        <v>0</v>
      </c>
      <c r="AJT21" s="20" t="n">
        <v>0</v>
      </c>
      <c r="AJU21" s="20" t="n">
        <v>0</v>
      </c>
      <c r="AJV21" s="20" t="n">
        <v>0</v>
      </c>
      <c r="AJW21" s="20" t="n">
        <v>0</v>
      </c>
      <c r="AJX21" s="20" t="n">
        <v>0</v>
      </c>
      <c r="AJY21" s="20" t="n">
        <v>0</v>
      </c>
      <c r="AJZ21" s="20" t="n">
        <v>0</v>
      </c>
      <c r="AKA21" s="20" t="n">
        <v>0</v>
      </c>
      <c r="AKB21" s="20" t="n">
        <v>0</v>
      </c>
      <c r="AKC21" s="20" t="n">
        <v>0</v>
      </c>
      <c r="AKD21" s="20" t="n">
        <v>0</v>
      </c>
      <c r="AKE21" s="20" t="n">
        <v>0</v>
      </c>
      <c r="AKF21" s="20" t="n">
        <v>0</v>
      </c>
      <c r="AKG21" s="20" t="n">
        <v>0</v>
      </c>
      <c r="AKH21" s="20" t="n">
        <v>0</v>
      </c>
      <c r="AKI21" s="20" t="n">
        <v>0</v>
      </c>
      <c r="AKJ21" s="20" t="n">
        <v>0</v>
      </c>
      <c r="AKK21" s="20" t="n">
        <v>0</v>
      </c>
      <c r="AKL21" s="20" t="n">
        <v>0</v>
      </c>
      <c r="AKM21" s="20" t="n">
        <v>0</v>
      </c>
      <c r="AKN21" s="20" t="n">
        <v>0</v>
      </c>
      <c r="AKO21" s="20" t="n">
        <v>0</v>
      </c>
      <c r="AKP21" s="20" t="n">
        <v>0</v>
      </c>
      <c r="AKQ21" s="20" t="n">
        <v>0</v>
      </c>
      <c r="AKR21" s="20" t="n">
        <f aca="false">ADR21-AVE21</f>
        <v>0</v>
      </c>
      <c r="AKS21" s="20" t="n">
        <f aca="false">ADS21-AVF21</f>
        <v>0</v>
      </c>
      <c r="AKT21" s="20" t="n">
        <f aca="false">ADT21-AVG21</f>
        <v>0</v>
      </c>
      <c r="AKU21" s="20" t="n">
        <f aca="false">ADU21-AVH21</f>
        <v>0</v>
      </c>
      <c r="AKV21" s="20" t="n">
        <f aca="false">ADV21-AVI21</f>
        <v>0</v>
      </c>
      <c r="AKW21" s="20" t="n">
        <f aca="false">ADW21-AVJ21</f>
        <v>0</v>
      </c>
      <c r="AKX21" s="20" t="n">
        <f aca="false">ADX21-AVK21</f>
        <v>0</v>
      </c>
      <c r="AKY21" s="20" t="n">
        <f aca="false">ADY21-AVL21</f>
        <v>0</v>
      </c>
      <c r="AKZ21" s="20" t="n">
        <f aca="false">ADZ21-AVM21</f>
        <v>0</v>
      </c>
      <c r="ALA21" s="20" t="n">
        <f aca="false">AEA21-AVN21</f>
        <v>0</v>
      </c>
      <c r="ALB21" s="20" t="n">
        <f aca="false">AEB21-AVO21</f>
        <v>0</v>
      </c>
      <c r="ALC21" s="20" t="n">
        <f aca="false">AEC21-AVP21</f>
        <v>639.534674755324</v>
      </c>
      <c r="ALD21" s="20" t="n">
        <f aca="false">AED21-AVQ21</f>
        <v>804.51427022704</v>
      </c>
      <c r="ALE21" s="20" t="n">
        <f aca="false">AEE21-AVR21</f>
        <v>962.778727034899</v>
      </c>
      <c r="ALF21" s="20" t="n">
        <f aca="false">AEF21-AVS21</f>
        <v>1082.64976847922</v>
      </c>
      <c r="ALG21" s="20" t="n">
        <v>0</v>
      </c>
      <c r="ALH21" s="20" t="n">
        <v>0</v>
      </c>
      <c r="ALI21" s="20" t="n">
        <v>0</v>
      </c>
      <c r="ALJ21" s="20" t="n">
        <v>0</v>
      </c>
      <c r="ALK21" s="20" t="n">
        <v>0</v>
      </c>
      <c r="ALL21" s="20" t="n">
        <v>0</v>
      </c>
      <c r="ALM21" s="20" t="n">
        <v>0</v>
      </c>
      <c r="ALN21" s="20" t="n">
        <v>0</v>
      </c>
      <c r="ALO21" s="20" t="n">
        <v>0</v>
      </c>
      <c r="ALP21" s="20" t="n">
        <v>0</v>
      </c>
      <c r="ALQ21" s="20" t="n">
        <v>0</v>
      </c>
      <c r="ALR21" s="20" t="n">
        <v>0</v>
      </c>
      <c r="ALS21" s="20" t="n">
        <v>0</v>
      </c>
      <c r="ALT21" s="20" t="n">
        <v>0</v>
      </c>
      <c r="ALU21" s="20" t="n">
        <v>0</v>
      </c>
      <c r="ALV21" s="20" t="n">
        <v>0</v>
      </c>
      <c r="ALW21" s="20" t="n">
        <v>0</v>
      </c>
      <c r="ALX21" s="20" t="n">
        <v>0</v>
      </c>
      <c r="ALY21" s="20" t="n">
        <v>0</v>
      </c>
      <c r="ALZ21" s="20" t="n">
        <v>0</v>
      </c>
      <c r="AMA21" s="20" t="n">
        <v>0</v>
      </c>
      <c r="AMB21" s="20" t="n">
        <v>0</v>
      </c>
      <c r="AMC21" s="20" t="n">
        <v>0</v>
      </c>
      <c r="AMD21" s="20" t="n">
        <v>0</v>
      </c>
      <c r="AME21" s="20" t="n">
        <v>0</v>
      </c>
      <c r="AMF21" s="20" t="n">
        <v>0</v>
      </c>
      <c r="AMG21" s="20" t="n">
        <v>0</v>
      </c>
      <c r="AMH21" s="20" t="n">
        <v>0</v>
      </c>
      <c r="AMI21" s="20" t="n">
        <v>0</v>
      </c>
      <c r="AMJ21" s="20" t="n">
        <v>0</v>
      </c>
      <c r="AMK21" s="20" t="n">
        <v>0</v>
      </c>
      <c r="AML21" s="20" t="n">
        <v>0</v>
      </c>
      <c r="AMM21" s="20" t="n">
        <v>0</v>
      </c>
      <c r="AMN21" s="20" t="n">
        <v>0</v>
      </c>
      <c r="AMO21" s="20" t="n">
        <v>0</v>
      </c>
      <c r="AMP21" s="20" t="n">
        <v>0</v>
      </c>
      <c r="AMQ21" s="20" t="n">
        <v>0</v>
      </c>
      <c r="AMR21" s="20" t="n">
        <v>0</v>
      </c>
      <c r="AMS21" s="20" t="n">
        <v>0</v>
      </c>
      <c r="AMT21" s="20" t="n">
        <v>0</v>
      </c>
      <c r="AMU21" s="20" t="n">
        <v>0</v>
      </c>
      <c r="AMV21" s="20" t="n">
        <v>0</v>
      </c>
      <c r="AMW21" s="20" t="n">
        <v>0</v>
      </c>
      <c r="AMX21" s="20" t="n">
        <v>0</v>
      </c>
      <c r="AMY21" s="20" t="n">
        <v>0</v>
      </c>
      <c r="AMZ21" s="20" t="n">
        <v>0</v>
      </c>
      <c r="ANA21" s="20" t="n">
        <v>0</v>
      </c>
      <c r="ANB21" s="20" t="n">
        <v>0</v>
      </c>
      <c r="ANC21" s="20" t="n">
        <v>0</v>
      </c>
      <c r="AND21" s="20" t="n">
        <v>0</v>
      </c>
      <c r="ANE21" s="20" t="n">
        <v>0</v>
      </c>
      <c r="ANF21" s="20" t="n">
        <v>0</v>
      </c>
      <c r="ANG21" s="20" t="n">
        <v>0</v>
      </c>
      <c r="ANH21" s="20" t="n">
        <v>0</v>
      </c>
      <c r="ANI21" s="20" t="n">
        <v>0</v>
      </c>
      <c r="ANJ21" s="20" t="n">
        <v>0</v>
      </c>
      <c r="ANK21" s="20" t="n">
        <v>0</v>
      </c>
      <c r="ANL21" s="20" t="n">
        <v>0</v>
      </c>
      <c r="ANM21" s="20" t="n">
        <v>0</v>
      </c>
      <c r="ANN21" s="20" t="n">
        <v>0</v>
      </c>
      <c r="ANO21" s="20" t="n">
        <v>0</v>
      </c>
      <c r="ANP21" s="20" t="n">
        <v>0</v>
      </c>
      <c r="ANQ21" s="20" t="n">
        <v>0</v>
      </c>
      <c r="ANR21" s="20" t="n">
        <v>0</v>
      </c>
      <c r="ANS21" s="20" t="n">
        <v>0</v>
      </c>
      <c r="ANT21" s="20" t="n">
        <v>0</v>
      </c>
      <c r="ANU21" s="20" t="n">
        <v>0</v>
      </c>
      <c r="ANV21" s="20" t="n">
        <v>0</v>
      </c>
      <c r="ANW21" s="20" t="n">
        <v>0</v>
      </c>
      <c r="ANX21" s="20" t="n">
        <v>0</v>
      </c>
      <c r="ANY21" s="20" t="n">
        <v>0</v>
      </c>
      <c r="ANZ21" s="20" t="n">
        <v>0</v>
      </c>
      <c r="AOA21" s="20" t="n">
        <v>0</v>
      </c>
      <c r="AOB21" s="20" t="n">
        <v>0</v>
      </c>
      <c r="AOC21" s="20" t="n">
        <v>0</v>
      </c>
      <c r="AOD21" s="20" t="n">
        <v>0</v>
      </c>
      <c r="AOE21" s="20" t="n">
        <f aca="false">IF(AND(H_Direct=0,H_TaxEvt=1,ARR20+1&gt;=H_Deemed),AKR21,AHE21)</f>
        <v>0</v>
      </c>
      <c r="AOF21" s="20" t="n">
        <f aca="false">IF(AND(H_Direct=0,H_TaxEvt=1,ARS20+1&gt;=H_Deemed),AKS21,AHF21)</f>
        <v>0</v>
      </c>
      <c r="AOG21" s="20" t="n">
        <f aca="false">IF(AND(H_Direct=0,H_TaxEvt=1,ART20+1&gt;=H_Deemed),AKT21,AHG21)</f>
        <v>0</v>
      </c>
      <c r="AOH21" s="20" t="n">
        <f aca="false">IF(AND(H_Direct=0,H_TaxEvt=1,ARU20+1&gt;=H_Deemed),AKU21,AHH21)</f>
        <v>0</v>
      </c>
      <c r="AOI21" s="20" t="n">
        <f aca="false">IF(AND(H_Direct=0,H_TaxEvt=1,ARV20+1&gt;=H_Deemed),AKV21,AHI21)</f>
        <v>0</v>
      </c>
      <c r="AOJ21" s="20" t="n">
        <f aca="false">IF(AND(H_Direct=0,H_TaxEvt=1,ARW20+1&gt;=H_Deemed),AKW21,AHJ21)</f>
        <v>0</v>
      </c>
      <c r="AOK21" s="20" t="n">
        <f aca="false">IF(AND(H_Direct=0,H_TaxEvt=1,ARX20+1&gt;=H_Deemed),AKX21,AHK21)</f>
        <v>0</v>
      </c>
      <c r="AOL21" s="20" t="n">
        <f aca="false">IF(AND(H_Direct=0,H_TaxEvt=1,ARY20+1&gt;=H_Deemed),AKY21,AHL21)</f>
        <v>0</v>
      </c>
      <c r="AOM21" s="20" t="n">
        <f aca="false">IF(AND(H_Direct=0,H_TaxEvt=1,ARZ20+1&gt;=H_Deemed),AKZ21,AHM21)</f>
        <v>0</v>
      </c>
      <c r="AON21" s="20" t="n">
        <f aca="false">IF(AND(H_Direct=0,H_TaxEvt=1,ASA20+1&gt;=H_Deemed),ALA21,AHN21)</f>
        <v>0</v>
      </c>
      <c r="AOO21" s="20" t="n">
        <f aca="false">IF(AND(H_Direct=0,H_TaxEvt=1,ASB20+1&gt;=H_Deemed),ALB21,AHO21)</f>
        <v>0</v>
      </c>
      <c r="AOP21" s="20" t="n">
        <f aca="false">IF(AND(H_Direct=0,H_TaxEvt=1,ASC20+1&gt;=H_Deemed),ALC21,AHP21)</f>
        <v>546.676920289684</v>
      </c>
      <c r="AOQ21" s="20" t="n">
        <f aca="false">IF(AND(H_Direct=0,H_TaxEvt=1,ASD20+1&gt;=H_Deemed),ALD21,AHQ21)</f>
        <v>715.210256730627</v>
      </c>
      <c r="AOR21" s="20" t="n">
        <f aca="false">IF(AND(H_Direct=0,H_TaxEvt=1,ASE20+1&gt;=H_Deemed),ALE21,AHR21)</f>
        <v>890.143053841438</v>
      </c>
      <c r="AOS21" s="20" t="n">
        <f aca="false">IF(AND(H_Direct=0,H_TaxEvt=1,0+1&gt;=H_Deemed),ALF21,AHS21)</f>
        <v>1041.00939276848</v>
      </c>
      <c r="AOT21" s="20" t="n">
        <v>0</v>
      </c>
      <c r="AOU21" s="20" t="n">
        <v>0</v>
      </c>
      <c r="AOV21" s="20" t="n">
        <v>0</v>
      </c>
      <c r="AOW21" s="20" t="n">
        <v>0</v>
      </c>
      <c r="AOX21" s="20" t="n">
        <v>0</v>
      </c>
      <c r="AOY21" s="20" t="n">
        <v>0</v>
      </c>
      <c r="AOZ21" s="20" t="n">
        <v>0</v>
      </c>
      <c r="APA21" s="20" t="n">
        <v>0</v>
      </c>
      <c r="APB21" s="20" t="n">
        <v>0</v>
      </c>
      <c r="APC21" s="20" t="n">
        <v>0</v>
      </c>
      <c r="APD21" s="20" t="n">
        <v>0</v>
      </c>
      <c r="APE21" s="20" t="n">
        <v>0</v>
      </c>
      <c r="APF21" s="20" t="n">
        <v>0</v>
      </c>
      <c r="APG21" s="20" t="n">
        <v>0</v>
      </c>
      <c r="APH21" s="20" t="n">
        <v>0</v>
      </c>
      <c r="API21" s="20" t="n">
        <v>0</v>
      </c>
      <c r="APJ21" s="20" t="n">
        <v>0</v>
      </c>
      <c r="APK21" s="20" t="n">
        <v>0</v>
      </c>
      <c r="APL21" s="20" t="n">
        <v>0</v>
      </c>
      <c r="APM21" s="20" t="n">
        <v>0</v>
      </c>
      <c r="APN21" s="20" t="n">
        <v>0</v>
      </c>
      <c r="APO21" s="20" t="n">
        <v>0</v>
      </c>
      <c r="APP21" s="20" t="n">
        <v>0</v>
      </c>
      <c r="APQ21" s="20" t="n">
        <v>0</v>
      </c>
      <c r="APR21" s="20" t="n">
        <v>0</v>
      </c>
      <c r="APS21" s="20" t="n">
        <v>0</v>
      </c>
      <c r="APT21" s="20" t="n">
        <v>0</v>
      </c>
      <c r="APU21" s="20" t="n">
        <v>0</v>
      </c>
      <c r="APV21" s="20" t="n">
        <v>0</v>
      </c>
      <c r="APW21" s="20" t="n">
        <v>0</v>
      </c>
      <c r="APX21" s="20" t="n">
        <v>0</v>
      </c>
      <c r="APY21" s="20" t="n">
        <v>0</v>
      </c>
      <c r="APZ21" s="20" t="n">
        <v>0</v>
      </c>
      <c r="AQA21" s="20" t="n">
        <v>0</v>
      </c>
      <c r="AQB21" s="20" t="n">
        <v>0</v>
      </c>
      <c r="AQC21" s="20" t="n">
        <v>0</v>
      </c>
      <c r="AQD21" s="20" t="n">
        <v>0</v>
      </c>
      <c r="AQE21" s="20" t="n">
        <v>0</v>
      </c>
      <c r="AQF21" s="20" t="n">
        <v>0</v>
      </c>
      <c r="AQG21" s="20" t="n">
        <v>0</v>
      </c>
      <c r="AQH21" s="20" t="n">
        <v>0</v>
      </c>
      <c r="AQI21" s="20" t="n">
        <v>0</v>
      </c>
      <c r="AQJ21" s="20" t="n">
        <v>0</v>
      </c>
      <c r="AQK21" s="20" t="n">
        <v>0</v>
      </c>
      <c r="AQL21" s="20" t="n">
        <v>0</v>
      </c>
      <c r="AQM21" s="20" t="n">
        <v>0</v>
      </c>
      <c r="AQN21" s="20" t="n">
        <v>0</v>
      </c>
      <c r="AQO21" s="20" t="n">
        <v>0</v>
      </c>
      <c r="AQP21" s="20" t="n">
        <v>0</v>
      </c>
      <c r="AQQ21" s="20" t="n">
        <v>0</v>
      </c>
      <c r="AQR21" s="20" t="n">
        <v>0</v>
      </c>
      <c r="AQS21" s="20" t="n">
        <v>0</v>
      </c>
      <c r="AQT21" s="20" t="n">
        <v>0</v>
      </c>
      <c r="AQU21" s="20" t="n">
        <v>0</v>
      </c>
      <c r="AQV21" s="20" t="n">
        <v>0</v>
      </c>
      <c r="AQW21" s="20" t="n">
        <v>0</v>
      </c>
      <c r="AQX21" s="20" t="n">
        <v>0</v>
      </c>
      <c r="AQY21" s="20" t="n">
        <v>0</v>
      </c>
      <c r="AQZ21" s="20" t="n">
        <v>0</v>
      </c>
      <c r="ARA21" s="20" t="n">
        <v>0</v>
      </c>
      <c r="ARB21" s="20" t="n">
        <v>0</v>
      </c>
      <c r="ARC21" s="20" t="n">
        <v>0</v>
      </c>
      <c r="ARD21" s="20" t="n">
        <v>0</v>
      </c>
      <c r="ARE21" s="20" t="n">
        <v>0</v>
      </c>
      <c r="ARF21" s="20" t="n">
        <v>0</v>
      </c>
      <c r="ARG21" s="20" t="n">
        <v>0</v>
      </c>
      <c r="ARH21" s="20" t="n">
        <v>0</v>
      </c>
      <c r="ARI21" s="20" t="n">
        <v>0</v>
      </c>
      <c r="ARJ21" s="20" t="n">
        <v>0</v>
      </c>
      <c r="ARK21" s="20" t="n">
        <v>0</v>
      </c>
      <c r="ARL21" s="20" t="n">
        <v>0</v>
      </c>
      <c r="ARM21" s="20" t="n">
        <v>0</v>
      </c>
      <c r="ARN21" s="20" t="n">
        <v>0</v>
      </c>
      <c r="ARO21" s="20" t="n">
        <v>0</v>
      </c>
      <c r="ARP21" s="20" t="n">
        <v>0</v>
      </c>
      <c r="ARQ21" s="20" t="n">
        <v>0</v>
      </c>
      <c r="ARR21" s="20" t="n">
        <f aca="false">IF(AND(H_Direct=0,H_TaxEvt=1),IF(ARR20+1&gt;=H_Deemed,0,ARR20+1),ARR20)</f>
        <v>6</v>
      </c>
      <c r="ARS21" s="20" t="n">
        <f aca="false">IF(AND(H_Direct=0,H_TaxEvt=1),IF(ARS20+1&gt;=H_Deemed,0,ARS20+1),ARS20)</f>
        <v>6</v>
      </c>
      <c r="ART21" s="20" t="n">
        <f aca="false">IF(AND(H_Direct=0,H_TaxEvt=1),IF(ART20+1&gt;=H_Deemed,0,ART20+1),ART20)</f>
        <v>5</v>
      </c>
      <c r="ARU21" s="20" t="n">
        <f aca="false">IF(AND(H_Direct=0,H_TaxEvt=1),IF(ARU20+1&gt;=H_Deemed,0,ARU20+1),ARU20)</f>
        <v>4</v>
      </c>
      <c r="ARV21" s="20" t="n">
        <f aca="false">IF(AND(H_Direct=0,H_TaxEvt=1),IF(ARV20+1&gt;=H_Deemed,0,ARV20+1),ARV20)</f>
        <v>3</v>
      </c>
      <c r="ARW21" s="20" t="n">
        <f aca="false">IF(AND(H_Direct=0,H_TaxEvt=1),IF(ARW20+1&gt;=H_Deemed,0,ARW20+1),ARW20)</f>
        <v>2</v>
      </c>
      <c r="ARX21" s="20" t="n">
        <f aca="false">IF(AND(H_Direct=0,H_TaxEvt=1),IF(ARX20+1&gt;=H_Deemed,0,ARX20+1),ARX20)</f>
        <v>1</v>
      </c>
      <c r="ARY21" s="20" t="n">
        <f aca="false">IF(AND(H_Direct=0,H_TaxEvt=1),IF(ARY20+1&gt;=H_Deemed,0,ARY20+1),ARY20)</f>
        <v>0</v>
      </c>
      <c r="ARZ21" s="20" t="n">
        <f aca="false">IF(AND(H_Direct=0,H_TaxEvt=1),IF(ARZ20+1&gt;=H_Deemed,0,ARZ20+1),ARZ20)</f>
        <v>7</v>
      </c>
      <c r="ASA21" s="20" t="n">
        <f aca="false">IF(AND(H_Direct=0,H_TaxEvt=1),IF(ASA20+1&gt;=H_Deemed,0,ASA20+1),ASA20)</f>
        <v>6</v>
      </c>
      <c r="ASB21" s="20" t="n">
        <f aca="false">IF(AND(H_Direct=0,H_TaxEvt=1),IF(ASB20+1&gt;=H_Deemed,0,ASB20+1),ASB20)</f>
        <v>5</v>
      </c>
      <c r="ASC21" s="20" t="n">
        <f aca="false">IF(AND(H_Direct=0,H_TaxEvt=1),IF(ASC20+1&gt;=H_Deemed,0,ASC20+1),ASC20)</f>
        <v>4</v>
      </c>
      <c r="ASD21" s="20" t="n">
        <f aca="false">IF(AND(H_Direct=0,H_TaxEvt=1),IF(ASD20+1&gt;=H_Deemed,0,ASD20+1),ASD20)</f>
        <v>3</v>
      </c>
      <c r="ASE21" s="20" t="n">
        <f aca="false">IF(AND(H_Direct=0,H_TaxEvt=1),IF(ASE20+1&gt;=H_Deemed,0,ASE20+1),ASE20)</f>
        <v>2</v>
      </c>
      <c r="ASF21" s="20" t="n">
        <f aca="false">IF(AND(H_Direct=0,H_TaxEvt=1),IF(0+1&gt;=H_Deemed,0,0+1),0)</f>
        <v>1</v>
      </c>
      <c r="ASG21" s="20" t="n">
        <v>0</v>
      </c>
      <c r="ASH21" s="20" t="n">
        <v>0</v>
      </c>
      <c r="ASI21" s="20" t="n">
        <v>0</v>
      </c>
      <c r="ASJ21" s="20" t="n">
        <v>0</v>
      </c>
      <c r="ASK21" s="20" t="n">
        <v>0</v>
      </c>
      <c r="ASL21" s="20" t="n">
        <v>0</v>
      </c>
      <c r="ASM21" s="20" t="n">
        <v>0</v>
      </c>
      <c r="ASN21" s="20" t="n">
        <v>0</v>
      </c>
      <c r="ASO21" s="20" t="n">
        <v>0</v>
      </c>
      <c r="ASP21" s="20" t="n">
        <v>0</v>
      </c>
      <c r="ASQ21" s="20" t="n">
        <v>0</v>
      </c>
      <c r="ASR21" s="20" t="n">
        <v>0</v>
      </c>
      <c r="ASS21" s="20" t="n">
        <v>0</v>
      </c>
      <c r="AST21" s="20" t="n">
        <v>0</v>
      </c>
      <c r="ASU21" s="20" t="n">
        <v>0</v>
      </c>
      <c r="ASV21" s="20" t="n">
        <v>0</v>
      </c>
      <c r="ASW21" s="20" t="n">
        <v>0</v>
      </c>
      <c r="ASX21" s="20" t="n">
        <v>0</v>
      </c>
      <c r="ASY21" s="20" t="n">
        <v>0</v>
      </c>
      <c r="ASZ21" s="20" t="n">
        <v>0</v>
      </c>
      <c r="ATA21" s="20" t="n">
        <v>0</v>
      </c>
      <c r="ATB21" s="20" t="n">
        <v>0</v>
      </c>
      <c r="ATC21" s="20" t="n">
        <v>0</v>
      </c>
      <c r="ATD21" s="20" t="n">
        <v>0</v>
      </c>
      <c r="ATE21" s="20" t="n">
        <v>0</v>
      </c>
      <c r="ATF21" s="20" t="n">
        <v>0</v>
      </c>
      <c r="ATG21" s="20" t="n">
        <v>0</v>
      </c>
      <c r="ATH21" s="20" t="n">
        <v>0</v>
      </c>
      <c r="ATI21" s="20" t="n">
        <v>0</v>
      </c>
      <c r="ATJ21" s="20" t="n">
        <v>0</v>
      </c>
      <c r="ATK21" s="20" t="n">
        <v>0</v>
      </c>
      <c r="ATL21" s="20" t="n">
        <v>0</v>
      </c>
      <c r="ATM21" s="20" t="n">
        <v>0</v>
      </c>
      <c r="ATN21" s="20" t="n">
        <v>0</v>
      </c>
      <c r="ATO21" s="20" t="n">
        <v>0</v>
      </c>
      <c r="ATP21" s="20" t="n">
        <v>0</v>
      </c>
      <c r="ATQ21" s="20" t="n">
        <v>0</v>
      </c>
      <c r="ATR21" s="20" t="n">
        <v>0</v>
      </c>
      <c r="ATS21" s="20" t="n">
        <v>0</v>
      </c>
      <c r="ATT21" s="20" t="n">
        <v>0</v>
      </c>
      <c r="ATU21" s="20" t="n">
        <v>0</v>
      </c>
      <c r="ATV21" s="20" t="n">
        <v>0</v>
      </c>
      <c r="ATW21" s="20" t="n">
        <v>0</v>
      </c>
      <c r="ATX21" s="20" t="n">
        <v>0</v>
      </c>
      <c r="ATY21" s="20" t="n">
        <v>0</v>
      </c>
      <c r="ATZ21" s="20" t="n">
        <v>0</v>
      </c>
      <c r="AUA21" s="20" t="n">
        <v>0</v>
      </c>
      <c r="AUB21" s="20" t="n">
        <v>0</v>
      </c>
      <c r="AUC21" s="20" t="n">
        <v>0</v>
      </c>
      <c r="AUD21" s="20" t="n">
        <v>0</v>
      </c>
      <c r="AUE21" s="20" t="n">
        <v>0</v>
      </c>
      <c r="AUF21" s="20" t="n">
        <v>0</v>
      </c>
      <c r="AUG21" s="20" t="n">
        <v>0</v>
      </c>
      <c r="AUH21" s="20" t="n">
        <v>0</v>
      </c>
      <c r="AUI21" s="20" t="n">
        <v>0</v>
      </c>
      <c r="AUJ21" s="20" t="n">
        <v>0</v>
      </c>
      <c r="AUK21" s="20" t="n">
        <v>0</v>
      </c>
      <c r="AUL21" s="20" t="n">
        <v>0</v>
      </c>
      <c r="AUM21" s="20" t="n">
        <v>0</v>
      </c>
      <c r="AUN21" s="20" t="n">
        <v>0</v>
      </c>
      <c r="AUO21" s="20" t="n">
        <v>0</v>
      </c>
      <c r="AUP21" s="20" t="n">
        <v>0</v>
      </c>
      <c r="AUQ21" s="20" t="n">
        <v>0</v>
      </c>
      <c r="AUR21" s="20" t="n">
        <v>0</v>
      </c>
      <c r="AUS21" s="20" t="n">
        <v>0</v>
      </c>
      <c r="AUT21" s="20" t="n">
        <v>0</v>
      </c>
      <c r="AUU21" s="20" t="n">
        <v>0</v>
      </c>
      <c r="AUV21" s="20" t="n">
        <v>0</v>
      </c>
      <c r="AUW21" s="20" t="n">
        <v>0</v>
      </c>
      <c r="AUX21" s="20" t="n">
        <v>0</v>
      </c>
      <c r="AUY21" s="20" t="n">
        <v>0</v>
      </c>
      <c r="AUZ21" s="20" t="n">
        <v>0</v>
      </c>
      <c r="AVA21" s="20" t="n">
        <v>0</v>
      </c>
      <c r="AVB21" s="20" t="n">
        <v>0</v>
      </c>
      <c r="AVC21" s="20" t="n">
        <v>0</v>
      </c>
      <c r="AVD21" s="20" t="n">
        <v>0</v>
      </c>
      <c r="AVE21" s="20" t="n">
        <f aca="false">IF(AND(H_Direct=0,H_TaxEvt=1,ARR20+1&gt;=H_Deemed),MAX(0,ADR21-AHE21)*H_Exit,0)</f>
        <v>0</v>
      </c>
      <c r="AVF21" s="20" t="n">
        <f aca="false">IF(AND(H_Direct=0,H_TaxEvt=1,ARS20+1&gt;=H_Deemed),MAX(0,ADS21-AHF21)*H_Exit,0)</f>
        <v>0</v>
      </c>
      <c r="AVG21" s="20" t="n">
        <f aca="false">IF(AND(H_Direct=0,H_TaxEvt=1,ART20+1&gt;=H_Deemed),MAX(0,ADT21-AHG21)*H_Exit,0)</f>
        <v>0</v>
      </c>
      <c r="AVH21" s="20" t="n">
        <f aca="false">IF(AND(H_Direct=0,H_TaxEvt=1,ARU20+1&gt;=H_Deemed),MAX(0,ADU21-AHH21)*H_Exit,0)</f>
        <v>0</v>
      </c>
      <c r="AVI21" s="20" t="n">
        <f aca="false">IF(AND(H_Direct=0,H_TaxEvt=1,ARV20+1&gt;=H_Deemed),MAX(0,ADV21-AHI21)*H_Exit,0)</f>
        <v>0</v>
      </c>
      <c r="AVJ21" s="20" t="n">
        <f aca="false">IF(AND(H_Direct=0,H_TaxEvt=1,ARW20+1&gt;=H_Deemed),MAX(0,ADW21-AHJ21)*H_Exit,0)</f>
        <v>0</v>
      </c>
      <c r="AVK21" s="20" t="n">
        <f aca="false">IF(AND(H_Direct=0,H_TaxEvt=1,ARX20+1&gt;=H_Deemed),MAX(0,ADX21-AHK21)*H_Exit,0)</f>
        <v>0</v>
      </c>
      <c r="AVL21" s="20" t="n">
        <f aca="false">IF(AND(H_Direct=0,H_TaxEvt=1,ARY20+1&gt;=H_Deemed),MAX(0,ADY21-AHL21)*H_Exit,0)</f>
        <v>0</v>
      </c>
      <c r="AVM21" s="20" t="n">
        <f aca="false">IF(AND(H_Direct=0,H_TaxEvt=1,ARZ20+1&gt;=H_Deemed),MAX(0,ADZ21-AHM21)*H_Exit,0)</f>
        <v>0</v>
      </c>
      <c r="AVN21" s="20" t="n">
        <f aca="false">IF(AND(H_Direct=0,H_TaxEvt=1,ASA20+1&gt;=H_Deemed),MAX(0,AEA21-AHN21)*H_Exit,0)</f>
        <v>0</v>
      </c>
      <c r="AVO21" s="20" t="n">
        <f aca="false">IF(AND(H_Direct=0,H_TaxEvt=1,ASB20+1&gt;=H_Deemed),MAX(0,AEB21-AHO21)*H_Exit,0)</f>
        <v>0</v>
      </c>
      <c r="AVP21" s="20" t="n">
        <f aca="false">IF(AND(H_Direct=0,H_TaxEvt=1,ASC20+1&gt;=H_Deemed),MAX(0,AEC21-AHP21)*H_Exit,0)</f>
        <v>0</v>
      </c>
      <c r="AVQ21" s="20" t="n">
        <f aca="false">IF(AND(H_Direct=0,H_TaxEvt=1,ASD20+1&gt;=H_Deemed),MAX(0,AED21-AHQ21)*H_Exit,0)</f>
        <v>0</v>
      </c>
      <c r="AVR21" s="20" t="n">
        <f aca="false">IF(AND(H_Direct=0,H_TaxEvt=1,ASE20+1&gt;=H_Deemed),MAX(0,AEE21-AHR21)*H_Exit,0)</f>
        <v>0</v>
      </c>
      <c r="AVS21" s="20" t="n">
        <f aca="false">IF(AND(H_Direct=0,H_TaxEvt=1,0+1&gt;=H_Deemed),MAX(0,AEF21-AHS21)*H_Exit,0)</f>
        <v>0</v>
      </c>
      <c r="AVT21" s="20" t="n">
        <v>0</v>
      </c>
      <c r="AVU21" s="20" t="n">
        <v>0</v>
      </c>
      <c r="AVV21" s="20" t="n">
        <v>0</v>
      </c>
      <c r="AVW21" s="20" t="n">
        <v>0</v>
      </c>
      <c r="AVX21" s="20" t="n">
        <v>0</v>
      </c>
      <c r="AVY21" s="20" t="n">
        <v>0</v>
      </c>
      <c r="AVZ21" s="20" t="n">
        <v>0</v>
      </c>
      <c r="AWA21" s="20" t="n">
        <v>0</v>
      </c>
      <c r="AWB21" s="20" t="n">
        <v>0</v>
      </c>
      <c r="AWC21" s="20" t="n">
        <v>0</v>
      </c>
      <c r="AWD21" s="20" t="n">
        <v>0</v>
      </c>
      <c r="AWE21" s="20" t="n">
        <v>0</v>
      </c>
      <c r="AWF21" s="20" t="n">
        <v>0</v>
      </c>
      <c r="AWG21" s="20" t="n">
        <v>0</v>
      </c>
      <c r="AWH21" s="20" t="n">
        <v>0</v>
      </c>
      <c r="AWI21" s="20" t="n">
        <v>0</v>
      </c>
      <c r="AWJ21" s="20" t="n">
        <v>0</v>
      </c>
      <c r="AWK21" s="20" t="n">
        <v>0</v>
      </c>
      <c r="AWL21" s="20" t="n">
        <v>0</v>
      </c>
      <c r="AWM21" s="20" t="n">
        <v>0</v>
      </c>
      <c r="AWN21" s="20" t="n">
        <v>0</v>
      </c>
      <c r="AWO21" s="20" t="n">
        <v>0</v>
      </c>
      <c r="AWP21" s="20" t="n">
        <v>0</v>
      </c>
      <c r="AWQ21" s="20" t="n">
        <v>0</v>
      </c>
      <c r="AWR21" s="20" t="n">
        <v>0</v>
      </c>
      <c r="AWS21" s="20" t="n">
        <v>0</v>
      </c>
      <c r="AWT21" s="20" t="n">
        <v>0</v>
      </c>
      <c r="AWU21" s="20" t="n">
        <v>0</v>
      </c>
      <c r="AWV21" s="20" t="n">
        <v>0</v>
      </c>
      <c r="AWW21" s="20" t="n">
        <v>0</v>
      </c>
      <c r="AWX21" s="20" t="n">
        <v>0</v>
      </c>
      <c r="AWY21" s="20" t="n">
        <v>0</v>
      </c>
      <c r="AWZ21" s="20" t="n">
        <v>0</v>
      </c>
      <c r="AXA21" s="20" t="n">
        <v>0</v>
      </c>
      <c r="AXB21" s="20" t="n">
        <v>0</v>
      </c>
      <c r="AXC21" s="20" t="n">
        <v>0</v>
      </c>
      <c r="AXD21" s="20" t="n">
        <v>0</v>
      </c>
      <c r="AXE21" s="20" t="n">
        <v>0</v>
      </c>
      <c r="AXF21" s="20" t="n">
        <v>0</v>
      </c>
      <c r="AXG21" s="20" t="n">
        <v>0</v>
      </c>
      <c r="AXH21" s="20" t="n">
        <v>0</v>
      </c>
      <c r="AXI21" s="20" t="n">
        <v>0</v>
      </c>
      <c r="AXJ21" s="20" t="n">
        <v>0</v>
      </c>
      <c r="AXK21" s="20" t="n">
        <v>0</v>
      </c>
      <c r="AXL21" s="20" t="n">
        <v>0</v>
      </c>
      <c r="AXM21" s="20" t="n">
        <v>0</v>
      </c>
      <c r="AXN21" s="20" t="n">
        <v>0</v>
      </c>
      <c r="AXO21" s="20" t="n">
        <v>0</v>
      </c>
      <c r="AXP21" s="20" t="n">
        <v>0</v>
      </c>
      <c r="AXQ21" s="20" t="n">
        <v>0</v>
      </c>
      <c r="AXR21" s="20" t="n">
        <v>0</v>
      </c>
      <c r="AXS21" s="20" t="n">
        <v>0</v>
      </c>
      <c r="AXT21" s="20" t="n">
        <v>0</v>
      </c>
      <c r="AXU21" s="20" t="n">
        <v>0</v>
      </c>
      <c r="AXV21" s="20" t="n">
        <v>0</v>
      </c>
      <c r="AXW21" s="20" t="n">
        <v>0</v>
      </c>
      <c r="AXX21" s="20" t="n">
        <v>0</v>
      </c>
      <c r="AXY21" s="20" t="n">
        <v>0</v>
      </c>
      <c r="AXZ21" s="20" t="n">
        <v>0</v>
      </c>
      <c r="AYA21" s="20" t="n">
        <v>0</v>
      </c>
      <c r="AYB21" s="20" t="n">
        <v>0</v>
      </c>
      <c r="AYC21" s="20" t="n">
        <v>0</v>
      </c>
      <c r="AYD21" s="20" t="n">
        <v>0</v>
      </c>
      <c r="AYE21" s="20" t="n">
        <v>0</v>
      </c>
      <c r="AYF21" s="20" t="n">
        <v>0</v>
      </c>
      <c r="AYG21" s="20" t="n">
        <v>0</v>
      </c>
      <c r="AYH21" s="20" t="n">
        <v>0</v>
      </c>
      <c r="AYI21" s="20" t="n">
        <v>0</v>
      </c>
      <c r="AYJ21" s="20" t="n">
        <v>0</v>
      </c>
      <c r="AYK21" s="20" t="n">
        <v>0</v>
      </c>
      <c r="AYL21" s="20" t="n">
        <v>0</v>
      </c>
      <c r="AYM21" s="20" t="n">
        <v>0</v>
      </c>
      <c r="AYN21" s="20" t="n">
        <v>0</v>
      </c>
      <c r="AYO21" s="20" t="n">
        <v>0</v>
      </c>
      <c r="AYP21" s="20" t="n">
        <v>0</v>
      </c>
      <c r="AYQ21" s="20" t="n">
        <v>0</v>
      </c>
    </row>
    <row r="22" customFormat="false" ht="15" hidden="false" customHeight="false" outlineLevel="0" collapsed="false">
      <c r="B22" s="20" t="n">
        <v>14</v>
      </c>
      <c r="C22" s="20" t="n">
        <f aca="false">'Plan cashflow'!C22</f>
        <v>1</v>
      </c>
      <c r="D22" s="20" t="n">
        <f aca="false">'Plan cashflow'!D22</f>
        <v>52</v>
      </c>
      <c r="E22" s="20" t="n">
        <f aca="false">AS_Year0+14</f>
        <v>2040</v>
      </c>
      <c r="F22" s="50" t="n">
        <f aca="false">'Plan cashflow'!F22</f>
        <v>1.31947876306287</v>
      </c>
      <c r="G22" s="59" t="n">
        <f aca="true">IF(MAX(TODAY(),DATE(E22,1,1))&gt;=H_CGTfrom,H_CGT1,H_CGT0)</f>
        <v>0.31</v>
      </c>
      <c r="H22" s="20" t="n">
        <f aca="false">H_Exempt*H_Persons</f>
        <v>1270</v>
      </c>
      <c r="I22" s="20" t="n">
        <f aca="false">AX21</f>
        <v>0</v>
      </c>
      <c r="J22" s="60" t="n">
        <f aca="false">BF21</f>
        <v>4897.8156811013</v>
      </c>
      <c r="K22" s="60" t="n">
        <f aca="false">BG21</f>
        <v>0</v>
      </c>
      <c r="L22" s="20" t="n">
        <f aca="false">IF(AND(In_polLump&gt;0,In_polLumpAge&gt;0,D22=In_polLumpAge),In_polLump,0)</f>
        <v>0</v>
      </c>
      <c r="M22" s="20" t="n">
        <f aca="false">IF(AND(In_homeUse="Yes, I'd downsize",In_downAge&gt;0,D22=In_downAge,OR(In_home="Own outright",In_home="Own with mortgage"),In_homeValue&gt;0),MAX(0,MAX(0,In_homeValue-In_downValue)*F22*0.9-'Plan cashflow'!HR21),0)</f>
        <v>0</v>
      </c>
      <c r="N22" s="20" t="n">
        <f aca="false">'Plan pay &amp; tax'!Y248</f>
        <v>0</v>
      </c>
      <c r="O22" s="20" t="n">
        <f aca="false">L22+M22+(1-H_Sh)*N22</f>
        <v>0</v>
      </c>
      <c r="P22" s="20" t="n">
        <f aca="false">H_Sh*N22</f>
        <v>0</v>
      </c>
      <c r="Q22" s="20" t="n">
        <f aca="false">'Plan cashflow'!UL22</f>
        <v>0</v>
      </c>
      <c r="R22" s="20" t="n">
        <f aca="false">(1-H_Sh)*Q22</f>
        <v>0</v>
      </c>
      <c r="S22" s="20" t="n">
        <f aca="false">H_Sh*Q22</f>
        <v>0</v>
      </c>
      <c r="T22" s="20" t="n">
        <f aca="false">J22+K22+O22</f>
        <v>4897.8156811013</v>
      </c>
      <c r="U22" s="20" t="n">
        <f aca="false">T22+R22</f>
        <v>4897.8156811013</v>
      </c>
      <c r="V22" s="60" t="n">
        <f aca="false">SUM(FE22:IQ22)</f>
        <v>3376.83107008731</v>
      </c>
      <c r="W22" s="60" t="n">
        <f aca="false">IF(AJ22&lt;=0,0,IF(AL22&lt;=0,AJ22,AJ22-G22*MAX(0,AL22*AJ22-(AY22+AZ22))))</f>
        <v>0</v>
      </c>
      <c r="X22" s="60" t="n">
        <f aca="false">IF(AR22&lt;=0,0,IF(AT22&lt;=0,AR22,AR22-G22*MAX(0,AT22*AR22-(BA22+BB22))))</f>
        <v>0</v>
      </c>
      <c r="Y22" s="60" t="n">
        <f aca="false">T22+V22-S22+W22+X22</f>
        <v>8274.64675118861</v>
      </c>
      <c r="Z22" s="60" t="n">
        <f aca="false">'Plan cashflow'!UK22</f>
        <v>0</v>
      </c>
      <c r="AA22" s="20" t="n">
        <f aca="false">MIN(Z22,U22)</f>
        <v>0</v>
      </c>
      <c r="AB22" s="20" t="n">
        <f aca="false">Z22-AA22</f>
        <v>0</v>
      </c>
      <c r="AC22" s="20" t="n">
        <f aca="false">MIN(AA22,J22+O22+R22)</f>
        <v>0</v>
      </c>
      <c r="AD22" s="20" t="n">
        <f aca="false">AA22-AC22</f>
        <v>0</v>
      </c>
      <c r="AE22" s="20" t="n">
        <f aca="false">J22+O22+R22-AC22</f>
        <v>4897.8156811013</v>
      </c>
      <c r="AF22" s="20" t="n">
        <f aca="false">K22-AD22</f>
        <v>0</v>
      </c>
      <c r="AG22" s="20" t="n">
        <f aca="false">SUM(PR22:TD22)</f>
        <v>0</v>
      </c>
      <c r="AH22" s="20" t="n">
        <f aca="false">SUM(TE22:WQ22)</f>
        <v>0</v>
      </c>
      <c r="AI22" s="20" t="n">
        <f aca="false">MAX(0,AB22-AG22)</f>
        <v>0</v>
      </c>
      <c r="AJ22" s="57" t="n">
        <f aca="false">BI21</f>
        <v>0</v>
      </c>
      <c r="AK22" s="20" t="n">
        <f aca="false">BJ21</f>
        <v>0</v>
      </c>
      <c r="AL22" s="20" t="n">
        <f aca="false">IF(AJ22&gt;0,(AJ22-AK22)/AJ22,0)</f>
        <v>0</v>
      </c>
      <c r="AM22" s="20" t="n">
        <f aca="false">IF(AJ22&lt;=0,0,IF(AL22&lt;=0,MIN(AI22,AJ22),MIN(AI22,AJ22-G22*MAX(0,AL22*AJ22-(AAD22+ADQ22)))))</f>
        <v>0</v>
      </c>
      <c r="AN22" s="20" t="n">
        <f aca="false">IF(AJ22&lt;=0,0,IF(AL22&lt;=0,AM22,IF(AM22&lt;=(AAD22+ADQ22)/AL22,AM22,(AM22-G22*(AAD22+ADQ22))/(1-G22*AL22))))</f>
        <v>0</v>
      </c>
      <c r="AO22" s="20" t="n">
        <f aca="false">IF(AL22&gt;0,MAX(0,AAD22-(MIN(AL22*AN22,(AAD22+ADQ22))-MIN(MIN(AL22*AN22,(AAD22+ADQ22)),ADQ22))),AAD22)</f>
        <v>1270</v>
      </c>
      <c r="AP22" s="20" t="n">
        <f aca="false">IF(AL22&lt;=0,ADQ22-AL22*AN22,ADQ22-MIN(MIN(AL22*AN22,(AAD22+ADQ22)),ADQ22))</f>
        <v>0</v>
      </c>
      <c r="AQ22" s="20" t="n">
        <f aca="false">MAX(0,AI22-AM22)</f>
        <v>0</v>
      </c>
      <c r="AR22" s="57" t="n">
        <f aca="false">BK21</f>
        <v>0</v>
      </c>
      <c r="AS22" s="20" t="n">
        <f aca="false">BL21</f>
        <v>0</v>
      </c>
      <c r="AT22" s="20" t="n">
        <f aca="false">IF(AR22&gt;0,(AR22-AS22)/AR22,0)</f>
        <v>0</v>
      </c>
      <c r="AU22" s="20" t="n">
        <f aca="false">IF(AR22&lt;=0,0,IF(AT22&lt;=0,MIN(AQ22,AR22),MIN(AQ22,AR22-G22*MAX(0,AT22*AR22-(AO22+AP22)))))</f>
        <v>0</v>
      </c>
      <c r="AV22" s="20" t="n">
        <f aca="false">IF(AR22&lt;=0,0,IF(AT22&lt;=0,AU22,IF(AU22&lt;=(AO22+AP22)/AT22,AU22,(AU22-G22*(AO22+AP22))/(1-G22*AT22))))</f>
        <v>0</v>
      </c>
      <c r="AW22" s="20" t="n">
        <f aca="false">IF(AT22&gt;0,MAX(0,AO22-(MIN(AT22*AV22,(AO22+AP22))-MIN(MIN(AT22*AV22,(AO22+AP22)),AP22))),AO22)</f>
        <v>1270</v>
      </c>
      <c r="AX22" s="20" t="n">
        <f aca="false">IF(AT22&lt;=0,AP22-AT22*AV22,AP22-MIN(MIN(AT22*AV22,(AO22+AP22)),AP22))</f>
        <v>0</v>
      </c>
      <c r="AY22" s="20" t="n">
        <f aca="false">MD22</f>
        <v>1270</v>
      </c>
      <c r="AZ22" s="20" t="n">
        <f aca="false">PQ22</f>
        <v>0</v>
      </c>
      <c r="BA22" s="20" t="n">
        <f aca="false">IF(AL22&gt;0,MAX(0,AY22-(MIN(AL22*AJ22,AY22+AZ22)-MIN(MIN(AL22*AJ22,AY22+AZ22),AZ22))),AY22)</f>
        <v>1270</v>
      </c>
      <c r="BB22" s="20" t="n">
        <f aca="false">IF(AL22&lt;=0,AZ22-AL22*AJ22,AZ22-MIN(MIN(AL22*AJ22,AY22+AZ22),AZ22))</f>
        <v>0</v>
      </c>
      <c r="BC22" s="20" t="n">
        <f aca="false">'Plan cashflow'!UM22</f>
        <v>2602.98278855161</v>
      </c>
      <c r="BD22" s="20" t="n">
        <f aca="false">(1-H_Sh)*BC22</f>
        <v>1561.78967313097</v>
      </c>
      <c r="BE22" s="20" t="n">
        <f aca="false">H_Sh*BC22</f>
        <v>1041.19311542065</v>
      </c>
      <c r="BF22" s="60" t="n">
        <f aca="false">(AE22+BD22)*(1+AS_Cash)</f>
        <v>6524.20140777459</v>
      </c>
      <c r="BG22" s="60" t="n">
        <f aca="false">AF22*(1+AS_Cash)</f>
        <v>0</v>
      </c>
      <c r="BH22" s="60" t="n">
        <f aca="false">SUM(AKR22:AOD22)</f>
        <v>4711.89737815382</v>
      </c>
      <c r="BI22" s="60" t="n">
        <f aca="false">(AJ22-AN22)*(1+AS_Infl)</f>
        <v>0</v>
      </c>
      <c r="BJ22" s="20" t="n">
        <f aca="false">IF(AJ22&gt;0,AK22-AK22*AN22/AJ22,0)</f>
        <v>0</v>
      </c>
      <c r="BK22" s="60" t="n">
        <f aca="false">(AR22-AV22)*(1+BQ22)</f>
        <v>0</v>
      </c>
      <c r="BL22" s="20" t="n">
        <f aca="false">IF(AR22&gt;0,AS22-AS22*AV22/AR22,0)</f>
        <v>0</v>
      </c>
      <c r="BM22" s="60" t="n">
        <f aca="false">BF22+BG22+BH22+BI22+BK22</f>
        <v>11236.0987859284</v>
      </c>
      <c r="BN22" s="60" t="n">
        <f aca="false">(AH22-AG22)+(AN22-AM22)+(AV22-AU22)</f>
        <v>0</v>
      </c>
      <c r="BO22" s="20" t="n">
        <f aca="false">(AE22+BD22+AF22+MAX(0,'Plan cashflow'!QH22)+IF(Slot1_Rate=AS_Cash,'Plan cashflow'!QM22/(1+AS_Cash),0)+IF(Slot2_Rate=AS_Cash,'Plan cashflow'!QQ22/(1+AS_Cash),0)+IF(Slot3_Rate=AS_Cash,'Plan cashflow'!QU22/(1+AS_Cash),0)+IF(Slot4_Rate=AS_Cash,'Plan cashflow'!QY22/(1+AS_Cash),0)+IF(Slot5_Rate=AS_Cash,'Plan cashflow'!RC22/(1+AS_Cash),0)+IF(Slot6_Rate=AS_Cash,'Plan cashflow'!RG22/(1+AS_Cash),0)+IF(Slot7_Rate=AS_Cash,'Plan cashflow'!RK22/(1+AS_Cash),0)+IF(Slot8_Rate=AS_Cash,'Plan cashflow'!RO22/(1+AS_Cash),0)+IF(Slot9_Rate=AS_Cash,'Plan cashflow'!RS22/(1+AS_Cash),0)+IF(Slot10_Rate=AS_Cash,'Plan cashflow'!RW22/(1+AS_Cash),0)+IF(Slot11_Rate=AS_Cash,'Plan cashflow'!SA22/(1+AS_Cash),0)+IF(Slot12_Rate=AS_Cash,'Plan cashflow'!SE22/(1+AS_Cash),0)+IF(Slot13_Rate=AS_Cash,'Plan cashflow'!SI22/(1+AS_Cash),0)+IF(Slot14_Rate=AS_Cash,'Plan cashflow'!SM22/(1+AS_Cash),0)+IF(Slot15_Rate=AS_Cash,'Plan cashflow'!SQ22/(1+AS_Cash),0)+IF(Slot16_Rate=AS_Cash,'Plan cashflow'!SU22/(1+AS_Cash),0)+IF(Slot17_Rate=AS_Cash,'Plan cashflow'!SY22/(1+AS_Cash),0)+IF(Slot18_Rate=AS_Cash,'Plan cashflow'!TC22/(1+AS_Cash),0)+IF(Slot19_Rate=AS_Cash,'Plan cashflow'!TG22/(1+AS_Cash),0)+IF(Slot20_Rate=AS_Cash,'Plan cashflow'!TK22/(1+AS_Cash),0))*AS_Cash*H_DIRT/(1-H_DIRT)</f>
        <v>94.9667008605433</v>
      </c>
      <c r="BP22" s="60" t="n">
        <f aca="false">SUM(AVE22:AYQ22)</f>
        <v>0</v>
      </c>
      <c r="BQ22" s="54" t="n">
        <f aca="false">IF(H_TaxEvt=1,H_InvG,AS_Inv)</f>
        <v>0.04</v>
      </c>
      <c r="BR22" s="20" t="n">
        <f aca="false">IF(AKR21&gt;0,(AKR21-AOE21)/AKR21,0)</f>
        <v>0</v>
      </c>
      <c r="BS22" s="20" t="n">
        <f aca="false">IF(AKS21&gt;0,(AKS21-AOF21)/AKS21,0)</f>
        <v>0</v>
      </c>
      <c r="BT22" s="20" t="n">
        <f aca="false">IF(AKT21&gt;0,(AKT21-AOG21)/AKT21,0)</f>
        <v>0</v>
      </c>
      <c r="BU22" s="20" t="n">
        <f aca="false">IF(AKU21&gt;0,(AKU21-AOH21)/AKU21,0)</f>
        <v>0</v>
      </c>
      <c r="BV22" s="20" t="n">
        <f aca="false">IF(AKV21&gt;0,(AKV21-AOI21)/AKV21,0)</f>
        <v>0</v>
      </c>
      <c r="BW22" s="20" t="n">
        <f aca="false">IF(AKW21&gt;0,(AKW21-AOJ21)/AKW21,0)</f>
        <v>0</v>
      </c>
      <c r="BX22" s="20" t="n">
        <f aca="false">IF(AKX21&gt;0,(AKX21-AOK21)/AKX21,0)</f>
        <v>0</v>
      </c>
      <c r="BY22" s="20" t="n">
        <f aca="false">IF(AKY21&gt;0,(AKY21-AOL21)/AKY21,0)</f>
        <v>0</v>
      </c>
      <c r="BZ22" s="20" t="n">
        <f aca="false">IF(AKZ21&gt;0,(AKZ21-AOM21)/AKZ21,0)</f>
        <v>0</v>
      </c>
      <c r="CA22" s="20" t="n">
        <f aca="false">IF(ALA21&gt;0,(ALA21-AON21)/ALA21,0)</f>
        <v>0</v>
      </c>
      <c r="CB22" s="20" t="n">
        <f aca="false">IF(ALB21&gt;0,(ALB21-AOO21)/ALB21,0)</f>
        <v>0</v>
      </c>
      <c r="CC22" s="20" t="n">
        <f aca="false">IF(ALC21&gt;0,(ALC21-AOP21)/ALC21,0)</f>
        <v>0.145195808970274</v>
      </c>
      <c r="CD22" s="20" t="n">
        <f aca="false">IF(ALD21&gt;0,(ALD21-AOQ21)/ALD21,0)</f>
        <v>0.111003641329085</v>
      </c>
      <c r="CE22" s="20" t="n">
        <f aca="false">IF(ALE21&gt;0,(ALE21-AOR21)/ALE21,0)</f>
        <v>0.0754437869822486</v>
      </c>
      <c r="CF22" s="20" t="n">
        <f aca="false">IF(ALF21&gt;0,(ALF21-AOS21)/ALF21,0)</f>
        <v>0.0384615384615385</v>
      </c>
      <c r="CG22" s="20" t="n">
        <f aca="false">IF((P22+S22)&gt;0,((P22+S22)-(P22+S22))/(P22+S22),0)</f>
        <v>0</v>
      </c>
      <c r="CH22" s="20" t="n">
        <v>0</v>
      </c>
      <c r="CI22" s="20" t="n">
        <v>0</v>
      </c>
      <c r="CJ22" s="20" t="n">
        <v>0</v>
      </c>
      <c r="CK22" s="20" t="n">
        <v>0</v>
      </c>
      <c r="CL22" s="20" t="n">
        <v>0</v>
      </c>
      <c r="CM22" s="20" t="n">
        <v>0</v>
      </c>
      <c r="CN22" s="20" t="n">
        <v>0</v>
      </c>
      <c r="CO22" s="20" t="n">
        <v>0</v>
      </c>
      <c r="CP22" s="20" t="n">
        <v>0</v>
      </c>
      <c r="CQ22" s="20" t="n">
        <v>0</v>
      </c>
      <c r="CR22" s="20" t="n">
        <v>0</v>
      </c>
      <c r="CS22" s="20" t="n">
        <v>0</v>
      </c>
      <c r="CT22" s="20" t="n">
        <v>0</v>
      </c>
      <c r="CU22" s="20" t="n">
        <v>0</v>
      </c>
      <c r="CV22" s="20" t="n">
        <v>0</v>
      </c>
      <c r="CW22" s="20" t="n">
        <v>0</v>
      </c>
      <c r="CX22" s="20" t="n">
        <v>0</v>
      </c>
      <c r="CY22" s="20" t="n">
        <v>0</v>
      </c>
      <c r="CZ22" s="20" t="n">
        <v>0</v>
      </c>
      <c r="DA22" s="20" t="n">
        <v>0</v>
      </c>
      <c r="DB22" s="20" t="n">
        <v>0</v>
      </c>
      <c r="DC22" s="20" t="n">
        <v>0</v>
      </c>
      <c r="DD22" s="20" t="n">
        <v>0</v>
      </c>
      <c r="DE22" s="20" t="n">
        <v>0</v>
      </c>
      <c r="DF22" s="20" t="n">
        <v>0</v>
      </c>
      <c r="DG22" s="20" t="n">
        <v>0</v>
      </c>
      <c r="DH22" s="20" t="n">
        <v>0</v>
      </c>
      <c r="DI22" s="20" t="n">
        <v>0</v>
      </c>
      <c r="DJ22" s="20" t="n">
        <v>0</v>
      </c>
      <c r="DK22" s="20" t="n">
        <v>0</v>
      </c>
      <c r="DL22" s="20" t="n">
        <v>0</v>
      </c>
      <c r="DM22" s="20" t="n">
        <v>0</v>
      </c>
      <c r="DN22" s="20" t="n">
        <v>0</v>
      </c>
      <c r="DO22" s="20" t="n">
        <v>0</v>
      </c>
      <c r="DP22" s="20" t="n">
        <v>0</v>
      </c>
      <c r="DQ22" s="20" t="n">
        <v>0</v>
      </c>
      <c r="DR22" s="20" t="n">
        <v>0</v>
      </c>
      <c r="DS22" s="20" t="n">
        <v>0</v>
      </c>
      <c r="DT22" s="20" t="n">
        <v>0</v>
      </c>
      <c r="DU22" s="20" t="n">
        <v>0</v>
      </c>
      <c r="DV22" s="20" t="n">
        <v>0</v>
      </c>
      <c r="DW22" s="20" t="n">
        <v>0</v>
      </c>
      <c r="DX22" s="20" t="n">
        <v>0</v>
      </c>
      <c r="DY22" s="20" t="n">
        <v>0</v>
      </c>
      <c r="DZ22" s="20" t="n">
        <v>0</v>
      </c>
      <c r="EA22" s="20" t="n">
        <v>0</v>
      </c>
      <c r="EB22" s="20" t="n">
        <v>0</v>
      </c>
      <c r="EC22" s="20" t="n">
        <v>0</v>
      </c>
      <c r="ED22" s="20" t="n">
        <v>0</v>
      </c>
      <c r="EE22" s="20" t="n">
        <v>0</v>
      </c>
      <c r="EF22" s="20" t="n">
        <v>0</v>
      </c>
      <c r="EG22" s="20" t="n">
        <v>0</v>
      </c>
      <c r="EH22" s="20" t="n">
        <v>0</v>
      </c>
      <c r="EI22" s="20" t="n">
        <v>0</v>
      </c>
      <c r="EJ22" s="20" t="n">
        <v>0</v>
      </c>
      <c r="EK22" s="20" t="n">
        <v>0</v>
      </c>
      <c r="EL22" s="20" t="n">
        <v>0</v>
      </c>
      <c r="EM22" s="20" t="n">
        <v>0</v>
      </c>
      <c r="EN22" s="20" t="n">
        <v>0</v>
      </c>
      <c r="EO22" s="20" t="n">
        <v>0</v>
      </c>
      <c r="EP22" s="20" t="n">
        <v>0</v>
      </c>
      <c r="EQ22" s="20" t="n">
        <v>0</v>
      </c>
      <c r="ER22" s="20" t="n">
        <v>0</v>
      </c>
      <c r="ES22" s="20" t="n">
        <v>0</v>
      </c>
      <c r="ET22" s="20" t="n">
        <v>0</v>
      </c>
      <c r="EU22" s="20" t="n">
        <v>0</v>
      </c>
      <c r="EV22" s="20" t="n">
        <v>0</v>
      </c>
      <c r="EW22" s="20" t="n">
        <v>0</v>
      </c>
      <c r="EX22" s="20" t="n">
        <v>0</v>
      </c>
      <c r="EY22" s="20" t="n">
        <v>0</v>
      </c>
      <c r="EZ22" s="20" t="n">
        <v>0</v>
      </c>
      <c r="FA22" s="20" t="n">
        <v>0</v>
      </c>
      <c r="FB22" s="20" t="n">
        <v>0</v>
      </c>
      <c r="FC22" s="20" t="n">
        <v>0</v>
      </c>
      <c r="FD22" s="20" t="n">
        <v>0</v>
      </c>
      <c r="FE22" s="20" t="n">
        <f aca="false">IF(H_Direct=1,IF(AKR21&lt;=0,0,IF(BR22&lt;=0,AKR21,AKR21-G22*MAX(0,BR22*AKR21-(H22+I22)))),AKR21*(1-MAX(0,BR22)*H_Exit))</f>
        <v>0</v>
      </c>
      <c r="FF22" s="20" t="n">
        <f aca="false">IF(H_Direct=1,IF(AKS21&lt;=0,0,IF(BS22&lt;=0,AKS21,AKS21-G22*MAX(0,BS22*AKS21-(IR22+ME22)))),AKS21*(1-MAX(0,BS22)*H_Exit))</f>
        <v>0</v>
      </c>
      <c r="FG22" s="20" t="n">
        <f aca="false">IF(H_Direct=1,IF(AKT21&lt;=0,0,IF(BT22&lt;=0,AKT21,AKT21-G22*MAX(0,BT22*AKT21-(IS22+MF22)))),AKT21*(1-MAX(0,BT22)*H_Exit))</f>
        <v>0</v>
      </c>
      <c r="FH22" s="20" t="n">
        <f aca="false">IF(H_Direct=1,IF(AKU21&lt;=0,0,IF(BU22&lt;=0,AKU21,AKU21-G22*MAX(0,BU22*AKU21-(IT22+MG22)))),AKU21*(1-MAX(0,BU22)*H_Exit))</f>
        <v>0</v>
      </c>
      <c r="FI22" s="20" t="n">
        <f aca="false">IF(H_Direct=1,IF(AKV21&lt;=0,0,IF(BV22&lt;=0,AKV21,AKV21-G22*MAX(0,BV22*AKV21-(IU22+MH22)))),AKV21*(1-MAX(0,BV22)*H_Exit))</f>
        <v>0</v>
      </c>
      <c r="FJ22" s="20" t="n">
        <f aca="false">IF(H_Direct=1,IF(AKW21&lt;=0,0,IF(BW22&lt;=0,AKW21,AKW21-G22*MAX(0,BW22*AKW21-(IV22+MI22)))),AKW21*(1-MAX(0,BW22)*H_Exit))</f>
        <v>0</v>
      </c>
      <c r="FK22" s="20" t="n">
        <f aca="false">IF(H_Direct=1,IF(AKX21&lt;=0,0,IF(BX22&lt;=0,AKX21,AKX21-G22*MAX(0,BX22*AKX21-(IW22+MJ22)))),AKX21*(1-MAX(0,BX22)*H_Exit))</f>
        <v>0</v>
      </c>
      <c r="FL22" s="20" t="n">
        <f aca="false">IF(H_Direct=1,IF(AKY21&lt;=0,0,IF(BY22&lt;=0,AKY21,AKY21-G22*MAX(0,BY22*AKY21-(IX22+MK22)))),AKY21*(1-MAX(0,BY22)*H_Exit))</f>
        <v>0</v>
      </c>
      <c r="FM22" s="20" t="n">
        <f aca="false">IF(H_Direct=1,IF(AKZ21&lt;=0,0,IF(BZ22&lt;=0,AKZ21,AKZ21-G22*MAX(0,BZ22*AKZ21-(IY22+ML22)))),AKZ21*(1-MAX(0,BZ22)*H_Exit))</f>
        <v>0</v>
      </c>
      <c r="FN22" s="20" t="n">
        <f aca="false">IF(H_Direct=1,IF(ALA21&lt;=0,0,IF(CA22&lt;=0,ALA21,ALA21-G22*MAX(0,CA22*ALA21-(IZ22+MM22)))),ALA21*(1-MAX(0,CA22)*H_Exit))</f>
        <v>0</v>
      </c>
      <c r="FO22" s="20" t="n">
        <f aca="false">IF(H_Direct=1,IF(ALB21&lt;=0,0,IF(CB22&lt;=0,ALB21,ALB21-G22*MAX(0,CB22*ALB21-(JA22+MN22)))),ALB21*(1-MAX(0,CB22)*H_Exit))</f>
        <v>0</v>
      </c>
      <c r="FP22" s="20" t="n">
        <f aca="false">IF(H_Direct=1,IF(ALC21&lt;=0,0,IF(CC22&lt;=0,ALC21,ALC21-G22*MAX(0,CC22*ALC21-(JB22+MO22)))),ALC21*(1-MAX(0,CC22)*H_Exit))</f>
        <v>604.248728058381</v>
      </c>
      <c r="FQ22" s="20" t="n">
        <f aca="false">IF(H_Direct=1,IF(ALD21&lt;=0,0,IF(CD22&lt;=0,ALD21,ALD21-G22*MAX(0,CD22*ALD21-(JC22+MP22)))),ALD21*(1-MAX(0,CD22)*H_Exit))</f>
        <v>770.578745098403</v>
      </c>
      <c r="FR22" s="20" t="n">
        <f aca="false">IF(H_Direct=1,IF(ALE21&lt;=0,0,IF(CE22&lt;=0,ALE21,ALE21-G22*MAX(0,CE22*ALE21-(JD22+MQ22)))),ALE21*(1-MAX(0,CE22)*H_Exit))</f>
        <v>935.177171221384</v>
      </c>
      <c r="FS22" s="20" t="n">
        <f aca="false">IF(H_Direct=1,IF(ALF21&lt;=0,0,IF(CF22&lt;=0,ALF21,ALF21-G22*MAX(0,CF22*ALF21-(JE22+MR22)))),ALF21*(1-MAX(0,CF22)*H_Exit))</f>
        <v>1066.82642570914</v>
      </c>
      <c r="FT22" s="20" t="n">
        <f aca="false">IF(H_Direct=1,IF((P22+S22)&lt;=0,0,IF(CG22&lt;=0,(P22+S22),(P22+S22)-G22*MAX(0,CG22*(P22+S22)-(JF22+MS22)))),(P22+S22)*(1-MAX(0,CG22)*H_Exit))</f>
        <v>0</v>
      </c>
      <c r="FU22" s="20" t="n">
        <v>0</v>
      </c>
      <c r="FV22" s="20" t="n">
        <v>0</v>
      </c>
      <c r="FW22" s="20" t="n">
        <v>0</v>
      </c>
      <c r="FX22" s="20" t="n">
        <v>0</v>
      </c>
      <c r="FY22" s="20" t="n">
        <v>0</v>
      </c>
      <c r="FZ22" s="20" t="n">
        <v>0</v>
      </c>
      <c r="GA22" s="20" t="n">
        <v>0</v>
      </c>
      <c r="GB22" s="20" t="n">
        <v>0</v>
      </c>
      <c r="GC22" s="20" t="n">
        <v>0</v>
      </c>
      <c r="GD22" s="20" t="n">
        <v>0</v>
      </c>
      <c r="GE22" s="20" t="n">
        <v>0</v>
      </c>
      <c r="GF22" s="20" t="n">
        <v>0</v>
      </c>
      <c r="GG22" s="20" t="n">
        <v>0</v>
      </c>
      <c r="GH22" s="20" t="n">
        <v>0</v>
      </c>
      <c r="GI22" s="20" t="n">
        <v>0</v>
      </c>
      <c r="GJ22" s="20" t="n">
        <v>0</v>
      </c>
      <c r="GK22" s="20" t="n">
        <v>0</v>
      </c>
      <c r="GL22" s="20" t="n">
        <v>0</v>
      </c>
      <c r="GM22" s="20" t="n">
        <v>0</v>
      </c>
      <c r="GN22" s="20" t="n">
        <v>0</v>
      </c>
      <c r="GO22" s="20" t="n">
        <v>0</v>
      </c>
      <c r="GP22" s="20" t="n">
        <v>0</v>
      </c>
      <c r="GQ22" s="20" t="n">
        <v>0</v>
      </c>
      <c r="GR22" s="20" t="n">
        <v>0</v>
      </c>
      <c r="GS22" s="20" t="n">
        <v>0</v>
      </c>
      <c r="GT22" s="20" t="n">
        <v>0</v>
      </c>
      <c r="GU22" s="20" t="n">
        <v>0</v>
      </c>
      <c r="GV22" s="20" t="n">
        <v>0</v>
      </c>
      <c r="GW22" s="20" t="n">
        <v>0</v>
      </c>
      <c r="GX22" s="20" t="n">
        <v>0</v>
      </c>
      <c r="GY22" s="20" t="n">
        <v>0</v>
      </c>
      <c r="GZ22" s="20" t="n">
        <v>0</v>
      </c>
      <c r="HA22" s="20" t="n">
        <v>0</v>
      </c>
      <c r="HB22" s="20" t="n">
        <v>0</v>
      </c>
      <c r="HC22" s="20" t="n">
        <v>0</v>
      </c>
      <c r="HD22" s="20" t="n">
        <v>0</v>
      </c>
      <c r="HE22" s="20" t="n">
        <v>0</v>
      </c>
      <c r="HF22" s="20" t="n">
        <v>0</v>
      </c>
      <c r="HG22" s="20" t="n">
        <v>0</v>
      </c>
      <c r="HH22" s="20" t="n">
        <v>0</v>
      </c>
      <c r="HI22" s="20" t="n">
        <v>0</v>
      </c>
      <c r="HJ22" s="20" t="n">
        <v>0</v>
      </c>
      <c r="HK22" s="20" t="n">
        <v>0</v>
      </c>
      <c r="HL22" s="20" t="n">
        <v>0</v>
      </c>
      <c r="HM22" s="20" t="n">
        <v>0</v>
      </c>
      <c r="HN22" s="20" t="n">
        <v>0</v>
      </c>
      <c r="HO22" s="20" t="n">
        <v>0</v>
      </c>
      <c r="HP22" s="20" t="n">
        <v>0</v>
      </c>
      <c r="HQ22" s="20" t="n">
        <v>0</v>
      </c>
      <c r="HR22" s="20" t="n">
        <v>0</v>
      </c>
      <c r="HS22" s="20" t="n">
        <v>0</v>
      </c>
      <c r="HT22" s="20" t="n">
        <v>0</v>
      </c>
      <c r="HU22" s="20" t="n">
        <v>0</v>
      </c>
      <c r="HV22" s="20" t="n">
        <v>0</v>
      </c>
      <c r="HW22" s="20" t="n">
        <v>0</v>
      </c>
      <c r="HX22" s="20" t="n">
        <v>0</v>
      </c>
      <c r="HY22" s="20" t="n">
        <v>0</v>
      </c>
      <c r="HZ22" s="20" t="n">
        <v>0</v>
      </c>
      <c r="IA22" s="20" t="n">
        <v>0</v>
      </c>
      <c r="IB22" s="20" t="n">
        <v>0</v>
      </c>
      <c r="IC22" s="20" t="n">
        <v>0</v>
      </c>
      <c r="ID22" s="20" t="n">
        <v>0</v>
      </c>
      <c r="IE22" s="20" t="n">
        <v>0</v>
      </c>
      <c r="IF22" s="20" t="n">
        <v>0</v>
      </c>
      <c r="IG22" s="20" t="n">
        <v>0</v>
      </c>
      <c r="IH22" s="20" t="n">
        <v>0</v>
      </c>
      <c r="II22" s="20" t="n">
        <v>0</v>
      </c>
      <c r="IJ22" s="20" t="n">
        <v>0</v>
      </c>
      <c r="IK22" s="20" t="n">
        <v>0</v>
      </c>
      <c r="IL22" s="20" t="n">
        <v>0</v>
      </c>
      <c r="IM22" s="20" t="n">
        <v>0</v>
      </c>
      <c r="IN22" s="20" t="n">
        <v>0</v>
      </c>
      <c r="IO22" s="20" t="n">
        <v>0</v>
      </c>
      <c r="IP22" s="20" t="n">
        <v>0</v>
      </c>
      <c r="IQ22" s="20" t="n">
        <v>0</v>
      </c>
      <c r="IR22" s="20" t="n">
        <f aca="false">IF(AND(H_Direct=1,BR22&gt;0),MAX(0,H22-(MIN(BR22*AKR21,H22+I22)-MIN(MIN(BR22*AKR21,H22+I22),I22))),H22)</f>
        <v>1270</v>
      </c>
      <c r="IS22" s="20" t="n">
        <f aca="false">IF(AND(H_Direct=1,BS22&gt;0),MAX(0,IR22-(MIN(BS22*AKS21,IR22+ME22)-MIN(MIN(BS22*AKS21,IR22+ME22),ME22))),IR22)</f>
        <v>1270</v>
      </c>
      <c r="IT22" s="20" t="n">
        <f aca="false">IF(AND(H_Direct=1,BT22&gt;0),MAX(0,IS22-(MIN(BT22*AKT21,IS22+MF22)-MIN(MIN(BT22*AKT21,IS22+MF22),MF22))),IS22)</f>
        <v>1270</v>
      </c>
      <c r="IU22" s="20" t="n">
        <f aca="false">IF(AND(H_Direct=1,BU22&gt;0),MAX(0,IT22-(MIN(BU22*AKU21,IT22+MG22)-MIN(MIN(BU22*AKU21,IT22+MG22),MG22))),IT22)</f>
        <v>1270</v>
      </c>
      <c r="IV22" s="20" t="n">
        <f aca="false">IF(AND(H_Direct=1,BV22&gt;0),MAX(0,IU22-(MIN(BV22*AKV21,IU22+MH22)-MIN(MIN(BV22*AKV21,IU22+MH22),MH22))),IU22)</f>
        <v>1270</v>
      </c>
      <c r="IW22" s="20" t="n">
        <f aca="false">IF(AND(H_Direct=1,BW22&gt;0),MAX(0,IV22-(MIN(BW22*AKW21,IV22+MI22)-MIN(MIN(BW22*AKW21,IV22+MI22),MI22))),IV22)</f>
        <v>1270</v>
      </c>
      <c r="IX22" s="20" t="n">
        <f aca="false">IF(AND(H_Direct=1,BX22&gt;0),MAX(0,IW22-(MIN(BX22*AKX21,IW22+MJ22)-MIN(MIN(BX22*AKX21,IW22+MJ22),MJ22))),IW22)</f>
        <v>1270</v>
      </c>
      <c r="IY22" s="20" t="n">
        <f aca="false">IF(AND(H_Direct=1,BY22&gt;0),MAX(0,IX22-(MIN(BY22*AKY21,IX22+MK22)-MIN(MIN(BY22*AKY21,IX22+MK22),MK22))),IX22)</f>
        <v>1270</v>
      </c>
      <c r="IZ22" s="20" t="n">
        <f aca="false">IF(AND(H_Direct=1,BZ22&gt;0),MAX(0,IY22-(MIN(BZ22*AKZ21,IY22+ML22)-MIN(MIN(BZ22*AKZ21,IY22+ML22),ML22))),IY22)</f>
        <v>1270</v>
      </c>
      <c r="JA22" s="20" t="n">
        <f aca="false">IF(AND(H_Direct=1,CA22&gt;0),MAX(0,IZ22-(MIN(CA22*ALA21,IZ22+MM22)-MIN(MIN(CA22*ALA21,IZ22+MM22),MM22))),IZ22)</f>
        <v>1270</v>
      </c>
      <c r="JB22" s="20" t="n">
        <f aca="false">IF(AND(H_Direct=1,CB22&gt;0),MAX(0,JA22-(MIN(CB22*ALB21,JA22+MN22)-MIN(MIN(CB22*ALB21,JA22+MN22),MN22))),JA22)</f>
        <v>1270</v>
      </c>
      <c r="JC22" s="20" t="n">
        <f aca="false">IF(AND(H_Direct=1,CC22&gt;0),MAX(0,JB22-(MIN(CC22*ALC21,JB22+MO22)-MIN(MIN(CC22*ALC21,JB22+MO22),MO22))),JB22)</f>
        <v>1270</v>
      </c>
      <c r="JD22" s="20" t="n">
        <f aca="false">IF(AND(H_Direct=1,CD22&gt;0),MAX(0,JC22-(MIN(CD22*ALD21,JC22+MP22)-MIN(MIN(CD22*ALD21,JC22+MP22),MP22))),JC22)</f>
        <v>1270</v>
      </c>
      <c r="JE22" s="20" t="n">
        <f aca="false">IF(AND(H_Direct=1,CE22&gt;0),MAX(0,JD22-(MIN(CE22*ALE21,JD22+MQ22)-MIN(MIN(CE22*ALE21,JD22+MQ22),MQ22))),JD22)</f>
        <v>1270</v>
      </c>
      <c r="JF22" s="20" t="n">
        <f aca="false">IF(AND(H_Direct=1,CF22&gt;0),MAX(0,JE22-(MIN(CF22*ALF21,JE22+MR22)-MIN(MIN(CF22*ALF21,JE22+MR22),MR22))),JE22)</f>
        <v>1270</v>
      </c>
      <c r="JG22" s="20" t="n">
        <f aca="false">IF(AND(H_Direct=1,CG22&gt;0),MAX(0,JF22-(MIN(CG22*(P22+S22),JF22+MS22)-MIN(MIN(CG22*(P22+S22),JF22+MS22),MS22))),JF22)</f>
        <v>1270</v>
      </c>
      <c r="JH22" s="20" t="n">
        <f aca="false">JG22</f>
        <v>1270</v>
      </c>
      <c r="JI22" s="20" t="n">
        <f aca="false">JH22</f>
        <v>1270</v>
      </c>
      <c r="JJ22" s="20" t="n">
        <f aca="false">JI22</f>
        <v>1270</v>
      </c>
      <c r="JK22" s="20" t="n">
        <f aca="false">JJ22</f>
        <v>1270</v>
      </c>
      <c r="JL22" s="20" t="n">
        <f aca="false">JK22</f>
        <v>1270</v>
      </c>
      <c r="JM22" s="20" t="n">
        <f aca="false">JL22</f>
        <v>1270</v>
      </c>
      <c r="JN22" s="20" t="n">
        <f aca="false">JM22</f>
        <v>1270</v>
      </c>
      <c r="JO22" s="20" t="n">
        <f aca="false">JN22</f>
        <v>1270</v>
      </c>
      <c r="JP22" s="20" t="n">
        <f aca="false">JO22</f>
        <v>1270</v>
      </c>
      <c r="JQ22" s="20" t="n">
        <f aca="false">JP22</f>
        <v>1270</v>
      </c>
      <c r="JR22" s="20" t="n">
        <f aca="false">JQ22</f>
        <v>1270</v>
      </c>
      <c r="JS22" s="20" t="n">
        <f aca="false">JR22</f>
        <v>1270</v>
      </c>
      <c r="JT22" s="20" t="n">
        <f aca="false">JS22</f>
        <v>1270</v>
      </c>
      <c r="JU22" s="20" t="n">
        <f aca="false">JT22</f>
        <v>1270</v>
      </c>
      <c r="JV22" s="20" t="n">
        <f aca="false">JU22</f>
        <v>1270</v>
      </c>
      <c r="JW22" s="20" t="n">
        <f aca="false">JV22</f>
        <v>1270</v>
      </c>
      <c r="JX22" s="20" t="n">
        <f aca="false">JW22</f>
        <v>1270</v>
      </c>
      <c r="JY22" s="20" t="n">
        <f aca="false">JX22</f>
        <v>1270</v>
      </c>
      <c r="JZ22" s="20" t="n">
        <f aca="false">JY22</f>
        <v>1270</v>
      </c>
      <c r="KA22" s="20" t="n">
        <f aca="false">JZ22</f>
        <v>1270</v>
      </c>
      <c r="KB22" s="20" t="n">
        <f aca="false">KA22</f>
        <v>1270</v>
      </c>
      <c r="KC22" s="20" t="n">
        <f aca="false">KB22</f>
        <v>1270</v>
      </c>
      <c r="KD22" s="20" t="n">
        <f aca="false">KC22</f>
        <v>1270</v>
      </c>
      <c r="KE22" s="20" t="n">
        <f aca="false">KD22</f>
        <v>1270</v>
      </c>
      <c r="KF22" s="20" t="n">
        <f aca="false">KE22</f>
        <v>1270</v>
      </c>
      <c r="KG22" s="20" t="n">
        <f aca="false">KF22</f>
        <v>1270</v>
      </c>
      <c r="KH22" s="20" t="n">
        <f aca="false">KG22</f>
        <v>1270</v>
      </c>
      <c r="KI22" s="20" t="n">
        <f aca="false">KH22</f>
        <v>1270</v>
      </c>
      <c r="KJ22" s="20" t="n">
        <f aca="false">KI22</f>
        <v>1270</v>
      </c>
      <c r="KK22" s="20" t="n">
        <f aca="false">KJ22</f>
        <v>1270</v>
      </c>
      <c r="KL22" s="20" t="n">
        <f aca="false">KK22</f>
        <v>1270</v>
      </c>
      <c r="KM22" s="20" t="n">
        <f aca="false">KL22</f>
        <v>1270</v>
      </c>
      <c r="KN22" s="20" t="n">
        <f aca="false">KM22</f>
        <v>1270</v>
      </c>
      <c r="KO22" s="20" t="n">
        <f aca="false">KN22</f>
        <v>1270</v>
      </c>
      <c r="KP22" s="20" t="n">
        <f aca="false">KO22</f>
        <v>1270</v>
      </c>
      <c r="KQ22" s="20" t="n">
        <f aca="false">KP22</f>
        <v>1270</v>
      </c>
      <c r="KR22" s="20" t="n">
        <f aca="false">KQ22</f>
        <v>1270</v>
      </c>
      <c r="KS22" s="20" t="n">
        <f aca="false">KR22</f>
        <v>1270</v>
      </c>
      <c r="KT22" s="20" t="n">
        <f aca="false">KS22</f>
        <v>1270</v>
      </c>
      <c r="KU22" s="20" t="n">
        <f aca="false">KT22</f>
        <v>1270</v>
      </c>
      <c r="KV22" s="20" t="n">
        <f aca="false">KU22</f>
        <v>1270</v>
      </c>
      <c r="KW22" s="20" t="n">
        <f aca="false">KV22</f>
        <v>1270</v>
      </c>
      <c r="KX22" s="20" t="n">
        <f aca="false">KW22</f>
        <v>1270</v>
      </c>
      <c r="KY22" s="20" t="n">
        <f aca="false">KX22</f>
        <v>1270</v>
      </c>
      <c r="KZ22" s="20" t="n">
        <f aca="false">KY22</f>
        <v>1270</v>
      </c>
      <c r="LA22" s="20" t="n">
        <f aca="false">KZ22</f>
        <v>1270</v>
      </c>
      <c r="LB22" s="20" t="n">
        <f aca="false">LA22</f>
        <v>1270</v>
      </c>
      <c r="LC22" s="20" t="n">
        <f aca="false">LB22</f>
        <v>1270</v>
      </c>
      <c r="LD22" s="20" t="n">
        <f aca="false">LC22</f>
        <v>1270</v>
      </c>
      <c r="LE22" s="20" t="n">
        <f aca="false">LD22</f>
        <v>1270</v>
      </c>
      <c r="LF22" s="20" t="n">
        <f aca="false">LE22</f>
        <v>1270</v>
      </c>
      <c r="LG22" s="20" t="n">
        <f aca="false">LF22</f>
        <v>1270</v>
      </c>
      <c r="LH22" s="20" t="n">
        <f aca="false">LG22</f>
        <v>1270</v>
      </c>
      <c r="LI22" s="20" t="n">
        <f aca="false">LH22</f>
        <v>1270</v>
      </c>
      <c r="LJ22" s="20" t="n">
        <f aca="false">LI22</f>
        <v>1270</v>
      </c>
      <c r="LK22" s="20" t="n">
        <f aca="false">LJ22</f>
        <v>1270</v>
      </c>
      <c r="LL22" s="20" t="n">
        <f aca="false">LK22</f>
        <v>1270</v>
      </c>
      <c r="LM22" s="20" t="n">
        <f aca="false">LL22</f>
        <v>1270</v>
      </c>
      <c r="LN22" s="20" t="n">
        <f aca="false">LM22</f>
        <v>1270</v>
      </c>
      <c r="LO22" s="20" t="n">
        <f aca="false">LN22</f>
        <v>1270</v>
      </c>
      <c r="LP22" s="20" t="n">
        <f aca="false">LO22</f>
        <v>1270</v>
      </c>
      <c r="LQ22" s="20" t="n">
        <f aca="false">LP22</f>
        <v>1270</v>
      </c>
      <c r="LR22" s="20" t="n">
        <f aca="false">LQ22</f>
        <v>1270</v>
      </c>
      <c r="LS22" s="20" t="n">
        <f aca="false">LR22</f>
        <v>1270</v>
      </c>
      <c r="LT22" s="20" t="n">
        <f aca="false">LS22</f>
        <v>1270</v>
      </c>
      <c r="LU22" s="20" t="n">
        <f aca="false">LT22</f>
        <v>1270</v>
      </c>
      <c r="LV22" s="20" t="n">
        <f aca="false">LU22</f>
        <v>1270</v>
      </c>
      <c r="LW22" s="20" t="n">
        <f aca="false">LV22</f>
        <v>1270</v>
      </c>
      <c r="LX22" s="20" t="n">
        <f aca="false">LW22</f>
        <v>1270</v>
      </c>
      <c r="LY22" s="20" t="n">
        <f aca="false">LX22</f>
        <v>1270</v>
      </c>
      <c r="LZ22" s="20" t="n">
        <f aca="false">LY22</f>
        <v>1270</v>
      </c>
      <c r="MA22" s="20" t="n">
        <f aca="false">LZ22</f>
        <v>1270</v>
      </c>
      <c r="MB22" s="20" t="n">
        <f aca="false">MA22</f>
        <v>1270</v>
      </c>
      <c r="MC22" s="20" t="n">
        <f aca="false">MB22</f>
        <v>1270</v>
      </c>
      <c r="MD22" s="20" t="n">
        <f aca="false">MC22</f>
        <v>1270</v>
      </c>
      <c r="ME22" s="20" t="n">
        <f aca="false">IF(H_Direct=1,IF(BR22&lt;=0,I22-BR22*AKR21,I22-MIN(MIN(BR22*AKR21,H22+I22),I22)),I22)</f>
        <v>0</v>
      </c>
      <c r="MF22" s="20" t="n">
        <f aca="false">IF(H_Direct=1,IF(BS22&lt;=0,ME22-BS22*AKS21,ME22-MIN(MIN(BS22*AKS21,IR22+ME22),ME22)),ME22)</f>
        <v>0</v>
      </c>
      <c r="MG22" s="20" t="n">
        <f aca="false">IF(H_Direct=1,IF(BT22&lt;=0,MF22-BT22*AKT21,MF22-MIN(MIN(BT22*AKT21,IS22+MF22),MF22)),MF22)</f>
        <v>0</v>
      </c>
      <c r="MH22" s="20" t="n">
        <f aca="false">IF(H_Direct=1,IF(BU22&lt;=0,MG22-BU22*AKU21,MG22-MIN(MIN(BU22*AKU21,IT22+MG22),MG22)),MG22)</f>
        <v>0</v>
      </c>
      <c r="MI22" s="20" t="n">
        <f aca="false">IF(H_Direct=1,IF(BV22&lt;=0,MH22-BV22*AKV21,MH22-MIN(MIN(BV22*AKV21,IU22+MH22),MH22)),MH22)</f>
        <v>0</v>
      </c>
      <c r="MJ22" s="20" t="n">
        <f aca="false">IF(H_Direct=1,IF(BW22&lt;=0,MI22-BW22*AKW21,MI22-MIN(MIN(BW22*AKW21,IV22+MI22),MI22)),MI22)</f>
        <v>0</v>
      </c>
      <c r="MK22" s="20" t="n">
        <f aca="false">IF(H_Direct=1,IF(BX22&lt;=0,MJ22-BX22*AKX21,MJ22-MIN(MIN(BX22*AKX21,IW22+MJ22),MJ22)),MJ22)</f>
        <v>0</v>
      </c>
      <c r="ML22" s="20" t="n">
        <f aca="false">IF(H_Direct=1,IF(BY22&lt;=0,MK22-BY22*AKY21,MK22-MIN(MIN(BY22*AKY21,IX22+MK22),MK22)),MK22)</f>
        <v>0</v>
      </c>
      <c r="MM22" s="20" t="n">
        <f aca="false">IF(H_Direct=1,IF(BZ22&lt;=0,ML22-BZ22*AKZ21,ML22-MIN(MIN(BZ22*AKZ21,IY22+ML22),ML22)),ML22)</f>
        <v>0</v>
      </c>
      <c r="MN22" s="20" t="n">
        <f aca="false">IF(H_Direct=1,IF(CA22&lt;=0,MM22-CA22*ALA21,MM22-MIN(MIN(CA22*ALA21,IZ22+MM22),MM22)),MM22)</f>
        <v>0</v>
      </c>
      <c r="MO22" s="20" t="n">
        <f aca="false">IF(H_Direct=1,IF(CB22&lt;=0,MN22-CB22*ALB21,MN22-MIN(MIN(CB22*ALB21,JA22+MN22),MN22)),MN22)</f>
        <v>0</v>
      </c>
      <c r="MP22" s="20" t="n">
        <f aca="false">IF(H_Direct=1,IF(CC22&lt;=0,MO22-CC22*ALC21,MO22-MIN(MIN(CC22*ALC21,JB22+MO22),MO22)),MO22)</f>
        <v>0</v>
      </c>
      <c r="MQ22" s="20" t="n">
        <f aca="false">IF(H_Direct=1,IF(CD22&lt;=0,MP22-CD22*ALD21,MP22-MIN(MIN(CD22*ALD21,JC22+MP22),MP22)),MP22)</f>
        <v>0</v>
      </c>
      <c r="MR22" s="20" t="n">
        <f aca="false">IF(H_Direct=1,IF(CE22&lt;=0,MQ22-CE22*ALE21,MQ22-MIN(MIN(CE22*ALE21,JD22+MQ22),MQ22)),MQ22)</f>
        <v>0</v>
      </c>
      <c r="MS22" s="20" t="n">
        <f aca="false">IF(H_Direct=1,IF(CF22&lt;=0,MR22-CF22*ALF21,MR22-MIN(MIN(CF22*ALF21,JE22+MR22),MR22)),MR22)</f>
        <v>0</v>
      </c>
      <c r="MT22" s="20" t="n">
        <f aca="false">IF(H_Direct=1,IF(CG22&lt;=0,MS22-CG22*(P22+S22),MS22-MIN(MIN(CG22*(P22+S22),JF22+MS22),MS22)),MS22)</f>
        <v>0</v>
      </c>
      <c r="MU22" s="20" t="n">
        <f aca="false">MT22</f>
        <v>0</v>
      </c>
      <c r="MV22" s="20" t="n">
        <f aca="false">MU22</f>
        <v>0</v>
      </c>
      <c r="MW22" s="20" t="n">
        <f aca="false">MV22</f>
        <v>0</v>
      </c>
      <c r="MX22" s="20" t="n">
        <f aca="false">MW22</f>
        <v>0</v>
      </c>
      <c r="MY22" s="20" t="n">
        <f aca="false">MX22</f>
        <v>0</v>
      </c>
      <c r="MZ22" s="20" t="n">
        <f aca="false">MY22</f>
        <v>0</v>
      </c>
      <c r="NA22" s="20" t="n">
        <f aca="false">MZ22</f>
        <v>0</v>
      </c>
      <c r="NB22" s="20" t="n">
        <f aca="false">NA22</f>
        <v>0</v>
      </c>
      <c r="NC22" s="20" t="n">
        <f aca="false">NB22</f>
        <v>0</v>
      </c>
      <c r="ND22" s="20" t="n">
        <f aca="false">NC22</f>
        <v>0</v>
      </c>
      <c r="NE22" s="20" t="n">
        <f aca="false">ND22</f>
        <v>0</v>
      </c>
      <c r="NF22" s="20" t="n">
        <f aca="false">NE22</f>
        <v>0</v>
      </c>
      <c r="NG22" s="20" t="n">
        <f aca="false">NF22</f>
        <v>0</v>
      </c>
      <c r="NH22" s="20" t="n">
        <f aca="false">NG22</f>
        <v>0</v>
      </c>
      <c r="NI22" s="20" t="n">
        <f aca="false">NH22</f>
        <v>0</v>
      </c>
      <c r="NJ22" s="20" t="n">
        <f aca="false">NI22</f>
        <v>0</v>
      </c>
      <c r="NK22" s="20" t="n">
        <f aca="false">NJ22</f>
        <v>0</v>
      </c>
      <c r="NL22" s="20" t="n">
        <f aca="false">NK22</f>
        <v>0</v>
      </c>
      <c r="NM22" s="20" t="n">
        <f aca="false">NL22</f>
        <v>0</v>
      </c>
      <c r="NN22" s="20" t="n">
        <f aca="false">NM22</f>
        <v>0</v>
      </c>
      <c r="NO22" s="20" t="n">
        <f aca="false">NN22</f>
        <v>0</v>
      </c>
      <c r="NP22" s="20" t="n">
        <f aca="false">NO22</f>
        <v>0</v>
      </c>
      <c r="NQ22" s="20" t="n">
        <f aca="false">NP22</f>
        <v>0</v>
      </c>
      <c r="NR22" s="20" t="n">
        <f aca="false">NQ22</f>
        <v>0</v>
      </c>
      <c r="NS22" s="20" t="n">
        <f aca="false">NR22</f>
        <v>0</v>
      </c>
      <c r="NT22" s="20" t="n">
        <f aca="false">NS22</f>
        <v>0</v>
      </c>
      <c r="NU22" s="20" t="n">
        <f aca="false">NT22</f>
        <v>0</v>
      </c>
      <c r="NV22" s="20" t="n">
        <f aca="false">NU22</f>
        <v>0</v>
      </c>
      <c r="NW22" s="20" t="n">
        <f aca="false">NV22</f>
        <v>0</v>
      </c>
      <c r="NX22" s="20" t="n">
        <f aca="false">NW22</f>
        <v>0</v>
      </c>
      <c r="NY22" s="20" t="n">
        <f aca="false">NX22</f>
        <v>0</v>
      </c>
      <c r="NZ22" s="20" t="n">
        <f aca="false">NY22</f>
        <v>0</v>
      </c>
      <c r="OA22" s="20" t="n">
        <f aca="false">NZ22</f>
        <v>0</v>
      </c>
      <c r="OB22" s="20" t="n">
        <f aca="false">OA22</f>
        <v>0</v>
      </c>
      <c r="OC22" s="20" t="n">
        <f aca="false">OB22</f>
        <v>0</v>
      </c>
      <c r="OD22" s="20" t="n">
        <f aca="false">OC22</f>
        <v>0</v>
      </c>
      <c r="OE22" s="20" t="n">
        <f aca="false">OD22</f>
        <v>0</v>
      </c>
      <c r="OF22" s="20" t="n">
        <f aca="false">OE22</f>
        <v>0</v>
      </c>
      <c r="OG22" s="20" t="n">
        <f aca="false">OF22</f>
        <v>0</v>
      </c>
      <c r="OH22" s="20" t="n">
        <f aca="false">OG22</f>
        <v>0</v>
      </c>
      <c r="OI22" s="20" t="n">
        <f aca="false">OH22</f>
        <v>0</v>
      </c>
      <c r="OJ22" s="20" t="n">
        <f aca="false">OI22</f>
        <v>0</v>
      </c>
      <c r="OK22" s="20" t="n">
        <f aca="false">OJ22</f>
        <v>0</v>
      </c>
      <c r="OL22" s="20" t="n">
        <f aca="false">OK22</f>
        <v>0</v>
      </c>
      <c r="OM22" s="20" t="n">
        <f aca="false">OL22</f>
        <v>0</v>
      </c>
      <c r="ON22" s="20" t="n">
        <f aca="false">OM22</f>
        <v>0</v>
      </c>
      <c r="OO22" s="20" t="n">
        <f aca="false">ON22</f>
        <v>0</v>
      </c>
      <c r="OP22" s="20" t="n">
        <f aca="false">OO22</f>
        <v>0</v>
      </c>
      <c r="OQ22" s="20" t="n">
        <f aca="false">OP22</f>
        <v>0</v>
      </c>
      <c r="OR22" s="20" t="n">
        <f aca="false">OQ22</f>
        <v>0</v>
      </c>
      <c r="OS22" s="20" t="n">
        <f aca="false">OR22</f>
        <v>0</v>
      </c>
      <c r="OT22" s="20" t="n">
        <f aca="false">OS22</f>
        <v>0</v>
      </c>
      <c r="OU22" s="20" t="n">
        <f aca="false">OT22</f>
        <v>0</v>
      </c>
      <c r="OV22" s="20" t="n">
        <f aca="false">OU22</f>
        <v>0</v>
      </c>
      <c r="OW22" s="20" t="n">
        <f aca="false">OV22</f>
        <v>0</v>
      </c>
      <c r="OX22" s="20" t="n">
        <f aca="false">OW22</f>
        <v>0</v>
      </c>
      <c r="OY22" s="20" t="n">
        <f aca="false">OX22</f>
        <v>0</v>
      </c>
      <c r="OZ22" s="20" t="n">
        <f aca="false">OY22</f>
        <v>0</v>
      </c>
      <c r="PA22" s="20" t="n">
        <f aca="false">OZ22</f>
        <v>0</v>
      </c>
      <c r="PB22" s="20" t="n">
        <f aca="false">PA22</f>
        <v>0</v>
      </c>
      <c r="PC22" s="20" t="n">
        <f aca="false">PB22</f>
        <v>0</v>
      </c>
      <c r="PD22" s="20" t="n">
        <f aca="false">PC22</f>
        <v>0</v>
      </c>
      <c r="PE22" s="20" t="n">
        <f aca="false">PD22</f>
        <v>0</v>
      </c>
      <c r="PF22" s="20" t="n">
        <f aca="false">PE22</f>
        <v>0</v>
      </c>
      <c r="PG22" s="20" t="n">
        <f aca="false">PF22</f>
        <v>0</v>
      </c>
      <c r="PH22" s="20" t="n">
        <f aca="false">PG22</f>
        <v>0</v>
      </c>
      <c r="PI22" s="20" t="n">
        <f aca="false">PH22</f>
        <v>0</v>
      </c>
      <c r="PJ22" s="20" t="n">
        <f aca="false">PI22</f>
        <v>0</v>
      </c>
      <c r="PK22" s="20" t="n">
        <f aca="false">PJ22</f>
        <v>0</v>
      </c>
      <c r="PL22" s="20" t="n">
        <f aca="false">PK22</f>
        <v>0</v>
      </c>
      <c r="PM22" s="20" t="n">
        <f aca="false">PL22</f>
        <v>0</v>
      </c>
      <c r="PN22" s="20" t="n">
        <f aca="false">PM22</f>
        <v>0</v>
      </c>
      <c r="PO22" s="20" t="n">
        <f aca="false">PN22</f>
        <v>0</v>
      </c>
      <c r="PP22" s="20" t="n">
        <f aca="false">PO22</f>
        <v>0</v>
      </c>
      <c r="PQ22" s="20" t="n">
        <f aca="false">PP22</f>
        <v>0</v>
      </c>
      <c r="PR22" s="20" t="n">
        <f aca="false">IF(H_Direct=1,IF(AKR21&lt;=0,0,IF(BR22&lt;=0,MIN(MAX(0,AB22),AKR21),MIN(MAX(0,AB22),AKR21-G22*MAX(0,BR22*AKR21-(H22+I22))))),MIN(FE22,MAX(0,AB22)))</f>
        <v>0</v>
      </c>
      <c r="PS22" s="20" t="n">
        <f aca="false">IF(H_Direct=1,IF(AKS21&lt;=0,0,IF(BS22&lt;=0,MIN(MAX(0,AB22-SUM(PR22:PR22)),AKS21),MIN(MAX(0,AB22-SUM(PR22:PR22)),AKS21-G22*MAX(0,BS22*AKS21-(WR22+AAE22))))),MIN(FF22,MAX(0,AB22-SUM(PR22:PR22))))</f>
        <v>0</v>
      </c>
      <c r="PT22" s="20" t="n">
        <f aca="false">IF(H_Direct=1,IF(AKT21&lt;=0,0,IF(BT22&lt;=0,MIN(MAX(0,AB22-SUM(PR22:PS22)),AKT21),MIN(MAX(0,AB22-SUM(PR22:PS22)),AKT21-G22*MAX(0,BT22*AKT21-(WS22+AAF22))))),MIN(FG22,MAX(0,AB22-SUM(PR22:PS22))))</f>
        <v>0</v>
      </c>
      <c r="PU22" s="20" t="n">
        <f aca="false">IF(H_Direct=1,IF(AKU21&lt;=0,0,IF(BU22&lt;=0,MIN(MAX(0,AB22-SUM(PR22:PT22)),AKU21),MIN(MAX(0,AB22-SUM(PR22:PT22)),AKU21-G22*MAX(0,BU22*AKU21-(WT22+AAG22))))),MIN(FH22,MAX(0,AB22-SUM(PR22:PT22))))</f>
        <v>0</v>
      </c>
      <c r="PV22" s="20" t="n">
        <f aca="false">IF(H_Direct=1,IF(AKV21&lt;=0,0,IF(BV22&lt;=0,MIN(MAX(0,AB22-SUM(PR22:PU22)),AKV21),MIN(MAX(0,AB22-SUM(PR22:PU22)),AKV21-G22*MAX(0,BV22*AKV21-(WU22+AAH22))))),MIN(FI22,MAX(0,AB22-SUM(PR22:PU22))))</f>
        <v>0</v>
      </c>
      <c r="PW22" s="20" t="n">
        <f aca="false">IF(H_Direct=1,IF(AKW21&lt;=0,0,IF(BW22&lt;=0,MIN(MAX(0,AB22-SUM(PR22:PV22)),AKW21),MIN(MAX(0,AB22-SUM(PR22:PV22)),AKW21-G22*MAX(0,BW22*AKW21-(WV22+AAI22))))),MIN(FJ22,MAX(0,AB22-SUM(PR22:PV22))))</f>
        <v>0</v>
      </c>
      <c r="PX22" s="20" t="n">
        <f aca="false">IF(H_Direct=1,IF(AKX21&lt;=0,0,IF(BX22&lt;=0,MIN(MAX(0,AB22-SUM(PR22:PW22)),AKX21),MIN(MAX(0,AB22-SUM(PR22:PW22)),AKX21-G22*MAX(0,BX22*AKX21-(WW22+AAJ22))))),MIN(FK22,MAX(0,AB22-SUM(PR22:PW22))))</f>
        <v>0</v>
      </c>
      <c r="PY22" s="20" t="n">
        <f aca="false">IF(H_Direct=1,IF(AKY21&lt;=0,0,IF(BY22&lt;=0,MIN(MAX(0,AB22-SUM(PR22:PX22)),AKY21),MIN(MAX(0,AB22-SUM(PR22:PX22)),AKY21-G22*MAX(0,BY22*AKY21-(WX22+AAK22))))),MIN(FL22,MAX(0,AB22-SUM(PR22:PX22))))</f>
        <v>0</v>
      </c>
      <c r="PZ22" s="20" t="n">
        <f aca="false">IF(H_Direct=1,IF(AKZ21&lt;=0,0,IF(BZ22&lt;=0,MIN(MAX(0,AB22-SUM(PR22:PY22)),AKZ21),MIN(MAX(0,AB22-SUM(PR22:PY22)),AKZ21-G22*MAX(0,BZ22*AKZ21-(WY22+AAL22))))),MIN(FM22,MAX(0,AB22-SUM(PR22:PY22))))</f>
        <v>0</v>
      </c>
      <c r="QA22" s="20" t="n">
        <f aca="false">IF(H_Direct=1,IF(ALA21&lt;=0,0,IF(CA22&lt;=0,MIN(MAX(0,AB22-SUM(PR22:PZ22)),ALA21),MIN(MAX(0,AB22-SUM(PR22:PZ22)),ALA21-G22*MAX(0,CA22*ALA21-(WZ22+AAM22))))),MIN(FN22,MAX(0,AB22-SUM(PR22:PZ22))))</f>
        <v>0</v>
      </c>
      <c r="QB22" s="20" t="n">
        <f aca="false">IF(H_Direct=1,IF(ALB21&lt;=0,0,IF(CB22&lt;=0,MIN(MAX(0,AB22-SUM(PR22:QA22)),ALB21),MIN(MAX(0,AB22-SUM(PR22:QA22)),ALB21-G22*MAX(0,CB22*ALB21-(XA22+AAN22))))),MIN(FO22,MAX(0,AB22-SUM(PR22:QA22))))</f>
        <v>0</v>
      </c>
      <c r="QC22" s="20" t="n">
        <f aca="false">IF(H_Direct=1,IF(ALC21&lt;=0,0,IF(CC22&lt;=0,MIN(MAX(0,AB22-SUM(PR22:QB22)),ALC21),MIN(MAX(0,AB22-SUM(PR22:QB22)),ALC21-G22*MAX(0,CC22*ALC21-(XB22+AAO22))))),MIN(FP22,MAX(0,AB22-SUM(PR22:QB22))))</f>
        <v>0</v>
      </c>
      <c r="QD22" s="20" t="n">
        <f aca="false">IF(H_Direct=1,IF(ALD21&lt;=0,0,IF(CD22&lt;=0,MIN(MAX(0,AB22-SUM(PR22:QC22)),ALD21),MIN(MAX(0,AB22-SUM(PR22:QC22)),ALD21-G22*MAX(0,CD22*ALD21-(XC22+AAP22))))),MIN(FQ22,MAX(0,AB22-SUM(PR22:QC22))))</f>
        <v>0</v>
      </c>
      <c r="QE22" s="20" t="n">
        <f aca="false">IF(H_Direct=1,IF(ALE21&lt;=0,0,IF(CE22&lt;=0,MIN(MAX(0,AB22-SUM(PR22:QD22)),ALE21),MIN(MAX(0,AB22-SUM(PR22:QD22)),ALE21-G22*MAX(0,CE22*ALE21-(XD22+AAQ22))))),MIN(FR22,MAX(0,AB22-SUM(PR22:QD22))))</f>
        <v>0</v>
      </c>
      <c r="QF22" s="20" t="n">
        <f aca="false">IF(H_Direct=1,IF(ALF21&lt;=0,0,IF(CF22&lt;=0,MIN(MAX(0,AB22-SUM(PR22:QE22)),ALF21),MIN(MAX(0,AB22-SUM(PR22:QE22)),ALF21-G22*MAX(0,CF22*ALF21-(XE22+AAR22))))),MIN(FS22,MAX(0,AB22-SUM(PR22:QE22))))</f>
        <v>0</v>
      </c>
      <c r="QG22" s="20" t="n">
        <f aca="false">IF(H_Direct=1,IF((P22+S22)&lt;=0,0,IF(CG22&lt;=0,MIN(MAX(0,AB22-SUM(PR22:QF22)),(P22+S22)),MIN(MAX(0,AB22-SUM(PR22:QF22)),(P22+S22)-G22*MAX(0,CG22*(P22+S22)-(XF22+AAS22))))),MIN(FT22,MAX(0,AB22-SUM(PR22:QF22))))</f>
        <v>0</v>
      </c>
      <c r="QH22" s="20" t="n">
        <v>0</v>
      </c>
      <c r="QI22" s="20" t="n">
        <v>0</v>
      </c>
      <c r="QJ22" s="20" t="n">
        <v>0</v>
      </c>
      <c r="QK22" s="20" t="n">
        <v>0</v>
      </c>
      <c r="QL22" s="20" t="n">
        <v>0</v>
      </c>
      <c r="QM22" s="20" t="n">
        <v>0</v>
      </c>
      <c r="QN22" s="20" t="n">
        <v>0</v>
      </c>
      <c r="QO22" s="20" t="n">
        <v>0</v>
      </c>
      <c r="QP22" s="20" t="n">
        <v>0</v>
      </c>
      <c r="QQ22" s="20" t="n">
        <v>0</v>
      </c>
      <c r="QR22" s="20" t="n">
        <v>0</v>
      </c>
      <c r="QS22" s="20" t="n">
        <v>0</v>
      </c>
      <c r="QT22" s="20" t="n">
        <v>0</v>
      </c>
      <c r="QU22" s="20" t="n">
        <v>0</v>
      </c>
      <c r="QV22" s="20" t="n">
        <v>0</v>
      </c>
      <c r="QW22" s="20" t="n">
        <v>0</v>
      </c>
      <c r="QX22" s="20" t="n">
        <v>0</v>
      </c>
      <c r="QY22" s="20" t="n">
        <v>0</v>
      </c>
      <c r="QZ22" s="20" t="n">
        <v>0</v>
      </c>
      <c r="RA22" s="20" t="n">
        <v>0</v>
      </c>
      <c r="RB22" s="20" t="n">
        <v>0</v>
      </c>
      <c r="RC22" s="20" t="n">
        <v>0</v>
      </c>
      <c r="RD22" s="20" t="n">
        <v>0</v>
      </c>
      <c r="RE22" s="20" t="n">
        <v>0</v>
      </c>
      <c r="RF22" s="20" t="n">
        <v>0</v>
      </c>
      <c r="RG22" s="20" t="n">
        <v>0</v>
      </c>
      <c r="RH22" s="20" t="n">
        <v>0</v>
      </c>
      <c r="RI22" s="20" t="n">
        <v>0</v>
      </c>
      <c r="RJ22" s="20" t="n">
        <v>0</v>
      </c>
      <c r="RK22" s="20" t="n">
        <v>0</v>
      </c>
      <c r="RL22" s="20" t="n">
        <v>0</v>
      </c>
      <c r="RM22" s="20" t="n">
        <v>0</v>
      </c>
      <c r="RN22" s="20" t="n">
        <v>0</v>
      </c>
      <c r="RO22" s="20" t="n">
        <v>0</v>
      </c>
      <c r="RP22" s="20" t="n">
        <v>0</v>
      </c>
      <c r="RQ22" s="20" t="n">
        <v>0</v>
      </c>
      <c r="RR22" s="20" t="n">
        <v>0</v>
      </c>
      <c r="RS22" s="20" t="n">
        <v>0</v>
      </c>
      <c r="RT22" s="20" t="n">
        <v>0</v>
      </c>
      <c r="RU22" s="20" t="n">
        <v>0</v>
      </c>
      <c r="RV22" s="20" t="n">
        <v>0</v>
      </c>
      <c r="RW22" s="20" t="n">
        <v>0</v>
      </c>
      <c r="RX22" s="20" t="n">
        <v>0</v>
      </c>
      <c r="RY22" s="20" t="n">
        <v>0</v>
      </c>
      <c r="RZ22" s="20" t="n">
        <v>0</v>
      </c>
      <c r="SA22" s="20" t="n">
        <v>0</v>
      </c>
      <c r="SB22" s="20" t="n">
        <v>0</v>
      </c>
      <c r="SC22" s="20" t="n">
        <v>0</v>
      </c>
      <c r="SD22" s="20" t="n">
        <v>0</v>
      </c>
      <c r="SE22" s="20" t="n">
        <v>0</v>
      </c>
      <c r="SF22" s="20" t="n">
        <v>0</v>
      </c>
      <c r="SG22" s="20" t="n">
        <v>0</v>
      </c>
      <c r="SH22" s="20" t="n">
        <v>0</v>
      </c>
      <c r="SI22" s="20" t="n">
        <v>0</v>
      </c>
      <c r="SJ22" s="20" t="n">
        <v>0</v>
      </c>
      <c r="SK22" s="20" t="n">
        <v>0</v>
      </c>
      <c r="SL22" s="20" t="n">
        <v>0</v>
      </c>
      <c r="SM22" s="20" t="n">
        <v>0</v>
      </c>
      <c r="SN22" s="20" t="n">
        <v>0</v>
      </c>
      <c r="SO22" s="20" t="n">
        <v>0</v>
      </c>
      <c r="SP22" s="20" t="n">
        <v>0</v>
      </c>
      <c r="SQ22" s="20" t="n">
        <v>0</v>
      </c>
      <c r="SR22" s="20" t="n">
        <v>0</v>
      </c>
      <c r="SS22" s="20" t="n">
        <v>0</v>
      </c>
      <c r="ST22" s="20" t="n">
        <v>0</v>
      </c>
      <c r="SU22" s="20" t="n">
        <v>0</v>
      </c>
      <c r="SV22" s="20" t="n">
        <v>0</v>
      </c>
      <c r="SW22" s="20" t="n">
        <v>0</v>
      </c>
      <c r="SX22" s="20" t="n">
        <v>0</v>
      </c>
      <c r="SY22" s="20" t="n">
        <v>0</v>
      </c>
      <c r="SZ22" s="20" t="n">
        <v>0</v>
      </c>
      <c r="TA22" s="20" t="n">
        <v>0</v>
      </c>
      <c r="TB22" s="20" t="n">
        <v>0</v>
      </c>
      <c r="TC22" s="20" t="n">
        <v>0</v>
      </c>
      <c r="TD22" s="20" t="n">
        <v>0</v>
      </c>
      <c r="TE22" s="20" t="n">
        <f aca="false">IF(AKR21&lt;=0,0,IF(H_Direct=1,IF(BR22&lt;=0,PR22,IF(PR22&lt;=(H22+I22)/BR22,PR22,(PR22-G22*(H22+I22))/(1-G22*BR22))),PR22/(1-MAX(0,BR22)*H_Exit)))</f>
        <v>0</v>
      </c>
      <c r="TF22" s="20" t="n">
        <f aca="false">IF(AKS21&lt;=0,0,IF(H_Direct=1,IF(BS22&lt;=0,PS22,IF(PS22&lt;=(WR22+AAE22)/BS22,PS22,(PS22-G22*(WR22+AAE22))/(1-G22*BS22))),PS22/(1-MAX(0,BS22)*H_Exit)))</f>
        <v>0</v>
      </c>
      <c r="TG22" s="20" t="n">
        <f aca="false">IF(AKT21&lt;=0,0,IF(H_Direct=1,IF(BT22&lt;=0,PT22,IF(PT22&lt;=(WS22+AAF22)/BT22,PT22,(PT22-G22*(WS22+AAF22))/(1-G22*BT22))),PT22/(1-MAX(0,BT22)*H_Exit)))</f>
        <v>0</v>
      </c>
      <c r="TH22" s="20" t="n">
        <f aca="false">IF(AKU21&lt;=0,0,IF(H_Direct=1,IF(BU22&lt;=0,PU22,IF(PU22&lt;=(WT22+AAG22)/BU22,PU22,(PU22-G22*(WT22+AAG22))/(1-G22*BU22))),PU22/(1-MAX(0,BU22)*H_Exit)))</f>
        <v>0</v>
      </c>
      <c r="TI22" s="20" t="n">
        <f aca="false">IF(AKV21&lt;=0,0,IF(H_Direct=1,IF(BV22&lt;=0,PV22,IF(PV22&lt;=(WU22+AAH22)/BV22,PV22,(PV22-G22*(WU22+AAH22))/(1-G22*BV22))),PV22/(1-MAX(0,BV22)*H_Exit)))</f>
        <v>0</v>
      </c>
      <c r="TJ22" s="20" t="n">
        <f aca="false">IF(AKW21&lt;=0,0,IF(H_Direct=1,IF(BW22&lt;=0,PW22,IF(PW22&lt;=(WV22+AAI22)/BW22,PW22,(PW22-G22*(WV22+AAI22))/(1-G22*BW22))),PW22/(1-MAX(0,BW22)*H_Exit)))</f>
        <v>0</v>
      </c>
      <c r="TK22" s="20" t="n">
        <f aca="false">IF(AKX21&lt;=0,0,IF(H_Direct=1,IF(BX22&lt;=0,PX22,IF(PX22&lt;=(WW22+AAJ22)/BX22,PX22,(PX22-G22*(WW22+AAJ22))/(1-G22*BX22))),PX22/(1-MAX(0,BX22)*H_Exit)))</f>
        <v>0</v>
      </c>
      <c r="TL22" s="20" t="n">
        <f aca="false">IF(AKY21&lt;=0,0,IF(H_Direct=1,IF(BY22&lt;=0,PY22,IF(PY22&lt;=(WX22+AAK22)/BY22,PY22,(PY22-G22*(WX22+AAK22))/(1-G22*BY22))),PY22/(1-MAX(0,BY22)*H_Exit)))</f>
        <v>0</v>
      </c>
      <c r="TM22" s="20" t="n">
        <f aca="false">IF(AKZ21&lt;=0,0,IF(H_Direct=1,IF(BZ22&lt;=0,PZ22,IF(PZ22&lt;=(WY22+AAL22)/BZ22,PZ22,(PZ22-G22*(WY22+AAL22))/(1-G22*BZ22))),PZ22/(1-MAX(0,BZ22)*H_Exit)))</f>
        <v>0</v>
      </c>
      <c r="TN22" s="20" t="n">
        <f aca="false">IF(ALA21&lt;=0,0,IF(H_Direct=1,IF(CA22&lt;=0,QA22,IF(QA22&lt;=(WZ22+AAM22)/CA22,QA22,(QA22-G22*(WZ22+AAM22))/(1-G22*CA22))),QA22/(1-MAX(0,CA22)*H_Exit)))</f>
        <v>0</v>
      </c>
      <c r="TO22" s="20" t="n">
        <f aca="false">IF(ALB21&lt;=0,0,IF(H_Direct=1,IF(CB22&lt;=0,QB22,IF(QB22&lt;=(XA22+AAN22)/CB22,QB22,(QB22-G22*(XA22+AAN22))/(1-G22*CB22))),QB22/(1-MAX(0,CB22)*H_Exit)))</f>
        <v>0</v>
      </c>
      <c r="TP22" s="20" t="n">
        <f aca="false">IF(ALC21&lt;=0,0,IF(H_Direct=1,IF(CC22&lt;=0,QC22,IF(QC22&lt;=(XB22+AAO22)/CC22,QC22,(QC22-G22*(XB22+AAO22))/(1-G22*CC22))),QC22/(1-MAX(0,CC22)*H_Exit)))</f>
        <v>0</v>
      </c>
      <c r="TQ22" s="20" t="n">
        <f aca="false">IF(ALD21&lt;=0,0,IF(H_Direct=1,IF(CD22&lt;=0,QD22,IF(QD22&lt;=(XC22+AAP22)/CD22,QD22,(QD22-G22*(XC22+AAP22))/(1-G22*CD22))),QD22/(1-MAX(0,CD22)*H_Exit)))</f>
        <v>0</v>
      </c>
      <c r="TR22" s="20" t="n">
        <f aca="false">IF(ALE21&lt;=0,0,IF(H_Direct=1,IF(CE22&lt;=0,QE22,IF(QE22&lt;=(XD22+AAQ22)/CE22,QE22,(QE22-G22*(XD22+AAQ22))/(1-G22*CE22))),QE22/(1-MAX(0,CE22)*H_Exit)))</f>
        <v>0</v>
      </c>
      <c r="TS22" s="20" t="n">
        <f aca="false">IF(ALF21&lt;=0,0,IF(H_Direct=1,IF(CF22&lt;=0,QF22,IF(QF22&lt;=(XE22+AAR22)/CF22,QF22,(QF22-G22*(XE22+AAR22))/(1-G22*CF22))),QF22/(1-MAX(0,CF22)*H_Exit)))</f>
        <v>0</v>
      </c>
      <c r="TT22" s="20" t="n">
        <f aca="false">IF((P22+S22)&lt;=0,0,IF(H_Direct=1,IF(CG22&lt;=0,QG22,IF(QG22&lt;=(XF22+AAS22)/CG22,QG22,(QG22-G22*(XF22+AAS22))/(1-G22*CG22))),QG22/(1-MAX(0,CG22)*H_Exit)))</f>
        <v>0</v>
      </c>
      <c r="TU22" s="20" t="n">
        <v>0</v>
      </c>
      <c r="TV22" s="20" t="n">
        <v>0</v>
      </c>
      <c r="TW22" s="20" t="n">
        <v>0</v>
      </c>
      <c r="TX22" s="20" t="n">
        <v>0</v>
      </c>
      <c r="TY22" s="20" t="n">
        <v>0</v>
      </c>
      <c r="TZ22" s="20" t="n">
        <v>0</v>
      </c>
      <c r="UA22" s="20" t="n">
        <v>0</v>
      </c>
      <c r="UB22" s="20" t="n">
        <v>0</v>
      </c>
      <c r="UC22" s="20" t="n">
        <v>0</v>
      </c>
      <c r="UD22" s="20" t="n">
        <v>0</v>
      </c>
      <c r="UE22" s="20" t="n">
        <v>0</v>
      </c>
      <c r="UF22" s="20" t="n">
        <v>0</v>
      </c>
      <c r="UG22" s="20" t="n">
        <v>0</v>
      </c>
      <c r="UH22" s="20" t="n">
        <v>0</v>
      </c>
      <c r="UI22" s="20" t="n">
        <v>0</v>
      </c>
      <c r="UJ22" s="20" t="n">
        <v>0</v>
      </c>
      <c r="UK22" s="20" t="n">
        <v>0</v>
      </c>
      <c r="UL22" s="20" t="n">
        <v>0</v>
      </c>
      <c r="UM22" s="20" t="n">
        <v>0</v>
      </c>
      <c r="UN22" s="20" t="n">
        <v>0</v>
      </c>
      <c r="UO22" s="20" t="n">
        <v>0</v>
      </c>
      <c r="UP22" s="20" t="n">
        <v>0</v>
      </c>
      <c r="UQ22" s="20" t="n">
        <v>0</v>
      </c>
      <c r="UR22" s="20" t="n">
        <v>0</v>
      </c>
      <c r="US22" s="20" t="n">
        <v>0</v>
      </c>
      <c r="UT22" s="20" t="n">
        <v>0</v>
      </c>
      <c r="UU22" s="20" t="n">
        <v>0</v>
      </c>
      <c r="UV22" s="20" t="n">
        <v>0</v>
      </c>
      <c r="UW22" s="20" t="n">
        <v>0</v>
      </c>
      <c r="UX22" s="20" t="n">
        <v>0</v>
      </c>
      <c r="UY22" s="20" t="n">
        <v>0</v>
      </c>
      <c r="UZ22" s="20" t="n">
        <v>0</v>
      </c>
      <c r="VA22" s="20" t="n">
        <v>0</v>
      </c>
      <c r="VB22" s="20" t="n">
        <v>0</v>
      </c>
      <c r="VC22" s="20" t="n">
        <v>0</v>
      </c>
      <c r="VD22" s="20" t="n">
        <v>0</v>
      </c>
      <c r="VE22" s="20" t="n">
        <v>0</v>
      </c>
      <c r="VF22" s="20" t="n">
        <v>0</v>
      </c>
      <c r="VG22" s="20" t="n">
        <v>0</v>
      </c>
      <c r="VH22" s="20" t="n">
        <v>0</v>
      </c>
      <c r="VI22" s="20" t="n">
        <v>0</v>
      </c>
      <c r="VJ22" s="20" t="n">
        <v>0</v>
      </c>
      <c r="VK22" s="20" t="n">
        <v>0</v>
      </c>
      <c r="VL22" s="20" t="n">
        <v>0</v>
      </c>
      <c r="VM22" s="20" t="n">
        <v>0</v>
      </c>
      <c r="VN22" s="20" t="n">
        <v>0</v>
      </c>
      <c r="VO22" s="20" t="n">
        <v>0</v>
      </c>
      <c r="VP22" s="20" t="n">
        <v>0</v>
      </c>
      <c r="VQ22" s="20" t="n">
        <v>0</v>
      </c>
      <c r="VR22" s="20" t="n">
        <v>0</v>
      </c>
      <c r="VS22" s="20" t="n">
        <v>0</v>
      </c>
      <c r="VT22" s="20" t="n">
        <v>0</v>
      </c>
      <c r="VU22" s="20" t="n">
        <v>0</v>
      </c>
      <c r="VV22" s="20" t="n">
        <v>0</v>
      </c>
      <c r="VW22" s="20" t="n">
        <v>0</v>
      </c>
      <c r="VX22" s="20" t="n">
        <v>0</v>
      </c>
      <c r="VY22" s="20" t="n">
        <v>0</v>
      </c>
      <c r="VZ22" s="20" t="n">
        <v>0</v>
      </c>
      <c r="WA22" s="20" t="n">
        <v>0</v>
      </c>
      <c r="WB22" s="20" t="n">
        <v>0</v>
      </c>
      <c r="WC22" s="20" t="n">
        <v>0</v>
      </c>
      <c r="WD22" s="20" t="n">
        <v>0</v>
      </c>
      <c r="WE22" s="20" t="n">
        <v>0</v>
      </c>
      <c r="WF22" s="20" t="n">
        <v>0</v>
      </c>
      <c r="WG22" s="20" t="n">
        <v>0</v>
      </c>
      <c r="WH22" s="20" t="n">
        <v>0</v>
      </c>
      <c r="WI22" s="20" t="n">
        <v>0</v>
      </c>
      <c r="WJ22" s="20" t="n">
        <v>0</v>
      </c>
      <c r="WK22" s="20" t="n">
        <v>0</v>
      </c>
      <c r="WL22" s="20" t="n">
        <v>0</v>
      </c>
      <c r="WM22" s="20" t="n">
        <v>0</v>
      </c>
      <c r="WN22" s="20" t="n">
        <v>0</v>
      </c>
      <c r="WO22" s="20" t="n">
        <v>0</v>
      </c>
      <c r="WP22" s="20" t="n">
        <v>0</v>
      </c>
      <c r="WQ22" s="20" t="n">
        <v>0</v>
      </c>
      <c r="WR22" s="20" t="n">
        <f aca="false">IF(AND(H_Direct=1,BR22&gt;0),MAX(0,H22-(MIN(BR22*TE22,(H22+I22))-MIN(MIN(BR22*TE22,(H22+I22)),I22))),H22)</f>
        <v>1270</v>
      </c>
      <c r="WS22" s="20" t="n">
        <f aca="false">IF(AND(H_Direct=1,BS22&gt;0),MAX(0,WR22-(MIN(BS22*TF22,(WR22+AAE22))-MIN(MIN(BS22*TF22,(WR22+AAE22)),AAE22))),WR22)</f>
        <v>1270</v>
      </c>
      <c r="WT22" s="20" t="n">
        <f aca="false">IF(AND(H_Direct=1,BT22&gt;0),MAX(0,WS22-(MIN(BT22*TG22,(WS22+AAF22))-MIN(MIN(BT22*TG22,(WS22+AAF22)),AAF22))),WS22)</f>
        <v>1270</v>
      </c>
      <c r="WU22" s="20" t="n">
        <f aca="false">IF(AND(H_Direct=1,BU22&gt;0),MAX(0,WT22-(MIN(BU22*TH22,(WT22+AAG22))-MIN(MIN(BU22*TH22,(WT22+AAG22)),AAG22))),WT22)</f>
        <v>1270</v>
      </c>
      <c r="WV22" s="20" t="n">
        <f aca="false">IF(AND(H_Direct=1,BV22&gt;0),MAX(0,WU22-(MIN(BV22*TI22,(WU22+AAH22))-MIN(MIN(BV22*TI22,(WU22+AAH22)),AAH22))),WU22)</f>
        <v>1270</v>
      </c>
      <c r="WW22" s="20" t="n">
        <f aca="false">IF(AND(H_Direct=1,BW22&gt;0),MAX(0,WV22-(MIN(BW22*TJ22,(WV22+AAI22))-MIN(MIN(BW22*TJ22,(WV22+AAI22)),AAI22))),WV22)</f>
        <v>1270</v>
      </c>
      <c r="WX22" s="20" t="n">
        <f aca="false">IF(AND(H_Direct=1,BX22&gt;0),MAX(0,WW22-(MIN(BX22*TK22,(WW22+AAJ22))-MIN(MIN(BX22*TK22,(WW22+AAJ22)),AAJ22))),WW22)</f>
        <v>1270</v>
      </c>
      <c r="WY22" s="20" t="n">
        <f aca="false">IF(AND(H_Direct=1,BY22&gt;0),MAX(0,WX22-(MIN(BY22*TL22,(WX22+AAK22))-MIN(MIN(BY22*TL22,(WX22+AAK22)),AAK22))),WX22)</f>
        <v>1270</v>
      </c>
      <c r="WZ22" s="20" t="n">
        <f aca="false">IF(AND(H_Direct=1,BZ22&gt;0),MAX(0,WY22-(MIN(BZ22*TM22,(WY22+AAL22))-MIN(MIN(BZ22*TM22,(WY22+AAL22)),AAL22))),WY22)</f>
        <v>1270</v>
      </c>
      <c r="XA22" s="20" t="n">
        <f aca="false">IF(AND(H_Direct=1,CA22&gt;0),MAX(0,WZ22-(MIN(CA22*TN22,(WZ22+AAM22))-MIN(MIN(CA22*TN22,(WZ22+AAM22)),AAM22))),WZ22)</f>
        <v>1270</v>
      </c>
      <c r="XB22" s="20" t="n">
        <f aca="false">IF(AND(H_Direct=1,CB22&gt;0),MAX(0,XA22-(MIN(CB22*TO22,(XA22+AAN22))-MIN(MIN(CB22*TO22,(XA22+AAN22)),AAN22))),XA22)</f>
        <v>1270</v>
      </c>
      <c r="XC22" s="20" t="n">
        <f aca="false">IF(AND(H_Direct=1,CC22&gt;0),MAX(0,XB22-(MIN(CC22*TP22,(XB22+AAO22))-MIN(MIN(CC22*TP22,(XB22+AAO22)),AAO22))),XB22)</f>
        <v>1270</v>
      </c>
      <c r="XD22" s="20" t="n">
        <f aca="false">IF(AND(H_Direct=1,CD22&gt;0),MAX(0,XC22-(MIN(CD22*TQ22,(XC22+AAP22))-MIN(MIN(CD22*TQ22,(XC22+AAP22)),AAP22))),XC22)</f>
        <v>1270</v>
      </c>
      <c r="XE22" s="20" t="n">
        <f aca="false">IF(AND(H_Direct=1,CE22&gt;0),MAX(0,XD22-(MIN(CE22*TR22,(XD22+AAQ22))-MIN(MIN(CE22*TR22,(XD22+AAQ22)),AAQ22))),XD22)</f>
        <v>1270</v>
      </c>
      <c r="XF22" s="20" t="n">
        <f aca="false">IF(AND(H_Direct=1,CF22&gt;0),MAX(0,XE22-(MIN(CF22*TS22,(XE22+AAR22))-MIN(MIN(CF22*TS22,(XE22+AAR22)),AAR22))),XE22)</f>
        <v>1270</v>
      </c>
      <c r="XG22" s="20" t="n">
        <f aca="false">IF(AND(H_Direct=1,CG22&gt;0),MAX(0,XF22-(MIN(CG22*TT22,(XF22+AAS22))-MIN(MIN(CG22*TT22,(XF22+AAS22)),AAS22))),XF22)</f>
        <v>1270</v>
      </c>
      <c r="XH22" s="20" t="n">
        <f aca="false">XG22</f>
        <v>1270</v>
      </c>
      <c r="XI22" s="20" t="n">
        <f aca="false">XH22</f>
        <v>1270</v>
      </c>
      <c r="XJ22" s="20" t="n">
        <f aca="false">XI22</f>
        <v>1270</v>
      </c>
      <c r="XK22" s="20" t="n">
        <f aca="false">XJ22</f>
        <v>1270</v>
      </c>
      <c r="XL22" s="20" t="n">
        <f aca="false">XK22</f>
        <v>1270</v>
      </c>
      <c r="XM22" s="20" t="n">
        <f aca="false">XL22</f>
        <v>1270</v>
      </c>
      <c r="XN22" s="20" t="n">
        <f aca="false">XM22</f>
        <v>1270</v>
      </c>
      <c r="XO22" s="20" t="n">
        <f aca="false">XN22</f>
        <v>1270</v>
      </c>
      <c r="XP22" s="20" t="n">
        <f aca="false">XO22</f>
        <v>1270</v>
      </c>
      <c r="XQ22" s="20" t="n">
        <f aca="false">XP22</f>
        <v>1270</v>
      </c>
      <c r="XR22" s="20" t="n">
        <f aca="false">XQ22</f>
        <v>1270</v>
      </c>
      <c r="XS22" s="20" t="n">
        <f aca="false">XR22</f>
        <v>1270</v>
      </c>
      <c r="XT22" s="20" t="n">
        <f aca="false">XS22</f>
        <v>1270</v>
      </c>
      <c r="XU22" s="20" t="n">
        <f aca="false">XT22</f>
        <v>1270</v>
      </c>
      <c r="XV22" s="20" t="n">
        <f aca="false">XU22</f>
        <v>1270</v>
      </c>
      <c r="XW22" s="20" t="n">
        <f aca="false">XV22</f>
        <v>1270</v>
      </c>
      <c r="XX22" s="20" t="n">
        <f aca="false">XW22</f>
        <v>1270</v>
      </c>
      <c r="XY22" s="20" t="n">
        <f aca="false">XX22</f>
        <v>1270</v>
      </c>
      <c r="XZ22" s="20" t="n">
        <f aca="false">XY22</f>
        <v>1270</v>
      </c>
      <c r="YA22" s="20" t="n">
        <f aca="false">XZ22</f>
        <v>1270</v>
      </c>
      <c r="YB22" s="20" t="n">
        <f aca="false">YA22</f>
        <v>1270</v>
      </c>
      <c r="YC22" s="20" t="n">
        <f aca="false">YB22</f>
        <v>1270</v>
      </c>
      <c r="YD22" s="20" t="n">
        <f aca="false">YC22</f>
        <v>1270</v>
      </c>
      <c r="YE22" s="20" t="n">
        <f aca="false">YD22</f>
        <v>1270</v>
      </c>
      <c r="YF22" s="20" t="n">
        <f aca="false">YE22</f>
        <v>1270</v>
      </c>
      <c r="YG22" s="20" t="n">
        <f aca="false">YF22</f>
        <v>1270</v>
      </c>
      <c r="YH22" s="20" t="n">
        <f aca="false">YG22</f>
        <v>1270</v>
      </c>
      <c r="YI22" s="20" t="n">
        <f aca="false">YH22</f>
        <v>1270</v>
      </c>
      <c r="YJ22" s="20" t="n">
        <f aca="false">YI22</f>
        <v>1270</v>
      </c>
      <c r="YK22" s="20" t="n">
        <f aca="false">YJ22</f>
        <v>1270</v>
      </c>
      <c r="YL22" s="20" t="n">
        <f aca="false">YK22</f>
        <v>1270</v>
      </c>
      <c r="YM22" s="20" t="n">
        <f aca="false">YL22</f>
        <v>1270</v>
      </c>
      <c r="YN22" s="20" t="n">
        <f aca="false">YM22</f>
        <v>1270</v>
      </c>
      <c r="YO22" s="20" t="n">
        <f aca="false">YN22</f>
        <v>1270</v>
      </c>
      <c r="YP22" s="20" t="n">
        <f aca="false">YO22</f>
        <v>1270</v>
      </c>
      <c r="YQ22" s="20" t="n">
        <f aca="false">YP22</f>
        <v>1270</v>
      </c>
      <c r="YR22" s="20" t="n">
        <f aca="false">YQ22</f>
        <v>1270</v>
      </c>
      <c r="YS22" s="20" t="n">
        <f aca="false">YR22</f>
        <v>1270</v>
      </c>
      <c r="YT22" s="20" t="n">
        <f aca="false">YS22</f>
        <v>1270</v>
      </c>
      <c r="YU22" s="20" t="n">
        <f aca="false">YT22</f>
        <v>1270</v>
      </c>
      <c r="YV22" s="20" t="n">
        <f aca="false">YU22</f>
        <v>1270</v>
      </c>
      <c r="YW22" s="20" t="n">
        <f aca="false">YV22</f>
        <v>1270</v>
      </c>
      <c r="YX22" s="20" t="n">
        <f aca="false">YW22</f>
        <v>1270</v>
      </c>
      <c r="YY22" s="20" t="n">
        <f aca="false">YX22</f>
        <v>1270</v>
      </c>
      <c r="YZ22" s="20" t="n">
        <f aca="false">YY22</f>
        <v>1270</v>
      </c>
      <c r="ZA22" s="20" t="n">
        <f aca="false">YZ22</f>
        <v>1270</v>
      </c>
      <c r="ZB22" s="20" t="n">
        <f aca="false">ZA22</f>
        <v>1270</v>
      </c>
      <c r="ZC22" s="20" t="n">
        <f aca="false">ZB22</f>
        <v>1270</v>
      </c>
      <c r="ZD22" s="20" t="n">
        <f aca="false">ZC22</f>
        <v>1270</v>
      </c>
      <c r="ZE22" s="20" t="n">
        <f aca="false">ZD22</f>
        <v>1270</v>
      </c>
      <c r="ZF22" s="20" t="n">
        <f aca="false">ZE22</f>
        <v>1270</v>
      </c>
      <c r="ZG22" s="20" t="n">
        <f aca="false">ZF22</f>
        <v>1270</v>
      </c>
      <c r="ZH22" s="20" t="n">
        <f aca="false">ZG22</f>
        <v>1270</v>
      </c>
      <c r="ZI22" s="20" t="n">
        <f aca="false">ZH22</f>
        <v>1270</v>
      </c>
      <c r="ZJ22" s="20" t="n">
        <f aca="false">ZI22</f>
        <v>1270</v>
      </c>
      <c r="ZK22" s="20" t="n">
        <f aca="false">ZJ22</f>
        <v>1270</v>
      </c>
      <c r="ZL22" s="20" t="n">
        <f aca="false">ZK22</f>
        <v>1270</v>
      </c>
      <c r="ZM22" s="20" t="n">
        <f aca="false">ZL22</f>
        <v>1270</v>
      </c>
      <c r="ZN22" s="20" t="n">
        <f aca="false">ZM22</f>
        <v>1270</v>
      </c>
      <c r="ZO22" s="20" t="n">
        <f aca="false">ZN22</f>
        <v>1270</v>
      </c>
      <c r="ZP22" s="20" t="n">
        <f aca="false">ZO22</f>
        <v>1270</v>
      </c>
      <c r="ZQ22" s="20" t="n">
        <f aca="false">ZP22</f>
        <v>1270</v>
      </c>
      <c r="ZR22" s="20" t="n">
        <f aca="false">ZQ22</f>
        <v>1270</v>
      </c>
      <c r="ZS22" s="20" t="n">
        <f aca="false">ZR22</f>
        <v>1270</v>
      </c>
      <c r="ZT22" s="20" t="n">
        <f aca="false">ZS22</f>
        <v>1270</v>
      </c>
      <c r="ZU22" s="20" t="n">
        <f aca="false">ZT22</f>
        <v>1270</v>
      </c>
      <c r="ZV22" s="20" t="n">
        <f aca="false">ZU22</f>
        <v>1270</v>
      </c>
      <c r="ZW22" s="20" t="n">
        <f aca="false">ZV22</f>
        <v>1270</v>
      </c>
      <c r="ZX22" s="20" t="n">
        <f aca="false">ZW22</f>
        <v>1270</v>
      </c>
      <c r="ZY22" s="20" t="n">
        <f aca="false">ZX22</f>
        <v>1270</v>
      </c>
      <c r="ZZ22" s="20" t="n">
        <f aca="false">ZY22</f>
        <v>1270</v>
      </c>
      <c r="AAA22" s="20" t="n">
        <f aca="false">ZZ22</f>
        <v>1270</v>
      </c>
      <c r="AAB22" s="20" t="n">
        <f aca="false">AAA22</f>
        <v>1270</v>
      </c>
      <c r="AAC22" s="20" t="n">
        <f aca="false">AAB22</f>
        <v>1270</v>
      </c>
      <c r="AAD22" s="20" t="n">
        <f aca="false">AAC22</f>
        <v>1270</v>
      </c>
      <c r="AAE22" s="20" t="n">
        <f aca="false">IF(H_Direct=1,IF(BR22&lt;=0,I22-BR22*TE22,I22-MIN(MIN(BR22*TE22,(H22+I22)),I22)),I22)</f>
        <v>0</v>
      </c>
      <c r="AAF22" s="20" t="n">
        <f aca="false">IF(H_Direct=1,IF(BS22&lt;=0,AAE22-BS22*TF22,AAE22-MIN(MIN(BS22*TF22,(WR22+AAE22)),AAE22)),AAE22)</f>
        <v>0</v>
      </c>
      <c r="AAG22" s="20" t="n">
        <f aca="false">IF(H_Direct=1,IF(BT22&lt;=0,AAF22-BT22*TG22,AAF22-MIN(MIN(BT22*TG22,(WS22+AAF22)),AAF22)),AAF22)</f>
        <v>0</v>
      </c>
      <c r="AAH22" s="20" t="n">
        <f aca="false">IF(H_Direct=1,IF(BU22&lt;=0,AAG22-BU22*TH22,AAG22-MIN(MIN(BU22*TH22,(WT22+AAG22)),AAG22)),AAG22)</f>
        <v>0</v>
      </c>
      <c r="AAI22" s="20" t="n">
        <f aca="false">IF(H_Direct=1,IF(BV22&lt;=0,AAH22-BV22*TI22,AAH22-MIN(MIN(BV22*TI22,(WU22+AAH22)),AAH22)),AAH22)</f>
        <v>0</v>
      </c>
      <c r="AAJ22" s="20" t="n">
        <f aca="false">IF(H_Direct=1,IF(BW22&lt;=0,AAI22-BW22*TJ22,AAI22-MIN(MIN(BW22*TJ22,(WV22+AAI22)),AAI22)),AAI22)</f>
        <v>0</v>
      </c>
      <c r="AAK22" s="20" t="n">
        <f aca="false">IF(H_Direct=1,IF(BX22&lt;=0,AAJ22-BX22*TK22,AAJ22-MIN(MIN(BX22*TK22,(WW22+AAJ22)),AAJ22)),AAJ22)</f>
        <v>0</v>
      </c>
      <c r="AAL22" s="20" t="n">
        <f aca="false">IF(H_Direct=1,IF(BY22&lt;=0,AAK22-BY22*TL22,AAK22-MIN(MIN(BY22*TL22,(WX22+AAK22)),AAK22)),AAK22)</f>
        <v>0</v>
      </c>
      <c r="AAM22" s="20" t="n">
        <f aca="false">IF(H_Direct=1,IF(BZ22&lt;=0,AAL22-BZ22*TM22,AAL22-MIN(MIN(BZ22*TM22,(WY22+AAL22)),AAL22)),AAL22)</f>
        <v>0</v>
      </c>
      <c r="AAN22" s="20" t="n">
        <f aca="false">IF(H_Direct=1,IF(CA22&lt;=0,AAM22-CA22*TN22,AAM22-MIN(MIN(CA22*TN22,(WZ22+AAM22)),AAM22)),AAM22)</f>
        <v>0</v>
      </c>
      <c r="AAO22" s="20" t="n">
        <f aca="false">IF(H_Direct=1,IF(CB22&lt;=0,AAN22-CB22*TO22,AAN22-MIN(MIN(CB22*TO22,(XA22+AAN22)),AAN22)),AAN22)</f>
        <v>0</v>
      </c>
      <c r="AAP22" s="20" t="n">
        <f aca="false">IF(H_Direct=1,IF(CC22&lt;=0,AAO22-CC22*TP22,AAO22-MIN(MIN(CC22*TP22,(XB22+AAO22)),AAO22)),AAO22)</f>
        <v>0</v>
      </c>
      <c r="AAQ22" s="20" t="n">
        <f aca="false">IF(H_Direct=1,IF(CD22&lt;=0,AAP22-CD22*TQ22,AAP22-MIN(MIN(CD22*TQ22,(XC22+AAP22)),AAP22)),AAP22)</f>
        <v>0</v>
      </c>
      <c r="AAR22" s="20" t="n">
        <f aca="false">IF(H_Direct=1,IF(CE22&lt;=0,AAQ22-CE22*TR22,AAQ22-MIN(MIN(CE22*TR22,(XD22+AAQ22)),AAQ22)),AAQ22)</f>
        <v>0</v>
      </c>
      <c r="AAS22" s="20" t="n">
        <f aca="false">IF(H_Direct=1,IF(CF22&lt;=0,AAR22-CF22*TS22,AAR22-MIN(MIN(CF22*TS22,(XE22+AAR22)),AAR22)),AAR22)</f>
        <v>0</v>
      </c>
      <c r="AAT22" s="20" t="n">
        <f aca="false">IF(H_Direct=1,IF(CG22&lt;=0,AAS22-CG22*TT22,AAS22-MIN(MIN(CG22*TT22,(XF22+AAS22)),AAS22)),AAS22)</f>
        <v>0</v>
      </c>
      <c r="AAU22" s="20" t="n">
        <f aca="false">AAT22</f>
        <v>0</v>
      </c>
      <c r="AAV22" s="20" t="n">
        <f aca="false">AAU22</f>
        <v>0</v>
      </c>
      <c r="AAW22" s="20" t="n">
        <f aca="false">AAV22</f>
        <v>0</v>
      </c>
      <c r="AAX22" s="20" t="n">
        <f aca="false">AAW22</f>
        <v>0</v>
      </c>
      <c r="AAY22" s="20" t="n">
        <f aca="false">AAX22</f>
        <v>0</v>
      </c>
      <c r="AAZ22" s="20" t="n">
        <f aca="false">AAY22</f>
        <v>0</v>
      </c>
      <c r="ABA22" s="20" t="n">
        <f aca="false">AAZ22</f>
        <v>0</v>
      </c>
      <c r="ABB22" s="20" t="n">
        <f aca="false">ABA22</f>
        <v>0</v>
      </c>
      <c r="ABC22" s="20" t="n">
        <f aca="false">ABB22</f>
        <v>0</v>
      </c>
      <c r="ABD22" s="20" t="n">
        <f aca="false">ABC22</f>
        <v>0</v>
      </c>
      <c r="ABE22" s="20" t="n">
        <f aca="false">ABD22</f>
        <v>0</v>
      </c>
      <c r="ABF22" s="20" t="n">
        <f aca="false">ABE22</f>
        <v>0</v>
      </c>
      <c r="ABG22" s="20" t="n">
        <f aca="false">ABF22</f>
        <v>0</v>
      </c>
      <c r="ABH22" s="20" t="n">
        <f aca="false">ABG22</f>
        <v>0</v>
      </c>
      <c r="ABI22" s="20" t="n">
        <f aca="false">ABH22</f>
        <v>0</v>
      </c>
      <c r="ABJ22" s="20" t="n">
        <f aca="false">ABI22</f>
        <v>0</v>
      </c>
      <c r="ABK22" s="20" t="n">
        <f aca="false">ABJ22</f>
        <v>0</v>
      </c>
      <c r="ABL22" s="20" t="n">
        <f aca="false">ABK22</f>
        <v>0</v>
      </c>
      <c r="ABM22" s="20" t="n">
        <f aca="false">ABL22</f>
        <v>0</v>
      </c>
      <c r="ABN22" s="20" t="n">
        <f aca="false">ABM22</f>
        <v>0</v>
      </c>
      <c r="ABO22" s="20" t="n">
        <f aca="false">ABN22</f>
        <v>0</v>
      </c>
      <c r="ABP22" s="20" t="n">
        <f aca="false">ABO22</f>
        <v>0</v>
      </c>
      <c r="ABQ22" s="20" t="n">
        <f aca="false">ABP22</f>
        <v>0</v>
      </c>
      <c r="ABR22" s="20" t="n">
        <f aca="false">ABQ22</f>
        <v>0</v>
      </c>
      <c r="ABS22" s="20" t="n">
        <f aca="false">ABR22</f>
        <v>0</v>
      </c>
      <c r="ABT22" s="20" t="n">
        <f aca="false">ABS22</f>
        <v>0</v>
      </c>
      <c r="ABU22" s="20" t="n">
        <f aca="false">ABT22</f>
        <v>0</v>
      </c>
      <c r="ABV22" s="20" t="n">
        <f aca="false">ABU22</f>
        <v>0</v>
      </c>
      <c r="ABW22" s="20" t="n">
        <f aca="false">ABV22</f>
        <v>0</v>
      </c>
      <c r="ABX22" s="20" t="n">
        <f aca="false">ABW22</f>
        <v>0</v>
      </c>
      <c r="ABY22" s="20" t="n">
        <f aca="false">ABX22</f>
        <v>0</v>
      </c>
      <c r="ABZ22" s="20" t="n">
        <f aca="false">ABY22</f>
        <v>0</v>
      </c>
      <c r="ACA22" s="20" t="n">
        <f aca="false">ABZ22</f>
        <v>0</v>
      </c>
      <c r="ACB22" s="20" t="n">
        <f aca="false">ACA22</f>
        <v>0</v>
      </c>
      <c r="ACC22" s="20" t="n">
        <f aca="false">ACB22</f>
        <v>0</v>
      </c>
      <c r="ACD22" s="20" t="n">
        <f aca="false">ACC22</f>
        <v>0</v>
      </c>
      <c r="ACE22" s="20" t="n">
        <f aca="false">ACD22</f>
        <v>0</v>
      </c>
      <c r="ACF22" s="20" t="n">
        <f aca="false">ACE22</f>
        <v>0</v>
      </c>
      <c r="ACG22" s="20" t="n">
        <f aca="false">ACF22</f>
        <v>0</v>
      </c>
      <c r="ACH22" s="20" t="n">
        <f aca="false">ACG22</f>
        <v>0</v>
      </c>
      <c r="ACI22" s="20" t="n">
        <f aca="false">ACH22</f>
        <v>0</v>
      </c>
      <c r="ACJ22" s="20" t="n">
        <f aca="false">ACI22</f>
        <v>0</v>
      </c>
      <c r="ACK22" s="20" t="n">
        <f aca="false">ACJ22</f>
        <v>0</v>
      </c>
      <c r="ACL22" s="20" t="n">
        <f aca="false">ACK22</f>
        <v>0</v>
      </c>
      <c r="ACM22" s="20" t="n">
        <f aca="false">ACL22</f>
        <v>0</v>
      </c>
      <c r="ACN22" s="20" t="n">
        <f aca="false">ACM22</f>
        <v>0</v>
      </c>
      <c r="ACO22" s="20" t="n">
        <f aca="false">ACN22</f>
        <v>0</v>
      </c>
      <c r="ACP22" s="20" t="n">
        <f aca="false">ACO22</f>
        <v>0</v>
      </c>
      <c r="ACQ22" s="20" t="n">
        <f aca="false">ACP22</f>
        <v>0</v>
      </c>
      <c r="ACR22" s="20" t="n">
        <f aca="false">ACQ22</f>
        <v>0</v>
      </c>
      <c r="ACS22" s="20" t="n">
        <f aca="false">ACR22</f>
        <v>0</v>
      </c>
      <c r="ACT22" s="20" t="n">
        <f aca="false">ACS22</f>
        <v>0</v>
      </c>
      <c r="ACU22" s="20" t="n">
        <f aca="false">ACT22</f>
        <v>0</v>
      </c>
      <c r="ACV22" s="20" t="n">
        <f aca="false">ACU22</f>
        <v>0</v>
      </c>
      <c r="ACW22" s="20" t="n">
        <f aca="false">ACV22</f>
        <v>0</v>
      </c>
      <c r="ACX22" s="20" t="n">
        <f aca="false">ACW22</f>
        <v>0</v>
      </c>
      <c r="ACY22" s="20" t="n">
        <f aca="false">ACX22</f>
        <v>0</v>
      </c>
      <c r="ACZ22" s="20" t="n">
        <f aca="false">ACY22</f>
        <v>0</v>
      </c>
      <c r="ADA22" s="20" t="n">
        <f aca="false">ACZ22</f>
        <v>0</v>
      </c>
      <c r="ADB22" s="20" t="n">
        <f aca="false">ADA22</f>
        <v>0</v>
      </c>
      <c r="ADC22" s="20" t="n">
        <f aca="false">ADB22</f>
        <v>0</v>
      </c>
      <c r="ADD22" s="20" t="n">
        <f aca="false">ADC22</f>
        <v>0</v>
      </c>
      <c r="ADE22" s="20" t="n">
        <f aca="false">ADD22</f>
        <v>0</v>
      </c>
      <c r="ADF22" s="20" t="n">
        <f aca="false">ADE22</f>
        <v>0</v>
      </c>
      <c r="ADG22" s="20" t="n">
        <f aca="false">ADF22</f>
        <v>0</v>
      </c>
      <c r="ADH22" s="20" t="n">
        <f aca="false">ADG22</f>
        <v>0</v>
      </c>
      <c r="ADI22" s="20" t="n">
        <f aca="false">ADH22</f>
        <v>0</v>
      </c>
      <c r="ADJ22" s="20" t="n">
        <f aca="false">ADI22</f>
        <v>0</v>
      </c>
      <c r="ADK22" s="20" t="n">
        <f aca="false">ADJ22</f>
        <v>0</v>
      </c>
      <c r="ADL22" s="20" t="n">
        <f aca="false">ADK22</f>
        <v>0</v>
      </c>
      <c r="ADM22" s="20" t="n">
        <f aca="false">ADL22</f>
        <v>0</v>
      </c>
      <c r="ADN22" s="20" t="n">
        <f aca="false">ADM22</f>
        <v>0</v>
      </c>
      <c r="ADO22" s="20" t="n">
        <f aca="false">ADN22</f>
        <v>0</v>
      </c>
      <c r="ADP22" s="20" t="n">
        <f aca="false">ADO22</f>
        <v>0</v>
      </c>
      <c r="ADQ22" s="20" t="n">
        <f aca="false">ADP22</f>
        <v>0</v>
      </c>
      <c r="ADR22" s="20" t="n">
        <f aca="false">(AKR21-TE22+0)*(1+BQ22)</f>
        <v>0</v>
      </c>
      <c r="ADS22" s="20" t="n">
        <f aca="false">(AKS21-TF22+0)*(1+BQ22)</f>
        <v>0</v>
      </c>
      <c r="ADT22" s="20" t="n">
        <f aca="false">(AKT21-TG22+0)*(1+BQ22)</f>
        <v>0</v>
      </c>
      <c r="ADU22" s="20" t="n">
        <f aca="false">(AKU21-TH22+0)*(1+BQ22)</f>
        <v>0</v>
      </c>
      <c r="ADV22" s="20" t="n">
        <f aca="false">(AKV21-TI22+0)*(1+BQ22)</f>
        <v>0</v>
      </c>
      <c r="ADW22" s="20" t="n">
        <f aca="false">(AKW21-TJ22+0)*(1+BQ22)</f>
        <v>0</v>
      </c>
      <c r="ADX22" s="20" t="n">
        <f aca="false">(AKX21-TK22+0)*(1+BQ22)</f>
        <v>0</v>
      </c>
      <c r="ADY22" s="20" t="n">
        <f aca="false">(AKY21-TL22+0)*(1+BQ22)</f>
        <v>0</v>
      </c>
      <c r="ADZ22" s="20" t="n">
        <f aca="false">(AKZ21-TM22+0)*(1+BQ22)</f>
        <v>0</v>
      </c>
      <c r="AEA22" s="20" t="n">
        <f aca="false">(ALA21-TN22+0)*(1+BQ22)</f>
        <v>0</v>
      </c>
      <c r="AEB22" s="20" t="n">
        <f aca="false">(ALB21-TO22+0)*(1+BQ22)</f>
        <v>0</v>
      </c>
      <c r="AEC22" s="20" t="n">
        <f aca="false">(ALC21-TP22+0)*(1+BQ22)</f>
        <v>665.116061745537</v>
      </c>
      <c r="AED22" s="20" t="n">
        <f aca="false">(ALD21-TQ22+0)*(1+BQ22)</f>
        <v>836.694841036122</v>
      </c>
      <c r="AEE22" s="20" t="n">
        <f aca="false">(ALE21-TR22+0)*(1+BQ22)</f>
        <v>1001.28987611629</v>
      </c>
      <c r="AEF22" s="20" t="n">
        <f aca="false">(ALF21-TS22+0)*(1+BQ22)</f>
        <v>1125.95575921839</v>
      </c>
      <c r="AEG22" s="20" t="n">
        <f aca="false">((P22+S22)-TT22+BE22)*(1+BQ22)</f>
        <v>1082.84084003747</v>
      </c>
      <c r="AEH22" s="20" t="n">
        <v>0</v>
      </c>
      <c r="AEI22" s="20" t="n">
        <v>0</v>
      </c>
      <c r="AEJ22" s="20" t="n">
        <v>0</v>
      </c>
      <c r="AEK22" s="20" t="n">
        <v>0</v>
      </c>
      <c r="AEL22" s="20" t="n">
        <v>0</v>
      </c>
      <c r="AEM22" s="20" t="n">
        <v>0</v>
      </c>
      <c r="AEN22" s="20" t="n">
        <v>0</v>
      </c>
      <c r="AEO22" s="20" t="n">
        <v>0</v>
      </c>
      <c r="AEP22" s="20" t="n">
        <v>0</v>
      </c>
      <c r="AEQ22" s="20" t="n">
        <v>0</v>
      </c>
      <c r="AER22" s="20" t="n">
        <v>0</v>
      </c>
      <c r="AES22" s="20" t="n">
        <v>0</v>
      </c>
      <c r="AET22" s="20" t="n">
        <v>0</v>
      </c>
      <c r="AEU22" s="20" t="n">
        <v>0</v>
      </c>
      <c r="AEV22" s="20" t="n">
        <v>0</v>
      </c>
      <c r="AEW22" s="20" t="n">
        <v>0</v>
      </c>
      <c r="AEX22" s="20" t="n">
        <v>0</v>
      </c>
      <c r="AEY22" s="20" t="n">
        <v>0</v>
      </c>
      <c r="AEZ22" s="20" t="n">
        <v>0</v>
      </c>
      <c r="AFA22" s="20" t="n">
        <v>0</v>
      </c>
      <c r="AFB22" s="20" t="n">
        <v>0</v>
      </c>
      <c r="AFC22" s="20" t="n">
        <v>0</v>
      </c>
      <c r="AFD22" s="20" t="n">
        <v>0</v>
      </c>
      <c r="AFE22" s="20" t="n">
        <v>0</v>
      </c>
      <c r="AFF22" s="20" t="n">
        <v>0</v>
      </c>
      <c r="AFG22" s="20" t="n">
        <v>0</v>
      </c>
      <c r="AFH22" s="20" t="n">
        <v>0</v>
      </c>
      <c r="AFI22" s="20" t="n">
        <v>0</v>
      </c>
      <c r="AFJ22" s="20" t="n">
        <v>0</v>
      </c>
      <c r="AFK22" s="20" t="n">
        <v>0</v>
      </c>
      <c r="AFL22" s="20" t="n">
        <v>0</v>
      </c>
      <c r="AFM22" s="20" t="n">
        <v>0</v>
      </c>
      <c r="AFN22" s="20" t="n">
        <v>0</v>
      </c>
      <c r="AFO22" s="20" t="n">
        <v>0</v>
      </c>
      <c r="AFP22" s="20" t="n">
        <v>0</v>
      </c>
      <c r="AFQ22" s="20" t="n">
        <v>0</v>
      </c>
      <c r="AFR22" s="20" t="n">
        <v>0</v>
      </c>
      <c r="AFS22" s="20" t="n">
        <v>0</v>
      </c>
      <c r="AFT22" s="20" t="n">
        <v>0</v>
      </c>
      <c r="AFU22" s="20" t="n">
        <v>0</v>
      </c>
      <c r="AFV22" s="20" t="n">
        <v>0</v>
      </c>
      <c r="AFW22" s="20" t="n">
        <v>0</v>
      </c>
      <c r="AFX22" s="20" t="n">
        <v>0</v>
      </c>
      <c r="AFY22" s="20" t="n">
        <v>0</v>
      </c>
      <c r="AFZ22" s="20" t="n">
        <v>0</v>
      </c>
      <c r="AGA22" s="20" t="n">
        <v>0</v>
      </c>
      <c r="AGB22" s="20" t="n">
        <v>0</v>
      </c>
      <c r="AGC22" s="20" t="n">
        <v>0</v>
      </c>
      <c r="AGD22" s="20" t="n">
        <v>0</v>
      </c>
      <c r="AGE22" s="20" t="n">
        <v>0</v>
      </c>
      <c r="AGF22" s="20" t="n">
        <v>0</v>
      </c>
      <c r="AGG22" s="20" t="n">
        <v>0</v>
      </c>
      <c r="AGH22" s="20" t="n">
        <v>0</v>
      </c>
      <c r="AGI22" s="20" t="n">
        <v>0</v>
      </c>
      <c r="AGJ22" s="20" t="n">
        <v>0</v>
      </c>
      <c r="AGK22" s="20" t="n">
        <v>0</v>
      </c>
      <c r="AGL22" s="20" t="n">
        <v>0</v>
      </c>
      <c r="AGM22" s="20" t="n">
        <v>0</v>
      </c>
      <c r="AGN22" s="20" t="n">
        <v>0</v>
      </c>
      <c r="AGO22" s="20" t="n">
        <v>0</v>
      </c>
      <c r="AGP22" s="20" t="n">
        <v>0</v>
      </c>
      <c r="AGQ22" s="20" t="n">
        <v>0</v>
      </c>
      <c r="AGR22" s="20" t="n">
        <v>0</v>
      </c>
      <c r="AGS22" s="20" t="n">
        <v>0</v>
      </c>
      <c r="AGT22" s="20" t="n">
        <v>0</v>
      </c>
      <c r="AGU22" s="20" t="n">
        <v>0</v>
      </c>
      <c r="AGV22" s="20" t="n">
        <v>0</v>
      </c>
      <c r="AGW22" s="20" t="n">
        <v>0</v>
      </c>
      <c r="AGX22" s="20" t="n">
        <v>0</v>
      </c>
      <c r="AGY22" s="20" t="n">
        <v>0</v>
      </c>
      <c r="AGZ22" s="20" t="n">
        <v>0</v>
      </c>
      <c r="AHA22" s="20" t="n">
        <v>0</v>
      </c>
      <c r="AHB22" s="20" t="n">
        <v>0</v>
      </c>
      <c r="AHC22" s="20" t="n">
        <v>0</v>
      </c>
      <c r="AHD22" s="20" t="n">
        <v>0</v>
      </c>
      <c r="AHE22" s="20" t="n">
        <f aca="false">IF(AKR21&gt;0,AOE21-AOE21*TE22/AKR21,0)+0</f>
        <v>0</v>
      </c>
      <c r="AHF22" s="20" t="n">
        <f aca="false">IF(AKS21&gt;0,AOF21-AOF21*TF22/AKS21,0)+0</f>
        <v>0</v>
      </c>
      <c r="AHG22" s="20" t="n">
        <f aca="false">IF(AKT21&gt;0,AOG21-AOG21*TG22/AKT21,0)+0</f>
        <v>0</v>
      </c>
      <c r="AHH22" s="20" t="n">
        <f aca="false">IF(AKU21&gt;0,AOH21-AOH21*TH22/AKU21,0)+0</f>
        <v>0</v>
      </c>
      <c r="AHI22" s="20" t="n">
        <f aca="false">IF(AKV21&gt;0,AOI21-AOI21*TI22/AKV21,0)+0</f>
        <v>0</v>
      </c>
      <c r="AHJ22" s="20" t="n">
        <f aca="false">IF(AKW21&gt;0,AOJ21-AOJ21*TJ22/AKW21,0)+0</f>
        <v>0</v>
      </c>
      <c r="AHK22" s="20" t="n">
        <f aca="false">IF(AKX21&gt;0,AOK21-AOK21*TK22/AKX21,0)+0</f>
        <v>0</v>
      </c>
      <c r="AHL22" s="20" t="n">
        <f aca="false">IF(AKY21&gt;0,AOL21-AOL21*TL22/AKY21,0)+0</f>
        <v>0</v>
      </c>
      <c r="AHM22" s="20" t="n">
        <f aca="false">IF(AKZ21&gt;0,AOM21-AOM21*TM22/AKZ21,0)+0</f>
        <v>0</v>
      </c>
      <c r="AHN22" s="20" t="n">
        <f aca="false">IF(ALA21&gt;0,AON21-AON21*TN22/ALA21,0)+0</f>
        <v>0</v>
      </c>
      <c r="AHO22" s="20" t="n">
        <f aca="false">IF(ALB21&gt;0,AOO21-AOO21*TO22/ALB21,0)+0</f>
        <v>0</v>
      </c>
      <c r="AHP22" s="20" t="n">
        <f aca="false">IF(ALC21&gt;0,AOP21-AOP21*TP22/ALC21,0)+0</f>
        <v>546.676920289684</v>
      </c>
      <c r="AHQ22" s="20" t="n">
        <f aca="false">IF(ALD21&gt;0,AOQ21-AOQ21*TQ22/ALD21,0)+0</f>
        <v>715.210256730627</v>
      </c>
      <c r="AHR22" s="20" t="n">
        <f aca="false">IF(ALE21&gt;0,AOR21-AOR21*TR22/ALE21,0)+0</f>
        <v>890.143053841438</v>
      </c>
      <c r="AHS22" s="20" t="n">
        <f aca="false">IF(ALF21&gt;0,AOS21-AOS21*TS22/ALF21,0)+0</f>
        <v>1041.00939276848</v>
      </c>
      <c r="AHT22" s="20" t="n">
        <f aca="false">IF((P22+S22)&gt;0,(P22+S22)-(P22+S22)*TT22/(P22+S22),0)+BE22</f>
        <v>1041.19311542065</v>
      </c>
      <c r="AHU22" s="20" t="n">
        <v>0</v>
      </c>
      <c r="AHV22" s="20" t="n">
        <v>0</v>
      </c>
      <c r="AHW22" s="20" t="n">
        <v>0</v>
      </c>
      <c r="AHX22" s="20" t="n">
        <v>0</v>
      </c>
      <c r="AHY22" s="20" t="n">
        <v>0</v>
      </c>
      <c r="AHZ22" s="20" t="n">
        <v>0</v>
      </c>
      <c r="AIA22" s="20" t="n">
        <v>0</v>
      </c>
      <c r="AIB22" s="20" t="n">
        <v>0</v>
      </c>
      <c r="AIC22" s="20" t="n">
        <v>0</v>
      </c>
      <c r="AID22" s="20" t="n">
        <v>0</v>
      </c>
      <c r="AIE22" s="20" t="n">
        <v>0</v>
      </c>
      <c r="AIF22" s="20" t="n">
        <v>0</v>
      </c>
      <c r="AIG22" s="20" t="n">
        <v>0</v>
      </c>
      <c r="AIH22" s="20" t="n">
        <v>0</v>
      </c>
      <c r="AII22" s="20" t="n">
        <v>0</v>
      </c>
      <c r="AIJ22" s="20" t="n">
        <v>0</v>
      </c>
      <c r="AIK22" s="20" t="n">
        <v>0</v>
      </c>
      <c r="AIL22" s="20" t="n">
        <v>0</v>
      </c>
      <c r="AIM22" s="20" t="n">
        <v>0</v>
      </c>
      <c r="AIN22" s="20" t="n">
        <v>0</v>
      </c>
      <c r="AIO22" s="20" t="n">
        <v>0</v>
      </c>
      <c r="AIP22" s="20" t="n">
        <v>0</v>
      </c>
      <c r="AIQ22" s="20" t="n">
        <v>0</v>
      </c>
      <c r="AIR22" s="20" t="n">
        <v>0</v>
      </c>
      <c r="AIS22" s="20" t="n">
        <v>0</v>
      </c>
      <c r="AIT22" s="20" t="n">
        <v>0</v>
      </c>
      <c r="AIU22" s="20" t="n">
        <v>0</v>
      </c>
      <c r="AIV22" s="20" t="n">
        <v>0</v>
      </c>
      <c r="AIW22" s="20" t="n">
        <v>0</v>
      </c>
      <c r="AIX22" s="20" t="n">
        <v>0</v>
      </c>
      <c r="AIY22" s="20" t="n">
        <v>0</v>
      </c>
      <c r="AIZ22" s="20" t="n">
        <v>0</v>
      </c>
      <c r="AJA22" s="20" t="n">
        <v>0</v>
      </c>
      <c r="AJB22" s="20" t="n">
        <v>0</v>
      </c>
      <c r="AJC22" s="20" t="n">
        <v>0</v>
      </c>
      <c r="AJD22" s="20" t="n">
        <v>0</v>
      </c>
      <c r="AJE22" s="20" t="n">
        <v>0</v>
      </c>
      <c r="AJF22" s="20" t="n">
        <v>0</v>
      </c>
      <c r="AJG22" s="20" t="n">
        <v>0</v>
      </c>
      <c r="AJH22" s="20" t="n">
        <v>0</v>
      </c>
      <c r="AJI22" s="20" t="n">
        <v>0</v>
      </c>
      <c r="AJJ22" s="20" t="n">
        <v>0</v>
      </c>
      <c r="AJK22" s="20" t="n">
        <v>0</v>
      </c>
      <c r="AJL22" s="20" t="n">
        <v>0</v>
      </c>
      <c r="AJM22" s="20" t="n">
        <v>0</v>
      </c>
      <c r="AJN22" s="20" t="n">
        <v>0</v>
      </c>
      <c r="AJO22" s="20" t="n">
        <v>0</v>
      </c>
      <c r="AJP22" s="20" t="n">
        <v>0</v>
      </c>
      <c r="AJQ22" s="20" t="n">
        <v>0</v>
      </c>
      <c r="AJR22" s="20" t="n">
        <v>0</v>
      </c>
      <c r="AJS22" s="20" t="n">
        <v>0</v>
      </c>
      <c r="AJT22" s="20" t="n">
        <v>0</v>
      </c>
      <c r="AJU22" s="20" t="n">
        <v>0</v>
      </c>
      <c r="AJV22" s="20" t="n">
        <v>0</v>
      </c>
      <c r="AJW22" s="20" t="n">
        <v>0</v>
      </c>
      <c r="AJX22" s="20" t="n">
        <v>0</v>
      </c>
      <c r="AJY22" s="20" t="n">
        <v>0</v>
      </c>
      <c r="AJZ22" s="20" t="n">
        <v>0</v>
      </c>
      <c r="AKA22" s="20" t="n">
        <v>0</v>
      </c>
      <c r="AKB22" s="20" t="n">
        <v>0</v>
      </c>
      <c r="AKC22" s="20" t="n">
        <v>0</v>
      </c>
      <c r="AKD22" s="20" t="n">
        <v>0</v>
      </c>
      <c r="AKE22" s="20" t="n">
        <v>0</v>
      </c>
      <c r="AKF22" s="20" t="n">
        <v>0</v>
      </c>
      <c r="AKG22" s="20" t="n">
        <v>0</v>
      </c>
      <c r="AKH22" s="20" t="n">
        <v>0</v>
      </c>
      <c r="AKI22" s="20" t="n">
        <v>0</v>
      </c>
      <c r="AKJ22" s="20" t="n">
        <v>0</v>
      </c>
      <c r="AKK22" s="20" t="n">
        <v>0</v>
      </c>
      <c r="AKL22" s="20" t="n">
        <v>0</v>
      </c>
      <c r="AKM22" s="20" t="n">
        <v>0</v>
      </c>
      <c r="AKN22" s="20" t="n">
        <v>0</v>
      </c>
      <c r="AKO22" s="20" t="n">
        <v>0</v>
      </c>
      <c r="AKP22" s="20" t="n">
        <v>0</v>
      </c>
      <c r="AKQ22" s="20" t="n">
        <v>0</v>
      </c>
      <c r="AKR22" s="20" t="n">
        <f aca="false">ADR22-AVE22</f>
        <v>0</v>
      </c>
      <c r="AKS22" s="20" t="n">
        <f aca="false">ADS22-AVF22</f>
        <v>0</v>
      </c>
      <c r="AKT22" s="20" t="n">
        <f aca="false">ADT22-AVG22</f>
        <v>0</v>
      </c>
      <c r="AKU22" s="20" t="n">
        <f aca="false">ADU22-AVH22</f>
        <v>0</v>
      </c>
      <c r="AKV22" s="20" t="n">
        <f aca="false">ADV22-AVI22</f>
        <v>0</v>
      </c>
      <c r="AKW22" s="20" t="n">
        <f aca="false">ADW22-AVJ22</f>
        <v>0</v>
      </c>
      <c r="AKX22" s="20" t="n">
        <f aca="false">ADX22-AVK22</f>
        <v>0</v>
      </c>
      <c r="AKY22" s="20" t="n">
        <f aca="false">ADY22-AVL22</f>
        <v>0</v>
      </c>
      <c r="AKZ22" s="20" t="n">
        <f aca="false">ADZ22-AVM22</f>
        <v>0</v>
      </c>
      <c r="ALA22" s="20" t="n">
        <f aca="false">AEA22-AVN22</f>
        <v>0</v>
      </c>
      <c r="ALB22" s="20" t="n">
        <f aca="false">AEB22-AVO22</f>
        <v>0</v>
      </c>
      <c r="ALC22" s="20" t="n">
        <f aca="false">AEC22-AVP22</f>
        <v>665.116061745537</v>
      </c>
      <c r="ALD22" s="20" t="n">
        <f aca="false">AED22-AVQ22</f>
        <v>836.694841036122</v>
      </c>
      <c r="ALE22" s="20" t="n">
        <f aca="false">AEE22-AVR22</f>
        <v>1001.28987611629</v>
      </c>
      <c r="ALF22" s="20" t="n">
        <f aca="false">AEF22-AVS22</f>
        <v>1125.95575921839</v>
      </c>
      <c r="ALG22" s="20" t="n">
        <f aca="false">AEG22-AVT22</f>
        <v>1082.84084003747</v>
      </c>
      <c r="ALH22" s="20" t="n">
        <v>0</v>
      </c>
      <c r="ALI22" s="20" t="n">
        <v>0</v>
      </c>
      <c r="ALJ22" s="20" t="n">
        <v>0</v>
      </c>
      <c r="ALK22" s="20" t="n">
        <v>0</v>
      </c>
      <c r="ALL22" s="20" t="n">
        <v>0</v>
      </c>
      <c r="ALM22" s="20" t="n">
        <v>0</v>
      </c>
      <c r="ALN22" s="20" t="n">
        <v>0</v>
      </c>
      <c r="ALO22" s="20" t="n">
        <v>0</v>
      </c>
      <c r="ALP22" s="20" t="n">
        <v>0</v>
      </c>
      <c r="ALQ22" s="20" t="n">
        <v>0</v>
      </c>
      <c r="ALR22" s="20" t="n">
        <v>0</v>
      </c>
      <c r="ALS22" s="20" t="n">
        <v>0</v>
      </c>
      <c r="ALT22" s="20" t="n">
        <v>0</v>
      </c>
      <c r="ALU22" s="20" t="n">
        <v>0</v>
      </c>
      <c r="ALV22" s="20" t="n">
        <v>0</v>
      </c>
      <c r="ALW22" s="20" t="n">
        <v>0</v>
      </c>
      <c r="ALX22" s="20" t="n">
        <v>0</v>
      </c>
      <c r="ALY22" s="20" t="n">
        <v>0</v>
      </c>
      <c r="ALZ22" s="20" t="n">
        <v>0</v>
      </c>
      <c r="AMA22" s="20" t="n">
        <v>0</v>
      </c>
      <c r="AMB22" s="20" t="n">
        <v>0</v>
      </c>
      <c r="AMC22" s="20" t="n">
        <v>0</v>
      </c>
      <c r="AMD22" s="20" t="n">
        <v>0</v>
      </c>
      <c r="AME22" s="20" t="n">
        <v>0</v>
      </c>
      <c r="AMF22" s="20" t="n">
        <v>0</v>
      </c>
      <c r="AMG22" s="20" t="n">
        <v>0</v>
      </c>
      <c r="AMH22" s="20" t="n">
        <v>0</v>
      </c>
      <c r="AMI22" s="20" t="n">
        <v>0</v>
      </c>
      <c r="AMJ22" s="20" t="n">
        <v>0</v>
      </c>
      <c r="AMK22" s="20" t="n">
        <v>0</v>
      </c>
      <c r="AML22" s="20" t="n">
        <v>0</v>
      </c>
      <c r="AMM22" s="20" t="n">
        <v>0</v>
      </c>
      <c r="AMN22" s="20" t="n">
        <v>0</v>
      </c>
      <c r="AMO22" s="20" t="n">
        <v>0</v>
      </c>
      <c r="AMP22" s="20" t="n">
        <v>0</v>
      </c>
      <c r="AMQ22" s="20" t="n">
        <v>0</v>
      </c>
      <c r="AMR22" s="20" t="n">
        <v>0</v>
      </c>
      <c r="AMS22" s="20" t="n">
        <v>0</v>
      </c>
      <c r="AMT22" s="20" t="n">
        <v>0</v>
      </c>
      <c r="AMU22" s="20" t="n">
        <v>0</v>
      </c>
      <c r="AMV22" s="20" t="n">
        <v>0</v>
      </c>
      <c r="AMW22" s="20" t="n">
        <v>0</v>
      </c>
      <c r="AMX22" s="20" t="n">
        <v>0</v>
      </c>
      <c r="AMY22" s="20" t="n">
        <v>0</v>
      </c>
      <c r="AMZ22" s="20" t="n">
        <v>0</v>
      </c>
      <c r="ANA22" s="20" t="n">
        <v>0</v>
      </c>
      <c r="ANB22" s="20" t="n">
        <v>0</v>
      </c>
      <c r="ANC22" s="20" t="n">
        <v>0</v>
      </c>
      <c r="AND22" s="20" t="n">
        <v>0</v>
      </c>
      <c r="ANE22" s="20" t="n">
        <v>0</v>
      </c>
      <c r="ANF22" s="20" t="n">
        <v>0</v>
      </c>
      <c r="ANG22" s="20" t="n">
        <v>0</v>
      </c>
      <c r="ANH22" s="20" t="n">
        <v>0</v>
      </c>
      <c r="ANI22" s="20" t="n">
        <v>0</v>
      </c>
      <c r="ANJ22" s="20" t="n">
        <v>0</v>
      </c>
      <c r="ANK22" s="20" t="n">
        <v>0</v>
      </c>
      <c r="ANL22" s="20" t="n">
        <v>0</v>
      </c>
      <c r="ANM22" s="20" t="n">
        <v>0</v>
      </c>
      <c r="ANN22" s="20" t="n">
        <v>0</v>
      </c>
      <c r="ANO22" s="20" t="n">
        <v>0</v>
      </c>
      <c r="ANP22" s="20" t="n">
        <v>0</v>
      </c>
      <c r="ANQ22" s="20" t="n">
        <v>0</v>
      </c>
      <c r="ANR22" s="20" t="n">
        <v>0</v>
      </c>
      <c r="ANS22" s="20" t="n">
        <v>0</v>
      </c>
      <c r="ANT22" s="20" t="n">
        <v>0</v>
      </c>
      <c r="ANU22" s="20" t="n">
        <v>0</v>
      </c>
      <c r="ANV22" s="20" t="n">
        <v>0</v>
      </c>
      <c r="ANW22" s="20" t="n">
        <v>0</v>
      </c>
      <c r="ANX22" s="20" t="n">
        <v>0</v>
      </c>
      <c r="ANY22" s="20" t="n">
        <v>0</v>
      </c>
      <c r="ANZ22" s="20" t="n">
        <v>0</v>
      </c>
      <c r="AOA22" s="20" t="n">
        <v>0</v>
      </c>
      <c r="AOB22" s="20" t="n">
        <v>0</v>
      </c>
      <c r="AOC22" s="20" t="n">
        <v>0</v>
      </c>
      <c r="AOD22" s="20" t="n">
        <v>0</v>
      </c>
      <c r="AOE22" s="20" t="n">
        <f aca="false">IF(AND(H_Direct=0,H_TaxEvt=1,ARR21+1&gt;=H_Deemed),AKR22,AHE22)</f>
        <v>0</v>
      </c>
      <c r="AOF22" s="20" t="n">
        <f aca="false">IF(AND(H_Direct=0,H_TaxEvt=1,ARS21+1&gt;=H_Deemed),AKS22,AHF22)</f>
        <v>0</v>
      </c>
      <c r="AOG22" s="20" t="n">
        <f aca="false">IF(AND(H_Direct=0,H_TaxEvt=1,ART21+1&gt;=H_Deemed),AKT22,AHG22)</f>
        <v>0</v>
      </c>
      <c r="AOH22" s="20" t="n">
        <f aca="false">IF(AND(H_Direct=0,H_TaxEvt=1,ARU21+1&gt;=H_Deemed),AKU22,AHH22)</f>
        <v>0</v>
      </c>
      <c r="AOI22" s="20" t="n">
        <f aca="false">IF(AND(H_Direct=0,H_TaxEvt=1,ARV21+1&gt;=H_Deemed),AKV22,AHI22)</f>
        <v>0</v>
      </c>
      <c r="AOJ22" s="20" t="n">
        <f aca="false">IF(AND(H_Direct=0,H_TaxEvt=1,ARW21+1&gt;=H_Deemed),AKW22,AHJ22)</f>
        <v>0</v>
      </c>
      <c r="AOK22" s="20" t="n">
        <f aca="false">IF(AND(H_Direct=0,H_TaxEvt=1,ARX21+1&gt;=H_Deemed),AKX22,AHK22)</f>
        <v>0</v>
      </c>
      <c r="AOL22" s="20" t="n">
        <f aca="false">IF(AND(H_Direct=0,H_TaxEvt=1,ARY21+1&gt;=H_Deemed),AKY22,AHL22)</f>
        <v>0</v>
      </c>
      <c r="AOM22" s="20" t="n">
        <f aca="false">IF(AND(H_Direct=0,H_TaxEvt=1,ARZ21+1&gt;=H_Deemed),AKZ22,AHM22)</f>
        <v>0</v>
      </c>
      <c r="AON22" s="20" t="n">
        <f aca="false">IF(AND(H_Direct=0,H_TaxEvt=1,ASA21+1&gt;=H_Deemed),ALA22,AHN22)</f>
        <v>0</v>
      </c>
      <c r="AOO22" s="20" t="n">
        <f aca="false">IF(AND(H_Direct=0,H_TaxEvt=1,ASB21+1&gt;=H_Deemed),ALB22,AHO22)</f>
        <v>0</v>
      </c>
      <c r="AOP22" s="20" t="n">
        <f aca="false">IF(AND(H_Direct=0,H_TaxEvt=1,ASC21+1&gt;=H_Deemed),ALC22,AHP22)</f>
        <v>546.676920289684</v>
      </c>
      <c r="AOQ22" s="20" t="n">
        <f aca="false">IF(AND(H_Direct=0,H_TaxEvt=1,ASD21+1&gt;=H_Deemed),ALD22,AHQ22)</f>
        <v>715.210256730627</v>
      </c>
      <c r="AOR22" s="20" t="n">
        <f aca="false">IF(AND(H_Direct=0,H_TaxEvt=1,ASE21+1&gt;=H_Deemed),ALE22,AHR22)</f>
        <v>890.143053841438</v>
      </c>
      <c r="AOS22" s="20" t="n">
        <f aca="false">IF(AND(H_Direct=0,H_TaxEvt=1,ASF21+1&gt;=H_Deemed),ALF22,AHS22)</f>
        <v>1041.00939276848</v>
      </c>
      <c r="AOT22" s="20" t="n">
        <f aca="false">IF(AND(H_Direct=0,H_TaxEvt=1,0+1&gt;=H_Deemed),ALG22,AHT22)</f>
        <v>1041.19311542065</v>
      </c>
      <c r="AOU22" s="20" t="n">
        <v>0</v>
      </c>
      <c r="AOV22" s="20" t="n">
        <v>0</v>
      </c>
      <c r="AOW22" s="20" t="n">
        <v>0</v>
      </c>
      <c r="AOX22" s="20" t="n">
        <v>0</v>
      </c>
      <c r="AOY22" s="20" t="n">
        <v>0</v>
      </c>
      <c r="AOZ22" s="20" t="n">
        <v>0</v>
      </c>
      <c r="APA22" s="20" t="n">
        <v>0</v>
      </c>
      <c r="APB22" s="20" t="n">
        <v>0</v>
      </c>
      <c r="APC22" s="20" t="n">
        <v>0</v>
      </c>
      <c r="APD22" s="20" t="n">
        <v>0</v>
      </c>
      <c r="APE22" s="20" t="n">
        <v>0</v>
      </c>
      <c r="APF22" s="20" t="n">
        <v>0</v>
      </c>
      <c r="APG22" s="20" t="n">
        <v>0</v>
      </c>
      <c r="APH22" s="20" t="n">
        <v>0</v>
      </c>
      <c r="API22" s="20" t="n">
        <v>0</v>
      </c>
      <c r="APJ22" s="20" t="n">
        <v>0</v>
      </c>
      <c r="APK22" s="20" t="n">
        <v>0</v>
      </c>
      <c r="APL22" s="20" t="n">
        <v>0</v>
      </c>
      <c r="APM22" s="20" t="n">
        <v>0</v>
      </c>
      <c r="APN22" s="20" t="n">
        <v>0</v>
      </c>
      <c r="APO22" s="20" t="n">
        <v>0</v>
      </c>
      <c r="APP22" s="20" t="n">
        <v>0</v>
      </c>
      <c r="APQ22" s="20" t="n">
        <v>0</v>
      </c>
      <c r="APR22" s="20" t="n">
        <v>0</v>
      </c>
      <c r="APS22" s="20" t="n">
        <v>0</v>
      </c>
      <c r="APT22" s="20" t="n">
        <v>0</v>
      </c>
      <c r="APU22" s="20" t="n">
        <v>0</v>
      </c>
      <c r="APV22" s="20" t="n">
        <v>0</v>
      </c>
      <c r="APW22" s="20" t="n">
        <v>0</v>
      </c>
      <c r="APX22" s="20" t="n">
        <v>0</v>
      </c>
      <c r="APY22" s="20" t="n">
        <v>0</v>
      </c>
      <c r="APZ22" s="20" t="n">
        <v>0</v>
      </c>
      <c r="AQA22" s="20" t="n">
        <v>0</v>
      </c>
      <c r="AQB22" s="20" t="n">
        <v>0</v>
      </c>
      <c r="AQC22" s="20" t="n">
        <v>0</v>
      </c>
      <c r="AQD22" s="20" t="n">
        <v>0</v>
      </c>
      <c r="AQE22" s="20" t="n">
        <v>0</v>
      </c>
      <c r="AQF22" s="20" t="n">
        <v>0</v>
      </c>
      <c r="AQG22" s="20" t="n">
        <v>0</v>
      </c>
      <c r="AQH22" s="20" t="n">
        <v>0</v>
      </c>
      <c r="AQI22" s="20" t="n">
        <v>0</v>
      </c>
      <c r="AQJ22" s="20" t="n">
        <v>0</v>
      </c>
      <c r="AQK22" s="20" t="n">
        <v>0</v>
      </c>
      <c r="AQL22" s="20" t="n">
        <v>0</v>
      </c>
      <c r="AQM22" s="20" t="n">
        <v>0</v>
      </c>
      <c r="AQN22" s="20" t="n">
        <v>0</v>
      </c>
      <c r="AQO22" s="20" t="n">
        <v>0</v>
      </c>
      <c r="AQP22" s="20" t="n">
        <v>0</v>
      </c>
      <c r="AQQ22" s="20" t="n">
        <v>0</v>
      </c>
      <c r="AQR22" s="20" t="n">
        <v>0</v>
      </c>
      <c r="AQS22" s="20" t="n">
        <v>0</v>
      </c>
      <c r="AQT22" s="20" t="n">
        <v>0</v>
      </c>
      <c r="AQU22" s="20" t="n">
        <v>0</v>
      </c>
      <c r="AQV22" s="20" t="n">
        <v>0</v>
      </c>
      <c r="AQW22" s="20" t="n">
        <v>0</v>
      </c>
      <c r="AQX22" s="20" t="n">
        <v>0</v>
      </c>
      <c r="AQY22" s="20" t="n">
        <v>0</v>
      </c>
      <c r="AQZ22" s="20" t="n">
        <v>0</v>
      </c>
      <c r="ARA22" s="20" t="n">
        <v>0</v>
      </c>
      <c r="ARB22" s="20" t="n">
        <v>0</v>
      </c>
      <c r="ARC22" s="20" t="n">
        <v>0</v>
      </c>
      <c r="ARD22" s="20" t="n">
        <v>0</v>
      </c>
      <c r="ARE22" s="20" t="n">
        <v>0</v>
      </c>
      <c r="ARF22" s="20" t="n">
        <v>0</v>
      </c>
      <c r="ARG22" s="20" t="n">
        <v>0</v>
      </c>
      <c r="ARH22" s="20" t="n">
        <v>0</v>
      </c>
      <c r="ARI22" s="20" t="n">
        <v>0</v>
      </c>
      <c r="ARJ22" s="20" t="n">
        <v>0</v>
      </c>
      <c r="ARK22" s="20" t="n">
        <v>0</v>
      </c>
      <c r="ARL22" s="20" t="n">
        <v>0</v>
      </c>
      <c r="ARM22" s="20" t="n">
        <v>0</v>
      </c>
      <c r="ARN22" s="20" t="n">
        <v>0</v>
      </c>
      <c r="ARO22" s="20" t="n">
        <v>0</v>
      </c>
      <c r="ARP22" s="20" t="n">
        <v>0</v>
      </c>
      <c r="ARQ22" s="20" t="n">
        <v>0</v>
      </c>
      <c r="ARR22" s="20" t="n">
        <f aca="false">IF(AND(H_Direct=0,H_TaxEvt=1),IF(ARR21+1&gt;=H_Deemed,0,ARR21+1),ARR21)</f>
        <v>7</v>
      </c>
      <c r="ARS22" s="20" t="n">
        <f aca="false">IF(AND(H_Direct=0,H_TaxEvt=1),IF(ARS21+1&gt;=H_Deemed,0,ARS21+1),ARS21)</f>
        <v>7</v>
      </c>
      <c r="ART22" s="20" t="n">
        <f aca="false">IF(AND(H_Direct=0,H_TaxEvt=1),IF(ART21+1&gt;=H_Deemed,0,ART21+1),ART21)</f>
        <v>6</v>
      </c>
      <c r="ARU22" s="20" t="n">
        <f aca="false">IF(AND(H_Direct=0,H_TaxEvt=1),IF(ARU21+1&gt;=H_Deemed,0,ARU21+1),ARU21)</f>
        <v>5</v>
      </c>
      <c r="ARV22" s="20" t="n">
        <f aca="false">IF(AND(H_Direct=0,H_TaxEvt=1),IF(ARV21+1&gt;=H_Deemed,0,ARV21+1),ARV21)</f>
        <v>4</v>
      </c>
      <c r="ARW22" s="20" t="n">
        <f aca="false">IF(AND(H_Direct=0,H_TaxEvt=1),IF(ARW21+1&gt;=H_Deemed,0,ARW21+1),ARW21)</f>
        <v>3</v>
      </c>
      <c r="ARX22" s="20" t="n">
        <f aca="false">IF(AND(H_Direct=0,H_TaxEvt=1),IF(ARX21+1&gt;=H_Deemed,0,ARX21+1),ARX21)</f>
        <v>2</v>
      </c>
      <c r="ARY22" s="20" t="n">
        <f aca="false">IF(AND(H_Direct=0,H_TaxEvt=1),IF(ARY21+1&gt;=H_Deemed,0,ARY21+1),ARY21)</f>
        <v>1</v>
      </c>
      <c r="ARZ22" s="20" t="n">
        <f aca="false">IF(AND(H_Direct=0,H_TaxEvt=1),IF(ARZ21+1&gt;=H_Deemed,0,ARZ21+1),ARZ21)</f>
        <v>0</v>
      </c>
      <c r="ASA22" s="20" t="n">
        <f aca="false">IF(AND(H_Direct=0,H_TaxEvt=1),IF(ASA21+1&gt;=H_Deemed,0,ASA21+1),ASA21)</f>
        <v>7</v>
      </c>
      <c r="ASB22" s="20" t="n">
        <f aca="false">IF(AND(H_Direct=0,H_TaxEvt=1),IF(ASB21+1&gt;=H_Deemed,0,ASB21+1),ASB21)</f>
        <v>6</v>
      </c>
      <c r="ASC22" s="20" t="n">
        <f aca="false">IF(AND(H_Direct=0,H_TaxEvt=1),IF(ASC21+1&gt;=H_Deemed,0,ASC21+1),ASC21)</f>
        <v>5</v>
      </c>
      <c r="ASD22" s="20" t="n">
        <f aca="false">IF(AND(H_Direct=0,H_TaxEvt=1),IF(ASD21+1&gt;=H_Deemed,0,ASD21+1),ASD21)</f>
        <v>4</v>
      </c>
      <c r="ASE22" s="20" t="n">
        <f aca="false">IF(AND(H_Direct=0,H_TaxEvt=1),IF(ASE21+1&gt;=H_Deemed,0,ASE21+1),ASE21)</f>
        <v>3</v>
      </c>
      <c r="ASF22" s="20" t="n">
        <f aca="false">IF(AND(H_Direct=0,H_TaxEvt=1),IF(ASF21+1&gt;=H_Deemed,0,ASF21+1),ASF21)</f>
        <v>2</v>
      </c>
      <c r="ASG22" s="20" t="n">
        <f aca="false">IF(AND(H_Direct=0,H_TaxEvt=1),IF(0+1&gt;=H_Deemed,0,0+1),0)</f>
        <v>1</v>
      </c>
      <c r="ASH22" s="20" t="n">
        <v>0</v>
      </c>
      <c r="ASI22" s="20" t="n">
        <v>0</v>
      </c>
      <c r="ASJ22" s="20" t="n">
        <v>0</v>
      </c>
      <c r="ASK22" s="20" t="n">
        <v>0</v>
      </c>
      <c r="ASL22" s="20" t="n">
        <v>0</v>
      </c>
      <c r="ASM22" s="20" t="n">
        <v>0</v>
      </c>
      <c r="ASN22" s="20" t="n">
        <v>0</v>
      </c>
      <c r="ASO22" s="20" t="n">
        <v>0</v>
      </c>
      <c r="ASP22" s="20" t="n">
        <v>0</v>
      </c>
      <c r="ASQ22" s="20" t="n">
        <v>0</v>
      </c>
      <c r="ASR22" s="20" t="n">
        <v>0</v>
      </c>
      <c r="ASS22" s="20" t="n">
        <v>0</v>
      </c>
      <c r="AST22" s="20" t="n">
        <v>0</v>
      </c>
      <c r="ASU22" s="20" t="n">
        <v>0</v>
      </c>
      <c r="ASV22" s="20" t="n">
        <v>0</v>
      </c>
      <c r="ASW22" s="20" t="n">
        <v>0</v>
      </c>
      <c r="ASX22" s="20" t="n">
        <v>0</v>
      </c>
      <c r="ASY22" s="20" t="n">
        <v>0</v>
      </c>
      <c r="ASZ22" s="20" t="n">
        <v>0</v>
      </c>
      <c r="ATA22" s="20" t="n">
        <v>0</v>
      </c>
      <c r="ATB22" s="20" t="n">
        <v>0</v>
      </c>
      <c r="ATC22" s="20" t="n">
        <v>0</v>
      </c>
      <c r="ATD22" s="20" t="n">
        <v>0</v>
      </c>
      <c r="ATE22" s="20" t="n">
        <v>0</v>
      </c>
      <c r="ATF22" s="20" t="n">
        <v>0</v>
      </c>
      <c r="ATG22" s="20" t="n">
        <v>0</v>
      </c>
      <c r="ATH22" s="20" t="n">
        <v>0</v>
      </c>
      <c r="ATI22" s="20" t="n">
        <v>0</v>
      </c>
      <c r="ATJ22" s="20" t="n">
        <v>0</v>
      </c>
      <c r="ATK22" s="20" t="n">
        <v>0</v>
      </c>
      <c r="ATL22" s="20" t="n">
        <v>0</v>
      </c>
      <c r="ATM22" s="20" t="n">
        <v>0</v>
      </c>
      <c r="ATN22" s="20" t="n">
        <v>0</v>
      </c>
      <c r="ATO22" s="20" t="n">
        <v>0</v>
      </c>
      <c r="ATP22" s="20" t="n">
        <v>0</v>
      </c>
      <c r="ATQ22" s="20" t="n">
        <v>0</v>
      </c>
      <c r="ATR22" s="20" t="n">
        <v>0</v>
      </c>
      <c r="ATS22" s="20" t="n">
        <v>0</v>
      </c>
      <c r="ATT22" s="20" t="n">
        <v>0</v>
      </c>
      <c r="ATU22" s="20" t="n">
        <v>0</v>
      </c>
      <c r="ATV22" s="20" t="n">
        <v>0</v>
      </c>
      <c r="ATW22" s="20" t="n">
        <v>0</v>
      </c>
      <c r="ATX22" s="20" t="n">
        <v>0</v>
      </c>
      <c r="ATY22" s="20" t="n">
        <v>0</v>
      </c>
      <c r="ATZ22" s="20" t="n">
        <v>0</v>
      </c>
      <c r="AUA22" s="20" t="n">
        <v>0</v>
      </c>
      <c r="AUB22" s="20" t="n">
        <v>0</v>
      </c>
      <c r="AUC22" s="20" t="n">
        <v>0</v>
      </c>
      <c r="AUD22" s="20" t="n">
        <v>0</v>
      </c>
      <c r="AUE22" s="20" t="n">
        <v>0</v>
      </c>
      <c r="AUF22" s="20" t="n">
        <v>0</v>
      </c>
      <c r="AUG22" s="20" t="n">
        <v>0</v>
      </c>
      <c r="AUH22" s="20" t="n">
        <v>0</v>
      </c>
      <c r="AUI22" s="20" t="n">
        <v>0</v>
      </c>
      <c r="AUJ22" s="20" t="n">
        <v>0</v>
      </c>
      <c r="AUK22" s="20" t="n">
        <v>0</v>
      </c>
      <c r="AUL22" s="20" t="n">
        <v>0</v>
      </c>
      <c r="AUM22" s="20" t="n">
        <v>0</v>
      </c>
      <c r="AUN22" s="20" t="n">
        <v>0</v>
      </c>
      <c r="AUO22" s="20" t="n">
        <v>0</v>
      </c>
      <c r="AUP22" s="20" t="n">
        <v>0</v>
      </c>
      <c r="AUQ22" s="20" t="n">
        <v>0</v>
      </c>
      <c r="AUR22" s="20" t="n">
        <v>0</v>
      </c>
      <c r="AUS22" s="20" t="n">
        <v>0</v>
      </c>
      <c r="AUT22" s="20" t="n">
        <v>0</v>
      </c>
      <c r="AUU22" s="20" t="n">
        <v>0</v>
      </c>
      <c r="AUV22" s="20" t="n">
        <v>0</v>
      </c>
      <c r="AUW22" s="20" t="n">
        <v>0</v>
      </c>
      <c r="AUX22" s="20" t="n">
        <v>0</v>
      </c>
      <c r="AUY22" s="20" t="n">
        <v>0</v>
      </c>
      <c r="AUZ22" s="20" t="n">
        <v>0</v>
      </c>
      <c r="AVA22" s="20" t="n">
        <v>0</v>
      </c>
      <c r="AVB22" s="20" t="n">
        <v>0</v>
      </c>
      <c r="AVC22" s="20" t="n">
        <v>0</v>
      </c>
      <c r="AVD22" s="20" t="n">
        <v>0</v>
      </c>
      <c r="AVE22" s="20" t="n">
        <f aca="false">IF(AND(H_Direct=0,H_TaxEvt=1,ARR21+1&gt;=H_Deemed),MAX(0,ADR22-AHE22)*H_Exit,0)</f>
        <v>0</v>
      </c>
      <c r="AVF22" s="20" t="n">
        <f aca="false">IF(AND(H_Direct=0,H_TaxEvt=1,ARS21+1&gt;=H_Deemed),MAX(0,ADS22-AHF22)*H_Exit,0)</f>
        <v>0</v>
      </c>
      <c r="AVG22" s="20" t="n">
        <f aca="false">IF(AND(H_Direct=0,H_TaxEvt=1,ART21+1&gt;=H_Deemed),MAX(0,ADT22-AHG22)*H_Exit,0)</f>
        <v>0</v>
      </c>
      <c r="AVH22" s="20" t="n">
        <f aca="false">IF(AND(H_Direct=0,H_TaxEvt=1,ARU21+1&gt;=H_Deemed),MAX(0,ADU22-AHH22)*H_Exit,0)</f>
        <v>0</v>
      </c>
      <c r="AVI22" s="20" t="n">
        <f aca="false">IF(AND(H_Direct=0,H_TaxEvt=1,ARV21+1&gt;=H_Deemed),MAX(0,ADV22-AHI22)*H_Exit,0)</f>
        <v>0</v>
      </c>
      <c r="AVJ22" s="20" t="n">
        <f aca="false">IF(AND(H_Direct=0,H_TaxEvt=1,ARW21+1&gt;=H_Deemed),MAX(0,ADW22-AHJ22)*H_Exit,0)</f>
        <v>0</v>
      </c>
      <c r="AVK22" s="20" t="n">
        <f aca="false">IF(AND(H_Direct=0,H_TaxEvt=1,ARX21+1&gt;=H_Deemed),MAX(0,ADX22-AHK22)*H_Exit,0)</f>
        <v>0</v>
      </c>
      <c r="AVL22" s="20" t="n">
        <f aca="false">IF(AND(H_Direct=0,H_TaxEvt=1,ARY21+1&gt;=H_Deemed),MAX(0,ADY22-AHL22)*H_Exit,0)</f>
        <v>0</v>
      </c>
      <c r="AVM22" s="20" t="n">
        <f aca="false">IF(AND(H_Direct=0,H_TaxEvt=1,ARZ21+1&gt;=H_Deemed),MAX(0,ADZ22-AHM22)*H_Exit,0)</f>
        <v>0</v>
      </c>
      <c r="AVN22" s="20" t="n">
        <f aca="false">IF(AND(H_Direct=0,H_TaxEvt=1,ASA21+1&gt;=H_Deemed),MAX(0,AEA22-AHN22)*H_Exit,0)</f>
        <v>0</v>
      </c>
      <c r="AVO22" s="20" t="n">
        <f aca="false">IF(AND(H_Direct=0,H_TaxEvt=1,ASB21+1&gt;=H_Deemed),MAX(0,AEB22-AHO22)*H_Exit,0)</f>
        <v>0</v>
      </c>
      <c r="AVP22" s="20" t="n">
        <f aca="false">IF(AND(H_Direct=0,H_TaxEvt=1,ASC21+1&gt;=H_Deemed),MAX(0,AEC22-AHP22)*H_Exit,0)</f>
        <v>0</v>
      </c>
      <c r="AVQ22" s="20" t="n">
        <f aca="false">IF(AND(H_Direct=0,H_TaxEvt=1,ASD21+1&gt;=H_Deemed),MAX(0,AED22-AHQ22)*H_Exit,0)</f>
        <v>0</v>
      </c>
      <c r="AVR22" s="20" t="n">
        <f aca="false">IF(AND(H_Direct=0,H_TaxEvt=1,ASE21+1&gt;=H_Deemed),MAX(0,AEE22-AHR22)*H_Exit,0)</f>
        <v>0</v>
      </c>
      <c r="AVS22" s="20" t="n">
        <f aca="false">IF(AND(H_Direct=0,H_TaxEvt=1,ASF21+1&gt;=H_Deemed),MAX(0,AEF22-AHS22)*H_Exit,0)</f>
        <v>0</v>
      </c>
      <c r="AVT22" s="20" t="n">
        <f aca="false">IF(AND(H_Direct=0,H_TaxEvt=1,0+1&gt;=H_Deemed),MAX(0,AEG22-AHT22)*H_Exit,0)</f>
        <v>0</v>
      </c>
      <c r="AVU22" s="20" t="n">
        <v>0</v>
      </c>
      <c r="AVV22" s="20" t="n">
        <v>0</v>
      </c>
      <c r="AVW22" s="20" t="n">
        <v>0</v>
      </c>
      <c r="AVX22" s="20" t="n">
        <v>0</v>
      </c>
      <c r="AVY22" s="20" t="n">
        <v>0</v>
      </c>
      <c r="AVZ22" s="20" t="n">
        <v>0</v>
      </c>
      <c r="AWA22" s="20" t="n">
        <v>0</v>
      </c>
      <c r="AWB22" s="20" t="n">
        <v>0</v>
      </c>
      <c r="AWC22" s="20" t="n">
        <v>0</v>
      </c>
      <c r="AWD22" s="20" t="n">
        <v>0</v>
      </c>
      <c r="AWE22" s="20" t="n">
        <v>0</v>
      </c>
      <c r="AWF22" s="20" t="n">
        <v>0</v>
      </c>
      <c r="AWG22" s="20" t="n">
        <v>0</v>
      </c>
      <c r="AWH22" s="20" t="n">
        <v>0</v>
      </c>
      <c r="AWI22" s="20" t="n">
        <v>0</v>
      </c>
      <c r="AWJ22" s="20" t="n">
        <v>0</v>
      </c>
      <c r="AWK22" s="20" t="n">
        <v>0</v>
      </c>
      <c r="AWL22" s="20" t="n">
        <v>0</v>
      </c>
      <c r="AWM22" s="20" t="n">
        <v>0</v>
      </c>
      <c r="AWN22" s="20" t="n">
        <v>0</v>
      </c>
      <c r="AWO22" s="20" t="n">
        <v>0</v>
      </c>
      <c r="AWP22" s="20" t="n">
        <v>0</v>
      </c>
      <c r="AWQ22" s="20" t="n">
        <v>0</v>
      </c>
      <c r="AWR22" s="20" t="n">
        <v>0</v>
      </c>
      <c r="AWS22" s="20" t="n">
        <v>0</v>
      </c>
      <c r="AWT22" s="20" t="n">
        <v>0</v>
      </c>
      <c r="AWU22" s="20" t="n">
        <v>0</v>
      </c>
      <c r="AWV22" s="20" t="n">
        <v>0</v>
      </c>
      <c r="AWW22" s="20" t="n">
        <v>0</v>
      </c>
      <c r="AWX22" s="20" t="n">
        <v>0</v>
      </c>
      <c r="AWY22" s="20" t="n">
        <v>0</v>
      </c>
      <c r="AWZ22" s="20" t="n">
        <v>0</v>
      </c>
      <c r="AXA22" s="20" t="n">
        <v>0</v>
      </c>
      <c r="AXB22" s="20" t="n">
        <v>0</v>
      </c>
      <c r="AXC22" s="20" t="n">
        <v>0</v>
      </c>
      <c r="AXD22" s="20" t="n">
        <v>0</v>
      </c>
      <c r="AXE22" s="20" t="n">
        <v>0</v>
      </c>
      <c r="AXF22" s="20" t="n">
        <v>0</v>
      </c>
      <c r="AXG22" s="20" t="n">
        <v>0</v>
      </c>
      <c r="AXH22" s="20" t="n">
        <v>0</v>
      </c>
      <c r="AXI22" s="20" t="n">
        <v>0</v>
      </c>
      <c r="AXJ22" s="20" t="n">
        <v>0</v>
      </c>
      <c r="AXK22" s="20" t="n">
        <v>0</v>
      </c>
      <c r="AXL22" s="20" t="n">
        <v>0</v>
      </c>
      <c r="AXM22" s="20" t="n">
        <v>0</v>
      </c>
      <c r="AXN22" s="20" t="n">
        <v>0</v>
      </c>
      <c r="AXO22" s="20" t="n">
        <v>0</v>
      </c>
      <c r="AXP22" s="20" t="n">
        <v>0</v>
      </c>
      <c r="AXQ22" s="20" t="n">
        <v>0</v>
      </c>
      <c r="AXR22" s="20" t="n">
        <v>0</v>
      </c>
      <c r="AXS22" s="20" t="n">
        <v>0</v>
      </c>
      <c r="AXT22" s="20" t="n">
        <v>0</v>
      </c>
      <c r="AXU22" s="20" t="n">
        <v>0</v>
      </c>
      <c r="AXV22" s="20" t="n">
        <v>0</v>
      </c>
      <c r="AXW22" s="20" t="n">
        <v>0</v>
      </c>
      <c r="AXX22" s="20" t="n">
        <v>0</v>
      </c>
      <c r="AXY22" s="20" t="n">
        <v>0</v>
      </c>
      <c r="AXZ22" s="20" t="n">
        <v>0</v>
      </c>
      <c r="AYA22" s="20" t="n">
        <v>0</v>
      </c>
      <c r="AYB22" s="20" t="n">
        <v>0</v>
      </c>
      <c r="AYC22" s="20" t="n">
        <v>0</v>
      </c>
      <c r="AYD22" s="20" t="n">
        <v>0</v>
      </c>
      <c r="AYE22" s="20" t="n">
        <v>0</v>
      </c>
      <c r="AYF22" s="20" t="n">
        <v>0</v>
      </c>
      <c r="AYG22" s="20" t="n">
        <v>0</v>
      </c>
      <c r="AYH22" s="20" t="n">
        <v>0</v>
      </c>
      <c r="AYI22" s="20" t="n">
        <v>0</v>
      </c>
      <c r="AYJ22" s="20" t="n">
        <v>0</v>
      </c>
      <c r="AYK22" s="20" t="n">
        <v>0</v>
      </c>
      <c r="AYL22" s="20" t="n">
        <v>0</v>
      </c>
      <c r="AYM22" s="20" t="n">
        <v>0</v>
      </c>
      <c r="AYN22" s="20" t="n">
        <v>0</v>
      </c>
      <c r="AYO22" s="20" t="n">
        <v>0</v>
      </c>
      <c r="AYP22" s="20" t="n">
        <v>0</v>
      </c>
      <c r="AYQ22" s="20" t="n">
        <v>0</v>
      </c>
    </row>
    <row r="23" customFormat="false" ht="15" hidden="false" customHeight="false" outlineLevel="0" collapsed="false">
      <c r="B23" s="20" t="n">
        <v>15</v>
      </c>
      <c r="C23" s="20" t="n">
        <f aca="false">'Plan cashflow'!C23</f>
        <v>1</v>
      </c>
      <c r="D23" s="20" t="n">
        <f aca="false">'Plan cashflow'!D23</f>
        <v>53</v>
      </c>
      <c r="E23" s="20" t="n">
        <f aca="false">AS_Year0+15</f>
        <v>2041</v>
      </c>
      <c r="F23" s="50" t="n">
        <f aca="false">'Plan cashflow'!F23</f>
        <v>1.34586833832413</v>
      </c>
      <c r="G23" s="59" t="n">
        <f aca="true">IF(MAX(TODAY(),DATE(E23,1,1))&gt;=H_CGTfrom,H_CGT1,H_CGT0)</f>
        <v>0.31</v>
      </c>
      <c r="H23" s="20" t="n">
        <f aca="false">H_Exempt*H_Persons</f>
        <v>1270</v>
      </c>
      <c r="I23" s="20" t="n">
        <f aca="false">AX22</f>
        <v>0</v>
      </c>
      <c r="J23" s="60" t="n">
        <f aca="false">BF22</f>
        <v>6524.20140777459</v>
      </c>
      <c r="K23" s="60" t="n">
        <f aca="false">BG22</f>
        <v>0</v>
      </c>
      <c r="L23" s="20" t="n">
        <f aca="false">IF(AND(In_polLump&gt;0,In_polLumpAge&gt;0,D23=In_polLumpAge),In_polLump,0)</f>
        <v>0</v>
      </c>
      <c r="M23" s="20" t="n">
        <f aca="false">IF(AND(In_homeUse="Yes, I'd downsize",In_downAge&gt;0,D23=In_downAge,OR(In_home="Own outright",In_home="Own with mortgage"),In_homeValue&gt;0),MAX(0,MAX(0,In_homeValue-In_downValue)*F23*0.9-'Plan cashflow'!HR22),0)</f>
        <v>0</v>
      </c>
      <c r="N23" s="20" t="n">
        <f aca="false">'Plan pay &amp; tax'!Y249</f>
        <v>0</v>
      </c>
      <c r="O23" s="20" t="n">
        <f aca="false">L23+M23+(1-H_Sh)*N23</f>
        <v>0</v>
      </c>
      <c r="P23" s="20" t="n">
        <f aca="false">H_Sh*N23</f>
        <v>0</v>
      </c>
      <c r="Q23" s="20" t="n">
        <f aca="false">'Plan cashflow'!UL23</f>
        <v>0</v>
      </c>
      <c r="R23" s="20" t="n">
        <f aca="false">(1-H_Sh)*Q23</f>
        <v>0</v>
      </c>
      <c r="S23" s="20" t="n">
        <f aca="false">H_Sh*Q23</f>
        <v>0</v>
      </c>
      <c r="T23" s="20" t="n">
        <f aca="false">J23+K23+O23</f>
        <v>6524.20140777459</v>
      </c>
      <c r="U23" s="20" t="n">
        <f aca="false">T23+R23</f>
        <v>6524.20140777459</v>
      </c>
      <c r="V23" s="60" t="n">
        <f aca="false">SUM(FE23:IQ23)</f>
        <v>4530.3848152947</v>
      </c>
      <c r="W23" s="60" t="n">
        <f aca="false">IF(AJ23&lt;=0,0,IF(AL23&lt;=0,AJ23,AJ23-G23*MAX(0,AL23*AJ23-(AY23+AZ23))))</f>
        <v>0</v>
      </c>
      <c r="X23" s="60" t="n">
        <f aca="false">IF(AR23&lt;=0,0,IF(AT23&lt;=0,AR23,AR23-G23*MAX(0,AT23*AR23-(BA23+BB23))))</f>
        <v>0</v>
      </c>
      <c r="Y23" s="60" t="n">
        <f aca="false">T23+V23-S23+W23+X23</f>
        <v>11054.5862230693</v>
      </c>
      <c r="Z23" s="60" t="n">
        <f aca="false">'Plan cashflow'!UK23</f>
        <v>0</v>
      </c>
      <c r="AA23" s="20" t="n">
        <f aca="false">MIN(Z23,U23)</f>
        <v>0</v>
      </c>
      <c r="AB23" s="20" t="n">
        <f aca="false">Z23-AA23</f>
        <v>0</v>
      </c>
      <c r="AC23" s="20" t="n">
        <f aca="false">MIN(AA23,J23+O23+R23)</f>
        <v>0</v>
      </c>
      <c r="AD23" s="20" t="n">
        <f aca="false">AA23-AC23</f>
        <v>0</v>
      </c>
      <c r="AE23" s="20" t="n">
        <f aca="false">J23+O23+R23-AC23</f>
        <v>6524.20140777459</v>
      </c>
      <c r="AF23" s="20" t="n">
        <f aca="false">K23-AD23</f>
        <v>0</v>
      </c>
      <c r="AG23" s="20" t="n">
        <f aca="false">SUM(PR23:TD23)</f>
        <v>0</v>
      </c>
      <c r="AH23" s="20" t="n">
        <f aca="false">SUM(TE23:WQ23)</f>
        <v>0</v>
      </c>
      <c r="AI23" s="20" t="n">
        <f aca="false">MAX(0,AB23-AG23)</f>
        <v>0</v>
      </c>
      <c r="AJ23" s="57" t="n">
        <f aca="false">BI22</f>
        <v>0</v>
      </c>
      <c r="AK23" s="20" t="n">
        <f aca="false">BJ22</f>
        <v>0</v>
      </c>
      <c r="AL23" s="20" t="n">
        <f aca="false">IF(AJ23&gt;0,(AJ23-AK23)/AJ23,0)</f>
        <v>0</v>
      </c>
      <c r="AM23" s="20" t="n">
        <f aca="false">IF(AJ23&lt;=0,0,IF(AL23&lt;=0,MIN(AI23,AJ23),MIN(AI23,AJ23-G23*MAX(0,AL23*AJ23-(AAD23+ADQ23)))))</f>
        <v>0</v>
      </c>
      <c r="AN23" s="20" t="n">
        <f aca="false">IF(AJ23&lt;=0,0,IF(AL23&lt;=0,AM23,IF(AM23&lt;=(AAD23+ADQ23)/AL23,AM23,(AM23-G23*(AAD23+ADQ23))/(1-G23*AL23))))</f>
        <v>0</v>
      </c>
      <c r="AO23" s="20" t="n">
        <f aca="false">IF(AL23&gt;0,MAX(0,AAD23-(MIN(AL23*AN23,(AAD23+ADQ23))-MIN(MIN(AL23*AN23,(AAD23+ADQ23)),ADQ23))),AAD23)</f>
        <v>1270</v>
      </c>
      <c r="AP23" s="20" t="n">
        <f aca="false">IF(AL23&lt;=0,ADQ23-AL23*AN23,ADQ23-MIN(MIN(AL23*AN23,(AAD23+ADQ23)),ADQ23))</f>
        <v>0</v>
      </c>
      <c r="AQ23" s="20" t="n">
        <f aca="false">MAX(0,AI23-AM23)</f>
        <v>0</v>
      </c>
      <c r="AR23" s="57" t="n">
        <f aca="false">BK22</f>
        <v>0</v>
      </c>
      <c r="AS23" s="20" t="n">
        <f aca="false">BL22</f>
        <v>0</v>
      </c>
      <c r="AT23" s="20" t="n">
        <f aca="false">IF(AR23&gt;0,(AR23-AS23)/AR23,0)</f>
        <v>0</v>
      </c>
      <c r="AU23" s="20" t="n">
        <f aca="false">IF(AR23&lt;=0,0,IF(AT23&lt;=0,MIN(AQ23,AR23),MIN(AQ23,AR23-G23*MAX(0,AT23*AR23-(AO23+AP23)))))</f>
        <v>0</v>
      </c>
      <c r="AV23" s="20" t="n">
        <f aca="false">IF(AR23&lt;=0,0,IF(AT23&lt;=0,AU23,IF(AU23&lt;=(AO23+AP23)/AT23,AU23,(AU23-G23*(AO23+AP23))/(1-G23*AT23))))</f>
        <v>0</v>
      </c>
      <c r="AW23" s="20" t="n">
        <f aca="false">IF(AT23&gt;0,MAX(0,AO23-(MIN(AT23*AV23,(AO23+AP23))-MIN(MIN(AT23*AV23,(AO23+AP23)),AP23))),AO23)</f>
        <v>1270</v>
      </c>
      <c r="AX23" s="20" t="n">
        <f aca="false">IF(AT23&lt;=0,AP23-AT23*AV23,AP23-MIN(MIN(AT23*AV23,(AO23+AP23)),AP23))</f>
        <v>0</v>
      </c>
      <c r="AY23" s="20" t="n">
        <f aca="false">MD23</f>
        <v>1270</v>
      </c>
      <c r="AZ23" s="20" t="n">
        <f aca="false">PQ23</f>
        <v>0</v>
      </c>
      <c r="BA23" s="20" t="n">
        <f aca="false">IF(AL23&gt;0,MAX(0,AY23-(MIN(AL23*AJ23,AY23+AZ23)-MIN(MIN(AL23*AJ23,AY23+AZ23),AZ23))),AY23)</f>
        <v>1270</v>
      </c>
      <c r="BB23" s="20" t="n">
        <f aca="false">IF(AL23&lt;=0,AZ23-AL23*AJ23,AZ23-MIN(MIN(AL23*AJ23,AY23+AZ23),AZ23))</f>
        <v>0</v>
      </c>
      <c r="BC23" s="20" t="n">
        <f aca="false">'Plan cashflow'!UM23</f>
        <v>2601.90354642439</v>
      </c>
      <c r="BD23" s="20" t="n">
        <f aca="false">(1-H_Sh)*BC23</f>
        <v>1561.14212785464</v>
      </c>
      <c r="BE23" s="20" t="n">
        <f aca="false">H_Sh*BC23</f>
        <v>1040.76141856976</v>
      </c>
      <c r="BF23" s="60" t="n">
        <f aca="false">(AE23+BD23)*(1+AS_Cash)</f>
        <v>8166.19697098552</v>
      </c>
      <c r="BG23" s="60" t="n">
        <f aca="false">AF23*(1+AS_Cash)</f>
        <v>0</v>
      </c>
      <c r="BH23" s="60" t="n">
        <f aca="false">SUM(AKR23:AOD23)</f>
        <v>5982.76514859252</v>
      </c>
      <c r="BI23" s="60" t="n">
        <f aca="false">(AJ23-AN23)*(1+AS_Infl)</f>
        <v>0</v>
      </c>
      <c r="BJ23" s="20" t="n">
        <f aca="false">IF(AJ23&gt;0,AK23-AK23*AN23/AJ23,0)</f>
        <v>0</v>
      </c>
      <c r="BK23" s="60" t="n">
        <f aca="false">(AR23-AV23)*(1+BQ23)</f>
        <v>0</v>
      </c>
      <c r="BL23" s="20" t="n">
        <f aca="false">IF(AR23&gt;0,AS23-AS23*AV23/AR23,0)</f>
        <v>0</v>
      </c>
      <c r="BM23" s="60" t="n">
        <f aca="false">BF23+BG23+BH23+BI23+BK23</f>
        <v>14148.962119578</v>
      </c>
      <c r="BN23" s="60" t="n">
        <f aca="false">(AH23-AG23)+(AN23-AM23)+(AV23-AU23)</f>
        <v>0</v>
      </c>
      <c r="BO23" s="20" t="n">
        <f aca="false">(AE23+BD23+AF23+MAX(0,'Plan cashflow'!QH23)+IF(Slot1_Rate=AS_Cash,'Plan cashflow'!QM23/(1+AS_Cash),0)+IF(Slot2_Rate=AS_Cash,'Plan cashflow'!QQ23/(1+AS_Cash),0)+IF(Slot3_Rate=AS_Cash,'Plan cashflow'!QU23/(1+AS_Cash),0)+IF(Slot4_Rate=AS_Cash,'Plan cashflow'!QY23/(1+AS_Cash),0)+IF(Slot5_Rate=AS_Cash,'Plan cashflow'!RC23/(1+AS_Cash),0)+IF(Slot6_Rate=AS_Cash,'Plan cashflow'!RG23/(1+AS_Cash),0)+IF(Slot7_Rate=AS_Cash,'Plan cashflow'!RK23/(1+AS_Cash),0)+IF(Slot8_Rate=AS_Cash,'Plan cashflow'!RO23/(1+AS_Cash),0)+IF(Slot9_Rate=AS_Cash,'Plan cashflow'!RS23/(1+AS_Cash),0)+IF(Slot10_Rate=AS_Cash,'Plan cashflow'!RW23/(1+AS_Cash),0)+IF(Slot11_Rate=AS_Cash,'Plan cashflow'!SA23/(1+AS_Cash),0)+IF(Slot12_Rate=AS_Cash,'Plan cashflow'!SE23/(1+AS_Cash),0)+IF(Slot13_Rate=AS_Cash,'Plan cashflow'!SI23/(1+AS_Cash),0)+IF(Slot14_Rate=AS_Cash,'Plan cashflow'!SM23/(1+AS_Cash),0)+IF(Slot15_Rate=AS_Cash,'Plan cashflow'!SQ23/(1+AS_Cash),0)+IF(Slot16_Rate=AS_Cash,'Plan cashflow'!SU23/(1+AS_Cash),0)+IF(Slot17_Rate=AS_Cash,'Plan cashflow'!SY23/(1+AS_Cash),0)+IF(Slot18_Rate=AS_Cash,'Plan cashflow'!TC23/(1+AS_Cash),0)+IF(Slot19_Rate=AS_Cash,'Plan cashflow'!TG23/(1+AS_Cash),0)+IF(Slot20_Rate=AS_Cash,'Plan cashflow'!TK23/(1+AS_Cash),0))*AS_Cash*H_DIRT/(1-H_DIRT)</f>
        <v>103.605575364552</v>
      </c>
      <c r="BP23" s="60" t="n">
        <f aca="false">SUM(AVE23:AYQ23)</f>
        <v>0</v>
      </c>
      <c r="BQ23" s="54" t="n">
        <f aca="false">IF(H_TaxEvt=1,H_InvG,AS_Inv)</f>
        <v>0.04</v>
      </c>
      <c r="BR23" s="20" t="n">
        <f aca="false">IF(AKR22&gt;0,(AKR22-AOE22)/AKR22,0)</f>
        <v>0</v>
      </c>
      <c r="BS23" s="20" t="n">
        <f aca="false">IF(AKS22&gt;0,(AKS22-AOF22)/AKS22,0)</f>
        <v>0</v>
      </c>
      <c r="BT23" s="20" t="n">
        <f aca="false">IF(AKT22&gt;0,(AKT22-AOG22)/AKT22,0)</f>
        <v>0</v>
      </c>
      <c r="BU23" s="20" t="n">
        <f aca="false">IF(AKU22&gt;0,(AKU22-AOH22)/AKU22,0)</f>
        <v>0</v>
      </c>
      <c r="BV23" s="20" t="n">
        <f aca="false">IF(AKV22&gt;0,(AKV22-AOI22)/AKV22,0)</f>
        <v>0</v>
      </c>
      <c r="BW23" s="20" t="n">
        <f aca="false">IF(AKW22&gt;0,(AKW22-AOJ22)/AKW22,0)</f>
        <v>0</v>
      </c>
      <c r="BX23" s="20" t="n">
        <f aca="false">IF(AKX22&gt;0,(AKX22-AOK22)/AKX22,0)</f>
        <v>0</v>
      </c>
      <c r="BY23" s="20" t="n">
        <f aca="false">IF(AKY22&gt;0,(AKY22-AOL22)/AKY22,0)</f>
        <v>0</v>
      </c>
      <c r="BZ23" s="20" t="n">
        <f aca="false">IF(AKZ22&gt;0,(AKZ22-AOM22)/AKZ22,0)</f>
        <v>0</v>
      </c>
      <c r="CA23" s="20" t="n">
        <f aca="false">IF(ALA22&gt;0,(ALA22-AON22)/ALA22,0)</f>
        <v>0</v>
      </c>
      <c r="CB23" s="20" t="n">
        <f aca="false">IF(ALB22&gt;0,(ALB22-AOO22)/ALB22,0)</f>
        <v>0</v>
      </c>
      <c r="CC23" s="20" t="n">
        <f aca="false">IF(ALC22&gt;0,(ALC22-AOP22)/ALC22,0)</f>
        <v>0.178072893240648</v>
      </c>
      <c r="CD23" s="20" t="n">
        <f aca="false">IF(ALD22&gt;0,(ALD22-AOQ22)/ALD22,0)</f>
        <v>0.145195808970274</v>
      </c>
      <c r="CE23" s="20" t="n">
        <f aca="false">IF(ALE22&gt;0,(ALE22-AOR22)/ALE22,0)</f>
        <v>0.111003641329085</v>
      </c>
      <c r="CF23" s="20" t="n">
        <f aca="false">IF(ALF22&gt;0,(ALF22-AOS22)/ALF22,0)</f>
        <v>0.0754437869822486</v>
      </c>
      <c r="CG23" s="20" t="n">
        <f aca="false">IF(ALG22&gt;0,(ALG22-AOT22)/ALG22,0)</f>
        <v>0.0384615384615385</v>
      </c>
      <c r="CH23" s="20" t="n">
        <f aca="false">IF((P23+S23)&gt;0,((P23+S23)-(P23+S23))/(P23+S23),0)</f>
        <v>0</v>
      </c>
      <c r="CI23" s="20" t="n">
        <v>0</v>
      </c>
      <c r="CJ23" s="20" t="n">
        <v>0</v>
      </c>
      <c r="CK23" s="20" t="n">
        <v>0</v>
      </c>
      <c r="CL23" s="20" t="n">
        <v>0</v>
      </c>
      <c r="CM23" s="20" t="n">
        <v>0</v>
      </c>
      <c r="CN23" s="20" t="n">
        <v>0</v>
      </c>
      <c r="CO23" s="20" t="n">
        <v>0</v>
      </c>
      <c r="CP23" s="20" t="n">
        <v>0</v>
      </c>
      <c r="CQ23" s="20" t="n">
        <v>0</v>
      </c>
      <c r="CR23" s="20" t="n">
        <v>0</v>
      </c>
      <c r="CS23" s="20" t="n">
        <v>0</v>
      </c>
      <c r="CT23" s="20" t="n">
        <v>0</v>
      </c>
      <c r="CU23" s="20" t="n">
        <v>0</v>
      </c>
      <c r="CV23" s="20" t="n">
        <v>0</v>
      </c>
      <c r="CW23" s="20" t="n">
        <v>0</v>
      </c>
      <c r="CX23" s="20" t="n">
        <v>0</v>
      </c>
      <c r="CY23" s="20" t="n">
        <v>0</v>
      </c>
      <c r="CZ23" s="20" t="n">
        <v>0</v>
      </c>
      <c r="DA23" s="20" t="n">
        <v>0</v>
      </c>
      <c r="DB23" s="20" t="n">
        <v>0</v>
      </c>
      <c r="DC23" s="20" t="n">
        <v>0</v>
      </c>
      <c r="DD23" s="20" t="n">
        <v>0</v>
      </c>
      <c r="DE23" s="20" t="n">
        <v>0</v>
      </c>
      <c r="DF23" s="20" t="n">
        <v>0</v>
      </c>
      <c r="DG23" s="20" t="n">
        <v>0</v>
      </c>
      <c r="DH23" s="20" t="n">
        <v>0</v>
      </c>
      <c r="DI23" s="20" t="n">
        <v>0</v>
      </c>
      <c r="DJ23" s="20" t="n">
        <v>0</v>
      </c>
      <c r="DK23" s="20" t="n">
        <v>0</v>
      </c>
      <c r="DL23" s="20" t="n">
        <v>0</v>
      </c>
      <c r="DM23" s="20" t="n">
        <v>0</v>
      </c>
      <c r="DN23" s="20" t="n">
        <v>0</v>
      </c>
      <c r="DO23" s="20" t="n">
        <v>0</v>
      </c>
      <c r="DP23" s="20" t="n">
        <v>0</v>
      </c>
      <c r="DQ23" s="20" t="n">
        <v>0</v>
      </c>
      <c r="DR23" s="20" t="n">
        <v>0</v>
      </c>
      <c r="DS23" s="20" t="n">
        <v>0</v>
      </c>
      <c r="DT23" s="20" t="n">
        <v>0</v>
      </c>
      <c r="DU23" s="20" t="n">
        <v>0</v>
      </c>
      <c r="DV23" s="20" t="n">
        <v>0</v>
      </c>
      <c r="DW23" s="20" t="n">
        <v>0</v>
      </c>
      <c r="DX23" s="20" t="n">
        <v>0</v>
      </c>
      <c r="DY23" s="20" t="n">
        <v>0</v>
      </c>
      <c r="DZ23" s="20" t="n">
        <v>0</v>
      </c>
      <c r="EA23" s="20" t="n">
        <v>0</v>
      </c>
      <c r="EB23" s="20" t="n">
        <v>0</v>
      </c>
      <c r="EC23" s="20" t="n">
        <v>0</v>
      </c>
      <c r="ED23" s="20" t="n">
        <v>0</v>
      </c>
      <c r="EE23" s="20" t="n">
        <v>0</v>
      </c>
      <c r="EF23" s="20" t="n">
        <v>0</v>
      </c>
      <c r="EG23" s="20" t="n">
        <v>0</v>
      </c>
      <c r="EH23" s="20" t="n">
        <v>0</v>
      </c>
      <c r="EI23" s="20" t="n">
        <v>0</v>
      </c>
      <c r="EJ23" s="20" t="n">
        <v>0</v>
      </c>
      <c r="EK23" s="20" t="n">
        <v>0</v>
      </c>
      <c r="EL23" s="20" t="n">
        <v>0</v>
      </c>
      <c r="EM23" s="20" t="n">
        <v>0</v>
      </c>
      <c r="EN23" s="20" t="n">
        <v>0</v>
      </c>
      <c r="EO23" s="20" t="n">
        <v>0</v>
      </c>
      <c r="EP23" s="20" t="n">
        <v>0</v>
      </c>
      <c r="EQ23" s="20" t="n">
        <v>0</v>
      </c>
      <c r="ER23" s="20" t="n">
        <v>0</v>
      </c>
      <c r="ES23" s="20" t="n">
        <v>0</v>
      </c>
      <c r="ET23" s="20" t="n">
        <v>0</v>
      </c>
      <c r="EU23" s="20" t="n">
        <v>0</v>
      </c>
      <c r="EV23" s="20" t="n">
        <v>0</v>
      </c>
      <c r="EW23" s="20" t="n">
        <v>0</v>
      </c>
      <c r="EX23" s="20" t="n">
        <v>0</v>
      </c>
      <c r="EY23" s="20" t="n">
        <v>0</v>
      </c>
      <c r="EZ23" s="20" t="n">
        <v>0</v>
      </c>
      <c r="FA23" s="20" t="n">
        <v>0</v>
      </c>
      <c r="FB23" s="20" t="n">
        <v>0</v>
      </c>
      <c r="FC23" s="20" t="n">
        <v>0</v>
      </c>
      <c r="FD23" s="20" t="n">
        <v>0</v>
      </c>
      <c r="FE23" s="20" t="n">
        <f aca="false">IF(H_Direct=1,IF(AKR22&lt;=0,0,IF(BR23&lt;=0,AKR22,AKR22-G23*MAX(0,BR23*AKR22-(H23+I23)))),AKR22*(1-MAX(0,BR23)*H_Exit))</f>
        <v>0</v>
      </c>
      <c r="FF23" s="20" t="n">
        <f aca="false">IF(H_Direct=1,IF(AKS22&lt;=0,0,IF(BS23&lt;=0,AKS22,AKS22-G23*MAX(0,BS23*AKS22-(IR23+ME23)))),AKS22*(1-MAX(0,BS23)*H_Exit))</f>
        <v>0</v>
      </c>
      <c r="FG23" s="20" t="n">
        <f aca="false">IF(H_Direct=1,IF(AKT22&lt;=0,0,IF(BT23&lt;=0,AKT22,AKT22-G23*MAX(0,BT23*AKT22-(IS23+MF23)))),AKT22*(1-MAX(0,BT23)*H_Exit))</f>
        <v>0</v>
      </c>
      <c r="FH23" s="20" t="n">
        <f aca="false">IF(H_Direct=1,IF(AKU22&lt;=0,0,IF(BU23&lt;=0,AKU22,AKU22-G23*MAX(0,BU23*AKU22-(IT23+MG23)))),AKU22*(1-MAX(0,BU23)*H_Exit))</f>
        <v>0</v>
      </c>
      <c r="FI23" s="20" t="n">
        <f aca="false">IF(H_Direct=1,IF(AKV22&lt;=0,0,IF(BV23&lt;=0,AKV22,AKV22-G23*MAX(0,BV23*AKV22-(IU23+MH23)))),AKV22*(1-MAX(0,BV23)*H_Exit))</f>
        <v>0</v>
      </c>
      <c r="FJ23" s="20" t="n">
        <f aca="false">IF(H_Direct=1,IF(AKW22&lt;=0,0,IF(BW23&lt;=0,AKW22,AKW22-G23*MAX(0,BW23*AKW22-(IV23+MI23)))),AKW22*(1-MAX(0,BW23)*H_Exit))</f>
        <v>0</v>
      </c>
      <c r="FK23" s="20" t="n">
        <f aca="false">IF(H_Direct=1,IF(AKX22&lt;=0,0,IF(BX23&lt;=0,AKX22,AKX22-G23*MAX(0,BX23*AKX22-(IW23+MJ23)))),AKX22*(1-MAX(0,BX23)*H_Exit))</f>
        <v>0</v>
      </c>
      <c r="FL23" s="20" t="n">
        <f aca="false">IF(H_Direct=1,IF(AKY22&lt;=0,0,IF(BY23&lt;=0,AKY22,AKY22-G23*MAX(0,BY23*AKY22-(IX23+MK23)))),AKY22*(1-MAX(0,BY23)*H_Exit))</f>
        <v>0</v>
      </c>
      <c r="FM23" s="20" t="n">
        <f aca="false">IF(H_Direct=1,IF(AKZ22&lt;=0,0,IF(BZ23&lt;=0,AKZ22,AKZ22-G23*MAX(0,BZ23*AKZ22-(IY23+ML23)))),AKZ22*(1-MAX(0,BZ23)*H_Exit))</f>
        <v>0</v>
      </c>
      <c r="FN23" s="20" t="n">
        <f aca="false">IF(H_Direct=1,IF(ALA22&lt;=0,0,IF(CA23&lt;=0,ALA22,ALA22-G23*MAX(0,CA23*ALA22-(IZ23+MM23)))),ALA22*(1-MAX(0,CA23)*H_Exit))</f>
        <v>0</v>
      </c>
      <c r="FO23" s="20" t="n">
        <f aca="false">IF(H_Direct=1,IF(ALB22&lt;=0,0,IF(CB23&lt;=0,ALB22,ALB22-G23*MAX(0,CB23*ALB22-(JA23+MN23)))),ALB22*(1-MAX(0,CB23)*H_Exit))</f>
        <v>0</v>
      </c>
      <c r="FP23" s="20" t="n">
        <f aca="false">IF(H_Direct=1,IF(ALC22&lt;=0,0,IF(CC23&lt;=0,ALC22,ALC22-G23*MAX(0,CC23*ALC22-(JB23+MO23)))),ALC22*(1-MAX(0,CC23)*H_Exit))</f>
        <v>620.109187992313</v>
      </c>
      <c r="FQ23" s="20" t="n">
        <f aca="false">IF(H_Direct=1,IF(ALD22&lt;=0,0,IF(CD23&lt;=0,ALD22,ALD22-G23*MAX(0,CD23*ALD22-(JC23+MP23)))),ALD22*(1-MAX(0,CD23)*H_Exit))</f>
        <v>790.530699000034</v>
      </c>
      <c r="FR23" s="20" t="n">
        <f aca="false">IF(H_Direct=1,IF(ALE22&lt;=0,0,IF(CE23&lt;=0,ALE22,ALE22-G23*MAX(0,CE23*ALE22-(JD23+MQ23)))),ALE22*(1-MAX(0,CE23)*H_Exit))</f>
        <v>959.054083651849</v>
      </c>
      <c r="FS23" s="20" t="n">
        <f aca="false">IF(H_Direct=1,IF(ALF22&lt;=0,0,IF(CF23&lt;=0,ALF22,ALF22-G23*MAX(0,CF23*ALF22-(JE23+MR23)))),ALF22*(1-MAX(0,CF23)*H_Exit))</f>
        <v>1093.67613996743</v>
      </c>
      <c r="FT23" s="20" t="n">
        <f aca="false">IF(H_Direct=1,IF(ALG22&lt;=0,0,IF(CG23&lt;=0,ALG22,ALG22-G23*MAX(0,CG23*ALG22-(JF23+MS23)))),ALG22*(1-MAX(0,CG23)*H_Exit))</f>
        <v>1067.01470468308</v>
      </c>
      <c r="FU23" s="20" t="n">
        <f aca="false">IF(H_Direct=1,IF((P23+S23)&lt;=0,0,IF(CH23&lt;=0,(P23+S23),(P23+S23)-G23*MAX(0,CH23*(P23+S23)-(JG23+MT23)))),(P23+S23)*(1-MAX(0,CH23)*H_Exit))</f>
        <v>0</v>
      </c>
      <c r="FV23" s="20" t="n">
        <v>0</v>
      </c>
      <c r="FW23" s="20" t="n">
        <v>0</v>
      </c>
      <c r="FX23" s="20" t="n">
        <v>0</v>
      </c>
      <c r="FY23" s="20" t="n">
        <v>0</v>
      </c>
      <c r="FZ23" s="20" t="n">
        <v>0</v>
      </c>
      <c r="GA23" s="20" t="n">
        <v>0</v>
      </c>
      <c r="GB23" s="20" t="n">
        <v>0</v>
      </c>
      <c r="GC23" s="20" t="n">
        <v>0</v>
      </c>
      <c r="GD23" s="20" t="n">
        <v>0</v>
      </c>
      <c r="GE23" s="20" t="n">
        <v>0</v>
      </c>
      <c r="GF23" s="20" t="n">
        <v>0</v>
      </c>
      <c r="GG23" s="20" t="n">
        <v>0</v>
      </c>
      <c r="GH23" s="20" t="n">
        <v>0</v>
      </c>
      <c r="GI23" s="20" t="n">
        <v>0</v>
      </c>
      <c r="GJ23" s="20" t="n">
        <v>0</v>
      </c>
      <c r="GK23" s="20" t="n">
        <v>0</v>
      </c>
      <c r="GL23" s="20" t="n">
        <v>0</v>
      </c>
      <c r="GM23" s="20" t="n">
        <v>0</v>
      </c>
      <c r="GN23" s="20" t="n">
        <v>0</v>
      </c>
      <c r="GO23" s="20" t="n">
        <v>0</v>
      </c>
      <c r="GP23" s="20" t="n">
        <v>0</v>
      </c>
      <c r="GQ23" s="20" t="n">
        <v>0</v>
      </c>
      <c r="GR23" s="20" t="n">
        <v>0</v>
      </c>
      <c r="GS23" s="20" t="n">
        <v>0</v>
      </c>
      <c r="GT23" s="20" t="n">
        <v>0</v>
      </c>
      <c r="GU23" s="20" t="n">
        <v>0</v>
      </c>
      <c r="GV23" s="20" t="n">
        <v>0</v>
      </c>
      <c r="GW23" s="20" t="n">
        <v>0</v>
      </c>
      <c r="GX23" s="20" t="n">
        <v>0</v>
      </c>
      <c r="GY23" s="20" t="n">
        <v>0</v>
      </c>
      <c r="GZ23" s="20" t="n">
        <v>0</v>
      </c>
      <c r="HA23" s="20" t="n">
        <v>0</v>
      </c>
      <c r="HB23" s="20" t="n">
        <v>0</v>
      </c>
      <c r="HC23" s="20" t="n">
        <v>0</v>
      </c>
      <c r="HD23" s="20" t="n">
        <v>0</v>
      </c>
      <c r="HE23" s="20" t="n">
        <v>0</v>
      </c>
      <c r="HF23" s="20" t="n">
        <v>0</v>
      </c>
      <c r="HG23" s="20" t="n">
        <v>0</v>
      </c>
      <c r="HH23" s="20" t="n">
        <v>0</v>
      </c>
      <c r="HI23" s="20" t="n">
        <v>0</v>
      </c>
      <c r="HJ23" s="20" t="n">
        <v>0</v>
      </c>
      <c r="HK23" s="20" t="n">
        <v>0</v>
      </c>
      <c r="HL23" s="20" t="n">
        <v>0</v>
      </c>
      <c r="HM23" s="20" t="n">
        <v>0</v>
      </c>
      <c r="HN23" s="20" t="n">
        <v>0</v>
      </c>
      <c r="HO23" s="20" t="n">
        <v>0</v>
      </c>
      <c r="HP23" s="20" t="n">
        <v>0</v>
      </c>
      <c r="HQ23" s="20" t="n">
        <v>0</v>
      </c>
      <c r="HR23" s="20" t="n">
        <v>0</v>
      </c>
      <c r="HS23" s="20" t="n">
        <v>0</v>
      </c>
      <c r="HT23" s="20" t="n">
        <v>0</v>
      </c>
      <c r="HU23" s="20" t="n">
        <v>0</v>
      </c>
      <c r="HV23" s="20" t="n">
        <v>0</v>
      </c>
      <c r="HW23" s="20" t="n">
        <v>0</v>
      </c>
      <c r="HX23" s="20" t="n">
        <v>0</v>
      </c>
      <c r="HY23" s="20" t="n">
        <v>0</v>
      </c>
      <c r="HZ23" s="20" t="n">
        <v>0</v>
      </c>
      <c r="IA23" s="20" t="n">
        <v>0</v>
      </c>
      <c r="IB23" s="20" t="n">
        <v>0</v>
      </c>
      <c r="IC23" s="20" t="n">
        <v>0</v>
      </c>
      <c r="ID23" s="20" t="n">
        <v>0</v>
      </c>
      <c r="IE23" s="20" t="n">
        <v>0</v>
      </c>
      <c r="IF23" s="20" t="n">
        <v>0</v>
      </c>
      <c r="IG23" s="20" t="n">
        <v>0</v>
      </c>
      <c r="IH23" s="20" t="n">
        <v>0</v>
      </c>
      <c r="II23" s="20" t="n">
        <v>0</v>
      </c>
      <c r="IJ23" s="20" t="n">
        <v>0</v>
      </c>
      <c r="IK23" s="20" t="n">
        <v>0</v>
      </c>
      <c r="IL23" s="20" t="n">
        <v>0</v>
      </c>
      <c r="IM23" s="20" t="n">
        <v>0</v>
      </c>
      <c r="IN23" s="20" t="n">
        <v>0</v>
      </c>
      <c r="IO23" s="20" t="n">
        <v>0</v>
      </c>
      <c r="IP23" s="20" t="n">
        <v>0</v>
      </c>
      <c r="IQ23" s="20" t="n">
        <v>0</v>
      </c>
      <c r="IR23" s="20" t="n">
        <f aca="false">IF(AND(H_Direct=1,BR23&gt;0),MAX(0,H23-(MIN(BR23*AKR22,H23+I23)-MIN(MIN(BR23*AKR22,H23+I23),I23))),H23)</f>
        <v>1270</v>
      </c>
      <c r="IS23" s="20" t="n">
        <f aca="false">IF(AND(H_Direct=1,BS23&gt;0),MAX(0,IR23-(MIN(BS23*AKS22,IR23+ME23)-MIN(MIN(BS23*AKS22,IR23+ME23),ME23))),IR23)</f>
        <v>1270</v>
      </c>
      <c r="IT23" s="20" t="n">
        <f aca="false">IF(AND(H_Direct=1,BT23&gt;0),MAX(0,IS23-(MIN(BT23*AKT22,IS23+MF23)-MIN(MIN(BT23*AKT22,IS23+MF23),MF23))),IS23)</f>
        <v>1270</v>
      </c>
      <c r="IU23" s="20" t="n">
        <f aca="false">IF(AND(H_Direct=1,BU23&gt;0),MAX(0,IT23-(MIN(BU23*AKU22,IT23+MG23)-MIN(MIN(BU23*AKU22,IT23+MG23),MG23))),IT23)</f>
        <v>1270</v>
      </c>
      <c r="IV23" s="20" t="n">
        <f aca="false">IF(AND(H_Direct=1,BV23&gt;0),MAX(0,IU23-(MIN(BV23*AKV22,IU23+MH23)-MIN(MIN(BV23*AKV22,IU23+MH23),MH23))),IU23)</f>
        <v>1270</v>
      </c>
      <c r="IW23" s="20" t="n">
        <f aca="false">IF(AND(H_Direct=1,BW23&gt;0),MAX(0,IV23-(MIN(BW23*AKW22,IV23+MI23)-MIN(MIN(BW23*AKW22,IV23+MI23),MI23))),IV23)</f>
        <v>1270</v>
      </c>
      <c r="IX23" s="20" t="n">
        <f aca="false">IF(AND(H_Direct=1,BX23&gt;0),MAX(0,IW23-(MIN(BX23*AKX22,IW23+MJ23)-MIN(MIN(BX23*AKX22,IW23+MJ23),MJ23))),IW23)</f>
        <v>1270</v>
      </c>
      <c r="IY23" s="20" t="n">
        <f aca="false">IF(AND(H_Direct=1,BY23&gt;0),MAX(0,IX23-(MIN(BY23*AKY22,IX23+MK23)-MIN(MIN(BY23*AKY22,IX23+MK23),MK23))),IX23)</f>
        <v>1270</v>
      </c>
      <c r="IZ23" s="20" t="n">
        <f aca="false">IF(AND(H_Direct=1,BZ23&gt;0),MAX(0,IY23-(MIN(BZ23*AKZ22,IY23+ML23)-MIN(MIN(BZ23*AKZ22,IY23+ML23),ML23))),IY23)</f>
        <v>1270</v>
      </c>
      <c r="JA23" s="20" t="n">
        <f aca="false">IF(AND(H_Direct=1,CA23&gt;0),MAX(0,IZ23-(MIN(CA23*ALA22,IZ23+MM23)-MIN(MIN(CA23*ALA22,IZ23+MM23),MM23))),IZ23)</f>
        <v>1270</v>
      </c>
      <c r="JB23" s="20" t="n">
        <f aca="false">IF(AND(H_Direct=1,CB23&gt;0),MAX(0,JA23-(MIN(CB23*ALB22,JA23+MN23)-MIN(MIN(CB23*ALB22,JA23+MN23),MN23))),JA23)</f>
        <v>1270</v>
      </c>
      <c r="JC23" s="20" t="n">
        <f aca="false">IF(AND(H_Direct=1,CC23&gt;0),MAX(0,JB23-(MIN(CC23*ALC22,JB23+MO23)-MIN(MIN(CC23*ALC22,JB23+MO23),MO23))),JB23)</f>
        <v>1270</v>
      </c>
      <c r="JD23" s="20" t="n">
        <f aca="false">IF(AND(H_Direct=1,CD23&gt;0),MAX(0,JC23-(MIN(CD23*ALD22,JC23+MP23)-MIN(MIN(CD23*ALD22,JC23+MP23),MP23))),JC23)</f>
        <v>1270</v>
      </c>
      <c r="JE23" s="20" t="n">
        <f aca="false">IF(AND(H_Direct=1,CE23&gt;0),MAX(0,JD23-(MIN(CE23*ALE22,JD23+MQ23)-MIN(MIN(CE23*ALE22,JD23+MQ23),MQ23))),JD23)</f>
        <v>1270</v>
      </c>
      <c r="JF23" s="20" t="n">
        <f aca="false">IF(AND(H_Direct=1,CF23&gt;0),MAX(0,JE23-(MIN(CF23*ALF22,JE23+MR23)-MIN(MIN(CF23*ALF22,JE23+MR23),MR23))),JE23)</f>
        <v>1270</v>
      </c>
      <c r="JG23" s="20" t="n">
        <f aca="false">IF(AND(H_Direct=1,CG23&gt;0),MAX(0,JF23-(MIN(CG23*ALG22,JF23+MS23)-MIN(MIN(CG23*ALG22,JF23+MS23),MS23))),JF23)</f>
        <v>1270</v>
      </c>
      <c r="JH23" s="20" t="n">
        <f aca="false">IF(AND(H_Direct=1,CH23&gt;0),MAX(0,JG23-(MIN(CH23*(P23+S23),JG23+MT23)-MIN(MIN(CH23*(P23+S23),JG23+MT23),MT23))),JG23)</f>
        <v>1270</v>
      </c>
      <c r="JI23" s="20" t="n">
        <f aca="false">JH23</f>
        <v>1270</v>
      </c>
      <c r="JJ23" s="20" t="n">
        <f aca="false">JI23</f>
        <v>1270</v>
      </c>
      <c r="JK23" s="20" t="n">
        <f aca="false">JJ23</f>
        <v>1270</v>
      </c>
      <c r="JL23" s="20" t="n">
        <f aca="false">JK23</f>
        <v>1270</v>
      </c>
      <c r="JM23" s="20" t="n">
        <f aca="false">JL23</f>
        <v>1270</v>
      </c>
      <c r="JN23" s="20" t="n">
        <f aca="false">JM23</f>
        <v>1270</v>
      </c>
      <c r="JO23" s="20" t="n">
        <f aca="false">JN23</f>
        <v>1270</v>
      </c>
      <c r="JP23" s="20" t="n">
        <f aca="false">JO23</f>
        <v>1270</v>
      </c>
      <c r="JQ23" s="20" t="n">
        <f aca="false">JP23</f>
        <v>1270</v>
      </c>
      <c r="JR23" s="20" t="n">
        <f aca="false">JQ23</f>
        <v>1270</v>
      </c>
      <c r="JS23" s="20" t="n">
        <f aca="false">JR23</f>
        <v>1270</v>
      </c>
      <c r="JT23" s="20" t="n">
        <f aca="false">JS23</f>
        <v>1270</v>
      </c>
      <c r="JU23" s="20" t="n">
        <f aca="false">JT23</f>
        <v>1270</v>
      </c>
      <c r="JV23" s="20" t="n">
        <f aca="false">JU23</f>
        <v>1270</v>
      </c>
      <c r="JW23" s="20" t="n">
        <f aca="false">JV23</f>
        <v>1270</v>
      </c>
      <c r="JX23" s="20" t="n">
        <f aca="false">JW23</f>
        <v>1270</v>
      </c>
      <c r="JY23" s="20" t="n">
        <f aca="false">JX23</f>
        <v>1270</v>
      </c>
      <c r="JZ23" s="20" t="n">
        <f aca="false">JY23</f>
        <v>1270</v>
      </c>
      <c r="KA23" s="20" t="n">
        <f aca="false">JZ23</f>
        <v>1270</v>
      </c>
      <c r="KB23" s="20" t="n">
        <f aca="false">KA23</f>
        <v>1270</v>
      </c>
      <c r="KC23" s="20" t="n">
        <f aca="false">KB23</f>
        <v>1270</v>
      </c>
      <c r="KD23" s="20" t="n">
        <f aca="false">KC23</f>
        <v>1270</v>
      </c>
      <c r="KE23" s="20" t="n">
        <f aca="false">KD23</f>
        <v>1270</v>
      </c>
      <c r="KF23" s="20" t="n">
        <f aca="false">KE23</f>
        <v>1270</v>
      </c>
      <c r="KG23" s="20" t="n">
        <f aca="false">KF23</f>
        <v>1270</v>
      </c>
      <c r="KH23" s="20" t="n">
        <f aca="false">KG23</f>
        <v>1270</v>
      </c>
      <c r="KI23" s="20" t="n">
        <f aca="false">KH23</f>
        <v>1270</v>
      </c>
      <c r="KJ23" s="20" t="n">
        <f aca="false">KI23</f>
        <v>1270</v>
      </c>
      <c r="KK23" s="20" t="n">
        <f aca="false">KJ23</f>
        <v>1270</v>
      </c>
      <c r="KL23" s="20" t="n">
        <f aca="false">KK23</f>
        <v>1270</v>
      </c>
      <c r="KM23" s="20" t="n">
        <f aca="false">KL23</f>
        <v>1270</v>
      </c>
      <c r="KN23" s="20" t="n">
        <f aca="false">KM23</f>
        <v>1270</v>
      </c>
      <c r="KO23" s="20" t="n">
        <f aca="false">KN23</f>
        <v>1270</v>
      </c>
      <c r="KP23" s="20" t="n">
        <f aca="false">KO23</f>
        <v>1270</v>
      </c>
      <c r="KQ23" s="20" t="n">
        <f aca="false">KP23</f>
        <v>1270</v>
      </c>
      <c r="KR23" s="20" t="n">
        <f aca="false">KQ23</f>
        <v>1270</v>
      </c>
      <c r="KS23" s="20" t="n">
        <f aca="false">KR23</f>
        <v>1270</v>
      </c>
      <c r="KT23" s="20" t="n">
        <f aca="false">KS23</f>
        <v>1270</v>
      </c>
      <c r="KU23" s="20" t="n">
        <f aca="false">KT23</f>
        <v>1270</v>
      </c>
      <c r="KV23" s="20" t="n">
        <f aca="false">KU23</f>
        <v>1270</v>
      </c>
      <c r="KW23" s="20" t="n">
        <f aca="false">KV23</f>
        <v>1270</v>
      </c>
      <c r="KX23" s="20" t="n">
        <f aca="false">KW23</f>
        <v>1270</v>
      </c>
      <c r="KY23" s="20" t="n">
        <f aca="false">KX23</f>
        <v>1270</v>
      </c>
      <c r="KZ23" s="20" t="n">
        <f aca="false">KY23</f>
        <v>1270</v>
      </c>
      <c r="LA23" s="20" t="n">
        <f aca="false">KZ23</f>
        <v>1270</v>
      </c>
      <c r="LB23" s="20" t="n">
        <f aca="false">LA23</f>
        <v>1270</v>
      </c>
      <c r="LC23" s="20" t="n">
        <f aca="false">LB23</f>
        <v>1270</v>
      </c>
      <c r="LD23" s="20" t="n">
        <f aca="false">LC23</f>
        <v>1270</v>
      </c>
      <c r="LE23" s="20" t="n">
        <f aca="false">LD23</f>
        <v>1270</v>
      </c>
      <c r="LF23" s="20" t="n">
        <f aca="false">LE23</f>
        <v>1270</v>
      </c>
      <c r="LG23" s="20" t="n">
        <f aca="false">LF23</f>
        <v>1270</v>
      </c>
      <c r="LH23" s="20" t="n">
        <f aca="false">LG23</f>
        <v>1270</v>
      </c>
      <c r="LI23" s="20" t="n">
        <f aca="false">LH23</f>
        <v>1270</v>
      </c>
      <c r="LJ23" s="20" t="n">
        <f aca="false">LI23</f>
        <v>1270</v>
      </c>
      <c r="LK23" s="20" t="n">
        <f aca="false">LJ23</f>
        <v>1270</v>
      </c>
      <c r="LL23" s="20" t="n">
        <f aca="false">LK23</f>
        <v>1270</v>
      </c>
      <c r="LM23" s="20" t="n">
        <f aca="false">LL23</f>
        <v>1270</v>
      </c>
      <c r="LN23" s="20" t="n">
        <f aca="false">LM23</f>
        <v>1270</v>
      </c>
      <c r="LO23" s="20" t="n">
        <f aca="false">LN23</f>
        <v>1270</v>
      </c>
      <c r="LP23" s="20" t="n">
        <f aca="false">LO23</f>
        <v>1270</v>
      </c>
      <c r="LQ23" s="20" t="n">
        <f aca="false">LP23</f>
        <v>1270</v>
      </c>
      <c r="LR23" s="20" t="n">
        <f aca="false">LQ23</f>
        <v>1270</v>
      </c>
      <c r="LS23" s="20" t="n">
        <f aca="false">LR23</f>
        <v>1270</v>
      </c>
      <c r="LT23" s="20" t="n">
        <f aca="false">LS23</f>
        <v>1270</v>
      </c>
      <c r="LU23" s="20" t="n">
        <f aca="false">LT23</f>
        <v>1270</v>
      </c>
      <c r="LV23" s="20" t="n">
        <f aca="false">LU23</f>
        <v>1270</v>
      </c>
      <c r="LW23" s="20" t="n">
        <f aca="false">LV23</f>
        <v>1270</v>
      </c>
      <c r="LX23" s="20" t="n">
        <f aca="false">LW23</f>
        <v>1270</v>
      </c>
      <c r="LY23" s="20" t="n">
        <f aca="false">LX23</f>
        <v>1270</v>
      </c>
      <c r="LZ23" s="20" t="n">
        <f aca="false">LY23</f>
        <v>1270</v>
      </c>
      <c r="MA23" s="20" t="n">
        <f aca="false">LZ23</f>
        <v>1270</v>
      </c>
      <c r="MB23" s="20" t="n">
        <f aca="false">MA23</f>
        <v>1270</v>
      </c>
      <c r="MC23" s="20" t="n">
        <f aca="false">MB23</f>
        <v>1270</v>
      </c>
      <c r="MD23" s="20" t="n">
        <f aca="false">MC23</f>
        <v>1270</v>
      </c>
      <c r="ME23" s="20" t="n">
        <f aca="false">IF(H_Direct=1,IF(BR23&lt;=0,I23-BR23*AKR22,I23-MIN(MIN(BR23*AKR22,H23+I23),I23)),I23)</f>
        <v>0</v>
      </c>
      <c r="MF23" s="20" t="n">
        <f aca="false">IF(H_Direct=1,IF(BS23&lt;=0,ME23-BS23*AKS22,ME23-MIN(MIN(BS23*AKS22,IR23+ME23),ME23)),ME23)</f>
        <v>0</v>
      </c>
      <c r="MG23" s="20" t="n">
        <f aca="false">IF(H_Direct=1,IF(BT23&lt;=0,MF23-BT23*AKT22,MF23-MIN(MIN(BT23*AKT22,IS23+MF23),MF23)),MF23)</f>
        <v>0</v>
      </c>
      <c r="MH23" s="20" t="n">
        <f aca="false">IF(H_Direct=1,IF(BU23&lt;=0,MG23-BU23*AKU22,MG23-MIN(MIN(BU23*AKU22,IT23+MG23),MG23)),MG23)</f>
        <v>0</v>
      </c>
      <c r="MI23" s="20" t="n">
        <f aca="false">IF(H_Direct=1,IF(BV23&lt;=0,MH23-BV23*AKV22,MH23-MIN(MIN(BV23*AKV22,IU23+MH23),MH23)),MH23)</f>
        <v>0</v>
      </c>
      <c r="MJ23" s="20" t="n">
        <f aca="false">IF(H_Direct=1,IF(BW23&lt;=0,MI23-BW23*AKW22,MI23-MIN(MIN(BW23*AKW22,IV23+MI23),MI23)),MI23)</f>
        <v>0</v>
      </c>
      <c r="MK23" s="20" t="n">
        <f aca="false">IF(H_Direct=1,IF(BX23&lt;=0,MJ23-BX23*AKX22,MJ23-MIN(MIN(BX23*AKX22,IW23+MJ23),MJ23)),MJ23)</f>
        <v>0</v>
      </c>
      <c r="ML23" s="20" t="n">
        <f aca="false">IF(H_Direct=1,IF(BY23&lt;=0,MK23-BY23*AKY22,MK23-MIN(MIN(BY23*AKY22,IX23+MK23),MK23)),MK23)</f>
        <v>0</v>
      </c>
      <c r="MM23" s="20" t="n">
        <f aca="false">IF(H_Direct=1,IF(BZ23&lt;=0,ML23-BZ23*AKZ22,ML23-MIN(MIN(BZ23*AKZ22,IY23+ML23),ML23)),ML23)</f>
        <v>0</v>
      </c>
      <c r="MN23" s="20" t="n">
        <f aca="false">IF(H_Direct=1,IF(CA23&lt;=0,MM23-CA23*ALA22,MM23-MIN(MIN(CA23*ALA22,IZ23+MM23),MM23)),MM23)</f>
        <v>0</v>
      </c>
      <c r="MO23" s="20" t="n">
        <f aca="false">IF(H_Direct=1,IF(CB23&lt;=0,MN23-CB23*ALB22,MN23-MIN(MIN(CB23*ALB22,JA23+MN23),MN23)),MN23)</f>
        <v>0</v>
      </c>
      <c r="MP23" s="20" t="n">
        <f aca="false">IF(H_Direct=1,IF(CC23&lt;=0,MO23-CC23*ALC22,MO23-MIN(MIN(CC23*ALC22,JB23+MO23),MO23)),MO23)</f>
        <v>0</v>
      </c>
      <c r="MQ23" s="20" t="n">
        <f aca="false">IF(H_Direct=1,IF(CD23&lt;=0,MP23-CD23*ALD22,MP23-MIN(MIN(CD23*ALD22,JC23+MP23),MP23)),MP23)</f>
        <v>0</v>
      </c>
      <c r="MR23" s="20" t="n">
        <f aca="false">IF(H_Direct=1,IF(CE23&lt;=0,MQ23-CE23*ALE22,MQ23-MIN(MIN(CE23*ALE22,JD23+MQ23),MQ23)),MQ23)</f>
        <v>0</v>
      </c>
      <c r="MS23" s="20" t="n">
        <f aca="false">IF(H_Direct=1,IF(CF23&lt;=0,MR23-CF23*ALF22,MR23-MIN(MIN(CF23*ALF22,JE23+MR23),MR23)),MR23)</f>
        <v>0</v>
      </c>
      <c r="MT23" s="20" t="n">
        <f aca="false">IF(H_Direct=1,IF(CG23&lt;=0,MS23-CG23*ALG22,MS23-MIN(MIN(CG23*ALG22,JF23+MS23),MS23)),MS23)</f>
        <v>0</v>
      </c>
      <c r="MU23" s="20" t="n">
        <f aca="false">IF(H_Direct=1,IF(CH23&lt;=0,MT23-CH23*(P23+S23),MT23-MIN(MIN(CH23*(P23+S23),JG23+MT23),MT23)),MT23)</f>
        <v>0</v>
      </c>
      <c r="MV23" s="20" t="n">
        <f aca="false">MU23</f>
        <v>0</v>
      </c>
      <c r="MW23" s="20" t="n">
        <f aca="false">MV23</f>
        <v>0</v>
      </c>
      <c r="MX23" s="20" t="n">
        <f aca="false">MW23</f>
        <v>0</v>
      </c>
      <c r="MY23" s="20" t="n">
        <f aca="false">MX23</f>
        <v>0</v>
      </c>
      <c r="MZ23" s="20" t="n">
        <f aca="false">MY23</f>
        <v>0</v>
      </c>
      <c r="NA23" s="20" t="n">
        <f aca="false">MZ23</f>
        <v>0</v>
      </c>
      <c r="NB23" s="20" t="n">
        <f aca="false">NA23</f>
        <v>0</v>
      </c>
      <c r="NC23" s="20" t="n">
        <f aca="false">NB23</f>
        <v>0</v>
      </c>
      <c r="ND23" s="20" t="n">
        <f aca="false">NC23</f>
        <v>0</v>
      </c>
      <c r="NE23" s="20" t="n">
        <f aca="false">ND23</f>
        <v>0</v>
      </c>
      <c r="NF23" s="20" t="n">
        <f aca="false">NE23</f>
        <v>0</v>
      </c>
      <c r="NG23" s="20" t="n">
        <f aca="false">NF23</f>
        <v>0</v>
      </c>
      <c r="NH23" s="20" t="n">
        <f aca="false">NG23</f>
        <v>0</v>
      </c>
      <c r="NI23" s="20" t="n">
        <f aca="false">NH23</f>
        <v>0</v>
      </c>
      <c r="NJ23" s="20" t="n">
        <f aca="false">NI23</f>
        <v>0</v>
      </c>
      <c r="NK23" s="20" t="n">
        <f aca="false">NJ23</f>
        <v>0</v>
      </c>
      <c r="NL23" s="20" t="n">
        <f aca="false">NK23</f>
        <v>0</v>
      </c>
      <c r="NM23" s="20" t="n">
        <f aca="false">NL23</f>
        <v>0</v>
      </c>
      <c r="NN23" s="20" t="n">
        <f aca="false">NM23</f>
        <v>0</v>
      </c>
      <c r="NO23" s="20" t="n">
        <f aca="false">NN23</f>
        <v>0</v>
      </c>
      <c r="NP23" s="20" t="n">
        <f aca="false">NO23</f>
        <v>0</v>
      </c>
      <c r="NQ23" s="20" t="n">
        <f aca="false">NP23</f>
        <v>0</v>
      </c>
      <c r="NR23" s="20" t="n">
        <f aca="false">NQ23</f>
        <v>0</v>
      </c>
      <c r="NS23" s="20" t="n">
        <f aca="false">NR23</f>
        <v>0</v>
      </c>
      <c r="NT23" s="20" t="n">
        <f aca="false">NS23</f>
        <v>0</v>
      </c>
      <c r="NU23" s="20" t="n">
        <f aca="false">NT23</f>
        <v>0</v>
      </c>
      <c r="NV23" s="20" t="n">
        <f aca="false">NU23</f>
        <v>0</v>
      </c>
      <c r="NW23" s="20" t="n">
        <f aca="false">NV23</f>
        <v>0</v>
      </c>
      <c r="NX23" s="20" t="n">
        <f aca="false">NW23</f>
        <v>0</v>
      </c>
      <c r="NY23" s="20" t="n">
        <f aca="false">NX23</f>
        <v>0</v>
      </c>
      <c r="NZ23" s="20" t="n">
        <f aca="false">NY23</f>
        <v>0</v>
      </c>
      <c r="OA23" s="20" t="n">
        <f aca="false">NZ23</f>
        <v>0</v>
      </c>
      <c r="OB23" s="20" t="n">
        <f aca="false">OA23</f>
        <v>0</v>
      </c>
      <c r="OC23" s="20" t="n">
        <f aca="false">OB23</f>
        <v>0</v>
      </c>
      <c r="OD23" s="20" t="n">
        <f aca="false">OC23</f>
        <v>0</v>
      </c>
      <c r="OE23" s="20" t="n">
        <f aca="false">OD23</f>
        <v>0</v>
      </c>
      <c r="OF23" s="20" t="n">
        <f aca="false">OE23</f>
        <v>0</v>
      </c>
      <c r="OG23" s="20" t="n">
        <f aca="false">OF23</f>
        <v>0</v>
      </c>
      <c r="OH23" s="20" t="n">
        <f aca="false">OG23</f>
        <v>0</v>
      </c>
      <c r="OI23" s="20" t="n">
        <f aca="false">OH23</f>
        <v>0</v>
      </c>
      <c r="OJ23" s="20" t="n">
        <f aca="false">OI23</f>
        <v>0</v>
      </c>
      <c r="OK23" s="20" t="n">
        <f aca="false">OJ23</f>
        <v>0</v>
      </c>
      <c r="OL23" s="20" t="n">
        <f aca="false">OK23</f>
        <v>0</v>
      </c>
      <c r="OM23" s="20" t="n">
        <f aca="false">OL23</f>
        <v>0</v>
      </c>
      <c r="ON23" s="20" t="n">
        <f aca="false">OM23</f>
        <v>0</v>
      </c>
      <c r="OO23" s="20" t="n">
        <f aca="false">ON23</f>
        <v>0</v>
      </c>
      <c r="OP23" s="20" t="n">
        <f aca="false">OO23</f>
        <v>0</v>
      </c>
      <c r="OQ23" s="20" t="n">
        <f aca="false">OP23</f>
        <v>0</v>
      </c>
      <c r="OR23" s="20" t="n">
        <f aca="false">OQ23</f>
        <v>0</v>
      </c>
      <c r="OS23" s="20" t="n">
        <f aca="false">OR23</f>
        <v>0</v>
      </c>
      <c r="OT23" s="20" t="n">
        <f aca="false">OS23</f>
        <v>0</v>
      </c>
      <c r="OU23" s="20" t="n">
        <f aca="false">OT23</f>
        <v>0</v>
      </c>
      <c r="OV23" s="20" t="n">
        <f aca="false">OU23</f>
        <v>0</v>
      </c>
      <c r="OW23" s="20" t="n">
        <f aca="false">OV23</f>
        <v>0</v>
      </c>
      <c r="OX23" s="20" t="n">
        <f aca="false">OW23</f>
        <v>0</v>
      </c>
      <c r="OY23" s="20" t="n">
        <f aca="false">OX23</f>
        <v>0</v>
      </c>
      <c r="OZ23" s="20" t="n">
        <f aca="false">OY23</f>
        <v>0</v>
      </c>
      <c r="PA23" s="20" t="n">
        <f aca="false">OZ23</f>
        <v>0</v>
      </c>
      <c r="PB23" s="20" t="n">
        <f aca="false">PA23</f>
        <v>0</v>
      </c>
      <c r="PC23" s="20" t="n">
        <f aca="false">PB23</f>
        <v>0</v>
      </c>
      <c r="PD23" s="20" t="n">
        <f aca="false">PC23</f>
        <v>0</v>
      </c>
      <c r="PE23" s="20" t="n">
        <f aca="false">PD23</f>
        <v>0</v>
      </c>
      <c r="PF23" s="20" t="n">
        <f aca="false">PE23</f>
        <v>0</v>
      </c>
      <c r="PG23" s="20" t="n">
        <f aca="false">PF23</f>
        <v>0</v>
      </c>
      <c r="PH23" s="20" t="n">
        <f aca="false">PG23</f>
        <v>0</v>
      </c>
      <c r="PI23" s="20" t="n">
        <f aca="false">PH23</f>
        <v>0</v>
      </c>
      <c r="PJ23" s="20" t="n">
        <f aca="false">PI23</f>
        <v>0</v>
      </c>
      <c r="PK23" s="20" t="n">
        <f aca="false">PJ23</f>
        <v>0</v>
      </c>
      <c r="PL23" s="20" t="n">
        <f aca="false">PK23</f>
        <v>0</v>
      </c>
      <c r="PM23" s="20" t="n">
        <f aca="false">PL23</f>
        <v>0</v>
      </c>
      <c r="PN23" s="20" t="n">
        <f aca="false">PM23</f>
        <v>0</v>
      </c>
      <c r="PO23" s="20" t="n">
        <f aca="false">PN23</f>
        <v>0</v>
      </c>
      <c r="PP23" s="20" t="n">
        <f aca="false">PO23</f>
        <v>0</v>
      </c>
      <c r="PQ23" s="20" t="n">
        <f aca="false">PP23</f>
        <v>0</v>
      </c>
      <c r="PR23" s="20" t="n">
        <f aca="false">IF(H_Direct=1,IF(AKR22&lt;=0,0,IF(BR23&lt;=0,MIN(MAX(0,AB23),AKR22),MIN(MAX(0,AB23),AKR22-G23*MAX(0,BR23*AKR22-(H23+I23))))),MIN(FE23,MAX(0,AB23)))</f>
        <v>0</v>
      </c>
      <c r="PS23" s="20" t="n">
        <f aca="false">IF(H_Direct=1,IF(AKS22&lt;=0,0,IF(BS23&lt;=0,MIN(MAX(0,AB23-SUM(PR23:PR23)),AKS22),MIN(MAX(0,AB23-SUM(PR23:PR23)),AKS22-G23*MAX(0,BS23*AKS22-(WR23+AAE23))))),MIN(FF23,MAX(0,AB23-SUM(PR23:PR23))))</f>
        <v>0</v>
      </c>
      <c r="PT23" s="20" t="n">
        <f aca="false">IF(H_Direct=1,IF(AKT22&lt;=0,0,IF(BT23&lt;=0,MIN(MAX(0,AB23-SUM(PR23:PS23)),AKT22),MIN(MAX(0,AB23-SUM(PR23:PS23)),AKT22-G23*MAX(0,BT23*AKT22-(WS23+AAF23))))),MIN(FG23,MAX(0,AB23-SUM(PR23:PS23))))</f>
        <v>0</v>
      </c>
      <c r="PU23" s="20" t="n">
        <f aca="false">IF(H_Direct=1,IF(AKU22&lt;=0,0,IF(BU23&lt;=0,MIN(MAX(0,AB23-SUM(PR23:PT23)),AKU22),MIN(MAX(0,AB23-SUM(PR23:PT23)),AKU22-G23*MAX(0,BU23*AKU22-(WT23+AAG23))))),MIN(FH23,MAX(0,AB23-SUM(PR23:PT23))))</f>
        <v>0</v>
      </c>
      <c r="PV23" s="20" t="n">
        <f aca="false">IF(H_Direct=1,IF(AKV22&lt;=0,0,IF(BV23&lt;=0,MIN(MAX(0,AB23-SUM(PR23:PU23)),AKV22),MIN(MAX(0,AB23-SUM(PR23:PU23)),AKV22-G23*MAX(0,BV23*AKV22-(WU23+AAH23))))),MIN(FI23,MAX(0,AB23-SUM(PR23:PU23))))</f>
        <v>0</v>
      </c>
      <c r="PW23" s="20" t="n">
        <f aca="false">IF(H_Direct=1,IF(AKW22&lt;=0,0,IF(BW23&lt;=0,MIN(MAX(0,AB23-SUM(PR23:PV23)),AKW22),MIN(MAX(0,AB23-SUM(PR23:PV23)),AKW22-G23*MAX(0,BW23*AKW22-(WV23+AAI23))))),MIN(FJ23,MAX(0,AB23-SUM(PR23:PV23))))</f>
        <v>0</v>
      </c>
      <c r="PX23" s="20" t="n">
        <f aca="false">IF(H_Direct=1,IF(AKX22&lt;=0,0,IF(BX23&lt;=0,MIN(MAX(0,AB23-SUM(PR23:PW23)),AKX22),MIN(MAX(0,AB23-SUM(PR23:PW23)),AKX22-G23*MAX(0,BX23*AKX22-(WW23+AAJ23))))),MIN(FK23,MAX(0,AB23-SUM(PR23:PW23))))</f>
        <v>0</v>
      </c>
      <c r="PY23" s="20" t="n">
        <f aca="false">IF(H_Direct=1,IF(AKY22&lt;=0,0,IF(BY23&lt;=0,MIN(MAX(0,AB23-SUM(PR23:PX23)),AKY22),MIN(MAX(0,AB23-SUM(PR23:PX23)),AKY22-G23*MAX(0,BY23*AKY22-(WX23+AAK23))))),MIN(FL23,MAX(0,AB23-SUM(PR23:PX23))))</f>
        <v>0</v>
      </c>
      <c r="PZ23" s="20" t="n">
        <f aca="false">IF(H_Direct=1,IF(AKZ22&lt;=0,0,IF(BZ23&lt;=0,MIN(MAX(0,AB23-SUM(PR23:PY23)),AKZ22),MIN(MAX(0,AB23-SUM(PR23:PY23)),AKZ22-G23*MAX(0,BZ23*AKZ22-(WY23+AAL23))))),MIN(FM23,MAX(0,AB23-SUM(PR23:PY23))))</f>
        <v>0</v>
      </c>
      <c r="QA23" s="20" t="n">
        <f aca="false">IF(H_Direct=1,IF(ALA22&lt;=0,0,IF(CA23&lt;=0,MIN(MAX(0,AB23-SUM(PR23:PZ23)),ALA22),MIN(MAX(0,AB23-SUM(PR23:PZ23)),ALA22-G23*MAX(0,CA23*ALA22-(WZ23+AAM23))))),MIN(FN23,MAX(0,AB23-SUM(PR23:PZ23))))</f>
        <v>0</v>
      </c>
      <c r="QB23" s="20" t="n">
        <f aca="false">IF(H_Direct=1,IF(ALB22&lt;=0,0,IF(CB23&lt;=0,MIN(MAX(0,AB23-SUM(PR23:QA23)),ALB22),MIN(MAX(0,AB23-SUM(PR23:QA23)),ALB22-G23*MAX(0,CB23*ALB22-(XA23+AAN23))))),MIN(FO23,MAX(0,AB23-SUM(PR23:QA23))))</f>
        <v>0</v>
      </c>
      <c r="QC23" s="20" t="n">
        <f aca="false">IF(H_Direct=1,IF(ALC22&lt;=0,0,IF(CC23&lt;=0,MIN(MAX(0,AB23-SUM(PR23:QB23)),ALC22),MIN(MAX(0,AB23-SUM(PR23:QB23)),ALC22-G23*MAX(0,CC23*ALC22-(XB23+AAO23))))),MIN(FP23,MAX(0,AB23-SUM(PR23:QB23))))</f>
        <v>0</v>
      </c>
      <c r="QD23" s="20" t="n">
        <f aca="false">IF(H_Direct=1,IF(ALD22&lt;=0,0,IF(CD23&lt;=0,MIN(MAX(0,AB23-SUM(PR23:QC23)),ALD22),MIN(MAX(0,AB23-SUM(PR23:QC23)),ALD22-G23*MAX(0,CD23*ALD22-(XC23+AAP23))))),MIN(FQ23,MAX(0,AB23-SUM(PR23:QC23))))</f>
        <v>0</v>
      </c>
      <c r="QE23" s="20" t="n">
        <f aca="false">IF(H_Direct=1,IF(ALE22&lt;=0,0,IF(CE23&lt;=0,MIN(MAX(0,AB23-SUM(PR23:QD23)),ALE22),MIN(MAX(0,AB23-SUM(PR23:QD23)),ALE22-G23*MAX(0,CE23*ALE22-(XD23+AAQ23))))),MIN(FR23,MAX(0,AB23-SUM(PR23:QD23))))</f>
        <v>0</v>
      </c>
      <c r="QF23" s="20" t="n">
        <f aca="false">IF(H_Direct=1,IF(ALF22&lt;=0,0,IF(CF23&lt;=0,MIN(MAX(0,AB23-SUM(PR23:QE23)),ALF22),MIN(MAX(0,AB23-SUM(PR23:QE23)),ALF22-G23*MAX(0,CF23*ALF22-(XE23+AAR23))))),MIN(FS23,MAX(0,AB23-SUM(PR23:QE23))))</f>
        <v>0</v>
      </c>
      <c r="QG23" s="20" t="n">
        <f aca="false">IF(H_Direct=1,IF(ALG22&lt;=0,0,IF(CG23&lt;=0,MIN(MAX(0,AB23-SUM(PR23:QF23)),ALG22),MIN(MAX(0,AB23-SUM(PR23:QF23)),ALG22-G23*MAX(0,CG23*ALG22-(XF23+AAS23))))),MIN(FT23,MAX(0,AB23-SUM(PR23:QF23))))</f>
        <v>0</v>
      </c>
      <c r="QH23" s="20" t="n">
        <f aca="false">IF(H_Direct=1,IF((P23+S23)&lt;=0,0,IF(CH23&lt;=0,MIN(MAX(0,AB23-SUM(PR23:QG23)),(P23+S23)),MIN(MAX(0,AB23-SUM(PR23:QG23)),(P23+S23)-G23*MAX(0,CH23*(P23+S23)-(XG23+AAT23))))),MIN(FU23,MAX(0,AB23-SUM(PR23:QG23))))</f>
        <v>0</v>
      </c>
      <c r="QI23" s="20" t="n">
        <v>0</v>
      </c>
      <c r="QJ23" s="20" t="n">
        <v>0</v>
      </c>
      <c r="QK23" s="20" t="n">
        <v>0</v>
      </c>
      <c r="QL23" s="20" t="n">
        <v>0</v>
      </c>
      <c r="QM23" s="20" t="n">
        <v>0</v>
      </c>
      <c r="QN23" s="20" t="n">
        <v>0</v>
      </c>
      <c r="QO23" s="20" t="n">
        <v>0</v>
      </c>
      <c r="QP23" s="20" t="n">
        <v>0</v>
      </c>
      <c r="QQ23" s="20" t="n">
        <v>0</v>
      </c>
      <c r="QR23" s="20" t="n">
        <v>0</v>
      </c>
      <c r="QS23" s="20" t="n">
        <v>0</v>
      </c>
      <c r="QT23" s="20" t="n">
        <v>0</v>
      </c>
      <c r="QU23" s="20" t="n">
        <v>0</v>
      </c>
      <c r="QV23" s="20" t="n">
        <v>0</v>
      </c>
      <c r="QW23" s="20" t="n">
        <v>0</v>
      </c>
      <c r="QX23" s="20" t="n">
        <v>0</v>
      </c>
      <c r="QY23" s="20" t="n">
        <v>0</v>
      </c>
      <c r="QZ23" s="20" t="n">
        <v>0</v>
      </c>
      <c r="RA23" s="20" t="n">
        <v>0</v>
      </c>
      <c r="RB23" s="20" t="n">
        <v>0</v>
      </c>
      <c r="RC23" s="20" t="n">
        <v>0</v>
      </c>
      <c r="RD23" s="20" t="n">
        <v>0</v>
      </c>
      <c r="RE23" s="20" t="n">
        <v>0</v>
      </c>
      <c r="RF23" s="20" t="n">
        <v>0</v>
      </c>
      <c r="RG23" s="20" t="n">
        <v>0</v>
      </c>
      <c r="RH23" s="20" t="n">
        <v>0</v>
      </c>
      <c r="RI23" s="20" t="n">
        <v>0</v>
      </c>
      <c r="RJ23" s="20" t="n">
        <v>0</v>
      </c>
      <c r="RK23" s="20" t="n">
        <v>0</v>
      </c>
      <c r="RL23" s="20" t="n">
        <v>0</v>
      </c>
      <c r="RM23" s="20" t="n">
        <v>0</v>
      </c>
      <c r="RN23" s="20" t="n">
        <v>0</v>
      </c>
      <c r="RO23" s="20" t="n">
        <v>0</v>
      </c>
      <c r="RP23" s="20" t="n">
        <v>0</v>
      </c>
      <c r="RQ23" s="20" t="n">
        <v>0</v>
      </c>
      <c r="RR23" s="20" t="n">
        <v>0</v>
      </c>
      <c r="RS23" s="20" t="n">
        <v>0</v>
      </c>
      <c r="RT23" s="20" t="n">
        <v>0</v>
      </c>
      <c r="RU23" s="20" t="n">
        <v>0</v>
      </c>
      <c r="RV23" s="20" t="n">
        <v>0</v>
      </c>
      <c r="RW23" s="20" t="n">
        <v>0</v>
      </c>
      <c r="RX23" s="20" t="n">
        <v>0</v>
      </c>
      <c r="RY23" s="20" t="n">
        <v>0</v>
      </c>
      <c r="RZ23" s="20" t="n">
        <v>0</v>
      </c>
      <c r="SA23" s="20" t="n">
        <v>0</v>
      </c>
      <c r="SB23" s="20" t="n">
        <v>0</v>
      </c>
      <c r="SC23" s="20" t="n">
        <v>0</v>
      </c>
      <c r="SD23" s="20" t="n">
        <v>0</v>
      </c>
      <c r="SE23" s="20" t="n">
        <v>0</v>
      </c>
      <c r="SF23" s="20" t="n">
        <v>0</v>
      </c>
      <c r="SG23" s="20" t="n">
        <v>0</v>
      </c>
      <c r="SH23" s="20" t="n">
        <v>0</v>
      </c>
      <c r="SI23" s="20" t="n">
        <v>0</v>
      </c>
      <c r="SJ23" s="20" t="n">
        <v>0</v>
      </c>
      <c r="SK23" s="20" t="n">
        <v>0</v>
      </c>
      <c r="SL23" s="20" t="n">
        <v>0</v>
      </c>
      <c r="SM23" s="20" t="n">
        <v>0</v>
      </c>
      <c r="SN23" s="20" t="n">
        <v>0</v>
      </c>
      <c r="SO23" s="20" t="n">
        <v>0</v>
      </c>
      <c r="SP23" s="20" t="n">
        <v>0</v>
      </c>
      <c r="SQ23" s="20" t="n">
        <v>0</v>
      </c>
      <c r="SR23" s="20" t="n">
        <v>0</v>
      </c>
      <c r="SS23" s="20" t="n">
        <v>0</v>
      </c>
      <c r="ST23" s="20" t="n">
        <v>0</v>
      </c>
      <c r="SU23" s="20" t="n">
        <v>0</v>
      </c>
      <c r="SV23" s="20" t="n">
        <v>0</v>
      </c>
      <c r="SW23" s="20" t="n">
        <v>0</v>
      </c>
      <c r="SX23" s="20" t="n">
        <v>0</v>
      </c>
      <c r="SY23" s="20" t="n">
        <v>0</v>
      </c>
      <c r="SZ23" s="20" t="n">
        <v>0</v>
      </c>
      <c r="TA23" s="20" t="n">
        <v>0</v>
      </c>
      <c r="TB23" s="20" t="n">
        <v>0</v>
      </c>
      <c r="TC23" s="20" t="n">
        <v>0</v>
      </c>
      <c r="TD23" s="20" t="n">
        <v>0</v>
      </c>
      <c r="TE23" s="20" t="n">
        <f aca="false">IF(AKR22&lt;=0,0,IF(H_Direct=1,IF(BR23&lt;=0,PR23,IF(PR23&lt;=(H23+I23)/BR23,PR23,(PR23-G23*(H23+I23))/(1-G23*BR23))),PR23/(1-MAX(0,BR23)*H_Exit)))</f>
        <v>0</v>
      </c>
      <c r="TF23" s="20" t="n">
        <f aca="false">IF(AKS22&lt;=0,0,IF(H_Direct=1,IF(BS23&lt;=0,PS23,IF(PS23&lt;=(WR23+AAE23)/BS23,PS23,(PS23-G23*(WR23+AAE23))/(1-G23*BS23))),PS23/(1-MAX(0,BS23)*H_Exit)))</f>
        <v>0</v>
      </c>
      <c r="TG23" s="20" t="n">
        <f aca="false">IF(AKT22&lt;=0,0,IF(H_Direct=1,IF(BT23&lt;=0,PT23,IF(PT23&lt;=(WS23+AAF23)/BT23,PT23,(PT23-G23*(WS23+AAF23))/(1-G23*BT23))),PT23/(1-MAX(0,BT23)*H_Exit)))</f>
        <v>0</v>
      </c>
      <c r="TH23" s="20" t="n">
        <f aca="false">IF(AKU22&lt;=0,0,IF(H_Direct=1,IF(BU23&lt;=0,PU23,IF(PU23&lt;=(WT23+AAG23)/BU23,PU23,(PU23-G23*(WT23+AAG23))/(1-G23*BU23))),PU23/(1-MAX(0,BU23)*H_Exit)))</f>
        <v>0</v>
      </c>
      <c r="TI23" s="20" t="n">
        <f aca="false">IF(AKV22&lt;=0,0,IF(H_Direct=1,IF(BV23&lt;=0,PV23,IF(PV23&lt;=(WU23+AAH23)/BV23,PV23,(PV23-G23*(WU23+AAH23))/(1-G23*BV23))),PV23/(1-MAX(0,BV23)*H_Exit)))</f>
        <v>0</v>
      </c>
      <c r="TJ23" s="20" t="n">
        <f aca="false">IF(AKW22&lt;=0,0,IF(H_Direct=1,IF(BW23&lt;=0,PW23,IF(PW23&lt;=(WV23+AAI23)/BW23,PW23,(PW23-G23*(WV23+AAI23))/(1-G23*BW23))),PW23/(1-MAX(0,BW23)*H_Exit)))</f>
        <v>0</v>
      </c>
      <c r="TK23" s="20" t="n">
        <f aca="false">IF(AKX22&lt;=0,0,IF(H_Direct=1,IF(BX23&lt;=0,PX23,IF(PX23&lt;=(WW23+AAJ23)/BX23,PX23,(PX23-G23*(WW23+AAJ23))/(1-G23*BX23))),PX23/(1-MAX(0,BX23)*H_Exit)))</f>
        <v>0</v>
      </c>
      <c r="TL23" s="20" t="n">
        <f aca="false">IF(AKY22&lt;=0,0,IF(H_Direct=1,IF(BY23&lt;=0,PY23,IF(PY23&lt;=(WX23+AAK23)/BY23,PY23,(PY23-G23*(WX23+AAK23))/(1-G23*BY23))),PY23/(1-MAX(0,BY23)*H_Exit)))</f>
        <v>0</v>
      </c>
      <c r="TM23" s="20" t="n">
        <f aca="false">IF(AKZ22&lt;=0,0,IF(H_Direct=1,IF(BZ23&lt;=0,PZ23,IF(PZ23&lt;=(WY23+AAL23)/BZ23,PZ23,(PZ23-G23*(WY23+AAL23))/(1-G23*BZ23))),PZ23/(1-MAX(0,BZ23)*H_Exit)))</f>
        <v>0</v>
      </c>
      <c r="TN23" s="20" t="n">
        <f aca="false">IF(ALA22&lt;=0,0,IF(H_Direct=1,IF(CA23&lt;=0,QA23,IF(QA23&lt;=(WZ23+AAM23)/CA23,QA23,(QA23-G23*(WZ23+AAM23))/(1-G23*CA23))),QA23/(1-MAX(0,CA23)*H_Exit)))</f>
        <v>0</v>
      </c>
      <c r="TO23" s="20" t="n">
        <f aca="false">IF(ALB22&lt;=0,0,IF(H_Direct=1,IF(CB23&lt;=0,QB23,IF(QB23&lt;=(XA23+AAN23)/CB23,QB23,(QB23-G23*(XA23+AAN23))/(1-G23*CB23))),QB23/(1-MAX(0,CB23)*H_Exit)))</f>
        <v>0</v>
      </c>
      <c r="TP23" s="20" t="n">
        <f aca="false">IF(ALC22&lt;=0,0,IF(H_Direct=1,IF(CC23&lt;=0,QC23,IF(QC23&lt;=(XB23+AAO23)/CC23,QC23,(QC23-G23*(XB23+AAO23))/(1-G23*CC23))),QC23/(1-MAX(0,CC23)*H_Exit)))</f>
        <v>0</v>
      </c>
      <c r="TQ23" s="20" t="n">
        <f aca="false">IF(ALD22&lt;=0,0,IF(H_Direct=1,IF(CD23&lt;=0,QD23,IF(QD23&lt;=(XC23+AAP23)/CD23,QD23,(QD23-G23*(XC23+AAP23))/(1-G23*CD23))),QD23/(1-MAX(0,CD23)*H_Exit)))</f>
        <v>0</v>
      </c>
      <c r="TR23" s="20" t="n">
        <f aca="false">IF(ALE22&lt;=0,0,IF(H_Direct=1,IF(CE23&lt;=0,QE23,IF(QE23&lt;=(XD23+AAQ23)/CE23,QE23,(QE23-G23*(XD23+AAQ23))/(1-G23*CE23))),QE23/(1-MAX(0,CE23)*H_Exit)))</f>
        <v>0</v>
      </c>
      <c r="TS23" s="20" t="n">
        <f aca="false">IF(ALF22&lt;=0,0,IF(H_Direct=1,IF(CF23&lt;=0,QF23,IF(QF23&lt;=(XE23+AAR23)/CF23,QF23,(QF23-G23*(XE23+AAR23))/(1-G23*CF23))),QF23/(1-MAX(0,CF23)*H_Exit)))</f>
        <v>0</v>
      </c>
      <c r="TT23" s="20" t="n">
        <f aca="false">IF(ALG22&lt;=0,0,IF(H_Direct=1,IF(CG23&lt;=0,QG23,IF(QG23&lt;=(XF23+AAS23)/CG23,QG23,(QG23-G23*(XF23+AAS23))/(1-G23*CG23))),QG23/(1-MAX(0,CG23)*H_Exit)))</f>
        <v>0</v>
      </c>
      <c r="TU23" s="20" t="n">
        <f aca="false">IF((P23+S23)&lt;=0,0,IF(H_Direct=1,IF(CH23&lt;=0,QH23,IF(QH23&lt;=(XG23+AAT23)/CH23,QH23,(QH23-G23*(XG23+AAT23))/(1-G23*CH23))),QH23/(1-MAX(0,CH23)*H_Exit)))</f>
        <v>0</v>
      </c>
      <c r="TV23" s="20" t="n">
        <v>0</v>
      </c>
      <c r="TW23" s="20" t="n">
        <v>0</v>
      </c>
      <c r="TX23" s="20" t="n">
        <v>0</v>
      </c>
      <c r="TY23" s="20" t="n">
        <v>0</v>
      </c>
      <c r="TZ23" s="20" t="n">
        <v>0</v>
      </c>
      <c r="UA23" s="20" t="n">
        <v>0</v>
      </c>
      <c r="UB23" s="20" t="n">
        <v>0</v>
      </c>
      <c r="UC23" s="20" t="n">
        <v>0</v>
      </c>
      <c r="UD23" s="20" t="n">
        <v>0</v>
      </c>
      <c r="UE23" s="20" t="n">
        <v>0</v>
      </c>
      <c r="UF23" s="20" t="n">
        <v>0</v>
      </c>
      <c r="UG23" s="20" t="n">
        <v>0</v>
      </c>
      <c r="UH23" s="20" t="n">
        <v>0</v>
      </c>
      <c r="UI23" s="20" t="n">
        <v>0</v>
      </c>
      <c r="UJ23" s="20" t="n">
        <v>0</v>
      </c>
      <c r="UK23" s="20" t="n">
        <v>0</v>
      </c>
      <c r="UL23" s="20" t="n">
        <v>0</v>
      </c>
      <c r="UM23" s="20" t="n">
        <v>0</v>
      </c>
      <c r="UN23" s="20" t="n">
        <v>0</v>
      </c>
      <c r="UO23" s="20" t="n">
        <v>0</v>
      </c>
      <c r="UP23" s="20" t="n">
        <v>0</v>
      </c>
      <c r="UQ23" s="20" t="n">
        <v>0</v>
      </c>
      <c r="UR23" s="20" t="n">
        <v>0</v>
      </c>
      <c r="US23" s="20" t="n">
        <v>0</v>
      </c>
      <c r="UT23" s="20" t="n">
        <v>0</v>
      </c>
      <c r="UU23" s="20" t="n">
        <v>0</v>
      </c>
      <c r="UV23" s="20" t="n">
        <v>0</v>
      </c>
      <c r="UW23" s="20" t="n">
        <v>0</v>
      </c>
      <c r="UX23" s="20" t="n">
        <v>0</v>
      </c>
      <c r="UY23" s="20" t="n">
        <v>0</v>
      </c>
      <c r="UZ23" s="20" t="n">
        <v>0</v>
      </c>
      <c r="VA23" s="20" t="n">
        <v>0</v>
      </c>
      <c r="VB23" s="20" t="n">
        <v>0</v>
      </c>
      <c r="VC23" s="20" t="n">
        <v>0</v>
      </c>
      <c r="VD23" s="20" t="n">
        <v>0</v>
      </c>
      <c r="VE23" s="20" t="n">
        <v>0</v>
      </c>
      <c r="VF23" s="20" t="n">
        <v>0</v>
      </c>
      <c r="VG23" s="20" t="n">
        <v>0</v>
      </c>
      <c r="VH23" s="20" t="n">
        <v>0</v>
      </c>
      <c r="VI23" s="20" t="n">
        <v>0</v>
      </c>
      <c r="VJ23" s="20" t="n">
        <v>0</v>
      </c>
      <c r="VK23" s="20" t="n">
        <v>0</v>
      </c>
      <c r="VL23" s="20" t="n">
        <v>0</v>
      </c>
      <c r="VM23" s="20" t="n">
        <v>0</v>
      </c>
      <c r="VN23" s="20" t="n">
        <v>0</v>
      </c>
      <c r="VO23" s="20" t="n">
        <v>0</v>
      </c>
      <c r="VP23" s="20" t="n">
        <v>0</v>
      </c>
      <c r="VQ23" s="20" t="n">
        <v>0</v>
      </c>
      <c r="VR23" s="20" t="n">
        <v>0</v>
      </c>
      <c r="VS23" s="20" t="n">
        <v>0</v>
      </c>
      <c r="VT23" s="20" t="n">
        <v>0</v>
      </c>
      <c r="VU23" s="20" t="n">
        <v>0</v>
      </c>
      <c r="VV23" s="20" t="n">
        <v>0</v>
      </c>
      <c r="VW23" s="20" t="n">
        <v>0</v>
      </c>
      <c r="VX23" s="20" t="n">
        <v>0</v>
      </c>
      <c r="VY23" s="20" t="n">
        <v>0</v>
      </c>
      <c r="VZ23" s="20" t="n">
        <v>0</v>
      </c>
      <c r="WA23" s="20" t="n">
        <v>0</v>
      </c>
      <c r="WB23" s="20" t="n">
        <v>0</v>
      </c>
      <c r="WC23" s="20" t="n">
        <v>0</v>
      </c>
      <c r="WD23" s="20" t="n">
        <v>0</v>
      </c>
      <c r="WE23" s="20" t="n">
        <v>0</v>
      </c>
      <c r="WF23" s="20" t="n">
        <v>0</v>
      </c>
      <c r="WG23" s="20" t="n">
        <v>0</v>
      </c>
      <c r="WH23" s="20" t="n">
        <v>0</v>
      </c>
      <c r="WI23" s="20" t="n">
        <v>0</v>
      </c>
      <c r="WJ23" s="20" t="n">
        <v>0</v>
      </c>
      <c r="WK23" s="20" t="n">
        <v>0</v>
      </c>
      <c r="WL23" s="20" t="n">
        <v>0</v>
      </c>
      <c r="WM23" s="20" t="n">
        <v>0</v>
      </c>
      <c r="WN23" s="20" t="n">
        <v>0</v>
      </c>
      <c r="WO23" s="20" t="n">
        <v>0</v>
      </c>
      <c r="WP23" s="20" t="n">
        <v>0</v>
      </c>
      <c r="WQ23" s="20" t="n">
        <v>0</v>
      </c>
      <c r="WR23" s="20" t="n">
        <f aca="false">IF(AND(H_Direct=1,BR23&gt;0),MAX(0,H23-(MIN(BR23*TE23,(H23+I23))-MIN(MIN(BR23*TE23,(H23+I23)),I23))),H23)</f>
        <v>1270</v>
      </c>
      <c r="WS23" s="20" t="n">
        <f aca="false">IF(AND(H_Direct=1,BS23&gt;0),MAX(0,WR23-(MIN(BS23*TF23,(WR23+AAE23))-MIN(MIN(BS23*TF23,(WR23+AAE23)),AAE23))),WR23)</f>
        <v>1270</v>
      </c>
      <c r="WT23" s="20" t="n">
        <f aca="false">IF(AND(H_Direct=1,BT23&gt;0),MAX(0,WS23-(MIN(BT23*TG23,(WS23+AAF23))-MIN(MIN(BT23*TG23,(WS23+AAF23)),AAF23))),WS23)</f>
        <v>1270</v>
      </c>
      <c r="WU23" s="20" t="n">
        <f aca="false">IF(AND(H_Direct=1,BU23&gt;0),MAX(0,WT23-(MIN(BU23*TH23,(WT23+AAG23))-MIN(MIN(BU23*TH23,(WT23+AAG23)),AAG23))),WT23)</f>
        <v>1270</v>
      </c>
      <c r="WV23" s="20" t="n">
        <f aca="false">IF(AND(H_Direct=1,BV23&gt;0),MAX(0,WU23-(MIN(BV23*TI23,(WU23+AAH23))-MIN(MIN(BV23*TI23,(WU23+AAH23)),AAH23))),WU23)</f>
        <v>1270</v>
      </c>
      <c r="WW23" s="20" t="n">
        <f aca="false">IF(AND(H_Direct=1,BW23&gt;0),MAX(0,WV23-(MIN(BW23*TJ23,(WV23+AAI23))-MIN(MIN(BW23*TJ23,(WV23+AAI23)),AAI23))),WV23)</f>
        <v>1270</v>
      </c>
      <c r="WX23" s="20" t="n">
        <f aca="false">IF(AND(H_Direct=1,BX23&gt;0),MAX(0,WW23-(MIN(BX23*TK23,(WW23+AAJ23))-MIN(MIN(BX23*TK23,(WW23+AAJ23)),AAJ23))),WW23)</f>
        <v>1270</v>
      </c>
      <c r="WY23" s="20" t="n">
        <f aca="false">IF(AND(H_Direct=1,BY23&gt;0),MAX(0,WX23-(MIN(BY23*TL23,(WX23+AAK23))-MIN(MIN(BY23*TL23,(WX23+AAK23)),AAK23))),WX23)</f>
        <v>1270</v>
      </c>
      <c r="WZ23" s="20" t="n">
        <f aca="false">IF(AND(H_Direct=1,BZ23&gt;0),MAX(0,WY23-(MIN(BZ23*TM23,(WY23+AAL23))-MIN(MIN(BZ23*TM23,(WY23+AAL23)),AAL23))),WY23)</f>
        <v>1270</v>
      </c>
      <c r="XA23" s="20" t="n">
        <f aca="false">IF(AND(H_Direct=1,CA23&gt;0),MAX(0,WZ23-(MIN(CA23*TN23,(WZ23+AAM23))-MIN(MIN(CA23*TN23,(WZ23+AAM23)),AAM23))),WZ23)</f>
        <v>1270</v>
      </c>
      <c r="XB23" s="20" t="n">
        <f aca="false">IF(AND(H_Direct=1,CB23&gt;0),MAX(0,XA23-(MIN(CB23*TO23,(XA23+AAN23))-MIN(MIN(CB23*TO23,(XA23+AAN23)),AAN23))),XA23)</f>
        <v>1270</v>
      </c>
      <c r="XC23" s="20" t="n">
        <f aca="false">IF(AND(H_Direct=1,CC23&gt;0),MAX(0,XB23-(MIN(CC23*TP23,(XB23+AAO23))-MIN(MIN(CC23*TP23,(XB23+AAO23)),AAO23))),XB23)</f>
        <v>1270</v>
      </c>
      <c r="XD23" s="20" t="n">
        <f aca="false">IF(AND(H_Direct=1,CD23&gt;0),MAX(0,XC23-(MIN(CD23*TQ23,(XC23+AAP23))-MIN(MIN(CD23*TQ23,(XC23+AAP23)),AAP23))),XC23)</f>
        <v>1270</v>
      </c>
      <c r="XE23" s="20" t="n">
        <f aca="false">IF(AND(H_Direct=1,CE23&gt;0),MAX(0,XD23-(MIN(CE23*TR23,(XD23+AAQ23))-MIN(MIN(CE23*TR23,(XD23+AAQ23)),AAQ23))),XD23)</f>
        <v>1270</v>
      </c>
      <c r="XF23" s="20" t="n">
        <f aca="false">IF(AND(H_Direct=1,CF23&gt;0),MAX(0,XE23-(MIN(CF23*TS23,(XE23+AAR23))-MIN(MIN(CF23*TS23,(XE23+AAR23)),AAR23))),XE23)</f>
        <v>1270</v>
      </c>
      <c r="XG23" s="20" t="n">
        <f aca="false">IF(AND(H_Direct=1,CG23&gt;0),MAX(0,XF23-(MIN(CG23*TT23,(XF23+AAS23))-MIN(MIN(CG23*TT23,(XF23+AAS23)),AAS23))),XF23)</f>
        <v>1270</v>
      </c>
      <c r="XH23" s="20" t="n">
        <f aca="false">IF(AND(H_Direct=1,CH23&gt;0),MAX(0,XG23-(MIN(CH23*TU23,(XG23+AAT23))-MIN(MIN(CH23*TU23,(XG23+AAT23)),AAT23))),XG23)</f>
        <v>1270</v>
      </c>
      <c r="XI23" s="20" t="n">
        <f aca="false">XH23</f>
        <v>1270</v>
      </c>
      <c r="XJ23" s="20" t="n">
        <f aca="false">XI23</f>
        <v>1270</v>
      </c>
      <c r="XK23" s="20" t="n">
        <f aca="false">XJ23</f>
        <v>1270</v>
      </c>
      <c r="XL23" s="20" t="n">
        <f aca="false">XK23</f>
        <v>1270</v>
      </c>
      <c r="XM23" s="20" t="n">
        <f aca="false">XL23</f>
        <v>1270</v>
      </c>
      <c r="XN23" s="20" t="n">
        <f aca="false">XM23</f>
        <v>1270</v>
      </c>
      <c r="XO23" s="20" t="n">
        <f aca="false">XN23</f>
        <v>1270</v>
      </c>
      <c r="XP23" s="20" t="n">
        <f aca="false">XO23</f>
        <v>1270</v>
      </c>
      <c r="XQ23" s="20" t="n">
        <f aca="false">XP23</f>
        <v>1270</v>
      </c>
      <c r="XR23" s="20" t="n">
        <f aca="false">XQ23</f>
        <v>1270</v>
      </c>
      <c r="XS23" s="20" t="n">
        <f aca="false">XR23</f>
        <v>1270</v>
      </c>
      <c r="XT23" s="20" t="n">
        <f aca="false">XS23</f>
        <v>1270</v>
      </c>
      <c r="XU23" s="20" t="n">
        <f aca="false">XT23</f>
        <v>1270</v>
      </c>
      <c r="XV23" s="20" t="n">
        <f aca="false">XU23</f>
        <v>1270</v>
      </c>
      <c r="XW23" s="20" t="n">
        <f aca="false">XV23</f>
        <v>1270</v>
      </c>
      <c r="XX23" s="20" t="n">
        <f aca="false">XW23</f>
        <v>1270</v>
      </c>
      <c r="XY23" s="20" t="n">
        <f aca="false">XX23</f>
        <v>1270</v>
      </c>
      <c r="XZ23" s="20" t="n">
        <f aca="false">XY23</f>
        <v>1270</v>
      </c>
      <c r="YA23" s="20" t="n">
        <f aca="false">XZ23</f>
        <v>1270</v>
      </c>
      <c r="YB23" s="20" t="n">
        <f aca="false">YA23</f>
        <v>1270</v>
      </c>
      <c r="YC23" s="20" t="n">
        <f aca="false">YB23</f>
        <v>1270</v>
      </c>
      <c r="YD23" s="20" t="n">
        <f aca="false">YC23</f>
        <v>1270</v>
      </c>
      <c r="YE23" s="20" t="n">
        <f aca="false">YD23</f>
        <v>1270</v>
      </c>
      <c r="YF23" s="20" t="n">
        <f aca="false">YE23</f>
        <v>1270</v>
      </c>
      <c r="YG23" s="20" t="n">
        <f aca="false">YF23</f>
        <v>1270</v>
      </c>
      <c r="YH23" s="20" t="n">
        <f aca="false">YG23</f>
        <v>1270</v>
      </c>
      <c r="YI23" s="20" t="n">
        <f aca="false">YH23</f>
        <v>1270</v>
      </c>
      <c r="YJ23" s="20" t="n">
        <f aca="false">YI23</f>
        <v>1270</v>
      </c>
      <c r="YK23" s="20" t="n">
        <f aca="false">YJ23</f>
        <v>1270</v>
      </c>
      <c r="YL23" s="20" t="n">
        <f aca="false">YK23</f>
        <v>1270</v>
      </c>
      <c r="YM23" s="20" t="n">
        <f aca="false">YL23</f>
        <v>1270</v>
      </c>
      <c r="YN23" s="20" t="n">
        <f aca="false">YM23</f>
        <v>1270</v>
      </c>
      <c r="YO23" s="20" t="n">
        <f aca="false">YN23</f>
        <v>1270</v>
      </c>
      <c r="YP23" s="20" t="n">
        <f aca="false">YO23</f>
        <v>1270</v>
      </c>
      <c r="YQ23" s="20" t="n">
        <f aca="false">YP23</f>
        <v>1270</v>
      </c>
      <c r="YR23" s="20" t="n">
        <f aca="false">YQ23</f>
        <v>1270</v>
      </c>
      <c r="YS23" s="20" t="n">
        <f aca="false">YR23</f>
        <v>1270</v>
      </c>
      <c r="YT23" s="20" t="n">
        <f aca="false">YS23</f>
        <v>1270</v>
      </c>
      <c r="YU23" s="20" t="n">
        <f aca="false">YT23</f>
        <v>1270</v>
      </c>
      <c r="YV23" s="20" t="n">
        <f aca="false">YU23</f>
        <v>1270</v>
      </c>
      <c r="YW23" s="20" t="n">
        <f aca="false">YV23</f>
        <v>1270</v>
      </c>
      <c r="YX23" s="20" t="n">
        <f aca="false">YW23</f>
        <v>1270</v>
      </c>
      <c r="YY23" s="20" t="n">
        <f aca="false">YX23</f>
        <v>1270</v>
      </c>
      <c r="YZ23" s="20" t="n">
        <f aca="false">YY23</f>
        <v>1270</v>
      </c>
      <c r="ZA23" s="20" t="n">
        <f aca="false">YZ23</f>
        <v>1270</v>
      </c>
      <c r="ZB23" s="20" t="n">
        <f aca="false">ZA23</f>
        <v>1270</v>
      </c>
      <c r="ZC23" s="20" t="n">
        <f aca="false">ZB23</f>
        <v>1270</v>
      </c>
      <c r="ZD23" s="20" t="n">
        <f aca="false">ZC23</f>
        <v>1270</v>
      </c>
      <c r="ZE23" s="20" t="n">
        <f aca="false">ZD23</f>
        <v>1270</v>
      </c>
      <c r="ZF23" s="20" t="n">
        <f aca="false">ZE23</f>
        <v>1270</v>
      </c>
      <c r="ZG23" s="20" t="n">
        <f aca="false">ZF23</f>
        <v>1270</v>
      </c>
      <c r="ZH23" s="20" t="n">
        <f aca="false">ZG23</f>
        <v>1270</v>
      </c>
      <c r="ZI23" s="20" t="n">
        <f aca="false">ZH23</f>
        <v>1270</v>
      </c>
      <c r="ZJ23" s="20" t="n">
        <f aca="false">ZI23</f>
        <v>1270</v>
      </c>
      <c r="ZK23" s="20" t="n">
        <f aca="false">ZJ23</f>
        <v>1270</v>
      </c>
      <c r="ZL23" s="20" t="n">
        <f aca="false">ZK23</f>
        <v>1270</v>
      </c>
      <c r="ZM23" s="20" t="n">
        <f aca="false">ZL23</f>
        <v>1270</v>
      </c>
      <c r="ZN23" s="20" t="n">
        <f aca="false">ZM23</f>
        <v>1270</v>
      </c>
      <c r="ZO23" s="20" t="n">
        <f aca="false">ZN23</f>
        <v>1270</v>
      </c>
      <c r="ZP23" s="20" t="n">
        <f aca="false">ZO23</f>
        <v>1270</v>
      </c>
      <c r="ZQ23" s="20" t="n">
        <f aca="false">ZP23</f>
        <v>1270</v>
      </c>
      <c r="ZR23" s="20" t="n">
        <f aca="false">ZQ23</f>
        <v>1270</v>
      </c>
      <c r="ZS23" s="20" t="n">
        <f aca="false">ZR23</f>
        <v>1270</v>
      </c>
      <c r="ZT23" s="20" t="n">
        <f aca="false">ZS23</f>
        <v>1270</v>
      </c>
      <c r="ZU23" s="20" t="n">
        <f aca="false">ZT23</f>
        <v>1270</v>
      </c>
      <c r="ZV23" s="20" t="n">
        <f aca="false">ZU23</f>
        <v>1270</v>
      </c>
      <c r="ZW23" s="20" t="n">
        <f aca="false">ZV23</f>
        <v>1270</v>
      </c>
      <c r="ZX23" s="20" t="n">
        <f aca="false">ZW23</f>
        <v>1270</v>
      </c>
      <c r="ZY23" s="20" t="n">
        <f aca="false">ZX23</f>
        <v>1270</v>
      </c>
      <c r="ZZ23" s="20" t="n">
        <f aca="false">ZY23</f>
        <v>1270</v>
      </c>
      <c r="AAA23" s="20" t="n">
        <f aca="false">ZZ23</f>
        <v>1270</v>
      </c>
      <c r="AAB23" s="20" t="n">
        <f aca="false">AAA23</f>
        <v>1270</v>
      </c>
      <c r="AAC23" s="20" t="n">
        <f aca="false">AAB23</f>
        <v>1270</v>
      </c>
      <c r="AAD23" s="20" t="n">
        <f aca="false">AAC23</f>
        <v>1270</v>
      </c>
      <c r="AAE23" s="20" t="n">
        <f aca="false">IF(H_Direct=1,IF(BR23&lt;=0,I23-BR23*TE23,I23-MIN(MIN(BR23*TE23,(H23+I23)),I23)),I23)</f>
        <v>0</v>
      </c>
      <c r="AAF23" s="20" t="n">
        <f aca="false">IF(H_Direct=1,IF(BS23&lt;=0,AAE23-BS23*TF23,AAE23-MIN(MIN(BS23*TF23,(WR23+AAE23)),AAE23)),AAE23)</f>
        <v>0</v>
      </c>
      <c r="AAG23" s="20" t="n">
        <f aca="false">IF(H_Direct=1,IF(BT23&lt;=0,AAF23-BT23*TG23,AAF23-MIN(MIN(BT23*TG23,(WS23+AAF23)),AAF23)),AAF23)</f>
        <v>0</v>
      </c>
      <c r="AAH23" s="20" t="n">
        <f aca="false">IF(H_Direct=1,IF(BU23&lt;=0,AAG23-BU23*TH23,AAG23-MIN(MIN(BU23*TH23,(WT23+AAG23)),AAG23)),AAG23)</f>
        <v>0</v>
      </c>
      <c r="AAI23" s="20" t="n">
        <f aca="false">IF(H_Direct=1,IF(BV23&lt;=0,AAH23-BV23*TI23,AAH23-MIN(MIN(BV23*TI23,(WU23+AAH23)),AAH23)),AAH23)</f>
        <v>0</v>
      </c>
      <c r="AAJ23" s="20" t="n">
        <f aca="false">IF(H_Direct=1,IF(BW23&lt;=0,AAI23-BW23*TJ23,AAI23-MIN(MIN(BW23*TJ23,(WV23+AAI23)),AAI23)),AAI23)</f>
        <v>0</v>
      </c>
      <c r="AAK23" s="20" t="n">
        <f aca="false">IF(H_Direct=1,IF(BX23&lt;=0,AAJ23-BX23*TK23,AAJ23-MIN(MIN(BX23*TK23,(WW23+AAJ23)),AAJ23)),AAJ23)</f>
        <v>0</v>
      </c>
      <c r="AAL23" s="20" t="n">
        <f aca="false">IF(H_Direct=1,IF(BY23&lt;=0,AAK23-BY23*TL23,AAK23-MIN(MIN(BY23*TL23,(WX23+AAK23)),AAK23)),AAK23)</f>
        <v>0</v>
      </c>
      <c r="AAM23" s="20" t="n">
        <f aca="false">IF(H_Direct=1,IF(BZ23&lt;=0,AAL23-BZ23*TM23,AAL23-MIN(MIN(BZ23*TM23,(WY23+AAL23)),AAL23)),AAL23)</f>
        <v>0</v>
      </c>
      <c r="AAN23" s="20" t="n">
        <f aca="false">IF(H_Direct=1,IF(CA23&lt;=0,AAM23-CA23*TN23,AAM23-MIN(MIN(CA23*TN23,(WZ23+AAM23)),AAM23)),AAM23)</f>
        <v>0</v>
      </c>
      <c r="AAO23" s="20" t="n">
        <f aca="false">IF(H_Direct=1,IF(CB23&lt;=0,AAN23-CB23*TO23,AAN23-MIN(MIN(CB23*TO23,(XA23+AAN23)),AAN23)),AAN23)</f>
        <v>0</v>
      </c>
      <c r="AAP23" s="20" t="n">
        <f aca="false">IF(H_Direct=1,IF(CC23&lt;=0,AAO23-CC23*TP23,AAO23-MIN(MIN(CC23*TP23,(XB23+AAO23)),AAO23)),AAO23)</f>
        <v>0</v>
      </c>
      <c r="AAQ23" s="20" t="n">
        <f aca="false">IF(H_Direct=1,IF(CD23&lt;=0,AAP23-CD23*TQ23,AAP23-MIN(MIN(CD23*TQ23,(XC23+AAP23)),AAP23)),AAP23)</f>
        <v>0</v>
      </c>
      <c r="AAR23" s="20" t="n">
        <f aca="false">IF(H_Direct=1,IF(CE23&lt;=0,AAQ23-CE23*TR23,AAQ23-MIN(MIN(CE23*TR23,(XD23+AAQ23)),AAQ23)),AAQ23)</f>
        <v>0</v>
      </c>
      <c r="AAS23" s="20" t="n">
        <f aca="false">IF(H_Direct=1,IF(CF23&lt;=0,AAR23-CF23*TS23,AAR23-MIN(MIN(CF23*TS23,(XE23+AAR23)),AAR23)),AAR23)</f>
        <v>0</v>
      </c>
      <c r="AAT23" s="20" t="n">
        <f aca="false">IF(H_Direct=1,IF(CG23&lt;=0,AAS23-CG23*TT23,AAS23-MIN(MIN(CG23*TT23,(XF23+AAS23)),AAS23)),AAS23)</f>
        <v>0</v>
      </c>
      <c r="AAU23" s="20" t="n">
        <f aca="false">IF(H_Direct=1,IF(CH23&lt;=0,AAT23-CH23*TU23,AAT23-MIN(MIN(CH23*TU23,(XG23+AAT23)),AAT23)),AAT23)</f>
        <v>0</v>
      </c>
      <c r="AAV23" s="20" t="n">
        <f aca="false">AAU23</f>
        <v>0</v>
      </c>
      <c r="AAW23" s="20" t="n">
        <f aca="false">AAV23</f>
        <v>0</v>
      </c>
      <c r="AAX23" s="20" t="n">
        <f aca="false">AAW23</f>
        <v>0</v>
      </c>
      <c r="AAY23" s="20" t="n">
        <f aca="false">AAX23</f>
        <v>0</v>
      </c>
      <c r="AAZ23" s="20" t="n">
        <f aca="false">AAY23</f>
        <v>0</v>
      </c>
      <c r="ABA23" s="20" t="n">
        <f aca="false">AAZ23</f>
        <v>0</v>
      </c>
      <c r="ABB23" s="20" t="n">
        <f aca="false">ABA23</f>
        <v>0</v>
      </c>
      <c r="ABC23" s="20" t="n">
        <f aca="false">ABB23</f>
        <v>0</v>
      </c>
      <c r="ABD23" s="20" t="n">
        <f aca="false">ABC23</f>
        <v>0</v>
      </c>
      <c r="ABE23" s="20" t="n">
        <f aca="false">ABD23</f>
        <v>0</v>
      </c>
      <c r="ABF23" s="20" t="n">
        <f aca="false">ABE23</f>
        <v>0</v>
      </c>
      <c r="ABG23" s="20" t="n">
        <f aca="false">ABF23</f>
        <v>0</v>
      </c>
      <c r="ABH23" s="20" t="n">
        <f aca="false">ABG23</f>
        <v>0</v>
      </c>
      <c r="ABI23" s="20" t="n">
        <f aca="false">ABH23</f>
        <v>0</v>
      </c>
      <c r="ABJ23" s="20" t="n">
        <f aca="false">ABI23</f>
        <v>0</v>
      </c>
      <c r="ABK23" s="20" t="n">
        <f aca="false">ABJ23</f>
        <v>0</v>
      </c>
      <c r="ABL23" s="20" t="n">
        <f aca="false">ABK23</f>
        <v>0</v>
      </c>
      <c r="ABM23" s="20" t="n">
        <f aca="false">ABL23</f>
        <v>0</v>
      </c>
      <c r="ABN23" s="20" t="n">
        <f aca="false">ABM23</f>
        <v>0</v>
      </c>
      <c r="ABO23" s="20" t="n">
        <f aca="false">ABN23</f>
        <v>0</v>
      </c>
      <c r="ABP23" s="20" t="n">
        <f aca="false">ABO23</f>
        <v>0</v>
      </c>
      <c r="ABQ23" s="20" t="n">
        <f aca="false">ABP23</f>
        <v>0</v>
      </c>
      <c r="ABR23" s="20" t="n">
        <f aca="false">ABQ23</f>
        <v>0</v>
      </c>
      <c r="ABS23" s="20" t="n">
        <f aca="false">ABR23</f>
        <v>0</v>
      </c>
      <c r="ABT23" s="20" t="n">
        <f aca="false">ABS23</f>
        <v>0</v>
      </c>
      <c r="ABU23" s="20" t="n">
        <f aca="false">ABT23</f>
        <v>0</v>
      </c>
      <c r="ABV23" s="20" t="n">
        <f aca="false">ABU23</f>
        <v>0</v>
      </c>
      <c r="ABW23" s="20" t="n">
        <f aca="false">ABV23</f>
        <v>0</v>
      </c>
      <c r="ABX23" s="20" t="n">
        <f aca="false">ABW23</f>
        <v>0</v>
      </c>
      <c r="ABY23" s="20" t="n">
        <f aca="false">ABX23</f>
        <v>0</v>
      </c>
      <c r="ABZ23" s="20" t="n">
        <f aca="false">ABY23</f>
        <v>0</v>
      </c>
      <c r="ACA23" s="20" t="n">
        <f aca="false">ABZ23</f>
        <v>0</v>
      </c>
      <c r="ACB23" s="20" t="n">
        <f aca="false">ACA23</f>
        <v>0</v>
      </c>
      <c r="ACC23" s="20" t="n">
        <f aca="false">ACB23</f>
        <v>0</v>
      </c>
      <c r="ACD23" s="20" t="n">
        <f aca="false">ACC23</f>
        <v>0</v>
      </c>
      <c r="ACE23" s="20" t="n">
        <f aca="false">ACD23</f>
        <v>0</v>
      </c>
      <c r="ACF23" s="20" t="n">
        <f aca="false">ACE23</f>
        <v>0</v>
      </c>
      <c r="ACG23" s="20" t="n">
        <f aca="false">ACF23</f>
        <v>0</v>
      </c>
      <c r="ACH23" s="20" t="n">
        <f aca="false">ACG23</f>
        <v>0</v>
      </c>
      <c r="ACI23" s="20" t="n">
        <f aca="false">ACH23</f>
        <v>0</v>
      </c>
      <c r="ACJ23" s="20" t="n">
        <f aca="false">ACI23</f>
        <v>0</v>
      </c>
      <c r="ACK23" s="20" t="n">
        <f aca="false">ACJ23</f>
        <v>0</v>
      </c>
      <c r="ACL23" s="20" t="n">
        <f aca="false">ACK23</f>
        <v>0</v>
      </c>
      <c r="ACM23" s="20" t="n">
        <f aca="false">ACL23</f>
        <v>0</v>
      </c>
      <c r="ACN23" s="20" t="n">
        <f aca="false">ACM23</f>
        <v>0</v>
      </c>
      <c r="ACO23" s="20" t="n">
        <f aca="false">ACN23</f>
        <v>0</v>
      </c>
      <c r="ACP23" s="20" t="n">
        <f aca="false">ACO23</f>
        <v>0</v>
      </c>
      <c r="ACQ23" s="20" t="n">
        <f aca="false">ACP23</f>
        <v>0</v>
      </c>
      <c r="ACR23" s="20" t="n">
        <f aca="false">ACQ23</f>
        <v>0</v>
      </c>
      <c r="ACS23" s="20" t="n">
        <f aca="false">ACR23</f>
        <v>0</v>
      </c>
      <c r="ACT23" s="20" t="n">
        <f aca="false">ACS23</f>
        <v>0</v>
      </c>
      <c r="ACU23" s="20" t="n">
        <f aca="false">ACT23</f>
        <v>0</v>
      </c>
      <c r="ACV23" s="20" t="n">
        <f aca="false">ACU23</f>
        <v>0</v>
      </c>
      <c r="ACW23" s="20" t="n">
        <f aca="false">ACV23</f>
        <v>0</v>
      </c>
      <c r="ACX23" s="20" t="n">
        <f aca="false">ACW23</f>
        <v>0</v>
      </c>
      <c r="ACY23" s="20" t="n">
        <f aca="false">ACX23</f>
        <v>0</v>
      </c>
      <c r="ACZ23" s="20" t="n">
        <f aca="false">ACY23</f>
        <v>0</v>
      </c>
      <c r="ADA23" s="20" t="n">
        <f aca="false">ACZ23</f>
        <v>0</v>
      </c>
      <c r="ADB23" s="20" t="n">
        <f aca="false">ADA23</f>
        <v>0</v>
      </c>
      <c r="ADC23" s="20" t="n">
        <f aca="false">ADB23</f>
        <v>0</v>
      </c>
      <c r="ADD23" s="20" t="n">
        <f aca="false">ADC23</f>
        <v>0</v>
      </c>
      <c r="ADE23" s="20" t="n">
        <f aca="false">ADD23</f>
        <v>0</v>
      </c>
      <c r="ADF23" s="20" t="n">
        <f aca="false">ADE23</f>
        <v>0</v>
      </c>
      <c r="ADG23" s="20" t="n">
        <f aca="false">ADF23</f>
        <v>0</v>
      </c>
      <c r="ADH23" s="20" t="n">
        <f aca="false">ADG23</f>
        <v>0</v>
      </c>
      <c r="ADI23" s="20" t="n">
        <f aca="false">ADH23</f>
        <v>0</v>
      </c>
      <c r="ADJ23" s="20" t="n">
        <f aca="false">ADI23</f>
        <v>0</v>
      </c>
      <c r="ADK23" s="20" t="n">
        <f aca="false">ADJ23</f>
        <v>0</v>
      </c>
      <c r="ADL23" s="20" t="n">
        <f aca="false">ADK23</f>
        <v>0</v>
      </c>
      <c r="ADM23" s="20" t="n">
        <f aca="false">ADL23</f>
        <v>0</v>
      </c>
      <c r="ADN23" s="20" t="n">
        <f aca="false">ADM23</f>
        <v>0</v>
      </c>
      <c r="ADO23" s="20" t="n">
        <f aca="false">ADN23</f>
        <v>0</v>
      </c>
      <c r="ADP23" s="20" t="n">
        <f aca="false">ADO23</f>
        <v>0</v>
      </c>
      <c r="ADQ23" s="20" t="n">
        <f aca="false">ADP23</f>
        <v>0</v>
      </c>
      <c r="ADR23" s="20" t="n">
        <f aca="false">(AKR22-TE23+0)*(1+BQ23)</f>
        <v>0</v>
      </c>
      <c r="ADS23" s="20" t="n">
        <f aca="false">(AKS22-TF23+0)*(1+BQ23)</f>
        <v>0</v>
      </c>
      <c r="ADT23" s="20" t="n">
        <f aca="false">(AKT22-TG23+0)*(1+BQ23)</f>
        <v>0</v>
      </c>
      <c r="ADU23" s="20" t="n">
        <f aca="false">(AKU22-TH23+0)*(1+BQ23)</f>
        <v>0</v>
      </c>
      <c r="ADV23" s="20" t="n">
        <f aca="false">(AKV22-TI23+0)*(1+BQ23)</f>
        <v>0</v>
      </c>
      <c r="ADW23" s="20" t="n">
        <f aca="false">(AKW22-TJ23+0)*(1+BQ23)</f>
        <v>0</v>
      </c>
      <c r="ADX23" s="20" t="n">
        <f aca="false">(AKX22-TK23+0)*(1+BQ23)</f>
        <v>0</v>
      </c>
      <c r="ADY23" s="20" t="n">
        <f aca="false">(AKY22-TL23+0)*(1+BQ23)</f>
        <v>0</v>
      </c>
      <c r="ADZ23" s="20" t="n">
        <f aca="false">(AKZ22-TM23+0)*(1+BQ23)</f>
        <v>0</v>
      </c>
      <c r="AEA23" s="20" t="n">
        <f aca="false">(ALA22-TN23+0)*(1+BQ23)</f>
        <v>0</v>
      </c>
      <c r="AEB23" s="20" t="n">
        <f aca="false">(ALB22-TO23+0)*(1+BQ23)</f>
        <v>0</v>
      </c>
      <c r="AEC23" s="20" t="n">
        <f aca="false">(ALC22-TP23+0)*(1+BQ23)</f>
        <v>691.720704215359</v>
      </c>
      <c r="AED23" s="20" t="n">
        <f aca="false">(ALD22-TQ23+0)*(1+BQ23)</f>
        <v>870.162634677566</v>
      </c>
      <c r="AEE23" s="20" t="n">
        <f aca="false">(ALE22-TR23+0)*(1+BQ23)</f>
        <v>1041.34147116095</v>
      </c>
      <c r="AEF23" s="20" t="n">
        <f aca="false">(ALF22-TS23+0)*(1+BQ23)</f>
        <v>1170.99398958713</v>
      </c>
      <c r="AEG23" s="20" t="n">
        <f aca="false">(ALG22-TT23+0)*(1+BQ23)</f>
        <v>1126.15447363897</v>
      </c>
      <c r="AEH23" s="20" t="n">
        <f aca="false">((P23+S23)-TU23+BE23)*(1+BQ23)</f>
        <v>1082.39187531255</v>
      </c>
      <c r="AEI23" s="20" t="n">
        <v>0</v>
      </c>
      <c r="AEJ23" s="20" t="n">
        <v>0</v>
      </c>
      <c r="AEK23" s="20" t="n">
        <v>0</v>
      </c>
      <c r="AEL23" s="20" t="n">
        <v>0</v>
      </c>
      <c r="AEM23" s="20" t="n">
        <v>0</v>
      </c>
      <c r="AEN23" s="20" t="n">
        <v>0</v>
      </c>
      <c r="AEO23" s="20" t="n">
        <v>0</v>
      </c>
      <c r="AEP23" s="20" t="n">
        <v>0</v>
      </c>
      <c r="AEQ23" s="20" t="n">
        <v>0</v>
      </c>
      <c r="AER23" s="20" t="n">
        <v>0</v>
      </c>
      <c r="AES23" s="20" t="n">
        <v>0</v>
      </c>
      <c r="AET23" s="20" t="n">
        <v>0</v>
      </c>
      <c r="AEU23" s="20" t="n">
        <v>0</v>
      </c>
      <c r="AEV23" s="20" t="n">
        <v>0</v>
      </c>
      <c r="AEW23" s="20" t="n">
        <v>0</v>
      </c>
      <c r="AEX23" s="20" t="n">
        <v>0</v>
      </c>
      <c r="AEY23" s="20" t="n">
        <v>0</v>
      </c>
      <c r="AEZ23" s="20" t="n">
        <v>0</v>
      </c>
      <c r="AFA23" s="20" t="n">
        <v>0</v>
      </c>
      <c r="AFB23" s="20" t="n">
        <v>0</v>
      </c>
      <c r="AFC23" s="20" t="n">
        <v>0</v>
      </c>
      <c r="AFD23" s="20" t="n">
        <v>0</v>
      </c>
      <c r="AFE23" s="20" t="n">
        <v>0</v>
      </c>
      <c r="AFF23" s="20" t="n">
        <v>0</v>
      </c>
      <c r="AFG23" s="20" t="n">
        <v>0</v>
      </c>
      <c r="AFH23" s="20" t="n">
        <v>0</v>
      </c>
      <c r="AFI23" s="20" t="n">
        <v>0</v>
      </c>
      <c r="AFJ23" s="20" t="n">
        <v>0</v>
      </c>
      <c r="AFK23" s="20" t="n">
        <v>0</v>
      </c>
      <c r="AFL23" s="20" t="n">
        <v>0</v>
      </c>
      <c r="AFM23" s="20" t="n">
        <v>0</v>
      </c>
      <c r="AFN23" s="20" t="n">
        <v>0</v>
      </c>
      <c r="AFO23" s="20" t="n">
        <v>0</v>
      </c>
      <c r="AFP23" s="20" t="n">
        <v>0</v>
      </c>
      <c r="AFQ23" s="20" t="n">
        <v>0</v>
      </c>
      <c r="AFR23" s="20" t="n">
        <v>0</v>
      </c>
      <c r="AFS23" s="20" t="n">
        <v>0</v>
      </c>
      <c r="AFT23" s="20" t="n">
        <v>0</v>
      </c>
      <c r="AFU23" s="20" t="n">
        <v>0</v>
      </c>
      <c r="AFV23" s="20" t="n">
        <v>0</v>
      </c>
      <c r="AFW23" s="20" t="n">
        <v>0</v>
      </c>
      <c r="AFX23" s="20" t="n">
        <v>0</v>
      </c>
      <c r="AFY23" s="20" t="n">
        <v>0</v>
      </c>
      <c r="AFZ23" s="20" t="n">
        <v>0</v>
      </c>
      <c r="AGA23" s="20" t="n">
        <v>0</v>
      </c>
      <c r="AGB23" s="20" t="n">
        <v>0</v>
      </c>
      <c r="AGC23" s="20" t="n">
        <v>0</v>
      </c>
      <c r="AGD23" s="20" t="n">
        <v>0</v>
      </c>
      <c r="AGE23" s="20" t="n">
        <v>0</v>
      </c>
      <c r="AGF23" s="20" t="n">
        <v>0</v>
      </c>
      <c r="AGG23" s="20" t="n">
        <v>0</v>
      </c>
      <c r="AGH23" s="20" t="n">
        <v>0</v>
      </c>
      <c r="AGI23" s="20" t="n">
        <v>0</v>
      </c>
      <c r="AGJ23" s="20" t="n">
        <v>0</v>
      </c>
      <c r="AGK23" s="20" t="n">
        <v>0</v>
      </c>
      <c r="AGL23" s="20" t="n">
        <v>0</v>
      </c>
      <c r="AGM23" s="20" t="n">
        <v>0</v>
      </c>
      <c r="AGN23" s="20" t="n">
        <v>0</v>
      </c>
      <c r="AGO23" s="20" t="n">
        <v>0</v>
      </c>
      <c r="AGP23" s="20" t="n">
        <v>0</v>
      </c>
      <c r="AGQ23" s="20" t="n">
        <v>0</v>
      </c>
      <c r="AGR23" s="20" t="n">
        <v>0</v>
      </c>
      <c r="AGS23" s="20" t="n">
        <v>0</v>
      </c>
      <c r="AGT23" s="20" t="n">
        <v>0</v>
      </c>
      <c r="AGU23" s="20" t="n">
        <v>0</v>
      </c>
      <c r="AGV23" s="20" t="n">
        <v>0</v>
      </c>
      <c r="AGW23" s="20" t="n">
        <v>0</v>
      </c>
      <c r="AGX23" s="20" t="n">
        <v>0</v>
      </c>
      <c r="AGY23" s="20" t="n">
        <v>0</v>
      </c>
      <c r="AGZ23" s="20" t="n">
        <v>0</v>
      </c>
      <c r="AHA23" s="20" t="n">
        <v>0</v>
      </c>
      <c r="AHB23" s="20" t="n">
        <v>0</v>
      </c>
      <c r="AHC23" s="20" t="n">
        <v>0</v>
      </c>
      <c r="AHD23" s="20" t="n">
        <v>0</v>
      </c>
      <c r="AHE23" s="20" t="n">
        <f aca="false">IF(AKR22&gt;0,AOE22-AOE22*TE23/AKR22,0)+0</f>
        <v>0</v>
      </c>
      <c r="AHF23" s="20" t="n">
        <f aca="false">IF(AKS22&gt;0,AOF22-AOF22*TF23/AKS22,0)+0</f>
        <v>0</v>
      </c>
      <c r="AHG23" s="20" t="n">
        <f aca="false">IF(AKT22&gt;0,AOG22-AOG22*TG23/AKT22,0)+0</f>
        <v>0</v>
      </c>
      <c r="AHH23" s="20" t="n">
        <f aca="false">IF(AKU22&gt;0,AOH22-AOH22*TH23/AKU22,0)+0</f>
        <v>0</v>
      </c>
      <c r="AHI23" s="20" t="n">
        <f aca="false">IF(AKV22&gt;0,AOI22-AOI22*TI23/AKV22,0)+0</f>
        <v>0</v>
      </c>
      <c r="AHJ23" s="20" t="n">
        <f aca="false">IF(AKW22&gt;0,AOJ22-AOJ22*TJ23/AKW22,0)+0</f>
        <v>0</v>
      </c>
      <c r="AHK23" s="20" t="n">
        <f aca="false">IF(AKX22&gt;0,AOK22-AOK22*TK23/AKX22,0)+0</f>
        <v>0</v>
      </c>
      <c r="AHL23" s="20" t="n">
        <f aca="false">IF(AKY22&gt;0,AOL22-AOL22*TL23/AKY22,0)+0</f>
        <v>0</v>
      </c>
      <c r="AHM23" s="20" t="n">
        <f aca="false">IF(AKZ22&gt;0,AOM22-AOM22*TM23/AKZ22,0)+0</f>
        <v>0</v>
      </c>
      <c r="AHN23" s="20" t="n">
        <f aca="false">IF(ALA22&gt;0,AON22-AON22*TN23/ALA22,0)+0</f>
        <v>0</v>
      </c>
      <c r="AHO23" s="20" t="n">
        <f aca="false">IF(ALB22&gt;0,AOO22-AOO22*TO23/ALB22,0)+0</f>
        <v>0</v>
      </c>
      <c r="AHP23" s="20" t="n">
        <f aca="false">IF(ALC22&gt;0,AOP22-AOP22*TP23/ALC22,0)+0</f>
        <v>546.676920289684</v>
      </c>
      <c r="AHQ23" s="20" t="n">
        <f aca="false">IF(ALD22&gt;0,AOQ22-AOQ22*TQ23/ALD22,0)+0</f>
        <v>715.210256730627</v>
      </c>
      <c r="AHR23" s="20" t="n">
        <f aca="false">IF(ALE22&gt;0,AOR22-AOR22*TR23/ALE22,0)+0</f>
        <v>890.143053841438</v>
      </c>
      <c r="AHS23" s="20" t="n">
        <f aca="false">IF(ALF22&gt;0,AOS22-AOS22*TS23/ALF22,0)+0</f>
        <v>1041.00939276848</v>
      </c>
      <c r="AHT23" s="20" t="n">
        <f aca="false">IF(ALG22&gt;0,AOT22-AOT22*TT23/ALG22,0)+0</f>
        <v>1041.19311542065</v>
      </c>
      <c r="AHU23" s="20" t="n">
        <f aca="false">IF((P23+S23)&gt;0,(P23+S23)-(P23+S23)*TU23/(P23+S23),0)+BE23</f>
        <v>1040.76141856976</v>
      </c>
      <c r="AHV23" s="20" t="n">
        <v>0</v>
      </c>
      <c r="AHW23" s="20" t="n">
        <v>0</v>
      </c>
      <c r="AHX23" s="20" t="n">
        <v>0</v>
      </c>
      <c r="AHY23" s="20" t="n">
        <v>0</v>
      </c>
      <c r="AHZ23" s="20" t="n">
        <v>0</v>
      </c>
      <c r="AIA23" s="20" t="n">
        <v>0</v>
      </c>
      <c r="AIB23" s="20" t="n">
        <v>0</v>
      </c>
      <c r="AIC23" s="20" t="n">
        <v>0</v>
      </c>
      <c r="AID23" s="20" t="n">
        <v>0</v>
      </c>
      <c r="AIE23" s="20" t="n">
        <v>0</v>
      </c>
      <c r="AIF23" s="20" t="n">
        <v>0</v>
      </c>
      <c r="AIG23" s="20" t="n">
        <v>0</v>
      </c>
      <c r="AIH23" s="20" t="n">
        <v>0</v>
      </c>
      <c r="AII23" s="20" t="n">
        <v>0</v>
      </c>
      <c r="AIJ23" s="20" t="n">
        <v>0</v>
      </c>
      <c r="AIK23" s="20" t="n">
        <v>0</v>
      </c>
      <c r="AIL23" s="20" t="n">
        <v>0</v>
      </c>
      <c r="AIM23" s="20" t="n">
        <v>0</v>
      </c>
      <c r="AIN23" s="20" t="n">
        <v>0</v>
      </c>
      <c r="AIO23" s="20" t="n">
        <v>0</v>
      </c>
      <c r="AIP23" s="20" t="n">
        <v>0</v>
      </c>
      <c r="AIQ23" s="20" t="n">
        <v>0</v>
      </c>
      <c r="AIR23" s="20" t="n">
        <v>0</v>
      </c>
      <c r="AIS23" s="20" t="n">
        <v>0</v>
      </c>
      <c r="AIT23" s="20" t="n">
        <v>0</v>
      </c>
      <c r="AIU23" s="20" t="n">
        <v>0</v>
      </c>
      <c r="AIV23" s="20" t="n">
        <v>0</v>
      </c>
      <c r="AIW23" s="20" t="n">
        <v>0</v>
      </c>
      <c r="AIX23" s="20" t="n">
        <v>0</v>
      </c>
      <c r="AIY23" s="20" t="n">
        <v>0</v>
      </c>
      <c r="AIZ23" s="20" t="n">
        <v>0</v>
      </c>
      <c r="AJA23" s="20" t="n">
        <v>0</v>
      </c>
      <c r="AJB23" s="20" t="n">
        <v>0</v>
      </c>
      <c r="AJC23" s="20" t="n">
        <v>0</v>
      </c>
      <c r="AJD23" s="20" t="n">
        <v>0</v>
      </c>
      <c r="AJE23" s="20" t="n">
        <v>0</v>
      </c>
      <c r="AJF23" s="20" t="n">
        <v>0</v>
      </c>
      <c r="AJG23" s="20" t="n">
        <v>0</v>
      </c>
      <c r="AJH23" s="20" t="n">
        <v>0</v>
      </c>
      <c r="AJI23" s="20" t="n">
        <v>0</v>
      </c>
      <c r="AJJ23" s="20" t="n">
        <v>0</v>
      </c>
      <c r="AJK23" s="20" t="n">
        <v>0</v>
      </c>
      <c r="AJL23" s="20" t="n">
        <v>0</v>
      </c>
      <c r="AJM23" s="20" t="n">
        <v>0</v>
      </c>
      <c r="AJN23" s="20" t="n">
        <v>0</v>
      </c>
      <c r="AJO23" s="20" t="n">
        <v>0</v>
      </c>
      <c r="AJP23" s="20" t="n">
        <v>0</v>
      </c>
      <c r="AJQ23" s="20" t="n">
        <v>0</v>
      </c>
      <c r="AJR23" s="20" t="n">
        <v>0</v>
      </c>
      <c r="AJS23" s="20" t="n">
        <v>0</v>
      </c>
      <c r="AJT23" s="20" t="n">
        <v>0</v>
      </c>
      <c r="AJU23" s="20" t="n">
        <v>0</v>
      </c>
      <c r="AJV23" s="20" t="n">
        <v>0</v>
      </c>
      <c r="AJW23" s="20" t="n">
        <v>0</v>
      </c>
      <c r="AJX23" s="20" t="n">
        <v>0</v>
      </c>
      <c r="AJY23" s="20" t="n">
        <v>0</v>
      </c>
      <c r="AJZ23" s="20" t="n">
        <v>0</v>
      </c>
      <c r="AKA23" s="20" t="n">
        <v>0</v>
      </c>
      <c r="AKB23" s="20" t="n">
        <v>0</v>
      </c>
      <c r="AKC23" s="20" t="n">
        <v>0</v>
      </c>
      <c r="AKD23" s="20" t="n">
        <v>0</v>
      </c>
      <c r="AKE23" s="20" t="n">
        <v>0</v>
      </c>
      <c r="AKF23" s="20" t="n">
        <v>0</v>
      </c>
      <c r="AKG23" s="20" t="n">
        <v>0</v>
      </c>
      <c r="AKH23" s="20" t="n">
        <v>0</v>
      </c>
      <c r="AKI23" s="20" t="n">
        <v>0</v>
      </c>
      <c r="AKJ23" s="20" t="n">
        <v>0</v>
      </c>
      <c r="AKK23" s="20" t="n">
        <v>0</v>
      </c>
      <c r="AKL23" s="20" t="n">
        <v>0</v>
      </c>
      <c r="AKM23" s="20" t="n">
        <v>0</v>
      </c>
      <c r="AKN23" s="20" t="n">
        <v>0</v>
      </c>
      <c r="AKO23" s="20" t="n">
        <v>0</v>
      </c>
      <c r="AKP23" s="20" t="n">
        <v>0</v>
      </c>
      <c r="AKQ23" s="20" t="n">
        <v>0</v>
      </c>
      <c r="AKR23" s="20" t="n">
        <f aca="false">ADR23-AVE23</f>
        <v>0</v>
      </c>
      <c r="AKS23" s="20" t="n">
        <f aca="false">ADS23-AVF23</f>
        <v>0</v>
      </c>
      <c r="AKT23" s="20" t="n">
        <f aca="false">ADT23-AVG23</f>
        <v>0</v>
      </c>
      <c r="AKU23" s="20" t="n">
        <f aca="false">ADU23-AVH23</f>
        <v>0</v>
      </c>
      <c r="AKV23" s="20" t="n">
        <f aca="false">ADV23-AVI23</f>
        <v>0</v>
      </c>
      <c r="AKW23" s="20" t="n">
        <f aca="false">ADW23-AVJ23</f>
        <v>0</v>
      </c>
      <c r="AKX23" s="20" t="n">
        <f aca="false">ADX23-AVK23</f>
        <v>0</v>
      </c>
      <c r="AKY23" s="20" t="n">
        <f aca="false">ADY23-AVL23</f>
        <v>0</v>
      </c>
      <c r="AKZ23" s="20" t="n">
        <f aca="false">ADZ23-AVM23</f>
        <v>0</v>
      </c>
      <c r="ALA23" s="20" t="n">
        <f aca="false">AEA23-AVN23</f>
        <v>0</v>
      </c>
      <c r="ALB23" s="20" t="n">
        <f aca="false">AEB23-AVO23</f>
        <v>0</v>
      </c>
      <c r="ALC23" s="20" t="n">
        <f aca="false">AEC23-AVP23</f>
        <v>691.720704215359</v>
      </c>
      <c r="ALD23" s="20" t="n">
        <f aca="false">AED23-AVQ23</f>
        <v>870.162634677566</v>
      </c>
      <c r="ALE23" s="20" t="n">
        <f aca="false">AEE23-AVR23</f>
        <v>1041.34147116095</v>
      </c>
      <c r="ALF23" s="20" t="n">
        <f aca="false">AEF23-AVS23</f>
        <v>1170.99398958713</v>
      </c>
      <c r="ALG23" s="20" t="n">
        <f aca="false">AEG23-AVT23</f>
        <v>1126.15447363897</v>
      </c>
      <c r="ALH23" s="20" t="n">
        <f aca="false">AEH23-AVU23</f>
        <v>1082.39187531255</v>
      </c>
      <c r="ALI23" s="20" t="n">
        <v>0</v>
      </c>
      <c r="ALJ23" s="20" t="n">
        <v>0</v>
      </c>
      <c r="ALK23" s="20" t="n">
        <v>0</v>
      </c>
      <c r="ALL23" s="20" t="n">
        <v>0</v>
      </c>
      <c r="ALM23" s="20" t="n">
        <v>0</v>
      </c>
      <c r="ALN23" s="20" t="n">
        <v>0</v>
      </c>
      <c r="ALO23" s="20" t="n">
        <v>0</v>
      </c>
      <c r="ALP23" s="20" t="n">
        <v>0</v>
      </c>
      <c r="ALQ23" s="20" t="n">
        <v>0</v>
      </c>
      <c r="ALR23" s="20" t="n">
        <v>0</v>
      </c>
      <c r="ALS23" s="20" t="n">
        <v>0</v>
      </c>
      <c r="ALT23" s="20" t="n">
        <v>0</v>
      </c>
      <c r="ALU23" s="20" t="n">
        <v>0</v>
      </c>
      <c r="ALV23" s="20" t="n">
        <v>0</v>
      </c>
      <c r="ALW23" s="20" t="n">
        <v>0</v>
      </c>
      <c r="ALX23" s="20" t="n">
        <v>0</v>
      </c>
      <c r="ALY23" s="20" t="n">
        <v>0</v>
      </c>
      <c r="ALZ23" s="20" t="n">
        <v>0</v>
      </c>
      <c r="AMA23" s="20" t="n">
        <v>0</v>
      </c>
      <c r="AMB23" s="20" t="n">
        <v>0</v>
      </c>
      <c r="AMC23" s="20" t="n">
        <v>0</v>
      </c>
      <c r="AMD23" s="20" t="n">
        <v>0</v>
      </c>
      <c r="AME23" s="20" t="n">
        <v>0</v>
      </c>
      <c r="AMF23" s="20" t="n">
        <v>0</v>
      </c>
      <c r="AMG23" s="20" t="n">
        <v>0</v>
      </c>
      <c r="AMH23" s="20" t="n">
        <v>0</v>
      </c>
      <c r="AMI23" s="20" t="n">
        <v>0</v>
      </c>
      <c r="AMJ23" s="20" t="n">
        <v>0</v>
      </c>
      <c r="AMK23" s="20" t="n">
        <v>0</v>
      </c>
      <c r="AML23" s="20" t="n">
        <v>0</v>
      </c>
      <c r="AMM23" s="20" t="n">
        <v>0</v>
      </c>
      <c r="AMN23" s="20" t="n">
        <v>0</v>
      </c>
      <c r="AMO23" s="20" t="n">
        <v>0</v>
      </c>
      <c r="AMP23" s="20" t="n">
        <v>0</v>
      </c>
      <c r="AMQ23" s="20" t="n">
        <v>0</v>
      </c>
      <c r="AMR23" s="20" t="n">
        <v>0</v>
      </c>
      <c r="AMS23" s="20" t="n">
        <v>0</v>
      </c>
      <c r="AMT23" s="20" t="n">
        <v>0</v>
      </c>
      <c r="AMU23" s="20" t="n">
        <v>0</v>
      </c>
      <c r="AMV23" s="20" t="n">
        <v>0</v>
      </c>
      <c r="AMW23" s="20" t="n">
        <v>0</v>
      </c>
      <c r="AMX23" s="20" t="n">
        <v>0</v>
      </c>
      <c r="AMY23" s="20" t="n">
        <v>0</v>
      </c>
      <c r="AMZ23" s="20" t="n">
        <v>0</v>
      </c>
      <c r="ANA23" s="20" t="n">
        <v>0</v>
      </c>
      <c r="ANB23" s="20" t="n">
        <v>0</v>
      </c>
      <c r="ANC23" s="20" t="n">
        <v>0</v>
      </c>
      <c r="AND23" s="20" t="n">
        <v>0</v>
      </c>
      <c r="ANE23" s="20" t="n">
        <v>0</v>
      </c>
      <c r="ANF23" s="20" t="n">
        <v>0</v>
      </c>
      <c r="ANG23" s="20" t="n">
        <v>0</v>
      </c>
      <c r="ANH23" s="20" t="n">
        <v>0</v>
      </c>
      <c r="ANI23" s="20" t="n">
        <v>0</v>
      </c>
      <c r="ANJ23" s="20" t="n">
        <v>0</v>
      </c>
      <c r="ANK23" s="20" t="n">
        <v>0</v>
      </c>
      <c r="ANL23" s="20" t="n">
        <v>0</v>
      </c>
      <c r="ANM23" s="20" t="n">
        <v>0</v>
      </c>
      <c r="ANN23" s="20" t="n">
        <v>0</v>
      </c>
      <c r="ANO23" s="20" t="n">
        <v>0</v>
      </c>
      <c r="ANP23" s="20" t="n">
        <v>0</v>
      </c>
      <c r="ANQ23" s="20" t="n">
        <v>0</v>
      </c>
      <c r="ANR23" s="20" t="n">
        <v>0</v>
      </c>
      <c r="ANS23" s="20" t="n">
        <v>0</v>
      </c>
      <c r="ANT23" s="20" t="n">
        <v>0</v>
      </c>
      <c r="ANU23" s="20" t="n">
        <v>0</v>
      </c>
      <c r="ANV23" s="20" t="n">
        <v>0</v>
      </c>
      <c r="ANW23" s="20" t="n">
        <v>0</v>
      </c>
      <c r="ANX23" s="20" t="n">
        <v>0</v>
      </c>
      <c r="ANY23" s="20" t="n">
        <v>0</v>
      </c>
      <c r="ANZ23" s="20" t="n">
        <v>0</v>
      </c>
      <c r="AOA23" s="20" t="n">
        <v>0</v>
      </c>
      <c r="AOB23" s="20" t="n">
        <v>0</v>
      </c>
      <c r="AOC23" s="20" t="n">
        <v>0</v>
      </c>
      <c r="AOD23" s="20" t="n">
        <v>0</v>
      </c>
      <c r="AOE23" s="20" t="n">
        <f aca="false">IF(AND(H_Direct=0,H_TaxEvt=1,ARR22+1&gt;=H_Deemed),AKR23,AHE23)</f>
        <v>0</v>
      </c>
      <c r="AOF23" s="20" t="n">
        <f aca="false">IF(AND(H_Direct=0,H_TaxEvt=1,ARS22+1&gt;=H_Deemed),AKS23,AHF23)</f>
        <v>0</v>
      </c>
      <c r="AOG23" s="20" t="n">
        <f aca="false">IF(AND(H_Direct=0,H_TaxEvt=1,ART22+1&gt;=H_Deemed),AKT23,AHG23)</f>
        <v>0</v>
      </c>
      <c r="AOH23" s="20" t="n">
        <f aca="false">IF(AND(H_Direct=0,H_TaxEvt=1,ARU22+1&gt;=H_Deemed),AKU23,AHH23)</f>
        <v>0</v>
      </c>
      <c r="AOI23" s="20" t="n">
        <f aca="false">IF(AND(H_Direct=0,H_TaxEvt=1,ARV22+1&gt;=H_Deemed),AKV23,AHI23)</f>
        <v>0</v>
      </c>
      <c r="AOJ23" s="20" t="n">
        <f aca="false">IF(AND(H_Direct=0,H_TaxEvt=1,ARW22+1&gt;=H_Deemed),AKW23,AHJ23)</f>
        <v>0</v>
      </c>
      <c r="AOK23" s="20" t="n">
        <f aca="false">IF(AND(H_Direct=0,H_TaxEvt=1,ARX22+1&gt;=H_Deemed),AKX23,AHK23)</f>
        <v>0</v>
      </c>
      <c r="AOL23" s="20" t="n">
        <f aca="false">IF(AND(H_Direct=0,H_TaxEvt=1,ARY22+1&gt;=H_Deemed),AKY23,AHL23)</f>
        <v>0</v>
      </c>
      <c r="AOM23" s="20" t="n">
        <f aca="false">IF(AND(H_Direct=0,H_TaxEvt=1,ARZ22+1&gt;=H_Deemed),AKZ23,AHM23)</f>
        <v>0</v>
      </c>
      <c r="AON23" s="20" t="n">
        <f aca="false">IF(AND(H_Direct=0,H_TaxEvt=1,ASA22+1&gt;=H_Deemed),ALA23,AHN23)</f>
        <v>0</v>
      </c>
      <c r="AOO23" s="20" t="n">
        <f aca="false">IF(AND(H_Direct=0,H_TaxEvt=1,ASB22+1&gt;=H_Deemed),ALB23,AHO23)</f>
        <v>0</v>
      </c>
      <c r="AOP23" s="20" t="n">
        <f aca="false">IF(AND(H_Direct=0,H_TaxEvt=1,ASC22+1&gt;=H_Deemed),ALC23,AHP23)</f>
        <v>546.676920289684</v>
      </c>
      <c r="AOQ23" s="20" t="n">
        <f aca="false">IF(AND(H_Direct=0,H_TaxEvt=1,ASD22+1&gt;=H_Deemed),ALD23,AHQ23)</f>
        <v>715.210256730627</v>
      </c>
      <c r="AOR23" s="20" t="n">
        <f aca="false">IF(AND(H_Direct=0,H_TaxEvt=1,ASE22+1&gt;=H_Deemed),ALE23,AHR23)</f>
        <v>890.143053841438</v>
      </c>
      <c r="AOS23" s="20" t="n">
        <f aca="false">IF(AND(H_Direct=0,H_TaxEvt=1,ASF22+1&gt;=H_Deemed),ALF23,AHS23)</f>
        <v>1041.00939276848</v>
      </c>
      <c r="AOT23" s="20" t="n">
        <f aca="false">IF(AND(H_Direct=0,H_TaxEvt=1,ASG22+1&gt;=H_Deemed),ALG23,AHT23)</f>
        <v>1041.19311542065</v>
      </c>
      <c r="AOU23" s="20" t="n">
        <f aca="false">IF(AND(H_Direct=0,H_TaxEvt=1,0+1&gt;=H_Deemed),ALH23,AHU23)</f>
        <v>1040.76141856976</v>
      </c>
      <c r="AOV23" s="20" t="n">
        <v>0</v>
      </c>
      <c r="AOW23" s="20" t="n">
        <v>0</v>
      </c>
      <c r="AOX23" s="20" t="n">
        <v>0</v>
      </c>
      <c r="AOY23" s="20" t="n">
        <v>0</v>
      </c>
      <c r="AOZ23" s="20" t="n">
        <v>0</v>
      </c>
      <c r="APA23" s="20" t="n">
        <v>0</v>
      </c>
      <c r="APB23" s="20" t="n">
        <v>0</v>
      </c>
      <c r="APC23" s="20" t="n">
        <v>0</v>
      </c>
      <c r="APD23" s="20" t="n">
        <v>0</v>
      </c>
      <c r="APE23" s="20" t="n">
        <v>0</v>
      </c>
      <c r="APF23" s="20" t="n">
        <v>0</v>
      </c>
      <c r="APG23" s="20" t="n">
        <v>0</v>
      </c>
      <c r="APH23" s="20" t="n">
        <v>0</v>
      </c>
      <c r="API23" s="20" t="n">
        <v>0</v>
      </c>
      <c r="APJ23" s="20" t="n">
        <v>0</v>
      </c>
      <c r="APK23" s="20" t="n">
        <v>0</v>
      </c>
      <c r="APL23" s="20" t="n">
        <v>0</v>
      </c>
      <c r="APM23" s="20" t="n">
        <v>0</v>
      </c>
      <c r="APN23" s="20" t="n">
        <v>0</v>
      </c>
      <c r="APO23" s="20" t="n">
        <v>0</v>
      </c>
      <c r="APP23" s="20" t="n">
        <v>0</v>
      </c>
      <c r="APQ23" s="20" t="n">
        <v>0</v>
      </c>
      <c r="APR23" s="20" t="n">
        <v>0</v>
      </c>
      <c r="APS23" s="20" t="n">
        <v>0</v>
      </c>
      <c r="APT23" s="20" t="n">
        <v>0</v>
      </c>
      <c r="APU23" s="20" t="n">
        <v>0</v>
      </c>
      <c r="APV23" s="20" t="n">
        <v>0</v>
      </c>
      <c r="APW23" s="20" t="n">
        <v>0</v>
      </c>
      <c r="APX23" s="20" t="n">
        <v>0</v>
      </c>
      <c r="APY23" s="20" t="n">
        <v>0</v>
      </c>
      <c r="APZ23" s="20" t="n">
        <v>0</v>
      </c>
      <c r="AQA23" s="20" t="n">
        <v>0</v>
      </c>
      <c r="AQB23" s="20" t="n">
        <v>0</v>
      </c>
      <c r="AQC23" s="20" t="n">
        <v>0</v>
      </c>
      <c r="AQD23" s="20" t="n">
        <v>0</v>
      </c>
      <c r="AQE23" s="20" t="n">
        <v>0</v>
      </c>
      <c r="AQF23" s="20" t="n">
        <v>0</v>
      </c>
      <c r="AQG23" s="20" t="n">
        <v>0</v>
      </c>
      <c r="AQH23" s="20" t="n">
        <v>0</v>
      </c>
      <c r="AQI23" s="20" t="n">
        <v>0</v>
      </c>
      <c r="AQJ23" s="20" t="n">
        <v>0</v>
      </c>
      <c r="AQK23" s="20" t="n">
        <v>0</v>
      </c>
      <c r="AQL23" s="20" t="n">
        <v>0</v>
      </c>
      <c r="AQM23" s="20" t="n">
        <v>0</v>
      </c>
      <c r="AQN23" s="20" t="n">
        <v>0</v>
      </c>
      <c r="AQO23" s="20" t="n">
        <v>0</v>
      </c>
      <c r="AQP23" s="20" t="n">
        <v>0</v>
      </c>
      <c r="AQQ23" s="20" t="n">
        <v>0</v>
      </c>
      <c r="AQR23" s="20" t="n">
        <v>0</v>
      </c>
      <c r="AQS23" s="20" t="n">
        <v>0</v>
      </c>
      <c r="AQT23" s="20" t="n">
        <v>0</v>
      </c>
      <c r="AQU23" s="20" t="n">
        <v>0</v>
      </c>
      <c r="AQV23" s="20" t="n">
        <v>0</v>
      </c>
      <c r="AQW23" s="20" t="n">
        <v>0</v>
      </c>
      <c r="AQX23" s="20" t="n">
        <v>0</v>
      </c>
      <c r="AQY23" s="20" t="n">
        <v>0</v>
      </c>
      <c r="AQZ23" s="20" t="n">
        <v>0</v>
      </c>
      <c r="ARA23" s="20" t="n">
        <v>0</v>
      </c>
      <c r="ARB23" s="20" t="n">
        <v>0</v>
      </c>
      <c r="ARC23" s="20" t="n">
        <v>0</v>
      </c>
      <c r="ARD23" s="20" t="n">
        <v>0</v>
      </c>
      <c r="ARE23" s="20" t="n">
        <v>0</v>
      </c>
      <c r="ARF23" s="20" t="n">
        <v>0</v>
      </c>
      <c r="ARG23" s="20" t="n">
        <v>0</v>
      </c>
      <c r="ARH23" s="20" t="n">
        <v>0</v>
      </c>
      <c r="ARI23" s="20" t="n">
        <v>0</v>
      </c>
      <c r="ARJ23" s="20" t="n">
        <v>0</v>
      </c>
      <c r="ARK23" s="20" t="n">
        <v>0</v>
      </c>
      <c r="ARL23" s="20" t="n">
        <v>0</v>
      </c>
      <c r="ARM23" s="20" t="n">
        <v>0</v>
      </c>
      <c r="ARN23" s="20" t="n">
        <v>0</v>
      </c>
      <c r="ARO23" s="20" t="n">
        <v>0</v>
      </c>
      <c r="ARP23" s="20" t="n">
        <v>0</v>
      </c>
      <c r="ARQ23" s="20" t="n">
        <v>0</v>
      </c>
      <c r="ARR23" s="20" t="n">
        <f aca="false">IF(AND(H_Direct=0,H_TaxEvt=1),IF(ARR22+1&gt;=H_Deemed,0,ARR22+1),ARR22)</f>
        <v>0</v>
      </c>
      <c r="ARS23" s="20" t="n">
        <f aca="false">IF(AND(H_Direct=0,H_TaxEvt=1),IF(ARS22+1&gt;=H_Deemed,0,ARS22+1),ARS22)</f>
        <v>0</v>
      </c>
      <c r="ART23" s="20" t="n">
        <f aca="false">IF(AND(H_Direct=0,H_TaxEvt=1),IF(ART22+1&gt;=H_Deemed,0,ART22+1),ART22)</f>
        <v>7</v>
      </c>
      <c r="ARU23" s="20" t="n">
        <f aca="false">IF(AND(H_Direct=0,H_TaxEvt=1),IF(ARU22+1&gt;=H_Deemed,0,ARU22+1),ARU22)</f>
        <v>6</v>
      </c>
      <c r="ARV23" s="20" t="n">
        <f aca="false">IF(AND(H_Direct=0,H_TaxEvt=1),IF(ARV22+1&gt;=H_Deemed,0,ARV22+1),ARV22)</f>
        <v>5</v>
      </c>
      <c r="ARW23" s="20" t="n">
        <f aca="false">IF(AND(H_Direct=0,H_TaxEvt=1),IF(ARW22+1&gt;=H_Deemed,0,ARW22+1),ARW22)</f>
        <v>4</v>
      </c>
      <c r="ARX23" s="20" t="n">
        <f aca="false">IF(AND(H_Direct=0,H_TaxEvt=1),IF(ARX22+1&gt;=H_Deemed,0,ARX22+1),ARX22)</f>
        <v>3</v>
      </c>
      <c r="ARY23" s="20" t="n">
        <f aca="false">IF(AND(H_Direct=0,H_TaxEvt=1),IF(ARY22+1&gt;=H_Deemed,0,ARY22+1),ARY22)</f>
        <v>2</v>
      </c>
      <c r="ARZ23" s="20" t="n">
        <f aca="false">IF(AND(H_Direct=0,H_TaxEvt=1),IF(ARZ22+1&gt;=H_Deemed,0,ARZ22+1),ARZ22)</f>
        <v>1</v>
      </c>
      <c r="ASA23" s="20" t="n">
        <f aca="false">IF(AND(H_Direct=0,H_TaxEvt=1),IF(ASA22+1&gt;=H_Deemed,0,ASA22+1),ASA22)</f>
        <v>0</v>
      </c>
      <c r="ASB23" s="20" t="n">
        <f aca="false">IF(AND(H_Direct=0,H_TaxEvt=1),IF(ASB22+1&gt;=H_Deemed,0,ASB22+1),ASB22)</f>
        <v>7</v>
      </c>
      <c r="ASC23" s="20" t="n">
        <f aca="false">IF(AND(H_Direct=0,H_TaxEvt=1),IF(ASC22+1&gt;=H_Deemed,0,ASC22+1),ASC22)</f>
        <v>6</v>
      </c>
      <c r="ASD23" s="20" t="n">
        <f aca="false">IF(AND(H_Direct=0,H_TaxEvt=1),IF(ASD22+1&gt;=H_Deemed,0,ASD22+1),ASD22)</f>
        <v>5</v>
      </c>
      <c r="ASE23" s="20" t="n">
        <f aca="false">IF(AND(H_Direct=0,H_TaxEvt=1),IF(ASE22+1&gt;=H_Deemed,0,ASE22+1),ASE22)</f>
        <v>4</v>
      </c>
      <c r="ASF23" s="20" t="n">
        <f aca="false">IF(AND(H_Direct=0,H_TaxEvt=1),IF(ASF22+1&gt;=H_Deemed,0,ASF22+1),ASF22)</f>
        <v>3</v>
      </c>
      <c r="ASG23" s="20" t="n">
        <f aca="false">IF(AND(H_Direct=0,H_TaxEvt=1),IF(ASG22+1&gt;=H_Deemed,0,ASG22+1),ASG22)</f>
        <v>2</v>
      </c>
      <c r="ASH23" s="20" t="n">
        <f aca="false">IF(AND(H_Direct=0,H_TaxEvt=1),IF(0+1&gt;=H_Deemed,0,0+1),0)</f>
        <v>1</v>
      </c>
      <c r="ASI23" s="20" t="n">
        <v>0</v>
      </c>
      <c r="ASJ23" s="20" t="n">
        <v>0</v>
      </c>
      <c r="ASK23" s="20" t="n">
        <v>0</v>
      </c>
      <c r="ASL23" s="20" t="n">
        <v>0</v>
      </c>
      <c r="ASM23" s="20" t="n">
        <v>0</v>
      </c>
      <c r="ASN23" s="20" t="n">
        <v>0</v>
      </c>
      <c r="ASO23" s="20" t="n">
        <v>0</v>
      </c>
      <c r="ASP23" s="20" t="n">
        <v>0</v>
      </c>
      <c r="ASQ23" s="20" t="n">
        <v>0</v>
      </c>
      <c r="ASR23" s="20" t="n">
        <v>0</v>
      </c>
      <c r="ASS23" s="20" t="n">
        <v>0</v>
      </c>
      <c r="AST23" s="20" t="n">
        <v>0</v>
      </c>
      <c r="ASU23" s="20" t="n">
        <v>0</v>
      </c>
      <c r="ASV23" s="20" t="n">
        <v>0</v>
      </c>
      <c r="ASW23" s="20" t="n">
        <v>0</v>
      </c>
      <c r="ASX23" s="20" t="n">
        <v>0</v>
      </c>
      <c r="ASY23" s="20" t="n">
        <v>0</v>
      </c>
      <c r="ASZ23" s="20" t="n">
        <v>0</v>
      </c>
      <c r="ATA23" s="20" t="n">
        <v>0</v>
      </c>
      <c r="ATB23" s="20" t="n">
        <v>0</v>
      </c>
      <c r="ATC23" s="20" t="n">
        <v>0</v>
      </c>
      <c r="ATD23" s="20" t="n">
        <v>0</v>
      </c>
      <c r="ATE23" s="20" t="n">
        <v>0</v>
      </c>
      <c r="ATF23" s="20" t="n">
        <v>0</v>
      </c>
      <c r="ATG23" s="20" t="n">
        <v>0</v>
      </c>
      <c r="ATH23" s="20" t="n">
        <v>0</v>
      </c>
      <c r="ATI23" s="20" t="n">
        <v>0</v>
      </c>
      <c r="ATJ23" s="20" t="n">
        <v>0</v>
      </c>
      <c r="ATK23" s="20" t="n">
        <v>0</v>
      </c>
      <c r="ATL23" s="20" t="n">
        <v>0</v>
      </c>
      <c r="ATM23" s="20" t="n">
        <v>0</v>
      </c>
      <c r="ATN23" s="20" t="n">
        <v>0</v>
      </c>
      <c r="ATO23" s="20" t="n">
        <v>0</v>
      </c>
      <c r="ATP23" s="20" t="n">
        <v>0</v>
      </c>
      <c r="ATQ23" s="20" t="n">
        <v>0</v>
      </c>
      <c r="ATR23" s="20" t="n">
        <v>0</v>
      </c>
      <c r="ATS23" s="20" t="n">
        <v>0</v>
      </c>
      <c r="ATT23" s="20" t="n">
        <v>0</v>
      </c>
      <c r="ATU23" s="20" t="n">
        <v>0</v>
      </c>
      <c r="ATV23" s="20" t="n">
        <v>0</v>
      </c>
      <c r="ATW23" s="20" t="n">
        <v>0</v>
      </c>
      <c r="ATX23" s="20" t="n">
        <v>0</v>
      </c>
      <c r="ATY23" s="20" t="n">
        <v>0</v>
      </c>
      <c r="ATZ23" s="20" t="n">
        <v>0</v>
      </c>
      <c r="AUA23" s="20" t="n">
        <v>0</v>
      </c>
      <c r="AUB23" s="20" t="n">
        <v>0</v>
      </c>
      <c r="AUC23" s="20" t="n">
        <v>0</v>
      </c>
      <c r="AUD23" s="20" t="n">
        <v>0</v>
      </c>
      <c r="AUE23" s="20" t="n">
        <v>0</v>
      </c>
      <c r="AUF23" s="20" t="n">
        <v>0</v>
      </c>
      <c r="AUG23" s="20" t="n">
        <v>0</v>
      </c>
      <c r="AUH23" s="20" t="n">
        <v>0</v>
      </c>
      <c r="AUI23" s="20" t="n">
        <v>0</v>
      </c>
      <c r="AUJ23" s="20" t="n">
        <v>0</v>
      </c>
      <c r="AUK23" s="20" t="n">
        <v>0</v>
      </c>
      <c r="AUL23" s="20" t="n">
        <v>0</v>
      </c>
      <c r="AUM23" s="20" t="n">
        <v>0</v>
      </c>
      <c r="AUN23" s="20" t="n">
        <v>0</v>
      </c>
      <c r="AUO23" s="20" t="n">
        <v>0</v>
      </c>
      <c r="AUP23" s="20" t="n">
        <v>0</v>
      </c>
      <c r="AUQ23" s="20" t="n">
        <v>0</v>
      </c>
      <c r="AUR23" s="20" t="n">
        <v>0</v>
      </c>
      <c r="AUS23" s="20" t="n">
        <v>0</v>
      </c>
      <c r="AUT23" s="20" t="n">
        <v>0</v>
      </c>
      <c r="AUU23" s="20" t="n">
        <v>0</v>
      </c>
      <c r="AUV23" s="20" t="n">
        <v>0</v>
      </c>
      <c r="AUW23" s="20" t="n">
        <v>0</v>
      </c>
      <c r="AUX23" s="20" t="n">
        <v>0</v>
      </c>
      <c r="AUY23" s="20" t="n">
        <v>0</v>
      </c>
      <c r="AUZ23" s="20" t="n">
        <v>0</v>
      </c>
      <c r="AVA23" s="20" t="n">
        <v>0</v>
      </c>
      <c r="AVB23" s="20" t="n">
        <v>0</v>
      </c>
      <c r="AVC23" s="20" t="n">
        <v>0</v>
      </c>
      <c r="AVD23" s="20" t="n">
        <v>0</v>
      </c>
      <c r="AVE23" s="20" t="n">
        <f aca="false">IF(AND(H_Direct=0,H_TaxEvt=1,ARR22+1&gt;=H_Deemed),MAX(0,ADR23-AHE23)*H_Exit,0)</f>
        <v>0</v>
      </c>
      <c r="AVF23" s="20" t="n">
        <f aca="false">IF(AND(H_Direct=0,H_TaxEvt=1,ARS22+1&gt;=H_Deemed),MAX(0,ADS23-AHF23)*H_Exit,0)</f>
        <v>0</v>
      </c>
      <c r="AVG23" s="20" t="n">
        <f aca="false">IF(AND(H_Direct=0,H_TaxEvt=1,ART22+1&gt;=H_Deemed),MAX(0,ADT23-AHG23)*H_Exit,0)</f>
        <v>0</v>
      </c>
      <c r="AVH23" s="20" t="n">
        <f aca="false">IF(AND(H_Direct=0,H_TaxEvt=1,ARU22+1&gt;=H_Deemed),MAX(0,ADU23-AHH23)*H_Exit,0)</f>
        <v>0</v>
      </c>
      <c r="AVI23" s="20" t="n">
        <f aca="false">IF(AND(H_Direct=0,H_TaxEvt=1,ARV22+1&gt;=H_Deemed),MAX(0,ADV23-AHI23)*H_Exit,0)</f>
        <v>0</v>
      </c>
      <c r="AVJ23" s="20" t="n">
        <f aca="false">IF(AND(H_Direct=0,H_TaxEvt=1,ARW22+1&gt;=H_Deemed),MAX(0,ADW23-AHJ23)*H_Exit,0)</f>
        <v>0</v>
      </c>
      <c r="AVK23" s="20" t="n">
        <f aca="false">IF(AND(H_Direct=0,H_TaxEvt=1,ARX22+1&gt;=H_Deemed),MAX(0,ADX23-AHK23)*H_Exit,0)</f>
        <v>0</v>
      </c>
      <c r="AVL23" s="20" t="n">
        <f aca="false">IF(AND(H_Direct=0,H_TaxEvt=1,ARY22+1&gt;=H_Deemed),MAX(0,ADY23-AHL23)*H_Exit,0)</f>
        <v>0</v>
      </c>
      <c r="AVM23" s="20" t="n">
        <f aca="false">IF(AND(H_Direct=0,H_TaxEvt=1,ARZ22+1&gt;=H_Deemed),MAX(0,ADZ23-AHM23)*H_Exit,0)</f>
        <v>0</v>
      </c>
      <c r="AVN23" s="20" t="n">
        <f aca="false">IF(AND(H_Direct=0,H_TaxEvt=1,ASA22+1&gt;=H_Deemed),MAX(0,AEA23-AHN23)*H_Exit,0)</f>
        <v>0</v>
      </c>
      <c r="AVO23" s="20" t="n">
        <f aca="false">IF(AND(H_Direct=0,H_TaxEvt=1,ASB22+1&gt;=H_Deemed),MAX(0,AEB23-AHO23)*H_Exit,0)</f>
        <v>0</v>
      </c>
      <c r="AVP23" s="20" t="n">
        <f aca="false">IF(AND(H_Direct=0,H_TaxEvt=1,ASC22+1&gt;=H_Deemed),MAX(0,AEC23-AHP23)*H_Exit,0)</f>
        <v>0</v>
      </c>
      <c r="AVQ23" s="20" t="n">
        <f aca="false">IF(AND(H_Direct=0,H_TaxEvt=1,ASD22+1&gt;=H_Deemed),MAX(0,AED23-AHQ23)*H_Exit,0)</f>
        <v>0</v>
      </c>
      <c r="AVR23" s="20" t="n">
        <f aca="false">IF(AND(H_Direct=0,H_TaxEvt=1,ASE22+1&gt;=H_Deemed),MAX(0,AEE23-AHR23)*H_Exit,0)</f>
        <v>0</v>
      </c>
      <c r="AVS23" s="20" t="n">
        <f aca="false">IF(AND(H_Direct=0,H_TaxEvt=1,ASF22+1&gt;=H_Deemed),MAX(0,AEF23-AHS23)*H_Exit,0)</f>
        <v>0</v>
      </c>
      <c r="AVT23" s="20" t="n">
        <f aca="false">IF(AND(H_Direct=0,H_TaxEvt=1,ASG22+1&gt;=H_Deemed),MAX(0,AEG23-AHT23)*H_Exit,0)</f>
        <v>0</v>
      </c>
      <c r="AVU23" s="20" t="n">
        <f aca="false">IF(AND(H_Direct=0,H_TaxEvt=1,0+1&gt;=H_Deemed),MAX(0,AEH23-AHU23)*H_Exit,0)</f>
        <v>0</v>
      </c>
      <c r="AVV23" s="20" t="n">
        <v>0</v>
      </c>
      <c r="AVW23" s="20" t="n">
        <v>0</v>
      </c>
      <c r="AVX23" s="20" t="n">
        <v>0</v>
      </c>
      <c r="AVY23" s="20" t="n">
        <v>0</v>
      </c>
      <c r="AVZ23" s="20" t="n">
        <v>0</v>
      </c>
      <c r="AWA23" s="20" t="n">
        <v>0</v>
      </c>
      <c r="AWB23" s="20" t="n">
        <v>0</v>
      </c>
      <c r="AWC23" s="20" t="n">
        <v>0</v>
      </c>
      <c r="AWD23" s="20" t="n">
        <v>0</v>
      </c>
      <c r="AWE23" s="20" t="n">
        <v>0</v>
      </c>
      <c r="AWF23" s="20" t="n">
        <v>0</v>
      </c>
      <c r="AWG23" s="20" t="n">
        <v>0</v>
      </c>
      <c r="AWH23" s="20" t="n">
        <v>0</v>
      </c>
      <c r="AWI23" s="20" t="n">
        <v>0</v>
      </c>
      <c r="AWJ23" s="20" t="n">
        <v>0</v>
      </c>
      <c r="AWK23" s="20" t="n">
        <v>0</v>
      </c>
      <c r="AWL23" s="20" t="n">
        <v>0</v>
      </c>
      <c r="AWM23" s="20" t="n">
        <v>0</v>
      </c>
      <c r="AWN23" s="20" t="n">
        <v>0</v>
      </c>
      <c r="AWO23" s="20" t="n">
        <v>0</v>
      </c>
      <c r="AWP23" s="20" t="n">
        <v>0</v>
      </c>
      <c r="AWQ23" s="20" t="n">
        <v>0</v>
      </c>
      <c r="AWR23" s="20" t="n">
        <v>0</v>
      </c>
      <c r="AWS23" s="20" t="n">
        <v>0</v>
      </c>
      <c r="AWT23" s="20" t="n">
        <v>0</v>
      </c>
      <c r="AWU23" s="20" t="n">
        <v>0</v>
      </c>
      <c r="AWV23" s="20" t="n">
        <v>0</v>
      </c>
      <c r="AWW23" s="20" t="n">
        <v>0</v>
      </c>
      <c r="AWX23" s="20" t="n">
        <v>0</v>
      </c>
      <c r="AWY23" s="20" t="n">
        <v>0</v>
      </c>
      <c r="AWZ23" s="20" t="n">
        <v>0</v>
      </c>
      <c r="AXA23" s="20" t="n">
        <v>0</v>
      </c>
      <c r="AXB23" s="20" t="n">
        <v>0</v>
      </c>
      <c r="AXC23" s="20" t="n">
        <v>0</v>
      </c>
      <c r="AXD23" s="20" t="n">
        <v>0</v>
      </c>
      <c r="AXE23" s="20" t="n">
        <v>0</v>
      </c>
      <c r="AXF23" s="20" t="n">
        <v>0</v>
      </c>
      <c r="AXG23" s="20" t="n">
        <v>0</v>
      </c>
      <c r="AXH23" s="20" t="n">
        <v>0</v>
      </c>
      <c r="AXI23" s="20" t="n">
        <v>0</v>
      </c>
      <c r="AXJ23" s="20" t="n">
        <v>0</v>
      </c>
      <c r="AXK23" s="20" t="n">
        <v>0</v>
      </c>
      <c r="AXL23" s="20" t="n">
        <v>0</v>
      </c>
      <c r="AXM23" s="20" t="n">
        <v>0</v>
      </c>
      <c r="AXN23" s="20" t="n">
        <v>0</v>
      </c>
      <c r="AXO23" s="20" t="n">
        <v>0</v>
      </c>
      <c r="AXP23" s="20" t="n">
        <v>0</v>
      </c>
      <c r="AXQ23" s="20" t="n">
        <v>0</v>
      </c>
      <c r="AXR23" s="20" t="n">
        <v>0</v>
      </c>
      <c r="AXS23" s="20" t="n">
        <v>0</v>
      </c>
      <c r="AXT23" s="20" t="n">
        <v>0</v>
      </c>
      <c r="AXU23" s="20" t="n">
        <v>0</v>
      </c>
      <c r="AXV23" s="20" t="n">
        <v>0</v>
      </c>
      <c r="AXW23" s="20" t="n">
        <v>0</v>
      </c>
      <c r="AXX23" s="20" t="n">
        <v>0</v>
      </c>
      <c r="AXY23" s="20" t="n">
        <v>0</v>
      </c>
      <c r="AXZ23" s="20" t="n">
        <v>0</v>
      </c>
      <c r="AYA23" s="20" t="n">
        <v>0</v>
      </c>
      <c r="AYB23" s="20" t="n">
        <v>0</v>
      </c>
      <c r="AYC23" s="20" t="n">
        <v>0</v>
      </c>
      <c r="AYD23" s="20" t="n">
        <v>0</v>
      </c>
      <c r="AYE23" s="20" t="n">
        <v>0</v>
      </c>
      <c r="AYF23" s="20" t="n">
        <v>0</v>
      </c>
      <c r="AYG23" s="20" t="n">
        <v>0</v>
      </c>
      <c r="AYH23" s="20" t="n">
        <v>0</v>
      </c>
      <c r="AYI23" s="20" t="n">
        <v>0</v>
      </c>
      <c r="AYJ23" s="20" t="n">
        <v>0</v>
      </c>
      <c r="AYK23" s="20" t="n">
        <v>0</v>
      </c>
      <c r="AYL23" s="20" t="n">
        <v>0</v>
      </c>
      <c r="AYM23" s="20" t="n">
        <v>0</v>
      </c>
      <c r="AYN23" s="20" t="n">
        <v>0</v>
      </c>
      <c r="AYO23" s="20" t="n">
        <v>0</v>
      </c>
      <c r="AYP23" s="20" t="n">
        <v>0</v>
      </c>
      <c r="AYQ23" s="20" t="n">
        <v>0</v>
      </c>
    </row>
    <row r="24" customFormat="false" ht="15" hidden="false" customHeight="false" outlineLevel="0" collapsed="false">
      <c r="B24" s="20" t="n">
        <v>16</v>
      </c>
      <c r="C24" s="20" t="n">
        <f aca="false">'Plan cashflow'!C24</f>
        <v>1</v>
      </c>
      <c r="D24" s="20" t="n">
        <f aca="false">'Plan cashflow'!D24</f>
        <v>54</v>
      </c>
      <c r="E24" s="20" t="n">
        <f aca="false">AS_Year0+16</f>
        <v>2042</v>
      </c>
      <c r="F24" s="50" t="n">
        <f aca="false">'Plan cashflow'!F24</f>
        <v>1.37278570509061</v>
      </c>
      <c r="G24" s="59" t="n">
        <f aca="true">IF(MAX(TODAY(),DATE(E24,1,1))&gt;=H_CGTfrom,H_CGT1,H_CGT0)</f>
        <v>0.31</v>
      </c>
      <c r="H24" s="20" t="n">
        <f aca="false">H_Exempt*H_Persons</f>
        <v>1270</v>
      </c>
      <c r="I24" s="20" t="n">
        <f aca="false">AX23</f>
        <v>0</v>
      </c>
      <c r="J24" s="60" t="n">
        <f aca="false">BF23</f>
        <v>8166.19697098552</v>
      </c>
      <c r="K24" s="60" t="n">
        <f aca="false">BG23</f>
        <v>0</v>
      </c>
      <c r="L24" s="20" t="n">
        <f aca="false">IF(AND(In_polLump&gt;0,In_polLumpAge&gt;0,D24=In_polLumpAge),In_polLump,0)</f>
        <v>0</v>
      </c>
      <c r="M24" s="20" t="n">
        <f aca="false">IF(AND(In_homeUse="Yes, I'd downsize",In_downAge&gt;0,D24=In_downAge,OR(In_home="Own outright",In_home="Own with mortgage"),In_homeValue&gt;0),MAX(0,MAX(0,In_homeValue-In_downValue)*F24*0.9-'Plan cashflow'!HR23),0)</f>
        <v>0</v>
      </c>
      <c r="N24" s="20" t="n">
        <f aca="false">'Plan pay &amp; tax'!Y250</f>
        <v>0</v>
      </c>
      <c r="O24" s="20" t="n">
        <f aca="false">L24+M24+(1-H_Sh)*N24</f>
        <v>0</v>
      </c>
      <c r="P24" s="20" t="n">
        <f aca="false">H_Sh*N24</f>
        <v>0</v>
      </c>
      <c r="Q24" s="20" t="n">
        <f aca="false">'Plan cashflow'!UL24</f>
        <v>0</v>
      </c>
      <c r="R24" s="20" t="n">
        <f aca="false">(1-H_Sh)*Q24</f>
        <v>0</v>
      </c>
      <c r="S24" s="20" t="n">
        <f aca="false">H_Sh*Q24</f>
        <v>0</v>
      </c>
      <c r="T24" s="20" t="n">
        <f aca="false">J24+K24+O24</f>
        <v>8166.19697098552</v>
      </c>
      <c r="U24" s="20" t="n">
        <f aca="false">T24+R24</f>
        <v>8166.19697098552</v>
      </c>
      <c r="V24" s="60" t="n">
        <f aca="false">SUM(FE24:IQ24)</f>
        <v>5713.8121720232</v>
      </c>
      <c r="W24" s="60" t="n">
        <f aca="false">IF(AJ24&lt;=0,0,IF(AL24&lt;=0,AJ24,AJ24-G24*MAX(0,AL24*AJ24-(AY24+AZ24))))</f>
        <v>0</v>
      </c>
      <c r="X24" s="60" t="n">
        <f aca="false">IF(AR24&lt;=0,0,IF(AT24&lt;=0,AR24,AR24-G24*MAX(0,AT24*AR24-(BA24+BB24))))</f>
        <v>0</v>
      </c>
      <c r="Y24" s="60" t="n">
        <f aca="false">T24+V24-S24+W24+X24</f>
        <v>13880.0091430087</v>
      </c>
      <c r="Z24" s="60" t="n">
        <f aca="false">'Plan cashflow'!UK24</f>
        <v>0</v>
      </c>
      <c r="AA24" s="20" t="n">
        <f aca="false">MIN(Z24,U24)</f>
        <v>0</v>
      </c>
      <c r="AB24" s="20" t="n">
        <f aca="false">Z24-AA24</f>
        <v>0</v>
      </c>
      <c r="AC24" s="20" t="n">
        <f aca="false">MIN(AA24,J24+O24+R24)</f>
        <v>0</v>
      </c>
      <c r="AD24" s="20" t="n">
        <f aca="false">AA24-AC24</f>
        <v>0</v>
      </c>
      <c r="AE24" s="20" t="n">
        <f aca="false">J24+O24+R24-AC24</f>
        <v>8166.19697098552</v>
      </c>
      <c r="AF24" s="20" t="n">
        <f aca="false">K24-AD24</f>
        <v>0</v>
      </c>
      <c r="AG24" s="20" t="n">
        <f aca="false">SUM(PR24:TD24)</f>
        <v>0</v>
      </c>
      <c r="AH24" s="20" t="n">
        <f aca="false">SUM(TE24:WQ24)</f>
        <v>0</v>
      </c>
      <c r="AI24" s="20" t="n">
        <f aca="false">MAX(0,AB24-AG24)</f>
        <v>0</v>
      </c>
      <c r="AJ24" s="57" t="n">
        <f aca="false">BI23</f>
        <v>0</v>
      </c>
      <c r="AK24" s="20" t="n">
        <f aca="false">BJ23</f>
        <v>0</v>
      </c>
      <c r="AL24" s="20" t="n">
        <f aca="false">IF(AJ24&gt;0,(AJ24-AK24)/AJ24,0)</f>
        <v>0</v>
      </c>
      <c r="AM24" s="20" t="n">
        <f aca="false">IF(AJ24&lt;=0,0,IF(AL24&lt;=0,MIN(AI24,AJ24),MIN(AI24,AJ24-G24*MAX(0,AL24*AJ24-(AAD24+ADQ24)))))</f>
        <v>0</v>
      </c>
      <c r="AN24" s="20" t="n">
        <f aca="false">IF(AJ24&lt;=0,0,IF(AL24&lt;=0,AM24,IF(AM24&lt;=(AAD24+ADQ24)/AL24,AM24,(AM24-G24*(AAD24+ADQ24))/(1-G24*AL24))))</f>
        <v>0</v>
      </c>
      <c r="AO24" s="20" t="n">
        <f aca="false">IF(AL24&gt;0,MAX(0,AAD24-(MIN(AL24*AN24,(AAD24+ADQ24))-MIN(MIN(AL24*AN24,(AAD24+ADQ24)),ADQ24))),AAD24)</f>
        <v>1270</v>
      </c>
      <c r="AP24" s="20" t="n">
        <f aca="false">IF(AL24&lt;=0,ADQ24-AL24*AN24,ADQ24-MIN(MIN(AL24*AN24,(AAD24+ADQ24)),ADQ24))</f>
        <v>0</v>
      </c>
      <c r="AQ24" s="20" t="n">
        <f aca="false">MAX(0,AI24-AM24)</f>
        <v>0</v>
      </c>
      <c r="AR24" s="57" t="n">
        <f aca="false">BK23</f>
        <v>0</v>
      </c>
      <c r="AS24" s="20" t="n">
        <f aca="false">BL23</f>
        <v>0</v>
      </c>
      <c r="AT24" s="20" t="n">
        <f aca="false">IF(AR24&gt;0,(AR24-AS24)/AR24,0)</f>
        <v>0</v>
      </c>
      <c r="AU24" s="20" t="n">
        <f aca="false">IF(AR24&lt;=0,0,IF(AT24&lt;=0,MIN(AQ24,AR24),MIN(AQ24,AR24-G24*MAX(0,AT24*AR24-(AO24+AP24)))))</f>
        <v>0</v>
      </c>
      <c r="AV24" s="20" t="n">
        <f aca="false">IF(AR24&lt;=0,0,IF(AT24&lt;=0,AU24,IF(AU24&lt;=(AO24+AP24)/AT24,AU24,(AU24-G24*(AO24+AP24))/(1-G24*AT24))))</f>
        <v>0</v>
      </c>
      <c r="AW24" s="20" t="n">
        <f aca="false">IF(AT24&gt;0,MAX(0,AO24-(MIN(AT24*AV24,(AO24+AP24))-MIN(MIN(AT24*AV24,(AO24+AP24)),AP24))),AO24)</f>
        <v>1270</v>
      </c>
      <c r="AX24" s="20" t="n">
        <f aca="false">IF(AT24&lt;=0,AP24-AT24*AV24,AP24-MIN(MIN(AT24*AV24,(AO24+AP24)),AP24))</f>
        <v>0</v>
      </c>
      <c r="AY24" s="20" t="n">
        <f aca="false">MD24</f>
        <v>1270</v>
      </c>
      <c r="AZ24" s="20" t="n">
        <f aca="false">PQ24</f>
        <v>0</v>
      </c>
      <c r="BA24" s="20" t="n">
        <f aca="false">IF(AL24&gt;0,MAX(0,AY24-(MIN(AL24*AJ24,AY24+AZ24)-MIN(MIN(AL24*AJ24,AY24+AZ24),AZ24))),AY24)</f>
        <v>1270</v>
      </c>
      <c r="BB24" s="20" t="n">
        <f aca="false">IF(AL24&lt;=0,AZ24-AL24*AJ24,AZ24-MIN(MIN(AL24*AJ24,AY24+AZ24),AZ24))</f>
        <v>0</v>
      </c>
      <c r="BC24" s="20" t="n">
        <f aca="false">'Plan cashflow'!UM24</f>
        <v>2599.20855251768</v>
      </c>
      <c r="BD24" s="20" t="n">
        <f aca="false">(1-H_Sh)*BC24</f>
        <v>1559.52513151061</v>
      </c>
      <c r="BE24" s="20" t="n">
        <f aca="false">H_Sh*BC24</f>
        <v>1039.68342100707</v>
      </c>
      <c r="BF24" s="60" t="n">
        <f aca="false">(AE24+BD24)*(1+AS_Cash)</f>
        <v>9822.97932352109</v>
      </c>
      <c r="BG24" s="60" t="n">
        <f aca="false">AF24*(1+AS_Cash)</f>
        <v>0</v>
      </c>
      <c r="BH24" s="60" t="n">
        <f aca="false">SUM(AKR24:AOD24)</f>
        <v>7303.34651238357</v>
      </c>
      <c r="BI24" s="60" t="n">
        <f aca="false">(AJ24-AN24)*(1+AS_Infl)</f>
        <v>0</v>
      </c>
      <c r="BJ24" s="20" t="n">
        <f aca="false">IF(AJ24&gt;0,AK24-AK24*AN24/AJ24,0)</f>
        <v>0</v>
      </c>
      <c r="BK24" s="60" t="n">
        <f aca="false">(AR24-AV24)*(1+BQ24)</f>
        <v>0</v>
      </c>
      <c r="BL24" s="20" t="n">
        <f aca="false">IF(AR24&gt;0,AS24-AS24*AV24/AR24,0)</f>
        <v>0</v>
      </c>
      <c r="BM24" s="60" t="n">
        <f aca="false">BF24+BG24+BH24+BI24+BK24</f>
        <v>17126.3258359047</v>
      </c>
      <c r="BN24" s="60" t="n">
        <f aca="false">(AH24-AG24)+(AN24-AM24)+(AV24-AU24)</f>
        <v>0</v>
      </c>
      <c r="BO24" s="20" t="n">
        <f aca="false">(AE24+BD24+AF24+MAX(0,'Plan cashflow'!QH24)+IF(Slot1_Rate=AS_Cash,'Plan cashflow'!QM24/(1+AS_Cash),0)+IF(Slot2_Rate=AS_Cash,'Plan cashflow'!QQ24/(1+AS_Cash),0)+IF(Slot3_Rate=AS_Cash,'Plan cashflow'!QU24/(1+AS_Cash),0)+IF(Slot4_Rate=AS_Cash,'Plan cashflow'!QY24/(1+AS_Cash),0)+IF(Slot5_Rate=AS_Cash,'Plan cashflow'!RC24/(1+AS_Cash),0)+IF(Slot6_Rate=AS_Cash,'Plan cashflow'!RG24/(1+AS_Cash),0)+IF(Slot7_Rate=AS_Cash,'Plan cashflow'!RK24/(1+AS_Cash),0)+IF(Slot8_Rate=AS_Cash,'Plan cashflow'!RO24/(1+AS_Cash),0)+IF(Slot9_Rate=AS_Cash,'Plan cashflow'!RS24/(1+AS_Cash),0)+IF(Slot10_Rate=AS_Cash,'Plan cashflow'!RW24/(1+AS_Cash),0)+IF(Slot11_Rate=AS_Cash,'Plan cashflow'!SA24/(1+AS_Cash),0)+IF(Slot12_Rate=AS_Cash,'Plan cashflow'!SE24/(1+AS_Cash),0)+IF(Slot13_Rate=AS_Cash,'Plan cashflow'!SI24/(1+AS_Cash),0)+IF(Slot14_Rate=AS_Cash,'Plan cashflow'!SM24/(1+AS_Cash),0)+IF(Slot15_Rate=AS_Cash,'Plan cashflow'!SQ24/(1+AS_Cash),0)+IF(Slot16_Rate=AS_Cash,'Plan cashflow'!SU24/(1+AS_Cash),0)+IF(Slot17_Rate=AS_Cash,'Plan cashflow'!SY24/(1+AS_Cash),0)+IF(Slot18_Rate=AS_Cash,'Plan cashflow'!TC24/(1+AS_Cash),0)+IF(Slot19_Rate=AS_Cash,'Plan cashflow'!TG24/(1+AS_Cash),0)+IF(Slot20_Rate=AS_Cash,'Plan cashflow'!TK24/(1+AS_Cash),0))*AS_Cash*H_DIRT/(1-H_DIRT)</f>
        <v>112.32287430325</v>
      </c>
      <c r="BP24" s="60" t="n">
        <f aca="false">SUM(AVE24:AYQ24)</f>
        <v>0</v>
      </c>
      <c r="BQ24" s="54" t="n">
        <f aca="false">IF(H_TaxEvt=1,H_InvG,AS_Inv)</f>
        <v>0.04</v>
      </c>
      <c r="BR24" s="20" t="n">
        <f aca="false">IF(AKR23&gt;0,(AKR23-AOE23)/AKR23,0)</f>
        <v>0</v>
      </c>
      <c r="BS24" s="20" t="n">
        <f aca="false">IF(AKS23&gt;0,(AKS23-AOF23)/AKS23,0)</f>
        <v>0</v>
      </c>
      <c r="BT24" s="20" t="n">
        <f aca="false">IF(AKT23&gt;0,(AKT23-AOG23)/AKT23,0)</f>
        <v>0</v>
      </c>
      <c r="BU24" s="20" t="n">
        <f aca="false">IF(AKU23&gt;0,(AKU23-AOH23)/AKU23,0)</f>
        <v>0</v>
      </c>
      <c r="BV24" s="20" t="n">
        <f aca="false">IF(AKV23&gt;0,(AKV23-AOI23)/AKV23,0)</f>
        <v>0</v>
      </c>
      <c r="BW24" s="20" t="n">
        <f aca="false">IF(AKW23&gt;0,(AKW23-AOJ23)/AKW23,0)</f>
        <v>0</v>
      </c>
      <c r="BX24" s="20" t="n">
        <f aca="false">IF(AKX23&gt;0,(AKX23-AOK23)/AKX23,0)</f>
        <v>0</v>
      </c>
      <c r="BY24" s="20" t="n">
        <f aca="false">IF(AKY23&gt;0,(AKY23-AOL23)/AKY23,0)</f>
        <v>0</v>
      </c>
      <c r="BZ24" s="20" t="n">
        <f aca="false">IF(AKZ23&gt;0,(AKZ23-AOM23)/AKZ23,0)</f>
        <v>0</v>
      </c>
      <c r="CA24" s="20" t="n">
        <f aca="false">IF(ALA23&gt;0,(ALA23-AON23)/ALA23,0)</f>
        <v>0</v>
      </c>
      <c r="CB24" s="20" t="n">
        <f aca="false">IF(ALB23&gt;0,(ALB23-AOO23)/ALB23,0)</f>
        <v>0</v>
      </c>
      <c r="CC24" s="20" t="n">
        <f aca="false">IF(ALC23&gt;0,(ALC23-AOP23)/ALC23,0)</f>
        <v>0.209685474269854</v>
      </c>
      <c r="CD24" s="20" t="n">
        <f aca="false">IF(ALD23&gt;0,(ALD23-AOQ23)/ALD23,0)</f>
        <v>0.178072893240648</v>
      </c>
      <c r="CE24" s="20" t="n">
        <f aca="false">IF(ALE23&gt;0,(ALE23-AOR23)/ALE23,0)</f>
        <v>0.145195808970274</v>
      </c>
      <c r="CF24" s="20" t="n">
        <f aca="false">IF(ALF23&gt;0,(ALF23-AOS23)/ALF23,0)</f>
        <v>0.111003641329085</v>
      </c>
      <c r="CG24" s="20" t="n">
        <f aca="false">IF(ALG23&gt;0,(ALG23-AOT23)/ALG23,0)</f>
        <v>0.0754437869822485</v>
      </c>
      <c r="CH24" s="20" t="n">
        <f aca="false">IF(ALH23&gt;0,(ALH23-AOU23)/ALH23,0)</f>
        <v>0.0384615384615385</v>
      </c>
      <c r="CI24" s="20" t="n">
        <f aca="false">IF((P24+S24)&gt;0,((P24+S24)-(P24+S24))/(P24+S24),0)</f>
        <v>0</v>
      </c>
      <c r="CJ24" s="20" t="n">
        <v>0</v>
      </c>
      <c r="CK24" s="20" t="n">
        <v>0</v>
      </c>
      <c r="CL24" s="20" t="n">
        <v>0</v>
      </c>
      <c r="CM24" s="20" t="n">
        <v>0</v>
      </c>
      <c r="CN24" s="20" t="n">
        <v>0</v>
      </c>
      <c r="CO24" s="20" t="n">
        <v>0</v>
      </c>
      <c r="CP24" s="20" t="n">
        <v>0</v>
      </c>
      <c r="CQ24" s="20" t="n">
        <v>0</v>
      </c>
      <c r="CR24" s="20" t="n">
        <v>0</v>
      </c>
      <c r="CS24" s="20" t="n">
        <v>0</v>
      </c>
      <c r="CT24" s="20" t="n">
        <v>0</v>
      </c>
      <c r="CU24" s="20" t="n">
        <v>0</v>
      </c>
      <c r="CV24" s="20" t="n">
        <v>0</v>
      </c>
      <c r="CW24" s="20" t="n">
        <v>0</v>
      </c>
      <c r="CX24" s="20" t="n">
        <v>0</v>
      </c>
      <c r="CY24" s="20" t="n">
        <v>0</v>
      </c>
      <c r="CZ24" s="20" t="n">
        <v>0</v>
      </c>
      <c r="DA24" s="20" t="n">
        <v>0</v>
      </c>
      <c r="DB24" s="20" t="n">
        <v>0</v>
      </c>
      <c r="DC24" s="20" t="n">
        <v>0</v>
      </c>
      <c r="DD24" s="20" t="n">
        <v>0</v>
      </c>
      <c r="DE24" s="20" t="n">
        <v>0</v>
      </c>
      <c r="DF24" s="20" t="n">
        <v>0</v>
      </c>
      <c r="DG24" s="20" t="n">
        <v>0</v>
      </c>
      <c r="DH24" s="20" t="n">
        <v>0</v>
      </c>
      <c r="DI24" s="20" t="n">
        <v>0</v>
      </c>
      <c r="DJ24" s="20" t="n">
        <v>0</v>
      </c>
      <c r="DK24" s="20" t="n">
        <v>0</v>
      </c>
      <c r="DL24" s="20" t="n">
        <v>0</v>
      </c>
      <c r="DM24" s="20" t="n">
        <v>0</v>
      </c>
      <c r="DN24" s="20" t="n">
        <v>0</v>
      </c>
      <c r="DO24" s="20" t="n">
        <v>0</v>
      </c>
      <c r="DP24" s="20" t="n">
        <v>0</v>
      </c>
      <c r="DQ24" s="20" t="n">
        <v>0</v>
      </c>
      <c r="DR24" s="20" t="n">
        <v>0</v>
      </c>
      <c r="DS24" s="20" t="n">
        <v>0</v>
      </c>
      <c r="DT24" s="20" t="n">
        <v>0</v>
      </c>
      <c r="DU24" s="20" t="n">
        <v>0</v>
      </c>
      <c r="DV24" s="20" t="n">
        <v>0</v>
      </c>
      <c r="DW24" s="20" t="n">
        <v>0</v>
      </c>
      <c r="DX24" s="20" t="n">
        <v>0</v>
      </c>
      <c r="DY24" s="20" t="n">
        <v>0</v>
      </c>
      <c r="DZ24" s="20" t="n">
        <v>0</v>
      </c>
      <c r="EA24" s="20" t="n">
        <v>0</v>
      </c>
      <c r="EB24" s="20" t="n">
        <v>0</v>
      </c>
      <c r="EC24" s="20" t="n">
        <v>0</v>
      </c>
      <c r="ED24" s="20" t="n">
        <v>0</v>
      </c>
      <c r="EE24" s="20" t="n">
        <v>0</v>
      </c>
      <c r="EF24" s="20" t="n">
        <v>0</v>
      </c>
      <c r="EG24" s="20" t="n">
        <v>0</v>
      </c>
      <c r="EH24" s="20" t="n">
        <v>0</v>
      </c>
      <c r="EI24" s="20" t="n">
        <v>0</v>
      </c>
      <c r="EJ24" s="20" t="n">
        <v>0</v>
      </c>
      <c r="EK24" s="20" t="n">
        <v>0</v>
      </c>
      <c r="EL24" s="20" t="n">
        <v>0</v>
      </c>
      <c r="EM24" s="20" t="n">
        <v>0</v>
      </c>
      <c r="EN24" s="20" t="n">
        <v>0</v>
      </c>
      <c r="EO24" s="20" t="n">
        <v>0</v>
      </c>
      <c r="EP24" s="20" t="n">
        <v>0</v>
      </c>
      <c r="EQ24" s="20" t="n">
        <v>0</v>
      </c>
      <c r="ER24" s="20" t="n">
        <v>0</v>
      </c>
      <c r="ES24" s="20" t="n">
        <v>0</v>
      </c>
      <c r="ET24" s="20" t="n">
        <v>0</v>
      </c>
      <c r="EU24" s="20" t="n">
        <v>0</v>
      </c>
      <c r="EV24" s="20" t="n">
        <v>0</v>
      </c>
      <c r="EW24" s="20" t="n">
        <v>0</v>
      </c>
      <c r="EX24" s="20" t="n">
        <v>0</v>
      </c>
      <c r="EY24" s="20" t="n">
        <v>0</v>
      </c>
      <c r="EZ24" s="20" t="n">
        <v>0</v>
      </c>
      <c r="FA24" s="20" t="n">
        <v>0</v>
      </c>
      <c r="FB24" s="20" t="n">
        <v>0</v>
      </c>
      <c r="FC24" s="20" t="n">
        <v>0</v>
      </c>
      <c r="FD24" s="20" t="n">
        <v>0</v>
      </c>
      <c r="FE24" s="20" t="n">
        <f aca="false">IF(H_Direct=1,IF(AKR23&lt;=0,0,IF(BR24&lt;=0,AKR23,AKR23-G24*MAX(0,BR24*AKR23-(H24+I24)))),AKR23*(1-MAX(0,BR24)*H_Exit))</f>
        <v>0</v>
      </c>
      <c r="FF24" s="20" t="n">
        <f aca="false">IF(H_Direct=1,IF(AKS23&lt;=0,0,IF(BS24&lt;=0,AKS23,AKS23-G24*MAX(0,BS24*AKS23-(IR24+ME24)))),AKS23*(1-MAX(0,BS24)*H_Exit))</f>
        <v>0</v>
      </c>
      <c r="FG24" s="20" t="n">
        <f aca="false">IF(H_Direct=1,IF(AKT23&lt;=0,0,IF(BT24&lt;=0,AKT23,AKT23-G24*MAX(0,BT24*AKT23-(IS24+MF24)))),AKT23*(1-MAX(0,BT24)*H_Exit))</f>
        <v>0</v>
      </c>
      <c r="FH24" s="20" t="n">
        <f aca="false">IF(H_Direct=1,IF(AKU23&lt;=0,0,IF(BU24&lt;=0,AKU23,AKU23-G24*MAX(0,BU24*AKU23-(IT24+MG24)))),AKU23*(1-MAX(0,BU24)*H_Exit))</f>
        <v>0</v>
      </c>
      <c r="FI24" s="20" t="n">
        <f aca="false">IF(H_Direct=1,IF(AKV23&lt;=0,0,IF(BV24&lt;=0,AKV23,AKV23-G24*MAX(0,BV24*AKV23-(IU24+MH24)))),AKV23*(1-MAX(0,BV24)*H_Exit))</f>
        <v>0</v>
      </c>
      <c r="FJ24" s="20" t="n">
        <f aca="false">IF(H_Direct=1,IF(AKW23&lt;=0,0,IF(BW24&lt;=0,AKW23,AKW23-G24*MAX(0,BW24*AKW23-(IV24+MI24)))),AKW23*(1-MAX(0,BW24)*H_Exit))</f>
        <v>0</v>
      </c>
      <c r="FK24" s="20" t="n">
        <f aca="false">IF(H_Direct=1,IF(AKX23&lt;=0,0,IF(BX24&lt;=0,AKX23,AKX23-G24*MAX(0,BX24*AKX23-(IW24+MJ24)))),AKX23*(1-MAX(0,BX24)*H_Exit))</f>
        <v>0</v>
      </c>
      <c r="FL24" s="20" t="n">
        <f aca="false">IF(H_Direct=1,IF(AKY23&lt;=0,0,IF(BY24&lt;=0,AKY23,AKY23-G24*MAX(0,BY24*AKY23-(IX24+MK24)))),AKY23*(1-MAX(0,BY24)*H_Exit))</f>
        <v>0</v>
      </c>
      <c r="FM24" s="20" t="n">
        <f aca="false">IF(H_Direct=1,IF(AKZ23&lt;=0,0,IF(BZ24&lt;=0,AKZ23,AKZ23-G24*MAX(0,BZ24*AKZ23-(IY24+ML24)))),AKZ23*(1-MAX(0,BZ24)*H_Exit))</f>
        <v>0</v>
      </c>
      <c r="FN24" s="20" t="n">
        <f aca="false">IF(H_Direct=1,IF(ALA23&lt;=0,0,IF(CA24&lt;=0,ALA23,ALA23-G24*MAX(0,CA24*ALA23-(IZ24+MM24)))),ALA23*(1-MAX(0,CA24)*H_Exit))</f>
        <v>0</v>
      </c>
      <c r="FO24" s="20" t="n">
        <f aca="false">IF(H_Direct=1,IF(ALB23&lt;=0,0,IF(CB24&lt;=0,ALB23,ALB23-G24*MAX(0,CB24*ALB23-(JA24+MN24)))),ALB23*(1-MAX(0,CB24)*H_Exit))</f>
        <v>0</v>
      </c>
      <c r="FP24" s="20" t="n">
        <f aca="false">IF(H_Direct=1,IF(ALC23&lt;=0,0,IF(CC24&lt;=0,ALC23,ALC23-G24*MAX(0,CC24*ALC23-(JB24+MO24)))),ALC23*(1-MAX(0,CC24)*H_Exit))</f>
        <v>636.604066323602</v>
      </c>
      <c r="FQ24" s="20" t="n">
        <f aca="false">IF(H_Direct=1,IF(ALD23&lt;=0,0,IF(CD24&lt;=0,ALD23,ALD23-G24*MAX(0,CD24*ALD23-(JC24+MP24)))),ALD23*(1-MAX(0,CD24)*H_Exit))</f>
        <v>811.280731057729</v>
      </c>
      <c r="FR24" s="20" t="n">
        <f aca="false">IF(H_Direct=1,IF(ALE23&lt;=0,0,IF(CE24&lt;=0,ALE23,ALE23-G24*MAX(0,CE24*ALE23-(JD24+MQ24)))),ALE23*(1-MAX(0,CE24)*H_Exit))</f>
        <v>983.886072579533</v>
      </c>
      <c r="FS24" s="20" t="n">
        <f aca="false">IF(H_Direct=1,IF(ALF23&lt;=0,0,IF(CF24&lt;=0,ALF23,ALF23-G24*MAX(0,CF24*ALF23-(JE24+MR24)))),ALF23*(1-MAX(0,CF24)*H_Exit))</f>
        <v>1121.59984279604</v>
      </c>
      <c r="FT24" s="20" t="n">
        <f aca="false">IF(H_Direct=1,IF(ALG23&lt;=0,0,IF(CG24&lt;=0,ALG23,ALG23-G24*MAX(0,CG24*ALG23-(JF24+MS24)))),ALG23*(1-MAX(0,CG24)*H_Exit))</f>
        <v>1093.86915751601</v>
      </c>
      <c r="FU24" s="20" t="n">
        <f aca="false">IF(H_Direct=1,IF(ALH23&lt;=0,0,IF(CH24&lt;=0,ALH23,ALH23-G24*MAX(0,CH24*ALH23-(JG24+MT24)))),ALH23*(1-MAX(0,CH24)*H_Exit))</f>
        <v>1066.57230175029</v>
      </c>
      <c r="FV24" s="20" t="n">
        <f aca="false">IF(H_Direct=1,IF((P24+S24)&lt;=0,0,IF(CI24&lt;=0,(P24+S24),(P24+S24)-G24*MAX(0,CI24*(P24+S24)-(JH24+MU24)))),(P24+S24)*(1-MAX(0,CI24)*H_Exit))</f>
        <v>0</v>
      </c>
      <c r="FW24" s="20" t="n">
        <v>0</v>
      </c>
      <c r="FX24" s="20" t="n">
        <v>0</v>
      </c>
      <c r="FY24" s="20" t="n">
        <v>0</v>
      </c>
      <c r="FZ24" s="20" t="n">
        <v>0</v>
      </c>
      <c r="GA24" s="20" t="n">
        <v>0</v>
      </c>
      <c r="GB24" s="20" t="n">
        <v>0</v>
      </c>
      <c r="GC24" s="20" t="n">
        <v>0</v>
      </c>
      <c r="GD24" s="20" t="n">
        <v>0</v>
      </c>
      <c r="GE24" s="20" t="n">
        <v>0</v>
      </c>
      <c r="GF24" s="20" t="n">
        <v>0</v>
      </c>
      <c r="GG24" s="20" t="n">
        <v>0</v>
      </c>
      <c r="GH24" s="20" t="n">
        <v>0</v>
      </c>
      <c r="GI24" s="20" t="n">
        <v>0</v>
      </c>
      <c r="GJ24" s="20" t="n">
        <v>0</v>
      </c>
      <c r="GK24" s="20" t="n">
        <v>0</v>
      </c>
      <c r="GL24" s="20" t="n">
        <v>0</v>
      </c>
      <c r="GM24" s="20" t="n">
        <v>0</v>
      </c>
      <c r="GN24" s="20" t="n">
        <v>0</v>
      </c>
      <c r="GO24" s="20" t="n">
        <v>0</v>
      </c>
      <c r="GP24" s="20" t="n">
        <v>0</v>
      </c>
      <c r="GQ24" s="20" t="n">
        <v>0</v>
      </c>
      <c r="GR24" s="20" t="n">
        <v>0</v>
      </c>
      <c r="GS24" s="20" t="n">
        <v>0</v>
      </c>
      <c r="GT24" s="20" t="n">
        <v>0</v>
      </c>
      <c r="GU24" s="20" t="n">
        <v>0</v>
      </c>
      <c r="GV24" s="20" t="n">
        <v>0</v>
      </c>
      <c r="GW24" s="20" t="n">
        <v>0</v>
      </c>
      <c r="GX24" s="20" t="n">
        <v>0</v>
      </c>
      <c r="GY24" s="20" t="n">
        <v>0</v>
      </c>
      <c r="GZ24" s="20" t="n">
        <v>0</v>
      </c>
      <c r="HA24" s="20" t="n">
        <v>0</v>
      </c>
      <c r="HB24" s="20" t="n">
        <v>0</v>
      </c>
      <c r="HC24" s="20" t="n">
        <v>0</v>
      </c>
      <c r="HD24" s="20" t="n">
        <v>0</v>
      </c>
      <c r="HE24" s="20" t="n">
        <v>0</v>
      </c>
      <c r="HF24" s="20" t="n">
        <v>0</v>
      </c>
      <c r="HG24" s="20" t="n">
        <v>0</v>
      </c>
      <c r="HH24" s="20" t="n">
        <v>0</v>
      </c>
      <c r="HI24" s="20" t="n">
        <v>0</v>
      </c>
      <c r="HJ24" s="20" t="n">
        <v>0</v>
      </c>
      <c r="HK24" s="20" t="n">
        <v>0</v>
      </c>
      <c r="HL24" s="20" t="n">
        <v>0</v>
      </c>
      <c r="HM24" s="20" t="n">
        <v>0</v>
      </c>
      <c r="HN24" s="20" t="n">
        <v>0</v>
      </c>
      <c r="HO24" s="20" t="n">
        <v>0</v>
      </c>
      <c r="HP24" s="20" t="n">
        <v>0</v>
      </c>
      <c r="HQ24" s="20" t="n">
        <v>0</v>
      </c>
      <c r="HR24" s="20" t="n">
        <v>0</v>
      </c>
      <c r="HS24" s="20" t="n">
        <v>0</v>
      </c>
      <c r="HT24" s="20" t="n">
        <v>0</v>
      </c>
      <c r="HU24" s="20" t="n">
        <v>0</v>
      </c>
      <c r="HV24" s="20" t="n">
        <v>0</v>
      </c>
      <c r="HW24" s="20" t="n">
        <v>0</v>
      </c>
      <c r="HX24" s="20" t="n">
        <v>0</v>
      </c>
      <c r="HY24" s="20" t="n">
        <v>0</v>
      </c>
      <c r="HZ24" s="20" t="n">
        <v>0</v>
      </c>
      <c r="IA24" s="20" t="n">
        <v>0</v>
      </c>
      <c r="IB24" s="20" t="n">
        <v>0</v>
      </c>
      <c r="IC24" s="20" t="n">
        <v>0</v>
      </c>
      <c r="ID24" s="20" t="n">
        <v>0</v>
      </c>
      <c r="IE24" s="20" t="n">
        <v>0</v>
      </c>
      <c r="IF24" s="20" t="n">
        <v>0</v>
      </c>
      <c r="IG24" s="20" t="n">
        <v>0</v>
      </c>
      <c r="IH24" s="20" t="n">
        <v>0</v>
      </c>
      <c r="II24" s="20" t="n">
        <v>0</v>
      </c>
      <c r="IJ24" s="20" t="n">
        <v>0</v>
      </c>
      <c r="IK24" s="20" t="n">
        <v>0</v>
      </c>
      <c r="IL24" s="20" t="n">
        <v>0</v>
      </c>
      <c r="IM24" s="20" t="n">
        <v>0</v>
      </c>
      <c r="IN24" s="20" t="n">
        <v>0</v>
      </c>
      <c r="IO24" s="20" t="n">
        <v>0</v>
      </c>
      <c r="IP24" s="20" t="n">
        <v>0</v>
      </c>
      <c r="IQ24" s="20" t="n">
        <v>0</v>
      </c>
      <c r="IR24" s="20" t="n">
        <f aca="false">IF(AND(H_Direct=1,BR24&gt;0),MAX(0,H24-(MIN(BR24*AKR23,H24+I24)-MIN(MIN(BR24*AKR23,H24+I24),I24))),H24)</f>
        <v>1270</v>
      </c>
      <c r="IS24" s="20" t="n">
        <f aca="false">IF(AND(H_Direct=1,BS24&gt;0),MAX(0,IR24-(MIN(BS24*AKS23,IR24+ME24)-MIN(MIN(BS24*AKS23,IR24+ME24),ME24))),IR24)</f>
        <v>1270</v>
      </c>
      <c r="IT24" s="20" t="n">
        <f aca="false">IF(AND(H_Direct=1,BT24&gt;0),MAX(0,IS24-(MIN(BT24*AKT23,IS24+MF24)-MIN(MIN(BT24*AKT23,IS24+MF24),MF24))),IS24)</f>
        <v>1270</v>
      </c>
      <c r="IU24" s="20" t="n">
        <f aca="false">IF(AND(H_Direct=1,BU24&gt;0),MAX(0,IT24-(MIN(BU24*AKU23,IT24+MG24)-MIN(MIN(BU24*AKU23,IT24+MG24),MG24))),IT24)</f>
        <v>1270</v>
      </c>
      <c r="IV24" s="20" t="n">
        <f aca="false">IF(AND(H_Direct=1,BV24&gt;0),MAX(0,IU24-(MIN(BV24*AKV23,IU24+MH24)-MIN(MIN(BV24*AKV23,IU24+MH24),MH24))),IU24)</f>
        <v>1270</v>
      </c>
      <c r="IW24" s="20" t="n">
        <f aca="false">IF(AND(H_Direct=1,BW24&gt;0),MAX(0,IV24-(MIN(BW24*AKW23,IV24+MI24)-MIN(MIN(BW24*AKW23,IV24+MI24),MI24))),IV24)</f>
        <v>1270</v>
      </c>
      <c r="IX24" s="20" t="n">
        <f aca="false">IF(AND(H_Direct=1,BX24&gt;0),MAX(0,IW24-(MIN(BX24*AKX23,IW24+MJ24)-MIN(MIN(BX24*AKX23,IW24+MJ24),MJ24))),IW24)</f>
        <v>1270</v>
      </c>
      <c r="IY24" s="20" t="n">
        <f aca="false">IF(AND(H_Direct=1,BY24&gt;0),MAX(0,IX24-(MIN(BY24*AKY23,IX24+MK24)-MIN(MIN(BY24*AKY23,IX24+MK24),MK24))),IX24)</f>
        <v>1270</v>
      </c>
      <c r="IZ24" s="20" t="n">
        <f aca="false">IF(AND(H_Direct=1,BZ24&gt;0),MAX(0,IY24-(MIN(BZ24*AKZ23,IY24+ML24)-MIN(MIN(BZ24*AKZ23,IY24+ML24),ML24))),IY24)</f>
        <v>1270</v>
      </c>
      <c r="JA24" s="20" t="n">
        <f aca="false">IF(AND(H_Direct=1,CA24&gt;0),MAX(0,IZ24-(MIN(CA24*ALA23,IZ24+MM24)-MIN(MIN(CA24*ALA23,IZ24+MM24),MM24))),IZ24)</f>
        <v>1270</v>
      </c>
      <c r="JB24" s="20" t="n">
        <f aca="false">IF(AND(H_Direct=1,CB24&gt;0),MAX(0,JA24-(MIN(CB24*ALB23,JA24+MN24)-MIN(MIN(CB24*ALB23,JA24+MN24),MN24))),JA24)</f>
        <v>1270</v>
      </c>
      <c r="JC24" s="20" t="n">
        <f aca="false">IF(AND(H_Direct=1,CC24&gt;0),MAX(0,JB24-(MIN(CC24*ALC23,JB24+MO24)-MIN(MIN(CC24*ALC23,JB24+MO24),MO24))),JB24)</f>
        <v>1270</v>
      </c>
      <c r="JD24" s="20" t="n">
        <f aca="false">IF(AND(H_Direct=1,CD24&gt;0),MAX(0,JC24-(MIN(CD24*ALD23,JC24+MP24)-MIN(MIN(CD24*ALD23,JC24+MP24),MP24))),JC24)</f>
        <v>1270</v>
      </c>
      <c r="JE24" s="20" t="n">
        <f aca="false">IF(AND(H_Direct=1,CE24&gt;0),MAX(0,JD24-(MIN(CE24*ALE23,JD24+MQ24)-MIN(MIN(CE24*ALE23,JD24+MQ24),MQ24))),JD24)</f>
        <v>1270</v>
      </c>
      <c r="JF24" s="20" t="n">
        <f aca="false">IF(AND(H_Direct=1,CF24&gt;0),MAX(0,JE24-(MIN(CF24*ALF23,JE24+MR24)-MIN(MIN(CF24*ALF23,JE24+MR24),MR24))),JE24)</f>
        <v>1270</v>
      </c>
      <c r="JG24" s="20" t="n">
        <f aca="false">IF(AND(H_Direct=1,CG24&gt;0),MAX(0,JF24-(MIN(CG24*ALG23,JF24+MS24)-MIN(MIN(CG24*ALG23,JF24+MS24),MS24))),JF24)</f>
        <v>1270</v>
      </c>
      <c r="JH24" s="20" t="n">
        <f aca="false">IF(AND(H_Direct=1,CH24&gt;0),MAX(0,JG24-(MIN(CH24*ALH23,JG24+MT24)-MIN(MIN(CH24*ALH23,JG24+MT24),MT24))),JG24)</f>
        <v>1270</v>
      </c>
      <c r="JI24" s="20" t="n">
        <f aca="false">IF(AND(H_Direct=1,CI24&gt;0),MAX(0,JH24-(MIN(CI24*(P24+S24),JH24+MU24)-MIN(MIN(CI24*(P24+S24),JH24+MU24),MU24))),JH24)</f>
        <v>1270</v>
      </c>
      <c r="JJ24" s="20" t="n">
        <f aca="false">JI24</f>
        <v>1270</v>
      </c>
      <c r="JK24" s="20" t="n">
        <f aca="false">JJ24</f>
        <v>1270</v>
      </c>
      <c r="JL24" s="20" t="n">
        <f aca="false">JK24</f>
        <v>1270</v>
      </c>
      <c r="JM24" s="20" t="n">
        <f aca="false">JL24</f>
        <v>1270</v>
      </c>
      <c r="JN24" s="20" t="n">
        <f aca="false">JM24</f>
        <v>1270</v>
      </c>
      <c r="JO24" s="20" t="n">
        <f aca="false">JN24</f>
        <v>1270</v>
      </c>
      <c r="JP24" s="20" t="n">
        <f aca="false">JO24</f>
        <v>1270</v>
      </c>
      <c r="JQ24" s="20" t="n">
        <f aca="false">JP24</f>
        <v>1270</v>
      </c>
      <c r="JR24" s="20" t="n">
        <f aca="false">JQ24</f>
        <v>1270</v>
      </c>
      <c r="JS24" s="20" t="n">
        <f aca="false">JR24</f>
        <v>1270</v>
      </c>
      <c r="JT24" s="20" t="n">
        <f aca="false">JS24</f>
        <v>1270</v>
      </c>
      <c r="JU24" s="20" t="n">
        <f aca="false">JT24</f>
        <v>1270</v>
      </c>
      <c r="JV24" s="20" t="n">
        <f aca="false">JU24</f>
        <v>1270</v>
      </c>
      <c r="JW24" s="20" t="n">
        <f aca="false">JV24</f>
        <v>1270</v>
      </c>
      <c r="JX24" s="20" t="n">
        <f aca="false">JW24</f>
        <v>1270</v>
      </c>
      <c r="JY24" s="20" t="n">
        <f aca="false">JX24</f>
        <v>1270</v>
      </c>
      <c r="JZ24" s="20" t="n">
        <f aca="false">JY24</f>
        <v>1270</v>
      </c>
      <c r="KA24" s="20" t="n">
        <f aca="false">JZ24</f>
        <v>1270</v>
      </c>
      <c r="KB24" s="20" t="n">
        <f aca="false">KA24</f>
        <v>1270</v>
      </c>
      <c r="KC24" s="20" t="n">
        <f aca="false">KB24</f>
        <v>1270</v>
      </c>
      <c r="KD24" s="20" t="n">
        <f aca="false">KC24</f>
        <v>1270</v>
      </c>
      <c r="KE24" s="20" t="n">
        <f aca="false">KD24</f>
        <v>1270</v>
      </c>
      <c r="KF24" s="20" t="n">
        <f aca="false">KE24</f>
        <v>1270</v>
      </c>
      <c r="KG24" s="20" t="n">
        <f aca="false">KF24</f>
        <v>1270</v>
      </c>
      <c r="KH24" s="20" t="n">
        <f aca="false">KG24</f>
        <v>1270</v>
      </c>
      <c r="KI24" s="20" t="n">
        <f aca="false">KH24</f>
        <v>1270</v>
      </c>
      <c r="KJ24" s="20" t="n">
        <f aca="false">KI24</f>
        <v>1270</v>
      </c>
      <c r="KK24" s="20" t="n">
        <f aca="false">KJ24</f>
        <v>1270</v>
      </c>
      <c r="KL24" s="20" t="n">
        <f aca="false">KK24</f>
        <v>1270</v>
      </c>
      <c r="KM24" s="20" t="n">
        <f aca="false">KL24</f>
        <v>1270</v>
      </c>
      <c r="KN24" s="20" t="n">
        <f aca="false">KM24</f>
        <v>1270</v>
      </c>
      <c r="KO24" s="20" t="n">
        <f aca="false">KN24</f>
        <v>1270</v>
      </c>
      <c r="KP24" s="20" t="n">
        <f aca="false">KO24</f>
        <v>1270</v>
      </c>
      <c r="KQ24" s="20" t="n">
        <f aca="false">KP24</f>
        <v>1270</v>
      </c>
      <c r="KR24" s="20" t="n">
        <f aca="false">KQ24</f>
        <v>1270</v>
      </c>
      <c r="KS24" s="20" t="n">
        <f aca="false">KR24</f>
        <v>1270</v>
      </c>
      <c r="KT24" s="20" t="n">
        <f aca="false">KS24</f>
        <v>1270</v>
      </c>
      <c r="KU24" s="20" t="n">
        <f aca="false">KT24</f>
        <v>1270</v>
      </c>
      <c r="KV24" s="20" t="n">
        <f aca="false">KU24</f>
        <v>1270</v>
      </c>
      <c r="KW24" s="20" t="n">
        <f aca="false">KV24</f>
        <v>1270</v>
      </c>
      <c r="KX24" s="20" t="n">
        <f aca="false">KW24</f>
        <v>1270</v>
      </c>
      <c r="KY24" s="20" t="n">
        <f aca="false">KX24</f>
        <v>1270</v>
      </c>
      <c r="KZ24" s="20" t="n">
        <f aca="false">KY24</f>
        <v>1270</v>
      </c>
      <c r="LA24" s="20" t="n">
        <f aca="false">KZ24</f>
        <v>1270</v>
      </c>
      <c r="LB24" s="20" t="n">
        <f aca="false">LA24</f>
        <v>1270</v>
      </c>
      <c r="LC24" s="20" t="n">
        <f aca="false">LB24</f>
        <v>1270</v>
      </c>
      <c r="LD24" s="20" t="n">
        <f aca="false">LC24</f>
        <v>1270</v>
      </c>
      <c r="LE24" s="20" t="n">
        <f aca="false">LD24</f>
        <v>1270</v>
      </c>
      <c r="LF24" s="20" t="n">
        <f aca="false">LE24</f>
        <v>1270</v>
      </c>
      <c r="LG24" s="20" t="n">
        <f aca="false">LF24</f>
        <v>1270</v>
      </c>
      <c r="LH24" s="20" t="n">
        <f aca="false">LG24</f>
        <v>1270</v>
      </c>
      <c r="LI24" s="20" t="n">
        <f aca="false">LH24</f>
        <v>1270</v>
      </c>
      <c r="LJ24" s="20" t="n">
        <f aca="false">LI24</f>
        <v>1270</v>
      </c>
      <c r="LK24" s="20" t="n">
        <f aca="false">LJ24</f>
        <v>1270</v>
      </c>
      <c r="LL24" s="20" t="n">
        <f aca="false">LK24</f>
        <v>1270</v>
      </c>
      <c r="LM24" s="20" t="n">
        <f aca="false">LL24</f>
        <v>1270</v>
      </c>
      <c r="LN24" s="20" t="n">
        <f aca="false">LM24</f>
        <v>1270</v>
      </c>
      <c r="LO24" s="20" t="n">
        <f aca="false">LN24</f>
        <v>1270</v>
      </c>
      <c r="LP24" s="20" t="n">
        <f aca="false">LO24</f>
        <v>1270</v>
      </c>
      <c r="LQ24" s="20" t="n">
        <f aca="false">LP24</f>
        <v>1270</v>
      </c>
      <c r="LR24" s="20" t="n">
        <f aca="false">LQ24</f>
        <v>1270</v>
      </c>
      <c r="LS24" s="20" t="n">
        <f aca="false">LR24</f>
        <v>1270</v>
      </c>
      <c r="LT24" s="20" t="n">
        <f aca="false">LS24</f>
        <v>1270</v>
      </c>
      <c r="LU24" s="20" t="n">
        <f aca="false">LT24</f>
        <v>1270</v>
      </c>
      <c r="LV24" s="20" t="n">
        <f aca="false">LU24</f>
        <v>1270</v>
      </c>
      <c r="LW24" s="20" t="n">
        <f aca="false">LV24</f>
        <v>1270</v>
      </c>
      <c r="LX24" s="20" t="n">
        <f aca="false">LW24</f>
        <v>1270</v>
      </c>
      <c r="LY24" s="20" t="n">
        <f aca="false">LX24</f>
        <v>1270</v>
      </c>
      <c r="LZ24" s="20" t="n">
        <f aca="false">LY24</f>
        <v>1270</v>
      </c>
      <c r="MA24" s="20" t="n">
        <f aca="false">LZ24</f>
        <v>1270</v>
      </c>
      <c r="MB24" s="20" t="n">
        <f aca="false">MA24</f>
        <v>1270</v>
      </c>
      <c r="MC24" s="20" t="n">
        <f aca="false">MB24</f>
        <v>1270</v>
      </c>
      <c r="MD24" s="20" t="n">
        <f aca="false">MC24</f>
        <v>1270</v>
      </c>
      <c r="ME24" s="20" t="n">
        <f aca="false">IF(H_Direct=1,IF(BR24&lt;=0,I24-BR24*AKR23,I24-MIN(MIN(BR24*AKR23,H24+I24),I24)),I24)</f>
        <v>0</v>
      </c>
      <c r="MF24" s="20" t="n">
        <f aca="false">IF(H_Direct=1,IF(BS24&lt;=0,ME24-BS24*AKS23,ME24-MIN(MIN(BS24*AKS23,IR24+ME24),ME24)),ME24)</f>
        <v>0</v>
      </c>
      <c r="MG24" s="20" t="n">
        <f aca="false">IF(H_Direct=1,IF(BT24&lt;=0,MF24-BT24*AKT23,MF24-MIN(MIN(BT24*AKT23,IS24+MF24),MF24)),MF24)</f>
        <v>0</v>
      </c>
      <c r="MH24" s="20" t="n">
        <f aca="false">IF(H_Direct=1,IF(BU24&lt;=0,MG24-BU24*AKU23,MG24-MIN(MIN(BU24*AKU23,IT24+MG24),MG24)),MG24)</f>
        <v>0</v>
      </c>
      <c r="MI24" s="20" t="n">
        <f aca="false">IF(H_Direct=1,IF(BV24&lt;=0,MH24-BV24*AKV23,MH24-MIN(MIN(BV24*AKV23,IU24+MH24),MH24)),MH24)</f>
        <v>0</v>
      </c>
      <c r="MJ24" s="20" t="n">
        <f aca="false">IF(H_Direct=1,IF(BW24&lt;=0,MI24-BW24*AKW23,MI24-MIN(MIN(BW24*AKW23,IV24+MI24),MI24)),MI24)</f>
        <v>0</v>
      </c>
      <c r="MK24" s="20" t="n">
        <f aca="false">IF(H_Direct=1,IF(BX24&lt;=0,MJ24-BX24*AKX23,MJ24-MIN(MIN(BX24*AKX23,IW24+MJ24),MJ24)),MJ24)</f>
        <v>0</v>
      </c>
      <c r="ML24" s="20" t="n">
        <f aca="false">IF(H_Direct=1,IF(BY24&lt;=0,MK24-BY24*AKY23,MK24-MIN(MIN(BY24*AKY23,IX24+MK24),MK24)),MK24)</f>
        <v>0</v>
      </c>
      <c r="MM24" s="20" t="n">
        <f aca="false">IF(H_Direct=1,IF(BZ24&lt;=0,ML24-BZ24*AKZ23,ML24-MIN(MIN(BZ24*AKZ23,IY24+ML24),ML24)),ML24)</f>
        <v>0</v>
      </c>
      <c r="MN24" s="20" t="n">
        <f aca="false">IF(H_Direct=1,IF(CA24&lt;=0,MM24-CA24*ALA23,MM24-MIN(MIN(CA24*ALA23,IZ24+MM24),MM24)),MM24)</f>
        <v>0</v>
      </c>
      <c r="MO24" s="20" t="n">
        <f aca="false">IF(H_Direct=1,IF(CB24&lt;=0,MN24-CB24*ALB23,MN24-MIN(MIN(CB24*ALB23,JA24+MN24),MN24)),MN24)</f>
        <v>0</v>
      </c>
      <c r="MP24" s="20" t="n">
        <f aca="false">IF(H_Direct=1,IF(CC24&lt;=0,MO24-CC24*ALC23,MO24-MIN(MIN(CC24*ALC23,JB24+MO24),MO24)),MO24)</f>
        <v>0</v>
      </c>
      <c r="MQ24" s="20" t="n">
        <f aca="false">IF(H_Direct=1,IF(CD24&lt;=0,MP24-CD24*ALD23,MP24-MIN(MIN(CD24*ALD23,JC24+MP24),MP24)),MP24)</f>
        <v>0</v>
      </c>
      <c r="MR24" s="20" t="n">
        <f aca="false">IF(H_Direct=1,IF(CE24&lt;=0,MQ24-CE24*ALE23,MQ24-MIN(MIN(CE24*ALE23,JD24+MQ24),MQ24)),MQ24)</f>
        <v>0</v>
      </c>
      <c r="MS24" s="20" t="n">
        <f aca="false">IF(H_Direct=1,IF(CF24&lt;=0,MR24-CF24*ALF23,MR24-MIN(MIN(CF24*ALF23,JE24+MR24),MR24)),MR24)</f>
        <v>0</v>
      </c>
      <c r="MT24" s="20" t="n">
        <f aca="false">IF(H_Direct=1,IF(CG24&lt;=0,MS24-CG24*ALG23,MS24-MIN(MIN(CG24*ALG23,JF24+MS24),MS24)),MS24)</f>
        <v>0</v>
      </c>
      <c r="MU24" s="20" t="n">
        <f aca="false">IF(H_Direct=1,IF(CH24&lt;=0,MT24-CH24*ALH23,MT24-MIN(MIN(CH24*ALH23,JG24+MT24),MT24)),MT24)</f>
        <v>0</v>
      </c>
      <c r="MV24" s="20" t="n">
        <f aca="false">IF(H_Direct=1,IF(CI24&lt;=0,MU24-CI24*(P24+S24),MU24-MIN(MIN(CI24*(P24+S24),JH24+MU24),MU24)),MU24)</f>
        <v>0</v>
      </c>
      <c r="MW24" s="20" t="n">
        <f aca="false">MV24</f>
        <v>0</v>
      </c>
      <c r="MX24" s="20" t="n">
        <f aca="false">MW24</f>
        <v>0</v>
      </c>
      <c r="MY24" s="20" t="n">
        <f aca="false">MX24</f>
        <v>0</v>
      </c>
      <c r="MZ24" s="20" t="n">
        <f aca="false">MY24</f>
        <v>0</v>
      </c>
      <c r="NA24" s="20" t="n">
        <f aca="false">MZ24</f>
        <v>0</v>
      </c>
      <c r="NB24" s="20" t="n">
        <f aca="false">NA24</f>
        <v>0</v>
      </c>
      <c r="NC24" s="20" t="n">
        <f aca="false">NB24</f>
        <v>0</v>
      </c>
      <c r="ND24" s="20" t="n">
        <f aca="false">NC24</f>
        <v>0</v>
      </c>
      <c r="NE24" s="20" t="n">
        <f aca="false">ND24</f>
        <v>0</v>
      </c>
      <c r="NF24" s="20" t="n">
        <f aca="false">NE24</f>
        <v>0</v>
      </c>
      <c r="NG24" s="20" t="n">
        <f aca="false">NF24</f>
        <v>0</v>
      </c>
      <c r="NH24" s="20" t="n">
        <f aca="false">NG24</f>
        <v>0</v>
      </c>
      <c r="NI24" s="20" t="n">
        <f aca="false">NH24</f>
        <v>0</v>
      </c>
      <c r="NJ24" s="20" t="n">
        <f aca="false">NI24</f>
        <v>0</v>
      </c>
      <c r="NK24" s="20" t="n">
        <f aca="false">NJ24</f>
        <v>0</v>
      </c>
      <c r="NL24" s="20" t="n">
        <f aca="false">NK24</f>
        <v>0</v>
      </c>
      <c r="NM24" s="20" t="n">
        <f aca="false">NL24</f>
        <v>0</v>
      </c>
      <c r="NN24" s="20" t="n">
        <f aca="false">NM24</f>
        <v>0</v>
      </c>
      <c r="NO24" s="20" t="n">
        <f aca="false">NN24</f>
        <v>0</v>
      </c>
      <c r="NP24" s="20" t="n">
        <f aca="false">NO24</f>
        <v>0</v>
      </c>
      <c r="NQ24" s="20" t="n">
        <f aca="false">NP24</f>
        <v>0</v>
      </c>
      <c r="NR24" s="20" t="n">
        <f aca="false">NQ24</f>
        <v>0</v>
      </c>
      <c r="NS24" s="20" t="n">
        <f aca="false">NR24</f>
        <v>0</v>
      </c>
      <c r="NT24" s="20" t="n">
        <f aca="false">NS24</f>
        <v>0</v>
      </c>
      <c r="NU24" s="20" t="n">
        <f aca="false">NT24</f>
        <v>0</v>
      </c>
      <c r="NV24" s="20" t="n">
        <f aca="false">NU24</f>
        <v>0</v>
      </c>
      <c r="NW24" s="20" t="n">
        <f aca="false">NV24</f>
        <v>0</v>
      </c>
      <c r="NX24" s="20" t="n">
        <f aca="false">NW24</f>
        <v>0</v>
      </c>
      <c r="NY24" s="20" t="n">
        <f aca="false">NX24</f>
        <v>0</v>
      </c>
      <c r="NZ24" s="20" t="n">
        <f aca="false">NY24</f>
        <v>0</v>
      </c>
      <c r="OA24" s="20" t="n">
        <f aca="false">NZ24</f>
        <v>0</v>
      </c>
      <c r="OB24" s="20" t="n">
        <f aca="false">OA24</f>
        <v>0</v>
      </c>
      <c r="OC24" s="20" t="n">
        <f aca="false">OB24</f>
        <v>0</v>
      </c>
      <c r="OD24" s="20" t="n">
        <f aca="false">OC24</f>
        <v>0</v>
      </c>
      <c r="OE24" s="20" t="n">
        <f aca="false">OD24</f>
        <v>0</v>
      </c>
      <c r="OF24" s="20" t="n">
        <f aca="false">OE24</f>
        <v>0</v>
      </c>
      <c r="OG24" s="20" t="n">
        <f aca="false">OF24</f>
        <v>0</v>
      </c>
      <c r="OH24" s="20" t="n">
        <f aca="false">OG24</f>
        <v>0</v>
      </c>
      <c r="OI24" s="20" t="n">
        <f aca="false">OH24</f>
        <v>0</v>
      </c>
      <c r="OJ24" s="20" t="n">
        <f aca="false">OI24</f>
        <v>0</v>
      </c>
      <c r="OK24" s="20" t="n">
        <f aca="false">OJ24</f>
        <v>0</v>
      </c>
      <c r="OL24" s="20" t="n">
        <f aca="false">OK24</f>
        <v>0</v>
      </c>
      <c r="OM24" s="20" t="n">
        <f aca="false">OL24</f>
        <v>0</v>
      </c>
      <c r="ON24" s="20" t="n">
        <f aca="false">OM24</f>
        <v>0</v>
      </c>
      <c r="OO24" s="20" t="n">
        <f aca="false">ON24</f>
        <v>0</v>
      </c>
      <c r="OP24" s="20" t="n">
        <f aca="false">OO24</f>
        <v>0</v>
      </c>
      <c r="OQ24" s="20" t="n">
        <f aca="false">OP24</f>
        <v>0</v>
      </c>
      <c r="OR24" s="20" t="n">
        <f aca="false">OQ24</f>
        <v>0</v>
      </c>
      <c r="OS24" s="20" t="n">
        <f aca="false">OR24</f>
        <v>0</v>
      </c>
      <c r="OT24" s="20" t="n">
        <f aca="false">OS24</f>
        <v>0</v>
      </c>
      <c r="OU24" s="20" t="n">
        <f aca="false">OT24</f>
        <v>0</v>
      </c>
      <c r="OV24" s="20" t="n">
        <f aca="false">OU24</f>
        <v>0</v>
      </c>
      <c r="OW24" s="20" t="n">
        <f aca="false">OV24</f>
        <v>0</v>
      </c>
      <c r="OX24" s="20" t="n">
        <f aca="false">OW24</f>
        <v>0</v>
      </c>
      <c r="OY24" s="20" t="n">
        <f aca="false">OX24</f>
        <v>0</v>
      </c>
      <c r="OZ24" s="20" t="n">
        <f aca="false">OY24</f>
        <v>0</v>
      </c>
      <c r="PA24" s="20" t="n">
        <f aca="false">OZ24</f>
        <v>0</v>
      </c>
      <c r="PB24" s="20" t="n">
        <f aca="false">PA24</f>
        <v>0</v>
      </c>
      <c r="PC24" s="20" t="n">
        <f aca="false">PB24</f>
        <v>0</v>
      </c>
      <c r="PD24" s="20" t="n">
        <f aca="false">PC24</f>
        <v>0</v>
      </c>
      <c r="PE24" s="20" t="n">
        <f aca="false">PD24</f>
        <v>0</v>
      </c>
      <c r="PF24" s="20" t="n">
        <f aca="false">PE24</f>
        <v>0</v>
      </c>
      <c r="PG24" s="20" t="n">
        <f aca="false">PF24</f>
        <v>0</v>
      </c>
      <c r="PH24" s="20" t="n">
        <f aca="false">PG24</f>
        <v>0</v>
      </c>
      <c r="PI24" s="20" t="n">
        <f aca="false">PH24</f>
        <v>0</v>
      </c>
      <c r="PJ24" s="20" t="n">
        <f aca="false">PI24</f>
        <v>0</v>
      </c>
      <c r="PK24" s="20" t="n">
        <f aca="false">PJ24</f>
        <v>0</v>
      </c>
      <c r="PL24" s="20" t="n">
        <f aca="false">PK24</f>
        <v>0</v>
      </c>
      <c r="PM24" s="20" t="n">
        <f aca="false">PL24</f>
        <v>0</v>
      </c>
      <c r="PN24" s="20" t="n">
        <f aca="false">PM24</f>
        <v>0</v>
      </c>
      <c r="PO24" s="20" t="n">
        <f aca="false">PN24</f>
        <v>0</v>
      </c>
      <c r="PP24" s="20" t="n">
        <f aca="false">PO24</f>
        <v>0</v>
      </c>
      <c r="PQ24" s="20" t="n">
        <f aca="false">PP24</f>
        <v>0</v>
      </c>
      <c r="PR24" s="20" t="n">
        <f aca="false">IF(H_Direct=1,IF(AKR23&lt;=0,0,IF(BR24&lt;=0,MIN(MAX(0,AB24),AKR23),MIN(MAX(0,AB24),AKR23-G24*MAX(0,BR24*AKR23-(H24+I24))))),MIN(FE24,MAX(0,AB24)))</f>
        <v>0</v>
      </c>
      <c r="PS24" s="20" t="n">
        <f aca="false">IF(H_Direct=1,IF(AKS23&lt;=0,0,IF(BS24&lt;=0,MIN(MAX(0,AB24-SUM(PR24:PR24)),AKS23),MIN(MAX(0,AB24-SUM(PR24:PR24)),AKS23-G24*MAX(0,BS24*AKS23-(WR24+AAE24))))),MIN(FF24,MAX(0,AB24-SUM(PR24:PR24))))</f>
        <v>0</v>
      </c>
      <c r="PT24" s="20" t="n">
        <f aca="false">IF(H_Direct=1,IF(AKT23&lt;=0,0,IF(BT24&lt;=0,MIN(MAX(0,AB24-SUM(PR24:PS24)),AKT23),MIN(MAX(0,AB24-SUM(PR24:PS24)),AKT23-G24*MAX(0,BT24*AKT23-(WS24+AAF24))))),MIN(FG24,MAX(0,AB24-SUM(PR24:PS24))))</f>
        <v>0</v>
      </c>
      <c r="PU24" s="20" t="n">
        <f aca="false">IF(H_Direct=1,IF(AKU23&lt;=0,0,IF(BU24&lt;=0,MIN(MAX(0,AB24-SUM(PR24:PT24)),AKU23),MIN(MAX(0,AB24-SUM(PR24:PT24)),AKU23-G24*MAX(0,BU24*AKU23-(WT24+AAG24))))),MIN(FH24,MAX(0,AB24-SUM(PR24:PT24))))</f>
        <v>0</v>
      </c>
      <c r="PV24" s="20" t="n">
        <f aca="false">IF(H_Direct=1,IF(AKV23&lt;=0,0,IF(BV24&lt;=0,MIN(MAX(0,AB24-SUM(PR24:PU24)),AKV23),MIN(MAX(0,AB24-SUM(PR24:PU24)),AKV23-G24*MAX(0,BV24*AKV23-(WU24+AAH24))))),MIN(FI24,MAX(0,AB24-SUM(PR24:PU24))))</f>
        <v>0</v>
      </c>
      <c r="PW24" s="20" t="n">
        <f aca="false">IF(H_Direct=1,IF(AKW23&lt;=0,0,IF(BW24&lt;=0,MIN(MAX(0,AB24-SUM(PR24:PV24)),AKW23),MIN(MAX(0,AB24-SUM(PR24:PV24)),AKW23-G24*MAX(0,BW24*AKW23-(WV24+AAI24))))),MIN(FJ24,MAX(0,AB24-SUM(PR24:PV24))))</f>
        <v>0</v>
      </c>
      <c r="PX24" s="20" t="n">
        <f aca="false">IF(H_Direct=1,IF(AKX23&lt;=0,0,IF(BX24&lt;=0,MIN(MAX(0,AB24-SUM(PR24:PW24)),AKX23),MIN(MAX(0,AB24-SUM(PR24:PW24)),AKX23-G24*MAX(0,BX24*AKX23-(WW24+AAJ24))))),MIN(FK24,MAX(0,AB24-SUM(PR24:PW24))))</f>
        <v>0</v>
      </c>
      <c r="PY24" s="20" t="n">
        <f aca="false">IF(H_Direct=1,IF(AKY23&lt;=0,0,IF(BY24&lt;=0,MIN(MAX(0,AB24-SUM(PR24:PX24)),AKY23),MIN(MAX(0,AB24-SUM(PR24:PX24)),AKY23-G24*MAX(0,BY24*AKY23-(WX24+AAK24))))),MIN(FL24,MAX(0,AB24-SUM(PR24:PX24))))</f>
        <v>0</v>
      </c>
      <c r="PZ24" s="20" t="n">
        <f aca="false">IF(H_Direct=1,IF(AKZ23&lt;=0,0,IF(BZ24&lt;=0,MIN(MAX(0,AB24-SUM(PR24:PY24)),AKZ23),MIN(MAX(0,AB24-SUM(PR24:PY24)),AKZ23-G24*MAX(0,BZ24*AKZ23-(WY24+AAL24))))),MIN(FM24,MAX(0,AB24-SUM(PR24:PY24))))</f>
        <v>0</v>
      </c>
      <c r="QA24" s="20" t="n">
        <f aca="false">IF(H_Direct=1,IF(ALA23&lt;=0,0,IF(CA24&lt;=0,MIN(MAX(0,AB24-SUM(PR24:PZ24)),ALA23),MIN(MAX(0,AB24-SUM(PR24:PZ24)),ALA23-G24*MAX(0,CA24*ALA23-(WZ24+AAM24))))),MIN(FN24,MAX(0,AB24-SUM(PR24:PZ24))))</f>
        <v>0</v>
      </c>
      <c r="QB24" s="20" t="n">
        <f aca="false">IF(H_Direct=1,IF(ALB23&lt;=0,0,IF(CB24&lt;=0,MIN(MAX(0,AB24-SUM(PR24:QA24)),ALB23),MIN(MAX(0,AB24-SUM(PR24:QA24)),ALB23-G24*MAX(0,CB24*ALB23-(XA24+AAN24))))),MIN(FO24,MAX(0,AB24-SUM(PR24:QA24))))</f>
        <v>0</v>
      </c>
      <c r="QC24" s="20" t="n">
        <f aca="false">IF(H_Direct=1,IF(ALC23&lt;=0,0,IF(CC24&lt;=0,MIN(MAX(0,AB24-SUM(PR24:QB24)),ALC23),MIN(MAX(0,AB24-SUM(PR24:QB24)),ALC23-G24*MAX(0,CC24*ALC23-(XB24+AAO24))))),MIN(FP24,MAX(0,AB24-SUM(PR24:QB24))))</f>
        <v>0</v>
      </c>
      <c r="QD24" s="20" t="n">
        <f aca="false">IF(H_Direct=1,IF(ALD23&lt;=0,0,IF(CD24&lt;=0,MIN(MAX(0,AB24-SUM(PR24:QC24)),ALD23),MIN(MAX(0,AB24-SUM(PR24:QC24)),ALD23-G24*MAX(0,CD24*ALD23-(XC24+AAP24))))),MIN(FQ24,MAX(0,AB24-SUM(PR24:QC24))))</f>
        <v>0</v>
      </c>
      <c r="QE24" s="20" t="n">
        <f aca="false">IF(H_Direct=1,IF(ALE23&lt;=0,0,IF(CE24&lt;=0,MIN(MAX(0,AB24-SUM(PR24:QD24)),ALE23),MIN(MAX(0,AB24-SUM(PR24:QD24)),ALE23-G24*MAX(0,CE24*ALE23-(XD24+AAQ24))))),MIN(FR24,MAX(0,AB24-SUM(PR24:QD24))))</f>
        <v>0</v>
      </c>
      <c r="QF24" s="20" t="n">
        <f aca="false">IF(H_Direct=1,IF(ALF23&lt;=0,0,IF(CF24&lt;=0,MIN(MAX(0,AB24-SUM(PR24:QE24)),ALF23),MIN(MAX(0,AB24-SUM(PR24:QE24)),ALF23-G24*MAX(0,CF24*ALF23-(XE24+AAR24))))),MIN(FS24,MAX(0,AB24-SUM(PR24:QE24))))</f>
        <v>0</v>
      </c>
      <c r="QG24" s="20" t="n">
        <f aca="false">IF(H_Direct=1,IF(ALG23&lt;=0,0,IF(CG24&lt;=0,MIN(MAX(0,AB24-SUM(PR24:QF24)),ALG23),MIN(MAX(0,AB24-SUM(PR24:QF24)),ALG23-G24*MAX(0,CG24*ALG23-(XF24+AAS24))))),MIN(FT24,MAX(0,AB24-SUM(PR24:QF24))))</f>
        <v>0</v>
      </c>
      <c r="QH24" s="20" t="n">
        <f aca="false">IF(H_Direct=1,IF(ALH23&lt;=0,0,IF(CH24&lt;=0,MIN(MAX(0,AB24-SUM(PR24:QG24)),ALH23),MIN(MAX(0,AB24-SUM(PR24:QG24)),ALH23-G24*MAX(0,CH24*ALH23-(XG24+AAT24))))),MIN(FU24,MAX(0,AB24-SUM(PR24:QG24))))</f>
        <v>0</v>
      </c>
      <c r="QI24" s="20" t="n">
        <f aca="false">IF(H_Direct=1,IF((P24+S24)&lt;=0,0,IF(CI24&lt;=0,MIN(MAX(0,AB24-SUM(PR24:QH24)),(P24+S24)),MIN(MAX(0,AB24-SUM(PR24:QH24)),(P24+S24)-G24*MAX(0,CI24*(P24+S24)-(XH24+AAU24))))),MIN(FV24,MAX(0,AB24-SUM(PR24:QH24))))</f>
        <v>0</v>
      </c>
      <c r="QJ24" s="20" t="n">
        <v>0</v>
      </c>
      <c r="QK24" s="20" t="n">
        <v>0</v>
      </c>
      <c r="QL24" s="20" t="n">
        <v>0</v>
      </c>
      <c r="QM24" s="20" t="n">
        <v>0</v>
      </c>
      <c r="QN24" s="20" t="n">
        <v>0</v>
      </c>
      <c r="QO24" s="20" t="n">
        <v>0</v>
      </c>
      <c r="QP24" s="20" t="n">
        <v>0</v>
      </c>
      <c r="QQ24" s="20" t="n">
        <v>0</v>
      </c>
      <c r="QR24" s="20" t="n">
        <v>0</v>
      </c>
      <c r="QS24" s="20" t="n">
        <v>0</v>
      </c>
      <c r="QT24" s="20" t="n">
        <v>0</v>
      </c>
      <c r="QU24" s="20" t="n">
        <v>0</v>
      </c>
      <c r="QV24" s="20" t="n">
        <v>0</v>
      </c>
      <c r="QW24" s="20" t="n">
        <v>0</v>
      </c>
      <c r="QX24" s="20" t="n">
        <v>0</v>
      </c>
      <c r="QY24" s="20" t="n">
        <v>0</v>
      </c>
      <c r="QZ24" s="20" t="n">
        <v>0</v>
      </c>
      <c r="RA24" s="20" t="n">
        <v>0</v>
      </c>
      <c r="RB24" s="20" t="n">
        <v>0</v>
      </c>
      <c r="RC24" s="20" t="n">
        <v>0</v>
      </c>
      <c r="RD24" s="20" t="n">
        <v>0</v>
      </c>
      <c r="RE24" s="20" t="n">
        <v>0</v>
      </c>
      <c r="RF24" s="20" t="n">
        <v>0</v>
      </c>
      <c r="RG24" s="20" t="n">
        <v>0</v>
      </c>
      <c r="RH24" s="20" t="n">
        <v>0</v>
      </c>
      <c r="RI24" s="20" t="n">
        <v>0</v>
      </c>
      <c r="RJ24" s="20" t="n">
        <v>0</v>
      </c>
      <c r="RK24" s="20" t="n">
        <v>0</v>
      </c>
      <c r="RL24" s="20" t="n">
        <v>0</v>
      </c>
      <c r="RM24" s="20" t="n">
        <v>0</v>
      </c>
      <c r="RN24" s="20" t="n">
        <v>0</v>
      </c>
      <c r="RO24" s="20" t="n">
        <v>0</v>
      </c>
      <c r="RP24" s="20" t="n">
        <v>0</v>
      </c>
      <c r="RQ24" s="20" t="n">
        <v>0</v>
      </c>
      <c r="RR24" s="20" t="n">
        <v>0</v>
      </c>
      <c r="RS24" s="20" t="n">
        <v>0</v>
      </c>
      <c r="RT24" s="20" t="n">
        <v>0</v>
      </c>
      <c r="RU24" s="20" t="n">
        <v>0</v>
      </c>
      <c r="RV24" s="20" t="n">
        <v>0</v>
      </c>
      <c r="RW24" s="20" t="n">
        <v>0</v>
      </c>
      <c r="RX24" s="20" t="n">
        <v>0</v>
      </c>
      <c r="RY24" s="20" t="n">
        <v>0</v>
      </c>
      <c r="RZ24" s="20" t="n">
        <v>0</v>
      </c>
      <c r="SA24" s="20" t="n">
        <v>0</v>
      </c>
      <c r="SB24" s="20" t="n">
        <v>0</v>
      </c>
      <c r="SC24" s="20" t="n">
        <v>0</v>
      </c>
      <c r="SD24" s="20" t="n">
        <v>0</v>
      </c>
      <c r="SE24" s="20" t="n">
        <v>0</v>
      </c>
      <c r="SF24" s="20" t="n">
        <v>0</v>
      </c>
      <c r="SG24" s="20" t="n">
        <v>0</v>
      </c>
      <c r="SH24" s="20" t="n">
        <v>0</v>
      </c>
      <c r="SI24" s="20" t="n">
        <v>0</v>
      </c>
      <c r="SJ24" s="20" t="n">
        <v>0</v>
      </c>
      <c r="SK24" s="20" t="n">
        <v>0</v>
      </c>
      <c r="SL24" s="20" t="n">
        <v>0</v>
      </c>
      <c r="SM24" s="20" t="n">
        <v>0</v>
      </c>
      <c r="SN24" s="20" t="n">
        <v>0</v>
      </c>
      <c r="SO24" s="20" t="n">
        <v>0</v>
      </c>
      <c r="SP24" s="20" t="n">
        <v>0</v>
      </c>
      <c r="SQ24" s="20" t="n">
        <v>0</v>
      </c>
      <c r="SR24" s="20" t="n">
        <v>0</v>
      </c>
      <c r="SS24" s="20" t="n">
        <v>0</v>
      </c>
      <c r="ST24" s="20" t="n">
        <v>0</v>
      </c>
      <c r="SU24" s="20" t="n">
        <v>0</v>
      </c>
      <c r="SV24" s="20" t="n">
        <v>0</v>
      </c>
      <c r="SW24" s="20" t="n">
        <v>0</v>
      </c>
      <c r="SX24" s="20" t="n">
        <v>0</v>
      </c>
      <c r="SY24" s="20" t="n">
        <v>0</v>
      </c>
      <c r="SZ24" s="20" t="n">
        <v>0</v>
      </c>
      <c r="TA24" s="20" t="n">
        <v>0</v>
      </c>
      <c r="TB24" s="20" t="n">
        <v>0</v>
      </c>
      <c r="TC24" s="20" t="n">
        <v>0</v>
      </c>
      <c r="TD24" s="20" t="n">
        <v>0</v>
      </c>
      <c r="TE24" s="20" t="n">
        <f aca="false">IF(AKR23&lt;=0,0,IF(H_Direct=1,IF(BR24&lt;=0,PR24,IF(PR24&lt;=(H24+I24)/BR24,PR24,(PR24-G24*(H24+I24))/(1-G24*BR24))),PR24/(1-MAX(0,BR24)*H_Exit)))</f>
        <v>0</v>
      </c>
      <c r="TF24" s="20" t="n">
        <f aca="false">IF(AKS23&lt;=0,0,IF(H_Direct=1,IF(BS24&lt;=0,PS24,IF(PS24&lt;=(WR24+AAE24)/BS24,PS24,(PS24-G24*(WR24+AAE24))/(1-G24*BS24))),PS24/(1-MAX(0,BS24)*H_Exit)))</f>
        <v>0</v>
      </c>
      <c r="TG24" s="20" t="n">
        <f aca="false">IF(AKT23&lt;=0,0,IF(H_Direct=1,IF(BT24&lt;=0,PT24,IF(PT24&lt;=(WS24+AAF24)/BT24,PT24,(PT24-G24*(WS24+AAF24))/(1-G24*BT24))),PT24/(1-MAX(0,BT24)*H_Exit)))</f>
        <v>0</v>
      </c>
      <c r="TH24" s="20" t="n">
        <f aca="false">IF(AKU23&lt;=0,0,IF(H_Direct=1,IF(BU24&lt;=0,PU24,IF(PU24&lt;=(WT24+AAG24)/BU24,PU24,(PU24-G24*(WT24+AAG24))/(1-G24*BU24))),PU24/(1-MAX(0,BU24)*H_Exit)))</f>
        <v>0</v>
      </c>
      <c r="TI24" s="20" t="n">
        <f aca="false">IF(AKV23&lt;=0,0,IF(H_Direct=1,IF(BV24&lt;=0,PV24,IF(PV24&lt;=(WU24+AAH24)/BV24,PV24,(PV24-G24*(WU24+AAH24))/(1-G24*BV24))),PV24/(1-MAX(0,BV24)*H_Exit)))</f>
        <v>0</v>
      </c>
      <c r="TJ24" s="20" t="n">
        <f aca="false">IF(AKW23&lt;=0,0,IF(H_Direct=1,IF(BW24&lt;=0,PW24,IF(PW24&lt;=(WV24+AAI24)/BW24,PW24,(PW24-G24*(WV24+AAI24))/(1-G24*BW24))),PW24/(1-MAX(0,BW24)*H_Exit)))</f>
        <v>0</v>
      </c>
      <c r="TK24" s="20" t="n">
        <f aca="false">IF(AKX23&lt;=0,0,IF(H_Direct=1,IF(BX24&lt;=0,PX24,IF(PX24&lt;=(WW24+AAJ24)/BX24,PX24,(PX24-G24*(WW24+AAJ24))/(1-G24*BX24))),PX24/(1-MAX(0,BX24)*H_Exit)))</f>
        <v>0</v>
      </c>
      <c r="TL24" s="20" t="n">
        <f aca="false">IF(AKY23&lt;=0,0,IF(H_Direct=1,IF(BY24&lt;=0,PY24,IF(PY24&lt;=(WX24+AAK24)/BY24,PY24,(PY24-G24*(WX24+AAK24))/(1-G24*BY24))),PY24/(1-MAX(0,BY24)*H_Exit)))</f>
        <v>0</v>
      </c>
      <c r="TM24" s="20" t="n">
        <f aca="false">IF(AKZ23&lt;=0,0,IF(H_Direct=1,IF(BZ24&lt;=0,PZ24,IF(PZ24&lt;=(WY24+AAL24)/BZ24,PZ24,(PZ24-G24*(WY24+AAL24))/(1-G24*BZ24))),PZ24/(1-MAX(0,BZ24)*H_Exit)))</f>
        <v>0</v>
      </c>
      <c r="TN24" s="20" t="n">
        <f aca="false">IF(ALA23&lt;=0,0,IF(H_Direct=1,IF(CA24&lt;=0,QA24,IF(QA24&lt;=(WZ24+AAM24)/CA24,QA24,(QA24-G24*(WZ24+AAM24))/(1-G24*CA24))),QA24/(1-MAX(0,CA24)*H_Exit)))</f>
        <v>0</v>
      </c>
      <c r="TO24" s="20" t="n">
        <f aca="false">IF(ALB23&lt;=0,0,IF(H_Direct=1,IF(CB24&lt;=0,QB24,IF(QB24&lt;=(XA24+AAN24)/CB24,QB24,(QB24-G24*(XA24+AAN24))/(1-G24*CB24))),QB24/(1-MAX(0,CB24)*H_Exit)))</f>
        <v>0</v>
      </c>
      <c r="TP24" s="20" t="n">
        <f aca="false">IF(ALC23&lt;=0,0,IF(H_Direct=1,IF(CC24&lt;=0,QC24,IF(QC24&lt;=(XB24+AAO24)/CC24,QC24,(QC24-G24*(XB24+AAO24))/(1-G24*CC24))),QC24/(1-MAX(0,CC24)*H_Exit)))</f>
        <v>0</v>
      </c>
      <c r="TQ24" s="20" t="n">
        <f aca="false">IF(ALD23&lt;=0,0,IF(H_Direct=1,IF(CD24&lt;=0,QD24,IF(QD24&lt;=(XC24+AAP24)/CD24,QD24,(QD24-G24*(XC24+AAP24))/(1-G24*CD24))),QD24/(1-MAX(0,CD24)*H_Exit)))</f>
        <v>0</v>
      </c>
      <c r="TR24" s="20" t="n">
        <f aca="false">IF(ALE23&lt;=0,0,IF(H_Direct=1,IF(CE24&lt;=0,QE24,IF(QE24&lt;=(XD24+AAQ24)/CE24,QE24,(QE24-G24*(XD24+AAQ24))/(1-G24*CE24))),QE24/(1-MAX(0,CE24)*H_Exit)))</f>
        <v>0</v>
      </c>
      <c r="TS24" s="20" t="n">
        <f aca="false">IF(ALF23&lt;=0,0,IF(H_Direct=1,IF(CF24&lt;=0,QF24,IF(QF24&lt;=(XE24+AAR24)/CF24,QF24,(QF24-G24*(XE24+AAR24))/(1-G24*CF24))),QF24/(1-MAX(0,CF24)*H_Exit)))</f>
        <v>0</v>
      </c>
      <c r="TT24" s="20" t="n">
        <f aca="false">IF(ALG23&lt;=0,0,IF(H_Direct=1,IF(CG24&lt;=0,QG24,IF(QG24&lt;=(XF24+AAS24)/CG24,QG24,(QG24-G24*(XF24+AAS24))/(1-G24*CG24))),QG24/(1-MAX(0,CG24)*H_Exit)))</f>
        <v>0</v>
      </c>
      <c r="TU24" s="20" t="n">
        <f aca="false">IF(ALH23&lt;=0,0,IF(H_Direct=1,IF(CH24&lt;=0,QH24,IF(QH24&lt;=(XG24+AAT24)/CH24,QH24,(QH24-G24*(XG24+AAT24))/(1-G24*CH24))),QH24/(1-MAX(0,CH24)*H_Exit)))</f>
        <v>0</v>
      </c>
      <c r="TV24" s="20" t="n">
        <f aca="false">IF((P24+S24)&lt;=0,0,IF(H_Direct=1,IF(CI24&lt;=0,QI24,IF(QI24&lt;=(XH24+AAU24)/CI24,QI24,(QI24-G24*(XH24+AAU24))/(1-G24*CI24))),QI24/(1-MAX(0,CI24)*H_Exit)))</f>
        <v>0</v>
      </c>
      <c r="TW24" s="20" t="n">
        <v>0</v>
      </c>
      <c r="TX24" s="20" t="n">
        <v>0</v>
      </c>
      <c r="TY24" s="20" t="n">
        <v>0</v>
      </c>
      <c r="TZ24" s="20" t="n">
        <v>0</v>
      </c>
      <c r="UA24" s="20" t="n">
        <v>0</v>
      </c>
      <c r="UB24" s="20" t="n">
        <v>0</v>
      </c>
      <c r="UC24" s="20" t="n">
        <v>0</v>
      </c>
      <c r="UD24" s="20" t="n">
        <v>0</v>
      </c>
      <c r="UE24" s="20" t="n">
        <v>0</v>
      </c>
      <c r="UF24" s="20" t="n">
        <v>0</v>
      </c>
      <c r="UG24" s="20" t="n">
        <v>0</v>
      </c>
      <c r="UH24" s="20" t="n">
        <v>0</v>
      </c>
      <c r="UI24" s="20" t="n">
        <v>0</v>
      </c>
      <c r="UJ24" s="20" t="n">
        <v>0</v>
      </c>
      <c r="UK24" s="20" t="n">
        <v>0</v>
      </c>
      <c r="UL24" s="20" t="n">
        <v>0</v>
      </c>
      <c r="UM24" s="20" t="n">
        <v>0</v>
      </c>
      <c r="UN24" s="20" t="n">
        <v>0</v>
      </c>
      <c r="UO24" s="20" t="n">
        <v>0</v>
      </c>
      <c r="UP24" s="20" t="n">
        <v>0</v>
      </c>
      <c r="UQ24" s="20" t="n">
        <v>0</v>
      </c>
      <c r="UR24" s="20" t="n">
        <v>0</v>
      </c>
      <c r="US24" s="20" t="n">
        <v>0</v>
      </c>
      <c r="UT24" s="20" t="n">
        <v>0</v>
      </c>
      <c r="UU24" s="20" t="n">
        <v>0</v>
      </c>
      <c r="UV24" s="20" t="n">
        <v>0</v>
      </c>
      <c r="UW24" s="20" t="n">
        <v>0</v>
      </c>
      <c r="UX24" s="20" t="n">
        <v>0</v>
      </c>
      <c r="UY24" s="20" t="n">
        <v>0</v>
      </c>
      <c r="UZ24" s="20" t="n">
        <v>0</v>
      </c>
      <c r="VA24" s="20" t="n">
        <v>0</v>
      </c>
      <c r="VB24" s="20" t="n">
        <v>0</v>
      </c>
      <c r="VC24" s="20" t="n">
        <v>0</v>
      </c>
      <c r="VD24" s="20" t="n">
        <v>0</v>
      </c>
      <c r="VE24" s="20" t="n">
        <v>0</v>
      </c>
      <c r="VF24" s="20" t="n">
        <v>0</v>
      </c>
      <c r="VG24" s="20" t="n">
        <v>0</v>
      </c>
      <c r="VH24" s="20" t="n">
        <v>0</v>
      </c>
      <c r="VI24" s="20" t="n">
        <v>0</v>
      </c>
      <c r="VJ24" s="20" t="n">
        <v>0</v>
      </c>
      <c r="VK24" s="20" t="n">
        <v>0</v>
      </c>
      <c r="VL24" s="20" t="n">
        <v>0</v>
      </c>
      <c r="VM24" s="20" t="n">
        <v>0</v>
      </c>
      <c r="VN24" s="20" t="n">
        <v>0</v>
      </c>
      <c r="VO24" s="20" t="n">
        <v>0</v>
      </c>
      <c r="VP24" s="20" t="n">
        <v>0</v>
      </c>
      <c r="VQ24" s="20" t="n">
        <v>0</v>
      </c>
      <c r="VR24" s="20" t="n">
        <v>0</v>
      </c>
      <c r="VS24" s="20" t="n">
        <v>0</v>
      </c>
      <c r="VT24" s="20" t="n">
        <v>0</v>
      </c>
      <c r="VU24" s="20" t="n">
        <v>0</v>
      </c>
      <c r="VV24" s="20" t="n">
        <v>0</v>
      </c>
      <c r="VW24" s="20" t="n">
        <v>0</v>
      </c>
      <c r="VX24" s="20" t="n">
        <v>0</v>
      </c>
      <c r="VY24" s="20" t="n">
        <v>0</v>
      </c>
      <c r="VZ24" s="20" t="n">
        <v>0</v>
      </c>
      <c r="WA24" s="20" t="n">
        <v>0</v>
      </c>
      <c r="WB24" s="20" t="n">
        <v>0</v>
      </c>
      <c r="WC24" s="20" t="n">
        <v>0</v>
      </c>
      <c r="WD24" s="20" t="n">
        <v>0</v>
      </c>
      <c r="WE24" s="20" t="n">
        <v>0</v>
      </c>
      <c r="WF24" s="20" t="n">
        <v>0</v>
      </c>
      <c r="WG24" s="20" t="n">
        <v>0</v>
      </c>
      <c r="WH24" s="20" t="n">
        <v>0</v>
      </c>
      <c r="WI24" s="20" t="n">
        <v>0</v>
      </c>
      <c r="WJ24" s="20" t="n">
        <v>0</v>
      </c>
      <c r="WK24" s="20" t="n">
        <v>0</v>
      </c>
      <c r="WL24" s="20" t="n">
        <v>0</v>
      </c>
      <c r="WM24" s="20" t="n">
        <v>0</v>
      </c>
      <c r="WN24" s="20" t="n">
        <v>0</v>
      </c>
      <c r="WO24" s="20" t="n">
        <v>0</v>
      </c>
      <c r="WP24" s="20" t="n">
        <v>0</v>
      </c>
      <c r="WQ24" s="20" t="n">
        <v>0</v>
      </c>
      <c r="WR24" s="20" t="n">
        <f aca="false">IF(AND(H_Direct=1,BR24&gt;0),MAX(0,H24-(MIN(BR24*TE24,(H24+I24))-MIN(MIN(BR24*TE24,(H24+I24)),I24))),H24)</f>
        <v>1270</v>
      </c>
      <c r="WS24" s="20" t="n">
        <f aca="false">IF(AND(H_Direct=1,BS24&gt;0),MAX(0,WR24-(MIN(BS24*TF24,(WR24+AAE24))-MIN(MIN(BS24*TF24,(WR24+AAE24)),AAE24))),WR24)</f>
        <v>1270</v>
      </c>
      <c r="WT24" s="20" t="n">
        <f aca="false">IF(AND(H_Direct=1,BT24&gt;0),MAX(0,WS24-(MIN(BT24*TG24,(WS24+AAF24))-MIN(MIN(BT24*TG24,(WS24+AAF24)),AAF24))),WS24)</f>
        <v>1270</v>
      </c>
      <c r="WU24" s="20" t="n">
        <f aca="false">IF(AND(H_Direct=1,BU24&gt;0),MAX(0,WT24-(MIN(BU24*TH24,(WT24+AAG24))-MIN(MIN(BU24*TH24,(WT24+AAG24)),AAG24))),WT24)</f>
        <v>1270</v>
      </c>
      <c r="WV24" s="20" t="n">
        <f aca="false">IF(AND(H_Direct=1,BV24&gt;0),MAX(0,WU24-(MIN(BV24*TI24,(WU24+AAH24))-MIN(MIN(BV24*TI24,(WU24+AAH24)),AAH24))),WU24)</f>
        <v>1270</v>
      </c>
      <c r="WW24" s="20" t="n">
        <f aca="false">IF(AND(H_Direct=1,BW24&gt;0),MAX(0,WV24-(MIN(BW24*TJ24,(WV24+AAI24))-MIN(MIN(BW24*TJ24,(WV24+AAI24)),AAI24))),WV24)</f>
        <v>1270</v>
      </c>
      <c r="WX24" s="20" t="n">
        <f aca="false">IF(AND(H_Direct=1,BX24&gt;0),MAX(0,WW24-(MIN(BX24*TK24,(WW24+AAJ24))-MIN(MIN(BX24*TK24,(WW24+AAJ24)),AAJ24))),WW24)</f>
        <v>1270</v>
      </c>
      <c r="WY24" s="20" t="n">
        <f aca="false">IF(AND(H_Direct=1,BY24&gt;0),MAX(0,WX24-(MIN(BY24*TL24,(WX24+AAK24))-MIN(MIN(BY24*TL24,(WX24+AAK24)),AAK24))),WX24)</f>
        <v>1270</v>
      </c>
      <c r="WZ24" s="20" t="n">
        <f aca="false">IF(AND(H_Direct=1,BZ24&gt;0),MAX(0,WY24-(MIN(BZ24*TM24,(WY24+AAL24))-MIN(MIN(BZ24*TM24,(WY24+AAL24)),AAL24))),WY24)</f>
        <v>1270</v>
      </c>
      <c r="XA24" s="20" t="n">
        <f aca="false">IF(AND(H_Direct=1,CA24&gt;0),MAX(0,WZ24-(MIN(CA24*TN24,(WZ24+AAM24))-MIN(MIN(CA24*TN24,(WZ24+AAM24)),AAM24))),WZ24)</f>
        <v>1270</v>
      </c>
      <c r="XB24" s="20" t="n">
        <f aca="false">IF(AND(H_Direct=1,CB24&gt;0),MAX(0,XA24-(MIN(CB24*TO24,(XA24+AAN24))-MIN(MIN(CB24*TO24,(XA24+AAN24)),AAN24))),XA24)</f>
        <v>1270</v>
      </c>
      <c r="XC24" s="20" t="n">
        <f aca="false">IF(AND(H_Direct=1,CC24&gt;0),MAX(0,XB24-(MIN(CC24*TP24,(XB24+AAO24))-MIN(MIN(CC24*TP24,(XB24+AAO24)),AAO24))),XB24)</f>
        <v>1270</v>
      </c>
      <c r="XD24" s="20" t="n">
        <f aca="false">IF(AND(H_Direct=1,CD24&gt;0),MAX(0,XC24-(MIN(CD24*TQ24,(XC24+AAP24))-MIN(MIN(CD24*TQ24,(XC24+AAP24)),AAP24))),XC24)</f>
        <v>1270</v>
      </c>
      <c r="XE24" s="20" t="n">
        <f aca="false">IF(AND(H_Direct=1,CE24&gt;0),MAX(0,XD24-(MIN(CE24*TR24,(XD24+AAQ24))-MIN(MIN(CE24*TR24,(XD24+AAQ24)),AAQ24))),XD24)</f>
        <v>1270</v>
      </c>
      <c r="XF24" s="20" t="n">
        <f aca="false">IF(AND(H_Direct=1,CF24&gt;0),MAX(0,XE24-(MIN(CF24*TS24,(XE24+AAR24))-MIN(MIN(CF24*TS24,(XE24+AAR24)),AAR24))),XE24)</f>
        <v>1270</v>
      </c>
      <c r="XG24" s="20" t="n">
        <f aca="false">IF(AND(H_Direct=1,CG24&gt;0),MAX(0,XF24-(MIN(CG24*TT24,(XF24+AAS24))-MIN(MIN(CG24*TT24,(XF24+AAS24)),AAS24))),XF24)</f>
        <v>1270</v>
      </c>
      <c r="XH24" s="20" t="n">
        <f aca="false">IF(AND(H_Direct=1,CH24&gt;0),MAX(0,XG24-(MIN(CH24*TU24,(XG24+AAT24))-MIN(MIN(CH24*TU24,(XG24+AAT24)),AAT24))),XG24)</f>
        <v>1270</v>
      </c>
      <c r="XI24" s="20" t="n">
        <f aca="false">IF(AND(H_Direct=1,CI24&gt;0),MAX(0,XH24-(MIN(CI24*TV24,(XH24+AAU24))-MIN(MIN(CI24*TV24,(XH24+AAU24)),AAU24))),XH24)</f>
        <v>1270</v>
      </c>
      <c r="XJ24" s="20" t="n">
        <f aca="false">XI24</f>
        <v>1270</v>
      </c>
      <c r="XK24" s="20" t="n">
        <f aca="false">XJ24</f>
        <v>1270</v>
      </c>
      <c r="XL24" s="20" t="n">
        <f aca="false">XK24</f>
        <v>1270</v>
      </c>
      <c r="XM24" s="20" t="n">
        <f aca="false">XL24</f>
        <v>1270</v>
      </c>
      <c r="XN24" s="20" t="n">
        <f aca="false">XM24</f>
        <v>1270</v>
      </c>
      <c r="XO24" s="20" t="n">
        <f aca="false">XN24</f>
        <v>1270</v>
      </c>
      <c r="XP24" s="20" t="n">
        <f aca="false">XO24</f>
        <v>1270</v>
      </c>
      <c r="XQ24" s="20" t="n">
        <f aca="false">XP24</f>
        <v>1270</v>
      </c>
      <c r="XR24" s="20" t="n">
        <f aca="false">XQ24</f>
        <v>1270</v>
      </c>
      <c r="XS24" s="20" t="n">
        <f aca="false">XR24</f>
        <v>1270</v>
      </c>
      <c r="XT24" s="20" t="n">
        <f aca="false">XS24</f>
        <v>1270</v>
      </c>
      <c r="XU24" s="20" t="n">
        <f aca="false">XT24</f>
        <v>1270</v>
      </c>
      <c r="XV24" s="20" t="n">
        <f aca="false">XU24</f>
        <v>1270</v>
      </c>
      <c r="XW24" s="20" t="n">
        <f aca="false">XV24</f>
        <v>1270</v>
      </c>
      <c r="XX24" s="20" t="n">
        <f aca="false">XW24</f>
        <v>1270</v>
      </c>
      <c r="XY24" s="20" t="n">
        <f aca="false">XX24</f>
        <v>1270</v>
      </c>
      <c r="XZ24" s="20" t="n">
        <f aca="false">XY24</f>
        <v>1270</v>
      </c>
      <c r="YA24" s="20" t="n">
        <f aca="false">XZ24</f>
        <v>1270</v>
      </c>
      <c r="YB24" s="20" t="n">
        <f aca="false">YA24</f>
        <v>1270</v>
      </c>
      <c r="YC24" s="20" t="n">
        <f aca="false">YB24</f>
        <v>1270</v>
      </c>
      <c r="YD24" s="20" t="n">
        <f aca="false">YC24</f>
        <v>1270</v>
      </c>
      <c r="YE24" s="20" t="n">
        <f aca="false">YD24</f>
        <v>1270</v>
      </c>
      <c r="YF24" s="20" t="n">
        <f aca="false">YE24</f>
        <v>1270</v>
      </c>
      <c r="YG24" s="20" t="n">
        <f aca="false">YF24</f>
        <v>1270</v>
      </c>
      <c r="YH24" s="20" t="n">
        <f aca="false">YG24</f>
        <v>1270</v>
      </c>
      <c r="YI24" s="20" t="n">
        <f aca="false">YH24</f>
        <v>1270</v>
      </c>
      <c r="YJ24" s="20" t="n">
        <f aca="false">YI24</f>
        <v>1270</v>
      </c>
      <c r="YK24" s="20" t="n">
        <f aca="false">YJ24</f>
        <v>1270</v>
      </c>
      <c r="YL24" s="20" t="n">
        <f aca="false">YK24</f>
        <v>1270</v>
      </c>
      <c r="YM24" s="20" t="n">
        <f aca="false">YL24</f>
        <v>1270</v>
      </c>
      <c r="YN24" s="20" t="n">
        <f aca="false">YM24</f>
        <v>1270</v>
      </c>
      <c r="YO24" s="20" t="n">
        <f aca="false">YN24</f>
        <v>1270</v>
      </c>
      <c r="YP24" s="20" t="n">
        <f aca="false">YO24</f>
        <v>1270</v>
      </c>
      <c r="YQ24" s="20" t="n">
        <f aca="false">YP24</f>
        <v>1270</v>
      </c>
      <c r="YR24" s="20" t="n">
        <f aca="false">YQ24</f>
        <v>1270</v>
      </c>
      <c r="YS24" s="20" t="n">
        <f aca="false">YR24</f>
        <v>1270</v>
      </c>
      <c r="YT24" s="20" t="n">
        <f aca="false">YS24</f>
        <v>1270</v>
      </c>
      <c r="YU24" s="20" t="n">
        <f aca="false">YT24</f>
        <v>1270</v>
      </c>
      <c r="YV24" s="20" t="n">
        <f aca="false">YU24</f>
        <v>1270</v>
      </c>
      <c r="YW24" s="20" t="n">
        <f aca="false">YV24</f>
        <v>1270</v>
      </c>
      <c r="YX24" s="20" t="n">
        <f aca="false">YW24</f>
        <v>1270</v>
      </c>
      <c r="YY24" s="20" t="n">
        <f aca="false">YX24</f>
        <v>1270</v>
      </c>
      <c r="YZ24" s="20" t="n">
        <f aca="false">YY24</f>
        <v>1270</v>
      </c>
      <c r="ZA24" s="20" t="n">
        <f aca="false">YZ24</f>
        <v>1270</v>
      </c>
      <c r="ZB24" s="20" t="n">
        <f aca="false">ZA24</f>
        <v>1270</v>
      </c>
      <c r="ZC24" s="20" t="n">
        <f aca="false">ZB24</f>
        <v>1270</v>
      </c>
      <c r="ZD24" s="20" t="n">
        <f aca="false">ZC24</f>
        <v>1270</v>
      </c>
      <c r="ZE24" s="20" t="n">
        <f aca="false">ZD24</f>
        <v>1270</v>
      </c>
      <c r="ZF24" s="20" t="n">
        <f aca="false">ZE24</f>
        <v>1270</v>
      </c>
      <c r="ZG24" s="20" t="n">
        <f aca="false">ZF24</f>
        <v>1270</v>
      </c>
      <c r="ZH24" s="20" t="n">
        <f aca="false">ZG24</f>
        <v>1270</v>
      </c>
      <c r="ZI24" s="20" t="n">
        <f aca="false">ZH24</f>
        <v>1270</v>
      </c>
      <c r="ZJ24" s="20" t="n">
        <f aca="false">ZI24</f>
        <v>1270</v>
      </c>
      <c r="ZK24" s="20" t="n">
        <f aca="false">ZJ24</f>
        <v>1270</v>
      </c>
      <c r="ZL24" s="20" t="n">
        <f aca="false">ZK24</f>
        <v>1270</v>
      </c>
      <c r="ZM24" s="20" t="n">
        <f aca="false">ZL24</f>
        <v>1270</v>
      </c>
      <c r="ZN24" s="20" t="n">
        <f aca="false">ZM24</f>
        <v>1270</v>
      </c>
      <c r="ZO24" s="20" t="n">
        <f aca="false">ZN24</f>
        <v>1270</v>
      </c>
      <c r="ZP24" s="20" t="n">
        <f aca="false">ZO24</f>
        <v>1270</v>
      </c>
      <c r="ZQ24" s="20" t="n">
        <f aca="false">ZP24</f>
        <v>1270</v>
      </c>
      <c r="ZR24" s="20" t="n">
        <f aca="false">ZQ24</f>
        <v>1270</v>
      </c>
      <c r="ZS24" s="20" t="n">
        <f aca="false">ZR24</f>
        <v>1270</v>
      </c>
      <c r="ZT24" s="20" t="n">
        <f aca="false">ZS24</f>
        <v>1270</v>
      </c>
      <c r="ZU24" s="20" t="n">
        <f aca="false">ZT24</f>
        <v>1270</v>
      </c>
      <c r="ZV24" s="20" t="n">
        <f aca="false">ZU24</f>
        <v>1270</v>
      </c>
      <c r="ZW24" s="20" t="n">
        <f aca="false">ZV24</f>
        <v>1270</v>
      </c>
      <c r="ZX24" s="20" t="n">
        <f aca="false">ZW24</f>
        <v>1270</v>
      </c>
      <c r="ZY24" s="20" t="n">
        <f aca="false">ZX24</f>
        <v>1270</v>
      </c>
      <c r="ZZ24" s="20" t="n">
        <f aca="false">ZY24</f>
        <v>1270</v>
      </c>
      <c r="AAA24" s="20" t="n">
        <f aca="false">ZZ24</f>
        <v>1270</v>
      </c>
      <c r="AAB24" s="20" t="n">
        <f aca="false">AAA24</f>
        <v>1270</v>
      </c>
      <c r="AAC24" s="20" t="n">
        <f aca="false">AAB24</f>
        <v>1270</v>
      </c>
      <c r="AAD24" s="20" t="n">
        <f aca="false">AAC24</f>
        <v>1270</v>
      </c>
      <c r="AAE24" s="20" t="n">
        <f aca="false">IF(H_Direct=1,IF(BR24&lt;=0,I24-BR24*TE24,I24-MIN(MIN(BR24*TE24,(H24+I24)),I24)),I24)</f>
        <v>0</v>
      </c>
      <c r="AAF24" s="20" t="n">
        <f aca="false">IF(H_Direct=1,IF(BS24&lt;=0,AAE24-BS24*TF24,AAE24-MIN(MIN(BS24*TF24,(WR24+AAE24)),AAE24)),AAE24)</f>
        <v>0</v>
      </c>
      <c r="AAG24" s="20" t="n">
        <f aca="false">IF(H_Direct=1,IF(BT24&lt;=0,AAF24-BT24*TG24,AAF24-MIN(MIN(BT24*TG24,(WS24+AAF24)),AAF24)),AAF24)</f>
        <v>0</v>
      </c>
      <c r="AAH24" s="20" t="n">
        <f aca="false">IF(H_Direct=1,IF(BU24&lt;=0,AAG24-BU24*TH24,AAG24-MIN(MIN(BU24*TH24,(WT24+AAG24)),AAG24)),AAG24)</f>
        <v>0</v>
      </c>
      <c r="AAI24" s="20" t="n">
        <f aca="false">IF(H_Direct=1,IF(BV24&lt;=0,AAH24-BV24*TI24,AAH24-MIN(MIN(BV24*TI24,(WU24+AAH24)),AAH24)),AAH24)</f>
        <v>0</v>
      </c>
      <c r="AAJ24" s="20" t="n">
        <f aca="false">IF(H_Direct=1,IF(BW24&lt;=0,AAI24-BW24*TJ24,AAI24-MIN(MIN(BW24*TJ24,(WV24+AAI24)),AAI24)),AAI24)</f>
        <v>0</v>
      </c>
      <c r="AAK24" s="20" t="n">
        <f aca="false">IF(H_Direct=1,IF(BX24&lt;=0,AAJ24-BX24*TK24,AAJ24-MIN(MIN(BX24*TK24,(WW24+AAJ24)),AAJ24)),AAJ24)</f>
        <v>0</v>
      </c>
      <c r="AAL24" s="20" t="n">
        <f aca="false">IF(H_Direct=1,IF(BY24&lt;=0,AAK24-BY24*TL24,AAK24-MIN(MIN(BY24*TL24,(WX24+AAK24)),AAK24)),AAK24)</f>
        <v>0</v>
      </c>
      <c r="AAM24" s="20" t="n">
        <f aca="false">IF(H_Direct=1,IF(BZ24&lt;=0,AAL24-BZ24*TM24,AAL24-MIN(MIN(BZ24*TM24,(WY24+AAL24)),AAL24)),AAL24)</f>
        <v>0</v>
      </c>
      <c r="AAN24" s="20" t="n">
        <f aca="false">IF(H_Direct=1,IF(CA24&lt;=0,AAM24-CA24*TN24,AAM24-MIN(MIN(CA24*TN24,(WZ24+AAM24)),AAM24)),AAM24)</f>
        <v>0</v>
      </c>
      <c r="AAO24" s="20" t="n">
        <f aca="false">IF(H_Direct=1,IF(CB24&lt;=0,AAN24-CB24*TO24,AAN24-MIN(MIN(CB24*TO24,(XA24+AAN24)),AAN24)),AAN24)</f>
        <v>0</v>
      </c>
      <c r="AAP24" s="20" t="n">
        <f aca="false">IF(H_Direct=1,IF(CC24&lt;=0,AAO24-CC24*TP24,AAO24-MIN(MIN(CC24*TP24,(XB24+AAO24)),AAO24)),AAO24)</f>
        <v>0</v>
      </c>
      <c r="AAQ24" s="20" t="n">
        <f aca="false">IF(H_Direct=1,IF(CD24&lt;=0,AAP24-CD24*TQ24,AAP24-MIN(MIN(CD24*TQ24,(XC24+AAP24)),AAP24)),AAP24)</f>
        <v>0</v>
      </c>
      <c r="AAR24" s="20" t="n">
        <f aca="false">IF(H_Direct=1,IF(CE24&lt;=0,AAQ24-CE24*TR24,AAQ24-MIN(MIN(CE24*TR24,(XD24+AAQ24)),AAQ24)),AAQ24)</f>
        <v>0</v>
      </c>
      <c r="AAS24" s="20" t="n">
        <f aca="false">IF(H_Direct=1,IF(CF24&lt;=0,AAR24-CF24*TS24,AAR24-MIN(MIN(CF24*TS24,(XE24+AAR24)),AAR24)),AAR24)</f>
        <v>0</v>
      </c>
      <c r="AAT24" s="20" t="n">
        <f aca="false">IF(H_Direct=1,IF(CG24&lt;=0,AAS24-CG24*TT24,AAS24-MIN(MIN(CG24*TT24,(XF24+AAS24)),AAS24)),AAS24)</f>
        <v>0</v>
      </c>
      <c r="AAU24" s="20" t="n">
        <f aca="false">IF(H_Direct=1,IF(CH24&lt;=0,AAT24-CH24*TU24,AAT24-MIN(MIN(CH24*TU24,(XG24+AAT24)),AAT24)),AAT24)</f>
        <v>0</v>
      </c>
      <c r="AAV24" s="20" t="n">
        <f aca="false">IF(H_Direct=1,IF(CI24&lt;=0,AAU24-CI24*TV24,AAU24-MIN(MIN(CI24*TV24,(XH24+AAU24)),AAU24)),AAU24)</f>
        <v>0</v>
      </c>
      <c r="AAW24" s="20" t="n">
        <f aca="false">AAV24</f>
        <v>0</v>
      </c>
      <c r="AAX24" s="20" t="n">
        <f aca="false">AAW24</f>
        <v>0</v>
      </c>
      <c r="AAY24" s="20" t="n">
        <f aca="false">AAX24</f>
        <v>0</v>
      </c>
      <c r="AAZ24" s="20" t="n">
        <f aca="false">AAY24</f>
        <v>0</v>
      </c>
      <c r="ABA24" s="20" t="n">
        <f aca="false">AAZ24</f>
        <v>0</v>
      </c>
      <c r="ABB24" s="20" t="n">
        <f aca="false">ABA24</f>
        <v>0</v>
      </c>
      <c r="ABC24" s="20" t="n">
        <f aca="false">ABB24</f>
        <v>0</v>
      </c>
      <c r="ABD24" s="20" t="n">
        <f aca="false">ABC24</f>
        <v>0</v>
      </c>
      <c r="ABE24" s="20" t="n">
        <f aca="false">ABD24</f>
        <v>0</v>
      </c>
      <c r="ABF24" s="20" t="n">
        <f aca="false">ABE24</f>
        <v>0</v>
      </c>
      <c r="ABG24" s="20" t="n">
        <f aca="false">ABF24</f>
        <v>0</v>
      </c>
      <c r="ABH24" s="20" t="n">
        <f aca="false">ABG24</f>
        <v>0</v>
      </c>
      <c r="ABI24" s="20" t="n">
        <f aca="false">ABH24</f>
        <v>0</v>
      </c>
      <c r="ABJ24" s="20" t="n">
        <f aca="false">ABI24</f>
        <v>0</v>
      </c>
      <c r="ABK24" s="20" t="n">
        <f aca="false">ABJ24</f>
        <v>0</v>
      </c>
      <c r="ABL24" s="20" t="n">
        <f aca="false">ABK24</f>
        <v>0</v>
      </c>
      <c r="ABM24" s="20" t="n">
        <f aca="false">ABL24</f>
        <v>0</v>
      </c>
      <c r="ABN24" s="20" t="n">
        <f aca="false">ABM24</f>
        <v>0</v>
      </c>
      <c r="ABO24" s="20" t="n">
        <f aca="false">ABN24</f>
        <v>0</v>
      </c>
      <c r="ABP24" s="20" t="n">
        <f aca="false">ABO24</f>
        <v>0</v>
      </c>
      <c r="ABQ24" s="20" t="n">
        <f aca="false">ABP24</f>
        <v>0</v>
      </c>
      <c r="ABR24" s="20" t="n">
        <f aca="false">ABQ24</f>
        <v>0</v>
      </c>
      <c r="ABS24" s="20" t="n">
        <f aca="false">ABR24</f>
        <v>0</v>
      </c>
      <c r="ABT24" s="20" t="n">
        <f aca="false">ABS24</f>
        <v>0</v>
      </c>
      <c r="ABU24" s="20" t="n">
        <f aca="false">ABT24</f>
        <v>0</v>
      </c>
      <c r="ABV24" s="20" t="n">
        <f aca="false">ABU24</f>
        <v>0</v>
      </c>
      <c r="ABW24" s="20" t="n">
        <f aca="false">ABV24</f>
        <v>0</v>
      </c>
      <c r="ABX24" s="20" t="n">
        <f aca="false">ABW24</f>
        <v>0</v>
      </c>
      <c r="ABY24" s="20" t="n">
        <f aca="false">ABX24</f>
        <v>0</v>
      </c>
      <c r="ABZ24" s="20" t="n">
        <f aca="false">ABY24</f>
        <v>0</v>
      </c>
      <c r="ACA24" s="20" t="n">
        <f aca="false">ABZ24</f>
        <v>0</v>
      </c>
      <c r="ACB24" s="20" t="n">
        <f aca="false">ACA24</f>
        <v>0</v>
      </c>
      <c r="ACC24" s="20" t="n">
        <f aca="false">ACB24</f>
        <v>0</v>
      </c>
      <c r="ACD24" s="20" t="n">
        <f aca="false">ACC24</f>
        <v>0</v>
      </c>
      <c r="ACE24" s="20" t="n">
        <f aca="false">ACD24</f>
        <v>0</v>
      </c>
      <c r="ACF24" s="20" t="n">
        <f aca="false">ACE24</f>
        <v>0</v>
      </c>
      <c r="ACG24" s="20" t="n">
        <f aca="false">ACF24</f>
        <v>0</v>
      </c>
      <c r="ACH24" s="20" t="n">
        <f aca="false">ACG24</f>
        <v>0</v>
      </c>
      <c r="ACI24" s="20" t="n">
        <f aca="false">ACH24</f>
        <v>0</v>
      </c>
      <c r="ACJ24" s="20" t="n">
        <f aca="false">ACI24</f>
        <v>0</v>
      </c>
      <c r="ACK24" s="20" t="n">
        <f aca="false">ACJ24</f>
        <v>0</v>
      </c>
      <c r="ACL24" s="20" t="n">
        <f aca="false">ACK24</f>
        <v>0</v>
      </c>
      <c r="ACM24" s="20" t="n">
        <f aca="false">ACL24</f>
        <v>0</v>
      </c>
      <c r="ACN24" s="20" t="n">
        <f aca="false">ACM24</f>
        <v>0</v>
      </c>
      <c r="ACO24" s="20" t="n">
        <f aca="false">ACN24</f>
        <v>0</v>
      </c>
      <c r="ACP24" s="20" t="n">
        <f aca="false">ACO24</f>
        <v>0</v>
      </c>
      <c r="ACQ24" s="20" t="n">
        <f aca="false">ACP24</f>
        <v>0</v>
      </c>
      <c r="ACR24" s="20" t="n">
        <f aca="false">ACQ24</f>
        <v>0</v>
      </c>
      <c r="ACS24" s="20" t="n">
        <f aca="false">ACR24</f>
        <v>0</v>
      </c>
      <c r="ACT24" s="20" t="n">
        <f aca="false">ACS24</f>
        <v>0</v>
      </c>
      <c r="ACU24" s="20" t="n">
        <f aca="false">ACT24</f>
        <v>0</v>
      </c>
      <c r="ACV24" s="20" t="n">
        <f aca="false">ACU24</f>
        <v>0</v>
      </c>
      <c r="ACW24" s="20" t="n">
        <f aca="false">ACV24</f>
        <v>0</v>
      </c>
      <c r="ACX24" s="20" t="n">
        <f aca="false">ACW24</f>
        <v>0</v>
      </c>
      <c r="ACY24" s="20" t="n">
        <f aca="false">ACX24</f>
        <v>0</v>
      </c>
      <c r="ACZ24" s="20" t="n">
        <f aca="false">ACY24</f>
        <v>0</v>
      </c>
      <c r="ADA24" s="20" t="n">
        <f aca="false">ACZ24</f>
        <v>0</v>
      </c>
      <c r="ADB24" s="20" t="n">
        <f aca="false">ADA24</f>
        <v>0</v>
      </c>
      <c r="ADC24" s="20" t="n">
        <f aca="false">ADB24</f>
        <v>0</v>
      </c>
      <c r="ADD24" s="20" t="n">
        <f aca="false">ADC24</f>
        <v>0</v>
      </c>
      <c r="ADE24" s="20" t="n">
        <f aca="false">ADD24</f>
        <v>0</v>
      </c>
      <c r="ADF24" s="20" t="n">
        <f aca="false">ADE24</f>
        <v>0</v>
      </c>
      <c r="ADG24" s="20" t="n">
        <f aca="false">ADF24</f>
        <v>0</v>
      </c>
      <c r="ADH24" s="20" t="n">
        <f aca="false">ADG24</f>
        <v>0</v>
      </c>
      <c r="ADI24" s="20" t="n">
        <f aca="false">ADH24</f>
        <v>0</v>
      </c>
      <c r="ADJ24" s="20" t="n">
        <f aca="false">ADI24</f>
        <v>0</v>
      </c>
      <c r="ADK24" s="20" t="n">
        <f aca="false">ADJ24</f>
        <v>0</v>
      </c>
      <c r="ADL24" s="20" t="n">
        <f aca="false">ADK24</f>
        <v>0</v>
      </c>
      <c r="ADM24" s="20" t="n">
        <f aca="false">ADL24</f>
        <v>0</v>
      </c>
      <c r="ADN24" s="20" t="n">
        <f aca="false">ADM24</f>
        <v>0</v>
      </c>
      <c r="ADO24" s="20" t="n">
        <f aca="false">ADN24</f>
        <v>0</v>
      </c>
      <c r="ADP24" s="20" t="n">
        <f aca="false">ADO24</f>
        <v>0</v>
      </c>
      <c r="ADQ24" s="20" t="n">
        <f aca="false">ADP24</f>
        <v>0</v>
      </c>
      <c r="ADR24" s="20" t="n">
        <f aca="false">(AKR23-TE24+0)*(1+BQ24)</f>
        <v>0</v>
      </c>
      <c r="ADS24" s="20" t="n">
        <f aca="false">(AKS23-TF24+0)*(1+BQ24)</f>
        <v>0</v>
      </c>
      <c r="ADT24" s="20" t="n">
        <f aca="false">(AKT23-TG24+0)*(1+BQ24)</f>
        <v>0</v>
      </c>
      <c r="ADU24" s="20" t="n">
        <f aca="false">(AKU23-TH24+0)*(1+BQ24)</f>
        <v>0</v>
      </c>
      <c r="ADV24" s="20" t="n">
        <f aca="false">(AKV23-TI24+0)*(1+BQ24)</f>
        <v>0</v>
      </c>
      <c r="ADW24" s="20" t="n">
        <f aca="false">(AKW23-TJ24+0)*(1+BQ24)</f>
        <v>0</v>
      </c>
      <c r="ADX24" s="20" t="n">
        <f aca="false">(AKX23-TK24+0)*(1+BQ24)</f>
        <v>0</v>
      </c>
      <c r="ADY24" s="20" t="n">
        <f aca="false">(AKY23-TL24+0)*(1+BQ24)</f>
        <v>0</v>
      </c>
      <c r="ADZ24" s="20" t="n">
        <f aca="false">(AKZ23-TM24+0)*(1+BQ24)</f>
        <v>0</v>
      </c>
      <c r="AEA24" s="20" t="n">
        <f aca="false">(ALA23-TN24+0)*(1+BQ24)</f>
        <v>0</v>
      </c>
      <c r="AEB24" s="20" t="n">
        <f aca="false">(ALB23-TO24+0)*(1+BQ24)</f>
        <v>0</v>
      </c>
      <c r="AEC24" s="20" t="n">
        <f aca="false">(ALC23-TP24+0)*(1+BQ24)</f>
        <v>719.389532383973</v>
      </c>
      <c r="AED24" s="20" t="n">
        <f aca="false">(ALD23-TQ24+0)*(1+BQ24)</f>
        <v>904.969140064669</v>
      </c>
      <c r="AEE24" s="20" t="n">
        <f aca="false">(ALE23-TR24+0)*(1+BQ24)</f>
        <v>1082.99513000738</v>
      </c>
      <c r="AEF24" s="20" t="n">
        <f aca="false">(ALF23-TS24+0)*(1+BQ24)</f>
        <v>1217.83374917061</v>
      </c>
      <c r="AEG24" s="20" t="n">
        <f aca="false">(ALG23-TT24+0)*(1+BQ24)</f>
        <v>1171.20065258453</v>
      </c>
      <c r="AEH24" s="20" t="n">
        <f aca="false">(ALH23-TU24+0)*(1+BQ24)</f>
        <v>1125.68755032505</v>
      </c>
      <c r="AEI24" s="20" t="n">
        <f aca="false">((P24+S24)-TV24+BE24)*(1+BQ24)</f>
        <v>1081.27075784735</v>
      </c>
      <c r="AEJ24" s="20" t="n">
        <v>0</v>
      </c>
      <c r="AEK24" s="20" t="n">
        <v>0</v>
      </c>
      <c r="AEL24" s="20" t="n">
        <v>0</v>
      </c>
      <c r="AEM24" s="20" t="n">
        <v>0</v>
      </c>
      <c r="AEN24" s="20" t="n">
        <v>0</v>
      </c>
      <c r="AEO24" s="20" t="n">
        <v>0</v>
      </c>
      <c r="AEP24" s="20" t="n">
        <v>0</v>
      </c>
      <c r="AEQ24" s="20" t="n">
        <v>0</v>
      </c>
      <c r="AER24" s="20" t="n">
        <v>0</v>
      </c>
      <c r="AES24" s="20" t="n">
        <v>0</v>
      </c>
      <c r="AET24" s="20" t="n">
        <v>0</v>
      </c>
      <c r="AEU24" s="20" t="n">
        <v>0</v>
      </c>
      <c r="AEV24" s="20" t="n">
        <v>0</v>
      </c>
      <c r="AEW24" s="20" t="n">
        <v>0</v>
      </c>
      <c r="AEX24" s="20" t="n">
        <v>0</v>
      </c>
      <c r="AEY24" s="20" t="n">
        <v>0</v>
      </c>
      <c r="AEZ24" s="20" t="n">
        <v>0</v>
      </c>
      <c r="AFA24" s="20" t="n">
        <v>0</v>
      </c>
      <c r="AFB24" s="20" t="n">
        <v>0</v>
      </c>
      <c r="AFC24" s="20" t="n">
        <v>0</v>
      </c>
      <c r="AFD24" s="20" t="n">
        <v>0</v>
      </c>
      <c r="AFE24" s="20" t="n">
        <v>0</v>
      </c>
      <c r="AFF24" s="20" t="n">
        <v>0</v>
      </c>
      <c r="AFG24" s="20" t="n">
        <v>0</v>
      </c>
      <c r="AFH24" s="20" t="n">
        <v>0</v>
      </c>
      <c r="AFI24" s="20" t="n">
        <v>0</v>
      </c>
      <c r="AFJ24" s="20" t="n">
        <v>0</v>
      </c>
      <c r="AFK24" s="20" t="n">
        <v>0</v>
      </c>
      <c r="AFL24" s="20" t="n">
        <v>0</v>
      </c>
      <c r="AFM24" s="20" t="n">
        <v>0</v>
      </c>
      <c r="AFN24" s="20" t="n">
        <v>0</v>
      </c>
      <c r="AFO24" s="20" t="n">
        <v>0</v>
      </c>
      <c r="AFP24" s="20" t="n">
        <v>0</v>
      </c>
      <c r="AFQ24" s="20" t="n">
        <v>0</v>
      </c>
      <c r="AFR24" s="20" t="n">
        <v>0</v>
      </c>
      <c r="AFS24" s="20" t="n">
        <v>0</v>
      </c>
      <c r="AFT24" s="20" t="n">
        <v>0</v>
      </c>
      <c r="AFU24" s="20" t="n">
        <v>0</v>
      </c>
      <c r="AFV24" s="20" t="n">
        <v>0</v>
      </c>
      <c r="AFW24" s="20" t="n">
        <v>0</v>
      </c>
      <c r="AFX24" s="20" t="n">
        <v>0</v>
      </c>
      <c r="AFY24" s="20" t="n">
        <v>0</v>
      </c>
      <c r="AFZ24" s="20" t="n">
        <v>0</v>
      </c>
      <c r="AGA24" s="20" t="n">
        <v>0</v>
      </c>
      <c r="AGB24" s="20" t="n">
        <v>0</v>
      </c>
      <c r="AGC24" s="20" t="n">
        <v>0</v>
      </c>
      <c r="AGD24" s="20" t="n">
        <v>0</v>
      </c>
      <c r="AGE24" s="20" t="n">
        <v>0</v>
      </c>
      <c r="AGF24" s="20" t="n">
        <v>0</v>
      </c>
      <c r="AGG24" s="20" t="n">
        <v>0</v>
      </c>
      <c r="AGH24" s="20" t="n">
        <v>0</v>
      </c>
      <c r="AGI24" s="20" t="n">
        <v>0</v>
      </c>
      <c r="AGJ24" s="20" t="n">
        <v>0</v>
      </c>
      <c r="AGK24" s="20" t="n">
        <v>0</v>
      </c>
      <c r="AGL24" s="20" t="n">
        <v>0</v>
      </c>
      <c r="AGM24" s="20" t="n">
        <v>0</v>
      </c>
      <c r="AGN24" s="20" t="n">
        <v>0</v>
      </c>
      <c r="AGO24" s="20" t="n">
        <v>0</v>
      </c>
      <c r="AGP24" s="20" t="n">
        <v>0</v>
      </c>
      <c r="AGQ24" s="20" t="n">
        <v>0</v>
      </c>
      <c r="AGR24" s="20" t="n">
        <v>0</v>
      </c>
      <c r="AGS24" s="20" t="n">
        <v>0</v>
      </c>
      <c r="AGT24" s="20" t="n">
        <v>0</v>
      </c>
      <c r="AGU24" s="20" t="n">
        <v>0</v>
      </c>
      <c r="AGV24" s="20" t="n">
        <v>0</v>
      </c>
      <c r="AGW24" s="20" t="n">
        <v>0</v>
      </c>
      <c r="AGX24" s="20" t="n">
        <v>0</v>
      </c>
      <c r="AGY24" s="20" t="n">
        <v>0</v>
      </c>
      <c r="AGZ24" s="20" t="n">
        <v>0</v>
      </c>
      <c r="AHA24" s="20" t="n">
        <v>0</v>
      </c>
      <c r="AHB24" s="20" t="n">
        <v>0</v>
      </c>
      <c r="AHC24" s="20" t="n">
        <v>0</v>
      </c>
      <c r="AHD24" s="20" t="n">
        <v>0</v>
      </c>
      <c r="AHE24" s="20" t="n">
        <f aca="false">IF(AKR23&gt;0,AOE23-AOE23*TE24/AKR23,0)+0</f>
        <v>0</v>
      </c>
      <c r="AHF24" s="20" t="n">
        <f aca="false">IF(AKS23&gt;0,AOF23-AOF23*TF24/AKS23,0)+0</f>
        <v>0</v>
      </c>
      <c r="AHG24" s="20" t="n">
        <f aca="false">IF(AKT23&gt;0,AOG23-AOG23*TG24/AKT23,0)+0</f>
        <v>0</v>
      </c>
      <c r="AHH24" s="20" t="n">
        <f aca="false">IF(AKU23&gt;0,AOH23-AOH23*TH24/AKU23,0)+0</f>
        <v>0</v>
      </c>
      <c r="AHI24" s="20" t="n">
        <f aca="false">IF(AKV23&gt;0,AOI23-AOI23*TI24/AKV23,0)+0</f>
        <v>0</v>
      </c>
      <c r="AHJ24" s="20" t="n">
        <f aca="false">IF(AKW23&gt;0,AOJ23-AOJ23*TJ24/AKW23,0)+0</f>
        <v>0</v>
      </c>
      <c r="AHK24" s="20" t="n">
        <f aca="false">IF(AKX23&gt;0,AOK23-AOK23*TK24/AKX23,0)+0</f>
        <v>0</v>
      </c>
      <c r="AHL24" s="20" t="n">
        <f aca="false">IF(AKY23&gt;0,AOL23-AOL23*TL24/AKY23,0)+0</f>
        <v>0</v>
      </c>
      <c r="AHM24" s="20" t="n">
        <f aca="false">IF(AKZ23&gt;0,AOM23-AOM23*TM24/AKZ23,0)+0</f>
        <v>0</v>
      </c>
      <c r="AHN24" s="20" t="n">
        <f aca="false">IF(ALA23&gt;0,AON23-AON23*TN24/ALA23,0)+0</f>
        <v>0</v>
      </c>
      <c r="AHO24" s="20" t="n">
        <f aca="false">IF(ALB23&gt;0,AOO23-AOO23*TO24/ALB23,0)+0</f>
        <v>0</v>
      </c>
      <c r="AHP24" s="20" t="n">
        <f aca="false">IF(ALC23&gt;0,AOP23-AOP23*TP24/ALC23,0)+0</f>
        <v>546.676920289684</v>
      </c>
      <c r="AHQ24" s="20" t="n">
        <f aca="false">IF(ALD23&gt;0,AOQ23-AOQ23*TQ24/ALD23,0)+0</f>
        <v>715.210256730627</v>
      </c>
      <c r="AHR24" s="20" t="n">
        <f aca="false">IF(ALE23&gt;0,AOR23-AOR23*TR24/ALE23,0)+0</f>
        <v>890.143053841438</v>
      </c>
      <c r="AHS24" s="20" t="n">
        <f aca="false">IF(ALF23&gt;0,AOS23-AOS23*TS24/ALF23,0)+0</f>
        <v>1041.00939276848</v>
      </c>
      <c r="AHT24" s="20" t="n">
        <f aca="false">IF(ALG23&gt;0,AOT23-AOT23*TT24/ALG23,0)+0</f>
        <v>1041.19311542065</v>
      </c>
      <c r="AHU24" s="20" t="n">
        <f aca="false">IF(ALH23&gt;0,AOU23-AOU23*TU24/ALH23,0)+0</f>
        <v>1040.76141856976</v>
      </c>
      <c r="AHV24" s="20" t="n">
        <f aca="false">IF((P24+S24)&gt;0,(P24+S24)-(P24+S24)*TV24/(P24+S24),0)+BE24</f>
        <v>1039.68342100707</v>
      </c>
      <c r="AHW24" s="20" t="n">
        <v>0</v>
      </c>
      <c r="AHX24" s="20" t="n">
        <v>0</v>
      </c>
      <c r="AHY24" s="20" t="n">
        <v>0</v>
      </c>
      <c r="AHZ24" s="20" t="n">
        <v>0</v>
      </c>
      <c r="AIA24" s="20" t="n">
        <v>0</v>
      </c>
      <c r="AIB24" s="20" t="n">
        <v>0</v>
      </c>
      <c r="AIC24" s="20" t="n">
        <v>0</v>
      </c>
      <c r="AID24" s="20" t="n">
        <v>0</v>
      </c>
      <c r="AIE24" s="20" t="n">
        <v>0</v>
      </c>
      <c r="AIF24" s="20" t="n">
        <v>0</v>
      </c>
      <c r="AIG24" s="20" t="n">
        <v>0</v>
      </c>
      <c r="AIH24" s="20" t="n">
        <v>0</v>
      </c>
      <c r="AII24" s="20" t="n">
        <v>0</v>
      </c>
      <c r="AIJ24" s="20" t="n">
        <v>0</v>
      </c>
      <c r="AIK24" s="20" t="n">
        <v>0</v>
      </c>
      <c r="AIL24" s="20" t="n">
        <v>0</v>
      </c>
      <c r="AIM24" s="20" t="n">
        <v>0</v>
      </c>
      <c r="AIN24" s="20" t="n">
        <v>0</v>
      </c>
      <c r="AIO24" s="20" t="n">
        <v>0</v>
      </c>
      <c r="AIP24" s="20" t="n">
        <v>0</v>
      </c>
      <c r="AIQ24" s="20" t="n">
        <v>0</v>
      </c>
      <c r="AIR24" s="20" t="n">
        <v>0</v>
      </c>
      <c r="AIS24" s="20" t="n">
        <v>0</v>
      </c>
      <c r="AIT24" s="20" t="n">
        <v>0</v>
      </c>
      <c r="AIU24" s="20" t="n">
        <v>0</v>
      </c>
      <c r="AIV24" s="20" t="n">
        <v>0</v>
      </c>
      <c r="AIW24" s="20" t="n">
        <v>0</v>
      </c>
      <c r="AIX24" s="20" t="n">
        <v>0</v>
      </c>
      <c r="AIY24" s="20" t="n">
        <v>0</v>
      </c>
      <c r="AIZ24" s="20" t="n">
        <v>0</v>
      </c>
      <c r="AJA24" s="20" t="n">
        <v>0</v>
      </c>
      <c r="AJB24" s="20" t="n">
        <v>0</v>
      </c>
      <c r="AJC24" s="20" t="n">
        <v>0</v>
      </c>
      <c r="AJD24" s="20" t="n">
        <v>0</v>
      </c>
      <c r="AJE24" s="20" t="n">
        <v>0</v>
      </c>
      <c r="AJF24" s="20" t="n">
        <v>0</v>
      </c>
      <c r="AJG24" s="20" t="n">
        <v>0</v>
      </c>
      <c r="AJH24" s="20" t="n">
        <v>0</v>
      </c>
      <c r="AJI24" s="20" t="n">
        <v>0</v>
      </c>
      <c r="AJJ24" s="20" t="n">
        <v>0</v>
      </c>
      <c r="AJK24" s="20" t="n">
        <v>0</v>
      </c>
      <c r="AJL24" s="20" t="n">
        <v>0</v>
      </c>
      <c r="AJM24" s="20" t="n">
        <v>0</v>
      </c>
      <c r="AJN24" s="20" t="n">
        <v>0</v>
      </c>
      <c r="AJO24" s="20" t="n">
        <v>0</v>
      </c>
      <c r="AJP24" s="20" t="n">
        <v>0</v>
      </c>
      <c r="AJQ24" s="20" t="n">
        <v>0</v>
      </c>
      <c r="AJR24" s="20" t="n">
        <v>0</v>
      </c>
      <c r="AJS24" s="20" t="n">
        <v>0</v>
      </c>
      <c r="AJT24" s="20" t="n">
        <v>0</v>
      </c>
      <c r="AJU24" s="20" t="n">
        <v>0</v>
      </c>
      <c r="AJV24" s="20" t="n">
        <v>0</v>
      </c>
      <c r="AJW24" s="20" t="n">
        <v>0</v>
      </c>
      <c r="AJX24" s="20" t="n">
        <v>0</v>
      </c>
      <c r="AJY24" s="20" t="n">
        <v>0</v>
      </c>
      <c r="AJZ24" s="20" t="n">
        <v>0</v>
      </c>
      <c r="AKA24" s="20" t="n">
        <v>0</v>
      </c>
      <c r="AKB24" s="20" t="n">
        <v>0</v>
      </c>
      <c r="AKC24" s="20" t="n">
        <v>0</v>
      </c>
      <c r="AKD24" s="20" t="n">
        <v>0</v>
      </c>
      <c r="AKE24" s="20" t="n">
        <v>0</v>
      </c>
      <c r="AKF24" s="20" t="n">
        <v>0</v>
      </c>
      <c r="AKG24" s="20" t="n">
        <v>0</v>
      </c>
      <c r="AKH24" s="20" t="n">
        <v>0</v>
      </c>
      <c r="AKI24" s="20" t="n">
        <v>0</v>
      </c>
      <c r="AKJ24" s="20" t="n">
        <v>0</v>
      </c>
      <c r="AKK24" s="20" t="n">
        <v>0</v>
      </c>
      <c r="AKL24" s="20" t="n">
        <v>0</v>
      </c>
      <c r="AKM24" s="20" t="n">
        <v>0</v>
      </c>
      <c r="AKN24" s="20" t="n">
        <v>0</v>
      </c>
      <c r="AKO24" s="20" t="n">
        <v>0</v>
      </c>
      <c r="AKP24" s="20" t="n">
        <v>0</v>
      </c>
      <c r="AKQ24" s="20" t="n">
        <v>0</v>
      </c>
      <c r="AKR24" s="20" t="n">
        <f aca="false">ADR24-AVE24</f>
        <v>0</v>
      </c>
      <c r="AKS24" s="20" t="n">
        <f aca="false">ADS24-AVF24</f>
        <v>0</v>
      </c>
      <c r="AKT24" s="20" t="n">
        <f aca="false">ADT24-AVG24</f>
        <v>0</v>
      </c>
      <c r="AKU24" s="20" t="n">
        <f aca="false">ADU24-AVH24</f>
        <v>0</v>
      </c>
      <c r="AKV24" s="20" t="n">
        <f aca="false">ADV24-AVI24</f>
        <v>0</v>
      </c>
      <c r="AKW24" s="20" t="n">
        <f aca="false">ADW24-AVJ24</f>
        <v>0</v>
      </c>
      <c r="AKX24" s="20" t="n">
        <f aca="false">ADX24-AVK24</f>
        <v>0</v>
      </c>
      <c r="AKY24" s="20" t="n">
        <f aca="false">ADY24-AVL24</f>
        <v>0</v>
      </c>
      <c r="AKZ24" s="20" t="n">
        <f aca="false">ADZ24-AVM24</f>
        <v>0</v>
      </c>
      <c r="ALA24" s="20" t="n">
        <f aca="false">AEA24-AVN24</f>
        <v>0</v>
      </c>
      <c r="ALB24" s="20" t="n">
        <f aca="false">AEB24-AVO24</f>
        <v>0</v>
      </c>
      <c r="ALC24" s="20" t="n">
        <f aca="false">AEC24-AVP24</f>
        <v>719.389532383973</v>
      </c>
      <c r="ALD24" s="20" t="n">
        <f aca="false">AED24-AVQ24</f>
        <v>904.969140064669</v>
      </c>
      <c r="ALE24" s="20" t="n">
        <f aca="false">AEE24-AVR24</f>
        <v>1082.99513000738</v>
      </c>
      <c r="ALF24" s="20" t="n">
        <f aca="false">AEF24-AVS24</f>
        <v>1217.83374917061</v>
      </c>
      <c r="ALG24" s="20" t="n">
        <f aca="false">AEG24-AVT24</f>
        <v>1171.20065258453</v>
      </c>
      <c r="ALH24" s="20" t="n">
        <f aca="false">AEH24-AVU24</f>
        <v>1125.68755032505</v>
      </c>
      <c r="ALI24" s="20" t="n">
        <f aca="false">AEI24-AVV24</f>
        <v>1081.27075784735</v>
      </c>
      <c r="ALJ24" s="20" t="n">
        <v>0</v>
      </c>
      <c r="ALK24" s="20" t="n">
        <v>0</v>
      </c>
      <c r="ALL24" s="20" t="n">
        <v>0</v>
      </c>
      <c r="ALM24" s="20" t="n">
        <v>0</v>
      </c>
      <c r="ALN24" s="20" t="n">
        <v>0</v>
      </c>
      <c r="ALO24" s="20" t="n">
        <v>0</v>
      </c>
      <c r="ALP24" s="20" t="n">
        <v>0</v>
      </c>
      <c r="ALQ24" s="20" t="n">
        <v>0</v>
      </c>
      <c r="ALR24" s="20" t="n">
        <v>0</v>
      </c>
      <c r="ALS24" s="20" t="n">
        <v>0</v>
      </c>
      <c r="ALT24" s="20" t="n">
        <v>0</v>
      </c>
      <c r="ALU24" s="20" t="n">
        <v>0</v>
      </c>
      <c r="ALV24" s="20" t="n">
        <v>0</v>
      </c>
      <c r="ALW24" s="20" t="n">
        <v>0</v>
      </c>
      <c r="ALX24" s="20" t="n">
        <v>0</v>
      </c>
      <c r="ALY24" s="20" t="n">
        <v>0</v>
      </c>
      <c r="ALZ24" s="20" t="n">
        <v>0</v>
      </c>
      <c r="AMA24" s="20" t="n">
        <v>0</v>
      </c>
      <c r="AMB24" s="20" t="n">
        <v>0</v>
      </c>
      <c r="AMC24" s="20" t="n">
        <v>0</v>
      </c>
      <c r="AMD24" s="20" t="n">
        <v>0</v>
      </c>
      <c r="AME24" s="20" t="n">
        <v>0</v>
      </c>
      <c r="AMF24" s="20" t="n">
        <v>0</v>
      </c>
      <c r="AMG24" s="20" t="n">
        <v>0</v>
      </c>
      <c r="AMH24" s="20" t="n">
        <v>0</v>
      </c>
      <c r="AMI24" s="20" t="n">
        <v>0</v>
      </c>
      <c r="AMJ24" s="20" t="n">
        <v>0</v>
      </c>
      <c r="AMK24" s="20" t="n">
        <v>0</v>
      </c>
      <c r="AML24" s="20" t="n">
        <v>0</v>
      </c>
      <c r="AMM24" s="20" t="n">
        <v>0</v>
      </c>
      <c r="AMN24" s="20" t="n">
        <v>0</v>
      </c>
      <c r="AMO24" s="20" t="n">
        <v>0</v>
      </c>
      <c r="AMP24" s="20" t="n">
        <v>0</v>
      </c>
      <c r="AMQ24" s="20" t="n">
        <v>0</v>
      </c>
      <c r="AMR24" s="20" t="n">
        <v>0</v>
      </c>
      <c r="AMS24" s="20" t="n">
        <v>0</v>
      </c>
      <c r="AMT24" s="20" t="n">
        <v>0</v>
      </c>
      <c r="AMU24" s="20" t="n">
        <v>0</v>
      </c>
      <c r="AMV24" s="20" t="n">
        <v>0</v>
      </c>
      <c r="AMW24" s="20" t="n">
        <v>0</v>
      </c>
      <c r="AMX24" s="20" t="n">
        <v>0</v>
      </c>
      <c r="AMY24" s="20" t="n">
        <v>0</v>
      </c>
      <c r="AMZ24" s="20" t="n">
        <v>0</v>
      </c>
      <c r="ANA24" s="20" t="n">
        <v>0</v>
      </c>
      <c r="ANB24" s="20" t="n">
        <v>0</v>
      </c>
      <c r="ANC24" s="20" t="n">
        <v>0</v>
      </c>
      <c r="AND24" s="20" t="n">
        <v>0</v>
      </c>
      <c r="ANE24" s="20" t="n">
        <v>0</v>
      </c>
      <c r="ANF24" s="20" t="n">
        <v>0</v>
      </c>
      <c r="ANG24" s="20" t="n">
        <v>0</v>
      </c>
      <c r="ANH24" s="20" t="n">
        <v>0</v>
      </c>
      <c r="ANI24" s="20" t="n">
        <v>0</v>
      </c>
      <c r="ANJ24" s="20" t="n">
        <v>0</v>
      </c>
      <c r="ANK24" s="20" t="n">
        <v>0</v>
      </c>
      <c r="ANL24" s="20" t="n">
        <v>0</v>
      </c>
      <c r="ANM24" s="20" t="n">
        <v>0</v>
      </c>
      <c r="ANN24" s="20" t="n">
        <v>0</v>
      </c>
      <c r="ANO24" s="20" t="n">
        <v>0</v>
      </c>
      <c r="ANP24" s="20" t="n">
        <v>0</v>
      </c>
      <c r="ANQ24" s="20" t="n">
        <v>0</v>
      </c>
      <c r="ANR24" s="20" t="n">
        <v>0</v>
      </c>
      <c r="ANS24" s="20" t="n">
        <v>0</v>
      </c>
      <c r="ANT24" s="20" t="n">
        <v>0</v>
      </c>
      <c r="ANU24" s="20" t="n">
        <v>0</v>
      </c>
      <c r="ANV24" s="20" t="n">
        <v>0</v>
      </c>
      <c r="ANW24" s="20" t="n">
        <v>0</v>
      </c>
      <c r="ANX24" s="20" t="n">
        <v>0</v>
      </c>
      <c r="ANY24" s="20" t="n">
        <v>0</v>
      </c>
      <c r="ANZ24" s="20" t="n">
        <v>0</v>
      </c>
      <c r="AOA24" s="20" t="n">
        <v>0</v>
      </c>
      <c r="AOB24" s="20" t="n">
        <v>0</v>
      </c>
      <c r="AOC24" s="20" t="n">
        <v>0</v>
      </c>
      <c r="AOD24" s="20" t="n">
        <v>0</v>
      </c>
      <c r="AOE24" s="20" t="n">
        <f aca="false">IF(AND(H_Direct=0,H_TaxEvt=1,ARR23+1&gt;=H_Deemed),AKR24,AHE24)</f>
        <v>0</v>
      </c>
      <c r="AOF24" s="20" t="n">
        <f aca="false">IF(AND(H_Direct=0,H_TaxEvt=1,ARS23+1&gt;=H_Deemed),AKS24,AHF24)</f>
        <v>0</v>
      </c>
      <c r="AOG24" s="20" t="n">
        <f aca="false">IF(AND(H_Direct=0,H_TaxEvt=1,ART23+1&gt;=H_Deemed),AKT24,AHG24)</f>
        <v>0</v>
      </c>
      <c r="AOH24" s="20" t="n">
        <f aca="false">IF(AND(H_Direct=0,H_TaxEvt=1,ARU23+1&gt;=H_Deemed),AKU24,AHH24)</f>
        <v>0</v>
      </c>
      <c r="AOI24" s="20" t="n">
        <f aca="false">IF(AND(H_Direct=0,H_TaxEvt=1,ARV23+1&gt;=H_Deemed),AKV24,AHI24)</f>
        <v>0</v>
      </c>
      <c r="AOJ24" s="20" t="n">
        <f aca="false">IF(AND(H_Direct=0,H_TaxEvt=1,ARW23+1&gt;=H_Deemed),AKW24,AHJ24)</f>
        <v>0</v>
      </c>
      <c r="AOK24" s="20" t="n">
        <f aca="false">IF(AND(H_Direct=0,H_TaxEvt=1,ARX23+1&gt;=H_Deemed),AKX24,AHK24)</f>
        <v>0</v>
      </c>
      <c r="AOL24" s="20" t="n">
        <f aca="false">IF(AND(H_Direct=0,H_TaxEvt=1,ARY23+1&gt;=H_Deemed),AKY24,AHL24)</f>
        <v>0</v>
      </c>
      <c r="AOM24" s="20" t="n">
        <f aca="false">IF(AND(H_Direct=0,H_TaxEvt=1,ARZ23+1&gt;=H_Deemed),AKZ24,AHM24)</f>
        <v>0</v>
      </c>
      <c r="AON24" s="20" t="n">
        <f aca="false">IF(AND(H_Direct=0,H_TaxEvt=1,ASA23+1&gt;=H_Deemed),ALA24,AHN24)</f>
        <v>0</v>
      </c>
      <c r="AOO24" s="20" t="n">
        <f aca="false">IF(AND(H_Direct=0,H_TaxEvt=1,ASB23+1&gt;=H_Deemed),ALB24,AHO24)</f>
        <v>0</v>
      </c>
      <c r="AOP24" s="20" t="n">
        <f aca="false">IF(AND(H_Direct=0,H_TaxEvt=1,ASC23+1&gt;=H_Deemed),ALC24,AHP24)</f>
        <v>546.676920289684</v>
      </c>
      <c r="AOQ24" s="20" t="n">
        <f aca="false">IF(AND(H_Direct=0,H_TaxEvt=1,ASD23+1&gt;=H_Deemed),ALD24,AHQ24)</f>
        <v>715.210256730627</v>
      </c>
      <c r="AOR24" s="20" t="n">
        <f aca="false">IF(AND(H_Direct=0,H_TaxEvt=1,ASE23+1&gt;=H_Deemed),ALE24,AHR24)</f>
        <v>890.143053841438</v>
      </c>
      <c r="AOS24" s="20" t="n">
        <f aca="false">IF(AND(H_Direct=0,H_TaxEvt=1,ASF23+1&gt;=H_Deemed),ALF24,AHS24)</f>
        <v>1041.00939276848</v>
      </c>
      <c r="AOT24" s="20" t="n">
        <f aca="false">IF(AND(H_Direct=0,H_TaxEvt=1,ASG23+1&gt;=H_Deemed),ALG24,AHT24)</f>
        <v>1041.19311542065</v>
      </c>
      <c r="AOU24" s="20" t="n">
        <f aca="false">IF(AND(H_Direct=0,H_TaxEvt=1,ASH23+1&gt;=H_Deemed),ALH24,AHU24)</f>
        <v>1040.76141856976</v>
      </c>
      <c r="AOV24" s="20" t="n">
        <f aca="false">IF(AND(H_Direct=0,H_TaxEvt=1,0+1&gt;=H_Deemed),ALI24,AHV24)</f>
        <v>1039.68342100707</v>
      </c>
      <c r="AOW24" s="20" t="n">
        <v>0</v>
      </c>
      <c r="AOX24" s="20" t="n">
        <v>0</v>
      </c>
      <c r="AOY24" s="20" t="n">
        <v>0</v>
      </c>
      <c r="AOZ24" s="20" t="n">
        <v>0</v>
      </c>
      <c r="APA24" s="20" t="n">
        <v>0</v>
      </c>
      <c r="APB24" s="20" t="n">
        <v>0</v>
      </c>
      <c r="APC24" s="20" t="n">
        <v>0</v>
      </c>
      <c r="APD24" s="20" t="n">
        <v>0</v>
      </c>
      <c r="APE24" s="20" t="n">
        <v>0</v>
      </c>
      <c r="APF24" s="20" t="n">
        <v>0</v>
      </c>
      <c r="APG24" s="20" t="n">
        <v>0</v>
      </c>
      <c r="APH24" s="20" t="n">
        <v>0</v>
      </c>
      <c r="API24" s="20" t="n">
        <v>0</v>
      </c>
      <c r="APJ24" s="20" t="n">
        <v>0</v>
      </c>
      <c r="APK24" s="20" t="n">
        <v>0</v>
      </c>
      <c r="APL24" s="20" t="n">
        <v>0</v>
      </c>
      <c r="APM24" s="20" t="n">
        <v>0</v>
      </c>
      <c r="APN24" s="20" t="n">
        <v>0</v>
      </c>
      <c r="APO24" s="20" t="n">
        <v>0</v>
      </c>
      <c r="APP24" s="20" t="n">
        <v>0</v>
      </c>
      <c r="APQ24" s="20" t="n">
        <v>0</v>
      </c>
      <c r="APR24" s="20" t="n">
        <v>0</v>
      </c>
      <c r="APS24" s="20" t="n">
        <v>0</v>
      </c>
      <c r="APT24" s="20" t="n">
        <v>0</v>
      </c>
      <c r="APU24" s="20" t="n">
        <v>0</v>
      </c>
      <c r="APV24" s="20" t="n">
        <v>0</v>
      </c>
      <c r="APW24" s="20" t="n">
        <v>0</v>
      </c>
      <c r="APX24" s="20" t="n">
        <v>0</v>
      </c>
      <c r="APY24" s="20" t="n">
        <v>0</v>
      </c>
      <c r="APZ24" s="20" t="n">
        <v>0</v>
      </c>
      <c r="AQA24" s="20" t="n">
        <v>0</v>
      </c>
      <c r="AQB24" s="20" t="n">
        <v>0</v>
      </c>
      <c r="AQC24" s="20" t="n">
        <v>0</v>
      </c>
      <c r="AQD24" s="20" t="n">
        <v>0</v>
      </c>
      <c r="AQE24" s="20" t="n">
        <v>0</v>
      </c>
      <c r="AQF24" s="20" t="n">
        <v>0</v>
      </c>
      <c r="AQG24" s="20" t="n">
        <v>0</v>
      </c>
      <c r="AQH24" s="20" t="n">
        <v>0</v>
      </c>
      <c r="AQI24" s="20" t="n">
        <v>0</v>
      </c>
      <c r="AQJ24" s="20" t="n">
        <v>0</v>
      </c>
      <c r="AQK24" s="20" t="n">
        <v>0</v>
      </c>
      <c r="AQL24" s="20" t="n">
        <v>0</v>
      </c>
      <c r="AQM24" s="20" t="n">
        <v>0</v>
      </c>
      <c r="AQN24" s="20" t="n">
        <v>0</v>
      </c>
      <c r="AQO24" s="20" t="n">
        <v>0</v>
      </c>
      <c r="AQP24" s="20" t="n">
        <v>0</v>
      </c>
      <c r="AQQ24" s="20" t="n">
        <v>0</v>
      </c>
      <c r="AQR24" s="20" t="n">
        <v>0</v>
      </c>
      <c r="AQS24" s="20" t="n">
        <v>0</v>
      </c>
      <c r="AQT24" s="20" t="n">
        <v>0</v>
      </c>
      <c r="AQU24" s="20" t="n">
        <v>0</v>
      </c>
      <c r="AQV24" s="20" t="n">
        <v>0</v>
      </c>
      <c r="AQW24" s="20" t="n">
        <v>0</v>
      </c>
      <c r="AQX24" s="20" t="n">
        <v>0</v>
      </c>
      <c r="AQY24" s="20" t="n">
        <v>0</v>
      </c>
      <c r="AQZ24" s="20" t="n">
        <v>0</v>
      </c>
      <c r="ARA24" s="20" t="n">
        <v>0</v>
      </c>
      <c r="ARB24" s="20" t="n">
        <v>0</v>
      </c>
      <c r="ARC24" s="20" t="n">
        <v>0</v>
      </c>
      <c r="ARD24" s="20" t="n">
        <v>0</v>
      </c>
      <c r="ARE24" s="20" t="n">
        <v>0</v>
      </c>
      <c r="ARF24" s="20" t="n">
        <v>0</v>
      </c>
      <c r="ARG24" s="20" t="n">
        <v>0</v>
      </c>
      <c r="ARH24" s="20" t="n">
        <v>0</v>
      </c>
      <c r="ARI24" s="20" t="n">
        <v>0</v>
      </c>
      <c r="ARJ24" s="20" t="n">
        <v>0</v>
      </c>
      <c r="ARK24" s="20" t="n">
        <v>0</v>
      </c>
      <c r="ARL24" s="20" t="n">
        <v>0</v>
      </c>
      <c r="ARM24" s="20" t="n">
        <v>0</v>
      </c>
      <c r="ARN24" s="20" t="n">
        <v>0</v>
      </c>
      <c r="ARO24" s="20" t="n">
        <v>0</v>
      </c>
      <c r="ARP24" s="20" t="n">
        <v>0</v>
      </c>
      <c r="ARQ24" s="20" t="n">
        <v>0</v>
      </c>
      <c r="ARR24" s="20" t="n">
        <f aca="false">IF(AND(H_Direct=0,H_TaxEvt=1),IF(ARR23+1&gt;=H_Deemed,0,ARR23+1),ARR23)</f>
        <v>1</v>
      </c>
      <c r="ARS24" s="20" t="n">
        <f aca="false">IF(AND(H_Direct=0,H_TaxEvt=1),IF(ARS23+1&gt;=H_Deemed,0,ARS23+1),ARS23)</f>
        <v>1</v>
      </c>
      <c r="ART24" s="20" t="n">
        <f aca="false">IF(AND(H_Direct=0,H_TaxEvt=1),IF(ART23+1&gt;=H_Deemed,0,ART23+1),ART23)</f>
        <v>0</v>
      </c>
      <c r="ARU24" s="20" t="n">
        <f aca="false">IF(AND(H_Direct=0,H_TaxEvt=1),IF(ARU23+1&gt;=H_Deemed,0,ARU23+1),ARU23)</f>
        <v>7</v>
      </c>
      <c r="ARV24" s="20" t="n">
        <f aca="false">IF(AND(H_Direct=0,H_TaxEvt=1),IF(ARV23+1&gt;=H_Deemed,0,ARV23+1),ARV23)</f>
        <v>6</v>
      </c>
      <c r="ARW24" s="20" t="n">
        <f aca="false">IF(AND(H_Direct=0,H_TaxEvt=1),IF(ARW23+1&gt;=H_Deemed,0,ARW23+1),ARW23)</f>
        <v>5</v>
      </c>
      <c r="ARX24" s="20" t="n">
        <f aca="false">IF(AND(H_Direct=0,H_TaxEvt=1),IF(ARX23+1&gt;=H_Deemed,0,ARX23+1),ARX23)</f>
        <v>4</v>
      </c>
      <c r="ARY24" s="20" t="n">
        <f aca="false">IF(AND(H_Direct=0,H_TaxEvt=1),IF(ARY23+1&gt;=H_Deemed,0,ARY23+1),ARY23)</f>
        <v>3</v>
      </c>
      <c r="ARZ24" s="20" t="n">
        <f aca="false">IF(AND(H_Direct=0,H_TaxEvt=1),IF(ARZ23+1&gt;=H_Deemed,0,ARZ23+1),ARZ23)</f>
        <v>2</v>
      </c>
      <c r="ASA24" s="20" t="n">
        <f aca="false">IF(AND(H_Direct=0,H_TaxEvt=1),IF(ASA23+1&gt;=H_Deemed,0,ASA23+1),ASA23)</f>
        <v>1</v>
      </c>
      <c r="ASB24" s="20" t="n">
        <f aca="false">IF(AND(H_Direct=0,H_TaxEvt=1),IF(ASB23+1&gt;=H_Deemed,0,ASB23+1),ASB23)</f>
        <v>0</v>
      </c>
      <c r="ASC24" s="20" t="n">
        <f aca="false">IF(AND(H_Direct=0,H_TaxEvt=1),IF(ASC23+1&gt;=H_Deemed,0,ASC23+1),ASC23)</f>
        <v>7</v>
      </c>
      <c r="ASD24" s="20" t="n">
        <f aca="false">IF(AND(H_Direct=0,H_TaxEvt=1),IF(ASD23+1&gt;=H_Deemed,0,ASD23+1),ASD23)</f>
        <v>6</v>
      </c>
      <c r="ASE24" s="20" t="n">
        <f aca="false">IF(AND(H_Direct=0,H_TaxEvt=1),IF(ASE23+1&gt;=H_Deemed,0,ASE23+1),ASE23)</f>
        <v>5</v>
      </c>
      <c r="ASF24" s="20" t="n">
        <f aca="false">IF(AND(H_Direct=0,H_TaxEvt=1),IF(ASF23+1&gt;=H_Deemed,0,ASF23+1),ASF23)</f>
        <v>4</v>
      </c>
      <c r="ASG24" s="20" t="n">
        <f aca="false">IF(AND(H_Direct=0,H_TaxEvt=1),IF(ASG23+1&gt;=H_Deemed,0,ASG23+1),ASG23)</f>
        <v>3</v>
      </c>
      <c r="ASH24" s="20" t="n">
        <f aca="false">IF(AND(H_Direct=0,H_TaxEvt=1),IF(ASH23+1&gt;=H_Deemed,0,ASH23+1),ASH23)</f>
        <v>2</v>
      </c>
      <c r="ASI24" s="20" t="n">
        <f aca="false">IF(AND(H_Direct=0,H_TaxEvt=1),IF(0+1&gt;=H_Deemed,0,0+1),0)</f>
        <v>1</v>
      </c>
      <c r="ASJ24" s="20" t="n">
        <v>0</v>
      </c>
      <c r="ASK24" s="20" t="n">
        <v>0</v>
      </c>
      <c r="ASL24" s="20" t="n">
        <v>0</v>
      </c>
      <c r="ASM24" s="20" t="n">
        <v>0</v>
      </c>
      <c r="ASN24" s="20" t="n">
        <v>0</v>
      </c>
      <c r="ASO24" s="20" t="n">
        <v>0</v>
      </c>
      <c r="ASP24" s="20" t="n">
        <v>0</v>
      </c>
      <c r="ASQ24" s="20" t="n">
        <v>0</v>
      </c>
      <c r="ASR24" s="20" t="n">
        <v>0</v>
      </c>
      <c r="ASS24" s="20" t="n">
        <v>0</v>
      </c>
      <c r="AST24" s="20" t="n">
        <v>0</v>
      </c>
      <c r="ASU24" s="20" t="n">
        <v>0</v>
      </c>
      <c r="ASV24" s="20" t="n">
        <v>0</v>
      </c>
      <c r="ASW24" s="20" t="n">
        <v>0</v>
      </c>
      <c r="ASX24" s="20" t="n">
        <v>0</v>
      </c>
      <c r="ASY24" s="20" t="n">
        <v>0</v>
      </c>
      <c r="ASZ24" s="20" t="n">
        <v>0</v>
      </c>
      <c r="ATA24" s="20" t="n">
        <v>0</v>
      </c>
      <c r="ATB24" s="20" t="n">
        <v>0</v>
      </c>
      <c r="ATC24" s="20" t="n">
        <v>0</v>
      </c>
      <c r="ATD24" s="20" t="n">
        <v>0</v>
      </c>
      <c r="ATE24" s="20" t="n">
        <v>0</v>
      </c>
      <c r="ATF24" s="20" t="n">
        <v>0</v>
      </c>
      <c r="ATG24" s="20" t="n">
        <v>0</v>
      </c>
      <c r="ATH24" s="20" t="n">
        <v>0</v>
      </c>
      <c r="ATI24" s="20" t="n">
        <v>0</v>
      </c>
      <c r="ATJ24" s="20" t="n">
        <v>0</v>
      </c>
      <c r="ATK24" s="20" t="n">
        <v>0</v>
      </c>
      <c r="ATL24" s="20" t="n">
        <v>0</v>
      </c>
      <c r="ATM24" s="20" t="n">
        <v>0</v>
      </c>
      <c r="ATN24" s="20" t="n">
        <v>0</v>
      </c>
      <c r="ATO24" s="20" t="n">
        <v>0</v>
      </c>
      <c r="ATP24" s="20" t="n">
        <v>0</v>
      </c>
      <c r="ATQ24" s="20" t="n">
        <v>0</v>
      </c>
      <c r="ATR24" s="20" t="n">
        <v>0</v>
      </c>
      <c r="ATS24" s="20" t="n">
        <v>0</v>
      </c>
      <c r="ATT24" s="20" t="n">
        <v>0</v>
      </c>
      <c r="ATU24" s="20" t="n">
        <v>0</v>
      </c>
      <c r="ATV24" s="20" t="n">
        <v>0</v>
      </c>
      <c r="ATW24" s="20" t="n">
        <v>0</v>
      </c>
      <c r="ATX24" s="20" t="n">
        <v>0</v>
      </c>
      <c r="ATY24" s="20" t="n">
        <v>0</v>
      </c>
      <c r="ATZ24" s="20" t="n">
        <v>0</v>
      </c>
      <c r="AUA24" s="20" t="n">
        <v>0</v>
      </c>
      <c r="AUB24" s="20" t="n">
        <v>0</v>
      </c>
      <c r="AUC24" s="20" t="n">
        <v>0</v>
      </c>
      <c r="AUD24" s="20" t="n">
        <v>0</v>
      </c>
      <c r="AUE24" s="20" t="n">
        <v>0</v>
      </c>
      <c r="AUF24" s="20" t="n">
        <v>0</v>
      </c>
      <c r="AUG24" s="20" t="n">
        <v>0</v>
      </c>
      <c r="AUH24" s="20" t="n">
        <v>0</v>
      </c>
      <c r="AUI24" s="20" t="n">
        <v>0</v>
      </c>
      <c r="AUJ24" s="20" t="n">
        <v>0</v>
      </c>
      <c r="AUK24" s="20" t="n">
        <v>0</v>
      </c>
      <c r="AUL24" s="20" t="n">
        <v>0</v>
      </c>
      <c r="AUM24" s="20" t="n">
        <v>0</v>
      </c>
      <c r="AUN24" s="20" t="n">
        <v>0</v>
      </c>
      <c r="AUO24" s="20" t="n">
        <v>0</v>
      </c>
      <c r="AUP24" s="20" t="n">
        <v>0</v>
      </c>
      <c r="AUQ24" s="20" t="n">
        <v>0</v>
      </c>
      <c r="AUR24" s="20" t="n">
        <v>0</v>
      </c>
      <c r="AUS24" s="20" t="n">
        <v>0</v>
      </c>
      <c r="AUT24" s="20" t="n">
        <v>0</v>
      </c>
      <c r="AUU24" s="20" t="n">
        <v>0</v>
      </c>
      <c r="AUV24" s="20" t="n">
        <v>0</v>
      </c>
      <c r="AUW24" s="20" t="n">
        <v>0</v>
      </c>
      <c r="AUX24" s="20" t="n">
        <v>0</v>
      </c>
      <c r="AUY24" s="20" t="n">
        <v>0</v>
      </c>
      <c r="AUZ24" s="20" t="n">
        <v>0</v>
      </c>
      <c r="AVA24" s="20" t="n">
        <v>0</v>
      </c>
      <c r="AVB24" s="20" t="n">
        <v>0</v>
      </c>
      <c r="AVC24" s="20" t="n">
        <v>0</v>
      </c>
      <c r="AVD24" s="20" t="n">
        <v>0</v>
      </c>
      <c r="AVE24" s="20" t="n">
        <f aca="false">IF(AND(H_Direct=0,H_TaxEvt=1,ARR23+1&gt;=H_Deemed),MAX(0,ADR24-AHE24)*H_Exit,0)</f>
        <v>0</v>
      </c>
      <c r="AVF24" s="20" t="n">
        <f aca="false">IF(AND(H_Direct=0,H_TaxEvt=1,ARS23+1&gt;=H_Deemed),MAX(0,ADS24-AHF24)*H_Exit,0)</f>
        <v>0</v>
      </c>
      <c r="AVG24" s="20" t="n">
        <f aca="false">IF(AND(H_Direct=0,H_TaxEvt=1,ART23+1&gt;=H_Deemed),MAX(0,ADT24-AHG24)*H_Exit,0)</f>
        <v>0</v>
      </c>
      <c r="AVH24" s="20" t="n">
        <f aca="false">IF(AND(H_Direct=0,H_TaxEvt=1,ARU23+1&gt;=H_Deemed),MAX(0,ADU24-AHH24)*H_Exit,0)</f>
        <v>0</v>
      </c>
      <c r="AVI24" s="20" t="n">
        <f aca="false">IF(AND(H_Direct=0,H_TaxEvt=1,ARV23+1&gt;=H_Deemed),MAX(0,ADV24-AHI24)*H_Exit,0)</f>
        <v>0</v>
      </c>
      <c r="AVJ24" s="20" t="n">
        <f aca="false">IF(AND(H_Direct=0,H_TaxEvt=1,ARW23+1&gt;=H_Deemed),MAX(0,ADW24-AHJ24)*H_Exit,0)</f>
        <v>0</v>
      </c>
      <c r="AVK24" s="20" t="n">
        <f aca="false">IF(AND(H_Direct=0,H_TaxEvt=1,ARX23+1&gt;=H_Deemed),MAX(0,ADX24-AHK24)*H_Exit,0)</f>
        <v>0</v>
      </c>
      <c r="AVL24" s="20" t="n">
        <f aca="false">IF(AND(H_Direct=0,H_TaxEvt=1,ARY23+1&gt;=H_Deemed),MAX(0,ADY24-AHL24)*H_Exit,0)</f>
        <v>0</v>
      </c>
      <c r="AVM24" s="20" t="n">
        <f aca="false">IF(AND(H_Direct=0,H_TaxEvt=1,ARZ23+1&gt;=H_Deemed),MAX(0,ADZ24-AHM24)*H_Exit,0)</f>
        <v>0</v>
      </c>
      <c r="AVN24" s="20" t="n">
        <f aca="false">IF(AND(H_Direct=0,H_TaxEvt=1,ASA23+1&gt;=H_Deemed),MAX(0,AEA24-AHN24)*H_Exit,0)</f>
        <v>0</v>
      </c>
      <c r="AVO24" s="20" t="n">
        <f aca="false">IF(AND(H_Direct=0,H_TaxEvt=1,ASB23+1&gt;=H_Deemed),MAX(0,AEB24-AHO24)*H_Exit,0)</f>
        <v>0</v>
      </c>
      <c r="AVP24" s="20" t="n">
        <f aca="false">IF(AND(H_Direct=0,H_TaxEvt=1,ASC23+1&gt;=H_Deemed),MAX(0,AEC24-AHP24)*H_Exit,0)</f>
        <v>0</v>
      </c>
      <c r="AVQ24" s="20" t="n">
        <f aca="false">IF(AND(H_Direct=0,H_TaxEvt=1,ASD23+1&gt;=H_Deemed),MAX(0,AED24-AHQ24)*H_Exit,0)</f>
        <v>0</v>
      </c>
      <c r="AVR24" s="20" t="n">
        <f aca="false">IF(AND(H_Direct=0,H_TaxEvt=1,ASE23+1&gt;=H_Deemed),MAX(0,AEE24-AHR24)*H_Exit,0)</f>
        <v>0</v>
      </c>
      <c r="AVS24" s="20" t="n">
        <f aca="false">IF(AND(H_Direct=0,H_TaxEvt=1,ASF23+1&gt;=H_Deemed),MAX(0,AEF24-AHS24)*H_Exit,0)</f>
        <v>0</v>
      </c>
      <c r="AVT24" s="20" t="n">
        <f aca="false">IF(AND(H_Direct=0,H_TaxEvt=1,ASG23+1&gt;=H_Deemed),MAX(0,AEG24-AHT24)*H_Exit,0)</f>
        <v>0</v>
      </c>
      <c r="AVU24" s="20" t="n">
        <f aca="false">IF(AND(H_Direct=0,H_TaxEvt=1,ASH23+1&gt;=H_Deemed),MAX(0,AEH24-AHU24)*H_Exit,0)</f>
        <v>0</v>
      </c>
      <c r="AVV24" s="20" t="n">
        <f aca="false">IF(AND(H_Direct=0,H_TaxEvt=1,0+1&gt;=H_Deemed),MAX(0,AEI24-AHV24)*H_Exit,0)</f>
        <v>0</v>
      </c>
      <c r="AVW24" s="20" t="n">
        <v>0</v>
      </c>
      <c r="AVX24" s="20" t="n">
        <v>0</v>
      </c>
      <c r="AVY24" s="20" t="n">
        <v>0</v>
      </c>
      <c r="AVZ24" s="20" t="n">
        <v>0</v>
      </c>
      <c r="AWA24" s="20" t="n">
        <v>0</v>
      </c>
      <c r="AWB24" s="20" t="n">
        <v>0</v>
      </c>
      <c r="AWC24" s="20" t="n">
        <v>0</v>
      </c>
      <c r="AWD24" s="20" t="n">
        <v>0</v>
      </c>
      <c r="AWE24" s="20" t="n">
        <v>0</v>
      </c>
      <c r="AWF24" s="20" t="n">
        <v>0</v>
      </c>
      <c r="AWG24" s="20" t="n">
        <v>0</v>
      </c>
      <c r="AWH24" s="20" t="n">
        <v>0</v>
      </c>
      <c r="AWI24" s="20" t="n">
        <v>0</v>
      </c>
      <c r="AWJ24" s="20" t="n">
        <v>0</v>
      </c>
      <c r="AWK24" s="20" t="n">
        <v>0</v>
      </c>
      <c r="AWL24" s="20" t="n">
        <v>0</v>
      </c>
      <c r="AWM24" s="20" t="n">
        <v>0</v>
      </c>
      <c r="AWN24" s="20" t="n">
        <v>0</v>
      </c>
      <c r="AWO24" s="20" t="n">
        <v>0</v>
      </c>
      <c r="AWP24" s="20" t="n">
        <v>0</v>
      </c>
      <c r="AWQ24" s="20" t="n">
        <v>0</v>
      </c>
      <c r="AWR24" s="20" t="n">
        <v>0</v>
      </c>
      <c r="AWS24" s="20" t="n">
        <v>0</v>
      </c>
      <c r="AWT24" s="20" t="n">
        <v>0</v>
      </c>
      <c r="AWU24" s="20" t="n">
        <v>0</v>
      </c>
      <c r="AWV24" s="20" t="n">
        <v>0</v>
      </c>
      <c r="AWW24" s="20" t="n">
        <v>0</v>
      </c>
      <c r="AWX24" s="20" t="n">
        <v>0</v>
      </c>
      <c r="AWY24" s="20" t="n">
        <v>0</v>
      </c>
      <c r="AWZ24" s="20" t="n">
        <v>0</v>
      </c>
      <c r="AXA24" s="20" t="n">
        <v>0</v>
      </c>
      <c r="AXB24" s="20" t="n">
        <v>0</v>
      </c>
      <c r="AXC24" s="20" t="n">
        <v>0</v>
      </c>
      <c r="AXD24" s="20" t="n">
        <v>0</v>
      </c>
      <c r="AXE24" s="20" t="n">
        <v>0</v>
      </c>
      <c r="AXF24" s="20" t="n">
        <v>0</v>
      </c>
      <c r="AXG24" s="20" t="n">
        <v>0</v>
      </c>
      <c r="AXH24" s="20" t="n">
        <v>0</v>
      </c>
      <c r="AXI24" s="20" t="n">
        <v>0</v>
      </c>
      <c r="AXJ24" s="20" t="n">
        <v>0</v>
      </c>
      <c r="AXK24" s="20" t="n">
        <v>0</v>
      </c>
      <c r="AXL24" s="20" t="n">
        <v>0</v>
      </c>
      <c r="AXM24" s="20" t="n">
        <v>0</v>
      </c>
      <c r="AXN24" s="20" t="n">
        <v>0</v>
      </c>
      <c r="AXO24" s="20" t="n">
        <v>0</v>
      </c>
      <c r="AXP24" s="20" t="n">
        <v>0</v>
      </c>
      <c r="AXQ24" s="20" t="n">
        <v>0</v>
      </c>
      <c r="AXR24" s="20" t="n">
        <v>0</v>
      </c>
      <c r="AXS24" s="20" t="n">
        <v>0</v>
      </c>
      <c r="AXT24" s="20" t="n">
        <v>0</v>
      </c>
      <c r="AXU24" s="20" t="n">
        <v>0</v>
      </c>
      <c r="AXV24" s="20" t="n">
        <v>0</v>
      </c>
      <c r="AXW24" s="20" t="n">
        <v>0</v>
      </c>
      <c r="AXX24" s="20" t="n">
        <v>0</v>
      </c>
      <c r="AXY24" s="20" t="n">
        <v>0</v>
      </c>
      <c r="AXZ24" s="20" t="n">
        <v>0</v>
      </c>
      <c r="AYA24" s="20" t="n">
        <v>0</v>
      </c>
      <c r="AYB24" s="20" t="n">
        <v>0</v>
      </c>
      <c r="AYC24" s="20" t="n">
        <v>0</v>
      </c>
      <c r="AYD24" s="20" t="n">
        <v>0</v>
      </c>
      <c r="AYE24" s="20" t="n">
        <v>0</v>
      </c>
      <c r="AYF24" s="20" t="n">
        <v>0</v>
      </c>
      <c r="AYG24" s="20" t="n">
        <v>0</v>
      </c>
      <c r="AYH24" s="20" t="n">
        <v>0</v>
      </c>
      <c r="AYI24" s="20" t="n">
        <v>0</v>
      </c>
      <c r="AYJ24" s="20" t="n">
        <v>0</v>
      </c>
      <c r="AYK24" s="20" t="n">
        <v>0</v>
      </c>
      <c r="AYL24" s="20" t="n">
        <v>0</v>
      </c>
      <c r="AYM24" s="20" t="n">
        <v>0</v>
      </c>
      <c r="AYN24" s="20" t="n">
        <v>0</v>
      </c>
      <c r="AYO24" s="20" t="n">
        <v>0</v>
      </c>
      <c r="AYP24" s="20" t="n">
        <v>0</v>
      </c>
      <c r="AYQ24" s="20" t="n">
        <v>0</v>
      </c>
    </row>
    <row r="25" customFormat="false" ht="15" hidden="false" customHeight="false" outlineLevel="0" collapsed="false">
      <c r="B25" s="20" t="n">
        <v>17</v>
      </c>
      <c r="C25" s="20" t="n">
        <f aca="false">'Plan cashflow'!C25</f>
        <v>1</v>
      </c>
      <c r="D25" s="20" t="n">
        <f aca="false">'Plan cashflow'!D25</f>
        <v>55</v>
      </c>
      <c r="E25" s="20" t="n">
        <f aca="false">AS_Year0+17</f>
        <v>2043</v>
      </c>
      <c r="F25" s="50" t="n">
        <f aca="false">'Plan cashflow'!F25</f>
        <v>1.40024141919242</v>
      </c>
      <c r="G25" s="59" t="n">
        <f aca="true">IF(MAX(TODAY(),DATE(E25,1,1))&gt;=H_CGTfrom,H_CGT1,H_CGT0)</f>
        <v>0.31</v>
      </c>
      <c r="H25" s="20" t="n">
        <f aca="false">H_Exempt*H_Persons</f>
        <v>1270</v>
      </c>
      <c r="I25" s="20" t="n">
        <f aca="false">AX24</f>
        <v>0</v>
      </c>
      <c r="J25" s="60" t="n">
        <f aca="false">BF24</f>
        <v>9822.97932352109</v>
      </c>
      <c r="K25" s="60" t="n">
        <f aca="false">BG24</f>
        <v>0</v>
      </c>
      <c r="L25" s="20" t="n">
        <f aca="false">IF(AND(In_polLump&gt;0,In_polLumpAge&gt;0,D25=In_polLumpAge),In_polLump,0)</f>
        <v>0</v>
      </c>
      <c r="M25" s="20" t="n">
        <f aca="false">IF(AND(In_homeUse="Yes, I'd downsize",In_downAge&gt;0,D25=In_downAge,OR(In_home="Own outright",In_home="Own with mortgage"),In_homeValue&gt;0),MAX(0,MAX(0,In_homeValue-In_downValue)*F25*0.9-'Plan cashflow'!HR24),0)</f>
        <v>0</v>
      </c>
      <c r="N25" s="20" t="n">
        <f aca="false">'Plan pay &amp; tax'!Y251</f>
        <v>0</v>
      </c>
      <c r="O25" s="20" t="n">
        <f aca="false">L25+M25+(1-H_Sh)*N25</f>
        <v>0</v>
      </c>
      <c r="P25" s="20" t="n">
        <f aca="false">H_Sh*N25</f>
        <v>0</v>
      </c>
      <c r="Q25" s="20" t="n">
        <f aca="false">'Plan cashflow'!UL25</f>
        <v>0</v>
      </c>
      <c r="R25" s="20" t="n">
        <f aca="false">(1-H_Sh)*Q25</f>
        <v>0</v>
      </c>
      <c r="S25" s="20" t="n">
        <f aca="false">H_Sh*Q25</f>
        <v>0</v>
      </c>
      <c r="T25" s="20" t="n">
        <f aca="false">J25+K25+O25</f>
        <v>9822.97932352109</v>
      </c>
      <c r="U25" s="20" t="n">
        <f aca="false">T25+R25</f>
        <v>9822.97932352109</v>
      </c>
      <c r="V25" s="60" t="n">
        <f aca="false">SUM(FE25:IQ25)</f>
        <v>6927.65231755634</v>
      </c>
      <c r="W25" s="60" t="n">
        <f aca="false">IF(AJ25&lt;=0,0,IF(AL25&lt;=0,AJ25,AJ25-G25*MAX(0,AL25*AJ25-(AY25+AZ25))))</f>
        <v>0</v>
      </c>
      <c r="X25" s="60" t="n">
        <f aca="false">IF(AR25&lt;=0,0,IF(AT25&lt;=0,AR25,AR25-G25*MAX(0,AT25*AR25-(BA25+BB25))))</f>
        <v>0</v>
      </c>
      <c r="Y25" s="60" t="n">
        <f aca="false">T25+V25-S25+W25+X25</f>
        <v>16750.6316410774</v>
      </c>
      <c r="Z25" s="60" t="n">
        <f aca="false">'Plan cashflow'!UK25</f>
        <v>0</v>
      </c>
      <c r="AA25" s="20" t="n">
        <f aca="false">MIN(Z25,U25)</f>
        <v>0</v>
      </c>
      <c r="AB25" s="20" t="n">
        <f aca="false">Z25-AA25</f>
        <v>0</v>
      </c>
      <c r="AC25" s="20" t="n">
        <f aca="false">MIN(AA25,J25+O25+R25)</f>
        <v>0</v>
      </c>
      <c r="AD25" s="20" t="n">
        <f aca="false">AA25-AC25</f>
        <v>0</v>
      </c>
      <c r="AE25" s="20" t="n">
        <f aca="false">J25+O25+R25-AC25</f>
        <v>9822.97932352109</v>
      </c>
      <c r="AF25" s="20" t="n">
        <f aca="false">K25-AD25</f>
        <v>0</v>
      </c>
      <c r="AG25" s="20" t="n">
        <f aca="false">SUM(PR25:TD25)</f>
        <v>0</v>
      </c>
      <c r="AH25" s="20" t="n">
        <f aca="false">SUM(TE25:WQ25)</f>
        <v>0</v>
      </c>
      <c r="AI25" s="20" t="n">
        <f aca="false">MAX(0,AB25-AG25)</f>
        <v>0</v>
      </c>
      <c r="AJ25" s="57" t="n">
        <f aca="false">BI24</f>
        <v>0</v>
      </c>
      <c r="AK25" s="20" t="n">
        <f aca="false">BJ24</f>
        <v>0</v>
      </c>
      <c r="AL25" s="20" t="n">
        <f aca="false">IF(AJ25&gt;0,(AJ25-AK25)/AJ25,0)</f>
        <v>0</v>
      </c>
      <c r="AM25" s="20" t="n">
        <f aca="false">IF(AJ25&lt;=0,0,IF(AL25&lt;=0,MIN(AI25,AJ25),MIN(AI25,AJ25-G25*MAX(0,AL25*AJ25-(AAD25+ADQ25)))))</f>
        <v>0</v>
      </c>
      <c r="AN25" s="20" t="n">
        <f aca="false">IF(AJ25&lt;=0,0,IF(AL25&lt;=0,AM25,IF(AM25&lt;=(AAD25+ADQ25)/AL25,AM25,(AM25-G25*(AAD25+ADQ25))/(1-G25*AL25))))</f>
        <v>0</v>
      </c>
      <c r="AO25" s="20" t="n">
        <f aca="false">IF(AL25&gt;0,MAX(0,AAD25-(MIN(AL25*AN25,(AAD25+ADQ25))-MIN(MIN(AL25*AN25,(AAD25+ADQ25)),ADQ25))),AAD25)</f>
        <v>1270</v>
      </c>
      <c r="AP25" s="20" t="n">
        <f aca="false">IF(AL25&lt;=0,ADQ25-AL25*AN25,ADQ25-MIN(MIN(AL25*AN25,(AAD25+ADQ25)),ADQ25))</f>
        <v>0</v>
      </c>
      <c r="AQ25" s="20" t="n">
        <f aca="false">MAX(0,AI25-AM25)</f>
        <v>0</v>
      </c>
      <c r="AR25" s="57" t="n">
        <f aca="false">BK24</f>
        <v>0</v>
      </c>
      <c r="AS25" s="20" t="n">
        <f aca="false">BL24</f>
        <v>0</v>
      </c>
      <c r="AT25" s="20" t="n">
        <f aca="false">IF(AR25&gt;0,(AR25-AS25)/AR25,0)</f>
        <v>0</v>
      </c>
      <c r="AU25" s="20" t="n">
        <f aca="false">IF(AR25&lt;=0,0,IF(AT25&lt;=0,MIN(AQ25,AR25),MIN(AQ25,AR25-G25*MAX(0,AT25*AR25-(AO25+AP25)))))</f>
        <v>0</v>
      </c>
      <c r="AV25" s="20" t="n">
        <f aca="false">IF(AR25&lt;=0,0,IF(AT25&lt;=0,AU25,IF(AU25&lt;=(AO25+AP25)/AT25,AU25,(AU25-G25*(AO25+AP25))/(1-G25*AT25))))</f>
        <v>0</v>
      </c>
      <c r="AW25" s="20" t="n">
        <f aca="false">IF(AT25&gt;0,MAX(0,AO25-(MIN(AT25*AV25,(AO25+AP25))-MIN(MIN(AT25*AV25,(AO25+AP25)),AP25))),AO25)</f>
        <v>1270</v>
      </c>
      <c r="AX25" s="20" t="n">
        <f aca="false">IF(AT25&lt;=0,AP25-AT25*AV25,AP25-MIN(MIN(AT25*AV25,(AO25+AP25)),AP25))</f>
        <v>0</v>
      </c>
      <c r="AY25" s="20" t="n">
        <f aca="false">MD25</f>
        <v>1270</v>
      </c>
      <c r="AZ25" s="20" t="n">
        <f aca="false">PQ25</f>
        <v>0</v>
      </c>
      <c r="BA25" s="20" t="n">
        <f aca="false">IF(AL25&gt;0,MAX(0,AY25-(MIN(AL25*AJ25,AY25+AZ25)-MIN(MIN(AL25*AJ25,AY25+AZ25),AZ25))),AY25)</f>
        <v>1270</v>
      </c>
      <c r="BB25" s="20" t="n">
        <f aca="false">IF(AL25&lt;=0,AZ25-AL25*AJ25,AZ25-MIN(MIN(AL25*AJ25,AY25+AZ25),AZ25))</f>
        <v>0</v>
      </c>
      <c r="BC25" s="20" t="n">
        <f aca="false">'Plan cashflow'!UM25</f>
        <v>8401.44851515455</v>
      </c>
      <c r="BD25" s="20" t="n">
        <f aca="false">(1-H_Sh)*BC25</f>
        <v>5040.86910909273</v>
      </c>
      <c r="BE25" s="20" t="n">
        <f aca="false">H_Sh*BC25</f>
        <v>3360.57940606182</v>
      </c>
      <c r="BF25" s="60" t="n">
        <f aca="false">(AE25+BD25)*(1+AS_Cash)</f>
        <v>15012.48691694</v>
      </c>
      <c r="BG25" s="60" t="n">
        <f aca="false">AF25*(1+AS_Cash)</f>
        <v>0</v>
      </c>
      <c r="BH25" s="60" t="n">
        <f aca="false">SUM(AKR25:AOD25)</f>
        <v>11013.9174416951</v>
      </c>
      <c r="BI25" s="60" t="n">
        <f aca="false">(AJ25-AN25)*(1+AS_Infl)</f>
        <v>0</v>
      </c>
      <c r="BJ25" s="20" t="n">
        <f aca="false">IF(AJ25&gt;0,AK25-AK25*AN25/AJ25,0)</f>
        <v>0</v>
      </c>
      <c r="BK25" s="60" t="n">
        <f aca="false">(AR25-AV25)*(1+BQ25)</f>
        <v>0</v>
      </c>
      <c r="BL25" s="20" t="n">
        <f aca="false">IF(AR25&gt;0,AS25-AS25*AV25/AR25,0)</f>
        <v>0</v>
      </c>
      <c r="BM25" s="60" t="n">
        <f aca="false">BF25+BG25+BH25+BI25+BK25</f>
        <v>26026.4043586351</v>
      </c>
      <c r="BN25" s="60" t="n">
        <f aca="false">(AH25-AG25)+(AN25-AM25)+(AV25-AU25)</f>
        <v>0</v>
      </c>
      <c r="BO25" s="20" t="n">
        <f aca="false">(AE25+BD25+AF25+MAX(0,'Plan cashflow'!QH25)+IF(Slot1_Rate=AS_Cash,'Plan cashflow'!QM25/(1+AS_Cash),0)+IF(Slot2_Rate=AS_Cash,'Plan cashflow'!QQ25/(1+AS_Cash),0)+IF(Slot3_Rate=AS_Cash,'Plan cashflow'!QU25/(1+AS_Cash),0)+IF(Slot4_Rate=AS_Cash,'Plan cashflow'!QY25/(1+AS_Cash),0)+IF(Slot5_Rate=AS_Cash,'Plan cashflow'!RC25/(1+AS_Cash),0)+IF(Slot6_Rate=AS_Cash,'Plan cashflow'!RG25/(1+AS_Cash),0)+IF(Slot7_Rate=AS_Cash,'Plan cashflow'!RK25/(1+AS_Cash),0)+IF(Slot8_Rate=AS_Cash,'Plan cashflow'!RO25/(1+AS_Cash),0)+IF(Slot9_Rate=AS_Cash,'Plan cashflow'!RS25/(1+AS_Cash),0)+IF(Slot10_Rate=AS_Cash,'Plan cashflow'!RW25/(1+AS_Cash),0)+IF(Slot11_Rate=AS_Cash,'Plan cashflow'!SA25/(1+AS_Cash),0)+IF(Slot12_Rate=AS_Cash,'Plan cashflow'!SE25/(1+AS_Cash),0)+IF(Slot13_Rate=AS_Cash,'Plan cashflow'!SI25/(1+AS_Cash),0)+IF(Slot14_Rate=AS_Cash,'Plan cashflow'!SM25/(1+AS_Cash),0)+IF(Slot15_Rate=AS_Cash,'Plan cashflow'!SQ25/(1+AS_Cash),0)+IF(Slot16_Rate=AS_Cash,'Plan cashflow'!SU25/(1+AS_Cash),0)+IF(Slot17_Rate=AS_Cash,'Plan cashflow'!SY25/(1+AS_Cash),0)+IF(Slot18_Rate=AS_Cash,'Plan cashflow'!TC25/(1+AS_Cash),0)+IF(Slot19_Rate=AS_Cash,'Plan cashflow'!TG25/(1+AS_Cash),0)+IF(Slot20_Rate=AS_Cash,'Plan cashflow'!TK25/(1+AS_Cash),0))*AS_Cash*H_DIRT/(1-H_DIRT)</f>
        <v>138.274264329874</v>
      </c>
      <c r="BP25" s="60" t="n">
        <f aca="false">SUM(AVE25:AYQ25)</f>
        <v>76.5655134880664</v>
      </c>
      <c r="BQ25" s="54" t="n">
        <f aca="false">IF(H_TaxEvt=1,H_InvG,AS_Inv)</f>
        <v>0.04</v>
      </c>
      <c r="BR25" s="20" t="n">
        <f aca="false">IF(AKR24&gt;0,(AKR24-AOE24)/AKR24,0)</f>
        <v>0</v>
      </c>
      <c r="BS25" s="20" t="n">
        <f aca="false">IF(AKS24&gt;0,(AKS24-AOF24)/AKS24,0)</f>
        <v>0</v>
      </c>
      <c r="BT25" s="20" t="n">
        <f aca="false">IF(AKT24&gt;0,(AKT24-AOG24)/AKT24,0)</f>
        <v>0</v>
      </c>
      <c r="BU25" s="20" t="n">
        <f aca="false">IF(AKU24&gt;0,(AKU24-AOH24)/AKU24,0)</f>
        <v>0</v>
      </c>
      <c r="BV25" s="20" t="n">
        <f aca="false">IF(AKV24&gt;0,(AKV24-AOI24)/AKV24,0)</f>
        <v>0</v>
      </c>
      <c r="BW25" s="20" t="n">
        <f aca="false">IF(AKW24&gt;0,(AKW24-AOJ24)/AKW24,0)</f>
        <v>0</v>
      </c>
      <c r="BX25" s="20" t="n">
        <f aca="false">IF(AKX24&gt;0,(AKX24-AOK24)/AKX24,0)</f>
        <v>0</v>
      </c>
      <c r="BY25" s="20" t="n">
        <f aca="false">IF(AKY24&gt;0,(AKY24-AOL24)/AKY24,0)</f>
        <v>0</v>
      </c>
      <c r="BZ25" s="20" t="n">
        <f aca="false">IF(AKZ24&gt;0,(AKZ24-AOM24)/AKZ24,0)</f>
        <v>0</v>
      </c>
      <c r="CA25" s="20" t="n">
        <f aca="false">IF(ALA24&gt;0,(ALA24-AON24)/ALA24,0)</f>
        <v>0</v>
      </c>
      <c r="CB25" s="20" t="n">
        <f aca="false">IF(ALB24&gt;0,(ALB24-AOO24)/ALB24,0)</f>
        <v>0</v>
      </c>
      <c r="CC25" s="20" t="n">
        <f aca="false">IF(ALC24&gt;0,(ALC24-AOP24)/ALC24,0)</f>
        <v>0.240082186797937</v>
      </c>
      <c r="CD25" s="20" t="n">
        <f aca="false">IF(ALD24&gt;0,(ALD24-AOQ24)/ALD24,0)</f>
        <v>0.209685474269854</v>
      </c>
      <c r="CE25" s="20" t="n">
        <f aca="false">IF(ALE24&gt;0,(ALE24-AOR24)/ALE24,0)</f>
        <v>0.178072893240648</v>
      </c>
      <c r="CF25" s="20" t="n">
        <f aca="false">IF(ALF24&gt;0,(ALF24-AOS24)/ALF24,0)</f>
        <v>0.145195808970274</v>
      </c>
      <c r="CG25" s="20" t="n">
        <f aca="false">IF(ALG24&gt;0,(ALG24-AOT24)/ALG24,0)</f>
        <v>0.111003641329085</v>
      </c>
      <c r="CH25" s="20" t="n">
        <f aca="false">IF(ALH24&gt;0,(ALH24-AOU24)/ALH24,0)</f>
        <v>0.0754437869822486</v>
      </c>
      <c r="CI25" s="20" t="n">
        <f aca="false">IF(ALI24&gt;0,(ALI24-AOV24)/ALI24,0)</f>
        <v>0.0384615384615385</v>
      </c>
      <c r="CJ25" s="20" t="n">
        <f aca="false">IF((P25+S25)&gt;0,((P25+S25)-(P25+S25))/(P25+S25),0)</f>
        <v>0</v>
      </c>
      <c r="CK25" s="20" t="n">
        <v>0</v>
      </c>
      <c r="CL25" s="20" t="n">
        <v>0</v>
      </c>
      <c r="CM25" s="20" t="n">
        <v>0</v>
      </c>
      <c r="CN25" s="20" t="n">
        <v>0</v>
      </c>
      <c r="CO25" s="20" t="n">
        <v>0</v>
      </c>
      <c r="CP25" s="20" t="n">
        <v>0</v>
      </c>
      <c r="CQ25" s="20" t="n">
        <v>0</v>
      </c>
      <c r="CR25" s="20" t="n">
        <v>0</v>
      </c>
      <c r="CS25" s="20" t="n">
        <v>0</v>
      </c>
      <c r="CT25" s="20" t="n">
        <v>0</v>
      </c>
      <c r="CU25" s="20" t="n">
        <v>0</v>
      </c>
      <c r="CV25" s="20" t="n">
        <v>0</v>
      </c>
      <c r="CW25" s="20" t="n">
        <v>0</v>
      </c>
      <c r="CX25" s="20" t="n">
        <v>0</v>
      </c>
      <c r="CY25" s="20" t="n">
        <v>0</v>
      </c>
      <c r="CZ25" s="20" t="n">
        <v>0</v>
      </c>
      <c r="DA25" s="20" t="n">
        <v>0</v>
      </c>
      <c r="DB25" s="20" t="n">
        <v>0</v>
      </c>
      <c r="DC25" s="20" t="n">
        <v>0</v>
      </c>
      <c r="DD25" s="20" t="n">
        <v>0</v>
      </c>
      <c r="DE25" s="20" t="n">
        <v>0</v>
      </c>
      <c r="DF25" s="20" t="n">
        <v>0</v>
      </c>
      <c r="DG25" s="20" t="n">
        <v>0</v>
      </c>
      <c r="DH25" s="20" t="n">
        <v>0</v>
      </c>
      <c r="DI25" s="20" t="n">
        <v>0</v>
      </c>
      <c r="DJ25" s="20" t="n">
        <v>0</v>
      </c>
      <c r="DK25" s="20" t="n">
        <v>0</v>
      </c>
      <c r="DL25" s="20" t="n">
        <v>0</v>
      </c>
      <c r="DM25" s="20" t="n">
        <v>0</v>
      </c>
      <c r="DN25" s="20" t="n">
        <v>0</v>
      </c>
      <c r="DO25" s="20" t="n">
        <v>0</v>
      </c>
      <c r="DP25" s="20" t="n">
        <v>0</v>
      </c>
      <c r="DQ25" s="20" t="n">
        <v>0</v>
      </c>
      <c r="DR25" s="20" t="n">
        <v>0</v>
      </c>
      <c r="DS25" s="20" t="n">
        <v>0</v>
      </c>
      <c r="DT25" s="20" t="n">
        <v>0</v>
      </c>
      <c r="DU25" s="20" t="n">
        <v>0</v>
      </c>
      <c r="DV25" s="20" t="n">
        <v>0</v>
      </c>
      <c r="DW25" s="20" t="n">
        <v>0</v>
      </c>
      <c r="DX25" s="20" t="n">
        <v>0</v>
      </c>
      <c r="DY25" s="20" t="n">
        <v>0</v>
      </c>
      <c r="DZ25" s="20" t="n">
        <v>0</v>
      </c>
      <c r="EA25" s="20" t="n">
        <v>0</v>
      </c>
      <c r="EB25" s="20" t="n">
        <v>0</v>
      </c>
      <c r="EC25" s="20" t="n">
        <v>0</v>
      </c>
      <c r="ED25" s="20" t="n">
        <v>0</v>
      </c>
      <c r="EE25" s="20" t="n">
        <v>0</v>
      </c>
      <c r="EF25" s="20" t="n">
        <v>0</v>
      </c>
      <c r="EG25" s="20" t="n">
        <v>0</v>
      </c>
      <c r="EH25" s="20" t="n">
        <v>0</v>
      </c>
      <c r="EI25" s="20" t="n">
        <v>0</v>
      </c>
      <c r="EJ25" s="20" t="n">
        <v>0</v>
      </c>
      <c r="EK25" s="20" t="n">
        <v>0</v>
      </c>
      <c r="EL25" s="20" t="n">
        <v>0</v>
      </c>
      <c r="EM25" s="20" t="n">
        <v>0</v>
      </c>
      <c r="EN25" s="20" t="n">
        <v>0</v>
      </c>
      <c r="EO25" s="20" t="n">
        <v>0</v>
      </c>
      <c r="EP25" s="20" t="n">
        <v>0</v>
      </c>
      <c r="EQ25" s="20" t="n">
        <v>0</v>
      </c>
      <c r="ER25" s="20" t="n">
        <v>0</v>
      </c>
      <c r="ES25" s="20" t="n">
        <v>0</v>
      </c>
      <c r="ET25" s="20" t="n">
        <v>0</v>
      </c>
      <c r="EU25" s="20" t="n">
        <v>0</v>
      </c>
      <c r="EV25" s="20" t="n">
        <v>0</v>
      </c>
      <c r="EW25" s="20" t="n">
        <v>0</v>
      </c>
      <c r="EX25" s="20" t="n">
        <v>0</v>
      </c>
      <c r="EY25" s="20" t="n">
        <v>0</v>
      </c>
      <c r="EZ25" s="20" t="n">
        <v>0</v>
      </c>
      <c r="FA25" s="20" t="n">
        <v>0</v>
      </c>
      <c r="FB25" s="20" t="n">
        <v>0</v>
      </c>
      <c r="FC25" s="20" t="n">
        <v>0</v>
      </c>
      <c r="FD25" s="20" t="n">
        <v>0</v>
      </c>
      <c r="FE25" s="20" t="n">
        <f aca="false">IF(H_Direct=1,IF(AKR24&lt;=0,0,IF(BR25&lt;=0,AKR24,AKR24-G25*MAX(0,BR25*AKR24-(H25+I25)))),AKR24*(1-MAX(0,BR25)*H_Exit))</f>
        <v>0</v>
      </c>
      <c r="FF25" s="20" t="n">
        <f aca="false">IF(H_Direct=1,IF(AKS24&lt;=0,0,IF(BS25&lt;=0,AKS24,AKS24-G25*MAX(0,BS25*AKS24-(IR25+ME25)))),AKS24*(1-MAX(0,BS25)*H_Exit))</f>
        <v>0</v>
      </c>
      <c r="FG25" s="20" t="n">
        <f aca="false">IF(H_Direct=1,IF(AKT24&lt;=0,0,IF(BT25&lt;=0,AKT24,AKT24-G25*MAX(0,BT25*AKT24-(IS25+MF25)))),AKT24*(1-MAX(0,BT25)*H_Exit))</f>
        <v>0</v>
      </c>
      <c r="FH25" s="20" t="n">
        <f aca="false">IF(H_Direct=1,IF(AKU24&lt;=0,0,IF(BU25&lt;=0,AKU24,AKU24-G25*MAX(0,BU25*AKU24-(IT25+MG25)))),AKU24*(1-MAX(0,BU25)*H_Exit))</f>
        <v>0</v>
      </c>
      <c r="FI25" s="20" t="n">
        <f aca="false">IF(H_Direct=1,IF(AKV24&lt;=0,0,IF(BV25&lt;=0,AKV24,AKV24-G25*MAX(0,BV25*AKV24-(IU25+MH25)))),AKV24*(1-MAX(0,BV25)*H_Exit))</f>
        <v>0</v>
      </c>
      <c r="FJ25" s="20" t="n">
        <f aca="false">IF(H_Direct=1,IF(AKW24&lt;=0,0,IF(BW25&lt;=0,AKW24,AKW24-G25*MAX(0,BW25*AKW24-(IV25+MI25)))),AKW24*(1-MAX(0,BW25)*H_Exit))</f>
        <v>0</v>
      </c>
      <c r="FK25" s="20" t="n">
        <f aca="false">IF(H_Direct=1,IF(AKX24&lt;=0,0,IF(BX25&lt;=0,AKX24,AKX24-G25*MAX(0,BX25*AKX24-(IW25+MJ25)))),AKX24*(1-MAX(0,BX25)*H_Exit))</f>
        <v>0</v>
      </c>
      <c r="FL25" s="20" t="n">
        <f aca="false">IF(H_Direct=1,IF(AKY24&lt;=0,0,IF(BY25&lt;=0,AKY24,AKY24-G25*MAX(0,BY25*AKY24-(IX25+MK25)))),AKY24*(1-MAX(0,BY25)*H_Exit))</f>
        <v>0</v>
      </c>
      <c r="FM25" s="20" t="n">
        <f aca="false">IF(H_Direct=1,IF(AKZ24&lt;=0,0,IF(BZ25&lt;=0,AKZ24,AKZ24-G25*MAX(0,BZ25*AKZ24-(IY25+ML25)))),AKZ24*(1-MAX(0,BZ25)*H_Exit))</f>
        <v>0</v>
      </c>
      <c r="FN25" s="20" t="n">
        <f aca="false">IF(H_Direct=1,IF(ALA24&lt;=0,0,IF(CA25&lt;=0,ALA24,ALA24-G25*MAX(0,CA25*ALA24-(IZ25+MM25)))),ALA24*(1-MAX(0,CA25)*H_Exit))</f>
        <v>0</v>
      </c>
      <c r="FO25" s="20" t="n">
        <f aca="false">IF(H_Direct=1,IF(ALB24&lt;=0,0,IF(CB25&lt;=0,ALB24,ALB24-G25*MAX(0,CB25*ALB24-(JA25+MN25)))),ALB24*(1-MAX(0,CB25)*H_Exit))</f>
        <v>0</v>
      </c>
      <c r="FP25" s="20" t="n">
        <f aca="false">IF(H_Direct=1,IF(ALC24&lt;=0,0,IF(CC25&lt;=0,ALC24,ALC24-G25*MAX(0,CC25*ALC24-(JB25+MO25)))),ALC24*(1-MAX(0,CC25)*H_Exit))</f>
        <v>653.758739788143</v>
      </c>
      <c r="FQ25" s="20" t="n">
        <f aca="false">IF(H_Direct=1,IF(ALD24&lt;=0,0,IF(CD25&lt;=0,ALD24,ALD24-G25*MAX(0,CD25*ALD24-(JC25+MP25)))),ALD24*(1-MAX(0,CD25)*H_Exit))</f>
        <v>832.860764397733</v>
      </c>
      <c r="FR25" s="20" t="n">
        <f aca="false">IF(H_Direct=1,IF(ALE24&lt;=0,0,IF(CE25&lt;=0,ALE24,ALE24-G25*MAX(0,CE25*ALE24-(JD25+MQ25)))),ALE24*(1-MAX(0,CE25)*H_Exit))</f>
        <v>1009.71134106432</v>
      </c>
      <c r="FS25" s="20" t="n">
        <f aca="false">IF(H_Direct=1,IF(ALF24&lt;=0,0,IF(CF25&lt;=0,ALF24,ALF24-G25*MAX(0,CF25*ALF24-(JE25+MR25)))),ALF24*(1-MAX(0,CF25)*H_Exit))</f>
        <v>1150.6404937378</v>
      </c>
      <c r="FT25" s="20" t="n">
        <f aca="false">IF(H_Direct=1,IF(ALG24&lt;=0,0,IF(CG25&lt;=0,ALG24,ALG24-G25*MAX(0,CG25*ALG24-(JF25+MS25)))),ALG24*(1-MAX(0,CG25)*H_Exit))</f>
        <v>1121.79778846225</v>
      </c>
      <c r="FU25" s="20" t="n">
        <f aca="false">IF(H_Direct=1,IF(ALH24&lt;=0,0,IF(CH25&lt;=0,ALH24,ALH24-G25*MAX(0,CH25*ALH24-(JG25+MT25)))),ALH24*(1-MAX(0,CH25)*H_Exit))</f>
        <v>1093.41562025804</v>
      </c>
      <c r="FV25" s="20" t="n">
        <f aca="false">IF(H_Direct=1,IF(ALI24&lt;=0,0,IF(CI25&lt;=0,ALI24,ALI24-G25*MAX(0,CI25*ALI24-(JH25+MU25)))),ALI24*(1-MAX(0,CI25)*H_Exit))</f>
        <v>1065.46756984805</v>
      </c>
      <c r="FW25" s="20" t="n">
        <f aca="false">IF(H_Direct=1,IF((P25+S25)&lt;=0,0,IF(CJ25&lt;=0,(P25+S25),(P25+S25)-G25*MAX(0,CJ25*(P25+S25)-(JI25+MV25)))),(P25+S25)*(1-MAX(0,CJ25)*H_Exit))</f>
        <v>0</v>
      </c>
      <c r="FX25" s="20" t="n">
        <v>0</v>
      </c>
      <c r="FY25" s="20" t="n">
        <v>0</v>
      </c>
      <c r="FZ25" s="20" t="n">
        <v>0</v>
      </c>
      <c r="GA25" s="20" t="n">
        <v>0</v>
      </c>
      <c r="GB25" s="20" t="n">
        <v>0</v>
      </c>
      <c r="GC25" s="20" t="n">
        <v>0</v>
      </c>
      <c r="GD25" s="20" t="n">
        <v>0</v>
      </c>
      <c r="GE25" s="20" t="n">
        <v>0</v>
      </c>
      <c r="GF25" s="20" t="n">
        <v>0</v>
      </c>
      <c r="GG25" s="20" t="n">
        <v>0</v>
      </c>
      <c r="GH25" s="20" t="n">
        <v>0</v>
      </c>
      <c r="GI25" s="20" t="n">
        <v>0</v>
      </c>
      <c r="GJ25" s="20" t="n">
        <v>0</v>
      </c>
      <c r="GK25" s="20" t="n">
        <v>0</v>
      </c>
      <c r="GL25" s="20" t="n">
        <v>0</v>
      </c>
      <c r="GM25" s="20" t="n">
        <v>0</v>
      </c>
      <c r="GN25" s="20" t="n">
        <v>0</v>
      </c>
      <c r="GO25" s="20" t="n">
        <v>0</v>
      </c>
      <c r="GP25" s="20" t="n">
        <v>0</v>
      </c>
      <c r="GQ25" s="20" t="n">
        <v>0</v>
      </c>
      <c r="GR25" s="20" t="n">
        <v>0</v>
      </c>
      <c r="GS25" s="20" t="n">
        <v>0</v>
      </c>
      <c r="GT25" s="20" t="n">
        <v>0</v>
      </c>
      <c r="GU25" s="20" t="n">
        <v>0</v>
      </c>
      <c r="GV25" s="20" t="n">
        <v>0</v>
      </c>
      <c r="GW25" s="20" t="n">
        <v>0</v>
      </c>
      <c r="GX25" s="20" t="n">
        <v>0</v>
      </c>
      <c r="GY25" s="20" t="n">
        <v>0</v>
      </c>
      <c r="GZ25" s="20" t="n">
        <v>0</v>
      </c>
      <c r="HA25" s="20" t="n">
        <v>0</v>
      </c>
      <c r="HB25" s="20" t="n">
        <v>0</v>
      </c>
      <c r="HC25" s="20" t="n">
        <v>0</v>
      </c>
      <c r="HD25" s="20" t="n">
        <v>0</v>
      </c>
      <c r="HE25" s="20" t="n">
        <v>0</v>
      </c>
      <c r="HF25" s="20" t="n">
        <v>0</v>
      </c>
      <c r="HG25" s="20" t="n">
        <v>0</v>
      </c>
      <c r="HH25" s="20" t="n">
        <v>0</v>
      </c>
      <c r="HI25" s="20" t="n">
        <v>0</v>
      </c>
      <c r="HJ25" s="20" t="n">
        <v>0</v>
      </c>
      <c r="HK25" s="20" t="n">
        <v>0</v>
      </c>
      <c r="HL25" s="20" t="n">
        <v>0</v>
      </c>
      <c r="HM25" s="20" t="n">
        <v>0</v>
      </c>
      <c r="HN25" s="20" t="n">
        <v>0</v>
      </c>
      <c r="HO25" s="20" t="n">
        <v>0</v>
      </c>
      <c r="HP25" s="20" t="n">
        <v>0</v>
      </c>
      <c r="HQ25" s="20" t="n">
        <v>0</v>
      </c>
      <c r="HR25" s="20" t="n">
        <v>0</v>
      </c>
      <c r="HS25" s="20" t="n">
        <v>0</v>
      </c>
      <c r="HT25" s="20" t="n">
        <v>0</v>
      </c>
      <c r="HU25" s="20" t="n">
        <v>0</v>
      </c>
      <c r="HV25" s="20" t="n">
        <v>0</v>
      </c>
      <c r="HW25" s="20" t="n">
        <v>0</v>
      </c>
      <c r="HX25" s="20" t="n">
        <v>0</v>
      </c>
      <c r="HY25" s="20" t="n">
        <v>0</v>
      </c>
      <c r="HZ25" s="20" t="n">
        <v>0</v>
      </c>
      <c r="IA25" s="20" t="n">
        <v>0</v>
      </c>
      <c r="IB25" s="20" t="n">
        <v>0</v>
      </c>
      <c r="IC25" s="20" t="n">
        <v>0</v>
      </c>
      <c r="ID25" s="20" t="n">
        <v>0</v>
      </c>
      <c r="IE25" s="20" t="n">
        <v>0</v>
      </c>
      <c r="IF25" s="20" t="n">
        <v>0</v>
      </c>
      <c r="IG25" s="20" t="n">
        <v>0</v>
      </c>
      <c r="IH25" s="20" t="n">
        <v>0</v>
      </c>
      <c r="II25" s="20" t="n">
        <v>0</v>
      </c>
      <c r="IJ25" s="20" t="n">
        <v>0</v>
      </c>
      <c r="IK25" s="20" t="n">
        <v>0</v>
      </c>
      <c r="IL25" s="20" t="n">
        <v>0</v>
      </c>
      <c r="IM25" s="20" t="n">
        <v>0</v>
      </c>
      <c r="IN25" s="20" t="n">
        <v>0</v>
      </c>
      <c r="IO25" s="20" t="n">
        <v>0</v>
      </c>
      <c r="IP25" s="20" t="n">
        <v>0</v>
      </c>
      <c r="IQ25" s="20" t="n">
        <v>0</v>
      </c>
      <c r="IR25" s="20" t="n">
        <f aca="false">IF(AND(H_Direct=1,BR25&gt;0),MAX(0,H25-(MIN(BR25*AKR24,H25+I25)-MIN(MIN(BR25*AKR24,H25+I25),I25))),H25)</f>
        <v>1270</v>
      </c>
      <c r="IS25" s="20" t="n">
        <f aca="false">IF(AND(H_Direct=1,BS25&gt;0),MAX(0,IR25-(MIN(BS25*AKS24,IR25+ME25)-MIN(MIN(BS25*AKS24,IR25+ME25),ME25))),IR25)</f>
        <v>1270</v>
      </c>
      <c r="IT25" s="20" t="n">
        <f aca="false">IF(AND(H_Direct=1,BT25&gt;0),MAX(0,IS25-(MIN(BT25*AKT24,IS25+MF25)-MIN(MIN(BT25*AKT24,IS25+MF25),MF25))),IS25)</f>
        <v>1270</v>
      </c>
      <c r="IU25" s="20" t="n">
        <f aca="false">IF(AND(H_Direct=1,BU25&gt;0),MAX(0,IT25-(MIN(BU25*AKU24,IT25+MG25)-MIN(MIN(BU25*AKU24,IT25+MG25),MG25))),IT25)</f>
        <v>1270</v>
      </c>
      <c r="IV25" s="20" t="n">
        <f aca="false">IF(AND(H_Direct=1,BV25&gt;0),MAX(0,IU25-(MIN(BV25*AKV24,IU25+MH25)-MIN(MIN(BV25*AKV24,IU25+MH25),MH25))),IU25)</f>
        <v>1270</v>
      </c>
      <c r="IW25" s="20" t="n">
        <f aca="false">IF(AND(H_Direct=1,BW25&gt;0),MAX(0,IV25-(MIN(BW25*AKW24,IV25+MI25)-MIN(MIN(BW25*AKW24,IV25+MI25),MI25))),IV25)</f>
        <v>1270</v>
      </c>
      <c r="IX25" s="20" t="n">
        <f aca="false">IF(AND(H_Direct=1,BX25&gt;0),MAX(0,IW25-(MIN(BX25*AKX24,IW25+MJ25)-MIN(MIN(BX25*AKX24,IW25+MJ25),MJ25))),IW25)</f>
        <v>1270</v>
      </c>
      <c r="IY25" s="20" t="n">
        <f aca="false">IF(AND(H_Direct=1,BY25&gt;0),MAX(0,IX25-(MIN(BY25*AKY24,IX25+MK25)-MIN(MIN(BY25*AKY24,IX25+MK25),MK25))),IX25)</f>
        <v>1270</v>
      </c>
      <c r="IZ25" s="20" t="n">
        <f aca="false">IF(AND(H_Direct=1,BZ25&gt;0),MAX(0,IY25-(MIN(BZ25*AKZ24,IY25+ML25)-MIN(MIN(BZ25*AKZ24,IY25+ML25),ML25))),IY25)</f>
        <v>1270</v>
      </c>
      <c r="JA25" s="20" t="n">
        <f aca="false">IF(AND(H_Direct=1,CA25&gt;0),MAX(0,IZ25-(MIN(CA25*ALA24,IZ25+MM25)-MIN(MIN(CA25*ALA24,IZ25+MM25),MM25))),IZ25)</f>
        <v>1270</v>
      </c>
      <c r="JB25" s="20" t="n">
        <f aca="false">IF(AND(H_Direct=1,CB25&gt;0),MAX(0,JA25-(MIN(CB25*ALB24,JA25+MN25)-MIN(MIN(CB25*ALB24,JA25+MN25),MN25))),JA25)</f>
        <v>1270</v>
      </c>
      <c r="JC25" s="20" t="n">
        <f aca="false">IF(AND(H_Direct=1,CC25&gt;0),MAX(0,JB25-(MIN(CC25*ALC24,JB25+MO25)-MIN(MIN(CC25*ALC24,JB25+MO25),MO25))),JB25)</f>
        <v>1270</v>
      </c>
      <c r="JD25" s="20" t="n">
        <f aca="false">IF(AND(H_Direct=1,CD25&gt;0),MAX(0,JC25-(MIN(CD25*ALD24,JC25+MP25)-MIN(MIN(CD25*ALD24,JC25+MP25),MP25))),JC25)</f>
        <v>1270</v>
      </c>
      <c r="JE25" s="20" t="n">
        <f aca="false">IF(AND(H_Direct=1,CE25&gt;0),MAX(0,JD25-(MIN(CE25*ALE24,JD25+MQ25)-MIN(MIN(CE25*ALE24,JD25+MQ25),MQ25))),JD25)</f>
        <v>1270</v>
      </c>
      <c r="JF25" s="20" t="n">
        <f aca="false">IF(AND(H_Direct=1,CF25&gt;0),MAX(0,JE25-(MIN(CF25*ALF24,JE25+MR25)-MIN(MIN(CF25*ALF24,JE25+MR25),MR25))),JE25)</f>
        <v>1270</v>
      </c>
      <c r="JG25" s="20" t="n">
        <f aca="false">IF(AND(H_Direct=1,CG25&gt;0),MAX(0,JF25-(MIN(CG25*ALG24,JF25+MS25)-MIN(MIN(CG25*ALG24,JF25+MS25),MS25))),JF25)</f>
        <v>1270</v>
      </c>
      <c r="JH25" s="20" t="n">
        <f aca="false">IF(AND(H_Direct=1,CH25&gt;0),MAX(0,JG25-(MIN(CH25*ALH24,JG25+MT25)-MIN(MIN(CH25*ALH24,JG25+MT25),MT25))),JG25)</f>
        <v>1270</v>
      </c>
      <c r="JI25" s="20" t="n">
        <f aca="false">IF(AND(H_Direct=1,CI25&gt;0),MAX(0,JH25-(MIN(CI25*ALI24,JH25+MU25)-MIN(MIN(CI25*ALI24,JH25+MU25),MU25))),JH25)</f>
        <v>1270</v>
      </c>
      <c r="JJ25" s="20" t="n">
        <f aca="false">IF(AND(H_Direct=1,CJ25&gt;0),MAX(0,JI25-(MIN(CJ25*(P25+S25),JI25+MV25)-MIN(MIN(CJ25*(P25+S25),JI25+MV25),MV25))),JI25)</f>
        <v>1270</v>
      </c>
      <c r="JK25" s="20" t="n">
        <f aca="false">JJ25</f>
        <v>1270</v>
      </c>
      <c r="JL25" s="20" t="n">
        <f aca="false">JK25</f>
        <v>1270</v>
      </c>
      <c r="JM25" s="20" t="n">
        <f aca="false">JL25</f>
        <v>1270</v>
      </c>
      <c r="JN25" s="20" t="n">
        <f aca="false">JM25</f>
        <v>1270</v>
      </c>
      <c r="JO25" s="20" t="n">
        <f aca="false">JN25</f>
        <v>1270</v>
      </c>
      <c r="JP25" s="20" t="n">
        <f aca="false">JO25</f>
        <v>1270</v>
      </c>
      <c r="JQ25" s="20" t="n">
        <f aca="false">JP25</f>
        <v>1270</v>
      </c>
      <c r="JR25" s="20" t="n">
        <f aca="false">JQ25</f>
        <v>1270</v>
      </c>
      <c r="JS25" s="20" t="n">
        <f aca="false">JR25</f>
        <v>1270</v>
      </c>
      <c r="JT25" s="20" t="n">
        <f aca="false">JS25</f>
        <v>1270</v>
      </c>
      <c r="JU25" s="20" t="n">
        <f aca="false">JT25</f>
        <v>1270</v>
      </c>
      <c r="JV25" s="20" t="n">
        <f aca="false">JU25</f>
        <v>1270</v>
      </c>
      <c r="JW25" s="20" t="n">
        <f aca="false">JV25</f>
        <v>1270</v>
      </c>
      <c r="JX25" s="20" t="n">
        <f aca="false">JW25</f>
        <v>1270</v>
      </c>
      <c r="JY25" s="20" t="n">
        <f aca="false">JX25</f>
        <v>1270</v>
      </c>
      <c r="JZ25" s="20" t="n">
        <f aca="false">JY25</f>
        <v>1270</v>
      </c>
      <c r="KA25" s="20" t="n">
        <f aca="false">JZ25</f>
        <v>1270</v>
      </c>
      <c r="KB25" s="20" t="n">
        <f aca="false">KA25</f>
        <v>1270</v>
      </c>
      <c r="KC25" s="20" t="n">
        <f aca="false">KB25</f>
        <v>1270</v>
      </c>
      <c r="KD25" s="20" t="n">
        <f aca="false">KC25</f>
        <v>1270</v>
      </c>
      <c r="KE25" s="20" t="n">
        <f aca="false">KD25</f>
        <v>1270</v>
      </c>
      <c r="KF25" s="20" t="n">
        <f aca="false">KE25</f>
        <v>1270</v>
      </c>
      <c r="KG25" s="20" t="n">
        <f aca="false">KF25</f>
        <v>1270</v>
      </c>
      <c r="KH25" s="20" t="n">
        <f aca="false">KG25</f>
        <v>1270</v>
      </c>
      <c r="KI25" s="20" t="n">
        <f aca="false">KH25</f>
        <v>1270</v>
      </c>
      <c r="KJ25" s="20" t="n">
        <f aca="false">KI25</f>
        <v>1270</v>
      </c>
      <c r="KK25" s="20" t="n">
        <f aca="false">KJ25</f>
        <v>1270</v>
      </c>
      <c r="KL25" s="20" t="n">
        <f aca="false">KK25</f>
        <v>1270</v>
      </c>
      <c r="KM25" s="20" t="n">
        <f aca="false">KL25</f>
        <v>1270</v>
      </c>
      <c r="KN25" s="20" t="n">
        <f aca="false">KM25</f>
        <v>1270</v>
      </c>
      <c r="KO25" s="20" t="n">
        <f aca="false">KN25</f>
        <v>1270</v>
      </c>
      <c r="KP25" s="20" t="n">
        <f aca="false">KO25</f>
        <v>1270</v>
      </c>
      <c r="KQ25" s="20" t="n">
        <f aca="false">KP25</f>
        <v>1270</v>
      </c>
      <c r="KR25" s="20" t="n">
        <f aca="false">KQ25</f>
        <v>1270</v>
      </c>
      <c r="KS25" s="20" t="n">
        <f aca="false">KR25</f>
        <v>1270</v>
      </c>
      <c r="KT25" s="20" t="n">
        <f aca="false">KS25</f>
        <v>1270</v>
      </c>
      <c r="KU25" s="20" t="n">
        <f aca="false">KT25</f>
        <v>1270</v>
      </c>
      <c r="KV25" s="20" t="n">
        <f aca="false">KU25</f>
        <v>1270</v>
      </c>
      <c r="KW25" s="20" t="n">
        <f aca="false">KV25</f>
        <v>1270</v>
      </c>
      <c r="KX25" s="20" t="n">
        <f aca="false">KW25</f>
        <v>1270</v>
      </c>
      <c r="KY25" s="20" t="n">
        <f aca="false">KX25</f>
        <v>1270</v>
      </c>
      <c r="KZ25" s="20" t="n">
        <f aca="false">KY25</f>
        <v>1270</v>
      </c>
      <c r="LA25" s="20" t="n">
        <f aca="false">KZ25</f>
        <v>1270</v>
      </c>
      <c r="LB25" s="20" t="n">
        <f aca="false">LA25</f>
        <v>1270</v>
      </c>
      <c r="LC25" s="20" t="n">
        <f aca="false">LB25</f>
        <v>1270</v>
      </c>
      <c r="LD25" s="20" t="n">
        <f aca="false">LC25</f>
        <v>1270</v>
      </c>
      <c r="LE25" s="20" t="n">
        <f aca="false">LD25</f>
        <v>1270</v>
      </c>
      <c r="LF25" s="20" t="n">
        <f aca="false">LE25</f>
        <v>1270</v>
      </c>
      <c r="LG25" s="20" t="n">
        <f aca="false">LF25</f>
        <v>1270</v>
      </c>
      <c r="LH25" s="20" t="n">
        <f aca="false">LG25</f>
        <v>1270</v>
      </c>
      <c r="LI25" s="20" t="n">
        <f aca="false">LH25</f>
        <v>1270</v>
      </c>
      <c r="LJ25" s="20" t="n">
        <f aca="false">LI25</f>
        <v>1270</v>
      </c>
      <c r="LK25" s="20" t="n">
        <f aca="false">LJ25</f>
        <v>1270</v>
      </c>
      <c r="LL25" s="20" t="n">
        <f aca="false">LK25</f>
        <v>1270</v>
      </c>
      <c r="LM25" s="20" t="n">
        <f aca="false">LL25</f>
        <v>1270</v>
      </c>
      <c r="LN25" s="20" t="n">
        <f aca="false">LM25</f>
        <v>1270</v>
      </c>
      <c r="LO25" s="20" t="n">
        <f aca="false">LN25</f>
        <v>1270</v>
      </c>
      <c r="LP25" s="20" t="n">
        <f aca="false">LO25</f>
        <v>1270</v>
      </c>
      <c r="LQ25" s="20" t="n">
        <f aca="false">LP25</f>
        <v>1270</v>
      </c>
      <c r="LR25" s="20" t="n">
        <f aca="false">LQ25</f>
        <v>1270</v>
      </c>
      <c r="LS25" s="20" t="n">
        <f aca="false">LR25</f>
        <v>1270</v>
      </c>
      <c r="LT25" s="20" t="n">
        <f aca="false">LS25</f>
        <v>1270</v>
      </c>
      <c r="LU25" s="20" t="n">
        <f aca="false">LT25</f>
        <v>1270</v>
      </c>
      <c r="LV25" s="20" t="n">
        <f aca="false">LU25</f>
        <v>1270</v>
      </c>
      <c r="LW25" s="20" t="n">
        <f aca="false">LV25</f>
        <v>1270</v>
      </c>
      <c r="LX25" s="20" t="n">
        <f aca="false">LW25</f>
        <v>1270</v>
      </c>
      <c r="LY25" s="20" t="n">
        <f aca="false">LX25</f>
        <v>1270</v>
      </c>
      <c r="LZ25" s="20" t="n">
        <f aca="false">LY25</f>
        <v>1270</v>
      </c>
      <c r="MA25" s="20" t="n">
        <f aca="false">LZ25</f>
        <v>1270</v>
      </c>
      <c r="MB25" s="20" t="n">
        <f aca="false">MA25</f>
        <v>1270</v>
      </c>
      <c r="MC25" s="20" t="n">
        <f aca="false">MB25</f>
        <v>1270</v>
      </c>
      <c r="MD25" s="20" t="n">
        <f aca="false">MC25</f>
        <v>1270</v>
      </c>
      <c r="ME25" s="20" t="n">
        <f aca="false">IF(H_Direct=1,IF(BR25&lt;=0,I25-BR25*AKR24,I25-MIN(MIN(BR25*AKR24,H25+I25),I25)),I25)</f>
        <v>0</v>
      </c>
      <c r="MF25" s="20" t="n">
        <f aca="false">IF(H_Direct=1,IF(BS25&lt;=0,ME25-BS25*AKS24,ME25-MIN(MIN(BS25*AKS24,IR25+ME25),ME25)),ME25)</f>
        <v>0</v>
      </c>
      <c r="MG25" s="20" t="n">
        <f aca="false">IF(H_Direct=1,IF(BT25&lt;=0,MF25-BT25*AKT24,MF25-MIN(MIN(BT25*AKT24,IS25+MF25),MF25)),MF25)</f>
        <v>0</v>
      </c>
      <c r="MH25" s="20" t="n">
        <f aca="false">IF(H_Direct=1,IF(BU25&lt;=0,MG25-BU25*AKU24,MG25-MIN(MIN(BU25*AKU24,IT25+MG25),MG25)),MG25)</f>
        <v>0</v>
      </c>
      <c r="MI25" s="20" t="n">
        <f aca="false">IF(H_Direct=1,IF(BV25&lt;=0,MH25-BV25*AKV24,MH25-MIN(MIN(BV25*AKV24,IU25+MH25),MH25)),MH25)</f>
        <v>0</v>
      </c>
      <c r="MJ25" s="20" t="n">
        <f aca="false">IF(H_Direct=1,IF(BW25&lt;=0,MI25-BW25*AKW24,MI25-MIN(MIN(BW25*AKW24,IV25+MI25),MI25)),MI25)</f>
        <v>0</v>
      </c>
      <c r="MK25" s="20" t="n">
        <f aca="false">IF(H_Direct=1,IF(BX25&lt;=0,MJ25-BX25*AKX24,MJ25-MIN(MIN(BX25*AKX24,IW25+MJ25),MJ25)),MJ25)</f>
        <v>0</v>
      </c>
      <c r="ML25" s="20" t="n">
        <f aca="false">IF(H_Direct=1,IF(BY25&lt;=0,MK25-BY25*AKY24,MK25-MIN(MIN(BY25*AKY24,IX25+MK25),MK25)),MK25)</f>
        <v>0</v>
      </c>
      <c r="MM25" s="20" t="n">
        <f aca="false">IF(H_Direct=1,IF(BZ25&lt;=0,ML25-BZ25*AKZ24,ML25-MIN(MIN(BZ25*AKZ24,IY25+ML25),ML25)),ML25)</f>
        <v>0</v>
      </c>
      <c r="MN25" s="20" t="n">
        <f aca="false">IF(H_Direct=1,IF(CA25&lt;=0,MM25-CA25*ALA24,MM25-MIN(MIN(CA25*ALA24,IZ25+MM25),MM25)),MM25)</f>
        <v>0</v>
      </c>
      <c r="MO25" s="20" t="n">
        <f aca="false">IF(H_Direct=1,IF(CB25&lt;=0,MN25-CB25*ALB24,MN25-MIN(MIN(CB25*ALB24,JA25+MN25),MN25)),MN25)</f>
        <v>0</v>
      </c>
      <c r="MP25" s="20" t="n">
        <f aca="false">IF(H_Direct=1,IF(CC25&lt;=0,MO25-CC25*ALC24,MO25-MIN(MIN(CC25*ALC24,JB25+MO25),MO25)),MO25)</f>
        <v>0</v>
      </c>
      <c r="MQ25" s="20" t="n">
        <f aca="false">IF(H_Direct=1,IF(CD25&lt;=0,MP25-CD25*ALD24,MP25-MIN(MIN(CD25*ALD24,JC25+MP25),MP25)),MP25)</f>
        <v>0</v>
      </c>
      <c r="MR25" s="20" t="n">
        <f aca="false">IF(H_Direct=1,IF(CE25&lt;=0,MQ25-CE25*ALE24,MQ25-MIN(MIN(CE25*ALE24,JD25+MQ25),MQ25)),MQ25)</f>
        <v>0</v>
      </c>
      <c r="MS25" s="20" t="n">
        <f aca="false">IF(H_Direct=1,IF(CF25&lt;=0,MR25-CF25*ALF24,MR25-MIN(MIN(CF25*ALF24,JE25+MR25),MR25)),MR25)</f>
        <v>0</v>
      </c>
      <c r="MT25" s="20" t="n">
        <f aca="false">IF(H_Direct=1,IF(CG25&lt;=0,MS25-CG25*ALG24,MS25-MIN(MIN(CG25*ALG24,JF25+MS25),MS25)),MS25)</f>
        <v>0</v>
      </c>
      <c r="MU25" s="20" t="n">
        <f aca="false">IF(H_Direct=1,IF(CH25&lt;=0,MT25-CH25*ALH24,MT25-MIN(MIN(CH25*ALH24,JG25+MT25),MT25)),MT25)</f>
        <v>0</v>
      </c>
      <c r="MV25" s="20" t="n">
        <f aca="false">IF(H_Direct=1,IF(CI25&lt;=0,MU25-CI25*ALI24,MU25-MIN(MIN(CI25*ALI24,JH25+MU25),MU25)),MU25)</f>
        <v>0</v>
      </c>
      <c r="MW25" s="20" t="n">
        <f aca="false">IF(H_Direct=1,IF(CJ25&lt;=0,MV25-CJ25*(P25+S25),MV25-MIN(MIN(CJ25*(P25+S25),JI25+MV25),MV25)),MV25)</f>
        <v>0</v>
      </c>
      <c r="MX25" s="20" t="n">
        <f aca="false">MW25</f>
        <v>0</v>
      </c>
      <c r="MY25" s="20" t="n">
        <f aca="false">MX25</f>
        <v>0</v>
      </c>
      <c r="MZ25" s="20" t="n">
        <f aca="false">MY25</f>
        <v>0</v>
      </c>
      <c r="NA25" s="20" t="n">
        <f aca="false">MZ25</f>
        <v>0</v>
      </c>
      <c r="NB25" s="20" t="n">
        <f aca="false">NA25</f>
        <v>0</v>
      </c>
      <c r="NC25" s="20" t="n">
        <f aca="false">NB25</f>
        <v>0</v>
      </c>
      <c r="ND25" s="20" t="n">
        <f aca="false">NC25</f>
        <v>0</v>
      </c>
      <c r="NE25" s="20" t="n">
        <f aca="false">ND25</f>
        <v>0</v>
      </c>
      <c r="NF25" s="20" t="n">
        <f aca="false">NE25</f>
        <v>0</v>
      </c>
      <c r="NG25" s="20" t="n">
        <f aca="false">NF25</f>
        <v>0</v>
      </c>
      <c r="NH25" s="20" t="n">
        <f aca="false">NG25</f>
        <v>0</v>
      </c>
      <c r="NI25" s="20" t="n">
        <f aca="false">NH25</f>
        <v>0</v>
      </c>
      <c r="NJ25" s="20" t="n">
        <f aca="false">NI25</f>
        <v>0</v>
      </c>
      <c r="NK25" s="20" t="n">
        <f aca="false">NJ25</f>
        <v>0</v>
      </c>
      <c r="NL25" s="20" t="n">
        <f aca="false">NK25</f>
        <v>0</v>
      </c>
      <c r="NM25" s="20" t="n">
        <f aca="false">NL25</f>
        <v>0</v>
      </c>
      <c r="NN25" s="20" t="n">
        <f aca="false">NM25</f>
        <v>0</v>
      </c>
      <c r="NO25" s="20" t="n">
        <f aca="false">NN25</f>
        <v>0</v>
      </c>
      <c r="NP25" s="20" t="n">
        <f aca="false">NO25</f>
        <v>0</v>
      </c>
      <c r="NQ25" s="20" t="n">
        <f aca="false">NP25</f>
        <v>0</v>
      </c>
      <c r="NR25" s="20" t="n">
        <f aca="false">NQ25</f>
        <v>0</v>
      </c>
      <c r="NS25" s="20" t="n">
        <f aca="false">NR25</f>
        <v>0</v>
      </c>
      <c r="NT25" s="20" t="n">
        <f aca="false">NS25</f>
        <v>0</v>
      </c>
      <c r="NU25" s="20" t="n">
        <f aca="false">NT25</f>
        <v>0</v>
      </c>
      <c r="NV25" s="20" t="n">
        <f aca="false">NU25</f>
        <v>0</v>
      </c>
      <c r="NW25" s="20" t="n">
        <f aca="false">NV25</f>
        <v>0</v>
      </c>
      <c r="NX25" s="20" t="n">
        <f aca="false">NW25</f>
        <v>0</v>
      </c>
      <c r="NY25" s="20" t="n">
        <f aca="false">NX25</f>
        <v>0</v>
      </c>
      <c r="NZ25" s="20" t="n">
        <f aca="false">NY25</f>
        <v>0</v>
      </c>
      <c r="OA25" s="20" t="n">
        <f aca="false">NZ25</f>
        <v>0</v>
      </c>
      <c r="OB25" s="20" t="n">
        <f aca="false">OA25</f>
        <v>0</v>
      </c>
      <c r="OC25" s="20" t="n">
        <f aca="false">OB25</f>
        <v>0</v>
      </c>
      <c r="OD25" s="20" t="n">
        <f aca="false">OC25</f>
        <v>0</v>
      </c>
      <c r="OE25" s="20" t="n">
        <f aca="false">OD25</f>
        <v>0</v>
      </c>
      <c r="OF25" s="20" t="n">
        <f aca="false">OE25</f>
        <v>0</v>
      </c>
      <c r="OG25" s="20" t="n">
        <f aca="false">OF25</f>
        <v>0</v>
      </c>
      <c r="OH25" s="20" t="n">
        <f aca="false">OG25</f>
        <v>0</v>
      </c>
      <c r="OI25" s="20" t="n">
        <f aca="false">OH25</f>
        <v>0</v>
      </c>
      <c r="OJ25" s="20" t="n">
        <f aca="false">OI25</f>
        <v>0</v>
      </c>
      <c r="OK25" s="20" t="n">
        <f aca="false">OJ25</f>
        <v>0</v>
      </c>
      <c r="OL25" s="20" t="n">
        <f aca="false">OK25</f>
        <v>0</v>
      </c>
      <c r="OM25" s="20" t="n">
        <f aca="false">OL25</f>
        <v>0</v>
      </c>
      <c r="ON25" s="20" t="n">
        <f aca="false">OM25</f>
        <v>0</v>
      </c>
      <c r="OO25" s="20" t="n">
        <f aca="false">ON25</f>
        <v>0</v>
      </c>
      <c r="OP25" s="20" t="n">
        <f aca="false">OO25</f>
        <v>0</v>
      </c>
      <c r="OQ25" s="20" t="n">
        <f aca="false">OP25</f>
        <v>0</v>
      </c>
      <c r="OR25" s="20" t="n">
        <f aca="false">OQ25</f>
        <v>0</v>
      </c>
      <c r="OS25" s="20" t="n">
        <f aca="false">OR25</f>
        <v>0</v>
      </c>
      <c r="OT25" s="20" t="n">
        <f aca="false">OS25</f>
        <v>0</v>
      </c>
      <c r="OU25" s="20" t="n">
        <f aca="false">OT25</f>
        <v>0</v>
      </c>
      <c r="OV25" s="20" t="n">
        <f aca="false">OU25</f>
        <v>0</v>
      </c>
      <c r="OW25" s="20" t="n">
        <f aca="false">OV25</f>
        <v>0</v>
      </c>
      <c r="OX25" s="20" t="n">
        <f aca="false">OW25</f>
        <v>0</v>
      </c>
      <c r="OY25" s="20" t="n">
        <f aca="false">OX25</f>
        <v>0</v>
      </c>
      <c r="OZ25" s="20" t="n">
        <f aca="false">OY25</f>
        <v>0</v>
      </c>
      <c r="PA25" s="20" t="n">
        <f aca="false">OZ25</f>
        <v>0</v>
      </c>
      <c r="PB25" s="20" t="n">
        <f aca="false">PA25</f>
        <v>0</v>
      </c>
      <c r="PC25" s="20" t="n">
        <f aca="false">PB25</f>
        <v>0</v>
      </c>
      <c r="PD25" s="20" t="n">
        <f aca="false">PC25</f>
        <v>0</v>
      </c>
      <c r="PE25" s="20" t="n">
        <f aca="false">PD25</f>
        <v>0</v>
      </c>
      <c r="PF25" s="20" t="n">
        <f aca="false">PE25</f>
        <v>0</v>
      </c>
      <c r="PG25" s="20" t="n">
        <f aca="false">PF25</f>
        <v>0</v>
      </c>
      <c r="PH25" s="20" t="n">
        <f aca="false">PG25</f>
        <v>0</v>
      </c>
      <c r="PI25" s="20" t="n">
        <f aca="false">PH25</f>
        <v>0</v>
      </c>
      <c r="PJ25" s="20" t="n">
        <f aca="false">PI25</f>
        <v>0</v>
      </c>
      <c r="PK25" s="20" t="n">
        <f aca="false">PJ25</f>
        <v>0</v>
      </c>
      <c r="PL25" s="20" t="n">
        <f aca="false">PK25</f>
        <v>0</v>
      </c>
      <c r="PM25" s="20" t="n">
        <f aca="false">PL25</f>
        <v>0</v>
      </c>
      <c r="PN25" s="20" t="n">
        <f aca="false">PM25</f>
        <v>0</v>
      </c>
      <c r="PO25" s="20" t="n">
        <f aca="false">PN25</f>
        <v>0</v>
      </c>
      <c r="PP25" s="20" t="n">
        <f aca="false">PO25</f>
        <v>0</v>
      </c>
      <c r="PQ25" s="20" t="n">
        <f aca="false">PP25</f>
        <v>0</v>
      </c>
      <c r="PR25" s="20" t="n">
        <f aca="false">IF(H_Direct=1,IF(AKR24&lt;=0,0,IF(BR25&lt;=0,MIN(MAX(0,AB25),AKR24),MIN(MAX(0,AB25),AKR24-G25*MAX(0,BR25*AKR24-(H25+I25))))),MIN(FE25,MAX(0,AB25)))</f>
        <v>0</v>
      </c>
      <c r="PS25" s="20" t="n">
        <f aca="false">IF(H_Direct=1,IF(AKS24&lt;=0,0,IF(BS25&lt;=0,MIN(MAX(0,AB25-SUM(PR25:PR25)),AKS24),MIN(MAX(0,AB25-SUM(PR25:PR25)),AKS24-G25*MAX(0,BS25*AKS24-(WR25+AAE25))))),MIN(FF25,MAX(0,AB25-SUM(PR25:PR25))))</f>
        <v>0</v>
      </c>
      <c r="PT25" s="20" t="n">
        <f aca="false">IF(H_Direct=1,IF(AKT24&lt;=0,0,IF(BT25&lt;=0,MIN(MAX(0,AB25-SUM(PR25:PS25)),AKT24),MIN(MAX(0,AB25-SUM(PR25:PS25)),AKT24-G25*MAX(0,BT25*AKT24-(WS25+AAF25))))),MIN(FG25,MAX(0,AB25-SUM(PR25:PS25))))</f>
        <v>0</v>
      </c>
      <c r="PU25" s="20" t="n">
        <f aca="false">IF(H_Direct=1,IF(AKU24&lt;=0,0,IF(BU25&lt;=0,MIN(MAX(0,AB25-SUM(PR25:PT25)),AKU24),MIN(MAX(0,AB25-SUM(PR25:PT25)),AKU24-G25*MAX(0,BU25*AKU24-(WT25+AAG25))))),MIN(FH25,MAX(0,AB25-SUM(PR25:PT25))))</f>
        <v>0</v>
      </c>
      <c r="PV25" s="20" t="n">
        <f aca="false">IF(H_Direct=1,IF(AKV24&lt;=0,0,IF(BV25&lt;=0,MIN(MAX(0,AB25-SUM(PR25:PU25)),AKV24),MIN(MAX(0,AB25-SUM(PR25:PU25)),AKV24-G25*MAX(0,BV25*AKV24-(WU25+AAH25))))),MIN(FI25,MAX(0,AB25-SUM(PR25:PU25))))</f>
        <v>0</v>
      </c>
      <c r="PW25" s="20" t="n">
        <f aca="false">IF(H_Direct=1,IF(AKW24&lt;=0,0,IF(BW25&lt;=0,MIN(MAX(0,AB25-SUM(PR25:PV25)),AKW24),MIN(MAX(0,AB25-SUM(PR25:PV25)),AKW24-G25*MAX(0,BW25*AKW24-(WV25+AAI25))))),MIN(FJ25,MAX(0,AB25-SUM(PR25:PV25))))</f>
        <v>0</v>
      </c>
      <c r="PX25" s="20" t="n">
        <f aca="false">IF(H_Direct=1,IF(AKX24&lt;=0,0,IF(BX25&lt;=0,MIN(MAX(0,AB25-SUM(PR25:PW25)),AKX24),MIN(MAX(0,AB25-SUM(PR25:PW25)),AKX24-G25*MAX(0,BX25*AKX24-(WW25+AAJ25))))),MIN(FK25,MAX(0,AB25-SUM(PR25:PW25))))</f>
        <v>0</v>
      </c>
      <c r="PY25" s="20" t="n">
        <f aca="false">IF(H_Direct=1,IF(AKY24&lt;=0,0,IF(BY25&lt;=0,MIN(MAX(0,AB25-SUM(PR25:PX25)),AKY24),MIN(MAX(0,AB25-SUM(PR25:PX25)),AKY24-G25*MAX(0,BY25*AKY24-(WX25+AAK25))))),MIN(FL25,MAX(0,AB25-SUM(PR25:PX25))))</f>
        <v>0</v>
      </c>
      <c r="PZ25" s="20" t="n">
        <f aca="false">IF(H_Direct=1,IF(AKZ24&lt;=0,0,IF(BZ25&lt;=0,MIN(MAX(0,AB25-SUM(PR25:PY25)),AKZ24),MIN(MAX(0,AB25-SUM(PR25:PY25)),AKZ24-G25*MAX(0,BZ25*AKZ24-(WY25+AAL25))))),MIN(FM25,MAX(0,AB25-SUM(PR25:PY25))))</f>
        <v>0</v>
      </c>
      <c r="QA25" s="20" t="n">
        <f aca="false">IF(H_Direct=1,IF(ALA24&lt;=0,0,IF(CA25&lt;=0,MIN(MAX(0,AB25-SUM(PR25:PZ25)),ALA24),MIN(MAX(0,AB25-SUM(PR25:PZ25)),ALA24-G25*MAX(0,CA25*ALA24-(WZ25+AAM25))))),MIN(FN25,MAX(0,AB25-SUM(PR25:PZ25))))</f>
        <v>0</v>
      </c>
      <c r="QB25" s="20" t="n">
        <f aca="false">IF(H_Direct=1,IF(ALB24&lt;=0,0,IF(CB25&lt;=0,MIN(MAX(0,AB25-SUM(PR25:QA25)),ALB24),MIN(MAX(0,AB25-SUM(PR25:QA25)),ALB24-G25*MAX(0,CB25*ALB24-(XA25+AAN25))))),MIN(FO25,MAX(0,AB25-SUM(PR25:QA25))))</f>
        <v>0</v>
      </c>
      <c r="QC25" s="20" t="n">
        <f aca="false">IF(H_Direct=1,IF(ALC24&lt;=0,0,IF(CC25&lt;=0,MIN(MAX(0,AB25-SUM(PR25:QB25)),ALC24),MIN(MAX(0,AB25-SUM(PR25:QB25)),ALC24-G25*MAX(0,CC25*ALC24-(XB25+AAO25))))),MIN(FP25,MAX(0,AB25-SUM(PR25:QB25))))</f>
        <v>0</v>
      </c>
      <c r="QD25" s="20" t="n">
        <f aca="false">IF(H_Direct=1,IF(ALD24&lt;=0,0,IF(CD25&lt;=0,MIN(MAX(0,AB25-SUM(PR25:QC25)),ALD24),MIN(MAX(0,AB25-SUM(PR25:QC25)),ALD24-G25*MAX(0,CD25*ALD24-(XC25+AAP25))))),MIN(FQ25,MAX(0,AB25-SUM(PR25:QC25))))</f>
        <v>0</v>
      </c>
      <c r="QE25" s="20" t="n">
        <f aca="false">IF(H_Direct=1,IF(ALE24&lt;=0,0,IF(CE25&lt;=0,MIN(MAX(0,AB25-SUM(PR25:QD25)),ALE24),MIN(MAX(0,AB25-SUM(PR25:QD25)),ALE24-G25*MAX(0,CE25*ALE24-(XD25+AAQ25))))),MIN(FR25,MAX(0,AB25-SUM(PR25:QD25))))</f>
        <v>0</v>
      </c>
      <c r="QF25" s="20" t="n">
        <f aca="false">IF(H_Direct=1,IF(ALF24&lt;=0,0,IF(CF25&lt;=0,MIN(MAX(0,AB25-SUM(PR25:QE25)),ALF24),MIN(MAX(0,AB25-SUM(PR25:QE25)),ALF24-G25*MAX(0,CF25*ALF24-(XE25+AAR25))))),MIN(FS25,MAX(0,AB25-SUM(PR25:QE25))))</f>
        <v>0</v>
      </c>
      <c r="QG25" s="20" t="n">
        <f aca="false">IF(H_Direct=1,IF(ALG24&lt;=0,0,IF(CG25&lt;=0,MIN(MAX(0,AB25-SUM(PR25:QF25)),ALG24),MIN(MAX(0,AB25-SUM(PR25:QF25)),ALG24-G25*MAX(0,CG25*ALG24-(XF25+AAS25))))),MIN(FT25,MAX(0,AB25-SUM(PR25:QF25))))</f>
        <v>0</v>
      </c>
      <c r="QH25" s="20" t="n">
        <f aca="false">IF(H_Direct=1,IF(ALH24&lt;=0,0,IF(CH25&lt;=0,MIN(MAX(0,AB25-SUM(PR25:QG25)),ALH24),MIN(MAX(0,AB25-SUM(PR25:QG25)),ALH24-G25*MAX(0,CH25*ALH24-(XG25+AAT25))))),MIN(FU25,MAX(0,AB25-SUM(PR25:QG25))))</f>
        <v>0</v>
      </c>
      <c r="QI25" s="20" t="n">
        <f aca="false">IF(H_Direct=1,IF(ALI24&lt;=0,0,IF(CI25&lt;=0,MIN(MAX(0,AB25-SUM(PR25:QH25)),ALI24),MIN(MAX(0,AB25-SUM(PR25:QH25)),ALI24-G25*MAX(0,CI25*ALI24-(XH25+AAU25))))),MIN(FV25,MAX(0,AB25-SUM(PR25:QH25))))</f>
        <v>0</v>
      </c>
      <c r="QJ25" s="20" t="n">
        <f aca="false">IF(H_Direct=1,IF((P25+S25)&lt;=0,0,IF(CJ25&lt;=0,MIN(MAX(0,AB25-SUM(PR25:QI25)),(P25+S25)),MIN(MAX(0,AB25-SUM(PR25:QI25)),(P25+S25)-G25*MAX(0,CJ25*(P25+S25)-(XI25+AAV25))))),MIN(FW25,MAX(0,AB25-SUM(PR25:QI25))))</f>
        <v>0</v>
      </c>
      <c r="QK25" s="20" t="n">
        <v>0</v>
      </c>
      <c r="QL25" s="20" t="n">
        <v>0</v>
      </c>
      <c r="QM25" s="20" t="n">
        <v>0</v>
      </c>
      <c r="QN25" s="20" t="n">
        <v>0</v>
      </c>
      <c r="QO25" s="20" t="n">
        <v>0</v>
      </c>
      <c r="QP25" s="20" t="n">
        <v>0</v>
      </c>
      <c r="QQ25" s="20" t="n">
        <v>0</v>
      </c>
      <c r="QR25" s="20" t="n">
        <v>0</v>
      </c>
      <c r="QS25" s="20" t="n">
        <v>0</v>
      </c>
      <c r="QT25" s="20" t="n">
        <v>0</v>
      </c>
      <c r="QU25" s="20" t="n">
        <v>0</v>
      </c>
      <c r="QV25" s="20" t="n">
        <v>0</v>
      </c>
      <c r="QW25" s="20" t="n">
        <v>0</v>
      </c>
      <c r="QX25" s="20" t="n">
        <v>0</v>
      </c>
      <c r="QY25" s="20" t="n">
        <v>0</v>
      </c>
      <c r="QZ25" s="20" t="n">
        <v>0</v>
      </c>
      <c r="RA25" s="20" t="n">
        <v>0</v>
      </c>
      <c r="RB25" s="20" t="n">
        <v>0</v>
      </c>
      <c r="RC25" s="20" t="n">
        <v>0</v>
      </c>
      <c r="RD25" s="20" t="n">
        <v>0</v>
      </c>
      <c r="RE25" s="20" t="n">
        <v>0</v>
      </c>
      <c r="RF25" s="20" t="n">
        <v>0</v>
      </c>
      <c r="RG25" s="20" t="n">
        <v>0</v>
      </c>
      <c r="RH25" s="20" t="n">
        <v>0</v>
      </c>
      <c r="RI25" s="20" t="n">
        <v>0</v>
      </c>
      <c r="RJ25" s="20" t="n">
        <v>0</v>
      </c>
      <c r="RK25" s="20" t="n">
        <v>0</v>
      </c>
      <c r="RL25" s="20" t="n">
        <v>0</v>
      </c>
      <c r="RM25" s="20" t="n">
        <v>0</v>
      </c>
      <c r="RN25" s="20" t="n">
        <v>0</v>
      </c>
      <c r="RO25" s="20" t="n">
        <v>0</v>
      </c>
      <c r="RP25" s="20" t="n">
        <v>0</v>
      </c>
      <c r="RQ25" s="20" t="n">
        <v>0</v>
      </c>
      <c r="RR25" s="20" t="n">
        <v>0</v>
      </c>
      <c r="RS25" s="20" t="n">
        <v>0</v>
      </c>
      <c r="RT25" s="20" t="n">
        <v>0</v>
      </c>
      <c r="RU25" s="20" t="n">
        <v>0</v>
      </c>
      <c r="RV25" s="20" t="n">
        <v>0</v>
      </c>
      <c r="RW25" s="20" t="n">
        <v>0</v>
      </c>
      <c r="RX25" s="20" t="n">
        <v>0</v>
      </c>
      <c r="RY25" s="20" t="n">
        <v>0</v>
      </c>
      <c r="RZ25" s="20" t="n">
        <v>0</v>
      </c>
      <c r="SA25" s="20" t="n">
        <v>0</v>
      </c>
      <c r="SB25" s="20" t="n">
        <v>0</v>
      </c>
      <c r="SC25" s="20" t="n">
        <v>0</v>
      </c>
      <c r="SD25" s="20" t="n">
        <v>0</v>
      </c>
      <c r="SE25" s="20" t="n">
        <v>0</v>
      </c>
      <c r="SF25" s="20" t="n">
        <v>0</v>
      </c>
      <c r="SG25" s="20" t="n">
        <v>0</v>
      </c>
      <c r="SH25" s="20" t="n">
        <v>0</v>
      </c>
      <c r="SI25" s="20" t="n">
        <v>0</v>
      </c>
      <c r="SJ25" s="20" t="n">
        <v>0</v>
      </c>
      <c r="SK25" s="20" t="n">
        <v>0</v>
      </c>
      <c r="SL25" s="20" t="n">
        <v>0</v>
      </c>
      <c r="SM25" s="20" t="n">
        <v>0</v>
      </c>
      <c r="SN25" s="20" t="n">
        <v>0</v>
      </c>
      <c r="SO25" s="20" t="n">
        <v>0</v>
      </c>
      <c r="SP25" s="20" t="n">
        <v>0</v>
      </c>
      <c r="SQ25" s="20" t="n">
        <v>0</v>
      </c>
      <c r="SR25" s="20" t="n">
        <v>0</v>
      </c>
      <c r="SS25" s="20" t="n">
        <v>0</v>
      </c>
      <c r="ST25" s="20" t="n">
        <v>0</v>
      </c>
      <c r="SU25" s="20" t="n">
        <v>0</v>
      </c>
      <c r="SV25" s="20" t="n">
        <v>0</v>
      </c>
      <c r="SW25" s="20" t="n">
        <v>0</v>
      </c>
      <c r="SX25" s="20" t="n">
        <v>0</v>
      </c>
      <c r="SY25" s="20" t="n">
        <v>0</v>
      </c>
      <c r="SZ25" s="20" t="n">
        <v>0</v>
      </c>
      <c r="TA25" s="20" t="n">
        <v>0</v>
      </c>
      <c r="TB25" s="20" t="n">
        <v>0</v>
      </c>
      <c r="TC25" s="20" t="n">
        <v>0</v>
      </c>
      <c r="TD25" s="20" t="n">
        <v>0</v>
      </c>
      <c r="TE25" s="20" t="n">
        <f aca="false">IF(AKR24&lt;=0,0,IF(H_Direct=1,IF(BR25&lt;=0,PR25,IF(PR25&lt;=(H25+I25)/BR25,PR25,(PR25-G25*(H25+I25))/(1-G25*BR25))),PR25/(1-MAX(0,BR25)*H_Exit)))</f>
        <v>0</v>
      </c>
      <c r="TF25" s="20" t="n">
        <f aca="false">IF(AKS24&lt;=0,0,IF(H_Direct=1,IF(BS25&lt;=0,PS25,IF(PS25&lt;=(WR25+AAE25)/BS25,PS25,(PS25-G25*(WR25+AAE25))/(1-G25*BS25))),PS25/(1-MAX(0,BS25)*H_Exit)))</f>
        <v>0</v>
      </c>
      <c r="TG25" s="20" t="n">
        <f aca="false">IF(AKT24&lt;=0,0,IF(H_Direct=1,IF(BT25&lt;=0,PT25,IF(PT25&lt;=(WS25+AAF25)/BT25,PT25,(PT25-G25*(WS25+AAF25))/(1-G25*BT25))),PT25/(1-MAX(0,BT25)*H_Exit)))</f>
        <v>0</v>
      </c>
      <c r="TH25" s="20" t="n">
        <f aca="false">IF(AKU24&lt;=0,0,IF(H_Direct=1,IF(BU25&lt;=0,PU25,IF(PU25&lt;=(WT25+AAG25)/BU25,PU25,(PU25-G25*(WT25+AAG25))/(1-G25*BU25))),PU25/(1-MAX(0,BU25)*H_Exit)))</f>
        <v>0</v>
      </c>
      <c r="TI25" s="20" t="n">
        <f aca="false">IF(AKV24&lt;=0,0,IF(H_Direct=1,IF(BV25&lt;=0,PV25,IF(PV25&lt;=(WU25+AAH25)/BV25,PV25,(PV25-G25*(WU25+AAH25))/(1-G25*BV25))),PV25/(1-MAX(0,BV25)*H_Exit)))</f>
        <v>0</v>
      </c>
      <c r="TJ25" s="20" t="n">
        <f aca="false">IF(AKW24&lt;=0,0,IF(H_Direct=1,IF(BW25&lt;=0,PW25,IF(PW25&lt;=(WV25+AAI25)/BW25,PW25,(PW25-G25*(WV25+AAI25))/(1-G25*BW25))),PW25/(1-MAX(0,BW25)*H_Exit)))</f>
        <v>0</v>
      </c>
      <c r="TK25" s="20" t="n">
        <f aca="false">IF(AKX24&lt;=0,0,IF(H_Direct=1,IF(BX25&lt;=0,PX25,IF(PX25&lt;=(WW25+AAJ25)/BX25,PX25,(PX25-G25*(WW25+AAJ25))/(1-G25*BX25))),PX25/(1-MAX(0,BX25)*H_Exit)))</f>
        <v>0</v>
      </c>
      <c r="TL25" s="20" t="n">
        <f aca="false">IF(AKY24&lt;=0,0,IF(H_Direct=1,IF(BY25&lt;=0,PY25,IF(PY25&lt;=(WX25+AAK25)/BY25,PY25,(PY25-G25*(WX25+AAK25))/(1-G25*BY25))),PY25/(1-MAX(0,BY25)*H_Exit)))</f>
        <v>0</v>
      </c>
      <c r="TM25" s="20" t="n">
        <f aca="false">IF(AKZ24&lt;=0,0,IF(H_Direct=1,IF(BZ25&lt;=0,PZ25,IF(PZ25&lt;=(WY25+AAL25)/BZ25,PZ25,(PZ25-G25*(WY25+AAL25))/(1-G25*BZ25))),PZ25/(1-MAX(0,BZ25)*H_Exit)))</f>
        <v>0</v>
      </c>
      <c r="TN25" s="20" t="n">
        <f aca="false">IF(ALA24&lt;=0,0,IF(H_Direct=1,IF(CA25&lt;=0,QA25,IF(QA25&lt;=(WZ25+AAM25)/CA25,QA25,(QA25-G25*(WZ25+AAM25))/(1-G25*CA25))),QA25/(1-MAX(0,CA25)*H_Exit)))</f>
        <v>0</v>
      </c>
      <c r="TO25" s="20" t="n">
        <f aca="false">IF(ALB24&lt;=0,0,IF(H_Direct=1,IF(CB25&lt;=0,QB25,IF(QB25&lt;=(XA25+AAN25)/CB25,QB25,(QB25-G25*(XA25+AAN25))/(1-G25*CB25))),QB25/(1-MAX(0,CB25)*H_Exit)))</f>
        <v>0</v>
      </c>
      <c r="TP25" s="20" t="n">
        <f aca="false">IF(ALC24&lt;=0,0,IF(H_Direct=1,IF(CC25&lt;=0,QC25,IF(QC25&lt;=(XB25+AAO25)/CC25,QC25,(QC25-G25*(XB25+AAO25))/(1-G25*CC25))),QC25/(1-MAX(0,CC25)*H_Exit)))</f>
        <v>0</v>
      </c>
      <c r="TQ25" s="20" t="n">
        <f aca="false">IF(ALD24&lt;=0,0,IF(H_Direct=1,IF(CD25&lt;=0,QD25,IF(QD25&lt;=(XC25+AAP25)/CD25,QD25,(QD25-G25*(XC25+AAP25))/(1-G25*CD25))),QD25/(1-MAX(0,CD25)*H_Exit)))</f>
        <v>0</v>
      </c>
      <c r="TR25" s="20" t="n">
        <f aca="false">IF(ALE24&lt;=0,0,IF(H_Direct=1,IF(CE25&lt;=0,QE25,IF(QE25&lt;=(XD25+AAQ25)/CE25,QE25,(QE25-G25*(XD25+AAQ25))/(1-G25*CE25))),QE25/(1-MAX(0,CE25)*H_Exit)))</f>
        <v>0</v>
      </c>
      <c r="TS25" s="20" t="n">
        <f aca="false">IF(ALF24&lt;=0,0,IF(H_Direct=1,IF(CF25&lt;=0,QF25,IF(QF25&lt;=(XE25+AAR25)/CF25,QF25,(QF25-G25*(XE25+AAR25))/(1-G25*CF25))),QF25/(1-MAX(0,CF25)*H_Exit)))</f>
        <v>0</v>
      </c>
      <c r="TT25" s="20" t="n">
        <f aca="false">IF(ALG24&lt;=0,0,IF(H_Direct=1,IF(CG25&lt;=0,QG25,IF(QG25&lt;=(XF25+AAS25)/CG25,QG25,(QG25-G25*(XF25+AAS25))/(1-G25*CG25))),QG25/(1-MAX(0,CG25)*H_Exit)))</f>
        <v>0</v>
      </c>
      <c r="TU25" s="20" t="n">
        <f aca="false">IF(ALH24&lt;=0,0,IF(H_Direct=1,IF(CH25&lt;=0,QH25,IF(QH25&lt;=(XG25+AAT25)/CH25,QH25,(QH25-G25*(XG25+AAT25))/(1-G25*CH25))),QH25/(1-MAX(0,CH25)*H_Exit)))</f>
        <v>0</v>
      </c>
      <c r="TV25" s="20" t="n">
        <f aca="false">IF(ALI24&lt;=0,0,IF(H_Direct=1,IF(CI25&lt;=0,QI25,IF(QI25&lt;=(XH25+AAU25)/CI25,QI25,(QI25-G25*(XH25+AAU25))/(1-G25*CI25))),QI25/(1-MAX(0,CI25)*H_Exit)))</f>
        <v>0</v>
      </c>
      <c r="TW25" s="20" t="n">
        <f aca="false">IF((P25+S25)&lt;=0,0,IF(H_Direct=1,IF(CJ25&lt;=0,QJ25,IF(QJ25&lt;=(XI25+AAV25)/CJ25,QJ25,(QJ25-G25*(XI25+AAV25))/(1-G25*CJ25))),QJ25/(1-MAX(0,CJ25)*H_Exit)))</f>
        <v>0</v>
      </c>
      <c r="TX25" s="20" t="n">
        <v>0</v>
      </c>
      <c r="TY25" s="20" t="n">
        <v>0</v>
      </c>
      <c r="TZ25" s="20" t="n">
        <v>0</v>
      </c>
      <c r="UA25" s="20" t="n">
        <v>0</v>
      </c>
      <c r="UB25" s="20" t="n">
        <v>0</v>
      </c>
      <c r="UC25" s="20" t="n">
        <v>0</v>
      </c>
      <c r="UD25" s="20" t="n">
        <v>0</v>
      </c>
      <c r="UE25" s="20" t="n">
        <v>0</v>
      </c>
      <c r="UF25" s="20" t="n">
        <v>0</v>
      </c>
      <c r="UG25" s="20" t="n">
        <v>0</v>
      </c>
      <c r="UH25" s="20" t="n">
        <v>0</v>
      </c>
      <c r="UI25" s="20" t="n">
        <v>0</v>
      </c>
      <c r="UJ25" s="20" t="n">
        <v>0</v>
      </c>
      <c r="UK25" s="20" t="n">
        <v>0</v>
      </c>
      <c r="UL25" s="20" t="n">
        <v>0</v>
      </c>
      <c r="UM25" s="20" t="n">
        <v>0</v>
      </c>
      <c r="UN25" s="20" t="n">
        <v>0</v>
      </c>
      <c r="UO25" s="20" t="n">
        <v>0</v>
      </c>
      <c r="UP25" s="20" t="n">
        <v>0</v>
      </c>
      <c r="UQ25" s="20" t="n">
        <v>0</v>
      </c>
      <c r="UR25" s="20" t="n">
        <v>0</v>
      </c>
      <c r="US25" s="20" t="n">
        <v>0</v>
      </c>
      <c r="UT25" s="20" t="n">
        <v>0</v>
      </c>
      <c r="UU25" s="20" t="n">
        <v>0</v>
      </c>
      <c r="UV25" s="20" t="n">
        <v>0</v>
      </c>
      <c r="UW25" s="20" t="n">
        <v>0</v>
      </c>
      <c r="UX25" s="20" t="n">
        <v>0</v>
      </c>
      <c r="UY25" s="20" t="n">
        <v>0</v>
      </c>
      <c r="UZ25" s="20" t="n">
        <v>0</v>
      </c>
      <c r="VA25" s="20" t="n">
        <v>0</v>
      </c>
      <c r="VB25" s="20" t="n">
        <v>0</v>
      </c>
      <c r="VC25" s="20" t="n">
        <v>0</v>
      </c>
      <c r="VD25" s="20" t="n">
        <v>0</v>
      </c>
      <c r="VE25" s="20" t="n">
        <v>0</v>
      </c>
      <c r="VF25" s="20" t="n">
        <v>0</v>
      </c>
      <c r="VG25" s="20" t="n">
        <v>0</v>
      </c>
      <c r="VH25" s="20" t="n">
        <v>0</v>
      </c>
      <c r="VI25" s="20" t="n">
        <v>0</v>
      </c>
      <c r="VJ25" s="20" t="n">
        <v>0</v>
      </c>
      <c r="VK25" s="20" t="n">
        <v>0</v>
      </c>
      <c r="VL25" s="20" t="n">
        <v>0</v>
      </c>
      <c r="VM25" s="20" t="n">
        <v>0</v>
      </c>
      <c r="VN25" s="20" t="n">
        <v>0</v>
      </c>
      <c r="VO25" s="20" t="n">
        <v>0</v>
      </c>
      <c r="VP25" s="20" t="n">
        <v>0</v>
      </c>
      <c r="VQ25" s="20" t="n">
        <v>0</v>
      </c>
      <c r="VR25" s="20" t="n">
        <v>0</v>
      </c>
      <c r="VS25" s="20" t="n">
        <v>0</v>
      </c>
      <c r="VT25" s="20" t="n">
        <v>0</v>
      </c>
      <c r="VU25" s="20" t="n">
        <v>0</v>
      </c>
      <c r="VV25" s="20" t="n">
        <v>0</v>
      </c>
      <c r="VW25" s="20" t="n">
        <v>0</v>
      </c>
      <c r="VX25" s="20" t="n">
        <v>0</v>
      </c>
      <c r="VY25" s="20" t="n">
        <v>0</v>
      </c>
      <c r="VZ25" s="20" t="n">
        <v>0</v>
      </c>
      <c r="WA25" s="20" t="n">
        <v>0</v>
      </c>
      <c r="WB25" s="20" t="n">
        <v>0</v>
      </c>
      <c r="WC25" s="20" t="n">
        <v>0</v>
      </c>
      <c r="WD25" s="20" t="n">
        <v>0</v>
      </c>
      <c r="WE25" s="20" t="n">
        <v>0</v>
      </c>
      <c r="WF25" s="20" t="n">
        <v>0</v>
      </c>
      <c r="WG25" s="20" t="n">
        <v>0</v>
      </c>
      <c r="WH25" s="20" t="n">
        <v>0</v>
      </c>
      <c r="WI25" s="20" t="n">
        <v>0</v>
      </c>
      <c r="WJ25" s="20" t="n">
        <v>0</v>
      </c>
      <c r="WK25" s="20" t="n">
        <v>0</v>
      </c>
      <c r="WL25" s="20" t="n">
        <v>0</v>
      </c>
      <c r="WM25" s="20" t="n">
        <v>0</v>
      </c>
      <c r="WN25" s="20" t="n">
        <v>0</v>
      </c>
      <c r="WO25" s="20" t="n">
        <v>0</v>
      </c>
      <c r="WP25" s="20" t="n">
        <v>0</v>
      </c>
      <c r="WQ25" s="20" t="n">
        <v>0</v>
      </c>
      <c r="WR25" s="20" t="n">
        <f aca="false">IF(AND(H_Direct=1,BR25&gt;0),MAX(0,H25-(MIN(BR25*TE25,(H25+I25))-MIN(MIN(BR25*TE25,(H25+I25)),I25))),H25)</f>
        <v>1270</v>
      </c>
      <c r="WS25" s="20" t="n">
        <f aca="false">IF(AND(H_Direct=1,BS25&gt;0),MAX(0,WR25-(MIN(BS25*TF25,(WR25+AAE25))-MIN(MIN(BS25*TF25,(WR25+AAE25)),AAE25))),WR25)</f>
        <v>1270</v>
      </c>
      <c r="WT25" s="20" t="n">
        <f aca="false">IF(AND(H_Direct=1,BT25&gt;0),MAX(0,WS25-(MIN(BT25*TG25,(WS25+AAF25))-MIN(MIN(BT25*TG25,(WS25+AAF25)),AAF25))),WS25)</f>
        <v>1270</v>
      </c>
      <c r="WU25" s="20" t="n">
        <f aca="false">IF(AND(H_Direct=1,BU25&gt;0),MAX(0,WT25-(MIN(BU25*TH25,(WT25+AAG25))-MIN(MIN(BU25*TH25,(WT25+AAG25)),AAG25))),WT25)</f>
        <v>1270</v>
      </c>
      <c r="WV25" s="20" t="n">
        <f aca="false">IF(AND(H_Direct=1,BV25&gt;0),MAX(0,WU25-(MIN(BV25*TI25,(WU25+AAH25))-MIN(MIN(BV25*TI25,(WU25+AAH25)),AAH25))),WU25)</f>
        <v>1270</v>
      </c>
      <c r="WW25" s="20" t="n">
        <f aca="false">IF(AND(H_Direct=1,BW25&gt;0),MAX(0,WV25-(MIN(BW25*TJ25,(WV25+AAI25))-MIN(MIN(BW25*TJ25,(WV25+AAI25)),AAI25))),WV25)</f>
        <v>1270</v>
      </c>
      <c r="WX25" s="20" t="n">
        <f aca="false">IF(AND(H_Direct=1,BX25&gt;0),MAX(0,WW25-(MIN(BX25*TK25,(WW25+AAJ25))-MIN(MIN(BX25*TK25,(WW25+AAJ25)),AAJ25))),WW25)</f>
        <v>1270</v>
      </c>
      <c r="WY25" s="20" t="n">
        <f aca="false">IF(AND(H_Direct=1,BY25&gt;0),MAX(0,WX25-(MIN(BY25*TL25,(WX25+AAK25))-MIN(MIN(BY25*TL25,(WX25+AAK25)),AAK25))),WX25)</f>
        <v>1270</v>
      </c>
      <c r="WZ25" s="20" t="n">
        <f aca="false">IF(AND(H_Direct=1,BZ25&gt;0),MAX(0,WY25-(MIN(BZ25*TM25,(WY25+AAL25))-MIN(MIN(BZ25*TM25,(WY25+AAL25)),AAL25))),WY25)</f>
        <v>1270</v>
      </c>
      <c r="XA25" s="20" t="n">
        <f aca="false">IF(AND(H_Direct=1,CA25&gt;0),MAX(0,WZ25-(MIN(CA25*TN25,(WZ25+AAM25))-MIN(MIN(CA25*TN25,(WZ25+AAM25)),AAM25))),WZ25)</f>
        <v>1270</v>
      </c>
      <c r="XB25" s="20" t="n">
        <f aca="false">IF(AND(H_Direct=1,CB25&gt;0),MAX(0,XA25-(MIN(CB25*TO25,(XA25+AAN25))-MIN(MIN(CB25*TO25,(XA25+AAN25)),AAN25))),XA25)</f>
        <v>1270</v>
      </c>
      <c r="XC25" s="20" t="n">
        <f aca="false">IF(AND(H_Direct=1,CC25&gt;0),MAX(0,XB25-(MIN(CC25*TP25,(XB25+AAO25))-MIN(MIN(CC25*TP25,(XB25+AAO25)),AAO25))),XB25)</f>
        <v>1270</v>
      </c>
      <c r="XD25" s="20" t="n">
        <f aca="false">IF(AND(H_Direct=1,CD25&gt;0),MAX(0,XC25-(MIN(CD25*TQ25,(XC25+AAP25))-MIN(MIN(CD25*TQ25,(XC25+AAP25)),AAP25))),XC25)</f>
        <v>1270</v>
      </c>
      <c r="XE25" s="20" t="n">
        <f aca="false">IF(AND(H_Direct=1,CE25&gt;0),MAX(0,XD25-(MIN(CE25*TR25,(XD25+AAQ25))-MIN(MIN(CE25*TR25,(XD25+AAQ25)),AAQ25))),XD25)</f>
        <v>1270</v>
      </c>
      <c r="XF25" s="20" t="n">
        <f aca="false">IF(AND(H_Direct=1,CF25&gt;0),MAX(0,XE25-(MIN(CF25*TS25,(XE25+AAR25))-MIN(MIN(CF25*TS25,(XE25+AAR25)),AAR25))),XE25)</f>
        <v>1270</v>
      </c>
      <c r="XG25" s="20" t="n">
        <f aca="false">IF(AND(H_Direct=1,CG25&gt;0),MAX(0,XF25-(MIN(CG25*TT25,(XF25+AAS25))-MIN(MIN(CG25*TT25,(XF25+AAS25)),AAS25))),XF25)</f>
        <v>1270</v>
      </c>
      <c r="XH25" s="20" t="n">
        <f aca="false">IF(AND(H_Direct=1,CH25&gt;0),MAX(0,XG25-(MIN(CH25*TU25,(XG25+AAT25))-MIN(MIN(CH25*TU25,(XG25+AAT25)),AAT25))),XG25)</f>
        <v>1270</v>
      </c>
      <c r="XI25" s="20" t="n">
        <f aca="false">IF(AND(H_Direct=1,CI25&gt;0),MAX(0,XH25-(MIN(CI25*TV25,(XH25+AAU25))-MIN(MIN(CI25*TV25,(XH25+AAU25)),AAU25))),XH25)</f>
        <v>1270</v>
      </c>
      <c r="XJ25" s="20" t="n">
        <f aca="false">IF(AND(H_Direct=1,CJ25&gt;0),MAX(0,XI25-(MIN(CJ25*TW25,(XI25+AAV25))-MIN(MIN(CJ25*TW25,(XI25+AAV25)),AAV25))),XI25)</f>
        <v>1270</v>
      </c>
      <c r="XK25" s="20" t="n">
        <f aca="false">XJ25</f>
        <v>1270</v>
      </c>
      <c r="XL25" s="20" t="n">
        <f aca="false">XK25</f>
        <v>1270</v>
      </c>
      <c r="XM25" s="20" t="n">
        <f aca="false">XL25</f>
        <v>1270</v>
      </c>
      <c r="XN25" s="20" t="n">
        <f aca="false">XM25</f>
        <v>1270</v>
      </c>
      <c r="XO25" s="20" t="n">
        <f aca="false">XN25</f>
        <v>1270</v>
      </c>
      <c r="XP25" s="20" t="n">
        <f aca="false">XO25</f>
        <v>1270</v>
      </c>
      <c r="XQ25" s="20" t="n">
        <f aca="false">XP25</f>
        <v>1270</v>
      </c>
      <c r="XR25" s="20" t="n">
        <f aca="false">XQ25</f>
        <v>1270</v>
      </c>
      <c r="XS25" s="20" t="n">
        <f aca="false">XR25</f>
        <v>1270</v>
      </c>
      <c r="XT25" s="20" t="n">
        <f aca="false">XS25</f>
        <v>1270</v>
      </c>
      <c r="XU25" s="20" t="n">
        <f aca="false">XT25</f>
        <v>1270</v>
      </c>
      <c r="XV25" s="20" t="n">
        <f aca="false">XU25</f>
        <v>1270</v>
      </c>
      <c r="XW25" s="20" t="n">
        <f aca="false">XV25</f>
        <v>1270</v>
      </c>
      <c r="XX25" s="20" t="n">
        <f aca="false">XW25</f>
        <v>1270</v>
      </c>
      <c r="XY25" s="20" t="n">
        <f aca="false">XX25</f>
        <v>1270</v>
      </c>
      <c r="XZ25" s="20" t="n">
        <f aca="false">XY25</f>
        <v>1270</v>
      </c>
      <c r="YA25" s="20" t="n">
        <f aca="false">XZ25</f>
        <v>1270</v>
      </c>
      <c r="YB25" s="20" t="n">
        <f aca="false">YA25</f>
        <v>1270</v>
      </c>
      <c r="YC25" s="20" t="n">
        <f aca="false">YB25</f>
        <v>1270</v>
      </c>
      <c r="YD25" s="20" t="n">
        <f aca="false">YC25</f>
        <v>1270</v>
      </c>
      <c r="YE25" s="20" t="n">
        <f aca="false">YD25</f>
        <v>1270</v>
      </c>
      <c r="YF25" s="20" t="n">
        <f aca="false">YE25</f>
        <v>1270</v>
      </c>
      <c r="YG25" s="20" t="n">
        <f aca="false">YF25</f>
        <v>1270</v>
      </c>
      <c r="YH25" s="20" t="n">
        <f aca="false">YG25</f>
        <v>1270</v>
      </c>
      <c r="YI25" s="20" t="n">
        <f aca="false">YH25</f>
        <v>1270</v>
      </c>
      <c r="YJ25" s="20" t="n">
        <f aca="false">YI25</f>
        <v>1270</v>
      </c>
      <c r="YK25" s="20" t="n">
        <f aca="false">YJ25</f>
        <v>1270</v>
      </c>
      <c r="YL25" s="20" t="n">
        <f aca="false">YK25</f>
        <v>1270</v>
      </c>
      <c r="YM25" s="20" t="n">
        <f aca="false">YL25</f>
        <v>1270</v>
      </c>
      <c r="YN25" s="20" t="n">
        <f aca="false">YM25</f>
        <v>1270</v>
      </c>
      <c r="YO25" s="20" t="n">
        <f aca="false">YN25</f>
        <v>1270</v>
      </c>
      <c r="YP25" s="20" t="n">
        <f aca="false">YO25</f>
        <v>1270</v>
      </c>
      <c r="YQ25" s="20" t="n">
        <f aca="false">YP25</f>
        <v>1270</v>
      </c>
      <c r="YR25" s="20" t="n">
        <f aca="false">YQ25</f>
        <v>1270</v>
      </c>
      <c r="YS25" s="20" t="n">
        <f aca="false">YR25</f>
        <v>1270</v>
      </c>
      <c r="YT25" s="20" t="n">
        <f aca="false">YS25</f>
        <v>1270</v>
      </c>
      <c r="YU25" s="20" t="n">
        <f aca="false">YT25</f>
        <v>1270</v>
      </c>
      <c r="YV25" s="20" t="n">
        <f aca="false">YU25</f>
        <v>1270</v>
      </c>
      <c r="YW25" s="20" t="n">
        <f aca="false">YV25</f>
        <v>1270</v>
      </c>
      <c r="YX25" s="20" t="n">
        <f aca="false">YW25</f>
        <v>1270</v>
      </c>
      <c r="YY25" s="20" t="n">
        <f aca="false">YX25</f>
        <v>1270</v>
      </c>
      <c r="YZ25" s="20" t="n">
        <f aca="false">YY25</f>
        <v>1270</v>
      </c>
      <c r="ZA25" s="20" t="n">
        <f aca="false">YZ25</f>
        <v>1270</v>
      </c>
      <c r="ZB25" s="20" t="n">
        <f aca="false">ZA25</f>
        <v>1270</v>
      </c>
      <c r="ZC25" s="20" t="n">
        <f aca="false">ZB25</f>
        <v>1270</v>
      </c>
      <c r="ZD25" s="20" t="n">
        <f aca="false">ZC25</f>
        <v>1270</v>
      </c>
      <c r="ZE25" s="20" t="n">
        <f aca="false">ZD25</f>
        <v>1270</v>
      </c>
      <c r="ZF25" s="20" t="n">
        <f aca="false">ZE25</f>
        <v>1270</v>
      </c>
      <c r="ZG25" s="20" t="n">
        <f aca="false">ZF25</f>
        <v>1270</v>
      </c>
      <c r="ZH25" s="20" t="n">
        <f aca="false">ZG25</f>
        <v>1270</v>
      </c>
      <c r="ZI25" s="20" t="n">
        <f aca="false">ZH25</f>
        <v>1270</v>
      </c>
      <c r="ZJ25" s="20" t="n">
        <f aca="false">ZI25</f>
        <v>1270</v>
      </c>
      <c r="ZK25" s="20" t="n">
        <f aca="false">ZJ25</f>
        <v>1270</v>
      </c>
      <c r="ZL25" s="20" t="n">
        <f aca="false">ZK25</f>
        <v>1270</v>
      </c>
      <c r="ZM25" s="20" t="n">
        <f aca="false">ZL25</f>
        <v>1270</v>
      </c>
      <c r="ZN25" s="20" t="n">
        <f aca="false">ZM25</f>
        <v>1270</v>
      </c>
      <c r="ZO25" s="20" t="n">
        <f aca="false">ZN25</f>
        <v>1270</v>
      </c>
      <c r="ZP25" s="20" t="n">
        <f aca="false">ZO25</f>
        <v>1270</v>
      </c>
      <c r="ZQ25" s="20" t="n">
        <f aca="false">ZP25</f>
        <v>1270</v>
      </c>
      <c r="ZR25" s="20" t="n">
        <f aca="false">ZQ25</f>
        <v>1270</v>
      </c>
      <c r="ZS25" s="20" t="n">
        <f aca="false">ZR25</f>
        <v>1270</v>
      </c>
      <c r="ZT25" s="20" t="n">
        <f aca="false">ZS25</f>
        <v>1270</v>
      </c>
      <c r="ZU25" s="20" t="n">
        <f aca="false">ZT25</f>
        <v>1270</v>
      </c>
      <c r="ZV25" s="20" t="n">
        <f aca="false">ZU25</f>
        <v>1270</v>
      </c>
      <c r="ZW25" s="20" t="n">
        <f aca="false">ZV25</f>
        <v>1270</v>
      </c>
      <c r="ZX25" s="20" t="n">
        <f aca="false">ZW25</f>
        <v>1270</v>
      </c>
      <c r="ZY25" s="20" t="n">
        <f aca="false">ZX25</f>
        <v>1270</v>
      </c>
      <c r="ZZ25" s="20" t="n">
        <f aca="false">ZY25</f>
        <v>1270</v>
      </c>
      <c r="AAA25" s="20" t="n">
        <f aca="false">ZZ25</f>
        <v>1270</v>
      </c>
      <c r="AAB25" s="20" t="n">
        <f aca="false">AAA25</f>
        <v>1270</v>
      </c>
      <c r="AAC25" s="20" t="n">
        <f aca="false">AAB25</f>
        <v>1270</v>
      </c>
      <c r="AAD25" s="20" t="n">
        <f aca="false">AAC25</f>
        <v>1270</v>
      </c>
      <c r="AAE25" s="20" t="n">
        <f aca="false">IF(H_Direct=1,IF(BR25&lt;=0,I25-BR25*TE25,I25-MIN(MIN(BR25*TE25,(H25+I25)),I25)),I25)</f>
        <v>0</v>
      </c>
      <c r="AAF25" s="20" t="n">
        <f aca="false">IF(H_Direct=1,IF(BS25&lt;=0,AAE25-BS25*TF25,AAE25-MIN(MIN(BS25*TF25,(WR25+AAE25)),AAE25)),AAE25)</f>
        <v>0</v>
      </c>
      <c r="AAG25" s="20" t="n">
        <f aca="false">IF(H_Direct=1,IF(BT25&lt;=0,AAF25-BT25*TG25,AAF25-MIN(MIN(BT25*TG25,(WS25+AAF25)),AAF25)),AAF25)</f>
        <v>0</v>
      </c>
      <c r="AAH25" s="20" t="n">
        <f aca="false">IF(H_Direct=1,IF(BU25&lt;=0,AAG25-BU25*TH25,AAG25-MIN(MIN(BU25*TH25,(WT25+AAG25)),AAG25)),AAG25)</f>
        <v>0</v>
      </c>
      <c r="AAI25" s="20" t="n">
        <f aca="false">IF(H_Direct=1,IF(BV25&lt;=0,AAH25-BV25*TI25,AAH25-MIN(MIN(BV25*TI25,(WU25+AAH25)),AAH25)),AAH25)</f>
        <v>0</v>
      </c>
      <c r="AAJ25" s="20" t="n">
        <f aca="false">IF(H_Direct=1,IF(BW25&lt;=0,AAI25-BW25*TJ25,AAI25-MIN(MIN(BW25*TJ25,(WV25+AAI25)),AAI25)),AAI25)</f>
        <v>0</v>
      </c>
      <c r="AAK25" s="20" t="n">
        <f aca="false">IF(H_Direct=1,IF(BX25&lt;=0,AAJ25-BX25*TK25,AAJ25-MIN(MIN(BX25*TK25,(WW25+AAJ25)),AAJ25)),AAJ25)</f>
        <v>0</v>
      </c>
      <c r="AAL25" s="20" t="n">
        <f aca="false">IF(H_Direct=1,IF(BY25&lt;=0,AAK25-BY25*TL25,AAK25-MIN(MIN(BY25*TL25,(WX25+AAK25)),AAK25)),AAK25)</f>
        <v>0</v>
      </c>
      <c r="AAM25" s="20" t="n">
        <f aca="false">IF(H_Direct=1,IF(BZ25&lt;=0,AAL25-BZ25*TM25,AAL25-MIN(MIN(BZ25*TM25,(WY25+AAL25)),AAL25)),AAL25)</f>
        <v>0</v>
      </c>
      <c r="AAN25" s="20" t="n">
        <f aca="false">IF(H_Direct=1,IF(CA25&lt;=0,AAM25-CA25*TN25,AAM25-MIN(MIN(CA25*TN25,(WZ25+AAM25)),AAM25)),AAM25)</f>
        <v>0</v>
      </c>
      <c r="AAO25" s="20" t="n">
        <f aca="false">IF(H_Direct=1,IF(CB25&lt;=0,AAN25-CB25*TO25,AAN25-MIN(MIN(CB25*TO25,(XA25+AAN25)),AAN25)),AAN25)</f>
        <v>0</v>
      </c>
      <c r="AAP25" s="20" t="n">
        <f aca="false">IF(H_Direct=1,IF(CC25&lt;=0,AAO25-CC25*TP25,AAO25-MIN(MIN(CC25*TP25,(XB25+AAO25)),AAO25)),AAO25)</f>
        <v>0</v>
      </c>
      <c r="AAQ25" s="20" t="n">
        <f aca="false">IF(H_Direct=1,IF(CD25&lt;=0,AAP25-CD25*TQ25,AAP25-MIN(MIN(CD25*TQ25,(XC25+AAP25)),AAP25)),AAP25)</f>
        <v>0</v>
      </c>
      <c r="AAR25" s="20" t="n">
        <f aca="false">IF(H_Direct=1,IF(CE25&lt;=0,AAQ25-CE25*TR25,AAQ25-MIN(MIN(CE25*TR25,(XD25+AAQ25)),AAQ25)),AAQ25)</f>
        <v>0</v>
      </c>
      <c r="AAS25" s="20" t="n">
        <f aca="false">IF(H_Direct=1,IF(CF25&lt;=0,AAR25-CF25*TS25,AAR25-MIN(MIN(CF25*TS25,(XE25+AAR25)),AAR25)),AAR25)</f>
        <v>0</v>
      </c>
      <c r="AAT25" s="20" t="n">
        <f aca="false">IF(H_Direct=1,IF(CG25&lt;=0,AAS25-CG25*TT25,AAS25-MIN(MIN(CG25*TT25,(XF25+AAS25)),AAS25)),AAS25)</f>
        <v>0</v>
      </c>
      <c r="AAU25" s="20" t="n">
        <f aca="false">IF(H_Direct=1,IF(CH25&lt;=0,AAT25-CH25*TU25,AAT25-MIN(MIN(CH25*TU25,(XG25+AAT25)),AAT25)),AAT25)</f>
        <v>0</v>
      </c>
      <c r="AAV25" s="20" t="n">
        <f aca="false">IF(H_Direct=1,IF(CI25&lt;=0,AAU25-CI25*TV25,AAU25-MIN(MIN(CI25*TV25,(XH25+AAU25)),AAU25)),AAU25)</f>
        <v>0</v>
      </c>
      <c r="AAW25" s="20" t="n">
        <f aca="false">IF(H_Direct=1,IF(CJ25&lt;=0,AAV25-CJ25*TW25,AAV25-MIN(MIN(CJ25*TW25,(XI25+AAV25)),AAV25)),AAV25)</f>
        <v>0</v>
      </c>
      <c r="AAX25" s="20" t="n">
        <f aca="false">AAW25</f>
        <v>0</v>
      </c>
      <c r="AAY25" s="20" t="n">
        <f aca="false">AAX25</f>
        <v>0</v>
      </c>
      <c r="AAZ25" s="20" t="n">
        <f aca="false">AAY25</f>
        <v>0</v>
      </c>
      <c r="ABA25" s="20" t="n">
        <f aca="false">AAZ25</f>
        <v>0</v>
      </c>
      <c r="ABB25" s="20" t="n">
        <f aca="false">ABA25</f>
        <v>0</v>
      </c>
      <c r="ABC25" s="20" t="n">
        <f aca="false">ABB25</f>
        <v>0</v>
      </c>
      <c r="ABD25" s="20" t="n">
        <f aca="false">ABC25</f>
        <v>0</v>
      </c>
      <c r="ABE25" s="20" t="n">
        <f aca="false">ABD25</f>
        <v>0</v>
      </c>
      <c r="ABF25" s="20" t="n">
        <f aca="false">ABE25</f>
        <v>0</v>
      </c>
      <c r="ABG25" s="20" t="n">
        <f aca="false">ABF25</f>
        <v>0</v>
      </c>
      <c r="ABH25" s="20" t="n">
        <f aca="false">ABG25</f>
        <v>0</v>
      </c>
      <c r="ABI25" s="20" t="n">
        <f aca="false">ABH25</f>
        <v>0</v>
      </c>
      <c r="ABJ25" s="20" t="n">
        <f aca="false">ABI25</f>
        <v>0</v>
      </c>
      <c r="ABK25" s="20" t="n">
        <f aca="false">ABJ25</f>
        <v>0</v>
      </c>
      <c r="ABL25" s="20" t="n">
        <f aca="false">ABK25</f>
        <v>0</v>
      </c>
      <c r="ABM25" s="20" t="n">
        <f aca="false">ABL25</f>
        <v>0</v>
      </c>
      <c r="ABN25" s="20" t="n">
        <f aca="false">ABM25</f>
        <v>0</v>
      </c>
      <c r="ABO25" s="20" t="n">
        <f aca="false">ABN25</f>
        <v>0</v>
      </c>
      <c r="ABP25" s="20" t="n">
        <f aca="false">ABO25</f>
        <v>0</v>
      </c>
      <c r="ABQ25" s="20" t="n">
        <f aca="false">ABP25</f>
        <v>0</v>
      </c>
      <c r="ABR25" s="20" t="n">
        <f aca="false">ABQ25</f>
        <v>0</v>
      </c>
      <c r="ABS25" s="20" t="n">
        <f aca="false">ABR25</f>
        <v>0</v>
      </c>
      <c r="ABT25" s="20" t="n">
        <f aca="false">ABS25</f>
        <v>0</v>
      </c>
      <c r="ABU25" s="20" t="n">
        <f aca="false">ABT25</f>
        <v>0</v>
      </c>
      <c r="ABV25" s="20" t="n">
        <f aca="false">ABU25</f>
        <v>0</v>
      </c>
      <c r="ABW25" s="20" t="n">
        <f aca="false">ABV25</f>
        <v>0</v>
      </c>
      <c r="ABX25" s="20" t="n">
        <f aca="false">ABW25</f>
        <v>0</v>
      </c>
      <c r="ABY25" s="20" t="n">
        <f aca="false">ABX25</f>
        <v>0</v>
      </c>
      <c r="ABZ25" s="20" t="n">
        <f aca="false">ABY25</f>
        <v>0</v>
      </c>
      <c r="ACA25" s="20" t="n">
        <f aca="false">ABZ25</f>
        <v>0</v>
      </c>
      <c r="ACB25" s="20" t="n">
        <f aca="false">ACA25</f>
        <v>0</v>
      </c>
      <c r="ACC25" s="20" t="n">
        <f aca="false">ACB25</f>
        <v>0</v>
      </c>
      <c r="ACD25" s="20" t="n">
        <f aca="false">ACC25</f>
        <v>0</v>
      </c>
      <c r="ACE25" s="20" t="n">
        <f aca="false">ACD25</f>
        <v>0</v>
      </c>
      <c r="ACF25" s="20" t="n">
        <f aca="false">ACE25</f>
        <v>0</v>
      </c>
      <c r="ACG25" s="20" t="n">
        <f aca="false">ACF25</f>
        <v>0</v>
      </c>
      <c r="ACH25" s="20" t="n">
        <f aca="false">ACG25</f>
        <v>0</v>
      </c>
      <c r="ACI25" s="20" t="n">
        <f aca="false">ACH25</f>
        <v>0</v>
      </c>
      <c r="ACJ25" s="20" t="n">
        <f aca="false">ACI25</f>
        <v>0</v>
      </c>
      <c r="ACK25" s="20" t="n">
        <f aca="false">ACJ25</f>
        <v>0</v>
      </c>
      <c r="ACL25" s="20" t="n">
        <f aca="false">ACK25</f>
        <v>0</v>
      </c>
      <c r="ACM25" s="20" t="n">
        <f aca="false">ACL25</f>
        <v>0</v>
      </c>
      <c r="ACN25" s="20" t="n">
        <f aca="false">ACM25</f>
        <v>0</v>
      </c>
      <c r="ACO25" s="20" t="n">
        <f aca="false">ACN25</f>
        <v>0</v>
      </c>
      <c r="ACP25" s="20" t="n">
        <f aca="false">ACO25</f>
        <v>0</v>
      </c>
      <c r="ACQ25" s="20" t="n">
        <f aca="false">ACP25</f>
        <v>0</v>
      </c>
      <c r="ACR25" s="20" t="n">
        <f aca="false">ACQ25</f>
        <v>0</v>
      </c>
      <c r="ACS25" s="20" t="n">
        <f aca="false">ACR25</f>
        <v>0</v>
      </c>
      <c r="ACT25" s="20" t="n">
        <f aca="false">ACS25</f>
        <v>0</v>
      </c>
      <c r="ACU25" s="20" t="n">
        <f aca="false">ACT25</f>
        <v>0</v>
      </c>
      <c r="ACV25" s="20" t="n">
        <f aca="false">ACU25</f>
        <v>0</v>
      </c>
      <c r="ACW25" s="20" t="n">
        <f aca="false">ACV25</f>
        <v>0</v>
      </c>
      <c r="ACX25" s="20" t="n">
        <f aca="false">ACW25</f>
        <v>0</v>
      </c>
      <c r="ACY25" s="20" t="n">
        <f aca="false">ACX25</f>
        <v>0</v>
      </c>
      <c r="ACZ25" s="20" t="n">
        <f aca="false">ACY25</f>
        <v>0</v>
      </c>
      <c r="ADA25" s="20" t="n">
        <f aca="false">ACZ25</f>
        <v>0</v>
      </c>
      <c r="ADB25" s="20" t="n">
        <f aca="false">ADA25</f>
        <v>0</v>
      </c>
      <c r="ADC25" s="20" t="n">
        <f aca="false">ADB25</f>
        <v>0</v>
      </c>
      <c r="ADD25" s="20" t="n">
        <f aca="false">ADC25</f>
        <v>0</v>
      </c>
      <c r="ADE25" s="20" t="n">
        <f aca="false">ADD25</f>
        <v>0</v>
      </c>
      <c r="ADF25" s="20" t="n">
        <f aca="false">ADE25</f>
        <v>0</v>
      </c>
      <c r="ADG25" s="20" t="n">
        <f aca="false">ADF25</f>
        <v>0</v>
      </c>
      <c r="ADH25" s="20" t="n">
        <f aca="false">ADG25</f>
        <v>0</v>
      </c>
      <c r="ADI25" s="20" t="n">
        <f aca="false">ADH25</f>
        <v>0</v>
      </c>
      <c r="ADJ25" s="20" t="n">
        <f aca="false">ADI25</f>
        <v>0</v>
      </c>
      <c r="ADK25" s="20" t="n">
        <f aca="false">ADJ25</f>
        <v>0</v>
      </c>
      <c r="ADL25" s="20" t="n">
        <f aca="false">ADK25</f>
        <v>0</v>
      </c>
      <c r="ADM25" s="20" t="n">
        <f aca="false">ADL25</f>
        <v>0</v>
      </c>
      <c r="ADN25" s="20" t="n">
        <f aca="false">ADM25</f>
        <v>0</v>
      </c>
      <c r="ADO25" s="20" t="n">
        <f aca="false">ADN25</f>
        <v>0</v>
      </c>
      <c r="ADP25" s="20" t="n">
        <f aca="false">ADO25</f>
        <v>0</v>
      </c>
      <c r="ADQ25" s="20" t="n">
        <f aca="false">ADP25</f>
        <v>0</v>
      </c>
      <c r="ADR25" s="20" t="n">
        <f aca="false">(AKR24-TE25+0)*(1+BQ25)</f>
        <v>0</v>
      </c>
      <c r="ADS25" s="20" t="n">
        <f aca="false">(AKS24-TF25+0)*(1+BQ25)</f>
        <v>0</v>
      </c>
      <c r="ADT25" s="20" t="n">
        <f aca="false">(AKT24-TG25+0)*(1+BQ25)</f>
        <v>0</v>
      </c>
      <c r="ADU25" s="20" t="n">
        <f aca="false">(AKU24-TH25+0)*(1+BQ25)</f>
        <v>0</v>
      </c>
      <c r="ADV25" s="20" t="n">
        <f aca="false">(AKV24-TI25+0)*(1+BQ25)</f>
        <v>0</v>
      </c>
      <c r="ADW25" s="20" t="n">
        <f aca="false">(AKW24-TJ25+0)*(1+BQ25)</f>
        <v>0</v>
      </c>
      <c r="ADX25" s="20" t="n">
        <f aca="false">(AKX24-TK25+0)*(1+BQ25)</f>
        <v>0</v>
      </c>
      <c r="ADY25" s="20" t="n">
        <f aca="false">(AKY24-TL25+0)*(1+BQ25)</f>
        <v>0</v>
      </c>
      <c r="ADZ25" s="20" t="n">
        <f aca="false">(AKZ24-TM25+0)*(1+BQ25)</f>
        <v>0</v>
      </c>
      <c r="AEA25" s="20" t="n">
        <f aca="false">(ALA24-TN25+0)*(1+BQ25)</f>
        <v>0</v>
      </c>
      <c r="AEB25" s="20" t="n">
        <f aca="false">(ALB24-TO25+0)*(1+BQ25)</f>
        <v>0</v>
      </c>
      <c r="AEC25" s="20" t="n">
        <f aca="false">(ALC24-TP25+0)*(1+BQ25)</f>
        <v>748.165113679332</v>
      </c>
      <c r="AED25" s="20" t="n">
        <f aca="false">(ALD24-TQ25+0)*(1+BQ25)</f>
        <v>941.167905667256</v>
      </c>
      <c r="AEE25" s="20" t="n">
        <f aca="false">(ALE24-TR25+0)*(1+BQ25)</f>
        <v>1126.31493520768</v>
      </c>
      <c r="AEF25" s="20" t="n">
        <f aca="false">(ALF24-TS25+0)*(1+BQ25)</f>
        <v>1266.54709913744</v>
      </c>
      <c r="AEG25" s="20" t="n">
        <f aca="false">(ALG24-TT25+0)*(1+BQ25)</f>
        <v>1218.04867868791</v>
      </c>
      <c r="AEH25" s="20" t="n">
        <f aca="false">(ALH24-TU25+0)*(1+BQ25)</f>
        <v>1170.71505233805</v>
      </c>
      <c r="AEI25" s="20" t="n">
        <f aca="false">(ALI24-TV25+0)*(1+BQ25)</f>
        <v>1124.52158816125</v>
      </c>
      <c r="AEJ25" s="20" t="n">
        <f aca="false">((P25+S25)-TW25+BE25)*(1+BQ25)</f>
        <v>3495.00258230429</v>
      </c>
      <c r="AEK25" s="20" t="n">
        <v>0</v>
      </c>
      <c r="AEL25" s="20" t="n">
        <v>0</v>
      </c>
      <c r="AEM25" s="20" t="n">
        <v>0</v>
      </c>
      <c r="AEN25" s="20" t="n">
        <v>0</v>
      </c>
      <c r="AEO25" s="20" t="n">
        <v>0</v>
      </c>
      <c r="AEP25" s="20" t="n">
        <v>0</v>
      </c>
      <c r="AEQ25" s="20" t="n">
        <v>0</v>
      </c>
      <c r="AER25" s="20" t="n">
        <v>0</v>
      </c>
      <c r="AES25" s="20" t="n">
        <v>0</v>
      </c>
      <c r="AET25" s="20" t="n">
        <v>0</v>
      </c>
      <c r="AEU25" s="20" t="n">
        <v>0</v>
      </c>
      <c r="AEV25" s="20" t="n">
        <v>0</v>
      </c>
      <c r="AEW25" s="20" t="n">
        <v>0</v>
      </c>
      <c r="AEX25" s="20" t="n">
        <v>0</v>
      </c>
      <c r="AEY25" s="20" t="n">
        <v>0</v>
      </c>
      <c r="AEZ25" s="20" t="n">
        <v>0</v>
      </c>
      <c r="AFA25" s="20" t="n">
        <v>0</v>
      </c>
      <c r="AFB25" s="20" t="n">
        <v>0</v>
      </c>
      <c r="AFC25" s="20" t="n">
        <v>0</v>
      </c>
      <c r="AFD25" s="20" t="n">
        <v>0</v>
      </c>
      <c r="AFE25" s="20" t="n">
        <v>0</v>
      </c>
      <c r="AFF25" s="20" t="n">
        <v>0</v>
      </c>
      <c r="AFG25" s="20" t="n">
        <v>0</v>
      </c>
      <c r="AFH25" s="20" t="n">
        <v>0</v>
      </c>
      <c r="AFI25" s="20" t="n">
        <v>0</v>
      </c>
      <c r="AFJ25" s="20" t="n">
        <v>0</v>
      </c>
      <c r="AFK25" s="20" t="n">
        <v>0</v>
      </c>
      <c r="AFL25" s="20" t="n">
        <v>0</v>
      </c>
      <c r="AFM25" s="20" t="n">
        <v>0</v>
      </c>
      <c r="AFN25" s="20" t="n">
        <v>0</v>
      </c>
      <c r="AFO25" s="20" t="n">
        <v>0</v>
      </c>
      <c r="AFP25" s="20" t="n">
        <v>0</v>
      </c>
      <c r="AFQ25" s="20" t="n">
        <v>0</v>
      </c>
      <c r="AFR25" s="20" t="n">
        <v>0</v>
      </c>
      <c r="AFS25" s="20" t="n">
        <v>0</v>
      </c>
      <c r="AFT25" s="20" t="n">
        <v>0</v>
      </c>
      <c r="AFU25" s="20" t="n">
        <v>0</v>
      </c>
      <c r="AFV25" s="20" t="n">
        <v>0</v>
      </c>
      <c r="AFW25" s="20" t="n">
        <v>0</v>
      </c>
      <c r="AFX25" s="20" t="n">
        <v>0</v>
      </c>
      <c r="AFY25" s="20" t="n">
        <v>0</v>
      </c>
      <c r="AFZ25" s="20" t="n">
        <v>0</v>
      </c>
      <c r="AGA25" s="20" t="n">
        <v>0</v>
      </c>
      <c r="AGB25" s="20" t="n">
        <v>0</v>
      </c>
      <c r="AGC25" s="20" t="n">
        <v>0</v>
      </c>
      <c r="AGD25" s="20" t="n">
        <v>0</v>
      </c>
      <c r="AGE25" s="20" t="n">
        <v>0</v>
      </c>
      <c r="AGF25" s="20" t="n">
        <v>0</v>
      </c>
      <c r="AGG25" s="20" t="n">
        <v>0</v>
      </c>
      <c r="AGH25" s="20" t="n">
        <v>0</v>
      </c>
      <c r="AGI25" s="20" t="n">
        <v>0</v>
      </c>
      <c r="AGJ25" s="20" t="n">
        <v>0</v>
      </c>
      <c r="AGK25" s="20" t="n">
        <v>0</v>
      </c>
      <c r="AGL25" s="20" t="n">
        <v>0</v>
      </c>
      <c r="AGM25" s="20" t="n">
        <v>0</v>
      </c>
      <c r="AGN25" s="20" t="n">
        <v>0</v>
      </c>
      <c r="AGO25" s="20" t="n">
        <v>0</v>
      </c>
      <c r="AGP25" s="20" t="n">
        <v>0</v>
      </c>
      <c r="AGQ25" s="20" t="n">
        <v>0</v>
      </c>
      <c r="AGR25" s="20" t="n">
        <v>0</v>
      </c>
      <c r="AGS25" s="20" t="n">
        <v>0</v>
      </c>
      <c r="AGT25" s="20" t="n">
        <v>0</v>
      </c>
      <c r="AGU25" s="20" t="n">
        <v>0</v>
      </c>
      <c r="AGV25" s="20" t="n">
        <v>0</v>
      </c>
      <c r="AGW25" s="20" t="n">
        <v>0</v>
      </c>
      <c r="AGX25" s="20" t="n">
        <v>0</v>
      </c>
      <c r="AGY25" s="20" t="n">
        <v>0</v>
      </c>
      <c r="AGZ25" s="20" t="n">
        <v>0</v>
      </c>
      <c r="AHA25" s="20" t="n">
        <v>0</v>
      </c>
      <c r="AHB25" s="20" t="n">
        <v>0</v>
      </c>
      <c r="AHC25" s="20" t="n">
        <v>0</v>
      </c>
      <c r="AHD25" s="20" t="n">
        <v>0</v>
      </c>
      <c r="AHE25" s="20" t="n">
        <f aca="false">IF(AKR24&gt;0,AOE24-AOE24*TE25/AKR24,0)+0</f>
        <v>0</v>
      </c>
      <c r="AHF25" s="20" t="n">
        <f aca="false">IF(AKS24&gt;0,AOF24-AOF24*TF25/AKS24,0)+0</f>
        <v>0</v>
      </c>
      <c r="AHG25" s="20" t="n">
        <f aca="false">IF(AKT24&gt;0,AOG24-AOG24*TG25/AKT24,0)+0</f>
        <v>0</v>
      </c>
      <c r="AHH25" s="20" t="n">
        <f aca="false">IF(AKU24&gt;0,AOH24-AOH24*TH25/AKU24,0)+0</f>
        <v>0</v>
      </c>
      <c r="AHI25" s="20" t="n">
        <f aca="false">IF(AKV24&gt;0,AOI24-AOI24*TI25/AKV24,0)+0</f>
        <v>0</v>
      </c>
      <c r="AHJ25" s="20" t="n">
        <f aca="false">IF(AKW24&gt;0,AOJ24-AOJ24*TJ25/AKW24,0)+0</f>
        <v>0</v>
      </c>
      <c r="AHK25" s="20" t="n">
        <f aca="false">IF(AKX24&gt;0,AOK24-AOK24*TK25/AKX24,0)+0</f>
        <v>0</v>
      </c>
      <c r="AHL25" s="20" t="n">
        <f aca="false">IF(AKY24&gt;0,AOL24-AOL24*TL25/AKY24,0)+0</f>
        <v>0</v>
      </c>
      <c r="AHM25" s="20" t="n">
        <f aca="false">IF(AKZ24&gt;0,AOM24-AOM24*TM25/AKZ24,0)+0</f>
        <v>0</v>
      </c>
      <c r="AHN25" s="20" t="n">
        <f aca="false">IF(ALA24&gt;0,AON24-AON24*TN25/ALA24,0)+0</f>
        <v>0</v>
      </c>
      <c r="AHO25" s="20" t="n">
        <f aca="false">IF(ALB24&gt;0,AOO24-AOO24*TO25/ALB24,0)+0</f>
        <v>0</v>
      </c>
      <c r="AHP25" s="20" t="n">
        <f aca="false">IF(ALC24&gt;0,AOP24-AOP24*TP25/ALC24,0)+0</f>
        <v>546.676920289684</v>
      </c>
      <c r="AHQ25" s="20" t="n">
        <f aca="false">IF(ALD24&gt;0,AOQ24-AOQ24*TQ25/ALD24,0)+0</f>
        <v>715.210256730627</v>
      </c>
      <c r="AHR25" s="20" t="n">
        <f aca="false">IF(ALE24&gt;0,AOR24-AOR24*TR25/ALE24,0)+0</f>
        <v>890.143053841438</v>
      </c>
      <c r="AHS25" s="20" t="n">
        <f aca="false">IF(ALF24&gt;0,AOS24-AOS24*TS25/ALF24,0)+0</f>
        <v>1041.00939276848</v>
      </c>
      <c r="AHT25" s="20" t="n">
        <f aca="false">IF(ALG24&gt;0,AOT24-AOT24*TT25/ALG24,0)+0</f>
        <v>1041.19311542065</v>
      </c>
      <c r="AHU25" s="20" t="n">
        <f aca="false">IF(ALH24&gt;0,AOU24-AOU24*TU25/ALH24,0)+0</f>
        <v>1040.76141856976</v>
      </c>
      <c r="AHV25" s="20" t="n">
        <f aca="false">IF(ALI24&gt;0,AOV24-AOV24*TV25/ALI24,0)+0</f>
        <v>1039.68342100707</v>
      </c>
      <c r="AHW25" s="20" t="n">
        <f aca="false">IF((P25+S25)&gt;0,(P25+S25)-(P25+S25)*TW25/(P25+S25),0)+BE25</f>
        <v>3360.57940606182</v>
      </c>
      <c r="AHX25" s="20" t="n">
        <v>0</v>
      </c>
      <c r="AHY25" s="20" t="n">
        <v>0</v>
      </c>
      <c r="AHZ25" s="20" t="n">
        <v>0</v>
      </c>
      <c r="AIA25" s="20" t="n">
        <v>0</v>
      </c>
      <c r="AIB25" s="20" t="n">
        <v>0</v>
      </c>
      <c r="AIC25" s="20" t="n">
        <v>0</v>
      </c>
      <c r="AID25" s="20" t="n">
        <v>0</v>
      </c>
      <c r="AIE25" s="20" t="n">
        <v>0</v>
      </c>
      <c r="AIF25" s="20" t="n">
        <v>0</v>
      </c>
      <c r="AIG25" s="20" t="n">
        <v>0</v>
      </c>
      <c r="AIH25" s="20" t="n">
        <v>0</v>
      </c>
      <c r="AII25" s="20" t="n">
        <v>0</v>
      </c>
      <c r="AIJ25" s="20" t="n">
        <v>0</v>
      </c>
      <c r="AIK25" s="20" t="n">
        <v>0</v>
      </c>
      <c r="AIL25" s="20" t="n">
        <v>0</v>
      </c>
      <c r="AIM25" s="20" t="n">
        <v>0</v>
      </c>
      <c r="AIN25" s="20" t="n">
        <v>0</v>
      </c>
      <c r="AIO25" s="20" t="n">
        <v>0</v>
      </c>
      <c r="AIP25" s="20" t="n">
        <v>0</v>
      </c>
      <c r="AIQ25" s="20" t="n">
        <v>0</v>
      </c>
      <c r="AIR25" s="20" t="n">
        <v>0</v>
      </c>
      <c r="AIS25" s="20" t="n">
        <v>0</v>
      </c>
      <c r="AIT25" s="20" t="n">
        <v>0</v>
      </c>
      <c r="AIU25" s="20" t="n">
        <v>0</v>
      </c>
      <c r="AIV25" s="20" t="n">
        <v>0</v>
      </c>
      <c r="AIW25" s="20" t="n">
        <v>0</v>
      </c>
      <c r="AIX25" s="20" t="n">
        <v>0</v>
      </c>
      <c r="AIY25" s="20" t="n">
        <v>0</v>
      </c>
      <c r="AIZ25" s="20" t="n">
        <v>0</v>
      </c>
      <c r="AJA25" s="20" t="n">
        <v>0</v>
      </c>
      <c r="AJB25" s="20" t="n">
        <v>0</v>
      </c>
      <c r="AJC25" s="20" t="n">
        <v>0</v>
      </c>
      <c r="AJD25" s="20" t="n">
        <v>0</v>
      </c>
      <c r="AJE25" s="20" t="n">
        <v>0</v>
      </c>
      <c r="AJF25" s="20" t="n">
        <v>0</v>
      </c>
      <c r="AJG25" s="20" t="n">
        <v>0</v>
      </c>
      <c r="AJH25" s="20" t="n">
        <v>0</v>
      </c>
      <c r="AJI25" s="20" t="n">
        <v>0</v>
      </c>
      <c r="AJJ25" s="20" t="n">
        <v>0</v>
      </c>
      <c r="AJK25" s="20" t="n">
        <v>0</v>
      </c>
      <c r="AJL25" s="20" t="n">
        <v>0</v>
      </c>
      <c r="AJM25" s="20" t="n">
        <v>0</v>
      </c>
      <c r="AJN25" s="20" t="n">
        <v>0</v>
      </c>
      <c r="AJO25" s="20" t="n">
        <v>0</v>
      </c>
      <c r="AJP25" s="20" t="n">
        <v>0</v>
      </c>
      <c r="AJQ25" s="20" t="n">
        <v>0</v>
      </c>
      <c r="AJR25" s="20" t="n">
        <v>0</v>
      </c>
      <c r="AJS25" s="20" t="n">
        <v>0</v>
      </c>
      <c r="AJT25" s="20" t="n">
        <v>0</v>
      </c>
      <c r="AJU25" s="20" t="n">
        <v>0</v>
      </c>
      <c r="AJV25" s="20" t="n">
        <v>0</v>
      </c>
      <c r="AJW25" s="20" t="n">
        <v>0</v>
      </c>
      <c r="AJX25" s="20" t="n">
        <v>0</v>
      </c>
      <c r="AJY25" s="20" t="n">
        <v>0</v>
      </c>
      <c r="AJZ25" s="20" t="n">
        <v>0</v>
      </c>
      <c r="AKA25" s="20" t="n">
        <v>0</v>
      </c>
      <c r="AKB25" s="20" t="n">
        <v>0</v>
      </c>
      <c r="AKC25" s="20" t="n">
        <v>0</v>
      </c>
      <c r="AKD25" s="20" t="n">
        <v>0</v>
      </c>
      <c r="AKE25" s="20" t="n">
        <v>0</v>
      </c>
      <c r="AKF25" s="20" t="n">
        <v>0</v>
      </c>
      <c r="AKG25" s="20" t="n">
        <v>0</v>
      </c>
      <c r="AKH25" s="20" t="n">
        <v>0</v>
      </c>
      <c r="AKI25" s="20" t="n">
        <v>0</v>
      </c>
      <c r="AKJ25" s="20" t="n">
        <v>0</v>
      </c>
      <c r="AKK25" s="20" t="n">
        <v>0</v>
      </c>
      <c r="AKL25" s="20" t="n">
        <v>0</v>
      </c>
      <c r="AKM25" s="20" t="n">
        <v>0</v>
      </c>
      <c r="AKN25" s="20" t="n">
        <v>0</v>
      </c>
      <c r="AKO25" s="20" t="n">
        <v>0</v>
      </c>
      <c r="AKP25" s="20" t="n">
        <v>0</v>
      </c>
      <c r="AKQ25" s="20" t="n">
        <v>0</v>
      </c>
      <c r="AKR25" s="20" t="n">
        <f aca="false">ADR25-AVE25</f>
        <v>0</v>
      </c>
      <c r="AKS25" s="20" t="n">
        <f aca="false">ADS25-AVF25</f>
        <v>0</v>
      </c>
      <c r="AKT25" s="20" t="n">
        <f aca="false">ADT25-AVG25</f>
        <v>0</v>
      </c>
      <c r="AKU25" s="20" t="n">
        <f aca="false">ADU25-AVH25</f>
        <v>0</v>
      </c>
      <c r="AKV25" s="20" t="n">
        <f aca="false">ADV25-AVI25</f>
        <v>0</v>
      </c>
      <c r="AKW25" s="20" t="n">
        <f aca="false">ADW25-AVJ25</f>
        <v>0</v>
      </c>
      <c r="AKX25" s="20" t="n">
        <f aca="false">ADX25-AVK25</f>
        <v>0</v>
      </c>
      <c r="AKY25" s="20" t="n">
        <f aca="false">ADY25-AVL25</f>
        <v>0</v>
      </c>
      <c r="AKZ25" s="20" t="n">
        <f aca="false">ADZ25-AVM25</f>
        <v>0</v>
      </c>
      <c r="ALA25" s="20" t="n">
        <f aca="false">AEA25-AVN25</f>
        <v>0</v>
      </c>
      <c r="ALB25" s="20" t="n">
        <f aca="false">AEB25-AVO25</f>
        <v>0</v>
      </c>
      <c r="ALC25" s="20" t="n">
        <f aca="false">AEC25-AVP25</f>
        <v>671.599600191266</v>
      </c>
      <c r="ALD25" s="20" t="n">
        <f aca="false">AED25-AVQ25</f>
        <v>941.167905667256</v>
      </c>
      <c r="ALE25" s="20" t="n">
        <f aca="false">AEE25-AVR25</f>
        <v>1126.31493520768</v>
      </c>
      <c r="ALF25" s="20" t="n">
        <f aca="false">AEF25-AVS25</f>
        <v>1266.54709913744</v>
      </c>
      <c r="ALG25" s="20" t="n">
        <f aca="false">AEG25-AVT25</f>
        <v>1218.04867868791</v>
      </c>
      <c r="ALH25" s="20" t="n">
        <f aca="false">AEH25-AVU25</f>
        <v>1170.71505233805</v>
      </c>
      <c r="ALI25" s="20" t="n">
        <f aca="false">AEI25-AVV25</f>
        <v>1124.52158816125</v>
      </c>
      <c r="ALJ25" s="20" t="n">
        <f aca="false">AEJ25-AVW25</f>
        <v>3495.00258230429</v>
      </c>
      <c r="ALK25" s="20" t="n">
        <v>0</v>
      </c>
      <c r="ALL25" s="20" t="n">
        <v>0</v>
      </c>
      <c r="ALM25" s="20" t="n">
        <v>0</v>
      </c>
      <c r="ALN25" s="20" t="n">
        <v>0</v>
      </c>
      <c r="ALO25" s="20" t="n">
        <v>0</v>
      </c>
      <c r="ALP25" s="20" t="n">
        <v>0</v>
      </c>
      <c r="ALQ25" s="20" t="n">
        <v>0</v>
      </c>
      <c r="ALR25" s="20" t="n">
        <v>0</v>
      </c>
      <c r="ALS25" s="20" t="n">
        <v>0</v>
      </c>
      <c r="ALT25" s="20" t="n">
        <v>0</v>
      </c>
      <c r="ALU25" s="20" t="n">
        <v>0</v>
      </c>
      <c r="ALV25" s="20" t="n">
        <v>0</v>
      </c>
      <c r="ALW25" s="20" t="n">
        <v>0</v>
      </c>
      <c r="ALX25" s="20" t="n">
        <v>0</v>
      </c>
      <c r="ALY25" s="20" t="n">
        <v>0</v>
      </c>
      <c r="ALZ25" s="20" t="n">
        <v>0</v>
      </c>
      <c r="AMA25" s="20" t="n">
        <v>0</v>
      </c>
      <c r="AMB25" s="20" t="n">
        <v>0</v>
      </c>
      <c r="AMC25" s="20" t="n">
        <v>0</v>
      </c>
      <c r="AMD25" s="20" t="n">
        <v>0</v>
      </c>
      <c r="AME25" s="20" t="n">
        <v>0</v>
      </c>
      <c r="AMF25" s="20" t="n">
        <v>0</v>
      </c>
      <c r="AMG25" s="20" t="n">
        <v>0</v>
      </c>
      <c r="AMH25" s="20" t="n">
        <v>0</v>
      </c>
      <c r="AMI25" s="20" t="n">
        <v>0</v>
      </c>
      <c r="AMJ25" s="20" t="n">
        <v>0</v>
      </c>
      <c r="AMK25" s="20" t="n">
        <v>0</v>
      </c>
      <c r="AML25" s="20" t="n">
        <v>0</v>
      </c>
      <c r="AMM25" s="20" t="n">
        <v>0</v>
      </c>
      <c r="AMN25" s="20" t="n">
        <v>0</v>
      </c>
      <c r="AMO25" s="20" t="n">
        <v>0</v>
      </c>
      <c r="AMP25" s="20" t="n">
        <v>0</v>
      </c>
      <c r="AMQ25" s="20" t="n">
        <v>0</v>
      </c>
      <c r="AMR25" s="20" t="n">
        <v>0</v>
      </c>
      <c r="AMS25" s="20" t="n">
        <v>0</v>
      </c>
      <c r="AMT25" s="20" t="n">
        <v>0</v>
      </c>
      <c r="AMU25" s="20" t="n">
        <v>0</v>
      </c>
      <c r="AMV25" s="20" t="n">
        <v>0</v>
      </c>
      <c r="AMW25" s="20" t="n">
        <v>0</v>
      </c>
      <c r="AMX25" s="20" t="n">
        <v>0</v>
      </c>
      <c r="AMY25" s="20" t="n">
        <v>0</v>
      </c>
      <c r="AMZ25" s="20" t="n">
        <v>0</v>
      </c>
      <c r="ANA25" s="20" t="n">
        <v>0</v>
      </c>
      <c r="ANB25" s="20" t="n">
        <v>0</v>
      </c>
      <c r="ANC25" s="20" t="n">
        <v>0</v>
      </c>
      <c r="AND25" s="20" t="n">
        <v>0</v>
      </c>
      <c r="ANE25" s="20" t="n">
        <v>0</v>
      </c>
      <c r="ANF25" s="20" t="n">
        <v>0</v>
      </c>
      <c r="ANG25" s="20" t="n">
        <v>0</v>
      </c>
      <c r="ANH25" s="20" t="n">
        <v>0</v>
      </c>
      <c r="ANI25" s="20" t="n">
        <v>0</v>
      </c>
      <c r="ANJ25" s="20" t="n">
        <v>0</v>
      </c>
      <c r="ANK25" s="20" t="n">
        <v>0</v>
      </c>
      <c r="ANL25" s="20" t="n">
        <v>0</v>
      </c>
      <c r="ANM25" s="20" t="n">
        <v>0</v>
      </c>
      <c r="ANN25" s="20" t="n">
        <v>0</v>
      </c>
      <c r="ANO25" s="20" t="n">
        <v>0</v>
      </c>
      <c r="ANP25" s="20" t="n">
        <v>0</v>
      </c>
      <c r="ANQ25" s="20" t="n">
        <v>0</v>
      </c>
      <c r="ANR25" s="20" t="n">
        <v>0</v>
      </c>
      <c r="ANS25" s="20" t="n">
        <v>0</v>
      </c>
      <c r="ANT25" s="20" t="n">
        <v>0</v>
      </c>
      <c r="ANU25" s="20" t="n">
        <v>0</v>
      </c>
      <c r="ANV25" s="20" t="n">
        <v>0</v>
      </c>
      <c r="ANW25" s="20" t="n">
        <v>0</v>
      </c>
      <c r="ANX25" s="20" t="n">
        <v>0</v>
      </c>
      <c r="ANY25" s="20" t="n">
        <v>0</v>
      </c>
      <c r="ANZ25" s="20" t="n">
        <v>0</v>
      </c>
      <c r="AOA25" s="20" t="n">
        <v>0</v>
      </c>
      <c r="AOB25" s="20" t="n">
        <v>0</v>
      </c>
      <c r="AOC25" s="20" t="n">
        <v>0</v>
      </c>
      <c r="AOD25" s="20" t="n">
        <v>0</v>
      </c>
      <c r="AOE25" s="20" t="n">
        <f aca="false">IF(AND(H_Direct=0,H_TaxEvt=1,ARR24+1&gt;=H_Deemed),AKR25,AHE25)</f>
        <v>0</v>
      </c>
      <c r="AOF25" s="20" t="n">
        <f aca="false">IF(AND(H_Direct=0,H_TaxEvt=1,ARS24+1&gt;=H_Deemed),AKS25,AHF25)</f>
        <v>0</v>
      </c>
      <c r="AOG25" s="20" t="n">
        <f aca="false">IF(AND(H_Direct=0,H_TaxEvt=1,ART24+1&gt;=H_Deemed),AKT25,AHG25)</f>
        <v>0</v>
      </c>
      <c r="AOH25" s="20" t="n">
        <f aca="false">IF(AND(H_Direct=0,H_TaxEvt=1,ARU24+1&gt;=H_Deemed),AKU25,AHH25)</f>
        <v>0</v>
      </c>
      <c r="AOI25" s="20" t="n">
        <f aca="false">IF(AND(H_Direct=0,H_TaxEvt=1,ARV24+1&gt;=H_Deemed),AKV25,AHI25)</f>
        <v>0</v>
      </c>
      <c r="AOJ25" s="20" t="n">
        <f aca="false">IF(AND(H_Direct=0,H_TaxEvt=1,ARW24+1&gt;=H_Deemed),AKW25,AHJ25)</f>
        <v>0</v>
      </c>
      <c r="AOK25" s="20" t="n">
        <f aca="false">IF(AND(H_Direct=0,H_TaxEvt=1,ARX24+1&gt;=H_Deemed),AKX25,AHK25)</f>
        <v>0</v>
      </c>
      <c r="AOL25" s="20" t="n">
        <f aca="false">IF(AND(H_Direct=0,H_TaxEvt=1,ARY24+1&gt;=H_Deemed),AKY25,AHL25)</f>
        <v>0</v>
      </c>
      <c r="AOM25" s="20" t="n">
        <f aca="false">IF(AND(H_Direct=0,H_TaxEvt=1,ARZ24+1&gt;=H_Deemed),AKZ25,AHM25)</f>
        <v>0</v>
      </c>
      <c r="AON25" s="20" t="n">
        <f aca="false">IF(AND(H_Direct=0,H_TaxEvt=1,ASA24+1&gt;=H_Deemed),ALA25,AHN25)</f>
        <v>0</v>
      </c>
      <c r="AOO25" s="20" t="n">
        <f aca="false">IF(AND(H_Direct=0,H_TaxEvt=1,ASB24+1&gt;=H_Deemed),ALB25,AHO25)</f>
        <v>0</v>
      </c>
      <c r="AOP25" s="20" t="n">
        <f aca="false">IF(AND(H_Direct=0,H_TaxEvt=1,ASC24+1&gt;=H_Deemed),ALC25,AHP25)</f>
        <v>671.599600191266</v>
      </c>
      <c r="AOQ25" s="20" t="n">
        <f aca="false">IF(AND(H_Direct=0,H_TaxEvt=1,ASD24+1&gt;=H_Deemed),ALD25,AHQ25)</f>
        <v>715.210256730627</v>
      </c>
      <c r="AOR25" s="20" t="n">
        <f aca="false">IF(AND(H_Direct=0,H_TaxEvt=1,ASE24+1&gt;=H_Deemed),ALE25,AHR25)</f>
        <v>890.143053841438</v>
      </c>
      <c r="AOS25" s="20" t="n">
        <f aca="false">IF(AND(H_Direct=0,H_TaxEvt=1,ASF24+1&gt;=H_Deemed),ALF25,AHS25)</f>
        <v>1041.00939276848</v>
      </c>
      <c r="AOT25" s="20" t="n">
        <f aca="false">IF(AND(H_Direct=0,H_TaxEvt=1,ASG24+1&gt;=H_Deemed),ALG25,AHT25)</f>
        <v>1041.19311542065</v>
      </c>
      <c r="AOU25" s="20" t="n">
        <f aca="false">IF(AND(H_Direct=0,H_TaxEvt=1,ASH24+1&gt;=H_Deemed),ALH25,AHU25)</f>
        <v>1040.76141856976</v>
      </c>
      <c r="AOV25" s="20" t="n">
        <f aca="false">IF(AND(H_Direct=0,H_TaxEvt=1,ASI24+1&gt;=H_Deemed),ALI25,AHV25)</f>
        <v>1039.68342100707</v>
      </c>
      <c r="AOW25" s="20" t="n">
        <f aca="false">IF(AND(H_Direct=0,H_TaxEvt=1,0+1&gt;=H_Deemed),ALJ25,AHW25)</f>
        <v>3360.57940606182</v>
      </c>
      <c r="AOX25" s="20" t="n">
        <v>0</v>
      </c>
      <c r="AOY25" s="20" t="n">
        <v>0</v>
      </c>
      <c r="AOZ25" s="20" t="n">
        <v>0</v>
      </c>
      <c r="APA25" s="20" t="n">
        <v>0</v>
      </c>
      <c r="APB25" s="20" t="n">
        <v>0</v>
      </c>
      <c r="APC25" s="20" t="n">
        <v>0</v>
      </c>
      <c r="APD25" s="20" t="n">
        <v>0</v>
      </c>
      <c r="APE25" s="20" t="n">
        <v>0</v>
      </c>
      <c r="APF25" s="20" t="n">
        <v>0</v>
      </c>
      <c r="APG25" s="20" t="n">
        <v>0</v>
      </c>
      <c r="APH25" s="20" t="n">
        <v>0</v>
      </c>
      <c r="API25" s="20" t="n">
        <v>0</v>
      </c>
      <c r="APJ25" s="20" t="n">
        <v>0</v>
      </c>
      <c r="APK25" s="20" t="n">
        <v>0</v>
      </c>
      <c r="APL25" s="20" t="n">
        <v>0</v>
      </c>
      <c r="APM25" s="20" t="n">
        <v>0</v>
      </c>
      <c r="APN25" s="20" t="n">
        <v>0</v>
      </c>
      <c r="APO25" s="20" t="n">
        <v>0</v>
      </c>
      <c r="APP25" s="20" t="n">
        <v>0</v>
      </c>
      <c r="APQ25" s="20" t="n">
        <v>0</v>
      </c>
      <c r="APR25" s="20" t="n">
        <v>0</v>
      </c>
      <c r="APS25" s="20" t="n">
        <v>0</v>
      </c>
      <c r="APT25" s="20" t="n">
        <v>0</v>
      </c>
      <c r="APU25" s="20" t="n">
        <v>0</v>
      </c>
      <c r="APV25" s="20" t="n">
        <v>0</v>
      </c>
      <c r="APW25" s="20" t="n">
        <v>0</v>
      </c>
      <c r="APX25" s="20" t="n">
        <v>0</v>
      </c>
      <c r="APY25" s="20" t="n">
        <v>0</v>
      </c>
      <c r="APZ25" s="20" t="n">
        <v>0</v>
      </c>
      <c r="AQA25" s="20" t="n">
        <v>0</v>
      </c>
      <c r="AQB25" s="20" t="n">
        <v>0</v>
      </c>
      <c r="AQC25" s="20" t="n">
        <v>0</v>
      </c>
      <c r="AQD25" s="20" t="n">
        <v>0</v>
      </c>
      <c r="AQE25" s="20" t="n">
        <v>0</v>
      </c>
      <c r="AQF25" s="20" t="n">
        <v>0</v>
      </c>
      <c r="AQG25" s="20" t="n">
        <v>0</v>
      </c>
      <c r="AQH25" s="20" t="n">
        <v>0</v>
      </c>
      <c r="AQI25" s="20" t="n">
        <v>0</v>
      </c>
      <c r="AQJ25" s="20" t="n">
        <v>0</v>
      </c>
      <c r="AQK25" s="20" t="n">
        <v>0</v>
      </c>
      <c r="AQL25" s="20" t="n">
        <v>0</v>
      </c>
      <c r="AQM25" s="20" t="n">
        <v>0</v>
      </c>
      <c r="AQN25" s="20" t="n">
        <v>0</v>
      </c>
      <c r="AQO25" s="20" t="n">
        <v>0</v>
      </c>
      <c r="AQP25" s="20" t="n">
        <v>0</v>
      </c>
      <c r="AQQ25" s="20" t="n">
        <v>0</v>
      </c>
      <c r="AQR25" s="20" t="n">
        <v>0</v>
      </c>
      <c r="AQS25" s="20" t="n">
        <v>0</v>
      </c>
      <c r="AQT25" s="20" t="n">
        <v>0</v>
      </c>
      <c r="AQU25" s="20" t="n">
        <v>0</v>
      </c>
      <c r="AQV25" s="20" t="n">
        <v>0</v>
      </c>
      <c r="AQW25" s="20" t="n">
        <v>0</v>
      </c>
      <c r="AQX25" s="20" t="n">
        <v>0</v>
      </c>
      <c r="AQY25" s="20" t="n">
        <v>0</v>
      </c>
      <c r="AQZ25" s="20" t="n">
        <v>0</v>
      </c>
      <c r="ARA25" s="20" t="n">
        <v>0</v>
      </c>
      <c r="ARB25" s="20" t="n">
        <v>0</v>
      </c>
      <c r="ARC25" s="20" t="n">
        <v>0</v>
      </c>
      <c r="ARD25" s="20" t="n">
        <v>0</v>
      </c>
      <c r="ARE25" s="20" t="n">
        <v>0</v>
      </c>
      <c r="ARF25" s="20" t="n">
        <v>0</v>
      </c>
      <c r="ARG25" s="20" t="n">
        <v>0</v>
      </c>
      <c r="ARH25" s="20" t="n">
        <v>0</v>
      </c>
      <c r="ARI25" s="20" t="n">
        <v>0</v>
      </c>
      <c r="ARJ25" s="20" t="n">
        <v>0</v>
      </c>
      <c r="ARK25" s="20" t="n">
        <v>0</v>
      </c>
      <c r="ARL25" s="20" t="n">
        <v>0</v>
      </c>
      <c r="ARM25" s="20" t="n">
        <v>0</v>
      </c>
      <c r="ARN25" s="20" t="n">
        <v>0</v>
      </c>
      <c r="ARO25" s="20" t="n">
        <v>0</v>
      </c>
      <c r="ARP25" s="20" t="n">
        <v>0</v>
      </c>
      <c r="ARQ25" s="20" t="n">
        <v>0</v>
      </c>
      <c r="ARR25" s="20" t="n">
        <f aca="false">IF(AND(H_Direct=0,H_TaxEvt=1),IF(ARR24+1&gt;=H_Deemed,0,ARR24+1),ARR24)</f>
        <v>2</v>
      </c>
      <c r="ARS25" s="20" t="n">
        <f aca="false">IF(AND(H_Direct=0,H_TaxEvt=1),IF(ARS24+1&gt;=H_Deemed,0,ARS24+1),ARS24)</f>
        <v>2</v>
      </c>
      <c r="ART25" s="20" t="n">
        <f aca="false">IF(AND(H_Direct=0,H_TaxEvt=1),IF(ART24+1&gt;=H_Deemed,0,ART24+1),ART24)</f>
        <v>1</v>
      </c>
      <c r="ARU25" s="20" t="n">
        <f aca="false">IF(AND(H_Direct=0,H_TaxEvt=1),IF(ARU24+1&gt;=H_Deemed,0,ARU24+1),ARU24)</f>
        <v>0</v>
      </c>
      <c r="ARV25" s="20" t="n">
        <f aca="false">IF(AND(H_Direct=0,H_TaxEvt=1),IF(ARV24+1&gt;=H_Deemed,0,ARV24+1),ARV24)</f>
        <v>7</v>
      </c>
      <c r="ARW25" s="20" t="n">
        <f aca="false">IF(AND(H_Direct=0,H_TaxEvt=1),IF(ARW24+1&gt;=H_Deemed,0,ARW24+1),ARW24)</f>
        <v>6</v>
      </c>
      <c r="ARX25" s="20" t="n">
        <f aca="false">IF(AND(H_Direct=0,H_TaxEvt=1),IF(ARX24+1&gt;=H_Deemed,0,ARX24+1),ARX24)</f>
        <v>5</v>
      </c>
      <c r="ARY25" s="20" t="n">
        <f aca="false">IF(AND(H_Direct=0,H_TaxEvt=1),IF(ARY24+1&gt;=H_Deemed,0,ARY24+1),ARY24)</f>
        <v>4</v>
      </c>
      <c r="ARZ25" s="20" t="n">
        <f aca="false">IF(AND(H_Direct=0,H_TaxEvt=1),IF(ARZ24+1&gt;=H_Deemed,0,ARZ24+1),ARZ24)</f>
        <v>3</v>
      </c>
      <c r="ASA25" s="20" t="n">
        <f aca="false">IF(AND(H_Direct=0,H_TaxEvt=1),IF(ASA24+1&gt;=H_Deemed,0,ASA24+1),ASA24)</f>
        <v>2</v>
      </c>
      <c r="ASB25" s="20" t="n">
        <f aca="false">IF(AND(H_Direct=0,H_TaxEvt=1),IF(ASB24+1&gt;=H_Deemed,0,ASB24+1),ASB24)</f>
        <v>1</v>
      </c>
      <c r="ASC25" s="20" t="n">
        <f aca="false">IF(AND(H_Direct=0,H_TaxEvt=1),IF(ASC24+1&gt;=H_Deemed,0,ASC24+1),ASC24)</f>
        <v>0</v>
      </c>
      <c r="ASD25" s="20" t="n">
        <f aca="false">IF(AND(H_Direct=0,H_TaxEvt=1),IF(ASD24+1&gt;=H_Deemed,0,ASD24+1),ASD24)</f>
        <v>7</v>
      </c>
      <c r="ASE25" s="20" t="n">
        <f aca="false">IF(AND(H_Direct=0,H_TaxEvt=1),IF(ASE24+1&gt;=H_Deemed,0,ASE24+1),ASE24)</f>
        <v>6</v>
      </c>
      <c r="ASF25" s="20" t="n">
        <f aca="false">IF(AND(H_Direct=0,H_TaxEvt=1),IF(ASF24+1&gt;=H_Deemed,0,ASF24+1),ASF24)</f>
        <v>5</v>
      </c>
      <c r="ASG25" s="20" t="n">
        <f aca="false">IF(AND(H_Direct=0,H_TaxEvt=1),IF(ASG24+1&gt;=H_Deemed,0,ASG24+1),ASG24)</f>
        <v>4</v>
      </c>
      <c r="ASH25" s="20" t="n">
        <f aca="false">IF(AND(H_Direct=0,H_TaxEvt=1),IF(ASH24+1&gt;=H_Deemed,0,ASH24+1),ASH24)</f>
        <v>3</v>
      </c>
      <c r="ASI25" s="20" t="n">
        <f aca="false">IF(AND(H_Direct=0,H_TaxEvt=1),IF(ASI24+1&gt;=H_Deemed,0,ASI24+1),ASI24)</f>
        <v>2</v>
      </c>
      <c r="ASJ25" s="20" t="n">
        <f aca="false">IF(AND(H_Direct=0,H_TaxEvt=1),IF(0+1&gt;=H_Deemed,0,0+1),0)</f>
        <v>1</v>
      </c>
      <c r="ASK25" s="20" t="n">
        <v>0</v>
      </c>
      <c r="ASL25" s="20" t="n">
        <v>0</v>
      </c>
      <c r="ASM25" s="20" t="n">
        <v>0</v>
      </c>
      <c r="ASN25" s="20" t="n">
        <v>0</v>
      </c>
      <c r="ASO25" s="20" t="n">
        <v>0</v>
      </c>
      <c r="ASP25" s="20" t="n">
        <v>0</v>
      </c>
      <c r="ASQ25" s="20" t="n">
        <v>0</v>
      </c>
      <c r="ASR25" s="20" t="n">
        <v>0</v>
      </c>
      <c r="ASS25" s="20" t="n">
        <v>0</v>
      </c>
      <c r="AST25" s="20" t="n">
        <v>0</v>
      </c>
      <c r="ASU25" s="20" t="n">
        <v>0</v>
      </c>
      <c r="ASV25" s="20" t="n">
        <v>0</v>
      </c>
      <c r="ASW25" s="20" t="n">
        <v>0</v>
      </c>
      <c r="ASX25" s="20" t="n">
        <v>0</v>
      </c>
      <c r="ASY25" s="20" t="n">
        <v>0</v>
      </c>
      <c r="ASZ25" s="20" t="n">
        <v>0</v>
      </c>
      <c r="ATA25" s="20" t="n">
        <v>0</v>
      </c>
      <c r="ATB25" s="20" t="n">
        <v>0</v>
      </c>
      <c r="ATC25" s="20" t="n">
        <v>0</v>
      </c>
      <c r="ATD25" s="20" t="n">
        <v>0</v>
      </c>
      <c r="ATE25" s="20" t="n">
        <v>0</v>
      </c>
      <c r="ATF25" s="20" t="n">
        <v>0</v>
      </c>
      <c r="ATG25" s="20" t="n">
        <v>0</v>
      </c>
      <c r="ATH25" s="20" t="n">
        <v>0</v>
      </c>
      <c r="ATI25" s="20" t="n">
        <v>0</v>
      </c>
      <c r="ATJ25" s="20" t="n">
        <v>0</v>
      </c>
      <c r="ATK25" s="20" t="n">
        <v>0</v>
      </c>
      <c r="ATL25" s="20" t="n">
        <v>0</v>
      </c>
      <c r="ATM25" s="20" t="n">
        <v>0</v>
      </c>
      <c r="ATN25" s="20" t="n">
        <v>0</v>
      </c>
      <c r="ATO25" s="20" t="n">
        <v>0</v>
      </c>
      <c r="ATP25" s="20" t="n">
        <v>0</v>
      </c>
      <c r="ATQ25" s="20" t="n">
        <v>0</v>
      </c>
      <c r="ATR25" s="20" t="n">
        <v>0</v>
      </c>
      <c r="ATS25" s="20" t="n">
        <v>0</v>
      </c>
      <c r="ATT25" s="20" t="n">
        <v>0</v>
      </c>
      <c r="ATU25" s="20" t="n">
        <v>0</v>
      </c>
      <c r="ATV25" s="20" t="n">
        <v>0</v>
      </c>
      <c r="ATW25" s="20" t="n">
        <v>0</v>
      </c>
      <c r="ATX25" s="20" t="n">
        <v>0</v>
      </c>
      <c r="ATY25" s="20" t="n">
        <v>0</v>
      </c>
      <c r="ATZ25" s="20" t="n">
        <v>0</v>
      </c>
      <c r="AUA25" s="20" t="n">
        <v>0</v>
      </c>
      <c r="AUB25" s="20" t="n">
        <v>0</v>
      </c>
      <c r="AUC25" s="20" t="n">
        <v>0</v>
      </c>
      <c r="AUD25" s="20" t="n">
        <v>0</v>
      </c>
      <c r="AUE25" s="20" t="n">
        <v>0</v>
      </c>
      <c r="AUF25" s="20" t="n">
        <v>0</v>
      </c>
      <c r="AUG25" s="20" t="n">
        <v>0</v>
      </c>
      <c r="AUH25" s="20" t="n">
        <v>0</v>
      </c>
      <c r="AUI25" s="20" t="n">
        <v>0</v>
      </c>
      <c r="AUJ25" s="20" t="n">
        <v>0</v>
      </c>
      <c r="AUK25" s="20" t="n">
        <v>0</v>
      </c>
      <c r="AUL25" s="20" t="n">
        <v>0</v>
      </c>
      <c r="AUM25" s="20" t="n">
        <v>0</v>
      </c>
      <c r="AUN25" s="20" t="n">
        <v>0</v>
      </c>
      <c r="AUO25" s="20" t="n">
        <v>0</v>
      </c>
      <c r="AUP25" s="20" t="n">
        <v>0</v>
      </c>
      <c r="AUQ25" s="20" t="n">
        <v>0</v>
      </c>
      <c r="AUR25" s="20" t="n">
        <v>0</v>
      </c>
      <c r="AUS25" s="20" t="n">
        <v>0</v>
      </c>
      <c r="AUT25" s="20" t="n">
        <v>0</v>
      </c>
      <c r="AUU25" s="20" t="n">
        <v>0</v>
      </c>
      <c r="AUV25" s="20" t="n">
        <v>0</v>
      </c>
      <c r="AUW25" s="20" t="n">
        <v>0</v>
      </c>
      <c r="AUX25" s="20" t="n">
        <v>0</v>
      </c>
      <c r="AUY25" s="20" t="n">
        <v>0</v>
      </c>
      <c r="AUZ25" s="20" t="n">
        <v>0</v>
      </c>
      <c r="AVA25" s="20" t="n">
        <v>0</v>
      </c>
      <c r="AVB25" s="20" t="n">
        <v>0</v>
      </c>
      <c r="AVC25" s="20" t="n">
        <v>0</v>
      </c>
      <c r="AVD25" s="20" t="n">
        <v>0</v>
      </c>
      <c r="AVE25" s="20" t="n">
        <f aca="false">IF(AND(H_Direct=0,H_TaxEvt=1,ARR24+1&gt;=H_Deemed),MAX(0,ADR25-AHE25)*H_Exit,0)</f>
        <v>0</v>
      </c>
      <c r="AVF25" s="20" t="n">
        <f aca="false">IF(AND(H_Direct=0,H_TaxEvt=1,ARS24+1&gt;=H_Deemed),MAX(0,ADS25-AHF25)*H_Exit,0)</f>
        <v>0</v>
      </c>
      <c r="AVG25" s="20" t="n">
        <f aca="false">IF(AND(H_Direct=0,H_TaxEvt=1,ART24+1&gt;=H_Deemed),MAX(0,ADT25-AHG25)*H_Exit,0)</f>
        <v>0</v>
      </c>
      <c r="AVH25" s="20" t="n">
        <f aca="false">IF(AND(H_Direct=0,H_TaxEvt=1,ARU24+1&gt;=H_Deemed),MAX(0,ADU25-AHH25)*H_Exit,0)</f>
        <v>0</v>
      </c>
      <c r="AVI25" s="20" t="n">
        <f aca="false">IF(AND(H_Direct=0,H_TaxEvt=1,ARV24+1&gt;=H_Deemed),MAX(0,ADV25-AHI25)*H_Exit,0)</f>
        <v>0</v>
      </c>
      <c r="AVJ25" s="20" t="n">
        <f aca="false">IF(AND(H_Direct=0,H_TaxEvt=1,ARW24+1&gt;=H_Deemed),MAX(0,ADW25-AHJ25)*H_Exit,0)</f>
        <v>0</v>
      </c>
      <c r="AVK25" s="20" t="n">
        <f aca="false">IF(AND(H_Direct=0,H_TaxEvt=1,ARX24+1&gt;=H_Deemed),MAX(0,ADX25-AHK25)*H_Exit,0)</f>
        <v>0</v>
      </c>
      <c r="AVL25" s="20" t="n">
        <f aca="false">IF(AND(H_Direct=0,H_TaxEvt=1,ARY24+1&gt;=H_Deemed),MAX(0,ADY25-AHL25)*H_Exit,0)</f>
        <v>0</v>
      </c>
      <c r="AVM25" s="20" t="n">
        <f aca="false">IF(AND(H_Direct=0,H_TaxEvt=1,ARZ24+1&gt;=H_Deemed),MAX(0,ADZ25-AHM25)*H_Exit,0)</f>
        <v>0</v>
      </c>
      <c r="AVN25" s="20" t="n">
        <f aca="false">IF(AND(H_Direct=0,H_TaxEvt=1,ASA24+1&gt;=H_Deemed),MAX(0,AEA25-AHN25)*H_Exit,0)</f>
        <v>0</v>
      </c>
      <c r="AVO25" s="20" t="n">
        <f aca="false">IF(AND(H_Direct=0,H_TaxEvt=1,ASB24+1&gt;=H_Deemed),MAX(0,AEB25-AHO25)*H_Exit,0)</f>
        <v>0</v>
      </c>
      <c r="AVP25" s="20" t="n">
        <f aca="false">IF(AND(H_Direct=0,H_TaxEvt=1,ASC24+1&gt;=H_Deemed),MAX(0,AEC25-AHP25)*H_Exit,0)</f>
        <v>76.5655134880664</v>
      </c>
      <c r="AVQ25" s="20" t="n">
        <f aca="false">IF(AND(H_Direct=0,H_TaxEvt=1,ASD24+1&gt;=H_Deemed),MAX(0,AED25-AHQ25)*H_Exit,0)</f>
        <v>0</v>
      </c>
      <c r="AVR25" s="20" t="n">
        <f aca="false">IF(AND(H_Direct=0,H_TaxEvt=1,ASE24+1&gt;=H_Deemed),MAX(0,AEE25-AHR25)*H_Exit,0)</f>
        <v>0</v>
      </c>
      <c r="AVS25" s="20" t="n">
        <f aca="false">IF(AND(H_Direct=0,H_TaxEvt=1,ASF24+1&gt;=H_Deemed),MAX(0,AEF25-AHS25)*H_Exit,0)</f>
        <v>0</v>
      </c>
      <c r="AVT25" s="20" t="n">
        <f aca="false">IF(AND(H_Direct=0,H_TaxEvt=1,ASG24+1&gt;=H_Deemed),MAX(0,AEG25-AHT25)*H_Exit,0)</f>
        <v>0</v>
      </c>
      <c r="AVU25" s="20" t="n">
        <f aca="false">IF(AND(H_Direct=0,H_TaxEvt=1,ASH24+1&gt;=H_Deemed),MAX(0,AEH25-AHU25)*H_Exit,0)</f>
        <v>0</v>
      </c>
      <c r="AVV25" s="20" t="n">
        <f aca="false">IF(AND(H_Direct=0,H_TaxEvt=1,ASI24+1&gt;=H_Deemed),MAX(0,AEI25-AHV25)*H_Exit,0)</f>
        <v>0</v>
      </c>
      <c r="AVW25" s="20" t="n">
        <f aca="false">IF(AND(H_Direct=0,H_TaxEvt=1,0+1&gt;=H_Deemed),MAX(0,AEJ25-AHW25)*H_Exit,0)</f>
        <v>0</v>
      </c>
      <c r="AVX25" s="20" t="n">
        <v>0</v>
      </c>
      <c r="AVY25" s="20" t="n">
        <v>0</v>
      </c>
      <c r="AVZ25" s="20" t="n">
        <v>0</v>
      </c>
      <c r="AWA25" s="20" t="n">
        <v>0</v>
      </c>
      <c r="AWB25" s="20" t="n">
        <v>0</v>
      </c>
      <c r="AWC25" s="20" t="n">
        <v>0</v>
      </c>
      <c r="AWD25" s="20" t="n">
        <v>0</v>
      </c>
      <c r="AWE25" s="20" t="n">
        <v>0</v>
      </c>
      <c r="AWF25" s="20" t="n">
        <v>0</v>
      </c>
      <c r="AWG25" s="20" t="n">
        <v>0</v>
      </c>
      <c r="AWH25" s="20" t="n">
        <v>0</v>
      </c>
      <c r="AWI25" s="20" t="n">
        <v>0</v>
      </c>
      <c r="AWJ25" s="20" t="n">
        <v>0</v>
      </c>
      <c r="AWK25" s="20" t="n">
        <v>0</v>
      </c>
      <c r="AWL25" s="20" t="n">
        <v>0</v>
      </c>
      <c r="AWM25" s="20" t="n">
        <v>0</v>
      </c>
      <c r="AWN25" s="20" t="n">
        <v>0</v>
      </c>
      <c r="AWO25" s="20" t="n">
        <v>0</v>
      </c>
      <c r="AWP25" s="20" t="n">
        <v>0</v>
      </c>
      <c r="AWQ25" s="20" t="n">
        <v>0</v>
      </c>
      <c r="AWR25" s="20" t="n">
        <v>0</v>
      </c>
      <c r="AWS25" s="20" t="n">
        <v>0</v>
      </c>
      <c r="AWT25" s="20" t="n">
        <v>0</v>
      </c>
      <c r="AWU25" s="20" t="n">
        <v>0</v>
      </c>
      <c r="AWV25" s="20" t="n">
        <v>0</v>
      </c>
      <c r="AWW25" s="20" t="n">
        <v>0</v>
      </c>
      <c r="AWX25" s="20" t="n">
        <v>0</v>
      </c>
      <c r="AWY25" s="20" t="n">
        <v>0</v>
      </c>
      <c r="AWZ25" s="20" t="n">
        <v>0</v>
      </c>
      <c r="AXA25" s="20" t="n">
        <v>0</v>
      </c>
      <c r="AXB25" s="20" t="n">
        <v>0</v>
      </c>
      <c r="AXC25" s="20" t="n">
        <v>0</v>
      </c>
      <c r="AXD25" s="20" t="n">
        <v>0</v>
      </c>
      <c r="AXE25" s="20" t="n">
        <v>0</v>
      </c>
      <c r="AXF25" s="20" t="n">
        <v>0</v>
      </c>
      <c r="AXG25" s="20" t="n">
        <v>0</v>
      </c>
      <c r="AXH25" s="20" t="n">
        <v>0</v>
      </c>
      <c r="AXI25" s="20" t="n">
        <v>0</v>
      </c>
      <c r="AXJ25" s="20" t="n">
        <v>0</v>
      </c>
      <c r="AXK25" s="20" t="n">
        <v>0</v>
      </c>
      <c r="AXL25" s="20" t="n">
        <v>0</v>
      </c>
      <c r="AXM25" s="20" t="n">
        <v>0</v>
      </c>
      <c r="AXN25" s="20" t="n">
        <v>0</v>
      </c>
      <c r="AXO25" s="20" t="n">
        <v>0</v>
      </c>
      <c r="AXP25" s="20" t="n">
        <v>0</v>
      </c>
      <c r="AXQ25" s="20" t="n">
        <v>0</v>
      </c>
      <c r="AXR25" s="20" t="n">
        <v>0</v>
      </c>
      <c r="AXS25" s="20" t="n">
        <v>0</v>
      </c>
      <c r="AXT25" s="20" t="n">
        <v>0</v>
      </c>
      <c r="AXU25" s="20" t="n">
        <v>0</v>
      </c>
      <c r="AXV25" s="20" t="n">
        <v>0</v>
      </c>
      <c r="AXW25" s="20" t="n">
        <v>0</v>
      </c>
      <c r="AXX25" s="20" t="n">
        <v>0</v>
      </c>
      <c r="AXY25" s="20" t="n">
        <v>0</v>
      </c>
      <c r="AXZ25" s="20" t="n">
        <v>0</v>
      </c>
      <c r="AYA25" s="20" t="n">
        <v>0</v>
      </c>
      <c r="AYB25" s="20" t="n">
        <v>0</v>
      </c>
      <c r="AYC25" s="20" t="n">
        <v>0</v>
      </c>
      <c r="AYD25" s="20" t="n">
        <v>0</v>
      </c>
      <c r="AYE25" s="20" t="n">
        <v>0</v>
      </c>
      <c r="AYF25" s="20" t="n">
        <v>0</v>
      </c>
      <c r="AYG25" s="20" t="n">
        <v>0</v>
      </c>
      <c r="AYH25" s="20" t="n">
        <v>0</v>
      </c>
      <c r="AYI25" s="20" t="n">
        <v>0</v>
      </c>
      <c r="AYJ25" s="20" t="n">
        <v>0</v>
      </c>
      <c r="AYK25" s="20" t="n">
        <v>0</v>
      </c>
      <c r="AYL25" s="20" t="n">
        <v>0</v>
      </c>
      <c r="AYM25" s="20" t="n">
        <v>0</v>
      </c>
      <c r="AYN25" s="20" t="n">
        <v>0</v>
      </c>
      <c r="AYO25" s="20" t="n">
        <v>0</v>
      </c>
      <c r="AYP25" s="20" t="n">
        <v>0</v>
      </c>
      <c r="AYQ25" s="20" t="n">
        <v>0</v>
      </c>
    </row>
    <row r="26" customFormat="false" ht="15" hidden="false" customHeight="false" outlineLevel="0" collapsed="false">
      <c r="B26" s="20" t="n">
        <v>18</v>
      </c>
      <c r="C26" s="20" t="n">
        <f aca="false">'Plan cashflow'!C26</f>
        <v>1</v>
      </c>
      <c r="D26" s="20" t="n">
        <f aca="false">'Plan cashflow'!D26</f>
        <v>56</v>
      </c>
      <c r="E26" s="20" t="n">
        <f aca="false">AS_Year0+18</f>
        <v>2044</v>
      </c>
      <c r="F26" s="50" t="n">
        <f aca="false">'Plan cashflow'!F26</f>
        <v>1.42824624757627</v>
      </c>
      <c r="G26" s="59" t="n">
        <f aca="true">IF(MAX(TODAY(),DATE(E26,1,1))&gt;=H_CGTfrom,H_CGT1,H_CGT0)</f>
        <v>0.31</v>
      </c>
      <c r="H26" s="20" t="n">
        <f aca="false">H_Exempt*H_Persons</f>
        <v>1270</v>
      </c>
      <c r="I26" s="20" t="n">
        <f aca="false">AX25</f>
        <v>0</v>
      </c>
      <c r="J26" s="60" t="n">
        <f aca="false">BF25</f>
        <v>15012.48691694</v>
      </c>
      <c r="K26" s="60" t="n">
        <f aca="false">BG25</f>
        <v>0</v>
      </c>
      <c r="L26" s="20" t="n">
        <f aca="false">IF(AND(In_polLump&gt;0,In_polLumpAge&gt;0,D26=In_polLumpAge),In_polLump,0)</f>
        <v>0</v>
      </c>
      <c r="M26" s="20" t="n">
        <f aca="false">IF(AND(In_homeUse="Yes, I'd downsize",In_downAge&gt;0,D26=In_downAge,OR(In_home="Own outright",In_home="Own with mortgage"),In_homeValue&gt;0),MAX(0,MAX(0,In_homeValue-In_downValue)*F26*0.9-'Plan cashflow'!HR25),0)</f>
        <v>0</v>
      </c>
      <c r="N26" s="20" t="n">
        <f aca="false">'Plan pay &amp; tax'!Y252</f>
        <v>0</v>
      </c>
      <c r="O26" s="20" t="n">
        <f aca="false">L26+M26+(1-H_Sh)*N26</f>
        <v>0</v>
      </c>
      <c r="P26" s="20" t="n">
        <f aca="false">H_Sh*N26</f>
        <v>0</v>
      </c>
      <c r="Q26" s="20" t="n">
        <f aca="false">'Plan cashflow'!UL26</f>
        <v>0</v>
      </c>
      <c r="R26" s="20" t="n">
        <f aca="false">(1-H_Sh)*Q26</f>
        <v>0</v>
      </c>
      <c r="S26" s="20" t="n">
        <f aca="false">H_Sh*Q26</f>
        <v>0</v>
      </c>
      <c r="T26" s="20" t="n">
        <f aca="false">J26+K26+O26</f>
        <v>15012.48691694</v>
      </c>
      <c r="U26" s="20" t="n">
        <f aca="false">T26+R26</f>
        <v>15012.48691694</v>
      </c>
      <c r="V26" s="60" t="n">
        <f aca="false">SUM(FE26:IQ26)</f>
        <v>10552.6970863956</v>
      </c>
      <c r="W26" s="60" t="n">
        <f aca="false">IF(AJ26&lt;=0,0,IF(AL26&lt;=0,AJ26,AJ26-G26*MAX(0,AL26*AJ26-(AY26+AZ26))))</f>
        <v>0</v>
      </c>
      <c r="X26" s="60" t="n">
        <f aca="false">IF(AR26&lt;=0,0,IF(AT26&lt;=0,AR26,AR26-G26*MAX(0,AT26*AR26-(BA26+BB26))))</f>
        <v>0</v>
      </c>
      <c r="Y26" s="60" t="n">
        <f aca="false">T26+V26-S26+W26+X26</f>
        <v>25565.1840033356</v>
      </c>
      <c r="Z26" s="60" t="n">
        <f aca="false">'Plan cashflow'!UK26</f>
        <v>0</v>
      </c>
      <c r="AA26" s="20" t="n">
        <f aca="false">MIN(Z26,U26)</f>
        <v>0</v>
      </c>
      <c r="AB26" s="20" t="n">
        <f aca="false">Z26-AA26</f>
        <v>0</v>
      </c>
      <c r="AC26" s="20" t="n">
        <f aca="false">MIN(AA26,J26+O26+R26)</f>
        <v>0</v>
      </c>
      <c r="AD26" s="20" t="n">
        <f aca="false">AA26-AC26</f>
        <v>0</v>
      </c>
      <c r="AE26" s="20" t="n">
        <f aca="false">J26+O26+R26-AC26</f>
        <v>15012.48691694</v>
      </c>
      <c r="AF26" s="20" t="n">
        <f aca="false">K26-AD26</f>
        <v>0</v>
      </c>
      <c r="AG26" s="20" t="n">
        <f aca="false">SUM(PR26:TD26)</f>
        <v>0</v>
      </c>
      <c r="AH26" s="20" t="n">
        <f aca="false">SUM(TE26:WQ26)</f>
        <v>0</v>
      </c>
      <c r="AI26" s="20" t="n">
        <f aca="false">MAX(0,AB26-AG26)</f>
        <v>0</v>
      </c>
      <c r="AJ26" s="57" t="n">
        <f aca="false">BI25</f>
        <v>0</v>
      </c>
      <c r="AK26" s="20" t="n">
        <f aca="false">BJ25</f>
        <v>0</v>
      </c>
      <c r="AL26" s="20" t="n">
        <f aca="false">IF(AJ26&gt;0,(AJ26-AK26)/AJ26,0)</f>
        <v>0</v>
      </c>
      <c r="AM26" s="20" t="n">
        <f aca="false">IF(AJ26&lt;=0,0,IF(AL26&lt;=0,MIN(AI26,AJ26),MIN(AI26,AJ26-G26*MAX(0,AL26*AJ26-(AAD26+ADQ26)))))</f>
        <v>0</v>
      </c>
      <c r="AN26" s="20" t="n">
        <f aca="false">IF(AJ26&lt;=0,0,IF(AL26&lt;=0,AM26,IF(AM26&lt;=(AAD26+ADQ26)/AL26,AM26,(AM26-G26*(AAD26+ADQ26))/(1-G26*AL26))))</f>
        <v>0</v>
      </c>
      <c r="AO26" s="20" t="n">
        <f aca="false">IF(AL26&gt;0,MAX(0,AAD26-(MIN(AL26*AN26,(AAD26+ADQ26))-MIN(MIN(AL26*AN26,(AAD26+ADQ26)),ADQ26))),AAD26)</f>
        <v>1270</v>
      </c>
      <c r="AP26" s="20" t="n">
        <f aca="false">IF(AL26&lt;=0,ADQ26-AL26*AN26,ADQ26-MIN(MIN(AL26*AN26,(AAD26+ADQ26)),ADQ26))</f>
        <v>0</v>
      </c>
      <c r="AQ26" s="20" t="n">
        <f aca="false">MAX(0,AI26-AM26)</f>
        <v>0</v>
      </c>
      <c r="AR26" s="57" t="n">
        <f aca="false">BK25</f>
        <v>0</v>
      </c>
      <c r="AS26" s="20" t="n">
        <f aca="false">BL25</f>
        <v>0</v>
      </c>
      <c r="AT26" s="20" t="n">
        <f aca="false">IF(AR26&gt;0,(AR26-AS26)/AR26,0)</f>
        <v>0</v>
      </c>
      <c r="AU26" s="20" t="n">
        <f aca="false">IF(AR26&lt;=0,0,IF(AT26&lt;=0,MIN(AQ26,AR26),MIN(AQ26,AR26-G26*MAX(0,AT26*AR26-(AO26+AP26)))))</f>
        <v>0</v>
      </c>
      <c r="AV26" s="20" t="n">
        <f aca="false">IF(AR26&lt;=0,0,IF(AT26&lt;=0,AU26,IF(AU26&lt;=(AO26+AP26)/AT26,AU26,(AU26-G26*(AO26+AP26))/(1-G26*AT26))))</f>
        <v>0</v>
      </c>
      <c r="AW26" s="20" t="n">
        <f aca="false">IF(AT26&gt;0,MAX(0,AO26-(MIN(AT26*AV26,(AO26+AP26))-MIN(MIN(AT26*AV26,(AO26+AP26)),AP26))),AO26)</f>
        <v>1270</v>
      </c>
      <c r="AX26" s="20" t="n">
        <f aca="false">IF(AT26&lt;=0,AP26-AT26*AV26,AP26-MIN(MIN(AT26*AV26,(AO26+AP26)),AP26))</f>
        <v>0</v>
      </c>
      <c r="AY26" s="20" t="n">
        <f aca="false">MD26</f>
        <v>1270</v>
      </c>
      <c r="AZ26" s="20" t="n">
        <f aca="false">PQ26</f>
        <v>0</v>
      </c>
      <c r="BA26" s="20" t="n">
        <f aca="false">IF(AL26&gt;0,MAX(0,AY26-(MIN(AL26*AJ26,AY26+AZ26)-MIN(MIN(AL26*AJ26,AY26+AZ26),AZ26))),AY26)</f>
        <v>1270</v>
      </c>
      <c r="BB26" s="20" t="n">
        <f aca="false">IF(AL26&lt;=0,AZ26-AL26*AJ26,AZ26-MIN(MIN(AL26*AJ26,AY26+AZ26),AZ26))</f>
        <v>0</v>
      </c>
      <c r="BC26" s="20" t="n">
        <f aca="false">'Plan cashflow'!UM26</f>
        <v>8569.47748545764</v>
      </c>
      <c r="BD26" s="20" t="n">
        <f aca="false">(1-H_Sh)*BC26</f>
        <v>5141.68649127458</v>
      </c>
      <c r="BE26" s="20" t="n">
        <f aca="false">H_Sh*BC26</f>
        <v>3427.79099418306</v>
      </c>
      <c r="BF26" s="60" t="n">
        <f aca="false">(AE26+BD26)*(1+AS_Cash)</f>
        <v>20355.7151422967</v>
      </c>
      <c r="BG26" s="60" t="n">
        <f aca="false">AF26*(1+AS_Cash)</f>
        <v>0</v>
      </c>
      <c r="BH26" s="60" t="n">
        <f aca="false">SUM(AKR26:AOD26)</f>
        <v>14919.2071145513</v>
      </c>
      <c r="BI26" s="60" t="n">
        <f aca="false">(AJ26-AN26)*(1+AS_Infl)</f>
        <v>0</v>
      </c>
      <c r="BJ26" s="20" t="n">
        <f aca="false">IF(AJ26&gt;0,AK26-AK26*AN26/AJ26,0)</f>
        <v>0</v>
      </c>
      <c r="BK26" s="60" t="n">
        <f aca="false">(AR26-AV26)*(1+BQ26)</f>
        <v>0</v>
      </c>
      <c r="BL26" s="20" t="n">
        <f aca="false">IF(AR26&gt;0,AS26-AS26*AV26/AR26,0)</f>
        <v>0</v>
      </c>
      <c r="BM26" s="60" t="n">
        <f aca="false">BF26+BG26+BH26+BI26+BK26</f>
        <v>35274.9222568479</v>
      </c>
      <c r="BN26" s="60" t="n">
        <f aca="false">(AH26-AG26)+(AN26-AM26)+(AV26-AU26)</f>
        <v>0</v>
      </c>
      <c r="BO26" s="20" t="n">
        <f aca="false">(AE26+BD26+AF26+MAX(0,'Plan cashflow'!QH26)+IF(Slot1_Rate=AS_Cash,'Plan cashflow'!QM26/(1+AS_Cash),0)+IF(Slot2_Rate=AS_Cash,'Plan cashflow'!QQ26/(1+AS_Cash),0)+IF(Slot3_Rate=AS_Cash,'Plan cashflow'!QU26/(1+AS_Cash),0)+IF(Slot4_Rate=AS_Cash,'Plan cashflow'!QY26/(1+AS_Cash),0)+IF(Slot5_Rate=AS_Cash,'Plan cashflow'!RC26/(1+AS_Cash),0)+IF(Slot6_Rate=AS_Cash,'Plan cashflow'!RG26/(1+AS_Cash),0)+IF(Slot7_Rate=AS_Cash,'Plan cashflow'!RK26/(1+AS_Cash),0)+IF(Slot8_Rate=AS_Cash,'Plan cashflow'!RO26/(1+AS_Cash),0)+IF(Slot9_Rate=AS_Cash,'Plan cashflow'!RS26/(1+AS_Cash),0)+IF(Slot10_Rate=AS_Cash,'Plan cashflow'!RW26/(1+AS_Cash),0)+IF(Slot11_Rate=AS_Cash,'Plan cashflow'!SA26/(1+AS_Cash),0)+IF(Slot12_Rate=AS_Cash,'Plan cashflow'!SE26/(1+AS_Cash),0)+IF(Slot13_Rate=AS_Cash,'Plan cashflow'!SI26/(1+AS_Cash),0)+IF(Slot14_Rate=AS_Cash,'Plan cashflow'!SM26/(1+AS_Cash),0)+IF(Slot15_Rate=AS_Cash,'Plan cashflow'!SQ26/(1+AS_Cash),0)+IF(Slot16_Rate=AS_Cash,'Plan cashflow'!SU26/(1+AS_Cash),0)+IF(Slot17_Rate=AS_Cash,'Plan cashflow'!SY26/(1+AS_Cash),0)+IF(Slot18_Rate=AS_Cash,'Plan cashflow'!TC26/(1+AS_Cash),0)+IF(Slot19_Rate=AS_Cash,'Plan cashflow'!TG26/(1+AS_Cash),0)+IF(Slot20_Rate=AS_Cash,'Plan cashflow'!TK26/(1+AS_Cash),0))*AS_Cash*H_DIRT/(1-H_DIRT)</f>
        <v>164.981731482435</v>
      </c>
      <c r="BP26" s="60" t="n">
        <f aca="false">SUM(AVE26:AYQ26)</f>
        <v>100.169658762061</v>
      </c>
      <c r="BQ26" s="54" t="n">
        <f aca="false">IF(H_TaxEvt=1,H_InvG,AS_Inv)</f>
        <v>0.04</v>
      </c>
      <c r="BR26" s="20" t="n">
        <f aca="false">IF(AKR25&gt;0,(AKR25-AOE25)/AKR25,0)</f>
        <v>0</v>
      </c>
      <c r="BS26" s="20" t="n">
        <f aca="false">IF(AKS25&gt;0,(AKS25-AOF25)/AKS25,0)</f>
        <v>0</v>
      </c>
      <c r="BT26" s="20" t="n">
        <f aca="false">IF(AKT25&gt;0,(AKT25-AOG25)/AKT25,0)</f>
        <v>0</v>
      </c>
      <c r="BU26" s="20" t="n">
        <f aca="false">IF(AKU25&gt;0,(AKU25-AOH25)/AKU25,0)</f>
        <v>0</v>
      </c>
      <c r="BV26" s="20" t="n">
        <f aca="false">IF(AKV25&gt;0,(AKV25-AOI25)/AKV25,0)</f>
        <v>0</v>
      </c>
      <c r="BW26" s="20" t="n">
        <f aca="false">IF(AKW25&gt;0,(AKW25-AOJ25)/AKW25,0)</f>
        <v>0</v>
      </c>
      <c r="BX26" s="20" t="n">
        <f aca="false">IF(AKX25&gt;0,(AKX25-AOK25)/AKX25,0)</f>
        <v>0</v>
      </c>
      <c r="BY26" s="20" t="n">
        <f aca="false">IF(AKY25&gt;0,(AKY25-AOL25)/AKY25,0)</f>
        <v>0</v>
      </c>
      <c r="BZ26" s="20" t="n">
        <f aca="false">IF(AKZ25&gt;0,(AKZ25-AOM25)/AKZ25,0)</f>
        <v>0</v>
      </c>
      <c r="CA26" s="20" t="n">
        <f aca="false">IF(ALA25&gt;0,(ALA25-AON25)/ALA25,0)</f>
        <v>0</v>
      </c>
      <c r="CB26" s="20" t="n">
        <f aca="false">IF(ALB25&gt;0,(ALB25-AOO25)/ALB25,0)</f>
        <v>0</v>
      </c>
      <c r="CC26" s="20" t="n">
        <f aca="false">IF(ALC25&gt;0,(ALC25-AOP25)/ALC25,0)</f>
        <v>0</v>
      </c>
      <c r="CD26" s="20" t="n">
        <f aca="false">IF(ALD25&gt;0,(ALD25-AOQ25)/ALD25,0)</f>
        <v>0.240082186797937</v>
      </c>
      <c r="CE26" s="20" t="n">
        <f aca="false">IF(ALE25&gt;0,(ALE25-AOR25)/ALE25,0)</f>
        <v>0.209685474269854</v>
      </c>
      <c r="CF26" s="20" t="n">
        <f aca="false">IF(ALF25&gt;0,(ALF25-AOS25)/ALF25,0)</f>
        <v>0.178072893240648</v>
      </c>
      <c r="CG26" s="20" t="n">
        <f aca="false">IF(ALG25&gt;0,(ALG25-AOT25)/ALG25,0)</f>
        <v>0.145195808970274</v>
      </c>
      <c r="CH26" s="20" t="n">
        <f aca="false">IF(ALH25&gt;0,(ALH25-AOU25)/ALH25,0)</f>
        <v>0.111003641329085</v>
      </c>
      <c r="CI26" s="20" t="n">
        <f aca="false">IF(ALI25&gt;0,(ALI25-AOV25)/ALI25,0)</f>
        <v>0.0754437869822485</v>
      </c>
      <c r="CJ26" s="20" t="n">
        <f aca="false">IF(ALJ25&gt;0,(ALJ25-AOW25)/ALJ25,0)</f>
        <v>0.0384615384615385</v>
      </c>
      <c r="CK26" s="20" t="n">
        <f aca="false">IF((P26+S26)&gt;0,((P26+S26)-(P26+S26))/(P26+S26),0)</f>
        <v>0</v>
      </c>
      <c r="CL26" s="20" t="n">
        <v>0</v>
      </c>
      <c r="CM26" s="20" t="n">
        <v>0</v>
      </c>
      <c r="CN26" s="20" t="n">
        <v>0</v>
      </c>
      <c r="CO26" s="20" t="n">
        <v>0</v>
      </c>
      <c r="CP26" s="20" t="n">
        <v>0</v>
      </c>
      <c r="CQ26" s="20" t="n">
        <v>0</v>
      </c>
      <c r="CR26" s="20" t="n">
        <v>0</v>
      </c>
      <c r="CS26" s="20" t="n">
        <v>0</v>
      </c>
      <c r="CT26" s="20" t="n">
        <v>0</v>
      </c>
      <c r="CU26" s="20" t="n">
        <v>0</v>
      </c>
      <c r="CV26" s="20" t="n">
        <v>0</v>
      </c>
      <c r="CW26" s="20" t="n">
        <v>0</v>
      </c>
      <c r="CX26" s="20" t="n">
        <v>0</v>
      </c>
      <c r="CY26" s="20" t="n">
        <v>0</v>
      </c>
      <c r="CZ26" s="20" t="n">
        <v>0</v>
      </c>
      <c r="DA26" s="20" t="n">
        <v>0</v>
      </c>
      <c r="DB26" s="20" t="n">
        <v>0</v>
      </c>
      <c r="DC26" s="20" t="n">
        <v>0</v>
      </c>
      <c r="DD26" s="20" t="n">
        <v>0</v>
      </c>
      <c r="DE26" s="20" t="n">
        <v>0</v>
      </c>
      <c r="DF26" s="20" t="n">
        <v>0</v>
      </c>
      <c r="DG26" s="20" t="n">
        <v>0</v>
      </c>
      <c r="DH26" s="20" t="n">
        <v>0</v>
      </c>
      <c r="DI26" s="20" t="n">
        <v>0</v>
      </c>
      <c r="DJ26" s="20" t="n">
        <v>0</v>
      </c>
      <c r="DK26" s="20" t="n">
        <v>0</v>
      </c>
      <c r="DL26" s="20" t="n">
        <v>0</v>
      </c>
      <c r="DM26" s="20" t="n">
        <v>0</v>
      </c>
      <c r="DN26" s="20" t="n">
        <v>0</v>
      </c>
      <c r="DO26" s="20" t="n">
        <v>0</v>
      </c>
      <c r="DP26" s="20" t="n">
        <v>0</v>
      </c>
      <c r="DQ26" s="20" t="n">
        <v>0</v>
      </c>
      <c r="DR26" s="20" t="n">
        <v>0</v>
      </c>
      <c r="DS26" s="20" t="n">
        <v>0</v>
      </c>
      <c r="DT26" s="20" t="n">
        <v>0</v>
      </c>
      <c r="DU26" s="20" t="n">
        <v>0</v>
      </c>
      <c r="DV26" s="20" t="n">
        <v>0</v>
      </c>
      <c r="DW26" s="20" t="n">
        <v>0</v>
      </c>
      <c r="DX26" s="20" t="n">
        <v>0</v>
      </c>
      <c r="DY26" s="20" t="n">
        <v>0</v>
      </c>
      <c r="DZ26" s="20" t="n">
        <v>0</v>
      </c>
      <c r="EA26" s="20" t="n">
        <v>0</v>
      </c>
      <c r="EB26" s="20" t="n">
        <v>0</v>
      </c>
      <c r="EC26" s="20" t="n">
        <v>0</v>
      </c>
      <c r="ED26" s="20" t="n">
        <v>0</v>
      </c>
      <c r="EE26" s="20" t="n">
        <v>0</v>
      </c>
      <c r="EF26" s="20" t="n">
        <v>0</v>
      </c>
      <c r="EG26" s="20" t="n">
        <v>0</v>
      </c>
      <c r="EH26" s="20" t="n">
        <v>0</v>
      </c>
      <c r="EI26" s="20" t="n">
        <v>0</v>
      </c>
      <c r="EJ26" s="20" t="n">
        <v>0</v>
      </c>
      <c r="EK26" s="20" t="n">
        <v>0</v>
      </c>
      <c r="EL26" s="20" t="n">
        <v>0</v>
      </c>
      <c r="EM26" s="20" t="n">
        <v>0</v>
      </c>
      <c r="EN26" s="20" t="n">
        <v>0</v>
      </c>
      <c r="EO26" s="20" t="n">
        <v>0</v>
      </c>
      <c r="EP26" s="20" t="n">
        <v>0</v>
      </c>
      <c r="EQ26" s="20" t="n">
        <v>0</v>
      </c>
      <c r="ER26" s="20" t="n">
        <v>0</v>
      </c>
      <c r="ES26" s="20" t="n">
        <v>0</v>
      </c>
      <c r="ET26" s="20" t="n">
        <v>0</v>
      </c>
      <c r="EU26" s="20" t="n">
        <v>0</v>
      </c>
      <c r="EV26" s="20" t="n">
        <v>0</v>
      </c>
      <c r="EW26" s="20" t="n">
        <v>0</v>
      </c>
      <c r="EX26" s="20" t="n">
        <v>0</v>
      </c>
      <c r="EY26" s="20" t="n">
        <v>0</v>
      </c>
      <c r="EZ26" s="20" t="n">
        <v>0</v>
      </c>
      <c r="FA26" s="20" t="n">
        <v>0</v>
      </c>
      <c r="FB26" s="20" t="n">
        <v>0</v>
      </c>
      <c r="FC26" s="20" t="n">
        <v>0</v>
      </c>
      <c r="FD26" s="20" t="n">
        <v>0</v>
      </c>
      <c r="FE26" s="20" t="n">
        <f aca="false">IF(H_Direct=1,IF(AKR25&lt;=0,0,IF(BR26&lt;=0,AKR25,AKR25-G26*MAX(0,BR26*AKR25-(H26+I26)))),AKR25*(1-MAX(0,BR26)*H_Exit))</f>
        <v>0</v>
      </c>
      <c r="FF26" s="20" t="n">
        <f aca="false">IF(H_Direct=1,IF(AKS25&lt;=0,0,IF(BS26&lt;=0,AKS25,AKS25-G26*MAX(0,BS26*AKS25-(IR26+ME26)))),AKS25*(1-MAX(0,BS26)*H_Exit))</f>
        <v>0</v>
      </c>
      <c r="FG26" s="20" t="n">
        <f aca="false">IF(H_Direct=1,IF(AKT25&lt;=0,0,IF(BT26&lt;=0,AKT25,AKT25-G26*MAX(0,BT26*AKT25-(IS26+MF26)))),AKT25*(1-MAX(0,BT26)*H_Exit))</f>
        <v>0</v>
      </c>
      <c r="FH26" s="20" t="n">
        <f aca="false">IF(H_Direct=1,IF(AKU25&lt;=0,0,IF(BU26&lt;=0,AKU25,AKU25-G26*MAX(0,BU26*AKU25-(IT26+MG26)))),AKU25*(1-MAX(0,BU26)*H_Exit))</f>
        <v>0</v>
      </c>
      <c r="FI26" s="20" t="n">
        <f aca="false">IF(H_Direct=1,IF(AKV25&lt;=0,0,IF(BV26&lt;=0,AKV25,AKV25-G26*MAX(0,BV26*AKV25-(IU26+MH26)))),AKV25*(1-MAX(0,BV26)*H_Exit))</f>
        <v>0</v>
      </c>
      <c r="FJ26" s="20" t="n">
        <f aca="false">IF(H_Direct=1,IF(AKW25&lt;=0,0,IF(BW26&lt;=0,AKW25,AKW25-G26*MAX(0,BW26*AKW25-(IV26+MI26)))),AKW25*(1-MAX(0,BW26)*H_Exit))</f>
        <v>0</v>
      </c>
      <c r="FK26" s="20" t="n">
        <f aca="false">IF(H_Direct=1,IF(AKX25&lt;=0,0,IF(BX26&lt;=0,AKX25,AKX25-G26*MAX(0,BX26*AKX25-(IW26+MJ26)))),AKX25*(1-MAX(0,BX26)*H_Exit))</f>
        <v>0</v>
      </c>
      <c r="FL26" s="20" t="n">
        <f aca="false">IF(H_Direct=1,IF(AKY25&lt;=0,0,IF(BY26&lt;=0,AKY25,AKY25-G26*MAX(0,BY26*AKY25-(IX26+MK26)))),AKY25*(1-MAX(0,BY26)*H_Exit))</f>
        <v>0</v>
      </c>
      <c r="FM26" s="20" t="n">
        <f aca="false">IF(H_Direct=1,IF(AKZ25&lt;=0,0,IF(BZ26&lt;=0,AKZ25,AKZ25-G26*MAX(0,BZ26*AKZ25-(IY26+ML26)))),AKZ25*(1-MAX(0,BZ26)*H_Exit))</f>
        <v>0</v>
      </c>
      <c r="FN26" s="20" t="n">
        <f aca="false">IF(H_Direct=1,IF(ALA25&lt;=0,0,IF(CA26&lt;=0,ALA25,ALA25-G26*MAX(0,CA26*ALA25-(IZ26+MM26)))),ALA25*(1-MAX(0,CA26)*H_Exit))</f>
        <v>0</v>
      </c>
      <c r="FO26" s="20" t="n">
        <f aca="false">IF(H_Direct=1,IF(ALB25&lt;=0,0,IF(CB26&lt;=0,ALB25,ALB25-G26*MAX(0,CB26*ALB25-(JA26+MN26)))),ALB25*(1-MAX(0,CB26)*H_Exit))</f>
        <v>0</v>
      </c>
      <c r="FP26" s="20" t="n">
        <f aca="false">IF(H_Direct=1,IF(ALC25&lt;=0,0,IF(CC26&lt;=0,ALC25,ALC25-G26*MAX(0,CC26*ALC25-(JB26+MO26)))),ALC25*(1-MAX(0,CC26)*H_Exit))</f>
        <v>671.599600191266</v>
      </c>
      <c r="FQ26" s="20" t="n">
        <f aca="false">IF(H_Direct=1,IF(ALD25&lt;=0,0,IF(CD26&lt;=0,ALD25,ALD25-G26*MAX(0,CD26*ALD25-(JC26+MP26)))),ALD25*(1-MAX(0,CD26)*H_Exit))</f>
        <v>855.303999071337</v>
      </c>
      <c r="FR26" s="20" t="n">
        <f aca="false">IF(H_Direct=1,IF(ALE25&lt;=0,0,IF(CE26&lt;=0,ALE25,ALE25-G26*MAX(0,CE26*ALE25-(JD26+MQ26)))),ALE25*(1-MAX(0,CE26)*H_Exit))</f>
        <v>1036.56962028851</v>
      </c>
      <c r="FS26" s="20" t="n">
        <f aca="false">IF(H_Direct=1,IF(ALF25&lt;=0,0,IF(CF26&lt;=0,ALF25,ALF25-G26*MAX(0,CF26*ALF25-(JE26+MR26)))),ALF25*(1-MAX(0,CF26)*H_Exit))</f>
        <v>1180.84277071723</v>
      </c>
      <c r="FT26" s="20" t="n">
        <f aca="false">IF(H_Direct=1,IF(ALG25&lt;=0,0,IF(CG26&lt;=0,ALG25,ALG25-G26*MAX(0,CG26*ALG25-(JF26+MS26)))),ALG25*(1-MAX(0,CG26)*H_Exit))</f>
        <v>1150.84356464635</v>
      </c>
      <c r="FU26" s="20" t="n">
        <f aca="false">IF(H_Direct=1,IF(ALH25&lt;=0,0,IF(CH26&lt;=0,ALH25,ALH25-G26*MAX(0,CH26*ALH25-(JG26+MT26)))),ALH25*(1-MAX(0,CH26)*H_Exit))</f>
        <v>1121.3326715061</v>
      </c>
      <c r="FV26" s="20" t="n">
        <f aca="false">IF(H_Direct=1,IF(ALI25&lt;=0,0,IF(CI26&lt;=0,ALI25,ALI25-G26*MAX(0,CI26*ALI25-(JH26+MU26)))),ALI25*(1-MAX(0,CI26)*H_Exit))</f>
        <v>1092.28308464266</v>
      </c>
      <c r="FW26" s="20" t="n">
        <f aca="false">IF(H_Direct=1,IF(ALJ25&lt;=0,0,IF(CJ26&lt;=0,ALJ25,ALJ25-G26*MAX(0,CJ26*ALJ25-(JI26+MV26)))),ALJ25*(1-MAX(0,CJ26)*H_Exit))</f>
        <v>3443.92177533215</v>
      </c>
      <c r="FX26" s="20" t="n">
        <f aca="false">IF(H_Direct=1,IF((P26+S26)&lt;=0,0,IF(CK26&lt;=0,(P26+S26),(P26+S26)-G26*MAX(0,CK26*(P26+S26)-(JJ26+MW26)))),(P26+S26)*(1-MAX(0,CK26)*H_Exit))</f>
        <v>0</v>
      </c>
      <c r="FY26" s="20" t="n">
        <v>0</v>
      </c>
      <c r="FZ26" s="20" t="n">
        <v>0</v>
      </c>
      <c r="GA26" s="20" t="n">
        <v>0</v>
      </c>
      <c r="GB26" s="20" t="n">
        <v>0</v>
      </c>
      <c r="GC26" s="20" t="n">
        <v>0</v>
      </c>
      <c r="GD26" s="20" t="n">
        <v>0</v>
      </c>
      <c r="GE26" s="20" t="n">
        <v>0</v>
      </c>
      <c r="GF26" s="20" t="n">
        <v>0</v>
      </c>
      <c r="GG26" s="20" t="n">
        <v>0</v>
      </c>
      <c r="GH26" s="20" t="n">
        <v>0</v>
      </c>
      <c r="GI26" s="20" t="n">
        <v>0</v>
      </c>
      <c r="GJ26" s="20" t="n">
        <v>0</v>
      </c>
      <c r="GK26" s="20" t="n">
        <v>0</v>
      </c>
      <c r="GL26" s="20" t="n">
        <v>0</v>
      </c>
      <c r="GM26" s="20" t="n">
        <v>0</v>
      </c>
      <c r="GN26" s="20" t="n">
        <v>0</v>
      </c>
      <c r="GO26" s="20" t="n">
        <v>0</v>
      </c>
      <c r="GP26" s="20" t="n">
        <v>0</v>
      </c>
      <c r="GQ26" s="20" t="n">
        <v>0</v>
      </c>
      <c r="GR26" s="20" t="n">
        <v>0</v>
      </c>
      <c r="GS26" s="20" t="n">
        <v>0</v>
      </c>
      <c r="GT26" s="20" t="n">
        <v>0</v>
      </c>
      <c r="GU26" s="20" t="n">
        <v>0</v>
      </c>
      <c r="GV26" s="20" t="n">
        <v>0</v>
      </c>
      <c r="GW26" s="20" t="n">
        <v>0</v>
      </c>
      <c r="GX26" s="20" t="n">
        <v>0</v>
      </c>
      <c r="GY26" s="20" t="n">
        <v>0</v>
      </c>
      <c r="GZ26" s="20" t="n">
        <v>0</v>
      </c>
      <c r="HA26" s="20" t="n">
        <v>0</v>
      </c>
      <c r="HB26" s="20" t="n">
        <v>0</v>
      </c>
      <c r="HC26" s="20" t="n">
        <v>0</v>
      </c>
      <c r="HD26" s="20" t="n">
        <v>0</v>
      </c>
      <c r="HE26" s="20" t="n">
        <v>0</v>
      </c>
      <c r="HF26" s="20" t="n">
        <v>0</v>
      </c>
      <c r="HG26" s="20" t="n">
        <v>0</v>
      </c>
      <c r="HH26" s="20" t="n">
        <v>0</v>
      </c>
      <c r="HI26" s="20" t="n">
        <v>0</v>
      </c>
      <c r="HJ26" s="20" t="n">
        <v>0</v>
      </c>
      <c r="HK26" s="20" t="n">
        <v>0</v>
      </c>
      <c r="HL26" s="20" t="n">
        <v>0</v>
      </c>
      <c r="HM26" s="20" t="n">
        <v>0</v>
      </c>
      <c r="HN26" s="20" t="n">
        <v>0</v>
      </c>
      <c r="HO26" s="20" t="n">
        <v>0</v>
      </c>
      <c r="HP26" s="20" t="n">
        <v>0</v>
      </c>
      <c r="HQ26" s="20" t="n">
        <v>0</v>
      </c>
      <c r="HR26" s="20" t="n">
        <v>0</v>
      </c>
      <c r="HS26" s="20" t="n">
        <v>0</v>
      </c>
      <c r="HT26" s="20" t="n">
        <v>0</v>
      </c>
      <c r="HU26" s="20" t="n">
        <v>0</v>
      </c>
      <c r="HV26" s="20" t="n">
        <v>0</v>
      </c>
      <c r="HW26" s="20" t="n">
        <v>0</v>
      </c>
      <c r="HX26" s="20" t="n">
        <v>0</v>
      </c>
      <c r="HY26" s="20" t="n">
        <v>0</v>
      </c>
      <c r="HZ26" s="20" t="n">
        <v>0</v>
      </c>
      <c r="IA26" s="20" t="n">
        <v>0</v>
      </c>
      <c r="IB26" s="20" t="n">
        <v>0</v>
      </c>
      <c r="IC26" s="20" t="n">
        <v>0</v>
      </c>
      <c r="ID26" s="20" t="n">
        <v>0</v>
      </c>
      <c r="IE26" s="20" t="n">
        <v>0</v>
      </c>
      <c r="IF26" s="20" t="n">
        <v>0</v>
      </c>
      <c r="IG26" s="20" t="n">
        <v>0</v>
      </c>
      <c r="IH26" s="20" t="n">
        <v>0</v>
      </c>
      <c r="II26" s="20" t="n">
        <v>0</v>
      </c>
      <c r="IJ26" s="20" t="n">
        <v>0</v>
      </c>
      <c r="IK26" s="20" t="n">
        <v>0</v>
      </c>
      <c r="IL26" s="20" t="n">
        <v>0</v>
      </c>
      <c r="IM26" s="20" t="n">
        <v>0</v>
      </c>
      <c r="IN26" s="20" t="n">
        <v>0</v>
      </c>
      <c r="IO26" s="20" t="n">
        <v>0</v>
      </c>
      <c r="IP26" s="20" t="n">
        <v>0</v>
      </c>
      <c r="IQ26" s="20" t="n">
        <v>0</v>
      </c>
      <c r="IR26" s="20" t="n">
        <f aca="false">IF(AND(H_Direct=1,BR26&gt;0),MAX(0,H26-(MIN(BR26*AKR25,H26+I26)-MIN(MIN(BR26*AKR25,H26+I26),I26))),H26)</f>
        <v>1270</v>
      </c>
      <c r="IS26" s="20" t="n">
        <f aca="false">IF(AND(H_Direct=1,BS26&gt;0),MAX(0,IR26-(MIN(BS26*AKS25,IR26+ME26)-MIN(MIN(BS26*AKS25,IR26+ME26),ME26))),IR26)</f>
        <v>1270</v>
      </c>
      <c r="IT26" s="20" t="n">
        <f aca="false">IF(AND(H_Direct=1,BT26&gt;0),MAX(0,IS26-(MIN(BT26*AKT25,IS26+MF26)-MIN(MIN(BT26*AKT25,IS26+MF26),MF26))),IS26)</f>
        <v>1270</v>
      </c>
      <c r="IU26" s="20" t="n">
        <f aca="false">IF(AND(H_Direct=1,BU26&gt;0),MAX(0,IT26-(MIN(BU26*AKU25,IT26+MG26)-MIN(MIN(BU26*AKU25,IT26+MG26),MG26))),IT26)</f>
        <v>1270</v>
      </c>
      <c r="IV26" s="20" t="n">
        <f aca="false">IF(AND(H_Direct=1,BV26&gt;0),MAX(0,IU26-(MIN(BV26*AKV25,IU26+MH26)-MIN(MIN(BV26*AKV25,IU26+MH26),MH26))),IU26)</f>
        <v>1270</v>
      </c>
      <c r="IW26" s="20" t="n">
        <f aca="false">IF(AND(H_Direct=1,BW26&gt;0),MAX(0,IV26-(MIN(BW26*AKW25,IV26+MI26)-MIN(MIN(BW26*AKW25,IV26+MI26),MI26))),IV26)</f>
        <v>1270</v>
      </c>
      <c r="IX26" s="20" t="n">
        <f aca="false">IF(AND(H_Direct=1,BX26&gt;0),MAX(0,IW26-(MIN(BX26*AKX25,IW26+MJ26)-MIN(MIN(BX26*AKX25,IW26+MJ26),MJ26))),IW26)</f>
        <v>1270</v>
      </c>
      <c r="IY26" s="20" t="n">
        <f aca="false">IF(AND(H_Direct=1,BY26&gt;0),MAX(0,IX26-(MIN(BY26*AKY25,IX26+MK26)-MIN(MIN(BY26*AKY25,IX26+MK26),MK26))),IX26)</f>
        <v>1270</v>
      </c>
      <c r="IZ26" s="20" t="n">
        <f aca="false">IF(AND(H_Direct=1,BZ26&gt;0),MAX(0,IY26-(MIN(BZ26*AKZ25,IY26+ML26)-MIN(MIN(BZ26*AKZ25,IY26+ML26),ML26))),IY26)</f>
        <v>1270</v>
      </c>
      <c r="JA26" s="20" t="n">
        <f aca="false">IF(AND(H_Direct=1,CA26&gt;0),MAX(0,IZ26-(MIN(CA26*ALA25,IZ26+MM26)-MIN(MIN(CA26*ALA25,IZ26+MM26),MM26))),IZ26)</f>
        <v>1270</v>
      </c>
      <c r="JB26" s="20" t="n">
        <f aca="false">IF(AND(H_Direct=1,CB26&gt;0),MAX(0,JA26-(MIN(CB26*ALB25,JA26+MN26)-MIN(MIN(CB26*ALB25,JA26+MN26),MN26))),JA26)</f>
        <v>1270</v>
      </c>
      <c r="JC26" s="20" t="n">
        <f aca="false">IF(AND(H_Direct=1,CC26&gt;0),MAX(0,JB26-(MIN(CC26*ALC25,JB26+MO26)-MIN(MIN(CC26*ALC25,JB26+MO26),MO26))),JB26)</f>
        <v>1270</v>
      </c>
      <c r="JD26" s="20" t="n">
        <f aca="false">IF(AND(H_Direct=1,CD26&gt;0),MAX(0,JC26-(MIN(CD26*ALD25,JC26+MP26)-MIN(MIN(CD26*ALD25,JC26+MP26),MP26))),JC26)</f>
        <v>1270</v>
      </c>
      <c r="JE26" s="20" t="n">
        <f aca="false">IF(AND(H_Direct=1,CE26&gt;0),MAX(0,JD26-(MIN(CE26*ALE25,JD26+MQ26)-MIN(MIN(CE26*ALE25,JD26+MQ26),MQ26))),JD26)</f>
        <v>1270</v>
      </c>
      <c r="JF26" s="20" t="n">
        <f aca="false">IF(AND(H_Direct=1,CF26&gt;0),MAX(0,JE26-(MIN(CF26*ALF25,JE26+MR26)-MIN(MIN(CF26*ALF25,JE26+MR26),MR26))),JE26)</f>
        <v>1270</v>
      </c>
      <c r="JG26" s="20" t="n">
        <f aca="false">IF(AND(H_Direct=1,CG26&gt;0),MAX(0,JF26-(MIN(CG26*ALG25,JF26+MS26)-MIN(MIN(CG26*ALG25,JF26+MS26),MS26))),JF26)</f>
        <v>1270</v>
      </c>
      <c r="JH26" s="20" t="n">
        <f aca="false">IF(AND(H_Direct=1,CH26&gt;0),MAX(0,JG26-(MIN(CH26*ALH25,JG26+MT26)-MIN(MIN(CH26*ALH25,JG26+MT26),MT26))),JG26)</f>
        <v>1270</v>
      </c>
      <c r="JI26" s="20" t="n">
        <f aca="false">IF(AND(H_Direct=1,CI26&gt;0),MAX(0,JH26-(MIN(CI26*ALI25,JH26+MU26)-MIN(MIN(CI26*ALI25,JH26+MU26),MU26))),JH26)</f>
        <v>1270</v>
      </c>
      <c r="JJ26" s="20" t="n">
        <f aca="false">IF(AND(H_Direct=1,CJ26&gt;0),MAX(0,JI26-(MIN(CJ26*ALJ25,JI26+MV26)-MIN(MIN(CJ26*ALJ25,JI26+MV26),MV26))),JI26)</f>
        <v>1270</v>
      </c>
      <c r="JK26" s="20" t="n">
        <f aca="false">IF(AND(H_Direct=1,CK26&gt;0),MAX(0,JJ26-(MIN(CK26*(P26+S26),JJ26+MW26)-MIN(MIN(CK26*(P26+S26),JJ26+MW26),MW26))),JJ26)</f>
        <v>1270</v>
      </c>
      <c r="JL26" s="20" t="n">
        <f aca="false">JK26</f>
        <v>1270</v>
      </c>
      <c r="JM26" s="20" t="n">
        <f aca="false">JL26</f>
        <v>1270</v>
      </c>
      <c r="JN26" s="20" t="n">
        <f aca="false">JM26</f>
        <v>1270</v>
      </c>
      <c r="JO26" s="20" t="n">
        <f aca="false">JN26</f>
        <v>1270</v>
      </c>
      <c r="JP26" s="20" t="n">
        <f aca="false">JO26</f>
        <v>1270</v>
      </c>
      <c r="JQ26" s="20" t="n">
        <f aca="false">JP26</f>
        <v>1270</v>
      </c>
      <c r="JR26" s="20" t="n">
        <f aca="false">JQ26</f>
        <v>1270</v>
      </c>
      <c r="JS26" s="20" t="n">
        <f aca="false">JR26</f>
        <v>1270</v>
      </c>
      <c r="JT26" s="20" t="n">
        <f aca="false">JS26</f>
        <v>1270</v>
      </c>
      <c r="JU26" s="20" t="n">
        <f aca="false">JT26</f>
        <v>1270</v>
      </c>
      <c r="JV26" s="20" t="n">
        <f aca="false">JU26</f>
        <v>1270</v>
      </c>
      <c r="JW26" s="20" t="n">
        <f aca="false">JV26</f>
        <v>1270</v>
      </c>
      <c r="JX26" s="20" t="n">
        <f aca="false">JW26</f>
        <v>1270</v>
      </c>
      <c r="JY26" s="20" t="n">
        <f aca="false">JX26</f>
        <v>1270</v>
      </c>
      <c r="JZ26" s="20" t="n">
        <f aca="false">JY26</f>
        <v>1270</v>
      </c>
      <c r="KA26" s="20" t="n">
        <f aca="false">JZ26</f>
        <v>1270</v>
      </c>
      <c r="KB26" s="20" t="n">
        <f aca="false">KA26</f>
        <v>1270</v>
      </c>
      <c r="KC26" s="20" t="n">
        <f aca="false">KB26</f>
        <v>1270</v>
      </c>
      <c r="KD26" s="20" t="n">
        <f aca="false">KC26</f>
        <v>1270</v>
      </c>
      <c r="KE26" s="20" t="n">
        <f aca="false">KD26</f>
        <v>1270</v>
      </c>
      <c r="KF26" s="20" t="n">
        <f aca="false">KE26</f>
        <v>1270</v>
      </c>
      <c r="KG26" s="20" t="n">
        <f aca="false">KF26</f>
        <v>1270</v>
      </c>
      <c r="KH26" s="20" t="n">
        <f aca="false">KG26</f>
        <v>1270</v>
      </c>
      <c r="KI26" s="20" t="n">
        <f aca="false">KH26</f>
        <v>1270</v>
      </c>
      <c r="KJ26" s="20" t="n">
        <f aca="false">KI26</f>
        <v>1270</v>
      </c>
      <c r="KK26" s="20" t="n">
        <f aca="false">KJ26</f>
        <v>1270</v>
      </c>
      <c r="KL26" s="20" t="n">
        <f aca="false">KK26</f>
        <v>1270</v>
      </c>
      <c r="KM26" s="20" t="n">
        <f aca="false">KL26</f>
        <v>1270</v>
      </c>
      <c r="KN26" s="20" t="n">
        <f aca="false">KM26</f>
        <v>1270</v>
      </c>
      <c r="KO26" s="20" t="n">
        <f aca="false">KN26</f>
        <v>1270</v>
      </c>
      <c r="KP26" s="20" t="n">
        <f aca="false">KO26</f>
        <v>1270</v>
      </c>
      <c r="KQ26" s="20" t="n">
        <f aca="false">KP26</f>
        <v>1270</v>
      </c>
      <c r="KR26" s="20" t="n">
        <f aca="false">KQ26</f>
        <v>1270</v>
      </c>
      <c r="KS26" s="20" t="n">
        <f aca="false">KR26</f>
        <v>1270</v>
      </c>
      <c r="KT26" s="20" t="n">
        <f aca="false">KS26</f>
        <v>1270</v>
      </c>
      <c r="KU26" s="20" t="n">
        <f aca="false">KT26</f>
        <v>1270</v>
      </c>
      <c r="KV26" s="20" t="n">
        <f aca="false">KU26</f>
        <v>1270</v>
      </c>
      <c r="KW26" s="20" t="n">
        <f aca="false">KV26</f>
        <v>1270</v>
      </c>
      <c r="KX26" s="20" t="n">
        <f aca="false">KW26</f>
        <v>1270</v>
      </c>
      <c r="KY26" s="20" t="n">
        <f aca="false">KX26</f>
        <v>1270</v>
      </c>
      <c r="KZ26" s="20" t="n">
        <f aca="false">KY26</f>
        <v>1270</v>
      </c>
      <c r="LA26" s="20" t="n">
        <f aca="false">KZ26</f>
        <v>1270</v>
      </c>
      <c r="LB26" s="20" t="n">
        <f aca="false">LA26</f>
        <v>1270</v>
      </c>
      <c r="LC26" s="20" t="n">
        <f aca="false">LB26</f>
        <v>1270</v>
      </c>
      <c r="LD26" s="20" t="n">
        <f aca="false">LC26</f>
        <v>1270</v>
      </c>
      <c r="LE26" s="20" t="n">
        <f aca="false">LD26</f>
        <v>1270</v>
      </c>
      <c r="LF26" s="20" t="n">
        <f aca="false">LE26</f>
        <v>1270</v>
      </c>
      <c r="LG26" s="20" t="n">
        <f aca="false">LF26</f>
        <v>1270</v>
      </c>
      <c r="LH26" s="20" t="n">
        <f aca="false">LG26</f>
        <v>1270</v>
      </c>
      <c r="LI26" s="20" t="n">
        <f aca="false">LH26</f>
        <v>1270</v>
      </c>
      <c r="LJ26" s="20" t="n">
        <f aca="false">LI26</f>
        <v>1270</v>
      </c>
      <c r="LK26" s="20" t="n">
        <f aca="false">LJ26</f>
        <v>1270</v>
      </c>
      <c r="LL26" s="20" t="n">
        <f aca="false">LK26</f>
        <v>1270</v>
      </c>
      <c r="LM26" s="20" t="n">
        <f aca="false">LL26</f>
        <v>1270</v>
      </c>
      <c r="LN26" s="20" t="n">
        <f aca="false">LM26</f>
        <v>1270</v>
      </c>
      <c r="LO26" s="20" t="n">
        <f aca="false">LN26</f>
        <v>1270</v>
      </c>
      <c r="LP26" s="20" t="n">
        <f aca="false">LO26</f>
        <v>1270</v>
      </c>
      <c r="LQ26" s="20" t="n">
        <f aca="false">LP26</f>
        <v>1270</v>
      </c>
      <c r="LR26" s="20" t="n">
        <f aca="false">LQ26</f>
        <v>1270</v>
      </c>
      <c r="LS26" s="20" t="n">
        <f aca="false">LR26</f>
        <v>1270</v>
      </c>
      <c r="LT26" s="20" t="n">
        <f aca="false">LS26</f>
        <v>1270</v>
      </c>
      <c r="LU26" s="20" t="n">
        <f aca="false">LT26</f>
        <v>1270</v>
      </c>
      <c r="LV26" s="20" t="n">
        <f aca="false">LU26</f>
        <v>1270</v>
      </c>
      <c r="LW26" s="20" t="n">
        <f aca="false">LV26</f>
        <v>1270</v>
      </c>
      <c r="LX26" s="20" t="n">
        <f aca="false">LW26</f>
        <v>1270</v>
      </c>
      <c r="LY26" s="20" t="n">
        <f aca="false">LX26</f>
        <v>1270</v>
      </c>
      <c r="LZ26" s="20" t="n">
        <f aca="false">LY26</f>
        <v>1270</v>
      </c>
      <c r="MA26" s="20" t="n">
        <f aca="false">LZ26</f>
        <v>1270</v>
      </c>
      <c r="MB26" s="20" t="n">
        <f aca="false">MA26</f>
        <v>1270</v>
      </c>
      <c r="MC26" s="20" t="n">
        <f aca="false">MB26</f>
        <v>1270</v>
      </c>
      <c r="MD26" s="20" t="n">
        <f aca="false">MC26</f>
        <v>1270</v>
      </c>
      <c r="ME26" s="20" t="n">
        <f aca="false">IF(H_Direct=1,IF(BR26&lt;=0,I26-BR26*AKR25,I26-MIN(MIN(BR26*AKR25,H26+I26),I26)),I26)</f>
        <v>0</v>
      </c>
      <c r="MF26" s="20" t="n">
        <f aca="false">IF(H_Direct=1,IF(BS26&lt;=0,ME26-BS26*AKS25,ME26-MIN(MIN(BS26*AKS25,IR26+ME26),ME26)),ME26)</f>
        <v>0</v>
      </c>
      <c r="MG26" s="20" t="n">
        <f aca="false">IF(H_Direct=1,IF(BT26&lt;=0,MF26-BT26*AKT25,MF26-MIN(MIN(BT26*AKT25,IS26+MF26),MF26)),MF26)</f>
        <v>0</v>
      </c>
      <c r="MH26" s="20" t="n">
        <f aca="false">IF(H_Direct=1,IF(BU26&lt;=0,MG26-BU26*AKU25,MG26-MIN(MIN(BU26*AKU25,IT26+MG26),MG26)),MG26)</f>
        <v>0</v>
      </c>
      <c r="MI26" s="20" t="n">
        <f aca="false">IF(H_Direct=1,IF(BV26&lt;=0,MH26-BV26*AKV25,MH26-MIN(MIN(BV26*AKV25,IU26+MH26),MH26)),MH26)</f>
        <v>0</v>
      </c>
      <c r="MJ26" s="20" t="n">
        <f aca="false">IF(H_Direct=1,IF(BW26&lt;=0,MI26-BW26*AKW25,MI26-MIN(MIN(BW26*AKW25,IV26+MI26),MI26)),MI26)</f>
        <v>0</v>
      </c>
      <c r="MK26" s="20" t="n">
        <f aca="false">IF(H_Direct=1,IF(BX26&lt;=0,MJ26-BX26*AKX25,MJ26-MIN(MIN(BX26*AKX25,IW26+MJ26),MJ26)),MJ26)</f>
        <v>0</v>
      </c>
      <c r="ML26" s="20" t="n">
        <f aca="false">IF(H_Direct=1,IF(BY26&lt;=0,MK26-BY26*AKY25,MK26-MIN(MIN(BY26*AKY25,IX26+MK26),MK26)),MK26)</f>
        <v>0</v>
      </c>
      <c r="MM26" s="20" t="n">
        <f aca="false">IF(H_Direct=1,IF(BZ26&lt;=0,ML26-BZ26*AKZ25,ML26-MIN(MIN(BZ26*AKZ25,IY26+ML26),ML26)),ML26)</f>
        <v>0</v>
      </c>
      <c r="MN26" s="20" t="n">
        <f aca="false">IF(H_Direct=1,IF(CA26&lt;=0,MM26-CA26*ALA25,MM26-MIN(MIN(CA26*ALA25,IZ26+MM26),MM26)),MM26)</f>
        <v>0</v>
      </c>
      <c r="MO26" s="20" t="n">
        <f aca="false">IF(H_Direct=1,IF(CB26&lt;=0,MN26-CB26*ALB25,MN26-MIN(MIN(CB26*ALB25,JA26+MN26),MN26)),MN26)</f>
        <v>0</v>
      </c>
      <c r="MP26" s="20" t="n">
        <f aca="false">IF(H_Direct=1,IF(CC26&lt;=0,MO26-CC26*ALC25,MO26-MIN(MIN(CC26*ALC25,JB26+MO26),MO26)),MO26)</f>
        <v>0</v>
      </c>
      <c r="MQ26" s="20" t="n">
        <f aca="false">IF(H_Direct=1,IF(CD26&lt;=0,MP26-CD26*ALD25,MP26-MIN(MIN(CD26*ALD25,JC26+MP26),MP26)),MP26)</f>
        <v>0</v>
      </c>
      <c r="MR26" s="20" t="n">
        <f aca="false">IF(H_Direct=1,IF(CE26&lt;=0,MQ26-CE26*ALE25,MQ26-MIN(MIN(CE26*ALE25,JD26+MQ26),MQ26)),MQ26)</f>
        <v>0</v>
      </c>
      <c r="MS26" s="20" t="n">
        <f aca="false">IF(H_Direct=1,IF(CF26&lt;=0,MR26-CF26*ALF25,MR26-MIN(MIN(CF26*ALF25,JE26+MR26),MR26)),MR26)</f>
        <v>0</v>
      </c>
      <c r="MT26" s="20" t="n">
        <f aca="false">IF(H_Direct=1,IF(CG26&lt;=0,MS26-CG26*ALG25,MS26-MIN(MIN(CG26*ALG25,JF26+MS26),MS26)),MS26)</f>
        <v>0</v>
      </c>
      <c r="MU26" s="20" t="n">
        <f aca="false">IF(H_Direct=1,IF(CH26&lt;=0,MT26-CH26*ALH25,MT26-MIN(MIN(CH26*ALH25,JG26+MT26),MT26)),MT26)</f>
        <v>0</v>
      </c>
      <c r="MV26" s="20" t="n">
        <f aca="false">IF(H_Direct=1,IF(CI26&lt;=0,MU26-CI26*ALI25,MU26-MIN(MIN(CI26*ALI25,JH26+MU26),MU26)),MU26)</f>
        <v>0</v>
      </c>
      <c r="MW26" s="20" t="n">
        <f aca="false">IF(H_Direct=1,IF(CJ26&lt;=0,MV26-CJ26*ALJ25,MV26-MIN(MIN(CJ26*ALJ25,JI26+MV26),MV26)),MV26)</f>
        <v>0</v>
      </c>
      <c r="MX26" s="20" t="n">
        <f aca="false">IF(H_Direct=1,IF(CK26&lt;=0,MW26-CK26*(P26+S26),MW26-MIN(MIN(CK26*(P26+S26),JJ26+MW26),MW26)),MW26)</f>
        <v>0</v>
      </c>
      <c r="MY26" s="20" t="n">
        <f aca="false">MX26</f>
        <v>0</v>
      </c>
      <c r="MZ26" s="20" t="n">
        <f aca="false">MY26</f>
        <v>0</v>
      </c>
      <c r="NA26" s="20" t="n">
        <f aca="false">MZ26</f>
        <v>0</v>
      </c>
      <c r="NB26" s="20" t="n">
        <f aca="false">NA26</f>
        <v>0</v>
      </c>
      <c r="NC26" s="20" t="n">
        <f aca="false">NB26</f>
        <v>0</v>
      </c>
      <c r="ND26" s="20" t="n">
        <f aca="false">NC26</f>
        <v>0</v>
      </c>
      <c r="NE26" s="20" t="n">
        <f aca="false">ND26</f>
        <v>0</v>
      </c>
      <c r="NF26" s="20" t="n">
        <f aca="false">NE26</f>
        <v>0</v>
      </c>
      <c r="NG26" s="20" t="n">
        <f aca="false">NF26</f>
        <v>0</v>
      </c>
      <c r="NH26" s="20" t="n">
        <f aca="false">NG26</f>
        <v>0</v>
      </c>
      <c r="NI26" s="20" t="n">
        <f aca="false">NH26</f>
        <v>0</v>
      </c>
      <c r="NJ26" s="20" t="n">
        <f aca="false">NI26</f>
        <v>0</v>
      </c>
      <c r="NK26" s="20" t="n">
        <f aca="false">NJ26</f>
        <v>0</v>
      </c>
      <c r="NL26" s="20" t="n">
        <f aca="false">NK26</f>
        <v>0</v>
      </c>
      <c r="NM26" s="20" t="n">
        <f aca="false">NL26</f>
        <v>0</v>
      </c>
      <c r="NN26" s="20" t="n">
        <f aca="false">NM26</f>
        <v>0</v>
      </c>
      <c r="NO26" s="20" t="n">
        <f aca="false">NN26</f>
        <v>0</v>
      </c>
      <c r="NP26" s="20" t="n">
        <f aca="false">NO26</f>
        <v>0</v>
      </c>
      <c r="NQ26" s="20" t="n">
        <f aca="false">NP26</f>
        <v>0</v>
      </c>
      <c r="NR26" s="20" t="n">
        <f aca="false">NQ26</f>
        <v>0</v>
      </c>
      <c r="NS26" s="20" t="n">
        <f aca="false">NR26</f>
        <v>0</v>
      </c>
      <c r="NT26" s="20" t="n">
        <f aca="false">NS26</f>
        <v>0</v>
      </c>
      <c r="NU26" s="20" t="n">
        <f aca="false">NT26</f>
        <v>0</v>
      </c>
      <c r="NV26" s="20" t="n">
        <f aca="false">NU26</f>
        <v>0</v>
      </c>
      <c r="NW26" s="20" t="n">
        <f aca="false">NV26</f>
        <v>0</v>
      </c>
      <c r="NX26" s="20" t="n">
        <f aca="false">NW26</f>
        <v>0</v>
      </c>
      <c r="NY26" s="20" t="n">
        <f aca="false">NX26</f>
        <v>0</v>
      </c>
      <c r="NZ26" s="20" t="n">
        <f aca="false">NY26</f>
        <v>0</v>
      </c>
      <c r="OA26" s="20" t="n">
        <f aca="false">NZ26</f>
        <v>0</v>
      </c>
      <c r="OB26" s="20" t="n">
        <f aca="false">OA26</f>
        <v>0</v>
      </c>
      <c r="OC26" s="20" t="n">
        <f aca="false">OB26</f>
        <v>0</v>
      </c>
      <c r="OD26" s="20" t="n">
        <f aca="false">OC26</f>
        <v>0</v>
      </c>
      <c r="OE26" s="20" t="n">
        <f aca="false">OD26</f>
        <v>0</v>
      </c>
      <c r="OF26" s="20" t="n">
        <f aca="false">OE26</f>
        <v>0</v>
      </c>
      <c r="OG26" s="20" t="n">
        <f aca="false">OF26</f>
        <v>0</v>
      </c>
      <c r="OH26" s="20" t="n">
        <f aca="false">OG26</f>
        <v>0</v>
      </c>
      <c r="OI26" s="20" t="n">
        <f aca="false">OH26</f>
        <v>0</v>
      </c>
      <c r="OJ26" s="20" t="n">
        <f aca="false">OI26</f>
        <v>0</v>
      </c>
      <c r="OK26" s="20" t="n">
        <f aca="false">OJ26</f>
        <v>0</v>
      </c>
      <c r="OL26" s="20" t="n">
        <f aca="false">OK26</f>
        <v>0</v>
      </c>
      <c r="OM26" s="20" t="n">
        <f aca="false">OL26</f>
        <v>0</v>
      </c>
      <c r="ON26" s="20" t="n">
        <f aca="false">OM26</f>
        <v>0</v>
      </c>
      <c r="OO26" s="20" t="n">
        <f aca="false">ON26</f>
        <v>0</v>
      </c>
      <c r="OP26" s="20" t="n">
        <f aca="false">OO26</f>
        <v>0</v>
      </c>
      <c r="OQ26" s="20" t="n">
        <f aca="false">OP26</f>
        <v>0</v>
      </c>
      <c r="OR26" s="20" t="n">
        <f aca="false">OQ26</f>
        <v>0</v>
      </c>
      <c r="OS26" s="20" t="n">
        <f aca="false">OR26</f>
        <v>0</v>
      </c>
      <c r="OT26" s="20" t="n">
        <f aca="false">OS26</f>
        <v>0</v>
      </c>
      <c r="OU26" s="20" t="n">
        <f aca="false">OT26</f>
        <v>0</v>
      </c>
      <c r="OV26" s="20" t="n">
        <f aca="false">OU26</f>
        <v>0</v>
      </c>
      <c r="OW26" s="20" t="n">
        <f aca="false">OV26</f>
        <v>0</v>
      </c>
      <c r="OX26" s="20" t="n">
        <f aca="false">OW26</f>
        <v>0</v>
      </c>
      <c r="OY26" s="20" t="n">
        <f aca="false">OX26</f>
        <v>0</v>
      </c>
      <c r="OZ26" s="20" t="n">
        <f aca="false">OY26</f>
        <v>0</v>
      </c>
      <c r="PA26" s="20" t="n">
        <f aca="false">OZ26</f>
        <v>0</v>
      </c>
      <c r="PB26" s="20" t="n">
        <f aca="false">PA26</f>
        <v>0</v>
      </c>
      <c r="PC26" s="20" t="n">
        <f aca="false">PB26</f>
        <v>0</v>
      </c>
      <c r="PD26" s="20" t="n">
        <f aca="false">PC26</f>
        <v>0</v>
      </c>
      <c r="PE26" s="20" t="n">
        <f aca="false">PD26</f>
        <v>0</v>
      </c>
      <c r="PF26" s="20" t="n">
        <f aca="false">PE26</f>
        <v>0</v>
      </c>
      <c r="PG26" s="20" t="n">
        <f aca="false">PF26</f>
        <v>0</v>
      </c>
      <c r="PH26" s="20" t="n">
        <f aca="false">PG26</f>
        <v>0</v>
      </c>
      <c r="PI26" s="20" t="n">
        <f aca="false">PH26</f>
        <v>0</v>
      </c>
      <c r="PJ26" s="20" t="n">
        <f aca="false">PI26</f>
        <v>0</v>
      </c>
      <c r="PK26" s="20" t="n">
        <f aca="false">PJ26</f>
        <v>0</v>
      </c>
      <c r="PL26" s="20" t="n">
        <f aca="false">PK26</f>
        <v>0</v>
      </c>
      <c r="PM26" s="20" t="n">
        <f aca="false">PL26</f>
        <v>0</v>
      </c>
      <c r="PN26" s="20" t="n">
        <f aca="false">PM26</f>
        <v>0</v>
      </c>
      <c r="PO26" s="20" t="n">
        <f aca="false">PN26</f>
        <v>0</v>
      </c>
      <c r="PP26" s="20" t="n">
        <f aca="false">PO26</f>
        <v>0</v>
      </c>
      <c r="PQ26" s="20" t="n">
        <f aca="false">PP26</f>
        <v>0</v>
      </c>
      <c r="PR26" s="20" t="n">
        <f aca="false">IF(H_Direct=1,IF(AKR25&lt;=0,0,IF(BR26&lt;=0,MIN(MAX(0,AB26),AKR25),MIN(MAX(0,AB26),AKR25-G26*MAX(0,BR26*AKR25-(H26+I26))))),MIN(FE26,MAX(0,AB26)))</f>
        <v>0</v>
      </c>
      <c r="PS26" s="20" t="n">
        <f aca="false">IF(H_Direct=1,IF(AKS25&lt;=0,0,IF(BS26&lt;=0,MIN(MAX(0,AB26-SUM(PR26:PR26)),AKS25),MIN(MAX(0,AB26-SUM(PR26:PR26)),AKS25-G26*MAX(0,BS26*AKS25-(WR26+AAE26))))),MIN(FF26,MAX(0,AB26-SUM(PR26:PR26))))</f>
        <v>0</v>
      </c>
      <c r="PT26" s="20" t="n">
        <f aca="false">IF(H_Direct=1,IF(AKT25&lt;=0,0,IF(BT26&lt;=0,MIN(MAX(0,AB26-SUM(PR26:PS26)),AKT25),MIN(MAX(0,AB26-SUM(PR26:PS26)),AKT25-G26*MAX(0,BT26*AKT25-(WS26+AAF26))))),MIN(FG26,MAX(0,AB26-SUM(PR26:PS26))))</f>
        <v>0</v>
      </c>
      <c r="PU26" s="20" t="n">
        <f aca="false">IF(H_Direct=1,IF(AKU25&lt;=0,0,IF(BU26&lt;=0,MIN(MAX(0,AB26-SUM(PR26:PT26)),AKU25),MIN(MAX(0,AB26-SUM(PR26:PT26)),AKU25-G26*MAX(0,BU26*AKU25-(WT26+AAG26))))),MIN(FH26,MAX(0,AB26-SUM(PR26:PT26))))</f>
        <v>0</v>
      </c>
      <c r="PV26" s="20" t="n">
        <f aca="false">IF(H_Direct=1,IF(AKV25&lt;=0,0,IF(BV26&lt;=0,MIN(MAX(0,AB26-SUM(PR26:PU26)),AKV25),MIN(MAX(0,AB26-SUM(PR26:PU26)),AKV25-G26*MAX(0,BV26*AKV25-(WU26+AAH26))))),MIN(FI26,MAX(0,AB26-SUM(PR26:PU26))))</f>
        <v>0</v>
      </c>
      <c r="PW26" s="20" t="n">
        <f aca="false">IF(H_Direct=1,IF(AKW25&lt;=0,0,IF(BW26&lt;=0,MIN(MAX(0,AB26-SUM(PR26:PV26)),AKW25),MIN(MAX(0,AB26-SUM(PR26:PV26)),AKW25-G26*MAX(0,BW26*AKW25-(WV26+AAI26))))),MIN(FJ26,MAX(0,AB26-SUM(PR26:PV26))))</f>
        <v>0</v>
      </c>
      <c r="PX26" s="20" t="n">
        <f aca="false">IF(H_Direct=1,IF(AKX25&lt;=0,0,IF(BX26&lt;=0,MIN(MAX(0,AB26-SUM(PR26:PW26)),AKX25),MIN(MAX(0,AB26-SUM(PR26:PW26)),AKX25-G26*MAX(0,BX26*AKX25-(WW26+AAJ26))))),MIN(FK26,MAX(0,AB26-SUM(PR26:PW26))))</f>
        <v>0</v>
      </c>
      <c r="PY26" s="20" t="n">
        <f aca="false">IF(H_Direct=1,IF(AKY25&lt;=0,0,IF(BY26&lt;=0,MIN(MAX(0,AB26-SUM(PR26:PX26)),AKY25),MIN(MAX(0,AB26-SUM(PR26:PX26)),AKY25-G26*MAX(0,BY26*AKY25-(WX26+AAK26))))),MIN(FL26,MAX(0,AB26-SUM(PR26:PX26))))</f>
        <v>0</v>
      </c>
      <c r="PZ26" s="20" t="n">
        <f aca="false">IF(H_Direct=1,IF(AKZ25&lt;=0,0,IF(BZ26&lt;=0,MIN(MAX(0,AB26-SUM(PR26:PY26)),AKZ25),MIN(MAX(0,AB26-SUM(PR26:PY26)),AKZ25-G26*MAX(0,BZ26*AKZ25-(WY26+AAL26))))),MIN(FM26,MAX(0,AB26-SUM(PR26:PY26))))</f>
        <v>0</v>
      </c>
      <c r="QA26" s="20" t="n">
        <f aca="false">IF(H_Direct=1,IF(ALA25&lt;=0,0,IF(CA26&lt;=0,MIN(MAX(0,AB26-SUM(PR26:PZ26)),ALA25),MIN(MAX(0,AB26-SUM(PR26:PZ26)),ALA25-G26*MAX(0,CA26*ALA25-(WZ26+AAM26))))),MIN(FN26,MAX(0,AB26-SUM(PR26:PZ26))))</f>
        <v>0</v>
      </c>
      <c r="QB26" s="20" t="n">
        <f aca="false">IF(H_Direct=1,IF(ALB25&lt;=0,0,IF(CB26&lt;=0,MIN(MAX(0,AB26-SUM(PR26:QA26)),ALB25),MIN(MAX(0,AB26-SUM(PR26:QA26)),ALB25-G26*MAX(0,CB26*ALB25-(XA26+AAN26))))),MIN(FO26,MAX(0,AB26-SUM(PR26:QA26))))</f>
        <v>0</v>
      </c>
      <c r="QC26" s="20" t="n">
        <f aca="false">IF(H_Direct=1,IF(ALC25&lt;=0,0,IF(CC26&lt;=0,MIN(MAX(0,AB26-SUM(PR26:QB26)),ALC25),MIN(MAX(0,AB26-SUM(PR26:QB26)),ALC25-G26*MAX(0,CC26*ALC25-(XB26+AAO26))))),MIN(FP26,MAX(0,AB26-SUM(PR26:QB26))))</f>
        <v>0</v>
      </c>
      <c r="QD26" s="20" t="n">
        <f aca="false">IF(H_Direct=1,IF(ALD25&lt;=0,0,IF(CD26&lt;=0,MIN(MAX(0,AB26-SUM(PR26:QC26)),ALD25),MIN(MAX(0,AB26-SUM(PR26:QC26)),ALD25-G26*MAX(0,CD26*ALD25-(XC26+AAP26))))),MIN(FQ26,MAX(0,AB26-SUM(PR26:QC26))))</f>
        <v>0</v>
      </c>
      <c r="QE26" s="20" t="n">
        <f aca="false">IF(H_Direct=1,IF(ALE25&lt;=0,0,IF(CE26&lt;=0,MIN(MAX(0,AB26-SUM(PR26:QD26)),ALE25),MIN(MAX(0,AB26-SUM(PR26:QD26)),ALE25-G26*MAX(0,CE26*ALE25-(XD26+AAQ26))))),MIN(FR26,MAX(0,AB26-SUM(PR26:QD26))))</f>
        <v>0</v>
      </c>
      <c r="QF26" s="20" t="n">
        <f aca="false">IF(H_Direct=1,IF(ALF25&lt;=0,0,IF(CF26&lt;=0,MIN(MAX(0,AB26-SUM(PR26:QE26)),ALF25),MIN(MAX(0,AB26-SUM(PR26:QE26)),ALF25-G26*MAX(0,CF26*ALF25-(XE26+AAR26))))),MIN(FS26,MAX(0,AB26-SUM(PR26:QE26))))</f>
        <v>0</v>
      </c>
      <c r="QG26" s="20" t="n">
        <f aca="false">IF(H_Direct=1,IF(ALG25&lt;=0,0,IF(CG26&lt;=0,MIN(MAX(0,AB26-SUM(PR26:QF26)),ALG25),MIN(MAX(0,AB26-SUM(PR26:QF26)),ALG25-G26*MAX(0,CG26*ALG25-(XF26+AAS26))))),MIN(FT26,MAX(0,AB26-SUM(PR26:QF26))))</f>
        <v>0</v>
      </c>
      <c r="QH26" s="20" t="n">
        <f aca="false">IF(H_Direct=1,IF(ALH25&lt;=0,0,IF(CH26&lt;=0,MIN(MAX(0,AB26-SUM(PR26:QG26)),ALH25),MIN(MAX(0,AB26-SUM(PR26:QG26)),ALH25-G26*MAX(0,CH26*ALH25-(XG26+AAT26))))),MIN(FU26,MAX(0,AB26-SUM(PR26:QG26))))</f>
        <v>0</v>
      </c>
      <c r="QI26" s="20" t="n">
        <f aca="false">IF(H_Direct=1,IF(ALI25&lt;=0,0,IF(CI26&lt;=0,MIN(MAX(0,AB26-SUM(PR26:QH26)),ALI25),MIN(MAX(0,AB26-SUM(PR26:QH26)),ALI25-G26*MAX(0,CI26*ALI25-(XH26+AAU26))))),MIN(FV26,MAX(0,AB26-SUM(PR26:QH26))))</f>
        <v>0</v>
      </c>
      <c r="QJ26" s="20" t="n">
        <f aca="false">IF(H_Direct=1,IF(ALJ25&lt;=0,0,IF(CJ26&lt;=0,MIN(MAX(0,AB26-SUM(PR26:QI26)),ALJ25),MIN(MAX(0,AB26-SUM(PR26:QI26)),ALJ25-G26*MAX(0,CJ26*ALJ25-(XI26+AAV26))))),MIN(FW26,MAX(0,AB26-SUM(PR26:QI26))))</f>
        <v>0</v>
      </c>
      <c r="QK26" s="20" t="n">
        <f aca="false">IF(H_Direct=1,IF((P26+S26)&lt;=0,0,IF(CK26&lt;=0,MIN(MAX(0,AB26-SUM(PR26:QJ26)),(P26+S26)),MIN(MAX(0,AB26-SUM(PR26:QJ26)),(P26+S26)-G26*MAX(0,CK26*(P26+S26)-(XJ26+AAW26))))),MIN(FX26,MAX(0,AB26-SUM(PR26:QJ26))))</f>
        <v>0</v>
      </c>
      <c r="QL26" s="20" t="n">
        <v>0</v>
      </c>
      <c r="QM26" s="20" t="n">
        <v>0</v>
      </c>
      <c r="QN26" s="20" t="n">
        <v>0</v>
      </c>
      <c r="QO26" s="20" t="n">
        <v>0</v>
      </c>
      <c r="QP26" s="20" t="n">
        <v>0</v>
      </c>
      <c r="QQ26" s="20" t="n">
        <v>0</v>
      </c>
      <c r="QR26" s="20" t="n">
        <v>0</v>
      </c>
      <c r="QS26" s="20" t="n">
        <v>0</v>
      </c>
      <c r="QT26" s="20" t="n">
        <v>0</v>
      </c>
      <c r="QU26" s="20" t="n">
        <v>0</v>
      </c>
      <c r="QV26" s="20" t="n">
        <v>0</v>
      </c>
      <c r="QW26" s="20" t="n">
        <v>0</v>
      </c>
      <c r="QX26" s="20" t="n">
        <v>0</v>
      </c>
      <c r="QY26" s="20" t="n">
        <v>0</v>
      </c>
      <c r="QZ26" s="20" t="n">
        <v>0</v>
      </c>
      <c r="RA26" s="20" t="n">
        <v>0</v>
      </c>
      <c r="RB26" s="20" t="n">
        <v>0</v>
      </c>
      <c r="RC26" s="20" t="n">
        <v>0</v>
      </c>
      <c r="RD26" s="20" t="n">
        <v>0</v>
      </c>
      <c r="RE26" s="20" t="n">
        <v>0</v>
      </c>
      <c r="RF26" s="20" t="n">
        <v>0</v>
      </c>
      <c r="RG26" s="20" t="n">
        <v>0</v>
      </c>
      <c r="RH26" s="20" t="n">
        <v>0</v>
      </c>
      <c r="RI26" s="20" t="n">
        <v>0</v>
      </c>
      <c r="RJ26" s="20" t="n">
        <v>0</v>
      </c>
      <c r="RK26" s="20" t="n">
        <v>0</v>
      </c>
      <c r="RL26" s="20" t="n">
        <v>0</v>
      </c>
      <c r="RM26" s="20" t="n">
        <v>0</v>
      </c>
      <c r="RN26" s="20" t="n">
        <v>0</v>
      </c>
      <c r="RO26" s="20" t="n">
        <v>0</v>
      </c>
      <c r="RP26" s="20" t="n">
        <v>0</v>
      </c>
      <c r="RQ26" s="20" t="n">
        <v>0</v>
      </c>
      <c r="RR26" s="20" t="n">
        <v>0</v>
      </c>
      <c r="RS26" s="20" t="n">
        <v>0</v>
      </c>
      <c r="RT26" s="20" t="n">
        <v>0</v>
      </c>
      <c r="RU26" s="20" t="n">
        <v>0</v>
      </c>
      <c r="RV26" s="20" t="n">
        <v>0</v>
      </c>
      <c r="RW26" s="20" t="n">
        <v>0</v>
      </c>
      <c r="RX26" s="20" t="n">
        <v>0</v>
      </c>
      <c r="RY26" s="20" t="n">
        <v>0</v>
      </c>
      <c r="RZ26" s="20" t="n">
        <v>0</v>
      </c>
      <c r="SA26" s="20" t="n">
        <v>0</v>
      </c>
      <c r="SB26" s="20" t="n">
        <v>0</v>
      </c>
      <c r="SC26" s="20" t="n">
        <v>0</v>
      </c>
      <c r="SD26" s="20" t="n">
        <v>0</v>
      </c>
      <c r="SE26" s="20" t="n">
        <v>0</v>
      </c>
      <c r="SF26" s="20" t="n">
        <v>0</v>
      </c>
      <c r="SG26" s="20" t="n">
        <v>0</v>
      </c>
      <c r="SH26" s="20" t="n">
        <v>0</v>
      </c>
      <c r="SI26" s="20" t="n">
        <v>0</v>
      </c>
      <c r="SJ26" s="20" t="n">
        <v>0</v>
      </c>
      <c r="SK26" s="20" t="n">
        <v>0</v>
      </c>
      <c r="SL26" s="20" t="n">
        <v>0</v>
      </c>
      <c r="SM26" s="20" t="n">
        <v>0</v>
      </c>
      <c r="SN26" s="20" t="n">
        <v>0</v>
      </c>
      <c r="SO26" s="20" t="n">
        <v>0</v>
      </c>
      <c r="SP26" s="20" t="n">
        <v>0</v>
      </c>
      <c r="SQ26" s="20" t="n">
        <v>0</v>
      </c>
      <c r="SR26" s="20" t="n">
        <v>0</v>
      </c>
      <c r="SS26" s="20" t="n">
        <v>0</v>
      </c>
      <c r="ST26" s="20" t="n">
        <v>0</v>
      </c>
      <c r="SU26" s="20" t="n">
        <v>0</v>
      </c>
      <c r="SV26" s="20" t="n">
        <v>0</v>
      </c>
      <c r="SW26" s="20" t="n">
        <v>0</v>
      </c>
      <c r="SX26" s="20" t="n">
        <v>0</v>
      </c>
      <c r="SY26" s="20" t="n">
        <v>0</v>
      </c>
      <c r="SZ26" s="20" t="n">
        <v>0</v>
      </c>
      <c r="TA26" s="20" t="n">
        <v>0</v>
      </c>
      <c r="TB26" s="20" t="n">
        <v>0</v>
      </c>
      <c r="TC26" s="20" t="n">
        <v>0</v>
      </c>
      <c r="TD26" s="20" t="n">
        <v>0</v>
      </c>
      <c r="TE26" s="20" t="n">
        <f aca="false">IF(AKR25&lt;=0,0,IF(H_Direct=1,IF(BR26&lt;=0,PR26,IF(PR26&lt;=(H26+I26)/BR26,PR26,(PR26-G26*(H26+I26))/(1-G26*BR26))),PR26/(1-MAX(0,BR26)*H_Exit)))</f>
        <v>0</v>
      </c>
      <c r="TF26" s="20" t="n">
        <f aca="false">IF(AKS25&lt;=0,0,IF(H_Direct=1,IF(BS26&lt;=0,PS26,IF(PS26&lt;=(WR26+AAE26)/BS26,PS26,(PS26-G26*(WR26+AAE26))/(1-G26*BS26))),PS26/(1-MAX(0,BS26)*H_Exit)))</f>
        <v>0</v>
      </c>
      <c r="TG26" s="20" t="n">
        <f aca="false">IF(AKT25&lt;=0,0,IF(H_Direct=1,IF(BT26&lt;=0,PT26,IF(PT26&lt;=(WS26+AAF26)/BT26,PT26,(PT26-G26*(WS26+AAF26))/(1-G26*BT26))),PT26/(1-MAX(0,BT26)*H_Exit)))</f>
        <v>0</v>
      </c>
      <c r="TH26" s="20" t="n">
        <f aca="false">IF(AKU25&lt;=0,0,IF(H_Direct=1,IF(BU26&lt;=0,PU26,IF(PU26&lt;=(WT26+AAG26)/BU26,PU26,(PU26-G26*(WT26+AAG26))/(1-G26*BU26))),PU26/(1-MAX(0,BU26)*H_Exit)))</f>
        <v>0</v>
      </c>
      <c r="TI26" s="20" t="n">
        <f aca="false">IF(AKV25&lt;=0,0,IF(H_Direct=1,IF(BV26&lt;=0,PV26,IF(PV26&lt;=(WU26+AAH26)/BV26,PV26,(PV26-G26*(WU26+AAH26))/(1-G26*BV26))),PV26/(1-MAX(0,BV26)*H_Exit)))</f>
        <v>0</v>
      </c>
      <c r="TJ26" s="20" t="n">
        <f aca="false">IF(AKW25&lt;=0,0,IF(H_Direct=1,IF(BW26&lt;=0,PW26,IF(PW26&lt;=(WV26+AAI26)/BW26,PW26,(PW26-G26*(WV26+AAI26))/(1-G26*BW26))),PW26/(1-MAX(0,BW26)*H_Exit)))</f>
        <v>0</v>
      </c>
      <c r="TK26" s="20" t="n">
        <f aca="false">IF(AKX25&lt;=0,0,IF(H_Direct=1,IF(BX26&lt;=0,PX26,IF(PX26&lt;=(WW26+AAJ26)/BX26,PX26,(PX26-G26*(WW26+AAJ26))/(1-G26*BX26))),PX26/(1-MAX(0,BX26)*H_Exit)))</f>
        <v>0</v>
      </c>
      <c r="TL26" s="20" t="n">
        <f aca="false">IF(AKY25&lt;=0,0,IF(H_Direct=1,IF(BY26&lt;=0,PY26,IF(PY26&lt;=(WX26+AAK26)/BY26,PY26,(PY26-G26*(WX26+AAK26))/(1-G26*BY26))),PY26/(1-MAX(0,BY26)*H_Exit)))</f>
        <v>0</v>
      </c>
      <c r="TM26" s="20" t="n">
        <f aca="false">IF(AKZ25&lt;=0,0,IF(H_Direct=1,IF(BZ26&lt;=0,PZ26,IF(PZ26&lt;=(WY26+AAL26)/BZ26,PZ26,(PZ26-G26*(WY26+AAL26))/(1-G26*BZ26))),PZ26/(1-MAX(0,BZ26)*H_Exit)))</f>
        <v>0</v>
      </c>
      <c r="TN26" s="20" t="n">
        <f aca="false">IF(ALA25&lt;=0,0,IF(H_Direct=1,IF(CA26&lt;=0,QA26,IF(QA26&lt;=(WZ26+AAM26)/CA26,QA26,(QA26-G26*(WZ26+AAM26))/(1-G26*CA26))),QA26/(1-MAX(0,CA26)*H_Exit)))</f>
        <v>0</v>
      </c>
      <c r="TO26" s="20" t="n">
        <f aca="false">IF(ALB25&lt;=0,0,IF(H_Direct=1,IF(CB26&lt;=0,QB26,IF(QB26&lt;=(XA26+AAN26)/CB26,QB26,(QB26-G26*(XA26+AAN26))/(1-G26*CB26))),QB26/(1-MAX(0,CB26)*H_Exit)))</f>
        <v>0</v>
      </c>
      <c r="TP26" s="20" t="n">
        <f aca="false">IF(ALC25&lt;=0,0,IF(H_Direct=1,IF(CC26&lt;=0,QC26,IF(QC26&lt;=(XB26+AAO26)/CC26,QC26,(QC26-G26*(XB26+AAO26))/(1-G26*CC26))),QC26/(1-MAX(0,CC26)*H_Exit)))</f>
        <v>0</v>
      </c>
      <c r="TQ26" s="20" t="n">
        <f aca="false">IF(ALD25&lt;=0,0,IF(H_Direct=1,IF(CD26&lt;=0,QD26,IF(QD26&lt;=(XC26+AAP26)/CD26,QD26,(QD26-G26*(XC26+AAP26))/(1-G26*CD26))),QD26/(1-MAX(0,CD26)*H_Exit)))</f>
        <v>0</v>
      </c>
      <c r="TR26" s="20" t="n">
        <f aca="false">IF(ALE25&lt;=0,0,IF(H_Direct=1,IF(CE26&lt;=0,QE26,IF(QE26&lt;=(XD26+AAQ26)/CE26,QE26,(QE26-G26*(XD26+AAQ26))/(1-G26*CE26))),QE26/(1-MAX(0,CE26)*H_Exit)))</f>
        <v>0</v>
      </c>
      <c r="TS26" s="20" t="n">
        <f aca="false">IF(ALF25&lt;=0,0,IF(H_Direct=1,IF(CF26&lt;=0,QF26,IF(QF26&lt;=(XE26+AAR26)/CF26,QF26,(QF26-G26*(XE26+AAR26))/(1-G26*CF26))),QF26/(1-MAX(0,CF26)*H_Exit)))</f>
        <v>0</v>
      </c>
      <c r="TT26" s="20" t="n">
        <f aca="false">IF(ALG25&lt;=0,0,IF(H_Direct=1,IF(CG26&lt;=0,QG26,IF(QG26&lt;=(XF26+AAS26)/CG26,QG26,(QG26-G26*(XF26+AAS26))/(1-G26*CG26))),QG26/(1-MAX(0,CG26)*H_Exit)))</f>
        <v>0</v>
      </c>
      <c r="TU26" s="20" t="n">
        <f aca="false">IF(ALH25&lt;=0,0,IF(H_Direct=1,IF(CH26&lt;=0,QH26,IF(QH26&lt;=(XG26+AAT26)/CH26,QH26,(QH26-G26*(XG26+AAT26))/(1-G26*CH26))),QH26/(1-MAX(0,CH26)*H_Exit)))</f>
        <v>0</v>
      </c>
      <c r="TV26" s="20" t="n">
        <f aca="false">IF(ALI25&lt;=0,0,IF(H_Direct=1,IF(CI26&lt;=0,QI26,IF(QI26&lt;=(XH26+AAU26)/CI26,QI26,(QI26-G26*(XH26+AAU26))/(1-G26*CI26))),QI26/(1-MAX(0,CI26)*H_Exit)))</f>
        <v>0</v>
      </c>
      <c r="TW26" s="20" t="n">
        <f aca="false">IF(ALJ25&lt;=0,0,IF(H_Direct=1,IF(CJ26&lt;=0,QJ26,IF(QJ26&lt;=(XI26+AAV26)/CJ26,QJ26,(QJ26-G26*(XI26+AAV26))/(1-G26*CJ26))),QJ26/(1-MAX(0,CJ26)*H_Exit)))</f>
        <v>0</v>
      </c>
      <c r="TX26" s="20" t="n">
        <f aca="false">IF((P26+S26)&lt;=0,0,IF(H_Direct=1,IF(CK26&lt;=0,QK26,IF(QK26&lt;=(XJ26+AAW26)/CK26,QK26,(QK26-G26*(XJ26+AAW26))/(1-G26*CK26))),QK26/(1-MAX(0,CK26)*H_Exit)))</f>
        <v>0</v>
      </c>
      <c r="TY26" s="20" t="n">
        <v>0</v>
      </c>
      <c r="TZ26" s="20" t="n">
        <v>0</v>
      </c>
      <c r="UA26" s="20" t="n">
        <v>0</v>
      </c>
      <c r="UB26" s="20" t="n">
        <v>0</v>
      </c>
      <c r="UC26" s="20" t="n">
        <v>0</v>
      </c>
      <c r="UD26" s="20" t="n">
        <v>0</v>
      </c>
      <c r="UE26" s="20" t="n">
        <v>0</v>
      </c>
      <c r="UF26" s="20" t="n">
        <v>0</v>
      </c>
      <c r="UG26" s="20" t="n">
        <v>0</v>
      </c>
      <c r="UH26" s="20" t="n">
        <v>0</v>
      </c>
      <c r="UI26" s="20" t="n">
        <v>0</v>
      </c>
      <c r="UJ26" s="20" t="n">
        <v>0</v>
      </c>
      <c r="UK26" s="20" t="n">
        <v>0</v>
      </c>
      <c r="UL26" s="20" t="n">
        <v>0</v>
      </c>
      <c r="UM26" s="20" t="n">
        <v>0</v>
      </c>
      <c r="UN26" s="20" t="n">
        <v>0</v>
      </c>
      <c r="UO26" s="20" t="n">
        <v>0</v>
      </c>
      <c r="UP26" s="20" t="n">
        <v>0</v>
      </c>
      <c r="UQ26" s="20" t="n">
        <v>0</v>
      </c>
      <c r="UR26" s="20" t="n">
        <v>0</v>
      </c>
      <c r="US26" s="20" t="n">
        <v>0</v>
      </c>
      <c r="UT26" s="20" t="n">
        <v>0</v>
      </c>
      <c r="UU26" s="20" t="n">
        <v>0</v>
      </c>
      <c r="UV26" s="20" t="n">
        <v>0</v>
      </c>
      <c r="UW26" s="20" t="n">
        <v>0</v>
      </c>
      <c r="UX26" s="20" t="n">
        <v>0</v>
      </c>
      <c r="UY26" s="20" t="n">
        <v>0</v>
      </c>
      <c r="UZ26" s="20" t="n">
        <v>0</v>
      </c>
      <c r="VA26" s="20" t="n">
        <v>0</v>
      </c>
      <c r="VB26" s="20" t="n">
        <v>0</v>
      </c>
      <c r="VC26" s="20" t="n">
        <v>0</v>
      </c>
      <c r="VD26" s="20" t="n">
        <v>0</v>
      </c>
      <c r="VE26" s="20" t="n">
        <v>0</v>
      </c>
      <c r="VF26" s="20" t="n">
        <v>0</v>
      </c>
      <c r="VG26" s="20" t="n">
        <v>0</v>
      </c>
      <c r="VH26" s="20" t="n">
        <v>0</v>
      </c>
      <c r="VI26" s="20" t="n">
        <v>0</v>
      </c>
      <c r="VJ26" s="20" t="n">
        <v>0</v>
      </c>
      <c r="VK26" s="20" t="n">
        <v>0</v>
      </c>
      <c r="VL26" s="20" t="n">
        <v>0</v>
      </c>
      <c r="VM26" s="20" t="n">
        <v>0</v>
      </c>
      <c r="VN26" s="20" t="n">
        <v>0</v>
      </c>
      <c r="VO26" s="20" t="n">
        <v>0</v>
      </c>
      <c r="VP26" s="20" t="n">
        <v>0</v>
      </c>
      <c r="VQ26" s="20" t="n">
        <v>0</v>
      </c>
      <c r="VR26" s="20" t="n">
        <v>0</v>
      </c>
      <c r="VS26" s="20" t="n">
        <v>0</v>
      </c>
      <c r="VT26" s="20" t="n">
        <v>0</v>
      </c>
      <c r="VU26" s="20" t="n">
        <v>0</v>
      </c>
      <c r="VV26" s="20" t="n">
        <v>0</v>
      </c>
      <c r="VW26" s="20" t="n">
        <v>0</v>
      </c>
      <c r="VX26" s="20" t="n">
        <v>0</v>
      </c>
      <c r="VY26" s="20" t="n">
        <v>0</v>
      </c>
      <c r="VZ26" s="20" t="n">
        <v>0</v>
      </c>
      <c r="WA26" s="20" t="n">
        <v>0</v>
      </c>
      <c r="WB26" s="20" t="n">
        <v>0</v>
      </c>
      <c r="WC26" s="20" t="n">
        <v>0</v>
      </c>
      <c r="WD26" s="20" t="n">
        <v>0</v>
      </c>
      <c r="WE26" s="20" t="n">
        <v>0</v>
      </c>
      <c r="WF26" s="20" t="n">
        <v>0</v>
      </c>
      <c r="WG26" s="20" t="n">
        <v>0</v>
      </c>
      <c r="WH26" s="20" t="n">
        <v>0</v>
      </c>
      <c r="WI26" s="20" t="n">
        <v>0</v>
      </c>
      <c r="WJ26" s="20" t="n">
        <v>0</v>
      </c>
      <c r="WK26" s="20" t="n">
        <v>0</v>
      </c>
      <c r="WL26" s="20" t="n">
        <v>0</v>
      </c>
      <c r="WM26" s="20" t="n">
        <v>0</v>
      </c>
      <c r="WN26" s="20" t="n">
        <v>0</v>
      </c>
      <c r="WO26" s="20" t="n">
        <v>0</v>
      </c>
      <c r="WP26" s="20" t="n">
        <v>0</v>
      </c>
      <c r="WQ26" s="20" t="n">
        <v>0</v>
      </c>
      <c r="WR26" s="20" t="n">
        <f aca="false">IF(AND(H_Direct=1,BR26&gt;0),MAX(0,H26-(MIN(BR26*TE26,(H26+I26))-MIN(MIN(BR26*TE26,(H26+I26)),I26))),H26)</f>
        <v>1270</v>
      </c>
      <c r="WS26" s="20" t="n">
        <f aca="false">IF(AND(H_Direct=1,BS26&gt;0),MAX(0,WR26-(MIN(BS26*TF26,(WR26+AAE26))-MIN(MIN(BS26*TF26,(WR26+AAE26)),AAE26))),WR26)</f>
        <v>1270</v>
      </c>
      <c r="WT26" s="20" t="n">
        <f aca="false">IF(AND(H_Direct=1,BT26&gt;0),MAX(0,WS26-(MIN(BT26*TG26,(WS26+AAF26))-MIN(MIN(BT26*TG26,(WS26+AAF26)),AAF26))),WS26)</f>
        <v>1270</v>
      </c>
      <c r="WU26" s="20" t="n">
        <f aca="false">IF(AND(H_Direct=1,BU26&gt;0),MAX(0,WT26-(MIN(BU26*TH26,(WT26+AAG26))-MIN(MIN(BU26*TH26,(WT26+AAG26)),AAG26))),WT26)</f>
        <v>1270</v>
      </c>
      <c r="WV26" s="20" t="n">
        <f aca="false">IF(AND(H_Direct=1,BV26&gt;0),MAX(0,WU26-(MIN(BV26*TI26,(WU26+AAH26))-MIN(MIN(BV26*TI26,(WU26+AAH26)),AAH26))),WU26)</f>
        <v>1270</v>
      </c>
      <c r="WW26" s="20" t="n">
        <f aca="false">IF(AND(H_Direct=1,BW26&gt;0),MAX(0,WV26-(MIN(BW26*TJ26,(WV26+AAI26))-MIN(MIN(BW26*TJ26,(WV26+AAI26)),AAI26))),WV26)</f>
        <v>1270</v>
      </c>
      <c r="WX26" s="20" t="n">
        <f aca="false">IF(AND(H_Direct=1,BX26&gt;0),MAX(0,WW26-(MIN(BX26*TK26,(WW26+AAJ26))-MIN(MIN(BX26*TK26,(WW26+AAJ26)),AAJ26))),WW26)</f>
        <v>1270</v>
      </c>
      <c r="WY26" s="20" t="n">
        <f aca="false">IF(AND(H_Direct=1,BY26&gt;0),MAX(0,WX26-(MIN(BY26*TL26,(WX26+AAK26))-MIN(MIN(BY26*TL26,(WX26+AAK26)),AAK26))),WX26)</f>
        <v>1270</v>
      </c>
      <c r="WZ26" s="20" t="n">
        <f aca="false">IF(AND(H_Direct=1,BZ26&gt;0),MAX(0,WY26-(MIN(BZ26*TM26,(WY26+AAL26))-MIN(MIN(BZ26*TM26,(WY26+AAL26)),AAL26))),WY26)</f>
        <v>1270</v>
      </c>
      <c r="XA26" s="20" t="n">
        <f aca="false">IF(AND(H_Direct=1,CA26&gt;0),MAX(0,WZ26-(MIN(CA26*TN26,(WZ26+AAM26))-MIN(MIN(CA26*TN26,(WZ26+AAM26)),AAM26))),WZ26)</f>
        <v>1270</v>
      </c>
      <c r="XB26" s="20" t="n">
        <f aca="false">IF(AND(H_Direct=1,CB26&gt;0),MAX(0,XA26-(MIN(CB26*TO26,(XA26+AAN26))-MIN(MIN(CB26*TO26,(XA26+AAN26)),AAN26))),XA26)</f>
        <v>1270</v>
      </c>
      <c r="XC26" s="20" t="n">
        <f aca="false">IF(AND(H_Direct=1,CC26&gt;0),MAX(0,XB26-(MIN(CC26*TP26,(XB26+AAO26))-MIN(MIN(CC26*TP26,(XB26+AAO26)),AAO26))),XB26)</f>
        <v>1270</v>
      </c>
      <c r="XD26" s="20" t="n">
        <f aca="false">IF(AND(H_Direct=1,CD26&gt;0),MAX(0,XC26-(MIN(CD26*TQ26,(XC26+AAP26))-MIN(MIN(CD26*TQ26,(XC26+AAP26)),AAP26))),XC26)</f>
        <v>1270</v>
      </c>
      <c r="XE26" s="20" t="n">
        <f aca="false">IF(AND(H_Direct=1,CE26&gt;0),MAX(0,XD26-(MIN(CE26*TR26,(XD26+AAQ26))-MIN(MIN(CE26*TR26,(XD26+AAQ26)),AAQ26))),XD26)</f>
        <v>1270</v>
      </c>
      <c r="XF26" s="20" t="n">
        <f aca="false">IF(AND(H_Direct=1,CF26&gt;0),MAX(0,XE26-(MIN(CF26*TS26,(XE26+AAR26))-MIN(MIN(CF26*TS26,(XE26+AAR26)),AAR26))),XE26)</f>
        <v>1270</v>
      </c>
      <c r="XG26" s="20" t="n">
        <f aca="false">IF(AND(H_Direct=1,CG26&gt;0),MAX(0,XF26-(MIN(CG26*TT26,(XF26+AAS26))-MIN(MIN(CG26*TT26,(XF26+AAS26)),AAS26))),XF26)</f>
        <v>1270</v>
      </c>
      <c r="XH26" s="20" t="n">
        <f aca="false">IF(AND(H_Direct=1,CH26&gt;0),MAX(0,XG26-(MIN(CH26*TU26,(XG26+AAT26))-MIN(MIN(CH26*TU26,(XG26+AAT26)),AAT26))),XG26)</f>
        <v>1270</v>
      </c>
      <c r="XI26" s="20" t="n">
        <f aca="false">IF(AND(H_Direct=1,CI26&gt;0),MAX(0,XH26-(MIN(CI26*TV26,(XH26+AAU26))-MIN(MIN(CI26*TV26,(XH26+AAU26)),AAU26))),XH26)</f>
        <v>1270</v>
      </c>
      <c r="XJ26" s="20" t="n">
        <f aca="false">IF(AND(H_Direct=1,CJ26&gt;0),MAX(0,XI26-(MIN(CJ26*TW26,(XI26+AAV26))-MIN(MIN(CJ26*TW26,(XI26+AAV26)),AAV26))),XI26)</f>
        <v>1270</v>
      </c>
      <c r="XK26" s="20" t="n">
        <f aca="false">IF(AND(H_Direct=1,CK26&gt;0),MAX(0,XJ26-(MIN(CK26*TX26,(XJ26+AAW26))-MIN(MIN(CK26*TX26,(XJ26+AAW26)),AAW26))),XJ26)</f>
        <v>1270</v>
      </c>
      <c r="XL26" s="20" t="n">
        <f aca="false">XK26</f>
        <v>1270</v>
      </c>
      <c r="XM26" s="20" t="n">
        <f aca="false">XL26</f>
        <v>1270</v>
      </c>
      <c r="XN26" s="20" t="n">
        <f aca="false">XM26</f>
        <v>1270</v>
      </c>
      <c r="XO26" s="20" t="n">
        <f aca="false">XN26</f>
        <v>1270</v>
      </c>
      <c r="XP26" s="20" t="n">
        <f aca="false">XO26</f>
        <v>1270</v>
      </c>
      <c r="XQ26" s="20" t="n">
        <f aca="false">XP26</f>
        <v>1270</v>
      </c>
      <c r="XR26" s="20" t="n">
        <f aca="false">XQ26</f>
        <v>1270</v>
      </c>
      <c r="XS26" s="20" t="n">
        <f aca="false">XR26</f>
        <v>1270</v>
      </c>
      <c r="XT26" s="20" t="n">
        <f aca="false">XS26</f>
        <v>1270</v>
      </c>
      <c r="XU26" s="20" t="n">
        <f aca="false">XT26</f>
        <v>1270</v>
      </c>
      <c r="XV26" s="20" t="n">
        <f aca="false">XU26</f>
        <v>1270</v>
      </c>
      <c r="XW26" s="20" t="n">
        <f aca="false">XV26</f>
        <v>1270</v>
      </c>
      <c r="XX26" s="20" t="n">
        <f aca="false">XW26</f>
        <v>1270</v>
      </c>
      <c r="XY26" s="20" t="n">
        <f aca="false">XX26</f>
        <v>1270</v>
      </c>
      <c r="XZ26" s="20" t="n">
        <f aca="false">XY26</f>
        <v>1270</v>
      </c>
      <c r="YA26" s="20" t="n">
        <f aca="false">XZ26</f>
        <v>1270</v>
      </c>
      <c r="YB26" s="20" t="n">
        <f aca="false">YA26</f>
        <v>1270</v>
      </c>
      <c r="YC26" s="20" t="n">
        <f aca="false">YB26</f>
        <v>1270</v>
      </c>
      <c r="YD26" s="20" t="n">
        <f aca="false">YC26</f>
        <v>1270</v>
      </c>
      <c r="YE26" s="20" t="n">
        <f aca="false">YD26</f>
        <v>1270</v>
      </c>
      <c r="YF26" s="20" t="n">
        <f aca="false">YE26</f>
        <v>1270</v>
      </c>
      <c r="YG26" s="20" t="n">
        <f aca="false">YF26</f>
        <v>1270</v>
      </c>
      <c r="YH26" s="20" t="n">
        <f aca="false">YG26</f>
        <v>1270</v>
      </c>
      <c r="YI26" s="20" t="n">
        <f aca="false">YH26</f>
        <v>1270</v>
      </c>
      <c r="YJ26" s="20" t="n">
        <f aca="false">YI26</f>
        <v>1270</v>
      </c>
      <c r="YK26" s="20" t="n">
        <f aca="false">YJ26</f>
        <v>1270</v>
      </c>
      <c r="YL26" s="20" t="n">
        <f aca="false">YK26</f>
        <v>1270</v>
      </c>
      <c r="YM26" s="20" t="n">
        <f aca="false">YL26</f>
        <v>1270</v>
      </c>
      <c r="YN26" s="20" t="n">
        <f aca="false">YM26</f>
        <v>1270</v>
      </c>
      <c r="YO26" s="20" t="n">
        <f aca="false">YN26</f>
        <v>1270</v>
      </c>
      <c r="YP26" s="20" t="n">
        <f aca="false">YO26</f>
        <v>1270</v>
      </c>
      <c r="YQ26" s="20" t="n">
        <f aca="false">YP26</f>
        <v>1270</v>
      </c>
      <c r="YR26" s="20" t="n">
        <f aca="false">YQ26</f>
        <v>1270</v>
      </c>
      <c r="YS26" s="20" t="n">
        <f aca="false">YR26</f>
        <v>1270</v>
      </c>
      <c r="YT26" s="20" t="n">
        <f aca="false">YS26</f>
        <v>1270</v>
      </c>
      <c r="YU26" s="20" t="n">
        <f aca="false">YT26</f>
        <v>1270</v>
      </c>
      <c r="YV26" s="20" t="n">
        <f aca="false">YU26</f>
        <v>1270</v>
      </c>
      <c r="YW26" s="20" t="n">
        <f aca="false">YV26</f>
        <v>1270</v>
      </c>
      <c r="YX26" s="20" t="n">
        <f aca="false">YW26</f>
        <v>1270</v>
      </c>
      <c r="YY26" s="20" t="n">
        <f aca="false">YX26</f>
        <v>1270</v>
      </c>
      <c r="YZ26" s="20" t="n">
        <f aca="false">YY26</f>
        <v>1270</v>
      </c>
      <c r="ZA26" s="20" t="n">
        <f aca="false">YZ26</f>
        <v>1270</v>
      </c>
      <c r="ZB26" s="20" t="n">
        <f aca="false">ZA26</f>
        <v>1270</v>
      </c>
      <c r="ZC26" s="20" t="n">
        <f aca="false">ZB26</f>
        <v>1270</v>
      </c>
      <c r="ZD26" s="20" t="n">
        <f aca="false">ZC26</f>
        <v>1270</v>
      </c>
      <c r="ZE26" s="20" t="n">
        <f aca="false">ZD26</f>
        <v>1270</v>
      </c>
      <c r="ZF26" s="20" t="n">
        <f aca="false">ZE26</f>
        <v>1270</v>
      </c>
      <c r="ZG26" s="20" t="n">
        <f aca="false">ZF26</f>
        <v>1270</v>
      </c>
      <c r="ZH26" s="20" t="n">
        <f aca="false">ZG26</f>
        <v>1270</v>
      </c>
      <c r="ZI26" s="20" t="n">
        <f aca="false">ZH26</f>
        <v>1270</v>
      </c>
      <c r="ZJ26" s="20" t="n">
        <f aca="false">ZI26</f>
        <v>1270</v>
      </c>
      <c r="ZK26" s="20" t="n">
        <f aca="false">ZJ26</f>
        <v>1270</v>
      </c>
      <c r="ZL26" s="20" t="n">
        <f aca="false">ZK26</f>
        <v>1270</v>
      </c>
      <c r="ZM26" s="20" t="n">
        <f aca="false">ZL26</f>
        <v>1270</v>
      </c>
      <c r="ZN26" s="20" t="n">
        <f aca="false">ZM26</f>
        <v>1270</v>
      </c>
      <c r="ZO26" s="20" t="n">
        <f aca="false">ZN26</f>
        <v>1270</v>
      </c>
      <c r="ZP26" s="20" t="n">
        <f aca="false">ZO26</f>
        <v>1270</v>
      </c>
      <c r="ZQ26" s="20" t="n">
        <f aca="false">ZP26</f>
        <v>1270</v>
      </c>
      <c r="ZR26" s="20" t="n">
        <f aca="false">ZQ26</f>
        <v>1270</v>
      </c>
      <c r="ZS26" s="20" t="n">
        <f aca="false">ZR26</f>
        <v>1270</v>
      </c>
      <c r="ZT26" s="20" t="n">
        <f aca="false">ZS26</f>
        <v>1270</v>
      </c>
      <c r="ZU26" s="20" t="n">
        <f aca="false">ZT26</f>
        <v>1270</v>
      </c>
      <c r="ZV26" s="20" t="n">
        <f aca="false">ZU26</f>
        <v>1270</v>
      </c>
      <c r="ZW26" s="20" t="n">
        <f aca="false">ZV26</f>
        <v>1270</v>
      </c>
      <c r="ZX26" s="20" t="n">
        <f aca="false">ZW26</f>
        <v>1270</v>
      </c>
      <c r="ZY26" s="20" t="n">
        <f aca="false">ZX26</f>
        <v>1270</v>
      </c>
      <c r="ZZ26" s="20" t="n">
        <f aca="false">ZY26</f>
        <v>1270</v>
      </c>
      <c r="AAA26" s="20" t="n">
        <f aca="false">ZZ26</f>
        <v>1270</v>
      </c>
      <c r="AAB26" s="20" t="n">
        <f aca="false">AAA26</f>
        <v>1270</v>
      </c>
      <c r="AAC26" s="20" t="n">
        <f aca="false">AAB26</f>
        <v>1270</v>
      </c>
      <c r="AAD26" s="20" t="n">
        <f aca="false">AAC26</f>
        <v>1270</v>
      </c>
      <c r="AAE26" s="20" t="n">
        <f aca="false">IF(H_Direct=1,IF(BR26&lt;=0,I26-BR26*TE26,I26-MIN(MIN(BR26*TE26,(H26+I26)),I26)),I26)</f>
        <v>0</v>
      </c>
      <c r="AAF26" s="20" t="n">
        <f aca="false">IF(H_Direct=1,IF(BS26&lt;=0,AAE26-BS26*TF26,AAE26-MIN(MIN(BS26*TF26,(WR26+AAE26)),AAE26)),AAE26)</f>
        <v>0</v>
      </c>
      <c r="AAG26" s="20" t="n">
        <f aca="false">IF(H_Direct=1,IF(BT26&lt;=0,AAF26-BT26*TG26,AAF26-MIN(MIN(BT26*TG26,(WS26+AAF26)),AAF26)),AAF26)</f>
        <v>0</v>
      </c>
      <c r="AAH26" s="20" t="n">
        <f aca="false">IF(H_Direct=1,IF(BU26&lt;=0,AAG26-BU26*TH26,AAG26-MIN(MIN(BU26*TH26,(WT26+AAG26)),AAG26)),AAG26)</f>
        <v>0</v>
      </c>
      <c r="AAI26" s="20" t="n">
        <f aca="false">IF(H_Direct=1,IF(BV26&lt;=0,AAH26-BV26*TI26,AAH26-MIN(MIN(BV26*TI26,(WU26+AAH26)),AAH26)),AAH26)</f>
        <v>0</v>
      </c>
      <c r="AAJ26" s="20" t="n">
        <f aca="false">IF(H_Direct=1,IF(BW26&lt;=0,AAI26-BW26*TJ26,AAI26-MIN(MIN(BW26*TJ26,(WV26+AAI26)),AAI26)),AAI26)</f>
        <v>0</v>
      </c>
      <c r="AAK26" s="20" t="n">
        <f aca="false">IF(H_Direct=1,IF(BX26&lt;=0,AAJ26-BX26*TK26,AAJ26-MIN(MIN(BX26*TK26,(WW26+AAJ26)),AAJ26)),AAJ26)</f>
        <v>0</v>
      </c>
      <c r="AAL26" s="20" t="n">
        <f aca="false">IF(H_Direct=1,IF(BY26&lt;=0,AAK26-BY26*TL26,AAK26-MIN(MIN(BY26*TL26,(WX26+AAK26)),AAK26)),AAK26)</f>
        <v>0</v>
      </c>
      <c r="AAM26" s="20" t="n">
        <f aca="false">IF(H_Direct=1,IF(BZ26&lt;=0,AAL26-BZ26*TM26,AAL26-MIN(MIN(BZ26*TM26,(WY26+AAL26)),AAL26)),AAL26)</f>
        <v>0</v>
      </c>
      <c r="AAN26" s="20" t="n">
        <f aca="false">IF(H_Direct=1,IF(CA26&lt;=0,AAM26-CA26*TN26,AAM26-MIN(MIN(CA26*TN26,(WZ26+AAM26)),AAM26)),AAM26)</f>
        <v>0</v>
      </c>
      <c r="AAO26" s="20" t="n">
        <f aca="false">IF(H_Direct=1,IF(CB26&lt;=0,AAN26-CB26*TO26,AAN26-MIN(MIN(CB26*TO26,(XA26+AAN26)),AAN26)),AAN26)</f>
        <v>0</v>
      </c>
      <c r="AAP26" s="20" t="n">
        <f aca="false">IF(H_Direct=1,IF(CC26&lt;=0,AAO26-CC26*TP26,AAO26-MIN(MIN(CC26*TP26,(XB26+AAO26)),AAO26)),AAO26)</f>
        <v>0</v>
      </c>
      <c r="AAQ26" s="20" t="n">
        <f aca="false">IF(H_Direct=1,IF(CD26&lt;=0,AAP26-CD26*TQ26,AAP26-MIN(MIN(CD26*TQ26,(XC26+AAP26)),AAP26)),AAP26)</f>
        <v>0</v>
      </c>
      <c r="AAR26" s="20" t="n">
        <f aca="false">IF(H_Direct=1,IF(CE26&lt;=0,AAQ26-CE26*TR26,AAQ26-MIN(MIN(CE26*TR26,(XD26+AAQ26)),AAQ26)),AAQ26)</f>
        <v>0</v>
      </c>
      <c r="AAS26" s="20" t="n">
        <f aca="false">IF(H_Direct=1,IF(CF26&lt;=0,AAR26-CF26*TS26,AAR26-MIN(MIN(CF26*TS26,(XE26+AAR26)),AAR26)),AAR26)</f>
        <v>0</v>
      </c>
      <c r="AAT26" s="20" t="n">
        <f aca="false">IF(H_Direct=1,IF(CG26&lt;=0,AAS26-CG26*TT26,AAS26-MIN(MIN(CG26*TT26,(XF26+AAS26)),AAS26)),AAS26)</f>
        <v>0</v>
      </c>
      <c r="AAU26" s="20" t="n">
        <f aca="false">IF(H_Direct=1,IF(CH26&lt;=0,AAT26-CH26*TU26,AAT26-MIN(MIN(CH26*TU26,(XG26+AAT26)),AAT26)),AAT26)</f>
        <v>0</v>
      </c>
      <c r="AAV26" s="20" t="n">
        <f aca="false">IF(H_Direct=1,IF(CI26&lt;=0,AAU26-CI26*TV26,AAU26-MIN(MIN(CI26*TV26,(XH26+AAU26)),AAU26)),AAU26)</f>
        <v>0</v>
      </c>
      <c r="AAW26" s="20" t="n">
        <f aca="false">IF(H_Direct=1,IF(CJ26&lt;=0,AAV26-CJ26*TW26,AAV26-MIN(MIN(CJ26*TW26,(XI26+AAV26)),AAV26)),AAV26)</f>
        <v>0</v>
      </c>
      <c r="AAX26" s="20" t="n">
        <f aca="false">IF(H_Direct=1,IF(CK26&lt;=0,AAW26-CK26*TX26,AAW26-MIN(MIN(CK26*TX26,(XJ26+AAW26)),AAW26)),AAW26)</f>
        <v>0</v>
      </c>
      <c r="AAY26" s="20" t="n">
        <f aca="false">AAX26</f>
        <v>0</v>
      </c>
      <c r="AAZ26" s="20" t="n">
        <f aca="false">AAY26</f>
        <v>0</v>
      </c>
      <c r="ABA26" s="20" t="n">
        <f aca="false">AAZ26</f>
        <v>0</v>
      </c>
      <c r="ABB26" s="20" t="n">
        <f aca="false">ABA26</f>
        <v>0</v>
      </c>
      <c r="ABC26" s="20" t="n">
        <f aca="false">ABB26</f>
        <v>0</v>
      </c>
      <c r="ABD26" s="20" t="n">
        <f aca="false">ABC26</f>
        <v>0</v>
      </c>
      <c r="ABE26" s="20" t="n">
        <f aca="false">ABD26</f>
        <v>0</v>
      </c>
      <c r="ABF26" s="20" t="n">
        <f aca="false">ABE26</f>
        <v>0</v>
      </c>
      <c r="ABG26" s="20" t="n">
        <f aca="false">ABF26</f>
        <v>0</v>
      </c>
      <c r="ABH26" s="20" t="n">
        <f aca="false">ABG26</f>
        <v>0</v>
      </c>
      <c r="ABI26" s="20" t="n">
        <f aca="false">ABH26</f>
        <v>0</v>
      </c>
      <c r="ABJ26" s="20" t="n">
        <f aca="false">ABI26</f>
        <v>0</v>
      </c>
      <c r="ABK26" s="20" t="n">
        <f aca="false">ABJ26</f>
        <v>0</v>
      </c>
      <c r="ABL26" s="20" t="n">
        <f aca="false">ABK26</f>
        <v>0</v>
      </c>
      <c r="ABM26" s="20" t="n">
        <f aca="false">ABL26</f>
        <v>0</v>
      </c>
      <c r="ABN26" s="20" t="n">
        <f aca="false">ABM26</f>
        <v>0</v>
      </c>
      <c r="ABO26" s="20" t="n">
        <f aca="false">ABN26</f>
        <v>0</v>
      </c>
      <c r="ABP26" s="20" t="n">
        <f aca="false">ABO26</f>
        <v>0</v>
      </c>
      <c r="ABQ26" s="20" t="n">
        <f aca="false">ABP26</f>
        <v>0</v>
      </c>
      <c r="ABR26" s="20" t="n">
        <f aca="false">ABQ26</f>
        <v>0</v>
      </c>
      <c r="ABS26" s="20" t="n">
        <f aca="false">ABR26</f>
        <v>0</v>
      </c>
      <c r="ABT26" s="20" t="n">
        <f aca="false">ABS26</f>
        <v>0</v>
      </c>
      <c r="ABU26" s="20" t="n">
        <f aca="false">ABT26</f>
        <v>0</v>
      </c>
      <c r="ABV26" s="20" t="n">
        <f aca="false">ABU26</f>
        <v>0</v>
      </c>
      <c r="ABW26" s="20" t="n">
        <f aca="false">ABV26</f>
        <v>0</v>
      </c>
      <c r="ABX26" s="20" t="n">
        <f aca="false">ABW26</f>
        <v>0</v>
      </c>
      <c r="ABY26" s="20" t="n">
        <f aca="false">ABX26</f>
        <v>0</v>
      </c>
      <c r="ABZ26" s="20" t="n">
        <f aca="false">ABY26</f>
        <v>0</v>
      </c>
      <c r="ACA26" s="20" t="n">
        <f aca="false">ABZ26</f>
        <v>0</v>
      </c>
      <c r="ACB26" s="20" t="n">
        <f aca="false">ACA26</f>
        <v>0</v>
      </c>
      <c r="ACC26" s="20" t="n">
        <f aca="false">ACB26</f>
        <v>0</v>
      </c>
      <c r="ACD26" s="20" t="n">
        <f aca="false">ACC26</f>
        <v>0</v>
      </c>
      <c r="ACE26" s="20" t="n">
        <f aca="false">ACD26</f>
        <v>0</v>
      </c>
      <c r="ACF26" s="20" t="n">
        <f aca="false">ACE26</f>
        <v>0</v>
      </c>
      <c r="ACG26" s="20" t="n">
        <f aca="false">ACF26</f>
        <v>0</v>
      </c>
      <c r="ACH26" s="20" t="n">
        <f aca="false">ACG26</f>
        <v>0</v>
      </c>
      <c r="ACI26" s="20" t="n">
        <f aca="false">ACH26</f>
        <v>0</v>
      </c>
      <c r="ACJ26" s="20" t="n">
        <f aca="false">ACI26</f>
        <v>0</v>
      </c>
      <c r="ACK26" s="20" t="n">
        <f aca="false">ACJ26</f>
        <v>0</v>
      </c>
      <c r="ACL26" s="20" t="n">
        <f aca="false">ACK26</f>
        <v>0</v>
      </c>
      <c r="ACM26" s="20" t="n">
        <f aca="false">ACL26</f>
        <v>0</v>
      </c>
      <c r="ACN26" s="20" t="n">
        <f aca="false">ACM26</f>
        <v>0</v>
      </c>
      <c r="ACO26" s="20" t="n">
        <f aca="false">ACN26</f>
        <v>0</v>
      </c>
      <c r="ACP26" s="20" t="n">
        <f aca="false">ACO26</f>
        <v>0</v>
      </c>
      <c r="ACQ26" s="20" t="n">
        <f aca="false">ACP26</f>
        <v>0</v>
      </c>
      <c r="ACR26" s="20" t="n">
        <f aca="false">ACQ26</f>
        <v>0</v>
      </c>
      <c r="ACS26" s="20" t="n">
        <f aca="false">ACR26</f>
        <v>0</v>
      </c>
      <c r="ACT26" s="20" t="n">
        <f aca="false">ACS26</f>
        <v>0</v>
      </c>
      <c r="ACU26" s="20" t="n">
        <f aca="false">ACT26</f>
        <v>0</v>
      </c>
      <c r="ACV26" s="20" t="n">
        <f aca="false">ACU26</f>
        <v>0</v>
      </c>
      <c r="ACW26" s="20" t="n">
        <f aca="false">ACV26</f>
        <v>0</v>
      </c>
      <c r="ACX26" s="20" t="n">
        <f aca="false">ACW26</f>
        <v>0</v>
      </c>
      <c r="ACY26" s="20" t="n">
        <f aca="false">ACX26</f>
        <v>0</v>
      </c>
      <c r="ACZ26" s="20" t="n">
        <f aca="false">ACY26</f>
        <v>0</v>
      </c>
      <c r="ADA26" s="20" t="n">
        <f aca="false">ACZ26</f>
        <v>0</v>
      </c>
      <c r="ADB26" s="20" t="n">
        <f aca="false">ADA26</f>
        <v>0</v>
      </c>
      <c r="ADC26" s="20" t="n">
        <f aca="false">ADB26</f>
        <v>0</v>
      </c>
      <c r="ADD26" s="20" t="n">
        <f aca="false">ADC26</f>
        <v>0</v>
      </c>
      <c r="ADE26" s="20" t="n">
        <f aca="false">ADD26</f>
        <v>0</v>
      </c>
      <c r="ADF26" s="20" t="n">
        <f aca="false">ADE26</f>
        <v>0</v>
      </c>
      <c r="ADG26" s="20" t="n">
        <f aca="false">ADF26</f>
        <v>0</v>
      </c>
      <c r="ADH26" s="20" t="n">
        <f aca="false">ADG26</f>
        <v>0</v>
      </c>
      <c r="ADI26" s="20" t="n">
        <f aca="false">ADH26</f>
        <v>0</v>
      </c>
      <c r="ADJ26" s="20" t="n">
        <f aca="false">ADI26</f>
        <v>0</v>
      </c>
      <c r="ADK26" s="20" t="n">
        <f aca="false">ADJ26</f>
        <v>0</v>
      </c>
      <c r="ADL26" s="20" t="n">
        <f aca="false">ADK26</f>
        <v>0</v>
      </c>
      <c r="ADM26" s="20" t="n">
        <f aca="false">ADL26</f>
        <v>0</v>
      </c>
      <c r="ADN26" s="20" t="n">
        <f aca="false">ADM26</f>
        <v>0</v>
      </c>
      <c r="ADO26" s="20" t="n">
        <f aca="false">ADN26</f>
        <v>0</v>
      </c>
      <c r="ADP26" s="20" t="n">
        <f aca="false">ADO26</f>
        <v>0</v>
      </c>
      <c r="ADQ26" s="20" t="n">
        <f aca="false">ADP26</f>
        <v>0</v>
      </c>
      <c r="ADR26" s="20" t="n">
        <f aca="false">(AKR25-TE26+0)*(1+BQ26)</f>
        <v>0</v>
      </c>
      <c r="ADS26" s="20" t="n">
        <f aca="false">(AKS25-TF26+0)*(1+BQ26)</f>
        <v>0</v>
      </c>
      <c r="ADT26" s="20" t="n">
        <f aca="false">(AKT25-TG26+0)*(1+BQ26)</f>
        <v>0</v>
      </c>
      <c r="ADU26" s="20" t="n">
        <f aca="false">(AKU25-TH26+0)*(1+BQ26)</f>
        <v>0</v>
      </c>
      <c r="ADV26" s="20" t="n">
        <f aca="false">(AKV25-TI26+0)*(1+BQ26)</f>
        <v>0</v>
      </c>
      <c r="ADW26" s="20" t="n">
        <f aca="false">(AKW25-TJ26+0)*(1+BQ26)</f>
        <v>0</v>
      </c>
      <c r="ADX26" s="20" t="n">
        <f aca="false">(AKX25-TK26+0)*(1+BQ26)</f>
        <v>0</v>
      </c>
      <c r="ADY26" s="20" t="n">
        <f aca="false">(AKY25-TL26+0)*(1+BQ26)</f>
        <v>0</v>
      </c>
      <c r="ADZ26" s="20" t="n">
        <f aca="false">(AKZ25-TM26+0)*(1+BQ26)</f>
        <v>0</v>
      </c>
      <c r="AEA26" s="20" t="n">
        <f aca="false">(ALA25-TN26+0)*(1+BQ26)</f>
        <v>0</v>
      </c>
      <c r="AEB26" s="20" t="n">
        <f aca="false">(ALB25-TO26+0)*(1+BQ26)</f>
        <v>0</v>
      </c>
      <c r="AEC26" s="20" t="n">
        <f aca="false">(ALC25-TP26+0)*(1+BQ26)</f>
        <v>698.463584198917</v>
      </c>
      <c r="AED26" s="20" t="n">
        <f aca="false">(ALD25-TQ26+0)*(1+BQ26)</f>
        <v>978.814621893946</v>
      </c>
      <c r="AEE26" s="20" t="n">
        <f aca="false">(ALE25-TR26+0)*(1+BQ26)</f>
        <v>1171.36753261599</v>
      </c>
      <c r="AEF26" s="20" t="n">
        <f aca="false">(ALF25-TS26+0)*(1+BQ26)</f>
        <v>1317.20898310293</v>
      </c>
      <c r="AEG26" s="20" t="n">
        <f aca="false">(ALG25-TT26+0)*(1+BQ26)</f>
        <v>1266.77062583543</v>
      </c>
      <c r="AEH26" s="20" t="n">
        <f aca="false">(ALH25-TU26+0)*(1+BQ26)</f>
        <v>1217.54365443157</v>
      </c>
      <c r="AEI26" s="20" t="n">
        <f aca="false">(ALI25-TV26+0)*(1+BQ26)</f>
        <v>1169.5024516877</v>
      </c>
      <c r="AEJ26" s="20" t="n">
        <f aca="false">(ALJ25-TW26+0)*(1+BQ26)</f>
        <v>3634.80268559646</v>
      </c>
      <c r="AEK26" s="20" t="n">
        <f aca="false">((P26+S26)-TX26+BE26)*(1+BQ26)</f>
        <v>3564.90263395038</v>
      </c>
      <c r="AEL26" s="20" t="n">
        <v>0</v>
      </c>
      <c r="AEM26" s="20" t="n">
        <v>0</v>
      </c>
      <c r="AEN26" s="20" t="n">
        <v>0</v>
      </c>
      <c r="AEO26" s="20" t="n">
        <v>0</v>
      </c>
      <c r="AEP26" s="20" t="n">
        <v>0</v>
      </c>
      <c r="AEQ26" s="20" t="n">
        <v>0</v>
      </c>
      <c r="AER26" s="20" t="n">
        <v>0</v>
      </c>
      <c r="AES26" s="20" t="n">
        <v>0</v>
      </c>
      <c r="AET26" s="20" t="n">
        <v>0</v>
      </c>
      <c r="AEU26" s="20" t="n">
        <v>0</v>
      </c>
      <c r="AEV26" s="20" t="n">
        <v>0</v>
      </c>
      <c r="AEW26" s="20" t="n">
        <v>0</v>
      </c>
      <c r="AEX26" s="20" t="n">
        <v>0</v>
      </c>
      <c r="AEY26" s="20" t="n">
        <v>0</v>
      </c>
      <c r="AEZ26" s="20" t="n">
        <v>0</v>
      </c>
      <c r="AFA26" s="20" t="n">
        <v>0</v>
      </c>
      <c r="AFB26" s="20" t="n">
        <v>0</v>
      </c>
      <c r="AFC26" s="20" t="n">
        <v>0</v>
      </c>
      <c r="AFD26" s="20" t="n">
        <v>0</v>
      </c>
      <c r="AFE26" s="20" t="n">
        <v>0</v>
      </c>
      <c r="AFF26" s="20" t="n">
        <v>0</v>
      </c>
      <c r="AFG26" s="20" t="n">
        <v>0</v>
      </c>
      <c r="AFH26" s="20" t="n">
        <v>0</v>
      </c>
      <c r="AFI26" s="20" t="n">
        <v>0</v>
      </c>
      <c r="AFJ26" s="20" t="n">
        <v>0</v>
      </c>
      <c r="AFK26" s="20" t="n">
        <v>0</v>
      </c>
      <c r="AFL26" s="20" t="n">
        <v>0</v>
      </c>
      <c r="AFM26" s="20" t="n">
        <v>0</v>
      </c>
      <c r="AFN26" s="20" t="n">
        <v>0</v>
      </c>
      <c r="AFO26" s="20" t="n">
        <v>0</v>
      </c>
      <c r="AFP26" s="20" t="n">
        <v>0</v>
      </c>
      <c r="AFQ26" s="20" t="n">
        <v>0</v>
      </c>
      <c r="AFR26" s="20" t="n">
        <v>0</v>
      </c>
      <c r="AFS26" s="20" t="n">
        <v>0</v>
      </c>
      <c r="AFT26" s="20" t="n">
        <v>0</v>
      </c>
      <c r="AFU26" s="20" t="n">
        <v>0</v>
      </c>
      <c r="AFV26" s="20" t="n">
        <v>0</v>
      </c>
      <c r="AFW26" s="20" t="n">
        <v>0</v>
      </c>
      <c r="AFX26" s="20" t="n">
        <v>0</v>
      </c>
      <c r="AFY26" s="20" t="n">
        <v>0</v>
      </c>
      <c r="AFZ26" s="20" t="n">
        <v>0</v>
      </c>
      <c r="AGA26" s="20" t="n">
        <v>0</v>
      </c>
      <c r="AGB26" s="20" t="n">
        <v>0</v>
      </c>
      <c r="AGC26" s="20" t="n">
        <v>0</v>
      </c>
      <c r="AGD26" s="20" t="n">
        <v>0</v>
      </c>
      <c r="AGE26" s="20" t="n">
        <v>0</v>
      </c>
      <c r="AGF26" s="20" t="n">
        <v>0</v>
      </c>
      <c r="AGG26" s="20" t="n">
        <v>0</v>
      </c>
      <c r="AGH26" s="20" t="n">
        <v>0</v>
      </c>
      <c r="AGI26" s="20" t="n">
        <v>0</v>
      </c>
      <c r="AGJ26" s="20" t="n">
        <v>0</v>
      </c>
      <c r="AGK26" s="20" t="n">
        <v>0</v>
      </c>
      <c r="AGL26" s="20" t="n">
        <v>0</v>
      </c>
      <c r="AGM26" s="20" t="n">
        <v>0</v>
      </c>
      <c r="AGN26" s="20" t="n">
        <v>0</v>
      </c>
      <c r="AGO26" s="20" t="n">
        <v>0</v>
      </c>
      <c r="AGP26" s="20" t="n">
        <v>0</v>
      </c>
      <c r="AGQ26" s="20" t="n">
        <v>0</v>
      </c>
      <c r="AGR26" s="20" t="n">
        <v>0</v>
      </c>
      <c r="AGS26" s="20" t="n">
        <v>0</v>
      </c>
      <c r="AGT26" s="20" t="n">
        <v>0</v>
      </c>
      <c r="AGU26" s="20" t="n">
        <v>0</v>
      </c>
      <c r="AGV26" s="20" t="n">
        <v>0</v>
      </c>
      <c r="AGW26" s="20" t="n">
        <v>0</v>
      </c>
      <c r="AGX26" s="20" t="n">
        <v>0</v>
      </c>
      <c r="AGY26" s="20" t="n">
        <v>0</v>
      </c>
      <c r="AGZ26" s="20" t="n">
        <v>0</v>
      </c>
      <c r="AHA26" s="20" t="n">
        <v>0</v>
      </c>
      <c r="AHB26" s="20" t="n">
        <v>0</v>
      </c>
      <c r="AHC26" s="20" t="n">
        <v>0</v>
      </c>
      <c r="AHD26" s="20" t="n">
        <v>0</v>
      </c>
      <c r="AHE26" s="20" t="n">
        <f aca="false">IF(AKR25&gt;0,AOE25-AOE25*TE26/AKR25,0)+0</f>
        <v>0</v>
      </c>
      <c r="AHF26" s="20" t="n">
        <f aca="false">IF(AKS25&gt;0,AOF25-AOF25*TF26/AKS25,0)+0</f>
        <v>0</v>
      </c>
      <c r="AHG26" s="20" t="n">
        <f aca="false">IF(AKT25&gt;0,AOG25-AOG25*TG26/AKT25,0)+0</f>
        <v>0</v>
      </c>
      <c r="AHH26" s="20" t="n">
        <f aca="false">IF(AKU25&gt;0,AOH25-AOH25*TH26/AKU25,0)+0</f>
        <v>0</v>
      </c>
      <c r="AHI26" s="20" t="n">
        <f aca="false">IF(AKV25&gt;0,AOI25-AOI25*TI26/AKV25,0)+0</f>
        <v>0</v>
      </c>
      <c r="AHJ26" s="20" t="n">
        <f aca="false">IF(AKW25&gt;0,AOJ25-AOJ25*TJ26/AKW25,0)+0</f>
        <v>0</v>
      </c>
      <c r="AHK26" s="20" t="n">
        <f aca="false">IF(AKX25&gt;0,AOK25-AOK25*TK26/AKX25,0)+0</f>
        <v>0</v>
      </c>
      <c r="AHL26" s="20" t="n">
        <f aca="false">IF(AKY25&gt;0,AOL25-AOL25*TL26/AKY25,0)+0</f>
        <v>0</v>
      </c>
      <c r="AHM26" s="20" t="n">
        <f aca="false">IF(AKZ25&gt;0,AOM25-AOM25*TM26/AKZ25,0)+0</f>
        <v>0</v>
      </c>
      <c r="AHN26" s="20" t="n">
        <f aca="false">IF(ALA25&gt;0,AON25-AON25*TN26/ALA25,0)+0</f>
        <v>0</v>
      </c>
      <c r="AHO26" s="20" t="n">
        <f aca="false">IF(ALB25&gt;0,AOO25-AOO25*TO26/ALB25,0)+0</f>
        <v>0</v>
      </c>
      <c r="AHP26" s="20" t="n">
        <f aca="false">IF(ALC25&gt;0,AOP25-AOP25*TP26/ALC25,0)+0</f>
        <v>671.599600191266</v>
      </c>
      <c r="AHQ26" s="20" t="n">
        <f aca="false">IF(ALD25&gt;0,AOQ25-AOQ25*TQ26/ALD25,0)+0</f>
        <v>715.210256730627</v>
      </c>
      <c r="AHR26" s="20" t="n">
        <f aca="false">IF(ALE25&gt;0,AOR25-AOR25*TR26/ALE25,0)+0</f>
        <v>890.143053841438</v>
      </c>
      <c r="AHS26" s="20" t="n">
        <f aca="false">IF(ALF25&gt;0,AOS25-AOS25*TS26/ALF25,0)+0</f>
        <v>1041.00939276848</v>
      </c>
      <c r="AHT26" s="20" t="n">
        <f aca="false">IF(ALG25&gt;0,AOT25-AOT25*TT26/ALG25,0)+0</f>
        <v>1041.19311542065</v>
      </c>
      <c r="AHU26" s="20" t="n">
        <f aca="false">IF(ALH25&gt;0,AOU25-AOU25*TU26/ALH25,0)+0</f>
        <v>1040.76141856976</v>
      </c>
      <c r="AHV26" s="20" t="n">
        <f aca="false">IF(ALI25&gt;0,AOV25-AOV25*TV26/ALI25,0)+0</f>
        <v>1039.68342100707</v>
      </c>
      <c r="AHW26" s="20" t="n">
        <f aca="false">IF(ALJ25&gt;0,AOW25-AOW25*TW26/ALJ25,0)+0</f>
        <v>3360.57940606182</v>
      </c>
      <c r="AHX26" s="20" t="n">
        <f aca="false">IF((P26+S26)&gt;0,(P26+S26)-(P26+S26)*TX26/(P26+S26),0)+BE26</f>
        <v>3427.79099418306</v>
      </c>
      <c r="AHY26" s="20" t="n">
        <v>0</v>
      </c>
      <c r="AHZ26" s="20" t="n">
        <v>0</v>
      </c>
      <c r="AIA26" s="20" t="n">
        <v>0</v>
      </c>
      <c r="AIB26" s="20" t="n">
        <v>0</v>
      </c>
      <c r="AIC26" s="20" t="n">
        <v>0</v>
      </c>
      <c r="AID26" s="20" t="n">
        <v>0</v>
      </c>
      <c r="AIE26" s="20" t="n">
        <v>0</v>
      </c>
      <c r="AIF26" s="20" t="n">
        <v>0</v>
      </c>
      <c r="AIG26" s="20" t="n">
        <v>0</v>
      </c>
      <c r="AIH26" s="20" t="n">
        <v>0</v>
      </c>
      <c r="AII26" s="20" t="n">
        <v>0</v>
      </c>
      <c r="AIJ26" s="20" t="n">
        <v>0</v>
      </c>
      <c r="AIK26" s="20" t="n">
        <v>0</v>
      </c>
      <c r="AIL26" s="20" t="n">
        <v>0</v>
      </c>
      <c r="AIM26" s="20" t="n">
        <v>0</v>
      </c>
      <c r="AIN26" s="20" t="n">
        <v>0</v>
      </c>
      <c r="AIO26" s="20" t="n">
        <v>0</v>
      </c>
      <c r="AIP26" s="20" t="n">
        <v>0</v>
      </c>
      <c r="AIQ26" s="20" t="n">
        <v>0</v>
      </c>
      <c r="AIR26" s="20" t="n">
        <v>0</v>
      </c>
      <c r="AIS26" s="20" t="n">
        <v>0</v>
      </c>
      <c r="AIT26" s="20" t="n">
        <v>0</v>
      </c>
      <c r="AIU26" s="20" t="n">
        <v>0</v>
      </c>
      <c r="AIV26" s="20" t="n">
        <v>0</v>
      </c>
      <c r="AIW26" s="20" t="n">
        <v>0</v>
      </c>
      <c r="AIX26" s="20" t="n">
        <v>0</v>
      </c>
      <c r="AIY26" s="20" t="n">
        <v>0</v>
      </c>
      <c r="AIZ26" s="20" t="n">
        <v>0</v>
      </c>
      <c r="AJA26" s="20" t="n">
        <v>0</v>
      </c>
      <c r="AJB26" s="20" t="n">
        <v>0</v>
      </c>
      <c r="AJC26" s="20" t="n">
        <v>0</v>
      </c>
      <c r="AJD26" s="20" t="n">
        <v>0</v>
      </c>
      <c r="AJE26" s="20" t="n">
        <v>0</v>
      </c>
      <c r="AJF26" s="20" t="n">
        <v>0</v>
      </c>
      <c r="AJG26" s="20" t="n">
        <v>0</v>
      </c>
      <c r="AJH26" s="20" t="n">
        <v>0</v>
      </c>
      <c r="AJI26" s="20" t="n">
        <v>0</v>
      </c>
      <c r="AJJ26" s="20" t="n">
        <v>0</v>
      </c>
      <c r="AJK26" s="20" t="n">
        <v>0</v>
      </c>
      <c r="AJL26" s="20" t="n">
        <v>0</v>
      </c>
      <c r="AJM26" s="20" t="n">
        <v>0</v>
      </c>
      <c r="AJN26" s="20" t="n">
        <v>0</v>
      </c>
      <c r="AJO26" s="20" t="n">
        <v>0</v>
      </c>
      <c r="AJP26" s="20" t="n">
        <v>0</v>
      </c>
      <c r="AJQ26" s="20" t="n">
        <v>0</v>
      </c>
      <c r="AJR26" s="20" t="n">
        <v>0</v>
      </c>
      <c r="AJS26" s="20" t="n">
        <v>0</v>
      </c>
      <c r="AJT26" s="20" t="n">
        <v>0</v>
      </c>
      <c r="AJU26" s="20" t="n">
        <v>0</v>
      </c>
      <c r="AJV26" s="20" t="n">
        <v>0</v>
      </c>
      <c r="AJW26" s="20" t="n">
        <v>0</v>
      </c>
      <c r="AJX26" s="20" t="n">
        <v>0</v>
      </c>
      <c r="AJY26" s="20" t="n">
        <v>0</v>
      </c>
      <c r="AJZ26" s="20" t="n">
        <v>0</v>
      </c>
      <c r="AKA26" s="20" t="n">
        <v>0</v>
      </c>
      <c r="AKB26" s="20" t="n">
        <v>0</v>
      </c>
      <c r="AKC26" s="20" t="n">
        <v>0</v>
      </c>
      <c r="AKD26" s="20" t="n">
        <v>0</v>
      </c>
      <c r="AKE26" s="20" t="n">
        <v>0</v>
      </c>
      <c r="AKF26" s="20" t="n">
        <v>0</v>
      </c>
      <c r="AKG26" s="20" t="n">
        <v>0</v>
      </c>
      <c r="AKH26" s="20" t="n">
        <v>0</v>
      </c>
      <c r="AKI26" s="20" t="n">
        <v>0</v>
      </c>
      <c r="AKJ26" s="20" t="n">
        <v>0</v>
      </c>
      <c r="AKK26" s="20" t="n">
        <v>0</v>
      </c>
      <c r="AKL26" s="20" t="n">
        <v>0</v>
      </c>
      <c r="AKM26" s="20" t="n">
        <v>0</v>
      </c>
      <c r="AKN26" s="20" t="n">
        <v>0</v>
      </c>
      <c r="AKO26" s="20" t="n">
        <v>0</v>
      </c>
      <c r="AKP26" s="20" t="n">
        <v>0</v>
      </c>
      <c r="AKQ26" s="20" t="n">
        <v>0</v>
      </c>
      <c r="AKR26" s="20" t="n">
        <f aca="false">ADR26-AVE26</f>
        <v>0</v>
      </c>
      <c r="AKS26" s="20" t="n">
        <f aca="false">ADS26-AVF26</f>
        <v>0</v>
      </c>
      <c r="AKT26" s="20" t="n">
        <f aca="false">ADT26-AVG26</f>
        <v>0</v>
      </c>
      <c r="AKU26" s="20" t="n">
        <f aca="false">ADU26-AVH26</f>
        <v>0</v>
      </c>
      <c r="AKV26" s="20" t="n">
        <f aca="false">ADV26-AVI26</f>
        <v>0</v>
      </c>
      <c r="AKW26" s="20" t="n">
        <f aca="false">ADW26-AVJ26</f>
        <v>0</v>
      </c>
      <c r="AKX26" s="20" t="n">
        <f aca="false">ADX26-AVK26</f>
        <v>0</v>
      </c>
      <c r="AKY26" s="20" t="n">
        <f aca="false">ADY26-AVL26</f>
        <v>0</v>
      </c>
      <c r="AKZ26" s="20" t="n">
        <f aca="false">ADZ26-AVM26</f>
        <v>0</v>
      </c>
      <c r="ALA26" s="20" t="n">
        <f aca="false">AEA26-AVN26</f>
        <v>0</v>
      </c>
      <c r="ALB26" s="20" t="n">
        <f aca="false">AEB26-AVO26</f>
        <v>0</v>
      </c>
      <c r="ALC26" s="20" t="n">
        <f aca="false">AEC26-AVP26</f>
        <v>698.463584198917</v>
      </c>
      <c r="ALD26" s="20" t="n">
        <f aca="false">AED26-AVQ26</f>
        <v>878.644963131885</v>
      </c>
      <c r="ALE26" s="20" t="n">
        <f aca="false">AEE26-AVR26</f>
        <v>1171.36753261599</v>
      </c>
      <c r="ALF26" s="20" t="n">
        <f aca="false">AEF26-AVS26</f>
        <v>1317.20898310293</v>
      </c>
      <c r="ALG26" s="20" t="n">
        <f aca="false">AEG26-AVT26</f>
        <v>1266.77062583543</v>
      </c>
      <c r="ALH26" s="20" t="n">
        <f aca="false">AEH26-AVU26</f>
        <v>1217.54365443157</v>
      </c>
      <c r="ALI26" s="20" t="n">
        <f aca="false">AEI26-AVV26</f>
        <v>1169.5024516877</v>
      </c>
      <c r="ALJ26" s="20" t="n">
        <f aca="false">AEJ26-AVW26</f>
        <v>3634.80268559646</v>
      </c>
      <c r="ALK26" s="20" t="n">
        <f aca="false">AEK26-AVX26</f>
        <v>3564.90263395038</v>
      </c>
      <c r="ALL26" s="20" t="n">
        <v>0</v>
      </c>
      <c r="ALM26" s="20" t="n">
        <v>0</v>
      </c>
      <c r="ALN26" s="20" t="n">
        <v>0</v>
      </c>
      <c r="ALO26" s="20" t="n">
        <v>0</v>
      </c>
      <c r="ALP26" s="20" t="n">
        <v>0</v>
      </c>
      <c r="ALQ26" s="20" t="n">
        <v>0</v>
      </c>
      <c r="ALR26" s="20" t="n">
        <v>0</v>
      </c>
      <c r="ALS26" s="20" t="n">
        <v>0</v>
      </c>
      <c r="ALT26" s="20" t="n">
        <v>0</v>
      </c>
      <c r="ALU26" s="20" t="n">
        <v>0</v>
      </c>
      <c r="ALV26" s="20" t="n">
        <v>0</v>
      </c>
      <c r="ALW26" s="20" t="n">
        <v>0</v>
      </c>
      <c r="ALX26" s="20" t="n">
        <v>0</v>
      </c>
      <c r="ALY26" s="20" t="n">
        <v>0</v>
      </c>
      <c r="ALZ26" s="20" t="n">
        <v>0</v>
      </c>
      <c r="AMA26" s="20" t="n">
        <v>0</v>
      </c>
      <c r="AMB26" s="20" t="n">
        <v>0</v>
      </c>
      <c r="AMC26" s="20" t="n">
        <v>0</v>
      </c>
      <c r="AMD26" s="20" t="n">
        <v>0</v>
      </c>
      <c r="AME26" s="20" t="n">
        <v>0</v>
      </c>
      <c r="AMF26" s="20" t="n">
        <v>0</v>
      </c>
      <c r="AMG26" s="20" t="n">
        <v>0</v>
      </c>
      <c r="AMH26" s="20" t="n">
        <v>0</v>
      </c>
      <c r="AMI26" s="20" t="n">
        <v>0</v>
      </c>
      <c r="AMJ26" s="20" t="n">
        <v>0</v>
      </c>
      <c r="AMK26" s="20" t="n">
        <v>0</v>
      </c>
      <c r="AML26" s="20" t="n">
        <v>0</v>
      </c>
      <c r="AMM26" s="20" t="n">
        <v>0</v>
      </c>
      <c r="AMN26" s="20" t="n">
        <v>0</v>
      </c>
      <c r="AMO26" s="20" t="n">
        <v>0</v>
      </c>
      <c r="AMP26" s="20" t="n">
        <v>0</v>
      </c>
      <c r="AMQ26" s="20" t="n">
        <v>0</v>
      </c>
      <c r="AMR26" s="20" t="n">
        <v>0</v>
      </c>
      <c r="AMS26" s="20" t="n">
        <v>0</v>
      </c>
      <c r="AMT26" s="20" t="n">
        <v>0</v>
      </c>
      <c r="AMU26" s="20" t="n">
        <v>0</v>
      </c>
      <c r="AMV26" s="20" t="n">
        <v>0</v>
      </c>
      <c r="AMW26" s="20" t="n">
        <v>0</v>
      </c>
      <c r="AMX26" s="20" t="n">
        <v>0</v>
      </c>
      <c r="AMY26" s="20" t="n">
        <v>0</v>
      </c>
      <c r="AMZ26" s="20" t="n">
        <v>0</v>
      </c>
      <c r="ANA26" s="20" t="n">
        <v>0</v>
      </c>
      <c r="ANB26" s="20" t="n">
        <v>0</v>
      </c>
      <c r="ANC26" s="20" t="n">
        <v>0</v>
      </c>
      <c r="AND26" s="20" t="n">
        <v>0</v>
      </c>
      <c r="ANE26" s="20" t="n">
        <v>0</v>
      </c>
      <c r="ANF26" s="20" t="n">
        <v>0</v>
      </c>
      <c r="ANG26" s="20" t="n">
        <v>0</v>
      </c>
      <c r="ANH26" s="20" t="n">
        <v>0</v>
      </c>
      <c r="ANI26" s="20" t="n">
        <v>0</v>
      </c>
      <c r="ANJ26" s="20" t="n">
        <v>0</v>
      </c>
      <c r="ANK26" s="20" t="n">
        <v>0</v>
      </c>
      <c r="ANL26" s="20" t="n">
        <v>0</v>
      </c>
      <c r="ANM26" s="20" t="n">
        <v>0</v>
      </c>
      <c r="ANN26" s="20" t="n">
        <v>0</v>
      </c>
      <c r="ANO26" s="20" t="n">
        <v>0</v>
      </c>
      <c r="ANP26" s="20" t="n">
        <v>0</v>
      </c>
      <c r="ANQ26" s="20" t="n">
        <v>0</v>
      </c>
      <c r="ANR26" s="20" t="n">
        <v>0</v>
      </c>
      <c r="ANS26" s="20" t="n">
        <v>0</v>
      </c>
      <c r="ANT26" s="20" t="n">
        <v>0</v>
      </c>
      <c r="ANU26" s="20" t="n">
        <v>0</v>
      </c>
      <c r="ANV26" s="20" t="n">
        <v>0</v>
      </c>
      <c r="ANW26" s="20" t="n">
        <v>0</v>
      </c>
      <c r="ANX26" s="20" t="n">
        <v>0</v>
      </c>
      <c r="ANY26" s="20" t="n">
        <v>0</v>
      </c>
      <c r="ANZ26" s="20" t="n">
        <v>0</v>
      </c>
      <c r="AOA26" s="20" t="n">
        <v>0</v>
      </c>
      <c r="AOB26" s="20" t="n">
        <v>0</v>
      </c>
      <c r="AOC26" s="20" t="n">
        <v>0</v>
      </c>
      <c r="AOD26" s="20" t="n">
        <v>0</v>
      </c>
      <c r="AOE26" s="20" t="n">
        <f aca="false">IF(AND(H_Direct=0,H_TaxEvt=1,ARR25+1&gt;=H_Deemed),AKR26,AHE26)</f>
        <v>0</v>
      </c>
      <c r="AOF26" s="20" t="n">
        <f aca="false">IF(AND(H_Direct=0,H_TaxEvt=1,ARS25+1&gt;=H_Deemed),AKS26,AHF26)</f>
        <v>0</v>
      </c>
      <c r="AOG26" s="20" t="n">
        <f aca="false">IF(AND(H_Direct=0,H_TaxEvt=1,ART25+1&gt;=H_Deemed),AKT26,AHG26)</f>
        <v>0</v>
      </c>
      <c r="AOH26" s="20" t="n">
        <f aca="false">IF(AND(H_Direct=0,H_TaxEvt=1,ARU25+1&gt;=H_Deemed),AKU26,AHH26)</f>
        <v>0</v>
      </c>
      <c r="AOI26" s="20" t="n">
        <f aca="false">IF(AND(H_Direct=0,H_TaxEvt=1,ARV25+1&gt;=H_Deemed),AKV26,AHI26)</f>
        <v>0</v>
      </c>
      <c r="AOJ26" s="20" t="n">
        <f aca="false">IF(AND(H_Direct=0,H_TaxEvt=1,ARW25+1&gt;=H_Deemed),AKW26,AHJ26)</f>
        <v>0</v>
      </c>
      <c r="AOK26" s="20" t="n">
        <f aca="false">IF(AND(H_Direct=0,H_TaxEvt=1,ARX25+1&gt;=H_Deemed),AKX26,AHK26)</f>
        <v>0</v>
      </c>
      <c r="AOL26" s="20" t="n">
        <f aca="false">IF(AND(H_Direct=0,H_TaxEvt=1,ARY25+1&gt;=H_Deemed),AKY26,AHL26)</f>
        <v>0</v>
      </c>
      <c r="AOM26" s="20" t="n">
        <f aca="false">IF(AND(H_Direct=0,H_TaxEvt=1,ARZ25+1&gt;=H_Deemed),AKZ26,AHM26)</f>
        <v>0</v>
      </c>
      <c r="AON26" s="20" t="n">
        <f aca="false">IF(AND(H_Direct=0,H_TaxEvt=1,ASA25+1&gt;=H_Deemed),ALA26,AHN26)</f>
        <v>0</v>
      </c>
      <c r="AOO26" s="20" t="n">
        <f aca="false">IF(AND(H_Direct=0,H_TaxEvt=1,ASB25+1&gt;=H_Deemed),ALB26,AHO26)</f>
        <v>0</v>
      </c>
      <c r="AOP26" s="20" t="n">
        <f aca="false">IF(AND(H_Direct=0,H_TaxEvt=1,ASC25+1&gt;=H_Deemed),ALC26,AHP26)</f>
        <v>671.599600191266</v>
      </c>
      <c r="AOQ26" s="20" t="n">
        <f aca="false">IF(AND(H_Direct=0,H_TaxEvt=1,ASD25+1&gt;=H_Deemed),ALD26,AHQ26)</f>
        <v>878.644963131885</v>
      </c>
      <c r="AOR26" s="20" t="n">
        <f aca="false">IF(AND(H_Direct=0,H_TaxEvt=1,ASE25+1&gt;=H_Deemed),ALE26,AHR26)</f>
        <v>890.143053841438</v>
      </c>
      <c r="AOS26" s="20" t="n">
        <f aca="false">IF(AND(H_Direct=0,H_TaxEvt=1,ASF25+1&gt;=H_Deemed),ALF26,AHS26)</f>
        <v>1041.00939276848</v>
      </c>
      <c r="AOT26" s="20" t="n">
        <f aca="false">IF(AND(H_Direct=0,H_TaxEvt=1,ASG25+1&gt;=H_Deemed),ALG26,AHT26)</f>
        <v>1041.19311542065</v>
      </c>
      <c r="AOU26" s="20" t="n">
        <f aca="false">IF(AND(H_Direct=0,H_TaxEvt=1,ASH25+1&gt;=H_Deemed),ALH26,AHU26)</f>
        <v>1040.76141856976</v>
      </c>
      <c r="AOV26" s="20" t="n">
        <f aca="false">IF(AND(H_Direct=0,H_TaxEvt=1,ASI25+1&gt;=H_Deemed),ALI26,AHV26)</f>
        <v>1039.68342100707</v>
      </c>
      <c r="AOW26" s="20" t="n">
        <f aca="false">IF(AND(H_Direct=0,H_TaxEvt=1,ASJ25+1&gt;=H_Deemed),ALJ26,AHW26)</f>
        <v>3360.57940606182</v>
      </c>
      <c r="AOX26" s="20" t="n">
        <f aca="false">IF(AND(H_Direct=0,H_TaxEvt=1,0+1&gt;=H_Deemed),ALK26,AHX26)</f>
        <v>3427.79099418306</v>
      </c>
      <c r="AOY26" s="20" t="n">
        <v>0</v>
      </c>
      <c r="AOZ26" s="20" t="n">
        <v>0</v>
      </c>
      <c r="APA26" s="20" t="n">
        <v>0</v>
      </c>
      <c r="APB26" s="20" t="n">
        <v>0</v>
      </c>
      <c r="APC26" s="20" t="n">
        <v>0</v>
      </c>
      <c r="APD26" s="20" t="n">
        <v>0</v>
      </c>
      <c r="APE26" s="20" t="n">
        <v>0</v>
      </c>
      <c r="APF26" s="20" t="n">
        <v>0</v>
      </c>
      <c r="APG26" s="20" t="n">
        <v>0</v>
      </c>
      <c r="APH26" s="20" t="n">
        <v>0</v>
      </c>
      <c r="API26" s="20" t="n">
        <v>0</v>
      </c>
      <c r="APJ26" s="20" t="n">
        <v>0</v>
      </c>
      <c r="APK26" s="20" t="n">
        <v>0</v>
      </c>
      <c r="APL26" s="20" t="n">
        <v>0</v>
      </c>
      <c r="APM26" s="20" t="n">
        <v>0</v>
      </c>
      <c r="APN26" s="20" t="n">
        <v>0</v>
      </c>
      <c r="APO26" s="20" t="n">
        <v>0</v>
      </c>
      <c r="APP26" s="20" t="n">
        <v>0</v>
      </c>
      <c r="APQ26" s="20" t="n">
        <v>0</v>
      </c>
      <c r="APR26" s="20" t="n">
        <v>0</v>
      </c>
      <c r="APS26" s="20" t="n">
        <v>0</v>
      </c>
      <c r="APT26" s="20" t="n">
        <v>0</v>
      </c>
      <c r="APU26" s="20" t="n">
        <v>0</v>
      </c>
      <c r="APV26" s="20" t="n">
        <v>0</v>
      </c>
      <c r="APW26" s="20" t="n">
        <v>0</v>
      </c>
      <c r="APX26" s="20" t="n">
        <v>0</v>
      </c>
      <c r="APY26" s="20" t="n">
        <v>0</v>
      </c>
      <c r="APZ26" s="20" t="n">
        <v>0</v>
      </c>
      <c r="AQA26" s="20" t="n">
        <v>0</v>
      </c>
      <c r="AQB26" s="20" t="n">
        <v>0</v>
      </c>
      <c r="AQC26" s="20" t="n">
        <v>0</v>
      </c>
      <c r="AQD26" s="20" t="n">
        <v>0</v>
      </c>
      <c r="AQE26" s="20" t="n">
        <v>0</v>
      </c>
      <c r="AQF26" s="20" t="n">
        <v>0</v>
      </c>
      <c r="AQG26" s="20" t="n">
        <v>0</v>
      </c>
      <c r="AQH26" s="20" t="n">
        <v>0</v>
      </c>
      <c r="AQI26" s="20" t="n">
        <v>0</v>
      </c>
      <c r="AQJ26" s="20" t="n">
        <v>0</v>
      </c>
      <c r="AQK26" s="20" t="n">
        <v>0</v>
      </c>
      <c r="AQL26" s="20" t="n">
        <v>0</v>
      </c>
      <c r="AQM26" s="20" t="n">
        <v>0</v>
      </c>
      <c r="AQN26" s="20" t="n">
        <v>0</v>
      </c>
      <c r="AQO26" s="20" t="n">
        <v>0</v>
      </c>
      <c r="AQP26" s="20" t="n">
        <v>0</v>
      </c>
      <c r="AQQ26" s="20" t="n">
        <v>0</v>
      </c>
      <c r="AQR26" s="20" t="n">
        <v>0</v>
      </c>
      <c r="AQS26" s="20" t="n">
        <v>0</v>
      </c>
      <c r="AQT26" s="20" t="n">
        <v>0</v>
      </c>
      <c r="AQU26" s="20" t="n">
        <v>0</v>
      </c>
      <c r="AQV26" s="20" t="n">
        <v>0</v>
      </c>
      <c r="AQW26" s="20" t="n">
        <v>0</v>
      </c>
      <c r="AQX26" s="20" t="n">
        <v>0</v>
      </c>
      <c r="AQY26" s="20" t="n">
        <v>0</v>
      </c>
      <c r="AQZ26" s="20" t="n">
        <v>0</v>
      </c>
      <c r="ARA26" s="20" t="n">
        <v>0</v>
      </c>
      <c r="ARB26" s="20" t="n">
        <v>0</v>
      </c>
      <c r="ARC26" s="20" t="n">
        <v>0</v>
      </c>
      <c r="ARD26" s="20" t="n">
        <v>0</v>
      </c>
      <c r="ARE26" s="20" t="n">
        <v>0</v>
      </c>
      <c r="ARF26" s="20" t="n">
        <v>0</v>
      </c>
      <c r="ARG26" s="20" t="n">
        <v>0</v>
      </c>
      <c r="ARH26" s="20" t="n">
        <v>0</v>
      </c>
      <c r="ARI26" s="20" t="n">
        <v>0</v>
      </c>
      <c r="ARJ26" s="20" t="n">
        <v>0</v>
      </c>
      <c r="ARK26" s="20" t="n">
        <v>0</v>
      </c>
      <c r="ARL26" s="20" t="n">
        <v>0</v>
      </c>
      <c r="ARM26" s="20" t="n">
        <v>0</v>
      </c>
      <c r="ARN26" s="20" t="n">
        <v>0</v>
      </c>
      <c r="ARO26" s="20" t="n">
        <v>0</v>
      </c>
      <c r="ARP26" s="20" t="n">
        <v>0</v>
      </c>
      <c r="ARQ26" s="20" t="n">
        <v>0</v>
      </c>
      <c r="ARR26" s="20" t="n">
        <f aca="false">IF(AND(H_Direct=0,H_TaxEvt=1),IF(ARR25+1&gt;=H_Deemed,0,ARR25+1),ARR25)</f>
        <v>3</v>
      </c>
      <c r="ARS26" s="20" t="n">
        <f aca="false">IF(AND(H_Direct=0,H_TaxEvt=1),IF(ARS25+1&gt;=H_Deemed,0,ARS25+1),ARS25)</f>
        <v>3</v>
      </c>
      <c r="ART26" s="20" t="n">
        <f aca="false">IF(AND(H_Direct=0,H_TaxEvt=1),IF(ART25+1&gt;=H_Deemed,0,ART25+1),ART25)</f>
        <v>2</v>
      </c>
      <c r="ARU26" s="20" t="n">
        <f aca="false">IF(AND(H_Direct=0,H_TaxEvt=1),IF(ARU25+1&gt;=H_Deemed,0,ARU25+1),ARU25)</f>
        <v>1</v>
      </c>
      <c r="ARV26" s="20" t="n">
        <f aca="false">IF(AND(H_Direct=0,H_TaxEvt=1),IF(ARV25+1&gt;=H_Deemed,0,ARV25+1),ARV25)</f>
        <v>0</v>
      </c>
      <c r="ARW26" s="20" t="n">
        <f aca="false">IF(AND(H_Direct=0,H_TaxEvt=1),IF(ARW25+1&gt;=H_Deemed,0,ARW25+1),ARW25)</f>
        <v>7</v>
      </c>
      <c r="ARX26" s="20" t="n">
        <f aca="false">IF(AND(H_Direct=0,H_TaxEvt=1),IF(ARX25+1&gt;=H_Deemed,0,ARX25+1),ARX25)</f>
        <v>6</v>
      </c>
      <c r="ARY26" s="20" t="n">
        <f aca="false">IF(AND(H_Direct=0,H_TaxEvt=1),IF(ARY25+1&gt;=H_Deemed,0,ARY25+1),ARY25)</f>
        <v>5</v>
      </c>
      <c r="ARZ26" s="20" t="n">
        <f aca="false">IF(AND(H_Direct=0,H_TaxEvt=1),IF(ARZ25+1&gt;=H_Deemed,0,ARZ25+1),ARZ25)</f>
        <v>4</v>
      </c>
      <c r="ASA26" s="20" t="n">
        <f aca="false">IF(AND(H_Direct=0,H_TaxEvt=1),IF(ASA25+1&gt;=H_Deemed,0,ASA25+1),ASA25)</f>
        <v>3</v>
      </c>
      <c r="ASB26" s="20" t="n">
        <f aca="false">IF(AND(H_Direct=0,H_TaxEvt=1),IF(ASB25+1&gt;=H_Deemed,0,ASB25+1),ASB25)</f>
        <v>2</v>
      </c>
      <c r="ASC26" s="20" t="n">
        <f aca="false">IF(AND(H_Direct=0,H_TaxEvt=1),IF(ASC25+1&gt;=H_Deemed,0,ASC25+1),ASC25)</f>
        <v>1</v>
      </c>
      <c r="ASD26" s="20" t="n">
        <f aca="false">IF(AND(H_Direct=0,H_TaxEvt=1),IF(ASD25+1&gt;=H_Deemed,0,ASD25+1),ASD25)</f>
        <v>0</v>
      </c>
      <c r="ASE26" s="20" t="n">
        <f aca="false">IF(AND(H_Direct=0,H_TaxEvt=1),IF(ASE25+1&gt;=H_Deemed,0,ASE25+1),ASE25)</f>
        <v>7</v>
      </c>
      <c r="ASF26" s="20" t="n">
        <f aca="false">IF(AND(H_Direct=0,H_TaxEvt=1),IF(ASF25+1&gt;=H_Deemed,0,ASF25+1),ASF25)</f>
        <v>6</v>
      </c>
      <c r="ASG26" s="20" t="n">
        <f aca="false">IF(AND(H_Direct=0,H_TaxEvt=1),IF(ASG25+1&gt;=H_Deemed,0,ASG25+1),ASG25)</f>
        <v>5</v>
      </c>
      <c r="ASH26" s="20" t="n">
        <f aca="false">IF(AND(H_Direct=0,H_TaxEvt=1),IF(ASH25+1&gt;=H_Deemed,0,ASH25+1),ASH25)</f>
        <v>4</v>
      </c>
      <c r="ASI26" s="20" t="n">
        <f aca="false">IF(AND(H_Direct=0,H_TaxEvt=1),IF(ASI25+1&gt;=H_Deemed,0,ASI25+1),ASI25)</f>
        <v>3</v>
      </c>
      <c r="ASJ26" s="20" t="n">
        <f aca="false">IF(AND(H_Direct=0,H_TaxEvt=1),IF(ASJ25+1&gt;=H_Deemed,0,ASJ25+1),ASJ25)</f>
        <v>2</v>
      </c>
      <c r="ASK26" s="20" t="n">
        <f aca="false">IF(AND(H_Direct=0,H_TaxEvt=1),IF(0+1&gt;=H_Deemed,0,0+1),0)</f>
        <v>1</v>
      </c>
      <c r="ASL26" s="20" t="n">
        <v>0</v>
      </c>
      <c r="ASM26" s="20" t="n">
        <v>0</v>
      </c>
      <c r="ASN26" s="20" t="n">
        <v>0</v>
      </c>
      <c r="ASO26" s="20" t="n">
        <v>0</v>
      </c>
      <c r="ASP26" s="20" t="n">
        <v>0</v>
      </c>
      <c r="ASQ26" s="20" t="n">
        <v>0</v>
      </c>
      <c r="ASR26" s="20" t="n">
        <v>0</v>
      </c>
      <c r="ASS26" s="20" t="n">
        <v>0</v>
      </c>
      <c r="AST26" s="20" t="n">
        <v>0</v>
      </c>
      <c r="ASU26" s="20" t="n">
        <v>0</v>
      </c>
      <c r="ASV26" s="20" t="n">
        <v>0</v>
      </c>
      <c r="ASW26" s="20" t="n">
        <v>0</v>
      </c>
      <c r="ASX26" s="20" t="n">
        <v>0</v>
      </c>
      <c r="ASY26" s="20" t="n">
        <v>0</v>
      </c>
      <c r="ASZ26" s="20" t="n">
        <v>0</v>
      </c>
      <c r="ATA26" s="20" t="n">
        <v>0</v>
      </c>
      <c r="ATB26" s="20" t="n">
        <v>0</v>
      </c>
      <c r="ATC26" s="20" t="n">
        <v>0</v>
      </c>
      <c r="ATD26" s="20" t="n">
        <v>0</v>
      </c>
      <c r="ATE26" s="20" t="n">
        <v>0</v>
      </c>
      <c r="ATF26" s="20" t="n">
        <v>0</v>
      </c>
      <c r="ATG26" s="20" t="n">
        <v>0</v>
      </c>
      <c r="ATH26" s="20" t="n">
        <v>0</v>
      </c>
      <c r="ATI26" s="20" t="n">
        <v>0</v>
      </c>
      <c r="ATJ26" s="20" t="n">
        <v>0</v>
      </c>
      <c r="ATK26" s="20" t="n">
        <v>0</v>
      </c>
      <c r="ATL26" s="20" t="n">
        <v>0</v>
      </c>
      <c r="ATM26" s="20" t="n">
        <v>0</v>
      </c>
      <c r="ATN26" s="20" t="n">
        <v>0</v>
      </c>
      <c r="ATO26" s="20" t="n">
        <v>0</v>
      </c>
      <c r="ATP26" s="20" t="n">
        <v>0</v>
      </c>
      <c r="ATQ26" s="20" t="n">
        <v>0</v>
      </c>
      <c r="ATR26" s="20" t="n">
        <v>0</v>
      </c>
      <c r="ATS26" s="20" t="n">
        <v>0</v>
      </c>
      <c r="ATT26" s="20" t="n">
        <v>0</v>
      </c>
      <c r="ATU26" s="20" t="n">
        <v>0</v>
      </c>
      <c r="ATV26" s="20" t="n">
        <v>0</v>
      </c>
      <c r="ATW26" s="20" t="n">
        <v>0</v>
      </c>
      <c r="ATX26" s="20" t="n">
        <v>0</v>
      </c>
      <c r="ATY26" s="20" t="n">
        <v>0</v>
      </c>
      <c r="ATZ26" s="20" t="n">
        <v>0</v>
      </c>
      <c r="AUA26" s="20" t="n">
        <v>0</v>
      </c>
      <c r="AUB26" s="20" t="n">
        <v>0</v>
      </c>
      <c r="AUC26" s="20" t="n">
        <v>0</v>
      </c>
      <c r="AUD26" s="20" t="n">
        <v>0</v>
      </c>
      <c r="AUE26" s="20" t="n">
        <v>0</v>
      </c>
      <c r="AUF26" s="20" t="n">
        <v>0</v>
      </c>
      <c r="AUG26" s="20" t="n">
        <v>0</v>
      </c>
      <c r="AUH26" s="20" t="n">
        <v>0</v>
      </c>
      <c r="AUI26" s="20" t="n">
        <v>0</v>
      </c>
      <c r="AUJ26" s="20" t="n">
        <v>0</v>
      </c>
      <c r="AUK26" s="20" t="n">
        <v>0</v>
      </c>
      <c r="AUL26" s="20" t="n">
        <v>0</v>
      </c>
      <c r="AUM26" s="20" t="n">
        <v>0</v>
      </c>
      <c r="AUN26" s="20" t="n">
        <v>0</v>
      </c>
      <c r="AUO26" s="20" t="n">
        <v>0</v>
      </c>
      <c r="AUP26" s="20" t="n">
        <v>0</v>
      </c>
      <c r="AUQ26" s="20" t="n">
        <v>0</v>
      </c>
      <c r="AUR26" s="20" t="n">
        <v>0</v>
      </c>
      <c r="AUS26" s="20" t="n">
        <v>0</v>
      </c>
      <c r="AUT26" s="20" t="n">
        <v>0</v>
      </c>
      <c r="AUU26" s="20" t="n">
        <v>0</v>
      </c>
      <c r="AUV26" s="20" t="n">
        <v>0</v>
      </c>
      <c r="AUW26" s="20" t="n">
        <v>0</v>
      </c>
      <c r="AUX26" s="20" t="n">
        <v>0</v>
      </c>
      <c r="AUY26" s="20" t="n">
        <v>0</v>
      </c>
      <c r="AUZ26" s="20" t="n">
        <v>0</v>
      </c>
      <c r="AVA26" s="20" t="n">
        <v>0</v>
      </c>
      <c r="AVB26" s="20" t="n">
        <v>0</v>
      </c>
      <c r="AVC26" s="20" t="n">
        <v>0</v>
      </c>
      <c r="AVD26" s="20" t="n">
        <v>0</v>
      </c>
      <c r="AVE26" s="20" t="n">
        <f aca="false">IF(AND(H_Direct=0,H_TaxEvt=1,ARR25+1&gt;=H_Deemed),MAX(0,ADR26-AHE26)*H_Exit,0)</f>
        <v>0</v>
      </c>
      <c r="AVF26" s="20" t="n">
        <f aca="false">IF(AND(H_Direct=0,H_TaxEvt=1,ARS25+1&gt;=H_Deemed),MAX(0,ADS26-AHF26)*H_Exit,0)</f>
        <v>0</v>
      </c>
      <c r="AVG26" s="20" t="n">
        <f aca="false">IF(AND(H_Direct=0,H_TaxEvt=1,ART25+1&gt;=H_Deemed),MAX(0,ADT26-AHG26)*H_Exit,0)</f>
        <v>0</v>
      </c>
      <c r="AVH26" s="20" t="n">
        <f aca="false">IF(AND(H_Direct=0,H_TaxEvt=1,ARU25+1&gt;=H_Deemed),MAX(0,ADU26-AHH26)*H_Exit,0)</f>
        <v>0</v>
      </c>
      <c r="AVI26" s="20" t="n">
        <f aca="false">IF(AND(H_Direct=0,H_TaxEvt=1,ARV25+1&gt;=H_Deemed),MAX(0,ADV26-AHI26)*H_Exit,0)</f>
        <v>0</v>
      </c>
      <c r="AVJ26" s="20" t="n">
        <f aca="false">IF(AND(H_Direct=0,H_TaxEvt=1,ARW25+1&gt;=H_Deemed),MAX(0,ADW26-AHJ26)*H_Exit,0)</f>
        <v>0</v>
      </c>
      <c r="AVK26" s="20" t="n">
        <f aca="false">IF(AND(H_Direct=0,H_TaxEvt=1,ARX25+1&gt;=H_Deemed),MAX(0,ADX26-AHK26)*H_Exit,0)</f>
        <v>0</v>
      </c>
      <c r="AVL26" s="20" t="n">
        <f aca="false">IF(AND(H_Direct=0,H_TaxEvt=1,ARY25+1&gt;=H_Deemed),MAX(0,ADY26-AHL26)*H_Exit,0)</f>
        <v>0</v>
      </c>
      <c r="AVM26" s="20" t="n">
        <f aca="false">IF(AND(H_Direct=0,H_TaxEvt=1,ARZ25+1&gt;=H_Deemed),MAX(0,ADZ26-AHM26)*H_Exit,0)</f>
        <v>0</v>
      </c>
      <c r="AVN26" s="20" t="n">
        <f aca="false">IF(AND(H_Direct=0,H_TaxEvt=1,ASA25+1&gt;=H_Deemed),MAX(0,AEA26-AHN26)*H_Exit,0)</f>
        <v>0</v>
      </c>
      <c r="AVO26" s="20" t="n">
        <f aca="false">IF(AND(H_Direct=0,H_TaxEvt=1,ASB25+1&gt;=H_Deemed),MAX(0,AEB26-AHO26)*H_Exit,0)</f>
        <v>0</v>
      </c>
      <c r="AVP26" s="20" t="n">
        <f aca="false">IF(AND(H_Direct=0,H_TaxEvt=1,ASC25+1&gt;=H_Deemed),MAX(0,AEC26-AHP26)*H_Exit,0)</f>
        <v>0</v>
      </c>
      <c r="AVQ26" s="20" t="n">
        <f aca="false">IF(AND(H_Direct=0,H_TaxEvt=1,ASD25+1&gt;=H_Deemed),MAX(0,AED26-AHQ26)*H_Exit,0)</f>
        <v>100.169658762061</v>
      </c>
      <c r="AVR26" s="20" t="n">
        <f aca="false">IF(AND(H_Direct=0,H_TaxEvt=1,ASE25+1&gt;=H_Deemed),MAX(0,AEE26-AHR26)*H_Exit,0)</f>
        <v>0</v>
      </c>
      <c r="AVS26" s="20" t="n">
        <f aca="false">IF(AND(H_Direct=0,H_TaxEvt=1,ASF25+1&gt;=H_Deemed),MAX(0,AEF26-AHS26)*H_Exit,0)</f>
        <v>0</v>
      </c>
      <c r="AVT26" s="20" t="n">
        <f aca="false">IF(AND(H_Direct=0,H_TaxEvt=1,ASG25+1&gt;=H_Deemed),MAX(0,AEG26-AHT26)*H_Exit,0)</f>
        <v>0</v>
      </c>
      <c r="AVU26" s="20" t="n">
        <f aca="false">IF(AND(H_Direct=0,H_TaxEvt=1,ASH25+1&gt;=H_Deemed),MAX(0,AEH26-AHU26)*H_Exit,0)</f>
        <v>0</v>
      </c>
      <c r="AVV26" s="20" t="n">
        <f aca="false">IF(AND(H_Direct=0,H_TaxEvt=1,ASI25+1&gt;=H_Deemed),MAX(0,AEI26-AHV26)*H_Exit,0)</f>
        <v>0</v>
      </c>
      <c r="AVW26" s="20" t="n">
        <f aca="false">IF(AND(H_Direct=0,H_TaxEvt=1,ASJ25+1&gt;=H_Deemed),MAX(0,AEJ26-AHW26)*H_Exit,0)</f>
        <v>0</v>
      </c>
      <c r="AVX26" s="20" t="n">
        <f aca="false">IF(AND(H_Direct=0,H_TaxEvt=1,0+1&gt;=H_Deemed),MAX(0,AEK26-AHX26)*H_Exit,0)</f>
        <v>0</v>
      </c>
      <c r="AVY26" s="20" t="n">
        <v>0</v>
      </c>
      <c r="AVZ26" s="20" t="n">
        <v>0</v>
      </c>
      <c r="AWA26" s="20" t="n">
        <v>0</v>
      </c>
      <c r="AWB26" s="20" t="n">
        <v>0</v>
      </c>
      <c r="AWC26" s="20" t="n">
        <v>0</v>
      </c>
      <c r="AWD26" s="20" t="n">
        <v>0</v>
      </c>
      <c r="AWE26" s="20" t="n">
        <v>0</v>
      </c>
      <c r="AWF26" s="20" t="n">
        <v>0</v>
      </c>
      <c r="AWG26" s="20" t="n">
        <v>0</v>
      </c>
      <c r="AWH26" s="20" t="n">
        <v>0</v>
      </c>
      <c r="AWI26" s="20" t="n">
        <v>0</v>
      </c>
      <c r="AWJ26" s="20" t="n">
        <v>0</v>
      </c>
      <c r="AWK26" s="20" t="n">
        <v>0</v>
      </c>
      <c r="AWL26" s="20" t="n">
        <v>0</v>
      </c>
      <c r="AWM26" s="20" t="n">
        <v>0</v>
      </c>
      <c r="AWN26" s="20" t="n">
        <v>0</v>
      </c>
      <c r="AWO26" s="20" t="n">
        <v>0</v>
      </c>
      <c r="AWP26" s="20" t="n">
        <v>0</v>
      </c>
      <c r="AWQ26" s="20" t="n">
        <v>0</v>
      </c>
      <c r="AWR26" s="20" t="n">
        <v>0</v>
      </c>
      <c r="AWS26" s="20" t="n">
        <v>0</v>
      </c>
      <c r="AWT26" s="20" t="n">
        <v>0</v>
      </c>
      <c r="AWU26" s="20" t="n">
        <v>0</v>
      </c>
      <c r="AWV26" s="20" t="n">
        <v>0</v>
      </c>
      <c r="AWW26" s="20" t="n">
        <v>0</v>
      </c>
      <c r="AWX26" s="20" t="n">
        <v>0</v>
      </c>
      <c r="AWY26" s="20" t="n">
        <v>0</v>
      </c>
      <c r="AWZ26" s="20" t="n">
        <v>0</v>
      </c>
      <c r="AXA26" s="20" t="n">
        <v>0</v>
      </c>
      <c r="AXB26" s="20" t="n">
        <v>0</v>
      </c>
      <c r="AXC26" s="20" t="n">
        <v>0</v>
      </c>
      <c r="AXD26" s="20" t="n">
        <v>0</v>
      </c>
      <c r="AXE26" s="20" t="n">
        <v>0</v>
      </c>
      <c r="AXF26" s="20" t="n">
        <v>0</v>
      </c>
      <c r="AXG26" s="20" t="n">
        <v>0</v>
      </c>
      <c r="AXH26" s="20" t="n">
        <v>0</v>
      </c>
      <c r="AXI26" s="20" t="n">
        <v>0</v>
      </c>
      <c r="AXJ26" s="20" t="n">
        <v>0</v>
      </c>
      <c r="AXK26" s="20" t="n">
        <v>0</v>
      </c>
      <c r="AXL26" s="20" t="n">
        <v>0</v>
      </c>
      <c r="AXM26" s="20" t="n">
        <v>0</v>
      </c>
      <c r="AXN26" s="20" t="n">
        <v>0</v>
      </c>
      <c r="AXO26" s="20" t="n">
        <v>0</v>
      </c>
      <c r="AXP26" s="20" t="n">
        <v>0</v>
      </c>
      <c r="AXQ26" s="20" t="n">
        <v>0</v>
      </c>
      <c r="AXR26" s="20" t="n">
        <v>0</v>
      </c>
      <c r="AXS26" s="20" t="n">
        <v>0</v>
      </c>
      <c r="AXT26" s="20" t="n">
        <v>0</v>
      </c>
      <c r="AXU26" s="20" t="n">
        <v>0</v>
      </c>
      <c r="AXV26" s="20" t="n">
        <v>0</v>
      </c>
      <c r="AXW26" s="20" t="n">
        <v>0</v>
      </c>
      <c r="AXX26" s="20" t="n">
        <v>0</v>
      </c>
      <c r="AXY26" s="20" t="n">
        <v>0</v>
      </c>
      <c r="AXZ26" s="20" t="n">
        <v>0</v>
      </c>
      <c r="AYA26" s="20" t="n">
        <v>0</v>
      </c>
      <c r="AYB26" s="20" t="n">
        <v>0</v>
      </c>
      <c r="AYC26" s="20" t="n">
        <v>0</v>
      </c>
      <c r="AYD26" s="20" t="n">
        <v>0</v>
      </c>
      <c r="AYE26" s="20" t="n">
        <v>0</v>
      </c>
      <c r="AYF26" s="20" t="n">
        <v>0</v>
      </c>
      <c r="AYG26" s="20" t="n">
        <v>0</v>
      </c>
      <c r="AYH26" s="20" t="n">
        <v>0</v>
      </c>
      <c r="AYI26" s="20" t="n">
        <v>0</v>
      </c>
      <c r="AYJ26" s="20" t="n">
        <v>0</v>
      </c>
      <c r="AYK26" s="20" t="n">
        <v>0</v>
      </c>
      <c r="AYL26" s="20" t="n">
        <v>0</v>
      </c>
      <c r="AYM26" s="20" t="n">
        <v>0</v>
      </c>
      <c r="AYN26" s="20" t="n">
        <v>0</v>
      </c>
      <c r="AYO26" s="20" t="n">
        <v>0</v>
      </c>
      <c r="AYP26" s="20" t="n">
        <v>0</v>
      </c>
      <c r="AYQ26" s="20" t="n">
        <v>0</v>
      </c>
    </row>
    <row r="27" customFormat="false" ht="15" hidden="false" customHeight="false" outlineLevel="0" collapsed="false">
      <c r="B27" s="20" t="n">
        <v>19</v>
      </c>
      <c r="C27" s="20" t="n">
        <f aca="false">'Plan cashflow'!C27</f>
        <v>1</v>
      </c>
      <c r="D27" s="20" t="n">
        <f aca="false">'Plan cashflow'!D27</f>
        <v>57</v>
      </c>
      <c r="E27" s="20" t="n">
        <f aca="false">AS_Year0+19</f>
        <v>2045</v>
      </c>
      <c r="F27" s="50" t="n">
        <f aca="false">'Plan cashflow'!F27</f>
        <v>1.4568111725278</v>
      </c>
      <c r="G27" s="59" t="n">
        <f aca="true">IF(MAX(TODAY(),DATE(E27,1,1))&gt;=H_CGTfrom,H_CGT1,H_CGT0)</f>
        <v>0.31</v>
      </c>
      <c r="H27" s="20" t="n">
        <f aca="false">H_Exempt*H_Persons</f>
        <v>1270</v>
      </c>
      <c r="I27" s="20" t="n">
        <f aca="false">AX26</f>
        <v>0</v>
      </c>
      <c r="J27" s="60" t="n">
        <f aca="false">BF26</f>
        <v>20355.7151422967</v>
      </c>
      <c r="K27" s="60" t="n">
        <f aca="false">BG26</f>
        <v>0</v>
      </c>
      <c r="L27" s="20" t="n">
        <f aca="false">IF(AND(In_polLump&gt;0,In_polLumpAge&gt;0,D27=In_polLumpAge),In_polLump,0)</f>
        <v>0</v>
      </c>
      <c r="M27" s="20" t="n">
        <f aca="false">IF(AND(In_homeUse="Yes, I'd downsize",In_downAge&gt;0,D27=In_downAge,OR(In_home="Own outright",In_home="Own with mortgage"),In_homeValue&gt;0),MAX(0,MAX(0,In_homeValue-In_downValue)*F27*0.9-'Plan cashflow'!HR26),0)</f>
        <v>0</v>
      </c>
      <c r="N27" s="20" t="n">
        <f aca="false">'Plan pay &amp; tax'!Y253</f>
        <v>0</v>
      </c>
      <c r="O27" s="20" t="n">
        <f aca="false">L27+M27+(1-H_Sh)*N27</f>
        <v>0</v>
      </c>
      <c r="P27" s="20" t="n">
        <f aca="false">H_Sh*N27</f>
        <v>0</v>
      </c>
      <c r="Q27" s="20" t="n">
        <f aca="false">'Plan cashflow'!UL27</f>
        <v>0</v>
      </c>
      <c r="R27" s="20" t="n">
        <f aca="false">(1-H_Sh)*Q27</f>
        <v>0</v>
      </c>
      <c r="S27" s="20" t="n">
        <f aca="false">H_Sh*Q27</f>
        <v>0</v>
      </c>
      <c r="T27" s="20" t="n">
        <f aca="false">J27+K27+O27</f>
        <v>20355.7151422967</v>
      </c>
      <c r="U27" s="20" t="n">
        <f aca="false">T27+R27</f>
        <v>20355.7151422967</v>
      </c>
      <c r="V27" s="60" t="n">
        <f aca="false">SUM(FE27:IQ27)</f>
        <v>14338.6424497884</v>
      </c>
      <c r="W27" s="60" t="n">
        <f aca="false">IF(AJ27&lt;=0,0,IF(AL27&lt;=0,AJ27,AJ27-G27*MAX(0,AL27*AJ27-(AY27+AZ27))))</f>
        <v>0</v>
      </c>
      <c r="X27" s="60" t="n">
        <f aca="false">IF(AR27&lt;=0,0,IF(AT27&lt;=0,AR27,AR27-G27*MAX(0,AT27*AR27-(BA27+BB27))))</f>
        <v>0</v>
      </c>
      <c r="Y27" s="60" t="n">
        <f aca="false">T27+V27-S27+W27+X27</f>
        <v>34694.3575920851</v>
      </c>
      <c r="Z27" s="60" t="n">
        <f aca="false">'Plan cashflow'!UK27</f>
        <v>0</v>
      </c>
      <c r="AA27" s="20" t="n">
        <f aca="false">MIN(Z27,U27)</f>
        <v>0</v>
      </c>
      <c r="AB27" s="20" t="n">
        <f aca="false">Z27-AA27</f>
        <v>0</v>
      </c>
      <c r="AC27" s="20" t="n">
        <f aca="false">MIN(AA27,J27+O27+R27)</f>
        <v>0</v>
      </c>
      <c r="AD27" s="20" t="n">
        <f aca="false">AA27-AC27</f>
        <v>0</v>
      </c>
      <c r="AE27" s="20" t="n">
        <f aca="false">J27+O27+R27-AC27</f>
        <v>20355.7151422967</v>
      </c>
      <c r="AF27" s="20" t="n">
        <f aca="false">K27-AD27</f>
        <v>0</v>
      </c>
      <c r="AG27" s="20" t="n">
        <f aca="false">SUM(PR27:TD27)</f>
        <v>0</v>
      </c>
      <c r="AH27" s="20" t="n">
        <f aca="false">SUM(TE27:WQ27)</f>
        <v>0</v>
      </c>
      <c r="AI27" s="20" t="n">
        <f aca="false">MAX(0,AB27-AG27)</f>
        <v>0</v>
      </c>
      <c r="AJ27" s="57" t="n">
        <f aca="false">BI26</f>
        <v>0</v>
      </c>
      <c r="AK27" s="20" t="n">
        <f aca="false">BJ26</f>
        <v>0</v>
      </c>
      <c r="AL27" s="20" t="n">
        <f aca="false">IF(AJ27&gt;0,(AJ27-AK27)/AJ27,0)</f>
        <v>0</v>
      </c>
      <c r="AM27" s="20" t="n">
        <f aca="false">IF(AJ27&lt;=0,0,IF(AL27&lt;=0,MIN(AI27,AJ27),MIN(AI27,AJ27-G27*MAX(0,AL27*AJ27-(AAD27+ADQ27)))))</f>
        <v>0</v>
      </c>
      <c r="AN27" s="20" t="n">
        <f aca="false">IF(AJ27&lt;=0,0,IF(AL27&lt;=0,AM27,IF(AM27&lt;=(AAD27+ADQ27)/AL27,AM27,(AM27-G27*(AAD27+ADQ27))/(1-G27*AL27))))</f>
        <v>0</v>
      </c>
      <c r="AO27" s="20" t="n">
        <f aca="false">IF(AL27&gt;0,MAX(0,AAD27-(MIN(AL27*AN27,(AAD27+ADQ27))-MIN(MIN(AL27*AN27,(AAD27+ADQ27)),ADQ27))),AAD27)</f>
        <v>1270</v>
      </c>
      <c r="AP27" s="20" t="n">
        <f aca="false">IF(AL27&lt;=0,ADQ27-AL27*AN27,ADQ27-MIN(MIN(AL27*AN27,(AAD27+ADQ27)),ADQ27))</f>
        <v>0</v>
      </c>
      <c r="AQ27" s="20" t="n">
        <f aca="false">MAX(0,AI27-AM27)</f>
        <v>0</v>
      </c>
      <c r="AR27" s="57" t="n">
        <f aca="false">BK26</f>
        <v>0</v>
      </c>
      <c r="AS27" s="20" t="n">
        <f aca="false">BL26</f>
        <v>0</v>
      </c>
      <c r="AT27" s="20" t="n">
        <f aca="false">IF(AR27&gt;0,(AR27-AS27)/AR27,0)</f>
        <v>0</v>
      </c>
      <c r="AU27" s="20" t="n">
        <f aca="false">IF(AR27&lt;=0,0,IF(AT27&lt;=0,MIN(AQ27,AR27),MIN(AQ27,AR27-G27*MAX(0,AT27*AR27-(AO27+AP27)))))</f>
        <v>0</v>
      </c>
      <c r="AV27" s="20" t="n">
        <f aca="false">IF(AR27&lt;=0,0,IF(AT27&lt;=0,AU27,IF(AU27&lt;=(AO27+AP27)/AT27,AU27,(AU27-G27*(AO27+AP27))/(1-G27*AT27))))</f>
        <v>0</v>
      </c>
      <c r="AW27" s="20" t="n">
        <f aca="false">IF(AT27&gt;0,MAX(0,AO27-(MIN(AT27*AV27,(AO27+AP27))-MIN(MIN(AT27*AV27,(AO27+AP27)),AP27))),AO27)</f>
        <v>1270</v>
      </c>
      <c r="AX27" s="20" t="n">
        <f aca="false">IF(AT27&lt;=0,AP27-AT27*AV27,AP27-MIN(MIN(AT27*AV27,(AO27+AP27)),AP27))</f>
        <v>0</v>
      </c>
      <c r="AY27" s="20" t="n">
        <f aca="false">MD27</f>
        <v>1270</v>
      </c>
      <c r="AZ27" s="20" t="n">
        <f aca="false">PQ27</f>
        <v>0</v>
      </c>
      <c r="BA27" s="20" t="n">
        <f aca="false">IF(AL27&gt;0,MAX(0,AY27-(MIN(AL27*AJ27,AY27+AZ27)-MIN(MIN(AL27*AJ27,AY27+AZ27),AZ27))),AY27)</f>
        <v>1270</v>
      </c>
      <c r="BB27" s="20" t="n">
        <f aca="false">IF(AL27&lt;=0,AZ27-AL27*AJ27,AZ27-MIN(MIN(AL27*AJ27,AY27+AZ27),AZ27))</f>
        <v>0</v>
      </c>
      <c r="BC27" s="20" t="n">
        <f aca="false">'Plan cashflow'!UM27</f>
        <v>8740.8670351668</v>
      </c>
      <c r="BD27" s="20" t="n">
        <f aca="false">(1-H_Sh)*BC27</f>
        <v>5244.52022110008</v>
      </c>
      <c r="BE27" s="20" t="n">
        <f aca="false">H_Sh*BC27</f>
        <v>3496.34681406672</v>
      </c>
      <c r="BF27" s="60" t="n">
        <f aca="false">(AE27+BD27)*(1+AS_Cash)</f>
        <v>25856.2377170307</v>
      </c>
      <c r="BG27" s="60" t="n">
        <f aca="false">AF27*(1+AS_Cash)</f>
        <v>0</v>
      </c>
      <c r="BH27" s="60" t="n">
        <f aca="false">SUM(AKR27:AOD27)</f>
        <v>19027.5059973326</v>
      </c>
      <c r="BI27" s="60" t="n">
        <f aca="false">(AJ27-AN27)*(1+AS_Infl)</f>
        <v>0</v>
      </c>
      <c r="BJ27" s="20" t="n">
        <f aca="false">IF(AJ27&gt;0,AK27-AK27*AN27/AJ27,0)</f>
        <v>0</v>
      </c>
      <c r="BK27" s="60" t="n">
        <f aca="false">(AR27-AV27)*(1+BQ27)</f>
        <v>0</v>
      </c>
      <c r="BL27" s="20" t="n">
        <f aca="false">IF(AR27&gt;0,AS27-AS27*AV27/AR27,0)</f>
        <v>0</v>
      </c>
      <c r="BM27" s="60" t="n">
        <f aca="false">BF27+BG27+BH27+BI27+BK27</f>
        <v>44883.7437143633</v>
      </c>
      <c r="BN27" s="60" t="n">
        <f aca="false">(AH27-AG27)+(AN27-AM27)+(AV27-AU27)</f>
        <v>0</v>
      </c>
      <c r="BO27" s="20" t="n">
        <f aca="false">(AE27+BD27+AF27+MAX(0,'Plan cashflow'!QH27)+IF(Slot1_Rate=AS_Cash,'Plan cashflow'!QM27/(1+AS_Cash),0)+IF(Slot2_Rate=AS_Cash,'Plan cashflow'!QQ27/(1+AS_Cash),0)+IF(Slot3_Rate=AS_Cash,'Plan cashflow'!QU27/(1+AS_Cash),0)+IF(Slot4_Rate=AS_Cash,'Plan cashflow'!QY27/(1+AS_Cash),0)+IF(Slot5_Rate=AS_Cash,'Plan cashflow'!RC27/(1+AS_Cash),0)+IF(Slot6_Rate=AS_Cash,'Plan cashflow'!RG27/(1+AS_Cash),0)+IF(Slot7_Rate=AS_Cash,'Plan cashflow'!RK27/(1+AS_Cash),0)+IF(Slot8_Rate=AS_Cash,'Plan cashflow'!RO27/(1+AS_Cash),0)+IF(Slot9_Rate=AS_Cash,'Plan cashflow'!RS27/(1+AS_Cash),0)+IF(Slot10_Rate=AS_Cash,'Plan cashflow'!RW27/(1+AS_Cash),0)+IF(Slot11_Rate=AS_Cash,'Plan cashflow'!SA27/(1+AS_Cash),0)+IF(Slot12_Rate=AS_Cash,'Plan cashflow'!SE27/(1+AS_Cash),0)+IF(Slot13_Rate=AS_Cash,'Plan cashflow'!SI27/(1+AS_Cash),0)+IF(Slot14_Rate=AS_Cash,'Plan cashflow'!SM27/(1+AS_Cash),0)+IF(Slot15_Rate=AS_Cash,'Plan cashflow'!SQ27/(1+AS_Cash),0)+IF(Slot16_Rate=AS_Cash,'Plan cashflow'!SU27/(1+AS_Cash),0)+IF(Slot17_Rate=AS_Cash,'Plan cashflow'!SY27/(1+AS_Cash),0)+IF(Slot18_Rate=AS_Cash,'Plan cashflow'!TC27/(1+AS_Cash),0)+IF(Slot19_Rate=AS_Cash,'Plan cashflow'!TG27/(1+AS_Cash),0)+IF(Slot20_Rate=AS_Cash,'Plan cashflow'!TK27/(1+AS_Cash),0))*AS_Cash*H_DIRT/(1-H_DIRT)</f>
        <v>192.462767796708</v>
      </c>
      <c r="BP27" s="60" t="n">
        <f aca="false">SUM(AVE27:AYQ27)</f>
        <v>124.670088430092</v>
      </c>
      <c r="BQ27" s="54" t="n">
        <f aca="false">IF(H_TaxEvt=1,H_InvG,AS_Inv)</f>
        <v>0.04</v>
      </c>
      <c r="BR27" s="20" t="n">
        <f aca="false">IF(AKR26&gt;0,(AKR26-AOE26)/AKR26,0)</f>
        <v>0</v>
      </c>
      <c r="BS27" s="20" t="n">
        <f aca="false">IF(AKS26&gt;0,(AKS26-AOF26)/AKS26,0)</f>
        <v>0</v>
      </c>
      <c r="BT27" s="20" t="n">
        <f aca="false">IF(AKT26&gt;0,(AKT26-AOG26)/AKT26,0)</f>
        <v>0</v>
      </c>
      <c r="BU27" s="20" t="n">
        <f aca="false">IF(AKU26&gt;0,(AKU26-AOH26)/AKU26,0)</f>
        <v>0</v>
      </c>
      <c r="BV27" s="20" t="n">
        <f aca="false">IF(AKV26&gt;0,(AKV26-AOI26)/AKV26,0)</f>
        <v>0</v>
      </c>
      <c r="BW27" s="20" t="n">
        <f aca="false">IF(AKW26&gt;0,(AKW26-AOJ26)/AKW26,0)</f>
        <v>0</v>
      </c>
      <c r="BX27" s="20" t="n">
        <f aca="false">IF(AKX26&gt;0,(AKX26-AOK26)/AKX26,0)</f>
        <v>0</v>
      </c>
      <c r="BY27" s="20" t="n">
        <f aca="false">IF(AKY26&gt;0,(AKY26-AOL26)/AKY26,0)</f>
        <v>0</v>
      </c>
      <c r="BZ27" s="20" t="n">
        <f aca="false">IF(AKZ26&gt;0,(AKZ26-AOM26)/AKZ26,0)</f>
        <v>0</v>
      </c>
      <c r="CA27" s="20" t="n">
        <f aca="false">IF(ALA26&gt;0,(ALA26-AON26)/ALA26,0)</f>
        <v>0</v>
      </c>
      <c r="CB27" s="20" t="n">
        <f aca="false">IF(ALB26&gt;0,(ALB26-AOO26)/ALB26,0)</f>
        <v>0</v>
      </c>
      <c r="CC27" s="20" t="n">
        <f aca="false">IF(ALC26&gt;0,(ALC26-AOP26)/ALC26,0)</f>
        <v>0.0384615384615385</v>
      </c>
      <c r="CD27" s="20" t="n">
        <f aca="false">IF(ALD26&gt;0,(ALD26-AOQ26)/ALD26,0)</f>
        <v>0</v>
      </c>
      <c r="CE27" s="20" t="n">
        <f aca="false">IF(ALE26&gt;0,(ALE26-AOR26)/ALE26,0)</f>
        <v>0.240082186797937</v>
      </c>
      <c r="CF27" s="20" t="n">
        <f aca="false">IF(ALF26&gt;0,(ALF26-AOS26)/ALF26,0)</f>
        <v>0.209685474269854</v>
      </c>
      <c r="CG27" s="20" t="n">
        <f aca="false">IF(ALG26&gt;0,(ALG26-AOT26)/ALG26,0)</f>
        <v>0.178072893240648</v>
      </c>
      <c r="CH27" s="20" t="n">
        <f aca="false">IF(ALH26&gt;0,(ALH26-AOU26)/ALH26,0)</f>
        <v>0.145195808970274</v>
      </c>
      <c r="CI27" s="20" t="n">
        <f aca="false">IF(ALI26&gt;0,(ALI26-AOV26)/ALI26,0)</f>
        <v>0.111003641329085</v>
      </c>
      <c r="CJ27" s="20" t="n">
        <f aca="false">IF(ALJ26&gt;0,(ALJ26-AOW26)/ALJ26,0)</f>
        <v>0.0754437869822486</v>
      </c>
      <c r="CK27" s="20" t="n">
        <f aca="false">IF(ALK26&gt;0,(ALK26-AOX26)/ALK26,0)</f>
        <v>0.0384615384615385</v>
      </c>
      <c r="CL27" s="20" t="n">
        <f aca="false">IF((P27+S27)&gt;0,((P27+S27)-(P27+S27))/(P27+S27),0)</f>
        <v>0</v>
      </c>
      <c r="CM27" s="20" t="n">
        <v>0</v>
      </c>
      <c r="CN27" s="20" t="n">
        <v>0</v>
      </c>
      <c r="CO27" s="20" t="n">
        <v>0</v>
      </c>
      <c r="CP27" s="20" t="n">
        <v>0</v>
      </c>
      <c r="CQ27" s="20" t="n">
        <v>0</v>
      </c>
      <c r="CR27" s="20" t="n">
        <v>0</v>
      </c>
      <c r="CS27" s="20" t="n">
        <v>0</v>
      </c>
      <c r="CT27" s="20" t="n">
        <v>0</v>
      </c>
      <c r="CU27" s="20" t="n">
        <v>0</v>
      </c>
      <c r="CV27" s="20" t="n">
        <v>0</v>
      </c>
      <c r="CW27" s="20" t="n">
        <v>0</v>
      </c>
      <c r="CX27" s="20" t="n">
        <v>0</v>
      </c>
      <c r="CY27" s="20" t="n">
        <v>0</v>
      </c>
      <c r="CZ27" s="20" t="n">
        <v>0</v>
      </c>
      <c r="DA27" s="20" t="n">
        <v>0</v>
      </c>
      <c r="DB27" s="20" t="n">
        <v>0</v>
      </c>
      <c r="DC27" s="20" t="n">
        <v>0</v>
      </c>
      <c r="DD27" s="20" t="n">
        <v>0</v>
      </c>
      <c r="DE27" s="20" t="n">
        <v>0</v>
      </c>
      <c r="DF27" s="20" t="n">
        <v>0</v>
      </c>
      <c r="DG27" s="20" t="n">
        <v>0</v>
      </c>
      <c r="DH27" s="20" t="n">
        <v>0</v>
      </c>
      <c r="DI27" s="20" t="n">
        <v>0</v>
      </c>
      <c r="DJ27" s="20" t="n">
        <v>0</v>
      </c>
      <c r="DK27" s="20" t="n">
        <v>0</v>
      </c>
      <c r="DL27" s="20" t="n">
        <v>0</v>
      </c>
      <c r="DM27" s="20" t="n">
        <v>0</v>
      </c>
      <c r="DN27" s="20" t="n">
        <v>0</v>
      </c>
      <c r="DO27" s="20" t="n">
        <v>0</v>
      </c>
      <c r="DP27" s="20" t="n">
        <v>0</v>
      </c>
      <c r="DQ27" s="20" t="n">
        <v>0</v>
      </c>
      <c r="DR27" s="20" t="n">
        <v>0</v>
      </c>
      <c r="DS27" s="20" t="n">
        <v>0</v>
      </c>
      <c r="DT27" s="20" t="n">
        <v>0</v>
      </c>
      <c r="DU27" s="20" t="n">
        <v>0</v>
      </c>
      <c r="DV27" s="20" t="n">
        <v>0</v>
      </c>
      <c r="DW27" s="20" t="n">
        <v>0</v>
      </c>
      <c r="DX27" s="20" t="n">
        <v>0</v>
      </c>
      <c r="DY27" s="20" t="n">
        <v>0</v>
      </c>
      <c r="DZ27" s="20" t="n">
        <v>0</v>
      </c>
      <c r="EA27" s="20" t="n">
        <v>0</v>
      </c>
      <c r="EB27" s="20" t="n">
        <v>0</v>
      </c>
      <c r="EC27" s="20" t="n">
        <v>0</v>
      </c>
      <c r="ED27" s="20" t="n">
        <v>0</v>
      </c>
      <c r="EE27" s="20" t="n">
        <v>0</v>
      </c>
      <c r="EF27" s="20" t="n">
        <v>0</v>
      </c>
      <c r="EG27" s="20" t="n">
        <v>0</v>
      </c>
      <c r="EH27" s="20" t="n">
        <v>0</v>
      </c>
      <c r="EI27" s="20" t="n">
        <v>0</v>
      </c>
      <c r="EJ27" s="20" t="n">
        <v>0</v>
      </c>
      <c r="EK27" s="20" t="n">
        <v>0</v>
      </c>
      <c r="EL27" s="20" t="n">
        <v>0</v>
      </c>
      <c r="EM27" s="20" t="n">
        <v>0</v>
      </c>
      <c r="EN27" s="20" t="n">
        <v>0</v>
      </c>
      <c r="EO27" s="20" t="n">
        <v>0</v>
      </c>
      <c r="EP27" s="20" t="n">
        <v>0</v>
      </c>
      <c r="EQ27" s="20" t="n">
        <v>0</v>
      </c>
      <c r="ER27" s="20" t="n">
        <v>0</v>
      </c>
      <c r="ES27" s="20" t="n">
        <v>0</v>
      </c>
      <c r="ET27" s="20" t="n">
        <v>0</v>
      </c>
      <c r="EU27" s="20" t="n">
        <v>0</v>
      </c>
      <c r="EV27" s="20" t="n">
        <v>0</v>
      </c>
      <c r="EW27" s="20" t="n">
        <v>0</v>
      </c>
      <c r="EX27" s="20" t="n">
        <v>0</v>
      </c>
      <c r="EY27" s="20" t="n">
        <v>0</v>
      </c>
      <c r="EZ27" s="20" t="n">
        <v>0</v>
      </c>
      <c r="FA27" s="20" t="n">
        <v>0</v>
      </c>
      <c r="FB27" s="20" t="n">
        <v>0</v>
      </c>
      <c r="FC27" s="20" t="n">
        <v>0</v>
      </c>
      <c r="FD27" s="20" t="n">
        <v>0</v>
      </c>
      <c r="FE27" s="20" t="n">
        <f aca="false">IF(H_Direct=1,IF(AKR26&lt;=0,0,IF(BR27&lt;=0,AKR26,AKR26-G27*MAX(0,BR27*AKR26-(H27+I27)))),AKR26*(1-MAX(0,BR27)*H_Exit))</f>
        <v>0</v>
      </c>
      <c r="FF27" s="20" t="n">
        <f aca="false">IF(H_Direct=1,IF(AKS26&lt;=0,0,IF(BS27&lt;=0,AKS26,AKS26-G27*MAX(0,BS27*AKS26-(IR27+ME27)))),AKS26*(1-MAX(0,BS27)*H_Exit))</f>
        <v>0</v>
      </c>
      <c r="FG27" s="20" t="n">
        <f aca="false">IF(H_Direct=1,IF(AKT26&lt;=0,0,IF(BT27&lt;=0,AKT26,AKT26-G27*MAX(0,BT27*AKT26-(IS27+MF27)))),AKT26*(1-MAX(0,BT27)*H_Exit))</f>
        <v>0</v>
      </c>
      <c r="FH27" s="20" t="n">
        <f aca="false">IF(H_Direct=1,IF(AKU26&lt;=0,0,IF(BU27&lt;=0,AKU26,AKU26-G27*MAX(0,BU27*AKU26-(IT27+MG27)))),AKU26*(1-MAX(0,BU27)*H_Exit))</f>
        <v>0</v>
      </c>
      <c r="FI27" s="20" t="n">
        <f aca="false">IF(H_Direct=1,IF(AKV26&lt;=0,0,IF(BV27&lt;=0,AKV26,AKV26-G27*MAX(0,BV27*AKV26-(IU27+MH27)))),AKV26*(1-MAX(0,BV27)*H_Exit))</f>
        <v>0</v>
      </c>
      <c r="FJ27" s="20" t="n">
        <f aca="false">IF(H_Direct=1,IF(AKW26&lt;=0,0,IF(BW27&lt;=0,AKW26,AKW26-G27*MAX(0,BW27*AKW26-(IV27+MI27)))),AKW26*(1-MAX(0,BW27)*H_Exit))</f>
        <v>0</v>
      </c>
      <c r="FK27" s="20" t="n">
        <f aca="false">IF(H_Direct=1,IF(AKX26&lt;=0,0,IF(BX27&lt;=0,AKX26,AKX26-G27*MAX(0,BX27*AKX26-(IW27+MJ27)))),AKX26*(1-MAX(0,BX27)*H_Exit))</f>
        <v>0</v>
      </c>
      <c r="FL27" s="20" t="n">
        <f aca="false">IF(H_Direct=1,IF(AKY26&lt;=0,0,IF(BY27&lt;=0,AKY26,AKY26-G27*MAX(0,BY27*AKY26-(IX27+MK27)))),AKY26*(1-MAX(0,BY27)*H_Exit))</f>
        <v>0</v>
      </c>
      <c r="FM27" s="20" t="n">
        <f aca="false">IF(H_Direct=1,IF(AKZ26&lt;=0,0,IF(BZ27&lt;=0,AKZ26,AKZ26-G27*MAX(0,BZ27*AKZ26-(IY27+ML27)))),AKZ26*(1-MAX(0,BZ27)*H_Exit))</f>
        <v>0</v>
      </c>
      <c r="FN27" s="20" t="n">
        <f aca="false">IF(H_Direct=1,IF(ALA26&lt;=0,0,IF(CA27&lt;=0,ALA26,ALA26-G27*MAX(0,CA27*ALA26-(IZ27+MM27)))),ALA26*(1-MAX(0,CA27)*H_Exit))</f>
        <v>0</v>
      </c>
      <c r="FO27" s="20" t="n">
        <f aca="false">IF(H_Direct=1,IF(ALB26&lt;=0,0,IF(CB27&lt;=0,ALB26,ALB26-G27*MAX(0,CB27*ALB26-(JA27+MN27)))),ALB26*(1-MAX(0,CB27)*H_Exit))</f>
        <v>0</v>
      </c>
      <c r="FP27" s="20" t="n">
        <f aca="false">IF(H_Direct=1,IF(ALC26&lt;=0,0,IF(CC27&lt;=0,ALC26,ALC26-G27*MAX(0,CC27*ALC26-(JB27+MO27)))),ALC26*(1-MAX(0,CC27)*H_Exit))</f>
        <v>688.255270276009</v>
      </c>
      <c r="FQ27" s="20" t="n">
        <f aca="false">IF(H_Direct=1,IF(ALD26&lt;=0,0,IF(CD27&lt;=0,ALD26,ALD26-G27*MAX(0,CD27*ALD26-(JC27+MP27)))),ALD26*(1-MAX(0,CD27)*H_Exit))</f>
        <v>878.644963131885</v>
      </c>
      <c r="FR27" s="20" t="n">
        <f aca="false">IF(H_Direct=1,IF(ALE26&lt;=0,0,IF(CE27&lt;=0,ALE26,ALE26-G27*MAX(0,CE27*ALE26-(JD27+MQ27)))),ALE26*(1-MAX(0,CE27)*H_Exit))</f>
        <v>1064.50223068166</v>
      </c>
      <c r="FS27" s="20" t="n">
        <f aca="false">IF(H_Direct=1,IF(ALF26&lt;=0,0,IF(CF27&lt;=0,ALF26,ALF26-G27*MAX(0,CF27*ALF26-(JE27+MR27)))),ALF26*(1-MAX(0,CF27)*H_Exit))</f>
        <v>1212.25313877584</v>
      </c>
      <c r="FT27" s="20" t="n">
        <f aca="false">IF(H_Direct=1,IF(ALG26&lt;=0,0,IF(CG27&lt;=0,ALG26,ALG26-G27*MAX(0,CG27*ALG26-(JF27+MS27)))),ALG26*(1-MAX(0,CG27)*H_Exit))</f>
        <v>1181.05117187781</v>
      </c>
      <c r="FU27" s="20" t="n">
        <f aca="false">IF(H_Direct=1,IF(ALH26&lt;=0,0,IF(CH27&lt;=0,ALH26,ALH26-G27*MAX(0,CH27*ALH26-(JG27+MT27)))),ALH26*(1-MAX(0,CH27)*H_Exit))</f>
        <v>1150.36640480408</v>
      </c>
      <c r="FV27" s="20" t="n">
        <f aca="false">IF(H_Direct=1,IF(ALI26&lt;=0,0,IF(CI27&lt;=0,ALI26,ALI26-G27*MAX(0,CI27*ALI26-(JH27+MU27)))),ALI26*(1-MAX(0,CI27)*H_Exit))</f>
        <v>1120.17122002906</v>
      </c>
      <c r="FW27" s="20" t="n">
        <f aca="false">IF(H_Direct=1,IF(ALJ26&lt;=0,0,IF(CJ27&lt;=0,ALJ26,ALJ26-G27*MAX(0,CJ27*ALJ26-(JI27+MV27)))),ALJ26*(1-MAX(0,CJ27)*H_Exit))</f>
        <v>3530.5978393733</v>
      </c>
      <c r="FX27" s="20" t="n">
        <f aca="false">IF(H_Direct=1,IF(ALK26&lt;=0,0,IF(CK27&lt;=0,ALK26,ALK26-G27*MAX(0,CK27*ALK26-(JJ27+MW27)))),ALK26*(1-MAX(0,CK27)*H_Exit))</f>
        <v>3512.8002108388</v>
      </c>
      <c r="FY27" s="20" t="n">
        <f aca="false">IF(H_Direct=1,IF((P27+S27)&lt;=0,0,IF(CL27&lt;=0,(P27+S27),(P27+S27)-G27*MAX(0,CL27*(P27+S27)-(JK27+MX27)))),(P27+S27)*(1-MAX(0,CL27)*H_Exit))</f>
        <v>0</v>
      </c>
      <c r="FZ27" s="20" t="n">
        <v>0</v>
      </c>
      <c r="GA27" s="20" t="n">
        <v>0</v>
      </c>
      <c r="GB27" s="20" t="n">
        <v>0</v>
      </c>
      <c r="GC27" s="20" t="n">
        <v>0</v>
      </c>
      <c r="GD27" s="20" t="n">
        <v>0</v>
      </c>
      <c r="GE27" s="20" t="n">
        <v>0</v>
      </c>
      <c r="GF27" s="20" t="n">
        <v>0</v>
      </c>
      <c r="GG27" s="20" t="n">
        <v>0</v>
      </c>
      <c r="GH27" s="20" t="n">
        <v>0</v>
      </c>
      <c r="GI27" s="20" t="n">
        <v>0</v>
      </c>
      <c r="GJ27" s="20" t="n">
        <v>0</v>
      </c>
      <c r="GK27" s="20" t="n">
        <v>0</v>
      </c>
      <c r="GL27" s="20" t="n">
        <v>0</v>
      </c>
      <c r="GM27" s="20" t="n">
        <v>0</v>
      </c>
      <c r="GN27" s="20" t="n">
        <v>0</v>
      </c>
      <c r="GO27" s="20" t="n">
        <v>0</v>
      </c>
      <c r="GP27" s="20" t="n">
        <v>0</v>
      </c>
      <c r="GQ27" s="20" t="n">
        <v>0</v>
      </c>
      <c r="GR27" s="20" t="n">
        <v>0</v>
      </c>
      <c r="GS27" s="20" t="n">
        <v>0</v>
      </c>
      <c r="GT27" s="20" t="n">
        <v>0</v>
      </c>
      <c r="GU27" s="20" t="n">
        <v>0</v>
      </c>
      <c r="GV27" s="20" t="n">
        <v>0</v>
      </c>
      <c r="GW27" s="20" t="n">
        <v>0</v>
      </c>
      <c r="GX27" s="20" t="n">
        <v>0</v>
      </c>
      <c r="GY27" s="20" t="n">
        <v>0</v>
      </c>
      <c r="GZ27" s="20" t="n">
        <v>0</v>
      </c>
      <c r="HA27" s="20" t="n">
        <v>0</v>
      </c>
      <c r="HB27" s="20" t="n">
        <v>0</v>
      </c>
      <c r="HC27" s="20" t="n">
        <v>0</v>
      </c>
      <c r="HD27" s="20" t="n">
        <v>0</v>
      </c>
      <c r="HE27" s="20" t="n">
        <v>0</v>
      </c>
      <c r="HF27" s="20" t="n">
        <v>0</v>
      </c>
      <c r="HG27" s="20" t="n">
        <v>0</v>
      </c>
      <c r="HH27" s="20" t="n">
        <v>0</v>
      </c>
      <c r="HI27" s="20" t="n">
        <v>0</v>
      </c>
      <c r="HJ27" s="20" t="n">
        <v>0</v>
      </c>
      <c r="HK27" s="20" t="n">
        <v>0</v>
      </c>
      <c r="HL27" s="20" t="n">
        <v>0</v>
      </c>
      <c r="HM27" s="20" t="n">
        <v>0</v>
      </c>
      <c r="HN27" s="20" t="n">
        <v>0</v>
      </c>
      <c r="HO27" s="20" t="n">
        <v>0</v>
      </c>
      <c r="HP27" s="20" t="n">
        <v>0</v>
      </c>
      <c r="HQ27" s="20" t="n">
        <v>0</v>
      </c>
      <c r="HR27" s="20" t="n">
        <v>0</v>
      </c>
      <c r="HS27" s="20" t="n">
        <v>0</v>
      </c>
      <c r="HT27" s="20" t="n">
        <v>0</v>
      </c>
      <c r="HU27" s="20" t="n">
        <v>0</v>
      </c>
      <c r="HV27" s="20" t="n">
        <v>0</v>
      </c>
      <c r="HW27" s="20" t="n">
        <v>0</v>
      </c>
      <c r="HX27" s="20" t="n">
        <v>0</v>
      </c>
      <c r="HY27" s="20" t="n">
        <v>0</v>
      </c>
      <c r="HZ27" s="20" t="n">
        <v>0</v>
      </c>
      <c r="IA27" s="20" t="n">
        <v>0</v>
      </c>
      <c r="IB27" s="20" t="n">
        <v>0</v>
      </c>
      <c r="IC27" s="20" t="n">
        <v>0</v>
      </c>
      <c r="ID27" s="20" t="n">
        <v>0</v>
      </c>
      <c r="IE27" s="20" t="n">
        <v>0</v>
      </c>
      <c r="IF27" s="20" t="n">
        <v>0</v>
      </c>
      <c r="IG27" s="20" t="n">
        <v>0</v>
      </c>
      <c r="IH27" s="20" t="n">
        <v>0</v>
      </c>
      <c r="II27" s="20" t="n">
        <v>0</v>
      </c>
      <c r="IJ27" s="20" t="n">
        <v>0</v>
      </c>
      <c r="IK27" s="20" t="n">
        <v>0</v>
      </c>
      <c r="IL27" s="20" t="n">
        <v>0</v>
      </c>
      <c r="IM27" s="20" t="n">
        <v>0</v>
      </c>
      <c r="IN27" s="20" t="n">
        <v>0</v>
      </c>
      <c r="IO27" s="20" t="n">
        <v>0</v>
      </c>
      <c r="IP27" s="20" t="n">
        <v>0</v>
      </c>
      <c r="IQ27" s="20" t="n">
        <v>0</v>
      </c>
      <c r="IR27" s="20" t="n">
        <f aca="false">IF(AND(H_Direct=1,BR27&gt;0),MAX(0,H27-(MIN(BR27*AKR26,H27+I27)-MIN(MIN(BR27*AKR26,H27+I27),I27))),H27)</f>
        <v>1270</v>
      </c>
      <c r="IS27" s="20" t="n">
        <f aca="false">IF(AND(H_Direct=1,BS27&gt;0),MAX(0,IR27-(MIN(BS27*AKS26,IR27+ME27)-MIN(MIN(BS27*AKS26,IR27+ME27),ME27))),IR27)</f>
        <v>1270</v>
      </c>
      <c r="IT27" s="20" t="n">
        <f aca="false">IF(AND(H_Direct=1,BT27&gt;0),MAX(0,IS27-(MIN(BT27*AKT26,IS27+MF27)-MIN(MIN(BT27*AKT26,IS27+MF27),MF27))),IS27)</f>
        <v>1270</v>
      </c>
      <c r="IU27" s="20" t="n">
        <f aca="false">IF(AND(H_Direct=1,BU27&gt;0),MAX(0,IT27-(MIN(BU27*AKU26,IT27+MG27)-MIN(MIN(BU27*AKU26,IT27+MG27),MG27))),IT27)</f>
        <v>1270</v>
      </c>
      <c r="IV27" s="20" t="n">
        <f aca="false">IF(AND(H_Direct=1,BV27&gt;0),MAX(0,IU27-(MIN(BV27*AKV26,IU27+MH27)-MIN(MIN(BV27*AKV26,IU27+MH27),MH27))),IU27)</f>
        <v>1270</v>
      </c>
      <c r="IW27" s="20" t="n">
        <f aca="false">IF(AND(H_Direct=1,BW27&gt;0),MAX(0,IV27-(MIN(BW27*AKW26,IV27+MI27)-MIN(MIN(BW27*AKW26,IV27+MI27),MI27))),IV27)</f>
        <v>1270</v>
      </c>
      <c r="IX27" s="20" t="n">
        <f aca="false">IF(AND(H_Direct=1,BX27&gt;0),MAX(0,IW27-(MIN(BX27*AKX26,IW27+MJ27)-MIN(MIN(BX27*AKX26,IW27+MJ27),MJ27))),IW27)</f>
        <v>1270</v>
      </c>
      <c r="IY27" s="20" t="n">
        <f aca="false">IF(AND(H_Direct=1,BY27&gt;0),MAX(0,IX27-(MIN(BY27*AKY26,IX27+MK27)-MIN(MIN(BY27*AKY26,IX27+MK27),MK27))),IX27)</f>
        <v>1270</v>
      </c>
      <c r="IZ27" s="20" t="n">
        <f aca="false">IF(AND(H_Direct=1,BZ27&gt;0),MAX(0,IY27-(MIN(BZ27*AKZ26,IY27+ML27)-MIN(MIN(BZ27*AKZ26,IY27+ML27),ML27))),IY27)</f>
        <v>1270</v>
      </c>
      <c r="JA27" s="20" t="n">
        <f aca="false">IF(AND(H_Direct=1,CA27&gt;0),MAX(0,IZ27-(MIN(CA27*ALA26,IZ27+MM27)-MIN(MIN(CA27*ALA26,IZ27+MM27),MM27))),IZ27)</f>
        <v>1270</v>
      </c>
      <c r="JB27" s="20" t="n">
        <f aca="false">IF(AND(H_Direct=1,CB27&gt;0),MAX(0,JA27-(MIN(CB27*ALB26,JA27+MN27)-MIN(MIN(CB27*ALB26,JA27+MN27),MN27))),JA27)</f>
        <v>1270</v>
      </c>
      <c r="JC27" s="20" t="n">
        <f aca="false">IF(AND(H_Direct=1,CC27&gt;0),MAX(0,JB27-(MIN(CC27*ALC26,JB27+MO27)-MIN(MIN(CC27*ALC26,JB27+MO27),MO27))),JB27)</f>
        <v>1270</v>
      </c>
      <c r="JD27" s="20" t="n">
        <f aca="false">IF(AND(H_Direct=1,CD27&gt;0),MAX(0,JC27-(MIN(CD27*ALD26,JC27+MP27)-MIN(MIN(CD27*ALD26,JC27+MP27),MP27))),JC27)</f>
        <v>1270</v>
      </c>
      <c r="JE27" s="20" t="n">
        <f aca="false">IF(AND(H_Direct=1,CE27&gt;0),MAX(0,JD27-(MIN(CE27*ALE26,JD27+MQ27)-MIN(MIN(CE27*ALE26,JD27+MQ27),MQ27))),JD27)</f>
        <v>1270</v>
      </c>
      <c r="JF27" s="20" t="n">
        <f aca="false">IF(AND(H_Direct=1,CF27&gt;0),MAX(0,JE27-(MIN(CF27*ALF26,JE27+MR27)-MIN(MIN(CF27*ALF26,JE27+MR27),MR27))),JE27)</f>
        <v>1270</v>
      </c>
      <c r="JG27" s="20" t="n">
        <f aca="false">IF(AND(H_Direct=1,CG27&gt;0),MAX(0,JF27-(MIN(CG27*ALG26,JF27+MS27)-MIN(MIN(CG27*ALG26,JF27+MS27),MS27))),JF27)</f>
        <v>1270</v>
      </c>
      <c r="JH27" s="20" t="n">
        <f aca="false">IF(AND(H_Direct=1,CH27&gt;0),MAX(0,JG27-(MIN(CH27*ALH26,JG27+MT27)-MIN(MIN(CH27*ALH26,JG27+MT27),MT27))),JG27)</f>
        <v>1270</v>
      </c>
      <c r="JI27" s="20" t="n">
        <f aca="false">IF(AND(H_Direct=1,CI27&gt;0),MAX(0,JH27-(MIN(CI27*ALI26,JH27+MU27)-MIN(MIN(CI27*ALI26,JH27+MU27),MU27))),JH27)</f>
        <v>1270</v>
      </c>
      <c r="JJ27" s="20" t="n">
        <f aca="false">IF(AND(H_Direct=1,CJ27&gt;0),MAX(0,JI27-(MIN(CJ27*ALJ26,JI27+MV27)-MIN(MIN(CJ27*ALJ26,JI27+MV27),MV27))),JI27)</f>
        <v>1270</v>
      </c>
      <c r="JK27" s="20" t="n">
        <f aca="false">IF(AND(H_Direct=1,CK27&gt;0),MAX(0,JJ27-(MIN(CK27*ALK26,JJ27+MW27)-MIN(MIN(CK27*ALK26,JJ27+MW27),MW27))),JJ27)</f>
        <v>1270</v>
      </c>
      <c r="JL27" s="20" t="n">
        <f aca="false">IF(AND(H_Direct=1,CL27&gt;0),MAX(0,JK27-(MIN(CL27*(P27+S27),JK27+MX27)-MIN(MIN(CL27*(P27+S27),JK27+MX27),MX27))),JK27)</f>
        <v>1270</v>
      </c>
      <c r="JM27" s="20" t="n">
        <f aca="false">JL27</f>
        <v>1270</v>
      </c>
      <c r="JN27" s="20" t="n">
        <f aca="false">JM27</f>
        <v>1270</v>
      </c>
      <c r="JO27" s="20" t="n">
        <f aca="false">JN27</f>
        <v>1270</v>
      </c>
      <c r="JP27" s="20" t="n">
        <f aca="false">JO27</f>
        <v>1270</v>
      </c>
      <c r="JQ27" s="20" t="n">
        <f aca="false">JP27</f>
        <v>1270</v>
      </c>
      <c r="JR27" s="20" t="n">
        <f aca="false">JQ27</f>
        <v>1270</v>
      </c>
      <c r="JS27" s="20" t="n">
        <f aca="false">JR27</f>
        <v>1270</v>
      </c>
      <c r="JT27" s="20" t="n">
        <f aca="false">JS27</f>
        <v>1270</v>
      </c>
      <c r="JU27" s="20" t="n">
        <f aca="false">JT27</f>
        <v>1270</v>
      </c>
      <c r="JV27" s="20" t="n">
        <f aca="false">JU27</f>
        <v>1270</v>
      </c>
      <c r="JW27" s="20" t="n">
        <f aca="false">JV27</f>
        <v>1270</v>
      </c>
      <c r="JX27" s="20" t="n">
        <f aca="false">JW27</f>
        <v>1270</v>
      </c>
      <c r="JY27" s="20" t="n">
        <f aca="false">JX27</f>
        <v>1270</v>
      </c>
      <c r="JZ27" s="20" t="n">
        <f aca="false">JY27</f>
        <v>1270</v>
      </c>
      <c r="KA27" s="20" t="n">
        <f aca="false">JZ27</f>
        <v>1270</v>
      </c>
      <c r="KB27" s="20" t="n">
        <f aca="false">KA27</f>
        <v>1270</v>
      </c>
      <c r="KC27" s="20" t="n">
        <f aca="false">KB27</f>
        <v>1270</v>
      </c>
      <c r="KD27" s="20" t="n">
        <f aca="false">KC27</f>
        <v>1270</v>
      </c>
      <c r="KE27" s="20" t="n">
        <f aca="false">KD27</f>
        <v>1270</v>
      </c>
      <c r="KF27" s="20" t="n">
        <f aca="false">KE27</f>
        <v>1270</v>
      </c>
      <c r="KG27" s="20" t="n">
        <f aca="false">KF27</f>
        <v>1270</v>
      </c>
      <c r="KH27" s="20" t="n">
        <f aca="false">KG27</f>
        <v>1270</v>
      </c>
      <c r="KI27" s="20" t="n">
        <f aca="false">KH27</f>
        <v>1270</v>
      </c>
      <c r="KJ27" s="20" t="n">
        <f aca="false">KI27</f>
        <v>1270</v>
      </c>
      <c r="KK27" s="20" t="n">
        <f aca="false">KJ27</f>
        <v>1270</v>
      </c>
      <c r="KL27" s="20" t="n">
        <f aca="false">KK27</f>
        <v>1270</v>
      </c>
      <c r="KM27" s="20" t="n">
        <f aca="false">KL27</f>
        <v>1270</v>
      </c>
      <c r="KN27" s="20" t="n">
        <f aca="false">KM27</f>
        <v>1270</v>
      </c>
      <c r="KO27" s="20" t="n">
        <f aca="false">KN27</f>
        <v>1270</v>
      </c>
      <c r="KP27" s="20" t="n">
        <f aca="false">KO27</f>
        <v>1270</v>
      </c>
      <c r="KQ27" s="20" t="n">
        <f aca="false">KP27</f>
        <v>1270</v>
      </c>
      <c r="KR27" s="20" t="n">
        <f aca="false">KQ27</f>
        <v>1270</v>
      </c>
      <c r="KS27" s="20" t="n">
        <f aca="false">KR27</f>
        <v>1270</v>
      </c>
      <c r="KT27" s="20" t="n">
        <f aca="false">KS27</f>
        <v>1270</v>
      </c>
      <c r="KU27" s="20" t="n">
        <f aca="false">KT27</f>
        <v>1270</v>
      </c>
      <c r="KV27" s="20" t="n">
        <f aca="false">KU27</f>
        <v>1270</v>
      </c>
      <c r="KW27" s="20" t="n">
        <f aca="false">KV27</f>
        <v>1270</v>
      </c>
      <c r="KX27" s="20" t="n">
        <f aca="false">KW27</f>
        <v>1270</v>
      </c>
      <c r="KY27" s="20" t="n">
        <f aca="false">KX27</f>
        <v>1270</v>
      </c>
      <c r="KZ27" s="20" t="n">
        <f aca="false">KY27</f>
        <v>1270</v>
      </c>
      <c r="LA27" s="20" t="n">
        <f aca="false">KZ27</f>
        <v>1270</v>
      </c>
      <c r="LB27" s="20" t="n">
        <f aca="false">LA27</f>
        <v>1270</v>
      </c>
      <c r="LC27" s="20" t="n">
        <f aca="false">LB27</f>
        <v>1270</v>
      </c>
      <c r="LD27" s="20" t="n">
        <f aca="false">LC27</f>
        <v>1270</v>
      </c>
      <c r="LE27" s="20" t="n">
        <f aca="false">LD27</f>
        <v>1270</v>
      </c>
      <c r="LF27" s="20" t="n">
        <f aca="false">LE27</f>
        <v>1270</v>
      </c>
      <c r="LG27" s="20" t="n">
        <f aca="false">LF27</f>
        <v>1270</v>
      </c>
      <c r="LH27" s="20" t="n">
        <f aca="false">LG27</f>
        <v>1270</v>
      </c>
      <c r="LI27" s="20" t="n">
        <f aca="false">LH27</f>
        <v>1270</v>
      </c>
      <c r="LJ27" s="20" t="n">
        <f aca="false">LI27</f>
        <v>1270</v>
      </c>
      <c r="LK27" s="20" t="n">
        <f aca="false">LJ27</f>
        <v>1270</v>
      </c>
      <c r="LL27" s="20" t="n">
        <f aca="false">LK27</f>
        <v>1270</v>
      </c>
      <c r="LM27" s="20" t="n">
        <f aca="false">LL27</f>
        <v>1270</v>
      </c>
      <c r="LN27" s="20" t="n">
        <f aca="false">LM27</f>
        <v>1270</v>
      </c>
      <c r="LO27" s="20" t="n">
        <f aca="false">LN27</f>
        <v>1270</v>
      </c>
      <c r="LP27" s="20" t="n">
        <f aca="false">LO27</f>
        <v>1270</v>
      </c>
      <c r="LQ27" s="20" t="n">
        <f aca="false">LP27</f>
        <v>1270</v>
      </c>
      <c r="LR27" s="20" t="n">
        <f aca="false">LQ27</f>
        <v>1270</v>
      </c>
      <c r="LS27" s="20" t="n">
        <f aca="false">LR27</f>
        <v>1270</v>
      </c>
      <c r="LT27" s="20" t="n">
        <f aca="false">LS27</f>
        <v>1270</v>
      </c>
      <c r="LU27" s="20" t="n">
        <f aca="false">LT27</f>
        <v>1270</v>
      </c>
      <c r="LV27" s="20" t="n">
        <f aca="false">LU27</f>
        <v>1270</v>
      </c>
      <c r="LW27" s="20" t="n">
        <f aca="false">LV27</f>
        <v>1270</v>
      </c>
      <c r="LX27" s="20" t="n">
        <f aca="false">LW27</f>
        <v>1270</v>
      </c>
      <c r="LY27" s="20" t="n">
        <f aca="false">LX27</f>
        <v>1270</v>
      </c>
      <c r="LZ27" s="20" t="n">
        <f aca="false">LY27</f>
        <v>1270</v>
      </c>
      <c r="MA27" s="20" t="n">
        <f aca="false">LZ27</f>
        <v>1270</v>
      </c>
      <c r="MB27" s="20" t="n">
        <f aca="false">MA27</f>
        <v>1270</v>
      </c>
      <c r="MC27" s="20" t="n">
        <f aca="false">MB27</f>
        <v>1270</v>
      </c>
      <c r="MD27" s="20" t="n">
        <f aca="false">MC27</f>
        <v>1270</v>
      </c>
      <c r="ME27" s="20" t="n">
        <f aca="false">IF(H_Direct=1,IF(BR27&lt;=0,I27-BR27*AKR26,I27-MIN(MIN(BR27*AKR26,H27+I27),I27)),I27)</f>
        <v>0</v>
      </c>
      <c r="MF27" s="20" t="n">
        <f aca="false">IF(H_Direct=1,IF(BS27&lt;=0,ME27-BS27*AKS26,ME27-MIN(MIN(BS27*AKS26,IR27+ME27),ME27)),ME27)</f>
        <v>0</v>
      </c>
      <c r="MG27" s="20" t="n">
        <f aca="false">IF(H_Direct=1,IF(BT27&lt;=0,MF27-BT27*AKT26,MF27-MIN(MIN(BT27*AKT26,IS27+MF27),MF27)),MF27)</f>
        <v>0</v>
      </c>
      <c r="MH27" s="20" t="n">
        <f aca="false">IF(H_Direct=1,IF(BU27&lt;=0,MG27-BU27*AKU26,MG27-MIN(MIN(BU27*AKU26,IT27+MG27),MG27)),MG27)</f>
        <v>0</v>
      </c>
      <c r="MI27" s="20" t="n">
        <f aca="false">IF(H_Direct=1,IF(BV27&lt;=0,MH27-BV27*AKV26,MH27-MIN(MIN(BV27*AKV26,IU27+MH27),MH27)),MH27)</f>
        <v>0</v>
      </c>
      <c r="MJ27" s="20" t="n">
        <f aca="false">IF(H_Direct=1,IF(BW27&lt;=0,MI27-BW27*AKW26,MI27-MIN(MIN(BW27*AKW26,IV27+MI27),MI27)),MI27)</f>
        <v>0</v>
      </c>
      <c r="MK27" s="20" t="n">
        <f aca="false">IF(H_Direct=1,IF(BX27&lt;=0,MJ27-BX27*AKX26,MJ27-MIN(MIN(BX27*AKX26,IW27+MJ27),MJ27)),MJ27)</f>
        <v>0</v>
      </c>
      <c r="ML27" s="20" t="n">
        <f aca="false">IF(H_Direct=1,IF(BY27&lt;=0,MK27-BY27*AKY26,MK27-MIN(MIN(BY27*AKY26,IX27+MK27),MK27)),MK27)</f>
        <v>0</v>
      </c>
      <c r="MM27" s="20" t="n">
        <f aca="false">IF(H_Direct=1,IF(BZ27&lt;=0,ML27-BZ27*AKZ26,ML27-MIN(MIN(BZ27*AKZ26,IY27+ML27),ML27)),ML27)</f>
        <v>0</v>
      </c>
      <c r="MN27" s="20" t="n">
        <f aca="false">IF(H_Direct=1,IF(CA27&lt;=0,MM27-CA27*ALA26,MM27-MIN(MIN(CA27*ALA26,IZ27+MM27),MM27)),MM27)</f>
        <v>0</v>
      </c>
      <c r="MO27" s="20" t="n">
        <f aca="false">IF(H_Direct=1,IF(CB27&lt;=0,MN27-CB27*ALB26,MN27-MIN(MIN(CB27*ALB26,JA27+MN27),MN27)),MN27)</f>
        <v>0</v>
      </c>
      <c r="MP27" s="20" t="n">
        <f aca="false">IF(H_Direct=1,IF(CC27&lt;=0,MO27-CC27*ALC26,MO27-MIN(MIN(CC27*ALC26,JB27+MO27),MO27)),MO27)</f>
        <v>0</v>
      </c>
      <c r="MQ27" s="20" t="n">
        <f aca="false">IF(H_Direct=1,IF(CD27&lt;=0,MP27-CD27*ALD26,MP27-MIN(MIN(CD27*ALD26,JC27+MP27),MP27)),MP27)</f>
        <v>0</v>
      </c>
      <c r="MR27" s="20" t="n">
        <f aca="false">IF(H_Direct=1,IF(CE27&lt;=0,MQ27-CE27*ALE26,MQ27-MIN(MIN(CE27*ALE26,JD27+MQ27),MQ27)),MQ27)</f>
        <v>0</v>
      </c>
      <c r="MS27" s="20" t="n">
        <f aca="false">IF(H_Direct=1,IF(CF27&lt;=0,MR27-CF27*ALF26,MR27-MIN(MIN(CF27*ALF26,JE27+MR27),MR27)),MR27)</f>
        <v>0</v>
      </c>
      <c r="MT27" s="20" t="n">
        <f aca="false">IF(H_Direct=1,IF(CG27&lt;=0,MS27-CG27*ALG26,MS27-MIN(MIN(CG27*ALG26,JF27+MS27),MS27)),MS27)</f>
        <v>0</v>
      </c>
      <c r="MU27" s="20" t="n">
        <f aca="false">IF(H_Direct=1,IF(CH27&lt;=0,MT27-CH27*ALH26,MT27-MIN(MIN(CH27*ALH26,JG27+MT27),MT27)),MT27)</f>
        <v>0</v>
      </c>
      <c r="MV27" s="20" t="n">
        <f aca="false">IF(H_Direct=1,IF(CI27&lt;=0,MU27-CI27*ALI26,MU27-MIN(MIN(CI27*ALI26,JH27+MU27),MU27)),MU27)</f>
        <v>0</v>
      </c>
      <c r="MW27" s="20" t="n">
        <f aca="false">IF(H_Direct=1,IF(CJ27&lt;=0,MV27-CJ27*ALJ26,MV27-MIN(MIN(CJ27*ALJ26,JI27+MV27),MV27)),MV27)</f>
        <v>0</v>
      </c>
      <c r="MX27" s="20" t="n">
        <f aca="false">IF(H_Direct=1,IF(CK27&lt;=0,MW27-CK27*ALK26,MW27-MIN(MIN(CK27*ALK26,JJ27+MW27),MW27)),MW27)</f>
        <v>0</v>
      </c>
      <c r="MY27" s="20" t="n">
        <f aca="false">IF(H_Direct=1,IF(CL27&lt;=0,MX27-CL27*(P27+S27),MX27-MIN(MIN(CL27*(P27+S27),JK27+MX27),MX27)),MX27)</f>
        <v>0</v>
      </c>
      <c r="MZ27" s="20" t="n">
        <f aca="false">MY27</f>
        <v>0</v>
      </c>
      <c r="NA27" s="20" t="n">
        <f aca="false">MZ27</f>
        <v>0</v>
      </c>
      <c r="NB27" s="20" t="n">
        <f aca="false">NA27</f>
        <v>0</v>
      </c>
      <c r="NC27" s="20" t="n">
        <f aca="false">NB27</f>
        <v>0</v>
      </c>
      <c r="ND27" s="20" t="n">
        <f aca="false">NC27</f>
        <v>0</v>
      </c>
      <c r="NE27" s="20" t="n">
        <f aca="false">ND27</f>
        <v>0</v>
      </c>
      <c r="NF27" s="20" t="n">
        <f aca="false">NE27</f>
        <v>0</v>
      </c>
      <c r="NG27" s="20" t="n">
        <f aca="false">NF27</f>
        <v>0</v>
      </c>
      <c r="NH27" s="20" t="n">
        <f aca="false">NG27</f>
        <v>0</v>
      </c>
      <c r="NI27" s="20" t="n">
        <f aca="false">NH27</f>
        <v>0</v>
      </c>
      <c r="NJ27" s="20" t="n">
        <f aca="false">NI27</f>
        <v>0</v>
      </c>
      <c r="NK27" s="20" t="n">
        <f aca="false">NJ27</f>
        <v>0</v>
      </c>
      <c r="NL27" s="20" t="n">
        <f aca="false">NK27</f>
        <v>0</v>
      </c>
      <c r="NM27" s="20" t="n">
        <f aca="false">NL27</f>
        <v>0</v>
      </c>
      <c r="NN27" s="20" t="n">
        <f aca="false">NM27</f>
        <v>0</v>
      </c>
      <c r="NO27" s="20" t="n">
        <f aca="false">NN27</f>
        <v>0</v>
      </c>
      <c r="NP27" s="20" t="n">
        <f aca="false">NO27</f>
        <v>0</v>
      </c>
      <c r="NQ27" s="20" t="n">
        <f aca="false">NP27</f>
        <v>0</v>
      </c>
      <c r="NR27" s="20" t="n">
        <f aca="false">NQ27</f>
        <v>0</v>
      </c>
      <c r="NS27" s="20" t="n">
        <f aca="false">NR27</f>
        <v>0</v>
      </c>
      <c r="NT27" s="20" t="n">
        <f aca="false">NS27</f>
        <v>0</v>
      </c>
      <c r="NU27" s="20" t="n">
        <f aca="false">NT27</f>
        <v>0</v>
      </c>
      <c r="NV27" s="20" t="n">
        <f aca="false">NU27</f>
        <v>0</v>
      </c>
      <c r="NW27" s="20" t="n">
        <f aca="false">NV27</f>
        <v>0</v>
      </c>
      <c r="NX27" s="20" t="n">
        <f aca="false">NW27</f>
        <v>0</v>
      </c>
      <c r="NY27" s="20" t="n">
        <f aca="false">NX27</f>
        <v>0</v>
      </c>
      <c r="NZ27" s="20" t="n">
        <f aca="false">NY27</f>
        <v>0</v>
      </c>
      <c r="OA27" s="20" t="n">
        <f aca="false">NZ27</f>
        <v>0</v>
      </c>
      <c r="OB27" s="20" t="n">
        <f aca="false">OA27</f>
        <v>0</v>
      </c>
      <c r="OC27" s="20" t="n">
        <f aca="false">OB27</f>
        <v>0</v>
      </c>
      <c r="OD27" s="20" t="n">
        <f aca="false">OC27</f>
        <v>0</v>
      </c>
      <c r="OE27" s="20" t="n">
        <f aca="false">OD27</f>
        <v>0</v>
      </c>
      <c r="OF27" s="20" t="n">
        <f aca="false">OE27</f>
        <v>0</v>
      </c>
      <c r="OG27" s="20" t="n">
        <f aca="false">OF27</f>
        <v>0</v>
      </c>
      <c r="OH27" s="20" t="n">
        <f aca="false">OG27</f>
        <v>0</v>
      </c>
      <c r="OI27" s="20" t="n">
        <f aca="false">OH27</f>
        <v>0</v>
      </c>
      <c r="OJ27" s="20" t="n">
        <f aca="false">OI27</f>
        <v>0</v>
      </c>
      <c r="OK27" s="20" t="n">
        <f aca="false">OJ27</f>
        <v>0</v>
      </c>
      <c r="OL27" s="20" t="n">
        <f aca="false">OK27</f>
        <v>0</v>
      </c>
      <c r="OM27" s="20" t="n">
        <f aca="false">OL27</f>
        <v>0</v>
      </c>
      <c r="ON27" s="20" t="n">
        <f aca="false">OM27</f>
        <v>0</v>
      </c>
      <c r="OO27" s="20" t="n">
        <f aca="false">ON27</f>
        <v>0</v>
      </c>
      <c r="OP27" s="20" t="n">
        <f aca="false">OO27</f>
        <v>0</v>
      </c>
      <c r="OQ27" s="20" t="n">
        <f aca="false">OP27</f>
        <v>0</v>
      </c>
      <c r="OR27" s="20" t="n">
        <f aca="false">OQ27</f>
        <v>0</v>
      </c>
      <c r="OS27" s="20" t="n">
        <f aca="false">OR27</f>
        <v>0</v>
      </c>
      <c r="OT27" s="20" t="n">
        <f aca="false">OS27</f>
        <v>0</v>
      </c>
      <c r="OU27" s="20" t="n">
        <f aca="false">OT27</f>
        <v>0</v>
      </c>
      <c r="OV27" s="20" t="n">
        <f aca="false">OU27</f>
        <v>0</v>
      </c>
      <c r="OW27" s="20" t="n">
        <f aca="false">OV27</f>
        <v>0</v>
      </c>
      <c r="OX27" s="20" t="n">
        <f aca="false">OW27</f>
        <v>0</v>
      </c>
      <c r="OY27" s="20" t="n">
        <f aca="false">OX27</f>
        <v>0</v>
      </c>
      <c r="OZ27" s="20" t="n">
        <f aca="false">OY27</f>
        <v>0</v>
      </c>
      <c r="PA27" s="20" t="n">
        <f aca="false">OZ27</f>
        <v>0</v>
      </c>
      <c r="PB27" s="20" t="n">
        <f aca="false">PA27</f>
        <v>0</v>
      </c>
      <c r="PC27" s="20" t="n">
        <f aca="false">PB27</f>
        <v>0</v>
      </c>
      <c r="PD27" s="20" t="n">
        <f aca="false">PC27</f>
        <v>0</v>
      </c>
      <c r="PE27" s="20" t="n">
        <f aca="false">PD27</f>
        <v>0</v>
      </c>
      <c r="PF27" s="20" t="n">
        <f aca="false">PE27</f>
        <v>0</v>
      </c>
      <c r="PG27" s="20" t="n">
        <f aca="false">PF27</f>
        <v>0</v>
      </c>
      <c r="PH27" s="20" t="n">
        <f aca="false">PG27</f>
        <v>0</v>
      </c>
      <c r="PI27" s="20" t="n">
        <f aca="false">PH27</f>
        <v>0</v>
      </c>
      <c r="PJ27" s="20" t="n">
        <f aca="false">PI27</f>
        <v>0</v>
      </c>
      <c r="PK27" s="20" t="n">
        <f aca="false">PJ27</f>
        <v>0</v>
      </c>
      <c r="PL27" s="20" t="n">
        <f aca="false">PK27</f>
        <v>0</v>
      </c>
      <c r="PM27" s="20" t="n">
        <f aca="false">PL27</f>
        <v>0</v>
      </c>
      <c r="PN27" s="20" t="n">
        <f aca="false">PM27</f>
        <v>0</v>
      </c>
      <c r="PO27" s="20" t="n">
        <f aca="false">PN27</f>
        <v>0</v>
      </c>
      <c r="PP27" s="20" t="n">
        <f aca="false">PO27</f>
        <v>0</v>
      </c>
      <c r="PQ27" s="20" t="n">
        <f aca="false">PP27</f>
        <v>0</v>
      </c>
      <c r="PR27" s="20" t="n">
        <f aca="false">IF(H_Direct=1,IF(AKR26&lt;=0,0,IF(BR27&lt;=0,MIN(MAX(0,AB27),AKR26),MIN(MAX(0,AB27),AKR26-G27*MAX(0,BR27*AKR26-(H27+I27))))),MIN(FE27,MAX(0,AB27)))</f>
        <v>0</v>
      </c>
      <c r="PS27" s="20" t="n">
        <f aca="false">IF(H_Direct=1,IF(AKS26&lt;=0,0,IF(BS27&lt;=0,MIN(MAX(0,AB27-SUM(PR27:PR27)),AKS26),MIN(MAX(0,AB27-SUM(PR27:PR27)),AKS26-G27*MAX(0,BS27*AKS26-(WR27+AAE27))))),MIN(FF27,MAX(0,AB27-SUM(PR27:PR27))))</f>
        <v>0</v>
      </c>
      <c r="PT27" s="20" t="n">
        <f aca="false">IF(H_Direct=1,IF(AKT26&lt;=0,0,IF(BT27&lt;=0,MIN(MAX(0,AB27-SUM(PR27:PS27)),AKT26),MIN(MAX(0,AB27-SUM(PR27:PS27)),AKT26-G27*MAX(0,BT27*AKT26-(WS27+AAF27))))),MIN(FG27,MAX(0,AB27-SUM(PR27:PS27))))</f>
        <v>0</v>
      </c>
      <c r="PU27" s="20" t="n">
        <f aca="false">IF(H_Direct=1,IF(AKU26&lt;=0,0,IF(BU27&lt;=0,MIN(MAX(0,AB27-SUM(PR27:PT27)),AKU26),MIN(MAX(0,AB27-SUM(PR27:PT27)),AKU26-G27*MAX(0,BU27*AKU26-(WT27+AAG27))))),MIN(FH27,MAX(0,AB27-SUM(PR27:PT27))))</f>
        <v>0</v>
      </c>
      <c r="PV27" s="20" t="n">
        <f aca="false">IF(H_Direct=1,IF(AKV26&lt;=0,0,IF(BV27&lt;=0,MIN(MAX(0,AB27-SUM(PR27:PU27)),AKV26),MIN(MAX(0,AB27-SUM(PR27:PU27)),AKV26-G27*MAX(0,BV27*AKV26-(WU27+AAH27))))),MIN(FI27,MAX(0,AB27-SUM(PR27:PU27))))</f>
        <v>0</v>
      </c>
      <c r="PW27" s="20" t="n">
        <f aca="false">IF(H_Direct=1,IF(AKW26&lt;=0,0,IF(BW27&lt;=0,MIN(MAX(0,AB27-SUM(PR27:PV27)),AKW26),MIN(MAX(0,AB27-SUM(PR27:PV27)),AKW26-G27*MAX(0,BW27*AKW26-(WV27+AAI27))))),MIN(FJ27,MAX(0,AB27-SUM(PR27:PV27))))</f>
        <v>0</v>
      </c>
      <c r="PX27" s="20" t="n">
        <f aca="false">IF(H_Direct=1,IF(AKX26&lt;=0,0,IF(BX27&lt;=0,MIN(MAX(0,AB27-SUM(PR27:PW27)),AKX26),MIN(MAX(0,AB27-SUM(PR27:PW27)),AKX26-G27*MAX(0,BX27*AKX26-(WW27+AAJ27))))),MIN(FK27,MAX(0,AB27-SUM(PR27:PW27))))</f>
        <v>0</v>
      </c>
      <c r="PY27" s="20" t="n">
        <f aca="false">IF(H_Direct=1,IF(AKY26&lt;=0,0,IF(BY27&lt;=0,MIN(MAX(0,AB27-SUM(PR27:PX27)),AKY26),MIN(MAX(0,AB27-SUM(PR27:PX27)),AKY26-G27*MAX(0,BY27*AKY26-(WX27+AAK27))))),MIN(FL27,MAX(0,AB27-SUM(PR27:PX27))))</f>
        <v>0</v>
      </c>
      <c r="PZ27" s="20" t="n">
        <f aca="false">IF(H_Direct=1,IF(AKZ26&lt;=0,0,IF(BZ27&lt;=0,MIN(MAX(0,AB27-SUM(PR27:PY27)),AKZ26),MIN(MAX(0,AB27-SUM(PR27:PY27)),AKZ26-G27*MAX(0,BZ27*AKZ26-(WY27+AAL27))))),MIN(FM27,MAX(0,AB27-SUM(PR27:PY27))))</f>
        <v>0</v>
      </c>
      <c r="QA27" s="20" t="n">
        <f aca="false">IF(H_Direct=1,IF(ALA26&lt;=0,0,IF(CA27&lt;=0,MIN(MAX(0,AB27-SUM(PR27:PZ27)),ALA26),MIN(MAX(0,AB27-SUM(PR27:PZ27)),ALA26-G27*MAX(0,CA27*ALA26-(WZ27+AAM27))))),MIN(FN27,MAX(0,AB27-SUM(PR27:PZ27))))</f>
        <v>0</v>
      </c>
      <c r="QB27" s="20" t="n">
        <f aca="false">IF(H_Direct=1,IF(ALB26&lt;=0,0,IF(CB27&lt;=0,MIN(MAX(0,AB27-SUM(PR27:QA27)),ALB26),MIN(MAX(0,AB27-SUM(PR27:QA27)),ALB26-G27*MAX(0,CB27*ALB26-(XA27+AAN27))))),MIN(FO27,MAX(0,AB27-SUM(PR27:QA27))))</f>
        <v>0</v>
      </c>
      <c r="QC27" s="20" t="n">
        <f aca="false">IF(H_Direct=1,IF(ALC26&lt;=0,0,IF(CC27&lt;=0,MIN(MAX(0,AB27-SUM(PR27:QB27)),ALC26),MIN(MAX(0,AB27-SUM(PR27:QB27)),ALC26-G27*MAX(0,CC27*ALC26-(XB27+AAO27))))),MIN(FP27,MAX(0,AB27-SUM(PR27:QB27))))</f>
        <v>0</v>
      </c>
      <c r="QD27" s="20" t="n">
        <f aca="false">IF(H_Direct=1,IF(ALD26&lt;=0,0,IF(CD27&lt;=0,MIN(MAX(0,AB27-SUM(PR27:QC27)),ALD26),MIN(MAX(0,AB27-SUM(PR27:QC27)),ALD26-G27*MAX(0,CD27*ALD26-(XC27+AAP27))))),MIN(FQ27,MAX(0,AB27-SUM(PR27:QC27))))</f>
        <v>0</v>
      </c>
      <c r="QE27" s="20" t="n">
        <f aca="false">IF(H_Direct=1,IF(ALE26&lt;=0,0,IF(CE27&lt;=0,MIN(MAX(0,AB27-SUM(PR27:QD27)),ALE26),MIN(MAX(0,AB27-SUM(PR27:QD27)),ALE26-G27*MAX(0,CE27*ALE26-(XD27+AAQ27))))),MIN(FR27,MAX(0,AB27-SUM(PR27:QD27))))</f>
        <v>0</v>
      </c>
      <c r="QF27" s="20" t="n">
        <f aca="false">IF(H_Direct=1,IF(ALF26&lt;=0,0,IF(CF27&lt;=0,MIN(MAX(0,AB27-SUM(PR27:QE27)),ALF26),MIN(MAX(0,AB27-SUM(PR27:QE27)),ALF26-G27*MAX(0,CF27*ALF26-(XE27+AAR27))))),MIN(FS27,MAX(0,AB27-SUM(PR27:QE27))))</f>
        <v>0</v>
      </c>
      <c r="QG27" s="20" t="n">
        <f aca="false">IF(H_Direct=1,IF(ALG26&lt;=0,0,IF(CG27&lt;=0,MIN(MAX(0,AB27-SUM(PR27:QF27)),ALG26),MIN(MAX(0,AB27-SUM(PR27:QF27)),ALG26-G27*MAX(0,CG27*ALG26-(XF27+AAS27))))),MIN(FT27,MAX(0,AB27-SUM(PR27:QF27))))</f>
        <v>0</v>
      </c>
      <c r="QH27" s="20" t="n">
        <f aca="false">IF(H_Direct=1,IF(ALH26&lt;=0,0,IF(CH27&lt;=0,MIN(MAX(0,AB27-SUM(PR27:QG27)),ALH26),MIN(MAX(0,AB27-SUM(PR27:QG27)),ALH26-G27*MAX(0,CH27*ALH26-(XG27+AAT27))))),MIN(FU27,MAX(0,AB27-SUM(PR27:QG27))))</f>
        <v>0</v>
      </c>
      <c r="QI27" s="20" t="n">
        <f aca="false">IF(H_Direct=1,IF(ALI26&lt;=0,0,IF(CI27&lt;=0,MIN(MAX(0,AB27-SUM(PR27:QH27)),ALI26),MIN(MAX(0,AB27-SUM(PR27:QH27)),ALI26-G27*MAX(0,CI27*ALI26-(XH27+AAU27))))),MIN(FV27,MAX(0,AB27-SUM(PR27:QH27))))</f>
        <v>0</v>
      </c>
      <c r="QJ27" s="20" t="n">
        <f aca="false">IF(H_Direct=1,IF(ALJ26&lt;=0,0,IF(CJ27&lt;=0,MIN(MAX(0,AB27-SUM(PR27:QI27)),ALJ26),MIN(MAX(0,AB27-SUM(PR27:QI27)),ALJ26-G27*MAX(0,CJ27*ALJ26-(XI27+AAV27))))),MIN(FW27,MAX(0,AB27-SUM(PR27:QI27))))</f>
        <v>0</v>
      </c>
      <c r="QK27" s="20" t="n">
        <f aca="false">IF(H_Direct=1,IF(ALK26&lt;=0,0,IF(CK27&lt;=0,MIN(MAX(0,AB27-SUM(PR27:QJ27)),ALK26),MIN(MAX(0,AB27-SUM(PR27:QJ27)),ALK26-G27*MAX(0,CK27*ALK26-(XJ27+AAW27))))),MIN(FX27,MAX(0,AB27-SUM(PR27:QJ27))))</f>
        <v>0</v>
      </c>
      <c r="QL27" s="20" t="n">
        <f aca="false">IF(H_Direct=1,IF((P27+S27)&lt;=0,0,IF(CL27&lt;=0,MIN(MAX(0,AB27-SUM(PR27:QK27)),(P27+S27)),MIN(MAX(0,AB27-SUM(PR27:QK27)),(P27+S27)-G27*MAX(0,CL27*(P27+S27)-(XK27+AAX27))))),MIN(FY27,MAX(0,AB27-SUM(PR27:QK27))))</f>
        <v>0</v>
      </c>
      <c r="QM27" s="20" t="n">
        <v>0</v>
      </c>
      <c r="QN27" s="20" t="n">
        <v>0</v>
      </c>
      <c r="QO27" s="20" t="n">
        <v>0</v>
      </c>
      <c r="QP27" s="20" t="n">
        <v>0</v>
      </c>
      <c r="QQ27" s="20" t="n">
        <v>0</v>
      </c>
      <c r="QR27" s="20" t="n">
        <v>0</v>
      </c>
      <c r="QS27" s="20" t="n">
        <v>0</v>
      </c>
      <c r="QT27" s="20" t="n">
        <v>0</v>
      </c>
      <c r="QU27" s="20" t="n">
        <v>0</v>
      </c>
      <c r="QV27" s="20" t="n">
        <v>0</v>
      </c>
      <c r="QW27" s="20" t="n">
        <v>0</v>
      </c>
      <c r="QX27" s="20" t="n">
        <v>0</v>
      </c>
      <c r="QY27" s="20" t="n">
        <v>0</v>
      </c>
      <c r="QZ27" s="20" t="n">
        <v>0</v>
      </c>
      <c r="RA27" s="20" t="n">
        <v>0</v>
      </c>
      <c r="RB27" s="20" t="n">
        <v>0</v>
      </c>
      <c r="RC27" s="20" t="n">
        <v>0</v>
      </c>
      <c r="RD27" s="20" t="n">
        <v>0</v>
      </c>
      <c r="RE27" s="20" t="n">
        <v>0</v>
      </c>
      <c r="RF27" s="20" t="n">
        <v>0</v>
      </c>
      <c r="RG27" s="20" t="n">
        <v>0</v>
      </c>
      <c r="RH27" s="20" t="n">
        <v>0</v>
      </c>
      <c r="RI27" s="20" t="n">
        <v>0</v>
      </c>
      <c r="RJ27" s="20" t="n">
        <v>0</v>
      </c>
      <c r="RK27" s="20" t="n">
        <v>0</v>
      </c>
      <c r="RL27" s="20" t="n">
        <v>0</v>
      </c>
      <c r="RM27" s="20" t="n">
        <v>0</v>
      </c>
      <c r="RN27" s="20" t="n">
        <v>0</v>
      </c>
      <c r="RO27" s="20" t="n">
        <v>0</v>
      </c>
      <c r="RP27" s="20" t="n">
        <v>0</v>
      </c>
      <c r="RQ27" s="20" t="n">
        <v>0</v>
      </c>
      <c r="RR27" s="20" t="n">
        <v>0</v>
      </c>
      <c r="RS27" s="20" t="n">
        <v>0</v>
      </c>
      <c r="RT27" s="20" t="n">
        <v>0</v>
      </c>
      <c r="RU27" s="20" t="n">
        <v>0</v>
      </c>
      <c r="RV27" s="20" t="n">
        <v>0</v>
      </c>
      <c r="RW27" s="20" t="n">
        <v>0</v>
      </c>
      <c r="RX27" s="20" t="n">
        <v>0</v>
      </c>
      <c r="RY27" s="20" t="n">
        <v>0</v>
      </c>
      <c r="RZ27" s="20" t="n">
        <v>0</v>
      </c>
      <c r="SA27" s="20" t="n">
        <v>0</v>
      </c>
      <c r="SB27" s="20" t="n">
        <v>0</v>
      </c>
      <c r="SC27" s="20" t="n">
        <v>0</v>
      </c>
      <c r="SD27" s="20" t="n">
        <v>0</v>
      </c>
      <c r="SE27" s="20" t="n">
        <v>0</v>
      </c>
      <c r="SF27" s="20" t="n">
        <v>0</v>
      </c>
      <c r="SG27" s="20" t="n">
        <v>0</v>
      </c>
      <c r="SH27" s="20" t="n">
        <v>0</v>
      </c>
      <c r="SI27" s="20" t="n">
        <v>0</v>
      </c>
      <c r="SJ27" s="20" t="n">
        <v>0</v>
      </c>
      <c r="SK27" s="20" t="n">
        <v>0</v>
      </c>
      <c r="SL27" s="20" t="n">
        <v>0</v>
      </c>
      <c r="SM27" s="20" t="n">
        <v>0</v>
      </c>
      <c r="SN27" s="20" t="n">
        <v>0</v>
      </c>
      <c r="SO27" s="20" t="n">
        <v>0</v>
      </c>
      <c r="SP27" s="20" t="n">
        <v>0</v>
      </c>
      <c r="SQ27" s="20" t="n">
        <v>0</v>
      </c>
      <c r="SR27" s="20" t="n">
        <v>0</v>
      </c>
      <c r="SS27" s="20" t="n">
        <v>0</v>
      </c>
      <c r="ST27" s="20" t="n">
        <v>0</v>
      </c>
      <c r="SU27" s="20" t="n">
        <v>0</v>
      </c>
      <c r="SV27" s="20" t="n">
        <v>0</v>
      </c>
      <c r="SW27" s="20" t="n">
        <v>0</v>
      </c>
      <c r="SX27" s="20" t="n">
        <v>0</v>
      </c>
      <c r="SY27" s="20" t="n">
        <v>0</v>
      </c>
      <c r="SZ27" s="20" t="n">
        <v>0</v>
      </c>
      <c r="TA27" s="20" t="n">
        <v>0</v>
      </c>
      <c r="TB27" s="20" t="n">
        <v>0</v>
      </c>
      <c r="TC27" s="20" t="n">
        <v>0</v>
      </c>
      <c r="TD27" s="20" t="n">
        <v>0</v>
      </c>
      <c r="TE27" s="20" t="n">
        <f aca="false">IF(AKR26&lt;=0,0,IF(H_Direct=1,IF(BR27&lt;=0,PR27,IF(PR27&lt;=(H27+I27)/BR27,PR27,(PR27-G27*(H27+I27))/(1-G27*BR27))),PR27/(1-MAX(0,BR27)*H_Exit)))</f>
        <v>0</v>
      </c>
      <c r="TF27" s="20" t="n">
        <f aca="false">IF(AKS26&lt;=0,0,IF(H_Direct=1,IF(BS27&lt;=0,PS27,IF(PS27&lt;=(WR27+AAE27)/BS27,PS27,(PS27-G27*(WR27+AAE27))/(1-G27*BS27))),PS27/(1-MAX(0,BS27)*H_Exit)))</f>
        <v>0</v>
      </c>
      <c r="TG27" s="20" t="n">
        <f aca="false">IF(AKT26&lt;=0,0,IF(H_Direct=1,IF(BT27&lt;=0,PT27,IF(PT27&lt;=(WS27+AAF27)/BT27,PT27,(PT27-G27*(WS27+AAF27))/(1-G27*BT27))),PT27/(1-MAX(0,BT27)*H_Exit)))</f>
        <v>0</v>
      </c>
      <c r="TH27" s="20" t="n">
        <f aca="false">IF(AKU26&lt;=0,0,IF(H_Direct=1,IF(BU27&lt;=0,PU27,IF(PU27&lt;=(WT27+AAG27)/BU27,PU27,(PU27-G27*(WT27+AAG27))/(1-G27*BU27))),PU27/(1-MAX(0,BU27)*H_Exit)))</f>
        <v>0</v>
      </c>
      <c r="TI27" s="20" t="n">
        <f aca="false">IF(AKV26&lt;=0,0,IF(H_Direct=1,IF(BV27&lt;=0,PV27,IF(PV27&lt;=(WU27+AAH27)/BV27,PV27,(PV27-G27*(WU27+AAH27))/(1-G27*BV27))),PV27/(1-MAX(0,BV27)*H_Exit)))</f>
        <v>0</v>
      </c>
      <c r="TJ27" s="20" t="n">
        <f aca="false">IF(AKW26&lt;=0,0,IF(H_Direct=1,IF(BW27&lt;=0,PW27,IF(PW27&lt;=(WV27+AAI27)/BW27,PW27,(PW27-G27*(WV27+AAI27))/(1-G27*BW27))),PW27/(1-MAX(0,BW27)*H_Exit)))</f>
        <v>0</v>
      </c>
      <c r="TK27" s="20" t="n">
        <f aca="false">IF(AKX26&lt;=0,0,IF(H_Direct=1,IF(BX27&lt;=0,PX27,IF(PX27&lt;=(WW27+AAJ27)/BX27,PX27,(PX27-G27*(WW27+AAJ27))/(1-G27*BX27))),PX27/(1-MAX(0,BX27)*H_Exit)))</f>
        <v>0</v>
      </c>
      <c r="TL27" s="20" t="n">
        <f aca="false">IF(AKY26&lt;=0,0,IF(H_Direct=1,IF(BY27&lt;=0,PY27,IF(PY27&lt;=(WX27+AAK27)/BY27,PY27,(PY27-G27*(WX27+AAK27))/(1-G27*BY27))),PY27/(1-MAX(0,BY27)*H_Exit)))</f>
        <v>0</v>
      </c>
      <c r="TM27" s="20" t="n">
        <f aca="false">IF(AKZ26&lt;=0,0,IF(H_Direct=1,IF(BZ27&lt;=0,PZ27,IF(PZ27&lt;=(WY27+AAL27)/BZ27,PZ27,(PZ27-G27*(WY27+AAL27))/(1-G27*BZ27))),PZ27/(1-MAX(0,BZ27)*H_Exit)))</f>
        <v>0</v>
      </c>
      <c r="TN27" s="20" t="n">
        <f aca="false">IF(ALA26&lt;=0,0,IF(H_Direct=1,IF(CA27&lt;=0,QA27,IF(QA27&lt;=(WZ27+AAM27)/CA27,QA27,(QA27-G27*(WZ27+AAM27))/(1-G27*CA27))),QA27/(1-MAX(0,CA27)*H_Exit)))</f>
        <v>0</v>
      </c>
      <c r="TO27" s="20" t="n">
        <f aca="false">IF(ALB26&lt;=0,0,IF(H_Direct=1,IF(CB27&lt;=0,QB27,IF(QB27&lt;=(XA27+AAN27)/CB27,QB27,(QB27-G27*(XA27+AAN27))/(1-G27*CB27))),QB27/(1-MAX(0,CB27)*H_Exit)))</f>
        <v>0</v>
      </c>
      <c r="TP27" s="20" t="n">
        <f aca="false">IF(ALC26&lt;=0,0,IF(H_Direct=1,IF(CC27&lt;=0,QC27,IF(QC27&lt;=(XB27+AAO27)/CC27,QC27,(QC27-G27*(XB27+AAO27))/(1-G27*CC27))),QC27/(1-MAX(0,CC27)*H_Exit)))</f>
        <v>0</v>
      </c>
      <c r="TQ27" s="20" t="n">
        <f aca="false">IF(ALD26&lt;=0,0,IF(H_Direct=1,IF(CD27&lt;=0,QD27,IF(QD27&lt;=(XC27+AAP27)/CD27,QD27,(QD27-G27*(XC27+AAP27))/(1-G27*CD27))),QD27/(1-MAX(0,CD27)*H_Exit)))</f>
        <v>0</v>
      </c>
      <c r="TR27" s="20" t="n">
        <f aca="false">IF(ALE26&lt;=0,0,IF(H_Direct=1,IF(CE27&lt;=0,QE27,IF(QE27&lt;=(XD27+AAQ27)/CE27,QE27,(QE27-G27*(XD27+AAQ27))/(1-G27*CE27))),QE27/(1-MAX(0,CE27)*H_Exit)))</f>
        <v>0</v>
      </c>
      <c r="TS27" s="20" t="n">
        <f aca="false">IF(ALF26&lt;=0,0,IF(H_Direct=1,IF(CF27&lt;=0,QF27,IF(QF27&lt;=(XE27+AAR27)/CF27,QF27,(QF27-G27*(XE27+AAR27))/(1-G27*CF27))),QF27/(1-MAX(0,CF27)*H_Exit)))</f>
        <v>0</v>
      </c>
      <c r="TT27" s="20" t="n">
        <f aca="false">IF(ALG26&lt;=0,0,IF(H_Direct=1,IF(CG27&lt;=0,QG27,IF(QG27&lt;=(XF27+AAS27)/CG27,QG27,(QG27-G27*(XF27+AAS27))/(1-G27*CG27))),QG27/(1-MAX(0,CG27)*H_Exit)))</f>
        <v>0</v>
      </c>
      <c r="TU27" s="20" t="n">
        <f aca="false">IF(ALH26&lt;=0,0,IF(H_Direct=1,IF(CH27&lt;=0,QH27,IF(QH27&lt;=(XG27+AAT27)/CH27,QH27,(QH27-G27*(XG27+AAT27))/(1-G27*CH27))),QH27/(1-MAX(0,CH27)*H_Exit)))</f>
        <v>0</v>
      </c>
      <c r="TV27" s="20" t="n">
        <f aca="false">IF(ALI26&lt;=0,0,IF(H_Direct=1,IF(CI27&lt;=0,QI27,IF(QI27&lt;=(XH27+AAU27)/CI27,QI27,(QI27-G27*(XH27+AAU27))/(1-G27*CI27))),QI27/(1-MAX(0,CI27)*H_Exit)))</f>
        <v>0</v>
      </c>
      <c r="TW27" s="20" t="n">
        <f aca="false">IF(ALJ26&lt;=0,0,IF(H_Direct=1,IF(CJ27&lt;=0,QJ27,IF(QJ27&lt;=(XI27+AAV27)/CJ27,QJ27,(QJ27-G27*(XI27+AAV27))/(1-G27*CJ27))),QJ27/(1-MAX(0,CJ27)*H_Exit)))</f>
        <v>0</v>
      </c>
      <c r="TX27" s="20" t="n">
        <f aca="false">IF(ALK26&lt;=0,0,IF(H_Direct=1,IF(CK27&lt;=0,QK27,IF(QK27&lt;=(XJ27+AAW27)/CK27,QK27,(QK27-G27*(XJ27+AAW27))/(1-G27*CK27))),QK27/(1-MAX(0,CK27)*H_Exit)))</f>
        <v>0</v>
      </c>
      <c r="TY27" s="20" t="n">
        <f aca="false">IF((P27+S27)&lt;=0,0,IF(H_Direct=1,IF(CL27&lt;=0,QL27,IF(QL27&lt;=(XK27+AAX27)/CL27,QL27,(QL27-G27*(XK27+AAX27))/(1-G27*CL27))),QL27/(1-MAX(0,CL27)*H_Exit)))</f>
        <v>0</v>
      </c>
      <c r="TZ27" s="20" t="n">
        <v>0</v>
      </c>
      <c r="UA27" s="20" t="n">
        <v>0</v>
      </c>
      <c r="UB27" s="20" t="n">
        <v>0</v>
      </c>
      <c r="UC27" s="20" t="n">
        <v>0</v>
      </c>
      <c r="UD27" s="20" t="n">
        <v>0</v>
      </c>
      <c r="UE27" s="20" t="n">
        <v>0</v>
      </c>
      <c r="UF27" s="20" t="n">
        <v>0</v>
      </c>
      <c r="UG27" s="20" t="n">
        <v>0</v>
      </c>
      <c r="UH27" s="20" t="n">
        <v>0</v>
      </c>
      <c r="UI27" s="20" t="n">
        <v>0</v>
      </c>
      <c r="UJ27" s="20" t="n">
        <v>0</v>
      </c>
      <c r="UK27" s="20" t="n">
        <v>0</v>
      </c>
      <c r="UL27" s="20" t="n">
        <v>0</v>
      </c>
      <c r="UM27" s="20" t="n">
        <v>0</v>
      </c>
      <c r="UN27" s="20" t="n">
        <v>0</v>
      </c>
      <c r="UO27" s="20" t="n">
        <v>0</v>
      </c>
      <c r="UP27" s="20" t="n">
        <v>0</v>
      </c>
      <c r="UQ27" s="20" t="n">
        <v>0</v>
      </c>
      <c r="UR27" s="20" t="n">
        <v>0</v>
      </c>
      <c r="US27" s="20" t="n">
        <v>0</v>
      </c>
      <c r="UT27" s="20" t="n">
        <v>0</v>
      </c>
      <c r="UU27" s="20" t="n">
        <v>0</v>
      </c>
      <c r="UV27" s="20" t="n">
        <v>0</v>
      </c>
      <c r="UW27" s="20" t="n">
        <v>0</v>
      </c>
      <c r="UX27" s="20" t="n">
        <v>0</v>
      </c>
      <c r="UY27" s="20" t="n">
        <v>0</v>
      </c>
      <c r="UZ27" s="20" t="n">
        <v>0</v>
      </c>
      <c r="VA27" s="20" t="n">
        <v>0</v>
      </c>
      <c r="VB27" s="20" t="n">
        <v>0</v>
      </c>
      <c r="VC27" s="20" t="n">
        <v>0</v>
      </c>
      <c r="VD27" s="20" t="n">
        <v>0</v>
      </c>
      <c r="VE27" s="20" t="n">
        <v>0</v>
      </c>
      <c r="VF27" s="20" t="n">
        <v>0</v>
      </c>
      <c r="VG27" s="20" t="n">
        <v>0</v>
      </c>
      <c r="VH27" s="20" t="n">
        <v>0</v>
      </c>
      <c r="VI27" s="20" t="n">
        <v>0</v>
      </c>
      <c r="VJ27" s="20" t="n">
        <v>0</v>
      </c>
      <c r="VK27" s="20" t="n">
        <v>0</v>
      </c>
      <c r="VL27" s="20" t="n">
        <v>0</v>
      </c>
      <c r="VM27" s="20" t="n">
        <v>0</v>
      </c>
      <c r="VN27" s="20" t="n">
        <v>0</v>
      </c>
      <c r="VO27" s="20" t="n">
        <v>0</v>
      </c>
      <c r="VP27" s="20" t="n">
        <v>0</v>
      </c>
      <c r="VQ27" s="20" t="n">
        <v>0</v>
      </c>
      <c r="VR27" s="20" t="n">
        <v>0</v>
      </c>
      <c r="VS27" s="20" t="n">
        <v>0</v>
      </c>
      <c r="VT27" s="20" t="n">
        <v>0</v>
      </c>
      <c r="VU27" s="20" t="n">
        <v>0</v>
      </c>
      <c r="VV27" s="20" t="n">
        <v>0</v>
      </c>
      <c r="VW27" s="20" t="n">
        <v>0</v>
      </c>
      <c r="VX27" s="20" t="n">
        <v>0</v>
      </c>
      <c r="VY27" s="20" t="n">
        <v>0</v>
      </c>
      <c r="VZ27" s="20" t="n">
        <v>0</v>
      </c>
      <c r="WA27" s="20" t="n">
        <v>0</v>
      </c>
      <c r="WB27" s="20" t="n">
        <v>0</v>
      </c>
      <c r="WC27" s="20" t="n">
        <v>0</v>
      </c>
      <c r="WD27" s="20" t="n">
        <v>0</v>
      </c>
      <c r="WE27" s="20" t="n">
        <v>0</v>
      </c>
      <c r="WF27" s="20" t="n">
        <v>0</v>
      </c>
      <c r="WG27" s="20" t="n">
        <v>0</v>
      </c>
      <c r="WH27" s="20" t="n">
        <v>0</v>
      </c>
      <c r="WI27" s="20" t="n">
        <v>0</v>
      </c>
      <c r="WJ27" s="20" t="n">
        <v>0</v>
      </c>
      <c r="WK27" s="20" t="n">
        <v>0</v>
      </c>
      <c r="WL27" s="20" t="n">
        <v>0</v>
      </c>
      <c r="WM27" s="20" t="n">
        <v>0</v>
      </c>
      <c r="WN27" s="20" t="n">
        <v>0</v>
      </c>
      <c r="WO27" s="20" t="n">
        <v>0</v>
      </c>
      <c r="WP27" s="20" t="n">
        <v>0</v>
      </c>
      <c r="WQ27" s="20" t="n">
        <v>0</v>
      </c>
      <c r="WR27" s="20" t="n">
        <f aca="false">IF(AND(H_Direct=1,BR27&gt;0),MAX(0,H27-(MIN(BR27*TE27,(H27+I27))-MIN(MIN(BR27*TE27,(H27+I27)),I27))),H27)</f>
        <v>1270</v>
      </c>
      <c r="WS27" s="20" t="n">
        <f aca="false">IF(AND(H_Direct=1,BS27&gt;0),MAX(0,WR27-(MIN(BS27*TF27,(WR27+AAE27))-MIN(MIN(BS27*TF27,(WR27+AAE27)),AAE27))),WR27)</f>
        <v>1270</v>
      </c>
      <c r="WT27" s="20" t="n">
        <f aca="false">IF(AND(H_Direct=1,BT27&gt;0),MAX(0,WS27-(MIN(BT27*TG27,(WS27+AAF27))-MIN(MIN(BT27*TG27,(WS27+AAF27)),AAF27))),WS27)</f>
        <v>1270</v>
      </c>
      <c r="WU27" s="20" t="n">
        <f aca="false">IF(AND(H_Direct=1,BU27&gt;0),MAX(0,WT27-(MIN(BU27*TH27,(WT27+AAG27))-MIN(MIN(BU27*TH27,(WT27+AAG27)),AAG27))),WT27)</f>
        <v>1270</v>
      </c>
      <c r="WV27" s="20" t="n">
        <f aca="false">IF(AND(H_Direct=1,BV27&gt;0),MAX(0,WU27-(MIN(BV27*TI27,(WU27+AAH27))-MIN(MIN(BV27*TI27,(WU27+AAH27)),AAH27))),WU27)</f>
        <v>1270</v>
      </c>
      <c r="WW27" s="20" t="n">
        <f aca="false">IF(AND(H_Direct=1,BW27&gt;0),MAX(0,WV27-(MIN(BW27*TJ27,(WV27+AAI27))-MIN(MIN(BW27*TJ27,(WV27+AAI27)),AAI27))),WV27)</f>
        <v>1270</v>
      </c>
      <c r="WX27" s="20" t="n">
        <f aca="false">IF(AND(H_Direct=1,BX27&gt;0),MAX(0,WW27-(MIN(BX27*TK27,(WW27+AAJ27))-MIN(MIN(BX27*TK27,(WW27+AAJ27)),AAJ27))),WW27)</f>
        <v>1270</v>
      </c>
      <c r="WY27" s="20" t="n">
        <f aca="false">IF(AND(H_Direct=1,BY27&gt;0),MAX(0,WX27-(MIN(BY27*TL27,(WX27+AAK27))-MIN(MIN(BY27*TL27,(WX27+AAK27)),AAK27))),WX27)</f>
        <v>1270</v>
      </c>
      <c r="WZ27" s="20" t="n">
        <f aca="false">IF(AND(H_Direct=1,BZ27&gt;0),MAX(0,WY27-(MIN(BZ27*TM27,(WY27+AAL27))-MIN(MIN(BZ27*TM27,(WY27+AAL27)),AAL27))),WY27)</f>
        <v>1270</v>
      </c>
      <c r="XA27" s="20" t="n">
        <f aca="false">IF(AND(H_Direct=1,CA27&gt;0),MAX(0,WZ27-(MIN(CA27*TN27,(WZ27+AAM27))-MIN(MIN(CA27*TN27,(WZ27+AAM27)),AAM27))),WZ27)</f>
        <v>1270</v>
      </c>
      <c r="XB27" s="20" t="n">
        <f aca="false">IF(AND(H_Direct=1,CB27&gt;0),MAX(0,XA27-(MIN(CB27*TO27,(XA27+AAN27))-MIN(MIN(CB27*TO27,(XA27+AAN27)),AAN27))),XA27)</f>
        <v>1270</v>
      </c>
      <c r="XC27" s="20" t="n">
        <f aca="false">IF(AND(H_Direct=1,CC27&gt;0),MAX(0,XB27-(MIN(CC27*TP27,(XB27+AAO27))-MIN(MIN(CC27*TP27,(XB27+AAO27)),AAO27))),XB27)</f>
        <v>1270</v>
      </c>
      <c r="XD27" s="20" t="n">
        <f aca="false">IF(AND(H_Direct=1,CD27&gt;0),MAX(0,XC27-(MIN(CD27*TQ27,(XC27+AAP27))-MIN(MIN(CD27*TQ27,(XC27+AAP27)),AAP27))),XC27)</f>
        <v>1270</v>
      </c>
      <c r="XE27" s="20" t="n">
        <f aca="false">IF(AND(H_Direct=1,CE27&gt;0),MAX(0,XD27-(MIN(CE27*TR27,(XD27+AAQ27))-MIN(MIN(CE27*TR27,(XD27+AAQ27)),AAQ27))),XD27)</f>
        <v>1270</v>
      </c>
      <c r="XF27" s="20" t="n">
        <f aca="false">IF(AND(H_Direct=1,CF27&gt;0),MAX(0,XE27-(MIN(CF27*TS27,(XE27+AAR27))-MIN(MIN(CF27*TS27,(XE27+AAR27)),AAR27))),XE27)</f>
        <v>1270</v>
      </c>
      <c r="XG27" s="20" t="n">
        <f aca="false">IF(AND(H_Direct=1,CG27&gt;0),MAX(0,XF27-(MIN(CG27*TT27,(XF27+AAS27))-MIN(MIN(CG27*TT27,(XF27+AAS27)),AAS27))),XF27)</f>
        <v>1270</v>
      </c>
      <c r="XH27" s="20" t="n">
        <f aca="false">IF(AND(H_Direct=1,CH27&gt;0),MAX(0,XG27-(MIN(CH27*TU27,(XG27+AAT27))-MIN(MIN(CH27*TU27,(XG27+AAT27)),AAT27))),XG27)</f>
        <v>1270</v>
      </c>
      <c r="XI27" s="20" t="n">
        <f aca="false">IF(AND(H_Direct=1,CI27&gt;0),MAX(0,XH27-(MIN(CI27*TV27,(XH27+AAU27))-MIN(MIN(CI27*TV27,(XH27+AAU27)),AAU27))),XH27)</f>
        <v>1270</v>
      </c>
      <c r="XJ27" s="20" t="n">
        <f aca="false">IF(AND(H_Direct=1,CJ27&gt;0),MAX(0,XI27-(MIN(CJ27*TW27,(XI27+AAV27))-MIN(MIN(CJ27*TW27,(XI27+AAV27)),AAV27))),XI27)</f>
        <v>1270</v>
      </c>
      <c r="XK27" s="20" t="n">
        <f aca="false">IF(AND(H_Direct=1,CK27&gt;0),MAX(0,XJ27-(MIN(CK27*TX27,(XJ27+AAW27))-MIN(MIN(CK27*TX27,(XJ27+AAW27)),AAW27))),XJ27)</f>
        <v>1270</v>
      </c>
      <c r="XL27" s="20" t="n">
        <f aca="false">IF(AND(H_Direct=1,CL27&gt;0),MAX(0,XK27-(MIN(CL27*TY27,(XK27+AAX27))-MIN(MIN(CL27*TY27,(XK27+AAX27)),AAX27))),XK27)</f>
        <v>1270</v>
      </c>
      <c r="XM27" s="20" t="n">
        <f aca="false">XL27</f>
        <v>1270</v>
      </c>
      <c r="XN27" s="20" t="n">
        <f aca="false">XM27</f>
        <v>1270</v>
      </c>
      <c r="XO27" s="20" t="n">
        <f aca="false">XN27</f>
        <v>1270</v>
      </c>
      <c r="XP27" s="20" t="n">
        <f aca="false">XO27</f>
        <v>1270</v>
      </c>
      <c r="XQ27" s="20" t="n">
        <f aca="false">XP27</f>
        <v>1270</v>
      </c>
      <c r="XR27" s="20" t="n">
        <f aca="false">XQ27</f>
        <v>1270</v>
      </c>
      <c r="XS27" s="20" t="n">
        <f aca="false">XR27</f>
        <v>1270</v>
      </c>
      <c r="XT27" s="20" t="n">
        <f aca="false">XS27</f>
        <v>1270</v>
      </c>
      <c r="XU27" s="20" t="n">
        <f aca="false">XT27</f>
        <v>1270</v>
      </c>
      <c r="XV27" s="20" t="n">
        <f aca="false">XU27</f>
        <v>1270</v>
      </c>
      <c r="XW27" s="20" t="n">
        <f aca="false">XV27</f>
        <v>1270</v>
      </c>
      <c r="XX27" s="20" t="n">
        <f aca="false">XW27</f>
        <v>1270</v>
      </c>
      <c r="XY27" s="20" t="n">
        <f aca="false">XX27</f>
        <v>1270</v>
      </c>
      <c r="XZ27" s="20" t="n">
        <f aca="false">XY27</f>
        <v>1270</v>
      </c>
      <c r="YA27" s="20" t="n">
        <f aca="false">XZ27</f>
        <v>1270</v>
      </c>
      <c r="YB27" s="20" t="n">
        <f aca="false">YA27</f>
        <v>1270</v>
      </c>
      <c r="YC27" s="20" t="n">
        <f aca="false">YB27</f>
        <v>1270</v>
      </c>
      <c r="YD27" s="20" t="n">
        <f aca="false">YC27</f>
        <v>1270</v>
      </c>
      <c r="YE27" s="20" t="n">
        <f aca="false">YD27</f>
        <v>1270</v>
      </c>
      <c r="YF27" s="20" t="n">
        <f aca="false">YE27</f>
        <v>1270</v>
      </c>
      <c r="YG27" s="20" t="n">
        <f aca="false">YF27</f>
        <v>1270</v>
      </c>
      <c r="YH27" s="20" t="n">
        <f aca="false">YG27</f>
        <v>1270</v>
      </c>
      <c r="YI27" s="20" t="n">
        <f aca="false">YH27</f>
        <v>1270</v>
      </c>
      <c r="YJ27" s="20" t="n">
        <f aca="false">YI27</f>
        <v>1270</v>
      </c>
      <c r="YK27" s="20" t="n">
        <f aca="false">YJ27</f>
        <v>1270</v>
      </c>
      <c r="YL27" s="20" t="n">
        <f aca="false">YK27</f>
        <v>1270</v>
      </c>
      <c r="YM27" s="20" t="n">
        <f aca="false">YL27</f>
        <v>1270</v>
      </c>
      <c r="YN27" s="20" t="n">
        <f aca="false">YM27</f>
        <v>1270</v>
      </c>
      <c r="YO27" s="20" t="n">
        <f aca="false">YN27</f>
        <v>1270</v>
      </c>
      <c r="YP27" s="20" t="n">
        <f aca="false">YO27</f>
        <v>1270</v>
      </c>
      <c r="YQ27" s="20" t="n">
        <f aca="false">YP27</f>
        <v>1270</v>
      </c>
      <c r="YR27" s="20" t="n">
        <f aca="false">YQ27</f>
        <v>1270</v>
      </c>
      <c r="YS27" s="20" t="n">
        <f aca="false">YR27</f>
        <v>1270</v>
      </c>
      <c r="YT27" s="20" t="n">
        <f aca="false">YS27</f>
        <v>1270</v>
      </c>
      <c r="YU27" s="20" t="n">
        <f aca="false">YT27</f>
        <v>1270</v>
      </c>
      <c r="YV27" s="20" t="n">
        <f aca="false">YU27</f>
        <v>1270</v>
      </c>
      <c r="YW27" s="20" t="n">
        <f aca="false">YV27</f>
        <v>1270</v>
      </c>
      <c r="YX27" s="20" t="n">
        <f aca="false">YW27</f>
        <v>1270</v>
      </c>
      <c r="YY27" s="20" t="n">
        <f aca="false">YX27</f>
        <v>1270</v>
      </c>
      <c r="YZ27" s="20" t="n">
        <f aca="false">YY27</f>
        <v>1270</v>
      </c>
      <c r="ZA27" s="20" t="n">
        <f aca="false">YZ27</f>
        <v>1270</v>
      </c>
      <c r="ZB27" s="20" t="n">
        <f aca="false">ZA27</f>
        <v>1270</v>
      </c>
      <c r="ZC27" s="20" t="n">
        <f aca="false">ZB27</f>
        <v>1270</v>
      </c>
      <c r="ZD27" s="20" t="n">
        <f aca="false">ZC27</f>
        <v>1270</v>
      </c>
      <c r="ZE27" s="20" t="n">
        <f aca="false">ZD27</f>
        <v>1270</v>
      </c>
      <c r="ZF27" s="20" t="n">
        <f aca="false">ZE27</f>
        <v>1270</v>
      </c>
      <c r="ZG27" s="20" t="n">
        <f aca="false">ZF27</f>
        <v>1270</v>
      </c>
      <c r="ZH27" s="20" t="n">
        <f aca="false">ZG27</f>
        <v>1270</v>
      </c>
      <c r="ZI27" s="20" t="n">
        <f aca="false">ZH27</f>
        <v>1270</v>
      </c>
      <c r="ZJ27" s="20" t="n">
        <f aca="false">ZI27</f>
        <v>1270</v>
      </c>
      <c r="ZK27" s="20" t="n">
        <f aca="false">ZJ27</f>
        <v>1270</v>
      </c>
      <c r="ZL27" s="20" t="n">
        <f aca="false">ZK27</f>
        <v>1270</v>
      </c>
      <c r="ZM27" s="20" t="n">
        <f aca="false">ZL27</f>
        <v>1270</v>
      </c>
      <c r="ZN27" s="20" t="n">
        <f aca="false">ZM27</f>
        <v>1270</v>
      </c>
      <c r="ZO27" s="20" t="n">
        <f aca="false">ZN27</f>
        <v>1270</v>
      </c>
      <c r="ZP27" s="20" t="n">
        <f aca="false">ZO27</f>
        <v>1270</v>
      </c>
      <c r="ZQ27" s="20" t="n">
        <f aca="false">ZP27</f>
        <v>1270</v>
      </c>
      <c r="ZR27" s="20" t="n">
        <f aca="false">ZQ27</f>
        <v>1270</v>
      </c>
      <c r="ZS27" s="20" t="n">
        <f aca="false">ZR27</f>
        <v>1270</v>
      </c>
      <c r="ZT27" s="20" t="n">
        <f aca="false">ZS27</f>
        <v>1270</v>
      </c>
      <c r="ZU27" s="20" t="n">
        <f aca="false">ZT27</f>
        <v>1270</v>
      </c>
      <c r="ZV27" s="20" t="n">
        <f aca="false">ZU27</f>
        <v>1270</v>
      </c>
      <c r="ZW27" s="20" t="n">
        <f aca="false">ZV27</f>
        <v>1270</v>
      </c>
      <c r="ZX27" s="20" t="n">
        <f aca="false">ZW27</f>
        <v>1270</v>
      </c>
      <c r="ZY27" s="20" t="n">
        <f aca="false">ZX27</f>
        <v>1270</v>
      </c>
      <c r="ZZ27" s="20" t="n">
        <f aca="false">ZY27</f>
        <v>1270</v>
      </c>
      <c r="AAA27" s="20" t="n">
        <f aca="false">ZZ27</f>
        <v>1270</v>
      </c>
      <c r="AAB27" s="20" t="n">
        <f aca="false">AAA27</f>
        <v>1270</v>
      </c>
      <c r="AAC27" s="20" t="n">
        <f aca="false">AAB27</f>
        <v>1270</v>
      </c>
      <c r="AAD27" s="20" t="n">
        <f aca="false">AAC27</f>
        <v>1270</v>
      </c>
      <c r="AAE27" s="20" t="n">
        <f aca="false">IF(H_Direct=1,IF(BR27&lt;=0,I27-BR27*TE27,I27-MIN(MIN(BR27*TE27,(H27+I27)),I27)),I27)</f>
        <v>0</v>
      </c>
      <c r="AAF27" s="20" t="n">
        <f aca="false">IF(H_Direct=1,IF(BS27&lt;=0,AAE27-BS27*TF27,AAE27-MIN(MIN(BS27*TF27,(WR27+AAE27)),AAE27)),AAE27)</f>
        <v>0</v>
      </c>
      <c r="AAG27" s="20" t="n">
        <f aca="false">IF(H_Direct=1,IF(BT27&lt;=0,AAF27-BT27*TG27,AAF27-MIN(MIN(BT27*TG27,(WS27+AAF27)),AAF27)),AAF27)</f>
        <v>0</v>
      </c>
      <c r="AAH27" s="20" t="n">
        <f aca="false">IF(H_Direct=1,IF(BU27&lt;=0,AAG27-BU27*TH27,AAG27-MIN(MIN(BU27*TH27,(WT27+AAG27)),AAG27)),AAG27)</f>
        <v>0</v>
      </c>
      <c r="AAI27" s="20" t="n">
        <f aca="false">IF(H_Direct=1,IF(BV27&lt;=0,AAH27-BV27*TI27,AAH27-MIN(MIN(BV27*TI27,(WU27+AAH27)),AAH27)),AAH27)</f>
        <v>0</v>
      </c>
      <c r="AAJ27" s="20" t="n">
        <f aca="false">IF(H_Direct=1,IF(BW27&lt;=0,AAI27-BW27*TJ27,AAI27-MIN(MIN(BW27*TJ27,(WV27+AAI27)),AAI27)),AAI27)</f>
        <v>0</v>
      </c>
      <c r="AAK27" s="20" t="n">
        <f aca="false">IF(H_Direct=1,IF(BX27&lt;=0,AAJ27-BX27*TK27,AAJ27-MIN(MIN(BX27*TK27,(WW27+AAJ27)),AAJ27)),AAJ27)</f>
        <v>0</v>
      </c>
      <c r="AAL27" s="20" t="n">
        <f aca="false">IF(H_Direct=1,IF(BY27&lt;=0,AAK27-BY27*TL27,AAK27-MIN(MIN(BY27*TL27,(WX27+AAK27)),AAK27)),AAK27)</f>
        <v>0</v>
      </c>
      <c r="AAM27" s="20" t="n">
        <f aca="false">IF(H_Direct=1,IF(BZ27&lt;=0,AAL27-BZ27*TM27,AAL27-MIN(MIN(BZ27*TM27,(WY27+AAL27)),AAL27)),AAL27)</f>
        <v>0</v>
      </c>
      <c r="AAN27" s="20" t="n">
        <f aca="false">IF(H_Direct=1,IF(CA27&lt;=0,AAM27-CA27*TN27,AAM27-MIN(MIN(CA27*TN27,(WZ27+AAM27)),AAM27)),AAM27)</f>
        <v>0</v>
      </c>
      <c r="AAO27" s="20" t="n">
        <f aca="false">IF(H_Direct=1,IF(CB27&lt;=0,AAN27-CB27*TO27,AAN27-MIN(MIN(CB27*TO27,(XA27+AAN27)),AAN27)),AAN27)</f>
        <v>0</v>
      </c>
      <c r="AAP27" s="20" t="n">
        <f aca="false">IF(H_Direct=1,IF(CC27&lt;=0,AAO27-CC27*TP27,AAO27-MIN(MIN(CC27*TP27,(XB27+AAO27)),AAO27)),AAO27)</f>
        <v>0</v>
      </c>
      <c r="AAQ27" s="20" t="n">
        <f aca="false">IF(H_Direct=1,IF(CD27&lt;=0,AAP27-CD27*TQ27,AAP27-MIN(MIN(CD27*TQ27,(XC27+AAP27)),AAP27)),AAP27)</f>
        <v>0</v>
      </c>
      <c r="AAR27" s="20" t="n">
        <f aca="false">IF(H_Direct=1,IF(CE27&lt;=0,AAQ27-CE27*TR27,AAQ27-MIN(MIN(CE27*TR27,(XD27+AAQ27)),AAQ27)),AAQ27)</f>
        <v>0</v>
      </c>
      <c r="AAS27" s="20" t="n">
        <f aca="false">IF(H_Direct=1,IF(CF27&lt;=0,AAR27-CF27*TS27,AAR27-MIN(MIN(CF27*TS27,(XE27+AAR27)),AAR27)),AAR27)</f>
        <v>0</v>
      </c>
      <c r="AAT27" s="20" t="n">
        <f aca="false">IF(H_Direct=1,IF(CG27&lt;=0,AAS27-CG27*TT27,AAS27-MIN(MIN(CG27*TT27,(XF27+AAS27)),AAS27)),AAS27)</f>
        <v>0</v>
      </c>
      <c r="AAU27" s="20" t="n">
        <f aca="false">IF(H_Direct=1,IF(CH27&lt;=0,AAT27-CH27*TU27,AAT27-MIN(MIN(CH27*TU27,(XG27+AAT27)),AAT27)),AAT27)</f>
        <v>0</v>
      </c>
      <c r="AAV27" s="20" t="n">
        <f aca="false">IF(H_Direct=1,IF(CI27&lt;=0,AAU27-CI27*TV27,AAU27-MIN(MIN(CI27*TV27,(XH27+AAU27)),AAU27)),AAU27)</f>
        <v>0</v>
      </c>
      <c r="AAW27" s="20" t="n">
        <f aca="false">IF(H_Direct=1,IF(CJ27&lt;=0,AAV27-CJ27*TW27,AAV27-MIN(MIN(CJ27*TW27,(XI27+AAV27)),AAV27)),AAV27)</f>
        <v>0</v>
      </c>
      <c r="AAX27" s="20" t="n">
        <f aca="false">IF(H_Direct=1,IF(CK27&lt;=0,AAW27-CK27*TX27,AAW27-MIN(MIN(CK27*TX27,(XJ27+AAW27)),AAW27)),AAW27)</f>
        <v>0</v>
      </c>
      <c r="AAY27" s="20" t="n">
        <f aca="false">IF(H_Direct=1,IF(CL27&lt;=0,AAX27-CL27*TY27,AAX27-MIN(MIN(CL27*TY27,(XK27+AAX27)),AAX27)),AAX27)</f>
        <v>0</v>
      </c>
      <c r="AAZ27" s="20" t="n">
        <f aca="false">AAY27</f>
        <v>0</v>
      </c>
      <c r="ABA27" s="20" t="n">
        <f aca="false">AAZ27</f>
        <v>0</v>
      </c>
      <c r="ABB27" s="20" t="n">
        <f aca="false">ABA27</f>
        <v>0</v>
      </c>
      <c r="ABC27" s="20" t="n">
        <f aca="false">ABB27</f>
        <v>0</v>
      </c>
      <c r="ABD27" s="20" t="n">
        <f aca="false">ABC27</f>
        <v>0</v>
      </c>
      <c r="ABE27" s="20" t="n">
        <f aca="false">ABD27</f>
        <v>0</v>
      </c>
      <c r="ABF27" s="20" t="n">
        <f aca="false">ABE27</f>
        <v>0</v>
      </c>
      <c r="ABG27" s="20" t="n">
        <f aca="false">ABF27</f>
        <v>0</v>
      </c>
      <c r="ABH27" s="20" t="n">
        <f aca="false">ABG27</f>
        <v>0</v>
      </c>
      <c r="ABI27" s="20" t="n">
        <f aca="false">ABH27</f>
        <v>0</v>
      </c>
      <c r="ABJ27" s="20" t="n">
        <f aca="false">ABI27</f>
        <v>0</v>
      </c>
      <c r="ABK27" s="20" t="n">
        <f aca="false">ABJ27</f>
        <v>0</v>
      </c>
      <c r="ABL27" s="20" t="n">
        <f aca="false">ABK27</f>
        <v>0</v>
      </c>
      <c r="ABM27" s="20" t="n">
        <f aca="false">ABL27</f>
        <v>0</v>
      </c>
      <c r="ABN27" s="20" t="n">
        <f aca="false">ABM27</f>
        <v>0</v>
      </c>
      <c r="ABO27" s="20" t="n">
        <f aca="false">ABN27</f>
        <v>0</v>
      </c>
      <c r="ABP27" s="20" t="n">
        <f aca="false">ABO27</f>
        <v>0</v>
      </c>
      <c r="ABQ27" s="20" t="n">
        <f aca="false">ABP27</f>
        <v>0</v>
      </c>
      <c r="ABR27" s="20" t="n">
        <f aca="false">ABQ27</f>
        <v>0</v>
      </c>
      <c r="ABS27" s="20" t="n">
        <f aca="false">ABR27</f>
        <v>0</v>
      </c>
      <c r="ABT27" s="20" t="n">
        <f aca="false">ABS27</f>
        <v>0</v>
      </c>
      <c r="ABU27" s="20" t="n">
        <f aca="false">ABT27</f>
        <v>0</v>
      </c>
      <c r="ABV27" s="20" t="n">
        <f aca="false">ABU27</f>
        <v>0</v>
      </c>
      <c r="ABW27" s="20" t="n">
        <f aca="false">ABV27</f>
        <v>0</v>
      </c>
      <c r="ABX27" s="20" t="n">
        <f aca="false">ABW27</f>
        <v>0</v>
      </c>
      <c r="ABY27" s="20" t="n">
        <f aca="false">ABX27</f>
        <v>0</v>
      </c>
      <c r="ABZ27" s="20" t="n">
        <f aca="false">ABY27</f>
        <v>0</v>
      </c>
      <c r="ACA27" s="20" t="n">
        <f aca="false">ABZ27</f>
        <v>0</v>
      </c>
      <c r="ACB27" s="20" t="n">
        <f aca="false">ACA27</f>
        <v>0</v>
      </c>
      <c r="ACC27" s="20" t="n">
        <f aca="false">ACB27</f>
        <v>0</v>
      </c>
      <c r="ACD27" s="20" t="n">
        <f aca="false">ACC27</f>
        <v>0</v>
      </c>
      <c r="ACE27" s="20" t="n">
        <f aca="false">ACD27</f>
        <v>0</v>
      </c>
      <c r="ACF27" s="20" t="n">
        <f aca="false">ACE27</f>
        <v>0</v>
      </c>
      <c r="ACG27" s="20" t="n">
        <f aca="false">ACF27</f>
        <v>0</v>
      </c>
      <c r="ACH27" s="20" t="n">
        <f aca="false">ACG27</f>
        <v>0</v>
      </c>
      <c r="ACI27" s="20" t="n">
        <f aca="false">ACH27</f>
        <v>0</v>
      </c>
      <c r="ACJ27" s="20" t="n">
        <f aca="false">ACI27</f>
        <v>0</v>
      </c>
      <c r="ACK27" s="20" t="n">
        <f aca="false">ACJ27</f>
        <v>0</v>
      </c>
      <c r="ACL27" s="20" t="n">
        <f aca="false">ACK27</f>
        <v>0</v>
      </c>
      <c r="ACM27" s="20" t="n">
        <f aca="false">ACL27</f>
        <v>0</v>
      </c>
      <c r="ACN27" s="20" t="n">
        <f aca="false">ACM27</f>
        <v>0</v>
      </c>
      <c r="ACO27" s="20" t="n">
        <f aca="false">ACN27</f>
        <v>0</v>
      </c>
      <c r="ACP27" s="20" t="n">
        <f aca="false">ACO27</f>
        <v>0</v>
      </c>
      <c r="ACQ27" s="20" t="n">
        <f aca="false">ACP27</f>
        <v>0</v>
      </c>
      <c r="ACR27" s="20" t="n">
        <f aca="false">ACQ27</f>
        <v>0</v>
      </c>
      <c r="ACS27" s="20" t="n">
        <f aca="false">ACR27</f>
        <v>0</v>
      </c>
      <c r="ACT27" s="20" t="n">
        <f aca="false">ACS27</f>
        <v>0</v>
      </c>
      <c r="ACU27" s="20" t="n">
        <f aca="false">ACT27</f>
        <v>0</v>
      </c>
      <c r="ACV27" s="20" t="n">
        <f aca="false">ACU27</f>
        <v>0</v>
      </c>
      <c r="ACW27" s="20" t="n">
        <f aca="false">ACV27</f>
        <v>0</v>
      </c>
      <c r="ACX27" s="20" t="n">
        <f aca="false">ACW27</f>
        <v>0</v>
      </c>
      <c r="ACY27" s="20" t="n">
        <f aca="false">ACX27</f>
        <v>0</v>
      </c>
      <c r="ACZ27" s="20" t="n">
        <f aca="false">ACY27</f>
        <v>0</v>
      </c>
      <c r="ADA27" s="20" t="n">
        <f aca="false">ACZ27</f>
        <v>0</v>
      </c>
      <c r="ADB27" s="20" t="n">
        <f aca="false">ADA27</f>
        <v>0</v>
      </c>
      <c r="ADC27" s="20" t="n">
        <f aca="false">ADB27</f>
        <v>0</v>
      </c>
      <c r="ADD27" s="20" t="n">
        <f aca="false">ADC27</f>
        <v>0</v>
      </c>
      <c r="ADE27" s="20" t="n">
        <f aca="false">ADD27</f>
        <v>0</v>
      </c>
      <c r="ADF27" s="20" t="n">
        <f aca="false">ADE27</f>
        <v>0</v>
      </c>
      <c r="ADG27" s="20" t="n">
        <f aca="false">ADF27</f>
        <v>0</v>
      </c>
      <c r="ADH27" s="20" t="n">
        <f aca="false">ADG27</f>
        <v>0</v>
      </c>
      <c r="ADI27" s="20" t="n">
        <f aca="false">ADH27</f>
        <v>0</v>
      </c>
      <c r="ADJ27" s="20" t="n">
        <f aca="false">ADI27</f>
        <v>0</v>
      </c>
      <c r="ADK27" s="20" t="n">
        <f aca="false">ADJ27</f>
        <v>0</v>
      </c>
      <c r="ADL27" s="20" t="n">
        <f aca="false">ADK27</f>
        <v>0</v>
      </c>
      <c r="ADM27" s="20" t="n">
        <f aca="false">ADL27</f>
        <v>0</v>
      </c>
      <c r="ADN27" s="20" t="n">
        <f aca="false">ADM27</f>
        <v>0</v>
      </c>
      <c r="ADO27" s="20" t="n">
        <f aca="false">ADN27</f>
        <v>0</v>
      </c>
      <c r="ADP27" s="20" t="n">
        <f aca="false">ADO27</f>
        <v>0</v>
      </c>
      <c r="ADQ27" s="20" t="n">
        <f aca="false">ADP27</f>
        <v>0</v>
      </c>
      <c r="ADR27" s="20" t="n">
        <f aca="false">(AKR26-TE27+0)*(1+BQ27)</f>
        <v>0</v>
      </c>
      <c r="ADS27" s="20" t="n">
        <f aca="false">(AKS26-TF27+0)*(1+BQ27)</f>
        <v>0</v>
      </c>
      <c r="ADT27" s="20" t="n">
        <f aca="false">(AKT26-TG27+0)*(1+BQ27)</f>
        <v>0</v>
      </c>
      <c r="ADU27" s="20" t="n">
        <f aca="false">(AKU26-TH27+0)*(1+BQ27)</f>
        <v>0</v>
      </c>
      <c r="ADV27" s="20" t="n">
        <f aca="false">(AKV26-TI27+0)*(1+BQ27)</f>
        <v>0</v>
      </c>
      <c r="ADW27" s="20" t="n">
        <f aca="false">(AKW26-TJ27+0)*(1+BQ27)</f>
        <v>0</v>
      </c>
      <c r="ADX27" s="20" t="n">
        <f aca="false">(AKX26-TK27+0)*(1+BQ27)</f>
        <v>0</v>
      </c>
      <c r="ADY27" s="20" t="n">
        <f aca="false">(AKY26-TL27+0)*(1+BQ27)</f>
        <v>0</v>
      </c>
      <c r="ADZ27" s="20" t="n">
        <f aca="false">(AKZ26-TM27+0)*(1+BQ27)</f>
        <v>0</v>
      </c>
      <c r="AEA27" s="20" t="n">
        <f aca="false">(ALA26-TN27+0)*(1+BQ27)</f>
        <v>0</v>
      </c>
      <c r="AEB27" s="20" t="n">
        <f aca="false">(ALB26-TO27+0)*(1+BQ27)</f>
        <v>0</v>
      </c>
      <c r="AEC27" s="20" t="n">
        <f aca="false">(ALC26-TP27+0)*(1+BQ27)</f>
        <v>726.402127566873</v>
      </c>
      <c r="AED27" s="20" t="n">
        <f aca="false">(ALD26-TQ27+0)*(1+BQ27)</f>
        <v>913.79076165716</v>
      </c>
      <c r="AEE27" s="20" t="n">
        <f aca="false">(ALE26-TR27+0)*(1+BQ27)</f>
        <v>1218.22223392063</v>
      </c>
      <c r="AEF27" s="20" t="n">
        <f aca="false">(ALF26-TS27+0)*(1+BQ27)</f>
        <v>1369.89734242705</v>
      </c>
      <c r="AEG27" s="20" t="n">
        <f aca="false">(ALG26-TT27+0)*(1+BQ27)</f>
        <v>1317.44145086884</v>
      </c>
      <c r="AEH27" s="20" t="n">
        <f aca="false">(ALH26-TU27+0)*(1+BQ27)</f>
        <v>1266.24540060884</v>
      </c>
      <c r="AEI27" s="20" t="n">
        <f aca="false">(ALI26-TV27+0)*(1+BQ27)</f>
        <v>1216.28254975521</v>
      </c>
      <c r="AEJ27" s="20" t="n">
        <f aca="false">(ALJ26-TW27+0)*(1+BQ27)</f>
        <v>3780.19479302032</v>
      </c>
      <c r="AEK27" s="20" t="n">
        <f aca="false">(ALK26-TX27+0)*(1+BQ27)</f>
        <v>3707.49873930839</v>
      </c>
      <c r="AEL27" s="20" t="n">
        <f aca="false">((P27+S27)-TY27+BE27)*(1+BQ27)</f>
        <v>3636.20068662939</v>
      </c>
      <c r="AEM27" s="20" t="n">
        <v>0</v>
      </c>
      <c r="AEN27" s="20" t="n">
        <v>0</v>
      </c>
      <c r="AEO27" s="20" t="n">
        <v>0</v>
      </c>
      <c r="AEP27" s="20" t="n">
        <v>0</v>
      </c>
      <c r="AEQ27" s="20" t="n">
        <v>0</v>
      </c>
      <c r="AER27" s="20" t="n">
        <v>0</v>
      </c>
      <c r="AES27" s="20" t="n">
        <v>0</v>
      </c>
      <c r="AET27" s="20" t="n">
        <v>0</v>
      </c>
      <c r="AEU27" s="20" t="n">
        <v>0</v>
      </c>
      <c r="AEV27" s="20" t="n">
        <v>0</v>
      </c>
      <c r="AEW27" s="20" t="n">
        <v>0</v>
      </c>
      <c r="AEX27" s="20" t="n">
        <v>0</v>
      </c>
      <c r="AEY27" s="20" t="n">
        <v>0</v>
      </c>
      <c r="AEZ27" s="20" t="n">
        <v>0</v>
      </c>
      <c r="AFA27" s="20" t="n">
        <v>0</v>
      </c>
      <c r="AFB27" s="20" t="n">
        <v>0</v>
      </c>
      <c r="AFC27" s="20" t="n">
        <v>0</v>
      </c>
      <c r="AFD27" s="20" t="n">
        <v>0</v>
      </c>
      <c r="AFE27" s="20" t="n">
        <v>0</v>
      </c>
      <c r="AFF27" s="20" t="n">
        <v>0</v>
      </c>
      <c r="AFG27" s="20" t="n">
        <v>0</v>
      </c>
      <c r="AFH27" s="20" t="n">
        <v>0</v>
      </c>
      <c r="AFI27" s="20" t="n">
        <v>0</v>
      </c>
      <c r="AFJ27" s="20" t="n">
        <v>0</v>
      </c>
      <c r="AFK27" s="20" t="n">
        <v>0</v>
      </c>
      <c r="AFL27" s="20" t="n">
        <v>0</v>
      </c>
      <c r="AFM27" s="20" t="n">
        <v>0</v>
      </c>
      <c r="AFN27" s="20" t="n">
        <v>0</v>
      </c>
      <c r="AFO27" s="20" t="n">
        <v>0</v>
      </c>
      <c r="AFP27" s="20" t="n">
        <v>0</v>
      </c>
      <c r="AFQ27" s="20" t="n">
        <v>0</v>
      </c>
      <c r="AFR27" s="20" t="n">
        <v>0</v>
      </c>
      <c r="AFS27" s="20" t="n">
        <v>0</v>
      </c>
      <c r="AFT27" s="20" t="n">
        <v>0</v>
      </c>
      <c r="AFU27" s="20" t="n">
        <v>0</v>
      </c>
      <c r="AFV27" s="20" t="n">
        <v>0</v>
      </c>
      <c r="AFW27" s="20" t="n">
        <v>0</v>
      </c>
      <c r="AFX27" s="20" t="n">
        <v>0</v>
      </c>
      <c r="AFY27" s="20" t="n">
        <v>0</v>
      </c>
      <c r="AFZ27" s="20" t="n">
        <v>0</v>
      </c>
      <c r="AGA27" s="20" t="n">
        <v>0</v>
      </c>
      <c r="AGB27" s="20" t="n">
        <v>0</v>
      </c>
      <c r="AGC27" s="20" t="n">
        <v>0</v>
      </c>
      <c r="AGD27" s="20" t="n">
        <v>0</v>
      </c>
      <c r="AGE27" s="20" t="n">
        <v>0</v>
      </c>
      <c r="AGF27" s="20" t="n">
        <v>0</v>
      </c>
      <c r="AGG27" s="20" t="n">
        <v>0</v>
      </c>
      <c r="AGH27" s="20" t="n">
        <v>0</v>
      </c>
      <c r="AGI27" s="20" t="n">
        <v>0</v>
      </c>
      <c r="AGJ27" s="20" t="n">
        <v>0</v>
      </c>
      <c r="AGK27" s="20" t="n">
        <v>0</v>
      </c>
      <c r="AGL27" s="20" t="n">
        <v>0</v>
      </c>
      <c r="AGM27" s="20" t="n">
        <v>0</v>
      </c>
      <c r="AGN27" s="20" t="n">
        <v>0</v>
      </c>
      <c r="AGO27" s="20" t="n">
        <v>0</v>
      </c>
      <c r="AGP27" s="20" t="n">
        <v>0</v>
      </c>
      <c r="AGQ27" s="20" t="n">
        <v>0</v>
      </c>
      <c r="AGR27" s="20" t="n">
        <v>0</v>
      </c>
      <c r="AGS27" s="20" t="n">
        <v>0</v>
      </c>
      <c r="AGT27" s="20" t="n">
        <v>0</v>
      </c>
      <c r="AGU27" s="20" t="n">
        <v>0</v>
      </c>
      <c r="AGV27" s="20" t="n">
        <v>0</v>
      </c>
      <c r="AGW27" s="20" t="n">
        <v>0</v>
      </c>
      <c r="AGX27" s="20" t="n">
        <v>0</v>
      </c>
      <c r="AGY27" s="20" t="n">
        <v>0</v>
      </c>
      <c r="AGZ27" s="20" t="n">
        <v>0</v>
      </c>
      <c r="AHA27" s="20" t="n">
        <v>0</v>
      </c>
      <c r="AHB27" s="20" t="n">
        <v>0</v>
      </c>
      <c r="AHC27" s="20" t="n">
        <v>0</v>
      </c>
      <c r="AHD27" s="20" t="n">
        <v>0</v>
      </c>
      <c r="AHE27" s="20" t="n">
        <f aca="false">IF(AKR26&gt;0,AOE26-AOE26*TE27/AKR26,0)+0</f>
        <v>0</v>
      </c>
      <c r="AHF27" s="20" t="n">
        <f aca="false">IF(AKS26&gt;0,AOF26-AOF26*TF27/AKS26,0)+0</f>
        <v>0</v>
      </c>
      <c r="AHG27" s="20" t="n">
        <f aca="false">IF(AKT26&gt;0,AOG26-AOG26*TG27/AKT26,0)+0</f>
        <v>0</v>
      </c>
      <c r="AHH27" s="20" t="n">
        <f aca="false">IF(AKU26&gt;0,AOH26-AOH26*TH27/AKU26,0)+0</f>
        <v>0</v>
      </c>
      <c r="AHI27" s="20" t="n">
        <f aca="false">IF(AKV26&gt;0,AOI26-AOI26*TI27/AKV26,0)+0</f>
        <v>0</v>
      </c>
      <c r="AHJ27" s="20" t="n">
        <f aca="false">IF(AKW26&gt;0,AOJ26-AOJ26*TJ27/AKW26,0)+0</f>
        <v>0</v>
      </c>
      <c r="AHK27" s="20" t="n">
        <f aca="false">IF(AKX26&gt;0,AOK26-AOK26*TK27/AKX26,0)+0</f>
        <v>0</v>
      </c>
      <c r="AHL27" s="20" t="n">
        <f aca="false">IF(AKY26&gt;0,AOL26-AOL26*TL27/AKY26,0)+0</f>
        <v>0</v>
      </c>
      <c r="AHM27" s="20" t="n">
        <f aca="false">IF(AKZ26&gt;0,AOM26-AOM26*TM27/AKZ26,0)+0</f>
        <v>0</v>
      </c>
      <c r="AHN27" s="20" t="n">
        <f aca="false">IF(ALA26&gt;0,AON26-AON26*TN27/ALA26,0)+0</f>
        <v>0</v>
      </c>
      <c r="AHO27" s="20" t="n">
        <f aca="false">IF(ALB26&gt;0,AOO26-AOO26*TO27/ALB26,0)+0</f>
        <v>0</v>
      </c>
      <c r="AHP27" s="20" t="n">
        <f aca="false">IF(ALC26&gt;0,AOP26-AOP26*TP27/ALC26,0)+0</f>
        <v>671.599600191266</v>
      </c>
      <c r="AHQ27" s="20" t="n">
        <f aca="false">IF(ALD26&gt;0,AOQ26-AOQ26*TQ27/ALD26,0)+0</f>
        <v>878.644963131885</v>
      </c>
      <c r="AHR27" s="20" t="n">
        <f aca="false">IF(ALE26&gt;0,AOR26-AOR26*TR27/ALE26,0)+0</f>
        <v>890.143053841438</v>
      </c>
      <c r="AHS27" s="20" t="n">
        <f aca="false">IF(ALF26&gt;0,AOS26-AOS26*TS27/ALF26,0)+0</f>
        <v>1041.00939276848</v>
      </c>
      <c r="AHT27" s="20" t="n">
        <f aca="false">IF(ALG26&gt;0,AOT26-AOT26*TT27/ALG26,0)+0</f>
        <v>1041.19311542065</v>
      </c>
      <c r="AHU27" s="20" t="n">
        <f aca="false">IF(ALH26&gt;0,AOU26-AOU26*TU27/ALH26,0)+0</f>
        <v>1040.76141856976</v>
      </c>
      <c r="AHV27" s="20" t="n">
        <f aca="false">IF(ALI26&gt;0,AOV26-AOV26*TV27/ALI26,0)+0</f>
        <v>1039.68342100707</v>
      </c>
      <c r="AHW27" s="20" t="n">
        <f aca="false">IF(ALJ26&gt;0,AOW26-AOW26*TW27/ALJ26,0)+0</f>
        <v>3360.57940606182</v>
      </c>
      <c r="AHX27" s="20" t="n">
        <f aca="false">IF(ALK26&gt;0,AOX26-AOX26*TX27/ALK26,0)+0</f>
        <v>3427.79099418306</v>
      </c>
      <c r="AHY27" s="20" t="n">
        <f aca="false">IF((P27+S27)&gt;0,(P27+S27)-(P27+S27)*TY27/(P27+S27),0)+BE27</f>
        <v>3496.34681406672</v>
      </c>
      <c r="AHZ27" s="20" t="n">
        <v>0</v>
      </c>
      <c r="AIA27" s="20" t="n">
        <v>0</v>
      </c>
      <c r="AIB27" s="20" t="n">
        <v>0</v>
      </c>
      <c r="AIC27" s="20" t="n">
        <v>0</v>
      </c>
      <c r="AID27" s="20" t="n">
        <v>0</v>
      </c>
      <c r="AIE27" s="20" t="n">
        <v>0</v>
      </c>
      <c r="AIF27" s="20" t="n">
        <v>0</v>
      </c>
      <c r="AIG27" s="20" t="n">
        <v>0</v>
      </c>
      <c r="AIH27" s="20" t="n">
        <v>0</v>
      </c>
      <c r="AII27" s="20" t="n">
        <v>0</v>
      </c>
      <c r="AIJ27" s="20" t="n">
        <v>0</v>
      </c>
      <c r="AIK27" s="20" t="n">
        <v>0</v>
      </c>
      <c r="AIL27" s="20" t="n">
        <v>0</v>
      </c>
      <c r="AIM27" s="20" t="n">
        <v>0</v>
      </c>
      <c r="AIN27" s="20" t="n">
        <v>0</v>
      </c>
      <c r="AIO27" s="20" t="n">
        <v>0</v>
      </c>
      <c r="AIP27" s="20" t="n">
        <v>0</v>
      </c>
      <c r="AIQ27" s="20" t="n">
        <v>0</v>
      </c>
      <c r="AIR27" s="20" t="n">
        <v>0</v>
      </c>
      <c r="AIS27" s="20" t="n">
        <v>0</v>
      </c>
      <c r="AIT27" s="20" t="n">
        <v>0</v>
      </c>
      <c r="AIU27" s="20" t="n">
        <v>0</v>
      </c>
      <c r="AIV27" s="20" t="n">
        <v>0</v>
      </c>
      <c r="AIW27" s="20" t="n">
        <v>0</v>
      </c>
      <c r="AIX27" s="20" t="n">
        <v>0</v>
      </c>
      <c r="AIY27" s="20" t="n">
        <v>0</v>
      </c>
      <c r="AIZ27" s="20" t="n">
        <v>0</v>
      </c>
      <c r="AJA27" s="20" t="n">
        <v>0</v>
      </c>
      <c r="AJB27" s="20" t="n">
        <v>0</v>
      </c>
      <c r="AJC27" s="20" t="n">
        <v>0</v>
      </c>
      <c r="AJD27" s="20" t="n">
        <v>0</v>
      </c>
      <c r="AJE27" s="20" t="n">
        <v>0</v>
      </c>
      <c r="AJF27" s="20" t="n">
        <v>0</v>
      </c>
      <c r="AJG27" s="20" t="n">
        <v>0</v>
      </c>
      <c r="AJH27" s="20" t="n">
        <v>0</v>
      </c>
      <c r="AJI27" s="20" t="n">
        <v>0</v>
      </c>
      <c r="AJJ27" s="20" t="n">
        <v>0</v>
      </c>
      <c r="AJK27" s="20" t="n">
        <v>0</v>
      </c>
      <c r="AJL27" s="20" t="n">
        <v>0</v>
      </c>
      <c r="AJM27" s="20" t="n">
        <v>0</v>
      </c>
      <c r="AJN27" s="20" t="n">
        <v>0</v>
      </c>
      <c r="AJO27" s="20" t="n">
        <v>0</v>
      </c>
      <c r="AJP27" s="20" t="n">
        <v>0</v>
      </c>
      <c r="AJQ27" s="20" t="n">
        <v>0</v>
      </c>
      <c r="AJR27" s="20" t="n">
        <v>0</v>
      </c>
      <c r="AJS27" s="20" t="n">
        <v>0</v>
      </c>
      <c r="AJT27" s="20" t="n">
        <v>0</v>
      </c>
      <c r="AJU27" s="20" t="n">
        <v>0</v>
      </c>
      <c r="AJV27" s="20" t="n">
        <v>0</v>
      </c>
      <c r="AJW27" s="20" t="n">
        <v>0</v>
      </c>
      <c r="AJX27" s="20" t="n">
        <v>0</v>
      </c>
      <c r="AJY27" s="20" t="n">
        <v>0</v>
      </c>
      <c r="AJZ27" s="20" t="n">
        <v>0</v>
      </c>
      <c r="AKA27" s="20" t="n">
        <v>0</v>
      </c>
      <c r="AKB27" s="20" t="n">
        <v>0</v>
      </c>
      <c r="AKC27" s="20" t="n">
        <v>0</v>
      </c>
      <c r="AKD27" s="20" t="n">
        <v>0</v>
      </c>
      <c r="AKE27" s="20" t="n">
        <v>0</v>
      </c>
      <c r="AKF27" s="20" t="n">
        <v>0</v>
      </c>
      <c r="AKG27" s="20" t="n">
        <v>0</v>
      </c>
      <c r="AKH27" s="20" t="n">
        <v>0</v>
      </c>
      <c r="AKI27" s="20" t="n">
        <v>0</v>
      </c>
      <c r="AKJ27" s="20" t="n">
        <v>0</v>
      </c>
      <c r="AKK27" s="20" t="n">
        <v>0</v>
      </c>
      <c r="AKL27" s="20" t="n">
        <v>0</v>
      </c>
      <c r="AKM27" s="20" t="n">
        <v>0</v>
      </c>
      <c r="AKN27" s="20" t="n">
        <v>0</v>
      </c>
      <c r="AKO27" s="20" t="n">
        <v>0</v>
      </c>
      <c r="AKP27" s="20" t="n">
        <v>0</v>
      </c>
      <c r="AKQ27" s="20" t="n">
        <v>0</v>
      </c>
      <c r="AKR27" s="20" t="n">
        <f aca="false">ADR27-AVE27</f>
        <v>0</v>
      </c>
      <c r="AKS27" s="20" t="n">
        <f aca="false">ADS27-AVF27</f>
        <v>0</v>
      </c>
      <c r="AKT27" s="20" t="n">
        <f aca="false">ADT27-AVG27</f>
        <v>0</v>
      </c>
      <c r="AKU27" s="20" t="n">
        <f aca="false">ADU27-AVH27</f>
        <v>0</v>
      </c>
      <c r="AKV27" s="20" t="n">
        <f aca="false">ADV27-AVI27</f>
        <v>0</v>
      </c>
      <c r="AKW27" s="20" t="n">
        <f aca="false">ADW27-AVJ27</f>
        <v>0</v>
      </c>
      <c r="AKX27" s="20" t="n">
        <f aca="false">ADX27-AVK27</f>
        <v>0</v>
      </c>
      <c r="AKY27" s="20" t="n">
        <f aca="false">ADY27-AVL27</f>
        <v>0</v>
      </c>
      <c r="AKZ27" s="20" t="n">
        <f aca="false">ADZ27-AVM27</f>
        <v>0</v>
      </c>
      <c r="ALA27" s="20" t="n">
        <f aca="false">AEA27-AVN27</f>
        <v>0</v>
      </c>
      <c r="ALB27" s="20" t="n">
        <f aca="false">AEB27-AVO27</f>
        <v>0</v>
      </c>
      <c r="ALC27" s="20" t="n">
        <f aca="false">AEC27-AVP27</f>
        <v>726.402127566873</v>
      </c>
      <c r="ALD27" s="20" t="n">
        <f aca="false">AED27-AVQ27</f>
        <v>913.79076165716</v>
      </c>
      <c r="ALE27" s="20" t="n">
        <f aca="false">AEE27-AVR27</f>
        <v>1093.55214549053</v>
      </c>
      <c r="ALF27" s="20" t="n">
        <f aca="false">AEF27-AVS27</f>
        <v>1369.89734242705</v>
      </c>
      <c r="ALG27" s="20" t="n">
        <f aca="false">AEG27-AVT27</f>
        <v>1317.44145086884</v>
      </c>
      <c r="ALH27" s="20" t="n">
        <f aca="false">AEH27-AVU27</f>
        <v>1266.24540060884</v>
      </c>
      <c r="ALI27" s="20" t="n">
        <f aca="false">AEI27-AVV27</f>
        <v>1216.28254975521</v>
      </c>
      <c r="ALJ27" s="20" t="n">
        <f aca="false">AEJ27-AVW27</f>
        <v>3780.19479302032</v>
      </c>
      <c r="ALK27" s="20" t="n">
        <f aca="false">AEK27-AVX27</f>
        <v>3707.49873930839</v>
      </c>
      <c r="ALL27" s="20" t="n">
        <f aca="false">AEL27-AVY27</f>
        <v>3636.20068662939</v>
      </c>
      <c r="ALM27" s="20" t="n">
        <v>0</v>
      </c>
      <c r="ALN27" s="20" t="n">
        <v>0</v>
      </c>
      <c r="ALO27" s="20" t="n">
        <v>0</v>
      </c>
      <c r="ALP27" s="20" t="n">
        <v>0</v>
      </c>
      <c r="ALQ27" s="20" t="n">
        <v>0</v>
      </c>
      <c r="ALR27" s="20" t="n">
        <v>0</v>
      </c>
      <c r="ALS27" s="20" t="n">
        <v>0</v>
      </c>
      <c r="ALT27" s="20" t="n">
        <v>0</v>
      </c>
      <c r="ALU27" s="20" t="n">
        <v>0</v>
      </c>
      <c r="ALV27" s="20" t="n">
        <v>0</v>
      </c>
      <c r="ALW27" s="20" t="n">
        <v>0</v>
      </c>
      <c r="ALX27" s="20" t="n">
        <v>0</v>
      </c>
      <c r="ALY27" s="20" t="n">
        <v>0</v>
      </c>
      <c r="ALZ27" s="20" t="n">
        <v>0</v>
      </c>
      <c r="AMA27" s="20" t="n">
        <v>0</v>
      </c>
      <c r="AMB27" s="20" t="n">
        <v>0</v>
      </c>
      <c r="AMC27" s="20" t="n">
        <v>0</v>
      </c>
      <c r="AMD27" s="20" t="n">
        <v>0</v>
      </c>
      <c r="AME27" s="20" t="n">
        <v>0</v>
      </c>
      <c r="AMF27" s="20" t="n">
        <v>0</v>
      </c>
      <c r="AMG27" s="20" t="n">
        <v>0</v>
      </c>
      <c r="AMH27" s="20" t="n">
        <v>0</v>
      </c>
      <c r="AMI27" s="20" t="n">
        <v>0</v>
      </c>
      <c r="AMJ27" s="20" t="n">
        <v>0</v>
      </c>
      <c r="AMK27" s="20" t="n">
        <v>0</v>
      </c>
      <c r="AML27" s="20" t="n">
        <v>0</v>
      </c>
      <c r="AMM27" s="20" t="n">
        <v>0</v>
      </c>
      <c r="AMN27" s="20" t="n">
        <v>0</v>
      </c>
      <c r="AMO27" s="20" t="n">
        <v>0</v>
      </c>
      <c r="AMP27" s="20" t="n">
        <v>0</v>
      </c>
      <c r="AMQ27" s="20" t="n">
        <v>0</v>
      </c>
      <c r="AMR27" s="20" t="n">
        <v>0</v>
      </c>
      <c r="AMS27" s="20" t="n">
        <v>0</v>
      </c>
      <c r="AMT27" s="20" t="n">
        <v>0</v>
      </c>
      <c r="AMU27" s="20" t="n">
        <v>0</v>
      </c>
      <c r="AMV27" s="20" t="n">
        <v>0</v>
      </c>
      <c r="AMW27" s="20" t="n">
        <v>0</v>
      </c>
      <c r="AMX27" s="20" t="n">
        <v>0</v>
      </c>
      <c r="AMY27" s="20" t="n">
        <v>0</v>
      </c>
      <c r="AMZ27" s="20" t="n">
        <v>0</v>
      </c>
      <c r="ANA27" s="20" t="n">
        <v>0</v>
      </c>
      <c r="ANB27" s="20" t="n">
        <v>0</v>
      </c>
      <c r="ANC27" s="20" t="n">
        <v>0</v>
      </c>
      <c r="AND27" s="20" t="n">
        <v>0</v>
      </c>
      <c r="ANE27" s="20" t="n">
        <v>0</v>
      </c>
      <c r="ANF27" s="20" t="n">
        <v>0</v>
      </c>
      <c r="ANG27" s="20" t="n">
        <v>0</v>
      </c>
      <c r="ANH27" s="20" t="n">
        <v>0</v>
      </c>
      <c r="ANI27" s="20" t="n">
        <v>0</v>
      </c>
      <c r="ANJ27" s="20" t="n">
        <v>0</v>
      </c>
      <c r="ANK27" s="20" t="n">
        <v>0</v>
      </c>
      <c r="ANL27" s="20" t="n">
        <v>0</v>
      </c>
      <c r="ANM27" s="20" t="n">
        <v>0</v>
      </c>
      <c r="ANN27" s="20" t="n">
        <v>0</v>
      </c>
      <c r="ANO27" s="20" t="n">
        <v>0</v>
      </c>
      <c r="ANP27" s="20" t="n">
        <v>0</v>
      </c>
      <c r="ANQ27" s="20" t="n">
        <v>0</v>
      </c>
      <c r="ANR27" s="20" t="n">
        <v>0</v>
      </c>
      <c r="ANS27" s="20" t="n">
        <v>0</v>
      </c>
      <c r="ANT27" s="20" t="n">
        <v>0</v>
      </c>
      <c r="ANU27" s="20" t="n">
        <v>0</v>
      </c>
      <c r="ANV27" s="20" t="n">
        <v>0</v>
      </c>
      <c r="ANW27" s="20" t="n">
        <v>0</v>
      </c>
      <c r="ANX27" s="20" t="n">
        <v>0</v>
      </c>
      <c r="ANY27" s="20" t="n">
        <v>0</v>
      </c>
      <c r="ANZ27" s="20" t="n">
        <v>0</v>
      </c>
      <c r="AOA27" s="20" t="n">
        <v>0</v>
      </c>
      <c r="AOB27" s="20" t="n">
        <v>0</v>
      </c>
      <c r="AOC27" s="20" t="n">
        <v>0</v>
      </c>
      <c r="AOD27" s="20" t="n">
        <v>0</v>
      </c>
      <c r="AOE27" s="20" t="n">
        <f aca="false">IF(AND(H_Direct=0,H_TaxEvt=1,ARR26+1&gt;=H_Deemed),AKR27,AHE27)</f>
        <v>0</v>
      </c>
      <c r="AOF27" s="20" t="n">
        <f aca="false">IF(AND(H_Direct=0,H_TaxEvt=1,ARS26+1&gt;=H_Deemed),AKS27,AHF27)</f>
        <v>0</v>
      </c>
      <c r="AOG27" s="20" t="n">
        <f aca="false">IF(AND(H_Direct=0,H_TaxEvt=1,ART26+1&gt;=H_Deemed),AKT27,AHG27)</f>
        <v>0</v>
      </c>
      <c r="AOH27" s="20" t="n">
        <f aca="false">IF(AND(H_Direct=0,H_TaxEvt=1,ARU26+1&gt;=H_Deemed),AKU27,AHH27)</f>
        <v>0</v>
      </c>
      <c r="AOI27" s="20" t="n">
        <f aca="false">IF(AND(H_Direct=0,H_TaxEvt=1,ARV26+1&gt;=H_Deemed),AKV27,AHI27)</f>
        <v>0</v>
      </c>
      <c r="AOJ27" s="20" t="n">
        <f aca="false">IF(AND(H_Direct=0,H_TaxEvt=1,ARW26+1&gt;=H_Deemed),AKW27,AHJ27)</f>
        <v>0</v>
      </c>
      <c r="AOK27" s="20" t="n">
        <f aca="false">IF(AND(H_Direct=0,H_TaxEvt=1,ARX26+1&gt;=H_Deemed),AKX27,AHK27)</f>
        <v>0</v>
      </c>
      <c r="AOL27" s="20" t="n">
        <f aca="false">IF(AND(H_Direct=0,H_TaxEvt=1,ARY26+1&gt;=H_Deemed),AKY27,AHL27)</f>
        <v>0</v>
      </c>
      <c r="AOM27" s="20" t="n">
        <f aca="false">IF(AND(H_Direct=0,H_TaxEvt=1,ARZ26+1&gt;=H_Deemed),AKZ27,AHM27)</f>
        <v>0</v>
      </c>
      <c r="AON27" s="20" t="n">
        <f aca="false">IF(AND(H_Direct=0,H_TaxEvt=1,ASA26+1&gt;=H_Deemed),ALA27,AHN27)</f>
        <v>0</v>
      </c>
      <c r="AOO27" s="20" t="n">
        <f aca="false">IF(AND(H_Direct=0,H_TaxEvt=1,ASB26+1&gt;=H_Deemed),ALB27,AHO27)</f>
        <v>0</v>
      </c>
      <c r="AOP27" s="20" t="n">
        <f aca="false">IF(AND(H_Direct=0,H_TaxEvt=1,ASC26+1&gt;=H_Deemed),ALC27,AHP27)</f>
        <v>671.599600191266</v>
      </c>
      <c r="AOQ27" s="20" t="n">
        <f aca="false">IF(AND(H_Direct=0,H_TaxEvt=1,ASD26+1&gt;=H_Deemed),ALD27,AHQ27)</f>
        <v>878.644963131885</v>
      </c>
      <c r="AOR27" s="20" t="n">
        <f aca="false">IF(AND(H_Direct=0,H_TaxEvt=1,ASE26+1&gt;=H_Deemed),ALE27,AHR27)</f>
        <v>1093.55214549053</v>
      </c>
      <c r="AOS27" s="20" t="n">
        <f aca="false">IF(AND(H_Direct=0,H_TaxEvt=1,ASF26+1&gt;=H_Deemed),ALF27,AHS27)</f>
        <v>1041.00939276848</v>
      </c>
      <c r="AOT27" s="20" t="n">
        <f aca="false">IF(AND(H_Direct=0,H_TaxEvt=1,ASG26+1&gt;=H_Deemed),ALG27,AHT27)</f>
        <v>1041.19311542065</v>
      </c>
      <c r="AOU27" s="20" t="n">
        <f aca="false">IF(AND(H_Direct=0,H_TaxEvt=1,ASH26+1&gt;=H_Deemed),ALH27,AHU27)</f>
        <v>1040.76141856976</v>
      </c>
      <c r="AOV27" s="20" t="n">
        <f aca="false">IF(AND(H_Direct=0,H_TaxEvt=1,ASI26+1&gt;=H_Deemed),ALI27,AHV27)</f>
        <v>1039.68342100707</v>
      </c>
      <c r="AOW27" s="20" t="n">
        <f aca="false">IF(AND(H_Direct=0,H_TaxEvt=1,ASJ26+1&gt;=H_Deemed),ALJ27,AHW27)</f>
        <v>3360.57940606182</v>
      </c>
      <c r="AOX27" s="20" t="n">
        <f aca="false">IF(AND(H_Direct=0,H_TaxEvt=1,ASK26+1&gt;=H_Deemed),ALK27,AHX27)</f>
        <v>3427.79099418306</v>
      </c>
      <c r="AOY27" s="20" t="n">
        <f aca="false">IF(AND(H_Direct=0,H_TaxEvt=1,0+1&gt;=H_Deemed),ALL27,AHY27)</f>
        <v>3496.34681406672</v>
      </c>
      <c r="AOZ27" s="20" t="n">
        <v>0</v>
      </c>
      <c r="APA27" s="20" t="n">
        <v>0</v>
      </c>
      <c r="APB27" s="20" t="n">
        <v>0</v>
      </c>
      <c r="APC27" s="20" t="n">
        <v>0</v>
      </c>
      <c r="APD27" s="20" t="n">
        <v>0</v>
      </c>
      <c r="APE27" s="20" t="n">
        <v>0</v>
      </c>
      <c r="APF27" s="20" t="n">
        <v>0</v>
      </c>
      <c r="APG27" s="20" t="n">
        <v>0</v>
      </c>
      <c r="APH27" s="20" t="n">
        <v>0</v>
      </c>
      <c r="API27" s="20" t="n">
        <v>0</v>
      </c>
      <c r="APJ27" s="20" t="n">
        <v>0</v>
      </c>
      <c r="APK27" s="20" t="n">
        <v>0</v>
      </c>
      <c r="APL27" s="20" t="n">
        <v>0</v>
      </c>
      <c r="APM27" s="20" t="n">
        <v>0</v>
      </c>
      <c r="APN27" s="20" t="n">
        <v>0</v>
      </c>
      <c r="APO27" s="20" t="n">
        <v>0</v>
      </c>
      <c r="APP27" s="20" t="n">
        <v>0</v>
      </c>
      <c r="APQ27" s="20" t="n">
        <v>0</v>
      </c>
      <c r="APR27" s="20" t="n">
        <v>0</v>
      </c>
      <c r="APS27" s="20" t="n">
        <v>0</v>
      </c>
      <c r="APT27" s="20" t="n">
        <v>0</v>
      </c>
      <c r="APU27" s="20" t="n">
        <v>0</v>
      </c>
      <c r="APV27" s="20" t="n">
        <v>0</v>
      </c>
      <c r="APW27" s="20" t="n">
        <v>0</v>
      </c>
      <c r="APX27" s="20" t="n">
        <v>0</v>
      </c>
      <c r="APY27" s="20" t="n">
        <v>0</v>
      </c>
      <c r="APZ27" s="20" t="n">
        <v>0</v>
      </c>
      <c r="AQA27" s="20" t="n">
        <v>0</v>
      </c>
      <c r="AQB27" s="20" t="n">
        <v>0</v>
      </c>
      <c r="AQC27" s="20" t="n">
        <v>0</v>
      </c>
      <c r="AQD27" s="20" t="n">
        <v>0</v>
      </c>
      <c r="AQE27" s="20" t="n">
        <v>0</v>
      </c>
      <c r="AQF27" s="20" t="n">
        <v>0</v>
      </c>
      <c r="AQG27" s="20" t="n">
        <v>0</v>
      </c>
      <c r="AQH27" s="20" t="n">
        <v>0</v>
      </c>
      <c r="AQI27" s="20" t="n">
        <v>0</v>
      </c>
      <c r="AQJ27" s="20" t="n">
        <v>0</v>
      </c>
      <c r="AQK27" s="20" t="n">
        <v>0</v>
      </c>
      <c r="AQL27" s="20" t="n">
        <v>0</v>
      </c>
      <c r="AQM27" s="20" t="n">
        <v>0</v>
      </c>
      <c r="AQN27" s="20" t="n">
        <v>0</v>
      </c>
      <c r="AQO27" s="20" t="n">
        <v>0</v>
      </c>
      <c r="AQP27" s="20" t="n">
        <v>0</v>
      </c>
      <c r="AQQ27" s="20" t="n">
        <v>0</v>
      </c>
      <c r="AQR27" s="20" t="n">
        <v>0</v>
      </c>
      <c r="AQS27" s="20" t="n">
        <v>0</v>
      </c>
      <c r="AQT27" s="20" t="n">
        <v>0</v>
      </c>
      <c r="AQU27" s="20" t="n">
        <v>0</v>
      </c>
      <c r="AQV27" s="20" t="n">
        <v>0</v>
      </c>
      <c r="AQW27" s="20" t="n">
        <v>0</v>
      </c>
      <c r="AQX27" s="20" t="n">
        <v>0</v>
      </c>
      <c r="AQY27" s="20" t="n">
        <v>0</v>
      </c>
      <c r="AQZ27" s="20" t="n">
        <v>0</v>
      </c>
      <c r="ARA27" s="20" t="n">
        <v>0</v>
      </c>
      <c r="ARB27" s="20" t="n">
        <v>0</v>
      </c>
      <c r="ARC27" s="20" t="n">
        <v>0</v>
      </c>
      <c r="ARD27" s="20" t="n">
        <v>0</v>
      </c>
      <c r="ARE27" s="20" t="n">
        <v>0</v>
      </c>
      <c r="ARF27" s="20" t="n">
        <v>0</v>
      </c>
      <c r="ARG27" s="20" t="n">
        <v>0</v>
      </c>
      <c r="ARH27" s="20" t="n">
        <v>0</v>
      </c>
      <c r="ARI27" s="20" t="n">
        <v>0</v>
      </c>
      <c r="ARJ27" s="20" t="n">
        <v>0</v>
      </c>
      <c r="ARK27" s="20" t="n">
        <v>0</v>
      </c>
      <c r="ARL27" s="20" t="n">
        <v>0</v>
      </c>
      <c r="ARM27" s="20" t="n">
        <v>0</v>
      </c>
      <c r="ARN27" s="20" t="n">
        <v>0</v>
      </c>
      <c r="ARO27" s="20" t="n">
        <v>0</v>
      </c>
      <c r="ARP27" s="20" t="n">
        <v>0</v>
      </c>
      <c r="ARQ27" s="20" t="n">
        <v>0</v>
      </c>
      <c r="ARR27" s="20" t="n">
        <f aca="false">IF(AND(H_Direct=0,H_TaxEvt=1),IF(ARR26+1&gt;=H_Deemed,0,ARR26+1),ARR26)</f>
        <v>4</v>
      </c>
      <c r="ARS27" s="20" t="n">
        <f aca="false">IF(AND(H_Direct=0,H_TaxEvt=1),IF(ARS26+1&gt;=H_Deemed,0,ARS26+1),ARS26)</f>
        <v>4</v>
      </c>
      <c r="ART27" s="20" t="n">
        <f aca="false">IF(AND(H_Direct=0,H_TaxEvt=1),IF(ART26+1&gt;=H_Deemed,0,ART26+1),ART26)</f>
        <v>3</v>
      </c>
      <c r="ARU27" s="20" t="n">
        <f aca="false">IF(AND(H_Direct=0,H_TaxEvt=1),IF(ARU26+1&gt;=H_Deemed,0,ARU26+1),ARU26)</f>
        <v>2</v>
      </c>
      <c r="ARV27" s="20" t="n">
        <f aca="false">IF(AND(H_Direct=0,H_TaxEvt=1),IF(ARV26+1&gt;=H_Deemed,0,ARV26+1),ARV26)</f>
        <v>1</v>
      </c>
      <c r="ARW27" s="20" t="n">
        <f aca="false">IF(AND(H_Direct=0,H_TaxEvt=1),IF(ARW26+1&gt;=H_Deemed,0,ARW26+1),ARW26)</f>
        <v>0</v>
      </c>
      <c r="ARX27" s="20" t="n">
        <f aca="false">IF(AND(H_Direct=0,H_TaxEvt=1),IF(ARX26+1&gt;=H_Deemed,0,ARX26+1),ARX26)</f>
        <v>7</v>
      </c>
      <c r="ARY27" s="20" t="n">
        <f aca="false">IF(AND(H_Direct=0,H_TaxEvt=1),IF(ARY26+1&gt;=H_Deemed,0,ARY26+1),ARY26)</f>
        <v>6</v>
      </c>
      <c r="ARZ27" s="20" t="n">
        <f aca="false">IF(AND(H_Direct=0,H_TaxEvt=1),IF(ARZ26+1&gt;=H_Deemed,0,ARZ26+1),ARZ26)</f>
        <v>5</v>
      </c>
      <c r="ASA27" s="20" t="n">
        <f aca="false">IF(AND(H_Direct=0,H_TaxEvt=1),IF(ASA26+1&gt;=H_Deemed,0,ASA26+1),ASA26)</f>
        <v>4</v>
      </c>
      <c r="ASB27" s="20" t="n">
        <f aca="false">IF(AND(H_Direct=0,H_TaxEvt=1),IF(ASB26+1&gt;=H_Deemed,0,ASB26+1),ASB26)</f>
        <v>3</v>
      </c>
      <c r="ASC27" s="20" t="n">
        <f aca="false">IF(AND(H_Direct=0,H_TaxEvt=1),IF(ASC26+1&gt;=H_Deemed,0,ASC26+1),ASC26)</f>
        <v>2</v>
      </c>
      <c r="ASD27" s="20" t="n">
        <f aca="false">IF(AND(H_Direct=0,H_TaxEvt=1),IF(ASD26+1&gt;=H_Deemed,0,ASD26+1),ASD26)</f>
        <v>1</v>
      </c>
      <c r="ASE27" s="20" t="n">
        <f aca="false">IF(AND(H_Direct=0,H_TaxEvt=1),IF(ASE26+1&gt;=H_Deemed,0,ASE26+1),ASE26)</f>
        <v>0</v>
      </c>
      <c r="ASF27" s="20" t="n">
        <f aca="false">IF(AND(H_Direct=0,H_TaxEvt=1),IF(ASF26+1&gt;=H_Deemed,0,ASF26+1),ASF26)</f>
        <v>7</v>
      </c>
      <c r="ASG27" s="20" t="n">
        <f aca="false">IF(AND(H_Direct=0,H_TaxEvt=1),IF(ASG26+1&gt;=H_Deemed,0,ASG26+1),ASG26)</f>
        <v>6</v>
      </c>
      <c r="ASH27" s="20" t="n">
        <f aca="false">IF(AND(H_Direct=0,H_TaxEvt=1),IF(ASH26+1&gt;=H_Deemed,0,ASH26+1),ASH26)</f>
        <v>5</v>
      </c>
      <c r="ASI27" s="20" t="n">
        <f aca="false">IF(AND(H_Direct=0,H_TaxEvt=1),IF(ASI26+1&gt;=H_Deemed,0,ASI26+1),ASI26)</f>
        <v>4</v>
      </c>
      <c r="ASJ27" s="20" t="n">
        <f aca="false">IF(AND(H_Direct=0,H_TaxEvt=1),IF(ASJ26+1&gt;=H_Deemed,0,ASJ26+1),ASJ26)</f>
        <v>3</v>
      </c>
      <c r="ASK27" s="20" t="n">
        <f aca="false">IF(AND(H_Direct=0,H_TaxEvt=1),IF(ASK26+1&gt;=H_Deemed,0,ASK26+1),ASK26)</f>
        <v>2</v>
      </c>
      <c r="ASL27" s="20" t="n">
        <f aca="false">IF(AND(H_Direct=0,H_TaxEvt=1),IF(0+1&gt;=H_Deemed,0,0+1),0)</f>
        <v>1</v>
      </c>
      <c r="ASM27" s="20" t="n">
        <v>0</v>
      </c>
      <c r="ASN27" s="20" t="n">
        <v>0</v>
      </c>
      <c r="ASO27" s="20" t="n">
        <v>0</v>
      </c>
      <c r="ASP27" s="20" t="n">
        <v>0</v>
      </c>
      <c r="ASQ27" s="20" t="n">
        <v>0</v>
      </c>
      <c r="ASR27" s="20" t="n">
        <v>0</v>
      </c>
      <c r="ASS27" s="20" t="n">
        <v>0</v>
      </c>
      <c r="AST27" s="20" t="n">
        <v>0</v>
      </c>
      <c r="ASU27" s="20" t="n">
        <v>0</v>
      </c>
      <c r="ASV27" s="20" t="n">
        <v>0</v>
      </c>
      <c r="ASW27" s="20" t="n">
        <v>0</v>
      </c>
      <c r="ASX27" s="20" t="n">
        <v>0</v>
      </c>
      <c r="ASY27" s="20" t="n">
        <v>0</v>
      </c>
      <c r="ASZ27" s="20" t="n">
        <v>0</v>
      </c>
      <c r="ATA27" s="20" t="n">
        <v>0</v>
      </c>
      <c r="ATB27" s="20" t="n">
        <v>0</v>
      </c>
      <c r="ATC27" s="20" t="n">
        <v>0</v>
      </c>
      <c r="ATD27" s="20" t="n">
        <v>0</v>
      </c>
      <c r="ATE27" s="20" t="n">
        <v>0</v>
      </c>
      <c r="ATF27" s="20" t="n">
        <v>0</v>
      </c>
      <c r="ATG27" s="20" t="n">
        <v>0</v>
      </c>
      <c r="ATH27" s="20" t="n">
        <v>0</v>
      </c>
      <c r="ATI27" s="20" t="n">
        <v>0</v>
      </c>
      <c r="ATJ27" s="20" t="n">
        <v>0</v>
      </c>
      <c r="ATK27" s="20" t="n">
        <v>0</v>
      </c>
      <c r="ATL27" s="20" t="n">
        <v>0</v>
      </c>
      <c r="ATM27" s="20" t="n">
        <v>0</v>
      </c>
      <c r="ATN27" s="20" t="n">
        <v>0</v>
      </c>
      <c r="ATO27" s="20" t="n">
        <v>0</v>
      </c>
      <c r="ATP27" s="20" t="n">
        <v>0</v>
      </c>
      <c r="ATQ27" s="20" t="n">
        <v>0</v>
      </c>
      <c r="ATR27" s="20" t="n">
        <v>0</v>
      </c>
      <c r="ATS27" s="20" t="n">
        <v>0</v>
      </c>
      <c r="ATT27" s="20" t="n">
        <v>0</v>
      </c>
      <c r="ATU27" s="20" t="n">
        <v>0</v>
      </c>
      <c r="ATV27" s="20" t="n">
        <v>0</v>
      </c>
      <c r="ATW27" s="20" t="n">
        <v>0</v>
      </c>
      <c r="ATX27" s="20" t="n">
        <v>0</v>
      </c>
      <c r="ATY27" s="20" t="n">
        <v>0</v>
      </c>
      <c r="ATZ27" s="20" t="n">
        <v>0</v>
      </c>
      <c r="AUA27" s="20" t="n">
        <v>0</v>
      </c>
      <c r="AUB27" s="20" t="n">
        <v>0</v>
      </c>
      <c r="AUC27" s="20" t="n">
        <v>0</v>
      </c>
      <c r="AUD27" s="20" t="n">
        <v>0</v>
      </c>
      <c r="AUE27" s="20" t="n">
        <v>0</v>
      </c>
      <c r="AUF27" s="20" t="n">
        <v>0</v>
      </c>
      <c r="AUG27" s="20" t="n">
        <v>0</v>
      </c>
      <c r="AUH27" s="20" t="n">
        <v>0</v>
      </c>
      <c r="AUI27" s="20" t="n">
        <v>0</v>
      </c>
      <c r="AUJ27" s="20" t="n">
        <v>0</v>
      </c>
      <c r="AUK27" s="20" t="n">
        <v>0</v>
      </c>
      <c r="AUL27" s="20" t="n">
        <v>0</v>
      </c>
      <c r="AUM27" s="20" t="n">
        <v>0</v>
      </c>
      <c r="AUN27" s="20" t="n">
        <v>0</v>
      </c>
      <c r="AUO27" s="20" t="n">
        <v>0</v>
      </c>
      <c r="AUP27" s="20" t="n">
        <v>0</v>
      </c>
      <c r="AUQ27" s="20" t="n">
        <v>0</v>
      </c>
      <c r="AUR27" s="20" t="n">
        <v>0</v>
      </c>
      <c r="AUS27" s="20" t="n">
        <v>0</v>
      </c>
      <c r="AUT27" s="20" t="n">
        <v>0</v>
      </c>
      <c r="AUU27" s="20" t="n">
        <v>0</v>
      </c>
      <c r="AUV27" s="20" t="n">
        <v>0</v>
      </c>
      <c r="AUW27" s="20" t="n">
        <v>0</v>
      </c>
      <c r="AUX27" s="20" t="n">
        <v>0</v>
      </c>
      <c r="AUY27" s="20" t="n">
        <v>0</v>
      </c>
      <c r="AUZ27" s="20" t="n">
        <v>0</v>
      </c>
      <c r="AVA27" s="20" t="n">
        <v>0</v>
      </c>
      <c r="AVB27" s="20" t="n">
        <v>0</v>
      </c>
      <c r="AVC27" s="20" t="n">
        <v>0</v>
      </c>
      <c r="AVD27" s="20" t="n">
        <v>0</v>
      </c>
      <c r="AVE27" s="20" t="n">
        <f aca="false">IF(AND(H_Direct=0,H_TaxEvt=1,ARR26+1&gt;=H_Deemed),MAX(0,ADR27-AHE27)*H_Exit,0)</f>
        <v>0</v>
      </c>
      <c r="AVF27" s="20" t="n">
        <f aca="false">IF(AND(H_Direct=0,H_TaxEvt=1,ARS26+1&gt;=H_Deemed),MAX(0,ADS27-AHF27)*H_Exit,0)</f>
        <v>0</v>
      </c>
      <c r="AVG27" s="20" t="n">
        <f aca="false">IF(AND(H_Direct=0,H_TaxEvt=1,ART26+1&gt;=H_Deemed),MAX(0,ADT27-AHG27)*H_Exit,0)</f>
        <v>0</v>
      </c>
      <c r="AVH27" s="20" t="n">
        <f aca="false">IF(AND(H_Direct=0,H_TaxEvt=1,ARU26+1&gt;=H_Deemed),MAX(0,ADU27-AHH27)*H_Exit,0)</f>
        <v>0</v>
      </c>
      <c r="AVI27" s="20" t="n">
        <f aca="false">IF(AND(H_Direct=0,H_TaxEvt=1,ARV26+1&gt;=H_Deemed),MAX(0,ADV27-AHI27)*H_Exit,0)</f>
        <v>0</v>
      </c>
      <c r="AVJ27" s="20" t="n">
        <f aca="false">IF(AND(H_Direct=0,H_TaxEvt=1,ARW26+1&gt;=H_Deemed),MAX(0,ADW27-AHJ27)*H_Exit,0)</f>
        <v>0</v>
      </c>
      <c r="AVK27" s="20" t="n">
        <f aca="false">IF(AND(H_Direct=0,H_TaxEvt=1,ARX26+1&gt;=H_Deemed),MAX(0,ADX27-AHK27)*H_Exit,0)</f>
        <v>0</v>
      </c>
      <c r="AVL27" s="20" t="n">
        <f aca="false">IF(AND(H_Direct=0,H_TaxEvt=1,ARY26+1&gt;=H_Deemed),MAX(0,ADY27-AHL27)*H_Exit,0)</f>
        <v>0</v>
      </c>
      <c r="AVM27" s="20" t="n">
        <f aca="false">IF(AND(H_Direct=0,H_TaxEvt=1,ARZ26+1&gt;=H_Deemed),MAX(0,ADZ27-AHM27)*H_Exit,0)</f>
        <v>0</v>
      </c>
      <c r="AVN27" s="20" t="n">
        <f aca="false">IF(AND(H_Direct=0,H_TaxEvt=1,ASA26+1&gt;=H_Deemed),MAX(0,AEA27-AHN27)*H_Exit,0)</f>
        <v>0</v>
      </c>
      <c r="AVO27" s="20" t="n">
        <f aca="false">IF(AND(H_Direct=0,H_TaxEvt=1,ASB26+1&gt;=H_Deemed),MAX(0,AEB27-AHO27)*H_Exit,0)</f>
        <v>0</v>
      </c>
      <c r="AVP27" s="20" t="n">
        <f aca="false">IF(AND(H_Direct=0,H_TaxEvt=1,ASC26+1&gt;=H_Deemed),MAX(0,AEC27-AHP27)*H_Exit,0)</f>
        <v>0</v>
      </c>
      <c r="AVQ27" s="20" t="n">
        <f aca="false">IF(AND(H_Direct=0,H_TaxEvt=1,ASD26+1&gt;=H_Deemed),MAX(0,AED27-AHQ27)*H_Exit,0)</f>
        <v>0</v>
      </c>
      <c r="AVR27" s="20" t="n">
        <f aca="false">IF(AND(H_Direct=0,H_TaxEvt=1,ASE26+1&gt;=H_Deemed),MAX(0,AEE27-AHR27)*H_Exit,0)</f>
        <v>124.670088430092</v>
      </c>
      <c r="AVS27" s="20" t="n">
        <f aca="false">IF(AND(H_Direct=0,H_TaxEvt=1,ASF26+1&gt;=H_Deemed),MAX(0,AEF27-AHS27)*H_Exit,0)</f>
        <v>0</v>
      </c>
      <c r="AVT27" s="20" t="n">
        <f aca="false">IF(AND(H_Direct=0,H_TaxEvt=1,ASG26+1&gt;=H_Deemed),MAX(0,AEG27-AHT27)*H_Exit,0)</f>
        <v>0</v>
      </c>
      <c r="AVU27" s="20" t="n">
        <f aca="false">IF(AND(H_Direct=0,H_TaxEvt=1,ASH26+1&gt;=H_Deemed),MAX(0,AEH27-AHU27)*H_Exit,0)</f>
        <v>0</v>
      </c>
      <c r="AVV27" s="20" t="n">
        <f aca="false">IF(AND(H_Direct=0,H_TaxEvt=1,ASI26+1&gt;=H_Deemed),MAX(0,AEI27-AHV27)*H_Exit,0)</f>
        <v>0</v>
      </c>
      <c r="AVW27" s="20" t="n">
        <f aca="false">IF(AND(H_Direct=0,H_TaxEvt=1,ASJ26+1&gt;=H_Deemed),MAX(0,AEJ27-AHW27)*H_Exit,0)</f>
        <v>0</v>
      </c>
      <c r="AVX27" s="20" t="n">
        <f aca="false">IF(AND(H_Direct=0,H_TaxEvt=1,ASK26+1&gt;=H_Deemed),MAX(0,AEK27-AHX27)*H_Exit,0)</f>
        <v>0</v>
      </c>
      <c r="AVY27" s="20" t="n">
        <f aca="false">IF(AND(H_Direct=0,H_TaxEvt=1,0+1&gt;=H_Deemed),MAX(0,AEL27-AHY27)*H_Exit,0)</f>
        <v>0</v>
      </c>
      <c r="AVZ27" s="20" t="n">
        <v>0</v>
      </c>
      <c r="AWA27" s="20" t="n">
        <v>0</v>
      </c>
      <c r="AWB27" s="20" t="n">
        <v>0</v>
      </c>
      <c r="AWC27" s="20" t="n">
        <v>0</v>
      </c>
      <c r="AWD27" s="20" t="n">
        <v>0</v>
      </c>
      <c r="AWE27" s="20" t="n">
        <v>0</v>
      </c>
      <c r="AWF27" s="20" t="n">
        <v>0</v>
      </c>
      <c r="AWG27" s="20" t="n">
        <v>0</v>
      </c>
      <c r="AWH27" s="20" t="n">
        <v>0</v>
      </c>
      <c r="AWI27" s="20" t="n">
        <v>0</v>
      </c>
      <c r="AWJ27" s="20" t="n">
        <v>0</v>
      </c>
      <c r="AWK27" s="20" t="n">
        <v>0</v>
      </c>
      <c r="AWL27" s="20" t="n">
        <v>0</v>
      </c>
      <c r="AWM27" s="20" t="n">
        <v>0</v>
      </c>
      <c r="AWN27" s="20" t="n">
        <v>0</v>
      </c>
      <c r="AWO27" s="20" t="n">
        <v>0</v>
      </c>
      <c r="AWP27" s="20" t="n">
        <v>0</v>
      </c>
      <c r="AWQ27" s="20" t="n">
        <v>0</v>
      </c>
      <c r="AWR27" s="20" t="n">
        <v>0</v>
      </c>
      <c r="AWS27" s="20" t="n">
        <v>0</v>
      </c>
      <c r="AWT27" s="20" t="n">
        <v>0</v>
      </c>
      <c r="AWU27" s="20" t="n">
        <v>0</v>
      </c>
      <c r="AWV27" s="20" t="n">
        <v>0</v>
      </c>
      <c r="AWW27" s="20" t="n">
        <v>0</v>
      </c>
      <c r="AWX27" s="20" t="n">
        <v>0</v>
      </c>
      <c r="AWY27" s="20" t="n">
        <v>0</v>
      </c>
      <c r="AWZ27" s="20" t="n">
        <v>0</v>
      </c>
      <c r="AXA27" s="20" t="n">
        <v>0</v>
      </c>
      <c r="AXB27" s="20" t="n">
        <v>0</v>
      </c>
      <c r="AXC27" s="20" t="n">
        <v>0</v>
      </c>
      <c r="AXD27" s="20" t="n">
        <v>0</v>
      </c>
      <c r="AXE27" s="20" t="n">
        <v>0</v>
      </c>
      <c r="AXF27" s="20" t="n">
        <v>0</v>
      </c>
      <c r="AXG27" s="20" t="n">
        <v>0</v>
      </c>
      <c r="AXH27" s="20" t="n">
        <v>0</v>
      </c>
      <c r="AXI27" s="20" t="n">
        <v>0</v>
      </c>
      <c r="AXJ27" s="20" t="n">
        <v>0</v>
      </c>
      <c r="AXK27" s="20" t="n">
        <v>0</v>
      </c>
      <c r="AXL27" s="20" t="n">
        <v>0</v>
      </c>
      <c r="AXM27" s="20" t="n">
        <v>0</v>
      </c>
      <c r="AXN27" s="20" t="n">
        <v>0</v>
      </c>
      <c r="AXO27" s="20" t="n">
        <v>0</v>
      </c>
      <c r="AXP27" s="20" t="n">
        <v>0</v>
      </c>
      <c r="AXQ27" s="20" t="n">
        <v>0</v>
      </c>
      <c r="AXR27" s="20" t="n">
        <v>0</v>
      </c>
      <c r="AXS27" s="20" t="n">
        <v>0</v>
      </c>
      <c r="AXT27" s="20" t="n">
        <v>0</v>
      </c>
      <c r="AXU27" s="20" t="n">
        <v>0</v>
      </c>
      <c r="AXV27" s="20" t="n">
        <v>0</v>
      </c>
      <c r="AXW27" s="20" t="n">
        <v>0</v>
      </c>
      <c r="AXX27" s="20" t="n">
        <v>0</v>
      </c>
      <c r="AXY27" s="20" t="n">
        <v>0</v>
      </c>
      <c r="AXZ27" s="20" t="n">
        <v>0</v>
      </c>
      <c r="AYA27" s="20" t="n">
        <v>0</v>
      </c>
      <c r="AYB27" s="20" t="n">
        <v>0</v>
      </c>
      <c r="AYC27" s="20" t="n">
        <v>0</v>
      </c>
      <c r="AYD27" s="20" t="n">
        <v>0</v>
      </c>
      <c r="AYE27" s="20" t="n">
        <v>0</v>
      </c>
      <c r="AYF27" s="20" t="n">
        <v>0</v>
      </c>
      <c r="AYG27" s="20" t="n">
        <v>0</v>
      </c>
      <c r="AYH27" s="20" t="n">
        <v>0</v>
      </c>
      <c r="AYI27" s="20" t="n">
        <v>0</v>
      </c>
      <c r="AYJ27" s="20" t="n">
        <v>0</v>
      </c>
      <c r="AYK27" s="20" t="n">
        <v>0</v>
      </c>
      <c r="AYL27" s="20" t="n">
        <v>0</v>
      </c>
      <c r="AYM27" s="20" t="n">
        <v>0</v>
      </c>
      <c r="AYN27" s="20" t="n">
        <v>0</v>
      </c>
      <c r="AYO27" s="20" t="n">
        <v>0</v>
      </c>
      <c r="AYP27" s="20" t="n">
        <v>0</v>
      </c>
      <c r="AYQ27" s="20" t="n">
        <v>0</v>
      </c>
    </row>
    <row r="28" customFormat="false" ht="15" hidden="false" customHeight="false" outlineLevel="0" collapsed="false">
      <c r="B28" s="20" t="n">
        <v>20</v>
      </c>
      <c r="C28" s="20" t="n">
        <f aca="false">'Plan cashflow'!C28</f>
        <v>1</v>
      </c>
      <c r="D28" s="20" t="n">
        <f aca="false">'Plan cashflow'!D28</f>
        <v>58</v>
      </c>
      <c r="E28" s="20" t="n">
        <f aca="false">AS_Year0+20</f>
        <v>2046</v>
      </c>
      <c r="F28" s="50" t="n">
        <f aca="false">'Plan cashflow'!F28</f>
        <v>1.48594739597836</v>
      </c>
      <c r="G28" s="59" t="n">
        <f aca="true">IF(MAX(TODAY(),DATE(E28,1,1))&gt;=H_CGTfrom,H_CGT1,H_CGT0)</f>
        <v>0.31</v>
      </c>
      <c r="H28" s="20" t="n">
        <f aca="false">H_Exempt*H_Persons</f>
        <v>1270</v>
      </c>
      <c r="I28" s="20" t="n">
        <f aca="false">AX27</f>
        <v>0</v>
      </c>
      <c r="J28" s="60" t="n">
        <f aca="false">BF27</f>
        <v>25856.2377170307</v>
      </c>
      <c r="K28" s="60" t="n">
        <f aca="false">BG27</f>
        <v>0</v>
      </c>
      <c r="L28" s="20" t="n">
        <f aca="false">IF(AND(In_polLump&gt;0,In_polLumpAge&gt;0,D28=In_polLumpAge),In_polLump,0)</f>
        <v>0</v>
      </c>
      <c r="M28" s="20" t="n">
        <f aca="false">IF(AND(In_homeUse="Yes, I'd downsize",In_downAge&gt;0,D28=In_downAge,OR(In_home="Own outright",In_home="Own with mortgage"),In_homeValue&gt;0),MAX(0,MAX(0,In_homeValue-In_downValue)*F28*0.9-'Plan cashflow'!HR27),0)</f>
        <v>0</v>
      </c>
      <c r="N28" s="20" t="n">
        <f aca="false">'Plan pay &amp; tax'!Y254</f>
        <v>0</v>
      </c>
      <c r="O28" s="20" t="n">
        <f aca="false">L28+M28+(1-H_Sh)*N28</f>
        <v>0</v>
      </c>
      <c r="P28" s="20" t="n">
        <f aca="false">H_Sh*N28</f>
        <v>0</v>
      </c>
      <c r="Q28" s="20" t="n">
        <f aca="false">'Plan cashflow'!UL28</f>
        <v>0</v>
      </c>
      <c r="R28" s="20" t="n">
        <f aca="false">(1-H_Sh)*Q28</f>
        <v>0</v>
      </c>
      <c r="S28" s="20" t="n">
        <f aca="false">H_Sh*Q28</f>
        <v>0</v>
      </c>
      <c r="T28" s="20" t="n">
        <f aca="false">J28+K28+O28</f>
        <v>25856.2377170307</v>
      </c>
      <c r="U28" s="20" t="n">
        <f aca="false">T28+R28</f>
        <v>25856.2377170307</v>
      </c>
      <c r="V28" s="60" t="n">
        <f aca="false">SUM(FE28:IQ28)</f>
        <v>18291.6950012849</v>
      </c>
      <c r="W28" s="60" t="n">
        <f aca="false">IF(AJ28&lt;=0,0,IF(AL28&lt;=0,AJ28,AJ28-G28*MAX(0,AL28*AJ28-(AY28+AZ28))))</f>
        <v>0</v>
      </c>
      <c r="X28" s="60" t="n">
        <f aca="false">IF(AR28&lt;=0,0,IF(AT28&lt;=0,AR28,AR28-G28*MAX(0,AT28*AR28-(BA28+BB28))))</f>
        <v>0</v>
      </c>
      <c r="Y28" s="60" t="n">
        <f aca="false">T28+V28-S28+W28+X28</f>
        <v>44147.9327183156</v>
      </c>
      <c r="Z28" s="60" t="n">
        <f aca="false">'Plan cashflow'!UK28</f>
        <v>0</v>
      </c>
      <c r="AA28" s="20" t="n">
        <f aca="false">MIN(Z28,U28)</f>
        <v>0</v>
      </c>
      <c r="AB28" s="20" t="n">
        <f aca="false">Z28-AA28</f>
        <v>0</v>
      </c>
      <c r="AC28" s="20" t="n">
        <f aca="false">MIN(AA28,J28+O28+R28)</f>
        <v>0</v>
      </c>
      <c r="AD28" s="20" t="n">
        <f aca="false">AA28-AC28</f>
        <v>0</v>
      </c>
      <c r="AE28" s="20" t="n">
        <f aca="false">J28+O28+R28-AC28</f>
        <v>25856.2377170307</v>
      </c>
      <c r="AF28" s="20" t="n">
        <f aca="false">K28-AD28</f>
        <v>0</v>
      </c>
      <c r="AG28" s="20" t="n">
        <f aca="false">SUM(PR28:TD28)</f>
        <v>0</v>
      </c>
      <c r="AH28" s="20" t="n">
        <f aca="false">SUM(TE28:WQ28)</f>
        <v>0</v>
      </c>
      <c r="AI28" s="20" t="n">
        <f aca="false">MAX(0,AB28-AG28)</f>
        <v>0</v>
      </c>
      <c r="AJ28" s="57" t="n">
        <f aca="false">BI27</f>
        <v>0</v>
      </c>
      <c r="AK28" s="20" t="n">
        <f aca="false">BJ27</f>
        <v>0</v>
      </c>
      <c r="AL28" s="20" t="n">
        <f aca="false">IF(AJ28&gt;0,(AJ28-AK28)/AJ28,0)</f>
        <v>0</v>
      </c>
      <c r="AM28" s="20" t="n">
        <f aca="false">IF(AJ28&lt;=0,0,IF(AL28&lt;=0,MIN(AI28,AJ28),MIN(AI28,AJ28-G28*MAX(0,AL28*AJ28-(AAD28+ADQ28)))))</f>
        <v>0</v>
      </c>
      <c r="AN28" s="20" t="n">
        <f aca="false">IF(AJ28&lt;=0,0,IF(AL28&lt;=0,AM28,IF(AM28&lt;=(AAD28+ADQ28)/AL28,AM28,(AM28-G28*(AAD28+ADQ28))/(1-G28*AL28))))</f>
        <v>0</v>
      </c>
      <c r="AO28" s="20" t="n">
        <f aca="false">IF(AL28&gt;0,MAX(0,AAD28-(MIN(AL28*AN28,(AAD28+ADQ28))-MIN(MIN(AL28*AN28,(AAD28+ADQ28)),ADQ28))),AAD28)</f>
        <v>1270</v>
      </c>
      <c r="AP28" s="20" t="n">
        <f aca="false">IF(AL28&lt;=0,ADQ28-AL28*AN28,ADQ28-MIN(MIN(AL28*AN28,(AAD28+ADQ28)),ADQ28))</f>
        <v>0</v>
      </c>
      <c r="AQ28" s="20" t="n">
        <f aca="false">MAX(0,AI28-AM28)</f>
        <v>0</v>
      </c>
      <c r="AR28" s="57" t="n">
        <f aca="false">BK27</f>
        <v>0</v>
      </c>
      <c r="AS28" s="20" t="n">
        <f aca="false">BL27</f>
        <v>0</v>
      </c>
      <c r="AT28" s="20" t="n">
        <f aca="false">IF(AR28&gt;0,(AR28-AS28)/AR28,0)</f>
        <v>0</v>
      </c>
      <c r="AU28" s="20" t="n">
        <f aca="false">IF(AR28&lt;=0,0,IF(AT28&lt;=0,MIN(AQ28,AR28),MIN(AQ28,AR28-G28*MAX(0,AT28*AR28-(AO28+AP28)))))</f>
        <v>0</v>
      </c>
      <c r="AV28" s="20" t="n">
        <f aca="false">IF(AR28&lt;=0,0,IF(AT28&lt;=0,AU28,IF(AU28&lt;=(AO28+AP28)/AT28,AU28,(AU28-G28*(AO28+AP28))/(1-G28*AT28))))</f>
        <v>0</v>
      </c>
      <c r="AW28" s="20" t="n">
        <f aca="false">IF(AT28&gt;0,MAX(0,AO28-(MIN(AT28*AV28,(AO28+AP28))-MIN(MIN(AT28*AV28,(AO28+AP28)),AP28))),AO28)</f>
        <v>1270</v>
      </c>
      <c r="AX28" s="20" t="n">
        <f aca="false">IF(AT28&lt;=0,AP28-AT28*AV28,AP28-MIN(MIN(AT28*AV28,(AO28+AP28)),AP28))</f>
        <v>0</v>
      </c>
      <c r="AY28" s="20" t="n">
        <f aca="false">MD28</f>
        <v>1270</v>
      </c>
      <c r="AZ28" s="20" t="n">
        <f aca="false">PQ28</f>
        <v>0</v>
      </c>
      <c r="BA28" s="20" t="n">
        <f aca="false">IF(AL28&gt;0,MAX(0,AY28-(MIN(AL28*AJ28,AY28+AZ28)-MIN(MIN(AL28*AJ28,AY28+AZ28),AZ28))),AY28)</f>
        <v>1270</v>
      </c>
      <c r="BB28" s="20" t="n">
        <f aca="false">IF(AL28&lt;=0,AZ28-AL28*AJ28,AZ28-MIN(MIN(AL28*AJ28,AY28+AZ28),AZ28))</f>
        <v>0</v>
      </c>
      <c r="BC28" s="20" t="n">
        <f aca="false">'Plan cashflow'!UM28</f>
        <v>8915.68437587013</v>
      </c>
      <c r="BD28" s="20" t="n">
        <f aca="false">(1-H_Sh)*BC28</f>
        <v>5349.41062552208</v>
      </c>
      <c r="BE28" s="20" t="n">
        <f aca="false">H_Sh*BC28</f>
        <v>3566.27375034805</v>
      </c>
      <c r="BF28" s="60" t="n">
        <f aca="false">(AE28+BD28)*(1+AS_Cash)</f>
        <v>31517.7048259783</v>
      </c>
      <c r="BG28" s="60" t="n">
        <f aca="false">AF28*(1+AS_Cash)</f>
        <v>0</v>
      </c>
      <c r="BH28" s="60" t="n">
        <f aca="false">SUM(AKR28:AOD28)</f>
        <v>23351.7310771127</v>
      </c>
      <c r="BI28" s="60" t="n">
        <f aca="false">(AJ28-AN28)*(1+AS_Infl)</f>
        <v>0</v>
      </c>
      <c r="BJ28" s="20" t="n">
        <f aca="false">IF(AJ28&gt;0,AK28-AK28*AN28/AJ28,0)</f>
        <v>0</v>
      </c>
      <c r="BK28" s="60" t="n">
        <f aca="false">(AR28-AV28)*(1+BQ28)</f>
        <v>0</v>
      </c>
      <c r="BL28" s="20" t="n">
        <f aca="false">IF(AR28&gt;0,AS28-AS28*AV28/AR28,0)</f>
        <v>0</v>
      </c>
      <c r="BM28" s="60" t="n">
        <f aca="false">BF28+BG28+BH28+BI28+BK28</f>
        <v>54869.4359030911</v>
      </c>
      <c r="BN28" s="60" t="n">
        <f aca="false">(AH28-AG28)+(AN28-AM28)+(AV28-AU28)</f>
        <v>0</v>
      </c>
      <c r="BO28" s="20" t="n">
        <f aca="false">(AE28+BD28+AF28+MAX(0,'Plan cashflow'!QH28)+IF(Slot1_Rate=AS_Cash,'Plan cashflow'!QM28/(1+AS_Cash),0)+IF(Slot2_Rate=AS_Cash,'Plan cashflow'!QQ28/(1+AS_Cash),0)+IF(Slot3_Rate=AS_Cash,'Plan cashflow'!QU28/(1+AS_Cash),0)+IF(Slot4_Rate=AS_Cash,'Plan cashflow'!QY28/(1+AS_Cash),0)+IF(Slot5_Rate=AS_Cash,'Plan cashflow'!RC28/(1+AS_Cash),0)+IF(Slot6_Rate=AS_Cash,'Plan cashflow'!RG28/(1+AS_Cash),0)+IF(Slot7_Rate=AS_Cash,'Plan cashflow'!RK28/(1+AS_Cash),0)+IF(Slot8_Rate=AS_Cash,'Plan cashflow'!RO28/(1+AS_Cash),0)+IF(Slot9_Rate=AS_Cash,'Plan cashflow'!RS28/(1+AS_Cash),0)+IF(Slot10_Rate=AS_Cash,'Plan cashflow'!RW28/(1+AS_Cash),0)+IF(Slot11_Rate=AS_Cash,'Plan cashflow'!SA28/(1+AS_Cash),0)+IF(Slot12_Rate=AS_Cash,'Plan cashflow'!SE28/(1+AS_Cash),0)+IF(Slot13_Rate=AS_Cash,'Plan cashflow'!SI28/(1+AS_Cash),0)+IF(Slot14_Rate=AS_Cash,'Plan cashflow'!SM28/(1+AS_Cash),0)+IF(Slot15_Rate=AS_Cash,'Plan cashflow'!SQ28/(1+AS_Cash),0)+IF(Slot16_Rate=AS_Cash,'Plan cashflow'!SU28/(1+AS_Cash),0)+IF(Slot17_Rate=AS_Cash,'Plan cashflow'!SY28/(1+AS_Cash),0)+IF(Slot18_Rate=AS_Cash,'Plan cashflow'!TC28/(1+AS_Cash),0)+IF(Slot19_Rate=AS_Cash,'Plan cashflow'!TG28/(1+AS_Cash),0)+IF(Slot20_Rate=AS_Cash,'Plan cashflow'!TK28/(1+AS_Cash),0))*AS_Cash*H_DIRT/(1-H_DIRT)</f>
        <v>220.735238854112</v>
      </c>
      <c r="BP28" s="60" t="n">
        <f aca="false">SUM(AVE28:AYQ28)</f>
        <v>145.799860475147</v>
      </c>
      <c r="BQ28" s="54" t="n">
        <f aca="false">IF(H_TaxEvt=1,H_InvG,AS_Inv)</f>
        <v>0.04</v>
      </c>
      <c r="BR28" s="20" t="n">
        <f aca="false">IF(AKR27&gt;0,(AKR27-AOE27)/AKR27,0)</f>
        <v>0</v>
      </c>
      <c r="BS28" s="20" t="n">
        <f aca="false">IF(AKS27&gt;0,(AKS27-AOF27)/AKS27,0)</f>
        <v>0</v>
      </c>
      <c r="BT28" s="20" t="n">
        <f aca="false">IF(AKT27&gt;0,(AKT27-AOG27)/AKT27,0)</f>
        <v>0</v>
      </c>
      <c r="BU28" s="20" t="n">
        <f aca="false">IF(AKU27&gt;0,(AKU27-AOH27)/AKU27,0)</f>
        <v>0</v>
      </c>
      <c r="BV28" s="20" t="n">
        <f aca="false">IF(AKV27&gt;0,(AKV27-AOI27)/AKV27,0)</f>
        <v>0</v>
      </c>
      <c r="BW28" s="20" t="n">
        <f aca="false">IF(AKW27&gt;0,(AKW27-AOJ27)/AKW27,0)</f>
        <v>0</v>
      </c>
      <c r="BX28" s="20" t="n">
        <f aca="false">IF(AKX27&gt;0,(AKX27-AOK27)/AKX27,0)</f>
        <v>0</v>
      </c>
      <c r="BY28" s="20" t="n">
        <f aca="false">IF(AKY27&gt;0,(AKY27-AOL27)/AKY27,0)</f>
        <v>0</v>
      </c>
      <c r="BZ28" s="20" t="n">
        <f aca="false">IF(AKZ27&gt;0,(AKZ27-AOM27)/AKZ27,0)</f>
        <v>0</v>
      </c>
      <c r="CA28" s="20" t="n">
        <f aca="false">IF(ALA27&gt;0,(ALA27-AON27)/ALA27,0)</f>
        <v>0</v>
      </c>
      <c r="CB28" s="20" t="n">
        <f aca="false">IF(ALB27&gt;0,(ALB27-AOO27)/ALB27,0)</f>
        <v>0</v>
      </c>
      <c r="CC28" s="20" t="n">
        <f aca="false">IF(ALC27&gt;0,(ALC27-AOP27)/ALC27,0)</f>
        <v>0.0754437869822485</v>
      </c>
      <c r="CD28" s="20" t="n">
        <f aca="false">IF(ALD27&gt;0,(ALD27-AOQ27)/ALD27,0)</f>
        <v>0.0384615384615385</v>
      </c>
      <c r="CE28" s="20" t="n">
        <f aca="false">IF(ALE27&gt;0,(ALE27-AOR27)/ALE27,0)</f>
        <v>0</v>
      </c>
      <c r="CF28" s="20" t="n">
        <f aca="false">IF(ALF27&gt;0,(ALF27-AOS27)/ALF27,0)</f>
        <v>0.240082186797937</v>
      </c>
      <c r="CG28" s="20" t="n">
        <f aca="false">IF(ALG27&gt;0,(ALG27-AOT27)/ALG27,0)</f>
        <v>0.209685474269854</v>
      </c>
      <c r="CH28" s="20" t="n">
        <f aca="false">IF(ALH27&gt;0,(ALH27-AOU27)/ALH27,0)</f>
        <v>0.178072893240648</v>
      </c>
      <c r="CI28" s="20" t="n">
        <f aca="false">IF(ALI27&gt;0,(ALI27-AOV27)/ALI27,0)</f>
        <v>0.145195808970274</v>
      </c>
      <c r="CJ28" s="20" t="n">
        <f aca="false">IF(ALJ27&gt;0,(ALJ27-AOW27)/ALJ27,0)</f>
        <v>0.111003641329085</v>
      </c>
      <c r="CK28" s="20" t="n">
        <f aca="false">IF(ALK27&gt;0,(ALK27-AOX27)/ALK27,0)</f>
        <v>0.0754437869822486</v>
      </c>
      <c r="CL28" s="20" t="n">
        <f aca="false">IF(ALL27&gt;0,(ALL27-AOY27)/ALL27,0)</f>
        <v>0.0384615384615385</v>
      </c>
      <c r="CM28" s="20" t="n">
        <f aca="false">IF((P28+S28)&gt;0,((P28+S28)-(P28+S28))/(P28+S28),0)</f>
        <v>0</v>
      </c>
      <c r="CN28" s="20" t="n">
        <v>0</v>
      </c>
      <c r="CO28" s="20" t="n">
        <v>0</v>
      </c>
      <c r="CP28" s="20" t="n">
        <v>0</v>
      </c>
      <c r="CQ28" s="20" t="n">
        <v>0</v>
      </c>
      <c r="CR28" s="20" t="n">
        <v>0</v>
      </c>
      <c r="CS28" s="20" t="n">
        <v>0</v>
      </c>
      <c r="CT28" s="20" t="n">
        <v>0</v>
      </c>
      <c r="CU28" s="20" t="n">
        <v>0</v>
      </c>
      <c r="CV28" s="20" t="n">
        <v>0</v>
      </c>
      <c r="CW28" s="20" t="n">
        <v>0</v>
      </c>
      <c r="CX28" s="20" t="n">
        <v>0</v>
      </c>
      <c r="CY28" s="20" t="n">
        <v>0</v>
      </c>
      <c r="CZ28" s="20" t="n">
        <v>0</v>
      </c>
      <c r="DA28" s="20" t="n">
        <v>0</v>
      </c>
      <c r="DB28" s="20" t="n">
        <v>0</v>
      </c>
      <c r="DC28" s="20" t="n">
        <v>0</v>
      </c>
      <c r="DD28" s="20" t="n">
        <v>0</v>
      </c>
      <c r="DE28" s="20" t="n">
        <v>0</v>
      </c>
      <c r="DF28" s="20" t="n">
        <v>0</v>
      </c>
      <c r="DG28" s="20" t="n">
        <v>0</v>
      </c>
      <c r="DH28" s="20" t="n">
        <v>0</v>
      </c>
      <c r="DI28" s="20" t="n">
        <v>0</v>
      </c>
      <c r="DJ28" s="20" t="n">
        <v>0</v>
      </c>
      <c r="DK28" s="20" t="n">
        <v>0</v>
      </c>
      <c r="DL28" s="20" t="n">
        <v>0</v>
      </c>
      <c r="DM28" s="20" t="n">
        <v>0</v>
      </c>
      <c r="DN28" s="20" t="n">
        <v>0</v>
      </c>
      <c r="DO28" s="20" t="n">
        <v>0</v>
      </c>
      <c r="DP28" s="20" t="n">
        <v>0</v>
      </c>
      <c r="DQ28" s="20" t="n">
        <v>0</v>
      </c>
      <c r="DR28" s="20" t="n">
        <v>0</v>
      </c>
      <c r="DS28" s="20" t="n">
        <v>0</v>
      </c>
      <c r="DT28" s="20" t="n">
        <v>0</v>
      </c>
      <c r="DU28" s="20" t="n">
        <v>0</v>
      </c>
      <c r="DV28" s="20" t="n">
        <v>0</v>
      </c>
      <c r="DW28" s="20" t="n">
        <v>0</v>
      </c>
      <c r="DX28" s="20" t="n">
        <v>0</v>
      </c>
      <c r="DY28" s="20" t="n">
        <v>0</v>
      </c>
      <c r="DZ28" s="20" t="n">
        <v>0</v>
      </c>
      <c r="EA28" s="20" t="n">
        <v>0</v>
      </c>
      <c r="EB28" s="20" t="n">
        <v>0</v>
      </c>
      <c r="EC28" s="20" t="n">
        <v>0</v>
      </c>
      <c r="ED28" s="20" t="n">
        <v>0</v>
      </c>
      <c r="EE28" s="20" t="n">
        <v>0</v>
      </c>
      <c r="EF28" s="20" t="n">
        <v>0</v>
      </c>
      <c r="EG28" s="20" t="n">
        <v>0</v>
      </c>
      <c r="EH28" s="20" t="n">
        <v>0</v>
      </c>
      <c r="EI28" s="20" t="n">
        <v>0</v>
      </c>
      <c r="EJ28" s="20" t="n">
        <v>0</v>
      </c>
      <c r="EK28" s="20" t="n">
        <v>0</v>
      </c>
      <c r="EL28" s="20" t="n">
        <v>0</v>
      </c>
      <c r="EM28" s="20" t="n">
        <v>0</v>
      </c>
      <c r="EN28" s="20" t="n">
        <v>0</v>
      </c>
      <c r="EO28" s="20" t="n">
        <v>0</v>
      </c>
      <c r="EP28" s="20" t="n">
        <v>0</v>
      </c>
      <c r="EQ28" s="20" t="n">
        <v>0</v>
      </c>
      <c r="ER28" s="20" t="n">
        <v>0</v>
      </c>
      <c r="ES28" s="20" t="n">
        <v>0</v>
      </c>
      <c r="ET28" s="20" t="n">
        <v>0</v>
      </c>
      <c r="EU28" s="20" t="n">
        <v>0</v>
      </c>
      <c r="EV28" s="20" t="n">
        <v>0</v>
      </c>
      <c r="EW28" s="20" t="n">
        <v>0</v>
      </c>
      <c r="EX28" s="20" t="n">
        <v>0</v>
      </c>
      <c r="EY28" s="20" t="n">
        <v>0</v>
      </c>
      <c r="EZ28" s="20" t="n">
        <v>0</v>
      </c>
      <c r="FA28" s="20" t="n">
        <v>0</v>
      </c>
      <c r="FB28" s="20" t="n">
        <v>0</v>
      </c>
      <c r="FC28" s="20" t="n">
        <v>0</v>
      </c>
      <c r="FD28" s="20" t="n">
        <v>0</v>
      </c>
      <c r="FE28" s="20" t="n">
        <f aca="false">IF(H_Direct=1,IF(AKR27&lt;=0,0,IF(BR28&lt;=0,AKR27,AKR27-G28*MAX(0,BR28*AKR27-(H28+I28)))),AKR27*(1-MAX(0,BR28)*H_Exit))</f>
        <v>0</v>
      </c>
      <c r="FF28" s="20" t="n">
        <f aca="false">IF(H_Direct=1,IF(AKS27&lt;=0,0,IF(BS28&lt;=0,AKS27,AKS27-G28*MAX(0,BS28*AKS27-(IR28+ME28)))),AKS27*(1-MAX(0,BS28)*H_Exit))</f>
        <v>0</v>
      </c>
      <c r="FG28" s="20" t="n">
        <f aca="false">IF(H_Direct=1,IF(AKT27&lt;=0,0,IF(BT28&lt;=0,AKT27,AKT27-G28*MAX(0,BT28*AKT27-(IS28+MF28)))),AKT27*(1-MAX(0,BT28)*H_Exit))</f>
        <v>0</v>
      </c>
      <c r="FH28" s="20" t="n">
        <f aca="false">IF(H_Direct=1,IF(AKU27&lt;=0,0,IF(BU28&lt;=0,AKU27,AKU27-G28*MAX(0,BU28*AKU27-(IT28+MG28)))),AKU27*(1-MAX(0,BU28)*H_Exit))</f>
        <v>0</v>
      </c>
      <c r="FI28" s="20" t="n">
        <f aca="false">IF(H_Direct=1,IF(AKV27&lt;=0,0,IF(BV28&lt;=0,AKV27,AKV27-G28*MAX(0,BV28*AKV27-(IU28+MH28)))),AKV27*(1-MAX(0,BV28)*H_Exit))</f>
        <v>0</v>
      </c>
      <c r="FJ28" s="20" t="n">
        <f aca="false">IF(H_Direct=1,IF(AKW27&lt;=0,0,IF(BW28&lt;=0,AKW27,AKW27-G28*MAX(0,BW28*AKW27-(IV28+MI28)))),AKW27*(1-MAX(0,BW28)*H_Exit))</f>
        <v>0</v>
      </c>
      <c r="FK28" s="20" t="n">
        <f aca="false">IF(H_Direct=1,IF(AKX27&lt;=0,0,IF(BX28&lt;=0,AKX27,AKX27-G28*MAX(0,BX28*AKX27-(IW28+MJ28)))),AKX27*(1-MAX(0,BX28)*H_Exit))</f>
        <v>0</v>
      </c>
      <c r="FL28" s="20" t="n">
        <f aca="false">IF(H_Direct=1,IF(AKY27&lt;=0,0,IF(BY28&lt;=0,AKY27,AKY27-G28*MAX(0,BY28*AKY27-(IX28+MK28)))),AKY27*(1-MAX(0,BY28)*H_Exit))</f>
        <v>0</v>
      </c>
      <c r="FM28" s="20" t="n">
        <f aca="false">IF(H_Direct=1,IF(AKZ27&lt;=0,0,IF(BZ28&lt;=0,AKZ27,AKZ27-G28*MAX(0,BZ28*AKZ27-(IY28+ML28)))),AKZ27*(1-MAX(0,BZ28)*H_Exit))</f>
        <v>0</v>
      </c>
      <c r="FN28" s="20" t="n">
        <f aca="false">IF(H_Direct=1,IF(ALA27&lt;=0,0,IF(CA28&lt;=0,ALA27,ALA27-G28*MAX(0,CA28*ALA27-(IZ28+MM28)))),ALA27*(1-MAX(0,CA28)*H_Exit))</f>
        <v>0</v>
      </c>
      <c r="FO28" s="20" t="n">
        <f aca="false">IF(H_Direct=1,IF(ALB27&lt;=0,0,IF(CB28&lt;=0,ALB27,ALB27-G28*MAX(0,CB28*ALB27-(JA28+MN28)))),ALB27*(1-MAX(0,CB28)*H_Exit))</f>
        <v>0</v>
      </c>
      <c r="FP28" s="20" t="n">
        <f aca="false">IF(H_Direct=1,IF(ALC27&lt;=0,0,IF(CC28&lt;=0,ALC27,ALC27-G28*MAX(0,CC28*ALC27-(JB28+MO28)))),ALC27*(1-MAX(0,CC28)*H_Exit))</f>
        <v>705.577167164142</v>
      </c>
      <c r="FQ28" s="20" t="n">
        <f aca="false">IF(H_Direct=1,IF(ALD27&lt;=0,0,IF(CD28&lt;=0,ALD27,ALD27-G28*MAX(0,CD28*ALD27-(JC28+MP28)))),ALD27*(1-MAX(0,CD28)*H_Exit))</f>
        <v>900.435358217556</v>
      </c>
      <c r="FR28" s="20" t="n">
        <f aca="false">IF(H_Direct=1,IF(ALE27&lt;=0,0,IF(CE28&lt;=0,ALE27,ALE27-G28*MAX(0,CE28*ALE27-(JD28+MQ28)))),ALE27*(1-MAX(0,CE28)*H_Exit))</f>
        <v>1093.55214549053</v>
      </c>
      <c r="FS28" s="20" t="n">
        <f aca="false">IF(H_Direct=1,IF(ALF27&lt;=0,0,IF(CF28&lt;=0,ALF27,ALF27-G28*MAX(0,CF28*ALF27-(JE28+MR28)))),ALF27*(1-MAX(0,CF28)*H_Exit))</f>
        <v>1244.9199215568</v>
      </c>
      <c r="FT28" s="20" t="n">
        <f aca="false">IF(H_Direct=1,IF(ALG27&lt;=0,0,IF(CG28&lt;=0,ALG27,ALG27-G28*MAX(0,CG28*ALG27-(JF28+MS28)))),ALG27*(1-MAX(0,CG28)*H_Exit))</f>
        <v>1212.46708339853</v>
      </c>
      <c r="FU28" s="20" t="n">
        <f aca="false">IF(H_Direct=1,IF(ALH27&lt;=0,0,IF(CH28&lt;=0,ALH27,ALH27-G28*MAX(0,CH28*ALH27-(JG28+MT28)))),ALH27*(1-MAX(0,CH28)*H_Exit))</f>
        <v>1180.56148743399</v>
      </c>
      <c r="FV28" s="20" t="n">
        <f aca="false">IF(H_Direct=1,IF(ALI27&lt;=0,0,IF(CI28&lt;=0,ALI27,ALI27-G28*MAX(0,CI28*ALI27-(JH28+MU28)))),ALI27*(1-MAX(0,CI28)*H_Exit))</f>
        <v>1149.17488083091</v>
      </c>
      <c r="FW28" s="20" t="n">
        <f aca="false">IF(H_Direct=1,IF(ALJ27&lt;=0,0,IF(CJ28&lt;=0,ALJ27,ALJ27-G28*MAX(0,CJ28*ALJ27-(JI28+MV28)))),ALJ27*(1-MAX(0,CJ28)*H_Exit))</f>
        <v>3620.74094597609</v>
      </c>
      <c r="FX28" s="20" t="n">
        <f aca="false">IF(H_Direct=1,IF(ALK27&lt;=0,0,IF(CK28&lt;=0,ALK27,ALK27-G28*MAX(0,CK28*ALK27-(JJ28+MW28)))),ALK27*(1-MAX(0,CK28)*H_Exit))</f>
        <v>3601.20979616077</v>
      </c>
      <c r="FY28" s="20" t="n">
        <f aca="false">IF(H_Direct=1,IF(ALL27&lt;=0,0,IF(CL28&lt;=0,ALL27,ALL27-G28*MAX(0,CL28*ALL27-(JK28+MX28)))),ALL27*(1-MAX(0,CL28)*H_Exit))</f>
        <v>3583.05621505557</v>
      </c>
      <c r="FZ28" s="20" t="n">
        <f aca="false">IF(H_Direct=1,IF((P28+S28)&lt;=0,0,IF(CM28&lt;=0,(P28+S28),(P28+S28)-G28*MAX(0,CM28*(P28+S28)-(JL28+MY28)))),(P28+S28)*(1-MAX(0,CM28)*H_Exit))</f>
        <v>0</v>
      </c>
      <c r="GA28" s="20" t="n">
        <v>0</v>
      </c>
      <c r="GB28" s="20" t="n">
        <v>0</v>
      </c>
      <c r="GC28" s="20" t="n">
        <v>0</v>
      </c>
      <c r="GD28" s="20" t="n">
        <v>0</v>
      </c>
      <c r="GE28" s="20" t="n">
        <v>0</v>
      </c>
      <c r="GF28" s="20" t="n">
        <v>0</v>
      </c>
      <c r="GG28" s="20" t="n">
        <v>0</v>
      </c>
      <c r="GH28" s="20" t="n">
        <v>0</v>
      </c>
      <c r="GI28" s="20" t="n">
        <v>0</v>
      </c>
      <c r="GJ28" s="20" t="n">
        <v>0</v>
      </c>
      <c r="GK28" s="20" t="n">
        <v>0</v>
      </c>
      <c r="GL28" s="20" t="n">
        <v>0</v>
      </c>
      <c r="GM28" s="20" t="n">
        <v>0</v>
      </c>
      <c r="GN28" s="20" t="n">
        <v>0</v>
      </c>
      <c r="GO28" s="20" t="n">
        <v>0</v>
      </c>
      <c r="GP28" s="20" t="n">
        <v>0</v>
      </c>
      <c r="GQ28" s="20" t="n">
        <v>0</v>
      </c>
      <c r="GR28" s="20" t="n">
        <v>0</v>
      </c>
      <c r="GS28" s="20" t="n">
        <v>0</v>
      </c>
      <c r="GT28" s="20" t="n">
        <v>0</v>
      </c>
      <c r="GU28" s="20" t="n">
        <v>0</v>
      </c>
      <c r="GV28" s="20" t="n">
        <v>0</v>
      </c>
      <c r="GW28" s="20" t="n">
        <v>0</v>
      </c>
      <c r="GX28" s="20" t="n">
        <v>0</v>
      </c>
      <c r="GY28" s="20" t="n">
        <v>0</v>
      </c>
      <c r="GZ28" s="20" t="n">
        <v>0</v>
      </c>
      <c r="HA28" s="20" t="n">
        <v>0</v>
      </c>
      <c r="HB28" s="20" t="n">
        <v>0</v>
      </c>
      <c r="HC28" s="20" t="n">
        <v>0</v>
      </c>
      <c r="HD28" s="20" t="n">
        <v>0</v>
      </c>
      <c r="HE28" s="20" t="n">
        <v>0</v>
      </c>
      <c r="HF28" s="20" t="n">
        <v>0</v>
      </c>
      <c r="HG28" s="20" t="n">
        <v>0</v>
      </c>
      <c r="HH28" s="20" t="n">
        <v>0</v>
      </c>
      <c r="HI28" s="20" t="n">
        <v>0</v>
      </c>
      <c r="HJ28" s="20" t="n">
        <v>0</v>
      </c>
      <c r="HK28" s="20" t="n">
        <v>0</v>
      </c>
      <c r="HL28" s="20" t="n">
        <v>0</v>
      </c>
      <c r="HM28" s="20" t="n">
        <v>0</v>
      </c>
      <c r="HN28" s="20" t="n">
        <v>0</v>
      </c>
      <c r="HO28" s="20" t="n">
        <v>0</v>
      </c>
      <c r="HP28" s="20" t="n">
        <v>0</v>
      </c>
      <c r="HQ28" s="20" t="n">
        <v>0</v>
      </c>
      <c r="HR28" s="20" t="n">
        <v>0</v>
      </c>
      <c r="HS28" s="20" t="n">
        <v>0</v>
      </c>
      <c r="HT28" s="20" t="n">
        <v>0</v>
      </c>
      <c r="HU28" s="20" t="n">
        <v>0</v>
      </c>
      <c r="HV28" s="20" t="n">
        <v>0</v>
      </c>
      <c r="HW28" s="20" t="n">
        <v>0</v>
      </c>
      <c r="HX28" s="20" t="n">
        <v>0</v>
      </c>
      <c r="HY28" s="20" t="n">
        <v>0</v>
      </c>
      <c r="HZ28" s="20" t="n">
        <v>0</v>
      </c>
      <c r="IA28" s="20" t="n">
        <v>0</v>
      </c>
      <c r="IB28" s="20" t="n">
        <v>0</v>
      </c>
      <c r="IC28" s="20" t="n">
        <v>0</v>
      </c>
      <c r="ID28" s="20" t="n">
        <v>0</v>
      </c>
      <c r="IE28" s="20" t="n">
        <v>0</v>
      </c>
      <c r="IF28" s="20" t="n">
        <v>0</v>
      </c>
      <c r="IG28" s="20" t="n">
        <v>0</v>
      </c>
      <c r="IH28" s="20" t="n">
        <v>0</v>
      </c>
      <c r="II28" s="20" t="n">
        <v>0</v>
      </c>
      <c r="IJ28" s="20" t="n">
        <v>0</v>
      </c>
      <c r="IK28" s="20" t="n">
        <v>0</v>
      </c>
      <c r="IL28" s="20" t="n">
        <v>0</v>
      </c>
      <c r="IM28" s="20" t="n">
        <v>0</v>
      </c>
      <c r="IN28" s="20" t="n">
        <v>0</v>
      </c>
      <c r="IO28" s="20" t="n">
        <v>0</v>
      </c>
      <c r="IP28" s="20" t="n">
        <v>0</v>
      </c>
      <c r="IQ28" s="20" t="n">
        <v>0</v>
      </c>
      <c r="IR28" s="20" t="n">
        <f aca="false">IF(AND(H_Direct=1,BR28&gt;0),MAX(0,H28-(MIN(BR28*AKR27,H28+I28)-MIN(MIN(BR28*AKR27,H28+I28),I28))),H28)</f>
        <v>1270</v>
      </c>
      <c r="IS28" s="20" t="n">
        <f aca="false">IF(AND(H_Direct=1,BS28&gt;0),MAX(0,IR28-(MIN(BS28*AKS27,IR28+ME28)-MIN(MIN(BS28*AKS27,IR28+ME28),ME28))),IR28)</f>
        <v>1270</v>
      </c>
      <c r="IT28" s="20" t="n">
        <f aca="false">IF(AND(H_Direct=1,BT28&gt;0),MAX(0,IS28-(MIN(BT28*AKT27,IS28+MF28)-MIN(MIN(BT28*AKT27,IS28+MF28),MF28))),IS28)</f>
        <v>1270</v>
      </c>
      <c r="IU28" s="20" t="n">
        <f aca="false">IF(AND(H_Direct=1,BU28&gt;0),MAX(0,IT28-(MIN(BU28*AKU27,IT28+MG28)-MIN(MIN(BU28*AKU27,IT28+MG28),MG28))),IT28)</f>
        <v>1270</v>
      </c>
      <c r="IV28" s="20" t="n">
        <f aca="false">IF(AND(H_Direct=1,BV28&gt;0),MAX(0,IU28-(MIN(BV28*AKV27,IU28+MH28)-MIN(MIN(BV28*AKV27,IU28+MH28),MH28))),IU28)</f>
        <v>1270</v>
      </c>
      <c r="IW28" s="20" t="n">
        <f aca="false">IF(AND(H_Direct=1,BW28&gt;0),MAX(0,IV28-(MIN(BW28*AKW27,IV28+MI28)-MIN(MIN(BW28*AKW27,IV28+MI28),MI28))),IV28)</f>
        <v>1270</v>
      </c>
      <c r="IX28" s="20" t="n">
        <f aca="false">IF(AND(H_Direct=1,BX28&gt;0),MAX(0,IW28-(MIN(BX28*AKX27,IW28+MJ28)-MIN(MIN(BX28*AKX27,IW28+MJ28),MJ28))),IW28)</f>
        <v>1270</v>
      </c>
      <c r="IY28" s="20" t="n">
        <f aca="false">IF(AND(H_Direct=1,BY28&gt;0),MAX(0,IX28-(MIN(BY28*AKY27,IX28+MK28)-MIN(MIN(BY28*AKY27,IX28+MK28),MK28))),IX28)</f>
        <v>1270</v>
      </c>
      <c r="IZ28" s="20" t="n">
        <f aca="false">IF(AND(H_Direct=1,BZ28&gt;0),MAX(0,IY28-(MIN(BZ28*AKZ27,IY28+ML28)-MIN(MIN(BZ28*AKZ27,IY28+ML28),ML28))),IY28)</f>
        <v>1270</v>
      </c>
      <c r="JA28" s="20" t="n">
        <f aca="false">IF(AND(H_Direct=1,CA28&gt;0),MAX(0,IZ28-(MIN(CA28*ALA27,IZ28+MM28)-MIN(MIN(CA28*ALA27,IZ28+MM28),MM28))),IZ28)</f>
        <v>1270</v>
      </c>
      <c r="JB28" s="20" t="n">
        <f aca="false">IF(AND(H_Direct=1,CB28&gt;0),MAX(0,JA28-(MIN(CB28*ALB27,JA28+MN28)-MIN(MIN(CB28*ALB27,JA28+MN28),MN28))),JA28)</f>
        <v>1270</v>
      </c>
      <c r="JC28" s="20" t="n">
        <f aca="false">IF(AND(H_Direct=1,CC28&gt;0),MAX(0,JB28-(MIN(CC28*ALC27,JB28+MO28)-MIN(MIN(CC28*ALC27,JB28+MO28),MO28))),JB28)</f>
        <v>1270</v>
      </c>
      <c r="JD28" s="20" t="n">
        <f aca="false">IF(AND(H_Direct=1,CD28&gt;0),MAX(0,JC28-(MIN(CD28*ALD27,JC28+MP28)-MIN(MIN(CD28*ALD27,JC28+MP28),MP28))),JC28)</f>
        <v>1270</v>
      </c>
      <c r="JE28" s="20" t="n">
        <f aca="false">IF(AND(H_Direct=1,CE28&gt;0),MAX(0,JD28-(MIN(CE28*ALE27,JD28+MQ28)-MIN(MIN(CE28*ALE27,JD28+MQ28),MQ28))),JD28)</f>
        <v>1270</v>
      </c>
      <c r="JF28" s="20" t="n">
        <f aca="false">IF(AND(H_Direct=1,CF28&gt;0),MAX(0,JE28-(MIN(CF28*ALF27,JE28+MR28)-MIN(MIN(CF28*ALF27,JE28+MR28),MR28))),JE28)</f>
        <v>1270</v>
      </c>
      <c r="JG28" s="20" t="n">
        <f aca="false">IF(AND(H_Direct=1,CG28&gt;0),MAX(0,JF28-(MIN(CG28*ALG27,JF28+MS28)-MIN(MIN(CG28*ALG27,JF28+MS28),MS28))),JF28)</f>
        <v>1270</v>
      </c>
      <c r="JH28" s="20" t="n">
        <f aca="false">IF(AND(H_Direct=1,CH28&gt;0),MAX(0,JG28-(MIN(CH28*ALH27,JG28+MT28)-MIN(MIN(CH28*ALH27,JG28+MT28),MT28))),JG28)</f>
        <v>1270</v>
      </c>
      <c r="JI28" s="20" t="n">
        <f aca="false">IF(AND(H_Direct=1,CI28&gt;0),MAX(0,JH28-(MIN(CI28*ALI27,JH28+MU28)-MIN(MIN(CI28*ALI27,JH28+MU28),MU28))),JH28)</f>
        <v>1270</v>
      </c>
      <c r="JJ28" s="20" t="n">
        <f aca="false">IF(AND(H_Direct=1,CJ28&gt;0),MAX(0,JI28-(MIN(CJ28*ALJ27,JI28+MV28)-MIN(MIN(CJ28*ALJ27,JI28+MV28),MV28))),JI28)</f>
        <v>1270</v>
      </c>
      <c r="JK28" s="20" t="n">
        <f aca="false">IF(AND(H_Direct=1,CK28&gt;0),MAX(0,JJ28-(MIN(CK28*ALK27,JJ28+MW28)-MIN(MIN(CK28*ALK27,JJ28+MW28),MW28))),JJ28)</f>
        <v>1270</v>
      </c>
      <c r="JL28" s="20" t="n">
        <f aca="false">IF(AND(H_Direct=1,CL28&gt;0),MAX(0,JK28-(MIN(CL28*ALL27,JK28+MX28)-MIN(MIN(CL28*ALL27,JK28+MX28),MX28))),JK28)</f>
        <v>1270</v>
      </c>
      <c r="JM28" s="20" t="n">
        <f aca="false">IF(AND(H_Direct=1,CM28&gt;0),MAX(0,JL28-(MIN(CM28*(P28+S28),JL28+MY28)-MIN(MIN(CM28*(P28+S28),JL28+MY28),MY28))),JL28)</f>
        <v>1270</v>
      </c>
      <c r="JN28" s="20" t="n">
        <f aca="false">JM28</f>
        <v>1270</v>
      </c>
      <c r="JO28" s="20" t="n">
        <f aca="false">JN28</f>
        <v>1270</v>
      </c>
      <c r="JP28" s="20" t="n">
        <f aca="false">JO28</f>
        <v>1270</v>
      </c>
      <c r="JQ28" s="20" t="n">
        <f aca="false">JP28</f>
        <v>1270</v>
      </c>
      <c r="JR28" s="20" t="n">
        <f aca="false">JQ28</f>
        <v>1270</v>
      </c>
      <c r="JS28" s="20" t="n">
        <f aca="false">JR28</f>
        <v>1270</v>
      </c>
      <c r="JT28" s="20" t="n">
        <f aca="false">JS28</f>
        <v>1270</v>
      </c>
      <c r="JU28" s="20" t="n">
        <f aca="false">JT28</f>
        <v>1270</v>
      </c>
      <c r="JV28" s="20" t="n">
        <f aca="false">JU28</f>
        <v>1270</v>
      </c>
      <c r="JW28" s="20" t="n">
        <f aca="false">JV28</f>
        <v>1270</v>
      </c>
      <c r="JX28" s="20" t="n">
        <f aca="false">JW28</f>
        <v>1270</v>
      </c>
      <c r="JY28" s="20" t="n">
        <f aca="false">JX28</f>
        <v>1270</v>
      </c>
      <c r="JZ28" s="20" t="n">
        <f aca="false">JY28</f>
        <v>1270</v>
      </c>
      <c r="KA28" s="20" t="n">
        <f aca="false">JZ28</f>
        <v>1270</v>
      </c>
      <c r="KB28" s="20" t="n">
        <f aca="false">KA28</f>
        <v>1270</v>
      </c>
      <c r="KC28" s="20" t="n">
        <f aca="false">KB28</f>
        <v>1270</v>
      </c>
      <c r="KD28" s="20" t="n">
        <f aca="false">KC28</f>
        <v>1270</v>
      </c>
      <c r="KE28" s="20" t="n">
        <f aca="false">KD28</f>
        <v>1270</v>
      </c>
      <c r="KF28" s="20" t="n">
        <f aca="false">KE28</f>
        <v>1270</v>
      </c>
      <c r="KG28" s="20" t="n">
        <f aca="false">KF28</f>
        <v>1270</v>
      </c>
      <c r="KH28" s="20" t="n">
        <f aca="false">KG28</f>
        <v>1270</v>
      </c>
      <c r="KI28" s="20" t="n">
        <f aca="false">KH28</f>
        <v>1270</v>
      </c>
      <c r="KJ28" s="20" t="n">
        <f aca="false">KI28</f>
        <v>1270</v>
      </c>
      <c r="KK28" s="20" t="n">
        <f aca="false">KJ28</f>
        <v>1270</v>
      </c>
      <c r="KL28" s="20" t="n">
        <f aca="false">KK28</f>
        <v>1270</v>
      </c>
      <c r="KM28" s="20" t="n">
        <f aca="false">KL28</f>
        <v>1270</v>
      </c>
      <c r="KN28" s="20" t="n">
        <f aca="false">KM28</f>
        <v>1270</v>
      </c>
      <c r="KO28" s="20" t="n">
        <f aca="false">KN28</f>
        <v>1270</v>
      </c>
      <c r="KP28" s="20" t="n">
        <f aca="false">KO28</f>
        <v>1270</v>
      </c>
      <c r="KQ28" s="20" t="n">
        <f aca="false">KP28</f>
        <v>1270</v>
      </c>
      <c r="KR28" s="20" t="n">
        <f aca="false">KQ28</f>
        <v>1270</v>
      </c>
      <c r="KS28" s="20" t="n">
        <f aca="false">KR28</f>
        <v>1270</v>
      </c>
      <c r="KT28" s="20" t="n">
        <f aca="false">KS28</f>
        <v>1270</v>
      </c>
      <c r="KU28" s="20" t="n">
        <f aca="false">KT28</f>
        <v>1270</v>
      </c>
      <c r="KV28" s="20" t="n">
        <f aca="false">KU28</f>
        <v>1270</v>
      </c>
      <c r="KW28" s="20" t="n">
        <f aca="false">KV28</f>
        <v>1270</v>
      </c>
      <c r="KX28" s="20" t="n">
        <f aca="false">KW28</f>
        <v>1270</v>
      </c>
      <c r="KY28" s="20" t="n">
        <f aca="false">KX28</f>
        <v>1270</v>
      </c>
      <c r="KZ28" s="20" t="n">
        <f aca="false">KY28</f>
        <v>1270</v>
      </c>
      <c r="LA28" s="20" t="n">
        <f aca="false">KZ28</f>
        <v>1270</v>
      </c>
      <c r="LB28" s="20" t="n">
        <f aca="false">LA28</f>
        <v>1270</v>
      </c>
      <c r="LC28" s="20" t="n">
        <f aca="false">LB28</f>
        <v>1270</v>
      </c>
      <c r="LD28" s="20" t="n">
        <f aca="false">LC28</f>
        <v>1270</v>
      </c>
      <c r="LE28" s="20" t="n">
        <f aca="false">LD28</f>
        <v>1270</v>
      </c>
      <c r="LF28" s="20" t="n">
        <f aca="false">LE28</f>
        <v>1270</v>
      </c>
      <c r="LG28" s="20" t="n">
        <f aca="false">LF28</f>
        <v>1270</v>
      </c>
      <c r="LH28" s="20" t="n">
        <f aca="false">LG28</f>
        <v>1270</v>
      </c>
      <c r="LI28" s="20" t="n">
        <f aca="false">LH28</f>
        <v>1270</v>
      </c>
      <c r="LJ28" s="20" t="n">
        <f aca="false">LI28</f>
        <v>1270</v>
      </c>
      <c r="LK28" s="20" t="n">
        <f aca="false">LJ28</f>
        <v>1270</v>
      </c>
      <c r="LL28" s="20" t="n">
        <f aca="false">LK28</f>
        <v>1270</v>
      </c>
      <c r="LM28" s="20" t="n">
        <f aca="false">LL28</f>
        <v>1270</v>
      </c>
      <c r="LN28" s="20" t="n">
        <f aca="false">LM28</f>
        <v>1270</v>
      </c>
      <c r="LO28" s="20" t="n">
        <f aca="false">LN28</f>
        <v>1270</v>
      </c>
      <c r="LP28" s="20" t="n">
        <f aca="false">LO28</f>
        <v>1270</v>
      </c>
      <c r="LQ28" s="20" t="n">
        <f aca="false">LP28</f>
        <v>1270</v>
      </c>
      <c r="LR28" s="20" t="n">
        <f aca="false">LQ28</f>
        <v>1270</v>
      </c>
      <c r="LS28" s="20" t="n">
        <f aca="false">LR28</f>
        <v>1270</v>
      </c>
      <c r="LT28" s="20" t="n">
        <f aca="false">LS28</f>
        <v>1270</v>
      </c>
      <c r="LU28" s="20" t="n">
        <f aca="false">LT28</f>
        <v>1270</v>
      </c>
      <c r="LV28" s="20" t="n">
        <f aca="false">LU28</f>
        <v>1270</v>
      </c>
      <c r="LW28" s="20" t="n">
        <f aca="false">LV28</f>
        <v>1270</v>
      </c>
      <c r="LX28" s="20" t="n">
        <f aca="false">LW28</f>
        <v>1270</v>
      </c>
      <c r="LY28" s="20" t="n">
        <f aca="false">LX28</f>
        <v>1270</v>
      </c>
      <c r="LZ28" s="20" t="n">
        <f aca="false">LY28</f>
        <v>1270</v>
      </c>
      <c r="MA28" s="20" t="n">
        <f aca="false">LZ28</f>
        <v>1270</v>
      </c>
      <c r="MB28" s="20" t="n">
        <f aca="false">MA28</f>
        <v>1270</v>
      </c>
      <c r="MC28" s="20" t="n">
        <f aca="false">MB28</f>
        <v>1270</v>
      </c>
      <c r="MD28" s="20" t="n">
        <f aca="false">MC28</f>
        <v>1270</v>
      </c>
      <c r="ME28" s="20" t="n">
        <f aca="false">IF(H_Direct=1,IF(BR28&lt;=0,I28-BR28*AKR27,I28-MIN(MIN(BR28*AKR27,H28+I28),I28)),I28)</f>
        <v>0</v>
      </c>
      <c r="MF28" s="20" t="n">
        <f aca="false">IF(H_Direct=1,IF(BS28&lt;=0,ME28-BS28*AKS27,ME28-MIN(MIN(BS28*AKS27,IR28+ME28),ME28)),ME28)</f>
        <v>0</v>
      </c>
      <c r="MG28" s="20" t="n">
        <f aca="false">IF(H_Direct=1,IF(BT28&lt;=0,MF28-BT28*AKT27,MF28-MIN(MIN(BT28*AKT27,IS28+MF28),MF28)),MF28)</f>
        <v>0</v>
      </c>
      <c r="MH28" s="20" t="n">
        <f aca="false">IF(H_Direct=1,IF(BU28&lt;=0,MG28-BU28*AKU27,MG28-MIN(MIN(BU28*AKU27,IT28+MG28),MG28)),MG28)</f>
        <v>0</v>
      </c>
      <c r="MI28" s="20" t="n">
        <f aca="false">IF(H_Direct=1,IF(BV28&lt;=0,MH28-BV28*AKV27,MH28-MIN(MIN(BV28*AKV27,IU28+MH28),MH28)),MH28)</f>
        <v>0</v>
      </c>
      <c r="MJ28" s="20" t="n">
        <f aca="false">IF(H_Direct=1,IF(BW28&lt;=0,MI28-BW28*AKW27,MI28-MIN(MIN(BW28*AKW27,IV28+MI28),MI28)),MI28)</f>
        <v>0</v>
      </c>
      <c r="MK28" s="20" t="n">
        <f aca="false">IF(H_Direct=1,IF(BX28&lt;=0,MJ28-BX28*AKX27,MJ28-MIN(MIN(BX28*AKX27,IW28+MJ28),MJ28)),MJ28)</f>
        <v>0</v>
      </c>
      <c r="ML28" s="20" t="n">
        <f aca="false">IF(H_Direct=1,IF(BY28&lt;=0,MK28-BY28*AKY27,MK28-MIN(MIN(BY28*AKY27,IX28+MK28),MK28)),MK28)</f>
        <v>0</v>
      </c>
      <c r="MM28" s="20" t="n">
        <f aca="false">IF(H_Direct=1,IF(BZ28&lt;=0,ML28-BZ28*AKZ27,ML28-MIN(MIN(BZ28*AKZ27,IY28+ML28),ML28)),ML28)</f>
        <v>0</v>
      </c>
      <c r="MN28" s="20" t="n">
        <f aca="false">IF(H_Direct=1,IF(CA28&lt;=0,MM28-CA28*ALA27,MM28-MIN(MIN(CA28*ALA27,IZ28+MM28),MM28)),MM28)</f>
        <v>0</v>
      </c>
      <c r="MO28" s="20" t="n">
        <f aca="false">IF(H_Direct=1,IF(CB28&lt;=0,MN28-CB28*ALB27,MN28-MIN(MIN(CB28*ALB27,JA28+MN28),MN28)),MN28)</f>
        <v>0</v>
      </c>
      <c r="MP28" s="20" t="n">
        <f aca="false">IF(H_Direct=1,IF(CC28&lt;=0,MO28-CC28*ALC27,MO28-MIN(MIN(CC28*ALC27,JB28+MO28),MO28)),MO28)</f>
        <v>0</v>
      </c>
      <c r="MQ28" s="20" t="n">
        <f aca="false">IF(H_Direct=1,IF(CD28&lt;=0,MP28-CD28*ALD27,MP28-MIN(MIN(CD28*ALD27,JC28+MP28),MP28)),MP28)</f>
        <v>0</v>
      </c>
      <c r="MR28" s="20" t="n">
        <f aca="false">IF(H_Direct=1,IF(CE28&lt;=0,MQ28-CE28*ALE27,MQ28-MIN(MIN(CE28*ALE27,JD28+MQ28),MQ28)),MQ28)</f>
        <v>0</v>
      </c>
      <c r="MS28" s="20" t="n">
        <f aca="false">IF(H_Direct=1,IF(CF28&lt;=0,MR28-CF28*ALF27,MR28-MIN(MIN(CF28*ALF27,JE28+MR28),MR28)),MR28)</f>
        <v>0</v>
      </c>
      <c r="MT28" s="20" t="n">
        <f aca="false">IF(H_Direct=1,IF(CG28&lt;=0,MS28-CG28*ALG27,MS28-MIN(MIN(CG28*ALG27,JF28+MS28),MS28)),MS28)</f>
        <v>0</v>
      </c>
      <c r="MU28" s="20" t="n">
        <f aca="false">IF(H_Direct=1,IF(CH28&lt;=0,MT28-CH28*ALH27,MT28-MIN(MIN(CH28*ALH27,JG28+MT28),MT28)),MT28)</f>
        <v>0</v>
      </c>
      <c r="MV28" s="20" t="n">
        <f aca="false">IF(H_Direct=1,IF(CI28&lt;=0,MU28-CI28*ALI27,MU28-MIN(MIN(CI28*ALI27,JH28+MU28),MU28)),MU28)</f>
        <v>0</v>
      </c>
      <c r="MW28" s="20" t="n">
        <f aca="false">IF(H_Direct=1,IF(CJ28&lt;=0,MV28-CJ28*ALJ27,MV28-MIN(MIN(CJ28*ALJ27,JI28+MV28),MV28)),MV28)</f>
        <v>0</v>
      </c>
      <c r="MX28" s="20" t="n">
        <f aca="false">IF(H_Direct=1,IF(CK28&lt;=0,MW28-CK28*ALK27,MW28-MIN(MIN(CK28*ALK27,JJ28+MW28),MW28)),MW28)</f>
        <v>0</v>
      </c>
      <c r="MY28" s="20" t="n">
        <f aca="false">IF(H_Direct=1,IF(CL28&lt;=0,MX28-CL28*ALL27,MX28-MIN(MIN(CL28*ALL27,JK28+MX28),MX28)),MX28)</f>
        <v>0</v>
      </c>
      <c r="MZ28" s="20" t="n">
        <f aca="false">IF(H_Direct=1,IF(CM28&lt;=0,MY28-CM28*(P28+S28),MY28-MIN(MIN(CM28*(P28+S28),JL28+MY28),MY28)),MY28)</f>
        <v>0</v>
      </c>
      <c r="NA28" s="20" t="n">
        <f aca="false">MZ28</f>
        <v>0</v>
      </c>
      <c r="NB28" s="20" t="n">
        <f aca="false">NA28</f>
        <v>0</v>
      </c>
      <c r="NC28" s="20" t="n">
        <f aca="false">NB28</f>
        <v>0</v>
      </c>
      <c r="ND28" s="20" t="n">
        <f aca="false">NC28</f>
        <v>0</v>
      </c>
      <c r="NE28" s="20" t="n">
        <f aca="false">ND28</f>
        <v>0</v>
      </c>
      <c r="NF28" s="20" t="n">
        <f aca="false">NE28</f>
        <v>0</v>
      </c>
      <c r="NG28" s="20" t="n">
        <f aca="false">NF28</f>
        <v>0</v>
      </c>
      <c r="NH28" s="20" t="n">
        <f aca="false">NG28</f>
        <v>0</v>
      </c>
      <c r="NI28" s="20" t="n">
        <f aca="false">NH28</f>
        <v>0</v>
      </c>
      <c r="NJ28" s="20" t="n">
        <f aca="false">NI28</f>
        <v>0</v>
      </c>
      <c r="NK28" s="20" t="n">
        <f aca="false">NJ28</f>
        <v>0</v>
      </c>
      <c r="NL28" s="20" t="n">
        <f aca="false">NK28</f>
        <v>0</v>
      </c>
      <c r="NM28" s="20" t="n">
        <f aca="false">NL28</f>
        <v>0</v>
      </c>
      <c r="NN28" s="20" t="n">
        <f aca="false">NM28</f>
        <v>0</v>
      </c>
      <c r="NO28" s="20" t="n">
        <f aca="false">NN28</f>
        <v>0</v>
      </c>
      <c r="NP28" s="20" t="n">
        <f aca="false">NO28</f>
        <v>0</v>
      </c>
      <c r="NQ28" s="20" t="n">
        <f aca="false">NP28</f>
        <v>0</v>
      </c>
      <c r="NR28" s="20" t="n">
        <f aca="false">NQ28</f>
        <v>0</v>
      </c>
      <c r="NS28" s="20" t="n">
        <f aca="false">NR28</f>
        <v>0</v>
      </c>
      <c r="NT28" s="20" t="n">
        <f aca="false">NS28</f>
        <v>0</v>
      </c>
      <c r="NU28" s="20" t="n">
        <f aca="false">NT28</f>
        <v>0</v>
      </c>
      <c r="NV28" s="20" t="n">
        <f aca="false">NU28</f>
        <v>0</v>
      </c>
      <c r="NW28" s="20" t="n">
        <f aca="false">NV28</f>
        <v>0</v>
      </c>
      <c r="NX28" s="20" t="n">
        <f aca="false">NW28</f>
        <v>0</v>
      </c>
      <c r="NY28" s="20" t="n">
        <f aca="false">NX28</f>
        <v>0</v>
      </c>
      <c r="NZ28" s="20" t="n">
        <f aca="false">NY28</f>
        <v>0</v>
      </c>
      <c r="OA28" s="20" t="n">
        <f aca="false">NZ28</f>
        <v>0</v>
      </c>
      <c r="OB28" s="20" t="n">
        <f aca="false">OA28</f>
        <v>0</v>
      </c>
      <c r="OC28" s="20" t="n">
        <f aca="false">OB28</f>
        <v>0</v>
      </c>
      <c r="OD28" s="20" t="n">
        <f aca="false">OC28</f>
        <v>0</v>
      </c>
      <c r="OE28" s="20" t="n">
        <f aca="false">OD28</f>
        <v>0</v>
      </c>
      <c r="OF28" s="20" t="n">
        <f aca="false">OE28</f>
        <v>0</v>
      </c>
      <c r="OG28" s="20" t="n">
        <f aca="false">OF28</f>
        <v>0</v>
      </c>
      <c r="OH28" s="20" t="n">
        <f aca="false">OG28</f>
        <v>0</v>
      </c>
      <c r="OI28" s="20" t="n">
        <f aca="false">OH28</f>
        <v>0</v>
      </c>
      <c r="OJ28" s="20" t="n">
        <f aca="false">OI28</f>
        <v>0</v>
      </c>
      <c r="OK28" s="20" t="n">
        <f aca="false">OJ28</f>
        <v>0</v>
      </c>
      <c r="OL28" s="20" t="n">
        <f aca="false">OK28</f>
        <v>0</v>
      </c>
      <c r="OM28" s="20" t="n">
        <f aca="false">OL28</f>
        <v>0</v>
      </c>
      <c r="ON28" s="20" t="n">
        <f aca="false">OM28</f>
        <v>0</v>
      </c>
      <c r="OO28" s="20" t="n">
        <f aca="false">ON28</f>
        <v>0</v>
      </c>
      <c r="OP28" s="20" t="n">
        <f aca="false">OO28</f>
        <v>0</v>
      </c>
      <c r="OQ28" s="20" t="n">
        <f aca="false">OP28</f>
        <v>0</v>
      </c>
      <c r="OR28" s="20" t="n">
        <f aca="false">OQ28</f>
        <v>0</v>
      </c>
      <c r="OS28" s="20" t="n">
        <f aca="false">OR28</f>
        <v>0</v>
      </c>
      <c r="OT28" s="20" t="n">
        <f aca="false">OS28</f>
        <v>0</v>
      </c>
      <c r="OU28" s="20" t="n">
        <f aca="false">OT28</f>
        <v>0</v>
      </c>
      <c r="OV28" s="20" t="n">
        <f aca="false">OU28</f>
        <v>0</v>
      </c>
      <c r="OW28" s="20" t="n">
        <f aca="false">OV28</f>
        <v>0</v>
      </c>
      <c r="OX28" s="20" t="n">
        <f aca="false">OW28</f>
        <v>0</v>
      </c>
      <c r="OY28" s="20" t="n">
        <f aca="false">OX28</f>
        <v>0</v>
      </c>
      <c r="OZ28" s="20" t="n">
        <f aca="false">OY28</f>
        <v>0</v>
      </c>
      <c r="PA28" s="20" t="n">
        <f aca="false">OZ28</f>
        <v>0</v>
      </c>
      <c r="PB28" s="20" t="n">
        <f aca="false">PA28</f>
        <v>0</v>
      </c>
      <c r="PC28" s="20" t="n">
        <f aca="false">PB28</f>
        <v>0</v>
      </c>
      <c r="PD28" s="20" t="n">
        <f aca="false">PC28</f>
        <v>0</v>
      </c>
      <c r="PE28" s="20" t="n">
        <f aca="false">PD28</f>
        <v>0</v>
      </c>
      <c r="PF28" s="20" t="n">
        <f aca="false">PE28</f>
        <v>0</v>
      </c>
      <c r="PG28" s="20" t="n">
        <f aca="false">PF28</f>
        <v>0</v>
      </c>
      <c r="PH28" s="20" t="n">
        <f aca="false">PG28</f>
        <v>0</v>
      </c>
      <c r="PI28" s="20" t="n">
        <f aca="false">PH28</f>
        <v>0</v>
      </c>
      <c r="PJ28" s="20" t="n">
        <f aca="false">PI28</f>
        <v>0</v>
      </c>
      <c r="PK28" s="20" t="n">
        <f aca="false">PJ28</f>
        <v>0</v>
      </c>
      <c r="PL28" s="20" t="n">
        <f aca="false">PK28</f>
        <v>0</v>
      </c>
      <c r="PM28" s="20" t="n">
        <f aca="false">PL28</f>
        <v>0</v>
      </c>
      <c r="PN28" s="20" t="n">
        <f aca="false">PM28</f>
        <v>0</v>
      </c>
      <c r="PO28" s="20" t="n">
        <f aca="false">PN28</f>
        <v>0</v>
      </c>
      <c r="PP28" s="20" t="n">
        <f aca="false">PO28</f>
        <v>0</v>
      </c>
      <c r="PQ28" s="20" t="n">
        <f aca="false">PP28</f>
        <v>0</v>
      </c>
      <c r="PR28" s="20" t="n">
        <f aca="false">IF(H_Direct=1,IF(AKR27&lt;=0,0,IF(BR28&lt;=0,MIN(MAX(0,AB28),AKR27),MIN(MAX(0,AB28),AKR27-G28*MAX(0,BR28*AKR27-(H28+I28))))),MIN(FE28,MAX(0,AB28)))</f>
        <v>0</v>
      </c>
      <c r="PS28" s="20" t="n">
        <f aca="false">IF(H_Direct=1,IF(AKS27&lt;=0,0,IF(BS28&lt;=0,MIN(MAX(0,AB28-SUM(PR28:PR28)),AKS27),MIN(MAX(0,AB28-SUM(PR28:PR28)),AKS27-G28*MAX(0,BS28*AKS27-(WR28+AAE28))))),MIN(FF28,MAX(0,AB28-SUM(PR28:PR28))))</f>
        <v>0</v>
      </c>
      <c r="PT28" s="20" t="n">
        <f aca="false">IF(H_Direct=1,IF(AKT27&lt;=0,0,IF(BT28&lt;=0,MIN(MAX(0,AB28-SUM(PR28:PS28)),AKT27),MIN(MAX(0,AB28-SUM(PR28:PS28)),AKT27-G28*MAX(0,BT28*AKT27-(WS28+AAF28))))),MIN(FG28,MAX(0,AB28-SUM(PR28:PS28))))</f>
        <v>0</v>
      </c>
      <c r="PU28" s="20" t="n">
        <f aca="false">IF(H_Direct=1,IF(AKU27&lt;=0,0,IF(BU28&lt;=0,MIN(MAX(0,AB28-SUM(PR28:PT28)),AKU27),MIN(MAX(0,AB28-SUM(PR28:PT28)),AKU27-G28*MAX(0,BU28*AKU27-(WT28+AAG28))))),MIN(FH28,MAX(0,AB28-SUM(PR28:PT28))))</f>
        <v>0</v>
      </c>
      <c r="PV28" s="20" t="n">
        <f aca="false">IF(H_Direct=1,IF(AKV27&lt;=0,0,IF(BV28&lt;=0,MIN(MAX(0,AB28-SUM(PR28:PU28)),AKV27),MIN(MAX(0,AB28-SUM(PR28:PU28)),AKV27-G28*MAX(0,BV28*AKV27-(WU28+AAH28))))),MIN(FI28,MAX(0,AB28-SUM(PR28:PU28))))</f>
        <v>0</v>
      </c>
      <c r="PW28" s="20" t="n">
        <f aca="false">IF(H_Direct=1,IF(AKW27&lt;=0,0,IF(BW28&lt;=0,MIN(MAX(0,AB28-SUM(PR28:PV28)),AKW27),MIN(MAX(0,AB28-SUM(PR28:PV28)),AKW27-G28*MAX(0,BW28*AKW27-(WV28+AAI28))))),MIN(FJ28,MAX(0,AB28-SUM(PR28:PV28))))</f>
        <v>0</v>
      </c>
      <c r="PX28" s="20" t="n">
        <f aca="false">IF(H_Direct=1,IF(AKX27&lt;=0,0,IF(BX28&lt;=0,MIN(MAX(0,AB28-SUM(PR28:PW28)),AKX27),MIN(MAX(0,AB28-SUM(PR28:PW28)),AKX27-G28*MAX(0,BX28*AKX27-(WW28+AAJ28))))),MIN(FK28,MAX(0,AB28-SUM(PR28:PW28))))</f>
        <v>0</v>
      </c>
      <c r="PY28" s="20" t="n">
        <f aca="false">IF(H_Direct=1,IF(AKY27&lt;=0,0,IF(BY28&lt;=0,MIN(MAX(0,AB28-SUM(PR28:PX28)),AKY27),MIN(MAX(0,AB28-SUM(PR28:PX28)),AKY27-G28*MAX(0,BY28*AKY27-(WX28+AAK28))))),MIN(FL28,MAX(0,AB28-SUM(PR28:PX28))))</f>
        <v>0</v>
      </c>
      <c r="PZ28" s="20" t="n">
        <f aca="false">IF(H_Direct=1,IF(AKZ27&lt;=0,0,IF(BZ28&lt;=0,MIN(MAX(0,AB28-SUM(PR28:PY28)),AKZ27),MIN(MAX(0,AB28-SUM(PR28:PY28)),AKZ27-G28*MAX(0,BZ28*AKZ27-(WY28+AAL28))))),MIN(FM28,MAX(0,AB28-SUM(PR28:PY28))))</f>
        <v>0</v>
      </c>
      <c r="QA28" s="20" t="n">
        <f aca="false">IF(H_Direct=1,IF(ALA27&lt;=0,0,IF(CA28&lt;=0,MIN(MAX(0,AB28-SUM(PR28:PZ28)),ALA27),MIN(MAX(0,AB28-SUM(PR28:PZ28)),ALA27-G28*MAX(0,CA28*ALA27-(WZ28+AAM28))))),MIN(FN28,MAX(0,AB28-SUM(PR28:PZ28))))</f>
        <v>0</v>
      </c>
      <c r="QB28" s="20" t="n">
        <f aca="false">IF(H_Direct=1,IF(ALB27&lt;=0,0,IF(CB28&lt;=0,MIN(MAX(0,AB28-SUM(PR28:QA28)),ALB27),MIN(MAX(0,AB28-SUM(PR28:QA28)),ALB27-G28*MAX(0,CB28*ALB27-(XA28+AAN28))))),MIN(FO28,MAX(0,AB28-SUM(PR28:QA28))))</f>
        <v>0</v>
      </c>
      <c r="QC28" s="20" t="n">
        <f aca="false">IF(H_Direct=1,IF(ALC27&lt;=0,0,IF(CC28&lt;=0,MIN(MAX(0,AB28-SUM(PR28:QB28)),ALC27),MIN(MAX(0,AB28-SUM(PR28:QB28)),ALC27-G28*MAX(0,CC28*ALC27-(XB28+AAO28))))),MIN(FP28,MAX(0,AB28-SUM(PR28:QB28))))</f>
        <v>0</v>
      </c>
      <c r="QD28" s="20" t="n">
        <f aca="false">IF(H_Direct=1,IF(ALD27&lt;=0,0,IF(CD28&lt;=0,MIN(MAX(0,AB28-SUM(PR28:QC28)),ALD27),MIN(MAX(0,AB28-SUM(PR28:QC28)),ALD27-G28*MAX(0,CD28*ALD27-(XC28+AAP28))))),MIN(FQ28,MAX(0,AB28-SUM(PR28:QC28))))</f>
        <v>0</v>
      </c>
      <c r="QE28" s="20" t="n">
        <f aca="false">IF(H_Direct=1,IF(ALE27&lt;=0,0,IF(CE28&lt;=0,MIN(MAX(0,AB28-SUM(PR28:QD28)),ALE27),MIN(MAX(0,AB28-SUM(PR28:QD28)),ALE27-G28*MAX(0,CE28*ALE27-(XD28+AAQ28))))),MIN(FR28,MAX(0,AB28-SUM(PR28:QD28))))</f>
        <v>0</v>
      </c>
      <c r="QF28" s="20" t="n">
        <f aca="false">IF(H_Direct=1,IF(ALF27&lt;=0,0,IF(CF28&lt;=0,MIN(MAX(0,AB28-SUM(PR28:QE28)),ALF27),MIN(MAX(0,AB28-SUM(PR28:QE28)),ALF27-G28*MAX(0,CF28*ALF27-(XE28+AAR28))))),MIN(FS28,MAX(0,AB28-SUM(PR28:QE28))))</f>
        <v>0</v>
      </c>
      <c r="QG28" s="20" t="n">
        <f aca="false">IF(H_Direct=1,IF(ALG27&lt;=0,0,IF(CG28&lt;=0,MIN(MAX(0,AB28-SUM(PR28:QF28)),ALG27),MIN(MAX(0,AB28-SUM(PR28:QF28)),ALG27-G28*MAX(0,CG28*ALG27-(XF28+AAS28))))),MIN(FT28,MAX(0,AB28-SUM(PR28:QF28))))</f>
        <v>0</v>
      </c>
      <c r="QH28" s="20" t="n">
        <f aca="false">IF(H_Direct=1,IF(ALH27&lt;=0,0,IF(CH28&lt;=0,MIN(MAX(0,AB28-SUM(PR28:QG28)),ALH27),MIN(MAX(0,AB28-SUM(PR28:QG28)),ALH27-G28*MAX(0,CH28*ALH27-(XG28+AAT28))))),MIN(FU28,MAX(0,AB28-SUM(PR28:QG28))))</f>
        <v>0</v>
      </c>
      <c r="QI28" s="20" t="n">
        <f aca="false">IF(H_Direct=1,IF(ALI27&lt;=0,0,IF(CI28&lt;=0,MIN(MAX(0,AB28-SUM(PR28:QH28)),ALI27),MIN(MAX(0,AB28-SUM(PR28:QH28)),ALI27-G28*MAX(0,CI28*ALI27-(XH28+AAU28))))),MIN(FV28,MAX(0,AB28-SUM(PR28:QH28))))</f>
        <v>0</v>
      </c>
      <c r="QJ28" s="20" t="n">
        <f aca="false">IF(H_Direct=1,IF(ALJ27&lt;=0,0,IF(CJ28&lt;=0,MIN(MAX(0,AB28-SUM(PR28:QI28)),ALJ27),MIN(MAX(0,AB28-SUM(PR28:QI28)),ALJ27-G28*MAX(0,CJ28*ALJ27-(XI28+AAV28))))),MIN(FW28,MAX(0,AB28-SUM(PR28:QI28))))</f>
        <v>0</v>
      </c>
      <c r="QK28" s="20" t="n">
        <f aca="false">IF(H_Direct=1,IF(ALK27&lt;=0,0,IF(CK28&lt;=0,MIN(MAX(0,AB28-SUM(PR28:QJ28)),ALK27),MIN(MAX(0,AB28-SUM(PR28:QJ28)),ALK27-G28*MAX(0,CK28*ALK27-(XJ28+AAW28))))),MIN(FX28,MAX(0,AB28-SUM(PR28:QJ28))))</f>
        <v>0</v>
      </c>
      <c r="QL28" s="20" t="n">
        <f aca="false">IF(H_Direct=1,IF(ALL27&lt;=0,0,IF(CL28&lt;=0,MIN(MAX(0,AB28-SUM(PR28:QK28)),ALL27),MIN(MAX(0,AB28-SUM(PR28:QK28)),ALL27-G28*MAX(0,CL28*ALL27-(XK28+AAX28))))),MIN(FY28,MAX(0,AB28-SUM(PR28:QK28))))</f>
        <v>0</v>
      </c>
      <c r="QM28" s="20" t="n">
        <f aca="false">IF(H_Direct=1,IF((P28+S28)&lt;=0,0,IF(CM28&lt;=0,MIN(MAX(0,AB28-SUM(PR28:QL28)),(P28+S28)),MIN(MAX(0,AB28-SUM(PR28:QL28)),(P28+S28)-G28*MAX(0,CM28*(P28+S28)-(XL28+AAY28))))),MIN(FZ28,MAX(0,AB28-SUM(PR28:QL28))))</f>
        <v>0</v>
      </c>
      <c r="QN28" s="20" t="n">
        <v>0</v>
      </c>
      <c r="QO28" s="20" t="n">
        <v>0</v>
      </c>
      <c r="QP28" s="20" t="n">
        <v>0</v>
      </c>
      <c r="QQ28" s="20" t="n">
        <v>0</v>
      </c>
      <c r="QR28" s="20" t="n">
        <v>0</v>
      </c>
      <c r="QS28" s="20" t="n">
        <v>0</v>
      </c>
      <c r="QT28" s="20" t="n">
        <v>0</v>
      </c>
      <c r="QU28" s="20" t="n">
        <v>0</v>
      </c>
      <c r="QV28" s="20" t="n">
        <v>0</v>
      </c>
      <c r="QW28" s="20" t="n">
        <v>0</v>
      </c>
      <c r="QX28" s="20" t="n">
        <v>0</v>
      </c>
      <c r="QY28" s="20" t="n">
        <v>0</v>
      </c>
      <c r="QZ28" s="20" t="n">
        <v>0</v>
      </c>
      <c r="RA28" s="20" t="n">
        <v>0</v>
      </c>
      <c r="RB28" s="20" t="n">
        <v>0</v>
      </c>
      <c r="RC28" s="20" t="n">
        <v>0</v>
      </c>
      <c r="RD28" s="20" t="n">
        <v>0</v>
      </c>
      <c r="RE28" s="20" t="n">
        <v>0</v>
      </c>
      <c r="RF28" s="20" t="n">
        <v>0</v>
      </c>
      <c r="RG28" s="20" t="n">
        <v>0</v>
      </c>
      <c r="RH28" s="20" t="n">
        <v>0</v>
      </c>
      <c r="RI28" s="20" t="n">
        <v>0</v>
      </c>
      <c r="RJ28" s="20" t="n">
        <v>0</v>
      </c>
      <c r="RK28" s="20" t="n">
        <v>0</v>
      </c>
      <c r="RL28" s="20" t="n">
        <v>0</v>
      </c>
      <c r="RM28" s="20" t="n">
        <v>0</v>
      </c>
      <c r="RN28" s="20" t="n">
        <v>0</v>
      </c>
      <c r="RO28" s="20" t="n">
        <v>0</v>
      </c>
      <c r="RP28" s="20" t="n">
        <v>0</v>
      </c>
      <c r="RQ28" s="20" t="n">
        <v>0</v>
      </c>
      <c r="RR28" s="20" t="n">
        <v>0</v>
      </c>
      <c r="RS28" s="20" t="n">
        <v>0</v>
      </c>
      <c r="RT28" s="20" t="n">
        <v>0</v>
      </c>
      <c r="RU28" s="20" t="n">
        <v>0</v>
      </c>
      <c r="RV28" s="20" t="n">
        <v>0</v>
      </c>
      <c r="RW28" s="20" t="n">
        <v>0</v>
      </c>
      <c r="RX28" s="20" t="n">
        <v>0</v>
      </c>
      <c r="RY28" s="20" t="n">
        <v>0</v>
      </c>
      <c r="RZ28" s="20" t="n">
        <v>0</v>
      </c>
      <c r="SA28" s="20" t="n">
        <v>0</v>
      </c>
      <c r="SB28" s="20" t="n">
        <v>0</v>
      </c>
      <c r="SC28" s="20" t="n">
        <v>0</v>
      </c>
      <c r="SD28" s="20" t="n">
        <v>0</v>
      </c>
      <c r="SE28" s="20" t="n">
        <v>0</v>
      </c>
      <c r="SF28" s="20" t="n">
        <v>0</v>
      </c>
      <c r="SG28" s="20" t="n">
        <v>0</v>
      </c>
      <c r="SH28" s="20" t="n">
        <v>0</v>
      </c>
      <c r="SI28" s="20" t="n">
        <v>0</v>
      </c>
      <c r="SJ28" s="20" t="n">
        <v>0</v>
      </c>
      <c r="SK28" s="20" t="n">
        <v>0</v>
      </c>
      <c r="SL28" s="20" t="n">
        <v>0</v>
      </c>
      <c r="SM28" s="20" t="n">
        <v>0</v>
      </c>
      <c r="SN28" s="20" t="n">
        <v>0</v>
      </c>
      <c r="SO28" s="20" t="n">
        <v>0</v>
      </c>
      <c r="SP28" s="20" t="n">
        <v>0</v>
      </c>
      <c r="SQ28" s="20" t="n">
        <v>0</v>
      </c>
      <c r="SR28" s="20" t="n">
        <v>0</v>
      </c>
      <c r="SS28" s="20" t="n">
        <v>0</v>
      </c>
      <c r="ST28" s="20" t="n">
        <v>0</v>
      </c>
      <c r="SU28" s="20" t="n">
        <v>0</v>
      </c>
      <c r="SV28" s="20" t="n">
        <v>0</v>
      </c>
      <c r="SW28" s="20" t="n">
        <v>0</v>
      </c>
      <c r="SX28" s="20" t="n">
        <v>0</v>
      </c>
      <c r="SY28" s="20" t="n">
        <v>0</v>
      </c>
      <c r="SZ28" s="20" t="n">
        <v>0</v>
      </c>
      <c r="TA28" s="20" t="n">
        <v>0</v>
      </c>
      <c r="TB28" s="20" t="n">
        <v>0</v>
      </c>
      <c r="TC28" s="20" t="n">
        <v>0</v>
      </c>
      <c r="TD28" s="20" t="n">
        <v>0</v>
      </c>
      <c r="TE28" s="20" t="n">
        <f aca="false">IF(AKR27&lt;=0,0,IF(H_Direct=1,IF(BR28&lt;=0,PR28,IF(PR28&lt;=(H28+I28)/BR28,PR28,(PR28-G28*(H28+I28))/(1-G28*BR28))),PR28/(1-MAX(0,BR28)*H_Exit)))</f>
        <v>0</v>
      </c>
      <c r="TF28" s="20" t="n">
        <f aca="false">IF(AKS27&lt;=0,0,IF(H_Direct=1,IF(BS28&lt;=0,PS28,IF(PS28&lt;=(WR28+AAE28)/BS28,PS28,(PS28-G28*(WR28+AAE28))/(1-G28*BS28))),PS28/(1-MAX(0,BS28)*H_Exit)))</f>
        <v>0</v>
      </c>
      <c r="TG28" s="20" t="n">
        <f aca="false">IF(AKT27&lt;=0,0,IF(H_Direct=1,IF(BT28&lt;=0,PT28,IF(PT28&lt;=(WS28+AAF28)/BT28,PT28,(PT28-G28*(WS28+AAF28))/(1-G28*BT28))),PT28/(1-MAX(0,BT28)*H_Exit)))</f>
        <v>0</v>
      </c>
      <c r="TH28" s="20" t="n">
        <f aca="false">IF(AKU27&lt;=0,0,IF(H_Direct=1,IF(BU28&lt;=0,PU28,IF(PU28&lt;=(WT28+AAG28)/BU28,PU28,(PU28-G28*(WT28+AAG28))/(1-G28*BU28))),PU28/(1-MAX(0,BU28)*H_Exit)))</f>
        <v>0</v>
      </c>
      <c r="TI28" s="20" t="n">
        <f aca="false">IF(AKV27&lt;=0,0,IF(H_Direct=1,IF(BV28&lt;=0,PV28,IF(PV28&lt;=(WU28+AAH28)/BV28,PV28,(PV28-G28*(WU28+AAH28))/(1-G28*BV28))),PV28/(1-MAX(0,BV28)*H_Exit)))</f>
        <v>0</v>
      </c>
      <c r="TJ28" s="20" t="n">
        <f aca="false">IF(AKW27&lt;=0,0,IF(H_Direct=1,IF(BW28&lt;=0,PW28,IF(PW28&lt;=(WV28+AAI28)/BW28,PW28,(PW28-G28*(WV28+AAI28))/(1-G28*BW28))),PW28/(1-MAX(0,BW28)*H_Exit)))</f>
        <v>0</v>
      </c>
      <c r="TK28" s="20" t="n">
        <f aca="false">IF(AKX27&lt;=0,0,IF(H_Direct=1,IF(BX28&lt;=0,PX28,IF(PX28&lt;=(WW28+AAJ28)/BX28,PX28,(PX28-G28*(WW28+AAJ28))/(1-G28*BX28))),PX28/(1-MAX(0,BX28)*H_Exit)))</f>
        <v>0</v>
      </c>
      <c r="TL28" s="20" t="n">
        <f aca="false">IF(AKY27&lt;=0,0,IF(H_Direct=1,IF(BY28&lt;=0,PY28,IF(PY28&lt;=(WX28+AAK28)/BY28,PY28,(PY28-G28*(WX28+AAK28))/(1-G28*BY28))),PY28/(1-MAX(0,BY28)*H_Exit)))</f>
        <v>0</v>
      </c>
      <c r="TM28" s="20" t="n">
        <f aca="false">IF(AKZ27&lt;=0,0,IF(H_Direct=1,IF(BZ28&lt;=0,PZ28,IF(PZ28&lt;=(WY28+AAL28)/BZ28,PZ28,(PZ28-G28*(WY28+AAL28))/(1-G28*BZ28))),PZ28/(1-MAX(0,BZ28)*H_Exit)))</f>
        <v>0</v>
      </c>
      <c r="TN28" s="20" t="n">
        <f aca="false">IF(ALA27&lt;=0,0,IF(H_Direct=1,IF(CA28&lt;=0,QA28,IF(QA28&lt;=(WZ28+AAM28)/CA28,QA28,(QA28-G28*(WZ28+AAM28))/(1-G28*CA28))),QA28/(1-MAX(0,CA28)*H_Exit)))</f>
        <v>0</v>
      </c>
      <c r="TO28" s="20" t="n">
        <f aca="false">IF(ALB27&lt;=0,0,IF(H_Direct=1,IF(CB28&lt;=0,QB28,IF(QB28&lt;=(XA28+AAN28)/CB28,QB28,(QB28-G28*(XA28+AAN28))/(1-G28*CB28))),QB28/(1-MAX(0,CB28)*H_Exit)))</f>
        <v>0</v>
      </c>
      <c r="TP28" s="20" t="n">
        <f aca="false">IF(ALC27&lt;=0,0,IF(H_Direct=1,IF(CC28&lt;=0,QC28,IF(QC28&lt;=(XB28+AAO28)/CC28,QC28,(QC28-G28*(XB28+AAO28))/(1-G28*CC28))),QC28/(1-MAX(0,CC28)*H_Exit)))</f>
        <v>0</v>
      </c>
      <c r="TQ28" s="20" t="n">
        <f aca="false">IF(ALD27&lt;=0,0,IF(H_Direct=1,IF(CD28&lt;=0,QD28,IF(QD28&lt;=(XC28+AAP28)/CD28,QD28,(QD28-G28*(XC28+AAP28))/(1-G28*CD28))),QD28/(1-MAX(0,CD28)*H_Exit)))</f>
        <v>0</v>
      </c>
      <c r="TR28" s="20" t="n">
        <f aca="false">IF(ALE27&lt;=0,0,IF(H_Direct=1,IF(CE28&lt;=0,QE28,IF(QE28&lt;=(XD28+AAQ28)/CE28,QE28,(QE28-G28*(XD28+AAQ28))/(1-G28*CE28))),QE28/(1-MAX(0,CE28)*H_Exit)))</f>
        <v>0</v>
      </c>
      <c r="TS28" s="20" t="n">
        <f aca="false">IF(ALF27&lt;=0,0,IF(H_Direct=1,IF(CF28&lt;=0,QF28,IF(QF28&lt;=(XE28+AAR28)/CF28,QF28,(QF28-G28*(XE28+AAR28))/(1-G28*CF28))),QF28/(1-MAX(0,CF28)*H_Exit)))</f>
        <v>0</v>
      </c>
      <c r="TT28" s="20" t="n">
        <f aca="false">IF(ALG27&lt;=0,0,IF(H_Direct=1,IF(CG28&lt;=0,QG28,IF(QG28&lt;=(XF28+AAS28)/CG28,QG28,(QG28-G28*(XF28+AAS28))/(1-G28*CG28))),QG28/(1-MAX(0,CG28)*H_Exit)))</f>
        <v>0</v>
      </c>
      <c r="TU28" s="20" t="n">
        <f aca="false">IF(ALH27&lt;=0,0,IF(H_Direct=1,IF(CH28&lt;=0,QH28,IF(QH28&lt;=(XG28+AAT28)/CH28,QH28,(QH28-G28*(XG28+AAT28))/(1-G28*CH28))),QH28/(1-MAX(0,CH28)*H_Exit)))</f>
        <v>0</v>
      </c>
      <c r="TV28" s="20" t="n">
        <f aca="false">IF(ALI27&lt;=0,0,IF(H_Direct=1,IF(CI28&lt;=0,QI28,IF(QI28&lt;=(XH28+AAU28)/CI28,QI28,(QI28-G28*(XH28+AAU28))/(1-G28*CI28))),QI28/(1-MAX(0,CI28)*H_Exit)))</f>
        <v>0</v>
      </c>
      <c r="TW28" s="20" t="n">
        <f aca="false">IF(ALJ27&lt;=0,0,IF(H_Direct=1,IF(CJ28&lt;=0,QJ28,IF(QJ28&lt;=(XI28+AAV28)/CJ28,QJ28,(QJ28-G28*(XI28+AAV28))/(1-G28*CJ28))),QJ28/(1-MAX(0,CJ28)*H_Exit)))</f>
        <v>0</v>
      </c>
      <c r="TX28" s="20" t="n">
        <f aca="false">IF(ALK27&lt;=0,0,IF(H_Direct=1,IF(CK28&lt;=0,QK28,IF(QK28&lt;=(XJ28+AAW28)/CK28,QK28,(QK28-G28*(XJ28+AAW28))/(1-G28*CK28))),QK28/(1-MAX(0,CK28)*H_Exit)))</f>
        <v>0</v>
      </c>
      <c r="TY28" s="20" t="n">
        <f aca="false">IF(ALL27&lt;=0,0,IF(H_Direct=1,IF(CL28&lt;=0,QL28,IF(QL28&lt;=(XK28+AAX28)/CL28,QL28,(QL28-G28*(XK28+AAX28))/(1-G28*CL28))),QL28/(1-MAX(0,CL28)*H_Exit)))</f>
        <v>0</v>
      </c>
      <c r="TZ28" s="20" t="n">
        <f aca="false">IF((P28+S28)&lt;=0,0,IF(H_Direct=1,IF(CM28&lt;=0,QM28,IF(QM28&lt;=(XL28+AAY28)/CM28,QM28,(QM28-G28*(XL28+AAY28))/(1-G28*CM28))),QM28/(1-MAX(0,CM28)*H_Exit)))</f>
        <v>0</v>
      </c>
      <c r="UA28" s="20" t="n">
        <v>0</v>
      </c>
      <c r="UB28" s="20" t="n">
        <v>0</v>
      </c>
      <c r="UC28" s="20" t="n">
        <v>0</v>
      </c>
      <c r="UD28" s="20" t="n">
        <v>0</v>
      </c>
      <c r="UE28" s="20" t="n">
        <v>0</v>
      </c>
      <c r="UF28" s="20" t="n">
        <v>0</v>
      </c>
      <c r="UG28" s="20" t="n">
        <v>0</v>
      </c>
      <c r="UH28" s="20" t="n">
        <v>0</v>
      </c>
      <c r="UI28" s="20" t="n">
        <v>0</v>
      </c>
      <c r="UJ28" s="20" t="n">
        <v>0</v>
      </c>
      <c r="UK28" s="20" t="n">
        <v>0</v>
      </c>
      <c r="UL28" s="20" t="n">
        <v>0</v>
      </c>
      <c r="UM28" s="20" t="n">
        <v>0</v>
      </c>
      <c r="UN28" s="20" t="n">
        <v>0</v>
      </c>
      <c r="UO28" s="20" t="n">
        <v>0</v>
      </c>
      <c r="UP28" s="20" t="n">
        <v>0</v>
      </c>
      <c r="UQ28" s="20" t="n">
        <v>0</v>
      </c>
      <c r="UR28" s="20" t="n">
        <v>0</v>
      </c>
      <c r="US28" s="20" t="n">
        <v>0</v>
      </c>
      <c r="UT28" s="20" t="n">
        <v>0</v>
      </c>
      <c r="UU28" s="20" t="n">
        <v>0</v>
      </c>
      <c r="UV28" s="20" t="n">
        <v>0</v>
      </c>
      <c r="UW28" s="20" t="n">
        <v>0</v>
      </c>
      <c r="UX28" s="20" t="n">
        <v>0</v>
      </c>
      <c r="UY28" s="20" t="n">
        <v>0</v>
      </c>
      <c r="UZ28" s="20" t="n">
        <v>0</v>
      </c>
      <c r="VA28" s="20" t="n">
        <v>0</v>
      </c>
      <c r="VB28" s="20" t="n">
        <v>0</v>
      </c>
      <c r="VC28" s="20" t="n">
        <v>0</v>
      </c>
      <c r="VD28" s="20" t="n">
        <v>0</v>
      </c>
      <c r="VE28" s="20" t="n">
        <v>0</v>
      </c>
      <c r="VF28" s="20" t="n">
        <v>0</v>
      </c>
      <c r="VG28" s="20" t="n">
        <v>0</v>
      </c>
      <c r="VH28" s="20" t="n">
        <v>0</v>
      </c>
      <c r="VI28" s="20" t="n">
        <v>0</v>
      </c>
      <c r="VJ28" s="20" t="n">
        <v>0</v>
      </c>
      <c r="VK28" s="20" t="n">
        <v>0</v>
      </c>
      <c r="VL28" s="20" t="n">
        <v>0</v>
      </c>
      <c r="VM28" s="20" t="n">
        <v>0</v>
      </c>
      <c r="VN28" s="20" t="n">
        <v>0</v>
      </c>
      <c r="VO28" s="20" t="n">
        <v>0</v>
      </c>
      <c r="VP28" s="20" t="n">
        <v>0</v>
      </c>
      <c r="VQ28" s="20" t="n">
        <v>0</v>
      </c>
      <c r="VR28" s="20" t="n">
        <v>0</v>
      </c>
      <c r="VS28" s="20" t="n">
        <v>0</v>
      </c>
      <c r="VT28" s="20" t="n">
        <v>0</v>
      </c>
      <c r="VU28" s="20" t="n">
        <v>0</v>
      </c>
      <c r="VV28" s="20" t="n">
        <v>0</v>
      </c>
      <c r="VW28" s="20" t="n">
        <v>0</v>
      </c>
      <c r="VX28" s="20" t="n">
        <v>0</v>
      </c>
      <c r="VY28" s="20" t="n">
        <v>0</v>
      </c>
      <c r="VZ28" s="20" t="n">
        <v>0</v>
      </c>
      <c r="WA28" s="20" t="n">
        <v>0</v>
      </c>
      <c r="WB28" s="20" t="n">
        <v>0</v>
      </c>
      <c r="WC28" s="20" t="n">
        <v>0</v>
      </c>
      <c r="WD28" s="20" t="n">
        <v>0</v>
      </c>
      <c r="WE28" s="20" t="n">
        <v>0</v>
      </c>
      <c r="WF28" s="20" t="n">
        <v>0</v>
      </c>
      <c r="WG28" s="20" t="n">
        <v>0</v>
      </c>
      <c r="WH28" s="20" t="n">
        <v>0</v>
      </c>
      <c r="WI28" s="20" t="n">
        <v>0</v>
      </c>
      <c r="WJ28" s="20" t="n">
        <v>0</v>
      </c>
      <c r="WK28" s="20" t="n">
        <v>0</v>
      </c>
      <c r="WL28" s="20" t="n">
        <v>0</v>
      </c>
      <c r="WM28" s="20" t="n">
        <v>0</v>
      </c>
      <c r="WN28" s="20" t="n">
        <v>0</v>
      </c>
      <c r="WO28" s="20" t="n">
        <v>0</v>
      </c>
      <c r="WP28" s="20" t="n">
        <v>0</v>
      </c>
      <c r="WQ28" s="20" t="n">
        <v>0</v>
      </c>
      <c r="WR28" s="20" t="n">
        <f aca="false">IF(AND(H_Direct=1,BR28&gt;0),MAX(0,H28-(MIN(BR28*TE28,(H28+I28))-MIN(MIN(BR28*TE28,(H28+I28)),I28))),H28)</f>
        <v>1270</v>
      </c>
      <c r="WS28" s="20" t="n">
        <f aca="false">IF(AND(H_Direct=1,BS28&gt;0),MAX(0,WR28-(MIN(BS28*TF28,(WR28+AAE28))-MIN(MIN(BS28*TF28,(WR28+AAE28)),AAE28))),WR28)</f>
        <v>1270</v>
      </c>
      <c r="WT28" s="20" t="n">
        <f aca="false">IF(AND(H_Direct=1,BT28&gt;0),MAX(0,WS28-(MIN(BT28*TG28,(WS28+AAF28))-MIN(MIN(BT28*TG28,(WS28+AAF28)),AAF28))),WS28)</f>
        <v>1270</v>
      </c>
      <c r="WU28" s="20" t="n">
        <f aca="false">IF(AND(H_Direct=1,BU28&gt;0),MAX(0,WT28-(MIN(BU28*TH28,(WT28+AAG28))-MIN(MIN(BU28*TH28,(WT28+AAG28)),AAG28))),WT28)</f>
        <v>1270</v>
      </c>
      <c r="WV28" s="20" t="n">
        <f aca="false">IF(AND(H_Direct=1,BV28&gt;0),MAX(0,WU28-(MIN(BV28*TI28,(WU28+AAH28))-MIN(MIN(BV28*TI28,(WU28+AAH28)),AAH28))),WU28)</f>
        <v>1270</v>
      </c>
      <c r="WW28" s="20" t="n">
        <f aca="false">IF(AND(H_Direct=1,BW28&gt;0),MAX(0,WV28-(MIN(BW28*TJ28,(WV28+AAI28))-MIN(MIN(BW28*TJ28,(WV28+AAI28)),AAI28))),WV28)</f>
        <v>1270</v>
      </c>
      <c r="WX28" s="20" t="n">
        <f aca="false">IF(AND(H_Direct=1,BX28&gt;0),MAX(0,WW28-(MIN(BX28*TK28,(WW28+AAJ28))-MIN(MIN(BX28*TK28,(WW28+AAJ28)),AAJ28))),WW28)</f>
        <v>1270</v>
      </c>
      <c r="WY28" s="20" t="n">
        <f aca="false">IF(AND(H_Direct=1,BY28&gt;0),MAX(0,WX28-(MIN(BY28*TL28,(WX28+AAK28))-MIN(MIN(BY28*TL28,(WX28+AAK28)),AAK28))),WX28)</f>
        <v>1270</v>
      </c>
      <c r="WZ28" s="20" t="n">
        <f aca="false">IF(AND(H_Direct=1,BZ28&gt;0),MAX(0,WY28-(MIN(BZ28*TM28,(WY28+AAL28))-MIN(MIN(BZ28*TM28,(WY28+AAL28)),AAL28))),WY28)</f>
        <v>1270</v>
      </c>
      <c r="XA28" s="20" t="n">
        <f aca="false">IF(AND(H_Direct=1,CA28&gt;0),MAX(0,WZ28-(MIN(CA28*TN28,(WZ28+AAM28))-MIN(MIN(CA28*TN28,(WZ28+AAM28)),AAM28))),WZ28)</f>
        <v>1270</v>
      </c>
      <c r="XB28" s="20" t="n">
        <f aca="false">IF(AND(H_Direct=1,CB28&gt;0),MAX(0,XA28-(MIN(CB28*TO28,(XA28+AAN28))-MIN(MIN(CB28*TO28,(XA28+AAN28)),AAN28))),XA28)</f>
        <v>1270</v>
      </c>
      <c r="XC28" s="20" t="n">
        <f aca="false">IF(AND(H_Direct=1,CC28&gt;0),MAX(0,XB28-(MIN(CC28*TP28,(XB28+AAO28))-MIN(MIN(CC28*TP28,(XB28+AAO28)),AAO28))),XB28)</f>
        <v>1270</v>
      </c>
      <c r="XD28" s="20" t="n">
        <f aca="false">IF(AND(H_Direct=1,CD28&gt;0),MAX(0,XC28-(MIN(CD28*TQ28,(XC28+AAP28))-MIN(MIN(CD28*TQ28,(XC28+AAP28)),AAP28))),XC28)</f>
        <v>1270</v>
      </c>
      <c r="XE28" s="20" t="n">
        <f aca="false">IF(AND(H_Direct=1,CE28&gt;0),MAX(0,XD28-(MIN(CE28*TR28,(XD28+AAQ28))-MIN(MIN(CE28*TR28,(XD28+AAQ28)),AAQ28))),XD28)</f>
        <v>1270</v>
      </c>
      <c r="XF28" s="20" t="n">
        <f aca="false">IF(AND(H_Direct=1,CF28&gt;0),MAX(0,XE28-(MIN(CF28*TS28,(XE28+AAR28))-MIN(MIN(CF28*TS28,(XE28+AAR28)),AAR28))),XE28)</f>
        <v>1270</v>
      </c>
      <c r="XG28" s="20" t="n">
        <f aca="false">IF(AND(H_Direct=1,CG28&gt;0),MAX(0,XF28-(MIN(CG28*TT28,(XF28+AAS28))-MIN(MIN(CG28*TT28,(XF28+AAS28)),AAS28))),XF28)</f>
        <v>1270</v>
      </c>
      <c r="XH28" s="20" t="n">
        <f aca="false">IF(AND(H_Direct=1,CH28&gt;0),MAX(0,XG28-(MIN(CH28*TU28,(XG28+AAT28))-MIN(MIN(CH28*TU28,(XG28+AAT28)),AAT28))),XG28)</f>
        <v>1270</v>
      </c>
      <c r="XI28" s="20" t="n">
        <f aca="false">IF(AND(H_Direct=1,CI28&gt;0),MAX(0,XH28-(MIN(CI28*TV28,(XH28+AAU28))-MIN(MIN(CI28*TV28,(XH28+AAU28)),AAU28))),XH28)</f>
        <v>1270</v>
      </c>
      <c r="XJ28" s="20" t="n">
        <f aca="false">IF(AND(H_Direct=1,CJ28&gt;0),MAX(0,XI28-(MIN(CJ28*TW28,(XI28+AAV28))-MIN(MIN(CJ28*TW28,(XI28+AAV28)),AAV28))),XI28)</f>
        <v>1270</v>
      </c>
      <c r="XK28" s="20" t="n">
        <f aca="false">IF(AND(H_Direct=1,CK28&gt;0),MAX(0,XJ28-(MIN(CK28*TX28,(XJ28+AAW28))-MIN(MIN(CK28*TX28,(XJ28+AAW28)),AAW28))),XJ28)</f>
        <v>1270</v>
      </c>
      <c r="XL28" s="20" t="n">
        <f aca="false">IF(AND(H_Direct=1,CL28&gt;0),MAX(0,XK28-(MIN(CL28*TY28,(XK28+AAX28))-MIN(MIN(CL28*TY28,(XK28+AAX28)),AAX28))),XK28)</f>
        <v>1270</v>
      </c>
      <c r="XM28" s="20" t="n">
        <f aca="false">IF(AND(H_Direct=1,CM28&gt;0),MAX(0,XL28-(MIN(CM28*TZ28,(XL28+AAY28))-MIN(MIN(CM28*TZ28,(XL28+AAY28)),AAY28))),XL28)</f>
        <v>1270</v>
      </c>
      <c r="XN28" s="20" t="n">
        <f aca="false">XM28</f>
        <v>1270</v>
      </c>
      <c r="XO28" s="20" t="n">
        <f aca="false">XN28</f>
        <v>1270</v>
      </c>
      <c r="XP28" s="20" t="n">
        <f aca="false">XO28</f>
        <v>1270</v>
      </c>
      <c r="XQ28" s="20" t="n">
        <f aca="false">XP28</f>
        <v>1270</v>
      </c>
      <c r="XR28" s="20" t="n">
        <f aca="false">XQ28</f>
        <v>1270</v>
      </c>
      <c r="XS28" s="20" t="n">
        <f aca="false">XR28</f>
        <v>1270</v>
      </c>
      <c r="XT28" s="20" t="n">
        <f aca="false">XS28</f>
        <v>1270</v>
      </c>
      <c r="XU28" s="20" t="n">
        <f aca="false">XT28</f>
        <v>1270</v>
      </c>
      <c r="XV28" s="20" t="n">
        <f aca="false">XU28</f>
        <v>1270</v>
      </c>
      <c r="XW28" s="20" t="n">
        <f aca="false">XV28</f>
        <v>1270</v>
      </c>
      <c r="XX28" s="20" t="n">
        <f aca="false">XW28</f>
        <v>1270</v>
      </c>
      <c r="XY28" s="20" t="n">
        <f aca="false">XX28</f>
        <v>1270</v>
      </c>
      <c r="XZ28" s="20" t="n">
        <f aca="false">XY28</f>
        <v>1270</v>
      </c>
      <c r="YA28" s="20" t="n">
        <f aca="false">XZ28</f>
        <v>1270</v>
      </c>
      <c r="YB28" s="20" t="n">
        <f aca="false">YA28</f>
        <v>1270</v>
      </c>
      <c r="YC28" s="20" t="n">
        <f aca="false">YB28</f>
        <v>1270</v>
      </c>
      <c r="YD28" s="20" t="n">
        <f aca="false">YC28</f>
        <v>1270</v>
      </c>
      <c r="YE28" s="20" t="n">
        <f aca="false">YD28</f>
        <v>1270</v>
      </c>
      <c r="YF28" s="20" t="n">
        <f aca="false">YE28</f>
        <v>1270</v>
      </c>
      <c r="YG28" s="20" t="n">
        <f aca="false">YF28</f>
        <v>1270</v>
      </c>
      <c r="YH28" s="20" t="n">
        <f aca="false">YG28</f>
        <v>1270</v>
      </c>
      <c r="YI28" s="20" t="n">
        <f aca="false">YH28</f>
        <v>1270</v>
      </c>
      <c r="YJ28" s="20" t="n">
        <f aca="false">YI28</f>
        <v>1270</v>
      </c>
      <c r="YK28" s="20" t="n">
        <f aca="false">YJ28</f>
        <v>1270</v>
      </c>
      <c r="YL28" s="20" t="n">
        <f aca="false">YK28</f>
        <v>1270</v>
      </c>
      <c r="YM28" s="20" t="n">
        <f aca="false">YL28</f>
        <v>1270</v>
      </c>
      <c r="YN28" s="20" t="n">
        <f aca="false">YM28</f>
        <v>1270</v>
      </c>
      <c r="YO28" s="20" t="n">
        <f aca="false">YN28</f>
        <v>1270</v>
      </c>
      <c r="YP28" s="20" t="n">
        <f aca="false">YO28</f>
        <v>1270</v>
      </c>
      <c r="YQ28" s="20" t="n">
        <f aca="false">YP28</f>
        <v>1270</v>
      </c>
      <c r="YR28" s="20" t="n">
        <f aca="false">YQ28</f>
        <v>1270</v>
      </c>
      <c r="YS28" s="20" t="n">
        <f aca="false">YR28</f>
        <v>1270</v>
      </c>
      <c r="YT28" s="20" t="n">
        <f aca="false">YS28</f>
        <v>1270</v>
      </c>
      <c r="YU28" s="20" t="n">
        <f aca="false">YT28</f>
        <v>1270</v>
      </c>
      <c r="YV28" s="20" t="n">
        <f aca="false">YU28</f>
        <v>1270</v>
      </c>
      <c r="YW28" s="20" t="n">
        <f aca="false">YV28</f>
        <v>1270</v>
      </c>
      <c r="YX28" s="20" t="n">
        <f aca="false">YW28</f>
        <v>1270</v>
      </c>
      <c r="YY28" s="20" t="n">
        <f aca="false">YX28</f>
        <v>1270</v>
      </c>
      <c r="YZ28" s="20" t="n">
        <f aca="false">YY28</f>
        <v>1270</v>
      </c>
      <c r="ZA28" s="20" t="n">
        <f aca="false">YZ28</f>
        <v>1270</v>
      </c>
      <c r="ZB28" s="20" t="n">
        <f aca="false">ZA28</f>
        <v>1270</v>
      </c>
      <c r="ZC28" s="20" t="n">
        <f aca="false">ZB28</f>
        <v>1270</v>
      </c>
      <c r="ZD28" s="20" t="n">
        <f aca="false">ZC28</f>
        <v>1270</v>
      </c>
      <c r="ZE28" s="20" t="n">
        <f aca="false">ZD28</f>
        <v>1270</v>
      </c>
      <c r="ZF28" s="20" t="n">
        <f aca="false">ZE28</f>
        <v>1270</v>
      </c>
      <c r="ZG28" s="20" t="n">
        <f aca="false">ZF28</f>
        <v>1270</v>
      </c>
      <c r="ZH28" s="20" t="n">
        <f aca="false">ZG28</f>
        <v>1270</v>
      </c>
      <c r="ZI28" s="20" t="n">
        <f aca="false">ZH28</f>
        <v>1270</v>
      </c>
      <c r="ZJ28" s="20" t="n">
        <f aca="false">ZI28</f>
        <v>1270</v>
      </c>
      <c r="ZK28" s="20" t="n">
        <f aca="false">ZJ28</f>
        <v>1270</v>
      </c>
      <c r="ZL28" s="20" t="n">
        <f aca="false">ZK28</f>
        <v>1270</v>
      </c>
      <c r="ZM28" s="20" t="n">
        <f aca="false">ZL28</f>
        <v>1270</v>
      </c>
      <c r="ZN28" s="20" t="n">
        <f aca="false">ZM28</f>
        <v>1270</v>
      </c>
      <c r="ZO28" s="20" t="n">
        <f aca="false">ZN28</f>
        <v>1270</v>
      </c>
      <c r="ZP28" s="20" t="n">
        <f aca="false">ZO28</f>
        <v>1270</v>
      </c>
      <c r="ZQ28" s="20" t="n">
        <f aca="false">ZP28</f>
        <v>1270</v>
      </c>
      <c r="ZR28" s="20" t="n">
        <f aca="false">ZQ28</f>
        <v>1270</v>
      </c>
      <c r="ZS28" s="20" t="n">
        <f aca="false">ZR28</f>
        <v>1270</v>
      </c>
      <c r="ZT28" s="20" t="n">
        <f aca="false">ZS28</f>
        <v>1270</v>
      </c>
      <c r="ZU28" s="20" t="n">
        <f aca="false">ZT28</f>
        <v>1270</v>
      </c>
      <c r="ZV28" s="20" t="n">
        <f aca="false">ZU28</f>
        <v>1270</v>
      </c>
      <c r="ZW28" s="20" t="n">
        <f aca="false">ZV28</f>
        <v>1270</v>
      </c>
      <c r="ZX28" s="20" t="n">
        <f aca="false">ZW28</f>
        <v>1270</v>
      </c>
      <c r="ZY28" s="20" t="n">
        <f aca="false">ZX28</f>
        <v>1270</v>
      </c>
      <c r="ZZ28" s="20" t="n">
        <f aca="false">ZY28</f>
        <v>1270</v>
      </c>
      <c r="AAA28" s="20" t="n">
        <f aca="false">ZZ28</f>
        <v>1270</v>
      </c>
      <c r="AAB28" s="20" t="n">
        <f aca="false">AAA28</f>
        <v>1270</v>
      </c>
      <c r="AAC28" s="20" t="n">
        <f aca="false">AAB28</f>
        <v>1270</v>
      </c>
      <c r="AAD28" s="20" t="n">
        <f aca="false">AAC28</f>
        <v>1270</v>
      </c>
      <c r="AAE28" s="20" t="n">
        <f aca="false">IF(H_Direct=1,IF(BR28&lt;=0,I28-BR28*TE28,I28-MIN(MIN(BR28*TE28,(H28+I28)),I28)),I28)</f>
        <v>0</v>
      </c>
      <c r="AAF28" s="20" t="n">
        <f aca="false">IF(H_Direct=1,IF(BS28&lt;=0,AAE28-BS28*TF28,AAE28-MIN(MIN(BS28*TF28,(WR28+AAE28)),AAE28)),AAE28)</f>
        <v>0</v>
      </c>
      <c r="AAG28" s="20" t="n">
        <f aca="false">IF(H_Direct=1,IF(BT28&lt;=0,AAF28-BT28*TG28,AAF28-MIN(MIN(BT28*TG28,(WS28+AAF28)),AAF28)),AAF28)</f>
        <v>0</v>
      </c>
      <c r="AAH28" s="20" t="n">
        <f aca="false">IF(H_Direct=1,IF(BU28&lt;=0,AAG28-BU28*TH28,AAG28-MIN(MIN(BU28*TH28,(WT28+AAG28)),AAG28)),AAG28)</f>
        <v>0</v>
      </c>
      <c r="AAI28" s="20" t="n">
        <f aca="false">IF(H_Direct=1,IF(BV28&lt;=0,AAH28-BV28*TI28,AAH28-MIN(MIN(BV28*TI28,(WU28+AAH28)),AAH28)),AAH28)</f>
        <v>0</v>
      </c>
      <c r="AAJ28" s="20" t="n">
        <f aca="false">IF(H_Direct=1,IF(BW28&lt;=0,AAI28-BW28*TJ28,AAI28-MIN(MIN(BW28*TJ28,(WV28+AAI28)),AAI28)),AAI28)</f>
        <v>0</v>
      </c>
      <c r="AAK28" s="20" t="n">
        <f aca="false">IF(H_Direct=1,IF(BX28&lt;=0,AAJ28-BX28*TK28,AAJ28-MIN(MIN(BX28*TK28,(WW28+AAJ28)),AAJ28)),AAJ28)</f>
        <v>0</v>
      </c>
      <c r="AAL28" s="20" t="n">
        <f aca="false">IF(H_Direct=1,IF(BY28&lt;=0,AAK28-BY28*TL28,AAK28-MIN(MIN(BY28*TL28,(WX28+AAK28)),AAK28)),AAK28)</f>
        <v>0</v>
      </c>
      <c r="AAM28" s="20" t="n">
        <f aca="false">IF(H_Direct=1,IF(BZ28&lt;=0,AAL28-BZ28*TM28,AAL28-MIN(MIN(BZ28*TM28,(WY28+AAL28)),AAL28)),AAL28)</f>
        <v>0</v>
      </c>
      <c r="AAN28" s="20" t="n">
        <f aca="false">IF(H_Direct=1,IF(CA28&lt;=0,AAM28-CA28*TN28,AAM28-MIN(MIN(CA28*TN28,(WZ28+AAM28)),AAM28)),AAM28)</f>
        <v>0</v>
      </c>
      <c r="AAO28" s="20" t="n">
        <f aca="false">IF(H_Direct=1,IF(CB28&lt;=0,AAN28-CB28*TO28,AAN28-MIN(MIN(CB28*TO28,(XA28+AAN28)),AAN28)),AAN28)</f>
        <v>0</v>
      </c>
      <c r="AAP28" s="20" t="n">
        <f aca="false">IF(H_Direct=1,IF(CC28&lt;=0,AAO28-CC28*TP28,AAO28-MIN(MIN(CC28*TP28,(XB28+AAO28)),AAO28)),AAO28)</f>
        <v>0</v>
      </c>
      <c r="AAQ28" s="20" t="n">
        <f aca="false">IF(H_Direct=1,IF(CD28&lt;=0,AAP28-CD28*TQ28,AAP28-MIN(MIN(CD28*TQ28,(XC28+AAP28)),AAP28)),AAP28)</f>
        <v>0</v>
      </c>
      <c r="AAR28" s="20" t="n">
        <f aca="false">IF(H_Direct=1,IF(CE28&lt;=0,AAQ28-CE28*TR28,AAQ28-MIN(MIN(CE28*TR28,(XD28+AAQ28)),AAQ28)),AAQ28)</f>
        <v>0</v>
      </c>
      <c r="AAS28" s="20" t="n">
        <f aca="false">IF(H_Direct=1,IF(CF28&lt;=0,AAR28-CF28*TS28,AAR28-MIN(MIN(CF28*TS28,(XE28+AAR28)),AAR28)),AAR28)</f>
        <v>0</v>
      </c>
      <c r="AAT28" s="20" t="n">
        <f aca="false">IF(H_Direct=1,IF(CG28&lt;=0,AAS28-CG28*TT28,AAS28-MIN(MIN(CG28*TT28,(XF28+AAS28)),AAS28)),AAS28)</f>
        <v>0</v>
      </c>
      <c r="AAU28" s="20" t="n">
        <f aca="false">IF(H_Direct=1,IF(CH28&lt;=0,AAT28-CH28*TU28,AAT28-MIN(MIN(CH28*TU28,(XG28+AAT28)),AAT28)),AAT28)</f>
        <v>0</v>
      </c>
      <c r="AAV28" s="20" t="n">
        <f aca="false">IF(H_Direct=1,IF(CI28&lt;=0,AAU28-CI28*TV28,AAU28-MIN(MIN(CI28*TV28,(XH28+AAU28)),AAU28)),AAU28)</f>
        <v>0</v>
      </c>
      <c r="AAW28" s="20" t="n">
        <f aca="false">IF(H_Direct=1,IF(CJ28&lt;=0,AAV28-CJ28*TW28,AAV28-MIN(MIN(CJ28*TW28,(XI28+AAV28)),AAV28)),AAV28)</f>
        <v>0</v>
      </c>
      <c r="AAX28" s="20" t="n">
        <f aca="false">IF(H_Direct=1,IF(CK28&lt;=0,AAW28-CK28*TX28,AAW28-MIN(MIN(CK28*TX28,(XJ28+AAW28)),AAW28)),AAW28)</f>
        <v>0</v>
      </c>
      <c r="AAY28" s="20" t="n">
        <f aca="false">IF(H_Direct=1,IF(CL28&lt;=0,AAX28-CL28*TY28,AAX28-MIN(MIN(CL28*TY28,(XK28+AAX28)),AAX28)),AAX28)</f>
        <v>0</v>
      </c>
      <c r="AAZ28" s="20" t="n">
        <f aca="false">IF(H_Direct=1,IF(CM28&lt;=0,AAY28-CM28*TZ28,AAY28-MIN(MIN(CM28*TZ28,(XL28+AAY28)),AAY28)),AAY28)</f>
        <v>0</v>
      </c>
      <c r="ABA28" s="20" t="n">
        <f aca="false">AAZ28</f>
        <v>0</v>
      </c>
      <c r="ABB28" s="20" t="n">
        <f aca="false">ABA28</f>
        <v>0</v>
      </c>
      <c r="ABC28" s="20" t="n">
        <f aca="false">ABB28</f>
        <v>0</v>
      </c>
      <c r="ABD28" s="20" t="n">
        <f aca="false">ABC28</f>
        <v>0</v>
      </c>
      <c r="ABE28" s="20" t="n">
        <f aca="false">ABD28</f>
        <v>0</v>
      </c>
      <c r="ABF28" s="20" t="n">
        <f aca="false">ABE28</f>
        <v>0</v>
      </c>
      <c r="ABG28" s="20" t="n">
        <f aca="false">ABF28</f>
        <v>0</v>
      </c>
      <c r="ABH28" s="20" t="n">
        <f aca="false">ABG28</f>
        <v>0</v>
      </c>
      <c r="ABI28" s="20" t="n">
        <f aca="false">ABH28</f>
        <v>0</v>
      </c>
      <c r="ABJ28" s="20" t="n">
        <f aca="false">ABI28</f>
        <v>0</v>
      </c>
      <c r="ABK28" s="20" t="n">
        <f aca="false">ABJ28</f>
        <v>0</v>
      </c>
      <c r="ABL28" s="20" t="n">
        <f aca="false">ABK28</f>
        <v>0</v>
      </c>
      <c r="ABM28" s="20" t="n">
        <f aca="false">ABL28</f>
        <v>0</v>
      </c>
      <c r="ABN28" s="20" t="n">
        <f aca="false">ABM28</f>
        <v>0</v>
      </c>
      <c r="ABO28" s="20" t="n">
        <f aca="false">ABN28</f>
        <v>0</v>
      </c>
      <c r="ABP28" s="20" t="n">
        <f aca="false">ABO28</f>
        <v>0</v>
      </c>
      <c r="ABQ28" s="20" t="n">
        <f aca="false">ABP28</f>
        <v>0</v>
      </c>
      <c r="ABR28" s="20" t="n">
        <f aca="false">ABQ28</f>
        <v>0</v>
      </c>
      <c r="ABS28" s="20" t="n">
        <f aca="false">ABR28</f>
        <v>0</v>
      </c>
      <c r="ABT28" s="20" t="n">
        <f aca="false">ABS28</f>
        <v>0</v>
      </c>
      <c r="ABU28" s="20" t="n">
        <f aca="false">ABT28</f>
        <v>0</v>
      </c>
      <c r="ABV28" s="20" t="n">
        <f aca="false">ABU28</f>
        <v>0</v>
      </c>
      <c r="ABW28" s="20" t="n">
        <f aca="false">ABV28</f>
        <v>0</v>
      </c>
      <c r="ABX28" s="20" t="n">
        <f aca="false">ABW28</f>
        <v>0</v>
      </c>
      <c r="ABY28" s="20" t="n">
        <f aca="false">ABX28</f>
        <v>0</v>
      </c>
      <c r="ABZ28" s="20" t="n">
        <f aca="false">ABY28</f>
        <v>0</v>
      </c>
      <c r="ACA28" s="20" t="n">
        <f aca="false">ABZ28</f>
        <v>0</v>
      </c>
      <c r="ACB28" s="20" t="n">
        <f aca="false">ACA28</f>
        <v>0</v>
      </c>
      <c r="ACC28" s="20" t="n">
        <f aca="false">ACB28</f>
        <v>0</v>
      </c>
      <c r="ACD28" s="20" t="n">
        <f aca="false">ACC28</f>
        <v>0</v>
      </c>
      <c r="ACE28" s="20" t="n">
        <f aca="false">ACD28</f>
        <v>0</v>
      </c>
      <c r="ACF28" s="20" t="n">
        <f aca="false">ACE28</f>
        <v>0</v>
      </c>
      <c r="ACG28" s="20" t="n">
        <f aca="false">ACF28</f>
        <v>0</v>
      </c>
      <c r="ACH28" s="20" t="n">
        <f aca="false">ACG28</f>
        <v>0</v>
      </c>
      <c r="ACI28" s="20" t="n">
        <f aca="false">ACH28</f>
        <v>0</v>
      </c>
      <c r="ACJ28" s="20" t="n">
        <f aca="false">ACI28</f>
        <v>0</v>
      </c>
      <c r="ACK28" s="20" t="n">
        <f aca="false">ACJ28</f>
        <v>0</v>
      </c>
      <c r="ACL28" s="20" t="n">
        <f aca="false">ACK28</f>
        <v>0</v>
      </c>
      <c r="ACM28" s="20" t="n">
        <f aca="false">ACL28</f>
        <v>0</v>
      </c>
      <c r="ACN28" s="20" t="n">
        <f aca="false">ACM28</f>
        <v>0</v>
      </c>
      <c r="ACO28" s="20" t="n">
        <f aca="false">ACN28</f>
        <v>0</v>
      </c>
      <c r="ACP28" s="20" t="n">
        <f aca="false">ACO28</f>
        <v>0</v>
      </c>
      <c r="ACQ28" s="20" t="n">
        <f aca="false">ACP28</f>
        <v>0</v>
      </c>
      <c r="ACR28" s="20" t="n">
        <f aca="false">ACQ28</f>
        <v>0</v>
      </c>
      <c r="ACS28" s="20" t="n">
        <f aca="false">ACR28</f>
        <v>0</v>
      </c>
      <c r="ACT28" s="20" t="n">
        <f aca="false">ACS28</f>
        <v>0</v>
      </c>
      <c r="ACU28" s="20" t="n">
        <f aca="false">ACT28</f>
        <v>0</v>
      </c>
      <c r="ACV28" s="20" t="n">
        <f aca="false">ACU28</f>
        <v>0</v>
      </c>
      <c r="ACW28" s="20" t="n">
        <f aca="false">ACV28</f>
        <v>0</v>
      </c>
      <c r="ACX28" s="20" t="n">
        <f aca="false">ACW28</f>
        <v>0</v>
      </c>
      <c r="ACY28" s="20" t="n">
        <f aca="false">ACX28</f>
        <v>0</v>
      </c>
      <c r="ACZ28" s="20" t="n">
        <f aca="false">ACY28</f>
        <v>0</v>
      </c>
      <c r="ADA28" s="20" t="n">
        <f aca="false">ACZ28</f>
        <v>0</v>
      </c>
      <c r="ADB28" s="20" t="n">
        <f aca="false">ADA28</f>
        <v>0</v>
      </c>
      <c r="ADC28" s="20" t="n">
        <f aca="false">ADB28</f>
        <v>0</v>
      </c>
      <c r="ADD28" s="20" t="n">
        <f aca="false">ADC28</f>
        <v>0</v>
      </c>
      <c r="ADE28" s="20" t="n">
        <f aca="false">ADD28</f>
        <v>0</v>
      </c>
      <c r="ADF28" s="20" t="n">
        <f aca="false">ADE28</f>
        <v>0</v>
      </c>
      <c r="ADG28" s="20" t="n">
        <f aca="false">ADF28</f>
        <v>0</v>
      </c>
      <c r="ADH28" s="20" t="n">
        <f aca="false">ADG28</f>
        <v>0</v>
      </c>
      <c r="ADI28" s="20" t="n">
        <f aca="false">ADH28</f>
        <v>0</v>
      </c>
      <c r="ADJ28" s="20" t="n">
        <f aca="false">ADI28</f>
        <v>0</v>
      </c>
      <c r="ADK28" s="20" t="n">
        <f aca="false">ADJ28</f>
        <v>0</v>
      </c>
      <c r="ADL28" s="20" t="n">
        <f aca="false">ADK28</f>
        <v>0</v>
      </c>
      <c r="ADM28" s="20" t="n">
        <f aca="false">ADL28</f>
        <v>0</v>
      </c>
      <c r="ADN28" s="20" t="n">
        <f aca="false">ADM28</f>
        <v>0</v>
      </c>
      <c r="ADO28" s="20" t="n">
        <f aca="false">ADN28</f>
        <v>0</v>
      </c>
      <c r="ADP28" s="20" t="n">
        <f aca="false">ADO28</f>
        <v>0</v>
      </c>
      <c r="ADQ28" s="20" t="n">
        <f aca="false">ADP28</f>
        <v>0</v>
      </c>
      <c r="ADR28" s="20" t="n">
        <f aca="false">(AKR27-TE28+0)*(1+BQ28)</f>
        <v>0</v>
      </c>
      <c r="ADS28" s="20" t="n">
        <f aca="false">(AKS27-TF28+0)*(1+BQ28)</f>
        <v>0</v>
      </c>
      <c r="ADT28" s="20" t="n">
        <f aca="false">(AKT27-TG28+0)*(1+BQ28)</f>
        <v>0</v>
      </c>
      <c r="ADU28" s="20" t="n">
        <f aca="false">(AKU27-TH28+0)*(1+BQ28)</f>
        <v>0</v>
      </c>
      <c r="ADV28" s="20" t="n">
        <f aca="false">(AKV27-TI28+0)*(1+BQ28)</f>
        <v>0</v>
      </c>
      <c r="ADW28" s="20" t="n">
        <f aca="false">(AKW27-TJ28+0)*(1+BQ28)</f>
        <v>0</v>
      </c>
      <c r="ADX28" s="20" t="n">
        <f aca="false">(AKX27-TK28+0)*(1+BQ28)</f>
        <v>0</v>
      </c>
      <c r="ADY28" s="20" t="n">
        <f aca="false">(AKY27-TL28+0)*(1+BQ28)</f>
        <v>0</v>
      </c>
      <c r="ADZ28" s="20" t="n">
        <f aca="false">(AKZ27-TM28+0)*(1+BQ28)</f>
        <v>0</v>
      </c>
      <c r="AEA28" s="20" t="n">
        <f aca="false">(ALA27-TN28+0)*(1+BQ28)</f>
        <v>0</v>
      </c>
      <c r="AEB28" s="20" t="n">
        <f aca="false">(ALB27-TO28+0)*(1+BQ28)</f>
        <v>0</v>
      </c>
      <c r="AEC28" s="20" t="n">
        <f aca="false">(ALC27-TP28+0)*(1+BQ28)</f>
        <v>755.458212669548</v>
      </c>
      <c r="AED28" s="20" t="n">
        <f aca="false">(ALD27-TQ28+0)*(1+BQ28)</f>
        <v>950.342392123447</v>
      </c>
      <c r="AEE28" s="20" t="n">
        <f aca="false">(ALE27-TR28+0)*(1+BQ28)</f>
        <v>1137.29423131016</v>
      </c>
      <c r="AEF28" s="20" t="n">
        <f aca="false">(ALF27-TS28+0)*(1+BQ28)</f>
        <v>1424.69323612413</v>
      </c>
      <c r="AEG28" s="20" t="n">
        <f aca="false">(ALG27-TT28+0)*(1+BQ28)</f>
        <v>1370.1391089036</v>
      </c>
      <c r="AEH28" s="20" t="n">
        <f aca="false">(ALH27-TU28+0)*(1+BQ28)</f>
        <v>1316.89521663319</v>
      </c>
      <c r="AEI28" s="20" t="n">
        <f aca="false">(ALI27-TV28+0)*(1+BQ28)</f>
        <v>1264.93385174541</v>
      </c>
      <c r="AEJ28" s="20" t="n">
        <f aca="false">(ALJ27-TW28+0)*(1+BQ28)</f>
        <v>3931.40258474114</v>
      </c>
      <c r="AEK28" s="20" t="n">
        <f aca="false">(ALK27-TX28+0)*(1+BQ28)</f>
        <v>3855.79868888073</v>
      </c>
      <c r="AEL28" s="20" t="n">
        <f aca="false">(ALL27-TY28+0)*(1+BQ28)</f>
        <v>3781.64871409456</v>
      </c>
      <c r="AEM28" s="20" t="n">
        <f aca="false">((P28+S28)-TZ28+BE28)*(1+BQ28)</f>
        <v>3708.92470036197</v>
      </c>
      <c r="AEN28" s="20" t="n">
        <v>0</v>
      </c>
      <c r="AEO28" s="20" t="n">
        <v>0</v>
      </c>
      <c r="AEP28" s="20" t="n">
        <v>0</v>
      </c>
      <c r="AEQ28" s="20" t="n">
        <v>0</v>
      </c>
      <c r="AER28" s="20" t="n">
        <v>0</v>
      </c>
      <c r="AES28" s="20" t="n">
        <v>0</v>
      </c>
      <c r="AET28" s="20" t="n">
        <v>0</v>
      </c>
      <c r="AEU28" s="20" t="n">
        <v>0</v>
      </c>
      <c r="AEV28" s="20" t="n">
        <v>0</v>
      </c>
      <c r="AEW28" s="20" t="n">
        <v>0</v>
      </c>
      <c r="AEX28" s="20" t="n">
        <v>0</v>
      </c>
      <c r="AEY28" s="20" t="n">
        <v>0</v>
      </c>
      <c r="AEZ28" s="20" t="n">
        <v>0</v>
      </c>
      <c r="AFA28" s="20" t="n">
        <v>0</v>
      </c>
      <c r="AFB28" s="20" t="n">
        <v>0</v>
      </c>
      <c r="AFC28" s="20" t="n">
        <v>0</v>
      </c>
      <c r="AFD28" s="20" t="n">
        <v>0</v>
      </c>
      <c r="AFE28" s="20" t="n">
        <v>0</v>
      </c>
      <c r="AFF28" s="20" t="n">
        <v>0</v>
      </c>
      <c r="AFG28" s="20" t="n">
        <v>0</v>
      </c>
      <c r="AFH28" s="20" t="n">
        <v>0</v>
      </c>
      <c r="AFI28" s="20" t="n">
        <v>0</v>
      </c>
      <c r="AFJ28" s="20" t="n">
        <v>0</v>
      </c>
      <c r="AFK28" s="20" t="n">
        <v>0</v>
      </c>
      <c r="AFL28" s="20" t="n">
        <v>0</v>
      </c>
      <c r="AFM28" s="20" t="n">
        <v>0</v>
      </c>
      <c r="AFN28" s="20" t="n">
        <v>0</v>
      </c>
      <c r="AFO28" s="20" t="n">
        <v>0</v>
      </c>
      <c r="AFP28" s="20" t="n">
        <v>0</v>
      </c>
      <c r="AFQ28" s="20" t="n">
        <v>0</v>
      </c>
      <c r="AFR28" s="20" t="n">
        <v>0</v>
      </c>
      <c r="AFS28" s="20" t="n">
        <v>0</v>
      </c>
      <c r="AFT28" s="20" t="n">
        <v>0</v>
      </c>
      <c r="AFU28" s="20" t="n">
        <v>0</v>
      </c>
      <c r="AFV28" s="20" t="n">
        <v>0</v>
      </c>
      <c r="AFW28" s="20" t="n">
        <v>0</v>
      </c>
      <c r="AFX28" s="20" t="n">
        <v>0</v>
      </c>
      <c r="AFY28" s="20" t="n">
        <v>0</v>
      </c>
      <c r="AFZ28" s="20" t="n">
        <v>0</v>
      </c>
      <c r="AGA28" s="20" t="n">
        <v>0</v>
      </c>
      <c r="AGB28" s="20" t="n">
        <v>0</v>
      </c>
      <c r="AGC28" s="20" t="n">
        <v>0</v>
      </c>
      <c r="AGD28" s="20" t="n">
        <v>0</v>
      </c>
      <c r="AGE28" s="20" t="n">
        <v>0</v>
      </c>
      <c r="AGF28" s="20" t="n">
        <v>0</v>
      </c>
      <c r="AGG28" s="20" t="n">
        <v>0</v>
      </c>
      <c r="AGH28" s="20" t="n">
        <v>0</v>
      </c>
      <c r="AGI28" s="20" t="n">
        <v>0</v>
      </c>
      <c r="AGJ28" s="20" t="n">
        <v>0</v>
      </c>
      <c r="AGK28" s="20" t="n">
        <v>0</v>
      </c>
      <c r="AGL28" s="20" t="n">
        <v>0</v>
      </c>
      <c r="AGM28" s="20" t="n">
        <v>0</v>
      </c>
      <c r="AGN28" s="20" t="n">
        <v>0</v>
      </c>
      <c r="AGO28" s="20" t="n">
        <v>0</v>
      </c>
      <c r="AGP28" s="20" t="n">
        <v>0</v>
      </c>
      <c r="AGQ28" s="20" t="n">
        <v>0</v>
      </c>
      <c r="AGR28" s="20" t="n">
        <v>0</v>
      </c>
      <c r="AGS28" s="20" t="n">
        <v>0</v>
      </c>
      <c r="AGT28" s="20" t="n">
        <v>0</v>
      </c>
      <c r="AGU28" s="20" t="n">
        <v>0</v>
      </c>
      <c r="AGV28" s="20" t="n">
        <v>0</v>
      </c>
      <c r="AGW28" s="20" t="n">
        <v>0</v>
      </c>
      <c r="AGX28" s="20" t="n">
        <v>0</v>
      </c>
      <c r="AGY28" s="20" t="n">
        <v>0</v>
      </c>
      <c r="AGZ28" s="20" t="n">
        <v>0</v>
      </c>
      <c r="AHA28" s="20" t="n">
        <v>0</v>
      </c>
      <c r="AHB28" s="20" t="n">
        <v>0</v>
      </c>
      <c r="AHC28" s="20" t="n">
        <v>0</v>
      </c>
      <c r="AHD28" s="20" t="n">
        <v>0</v>
      </c>
      <c r="AHE28" s="20" t="n">
        <f aca="false">IF(AKR27&gt;0,AOE27-AOE27*TE28/AKR27,0)+0</f>
        <v>0</v>
      </c>
      <c r="AHF28" s="20" t="n">
        <f aca="false">IF(AKS27&gt;0,AOF27-AOF27*TF28/AKS27,0)+0</f>
        <v>0</v>
      </c>
      <c r="AHG28" s="20" t="n">
        <f aca="false">IF(AKT27&gt;0,AOG27-AOG27*TG28/AKT27,0)+0</f>
        <v>0</v>
      </c>
      <c r="AHH28" s="20" t="n">
        <f aca="false">IF(AKU27&gt;0,AOH27-AOH27*TH28/AKU27,0)+0</f>
        <v>0</v>
      </c>
      <c r="AHI28" s="20" t="n">
        <f aca="false">IF(AKV27&gt;0,AOI27-AOI27*TI28/AKV27,0)+0</f>
        <v>0</v>
      </c>
      <c r="AHJ28" s="20" t="n">
        <f aca="false">IF(AKW27&gt;0,AOJ27-AOJ27*TJ28/AKW27,0)+0</f>
        <v>0</v>
      </c>
      <c r="AHK28" s="20" t="n">
        <f aca="false">IF(AKX27&gt;0,AOK27-AOK27*TK28/AKX27,0)+0</f>
        <v>0</v>
      </c>
      <c r="AHL28" s="20" t="n">
        <f aca="false">IF(AKY27&gt;0,AOL27-AOL27*TL28/AKY27,0)+0</f>
        <v>0</v>
      </c>
      <c r="AHM28" s="20" t="n">
        <f aca="false">IF(AKZ27&gt;0,AOM27-AOM27*TM28/AKZ27,0)+0</f>
        <v>0</v>
      </c>
      <c r="AHN28" s="20" t="n">
        <f aca="false">IF(ALA27&gt;0,AON27-AON27*TN28/ALA27,0)+0</f>
        <v>0</v>
      </c>
      <c r="AHO28" s="20" t="n">
        <f aca="false">IF(ALB27&gt;0,AOO27-AOO27*TO28/ALB27,0)+0</f>
        <v>0</v>
      </c>
      <c r="AHP28" s="20" t="n">
        <f aca="false">IF(ALC27&gt;0,AOP27-AOP27*TP28/ALC27,0)+0</f>
        <v>671.599600191266</v>
      </c>
      <c r="AHQ28" s="20" t="n">
        <f aca="false">IF(ALD27&gt;0,AOQ27-AOQ27*TQ28/ALD27,0)+0</f>
        <v>878.644963131885</v>
      </c>
      <c r="AHR28" s="20" t="n">
        <f aca="false">IF(ALE27&gt;0,AOR27-AOR27*TR28/ALE27,0)+0</f>
        <v>1093.55214549053</v>
      </c>
      <c r="AHS28" s="20" t="n">
        <f aca="false">IF(ALF27&gt;0,AOS27-AOS27*TS28/ALF27,0)+0</f>
        <v>1041.00939276848</v>
      </c>
      <c r="AHT28" s="20" t="n">
        <f aca="false">IF(ALG27&gt;0,AOT27-AOT27*TT28/ALG27,0)+0</f>
        <v>1041.19311542065</v>
      </c>
      <c r="AHU28" s="20" t="n">
        <f aca="false">IF(ALH27&gt;0,AOU27-AOU27*TU28/ALH27,0)+0</f>
        <v>1040.76141856976</v>
      </c>
      <c r="AHV28" s="20" t="n">
        <f aca="false">IF(ALI27&gt;0,AOV27-AOV27*TV28/ALI27,0)+0</f>
        <v>1039.68342100707</v>
      </c>
      <c r="AHW28" s="20" t="n">
        <f aca="false">IF(ALJ27&gt;0,AOW27-AOW27*TW28/ALJ27,0)+0</f>
        <v>3360.57940606182</v>
      </c>
      <c r="AHX28" s="20" t="n">
        <f aca="false">IF(ALK27&gt;0,AOX27-AOX27*TX28/ALK27,0)+0</f>
        <v>3427.79099418306</v>
      </c>
      <c r="AHY28" s="20" t="n">
        <f aca="false">IF(ALL27&gt;0,AOY27-AOY27*TY28/ALL27,0)+0</f>
        <v>3496.34681406672</v>
      </c>
      <c r="AHZ28" s="20" t="n">
        <f aca="false">IF((P28+S28)&gt;0,(P28+S28)-(P28+S28)*TZ28/(P28+S28),0)+BE28</f>
        <v>3566.27375034805</v>
      </c>
      <c r="AIA28" s="20" t="n">
        <v>0</v>
      </c>
      <c r="AIB28" s="20" t="n">
        <v>0</v>
      </c>
      <c r="AIC28" s="20" t="n">
        <v>0</v>
      </c>
      <c r="AID28" s="20" t="n">
        <v>0</v>
      </c>
      <c r="AIE28" s="20" t="n">
        <v>0</v>
      </c>
      <c r="AIF28" s="20" t="n">
        <v>0</v>
      </c>
      <c r="AIG28" s="20" t="n">
        <v>0</v>
      </c>
      <c r="AIH28" s="20" t="n">
        <v>0</v>
      </c>
      <c r="AII28" s="20" t="n">
        <v>0</v>
      </c>
      <c r="AIJ28" s="20" t="n">
        <v>0</v>
      </c>
      <c r="AIK28" s="20" t="n">
        <v>0</v>
      </c>
      <c r="AIL28" s="20" t="n">
        <v>0</v>
      </c>
      <c r="AIM28" s="20" t="n">
        <v>0</v>
      </c>
      <c r="AIN28" s="20" t="n">
        <v>0</v>
      </c>
      <c r="AIO28" s="20" t="n">
        <v>0</v>
      </c>
      <c r="AIP28" s="20" t="n">
        <v>0</v>
      </c>
      <c r="AIQ28" s="20" t="n">
        <v>0</v>
      </c>
      <c r="AIR28" s="20" t="n">
        <v>0</v>
      </c>
      <c r="AIS28" s="20" t="n">
        <v>0</v>
      </c>
      <c r="AIT28" s="20" t="n">
        <v>0</v>
      </c>
      <c r="AIU28" s="20" t="n">
        <v>0</v>
      </c>
      <c r="AIV28" s="20" t="n">
        <v>0</v>
      </c>
      <c r="AIW28" s="20" t="n">
        <v>0</v>
      </c>
      <c r="AIX28" s="20" t="n">
        <v>0</v>
      </c>
      <c r="AIY28" s="20" t="n">
        <v>0</v>
      </c>
      <c r="AIZ28" s="20" t="n">
        <v>0</v>
      </c>
      <c r="AJA28" s="20" t="n">
        <v>0</v>
      </c>
      <c r="AJB28" s="20" t="n">
        <v>0</v>
      </c>
      <c r="AJC28" s="20" t="n">
        <v>0</v>
      </c>
      <c r="AJD28" s="20" t="n">
        <v>0</v>
      </c>
      <c r="AJE28" s="20" t="n">
        <v>0</v>
      </c>
      <c r="AJF28" s="20" t="n">
        <v>0</v>
      </c>
      <c r="AJG28" s="20" t="n">
        <v>0</v>
      </c>
      <c r="AJH28" s="20" t="n">
        <v>0</v>
      </c>
      <c r="AJI28" s="20" t="n">
        <v>0</v>
      </c>
      <c r="AJJ28" s="20" t="n">
        <v>0</v>
      </c>
      <c r="AJK28" s="20" t="n">
        <v>0</v>
      </c>
      <c r="AJL28" s="20" t="n">
        <v>0</v>
      </c>
      <c r="AJM28" s="20" t="n">
        <v>0</v>
      </c>
      <c r="AJN28" s="20" t="n">
        <v>0</v>
      </c>
      <c r="AJO28" s="20" t="n">
        <v>0</v>
      </c>
      <c r="AJP28" s="20" t="n">
        <v>0</v>
      </c>
      <c r="AJQ28" s="20" t="n">
        <v>0</v>
      </c>
      <c r="AJR28" s="20" t="n">
        <v>0</v>
      </c>
      <c r="AJS28" s="20" t="n">
        <v>0</v>
      </c>
      <c r="AJT28" s="20" t="n">
        <v>0</v>
      </c>
      <c r="AJU28" s="20" t="n">
        <v>0</v>
      </c>
      <c r="AJV28" s="20" t="n">
        <v>0</v>
      </c>
      <c r="AJW28" s="20" t="n">
        <v>0</v>
      </c>
      <c r="AJX28" s="20" t="n">
        <v>0</v>
      </c>
      <c r="AJY28" s="20" t="n">
        <v>0</v>
      </c>
      <c r="AJZ28" s="20" t="n">
        <v>0</v>
      </c>
      <c r="AKA28" s="20" t="n">
        <v>0</v>
      </c>
      <c r="AKB28" s="20" t="n">
        <v>0</v>
      </c>
      <c r="AKC28" s="20" t="n">
        <v>0</v>
      </c>
      <c r="AKD28" s="20" t="n">
        <v>0</v>
      </c>
      <c r="AKE28" s="20" t="n">
        <v>0</v>
      </c>
      <c r="AKF28" s="20" t="n">
        <v>0</v>
      </c>
      <c r="AKG28" s="20" t="n">
        <v>0</v>
      </c>
      <c r="AKH28" s="20" t="n">
        <v>0</v>
      </c>
      <c r="AKI28" s="20" t="n">
        <v>0</v>
      </c>
      <c r="AKJ28" s="20" t="n">
        <v>0</v>
      </c>
      <c r="AKK28" s="20" t="n">
        <v>0</v>
      </c>
      <c r="AKL28" s="20" t="n">
        <v>0</v>
      </c>
      <c r="AKM28" s="20" t="n">
        <v>0</v>
      </c>
      <c r="AKN28" s="20" t="n">
        <v>0</v>
      </c>
      <c r="AKO28" s="20" t="n">
        <v>0</v>
      </c>
      <c r="AKP28" s="20" t="n">
        <v>0</v>
      </c>
      <c r="AKQ28" s="20" t="n">
        <v>0</v>
      </c>
      <c r="AKR28" s="20" t="n">
        <f aca="false">ADR28-AVE28</f>
        <v>0</v>
      </c>
      <c r="AKS28" s="20" t="n">
        <f aca="false">ADS28-AVF28</f>
        <v>0</v>
      </c>
      <c r="AKT28" s="20" t="n">
        <f aca="false">ADT28-AVG28</f>
        <v>0</v>
      </c>
      <c r="AKU28" s="20" t="n">
        <f aca="false">ADU28-AVH28</f>
        <v>0</v>
      </c>
      <c r="AKV28" s="20" t="n">
        <f aca="false">ADV28-AVI28</f>
        <v>0</v>
      </c>
      <c r="AKW28" s="20" t="n">
        <f aca="false">ADW28-AVJ28</f>
        <v>0</v>
      </c>
      <c r="AKX28" s="20" t="n">
        <f aca="false">ADX28-AVK28</f>
        <v>0</v>
      </c>
      <c r="AKY28" s="20" t="n">
        <f aca="false">ADY28-AVL28</f>
        <v>0</v>
      </c>
      <c r="AKZ28" s="20" t="n">
        <f aca="false">ADZ28-AVM28</f>
        <v>0</v>
      </c>
      <c r="ALA28" s="20" t="n">
        <f aca="false">AEA28-AVN28</f>
        <v>0</v>
      </c>
      <c r="ALB28" s="20" t="n">
        <f aca="false">AEB28-AVO28</f>
        <v>0</v>
      </c>
      <c r="ALC28" s="20" t="n">
        <f aca="false">AEC28-AVP28</f>
        <v>755.458212669548</v>
      </c>
      <c r="ALD28" s="20" t="n">
        <f aca="false">AED28-AVQ28</f>
        <v>950.342392123447</v>
      </c>
      <c r="ALE28" s="20" t="n">
        <f aca="false">AEE28-AVR28</f>
        <v>1137.29423131016</v>
      </c>
      <c r="ALF28" s="20" t="n">
        <f aca="false">AEF28-AVS28</f>
        <v>1278.89337564899</v>
      </c>
      <c r="ALG28" s="20" t="n">
        <f aca="false">AEG28-AVT28</f>
        <v>1370.1391089036</v>
      </c>
      <c r="ALH28" s="20" t="n">
        <f aca="false">AEH28-AVU28</f>
        <v>1316.89521663319</v>
      </c>
      <c r="ALI28" s="20" t="n">
        <f aca="false">AEI28-AVV28</f>
        <v>1264.93385174541</v>
      </c>
      <c r="ALJ28" s="20" t="n">
        <f aca="false">AEJ28-AVW28</f>
        <v>3931.40258474114</v>
      </c>
      <c r="ALK28" s="20" t="n">
        <f aca="false">AEK28-AVX28</f>
        <v>3855.79868888073</v>
      </c>
      <c r="ALL28" s="20" t="n">
        <f aca="false">AEL28-AVY28</f>
        <v>3781.64871409456</v>
      </c>
      <c r="ALM28" s="20" t="n">
        <f aca="false">AEM28-AVZ28</f>
        <v>3708.92470036197</v>
      </c>
      <c r="ALN28" s="20" t="n">
        <v>0</v>
      </c>
      <c r="ALO28" s="20" t="n">
        <v>0</v>
      </c>
      <c r="ALP28" s="20" t="n">
        <v>0</v>
      </c>
      <c r="ALQ28" s="20" t="n">
        <v>0</v>
      </c>
      <c r="ALR28" s="20" t="n">
        <v>0</v>
      </c>
      <c r="ALS28" s="20" t="n">
        <v>0</v>
      </c>
      <c r="ALT28" s="20" t="n">
        <v>0</v>
      </c>
      <c r="ALU28" s="20" t="n">
        <v>0</v>
      </c>
      <c r="ALV28" s="20" t="n">
        <v>0</v>
      </c>
      <c r="ALW28" s="20" t="n">
        <v>0</v>
      </c>
      <c r="ALX28" s="20" t="n">
        <v>0</v>
      </c>
      <c r="ALY28" s="20" t="n">
        <v>0</v>
      </c>
      <c r="ALZ28" s="20" t="n">
        <v>0</v>
      </c>
      <c r="AMA28" s="20" t="n">
        <v>0</v>
      </c>
      <c r="AMB28" s="20" t="n">
        <v>0</v>
      </c>
      <c r="AMC28" s="20" t="n">
        <v>0</v>
      </c>
      <c r="AMD28" s="20" t="n">
        <v>0</v>
      </c>
      <c r="AME28" s="20" t="n">
        <v>0</v>
      </c>
      <c r="AMF28" s="20" t="n">
        <v>0</v>
      </c>
      <c r="AMG28" s="20" t="n">
        <v>0</v>
      </c>
      <c r="AMH28" s="20" t="n">
        <v>0</v>
      </c>
      <c r="AMI28" s="20" t="n">
        <v>0</v>
      </c>
      <c r="AMJ28" s="20" t="n">
        <v>0</v>
      </c>
      <c r="AMK28" s="20" t="n">
        <v>0</v>
      </c>
      <c r="AML28" s="20" t="n">
        <v>0</v>
      </c>
      <c r="AMM28" s="20" t="n">
        <v>0</v>
      </c>
      <c r="AMN28" s="20" t="n">
        <v>0</v>
      </c>
      <c r="AMO28" s="20" t="n">
        <v>0</v>
      </c>
      <c r="AMP28" s="20" t="n">
        <v>0</v>
      </c>
      <c r="AMQ28" s="20" t="n">
        <v>0</v>
      </c>
      <c r="AMR28" s="20" t="n">
        <v>0</v>
      </c>
      <c r="AMS28" s="20" t="n">
        <v>0</v>
      </c>
      <c r="AMT28" s="20" t="n">
        <v>0</v>
      </c>
      <c r="AMU28" s="20" t="n">
        <v>0</v>
      </c>
      <c r="AMV28" s="20" t="n">
        <v>0</v>
      </c>
      <c r="AMW28" s="20" t="n">
        <v>0</v>
      </c>
      <c r="AMX28" s="20" t="n">
        <v>0</v>
      </c>
      <c r="AMY28" s="20" t="n">
        <v>0</v>
      </c>
      <c r="AMZ28" s="20" t="n">
        <v>0</v>
      </c>
      <c r="ANA28" s="20" t="n">
        <v>0</v>
      </c>
      <c r="ANB28" s="20" t="n">
        <v>0</v>
      </c>
      <c r="ANC28" s="20" t="n">
        <v>0</v>
      </c>
      <c r="AND28" s="20" t="n">
        <v>0</v>
      </c>
      <c r="ANE28" s="20" t="n">
        <v>0</v>
      </c>
      <c r="ANF28" s="20" t="n">
        <v>0</v>
      </c>
      <c r="ANG28" s="20" t="n">
        <v>0</v>
      </c>
      <c r="ANH28" s="20" t="n">
        <v>0</v>
      </c>
      <c r="ANI28" s="20" t="n">
        <v>0</v>
      </c>
      <c r="ANJ28" s="20" t="n">
        <v>0</v>
      </c>
      <c r="ANK28" s="20" t="n">
        <v>0</v>
      </c>
      <c r="ANL28" s="20" t="n">
        <v>0</v>
      </c>
      <c r="ANM28" s="20" t="n">
        <v>0</v>
      </c>
      <c r="ANN28" s="20" t="n">
        <v>0</v>
      </c>
      <c r="ANO28" s="20" t="n">
        <v>0</v>
      </c>
      <c r="ANP28" s="20" t="n">
        <v>0</v>
      </c>
      <c r="ANQ28" s="20" t="n">
        <v>0</v>
      </c>
      <c r="ANR28" s="20" t="n">
        <v>0</v>
      </c>
      <c r="ANS28" s="20" t="n">
        <v>0</v>
      </c>
      <c r="ANT28" s="20" t="n">
        <v>0</v>
      </c>
      <c r="ANU28" s="20" t="n">
        <v>0</v>
      </c>
      <c r="ANV28" s="20" t="n">
        <v>0</v>
      </c>
      <c r="ANW28" s="20" t="n">
        <v>0</v>
      </c>
      <c r="ANX28" s="20" t="n">
        <v>0</v>
      </c>
      <c r="ANY28" s="20" t="n">
        <v>0</v>
      </c>
      <c r="ANZ28" s="20" t="n">
        <v>0</v>
      </c>
      <c r="AOA28" s="20" t="n">
        <v>0</v>
      </c>
      <c r="AOB28" s="20" t="n">
        <v>0</v>
      </c>
      <c r="AOC28" s="20" t="n">
        <v>0</v>
      </c>
      <c r="AOD28" s="20" t="n">
        <v>0</v>
      </c>
      <c r="AOE28" s="20" t="n">
        <f aca="false">IF(AND(H_Direct=0,H_TaxEvt=1,ARR27+1&gt;=H_Deemed),AKR28,AHE28)</f>
        <v>0</v>
      </c>
      <c r="AOF28" s="20" t="n">
        <f aca="false">IF(AND(H_Direct=0,H_TaxEvt=1,ARS27+1&gt;=H_Deemed),AKS28,AHF28)</f>
        <v>0</v>
      </c>
      <c r="AOG28" s="20" t="n">
        <f aca="false">IF(AND(H_Direct=0,H_TaxEvt=1,ART27+1&gt;=H_Deemed),AKT28,AHG28)</f>
        <v>0</v>
      </c>
      <c r="AOH28" s="20" t="n">
        <f aca="false">IF(AND(H_Direct=0,H_TaxEvt=1,ARU27+1&gt;=H_Deemed),AKU28,AHH28)</f>
        <v>0</v>
      </c>
      <c r="AOI28" s="20" t="n">
        <f aca="false">IF(AND(H_Direct=0,H_TaxEvt=1,ARV27+1&gt;=H_Deemed),AKV28,AHI28)</f>
        <v>0</v>
      </c>
      <c r="AOJ28" s="20" t="n">
        <f aca="false">IF(AND(H_Direct=0,H_TaxEvt=1,ARW27+1&gt;=H_Deemed),AKW28,AHJ28)</f>
        <v>0</v>
      </c>
      <c r="AOK28" s="20" t="n">
        <f aca="false">IF(AND(H_Direct=0,H_TaxEvt=1,ARX27+1&gt;=H_Deemed),AKX28,AHK28)</f>
        <v>0</v>
      </c>
      <c r="AOL28" s="20" t="n">
        <f aca="false">IF(AND(H_Direct=0,H_TaxEvt=1,ARY27+1&gt;=H_Deemed),AKY28,AHL28)</f>
        <v>0</v>
      </c>
      <c r="AOM28" s="20" t="n">
        <f aca="false">IF(AND(H_Direct=0,H_TaxEvt=1,ARZ27+1&gt;=H_Deemed),AKZ28,AHM28)</f>
        <v>0</v>
      </c>
      <c r="AON28" s="20" t="n">
        <f aca="false">IF(AND(H_Direct=0,H_TaxEvt=1,ASA27+1&gt;=H_Deemed),ALA28,AHN28)</f>
        <v>0</v>
      </c>
      <c r="AOO28" s="20" t="n">
        <f aca="false">IF(AND(H_Direct=0,H_TaxEvt=1,ASB27+1&gt;=H_Deemed),ALB28,AHO28)</f>
        <v>0</v>
      </c>
      <c r="AOP28" s="20" t="n">
        <f aca="false">IF(AND(H_Direct=0,H_TaxEvt=1,ASC27+1&gt;=H_Deemed),ALC28,AHP28)</f>
        <v>671.599600191266</v>
      </c>
      <c r="AOQ28" s="20" t="n">
        <f aca="false">IF(AND(H_Direct=0,H_TaxEvt=1,ASD27+1&gt;=H_Deemed),ALD28,AHQ28)</f>
        <v>878.644963131885</v>
      </c>
      <c r="AOR28" s="20" t="n">
        <f aca="false">IF(AND(H_Direct=0,H_TaxEvt=1,ASE27+1&gt;=H_Deemed),ALE28,AHR28)</f>
        <v>1093.55214549053</v>
      </c>
      <c r="AOS28" s="20" t="n">
        <f aca="false">IF(AND(H_Direct=0,H_TaxEvt=1,ASF27+1&gt;=H_Deemed),ALF28,AHS28)</f>
        <v>1278.89337564899</v>
      </c>
      <c r="AOT28" s="20" t="n">
        <f aca="false">IF(AND(H_Direct=0,H_TaxEvt=1,ASG27+1&gt;=H_Deemed),ALG28,AHT28)</f>
        <v>1041.19311542065</v>
      </c>
      <c r="AOU28" s="20" t="n">
        <f aca="false">IF(AND(H_Direct=0,H_TaxEvt=1,ASH27+1&gt;=H_Deemed),ALH28,AHU28)</f>
        <v>1040.76141856976</v>
      </c>
      <c r="AOV28" s="20" t="n">
        <f aca="false">IF(AND(H_Direct=0,H_TaxEvt=1,ASI27+1&gt;=H_Deemed),ALI28,AHV28)</f>
        <v>1039.68342100707</v>
      </c>
      <c r="AOW28" s="20" t="n">
        <f aca="false">IF(AND(H_Direct=0,H_TaxEvt=1,ASJ27+1&gt;=H_Deemed),ALJ28,AHW28)</f>
        <v>3360.57940606182</v>
      </c>
      <c r="AOX28" s="20" t="n">
        <f aca="false">IF(AND(H_Direct=0,H_TaxEvt=1,ASK27+1&gt;=H_Deemed),ALK28,AHX28)</f>
        <v>3427.79099418306</v>
      </c>
      <c r="AOY28" s="20" t="n">
        <f aca="false">IF(AND(H_Direct=0,H_TaxEvt=1,ASL27+1&gt;=H_Deemed),ALL28,AHY28)</f>
        <v>3496.34681406672</v>
      </c>
      <c r="AOZ28" s="20" t="n">
        <f aca="false">IF(AND(H_Direct=0,H_TaxEvt=1,0+1&gt;=H_Deemed),ALM28,AHZ28)</f>
        <v>3566.27375034805</v>
      </c>
      <c r="APA28" s="20" t="n">
        <v>0</v>
      </c>
      <c r="APB28" s="20" t="n">
        <v>0</v>
      </c>
      <c r="APC28" s="20" t="n">
        <v>0</v>
      </c>
      <c r="APD28" s="20" t="n">
        <v>0</v>
      </c>
      <c r="APE28" s="20" t="n">
        <v>0</v>
      </c>
      <c r="APF28" s="20" t="n">
        <v>0</v>
      </c>
      <c r="APG28" s="20" t="n">
        <v>0</v>
      </c>
      <c r="APH28" s="20" t="n">
        <v>0</v>
      </c>
      <c r="API28" s="20" t="n">
        <v>0</v>
      </c>
      <c r="APJ28" s="20" t="n">
        <v>0</v>
      </c>
      <c r="APK28" s="20" t="n">
        <v>0</v>
      </c>
      <c r="APL28" s="20" t="n">
        <v>0</v>
      </c>
      <c r="APM28" s="20" t="n">
        <v>0</v>
      </c>
      <c r="APN28" s="20" t="n">
        <v>0</v>
      </c>
      <c r="APO28" s="20" t="n">
        <v>0</v>
      </c>
      <c r="APP28" s="20" t="n">
        <v>0</v>
      </c>
      <c r="APQ28" s="20" t="n">
        <v>0</v>
      </c>
      <c r="APR28" s="20" t="n">
        <v>0</v>
      </c>
      <c r="APS28" s="20" t="n">
        <v>0</v>
      </c>
      <c r="APT28" s="20" t="n">
        <v>0</v>
      </c>
      <c r="APU28" s="20" t="n">
        <v>0</v>
      </c>
      <c r="APV28" s="20" t="n">
        <v>0</v>
      </c>
      <c r="APW28" s="20" t="n">
        <v>0</v>
      </c>
      <c r="APX28" s="20" t="n">
        <v>0</v>
      </c>
      <c r="APY28" s="20" t="n">
        <v>0</v>
      </c>
      <c r="APZ28" s="20" t="n">
        <v>0</v>
      </c>
      <c r="AQA28" s="20" t="n">
        <v>0</v>
      </c>
      <c r="AQB28" s="20" t="n">
        <v>0</v>
      </c>
      <c r="AQC28" s="20" t="n">
        <v>0</v>
      </c>
      <c r="AQD28" s="20" t="n">
        <v>0</v>
      </c>
      <c r="AQE28" s="20" t="n">
        <v>0</v>
      </c>
      <c r="AQF28" s="20" t="n">
        <v>0</v>
      </c>
      <c r="AQG28" s="20" t="n">
        <v>0</v>
      </c>
      <c r="AQH28" s="20" t="n">
        <v>0</v>
      </c>
      <c r="AQI28" s="20" t="n">
        <v>0</v>
      </c>
      <c r="AQJ28" s="20" t="n">
        <v>0</v>
      </c>
      <c r="AQK28" s="20" t="n">
        <v>0</v>
      </c>
      <c r="AQL28" s="20" t="n">
        <v>0</v>
      </c>
      <c r="AQM28" s="20" t="n">
        <v>0</v>
      </c>
      <c r="AQN28" s="20" t="n">
        <v>0</v>
      </c>
      <c r="AQO28" s="20" t="n">
        <v>0</v>
      </c>
      <c r="AQP28" s="20" t="n">
        <v>0</v>
      </c>
      <c r="AQQ28" s="20" t="n">
        <v>0</v>
      </c>
      <c r="AQR28" s="20" t="n">
        <v>0</v>
      </c>
      <c r="AQS28" s="20" t="n">
        <v>0</v>
      </c>
      <c r="AQT28" s="20" t="n">
        <v>0</v>
      </c>
      <c r="AQU28" s="20" t="n">
        <v>0</v>
      </c>
      <c r="AQV28" s="20" t="n">
        <v>0</v>
      </c>
      <c r="AQW28" s="20" t="n">
        <v>0</v>
      </c>
      <c r="AQX28" s="20" t="n">
        <v>0</v>
      </c>
      <c r="AQY28" s="20" t="n">
        <v>0</v>
      </c>
      <c r="AQZ28" s="20" t="n">
        <v>0</v>
      </c>
      <c r="ARA28" s="20" t="n">
        <v>0</v>
      </c>
      <c r="ARB28" s="20" t="n">
        <v>0</v>
      </c>
      <c r="ARC28" s="20" t="n">
        <v>0</v>
      </c>
      <c r="ARD28" s="20" t="n">
        <v>0</v>
      </c>
      <c r="ARE28" s="20" t="n">
        <v>0</v>
      </c>
      <c r="ARF28" s="20" t="n">
        <v>0</v>
      </c>
      <c r="ARG28" s="20" t="n">
        <v>0</v>
      </c>
      <c r="ARH28" s="20" t="n">
        <v>0</v>
      </c>
      <c r="ARI28" s="20" t="n">
        <v>0</v>
      </c>
      <c r="ARJ28" s="20" t="n">
        <v>0</v>
      </c>
      <c r="ARK28" s="20" t="n">
        <v>0</v>
      </c>
      <c r="ARL28" s="20" t="n">
        <v>0</v>
      </c>
      <c r="ARM28" s="20" t="n">
        <v>0</v>
      </c>
      <c r="ARN28" s="20" t="n">
        <v>0</v>
      </c>
      <c r="ARO28" s="20" t="n">
        <v>0</v>
      </c>
      <c r="ARP28" s="20" t="n">
        <v>0</v>
      </c>
      <c r="ARQ28" s="20" t="n">
        <v>0</v>
      </c>
      <c r="ARR28" s="20" t="n">
        <f aca="false">IF(AND(H_Direct=0,H_TaxEvt=1),IF(ARR27+1&gt;=H_Deemed,0,ARR27+1),ARR27)</f>
        <v>5</v>
      </c>
      <c r="ARS28" s="20" t="n">
        <f aca="false">IF(AND(H_Direct=0,H_TaxEvt=1),IF(ARS27+1&gt;=H_Deemed,0,ARS27+1),ARS27)</f>
        <v>5</v>
      </c>
      <c r="ART28" s="20" t="n">
        <f aca="false">IF(AND(H_Direct=0,H_TaxEvt=1),IF(ART27+1&gt;=H_Deemed,0,ART27+1),ART27)</f>
        <v>4</v>
      </c>
      <c r="ARU28" s="20" t="n">
        <f aca="false">IF(AND(H_Direct=0,H_TaxEvt=1),IF(ARU27+1&gt;=H_Deemed,0,ARU27+1),ARU27)</f>
        <v>3</v>
      </c>
      <c r="ARV28" s="20" t="n">
        <f aca="false">IF(AND(H_Direct=0,H_TaxEvt=1),IF(ARV27+1&gt;=H_Deemed,0,ARV27+1),ARV27)</f>
        <v>2</v>
      </c>
      <c r="ARW28" s="20" t="n">
        <f aca="false">IF(AND(H_Direct=0,H_TaxEvt=1),IF(ARW27+1&gt;=H_Deemed,0,ARW27+1),ARW27)</f>
        <v>1</v>
      </c>
      <c r="ARX28" s="20" t="n">
        <f aca="false">IF(AND(H_Direct=0,H_TaxEvt=1),IF(ARX27+1&gt;=H_Deemed,0,ARX27+1),ARX27)</f>
        <v>0</v>
      </c>
      <c r="ARY28" s="20" t="n">
        <f aca="false">IF(AND(H_Direct=0,H_TaxEvt=1),IF(ARY27+1&gt;=H_Deemed,0,ARY27+1),ARY27)</f>
        <v>7</v>
      </c>
      <c r="ARZ28" s="20" t="n">
        <f aca="false">IF(AND(H_Direct=0,H_TaxEvt=1),IF(ARZ27+1&gt;=H_Deemed,0,ARZ27+1),ARZ27)</f>
        <v>6</v>
      </c>
      <c r="ASA28" s="20" t="n">
        <f aca="false">IF(AND(H_Direct=0,H_TaxEvt=1),IF(ASA27+1&gt;=H_Deemed,0,ASA27+1),ASA27)</f>
        <v>5</v>
      </c>
      <c r="ASB28" s="20" t="n">
        <f aca="false">IF(AND(H_Direct=0,H_TaxEvt=1),IF(ASB27+1&gt;=H_Deemed,0,ASB27+1),ASB27)</f>
        <v>4</v>
      </c>
      <c r="ASC28" s="20" t="n">
        <f aca="false">IF(AND(H_Direct=0,H_TaxEvt=1),IF(ASC27+1&gt;=H_Deemed,0,ASC27+1),ASC27)</f>
        <v>3</v>
      </c>
      <c r="ASD28" s="20" t="n">
        <f aca="false">IF(AND(H_Direct=0,H_TaxEvt=1),IF(ASD27+1&gt;=H_Deemed,0,ASD27+1),ASD27)</f>
        <v>2</v>
      </c>
      <c r="ASE28" s="20" t="n">
        <f aca="false">IF(AND(H_Direct=0,H_TaxEvt=1),IF(ASE27+1&gt;=H_Deemed,0,ASE27+1),ASE27)</f>
        <v>1</v>
      </c>
      <c r="ASF28" s="20" t="n">
        <f aca="false">IF(AND(H_Direct=0,H_TaxEvt=1),IF(ASF27+1&gt;=H_Deemed,0,ASF27+1),ASF27)</f>
        <v>0</v>
      </c>
      <c r="ASG28" s="20" t="n">
        <f aca="false">IF(AND(H_Direct=0,H_TaxEvt=1),IF(ASG27+1&gt;=H_Deemed,0,ASG27+1),ASG27)</f>
        <v>7</v>
      </c>
      <c r="ASH28" s="20" t="n">
        <f aca="false">IF(AND(H_Direct=0,H_TaxEvt=1),IF(ASH27+1&gt;=H_Deemed,0,ASH27+1),ASH27)</f>
        <v>6</v>
      </c>
      <c r="ASI28" s="20" t="n">
        <f aca="false">IF(AND(H_Direct=0,H_TaxEvt=1),IF(ASI27+1&gt;=H_Deemed,0,ASI27+1),ASI27)</f>
        <v>5</v>
      </c>
      <c r="ASJ28" s="20" t="n">
        <f aca="false">IF(AND(H_Direct=0,H_TaxEvt=1),IF(ASJ27+1&gt;=H_Deemed,0,ASJ27+1),ASJ27)</f>
        <v>4</v>
      </c>
      <c r="ASK28" s="20" t="n">
        <f aca="false">IF(AND(H_Direct=0,H_TaxEvt=1),IF(ASK27+1&gt;=H_Deemed,0,ASK27+1),ASK27)</f>
        <v>3</v>
      </c>
      <c r="ASL28" s="20" t="n">
        <f aca="false">IF(AND(H_Direct=0,H_TaxEvt=1),IF(ASL27+1&gt;=H_Deemed,0,ASL27+1),ASL27)</f>
        <v>2</v>
      </c>
      <c r="ASM28" s="20" t="n">
        <f aca="false">IF(AND(H_Direct=0,H_TaxEvt=1),IF(0+1&gt;=H_Deemed,0,0+1),0)</f>
        <v>1</v>
      </c>
      <c r="ASN28" s="20" t="n">
        <v>0</v>
      </c>
      <c r="ASO28" s="20" t="n">
        <v>0</v>
      </c>
      <c r="ASP28" s="20" t="n">
        <v>0</v>
      </c>
      <c r="ASQ28" s="20" t="n">
        <v>0</v>
      </c>
      <c r="ASR28" s="20" t="n">
        <v>0</v>
      </c>
      <c r="ASS28" s="20" t="n">
        <v>0</v>
      </c>
      <c r="AST28" s="20" t="n">
        <v>0</v>
      </c>
      <c r="ASU28" s="20" t="n">
        <v>0</v>
      </c>
      <c r="ASV28" s="20" t="n">
        <v>0</v>
      </c>
      <c r="ASW28" s="20" t="n">
        <v>0</v>
      </c>
      <c r="ASX28" s="20" t="n">
        <v>0</v>
      </c>
      <c r="ASY28" s="20" t="n">
        <v>0</v>
      </c>
      <c r="ASZ28" s="20" t="n">
        <v>0</v>
      </c>
      <c r="ATA28" s="20" t="n">
        <v>0</v>
      </c>
      <c r="ATB28" s="20" t="n">
        <v>0</v>
      </c>
      <c r="ATC28" s="20" t="n">
        <v>0</v>
      </c>
      <c r="ATD28" s="20" t="n">
        <v>0</v>
      </c>
      <c r="ATE28" s="20" t="n">
        <v>0</v>
      </c>
      <c r="ATF28" s="20" t="n">
        <v>0</v>
      </c>
      <c r="ATG28" s="20" t="n">
        <v>0</v>
      </c>
      <c r="ATH28" s="20" t="n">
        <v>0</v>
      </c>
      <c r="ATI28" s="20" t="n">
        <v>0</v>
      </c>
      <c r="ATJ28" s="20" t="n">
        <v>0</v>
      </c>
      <c r="ATK28" s="20" t="n">
        <v>0</v>
      </c>
      <c r="ATL28" s="20" t="n">
        <v>0</v>
      </c>
      <c r="ATM28" s="20" t="n">
        <v>0</v>
      </c>
      <c r="ATN28" s="20" t="n">
        <v>0</v>
      </c>
      <c r="ATO28" s="20" t="n">
        <v>0</v>
      </c>
      <c r="ATP28" s="20" t="n">
        <v>0</v>
      </c>
      <c r="ATQ28" s="20" t="n">
        <v>0</v>
      </c>
      <c r="ATR28" s="20" t="n">
        <v>0</v>
      </c>
      <c r="ATS28" s="20" t="n">
        <v>0</v>
      </c>
      <c r="ATT28" s="20" t="n">
        <v>0</v>
      </c>
      <c r="ATU28" s="20" t="n">
        <v>0</v>
      </c>
      <c r="ATV28" s="20" t="n">
        <v>0</v>
      </c>
      <c r="ATW28" s="20" t="n">
        <v>0</v>
      </c>
      <c r="ATX28" s="20" t="n">
        <v>0</v>
      </c>
      <c r="ATY28" s="20" t="n">
        <v>0</v>
      </c>
      <c r="ATZ28" s="20" t="n">
        <v>0</v>
      </c>
      <c r="AUA28" s="20" t="n">
        <v>0</v>
      </c>
      <c r="AUB28" s="20" t="n">
        <v>0</v>
      </c>
      <c r="AUC28" s="20" t="n">
        <v>0</v>
      </c>
      <c r="AUD28" s="20" t="n">
        <v>0</v>
      </c>
      <c r="AUE28" s="20" t="n">
        <v>0</v>
      </c>
      <c r="AUF28" s="20" t="n">
        <v>0</v>
      </c>
      <c r="AUG28" s="20" t="n">
        <v>0</v>
      </c>
      <c r="AUH28" s="20" t="n">
        <v>0</v>
      </c>
      <c r="AUI28" s="20" t="n">
        <v>0</v>
      </c>
      <c r="AUJ28" s="20" t="n">
        <v>0</v>
      </c>
      <c r="AUK28" s="20" t="n">
        <v>0</v>
      </c>
      <c r="AUL28" s="20" t="n">
        <v>0</v>
      </c>
      <c r="AUM28" s="20" t="n">
        <v>0</v>
      </c>
      <c r="AUN28" s="20" t="n">
        <v>0</v>
      </c>
      <c r="AUO28" s="20" t="n">
        <v>0</v>
      </c>
      <c r="AUP28" s="20" t="n">
        <v>0</v>
      </c>
      <c r="AUQ28" s="20" t="n">
        <v>0</v>
      </c>
      <c r="AUR28" s="20" t="n">
        <v>0</v>
      </c>
      <c r="AUS28" s="20" t="n">
        <v>0</v>
      </c>
      <c r="AUT28" s="20" t="n">
        <v>0</v>
      </c>
      <c r="AUU28" s="20" t="n">
        <v>0</v>
      </c>
      <c r="AUV28" s="20" t="n">
        <v>0</v>
      </c>
      <c r="AUW28" s="20" t="n">
        <v>0</v>
      </c>
      <c r="AUX28" s="20" t="n">
        <v>0</v>
      </c>
      <c r="AUY28" s="20" t="n">
        <v>0</v>
      </c>
      <c r="AUZ28" s="20" t="n">
        <v>0</v>
      </c>
      <c r="AVA28" s="20" t="n">
        <v>0</v>
      </c>
      <c r="AVB28" s="20" t="n">
        <v>0</v>
      </c>
      <c r="AVC28" s="20" t="n">
        <v>0</v>
      </c>
      <c r="AVD28" s="20" t="n">
        <v>0</v>
      </c>
      <c r="AVE28" s="20" t="n">
        <f aca="false">IF(AND(H_Direct=0,H_TaxEvt=1,ARR27+1&gt;=H_Deemed),MAX(0,ADR28-AHE28)*H_Exit,0)</f>
        <v>0</v>
      </c>
      <c r="AVF28" s="20" t="n">
        <f aca="false">IF(AND(H_Direct=0,H_TaxEvt=1,ARS27+1&gt;=H_Deemed),MAX(0,ADS28-AHF28)*H_Exit,0)</f>
        <v>0</v>
      </c>
      <c r="AVG28" s="20" t="n">
        <f aca="false">IF(AND(H_Direct=0,H_TaxEvt=1,ART27+1&gt;=H_Deemed),MAX(0,ADT28-AHG28)*H_Exit,0)</f>
        <v>0</v>
      </c>
      <c r="AVH28" s="20" t="n">
        <f aca="false">IF(AND(H_Direct=0,H_TaxEvt=1,ARU27+1&gt;=H_Deemed),MAX(0,ADU28-AHH28)*H_Exit,0)</f>
        <v>0</v>
      </c>
      <c r="AVI28" s="20" t="n">
        <f aca="false">IF(AND(H_Direct=0,H_TaxEvt=1,ARV27+1&gt;=H_Deemed),MAX(0,ADV28-AHI28)*H_Exit,0)</f>
        <v>0</v>
      </c>
      <c r="AVJ28" s="20" t="n">
        <f aca="false">IF(AND(H_Direct=0,H_TaxEvt=1,ARW27+1&gt;=H_Deemed),MAX(0,ADW28-AHJ28)*H_Exit,0)</f>
        <v>0</v>
      </c>
      <c r="AVK28" s="20" t="n">
        <f aca="false">IF(AND(H_Direct=0,H_TaxEvt=1,ARX27+1&gt;=H_Deemed),MAX(0,ADX28-AHK28)*H_Exit,0)</f>
        <v>0</v>
      </c>
      <c r="AVL28" s="20" t="n">
        <f aca="false">IF(AND(H_Direct=0,H_TaxEvt=1,ARY27+1&gt;=H_Deemed),MAX(0,ADY28-AHL28)*H_Exit,0)</f>
        <v>0</v>
      </c>
      <c r="AVM28" s="20" t="n">
        <f aca="false">IF(AND(H_Direct=0,H_TaxEvt=1,ARZ27+1&gt;=H_Deemed),MAX(0,ADZ28-AHM28)*H_Exit,0)</f>
        <v>0</v>
      </c>
      <c r="AVN28" s="20" t="n">
        <f aca="false">IF(AND(H_Direct=0,H_TaxEvt=1,ASA27+1&gt;=H_Deemed),MAX(0,AEA28-AHN28)*H_Exit,0)</f>
        <v>0</v>
      </c>
      <c r="AVO28" s="20" t="n">
        <f aca="false">IF(AND(H_Direct=0,H_TaxEvt=1,ASB27+1&gt;=H_Deemed),MAX(0,AEB28-AHO28)*H_Exit,0)</f>
        <v>0</v>
      </c>
      <c r="AVP28" s="20" t="n">
        <f aca="false">IF(AND(H_Direct=0,H_TaxEvt=1,ASC27+1&gt;=H_Deemed),MAX(0,AEC28-AHP28)*H_Exit,0)</f>
        <v>0</v>
      </c>
      <c r="AVQ28" s="20" t="n">
        <f aca="false">IF(AND(H_Direct=0,H_TaxEvt=1,ASD27+1&gt;=H_Deemed),MAX(0,AED28-AHQ28)*H_Exit,0)</f>
        <v>0</v>
      </c>
      <c r="AVR28" s="20" t="n">
        <f aca="false">IF(AND(H_Direct=0,H_TaxEvt=1,ASE27+1&gt;=H_Deemed),MAX(0,AEE28-AHR28)*H_Exit,0)</f>
        <v>0</v>
      </c>
      <c r="AVS28" s="20" t="n">
        <f aca="false">IF(AND(H_Direct=0,H_TaxEvt=1,ASF27+1&gt;=H_Deemed),MAX(0,AEF28-AHS28)*H_Exit,0)</f>
        <v>145.799860475147</v>
      </c>
      <c r="AVT28" s="20" t="n">
        <f aca="false">IF(AND(H_Direct=0,H_TaxEvt=1,ASG27+1&gt;=H_Deemed),MAX(0,AEG28-AHT28)*H_Exit,0)</f>
        <v>0</v>
      </c>
      <c r="AVU28" s="20" t="n">
        <f aca="false">IF(AND(H_Direct=0,H_TaxEvt=1,ASH27+1&gt;=H_Deemed),MAX(0,AEH28-AHU28)*H_Exit,0)</f>
        <v>0</v>
      </c>
      <c r="AVV28" s="20" t="n">
        <f aca="false">IF(AND(H_Direct=0,H_TaxEvt=1,ASI27+1&gt;=H_Deemed),MAX(0,AEI28-AHV28)*H_Exit,0)</f>
        <v>0</v>
      </c>
      <c r="AVW28" s="20" t="n">
        <f aca="false">IF(AND(H_Direct=0,H_TaxEvt=1,ASJ27+1&gt;=H_Deemed),MAX(0,AEJ28-AHW28)*H_Exit,0)</f>
        <v>0</v>
      </c>
      <c r="AVX28" s="20" t="n">
        <f aca="false">IF(AND(H_Direct=0,H_TaxEvt=1,ASK27+1&gt;=H_Deemed),MAX(0,AEK28-AHX28)*H_Exit,0)</f>
        <v>0</v>
      </c>
      <c r="AVY28" s="20" t="n">
        <f aca="false">IF(AND(H_Direct=0,H_TaxEvt=1,ASL27+1&gt;=H_Deemed),MAX(0,AEL28-AHY28)*H_Exit,0)</f>
        <v>0</v>
      </c>
      <c r="AVZ28" s="20" t="n">
        <f aca="false">IF(AND(H_Direct=0,H_TaxEvt=1,0+1&gt;=H_Deemed),MAX(0,AEM28-AHZ28)*H_Exit,0)</f>
        <v>0</v>
      </c>
      <c r="AWA28" s="20" t="n">
        <v>0</v>
      </c>
      <c r="AWB28" s="20" t="n">
        <v>0</v>
      </c>
      <c r="AWC28" s="20" t="n">
        <v>0</v>
      </c>
      <c r="AWD28" s="20" t="n">
        <v>0</v>
      </c>
      <c r="AWE28" s="20" t="n">
        <v>0</v>
      </c>
      <c r="AWF28" s="20" t="n">
        <v>0</v>
      </c>
      <c r="AWG28" s="20" t="n">
        <v>0</v>
      </c>
      <c r="AWH28" s="20" t="n">
        <v>0</v>
      </c>
      <c r="AWI28" s="20" t="n">
        <v>0</v>
      </c>
      <c r="AWJ28" s="20" t="n">
        <v>0</v>
      </c>
      <c r="AWK28" s="20" t="n">
        <v>0</v>
      </c>
      <c r="AWL28" s="20" t="n">
        <v>0</v>
      </c>
      <c r="AWM28" s="20" t="n">
        <v>0</v>
      </c>
      <c r="AWN28" s="20" t="n">
        <v>0</v>
      </c>
      <c r="AWO28" s="20" t="n">
        <v>0</v>
      </c>
      <c r="AWP28" s="20" t="n">
        <v>0</v>
      </c>
      <c r="AWQ28" s="20" t="n">
        <v>0</v>
      </c>
      <c r="AWR28" s="20" t="n">
        <v>0</v>
      </c>
      <c r="AWS28" s="20" t="n">
        <v>0</v>
      </c>
      <c r="AWT28" s="20" t="n">
        <v>0</v>
      </c>
      <c r="AWU28" s="20" t="n">
        <v>0</v>
      </c>
      <c r="AWV28" s="20" t="n">
        <v>0</v>
      </c>
      <c r="AWW28" s="20" t="n">
        <v>0</v>
      </c>
      <c r="AWX28" s="20" t="n">
        <v>0</v>
      </c>
      <c r="AWY28" s="20" t="n">
        <v>0</v>
      </c>
      <c r="AWZ28" s="20" t="n">
        <v>0</v>
      </c>
      <c r="AXA28" s="20" t="n">
        <v>0</v>
      </c>
      <c r="AXB28" s="20" t="n">
        <v>0</v>
      </c>
      <c r="AXC28" s="20" t="n">
        <v>0</v>
      </c>
      <c r="AXD28" s="20" t="n">
        <v>0</v>
      </c>
      <c r="AXE28" s="20" t="n">
        <v>0</v>
      </c>
      <c r="AXF28" s="20" t="n">
        <v>0</v>
      </c>
      <c r="AXG28" s="20" t="n">
        <v>0</v>
      </c>
      <c r="AXH28" s="20" t="n">
        <v>0</v>
      </c>
      <c r="AXI28" s="20" t="n">
        <v>0</v>
      </c>
      <c r="AXJ28" s="20" t="n">
        <v>0</v>
      </c>
      <c r="AXK28" s="20" t="n">
        <v>0</v>
      </c>
      <c r="AXL28" s="20" t="n">
        <v>0</v>
      </c>
      <c r="AXM28" s="20" t="n">
        <v>0</v>
      </c>
      <c r="AXN28" s="20" t="n">
        <v>0</v>
      </c>
      <c r="AXO28" s="20" t="n">
        <v>0</v>
      </c>
      <c r="AXP28" s="20" t="n">
        <v>0</v>
      </c>
      <c r="AXQ28" s="20" t="n">
        <v>0</v>
      </c>
      <c r="AXR28" s="20" t="n">
        <v>0</v>
      </c>
      <c r="AXS28" s="20" t="n">
        <v>0</v>
      </c>
      <c r="AXT28" s="20" t="n">
        <v>0</v>
      </c>
      <c r="AXU28" s="20" t="n">
        <v>0</v>
      </c>
      <c r="AXV28" s="20" t="n">
        <v>0</v>
      </c>
      <c r="AXW28" s="20" t="n">
        <v>0</v>
      </c>
      <c r="AXX28" s="20" t="n">
        <v>0</v>
      </c>
      <c r="AXY28" s="20" t="n">
        <v>0</v>
      </c>
      <c r="AXZ28" s="20" t="n">
        <v>0</v>
      </c>
      <c r="AYA28" s="20" t="n">
        <v>0</v>
      </c>
      <c r="AYB28" s="20" t="n">
        <v>0</v>
      </c>
      <c r="AYC28" s="20" t="n">
        <v>0</v>
      </c>
      <c r="AYD28" s="20" t="n">
        <v>0</v>
      </c>
      <c r="AYE28" s="20" t="n">
        <v>0</v>
      </c>
      <c r="AYF28" s="20" t="n">
        <v>0</v>
      </c>
      <c r="AYG28" s="20" t="n">
        <v>0</v>
      </c>
      <c r="AYH28" s="20" t="n">
        <v>0</v>
      </c>
      <c r="AYI28" s="20" t="n">
        <v>0</v>
      </c>
      <c r="AYJ28" s="20" t="n">
        <v>0</v>
      </c>
      <c r="AYK28" s="20" t="n">
        <v>0</v>
      </c>
      <c r="AYL28" s="20" t="n">
        <v>0</v>
      </c>
      <c r="AYM28" s="20" t="n">
        <v>0</v>
      </c>
      <c r="AYN28" s="20" t="n">
        <v>0</v>
      </c>
      <c r="AYO28" s="20" t="n">
        <v>0</v>
      </c>
      <c r="AYP28" s="20" t="n">
        <v>0</v>
      </c>
      <c r="AYQ28" s="20" t="n">
        <v>0</v>
      </c>
    </row>
    <row r="29" customFormat="false" ht="15" hidden="false" customHeight="false" outlineLevel="0" collapsed="false">
      <c r="B29" s="20" t="n">
        <v>21</v>
      </c>
      <c r="C29" s="20" t="n">
        <f aca="false">'Plan cashflow'!C29</f>
        <v>1</v>
      </c>
      <c r="D29" s="20" t="n">
        <f aca="false">'Plan cashflow'!D29</f>
        <v>59</v>
      </c>
      <c r="E29" s="20" t="n">
        <f aca="false">AS_Year0+21</f>
        <v>2047</v>
      </c>
      <c r="F29" s="50" t="n">
        <f aca="false">'Plan cashflow'!F29</f>
        <v>1.51566634389792</v>
      </c>
      <c r="G29" s="59" t="n">
        <f aca="true">IF(MAX(TODAY(),DATE(E29,1,1))&gt;=H_CGTfrom,H_CGT1,H_CGT0)</f>
        <v>0.31</v>
      </c>
      <c r="H29" s="20" t="n">
        <f aca="false">H_Exempt*H_Persons</f>
        <v>1270</v>
      </c>
      <c r="I29" s="20" t="n">
        <f aca="false">AX28</f>
        <v>0</v>
      </c>
      <c r="J29" s="60" t="n">
        <f aca="false">BF28</f>
        <v>31517.7048259783</v>
      </c>
      <c r="K29" s="60" t="n">
        <f aca="false">BG28</f>
        <v>0</v>
      </c>
      <c r="L29" s="20" t="n">
        <f aca="false">IF(AND(In_polLump&gt;0,In_polLumpAge&gt;0,D29=In_polLumpAge),In_polLump,0)</f>
        <v>0</v>
      </c>
      <c r="M29" s="20" t="n">
        <f aca="false">IF(AND(In_homeUse="Yes, I'd downsize",In_downAge&gt;0,D29=In_downAge,OR(In_home="Own outright",In_home="Own with mortgage"),In_homeValue&gt;0),MAX(0,MAX(0,In_homeValue-In_downValue)*F29*0.9-'Plan cashflow'!HR28),0)</f>
        <v>0</v>
      </c>
      <c r="N29" s="20" t="n">
        <f aca="false">'Plan pay &amp; tax'!Y255</f>
        <v>0</v>
      </c>
      <c r="O29" s="20" t="n">
        <f aca="false">L29+M29+(1-H_Sh)*N29</f>
        <v>0</v>
      </c>
      <c r="P29" s="20" t="n">
        <f aca="false">H_Sh*N29</f>
        <v>0</v>
      </c>
      <c r="Q29" s="20" t="n">
        <f aca="false">'Plan cashflow'!UL29</f>
        <v>0</v>
      </c>
      <c r="R29" s="20" t="n">
        <f aca="false">(1-H_Sh)*Q29</f>
        <v>0</v>
      </c>
      <c r="S29" s="20" t="n">
        <f aca="false">H_Sh*Q29</f>
        <v>0</v>
      </c>
      <c r="T29" s="20" t="n">
        <f aca="false">J29+K29+O29</f>
        <v>31517.7048259783</v>
      </c>
      <c r="U29" s="20" t="n">
        <f aca="false">T29+R29</f>
        <v>31517.7048259783</v>
      </c>
      <c r="V29" s="60" t="n">
        <f aca="false">SUM(FE29:IQ29)</f>
        <v>22418.2944893754</v>
      </c>
      <c r="W29" s="60" t="n">
        <f aca="false">IF(AJ29&lt;=0,0,IF(AL29&lt;=0,AJ29,AJ29-G29*MAX(0,AL29*AJ29-(AY29+AZ29))))</f>
        <v>0</v>
      </c>
      <c r="X29" s="60" t="n">
        <f aca="false">IF(AR29&lt;=0,0,IF(AT29&lt;=0,AR29,AR29-G29*MAX(0,AT29*AR29-(BA29+BB29))))</f>
        <v>0</v>
      </c>
      <c r="Y29" s="60" t="n">
        <f aca="false">T29+V29-S29+W29+X29</f>
        <v>53935.9993153538</v>
      </c>
      <c r="Z29" s="60" t="n">
        <f aca="false">'Plan cashflow'!UK29</f>
        <v>0</v>
      </c>
      <c r="AA29" s="20" t="n">
        <f aca="false">MIN(Z29,U29)</f>
        <v>0</v>
      </c>
      <c r="AB29" s="20" t="n">
        <f aca="false">Z29-AA29</f>
        <v>0</v>
      </c>
      <c r="AC29" s="20" t="n">
        <f aca="false">MIN(AA29,J29+O29+R29)</f>
        <v>0</v>
      </c>
      <c r="AD29" s="20" t="n">
        <f aca="false">AA29-AC29</f>
        <v>0</v>
      </c>
      <c r="AE29" s="20" t="n">
        <f aca="false">J29+O29+R29-AC29</f>
        <v>31517.7048259783</v>
      </c>
      <c r="AF29" s="20" t="n">
        <f aca="false">K29-AD29</f>
        <v>0</v>
      </c>
      <c r="AG29" s="20" t="n">
        <f aca="false">SUM(PR29:TD29)</f>
        <v>0</v>
      </c>
      <c r="AH29" s="20" t="n">
        <f aca="false">SUM(TE29:WQ29)</f>
        <v>0</v>
      </c>
      <c r="AI29" s="20" t="n">
        <f aca="false">MAX(0,AB29-AG29)</f>
        <v>0</v>
      </c>
      <c r="AJ29" s="57" t="n">
        <f aca="false">BI28</f>
        <v>0</v>
      </c>
      <c r="AK29" s="20" t="n">
        <f aca="false">BJ28</f>
        <v>0</v>
      </c>
      <c r="AL29" s="20" t="n">
        <f aca="false">IF(AJ29&gt;0,(AJ29-AK29)/AJ29,0)</f>
        <v>0</v>
      </c>
      <c r="AM29" s="20" t="n">
        <f aca="false">IF(AJ29&lt;=0,0,IF(AL29&lt;=0,MIN(AI29,AJ29),MIN(AI29,AJ29-G29*MAX(0,AL29*AJ29-(AAD29+ADQ29)))))</f>
        <v>0</v>
      </c>
      <c r="AN29" s="20" t="n">
        <f aca="false">IF(AJ29&lt;=0,0,IF(AL29&lt;=0,AM29,IF(AM29&lt;=(AAD29+ADQ29)/AL29,AM29,(AM29-G29*(AAD29+ADQ29))/(1-G29*AL29))))</f>
        <v>0</v>
      </c>
      <c r="AO29" s="20" t="n">
        <f aca="false">IF(AL29&gt;0,MAX(0,AAD29-(MIN(AL29*AN29,(AAD29+ADQ29))-MIN(MIN(AL29*AN29,(AAD29+ADQ29)),ADQ29))),AAD29)</f>
        <v>1270</v>
      </c>
      <c r="AP29" s="20" t="n">
        <f aca="false">IF(AL29&lt;=0,ADQ29-AL29*AN29,ADQ29-MIN(MIN(AL29*AN29,(AAD29+ADQ29)),ADQ29))</f>
        <v>0</v>
      </c>
      <c r="AQ29" s="20" t="n">
        <f aca="false">MAX(0,AI29-AM29)</f>
        <v>0</v>
      </c>
      <c r="AR29" s="57" t="n">
        <f aca="false">BK28</f>
        <v>0</v>
      </c>
      <c r="AS29" s="20" t="n">
        <f aca="false">BL28</f>
        <v>0</v>
      </c>
      <c r="AT29" s="20" t="n">
        <f aca="false">IF(AR29&gt;0,(AR29-AS29)/AR29,0)</f>
        <v>0</v>
      </c>
      <c r="AU29" s="20" t="n">
        <f aca="false">IF(AR29&lt;=0,0,IF(AT29&lt;=0,MIN(AQ29,AR29),MIN(AQ29,AR29-G29*MAX(0,AT29*AR29-(AO29+AP29)))))</f>
        <v>0</v>
      </c>
      <c r="AV29" s="20" t="n">
        <f aca="false">IF(AR29&lt;=0,0,IF(AT29&lt;=0,AU29,IF(AU29&lt;=(AO29+AP29)/AT29,AU29,(AU29-G29*(AO29+AP29))/(1-G29*AT29))))</f>
        <v>0</v>
      </c>
      <c r="AW29" s="20" t="n">
        <f aca="false">IF(AT29&gt;0,MAX(0,AO29-(MIN(AT29*AV29,(AO29+AP29))-MIN(MIN(AT29*AV29,(AO29+AP29)),AP29))),AO29)</f>
        <v>1270</v>
      </c>
      <c r="AX29" s="20" t="n">
        <f aca="false">IF(AT29&lt;=0,AP29-AT29*AV29,AP29-MIN(MIN(AT29*AV29,(AO29+AP29)),AP29))</f>
        <v>0</v>
      </c>
      <c r="AY29" s="20" t="n">
        <f aca="false">MD29</f>
        <v>1270</v>
      </c>
      <c r="AZ29" s="20" t="n">
        <f aca="false">PQ29</f>
        <v>0</v>
      </c>
      <c r="BA29" s="20" t="n">
        <f aca="false">IF(AL29&gt;0,MAX(0,AY29-(MIN(AL29*AJ29,AY29+AZ29)-MIN(MIN(AL29*AJ29,AY29+AZ29),AZ29))),AY29)</f>
        <v>1270</v>
      </c>
      <c r="BB29" s="20" t="n">
        <f aca="false">IF(AL29&lt;=0,AZ29-AL29*AJ29,AZ29-MIN(MIN(AL29*AJ29,AY29+AZ29),AZ29))</f>
        <v>0</v>
      </c>
      <c r="BC29" s="20" t="n">
        <f aca="false">'Plan cashflow'!UM29</f>
        <v>9093.99806338753</v>
      </c>
      <c r="BD29" s="20" t="n">
        <f aca="false">(1-H_Sh)*BC29</f>
        <v>5456.39883803252</v>
      </c>
      <c r="BE29" s="20" t="n">
        <f aca="false">H_Sh*BC29</f>
        <v>3637.59922535501</v>
      </c>
      <c r="BF29" s="60" t="n">
        <f aca="false">(AE29+BD29)*(1+AS_Cash)</f>
        <v>37343.844700651</v>
      </c>
      <c r="BG29" s="60" t="n">
        <f aca="false">AF29*(1+AS_Cash)</f>
        <v>0</v>
      </c>
      <c r="BH29" s="60" t="n">
        <f aca="false">SUM(AKR29:AOD29)</f>
        <v>27923.0779225876</v>
      </c>
      <c r="BI29" s="60" t="n">
        <f aca="false">(AJ29-AN29)*(1+AS_Infl)</f>
        <v>0</v>
      </c>
      <c r="BJ29" s="20" t="n">
        <f aca="false">IF(AJ29&gt;0,AK29-AK29*AN29/AJ29,0)</f>
        <v>0</v>
      </c>
      <c r="BK29" s="60" t="n">
        <f aca="false">(AR29-AV29)*(1+BQ29)</f>
        <v>0</v>
      </c>
      <c r="BL29" s="20" t="n">
        <f aca="false">IF(AR29&gt;0,AS29-AS29*AV29/AR29,0)</f>
        <v>0</v>
      </c>
      <c r="BM29" s="60" t="n">
        <f aca="false">BF29+BG29+BH29+BI29+BK29</f>
        <v>65266.9226232386</v>
      </c>
      <c r="BN29" s="60" t="n">
        <f aca="false">(AH29-AG29)+(AN29-AM29)+(AV29-AU29)</f>
        <v>0</v>
      </c>
      <c r="BO29" s="20" t="n">
        <f aca="false">(AE29+BD29+AF29+MAX(0,'Plan cashflow'!QH29)+IF(Slot1_Rate=AS_Cash,'Plan cashflow'!QM29/(1+AS_Cash),0)+IF(Slot2_Rate=AS_Cash,'Plan cashflow'!QQ29/(1+AS_Cash),0)+IF(Slot3_Rate=AS_Cash,'Plan cashflow'!QU29/(1+AS_Cash),0)+IF(Slot4_Rate=AS_Cash,'Plan cashflow'!QY29/(1+AS_Cash),0)+IF(Slot5_Rate=AS_Cash,'Plan cashflow'!RC29/(1+AS_Cash),0)+IF(Slot6_Rate=AS_Cash,'Plan cashflow'!RG29/(1+AS_Cash),0)+IF(Slot7_Rate=AS_Cash,'Plan cashflow'!RK29/(1+AS_Cash),0)+IF(Slot8_Rate=AS_Cash,'Plan cashflow'!RO29/(1+AS_Cash),0)+IF(Slot9_Rate=AS_Cash,'Plan cashflow'!RS29/(1+AS_Cash),0)+IF(Slot10_Rate=AS_Cash,'Plan cashflow'!RW29/(1+AS_Cash),0)+IF(Slot11_Rate=AS_Cash,'Plan cashflow'!SA29/(1+AS_Cash),0)+IF(Slot12_Rate=AS_Cash,'Plan cashflow'!SE29/(1+AS_Cash),0)+IF(Slot13_Rate=AS_Cash,'Plan cashflow'!SI29/(1+AS_Cash),0)+IF(Slot14_Rate=AS_Cash,'Plan cashflow'!SM29/(1+AS_Cash),0)+IF(Slot15_Rate=AS_Cash,'Plan cashflow'!SQ29/(1+AS_Cash),0)+IF(Slot16_Rate=AS_Cash,'Plan cashflow'!SU29/(1+AS_Cash),0)+IF(Slot17_Rate=AS_Cash,'Plan cashflow'!SY29/(1+AS_Cash),0)+IF(Slot18_Rate=AS_Cash,'Plan cashflow'!TC29/(1+AS_Cash),0)+IF(Slot19_Rate=AS_Cash,'Plan cashflow'!TG29/(1+AS_Cash),0)+IF(Slot20_Rate=AS_Cash,'Plan cashflow'!TK29/(1+AS_Cash),0))*AS_Cash*H_DIRT/(1-H_DIRT)</f>
        <v>249.817391489679</v>
      </c>
      <c r="BP29" s="60" t="n">
        <f aca="false">SUM(AVE29:AYQ29)</f>
        <v>145.825591978857</v>
      </c>
      <c r="BQ29" s="54" t="n">
        <f aca="false">IF(H_TaxEvt=1,H_InvG,AS_Inv)</f>
        <v>0.04</v>
      </c>
      <c r="BR29" s="20" t="n">
        <f aca="false">IF(AKR28&gt;0,(AKR28-AOE28)/AKR28,0)</f>
        <v>0</v>
      </c>
      <c r="BS29" s="20" t="n">
        <f aca="false">IF(AKS28&gt;0,(AKS28-AOF28)/AKS28,0)</f>
        <v>0</v>
      </c>
      <c r="BT29" s="20" t="n">
        <f aca="false">IF(AKT28&gt;0,(AKT28-AOG28)/AKT28,0)</f>
        <v>0</v>
      </c>
      <c r="BU29" s="20" t="n">
        <f aca="false">IF(AKU28&gt;0,(AKU28-AOH28)/AKU28,0)</f>
        <v>0</v>
      </c>
      <c r="BV29" s="20" t="n">
        <f aca="false">IF(AKV28&gt;0,(AKV28-AOI28)/AKV28,0)</f>
        <v>0</v>
      </c>
      <c r="BW29" s="20" t="n">
        <f aca="false">IF(AKW28&gt;0,(AKW28-AOJ28)/AKW28,0)</f>
        <v>0</v>
      </c>
      <c r="BX29" s="20" t="n">
        <f aca="false">IF(AKX28&gt;0,(AKX28-AOK28)/AKX28,0)</f>
        <v>0</v>
      </c>
      <c r="BY29" s="20" t="n">
        <f aca="false">IF(AKY28&gt;0,(AKY28-AOL28)/AKY28,0)</f>
        <v>0</v>
      </c>
      <c r="BZ29" s="20" t="n">
        <f aca="false">IF(AKZ28&gt;0,(AKZ28-AOM28)/AKZ28,0)</f>
        <v>0</v>
      </c>
      <c r="CA29" s="20" t="n">
        <f aca="false">IF(ALA28&gt;0,(ALA28-AON28)/ALA28,0)</f>
        <v>0</v>
      </c>
      <c r="CB29" s="20" t="n">
        <f aca="false">IF(ALB28&gt;0,(ALB28-AOO28)/ALB28,0)</f>
        <v>0</v>
      </c>
      <c r="CC29" s="20" t="n">
        <f aca="false">IF(ALC28&gt;0,(ALC28-AOP28)/ALC28,0)</f>
        <v>0.111003641329085</v>
      </c>
      <c r="CD29" s="20" t="n">
        <f aca="false">IF(ALD28&gt;0,(ALD28-AOQ28)/ALD28,0)</f>
        <v>0.0754437869822486</v>
      </c>
      <c r="CE29" s="20" t="n">
        <f aca="false">IF(ALE28&gt;0,(ALE28-AOR28)/ALE28,0)</f>
        <v>0.0384615384615385</v>
      </c>
      <c r="CF29" s="20" t="n">
        <f aca="false">IF(ALF28&gt;0,(ALF28-AOS28)/ALF28,0)</f>
        <v>0</v>
      </c>
      <c r="CG29" s="20" t="n">
        <f aca="false">IF(ALG28&gt;0,(ALG28-AOT28)/ALG28,0)</f>
        <v>0.240082186797937</v>
      </c>
      <c r="CH29" s="20" t="n">
        <f aca="false">IF(ALH28&gt;0,(ALH28-AOU28)/ALH28,0)</f>
        <v>0.209685474269854</v>
      </c>
      <c r="CI29" s="20" t="n">
        <f aca="false">IF(ALI28&gt;0,(ALI28-AOV28)/ALI28,0)</f>
        <v>0.178072893240648</v>
      </c>
      <c r="CJ29" s="20" t="n">
        <f aca="false">IF(ALJ28&gt;0,(ALJ28-AOW28)/ALJ28,0)</f>
        <v>0.145195808970274</v>
      </c>
      <c r="CK29" s="20" t="n">
        <f aca="false">IF(ALK28&gt;0,(ALK28-AOX28)/ALK28,0)</f>
        <v>0.111003641329085</v>
      </c>
      <c r="CL29" s="20" t="n">
        <f aca="false">IF(ALL28&gt;0,(ALL28-AOY28)/ALL28,0)</f>
        <v>0.0754437869822486</v>
      </c>
      <c r="CM29" s="20" t="n">
        <f aca="false">IF(ALM28&gt;0,(ALM28-AOZ28)/ALM28,0)</f>
        <v>0.0384615384615385</v>
      </c>
      <c r="CN29" s="20" t="n">
        <f aca="false">IF((P29+S29)&gt;0,((P29+S29)-(P29+S29))/(P29+S29),0)</f>
        <v>0</v>
      </c>
      <c r="CO29" s="20" t="n">
        <v>0</v>
      </c>
      <c r="CP29" s="20" t="n">
        <v>0</v>
      </c>
      <c r="CQ29" s="20" t="n">
        <v>0</v>
      </c>
      <c r="CR29" s="20" t="n">
        <v>0</v>
      </c>
      <c r="CS29" s="20" t="n">
        <v>0</v>
      </c>
      <c r="CT29" s="20" t="n">
        <v>0</v>
      </c>
      <c r="CU29" s="20" t="n">
        <v>0</v>
      </c>
      <c r="CV29" s="20" t="n">
        <v>0</v>
      </c>
      <c r="CW29" s="20" t="n">
        <v>0</v>
      </c>
      <c r="CX29" s="20" t="n">
        <v>0</v>
      </c>
      <c r="CY29" s="20" t="n">
        <v>0</v>
      </c>
      <c r="CZ29" s="20" t="n">
        <v>0</v>
      </c>
      <c r="DA29" s="20" t="n">
        <v>0</v>
      </c>
      <c r="DB29" s="20" t="n">
        <v>0</v>
      </c>
      <c r="DC29" s="20" t="n">
        <v>0</v>
      </c>
      <c r="DD29" s="20" t="n">
        <v>0</v>
      </c>
      <c r="DE29" s="20" t="n">
        <v>0</v>
      </c>
      <c r="DF29" s="20" t="n">
        <v>0</v>
      </c>
      <c r="DG29" s="20" t="n">
        <v>0</v>
      </c>
      <c r="DH29" s="20" t="n">
        <v>0</v>
      </c>
      <c r="DI29" s="20" t="n">
        <v>0</v>
      </c>
      <c r="DJ29" s="20" t="n">
        <v>0</v>
      </c>
      <c r="DK29" s="20" t="n">
        <v>0</v>
      </c>
      <c r="DL29" s="20" t="n">
        <v>0</v>
      </c>
      <c r="DM29" s="20" t="n">
        <v>0</v>
      </c>
      <c r="DN29" s="20" t="n">
        <v>0</v>
      </c>
      <c r="DO29" s="20" t="n">
        <v>0</v>
      </c>
      <c r="DP29" s="20" t="n">
        <v>0</v>
      </c>
      <c r="DQ29" s="20" t="n">
        <v>0</v>
      </c>
      <c r="DR29" s="20" t="n">
        <v>0</v>
      </c>
      <c r="DS29" s="20" t="n">
        <v>0</v>
      </c>
      <c r="DT29" s="20" t="n">
        <v>0</v>
      </c>
      <c r="DU29" s="20" t="n">
        <v>0</v>
      </c>
      <c r="DV29" s="20" t="n">
        <v>0</v>
      </c>
      <c r="DW29" s="20" t="n">
        <v>0</v>
      </c>
      <c r="DX29" s="20" t="n">
        <v>0</v>
      </c>
      <c r="DY29" s="20" t="n">
        <v>0</v>
      </c>
      <c r="DZ29" s="20" t="n">
        <v>0</v>
      </c>
      <c r="EA29" s="20" t="n">
        <v>0</v>
      </c>
      <c r="EB29" s="20" t="n">
        <v>0</v>
      </c>
      <c r="EC29" s="20" t="n">
        <v>0</v>
      </c>
      <c r="ED29" s="20" t="n">
        <v>0</v>
      </c>
      <c r="EE29" s="20" t="n">
        <v>0</v>
      </c>
      <c r="EF29" s="20" t="n">
        <v>0</v>
      </c>
      <c r="EG29" s="20" t="n">
        <v>0</v>
      </c>
      <c r="EH29" s="20" t="n">
        <v>0</v>
      </c>
      <c r="EI29" s="20" t="n">
        <v>0</v>
      </c>
      <c r="EJ29" s="20" t="n">
        <v>0</v>
      </c>
      <c r="EK29" s="20" t="n">
        <v>0</v>
      </c>
      <c r="EL29" s="20" t="n">
        <v>0</v>
      </c>
      <c r="EM29" s="20" t="n">
        <v>0</v>
      </c>
      <c r="EN29" s="20" t="n">
        <v>0</v>
      </c>
      <c r="EO29" s="20" t="n">
        <v>0</v>
      </c>
      <c r="EP29" s="20" t="n">
        <v>0</v>
      </c>
      <c r="EQ29" s="20" t="n">
        <v>0</v>
      </c>
      <c r="ER29" s="20" t="n">
        <v>0</v>
      </c>
      <c r="ES29" s="20" t="n">
        <v>0</v>
      </c>
      <c r="ET29" s="20" t="n">
        <v>0</v>
      </c>
      <c r="EU29" s="20" t="n">
        <v>0</v>
      </c>
      <c r="EV29" s="20" t="n">
        <v>0</v>
      </c>
      <c r="EW29" s="20" t="n">
        <v>0</v>
      </c>
      <c r="EX29" s="20" t="n">
        <v>0</v>
      </c>
      <c r="EY29" s="20" t="n">
        <v>0</v>
      </c>
      <c r="EZ29" s="20" t="n">
        <v>0</v>
      </c>
      <c r="FA29" s="20" t="n">
        <v>0</v>
      </c>
      <c r="FB29" s="20" t="n">
        <v>0</v>
      </c>
      <c r="FC29" s="20" t="n">
        <v>0</v>
      </c>
      <c r="FD29" s="20" t="n">
        <v>0</v>
      </c>
      <c r="FE29" s="20" t="n">
        <f aca="false">IF(H_Direct=1,IF(AKR28&lt;=0,0,IF(BR29&lt;=0,AKR28,AKR28-G29*MAX(0,BR29*AKR28-(H29+I29)))),AKR28*(1-MAX(0,BR29)*H_Exit))</f>
        <v>0</v>
      </c>
      <c r="FF29" s="20" t="n">
        <f aca="false">IF(H_Direct=1,IF(AKS28&lt;=0,0,IF(BS29&lt;=0,AKS28,AKS28-G29*MAX(0,BS29*AKS28-(IR29+ME29)))),AKS28*(1-MAX(0,BS29)*H_Exit))</f>
        <v>0</v>
      </c>
      <c r="FG29" s="20" t="n">
        <f aca="false">IF(H_Direct=1,IF(AKT28&lt;=0,0,IF(BT29&lt;=0,AKT28,AKT28-G29*MAX(0,BT29*AKT28-(IS29+MF29)))),AKT28*(1-MAX(0,BT29)*H_Exit))</f>
        <v>0</v>
      </c>
      <c r="FH29" s="20" t="n">
        <f aca="false">IF(H_Direct=1,IF(AKU28&lt;=0,0,IF(BU29&lt;=0,AKU28,AKU28-G29*MAX(0,BU29*AKU28-(IT29+MG29)))),AKU28*(1-MAX(0,BU29)*H_Exit))</f>
        <v>0</v>
      </c>
      <c r="FI29" s="20" t="n">
        <f aca="false">IF(H_Direct=1,IF(AKV28&lt;=0,0,IF(BV29&lt;=0,AKV28,AKV28-G29*MAX(0,BV29*AKV28-(IU29+MH29)))),AKV28*(1-MAX(0,BV29)*H_Exit))</f>
        <v>0</v>
      </c>
      <c r="FJ29" s="20" t="n">
        <f aca="false">IF(H_Direct=1,IF(AKW28&lt;=0,0,IF(BW29&lt;=0,AKW28,AKW28-G29*MAX(0,BW29*AKW28-(IV29+MI29)))),AKW28*(1-MAX(0,BW29)*H_Exit))</f>
        <v>0</v>
      </c>
      <c r="FK29" s="20" t="n">
        <f aca="false">IF(H_Direct=1,IF(AKX28&lt;=0,0,IF(BX29&lt;=0,AKX28,AKX28-G29*MAX(0,BX29*AKX28-(IW29+MJ29)))),AKX28*(1-MAX(0,BX29)*H_Exit))</f>
        <v>0</v>
      </c>
      <c r="FL29" s="20" t="n">
        <f aca="false">IF(H_Direct=1,IF(AKY28&lt;=0,0,IF(BY29&lt;=0,AKY28,AKY28-G29*MAX(0,BY29*AKY28-(IX29+MK29)))),AKY28*(1-MAX(0,BY29)*H_Exit))</f>
        <v>0</v>
      </c>
      <c r="FM29" s="20" t="n">
        <f aca="false">IF(H_Direct=1,IF(AKZ28&lt;=0,0,IF(BZ29&lt;=0,AKZ28,AKZ28-G29*MAX(0,BZ29*AKZ28-(IY29+ML29)))),AKZ28*(1-MAX(0,BZ29)*H_Exit))</f>
        <v>0</v>
      </c>
      <c r="FN29" s="20" t="n">
        <f aca="false">IF(H_Direct=1,IF(ALA28&lt;=0,0,IF(CA29&lt;=0,ALA28,ALA28-G29*MAX(0,CA29*ALA28-(IZ29+MM29)))),ALA28*(1-MAX(0,CA29)*H_Exit))</f>
        <v>0</v>
      </c>
      <c r="FO29" s="20" t="n">
        <f aca="false">IF(H_Direct=1,IF(ALB28&lt;=0,0,IF(CB29&lt;=0,ALB28,ALB28-G29*MAX(0,CB29*ALB28-(JA29+MN29)))),ALB28*(1-MAX(0,CB29)*H_Exit))</f>
        <v>0</v>
      </c>
      <c r="FP29" s="20" t="n">
        <f aca="false">IF(H_Direct=1,IF(ALC28&lt;=0,0,IF(CC29&lt;=0,ALC28,ALC28-G29*MAX(0,CC29*ALC28-(JB29+MO29)))),ALC28*(1-MAX(0,CC29)*H_Exit))</f>
        <v>723.591939927801</v>
      </c>
      <c r="FQ29" s="20" t="n">
        <f aca="false">IF(H_Direct=1,IF(ALD28&lt;=0,0,IF(CD29&lt;=0,ALD28,ALD28-G29*MAX(0,CD29*ALD28-(JC29+MP29)))),ALD28*(1-MAX(0,CD29)*H_Exit))</f>
        <v>923.097369106653</v>
      </c>
      <c r="FR29" s="20" t="n">
        <f aca="false">IF(H_Direct=1,IF(ALE28&lt;=0,0,IF(CE29&lt;=0,ALE28,ALE28-G29*MAX(0,CE29*ALE28-(JD29+MQ29)))),ALE28*(1-MAX(0,CE29)*H_Exit))</f>
        <v>1120.6722386987</v>
      </c>
      <c r="FS29" s="20" t="n">
        <f aca="false">IF(H_Direct=1,IF(ALF28&lt;=0,0,IF(CF29&lt;=0,ALF28,ALF28-G29*MAX(0,CF29*ALF28-(JE29+MR29)))),ALF28*(1-MAX(0,CF29)*H_Exit))</f>
        <v>1278.89337564899</v>
      </c>
      <c r="FT29" s="20" t="n">
        <f aca="false">IF(H_Direct=1,IF(ALG28&lt;=0,0,IF(CG29&lt;=0,ALG28,ALG28-G29*MAX(0,CG29*ALG28-(JF29+MS29)))),ALG28*(1-MAX(0,CG29)*H_Exit))</f>
        <v>1245.13963138008</v>
      </c>
      <c r="FU29" s="20" t="n">
        <f aca="false">IF(H_Direct=1,IF(ALH28&lt;=0,0,IF(CH29&lt;=0,ALH28,ALH28-G29*MAX(0,CH29*ALH28-(JG29+MT29)))),ALH28*(1-MAX(0,CH29)*H_Exit))</f>
        <v>1211.96437336909</v>
      </c>
      <c r="FV29" s="20" t="n">
        <f aca="false">IF(H_Direct=1,IF(ALI28&lt;=0,0,IF(CI29&lt;=0,ALI28,ALI28-G29*MAX(0,CI29*ALI28-(JH29+MU29)))),ALI28*(1-MAX(0,CI29)*H_Exit))</f>
        <v>1179.33868806484</v>
      </c>
      <c r="FW29" s="20" t="n">
        <f aca="false">IF(H_Direct=1,IF(ALJ28&lt;=0,0,IF(CJ29&lt;=0,ALJ28,ALJ28-G29*MAX(0,CJ29*ALJ28-(JI29+MV29)))),ALJ28*(1-MAX(0,CJ29)*H_Exit))</f>
        <v>3714.489776843</v>
      </c>
      <c r="FX29" s="20" t="n">
        <f aca="false">IF(H_Direct=1,IF(ALK28&lt;=0,0,IF(CK29&lt;=0,ALK28,ALK28-G29*MAX(0,CK29*ALK28-(JJ29+MW29)))),ALK28*(1-MAX(0,CK29)*H_Exit))</f>
        <v>3693.15576489561</v>
      </c>
      <c r="FY29" s="20" t="n">
        <f aca="false">IF(H_Direct=1,IF(ALL28&lt;=0,0,IF(CL29&lt;=0,ALL28,ALL28-G29*MAX(0,CL29*ALL28-(JK29+MX29)))),ALL28*(1-MAX(0,CL29)*H_Exit))</f>
        <v>3673.23399208398</v>
      </c>
      <c r="FZ29" s="20" t="n">
        <f aca="false">IF(H_Direct=1,IF(ALM28&lt;=0,0,IF(CM29&lt;=0,ALM28,ALM28-G29*MAX(0,CM29*ALM28-(JL29+MY29)))),ALM28*(1-MAX(0,CM29)*H_Exit))</f>
        <v>3654.71733935668</v>
      </c>
      <c r="GA29" s="20" t="n">
        <f aca="false">IF(H_Direct=1,IF((P29+S29)&lt;=0,0,IF(CN29&lt;=0,(P29+S29),(P29+S29)-G29*MAX(0,CN29*(P29+S29)-(JM29+MZ29)))),(P29+S29)*(1-MAX(0,CN29)*H_Exit))</f>
        <v>0</v>
      </c>
      <c r="GB29" s="20" t="n">
        <v>0</v>
      </c>
      <c r="GC29" s="20" t="n">
        <v>0</v>
      </c>
      <c r="GD29" s="20" t="n">
        <v>0</v>
      </c>
      <c r="GE29" s="20" t="n">
        <v>0</v>
      </c>
      <c r="GF29" s="20" t="n">
        <v>0</v>
      </c>
      <c r="GG29" s="20" t="n">
        <v>0</v>
      </c>
      <c r="GH29" s="20" t="n">
        <v>0</v>
      </c>
      <c r="GI29" s="20" t="n">
        <v>0</v>
      </c>
      <c r="GJ29" s="20" t="n">
        <v>0</v>
      </c>
      <c r="GK29" s="20" t="n">
        <v>0</v>
      </c>
      <c r="GL29" s="20" t="n">
        <v>0</v>
      </c>
      <c r="GM29" s="20" t="n">
        <v>0</v>
      </c>
      <c r="GN29" s="20" t="n">
        <v>0</v>
      </c>
      <c r="GO29" s="20" t="n">
        <v>0</v>
      </c>
      <c r="GP29" s="20" t="n">
        <v>0</v>
      </c>
      <c r="GQ29" s="20" t="n">
        <v>0</v>
      </c>
      <c r="GR29" s="20" t="n">
        <v>0</v>
      </c>
      <c r="GS29" s="20" t="n">
        <v>0</v>
      </c>
      <c r="GT29" s="20" t="n">
        <v>0</v>
      </c>
      <c r="GU29" s="20" t="n">
        <v>0</v>
      </c>
      <c r="GV29" s="20" t="n">
        <v>0</v>
      </c>
      <c r="GW29" s="20" t="n">
        <v>0</v>
      </c>
      <c r="GX29" s="20" t="n">
        <v>0</v>
      </c>
      <c r="GY29" s="20" t="n">
        <v>0</v>
      </c>
      <c r="GZ29" s="20" t="n">
        <v>0</v>
      </c>
      <c r="HA29" s="20" t="n">
        <v>0</v>
      </c>
      <c r="HB29" s="20" t="n">
        <v>0</v>
      </c>
      <c r="HC29" s="20" t="n">
        <v>0</v>
      </c>
      <c r="HD29" s="20" t="n">
        <v>0</v>
      </c>
      <c r="HE29" s="20" t="n">
        <v>0</v>
      </c>
      <c r="HF29" s="20" t="n">
        <v>0</v>
      </c>
      <c r="HG29" s="20" t="n">
        <v>0</v>
      </c>
      <c r="HH29" s="20" t="n">
        <v>0</v>
      </c>
      <c r="HI29" s="20" t="n">
        <v>0</v>
      </c>
      <c r="HJ29" s="20" t="n">
        <v>0</v>
      </c>
      <c r="HK29" s="20" t="n">
        <v>0</v>
      </c>
      <c r="HL29" s="20" t="n">
        <v>0</v>
      </c>
      <c r="HM29" s="20" t="n">
        <v>0</v>
      </c>
      <c r="HN29" s="20" t="n">
        <v>0</v>
      </c>
      <c r="HO29" s="20" t="n">
        <v>0</v>
      </c>
      <c r="HP29" s="20" t="n">
        <v>0</v>
      </c>
      <c r="HQ29" s="20" t="n">
        <v>0</v>
      </c>
      <c r="HR29" s="20" t="n">
        <v>0</v>
      </c>
      <c r="HS29" s="20" t="n">
        <v>0</v>
      </c>
      <c r="HT29" s="20" t="n">
        <v>0</v>
      </c>
      <c r="HU29" s="20" t="n">
        <v>0</v>
      </c>
      <c r="HV29" s="20" t="n">
        <v>0</v>
      </c>
      <c r="HW29" s="20" t="n">
        <v>0</v>
      </c>
      <c r="HX29" s="20" t="n">
        <v>0</v>
      </c>
      <c r="HY29" s="20" t="n">
        <v>0</v>
      </c>
      <c r="HZ29" s="20" t="n">
        <v>0</v>
      </c>
      <c r="IA29" s="20" t="n">
        <v>0</v>
      </c>
      <c r="IB29" s="20" t="n">
        <v>0</v>
      </c>
      <c r="IC29" s="20" t="n">
        <v>0</v>
      </c>
      <c r="ID29" s="20" t="n">
        <v>0</v>
      </c>
      <c r="IE29" s="20" t="n">
        <v>0</v>
      </c>
      <c r="IF29" s="20" t="n">
        <v>0</v>
      </c>
      <c r="IG29" s="20" t="n">
        <v>0</v>
      </c>
      <c r="IH29" s="20" t="n">
        <v>0</v>
      </c>
      <c r="II29" s="20" t="n">
        <v>0</v>
      </c>
      <c r="IJ29" s="20" t="n">
        <v>0</v>
      </c>
      <c r="IK29" s="20" t="n">
        <v>0</v>
      </c>
      <c r="IL29" s="20" t="n">
        <v>0</v>
      </c>
      <c r="IM29" s="20" t="n">
        <v>0</v>
      </c>
      <c r="IN29" s="20" t="n">
        <v>0</v>
      </c>
      <c r="IO29" s="20" t="n">
        <v>0</v>
      </c>
      <c r="IP29" s="20" t="n">
        <v>0</v>
      </c>
      <c r="IQ29" s="20" t="n">
        <v>0</v>
      </c>
      <c r="IR29" s="20" t="n">
        <f aca="false">IF(AND(H_Direct=1,BR29&gt;0),MAX(0,H29-(MIN(BR29*AKR28,H29+I29)-MIN(MIN(BR29*AKR28,H29+I29),I29))),H29)</f>
        <v>1270</v>
      </c>
      <c r="IS29" s="20" t="n">
        <f aca="false">IF(AND(H_Direct=1,BS29&gt;0),MAX(0,IR29-(MIN(BS29*AKS28,IR29+ME29)-MIN(MIN(BS29*AKS28,IR29+ME29),ME29))),IR29)</f>
        <v>1270</v>
      </c>
      <c r="IT29" s="20" t="n">
        <f aca="false">IF(AND(H_Direct=1,BT29&gt;0),MAX(0,IS29-(MIN(BT29*AKT28,IS29+MF29)-MIN(MIN(BT29*AKT28,IS29+MF29),MF29))),IS29)</f>
        <v>1270</v>
      </c>
      <c r="IU29" s="20" t="n">
        <f aca="false">IF(AND(H_Direct=1,BU29&gt;0),MAX(0,IT29-(MIN(BU29*AKU28,IT29+MG29)-MIN(MIN(BU29*AKU28,IT29+MG29),MG29))),IT29)</f>
        <v>1270</v>
      </c>
      <c r="IV29" s="20" t="n">
        <f aca="false">IF(AND(H_Direct=1,BV29&gt;0),MAX(0,IU29-(MIN(BV29*AKV28,IU29+MH29)-MIN(MIN(BV29*AKV28,IU29+MH29),MH29))),IU29)</f>
        <v>1270</v>
      </c>
      <c r="IW29" s="20" t="n">
        <f aca="false">IF(AND(H_Direct=1,BW29&gt;0),MAX(0,IV29-(MIN(BW29*AKW28,IV29+MI29)-MIN(MIN(BW29*AKW28,IV29+MI29),MI29))),IV29)</f>
        <v>1270</v>
      </c>
      <c r="IX29" s="20" t="n">
        <f aca="false">IF(AND(H_Direct=1,BX29&gt;0),MAX(0,IW29-(MIN(BX29*AKX28,IW29+MJ29)-MIN(MIN(BX29*AKX28,IW29+MJ29),MJ29))),IW29)</f>
        <v>1270</v>
      </c>
      <c r="IY29" s="20" t="n">
        <f aca="false">IF(AND(H_Direct=1,BY29&gt;0),MAX(0,IX29-(MIN(BY29*AKY28,IX29+MK29)-MIN(MIN(BY29*AKY28,IX29+MK29),MK29))),IX29)</f>
        <v>1270</v>
      </c>
      <c r="IZ29" s="20" t="n">
        <f aca="false">IF(AND(H_Direct=1,BZ29&gt;0),MAX(0,IY29-(MIN(BZ29*AKZ28,IY29+ML29)-MIN(MIN(BZ29*AKZ28,IY29+ML29),ML29))),IY29)</f>
        <v>1270</v>
      </c>
      <c r="JA29" s="20" t="n">
        <f aca="false">IF(AND(H_Direct=1,CA29&gt;0),MAX(0,IZ29-(MIN(CA29*ALA28,IZ29+MM29)-MIN(MIN(CA29*ALA28,IZ29+MM29),MM29))),IZ29)</f>
        <v>1270</v>
      </c>
      <c r="JB29" s="20" t="n">
        <f aca="false">IF(AND(H_Direct=1,CB29&gt;0),MAX(0,JA29-(MIN(CB29*ALB28,JA29+MN29)-MIN(MIN(CB29*ALB28,JA29+MN29),MN29))),JA29)</f>
        <v>1270</v>
      </c>
      <c r="JC29" s="20" t="n">
        <f aca="false">IF(AND(H_Direct=1,CC29&gt;0),MAX(0,JB29-(MIN(CC29*ALC28,JB29+MO29)-MIN(MIN(CC29*ALC28,JB29+MO29),MO29))),JB29)</f>
        <v>1270</v>
      </c>
      <c r="JD29" s="20" t="n">
        <f aca="false">IF(AND(H_Direct=1,CD29&gt;0),MAX(0,JC29-(MIN(CD29*ALD28,JC29+MP29)-MIN(MIN(CD29*ALD28,JC29+MP29),MP29))),JC29)</f>
        <v>1270</v>
      </c>
      <c r="JE29" s="20" t="n">
        <f aca="false">IF(AND(H_Direct=1,CE29&gt;0),MAX(0,JD29-(MIN(CE29*ALE28,JD29+MQ29)-MIN(MIN(CE29*ALE28,JD29+MQ29),MQ29))),JD29)</f>
        <v>1270</v>
      </c>
      <c r="JF29" s="20" t="n">
        <f aca="false">IF(AND(H_Direct=1,CF29&gt;0),MAX(0,JE29-(MIN(CF29*ALF28,JE29+MR29)-MIN(MIN(CF29*ALF28,JE29+MR29),MR29))),JE29)</f>
        <v>1270</v>
      </c>
      <c r="JG29" s="20" t="n">
        <f aca="false">IF(AND(H_Direct=1,CG29&gt;0),MAX(0,JF29-(MIN(CG29*ALG28,JF29+MS29)-MIN(MIN(CG29*ALG28,JF29+MS29),MS29))),JF29)</f>
        <v>1270</v>
      </c>
      <c r="JH29" s="20" t="n">
        <f aca="false">IF(AND(H_Direct=1,CH29&gt;0),MAX(0,JG29-(MIN(CH29*ALH28,JG29+MT29)-MIN(MIN(CH29*ALH28,JG29+MT29),MT29))),JG29)</f>
        <v>1270</v>
      </c>
      <c r="JI29" s="20" t="n">
        <f aca="false">IF(AND(H_Direct=1,CI29&gt;0),MAX(0,JH29-(MIN(CI29*ALI28,JH29+MU29)-MIN(MIN(CI29*ALI28,JH29+MU29),MU29))),JH29)</f>
        <v>1270</v>
      </c>
      <c r="JJ29" s="20" t="n">
        <f aca="false">IF(AND(H_Direct=1,CJ29&gt;0),MAX(0,JI29-(MIN(CJ29*ALJ28,JI29+MV29)-MIN(MIN(CJ29*ALJ28,JI29+MV29),MV29))),JI29)</f>
        <v>1270</v>
      </c>
      <c r="JK29" s="20" t="n">
        <f aca="false">IF(AND(H_Direct=1,CK29&gt;0),MAX(0,JJ29-(MIN(CK29*ALK28,JJ29+MW29)-MIN(MIN(CK29*ALK28,JJ29+MW29),MW29))),JJ29)</f>
        <v>1270</v>
      </c>
      <c r="JL29" s="20" t="n">
        <f aca="false">IF(AND(H_Direct=1,CL29&gt;0),MAX(0,JK29-(MIN(CL29*ALL28,JK29+MX29)-MIN(MIN(CL29*ALL28,JK29+MX29),MX29))),JK29)</f>
        <v>1270</v>
      </c>
      <c r="JM29" s="20" t="n">
        <f aca="false">IF(AND(H_Direct=1,CM29&gt;0),MAX(0,JL29-(MIN(CM29*ALM28,JL29+MY29)-MIN(MIN(CM29*ALM28,JL29+MY29),MY29))),JL29)</f>
        <v>1270</v>
      </c>
      <c r="JN29" s="20" t="n">
        <f aca="false">IF(AND(H_Direct=1,CN29&gt;0),MAX(0,JM29-(MIN(CN29*(P29+S29),JM29+MZ29)-MIN(MIN(CN29*(P29+S29),JM29+MZ29),MZ29))),JM29)</f>
        <v>1270</v>
      </c>
      <c r="JO29" s="20" t="n">
        <f aca="false">JN29</f>
        <v>1270</v>
      </c>
      <c r="JP29" s="20" t="n">
        <f aca="false">JO29</f>
        <v>1270</v>
      </c>
      <c r="JQ29" s="20" t="n">
        <f aca="false">JP29</f>
        <v>1270</v>
      </c>
      <c r="JR29" s="20" t="n">
        <f aca="false">JQ29</f>
        <v>1270</v>
      </c>
      <c r="JS29" s="20" t="n">
        <f aca="false">JR29</f>
        <v>1270</v>
      </c>
      <c r="JT29" s="20" t="n">
        <f aca="false">JS29</f>
        <v>1270</v>
      </c>
      <c r="JU29" s="20" t="n">
        <f aca="false">JT29</f>
        <v>1270</v>
      </c>
      <c r="JV29" s="20" t="n">
        <f aca="false">JU29</f>
        <v>1270</v>
      </c>
      <c r="JW29" s="20" t="n">
        <f aca="false">JV29</f>
        <v>1270</v>
      </c>
      <c r="JX29" s="20" t="n">
        <f aca="false">JW29</f>
        <v>1270</v>
      </c>
      <c r="JY29" s="20" t="n">
        <f aca="false">JX29</f>
        <v>1270</v>
      </c>
      <c r="JZ29" s="20" t="n">
        <f aca="false">JY29</f>
        <v>1270</v>
      </c>
      <c r="KA29" s="20" t="n">
        <f aca="false">JZ29</f>
        <v>1270</v>
      </c>
      <c r="KB29" s="20" t="n">
        <f aca="false">KA29</f>
        <v>1270</v>
      </c>
      <c r="KC29" s="20" t="n">
        <f aca="false">KB29</f>
        <v>1270</v>
      </c>
      <c r="KD29" s="20" t="n">
        <f aca="false">KC29</f>
        <v>1270</v>
      </c>
      <c r="KE29" s="20" t="n">
        <f aca="false">KD29</f>
        <v>1270</v>
      </c>
      <c r="KF29" s="20" t="n">
        <f aca="false">KE29</f>
        <v>1270</v>
      </c>
      <c r="KG29" s="20" t="n">
        <f aca="false">KF29</f>
        <v>1270</v>
      </c>
      <c r="KH29" s="20" t="n">
        <f aca="false">KG29</f>
        <v>1270</v>
      </c>
      <c r="KI29" s="20" t="n">
        <f aca="false">KH29</f>
        <v>1270</v>
      </c>
      <c r="KJ29" s="20" t="n">
        <f aca="false">KI29</f>
        <v>1270</v>
      </c>
      <c r="KK29" s="20" t="n">
        <f aca="false">KJ29</f>
        <v>1270</v>
      </c>
      <c r="KL29" s="20" t="n">
        <f aca="false">KK29</f>
        <v>1270</v>
      </c>
      <c r="KM29" s="20" t="n">
        <f aca="false">KL29</f>
        <v>1270</v>
      </c>
      <c r="KN29" s="20" t="n">
        <f aca="false">KM29</f>
        <v>1270</v>
      </c>
      <c r="KO29" s="20" t="n">
        <f aca="false">KN29</f>
        <v>1270</v>
      </c>
      <c r="KP29" s="20" t="n">
        <f aca="false">KO29</f>
        <v>1270</v>
      </c>
      <c r="KQ29" s="20" t="n">
        <f aca="false">KP29</f>
        <v>1270</v>
      </c>
      <c r="KR29" s="20" t="n">
        <f aca="false">KQ29</f>
        <v>1270</v>
      </c>
      <c r="KS29" s="20" t="n">
        <f aca="false">KR29</f>
        <v>1270</v>
      </c>
      <c r="KT29" s="20" t="n">
        <f aca="false">KS29</f>
        <v>1270</v>
      </c>
      <c r="KU29" s="20" t="n">
        <f aca="false">KT29</f>
        <v>1270</v>
      </c>
      <c r="KV29" s="20" t="n">
        <f aca="false">KU29</f>
        <v>1270</v>
      </c>
      <c r="KW29" s="20" t="n">
        <f aca="false">KV29</f>
        <v>1270</v>
      </c>
      <c r="KX29" s="20" t="n">
        <f aca="false">KW29</f>
        <v>1270</v>
      </c>
      <c r="KY29" s="20" t="n">
        <f aca="false">KX29</f>
        <v>1270</v>
      </c>
      <c r="KZ29" s="20" t="n">
        <f aca="false">KY29</f>
        <v>1270</v>
      </c>
      <c r="LA29" s="20" t="n">
        <f aca="false">KZ29</f>
        <v>1270</v>
      </c>
      <c r="LB29" s="20" t="n">
        <f aca="false">LA29</f>
        <v>1270</v>
      </c>
      <c r="LC29" s="20" t="n">
        <f aca="false">LB29</f>
        <v>1270</v>
      </c>
      <c r="LD29" s="20" t="n">
        <f aca="false">LC29</f>
        <v>1270</v>
      </c>
      <c r="LE29" s="20" t="n">
        <f aca="false">LD29</f>
        <v>1270</v>
      </c>
      <c r="LF29" s="20" t="n">
        <f aca="false">LE29</f>
        <v>1270</v>
      </c>
      <c r="LG29" s="20" t="n">
        <f aca="false">LF29</f>
        <v>1270</v>
      </c>
      <c r="LH29" s="20" t="n">
        <f aca="false">LG29</f>
        <v>1270</v>
      </c>
      <c r="LI29" s="20" t="n">
        <f aca="false">LH29</f>
        <v>1270</v>
      </c>
      <c r="LJ29" s="20" t="n">
        <f aca="false">LI29</f>
        <v>1270</v>
      </c>
      <c r="LK29" s="20" t="n">
        <f aca="false">LJ29</f>
        <v>1270</v>
      </c>
      <c r="LL29" s="20" t="n">
        <f aca="false">LK29</f>
        <v>1270</v>
      </c>
      <c r="LM29" s="20" t="n">
        <f aca="false">LL29</f>
        <v>1270</v>
      </c>
      <c r="LN29" s="20" t="n">
        <f aca="false">LM29</f>
        <v>1270</v>
      </c>
      <c r="LO29" s="20" t="n">
        <f aca="false">LN29</f>
        <v>1270</v>
      </c>
      <c r="LP29" s="20" t="n">
        <f aca="false">LO29</f>
        <v>1270</v>
      </c>
      <c r="LQ29" s="20" t="n">
        <f aca="false">LP29</f>
        <v>1270</v>
      </c>
      <c r="LR29" s="20" t="n">
        <f aca="false">LQ29</f>
        <v>1270</v>
      </c>
      <c r="LS29" s="20" t="n">
        <f aca="false">LR29</f>
        <v>1270</v>
      </c>
      <c r="LT29" s="20" t="n">
        <f aca="false">LS29</f>
        <v>1270</v>
      </c>
      <c r="LU29" s="20" t="n">
        <f aca="false">LT29</f>
        <v>1270</v>
      </c>
      <c r="LV29" s="20" t="n">
        <f aca="false">LU29</f>
        <v>1270</v>
      </c>
      <c r="LW29" s="20" t="n">
        <f aca="false">LV29</f>
        <v>1270</v>
      </c>
      <c r="LX29" s="20" t="n">
        <f aca="false">LW29</f>
        <v>1270</v>
      </c>
      <c r="LY29" s="20" t="n">
        <f aca="false">LX29</f>
        <v>1270</v>
      </c>
      <c r="LZ29" s="20" t="n">
        <f aca="false">LY29</f>
        <v>1270</v>
      </c>
      <c r="MA29" s="20" t="n">
        <f aca="false">LZ29</f>
        <v>1270</v>
      </c>
      <c r="MB29" s="20" t="n">
        <f aca="false">MA29</f>
        <v>1270</v>
      </c>
      <c r="MC29" s="20" t="n">
        <f aca="false">MB29</f>
        <v>1270</v>
      </c>
      <c r="MD29" s="20" t="n">
        <f aca="false">MC29</f>
        <v>1270</v>
      </c>
      <c r="ME29" s="20" t="n">
        <f aca="false">IF(H_Direct=1,IF(BR29&lt;=0,I29-BR29*AKR28,I29-MIN(MIN(BR29*AKR28,H29+I29),I29)),I29)</f>
        <v>0</v>
      </c>
      <c r="MF29" s="20" t="n">
        <f aca="false">IF(H_Direct=1,IF(BS29&lt;=0,ME29-BS29*AKS28,ME29-MIN(MIN(BS29*AKS28,IR29+ME29),ME29)),ME29)</f>
        <v>0</v>
      </c>
      <c r="MG29" s="20" t="n">
        <f aca="false">IF(H_Direct=1,IF(BT29&lt;=0,MF29-BT29*AKT28,MF29-MIN(MIN(BT29*AKT28,IS29+MF29),MF29)),MF29)</f>
        <v>0</v>
      </c>
      <c r="MH29" s="20" t="n">
        <f aca="false">IF(H_Direct=1,IF(BU29&lt;=0,MG29-BU29*AKU28,MG29-MIN(MIN(BU29*AKU28,IT29+MG29),MG29)),MG29)</f>
        <v>0</v>
      </c>
      <c r="MI29" s="20" t="n">
        <f aca="false">IF(H_Direct=1,IF(BV29&lt;=0,MH29-BV29*AKV28,MH29-MIN(MIN(BV29*AKV28,IU29+MH29),MH29)),MH29)</f>
        <v>0</v>
      </c>
      <c r="MJ29" s="20" t="n">
        <f aca="false">IF(H_Direct=1,IF(BW29&lt;=0,MI29-BW29*AKW28,MI29-MIN(MIN(BW29*AKW28,IV29+MI29),MI29)),MI29)</f>
        <v>0</v>
      </c>
      <c r="MK29" s="20" t="n">
        <f aca="false">IF(H_Direct=1,IF(BX29&lt;=0,MJ29-BX29*AKX28,MJ29-MIN(MIN(BX29*AKX28,IW29+MJ29),MJ29)),MJ29)</f>
        <v>0</v>
      </c>
      <c r="ML29" s="20" t="n">
        <f aca="false">IF(H_Direct=1,IF(BY29&lt;=0,MK29-BY29*AKY28,MK29-MIN(MIN(BY29*AKY28,IX29+MK29),MK29)),MK29)</f>
        <v>0</v>
      </c>
      <c r="MM29" s="20" t="n">
        <f aca="false">IF(H_Direct=1,IF(BZ29&lt;=0,ML29-BZ29*AKZ28,ML29-MIN(MIN(BZ29*AKZ28,IY29+ML29),ML29)),ML29)</f>
        <v>0</v>
      </c>
      <c r="MN29" s="20" t="n">
        <f aca="false">IF(H_Direct=1,IF(CA29&lt;=0,MM29-CA29*ALA28,MM29-MIN(MIN(CA29*ALA28,IZ29+MM29),MM29)),MM29)</f>
        <v>0</v>
      </c>
      <c r="MO29" s="20" t="n">
        <f aca="false">IF(H_Direct=1,IF(CB29&lt;=0,MN29-CB29*ALB28,MN29-MIN(MIN(CB29*ALB28,JA29+MN29),MN29)),MN29)</f>
        <v>0</v>
      </c>
      <c r="MP29" s="20" t="n">
        <f aca="false">IF(H_Direct=1,IF(CC29&lt;=0,MO29-CC29*ALC28,MO29-MIN(MIN(CC29*ALC28,JB29+MO29),MO29)),MO29)</f>
        <v>0</v>
      </c>
      <c r="MQ29" s="20" t="n">
        <f aca="false">IF(H_Direct=1,IF(CD29&lt;=0,MP29-CD29*ALD28,MP29-MIN(MIN(CD29*ALD28,JC29+MP29),MP29)),MP29)</f>
        <v>0</v>
      </c>
      <c r="MR29" s="20" t="n">
        <f aca="false">IF(H_Direct=1,IF(CE29&lt;=0,MQ29-CE29*ALE28,MQ29-MIN(MIN(CE29*ALE28,JD29+MQ29),MQ29)),MQ29)</f>
        <v>0</v>
      </c>
      <c r="MS29" s="20" t="n">
        <f aca="false">IF(H_Direct=1,IF(CF29&lt;=0,MR29-CF29*ALF28,MR29-MIN(MIN(CF29*ALF28,JE29+MR29),MR29)),MR29)</f>
        <v>0</v>
      </c>
      <c r="MT29" s="20" t="n">
        <f aca="false">IF(H_Direct=1,IF(CG29&lt;=0,MS29-CG29*ALG28,MS29-MIN(MIN(CG29*ALG28,JF29+MS29),MS29)),MS29)</f>
        <v>0</v>
      </c>
      <c r="MU29" s="20" t="n">
        <f aca="false">IF(H_Direct=1,IF(CH29&lt;=0,MT29-CH29*ALH28,MT29-MIN(MIN(CH29*ALH28,JG29+MT29),MT29)),MT29)</f>
        <v>0</v>
      </c>
      <c r="MV29" s="20" t="n">
        <f aca="false">IF(H_Direct=1,IF(CI29&lt;=0,MU29-CI29*ALI28,MU29-MIN(MIN(CI29*ALI28,JH29+MU29),MU29)),MU29)</f>
        <v>0</v>
      </c>
      <c r="MW29" s="20" t="n">
        <f aca="false">IF(H_Direct=1,IF(CJ29&lt;=0,MV29-CJ29*ALJ28,MV29-MIN(MIN(CJ29*ALJ28,JI29+MV29),MV29)),MV29)</f>
        <v>0</v>
      </c>
      <c r="MX29" s="20" t="n">
        <f aca="false">IF(H_Direct=1,IF(CK29&lt;=0,MW29-CK29*ALK28,MW29-MIN(MIN(CK29*ALK28,JJ29+MW29),MW29)),MW29)</f>
        <v>0</v>
      </c>
      <c r="MY29" s="20" t="n">
        <f aca="false">IF(H_Direct=1,IF(CL29&lt;=0,MX29-CL29*ALL28,MX29-MIN(MIN(CL29*ALL28,JK29+MX29),MX29)),MX29)</f>
        <v>0</v>
      </c>
      <c r="MZ29" s="20" t="n">
        <f aca="false">IF(H_Direct=1,IF(CM29&lt;=0,MY29-CM29*ALM28,MY29-MIN(MIN(CM29*ALM28,JL29+MY29),MY29)),MY29)</f>
        <v>0</v>
      </c>
      <c r="NA29" s="20" t="n">
        <f aca="false">IF(H_Direct=1,IF(CN29&lt;=0,MZ29-CN29*(P29+S29),MZ29-MIN(MIN(CN29*(P29+S29),JM29+MZ29),MZ29)),MZ29)</f>
        <v>0</v>
      </c>
      <c r="NB29" s="20" t="n">
        <f aca="false">NA29</f>
        <v>0</v>
      </c>
      <c r="NC29" s="20" t="n">
        <f aca="false">NB29</f>
        <v>0</v>
      </c>
      <c r="ND29" s="20" t="n">
        <f aca="false">NC29</f>
        <v>0</v>
      </c>
      <c r="NE29" s="20" t="n">
        <f aca="false">ND29</f>
        <v>0</v>
      </c>
      <c r="NF29" s="20" t="n">
        <f aca="false">NE29</f>
        <v>0</v>
      </c>
      <c r="NG29" s="20" t="n">
        <f aca="false">NF29</f>
        <v>0</v>
      </c>
      <c r="NH29" s="20" t="n">
        <f aca="false">NG29</f>
        <v>0</v>
      </c>
      <c r="NI29" s="20" t="n">
        <f aca="false">NH29</f>
        <v>0</v>
      </c>
      <c r="NJ29" s="20" t="n">
        <f aca="false">NI29</f>
        <v>0</v>
      </c>
      <c r="NK29" s="20" t="n">
        <f aca="false">NJ29</f>
        <v>0</v>
      </c>
      <c r="NL29" s="20" t="n">
        <f aca="false">NK29</f>
        <v>0</v>
      </c>
      <c r="NM29" s="20" t="n">
        <f aca="false">NL29</f>
        <v>0</v>
      </c>
      <c r="NN29" s="20" t="n">
        <f aca="false">NM29</f>
        <v>0</v>
      </c>
      <c r="NO29" s="20" t="n">
        <f aca="false">NN29</f>
        <v>0</v>
      </c>
      <c r="NP29" s="20" t="n">
        <f aca="false">NO29</f>
        <v>0</v>
      </c>
      <c r="NQ29" s="20" t="n">
        <f aca="false">NP29</f>
        <v>0</v>
      </c>
      <c r="NR29" s="20" t="n">
        <f aca="false">NQ29</f>
        <v>0</v>
      </c>
      <c r="NS29" s="20" t="n">
        <f aca="false">NR29</f>
        <v>0</v>
      </c>
      <c r="NT29" s="20" t="n">
        <f aca="false">NS29</f>
        <v>0</v>
      </c>
      <c r="NU29" s="20" t="n">
        <f aca="false">NT29</f>
        <v>0</v>
      </c>
      <c r="NV29" s="20" t="n">
        <f aca="false">NU29</f>
        <v>0</v>
      </c>
      <c r="NW29" s="20" t="n">
        <f aca="false">NV29</f>
        <v>0</v>
      </c>
      <c r="NX29" s="20" t="n">
        <f aca="false">NW29</f>
        <v>0</v>
      </c>
      <c r="NY29" s="20" t="n">
        <f aca="false">NX29</f>
        <v>0</v>
      </c>
      <c r="NZ29" s="20" t="n">
        <f aca="false">NY29</f>
        <v>0</v>
      </c>
      <c r="OA29" s="20" t="n">
        <f aca="false">NZ29</f>
        <v>0</v>
      </c>
      <c r="OB29" s="20" t="n">
        <f aca="false">OA29</f>
        <v>0</v>
      </c>
      <c r="OC29" s="20" t="n">
        <f aca="false">OB29</f>
        <v>0</v>
      </c>
      <c r="OD29" s="20" t="n">
        <f aca="false">OC29</f>
        <v>0</v>
      </c>
      <c r="OE29" s="20" t="n">
        <f aca="false">OD29</f>
        <v>0</v>
      </c>
      <c r="OF29" s="20" t="n">
        <f aca="false">OE29</f>
        <v>0</v>
      </c>
      <c r="OG29" s="20" t="n">
        <f aca="false">OF29</f>
        <v>0</v>
      </c>
      <c r="OH29" s="20" t="n">
        <f aca="false">OG29</f>
        <v>0</v>
      </c>
      <c r="OI29" s="20" t="n">
        <f aca="false">OH29</f>
        <v>0</v>
      </c>
      <c r="OJ29" s="20" t="n">
        <f aca="false">OI29</f>
        <v>0</v>
      </c>
      <c r="OK29" s="20" t="n">
        <f aca="false">OJ29</f>
        <v>0</v>
      </c>
      <c r="OL29" s="20" t="n">
        <f aca="false">OK29</f>
        <v>0</v>
      </c>
      <c r="OM29" s="20" t="n">
        <f aca="false">OL29</f>
        <v>0</v>
      </c>
      <c r="ON29" s="20" t="n">
        <f aca="false">OM29</f>
        <v>0</v>
      </c>
      <c r="OO29" s="20" t="n">
        <f aca="false">ON29</f>
        <v>0</v>
      </c>
      <c r="OP29" s="20" t="n">
        <f aca="false">OO29</f>
        <v>0</v>
      </c>
      <c r="OQ29" s="20" t="n">
        <f aca="false">OP29</f>
        <v>0</v>
      </c>
      <c r="OR29" s="20" t="n">
        <f aca="false">OQ29</f>
        <v>0</v>
      </c>
      <c r="OS29" s="20" t="n">
        <f aca="false">OR29</f>
        <v>0</v>
      </c>
      <c r="OT29" s="20" t="n">
        <f aca="false">OS29</f>
        <v>0</v>
      </c>
      <c r="OU29" s="20" t="n">
        <f aca="false">OT29</f>
        <v>0</v>
      </c>
      <c r="OV29" s="20" t="n">
        <f aca="false">OU29</f>
        <v>0</v>
      </c>
      <c r="OW29" s="20" t="n">
        <f aca="false">OV29</f>
        <v>0</v>
      </c>
      <c r="OX29" s="20" t="n">
        <f aca="false">OW29</f>
        <v>0</v>
      </c>
      <c r="OY29" s="20" t="n">
        <f aca="false">OX29</f>
        <v>0</v>
      </c>
      <c r="OZ29" s="20" t="n">
        <f aca="false">OY29</f>
        <v>0</v>
      </c>
      <c r="PA29" s="20" t="n">
        <f aca="false">OZ29</f>
        <v>0</v>
      </c>
      <c r="PB29" s="20" t="n">
        <f aca="false">PA29</f>
        <v>0</v>
      </c>
      <c r="PC29" s="20" t="n">
        <f aca="false">PB29</f>
        <v>0</v>
      </c>
      <c r="PD29" s="20" t="n">
        <f aca="false">PC29</f>
        <v>0</v>
      </c>
      <c r="PE29" s="20" t="n">
        <f aca="false">PD29</f>
        <v>0</v>
      </c>
      <c r="PF29" s="20" t="n">
        <f aca="false">PE29</f>
        <v>0</v>
      </c>
      <c r="PG29" s="20" t="n">
        <f aca="false">PF29</f>
        <v>0</v>
      </c>
      <c r="PH29" s="20" t="n">
        <f aca="false">PG29</f>
        <v>0</v>
      </c>
      <c r="PI29" s="20" t="n">
        <f aca="false">PH29</f>
        <v>0</v>
      </c>
      <c r="PJ29" s="20" t="n">
        <f aca="false">PI29</f>
        <v>0</v>
      </c>
      <c r="PK29" s="20" t="n">
        <f aca="false">PJ29</f>
        <v>0</v>
      </c>
      <c r="PL29" s="20" t="n">
        <f aca="false">PK29</f>
        <v>0</v>
      </c>
      <c r="PM29" s="20" t="n">
        <f aca="false">PL29</f>
        <v>0</v>
      </c>
      <c r="PN29" s="20" t="n">
        <f aca="false">PM29</f>
        <v>0</v>
      </c>
      <c r="PO29" s="20" t="n">
        <f aca="false">PN29</f>
        <v>0</v>
      </c>
      <c r="PP29" s="20" t="n">
        <f aca="false">PO29</f>
        <v>0</v>
      </c>
      <c r="PQ29" s="20" t="n">
        <f aca="false">PP29</f>
        <v>0</v>
      </c>
      <c r="PR29" s="20" t="n">
        <f aca="false">IF(H_Direct=1,IF(AKR28&lt;=0,0,IF(BR29&lt;=0,MIN(MAX(0,AB29),AKR28),MIN(MAX(0,AB29),AKR28-G29*MAX(0,BR29*AKR28-(H29+I29))))),MIN(FE29,MAX(0,AB29)))</f>
        <v>0</v>
      </c>
      <c r="PS29" s="20" t="n">
        <f aca="false">IF(H_Direct=1,IF(AKS28&lt;=0,0,IF(BS29&lt;=0,MIN(MAX(0,AB29-SUM(PR29:PR29)),AKS28),MIN(MAX(0,AB29-SUM(PR29:PR29)),AKS28-G29*MAX(0,BS29*AKS28-(WR29+AAE29))))),MIN(FF29,MAX(0,AB29-SUM(PR29:PR29))))</f>
        <v>0</v>
      </c>
      <c r="PT29" s="20" t="n">
        <f aca="false">IF(H_Direct=1,IF(AKT28&lt;=0,0,IF(BT29&lt;=0,MIN(MAX(0,AB29-SUM(PR29:PS29)),AKT28),MIN(MAX(0,AB29-SUM(PR29:PS29)),AKT28-G29*MAX(0,BT29*AKT28-(WS29+AAF29))))),MIN(FG29,MAX(0,AB29-SUM(PR29:PS29))))</f>
        <v>0</v>
      </c>
      <c r="PU29" s="20" t="n">
        <f aca="false">IF(H_Direct=1,IF(AKU28&lt;=0,0,IF(BU29&lt;=0,MIN(MAX(0,AB29-SUM(PR29:PT29)),AKU28),MIN(MAX(0,AB29-SUM(PR29:PT29)),AKU28-G29*MAX(0,BU29*AKU28-(WT29+AAG29))))),MIN(FH29,MAX(0,AB29-SUM(PR29:PT29))))</f>
        <v>0</v>
      </c>
      <c r="PV29" s="20" t="n">
        <f aca="false">IF(H_Direct=1,IF(AKV28&lt;=0,0,IF(BV29&lt;=0,MIN(MAX(0,AB29-SUM(PR29:PU29)),AKV28),MIN(MAX(0,AB29-SUM(PR29:PU29)),AKV28-G29*MAX(0,BV29*AKV28-(WU29+AAH29))))),MIN(FI29,MAX(0,AB29-SUM(PR29:PU29))))</f>
        <v>0</v>
      </c>
      <c r="PW29" s="20" t="n">
        <f aca="false">IF(H_Direct=1,IF(AKW28&lt;=0,0,IF(BW29&lt;=0,MIN(MAX(0,AB29-SUM(PR29:PV29)),AKW28),MIN(MAX(0,AB29-SUM(PR29:PV29)),AKW28-G29*MAX(0,BW29*AKW28-(WV29+AAI29))))),MIN(FJ29,MAX(0,AB29-SUM(PR29:PV29))))</f>
        <v>0</v>
      </c>
      <c r="PX29" s="20" t="n">
        <f aca="false">IF(H_Direct=1,IF(AKX28&lt;=0,0,IF(BX29&lt;=0,MIN(MAX(0,AB29-SUM(PR29:PW29)),AKX28),MIN(MAX(0,AB29-SUM(PR29:PW29)),AKX28-G29*MAX(0,BX29*AKX28-(WW29+AAJ29))))),MIN(FK29,MAX(0,AB29-SUM(PR29:PW29))))</f>
        <v>0</v>
      </c>
      <c r="PY29" s="20" t="n">
        <f aca="false">IF(H_Direct=1,IF(AKY28&lt;=0,0,IF(BY29&lt;=0,MIN(MAX(0,AB29-SUM(PR29:PX29)),AKY28),MIN(MAX(0,AB29-SUM(PR29:PX29)),AKY28-G29*MAX(0,BY29*AKY28-(WX29+AAK29))))),MIN(FL29,MAX(0,AB29-SUM(PR29:PX29))))</f>
        <v>0</v>
      </c>
      <c r="PZ29" s="20" t="n">
        <f aca="false">IF(H_Direct=1,IF(AKZ28&lt;=0,0,IF(BZ29&lt;=0,MIN(MAX(0,AB29-SUM(PR29:PY29)),AKZ28),MIN(MAX(0,AB29-SUM(PR29:PY29)),AKZ28-G29*MAX(0,BZ29*AKZ28-(WY29+AAL29))))),MIN(FM29,MAX(0,AB29-SUM(PR29:PY29))))</f>
        <v>0</v>
      </c>
      <c r="QA29" s="20" t="n">
        <f aca="false">IF(H_Direct=1,IF(ALA28&lt;=0,0,IF(CA29&lt;=0,MIN(MAX(0,AB29-SUM(PR29:PZ29)),ALA28),MIN(MAX(0,AB29-SUM(PR29:PZ29)),ALA28-G29*MAX(0,CA29*ALA28-(WZ29+AAM29))))),MIN(FN29,MAX(0,AB29-SUM(PR29:PZ29))))</f>
        <v>0</v>
      </c>
      <c r="QB29" s="20" t="n">
        <f aca="false">IF(H_Direct=1,IF(ALB28&lt;=0,0,IF(CB29&lt;=0,MIN(MAX(0,AB29-SUM(PR29:QA29)),ALB28),MIN(MAX(0,AB29-SUM(PR29:QA29)),ALB28-G29*MAX(0,CB29*ALB28-(XA29+AAN29))))),MIN(FO29,MAX(0,AB29-SUM(PR29:QA29))))</f>
        <v>0</v>
      </c>
      <c r="QC29" s="20" t="n">
        <f aca="false">IF(H_Direct=1,IF(ALC28&lt;=0,0,IF(CC29&lt;=0,MIN(MAX(0,AB29-SUM(PR29:QB29)),ALC28),MIN(MAX(0,AB29-SUM(PR29:QB29)),ALC28-G29*MAX(0,CC29*ALC28-(XB29+AAO29))))),MIN(FP29,MAX(0,AB29-SUM(PR29:QB29))))</f>
        <v>0</v>
      </c>
      <c r="QD29" s="20" t="n">
        <f aca="false">IF(H_Direct=1,IF(ALD28&lt;=0,0,IF(CD29&lt;=0,MIN(MAX(0,AB29-SUM(PR29:QC29)),ALD28),MIN(MAX(0,AB29-SUM(PR29:QC29)),ALD28-G29*MAX(0,CD29*ALD28-(XC29+AAP29))))),MIN(FQ29,MAX(0,AB29-SUM(PR29:QC29))))</f>
        <v>0</v>
      </c>
      <c r="QE29" s="20" t="n">
        <f aca="false">IF(H_Direct=1,IF(ALE28&lt;=0,0,IF(CE29&lt;=0,MIN(MAX(0,AB29-SUM(PR29:QD29)),ALE28),MIN(MAX(0,AB29-SUM(PR29:QD29)),ALE28-G29*MAX(0,CE29*ALE28-(XD29+AAQ29))))),MIN(FR29,MAX(0,AB29-SUM(PR29:QD29))))</f>
        <v>0</v>
      </c>
      <c r="QF29" s="20" t="n">
        <f aca="false">IF(H_Direct=1,IF(ALF28&lt;=0,0,IF(CF29&lt;=0,MIN(MAX(0,AB29-SUM(PR29:QE29)),ALF28),MIN(MAX(0,AB29-SUM(PR29:QE29)),ALF28-G29*MAX(0,CF29*ALF28-(XE29+AAR29))))),MIN(FS29,MAX(0,AB29-SUM(PR29:QE29))))</f>
        <v>0</v>
      </c>
      <c r="QG29" s="20" t="n">
        <f aca="false">IF(H_Direct=1,IF(ALG28&lt;=0,0,IF(CG29&lt;=0,MIN(MAX(0,AB29-SUM(PR29:QF29)),ALG28),MIN(MAX(0,AB29-SUM(PR29:QF29)),ALG28-G29*MAX(0,CG29*ALG28-(XF29+AAS29))))),MIN(FT29,MAX(0,AB29-SUM(PR29:QF29))))</f>
        <v>0</v>
      </c>
      <c r="QH29" s="20" t="n">
        <f aca="false">IF(H_Direct=1,IF(ALH28&lt;=0,0,IF(CH29&lt;=0,MIN(MAX(0,AB29-SUM(PR29:QG29)),ALH28),MIN(MAX(0,AB29-SUM(PR29:QG29)),ALH28-G29*MAX(0,CH29*ALH28-(XG29+AAT29))))),MIN(FU29,MAX(0,AB29-SUM(PR29:QG29))))</f>
        <v>0</v>
      </c>
      <c r="QI29" s="20" t="n">
        <f aca="false">IF(H_Direct=1,IF(ALI28&lt;=0,0,IF(CI29&lt;=0,MIN(MAX(0,AB29-SUM(PR29:QH29)),ALI28),MIN(MAX(0,AB29-SUM(PR29:QH29)),ALI28-G29*MAX(0,CI29*ALI28-(XH29+AAU29))))),MIN(FV29,MAX(0,AB29-SUM(PR29:QH29))))</f>
        <v>0</v>
      </c>
      <c r="QJ29" s="20" t="n">
        <f aca="false">IF(H_Direct=1,IF(ALJ28&lt;=0,0,IF(CJ29&lt;=0,MIN(MAX(0,AB29-SUM(PR29:QI29)),ALJ28),MIN(MAX(0,AB29-SUM(PR29:QI29)),ALJ28-G29*MAX(0,CJ29*ALJ28-(XI29+AAV29))))),MIN(FW29,MAX(0,AB29-SUM(PR29:QI29))))</f>
        <v>0</v>
      </c>
      <c r="QK29" s="20" t="n">
        <f aca="false">IF(H_Direct=1,IF(ALK28&lt;=0,0,IF(CK29&lt;=0,MIN(MAX(0,AB29-SUM(PR29:QJ29)),ALK28),MIN(MAX(0,AB29-SUM(PR29:QJ29)),ALK28-G29*MAX(0,CK29*ALK28-(XJ29+AAW29))))),MIN(FX29,MAX(0,AB29-SUM(PR29:QJ29))))</f>
        <v>0</v>
      </c>
      <c r="QL29" s="20" t="n">
        <f aca="false">IF(H_Direct=1,IF(ALL28&lt;=0,0,IF(CL29&lt;=0,MIN(MAX(0,AB29-SUM(PR29:QK29)),ALL28),MIN(MAX(0,AB29-SUM(PR29:QK29)),ALL28-G29*MAX(0,CL29*ALL28-(XK29+AAX29))))),MIN(FY29,MAX(0,AB29-SUM(PR29:QK29))))</f>
        <v>0</v>
      </c>
      <c r="QM29" s="20" t="n">
        <f aca="false">IF(H_Direct=1,IF(ALM28&lt;=0,0,IF(CM29&lt;=0,MIN(MAX(0,AB29-SUM(PR29:QL29)),ALM28),MIN(MAX(0,AB29-SUM(PR29:QL29)),ALM28-G29*MAX(0,CM29*ALM28-(XL29+AAY29))))),MIN(FZ29,MAX(0,AB29-SUM(PR29:QL29))))</f>
        <v>0</v>
      </c>
      <c r="QN29" s="20" t="n">
        <f aca="false">IF(H_Direct=1,IF((P29+S29)&lt;=0,0,IF(CN29&lt;=0,MIN(MAX(0,AB29-SUM(PR29:QM29)),(P29+S29)),MIN(MAX(0,AB29-SUM(PR29:QM29)),(P29+S29)-G29*MAX(0,CN29*(P29+S29)-(XM29+AAZ29))))),MIN(GA29,MAX(0,AB29-SUM(PR29:QM29))))</f>
        <v>0</v>
      </c>
      <c r="QO29" s="20" t="n">
        <v>0</v>
      </c>
      <c r="QP29" s="20" t="n">
        <v>0</v>
      </c>
      <c r="QQ29" s="20" t="n">
        <v>0</v>
      </c>
      <c r="QR29" s="20" t="n">
        <v>0</v>
      </c>
      <c r="QS29" s="20" t="n">
        <v>0</v>
      </c>
      <c r="QT29" s="20" t="n">
        <v>0</v>
      </c>
      <c r="QU29" s="20" t="n">
        <v>0</v>
      </c>
      <c r="QV29" s="20" t="n">
        <v>0</v>
      </c>
      <c r="QW29" s="20" t="n">
        <v>0</v>
      </c>
      <c r="QX29" s="20" t="n">
        <v>0</v>
      </c>
      <c r="QY29" s="20" t="n">
        <v>0</v>
      </c>
      <c r="QZ29" s="20" t="n">
        <v>0</v>
      </c>
      <c r="RA29" s="20" t="n">
        <v>0</v>
      </c>
      <c r="RB29" s="20" t="n">
        <v>0</v>
      </c>
      <c r="RC29" s="20" t="n">
        <v>0</v>
      </c>
      <c r="RD29" s="20" t="n">
        <v>0</v>
      </c>
      <c r="RE29" s="20" t="n">
        <v>0</v>
      </c>
      <c r="RF29" s="20" t="n">
        <v>0</v>
      </c>
      <c r="RG29" s="20" t="n">
        <v>0</v>
      </c>
      <c r="RH29" s="20" t="n">
        <v>0</v>
      </c>
      <c r="RI29" s="20" t="n">
        <v>0</v>
      </c>
      <c r="RJ29" s="20" t="n">
        <v>0</v>
      </c>
      <c r="RK29" s="20" t="n">
        <v>0</v>
      </c>
      <c r="RL29" s="20" t="n">
        <v>0</v>
      </c>
      <c r="RM29" s="20" t="n">
        <v>0</v>
      </c>
      <c r="RN29" s="20" t="n">
        <v>0</v>
      </c>
      <c r="RO29" s="20" t="n">
        <v>0</v>
      </c>
      <c r="RP29" s="20" t="n">
        <v>0</v>
      </c>
      <c r="RQ29" s="20" t="n">
        <v>0</v>
      </c>
      <c r="RR29" s="20" t="n">
        <v>0</v>
      </c>
      <c r="RS29" s="20" t="n">
        <v>0</v>
      </c>
      <c r="RT29" s="20" t="n">
        <v>0</v>
      </c>
      <c r="RU29" s="20" t="n">
        <v>0</v>
      </c>
      <c r="RV29" s="20" t="n">
        <v>0</v>
      </c>
      <c r="RW29" s="20" t="n">
        <v>0</v>
      </c>
      <c r="RX29" s="20" t="n">
        <v>0</v>
      </c>
      <c r="RY29" s="20" t="n">
        <v>0</v>
      </c>
      <c r="RZ29" s="20" t="n">
        <v>0</v>
      </c>
      <c r="SA29" s="20" t="n">
        <v>0</v>
      </c>
      <c r="SB29" s="20" t="n">
        <v>0</v>
      </c>
      <c r="SC29" s="20" t="n">
        <v>0</v>
      </c>
      <c r="SD29" s="20" t="n">
        <v>0</v>
      </c>
      <c r="SE29" s="20" t="n">
        <v>0</v>
      </c>
      <c r="SF29" s="20" t="n">
        <v>0</v>
      </c>
      <c r="SG29" s="20" t="n">
        <v>0</v>
      </c>
      <c r="SH29" s="20" t="n">
        <v>0</v>
      </c>
      <c r="SI29" s="20" t="n">
        <v>0</v>
      </c>
      <c r="SJ29" s="20" t="n">
        <v>0</v>
      </c>
      <c r="SK29" s="20" t="n">
        <v>0</v>
      </c>
      <c r="SL29" s="20" t="n">
        <v>0</v>
      </c>
      <c r="SM29" s="20" t="n">
        <v>0</v>
      </c>
      <c r="SN29" s="20" t="n">
        <v>0</v>
      </c>
      <c r="SO29" s="20" t="n">
        <v>0</v>
      </c>
      <c r="SP29" s="20" t="n">
        <v>0</v>
      </c>
      <c r="SQ29" s="20" t="n">
        <v>0</v>
      </c>
      <c r="SR29" s="20" t="n">
        <v>0</v>
      </c>
      <c r="SS29" s="20" t="n">
        <v>0</v>
      </c>
      <c r="ST29" s="20" t="n">
        <v>0</v>
      </c>
      <c r="SU29" s="20" t="n">
        <v>0</v>
      </c>
      <c r="SV29" s="20" t="n">
        <v>0</v>
      </c>
      <c r="SW29" s="20" t="n">
        <v>0</v>
      </c>
      <c r="SX29" s="20" t="n">
        <v>0</v>
      </c>
      <c r="SY29" s="20" t="n">
        <v>0</v>
      </c>
      <c r="SZ29" s="20" t="n">
        <v>0</v>
      </c>
      <c r="TA29" s="20" t="n">
        <v>0</v>
      </c>
      <c r="TB29" s="20" t="n">
        <v>0</v>
      </c>
      <c r="TC29" s="20" t="n">
        <v>0</v>
      </c>
      <c r="TD29" s="20" t="n">
        <v>0</v>
      </c>
      <c r="TE29" s="20" t="n">
        <f aca="false">IF(AKR28&lt;=0,0,IF(H_Direct=1,IF(BR29&lt;=0,PR29,IF(PR29&lt;=(H29+I29)/BR29,PR29,(PR29-G29*(H29+I29))/(1-G29*BR29))),PR29/(1-MAX(0,BR29)*H_Exit)))</f>
        <v>0</v>
      </c>
      <c r="TF29" s="20" t="n">
        <f aca="false">IF(AKS28&lt;=0,0,IF(H_Direct=1,IF(BS29&lt;=0,PS29,IF(PS29&lt;=(WR29+AAE29)/BS29,PS29,(PS29-G29*(WR29+AAE29))/(1-G29*BS29))),PS29/(1-MAX(0,BS29)*H_Exit)))</f>
        <v>0</v>
      </c>
      <c r="TG29" s="20" t="n">
        <f aca="false">IF(AKT28&lt;=0,0,IF(H_Direct=1,IF(BT29&lt;=0,PT29,IF(PT29&lt;=(WS29+AAF29)/BT29,PT29,(PT29-G29*(WS29+AAF29))/(1-G29*BT29))),PT29/(1-MAX(0,BT29)*H_Exit)))</f>
        <v>0</v>
      </c>
      <c r="TH29" s="20" t="n">
        <f aca="false">IF(AKU28&lt;=0,0,IF(H_Direct=1,IF(BU29&lt;=0,PU29,IF(PU29&lt;=(WT29+AAG29)/BU29,PU29,(PU29-G29*(WT29+AAG29))/(1-G29*BU29))),PU29/(1-MAX(0,BU29)*H_Exit)))</f>
        <v>0</v>
      </c>
      <c r="TI29" s="20" t="n">
        <f aca="false">IF(AKV28&lt;=0,0,IF(H_Direct=1,IF(BV29&lt;=0,PV29,IF(PV29&lt;=(WU29+AAH29)/BV29,PV29,(PV29-G29*(WU29+AAH29))/(1-G29*BV29))),PV29/(1-MAX(0,BV29)*H_Exit)))</f>
        <v>0</v>
      </c>
      <c r="TJ29" s="20" t="n">
        <f aca="false">IF(AKW28&lt;=0,0,IF(H_Direct=1,IF(BW29&lt;=0,PW29,IF(PW29&lt;=(WV29+AAI29)/BW29,PW29,(PW29-G29*(WV29+AAI29))/(1-G29*BW29))),PW29/(1-MAX(0,BW29)*H_Exit)))</f>
        <v>0</v>
      </c>
      <c r="TK29" s="20" t="n">
        <f aca="false">IF(AKX28&lt;=0,0,IF(H_Direct=1,IF(BX29&lt;=0,PX29,IF(PX29&lt;=(WW29+AAJ29)/BX29,PX29,(PX29-G29*(WW29+AAJ29))/(1-G29*BX29))),PX29/(1-MAX(0,BX29)*H_Exit)))</f>
        <v>0</v>
      </c>
      <c r="TL29" s="20" t="n">
        <f aca="false">IF(AKY28&lt;=0,0,IF(H_Direct=1,IF(BY29&lt;=0,PY29,IF(PY29&lt;=(WX29+AAK29)/BY29,PY29,(PY29-G29*(WX29+AAK29))/(1-G29*BY29))),PY29/(1-MAX(0,BY29)*H_Exit)))</f>
        <v>0</v>
      </c>
      <c r="TM29" s="20" t="n">
        <f aca="false">IF(AKZ28&lt;=0,0,IF(H_Direct=1,IF(BZ29&lt;=0,PZ29,IF(PZ29&lt;=(WY29+AAL29)/BZ29,PZ29,(PZ29-G29*(WY29+AAL29))/(1-G29*BZ29))),PZ29/(1-MAX(0,BZ29)*H_Exit)))</f>
        <v>0</v>
      </c>
      <c r="TN29" s="20" t="n">
        <f aca="false">IF(ALA28&lt;=0,0,IF(H_Direct=1,IF(CA29&lt;=0,QA29,IF(QA29&lt;=(WZ29+AAM29)/CA29,QA29,(QA29-G29*(WZ29+AAM29))/(1-G29*CA29))),QA29/(1-MAX(0,CA29)*H_Exit)))</f>
        <v>0</v>
      </c>
      <c r="TO29" s="20" t="n">
        <f aca="false">IF(ALB28&lt;=0,0,IF(H_Direct=1,IF(CB29&lt;=0,QB29,IF(QB29&lt;=(XA29+AAN29)/CB29,QB29,(QB29-G29*(XA29+AAN29))/(1-G29*CB29))),QB29/(1-MAX(0,CB29)*H_Exit)))</f>
        <v>0</v>
      </c>
      <c r="TP29" s="20" t="n">
        <f aca="false">IF(ALC28&lt;=0,0,IF(H_Direct=1,IF(CC29&lt;=0,QC29,IF(QC29&lt;=(XB29+AAO29)/CC29,QC29,(QC29-G29*(XB29+AAO29))/(1-G29*CC29))),QC29/(1-MAX(0,CC29)*H_Exit)))</f>
        <v>0</v>
      </c>
      <c r="TQ29" s="20" t="n">
        <f aca="false">IF(ALD28&lt;=0,0,IF(H_Direct=1,IF(CD29&lt;=0,QD29,IF(QD29&lt;=(XC29+AAP29)/CD29,QD29,(QD29-G29*(XC29+AAP29))/(1-G29*CD29))),QD29/(1-MAX(0,CD29)*H_Exit)))</f>
        <v>0</v>
      </c>
      <c r="TR29" s="20" t="n">
        <f aca="false">IF(ALE28&lt;=0,0,IF(H_Direct=1,IF(CE29&lt;=0,QE29,IF(QE29&lt;=(XD29+AAQ29)/CE29,QE29,(QE29-G29*(XD29+AAQ29))/(1-G29*CE29))),QE29/(1-MAX(0,CE29)*H_Exit)))</f>
        <v>0</v>
      </c>
      <c r="TS29" s="20" t="n">
        <f aca="false">IF(ALF28&lt;=0,0,IF(H_Direct=1,IF(CF29&lt;=0,QF29,IF(QF29&lt;=(XE29+AAR29)/CF29,QF29,(QF29-G29*(XE29+AAR29))/(1-G29*CF29))),QF29/(1-MAX(0,CF29)*H_Exit)))</f>
        <v>0</v>
      </c>
      <c r="TT29" s="20" t="n">
        <f aca="false">IF(ALG28&lt;=0,0,IF(H_Direct=1,IF(CG29&lt;=0,QG29,IF(QG29&lt;=(XF29+AAS29)/CG29,QG29,(QG29-G29*(XF29+AAS29))/(1-G29*CG29))),QG29/(1-MAX(0,CG29)*H_Exit)))</f>
        <v>0</v>
      </c>
      <c r="TU29" s="20" t="n">
        <f aca="false">IF(ALH28&lt;=0,0,IF(H_Direct=1,IF(CH29&lt;=0,QH29,IF(QH29&lt;=(XG29+AAT29)/CH29,QH29,(QH29-G29*(XG29+AAT29))/(1-G29*CH29))),QH29/(1-MAX(0,CH29)*H_Exit)))</f>
        <v>0</v>
      </c>
      <c r="TV29" s="20" t="n">
        <f aca="false">IF(ALI28&lt;=0,0,IF(H_Direct=1,IF(CI29&lt;=0,QI29,IF(QI29&lt;=(XH29+AAU29)/CI29,QI29,(QI29-G29*(XH29+AAU29))/(1-G29*CI29))),QI29/(1-MAX(0,CI29)*H_Exit)))</f>
        <v>0</v>
      </c>
      <c r="TW29" s="20" t="n">
        <f aca="false">IF(ALJ28&lt;=0,0,IF(H_Direct=1,IF(CJ29&lt;=0,QJ29,IF(QJ29&lt;=(XI29+AAV29)/CJ29,QJ29,(QJ29-G29*(XI29+AAV29))/(1-G29*CJ29))),QJ29/(1-MAX(0,CJ29)*H_Exit)))</f>
        <v>0</v>
      </c>
      <c r="TX29" s="20" t="n">
        <f aca="false">IF(ALK28&lt;=0,0,IF(H_Direct=1,IF(CK29&lt;=0,QK29,IF(QK29&lt;=(XJ29+AAW29)/CK29,QK29,(QK29-G29*(XJ29+AAW29))/(1-G29*CK29))),QK29/(1-MAX(0,CK29)*H_Exit)))</f>
        <v>0</v>
      </c>
      <c r="TY29" s="20" t="n">
        <f aca="false">IF(ALL28&lt;=0,0,IF(H_Direct=1,IF(CL29&lt;=0,QL29,IF(QL29&lt;=(XK29+AAX29)/CL29,QL29,(QL29-G29*(XK29+AAX29))/(1-G29*CL29))),QL29/(1-MAX(0,CL29)*H_Exit)))</f>
        <v>0</v>
      </c>
      <c r="TZ29" s="20" t="n">
        <f aca="false">IF(ALM28&lt;=0,0,IF(H_Direct=1,IF(CM29&lt;=0,QM29,IF(QM29&lt;=(XL29+AAY29)/CM29,QM29,(QM29-G29*(XL29+AAY29))/(1-G29*CM29))),QM29/(1-MAX(0,CM29)*H_Exit)))</f>
        <v>0</v>
      </c>
      <c r="UA29" s="20" t="n">
        <f aca="false">IF((P29+S29)&lt;=0,0,IF(H_Direct=1,IF(CN29&lt;=0,QN29,IF(QN29&lt;=(XM29+AAZ29)/CN29,QN29,(QN29-G29*(XM29+AAZ29))/(1-G29*CN29))),QN29/(1-MAX(0,CN29)*H_Exit)))</f>
        <v>0</v>
      </c>
      <c r="UB29" s="20" t="n">
        <v>0</v>
      </c>
      <c r="UC29" s="20" t="n">
        <v>0</v>
      </c>
      <c r="UD29" s="20" t="n">
        <v>0</v>
      </c>
      <c r="UE29" s="20" t="n">
        <v>0</v>
      </c>
      <c r="UF29" s="20" t="n">
        <v>0</v>
      </c>
      <c r="UG29" s="20" t="n">
        <v>0</v>
      </c>
      <c r="UH29" s="20" t="n">
        <v>0</v>
      </c>
      <c r="UI29" s="20" t="n">
        <v>0</v>
      </c>
      <c r="UJ29" s="20" t="n">
        <v>0</v>
      </c>
      <c r="UK29" s="20" t="n">
        <v>0</v>
      </c>
      <c r="UL29" s="20" t="n">
        <v>0</v>
      </c>
      <c r="UM29" s="20" t="n">
        <v>0</v>
      </c>
      <c r="UN29" s="20" t="n">
        <v>0</v>
      </c>
      <c r="UO29" s="20" t="n">
        <v>0</v>
      </c>
      <c r="UP29" s="20" t="n">
        <v>0</v>
      </c>
      <c r="UQ29" s="20" t="n">
        <v>0</v>
      </c>
      <c r="UR29" s="20" t="n">
        <v>0</v>
      </c>
      <c r="US29" s="20" t="n">
        <v>0</v>
      </c>
      <c r="UT29" s="20" t="n">
        <v>0</v>
      </c>
      <c r="UU29" s="20" t="n">
        <v>0</v>
      </c>
      <c r="UV29" s="20" t="n">
        <v>0</v>
      </c>
      <c r="UW29" s="20" t="n">
        <v>0</v>
      </c>
      <c r="UX29" s="20" t="n">
        <v>0</v>
      </c>
      <c r="UY29" s="20" t="n">
        <v>0</v>
      </c>
      <c r="UZ29" s="20" t="n">
        <v>0</v>
      </c>
      <c r="VA29" s="20" t="n">
        <v>0</v>
      </c>
      <c r="VB29" s="20" t="n">
        <v>0</v>
      </c>
      <c r="VC29" s="20" t="n">
        <v>0</v>
      </c>
      <c r="VD29" s="20" t="n">
        <v>0</v>
      </c>
      <c r="VE29" s="20" t="n">
        <v>0</v>
      </c>
      <c r="VF29" s="20" t="n">
        <v>0</v>
      </c>
      <c r="VG29" s="20" t="n">
        <v>0</v>
      </c>
      <c r="VH29" s="20" t="n">
        <v>0</v>
      </c>
      <c r="VI29" s="20" t="n">
        <v>0</v>
      </c>
      <c r="VJ29" s="20" t="n">
        <v>0</v>
      </c>
      <c r="VK29" s="20" t="n">
        <v>0</v>
      </c>
      <c r="VL29" s="20" t="n">
        <v>0</v>
      </c>
      <c r="VM29" s="20" t="n">
        <v>0</v>
      </c>
      <c r="VN29" s="20" t="n">
        <v>0</v>
      </c>
      <c r="VO29" s="20" t="n">
        <v>0</v>
      </c>
      <c r="VP29" s="20" t="n">
        <v>0</v>
      </c>
      <c r="VQ29" s="20" t="n">
        <v>0</v>
      </c>
      <c r="VR29" s="20" t="n">
        <v>0</v>
      </c>
      <c r="VS29" s="20" t="n">
        <v>0</v>
      </c>
      <c r="VT29" s="20" t="n">
        <v>0</v>
      </c>
      <c r="VU29" s="20" t="n">
        <v>0</v>
      </c>
      <c r="VV29" s="20" t="n">
        <v>0</v>
      </c>
      <c r="VW29" s="20" t="n">
        <v>0</v>
      </c>
      <c r="VX29" s="20" t="n">
        <v>0</v>
      </c>
      <c r="VY29" s="20" t="n">
        <v>0</v>
      </c>
      <c r="VZ29" s="20" t="n">
        <v>0</v>
      </c>
      <c r="WA29" s="20" t="n">
        <v>0</v>
      </c>
      <c r="WB29" s="20" t="n">
        <v>0</v>
      </c>
      <c r="WC29" s="20" t="n">
        <v>0</v>
      </c>
      <c r="WD29" s="20" t="n">
        <v>0</v>
      </c>
      <c r="WE29" s="20" t="n">
        <v>0</v>
      </c>
      <c r="WF29" s="20" t="n">
        <v>0</v>
      </c>
      <c r="WG29" s="20" t="n">
        <v>0</v>
      </c>
      <c r="WH29" s="20" t="n">
        <v>0</v>
      </c>
      <c r="WI29" s="20" t="n">
        <v>0</v>
      </c>
      <c r="WJ29" s="20" t="n">
        <v>0</v>
      </c>
      <c r="WK29" s="20" t="n">
        <v>0</v>
      </c>
      <c r="WL29" s="20" t="n">
        <v>0</v>
      </c>
      <c r="WM29" s="20" t="n">
        <v>0</v>
      </c>
      <c r="WN29" s="20" t="n">
        <v>0</v>
      </c>
      <c r="WO29" s="20" t="n">
        <v>0</v>
      </c>
      <c r="WP29" s="20" t="n">
        <v>0</v>
      </c>
      <c r="WQ29" s="20" t="n">
        <v>0</v>
      </c>
      <c r="WR29" s="20" t="n">
        <f aca="false">IF(AND(H_Direct=1,BR29&gt;0),MAX(0,H29-(MIN(BR29*TE29,(H29+I29))-MIN(MIN(BR29*TE29,(H29+I29)),I29))),H29)</f>
        <v>1270</v>
      </c>
      <c r="WS29" s="20" t="n">
        <f aca="false">IF(AND(H_Direct=1,BS29&gt;0),MAX(0,WR29-(MIN(BS29*TF29,(WR29+AAE29))-MIN(MIN(BS29*TF29,(WR29+AAE29)),AAE29))),WR29)</f>
        <v>1270</v>
      </c>
      <c r="WT29" s="20" t="n">
        <f aca="false">IF(AND(H_Direct=1,BT29&gt;0),MAX(0,WS29-(MIN(BT29*TG29,(WS29+AAF29))-MIN(MIN(BT29*TG29,(WS29+AAF29)),AAF29))),WS29)</f>
        <v>1270</v>
      </c>
      <c r="WU29" s="20" t="n">
        <f aca="false">IF(AND(H_Direct=1,BU29&gt;0),MAX(0,WT29-(MIN(BU29*TH29,(WT29+AAG29))-MIN(MIN(BU29*TH29,(WT29+AAG29)),AAG29))),WT29)</f>
        <v>1270</v>
      </c>
      <c r="WV29" s="20" t="n">
        <f aca="false">IF(AND(H_Direct=1,BV29&gt;0),MAX(0,WU29-(MIN(BV29*TI29,(WU29+AAH29))-MIN(MIN(BV29*TI29,(WU29+AAH29)),AAH29))),WU29)</f>
        <v>1270</v>
      </c>
      <c r="WW29" s="20" t="n">
        <f aca="false">IF(AND(H_Direct=1,BW29&gt;0),MAX(0,WV29-(MIN(BW29*TJ29,(WV29+AAI29))-MIN(MIN(BW29*TJ29,(WV29+AAI29)),AAI29))),WV29)</f>
        <v>1270</v>
      </c>
      <c r="WX29" s="20" t="n">
        <f aca="false">IF(AND(H_Direct=1,BX29&gt;0),MAX(0,WW29-(MIN(BX29*TK29,(WW29+AAJ29))-MIN(MIN(BX29*TK29,(WW29+AAJ29)),AAJ29))),WW29)</f>
        <v>1270</v>
      </c>
      <c r="WY29" s="20" t="n">
        <f aca="false">IF(AND(H_Direct=1,BY29&gt;0),MAX(0,WX29-(MIN(BY29*TL29,(WX29+AAK29))-MIN(MIN(BY29*TL29,(WX29+AAK29)),AAK29))),WX29)</f>
        <v>1270</v>
      </c>
      <c r="WZ29" s="20" t="n">
        <f aca="false">IF(AND(H_Direct=1,BZ29&gt;0),MAX(0,WY29-(MIN(BZ29*TM29,(WY29+AAL29))-MIN(MIN(BZ29*TM29,(WY29+AAL29)),AAL29))),WY29)</f>
        <v>1270</v>
      </c>
      <c r="XA29" s="20" t="n">
        <f aca="false">IF(AND(H_Direct=1,CA29&gt;0),MAX(0,WZ29-(MIN(CA29*TN29,(WZ29+AAM29))-MIN(MIN(CA29*TN29,(WZ29+AAM29)),AAM29))),WZ29)</f>
        <v>1270</v>
      </c>
      <c r="XB29" s="20" t="n">
        <f aca="false">IF(AND(H_Direct=1,CB29&gt;0),MAX(0,XA29-(MIN(CB29*TO29,(XA29+AAN29))-MIN(MIN(CB29*TO29,(XA29+AAN29)),AAN29))),XA29)</f>
        <v>1270</v>
      </c>
      <c r="XC29" s="20" t="n">
        <f aca="false">IF(AND(H_Direct=1,CC29&gt;0),MAX(0,XB29-(MIN(CC29*TP29,(XB29+AAO29))-MIN(MIN(CC29*TP29,(XB29+AAO29)),AAO29))),XB29)</f>
        <v>1270</v>
      </c>
      <c r="XD29" s="20" t="n">
        <f aca="false">IF(AND(H_Direct=1,CD29&gt;0),MAX(0,XC29-(MIN(CD29*TQ29,(XC29+AAP29))-MIN(MIN(CD29*TQ29,(XC29+AAP29)),AAP29))),XC29)</f>
        <v>1270</v>
      </c>
      <c r="XE29" s="20" t="n">
        <f aca="false">IF(AND(H_Direct=1,CE29&gt;0),MAX(0,XD29-(MIN(CE29*TR29,(XD29+AAQ29))-MIN(MIN(CE29*TR29,(XD29+AAQ29)),AAQ29))),XD29)</f>
        <v>1270</v>
      </c>
      <c r="XF29" s="20" t="n">
        <f aca="false">IF(AND(H_Direct=1,CF29&gt;0),MAX(0,XE29-(MIN(CF29*TS29,(XE29+AAR29))-MIN(MIN(CF29*TS29,(XE29+AAR29)),AAR29))),XE29)</f>
        <v>1270</v>
      </c>
      <c r="XG29" s="20" t="n">
        <f aca="false">IF(AND(H_Direct=1,CG29&gt;0),MAX(0,XF29-(MIN(CG29*TT29,(XF29+AAS29))-MIN(MIN(CG29*TT29,(XF29+AAS29)),AAS29))),XF29)</f>
        <v>1270</v>
      </c>
      <c r="XH29" s="20" t="n">
        <f aca="false">IF(AND(H_Direct=1,CH29&gt;0),MAX(0,XG29-(MIN(CH29*TU29,(XG29+AAT29))-MIN(MIN(CH29*TU29,(XG29+AAT29)),AAT29))),XG29)</f>
        <v>1270</v>
      </c>
      <c r="XI29" s="20" t="n">
        <f aca="false">IF(AND(H_Direct=1,CI29&gt;0),MAX(0,XH29-(MIN(CI29*TV29,(XH29+AAU29))-MIN(MIN(CI29*TV29,(XH29+AAU29)),AAU29))),XH29)</f>
        <v>1270</v>
      </c>
      <c r="XJ29" s="20" t="n">
        <f aca="false">IF(AND(H_Direct=1,CJ29&gt;0),MAX(0,XI29-(MIN(CJ29*TW29,(XI29+AAV29))-MIN(MIN(CJ29*TW29,(XI29+AAV29)),AAV29))),XI29)</f>
        <v>1270</v>
      </c>
      <c r="XK29" s="20" t="n">
        <f aca="false">IF(AND(H_Direct=1,CK29&gt;0),MAX(0,XJ29-(MIN(CK29*TX29,(XJ29+AAW29))-MIN(MIN(CK29*TX29,(XJ29+AAW29)),AAW29))),XJ29)</f>
        <v>1270</v>
      </c>
      <c r="XL29" s="20" t="n">
        <f aca="false">IF(AND(H_Direct=1,CL29&gt;0),MAX(0,XK29-(MIN(CL29*TY29,(XK29+AAX29))-MIN(MIN(CL29*TY29,(XK29+AAX29)),AAX29))),XK29)</f>
        <v>1270</v>
      </c>
      <c r="XM29" s="20" t="n">
        <f aca="false">IF(AND(H_Direct=1,CM29&gt;0),MAX(0,XL29-(MIN(CM29*TZ29,(XL29+AAY29))-MIN(MIN(CM29*TZ29,(XL29+AAY29)),AAY29))),XL29)</f>
        <v>1270</v>
      </c>
      <c r="XN29" s="20" t="n">
        <f aca="false">IF(AND(H_Direct=1,CN29&gt;0),MAX(0,XM29-(MIN(CN29*UA29,(XM29+AAZ29))-MIN(MIN(CN29*UA29,(XM29+AAZ29)),AAZ29))),XM29)</f>
        <v>1270</v>
      </c>
      <c r="XO29" s="20" t="n">
        <f aca="false">XN29</f>
        <v>1270</v>
      </c>
      <c r="XP29" s="20" t="n">
        <f aca="false">XO29</f>
        <v>1270</v>
      </c>
      <c r="XQ29" s="20" t="n">
        <f aca="false">XP29</f>
        <v>1270</v>
      </c>
      <c r="XR29" s="20" t="n">
        <f aca="false">XQ29</f>
        <v>1270</v>
      </c>
      <c r="XS29" s="20" t="n">
        <f aca="false">XR29</f>
        <v>1270</v>
      </c>
      <c r="XT29" s="20" t="n">
        <f aca="false">XS29</f>
        <v>1270</v>
      </c>
      <c r="XU29" s="20" t="n">
        <f aca="false">XT29</f>
        <v>1270</v>
      </c>
      <c r="XV29" s="20" t="n">
        <f aca="false">XU29</f>
        <v>1270</v>
      </c>
      <c r="XW29" s="20" t="n">
        <f aca="false">XV29</f>
        <v>1270</v>
      </c>
      <c r="XX29" s="20" t="n">
        <f aca="false">XW29</f>
        <v>1270</v>
      </c>
      <c r="XY29" s="20" t="n">
        <f aca="false">XX29</f>
        <v>1270</v>
      </c>
      <c r="XZ29" s="20" t="n">
        <f aca="false">XY29</f>
        <v>1270</v>
      </c>
      <c r="YA29" s="20" t="n">
        <f aca="false">XZ29</f>
        <v>1270</v>
      </c>
      <c r="YB29" s="20" t="n">
        <f aca="false">YA29</f>
        <v>1270</v>
      </c>
      <c r="YC29" s="20" t="n">
        <f aca="false">YB29</f>
        <v>1270</v>
      </c>
      <c r="YD29" s="20" t="n">
        <f aca="false">YC29</f>
        <v>1270</v>
      </c>
      <c r="YE29" s="20" t="n">
        <f aca="false">YD29</f>
        <v>1270</v>
      </c>
      <c r="YF29" s="20" t="n">
        <f aca="false">YE29</f>
        <v>1270</v>
      </c>
      <c r="YG29" s="20" t="n">
        <f aca="false">YF29</f>
        <v>1270</v>
      </c>
      <c r="YH29" s="20" t="n">
        <f aca="false">YG29</f>
        <v>1270</v>
      </c>
      <c r="YI29" s="20" t="n">
        <f aca="false">YH29</f>
        <v>1270</v>
      </c>
      <c r="YJ29" s="20" t="n">
        <f aca="false">YI29</f>
        <v>1270</v>
      </c>
      <c r="YK29" s="20" t="n">
        <f aca="false">YJ29</f>
        <v>1270</v>
      </c>
      <c r="YL29" s="20" t="n">
        <f aca="false">YK29</f>
        <v>1270</v>
      </c>
      <c r="YM29" s="20" t="n">
        <f aca="false">YL29</f>
        <v>1270</v>
      </c>
      <c r="YN29" s="20" t="n">
        <f aca="false">YM29</f>
        <v>1270</v>
      </c>
      <c r="YO29" s="20" t="n">
        <f aca="false">YN29</f>
        <v>1270</v>
      </c>
      <c r="YP29" s="20" t="n">
        <f aca="false">YO29</f>
        <v>1270</v>
      </c>
      <c r="YQ29" s="20" t="n">
        <f aca="false">YP29</f>
        <v>1270</v>
      </c>
      <c r="YR29" s="20" t="n">
        <f aca="false">YQ29</f>
        <v>1270</v>
      </c>
      <c r="YS29" s="20" t="n">
        <f aca="false">YR29</f>
        <v>1270</v>
      </c>
      <c r="YT29" s="20" t="n">
        <f aca="false">YS29</f>
        <v>1270</v>
      </c>
      <c r="YU29" s="20" t="n">
        <f aca="false">YT29</f>
        <v>1270</v>
      </c>
      <c r="YV29" s="20" t="n">
        <f aca="false">YU29</f>
        <v>1270</v>
      </c>
      <c r="YW29" s="20" t="n">
        <f aca="false">YV29</f>
        <v>1270</v>
      </c>
      <c r="YX29" s="20" t="n">
        <f aca="false">YW29</f>
        <v>1270</v>
      </c>
      <c r="YY29" s="20" t="n">
        <f aca="false">YX29</f>
        <v>1270</v>
      </c>
      <c r="YZ29" s="20" t="n">
        <f aca="false">YY29</f>
        <v>1270</v>
      </c>
      <c r="ZA29" s="20" t="n">
        <f aca="false">YZ29</f>
        <v>1270</v>
      </c>
      <c r="ZB29" s="20" t="n">
        <f aca="false">ZA29</f>
        <v>1270</v>
      </c>
      <c r="ZC29" s="20" t="n">
        <f aca="false">ZB29</f>
        <v>1270</v>
      </c>
      <c r="ZD29" s="20" t="n">
        <f aca="false">ZC29</f>
        <v>1270</v>
      </c>
      <c r="ZE29" s="20" t="n">
        <f aca="false">ZD29</f>
        <v>1270</v>
      </c>
      <c r="ZF29" s="20" t="n">
        <f aca="false">ZE29</f>
        <v>1270</v>
      </c>
      <c r="ZG29" s="20" t="n">
        <f aca="false">ZF29</f>
        <v>1270</v>
      </c>
      <c r="ZH29" s="20" t="n">
        <f aca="false">ZG29</f>
        <v>1270</v>
      </c>
      <c r="ZI29" s="20" t="n">
        <f aca="false">ZH29</f>
        <v>1270</v>
      </c>
      <c r="ZJ29" s="20" t="n">
        <f aca="false">ZI29</f>
        <v>1270</v>
      </c>
      <c r="ZK29" s="20" t="n">
        <f aca="false">ZJ29</f>
        <v>1270</v>
      </c>
      <c r="ZL29" s="20" t="n">
        <f aca="false">ZK29</f>
        <v>1270</v>
      </c>
      <c r="ZM29" s="20" t="n">
        <f aca="false">ZL29</f>
        <v>1270</v>
      </c>
      <c r="ZN29" s="20" t="n">
        <f aca="false">ZM29</f>
        <v>1270</v>
      </c>
      <c r="ZO29" s="20" t="n">
        <f aca="false">ZN29</f>
        <v>1270</v>
      </c>
      <c r="ZP29" s="20" t="n">
        <f aca="false">ZO29</f>
        <v>1270</v>
      </c>
      <c r="ZQ29" s="20" t="n">
        <f aca="false">ZP29</f>
        <v>1270</v>
      </c>
      <c r="ZR29" s="20" t="n">
        <f aca="false">ZQ29</f>
        <v>1270</v>
      </c>
      <c r="ZS29" s="20" t="n">
        <f aca="false">ZR29</f>
        <v>1270</v>
      </c>
      <c r="ZT29" s="20" t="n">
        <f aca="false">ZS29</f>
        <v>1270</v>
      </c>
      <c r="ZU29" s="20" t="n">
        <f aca="false">ZT29</f>
        <v>1270</v>
      </c>
      <c r="ZV29" s="20" t="n">
        <f aca="false">ZU29</f>
        <v>1270</v>
      </c>
      <c r="ZW29" s="20" t="n">
        <f aca="false">ZV29</f>
        <v>1270</v>
      </c>
      <c r="ZX29" s="20" t="n">
        <f aca="false">ZW29</f>
        <v>1270</v>
      </c>
      <c r="ZY29" s="20" t="n">
        <f aca="false">ZX29</f>
        <v>1270</v>
      </c>
      <c r="ZZ29" s="20" t="n">
        <f aca="false">ZY29</f>
        <v>1270</v>
      </c>
      <c r="AAA29" s="20" t="n">
        <f aca="false">ZZ29</f>
        <v>1270</v>
      </c>
      <c r="AAB29" s="20" t="n">
        <f aca="false">AAA29</f>
        <v>1270</v>
      </c>
      <c r="AAC29" s="20" t="n">
        <f aca="false">AAB29</f>
        <v>1270</v>
      </c>
      <c r="AAD29" s="20" t="n">
        <f aca="false">AAC29</f>
        <v>1270</v>
      </c>
      <c r="AAE29" s="20" t="n">
        <f aca="false">IF(H_Direct=1,IF(BR29&lt;=0,I29-BR29*TE29,I29-MIN(MIN(BR29*TE29,(H29+I29)),I29)),I29)</f>
        <v>0</v>
      </c>
      <c r="AAF29" s="20" t="n">
        <f aca="false">IF(H_Direct=1,IF(BS29&lt;=0,AAE29-BS29*TF29,AAE29-MIN(MIN(BS29*TF29,(WR29+AAE29)),AAE29)),AAE29)</f>
        <v>0</v>
      </c>
      <c r="AAG29" s="20" t="n">
        <f aca="false">IF(H_Direct=1,IF(BT29&lt;=0,AAF29-BT29*TG29,AAF29-MIN(MIN(BT29*TG29,(WS29+AAF29)),AAF29)),AAF29)</f>
        <v>0</v>
      </c>
      <c r="AAH29" s="20" t="n">
        <f aca="false">IF(H_Direct=1,IF(BU29&lt;=0,AAG29-BU29*TH29,AAG29-MIN(MIN(BU29*TH29,(WT29+AAG29)),AAG29)),AAG29)</f>
        <v>0</v>
      </c>
      <c r="AAI29" s="20" t="n">
        <f aca="false">IF(H_Direct=1,IF(BV29&lt;=0,AAH29-BV29*TI29,AAH29-MIN(MIN(BV29*TI29,(WU29+AAH29)),AAH29)),AAH29)</f>
        <v>0</v>
      </c>
      <c r="AAJ29" s="20" t="n">
        <f aca="false">IF(H_Direct=1,IF(BW29&lt;=0,AAI29-BW29*TJ29,AAI29-MIN(MIN(BW29*TJ29,(WV29+AAI29)),AAI29)),AAI29)</f>
        <v>0</v>
      </c>
      <c r="AAK29" s="20" t="n">
        <f aca="false">IF(H_Direct=1,IF(BX29&lt;=0,AAJ29-BX29*TK29,AAJ29-MIN(MIN(BX29*TK29,(WW29+AAJ29)),AAJ29)),AAJ29)</f>
        <v>0</v>
      </c>
      <c r="AAL29" s="20" t="n">
        <f aca="false">IF(H_Direct=1,IF(BY29&lt;=0,AAK29-BY29*TL29,AAK29-MIN(MIN(BY29*TL29,(WX29+AAK29)),AAK29)),AAK29)</f>
        <v>0</v>
      </c>
      <c r="AAM29" s="20" t="n">
        <f aca="false">IF(H_Direct=1,IF(BZ29&lt;=0,AAL29-BZ29*TM29,AAL29-MIN(MIN(BZ29*TM29,(WY29+AAL29)),AAL29)),AAL29)</f>
        <v>0</v>
      </c>
      <c r="AAN29" s="20" t="n">
        <f aca="false">IF(H_Direct=1,IF(CA29&lt;=0,AAM29-CA29*TN29,AAM29-MIN(MIN(CA29*TN29,(WZ29+AAM29)),AAM29)),AAM29)</f>
        <v>0</v>
      </c>
      <c r="AAO29" s="20" t="n">
        <f aca="false">IF(H_Direct=1,IF(CB29&lt;=0,AAN29-CB29*TO29,AAN29-MIN(MIN(CB29*TO29,(XA29+AAN29)),AAN29)),AAN29)</f>
        <v>0</v>
      </c>
      <c r="AAP29" s="20" t="n">
        <f aca="false">IF(H_Direct=1,IF(CC29&lt;=0,AAO29-CC29*TP29,AAO29-MIN(MIN(CC29*TP29,(XB29+AAO29)),AAO29)),AAO29)</f>
        <v>0</v>
      </c>
      <c r="AAQ29" s="20" t="n">
        <f aca="false">IF(H_Direct=1,IF(CD29&lt;=0,AAP29-CD29*TQ29,AAP29-MIN(MIN(CD29*TQ29,(XC29+AAP29)),AAP29)),AAP29)</f>
        <v>0</v>
      </c>
      <c r="AAR29" s="20" t="n">
        <f aca="false">IF(H_Direct=1,IF(CE29&lt;=0,AAQ29-CE29*TR29,AAQ29-MIN(MIN(CE29*TR29,(XD29+AAQ29)),AAQ29)),AAQ29)</f>
        <v>0</v>
      </c>
      <c r="AAS29" s="20" t="n">
        <f aca="false">IF(H_Direct=1,IF(CF29&lt;=0,AAR29-CF29*TS29,AAR29-MIN(MIN(CF29*TS29,(XE29+AAR29)),AAR29)),AAR29)</f>
        <v>0</v>
      </c>
      <c r="AAT29" s="20" t="n">
        <f aca="false">IF(H_Direct=1,IF(CG29&lt;=0,AAS29-CG29*TT29,AAS29-MIN(MIN(CG29*TT29,(XF29+AAS29)),AAS29)),AAS29)</f>
        <v>0</v>
      </c>
      <c r="AAU29" s="20" t="n">
        <f aca="false">IF(H_Direct=1,IF(CH29&lt;=0,AAT29-CH29*TU29,AAT29-MIN(MIN(CH29*TU29,(XG29+AAT29)),AAT29)),AAT29)</f>
        <v>0</v>
      </c>
      <c r="AAV29" s="20" t="n">
        <f aca="false">IF(H_Direct=1,IF(CI29&lt;=0,AAU29-CI29*TV29,AAU29-MIN(MIN(CI29*TV29,(XH29+AAU29)),AAU29)),AAU29)</f>
        <v>0</v>
      </c>
      <c r="AAW29" s="20" t="n">
        <f aca="false">IF(H_Direct=1,IF(CJ29&lt;=0,AAV29-CJ29*TW29,AAV29-MIN(MIN(CJ29*TW29,(XI29+AAV29)),AAV29)),AAV29)</f>
        <v>0</v>
      </c>
      <c r="AAX29" s="20" t="n">
        <f aca="false">IF(H_Direct=1,IF(CK29&lt;=0,AAW29-CK29*TX29,AAW29-MIN(MIN(CK29*TX29,(XJ29+AAW29)),AAW29)),AAW29)</f>
        <v>0</v>
      </c>
      <c r="AAY29" s="20" t="n">
        <f aca="false">IF(H_Direct=1,IF(CL29&lt;=0,AAX29-CL29*TY29,AAX29-MIN(MIN(CL29*TY29,(XK29+AAX29)),AAX29)),AAX29)</f>
        <v>0</v>
      </c>
      <c r="AAZ29" s="20" t="n">
        <f aca="false">IF(H_Direct=1,IF(CM29&lt;=0,AAY29-CM29*TZ29,AAY29-MIN(MIN(CM29*TZ29,(XL29+AAY29)),AAY29)),AAY29)</f>
        <v>0</v>
      </c>
      <c r="ABA29" s="20" t="n">
        <f aca="false">IF(H_Direct=1,IF(CN29&lt;=0,AAZ29-CN29*UA29,AAZ29-MIN(MIN(CN29*UA29,(XM29+AAZ29)),AAZ29)),AAZ29)</f>
        <v>0</v>
      </c>
      <c r="ABB29" s="20" t="n">
        <f aca="false">ABA29</f>
        <v>0</v>
      </c>
      <c r="ABC29" s="20" t="n">
        <f aca="false">ABB29</f>
        <v>0</v>
      </c>
      <c r="ABD29" s="20" t="n">
        <f aca="false">ABC29</f>
        <v>0</v>
      </c>
      <c r="ABE29" s="20" t="n">
        <f aca="false">ABD29</f>
        <v>0</v>
      </c>
      <c r="ABF29" s="20" t="n">
        <f aca="false">ABE29</f>
        <v>0</v>
      </c>
      <c r="ABG29" s="20" t="n">
        <f aca="false">ABF29</f>
        <v>0</v>
      </c>
      <c r="ABH29" s="20" t="n">
        <f aca="false">ABG29</f>
        <v>0</v>
      </c>
      <c r="ABI29" s="20" t="n">
        <f aca="false">ABH29</f>
        <v>0</v>
      </c>
      <c r="ABJ29" s="20" t="n">
        <f aca="false">ABI29</f>
        <v>0</v>
      </c>
      <c r="ABK29" s="20" t="n">
        <f aca="false">ABJ29</f>
        <v>0</v>
      </c>
      <c r="ABL29" s="20" t="n">
        <f aca="false">ABK29</f>
        <v>0</v>
      </c>
      <c r="ABM29" s="20" t="n">
        <f aca="false">ABL29</f>
        <v>0</v>
      </c>
      <c r="ABN29" s="20" t="n">
        <f aca="false">ABM29</f>
        <v>0</v>
      </c>
      <c r="ABO29" s="20" t="n">
        <f aca="false">ABN29</f>
        <v>0</v>
      </c>
      <c r="ABP29" s="20" t="n">
        <f aca="false">ABO29</f>
        <v>0</v>
      </c>
      <c r="ABQ29" s="20" t="n">
        <f aca="false">ABP29</f>
        <v>0</v>
      </c>
      <c r="ABR29" s="20" t="n">
        <f aca="false">ABQ29</f>
        <v>0</v>
      </c>
      <c r="ABS29" s="20" t="n">
        <f aca="false">ABR29</f>
        <v>0</v>
      </c>
      <c r="ABT29" s="20" t="n">
        <f aca="false">ABS29</f>
        <v>0</v>
      </c>
      <c r="ABU29" s="20" t="n">
        <f aca="false">ABT29</f>
        <v>0</v>
      </c>
      <c r="ABV29" s="20" t="n">
        <f aca="false">ABU29</f>
        <v>0</v>
      </c>
      <c r="ABW29" s="20" t="n">
        <f aca="false">ABV29</f>
        <v>0</v>
      </c>
      <c r="ABX29" s="20" t="n">
        <f aca="false">ABW29</f>
        <v>0</v>
      </c>
      <c r="ABY29" s="20" t="n">
        <f aca="false">ABX29</f>
        <v>0</v>
      </c>
      <c r="ABZ29" s="20" t="n">
        <f aca="false">ABY29</f>
        <v>0</v>
      </c>
      <c r="ACA29" s="20" t="n">
        <f aca="false">ABZ29</f>
        <v>0</v>
      </c>
      <c r="ACB29" s="20" t="n">
        <f aca="false">ACA29</f>
        <v>0</v>
      </c>
      <c r="ACC29" s="20" t="n">
        <f aca="false">ACB29</f>
        <v>0</v>
      </c>
      <c r="ACD29" s="20" t="n">
        <f aca="false">ACC29</f>
        <v>0</v>
      </c>
      <c r="ACE29" s="20" t="n">
        <f aca="false">ACD29</f>
        <v>0</v>
      </c>
      <c r="ACF29" s="20" t="n">
        <f aca="false">ACE29</f>
        <v>0</v>
      </c>
      <c r="ACG29" s="20" t="n">
        <f aca="false">ACF29</f>
        <v>0</v>
      </c>
      <c r="ACH29" s="20" t="n">
        <f aca="false">ACG29</f>
        <v>0</v>
      </c>
      <c r="ACI29" s="20" t="n">
        <f aca="false">ACH29</f>
        <v>0</v>
      </c>
      <c r="ACJ29" s="20" t="n">
        <f aca="false">ACI29</f>
        <v>0</v>
      </c>
      <c r="ACK29" s="20" t="n">
        <f aca="false">ACJ29</f>
        <v>0</v>
      </c>
      <c r="ACL29" s="20" t="n">
        <f aca="false">ACK29</f>
        <v>0</v>
      </c>
      <c r="ACM29" s="20" t="n">
        <f aca="false">ACL29</f>
        <v>0</v>
      </c>
      <c r="ACN29" s="20" t="n">
        <f aca="false">ACM29</f>
        <v>0</v>
      </c>
      <c r="ACO29" s="20" t="n">
        <f aca="false">ACN29</f>
        <v>0</v>
      </c>
      <c r="ACP29" s="20" t="n">
        <f aca="false">ACO29</f>
        <v>0</v>
      </c>
      <c r="ACQ29" s="20" t="n">
        <f aca="false">ACP29</f>
        <v>0</v>
      </c>
      <c r="ACR29" s="20" t="n">
        <f aca="false">ACQ29</f>
        <v>0</v>
      </c>
      <c r="ACS29" s="20" t="n">
        <f aca="false">ACR29</f>
        <v>0</v>
      </c>
      <c r="ACT29" s="20" t="n">
        <f aca="false">ACS29</f>
        <v>0</v>
      </c>
      <c r="ACU29" s="20" t="n">
        <f aca="false">ACT29</f>
        <v>0</v>
      </c>
      <c r="ACV29" s="20" t="n">
        <f aca="false">ACU29</f>
        <v>0</v>
      </c>
      <c r="ACW29" s="20" t="n">
        <f aca="false">ACV29</f>
        <v>0</v>
      </c>
      <c r="ACX29" s="20" t="n">
        <f aca="false">ACW29</f>
        <v>0</v>
      </c>
      <c r="ACY29" s="20" t="n">
        <f aca="false">ACX29</f>
        <v>0</v>
      </c>
      <c r="ACZ29" s="20" t="n">
        <f aca="false">ACY29</f>
        <v>0</v>
      </c>
      <c r="ADA29" s="20" t="n">
        <f aca="false">ACZ29</f>
        <v>0</v>
      </c>
      <c r="ADB29" s="20" t="n">
        <f aca="false">ADA29</f>
        <v>0</v>
      </c>
      <c r="ADC29" s="20" t="n">
        <f aca="false">ADB29</f>
        <v>0</v>
      </c>
      <c r="ADD29" s="20" t="n">
        <f aca="false">ADC29</f>
        <v>0</v>
      </c>
      <c r="ADE29" s="20" t="n">
        <f aca="false">ADD29</f>
        <v>0</v>
      </c>
      <c r="ADF29" s="20" t="n">
        <f aca="false">ADE29</f>
        <v>0</v>
      </c>
      <c r="ADG29" s="20" t="n">
        <f aca="false">ADF29</f>
        <v>0</v>
      </c>
      <c r="ADH29" s="20" t="n">
        <f aca="false">ADG29</f>
        <v>0</v>
      </c>
      <c r="ADI29" s="20" t="n">
        <f aca="false">ADH29</f>
        <v>0</v>
      </c>
      <c r="ADJ29" s="20" t="n">
        <f aca="false">ADI29</f>
        <v>0</v>
      </c>
      <c r="ADK29" s="20" t="n">
        <f aca="false">ADJ29</f>
        <v>0</v>
      </c>
      <c r="ADL29" s="20" t="n">
        <f aca="false">ADK29</f>
        <v>0</v>
      </c>
      <c r="ADM29" s="20" t="n">
        <f aca="false">ADL29</f>
        <v>0</v>
      </c>
      <c r="ADN29" s="20" t="n">
        <f aca="false">ADM29</f>
        <v>0</v>
      </c>
      <c r="ADO29" s="20" t="n">
        <f aca="false">ADN29</f>
        <v>0</v>
      </c>
      <c r="ADP29" s="20" t="n">
        <f aca="false">ADO29</f>
        <v>0</v>
      </c>
      <c r="ADQ29" s="20" t="n">
        <f aca="false">ADP29</f>
        <v>0</v>
      </c>
      <c r="ADR29" s="20" t="n">
        <f aca="false">(AKR28-TE29+0)*(1+BQ29)</f>
        <v>0</v>
      </c>
      <c r="ADS29" s="20" t="n">
        <f aca="false">(AKS28-TF29+0)*(1+BQ29)</f>
        <v>0</v>
      </c>
      <c r="ADT29" s="20" t="n">
        <f aca="false">(AKT28-TG29+0)*(1+BQ29)</f>
        <v>0</v>
      </c>
      <c r="ADU29" s="20" t="n">
        <f aca="false">(AKU28-TH29+0)*(1+BQ29)</f>
        <v>0</v>
      </c>
      <c r="ADV29" s="20" t="n">
        <f aca="false">(AKV28-TI29+0)*(1+BQ29)</f>
        <v>0</v>
      </c>
      <c r="ADW29" s="20" t="n">
        <f aca="false">(AKW28-TJ29+0)*(1+BQ29)</f>
        <v>0</v>
      </c>
      <c r="ADX29" s="20" t="n">
        <f aca="false">(AKX28-TK29+0)*(1+BQ29)</f>
        <v>0</v>
      </c>
      <c r="ADY29" s="20" t="n">
        <f aca="false">(AKY28-TL29+0)*(1+BQ29)</f>
        <v>0</v>
      </c>
      <c r="ADZ29" s="20" t="n">
        <f aca="false">(AKZ28-TM29+0)*(1+BQ29)</f>
        <v>0</v>
      </c>
      <c r="AEA29" s="20" t="n">
        <f aca="false">(ALA28-TN29+0)*(1+BQ29)</f>
        <v>0</v>
      </c>
      <c r="AEB29" s="20" t="n">
        <f aca="false">(ALB28-TO29+0)*(1+BQ29)</f>
        <v>0</v>
      </c>
      <c r="AEC29" s="20" t="n">
        <f aca="false">(ALC28-TP29+0)*(1+BQ29)</f>
        <v>785.67654117633</v>
      </c>
      <c r="AED29" s="20" t="n">
        <f aca="false">(ALD28-TQ29+0)*(1+BQ29)</f>
        <v>988.356087808385</v>
      </c>
      <c r="AEE29" s="20" t="n">
        <f aca="false">(ALE28-TR29+0)*(1+BQ29)</f>
        <v>1182.78600056256</v>
      </c>
      <c r="AEF29" s="20" t="n">
        <f aca="false">(ALF28-TS29+0)*(1+BQ29)</f>
        <v>1330.04911067495</v>
      </c>
      <c r="AEG29" s="20" t="n">
        <f aca="false">(ALG28-TT29+0)*(1+BQ29)</f>
        <v>1424.94467325974</v>
      </c>
      <c r="AEH29" s="20" t="n">
        <f aca="false">(ALH28-TU29+0)*(1+BQ29)</f>
        <v>1369.57102529852</v>
      </c>
      <c r="AEI29" s="20" t="n">
        <f aca="false">(ALI28-TV29+0)*(1+BQ29)</f>
        <v>1315.53120581523</v>
      </c>
      <c r="AEJ29" s="20" t="n">
        <f aca="false">(ALJ28-TW29+0)*(1+BQ29)</f>
        <v>4088.65868813078</v>
      </c>
      <c r="AEK29" s="20" t="n">
        <f aca="false">(ALK28-TX29+0)*(1+BQ29)</f>
        <v>4010.03063643596</v>
      </c>
      <c r="AEL29" s="20" t="n">
        <f aca="false">(ALL28-TY29+0)*(1+BQ29)</f>
        <v>3932.91466265835</v>
      </c>
      <c r="AEM29" s="20" t="n">
        <f aca="false">(ALM28-TZ29+0)*(1+BQ29)</f>
        <v>3857.28168837645</v>
      </c>
      <c r="AEN29" s="20" t="n">
        <f aca="false">((P29+S29)-UA29+BE29)*(1+BQ29)</f>
        <v>3783.10319436921</v>
      </c>
      <c r="AEO29" s="20" t="n">
        <v>0</v>
      </c>
      <c r="AEP29" s="20" t="n">
        <v>0</v>
      </c>
      <c r="AEQ29" s="20" t="n">
        <v>0</v>
      </c>
      <c r="AER29" s="20" t="n">
        <v>0</v>
      </c>
      <c r="AES29" s="20" t="n">
        <v>0</v>
      </c>
      <c r="AET29" s="20" t="n">
        <v>0</v>
      </c>
      <c r="AEU29" s="20" t="n">
        <v>0</v>
      </c>
      <c r="AEV29" s="20" t="n">
        <v>0</v>
      </c>
      <c r="AEW29" s="20" t="n">
        <v>0</v>
      </c>
      <c r="AEX29" s="20" t="n">
        <v>0</v>
      </c>
      <c r="AEY29" s="20" t="n">
        <v>0</v>
      </c>
      <c r="AEZ29" s="20" t="n">
        <v>0</v>
      </c>
      <c r="AFA29" s="20" t="n">
        <v>0</v>
      </c>
      <c r="AFB29" s="20" t="n">
        <v>0</v>
      </c>
      <c r="AFC29" s="20" t="n">
        <v>0</v>
      </c>
      <c r="AFD29" s="20" t="n">
        <v>0</v>
      </c>
      <c r="AFE29" s="20" t="n">
        <v>0</v>
      </c>
      <c r="AFF29" s="20" t="n">
        <v>0</v>
      </c>
      <c r="AFG29" s="20" t="n">
        <v>0</v>
      </c>
      <c r="AFH29" s="20" t="n">
        <v>0</v>
      </c>
      <c r="AFI29" s="20" t="n">
        <v>0</v>
      </c>
      <c r="AFJ29" s="20" t="n">
        <v>0</v>
      </c>
      <c r="AFK29" s="20" t="n">
        <v>0</v>
      </c>
      <c r="AFL29" s="20" t="n">
        <v>0</v>
      </c>
      <c r="AFM29" s="20" t="n">
        <v>0</v>
      </c>
      <c r="AFN29" s="20" t="n">
        <v>0</v>
      </c>
      <c r="AFO29" s="20" t="n">
        <v>0</v>
      </c>
      <c r="AFP29" s="20" t="n">
        <v>0</v>
      </c>
      <c r="AFQ29" s="20" t="n">
        <v>0</v>
      </c>
      <c r="AFR29" s="20" t="n">
        <v>0</v>
      </c>
      <c r="AFS29" s="20" t="n">
        <v>0</v>
      </c>
      <c r="AFT29" s="20" t="n">
        <v>0</v>
      </c>
      <c r="AFU29" s="20" t="n">
        <v>0</v>
      </c>
      <c r="AFV29" s="20" t="n">
        <v>0</v>
      </c>
      <c r="AFW29" s="20" t="n">
        <v>0</v>
      </c>
      <c r="AFX29" s="20" t="n">
        <v>0</v>
      </c>
      <c r="AFY29" s="20" t="n">
        <v>0</v>
      </c>
      <c r="AFZ29" s="20" t="n">
        <v>0</v>
      </c>
      <c r="AGA29" s="20" t="n">
        <v>0</v>
      </c>
      <c r="AGB29" s="20" t="n">
        <v>0</v>
      </c>
      <c r="AGC29" s="20" t="n">
        <v>0</v>
      </c>
      <c r="AGD29" s="20" t="n">
        <v>0</v>
      </c>
      <c r="AGE29" s="20" t="n">
        <v>0</v>
      </c>
      <c r="AGF29" s="20" t="n">
        <v>0</v>
      </c>
      <c r="AGG29" s="20" t="n">
        <v>0</v>
      </c>
      <c r="AGH29" s="20" t="n">
        <v>0</v>
      </c>
      <c r="AGI29" s="20" t="n">
        <v>0</v>
      </c>
      <c r="AGJ29" s="20" t="n">
        <v>0</v>
      </c>
      <c r="AGK29" s="20" t="n">
        <v>0</v>
      </c>
      <c r="AGL29" s="20" t="n">
        <v>0</v>
      </c>
      <c r="AGM29" s="20" t="n">
        <v>0</v>
      </c>
      <c r="AGN29" s="20" t="n">
        <v>0</v>
      </c>
      <c r="AGO29" s="20" t="n">
        <v>0</v>
      </c>
      <c r="AGP29" s="20" t="n">
        <v>0</v>
      </c>
      <c r="AGQ29" s="20" t="n">
        <v>0</v>
      </c>
      <c r="AGR29" s="20" t="n">
        <v>0</v>
      </c>
      <c r="AGS29" s="20" t="n">
        <v>0</v>
      </c>
      <c r="AGT29" s="20" t="n">
        <v>0</v>
      </c>
      <c r="AGU29" s="20" t="n">
        <v>0</v>
      </c>
      <c r="AGV29" s="20" t="n">
        <v>0</v>
      </c>
      <c r="AGW29" s="20" t="n">
        <v>0</v>
      </c>
      <c r="AGX29" s="20" t="n">
        <v>0</v>
      </c>
      <c r="AGY29" s="20" t="n">
        <v>0</v>
      </c>
      <c r="AGZ29" s="20" t="n">
        <v>0</v>
      </c>
      <c r="AHA29" s="20" t="n">
        <v>0</v>
      </c>
      <c r="AHB29" s="20" t="n">
        <v>0</v>
      </c>
      <c r="AHC29" s="20" t="n">
        <v>0</v>
      </c>
      <c r="AHD29" s="20" t="n">
        <v>0</v>
      </c>
      <c r="AHE29" s="20" t="n">
        <f aca="false">IF(AKR28&gt;0,AOE28-AOE28*TE29/AKR28,0)+0</f>
        <v>0</v>
      </c>
      <c r="AHF29" s="20" t="n">
        <f aca="false">IF(AKS28&gt;0,AOF28-AOF28*TF29/AKS28,0)+0</f>
        <v>0</v>
      </c>
      <c r="AHG29" s="20" t="n">
        <f aca="false">IF(AKT28&gt;0,AOG28-AOG28*TG29/AKT28,0)+0</f>
        <v>0</v>
      </c>
      <c r="AHH29" s="20" t="n">
        <f aca="false">IF(AKU28&gt;0,AOH28-AOH28*TH29/AKU28,0)+0</f>
        <v>0</v>
      </c>
      <c r="AHI29" s="20" t="n">
        <f aca="false">IF(AKV28&gt;0,AOI28-AOI28*TI29/AKV28,0)+0</f>
        <v>0</v>
      </c>
      <c r="AHJ29" s="20" t="n">
        <f aca="false">IF(AKW28&gt;0,AOJ28-AOJ28*TJ29/AKW28,0)+0</f>
        <v>0</v>
      </c>
      <c r="AHK29" s="20" t="n">
        <f aca="false">IF(AKX28&gt;0,AOK28-AOK28*TK29/AKX28,0)+0</f>
        <v>0</v>
      </c>
      <c r="AHL29" s="20" t="n">
        <f aca="false">IF(AKY28&gt;0,AOL28-AOL28*TL29/AKY28,0)+0</f>
        <v>0</v>
      </c>
      <c r="AHM29" s="20" t="n">
        <f aca="false">IF(AKZ28&gt;0,AOM28-AOM28*TM29/AKZ28,0)+0</f>
        <v>0</v>
      </c>
      <c r="AHN29" s="20" t="n">
        <f aca="false">IF(ALA28&gt;0,AON28-AON28*TN29/ALA28,0)+0</f>
        <v>0</v>
      </c>
      <c r="AHO29" s="20" t="n">
        <f aca="false">IF(ALB28&gt;0,AOO28-AOO28*TO29/ALB28,0)+0</f>
        <v>0</v>
      </c>
      <c r="AHP29" s="20" t="n">
        <f aca="false">IF(ALC28&gt;0,AOP28-AOP28*TP29/ALC28,0)+0</f>
        <v>671.599600191266</v>
      </c>
      <c r="AHQ29" s="20" t="n">
        <f aca="false">IF(ALD28&gt;0,AOQ28-AOQ28*TQ29/ALD28,0)+0</f>
        <v>878.644963131885</v>
      </c>
      <c r="AHR29" s="20" t="n">
        <f aca="false">IF(ALE28&gt;0,AOR28-AOR28*TR29/ALE28,0)+0</f>
        <v>1093.55214549053</v>
      </c>
      <c r="AHS29" s="20" t="n">
        <f aca="false">IF(ALF28&gt;0,AOS28-AOS28*TS29/ALF28,0)+0</f>
        <v>1278.89337564899</v>
      </c>
      <c r="AHT29" s="20" t="n">
        <f aca="false">IF(ALG28&gt;0,AOT28-AOT28*TT29/ALG28,0)+0</f>
        <v>1041.19311542065</v>
      </c>
      <c r="AHU29" s="20" t="n">
        <f aca="false">IF(ALH28&gt;0,AOU28-AOU28*TU29/ALH28,0)+0</f>
        <v>1040.76141856976</v>
      </c>
      <c r="AHV29" s="20" t="n">
        <f aca="false">IF(ALI28&gt;0,AOV28-AOV28*TV29/ALI28,0)+0</f>
        <v>1039.68342100707</v>
      </c>
      <c r="AHW29" s="20" t="n">
        <f aca="false">IF(ALJ28&gt;0,AOW28-AOW28*TW29/ALJ28,0)+0</f>
        <v>3360.57940606182</v>
      </c>
      <c r="AHX29" s="20" t="n">
        <f aca="false">IF(ALK28&gt;0,AOX28-AOX28*TX29/ALK28,0)+0</f>
        <v>3427.79099418306</v>
      </c>
      <c r="AHY29" s="20" t="n">
        <f aca="false">IF(ALL28&gt;0,AOY28-AOY28*TY29/ALL28,0)+0</f>
        <v>3496.34681406672</v>
      </c>
      <c r="AHZ29" s="20" t="n">
        <f aca="false">IF(ALM28&gt;0,AOZ28-AOZ28*TZ29/ALM28,0)+0</f>
        <v>3566.27375034805</v>
      </c>
      <c r="AIA29" s="20" t="n">
        <f aca="false">IF((P29+S29)&gt;0,(P29+S29)-(P29+S29)*UA29/(P29+S29),0)+BE29</f>
        <v>3637.59922535501</v>
      </c>
      <c r="AIB29" s="20" t="n">
        <v>0</v>
      </c>
      <c r="AIC29" s="20" t="n">
        <v>0</v>
      </c>
      <c r="AID29" s="20" t="n">
        <v>0</v>
      </c>
      <c r="AIE29" s="20" t="n">
        <v>0</v>
      </c>
      <c r="AIF29" s="20" t="n">
        <v>0</v>
      </c>
      <c r="AIG29" s="20" t="n">
        <v>0</v>
      </c>
      <c r="AIH29" s="20" t="n">
        <v>0</v>
      </c>
      <c r="AII29" s="20" t="n">
        <v>0</v>
      </c>
      <c r="AIJ29" s="20" t="n">
        <v>0</v>
      </c>
      <c r="AIK29" s="20" t="n">
        <v>0</v>
      </c>
      <c r="AIL29" s="20" t="n">
        <v>0</v>
      </c>
      <c r="AIM29" s="20" t="n">
        <v>0</v>
      </c>
      <c r="AIN29" s="20" t="n">
        <v>0</v>
      </c>
      <c r="AIO29" s="20" t="n">
        <v>0</v>
      </c>
      <c r="AIP29" s="20" t="n">
        <v>0</v>
      </c>
      <c r="AIQ29" s="20" t="n">
        <v>0</v>
      </c>
      <c r="AIR29" s="20" t="n">
        <v>0</v>
      </c>
      <c r="AIS29" s="20" t="n">
        <v>0</v>
      </c>
      <c r="AIT29" s="20" t="n">
        <v>0</v>
      </c>
      <c r="AIU29" s="20" t="n">
        <v>0</v>
      </c>
      <c r="AIV29" s="20" t="n">
        <v>0</v>
      </c>
      <c r="AIW29" s="20" t="n">
        <v>0</v>
      </c>
      <c r="AIX29" s="20" t="n">
        <v>0</v>
      </c>
      <c r="AIY29" s="20" t="n">
        <v>0</v>
      </c>
      <c r="AIZ29" s="20" t="n">
        <v>0</v>
      </c>
      <c r="AJA29" s="20" t="n">
        <v>0</v>
      </c>
      <c r="AJB29" s="20" t="n">
        <v>0</v>
      </c>
      <c r="AJC29" s="20" t="n">
        <v>0</v>
      </c>
      <c r="AJD29" s="20" t="n">
        <v>0</v>
      </c>
      <c r="AJE29" s="20" t="n">
        <v>0</v>
      </c>
      <c r="AJF29" s="20" t="n">
        <v>0</v>
      </c>
      <c r="AJG29" s="20" t="n">
        <v>0</v>
      </c>
      <c r="AJH29" s="20" t="n">
        <v>0</v>
      </c>
      <c r="AJI29" s="20" t="n">
        <v>0</v>
      </c>
      <c r="AJJ29" s="20" t="n">
        <v>0</v>
      </c>
      <c r="AJK29" s="20" t="n">
        <v>0</v>
      </c>
      <c r="AJL29" s="20" t="n">
        <v>0</v>
      </c>
      <c r="AJM29" s="20" t="n">
        <v>0</v>
      </c>
      <c r="AJN29" s="20" t="n">
        <v>0</v>
      </c>
      <c r="AJO29" s="20" t="n">
        <v>0</v>
      </c>
      <c r="AJP29" s="20" t="n">
        <v>0</v>
      </c>
      <c r="AJQ29" s="20" t="n">
        <v>0</v>
      </c>
      <c r="AJR29" s="20" t="n">
        <v>0</v>
      </c>
      <c r="AJS29" s="20" t="n">
        <v>0</v>
      </c>
      <c r="AJT29" s="20" t="n">
        <v>0</v>
      </c>
      <c r="AJU29" s="20" t="n">
        <v>0</v>
      </c>
      <c r="AJV29" s="20" t="n">
        <v>0</v>
      </c>
      <c r="AJW29" s="20" t="n">
        <v>0</v>
      </c>
      <c r="AJX29" s="20" t="n">
        <v>0</v>
      </c>
      <c r="AJY29" s="20" t="n">
        <v>0</v>
      </c>
      <c r="AJZ29" s="20" t="n">
        <v>0</v>
      </c>
      <c r="AKA29" s="20" t="n">
        <v>0</v>
      </c>
      <c r="AKB29" s="20" t="n">
        <v>0</v>
      </c>
      <c r="AKC29" s="20" t="n">
        <v>0</v>
      </c>
      <c r="AKD29" s="20" t="n">
        <v>0</v>
      </c>
      <c r="AKE29" s="20" t="n">
        <v>0</v>
      </c>
      <c r="AKF29" s="20" t="n">
        <v>0</v>
      </c>
      <c r="AKG29" s="20" t="n">
        <v>0</v>
      </c>
      <c r="AKH29" s="20" t="n">
        <v>0</v>
      </c>
      <c r="AKI29" s="20" t="n">
        <v>0</v>
      </c>
      <c r="AKJ29" s="20" t="n">
        <v>0</v>
      </c>
      <c r="AKK29" s="20" t="n">
        <v>0</v>
      </c>
      <c r="AKL29" s="20" t="n">
        <v>0</v>
      </c>
      <c r="AKM29" s="20" t="n">
        <v>0</v>
      </c>
      <c r="AKN29" s="20" t="n">
        <v>0</v>
      </c>
      <c r="AKO29" s="20" t="n">
        <v>0</v>
      </c>
      <c r="AKP29" s="20" t="n">
        <v>0</v>
      </c>
      <c r="AKQ29" s="20" t="n">
        <v>0</v>
      </c>
      <c r="AKR29" s="20" t="n">
        <f aca="false">ADR29-AVE29</f>
        <v>0</v>
      </c>
      <c r="AKS29" s="20" t="n">
        <f aca="false">ADS29-AVF29</f>
        <v>0</v>
      </c>
      <c r="AKT29" s="20" t="n">
        <f aca="false">ADT29-AVG29</f>
        <v>0</v>
      </c>
      <c r="AKU29" s="20" t="n">
        <f aca="false">ADU29-AVH29</f>
        <v>0</v>
      </c>
      <c r="AKV29" s="20" t="n">
        <f aca="false">ADV29-AVI29</f>
        <v>0</v>
      </c>
      <c r="AKW29" s="20" t="n">
        <f aca="false">ADW29-AVJ29</f>
        <v>0</v>
      </c>
      <c r="AKX29" s="20" t="n">
        <f aca="false">ADX29-AVK29</f>
        <v>0</v>
      </c>
      <c r="AKY29" s="20" t="n">
        <f aca="false">ADY29-AVL29</f>
        <v>0</v>
      </c>
      <c r="AKZ29" s="20" t="n">
        <f aca="false">ADZ29-AVM29</f>
        <v>0</v>
      </c>
      <c r="ALA29" s="20" t="n">
        <f aca="false">AEA29-AVN29</f>
        <v>0</v>
      </c>
      <c r="ALB29" s="20" t="n">
        <f aca="false">AEB29-AVO29</f>
        <v>0</v>
      </c>
      <c r="ALC29" s="20" t="n">
        <f aca="false">AEC29-AVP29</f>
        <v>785.67654117633</v>
      </c>
      <c r="ALD29" s="20" t="n">
        <f aca="false">AED29-AVQ29</f>
        <v>988.356087808385</v>
      </c>
      <c r="ALE29" s="20" t="n">
        <f aca="false">AEE29-AVR29</f>
        <v>1182.78600056256</v>
      </c>
      <c r="ALF29" s="20" t="n">
        <f aca="false">AEF29-AVS29</f>
        <v>1330.04911067495</v>
      </c>
      <c r="ALG29" s="20" t="n">
        <f aca="false">AEG29-AVT29</f>
        <v>1279.11908128089</v>
      </c>
      <c r="ALH29" s="20" t="n">
        <f aca="false">AEH29-AVU29</f>
        <v>1369.57102529852</v>
      </c>
      <c r="ALI29" s="20" t="n">
        <f aca="false">AEI29-AVV29</f>
        <v>1315.53120581523</v>
      </c>
      <c r="ALJ29" s="20" t="n">
        <f aca="false">AEJ29-AVW29</f>
        <v>4088.65868813078</v>
      </c>
      <c r="ALK29" s="20" t="n">
        <f aca="false">AEK29-AVX29</f>
        <v>4010.03063643596</v>
      </c>
      <c r="ALL29" s="20" t="n">
        <f aca="false">AEL29-AVY29</f>
        <v>3932.91466265835</v>
      </c>
      <c r="ALM29" s="20" t="n">
        <f aca="false">AEM29-AVZ29</f>
        <v>3857.28168837645</v>
      </c>
      <c r="ALN29" s="20" t="n">
        <f aca="false">AEN29-AWA29</f>
        <v>3783.10319436921</v>
      </c>
      <c r="ALO29" s="20" t="n">
        <v>0</v>
      </c>
      <c r="ALP29" s="20" t="n">
        <v>0</v>
      </c>
      <c r="ALQ29" s="20" t="n">
        <v>0</v>
      </c>
      <c r="ALR29" s="20" t="n">
        <v>0</v>
      </c>
      <c r="ALS29" s="20" t="n">
        <v>0</v>
      </c>
      <c r="ALT29" s="20" t="n">
        <v>0</v>
      </c>
      <c r="ALU29" s="20" t="n">
        <v>0</v>
      </c>
      <c r="ALV29" s="20" t="n">
        <v>0</v>
      </c>
      <c r="ALW29" s="20" t="n">
        <v>0</v>
      </c>
      <c r="ALX29" s="20" t="n">
        <v>0</v>
      </c>
      <c r="ALY29" s="20" t="n">
        <v>0</v>
      </c>
      <c r="ALZ29" s="20" t="n">
        <v>0</v>
      </c>
      <c r="AMA29" s="20" t="n">
        <v>0</v>
      </c>
      <c r="AMB29" s="20" t="n">
        <v>0</v>
      </c>
      <c r="AMC29" s="20" t="n">
        <v>0</v>
      </c>
      <c r="AMD29" s="20" t="n">
        <v>0</v>
      </c>
      <c r="AME29" s="20" t="n">
        <v>0</v>
      </c>
      <c r="AMF29" s="20" t="n">
        <v>0</v>
      </c>
      <c r="AMG29" s="20" t="n">
        <v>0</v>
      </c>
      <c r="AMH29" s="20" t="n">
        <v>0</v>
      </c>
      <c r="AMI29" s="20" t="n">
        <v>0</v>
      </c>
      <c r="AMJ29" s="20" t="n">
        <v>0</v>
      </c>
      <c r="AMK29" s="20" t="n">
        <v>0</v>
      </c>
      <c r="AML29" s="20" t="n">
        <v>0</v>
      </c>
      <c r="AMM29" s="20" t="n">
        <v>0</v>
      </c>
      <c r="AMN29" s="20" t="n">
        <v>0</v>
      </c>
      <c r="AMO29" s="20" t="n">
        <v>0</v>
      </c>
      <c r="AMP29" s="20" t="n">
        <v>0</v>
      </c>
      <c r="AMQ29" s="20" t="n">
        <v>0</v>
      </c>
      <c r="AMR29" s="20" t="n">
        <v>0</v>
      </c>
      <c r="AMS29" s="20" t="n">
        <v>0</v>
      </c>
      <c r="AMT29" s="20" t="n">
        <v>0</v>
      </c>
      <c r="AMU29" s="20" t="n">
        <v>0</v>
      </c>
      <c r="AMV29" s="20" t="n">
        <v>0</v>
      </c>
      <c r="AMW29" s="20" t="n">
        <v>0</v>
      </c>
      <c r="AMX29" s="20" t="n">
        <v>0</v>
      </c>
      <c r="AMY29" s="20" t="n">
        <v>0</v>
      </c>
      <c r="AMZ29" s="20" t="n">
        <v>0</v>
      </c>
      <c r="ANA29" s="20" t="n">
        <v>0</v>
      </c>
      <c r="ANB29" s="20" t="n">
        <v>0</v>
      </c>
      <c r="ANC29" s="20" t="n">
        <v>0</v>
      </c>
      <c r="AND29" s="20" t="n">
        <v>0</v>
      </c>
      <c r="ANE29" s="20" t="n">
        <v>0</v>
      </c>
      <c r="ANF29" s="20" t="n">
        <v>0</v>
      </c>
      <c r="ANG29" s="20" t="n">
        <v>0</v>
      </c>
      <c r="ANH29" s="20" t="n">
        <v>0</v>
      </c>
      <c r="ANI29" s="20" t="n">
        <v>0</v>
      </c>
      <c r="ANJ29" s="20" t="n">
        <v>0</v>
      </c>
      <c r="ANK29" s="20" t="n">
        <v>0</v>
      </c>
      <c r="ANL29" s="20" t="n">
        <v>0</v>
      </c>
      <c r="ANM29" s="20" t="n">
        <v>0</v>
      </c>
      <c r="ANN29" s="20" t="n">
        <v>0</v>
      </c>
      <c r="ANO29" s="20" t="n">
        <v>0</v>
      </c>
      <c r="ANP29" s="20" t="n">
        <v>0</v>
      </c>
      <c r="ANQ29" s="20" t="n">
        <v>0</v>
      </c>
      <c r="ANR29" s="20" t="n">
        <v>0</v>
      </c>
      <c r="ANS29" s="20" t="n">
        <v>0</v>
      </c>
      <c r="ANT29" s="20" t="n">
        <v>0</v>
      </c>
      <c r="ANU29" s="20" t="n">
        <v>0</v>
      </c>
      <c r="ANV29" s="20" t="n">
        <v>0</v>
      </c>
      <c r="ANW29" s="20" t="n">
        <v>0</v>
      </c>
      <c r="ANX29" s="20" t="n">
        <v>0</v>
      </c>
      <c r="ANY29" s="20" t="n">
        <v>0</v>
      </c>
      <c r="ANZ29" s="20" t="n">
        <v>0</v>
      </c>
      <c r="AOA29" s="20" t="n">
        <v>0</v>
      </c>
      <c r="AOB29" s="20" t="n">
        <v>0</v>
      </c>
      <c r="AOC29" s="20" t="n">
        <v>0</v>
      </c>
      <c r="AOD29" s="20" t="n">
        <v>0</v>
      </c>
      <c r="AOE29" s="20" t="n">
        <f aca="false">IF(AND(H_Direct=0,H_TaxEvt=1,ARR28+1&gt;=H_Deemed),AKR29,AHE29)</f>
        <v>0</v>
      </c>
      <c r="AOF29" s="20" t="n">
        <f aca="false">IF(AND(H_Direct=0,H_TaxEvt=1,ARS28+1&gt;=H_Deemed),AKS29,AHF29)</f>
        <v>0</v>
      </c>
      <c r="AOG29" s="20" t="n">
        <f aca="false">IF(AND(H_Direct=0,H_TaxEvt=1,ART28+1&gt;=H_Deemed),AKT29,AHG29)</f>
        <v>0</v>
      </c>
      <c r="AOH29" s="20" t="n">
        <f aca="false">IF(AND(H_Direct=0,H_TaxEvt=1,ARU28+1&gt;=H_Deemed),AKU29,AHH29)</f>
        <v>0</v>
      </c>
      <c r="AOI29" s="20" t="n">
        <f aca="false">IF(AND(H_Direct=0,H_TaxEvt=1,ARV28+1&gt;=H_Deemed),AKV29,AHI29)</f>
        <v>0</v>
      </c>
      <c r="AOJ29" s="20" t="n">
        <f aca="false">IF(AND(H_Direct=0,H_TaxEvt=1,ARW28+1&gt;=H_Deemed),AKW29,AHJ29)</f>
        <v>0</v>
      </c>
      <c r="AOK29" s="20" t="n">
        <f aca="false">IF(AND(H_Direct=0,H_TaxEvt=1,ARX28+1&gt;=H_Deemed),AKX29,AHK29)</f>
        <v>0</v>
      </c>
      <c r="AOL29" s="20" t="n">
        <f aca="false">IF(AND(H_Direct=0,H_TaxEvt=1,ARY28+1&gt;=H_Deemed),AKY29,AHL29)</f>
        <v>0</v>
      </c>
      <c r="AOM29" s="20" t="n">
        <f aca="false">IF(AND(H_Direct=0,H_TaxEvt=1,ARZ28+1&gt;=H_Deemed),AKZ29,AHM29)</f>
        <v>0</v>
      </c>
      <c r="AON29" s="20" t="n">
        <f aca="false">IF(AND(H_Direct=0,H_TaxEvt=1,ASA28+1&gt;=H_Deemed),ALA29,AHN29)</f>
        <v>0</v>
      </c>
      <c r="AOO29" s="20" t="n">
        <f aca="false">IF(AND(H_Direct=0,H_TaxEvt=1,ASB28+1&gt;=H_Deemed),ALB29,AHO29)</f>
        <v>0</v>
      </c>
      <c r="AOP29" s="20" t="n">
        <f aca="false">IF(AND(H_Direct=0,H_TaxEvt=1,ASC28+1&gt;=H_Deemed),ALC29,AHP29)</f>
        <v>671.599600191266</v>
      </c>
      <c r="AOQ29" s="20" t="n">
        <f aca="false">IF(AND(H_Direct=0,H_TaxEvt=1,ASD28+1&gt;=H_Deemed),ALD29,AHQ29)</f>
        <v>878.644963131885</v>
      </c>
      <c r="AOR29" s="20" t="n">
        <f aca="false">IF(AND(H_Direct=0,H_TaxEvt=1,ASE28+1&gt;=H_Deemed),ALE29,AHR29)</f>
        <v>1093.55214549053</v>
      </c>
      <c r="AOS29" s="20" t="n">
        <f aca="false">IF(AND(H_Direct=0,H_TaxEvt=1,ASF28+1&gt;=H_Deemed),ALF29,AHS29)</f>
        <v>1278.89337564899</v>
      </c>
      <c r="AOT29" s="20" t="n">
        <f aca="false">IF(AND(H_Direct=0,H_TaxEvt=1,ASG28+1&gt;=H_Deemed),ALG29,AHT29)</f>
        <v>1279.11908128089</v>
      </c>
      <c r="AOU29" s="20" t="n">
        <f aca="false">IF(AND(H_Direct=0,H_TaxEvt=1,ASH28+1&gt;=H_Deemed),ALH29,AHU29)</f>
        <v>1040.76141856976</v>
      </c>
      <c r="AOV29" s="20" t="n">
        <f aca="false">IF(AND(H_Direct=0,H_TaxEvt=1,ASI28+1&gt;=H_Deemed),ALI29,AHV29)</f>
        <v>1039.68342100707</v>
      </c>
      <c r="AOW29" s="20" t="n">
        <f aca="false">IF(AND(H_Direct=0,H_TaxEvt=1,ASJ28+1&gt;=H_Deemed),ALJ29,AHW29)</f>
        <v>3360.57940606182</v>
      </c>
      <c r="AOX29" s="20" t="n">
        <f aca="false">IF(AND(H_Direct=0,H_TaxEvt=1,ASK28+1&gt;=H_Deemed),ALK29,AHX29)</f>
        <v>3427.79099418306</v>
      </c>
      <c r="AOY29" s="20" t="n">
        <f aca="false">IF(AND(H_Direct=0,H_TaxEvt=1,ASL28+1&gt;=H_Deemed),ALL29,AHY29)</f>
        <v>3496.34681406672</v>
      </c>
      <c r="AOZ29" s="20" t="n">
        <f aca="false">IF(AND(H_Direct=0,H_TaxEvt=1,ASM28+1&gt;=H_Deemed),ALM29,AHZ29)</f>
        <v>3566.27375034805</v>
      </c>
      <c r="APA29" s="20" t="n">
        <f aca="false">IF(AND(H_Direct=0,H_TaxEvt=1,0+1&gt;=H_Deemed),ALN29,AIA29)</f>
        <v>3637.59922535501</v>
      </c>
      <c r="APB29" s="20" t="n">
        <v>0</v>
      </c>
      <c r="APC29" s="20" t="n">
        <v>0</v>
      </c>
      <c r="APD29" s="20" t="n">
        <v>0</v>
      </c>
      <c r="APE29" s="20" t="n">
        <v>0</v>
      </c>
      <c r="APF29" s="20" t="n">
        <v>0</v>
      </c>
      <c r="APG29" s="20" t="n">
        <v>0</v>
      </c>
      <c r="APH29" s="20" t="n">
        <v>0</v>
      </c>
      <c r="API29" s="20" t="n">
        <v>0</v>
      </c>
      <c r="APJ29" s="20" t="n">
        <v>0</v>
      </c>
      <c r="APK29" s="20" t="n">
        <v>0</v>
      </c>
      <c r="APL29" s="20" t="n">
        <v>0</v>
      </c>
      <c r="APM29" s="20" t="n">
        <v>0</v>
      </c>
      <c r="APN29" s="20" t="n">
        <v>0</v>
      </c>
      <c r="APO29" s="20" t="n">
        <v>0</v>
      </c>
      <c r="APP29" s="20" t="n">
        <v>0</v>
      </c>
      <c r="APQ29" s="20" t="n">
        <v>0</v>
      </c>
      <c r="APR29" s="20" t="n">
        <v>0</v>
      </c>
      <c r="APS29" s="20" t="n">
        <v>0</v>
      </c>
      <c r="APT29" s="20" t="n">
        <v>0</v>
      </c>
      <c r="APU29" s="20" t="n">
        <v>0</v>
      </c>
      <c r="APV29" s="20" t="n">
        <v>0</v>
      </c>
      <c r="APW29" s="20" t="n">
        <v>0</v>
      </c>
      <c r="APX29" s="20" t="n">
        <v>0</v>
      </c>
      <c r="APY29" s="20" t="n">
        <v>0</v>
      </c>
      <c r="APZ29" s="20" t="n">
        <v>0</v>
      </c>
      <c r="AQA29" s="20" t="n">
        <v>0</v>
      </c>
      <c r="AQB29" s="20" t="n">
        <v>0</v>
      </c>
      <c r="AQC29" s="20" t="n">
        <v>0</v>
      </c>
      <c r="AQD29" s="20" t="n">
        <v>0</v>
      </c>
      <c r="AQE29" s="20" t="n">
        <v>0</v>
      </c>
      <c r="AQF29" s="20" t="n">
        <v>0</v>
      </c>
      <c r="AQG29" s="20" t="n">
        <v>0</v>
      </c>
      <c r="AQH29" s="20" t="n">
        <v>0</v>
      </c>
      <c r="AQI29" s="20" t="n">
        <v>0</v>
      </c>
      <c r="AQJ29" s="20" t="n">
        <v>0</v>
      </c>
      <c r="AQK29" s="20" t="n">
        <v>0</v>
      </c>
      <c r="AQL29" s="20" t="n">
        <v>0</v>
      </c>
      <c r="AQM29" s="20" t="n">
        <v>0</v>
      </c>
      <c r="AQN29" s="20" t="n">
        <v>0</v>
      </c>
      <c r="AQO29" s="20" t="n">
        <v>0</v>
      </c>
      <c r="AQP29" s="20" t="n">
        <v>0</v>
      </c>
      <c r="AQQ29" s="20" t="n">
        <v>0</v>
      </c>
      <c r="AQR29" s="20" t="n">
        <v>0</v>
      </c>
      <c r="AQS29" s="20" t="n">
        <v>0</v>
      </c>
      <c r="AQT29" s="20" t="n">
        <v>0</v>
      </c>
      <c r="AQU29" s="20" t="n">
        <v>0</v>
      </c>
      <c r="AQV29" s="20" t="n">
        <v>0</v>
      </c>
      <c r="AQW29" s="20" t="n">
        <v>0</v>
      </c>
      <c r="AQX29" s="20" t="n">
        <v>0</v>
      </c>
      <c r="AQY29" s="20" t="n">
        <v>0</v>
      </c>
      <c r="AQZ29" s="20" t="n">
        <v>0</v>
      </c>
      <c r="ARA29" s="20" t="n">
        <v>0</v>
      </c>
      <c r="ARB29" s="20" t="n">
        <v>0</v>
      </c>
      <c r="ARC29" s="20" t="n">
        <v>0</v>
      </c>
      <c r="ARD29" s="20" t="n">
        <v>0</v>
      </c>
      <c r="ARE29" s="20" t="n">
        <v>0</v>
      </c>
      <c r="ARF29" s="20" t="n">
        <v>0</v>
      </c>
      <c r="ARG29" s="20" t="n">
        <v>0</v>
      </c>
      <c r="ARH29" s="20" t="n">
        <v>0</v>
      </c>
      <c r="ARI29" s="20" t="n">
        <v>0</v>
      </c>
      <c r="ARJ29" s="20" t="n">
        <v>0</v>
      </c>
      <c r="ARK29" s="20" t="n">
        <v>0</v>
      </c>
      <c r="ARL29" s="20" t="n">
        <v>0</v>
      </c>
      <c r="ARM29" s="20" t="n">
        <v>0</v>
      </c>
      <c r="ARN29" s="20" t="n">
        <v>0</v>
      </c>
      <c r="ARO29" s="20" t="n">
        <v>0</v>
      </c>
      <c r="ARP29" s="20" t="n">
        <v>0</v>
      </c>
      <c r="ARQ29" s="20" t="n">
        <v>0</v>
      </c>
      <c r="ARR29" s="20" t="n">
        <f aca="false">IF(AND(H_Direct=0,H_TaxEvt=1),IF(ARR28+1&gt;=H_Deemed,0,ARR28+1),ARR28)</f>
        <v>6</v>
      </c>
      <c r="ARS29" s="20" t="n">
        <f aca="false">IF(AND(H_Direct=0,H_TaxEvt=1),IF(ARS28+1&gt;=H_Deemed,0,ARS28+1),ARS28)</f>
        <v>6</v>
      </c>
      <c r="ART29" s="20" t="n">
        <f aca="false">IF(AND(H_Direct=0,H_TaxEvt=1),IF(ART28+1&gt;=H_Deemed,0,ART28+1),ART28)</f>
        <v>5</v>
      </c>
      <c r="ARU29" s="20" t="n">
        <f aca="false">IF(AND(H_Direct=0,H_TaxEvt=1),IF(ARU28+1&gt;=H_Deemed,0,ARU28+1),ARU28)</f>
        <v>4</v>
      </c>
      <c r="ARV29" s="20" t="n">
        <f aca="false">IF(AND(H_Direct=0,H_TaxEvt=1),IF(ARV28+1&gt;=H_Deemed,0,ARV28+1),ARV28)</f>
        <v>3</v>
      </c>
      <c r="ARW29" s="20" t="n">
        <f aca="false">IF(AND(H_Direct=0,H_TaxEvt=1),IF(ARW28+1&gt;=H_Deemed,0,ARW28+1),ARW28)</f>
        <v>2</v>
      </c>
      <c r="ARX29" s="20" t="n">
        <f aca="false">IF(AND(H_Direct=0,H_TaxEvt=1),IF(ARX28+1&gt;=H_Deemed,0,ARX28+1),ARX28)</f>
        <v>1</v>
      </c>
      <c r="ARY29" s="20" t="n">
        <f aca="false">IF(AND(H_Direct=0,H_TaxEvt=1),IF(ARY28+1&gt;=H_Deemed,0,ARY28+1),ARY28)</f>
        <v>0</v>
      </c>
      <c r="ARZ29" s="20" t="n">
        <f aca="false">IF(AND(H_Direct=0,H_TaxEvt=1),IF(ARZ28+1&gt;=H_Deemed,0,ARZ28+1),ARZ28)</f>
        <v>7</v>
      </c>
      <c r="ASA29" s="20" t="n">
        <f aca="false">IF(AND(H_Direct=0,H_TaxEvt=1),IF(ASA28+1&gt;=H_Deemed,0,ASA28+1),ASA28)</f>
        <v>6</v>
      </c>
      <c r="ASB29" s="20" t="n">
        <f aca="false">IF(AND(H_Direct=0,H_TaxEvt=1),IF(ASB28+1&gt;=H_Deemed,0,ASB28+1),ASB28)</f>
        <v>5</v>
      </c>
      <c r="ASC29" s="20" t="n">
        <f aca="false">IF(AND(H_Direct=0,H_TaxEvt=1),IF(ASC28+1&gt;=H_Deemed,0,ASC28+1),ASC28)</f>
        <v>4</v>
      </c>
      <c r="ASD29" s="20" t="n">
        <f aca="false">IF(AND(H_Direct=0,H_TaxEvt=1),IF(ASD28+1&gt;=H_Deemed,0,ASD28+1),ASD28)</f>
        <v>3</v>
      </c>
      <c r="ASE29" s="20" t="n">
        <f aca="false">IF(AND(H_Direct=0,H_TaxEvt=1),IF(ASE28+1&gt;=H_Deemed,0,ASE28+1),ASE28)</f>
        <v>2</v>
      </c>
      <c r="ASF29" s="20" t="n">
        <f aca="false">IF(AND(H_Direct=0,H_TaxEvt=1),IF(ASF28+1&gt;=H_Deemed,0,ASF28+1),ASF28)</f>
        <v>1</v>
      </c>
      <c r="ASG29" s="20" t="n">
        <f aca="false">IF(AND(H_Direct=0,H_TaxEvt=1),IF(ASG28+1&gt;=H_Deemed,0,ASG28+1),ASG28)</f>
        <v>0</v>
      </c>
      <c r="ASH29" s="20" t="n">
        <f aca="false">IF(AND(H_Direct=0,H_TaxEvt=1),IF(ASH28+1&gt;=H_Deemed,0,ASH28+1),ASH28)</f>
        <v>7</v>
      </c>
      <c r="ASI29" s="20" t="n">
        <f aca="false">IF(AND(H_Direct=0,H_TaxEvt=1),IF(ASI28+1&gt;=H_Deemed,0,ASI28+1),ASI28)</f>
        <v>6</v>
      </c>
      <c r="ASJ29" s="20" t="n">
        <f aca="false">IF(AND(H_Direct=0,H_TaxEvt=1),IF(ASJ28+1&gt;=H_Deemed,0,ASJ28+1),ASJ28)</f>
        <v>5</v>
      </c>
      <c r="ASK29" s="20" t="n">
        <f aca="false">IF(AND(H_Direct=0,H_TaxEvt=1),IF(ASK28+1&gt;=H_Deemed,0,ASK28+1),ASK28)</f>
        <v>4</v>
      </c>
      <c r="ASL29" s="20" t="n">
        <f aca="false">IF(AND(H_Direct=0,H_TaxEvt=1),IF(ASL28+1&gt;=H_Deemed,0,ASL28+1),ASL28)</f>
        <v>3</v>
      </c>
      <c r="ASM29" s="20" t="n">
        <f aca="false">IF(AND(H_Direct=0,H_TaxEvt=1),IF(ASM28+1&gt;=H_Deemed,0,ASM28+1),ASM28)</f>
        <v>2</v>
      </c>
      <c r="ASN29" s="20" t="n">
        <f aca="false">IF(AND(H_Direct=0,H_TaxEvt=1),IF(0+1&gt;=H_Deemed,0,0+1),0)</f>
        <v>1</v>
      </c>
      <c r="ASO29" s="20" t="n">
        <v>0</v>
      </c>
      <c r="ASP29" s="20" t="n">
        <v>0</v>
      </c>
      <c r="ASQ29" s="20" t="n">
        <v>0</v>
      </c>
      <c r="ASR29" s="20" t="n">
        <v>0</v>
      </c>
      <c r="ASS29" s="20" t="n">
        <v>0</v>
      </c>
      <c r="AST29" s="20" t="n">
        <v>0</v>
      </c>
      <c r="ASU29" s="20" t="n">
        <v>0</v>
      </c>
      <c r="ASV29" s="20" t="n">
        <v>0</v>
      </c>
      <c r="ASW29" s="20" t="n">
        <v>0</v>
      </c>
      <c r="ASX29" s="20" t="n">
        <v>0</v>
      </c>
      <c r="ASY29" s="20" t="n">
        <v>0</v>
      </c>
      <c r="ASZ29" s="20" t="n">
        <v>0</v>
      </c>
      <c r="ATA29" s="20" t="n">
        <v>0</v>
      </c>
      <c r="ATB29" s="20" t="n">
        <v>0</v>
      </c>
      <c r="ATC29" s="20" t="n">
        <v>0</v>
      </c>
      <c r="ATD29" s="20" t="n">
        <v>0</v>
      </c>
      <c r="ATE29" s="20" t="n">
        <v>0</v>
      </c>
      <c r="ATF29" s="20" t="n">
        <v>0</v>
      </c>
      <c r="ATG29" s="20" t="n">
        <v>0</v>
      </c>
      <c r="ATH29" s="20" t="n">
        <v>0</v>
      </c>
      <c r="ATI29" s="20" t="n">
        <v>0</v>
      </c>
      <c r="ATJ29" s="20" t="n">
        <v>0</v>
      </c>
      <c r="ATK29" s="20" t="n">
        <v>0</v>
      </c>
      <c r="ATL29" s="20" t="n">
        <v>0</v>
      </c>
      <c r="ATM29" s="20" t="n">
        <v>0</v>
      </c>
      <c r="ATN29" s="20" t="n">
        <v>0</v>
      </c>
      <c r="ATO29" s="20" t="n">
        <v>0</v>
      </c>
      <c r="ATP29" s="20" t="n">
        <v>0</v>
      </c>
      <c r="ATQ29" s="20" t="n">
        <v>0</v>
      </c>
      <c r="ATR29" s="20" t="n">
        <v>0</v>
      </c>
      <c r="ATS29" s="20" t="n">
        <v>0</v>
      </c>
      <c r="ATT29" s="20" t="n">
        <v>0</v>
      </c>
      <c r="ATU29" s="20" t="n">
        <v>0</v>
      </c>
      <c r="ATV29" s="20" t="n">
        <v>0</v>
      </c>
      <c r="ATW29" s="20" t="n">
        <v>0</v>
      </c>
      <c r="ATX29" s="20" t="n">
        <v>0</v>
      </c>
      <c r="ATY29" s="20" t="n">
        <v>0</v>
      </c>
      <c r="ATZ29" s="20" t="n">
        <v>0</v>
      </c>
      <c r="AUA29" s="20" t="n">
        <v>0</v>
      </c>
      <c r="AUB29" s="20" t="n">
        <v>0</v>
      </c>
      <c r="AUC29" s="20" t="n">
        <v>0</v>
      </c>
      <c r="AUD29" s="20" t="n">
        <v>0</v>
      </c>
      <c r="AUE29" s="20" t="n">
        <v>0</v>
      </c>
      <c r="AUF29" s="20" t="n">
        <v>0</v>
      </c>
      <c r="AUG29" s="20" t="n">
        <v>0</v>
      </c>
      <c r="AUH29" s="20" t="n">
        <v>0</v>
      </c>
      <c r="AUI29" s="20" t="n">
        <v>0</v>
      </c>
      <c r="AUJ29" s="20" t="n">
        <v>0</v>
      </c>
      <c r="AUK29" s="20" t="n">
        <v>0</v>
      </c>
      <c r="AUL29" s="20" t="n">
        <v>0</v>
      </c>
      <c r="AUM29" s="20" t="n">
        <v>0</v>
      </c>
      <c r="AUN29" s="20" t="n">
        <v>0</v>
      </c>
      <c r="AUO29" s="20" t="n">
        <v>0</v>
      </c>
      <c r="AUP29" s="20" t="n">
        <v>0</v>
      </c>
      <c r="AUQ29" s="20" t="n">
        <v>0</v>
      </c>
      <c r="AUR29" s="20" t="n">
        <v>0</v>
      </c>
      <c r="AUS29" s="20" t="n">
        <v>0</v>
      </c>
      <c r="AUT29" s="20" t="n">
        <v>0</v>
      </c>
      <c r="AUU29" s="20" t="n">
        <v>0</v>
      </c>
      <c r="AUV29" s="20" t="n">
        <v>0</v>
      </c>
      <c r="AUW29" s="20" t="n">
        <v>0</v>
      </c>
      <c r="AUX29" s="20" t="n">
        <v>0</v>
      </c>
      <c r="AUY29" s="20" t="n">
        <v>0</v>
      </c>
      <c r="AUZ29" s="20" t="n">
        <v>0</v>
      </c>
      <c r="AVA29" s="20" t="n">
        <v>0</v>
      </c>
      <c r="AVB29" s="20" t="n">
        <v>0</v>
      </c>
      <c r="AVC29" s="20" t="n">
        <v>0</v>
      </c>
      <c r="AVD29" s="20" t="n">
        <v>0</v>
      </c>
      <c r="AVE29" s="20" t="n">
        <f aca="false">IF(AND(H_Direct=0,H_TaxEvt=1,ARR28+1&gt;=H_Deemed),MAX(0,ADR29-AHE29)*H_Exit,0)</f>
        <v>0</v>
      </c>
      <c r="AVF29" s="20" t="n">
        <f aca="false">IF(AND(H_Direct=0,H_TaxEvt=1,ARS28+1&gt;=H_Deemed),MAX(0,ADS29-AHF29)*H_Exit,0)</f>
        <v>0</v>
      </c>
      <c r="AVG29" s="20" t="n">
        <f aca="false">IF(AND(H_Direct=0,H_TaxEvt=1,ART28+1&gt;=H_Deemed),MAX(0,ADT29-AHG29)*H_Exit,0)</f>
        <v>0</v>
      </c>
      <c r="AVH29" s="20" t="n">
        <f aca="false">IF(AND(H_Direct=0,H_TaxEvt=1,ARU28+1&gt;=H_Deemed),MAX(0,ADU29-AHH29)*H_Exit,0)</f>
        <v>0</v>
      </c>
      <c r="AVI29" s="20" t="n">
        <f aca="false">IF(AND(H_Direct=0,H_TaxEvt=1,ARV28+1&gt;=H_Deemed),MAX(0,ADV29-AHI29)*H_Exit,0)</f>
        <v>0</v>
      </c>
      <c r="AVJ29" s="20" t="n">
        <f aca="false">IF(AND(H_Direct=0,H_TaxEvt=1,ARW28+1&gt;=H_Deemed),MAX(0,ADW29-AHJ29)*H_Exit,0)</f>
        <v>0</v>
      </c>
      <c r="AVK29" s="20" t="n">
        <f aca="false">IF(AND(H_Direct=0,H_TaxEvt=1,ARX28+1&gt;=H_Deemed),MAX(0,ADX29-AHK29)*H_Exit,0)</f>
        <v>0</v>
      </c>
      <c r="AVL29" s="20" t="n">
        <f aca="false">IF(AND(H_Direct=0,H_TaxEvt=1,ARY28+1&gt;=H_Deemed),MAX(0,ADY29-AHL29)*H_Exit,0)</f>
        <v>0</v>
      </c>
      <c r="AVM29" s="20" t="n">
        <f aca="false">IF(AND(H_Direct=0,H_TaxEvt=1,ARZ28+1&gt;=H_Deemed),MAX(0,ADZ29-AHM29)*H_Exit,0)</f>
        <v>0</v>
      </c>
      <c r="AVN29" s="20" t="n">
        <f aca="false">IF(AND(H_Direct=0,H_TaxEvt=1,ASA28+1&gt;=H_Deemed),MAX(0,AEA29-AHN29)*H_Exit,0)</f>
        <v>0</v>
      </c>
      <c r="AVO29" s="20" t="n">
        <f aca="false">IF(AND(H_Direct=0,H_TaxEvt=1,ASB28+1&gt;=H_Deemed),MAX(0,AEB29-AHO29)*H_Exit,0)</f>
        <v>0</v>
      </c>
      <c r="AVP29" s="20" t="n">
        <f aca="false">IF(AND(H_Direct=0,H_TaxEvt=1,ASC28+1&gt;=H_Deemed),MAX(0,AEC29-AHP29)*H_Exit,0)</f>
        <v>0</v>
      </c>
      <c r="AVQ29" s="20" t="n">
        <f aca="false">IF(AND(H_Direct=0,H_TaxEvt=1,ASD28+1&gt;=H_Deemed),MAX(0,AED29-AHQ29)*H_Exit,0)</f>
        <v>0</v>
      </c>
      <c r="AVR29" s="20" t="n">
        <f aca="false">IF(AND(H_Direct=0,H_TaxEvt=1,ASE28+1&gt;=H_Deemed),MAX(0,AEE29-AHR29)*H_Exit,0)</f>
        <v>0</v>
      </c>
      <c r="AVS29" s="20" t="n">
        <f aca="false">IF(AND(H_Direct=0,H_TaxEvt=1,ASF28+1&gt;=H_Deemed),MAX(0,AEF29-AHS29)*H_Exit,0)</f>
        <v>0</v>
      </c>
      <c r="AVT29" s="20" t="n">
        <f aca="false">IF(AND(H_Direct=0,H_TaxEvt=1,ASG28+1&gt;=H_Deemed),MAX(0,AEG29-AHT29)*H_Exit,0)</f>
        <v>145.825591978857</v>
      </c>
      <c r="AVU29" s="20" t="n">
        <f aca="false">IF(AND(H_Direct=0,H_TaxEvt=1,ASH28+1&gt;=H_Deemed),MAX(0,AEH29-AHU29)*H_Exit,0)</f>
        <v>0</v>
      </c>
      <c r="AVV29" s="20" t="n">
        <f aca="false">IF(AND(H_Direct=0,H_TaxEvt=1,ASI28+1&gt;=H_Deemed),MAX(0,AEI29-AHV29)*H_Exit,0)</f>
        <v>0</v>
      </c>
      <c r="AVW29" s="20" t="n">
        <f aca="false">IF(AND(H_Direct=0,H_TaxEvt=1,ASJ28+1&gt;=H_Deemed),MAX(0,AEJ29-AHW29)*H_Exit,0)</f>
        <v>0</v>
      </c>
      <c r="AVX29" s="20" t="n">
        <f aca="false">IF(AND(H_Direct=0,H_TaxEvt=1,ASK28+1&gt;=H_Deemed),MAX(0,AEK29-AHX29)*H_Exit,0)</f>
        <v>0</v>
      </c>
      <c r="AVY29" s="20" t="n">
        <f aca="false">IF(AND(H_Direct=0,H_TaxEvt=1,ASL28+1&gt;=H_Deemed),MAX(0,AEL29-AHY29)*H_Exit,0)</f>
        <v>0</v>
      </c>
      <c r="AVZ29" s="20" t="n">
        <f aca="false">IF(AND(H_Direct=0,H_TaxEvt=1,ASM28+1&gt;=H_Deemed),MAX(0,AEM29-AHZ29)*H_Exit,0)</f>
        <v>0</v>
      </c>
      <c r="AWA29" s="20" t="n">
        <f aca="false">IF(AND(H_Direct=0,H_TaxEvt=1,0+1&gt;=H_Deemed),MAX(0,AEN29-AIA29)*H_Exit,0)</f>
        <v>0</v>
      </c>
      <c r="AWB29" s="20" t="n">
        <v>0</v>
      </c>
      <c r="AWC29" s="20" t="n">
        <v>0</v>
      </c>
      <c r="AWD29" s="20" t="n">
        <v>0</v>
      </c>
      <c r="AWE29" s="20" t="n">
        <v>0</v>
      </c>
      <c r="AWF29" s="20" t="n">
        <v>0</v>
      </c>
      <c r="AWG29" s="20" t="n">
        <v>0</v>
      </c>
      <c r="AWH29" s="20" t="n">
        <v>0</v>
      </c>
      <c r="AWI29" s="20" t="n">
        <v>0</v>
      </c>
      <c r="AWJ29" s="20" t="n">
        <v>0</v>
      </c>
      <c r="AWK29" s="20" t="n">
        <v>0</v>
      </c>
      <c r="AWL29" s="20" t="n">
        <v>0</v>
      </c>
      <c r="AWM29" s="20" t="n">
        <v>0</v>
      </c>
      <c r="AWN29" s="20" t="n">
        <v>0</v>
      </c>
      <c r="AWO29" s="20" t="n">
        <v>0</v>
      </c>
      <c r="AWP29" s="20" t="n">
        <v>0</v>
      </c>
      <c r="AWQ29" s="20" t="n">
        <v>0</v>
      </c>
      <c r="AWR29" s="20" t="n">
        <v>0</v>
      </c>
      <c r="AWS29" s="20" t="n">
        <v>0</v>
      </c>
      <c r="AWT29" s="20" t="n">
        <v>0</v>
      </c>
      <c r="AWU29" s="20" t="n">
        <v>0</v>
      </c>
      <c r="AWV29" s="20" t="n">
        <v>0</v>
      </c>
      <c r="AWW29" s="20" t="n">
        <v>0</v>
      </c>
      <c r="AWX29" s="20" t="n">
        <v>0</v>
      </c>
      <c r="AWY29" s="20" t="n">
        <v>0</v>
      </c>
      <c r="AWZ29" s="20" t="n">
        <v>0</v>
      </c>
      <c r="AXA29" s="20" t="n">
        <v>0</v>
      </c>
      <c r="AXB29" s="20" t="n">
        <v>0</v>
      </c>
      <c r="AXC29" s="20" t="n">
        <v>0</v>
      </c>
      <c r="AXD29" s="20" t="n">
        <v>0</v>
      </c>
      <c r="AXE29" s="20" t="n">
        <v>0</v>
      </c>
      <c r="AXF29" s="20" t="n">
        <v>0</v>
      </c>
      <c r="AXG29" s="20" t="n">
        <v>0</v>
      </c>
      <c r="AXH29" s="20" t="n">
        <v>0</v>
      </c>
      <c r="AXI29" s="20" t="n">
        <v>0</v>
      </c>
      <c r="AXJ29" s="20" t="n">
        <v>0</v>
      </c>
      <c r="AXK29" s="20" t="n">
        <v>0</v>
      </c>
      <c r="AXL29" s="20" t="n">
        <v>0</v>
      </c>
      <c r="AXM29" s="20" t="n">
        <v>0</v>
      </c>
      <c r="AXN29" s="20" t="n">
        <v>0</v>
      </c>
      <c r="AXO29" s="20" t="n">
        <v>0</v>
      </c>
      <c r="AXP29" s="20" t="n">
        <v>0</v>
      </c>
      <c r="AXQ29" s="20" t="n">
        <v>0</v>
      </c>
      <c r="AXR29" s="20" t="n">
        <v>0</v>
      </c>
      <c r="AXS29" s="20" t="n">
        <v>0</v>
      </c>
      <c r="AXT29" s="20" t="n">
        <v>0</v>
      </c>
      <c r="AXU29" s="20" t="n">
        <v>0</v>
      </c>
      <c r="AXV29" s="20" t="n">
        <v>0</v>
      </c>
      <c r="AXW29" s="20" t="n">
        <v>0</v>
      </c>
      <c r="AXX29" s="20" t="n">
        <v>0</v>
      </c>
      <c r="AXY29" s="20" t="n">
        <v>0</v>
      </c>
      <c r="AXZ29" s="20" t="n">
        <v>0</v>
      </c>
      <c r="AYA29" s="20" t="n">
        <v>0</v>
      </c>
      <c r="AYB29" s="20" t="n">
        <v>0</v>
      </c>
      <c r="AYC29" s="20" t="n">
        <v>0</v>
      </c>
      <c r="AYD29" s="20" t="n">
        <v>0</v>
      </c>
      <c r="AYE29" s="20" t="n">
        <v>0</v>
      </c>
      <c r="AYF29" s="20" t="n">
        <v>0</v>
      </c>
      <c r="AYG29" s="20" t="n">
        <v>0</v>
      </c>
      <c r="AYH29" s="20" t="n">
        <v>0</v>
      </c>
      <c r="AYI29" s="20" t="n">
        <v>0</v>
      </c>
      <c r="AYJ29" s="20" t="n">
        <v>0</v>
      </c>
      <c r="AYK29" s="20" t="n">
        <v>0</v>
      </c>
      <c r="AYL29" s="20" t="n">
        <v>0</v>
      </c>
      <c r="AYM29" s="20" t="n">
        <v>0</v>
      </c>
      <c r="AYN29" s="20" t="n">
        <v>0</v>
      </c>
      <c r="AYO29" s="20" t="n">
        <v>0</v>
      </c>
      <c r="AYP29" s="20" t="n">
        <v>0</v>
      </c>
      <c r="AYQ29" s="20" t="n">
        <v>0</v>
      </c>
    </row>
    <row r="30" customFormat="false" ht="15" hidden="false" customHeight="false" outlineLevel="0" collapsed="false">
      <c r="B30" s="20" t="n">
        <v>22</v>
      </c>
      <c r="C30" s="20" t="n">
        <f aca="false">'Plan cashflow'!C30</f>
        <v>1</v>
      </c>
      <c r="D30" s="20" t="n">
        <f aca="false">'Plan cashflow'!D30</f>
        <v>60</v>
      </c>
      <c r="E30" s="20" t="n">
        <f aca="false">AS_Year0+22</f>
        <v>2048</v>
      </c>
      <c r="F30" s="50" t="n">
        <f aca="false">'Plan cashflow'!F30</f>
        <v>1.54597967077588</v>
      </c>
      <c r="G30" s="59" t="n">
        <f aca="true">IF(MAX(TODAY(),DATE(E30,1,1))&gt;=H_CGTfrom,H_CGT1,H_CGT0)</f>
        <v>0.31</v>
      </c>
      <c r="H30" s="20" t="n">
        <f aca="false">H_Exempt*H_Persons</f>
        <v>1270</v>
      </c>
      <c r="I30" s="20" t="n">
        <f aca="false">AX29</f>
        <v>0</v>
      </c>
      <c r="J30" s="60" t="n">
        <f aca="false">BF29</f>
        <v>37343.844700651</v>
      </c>
      <c r="K30" s="60" t="n">
        <f aca="false">BG29</f>
        <v>0</v>
      </c>
      <c r="L30" s="20" t="n">
        <f aca="false">IF(AND(In_polLump&gt;0,In_polLumpAge&gt;0,D30=In_polLumpAge),In_polLump,0)</f>
        <v>0</v>
      </c>
      <c r="M30" s="20" t="n">
        <f aca="false">IF(AND(In_homeUse="Yes, I'd downsize",In_downAge&gt;0,D30=In_downAge,OR(In_home="Own outright",In_home="Own with mortgage"),In_homeValue&gt;0),MAX(0,MAX(0,In_homeValue-In_downValue)*F30*0.9-'Plan cashflow'!HR29),0)</f>
        <v>0</v>
      </c>
      <c r="N30" s="20" t="n">
        <f aca="false">'Plan pay &amp; tax'!Y256</f>
        <v>0</v>
      </c>
      <c r="O30" s="20" t="n">
        <f aca="false">L30+M30+(1-H_Sh)*N30</f>
        <v>0</v>
      </c>
      <c r="P30" s="20" t="n">
        <f aca="false">H_Sh*N30</f>
        <v>0</v>
      </c>
      <c r="Q30" s="20" t="n">
        <f aca="false">'Plan cashflow'!UL30</f>
        <v>0</v>
      </c>
      <c r="R30" s="20" t="n">
        <f aca="false">(1-H_Sh)*Q30</f>
        <v>0</v>
      </c>
      <c r="S30" s="20" t="n">
        <f aca="false">H_Sh*Q30</f>
        <v>0</v>
      </c>
      <c r="T30" s="20" t="n">
        <f aca="false">J30+K30+O30</f>
        <v>37343.844700651</v>
      </c>
      <c r="U30" s="20" t="n">
        <f aca="false">T30+R30</f>
        <v>37343.844700651</v>
      </c>
      <c r="V30" s="60" t="n">
        <f aca="false">SUM(FE30:IQ30)</f>
        <v>26725.2291062316</v>
      </c>
      <c r="W30" s="60" t="n">
        <f aca="false">IF(AJ30&lt;=0,0,IF(AL30&lt;=0,AJ30,AJ30-G30*MAX(0,AL30*AJ30-(AY30+AZ30))))</f>
        <v>0</v>
      </c>
      <c r="X30" s="60" t="n">
        <f aca="false">IF(AR30&lt;=0,0,IF(AT30&lt;=0,AR30,AR30-G30*MAX(0,AT30*AR30-(BA30+BB30))))</f>
        <v>0</v>
      </c>
      <c r="Y30" s="60" t="n">
        <f aca="false">T30+V30-S30+W30+X30</f>
        <v>64069.0738068826</v>
      </c>
      <c r="Z30" s="60" t="n">
        <f aca="false">'Plan cashflow'!UK30</f>
        <v>0</v>
      </c>
      <c r="AA30" s="20" t="n">
        <f aca="false">MIN(Z30,U30)</f>
        <v>0</v>
      </c>
      <c r="AB30" s="20" t="n">
        <f aca="false">Z30-AA30</f>
        <v>0</v>
      </c>
      <c r="AC30" s="20" t="n">
        <f aca="false">MIN(AA30,J30+O30+R30)</f>
        <v>0</v>
      </c>
      <c r="AD30" s="20" t="n">
        <f aca="false">AA30-AC30</f>
        <v>0</v>
      </c>
      <c r="AE30" s="20" t="n">
        <f aca="false">J30+O30+R30-AC30</f>
        <v>37343.844700651</v>
      </c>
      <c r="AF30" s="20" t="n">
        <f aca="false">K30-AD30</f>
        <v>0</v>
      </c>
      <c r="AG30" s="20" t="n">
        <f aca="false">SUM(PR30:TD30)</f>
        <v>0</v>
      </c>
      <c r="AH30" s="20" t="n">
        <f aca="false">SUM(TE30:WQ30)</f>
        <v>0</v>
      </c>
      <c r="AI30" s="20" t="n">
        <f aca="false">MAX(0,AB30-AG30)</f>
        <v>0</v>
      </c>
      <c r="AJ30" s="57" t="n">
        <f aca="false">BI29</f>
        <v>0</v>
      </c>
      <c r="AK30" s="20" t="n">
        <f aca="false">BJ29</f>
        <v>0</v>
      </c>
      <c r="AL30" s="20" t="n">
        <f aca="false">IF(AJ30&gt;0,(AJ30-AK30)/AJ30,0)</f>
        <v>0</v>
      </c>
      <c r="AM30" s="20" t="n">
        <f aca="false">IF(AJ30&lt;=0,0,IF(AL30&lt;=0,MIN(AI30,AJ30),MIN(AI30,AJ30-G30*MAX(0,AL30*AJ30-(AAD30+ADQ30)))))</f>
        <v>0</v>
      </c>
      <c r="AN30" s="20" t="n">
        <f aca="false">IF(AJ30&lt;=0,0,IF(AL30&lt;=0,AM30,IF(AM30&lt;=(AAD30+ADQ30)/AL30,AM30,(AM30-G30*(AAD30+ADQ30))/(1-G30*AL30))))</f>
        <v>0</v>
      </c>
      <c r="AO30" s="20" t="n">
        <f aca="false">IF(AL30&gt;0,MAX(0,AAD30-(MIN(AL30*AN30,(AAD30+ADQ30))-MIN(MIN(AL30*AN30,(AAD30+ADQ30)),ADQ30))),AAD30)</f>
        <v>1270</v>
      </c>
      <c r="AP30" s="20" t="n">
        <f aca="false">IF(AL30&lt;=0,ADQ30-AL30*AN30,ADQ30-MIN(MIN(AL30*AN30,(AAD30+ADQ30)),ADQ30))</f>
        <v>0</v>
      </c>
      <c r="AQ30" s="20" t="n">
        <f aca="false">MAX(0,AI30-AM30)</f>
        <v>0</v>
      </c>
      <c r="AR30" s="57" t="n">
        <f aca="false">BK29</f>
        <v>0</v>
      </c>
      <c r="AS30" s="20" t="n">
        <f aca="false">BL29</f>
        <v>0</v>
      </c>
      <c r="AT30" s="20" t="n">
        <f aca="false">IF(AR30&gt;0,(AR30-AS30)/AR30,0)</f>
        <v>0</v>
      </c>
      <c r="AU30" s="20" t="n">
        <f aca="false">IF(AR30&lt;=0,0,IF(AT30&lt;=0,MIN(AQ30,AR30),MIN(AQ30,AR30-G30*MAX(0,AT30*AR30-(AO30+AP30)))))</f>
        <v>0</v>
      </c>
      <c r="AV30" s="20" t="n">
        <f aca="false">IF(AR30&lt;=0,0,IF(AT30&lt;=0,AU30,IF(AU30&lt;=(AO30+AP30)/AT30,AU30,(AU30-G30*(AO30+AP30))/(1-G30*AT30))))</f>
        <v>0</v>
      </c>
      <c r="AW30" s="20" t="n">
        <f aca="false">IF(AT30&gt;0,MAX(0,AO30-(MIN(AT30*AV30,(AO30+AP30))-MIN(MIN(AT30*AV30,(AO30+AP30)),AP30))),AO30)</f>
        <v>1270</v>
      </c>
      <c r="AX30" s="20" t="n">
        <f aca="false">IF(AT30&lt;=0,AP30-AT30*AV30,AP30-MIN(MIN(AT30*AV30,(AO30+AP30)),AP30))</f>
        <v>0</v>
      </c>
      <c r="AY30" s="20" t="n">
        <f aca="false">MD30</f>
        <v>1270</v>
      </c>
      <c r="AZ30" s="20" t="n">
        <f aca="false">PQ30</f>
        <v>0</v>
      </c>
      <c r="BA30" s="20" t="n">
        <f aca="false">IF(AL30&gt;0,MAX(0,AY30-(MIN(AL30*AJ30,AY30+AZ30)-MIN(MIN(AL30*AJ30,AY30+AZ30),AZ30))),AY30)</f>
        <v>1270</v>
      </c>
      <c r="BB30" s="20" t="n">
        <f aca="false">IF(AL30&lt;=0,AZ30-AL30*AJ30,AZ30-MIN(MIN(AL30*AJ30,AY30+AZ30),AZ30))</f>
        <v>0</v>
      </c>
      <c r="BC30" s="20" t="n">
        <f aca="false">'Plan cashflow'!UM30</f>
        <v>9275.87802465528</v>
      </c>
      <c r="BD30" s="20" t="n">
        <f aca="false">(1-H_Sh)*BC30</f>
        <v>5565.52681479317</v>
      </c>
      <c r="BE30" s="20" t="n">
        <f aca="false">H_Sh*BC30</f>
        <v>3710.35120986211</v>
      </c>
      <c r="BF30" s="60" t="n">
        <f aca="false">(AE30+BD30)*(1+AS_Cash)</f>
        <v>43338.4652305986</v>
      </c>
      <c r="BG30" s="60" t="n">
        <f aca="false">AF30*(1+AS_Cash)</f>
        <v>0</v>
      </c>
      <c r="BH30" s="60" t="n">
        <f aca="false">SUM(AKR30:AOD30)</f>
        <v>32753.0011676062</v>
      </c>
      <c r="BI30" s="60" t="n">
        <f aca="false">(AJ30-AN30)*(1+AS_Infl)</f>
        <v>0</v>
      </c>
      <c r="BJ30" s="20" t="n">
        <f aca="false">IF(AJ30&gt;0,AK30-AK30*AN30/AJ30,0)</f>
        <v>0</v>
      </c>
      <c r="BK30" s="60" t="n">
        <f aca="false">(AR30-AV30)*(1+BQ30)</f>
        <v>0</v>
      </c>
      <c r="BL30" s="20" t="n">
        <f aca="false">IF(AR30&gt;0,AS30-AS30*AV30/AR30,0)</f>
        <v>0</v>
      </c>
      <c r="BM30" s="60" t="n">
        <f aca="false">BF30+BG30+BH30+BI30+BK30</f>
        <v>76091.4663982048</v>
      </c>
      <c r="BN30" s="60" t="n">
        <f aca="false">(AH30-AG30)+(AN30-AM30)+(AV30-AU30)</f>
        <v>0</v>
      </c>
      <c r="BO30" s="20" t="n">
        <f aca="false">(AE30+BD30+AF30+MAX(0,'Plan cashflow'!QH30)+IF(Slot1_Rate=AS_Cash,'Plan cashflow'!QM30/(1+AS_Cash),0)+IF(Slot2_Rate=AS_Cash,'Plan cashflow'!QQ30/(1+AS_Cash),0)+IF(Slot3_Rate=AS_Cash,'Plan cashflow'!QU30/(1+AS_Cash),0)+IF(Slot4_Rate=AS_Cash,'Plan cashflow'!QY30/(1+AS_Cash),0)+IF(Slot5_Rate=AS_Cash,'Plan cashflow'!RC30/(1+AS_Cash),0)+IF(Slot6_Rate=AS_Cash,'Plan cashflow'!RG30/(1+AS_Cash),0)+IF(Slot7_Rate=AS_Cash,'Plan cashflow'!RK30/(1+AS_Cash),0)+IF(Slot8_Rate=AS_Cash,'Plan cashflow'!RO30/(1+AS_Cash),0)+IF(Slot9_Rate=AS_Cash,'Plan cashflow'!RS30/(1+AS_Cash),0)+IF(Slot10_Rate=AS_Cash,'Plan cashflow'!RW30/(1+AS_Cash),0)+IF(Slot11_Rate=AS_Cash,'Plan cashflow'!SA30/(1+AS_Cash),0)+IF(Slot12_Rate=AS_Cash,'Plan cashflow'!SE30/(1+AS_Cash),0)+IF(Slot13_Rate=AS_Cash,'Plan cashflow'!SI30/(1+AS_Cash),0)+IF(Slot14_Rate=AS_Cash,'Plan cashflow'!SM30/(1+AS_Cash),0)+IF(Slot15_Rate=AS_Cash,'Plan cashflow'!SQ30/(1+AS_Cash),0)+IF(Slot16_Rate=AS_Cash,'Plan cashflow'!SU30/(1+AS_Cash),0)+IF(Slot17_Rate=AS_Cash,'Plan cashflow'!SY30/(1+AS_Cash),0)+IF(Slot18_Rate=AS_Cash,'Plan cashflow'!TC30/(1+AS_Cash),0)+IF(Slot19_Rate=AS_Cash,'Plan cashflow'!TG30/(1+AS_Cash),0)+IF(Slot20_Rate=AS_Cash,'Plan cashflow'!TK30/(1+AS_Cash),0))*AS_Cash*H_DIRT/(1-H_DIRT)</f>
        <v>279.727861656542</v>
      </c>
      <c r="BP30" s="60" t="n">
        <f aca="false">SUM(AVE30:AYQ30)</f>
        <v>145.765130141466</v>
      </c>
      <c r="BQ30" s="54" t="n">
        <f aca="false">IF(H_TaxEvt=1,H_InvG,AS_Inv)</f>
        <v>0.04</v>
      </c>
      <c r="BR30" s="20" t="n">
        <f aca="false">IF(AKR29&gt;0,(AKR29-AOE29)/AKR29,0)</f>
        <v>0</v>
      </c>
      <c r="BS30" s="20" t="n">
        <f aca="false">IF(AKS29&gt;0,(AKS29-AOF29)/AKS29,0)</f>
        <v>0</v>
      </c>
      <c r="BT30" s="20" t="n">
        <f aca="false">IF(AKT29&gt;0,(AKT29-AOG29)/AKT29,0)</f>
        <v>0</v>
      </c>
      <c r="BU30" s="20" t="n">
        <f aca="false">IF(AKU29&gt;0,(AKU29-AOH29)/AKU29,0)</f>
        <v>0</v>
      </c>
      <c r="BV30" s="20" t="n">
        <f aca="false">IF(AKV29&gt;0,(AKV29-AOI29)/AKV29,0)</f>
        <v>0</v>
      </c>
      <c r="BW30" s="20" t="n">
        <f aca="false">IF(AKW29&gt;0,(AKW29-AOJ29)/AKW29,0)</f>
        <v>0</v>
      </c>
      <c r="BX30" s="20" t="n">
        <f aca="false">IF(AKX29&gt;0,(AKX29-AOK29)/AKX29,0)</f>
        <v>0</v>
      </c>
      <c r="BY30" s="20" t="n">
        <f aca="false">IF(AKY29&gt;0,(AKY29-AOL29)/AKY29,0)</f>
        <v>0</v>
      </c>
      <c r="BZ30" s="20" t="n">
        <f aca="false">IF(AKZ29&gt;0,(AKZ29-AOM29)/AKZ29,0)</f>
        <v>0</v>
      </c>
      <c r="CA30" s="20" t="n">
        <f aca="false">IF(ALA29&gt;0,(ALA29-AON29)/ALA29,0)</f>
        <v>0</v>
      </c>
      <c r="CB30" s="20" t="n">
        <f aca="false">IF(ALB29&gt;0,(ALB29-AOO29)/ALB29,0)</f>
        <v>0</v>
      </c>
      <c r="CC30" s="20" t="n">
        <f aca="false">IF(ALC29&gt;0,(ALC29-AOP29)/ALC29,0)</f>
        <v>0.145195808970274</v>
      </c>
      <c r="CD30" s="20" t="n">
        <f aca="false">IF(ALD29&gt;0,(ALD29-AOQ29)/ALD29,0)</f>
        <v>0.111003641329085</v>
      </c>
      <c r="CE30" s="20" t="n">
        <f aca="false">IF(ALE29&gt;0,(ALE29-AOR29)/ALE29,0)</f>
        <v>0.0754437869822487</v>
      </c>
      <c r="CF30" s="20" t="n">
        <f aca="false">IF(ALF29&gt;0,(ALF29-AOS29)/ALF29,0)</f>
        <v>0.0384615384615385</v>
      </c>
      <c r="CG30" s="20" t="n">
        <f aca="false">IF(ALG29&gt;0,(ALG29-AOT29)/ALG29,0)</f>
        <v>0</v>
      </c>
      <c r="CH30" s="20" t="n">
        <f aca="false">IF(ALH29&gt;0,(ALH29-AOU29)/ALH29,0)</f>
        <v>0.240082186797937</v>
      </c>
      <c r="CI30" s="20" t="n">
        <f aca="false">IF(ALI29&gt;0,(ALI29-AOV29)/ALI29,0)</f>
        <v>0.209685474269854</v>
      </c>
      <c r="CJ30" s="20" t="n">
        <f aca="false">IF(ALJ29&gt;0,(ALJ29-AOW29)/ALJ29,0)</f>
        <v>0.178072893240648</v>
      </c>
      <c r="CK30" s="20" t="n">
        <f aca="false">IF(ALK29&gt;0,(ALK29-AOX29)/ALK29,0)</f>
        <v>0.145195808970274</v>
      </c>
      <c r="CL30" s="20" t="n">
        <f aca="false">IF(ALL29&gt;0,(ALL29-AOY29)/ALL29,0)</f>
        <v>0.111003641329085</v>
      </c>
      <c r="CM30" s="20" t="n">
        <f aca="false">IF(ALM29&gt;0,(ALM29-AOZ29)/ALM29,0)</f>
        <v>0.0754437869822486</v>
      </c>
      <c r="CN30" s="20" t="n">
        <f aca="false">IF(ALN29&gt;0,(ALN29-APA29)/ALN29,0)</f>
        <v>0.0384615384615385</v>
      </c>
      <c r="CO30" s="20" t="n">
        <f aca="false">IF((P30+S30)&gt;0,((P30+S30)-(P30+S30))/(P30+S30),0)</f>
        <v>0</v>
      </c>
      <c r="CP30" s="20" t="n">
        <v>0</v>
      </c>
      <c r="CQ30" s="20" t="n">
        <v>0</v>
      </c>
      <c r="CR30" s="20" t="n">
        <v>0</v>
      </c>
      <c r="CS30" s="20" t="n">
        <v>0</v>
      </c>
      <c r="CT30" s="20" t="n">
        <v>0</v>
      </c>
      <c r="CU30" s="20" t="n">
        <v>0</v>
      </c>
      <c r="CV30" s="20" t="n">
        <v>0</v>
      </c>
      <c r="CW30" s="20" t="n">
        <v>0</v>
      </c>
      <c r="CX30" s="20" t="n">
        <v>0</v>
      </c>
      <c r="CY30" s="20" t="n">
        <v>0</v>
      </c>
      <c r="CZ30" s="20" t="n">
        <v>0</v>
      </c>
      <c r="DA30" s="20" t="n">
        <v>0</v>
      </c>
      <c r="DB30" s="20" t="n">
        <v>0</v>
      </c>
      <c r="DC30" s="20" t="n">
        <v>0</v>
      </c>
      <c r="DD30" s="20" t="n">
        <v>0</v>
      </c>
      <c r="DE30" s="20" t="n">
        <v>0</v>
      </c>
      <c r="DF30" s="20" t="n">
        <v>0</v>
      </c>
      <c r="DG30" s="20" t="n">
        <v>0</v>
      </c>
      <c r="DH30" s="20" t="n">
        <v>0</v>
      </c>
      <c r="DI30" s="20" t="n">
        <v>0</v>
      </c>
      <c r="DJ30" s="20" t="n">
        <v>0</v>
      </c>
      <c r="DK30" s="20" t="n">
        <v>0</v>
      </c>
      <c r="DL30" s="20" t="n">
        <v>0</v>
      </c>
      <c r="DM30" s="20" t="n">
        <v>0</v>
      </c>
      <c r="DN30" s="20" t="n">
        <v>0</v>
      </c>
      <c r="DO30" s="20" t="n">
        <v>0</v>
      </c>
      <c r="DP30" s="20" t="n">
        <v>0</v>
      </c>
      <c r="DQ30" s="20" t="n">
        <v>0</v>
      </c>
      <c r="DR30" s="20" t="n">
        <v>0</v>
      </c>
      <c r="DS30" s="20" t="n">
        <v>0</v>
      </c>
      <c r="DT30" s="20" t="n">
        <v>0</v>
      </c>
      <c r="DU30" s="20" t="n">
        <v>0</v>
      </c>
      <c r="DV30" s="20" t="n">
        <v>0</v>
      </c>
      <c r="DW30" s="20" t="n">
        <v>0</v>
      </c>
      <c r="DX30" s="20" t="n">
        <v>0</v>
      </c>
      <c r="DY30" s="20" t="n">
        <v>0</v>
      </c>
      <c r="DZ30" s="20" t="n">
        <v>0</v>
      </c>
      <c r="EA30" s="20" t="n">
        <v>0</v>
      </c>
      <c r="EB30" s="20" t="n">
        <v>0</v>
      </c>
      <c r="EC30" s="20" t="n">
        <v>0</v>
      </c>
      <c r="ED30" s="20" t="n">
        <v>0</v>
      </c>
      <c r="EE30" s="20" t="n">
        <v>0</v>
      </c>
      <c r="EF30" s="20" t="n">
        <v>0</v>
      </c>
      <c r="EG30" s="20" t="n">
        <v>0</v>
      </c>
      <c r="EH30" s="20" t="n">
        <v>0</v>
      </c>
      <c r="EI30" s="20" t="n">
        <v>0</v>
      </c>
      <c r="EJ30" s="20" t="n">
        <v>0</v>
      </c>
      <c r="EK30" s="20" t="n">
        <v>0</v>
      </c>
      <c r="EL30" s="20" t="n">
        <v>0</v>
      </c>
      <c r="EM30" s="20" t="n">
        <v>0</v>
      </c>
      <c r="EN30" s="20" t="n">
        <v>0</v>
      </c>
      <c r="EO30" s="20" t="n">
        <v>0</v>
      </c>
      <c r="EP30" s="20" t="n">
        <v>0</v>
      </c>
      <c r="EQ30" s="20" t="n">
        <v>0</v>
      </c>
      <c r="ER30" s="20" t="n">
        <v>0</v>
      </c>
      <c r="ES30" s="20" t="n">
        <v>0</v>
      </c>
      <c r="ET30" s="20" t="n">
        <v>0</v>
      </c>
      <c r="EU30" s="20" t="n">
        <v>0</v>
      </c>
      <c r="EV30" s="20" t="n">
        <v>0</v>
      </c>
      <c r="EW30" s="20" t="n">
        <v>0</v>
      </c>
      <c r="EX30" s="20" t="n">
        <v>0</v>
      </c>
      <c r="EY30" s="20" t="n">
        <v>0</v>
      </c>
      <c r="EZ30" s="20" t="n">
        <v>0</v>
      </c>
      <c r="FA30" s="20" t="n">
        <v>0</v>
      </c>
      <c r="FB30" s="20" t="n">
        <v>0</v>
      </c>
      <c r="FC30" s="20" t="n">
        <v>0</v>
      </c>
      <c r="FD30" s="20" t="n">
        <v>0</v>
      </c>
      <c r="FE30" s="20" t="n">
        <f aca="false">IF(H_Direct=1,IF(AKR29&lt;=0,0,IF(BR30&lt;=0,AKR29,AKR29-G30*MAX(0,BR30*AKR29-(H30+I30)))),AKR29*(1-MAX(0,BR30)*H_Exit))</f>
        <v>0</v>
      </c>
      <c r="FF30" s="20" t="n">
        <f aca="false">IF(H_Direct=1,IF(AKS29&lt;=0,0,IF(BS30&lt;=0,AKS29,AKS29-G30*MAX(0,BS30*AKS29-(IR30+ME30)))),AKS29*(1-MAX(0,BS30)*H_Exit))</f>
        <v>0</v>
      </c>
      <c r="FG30" s="20" t="n">
        <f aca="false">IF(H_Direct=1,IF(AKT29&lt;=0,0,IF(BT30&lt;=0,AKT29,AKT29-G30*MAX(0,BT30*AKT29-(IS30+MF30)))),AKT29*(1-MAX(0,BT30)*H_Exit))</f>
        <v>0</v>
      </c>
      <c r="FH30" s="20" t="n">
        <f aca="false">IF(H_Direct=1,IF(AKU29&lt;=0,0,IF(BU30&lt;=0,AKU29,AKU29-G30*MAX(0,BU30*AKU29-(IT30+MG30)))),AKU29*(1-MAX(0,BU30)*H_Exit))</f>
        <v>0</v>
      </c>
      <c r="FI30" s="20" t="n">
        <f aca="false">IF(H_Direct=1,IF(AKV29&lt;=0,0,IF(BV30&lt;=0,AKV29,AKV29-G30*MAX(0,BV30*AKV29-(IU30+MH30)))),AKV29*(1-MAX(0,BV30)*H_Exit))</f>
        <v>0</v>
      </c>
      <c r="FJ30" s="20" t="n">
        <f aca="false">IF(H_Direct=1,IF(AKW29&lt;=0,0,IF(BW30&lt;=0,AKW29,AKW29-G30*MAX(0,BW30*AKW29-(IV30+MI30)))),AKW29*(1-MAX(0,BW30)*H_Exit))</f>
        <v>0</v>
      </c>
      <c r="FK30" s="20" t="n">
        <f aca="false">IF(H_Direct=1,IF(AKX29&lt;=0,0,IF(BX30&lt;=0,AKX29,AKX29-G30*MAX(0,BX30*AKX29-(IW30+MJ30)))),AKX29*(1-MAX(0,BX30)*H_Exit))</f>
        <v>0</v>
      </c>
      <c r="FL30" s="20" t="n">
        <f aca="false">IF(H_Direct=1,IF(AKY29&lt;=0,0,IF(BY30&lt;=0,AKY29,AKY29-G30*MAX(0,BY30*AKY29-(IX30+MK30)))),AKY29*(1-MAX(0,BY30)*H_Exit))</f>
        <v>0</v>
      </c>
      <c r="FM30" s="20" t="n">
        <f aca="false">IF(H_Direct=1,IF(AKZ29&lt;=0,0,IF(BZ30&lt;=0,AKZ29,AKZ29-G30*MAX(0,BZ30*AKZ29-(IY30+ML30)))),AKZ29*(1-MAX(0,BZ30)*H_Exit))</f>
        <v>0</v>
      </c>
      <c r="FN30" s="20" t="n">
        <f aca="false">IF(H_Direct=1,IF(ALA29&lt;=0,0,IF(CA30&lt;=0,ALA29,ALA29-G30*MAX(0,CA30*ALA29-(IZ30+MM30)))),ALA29*(1-MAX(0,CA30)*H_Exit))</f>
        <v>0</v>
      </c>
      <c r="FO30" s="20" t="n">
        <f aca="false">IF(H_Direct=1,IF(ALB29&lt;=0,0,IF(CB30&lt;=0,ALB29,ALB29-G30*MAX(0,CB30*ALB29-(JA30+MN30)))),ALB29*(1-MAX(0,CB30)*H_Exit))</f>
        <v>0</v>
      </c>
      <c r="FP30" s="20" t="n">
        <f aca="false">IF(H_Direct=1,IF(ALC29&lt;=0,0,IF(CC30&lt;=0,ALC29,ALC29-G30*MAX(0,CC30*ALC29-(JB30+MO30)))),ALC29*(1-MAX(0,CC30)*H_Exit))</f>
        <v>742.327303602006</v>
      </c>
      <c r="FQ30" s="20" t="n">
        <f aca="false">IF(H_Direct=1,IF(ALD29&lt;=0,0,IF(CD30&lt;=0,ALD29,ALD29-G30*MAX(0,CD30*ALD29-(JC30+MP30)))),ALD29*(1-MAX(0,CD30)*H_Exit))</f>
        <v>946.665860431315</v>
      </c>
      <c r="FR30" s="20" t="n">
        <f aca="false">IF(H_Direct=1,IF(ALE29&lt;=0,0,IF(CE30&lt;=0,ALE29,ALE29-G30*MAX(0,CE30*ALE29-(JD30+MQ30)))),ALE29*(1-MAX(0,CE30)*H_Exit))</f>
        <v>1148.87713563519</v>
      </c>
      <c r="FS30" s="20" t="n">
        <f aca="false">IF(H_Direct=1,IF(ALF29&lt;=0,0,IF(CF30&lt;=0,ALF29,ALF29-G30*MAX(0,CF30*ALF29-(JE30+MR30)))),ALF29*(1-MAX(0,CF30)*H_Exit))</f>
        <v>1310.60993136508</v>
      </c>
      <c r="FT30" s="20" t="n">
        <f aca="false">IF(H_Direct=1,IF(ALG29&lt;=0,0,IF(CG30&lt;=0,ALG29,ALG29-G30*MAX(0,CG30*ALG29-(JF30+MS30)))),ALG29*(1-MAX(0,CG30)*H_Exit))</f>
        <v>1279.11908128089</v>
      </c>
      <c r="FU30" s="20" t="n">
        <f aca="false">IF(H_Direct=1,IF(ALH29&lt;=0,0,IF(CH30&lt;=0,ALH29,ALH29-G30*MAX(0,CH30*ALH29-(JG30+MT30)))),ALH29*(1-MAX(0,CH30)*H_Exit))</f>
        <v>1244.62337474159</v>
      </c>
      <c r="FV30" s="20" t="n">
        <f aca="false">IF(H_Direct=1,IF(ALI29&lt;=0,0,IF(CI30&lt;=0,ALI29,ALI29-G30*MAX(0,CI30*ALI29-(JH30+MU30)))),ALI29*(1-MAX(0,CI30)*H_Exit))</f>
        <v>1210.70904758813</v>
      </c>
      <c r="FW30" s="20" t="n">
        <f aca="false">IF(H_Direct=1,IF(ALJ29&lt;=0,0,IF(CJ30&lt;=0,ALJ29,ALJ29-G30*MAX(0,CJ30*ALJ29-(JI30+MV30)))),ALJ29*(1-MAX(0,CJ30)*H_Exit))</f>
        <v>3811.98856094458</v>
      </c>
      <c r="FX30" s="20" t="n">
        <f aca="false">IF(H_Direct=1,IF(ALK29&lt;=0,0,IF(CK30&lt;=0,ALK29,ALK29-G30*MAX(0,CK30*ALK29-(JJ30+MW30)))),ALK29*(1-MAX(0,CK30)*H_Exit))</f>
        <v>3788.77957237986</v>
      </c>
      <c r="FY30" s="20" t="n">
        <f aca="false">IF(H_Direct=1,IF(ALL29&lt;=0,0,IF(CL30&lt;=0,ALL29,ALL29-G30*MAX(0,CL30*ALL29-(JK30+MX30)))),ALL29*(1-MAX(0,CL30)*H_Exit))</f>
        <v>3767.01888019353</v>
      </c>
      <c r="FZ30" s="20" t="n">
        <f aca="false">IF(H_Direct=1,IF(ALM29&lt;=0,0,IF(CM30&lt;=0,ALM29,ALM29-G30*MAX(0,CM30*ALM29-(JL30+MY30)))),ALM29*(1-MAX(0,CM30)*H_Exit))</f>
        <v>3746.69867192566</v>
      </c>
      <c r="GA30" s="20" t="n">
        <f aca="false">IF(H_Direct=1,IF(ALN29&lt;=0,0,IF(CN30&lt;=0,ALN29,ALN29-G30*MAX(0,CN30*ALN29-(JM30+MZ30)))),ALN29*(1-MAX(0,CN30)*H_Exit))</f>
        <v>3727.81168614382</v>
      </c>
      <c r="GB30" s="20" t="n">
        <f aca="false">IF(H_Direct=1,IF((P30+S30)&lt;=0,0,IF(CO30&lt;=0,(P30+S30),(P30+S30)-G30*MAX(0,CO30*(P30+S30)-(JN30+NA30)))),(P30+S30)*(1-MAX(0,CO30)*H_Exit))</f>
        <v>0</v>
      </c>
      <c r="GC30" s="20" t="n">
        <v>0</v>
      </c>
      <c r="GD30" s="20" t="n">
        <v>0</v>
      </c>
      <c r="GE30" s="20" t="n">
        <v>0</v>
      </c>
      <c r="GF30" s="20" t="n">
        <v>0</v>
      </c>
      <c r="GG30" s="20" t="n">
        <v>0</v>
      </c>
      <c r="GH30" s="20" t="n">
        <v>0</v>
      </c>
      <c r="GI30" s="20" t="n">
        <v>0</v>
      </c>
      <c r="GJ30" s="20" t="n">
        <v>0</v>
      </c>
      <c r="GK30" s="20" t="n">
        <v>0</v>
      </c>
      <c r="GL30" s="20" t="n">
        <v>0</v>
      </c>
      <c r="GM30" s="20" t="n">
        <v>0</v>
      </c>
      <c r="GN30" s="20" t="n">
        <v>0</v>
      </c>
      <c r="GO30" s="20" t="n">
        <v>0</v>
      </c>
      <c r="GP30" s="20" t="n">
        <v>0</v>
      </c>
      <c r="GQ30" s="20" t="n">
        <v>0</v>
      </c>
      <c r="GR30" s="20" t="n">
        <v>0</v>
      </c>
      <c r="GS30" s="20" t="n">
        <v>0</v>
      </c>
      <c r="GT30" s="20" t="n">
        <v>0</v>
      </c>
      <c r="GU30" s="20" t="n">
        <v>0</v>
      </c>
      <c r="GV30" s="20" t="n">
        <v>0</v>
      </c>
      <c r="GW30" s="20" t="n">
        <v>0</v>
      </c>
      <c r="GX30" s="20" t="n">
        <v>0</v>
      </c>
      <c r="GY30" s="20" t="n">
        <v>0</v>
      </c>
      <c r="GZ30" s="20" t="n">
        <v>0</v>
      </c>
      <c r="HA30" s="20" t="n">
        <v>0</v>
      </c>
      <c r="HB30" s="20" t="n">
        <v>0</v>
      </c>
      <c r="HC30" s="20" t="n">
        <v>0</v>
      </c>
      <c r="HD30" s="20" t="n">
        <v>0</v>
      </c>
      <c r="HE30" s="20" t="n">
        <v>0</v>
      </c>
      <c r="HF30" s="20" t="n">
        <v>0</v>
      </c>
      <c r="HG30" s="20" t="n">
        <v>0</v>
      </c>
      <c r="HH30" s="20" t="n">
        <v>0</v>
      </c>
      <c r="HI30" s="20" t="n">
        <v>0</v>
      </c>
      <c r="HJ30" s="20" t="n">
        <v>0</v>
      </c>
      <c r="HK30" s="20" t="n">
        <v>0</v>
      </c>
      <c r="HL30" s="20" t="n">
        <v>0</v>
      </c>
      <c r="HM30" s="20" t="n">
        <v>0</v>
      </c>
      <c r="HN30" s="20" t="n">
        <v>0</v>
      </c>
      <c r="HO30" s="20" t="n">
        <v>0</v>
      </c>
      <c r="HP30" s="20" t="n">
        <v>0</v>
      </c>
      <c r="HQ30" s="20" t="n">
        <v>0</v>
      </c>
      <c r="HR30" s="20" t="n">
        <v>0</v>
      </c>
      <c r="HS30" s="20" t="n">
        <v>0</v>
      </c>
      <c r="HT30" s="20" t="n">
        <v>0</v>
      </c>
      <c r="HU30" s="20" t="n">
        <v>0</v>
      </c>
      <c r="HV30" s="20" t="n">
        <v>0</v>
      </c>
      <c r="HW30" s="20" t="n">
        <v>0</v>
      </c>
      <c r="HX30" s="20" t="n">
        <v>0</v>
      </c>
      <c r="HY30" s="20" t="n">
        <v>0</v>
      </c>
      <c r="HZ30" s="20" t="n">
        <v>0</v>
      </c>
      <c r="IA30" s="20" t="n">
        <v>0</v>
      </c>
      <c r="IB30" s="20" t="n">
        <v>0</v>
      </c>
      <c r="IC30" s="20" t="n">
        <v>0</v>
      </c>
      <c r="ID30" s="20" t="n">
        <v>0</v>
      </c>
      <c r="IE30" s="20" t="n">
        <v>0</v>
      </c>
      <c r="IF30" s="20" t="n">
        <v>0</v>
      </c>
      <c r="IG30" s="20" t="n">
        <v>0</v>
      </c>
      <c r="IH30" s="20" t="n">
        <v>0</v>
      </c>
      <c r="II30" s="20" t="n">
        <v>0</v>
      </c>
      <c r="IJ30" s="20" t="n">
        <v>0</v>
      </c>
      <c r="IK30" s="20" t="n">
        <v>0</v>
      </c>
      <c r="IL30" s="20" t="n">
        <v>0</v>
      </c>
      <c r="IM30" s="20" t="n">
        <v>0</v>
      </c>
      <c r="IN30" s="20" t="n">
        <v>0</v>
      </c>
      <c r="IO30" s="20" t="n">
        <v>0</v>
      </c>
      <c r="IP30" s="20" t="n">
        <v>0</v>
      </c>
      <c r="IQ30" s="20" t="n">
        <v>0</v>
      </c>
      <c r="IR30" s="20" t="n">
        <f aca="false">IF(AND(H_Direct=1,BR30&gt;0),MAX(0,H30-(MIN(BR30*AKR29,H30+I30)-MIN(MIN(BR30*AKR29,H30+I30),I30))),H30)</f>
        <v>1270</v>
      </c>
      <c r="IS30" s="20" t="n">
        <f aca="false">IF(AND(H_Direct=1,BS30&gt;0),MAX(0,IR30-(MIN(BS30*AKS29,IR30+ME30)-MIN(MIN(BS30*AKS29,IR30+ME30),ME30))),IR30)</f>
        <v>1270</v>
      </c>
      <c r="IT30" s="20" t="n">
        <f aca="false">IF(AND(H_Direct=1,BT30&gt;0),MAX(0,IS30-(MIN(BT30*AKT29,IS30+MF30)-MIN(MIN(BT30*AKT29,IS30+MF30),MF30))),IS30)</f>
        <v>1270</v>
      </c>
      <c r="IU30" s="20" t="n">
        <f aca="false">IF(AND(H_Direct=1,BU30&gt;0),MAX(0,IT30-(MIN(BU30*AKU29,IT30+MG30)-MIN(MIN(BU30*AKU29,IT30+MG30),MG30))),IT30)</f>
        <v>1270</v>
      </c>
      <c r="IV30" s="20" t="n">
        <f aca="false">IF(AND(H_Direct=1,BV30&gt;0),MAX(0,IU30-(MIN(BV30*AKV29,IU30+MH30)-MIN(MIN(BV30*AKV29,IU30+MH30),MH30))),IU30)</f>
        <v>1270</v>
      </c>
      <c r="IW30" s="20" t="n">
        <f aca="false">IF(AND(H_Direct=1,BW30&gt;0),MAX(0,IV30-(MIN(BW30*AKW29,IV30+MI30)-MIN(MIN(BW30*AKW29,IV30+MI30),MI30))),IV30)</f>
        <v>1270</v>
      </c>
      <c r="IX30" s="20" t="n">
        <f aca="false">IF(AND(H_Direct=1,BX30&gt;0),MAX(0,IW30-(MIN(BX30*AKX29,IW30+MJ30)-MIN(MIN(BX30*AKX29,IW30+MJ30),MJ30))),IW30)</f>
        <v>1270</v>
      </c>
      <c r="IY30" s="20" t="n">
        <f aca="false">IF(AND(H_Direct=1,BY30&gt;0),MAX(0,IX30-(MIN(BY30*AKY29,IX30+MK30)-MIN(MIN(BY30*AKY29,IX30+MK30),MK30))),IX30)</f>
        <v>1270</v>
      </c>
      <c r="IZ30" s="20" t="n">
        <f aca="false">IF(AND(H_Direct=1,BZ30&gt;0),MAX(0,IY30-(MIN(BZ30*AKZ29,IY30+ML30)-MIN(MIN(BZ30*AKZ29,IY30+ML30),ML30))),IY30)</f>
        <v>1270</v>
      </c>
      <c r="JA30" s="20" t="n">
        <f aca="false">IF(AND(H_Direct=1,CA30&gt;0),MAX(0,IZ30-(MIN(CA30*ALA29,IZ30+MM30)-MIN(MIN(CA30*ALA29,IZ30+MM30),MM30))),IZ30)</f>
        <v>1270</v>
      </c>
      <c r="JB30" s="20" t="n">
        <f aca="false">IF(AND(H_Direct=1,CB30&gt;0),MAX(0,JA30-(MIN(CB30*ALB29,JA30+MN30)-MIN(MIN(CB30*ALB29,JA30+MN30),MN30))),JA30)</f>
        <v>1270</v>
      </c>
      <c r="JC30" s="20" t="n">
        <f aca="false">IF(AND(H_Direct=1,CC30&gt;0),MAX(0,JB30-(MIN(CC30*ALC29,JB30+MO30)-MIN(MIN(CC30*ALC29,JB30+MO30),MO30))),JB30)</f>
        <v>1270</v>
      </c>
      <c r="JD30" s="20" t="n">
        <f aca="false">IF(AND(H_Direct=1,CD30&gt;0),MAX(0,JC30-(MIN(CD30*ALD29,JC30+MP30)-MIN(MIN(CD30*ALD29,JC30+MP30),MP30))),JC30)</f>
        <v>1270</v>
      </c>
      <c r="JE30" s="20" t="n">
        <f aca="false">IF(AND(H_Direct=1,CE30&gt;0),MAX(0,JD30-(MIN(CE30*ALE29,JD30+MQ30)-MIN(MIN(CE30*ALE29,JD30+MQ30),MQ30))),JD30)</f>
        <v>1270</v>
      </c>
      <c r="JF30" s="20" t="n">
        <f aca="false">IF(AND(H_Direct=1,CF30&gt;0),MAX(0,JE30-(MIN(CF30*ALF29,JE30+MR30)-MIN(MIN(CF30*ALF29,JE30+MR30),MR30))),JE30)</f>
        <v>1270</v>
      </c>
      <c r="JG30" s="20" t="n">
        <f aca="false">IF(AND(H_Direct=1,CG30&gt;0),MAX(0,JF30-(MIN(CG30*ALG29,JF30+MS30)-MIN(MIN(CG30*ALG29,JF30+MS30),MS30))),JF30)</f>
        <v>1270</v>
      </c>
      <c r="JH30" s="20" t="n">
        <f aca="false">IF(AND(H_Direct=1,CH30&gt;0),MAX(0,JG30-(MIN(CH30*ALH29,JG30+MT30)-MIN(MIN(CH30*ALH29,JG30+MT30),MT30))),JG30)</f>
        <v>1270</v>
      </c>
      <c r="JI30" s="20" t="n">
        <f aca="false">IF(AND(H_Direct=1,CI30&gt;0),MAX(0,JH30-(MIN(CI30*ALI29,JH30+MU30)-MIN(MIN(CI30*ALI29,JH30+MU30),MU30))),JH30)</f>
        <v>1270</v>
      </c>
      <c r="JJ30" s="20" t="n">
        <f aca="false">IF(AND(H_Direct=1,CJ30&gt;0),MAX(0,JI30-(MIN(CJ30*ALJ29,JI30+MV30)-MIN(MIN(CJ30*ALJ29,JI30+MV30),MV30))),JI30)</f>
        <v>1270</v>
      </c>
      <c r="JK30" s="20" t="n">
        <f aca="false">IF(AND(H_Direct=1,CK30&gt;0),MAX(0,JJ30-(MIN(CK30*ALK29,JJ30+MW30)-MIN(MIN(CK30*ALK29,JJ30+MW30),MW30))),JJ30)</f>
        <v>1270</v>
      </c>
      <c r="JL30" s="20" t="n">
        <f aca="false">IF(AND(H_Direct=1,CL30&gt;0),MAX(0,JK30-(MIN(CL30*ALL29,JK30+MX30)-MIN(MIN(CL30*ALL29,JK30+MX30),MX30))),JK30)</f>
        <v>1270</v>
      </c>
      <c r="JM30" s="20" t="n">
        <f aca="false">IF(AND(H_Direct=1,CM30&gt;0),MAX(0,JL30-(MIN(CM30*ALM29,JL30+MY30)-MIN(MIN(CM30*ALM29,JL30+MY30),MY30))),JL30)</f>
        <v>1270</v>
      </c>
      <c r="JN30" s="20" t="n">
        <f aca="false">IF(AND(H_Direct=1,CN30&gt;0),MAX(0,JM30-(MIN(CN30*ALN29,JM30+MZ30)-MIN(MIN(CN30*ALN29,JM30+MZ30),MZ30))),JM30)</f>
        <v>1270</v>
      </c>
      <c r="JO30" s="20" t="n">
        <f aca="false">IF(AND(H_Direct=1,CO30&gt;0),MAX(0,JN30-(MIN(CO30*(P30+S30),JN30+NA30)-MIN(MIN(CO30*(P30+S30),JN30+NA30),NA30))),JN30)</f>
        <v>1270</v>
      </c>
      <c r="JP30" s="20" t="n">
        <f aca="false">JO30</f>
        <v>1270</v>
      </c>
      <c r="JQ30" s="20" t="n">
        <f aca="false">JP30</f>
        <v>1270</v>
      </c>
      <c r="JR30" s="20" t="n">
        <f aca="false">JQ30</f>
        <v>1270</v>
      </c>
      <c r="JS30" s="20" t="n">
        <f aca="false">JR30</f>
        <v>1270</v>
      </c>
      <c r="JT30" s="20" t="n">
        <f aca="false">JS30</f>
        <v>1270</v>
      </c>
      <c r="JU30" s="20" t="n">
        <f aca="false">JT30</f>
        <v>1270</v>
      </c>
      <c r="JV30" s="20" t="n">
        <f aca="false">JU30</f>
        <v>1270</v>
      </c>
      <c r="JW30" s="20" t="n">
        <f aca="false">JV30</f>
        <v>1270</v>
      </c>
      <c r="JX30" s="20" t="n">
        <f aca="false">JW30</f>
        <v>1270</v>
      </c>
      <c r="JY30" s="20" t="n">
        <f aca="false">JX30</f>
        <v>1270</v>
      </c>
      <c r="JZ30" s="20" t="n">
        <f aca="false">JY30</f>
        <v>1270</v>
      </c>
      <c r="KA30" s="20" t="n">
        <f aca="false">JZ30</f>
        <v>1270</v>
      </c>
      <c r="KB30" s="20" t="n">
        <f aca="false">KA30</f>
        <v>1270</v>
      </c>
      <c r="KC30" s="20" t="n">
        <f aca="false">KB30</f>
        <v>1270</v>
      </c>
      <c r="KD30" s="20" t="n">
        <f aca="false">KC30</f>
        <v>1270</v>
      </c>
      <c r="KE30" s="20" t="n">
        <f aca="false">KD30</f>
        <v>1270</v>
      </c>
      <c r="KF30" s="20" t="n">
        <f aca="false">KE30</f>
        <v>1270</v>
      </c>
      <c r="KG30" s="20" t="n">
        <f aca="false">KF30</f>
        <v>1270</v>
      </c>
      <c r="KH30" s="20" t="n">
        <f aca="false">KG30</f>
        <v>1270</v>
      </c>
      <c r="KI30" s="20" t="n">
        <f aca="false">KH30</f>
        <v>1270</v>
      </c>
      <c r="KJ30" s="20" t="n">
        <f aca="false">KI30</f>
        <v>1270</v>
      </c>
      <c r="KK30" s="20" t="n">
        <f aca="false">KJ30</f>
        <v>1270</v>
      </c>
      <c r="KL30" s="20" t="n">
        <f aca="false">KK30</f>
        <v>1270</v>
      </c>
      <c r="KM30" s="20" t="n">
        <f aca="false">KL30</f>
        <v>1270</v>
      </c>
      <c r="KN30" s="20" t="n">
        <f aca="false">KM30</f>
        <v>1270</v>
      </c>
      <c r="KO30" s="20" t="n">
        <f aca="false">KN30</f>
        <v>1270</v>
      </c>
      <c r="KP30" s="20" t="n">
        <f aca="false">KO30</f>
        <v>1270</v>
      </c>
      <c r="KQ30" s="20" t="n">
        <f aca="false">KP30</f>
        <v>1270</v>
      </c>
      <c r="KR30" s="20" t="n">
        <f aca="false">KQ30</f>
        <v>1270</v>
      </c>
      <c r="KS30" s="20" t="n">
        <f aca="false">KR30</f>
        <v>1270</v>
      </c>
      <c r="KT30" s="20" t="n">
        <f aca="false">KS30</f>
        <v>1270</v>
      </c>
      <c r="KU30" s="20" t="n">
        <f aca="false">KT30</f>
        <v>1270</v>
      </c>
      <c r="KV30" s="20" t="n">
        <f aca="false">KU30</f>
        <v>1270</v>
      </c>
      <c r="KW30" s="20" t="n">
        <f aca="false">KV30</f>
        <v>1270</v>
      </c>
      <c r="KX30" s="20" t="n">
        <f aca="false">KW30</f>
        <v>1270</v>
      </c>
      <c r="KY30" s="20" t="n">
        <f aca="false">KX30</f>
        <v>1270</v>
      </c>
      <c r="KZ30" s="20" t="n">
        <f aca="false">KY30</f>
        <v>1270</v>
      </c>
      <c r="LA30" s="20" t="n">
        <f aca="false">KZ30</f>
        <v>1270</v>
      </c>
      <c r="LB30" s="20" t="n">
        <f aca="false">LA30</f>
        <v>1270</v>
      </c>
      <c r="LC30" s="20" t="n">
        <f aca="false">LB30</f>
        <v>1270</v>
      </c>
      <c r="LD30" s="20" t="n">
        <f aca="false">LC30</f>
        <v>1270</v>
      </c>
      <c r="LE30" s="20" t="n">
        <f aca="false">LD30</f>
        <v>1270</v>
      </c>
      <c r="LF30" s="20" t="n">
        <f aca="false">LE30</f>
        <v>1270</v>
      </c>
      <c r="LG30" s="20" t="n">
        <f aca="false">LF30</f>
        <v>1270</v>
      </c>
      <c r="LH30" s="20" t="n">
        <f aca="false">LG30</f>
        <v>1270</v>
      </c>
      <c r="LI30" s="20" t="n">
        <f aca="false">LH30</f>
        <v>1270</v>
      </c>
      <c r="LJ30" s="20" t="n">
        <f aca="false">LI30</f>
        <v>1270</v>
      </c>
      <c r="LK30" s="20" t="n">
        <f aca="false">LJ30</f>
        <v>1270</v>
      </c>
      <c r="LL30" s="20" t="n">
        <f aca="false">LK30</f>
        <v>1270</v>
      </c>
      <c r="LM30" s="20" t="n">
        <f aca="false">LL30</f>
        <v>1270</v>
      </c>
      <c r="LN30" s="20" t="n">
        <f aca="false">LM30</f>
        <v>1270</v>
      </c>
      <c r="LO30" s="20" t="n">
        <f aca="false">LN30</f>
        <v>1270</v>
      </c>
      <c r="LP30" s="20" t="n">
        <f aca="false">LO30</f>
        <v>1270</v>
      </c>
      <c r="LQ30" s="20" t="n">
        <f aca="false">LP30</f>
        <v>1270</v>
      </c>
      <c r="LR30" s="20" t="n">
        <f aca="false">LQ30</f>
        <v>1270</v>
      </c>
      <c r="LS30" s="20" t="n">
        <f aca="false">LR30</f>
        <v>1270</v>
      </c>
      <c r="LT30" s="20" t="n">
        <f aca="false">LS30</f>
        <v>1270</v>
      </c>
      <c r="LU30" s="20" t="n">
        <f aca="false">LT30</f>
        <v>1270</v>
      </c>
      <c r="LV30" s="20" t="n">
        <f aca="false">LU30</f>
        <v>1270</v>
      </c>
      <c r="LW30" s="20" t="n">
        <f aca="false">LV30</f>
        <v>1270</v>
      </c>
      <c r="LX30" s="20" t="n">
        <f aca="false">LW30</f>
        <v>1270</v>
      </c>
      <c r="LY30" s="20" t="n">
        <f aca="false">LX30</f>
        <v>1270</v>
      </c>
      <c r="LZ30" s="20" t="n">
        <f aca="false">LY30</f>
        <v>1270</v>
      </c>
      <c r="MA30" s="20" t="n">
        <f aca="false">LZ30</f>
        <v>1270</v>
      </c>
      <c r="MB30" s="20" t="n">
        <f aca="false">MA30</f>
        <v>1270</v>
      </c>
      <c r="MC30" s="20" t="n">
        <f aca="false">MB30</f>
        <v>1270</v>
      </c>
      <c r="MD30" s="20" t="n">
        <f aca="false">MC30</f>
        <v>1270</v>
      </c>
      <c r="ME30" s="20" t="n">
        <f aca="false">IF(H_Direct=1,IF(BR30&lt;=0,I30-BR30*AKR29,I30-MIN(MIN(BR30*AKR29,H30+I30),I30)),I30)</f>
        <v>0</v>
      </c>
      <c r="MF30" s="20" t="n">
        <f aca="false">IF(H_Direct=1,IF(BS30&lt;=0,ME30-BS30*AKS29,ME30-MIN(MIN(BS30*AKS29,IR30+ME30),ME30)),ME30)</f>
        <v>0</v>
      </c>
      <c r="MG30" s="20" t="n">
        <f aca="false">IF(H_Direct=1,IF(BT30&lt;=0,MF30-BT30*AKT29,MF30-MIN(MIN(BT30*AKT29,IS30+MF30),MF30)),MF30)</f>
        <v>0</v>
      </c>
      <c r="MH30" s="20" t="n">
        <f aca="false">IF(H_Direct=1,IF(BU30&lt;=0,MG30-BU30*AKU29,MG30-MIN(MIN(BU30*AKU29,IT30+MG30),MG30)),MG30)</f>
        <v>0</v>
      </c>
      <c r="MI30" s="20" t="n">
        <f aca="false">IF(H_Direct=1,IF(BV30&lt;=0,MH30-BV30*AKV29,MH30-MIN(MIN(BV30*AKV29,IU30+MH30),MH30)),MH30)</f>
        <v>0</v>
      </c>
      <c r="MJ30" s="20" t="n">
        <f aca="false">IF(H_Direct=1,IF(BW30&lt;=0,MI30-BW30*AKW29,MI30-MIN(MIN(BW30*AKW29,IV30+MI30),MI30)),MI30)</f>
        <v>0</v>
      </c>
      <c r="MK30" s="20" t="n">
        <f aca="false">IF(H_Direct=1,IF(BX30&lt;=0,MJ30-BX30*AKX29,MJ30-MIN(MIN(BX30*AKX29,IW30+MJ30),MJ30)),MJ30)</f>
        <v>0</v>
      </c>
      <c r="ML30" s="20" t="n">
        <f aca="false">IF(H_Direct=1,IF(BY30&lt;=0,MK30-BY30*AKY29,MK30-MIN(MIN(BY30*AKY29,IX30+MK30),MK30)),MK30)</f>
        <v>0</v>
      </c>
      <c r="MM30" s="20" t="n">
        <f aca="false">IF(H_Direct=1,IF(BZ30&lt;=0,ML30-BZ30*AKZ29,ML30-MIN(MIN(BZ30*AKZ29,IY30+ML30),ML30)),ML30)</f>
        <v>0</v>
      </c>
      <c r="MN30" s="20" t="n">
        <f aca="false">IF(H_Direct=1,IF(CA30&lt;=0,MM30-CA30*ALA29,MM30-MIN(MIN(CA30*ALA29,IZ30+MM30),MM30)),MM30)</f>
        <v>0</v>
      </c>
      <c r="MO30" s="20" t="n">
        <f aca="false">IF(H_Direct=1,IF(CB30&lt;=0,MN30-CB30*ALB29,MN30-MIN(MIN(CB30*ALB29,JA30+MN30),MN30)),MN30)</f>
        <v>0</v>
      </c>
      <c r="MP30" s="20" t="n">
        <f aca="false">IF(H_Direct=1,IF(CC30&lt;=0,MO30-CC30*ALC29,MO30-MIN(MIN(CC30*ALC29,JB30+MO30),MO30)),MO30)</f>
        <v>0</v>
      </c>
      <c r="MQ30" s="20" t="n">
        <f aca="false">IF(H_Direct=1,IF(CD30&lt;=0,MP30-CD30*ALD29,MP30-MIN(MIN(CD30*ALD29,JC30+MP30),MP30)),MP30)</f>
        <v>0</v>
      </c>
      <c r="MR30" s="20" t="n">
        <f aca="false">IF(H_Direct=1,IF(CE30&lt;=0,MQ30-CE30*ALE29,MQ30-MIN(MIN(CE30*ALE29,JD30+MQ30),MQ30)),MQ30)</f>
        <v>0</v>
      </c>
      <c r="MS30" s="20" t="n">
        <f aca="false">IF(H_Direct=1,IF(CF30&lt;=0,MR30-CF30*ALF29,MR30-MIN(MIN(CF30*ALF29,JE30+MR30),MR30)),MR30)</f>
        <v>0</v>
      </c>
      <c r="MT30" s="20" t="n">
        <f aca="false">IF(H_Direct=1,IF(CG30&lt;=0,MS30-CG30*ALG29,MS30-MIN(MIN(CG30*ALG29,JF30+MS30),MS30)),MS30)</f>
        <v>0</v>
      </c>
      <c r="MU30" s="20" t="n">
        <f aca="false">IF(H_Direct=1,IF(CH30&lt;=0,MT30-CH30*ALH29,MT30-MIN(MIN(CH30*ALH29,JG30+MT30),MT30)),MT30)</f>
        <v>0</v>
      </c>
      <c r="MV30" s="20" t="n">
        <f aca="false">IF(H_Direct=1,IF(CI30&lt;=0,MU30-CI30*ALI29,MU30-MIN(MIN(CI30*ALI29,JH30+MU30),MU30)),MU30)</f>
        <v>0</v>
      </c>
      <c r="MW30" s="20" t="n">
        <f aca="false">IF(H_Direct=1,IF(CJ30&lt;=0,MV30-CJ30*ALJ29,MV30-MIN(MIN(CJ30*ALJ29,JI30+MV30),MV30)),MV30)</f>
        <v>0</v>
      </c>
      <c r="MX30" s="20" t="n">
        <f aca="false">IF(H_Direct=1,IF(CK30&lt;=0,MW30-CK30*ALK29,MW30-MIN(MIN(CK30*ALK29,JJ30+MW30),MW30)),MW30)</f>
        <v>0</v>
      </c>
      <c r="MY30" s="20" t="n">
        <f aca="false">IF(H_Direct=1,IF(CL30&lt;=0,MX30-CL30*ALL29,MX30-MIN(MIN(CL30*ALL29,JK30+MX30),MX30)),MX30)</f>
        <v>0</v>
      </c>
      <c r="MZ30" s="20" t="n">
        <f aca="false">IF(H_Direct=1,IF(CM30&lt;=0,MY30-CM30*ALM29,MY30-MIN(MIN(CM30*ALM29,JL30+MY30),MY30)),MY30)</f>
        <v>0</v>
      </c>
      <c r="NA30" s="20" t="n">
        <f aca="false">IF(H_Direct=1,IF(CN30&lt;=0,MZ30-CN30*ALN29,MZ30-MIN(MIN(CN30*ALN29,JM30+MZ30),MZ30)),MZ30)</f>
        <v>0</v>
      </c>
      <c r="NB30" s="20" t="n">
        <f aca="false">IF(H_Direct=1,IF(CO30&lt;=0,NA30-CO30*(P30+S30),NA30-MIN(MIN(CO30*(P30+S30),JN30+NA30),NA30)),NA30)</f>
        <v>0</v>
      </c>
      <c r="NC30" s="20" t="n">
        <f aca="false">NB30</f>
        <v>0</v>
      </c>
      <c r="ND30" s="20" t="n">
        <f aca="false">NC30</f>
        <v>0</v>
      </c>
      <c r="NE30" s="20" t="n">
        <f aca="false">ND30</f>
        <v>0</v>
      </c>
      <c r="NF30" s="20" t="n">
        <f aca="false">NE30</f>
        <v>0</v>
      </c>
      <c r="NG30" s="20" t="n">
        <f aca="false">NF30</f>
        <v>0</v>
      </c>
      <c r="NH30" s="20" t="n">
        <f aca="false">NG30</f>
        <v>0</v>
      </c>
      <c r="NI30" s="20" t="n">
        <f aca="false">NH30</f>
        <v>0</v>
      </c>
      <c r="NJ30" s="20" t="n">
        <f aca="false">NI30</f>
        <v>0</v>
      </c>
      <c r="NK30" s="20" t="n">
        <f aca="false">NJ30</f>
        <v>0</v>
      </c>
      <c r="NL30" s="20" t="n">
        <f aca="false">NK30</f>
        <v>0</v>
      </c>
      <c r="NM30" s="20" t="n">
        <f aca="false">NL30</f>
        <v>0</v>
      </c>
      <c r="NN30" s="20" t="n">
        <f aca="false">NM30</f>
        <v>0</v>
      </c>
      <c r="NO30" s="20" t="n">
        <f aca="false">NN30</f>
        <v>0</v>
      </c>
      <c r="NP30" s="20" t="n">
        <f aca="false">NO30</f>
        <v>0</v>
      </c>
      <c r="NQ30" s="20" t="n">
        <f aca="false">NP30</f>
        <v>0</v>
      </c>
      <c r="NR30" s="20" t="n">
        <f aca="false">NQ30</f>
        <v>0</v>
      </c>
      <c r="NS30" s="20" t="n">
        <f aca="false">NR30</f>
        <v>0</v>
      </c>
      <c r="NT30" s="20" t="n">
        <f aca="false">NS30</f>
        <v>0</v>
      </c>
      <c r="NU30" s="20" t="n">
        <f aca="false">NT30</f>
        <v>0</v>
      </c>
      <c r="NV30" s="20" t="n">
        <f aca="false">NU30</f>
        <v>0</v>
      </c>
      <c r="NW30" s="20" t="n">
        <f aca="false">NV30</f>
        <v>0</v>
      </c>
      <c r="NX30" s="20" t="n">
        <f aca="false">NW30</f>
        <v>0</v>
      </c>
      <c r="NY30" s="20" t="n">
        <f aca="false">NX30</f>
        <v>0</v>
      </c>
      <c r="NZ30" s="20" t="n">
        <f aca="false">NY30</f>
        <v>0</v>
      </c>
      <c r="OA30" s="20" t="n">
        <f aca="false">NZ30</f>
        <v>0</v>
      </c>
      <c r="OB30" s="20" t="n">
        <f aca="false">OA30</f>
        <v>0</v>
      </c>
      <c r="OC30" s="20" t="n">
        <f aca="false">OB30</f>
        <v>0</v>
      </c>
      <c r="OD30" s="20" t="n">
        <f aca="false">OC30</f>
        <v>0</v>
      </c>
      <c r="OE30" s="20" t="n">
        <f aca="false">OD30</f>
        <v>0</v>
      </c>
      <c r="OF30" s="20" t="n">
        <f aca="false">OE30</f>
        <v>0</v>
      </c>
      <c r="OG30" s="20" t="n">
        <f aca="false">OF30</f>
        <v>0</v>
      </c>
      <c r="OH30" s="20" t="n">
        <f aca="false">OG30</f>
        <v>0</v>
      </c>
      <c r="OI30" s="20" t="n">
        <f aca="false">OH30</f>
        <v>0</v>
      </c>
      <c r="OJ30" s="20" t="n">
        <f aca="false">OI30</f>
        <v>0</v>
      </c>
      <c r="OK30" s="20" t="n">
        <f aca="false">OJ30</f>
        <v>0</v>
      </c>
      <c r="OL30" s="20" t="n">
        <f aca="false">OK30</f>
        <v>0</v>
      </c>
      <c r="OM30" s="20" t="n">
        <f aca="false">OL30</f>
        <v>0</v>
      </c>
      <c r="ON30" s="20" t="n">
        <f aca="false">OM30</f>
        <v>0</v>
      </c>
      <c r="OO30" s="20" t="n">
        <f aca="false">ON30</f>
        <v>0</v>
      </c>
      <c r="OP30" s="20" t="n">
        <f aca="false">OO30</f>
        <v>0</v>
      </c>
      <c r="OQ30" s="20" t="n">
        <f aca="false">OP30</f>
        <v>0</v>
      </c>
      <c r="OR30" s="20" t="n">
        <f aca="false">OQ30</f>
        <v>0</v>
      </c>
      <c r="OS30" s="20" t="n">
        <f aca="false">OR30</f>
        <v>0</v>
      </c>
      <c r="OT30" s="20" t="n">
        <f aca="false">OS30</f>
        <v>0</v>
      </c>
      <c r="OU30" s="20" t="n">
        <f aca="false">OT30</f>
        <v>0</v>
      </c>
      <c r="OV30" s="20" t="n">
        <f aca="false">OU30</f>
        <v>0</v>
      </c>
      <c r="OW30" s="20" t="n">
        <f aca="false">OV30</f>
        <v>0</v>
      </c>
      <c r="OX30" s="20" t="n">
        <f aca="false">OW30</f>
        <v>0</v>
      </c>
      <c r="OY30" s="20" t="n">
        <f aca="false">OX30</f>
        <v>0</v>
      </c>
      <c r="OZ30" s="20" t="n">
        <f aca="false">OY30</f>
        <v>0</v>
      </c>
      <c r="PA30" s="20" t="n">
        <f aca="false">OZ30</f>
        <v>0</v>
      </c>
      <c r="PB30" s="20" t="n">
        <f aca="false">PA30</f>
        <v>0</v>
      </c>
      <c r="PC30" s="20" t="n">
        <f aca="false">PB30</f>
        <v>0</v>
      </c>
      <c r="PD30" s="20" t="n">
        <f aca="false">PC30</f>
        <v>0</v>
      </c>
      <c r="PE30" s="20" t="n">
        <f aca="false">PD30</f>
        <v>0</v>
      </c>
      <c r="PF30" s="20" t="n">
        <f aca="false">PE30</f>
        <v>0</v>
      </c>
      <c r="PG30" s="20" t="n">
        <f aca="false">PF30</f>
        <v>0</v>
      </c>
      <c r="PH30" s="20" t="n">
        <f aca="false">PG30</f>
        <v>0</v>
      </c>
      <c r="PI30" s="20" t="n">
        <f aca="false">PH30</f>
        <v>0</v>
      </c>
      <c r="PJ30" s="20" t="n">
        <f aca="false">PI30</f>
        <v>0</v>
      </c>
      <c r="PK30" s="20" t="n">
        <f aca="false">PJ30</f>
        <v>0</v>
      </c>
      <c r="PL30" s="20" t="n">
        <f aca="false">PK30</f>
        <v>0</v>
      </c>
      <c r="PM30" s="20" t="n">
        <f aca="false">PL30</f>
        <v>0</v>
      </c>
      <c r="PN30" s="20" t="n">
        <f aca="false">PM30</f>
        <v>0</v>
      </c>
      <c r="PO30" s="20" t="n">
        <f aca="false">PN30</f>
        <v>0</v>
      </c>
      <c r="PP30" s="20" t="n">
        <f aca="false">PO30</f>
        <v>0</v>
      </c>
      <c r="PQ30" s="20" t="n">
        <f aca="false">PP30</f>
        <v>0</v>
      </c>
      <c r="PR30" s="20" t="n">
        <f aca="false">IF(H_Direct=1,IF(AKR29&lt;=0,0,IF(BR30&lt;=0,MIN(MAX(0,AB30),AKR29),MIN(MAX(0,AB30),AKR29-G30*MAX(0,BR30*AKR29-(H30+I30))))),MIN(FE30,MAX(0,AB30)))</f>
        <v>0</v>
      </c>
      <c r="PS30" s="20" t="n">
        <f aca="false">IF(H_Direct=1,IF(AKS29&lt;=0,0,IF(BS30&lt;=0,MIN(MAX(0,AB30-SUM(PR30:PR30)),AKS29),MIN(MAX(0,AB30-SUM(PR30:PR30)),AKS29-G30*MAX(0,BS30*AKS29-(WR30+AAE30))))),MIN(FF30,MAX(0,AB30-SUM(PR30:PR30))))</f>
        <v>0</v>
      </c>
      <c r="PT30" s="20" t="n">
        <f aca="false">IF(H_Direct=1,IF(AKT29&lt;=0,0,IF(BT30&lt;=0,MIN(MAX(0,AB30-SUM(PR30:PS30)),AKT29),MIN(MAX(0,AB30-SUM(PR30:PS30)),AKT29-G30*MAX(0,BT30*AKT29-(WS30+AAF30))))),MIN(FG30,MAX(0,AB30-SUM(PR30:PS30))))</f>
        <v>0</v>
      </c>
      <c r="PU30" s="20" t="n">
        <f aca="false">IF(H_Direct=1,IF(AKU29&lt;=0,0,IF(BU30&lt;=0,MIN(MAX(0,AB30-SUM(PR30:PT30)),AKU29),MIN(MAX(0,AB30-SUM(PR30:PT30)),AKU29-G30*MAX(0,BU30*AKU29-(WT30+AAG30))))),MIN(FH30,MAX(0,AB30-SUM(PR30:PT30))))</f>
        <v>0</v>
      </c>
      <c r="PV30" s="20" t="n">
        <f aca="false">IF(H_Direct=1,IF(AKV29&lt;=0,0,IF(BV30&lt;=0,MIN(MAX(0,AB30-SUM(PR30:PU30)),AKV29),MIN(MAX(0,AB30-SUM(PR30:PU30)),AKV29-G30*MAX(0,BV30*AKV29-(WU30+AAH30))))),MIN(FI30,MAX(0,AB30-SUM(PR30:PU30))))</f>
        <v>0</v>
      </c>
      <c r="PW30" s="20" t="n">
        <f aca="false">IF(H_Direct=1,IF(AKW29&lt;=0,0,IF(BW30&lt;=0,MIN(MAX(0,AB30-SUM(PR30:PV30)),AKW29),MIN(MAX(0,AB30-SUM(PR30:PV30)),AKW29-G30*MAX(0,BW30*AKW29-(WV30+AAI30))))),MIN(FJ30,MAX(0,AB30-SUM(PR30:PV30))))</f>
        <v>0</v>
      </c>
      <c r="PX30" s="20" t="n">
        <f aca="false">IF(H_Direct=1,IF(AKX29&lt;=0,0,IF(BX30&lt;=0,MIN(MAX(0,AB30-SUM(PR30:PW30)),AKX29),MIN(MAX(0,AB30-SUM(PR30:PW30)),AKX29-G30*MAX(0,BX30*AKX29-(WW30+AAJ30))))),MIN(FK30,MAX(0,AB30-SUM(PR30:PW30))))</f>
        <v>0</v>
      </c>
      <c r="PY30" s="20" t="n">
        <f aca="false">IF(H_Direct=1,IF(AKY29&lt;=0,0,IF(BY30&lt;=0,MIN(MAX(0,AB30-SUM(PR30:PX30)),AKY29),MIN(MAX(0,AB30-SUM(PR30:PX30)),AKY29-G30*MAX(0,BY30*AKY29-(WX30+AAK30))))),MIN(FL30,MAX(0,AB30-SUM(PR30:PX30))))</f>
        <v>0</v>
      </c>
      <c r="PZ30" s="20" t="n">
        <f aca="false">IF(H_Direct=1,IF(AKZ29&lt;=0,0,IF(BZ30&lt;=0,MIN(MAX(0,AB30-SUM(PR30:PY30)),AKZ29),MIN(MAX(0,AB30-SUM(PR30:PY30)),AKZ29-G30*MAX(0,BZ30*AKZ29-(WY30+AAL30))))),MIN(FM30,MAX(0,AB30-SUM(PR30:PY30))))</f>
        <v>0</v>
      </c>
      <c r="QA30" s="20" t="n">
        <f aca="false">IF(H_Direct=1,IF(ALA29&lt;=0,0,IF(CA30&lt;=0,MIN(MAX(0,AB30-SUM(PR30:PZ30)),ALA29),MIN(MAX(0,AB30-SUM(PR30:PZ30)),ALA29-G30*MAX(0,CA30*ALA29-(WZ30+AAM30))))),MIN(FN30,MAX(0,AB30-SUM(PR30:PZ30))))</f>
        <v>0</v>
      </c>
      <c r="QB30" s="20" t="n">
        <f aca="false">IF(H_Direct=1,IF(ALB29&lt;=0,0,IF(CB30&lt;=0,MIN(MAX(0,AB30-SUM(PR30:QA30)),ALB29),MIN(MAX(0,AB30-SUM(PR30:QA30)),ALB29-G30*MAX(0,CB30*ALB29-(XA30+AAN30))))),MIN(FO30,MAX(0,AB30-SUM(PR30:QA30))))</f>
        <v>0</v>
      </c>
      <c r="QC30" s="20" t="n">
        <f aca="false">IF(H_Direct=1,IF(ALC29&lt;=0,0,IF(CC30&lt;=0,MIN(MAX(0,AB30-SUM(PR30:QB30)),ALC29),MIN(MAX(0,AB30-SUM(PR30:QB30)),ALC29-G30*MAX(0,CC30*ALC29-(XB30+AAO30))))),MIN(FP30,MAX(0,AB30-SUM(PR30:QB30))))</f>
        <v>0</v>
      </c>
      <c r="QD30" s="20" t="n">
        <f aca="false">IF(H_Direct=1,IF(ALD29&lt;=0,0,IF(CD30&lt;=0,MIN(MAX(0,AB30-SUM(PR30:QC30)),ALD29),MIN(MAX(0,AB30-SUM(PR30:QC30)),ALD29-G30*MAX(0,CD30*ALD29-(XC30+AAP30))))),MIN(FQ30,MAX(0,AB30-SUM(PR30:QC30))))</f>
        <v>0</v>
      </c>
      <c r="QE30" s="20" t="n">
        <f aca="false">IF(H_Direct=1,IF(ALE29&lt;=0,0,IF(CE30&lt;=0,MIN(MAX(0,AB30-SUM(PR30:QD30)),ALE29),MIN(MAX(0,AB30-SUM(PR30:QD30)),ALE29-G30*MAX(0,CE30*ALE29-(XD30+AAQ30))))),MIN(FR30,MAX(0,AB30-SUM(PR30:QD30))))</f>
        <v>0</v>
      </c>
      <c r="QF30" s="20" t="n">
        <f aca="false">IF(H_Direct=1,IF(ALF29&lt;=0,0,IF(CF30&lt;=0,MIN(MAX(0,AB30-SUM(PR30:QE30)),ALF29),MIN(MAX(0,AB30-SUM(PR30:QE30)),ALF29-G30*MAX(0,CF30*ALF29-(XE30+AAR30))))),MIN(FS30,MAX(0,AB30-SUM(PR30:QE30))))</f>
        <v>0</v>
      </c>
      <c r="QG30" s="20" t="n">
        <f aca="false">IF(H_Direct=1,IF(ALG29&lt;=0,0,IF(CG30&lt;=0,MIN(MAX(0,AB30-SUM(PR30:QF30)),ALG29),MIN(MAX(0,AB30-SUM(PR30:QF30)),ALG29-G30*MAX(0,CG30*ALG29-(XF30+AAS30))))),MIN(FT30,MAX(0,AB30-SUM(PR30:QF30))))</f>
        <v>0</v>
      </c>
      <c r="QH30" s="20" t="n">
        <f aca="false">IF(H_Direct=1,IF(ALH29&lt;=0,0,IF(CH30&lt;=0,MIN(MAX(0,AB30-SUM(PR30:QG30)),ALH29),MIN(MAX(0,AB30-SUM(PR30:QG30)),ALH29-G30*MAX(0,CH30*ALH29-(XG30+AAT30))))),MIN(FU30,MAX(0,AB30-SUM(PR30:QG30))))</f>
        <v>0</v>
      </c>
      <c r="QI30" s="20" t="n">
        <f aca="false">IF(H_Direct=1,IF(ALI29&lt;=0,0,IF(CI30&lt;=0,MIN(MAX(0,AB30-SUM(PR30:QH30)),ALI29),MIN(MAX(0,AB30-SUM(PR30:QH30)),ALI29-G30*MAX(0,CI30*ALI29-(XH30+AAU30))))),MIN(FV30,MAX(0,AB30-SUM(PR30:QH30))))</f>
        <v>0</v>
      </c>
      <c r="QJ30" s="20" t="n">
        <f aca="false">IF(H_Direct=1,IF(ALJ29&lt;=0,0,IF(CJ30&lt;=0,MIN(MAX(0,AB30-SUM(PR30:QI30)),ALJ29),MIN(MAX(0,AB30-SUM(PR30:QI30)),ALJ29-G30*MAX(0,CJ30*ALJ29-(XI30+AAV30))))),MIN(FW30,MAX(0,AB30-SUM(PR30:QI30))))</f>
        <v>0</v>
      </c>
      <c r="QK30" s="20" t="n">
        <f aca="false">IF(H_Direct=1,IF(ALK29&lt;=0,0,IF(CK30&lt;=0,MIN(MAX(0,AB30-SUM(PR30:QJ30)),ALK29),MIN(MAX(0,AB30-SUM(PR30:QJ30)),ALK29-G30*MAX(0,CK30*ALK29-(XJ30+AAW30))))),MIN(FX30,MAX(0,AB30-SUM(PR30:QJ30))))</f>
        <v>0</v>
      </c>
      <c r="QL30" s="20" t="n">
        <f aca="false">IF(H_Direct=1,IF(ALL29&lt;=0,0,IF(CL30&lt;=0,MIN(MAX(0,AB30-SUM(PR30:QK30)),ALL29),MIN(MAX(0,AB30-SUM(PR30:QK30)),ALL29-G30*MAX(0,CL30*ALL29-(XK30+AAX30))))),MIN(FY30,MAX(0,AB30-SUM(PR30:QK30))))</f>
        <v>0</v>
      </c>
      <c r="QM30" s="20" t="n">
        <f aca="false">IF(H_Direct=1,IF(ALM29&lt;=0,0,IF(CM30&lt;=0,MIN(MAX(0,AB30-SUM(PR30:QL30)),ALM29),MIN(MAX(0,AB30-SUM(PR30:QL30)),ALM29-G30*MAX(0,CM30*ALM29-(XL30+AAY30))))),MIN(FZ30,MAX(0,AB30-SUM(PR30:QL30))))</f>
        <v>0</v>
      </c>
      <c r="QN30" s="20" t="n">
        <f aca="false">IF(H_Direct=1,IF(ALN29&lt;=0,0,IF(CN30&lt;=0,MIN(MAX(0,AB30-SUM(PR30:QM30)),ALN29),MIN(MAX(0,AB30-SUM(PR30:QM30)),ALN29-G30*MAX(0,CN30*ALN29-(XM30+AAZ30))))),MIN(GA30,MAX(0,AB30-SUM(PR30:QM30))))</f>
        <v>0</v>
      </c>
      <c r="QO30" s="20" t="n">
        <f aca="false">IF(H_Direct=1,IF((P30+S30)&lt;=0,0,IF(CO30&lt;=0,MIN(MAX(0,AB30-SUM(PR30:QN30)),(P30+S30)),MIN(MAX(0,AB30-SUM(PR30:QN30)),(P30+S30)-G30*MAX(0,CO30*(P30+S30)-(XN30+ABA30))))),MIN(GB30,MAX(0,AB30-SUM(PR30:QN30))))</f>
        <v>0</v>
      </c>
      <c r="QP30" s="20" t="n">
        <v>0</v>
      </c>
      <c r="QQ30" s="20" t="n">
        <v>0</v>
      </c>
      <c r="QR30" s="20" t="n">
        <v>0</v>
      </c>
      <c r="QS30" s="20" t="n">
        <v>0</v>
      </c>
      <c r="QT30" s="20" t="n">
        <v>0</v>
      </c>
      <c r="QU30" s="20" t="n">
        <v>0</v>
      </c>
      <c r="QV30" s="20" t="n">
        <v>0</v>
      </c>
      <c r="QW30" s="20" t="n">
        <v>0</v>
      </c>
      <c r="QX30" s="20" t="n">
        <v>0</v>
      </c>
      <c r="QY30" s="20" t="n">
        <v>0</v>
      </c>
      <c r="QZ30" s="20" t="n">
        <v>0</v>
      </c>
      <c r="RA30" s="20" t="n">
        <v>0</v>
      </c>
      <c r="RB30" s="20" t="n">
        <v>0</v>
      </c>
      <c r="RC30" s="20" t="n">
        <v>0</v>
      </c>
      <c r="RD30" s="20" t="n">
        <v>0</v>
      </c>
      <c r="RE30" s="20" t="n">
        <v>0</v>
      </c>
      <c r="RF30" s="20" t="n">
        <v>0</v>
      </c>
      <c r="RG30" s="20" t="n">
        <v>0</v>
      </c>
      <c r="RH30" s="20" t="n">
        <v>0</v>
      </c>
      <c r="RI30" s="20" t="n">
        <v>0</v>
      </c>
      <c r="RJ30" s="20" t="n">
        <v>0</v>
      </c>
      <c r="RK30" s="20" t="n">
        <v>0</v>
      </c>
      <c r="RL30" s="20" t="n">
        <v>0</v>
      </c>
      <c r="RM30" s="20" t="n">
        <v>0</v>
      </c>
      <c r="RN30" s="20" t="n">
        <v>0</v>
      </c>
      <c r="RO30" s="20" t="n">
        <v>0</v>
      </c>
      <c r="RP30" s="20" t="n">
        <v>0</v>
      </c>
      <c r="RQ30" s="20" t="n">
        <v>0</v>
      </c>
      <c r="RR30" s="20" t="n">
        <v>0</v>
      </c>
      <c r="RS30" s="20" t="n">
        <v>0</v>
      </c>
      <c r="RT30" s="20" t="n">
        <v>0</v>
      </c>
      <c r="RU30" s="20" t="n">
        <v>0</v>
      </c>
      <c r="RV30" s="20" t="n">
        <v>0</v>
      </c>
      <c r="RW30" s="20" t="n">
        <v>0</v>
      </c>
      <c r="RX30" s="20" t="n">
        <v>0</v>
      </c>
      <c r="RY30" s="20" t="n">
        <v>0</v>
      </c>
      <c r="RZ30" s="20" t="n">
        <v>0</v>
      </c>
      <c r="SA30" s="20" t="n">
        <v>0</v>
      </c>
      <c r="SB30" s="20" t="n">
        <v>0</v>
      </c>
      <c r="SC30" s="20" t="n">
        <v>0</v>
      </c>
      <c r="SD30" s="20" t="n">
        <v>0</v>
      </c>
      <c r="SE30" s="20" t="n">
        <v>0</v>
      </c>
      <c r="SF30" s="20" t="n">
        <v>0</v>
      </c>
      <c r="SG30" s="20" t="n">
        <v>0</v>
      </c>
      <c r="SH30" s="20" t="n">
        <v>0</v>
      </c>
      <c r="SI30" s="20" t="n">
        <v>0</v>
      </c>
      <c r="SJ30" s="20" t="n">
        <v>0</v>
      </c>
      <c r="SK30" s="20" t="n">
        <v>0</v>
      </c>
      <c r="SL30" s="20" t="n">
        <v>0</v>
      </c>
      <c r="SM30" s="20" t="n">
        <v>0</v>
      </c>
      <c r="SN30" s="20" t="n">
        <v>0</v>
      </c>
      <c r="SO30" s="20" t="n">
        <v>0</v>
      </c>
      <c r="SP30" s="20" t="n">
        <v>0</v>
      </c>
      <c r="SQ30" s="20" t="n">
        <v>0</v>
      </c>
      <c r="SR30" s="20" t="n">
        <v>0</v>
      </c>
      <c r="SS30" s="20" t="n">
        <v>0</v>
      </c>
      <c r="ST30" s="20" t="n">
        <v>0</v>
      </c>
      <c r="SU30" s="20" t="n">
        <v>0</v>
      </c>
      <c r="SV30" s="20" t="n">
        <v>0</v>
      </c>
      <c r="SW30" s="20" t="n">
        <v>0</v>
      </c>
      <c r="SX30" s="20" t="n">
        <v>0</v>
      </c>
      <c r="SY30" s="20" t="n">
        <v>0</v>
      </c>
      <c r="SZ30" s="20" t="n">
        <v>0</v>
      </c>
      <c r="TA30" s="20" t="n">
        <v>0</v>
      </c>
      <c r="TB30" s="20" t="n">
        <v>0</v>
      </c>
      <c r="TC30" s="20" t="n">
        <v>0</v>
      </c>
      <c r="TD30" s="20" t="n">
        <v>0</v>
      </c>
      <c r="TE30" s="20" t="n">
        <f aca="false">IF(AKR29&lt;=0,0,IF(H_Direct=1,IF(BR30&lt;=0,PR30,IF(PR30&lt;=(H30+I30)/BR30,PR30,(PR30-G30*(H30+I30))/(1-G30*BR30))),PR30/(1-MAX(0,BR30)*H_Exit)))</f>
        <v>0</v>
      </c>
      <c r="TF30" s="20" t="n">
        <f aca="false">IF(AKS29&lt;=0,0,IF(H_Direct=1,IF(BS30&lt;=0,PS30,IF(PS30&lt;=(WR30+AAE30)/BS30,PS30,(PS30-G30*(WR30+AAE30))/(1-G30*BS30))),PS30/(1-MAX(0,BS30)*H_Exit)))</f>
        <v>0</v>
      </c>
      <c r="TG30" s="20" t="n">
        <f aca="false">IF(AKT29&lt;=0,0,IF(H_Direct=1,IF(BT30&lt;=0,PT30,IF(PT30&lt;=(WS30+AAF30)/BT30,PT30,(PT30-G30*(WS30+AAF30))/(1-G30*BT30))),PT30/(1-MAX(0,BT30)*H_Exit)))</f>
        <v>0</v>
      </c>
      <c r="TH30" s="20" t="n">
        <f aca="false">IF(AKU29&lt;=0,0,IF(H_Direct=1,IF(BU30&lt;=0,PU30,IF(PU30&lt;=(WT30+AAG30)/BU30,PU30,(PU30-G30*(WT30+AAG30))/(1-G30*BU30))),PU30/(1-MAX(0,BU30)*H_Exit)))</f>
        <v>0</v>
      </c>
      <c r="TI30" s="20" t="n">
        <f aca="false">IF(AKV29&lt;=0,0,IF(H_Direct=1,IF(BV30&lt;=0,PV30,IF(PV30&lt;=(WU30+AAH30)/BV30,PV30,(PV30-G30*(WU30+AAH30))/(1-G30*BV30))),PV30/(1-MAX(0,BV30)*H_Exit)))</f>
        <v>0</v>
      </c>
      <c r="TJ30" s="20" t="n">
        <f aca="false">IF(AKW29&lt;=0,0,IF(H_Direct=1,IF(BW30&lt;=0,PW30,IF(PW30&lt;=(WV30+AAI30)/BW30,PW30,(PW30-G30*(WV30+AAI30))/(1-G30*BW30))),PW30/(1-MAX(0,BW30)*H_Exit)))</f>
        <v>0</v>
      </c>
      <c r="TK30" s="20" t="n">
        <f aca="false">IF(AKX29&lt;=0,0,IF(H_Direct=1,IF(BX30&lt;=0,PX30,IF(PX30&lt;=(WW30+AAJ30)/BX30,PX30,(PX30-G30*(WW30+AAJ30))/(1-G30*BX30))),PX30/(1-MAX(0,BX30)*H_Exit)))</f>
        <v>0</v>
      </c>
      <c r="TL30" s="20" t="n">
        <f aca="false">IF(AKY29&lt;=0,0,IF(H_Direct=1,IF(BY30&lt;=0,PY30,IF(PY30&lt;=(WX30+AAK30)/BY30,PY30,(PY30-G30*(WX30+AAK30))/(1-G30*BY30))),PY30/(1-MAX(0,BY30)*H_Exit)))</f>
        <v>0</v>
      </c>
      <c r="TM30" s="20" t="n">
        <f aca="false">IF(AKZ29&lt;=0,0,IF(H_Direct=1,IF(BZ30&lt;=0,PZ30,IF(PZ30&lt;=(WY30+AAL30)/BZ30,PZ30,(PZ30-G30*(WY30+AAL30))/(1-G30*BZ30))),PZ30/(1-MAX(0,BZ30)*H_Exit)))</f>
        <v>0</v>
      </c>
      <c r="TN30" s="20" t="n">
        <f aca="false">IF(ALA29&lt;=0,0,IF(H_Direct=1,IF(CA30&lt;=0,QA30,IF(QA30&lt;=(WZ30+AAM30)/CA30,QA30,(QA30-G30*(WZ30+AAM30))/(1-G30*CA30))),QA30/(1-MAX(0,CA30)*H_Exit)))</f>
        <v>0</v>
      </c>
      <c r="TO30" s="20" t="n">
        <f aca="false">IF(ALB29&lt;=0,0,IF(H_Direct=1,IF(CB30&lt;=0,QB30,IF(QB30&lt;=(XA30+AAN30)/CB30,QB30,(QB30-G30*(XA30+AAN30))/(1-G30*CB30))),QB30/(1-MAX(0,CB30)*H_Exit)))</f>
        <v>0</v>
      </c>
      <c r="TP30" s="20" t="n">
        <f aca="false">IF(ALC29&lt;=0,0,IF(H_Direct=1,IF(CC30&lt;=0,QC30,IF(QC30&lt;=(XB30+AAO30)/CC30,QC30,(QC30-G30*(XB30+AAO30))/(1-G30*CC30))),QC30/(1-MAX(0,CC30)*H_Exit)))</f>
        <v>0</v>
      </c>
      <c r="TQ30" s="20" t="n">
        <f aca="false">IF(ALD29&lt;=0,0,IF(H_Direct=1,IF(CD30&lt;=0,QD30,IF(QD30&lt;=(XC30+AAP30)/CD30,QD30,(QD30-G30*(XC30+AAP30))/(1-G30*CD30))),QD30/(1-MAX(0,CD30)*H_Exit)))</f>
        <v>0</v>
      </c>
      <c r="TR30" s="20" t="n">
        <f aca="false">IF(ALE29&lt;=0,0,IF(H_Direct=1,IF(CE30&lt;=0,QE30,IF(QE30&lt;=(XD30+AAQ30)/CE30,QE30,(QE30-G30*(XD30+AAQ30))/(1-G30*CE30))),QE30/(1-MAX(0,CE30)*H_Exit)))</f>
        <v>0</v>
      </c>
      <c r="TS30" s="20" t="n">
        <f aca="false">IF(ALF29&lt;=0,0,IF(H_Direct=1,IF(CF30&lt;=0,QF30,IF(QF30&lt;=(XE30+AAR30)/CF30,QF30,(QF30-G30*(XE30+AAR30))/(1-G30*CF30))),QF30/(1-MAX(0,CF30)*H_Exit)))</f>
        <v>0</v>
      </c>
      <c r="TT30" s="20" t="n">
        <f aca="false">IF(ALG29&lt;=0,0,IF(H_Direct=1,IF(CG30&lt;=0,QG30,IF(QG30&lt;=(XF30+AAS30)/CG30,QG30,(QG30-G30*(XF30+AAS30))/(1-G30*CG30))),QG30/(1-MAX(0,CG30)*H_Exit)))</f>
        <v>0</v>
      </c>
      <c r="TU30" s="20" t="n">
        <f aca="false">IF(ALH29&lt;=0,0,IF(H_Direct=1,IF(CH30&lt;=0,QH30,IF(QH30&lt;=(XG30+AAT30)/CH30,QH30,(QH30-G30*(XG30+AAT30))/(1-G30*CH30))),QH30/(1-MAX(0,CH30)*H_Exit)))</f>
        <v>0</v>
      </c>
      <c r="TV30" s="20" t="n">
        <f aca="false">IF(ALI29&lt;=0,0,IF(H_Direct=1,IF(CI30&lt;=0,QI30,IF(QI30&lt;=(XH30+AAU30)/CI30,QI30,(QI30-G30*(XH30+AAU30))/(1-G30*CI30))),QI30/(1-MAX(0,CI30)*H_Exit)))</f>
        <v>0</v>
      </c>
      <c r="TW30" s="20" t="n">
        <f aca="false">IF(ALJ29&lt;=0,0,IF(H_Direct=1,IF(CJ30&lt;=0,QJ30,IF(QJ30&lt;=(XI30+AAV30)/CJ30,QJ30,(QJ30-G30*(XI30+AAV30))/(1-G30*CJ30))),QJ30/(1-MAX(0,CJ30)*H_Exit)))</f>
        <v>0</v>
      </c>
      <c r="TX30" s="20" t="n">
        <f aca="false">IF(ALK29&lt;=0,0,IF(H_Direct=1,IF(CK30&lt;=0,QK30,IF(QK30&lt;=(XJ30+AAW30)/CK30,QK30,(QK30-G30*(XJ30+AAW30))/(1-G30*CK30))),QK30/(1-MAX(0,CK30)*H_Exit)))</f>
        <v>0</v>
      </c>
      <c r="TY30" s="20" t="n">
        <f aca="false">IF(ALL29&lt;=0,0,IF(H_Direct=1,IF(CL30&lt;=0,QL30,IF(QL30&lt;=(XK30+AAX30)/CL30,QL30,(QL30-G30*(XK30+AAX30))/(1-G30*CL30))),QL30/(1-MAX(0,CL30)*H_Exit)))</f>
        <v>0</v>
      </c>
      <c r="TZ30" s="20" t="n">
        <f aca="false">IF(ALM29&lt;=0,0,IF(H_Direct=1,IF(CM30&lt;=0,QM30,IF(QM30&lt;=(XL30+AAY30)/CM30,QM30,(QM30-G30*(XL30+AAY30))/(1-G30*CM30))),QM30/(1-MAX(0,CM30)*H_Exit)))</f>
        <v>0</v>
      </c>
      <c r="UA30" s="20" t="n">
        <f aca="false">IF(ALN29&lt;=0,0,IF(H_Direct=1,IF(CN30&lt;=0,QN30,IF(QN30&lt;=(XM30+AAZ30)/CN30,QN30,(QN30-G30*(XM30+AAZ30))/(1-G30*CN30))),QN30/(1-MAX(0,CN30)*H_Exit)))</f>
        <v>0</v>
      </c>
      <c r="UB30" s="20" t="n">
        <f aca="false">IF((P30+S30)&lt;=0,0,IF(H_Direct=1,IF(CO30&lt;=0,QO30,IF(QO30&lt;=(XN30+ABA30)/CO30,QO30,(QO30-G30*(XN30+ABA30))/(1-G30*CO30))),QO30/(1-MAX(0,CO30)*H_Exit)))</f>
        <v>0</v>
      </c>
      <c r="UC30" s="20" t="n">
        <v>0</v>
      </c>
      <c r="UD30" s="20" t="n">
        <v>0</v>
      </c>
      <c r="UE30" s="20" t="n">
        <v>0</v>
      </c>
      <c r="UF30" s="20" t="n">
        <v>0</v>
      </c>
      <c r="UG30" s="20" t="n">
        <v>0</v>
      </c>
      <c r="UH30" s="20" t="n">
        <v>0</v>
      </c>
      <c r="UI30" s="20" t="n">
        <v>0</v>
      </c>
      <c r="UJ30" s="20" t="n">
        <v>0</v>
      </c>
      <c r="UK30" s="20" t="n">
        <v>0</v>
      </c>
      <c r="UL30" s="20" t="n">
        <v>0</v>
      </c>
      <c r="UM30" s="20" t="n">
        <v>0</v>
      </c>
      <c r="UN30" s="20" t="n">
        <v>0</v>
      </c>
      <c r="UO30" s="20" t="n">
        <v>0</v>
      </c>
      <c r="UP30" s="20" t="n">
        <v>0</v>
      </c>
      <c r="UQ30" s="20" t="n">
        <v>0</v>
      </c>
      <c r="UR30" s="20" t="n">
        <v>0</v>
      </c>
      <c r="US30" s="20" t="n">
        <v>0</v>
      </c>
      <c r="UT30" s="20" t="n">
        <v>0</v>
      </c>
      <c r="UU30" s="20" t="n">
        <v>0</v>
      </c>
      <c r="UV30" s="20" t="n">
        <v>0</v>
      </c>
      <c r="UW30" s="20" t="n">
        <v>0</v>
      </c>
      <c r="UX30" s="20" t="n">
        <v>0</v>
      </c>
      <c r="UY30" s="20" t="n">
        <v>0</v>
      </c>
      <c r="UZ30" s="20" t="n">
        <v>0</v>
      </c>
      <c r="VA30" s="20" t="n">
        <v>0</v>
      </c>
      <c r="VB30" s="20" t="n">
        <v>0</v>
      </c>
      <c r="VC30" s="20" t="n">
        <v>0</v>
      </c>
      <c r="VD30" s="20" t="n">
        <v>0</v>
      </c>
      <c r="VE30" s="20" t="n">
        <v>0</v>
      </c>
      <c r="VF30" s="20" t="n">
        <v>0</v>
      </c>
      <c r="VG30" s="20" t="n">
        <v>0</v>
      </c>
      <c r="VH30" s="20" t="n">
        <v>0</v>
      </c>
      <c r="VI30" s="20" t="n">
        <v>0</v>
      </c>
      <c r="VJ30" s="20" t="n">
        <v>0</v>
      </c>
      <c r="VK30" s="20" t="n">
        <v>0</v>
      </c>
      <c r="VL30" s="20" t="n">
        <v>0</v>
      </c>
      <c r="VM30" s="20" t="n">
        <v>0</v>
      </c>
      <c r="VN30" s="20" t="n">
        <v>0</v>
      </c>
      <c r="VO30" s="20" t="n">
        <v>0</v>
      </c>
      <c r="VP30" s="20" t="n">
        <v>0</v>
      </c>
      <c r="VQ30" s="20" t="n">
        <v>0</v>
      </c>
      <c r="VR30" s="20" t="n">
        <v>0</v>
      </c>
      <c r="VS30" s="20" t="n">
        <v>0</v>
      </c>
      <c r="VT30" s="20" t="n">
        <v>0</v>
      </c>
      <c r="VU30" s="20" t="n">
        <v>0</v>
      </c>
      <c r="VV30" s="20" t="n">
        <v>0</v>
      </c>
      <c r="VW30" s="20" t="n">
        <v>0</v>
      </c>
      <c r="VX30" s="20" t="n">
        <v>0</v>
      </c>
      <c r="VY30" s="20" t="n">
        <v>0</v>
      </c>
      <c r="VZ30" s="20" t="n">
        <v>0</v>
      </c>
      <c r="WA30" s="20" t="n">
        <v>0</v>
      </c>
      <c r="WB30" s="20" t="n">
        <v>0</v>
      </c>
      <c r="WC30" s="20" t="n">
        <v>0</v>
      </c>
      <c r="WD30" s="20" t="n">
        <v>0</v>
      </c>
      <c r="WE30" s="20" t="n">
        <v>0</v>
      </c>
      <c r="WF30" s="20" t="n">
        <v>0</v>
      </c>
      <c r="WG30" s="20" t="n">
        <v>0</v>
      </c>
      <c r="WH30" s="20" t="n">
        <v>0</v>
      </c>
      <c r="WI30" s="20" t="n">
        <v>0</v>
      </c>
      <c r="WJ30" s="20" t="n">
        <v>0</v>
      </c>
      <c r="WK30" s="20" t="n">
        <v>0</v>
      </c>
      <c r="WL30" s="20" t="n">
        <v>0</v>
      </c>
      <c r="WM30" s="20" t="n">
        <v>0</v>
      </c>
      <c r="WN30" s="20" t="n">
        <v>0</v>
      </c>
      <c r="WO30" s="20" t="n">
        <v>0</v>
      </c>
      <c r="WP30" s="20" t="n">
        <v>0</v>
      </c>
      <c r="WQ30" s="20" t="n">
        <v>0</v>
      </c>
      <c r="WR30" s="20" t="n">
        <f aca="false">IF(AND(H_Direct=1,BR30&gt;0),MAX(0,H30-(MIN(BR30*TE30,(H30+I30))-MIN(MIN(BR30*TE30,(H30+I30)),I30))),H30)</f>
        <v>1270</v>
      </c>
      <c r="WS30" s="20" t="n">
        <f aca="false">IF(AND(H_Direct=1,BS30&gt;0),MAX(0,WR30-(MIN(BS30*TF30,(WR30+AAE30))-MIN(MIN(BS30*TF30,(WR30+AAE30)),AAE30))),WR30)</f>
        <v>1270</v>
      </c>
      <c r="WT30" s="20" t="n">
        <f aca="false">IF(AND(H_Direct=1,BT30&gt;0),MAX(0,WS30-(MIN(BT30*TG30,(WS30+AAF30))-MIN(MIN(BT30*TG30,(WS30+AAF30)),AAF30))),WS30)</f>
        <v>1270</v>
      </c>
      <c r="WU30" s="20" t="n">
        <f aca="false">IF(AND(H_Direct=1,BU30&gt;0),MAX(0,WT30-(MIN(BU30*TH30,(WT30+AAG30))-MIN(MIN(BU30*TH30,(WT30+AAG30)),AAG30))),WT30)</f>
        <v>1270</v>
      </c>
      <c r="WV30" s="20" t="n">
        <f aca="false">IF(AND(H_Direct=1,BV30&gt;0),MAX(0,WU30-(MIN(BV30*TI30,(WU30+AAH30))-MIN(MIN(BV30*TI30,(WU30+AAH30)),AAH30))),WU30)</f>
        <v>1270</v>
      </c>
      <c r="WW30" s="20" t="n">
        <f aca="false">IF(AND(H_Direct=1,BW30&gt;0),MAX(0,WV30-(MIN(BW30*TJ30,(WV30+AAI30))-MIN(MIN(BW30*TJ30,(WV30+AAI30)),AAI30))),WV30)</f>
        <v>1270</v>
      </c>
      <c r="WX30" s="20" t="n">
        <f aca="false">IF(AND(H_Direct=1,BX30&gt;0),MAX(0,WW30-(MIN(BX30*TK30,(WW30+AAJ30))-MIN(MIN(BX30*TK30,(WW30+AAJ30)),AAJ30))),WW30)</f>
        <v>1270</v>
      </c>
      <c r="WY30" s="20" t="n">
        <f aca="false">IF(AND(H_Direct=1,BY30&gt;0),MAX(0,WX30-(MIN(BY30*TL30,(WX30+AAK30))-MIN(MIN(BY30*TL30,(WX30+AAK30)),AAK30))),WX30)</f>
        <v>1270</v>
      </c>
      <c r="WZ30" s="20" t="n">
        <f aca="false">IF(AND(H_Direct=1,BZ30&gt;0),MAX(0,WY30-(MIN(BZ30*TM30,(WY30+AAL30))-MIN(MIN(BZ30*TM30,(WY30+AAL30)),AAL30))),WY30)</f>
        <v>1270</v>
      </c>
      <c r="XA30" s="20" t="n">
        <f aca="false">IF(AND(H_Direct=1,CA30&gt;0),MAX(0,WZ30-(MIN(CA30*TN30,(WZ30+AAM30))-MIN(MIN(CA30*TN30,(WZ30+AAM30)),AAM30))),WZ30)</f>
        <v>1270</v>
      </c>
      <c r="XB30" s="20" t="n">
        <f aca="false">IF(AND(H_Direct=1,CB30&gt;0),MAX(0,XA30-(MIN(CB30*TO30,(XA30+AAN30))-MIN(MIN(CB30*TO30,(XA30+AAN30)),AAN30))),XA30)</f>
        <v>1270</v>
      </c>
      <c r="XC30" s="20" t="n">
        <f aca="false">IF(AND(H_Direct=1,CC30&gt;0),MAX(0,XB30-(MIN(CC30*TP30,(XB30+AAO30))-MIN(MIN(CC30*TP30,(XB30+AAO30)),AAO30))),XB30)</f>
        <v>1270</v>
      </c>
      <c r="XD30" s="20" t="n">
        <f aca="false">IF(AND(H_Direct=1,CD30&gt;0),MAX(0,XC30-(MIN(CD30*TQ30,(XC30+AAP30))-MIN(MIN(CD30*TQ30,(XC30+AAP30)),AAP30))),XC30)</f>
        <v>1270</v>
      </c>
      <c r="XE30" s="20" t="n">
        <f aca="false">IF(AND(H_Direct=1,CE30&gt;0),MAX(0,XD30-(MIN(CE30*TR30,(XD30+AAQ30))-MIN(MIN(CE30*TR30,(XD30+AAQ30)),AAQ30))),XD30)</f>
        <v>1270</v>
      </c>
      <c r="XF30" s="20" t="n">
        <f aca="false">IF(AND(H_Direct=1,CF30&gt;0),MAX(0,XE30-(MIN(CF30*TS30,(XE30+AAR30))-MIN(MIN(CF30*TS30,(XE30+AAR30)),AAR30))),XE30)</f>
        <v>1270</v>
      </c>
      <c r="XG30" s="20" t="n">
        <f aca="false">IF(AND(H_Direct=1,CG30&gt;0),MAX(0,XF30-(MIN(CG30*TT30,(XF30+AAS30))-MIN(MIN(CG30*TT30,(XF30+AAS30)),AAS30))),XF30)</f>
        <v>1270</v>
      </c>
      <c r="XH30" s="20" t="n">
        <f aca="false">IF(AND(H_Direct=1,CH30&gt;0),MAX(0,XG30-(MIN(CH30*TU30,(XG30+AAT30))-MIN(MIN(CH30*TU30,(XG30+AAT30)),AAT30))),XG30)</f>
        <v>1270</v>
      </c>
      <c r="XI30" s="20" t="n">
        <f aca="false">IF(AND(H_Direct=1,CI30&gt;0),MAX(0,XH30-(MIN(CI30*TV30,(XH30+AAU30))-MIN(MIN(CI30*TV30,(XH30+AAU30)),AAU30))),XH30)</f>
        <v>1270</v>
      </c>
      <c r="XJ30" s="20" t="n">
        <f aca="false">IF(AND(H_Direct=1,CJ30&gt;0),MAX(0,XI30-(MIN(CJ30*TW30,(XI30+AAV30))-MIN(MIN(CJ30*TW30,(XI30+AAV30)),AAV30))),XI30)</f>
        <v>1270</v>
      </c>
      <c r="XK30" s="20" t="n">
        <f aca="false">IF(AND(H_Direct=1,CK30&gt;0),MAX(0,XJ30-(MIN(CK30*TX30,(XJ30+AAW30))-MIN(MIN(CK30*TX30,(XJ30+AAW30)),AAW30))),XJ30)</f>
        <v>1270</v>
      </c>
      <c r="XL30" s="20" t="n">
        <f aca="false">IF(AND(H_Direct=1,CL30&gt;0),MAX(0,XK30-(MIN(CL30*TY30,(XK30+AAX30))-MIN(MIN(CL30*TY30,(XK30+AAX30)),AAX30))),XK30)</f>
        <v>1270</v>
      </c>
      <c r="XM30" s="20" t="n">
        <f aca="false">IF(AND(H_Direct=1,CM30&gt;0),MAX(0,XL30-(MIN(CM30*TZ30,(XL30+AAY30))-MIN(MIN(CM30*TZ30,(XL30+AAY30)),AAY30))),XL30)</f>
        <v>1270</v>
      </c>
      <c r="XN30" s="20" t="n">
        <f aca="false">IF(AND(H_Direct=1,CN30&gt;0),MAX(0,XM30-(MIN(CN30*UA30,(XM30+AAZ30))-MIN(MIN(CN30*UA30,(XM30+AAZ30)),AAZ30))),XM30)</f>
        <v>1270</v>
      </c>
      <c r="XO30" s="20" t="n">
        <f aca="false">IF(AND(H_Direct=1,CO30&gt;0),MAX(0,XN30-(MIN(CO30*UB30,(XN30+ABA30))-MIN(MIN(CO30*UB30,(XN30+ABA30)),ABA30))),XN30)</f>
        <v>1270</v>
      </c>
      <c r="XP30" s="20" t="n">
        <f aca="false">XO30</f>
        <v>1270</v>
      </c>
      <c r="XQ30" s="20" t="n">
        <f aca="false">XP30</f>
        <v>1270</v>
      </c>
      <c r="XR30" s="20" t="n">
        <f aca="false">XQ30</f>
        <v>1270</v>
      </c>
      <c r="XS30" s="20" t="n">
        <f aca="false">XR30</f>
        <v>1270</v>
      </c>
      <c r="XT30" s="20" t="n">
        <f aca="false">XS30</f>
        <v>1270</v>
      </c>
      <c r="XU30" s="20" t="n">
        <f aca="false">XT30</f>
        <v>1270</v>
      </c>
      <c r="XV30" s="20" t="n">
        <f aca="false">XU30</f>
        <v>1270</v>
      </c>
      <c r="XW30" s="20" t="n">
        <f aca="false">XV30</f>
        <v>1270</v>
      </c>
      <c r="XX30" s="20" t="n">
        <f aca="false">XW30</f>
        <v>1270</v>
      </c>
      <c r="XY30" s="20" t="n">
        <f aca="false">XX30</f>
        <v>1270</v>
      </c>
      <c r="XZ30" s="20" t="n">
        <f aca="false">XY30</f>
        <v>1270</v>
      </c>
      <c r="YA30" s="20" t="n">
        <f aca="false">XZ30</f>
        <v>1270</v>
      </c>
      <c r="YB30" s="20" t="n">
        <f aca="false">YA30</f>
        <v>1270</v>
      </c>
      <c r="YC30" s="20" t="n">
        <f aca="false">YB30</f>
        <v>1270</v>
      </c>
      <c r="YD30" s="20" t="n">
        <f aca="false">YC30</f>
        <v>1270</v>
      </c>
      <c r="YE30" s="20" t="n">
        <f aca="false">YD30</f>
        <v>1270</v>
      </c>
      <c r="YF30" s="20" t="n">
        <f aca="false">YE30</f>
        <v>1270</v>
      </c>
      <c r="YG30" s="20" t="n">
        <f aca="false">YF30</f>
        <v>1270</v>
      </c>
      <c r="YH30" s="20" t="n">
        <f aca="false">YG30</f>
        <v>1270</v>
      </c>
      <c r="YI30" s="20" t="n">
        <f aca="false">YH30</f>
        <v>1270</v>
      </c>
      <c r="YJ30" s="20" t="n">
        <f aca="false">YI30</f>
        <v>1270</v>
      </c>
      <c r="YK30" s="20" t="n">
        <f aca="false">YJ30</f>
        <v>1270</v>
      </c>
      <c r="YL30" s="20" t="n">
        <f aca="false">YK30</f>
        <v>1270</v>
      </c>
      <c r="YM30" s="20" t="n">
        <f aca="false">YL30</f>
        <v>1270</v>
      </c>
      <c r="YN30" s="20" t="n">
        <f aca="false">YM30</f>
        <v>1270</v>
      </c>
      <c r="YO30" s="20" t="n">
        <f aca="false">YN30</f>
        <v>1270</v>
      </c>
      <c r="YP30" s="20" t="n">
        <f aca="false">YO30</f>
        <v>1270</v>
      </c>
      <c r="YQ30" s="20" t="n">
        <f aca="false">YP30</f>
        <v>1270</v>
      </c>
      <c r="YR30" s="20" t="n">
        <f aca="false">YQ30</f>
        <v>1270</v>
      </c>
      <c r="YS30" s="20" t="n">
        <f aca="false">YR30</f>
        <v>1270</v>
      </c>
      <c r="YT30" s="20" t="n">
        <f aca="false">YS30</f>
        <v>1270</v>
      </c>
      <c r="YU30" s="20" t="n">
        <f aca="false">YT30</f>
        <v>1270</v>
      </c>
      <c r="YV30" s="20" t="n">
        <f aca="false">YU30</f>
        <v>1270</v>
      </c>
      <c r="YW30" s="20" t="n">
        <f aca="false">YV30</f>
        <v>1270</v>
      </c>
      <c r="YX30" s="20" t="n">
        <f aca="false">YW30</f>
        <v>1270</v>
      </c>
      <c r="YY30" s="20" t="n">
        <f aca="false">YX30</f>
        <v>1270</v>
      </c>
      <c r="YZ30" s="20" t="n">
        <f aca="false">YY30</f>
        <v>1270</v>
      </c>
      <c r="ZA30" s="20" t="n">
        <f aca="false">YZ30</f>
        <v>1270</v>
      </c>
      <c r="ZB30" s="20" t="n">
        <f aca="false">ZA30</f>
        <v>1270</v>
      </c>
      <c r="ZC30" s="20" t="n">
        <f aca="false">ZB30</f>
        <v>1270</v>
      </c>
      <c r="ZD30" s="20" t="n">
        <f aca="false">ZC30</f>
        <v>1270</v>
      </c>
      <c r="ZE30" s="20" t="n">
        <f aca="false">ZD30</f>
        <v>1270</v>
      </c>
      <c r="ZF30" s="20" t="n">
        <f aca="false">ZE30</f>
        <v>1270</v>
      </c>
      <c r="ZG30" s="20" t="n">
        <f aca="false">ZF30</f>
        <v>1270</v>
      </c>
      <c r="ZH30" s="20" t="n">
        <f aca="false">ZG30</f>
        <v>1270</v>
      </c>
      <c r="ZI30" s="20" t="n">
        <f aca="false">ZH30</f>
        <v>1270</v>
      </c>
      <c r="ZJ30" s="20" t="n">
        <f aca="false">ZI30</f>
        <v>1270</v>
      </c>
      <c r="ZK30" s="20" t="n">
        <f aca="false">ZJ30</f>
        <v>1270</v>
      </c>
      <c r="ZL30" s="20" t="n">
        <f aca="false">ZK30</f>
        <v>1270</v>
      </c>
      <c r="ZM30" s="20" t="n">
        <f aca="false">ZL30</f>
        <v>1270</v>
      </c>
      <c r="ZN30" s="20" t="n">
        <f aca="false">ZM30</f>
        <v>1270</v>
      </c>
      <c r="ZO30" s="20" t="n">
        <f aca="false">ZN30</f>
        <v>1270</v>
      </c>
      <c r="ZP30" s="20" t="n">
        <f aca="false">ZO30</f>
        <v>1270</v>
      </c>
      <c r="ZQ30" s="20" t="n">
        <f aca="false">ZP30</f>
        <v>1270</v>
      </c>
      <c r="ZR30" s="20" t="n">
        <f aca="false">ZQ30</f>
        <v>1270</v>
      </c>
      <c r="ZS30" s="20" t="n">
        <f aca="false">ZR30</f>
        <v>1270</v>
      </c>
      <c r="ZT30" s="20" t="n">
        <f aca="false">ZS30</f>
        <v>1270</v>
      </c>
      <c r="ZU30" s="20" t="n">
        <f aca="false">ZT30</f>
        <v>1270</v>
      </c>
      <c r="ZV30" s="20" t="n">
        <f aca="false">ZU30</f>
        <v>1270</v>
      </c>
      <c r="ZW30" s="20" t="n">
        <f aca="false">ZV30</f>
        <v>1270</v>
      </c>
      <c r="ZX30" s="20" t="n">
        <f aca="false">ZW30</f>
        <v>1270</v>
      </c>
      <c r="ZY30" s="20" t="n">
        <f aca="false">ZX30</f>
        <v>1270</v>
      </c>
      <c r="ZZ30" s="20" t="n">
        <f aca="false">ZY30</f>
        <v>1270</v>
      </c>
      <c r="AAA30" s="20" t="n">
        <f aca="false">ZZ30</f>
        <v>1270</v>
      </c>
      <c r="AAB30" s="20" t="n">
        <f aca="false">AAA30</f>
        <v>1270</v>
      </c>
      <c r="AAC30" s="20" t="n">
        <f aca="false">AAB30</f>
        <v>1270</v>
      </c>
      <c r="AAD30" s="20" t="n">
        <f aca="false">AAC30</f>
        <v>1270</v>
      </c>
      <c r="AAE30" s="20" t="n">
        <f aca="false">IF(H_Direct=1,IF(BR30&lt;=0,I30-BR30*TE30,I30-MIN(MIN(BR30*TE30,(H30+I30)),I30)),I30)</f>
        <v>0</v>
      </c>
      <c r="AAF30" s="20" t="n">
        <f aca="false">IF(H_Direct=1,IF(BS30&lt;=0,AAE30-BS30*TF30,AAE30-MIN(MIN(BS30*TF30,(WR30+AAE30)),AAE30)),AAE30)</f>
        <v>0</v>
      </c>
      <c r="AAG30" s="20" t="n">
        <f aca="false">IF(H_Direct=1,IF(BT30&lt;=0,AAF30-BT30*TG30,AAF30-MIN(MIN(BT30*TG30,(WS30+AAF30)),AAF30)),AAF30)</f>
        <v>0</v>
      </c>
      <c r="AAH30" s="20" t="n">
        <f aca="false">IF(H_Direct=1,IF(BU30&lt;=0,AAG30-BU30*TH30,AAG30-MIN(MIN(BU30*TH30,(WT30+AAG30)),AAG30)),AAG30)</f>
        <v>0</v>
      </c>
      <c r="AAI30" s="20" t="n">
        <f aca="false">IF(H_Direct=1,IF(BV30&lt;=0,AAH30-BV30*TI30,AAH30-MIN(MIN(BV30*TI30,(WU30+AAH30)),AAH30)),AAH30)</f>
        <v>0</v>
      </c>
      <c r="AAJ30" s="20" t="n">
        <f aca="false">IF(H_Direct=1,IF(BW30&lt;=0,AAI30-BW30*TJ30,AAI30-MIN(MIN(BW30*TJ30,(WV30+AAI30)),AAI30)),AAI30)</f>
        <v>0</v>
      </c>
      <c r="AAK30" s="20" t="n">
        <f aca="false">IF(H_Direct=1,IF(BX30&lt;=0,AAJ30-BX30*TK30,AAJ30-MIN(MIN(BX30*TK30,(WW30+AAJ30)),AAJ30)),AAJ30)</f>
        <v>0</v>
      </c>
      <c r="AAL30" s="20" t="n">
        <f aca="false">IF(H_Direct=1,IF(BY30&lt;=0,AAK30-BY30*TL30,AAK30-MIN(MIN(BY30*TL30,(WX30+AAK30)),AAK30)),AAK30)</f>
        <v>0</v>
      </c>
      <c r="AAM30" s="20" t="n">
        <f aca="false">IF(H_Direct=1,IF(BZ30&lt;=0,AAL30-BZ30*TM30,AAL30-MIN(MIN(BZ30*TM30,(WY30+AAL30)),AAL30)),AAL30)</f>
        <v>0</v>
      </c>
      <c r="AAN30" s="20" t="n">
        <f aca="false">IF(H_Direct=1,IF(CA30&lt;=0,AAM30-CA30*TN30,AAM30-MIN(MIN(CA30*TN30,(WZ30+AAM30)),AAM30)),AAM30)</f>
        <v>0</v>
      </c>
      <c r="AAO30" s="20" t="n">
        <f aca="false">IF(H_Direct=1,IF(CB30&lt;=0,AAN30-CB30*TO30,AAN30-MIN(MIN(CB30*TO30,(XA30+AAN30)),AAN30)),AAN30)</f>
        <v>0</v>
      </c>
      <c r="AAP30" s="20" t="n">
        <f aca="false">IF(H_Direct=1,IF(CC30&lt;=0,AAO30-CC30*TP30,AAO30-MIN(MIN(CC30*TP30,(XB30+AAO30)),AAO30)),AAO30)</f>
        <v>0</v>
      </c>
      <c r="AAQ30" s="20" t="n">
        <f aca="false">IF(H_Direct=1,IF(CD30&lt;=0,AAP30-CD30*TQ30,AAP30-MIN(MIN(CD30*TQ30,(XC30+AAP30)),AAP30)),AAP30)</f>
        <v>0</v>
      </c>
      <c r="AAR30" s="20" t="n">
        <f aca="false">IF(H_Direct=1,IF(CE30&lt;=0,AAQ30-CE30*TR30,AAQ30-MIN(MIN(CE30*TR30,(XD30+AAQ30)),AAQ30)),AAQ30)</f>
        <v>0</v>
      </c>
      <c r="AAS30" s="20" t="n">
        <f aca="false">IF(H_Direct=1,IF(CF30&lt;=0,AAR30-CF30*TS30,AAR30-MIN(MIN(CF30*TS30,(XE30+AAR30)),AAR30)),AAR30)</f>
        <v>0</v>
      </c>
      <c r="AAT30" s="20" t="n">
        <f aca="false">IF(H_Direct=1,IF(CG30&lt;=0,AAS30-CG30*TT30,AAS30-MIN(MIN(CG30*TT30,(XF30+AAS30)),AAS30)),AAS30)</f>
        <v>0</v>
      </c>
      <c r="AAU30" s="20" t="n">
        <f aca="false">IF(H_Direct=1,IF(CH30&lt;=0,AAT30-CH30*TU30,AAT30-MIN(MIN(CH30*TU30,(XG30+AAT30)),AAT30)),AAT30)</f>
        <v>0</v>
      </c>
      <c r="AAV30" s="20" t="n">
        <f aca="false">IF(H_Direct=1,IF(CI30&lt;=0,AAU30-CI30*TV30,AAU30-MIN(MIN(CI30*TV30,(XH30+AAU30)),AAU30)),AAU30)</f>
        <v>0</v>
      </c>
      <c r="AAW30" s="20" t="n">
        <f aca="false">IF(H_Direct=1,IF(CJ30&lt;=0,AAV30-CJ30*TW30,AAV30-MIN(MIN(CJ30*TW30,(XI30+AAV30)),AAV30)),AAV30)</f>
        <v>0</v>
      </c>
      <c r="AAX30" s="20" t="n">
        <f aca="false">IF(H_Direct=1,IF(CK30&lt;=0,AAW30-CK30*TX30,AAW30-MIN(MIN(CK30*TX30,(XJ30+AAW30)),AAW30)),AAW30)</f>
        <v>0</v>
      </c>
      <c r="AAY30" s="20" t="n">
        <f aca="false">IF(H_Direct=1,IF(CL30&lt;=0,AAX30-CL30*TY30,AAX30-MIN(MIN(CL30*TY30,(XK30+AAX30)),AAX30)),AAX30)</f>
        <v>0</v>
      </c>
      <c r="AAZ30" s="20" t="n">
        <f aca="false">IF(H_Direct=1,IF(CM30&lt;=0,AAY30-CM30*TZ30,AAY30-MIN(MIN(CM30*TZ30,(XL30+AAY30)),AAY30)),AAY30)</f>
        <v>0</v>
      </c>
      <c r="ABA30" s="20" t="n">
        <f aca="false">IF(H_Direct=1,IF(CN30&lt;=0,AAZ30-CN30*UA30,AAZ30-MIN(MIN(CN30*UA30,(XM30+AAZ30)),AAZ30)),AAZ30)</f>
        <v>0</v>
      </c>
      <c r="ABB30" s="20" t="n">
        <f aca="false">IF(H_Direct=1,IF(CO30&lt;=0,ABA30-CO30*UB30,ABA30-MIN(MIN(CO30*UB30,(XN30+ABA30)),ABA30)),ABA30)</f>
        <v>0</v>
      </c>
      <c r="ABC30" s="20" t="n">
        <f aca="false">ABB30</f>
        <v>0</v>
      </c>
      <c r="ABD30" s="20" t="n">
        <f aca="false">ABC30</f>
        <v>0</v>
      </c>
      <c r="ABE30" s="20" t="n">
        <f aca="false">ABD30</f>
        <v>0</v>
      </c>
      <c r="ABF30" s="20" t="n">
        <f aca="false">ABE30</f>
        <v>0</v>
      </c>
      <c r="ABG30" s="20" t="n">
        <f aca="false">ABF30</f>
        <v>0</v>
      </c>
      <c r="ABH30" s="20" t="n">
        <f aca="false">ABG30</f>
        <v>0</v>
      </c>
      <c r="ABI30" s="20" t="n">
        <f aca="false">ABH30</f>
        <v>0</v>
      </c>
      <c r="ABJ30" s="20" t="n">
        <f aca="false">ABI30</f>
        <v>0</v>
      </c>
      <c r="ABK30" s="20" t="n">
        <f aca="false">ABJ30</f>
        <v>0</v>
      </c>
      <c r="ABL30" s="20" t="n">
        <f aca="false">ABK30</f>
        <v>0</v>
      </c>
      <c r="ABM30" s="20" t="n">
        <f aca="false">ABL30</f>
        <v>0</v>
      </c>
      <c r="ABN30" s="20" t="n">
        <f aca="false">ABM30</f>
        <v>0</v>
      </c>
      <c r="ABO30" s="20" t="n">
        <f aca="false">ABN30</f>
        <v>0</v>
      </c>
      <c r="ABP30" s="20" t="n">
        <f aca="false">ABO30</f>
        <v>0</v>
      </c>
      <c r="ABQ30" s="20" t="n">
        <f aca="false">ABP30</f>
        <v>0</v>
      </c>
      <c r="ABR30" s="20" t="n">
        <f aca="false">ABQ30</f>
        <v>0</v>
      </c>
      <c r="ABS30" s="20" t="n">
        <f aca="false">ABR30</f>
        <v>0</v>
      </c>
      <c r="ABT30" s="20" t="n">
        <f aca="false">ABS30</f>
        <v>0</v>
      </c>
      <c r="ABU30" s="20" t="n">
        <f aca="false">ABT30</f>
        <v>0</v>
      </c>
      <c r="ABV30" s="20" t="n">
        <f aca="false">ABU30</f>
        <v>0</v>
      </c>
      <c r="ABW30" s="20" t="n">
        <f aca="false">ABV30</f>
        <v>0</v>
      </c>
      <c r="ABX30" s="20" t="n">
        <f aca="false">ABW30</f>
        <v>0</v>
      </c>
      <c r="ABY30" s="20" t="n">
        <f aca="false">ABX30</f>
        <v>0</v>
      </c>
      <c r="ABZ30" s="20" t="n">
        <f aca="false">ABY30</f>
        <v>0</v>
      </c>
      <c r="ACA30" s="20" t="n">
        <f aca="false">ABZ30</f>
        <v>0</v>
      </c>
      <c r="ACB30" s="20" t="n">
        <f aca="false">ACA30</f>
        <v>0</v>
      </c>
      <c r="ACC30" s="20" t="n">
        <f aca="false">ACB30</f>
        <v>0</v>
      </c>
      <c r="ACD30" s="20" t="n">
        <f aca="false">ACC30</f>
        <v>0</v>
      </c>
      <c r="ACE30" s="20" t="n">
        <f aca="false">ACD30</f>
        <v>0</v>
      </c>
      <c r="ACF30" s="20" t="n">
        <f aca="false">ACE30</f>
        <v>0</v>
      </c>
      <c r="ACG30" s="20" t="n">
        <f aca="false">ACF30</f>
        <v>0</v>
      </c>
      <c r="ACH30" s="20" t="n">
        <f aca="false">ACG30</f>
        <v>0</v>
      </c>
      <c r="ACI30" s="20" t="n">
        <f aca="false">ACH30</f>
        <v>0</v>
      </c>
      <c r="ACJ30" s="20" t="n">
        <f aca="false">ACI30</f>
        <v>0</v>
      </c>
      <c r="ACK30" s="20" t="n">
        <f aca="false">ACJ30</f>
        <v>0</v>
      </c>
      <c r="ACL30" s="20" t="n">
        <f aca="false">ACK30</f>
        <v>0</v>
      </c>
      <c r="ACM30" s="20" t="n">
        <f aca="false">ACL30</f>
        <v>0</v>
      </c>
      <c r="ACN30" s="20" t="n">
        <f aca="false">ACM30</f>
        <v>0</v>
      </c>
      <c r="ACO30" s="20" t="n">
        <f aca="false">ACN30</f>
        <v>0</v>
      </c>
      <c r="ACP30" s="20" t="n">
        <f aca="false">ACO30</f>
        <v>0</v>
      </c>
      <c r="ACQ30" s="20" t="n">
        <f aca="false">ACP30</f>
        <v>0</v>
      </c>
      <c r="ACR30" s="20" t="n">
        <f aca="false">ACQ30</f>
        <v>0</v>
      </c>
      <c r="ACS30" s="20" t="n">
        <f aca="false">ACR30</f>
        <v>0</v>
      </c>
      <c r="ACT30" s="20" t="n">
        <f aca="false">ACS30</f>
        <v>0</v>
      </c>
      <c r="ACU30" s="20" t="n">
        <f aca="false">ACT30</f>
        <v>0</v>
      </c>
      <c r="ACV30" s="20" t="n">
        <f aca="false">ACU30</f>
        <v>0</v>
      </c>
      <c r="ACW30" s="20" t="n">
        <f aca="false">ACV30</f>
        <v>0</v>
      </c>
      <c r="ACX30" s="20" t="n">
        <f aca="false">ACW30</f>
        <v>0</v>
      </c>
      <c r="ACY30" s="20" t="n">
        <f aca="false">ACX30</f>
        <v>0</v>
      </c>
      <c r="ACZ30" s="20" t="n">
        <f aca="false">ACY30</f>
        <v>0</v>
      </c>
      <c r="ADA30" s="20" t="n">
        <f aca="false">ACZ30</f>
        <v>0</v>
      </c>
      <c r="ADB30" s="20" t="n">
        <f aca="false">ADA30</f>
        <v>0</v>
      </c>
      <c r="ADC30" s="20" t="n">
        <f aca="false">ADB30</f>
        <v>0</v>
      </c>
      <c r="ADD30" s="20" t="n">
        <f aca="false">ADC30</f>
        <v>0</v>
      </c>
      <c r="ADE30" s="20" t="n">
        <f aca="false">ADD30</f>
        <v>0</v>
      </c>
      <c r="ADF30" s="20" t="n">
        <f aca="false">ADE30</f>
        <v>0</v>
      </c>
      <c r="ADG30" s="20" t="n">
        <f aca="false">ADF30</f>
        <v>0</v>
      </c>
      <c r="ADH30" s="20" t="n">
        <f aca="false">ADG30</f>
        <v>0</v>
      </c>
      <c r="ADI30" s="20" t="n">
        <f aca="false">ADH30</f>
        <v>0</v>
      </c>
      <c r="ADJ30" s="20" t="n">
        <f aca="false">ADI30</f>
        <v>0</v>
      </c>
      <c r="ADK30" s="20" t="n">
        <f aca="false">ADJ30</f>
        <v>0</v>
      </c>
      <c r="ADL30" s="20" t="n">
        <f aca="false">ADK30</f>
        <v>0</v>
      </c>
      <c r="ADM30" s="20" t="n">
        <f aca="false">ADL30</f>
        <v>0</v>
      </c>
      <c r="ADN30" s="20" t="n">
        <f aca="false">ADM30</f>
        <v>0</v>
      </c>
      <c r="ADO30" s="20" t="n">
        <f aca="false">ADN30</f>
        <v>0</v>
      </c>
      <c r="ADP30" s="20" t="n">
        <f aca="false">ADO30</f>
        <v>0</v>
      </c>
      <c r="ADQ30" s="20" t="n">
        <f aca="false">ADP30</f>
        <v>0</v>
      </c>
      <c r="ADR30" s="20" t="n">
        <f aca="false">(AKR29-TE30+0)*(1+BQ30)</f>
        <v>0</v>
      </c>
      <c r="ADS30" s="20" t="n">
        <f aca="false">(AKS29-TF30+0)*(1+BQ30)</f>
        <v>0</v>
      </c>
      <c r="ADT30" s="20" t="n">
        <f aca="false">(AKT29-TG30+0)*(1+BQ30)</f>
        <v>0</v>
      </c>
      <c r="ADU30" s="20" t="n">
        <f aca="false">(AKU29-TH30+0)*(1+BQ30)</f>
        <v>0</v>
      </c>
      <c r="ADV30" s="20" t="n">
        <f aca="false">(AKV29-TI30+0)*(1+BQ30)</f>
        <v>0</v>
      </c>
      <c r="ADW30" s="20" t="n">
        <f aca="false">(AKW29-TJ30+0)*(1+BQ30)</f>
        <v>0</v>
      </c>
      <c r="ADX30" s="20" t="n">
        <f aca="false">(AKX29-TK30+0)*(1+BQ30)</f>
        <v>0</v>
      </c>
      <c r="ADY30" s="20" t="n">
        <f aca="false">(AKY29-TL30+0)*(1+BQ30)</f>
        <v>0</v>
      </c>
      <c r="ADZ30" s="20" t="n">
        <f aca="false">(AKZ29-TM30+0)*(1+BQ30)</f>
        <v>0</v>
      </c>
      <c r="AEA30" s="20" t="n">
        <f aca="false">(ALA29-TN30+0)*(1+BQ30)</f>
        <v>0</v>
      </c>
      <c r="AEB30" s="20" t="n">
        <f aca="false">(ALB29-TO30+0)*(1+BQ30)</f>
        <v>0</v>
      </c>
      <c r="AEC30" s="20" t="n">
        <f aca="false">(ALC29-TP30+0)*(1+BQ30)</f>
        <v>817.103602823383</v>
      </c>
      <c r="AED30" s="20" t="n">
        <f aca="false">(ALD29-TQ30+0)*(1+BQ30)</f>
        <v>1027.89033132072</v>
      </c>
      <c r="AEE30" s="20" t="n">
        <f aca="false">(ALE29-TR30+0)*(1+BQ30)</f>
        <v>1230.09744058507</v>
      </c>
      <c r="AEF30" s="20" t="n">
        <f aca="false">(ALF29-TS30+0)*(1+BQ30)</f>
        <v>1383.25107510194</v>
      </c>
      <c r="AEG30" s="20" t="n">
        <f aca="false">(ALG29-TT30+0)*(1+BQ30)</f>
        <v>1330.28384453212</v>
      </c>
      <c r="AEH30" s="20" t="n">
        <f aca="false">(ALH29-TU30+0)*(1+BQ30)</f>
        <v>1424.35386631046</v>
      </c>
      <c r="AEI30" s="20" t="n">
        <f aca="false">(ALI29-TV30+0)*(1+BQ30)</f>
        <v>1368.15245404784</v>
      </c>
      <c r="AEJ30" s="20" t="n">
        <f aca="false">(ALJ29-TW30+0)*(1+BQ30)</f>
        <v>4252.20503565601</v>
      </c>
      <c r="AEK30" s="20" t="n">
        <f aca="false">(ALK29-TX30+0)*(1+BQ30)</f>
        <v>4170.4318618934</v>
      </c>
      <c r="AEL30" s="20" t="n">
        <f aca="false">(ALL29-TY30+0)*(1+BQ30)</f>
        <v>4090.23124916468</v>
      </c>
      <c r="AEM30" s="20" t="n">
        <f aca="false">(ALM29-TZ30+0)*(1+BQ30)</f>
        <v>4011.57295591151</v>
      </c>
      <c r="AEN30" s="20" t="n">
        <f aca="false">(ALN29-UA30+0)*(1+BQ30)</f>
        <v>3934.42732214398</v>
      </c>
      <c r="AEO30" s="20" t="n">
        <f aca="false">((P30+S30)-UB30+BE30)*(1+BQ30)</f>
        <v>3858.7652582566</v>
      </c>
      <c r="AEP30" s="20" t="n">
        <v>0</v>
      </c>
      <c r="AEQ30" s="20" t="n">
        <v>0</v>
      </c>
      <c r="AER30" s="20" t="n">
        <v>0</v>
      </c>
      <c r="AES30" s="20" t="n">
        <v>0</v>
      </c>
      <c r="AET30" s="20" t="n">
        <v>0</v>
      </c>
      <c r="AEU30" s="20" t="n">
        <v>0</v>
      </c>
      <c r="AEV30" s="20" t="n">
        <v>0</v>
      </c>
      <c r="AEW30" s="20" t="n">
        <v>0</v>
      </c>
      <c r="AEX30" s="20" t="n">
        <v>0</v>
      </c>
      <c r="AEY30" s="20" t="n">
        <v>0</v>
      </c>
      <c r="AEZ30" s="20" t="n">
        <v>0</v>
      </c>
      <c r="AFA30" s="20" t="n">
        <v>0</v>
      </c>
      <c r="AFB30" s="20" t="n">
        <v>0</v>
      </c>
      <c r="AFC30" s="20" t="n">
        <v>0</v>
      </c>
      <c r="AFD30" s="20" t="n">
        <v>0</v>
      </c>
      <c r="AFE30" s="20" t="n">
        <v>0</v>
      </c>
      <c r="AFF30" s="20" t="n">
        <v>0</v>
      </c>
      <c r="AFG30" s="20" t="n">
        <v>0</v>
      </c>
      <c r="AFH30" s="20" t="n">
        <v>0</v>
      </c>
      <c r="AFI30" s="20" t="n">
        <v>0</v>
      </c>
      <c r="AFJ30" s="20" t="n">
        <v>0</v>
      </c>
      <c r="AFK30" s="20" t="n">
        <v>0</v>
      </c>
      <c r="AFL30" s="20" t="n">
        <v>0</v>
      </c>
      <c r="AFM30" s="20" t="n">
        <v>0</v>
      </c>
      <c r="AFN30" s="20" t="n">
        <v>0</v>
      </c>
      <c r="AFO30" s="20" t="n">
        <v>0</v>
      </c>
      <c r="AFP30" s="20" t="n">
        <v>0</v>
      </c>
      <c r="AFQ30" s="20" t="n">
        <v>0</v>
      </c>
      <c r="AFR30" s="20" t="n">
        <v>0</v>
      </c>
      <c r="AFS30" s="20" t="n">
        <v>0</v>
      </c>
      <c r="AFT30" s="20" t="n">
        <v>0</v>
      </c>
      <c r="AFU30" s="20" t="n">
        <v>0</v>
      </c>
      <c r="AFV30" s="20" t="n">
        <v>0</v>
      </c>
      <c r="AFW30" s="20" t="n">
        <v>0</v>
      </c>
      <c r="AFX30" s="20" t="n">
        <v>0</v>
      </c>
      <c r="AFY30" s="20" t="n">
        <v>0</v>
      </c>
      <c r="AFZ30" s="20" t="n">
        <v>0</v>
      </c>
      <c r="AGA30" s="20" t="n">
        <v>0</v>
      </c>
      <c r="AGB30" s="20" t="n">
        <v>0</v>
      </c>
      <c r="AGC30" s="20" t="n">
        <v>0</v>
      </c>
      <c r="AGD30" s="20" t="n">
        <v>0</v>
      </c>
      <c r="AGE30" s="20" t="n">
        <v>0</v>
      </c>
      <c r="AGF30" s="20" t="n">
        <v>0</v>
      </c>
      <c r="AGG30" s="20" t="n">
        <v>0</v>
      </c>
      <c r="AGH30" s="20" t="n">
        <v>0</v>
      </c>
      <c r="AGI30" s="20" t="n">
        <v>0</v>
      </c>
      <c r="AGJ30" s="20" t="n">
        <v>0</v>
      </c>
      <c r="AGK30" s="20" t="n">
        <v>0</v>
      </c>
      <c r="AGL30" s="20" t="n">
        <v>0</v>
      </c>
      <c r="AGM30" s="20" t="n">
        <v>0</v>
      </c>
      <c r="AGN30" s="20" t="n">
        <v>0</v>
      </c>
      <c r="AGO30" s="20" t="n">
        <v>0</v>
      </c>
      <c r="AGP30" s="20" t="n">
        <v>0</v>
      </c>
      <c r="AGQ30" s="20" t="n">
        <v>0</v>
      </c>
      <c r="AGR30" s="20" t="n">
        <v>0</v>
      </c>
      <c r="AGS30" s="20" t="n">
        <v>0</v>
      </c>
      <c r="AGT30" s="20" t="n">
        <v>0</v>
      </c>
      <c r="AGU30" s="20" t="n">
        <v>0</v>
      </c>
      <c r="AGV30" s="20" t="n">
        <v>0</v>
      </c>
      <c r="AGW30" s="20" t="n">
        <v>0</v>
      </c>
      <c r="AGX30" s="20" t="n">
        <v>0</v>
      </c>
      <c r="AGY30" s="20" t="n">
        <v>0</v>
      </c>
      <c r="AGZ30" s="20" t="n">
        <v>0</v>
      </c>
      <c r="AHA30" s="20" t="n">
        <v>0</v>
      </c>
      <c r="AHB30" s="20" t="n">
        <v>0</v>
      </c>
      <c r="AHC30" s="20" t="n">
        <v>0</v>
      </c>
      <c r="AHD30" s="20" t="n">
        <v>0</v>
      </c>
      <c r="AHE30" s="20" t="n">
        <f aca="false">IF(AKR29&gt;0,AOE29-AOE29*TE30/AKR29,0)+0</f>
        <v>0</v>
      </c>
      <c r="AHF30" s="20" t="n">
        <f aca="false">IF(AKS29&gt;0,AOF29-AOF29*TF30/AKS29,0)+0</f>
        <v>0</v>
      </c>
      <c r="AHG30" s="20" t="n">
        <f aca="false">IF(AKT29&gt;0,AOG29-AOG29*TG30/AKT29,0)+0</f>
        <v>0</v>
      </c>
      <c r="AHH30" s="20" t="n">
        <f aca="false">IF(AKU29&gt;0,AOH29-AOH29*TH30/AKU29,0)+0</f>
        <v>0</v>
      </c>
      <c r="AHI30" s="20" t="n">
        <f aca="false">IF(AKV29&gt;0,AOI29-AOI29*TI30/AKV29,0)+0</f>
        <v>0</v>
      </c>
      <c r="AHJ30" s="20" t="n">
        <f aca="false">IF(AKW29&gt;0,AOJ29-AOJ29*TJ30/AKW29,0)+0</f>
        <v>0</v>
      </c>
      <c r="AHK30" s="20" t="n">
        <f aca="false">IF(AKX29&gt;0,AOK29-AOK29*TK30/AKX29,0)+0</f>
        <v>0</v>
      </c>
      <c r="AHL30" s="20" t="n">
        <f aca="false">IF(AKY29&gt;0,AOL29-AOL29*TL30/AKY29,0)+0</f>
        <v>0</v>
      </c>
      <c r="AHM30" s="20" t="n">
        <f aca="false">IF(AKZ29&gt;0,AOM29-AOM29*TM30/AKZ29,0)+0</f>
        <v>0</v>
      </c>
      <c r="AHN30" s="20" t="n">
        <f aca="false">IF(ALA29&gt;0,AON29-AON29*TN30/ALA29,0)+0</f>
        <v>0</v>
      </c>
      <c r="AHO30" s="20" t="n">
        <f aca="false">IF(ALB29&gt;0,AOO29-AOO29*TO30/ALB29,0)+0</f>
        <v>0</v>
      </c>
      <c r="AHP30" s="20" t="n">
        <f aca="false">IF(ALC29&gt;0,AOP29-AOP29*TP30/ALC29,0)+0</f>
        <v>671.599600191266</v>
      </c>
      <c r="AHQ30" s="20" t="n">
        <f aca="false">IF(ALD29&gt;0,AOQ29-AOQ29*TQ30/ALD29,0)+0</f>
        <v>878.644963131885</v>
      </c>
      <c r="AHR30" s="20" t="n">
        <f aca="false">IF(ALE29&gt;0,AOR29-AOR29*TR30/ALE29,0)+0</f>
        <v>1093.55214549053</v>
      </c>
      <c r="AHS30" s="20" t="n">
        <f aca="false">IF(ALF29&gt;0,AOS29-AOS29*TS30/ALF29,0)+0</f>
        <v>1278.89337564899</v>
      </c>
      <c r="AHT30" s="20" t="n">
        <f aca="false">IF(ALG29&gt;0,AOT29-AOT29*TT30/ALG29,0)+0</f>
        <v>1279.11908128089</v>
      </c>
      <c r="AHU30" s="20" t="n">
        <f aca="false">IF(ALH29&gt;0,AOU29-AOU29*TU30/ALH29,0)+0</f>
        <v>1040.76141856976</v>
      </c>
      <c r="AHV30" s="20" t="n">
        <f aca="false">IF(ALI29&gt;0,AOV29-AOV29*TV30/ALI29,0)+0</f>
        <v>1039.68342100707</v>
      </c>
      <c r="AHW30" s="20" t="n">
        <f aca="false">IF(ALJ29&gt;0,AOW29-AOW29*TW30/ALJ29,0)+0</f>
        <v>3360.57940606182</v>
      </c>
      <c r="AHX30" s="20" t="n">
        <f aca="false">IF(ALK29&gt;0,AOX29-AOX29*TX30/ALK29,0)+0</f>
        <v>3427.79099418306</v>
      </c>
      <c r="AHY30" s="20" t="n">
        <f aca="false">IF(ALL29&gt;0,AOY29-AOY29*TY30/ALL29,0)+0</f>
        <v>3496.34681406672</v>
      </c>
      <c r="AHZ30" s="20" t="n">
        <f aca="false">IF(ALM29&gt;0,AOZ29-AOZ29*TZ30/ALM29,0)+0</f>
        <v>3566.27375034805</v>
      </c>
      <c r="AIA30" s="20" t="n">
        <f aca="false">IF(ALN29&gt;0,APA29-APA29*UA30/ALN29,0)+0</f>
        <v>3637.59922535501</v>
      </c>
      <c r="AIB30" s="20" t="n">
        <f aca="false">IF((P30+S30)&gt;0,(P30+S30)-(P30+S30)*UB30/(P30+S30),0)+BE30</f>
        <v>3710.35120986211</v>
      </c>
      <c r="AIC30" s="20" t="n">
        <v>0</v>
      </c>
      <c r="AID30" s="20" t="n">
        <v>0</v>
      </c>
      <c r="AIE30" s="20" t="n">
        <v>0</v>
      </c>
      <c r="AIF30" s="20" t="n">
        <v>0</v>
      </c>
      <c r="AIG30" s="20" t="n">
        <v>0</v>
      </c>
      <c r="AIH30" s="20" t="n">
        <v>0</v>
      </c>
      <c r="AII30" s="20" t="n">
        <v>0</v>
      </c>
      <c r="AIJ30" s="20" t="n">
        <v>0</v>
      </c>
      <c r="AIK30" s="20" t="n">
        <v>0</v>
      </c>
      <c r="AIL30" s="20" t="n">
        <v>0</v>
      </c>
      <c r="AIM30" s="20" t="n">
        <v>0</v>
      </c>
      <c r="AIN30" s="20" t="n">
        <v>0</v>
      </c>
      <c r="AIO30" s="20" t="n">
        <v>0</v>
      </c>
      <c r="AIP30" s="20" t="n">
        <v>0</v>
      </c>
      <c r="AIQ30" s="20" t="n">
        <v>0</v>
      </c>
      <c r="AIR30" s="20" t="n">
        <v>0</v>
      </c>
      <c r="AIS30" s="20" t="n">
        <v>0</v>
      </c>
      <c r="AIT30" s="20" t="n">
        <v>0</v>
      </c>
      <c r="AIU30" s="20" t="n">
        <v>0</v>
      </c>
      <c r="AIV30" s="20" t="n">
        <v>0</v>
      </c>
      <c r="AIW30" s="20" t="n">
        <v>0</v>
      </c>
      <c r="AIX30" s="20" t="n">
        <v>0</v>
      </c>
      <c r="AIY30" s="20" t="n">
        <v>0</v>
      </c>
      <c r="AIZ30" s="20" t="n">
        <v>0</v>
      </c>
      <c r="AJA30" s="20" t="n">
        <v>0</v>
      </c>
      <c r="AJB30" s="20" t="n">
        <v>0</v>
      </c>
      <c r="AJC30" s="20" t="n">
        <v>0</v>
      </c>
      <c r="AJD30" s="20" t="n">
        <v>0</v>
      </c>
      <c r="AJE30" s="20" t="n">
        <v>0</v>
      </c>
      <c r="AJF30" s="20" t="n">
        <v>0</v>
      </c>
      <c r="AJG30" s="20" t="n">
        <v>0</v>
      </c>
      <c r="AJH30" s="20" t="n">
        <v>0</v>
      </c>
      <c r="AJI30" s="20" t="n">
        <v>0</v>
      </c>
      <c r="AJJ30" s="20" t="n">
        <v>0</v>
      </c>
      <c r="AJK30" s="20" t="n">
        <v>0</v>
      </c>
      <c r="AJL30" s="20" t="n">
        <v>0</v>
      </c>
      <c r="AJM30" s="20" t="n">
        <v>0</v>
      </c>
      <c r="AJN30" s="20" t="n">
        <v>0</v>
      </c>
      <c r="AJO30" s="20" t="n">
        <v>0</v>
      </c>
      <c r="AJP30" s="20" t="n">
        <v>0</v>
      </c>
      <c r="AJQ30" s="20" t="n">
        <v>0</v>
      </c>
      <c r="AJR30" s="20" t="n">
        <v>0</v>
      </c>
      <c r="AJS30" s="20" t="n">
        <v>0</v>
      </c>
      <c r="AJT30" s="20" t="n">
        <v>0</v>
      </c>
      <c r="AJU30" s="20" t="n">
        <v>0</v>
      </c>
      <c r="AJV30" s="20" t="n">
        <v>0</v>
      </c>
      <c r="AJW30" s="20" t="n">
        <v>0</v>
      </c>
      <c r="AJX30" s="20" t="n">
        <v>0</v>
      </c>
      <c r="AJY30" s="20" t="n">
        <v>0</v>
      </c>
      <c r="AJZ30" s="20" t="n">
        <v>0</v>
      </c>
      <c r="AKA30" s="20" t="n">
        <v>0</v>
      </c>
      <c r="AKB30" s="20" t="n">
        <v>0</v>
      </c>
      <c r="AKC30" s="20" t="n">
        <v>0</v>
      </c>
      <c r="AKD30" s="20" t="n">
        <v>0</v>
      </c>
      <c r="AKE30" s="20" t="n">
        <v>0</v>
      </c>
      <c r="AKF30" s="20" t="n">
        <v>0</v>
      </c>
      <c r="AKG30" s="20" t="n">
        <v>0</v>
      </c>
      <c r="AKH30" s="20" t="n">
        <v>0</v>
      </c>
      <c r="AKI30" s="20" t="n">
        <v>0</v>
      </c>
      <c r="AKJ30" s="20" t="n">
        <v>0</v>
      </c>
      <c r="AKK30" s="20" t="n">
        <v>0</v>
      </c>
      <c r="AKL30" s="20" t="n">
        <v>0</v>
      </c>
      <c r="AKM30" s="20" t="n">
        <v>0</v>
      </c>
      <c r="AKN30" s="20" t="n">
        <v>0</v>
      </c>
      <c r="AKO30" s="20" t="n">
        <v>0</v>
      </c>
      <c r="AKP30" s="20" t="n">
        <v>0</v>
      </c>
      <c r="AKQ30" s="20" t="n">
        <v>0</v>
      </c>
      <c r="AKR30" s="20" t="n">
        <f aca="false">ADR30-AVE30</f>
        <v>0</v>
      </c>
      <c r="AKS30" s="20" t="n">
        <f aca="false">ADS30-AVF30</f>
        <v>0</v>
      </c>
      <c r="AKT30" s="20" t="n">
        <f aca="false">ADT30-AVG30</f>
        <v>0</v>
      </c>
      <c r="AKU30" s="20" t="n">
        <f aca="false">ADU30-AVH30</f>
        <v>0</v>
      </c>
      <c r="AKV30" s="20" t="n">
        <f aca="false">ADV30-AVI30</f>
        <v>0</v>
      </c>
      <c r="AKW30" s="20" t="n">
        <f aca="false">ADW30-AVJ30</f>
        <v>0</v>
      </c>
      <c r="AKX30" s="20" t="n">
        <f aca="false">ADX30-AVK30</f>
        <v>0</v>
      </c>
      <c r="AKY30" s="20" t="n">
        <f aca="false">ADY30-AVL30</f>
        <v>0</v>
      </c>
      <c r="AKZ30" s="20" t="n">
        <f aca="false">ADZ30-AVM30</f>
        <v>0</v>
      </c>
      <c r="ALA30" s="20" t="n">
        <f aca="false">AEA30-AVN30</f>
        <v>0</v>
      </c>
      <c r="ALB30" s="20" t="n">
        <f aca="false">AEB30-AVO30</f>
        <v>0</v>
      </c>
      <c r="ALC30" s="20" t="n">
        <f aca="false">AEC30-AVP30</f>
        <v>817.103602823383</v>
      </c>
      <c r="ALD30" s="20" t="n">
        <f aca="false">AED30-AVQ30</f>
        <v>1027.89033132072</v>
      </c>
      <c r="ALE30" s="20" t="n">
        <f aca="false">AEE30-AVR30</f>
        <v>1230.09744058507</v>
      </c>
      <c r="ALF30" s="20" t="n">
        <f aca="false">AEF30-AVS30</f>
        <v>1383.25107510194</v>
      </c>
      <c r="ALG30" s="20" t="n">
        <f aca="false">AEG30-AVT30</f>
        <v>1330.28384453212</v>
      </c>
      <c r="ALH30" s="20" t="n">
        <f aca="false">AEH30-AVU30</f>
        <v>1278.58873616899</v>
      </c>
      <c r="ALI30" s="20" t="n">
        <f aca="false">AEI30-AVV30</f>
        <v>1368.15245404784</v>
      </c>
      <c r="ALJ30" s="20" t="n">
        <f aca="false">AEJ30-AVW30</f>
        <v>4252.20503565601</v>
      </c>
      <c r="ALK30" s="20" t="n">
        <f aca="false">AEK30-AVX30</f>
        <v>4170.4318618934</v>
      </c>
      <c r="ALL30" s="20" t="n">
        <f aca="false">AEL30-AVY30</f>
        <v>4090.23124916468</v>
      </c>
      <c r="ALM30" s="20" t="n">
        <f aca="false">AEM30-AVZ30</f>
        <v>4011.57295591151</v>
      </c>
      <c r="ALN30" s="20" t="n">
        <f aca="false">AEN30-AWA30</f>
        <v>3934.42732214398</v>
      </c>
      <c r="ALO30" s="20" t="n">
        <f aca="false">AEO30-AWB30</f>
        <v>3858.7652582566</v>
      </c>
      <c r="ALP30" s="20" t="n">
        <v>0</v>
      </c>
      <c r="ALQ30" s="20" t="n">
        <v>0</v>
      </c>
      <c r="ALR30" s="20" t="n">
        <v>0</v>
      </c>
      <c r="ALS30" s="20" t="n">
        <v>0</v>
      </c>
      <c r="ALT30" s="20" t="n">
        <v>0</v>
      </c>
      <c r="ALU30" s="20" t="n">
        <v>0</v>
      </c>
      <c r="ALV30" s="20" t="n">
        <v>0</v>
      </c>
      <c r="ALW30" s="20" t="n">
        <v>0</v>
      </c>
      <c r="ALX30" s="20" t="n">
        <v>0</v>
      </c>
      <c r="ALY30" s="20" t="n">
        <v>0</v>
      </c>
      <c r="ALZ30" s="20" t="n">
        <v>0</v>
      </c>
      <c r="AMA30" s="20" t="n">
        <v>0</v>
      </c>
      <c r="AMB30" s="20" t="n">
        <v>0</v>
      </c>
      <c r="AMC30" s="20" t="n">
        <v>0</v>
      </c>
      <c r="AMD30" s="20" t="n">
        <v>0</v>
      </c>
      <c r="AME30" s="20" t="n">
        <v>0</v>
      </c>
      <c r="AMF30" s="20" t="n">
        <v>0</v>
      </c>
      <c r="AMG30" s="20" t="n">
        <v>0</v>
      </c>
      <c r="AMH30" s="20" t="n">
        <v>0</v>
      </c>
      <c r="AMI30" s="20" t="n">
        <v>0</v>
      </c>
      <c r="AMJ30" s="20" t="n">
        <v>0</v>
      </c>
      <c r="AMK30" s="20" t="n">
        <v>0</v>
      </c>
      <c r="AML30" s="20" t="n">
        <v>0</v>
      </c>
      <c r="AMM30" s="20" t="n">
        <v>0</v>
      </c>
      <c r="AMN30" s="20" t="n">
        <v>0</v>
      </c>
      <c r="AMO30" s="20" t="n">
        <v>0</v>
      </c>
      <c r="AMP30" s="20" t="n">
        <v>0</v>
      </c>
      <c r="AMQ30" s="20" t="n">
        <v>0</v>
      </c>
      <c r="AMR30" s="20" t="n">
        <v>0</v>
      </c>
      <c r="AMS30" s="20" t="n">
        <v>0</v>
      </c>
      <c r="AMT30" s="20" t="n">
        <v>0</v>
      </c>
      <c r="AMU30" s="20" t="n">
        <v>0</v>
      </c>
      <c r="AMV30" s="20" t="n">
        <v>0</v>
      </c>
      <c r="AMW30" s="20" t="n">
        <v>0</v>
      </c>
      <c r="AMX30" s="20" t="n">
        <v>0</v>
      </c>
      <c r="AMY30" s="20" t="n">
        <v>0</v>
      </c>
      <c r="AMZ30" s="20" t="n">
        <v>0</v>
      </c>
      <c r="ANA30" s="20" t="n">
        <v>0</v>
      </c>
      <c r="ANB30" s="20" t="n">
        <v>0</v>
      </c>
      <c r="ANC30" s="20" t="n">
        <v>0</v>
      </c>
      <c r="AND30" s="20" t="n">
        <v>0</v>
      </c>
      <c r="ANE30" s="20" t="n">
        <v>0</v>
      </c>
      <c r="ANF30" s="20" t="n">
        <v>0</v>
      </c>
      <c r="ANG30" s="20" t="n">
        <v>0</v>
      </c>
      <c r="ANH30" s="20" t="n">
        <v>0</v>
      </c>
      <c r="ANI30" s="20" t="n">
        <v>0</v>
      </c>
      <c r="ANJ30" s="20" t="n">
        <v>0</v>
      </c>
      <c r="ANK30" s="20" t="n">
        <v>0</v>
      </c>
      <c r="ANL30" s="20" t="n">
        <v>0</v>
      </c>
      <c r="ANM30" s="20" t="n">
        <v>0</v>
      </c>
      <c r="ANN30" s="20" t="n">
        <v>0</v>
      </c>
      <c r="ANO30" s="20" t="n">
        <v>0</v>
      </c>
      <c r="ANP30" s="20" t="n">
        <v>0</v>
      </c>
      <c r="ANQ30" s="20" t="n">
        <v>0</v>
      </c>
      <c r="ANR30" s="20" t="n">
        <v>0</v>
      </c>
      <c r="ANS30" s="20" t="n">
        <v>0</v>
      </c>
      <c r="ANT30" s="20" t="n">
        <v>0</v>
      </c>
      <c r="ANU30" s="20" t="n">
        <v>0</v>
      </c>
      <c r="ANV30" s="20" t="n">
        <v>0</v>
      </c>
      <c r="ANW30" s="20" t="n">
        <v>0</v>
      </c>
      <c r="ANX30" s="20" t="n">
        <v>0</v>
      </c>
      <c r="ANY30" s="20" t="n">
        <v>0</v>
      </c>
      <c r="ANZ30" s="20" t="n">
        <v>0</v>
      </c>
      <c r="AOA30" s="20" t="n">
        <v>0</v>
      </c>
      <c r="AOB30" s="20" t="n">
        <v>0</v>
      </c>
      <c r="AOC30" s="20" t="n">
        <v>0</v>
      </c>
      <c r="AOD30" s="20" t="n">
        <v>0</v>
      </c>
      <c r="AOE30" s="20" t="n">
        <f aca="false">IF(AND(H_Direct=0,H_TaxEvt=1,ARR29+1&gt;=H_Deemed),AKR30,AHE30)</f>
        <v>0</v>
      </c>
      <c r="AOF30" s="20" t="n">
        <f aca="false">IF(AND(H_Direct=0,H_TaxEvt=1,ARS29+1&gt;=H_Deemed),AKS30,AHF30)</f>
        <v>0</v>
      </c>
      <c r="AOG30" s="20" t="n">
        <f aca="false">IF(AND(H_Direct=0,H_TaxEvt=1,ART29+1&gt;=H_Deemed),AKT30,AHG30)</f>
        <v>0</v>
      </c>
      <c r="AOH30" s="20" t="n">
        <f aca="false">IF(AND(H_Direct=0,H_TaxEvt=1,ARU29+1&gt;=H_Deemed),AKU30,AHH30)</f>
        <v>0</v>
      </c>
      <c r="AOI30" s="20" t="n">
        <f aca="false">IF(AND(H_Direct=0,H_TaxEvt=1,ARV29+1&gt;=H_Deemed),AKV30,AHI30)</f>
        <v>0</v>
      </c>
      <c r="AOJ30" s="20" t="n">
        <f aca="false">IF(AND(H_Direct=0,H_TaxEvt=1,ARW29+1&gt;=H_Deemed),AKW30,AHJ30)</f>
        <v>0</v>
      </c>
      <c r="AOK30" s="20" t="n">
        <f aca="false">IF(AND(H_Direct=0,H_TaxEvt=1,ARX29+1&gt;=H_Deemed),AKX30,AHK30)</f>
        <v>0</v>
      </c>
      <c r="AOL30" s="20" t="n">
        <f aca="false">IF(AND(H_Direct=0,H_TaxEvt=1,ARY29+1&gt;=H_Deemed),AKY30,AHL30)</f>
        <v>0</v>
      </c>
      <c r="AOM30" s="20" t="n">
        <f aca="false">IF(AND(H_Direct=0,H_TaxEvt=1,ARZ29+1&gt;=H_Deemed),AKZ30,AHM30)</f>
        <v>0</v>
      </c>
      <c r="AON30" s="20" t="n">
        <f aca="false">IF(AND(H_Direct=0,H_TaxEvt=1,ASA29+1&gt;=H_Deemed),ALA30,AHN30)</f>
        <v>0</v>
      </c>
      <c r="AOO30" s="20" t="n">
        <f aca="false">IF(AND(H_Direct=0,H_TaxEvt=1,ASB29+1&gt;=H_Deemed),ALB30,AHO30)</f>
        <v>0</v>
      </c>
      <c r="AOP30" s="20" t="n">
        <f aca="false">IF(AND(H_Direct=0,H_TaxEvt=1,ASC29+1&gt;=H_Deemed),ALC30,AHP30)</f>
        <v>671.599600191266</v>
      </c>
      <c r="AOQ30" s="20" t="n">
        <f aca="false">IF(AND(H_Direct=0,H_TaxEvt=1,ASD29+1&gt;=H_Deemed),ALD30,AHQ30)</f>
        <v>878.644963131885</v>
      </c>
      <c r="AOR30" s="20" t="n">
        <f aca="false">IF(AND(H_Direct=0,H_TaxEvt=1,ASE29+1&gt;=H_Deemed),ALE30,AHR30)</f>
        <v>1093.55214549053</v>
      </c>
      <c r="AOS30" s="20" t="n">
        <f aca="false">IF(AND(H_Direct=0,H_TaxEvt=1,ASF29+1&gt;=H_Deemed),ALF30,AHS30)</f>
        <v>1278.89337564899</v>
      </c>
      <c r="AOT30" s="20" t="n">
        <f aca="false">IF(AND(H_Direct=0,H_TaxEvt=1,ASG29+1&gt;=H_Deemed),ALG30,AHT30)</f>
        <v>1279.11908128089</v>
      </c>
      <c r="AOU30" s="20" t="n">
        <f aca="false">IF(AND(H_Direct=0,H_TaxEvt=1,ASH29+1&gt;=H_Deemed),ALH30,AHU30)</f>
        <v>1278.58873616899</v>
      </c>
      <c r="AOV30" s="20" t="n">
        <f aca="false">IF(AND(H_Direct=0,H_TaxEvt=1,ASI29+1&gt;=H_Deemed),ALI30,AHV30)</f>
        <v>1039.68342100707</v>
      </c>
      <c r="AOW30" s="20" t="n">
        <f aca="false">IF(AND(H_Direct=0,H_TaxEvt=1,ASJ29+1&gt;=H_Deemed),ALJ30,AHW30)</f>
        <v>3360.57940606182</v>
      </c>
      <c r="AOX30" s="20" t="n">
        <f aca="false">IF(AND(H_Direct=0,H_TaxEvt=1,ASK29+1&gt;=H_Deemed),ALK30,AHX30)</f>
        <v>3427.79099418306</v>
      </c>
      <c r="AOY30" s="20" t="n">
        <f aca="false">IF(AND(H_Direct=0,H_TaxEvt=1,ASL29+1&gt;=H_Deemed),ALL30,AHY30)</f>
        <v>3496.34681406672</v>
      </c>
      <c r="AOZ30" s="20" t="n">
        <f aca="false">IF(AND(H_Direct=0,H_TaxEvt=1,ASM29+1&gt;=H_Deemed),ALM30,AHZ30)</f>
        <v>3566.27375034805</v>
      </c>
      <c r="APA30" s="20" t="n">
        <f aca="false">IF(AND(H_Direct=0,H_TaxEvt=1,ASN29+1&gt;=H_Deemed),ALN30,AIA30)</f>
        <v>3637.59922535501</v>
      </c>
      <c r="APB30" s="20" t="n">
        <f aca="false">IF(AND(H_Direct=0,H_TaxEvt=1,0+1&gt;=H_Deemed),ALO30,AIB30)</f>
        <v>3710.35120986211</v>
      </c>
      <c r="APC30" s="20" t="n">
        <v>0</v>
      </c>
      <c r="APD30" s="20" t="n">
        <v>0</v>
      </c>
      <c r="APE30" s="20" t="n">
        <v>0</v>
      </c>
      <c r="APF30" s="20" t="n">
        <v>0</v>
      </c>
      <c r="APG30" s="20" t="n">
        <v>0</v>
      </c>
      <c r="APH30" s="20" t="n">
        <v>0</v>
      </c>
      <c r="API30" s="20" t="n">
        <v>0</v>
      </c>
      <c r="APJ30" s="20" t="n">
        <v>0</v>
      </c>
      <c r="APK30" s="20" t="n">
        <v>0</v>
      </c>
      <c r="APL30" s="20" t="n">
        <v>0</v>
      </c>
      <c r="APM30" s="20" t="n">
        <v>0</v>
      </c>
      <c r="APN30" s="20" t="n">
        <v>0</v>
      </c>
      <c r="APO30" s="20" t="n">
        <v>0</v>
      </c>
      <c r="APP30" s="20" t="n">
        <v>0</v>
      </c>
      <c r="APQ30" s="20" t="n">
        <v>0</v>
      </c>
      <c r="APR30" s="20" t="n">
        <v>0</v>
      </c>
      <c r="APS30" s="20" t="n">
        <v>0</v>
      </c>
      <c r="APT30" s="20" t="n">
        <v>0</v>
      </c>
      <c r="APU30" s="20" t="n">
        <v>0</v>
      </c>
      <c r="APV30" s="20" t="n">
        <v>0</v>
      </c>
      <c r="APW30" s="20" t="n">
        <v>0</v>
      </c>
      <c r="APX30" s="20" t="n">
        <v>0</v>
      </c>
      <c r="APY30" s="20" t="n">
        <v>0</v>
      </c>
      <c r="APZ30" s="20" t="n">
        <v>0</v>
      </c>
      <c r="AQA30" s="20" t="n">
        <v>0</v>
      </c>
      <c r="AQB30" s="20" t="n">
        <v>0</v>
      </c>
      <c r="AQC30" s="20" t="n">
        <v>0</v>
      </c>
      <c r="AQD30" s="20" t="n">
        <v>0</v>
      </c>
      <c r="AQE30" s="20" t="n">
        <v>0</v>
      </c>
      <c r="AQF30" s="20" t="n">
        <v>0</v>
      </c>
      <c r="AQG30" s="20" t="n">
        <v>0</v>
      </c>
      <c r="AQH30" s="20" t="n">
        <v>0</v>
      </c>
      <c r="AQI30" s="20" t="n">
        <v>0</v>
      </c>
      <c r="AQJ30" s="20" t="n">
        <v>0</v>
      </c>
      <c r="AQK30" s="20" t="n">
        <v>0</v>
      </c>
      <c r="AQL30" s="20" t="n">
        <v>0</v>
      </c>
      <c r="AQM30" s="20" t="n">
        <v>0</v>
      </c>
      <c r="AQN30" s="20" t="n">
        <v>0</v>
      </c>
      <c r="AQO30" s="20" t="n">
        <v>0</v>
      </c>
      <c r="AQP30" s="20" t="n">
        <v>0</v>
      </c>
      <c r="AQQ30" s="20" t="n">
        <v>0</v>
      </c>
      <c r="AQR30" s="20" t="n">
        <v>0</v>
      </c>
      <c r="AQS30" s="20" t="n">
        <v>0</v>
      </c>
      <c r="AQT30" s="20" t="n">
        <v>0</v>
      </c>
      <c r="AQU30" s="20" t="n">
        <v>0</v>
      </c>
      <c r="AQV30" s="20" t="n">
        <v>0</v>
      </c>
      <c r="AQW30" s="20" t="n">
        <v>0</v>
      </c>
      <c r="AQX30" s="20" t="n">
        <v>0</v>
      </c>
      <c r="AQY30" s="20" t="n">
        <v>0</v>
      </c>
      <c r="AQZ30" s="20" t="n">
        <v>0</v>
      </c>
      <c r="ARA30" s="20" t="n">
        <v>0</v>
      </c>
      <c r="ARB30" s="20" t="n">
        <v>0</v>
      </c>
      <c r="ARC30" s="20" t="n">
        <v>0</v>
      </c>
      <c r="ARD30" s="20" t="n">
        <v>0</v>
      </c>
      <c r="ARE30" s="20" t="n">
        <v>0</v>
      </c>
      <c r="ARF30" s="20" t="n">
        <v>0</v>
      </c>
      <c r="ARG30" s="20" t="n">
        <v>0</v>
      </c>
      <c r="ARH30" s="20" t="n">
        <v>0</v>
      </c>
      <c r="ARI30" s="20" t="n">
        <v>0</v>
      </c>
      <c r="ARJ30" s="20" t="n">
        <v>0</v>
      </c>
      <c r="ARK30" s="20" t="n">
        <v>0</v>
      </c>
      <c r="ARL30" s="20" t="n">
        <v>0</v>
      </c>
      <c r="ARM30" s="20" t="n">
        <v>0</v>
      </c>
      <c r="ARN30" s="20" t="n">
        <v>0</v>
      </c>
      <c r="ARO30" s="20" t="n">
        <v>0</v>
      </c>
      <c r="ARP30" s="20" t="n">
        <v>0</v>
      </c>
      <c r="ARQ30" s="20" t="n">
        <v>0</v>
      </c>
      <c r="ARR30" s="20" t="n">
        <f aca="false">IF(AND(H_Direct=0,H_TaxEvt=1),IF(ARR29+1&gt;=H_Deemed,0,ARR29+1),ARR29)</f>
        <v>7</v>
      </c>
      <c r="ARS30" s="20" t="n">
        <f aca="false">IF(AND(H_Direct=0,H_TaxEvt=1),IF(ARS29+1&gt;=H_Deemed,0,ARS29+1),ARS29)</f>
        <v>7</v>
      </c>
      <c r="ART30" s="20" t="n">
        <f aca="false">IF(AND(H_Direct=0,H_TaxEvt=1),IF(ART29+1&gt;=H_Deemed,0,ART29+1),ART29)</f>
        <v>6</v>
      </c>
      <c r="ARU30" s="20" t="n">
        <f aca="false">IF(AND(H_Direct=0,H_TaxEvt=1),IF(ARU29+1&gt;=H_Deemed,0,ARU29+1),ARU29)</f>
        <v>5</v>
      </c>
      <c r="ARV30" s="20" t="n">
        <f aca="false">IF(AND(H_Direct=0,H_TaxEvt=1),IF(ARV29+1&gt;=H_Deemed,0,ARV29+1),ARV29)</f>
        <v>4</v>
      </c>
      <c r="ARW30" s="20" t="n">
        <f aca="false">IF(AND(H_Direct=0,H_TaxEvt=1),IF(ARW29+1&gt;=H_Deemed,0,ARW29+1),ARW29)</f>
        <v>3</v>
      </c>
      <c r="ARX30" s="20" t="n">
        <f aca="false">IF(AND(H_Direct=0,H_TaxEvt=1),IF(ARX29+1&gt;=H_Deemed,0,ARX29+1),ARX29)</f>
        <v>2</v>
      </c>
      <c r="ARY30" s="20" t="n">
        <f aca="false">IF(AND(H_Direct=0,H_TaxEvt=1),IF(ARY29+1&gt;=H_Deemed,0,ARY29+1),ARY29)</f>
        <v>1</v>
      </c>
      <c r="ARZ30" s="20" t="n">
        <f aca="false">IF(AND(H_Direct=0,H_TaxEvt=1),IF(ARZ29+1&gt;=H_Deemed,0,ARZ29+1),ARZ29)</f>
        <v>0</v>
      </c>
      <c r="ASA30" s="20" t="n">
        <f aca="false">IF(AND(H_Direct=0,H_TaxEvt=1),IF(ASA29+1&gt;=H_Deemed,0,ASA29+1),ASA29)</f>
        <v>7</v>
      </c>
      <c r="ASB30" s="20" t="n">
        <f aca="false">IF(AND(H_Direct=0,H_TaxEvt=1),IF(ASB29+1&gt;=H_Deemed,0,ASB29+1),ASB29)</f>
        <v>6</v>
      </c>
      <c r="ASC30" s="20" t="n">
        <f aca="false">IF(AND(H_Direct=0,H_TaxEvt=1),IF(ASC29+1&gt;=H_Deemed,0,ASC29+1),ASC29)</f>
        <v>5</v>
      </c>
      <c r="ASD30" s="20" t="n">
        <f aca="false">IF(AND(H_Direct=0,H_TaxEvt=1),IF(ASD29+1&gt;=H_Deemed,0,ASD29+1),ASD29)</f>
        <v>4</v>
      </c>
      <c r="ASE30" s="20" t="n">
        <f aca="false">IF(AND(H_Direct=0,H_TaxEvt=1),IF(ASE29+1&gt;=H_Deemed,0,ASE29+1),ASE29)</f>
        <v>3</v>
      </c>
      <c r="ASF30" s="20" t="n">
        <f aca="false">IF(AND(H_Direct=0,H_TaxEvt=1),IF(ASF29+1&gt;=H_Deemed,0,ASF29+1),ASF29)</f>
        <v>2</v>
      </c>
      <c r="ASG30" s="20" t="n">
        <f aca="false">IF(AND(H_Direct=0,H_TaxEvt=1),IF(ASG29+1&gt;=H_Deemed,0,ASG29+1),ASG29)</f>
        <v>1</v>
      </c>
      <c r="ASH30" s="20" t="n">
        <f aca="false">IF(AND(H_Direct=0,H_TaxEvt=1),IF(ASH29+1&gt;=H_Deemed,0,ASH29+1),ASH29)</f>
        <v>0</v>
      </c>
      <c r="ASI30" s="20" t="n">
        <f aca="false">IF(AND(H_Direct=0,H_TaxEvt=1),IF(ASI29+1&gt;=H_Deemed,0,ASI29+1),ASI29)</f>
        <v>7</v>
      </c>
      <c r="ASJ30" s="20" t="n">
        <f aca="false">IF(AND(H_Direct=0,H_TaxEvt=1),IF(ASJ29+1&gt;=H_Deemed,0,ASJ29+1),ASJ29)</f>
        <v>6</v>
      </c>
      <c r="ASK30" s="20" t="n">
        <f aca="false">IF(AND(H_Direct=0,H_TaxEvt=1),IF(ASK29+1&gt;=H_Deemed,0,ASK29+1),ASK29)</f>
        <v>5</v>
      </c>
      <c r="ASL30" s="20" t="n">
        <f aca="false">IF(AND(H_Direct=0,H_TaxEvt=1),IF(ASL29+1&gt;=H_Deemed,0,ASL29+1),ASL29)</f>
        <v>4</v>
      </c>
      <c r="ASM30" s="20" t="n">
        <f aca="false">IF(AND(H_Direct=0,H_TaxEvt=1),IF(ASM29+1&gt;=H_Deemed,0,ASM29+1),ASM29)</f>
        <v>3</v>
      </c>
      <c r="ASN30" s="20" t="n">
        <f aca="false">IF(AND(H_Direct=0,H_TaxEvt=1),IF(ASN29+1&gt;=H_Deemed,0,ASN29+1),ASN29)</f>
        <v>2</v>
      </c>
      <c r="ASO30" s="20" t="n">
        <f aca="false">IF(AND(H_Direct=0,H_TaxEvt=1),IF(0+1&gt;=H_Deemed,0,0+1),0)</f>
        <v>1</v>
      </c>
      <c r="ASP30" s="20" t="n">
        <v>0</v>
      </c>
      <c r="ASQ30" s="20" t="n">
        <v>0</v>
      </c>
      <c r="ASR30" s="20" t="n">
        <v>0</v>
      </c>
      <c r="ASS30" s="20" t="n">
        <v>0</v>
      </c>
      <c r="AST30" s="20" t="n">
        <v>0</v>
      </c>
      <c r="ASU30" s="20" t="n">
        <v>0</v>
      </c>
      <c r="ASV30" s="20" t="n">
        <v>0</v>
      </c>
      <c r="ASW30" s="20" t="n">
        <v>0</v>
      </c>
      <c r="ASX30" s="20" t="n">
        <v>0</v>
      </c>
      <c r="ASY30" s="20" t="n">
        <v>0</v>
      </c>
      <c r="ASZ30" s="20" t="n">
        <v>0</v>
      </c>
      <c r="ATA30" s="20" t="n">
        <v>0</v>
      </c>
      <c r="ATB30" s="20" t="n">
        <v>0</v>
      </c>
      <c r="ATC30" s="20" t="n">
        <v>0</v>
      </c>
      <c r="ATD30" s="20" t="n">
        <v>0</v>
      </c>
      <c r="ATE30" s="20" t="n">
        <v>0</v>
      </c>
      <c r="ATF30" s="20" t="n">
        <v>0</v>
      </c>
      <c r="ATG30" s="20" t="n">
        <v>0</v>
      </c>
      <c r="ATH30" s="20" t="n">
        <v>0</v>
      </c>
      <c r="ATI30" s="20" t="n">
        <v>0</v>
      </c>
      <c r="ATJ30" s="20" t="n">
        <v>0</v>
      </c>
      <c r="ATK30" s="20" t="n">
        <v>0</v>
      </c>
      <c r="ATL30" s="20" t="n">
        <v>0</v>
      </c>
      <c r="ATM30" s="20" t="n">
        <v>0</v>
      </c>
      <c r="ATN30" s="20" t="n">
        <v>0</v>
      </c>
      <c r="ATO30" s="20" t="n">
        <v>0</v>
      </c>
      <c r="ATP30" s="20" t="n">
        <v>0</v>
      </c>
      <c r="ATQ30" s="20" t="n">
        <v>0</v>
      </c>
      <c r="ATR30" s="20" t="n">
        <v>0</v>
      </c>
      <c r="ATS30" s="20" t="n">
        <v>0</v>
      </c>
      <c r="ATT30" s="20" t="n">
        <v>0</v>
      </c>
      <c r="ATU30" s="20" t="n">
        <v>0</v>
      </c>
      <c r="ATV30" s="20" t="n">
        <v>0</v>
      </c>
      <c r="ATW30" s="20" t="n">
        <v>0</v>
      </c>
      <c r="ATX30" s="20" t="n">
        <v>0</v>
      </c>
      <c r="ATY30" s="20" t="n">
        <v>0</v>
      </c>
      <c r="ATZ30" s="20" t="n">
        <v>0</v>
      </c>
      <c r="AUA30" s="20" t="n">
        <v>0</v>
      </c>
      <c r="AUB30" s="20" t="n">
        <v>0</v>
      </c>
      <c r="AUC30" s="20" t="n">
        <v>0</v>
      </c>
      <c r="AUD30" s="20" t="n">
        <v>0</v>
      </c>
      <c r="AUE30" s="20" t="n">
        <v>0</v>
      </c>
      <c r="AUF30" s="20" t="n">
        <v>0</v>
      </c>
      <c r="AUG30" s="20" t="n">
        <v>0</v>
      </c>
      <c r="AUH30" s="20" t="n">
        <v>0</v>
      </c>
      <c r="AUI30" s="20" t="n">
        <v>0</v>
      </c>
      <c r="AUJ30" s="20" t="n">
        <v>0</v>
      </c>
      <c r="AUK30" s="20" t="n">
        <v>0</v>
      </c>
      <c r="AUL30" s="20" t="n">
        <v>0</v>
      </c>
      <c r="AUM30" s="20" t="n">
        <v>0</v>
      </c>
      <c r="AUN30" s="20" t="n">
        <v>0</v>
      </c>
      <c r="AUO30" s="20" t="n">
        <v>0</v>
      </c>
      <c r="AUP30" s="20" t="n">
        <v>0</v>
      </c>
      <c r="AUQ30" s="20" t="n">
        <v>0</v>
      </c>
      <c r="AUR30" s="20" t="n">
        <v>0</v>
      </c>
      <c r="AUS30" s="20" t="n">
        <v>0</v>
      </c>
      <c r="AUT30" s="20" t="n">
        <v>0</v>
      </c>
      <c r="AUU30" s="20" t="n">
        <v>0</v>
      </c>
      <c r="AUV30" s="20" t="n">
        <v>0</v>
      </c>
      <c r="AUW30" s="20" t="n">
        <v>0</v>
      </c>
      <c r="AUX30" s="20" t="n">
        <v>0</v>
      </c>
      <c r="AUY30" s="20" t="n">
        <v>0</v>
      </c>
      <c r="AUZ30" s="20" t="n">
        <v>0</v>
      </c>
      <c r="AVA30" s="20" t="n">
        <v>0</v>
      </c>
      <c r="AVB30" s="20" t="n">
        <v>0</v>
      </c>
      <c r="AVC30" s="20" t="n">
        <v>0</v>
      </c>
      <c r="AVD30" s="20" t="n">
        <v>0</v>
      </c>
      <c r="AVE30" s="20" t="n">
        <f aca="false">IF(AND(H_Direct=0,H_TaxEvt=1,ARR29+1&gt;=H_Deemed),MAX(0,ADR30-AHE30)*H_Exit,0)</f>
        <v>0</v>
      </c>
      <c r="AVF30" s="20" t="n">
        <f aca="false">IF(AND(H_Direct=0,H_TaxEvt=1,ARS29+1&gt;=H_Deemed),MAX(0,ADS30-AHF30)*H_Exit,0)</f>
        <v>0</v>
      </c>
      <c r="AVG30" s="20" t="n">
        <f aca="false">IF(AND(H_Direct=0,H_TaxEvt=1,ART29+1&gt;=H_Deemed),MAX(0,ADT30-AHG30)*H_Exit,0)</f>
        <v>0</v>
      </c>
      <c r="AVH30" s="20" t="n">
        <f aca="false">IF(AND(H_Direct=0,H_TaxEvt=1,ARU29+1&gt;=H_Deemed),MAX(0,ADU30-AHH30)*H_Exit,0)</f>
        <v>0</v>
      </c>
      <c r="AVI30" s="20" t="n">
        <f aca="false">IF(AND(H_Direct=0,H_TaxEvt=1,ARV29+1&gt;=H_Deemed),MAX(0,ADV30-AHI30)*H_Exit,0)</f>
        <v>0</v>
      </c>
      <c r="AVJ30" s="20" t="n">
        <f aca="false">IF(AND(H_Direct=0,H_TaxEvt=1,ARW29+1&gt;=H_Deemed),MAX(0,ADW30-AHJ30)*H_Exit,0)</f>
        <v>0</v>
      </c>
      <c r="AVK30" s="20" t="n">
        <f aca="false">IF(AND(H_Direct=0,H_TaxEvt=1,ARX29+1&gt;=H_Deemed),MAX(0,ADX30-AHK30)*H_Exit,0)</f>
        <v>0</v>
      </c>
      <c r="AVL30" s="20" t="n">
        <f aca="false">IF(AND(H_Direct=0,H_TaxEvt=1,ARY29+1&gt;=H_Deemed),MAX(0,ADY30-AHL30)*H_Exit,0)</f>
        <v>0</v>
      </c>
      <c r="AVM30" s="20" t="n">
        <f aca="false">IF(AND(H_Direct=0,H_TaxEvt=1,ARZ29+1&gt;=H_Deemed),MAX(0,ADZ30-AHM30)*H_Exit,0)</f>
        <v>0</v>
      </c>
      <c r="AVN30" s="20" t="n">
        <f aca="false">IF(AND(H_Direct=0,H_TaxEvt=1,ASA29+1&gt;=H_Deemed),MAX(0,AEA30-AHN30)*H_Exit,0)</f>
        <v>0</v>
      </c>
      <c r="AVO30" s="20" t="n">
        <f aca="false">IF(AND(H_Direct=0,H_TaxEvt=1,ASB29+1&gt;=H_Deemed),MAX(0,AEB30-AHO30)*H_Exit,0)</f>
        <v>0</v>
      </c>
      <c r="AVP30" s="20" t="n">
        <f aca="false">IF(AND(H_Direct=0,H_TaxEvt=1,ASC29+1&gt;=H_Deemed),MAX(0,AEC30-AHP30)*H_Exit,0)</f>
        <v>0</v>
      </c>
      <c r="AVQ30" s="20" t="n">
        <f aca="false">IF(AND(H_Direct=0,H_TaxEvt=1,ASD29+1&gt;=H_Deemed),MAX(0,AED30-AHQ30)*H_Exit,0)</f>
        <v>0</v>
      </c>
      <c r="AVR30" s="20" t="n">
        <f aca="false">IF(AND(H_Direct=0,H_TaxEvt=1,ASE29+1&gt;=H_Deemed),MAX(0,AEE30-AHR30)*H_Exit,0)</f>
        <v>0</v>
      </c>
      <c r="AVS30" s="20" t="n">
        <f aca="false">IF(AND(H_Direct=0,H_TaxEvt=1,ASF29+1&gt;=H_Deemed),MAX(0,AEF30-AHS30)*H_Exit,0)</f>
        <v>0</v>
      </c>
      <c r="AVT30" s="20" t="n">
        <f aca="false">IF(AND(H_Direct=0,H_TaxEvt=1,ASG29+1&gt;=H_Deemed),MAX(0,AEG30-AHT30)*H_Exit,0)</f>
        <v>0</v>
      </c>
      <c r="AVU30" s="20" t="n">
        <f aca="false">IF(AND(H_Direct=0,H_TaxEvt=1,ASH29+1&gt;=H_Deemed),MAX(0,AEH30-AHU30)*H_Exit,0)</f>
        <v>145.765130141466</v>
      </c>
      <c r="AVV30" s="20" t="n">
        <f aca="false">IF(AND(H_Direct=0,H_TaxEvt=1,ASI29+1&gt;=H_Deemed),MAX(0,AEI30-AHV30)*H_Exit,0)</f>
        <v>0</v>
      </c>
      <c r="AVW30" s="20" t="n">
        <f aca="false">IF(AND(H_Direct=0,H_TaxEvt=1,ASJ29+1&gt;=H_Deemed),MAX(0,AEJ30-AHW30)*H_Exit,0)</f>
        <v>0</v>
      </c>
      <c r="AVX30" s="20" t="n">
        <f aca="false">IF(AND(H_Direct=0,H_TaxEvt=1,ASK29+1&gt;=H_Deemed),MAX(0,AEK30-AHX30)*H_Exit,0)</f>
        <v>0</v>
      </c>
      <c r="AVY30" s="20" t="n">
        <f aca="false">IF(AND(H_Direct=0,H_TaxEvt=1,ASL29+1&gt;=H_Deemed),MAX(0,AEL30-AHY30)*H_Exit,0)</f>
        <v>0</v>
      </c>
      <c r="AVZ30" s="20" t="n">
        <f aca="false">IF(AND(H_Direct=0,H_TaxEvt=1,ASM29+1&gt;=H_Deemed),MAX(0,AEM30-AHZ30)*H_Exit,0)</f>
        <v>0</v>
      </c>
      <c r="AWA30" s="20" t="n">
        <f aca="false">IF(AND(H_Direct=0,H_TaxEvt=1,ASN29+1&gt;=H_Deemed),MAX(0,AEN30-AIA30)*H_Exit,0)</f>
        <v>0</v>
      </c>
      <c r="AWB30" s="20" t="n">
        <f aca="false">IF(AND(H_Direct=0,H_TaxEvt=1,0+1&gt;=H_Deemed),MAX(0,AEO30-AIB30)*H_Exit,0)</f>
        <v>0</v>
      </c>
      <c r="AWC30" s="20" t="n">
        <v>0</v>
      </c>
      <c r="AWD30" s="20" t="n">
        <v>0</v>
      </c>
      <c r="AWE30" s="20" t="n">
        <v>0</v>
      </c>
      <c r="AWF30" s="20" t="n">
        <v>0</v>
      </c>
      <c r="AWG30" s="20" t="n">
        <v>0</v>
      </c>
      <c r="AWH30" s="20" t="n">
        <v>0</v>
      </c>
      <c r="AWI30" s="20" t="n">
        <v>0</v>
      </c>
      <c r="AWJ30" s="20" t="n">
        <v>0</v>
      </c>
      <c r="AWK30" s="20" t="n">
        <v>0</v>
      </c>
      <c r="AWL30" s="20" t="n">
        <v>0</v>
      </c>
      <c r="AWM30" s="20" t="n">
        <v>0</v>
      </c>
      <c r="AWN30" s="20" t="n">
        <v>0</v>
      </c>
      <c r="AWO30" s="20" t="n">
        <v>0</v>
      </c>
      <c r="AWP30" s="20" t="n">
        <v>0</v>
      </c>
      <c r="AWQ30" s="20" t="n">
        <v>0</v>
      </c>
      <c r="AWR30" s="20" t="n">
        <v>0</v>
      </c>
      <c r="AWS30" s="20" t="n">
        <v>0</v>
      </c>
      <c r="AWT30" s="20" t="n">
        <v>0</v>
      </c>
      <c r="AWU30" s="20" t="n">
        <v>0</v>
      </c>
      <c r="AWV30" s="20" t="n">
        <v>0</v>
      </c>
      <c r="AWW30" s="20" t="n">
        <v>0</v>
      </c>
      <c r="AWX30" s="20" t="n">
        <v>0</v>
      </c>
      <c r="AWY30" s="20" t="n">
        <v>0</v>
      </c>
      <c r="AWZ30" s="20" t="n">
        <v>0</v>
      </c>
      <c r="AXA30" s="20" t="n">
        <v>0</v>
      </c>
      <c r="AXB30" s="20" t="n">
        <v>0</v>
      </c>
      <c r="AXC30" s="20" t="n">
        <v>0</v>
      </c>
      <c r="AXD30" s="20" t="n">
        <v>0</v>
      </c>
      <c r="AXE30" s="20" t="n">
        <v>0</v>
      </c>
      <c r="AXF30" s="20" t="n">
        <v>0</v>
      </c>
      <c r="AXG30" s="20" t="n">
        <v>0</v>
      </c>
      <c r="AXH30" s="20" t="n">
        <v>0</v>
      </c>
      <c r="AXI30" s="20" t="n">
        <v>0</v>
      </c>
      <c r="AXJ30" s="20" t="n">
        <v>0</v>
      </c>
      <c r="AXK30" s="20" t="n">
        <v>0</v>
      </c>
      <c r="AXL30" s="20" t="n">
        <v>0</v>
      </c>
      <c r="AXM30" s="20" t="n">
        <v>0</v>
      </c>
      <c r="AXN30" s="20" t="n">
        <v>0</v>
      </c>
      <c r="AXO30" s="20" t="n">
        <v>0</v>
      </c>
      <c r="AXP30" s="20" t="n">
        <v>0</v>
      </c>
      <c r="AXQ30" s="20" t="n">
        <v>0</v>
      </c>
      <c r="AXR30" s="20" t="n">
        <v>0</v>
      </c>
      <c r="AXS30" s="20" t="n">
        <v>0</v>
      </c>
      <c r="AXT30" s="20" t="n">
        <v>0</v>
      </c>
      <c r="AXU30" s="20" t="n">
        <v>0</v>
      </c>
      <c r="AXV30" s="20" t="n">
        <v>0</v>
      </c>
      <c r="AXW30" s="20" t="n">
        <v>0</v>
      </c>
      <c r="AXX30" s="20" t="n">
        <v>0</v>
      </c>
      <c r="AXY30" s="20" t="n">
        <v>0</v>
      </c>
      <c r="AXZ30" s="20" t="n">
        <v>0</v>
      </c>
      <c r="AYA30" s="20" t="n">
        <v>0</v>
      </c>
      <c r="AYB30" s="20" t="n">
        <v>0</v>
      </c>
      <c r="AYC30" s="20" t="n">
        <v>0</v>
      </c>
      <c r="AYD30" s="20" t="n">
        <v>0</v>
      </c>
      <c r="AYE30" s="20" t="n">
        <v>0</v>
      </c>
      <c r="AYF30" s="20" t="n">
        <v>0</v>
      </c>
      <c r="AYG30" s="20" t="n">
        <v>0</v>
      </c>
      <c r="AYH30" s="20" t="n">
        <v>0</v>
      </c>
      <c r="AYI30" s="20" t="n">
        <v>0</v>
      </c>
      <c r="AYJ30" s="20" t="n">
        <v>0</v>
      </c>
      <c r="AYK30" s="20" t="n">
        <v>0</v>
      </c>
      <c r="AYL30" s="20" t="n">
        <v>0</v>
      </c>
      <c r="AYM30" s="20" t="n">
        <v>0</v>
      </c>
      <c r="AYN30" s="20" t="n">
        <v>0</v>
      </c>
      <c r="AYO30" s="20" t="n">
        <v>0</v>
      </c>
      <c r="AYP30" s="20" t="n">
        <v>0</v>
      </c>
      <c r="AYQ30" s="20" t="n">
        <v>0</v>
      </c>
    </row>
    <row r="31" customFormat="false" ht="15" hidden="false" customHeight="false" outlineLevel="0" collapsed="false">
      <c r="B31" s="20" t="n">
        <v>23</v>
      </c>
      <c r="C31" s="20" t="n">
        <f aca="false">'Plan cashflow'!C31</f>
        <v>1</v>
      </c>
      <c r="D31" s="20" t="n">
        <f aca="false">'Plan cashflow'!D31</f>
        <v>61</v>
      </c>
      <c r="E31" s="20" t="n">
        <f aca="false">AS_Year0+23</f>
        <v>2049</v>
      </c>
      <c r="F31" s="50" t="n">
        <f aca="false">'Plan cashflow'!F31</f>
        <v>1.5768992641914</v>
      </c>
      <c r="G31" s="59" t="n">
        <f aca="true">IF(MAX(TODAY(),DATE(E31,1,1))&gt;=H_CGTfrom,H_CGT1,H_CGT0)</f>
        <v>0.31</v>
      </c>
      <c r="H31" s="20" t="n">
        <f aca="false">H_Exempt*H_Persons</f>
        <v>1270</v>
      </c>
      <c r="I31" s="20" t="n">
        <f aca="false">AX30</f>
        <v>0</v>
      </c>
      <c r="J31" s="60" t="n">
        <f aca="false">BF30</f>
        <v>43338.4652305986</v>
      </c>
      <c r="K31" s="60" t="n">
        <f aca="false">BG30</f>
        <v>0</v>
      </c>
      <c r="L31" s="20" t="n">
        <f aca="false">IF(AND(In_polLump&gt;0,In_polLumpAge&gt;0,D31=In_polLumpAge),In_polLump,0)</f>
        <v>0</v>
      </c>
      <c r="M31" s="20" t="n">
        <f aca="false">IF(AND(In_homeUse="Yes, I'd downsize",In_downAge&gt;0,D31=In_downAge,OR(In_home="Own outright",In_home="Own with mortgage"),In_homeValue&gt;0),MAX(0,MAX(0,In_homeValue-In_downValue)*F31*0.9-'Plan cashflow'!HR30),0)</f>
        <v>0</v>
      </c>
      <c r="N31" s="20" t="n">
        <f aca="false">'Plan pay &amp; tax'!Y257</f>
        <v>0</v>
      </c>
      <c r="O31" s="20" t="n">
        <f aca="false">L31+M31+(1-H_Sh)*N31</f>
        <v>0</v>
      </c>
      <c r="P31" s="20" t="n">
        <f aca="false">H_Sh*N31</f>
        <v>0</v>
      </c>
      <c r="Q31" s="20" t="n">
        <f aca="false">'Plan cashflow'!UL31</f>
        <v>0</v>
      </c>
      <c r="R31" s="20" t="n">
        <f aca="false">(1-H_Sh)*Q31</f>
        <v>0</v>
      </c>
      <c r="S31" s="20" t="n">
        <f aca="false">H_Sh*Q31</f>
        <v>0</v>
      </c>
      <c r="T31" s="20" t="n">
        <f aca="false">J31+K31+O31</f>
        <v>43338.4652305986</v>
      </c>
      <c r="U31" s="20" t="n">
        <f aca="false">T31+R31</f>
        <v>43338.4652305986</v>
      </c>
      <c r="V31" s="60" t="n">
        <f aca="false">SUM(FE31:IQ31)</f>
        <v>31220.0893585785</v>
      </c>
      <c r="W31" s="60" t="n">
        <f aca="false">IF(AJ31&lt;=0,0,IF(AL31&lt;=0,AJ31,AJ31-G31*MAX(0,AL31*AJ31-(AY31+AZ31))))</f>
        <v>0</v>
      </c>
      <c r="X31" s="60" t="n">
        <f aca="false">IF(AR31&lt;=0,0,IF(AT31&lt;=0,AR31,AR31-G31*MAX(0,AT31*AR31-(BA31+BB31))))</f>
        <v>0</v>
      </c>
      <c r="Y31" s="60" t="n">
        <f aca="false">T31+V31-S31+W31+X31</f>
        <v>74558.5545891771</v>
      </c>
      <c r="Z31" s="60" t="n">
        <f aca="false">'Plan cashflow'!UK31</f>
        <v>0</v>
      </c>
      <c r="AA31" s="20" t="n">
        <f aca="false">MIN(Z31,U31)</f>
        <v>0</v>
      </c>
      <c r="AB31" s="20" t="n">
        <f aca="false">Z31-AA31</f>
        <v>0</v>
      </c>
      <c r="AC31" s="20" t="n">
        <f aca="false">MIN(AA31,J31+O31+R31)</f>
        <v>0</v>
      </c>
      <c r="AD31" s="20" t="n">
        <f aca="false">AA31-AC31</f>
        <v>0</v>
      </c>
      <c r="AE31" s="20" t="n">
        <f aca="false">J31+O31+R31-AC31</f>
        <v>43338.4652305986</v>
      </c>
      <c r="AF31" s="20" t="n">
        <f aca="false">K31-AD31</f>
        <v>0</v>
      </c>
      <c r="AG31" s="20" t="n">
        <f aca="false">SUM(PR31:TD31)</f>
        <v>0</v>
      </c>
      <c r="AH31" s="20" t="n">
        <f aca="false">SUM(TE31:WQ31)</f>
        <v>0</v>
      </c>
      <c r="AI31" s="20" t="n">
        <f aca="false">MAX(0,AB31-AG31)</f>
        <v>0</v>
      </c>
      <c r="AJ31" s="57" t="n">
        <f aca="false">BI30</f>
        <v>0</v>
      </c>
      <c r="AK31" s="20" t="n">
        <f aca="false">BJ30</f>
        <v>0</v>
      </c>
      <c r="AL31" s="20" t="n">
        <f aca="false">IF(AJ31&gt;0,(AJ31-AK31)/AJ31,0)</f>
        <v>0</v>
      </c>
      <c r="AM31" s="20" t="n">
        <f aca="false">IF(AJ31&lt;=0,0,IF(AL31&lt;=0,MIN(AI31,AJ31),MIN(AI31,AJ31-G31*MAX(0,AL31*AJ31-(AAD31+ADQ31)))))</f>
        <v>0</v>
      </c>
      <c r="AN31" s="20" t="n">
        <f aca="false">IF(AJ31&lt;=0,0,IF(AL31&lt;=0,AM31,IF(AM31&lt;=(AAD31+ADQ31)/AL31,AM31,(AM31-G31*(AAD31+ADQ31))/(1-G31*AL31))))</f>
        <v>0</v>
      </c>
      <c r="AO31" s="20" t="n">
        <f aca="false">IF(AL31&gt;0,MAX(0,AAD31-(MIN(AL31*AN31,(AAD31+ADQ31))-MIN(MIN(AL31*AN31,(AAD31+ADQ31)),ADQ31))),AAD31)</f>
        <v>1270</v>
      </c>
      <c r="AP31" s="20" t="n">
        <f aca="false">IF(AL31&lt;=0,ADQ31-AL31*AN31,ADQ31-MIN(MIN(AL31*AN31,(AAD31+ADQ31)),ADQ31))</f>
        <v>0</v>
      </c>
      <c r="AQ31" s="20" t="n">
        <f aca="false">MAX(0,AI31-AM31)</f>
        <v>0</v>
      </c>
      <c r="AR31" s="57" t="n">
        <f aca="false">BK30</f>
        <v>0</v>
      </c>
      <c r="AS31" s="20" t="n">
        <f aca="false">BL30</f>
        <v>0</v>
      </c>
      <c r="AT31" s="20" t="n">
        <f aca="false">IF(AR31&gt;0,(AR31-AS31)/AR31,0)</f>
        <v>0</v>
      </c>
      <c r="AU31" s="20" t="n">
        <f aca="false">IF(AR31&lt;=0,0,IF(AT31&lt;=0,MIN(AQ31,AR31),MIN(AQ31,AR31-G31*MAX(0,AT31*AR31-(AO31+AP31)))))</f>
        <v>0</v>
      </c>
      <c r="AV31" s="20" t="n">
        <f aca="false">IF(AR31&lt;=0,0,IF(AT31&lt;=0,AU31,IF(AU31&lt;=(AO31+AP31)/AT31,AU31,(AU31-G31*(AO31+AP31))/(1-G31*AT31))))</f>
        <v>0</v>
      </c>
      <c r="AW31" s="20" t="n">
        <f aca="false">IF(AT31&gt;0,MAX(0,AO31-(MIN(AT31*AV31,(AO31+AP31))-MIN(MIN(AT31*AV31,(AO31+AP31)),AP31))),AO31)</f>
        <v>1270</v>
      </c>
      <c r="AX31" s="20" t="n">
        <f aca="false">IF(AT31&lt;=0,AP31-AT31*AV31,AP31-MIN(MIN(AT31*AV31,(AO31+AP31)),AP31))</f>
        <v>0</v>
      </c>
      <c r="AY31" s="20" t="n">
        <f aca="false">MD31</f>
        <v>1270</v>
      </c>
      <c r="AZ31" s="20" t="n">
        <f aca="false">PQ31</f>
        <v>0</v>
      </c>
      <c r="BA31" s="20" t="n">
        <f aca="false">IF(AL31&gt;0,MAX(0,AY31-(MIN(AL31*AJ31,AY31+AZ31)-MIN(MIN(AL31*AJ31,AY31+AZ31),AZ31))),AY31)</f>
        <v>1270</v>
      </c>
      <c r="BB31" s="20" t="n">
        <f aca="false">IF(AL31&lt;=0,AZ31-AL31*AJ31,AZ31-MIN(MIN(AL31*AJ31,AY31+AZ31),AZ31))</f>
        <v>0</v>
      </c>
      <c r="BC31" s="20" t="n">
        <f aca="false">'Plan cashflow'!UM31</f>
        <v>9461.39558514839</v>
      </c>
      <c r="BD31" s="20" t="n">
        <f aca="false">(1-H_Sh)*BC31</f>
        <v>5676.83735108904</v>
      </c>
      <c r="BE31" s="20" t="n">
        <f aca="false">H_Sh*BC31</f>
        <v>3784.55823405936</v>
      </c>
      <c r="BF31" s="60" t="n">
        <f aca="false">(AE31+BD31)*(1+AS_Cash)</f>
        <v>49505.4556075045</v>
      </c>
      <c r="BG31" s="60" t="n">
        <f aca="false">AF31*(1+AS_Cash)</f>
        <v>0</v>
      </c>
      <c r="BH31" s="60" t="n">
        <f aca="false">SUM(AKR31:AOD31)</f>
        <v>37853.4476278752</v>
      </c>
      <c r="BI31" s="60" t="n">
        <f aca="false">(AJ31-AN31)*(1+AS_Infl)</f>
        <v>0</v>
      </c>
      <c r="BJ31" s="20" t="n">
        <f aca="false">IF(AJ31&gt;0,AK31-AK31*AN31/AJ31,0)</f>
        <v>0</v>
      </c>
      <c r="BK31" s="60" t="n">
        <f aca="false">(AR31-AV31)*(1+BQ31)</f>
        <v>0</v>
      </c>
      <c r="BL31" s="20" t="n">
        <f aca="false">IF(AR31&gt;0,AS31-AS31*AV31/AR31,0)</f>
        <v>0</v>
      </c>
      <c r="BM31" s="60" t="n">
        <f aca="false">BF31+BG31+BH31+BI31+BK31</f>
        <v>87358.9032353797</v>
      </c>
      <c r="BN31" s="60" t="n">
        <f aca="false">(AH31-AG31)+(AN31-AM31)+(AV31-AU31)</f>
        <v>0</v>
      </c>
      <c r="BO31" s="20" t="n">
        <f aca="false">(AE31+BD31+AF31+MAX(0,'Plan cashflow'!QH31)+IF(Slot1_Rate=AS_Cash,'Plan cashflow'!QM31/(1+AS_Cash),0)+IF(Slot2_Rate=AS_Cash,'Plan cashflow'!QQ31/(1+AS_Cash),0)+IF(Slot3_Rate=AS_Cash,'Plan cashflow'!QU31/(1+AS_Cash),0)+IF(Slot4_Rate=AS_Cash,'Plan cashflow'!QY31/(1+AS_Cash),0)+IF(Slot5_Rate=AS_Cash,'Plan cashflow'!RC31/(1+AS_Cash),0)+IF(Slot6_Rate=AS_Cash,'Plan cashflow'!RG31/(1+AS_Cash),0)+IF(Slot7_Rate=AS_Cash,'Plan cashflow'!RK31/(1+AS_Cash),0)+IF(Slot8_Rate=AS_Cash,'Plan cashflow'!RO31/(1+AS_Cash),0)+IF(Slot9_Rate=AS_Cash,'Plan cashflow'!RS31/(1+AS_Cash),0)+IF(Slot10_Rate=AS_Cash,'Plan cashflow'!RW31/(1+AS_Cash),0)+IF(Slot11_Rate=AS_Cash,'Plan cashflow'!SA31/(1+AS_Cash),0)+IF(Slot12_Rate=AS_Cash,'Plan cashflow'!SE31/(1+AS_Cash),0)+IF(Slot13_Rate=AS_Cash,'Plan cashflow'!SI31/(1+AS_Cash),0)+IF(Slot14_Rate=AS_Cash,'Plan cashflow'!SM31/(1+AS_Cash),0)+IF(Slot15_Rate=AS_Cash,'Plan cashflow'!SQ31/(1+AS_Cash),0)+IF(Slot16_Rate=AS_Cash,'Plan cashflow'!SU31/(1+AS_Cash),0)+IF(Slot17_Rate=AS_Cash,'Plan cashflow'!SY31/(1+AS_Cash),0)+IF(Slot18_Rate=AS_Cash,'Plan cashflow'!TC31/(1+AS_Cash),0)+IF(Slot19_Rate=AS_Cash,'Plan cashflow'!TG31/(1+AS_Cash),0)+IF(Slot20_Rate=AS_Cash,'Plan cashflow'!TK31/(1+AS_Cash),0))*AS_Cash*H_DIRT/(1-H_DIRT)</f>
        <v>310.485682450113</v>
      </c>
      <c r="BP31" s="60" t="n">
        <f aca="false">SUM(AVE31:AYQ31)</f>
        <v>145.614149857019</v>
      </c>
      <c r="BQ31" s="54" t="n">
        <f aca="false">IF(H_TaxEvt=1,H_InvG,AS_Inv)</f>
        <v>0.04</v>
      </c>
      <c r="BR31" s="20" t="n">
        <f aca="false">IF(AKR30&gt;0,(AKR30-AOE30)/AKR30,0)</f>
        <v>0</v>
      </c>
      <c r="BS31" s="20" t="n">
        <f aca="false">IF(AKS30&gt;0,(AKS30-AOF30)/AKS30,0)</f>
        <v>0</v>
      </c>
      <c r="BT31" s="20" t="n">
        <f aca="false">IF(AKT30&gt;0,(AKT30-AOG30)/AKT30,0)</f>
        <v>0</v>
      </c>
      <c r="BU31" s="20" t="n">
        <f aca="false">IF(AKU30&gt;0,(AKU30-AOH30)/AKU30,0)</f>
        <v>0</v>
      </c>
      <c r="BV31" s="20" t="n">
        <f aca="false">IF(AKV30&gt;0,(AKV30-AOI30)/AKV30,0)</f>
        <v>0</v>
      </c>
      <c r="BW31" s="20" t="n">
        <f aca="false">IF(AKW30&gt;0,(AKW30-AOJ30)/AKW30,0)</f>
        <v>0</v>
      </c>
      <c r="BX31" s="20" t="n">
        <f aca="false">IF(AKX30&gt;0,(AKX30-AOK30)/AKX30,0)</f>
        <v>0</v>
      </c>
      <c r="BY31" s="20" t="n">
        <f aca="false">IF(AKY30&gt;0,(AKY30-AOL30)/AKY30,0)</f>
        <v>0</v>
      </c>
      <c r="BZ31" s="20" t="n">
        <f aca="false">IF(AKZ30&gt;0,(AKZ30-AOM30)/AKZ30,0)</f>
        <v>0</v>
      </c>
      <c r="CA31" s="20" t="n">
        <f aca="false">IF(ALA30&gt;0,(ALA30-AON30)/ALA30,0)</f>
        <v>0</v>
      </c>
      <c r="CB31" s="20" t="n">
        <f aca="false">IF(ALB30&gt;0,(ALB30-AOO30)/ALB30,0)</f>
        <v>0</v>
      </c>
      <c r="CC31" s="20" t="n">
        <f aca="false">IF(ALC30&gt;0,(ALC30-AOP30)/ALC30,0)</f>
        <v>0.178072893240648</v>
      </c>
      <c r="CD31" s="20" t="n">
        <f aca="false">IF(ALD30&gt;0,(ALD30-AOQ30)/ALD30,0)</f>
        <v>0.145195808970274</v>
      </c>
      <c r="CE31" s="20" t="n">
        <f aca="false">IF(ALE30&gt;0,(ALE30-AOR30)/ALE30,0)</f>
        <v>0.111003641329085</v>
      </c>
      <c r="CF31" s="20" t="n">
        <f aca="false">IF(ALF30&gt;0,(ALF30-AOS30)/ALF30,0)</f>
        <v>0.0754437869822486</v>
      </c>
      <c r="CG31" s="20" t="n">
        <f aca="false">IF(ALG30&gt;0,(ALG30-AOT30)/ALG30,0)</f>
        <v>0.0384615384615385</v>
      </c>
      <c r="CH31" s="20" t="n">
        <f aca="false">IF(ALH30&gt;0,(ALH30-AOU30)/ALH30,0)</f>
        <v>0</v>
      </c>
      <c r="CI31" s="20" t="n">
        <f aca="false">IF(ALI30&gt;0,(ALI30-AOV30)/ALI30,0)</f>
        <v>0.240082186797937</v>
      </c>
      <c r="CJ31" s="20" t="n">
        <f aca="false">IF(ALJ30&gt;0,(ALJ30-AOW30)/ALJ30,0)</f>
        <v>0.209685474269854</v>
      </c>
      <c r="CK31" s="20" t="n">
        <f aca="false">IF(ALK30&gt;0,(ALK30-AOX30)/ALK30,0)</f>
        <v>0.178072893240648</v>
      </c>
      <c r="CL31" s="20" t="n">
        <f aca="false">IF(ALL30&gt;0,(ALL30-AOY30)/ALL30,0)</f>
        <v>0.145195808970274</v>
      </c>
      <c r="CM31" s="20" t="n">
        <f aca="false">IF(ALM30&gt;0,(ALM30-AOZ30)/ALM30,0)</f>
        <v>0.111003641329085</v>
      </c>
      <c r="CN31" s="20" t="n">
        <f aca="false">IF(ALN30&gt;0,(ALN30-APA30)/ALN30,0)</f>
        <v>0.0754437869822486</v>
      </c>
      <c r="CO31" s="20" t="n">
        <f aca="false">IF(ALO30&gt;0,(ALO30-APB30)/ALO30,0)</f>
        <v>0.0384615384615385</v>
      </c>
      <c r="CP31" s="20" t="n">
        <f aca="false">IF((P31+S31)&gt;0,((P31+S31)-(P31+S31))/(P31+S31),0)</f>
        <v>0</v>
      </c>
      <c r="CQ31" s="20" t="n">
        <v>0</v>
      </c>
      <c r="CR31" s="20" t="n">
        <v>0</v>
      </c>
      <c r="CS31" s="20" t="n">
        <v>0</v>
      </c>
      <c r="CT31" s="20" t="n">
        <v>0</v>
      </c>
      <c r="CU31" s="20" t="n">
        <v>0</v>
      </c>
      <c r="CV31" s="20" t="n">
        <v>0</v>
      </c>
      <c r="CW31" s="20" t="n">
        <v>0</v>
      </c>
      <c r="CX31" s="20" t="n">
        <v>0</v>
      </c>
      <c r="CY31" s="20" t="n">
        <v>0</v>
      </c>
      <c r="CZ31" s="20" t="n">
        <v>0</v>
      </c>
      <c r="DA31" s="20" t="n">
        <v>0</v>
      </c>
      <c r="DB31" s="20" t="n">
        <v>0</v>
      </c>
      <c r="DC31" s="20" t="n">
        <v>0</v>
      </c>
      <c r="DD31" s="20" t="n">
        <v>0</v>
      </c>
      <c r="DE31" s="20" t="n">
        <v>0</v>
      </c>
      <c r="DF31" s="20" t="n">
        <v>0</v>
      </c>
      <c r="DG31" s="20" t="n">
        <v>0</v>
      </c>
      <c r="DH31" s="20" t="n">
        <v>0</v>
      </c>
      <c r="DI31" s="20" t="n">
        <v>0</v>
      </c>
      <c r="DJ31" s="20" t="n">
        <v>0</v>
      </c>
      <c r="DK31" s="20" t="n">
        <v>0</v>
      </c>
      <c r="DL31" s="20" t="n">
        <v>0</v>
      </c>
      <c r="DM31" s="20" t="n">
        <v>0</v>
      </c>
      <c r="DN31" s="20" t="n">
        <v>0</v>
      </c>
      <c r="DO31" s="20" t="n">
        <v>0</v>
      </c>
      <c r="DP31" s="20" t="n">
        <v>0</v>
      </c>
      <c r="DQ31" s="20" t="n">
        <v>0</v>
      </c>
      <c r="DR31" s="20" t="n">
        <v>0</v>
      </c>
      <c r="DS31" s="20" t="n">
        <v>0</v>
      </c>
      <c r="DT31" s="20" t="n">
        <v>0</v>
      </c>
      <c r="DU31" s="20" t="n">
        <v>0</v>
      </c>
      <c r="DV31" s="20" t="n">
        <v>0</v>
      </c>
      <c r="DW31" s="20" t="n">
        <v>0</v>
      </c>
      <c r="DX31" s="20" t="n">
        <v>0</v>
      </c>
      <c r="DY31" s="20" t="n">
        <v>0</v>
      </c>
      <c r="DZ31" s="20" t="n">
        <v>0</v>
      </c>
      <c r="EA31" s="20" t="n">
        <v>0</v>
      </c>
      <c r="EB31" s="20" t="n">
        <v>0</v>
      </c>
      <c r="EC31" s="20" t="n">
        <v>0</v>
      </c>
      <c r="ED31" s="20" t="n">
        <v>0</v>
      </c>
      <c r="EE31" s="20" t="n">
        <v>0</v>
      </c>
      <c r="EF31" s="20" t="n">
        <v>0</v>
      </c>
      <c r="EG31" s="20" t="n">
        <v>0</v>
      </c>
      <c r="EH31" s="20" t="n">
        <v>0</v>
      </c>
      <c r="EI31" s="20" t="n">
        <v>0</v>
      </c>
      <c r="EJ31" s="20" t="n">
        <v>0</v>
      </c>
      <c r="EK31" s="20" t="n">
        <v>0</v>
      </c>
      <c r="EL31" s="20" t="n">
        <v>0</v>
      </c>
      <c r="EM31" s="20" t="n">
        <v>0</v>
      </c>
      <c r="EN31" s="20" t="n">
        <v>0</v>
      </c>
      <c r="EO31" s="20" t="n">
        <v>0</v>
      </c>
      <c r="EP31" s="20" t="n">
        <v>0</v>
      </c>
      <c r="EQ31" s="20" t="n">
        <v>0</v>
      </c>
      <c r="ER31" s="20" t="n">
        <v>0</v>
      </c>
      <c r="ES31" s="20" t="n">
        <v>0</v>
      </c>
      <c r="ET31" s="20" t="n">
        <v>0</v>
      </c>
      <c r="EU31" s="20" t="n">
        <v>0</v>
      </c>
      <c r="EV31" s="20" t="n">
        <v>0</v>
      </c>
      <c r="EW31" s="20" t="n">
        <v>0</v>
      </c>
      <c r="EX31" s="20" t="n">
        <v>0</v>
      </c>
      <c r="EY31" s="20" t="n">
        <v>0</v>
      </c>
      <c r="EZ31" s="20" t="n">
        <v>0</v>
      </c>
      <c r="FA31" s="20" t="n">
        <v>0</v>
      </c>
      <c r="FB31" s="20" t="n">
        <v>0</v>
      </c>
      <c r="FC31" s="20" t="n">
        <v>0</v>
      </c>
      <c r="FD31" s="20" t="n">
        <v>0</v>
      </c>
      <c r="FE31" s="20" t="n">
        <f aca="false">IF(H_Direct=1,IF(AKR30&lt;=0,0,IF(BR31&lt;=0,AKR30,AKR30-G31*MAX(0,BR31*AKR30-(H31+I31)))),AKR30*(1-MAX(0,BR31)*H_Exit))</f>
        <v>0</v>
      </c>
      <c r="FF31" s="20" t="n">
        <f aca="false">IF(H_Direct=1,IF(AKS30&lt;=0,0,IF(BS31&lt;=0,AKS30,AKS30-G31*MAX(0,BS31*AKS30-(IR31+ME31)))),AKS30*(1-MAX(0,BS31)*H_Exit))</f>
        <v>0</v>
      </c>
      <c r="FG31" s="20" t="n">
        <f aca="false">IF(H_Direct=1,IF(AKT30&lt;=0,0,IF(BT31&lt;=0,AKT30,AKT30-G31*MAX(0,BT31*AKT30-(IS31+MF31)))),AKT30*(1-MAX(0,BT31)*H_Exit))</f>
        <v>0</v>
      </c>
      <c r="FH31" s="20" t="n">
        <f aca="false">IF(H_Direct=1,IF(AKU30&lt;=0,0,IF(BU31&lt;=0,AKU30,AKU30-G31*MAX(0,BU31*AKU30-(IT31+MG31)))),AKU30*(1-MAX(0,BU31)*H_Exit))</f>
        <v>0</v>
      </c>
      <c r="FI31" s="20" t="n">
        <f aca="false">IF(H_Direct=1,IF(AKV30&lt;=0,0,IF(BV31&lt;=0,AKV30,AKV30-G31*MAX(0,BV31*AKV30-(IU31+MH31)))),AKV30*(1-MAX(0,BV31)*H_Exit))</f>
        <v>0</v>
      </c>
      <c r="FJ31" s="20" t="n">
        <f aca="false">IF(H_Direct=1,IF(AKW30&lt;=0,0,IF(BW31&lt;=0,AKW30,AKW30-G31*MAX(0,BW31*AKW30-(IV31+MI31)))),AKW30*(1-MAX(0,BW31)*H_Exit))</f>
        <v>0</v>
      </c>
      <c r="FK31" s="20" t="n">
        <f aca="false">IF(H_Direct=1,IF(AKX30&lt;=0,0,IF(BX31&lt;=0,AKX30,AKX30-G31*MAX(0,BX31*AKX30-(IW31+MJ31)))),AKX30*(1-MAX(0,BX31)*H_Exit))</f>
        <v>0</v>
      </c>
      <c r="FL31" s="20" t="n">
        <f aca="false">IF(H_Direct=1,IF(AKY30&lt;=0,0,IF(BY31&lt;=0,AKY30,AKY30-G31*MAX(0,BY31*AKY30-(IX31+MK31)))),AKY30*(1-MAX(0,BY31)*H_Exit))</f>
        <v>0</v>
      </c>
      <c r="FM31" s="20" t="n">
        <f aca="false">IF(H_Direct=1,IF(AKZ30&lt;=0,0,IF(BZ31&lt;=0,AKZ30,AKZ30-G31*MAX(0,BZ31*AKZ30-(IY31+ML31)))),AKZ30*(1-MAX(0,BZ31)*H_Exit))</f>
        <v>0</v>
      </c>
      <c r="FN31" s="20" t="n">
        <f aca="false">IF(H_Direct=1,IF(ALA30&lt;=0,0,IF(CA31&lt;=0,ALA30,ALA30-G31*MAX(0,CA31*ALA30-(IZ31+MM31)))),ALA30*(1-MAX(0,CA31)*H_Exit))</f>
        <v>0</v>
      </c>
      <c r="FO31" s="20" t="n">
        <f aca="false">IF(H_Direct=1,IF(ALB30&lt;=0,0,IF(CB31&lt;=0,ALB30,ALB30-G31*MAX(0,CB31*ALB30-(JA31+MN31)))),ALB30*(1-MAX(0,CB31)*H_Exit))</f>
        <v>0</v>
      </c>
      <c r="FP31" s="20" t="n">
        <f aca="false">IF(H_Direct=1,IF(ALC30&lt;=0,0,IF(CC31&lt;=0,ALC30,ALC30-G31*MAX(0,CC31*ALC30-(JB31+MO31)))),ALC30*(1-MAX(0,CC31)*H_Exit))</f>
        <v>761.812081823179</v>
      </c>
      <c r="FQ31" s="20" t="n">
        <f aca="false">IF(H_Direct=1,IF(ALD30&lt;=0,0,IF(CD31&lt;=0,ALD30,ALD30-G31*MAX(0,CD31*ALD30-(JC31+MP31)))),ALD30*(1-MAX(0,CD31)*H_Exit))</f>
        <v>971.177091408963</v>
      </c>
      <c r="FR31" s="20" t="n">
        <f aca="false">IF(H_Direct=1,IF(ALE30&lt;=0,0,IF(CE31&lt;=0,ALE30,ALE30-G31*MAX(0,CE31*ALE30-(JD31+MQ31)))),ALE30*(1-MAX(0,CE31)*H_Exit))</f>
        <v>1178.21022844914</v>
      </c>
      <c r="FS31" s="20" t="n">
        <f aca="false">IF(H_Direct=1,IF(ALF30&lt;=0,0,IF(CF31&lt;=0,ALF30,ALF30-G31*MAX(0,CF31*ALF30-(JE31+MR31)))),ALF30*(1-MAX(0,CF31)*H_Exit))</f>
        <v>1343.59514930982</v>
      </c>
      <c r="FT31" s="20" t="n">
        <f aca="false">IF(H_Direct=1,IF(ALG30&lt;=0,0,IF(CG31&lt;=0,ALG30,ALG30-G31*MAX(0,CG31*ALG30-(JF31+MS31)))),ALG30*(1-MAX(0,CG31)*H_Exit))</f>
        <v>1310.84123449665</v>
      </c>
      <c r="FU31" s="20" t="n">
        <f aca="false">IF(H_Direct=1,IF(ALH30&lt;=0,0,IF(CH31&lt;=0,ALH30,ALH30-G31*MAX(0,CH31*ALH30-(JG31+MT31)))),ALH30*(1-MAX(0,CH31)*H_Exit))</f>
        <v>1278.58873616899</v>
      </c>
      <c r="FV31" s="20" t="n">
        <f aca="false">IF(H_Direct=1,IF(ALI30&lt;=0,0,IF(CI31&lt;=0,ALI30,ALI30-G31*MAX(0,CI31*ALI30-(JH31+MU31)))),ALI30*(1-MAX(0,CI31)*H_Exit))</f>
        <v>1243.33422149235</v>
      </c>
      <c r="FW31" s="20" t="n">
        <f aca="false">IF(H_Direct=1,IF(ALJ30&lt;=0,0,IF(CJ31&lt;=0,ALJ30,ALJ30-G31*MAX(0,CJ31*ALJ30-(JI31+MV31)))),ALJ30*(1-MAX(0,CJ31)*H_Exit))</f>
        <v>3913.38729641022</v>
      </c>
      <c r="FX31" s="20" t="n">
        <f aca="false">IF(H_Direct=1,IF(ALK30&lt;=0,0,IF(CK31&lt;=0,ALK30,ALK30-G31*MAX(0,CK31*ALK30-(JJ31+MW31)))),ALK30*(1-MAX(0,CK31)*H_Exit))</f>
        <v>3888.22833216347</v>
      </c>
      <c r="FY31" s="20" t="n">
        <f aca="false">IF(H_Direct=1,IF(ALL30&lt;=0,0,IF(CL31&lt;=0,ALL30,ALL30-G31*MAX(0,CL31*ALL30-(JK31+MX31)))),ALL30*(1-MAX(0,CL31)*H_Exit))</f>
        <v>3864.55516382746</v>
      </c>
      <c r="FZ31" s="20" t="n">
        <f aca="false">IF(H_Direct=1,IF(ALM30&lt;=0,0,IF(CM31&lt;=0,ALM30,ALM30-G31*MAX(0,CM31*ALM30-(JL31+MY31)))),ALM30*(1-MAX(0,CM31)*H_Exit))</f>
        <v>3842.3592577974</v>
      </c>
      <c r="GA31" s="20" t="n">
        <f aca="false">IF(H_Direct=1,IF(ALN30&lt;=0,0,IF(CN31&lt;=0,ALN30,ALN30-G31*MAX(0,CN31*ALN30-(JM31+MZ31)))),ALN30*(1-MAX(0,CN31)*H_Exit))</f>
        <v>3821.63264536417</v>
      </c>
      <c r="GB31" s="20" t="n">
        <f aca="false">IF(H_Direct=1,IF(ALO30&lt;=0,0,IF(CO31&lt;=0,ALO30,ALO30-G31*MAX(0,CO31*ALO30-(JN31+NA31)))),ALO30*(1-MAX(0,CO31)*H_Exit))</f>
        <v>3802.36791986669</v>
      </c>
      <c r="GC31" s="20" t="n">
        <f aca="false">IF(H_Direct=1,IF((P31+S31)&lt;=0,0,IF(CP31&lt;=0,(P31+S31),(P31+S31)-G31*MAX(0,CP31*(P31+S31)-(JO31+NB31)))),(P31+S31)*(1-MAX(0,CP31)*H_Exit))</f>
        <v>0</v>
      </c>
      <c r="GD31" s="20" t="n">
        <v>0</v>
      </c>
      <c r="GE31" s="20" t="n">
        <v>0</v>
      </c>
      <c r="GF31" s="20" t="n">
        <v>0</v>
      </c>
      <c r="GG31" s="20" t="n">
        <v>0</v>
      </c>
      <c r="GH31" s="20" t="n">
        <v>0</v>
      </c>
      <c r="GI31" s="20" t="n">
        <v>0</v>
      </c>
      <c r="GJ31" s="20" t="n">
        <v>0</v>
      </c>
      <c r="GK31" s="20" t="n">
        <v>0</v>
      </c>
      <c r="GL31" s="20" t="n">
        <v>0</v>
      </c>
      <c r="GM31" s="20" t="n">
        <v>0</v>
      </c>
      <c r="GN31" s="20" t="n">
        <v>0</v>
      </c>
      <c r="GO31" s="20" t="n">
        <v>0</v>
      </c>
      <c r="GP31" s="20" t="n">
        <v>0</v>
      </c>
      <c r="GQ31" s="20" t="n">
        <v>0</v>
      </c>
      <c r="GR31" s="20" t="n">
        <v>0</v>
      </c>
      <c r="GS31" s="20" t="n">
        <v>0</v>
      </c>
      <c r="GT31" s="20" t="n">
        <v>0</v>
      </c>
      <c r="GU31" s="20" t="n">
        <v>0</v>
      </c>
      <c r="GV31" s="20" t="n">
        <v>0</v>
      </c>
      <c r="GW31" s="20" t="n">
        <v>0</v>
      </c>
      <c r="GX31" s="20" t="n">
        <v>0</v>
      </c>
      <c r="GY31" s="20" t="n">
        <v>0</v>
      </c>
      <c r="GZ31" s="20" t="n">
        <v>0</v>
      </c>
      <c r="HA31" s="20" t="n">
        <v>0</v>
      </c>
      <c r="HB31" s="20" t="n">
        <v>0</v>
      </c>
      <c r="HC31" s="20" t="n">
        <v>0</v>
      </c>
      <c r="HD31" s="20" t="n">
        <v>0</v>
      </c>
      <c r="HE31" s="20" t="n">
        <v>0</v>
      </c>
      <c r="HF31" s="20" t="n">
        <v>0</v>
      </c>
      <c r="HG31" s="20" t="n">
        <v>0</v>
      </c>
      <c r="HH31" s="20" t="n">
        <v>0</v>
      </c>
      <c r="HI31" s="20" t="n">
        <v>0</v>
      </c>
      <c r="HJ31" s="20" t="n">
        <v>0</v>
      </c>
      <c r="HK31" s="20" t="n">
        <v>0</v>
      </c>
      <c r="HL31" s="20" t="n">
        <v>0</v>
      </c>
      <c r="HM31" s="20" t="n">
        <v>0</v>
      </c>
      <c r="HN31" s="20" t="n">
        <v>0</v>
      </c>
      <c r="HO31" s="20" t="n">
        <v>0</v>
      </c>
      <c r="HP31" s="20" t="n">
        <v>0</v>
      </c>
      <c r="HQ31" s="20" t="n">
        <v>0</v>
      </c>
      <c r="HR31" s="20" t="n">
        <v>0</v>
      </c>
      <c r="HS31" s="20" t="n">
        <v>0</v>
      </c>
      <c r="HT31" s="20" t="n">
        <v>0</v>
      </c>
      <c r="HU31" s="20" t="n">
        <v>0</v>
      </c>
      <c r="HV31" s="20" t="n">
        <v>0</v>
      </c>
      <c r="HW31" s="20" t="n">
        <v>0</v>
      </c>
      <c r="HX31" s="20" t="n">
        <v>0</v>
      </c>
      <c r="HY31" s="20" t="n">
        <v>0</v>
      </c>
      <c r="HZ31" s="20" t="n">
        <v>0</v>
      </c>
      <c r="IA31" s="20" t="n">
        <v>0</v>
      </c>
      <c r="IB31" s="20" t="n">
        <v>0</v>
      </c>
      <c r="IC31" s="20" t="n">
        <v>0</v>
      </c>
      <c r="ID31" s="20" t="n">
        <v>0</v>
      </c>
      <c r="IE31" s="20" t="n">
        <v>0</v>
      </c>
      <c r="IF31" s="20" t="n">
        <v>0</v>
      </c>
      <c r="IG31" s="20" t="n">
        <v>0</v>
      </c>
      <c r="IH31" s="20" t="n">
        <v>0</v>
      </c>
      <c r="II31" s="20" t="n">
        <v>0</v>
      </c>
      <c r="IJ31" s="20" t="n">
        <v>0</v>
      </c>
      <c r="IK31" s="20" t="n">
        <v>0</v>
      </c>
      <c r="IL31" s="20" t="n">
        <v>0</v>
      </c>
      <c r="IM31" s="20" t="n">
        <v>0</v>
      </c>
      <c r="IN31" s="20" t="n">
        <v>0</v>
      </c>
      <c r="IO31" s="20" t="n">
        <v>0</v>
      </c>
      <c r="IP31" s="20" t="n">
        <v>0</v>
      </c>
      <c r="IQ31" s="20" t="n">
        <v>0</v>
      </c>
      <c r="IR31" s="20" t="n">
        <f aca="false">IF(AND(H_Direct=1,BR31&gt;0),MAX(0,H31-(MIN(BR31*AKR30,H31+I31)-MIN(MIN(BR31*AKR30,H31+I31),I31))),H31)</f>
        <v>1270</v>
      </c>
      <c r="IS31" s="20" t="n">
        <f aca="false">IF(AND(H_Direct=1,BS31&gt;0),MAX(0,IR31-(MIN(BS31*AKS30,IR31+ME31)-MIN(MIN(BS31*AKS30,IR31+ME31),ME31))),IR31)</f>
        <v>1270</v>
      </c>
      <c r="IT31" s="20" t="n">
        <f aca="false">IF(AND(H_Direct=1,BT31&gt;0),MAX(0,IS31-(MIN(BT31*AKT30,IS31+MF31)-MIN(MIN(BT31*AKT30,IS31+MF31),MF31))),IS31)</f>
        <v>1270</v>
      </c>
      <c r="IU31" s="20" t="n">
        <f aca="false">IF(AND(H_Direct=1,BU31&gt;0),MAX(0,IT31-(MIN(BU31*AKU30,IT31+MG31)-MIN(MIN(BU31*AKU30,IT31+MG31),MG31))),IT31)</f>
        <v>1270</v>
      </c>
      <c r="IV31" s="20" t="n">
        <f aca="false">IF(AND(H_Direct=1,BV31&gt;0),MAX(0,IU31-(MIN(BV31*AKV30,IU31+MH31)-MIN(MIN(BV31*AKV30,IU31+MH31),MH31))),IU31)</f>
        <v>1270</v>
      </c>
      <c r="IW31" s="20" t="n">
        <f aca="false">IF(AND(H_Direct=1,BW31&gt;0),MAX(0,IV31-(MIN(BW31*AKW30,IV31+MI31)-MIN(MIN(BW31*AKW30,IV31+MI31),MI31))),IV31)</f>
        <v>1270</v>
      </c>
      <c r="IX31" s="20" t="n">
        <f aca="false">IF(AND(H_Direct=1,BX31&gt;0),MAX(0,IW31-(MIN(BX31*AKX30,IW31+MJ31)-MIN(MIN(BX31*AKX30,IW31+MJ31),MJ31))),IW31)</f>
        <v>1270</v>
      </c>
      <c r="IY31" s="20" t="n">
        <f aca="false">IF(AND(H_Direct=1,BY31&gt;0),MAX(0,IX31-(MIN(BY31*AKY30,IX31+MK31)-MIN(MIN(BY31*AKY30,IX31+MK31),MK31))),IX31)</f>
        <v>1270</v>
      </c>
      <c r="IZ31" s="20" t="n">
        <f aca="false">IF(AND(H_Direct=1,BZ31&gt;0),MAX(0,IY31-(MIN(BZ31*AKZ30,IY31+ML31)-MIN(MIN(BZ31*AKZ30,IY31+ML31),ML31))),IY31)</f>
        <v>1270</v>
      </c>
      <c r="JA31" s="20" t="n">
        <f aca="false">IF(AND(H_Direct=1,CA31&gt;0),MAX(0,IZ31-(MIN(CA31*ALA30,IZ31+MM31)-MIN(MIN(CA31*ALA30,IZ31+MM31),MM31))),IZ31)</f>
        <v>1270</v>
      </c>
      <c r="JB31" s="20" t="n">
        <f aca="false">IF(AND(H_Direct=1,CB31&gt;0),MAX(0,JA31-(MIN(CB31*ALB30,JA31+MN31)-MIN(MIN(CB31*ALB30,JA31+MN31),MN31))),JA31)</f>
        <v>1270</v>
      </c>
      <c r="JC31" s="20" t="n">
        <f aca="false">IF(AND(H_Direct=1,CC31&gt;0),MAX(0,JB31-(MIN(CC31*ALC30,JB31+MO31)-MIN(MIN(CC31*ALC30,JB31+MO31),MO31))),JB31)</f>
        <v>1270</v>
      </c>
      <c r="JD31" s="20" t="n">
        <f aca="false">IF(AND(H_Direct=1,CD31&gt;0),MAX(0,JC31-(MIN(CD31*ALD30,JC31+MP31)-MIN(MIN(CD31*ALD30,JC31+MP31),MP31))),JC31)</f>
        <v>1270</v>
      </c>
      <c r="JE31" s="20" t="n">
        <f aca="false">IF(AND(H_Direct=1,CE31&gt;0),MAX(0,JD31-(MIN(CE31*ALE30,JD31+MQ31)-MIN(MIN(CE31*ALE30,JD31+MQ31),MQ31))),JD31)</f>
        <v>1270</v>
      </c>
      <c r="JF31" s="20" t="n">
        <f aca="false">IF(AND(H_Direct=1,CF31&gt;0),MAX(0,JE31-(MIN(CF31*ALF30,JE31+MR31)-MIN(MIN(CF31*ALF30,JE31+MR31),MR31))),JE31)</f>
        <v>1270</v>
      </c>
      <c r="JG31" s="20" t="n">
        <f aca="false">IF(AND(H_Direct=1,CG31&gt;0),MAX(0,JF31-(MIN(CG31*ALG30,JF31+MS31)-MIN(MIN(CG31*ALG30,JF31+MS31),MS31))),JF31)</f>
        <v>1270</v>
      </c>
      <c r="JH31" s="20" t="n">
        <f aca="false">IF(AND(H_Direct=1,CH31&gt;0),MAX(0,JG31-(MIN(CH31*ALH30,JG31+MT31)-MIN(MIN(CH31*ALH30,JG31+MT31),MT31))),JG31)</f>
        <v>1270</v>
      </c>
      <c r="JI31" s="20" t="n">
        <f aca="false">IF(AND(H_Direct=1,CI31&gt;0),MAX(0,JH31-(MIN(CI31*ALI30,JH31+MU31)-MIN(MIN(CI31*ALI30,JH31+MU31),MU31))),JH31)</f>
        <v>1270</v>
      </c>
      <c r="JJ31" s="20" t="n">
        <f aca="false">IF(AND(H_Direct=1,CJ31&gt;0),MAX(0,JI31-(MIN(CJ31*ALJ30,JI31+MV31)-MIN(MIN(CJ31*ALJ30,JI31+MV31),MV31))),JI31)</f>
        <v>1270</v>
      </c>
      <c r="JK31" s="20" t="n">
        <f aca="false">IF(AND(H_Direct=1,CK31&gt;0),MAX(0,JJ31-(MIN(CK31*ALK30,JJ31+MW31)-MIN(MIN(CK31*ALK30,JJ31+MW31),MW31))),JJ31)</f>
        <v>1270</v>
      </c>
      <c r="JL31" s="20" t="n">
        <f aca="false">IF(AND(H_Direct=1,CL31&gt;0),MAX(0,JK31-(MIN(CL31*ALL30,JK31+MX31)-MIN(MIN(CL31*ALL30,JK31+MX31),MX31))),JK31)</f>
        <v>1270</v>
      </c>
      <c r="JM31" s="20" t="n">
        <f aca="false">IF(AND(H_Direct=1,CM31&gt;0),MAX(0,JL31-(MIN(CM31*ALM30,JL31+MY31)-MIN(MIN(CM31*ALM30,JL31+MY31),MY31))),JL31)</f>
        <v>1270</v>
      </c>
      <c r="JN31" s="20" t="n">
        <f aca="false">IF(AND(H_Direct=1,CN31&gt;0),MAX(0,JM31-(MIN(CN31*ALN30,JM31+MZ31)-MIN(MIN(CN31*ALN30,JM31+MZ31),MZ31))),JM31)</f>
        <v>1270</v>
      </c>
      <c r="JO31" s="20" t="n">
        <f aca="false">IF(AND(H_Direct=1,CO31&gt;0),MAX(0,JN31-(MIN(CO31*ALO30,JN31+NA31)-MIN(MIN(CO31*ALO30,JN31+NA31),NA31))),JN31)</f>
        <v>1270</v>
      </c>
      <c r="JP31" s="20" t="n">
        <f aca="false">IF(AND(H_Direct=1,CP31&gt;0),MAX(0,JO31-(MIN(CP31*(P31+S31),JO31+NB31)-MIN(MIN(CP31*(P31+S31),JO31+NB31),NB31))),JO31)</f>
        <v>1270</v>
      </c>
      <c r="JQ31" s="20" t="n">
        <f aca="false">JP31</f>
        <v>1270</v>
      </c>
      <c r="JR31" s="20" t="n">
        <f aca="false">JQ31</f>
        <v>1270</v>
      </c>
      <c r="JS31" s="20" t="n">
        <f aca="false">JR31</f>
        <v>1270</v>
      </c>
      <c r="JT31" s="20" t="n">
        <f aca="false">JS31</f>
        <v>1270</v>
      </c>
      <c r="JU31" s="20" t="n">
        <f aca="false">JT31</f>
        <v>1270</v>
      </c>
      <c r="JV31" s="20" t="n">
        <f aca="false">JU31</f>
        <v>1270</v>
      </c>
      <c r="JW31" s="20" t="n">
        <f aca="false">JV31</f>
        <v>1270</v>
      </c>
      <c r="JX31" s="20" t="n">
        <f aca="false">JW31</f>
        <v>1270</v>
      </c>
      <c r="JY31" s="20" t="n">
        <f aca="false">JX31</f>
        <v>1270</v>
      </c>
      <c r="JZ31" s="20" t="n">
        <f aca="false">JY31</f>
        <v>1270</v>
      </c>
      <c r="KA31" s="20" t="n">
        <f aca="false">JZ31</f>
        <v>1270</v>
      </c>
      <c r="KB31" s="20" t="n">
        <f aca="false">KA31</f>
        <v>1270</v>
      </c>
      <c r="KC31" s="20" t="n">
        <f aca="false">KB31</f>
        <v>1270</v>
      </c>
      <c r="KD31" s="20" t="n">
        <f aca="false">KC31</f>
        <v>1270</v>
      </c>
      <c r="KE31" s="20" t="n">
        <f aca="false">KD31</f>
        <v>1270</v>
      </c>
      <c r="KF31" s="20" t="n">
        <f aca="false">KE31</f>
        <v>1270</v>
      </c>
      <c r="KG31" s="20" t="n">
        <f aca="false">KF31</f>
        <v>1270</v>
      </c>
      <c r="KH31" s="20" t="n">
        <f aca="false">KG31</f>
        <v>1270</v>
      </c>
      <c r="KI31" s="20" t="n">
        <f aca="false">KH31</f>
        <v>1270</v>
      </c>
      <c r="KJ31" s="20" t="n">
        <f aca="false">KI31</f>
        <v>1270</v>
      </c>
      <c r="KK31" s="20" t="n">
        <f aca="false">KJ31</f>
        <v>1270</v>
      </c>
      <c r="KL31" s="20" t="n">
        <f aca="false">KK31</f>
        <v>1270</v>
      </c>
      <c r="KM31" s="20" t="n">
        <f aca="false">KL31</f>
        <v>1270</v>
      </c>
      <c r="KN31" s="20" t="n">
        <f aca="false">KM31</f>
        <v>1270</v>
      </c>
      <c r="KO31" s="20" t="n">
        <f aca="false">KN31</f>
        <v>1270</v>
      </c>
      <c r="KP31" s="20" t="n">
        <f aca="false">KO31</f>
        <v>1270</v>
      </c>
      <c r="KQ31" s="20" t="n">
        <f aca="false">KP31</f>
        <v>1270</v>
      </c>
      <c r="KR31" s="20" t="n">
        <f aca="false">KQ31</f>
        <v>1270</v>
      </c>
      <c r="KS31" s="20" t="n">
        <f aca="false">KR31</f>
        <v>1270</v>
      </c>
      <c r="KT31" s="20" t="n">
        <f aca="false">KS31</f>
        <v>1270</v>
      </c>
      <c r="KU31" s="20" t="n">
        <f aca="false">KT31</f>
        <v>1270</v>
      </c>
      <c r="KV31" s="20" t="n">
        <f aca="false">KU31</f>
        <v>1270</v>
      </c>
      <c r="KW31" s="20" t="n">
        <f aca="false">KV31</f>
        <v>1270</v>
      </c>
      <c r="KX31" s="20" t="n">
        <f aca="false">KW31</f>
        <v>1270</v>
      </c>
      <c r="KY31" s="20" t="n">
        <f aca="false">KX31</f>
        <v>1270</v>
      </c>
      <c r="KZ31" s="20" t="n">
        <f aca="false">KY31</f>
        <v>1270</v>
      </c>
      <c r="LA31" s="20" t="n">
        <f aca="false">KZ31</f>
        <v>1270</v>
      </c>
      <c r="LB31" s="20" t="n">
        <f aca="false">LA31</f>
        <v>1270</v>
      </c>
      <c r="LC31" s="20" t="n">
        <f aca="false">LB31</f>
        <v>1270</v>
      </c>
      <c r="LD31" s="20" t="n">
        <f aca="false">LC31</f>
        <v>1270</v>
      </c>
      <c r="LE31" s="20" t="n">
        <f aca="false">LD31</f>
        <v>1270</v>
      </c>
      <c r="LF31" s="20" t="n">
        <f aca="false">LE31</f>
        <v>1270</v>
      </c>
      <c r="LG31" s="20" t="n">
        <f aca="false">LF31</f>
        <v>1270</v>
      </c>
      <c r="LH31" s="20" t="n">
        <f aca="false">LG31</f>
        <v>1270</v>
      </c>
      <c r="LI31" s="20" t="n">
        <f aca="false">LH31</f>
        <v>1270</v>
      </c>
      <c r="LJ31" s="20" t="n">
        <f aca="false">LI31</f>
        <v>1270</v>
      </c>
      <c r="LK31" s="20" t="n">
        <f aca="false">LJ31</f>
        <v>1270</v>
      </c>
      <c r="LL31" s="20" t="n">
        <f aca="false">LK31</f>
        <v>1270</v>
      </c>
      <c r="LM31" s="20" t="n">
        <f aca="false">LL31</f>
        <v>1270</v>
      </c>
      <c r="LN31" s="20" t="n">
        <f aca="false">LM31</f>
        <v>1270</v>
      </c>
      <c r="LO31" s="20" t="n">
        <f aca="false">LN31</f>
        <v>1270</v>
      </c>
      <c r="LP31" s="20" t="n">
        <f aca="false">LO31</f>
        <v>1270</v>
      </c>
      <c r="LQ31" s="20" t="n">
        <f aca="false">LP31</f>
        <v>1270</v>
      </c>
      <c r="LR31" s="20" t="n">
        <f aca="false">LQ31</f>
        <v>1270</v>
      </c>
      <c r="LS31" s="20" t="n">
        <f aca="false">LR31</f>
        <v>1270</v>
      </c>
      <c r="LT31" s="20" t="n">
        <f aca="false">LS31</f>
        <v>1270</v>
      </c>
      <c r="LU31" s="20" t="n">
        <f aca="false">LT31</f>
        <v>1270</v>
      </c>
      <c r="LV31" s="20" t="n">
        <f aca="false">LU31</f>
        <v>1270</v>
      </c>
      <c r="LW31" s="20" t="n">
        <f aca="false">LV31</f>
        <v>1270</v>
      </c>
      <c r="LX31" s="20" t="n">
        <f aca="false">LW31</f>
        <v>1270</v>
      </c>
      <c r="LY31" s="20" t="n">
        <f aca="false">LX31</f>
        <v>1270</v>
      </c>
      <c r="LZ31" s="20" t="n">
        <f aca="false">LY31</f>
        <v>1270</v>
      </c>
      <c r="MA31" s="20" t="n">
        <f aca="false">LZ31</f>
        <v>1270</v>
      </c>
      <c r="MB31" s="20" t="n">
        <f aca="false">MA31</f>
        <v>1270</v>
      </c>
      <c r="MC31" s="20" t="n">
        <f aca="false">MB31</f>
        <v>1270</v>
      </c>
      <c r="MD31" s="20" t="n">
        <f aca="false">MC31</f>
        <v>1270</v>
      </c>
      <c r="ME31" s="20" t="n">
        <f aca="false">IF(H_Direct=1,IF(BR31&lt;=0,I31-BR31*AKR30,I31-MIN(MIN(BR31*AKR30,H31+I31),I31)),I31)</f>
        <v>0</v>
      </c>
      <c r="MF31" s="20" t="n">
        <f aca="false">IF(H_Direct=1,IF(BS31&lt;=0,ME31-BS31*AKS30,ME31-MIN(MIN(BS31*AKS30,IR31+ME31),ME31)),ME31)</f>
        <v>0</v>
      </c>
      <c r="MG31" s="20" t="n">
        <f aca="false">IF(H_Direct=1,IF(BT31&lt;=0,MF31-BT31*AKT30,MF31-MIN(MIN(BT31*AKT30,IS31+MF31),MF31)),MF31)</f>
        <v>0</v>
      </c>
      <c r="MH31" s="20" t="n">
        <f aca="false">IF(H_Direct=1,IF(BU31&lt;=0,MG31-BU31*AKU30,MG31-MIN(MIN(BU31*AKU30,IT31+MG31),MG31)),MG31)</f>
        <v>0</v>
      </c>
      <c r="MI31" s="20" t="n">
        <f aca="false">IF(H_Direct=1,IF(BV31&lt;=0,MH31-BV31*AKV30,MH31-MIN(MIN(BV31*AKV30,IU31+MH31),MH31)),MH31)</f>
        <v>0</v>
      </c>
      <c r="MJ31" s="20" t="n">
        <f aca="false">IF(H_Direct=1,IF(BW31&lt;=0,MI31-BW31*AKW30,MI31-MIN(MIN(BW31*AKW30,IV31+MI31),MI31)),MI31)</f>
        <v>0</v>
      </c>
      <c r="MK31" s="20" t="n">
        <f aca="false">IF(H_Direct=1,IF(BX31&lt;=0,MJ31-BX31*AKX30,MJ31-MIN(MIN(BX31*AKX30,IW31+MJ31),MJ31)),MJ31)</f>
        <v>0</v>
      </c>
      <c r="ML31" s="20" t="n">
        <f aca="false">IF(H_Direct=1,IF(BY31&lt;=0,MK31-BY31*AKY30,MK31-MIN(MIN(BY31*AKY30,IX31+MK31),MK31)),MK31)</f>
        <v>0</v>
      </c>
      <c r="MM31" s="20" t="n">
        <f aca="false">IF(H_Direct=1,IF(BZ31&lt;=0,ML31-BZ31*AKZ30,ML31-MIN(MIN(BZ31*AKZ30,IY31+ML31),ML31)),ML31)</f>
        <v>0</v>
      </c>
      <c r="MN31" s="20" t="n">
        <f aca="false">IF(H_Direct=1,IF(CA31&lt;=0,MM31-CA31*ALA30,MM31-MIN(MIN(CA31*ALA30,IZ31+MM31),MM31)),MM31)</f>
        <v>0</v>
      </c>
      <c r="MO31" s="20" t="n">
        <f aca="false">IF(H_Direct=1,IF(CB31&lt;=0,MN31-CB31*ALB30,MN31-MIN(MIN(CB31*ALB30,JA31+MN31),MN31)),MN31)</f>
        <v>0</v>
      </c>
      <c r="MP31" s="20" t="n">
        <f aca="false">IF(H_Direct=1,IF(CC31&lt;=0,MO31-CC31*ALC30,MO31-MIN(MIN(CC31*ALC30,JB31+MO31),MO31)),MO31)</f>
        <v>0</v>
      </c>
      <c r="MQ31" s="20" t="n">
        <f aca="false">IF(H_Direct=1,IF(CD31&lt;=0,MP31-CD31*ALD30,MP31-MIN(MIN(CD31*ALD30,JC31+MP31),MP31)),MP31)</f>
        <v>0</v>
      </c>
      <c r="MR31" s="20" t="n">
        <f aca="false">IF(H_Direct=1,IF(CE31&lt;=0,MQ31-CE31*ALE30,MQ31-MIN(MIN(CE31*ALE30,JD31+MQ31),MQ31)),MQ31)</f>
        <v>0</v>
      </c>
      <c r="MS31" s="20" t="n">
        <f aca="false">IF(H_Direct=1,IF(CF31&lt;=0,MR31-CF31*ALF30,MR31-MIN(MIN(CF31*ALF30,JE31+MR31),MR31)),MR31)</f>
        <v>0</v>
      </c>
      <c r="MT31" s="20" t="n">
        <f aca="false">IF(H_Direct=1,IF(CG31&lt;=0,MS31-CG31*ALG30,MS31-MIN(MIN(CG31*ALG30,JF31+MS31),MS31)),MS31)</f>
        <v>0</v>
      </c>
      <c r="MU31" s="20" t="n">
        <f aca="false">IF(H_Direct=1,IF(CH31&lt;=0,MT31-CH31*ALH30,MT31-MIN(MIN(CH31*ALH30,JG31+MT31),MT31)),MT31)</f>
        <v>0</v>
      </c>
      <c r="MV31" s="20" t="n">
        <f aca="false">IF(H_Direct=1,IF(CI31&lt;=0,MU31-CI31*ALI30,MU31-MIN(MIN(CI31*ALI30,JH31+MU31),MU31)),MU31)</f>
        <v>0</v>
      </c>
      <c r="MW31" s="20" t="n">
        <f aca="false">IF(H_Direct=1,IF(CJ31&lt;=0,MV31-CJ31*ALJ30,MV31-MIN(MIN(CJ31*ALJ30,JI31+MV31),MV31)),MV31)</f>
        <v>0</v>
      </c>
      <c r="MX31" s="20" t="n">
        <f aca="false">IF(H_Direct=1,IF(CK31&lt;=0,MW31-CK31*ALK30,MW31-MIN(MIN(CK31*ALK30,JJ31+MW31),MW31)),MW31)</f>
        <v>0</v>
      </c>
      <c r="MY31" s="20" t="n">
        <f aca="false">IF(H_Direct=1,IF(CL31&lt;=0,MX31-CL31*ALL30,MX31-MIN(MIN(CL31*ALL30,JK31+MX31),MX31)),MX31)</f>
        <v>0</v>
      </c>
      <c r="MZ31" s="20" t="n">
        <f aca="false">IF(H_Direct=1,IF(CM31&lt;=0,MY31-CM31*ALM30,MY31-MIN(MIN(CM31*ALM30,JL31+MY31),MY31)),MY31)</f>
        <v>0</v>
      </c>
      <c r="NA31" s="20" t="n">
        <f aca="false">IF(H_Direct=1,IF(CN31&lt;=0,MZ31-CN31*ALN30,MZ31-MIN(MIN(CN31*ALN30,JM31+MZ31),MZ31)),MZ31)</f>
        <v>0</v>
      </c>
      <c r="NB31" s="20" t="n">
        <f aca="false">IF(H_Direct=1,IF(CO31&lt;=0,NA31-CO31*ALO30,NA31-MIN(MIN(CO31*ALO30,JN31+NA31),NA31)),NA31)</f>
        <v>0</v>
      </c>
      <c r="NC31" s="20" t="n">
        <f aca="false">IF(H_Direct=1,IF(CP31&lt;=0,NB31-CP31*(P31+S31),NB31-MIN(MIN(CP31*(P31+S31),JO31+NB31),NB31)),NB31)</f>
        <v>0</v>
      </c>
      <c r="ND31" s="20" t="n">
        <f aca="false">NC31</f>
        <v>0</v>
      </c>
      <c r="NE31" s="20" t="n">
        <f aca="false">ND31</f>
        <v>0</v>
      </c>
      <c r="NF31" s="20" t="n">
        <f aca="false">NE31</f>
        <v>0</v>
      </c>
      <c r="NG31" s="20" t="n">
        <f aca="false">NF31</f>
        <v>0</v>
      </c>
      <c r="NH31" s="20" t="n">
        <f aca="false">NG31</f>
        <v>0</v>
      </c>
      <c r="NI31" s="20" t="n">
        <f aca="false">NH31</f>
        <v>0</v>
      </c>
      <c r="NJ31" s="20" t="n">
        <f aca="false">NI31</f>
        <v>0</v>
      </c>
      <c r="NK31" s="20" t="n">
        <f aca="false">NJ31</f>
        <v>0</v>
      </c>
      <c r="NL31" s="20" t="n">
        <f aca="false">NK31</f>
        <v>0</v>
      </c>
      <c r="NM31" s="20" t="n">
        <f aca="false">NL31</f>
        <v>0</v>
      </c>
      <c r="NN31" s="20" t="n">
        <f aca="false">NM31</f>
        <v>0</v>
      </c>
      <c r="NO31" s="20" t="n">
        <f aca="false">NN31</f>
        <v>0</v>
      </c>
      <c r="NP31" s="20" t="n">
        <f aca="false">NO31</f>
        <v>0</v>
      </c>
      <c r="NQ31" s="20" t="n">
        <f aca="false">NP31</f>
        <v>0</v>
      </c>
      <c r="NR31" s="20" t="n">
        <f aca="false">NQ31</f>
        <v>0</v>
      </c>
      <c r="NS31" s="20" t="n">
        <f aca="false">NR31</f>
        <v>0</v>
      </c>
      <c r="NT31" s="20" t="n">
        <f aca="false">NS31</f>
        <v>0</v>
      </c>
      <c r="NU31" s="20" t="n">
        <f aca="false">NT31</f>
        <v>0</v>
      </c>
      <c r="NV31" s="20" t="n">
        <f aca="false">NU31</f>
        <v>0</v>
      </c>
      <c r="NW31" s="20" t="n">
        <f aca="false">NV31</f>
        <v>0</v>
      </c>
      <c r="NX31" s="20" t="n">
        <f aca="false">NW31</f>
        <v>0</v>
      </c>
      <c r="NY31" s="20" t="n">
        <f aca="false">NX31</f>
        <v>0</v>
      </c>
      <c r="NZ31" s="20" t="n">
        <f aca="false">NY31</f>
        <v>0</v>
      </c>
      <c r="OA31" s="20" t="n">
        <f aca="false">NZ31</f>
        <v>0</v>
      </c>
      <c r="OB31" s="20" t="n">
        <f aca="false">OA31</f>
        <v>0</v>
      </c>
      <c r="OC31" s="20" t="n">
        <f aca="false">OB31</f>
        <v>0</v>
      </c>
      <c r="OD31" s="20" t="n">
        <f aca="false">OC31</f>
        <v>0</v>
      </c>
      <c r="OE31" s="20" t="n">
        <f aca="false">OD31</f>
        <v>0</v>
      </c>
      <c r="OF31" s="20" t="n">
        <f aca="false">OE31</f>
        <v>0</v>
      </c>
      <c r="OG31" s="20" t="n">
        <f aca="false">OF31</f>
        <v>0</v>
      </c>
      <c r="OH31" s="20" t="n">
        <f aca="false">OG31</f>
        <v>0</v>
      </c>
      <c r="OI31" s="20" t="n">
        <f aca="false">OH31</f>
        <v>0</v>
      </c>
      <c r="OJ31" s="20" t="n">
        <f aca="false">OI31</f>
        <v>0</v>
      </c>
      <c r="OK31" s="20" t="n">
        <f aca="false">OJ31</f>
        <v>0</v>
      </c>
      <c r="OL31" s="20" t="n">
        <f aca="false">OK31</f>
        <v>0</v>
      </c>
      <c r="OM31" s="20" t="n">
        <f aca="false">OL31</f>
        <v>0</v>
      </c>
      <c r="ON31" s="20" t="n">
        <f aca="false">OM31</f>
        <v>0</v>
      </c>
      <c r="OO31" s="20" t="n">
        <f aca="false">ON31</f>
        <v>0</v>
      </c>
      <c r="OP31" s="20" t="n">
        <f aca="false">OO31</f>
        <v>0</v>
      </c>
      <c r="OQ31" s="20" t="n">
        <f aca="false">OP31</f>
        <v>0</v>
      </c>
      <c r="OR31" s="20" t="n">
        <f aca="false">OQ31</f>
        <v>0</v>
      </c>
      <c r="OS31" s="20" t="n">
        <f aca="false">OR31</f>
        <v>0</v>
      </c>
      <c r="OT31" s="20" t="n">
        <f aca="false">OS31</f>
        <v>0</v>
      </c>
      <c r="OU31" s="20" t="n">
        <f aca="false">OT31</f>
        <v>0</v>
      </c>
      <c r="OV31" s="20" t="n">
        <f aca="false">OU31</f>
        <v>0</v>
      </c>
      <c r="OW31" s="20" t="n">
        <f aca="false">OV31</f>
        <v>0</v>
      </c>
      <c r="OX31" s="20" t="n">
        <f aca="false">OW31</f>
        <v>0</v>
      </c>
      <c r="OY31" s="20" t="n">
        <f aca="false">OX31</f>
        <v>0</v>
      </c>
      <c r="OZ31" s="20" t="n">
        <f aca="false">OY31</f>
        <v>0</v>
      </c>
      <c r="PA31" s="20" t="n">
        <f aca="false">OZ31</f>
        <v>0</v>
      </c>
      <c r="PB31" s="20" t="n">
        <f aca="false">PA31</f>
        <v>0</v>
      </c>
      <c r="PC31" s="20" t="n">
        <f aca="false">PB31</f>
        <v>0</v>
      </c>
      <c r="PD31" s="20" t="n">
        <f aca="false">PC31</f>
        <v>0</v>
      </c>
      <c r="PE31" s="20" t="n">
        <f aca="false">PD31</f>
        <v>0</v>
      </c>
      <c r="PF31" s="20" t="n">
        <f aca="false">PE31</f>
        <v>0</v>
      </c>
      <c r="PG31" s="20" t="n">
        <f aca="false">PF31</f>
        <v>0</v>
      </c>
      <c r="PH31" s="20" t="n">
        <f aca="false">PG31</f>
        <v>0</v>
      </c>
      <c r="PI31" s="20" t="n">
        <f aca="false">PH31</f>
        <v>0</v>
      </c>
      <c r="PJ31" s="20" t="n">
        <f aca="false">PI31</f>
        <v>0</v>
      </c>
      <c r="PK31" s="20" t="n">
        <f aca="false">PJ31</f>
        <v>0</v>
      </c>
      <c r="PL31" s="20" t="n">
        <f aca="false">PK31</f>
        <v>0</v>
      </c>
      <c r="PM31" s="20" t="n">
        <f aca="false">PL31</f>
        <v>0</v>
      </c>
      <c r="PN31" s="20" t="n">
        <f aca="false">PM31</f>
        <v>0</v>
      </c>
      <c r="PO31" s="20" t="n">
        <f aca="false">PN31</f>
        <v>0</v>
      </c>
      <c r="PP31" s="20" t="n">
        <f aca="false">PO31</f>
        <v>0</v>
      </c>
      <c r="PQ31" s="20" t="n">
        <f aca="false">PP31</f>
        <v>0</v>
      </c>
      <c r="PR31" s="20" t="n">
        <f aca="false">IF(H_Direct=1,IF(AKR30&lt;=0,0,IF(BR31&lt;=0,MIN(MAX(0,AB31),AKR30),MIN(MAX(0,AB31),AKR30-G31*MAX(0,BR31*AKR30-(H31+I31))))),MIN(FE31,MAX(0,AB31)))</f>
        <v>0</v>
      </c>
      <c r="PS31" s="20" t="n">
        <f aca="false">IF(H_Direct=1,IF(AKS30&lt;=0,0,IF(BS31&lt;=0,MIN(MAX(0,AB31-SUM(PR31:PR31)),AKS30),MIN(MAX(0,AB31-SUM(PR31:PR31)),AKS30-G31*MAX(0,BS31*AKS30-(WR31+AAE31))))),MIN(FF31,MAX(0,AB31-SUM(PR31:PR31))))</f>
        <v>0</v>
      </c>
      <c r="PT31" s="20" t="n">
        <f aca="false">IF(H_Direct=1,IF(AKT30&lt;=0,0,IF(BT31&lt;=0,MIN(MAX(0,AB31-SUM(PR31:PS31)),AKT30),MIN(MAX(0,AB31-SUM(PR31:PS31)),AKT30-G31*MAX(0,BT31*AKT30-(WS31+AAF31))))),MIN(FG31,MAX(0,AB31-SUM(PR31:PS31))))</f>
        <v>0</v>
      </c>
      <c r="PU31" s="20" t="n">
        <f aca="false">IF(H_Direct=1,IF(AKU30&lt;=0,0,IF(BU31&lt;=0,MIN(MAX(0,AB31-SUM(PR31:PT31)),AKU30),MIN(MAX(0,AB31-SUM(PR31:PT31)),AKU30-G31*MAX(0,BU31*AKU30-(WT31+AAG31))))),MIN(FH31,MAX(0,AB31-SUM(PR31:PT31))))</f>
        <v>0</v>
      </c>
      <c r="PV31" s="20" t="n">
        <f aca="false">IF(H_Direct=1,IF(AKV30&lt;=0,0,IF(BV31&lt;=0,MIN(MAX(0,AB31-SUM(PR31:PU31)),AKV30),MIN(MAX(0,AB31-SUM(PR31:PU31)),AKV30-G31*MAX(0,BV31*AKV30-(WU31+AAH31))))),MIN(FI31,MAX(0,AB31-SUM(PR31:PU31))))</f>
        <v>0</v>
      </c>
      <c r="PW31" s="20" t="n">
        <f aca="false">IF(H_Direct=1,IF(AKW30&lt;=0,0,IF(BW31&lt;=0,MIN(MAX(0,AB31-SUM(PR31:PV31)),AKW30),MIN(MAX(0,AB31-SUM(PR31:PV31)),AKW30-G31*MAX(0,BW31*AKW30-(WV31+AAI31))))),MIN(FJ31,MAX(0,AB31-SUM(PR31:PV31))))</f>
        <v>0</v>
      </c>
      <c r="PX31" s="20" t="n">
        <f aca="false">IF(H_Direct=1,IF(AKX30&lt;=0,0,IF(BX31&lt;=0,MIN(MAX(0,AB31-SUM(PR31:PW31)),AKX30),MIN(MAX(0,AB31-SUM(PR31:PW31)),AKX30-G31*MAX(0,BX31*AKX30-(WW31+AAJ31))))),MIN(FK31,MAX(0,AB31-SUM(PR31:PW31))))</f>
        <v>0</v>
      </c>
      <c r="PY31" s="20" t="n">
        <f aca="false">IF(H_Direct=1,IF(AKY30&lt;=0,0,IF(BY31&lt;=0,MIN(MAX(0,AB31-SUM(PR31:PX31)),AKY30),MIN(MAX(0,AB31-SUM(PR31:PX31)),AKY30-G31*MAX(0,BY31*AKY30-(WX31+AAK31))))),MIN(FL31,MAX(0,AB31-SUM(PR31:PX31))))</f>
        <v>0</v>
      </c>
      <c r="PZ31" s="20" t="n">
        <f aca="false">IF(H_Direct=1,IF(AKZ30&lt;=0,0,IF(BZ31&lt;=0,MIN(MAX(0,AB31-SUM(PR31:PY31)),AKZ30),MIN(MAX(0,AB31-SUM(PR31:PY31)),AKZ30-G31*MAX(0,BZ31*AKZ30-(WY31+AAL31))))),MIN(FM31,MAX(0,AB31-SUM(PR31:PY31))))</f>
        <v>0</v>
      </c>
      <c r="QA31" s="20" t="n">
        <f aca="false">IF(H_Direct=1,IF(ALA30&lt;=0,0,IF(CA31&lt;=0,MIN(MAX(0,AB31-SUM(PR31:PZ31)),ALA30),MIN(MAX(0,AB31-SUM(PR31:PZ31)),ALA30-G31*MAX(0,CA31*ALA30-(WZ31+AAM31))))),MIN(FN31,MAX(0,AB31-SUM(PR31:PZ31))))</f>
        <v>0</v>
      </c>
      <c r="QB31" s="20" t="n">
        <f aca="false">IF(H_Direct=1,IF(ALB30&lt;=0,0,IF(CB31&lt;=0,MIN(MAX(0,AB31-SUM(PR31:QA31)),ALB30),MIN(MAX(0,AB31-SUM(PR31:QA31)),ALB30-G31*MAX(0,CB31*ALB30-(XA31+AAN31))))),MIN(FO31,MAX(0,AB31-SUM(PR31:QA31))))</f>
        <v>0</v>
      </c>
      <c r="QC31" s="20" t="n">
        <f aca="false">IF(H_Direct=1,IF(ALC30&lt;=0,0,IF(CC31&lt;=0,MIN(MAX(0,AB31-SUM(PR31:QB31)),ALC30),MIN(MAX(0,AB31-SUM(PR31:QB31)),ALC30-G31*MAX(0,CC31*ALC30-(XB31+AAO31))))),MIN(FP31,MAX(0,AB31-SUM(PR31:QB31))))</f>
        <v>0</v>
      </c>
      <c r="QD31" s="20" t="n">
        <f aca="false">IF(H_Direct=1,IF(ALD30&lt;=0,0,IF(CD31&lt;=0,MIN(MAX(0,AB31-SUM(PR31:QC31)),ALD30),MIN(MAX(0,AB31-SUM(PR31:QC31)),ALD30-G31*MAX(0,CD31*ALD30-(XC31+AAP31))))),MIN(FQ31,MAX(0,AB31-SUM(PR31:QC31))))</f>
        <v>0</v>
      </c>
      <c r="QE31" s="20" t="n">
        <f aca="false">IF(H_Direct=1,IF(ALE30&lt;=0,0,IF(CE31&lt;=0,MIN(MAX(0,AB31-SUM(PR31:QD31)),ALE30),MIN(MAX(0,AB31-SUM(PR31:QD31)),ALE30-G31*MAX(0,CE31*ALE30-(XD31+AAQ31))))),MIN(FR31,MAX(0,AB31-SUM(PR31:QD31))))</f>
        <v>0</v>
      </c>
      <c r="QF31" s="20" t="n">
        <f aca="false">IF(H_Direct=1,IF(ALF30&lt;=0,0,IF(CF31&lt;=0,MIN(MAX(0,AB31-SUM(PR31:QE31)),ALF30),MIN(MAX(0,AB31-SUM(PR31:QE31)),ALF30-G31*MAX(0,CF31*ALF30-(XE31+AAR31))))),MIN(FS31,MAX(0,AB31-SUM(PR31:QE31))))</f>
        <v>0</v>
      </c>
      <c r="QG31" s="20" t="n">
        <f aca="false">IF(H_Direct=1,IF(ALG30&lt;=0,0,IF(CG31&lt;=0,MIN(MAX(0,AB31-SUM(PR31:QF31)),ALG30),MIN(MAX(0,AB31-SUM(PR31:QF31)),ALG30-G31*MAX(0,CG31*ALG30-(XF31+AAS31))))),MIN(FT31,MAX(0,AB31-SUM(PR31:QF31))))</f>
        <v>0</v>
      </c>
      <c r="QH31" s="20" t="n">
        <f aca="false">IF(H_Direct=1,IF(ALH30&lt;=0,0,IF(CH31&lt;=0,MIN(MAX(0,AB31-SUM(PR31:QG31)),ALH30),MIN(MAX(0,AB31-SUM(PR31:QG31)),ALH30-G31*MAX(0,CH31*ALH30-(XG31+AAT31))))),MIN(FU31,MAX(0,AB31-SUM(PR31:QG31))))</f>
        <v>0</v>
      </c>
      <c r="QI31" s="20" t="n">
        <f aca="false">IF(H_Direct=1,IF(ALI30&lt;=0,0,IF(CI31&lt;=0,MIN(MAX(0,AB31-SUM(PR31:QH31)),ALI30),MIN(MAX(0,AB31-SUM(PR31:QH31)),ALI30-G31*MAX(0,CI31*ALI30-(XH31+AAU31))))),MIN(FV31,MAX(0,AB31-SUM(PR31:QH31))))</f>
        <v>0</v>
      </c>
      <c r="QJ31" s="20" t="n">
        <f aca="false">IF(H_Direct=1,IF(ALJ30&lt;=0,0,IF(CJ31&lt;=0,MIN(MAX(0,AB31-SUM(PR31:QI31)),ALJ30),MIN(MAX(0,AB31-SUM(PR31:QI31)),ALJ30-G31*MAX(0,CJ31*ALJ30-(XI31+AAV31))))),MIN(FW31,MAX(0,AB31-SUM(PR31:QI31))))</f>
        <v>0</v>
      </c>
      <c r="QK31" s="20" t="n">
        <f aca="false">IF(H_Direct=1,IF(ALK30&lt;=0,0,IF(CK31&lt;=0,MIN(MAX(0,AB31-SUM(PR31:QJ31)),ALK30),MIN(MAX(0,AB31-SUM(PR31:QJ31)),ALK30-G31*MAX(0,CK31*ALK30-(XJ31+AAW31))))),MIN(FX31,MAX(0,AB31-SUM(PR31:QJ31))))</f>
        <v>0</v>
      </c>
      <c r="QL31" s="20" t="n">
        <f aca="false">IF(H_Direct=1,IF(ALL30&lt;=0,0,IF(CL31&lt;=0,MIN(MAX(0,AB31-SUM(PR31:QK31)),ALL30),MIN(MAX(0,AB31-SUM(PR31:QK31)),ALL30-G31*MAX(0,CL31*ALL30-(XK31+AAX31))))),MIN(FY31,MAX(0,AB31-SUM(PR31:QK31))))</f>
        <v>0</v>
      </c>
      <c r="QM31" s="20" t="n">
        <f aca="false">IF(H_Direct=1,IF(ALM30&lt;=0,0,IF(CM31&lt;=0,MIN(MAX(0,AB31-SUM(PR31:QL31)),ALM30),MIN(MAX(0,AB31-SUM(PR31:QL31)),ALM30-G31*MAX(0,CM31*ALM30-(XL31+AAY31))))),MIN(FZ31,MAX(0,AB31-SUM(PR31:QL31))))</f>
        <v>0</v>
      </c>
      <c r="QN31" s="20" t="n">
        <f aca="false">IF(H_Direct=1,IF(ALN30&lt;=0,0,IF(CN31&lt;=0,MIN(MAX(0,AB31-SUM(PR31:QM31)),ALN30),MIN(MAX(0,AB31-SUM(PR31:QM31)),ALN30-G31*MAX(0,CN31*ALN30-(XM31+AAZ31))))),MIN(GA31,MAX(0,AB31-SUM(PR31:QM31))))</f>
        <v>0</v>
      </c>
      <c r="QO31" s="20" t="n">
        <f aca="false">IF(H_Direct=1,IF(ALO30&lt;=0,0,IF(CO31&lt;=0,MIN(MAX(0,AB31-SUM(PR31:QN31)),ALO30),MIN(MAX(0,AB31-SUM(PR31:QN31)),ALO30-G31*MAX(0,CO31*ALO30-(XN31+ABA31))))),MIN(GB31,MAX(0,AB31-SUM(PR31:QN31))))</f>
        <v>0</v>
      </c>
      <c r="QP31" s="20" t="n">
        <f aca="false">IF(H_Direct=1,IF((P31+S31)&lt;=0,0,IF(CP31&lt;=0,MIN(MAX(0,AB31-SUM(PR31:QO31)),(P31+S31)),MIN(MAX(0,AB31-SUM(PR31:QO31)),(P31+S31)-G31*MAX(0,CP31*(P31+S31)-(XO31+ABB31))))),MIN(GC31,MAX(0,AB31-SUM(PR31:QO31))))</f>
        <v>0</v>
      </c>
      <c r="QQ31" s="20" t="n">
        <v>0</v>
      </c>
      <c r="QR31" s="20" t="n">
        <v>0</v>
      </c>
      <c r="QS31" s="20" t="n">
        <v>0</v>
      </c>
      <c r="QT31" s="20" t="n">
        <v>0</v>
      </c>
      <c r="QU31" s="20" t="n">
        <v>0</v>
      </c>
      <c r="QV31" s="20" t="n">
        <v>0</v>
      </c>
      <c r="QW31" s="20" t="n">
        <v>0</v>
      </c>
      <c r="QX31" s="20" t="n">
        <v>0</v>
      </c>
      <c r="QY31" s="20" t="n">
        <v>0</v>
      </c>
      <c r="QZ31" s="20" t="n">
        <v>0</v>
      </c>
      <c r="RA31" s="20" t="n">
        <v>0</v>
      </c>
      <c r="RB31" s="20" t="n">
        <v>0</v>
      </c>
      <c r="RC31" s="20" t="n">
        <v>0</v>
      </c>
      <c r="RD31" s="20" t="n">
        <v>0</v>
      </c>
      <c r="RE31" s="20" t="n">
        <v>0</v>
      </c>
      <c r="RF31" s="20" t="n">
        <v>0</v>
      </c>
      <c r="RG31" s="20" t="n">
        <v>0</v>
      </c>
      <c r="RH31" s="20" t="n">
        <v>0</v>
      </c>
      <c r="RI31" s="20" t="n">
        <v>0</v>
      </c>
      <c r="RJ31" s="20" t="n">
        <v>0</v>
      </c>
      <c r="RK31" s="20" t="n">
        <v>0</v>
      </c>
      <c r="RL31" s="20" t="n">
        <v>0</v>
      </c>
      <c r="RM31" s="20" t="n">
        <v>0</v>
      </c>
      <c r="RN31" s="20" t="n">
        <v>0</v>
      </c>
      <c r="RO31" s="20" t="n">
        <v>0</v>
      </c>
      <c r="RP31" s="20" t="n">
        <v>0</v>
      </c>
      <c r="RQ31" s="20" t="n">
        <v>0</v>
      </c>
      <c r="RR31" s="20" t="n">
        <v>0</v>
      </c>
      <c r="RS31" s="20" t="n">
        <v>0</v>
      </c>
      <c r="RT31" s="20" t="n">
        <v>0</v>
      </c>
      <c r="RU31" s="20" t="n">
        <v>0</v>
      </c>
      <c r="RV31" s="20" t="n">
        <v>0</v>
      </c>
      <c r="RW31" s="20" t="n">
        <v>0</v>
      </c>
      <c r="RX31" s="20" t="n">
        <v>0</v>
      </c>
      <c r="RY31" s="20" t="n">
        <v>0</v>
      </c>
      <c r="RZ31" s="20" t="n">
        <v>0</v>
      </c>
      <c r="SA31" s="20" t="n">
        <v>0</v>
      </c>
      <c r="SB31" s="20" t="n">
        <v>0</v>
      </c>
      <c r="SC31" s="20" t="n">
        <v>0</v>
      </c>
      <c r="SD31" s="20" t="n">
        <v>0</v>
      </c>
      <c r="SE31" s="20" t="n">
        <v>0</v>
      </c>
      <c r="SF31" s="20" t="n">
        <v>0</v>
      </c>
      <c r="SG31" s="20" t="n">
        <v>0</v>
      </c>
      <c r="SH31" s="20" t="n">
        <v>0</v>
      </c>
      <c r="SI31" s="20" t="n">
        <v>0</v>
      </c>
      <c r="SJ31" s="20" t="n">
        <v>0</v>
      </c>
      <c r="SK31" s="20" t="n">
        <v>0</v>
      </c>
      <c r="SL31" s="20" t="n">
        <v>0</v>
      </c>
      <c r="SM31" s="20" t="n">
        <v>0</v>
      </c>
      <c r="SN31" s="20" t="n">
        <v>0</v>
      </c>
      <c r="SO31" s="20" t="n">
        <v>0</v>
      </c>
      <c r="SP31" s="20" t="n">
        <v>0</v>
      </c>
      <c r="SQ31" s="20" t="n">
        <v>0</v>
      </c>
      <c r="SR31" s="20" t="n">
        <v>0</v>
      </c>
      <c r="SS31" s="20" t="n">
        <v>0</v>
      </c>
      <c r="ST31" s="20" t="n">
        <v>0</v>
      </c>
      <c r="SU31" s="20" t="n">
        <v>0</v>
      </c>
      <c r="SV31" s="20" t="n">
        <v>0</v>
      </c>
      <c r="SW31" s="20" t="n">
        <v>0</v>
      </c>
      <c r="SX31" s="20" t="n">
        <v>0</v>
      </c>
      <c r="SY31" s="20" t="n">
        <v>0</v>
      </c>
      <c r="SZ31" s="20" t="n">
        <v>0</v>
      </c>
      <c r="TA31" s="20" t="n">
        <v>0</v>
      </c>
      <c r="TB31" s="20" t="n">
        <v>0</v>
      </c>
      <c r="TC31" s="20" t="n">
        <v>0</v>
      </c>
      <c r="TD31" s="20" t="n">
        <v>0</v>
      </c>
      <c r="TE31" s="20" t="n">
        <f aca="false">IF(AKR30&lt;=0,0,IF(H_Direct=1,IF(BR31&lt;=0,PR31,IF(PR31&lt;=(H31+I31)/BR31,PR31,(PR31-G31*(H31+I31))/(1-G31*BR31))),PR31/(1-MAX(0,BR31)*H_Exit)))</f>
        <v>0</v>
      </c>
      <c r="TF31" s="20" t="n">
        <f aca="false">IF(AKS30&lt;=0,0,IF(H_Direct=1,IF(BS31&lt;=0,PS31,IF(PS31&lt;=(WR31+AAE31)/BS31,PS31,(PS31-G31*(WR31+AAE31))/(1-G31*BS31))),PS31/(1-MAX(0,BS31)*H_Exit)))</f>
        <v>0</v>
      </c>
      <c r="TG31" s="20" t="n">
        <f aca="false">IF(AKT30&lt;=0,0,IF(H_Direct=1,IF(BT31&lt;=0,PT31,IF(PT31&lt;=(WS31+AAF31)/BT31,PT31,(PT31-G31*(WS31+AAF31))/(1-G31*BT31))),PT31/(1-MAX(0,BT31)*H_Exit)))</f>
        <v>0</v>
      </c>
      <c r="TH31" s="20" t="n">
        <f aca="false">IF(AKU30&lt;=0,0,IF(H_Direct=1,IF(BU31&lt;=0,PU31,IF(PU31&lt;=(WT31+AAG31)/BU31,PU31,(PU31-G31*(WT31+AAG31))/(1-G31*BU31))),PU31/(1-MAX(0,BU31)*H_Exit)))</f>
        <v>0</v>
      </c>
      <c r="TI31" s="20" t="n">
        <f aca="false">IF(AKV30&lt;=0,0,IF(H_Direct=1,IF(BV31&lt;=0,PV31,IF(PV31&lt;=(WU31+AAH31)/BV31,PV31,(PV31-G31*(WU31+AAH31))/(1-G31*BV31))),PV31/(1-MAX(0,BV31)*H_Exit)))</f>
        <v>0</v>
      </c>
      <c r="TJ31" s="20" t="n">
        <f aca="false">IF(AKW30&lt;=0,0,IF(H_Direct=1,IF(BW31&lt;=0,PW31,IF(PW31&lt;=(WV31+AAI31)/BW31,PW31,(PW31-G31*(WV31+AAI31))/(1-G31*BW31))),PW31/(1-MAX(0,BW31)*H_Exit)))</f>
        <v>0</v>
      </c>
      <c r="TK31" s="20" t="n">
        <f aca="false">IF(AKX30&lt;=0,0,IF(H_Direct=1,IF(BX31&lt;=0,PX31,IF(PX31&lt;=(WW31+AAJ31)/BX31,PX31,(PX31-G31*(WW31+AAJ31))/(1-G31*BX31))),PX31/(1-MAX(0,BX31)*H_Exit)))</f>
        <v>0</v>
      </c>
      <c r="TL31" s="20" t="n">
        <f aca="false">IF(AKY30&lt;=0,0,IF(H_Direct=1,IF(BY31&lt;=0,PY31,IF(PY31&lt;=(WX31+AAK31)/BY31,PY31,(PY31-G31*(WX31+AAK31))/(1-G31*BY31))),PY31/(1-MAX(0,BY31)*H_Exit)))</f>
        <v>0</v>
      </c>
      <c r="TM31" s="20" t="n">
        <f aca="false">IF(AKZ30&lt;=0,0,IF(H_Direct=1,IF(BZ31&lt;=0,PZ31,IF(PZ31&lt;=(WY31+AAL31)/BZ31,PZ31,(PZ31-G31*(WY31+AAL31))/(1-G31*BZ31))),PZ31/(1-MAX(0,BZ31)*H_Exit)))</f>
        <v>0</v>
      </c>
      <c r="TN31" s="20" t="n">
        <f aca="false">IF(ALA30&lt;=0,0,IF(H_Direct=1,IF(CA31&lt;=0,QA31,IF(QA31&lt;=(WZ31+AAM31)/CA31,QA31,(QA31-G31*(WZ31+AAM31))/(1-G31*CA31))),QA31/(1-MAX(0,CA31)*H_Exit)))</f>
        <v>0</v>
      </c>
      <c r="TO31" s="20" t="n">
        <f aca="false">IF(ALB30&lt;=0,0,IF(H_Direct=1,IF(CB31&lt;=0,QB31,IF(QB31&lt;=(XA31+AAN31)/CB31,QB31,(QB31-G31*(XA31+AAN31))/(1-G31*CB31))),QB31/(1-MAX(0,CB31)*H_Exit)))</f>
        <v>0</v>
      </c>
      <c r="TP31" s="20" t="n">
        <f aca="false">IF(ALC30&lt;=0,0,IF(H_Direct=1,IF(CC31&lt;=0,QC31,IF(QC31&lt;=(XB31+AAO31)/CC31,QC31,(QC31-G31*(XB31+AAO31))/(1-G31*CC31))),QC31/(1-MAX(0,CC31)*H_Exit)))</f>
        <v>0</v>
      </c>
      <c r="TQ31" s="20" t="n">
        <f aca="false">IF(ALD30&lt;=0,0,IF(H_Direct=1,IF(CD31&lt;=0,QD31,IF(QD31&lt;=(XC31+AAP31)/CD31,QD31,(QD31-G31*(XC31+AAP31))/(1-G31*CD31))),QD31/(1-MAX(0,CD31)*H_Exit)))</f>
        <v>0</v>
      </c>
      <c r="TR31" s="20" t="n">
        <f aca="false">IF(ALE30&lt;=0,0,IF(H_Direct=1,IF(CE31&lt;=0,QE31,IF(QE31&lt;=(XD31+AAQ31)/CE31,QE31,(QE31-G31*(XD31+AAQ31))/(1-G31*CE31))),QE31/(1-MAX(0,CE31)*H_Exit)))</f>
        <v>0</v>
      </c>
      <c r="TS31" s="20" t="n">
        <f aca="false">IF(ALF30&lt;=0,0,IF(H_Direct=1,IF(CF31&lt;=0,QF31,IF(QF31&lt;=(XE31+AAR31)/CF31,QF31,(QF31-G31*(XE31+AAR31))/(1-G31*CF31))),QF31/(1-MAX(0,CF31)*H_Exit)))</f>
        <v>0</v>
      </c>
      <c r="TT31" s="20" t="n">
        <f aca="false">IF(ALG30&lt;=0,0,IF(H_Direct=1,IF(CG31&lt;=0,QG31,IF(QG31&lt;=(XF31+AAS31)/CG31,QG31,(QG31-G31*(XF31+AAS31))/(1-G31*CG31))),QG31/(1-MAX(0,CG31)*H_Exit)))</f>
        <v>0</v>
      </c>
      <c r="TU31" s="20" t="n">
        <f aca="false">IF(ALH30&lt;=0,0,IF(H_Direct=1,IF(CH31&lt;=0,QH31,IF(QH31&lt;=(XG31+AAT31)/CH31,QH31,(QH31-G31*(XG31+AAT31))/(1-G31*CH31))),QH31/(1-MAX(0,CH31)*H_Exit)))</f>
        <v>0</v>
      </c>
      <c r="TV31" s="20" t="n">
        <f aca="false">IF(ALI30&lt;=0,0,IF(H_Direct=1,IF(CI31&lt;=0,QI31,IF(QI31&lt;=(XH31+AAU31)/CI31,QI31,(QI31-G31*(XH31+AAU31))/(1-G31*CI31))),QI31/(1-MAX(0,CI31)*H_Exit)))</f>
        <v>0</v>
      </c>
      <c r="TW31" s="20" t="n">
        <f aca="false">IF(ALJ30&lt;=0,0,IF(H_Direct=1,IF(CJ31&lt;=0,QJ31,IF(QJ31&lt;=(XI31+AAV31)/CJ31,QJ31,(QJ31-G31*(XI31+AAV31))/(1-G31*CJ31))),QJ31/(1-MAX(0,CJ31)*H_Exit)))</f>
        <v>0</v>
      </c>
      <c r="TX31" s="20" t="n">
        <f aca="false">IF(ALK30&lt;=0,0,IF(H_Direct=1,IF(CK31&lt;=0,QK31,IF(QK31&lt;=(XJ31+AAW31)/CK31,QK31,(QK31-G31*(XJ31+AAW31))/(1-G31*CK31))),QK31/(1-MAX(0,CK31)*H_Exit)))</f>
        <v>0</v>
      </c>
      <c r="TY31" s="20" t="n">
        <f aca="false">IF(ALL30&lt;=0,0,IF(H_Direct=1,IF(CL31&lt;=0,QL31,IF(QL31&lt;=(XK31+AAX31)/CL31,QL31,(QL31-G31*(XK31+AAX31))/(1-G31*CL31))),QL31/(1-MAX(0,CL31)*H_Exit)))</f>
        <v>0</v>
      </c>
      <c r="TZ31" s="20" t="n">
        <f aca="false">IF(ALM30&lt;=0,0,IF(H_Direct=1,IF(CM31&lt;=0,QM31,IF(QM31&lt;=(XL31+AAY31)/CM31,QM31,(QM31-G31*(XL31+AAY31))/(1-G31*CM31))),QM31/(1-MAX(0,CM31)*H_Exit)))</f>
        <v>0</v>
      </c>
      <c r="UA31" s="20" t="n">
        <f aca="false">IF(ALN30&lt;=0,0,IF(H_Direct=1,IF(CN31&lt;=0,QN31,IF(QN31&lt;=(XM31+AAZ31)/CN31,QN31,(QN31-G31*(XM31+AAZ31))/(1-G31*CN31))),QN31/(1-MAX(0,CN31)*H_Exit)))</f>
        <v>0</v>
      </c>
      <c r="UB31" s="20" t="n">
        <f aca="false">IF(ALO30&lt;=0,0,IF(H_Direct=1,IF(CO31&lt;=0,QO31,IF(QO31&lt;=(XN31+ABA31)/CO31,QO31,(QO31-G31*(XN31+ABA31))/(1-G31*CO31))),QO31/(1-MAX(0,CO31)*H_Exit)))</f>
        <v>0</v>
      </c>
      <c r="UC31" s="20" t="n">
        <f aca="false">IF((P31+S31)&lt;=0,0,IF(H_Direct=1,IF(CP31&lt;=0,QP31,IF(QP31&lt;=(XO31+ABB31)/CP31,QP31,(QP31-G31*(XO31+ABB31))/(1-G31*CP31))),QP31/(1-MAX(0,CP31)*H_Exit)))</f>
        <v>0</v>
      </c>
      <c r="UD31" s="20" t="n">
        <v>0</v>
      </c>
      <c r="UE31" s="20" t="n">
        <v>0</v>
      </c>
      <c r="UF31" s="20" t="n">
        <v>0</v>
      </c>
      <c r="UG31" s="20" t="n">
        <v>0</v>
      </c>
      <c r="UH31" s="20" t="n">
        <v>0</v>
      </c>
      <c r="UI31" s="20" t="n">
        <v>0</v>
      </c>
      <c r="UJ31" s="20" t="n">
        <v>0</v>
      </c>
      <c r="UK31" s="20" t="n">
        <v>0</v>
      </c>
      <c r="UL31" s="20" t="n">
        <v>0</v>
      </c>
      <c r="UM31" s="20" t="n">
        <v>0</v>
      </c>
      <c r="UN31" s="20" t="n">
        <v>0</v>
      </c>
      <c r="UO31" s="20" t="n">
        <v>0</v>
      </c>
      <c r="UP31" s="20" t="n">
        <v>0</v>
      </c>
      <c r="UQ31" s="20" t="n">
        <v>0</v>
      </c>
      <c r="UR31" s="20" t="n">
        <v>0</v>
      </c>
      <c r="US31" s="20" t="n">
        <v>0</v>
      </c>
      <c r="UT31" s="20" t="n">
        <v>0</v>
      </c>
      <c r="UU31" s="20" t="n">
        <v>0</v>
      </c>
      <c r="UV31" s="20" t="n">
        <v>0</v>
      </c>
      <c r="UW31" s="20" t="n">
        <v>0</v>
      </c>
      <c r="UX31" s="20" t="n">
        <v>0</v>
      </c>
      <c r="UY31" s="20" t="n">
        <v>0</v>
      </c>
      <c r="UZ31" s="20" t="n">
        <v>0</v>
      </c>
      <c r="VA31" s="20" t="n">
        <v>0</v>
      </c>
      <c r="VB31" s="20" t="n">
        <v>0</v>
      </c>
      <c r="VC31" s="20" t="n">
        <v>0</v>
      </c>
      <c r="VD31" s="20" t="n">
        <v>0</v>
      </c>
      <c r="VE31" s="20" t="n">
        <v>0</v>
      </c>
      <c r="VF31" s="20" t="n">
        <v>0</v>
      </c>
      <c r="VG31" s="20" t="n">
        <v>0</v>
      </c>
      <c r="VH31" s="20" t="n">
        <v>0</v>
      </c>
      <c r="VI31" s="20" t="n">
        <v>0</v>
      </c>
      <c r="VJ31" s="20" t="n">
        <v>0</v>
      </c>
      <c r="VK31" s="20" t="n">
        <v>0</v>
      </c>
      <c r="VL31" s="20" t="n">
        <v>0</v>
      </c>
      <c r="VM31" s="20" t="n">
        <v>0</v>
      </c>
      <c r="VN31" s="20" t="n">
        <v>0</v>
      </c>
      <c r="VO31" s="20" t="n">
        <v>0</v>
      </c>
      <c r="VP31" s="20" t="n">
        <v>0</v>
      </c>
      <c r="VQ31" s="20" t="n">
        <v>0</v>
      </c>
      <c r="VR31" s="20" t="n">
        <v>0</v>
      </c>
      <c r="VS31" s="20" t="n">
        <v>0</v>
      </c>
      <c r="VT31" s="20" t="n">
        <v>0</v>
      </c>
      <c r="VU31" s="20" t="n">
        <v>0</v>
      </c>
      <c r="VV31" s="20" t="n">
        <v>0</v>
      </c>
      <c r="VW31" s="20" t="n">
        <v>0</v>
      </c>
      <c r="VX31" s="20" t="n">
        <v>0</v>
      </c>
      <c r="VY31" s="20" t="n">
        <v>0</v>
      </c>
      <c r="VZ31" s="20" t="n">
        <v>0</v>
      </c>
      <c r="WA31" s="20" t="n">
        <v>0</v>
      </c>
      <c r="WB31" s="20" t="n">
        <v>0</v>
      </c>
      <c r="WC31" s="20" t="n">
        <v>0</v>
      </c>
      <c r="WD31" s="20" t="n">
        <v>0</v>
      </c>
      <c r="WE31" s="20" t="n">
        <v>0</v>
      </c>
      <c r="WF31" s="20" t="n">
        <v>0</v>
      </c>
      <c r="WG31" s="20" t="n">
        <v>0</v>
      </c>
      <c r="WH31" s="20" t="n">
        <v>0</v>
      </c>
      <c r="WI31" s="20" t="n">
        <v>0</v>
      </c>
      <c r="WJ31" s="20" t="n">
        <v>0</v>
      </c>
      <c r="WK31" s="20" t="n">
        <v>0</v>
      </c>
      <c r="WL31" s="20" t="n">
        <v>0</v>
      </c>
      <c r="WM31" s="20" t="n">
        <v>0</v>
      </c>
      <c r="WN31" s="20" t="n">
        <v>0</v>
      </c>
      <c r="WO31" s="20" t="n">
        <v>0</v>
      </c>
      <c r="WP31" s="20" t="n">
        <v>0</v>
      </c>
      <c r="WQ31" s="20" t="n">
        <v>0</v>
      </c>
      <c r="WR31" s="20" t="n">
        <f aca="false">IF(AND(H_Direct=1,BR31&gt;0),MAX(0,H31-(MIN(BR31*TE31,(H31+I31))-MIN(MIN(BR31*TE31,(H31+I31)),I31))),H31)</f>
        <v>1270</v>
      </c>
      <c r="WS31" s="20" t="n">
        <f aca="false">IF(AND(H_Direct=1,BS31&gt;0),MAX(0,WR31-(MIN(BS31*TF31,(WR31+AAE31))-MIN(MIN(BS31*TF31,(WR31+AAE31)),AAE31))),WR31)</f>
        <v>1270</v>
      </c>
      <c r="WT31" s="20" t="n">
        <f aca="false">IF(AND(H_Direct=1,BT31&gt;0),MAX(0,WS31-(MIN(BT31*TG31,(WS31+AAF31))-MIN(MIN(BT31*TG31,(WS31+AAF31)),AAF31))),WS31)</f>
        <v>1270</v>
      </c>
      <c r="WU31" s="20" t="n">
        <f aca="false">IF(AND(H_Direct=1,BU31&gt;0),MAX(0,WT31-(MIN(BU31*TH31,(WT31+AAG31))-MIN(MIN(BU31*TH31,(WT31+AAG31)),AAG31))),WT31)</f>
        <v>1270</v>
      </c>
      <c r="WV31" s="20" t="n">
        <f aca="false">IF(AND(H_Direct=1,BV31&gt;0),MAX(0,WU31-(MIN(BV31*TI31,(WU31+AAH31))-MIN(MIN(BV31*TI31,(WU31+AAH31)),AAH31))),WU31)</f>
        <v>1270</v>
      </c>
      <c r="WW31" s="20" t="n">
        <f aca="false">IF(AND(H_Direct=1,BW31&gt;0),MAX(0,WV31-(MIN(BW31*TJ31,(WV31+AAI31))-MIN(MIN(BW31*TJ31,(WV31+AAI31)),AAI31))),WV31)</f>
        <v>1270</v>
      </c>
      <c r="WX31" s="20" t="n">
        <f aca="false">IF(AND(H_Direct=1,BX31&gt;0),MAX(0,WW31-(MIN(BX31*TK31,(WW31+AAJ31))-MIN(MIN(BX31*TK31,(WW31+AAJ31)),AAJ31))),WW31)</f>
        <v>1270</v>
      </c>
      <c r="WY31" s="20" t="n">
        <f aca="false">IF(AND(H_Direct=1,BY31&gt;0),MAX(0,WX31-(MIN(BY31*TL31,(WX31+AAK31))-MIN(MIN(BY31*TL31,(WX31+AAK31)),AAK31))),WX31)</f>
        <v>1270</v>
      </c>
      <c r="WZ31" s="20" t="n">
        <f aca="false">IF(AND(H_Direct=1,BZ31&gt;0),MAX(0,WY31-(MIN(BZ31*TM31,(WY31+AAL31))-MIN(MIN(BZ31*TM31,(WY31+AAL31)),AAL31))),WY31)</f>
        <v>1270</v>
      </c>
      <c r="XA31" s="20" t="n">
        <f aca="false">IF(AND(H_Direct=1,CA31&gt;0),MAX(0,WZ31-(MIN(CA31*TN31,(WZ31+AAM31))-MIN(MIN(CA31*TN31,(WZ31+AAM31)),AAM31))),WZ31)</f>
        <v>1270</v>
      </c>
      <c r="XB31" s="20" t="n">
        <f aca="false">IF(AND(H_Direct=1,CB31&gt;0),MAX(0,XA31-(MIN(CB31*TO31,(XA31+AAN31))-MIN(MIN(CB31*TO31,(XA31+AAN31)),AAN31))),XA31)</f>
        <v>1270</v>
      </c>
      <c r="XC31" s="20" t="n">
        <f aca="false">IF(AND(H_Direct=1,CC31&gt;0),MAX(0,XB31-(MIN(CC31*TP31,(XB31+AAO31))-MIN(MIN(CC31*TP31,(XB31+AAO31)),AAO31))),XB31)</f>
        <v>1270</v>
      </c>
      <c r="XD31" s="20" t="n">
        <f aca="false">IF(AND(H_Direct=1,CD31&gt;0),MAX(0,XC31-(MIN(CD31*TQ31,(XC31+AAP31))-MIN(MIN(CD31*TQ31,(XC31+AAP31)),AAP31))),XC31)</f>
        <v>1270</v>
      </c>
      <c r="XE31" s="20" t="n">
        <f aca="false">IF(AND(H_Direct=1,CE31&gt;0),MAX(0,XD31-(MIN(CE31*TR31,(XD31+AAQ31))-MIN(MIN(CE31*TR31,(XD31+AAQ31)),AAQ31))),XD31)</f>
        <v>1270</v>
      </c>
      <c r="XF31" s="20" t="n">
        <f aca="false">IF(AND(H_Direct=1,CF31&gt;0),MAX(0,XE31-(MIN(CF31*TS31,(XE31+AAR31))-MIN(MIN(CF31*TS31,(XE31+AAR31)),AAR31))),XE31)</f>
        <v>1270</v>
      </c>
      <c r="XG31" s="20" t="n">
        <f aca="false">IF(AND(H_Direct=1,CG31&gt;0),MAX(0,XF31-(MIN(CG31*TT31,(XF31+AAS31))-MIN(MIN(CG31*TT31,(XF31+AAS31)),AAS31))),XF31)</f>
        <v>1270</v>
      </c>
      <c r="XH31" s="20" t="n">
        <f aca="false">IF(AND(H_Direct=1,CH31&gt;0),MAX(0,XG31-(MIN(CH31*TU31,(XG31+AAT31))-MIN(MIN(CH31*TU31,(XG31+AAT31)),AAT31))),XG31)</f>
        <v>1270</v>
      </c>
      <c r="XI31" s="20" t="n">
        <f aca="false">IF(AND(H_Direct=1,CI31&gt;0),MAX(0,XH31-(MIN(CI31*TV31,(XH31+AAU31))-MIN(MIN(CI31*TV31,(XH31+AAU31)),AAU31))),XH31)</f>
        <v>1270</v>
      </c>
      <c r="XJ31" s="20" t="n">
        <f aca="false">IF(AND(H_Direct=1,CJ31&gt;0),MAX(0,XI31-(MIN(CJ31*TW31,(XI31+AAV31))-MIN(MIN(CJ31*TW31,(XI31+AAV31)),AAV31))),XI31)</f>
        <v>1270</v>
      </c>
      <c r="XK31" s="20" t="n">
        <f aca="false">IF(AND(H_Direct=1,CK31&gt;0),MAX(0,XJ31-(MIN(CK31*TX31,(XJ31+AAW31))-MIN(MIN(CK31*TX31,(XJ31+AAW31)),AAW31))),XJ31)</f>
        <v>1270</v>
      </c>
      <c r="XL31" s="20" t="n">
        <f aca="false">IF(AND(H_Direct=1,CL31&gt;0),MAX(0,XK31-(MIN(CL31*TY31,(XK31+AAX31))-MIN(MIN(CL31*TY31,(XK31+AAX31)),AAX31))),XK31)</f>
        <v>1270</v>
      </c>
      <c r="XM31" s="20" t="n">
        <f aca="false">IF(AND(H_Direct=1,CM31&gt;0),MAX(0,XL31-(MIN(CM31*TZ31,(XL31+AAY31))-MIN(MIN(CM31*TZ31,(XL31+AAY31)),AAY31))),XL31)</f>
        <v>1270</v>
      </c>
      <c r="XN31" s="20" t="n">
        <f aca="false">IF(AND(H_Direct=1,CN31&gt;0),MAX(0,XM31-(MIN(CN31*UA31,(XM31+AAZ31))-MIN(MIN(CN31*UA31,(XM31+AAZ31)),AAZ31))),XM31)</f>
        <v>1270</v>
      </c>
      <c r="XO31" s="20" t="n">
        <f aca="false">IF(AND(H_Direct=1,CO31&gt;0),MAX(0,XN31-(MIN(CO31*UB31,(XN31+ABA31))-MIN(MIN(CO31*UB31,(XN31+ABA31)),ABA31))),XN31)</f>
        <v>1270</v>
      </c>
      <c r="XP31" s="20" t="n">
        <f aca="false">IF(AND(H_Direct=1,CP31&gt;0),MAX(0,XO31-(MIN(CP31*UC31,(XO31+ABB31))-MIN(MIN(CP31*UC31,(XO31+ABB31)),ABB31))),XO31)</f>
        <v>1270</v>
      </c>
      <c r="XQ31" s="20" t="n">
        <f aca="false">XP31</f>
        <v>1270</v>
      </c>
      <c r="XR31" s="20" t="n">
        <f aca="false">XQ31</f>
        <v>1270</v>
      </c>
      <c r="XS31" s="20" t="n">
        <f aca="false">XR31</f>
        <v>1270</v>
      </c>
      <c r="XT31" s="20" t="n">
        <f aca="false">XS31</f>
        <v>1270</v>
      </c>
      <c r="XU31" s="20" t="n">
        <f aca="false">XT31</f>
        <v>1270</v>
      </c>
      <c r="XV31" s="20" t="n">
        <f aca="false">XU31</f>
        <v>1270</v>
      </c>
      <c r="XW31" s="20" t="n">
        <f aca="false">XV31</f>
        <v>1270</v>
      </c>
      <c r="XX31" s="20" t="n">
        <f aca="false">XW31</f>
        <v>1270</v>
      </c>
      <c r="XY31" s="20" t="n">
        <f aca="false">XX31</f>
        <v>1270</v>
      </c>
      <c r="XZ31" s="20" t="n">
        <f aca="false">XY31</f>
        <v>1270</v>
      </c>
      <c r="YA31" s="20" t="n">
        <f aca="false">XZ31</f>
        <v>1270</v>
      </c>
      <c r="YB31" s="20" t="n">
        <f aca="false">YA31</f>
        <v>1270</v>
      </c>
      <c r="YC31" s="20" t="n">
        <f aca="false">YB31</f>
        <v>1270</v>
      </c>
      <c r="YD31" s="20" t="n">
        <f aca="false">YC31</f>
        <v>1270</v>
      </c>
      <c r="YE31" s="20" t="n">
        <f aca="false">YD31</f>
        <v>1270</v>
      </c>
      <c r="YF31" s="20" t="n">
        <f aca="false">YE31</f>
        <v>1270</v>
      </c>
      <c r="YG31" s="20" t="n">
        <f aca="false">YF31</f>
        <v>1270</v>
      </c>
      <c r="YH31" s="20" t="n">
        <f aca="false">YG31</f>
        <v>1270</v>
      </c>
      <c r="YI31" s="20" t="n">
        <f aca="false">YH31</f>
        <v>1270</v>
      </c>
      <c r="YJ31" s="20" t="n">
        <f aca="false">YI31</f>
        <v>1270</v>
      </c>
      <c r="YK31" s="20" t="n">
        <f aca="false">YJ31</f>
        <v>1270</v>
      </c>
      <c r="YL31" s="20" t="n">
        <f aca="false">YK31</f>
        <v>1270</v>
      </c>
      <c r="YM31" s="20" t="n">
        <f aca="false">YL31</f>
        <v>1270</v>
      </c>
      <c r="YN31" s="20" t="n">
        <f aca="false">YM31</f>
        <v>1270</v>
      </c>
      <c r="YO31" s="20" t="n">
        <f aca="false">YN31</f>
        <v>1270</v>
      </c>
      <c r="YP31" s="20" t="n">
        <f aca="false">YO31</f>
        <v>1270</v>
      </c>
      <c r="YQ31" s="20" t="n">
        <f aca="false">YP31</f>
        <v>1270</v>
      </c>
      <c r="YR31" s="20" t="n">
        <f aca="false">YQ31</f>
        <v>1270</v>
      </c>
      <c r="YS31" s="20" t="n">
        <f aca="false">YR31</f>
        <v>1270</v>
      </c>
      <c r="YT31" s="20" t="n">
        <f aca="false">YS31</f>
        <v>1270</v>
      </c>
      <c r="YU31" s="20" t="n">
        <f aca="false">YT31</f>
        <v>1270</v>
      </c>
      <c r="YV31" s="20" t="n">
        <f aca="false">YU31</f>
        <v>1270</v>
      </c>
      <c r="YW31" s="20" t="n">
        <f aca="false">YV31</f>
        <v>1270</v>
      </c>
      <c r="YX31" s="20" t="n">
        <f aca="false">YW31</f>
        <v>1270</v>
      </c>
      <c r="YY31" s="20" t="n">
        <f aca="false">YX31</f>
        <v>1270</v>
      </c>
      <c r="YZ31" s="20" t="n">
        <f aca="false">YY31</f>
        <v>1270</v>
      </c>
      <c r="ZA31" s="20" t="n">
        <f aca="false">YZ31</f>
        <v>1270</v>
      </c>
      <c r="ZB31" s="20" t="n">
        <f aca="false">ZA31</f>
        <v>1270</v>
      </c>
      <c r="ZC31" s="20" t="n">
        <f aca="false">ZB31</f>
        <v>1270</v>
      </c>
      <c r="ZD31" s="20" t="n">
        <f aca="false">ZC31</f>
        <v>1270</v>
      </c>
      <c r="ZE31" s="20" t="n">
        <f aca="false">ZD31</f>
        <v>1270</v>
      </c>
      <c r="ZF31" s="20" t="n">
        <f aca="false">ZE31</f>
        <v>1270</v>
      </c>
      <c r="ZG31" s="20" t="n">
        <f aca="false">ZF31</f>
        <v>1270</v>
      </c>
      <c r="ZH31" s="20" t="n">
        <f aca="false">ZG31</f>
        <v>1270</v>
      </c>
      <c r="ZI31" s="20" t="n">
        <f aca="false">ZH31</f>
        <v>1270</v>
      </c>
      <c r="ZJ31" s="20" t="n">
        <f aca="false">ZI31</f>
        <v>1270</v>
      </c>
      <c r="ZK31" s="20" t="n">
        <f aca="false">ZJ31</f>
        <v>1270</v>
      </c>
      <c r="ZL31" s="20" t="n">
        <f aca="false">ZK31</f>
        <v>1270</v>
      </c>
      <c r="ZM31" s="20" t="n">
        <f aca="false">ZL31</f>
        <v>1270</v>
      </c>
      <c r="ZN31" s="20" t="n">
        <f aca="false">ZM31</f>
        <v>1270</v>
      </c>
      <c r="ZO31" s="20" t="n">
        <f aca="false">ZN31</f>
        <v>1270</v>
      </c>
      <c r="ZP31" s="20" t="n">
        <f aca="false">ZO31</f>
        <v>1270</v>
      </c>
      <c r="ZQ31" s="20" t="n">
        <f aca="false">ZP31</f>
        <v>1270</v>
      </c>
      <c r="ZR31" s="20" t="n">
        <f aca="false">ZQ31</f>
        <v>1270</v>
      </c>
      <c r="ZS31" s="20" t="n">
        <f aca="false">ZR31</f>
        <v>1270</v>
      </c>
      <c r="ZT31" s="20" t="n">
        <f aca="false">ZS31</f>
        <v>1270</v>
      </c>
      <c r="ZU31" s="20" t="n">
        <f aca="false">ZT31</f>
        <v>1270</v>
      </c>
      <c r="ZV31" s="20" t="n">
        <f aca="false">ZU31</f>
        <v>1270</v>
      </c>
      <c r="ZW31" s="20" t="n">
        <f aca="false">ZV31</f>
        <v>1270</v>
      </c>
      <c r="ZX31" s="20" t="n">
        <f aca="false">ZW31</f>
        <v>1270</v>
      </c>
      <c r="ZY31" s="20" t="n">
        <f aca="false">ZX31</f>
        <v>1270</v>
      </c>
      <c r="ZZ31" s="20" t="n">
        <f aca="false">ZY31</f>
        <v>1270</v>
      </c>
      <c r="AAA31" s="20" t="n">
        <f aca="false">ZZ31</f>
        <v>1270</v>
      </c>
      <c r="AAB31" s="20" t="n">
        <f aca="false">AAA31</f>
        <v>1270</v>
      </c>
      <c r="AAC31" s="20" t="n">
        <f aca="false">AAB31</f>
        <v>1270</v>
      </c>
      <c r="AAD31" s="20" t="n">
        <f aca="false">AAC31</f>
        <v>1270</v>
      </c>
      <c r="AAE31" s="20" t="n">
        <f aca="false">IF(H_Direct=1,IF(BR31&lt;=0,I31-BR31*TE31,I31-MIN(MIN(BR31*TE31,(H31+I31)),I31)),I31)</f>
        <v>0</v>
      </c>
      <c r="AAF31" s="20" t="n">
        <f aca="false">IF(H_Direct=1,IF(BS31&lt;=0,AAE31-BS31*TF31,AAE31-MIN(MIN(BS31*TF31,(WR31+AAE31)),AAE31)),AAE31)</f>
        <v>0</v>
      </c>
      <c r="AAG31" s="20" t="n">
        <f aca="false">IF(H_Direct=1,IF(BT31&lt;=0,AAF31-BT31*TG31,AAF31-MIN(MIN(BT31*TG31,(WS31+AAF31)),AAF31)),AAF31)</f>
        <v>0</v>
      </c>
      <c r="AAH31" s="20" t="n">
        <f aca="false">IF(H_Direct=1,IF(BU31&lt;=0,AAG31-BU31*TH31,AAG31-MIN(MIN(BU31*TH31,(WT31+AAG31)),AAG31)),AAG31)</f>
        <v>0</v>
      </c>
      <c r="AAI31" s="20" t="n">
        <f aca="false">IF(H_Direct=1,IF(BV31&lt;=0,AAH31-BV31*TI31,AAH31-MIN(MIN(BV31*TI31,(WU31+AAH31)),AAH31)),AAH31)</f>
        <v>0</v>
      </c>
      <c r="AAJ31" s="20" t="n">
        <f aca="false">IF(H_Direct=1,IF(BW31&lt;=0,AAI31-BW31*TJ31,AAI31-MIN(MIN(BW31*TJ31,(WV31+AAI31)),AAI31)),AAI31)</f>
        <v>0</v>
      </c>
      <c r="AAK31" s="20" t="n">
        <f aca="false">IF(H_Direct=1,IF(BX31&lt;=0,AAJ31-BX31*TK31,AAJ31-MIN(MIN(BX31*TK31,(WW31+AAJ31)),AAJ31)),AAJ31)</f>
        <v>0</v>
      </c>
      <c r="AAL31" s="20" t="n">
        <f aca="false">IF(H_Direct=1,IF(BY31&lt;=0,AAK31-BY31*TL31,AAK31-MIN(MIN(BY31*TL31,(WX31+AAK31)),AAK31)),AAK31)</f>
        <v>0</v>
      </c>
      <c r="AAM31" s="20" t="n">
        <f aca="false">IF(H_Direct=1,IF(BZ31&lt;=0,AAL31-BZ31*TM31,AAL31-MIN(MIN(BZ31*TM31,(WY31+AAL31)),AAL31)),AAL31)</f>
        <v>0</v>
      </c>
      <c r="AAN31" s="20" t="n">
        <f aca="false">IF(H_Direct=1,IF(CA31&lt;=0,AAM31-CA31*TN31,AAM31-MIN(MIN(CA31*TN31,(WZ31+AAM31)),AAM31)),AAM31)</f>
        <v>0</v>
      </c>
      <c r="AAO31" s="20" t="n">
        <f aca="false">IF(H_Direct=1,IF(CB31&lt;=0,AAN31-CB31*TO31,AAN31-MIN(MIN(CB31*TO31,(XA31+AAN31)),AAN31)),AAN31)</f>
        <v>0</v>
      </c>
      <c r="AAP31" s="20" t="n">
        <f aca="false">IF(H_Direct=1,IF(CC31&lt;=0,AAO31-CC31*TP31,AAO31-MIN(MIN(CC31*TP31,(XB31+AAO31)),AAO31)),AAO31)</f>
        <v>0</v>
      </c>
      <c r="AAQ31" s="20" t="n">
        <f aca="false">IF(H_Direct=1,IF(CD31&lt;=0,AAP31-CD31*TQ31,AAP31-MIN(MIN(CD31*TQ31,(XC31+AAP31)),AAP31)),AAP31)</f>
        <v>0</v>
      </c>
      <c r="AAR31" s="20" t="n">
        <f aca="false">IF(H_Direct=1,IF(CE31&lt;=0,AAQ31-CE31*TR31,AAQ31-MIN(MIN(CE31*TR31,(XD31+AAQ31)),AAQ31)),AAQ31)</f>
        <v>0</v>
      </c>
      <c r="AAS31" s="20" t="n">
        <f aca="false">IF(H_Direct=1,IF(CF31&lt;=0,AAR31-CF31*TS31,AAR31-MIN(MIN(CF31*TS31,(XE31+AAR31)),AAR31)),AAR31)</f>
        <v>0</v>
      </c>
      <c r="AAT31" s="20" t="n">
        <f aca="false">IF(H_Direct=1,IF(CG31&lt;=0,AAS31-CG31*TT31,AAS31-MIN(MIN(CG31*TT31,(XF31+AAS31)),AAS31)),AAS31)</f>
        <v>0</v>
      </c>
      <c r="AAU31" s="20" t="n">
        <f aca="false">IF(H_Direct=1,IF(CH31&lt;=0,AAT31-CH31*TU31,AAT31-MIN(MIN(CH31*TU31,(XG31+AAT31)),AAT31)),AAT31)</f>
        <v>0</v>
      </c>
      <c r="AAV31" s="20" t="n">
        <f aca="false">IF(H_Direct=1,IF(CI31&lt;=0,AAU31-CI31*TV31,AAU31-MIN(MIN(CI31*TV31,(XH31+AAU31)),AAU31)),AAU31)</f>
        <v>0</v>
      </c>
      <c r="AAW31" s="20" t="n">
        <f aca="false">IF(H_Direct=1,IF(CJ31&lt;=0,AAV31-CJ31*TW31,AAV31-MIN(MIN(CJ31*TW31,(XI31+AAV31)),AAV31)),AAV31)</f>
        <v>0</v>
      </c>
      <c r="AAX31" s="20" t="n">
        <f aca="false">IF(H_Direct=1,IF(CK31&lt;=0,AAW31-CK31*TX31,AAW31-MIN(MIN(CK31*TX31,(XJ31+AAW31)),AAW31)),AAW31)</f>
        <v>0</v>
      </c>
      <c r="AAY31" s="20" t="n">
        <f aca="false">IF(H_Direct=1,IF(CL31&lt;=0,AAX31-CL31*TY31,AAX31-MIN(MIN(CL31*TY31,(XK31+AAX31)),AAX31)),AAX31)</f>
        <v>0</v>
      </c>
      <c r="AAZ31" s="20" t="n">
        <f aca="false">IF(H_Direct=1,IF(CM31&lt;=0,AAY31-CM31*TZ31,AAY31-MIN(MIN(CM31*TZ31,(XL31+AAY31)),AAY31)),AAY31)</f>
        <v>0</v>
      </c>
      <c r="ABA31" s="20" t="n">
        <f aca="false">IF(H_Direct=1,IF(CN31&lt;=0,AAZ31-CN31*UA31,AAZ31-MIN(MIN(CN31*UA31,(XM31+AAZ31)),AAZ31)),AAZ31)</f>
        <v>0</v>
      </c>
      <c r="ABB31" s="20" t="n">
        <f aca="false">IF(H_Direct=1,IF(CO31&lt;=0,ABA31-CO31*UB31,ABA31-MIN(MIN(CO31*UB31,(XN31+ABA31)),ABA31)),ABA31)</f>
        <v>0</v>
      </c>
      <c r="ABC31" s="20" t="n">
        <f aca="false">IF(H_Direct=1,IF(CP31&lt;=0,ABB31-CP31*UC31,ABB31-MIN(MIN(CP31*UC31,(XO31+ABB31)),ABB31)),ABB31)</f>
        <v>0</v>
      </c>
      <c r="ABD31" s="20" t="n">
        <f aca="false">ABC31</f>
        <v>0</v>
      </c>
      <c r="ABE31" s="20" t="n">
        <f aca="false">ABD31</f>
        <v>0</v>
      </c>
      <c r="ABF31" s="20" t="n">
        <f aca="false">ABE31</f>
        <v>0</v>
      </c>
      <c r="ABG31" s="20" t="n">
        <f aca="false">ABF31</f>
        <v>0</v>
      </c>
      <c r="ABH31" s="20" t="n">
        <f aca="false">ABG31</f>
        <v>0</v>
      </c>
      <c r="ABI31" s="20" t="n">
        <f aca="false">ABH31</f>
        <v>0</v>
      </c>
      <c r="ABJ31" s="20" t="n">
        <f aca="false">ABI31</f>
        <v>0</v>
      </c>
      <c r="ABK31" s="20" t="n">
        <f aca="false">ABJ31</f>
        <v>0</v>
      </c>
      <c r="ABL31" s="20" t="n">
        <f aca="false">ABK31</f>
        <v>0</v>
      </c>
      <c r="ABM31" s="20" t="n">
        <f aca="false">ABL31</f>
        <v>0</v>
      </c>
      <c r="ABN31" s="20" t="n">
        <f aca="false">ABM31</f>
        <v>0</v>
      </c>
      <c r="ABO31" s="20" t="n">
        <f aca="false">ABN31</f>
        <v>0</v>
      </c>
      <c r="ABP31" s="20" t="n">
        <f aca="false">ABO31</f>
        <v>0</v>
      </c>
      <c r="ABQ31" s="20" t="n">
        <f aca="false">ABP31</f>
        <v>0</v>
      </c>
      <c r="ABR31" s="20" t="n">
        <f aca="false">ABQ31</f>
        <v>0</v>
      </c>
      <c r="ABS31" s="20" t="n">
        <f aca="false">ABR31</f>
        <v>0</v>
      </c>
      <c r="ABT31" s="20" t="n">
        <f aca="false">ABS31</f>
        <v>0</v>
      </c>
      <c r="ABU31" s="20" t="n">
        <f aca="false">ABT31</f>
        <v>0</v>
      </c>
      <c r="ABV31" s="20" t="n">
        <f aca="false">ABU31</f>
        <v>0</v>
      </c>
      <c r="ABW31" s="20" t="n">
        <f aca="false">ABV31</f>
        <v>0</v>
      </c>
      <c r="ABX31" s="20" t="n">
        <f aca="false">ABW31</f>
        <v>0</v>
      </c>
      <c r="ABY31" s="20" t="n">
        <f aca="false">ABX31</f>
        <v>0</v>
      </c>
      <c r="ABZ31" s="20" t="n">
        <f aca="false">ABY31</f>
        <v>0</v>
      </c>
      <c r="ACA31" s="20" t="n">
        <f aca="false">ABZ31</f>
        <v>0</v>
      </c>
      <c r="ACB31" s="20" t="n">
        <f aca="false">ACA31</f>
        <v>0</v>
      </c>
      <c r="ACC31" s="20" t="n">
        <f aca="false">ACB31</f>
        <v>0</v>
      </c>
      <c r="ACD31" s="20" t="n">
        <f aca="false">ACC31</f>
        <v>0</v>
      </c>
      <c r="ACE31" s="20" t="n">
        <f aca="false">ACD31</f>
        <v>0</v>
      </c>
      <c r="ACF31" s="20" t="n">
        <f aca="false">ACE31</f>
        <v>0</v>
      </c>
      <c r="ACG31" s="20" t="n">
        <f aca="false">ACF31</f>
        <v>0</v>
      </c>
      <c r="ACH31" s="20" t="n">
        <f aca="false">ACG31</f>
        <v>0</v>
      </c>
      <c r="ACI31" s="20" t="n">
        <f aca="false">ACH31</f>
        <v>0</v>
      </c>
      <c r="ACJ31" s="20" t="n">
        <f aca="false">ACI31</f>
        <v>0</v>
      </c>
      <c r="ACK31" s="20" t="n">
        <f aca="false">ACJ31</f>
        <v>0</v>
      </c>
      <c r="ACL31" s="20" t="n">
        <f aca="false">ACK31</f>
        <v>0</v>
      </c>
      <c r="ACM31" s="20" t="n">
        <f aca="false">ACL31</f>
        <v>0</v>
      </c>
      <c r="ACN31" s="20" t="n">
        <f aca="false">ACM31</f>
        <v>0</v>
      </c>
      <c r="ACO31" s="20" t="n">
        <f aca="false">ACN31</f>
        <v>0</v>
      </c>
      <c r="ACP31" s="20" t="n">
        <f aca="false">ACO31</f>
        <v>0</v>
      </c>
      <c r="ACQ31" s="20" t="n">
        <f aca="false">ACP31</f>
        <v>0</v>
      </c>
      <c r="ACR31" s="20" t="n">
        <f aca="false">ACQ31</f>
        <v>0</v>
      </c>
      <c r="ACS31" s="20" t="n">
        <f aca="false">ACR31</f>
        <v>0</v>
      </c>
      <c r="ACT31" s="20" t="n">
        <f aca="false">ACS31</f>
        <v>0</v>
      </c>
      <c r="ACU31" s="20" t="n">
        <f aca="false">ACT31</f>
        <v>0</v>
      </c>
      <c r="ACV31" s="20" t="n">
        <f aca="false">ACU31</f>
        <v>0</v>
      </c>
      <c r="ACW31" s="20" t="n">
        <f aca="false">ACV31</f>
        <v>0</v>
      </c>
      <c r="ACX31" s="20" t="n">
        <f aca="false">ACW31</f>
        <v>0</v>
      </c>
      <c r="ACY31" s="20" t="n">
        <f aca="false">ACX31</f>
        <v>0</v>
      </c>
      <c r="ACZ31" s="20" t="n">
        <f aca="false">ACY31</f>
        <v>0</v>
      </c>
      <c r="ADA31" s="20" t="n">
        <f aca="false">ACZ31</f>
        <v>0</v>
      </c>
      <c r="ADB31" s="20" t="n">
        <f aca="false">ADA31</f>
        <v>0</v>
      </c>
      <c r="ADC31" s="20" t="n">
        <f aca="false">ADB31</f>
        <v>0</v>
      </c>
      <c r="ADD31" s="20" t="n">
        <f aca="false">ADC31</f>
        <v>0</v>
      </c>
      <c r="ADE31" s="20" t="n">
        <f aca="false">ADD31</f>
        <v>0</v>
      </c>
      <c r="ADF31" s="20" t="n">
        <f aca="false">ADE31</f>
        <v>0</v>
      </c>
      <c r="ADG31" s="20" t="n">
        <f aca="false">ADF31</f>
        <v>0</v>
      </c>
      <c r="ADH31" s="20" t="n">
        <f aca="false">ADG31</f>
        <v>0</v>
      </c>
      <c r="ADI31" s="20" t="n">
        <f aca="false">ADH31</f>
        <v>0</v>
      </c>
      <c r="ADJ31" s="20" t="n">
        <f aca="false">ADI31</f>
        <v>0</v>
      </c>
      <c r="ADK31" s="20" t="n">
        <f aca="false">ADJ31</f>
        <v>0</v>
      </c>
      <c r="ADL31" s="20" t="n">
        <f aca="false">ADK31</f>
        <v>0</v>
      </c>
      <c r="ADM31" s="20" t="n">
        <f aca="false">ADL31</f>
        <v>0</v>
      </c>
      <c r="ADN31" s="20" t="n">
        <f aca="false">ADM31</f>
        <v>0</v>
      </c>
      <c r="ADO31" s="20" t="n">
        <f aca="false">ADN31</f>
        <v>0</v>
      </c>
      <c r="ADP31" s="20" t="n">
        <f aca="false">ADO31</f>
        <v>0</v>
      </c>
      <c r="ADQ31" s="20" t="n">
        <f aca="false">ADP31</f>
        <v>0</v>
      </c>
      <c r="ADR31" s="20" t="n">
        <f aca="false">(AKR30-TE31+0)*(1+BQ31)</f>
        <v>0</v>
      </c>
      <c r="ADS31" s="20" t="n">
        <f aca="false">(AKS30-TF31+0)*(1+BQ31)</f>
        <v>0</v>
      </c>
      <c r="ADT31" s="20" t="n">
        <f aca="false">(AKT30-TG31+0)*(1+BQ31)</f>
        <v>0</v>
      </c>
      <c r="ADU31" s="20" t="n">
        <f aca="false">(AKU30-TH31+0)*(1+BQ31)</f>
        <v>0</v>
      </c>
      <c r="ADV31" s="20" t="n">
        <f aca="false">(AKV30-TI31+0)*(1+BQ31)</f>
        <v>0</v>
      </c>
      <c r="ADW31" s="20" t="n">
        <f aca="false">(AKW30-TJ31+0)*(1+BQ31)</f>
        <v>0</v>
      </c>
      <c r="ADX31" s="20" t="n">
        <f aca="false">(AKX30-TK31+0)*(1+BQ31)</f>
        <v>0</v>
      </c>
      <c r="ADY31" s="20" t="n">
        <f aca="false">(AKY30-TL31+0)*(1+BQ31)</f>
        <v>0</v>
      </c>
      <c r="ADZ31" s="20" t="n">
        <f aca="false">(AKZ30-TM31+0)*(1+BQ31)</f>
        <v>0</v>
      </c>
      <c r="AEA31" s="20" t="n">
        <f aca="false">(ALA30-TN31+0)*(1+BQ31)</f>
        <v>0</v>
      </c>
      <c r="AEB31" s="20" t="n">
        <f aca="false">(ALB30-TO31+0)*(1+BQ31)</f>
        <v>0</v>
      </c>
      <c r="AEC31" s="20" t="n">
        <f aca="false">(ALC30-TP31+0)*(1+BQ31)</f>
        <v>849.787746936319</v>
      </c>
      <c r="AED31" s="20" t="n">
        <f aca="false">(ALD30-TQ31+0)*(1+BQ31)</f>
        <v>1069.00594457355</v>
      </c>
      <c r="AEE31" s="20" t="n">
        <f aca="false">(ALE30-TR31+0)*(1+BQ31)</f>
        <v>1279.30133820847</v>
      </c>
      <c r="AEF31" s="20" t="n">
        <f aca="false">(ALF30-TS31+0)*(1+BQ31)</f>
        <v>1438.58111810602</v>
      </c>
      <c r="AEG31" s="20" t="n">
        <f aca="false">(ALG30-TT31+0)*(1+BQ31)</f>
        <v>1383.49519831341</v>
      </c>
      <c r="AEH31" s="20" t="n">
        <f aca="false">(ALH30-TU31+0)*(1+BQ31)</f>
        <v>1329.73228561575</v>
      </c>
      <c r="AEI31" s="20" t="n">
        <f aca="false">(ALI30-TV31+0)*(1+BQ31)</f>
        <v>1422.87855220975</v>
      </c>
      <c r="AEJ31" s="20" t="n">
        <f aca="false">(ALJ30-TW31+0)*(1+BQ31)</f>
        <v>4422.29323708225</v>
      </c>
      <c r="AEK31" s="20" t="n">
        <f aca="false">(ALK30-TX31+0)*(1+BQ31)</f>
        <v>4337.24913636913</v>
      </c>
      <c r="AEL31" s="20" t="n">
        <f aca="false">(ALL30-TY31+0)*(1+BQ31)</f>
        <v>4253.84049913127</v>
      </c>
      <c r="AEM31" s="20" t="n">
        <f aca="false">(ALM30-TZ31+0)*(1+BQ31)</f>
        <v>4172.03587414797</v>
      </c>
      <c r="AEN31" s="20" t="n">
        <f aca="false">(ALN30-UA31+0)*(1+BQ31)</f>
        <v>4091.80441502974</v>
      </c>
      <c r="AEO31" s="20" t="n">
        <f aca="false">(ALO30-UB31+0)*(1+BQ31)</f>
        <v>4013.11586858686</v>
      </c>
      <c r="AEP31" s="20" t="n">
        <f aca="false">((P31+S31)-UC31+BE31)*(1+BQ31)</f>
        <v>3935.94056342173</v>
      </c>
      <c r="AEQ31" s="20" t="n">
        <v>0</v>
      </c>
      <c r="AER31" s="20" t="n">
        <v>0</v>
      </c>
      <c r="AES31" s="20" t="n">
        <v>0</v>
      </c>
      <c r="AET31" s="20" t="n">
        <v>0</v>
      </c>
      <c r="AEU31" s="20" t="n">
        <v>0</v>
      </c>
      <c r="AEV31" s="20" t="n">
        <v>0</v>
      </c>
      <c r="AEW31" s="20" t="n">
        <v>0</v>
      </c>
      <c r="AEX31" s="20" t="n">
        <v>0</v>
      </c>
      <c r="AEY31" s="20" t="n">
        <v>0</v>
      </c>
      <c r="AEZ31" s="20" t="n">
        <v>0</v>
      </c>
      <c r="AFA31" s="20" t="n">
        <v>0</v>
      </c>
      <c r="AFB31" s="20" t="n">
        <v>0</v>
      </c>
      <c r="AFC31" s="20" t="n">
        <v>0</v>
      </c>
      <c r="AFD31" s="20" t="n">
        <v>0</v>
      </c>
      <c r="AFE31" s="20" t="n">
        <v>0</v>
      </c>
      <c r="AFF31" s="20" t="n">
        <v>0</v>
      </c>
      <c r="AFG31" s="20" t="n">
        <v>0</v>
      </c>
      <c r="AFH31" s="20" t="n">
        <v>0</v>
      </c>
      <c r="AFI31" s="20" t="n">
        <v>0</v>
      </c>
      <c r="AFJ31" s="20" t="n">
        <v>0</v>
      </c>
      <c r="AFK31" s="20" t="n">
        <v>0</v>
      </c>
      <c r="AFL31" s="20" t="n">
        <v>0</v>
      </c>
      <c r="AFM31" s="20" t="n">
        <v>0</v>
      </c>
      <c r="AFN31" s="20" t="n">
        <v>0</v>
      </c>
      <c r="AFO31" s="20" t="n">
        <v>0</v>
      </c>
      <c r="AFP31" s="20" t="n">
        <v>0</v>
      </c>
      <c r="AFQ31" s="20" t="n">
        <v>0</v>
      </c>
      <c r="AFR31" s="20" t="n">
        <v>0</v>
      </c>
      <c r="AFS31" s="20" t="n">
        <v>0</v>
      </c>
      <c r="AFT31" s="20" t="n">
        <v>0</v>
      </c>
      <c r="AFU31" s="20" t="n">
        <v>0</v>
      </c>
      <c r="AFV31" s="20" t="n">
        <v>0</v>
      </c>
      <c r="AFW31" s="20" t="n">
        <v>0</v>
      </c>
      <c r="AFX31" s="20" t="n">
        <v>0</v>
      </c>
      <c r="AFY31" s="20" t="n">
        <v>0</v>
      </c>
      <c r="AFZ31" s="20" t="n">
        <v>0</v>
      </c>
      <c r="AGA31" s="20" t="n">
        <v>0</v>
      </c>
      <c r="AGB31" s="20" t="n">
        <v>0</v>
      </c>
      <c r="AGC31" s="20" t="n">
        <v>0</v>
      </c>
      <c r="AGD31" s="20" t="n">
        <v>0</v>
      </c>
      <c r="AGE31" s="20" t="n">
        <v>0</v>
      </c>
      <c r="AGF31" s="20" t="n">
        <v>0</v>
      </c>
      <c r="AGG31" s="20" t="n">
        <v>0</v>
      </c>
      <c r="AGH31" s="20" t="n">
        <v>0</v>
      </c>
      <c r="AGI31" s="20" t="n">
        <v>0</v>
      </c>
      <c r="AGJ31" s="20" t="n">
        <v>0</v>
      </c>
      <c r="AGK31" s="20" t="n">
        <v>0</v>
      </c>
      <c r="AGL31" s="20" t="n">
        <v>0</v>
      </c>
      <c r="AGM31" s="20" t="n">
        <v>0</v>
      </c>
      <c r="AGN31" s="20" t="n">
        <v>0</v>
      </c>
      <c r="AGO31" s="20" t="n">
        <v>0</v>
      </c>
      <c r="AGP31" s="20" t="n">
        <v>0</v>
      </c>
      <c r="AGQ31" s="20" t="n">
        <v>0</v>
      </c>
      <c r="AGR31" s="20" t="n">
        <v>0</v>
      </c>
      <c r="AGS31" s="20" t="n">
        <v>0</v>
      </c>
      <c r="AGT31" s="20" t="n">
        <v>0</v>
      </c>
      <c r="AGU31" s="20" t="n">
        <v>0</v>
      </c>
      <c r="AGV31" s="20" t="n">
        <v>0</v>
      </c>
      <c r="AGW31" s="20" t="n">
        <v>0</v>
      </c>
      <c r="AGX31" s="20" t="n">
        <v>0</v>
      </c>
      <c r="AGY31" s="20" t="n">
        <v>0</v>
      </c>
      <c r="AGZ31" s="20" t="n">
        <v>0</v>
      </c>
      <c r="AHA31" s="20" t="n">
        <v>0</v>
      </c>
      <c r="AHB31" s="20" t="n">
        <v>0</v>
      </c>
      <c r="AHC31" s="20" t="n">
        <v>0</v>
      </c>
      <c r="AHD31" s="20" t="n">
        <v>0</v>
      </c>
      <c r="AHE31" s="20" t="n">
        <f aca="false">IF(AKR30&gt;0,AOE30-AOE30*TE31/AKR30,0)+0</f>
        <v>0</v>
      </c>
      <c r="AHF31" s="20" t="n">
        <f aca="false">IF(AKS30&gt;0,AOF30-AOF30*TF31/AKS30,0)+0</f>
        <v>0</v>
      </c>
      <c r="AHG31" s="20" t="n">
        <f aca="false">IF(AKT30&gt;0,AOG30-AOG30*TG31/AKT30,0)+0</f>
        <v>0</v>
      </c>
      <c r="AHH31" s="20" t="n">
        <f aca="false">IF(AKU30&gt;0,AOH30-AOH30*TH31/AKU30,0)+0</f>
        <v>0</v>
      </c>
      <c r="AHI31" s="20" t="n">
        <f aca="false">IF(AKV30&gt;0,AOI30-AOI30*TI31/AKV30,0)+0</f>
        <v>0</v>
      </c>
      <c r="AHJ31" s="20" t="n">
        <f aca="false">IF(AKW30&gt;0,AOJ30-AOJ30*TJ31/AKW30,0)+0</f>
        <v>0</v>
      </c>
      <c r="AHK31" s="20" t="n">
        <f aca="false">IF(AKX30&gt;0,AOK30-AOK30*TK31/AKX30,0)+0</f>
        <v>0</v>
      </c>
      <c r="AHL31" s="20" t="n">
        <f aca="false">IF(AKY30&gt;0,AOL30-AOL30*TL31/AKY30,0)+0</f>
        <v>0</v>
      </c>
      <c r="AHM31" s="20" t="n">
        <f aca="false">IF(AKZ30&gt;0,AOM30-AOM30*TM31/AKZ30,0)+0</f>
        <v>0</v>
      </c>
      <c r="AHN31" s="20" t="n">
        <f aca="false">IF(ALA30&gt;0,AON30-AON30*TN31/ALA30,0)+0</f>
        <v>0</v>
      </c>
      <c r="AHO31" s="20" t="n">
        <f aca="false">IF(ALB30&gt;0,AOO30-AOO30*TO31/ALB30,0)+0</f>
        <v>0</v>
      </c>
      <c r="AHP31" s="20" t="n">
        <f aca="false">IF(ALC30&gt;0,AOP30-AOP30*TP31/ALC30,0)+0</f>
        <v>671.599600191266</v>
      </c>
      <c r="AHQ31" s="20" t="n">
        <f aca="false">IF(ALD30&gt;0,AOQ30-AOQ30*TQ31/ALD30,0)+0</f>
        <v>878.644963131885</v>
      </c>
      <c r="AHR31" s="20" t="n">
        <f aca="false">IF(ALE30&gt;0,AOR30-AOR30*TR31/ALE30,0)+0</f>
        <v>1093.55214549053</v>
      </c>
      <c r="AHS31" s="20" t="n">
        <f aca="false">IF(ALF30&gt;0,AOS30-AOS30*TS31/ALF30,0)+0</f>
        <v>1278.89337564899</v>
      </c>
      <c r="AHT31" s="20" t="n">
        <f aca="false">IF(ALG30&gt;0,AOT30-AOT30*TT31/ALG30,0)+0</f>
        <v>1279.11908128089</v>
      </c>
      <c r="AHU31" s="20" t="n">
        <f aca="false">IF(ALH30&gt;0,AOU30-AOU30*TU31/ALH30,0)+0</f>
        <v>1278.58873616899</v>
      </c>
      <c r="AHV31" s="20" t="n">
        <f aca="false">IF(ALI30&gt;0,AOV30-AOV30*TV31/ALI30,0)+0</f>
        <v>1039.68342100707</v>
      </c>
      <c r="AHW31" s="20" t="n">
        <f aca="false">IF(ALJ30&gt;0,AOW30-AOW30*TW31/ALJ30,0)+0</f>
        <v>3360.57940606182</v>
      </c>
      <c r="AHX31" s="20" t="n">
        <f aca="false">IF(ALK30&gt;0,AOX30-AOX30*TX31/ALK30,0)+0</f>
        <v>3427.79099418306</v>
      </c>
      <c r="AHY31" s="20" t="n">
        <f aca="false">IF(ALL30&gt;0,AOY30-AOY30*TY31/ALL30,0)+0</f>
        <v>3496.34681406672</v>
      </c>
      <c r="AHZ31" s="20" t="n">
        <f aca="false">IF(ALM30&gt;0,AOZ30-AOZ30*TZ31/ALM30,0)+0</f>
        <v>3566.27375034805</v>
      </c>
      <c r="AIA31" s="20" t="n">
        <f aca="false">IF(ALN30&gt;0,APA30-APA30*UA31/ALN30,0)+0</f>
        <v>3637.59922535501</v>
      </c>
      <c r="AIB31" s="20" t="n">
        <f aca="false">IF(ALO30&gt;0,APB30-APB30*UB31/ALO30,0)+0</f>
        <v>3710.35120986211</v>
      </c>
      <c r="AIC31" s="20" t="n">
        <f aca="false">IF((P31+S31)&gt;0,(P31+S31)-(P31+S31)*UC31/(P31+S31),0)+BE31</f>
        <v>3784.55823405936</v>
      </c>
      <c r="AID31" s="20" t="n">
        <v>0</v>
      </c>
      <c r="AIE31" s="20" t="n">
        <v>0</v>
      </c>
      <c r="AIF31" s="20" t="n">
        <v>0</v>
      </c>
      <c r="AIG31" s="20" t="n">
        <v>0</v>
      </c>
      <c r="AIH31" s="20" t="n">
        <v>0</v>
      </c>
      <c r="AII31" s="20" t="n">
        <v>0</v>
      </c>
      <c r="AIJ31" s="20" t="n">
        <v>0</v>
      </c>
      <c r="AIK31" s="20" t="n">
        <v>0</v>
      </c>
      <c r="AIL31" s="20" t="n">
        <v>0</v>
      </c>
      <c r="AIM31" s="20" t="n">
        <v>0</v>
      </c>
      <c r="AIN31" s="20" t="n">
        <v>0</v>
      </c>
      <c r="AIO31" s="20" t="n">
        <v>0</v>
      </c>
      <c r="AIP31" s="20" t="n">
        <v>0</v>
      </c>
      <c r="AIQ31" s="20" t="n">
        <v>0</v>
      </c>
      <c r="AIR31" s="20" t="n">
        <v>0</v>
      </c>
      <c r="AIS31" s="20" t="n">
        <v>0</v>
      </c>
      <c r="AIT31" s="20" t="n">
        <v>0</v>
      </c>
      <c r="AIU31" s="20" t="n">
        <v>0</v>
      </c>
      <c r="AIV31" s="20" t="n">
        <v>0</v>
      </c>
      <c r="AIW31" s="20" t="n">
        <v>0</v>
      </c>
      <c r="AIX31" s="20" t="n">
        <v>0</v>
      </c>
      <c r="AIY31" s="20" t="n">
        <v>0</v>
      </c>
      <c r="AIZ31" s="20" t="n">
        <v>0</v>
      </c>
      <c r="AJA31" s="20" t="n">
        <v>0</v>
      </c>
      <c r="AJB31" s="20" t="n">
        <v>0</v>
      </c>
      <c r="AJC31" s="20" t="n">
        <v>0</v>
      </c>
      <c r="AJD31" s="20" t="n">
        <v>0</v>
      </c>
      <c r="AJE31" s="20" t="n">
        <v>0</v>
      </c>
      <c r="AJF31" s="20" t="n">
        <v>0</v>
      </c>
      <c r="AJG31" s="20" t="n">
        <v>0</v>
      </c>
      <c r="AJH31" s="20" t="n">
        <v>0</v>
      </c>
      <c r="AJI31" s="20" t="n">
        <v>0</v>
      </c>
      <c r="AJJ31" s="20" t="n">
        <v>0</v>
      </c>
      <c r="AJK31" s="20" t="n">
        <v>0</v>
      </c>
      <c r="AJL31" s="20" t="n">
        <v>0</v>
      </c>
      <c r="AJM31" s="20" t="n">
        <v>0</v>
      </c>
      <c r="AJN31" s="20" t="n">
        <v>0</v>
      </c>
      <c r="AJO31" s="20" t="n">
        <v>0</v>
      </c>
      <c r="AJP31" s="20" t="n">
        <v>0</v>
      </c>
      <c r="AJQ31" s="20" t="n">
        <v>0</v>
      </c>
      <c r="AJR31" s="20" t="n">
        <v>0</v>
      </c>
      <c r="AJS31" s="20" t="n">
        <v>0</v>
      </c>
      <c r="AJT31" s="20" t="n">
        <v>0</v>
      </c>
      <c r="AJU31" s="20" t="n">
        <v>0</v>
      </c>
      <c r="AJV31" s="20" t="n">
        <v>0</v>
      </c>
      <c r="AJW31" s="20" t="n">
        <v>0</v>
      </c>
      <c r="AJX31" s="20" t="n">
        <v>0</v>
      </c>
      <c r="AJY31" s="20" t="n">
        <v>0</v>
      </c>
      <c r="AJZ31" s="20" t="n">
        <v>0</v>
      </c>
      <c r="AKA31" s="20" t="n">
        <v>0</v>
      </c>
      <c r="AKB31" s="20" t="n">
        <v>0</v>
      </c>
      <c r="AKC31" s="20" t="n">
        <v>0</v>
      </c>
      <c r="AKD31" s="20" t="n">
        <v>0</v>
      </c>
      <c r="AKE31" s="20" t="n">
        <v>0</v>
      </c>
      <c r="AKF31" s="20" t="n">
        <v>0</v>
      </c>
      <c r="AKG31" s="20" t="n">
        <v>0</v>
      </c>
      <c r="AKH31" s="20" t="n">
        <v>0</v>
      </c>
      <c r="AKI31" s="20" t="n">
        <v>0</v>
      </c>
      <c r="AKJ31" s="20" t="n">
        <v>0</v>
      </c>
      <c r="AKK31" s="20" t="n">
        <v>0</v>
      </c>
      <c r="AKL31" s="20" t="n">
        <v>0</v>
      </c>
      <c r="AKM31" s="20" t="n">
        <v>0</v>
      </c>
      <c r="AKN31" s="20" t="n">
        <v>0</v>
      </c>
      <c r="AKO31" s="20" t="n">
        <v>0</v>
      </c>
      <c r="AKP31" s="20" t="n">
        <v>0</v>
      </c>
      <c r="AKQ31" s="20" t="n">
        <v>0</v>
      </c>
      <c r="AKR31" s="20" t="n">
        <f aca="false">ADR31-AVE31</f>
        <v>0</v>
      </c>
      <c r="AKS31" s="20" t="n">
        <f aca="false">ADS31-AVF31</f>
        <v>0</v>
      </c>
      <c r="AKT31" s="20" t="n">
        <f aca="false">ADT31-AVG31</f>
        <v>0</v>
      </c>
      <c r="AKU31" s="20" t="n">
        <f aca="false">ADU31-AVH31</f>
        <v>0</v>
      </c>
      <c r="AKV31" s="20" t="n">
        <f aca="false">ADV31-AVI31</f>
        <v>0</v>
      </c>
      <c r="AKW31" s="20" t="n">
        <f aca="false">ADW31-AVJ31</f>
        <v>0</v>
      </c>
      <c r="AKX31" s="20" t="n">
        <f aca="false">ADX31-AVK31</f>
        <v>0</v>
      </c>
      <c r="AKY31" s="20" t="n">
        <f aca="false">ADY31-AVL31</f>
        <v>0</v>
      </c>
      <c r="AKZ31" s="20" t="n">
        <f aca="false">ADZ31-AVM31</f>
        <v>0</v>
      </c>
      <c r="ALA31" s="20" t="n">
        <f aca="false">AEA31-AVN31</f>
        <v>0</v>
      </c>
      <c r="ALB31" s="20" t="n">
        <f aca="false">AEB31-AVO31</f>
        <v>0</v>
      </c>
      <c r="ALC31" s="20" t="n">
        <f aca="false">AEC31-AVP31</f>
        <v>849.787746936319</v>
      </c>
      <c r="ALD31" s="20" t="n">
        <f aca="false">AED31-AVQ31</f>
        <v>1069.00594457355</v>
      </c>
      <c r="ALE31" s="20" t="n">
        <f aca="false">AEE31-AVR31</f>
        <v>1279.30133820847</v>
      </c>
      <c r="ALF31" s="20" t="n">
        <f aca="false">AEF31-AVS31</f>
        <v>1438.58111810602</v>
      </c>
      <c r="ALG31" s="20" t="n">
        <f aca="false">AEG31-AVT31</f>
        <v>1383.49519831341</v>
      </c>
      <c r="ALH31" s="20" t="n">
        <f aca="false">AEH31-AVU31</f>
        <v>1329.73228561575</v>
      </c>
      <c r="ALI31" s="20" t="n">
        <f aca="false">AEI31-AVV31</f>
        <v>1277.26440235273</v>
      </c>
      <c r="ALJ31" s="20" t="n">
        <f aca="false">AEJ31-AVW31</f>
        <v>4422.29323708225</v>
      </c>
      <c r="ALK31" s="20" t="n">
        <f aca="false">AEK31-AVX31</f>
        <v>4337.24913636913</v>
      </c>
      <c r="ALL31" s="20" t="n">
        <f aca="false">AEL31-AVY31</f>
        <v>4253.84049913127</v>
      </c>
      <c r="ALM31" s="20" t="n">
        <f aca="false">AEM31-AVZ31</f>
        <v>4172.03587414797</v>
      </c>
      <c r="ALN31" s="20" t="n">
        <f aca="false">AEN31-AWA31</f>
        <v>4091.80441502974</v>
      </c>
      <c r="ALO31" s="20" t="n">
        <f aca="false">AEO31-AWB31</f>
        <v>4013.11586858686</v>
      </c>
      <c r="ALP31" s="20" t="n">
        <f aca="false">AEP31-AWC31</f>
        <v>3935.94056342173</v>
      </c>
      <c r="ALQ31" s="20" t="n">
        <v>0</v>
      </c>
      <c r="ALR31" s="20" t="n">
        <v>0</v>
      </c>
      <c r="ALS31" s="20" t="n">
        <v>0</v>
      </c>
      <c r="ALT31" s="20" t="n">
        <v>0</v>
      </c>
      <c r="ALU31" s="20" t="n">
        <v>0</v>
      </c>
      <c r="ALV31" s="20" t="n">
        <v>0</v>
      </c>
      <c r="ALW31" s="20" t="n">
        <v>0</v>
      </c>
      <c r="ALX31" s="20" t="n">
        <v>0</v>
      </c>
      <c r="ALY31" s="20" t="n">
        <v>0</v>
      </c>
      <c r="ALZ31" s="20" t="n">
        <v>0</v>
      </c>
      <c r="AMA31" s="20" t="n">
        <v>0</v>
      </c>
      <c r="AMB31" s="20" t="n">
        <v>0</v>
      </c>
      <c r="AMC31" s="20" t="n">
        <v>0</v>
      </c>
      <c r="AMD31" s="20" t="n">
        <v>0</v>
      </c>
      <c r="AME31" s="20" t="n">
        <v>0</v>
      </c>
      <c r="AMF31" s="20" t="n">
        <v>0</v>
      </c>
      <c r="AMG31" s="20" t="n">
        <v>0</v>
      </c>
      <c r="AMH31" s="20" t="n">
        <v>0</v>
      </c>
      <c r="AMI31" s="20" t="n">
        <v>0</v>
      </c>
      <c r="AMJ31" s="20" t="n">
        <v>0</v>
      </c>
      <c r="AMK31" s="20" t="n">
        <v>0</v>
      </c>
      <c r="AML31" s="20" t="n">
        <v>0</v>
      </c>
      <c r="AMM31" s="20" t="n">
        <v>0</v>
      </c>
      <c r="AMN31" s="20" t="n">
        <v>0</v>
      </c>
      <c r="AMO31" s="20" t="n">
        <v>0</v>
      </c>
      <c r="AMP31" s="20" t="n">
        <v>0</v>
      </c>
      <c r="AMQ31" s="20" t="n">
        <v>0</v>
      </c>
      <c r="AMR31" s="20" t="n">
        <v>0</v>
      </c>
      <c r="AMS31" s="20" t="n">
        <v>0</v>
      </c>
      <c r="AMT31" s="20" t="n">
        <v>0</v>
      </c>
      <c r="AMU31" s="20" t="n">
        <v>0</v>
      </c>
      <c r="AMV31" s="20" t="n">
        <v>0</v>
      </c>
      <c r="AMW31" s="20" t="n">
        <v>0</v>
      </c>
      <c r="AMX31" s="20" t="n">
        <v>0</v>
      </c>
      <c r="AMY31" s="20" t="n">
        <v>0</v>
      </c>
      <c r="AMZ31" s="20" t="n">
        <v>0</v>
      </c>
      <c r="ANA31" s="20" t="n">
        <v>0</v>
      </c>
      <c r="ANB31" s="20" t="n">
        <v>0</v>
      </c>
      <c r="ANC31" s="20" t="n">
        <v>0</v>
      </c>
      <c r="AND31" s="20" t="n">
        <v>0</v>
      </c>
      <c r="ANE31" s="20" t="n">
        <v>0</v>
      </c>
      <c r="ANF31" s="20" t="n">
        <v>0</v>
      </c>
      <c r="ANG31" s="20" t="n">
        <v>0</v>
      </c>
      <c r="ANH31" s="20" t="n">
        <v>0</v>
      </c>
      <c r="ANI31" s="20" t="n">
        <v>0</v>
      </c>
      <c r="ANJ31" s="20" t="n">
        <v>0</v>
      </c>
      <c r="ANK31" s="20" t="n">
        <v>0</v>
      </c>
      <c r="ANL31" s="20" t="n">
        <v>0</v>
      </c>
      <c r="ANM31" s="20" t="n">
        <v>0</v>
      </c>
      <c r="ANN31" s="20" t="n">
        <v>0</v>
      </c>
      <c r="ANO31" s="20" t="n">
        <v>0</v>
      </c>
      <c r="ANP31" s="20" t="n">
        <v>0</v>
      </c>
      <c r="ANQ31" s="20" t="n">
        <v>0</v>
      </c>
      <c r="ANR31" s="20" t="n">
        <v>0</v>
      </c>
      <c r="ANS31" s="20" t="n">
        <v>0</v>
      </c>
      <c r="ANT31" s="20" t="n">
        <v>0</v>
      </c>
      <c r="ANU31" s="20" t="n">
        <v>0</v>
      </c>
      <c r="ANV31" s="20" t="n">
        <v>0</v>
      </c>
      <c r="ANW31" s="20" t="n">
        <v>0</v>
      </c>
      <c r="ANX31" s="20" t="n">
        <v>0</v>
      </c>
      <c r="ANY31" s="20" t="n">
        <v>0</v>
      </c>
      <c r="ANZ31" s="20" t="n">
        <v>0</v>
      </c>
      <c r="AOA31" s="20" t="n">
        <v>0</v>
      </c>
      <c r="AOB31" s="20" t="n">
        <v>0</v>
      </c>
      <c r="AOC31" s="20" t="n">
        <v>0</v>
      </c>
      <c r="AOD31" s="20" t="n">
        <v>0</v>
      </c>
      <c r="AOE31" s="20" t="n">
        <f aca="false">IF(AND(H_Direct=0,H_TaxEvt=1,ARR30+1&gt;=H_Deemed),AKR31,AHE31)</f>
        <v>0</v>
      </c>
      <c r="AOF31" s="20" t="n">
        <f aca="false">IF(AND(H_Direct=0,H_TaxEvt=1,ARS30+1&gt;=H_Deemed),AKS31,AHF31)</f>
        <v>0</v>
      </c>
      <c r="AOG31" s="20" t="n">
        <f aca="false">IF(AND(H_Direct=0,H_TaxEvt=1,ART30+1&gt;=H_Deemed),AKT31,AHG31)</f>
        <v>0</v>
      </c>
      <c r="AOH31" s="20" t="n">
        <f aca="false">IF(AND(H_Direct=0,H_TaxEvt=1,ARU30+1&gt;=H_Deemed),AKU31,AHH31)</f>
        <v>0</v>
      </c>
      <c r="AOI31" s="20" t="n">
        <f aca="false">IF(AND(H_Direct=0,H_TaxEvt=1,ARV30+1&gt;=H_Deemed),AKV31,AHI31)</f>
        <v>0</v>
      </c>
      <c r="AOJ31" s="20" t="n">
        <f aca="false">IF(AND(H_Direct=0,H_TaxEvt=1,ARW30+1&gt;=H_Deemed),AKW31,AHJ31)</f>
        <v>0</v>
      </c>
      <c r="AOK31" s="20" t="n">
        <f aca="false">IF(AND(H_Direct=0,H_TaxEvt=1,ARX30+1&gt;=H_Deemed),AKX31,AHK31)</f>
        <v>0</v>
      </c>
      <c r="AOL31" s="20" t="n">
        <f aca="false">IF(AND(H_Direct=0,H_TaxEvt=1,ARY30+1&gt;=H_Deemed),AKY31,AHL31)</f>
        <v>0</v>
      </c>
      <c r="AOM31" s="20" t="n">
        <f aca="false">IF(AND(H_Direct=0,H_TaxEvt=1,ARZ30+1&gt;=H_Deemed),AKZ31,AHM31)</f>
        <v>0</v>
      </c>
      <c r="AON31" s="20" t="n">
        <f aca="false">IF(AND(H_Direct=0,H_TaxEvt=1,ASA30+1&gt;=H_Deemed),ALA31,AHN31)</f>
        <v>0</v>
      </c>
      <c r="AOO31" s="20" t="n">
        <f aca="false">IF(AND(H_Direct=0,H_TaxEvt=1,ASB30+1&gt;=H_Deemed),ALB31,AHO31)</f>
        <v>0</v>
      </c>
      <c r="AOP31" s="20" t="n">
        <f aca="false">IF(AND(H_Direct=0,H_TaxEvt=1,ASC30+1&gt;=H_Deemed),ALC31,AHP31)</f>
        <v>671.599600191266</v>
      </c>
      <c r="AOQ31" s="20" t="n">
        <f aca="false">IF(AND(H_Direct=0,H_TaxEvt=1,ASD30+1&gt;=H_Deemed),ALD31,AHQ31)</f>
        <v>878.644963131885</v>
      </c>
      <c r="AOR31" s="20" t="n">
        <f aca="false">IF(AND(H_Direct=0,H_TaxEvt=1,ASE30+1&gt;=H_Deemed),ALE31,AHR31)</f>
        <v>1093.55214549053</v>
      </c>
      <c r="AOS31" s="20" t="n">
        <f aca="false">IF(AND(H_Direct=0,H_TaxEvt=1,ASF30+1&gt;=H_Deemed),ALF31,AHS31)</f>
        <v>1278.89337564899</v>
      </c>
      <c r="AOT31" s="20" t="n">
        <f aca="false">IF(AND(H_Direct=0,H_TaxEvt=1,ASG30+1&gt;=H_Deemed),ALG31,AHT31)</f>
        <v>1279.11908128089</v>
      </c>
      <c r="AOU31" s="20" t="n">
        <f aca="false">IF(AND(H_Direct=0,H_TaxEvt=1,ASH30+1&gt;=H_Deemed),ALH31,AHU31)</f>
        <v>1278.58873616899</v>
      </c>
      <c r="AOV31" s="20" t="n">
        <f aca="false">IF(AND(H_Direct=0,H_TaxEvt=1,ASI30+1&gt;=H_Deemed),ALI31,AHV31)</f>
        <v>1277.26440235273</v>
      </c>
      <c r="AOW31" s="20" t="n">
        <f aca="false">IF(AND(H_Direct=0,H_TaxEvt=1,ASJ30+1&gt;=H_Deemed),ALJ31,AHW31)</f>
        <v>3360.57940606182</v>
      </c>
      <c r="AOX31" s="20" t="n">
        <f aca="false">IF(AND(H_Direct=0,H_TaxEvt=1,ASK30+1&gt;=H_Deemed),ALK31,AHX31)</f>
        <v>3427.79099418306</v>
      </c>
      <c r="AOY31" s="20" t="n">
        <f aca="false">IF(AND(H_Direct=0,H_TaxEvt=1,ASL30+1&gt;=H_Deemed),ALL31,AHY31)</f>
        <v>3496.34681406672</v>
      </c>
      <c r="AOZ31" s="20" t="n">
        <f aca="false">IF(AND(H_Direct=0,H_TaxEvt=1,ASM30+1&gt;=H_Deemed),ALM31,AHZ31)</f>
        <v>3566.27375034805</v>
      </c>
      <c r="APA31" s="20" t="n">
        <f aca="false">IF(AND(H_Direct=0,H_TaxEvt=1,ASN30+1&gt;=H_Deemed),ALN31,AIA31)</f>
        <v>3637.59922535501</v>
      </c>
      <c r="APB31" s="20" t="n">
        <f aca="false">IF(AND(H_Direct=0,H_TaxEvt=1,ASO30+1&gt;=H_Deemed),ALO31,AIB31)</f>
        <v>3710.35120986211</v>
      </c>
      <c r="APC31" s="20" t="n">
        <f aca="false">IF(AND(H_Direct=0,H_TaxEvt=1,0+1&gt;=H_Deemed),ALP31,AIC31)</f>
        <v>3784.55823405936</v>
      </c>
      <c r="APD31" s="20" t="n">
        <v>0</v>
      </c>
      <c r="APE31" s="20" t="n">
        <v>0</v>
      </c>
      <c r="APF31" s="20" t="n">
        <v>0</v>
      </c>
      <c r="APG31" s="20" t="n">
        <v>0</v>
      </c>
      <c r="APH31" s="20" t="n">
        <v>0</v>
      </c>
      <c r="API31" s="20" t="n">
        <v>0</v>
      </c>
      <c r="APJ31" s="20" t="n">
        <v>0</v>
      </c>
      <c r="APK31" s="20" t="n">
        <v>0</v>
      </c>
      <c r="APL31" s="20" t="n">
        <v>0</v>
      </c>
      <c r="APM31" s="20" t="n">
        <v>0</v>
      </c>
      <c r="APN31" s="20" t="n">
        <v>0</v>
      </c>
      <c r="APO31" s="20" t="n">
        <v>0</v>
      </c>
      <c r="APP31" s="20" t="n">
        <v>0</v>
      </c>
      <c r="APQ31" s="20" t="n">
        <v>0</v>
      </c>
      <c r="APR31" s="20" t="n">
        <v>0</v>
      </c>
      <c r="APS31" s="20" t="n">
        <v>0</v>
      </c>
      <c r="APT31" s="20" t="n">
        <v>0</v>
      </c>
      <c r="APU31" s="20" t="n">
        <v>0</v>
      </c>
      <c r="APV31" s="20" t="n">
        <v>0</v>
      </c>
      <c r="APW31" s="20" t="n">
        <v>0</v>
      </c>
      <c r="APX31" s="20" t="n">
        <v>0</v>
      </c>
      <c r="APY31" s="20" t="n">
        <v>0</v>
      </c>
      <c r="APZ31" s="20" t="n">
        <v>0</v>
      </c>
      <c r="AQA31" s="20" t="n">
        <v>0</v>
      </c>
      <c r="AQB31" s="20" t="n">
        <v>0</v>
      </c>
      <c r="AQC31" s="20" t="n">
        <v>0</v>
      </c>
      <c r="AQD31" s="20" t="n">
        <v>0</v>
      </c>
      <c r="AQE31" s="20" t="n">
        <v>0</v>
      </c>
      <c r="AQF31" s="20" t="n">
        <v>0</v>
      </c>
      <c r="AQG31" s="20" t="n">
        <v>0</v>
      </c>
      <c r="AQH31" s="20" t="n">
        <v>0</v>
      </c>
      <c r="AQI31" s="20" t="n">
        <v>0</v>
      </c>
      <c r="AQJ31" s="20" t="n">
        <v>0</v>
      </c>
      <c r="AQK31" s="20" t="n">
        <v>0</v>
      </c>
      <c r="AQL31" s="20" t="n">
        <v>0</v>
      </c>
      <c r="AQM31" s="20" t="n">
        <v>0</v>
      </c>
      <c r="AQN31" s="20" t="n">
        <v>0</v>
      </c>
      <c r="AQO31" s="20" t="n">
        <v>0</v>
      </c>
      <c r="AQP31" s="20" t="n">
        <v>0</v>
      </c>
      <c r="AQQ31" s="20" t="n">
        <v>0</v>
      </c>
      <c r="AQR31" s="20" t="n">
        <v>0</v>
      </c>
      <c r="AQS31" s="20" t="n">
        <v>0</v>
      </c>
      <c r="AQT31" s="20" t="n">
        <v>0</v>
      </c>
      <c r="AQU31" s="20" t="n">
        <v>0</v>
      </c>
      <c r="AQV31" s="20" t="n">
        <v>0</v>
      </c>
      <c r="AQW31" s="20" t="n">
        <v>0</v>
      </c>
      <c r="AQX31" s="20" t="n">
        <v>0</v>
      </c>
      <c r="AQY31" s="20" t="n">
        <v>0</v>
      </c>
      <c r="AQZ31" s="20" t="n">
        <v>0</v>
      </c>
      <c r="ARA31" s="20" t="n">
        <v>0</v>
      </c>
      <c r="ARB31" s="20" t="n">
        <v>0</v>
      </c>
      <c r="ARC31" s="20" t="n">
        <v>0</v>
      </c>
      <c r="ARD31" s="20" t="n">
        <v>0</v>
      </c>
      <c r="ARE31" s="20" t="n">
        <v>0</v>
      </c>
      <c r="ARF31" s="20" t="n">
        <v>0</v>
      </c>
      <c r="ARG31" s="20" t="n">
        <v>0</v>
      </c>
      <c r="ARH31" s="20" t="n">
        <v>0</v>
      </c>
      <c r="ARI31" s="20" t="n">
        <v>0</v>
      </c>
      <c r="ARJ31" s="20" t="n">
        <v>0</v>
      </c>
      <c r="ARK31" s="20" t="n">
        <v>0</v>
      </c>
      <c r="ARL31" s="20" t="n">
        <v>0</v>
      </c>
      <c r="ARM31" s="20" t="n">
        <v>0</v>
      </c>
      <c r="ARN31" s="20" t="n">
        <v>0</v>
      </c>
      <c r="ARO31" s="20" t="n">
        <v>0</v>
      </c>
      <c r="ARP31" s="20" t="n">
        <v>0</v>
      </c>
      <c r="ARQ31" s="20" t="n">
        <v>0</v>
      </c>
      <c r="ARR31" s="20" t="n">
        <f aca="false">IF(AND(H_Direct=0,H_TaxEvt=1),IF(ARR30+1&gt;=H_Deemed,0,ARR30+1),ARR30)</f>
        <v>0</v>
      </c>
      <c r="ARS31" s="20" t="n">
        <f aca="false">IF(AND(H_Direct=0,H_TaxEvt=1),IF(ARS30+1&gt;=H_Deemed,0,ARS30+1),ARS30)</f>
        <v>0</v>
      </c>
      <c r="ART31" s="20" t="n">
        <f aca="false">IF(AND(H_Direct=0,H_TaxEvt=1),IF(ART30+1&gt;=H_Deemed,0,ART30+1),ART30)</f>
        <v>7</v>
      </c>
      <c r="ARU31" s="20" t="n">
        <f aca="false">IF(AND(H_Direct=0,H_TaxEvt=1),IF(ARU30+1&gt;=H_Deemed,0,ARU30+1),ARU30)</f>
        <v>6</v>
      </c>
      <c r="ARV31" s="20" t="n">
        <f aca="false">IF(AND(H_Direct=0,H_TaxEvt=1),IF(ARV30+1&gt;=H_Deemed,0,ARV30+1),ARV30)</f>
        <v>5</v>
      </c>
      <c r="ARW31" s="20" t="n">
        <f aca="false">IF(AND(H_Direct=0,H_TaxEvt=1),IF(ARW30+1&gt;=H_Deemed,0,ARW30+1),ARW30)</f>
        <v>4</v>
      </c>
      <c r="ARX31" s="20" t="n">
        <f aca="false">IF(AND(H_Direct=0,H_TaxEvt=1),IF(ARX30+1&gt;=H_Deemed,0,ARX30+1),ARX30)</f>
        <v>3</v>
      </c>
      <c r="ARY31" s="20" t="n">
        <f aca="false">IF(AND(H_Direct=0,H_TaxEvt=1),IF(ARY30+1&gt;=H_Deemed,0,ARY30+1),ARY30)</f>
        <v>2</v>
      </c>
      <c r="ARZ31" s="20" t="n">
        <f aca="false">IF(AND(H_Direct=0,H_TaxEvt=1),IF(ARZ30+1&gt;=H_Deemed,0,ARZ30+1),ARZ30)</f>
        <v>1</v>
      </c>
      <c r="ASA31" s="20" t="n">
        <f aca="false">IF(AND(H_Direct=0,H_TaxEvt=1),IF(ASA30+1&gt;=H_Deemed,0,ASA30+1),ASA30)</f>
        <v>0</v>
      </c>
      <c r="ASB31" s="20" t="n">
        <f aca="false">IF(AND(H_Direct=0,H_TaxEvt=1),IF(ASB30+1&gt;=H_Deemed,0,ASB30+1),ASB30)</f>
        <v>7</v>
      </c>
      <c r="ASC31" s="20" t="n">
        <f aca="false">IF(AND(H_Direct=0,H_TaxEvt=1),IF(ASC30+1&gt;=H_Deemed,0,ASC30+1),ASC30)</f>
        <v>6</v>
      </c>
      <c r="ASD31" s="20" t="n">
        <f aca="false">IF(AND(H_Direct=0,H_TaxEvt=1),IF(ASD30+1&gt;=H_Deemed,0,ASD30+1),ASD30)</f>
        <v>5</v>
      </c>
      <c r="ASE31" s="20" t="n">
        <f aca="false">IF(AND(H_Direct=0,H_TaxEvt=1),IF(ASE30+1&gt;=H_Deemed,0,ASE30+1),ASE30)</f>
        <v>4</v>
      </c>
      <c r="ASF31" s="20" t="n">
        <f aca="false">IF(AND(H_Direct=0,H_TaxEvt=1),IF(ASF30+1&gt;=H_Deemed,0,ASF30+1),ASF30)</f>
        <v>3</v>
      </c>
      <c r="ASG31" s="20" t="n">
        <f aca="false">IF(AND(H_Direct=0,H_TaxEvt=1),IF(ASG30+1&gt;=H_Deemed,0,ASG30+1),ASG30)</f>
        <v>2</v>
      </c>
      <c r="ASH31" s="20" t="n">
        <f aca="false">IF(AND(H_Direct=0,H_TaxEvt=1),IF(ASH30+1&gt;=H_Deemed,0,ASH30+1),ASH30)</f>
        <v>1</v>
      </c>
      <c r="ASI31" s="20" t="n">
        <f aca="false">IF(AND(H_Direct=0,H_TaxEvt=1),IF(ASI30+1&gt;=H_Deemed,0,ASI30+1),ASI30)</f>
        <v>0</v>
      </c>
      <c r="ASJ31" s="20" t="n">
        <f aca="false">IF(AND(H_Direct=0,H_TaxEvt=1),IF(ASJ30+1&gt;=H_Deemed,0,ASJ30+1),ASJ30)</f>
        <v>7</v>
      </c>
      <c r="ASK31" s="20" t="n">
        <f aca="false">IF(AND(H_Direct=0,H_TaxEvt=1),IF(ASK30+1&gt;=H_Deemed,0,ASK30+1),ASK30)</f>
        <v>6</v>
      </c>
      <c r="ASL31" s="20" t="n">
        <f aca="false">IF(AND(H_Direct=0,H_TaxEvt=1),IF(ASL30+1&gt;=H_Deemed,0,ASL30+1),ASL30)</f>
        <v>5</v>
      </c>
      <c r="ASM31" s="20" t="n">
        <f aca="false">IF(AND(H_Direct=0,H_TaxEvt=1),IF(ASM30+1&gt;=H_Deemed,0,ASM30+1),ASM30)</f>
        <v>4</v>
      </c>
      <c r="ASN31" s="20" t="n">
        <f aca="false">IF(AND(H_Direct=0,H_TaxEvt=1),IF(ASN30+1&gt;=H_Deemed,0,ASN30+1),ASN30)</f>
        <v>3</v>
      </c>
      <c r="ASO31" s="20" t="n">
        <f aca="false">IF(AND(H_Direct=0,H_TaxEvt=1),IF(ASO30+1&gt;=H_Deemed,0,ASO30+1),ASO30)</f>
        <v>2</v>
      </c>
      <c r="ASP31" s="20" t="n">
        <f aca="false">IF(AND(H_Direct=0,H_TaxEvt=1),IF(0+1&gt;=H_Deemed,0,0+1),0)</f>
        <v>1</v>
      </c>
      <c r="ASQ31" s="20" t="n">
        <v>0</v>
      </c>
      <c r="ASR31" s="20" t="n">
        <v>0</v>
      </c>
      <c r="ASS31" s="20" t="n">
        <v>0</v>
      </c>
      <c r="AST31" s="20" t="n">
        <v>0</v>
      </c>
      <c r="ASU31" s="20" t="n">
        <v>0</v>
      </c>
      <c r="ASV31" s="20" t="n">
        <v>0</v>
      </c>
      <c r="ASW31" s="20" t="n">
        <v>0</v>
      </c>
      <c r="ASX31" s="20" t="n">
        <v>0</v>
      </c>
      <c r="ASY31" s="20" t="n">
        <v>0</v>
      </c>
      <c r="ASZ31" s="20" t="n">
        <v>0</v>
      </c>
      <c r="ATA31" s="20" t="n">
        <v>0</v>
      </c>
      <c r="ATB31" s="20" t="n">
        <v>0</v>
      </c>
      <c r="ATC31" s="20" t="n">
        <v>0</v>
      </c>
      <c r="ATD31" s="20" t="n">
        <v>0</v>
      </c>
      <c r="ATE31" s="20" t="n">
        <v>0</v>
      </c>
      <c r="ATF31" s="20" t="n">
        <v>0</v>
      </c>
      <c r="ATG31" s="20" t="n">
        <v>0</v>
      </c>
      <c r="ATH31" s="20" t="n">
        <v>0</v>
      </c>
      <c r="ATI31" s="20" t="n">
        <v>0</v>
      </c>
      <c r="ATJ31" s="20" t="n">
        <v>0</v>
      </c>
      <c r="ATK31" s="20" t="n">
        <v>0</v>
      </c>
      <c r="ATL31" s="20" t="n">
        <v>0</v>
      </c>
      <c r="ATM31" s="20" t="n">
        <v>0</v>
      </c>
      <c r="ATN31" s="20" t="n">
        <v>0</v>
      </c>
      <c r="ATO31" s="20" t="n">
        <v>0</v>
      </c>
      <c r="ATP31" s="20" t="n">
        <v>0</v>
      </c>
      <c r="ATQ31" s="20" t="n">
        <v>0</v>
      </c>
      <c r="ATR31" s="20" t="n">
        <v>0</v>
      </c>
      <c r="ATS31" s="20" t="n">
        <v>0</v>
      </c>
      <c r="ATT31" s="20" t="n">
        <v>0</v>
      </c>
      <c r="ATU31" s="20" t="n">
        <v>0</v>
      </c>
      <c r="ATV31" s="20" t="n">
        <v>0</v>
      </c>
      <c r="ATW31" s="20" t="n">
        <v>0</v>
      </c>
      <c r="ATX31" s="20" t="n">
        <v>0</v>
      </c>
      <c r="ATY31" s="20" t="n">
        <v>0</v>
      </c>
      <c r="ATZ31" s="20" t="n">
        <v>0</v>
      </c>
      <c r="AUA31" s="20" t="n">
        <v>0</v>
      </c>
      <c r="AUB31" s="20" t="n">
        <v>0</v>
      </c>
      <c r="AUC31" s="20" t="n">
        <v>0</v>
      </c>
      <c r="AUD31" s="20" t="n">
        <v>0</v>
      </c>
      <c r="AUE31" s="20" t="n">
        <v>0</v>
      </c>
      <c r="AUF31" s="20" t="n">
        <v>0</v>
      </c>
      <c r="AUG31" s="20" t="n">
        <v>0</v>
      </c>
      <c r="AUH31" s="20" t="n">
        <v>0</v>
      </c>
      <c r="AUI31" s="20" t="n">
        <v>0</v>
      </c>
      <c r="AUJ31" s="20" t="n">
        <v>0</v>
      </c>
      <c r="AUK31" s="20" t="n">
        <v>0</v>
      </c>
      <c r="AUL31" s="20" t="n">
        <v>0</v>
      </c>
      <c r="AUM31" s="20" t="n">
        <v>0</v>
      </c>
      <c r="AUN31" s="20" t="n">
        <v>0</v>
      </c>
      <c r="AUO31" s="20" t="n">
        <v>0</v>
      </c>
      <c r="AUP31" s="20" t="n">
        <v>0</v>
      </c>
      <c r="AUQ31" s="20" t="n">
        <v>0</v>
      </c>
      <c r="AUR31" s="20" t="n">
        <v>0</v>
      </c>
      <c r="AUS31" s="20" t="n">
        <v>0</v>
      </c>
      <c r="AUT31" s="20" t="n">
        <v>0</v>
      </c>
      <c r="AUU31" s="20" t="n">
        <v>0</v>
      </c>
      <c r="AUV31" s="20" t="n">
        <v>0</v>
      </c>
      <c r="AUW31" s="20" t="n">
        <v>0</v>
      </c>
      <c r="AUX31" s="20" t="n">
        <v>0</v>
      </c>
      <c r="AUY31" s="20" t="n">
        <v>0</v>
      </c>
      <c r="AUZ31" s="20" t="n">
        <v>0</v>
      </c>
      <c r="AVA31" s="20" t="n">
        <v>0</v>
      </c>
      <c r="AVB31" s="20" t="n">
        <v>0</v>
      </c>
      <c r="AVC31" s="20" t="n">
        <v>0</v>
      </c>
      <c r="AVD31" s="20" t="n">
        <v>0</v>
      </c>
      <c r="AVE31" s="20" t="n">
        <f aca="false">IF(AND(H_Direct=0,H_TaxEvt=1,ARR30+1&gt;=H_Deemed),MAX(0,ADR31-AHE31)*H_Exit,0)</f>
        <v>0</v>
      </c>
      <c r="AVF31" s="20" t="n">
        <f aca="false">IF(AND(H_Direct=0,H_TaxEvt=1,ARS30+1&gt;=H_Deemed),MAX(0,ADS31-AHF31)*H_Exit,0)</f>
        <v>0</v>
      </c>
      <c r="AVG31" s="20" t="n">
        <f aca="false">IF(AND(H_Direct=0,H_TaxEvt=1,ART30+1&gt;=H_Deemed),MAX(0,ADT31-AHG31)*H_Exit,0)</f>
        <v>0</v>
      </c>
      <c r="AVH31" s="20" t="n">
        <f aca="false">IF(AND(H_Direct=0,H_TaxEvt=1,ARU30+1&gt;=H_Deemed),MAX(0,ADU31-AHH31)*H_Exit,0)</f>
        <v>0</v>
      </c>
      <c r="AVI31" s="20" t="n">
        <f aca="false">IF(AND(H_Direct=0,H_TaxEvt=1,ARV30+1&gt;=H_Deemed),MAX(0,ADV31-AHI31)*H_Exit,0)</f>
        <v>0</v>
      </c>
      <c r="AVJ31" s="20" t="n">
        <f aca="false">IF(AND(H_Direct=0,H_TaxEvt=1,ARW30+1&gt;=H_Deemed),MAX(0,ADW31-AHJ31)*H_Exit,0)</f>
        <v>0</v>
      </c>
      <c r="AVK31" s="20" t="n">
        <f aca="false">IF(AND(H_Direct=0,H_TaxEvt=1,ARX30+1&gt;=H_Deemed),MAX(0,ADX31-AHK31)*H_Exit,0)</f>
        <v>0</v>
      </c>
      <c r="AVL31" s="20" t="n">
        <f aca="false">IF(AND(H_Direct=0,H_TaxEvt=1,ARY30+1&gt;=H_Deemed),MAX(0,ADY31-AHL31)*H_Exit,0)</f>
        <v>0</v>
      </c>
      <c r="AVM31" s="20" t="n">
        <f aca="false">IF(AND(H_Direct=0,H_TaxEvt=1,ARZ30+1&gt;=H_Deemed),MAX(0,ADZ31-AHM31)*H_Exit,0)</f>
        <v>0</v>
      </c>
      <c r="AVN31" s="20" t="n">
        <f aca="false">IF(AND(H_Direct=0,H_TaxEvt=1,ASA30+1&gt;=H_Deemed),MAX(0,AEA31-AHN31)*H_Exit,0)</f>
        <v>0</v>
      </c>
      <c r="AVO31" s="20" t="n">
        <f aca="false">IF(AND(H_Direct=0,H_TaxEvt=1,ASB30+1&gt;=H_Deemed),MAX(0,AEB31-AHO31)*H_Exit,0)</f>
        <v>0</v>
      </c>
      <c r="AVP31" s="20" t="n">
        <f aca="false">IF(AND(H_Direct=0,H_TaxEvt=1,ASC30+1&gt;=H_Deemed),MAX(0,AEC31-AHP31)*H_Exit,0)</f>
        <v>0</v>
      </c>
      <c r="AVQ31" s="20" t="n">
        <f aca="false">IF(AND(H_Direct=0,H_TaxEvt=1,ASD30+1&gt;=H_Deemed),MAX(0,AED31-AHQ31)*H_Exit,0)</f>
        <v>0</v>
      </c>
      <c r="AVR31" s="20" t="n">
        <f aca="false">IF(AND(H_Direct=0,H_TaxEvt=1,ASE30+1&gt;=H_Deemed),MAX(0,AEE31-AHR31)*H_Exit,0)</f>
        <v>0</v>
      </c>
      <c r="AVS31" s="20" t="n">
        <f aca="false">IF(AND(H_Direct=0,H_TaxEvt=1,ASF30+1&gt;=H_Deemed),MAX(0,AEF31-AHS31)*H_Exit,0)</f>
        <v>0</v>
      </c>
      <c r="AVT31" s="20" t="n">
        <f aca="false">IF(AND(H_Direct=0,H_TaxEvt=1,ASG30+1&gt;=H_Deemed),MAX(0,AEG31-AHT31)*H_Exit,0)</f>
        <v>0</v>
      </c>
      <c r="AVU31" s="20" t="n">
        <f aca="false">IF(AND(H_Direct=0,H_TaxEvt=1,ASH30+1&gt;=H_Deemed),MAX(0,AEH31-AHU31)*H_Exit,0)</f>
        <v>0</v>
      </c>
      <c r="AVV31" s="20" t="n">
        <f aca="false">IF(AND(H_Direct=0,H_TaxEvt=1,ASI30+1&gt;=H_Deemed),MAX(0,AEI31-AHV31)*H_Exit,0)</f>
        <v>145.614149857019</v>
      </c>
      <c r="AVW31" s="20" t="n">
        <f aca="false">IF(AND(H_Direct=0,H_TaxEvt=1,ASJ30+1&gt;=H_Deemed),MAX(0,AEJ31-AHW31)*H_Exit,0)</f>
        <v>0</v>
      </c>
      <c r="AVX31" s="20" t="n">
        <f aca="false">IF(AND(H_Direct=0,H_TaxEvt=1,ASK30+1&gt;=H_Deemed),MAX(0,AEK31-AHX31)*H_Exit,0)</f>
        <v>0</v>
      </c>
      <c r="AVY31" s="20" t="n">
        <f aca="false">IF(AND(H_Direct=0,H_TaxEvt=1,ASL30+1&gt;=H_Deemed),MAX(0,AEL31-AHY31)*H_Exit,0)</f>
        <v>0</v>
      </c>
      <c r="AVZ31" s="20" t="n">
        <f aca="false">IF(AND(H_Direct=0,H_TaxEvt=1,ASM30+1&gt;=H_Deemed),MAX(0,AEM31-AHZ31)*H_Exit,0)</f>
        <v>0</v>
      </c>
      <c r="AWA31" s="20" t="n">
        <f aca="false">IF(AND(H_Direct=0,H_TaxEvt=1,ASN30+1&gt;=H_Deemed),MAX(0,AEN31-AIA31)*H_Exit,0)</f>
        <v>0</v>
      </c>
      <c r="AWB31" s="20" t="n">
        <f aca="false">IF(AND(H_Direct=0,H_TaxEvt=1,ASO30+1&gt;=H_Deemed),MAX(0,AEO31-AIB31)*H_Exit,0)</f>
        <v>0</v>
      </c>
      <c r="AWC31" s="20" t="n">
        <f aca="false">IF(AND(H_Direct=0,H_TaxEvt=1,0+1&gt;=H_Deemed),MAX(0,AEP31-AIC31)*H_Exit,0)</f>
        <v>0</v>
      </c>
      <c r="AWD31" s="20" t="n">
        <v>0</v>
      </c>
      <c r="AWE31" s="20" t="n">
        <v>0</v>
      </c>
      <c r="AWF31" s="20" t="n">
        <v>0</v>
      </c>
      <c r="AWG31" s="20" t="n">
        <v>0</v>
      </c>
      <c r="AWH31" s="20" t="n">
        <v>0</v>
      </c>
      <c r="AWI31" s="20" t="n">
        <v>0</v>
      </c>
      <c r="AWJ31" s="20" t="n">
        <v>0</v>
      </c>
      <c r="AWK31" s="20" t="n">
        <v>0</v>
      </c>
      <c r="AWL31" s="20" t="n">
        <v>0</v>
      </c>
      <c r="AWM31" s="20" t="n">
        <v>0</v>
      </c>
      <c r="AWN31" s="20" t="n">
        <v>0</v>
      </c>
      <c r="AWO31" s="20" t="n">
        <v>0</v>
      </c>
      <c r="AWP31" s="20" t="n">
        <v>0</v>
      </c>
      <c r="AWQ31" s="20" t="n">
        <v>0</v>
      </c>
      <c r="AWR31" s="20" t="n">
        <v>0</v>
      </c>
      <c r="AWS31" s="20" t="n">
        <v>0</v>
      </c>
      <c r="AWT31" s="20" t="n">
        <v>0</v>
      </c>
      <c r="AWU31" s="20" t="n">
        <v>0</v>
      </c>
      <c r="AWV31" s="20" t="n">
        <v>0</v>
      </c>
      <c r="AWW31" s="20" t="n">
        <v>0</v>
      </c>
      <c r="AWX31" s="20" t="n">
        <v>0</v>
      </c>
      <c r="AWY31" s="20" t="n">
        <v>0</v>
      </c>
      <c r="AWZ31" s="20" t="n">
        <v>0</v>
      </c>
      <c r="AXA31" s="20" t="n">
        <v>0</v>
      </c>
      <c r="AXB31" s="20" t="n">
        <v>0</v>
      </c>
      <c r="AXC31" s="20" t="n">
        <v>0</v>
      </c>
      <c r="AXD31" s="20" t="n">
        <v>0</v>
      </c>
      <c r="AXE31" s="20" t="n">
        <v>0</v>
      </c>
      <c r="AXF31" s="20" t="n">
        <v>0</v>
      </c>
      <c r="AXG31" s="20" t="n">
        <v>0</v>
      </c>
      <c r="AXH31" s="20" t="n">
        <v>0</v>
      </c>
      <c r="AXI31" s="20" t="n">
        <v>0</v>
      </c>
      <c r="AXJ31" s="20" t="n">
        <v>0</v>
      </c>
      <c r="AXK31" s="20" t="n">
        <v>0</v>
      </c>
      <c r="AXL31" s="20" t="n">
        <v>0</v>
      </c>
      <c r="AXM31" s="20" t="n">
        <v>0</v>
      </c>
      <c r="AXN31" s="20" t="n">
        <v>0</v>
      </c>
      <c r="AXO31" s="20" t="n">
        <v>0</v>
      </c>
      <c r="AXP31" s="20" t="n">
        <v>0</v>
      </c>
      <c r="AXQ31" s="20" t="n">
        <v>0</v>
      </c>
      <c r="AXR31" s="20" t="n">
        <v>0</v>
      </c>
      <c r="AXS31" s="20" t="n">
        <v>0</v>
      </c>
      <c r="AXT31" s="20" t="n">
        <v>0</v>
      </c>
      <c r="AXU31" s="20" t="n">
        <v>0</v>
      </c>
      <c r="AXV31" s="20" t="n">
        <v>0</v>
      </c>
      <c r="AXW31" s="20" t="n">
        <v>0</v>
      </c>
      <c r="AXX31" s="20" t="n">
        <v>0</v>
      </c>
      <c r="AXY31" s="20" t="n">
        <v>0</v>
      </c>
      <c r="AXZ31" s="20" t="n">
        <v>0</v>
      </c>
      <c r="AYA31" s="20" t="n">
        <v>0</v>
      </c>
      <c r="AYB31" s="20" t="n">
        <v>0</v>
      </c>
      <c r="AYC31" s="20" t="n">
        <v>0</v>
      </c>
      <c r="AYD31" s="20" t="n">
        <v>0</v>
      </c>
      <c r="AYE31" s="20" t="n">
        <v>0</v>
      </c>
      <c r="AYF31" s="20" t="n">
        <v>0</v>
      </c>
      <c r="AYG31" s="20" t="n">
        <v>0</v>
      </c>
      <c r="AYH31" s="20" t="n">
        <v>0</v>
      </c>
      <c r="AYI31" s="20" t="n">
        <v>0</v>
      </c>
      <c r="AYJ31" s="20" t="n">
        <v>0</v>
      </c>
      <c r="AYK31" s="20" t="n">
        <v>0</v>
      </c>
      <c r="AYL31" s="20" t="n">
        <v>0</v>
      </c>
      <c r="AYM31" s="20" t="n">
        <v>0</v>
      </c>
      <c r="AYN31" s="20" t="n">
        <v>0</v>
      </c>
      <c r="AYO31" s="20" t="n">
        <v>0</v>
      </c>
      <c r="AYP31" s="20" t="n">
        <v>0</v>
      </c>
      <c r="AYQ31" s="20" t="n">
        <v>0</v>
      </c>
    </row>
    <row r="32" customFormat="false" ht="15" hidden="false" customHeight="false" outlineLevel="0" collapsed="false">
      <c r="B32" s="20" t="n">
        <v>24</v>
      </c>
      <c r="C32" s="20" t="n">
        <f aca="false">'Plan cashflow'!C32</f>
        <v>1</v>
      </c>
      <c r="D32" s="20" t="n">
        <f aca="false">'Plan cashflow'!D32</f>
        <v>62</v>
      </c>
      <c r="E32" s="20" t="n">
        <f aca="false">AS_Year0+24</f>
        <v>2050</v>
      </c>
      <c r="F32" s="50" t="n">
        <f aca="false">'Plan cashflow'!F32</f>
        <v>1.60843724947523</v>
      </c>
      <c r="G32" s="59" t="n">
        <f aca="true">IF(MAX(TODAY(),DATE(E32,1,1))&gt;=H_CGTfrom,H_CGT1,H_CGT0)</f>
        <v>0.31</v>
      </c>
      <c r="H32" s="20" t="n">
        <f aca="false">H_Exempt*H_Persons</f>
        <v>1270</v>
      </c>
      <c r="I32" s="20" t="n">
        <f aca="false">AX31</f>
        <v>0</v>
      </c>
      <c r="J32" s="60" t="n">
        <f aca="false">BF31</f>
        <v>49505.4556075045</v>
      </c>
      <c r="K32" s="60" t="n">
        <f aca="false">BG31</f>
        <v>0</v>
      </c>
      <c r="L32" s="20" t="n">
        <f aca="false">IF(AND(In_polLump&gt;0,In_polLumpAge&gt;0,D32=In_polLumpAge),In_polLump,0)</f>
        <v>0</v>
      </c>
      <c r="M32" s="20" t="n">
        <f aca="false">IF(AND(In_homeUse="Yes, I'd downsize",In_downAge&gt;0,D32=In_downAge,OR(In_home="Own outright",In_home="Own with mortgage"),In_homeValue&gt;0),MAX(0,MAX(0,In_homeValue-In_downValue)*F32*0.9-'Plan cashflow'!HR31),0)</f>
        <v>0</v>
      </c>
      <c r="N32" s="20" t="n">
        <f aca="false">'Plan pay &amp; tax'!Y258</f>
        <v>0</v>
      </c>
      <c r="O32" s="20" t="n">
        <f aca="false">L32+M32+(1-H_Sh)*N32</f>
        <v>0</v>
      </c>
      <c r="P32" s="20" t="n">
        <f aca="false">H_Sh*N32</f>
        <v>0</v>
      </c>
      <c r="Q32" s="20" t="n">
        <f aca="false">'Plan cashflow'!UL32</f>
        <v>0</v>
      </c>
      <c r="R32" s="20" t="n">
        <f aca="false">(1-H_Sh)*Q32</f>
        <v>0</v>
      </c>
      <c r="S32" s="20" t="n">
        <f aca="false">H_Sh*Q32</f>
        <v>0</v>
      </c>
      <c r="T32" s="20" t="n">
        <f aca="false">J32+K32+O32</f>
        <v>49505.4556075045</v>
      </c>
      <c r="U32" s="20" t="n">
        <f aca="false">T32+R32</f>
        <v>49505.4556075045</v>
      </c>
      <c r="V32" s="60" t="n">
        <f aca="false">SUM(FE32:IQ32)</f>
        <v>35910.7790657992</v>
      </c>
      <c r="W32" s="60" t="n">
        <f aca="false">IF(AJ32&lt;=0,0,IF(AL32&lt;=0,AJ32,AJ32-G32*MAX(0,AL32*AJ32-(AY32+AZ32))))</f>
        <v>0</v>
      </c>
      <c r="X32" s="60" t="n">
        <f aca="false">IF(AR32&lt;=0,0,IF(AT32&lt;=0,AR32,AR32-G32*MAX(0,AT32*AR32-(BA32+BB32))))</f>
        <v>0</v>
      </c>
      <c r="Y32" s="60" t="n">
        <f aca="false">T32+V32-S32+W32+X32</f>
        <v>85416.2346733037</v>
      </c>
      <c r="Z32" s="60" t="n">
        <f aca="false">'Plan cashflow'!UK32</f>
        <v>0</v>
      </c>
      <c r="AA32" s="20" t="n">
        <f aca="false">MIN(Z32,U32)</f>
        <v>0</v>
      </c>
      <c r="AB32" s="20" t="n">
        <f aca="false">Z32-AA32</f>
        <v>0</v>
      </c>
      <c r="AC32" s="20" t="n">
        <f aca="false">MIN(AA32,J32+O32+R32)</f>
        <v>0</v>
      </c>
      <c r="AD32" s="20" t="n">
        <f aca="false">AA32-AC32</f>
        <v>0</v>
      </c>
      <c r="AE32" s="20" t="n">
        <f aca="false">J32+O32+R32-AC32</f>
        <v>49505.4556075045</v>
      </c>
      <c r="AF32" s="20" t="n">
        <f aca="false">K32-AD32</f>
        <v>0</v>
      </c>
      <c r="AG32" s="20" t="n">
        <f aca="false">SUM(PR32:TD32)</f>
        <v>0</v>
      </c>
      <c r="AH32" s="20" t="n">
        <f aca="false">SUM(TE32:WQ32)</f>
        <v>0</v>
      </c>
      <c r="AI32" s="20" t="n">
        <f aca="false">MAX(0,AB32-AG32)</f>
        <v>0</v>
      </c>
      <c r="AJ32" s="57" t="n">
        <f aca="false">BI31</f>
        <v>0</v>
      </c>
      <c r="AK32" s="20" t="n">
        <f aca="false">BJ31</f>
        <v>0</v>
      </c>
      <c r="AL32" s="20" t="n">
        <f aca="false">IF(AJ32&gt;0,(AJ32-AK32)/AJ32,0)</f>
        <v>0</v>
      </c>
      <c r="AM32" s="20" t="n">
        <f aca="false">IF(AJ32&lt;=0,0,IF(AL32&lt;=0,MIN(AI32,AJ32),MIN(AI32,AJ32-G32*MAX(0,AL32*AJ32-(AAD32+ADQ32)))))</f>
        <v>0</v>
      </c>
      <c r="AN32" s="20" t="n">
        <f aca="false">IF(AJ32&lt;=0,0,IF(AL32&lt;=0,AM32,IF(AM32&lt;=(AAD32+ADQ32)/AL32,AM32,(AM32-G32*(AAD32+ADQ32))/(1-G32*AL32))))</f>
        <v>0</v>
      </c>
      <c r="AO32" s="20" t="n">
        <f aca="false">IF(AL32&gt;0,MAX(0,AAD32-(MIN(AL32*AN32,(AAD32+ADQ32))-MIN(MIN(AL32*AN32,(AAD32+ADQ32)),ADQ32))),AAD32)</f>
        <v>1270</v>
      </c>
      <c r="AP32" s="20" t="n">
        <f aca="false">IF(AL32&lt;=0,ADQ32-AL32*AN32,ADQ32-MIN(MIN(AL32*AN32,(AAD32+ADQ32)),ADQ32))</f>
        <v>0</v>
      </c>
      <c r="AQ32" s="20" t="n">
        <f aca="false">MAX(0,AI32-AM32)</f>
        <v>0</v>
      </c>
      <c r="AR32" s="57" t="n">
        <f aca="false">BK31</f>
        <v>0</v>
      </c>
      <c r="AS32" s="20" t="n">
        <f aca="false">BL31</f>
        <v>0</v>
      </c>
      <c r="AT32" s="20" t="n">
        <f aca="false">IF(AR32&gt;0,(AR32-AS32)/AR32,0)</f>
        <v>0</v>
      </c>
      <c r="AU32" s="20" t="n">
        <f aca="false">IF(AR32&lt;=0,0,IF(AT32&lt;=0,MIN(AQ32,AR32),MIN(AQ32,AR32-G32*MAX(0,AT32*AR32-(AO32+AP32)))))</f>
        <v>0</v>
      </c>
      <c r="AV32" s="20" t="n">
        <f aca="false">IF(AR32&lt;=0,0,IF(AT32&lt;=0,AU32,IF(AU32&lt;=(AO32+AP32)/AT32,AU32,(AU32-G32*(AO32+AP32))/(1-G32*AT32))))</f>
        <v>0</v>
      </c>
      <c r="AW32" s="20" t="n">
        <f aca="false">IF(AT32&gt;0,MAX(0,AO32-(MIN(AT32*AV32,(AO32+AP32))-MIN(MIN(AT32*AV32,(AO32+AP32)),AP32))),AO32)</f>
        <v>1270</v>
      </c>
      <c r="AX32" s="20" t="n">
        <f aca="false">IF(AT32&lt;=0,AP32-AT32*AV32,AP32-MIN(MIN(AT32*AV32,(AO32+AP32)),AP32))</f>
        <v>0</v>
      </c>
      <c r="AY32" s="20" t="n">
        <f aca="false">MD32</f>
        <v>1270</v>
      </c>
      <c r="AZ32" s="20" t="n">
        <f aca="false">PQ32</f>
        <v>0</v>
      </c>
      <c r="BA32" s="20" t="n">
        <f aca="false">IF(AL32&gt;0,MAX(0,AY32-(MIN(AL32*AJ32,AY32+AZ32)-MIN(MIN(AL32*AJ32,AY32+AZ32),AZ32))),AY32)</f>
        <v>1270</v>
      </c>
      <c r="BB32" s="20" t="n">
        <f aca="false">IF(AL32&lt;=0,AZ32-AL32*AJ32,AZ32-MIN(MIN(AL32*AJ32,AY32+AZ32),AZ32))</f>
        <v>0</v>
      </c>
      <c r="BC32" s="20" t="n">
        <f aca="false">'Plan cashflow'!UM32</f>
        <v>9650.62349685136</v>
      </c>
      <c r="BD32" s="20" t="n">
        <f aca="false">(1-H_Sh)*BC32</f>
        <v>5790.37409811082</v>
      </c>
      <c r="BE32" s="20" t="n">
        <f aca="false">H_Sh*BC32</f>
        <v>3860.24939874054</v>
      </c>
      <c r="BF32" s="60" t="n">
        <f aca="false">(AE32+BD32)*(1+AS_Cash)</f>
        <v>55848.7880026715</v>
      </c>
      <c r="BG32" s="60" t="n">
        <f aca="false">AF32*(1+AS_Cash)</f>
        <v>0</v>
      </c>
      <c r="BH32" s="60" t="n">
        <f aca="false">SUM(AKR32:AOD32)</f>
        <v>42911.574794689</v>
      </c>
      <c r="BI32" s="60" t="n">
        <f aca="false">(AJ32-AN32)*(1+AS_Infl)</f>
        <v>0</v>
      </c>
      <c r="BJ32" s="20" t="n">
        <f aca="false">IF(AJ32&gt;0,AK32-AK32*AN32/AJ32,0)</f>
        <v>0</v>
      </c>
      <c r="BK32" s="60" t="n">
        <f aca="false">(AR32-AV32)*(1+BQ32)</f>
        <v>0</v>
      </c>
      <c r="BL32" s="20" t="n">
        <f aca="false">IF(AR32&gt;0,AS32-AS32*AV32/AR32,0)</f>
        <v>0</v>
      </c>
      <c r="BM32" s="60" t="n">
        <f aca="false">BF32+BG32+BH32+BI32+BK32</f>
        <v>98760.3627973604</v>
      </c>
      <c r="BN32" s="60" t="n">
        <f aca="false">(AH32-AG32)+(AN32-AM32)+(AV32-AU32)</f>
        <v>0</v>
      </c>
      <c r="BO32" s="20" t="n">
        <f aca="false">(AE32+BD32+AF32+MAX(0,'Plan cashflow'!QH32)+IF(Slot1_Rate=AS_Cash,'Plan cashflow'!QM32/(1+AS_Cash),0)+IF(Slot2_Rate=AS_Cash,'Plan cashflow'!QQ32/(1+AS_Cash),0)+IF(Slot3_Rate=AS_Cash,'Plan cashflow'!QU32/(1+AS_Cash),0)+IF(Slot4_Rate=AS_Cash,'Plan cashflow'!QY32/(1+AS_Cash),0)+IF(Slot5_Rate=AS_Cash,'Plan cashflow'!RC32/(1+AS_Cash),0)+IF(Slot6_Rate=AS_Cash,'Plan cashflow'!RG32/(1+AS_Cash),0)+IF(Slot7_Rate=AS_Cash,'Plan cashflow'!RK32/(1+AS_Cash),0)+IF(Slot8_Rate=AS_Cash,'Plan cashflow'!RO32/(1+AS_Cash),0)+IF(Slot9_Rate=AS_Cash,'Plan cashflow'!RS32/(1+AS_Cash),0)+IF(Slot10_Rate=AS_Cash,'Plan cashflow'!RW32/(1+AS_Cash),0)+IF(Slot11_Rate=AS_Cash,'Plan cashflow'!SA32/(1+AS_Cash),0)+IF(Slot12_Rate=AS_Cash,'Plan cashflow'!SE32/(1+AS_Cash),0)+IF(Slot13_Rate=AS_Cash,'Plan cashflow'!SI32/(1+AS_Cash),0)+IF(Slot14_Rate=AS_Cash,'Plan cashflow'!SM32/(1+AS_Cash),0)+IF(Slot15_Rate=AS_Cash,'Plan cashflow'!SQ32/(1+AS_Cash),0)+IF(Slot16_Rate=AS_Cash,'Plan cashflow'!SU32/(1+AS_Cash),0)+IF(Slot17_Rate=AS_Cash,'Plan cashflow'!SY32/(1+AS_Cash),0)+IF(Slot18_Rate=AS_Cash,'Plan cashflow'!TC32/(1+AS_Cash),0)+IF(Slot19_Rate=AS_Cash,'Plan cashflow'!TG32/(1+AS_Cash),0)+IF(Slot20_Rate=AS_Cash,'Plan cashflow'!TK32/(1+AS_Cash),0))*AS_Cash*H_DIRT/(1-H_DIRT)</f>
        <v>342.11029229516</v>
      </c>
      <c r="BP32" s="60" t="n">
        <f aca="false">SUM(AVE32:AYQ32)</f>
        <v>470.670112991415</v>
      </c>
      <c r="BQ32" s="54" t="n">
        <f aca="false">IF(H_TaxEvt=1,H_InvG,AS_Inv)</f>
        <v>0.04</v>
      </c>
      <c r="BR32" s="20" t="n">
        <f aca="false">IF(AKR31&gt;0,(AKR31-AOE31)/AKR31,0)</f>
        <v>0</v>
      </c>
      <c r="BS32" s="20" t="n">
        <f aca="false">IF(AKS31&gt;0,(AKS31-AOF31)/AKS31,0)</f>
        <v>0</v>
      </c>
      <c r="BT32" s="20" t="n">
        <f aca="false">IF(AKT31&gt;0,(AKT31-AOG31)/AKT31,0)</f>
        <v>0</v>
      </c>
      <c r="BU32" s="20" t="n">
        <f aca="false">IF(AKU31&gt;0,(AKU31-AOH31)/AKU31,0)</f>
        <v>0</v>
      </c>
      <c r="BV32" s="20" t="n">
        <f aca="false">IF(AKV31&gt;0,(AKV31-AOI31)/AKV31,0)</f>
        <v>0</v>
      </c>
      <c r="BW32" s="20" t="n">
        <f aca="false">IF(AKW31&gt;0,(AKW31-AOJ31)/AKW31,0)</f>
        <v>0</v>
      </c>
      <c r="BX32" s="20" t="n">
        <f aca="false">IF(AKX31&gt;0,(AKX31-AOK31)/AKX31,0)</f>
        <v>0</v>
      </c>
      <c r="BY32" s="20" t="n">
        <f aca="false">IF(AKY31&gt;0,(AKY31-AOL31)/AKY31,0)</f>
        <v>0</v>
      </c>
      <c r="BZ32" s="20" t="n">
        <f aca="false">IF(AKZ31&gt;0,(AKZ31-AOM31)/AKZ31,0)</f>
        <v>0</v>
      </c>
      <c r="CA32" s="20" t="n">
        <f aca="false">IF(ALA31&gt;0,(ALA31-AON31)/ALA31,0)</f>
        <v>0</v>
      </c>
      <c r="CB32" s="20" t="n">
        <f aca="false">IF(ALB31&gt;0,(ALB31-AOO31)/ALB31,0)</f>
        <v>0</v>
      </c>
      <c r="CC32" s="20" t="n">
        <f aca="false">IF(ALC31&gt;0,(ALC31-AOP31)/ALC31,0)</f>
        <v>0.209685474269854</v>
      </c>
      <c r="CD32" s="20" t="n">
        <f aca="false">IF(ALD31&gt;0,(ALD31-AOQ31)/ALD31,0)</f>
        <v>0.178072893240648</v>
      </c>
      <c r="CE32" s="20" t="n">
        <f aca="false">IF(ALE31&gt;0,(ALE31-AOR31)/ALE31,0)</f>
        <v>0.145195808970274</v>
      </c>
      <c r="CF32" s="20" t="n">
        <f aca="false">IF(ALF31&gt;0,(ALF31-AOS31)/ALF31,0)</f>
        <v>0.111003641329085</v>
      </c>
      <c r="CG32" s="20" t="n">
        <f aca="false">IF(ALG31&gt;0,(ALG31-AOT31)/ALG31,0)</f>
        <v>0.0754437869822486</v>
      </c>
      <c r="CH32" s="20" t="n">
        <f aca="false">IF(ALH31&gt;0,(ALH31-AOU31)/ALH31,0)</f>
        <v>0.0384615384615386</v>
      </c>
      <c r="CI32" s="20" t="n">
        <f aca="false">IF(ALI31&gt;0,(ALI31-AOV31)/ALI31,0)</f>
        <v>0</v>
      </c>
      <c r="CJ32" s="20" t="n">
        <f aca="false">IF(ALJ31&gt;0,(ALJ31-AOW31)/ALJ31,0)</f>
        <v>0.240082186797937</v>
      </c>
      <c r="CK32" s="20" t="n">
        <f aca="false">IF(ALK31&gt;0,(ALK31-AOX31)/ALK31,0)</f>
        <v>0.209685474269854</v>
      </c>
      <c r="CL32" s="20" t="n">
        <f aca="false">IF(ALL31&gt;0,(ALL31-AOY31)/ALL31,0)</f>
        <v>0.178072893240648</v>
      </c>
      <c r="CM32" s="20" t="n">
        <f aca="false">IF(ALM31&gt;0,(ALM31-AOZ31)/ALM31,0)</f>
        <v>0.145195808970274</v>
      </c>
      <c r="CN32" s="20" t="n">
        <f aca="false">IF(ALN31&gt;0,(ALN31-APA31)/ALN31,0)</f>
        <v>0.111003641329085</v>
      </c>
      <c r="CO32" s="20" t="n">
        <f aca="false">IF(ALO31&gt;0,(ALO31-APB31)/ALO31,0)</f>
        <v>0.0754437869822486</v>
      </c>
      <c r="CP32" s="20" t="n">
        <f aca="false">IF(ALP31&gt;0,(ALP31-APC31)/ALP31,0)</f>
        <v>0.0384615384615385</v>
      </c>
      <c r="CQ32" s="20" t="n">
        <f aca="false">IF((P32+S32)&gt;0,((P32+S32)-(P32+S32))/(P32+S32),0)</f>
        <v>0</v>
      </c>
      <c r="CR32" s="20" t="n">
        <v>0</v>
      </c>
      <c r="CS32" s="20" t="n">
        <v>0</v>
      </c>
      <c r="CT32" s="20" t="n">
        <v>0</v>
      </c>
      <c r="CU32" s="20" t="n">
        <v>0</v>
      </c>
      <c r="CV32" s="20" t="n">
        <v>0</v>
      </c>
      <c r="CW32" s="20" t="n">
        <v>0</v>
      </c>
      <c r="CX32" s="20" t="n">
        <v>0</v>
      </c>
      <c r="CY32" s="20" t="n">
        <v>0</v>
      </c>
      <c r="CZ32" s="20" t="n">
        <v>0</v>
      </c>
      <c r="DA32" s="20" t="n">
        <v>0</v>
      </c>
      <c r="DB32" s="20" t="n">
        <v>0</v>
      </c>
      <c r="DC32" s="20" t="n">
        <v>0</v>
      </c>
      <c r="DD32" s="20" t="n">
        <v>0</v>
      </c>
      <c r="DE32" s="20" t="n">
        <v>0</v>
      </c>
      <c r="DF32" s="20" t="n">
        <v>0</v>
      </c>
      <c r="DG32" s="20" t="n">
        <v>0</v>
      </c>
      <c r="DH32" s="20" t="n">
        <v>0</v>
      </c>
      <c r="DI32" s="20" t="n">
        <v>0</v>
      </c>
      <c r="DJ32" s="20" t="n">
        <v>0</v>
      </c>
      <c r="DK32" s="20" t="n">
        <v>0</v>
      </c>
      <c r="DL32" s="20" t="n">
        <v>0</v>
      </c>
      <c r="DM32" s="20" t="n">
        <v>0</v>
      </c>
      <c r="DN32" s="20" t="n">
        <v>0</v>
      </c>
      <c r="DO32" s="20" t="n">
        <v>0</v>
      </c>
      <c r="DP32" s="20" t="n">
        <v>0</v>
      </c>
      <c r="DQ32" s="20" t="n">
        <v>0</v>
      </c>
      <c r="DR32" s="20" t="n">
        <v>0</v>
      </c>
      <c r="DS32" s="20" t="n">
        <v>0</v>
      </c>
      <c r="DT32" s="20" t="n">
        <v>0</v>
      </c>
      <c r="DU32" s="20" t="n">
        <v>0</v>
      </c>
      <c r="DV32" s="20" t="n">
        <v>0</v>
      </c>
      <c r="DW32" s="20" t="n">
        <v>0</v>
      </c>
      <c r="DX32" s="20" t="n">
        <v>0</v>
      </c>
      <c r="DY32" s="20" t="n">
        <v>0</v>
      </c>
      <c r="DZ32" s="20" t="n">
        <v>0</v>
      </c>
      <c r="EA32" s="20" t="n">
        <v>0</v>
      </c>
      <c r="EB32" s="20" t="n">
        <v>0</v>
      </c>
      <c r="EC32" s="20" t="n">
        <v>0</v>
      </c>
      <c r="ED32" s="20" t="n">
        <v>0</v>
      </c>
      <c r="EE32" s="20" t="n">
        <v>0</v>
      </c>
      <c r="EF32" s="20" t="n">
        <v>0</v>
      </c>
      <c r="EG32" s="20" t="n">
        <v>0</v>
      </c>
      <c r="EH32" s="20" t="n">
        <v>0</v>
      </c>
      <c r="EI32" s="20" t="n">
        <v>0</v>
      </c>
      <c r="EJ32" s="20" t="n">
        <v>0</v>
      </c>
      <c r="EK32" s="20" t="n">
        <v>0</v>
      </c>
      <c r="EL32" s="20" t="n">
        <v>0</v>
      </c>
      <c r="EM32" s="20" t="n">
        <v>0</v>
      </c>
      <c r="EN32" s="20" t="n">
        <v>0</v>
      </c>
      <c r="EO32" s="20" t="n">
        <v>0</v>
      </c>
      <c r="EP32" s="20" t="n">
        <v>0</v>
      </c>
      <c r="EQ32" s="20" t="n">
        <v>0</v>
      </c>
      <c r="ER32" s="20" t="n">
        <v>0</v>
      </c>
      <c r="ES32" s="20" t="n">
        <v>0</v>
      </c>
      <c r="ET32" s="20" t="n">
        <v>0</v>
      </c>
      <c r="EU32" s="20" t="n">
        <v>0</v>
      </c>
      <c r="EV32" s="20" t="n">
        <v>0</v>
      </c>
      <c r="EW32" s="20" t="n">
        <v>0</v>
      </c>
      <c r="EX32" s="20" t="n">
        <v>0</v>
      </c>
      <c r="EY32" s="20" t="n">
        <v>0</v>
      </c>
      <c r="EZ32" s="20" t="n">
        <v>0</v>
      </c>
      <c r="FA32" s="20" t="n">
        <v>0</v>
      </c>
      <c r="FB32" s="20" t="n">
        <v>0</v>
      </c>
      <c r="FC32" s="20" t="n">
        <v>0</v>
      </c>
      <c r="FD32" s="20" t="n">
        <v>0</v>
      </c>
      <c r="FE32" s="20" t="n">
        <f aca="false">IF(H_Direct=1,IF(AKR31&lt;=0,0,IF(BR32&lt;=0,AKR31,AKR31-G32*MAX(0,BR32*AKR31-(H32+I32)))),AKR31*(1-MAX(0,BR32)*H_Exit))</f>
        <v>0</v>
      </c>
      <c r="FF32" s="20" t="n">
        <f aca="false">IF(H_Direct=1,IF(AKS31&lt;=0,0,IF(BS32&lt;=0,AKS31,AKS31-G32*MAX(0,BS32*AKS31-(IR32+ME32)))),AKS31*(1-MAX(0,BS32)*H_Exit))</f>
        <v>0</v>
      </c>
      <c r="FG32" s="20" t="n">
        <f aca="false">IF(H_Direct=1,IF(AKT31&lt;=0,0,IF(BT32&lt;=0,AKT31,AKT31-G32*MAX(0,BT32*AKT31-(IS32+MF32)))),AKT31*(1-MAX(0,BT32)*H_Exit))</f>
        <v>0</v>
      </c>
      <c r="FH32" s="20" t="n">
        <f aca="false">IF(H_Direct=1,IF(AKU31&lt;=0,0,IF(BU32&lt;=0,AKU31,AKU31-G32*MAX(0,BU32*AKU31-(IT32+MG32)))),AKU31*(1-MAX(0,BU32)*H_Exit))</f>
        <v>0</v>
      </c>
      <c r="FI32" s="20" t="n">
        <f aca="false">IF(H_Direct=1,IF(AKV31&lt;=0,0,IF(BV32&lt;=0,AKV31,AKV31-G32*MAX(0,BV32*AKV31-(IU32+MH32)))),AKV31*(1-MAX(0,BV32)*H_Exit))</f>
        <v>0</v>
      </c>
      <c r="FJ32" s="20" t="n">
        <f aca="false">IF(H_Direct=1,IF(AKW31&lt;=0,0,IF(BW32&lt;=0,AKW31,AKW31-G32*MAX(0,BW32*AKW31-(IV32+MI32)))),AKW31*(1-MAX(0,BW32)*H_Exit))</f>
        <v>0</v>
      </c>
      <c r="FK32" s="20" t="n">
        <f aca="false">IF(H_Direct=1,IF(AKX31&lt;=0,0,IF(BX32&lt;=0,AKX31,AKX31-G32*MAX(0,BX32*AKX31-(IW32+MJ32)))),AKX31*(1-MAX(0,BX32)*H_Exit))</f>
        <v>0</v>
      </c>
      <c r="FL32" s="20" t="n">
        <f aca="false">IF(H_Direct=1,IF(AKY31&lt;=0,0,IF(BY32&lt;=0,AKY31,AKY31-G32*MAX(0,BY32*AKY31-(IX32+MK32)))),AKY31*(1-MAX(0,BY32)*H_Exit))</f>
        <v>0</v>
      </c>
      <c r="FM32" s="20" t="n">
        <f aca="false">IF(H_Direct=1,IF(AKZ31&lt;=0,0,IF(BZ32&lt;=0,AKZ31,AKZ31-G32*MAX(0,BZ32*AKZ31-(IY32+ML32)))),AKZ31*(1-MAX(0,BZ32)*H_Exit))</f>
        <v>0</v>
      </c>
      <c r="FN32" s="20" t="n">
        <f aca="false">IF(H_Direct=1,IF(ALA31&lt;=0,0,IF(CA32&lt;=0,ALA31,ALA31-G32*MAX(0,CA32*ALA31-(IZ32+MM32)))),ALA31*(1-MAX(0,CA32)*H_Exit))</f>
        <v>0</v>
      </c>
      <c r="FO32" s="20" t="n">
        <f aca="false">IF(H_Direct=1,IF(ALB31&lt;=0,0,IF(CB32&lt;=0,ALB31,ALB31-G32*MAX(0,CB32*ALB31-(JA32+MN32)))),ALB31*(1-MAX(0,CB32)*H_Exit))</f>
        <v>0</v>
      </c>
      <c r="FP32" s="20" t="n">
        <f aca="false">IF(H_Direct=1,IF(ALC31&lt;=0,0,IF(CC32&lt;=0,ALC31,ALC31-G32*MAX(0,CC32*ALC31-(JB32+MO32)))),ALC31*(1-MAX(0,CC32)*H_Exit))</f>
        <v>782.076251173199</v>
      </c>
      <c r="FQ32" s="20" t="n">
        <f aca="false">IF(H_Direct=1,IF(ALD31&lt;=0,0,IF(CD32&lt;=0,ALD31,ALD31-G32*MAX(0,CD32*ALD31-(JC32+MP32)))),ALD31*(1-MAX(0,CD32)*H_Exit))</f>
        <v>996.668771625717</v>
      </c>
      <c r="FR32" s="20" t="n">
        <f aca="false">IF(H_Direct=1,IF(ALE31&lt;=0,0,IF(CE32&lt;=0,ALE31,ALE31-G32*MAX(0,CE32*ALE31-(JD32+MQ32)))),ALE31*(1-MAX(0,CE32)*H_Exit))</f>
        <v>1208.71664497565</v>
      </c>
      <c r="FS32" s="20" t="n">
        <f aca="false">IF(H_Direct=1,IF(ALF31&lt;=0,0,IF(CF32&lt;=0,ALF31,ALF31-G32*MAX(0,CF32*ALF31-(JE32+MR32)))),ALF31*(1-MAX(0,CF32)*H_Exit))</f>
        <v>1377.89977597235</v>
      </c>
      <c r="FT32" s="20" t="n">
        <f aca="false">IF(H_Direct=1,IF(ALG31&lt;=0,0,IF(CG32&lt;=0,ALG31,ALG31-G32*MAX(0,CG32*ALG31-(JF32+MS32)))),ALG31*(1-MAX(0,CG32)*H_Exit))</f>
        <v>1343.83227384105</v>
      </c>
      <c r="FU32" s="20" t="n">
        <f aca="false">IF(H_Direct=1,IF(ALH31&lt;=0,0,IF(CH32&lt;=0,ALH31,ALH31-G32*MAX(0,CH32*ALH31-(JG32+MT32)))),ALH31*(1-MAX(0,CH32)*H_Exit))</f>
        <v>1310.29773682598</v>
      </c>
      <c r="FV32" s="20" t="n">
        <f aca="false">IF(H_Direct=1,IF(ALI31&lt;=0,0,IF(CI32&lt;=0,ALI31,ALI31-G32*MAX(0,CI32*ALI31-(JH32+MU32)))),ALI31*(1-MAX(0,CI32)*H_Exit))</f>
        <v>1277.26440235273</v>
      </c>
      <c r="FW32" s="20" t="n">
        <f aca="false">IF(H_Direct=1,IF(ALJ31&lt;=0,0,IF(CJ32&lt;=0,ALJ31,ALJ31-G32*MAX(0,CJ32*ALJ31-(JI32+MV32)))),ALJ31*(1-MAX(0,CJ32)*H_Exit))</f>
        <v>4018.84198129449</v>
      </c>
      <c r="FX32" s="20" t="n">
        <f aca="false">IF(H_Direct=1,IF(ALK31&lt;=0,0,IF(CK32&lt;=0,ALK31,ALK31-G32*MAX(0,CK32*ALK31-(JJ32+MW32)))),ALK31*(1-MAX(0,CK32)*H_Exit))</f>
        <v>3991.65504233842</v>
      </c>
      <c r="FY32" s="20" t="n">
        <f aca="false">IF(H_Direct=1,IF(ALL31&lt;=0,0,IF(CL32&lt;=0,ALL31,ALL31-G32*MAX(0,CL32*ALL31-(JK32+MX32)))),ALL31*(1-MAX(0,CL32)*H_Exit))</f>
        <v>3965.99289880674</v>
      </c>
      <c r="FZ32" s="20" t="n">
        <f aca="false">IF(H_Direct=1,IF(ALM31&lt;=0,0,IF(CM32&lt;=0,ALM31,ALM31-G32*MAX(0,CM32*ALM31-(JL32+MY32)))),ALM31*(1-MAX(0,CM32)*H_Exit))</f>
        <v>3941.846267104</v>
      </c>
      <c r="GA32" s="20" t="n">
        <f aca="false">IF(H_Direct=1,IF(ALN31&lt;=0,0,IF(CN32&lt;=0,ALN31,ALN31-G32*MAX(0,CN32*ALN31-(JM32+MZ32)))),ALN31*(1-MAX(0,CN32)*H_Exit))</f>
        <v>3919.20644295334</v>
      </c>
      <c r="GB32" s="20" t="n">
        <f aca="false">IF(H_Direct=1,IF(ALO31&lt;=0,0,IF(CO32&lt;=0,ALO31,ALO31-G32*MAX(0,CO32*ALO31-(JN32+NA32)))),ALO31*(1-MAX(0,CO32)*H_Exit))</f>
        <v>3898.06529827146</v>
      </c>
      <c r="GC32" s="20" t="n">
        <f aca="false">IF(H_Direct=1,IF(ALP31&lt;=0,0,IF(CP32&lt;=0,ALP31,ALP31-G32*MAX(0,CP32*ALP31-(JO32+NB32)))),ALP31*(1-MAX(0,CP32)*H_Exit))</f>
        <v>3878.41527826403</v>
      </c>
      <c r="GD32" s="20" t="n">
        <f aca="false">IF(H_Direct=1,IF((P32+S32)&lt;=0,0,IF(CQ32&lt;=0,(P32+S32),(P32+S32)-G32*MAX(0,CQ32*(P32+S32)-(JP32+NC32)))),(P32+S32)*(1-MAX(0,CQ32)*H_Exit))</f>
        <v>0</v>
      </c>
      <c r="GE32" s="20" t="n">
        <v>0</v>
      </c>
      <c r="GF32" s="20" t="n">
        <v>0</v>
      </c>
      <c r="GG32" s="20" t="n">
        <v>0</v>
      </c>
      <c r="GH32" s="20" t="n">
        <v>0</v>
      </c>
      <c r="GI32" s="20" t="n">
        <v>0</v>
      </c>
      <c r="GJ32" s="20" t="n">
        <v>0</v>
      </c>
      <c r="GK32" s="20" t="n">
        <v>0</v>
      </c>
      <c r="GL32" s="20" t="n">
        <v>0</v>
      </c>
      <c r="GM32" s="20" t="n">
        <v>0</v>
      </c>
      <c r="GN32" s="20" t="n">
        <v>0</v>
      </c>
      <c r="GO32" s="20" t="n">
        <v>0</v>
      </c>
      <c r="GP32" s="20" t="n">
        <v>0</v>
      </c>
      <c r="GQ32" s="20" t="n">
        <v>0</v>
      </c>
      <c r="GR32" s="20" t="n">
        <v>0</v>
      </c>
      <c r="GS32" s="20" t="n">
        <v>0</v>
      </c>
      <c r="GT32" s="20" t="n">
        <v>0</v>
      </c>
      <c r="GU32" s="20" t="n">
        <v>0</v>
      </c>
      <c r="GV32" s="20" t="n">
        <v>0</v>
      </c>
      <c r="GW32" s="20" t="n">
        <v>0</v>
      </c>
      <c r="GX32" s="20" t="n">
        <v>0</v>
      </c>
      <c r="GY32" s="20" t="n">
        <v>0</v>
      </c>
      <c r="GZ32" s="20" t="n">
        <v>0</v>
      </c>
      <c r="HA32" s="20" t="n">
        <v>0</v>
      </c>
      <c r="HB32" s="20" t="n">
        <v>0</v>
      </c>
      <c r="HC32" s="20" t="n">
        <v>0</v>
      </c>
      <c r="HD32" s="20" t="n">
        <v>0</v>
      </c>
      <c r="HE32" s="20" t="n">
        <v>0</v>
      </c>
      <c r="HF32" s="20" t="n">
        <v>0</v>
      </c>
      <c r="HG32" s="20" t="n">
        <v>0</v>
      </c>
      <c r="HH32" s="20" t="n">
        <v>0</v>
      </c>
      <c r="HI32" s="20" t="n">
        <v>0</v>
      </c>
      <c r="HJ32" s="20" t="n">
        <v>0</v>
      </c>
      <c r="HK32" s="20" t="n">
        <v>0</v>
      </c>
      <c r="HL32" s="20" t="n">
        <v>0</v>
      </c>
      <c r="HM32" s="20" t="n">
        <v>0</v>
      </c>
      <c r="HN32" s="20" t="n">
        <v>0</v>
      </c>
      <c r="HO32" s="20" t="n">
        <v>0</v>
      </c>
      <c r="HP32" s="20" t="n">
        <v>0</v>
      </c>
      <c r="HQ32" s="20" t="n">
        <v>0</v>
      </c>
      <c r="HR32" s="20" t="n">
        <v>0</v>
      </c>
      <c r="HS32" s="20" t="n">
        <v>0</v>
      </c>
      <c r="HT32" s="20" t="n">
        <v>0</v>
      </c>
      <c r="HU32" s="20" t="n">
        <v>0</v>
      </c>
      <c r="HV32" s="20" t="n">
        <v>0</v>
      </c>
      <c r="HW32" s="20" t="n">
        <v>0</v>
      </c>
      <c r="HX32" s="20" t="n">
        <v>0</v>
      </c>
      <c r="HY32" s="20" t="n">
        <v>0</v>
      </c>
      <c r="HZ32" s="20" t="n">
        <v>0</v>
      </c>
      <c r="IA32" s="20" t="n">
        <v>0</v>
      </c>
      <c r="IB32" s="20" t="n">
        <v>0</v>
      </c>
      <c r="IC32" s="20" t="n">
        <v>0</v>
      </c>
      <c r="ID32" s="20" t="n">
        <v>0</v>
      </c>
      <c r="IE32" s="20" t="n">
        <v>0</v>
      </c>
      <c r="IF32" s="20" t="n">
        <v>0</v>
      </c>
      <c r="IG32" s="20" t="n">
        <v>0</v>
      </c>
      <c r="IH32" s="20" t="n">
        <v>0</v>
      </c>
      <c r="II32" s="20" t="n">
        <v>0</v>
      </c>
      <c r="IJ32" s="20" t="n">
        <v>0</v>
      </c>
      <c r="IK32" s="20" t="n">
        <v>0</v>
      </c>
      <c r="IL32" s="20" t="n">
        <v>0</v>
      </c>
      <c r="IM32" s="20" t="n">
        <v>0</v>
      </c>
      <c r="IN32" s="20" t="n">
        <v>0</v>
      </c>
      <c r="IO32" s="20" t="n">
        <v>0</v>
      </c>
      <c r="IP32" s="20" t="n">
        <v>0</v>
      </c>
      <c r="IQ32" s="20" t="n">
        <v>0</v>
      </c>
      <c r="IR32" s="20" t="n">
        <f aca="false">IF(AND(H_Direct=1,BR32&gt;0),MAX(0,H32-(MIN(BR32*AKR31,H32+I32)-MIN(MIN(BR32*AKR31,H32+I32),I32))),H32)</f>
        <v>1270</v>
      </c>
      <c r="IS32" s="20" t="n">
        <f aca="false">IF(AND(H_Direct=1,BS32&gt;0),MAX(0,IR32-(MIN(BS32*AKS31,IR32+ME32)-MIN(MIN(BS32*AKS31,IR32+ME32),ME32))),IR32)</f>
        <v>1270</v>
      </c>
      <c r="IT32" s="20" t="n">
        <f aca="false">IF(AND(H_Direct=1,BT32&gt;0),MAX(0,IS32-(MIN(BT32*AKT31,IS32+MF32)-MIN(MIN(BT32*AKT31,IS32+MF32),MF32))),IS32)</f>
        <v>1270</v>
      </c>
      <c r="IU32" s="20" t="n">
        <f aca="false">IF(AND(H_Direct=1,BU32&gt;0),MAX(0,IT32-(MIN(BU32*AKU31,IT32+MG32)-MIN(MIN(BU32*AKU31,IT32+MG32),MG32))),IT32)</f>
        <v>1270</v>
      </c>
      <c r="IV32" s="20" t="n">
        <f aca="false">IF(AND(H_Direct=1,BV32&gt;0),MAX(0,IU32-(MIN(BV32*AKV31,IU32+MH32)-MIN(MIN(BV32*AKV31,IU32+MH32),MH32))),IU32)</f>
        <v>1270</v>
      </c>
      <c r="IW32" s="20" t="n">
        <f aca="false">IF(AND(H_Direct=1,BW32&gt;0),MAX(0,IV32-(MIN(BW32*AKW31,IV32+MI32)-MIN(MIN(BW32*AKW31,IV32+MI32),MI32))),IV32)</f>
        <v>1270</v>
      </c>
      <c r="IX32" s="20" t="n">
        <f aca="false">IF(AND(H_Direct=1,BX32&gt;0),MAX(0,IW32-(MIN(BX32*AKX31,IW32+MJ32)-MIN(MIN(BX32*AKX31,IW32+MJ32),MJ32))),IW32)</f>
        <v>1270</v>
      </c>
      <c r="IY32" s="20" t="n">
        <f aca="false">IF(AND(H_Direct=1,BY32&gt;0),MAX(0,IX32-(MIN(BY32*AKY31,IX32+MK32)-MIN(MIN(BY32*AKY31,IX32+MK32),MK32))),IX32)</f>
        <v>1270</v>
      </c>
      <c r="IZ32" s="20" t="n">
        <f aca="false">IF(AND(H_Direct=1,BZ32&gt;0),MAX(0,IY32-(MIN(BZ32*AKZ31,IY32+ML32)-MIN(MIN(BZ32*AKZ31,IY32+ML32),ML32))),IY32)</f>
        <v>1270</v>
      </c>
      <c r="JA32" s="20" t="n">
        <f aca="false">IF(AND(H_Direct=1,CA32&gt;0),MAX(0,IZ32-(MIN(CA32*ALA31,IZ32+MM32)-MIN(MIN(CA32*ALA31,IZ32+MM32),MM32))),IZ32)</f>
        <v>1270</v>
      </c>
      <c r="JB32" s="20" t="n">
        <f aca="false">IF(AND(H_Direct=1,CB32&gt;0),MAX(0,JA32-(MIN(CB32*ALB31,JA32+MN32)-MIN(MIN(CB32*ALB31,JA32+MN32),MN32))),JA32)</f>
        <v>1270</v>
      </c>
      <c r="JC32" s="20" t="n">
        <f aca="false">IF(AND(H_Direct=1,CC32&gt;0),MAX(0,JB32-(MIN(CC32*ALC31,JB32+MO32)-MIN(MIN(CC32*ALC31,JB32+MO32),MO32))),JB32)</f>
        <v>1270</v>
      </c>
      <c r="JD32" s="20" t="n">
        <f aca="false">IF(AND(H_Direct=1,CD32&gt;0),MAX(0,JC32-(MIN(CD32*ALD31,JC32+MP32)-MIN(MIN(CD32*ALD31,JC32+MP32),MP32))),JC32)</f>
        <v>1270</v>
      </c>
      <c r="JE32" s="20" t="n">
        <f aca="false">IF(AND(H_Direct=1,CE32&gt;0),MAX(0,JD32-(MIN(CE32*ALE31,JD32+MQ32)-MIN(MIN(CE32*ALE31,JD32+MQ32),MQ32))),JD32)</f>
        <v>1270</v>
      </c>
      <c r="JF32" s="20" t="n">
        <f aca="false">IF(AND(H_Direct=1,CF32&gt;0),MAX(0,JE32-(MIN(CF32*ALF31,JE32+MR32)-MIN(MIN(CF32*ALF31,JE32+MR32),MR32))),JE32)</f>
        <v>1270</v>
      </c>
      <c r="JG32" s="20" t="n">
        <f aca="false">IF(AND(H_Direct=1,CG32&gt;0),MAX(0,JF32-(MIN(CG32*ALG31,JF32+MS32)-MIN(MIN(CG32*ALG31,JF32+MS32),MS32))),JF32)</f>
        <v>1270</v>
      </c>
      <c r="JH32" s="20" t="n">
        <f aca="false">IF(AND(H_Direct=1,CH32&gt;0),MAX(0,JG32-(MIN(CH32*ALH31,JG32+MT32)-MIN(MIN(CH32*ALH31,JG32+MT32),MT32))),JG32)</f>
        <v>1270</v>
      </c>
      <c r="JI32" s="20" t="n">
        <f aca="false">IF(AND(H_Direct=1,CI32&gt;0),MAX(0,JH32-(MIN(CI32*ALI31,JH32+MU32)-MIN(MIN(CI32*ALI31,JH32+MU32),MU32))),JH32)</f>
        <v>1270</v>
      </c>
      <c r="JJ32" s="20" t="n">
        <f aca="false">IF(AND(H_Direct=1,CJ32&gt;0),MAX(0,JI32-(MIN(CJ32*ALJ31,JI32+MV32)-MIN(MIN(CJ32*ALJ31,JI32+MV32),MV32))),JI32)</f>
        <v>1270</v>
      </c>
      <c r="JK32" s="20" t="n">
        <f aca="false">IF(AND(H_Direct=1,CK32&gt;0),MAX(0,JJ32-(MIN(CK32*ALK31,JJ32+MW32)-MIN(MIN(CK32*ALK31,JJ32+MW32),MW32))),JJ32)</f>
        <v>1270</v>
      </c>
      <c r="JL32" s="20" t="n">
        <f aca="false">IF(AND(H_Direct=1,CL32&gt;0),MAX(0,JK32-(MIN(CL32*ALL31,JK32+MX32)-MIN(MIN(CL32*ALL31,JK32+MX32),MX32))),JK32)</f>
        <v>1270</v>
      </c>
      <c r="JM32" s="20" t="n">
        <f aca="false">IF(AND(H_Direct=1,CM32&gt;0),MAX(0,JL32-(MIN(CM32*ALM31,JL32+MY32)-MIN(MIN(CM32*ALM31,JL32+MY32),MY32))),JL32)</f>
        <v>1270</v>
      </c>
      <c r="JN32" s="20" t="n">
        <f aca="false">IF(AND(H_Direct=1,CN32&gt;0),MAX(0,JM32-(MIN(CN32*ALN31,JM32+MZ32)-MIN(MIN(CN32*ALN31,JM32+MZ32),MZ32))),JM32)</f>
        <v>1270</v>
      </c>
      <c r="JO32" s="20" t="n">
        <f aca="false">IF(AND(H_Direct=1,CO32&gt;0),MAX(0,JN32-(MIN(CO32*ALO31,JN32+NA32)-MIN(MIN(CO32*ALO31,JN32+NA32),NA32))),JN32)</f>
        <v>1270</v>
      </c>
      <c r="JP32" s="20" t="n">
        <f aca="false">IF(AND(H_Direct=1,CP32&gt;0),MAX(0,JO32-(MIN(CP32*ALP31,JO32+NB32)-MIN(MIN(CP32*ALP31,JO32+NB32),NB32))),JO32)</f>
        <v>1270</v>
      </c>
      <c r="JQ32" s="20" t="n">
        <f aca="false">IF(AND(H_Direct=1,CQ32&gt;0),MAX(0,JP32-(MIN(CQ32*(P32+S32),JP32+NC32)-MIN(MIN(CQ32*(P32+S32),JP32+NC32),NC32))),JP32)</f>
        <v>1270</v>
      </c>
      <c r="JR32" s="20" t="n">
        <f aca="false">JQ32</f>
        <v>1270</v>
      </c>
      <c r="JS32" s="20" t="n">
        <f aca="false">JR32</f>
        <v>1270</v>
      </c>
      <c r="JT32" s="20" t="n">
        <f aca="false">JS32</f>
        <v>1270</v>
      </c>
      <c r="JU32" s="20" t="n">
        <f aca="false">JT32</f>
        <v>1270</v>
      </c>
      <c r="JV32" s="20" t="n">
        <f aca="false">JU32</f>
        <v>1270</v>
      </c>
      <c r="JW32" s="20" t="n">
        <f aca="false">JV32</f>
        <v>1270</v>
      </c>
      <c r="JX32" s="20" t="n">
        <f aca="false">JW32</f>
        <v>1270</v>
      </c>
      <c r="JY32" s="20" t="n">
        <f aca="false">JX32</f>
        <v>1270</v>
      </c>
      <c r="JZ32" s="20" t="n">
        <f aca="false">JY32</f>
        <v>1270</v>
      </c>
      <c r="KA32" s="20" t="n">
        <f aca="false">JZ32</f>
        <v>1270</v>
      </c>
      <c r="KB32" s="20" t="n">
        <f aca="false">KA32</f>
        <v>1270</v>
      </c>
      <c r="KC32" s="20" t="n">
        <f aca="false">KB32</f>
        <v>1270</v>
      </c>
      <c r="KD32" s="20" t="n">
        <f aca="false">KC32</f>
        <v>1270</v>
      </c>
      <c r="KE32" s="20" t="n">
        <f aca="false">KD32</f>
        <v>1270</v>
      </c>
      <c r="KF32" s="20" t="n">
        <f aca="false">KE32</f>
        <v>1270</v>
      </c>
      <c r="KG32" s="20" t="n">
        <f aca="false">KF32</f>
        <v>1270</v>
      </c>
      <c r="KH32" s="20" t="n">
        <f aca="false">KG32</f>
        <v>1270</v>
      </c>
      <c r="KI32" s="20" t="n">
        <f aca="false">KH32</f>
        <v>1270</v>
      </c>
      <c r="KJ32" s="20" t="n">
        <f aca="false">KI32</f>
        <v>1270</v>
      </c>
      <c r="KK32" s="20" t="n">
        <f aca="false">KJ32</f>
        <v>1270</v>
      </c>
      <c r="KL32" s="20" t="n">
        <f aca="false">KK32</f>
        <v>1270</v>
      </c>
      <c r="KM32" s="20" t="n">
        <f aca="false">KL32</f>
        <v>1270</v>
      </c>
      <c r="KN32" s="20" t="n">
        <f aca="false">KM32</f>
        <v>1270</v>
      </c>
      <c r="KO32" s="20" t="n">
        <f aca="false">KN32</f>
        <v>1270</v>
      </c>
      <c r="KP32" s="20" t="n">
        <f aca="false">KO32</f>
        <v>1270</v>
      </c>
      <c r="KQ32" s="20" t="n">
        <f aca="false">KP32</f>
        <v>1270</v>
      </c>
      <c r="KR32" s="20" t="n">
        <f aca="false">KQ32</f>
        <v>1270</v>
      </c>
      <c r="KS32" s="20" t="n">
        <f aca="false">KR32</f>
        <v>1270</v>
      </c>
      <c r="KT32" s="20" t="n">
        <f aca="false">KS32</f>
        <v>1270</v>
      </c>
      <c r="KU32" s="20" t="n">
        <f aca="false">KT32</f>
        <v>1270</v>
      </c>
      <c r="KV32" s="20" t="n">
        <f aca="false">KU32</f>
        <v>1270</v>
      </c>
      <c r="KW32" s="20" t="n">
        <f aca="false">KV32</f>
        <v>1270</v>
      </c>
      <c r="KX32" s="20" t="n">
        <f aca="false">KW32</f>
        <v>1270</v>
      </c>
      <c r="KY32" s="20" t="n">
        <f aca="false">KX32</f>
        <v>1270</v>
      </c>
      <c r="KZ32" s="20" t="n">
        <f aca="false">KY32</f>
        <v>1270</v>
      </c>
      <c r="LA32" s="20" t="n">
        <f aca="false">KZ32</f>
        <v>1270</v>
      </c>
      <c r="LB32" s="20" t="n">
        <f aca="false">LA32</f>
        <v>1270</v>
      </c>
      <c r="LC32" s="20" t="n">
        <f aca="false">LB32</f>
        <v>1270</v>
      </c>
      <c r="LD32" s="20" t="n">
        <f aca="false">LC32</f>
        <v>1270</v>
      </c>
      <c r="LE32" s="20" t="n">
        <f aca="false">LD32</f>
        <v>1270</v>
      </c>
      <c r="LF32" s="20" t="n">
        <f aca="false">LE32</f>
        <v>1270</v>
      </c>
      <c r="LG32" s="20" t="n">
        <f aca="false">LF32</f>
        <v>1270</v>
      </c>
      <c r="LH32" s="20" t="n">
        <f aca="false">LG32</f>
        <v>1270</v>
      </c>
      <c r="LI32" s="20" t="n">
        <f aca="false">LH32</f>
        <v>1270</v>
      </c>
      <c r="LJ32" s="20" t="n">
        <f aca="false">LI32</f>
        <v>1270</v>
      </c>
      <c r="LK32" s="20" t="n">
        <f aca="false">LJ32</f>
        <v>1270</v>
      </c>
      <c r="LL32" s="20" t="n">
        <f aca="false">LK32</f>
        <v>1270</v>
      </c>
      <c r="LM32" s="20" t="n">
        <f aca="false">LL32</f>
        <v>1270</v>
      </c>
      <c r="LN32" s="20" t="n">
        <f aca="false">LM32</f>
        <v>1270</v>
      </c>
      <c r="LO32" s="20" t="n">
        <f aca="false">LN32</f>
        <v>1270</v>
      </c>
      <c r="LP32" s="20" t="n">
        <f aca="false">LO32</f>
        <v>1270</v>
      </c>
      <c r="LQ32" s="20" t="n">
        <f aca="false">LP32</f>
        <v>1270</v>
      </c>
      <c r="LR32" s="20" t="n">
        <f aca="false">LQ32</f>
        <v>1270</v>
      </c>
      <c r="LS32" s="20" t="n">
        <f aca="false">LR32</f>
        <v>1270</v>
      </c>
      <c r="LT32" s="20" t="n">
        <f aca="false">LS32</f>
        <v>1270</v>
      </c>
      <c r="LU32" s="20" t="n">
        <f aca="false">LT32</f>
        <v>1270</v>
      </c>
      <c r="LV32" s="20" t="n">
        <f aca="false">LU32</f>
        <v>1270</v>
      </c>
      <c r="LW32" s="20" t="n">
        <f aca="false">LV32</f>
        <v>1270</v>
      </c>
      <c r="LX32" s="20" t="n">
        <f aca="false">LW32</f>
        <v>1270</v>
      </c>
      <c r="LY32" s="20" t="n">
        <f aca="false">LX32</f>
        <v>1270</v>
      </c>
      <c r="LZ32" s="20" t="n">
        <f aca="false">LY32</f>
        <v>1270</v>
      </c>
      <c r="MA32" s="20" t="n">
        <f aca="false">LZ32</f>
        <v>1270</v>
      </c>
      <c r="MB32" s="20" t="n">
        <f aca="false">MA32</f>
        <v>1270</v>
      </c>
      <c r="MC32" s="20" t="n">
        <f aca="false">MB32</f>
        <v>1270</v>
      </c>
      <c r="MD32" s="20" t="n">
        <f aca="false">MC32</f>
        <v>1270</v>
      </c>
      <c r="ME32" s="20" t="n">
        <f aca="false">IF(H_Direct=1,IF(BR32&lt;=0,I32-BR32*AKR31,I32-MIN(MIN(BR32*AKR31,H32+I32),I32)),I32)</f>
        <v>0</v>
      </c>
      <c r="MF32" s="20" t="n">
        <f aca="false">IF(H_Direct=1,IF(BS32&lt;=0,ME32-BS32*AKS31,ME32-MIN(MIN(BS32*AKS31,IR32+ME32),ME32)),ME32)</f>
        <v>0</v>
      </c>
      <c r="MG32" s="20" t="n">
        <f aca="false">IF(H_Direct=1,IF(BT32&lt;=0,MF32-BT32*AKT31,MF32-MIN(MIN(BT32*AKT31,IS32+MF32),MF32)),MF32)</f>
        <v>0</v>
      </c>
      <c r="MH32" s="20" t="n">
        <f aca="false">IF(H_Direct=1,IF(BU32&lt;=0,MG32-BU32*AKU31,MG32-MIN(MIN(BU32*AKU31,IT32+MG32),MG32)),MG32)</f>
        <v>0</v>
      </c>
      <c r="MI32" s="20" t="n">
        <f aca="false">IF(H_Direct=1,IF(BV32&lt;=0,MH32-BV32*AKV31,MH32-MIN(MIN(BV32*AKV31,IU32+MH32),MH32)),MH32)</f>
        <v>0</v>
      </c>
      <c r="MJ32" s="20" t="n">
        <f aca="false">IF(H_Direct=1,IF(BW32&lt;=0,MI32-BW32*AKW31,MI32-MIN(MIN(BW32*AKW31,IV32+MI32),MI32)),MI32)</f>
        <v>0</v>
      </c>
      <c r="MK32" s="20" t="n">
        <f aca="false">IF(H_Direct=1,IF(BX32&lt;=0,MJ32-BX32*AKX31,MJ32-MIN(MIN(BX32*AKX31,IW32+MJ32),MJ32)),MJ32)</f>
        <v>0</v>
      </c>
      <c r="ML32" s="20" t="n">
        <f aca="false">IF(H_Direct=1,IF(BY32&lt;=0,MK32-BY32*AKY31,MK32-MIN(MIN(BY32*AKY31,IX32+MK32),MK32)),MK32)</f>
        <v>0</v>
      </c>
      <c r="MM32" s="20" t="n">
        <f aca="false">IF(H_Direct=1,IF(BZ32&lt;=0,ML32-BZ32*AKZ31,ML32-MIN(MIN(BZ32*AKZ31,IY32+ML32),ML32)),ML32)</f>
        <v>0</v>
      </c>
      <c r="MN32" s="20" t="n">
        <f aca="false">IF(H_Direct=1,IF(CA32&lt;=0,MM32-CA32*ALA31,MM32-MIN(MIN(CA32*ALA31,IZ32+MM32),MM32)),MM32)</f>
        <v>0</v>
      </c>
      <c r="MO32" s="20" t="n">
        <f aca="false">IF(H_Direct=1,IF(CB32&lt;=0,MN32-CB32*ALB31,MN32-MIN(MIN(CB32*ALB31,JA32+MN32),MN32)),MN32)</f>
        <v>0</v>
      </c>
      <c r="MP32" s="20" t="n">
        <f aca="false">IF(H_Direct=1,IF(CC32&lt;=0,MO32-CC32*ALC31,MO32-MIN(MIN(CC32*ALC31,JB32+MO32),MO32)),MO32)</f>
        <v>0</v>
      </c>
      <c r="MQ32" s="20" t="n">
        <f aca="false">IF(H_Direct=1,IF(CD32&lt;=0,MP32-CD32*ALD31,MP32-MIN(MIN(CD32*ALD31,JC32+MP32),MP32)),MP32)</f>
        <v>0</v>
      </c>
      <c r="MR32" s="20" t="n">
        <f aca="false">IF(H_Direct=1,IF(CE32&lt;=0,MQ32-CE32*ALE31,MQ32-MIN(MIN(CE32*ALE31,JD32+MQ32),MQ32)),MQ32)</f>
        <v>0</v>
      </c>
      <c r="MS32" s="20" t="n">
        <f aca="false">IF(H_Direct=1,IF(CF32&lt;=0,MR32-CF32*ALF31,MR32-MIN(MIN(CF32*ALF31,JE32+MR32),MR32)),MR32)</f>
        <v>0</v>
      </c>
      <c r="MT32" s="20" t="n">
        <f aca="false">IF(H_Direct=1,IF(CG32&lt;=0,MS32-CG32*ALG31,MS32-MIN(MIN(CG32*ALG31,JF32+MS32),MS32)),MS32)</f>
        <v>0</v>
      </c>
      <c r="MU32" s="20" t="n">
        <f aca="false">IF(H_Direct=1,IF(CH32&lt;=0,MT32-CH32*ALH31,MT32-MIN(MIN(CH32*ALH31,JG32+MT32),MT32)),MT32)</f>
        <v>0</v>
      </c>
      <c r="MV32" s="20" t="n">
        <f aca="false">IF(H_Direct=1,IF(CI32&lt;=0,MU32-CI32*ALI31,MU32-MIN(MIN(CI32*ALI31,JH32+MU32),MU32)),MU32)</f>
        <v>0</v>
      </c>
      <c r="MW32" s="20" t="n">
        <f aca="false">IF(H_Direct=1,IF(CJ32&lt;=0,MV32-CJ32*ALJ31,MV32-MIN(MIN(CJ32*ALJ31,JI32+MV32),MV32)),MV32)</f>
        <v>0</v>
      </c>
      <c r="MX32" s="20" t="n">
        <f aca="false">IF(H_Direct=1,IF(CK32&lt;=0,MW32-CK32*ALK31,MW32-MIN(MIN(CK32*ALK31,JJ32+MW32),MW32)),MW32)</f>
        <v>0</v>
      </c>
      <c r="MY32" s="20" t="n">
        <f aca="false">IF(H_Direct=1,IF(CL32&lt;=0,MX32-CL32*ALL31,MX32-MIN(MIN(CL32*ALL31,JK32+MX32),MX32)),MX32)</f>
        <v>0</v>
      </c>
      <c r="MZ32" s="20" t="n">
        <f aca="false">IF(H_Direct=1,IF(CM32&lt;=0,MY32-CM32*ALM31,MY32-MIN(MIN(CM32*ALM31,JL32+MY32),MY32)),MY32)</f>
        <v>0</v>
      </c>
      <c r="NA32" s="20" t="n">
        <f aca="false">IF(H_Direct=1,IF(CN32&lt;=0,MZ32-CN32*ALN31,MZ32-MIN(MIN(CN32*ALN31,JM32+MZ32),MZ32)),MZ32)</f>
        <v>0</v>
      </c>
      <c r="NB32" s="20" t="n">
        <f aca="false">IF(H_Direct=1,IF(CO32&lt;=0,NA32-CO32*ALO31,NA32-MIN(MIN(CO32*ALO31,JN32+NA32),NA32)),NA32)</f>
        <v>0</v>
      </c>
      <c r="NC32" s="20" t="n">
        <f aca="false">IF(H_Direct=1,IF(CP32&lt;=0,NB32-CP32*ALP31,NB32-MIN(MIN(CP32*ALP31,JO32+NB32),NB32)),NB32)</f>
        <v>0</v>
      </c>
      <c r="ND32" s="20" t="n">
        <f aca="false">IF(H_Direct=1,IF(CQ32&lt;=0,NC32-CQ32*(P32+S32),NC32-MIN(MIN(CQ32*(P32+S32),JP32+NC32),NC32)),NC32)</f>
        <v>0</v>
      </c>
      <c r="NE32" s="20" t="n">
        <f aca="false">ND32</f>
        <v>0</v>
      </c>
      <c r="NF32" s="20" t="n">
        <f aca="false">NE32</f>
        <v>0</v>
      </c>
      <c r="NG32" s="20" t="n">
        <f aca="false">NF32</f>
        <v>0</v>
      </c>
      <c r="NH32" s="20" t="n">
        <f aca="false">NG32</f>
        <v>0</v>
      </c>
      <c r="NI32" s="20" t="n">
        <f aca="false">NH32</f>
        <v>0</v>
      </c>
      <c r="NJ32" s="20" t="n">
        <f aca="false">NI32</f>
        <v>0</v>
      </c>
      <c r="NK32" s="20" t="n">
        <f aca="false">NJ32</f>
        <v>0</v>
      </c>
      <c r="NL32" s="20" t="n">
        <f aca="false">NK32</f>
        <v>0</v>
      </c>
      <c r="NM32" s="20" t="n">
        <f aca="false">NL32</f>
        <v>0</v>
      </c>
      <c r="NN32" s="20" t="n">
        <f aca="false">NM32</f>
        <v>0</v>
      </c>
      <c r="NO32" s="20" t="n">
        <f aca="false">NN32</f>
        <v>0</v>
      </c>
      <c r="NP32" s="20" t="n">
        <f aca="false">NO32</f>
        <v>0</v>
      </c>
      <c r="NQ32" s="20" t="n">
        <f aca="false">NP32</f>
        <v>0</v>
      </c>
      <c r="NR32" s="20" t="n">
        <f aca="false">NQ32</f>
        <v>0</v>
      </c>
      <c r="NS32" s="20" t="n">
        <f aca="false">NR32</f>
        <v>0</v>
      </c>
      <c r="NT32" s="20" t="n">
        <f aca="false">NS32</f>
        <v>0</v>
      </c>
      <c r="NU32" s="20" t="n">
        <f aca="false">NT32</f>
        <v>0</v>
      </c>
      <c r="NV32" s="20" t="n">
        <f aca="false">NU32</f>
        <v>0</v>
      </c>
      <c r="NW32" s="20" t="n">
        <f aca="false">NV32</f>
        <v>0</v>
      </c>
      <c r="NX32" s="20" t="n">
        <f aca="false">NW32</f>
        <v>0</v>
      </c>
      <c r="NY32" s="20" t="n">
        <f aca="false">NX32</f>
        <v>0</v>
      </c>
      <c r="NZ32" s="20" t="n">
        <f aca="false">NY32</f>
        <v>0</v>
      </c>
      <c r="OA32" s="20" t="n">
        <f aca="false">NZ32</f>
        <v>0</v>
      </c>
      <c r="OB32" s="20" t="n">
        <f aca="false">OA32</f>
        <v>0</v>
      </c>
      <c r="OC32" s="20" t="n">
        <f aca="false">OB32</f>
        <v>0</v>
      </c>
      <c r="OD32" s="20" t="n">
        <f aca="false">OC32</f>
        <v>0</v>
      </c>
      <c r="OE32" s="20" t="n">
        <f aca="false">OD32</f>
        <v>0</v>
      </c>
      <c r="OF32" s="20" t="n">
        <f aca="false">OE32</f>
        <v>0</v>
      </c>
      <c r="OG32" s="20" t="n">
        <f aca="false">OF32</f>
        <v>0</v>
      </c>
      <c r="OH32" s="20" t="n">
        <f aca="false">OG32</f>
        <v>0</v>
      </c>
      <c r="OI32" s="20" t="n">
        <f aca="false">OH32</f>
        <v>0</v>
      </c>
      <c r="OJ32" s="20" t="n">
        <f aca="false">OI32</f>
        <v>0</v>
      </c>
      <c r="OK32" s="20" t="n">
        <f aca="false">OJ32</f>
        <v>0</v>
      </c>
      <c r="OL32" s="20" t="n">
        <f aca="false">OK32</f>
        <v>0</v>
      </c>
      <c r="OM32" s="20" t="n">
        <f aca="false">OL32</f>
        <v>0</v>
      </c>
      <c r="ON32" s="20" t="n">
        <f aca="false">OM32</f>
        <v>0</v>
      </c>
      <c r="OO32" s="20" t="n">
        <f aca="false">ON32</f>
        <v>0</v>
      </c>
      <c r="OP32" s="20" t="n">
        <f aca="false">OO32</f>
        <v>0</v>
      </c>
      <c r="OQ32" s="20" t="n">
        <f aca="false">OP32</f>
        <v>0</v>
      </c>
      <c r="OR32" s="20" t="n">
        <f aca="false">OQ32</f>
        <v>0</v>
      </c>
      <c r="OS32" s="20" t="n">
        <f aca="false">OR32</f>
        <v>0</v>
      </c>
      <c r="OT32" s="20" t="n">
        <f aca="false">OS32</f>
        <v>0</v>
      </c>
      <c r="OU32" s="20" t="n">
        <f aca="false">OT32</f>
        <v>0</v>
      </c>
      <c r="OV32" s="20" t="n">
        <f aca="false">OU32</f>
        <v>0</v>
      </c>
      <c r="OW32" s="20" t="n">
        <f aca="false">OV32</f>
        <v>0</v>
      </c>
      <c r="OX32" s="20" t="n">
        <f aca="false">OW32</f>
        <v>0</v>
      </c>
      <c r="OY32" s="20" t="n">
        <f aca="false">OX32</f>
        <v>0</v>
      </c>
      <c r="OZ32" s="20" t="n">
        <f aca="false">OY32</f>
        <v>0</v>
      </c>
      <c r="PA32" s="20" t="n">
        <f aca="false">OZ32</f>
        <v>0</v>
      </c>
      <c r="PB32" s="20" t="n">
        <f aca="false">PA32</f>
        <v>0</v>
      </c>
      <c r="PC32" s="20" t="n">
        <f aca="false">PB32</f>
        <v>0</v>
      </c>
      <c r="PD32" s="20" t="n">
        <f aca="false">PC32</f>
        <v>0</v>
      </c>
      <c r="PE32" s="20" t="n">
        <f aca="false">PD32</f>
        <v>0</v>
      </c>
      <c r="PF32" s="20" t="n">
        <f aca="false">PE32</f>
        <v>0</v>
      </c>
      <c r="PG32" s="20" t="n">
        <f aca="false">PF32</f>
        <v>0</v>
      </c>
      <c r="PH32" s="20" t="n">
        <f aca="false">PG32</f>
        <v>0</v>
      </c>
      <c r="PI32" s="20" t="n">
        <f aca="false">PH32</f>
        <v>0</v>
      </c>
      <c r="PJ32" s="20" t="n">
        <f aca="false">PI32</f>
        <v>0</v>
      </c>
      <c r="PK32" s="20" t="n">
        <f aca="false">PJ32</f>
        <v>0</v>
      </c>
      <c r="PL32" s="20" t="n">
        <f aca="false">PK32</f>
        <v>0</v>
      </c>
      <c r="PM32" s="20" t="n">
        <f aca="false">PL32</f>
        <v>0</v>
      </c>
      <c r="PN32" s="20" t="n">
        <f aca="false">PM32</f>
        <v>0</v>
      </c>
      <c r="PO32" s="20" t="n">
        <f aca="false">PN32</f>
        <v>0</v>
      </c>
      <c r="PP32" s="20" t="n">
        <f aca="false">PO32</f>
        <v>0</v>
      </c>
      <c r="PQ32" s="20" t="n">
        <f aca="false">PP32</f>
        <v>0</v>
      </c>
      <c r="PR32" s="20" t="n">
        <f aca="false">IF(H_Direct=1,IF(AKR31&lt;=0,0,IF(BR32&lt;=0,MIN(MAX(0,AB32),AKR31),MIN(MAX(0,AB32),AKR31-G32*MAX(0,BR32*AKR31-(H32+I32))))),MIN(FE32,MAX(0,AB32)))</f>
        <v>0</v>
      </c>
      <c r="PS32" s="20" t="n">
        <f aca="false">IF(H_Direct=1,IF(AKS31&lt;=0,0,IF(BS32&lt;=0,MIN(MAX(0,AB32-SUM(PR32:PR32)),AKS31),MIN(MAX(0,AB32-SUM(PR32:PR32)),AKS31-G32*MAX(0,BS32*AKS31-(WR32+AAE32))))),MIN(FF32,MAX(0,AB32-SUM(PR32:PR32))))</f>
        <v>0</v>
      </c>
      <c r="PT32" s="20" t="n">
        <f aca="false">IF(H_Direct=1,IF(AKT31&lt;=0,0,IF(BT32&lt;=0,MIN(MAX(0,AB32-SUM(PR32:PS32)),AKT31),MIN(MAX(0,AB32-SUM(PR32:PS32)),AKT31-G32*MAX(0,BT32*AKT31-(WS32+AAF32))))),MIN(FG32,MAX(0,AB32-SUM(PR32:PS32))))</f>
        <v>0</v>
      </c>
      <c r="PU32" s="20" t="n">
        <f aca="false">IF(H_Direct=1,IF(AKU31&lt;=0,0,IF(BU32&lt;=0,MIN(MAX(0,AB32-SUM(PR32:PT32)),AKU31),MIN(MAX(0,AB32-SUM(PR32:PT32)),AKU31-G32*MAX(0,BU32*AKU31-(WT32+AAG32))))),MIN(FH32,MAX(0,AB32-SUM(PR32:PT32))))</f>
        <v>0</v>
      </c>
      <c r="PV32" s="20" t="n">
        <f aca="false">IF(H_Direct=1,IF(AKV31&lt;=0,0,IF(BV32&lt;=0,MIN(MAX(0,AB32-SUM(PR32:PU32)),AKV31),MIN(MAX(0,AB32-SUM(PR32:PU32)),AKV31-G32*MAX(0,BV32*AKV31-(WU32+AAH32))))),MIN(FI32,MAX(0,AB32-SUM(PR32:PU32))))</f>
        <v>0</v>
      </c>
      <c r="PW32" s="20" t="n">
        <f aca="false">IF(H_Direct=1,IF(AKW31&lt;=0,0,IF(BW32&lt;=0,MIN(MAX(0,AB32-SUM(PR32:PV32)),AKW31),MIN(MAX(0,AB32-SUM(PR32:PV32)),AKW31-G32*MAX(0,BW32*AKW31-(WV32+AAI32))))),MIN(FJ32,MAX(0,AB32-SUM(PR32:PV32))))</f>
        <v>0</v>
      </c>
      <c r="PX32" s="20" t="n">
        <f aca="false">IF(H_Direct=1,IF(AKX31&lt;=0,0,IF(BX32&lt;=0,MIN(MAX(0,AB32-SUM(PR32:PW32)),AKX31),MIN(MAX(0,AB32-SUM(PR32:PW32)),AKX31-G32*MAX(0,BX32*AKX31-(WW32+AAJ32))))),MIN(FK32,MAX(0,AB32-SUM(PR32:PW32))))</f>
        <v>0</v>
      </c>
      <c r="PY32" s="20" t="n">
        <f aca="false">IF(H_Direct=1,IF(AKY31&lt;=0,0,IF(BY32&lt;=0,MIN(MAX(0,AB32-SUM(PR32:PX32)),AKY31),MIN(MAX(0,AB32-SUM(PR32:PX32)),AKY31-G32*MAX(0,BY32*AKY31-(WX32+AAK32))))),MIN(FL32,MAX(0,AB32-SUM(PR32:PX32))))</f>
        <v>0</v>
      </c>
      <c r="PZ32" s="20" t="n">
        <f aca="false">IF(H_Direct=1,IF(AKZ31&lt;=0,0,IF(BZ32&lt;=0,MIN(MAX(0,AB32-SUM(PR32:PY32)),AKZ31),MIN(MAX(0,AB32-SUM(PR32:PY32)),AKZ31-G32*MAX(0,BZ32*AKZ31-(WY32+AAL32))))),MIN(FM32,MAX(0,AB32-SUM(PR32:PY32))))</f>
        <v>0</v>
      </c>
      <c r="QA32" s="20" t="n">
        <f aca="false">IF(H_Direct=1,IF(ALA31&lt;=0,0,IF(CA32&lt;=0,MIN(MAX(0,AB32-SUM(PR32:PZ32)),ALA31),MIN(MAX(0,AB32-SUM(PR32:PZ32)),ALA31-G32*MAX(0,CA32*ALA31-(WZ32+AAM32))))),MIN(FN32,MAX(0,AB32-SUM(PR32:PZ32))))</f>
        <v>0</v>
      </c>
      <c r="QB32" s="20" t="n">
        <f aca="false">IF(H_Direct=1,IF(ALB31&lt;=0,0,IF(CB32&lt;=0,MIN(MAX(0,AB32-SUM(PR32:QA32)),ALB31),MIN(MAX(0,AB32-SUM(PR32:QA32)),ALB31-G32*MAX(0,CB32*ALB31-(XA32+AAN32))))),MIN(FO32,MAX(0,AB32-SUM(PR32:QA32))))</f>
        <v>0</v>
      </c>
      <c r="QC32" s="20" t="n">
        <f aca="false">IF(H_Direct=1,IF(ALC31&lt;=0,0,IF(CC32&lt;=0,MIN(MAX(0,AB32-SUM(PR32:QB32)),ALC31),MIN(MAX(0,AB32-SUM(PR32:QB32)),ALC31-G32*MAX(0,CC32*ALC31-(XB32+AAO32))))),MIN(FP32,MAX(0,AB32-SUM(PR32:QB32))))</f>
        <v>0</v>
      </c>
      <c r="QD32" s="20" t="n">
        <f aca="false">IF(H_Direct=1,IF(ALD31&lt;=0,0,IF(CD32&lt;=0,MIN(MAX(0,AB32-SUM(PR32:QC32)),ALD31),MIN(MAX(0,AB32-SUM(PR32:QC32)),ALD31-G32*MAX(0,CD32*ALD31-(XC32+AAP32))))),MIN(FQ32,MAX(0,AB32-SUM(PR32:QC32))))</f>
        <v>0</v>
      </c>
      <c r="QE32" s="20" t="n">
        <f aca="false">IF(H_Direct=1,IF(ALE31&lt;=0,0,IF(CE32&lt;=0,MIN(MAX(0,AB32-SUM(PR32:QD32)),ALE31),MIN(MAX(0,AB32-SUM(PR32:QD32)),ALE31-G32*MAX(0,CE32*ALE31-(XD32+AAQ32))))),MIN(FR32,MAX(0,AB32-SUM(PR32:QD32))))</f>
        <v>0</v>
      </c>
      <c r="QF32" s="20" t="n">
        <f aca="false">IF(H_Direct=1,IF(ALF31&lt;=0,0,IF(CF32&lt;=0,MIN(MAX(0,AB32-SUM(PR32:QE32)),ALF31),MIN(MAX(0,AB32-SUM(PR32:QE32)),ALF31-G32*MAX(0,CF32*ALF31-(XE32+AAR32))))),MIN(FS32,MAX(0,AB32-SUM(PR32:QE32))))</f>
        <v>0</v>
      </c>
      <c r="QG32" s="20" t="n">
        <f aca="false">IF(H_Direct=1,IF(ALG31&lt;=0,0,IF(CG32&lt;=0,MIN(MAX(0,AB32-SUM(PR32:QF32)),ALG31),MIN(MAX(0,AB32-SUM(PR32:QF32)),ALG31-G32*MAX(0,CG32*ALG31-(XF32+AAS32))))),MIN(FT32,MAX(0,AB32-SUM(PR32:QF32))))</f>
        <v>0</v>
      </c>
      <c r="QH32" s="20" t="n">
        <f aca="false">IF(H_Direct=1,IF(ALH31&lt;=0,0,IF(CH32&lt;=0,MIN(MAX(0,AB32-SUM(PR32:QG32)),ALH31),MIN(MAX(0,AB32-SUM(PR32:QG32)),ALH31-G32*MAX(0,CH32*ALH31-(XG32+AAT32))))),MIN(FU32,MAX(0,AB32-SUM(PR32:QG32))))</f>
        <v>0</v>
      </c>
      <c r="QI32" s="20" t="n">
        <f aca="false">IF(H_Direct=1,IF(ALI31&lt;=0,0,IF(CI32&lt;=0,MIN(MAX(0,AB32-SUM(PR32:QH32)),ALI31),MIN(MAX(0,AB32-SUM(PR32:QH32)),ALI31-G32*MAX(0,CI32*ALI31-(XH32+AAU32))))),MIN(FV32,MAX(0,AB32-SUM(PR32:QH32))))</f>
        <v>0</v>
      </c>
      <c r="QJ32" s="20" t="n">
        <f aca="false">IF(H_Direct=1,IF(ALJ31&lt;=0,0,IF(CJ32&lt;=0,MIN(MAX(0,AB32-SUM(PR32:QI32)),ALJ31),MIN(MAX(0,AB32-SUM(PR32:QI32)),ALJ31-G32*MAX(0,CJ32*ALJ31-(XI32+AAV32))))),MIN(FW32,MAX(0,AB32-SUM(PR32:QI32))))</f>
        <v>0</v>
      </c>
      <c r="QK32" s="20" t="n">
        <f aca="false">IF(H_Direct=1,IF(ALK31&lt;=0,0,IF(CK32&lt;=0,MIN(MAX(0,AB32-SUM(PR32:QJ32)),ALK31),MIN(MAX(0,AB32-SUM(PR32:QJ32)),ALK31-G32*MAX(0,CK32*ALK31-(XJ32+AAW32))))),MIN(FX32,MAX(0,AB32-SUM(PR32:QJ32))))</f>
        <v>0</v>
      </c>
      <c r="QL32" s="20" t="n">
        <f aca="false">IF(H_Direct=1,IF(ALL31&lt;=0,0,IF(CL32&lt;=0,MIN(MAX(0,AB32-SUM(PR32:QK32)),ALL31),MIN(MAX(0,AB32-SUM(PR32:QK32)),ALL31-G32*MAX(0,CL32*ALL31-(XK32+AAX32))))),MIN(FY32,MAX(0,AB32-SUM(PR32:QK32))))</f>
        <v>0</v>
      </c>
      <c r="QM32" s="20" t="n">
        <f aca="false">IF(H_Direct=1,IF(ALM31&lt;=0,0,IF(CM32&lt;=0,MIN(MAX(0,AB32-SUM(PR32:QL32)),ALM31),MIN(MAX(0,AB32-SUM(PR32:QL32)),ALM31-G32*MAX(0,CM32*ALM31-(XL32+AAY32))))),MIN(FZ32,MAX(0,AB32-SUM(PR32:QL32))))</f>
        <v>0</v>
      </c>
      <c r="QN32" s="20" t="n">
        <f aca="false">IF(H_Direct=1,IF(ALN31&lt;=0,0,IF(CN32&lt;=0,MIN(MAX(0,AB32-SUM(PR32:QM32)),ALN31),MIN(MAX(0,AB32-SUM(PR32:QM32)),ALN31-G32*MAX(0,CN32*ALN31-(XM32+AAZ32))))),MIN(GA32,MAX(0,AB32-SUM(PR32:QM32))))</f>
        <v>0</v>
      </c>
      <c r="QO32" s="20" t="n">
        <f aca="false">IF(H_Direct=1,IF(ALO31&lt;=0,0,IF(CO32&lt;=0,MIN(MAX(0,AB32-SUM(PR32:QN32)),ALO31),MIN(MAX(0,AB32-SUM(PR32:QN32)),ALO31-G32*MAX(0,CO32*ALO31-(XN32+ABA32))))),MIN(GB32,MAX(0,AB32-SUM(PR32:QN32))))</f>
        <v>0</v>
      </c>
      <c r="QP32" s="20" t="n">
        <f aca="false">IF(H_Direct=1,IF(ALP31&lt;=0,0,IF(CP32&lt;=0,MIN(MAX(0,AB32-SUM(PR32:QO32)),ALP31),MIN(MAX(0,AB32-SUM(PR32:QO32)),ALP31-G32*MAX(0,CP32*ALP31-(XO32+ABB32))))),MIN(GC32,MAX(0,AB32-SUM(PR32:QO32))))</f>
        <v>0</v>
      </c>
      <c r="QQ32" s="20" t="n">
        <f aca="false">IF(H_Direct=1,IF((P32+S32)&lt;=0,0,IF(CQ32&lt;=0,MIN(MAX(0,AB32-SUM(PR32:QP32)),(P32+S32)),MIN(MAX(0,AB32-SUM(PR32:QP32)),(P32+S32)-G32*MAX(0,CQ32*(P32+S32)-(XP32+ABC32))))),MIN(GD32,MAX(0,AB32-SUM(PR32:QP32))))</f>
        <v>0</v>
      </c>
      <c r="QR32" s="20" t="n">
        <v>0</v>
      </c>
      <c r="QS32" s="20" t="n">
        <v>0</v>
      </c>
      <c r="QT32" s="20" t="n">
        <v>0</v>
      </c>
      <c r="QU32" s="20" t="n">
        <v>0</v>
      </c>
      <c r="QV32" s="20" t="n">
        <v>0</v>
      </c>
      <c r="QW32" s="20" t="n">
        <v>0</v>
      </c>
      <c r="QX32" s="20" t="n">
        <v>0</v>
      </c>
      <c r="QY32" s="20" t="n">
        <v>0</v>
      </c>
      <c r="QZ32" s="20" t="n">
        <v>0</v>
      </c>
      <c r="RA32" s="20" t="n">
        <v>0</v>
      </c>
      <c r="RB32" s="20" t="n">
        <v>0</v>
      </c>
      <c r="RC32" s="20" t="n">
        <v>0</v>
      </c>
      <c r="RD32" s="20" t="n">
        <v>0</v>
      </c>
      <c r="RE32" s="20" t="n">
        <v>0</v>
      </c>
      <c r="RF32" s="20" t="n">
        <v>0</v>
      </c>
      <c r="RG32" s="20" t="n">
        <v>0</v>
      </c>
      <c r="RH32" s="20" t="n">
        <v>0</v>
      </c>
      <c r="RI32" s="20" t="n">
        <v>0</v>
      </c>
      <c r="RJ32" s="20" t="n">
        <v>0</v>
      </c>
      <c r="RK32" s="20" t="n">
        <v>0</v>
      </c>
      <c r="RL32" s="20" t="n">
        <v>0</v>
      </c>
      <c r="RM32" s="20" t="n">
        <v>0</v>
      </c>
      <c r="RN32" s="20" t="n">
        <v>0</v>
      </c>
      <c r="RO32" s="20" t="n">
        <v>0</v>
      </c>
      <c r="RP32" s="20" t="n">
        <v>0</v>
      </c>
      <c r="RQ32" s="20" t="n">
        <v>0</v>
      </c>
      <c r="RR32" s="20" t="n">
        <v>0</v>
      </c>
      <c r="RS32" s="20" t="n">
        <v>0</v>
      </c>
      <c r="RT32" s="20" t="n">
        <v>0</v>
      </c>
      <c r="RU32" s="20" t="n">
        <v>0</v>
      </c>
      <c r="RV32" s="20" t="n">
        <v>0</v>
      </c>
      <c r="RW32" s="20" t="n">
        <v>0</v>
      </c>
      <c r="RX32" s="20" t="n">
        <v>0</v>
      </c>
      <c r="RY32" s="20" t="n">
        <v>0</v>
      </c>
      <c r="RZ32" s="20" t="n">
        <v>0</v>
      </c>
      <c r="SA32" s="20" t="n">
        <v>0</v>
      </c>
      <c r="SB32" s="20" t="n">
        <v>0</v>
      </c>
      <c r="SC32" s="20" t="n">
        <v>0</v>
      </c>
      <c r="SD32" s="20" t="n">
        <v>0</v>
      </c>
      <c r="SE32" s="20" t="n">
        <v>0</v>
      </c>
      <c r="SF32" s="20" t="n">
        <v>0</v>
      </c>
      <c r="SG32" s="20" t="n">
        <v>0</v>
      </c>
      <c r="SH32" s="20" t="n">
        <v>0</v>
      </c>
      <c r="SI32" s="20" t="n">
        <v>0</v>
      </c>
      <c r="SJ32" s="20" t="n">
        <v>0</v>
      </c>
      <c r="SK32" s="20" t="n">
        <v>0</v>
      </c>
      <c r="SL32" s="20" t="n">
        <v>0</v>
      </c>
      <c r="SM32" s="20" t="n">
        <v>0</v>
      </c>
      <c r="SN32" s="20" t="n">
        <v>0</v>
      </c>
      <c r="SO32" s="20" t="n">
        <v>0</v>
      </c>
      <c r="SP32" s="20" t="n">
        <v>0</v>
      </c>
      <c r="SQ32" s="20" t="n">
        <v>0</v>
      </c>
      <c r="SR32" s="20" t="n">
        <v>0</v>
      </c>
      <c r="SS32" s="20" t="n">
        <v>0</v>
      </c>
      <c r="ST32" s="20" t="n">
        <v>0</v>
      </c>
      <c r="SU32" s="20" t="n">
        <v>0</v>
      </c>
      <c r="SV32" s="20" t="n">
        <v>0</v>
      </c>
      <c r="SW32" s="20" t="n">
        <v>0</v>
      </c>
      <c r="SX32" s="20" t="n">
        <v>0</v>
      </c>
      <c r="SY32" s="20" t="n">
        <v>0</v>
      </c>
      <c r="SZ32" s="20" t="n">
        <v>0</v>
      </c>
      <c r="TA32" s="20" t="n">
        <v>0</v>
      </c>
      <c r="TB32" s="20" t="n">
        <v>0</v>
      </c>
      <c r="TC32" s="20" t="n">
        <v>0</v>
      </c>
      <c r="TD32" s="20" t="n">
        <v>0</v>
      </c>
      <c r="TE32" s="20" t="n">
        <f aca="false">IF(AKR31&lt;=0,0,IF(H_Direct=1,IF(BR32&lt;=0,PR32,IF(PR32&lt;=(H32+I32)/BR32,PR32,(PR32-G32*(H32+I32))/(1-G32*BR32))),PR32/(1-MAX(0,BR32)*H_Exit)))</f>
        <v>0</v>
      </c>
      <c r="TF32" s="20" t="n">
        <f aca="false">IF(AKS31&lt;=0,0,IF(H_Direct=1,IF(BS32&lt;=0,PS32,IF(PS32&lt;=(WR32+AAE32)/BS32,PS32,(PS32-G32*(WR32+AAE32))/(1-G32*BS32))),PS32/(1-MAX(0,BS32)*H_Exit)))</f>
        <v>0</v>
      </c>
      <c r="TG32" s="20" t="n">
        <f aca="false">IF(AKT31&lt;=0,0,IF(H_Direct=1,IF(BT32&lt;=0,PT32,IF(PT32&lt;=(WS32+AAF32)/BT32,PT32,(PT32-G32*(WS32+AAF32))/(1-G32*BT32))),PT32/(1-MAX(0,BT32)*H_Exit)))</f>
        <v>0</v>
      </c>
      <c r="TH32" s="20" t="n">
        <f aca="false">IF(AKU31&lt;=0,0,IF(H_Direct=1,IF(BU32&lt;=0,PU32,IF(PU32&lt;=(WT32+AAG32)/BU32,PU32,(PU32-G32*(WT32+AAG32))/(1-G32*BU32))),PU32/(1-MAX(0,BU32)*H_Exit)))</f>
        <v>0</v>
      </c>
      <c r="TI32" s="20" t="n">
        <f aca="false">IF(AKV31&lt;=0,0,IF(H_Direct=1,IF(BV32&lt;=0,PV32,IF(PV32&lt;=(WU32+AAH32)/BV32,PV32,(PV32-G32*(WU32+AAH32))/(1-G32*BV32))),PV32/(1-MAX(0,BV32)*H_Exit)))</f>
        <v>0</v>
      </c>
      <c r="TJ32" s="20" t="n">
        <f aca="false">IF(AKW31&lt;=0,0,IF(H_Direct=1,IF(BW32&lt;=0,PW32,IF(PW32&lt;=(WV32+AAI32)/BW32,PW32,(PW32-G32*(WV32+AAI32))/(1-G32*BW32))),PW32/(1-MAX(0,BW32)*H_Exit)))</f>
        <v>0</v>
      </c>
      <c r="TK32" s="20" t="n">
        <f aca="false">IF(AKX31&lt;=0,0,IF(H_Direct=1,IF(BX32&lt;=0,PX32,IF(PX32&lt;=(WW32+AAJ32)/BX32,PX32,(PX32-G32*(WW32+AAJ32))/(1-G32*BX32))),PX32/(1-MAX(0,BX32)*H_Exit)))</f>
        <v>0</v>
      </c>
      <c r="TL32" s="20" t="n">
        <f aca="false">IF(AKY31&lt;=0,0,IF(H_Direct=1,IF(BY32&lt;=0,PY32,IF(PY32&lt;=(WX32+AAK32)/BY32,PY32,(PY32-G32*(WX32+AAK32))/(1-G32*BY32))),PY32/(1-MAX(0,BY32)*H_Exit)))</f>
        <v>0</v>
      </c>
      <c r="TM32" s="20" t="n">
        <f aca="false">IF(AKZ31&lt;=0,0,IF(H_Direct=1,IF(BZ32&lt;=0,PZ32,IF(PZ32&lt;=(WY32+AAL32)/BZ32,PZ32,(PZ32-G32*(WY32+AAL32))/(1-G32*BZ32))),PZ32/(1-MAX(0,BZ32)*H_Exit)))</f>
        <v>0</v>
      </c>
      <c r="TN32" s="20" t="n">
        <f aca="false">IF(ALA31&lt;=0,0,IF(H_Direct=1,IF(CA32&lt;=0,QA32,IF(QA32&lt;=(WZ32+AAM32)/CA32,QA32,(QA32-G32*(WZ32+AAM32))/(1-G32*CA32))),QA32/(1-MAX(0,CA32)*H_Exit)))</f>
        <v>0</v>
      </c>
      <c r="TO32" s="20" t="n">
        <f aca="false">IF(ALB31&lt;=0,0,IF(H_Direct=1,IF(CB32&lt;=0,QB32,IF(QB32&lt;=(XA32+AAN32)/CB32,QB32,(QB32-G32*(XA32+AAN32))/(1-G32*CB32))),QB32/(1-MAX(0,CB32)*H_Exit)))</f>
        <v>0</v>
      </c>
      <c r="TP32" s="20" t="n">
        <f aca="false">IF(ALC31&lt;=0,0,IF(H_Direct=1,IF(CC32&lt;=0,QC32,IF(QC32&lt;=(XB32+AAO32)/CC32,QC32,(QC32-G32*(XB32+AAO32))/(1-G32*CC32))),QC32/(1-MAX(0,CC32)*H_Exit)))</f>
        <v>0</v>
      </c>
      <c r="TQ32" s="20" t="n">
        <f aca="false">IF(ALD31&lt;=0,0,IF(H_Direct=1,IF(CD32&lt;=0,QD32,IF(QD32&lt;=(XC32+AAP32)/CD32,QD32,(QD32-G32*(XC32+AAP32))/(1-G32*CD32))),QD32/(1-MAX(0,CD32)*H_Exit)))</f>
        <v>0</v>
      </c>
      <c r="TR32" s="20" t="n">
        <f aca="false">IF(ALE31&lt;=0,0,IF(H_Direct=1,IF(CE32&lt;=0,QE32,IF(QE32&lt;=(XD32+AAQ32)/CE32,QE32,(QE32-G32*(XD32+AAQ32))/(1-G32*CE32))),QE32/(1-MAX(0,CE32)*H_Exit)))</f>
        <v>0</v>
      </c>
      <c r="TS32" s="20" t="n">
        <f aca="false">IF(ALF31&lt;=0,0,IF(H_Direct=1,IF(CF32&lt;=0,QF32,IF(QF32&lt;=(XE32+AAR32)/CF32,QF32,(QF32-G32*(XE32+AAR32))/(1-G32*CF32))),QF32/(1-MAX(0,CF32)*H_Exit)))</f>
        <v>0</v>
      </c>
      <c r="TT32" s="20" t="n">
        <f aca="false">IF(ALG31&lt;=0,0,IF(H_Direct=1,IF(CG32&lt;=0,QG32,IF(QG32&lt;=(XF32+AAS32)/CG32,QG32,(QG32-G32*(XF32+AAS32))/(1-G32*CG32))),QG32/(1-MAX(0,CG32)*H_Exit)))</f>
        <v>0</v>
      </c>
      <c r="TU32" s="20" t="n">
        <f aca="false">IF(ALH31&lt;=0,0,IF(H_Direct=1,IF(CH32&lt;=0,QH32,IF(QH32&lt;=(XG32+AAT32)/CH32,QH32,(QH32-G32*(XG32+AAT32))/(1-G32*CH32))),QH32/(1-MAX(0,CH32)*H_Exit)))</f>
        <v>0</v>
      </c>
      <c r="TV32" s="20" t="n">
        <f aca="false">IF(ALI31&lt;=0,0,IF(H_Direct=1,IF(CI32&lt;=0,QI32,IF(QI32&lt;=(XH32+AAU32)/CI32,QI32,(QI32-G32*(XH32+AAU32))/(1-G32*CI32))),QI32/(1-MAX(0,CI32)*H_Exit)))</f>
        <v>0</v>
      </c>
      <c r="TW32" s="20" t="n">
        <f aca="false">IF(ALJ31&lt;=0,0,IF(H_Direct=1,IF(CJ32&lt;=0,QJ32,IF(QJ32&lt;=(XI32+AAV32)/CJ32,QJ32,(QJ32-G32*(XI32+AAV32))/(1-G32*CJ32))),QJ32/(1-MAX(0,CJ32)*H_Exit)))</f>
        <v>0</v>
      </c>
      <c r="TX32" s="20" t="n">
        <f aca="false">IF(ALK31&lt;=0,0,IF(H_Direct=1,IF(CK32&lt;=0,QK32,IF(QK32&lt;=(XJ32+AAW32)/CK32,QK32,(QK32-G32*(XJ32+AAW32))/(1-G32*CK32))),QK32/(1-MAX(0,CK32)*H_Exit)))</f>
        <v>0</v>
      </c>
      <c r="TY32" s="20" t="n">
        <f aca="false">IF(ALL31&lt;=0,0,IF(H_Direct=1,IF(CL32&lt;=0,QL32,IF(QL32&lt;=(XK32+AAX32)/CL32,QL32,(QL32-G32*(XK32+AAX32))/(1-G32*CL32))),QL32/(1-MAX(0,CL32)*H_Exit)))</f>
        <v>0</v>
      </c>
      <c r="TZ32" s="20" t="n">
        <f aca="false">IF(ALM31&lt;=0,0,IF(H_Direct=1,IF(CM32&lt;=0,QM32,IF(QM32&lt;=(XL32+AAY32)/CM32,QM32,(QM32-G32*(XL32+AAY32))/(1-G32*CM32))),QM32/(1-MAX(0,CM32)*H_Exit)))</f>
        <v>0</v>
      </c>
      <c r="UA32" s="20" t="n">
        <f aca="false">IF(ALN31&lt;=0,0,IF(H_Direct=1,IF(CN32&lt;=0,QN32,IF(QN32&lt;=(XM32+AAZ32)/CN32,QN32,(QN32-G32*(XM32+AAZ32))/(1-G32*CN32))),QN32/(1-MAX(0,CN32)*H_Exit)))</f>
        <v>0</v>
      </c>
      <c r="UB32" s="20" t="n">
        <f aca="false">IF(ALO31&lt;=0,0,IF(H_Direct=1,IF(CO32&lt;=0,QO32,IF(QO32&lt;=(XN32+ABA32)/CO32,QO32,(QO32-G32*(XN32+ABA32))/(1-G32*CO32))),QO32/(1-MAX(0,CO32)*H_Exit)))</f>
        <v>0</v>
      </c>
      <c r="UC32" s="20" t="n">
        <f aca="false">IF(ALP31&lt;=0,0,IF(H_Direct=1,IF(CP32&lt;=0,QP32,IF(QP32&lt;=(XO32+ABB32)/CP32,QP32,(QP32-G32*(XO32+ABB32))/(1-G32*CP32))),QP32/(1-MAX(0,CP32)*H_Exit)))</f>
        <v>0</v>
      </c>
      <c r="UD32" s="20" t="n">
        <f aca="false">IF((P32+S32)&lt;=0,0,IF(H_Direct=1,IF(CQ32&lt;=0,QQ32,IF(QQ32&lt;=(XP32+ABC32)/CQ32,QQ32,(QQ32-G32*(XP32+ABC32))/(1-G32*CQ32))),QQ32/(1-MAX(0,CQ32)*H_Exit)))</f>
        <v>0</v>
      </c>
      <c r="UE32" s="20" t="n">
        <v>0</v>
      </c>
      <c r="UF32" s="20" t="n">
        <v>0</v>
      </c>
      <c r="UG32" s="20" t="n">
        <v>0</v>
      </c>
      <c r="UH32" s="20" t="n">
        <v>0</v>
      </c>
      <c r="UI32" s="20" t="n">
        <v>0</v>
      </c>
      <c r="UJ32" s="20" t="n">
        <v>0</v>
      </c>
      <c r="UK32" s="20" t="n">
        <v>0</v>
      </c>
      <c r="UL32" s="20" t="n">
        <v>0</v>
      </c>
      <c r="UM32" s="20" t="n">
        <v>0</v>
      </c>
      <c r="UN32" s="20" t="n">
        <v>0</v>
      </c>
      <c r="UO32" s="20" t="n">
        <v>0</v>
      </c>
      <c r="UP32" s="20" t="n">
        <v>0</v>
      </c>
      <c r="UQ32" s="20" t="n">
        <v>0</v>
      </c>
      <c r="UR32" s="20" t="n">
        <v>0</v>
      </c>
      <c r="US32" s="20" t="n">
        <v>0</v>
      </c>
      <c r="UT32" s="20" t="n">
        <v>0</v>
      </c>
      <c r="UU32" s="20" t="n">
        <v>0</v>
      </c>
      <c r="UV32" s="20" t="n">
        <v>0</v>
      </c>
      <c r="UW32" s="20" t="n">
        <v>0</v>
      </c>
      <c r="UX32" s="20" t="n">
        <v>0</v>
      </c>
      <c r="UY32" s="20" t="n">
        <v>0</v>
      </c>
      <c r="UZ32" s="20" t="n">
        <v>0</v>
      </c>
      <c r="VA32" s="20" t="n">
        <v>0</v>
      </c>
      <c r="VB32" s="20" t="n">
        <v>0</v>
      </c>
      <c r="VC32" s="20" t="n">
        <v>0</v>
      </c>
      <c r="VD32" s="20" t="n">
        <v>0</v>
      </c>
      <c r="VE32" s="20" t="n">
        <v>0</v>
      </c>
      <c r="VF32" s="20" t="n">
        <v>0</v>
      </c>
      <c r="VG32" s="20" t="n">
        <v>0</v>
      </c>
      <c r="VH32" s="20" t="n">
        <v>0</v>
      </c>
      <c r="VI32" s="20" t="n">
        <v>0</v>
      </c>
      <c r="VJ32" s="20" t="n">
        <v>0</v>
      </c>
      <c r="VK32" s="20" t="n">
        <v>0</v>
      </c>
      <c r="VL32" s="20" t="n">
        <v>0</v>
      </c>
      <c r="VM32" s="20" t="n">
        <v>0</v>
      </c>
      <c r="VN32" s="20" t="n">
        <v>0</v>
      </c>
      <c r="VO32" s="20" t="n">
        <v>0</v>
      </c>
      <c r="VP32" s="20" t="n">
        <v>0</v>
      </c>
      <c r="VQ32" s="20" t="n">
        <v>0</v>
      </c>
      <c r="VR32" s="20" t="n">
        <v>0</v>
      </c>
      <c r="VS32" s="20" t="n">
        <v>0</v>
      </c>
      <c r="VT32" s="20" t="n">
        <v>0</v>
      </c>
      <c r="VU32" s="20" t="n">
        <v>0</v>
      </c>
      <c r="VV32" s="20" t="n">
        <v>0</v>
      </c>
      <c r="VW32" s="20" t="n">
        <v>0</v>
      </c>
      <c r="VX32" s="20" t="n">
        <v>0</v>
      </c>
      <c r="VY32" s="20" t="n">
        <v>0</v>
      </c>
      <c r="VZ32" s="20" t="n">
        <v>0</v>
      </c>
      <c r="WA32" s="20" t="n">
        <v>0</v>
      </c>
      <c r="WB32" s="20" t="n">
        <v>0</v>
      </c>
      <c r="WC32" s="20" t="n">
        <v>0</v>
      </c>
      <c r="WD32" s="20" t="n">
        <v>0</v>
      </c>
      <c r="WE32" s="20" t="n">
        <v>0</v>
      </c>
      <c r="WF32" s="20" t="n">
        <v>0</v>
      </c>
      <c r="WG32" s="20" t="n">
        <v>0</v>
      </c>
      <c r="WH32" s="20" t="n">
        <v>0</v>
      </c>
      <c r="WI32" s="20" t="n">
        <v>0</v>
      </c>
      <c r="WJ32" s="20" t="n">
        <v>0</v>
      </c>
      <c r="WK32" s="20" t="n">
        <v>0</v>
      </c>
      <c r="WL32" s="20" t="n">
        <v>0</v>
      </c>
      <c r="WM32" s="20" t="n">
        <v>0</v>
      </c>
      <c r="WN32" s="20" t="n">
        <v>0</v>
      </c>
      <c r="WO32" s="20" t="n">
        <v>0</v>
      </c>
      <c r="WP32" s="20" t="n">
        <v>0</v>
      </c>
      <c r="WQ32" s="20" t="n">
        <v>0</v>
      </c>
      <c r="WR32" s="20" t="n">
        <f aca="false">IF(AND(H_Direct=1,BR32&gt;0),MAX(0,H32-(MIN(BR32*TE32,(H32+I32))-MIN(MIN(BR32*TE32,(H32+I32)),I32))),H32)</f>
        <v>1270</v>
      </c>
      <c r="WS32" s="20" t="n">
        <f aca="false">IF(AND(H_Direct=1,BS32&gt;0),MAX(0,WR32-(MIN(BS32*TF32,(WR32+AAE32))-MIN(MIN(BS32*TF32,(WR32+AAE32)),AAE32))),WR32)</f>
        <v>1270</v>
      </c>
      <c r="WT32" s="20" t="n">
        <f aca="false">IF(AND(H_Direct=1,BT32&gt;0),MAX(0,WS32-(MIN(BT32*TG32,(WS32+AAF32))-MIN(MIN(BT32*TG32,(WS32+AAF32)),AAF32))),WS32)</f>
        <v>1270</v>
      </c>
      <c r="WU32" s="20" t="n">
        <f aca="false">IF(AND(H_Direct=1,BU32&gt;0),MAX(0,WT32-(MIN(BU32*TH32,(WT32+AAG32))-MIN(MIN(BU32*TH32,(WT32+AAG32)),AAG32))),WT32)</f>
        <v>1270</v>
      </c>
      <c r="WV32" s="20" t="n">
        <f aca="false">IF(AND(H_Direct=1,BV32&gt;0),MAX(0,WU32-(MIN(BV32*TI32,(WU32+AAH32))-MIN(MIN(BV32*TI32,(WU32+AAH32)),AAH32))),WU32)</f>
        <v>1270</v>
      </c>
      <c r="WW32" s="20" t="n">
        <f aca="false">IF(AND(H_Direct=1,BW32&gt;0),MAX(0,WV32-(MIN(BW32*TJ32,(WV32+AAI32))-MIN(MIN(BW32*TJ32,(WV32+AAI32)),AAI32))),WV32)</f>
        <v>1270</v>
      </c>
      <c r="WX32" s="20" t="n">
        <f aca="false">IF(AND(H_Direct=1,BX32&gt;0),MAX(0,WW32-(MIN(BX32*TK32,(WW32+AAJ32))-MIN(MIN(BX32*TK32,(WW32+AAJ32)),AAJ32))),WW32)</f>
        <v>1270</v>
      </c>
      <c r="WY32" s="20" t="n">
        <f aca="false">IF(AND(H_Direct=1,BY32&gt;0),MAX(0,WX32-(MIN(BY32*TL32,(WX32+AAK32))-MIN(MIN(BY32*TL32,(WX32+AAK32)),AAK32))),WX32)</f>
        <v>1270</v>
      </c>
      <c r="WZ32" s="20" t="n">
        <f aca="false">IF(AND(H_Direct=1,BZ32&gt;0),MAX(0,WY32-(MIN(BZ32*TM32,(WY32+AAL32))-MIN(MIN(BZ32*TM32,(WY32+AAL32)),AAL32))),WY32)</f>
        <v>1270</v>
      </c>
      <c r="XA32" s="20" t="n">
        <f aca="false">IF(AND(H_Direct=1,CA32&gt;0),MAX(0,WZ32-(MIN(CA32*TN32,(WZ32+AAM32))-MIN(MIN(CA32*TN32,(WZ32+AAM32)),AAM32))),WZ32)</f>
        <v>1270</v>
      </c>
      <c r="XB32" s="20" t="n">
        <f aca="false">IF(AND(H_Direct=1,CB32&gt;0),MAX(0,XA32-(MIN(CB32*TO32,(XA32+AAN32))-MIN(MIN(CB32*TO32,(XA32+AAN32)),AAN32))),XA32)</f>
        <v>1270</v>
      </c>
      <c r="XC32" s="20" t="n">
        <f aca="false">IF(AND(H_Direct=1,CC32&gt;0),MAX(0,XB32-(MIN(CC32*TP32,(XB32+AAO32))-MIN(MIN(CC32*TP32,(XB32+AAO32)),AAO32))),XB32)</f>
        <v>1270</v>
      </c>
      <c r="XD32" s="20" t="n">
        <f aca="false">IF(AND(H_Direct=1,CD32&gt;0),MAX(0,XC32-(MIN(CD32*TQ32,(XC32+AAP32))-MIN(MIN(CD32*TQ32,(XC32+AAP32)),AAP32))),XC32)</f>
        <v>1270</v>
      </c>
      <c r="XE32" s="20" t="n">
        <f aca="false">IF(AND(H_Direct=1,CE32&gt;0),MAX(0,XD32-(MIN(CE32*TR32,(XD32+AAQ32))-MIN(MIN(CE32*TR32,(XD32+AAQ32)),AAQ32))),XD32)</f>
        <v>1270</v>
      </c>
      <c r="XF32" s="20" t="n">
        <f aca="false">IF(AND(H_Direct=1,CF32&gt;0),MAX(0,XE32-(MIN(CF32*TS32,(XE32+AAR32))-MIN(MIN(CF32*TS32,(XE32+AAR32)),AAR32))),XE32)</f>
        <v>1270</v>
      </c>
      <c r="XG32" s="20" t="n">
        <f aca="false">IF(AND(H_Direct=1,CG32&gt;0),MAX(0,XF32-(MIN(CG32*TT32,(XF32+AAS32))-MIN(MIN(CG32*TT32,(XF32+AAS32)),AAS32))),XF32)</f>
        <v>1270</v>
      </c>
      <c r="XH32" s="20" t="n">
        <f aca="false">IF(AND(H_Direct=1,CH32&gt;0),MAX(0,XG32-(MIN(CH32*TU32,(XG32+AAT32))-MIN(MIN(CH32*TU32,(XG32+AAT32)),AAT32))),XG32)</f>
        <v>1270</v>
      </c>
      <c r="XI32" s="20" t="n">
        <f aca="false">IF(AND(H_Direct=1,CI32&gt;0),MAX(0,XH32-(MIN(CI32*TV32,(XH32+AAU32))-MIN(MIN(CI32*TV32,(XH32+AAU32)),AAU32))),XH32)</f>
        <v>1270</v>
      </c>
      <c r="XJ32" s="20" t="n">
        <f aca="false">IF(AND(H_Direct=1,CJ32&gt;0),MAX(0,XI32-(MIN(CJ32*TW32,(XI32+AAV32))-MIN(MIN(CJ32*TW32,(XI32+AAV32)),AAV32))),XI32)</f>
        <v>1270</v>
      </c>
      <c r="XK32" s="20" t="n">
        <f aca="false">IF(AND(H_Direct=1,CK32&gt;0),MAX(0,XJ32-(MIN(CK32*TX32,(XJ32+AAW32))-MIN(MIN(CK32*TX32,(XJ32+AAW32)),AAW32))),XJ32)</f>
        <v>1270</v>
      </c>
      <c r="XL32" s="20" t="n">
        <f aca="false">IF(AND(H_Direct=1,CL32&gt;0),MAX(0,XK32-(MIN(CL32*TY32,(XK32+AAX32))-MIN(MIN(CL32*TY32,(XK32+AAX32)),AAX32))),XK32)</f>
        <v>1270</v>
      </c>
      <c r="XM32" s="20" t="n">
        <f aca="false">IF(AND(H_Direct=1,CM32&gt;0),MAX(0,XL32-(MIN(CM32*TZ32,(XL32+AAY32))-MIN(MIN(CM32*TZ32,(XL32+AAY32)),AAY32))),XL32)</f>
        <v>1270</v>
      </c>
      <c r="XN32" s="20" t="n">
        <f aca="false">IF(AND(H_Direct=1,CN32&gt;0),MAX(0,XM32-(MIN(CN32*UA32,(XM32+AAZ32))-MIN(MIN(CN32*UA32,(XM32+AAZ32)),AAZ32))),XM32)</f>
        <v>1270</v>
      </c>
      <c r="XO32" s="20" t="n">
        <f aca="false">IF(AND(H_Direct=1,CO32&gt;0),MAX(0,XN32-(MIN(CO32*UB32,(XN32+ABA32))-MIN(MIN(CO32*UB32,(XN32+ABA32)),ABA32))),XN32)</f>
        <v>1270</v>
      </c>
      <c r="XP32" s="20" t="n">
        <f aca="false">IF(AND(H_Direct=1,CP32&gt;0),MAX(0,XO32-(MIN(CP32*UC32,(XO32+ABB32))-MIN(MIN(CP32*UC32,(XO32+ABB32)),ABB32))),XO32)</f>
        <v>1270</v>
      </c>
      <c r="XQ32" s="20" t="n">
        <f aca="false">IF(AND(H_Direct=1,CQ32&gt;0),MAX(0,XP32-(MIN(CQ32*UD32,(XP32+ABC32))-MIN(MIN(CQ32*UD32,(XP32+ABC32)),ABC32))),XP32)</f>
        <v>1270</v>
      </c>
      <c r="XR32" s="20" t="n">
        <f aca="false">XQ32</f>
        <v>1270</v>
      </c>
      <c r="XS32" s="20" t="n">
        <f aca="false">XR32</f>
        <v>1270</v>
      </c>
      <c r="XT32" s="20" t="n">
        <f aca="false">XS32</f>
        <v>1270</v>
      </c>
      <c r="XU32" s="20" t="n">
        <f aca="false">XT32</f>
        <v>1270</v>
      </c>
      <c r="XV32" s="20" t="n">
        <f aca="false">XU32</f>
        <v>1270</v>
      </c>
      <c r="XW32" s="20" t="n">
        <f aca="false">XV32</f>
        <v>1270</v>
      </c>
      <c r="XX32" s="20" t="n">
        <f aca="false">XW32</f>
        <v>1270</v>
      </c>
      <c r="XY32" s="20" t="n">
        <f aca="false">XX32</f>
        <v>1270</v>
      </c>
      <c r="XZ32" s="20" t="n">
        <f aca="false">XY32</f>
        <v>1270</v>
      </c>
      <c r="YA32" s="20" t="n">
        <f aca="false">XZ32</f>
        <v>1270</v>
      </c>
      <c r="YB32" s="20" t="n">
        <f aca="false">YA32</f>
        <v>1270</v>
      </c>
      <c r="YC32" s="20" t="n">
        <f aca="false">YB32</f>
        <v>1270</v>
      </c>
      <c r="YD32" s="20" t="n">
        <f aca="false">YC32</f>
        <v>1270</v>
      </c>
      <c r="YE32" s="20" t="n">
        <f aca="false">YD32</f>
        <v>1270</v>
      </c>
      <c r="YF32" s="20" t="n">
        <f aca="false">YE32</f>
        <v>1270</v>
      </c>
      <c r="YG32" s="20" t="n">
        <f aca="false">YF32</f>
        <v>1270</v>
      </c>
      <c r="YH32" s="20" t="n">
        <f aca="false">YG32</f>
        <v>1270</v>
      </c>
      <c r="YI32" s="20" t="n">
        <f aca="false">YH32</f>
        <v>1270</v>
      </c>
      <c r="YJ32" s="20" t="n">
        <f aca="false">YI32</f>
        <v>1270</v>
      </c>
      <c r="YK32" s="20" t="n">
        <f aca="false">YJ32</f>
        <v>1270</v>
      </c>
      <c r="YL32" s="20" t="n">
        <f aca="false">YK32</f>
        <v>1270</v>
      </c>
      <c r="YM32" s="20" t="n">
        <f aca="false">YL32</f>
        <v>1270</v>
      </c>
      <c r="YN32" s="20" t="n">
        <f aca="false">YM32</f>
        <v>1270</v>
      </c>
      <c r="YO32" s="20" t="n">
        <f aca="false">YN32</f>
        <v>1270</v>
      </c>
      <c r="YP32" s="20" t="n">
        <f aca="false">YO32</f>
        <v>1270</v>
      </c>
      <c r="YQ32" s="20" t="n">
        <f aca="false">YP32</f>
        <v>1270</v>
      </c>
      <c r="YR32" s="20" t="n">
        <f aca="false">YQ32</f>
        <v>1270</v>
      </c>
      <c r="YS32" s="20" t="n">
        <f aca="false">YR32</f>
        <v>1270</v>
      </c>
      <c r="YT32" s="20" t="n">
        <f aca="false">YS32</f>
        <v>1270</v>
      </c>
      <c r="YU32" s="20" t="n">
        <f aca="false">YT32</f>
        <v>1270</v>
      </c>
      <c r="YV32" s="20" t="n">
        <f aca="false">YU32</f>
        <v>1270</v>
      </c>
      <c r="YW32" s="20" t="n">
        <f aca="false">YV32</f>
        <v>1270</v>
      </c>
      <c r="YX32" s="20" t="n">
        <f aca="false">YW32</f>
        <v>1270</v>
      </c>
      <c r="YY32" s="20" t="n">
        <f aca="false">YX32</f>
        <v>1270</v>
      </c>
      <c r="YZ32" s="20" t="n">
        <f aca="false">YY32</f>
        <v>1270</v>
      </c>
      <c r="ZA32" s="20" t="n">
        <f aca="false">YZ32</f>
        <v>1270</v>
      </c>
      <c r="ZB32" s="20" t="n">
        <f aca="false">ZA32</f>
        <v>1270</v>
      </c>
      <c r="ZC32" s="20" t="n">
        <f aca="false">ZB32</f>
        <v>1270</v>
      </c>
      <c r="ZD32" s="20" t="n">
        <f aca="false">ZC32</f>
        <v>1270</v>
      </c>
      <c r="ZE32" s="20" t="n">
        <f aca="false">ZD32</f>
        <v>1270</v>
      </c>
      <c r="ZF32" s="20" t="n">
        <f aca="false">ZE32</f>
        <v>1270</v>
      </c>
      <c r="ZG32" s="20" t="n">
        <f aca="false">ZF32</f>
        <v>1270</v>
      </c>
      <c r="ZH32" s="20" t="n">
        <f aca="false">ZG32</f>
        <v>1270</v>
      </c>
      <c r="ZI32" s="20" t="n">
        <f aca="false">ZH32</f>
        <v>1270</v>
      </c>
      <c r="ZJ32" s="20" t="n">
        <f aca="false">ZI32</f>
        <v>1270</v>
      </c>
      <c r="ZK32" s="20" t="n">
        <f aca="false">ZJ32</f>
        <v>1270</v>
      </c>
      <c r="ZL32" s="20" t="n">
        <f aca="false">ZK32</f>
        <v>1270</v>
      </c>
      <c r="ZM32" s="20" t="n">
        <f aca="false">ZL32</f>
        <v>1270</v>
      </c>
      <c r="ZN32" s="20" t="n">
        <f aca="false">ZM32</f>
        <v>1270</v>
      </c>
      <c r="ZO32" s="20" t="n">
        <f aca="false">ZN32</f>
        <v>1270</v>
      </c>
      <c r="ZP32" s="20" t="n">
        <f aca="false">ZO32</f>
        <v>1270</v>
      </c>
      <c r="ZQ32" s="20" t="n">
        <f aca="false">ZP32</f>
        <v>1270</v>
      </c>
      <c r="ZR32" s="20" t="n">
        <f aca="false">ZQ32</f>
        <v>1270</v>
      </c>
      <c r="ZS32" s="20" t="n">
        <f aca="false">ZR32</f>
        <v>1270</v>
      </c>
      <c r="ZT32" s="20" t="n">
        <f aca="false">ZS32</f>
        <v>1270</v>
      </c>
      <c r="ZU32" s="20" t="n">
        <f aca="false">ZT32</f>
        <v>1270</v>
      </c>
      <c r="ZV32" s="20" t="n">
        <f aca="false">ZU32</f>
        <v>1270</v>
      </c>
      <c r="ZW32" s="20" t="n">
        <f aca="false">ZV32</f>
        <v>1270</v>
      </c>
      <c r="ZX32" s="20" t="n">
        <f aca="false">ZW32</f>
        <v>1270</v>
      </c>
      <c r="ZY32" s="20" t="n">
        <f aca="false">ZX32</f>
        <v>1270</v>
      </c>
      <c r="ZZ32" s="20" t="n">
        <f aca="false">ZY32</f>
        <v>1270</v>
      </c>
      <c r="AAA32" s="20" t="n">
        <f aca="false">ZZ32</f>
        <v>1270</v>
      </c>
      <c r="AAB32" s="20" t="n">
        <f aca="false">AAA32</f>
        <v>1270</v>
      </c>
      <c r="AAC32" s="20" t="n">
        <f aca="false">AAB32</f>
        <v>1270</v>
      </c>
      <c r="AAD32" s="20" t="n">
        <f aca="false">AAC32</f>
        <v>1270</v>
      </c>
      <c r="AAE32" s="20" t="n">
        <f aca="false">IF(H_Direct=1,IF(BR32&lt;=0,I32-BR32*TE32,I32-MIN(MIN(BR32*TE32,(H32+I32)),I32)),I32)</f>
        <v>0</v>
      </c>
      <c r="AAF32" s="20" t="n">
        <f aca="false">IF(H_Direct=1,IF(BS32&lt;=0,AAE32-BS32*TF32,AAE32-MIN(MIN(BS32*TF32,(WR32+AAE32)),AAE32)),AAE32)</f>
        <v>0</v>
      </c>
      <c r="AAG32" s="20" t="n">
        <f aca="false">IF(H_Direct=1,IF(BT32&lt;=0,AAF32-BT32*TG32,AAF32-MIN(MIN(BT32*TG32,(WS32+AAF32)),AAF32)),AAF32)</f>
        <v>0</v>
      </c>
      <c r="AAH32" s="20" t="n">
        <f aca="false">IF(H_Direct=1,IF(BU32&lt;=0,AAG32-BU32*TH32,AAG32-MIN(MIN(BU32*TH32,(WT32+AAG32)),AAG32)),AAG32)</f>
        <v>0</v>
      </c>
      <c r="AAI32" s="20" t="n">
        <f aca="false">IF(H_Direct=1,IF(BV32&lt;=0,AAH32-BV32*TI32,AAH32-MIN(MIN(BV32*TI32,(WU32+AAH32)),AAH32)),AAH32)</f>
        <v>0</v>
      </c>
      <c r="AAJ32" s="20" t="n">
        <f aca="false">IF(H_Direct=1,IF(BW32&lt;=0,AAI32-BW32*TJ32,AAI32-MIN(MIN(BW32*TJ32,(WV32+AAI32)),AAI32)),AAI32)</f>
        <v>0</v>
      </c>
      <c r="AAK32" s="20" t="n">
        <f aca="false">IF(H_Direct=1,IF(BX32&lt;=0,AAJ32-BX32*TK32,AAJ32-MIN(MIN(BX32*TK32,(WW32+AAJ32)),AAJ32)),AAJ32)</f>
        <v>0</v>
      </c>
      <c r="AAL32" s="20" t="n">
        <f aca="false">IF(H_Direct=1,IF(BY32&lt;=0,AAK32-BY32*TL32,AAK32-MIN(MIN(BY32*TL32,(WX32+AAK32)),AAK32)),AAK32)</f>
        <v>0</v>
      </c>
      <c r="AAM32" s="20" t="n">
        <f aca="false">IF(H_Direct=1,IF(BZ32&lt;=0,AAL32-BZ32*TM32,AAL32-MIN(MIN(BZ32*TM32,(WY32+AAL32)),AAL32)),AAL32)</f>
        <v>0</v>
      </c>
      <c r="AAN32" s="20" t="n">
        <f aca="false">IF(H_Direct=1,IF(CA32&lt;=0,AAM32-CA32*TN32,AAM32-MIN(MIN(CA32*TN32,(WZ32+AAM32)),AAM32)),AAM32)</f>
        <v>0</v>
      </c>
      <c r="AAO32" s="20" t="n">
        <f aca="false">IF(H_Direct=1,IF(CB32&lt;=0,AAN32-CB32*TO32,AAN32-MIN(MIN(CB32*TO32,(XA32+AAN32)),AAN32)),AAN32)</f>
        <v>0</v>
      </c>
      <c r="AAP32" s="20" t="n">
        <f aca="false">IF(H_Direct=1,IF(CC32&lt;=0,AAO32-CC32*TP32,AAO32-MIN(MIN(CC32*TP32,(XB32+AAO32)),AAO32)),AAO32)</f>
        <v>0</v>
      </c>
      <c r="AAQ32" s="20" t="n">
        <f aca="false">IF(H_Direct=1,IF(CD32&lt;=0,AAP32-CD32*TQ32,AAP32-MIN(MIN(CD32*TQ32,(XC32+AAP32)),AAP32)),AAP32)</f>
        <v>0</v>
      </c>
      <c r="AAR32" s="20" t="n">
        <f aca="false">IF(H_Direct=1,IF(CE32&lt;=0,AAQ32-CE32*TR32,AAQ32-MIN(MIN(CE32*TR32,(XD32+AAQ32)),AAQ32)),AAQ32)</f>
        <v>0</v>
      </c>
      <c r="AAS32" s="20" t="n">
        <f aca="false">IF(H_Direct=1,IF(CF32&lt;=0,AAR32-CF32*TS32,AAR32-MIN(MIN(CF32*TS32,(XE32+AAR32)),AAR32)),AAR32)</f>
        <v>0</v>
      </c>
      <c r="AAT32" s="20" t="n">
        <f aca="false">IF(H_Direct=1,IF(CG32&lt;=0,AAS32-CG32*TT32,AAS32-MIN(MIN(CG32*TT32,(XF32+AAS32)),AAS32)),AAS32)</f>
        <v>0</v>
      </c>
      <c r="AAU32" s="20" t="n">
        <f aca="false">IF(H_Direct=1,IF(CH32&lt;=0,AAT32-CH32*TU32,AAT32-MIN(MIN(CH32*TU32,(XG32+AAT32)),AAT32)),AAT32)</f>
        <v>0</v>
      </c>
      <c r="AAV32" s="20" t="n">
        <f aca="false">IF(H_Direct=1,IF(CI32&lt;=0,AAU32-CI32*TV32,AAU32-MIN(MIN(CI32*TV32,(XH32+AAU32)),AAU32)),AAU32)</f>
        <v>0</v>
      </c>
      <c r="AAW32" s="20" t="n">
        <f aca="false">IF(H_Direct=1,IF(CJ32&lt;=0,AAV32-CJ32*TW32,AAV32-MIN(MIN(CJ32*TW32,(XI32+AAV32)),AAV32)),AAV32)</f>
        <v>0</v>
      </c>
      <c r="AAX32" s="20" t="n">
        <f aca="false">IF(H_Direct=1,IF(CK32&lt;=0,AAW32-CK32*TX32,AAW32-MIN(MIN(CK32*TX32,(XJ32+AAW32)),AAW32)),AAW32)</f>
        <v>0</v>
      </c>
      <c r="AAY32" s="20" t="n">
        <f aca="false">IF(H_Direct=1,IF(CL32&lt;=0,AAX32-CL32*TY32,AAX32-MIN(MIN(CL32*TY32,(XK32+AAX32)),AAX32)),AAX32)</f>
        <v>0</v>
      </c>
      <c r="AAZ32" s="20" t="n">
        <f aca="false">IF(H_Direct=1,IF(CM32&lt;=0,AAY32-CM32*TZ32,AAY32-MIN(MIN(CM32*TZ32,(XL32+AAY32)),AAY32)),AAY32)</f>
        <v>0</v>
      </c>
      <c r="ABA32" s="20" t="n">
        <f aca="false">IF(H_Direct=1,IF(CN32&lt;=0,AAZ32-CN32*UA32,AAZ32-MIN(MIN(CN32*UA32,(XM32+AAZ32)),AAZ32)),AAZ32)</f>
        <v>0</v>
      </c>
      <c r="ABB32" s="20" t="n">
        <f aca="false">IF(H_Direct=1,IF(CO32&lt;=0,ABA32-CO32*UB32,ABA32-MIN(MIN(CO32*UB32,(XN32+ABA32)),ABA32)),ABA32)</f>
        <v>0</v>
      </c>
      <c r="ABC32" s="20" t="n">
        <f aca="false">IF(H_Direct=1,IF(CP32&lt;=0,ABB32-CP32*UC32,ABB32-MIN(MIN(CP32*UC32,(XO32+ABB32)),ABB32)),ABB32)</f>
        <v>0</v>
      </c>
      <c r="ABD32" s="20" t="n">
        <f aca="false">IF(H_Direct=1,IF(CQ32&lt;=0,ABC32-CQ32*UD32,ABC32-MIN(MIN(CQ32*UD32,(XP32+ABC32)),ABC32)),ABC32)</f>
        <v>0</v>
      </c>
      <c r="ABE32" s="20" t="n">
        <f aca="false">ABD32</f>
        <v>0</v>
      </c>
      <c r="ABF32" s="20" t="n">
        <f aca="false">ABE32</f>
        <v>0</v>
      </c>
      <c r="ABG32" s="20" t="n">
        <f aca="false">ABF32</f>
        <v>0</v>
      </c>
      <c r="ABH32" s="20" t="n">
        <f aca="false">ABG32</f>
        <v>0</v>
      </c>
      <c r="ABI32" s="20" t="n">
        <f aca="false">ABH32</f>
        <v>0</v>
      </c>
      <c r="ABJ32" s="20" t="n">
        <f aca="false">ABI32</f>
        <v>0</v>
      </c>
      <c r="ABK32" s="20" t="n">
        <f aca="false">ABJ32</f>
        <v>0</v>
      </c>
      <c r="ABL32" s="20" t="n">
        <f aca="false">ABK32</f>
        <v>0</v>
      </c>
      <c r="ABM32" s="20" t="n">
        <f aca="false">ABL32</f>
        <v>0</v>
      </c>
      <c r="ABN32" s="20" t="n">
        <f aca="false">ABM32</f>
        <v>0</v>
      </c>
      <c r="ABO32" s="20" t="n">
        <f aca="false">ABN32</f>
        <v>0</v>
      </c>
      <c r="ABP32" s="20" t="n">
        <f aca="false">ABO32</f>
        <v>0</v>
      </c>
      <c r="ABQ32" s="20" t="n">
        <f aca="false">ABP32</f>
        <v>0</v>
      </c>
      <c r="ABR32" s="20" t="n">
        <f aca="false">ABQ32</f>
        <v>0</v>
      </c>
      <c r="ABS32" s="20" t="n">
        <f aca="false">ABR32</f>
        <v>0</v>
      </c>
      <c r="ABT32" s="20" t="n">
        <f aca="false">ABS32</f>
        <v>0</v>
      </c>
      <c r="ABU32" s="20" t="n">
        <f aca="false">ABT32</f>
        <v>0</v>
      </c>
      <c r="ABV32" s="20" t="n">
        <f aca="false">ABU32</f>
        <v>0</v>
      </c>
      <c r="ABW32" s="20" t="n">
        <f aca="false">ABV32</f>
        <v>0</v>
      </c>
      <c r="ABX32" s="20" t="n">
        <f aca="false">ABW32</f>
        <v>0</v>
      </c>
      <c r="ABY32" s="20" t="n">
        <f aca="false">ABX32</f>
        <v>0</v>
      </c>
      <c r="ABZ32" s="20" t="n">
        <f aca="false">ABY32</f>
        <v>0</v>
      </c>
      <c r="ACA32" s="20" t="n">
        <f aca="false">ABZ32</f>
        <v>0</v>
      </c>
      <c r="ACB32" s="20" t="n">
        <f aca="false">ACA32</f>
        <v>0</v>
      </c>
      <c r="ACC32" s="20" t="n">
        <f aca="false">ACB32</f>
        <v>0</v>
      </c>
      <c r="ACD32" s="20" t="n">
        <f aca="false">ACC32</f>
        <v>0</v>
      </c>
      <c r="ACE32" s="20" t="n">
        <f aca="false">ACD32</f>
        <v>0</v>
      </c>
      <c r="ACF32" s="20" t="n">
        <f aca="false">ACE32</f>
        <v>0</v>
      </c>
      <c r="ACG32" s="20" t="n">
        <f aca="false">ACF32</f>
        <v>0</v>
      </c>
      <c r="ACH32" s="20" t="n">
        <f aca="false">ACG32</f>
        <v>0</v>
      </c>
      <c r="ACI32" s="20" t="n">
        <f aca="false">ACH32</f>
        <v>0</v>
      </c>
      <c r="ACJ32" s="20" t="n">
        <f aca="false">ACI32</f>
        <v>0</v>
      </c>
      <c r="ACK32" s="20" t="n">
        <f aca="false">ACJ32</f>
        <v>0</v>
      </c>
      <c r="ACL32" s="20" t="n">
        <f aca="false">ACK32</f>
        <v>0</v>
      </c>
      <c r="ACM32" s="20" t="n">
        <f aca="false">ACL32</f>
        <v>0</v>
      </c>
      <c r="ACN32" s="20" t="n">
        <f aca="false">ACM32</f>
        <v>0</v>
      </c>
      <c r="ACO32" s="20" t="n">
        <f aca="false">ACN32</f>
        <v>0</v>
      </c>
      <c r="ACP32" s="20" t="n">
        <f aca="false">ACO32</f>
        <v>0</v>
      </c>
      <c r="ACQ32" s="20" t="n">
        <f aca="false">ACP32</f>
        <v>0</v>
      </c>
      <c r="ACR32" s="20" t="n">
        <f aca="false">ACQ32</f>
        <v>0</v>
      </c>
      <c r="ACS32" s="20" t="n">
        <f aca="false">ACR32</f>
        <v>0</v>
      </c>
      <c r="ACT32" s="20" t="n">
        <f aca="false">ACS32</f>
        <v>0</v>
      </c>
      <c r="ACU32" s="20" t="n">
        <f aca="false">ACT32</f>
        <v>0</v>
      </c>
      <c r="ACV32" s="20" t="n">
        <f aca="false">ACU32</f>
        <v>0</v>
      </c>
      <c r="ACW32" s="20" t="n">
        <f aca="false">ACV32</f>
        <v>0</v>
      </c>
      <c r="ACX32" s="20" t="n">
        <f aca="false">ACW32</f>
        <v>0</v>
      </c>
      <c r="ACY32" s="20" t="n">
        <f aca="false">ACX32</f>
        <v>0</v>
      </c>
      <c r="ACZ32" s="20" t="n">
        <f aca="false">ACY32</f>
        <v>0</v>
      </c>
      <c r="ADA32" s="20" t="n">
        <f aca="false">ACZ32</f>
        <v>0</v>
      </c>
      <c r="ADB32" s="20" t="n">
        <f aca="false">ADA32</f>
        <v>0</v>
      </c>
      <c r="ADC32" s="20" t="n">
        <f aca="false">ADB32</f>
        <v>0</v>
      </c>
      <c r="ADD32" s="20" t="n">
        <f aca="false">ADC32</f>
        <v>0</v>
      </c>
      <c r="ADE32" s="20" t="n">
        <f aca="false">ADD32</f>
        <v>0</v>
      </c>
      <c r="ADF32" s="20" t="n">
        <f aca="false">ADE32</f>
        <v>0</v>
      </c>
      <c r="ADG32" s="20" t="n">
        <f aca="false">ADF32</f>
        <v>0</v>
      </c>
      <c r="ADH32" s="20" t="n">
        <f aca="false">ADG32</f>
        <v>0</v>
      </c>
      <c r="ADI32" s="20" t="n">
        <f aca="false">ADH32</f>
        <v>0</v>
      </c>
      <c r="ADJ32" s="20" t="n">
        <f aca="false">ADI32</f>
        <v>0</v>
      </c>
      <c r="ADK32" s="20" t="n">
        <f aca="false">ADJ32</f>
        <v>0</v>
      </c>
      <c r="ADL32" s="20" t="n">
        <f aca="false">ADK32</f>
        <v>0</v>
      </c>
      <c r="ADM32" s="20" t="n">
        <f aca="false">ADL32</f>
        <v>0</v>
      </c>
      <c r="ADN32" s="20" t="n">
        <f aca="false">ADM32</f>
        <v>0</v>
      </c>
      <c r="ADO32" s="20" t="n">
        <f aca="false">ADN32</f>
        <v>0</v>
      </c>
      <c r="ADP32" s="20" t="n">
        <f aca="false">ADO32</f>
        <v>0</v>
      </c>
      <c r="ADQ32" s="20" t="n">
        <f aca="false">ADP32</f>
        <v>0</v>
      </c>
      <c r="ADR32" s="20" t="n">
        <f aca="false">(AKR31-TE32+0)*(1+BQ32)</f>
        <v>0</v>
      </c>
      <c r="ADS32" s="20" t="n">
        <f aca="false">(AKS31-TF32+0)*(1+BQ32)</f>
        <v>0</v>
      </c>
      <c r="ADT32" s="20" t="n">
        <f aca="false">(AKT31-TG32+0)*(1+BQ32)</f>
        <v>0</v>
      </c>
      <c r="ADU32" s="20" t="n">
        <f aca="false">(AKU31-TH32+0)*(1+BQ32)</f>
        <v>0</v>
      </c>
      <c r="ADV32" s="20" t="n">
        <f aca="false">(AKV31-TI32+0)*(1+BQ32)</f>
        <v>0</v>
      </c>
      <c r="ADW32" s="20" t="n">
        <f aca="false">(AKW31-TJ32+0)*(1+BQ32)</f>
        <v>0</v>
      </c>
      <c r="ADX32" s="20" t="n">
        <f aca="false">(AKX31-TK32+0)*(1+BQ32)</f>
        <v>0</v>
      </c>
      <c r="ADY32" s="20" t="n">
        <f aca="false">(AKY31-TL32+0)*(1+BQ32)</f>
        <v>0</v>
      </c>
      <c r="ADZ32" s="20" t="n">
        <f aca="false">(AKZ31-TM32+0)*(1+BQ32)</f>
        <v>0</v>
      </c>
      <c r="AEA32" s="20" t="n">
        <f aca="false">(ALA31-TN32+0)*(1+BQ32)</f>
        <v>0</v>
      </c>
      <c r="AEB32" s="20" t="n">
        <f aca="false">(ALB31-TO32+0)*(1+BQ32)</f>
        <v>0</v>
      </c>
      <c r="AEC32" s="20" t="n">
        <f aca="false">(ALC31-TP32+0)*(1+BQ32)</f>
        <v>883.779256813771</v>
      </c>
      <c r="AED32" s="20" t="n">
        <f aca="false">(ALD31-TQ32+0)*(1+BQ32)</f>
        <v>1111.76618235649</v>
      </c>
      <c r="AEE32" s="20" t="n">
        <f aca="false">(ALE31-TR32+0)*(1+BQ32)</f>
        <v>1330.47339173681</v>
      </c>
      <c r="AEF32" s="20" t="n">
        <f aca="false">(ALF31-TS32+0)*(1+BQ32)</f>
        <v>1496.12436283026</v>
      </c>
      <c r="AEG32" s="20" t="n">
        <f aca="false">(ALG31-TT32+0)*(1+BQ32)</f>
        <v>1438.83500624594</v>
      </c>
      <c r="AEH32" s="20" t="n">
        <f aca="false">(ALH31-TU32+0)*(1+BQ32)</f>
        <v>1382.92157704038</v>
      </c>
      <c r="AEI32" s="20" t="n">
        <f aca="false">(ALI31-TV32+0)*(1+BQ32)</f>
        <v>1328.35497844684</v>
      </c>
      <c r="AEJ32" s="20" t="n">
        <f aca="false">(ALJ31-TW32+0)*(1+BQ32)</f>
        <v>4599.18496656554</v>
      </c>
      <c r="AEK32" s="20" t="n">
        <f aca="false">(ALK31-TX32+0)*(1+BQ32)</f>
        <v>4510.7391018239</v>
      </c>
      <c r="AEL32" s="20" t="n">
        <f aca="false">(ALL31-TY32+0)*(1+BQ32)</f>
        <v>4423.99411909652</v>
      </c>
      <c r="AEM32" s="20" t="n">
        <f aca="false">(ALM31-TZ32+0)*(1+BQ32)</f>
        <v>4338.91730911389</v>
      </c>
      <c r="AEN32" s="20" t="n">
        <f aca="false">(ALN31-UA32+0)*(1+BQ32)</f>
        <v>4255.47659163093</v>
      </c>
      <c r="AEO32" s="20" t="n">
        <f aca="false">(ALO31-UB32+0)*(1+BQ32)</f>
        <v>4173.64050333033</v>
      </c>
      <c r="AEP32" s="20" t="n">
        <f aca="false">(ALP31-UC32+0)*(1+BQ32)</f>
        <v>4093.3781859586</v>
      </c>
      <c r="AEQ32" s="20" t="n">
        <f aca="false">((P32+S32)-UD32+BE32)*(1+BQ32)</f>
        <v>4014.65937469017</v>
      </c>
      <c r="AER32" s="20" t="n">
        <v>0</v>
      </c>
      <c r="AES32" s="20" t="n">
        <v>0</v>
      </c>
      <c r="AET32" s="20" t="n">
        <v>0</v>
      </c>
      <c r="AEU32" s="20" t="n">
        <v>0</v>
      </c>
      <c r="AEV32" s="20" t="n">
        <v>0</v>
      </c>
      <c r="AEW32" s="20" t="n">
        <v>0</v>
      </c>
      <c r="AEX32" s="20" t="n">
        <v>0</v>
      </c>
      <c r="AEY32" s="20" t="n">
        <v>0</v>
      </c>
      <c r="AEZ32" s="20" t="n">
        <v>0</v>
      </c>
      <c r="AFA32" s="20" t="n">
        <v>0</v>
      </c>
      <c r="AFB32" s="20" t="n">
        <v>0</v>
      </c>
      <c r="AFC32" s="20" t="n">
        <v>0</v>
      </c>
      <c r="AFD32" s="20" t="n">
        <v>0</v>
      </c>
      <c r="AFE32" s="20" t="n">
        <v>0</v>
      </c>
      <c r="AFF32" s="20" t="n">
        <v>0</v>
      </c>
      <c r="AFG32" s="20" t="n">
        <v>0</v>
      </c>
      <c r="AFH32" s="20" t="n">
        <v>0</v>
      </c>
      <c r="AFI32" s="20" t="n">
        <v>0</v>
      </c>
      <c r="AFJ32" s="20" t="n">
        <v>0</v>
      </c>
      <c r="AFK32" s="20" t="n">
        <v>0</v>
      </c>
      <c r="AFL32" s="20" t="n">
        <v>0</v>
      </c>
      <c r="AFM32" s="20" t="n">
        <v>0</v>
      </c>
      <c r="AFN32" s="20" t="n">
        <v>0</v>
      </c>
      <c r="AFO32" s="20" t="n">
        <v>0</v>
      </c>
      <c r="AFP32" s="20" t="n">
        <v>0</v>
      </c>
      <c r="AFQ32" s="20" t="n">
        <v>0</v>
      </c>
      <c r="AFR32" s="20" t="n">
        <v>0</v>
      </c>
      <c r="AFS32" s="20" t="n">
        <v>0</v>
      </c>
      <c r="AFT32" s="20" t="n">
        <v>0</v>
      </c>
      <c r="AFU32" s="20" t="n">
        <v>0</v>
      </c>
      <c r="AFV32" s="20" t="n">
        <v>0</v>
      </c>
      <c r="AFW32" s="20" t="n">
        <v>0</v>
      </c>
      <c r="AFX32" s="20" t="n">
        <v>0</v>
      </c>
      <c r="AFY32" s="20" t="n">
        <v>0</v>
      </c>
      <c r="AFZ32" s="20" t="n">
        <v>0</v>
      </c>
      <c r="AGA32" s="20" t="n">
        <v>0</v>
      </c>
      <c r="AGB32" s="20" t="n">
        <v>0</v>
      </c>
      <c r="AGC32" s="20" t="n">
        <v>0</v>
      </c>
      <c r="AGD32" s="20" t="n">
        <v>0</v>
      </c>
      <c r="AGE32" s="20" t="n">
        <v>0</v>
      </c>
      <c r="AGF32" s="20" t="n">
        <v>0</v>
      </c>
      <c r="AGG32" s="20" t="n">
        <v>0</v>
      </c>
      <c r="AGH32" s="20" t="n">
        <v>0</v>
      </c>
      <c r="AGI32" s="20" t="n">
        <v>0</v>
      </c>
      <c r="AGJ32" s="20" t="n">
        <v>0</v>
      </c>
      <c r="AGK32" s="20" t="n">
        <v>0</v>
      </c>
      <c r="AGL32" s="20" t="n">
        <v>0</v>
      </c>
      <c r="AGM32" s="20" t="n">
        <v>0</v>
      </c>
      <c r="AGN32" s="20" t="n">
        <v>0</v>
      </c>
      <c r="AGO32" s="20" t="n">
        <v>0</v>
      </c>
      <c r="AGP32" s="20" t="n">
        <v>0</v>
      </c>
      <c r="AGQ32" s="20" t="n">
        <v>0</v>
      </c>
      <c r="AGR32" s="20" t="n">
        <v>0</v>
      </c>
      <c r="AGS32" s="20" t="n">
        <v>0</v>
      </c>
      <c r="AGT32" s="20" t="n">
        <v>0</v>
      </c>
      <c r="AGU32" s="20" t="n">
        <v>0</v>
      </c>
      <c r="AGV32" s="20" t="n">
        <v>0</v>
      </c>
      <c r="AGW32" s="20" t="n">
        <v>0</v>
      </c>
      <c r="AGX32" s="20" t="n">
        <v>0</v>
      </c>
      <c r="AGY32" s="20" t="n">
        <v>0</v>
      </c>
      <c r="AGZ32" s="20" t="n">
        <v>0</v>
      </c>
      <c r="AHA32" s="20" t="n">
        <v>0</v>
      </c>
      <c r="AHB32" s="20" t="n">
        <v>0</v>
      </c>
      <c r="AHC32" s="20" t="n">
        <v>0</v>
      </c>
      <c r="AHD32" s="20" t="n">
        <v>0</v>
      </c>
      <c r="AHE32" s="20" t="n">
        <f aca="false">IF(AKR31&gt;0,AOE31-AOE31*TE32/AKR31,0)+0</f>
        <v>0</v>
      </c>
      <c r="AHF32" s="20" t="n">
        <f aca="false">IF(AKS31&gt;0,AOF31-AOF31*TF32/AKS31,0)+0</f>
        <v>0</v>
      </c>
      <c r="AHG32" s="20" t="n">
        <f aca="false">IF(AKT31&gt;0,AOG31-AOG31*TG32/AKT31,0)+0</f>
        <v>0</v>
      </c>
      <c r="AHH32" s="20" t="n">
        <f aca="false">IF(AKU31&gt;0,AOH31-AOH31*TH32/AKU31,0)+0</f>
        <v>0</v>
      </c>
      <c r="AHI32" s="20" t="n">
        <f aca="false">IF(AKV31&gt;0,AOI31-AOI31*TI32/AKV31,0)+0</f>
        <v>0</v>
      </c>
      <c r="AHJ32" s="20" t="n">
        <f aca="false">IF(AKW31&gt;0,AOJ31-AOJ31*TJ32/AKW31,0)+0</f>
        <v>0</v>
      </c>
      <c r="AHK32" s="20" t="n">
        <f aca="false">IF(AKX31&gt;0,AOK31-AOK31*TK32/AKX31,0)+0</f>
        <v>0</v>
      </c>
      <c r="AHL32" s="20" t="n">
        <f aca="false">IF(AKY31&gt;0,AOL31-AOL31*TL32/AKY31,0)+0</f>
        <v>0</v>
      </c>
      <c r="AHM32" s="20" t="n">
        <f aca="false">IF(AKZ31&gt;0,AOM31-AOM31*TM32/AKZ31,0)+0</f>
        <v>0</v>
      </c>
      <c r="AHN32" s="20" t="n">
        <f aca="false">IF(ALA31&gt;0,AON31-AON31*TN32/ALA31,0)+0</f>
        <v>0</v>
      </c>
      <c r="AHO32" s="20" t="n">
        <f aca="false">IF(ALB31&gt;0,AOO31-AOO31*TO32/ALB31,0)+0</f>
        <v>0</v>
      </c>
      <c r="AHP32" s="20" t="n">
        <f aca="false">IF(ALC31&gt;0,AOP31-AOP31*TP32/ALC31,0)+0</f>
        <v>671.599600191266</v>
      </c>
      <c r="AHQ32" s="20" t="n">
        <f aca="false">IF(ALD31&gt;0,AOQ31-AOQ31*TQ32/ALD31,0)+0</f>
        <v>878.644963131885</v>
      </c>
      <c r="AHR32" s="20" t="n">
        <f aca="false">IF(ALE31&gt;0,AOR31-AOR31*TR32/ALE31,0)+0</f>
        <v>1093.55214549053</v>
      </c>
      <c r="AHS32" s="20" t="n">
        <f aca="false">IF(ALF31&gt;0,AOS31-AOS31*TS32/ALF31,0)+0</f>
        <v>1278.89337564899</v>
      </c>
      <c r="AHT32" s="20" t="n">
        <f aca="false">IF(ALG31&gt;0,AOT31-AOT31*TT32/ALG31,0)+0</f>
        <v>1279.11908128089</v>
      </c>
      <c r="AHU32" s="20" t="n">
        <f aca="false">IF(ALH31&gt;0,AOU31-AOU31*TU32/ALH31,0)+0</f>
        <v>1278.58873616899</v>
      </c>
      <c r="AHV32" s="20" t="n">
        <f aca="false">IF(ALI31&gt;0,AOV31-AOV31*TV32/ALI31,0)+0</f>
        <v>1277.26440235273</v>
      </c>
      <c r="AHW32" s="20" t="n">
        <f aca="false">IF(ALJ31&gt;0,AOW31-AOW31*TW32/ALJ31,0)+0</f>
        <v>3360.57940606182</v>
      </c>
      <c r="AHX32" s="20" t="n">
        <f aca="false">IF(ALK31&gt;0,AOX31-AOX31*TX32/ALK31,0)+0</f>
        <v>3427.79099418306</v>
      </c>
      <c r="AHY32" s="20" t="n">
        <f aca="false">IF(ALL31&gt;0,AOY31-AOY31*TY32/ALL31,0)+0</f>
        <v>3496.34681406672</v>
      </c>
      <c r="AHZ32" s="20" t="n">
        <f aca="false">IF(ALM31&gt;0,AOZ31-AOZ31*TZ32/ALM31,0)+0</f>
        <v>3566.27375034805</v>
      </c>
      <c r="AIA32" s="20" t="n">
        <f aca="false">IF(ALN31&gt;0,APA31-APA31*UA32/ALN31,0)+0</f>
        <v>3637.59922535501</v>
      </c>
      <c r="AIB32" s="20" t="n">
        <f aca="false">IF(ALO31&gt;0,APB31-APB31*UB32/ALO31,0)+0</f>
        <v>3710.35120986211</v>
      </c>
      <c r="AIC32" s="20" t="n">
        <f aca="false">IF(ALP31&gt;0,APC31-APC31*UC32/ALP31,0)+0</f>
        <v>3784.55823405936</v>
      </c>
      <c r="AID32" s="20" t="n">
        <f aca="false">IF((P32+S32)&gt;0,(P32+S32)-(P32+S32)*UD32/(P32+S32),0)+BE32</f>
        <v>3860.24939874054</v>
      </c>
      <c r="AIE32" s="20" t="n">
        <v>0</v>
      </c>
      <c r="AIF32" s="20" t="n">
        <v>0</v>
      </c>
      <c r="AIG32" s="20" t="n">
        <v>0</v>
      </c>
      <c r="AIH32" s="20" t="n">
        <v>0</v>
      </c>
      <c r="AII32" s="20" t="n">
        <v>0</v>
      </c>
      <c r="AIJ32" s="20" t="n">
        <v>0</v>
      </c>
      <c r="AIK32" s="20" t="n">
        <v>0</v>
      </c>
      <c r="AIL32" s="20" t="n">
        <v>0</v>
      </c>
      <c r="AIM32" s="20" t="n">
        <v>0</v>
      </c>
      <c r="AIN32" s="20" t="n">
        <v>0</v>
      </c>
      <c r="AIO32" s="20" t="n">
        <v>0</v>
      </c>
      <c r="AIP32" s="20" t="n">
        <v>0</v>
      </c>
      <c r="AIQ32" s="20" t="n">
        <v>0</v>
      </c>
      <c r="AIR32" s="20" t="n">
        <v>0</v>
      </c>
      <c r="AIS32" s="20" t="n">
        <v>0</v>
      </c>
      <c r="AIT32" s="20" t="n">
        <v>0</v>
      </c>
      <c r="AIU32" s="20" t="n">
        <v>0</v>
      </c>
      <c r="AIV32" s="20" t="n">
        <v>0</v>
      </c>
      <c r="AIW32" s="20" t="n">
        <v>0</v>
      </c>
      <c r="AIX32" s="20" t="n">
        <v>0</v>
      </c>
      <c r="AIY32" s="20" t="n">
        <v>0</v>
      </c>
      <c r="AIZ32" s="20" t="n">
        <v>0</v>
      </c>
      <c r="AJA32" s="20" t="n">
        <v>0</v>
      </c>
      <c r="AJB32" s="20" t="n">
        <v>0</v>
      </c>
      <c r="AJC32" s="20" t="n">
        <v>0</v>
      </c>
      <c r="AJD32" s="20" t="n">
        <v>0</v>
      </c>
      <c r="AJE32" s="20" t="n">
        <v>0</v>
      </c>
      <c r="AJF32" s="20" t="n">
        <v>0</v>
      </c>
      <c r="AJG32" s="20" t="n">
        <v>0</v>
      </c>
      <c r="AJH32" s="20" t="n">
        <v>0</v>
      </c>
      <c r="AJI32" s="20" t="n">
        <v>0</v>
      </c>
      <c r="AJJ32" s="20" t="n">
        <v>0</v>
      </c>
      <c r="AJK32" s="20" t="n">
        <v>0</v>
      </c>
      <c r="AJL32" s="20" t="n">
        <v>0</v>
      </c>
      <c r="AJM32" s="20" t="n">
        <v>0</v>
      </c>
      <c r="AJN32" s="20" t="n">
        <v>0</v>
      </c>
      <c r="AJO32" s="20" t="n">
        <v>0</v>
      </c>
      <c r="AJP32" s="20" t="n">
        <v>0</v>
      </c>
      <c r="AJQ32" s="20" t="n">
        <v>0</v>
      </c>
      <c r="AJR32" s="20" t="n">
        <v>0</v>
      </c>
      <c r="AJS32" s="20" t="n">
        <v>0</v>
      </c>
      <c r="AJT32" s="20" t="n">
        <v>0</v>
      </c>
      <c r="AJU32" s="20" t="n">
        <v>0</v>
      </c>
      <c r="AJV32" s="20" t="n">
        <v>0</v>
      </c>
      <c r="AJW32" s="20" t="n">
        <v>0</v>
      </c>
      <c r="AJX32" s="20" t="n">
        <v>0</v>
      </c>
      <c r="AJY32" s="20" t="n">
        <v>0</v>
      </c>
      <c r="AJZ32" s="20" t="n">
        <v>0</v>
      </c>
      <c r="AKA32" s="20" t="n">
        <v>0</v>
      </c>
      <c r="AKB32" s="20" t="n">
        <v>0</v>
      </c>
      <c r="AKC32" s="20" t="n">
        <v>0</v>
      </c>
      <c r="AKD32" s="20" t="n">
        <v>0</v>
      </c>
      <c r="AKE32" s="20" t="n">
        <v>0</v>
      </c>
      <c r="AKF32" s="20" t="n">
        <v>0</v>
      </c>
      <c r="AKG32" s="20" t="n">
        <v>0</v>
      </c>
      <c r="AKH32" s="20" t="n">
        <v>0</v>
      </c>
      <c r="AKI32" s="20" t="n">
        <v>0</v>
      </c>
      <c r="AKJ32" s="20" t="n">
        <v>0</v>
      </c>
      <c r="AKK32" s="20" t="n">
        <v>0</v>
      </c>
      <c r="AKL32" s="20" t="n">
        <v>0</v>
      </c>
      <c r="AKM32" s="20" t="n">
        <v>0</v>
      </c>
      <c r="AKN32" s="20" t="n">
        <v>0</v>
      </c>
      <c r="AKO32" s="20" t="n">
        <v>0</v>
      </c>
      <c r="AKP32" s="20" t="n">
        <v>0</v>
      </c>
      <c r="AKQ32" s="20" t="n">
        <v>0</v>
      </c>
      <c r="AKR32" s="20" t="n">
        <f aca="false">ADR32-AVE32</f>
        <v>0</v>
      </c>
      <c r="AKS32" s="20" t="n">
        <f aca="false">ADS32-AVF32</f>
        <v>0</v>
      </c>
      <c r="AKT32" s="20" t="n">
        <f aca="false">ADT32-AVG32</f>
        <v>0</v>
      </c>
      <c r="AKU32" s="20" t="n">
        <f aca="false">ADU32-AVH32</f>
        <v>0</v>
      </c>
      <c r="AKV32" s="20" t="n">
        <f aca="false">ADV32-AVI32</f>
        <v>0</v>
      </c>
      <c r="AKW32" s="20" t="n">
        <f aca="false">ADW32-AVJ32</f>
        <v>0</v>
      </c>
      <c r="AKX32" s="20" t="n">
        <f aca="false">ADX32-AVK32</f>
        <v>0</v>
      </c>
      <c r="AKY32" s="20" t="n">
        <f aca="false">ADY32-AVL32</f>
        <v>0</v>
      </c>
      <c r="AKZ32" s="20" t="n">
        <f aca="false">ADZ32-AVM32</f>
        <v>0</v>
      </c>
      <c r="ALA32" s="20" t="n">
        <f aca="false">AEA32-AVN32</f>
        <v>0</v>
      </c>
      <c r="ALB32" s="20" t="n">
        <f aca="false">AEB32-AVO32</f>
        <v>0</v>
      </c>
      <c r="ALC32" s="20" t="n">
        <f aca="false">AEC32-AVP32</f>
        <v>883.779256813771</v>
      </c>
      <c r="ALD32" s="20" t="n">
        <f aca="false">AED32-AVQ32</f>
        <v>1111.76618235649</v>
      </c>
      <c r="ALE32" s="20" t="n">
        <f aca="false">AEE32-AVR32</f>
        <v>1330.47339173681</v>
      </c>
      <c r="ALF32" s="20" t="n">
        <f aca="false">AEF32-AVS32</f>
        <v>1496.12436283026</v>
      </c>
      <c r="ALG32" s="20" t="n">
        <f aca="false">AEG32-AVT32</f>
        <v>1438.83500624594</v>
      </c>
      <c r="ALH32" s="20" t="n">
        <f aca="false">AEH32-AVU32</f>
        <v>1382.92157704038</v>
      </c>
      <c r="ALI32" s="20" t="n">
        <f aca="false">AEI32-AVV32</f>
        <v>1328.35497844684</v>
      </c>
      <c r="ALJ32" s="20" t="n">
        <f aca="false">AEJ32-AVW32</f>
        <v>4128.51485357413</v>
      </c>
      <c r="ALK32" s="20" t="n">
        <f aca="false">AEK32-AVX32</f>
        <v>4510.7391018239</v>
      </c>
      <c r="ALL32" s="20" t="n">
        <f aca="false">AEL32-AVY32</f>
        <v>4423.99411909652</v>
      </c>
      <c r="ALM32" s="20" t="n">
        <f aca="false">AEM32-AVZ32</f>
        <v>4338.91730911389</v>
      </c>
      <c r="ALN32" s="20" t="n">
        <f aca="false">AEN32-AWA32</f>
        <v>4255.47659163093</v>
      </c>
      <c r="ALO32" s="20" t="n">
        <f aca="false">AEO32-AWB32</f>
        <v>4173.64050333033</v>
      </c>
      <c r="ALP32" s="20" t="n">
        <f aca="false">AEP32-AWC32</f>
        <v>4093.3781859586</v>
      </c>
      <c r="ALQ32" s="20" t="n">
        <f aca="false">AEQ32-AWD32</f>
        <v>4014.65937469017</v>
      </c>
      <c r="ALR32" s="20" t="n">
        <v>0</v>
      </c>
      <c r="ALS32" s="20" t="n">
        <v>0</v>
      </c>
      <c r="ALT32" s="20" t="n">
        <v>0</v>
      </c>
      <c r="ALU32" s="20" t="n">
        <v>0</v>
      </c>
      <c r="ALV32" s="20" t="n">
        <v>0</v>
      </c>
      <c r="ALW32" s="20" t="n">
        <v>0</v>
      </c>
      <c r="ALX32" s="20" t="n">
        <v>0</v>
      </c>
      <c r="ALY32" s="20" t="n">
        <v>0</v>
      </c>
      <c r="ALZ32" s="20" t="n">
        <v>0</v>
      </c>
      <c r="AMA32" s="20" t="n">
        <v>0</v>
      </c>
      <c r="AMB32" s="20" t="n">
        <v>0</v>
      </c>
      <c r="AMC32" s="20" t="n">
        <v>0</v>
      </c>
      <c r="AMD32" s="20" t="n">
        <v>0</v>
      </c>
      <c r="AME32" s="20" t="n">
        <v>0</v>
      </c>
      <c r="AMF32" s="20" t="n">
        <v>0</v>
      </c>
      <c r="AMG32" s="20" t="n">
        <v>0</v>
      </c>
      <c r="AMH32" s="20" t="n">
        <v>0</v>
      </c>
      <c r="AMI32" s="20" t="n">
        <v>0</v>
      </c>
      <c r="AMJ32" s="20" t="n">
        <v>0</v>
      </c>
      <c r="AMK32" s="20" t="n">
        <v>0</v>
      </c>
      <c r="AML32" s="20" t="n">
        <v>0</v>
      </c>
      <c r="AMM32" s="20" t="n">
        <v>0</v>
      </c>
      <c r="AMN32" s="20" t="n">
        <v>0</v>
      </c>
      <c r="AMO32" s="20" t="n">
        <v>0</v>
      </c>
      <c r="AMP32" s="20" t="n">
        <v>0</v>
      </c>
      <c r="AMQ32" s="20" t="n">
        <v>0</v>
      </c>
      <c r="AMR32" s="20" t="n">
        <v>0</v>
      </c>
      <c r="AMS32" s="20" t="n">
        <v>0</v>
      </c>
      <c r="AMT32" s="20" t="n">
        <v>0</v>
      </c>
      <c r="AMU32" s="20" t="n">
        <v>0</v>
      </c>
      <c r="AMV32" s="20" t="n">
        <v>0</v>
      </c>
      <c r="AMW32" s="20" t="n">
        <v>0</v>
      </c>
      <c r="AMX32" s="20" t="n">
        <v>0</v>
      </c>
      <c r="AMY32" s="20" t="n">
        <v>0</v>
      </c>
      <c r="AMZ32" s="20" t="n">
        <v>0</v>
      </c>
      <c r="ANA32" s="20" t="n">
        <v>0</v>
      </c>
      <c r="ANB32" s="20" t="n">
        <v>0</v>
      </c>
      <c r="ANC32" s="20" t="n">
        <v>0</v>
      </c>
      <c r="AND32" s="20" t="n">
        <v>0</v>
      </c>
      <c r="ANE32" s="20" t="n">
        <v>0</v>
      </c>
      <c r="ANF32" s="20" t="n">
        <v>0</v>
      </c>
      <c r="ANG32" s="20" t="n">
        <v>0</v>
      </c>
      <c r="ANH32" s="20" t="n">
        <v>0</v>
      </c>
      <c r="ANI32" s="20" t="n">
        <v>0</v>
      </c>
      <c r="ANJ32" s="20" t="n">
        <v>0</v>
      </c>
      <c r="ANK32" s="20" t="n">
        <v>0</v>
      </c>
      <c r="ANL32" s="20" t="n">
        <v>0</v>
      </c>
      <c r="ANM32" s="20" t="n">
        <v>0</v>
      </c>
      <c r="ANN32" s="20" t="n">
        <v>0</v>
      </c>
      <c r="ANO32" s="20" t="n">
        <v>0</v>
      </c>
      <c r="ANP32" s="20" t="n">
        <v>0</v>
      </c>
      <c r="ANQ32" s="20" t="n">
        <v>0</v>
      </c>
      <c r="ANR32" s="20" t="n">
        <v>0</v>
      </c>
      <c r="ANS32" s="20" t="n">
        <v>0</v>
      </c>
      <c r="ANT32" s="20" t="n">
        <v>0</v>
      </c>
      <c r="ANU32" s="20" t="n">
        <v>0</v>
      </c>
      <c r="ANV32" s="20" t="n">
        <v>0</v>
      </c>
      <c r="ANW32" s="20" t="n">
        <v>0</v>
      </c>
      <c r="ANX32" s="20" t="n">
        <v>0</v>
      </c>
      <c r="ANY32" s="20" t="n">
        <v>0</v>
      </c>
      <c r="ANZ32" s="20" t="n">
        <v>0</v>
      </c>
      <c r="AOA32" s="20" t="n">
        <v>0</v>
      </c>
      <c r="AOB32" s="20" t="n">
        <v>0</v>
      </c>
      <c r="AOC32" s="20" t="n">
        <v>0</v>
      </c>
      <c r="AOD32" s="20" t="n">
        <v>0</v>
      </c>
      <c r="AOE32" s="20" t="n">
        <f aca="false">IF(AND(H_Direct=0,H_TaxEvt=1,ARR31+1&gt;=H_Deemed),AKR32,AHE32)</f>
        <v>0</v>
      </c>
      <c r="AOF32" s="20" t="n">
        <f aca="false">IF(AND(H_Direct=0,H_TaxEvt=1,ARS31+1&gt;=H_Deemed),AKS32,AHF32)</f>
        <v>0</v>
      </c>
      <c r="AOG32" s="20" t="n">
        <f aca="false">IF(AND(H_Direct=0,H_TaxEvt=1,ART31+1&gt;=H_Deemed),AKT32,AHG32)</f>
        <v>0</v>
      </c>
      <c r="AOH32" s="20" t="n">
        <f aca="false">IF(AND(H_Direct=0,H_TaxEvt=1,ARU31+1&gt;=H_Deemed),AKU32,AHH32)</f>
        <v>0</v>
      </c>
      <c r="AOI32" s="20" t="n">
        <f aca="false">IF(AND(H_Direct=0,H_TaxEvt=1,ARV31+1&gt;=H_Deemed),AKV32,AHI32)</f>
        <v>0</v>
      </c>
      <c r="AOJ32" s="20" t="n">
        <f aca="false">IF(AND(H_Direct=0,H_TaxEvt=1,ARW31+1&gt;=H_Deemed),AKW32,AHJ32)</f>
        <v>0</v>
      </c>
      <c r="AOK32" s="20" t="n">
        <f aca="false">IF(AND(H_Direct=0,H_TaxEvt=1,ARX31+1&gt;=H_Deemed),AKX32,AHK32)</f>
        <v>0</v>
      </c>
      <c r="AOL32" s="20" t="n">
        <f aca="false">IF(AND(H_Direct=0,H_TaxEvt=1,ARY31+1&gt;=H_Deemed),AKY32,AHL32)</f>
        <v>0</v>
      </c>
      <c r="AOM32" s="20" t="n">
        <f aca="false">IF(AND(H_Direct=0,H_TaxEvt=1,ARZ31+1&gt;=H_Deemed),AKZ32,AHM32)</f>
        <v>0</v>
      </c>
      <c r="AON32" s="20" t="n">
        <f aca="false">IF(AND(H_Direct=0,H_TaxEvt=1,ASA31+1&gt;=H_Deemed),ALA32,AHN32)</f>
        <v>0</v>
      </c>
      <c r="AOO32" s="20" t="n">
        <f aca="false">IF(AND(H_Direct=0,H_TaxEvt=1,ASB31+1&gt;=H_Deemed),ALB32,AHO32)</f>
        <v>0</v>
      </c>
      <c r="AOP32" s="20" t="n">
        <f aca="false">IF(AND(H_Direct=0,H_TaxEvt=1,ASC31+1&gt;=H_Deemed),ALC32,AHP32)</f>
        <v>671.599600191266</v>
      </c>
      <c r="AOQ32" s="20" t="n">
        <f aca="false">IF(AND(H_Direct=0,H_TaxEvt=1,ASD31+1&gt;=H_Deemed),ALD32,AHQ32)</f>
        <v>878.644963131885</v>
      </c>
      <c r="AOR32" s="20" t="n">
        <f aca="false">IF(AND(H_Direct=0,H_TaxEvt=1,ASE31+1&gt;=H_Deemed),ALE32,AHR32)</f>
        <v>1093.55214549053</v>
      </c>
      <c r="AOS32" s="20" t="n">
        <f aca="false">IF(AND(H_Direct=0,H_TaxEvt=1,ASF31+1&gt;=H_Deemed),ALF32,AHS32)</f>
        <v>1278.89337564899</v>
      </c>
      <c r="AOT32" s="20" t="n">
        <f aca="false">IF(AND(H_Direct=0,H_TaxEvt=1,ASG31+1&gt;=H_Deemed),ALG32,AHT32)</f>
        <v>1279.11908128089</v>
      </c>
      <c r="AOU32" s="20" t="n">
        <f aca="false">IF(AND(H_Direct=0,H_TaxEvt=1,ASH31+1&gt;=H_Deemed),ALH32,AHU32)</f>
        <v>1278.58873616899</v>
      </c>
      <c r="AOV32" s="20" t="n">
        <f aca="false">IF(AND(H_Direct=0,H_TaxEvt=1,ASI31+1&gt;=H_Deemed),ALI32,AHV32)</f>
        <v>1277.26440235273</v>
      </c>
      <c r="AOW32" s="20" t="n">
        <f aca="false">IF(AND(H_Direct=0,H_TaxEvt=1,ASJ31+1&gt;=H_Deemed),ALJ32,AHW32)</f>
        <v>4128.51485357413</v>
      </c>
      <c r="AOX32" s="20" t="n">
        <f aca="false">IF(AND(H_Direct=0,H_TaxEvt=1,ASK31+1&gt;=H_Deemed),ALK32,AHX32)</f>
        <v>3427.79099418306</v>
      </c>
      <c r="AOY32" s="20" t="n">
        <f aca="false">IF(AND(H_Direct=0,H_TaxEvt=1,ASL31+1&gt;=H_Deemed),ALL32,AHY32)</f>
        <v>3496.34681406672</v>
      </c>
      <c r="AOZ32" s="20" t="n">
        <f aca="false">IF(AND(H_Direct=0,H_TaxEvt=1,ASM31+1&gt;=H_Deemed),ALM32,AHZ32)</f>
        <v>3566.27375034805</v>
      </c>
      <c r="APA32" s="20" t="n">
        <f aca="false">IF(AND(H_Direct=0,H_TaxEvt=1,ASN31+1&gt;=H_Deemed),ALN32,AIA32)</f>
        <v>3637.59922535501</v>
      </c>
      <c r="APB32" s="20" t="n">
        <f aca="false">IF(AND(H_Direct=0,H_TaxEvt=1,ASO31+1&gt;=H_Deemed),ALO32,AIB32)</f>
        <v>3710.35120986211</v>
      </c>
      <c r="APC32" s="20" t="n">
        <f aca="false">IF(AND(H_Direct=0,H_TaxEvt=1,ASP31+1&gt;=H_Deemed),ALP32,AIC32)</f>
        <v>3784.55823405936</v>
      </c>
      <c r="APD32" s="20" t="n">
        <f aca="false">IF(AND(H_Direct=0,H_TaxEvt=1,0+1&gt;=H_Deemed),ALQ32,AID32)</f>
        <v>3860.24939874054</v>
      </c>
      <c r="APE32" s="20" t="n">
        <v>0</v>
      </c>
      <c r="APF32" s="20" t="n">
        <v>0</v>
      </c>
      <c r="APG32" s="20" t="n">
        <v>0</v>
      </c>
      <c r="APH32" s="20" t="n">
        <v>0</v>
      </c>
      <c r="API32" s="20" t="n">
        <v>0</v>
      </c>
      <c r="APJ32" s="20" t="n">
        <v>0</v>
      </c>
      <c r="APK32" s="20" t="n">
        <v>0</v>
      </c>
      <c r="APL32" s="20" t="n">
        <v>0</v>
      </c>
      <c r="APM32" s="20" t="n">
        <v>0</v>
      </c>
      <c r="APN32" s="20" t="n">
        <v>0</v>
      </c>
      <c r="APO32" s="20" t="n">
        <v>0</v>
      </c>
      <c r="APP32" s="20" t="n">
        <v>0</v>
      </c>
      <c r="APQ32" s="20" t="n">
        <v>0</v>
      </c>
      <c r="APR32" s="20" t="n">
        <v>0</v>
      </c>
      <c r="APS32" s="20" t="n">
        <v>0</v>
      </c>
      <c r="APT32" s="20" t="n">
        <v>0</v>
      </c>
      <c r="APU32" s="20" t="n">
        <v>0</v>
      </c>
      <c r="APV32" s="20" t="n">
        <v>0</v>
      </c>
      <c r="APW32" s="20" t="n">
        <v>0</v>
      </c>
      <c r="APX32" s="20" t="n">
        <v>0</v>
      </c>
      <c r="APY32" s="20" t="n">
        <v>0</v>
      </c>
      <c r="APZ32" s="20" t="n">
        <v>0</v>
      </c>
      <c r="AQA32" s="20" t="n">
        <v>0</v>
      </c>
      <c r="AQB32" s="20" t="n">
        <v>0</v>
      </c>
      <c r="AQC32" s="20" t="n">
        <v>0</v>
      </c>
      <c r="AQD32" s="20" t="n">
        <v>0</v>
      </c>
      <c r="AQE32" s="20" t="n">
        <v>0</v>
      </c>
      <c r="AQF32" s="20" t="n">
        <v>0</v>
      </c>
      <c r="AQG32" s="20" t="n">
        <v>0</v>
      </c>
      <c r="AQH32" s="20" t="n">
        <v>0</v>
      </c>
      <c r="AQI32" s="20" t="n">
        <v>0</v>
      </c>
      <c r="AQJ32" s="20" t="n">
        <v>0</v>
      </c>
      <c r="AQK32" s="20" t="n">
        <v>0</v>
      </c>
      <c r="AQL32" s="20" t="n">
        <v>0</v>
      </c>
      <c r="AQM32" s="20" t="n">
        <v>0</v>
      </c>
      <c r="AQN32" s="20" t="n">
        <v>0</v>
      </c>
      <c r="AQO32" s="20" t="n">
        <v>0</v>
      </c>
      <c r="AQP32" s="20" t="n">
        <v>0</v>
      </c>
      <c r="AQQ32" s="20" t="n">
        <v>0</v>
      </c>
      <c r="AQR32" s="20" t="n">
        <v>0</v>
      </c>
      <c r="AQS32" s="20" t="n">
        <v>0</v>
      </c>
      <c r="AQT32" s="20" t="n">
        <v>0</v>
      </c>
      <c r="AQU32" s="20" t="n">
        <v>0</v>
      </c>
      <c r="AQV32" s="20" t="n">
        <v>0</v>
      </c>
      <c r="AQW32" s="20" t="n">
        <v>0</v>
      </c>
      <c r="AQX32" s="20" t="n">
        <v>0</v>
      </c>
      <c r="AQY32" s="20" t="n">
        <v>0</v>
      </c>
      <c r="AQZ32" s="20" t="n">
        <v>0</v>
      </c>
      <c r="ARA32" s="20" t="n">
        <v>0</v>
      </c>
      <c r="ARB32" s="20" t="n">
        <v>0</v>
      </c>
      <c r="ARC32" s="20" t="n">
        <v>0</v>
      </c>
      <c r="ARD32" s="20" t="n">
        <v>0</v>
      </c>
      <c r="ARE32" s="20" t="n">
        <v>0</v>
      </c>
      <c r="ARF32" s="20" t="n">
        <v>0</v>
      </c>
      <c r="ARG32" s="20" t="n">
        <v>0</v>
      </c>
      <c r="ARH32" s="20" t="n">
        <v>0</v>
      </c>
      <c r="ARI32" s="20" t="n">
        <v>0</v>
      </c>
      <c r="ARJ32" s="20" t="n">
        <v>0</v>
      </c>
      <c r="ARK32" s="20" t="n">
        <v>0</v>
      </c>
      <c r="ARL32" s="20" t="n">
        <v>0</v>
      </c>
      <c r="ARM32" s="20" t="n">
        <v>0</v>
      </c>
      <c r="ARN32" s="20" t="n">
        <v>0</v>
      </c>
      <c r="ARO32" s="20" t="n">
        <v>0</v>
      </c>
      <c r="ARP32" s="20" t="n">
        <v>0</v>
      </c>
      <c r="ARQ32" s="20" t="n">
        <v>0</v>
      </c>
      <c r="ARR32" s="20" t="n">
        <f aca="false">IF(AND(H_Direct=0,H_TaxEvt=1),IF(ARR31+1&gt;=H_Deemed,0,ARR31+1),ARR31)</f>
        <v>1</v>
      </c>
      <c r="ARS32" s="20" t="n">
        <f aca="false">IF(AND(H_Direct=0,H_TaxEvt=1),IF(ARS31+1&gt;=H_Deemed,0,ARS31+1),ARS31)</f>
        <v>1</v>
      </c>
      <c r="ART32" s="20" t="n">
        <f aca="false">IF(AND(H_Direct=0,H_TaxEvt=1),IF(ART31+1&gt;=H_Deemed,0,ART31+1),ART31)</f>
        <v>0</v>
      </c>
      <c r="ARU32" s="20" t="n">
        <f aca="false">IF(AND(H_Direct=0,H_TaxEvt=1),IF(ARU31+1&gt;=H_Deemed,0,ARU31+1),ARU31)</f>
        <v>7</v>
      </c>
      <c r="ARV32" s="20" t="n">
        <f aca="false">IF(AND(H_Direct=0,H_TaxEvt=1),IF(ARV31+1&gt;=H_Deemed,0,ARV31+1),ARV31)</f>
        <v>6</v>
      </c>
      <c r="ARW32" s="20" t="n">
        <f aca="false">IF(AND(H_Direct=0,H_TaxEvt=1),IF(ARW31+1&gt;=H_Deemed,0,ARW31+1),ARW31)</f>
        <v>5</v>
      </c>
      <c r="ARX32" s="20" t="n">
        <f aca="false">IF(AND(H_Direct=0,H_TaxEvt=1),IF(ARX31+1&gt;=H_Deemed,0,ARX31+1),ARX31)</f>
        <v>4</v>
      </c>
      <c r="ARY32" s="20" t="n">
        <f aca="false">IF(AND(H_Direct=0,H_TaxEvt=1),IF(ARY31+1&gt;=H_Deemed,0,ARY31+1),ARY31)</f>
        <v>3</v>
      </c>
      <c r="ARZ32" s="20" t="n">
        <f aca="false">IF(AND(H_Direct=0,H_TaxEvt=1),IF(ARZ31+1&gt;=H_Deemed,0,ARZ31+1),ARZ31)</f>
        <v>2</v>
      </c>
      <c r="ASA32" s="20" t="n">
        <f aca="false">IF(AND(H_Direct=0,H_TaxEvt=1),IF(ASA31+1&gt;=H_Deemed,0,ASA31+1),ASA31)</f>
        <v>1</v>
      </c>
      <c r="ASB32" s="20" t="n">
        <f aca="false">IF(AND(H_Direct=0,H_TaxEvt=1),IF(ASB31+1&gt;=H_Deemed,0,ASB31+1),ASB31)</f>
        <v>0</v>
      </c>
      <c r="ASC32" s="20" t="n">
        <f aca="false">IF(AND(H_Direct=0,H_TaxEvt=1),IF(ASC31+1&gt;=H_Deemed,0,ASC31+1),ASC31)</f>
        <v>7</v>
      </c>
      <c r="ASD32" s="20" t="n">
        <f aca="false">IF(AND(H_Direct=0,H_TaxEvt=1),IF(ASD31+1&gt;=H_Deemed,0,ASD31+1),ASD31)</f>
        <v>6</v>
      </c>
      <c r="ASE32" s="20" t="n">
        <f aca="false">IF(AND(H_Direct=0,H_TaxEvt=1),IF(ASE31+1&gt;=H_Deemed,0,ASE31+1),ASE31)</f>
        <v>5</v>
      </c>
      <c r="ASF32" s="20" t="n">
        <f aca="false">IF(AND(H_Direct=0,H_TaxEvt=1),IF(ASF31+1&gt;=H_Deemed,0,ASF31+1),ASF31)</f>
        <v>4</v>
      </c>
      <c r="ASG32" s="20" t="n">
        <f aca="false">IF(AND(H_Direct=0,H_TaxEvt=1),IF(ASG31+1&gt;=H_Deemed,0,ASG31+1),ASG31)</f>
        <v>3</v>
      </c>
      <c r="ASH32" s="20" t="n">
        <f aca="false">IF(AND(H_Direct=0,H_TaxEvt=1),IF(ASH31+1&gt;=H_Deemed,0,ASH31+1),ASH31)</f>
        <v>2</v>
      </c>
      <c r="ASI32" s="20" t="n">
        <f aca="false">IF(AND(H_Direct=0,H_TaxEvt=1),IF(ASI31+1&gt;=H_Deemed,0,ASI31+1),ASI31)</f>
        <v>1</v>
      </c>
      <c r="ASJ32" s="20" t="n">
        <f aca="false">IF(AND(H_Direct=0,H_TaxEvt=1),IF(ASJ31+1&gt;=H_Deemed,0,ASJ31+1),ASJ31)</f>
        <v>0</v>
      </c>
      <c r="ASK32" s="20" t="n">
        <f aca="false">IF(AND(H_Direct=0,H_TaxEvt=1),IF(ASK31+1&gt;=H_Deemed,0,ASK31+1),ASK31)</f>
        <v>7</v>
      </c>
      <c r="ASL32" s="20" t="n">
        <f aca="false">IF(AND(H_Direct=0,H_TaxEvt=1),IF(ASL31+1&gt;=H_Deemed,0,ASL31+1),ASL31)</f>
        <v>6</v>
      </c>
      <c r="ASM32" s="20" t="n">
        <f aca="false">IF(AND(H_Direct=0,H_TaxEvt=1),IF(ASM31+1&gt;=H_Deemed,0,ASM31+1),ASM31)</f>
        <v>5</v>
      </c>
      <c r="ASN32" s="20" t="n">
        <f aca="false">IF(AND(H_Direct=0,H_TaxEvt=1),IF(ASN31+1&gt;=H_Deemed,0,ASN31+1),ASN31)</f>
        <v>4</v>
      </c>
      <c r="ASO32" s="20" t="n">
        <f aca="false">IF(AND(H_Direct=0,H_TaxEvt=1),IF(ASO31+1&gt;=H_Deemed,0,ASO31+1),ASO31)</f>
        <v>3</v>
      </c>
      <c r="ASP32" s="20" t="n">
        <f aca="false">IF(AND(H_Direct=0,H_TaxEvt=1),IF(ASP31+1&gt;=H_Deemed,0,ASP31+1),ASP31)</f>
        <v>2</v>
      </c>
      <c r="ASQ32" s="20" t="n">
        <f aca="false">IF(AND(H_Direct=0,H_TaxEvt=1),IF(0+1&gt;=H_Deemed,0,0+1),0)</f>
        <v>1</v>
      </c>
      <c r="ASR32" s="20" t="n">
        <v>0</v>
      </c>
      <c r="ASS32" s="20" t="n">
        <v>0</v>
      </c>
      <c r="AST32" s="20" t="n">
        <v>0</v>
      </c>
      <c r="ASU32" s="20" t="n">
        <v>0</v>
      </c>
      <c r="ASV32" s="20" t="n">
        <v>0</v>
      </c>
      <c r="ASW32" s="20" t="n">
        <v>0</v>
      </c>
      <c r="ASX32" s="20" t="n">
        <v>0</v>
      </c>
      <c r="ASY32" s="20" t="n">
        <v>0</v>
      </c>
      <c r="ASZ32" s="20" t="n">
        <v>0</v>
      </c>
      <c r="ATA32" s="20" t="n">
        <v>0</v>
      </c>
      <c r="ATB32" s="20" t="n">
        <v>0</v>
      </c>
      <c r="ATC32" s="20" t="n">
        <v>0</v>
      </c>
      <c r="ATD32" s="20" t="n">
        <v>0</v>
      </c>
      <c r="ATE32" s="20" t="n">
        <v>0</v>
      </c>
      <c r="ATF32" s="20" t="n">
        <v>0</v>
      </c>
      <c r="ATG32" s="20" t="n">
        <v>0</v>
      </c>
      <c r="ATH32" s="20" t="n">
        <v>0</v>
      </c>
      <c r="ATI32" s="20" t="n">
        <v>0</v>
      </c>
      <c r="ATJ32" s="20" t="n">
        <v>0</v>
      </c>
      <c r="ATK32" s="20" t="n">
        <v>0</v>
      </c>
      <c r="ATL32" s="20" t="n">
        <v>0</v>
      </c>
      <c r="ATM32" s="20" t="n">
        <v>0</v>
      </c>
      <c r="ATN32" s="20" t="n">
        <v>0</v>
      </c>
      <c r="ATO32" s="20" t="n">
        <v>0</v>
      </c>
      <c r="ATP32" s="20" t="n">
        <v>0</v>
      </c>
      <c r="ATQ32" s="20" t="n">
        <v>0</v>
      </c>
      <c r="ATR32" s="20" t="n">
        <v>0</v>
      </c>
      <c r="ATS32" s="20" t="n">
        <v>0</v>
      </c>
      <c r="ATT32" s="20" t="n">
        <v>0</v>
      </c>
      <c r="ATU32" s="20" t="n">
        <v>0</v>
      </c>
      <c r="ATV32" s="20" t="n">
        <v>0</v>
      </c>
      <c r="ATW32" s="20" t="n">
        <v>0</v>
      </c>
      <c r="ATX32" s="20" t="n">
        <v>0</v>
      </c>
      <c r="ATY32" s="20" t="n">
        <v>0</v>
      </c>
      <c r="ATZ32" s="20" t="n">
        <v>0</v>
      </c>
      <c r="AUA32" s="20" t="n">
        <v>0</v>
      </c>
      <c r="AUB32" s="20" t="n">
        <v>0</v>
      </c>
      <c r="AUC32" s="20" t="n">
        <v>0</v>
      </c>
      <c r="AUD32" s="20" t="n">
        <v>0</v>
      </c>
      <c r="AUE32" s="20" t="n">
        <v>0</v>
      </c>
      <c r="AUF32" s="20" t="n">
        <v>0</v>
      </c>
      <c r="AUG32" s="20" t="n">
        <v>0</v>
      </c>
      <c r="AUH32" s="20" t="n">
        <v>0</v>
      </c>
      <c r="AUI32" s="20" t="n">
        <v>0</v>
      </c>
      <c r="AUJ32" s="20" t="n">
        <v>0</v>
      </c>
      <c r="AUK32" s="20" t="n">
        <v>0</v>
      </c>
      <c r="AUL32" s="20" t="n">
        <v>0</v>
      </c>
      <c r="AUM32" s="20" t="n">
        <v>0</v>
      </c>
      <c r="AUN32" s="20" t="n">
        <v>0</v>
      </c>
      <c r="AUO32" s="20" t="n">
        <v>0</v>
      </c>
      <c r="AUP32" s="20" t="n">
        <v>0</v>
      </c>
      <c r="AUQ32" s="20" t="n">
        <v>0</v>
      </c>
      <c r="AUR32" s="20" t="n">
        <v>0</v>
      </c>
      <c r="AUS32" s="20" t="n">
        <v>0</v>
      </c>
      <c r="AUT32" s="20" t="n">
        <v>0</v>
      </c>
      <c r="AUU32" s="20" t="n">
        <v>0</v>
      </c>
      <c r="AUV32" s="20" t="n">
        <v>0</v>
      </c>
      <c r="AUW32" s="20" t="n">
        <v>0</v>
      </c>
      <c r="AUX32" s="20" t="n">
        <v>0</v>
      </c>
      <c r="AUY32" s="20" t="n">
        <v>0</v>
      </c>
      <c r="AUZ32" s="20" t="n">
        <v>0</v>
      </c>
      <c r="AVA32" s="20" t="n">
        <v>0</v>
      </c>
      <c r="AVB32" s="20" t="n">
        <v>0</v>
      </c>
      <c r="AVC32" s="20" t="n">
        <v>0</v>
      </c>
      <c r="AVD32" s="20" t="n">
        <v>0</v>
      </c>
      <c r="AVE32" s="20" t="n">
        <f aca="false">IF(AND(H_Direct=0,H_TaxEvt=1,ARR31+1&gt;=H_Deemed),MAX(0,ADR32-AHE32)*H_Exit,0)</f>
        <v>0</v>
      </c>
      <c r="AVF32" s="20" t="n">
        <f aca="false">IF(AND(H_Direct=0,H_TaxEvt=1,ARS31+1&gt;=H_Deemed),MAX(0,ADS32-AHF32)*H_Exit,0)</f>
        <v>0</v>
      </c>
      <c r="AVG32" s="20" t="n">
        <f aca="false">IF(AND(H_Direct=0,H_TaxEvt=1,ART31+1&gt;=H_Deemed),MAX(0,ADT32-AHG32)*H_Exit,0)</f>
        <v>0</v>
      </c>
      <c r="AVH32" s="20" t="n">
        <f aca="false">IF(AND(H_Direct=0,H_TaxEvt=1,ARU31+1&gt;=H_Deemed),MAX(0,ADU32-AHH32)*H_Exit,0)</f>
        <v>0</v>
      </c>
      <c r="AVI32" s="20" t="n">
        <f aca="false">IF(AND(H_Direct=0,H_TaxEvt=1,ARV31+1&gt;=H_Deemed),MAX(0,ADV32-AHI32)*H_Exit,0)</f>
        <v>0</v>
      </c>
      <c r="AVJ32" s="20" t="n">
        <f aca="false">IF(AND(H_Direct=0,H_TaxEvt=1,ARW31+1&gt;=H_Deemed),MAX(0,ADW32-AHJ32)*H_Exit,0)</f>
        <v>0</v>
      </c>
      <c r="AVK32" s="20" t="n">
        <f aca="false">IF(AND(H_Direct=0,H_TaxEvt=1,ARX31+1&gt;=H_Deemed),MAX(0,ADX32-AHK32)*H_Exit,0)</f>
        <v>0</v>
      </c>
      <c r="AVL32" s="20" t="n">
        <f aca="false">IF(AND(H_Direct=0,H_TaxEvt=1,ARY31+1&gt;=H_Deemed),MAX(0,ADY32-AHL32)*H_Exit,0)</f>
        <v>0</v>
      </c>
      <c r="AVM32" s="20" t="n">
        <f aca="false">IF(AND(H_Direct=0,H_TaxEvt=1,ARZ31+1&gt;=H_Deemed),MAX(0,ADZ32-AHM32)*H_Exit,0)</f>
        <v>0</v>
      </c>
      <c r="AVN32" s="20" t="n">
        <f aca="false">IF(AND(H_Direct=0,H_TaxEvt=1,ASA31+1&gt;=H_Deemed),MAX(0,AEA32-AHN32)*H_Exit,0)</f>
        <v>0</v>
      </c>
      <c r="AVO32" s="20" t="n">
        <f aca="false">IF(AND(H_Direct=0,H_TaxEvt=1,ASB31+1&gt;=H_Deemed),MAX(0,AEB32-AHO32)*H_Exit,0)</f>
        <v>0</v>
      </c>
      <c r="AVP32" s="20" t="n">
        <f aca="false">IF(AND(H_Direct=0,H_TaxEvt=1,ASC31+1&gt;=H_Deemed),MAX(0,AEC32-AHP32)*H_Exit,0)</f>
        <v>0</v>
      </c>
      <c r="AVQ32" s="20" t="n">
        <f aca="false">IF(AND(H_Direct=0,H_TaxEvt=1,ASD31+1&gt;=H_Deemed),MAX(0,AED32-AHQ32)*H_Exit,0)</f>
        <v>0</v>
      </c>
      <c r="AVR32" s="20" t="n">
        <f aca="false">IF(AND(H_Direct=0,H_TaxEvt=1,ASE31+1&gt;=H_Deemed),MAX(0,AEE32-AHR32)*H_Exit,0)</f>
        <v>0</v>
      </c>
      <c r="AVS32" s="20" t="n">
        <f aca="false">IF(AND(H_Direct=0,H_TaxEvt=1,ASF31+1&gt;=H_Deemed),MAX(0,AEF32-AHS32)*H_Exit,0)</f>
        <v>0</v>
      </c>
      <c r="AVT32" s="20" t="n">
        <f aca="false">IF(AND(H_Direct=0,H_TaxEvt=1,ASG31+1&gt;=H_Deemed),MAX(0,AEG32-AHT32)*H_Exit,0)</f>
        <v>0</v>
      </c>
      <c r="AVU32" s="20" t="n">
        <f aca="false">IF(AND(H_Direct=0,H_TaxEvt=1,ASH31+1&gt;=H_Deemed),MAX(0,AEH32-AHU32)*H_Exit,0)</f>
        <v>0</v>
      </c>
      <c r="AVV32" s="20" t="n">
        <f aca="false">IF(AND(H_Direct=0,H_TaxEvt=1,ASI31+1&gt;=H_Deemed),MAX(0,AEI32-AHV32)*H_Exit,0)</f>
        <v>0</v>
      </c>
      <c r="AVW32" s="20" t="n">
        <f aca="false">IF(AND(H_Direct=0,H_TaxEvt=1,ASJ31+1&gt;=H_Deemed),MAX(0,AEJ32-AHW32)*H_Exit,0)</f>
        <v>470.670112991415</v>
      </c>
      <c r="AVX32" s="20" t="n">
        <f aca="false">IF(AND(H_Direct=0,H_TaxEvt=1,ASK31+1&gt;=H_Deemed),MAX(0,AEK32-AHX32)*H_Exit,0)</f>
        <v>0</v>
      </c>
      <c r="AVY32" s="20" t="n">
        <f aca="false">IF(AND(H_Direct=0,H_TaxEvt=1,ASL31+1&gt;=H_Deemed),MAX(0,AEL32-AHY32)*H_Exit,0)</f>
        <v>0</v>
      </c>
      <c r="AVZ32" s="20" t="n">
        <f aca="false">IF(AND(H_Direct=0,H_TaxEvt=1,ASM31+1&gt;=H_Deemed),MAX(0,AEM32-AHZ32)*H_Exit,0)</f>
        <v>0</v>
      </c>
      <c r="AWA32" s="20" t="n">
        <f aca="false">IF(AND(H_Direct=0,H_TaxEvt=1,ASN31+1&gt;=H_Deemed),MAX(0,AEN32-AIA32)*H_Exit,0)</f>
        <v>0</v>
      </c>
      <c r="AWB32" s="20" t="n">
        <f aca="false">IF(AND(H_Direct=0,H_TaxEvt=1,ASO31+1&gt;=H_Deemed),MAX(0,AEO32-AIB32)*H_Exit,0)</f>
        <v>0</v>
      </c>
      <c r="AWC32" s="20" t="n">
        <f aca="false">IF(AND(H_Direct=0,H_TaxEvt=1,ASP31+1&gt;=H_Deemed),MAX(0,AEP32-AIC32)*H_Exit,0)</f>
        <v>0</v>
      </c>
      <c r="AWD32" s="20" t="n">
        <f aca="false">IF(AND(H_Direct=0,H_TaxEvt=1,0+1&gt;=H_Deemed),MAX(0,AEQ32-AID32)*H_Exit,0)</f>
        <v>0</v>
      </c>
      <c r="AWE32" s="20" t="n">
        <v>0</v>
      </c>
      <c r="AWF32" s="20" t="n">
        <v>0</v>
      </c>
      <c r="AWG32" s="20" t="n">
        <v>0</v>
      </c>
      <c r="AWH32" s="20" t="n">
        <v>0</v>
      </c>
      <c r="AWI32" s="20" t="n">
        <v>0</v>
      </c>
      <c r="AWJ32" s="20" t="n">
        <v>0</v>
      </c>
      <c r="AWK32" s="20" t="n">
        <v>0</v>
      </c>
      <c r="AWL32" s="20" t="n">
        <v>0</v>
      </c>
      <c r="AWM32" s="20" t="n">
        <v>0</v>
      </c>
      <c r="AWN32" s="20" t="n">
        <v>0</v>
      </c>
      <c r="AWO32" s="20" t="n">
        <v>0</v>
      </c>
      <c r="AWP32" s="20" t="n">
        <v>0</v>
      </c>
      <c r="AWQ32" s="20" t="n">
        <v>0</v>
      </c>
      <c r="AWR32" s="20" t="n">
        <v>0</v>
      </c>
      <c r="AWS32" s="20" t="n">
        <v>0</v>
      </c>
      <c r="AWT32" s="20" t="n">
        <v>0</v>
      </c>
      <c r="AWU32" s="20" t="n">
        <v>0</v>
      </c>
      <c r="AWV32" s="20" t="n">
        <v>0</v>
      </c>
      <c r="AWW32" s="20" t="n">
        <v>0</v>
      </c>
      <c r="AWX32" s="20" t="n">
        <v>0</v>
      </c>
      <c r="AWY32" s="20" t="n">
        <v>0</v>
      </c>
      <c r="AWZ32" s="20" t="n">
        <v>0</v>
      </c>
      <c r="AXA32" s="20" t="n">
        <v>0</v>
      </c>
      <c r="AXB32" s="20" t="n">
        <v>0</v>
      </c>
      <c r="AXC32" s="20" t="n">
        <v>0</v>
      </c>
      <c r="AXD32" s="20" t="n">
        <v>0</v>
      </c>
      <c r="AXE32" s="20" t="n">
        <v>0</v>
      </c>
      <c r="AXF32" s="20" t="n">
        <v>0</v>
      </c>
      <c r="AXG32" s="20" t="n">
        <v>0</v>
      </c>
      <c r="AXH32" s="20" t="n">
        <v>0</v>
      </c>
      <c r="AXI32" s="20" t="n">
        <v>0</v>
      </c>
      <c r="AXJ32" s="20" t="n">
        <v>0</v>
      </c>
      <c r="AXK32" s="20" t="n">
        <v>0</v>
      </c>
      <c r="AXL32" s="20" t="n">
        <v>0</v>
      </c>
      <c r="AXM32" s="20" t="n">
        <v>0</v>
      </c>
      <c r="AXN32" s="20" t="n">
        <v>0</v>
      </c>
      <c r="AXO32" s="20" t="n">
        <v>0</v>
      </c>
      <c r="AXP32" s="20" t="n">
        <v>0</v>
      </c>
      <c r="AXQ32" s="20" t="n">
        <v>0</v>
      </c>
      <c r="AXR32" s="20" t="n">
        <v>0</v>
      </c>
      <c r="AXS32" s="20" t="n">
        <v>0</v>
      </c>
      <c r="AXT32" s="20" t="n">
        <v>0</v>
      </c>
      <c r="AXU32" s="20" t="n">
        <v>0</v>
      </c>
      <c r="AXV32" s="20" t="n">
        <v>0</v>
      </c>
      <c r="AXW32" s="20" t="n">
        <v>0</v>
      </c>
      <c r="AXX32" s="20" t="n">
        <v>0</v>
      </c>
      <c r="AXY32" s="20" t="n">
        <v>0</v>
      </c>
      <c r="AXZ32" s="20" t="n">
        <v>0</v>
      </c>
      <c r="AYA32" s="20" t="n">
        <v>0</v>
      </c>
      <c r="AYB32" s="20" t="n">
        <v>0</v>
      </c>
      <c r="AYC32" s="20" t="n">
        <v>0</v>
      </c>
      <c r="AYD32" s="20" t="n">
        <v>0</v>
      </c>
      <c r="AYE32" s="20" t="n">
        <v>0</v>
      </c>
      <c r="AYF32" s="20" t="n">
        <v>0</v>
      </c>
      <c r="AYG32" s="20" t="n">
        <v>0</v>
      </c>
      <c r="AYH32" s="20" t="n">
        <v>0</v>
      </c>
      <c r="AYI32" s="20" t="n">
        <v>0</v>
      </c>
      <c r="AYJ32" s="20" t="n">
        <v>0</v>
      </c>
      <c r="AYK32" s="20" t="n">
        <v>0</v>
      </c>
      <c r="AYL32" s="20" t="n">
        <v>0</v>
      </c>
      <c r="AYM32" s="20" t="n">
        <v>0</v>
      </c>
      <c r="AYN32" s="20" t="n">
        <v>0</v>
      </c>
      <c r="AYO32" s="20" t="n">
        <v>0</v>
      </c>
      <c r="AYP32" s="20" t="n">
        <v>0</v>
      </c>
      <c r="AYQ32" s="20" t="n">
        <v>0</v>
      </c>
    </row>
    <row r="33" customFormat="false" ht="15" hidden="false" customHeight="false" outlineLevel="0" collapsed="false">
      <c r="B33" s="20" t="n">
        <v>25</v>
      </c>
      <c r="C33" s="20" t="n">
        <f aca="false">'Plan cashflow'!C33</f>
        <v>1</v>
      </c>
      <c r="D33" s="20" t="n">
        <f aca="false">'Plan cashflow'!D33</f>
        <v>63</v>
      </c>
      <c r="E33" s="20" t="n">
        <f aca="false">AS_Year0+25</f>
        <v>2051</v>
      </c>
      <c r="F33" s="50" t="n">
        <f aca="false">'Plan cashflow'!F33</f>
        <v>1.64060599446473</v>
      </c>
      <c r="G33" s="59" t="n">
        <f aca="true">IF(MAX(TODAY(),DATE(E33,1,1))&gt;=H_CGTfrom,H_CGT1,H_CGT0)</f>
        <v>0.31</v>
      </c>
      <c r="H33" s="20" t="n">
        <f aca="false">H_Exempt*H_Persons</f>
        <v>1270</v>
      </c>
      <c r="I33" s="20" t="n">
        <f aca="false">AX32</f>
        <v>0</v>
      </c>
      <c r="J33" s="60" t="n">
        <f aca="false">BF32</f>
        <v>55848.7880026715</v>
      </c>
      <c r="K33" s="60" t="n">
        <f aca="false">BG32</f>
        <v>0</v>
      </c>
      <c r="L33" s="20" t="n">
        <f aca="false">IF(AND(In_polLump&gt;0,In_polLumpAge&gt;0,D33=In_polLumpAge),In_polLump,0)</f>
        <v>0</v>
      </c>
      <c r="M33" s="20" t="n">
        <f aca="false">IF(AND(In_homeUse="Yes, I'd downsize",In_downAge&gt;0,D33=In_downAge,OR(In_home="Own outright",In_home="Own with mortgage"),In_homeValue&gt;0),MAX(0,MAX(0,In_homeValue-In_downValue)*F33*0.9-'Plan cashflow'!HR32),0)</f>
        <v>0</v>
      </c>
      <c r="N33" s="20" t="n">
        <f aca="false">'Plan pay &amp; tax'!Y259</f>
        <v>148910.099013488</v>
      </c>
      <c r="O33" s="20" t="n">
        <f aca="false">L33+M33+(1-H_Sh)*N33</f>
        <v>89346.0594080926</v>
      </c>
      <c r="P33" s="20" t="n">
        <f aca="false">H_Sh*N33</f>
        <v>59564.0396053951</v>
      </c>
      <c r="Q33" s="20" t="n">
        <f aca="false">'Plan cashflow'!UL33</f>
        <v>0</v>
      </c>
      <c r="R33" s="20" t="n">
        <f aca="false">(1-H_Sh)*Q33</f>
        <v>0</v>
      </c>
      <c r="S33" s="20" t="n">
        <f aca="false">H_Sh*Q33</f>
        <v>0</v>
      </c>
      <c r="T33" s="20" t="n">
        <f aca="false">J33+K33+O33</f>
        <v>145194.847410764</v>
      </c>
      <c r="U33" s="20" t="n">
        <f aca="false">T33+R33</f>
        <v>145194.847410764</v>
      </c>
      <c r="V33" s="60" t="n">
        <f aca="false">SUM(FE33:IQ33)</f>
        <v>100369.567756195</v>
      </c>
      <c r="W33" s="60" t="n">
        <f aca="false">IF(AJ33&lt;=0,0,IF(AL33&lt;=0,AJ33,AJ33-G33*MAX(0,AL33*AJ33-(AY33+AZ33))))</f>
        <v>0</v>
      </c>
      <c r="X33" s="60" t="n">
        <f aca="false">IF(AR33&lt;=0,0,IF(AT33&lt;=0,AR33,AR33-G33*MAX(0,AT33*AR33-(BA33+BB33))))</f>
        <v>0</v>
      </c>
      <c r="Y33" s="60" t="n">
        <f aca="false">T33+V33-S33+W33+X33</f>
        <v>245564.415166959</v>
      </c>
      <c r="Z33" s="60" t="n">
        <f aca="false">'Plan cashflow'!UK33</f>
        <v>20769.3163526862</v>
      </c>
      <c r="AA33" s="20" t="n">
        <f aca="false">MIN(Z33,U33)</f>
        <v>20769.3163526862</v>
      </c>
      <c r="AB33" s="20" t="n">
        <f aca="false">Z33-AA33</f>
        <v>0</v>
      </c>
      <c r="AC33" s="20" t="n">
        <f aca="false">MIN(AA33,J33+O33+R33)</f>
        <v>20769.3163526862</v>
      </c>
      <c r="AD33" s="20" t="n">
        <f aca="false">AA33-AC33</f>
        <v>0</v>
      </c>
      <c r="AE33" s="20" t="n">
        <f aca="false">J33+O33+R33-AC33</f>
        <v>124425.531058078</v>
      </c>
      <c r="AF33" s="20" t="n">
        <f aca="false">K33-AD33</f>
        <v>0</v>
      </c>
      <c r="AG33" s="20" t="n">
        <f aca="false">SUM(PR33:TD33)</f>
        <v>0</v>
      </c>
      <c r="AH33" s="20" t="n">
        <f aca="false">SUM(TE33:WQ33)</f>
        <v>0</v>
      </c>
      <c r="AI33" s="20" t="n">
        <f aca="false">MAX(0,AB33-AG33)</f>
        <v>0</v>
      </c>
      <c r="AJ33" s="57" t="n">
        <f aca="false">BI32</f>
        <v>0</v>
      </c>
      <c r="AK33" s="20" t="n">
        <f aca="false">BJ32</f>
        <v>0</v>
      </c>
      <c r="AL33" s="20" t="n">
        <f aca="false">IF(AJ33&gt;0,(AJ33-AK33)/AJ33,0)</f>
        <v>0</v>
      </c>
      <c r="AM33" s="20" t="n">
        <f aca="false">IF(AJ33&lt;=0,0,IF(AL33&lt;=0,MIN(AI33,AJ33),MIN(AI33,AJ33-G33*MAX(0,AL33*AJ33-(AAD33+ADQ33)))))</f>
        <v>0</v>
      </c>
      <c r="AN33" s="20" t="n">
        <f aca="false">IF(AJ33&lt;=0,0,IF(AL33&lt;=0,AM33,IF(AM33&lt;=(AAD33+ADQ33)/AL33,AM33,(AM33-G33*(AAD33+ADQ33))/(1-G33*AL33))))</f>
        <v>0</v>
      </c>
      <c r="AO33" s="20" t="n">
        <f aca="false">IF(AL33&gt;0,MAX(0,AAD33-(MIN(AL33*AN33,(AAD33+ADQ33))-MIN(MIN(AL33*AN33,(AAD33+ADQ33)),ADQ33))),AAD33)</f>
        <v>1270</v>
      </c>
      <c r="AP33" s="20" t="n">
        <f aca="false">IF(AL33&lt;=0,ADQ33-AL33*AN33,ADQ33-MIN(MIN(AL33*AN33,(AAD33+ADQ33)),ADQ33))</f>
        <v>0</v>
      </c>
      <c r="AQ33" s="20" t="n">
        <f aca="false">MAX(0,AI33-AM33)</f>
        <v>0</v>
      </c>
      <c r="AR33" s="57" t="n">
        <f aca="false">BK32</f>
        <v>0</v>
      </c>
      <c r="AS33" s="20" t="n">
        <f aca="false">BL32</f>
        <v>0</v>
      </c>
      <c r="AT33" s="20" t="n">
        <f aca="false">IF(AR33&gt;0,(AR33-AS33)/AR33,0)</f>
        <v>0</v>
      </c>
      <c r="AU33" s="20" t="n">
        <f aca="false">IF(AR33&lt;=0,0,IF(AT33&lt;=0,MIN(AQ33,AR33),MIN(AQ33,AR33-G33*MAX(0,AT33*AR33-(AO33+AP33)))))</f>
        <v>0</v>
      </c>
      <c r="AV33" s="20" t="n">
        <f aca="false">IF(AR33&lt;=0,0,IF(AT33&lt;=0,AU33,IF(AU33&lt;=(AO33+AP33)/AT33,AU33,(AU33-G33*(AO33+AP33))/(1-G33*AT33))))</f>
        <v>0</v>
      </c>
      <c r="AW33" s="20" t="n">
        <f aca="false">IF(AT33&gt;0,MAX(0,AO33-(MIN(AT33*AV33,(AO33+AP33))-MIN(MIN(AT33*AV33,(AO33+AP33)),AP33))),AO33)</f>
        <v>1270</v>
      </c>
      <c r="AX33" s="20" t="n">
        <f aca="false">IF(AT33&lt;=0,AP33-AT33*AV33,AP33-MIN(MIN(AT33*AV33,(AO33+AP33)),AP33))</f>
        <v>0</v>
      </c>
      <c r="AY33" s="20" t="n">
        <f aca="false">MD33</f>
        <v>1270</v>
      </c>
      <c r="AZ33" s="20" t="n">
        <f aca="false">PQ33</f>
        <v>0</v>
      </c>
      <c r="BA33" s="20" t="n">
        <f aca="false">IF(AL33&gt;0,MAX(0,AY33-(MIN(AL33*AJ33,AY33+AZ33)-MIN(MIN(AL33*AJ33,AY33+AZ33),AZ33))),AY33)</f>
        <v>1270</v>
      </c>
      <c r="BB33" s="20" t="n">
        <f aca="false">IF(AL33&lt;=0,AZ33-AL33*AJ33,AZ33-MIN(MIN(AL33*AJ33,AY33+AZ33),AZ33))</f>
        <v>0</v>
      </c>
      <c r="BC33" s="20" t="n">
        <f aca="false">'Plan cashflow'!UM33</f>
        <v>0</v>
      </c>
      <c r="BD33" s="20" t="n">
        <f aca="false">(1-H_Sh)*BC33</f>
        <v>0</v>
      </c>
      <c r="BE33" s="20" t="n">
        <f aca="false">H_Sh*BC33</f>
        <v>0</v>
      </c>
      <c r="BF33" s="60" t="n">
        <f aca="false">(AE33+BD33)*(1+AS_Cash)</f>
        <v>125669.786368659</v>
      </c>
      <c r="BG33" s="60" t="n">
        <f aca="false">AF33*(1+AS_Cash)</f>
        <v>0</v>
      </c>
      <c r="BH33" s="60" t="n">
        <f aca="false">SUM(AKR33:AOD33)</f>
        <v>106000.493746616</v>
      </c>
      <c r="BI33" s="60" t="n">
        <f aca="false">(AJ33-AN33)*(1+AS_Infl)</f>
        <v>0</v>
      </c>
      <c r="BJ33" s="20" t="n">
        <f aca="false">IF(AJ33&gt;0,AK33-AK33*AN33/AJ33,0)</f>
        <v>0</v>
      </c>
      <c r="BK33" s="60" t="n">
        <f aca="false">(AR33-AV33)*(1+BQ33)</f>
        <v>0</v>
      </c>
      <c r="BL33" s="20" t="n">
        <f aca="false">IF(AR33&gt;0,AS33-AS33*AV33/AR33,0)</f>
        <v>0</v>
      </c>
      <c r="BM33" s="60" t="n">
        <f aca="false">BF33+BG33+BH33+BI33+BK33</f>
        <v>231670.280115275</v>
      </c>
      <c r="BN33" s="60" t="n">
        <f aca="false">(AH33-AG33)+(AN33-AM33)+(AV33-AU33)</f>
        <v>0</v>
      </c>
      <c r="BO33" s="20" t="n">
        <f aca="false">(AE33+BD33+AF33+MAX(0,'Plan cashflow'!QH33)+IF(Slot1_Rate=AS_Cash,'Plan cashflow'!QM33/(1+AS_Cash),0)+IF(Slot2_Rate=AS_Cash,'Plan cashflow'!QQ33/(1+AS_Cash),0)+IF(Slot3_Rate=AS_Cash,'Plan cashflow'!QU33/(1+AS_Cash),0)+IF(Slot4_Rate=AS_Cash,'Plan cashflow'!QY33/(1+AS_Cash),0)+IF(Slot5_Rate=AS_Cash,'Plan cashflow'!RC33/(1+AS_Cash),0)+IF(Slot6_Rate=AS_Cash,'Plan cashflow'!RG33/(1+AS_Cash),0)+IF(Slot7_Rate=AS_Cash,'Plan cashflow'!RK33/(1+AS_Cash),0)+IF(Slot8_Rate=AS_Cash,'Plan cashflow'!RO33/(1+AS_Cash),0)+IF(Slot9_Rate=AS_Cash,'Plan cashflow'!RS33/(1+AS_Cash),0)+IF(Slot10_Rate=AS_Cash,'Plan cashflow'!RW33/(1+AS_Cash),0)+IF(Slot11_Rate=AS_Cash,'Plan cashflow'!SA33/(1+AS_Cash),0)+IF(Slot12_Rate=AS_Cash,'Plan cashflow'!SE33/(1+AS_Cash),0)+IF(Slot13_Rate=AS_Cash,'Plan cashflow'!SI33/(1+AS_Cash),0)+IF(Slot14_Rate=AS_Cash,'Plan cashflow'!SM33/(1+AS_Cash),0)+IF(Slot15_Rate=AS_Cash,'Plan cashflow'!SQ33/(1+AS_Cash),0)+IF(Slot16_Rate=AS_Cash,'Plan cashflow'!SU33/(1+AS_Cash),0)+IF(Slot17_Rate=AS_Cash,'Plan cashflow'!SY33/(1+AS_Cash),0)+IF(Slot18_Rate=AS_Cash,'Plan cashflow'!TC33/(1+AS_Cash),0)+IF(Slot19_Rate=AS_Cash,'Plan cashflow'!TG33/(1+AS_Cash),0)+IF(Slot20_Rate=AS_Cash,'Plan cashflow'!TK33/(1+AS_Cash),0))*AS_Cash*H_DIRT/(1-H_DIRT)</f>
        <v>683.297443102949</v>
      </c>
      <c r="BP33" s="60" t="n">
        <f aca="false">SUM(AVE33:AYQ33)</f>
        <v>574.145229471365</v>
      </c>
      <c r="BQ33" s="54" t="n">
        <f aca="false">IF(H_TaxEvt=1,H_InvG,AS_Inv)</f>
        <v>0.04</v>
      </c>
      <c r="BR33" s="20" t="n">
        <f aca="false">IF(AKR32&gt;0,(AKR32-AOE32)/AKR32,0)</f>
        <v>0</v>
      </c>
      <c r="BS33" s="20" t="n">
        <f aca="false">IF(AKS32&gt;0,(AKS32-AOF32)/AKS32,0)</f>
        <v>0</v>
      </c>
      <c r="BT33" s="20" t="n">
        <f aca="false">IF(AKT32&gt;0,(AKT32-AOG32)/AKT32,0)</f>
        <v>0</v>
      </c>
      <c r="BU33" s="20" t="n">
        <f aca="false">IF(AKU32&gt;0,(AKU32-AOH32)/AKU32,0)</f>
        <v>0</v>
      </c>
      <c r="BV33" s="20" t="n">
        <f aca="false">IF(AKV32&gt;0,(AKV32-AOI32)/AKV32,0)</f>
        <v>0</v>
      </c>
      <c r="BW33" s="20" t="n">
        <f aca="false">IF(AKW32&gt;0,(AKW32-AOJ32)/AKW32,0)</f>
        <v>0</v>
      </c>
      <c r="BX33" s="20" t="n">
        <f aca="false">IF(AKX32&gt;0,(AKX32-AOK32)/AKX32,0)</f>
        <v>0</v>
      </c>
      <c r="BY33" s="20" t="n">
        <f aca="false">IF(AKY32&gt;0,(AKY32-AOL32)/AKY32,0)</f>
        <v>0</v>
      </c>
      <c r="BZ33" s="20" t="n">
        <f aca="false">IF(AKZ32&gt;0,(AKZ32-AOM32)/AKZ32,0)</f>
        <v>0</v>
      </c>
      <c r="CA33" s="20" t="n">
        <f aca="false">IF(ALA32&gt;0,(ALA32-AON32)/ALA32,0)</f>
        <v>0</v>
      </c>
      <c r="CB33" s="20" t="n">
        <f aca="false">IF(ALB32&gt;0,(ALB32-AOO32)/ALB32,0)</f>
        <v>0</v>
      </c>
      <c r="CC33" s="20" t="n">
        <f aca="false">IF(ALC32&gt;0,(ALC32-AOP32)/ALC32,0)</f>
        <v>0.240082186797937</v>
      </c>
      <c r="CD33" s="20" t="n">
        <f aca="false">IF(ALD32&gt;0,(ALD32-AOQ32)/ALD32,0)</f>
        <v>0.209685474269854</v>
      </c>
      <c r="CE33" s="20" t="n">
        <f aca="false">IF(ALE32&gt;0,(ALE32-AOR32)/ALE32,0)</f>
        <v>0.178072893240648</v>
      </c>
      <c r="CF33" s="20" t="n">
        <f aca="false">IF(ALF32&gt;0,(ALF32-AOS32)/ALF32,0)</f>
        <v>0.145195808970274</v>
      </c>
      <c r="CG33" s="20" t="n">
        <f aca="false">IF(ALG32&gt;0,(ALG32-AOT32)/ALG32,0)</f>
        <v>0.111003641329085</v>
      </c>
      <c r="CH33" s="20" t="n">
        <f aca="false">IF(ALH32&gt;0,(ALH32-AOU32)/ALH32,0)</f>
        <v>0.0754437869822486</v>
      </c>
      <c r="CI33" s="20" t="n">
        <f aca="false">IF(ALI32&gt;0,(ALI32-AOV32)/ALI32,0)</f>
        <v>0.0384615384615384</v>
      </c>
      <c r="CJ33" s="20" t="n">
        <f aca="false">IF(ALJ32&gt;0,(ALJ32-AOW32)/ALJ32,0)</f>
        <v>0</v>
      </c>
      <c r="CK33" s="20" t="n">
        <f aca="false">IF(ALK32&gt;0,(ALK32-AOX32)/ALK32,0)</f>
        <v>0.240082186797937</v>
      </c>
      <c r="CL33" s="20" t="n">
        <f aca="false">IF(ALL32&gt;0,(ALL32-AOY32)/ALL32,0)</f>
        <v>0.209685474269854</v>
      </c>
      <c r="CM33" s="20" t="n">
        <f aca="false">IF(ALM32&gt;0,(ALM32-AOZ32)/ALM32,0)</f>
        <v>0.178072893240648</v>
      </c>
      <c r="CN33" s="20" t="n">
        <f aca="false">IF(ALN32&gt;0,(ALN32-APA32)/ALN32,0)</f>
        <v>0.145195808970274</v>
      </c>
      <c r="CO33" s="20" t="n">
        <f aca="false">IF(ALO32&gt;0,(ALO32-APB32)/ALO32,0)</f>
        <v>0.111003641329085</v>
      </c>
      <c r="CP33" s="20" t="n">
        <f aca="false">IF(ALP32&gt;0,(ALP32-APC32)/ALP32,0)</f>
        <v>0.0754437869822486</v>
      </c>
      <c r="CQ33" s="20" t="n">
        <f aca="false">IF(ALQ32&gt;0,(ALQ32-APD32)/ALQ32,0)</f>
        <v>0.0384615384615385</v>
      </c>
      <c r="CR33" s="20" t="n">
        <f aca="false">IF((P33+S33)&gt;0,((P33+S33)-(P33+S33))/(P33+S33),0)</f>
        <v>0</v>
      </c>
      <c r="CS33" s="20" t="n">
        <v>0</v>
      </c>
      <c r="CT33" s="20" t="n">
        <v>0</v>
      </c>
      <c r="CU33" s="20" t="n">
        <v>0</v>
      </c>
      <c r="CV33" s="20" t="n">
        <v>0</v>
      </c>
      <c r="CW33" s="20" t="n">
        <v>0</v>
      </c>
      <c r="CX33" s="20" t="n">
        <v>0</v>
      </c>
      <c r="CY33" s="20" t="n">
        <v>0</v>
      </c>
      <c r="CZ33" s="20" t="n">
        <v>0</v>
      </c>
      <c r="DA33" s="20" t="n">
        <v>0</v>
      </c>
      <c r="DB33" s="20" t="n">
        <v>0</v>
      </c>
      <c r="DC33" s="20" t="n">
        <v>0</v>
      </c>
      <c r="DD33" s="20" t="n">
        <v>0</v>
      </c>
      <c r="DE33" s="20" t="n">
        <v>0</v>
      </c>
      <c r="DF33" s="20" t="n">
        <v>0</v>
      </c>
      <c r="DG33" s="20" t="n">
        <v>0</v>
      </c>
      <c r="DH33" s="20" t="n">
        <v>0</v>
      </c>
      <c r="DI33" s="20" t="n">
        <v>0</v>
      </c>
      <c r="DJ33" s="20" t="n">
        <v>0</v>
      </c>
      <c r="DK33" s="20" t="n">
        <v>0</v>
      </c>
      <c r="DL33" s="20" t="n">
        <v>0</v>
      </c>
      <c r="DM33" s="20" t="n">
        <v>0</v>
      </c>
      <c r="DN33" s="20" t="n">
        <v>0</v>
      </c>
      <c r="DO33" s="20" t="n">
        <v>0</v>
      </c>
      <c r="DP33" s="20" t="n">
        <v>0</v>
      </c>
      <c r="DQ33" s="20" t="n">
        <v>0</v>
      </c>
      <c r="DR33" s="20" t="n">
        <v>0</v>
      </c>
      <c r="DS33" s="20" t="n">
        <v>0</v>
      </c>
      <c r="DT33" s="20" t="n">
        <v>0</v>
      </c>
      <c r="DU33" s="20" t="n">
        <v>0</v>
      </c>
      <c r="DV33" s="20" t="n">
        <v>0</v>
      </c>
      <c r="DW33" s="20" t="n">
        <v>0</v>
      </c>
      <c r="DX33" s="20" t="n">
        <v>0</v>
      </c>
      <c r="DY33" s="20" t="n">
        <v>0</v>
      </c>
      <c r="DZ33" s="20" t="n">
        <v>0</v>
      </c>
      <c r="EA33" s="20" t="n">
        <v>0</v>
      </c>
      <c r="EB33" s="20" t="n">
        <v>0</v>
      </c>
      <c r="EC33" s="20" t="n">
        <v>0</v>
      </c>
      <c r="ED33" s="20" t="n">
        <v>0</v>
      </c>
      <c r="EE33" s="20" t="n">
        <v>0</v>
      </c>
      <c r="EF33" s="20" t="n">
        <v>0</v>
      </c>
      <c r="EG33" s="20" t="n">
        <v>0</v>
      </c>
      <c r="EH33" s="20" t="n">
        <v>0</v>
      </c>
      <c r="EI33" s="20" t="n">
        <v>0</v>
      </c>
      <c r="EJ33" s="20" t="n">
        <v>0</v>
      </c>
      <c r="EK33" s="20" t="n">
        <v>0</v>
      </c>
      <c r="EL33" s="20" t="n">
        <v>0</v>
      </c>
      <c r="EM33" s="20" t="n">
        <v>0</v>
      </c>
      <c r="EN33" s="20" t="n">
        <v>0</v>
      </c>
      <c r="EO33" s="20" t="n">
        <v>0</v>
      </c>
      <c r="EP33" s="20" t="n">
        <v>0</v>
      </c>
      <c r="EQ33" s="20" t="n">
        <v>0</v>
      </c>
      <c r="ER33" s="20" t="n">
        <v>0</v>
      </c>
      <c r="ES33" s="20" t="n">
        <v>0</v>
      </c>
      <c r="ET33" s="20" t="n">
        <v>0</v>
      </c>
      <c r="EU33" s="20" t="n">
        <v>0</v>
      </c>
      <c r="EV33" s="20" t="n">
        <v>0</v>
      </c>
      <c r="EW33" s="20" t="n">
        <v>0</v>
      </c>
      <c r="EX33" s="20" t="n">
        <v>0</v>
      </c>
      <c r="EY33" s="20" t="n">
        <v>0</v>
      </c>
      <c r="EZ33" s="20" t="n">
        <v>0</v>
      </c>
      <c r="FA33" s="20" t="n">
        <v>0</v>
      </c>
      <c r="FB33" s="20" t="n">
        <v>0</v>
      </c>
      <c r="FC33" s="20" t="n">
        <v>0</v>
      </c>
      <c r="FD33" s="20" t="n">
        <v>0</v>
      </c>
      <c r="FE33" s="20" t="n">
        <f aca="false">IF(H_Direct=1,IF(AKR32&lt;=0,0,IF(BR33&lt;=0,AKR32,AKR32-G33*MAX(0,BR33*AKR32-(H33+I33)))),AKR32*(1-MAX(0,BR33)*H_Exit))</f>
        <v>0</v>
      </c>
      <c r="FF33" s="20" t="n">
        <f aca="false">IF(H_Direct=1,IF(AKS32&lt;=0,0,IF(BS33&lt;=0,AKS32,AKS32-G33*MAX(0,BS33*AKS32-(IR33+ME33)))),AKS32*(1-MAX(0,BS33)*H_Exit))</f>
        <v>0</v>
      </c>
      <c r="FG33" s="20" t="n">
        <f aca="false">IF(H_Direct=1,IF(AKT32&lt;=0,0,IF(BT33&lt;=0,AKT32,AKT32-G33*MAX(0,BT33*AKT32-(IS33+MF33)))),AKT32*(1-MAX(0,BT33)*H_Exit))</f>
        <v>0</v>
      </c>
      <c r="FH33" s="20" t="n">
        <f aca="false">IF(H_Direct=1,IF(AKU32&lt;=0,0,IF(BU33&lt;=0,AKU32,AKU32-G33*MAX(0,BU33*AKU32-(IT33+MG33)))),AKU32*(1-MAX(0,BU33)*H_Exit))</f>
        <v>0</v>
      </c>
      <c r="FI33" s="20" t="n">
        <f aca="false">IF(H_Direct=1,IF(AKV32&lt;=0,0,IF(BV33&lt;=0,AKV32,AKV32-G33*MAX(0,BV33*AKV32-(IU33+MH33)))),AKV32*(1-MAX(0,BV33)*H_Exit))</f>
        <v>0</v>
      </c>
      <c r="FJ33" s="20" t="n">
        <f aca="false">IF(H_Direct=1,IF(AKW32&lt;=0,0,IF(BW33&lt;=0,AKW32,AKW32-G33*MAX(0,BW33*AKW32-(IV33+MI33)))),AKW32*(1-MAX(0,BW33)*H_Exit))</f>
        <v>0</v>
      </c>
      <c r="FK33" s="20" t="n">
        <f aca="false">IF(H_Direct=1,IF(AKX32&lt;=0,0,IF(BX33&lt;=0,AKX32,AKX32-G33*MAX(0,BX33*AKX32-(IW33+MJ33)))),AKX32*(1-MAX(0,BX33)*H_Exit))</f>
        <v>0</v>
      </c>
      <c r="FL33" s="20" t="n">
        <f aca="false">IF(H_Direct=1,IF(AKY32&lt;=0,0,IF(BY33&lt;=0,AKY32,AKY32-G33*MAX(0,BY33*AKY32-(IX33+MK33)))),AKY32*(1-MAX(0,BY33)*H_Exit))</f>
        <v>0</v>
      </c>
      <c r="FM33" s="20" t="n">
        <f aca="false">IF(H_Direct=1,IF(AKZ32&lt;=0,0,IF(BZ33&lt;=0,AKZ32,AKZ32-G33*MAX(0,BZ33*AKZ32-(IY33+ML33)))),AKZ32*(1-MAX(0,BZ33)*H_Exit))</f>
        <v>0</v>
      </c>
      <c r="FN33" s="20" t="n">
        <f aca="false">IF(H_Direct=1,IF(ALA32&lt;=0,0,IF(CA33&lt;=0,ALA32,ALA32-G33*MAX(0,CA33*ALA32-(IZ33+MM33)))),ALA32*(1-MAX(0,CA33)*H_Exit))</f>
        <v>0</v>
      </c>
      <c r="FO33" s="20" t="n">
        <f aca="false">IF(H_Direct=1,IF(ALB32&lt;=0,0,IF(CB33&lt;=0,ALB32,ALB32-G33*MAX(0,CB33*ALB32-(JA33+MN33)))),ALB32*(1-MAX(0,CB33)*H_Exit))</f>
        <v>0</v>
      </c>
      <c r="FP33" s="20" t="n">
        <f aca="false">IF(H_Direct=1,IF(ALC32&lt;=0,0,IF(CC33&lt;=0,ALC32,ALC32-G33*MAX(0,CC33*ALC32-(JB33+MO33)))),ALC32*(1-MAX(0,CC33)*H_Exit))</f>
        <v>803.150987297219</v>
      </c>
      <c r="FQ33" s="20" t="n">
        <f aca="false">IF(H_Direct=1,IF(ALD32&lt;=0,0,IF(CD33&lt;=0,ALD32,ALD32-G33*MAX(0,CD33*ALD32-(JC33+MP33)))),ALD32*(1-MAX(0,CD33)*H_Exit))</f>
        <v>1023.18011905114</v>
      </c>
      <c r="FR33" s="20" t="n">
        <f aca="false">IF(H_Direct=1,IF(ALE32&lt;=0,0,IF(CE33&lt;=0,ALE32,ALE32-G33*MAX(0,CE33*ALE32-(JD33+MQ33)))),ALE32*(1-MAX(0,CE33)*H_Exit))</f>
        <v>1240.44331816322</v>
      </c>
      <c r="FS33" s="20" t="n">
        <f aca="false">IF(H_Direct=1,IF(ALF32&lt;=0,0,IF(CF33&lt;=0,ALF32,ALF32-G33*MAX(0,CF33*ALF32-(JE33+MR33)))),ALF32*(1-MAX(0,CF33)*H_Exit))</f>
        <v>1413.57658770138</v>
      </c>
      <c r="FT33" s="20" t="n">
        <f aca="false">IF(H_Direct=1,IF(ALG32&lt;=0,0,IF(CG33&lt;=0,ALG32,ALG32-G33*MAX(0,CG33*ALG32-(JF33+MS33)))),ALG32*(1-MAX(0,CG33)*H_Exit))</f>
        <v>1378.14295475922</v>
      </c>
      <c r="FU33" s="20" t="n">
        <f aca="false">IF(H_Direct=1,IF(ALH32&lt;=0,0,IF(CH33&lt;=0,ALH32,ALH32-G33*MAX(0,CH33*ALH32-(JG33+MT33)))),ALH32*(1-MAX(0,CH33)*H_Exit))</f>
        <v>1343.27509750925</v>
      </c>
      <c r="FV33" s="20" t="n">
        <f aca="false">IF(H_Direct=1,IF(ALI32&lt;=0,0,IF(CI33&lt;=0,ALI32,ALI32-G33*MAX(0,CI33*ALI32-(JH33+MU33)))),ALI32*(1-MAX(0,CI33)*H_Exit))</f>
        <v>1308.94055953108</v>
      </c>
      <c r="FW33" s="20" t="n">
        <f aca="false">IF(H_Direct=1,IF(ALJ32&lt;=0,0,IF(CJ33&lt;=0,ALJ32,ALJ32-G33*MAX(0,CJ33*ALJ32-(JI33+MV33)))),ALJ32*(1-MAX(0,CJ33)*H_Exit))</f>
        <v>4128.51485357413</v>
      </c>
      <c r="FX33" s="20" t="n">
        <f aca="false">IF(H_Direct=1,IF(ALK32&lt;=0,0,IF(CK33&lt;=0,ALK32,ALK32-G33*MAX(0,CK33*ALK32-(JJ33+MW33)))),ALK32*(1-MAX(0,CK33)*H_Exit))</f>
        <v>4099.21882092038</v>
      </c>
      <c r="FY33" s="20" t="n">
        <f aca="false">IF(H_Direct=1,IF(ALL32&lt;=0,0,IF(CL33&lt;=0,ALL32,ALL32-G33*MAX(0,CL33*ALL32-(JK33+MX33)))),ALL32*(1-MAX(0,CL33)*H_Exit))</f>
        <v>4071.48814318519</v>
      </c>
      <c r="FZ33" s="20" t="n">
        <f aca="false">IF(H_Direct=1,IF(ALM32&lt;=0,0,IF(CM33&lt;=0,ALM32,ALM32-G33*MAX(0,CM33*ALM32-(JL33+MY33)))),ALM32*(1-MAX(0,CM33)*H_Exit))</f>
        <v>4045.31275678287</v>
      </c>
      <c r="GA33" s="20" t="n">
        <f aca="false">IF(H_Direct=1,IF(ALN32&lt;=0,0,IF(CN33&lt;=0,ALN32,ALN32-G33*MAX(0,CN33*ALN32-(JM33+MZ33)))),ALN32*(1-MAX(0,CN33)*H_Exit))</f>
        <v>4020.68319244608</v>
      </c>
      <c r="GB33" s="20" t="n">
        <f aca="false">IF(H_Direct=1,IF(ALO32&lt;=0,0,IF(CO33&lt;=0,ALO32,ALO32-G33*MAX(0,CO33*ALO32-(JN33+NA33)))),ALO32*(1-MAX(0,CO33)*H_Exit))</f>
        <v>3997.59057181241</v>
      </c>
      <c r="GC33" s="20" t="n">
        <f aca="false">IF(H_Direct=1,IF(ALP32&lt;=0,0,IF(CP33&lt;=0,ALP32,ALP32-G33*MAX(0,CP33*ALP32-(JO33+NB33)))),ALP32*(1-MAX(0,CP33)*H_Exit))</f>
        <v>3976.02660423689</v>
      </c>
      <c r="GD33" s="20" t="n">
        <f aca="false">IF(H_Direct=1,IF(ALQ32&lt;=0,0,IF(CQ33&lt;=0,ALQ32,ALQ32-G33*MAX(0,CQ33*ALQ32-(JP33+NC33)))),ALQ32*(1-MAX(0,CQ33)*H_Exit))</f>
        <v>3955.98358382931</v>
      </c>
      <c r="GE33" s="20" t="n">
        <f aca="false">IF(H_Direct=1,IF((P33+S33)&lt;=0,0,IF(CR33&lt;=0,(P33+S33),(P33+S33)-G33*MAX(0,CR33*(P33+S33)-(JQ33+ND33)))),(P33+S33)*(1-MAX(0,CR33)*H_Exit))</f>
        <v>59564.0396053951</v>
      </c>
      <c r="GF33" s="20" t="n">
        <v>0</v>
      </c>
      <c r="GG33" s="20" t="n">
        <v>0</v>
      </c>
      <c r="GH33" s="20" t="n">
        <v>0</v>
      </c>
      <c r="GI33" s="20" t="n">
        <v>0</v>
      </c>
      <c r="GJ33" s="20" t="n">
        <v>0</v>
      </c>
      <c r="GK33" s="20" t="n">
        <v>0</v>
      </c>
      <c r="GL33" s="20" t="n">
        <v>0</v>
      </c>
      <c r="GM33" s="20" t="n">
        <v>0</v>
      </c>
      <c r="GN33" s="20" t="n">
        <v>0</v>
      </c>
      <c r="GO33" s="20" t="n">
        <v>0</v>
      </c>
      <c r="GP33" s="20" t="n">
        <v>0</v>
      </c>
      <c r="GQ33" s="20" t="n">
        <v>0</v>
      </c>
      <c r="GR33" s="20" t="n">
        <v>0</v>
      </c>
      <c r="GS33" s="20" t="n">
        <v>0</v>
      </c>
      <c r="GT33" s="20" t="n">
        <v>0</v>
      </c>
      <c r="GU33" s="20" t="n">
        <v>0</v>
      </c>
      <c r="GV33" s="20" t="n">
        <v>0</v>
      </c>
      <c r="GW33" s="20" t="n">
        <v>0</v>
      </c>
      <c r="GX33" s="20" t="n">
        <v>0</v>
      </c>
      <c r="GY33" s="20" t="n">
        <v>0</v>
      </c>
      <c r="GZ33" s="20" t="n">
        <v>0</v>
      </c>
      <c r="HA33" s="20" t="n">
        <v>0</v>
      </c>
      <c r="HB33" s="20" t="n">
        <v>0</v>
      </c>
      <c r="HC33" s="20" t="n">
        <v>0</v>
      </c>
      <c r="HD33" s="20" t="n">
        <v>0</v>
      </c>
      <c r="HE33" s="20" t="n">
        <v>0</v>
      </c>
      <c r="HF33" s="20" t="n">
        <v>0</v>
      </c>
      <c r="HG33" s="20" t="n">
        <v>0</v>
      </c>
      <c r="HH33" s="20" t="n">
        <v>0</v>
      </c>
      <c r="HI33" s="20" t="n">
        <v>0</v>
      </c>
      <c r="HJ33" s="20" t="n">
        <v>0</v>
      </c>
      <c r="HK33" s="20" t="n">
        <v>0</v>
      </c>
      <c r="HL33" s="20" t="n">
        <v>0</v>
      </c>
      <c r="HM33" s="20" t="n">
        <v>0</v>
      </c>
      <c r="HN33" s="20" t="n">
        <v>0</v>
      </c>
      <c r="HO33" s="20" t="n">
        <v>0</v>
      </c>
      <c r="HP33" s="20" t="n">
        <v>0</v>
      </c>
      <c r="HQ33" s="20" t="n">
        <v>0</v>
      </c>
      <c r="HR33" s="20" t="n">
        <v>0</v>
      </c>
      <c r="HS33" s="20" t="n">
        <v>0</v>
      </c>
      <c r="HT33" s="20" t="n">
        <v>0</v>
      </c>
      <c r="HU33" s="20" t="n">
        <v>0</v>
      </c>
      <c r="HV33" s="20" t="n">
        <v>0</v>
      </c>
      <c r="HW33" s="20" t="n">
        <v>0</v>
      </c>
      <c r="HX33" s="20" t="n">
        <v>0</v>
      </c>
      <c r="HY33" s="20" t="n">
        <v>0</v>
      </c>
      <c r="HZ33" s="20" t="n">
        <v>0</v>
      </c>
      <c r="IA33" s="20" t="n">
        <v>0</v>
      </c>
      <c r="IB33" s="20" t="n">
        <v>0</v>
      </c>
      <c r="IC33" s="20" t="n">
        <v>0</v>
      </c>
      <c r="ID33" s="20" t="n">
        <v>0</v>
      </c>
      <c r="IE33" s="20" t="n">
        <v>0</v>
      </c>
      <c r="IF33" s="20" t="n">
        <v>0</v>
      </c>
      <c r="IG33" s="20" t="n">
        <v>0</v>
      </c>
      <c r="IH33" s="20" t="n">
        <v>0</v>
      </c>
      <c r="II33" s="20" t="n">
        <v>0</v>
      </c>
      <c r="IJ33" s="20" t="n">
        <v>0</v>
      </c>
      <c r="IK33" s="20" t="n">
        <v>0</v>
      </c>
      <c r="IL33" s="20" t="n">
        <v>0</v>
      </c>
      <c r="IM33" s="20" t="n">
        <v>0</v>
      </c>
      <c r="IN33" s="20" t="n">
        <v>0</v>
      </c>
      <c r="IO33" s="20" t="n">
        <v>0</v>
      </c>
      <c r="IP33" s="20" t="n">
        <v>0</v>
      </c>
      <c r="IQ33" s="20" t="n">
        <v>0</v>
      </c>
      <c r="IR33" s="20" t="n">
        <f aca="false">IF(AND(H_Direct=1,BR33&gt;0),MAX(0,H33-(MIN(BR33*AKR32,H33+I33)-MIN(MIN(BR33*AKR32,H33+I33),I33))),H33)</f>
        <v>1270</v>
      </c>
      <c r="IS33" s="20" t="n">
        <f aca="false">IF(AND(H_Direct=1,BS33&gt;0),MAX(0,IR33-(MIN(BS33*AKS32,IR33+ME33)-MIN(MIN(BS33*AKS32,IR33+ME33),ME33))),IR33)</f>
        <v>1270</v>
      </c>
      <c r="IT33" s="20" t="n">
        <f aca="false">IF(AND(H_Direct=1,BT33&gt;0),MAX(0,IS33-(MIN(BT33*AKT32,IS33+MF33)-MIN(MIN(BT33*AKT32,IS33+MF33),MF33))),IS33)</f>
        <v>1270</v>
      </c>
      <c r="IU33" s="20" t="n">
        <f aca="false">IF(AND(H_Direct=1,BU33&gt;0),MAX(0,IT33-(MIN(BU33*AKU32,IT33+MG33)-MIN(MIN(BU33*AKU32,IT33+MG33),MG33))),IT33)</f>
        <v>1270</v>
      </c>
      <c r="IV33" s="20" t="n">
        <f aca="false">IF(AND(H_Direct=1,BV33&gt;0),MAX(0,IU33-(MIN(BV33*AKV32,IU33+MH33)-MIN(MIN(BV33*AKV32,IU33+MH33),MH33))),IU33)</f>
        <v>1270</v>
      </c>
      <c r="IW33" s="20" t="n">
        <f aca="false">IF(AND(H_Direct=1,BW33&gt;0),MAX(0,IV33-(MIN(BW33*AKW32,IV33+MI33)-MIN(MIN(BW33*AKW32,IV33+MI33),MI33))),IV33)</f>
        <v>1270</v>
      </c>
      <c r="IX33" s="20" t="n">
        <f aca="false">IF(AND(H_Direct=1,BX33&gt;0),MAX(0,IW33-(MIN(BX33*AKX32,IW33+MJ33)-MIN(MIN(BX33*AKX32,IW33+MJ33),MJ33))),IW33)</f>
        <v>1270</v>
      </c>
      <c r="IY33" s="20" t="n">
        <f aca="false">IF(AND(H_Direct=1,BY33&gt;0),MAX(0,IX33-(MIN(BY33*AKY32,IX33+MK33)-MIN(MIN(BY33*AKY32,IX33+MK33),MK33))),IX33)</f>
        <v>1270</v>
      </c>
      <c r="IZ33" s="20" t="n">
        <f aca="false">IF(AND(H_Direct=1,BZ33&gt;0),MAX(0,IY33-(MIN(BZ33*AKZ32,IY33+ML33)-MIN(MIN(BZ33*AKZ32,IY33+ML33),ML33))),IY33)</f>
        <v>1270</v>
      </c>
      <c r="JA33" s="20" t="n">
        <f aca="false">IF(AND(H_Direct=1,CA33&gt;0),MAX(0,IZ33-(MIN(CA33*ALA32,IZ33+MM33)-MIN(MIN(CA33*ALA32,IZ33+MM33),MM33))),IZ33)</f>
        <v>1270</v>
      </c>
      <c r="JB33" s="20" t="n">
        <f aca="false">IF(AND(H_Direct=1,CB33&gt;0),MAX(0,JA33-(MIN(CB33*ALB32,JA33+MN33)-MIN(MIN(CB33*ALB32,JA33+MN33),MN33))),JA33)</f>
        <v>1270</v>
      </c>
      <c r="JC33" s="20" t="n">
        <f aca="false">IF(AND(H_Direct=1,CC33&gt;0),MAX(0,JB33-(MIN(CC33*ALC32,JB33+MO33)-MIN(MIN(CC33*ALC32,JB33+MO33),MO33))),JB33)</f>
        <v>1270</v>
      </c>
      <c r="JD33" s="20" t="n">
        <f aca="false">IF(AND(H_Direct=1,CD33&gt;0),MAX(0,JC33-(MIN(CD33*ALD32,JC33+MP33)-MIN(MIN(CD33*ALD32,JC33+MP33),MP33))),JC33)</f>
        <v>1270</v>
      </c>
      <c r="JE33" s="20" t="n">
        <f aca="false">IF(AND(H_Direct=1,CE33&gt;0),MAX(0,JD33-(MIN(CE33*ALE32,JD33+MQ33)-MIN(MIN(CE33*ALE32,JD33+MQ33),MQ33))),JD33)</f>
        <v>1270</v>
      </c>
      <c r="JF33" s="20" t="n">
        <f aca="false">IF(AND(H_Direct=1,CF33&gt;0),MAX(0,JE33-(MIN(CF33*ALF32,JE33+MR33)-MIN(MIN(CF33*ALF32,JE33+MR33),MR33))),JE33)</f>
        <v>1270</v>
      </c>
      <c r="JG33" s="20" t="n">
        <f aca="false">IF(AND(H_Direct=1,CG33&gt;0),MAX(0,JF33-(MIN(CG33*ALG32,JF33+MS33)-MIN(MIN(CG33*ALG32,JF33+MS33),MS33))),JF33)</f>
        <v>1270</v>
      </c>
      <c r="JH33" s="20" t="n">
        <f aca="false">IF(AND(H_Direct=1,CH33&gt;0),MAX(0,JG33-(MIN(CH33*ALH32,JG33+MT33)-MIN(MIN(CH33*ALH32,JG33+MT33),MT33))),JG33)</f>
        <v>1270</v>
      </c>
      <c r="JI33" s="20" t="n">
        <f aca="false">IF(AND(H_Direct=1,CI33&gt;0),MAX(0,JH33-(MIN(CI33*ALI32,JH33+MU33)-MIN(MIN(CI33*ALI32,JH33+MU33),MU33))),JH33)</f>
        <v>1270</v>
      </c>
      <c r="JJ33" s="20" t="n">
        <f aca="false">IF(AND(H_Direct=1,CJ33&gt;0),MAX(0,JI33-(MIN(CJ33*ALJ32,JI33+MV33)-MIN(MIN(CJ33*ALJ32,JI33+MV33),MV33))),JI33)</f>
        <v>1270</v>
      </c>
      <c r="JK33" s="20" t="n">
        <f aca="false">IF(AND(H_Direct=1,CK33&gt;0),MAX(0,JJ33-(MIN(CK33*ALK32,JJ33+MW33)-MIN(MIN(CK33*ALK32,JJ33+MW33),MW33))),JJ33)</f>
        <v>1270</v>
      </c>
      <c r="JL33" s="20" t="n">
        <f aca="false">IF(AND(H_Direct=1,CL33&gt;0),MAX(0,JK33-(MIN(CL33*ALL32,JK33+MX33)-MIN(MIN(CL33*ALL32,JK33+MX33),MX33))),JK33)</f>
        <v>1270</v>
      </c>
      <c r="JM33" s="20" t="n">
        <f aca="false">IF(AND(H_Direct=1,CM33&gt;0),MAX(0,JL33-(MIN(CM33*ALM32,JL33+MY33)-MIN(MIN(CM33*ALM32,JL33+MY33),MY33))),JL33)</f>
        <v>1270</v>
      </c>
      <c r="JN33" s="20" t="n">
        <f aca="false">IF(AND(H_Direct=1,CN33&gt;0),MAX(0,JM33-(MIN(CN33*ALN32,JM33+MZ33)-MIN(MIN(CN33*ALN32,JM33+MZ33),MZ33))),JM33)</f>
        <v>1270</v>
      </c>
      <c r="JO33" s="20" t="n">
        <f aca="false">IF(AND(H_Direct=1,CO33&gt;0),MAX(0,JN33-(MIN(CO33*ALO32,JN33+NA33)-MIN(MIN(CO33*ALO32,JN33+NA33),NA33))),JN33)</f>
        <v>1270</v>
      </c>
      <c r="JP33" s="20" t="n">
        <f aca="false">IF(AND(H_Direct=1,CP33&gt;0),MAX(0,JO33-(MIN(CP33*ALP32,JO33+NB33)-MIN(MIN(CP33*ALP32,JO33+NB33),NB33))),JO33)</f>
        <v>1270</v>
      </c>
      <c r="JQ33" s="20" t="n">
        <f aca="false">IF(AND(H_Direct=1,CQ33&gt;0),MAX(0,JP33-(MIN(CQ33*ALQ32,JP33+NC33)-MIN(MIN(CQ33*ALQ32,JP33+NC33),NC33))),JP33)</f>
        <v>1270</v>
      </c>
      <c r="JR33" s="20" t="n">
        <f aca="false">IF(AND(H_Direct=1,CR33&gt;0),MAX(0,JQ33-(MIN(CR33*(P33+S33),JQ33+ND33)-MIN(MIN(CR33*(P33+S33),JQ33+ND33),ND33))),JQ33)</f>
        <v>1270</v>
      </c>
      <c r="JS33" s="20" t="n">
        <f aca="false">JR33</f>
        <v>1270</v>
      </c>
      <c r="JT33" s="20" t="n">
        <f aca="false">JS33</f>
        <v>1270</v>
      </c>
      <c r="JU33" s="20" t="n">
        <f aca="false">JT33</f>
        <v>1270</v>
      </c>
      <c r="JV33" s="20" t="n">
        <f aca="false">JU33</f>
        <v>1270</v>
      </c>
      <c r="JW33" s="20" t="n">
        <f aca="false">JV33</f>
        <v>1270</v>
      </c>
      <c r="JX33" s="20" t="n">
        <f aca="false">JW33</f>
        <v>1270</v>
      </c>
      <c r="JY33" s="20" t="n">
        <f aca="false">JX33</f>
        <v>1270</v>
      </c>
      <c r="JZ33" s="20" t="n">
        <f aca="false">JY33</f>
        <v>1270</v>
      </c>
      <c r="KA33" s="20" t="n">
        <f aca="false">JZ33</f>
        <v>1270</v>
      </c>
      <c r="KB33" s="20" t="n">
        <f aca="false">KA33</f>
        <v>1270</v>
      </c>
      <c r="KC33" s="20" t="n">
        <f aca="false">KB33</f>
        <v>1270</v>
      </c>
      <c r="KD33" s="20" t="n">
        <f aca="false">KC33</f>
        <v>1270</v>
      </c>
      <c r="KE33" s="20" t="n">
        <f aca="false">KD33</f>
        <v>1270</v>
      </c>
      <c r="KF33" s="20" t="n">
        <f aca="false">KE33</f>
        <v>1270</v>
      </c>
      <c r="KG33" s="20" t="n">
        <f aca="false">KF33</f>
        <v>1270</v>
      </c>
      <c r="KH33" s="20" t="n">
        <f aca="false">KG33</f>
        <v>1270</v>
      </c>
      <c r="KI33" s="20" t="n">
        <f aca="false">KH33</f>
        <v>1270</v>
      </c>
      <c r="KJ33" s="20" t="n">
        <f aca="false">KI33</f>
        <v>1270</v>
      </c>
      <c r="KK33" s="20" t="n">
        <f aca="false">KJ33</f>
        <v>1270</v>
      </c>
      <c r="KL33" s="20" t="n">
        <f aca="false">KK33</f>
        <v>1270</v>
      </c>
      <c r="KM33" s="20" t="n">
        <f aca="false">KL33</f>
        <v>1270</v>
      </c>
      <c r="KN33" s="20" t="n">
        <f aca="false">KM33</f>
        <v>1270</v>
      </c>
      <c r="KO33" s="20" t="n">
        <f aca="false">KN33</f>
        <v>1270</v>
      </c>
      <c r="KP33" s="20" t="n">
        <f aca="false">KO33</f>
        <v>1270</v>
      </c>
      <c r="KQ33" s="20" t="n">
        <f aca="false">KP33</f>
        <v>1270</v>
      </c>
      <c r="KR33" s="20" t="n">
        <f aca="false">KQ33</f>
        <v>1270</v>
      </c>
      <c r="KS33" s="20" t="n">
        <f aca="false">KR33</f>
        <v>1270</v>
      </c>
      <c r="KT33" s="20" t="n">
        <f aca="false">KS33</f>
        <v>1270</v>
      </c>
      <c r="KU33" s="20" t="n">
        <f aca="false">KT33</f>
        <v>1270</v>
      </c>
      <c r="KV33" s="20" t="n">
        <f aca="false">KU33</f>
        <v>1270</v>
      </c>
      <c r="KW33" s="20" t="n">
        <f aca="false">KV33</f>
        <v>1270</v>
      </c>
      <c r="KX33" s="20" t="n">
        <f aca="false">KW33</f>
        <v>1270</v>
      </c>
      <c r="KY33" s="20" t="n">
        <f aca="false">KX33</f>
        <v>1270</v>
      </c>
      <c r="KZ33" s="20" t="n">
        <f aca="false">KY33</f>
        <v>1270</v>
      </c>
      <c r="LA33" s="20" t="n">
        <f aca="false">KZ33</f>
        <v>1270</v>
      </c>
      <c r="LB33" s="20" t="n">
        <f aca="false">LA33</f>
        <v>1270</v>
      </c>
      <c r="LC33" s="20" t="n">
        <f aca="false">LB33</f>
        <v>1270</v>
      </c>
      <c r="LD33" s="20" t="n">
        <f aca="false">LC33</f>
        <v>1270</v>
      </c>
      <c r="LE33" s="20" t="n">
        <f aca="false">LD33</f>
        <v>1270</v>
      </c>
      <c r="LF33" s="20" t="n">
        <f aca="false">LE33</f>
        <v>1270</v>
      </c>
      <c r="LG33" s="20" t="n">
        <f aca="false">LF33</f>
        <v>1270</v>
      </c>
      <c r="LH33" s="20" t="n">
        <f aca="false">LG33</f>
        <v>1270</v>
      </c>
      <c r="LI33" s="20" t="n">
        <f aca="false">LH33</f>
        <v>1270</v>
      </c>
      <c r="LJ33" s="20" t="n">
        <f aca="false">LI33</f>
        <v>1270</v>
      </c>
      <c r="LK33" s="20" t="n">
        <f aca="false">LJ33</f>
        <v>1270</v>
      </c>
      <c r="LL33" s="20" t="n">
        <f aca="false">LK33</f>
        <v>1270</v>
      </c>
      <c r="LM33" s="20" t="n">
        <f aca="false">LL33</f>
        <v>1270</v>
      </c>
      <c r="LN33" s="20" t="n">
        <f aca="false">LM33</f>
        <v>1270</v>
      </c>
      <c r="LO33" s="20" t="n">
        <f aca="false">LN33</f>
        <v>1270</v>
      </c>
      <c r="LP33" s="20" t="n">
        <f aca="false">LO33</f>
        <v>1270</v>
      </c>
      <c r="LQ33" s="20" t="n">
        <f aca="false">LP33</f>
        <v>1270</v>
      </c>
      <c r="LR33" s="20" t="n">
        <f aca="false">LQ33</f>
        <v>1270</v>
      </c>
      <c r="LS33" s="20" t="n">
        <f aca="false">LR33</f>
        <v>1270</v>
      </c>
      <c r="LT33" s="20" t="n">
        <f aca="false">LS33</f>
        <v>1270</v>
      </c>
      <c r="LU33" s="20" t="n">
        <f aca="false">LT33</f>
        <v>1270</v>
      </c>
      <c r="LV33" s="20" t="n">
        <f aca="false">LU33</f>
        <v>1270</v>
      </c>
      <c r="LW33" s="20" t="n">
        <f aca="false">LV33</f>
        <v>1270</v>
      </c>
      <c r="LX33" s="20" t="n">
        <f aca="false">LW33</f>
        <v>1270</v>
      </c>
      <c r="LY33" s="20" t="n">
        <f aca="false">LX33</f>
        <v>1270</v>
      </c>
      <c r="LZ33" s="20" t="n">
        <f aca="false">LY33</f>
        <v>1270</v>
      </c>
      <c r="MA33" s="20" t="n">
        <f aca="false">LZ33</f>
        <v>1270</v>
      </c>
      <c r="MB33" s="20" t="n">
        <f aca="false">MA33</f>
        <v>1270</v>
      </c>
      <c r="MC33" s="20" t="n">
        <f aca="false">MB33</f>
        <v>1270</v>
      </c>
      <c r="MD33" s="20" t="n">
        <f aca="false">MC33</f>
        <v>1270</v>
      </c>
      <c r="ME33" s="20" t="n">
        <f aca="false">IF(H_Direct=1,IF(BR33&lt;=0,I33-BR33*AKR32,I33-MIN(MIN(BR33*AKR32,H33+I33),I33)),I33)</f>
        <v>0</v>
      </c>
      <c r="MF33" s="20" t="n">
        <f aca="false">IF(H_Direct=1,IF(BS33&lt;=0,ME33-BS33*AKS32,ME33-MIN(MIN(BS33*AKS32,IR33+ME33),ME33)),ME33)</f>
        <v>0</v>
      </c>
      <c r="MG33" s="20" t="n">
        <f aca="false">IF(H_Direct=1,IF(BT33&lt;=0,MF33-BT33*AKT32,MF33-MIN(MIN(BT33*AKT32,IS33+MF33),MF33)),MF33)</f>
        <v>0</v>
      </c>
      <c r="MH33" s="20" t="n">
        <f aca="false">IF(H_Direct=1,IF(BU33&lt;=0,MG33-BU33*AKU32,MG33-MIN(MIN(BU33*AKU32,IT33+MG33),MG33)),MG33)</f>
        <v>0</v>
      </c>
      <c r="MI33" s="20" t="n">
        <f aca="false">IF(H_Direct=1,IF(BV33&lt;=0,MH33-BV33*AKV32,MH33-MIN(MIN(BV33*AKV32,IU33+MH33),MH33)),MH33)</f>
        <v>0</v>
      </c>
      <c r="MJ33" s="20" t="n">
        <f aca="false">IF(H_Direct=1,IF(BW33&lt;=0,MI33-BW33*AKW32,MI33-MIN(MIN(BW33*AKW32,IV33+MI33),MI33)),MI33)</f>
        <v>0</v>
      </c>
      <c r="MK33" s="20" t="n">
        <f aca="false">IF(H_Direct=1,IF(BX33&lt;=0,MJ33-BX33*AKX32,MJ33-MIN(MIN(BX33*AKX32,IW33+MJ33),MJ33)),MJ33)</f>
        <v>0</v>
      </c>
      <c r="ML33" s="20" t="n">
        <f aca="false">IF(H_Direct=1,IF(BY33&lt;=0,MK33-BY33*AKY32,MK33-MIN(MIN(BY33*AKY32,IX33+MK33),MK33)),MK33)</f>
        <v>0</v>
      </c>
      <c r="MM33" s="20" t="n">
        <f aca="false">IF(H_Direct=1,IF(BZ33&lt;=0,ML33-BZ33*AKZ32,ML33-MIN(MIN(BZ33*AKZ32,IY33+ML33),ML33)),ML33)</f>
        <v>0</v>
      </c>
      <c r="MN33" s="20" t="n">
        <f aca="false">IF(H_Direct=1,IF(CA33&lt;=0,MM33-CA33*ALA32,MM33-MIN(MIN(CA33*ALA32,IZ33+MM33),MM33)),MM33)</f>
        <v>0</v>
      </c>
      <c r="MO33" s="20" t="n">
        <f aca="false">IF(H_Direct=1,IF(CB33&lt;=0,MN33-CB33*ALB32,MN33-MIN(MIN(CB33*ALB32,JA33+MN33),MN33)),MN33)</f>
        <v>0</v>
      </c>
      <c r="MP33" s="20" t="n">
        <f aca="false">IF(H_Direct=1,IF(CC33&lt;=0,MO33-CC33*ALC32,MO33-MIN(MIN(CC33*ALC32,JB33+MO33),MO33)),MO33)</f>
        <v>0</v>
      </c>
      <c r="MQ33" s="20" t="n">
        <f aca="false">IF(H_Direct=1,IF(CD33&lt;=0,MP33-CD33*ALD32,MP33-MIN(MIN(CD33*ALD32,JC33+MP33),MP33)),MP33)</f>
        <v>0</v>
      </c>
      <c r="MR33" s="20" t="n">
        <f aca="false">IF(H_Direct=1,IF(CE33&lt;=0,MQ33-CE33*ALE32,MQ33-MIN(MIN(CE33*ALE32,JD33+MQ33),MQ33)),MQ33)</f>
        <v>0</v>
      </c>
      <c r="MS33" s="20" t="n">
        <f aca="false">IF(H_Direct=1,IF(CF33&lt;=0,MR33-CF33*ALF32,MR33-MIN(MIN(CF33*ALF32,JE33+MR33),MR33)),MR33)</f>
        <v>0</v>
      </c>
      <c r="MT33" s="20" t="n">
        <f aca="false">IF(H_Direct=1,IF(CG33&lt;=0,MS33-CG33*ALG32,MS33-MIN(MIN(CG33*ALG32,JF33+MS33),MS33)),MS33)</f>
        <v>0</v>
      </c>
      <c r="MU33" s="20" t="n">
        <f aca="false">IF(H_Direct=1,IF(CH33&lt;=0,MT33-CH33*ALH32,MT33-MIN(MIN(CH33*ALH32,JG33+MT33),MT33)),MT33)</f>
        <v>0</v>
      </c>
      <c r="MV33" s="20" t="n">
        <f aca="false">IF(H_Direct=1,IF(CI33&lt;=0,MU33-CI33*ALI32,MU33-MIN(MIN(CI33*ALI32,JH33+MU33),MU33)),MU33)</f>
        <v>0</v>
      </c>
      <c r="MW33" s="20" t="n">
        <f aca="false">IF(H_Direct=1,IF(CJ33&lt;=0,MV33-CJ33*ALJ32,MV33-MIN(MIN(CJ33*ALJ32,JI33+MV33),MV33)),MV33)</f>
        <v>0</v>
      </c>
      <c r="MX33" s="20" t="n">
        <f aca="false">IF(H_Direct=1,IF(CK33&lt;=0,MW33-CK33*ALK32,MW33-MIN(MIN(CK33*ALK32,JJ33+MW33),MW33)),MW33)</f>
        <v>0</v>
      </c>
      <c r="MY33" s="20" t="n">
        <f aca="false">IF(H_Direct=1,IF(CL33&lt;=0,MX33-CL33*ALL32,MX33-MIN(MIN(CL33*ALL32,JK33+MX33),MX33)),MX33)</f>
        <v>0</v>
      </c>
      <c r="MZ33" s="20" t="n">
        <f aca="false">IF(H_Direct=1,IF(CM33&lt;=0,MY33-CM33*ALM32,MY33-MIN(MIN(CM33*ALM32,JL33+MY33),MY33)),MY33)</f>
        <v>0</v>
      </c>
      <c r="NA33" s="20" t="n">
        <f aca="false">IF(H_Direct=1,IF(CN33&lt;=0,MZ33-CN33*ALN32,MZ33-MIN(MIN(CN33*ALN32,JM33+MZ33),MZ33)),MZ33)</f>
        <v>0</v>
      </c>
      <c r="NB33" s="20" t="n">
        <f aca="false">IF(H_Direct=1,IF(CO33&lt;=0,NA33-CO33*ALO32,NA33-MIN(MIN(CO33*ALO32,JN33+NA33),NA33)),NA33)</f>
        <v>0</v>
      </c>
      <c r="NC33" s="20" t="n">
        <f aca="false">IF(H_Direct=1,IF(CP33&lt;=0,NB33-CP33*ALP32,NB33-MIN(MIN(CP33*ALP32,JO33+NB33),NB33)),NB33)</f>
        <v>0</v>
      </c>
      <c r="ND33" s="20" t="n">
        <f aca="false">IF(H_Direct=1,IF(CQ33&lt;=0,NC33-CQ33*ALQ32,NC33-MIN(MIN(CQ33*ALQ32,JP33+NC33),NC33)),NC33)</f>
        <v>0</v>
      </c>
      <c r="NE33" s="20" t="n">
        <f aca="false">IF(H_Direct=1,IF(CR33&lt;=0,ND33-CR33*(P33+S33),ND33-MIN(MIN(CR33*(P33+S33),JQ33+ND33),ND33)),ND33)</f>
        <v>0</v>
      </c>
      <c r="NF33" s="20" t="n">
        <f aca="false">NE33</f>
        <v>0</v>
      </c>
      <c r="NG33" s="20" t="n">
        <f aca="false">NF33</f>
        <v>0</v>
      </c>
      <c r="NH33" s="20" t="n">
        <f aca="false">NG33</f>
        <v>0</v>
      </c>
      <c r="NI33" s="20" t="n">
        <f aca="false">NH33</f>
        <v>0</v>
      </c>
      <c r="NJ33" s="20" t="n">
        <f aca="false">NI33</f>
        <v>0</v>
      </c>
      <c r="NK33" s="20" t="n">
        <f aca="false">NJ33</f>
        <v>0</v>
      </c>
      <c r="NL33" s="20" t="n">
        <f aca="false">NK33</f>
        <v>0</v>
      </c>
      <c r="NM33" s="20" t="n">
        <f aca="false">NL33</f>
        <v>0</v>
      </c>
      <c r="NN33" s="20" t="n">
        <f aca="false">NM33</f>
        <v>0</v>
      </c>
      <c r="NO33" s="20" t="n">
        <f aca="false">NN33</f>
        <v>0</v>
      </c>
      <c r="NP33" s="20" t="n">
        <f aca="false">NO33</f>
        <v>0</v>
      </c>
      <c r="NQ33" s="20" t="n">
        <f aca="false">NP33</f>
        <v>0</v>
      </c>
      <c r="NR33" s="20" t="n">
        <f aca="false">NQ33</f>
        <v>0</v>
      </c>
      <c r="NS33" s="20" t="n">
        <f aca="false">NR33</f>
        <v>0</v>
      </c>
      <c r="NT33" s="20" t="n">
        <f aca="false">NS33</f>
        <v>0</v>
      </c>
      <c r="NU33" s="20" t="n">
        <f aca="false">NT33</f>
        <v>0</v>
      </c>
      <c r="NV33" s="20" t="n">
        <f aca="false">NU33</f>
        <v>0</v>
      </c>
      <c r="NW33" s="20" t="n">
        <f aca="false">NV33</f>
        <v>0</v>
      </c>
      <c r="NX33" s="20" t="n">
        <f aca="false">NW33</f>
        <v>0</v>
      </c>
      <c r="NY33" s="20" t="n">
        <f aca="false">NX33</f>
        <v>0</v>
      </c>
      <c r="NZ33" s="20" t="n">
        <f aca="false">NY33</f>
        <v>0</v>
      </c>
      <c r="OA33" s="20" t="n">
        <f aca="false">NZ33</f>
        <v>0</v>
      </c>
      <c r="OB33" s="20" t="n">
        <f aca="false">OA33</f>
        <v>0</v>
      </c>
      <c r="OC33" s="20" t="n">
        <f aca="false">OB33</f>
        <v>0</v>
      </c>
      <c r="OD33" s="20" t="n">
        <f aca="false">OC33</f>
        <v>0</v>
      </c>
      <c r="OE33" s="20" t="n">
        <f aca="false">OD33</f>
        <v>0</v>
      </c>
      <c r="OF33" s="20" t="n">
        <f aca="false">OE33</f>
        <v>0</v>
      </c>
      <c r="OG33" s="20" t="n">
        <f aca="false">OF33</f>
        <v>0</v>
      </c>
      <c r="OH33" s="20" t="n">
        <f aca="false">OG33</f>
        <v>0</v>
      </c>
      <c r="OI33" s="20" t="n">
        <f aca="false">OH33</f>
        <v>0</v>
      </c>
      <c r="OJ33" s="20" t="n">
        <f aca="false">OI33</f>
        <v>0</v>
      </c>
      <c r="OK33" s="20" t="n">
        <f aca="false">OJ33</f>
        <v>0</v>
      </c>
      <c r="OL33" s="20" t="n">
        <f aca="false">OK33</f>
        <v>0</v>
      </c>
      <c r="OM33" s="20" t="n">
        <f aca="false">OL33</f>
        <v>0</v>
      </c>
      <c r="ON33" s="20" t="n">
        <f aca="false">OM33</f>
        <v>0</v>
      </c>
      <c r="OO33" s="20" t="n">
        <f aca="false">ON33</f>
        <v>0</v>
      </c>
      <c r="OP33" s="20" t="n">
        <f aca="false">OO33</f>
        <v>0</v>
      </c>
      <c r="OQ33" s="20" t="n">
        <f aca="false">OP33</f>
        <v>0</v>
      </c>
      <c r="OR33" s="20" t="n">
        <f aca="false">OQ33</f>
        <v>0</v>
      </c>
      <c r="OS33" s="20" t="n">
        <f aca="false">OR33</f>
        <v>0</v>
      </c>
      <c r="OT33" s="20" t="n">
        <f aca="false">OS33</f>
        <v>0</v>
      </c>
      <c r="OU33" s="20" t="n">
        <f aca="false">OT33</f>
        <v>0</v>
      </c>
      <c r="OV33" s="20" t="n">
        <f aca="false">OU33</f>
        <v>0</v>
      </c>
      <c r="OW33" s="20" t="n">
        <f aca="false">OV33</f>
        <v>0</v>
      </c>
      <c r="OX33" s="20" t="n">
        <f aca="false">OW33</f>
        <v>0</v>
      </c>
      <c r="OY33" s="20" t="n">
        <f aca="false">OX33</f>
        <v>0</v>
      </c>
      <c r="OZ33" s="20" t="n">
        <f aca="false">OY33</f>
        <v>0</v>
      </c>
      <c r="PA33" s="20" t="n">
        <f aca="false">OZ33</f>
        <v>0</v>
      </c>
      <c r="PB33" s="20" t="n">
        <f aca="false">PA33</f>
        <v>0</v>
      </c>
      <c r="PC33" s="20" t="n">
        <f aca="false">PB33</f>
        <v>0</v>
      </c>
      <c r="PD33" s="20" t="n">
        <f aca="false">PC33</f>
        <v>0</v>
      </c>
      <c r="PE33" s="20" t="n">
        <f aca="false">PD33</f>
        <v>0</v>
      </c>
      <c r="PF33" s="20" t="n">
        <f aca="false">PE33</f>
        <v>0</v>
      </c>
      <c r="PG33" s="20" t="n">
        <f aca="false">PF33</f>
        <v>0</v>
      </c>
      <c r="PH33" s="20" t="n">
        <f aca="false">PG33</f>
        <v>0</v>
      </c>
      <c r="PI33" s="20" t="n">
        <f aca="false">PH33</f>
        <v>0</v>
      </c>
      <c r="PJ33" s="20" t="n">
        <f aca="false">PI33</f>
        <v>0</v>
      </c>
      <c r="PK33" s="20" t="n">
        <f aca="false">PJ33</f>
        <v>0</v>
      </c>
      <c r="PL33" s="20" t="n">
        <f aca="false">PK33</f>
        <v>0</v>
      </c>
      <c r="PM33" s="20" t="n">
        <f aca="false">PL33</f>
        <v>0</v>
      </c>
      <c r="PN33" s="20" t="n">
        <f aca="false">PM33</f>
        <v>0</v>
      </c>
      <c r="PO33" s="20" t="n">
        <f aca="false">PN33</f>
        <v>0</v>
      </c>
      <c r="PP33" s="20" t="n">
        <f aca="false">PO33</f>
        <v>0</v>
      </c>
      <c r="PQ33" s="20" t="n">
        <f aca="false">PP33</f>
        <v>0</v>
      </c>
      <c r="PR33" s="20" t="n">
        <f aca="false">IF(H_Direct=1,IF(AKR32&lt;=0,0,IF(BR33&lt;=0,MIN(MAX(0,AB33),AKR32),MIN(MAX(0,AB33),AKR32-G33*MAX(0,BR33*AKR32-(H33+I33))))),MIN(FE33,MAX(0,AB33)))</f>
        <v>0</v>
      </c>
      <c r="PS33" s="20" t="n">
        <f aca="false">IF(H_Direct=1,IF(AKS32&lt;=0,0,IF(BS33&lt;=0,MIN(MAX(0,AB33-SUM(PR33:PR33)),AKS32),MIN(MAX(0,AB33-SUM(PR33:PR33)),AKS32-G33*MAX(0,BS33*AKS32-(WR33+AAE33))))),MIN(FF33,MAX(0,AB33-SUM(PR33:PR33))))</f>
        <v>0</v>
      </c>
      <c r="PT33" s="20" t="n">
        <f aca="false">IF(H_Direct=1,IF(AKT32&lt;=0,0,IF(BT33&lt;=0,MIN(MAX(0,AB33-SUM(PR33:PS33)),AKT32),MIN(MAX(0,AB33-SUM(PR33:PS33)),AKT32-G33*MAX(0,BT33*AKT32-(WS33+AAF33))))),MIN(FG33,MAX(0,AB33-SUM(PR33:PS33))))</f>
        <v>0</v>
      </c>
      <c r="PU33" s="20" t="n">
        <f aca="false">IF(H_Direct=1,IF(AKU32&lt;=0,0,IF(BU33&lt;=0,MIN(MAX(0,AB33-SUM(PR33:PT33)),AKU32),MIN(MAX(0,AB33-SUM(PR33:PT33)),AKU32-G33*MAX(0,BU33*AKU32-(WT33+AAG33))))),MIN(FH33,MAX(0,AB33-SUM(PR33:PT33))))</f>
        <v>0</v>
      </c>
      <c r="PV33" s="20" t="n">
        <f aca="false">IF(H_Direct=1,IF(AKV32&lt;=0,0,IF(BV33&lt;=0,MIN(MAX(0,AB33-SUM(PR33:PU33)),AKV32),MIN(MAX(0,AB33-SUM(PR33:PU33)),AKV32-G33*MAX(0,BV33*AKV32-(WU33+AAH33))))),MIN(FI33,MAX(0,AB33-SUM(PR33:PU33))))</f>
        <v>0</v>
      </c>
      <c r="PW33" s="20" t="n">
        <f aca="false">IF(H_Direct=1,IF(AKW32&lt;=0,0,IF(BW33&lt;=0,MIN(MAX(0,AB33-SUM(PR33:PV33)),AKW32),MIN(MAX(0,AB33-SUM(PR33:PV33)),AKW32-G33*MAX(0,BW33*AKW32-(WV33+AAI33))))),MIN(FJ33,MAX(0,AB33-SUM(PR33:PV33))))</f>
        <v>0</v>
      </c>
      <c r="PX33" s="20" t="n">
        <f aca="false">IF(H_Direct=1,IF(AKX32&lt;=0,0,IF(BX33&lt;=0,MIN(MAX(0,AB33-SUM(PR33:PW33)),AKX32),MIN(MAX(0,AB33-SUM(PR33:PW33)),AKX32-G33*MAX(0,BX33*AKX32-(WW33+AAJ33))))),MIN(FK33,MAX(0,AB33-SUM(PR33:PW33))))</f>
        <v>0</v>
      </c>
      <c r="PY33" s="20" t="n">
        <f aca="false">IF(H_Direct=1,IF(AKY32&lt;=0,0,IF(BY33&lt;=0,MIN(MAX(0,AB33-SUM(PR33:PX33)),AKY32),MIN(MAX(0,AB33-SUM(PR33:PX33)),AKY32-G33*MAX(0,BY33*AKY32-(WX33+AAK33))))),MIN(FL33,MAX(0,AB33-SUM(PR33:PX33))))</f>
        <v>0</v>
      </c>
      <c r="PZ33" s="20" t="n">
        <f aca="false">IF(H_Direct=1,IF(AKZ32&lt;=0,0,IF(BZ33&lt;=0,MIN(MAX(0,AB33-SUM(PR33:PY33)),AKZ32),MIN(MAX(0,AB33-SUM(PR33:PY33)),AKZ32-G33*MAX(0,BZ33*AKZ32-(WY33+AAL33))))),MIN(FM33,MAX(0,AB33-SUM(PR33:PY33))))</f>
        <v>0</v>
      </c>
      <c r="QA33" s="20" t="n">
        <f aca="false">IF(H_Direct=1,IF(ALA32&lt;=0,0,IF(CA33&lt;=0,MIN(MAX(0,AB33-SUM(PR33:PZ33)),ALA32),MIN(MAX(0,AB33-SUM(PR33:PZ33)),ALA32-G33*MAX(0,CA33*ALA32-(WZ33+AAM33))))),MIN(FN33,MAX(0,AB33-SUM(PR33:PZ33))))</f>
        <v>0</v>
      </c>
      <c r="QB33" s="20" t="n">
        <f aca="false">IF(H_Direct=1,IF(ALB32&lt;=0,0,IF(CB33&lt;=0,MIN(MAX(0,AB33-SUM(PR33:QA33)),ALB32),MIN(MAX(0,AB33-SUM(PR33:QA33)),ALB32-G33*MAX(0,CB33*ALB32-(XA33+AAN33))))),MIN(FO33,MAX(0,AB33-SUM(PR33:QA33))))</f>
        <v>0</v>
      </c>
      <c r="QC33" s="20" t="n">
        <f aca="false">IF(H_Direct=1,IF(ALC32&lt;=0,0,IF(CC33&lt;=0,MIN(MAX(0,AB33-SUM(PR33:QB33)),ALC32),MIN(MAX(0,AB33-SUM(PR33:QB33)),ALC32-G33*MAX(0,CC33*ALC32-(XB33+AAO33))))),MIN(FP33,MAX(0,AB33-SUM(PR33:QB33))))</f>
        <v>0</v>
      </c>
      <c r="QD33" s="20" t="n">
        <f aca="false">IF(H_Direct=1,IF(ALD32&lt;=0,0,IF(CD33&lt;=0,MIN(MAX(0,AB33-SUM(PR33:QC33)),ALD32),MIN(MAX(0,AB33-SUM(PR33:QC33)),ALD32-G33*MAX(0,CD33*ALD32-(XC33+AAP33))))),MIN(FQ33,MAX(0,AB33-SUM(PR33:QC33))))</f>
        <v>0</v>
      </c>
      <c r="QE33" s="20" t="n">
        <f aca="false">IF(H_Direct=1,IF(ALE32&lt;=0,0,IF(CE33&lt;=0,MIN(MAX(0,AB33-SUM(PR33:QD33)),ALE32),MIN(MAX(0,AB33-SUM(PR33:QD33)),ALE32-G33*MAX(0,CE33*ALE32-(XD33+AAQ33))))),MIN(FR33,MAX(0,AB33-SUM(PR33:QD33))))</f>
        <v>0</v>
      </c>
      <c r="QF33" s="20" t="n">
        <f aca="false">IF(H_Direct=1,IF(ALF32&lt;=0,0,IF(CF33&lt;=0,MIN(MAX(0,AB33-SUM(PR33:QE33)),ALF32),MIN(MAX(0,AB33-SUM(PR33:QE33)),ALF32-G33*MAX(0,CF33*ALF32-(XE33+AAR33))))),MIN(FS33,MAX(0,AB33-SUM(PR33:QE33))))</f>
        <v>0</v>
      </c>
      <c r="QG33" s="20" t="n">
        <f aca="false">IF(H_Direct=1,IF(ALG32&lt;=0,0,IF(CG33&lt;=0,MIN(MAX(0,AB33-SUM(PR33:QF33)),ALG32),MIN(MAX(0,AB33-SUM(PR33:QF33)),ALG32-G33*MAX(0,CG33*ALG32-(XF33+AAS33))))),MIN(FT33,MAX(0,AB33-SUM(PR33:QF33))))</f>
        <v>0</v>
      </c>
      <c r="QH33" s="20" t="n">
        <f aca="false">IF(H_Direct=1,IF(ALH32&lt;=0,0,IF(CH33&lt;=0,MIN(MAX(0,AB33-SUM(PR33:QG33)),ALH32),MIN(MAX(0,AB33-SUM(PR33:QG33)),ALH32-G33*MAX(0,CH33*ALH32-(XG33+AAT33))))),MIN(FU33,MAX(0,AB33-SUM(PR33:QG33))))</f>
        <v>0</v>
      </c>
      <c r="QI33" s="20" t="n">
        <f aca="false">IF(H_Direct=1,IF(ALI32&lt;=0,0,IF(CI33&lt;=0,MIN(MAX(0,AB33-SUM(PR33:QH33)),ALI32),MIN(MAX(0,AB33-SUM(PR33:QH33)),ALI32-G33*MAX(0,CI33*ALI32-(XH33+AAU33))))),MIN(FV33,MAX(0,AB33-SUM(PR33:QH33))))</f>
        <v>0</v>
      </c>
      <c r="QJ33" s="20" t="n">
        <f aca="false">IF(H_Direct=1,IF(ALJ32&lt;=0,0,IF(CJ33&lt;=0,MIN(MAX(0,AB33-SUM(PR33:QI33)),ALJ32),MIN(MAX(0,AB33-SUM(PR33:QI33)),ALJ32-G33*MAX(0,CJ33*ALJ32-(XI33+AAV33))))),MIN(FW33,MAX(0,AB33-SUM(PR33:QI33))))</f>
        <v>0</v>
      </c>
      <c r="QK33" s="20" t="n">
        <f aca="false">IF(H_Direct=1,IF(ALK32&lt;=0,0,IF(CK33&lt;=0,MIN(MAX(0,AB33-SUM(PR33:QJ33)),ALK32),MIN(MAX(0,AB33-SUM(PR33:QJ33)),ALK32-G33*MAX(0,CK33*ALK32-(XJ33+AAW33))))),MIN(FX33,MAX(0,AB33-SUM(PR33:QJ33))))</f>
        <v>0</v>
      </c>
      <c r="QL33" s="20" t="n">
        <f aca="false">IF(H_Direct=1,IF(ALL32&lt;=0,0,IF(CL33&lt;=0,MIN(MAX(0,AB33-SUM(PR33:QK33)),ALL32),MIN(MAX(0,AB33-SUM(PR33:QK33)),ALL32-G33*MAX(0,CL33*ALL32-(XK33+AAX33))))),MIN(FY33,MAX(0,AB33-SUM(PR33:QK33))))</f>
        <v>0</v>
      </c>
      <c r="QM33" s="20" t="n">
        <f aca="false">IF(H_Direct=1,IF(ALM32&lt;=0,0,IF(CM33&lt;=0,MIN(MAX(0,AB33-SUM(PR33:QL33)),ALM32),MIN(MAX(0,AB33-SUM(PR33:QL33)),ALM32-G33*MAX(0,CM33*ALM32-(XL33+AAY33))))),MIN(FZ33,MAX(0,AB33-SUM(PR33:QL33))))</f>
        <v>0</v>
      </c>
      <c r="QN33" s="20" t="n">
        <f aca="false">IF(H_Direct=1,IF(ALN32&lt;=0,0,IF(CN33&lt;=0,MIN(MAX(0,AB33-SUM(PR33:QM33)),ALN32),MIN(MAX(0,AB33-SUM(PR33:QM33)),ALN32-G33*MAX(0,CN33*ALN32-(XM33+AAZ33))))),MIN(GA33,MAX(0,AB33-SUM(PR33:QM33))))</f>
        <v>0</v>
      </c>
      <c r="QO33" s="20" t="n">
        <f aca="false">IF(H_Direct=1,IF(ALO32&lt;=0,0,IF(CO33&lt;=0,MIN(MAX(0,AB33-SUM(PR33:QN33)),ALO32),MIN(MAX(0,AB33-SUM(PR33:QN33)),ALO32-G33*MAX(0,CO33*ALO32-(XN33+ABA33))))),MIN(GB33,MAX(0,AB33-SUM(PR33:QN33))))</f>
        <v>0</v>
      </c>
      <c r="QP33" s="20" t="n">
        <f aca="false">IF(H_Direct=1,IF(ALP32&lt;=0,0,IF(CP33&lt;=0,MIN(MAX(0,AB33-SUM(PR33:QO33)),ALP32),MIN(MAX(0,AB33-SUM(PR33:QO33)),ALP32-G33*MAX(0,CP33*ALP32-(XO33+ABB33))))),MIN(GC33,MAX(0,AB33-SUM(PR33:QO33))))</f>
        <v>0</v>
      </c>
      <c r="QQ33" s="20" t="n">
        <f aca="false">IF(H_Direct=1,IF(ALQ32&lt;=0,0,IF(CQ33&lt;=0,MIN(MAX(0,AB33-SUM(PR33:QP33)),ALQ32),MIN(MAX(0,AB33-SUM(PR33:QP33)),ALQ32-G33*MAX(0,CQ33*ALQ32-(XP33+ABC33))))),MIN(GD33,MAX(0,AB33-SUM(PR33:QP33))))</f>
        <v>0</v>
      </c>
      <c r="QR33" s="20" t="n">
        <f aca="false">IF(H_Direct=1,IF((P33+S33)&lt;=0,0,IF(CR33&lt;=0,MIN(MAX(0,AB33-SUM(PR33:QQ33)),(P33+S33)),MIN(MAX(0,AB33-SUM(PR33:QQ33)),(P33+S33)-G33*MAX(0,CR33*(P33+S33)-(XQ33+ABD33))))),MIN(GE33,MAX(0,AB33-SUM(PR33:QQ33))))</f>
        <v>0</v>
      </c>
      <c r="QS33" s="20" t="n">
        <v>0</v>
      </c>
      <c r="QT33" s="20" t="n">
        <v>0</v>
      </c>
      <c r="QU33" s="20" t="n">
        <v>0</v>
      </c>
      <c r="QV33" s="20" t="n">
        <v>0</v>
      </c>
      <c r="QW33" s="20" t="n">
        <v>0</v>
      </c>
      <c r="QX33" s="20" t="n">
        <v>0</v>
      </c>
      <c r="QY33" s="20" t="n">
        <v>0</v>
      </c>
      <c r="QZ33" s="20" t="n">
        <v>0</v>
      </c>
      <c r="RA33" s="20" t="n">
        <v>0</v>
      </c>
      <c r="RB33" s="20" t="n">
        <v>0</v>
      </c>
      <c r="RC33" s="20" t="n">
        <v>0</v>
      </c>
      <c r="RD33" s="20" t="n">
        <v>0</v>
      </c>
      <c r="RE33" s="20" t="n">
        <v>0</v>
      </c>
      <c r="RF33" s="20" t="n">
        <v>0</v>
      </c>
      <c r="RG33" s="20" t="n">
        <v>0</v>
      </c>
      <c r="RH33" s="20" t="n">
        <v>0</v>
      </c>
      <c r="RI33" s="20" t="n">
        <v>0</v>
      </c>
      <c r="RJ33" s="20" t="n">
        <v>0</v>
      </c>
      <c r="RK33" s="20" t="n">
        <v>0</v>
      </c>
      <c r="RL33" s="20" t="n">
        <v>0</v>
      </c>
      <c r="RM33" s="20" t="n">
        <v>0</v>
      </c>
      <c r="RN33" s="20" t="n">
        <v>0</v>
      </c>
      <c r="RO33" s="20" t="n">
        <v>0</v>
      </c>
      <c r="RP33" s="20" t="n">
        <v>0</v>
      </c>
      <c r="RQ33" s="20" t="n">
        <v>0</v>
      </c>
      <c r="RR33" s="20" t="n">
        <v>0</v>
      </c>
      <c r="RS33" s="20" t="n">
        <v>0</v>
      </c>
      <c r="RT33" s="20" t="n">
        <v>0</v>
      </c>
      <c r="RU33" s="20" t="n">
        <v>0</v>
      </c>
      <c r="RV33" s="20" t="n">
        <v>0</v>
      </c>
      <c r="RW33" s="20" t="n">
        <v>0</v>
      </c>
      <c r="RX33" s="20" t="n">
        <v>0</v>
      </c>
      <c r="RY33" s="20" t="n">
        <v>0</v>
      </c>
      <c r="RZ33" s="20" t="n">
        <v>0</v>
      </c>
      <c r="SA33" s="20" t="n">
        <v>0</v>
      </c>
      <c r="SB33" s="20" t="n">
        <v>0</v>
      </c>
      <c r="SC33" s="20" t="n">
        <v>0</v>
      </c>
      <c r="SD33" s="20" t="n">
        <v>0</v>
      </c>
      <c r="SE33" s="20" t="n">
        <v>0</v>
      </c>
      <c r="SF33" s="20" t="n">
        <v>0</v>
      </c>
      <c r="SG33" s="20" t="n">
        <v>0</v>
      </c>
      <c r="SH33" s="20" t="n">
        <v>0</v>
      </c>
      <c r="SI33" s="20" t="n">
        <v>0</v>
      </c>
      <c r="SJ33" s="20" t="n">
        <v>0</v>
      </c>
      <c r="SK33" s="20" t="n">
        <v>0</v>
      </c>
      <c r="SL33" s="20" t="n">
        <v>0</v>
      </c>
      <c r="SM33" s="20" t="n">
        <v>0</v>
      </c>
      <c r="SN33" s="20" t="n">
        <v>0</v>
      </c>
      <c r="SO33" s="20" t="n">
        <v>0</v>
      </c>
      <c r="SP33" s="20" t="n">
        <v>0</v>
      </c>
      <c r="SQ33" s="20" t="n">
        <v>0</v>
      </c>
      <c r="SR33" s="20" t="n">
        <v>0</v>
      </c>
      <c r="SS33" s="20" t="n">
        <v>0</v>
      </c>
      <c r="ST33" s="20" t="n">
        <v>0</v>
      </c>
      <c r="SU33" s="20" t="n">
        <v>0</v>
      </c>
      <c r="SV33" s="20" t="n">
        <v>0</v>
      </c>
      <c r="SW33" s="20" t="n">
        <v>0</v>
      </c>
      <c r="SX33" s="20" t="n">
        <v>0</v>
      </c>
      <c r="SY33" s="20" t="n">
        <v>0</v>
      </c>
      <c r="SZ33" s="20" t="n">
        <v>0</v>
      </c>
      <c r="TA33" s="20" t="n">
        <v>0</v>
      </c>
      <c r="TB33" s="20" t="n">
        <v>0</v>
      </c>
      <c r="TC33" s="20" t="n">
        <v>0</v>
      </c>
      <c r="TD33" s="20" t="n">
        <v>0</v>
      </c>
      <c r="TE33" s="20" t="n">
        <f aca="false">IF(AKR32&lt;=0,0,IF(H_Direct=1,IF(BR33&lt;=0,PR33,IF(PR33&lt;=(H33+I33)/BR33,PR33,(PR33-G33*(H33+I33))/(1-G33*BR33))),PR33/(1-MAX(0,BR33)*H_Exit)))</f>
        <v>0</v>
      </c>
      <c r="TF33" s="20" t="n">
        <f aca="false">IF(AKS32&lt;=0,0,IF(H_Direct=1,IF(BS33&lt;=0,PS33,IF(PS33&lt;=(WR33+AAE33)/BS33,PS33,(PS33-G33*(WR33+AAE33))/(1-G33*BS33))),PS33/(1-MAX(0,BS33)*H_Exit)))</f>
        <v>0</v>
      </c>
      <c r="TG33" s="20" t="n">
        <f aca="false">IF(AKT32&lt;=0,0,IF(H_Direct=1,IF(BT33&lt;=0,PT33,IF(PT33&lt;=(WS33+AAF33)/BT33,PT33,(PT33-G33*(WS33+AAF33))/(1-G33*BT33))),PT33/(1-MAX(0,BT33)*H_Exit)))</f>
        <v>0</v>
      </c>
      <c r="TH33" s="20" t="n">
        <f aca="false">IF(AKU32&lt;=0,0,IF(H_Direct=1,IF(BU33&lt;=0,PU33,IF(PU33&lt;=(WT33+AAG33)/BU33,PU33,(PU33-G33*(WT33+AAG33))/(1-G33*BU33))),PU33/(1-MAX(0,BU33)*H_Exit)))</f>
        <v>0</v>
      </c>
      <c r="TI33" s="20" t="n">
        <f aca="false">IF(AKV32&lt;=0,0,IF(H_Direct=1,IF(BV33&lt;=0,PV33,IF(PV33&lt;=(WU33+AAH33)/BV33,PV33,(PV33-G33*(WU33+AAH33))/(1-G33*BV33))),PV33/(1-MAX(0,BV33)*H_Exit)))</f>
        <v>0</v>
      </c>
      <c r="TJ33" s="20" t="n">
        <f aca="false">IF(AKW32&lt;=0,0,IF(H_Direct=1,IF(BW33&lt;=0,PW33,IF(PW33&lt;=(WV33+AAI33)/BW33,PW33,(PW33-G33*(WV33+AAI33))/(1-G33*BW33))),PW33/(1-MAX(0,BW33)*H_Exit)))</f>
        <v>0</v>
      </c>
      <c r="TK33" s="20" t="n">
        <f aca="false">IF(AKX32&lt;=0,0,IF(H_Direct=1,IF(BX33&lt;=0,PX33,IF(PX33&lt;=(WW33+AAJ33)/BX33,PX33,(PX33-G33*(WW33+AAJ33))/(1-G33*BX33))),PX33/(1-MAX(0,BX33)*H_Exit)))</f>
        <v>0</v>
      </c>
      <c r="TL33" s="20" t="n">
        <f aca="false">IF(AKY32&lt;=0,0,IF(H_Direct=1,IF(BY33&lt;=0,PY33,IF(PY33&lt;=(WX33+AAK33)/BY33,PY33,(PY33-G33*(WX33+AAK33))/(1-G33*BY33))),PY33/(1-MAX(0,BY33)*H_Exit)))</f>
        <v>0</v>
      </c>
      <c r="TM33" s="20" t="n">
        <f aca="false">IF(AKZ32&lt;=0,0,IF(H_Direct=1,IF(BZ33&lt;=0,PZ33,IF(PZ33&lt;=(WY33+AAL33)/BZ33,PZ33,(PZ33-G33*(WY33+AAL33))/(1-G33*BZ33))),PZ33/(1-MAX(0,BZ33)*H_Exit)))</f>
        <v>0</v>
      </c>
      <c r="TN33" s="20" t="n">
        <f aca="false">IF(ALA32&lt;=0,0,IF(H_Direct=1,IF(CA33&lt;=0,QA33,IF(QA33&lt;=(WZ33+AAM33)/CA33,QA33,(QA33-G33*(WZ33+AAM33))/(1-G33*CA33))),QA33/(1-MAX(0,CA33)*H_Exit)))</f>
        <v>0</v>
      </c>
      <c r="TO33" s="20" t="n">
        <f aca="false">IF(ALB32&lt;=0,0,IF(H_Direct=1,IF(CB33&lt;=0,QB33,IF(QB33&lt;=(XA33+AAN33)/CB33,QB33,(QB33-G33*(XA33+AAN33))/(1-G33*CB33))),QB33/(1-MAX(0,CB33)*H_Exit)))</f>
        <v>0</v>
      </c>
      <c r="TP33" s="20" t="n">
        <f aca="false">IF(ALC32&lt;=0,0,IF(H_Direct=1,IF(CC33&lt;=0,QC33,IF(QC33&lt;=(XB33+AAO33)/CC33,QC33,(QC33-G33*(XB33+AAO33))/(1-G33*CC33))),QC33/(1-MAX(0,CC33)*H_Exit)))</f>
        <v>0</v>
      </c>
      <c r="TQ33" s="20" t="n">
        <f aca="false">IF(ALD32&lt;=0,0,IF(H_Direct=1,IF(CD33&lt;=0,QD33,IF(QD33&lt;=(XC33+AAP33)/CD33,QD33,(QD33-G33*(XC33+AAP33))/(1-G33*CD33))),QD33/(1-MAX(0,CD33)*H_Exit)))</f>
        <v>0</v>
      </c>
      <c r="TR33" s="20" t="n">
        <f aca="false">IF(ALE32&lt;=0,0,IF(H_Direct=1,IF(CE33&lt;=0,QE33,IF(QE33&lt;=(XD33+AAQ33)/CE33,QE33,(QE33-G33*(XD33+AAQ33))/(1-G33*CE33))),QE33/(1-MAX(0,CE33)*H_Exit)))</f>
        <v>0</v>
      </c>
      <c r="TS33" s="20" t="n">
        <f aca="false">IF(ALF32&lt;=0,0,IF(H_Direct=1,IF(CF33&lt;=0,QF33,IF(QF33&lt;=(XE33+AAR33)/CF33,QF33,(QF33-G33*(XE33+AAR33))/(1-G33*CF33))),QF33/(1-MAX(0,CF33)*H_Exit)))</f>
        <v>0</v>
      </c>
      <c r="TT33" s="20" t="n">
        <f aca="false">IF(ALG32&lt;=0,0,IF(H_Direct=1,IF(CG33&lt;=0,QG33,IF(QG33&lt;=(XF33+AAS33)/CG33,QG33,(QG33-G33*(XF33+AAS33))/(1-G33*CG33))),QG33/(1-MAX(0,CG33)*H_Exit)))</f>
        <v>0</v>
      </c>
      <c r="TU33" s="20" t="n">
        <f aca="false">IF(ALH32&lt;=0,0,IF(H_Direct=1,IF(CH33&lt;=0,QH33,IF(QH33&lt;=(XG33+AAT33)/CH33,QH33,(QH33-G33*(XG33+AAT33))/(1-G33*CH33))),QH33/(1-MAX(0,CH33)*H_Exit)))</f>
        <v>0</v>
      </c>
      <c r="TV33" s="20" t="n">
        <f aca="false">IF(ALI32&lt;=0,0,IF(H_Direct=1,IF(CI33&lt;=0,QI33,IF(QI33&lt;=(XH33+AAU33)/CI33,QI33,(QI33-G33*(XH33+AAU33))/(1-G33*CI33))),QI33/(1-MAX(0,CI33)*H_Exit)))</f>
        <v>0</v>
      </c>
      <c r="TW33" s="20" t="n">
        <f aca="false">IF(ALJ32&lt;=0,0,IF(H_Direct=1,IF(CJ33&lt;=0,QJ33,IF(QJ33&lt;=(XI33+AAV33)/CJ33,QJ33,(QJ33-G33*(XI33+AAV33))/(1-G33*CJ33))),QJ33/(1-MAX(0,CJ33)*H_Exit)))</f>
        <v>0</v>
      </c>
      <c r="TX33" s="20" t="n">
        <f aca="false">IF(ALK32&lt;=0,0,IF(H_Direct=1,IF(CK33&lt;=0,QK33,IF(QK33&lt;=(XJ33+AAW33)/CK33,QK33,(QK33-G33*(XJ33+AAW33))/(1-G33*CK33))),QK33/(1-MAX(0,CK33)*H_Exit)))</f>
        <v>0</v>
      </c>
      <c r="TY33" s="20" t="n">
        <f aca="false">IF(ALL32&lt;=0,0,IF(H_Direct=1,IF(CL33&lt;=0,QL33,IF(QL33&lt;=(XK33+AAX33)/CL33,QL33,(QL33-G33*(XK33+AAX33))/(1-G33*CL33))),QL33/(1-MAX(0,CL33)*H_Exit)))</f>
        <v>0</v>
      </c>
      <c r="TZ33" s="20" t="n">
        <f aca="false">IF(ALM32&lt;=0,0,IF(H_Direct=1,IF(CM33&lt;=0,QM33,IF(QM33&lt;=(XL33+AAY33)/CM33,QM33,(QM33-G33*(XL33+AAY33))/(1-G33*CM33))),QM33/(1-MAX(0,CM33)*H_Exit)))</f>
        <v>0</v>
      </c>
      <c r="UA33" s="20" t="n">
        <f aca="false">IF(ALN32&lt;=0,0,IF(H_Direct=1,IF(CN33&lt;=0,QN33,IF(QN33&lt;=(XM33+AAZ33)/CN33,QN33,(QN33-G33*(XM33+AAZ33))/(1-G33*CN33))),QN33/(1-MAX(0,CN33)*H_Exit)))</f>
        <v>0</v>
      </c>
      <c r="UB33" s="20" t="n">
        <f aca="false">IF(ALO32&lt;=0,0,IF(H_Direct=1,IF(CO33&lt;=0,QO33,IF(QO33&lt;=(XN33+ABA33)/CO33,QO33,(QO33-G33*(XN33+ABA33))/(1-G33*CO33))),QO33/(1-MAX(0,CO33)*H_Exit)))</f>
        <v>0</v>
      </c>
      <c r="UC33" s="20" t="n">
        <f aca="false">IF(ALP32&lt;=0,0,IF(H_Direct=1,IF(CP33&lt;=0,QP33,IF(QP33&lt;=(XO33+ABB33)/CP33,QP33,(QP33-G33*(XO33+ABB33))/(1-G33*CP33))),QP33/(1-MAX(0,CP33)*H_Exit)))</f>
        <v>0</v>
      </c>
      <c r="UD33" s="20" t="n">
        <f aca="false">IF(ALQ32&lt;=0,0,IF(H_Direct=1,IF(CQ33&lt;=0,QQ33,IF(QQ33&lt;=(XP33+ABC33)/CQ33,QQ33,(QQ33-G33*(XP33+ABC33))/(1-G33*CQ33))),QQ33/(1-MAX(0,CQ33)*H_Exit)))</f>
        <v>0</v>
      </c>
      <c r="UE33" s="20" t="n">
        <f aca="false">IF((P33+S33)&lt;=0,0,IF(H_Direct=1,IF(CR33&lt;=0,QR33,IF(QR33&lt;=(XQ33+ABD33)/CR33,QR33,(QR33-G33*(XQ33+ABD33))/(1-G33*CR33))),QR33/(1-MAX(0,CR33)*H_Exit)))</f>
        <v>0</v>
      </c>
      <c r="UF33" s="20" t="n">
        <v>0</v>
      </c>
      <c r="UG33" s="20" t="n">
        <v>0</v>
      </c>
      <c r="UH33" s="20" t="n">
        <v>0</v>
      </c>
      <c r="UI33" s="20" t="n">
        <v>0</v>
      </c>
      <c r="UJ33" s="20" t="n">
        <v>0</v>
      </c>
      <c r="UK33" s="20" t="n">
        <v>0</v>
      </c>
      <c r="UL33" s="20" t="n">
        <v>0</v>
      </c>
      <c r="UM33" s="20" t="n">
        <v>0</v>
      </c>
      <c r="UN33" s="20" t="n">
        <v>0</v>
      </c>
      <c r="UO33" s="20" t="n">
        <v>0</v>
      </c>
      <c r="UP33" s="20" t="n">
        <v>0</v>
      </c>
      <c r="UQ33" s="20" t="n">
        <v>0</v>
      </c>
      <c r="UR33" s="20" t="n">
        <v>0</v>
      </c>
      <c r="US33" s="20" t="n">
        <v>0</v>
      </c>
      <c r="UT33" s="20" t="n">
        <v>0</v>
      </c>
      <c r="UU33" s="20" t="n">
        <v>0</v>
      </c>
      <c r="UV33" s="20" t="n">
        <v>0</v>
      </c>
      <c r="UW33" s="20" t="n">
        <v>0</v>
      </c>
      <c r="UX33" s="20" t="n">
        <v>0</v>
      </c>
      <c r="UY33" s="20" t="n">
        <v>0</v>
      </c>
      <c r="UZ33" s="20" t="n">
        <v>0</v>
      </c>
      <c r="VA33" s="20" t="n">
        <v>0</v>
      </c>
      <c r="VB33" s="20" t="n">
        <v>0</v>
      </c>
      <c r="VC33" s="20" t="n">
        <v>0</v>
      </c>
      <c r="VD33" s="20" t="n">
        <v>0</v>
      </c>
      <c r="VE33" s="20" t="n">
        <v>0</v>
      </c>
      <c r="VF33" s="20" t="n">
        <v>0</v>
      </c>
      <c r="VG33" s="20" t="n">
        <v>0</v>
      </c>
      <c r="VH33" s="20" t="n">
        <v>0</v>
      </c>
      <c r="VI33" s="20" t="n">
        <v>0</v>
      </c>
      <c r="VJ33" s="20" t="n">
        <v>0</v>
      </c>
      <c r="VK33" s="20" t="n">
        <v>0</v>
      </c>
      <c r="VL33" s="20" t="n">
        <v>0</v>
      </c>
      <c r="VM33" s="20" t="n">
        <v>0</v>
      </c>
      <c r="VN33" s="20" t="n">
        <v>0</v>
      </c>
      <c r="VO33" s="20" t="n">
        <v>0</v>
      </c>
      <c r="VP33" s="20" t="n">
        <v>0</v>
      </c>
      <c r="VQ33" s="20" t="n">
        <v>0</v>
      </c>
      <c r="VR33" s="20" t="n">
        <v>0</v>
      </c>
      <c r="VS33" s="20" t="n">
        <v>0</v>
      </c>
      <c r="VT33" s="20" t="n">
        <v>0</v>
      </c>
      <c r="VU33" s="20" t="n">
        <v>0</v>
      </c>
      <c r="VV33" s="20" t="n">
        <v>0</v>
      </c>
      <c r="VW33" s="20" t="n">
        <v>0</v>
      </c>
      <c r="VX33" s="20" t="n">
        <v>0</v>
      </c>
      <c r="VY33" s="20" t="n">
        <v>0</v>
      </c>
      <c r="VZ33" s="20" t="n">
        <v>0</v>
      </c>
      <c r="WA33" s="20" t="n">
        <v>0</v>
      </c>
      <c r="WB33" s="20" t="n">
        <v>0</v>
      </c>
      <c r="WC33" s="20" t="n">
        <v>0</v>
      </c>
      <c r="WD33" s="20" t="n">
        <v>0</v>
      </c>
      <c r="WE33" s="20" t="n">
        <v>0</v>
      </c>
      <c r="WF33" s="20" t="n">
        <v>0</v>
      </c>
      <c r="WG33" s="20" t="n">
        <v>0</v>
      </c>
      <c r="WH33" s="20" t="n">
        <v>0</v>
      </c>
      <c r="WI33" s="20" t="n">
        <v>0</v>
      </c>
      <c r="WJ33" s="20" t="n">
        <v>0</v>
      </c>
      <c r="WK33" s="20" t="n">
        <v>0</v>
      </c>
      <c r="WL33" s="20" t="n">
        <v>0</v>
      </c>
      <c r="WM33" s="20" t="n">
        <v>0</v>
      </c>
      <c r="WN33" s="20" t="n">
        <v>0</v>
      </c>
      <c r="WO33" s="20" t="n">
        <v>0</v>
      </c>
      <c r="WP33" s="20" t="n">
        <v>0</v>
      </c>
      <c r="WQ33" s="20" t="n">
        <v>0</v>
      </c>
      <c r="WR33" s="20" t="n">
        <f aca="false">IF(AND(H_Direct=1,BR33&gt;0),MAX(0,H33-(MIN(BR33*TE33,(H33+I33))-MIN(MIN(BR33*TE33,(H33+I33)),I33))),H33)</f>
        <v>1270</v>
      </c>
      <c r="WS33" s="20" t="n">
        <f aca="false">IF(AND(H_Direct=1,BS33&gt;0),MAX(0,WR33-(MIN(BS33*TF33,(WR33+AAE33))-MIN(MIN(BS33*TF33,(WR33+AAE33)),AAE33))),WR33)</f>
        <v>1270</v>
      </c>
      <c r="WT33" s="20" t="n">
        <f aca="false">IF(AND(H_Direct=1,BT33&gt;0),MAX(0,WS33-(MIN(BT33*TG33,(WS33+AAF33))-MIN(MIN(BT33*TG33,(WS33+AAF33)),AAF33))),WS33)</f>
        <v>1270</v>
      </c>
      <c r="WU33" s="20" t="n">
        <f aca="false">IF(AND(H_Direct=1,BU33&gt;0),MAX(0,WT33-(MIN(BU33*TH33,(WT33+AAG33))-MIN(MIN(BU33*TH33,(WT33+AAG33)),AAG33))),WT33)</f>
        <v>1270</v>
      </c>
      <c r="WV33" s="20" t="n">
        <f aca="false">IF(AND(H_Direct=1,BV33&gt;0),MAX(0,WU33-(MIN(BV33*TI33,(WU33+AAH33))-MIN(MIN(BV33*TI33,(WU33+AAH33)),AAH33))),WU33)</f>
        <v>1270</v>
      </c>
      <c r="WW33" s="20" t="n">
        <f aca="false">IF(AND(H_Direct=1,BW33&gt;0),MAX(0,WV33-(MIN(BW33*TJ33,(WV33+AAI33))-MIN(MIN(BW33*TJ33,(WV33+AAI33)),AAI33))),WV33)</f>
        <v>1270</v>
      </c>
      <c r="WX33" s="20" t="n">
        <f aca="false">IF(AND(H_Direct=1,BX33&gt;0),MAX(0,WW33-(MIN(BX33*TK33,(WW33+AAJ33))-MIN(MIN(BX33*TK33,(WW33+AAJ33)),AAJ33))),WW33)</f>
        <v>1270</v>
      </c>
      <c r="WY33" s="20" t="n">
        <f aca="false">IF(AND(H_Direct=1,BY33&gt;0),MAX(0,WX33-(MIN(BY33*TL33,(WX33+AAK33))-MIN(MIN(BY33*TL33,(WX33+AAK33)),AAK33))),WX33)</f>
        <v>1270</v>
      </c>
      <c r="WZ33" s="20" t="n">
        <f aca="false">IF(AND(H_Direct=1,BZ33&gt;0),MAX(0,WY33-(MIN(BZ33*TM33,(WY33+AAL33))-MIN(MIN(BZ33*TM33,(WY33+AAL33)),AAL33))),WY33)</f>
        <v>1270</v>
      </c>
      <c r="XA33" s="20" t="n">
        <f aca="false">IF(AND(H_Direct=1,CA33&gt;0),MAX(0,WZ33-(MIN(CA33*TN33,(WZ33+AAM33))-MIN(MIN(CA33*TN33,(WZ33+AAM33)),AAM33))),WZ33)</f>
        <v>1270</v>
      </c>
      <c r="XB33" s="20" t="n">
        <f aca="false">IF(AND(H_Direct=1,CB33&gt;0),MAX(0,XA33-(MIN(CB33*TO33,(XA33+AAN33))-MIN(MIN(CB33*TO33,(XA33+AAN33)),AAN33))),XA33)</f>
        <v>1270</v>
      </c>
      <c r="XC33" s="20" t="n">
        <f aca="false">IF(AND(H_Direct=1,CC33&gt;0),MAX(0,XB33-(MIN(CC33*TP33,(XB33+AAO33))-MIN(MIN(CC33*TP33,(XB33+AAO33)),AAO33))),XB33)</f>
        <v>1270</v>
      </c>
      <c r="XD33" s="20" t="n">
        <f aca="false">IF(AND(H_Direct=1,CD33&gt;0),MAX(0,XC33-(MIN(CD33*TQ33,(XC33+AAP33))-MIN(MIN(CD33*TQ33,(XC33+AAP33)),AAP33))),XC33)</f>
        <v>1270</v>
      </c>
      <c r="XE33" s="20" t="n">
        <f aca="false">IF(AND(H_Direct=1,CE33&gt;0),MAX(0,XD33-(MIN(CE33*TR33,(XD33+AAQ33))-MIN(MIN(CE33*TR33,(XD33+AAQ33)),AAQ33))),XD33)</f>
        <v>1270</v>
      </c>
      <c r="XF33" s="20" t="n">
        <f aca="false">IF(AND(H_Direct=1,CF33&gt;0),MAX(0,XE33-(MIN(CF33*TS33,(XE33+AAR33))-MIN(MIN(CF33*TS33,(XE33+AAR33)),AAR33))),XE33)</f>
        <v>1270</v>
      </c>
      <c r="XG33" s="20" t="n">
        <f aca="false">IF(AND(H_Direct=1,CG33&gt;0),MAX(0,XF33-(MIN(CG33*TT33,(XF33+AAS33))-MIN(MIN(CG33*TT33,(XF33+AAS33)),AAS33))),XF33)</f>
        <v>1270</v>
      </c>
      <c r="XH33" s="20" t="n">
        <f aca="false">IF(AND(H_Direct=1,CH33&gt;0),MAX(0,XG33-(MIN(CH33*TU33,(XG33+AAT33))-MIN(MIN(CH33*TU33,(XG33+AAT33)),AAT33))),XG33)</f>
        <v>1270</v>
      </c>
      <c r="XI33" s="20" t="n">
        <f aca="false">IF(AND(H_Direct=1,CI33&gt;0),MAX(0,XH33-(MIN(CI33*TV33,(XH33+AAU33))-MIN(MIN(CI33*TV33,(XH33+AAU33)),AAU33))),XH33)</f>
        <v>1270</v>
      </c>
      <c r="XJ33" s="20" t="n">
        <f aca="false">IF(AND(H_Direct=1,CJ33&gt;0),MAX(0,XI33-(MIN(CJ33*TW33,(XI33+AAV33))-MIN(MIN(CJ33*TW33,(XI33+AAV33)),AAV33))),XI33)</f>
        <v>1270</v>
      </c>
      <c r="XK33" s="20" t="n">
        <f aca="false">IF(AND(H_Direct=1,CK33&gt;0),MAX(0,XJ33-(MIN(CK33*TX33,(XJ33+AAW33))-MIN(MIN(CK33*TX33,(XJ33+AAW33)),AAW33))),XJ33)</f>
        <v>1270</v>
      </c>
      <c r="XL33" s="20" t="n">
        <f aca="false">IF(AND(H_Direct=1,CL33&gt;0),MAX(0,XK33-(MIN(CL33*TY33,(XK33+AAX33))-MIN(MIN(CL33*TY33,(XK33+AAX33)),AAX33))),XK33)</f>
        <v>1270</v>
      </c>
      <c r="XM33" s="20" t="n">
        <f aca="false">IF(AND(H_Direct=1,CM33&gt;0),MAX(0,XL33-(MIN(CM33*TZ33,(XL33+AAY33))-MIN(MIN(CM33*TZ33,(XL33+AAY33)),AAY33))),XL33)</f>
        <v>1270</v>
      </c>
      <c r="XN33" s="20" t="n">
        <f aca="false">IF(AND(H_Direct=1,CN33&gt;0),MAX(0,XM33-(MIN(CN33*UA33,(XM33+AAZ33))-MIN(MIN(CN33*UA33,(XM33+AAZ33)),AAZ33))),XM33)</f>
        <v>1270</v>
      </c>
      <c r="XO33" s="20" t="n">
        <f aca="false">IF(AND(H_Direct=1,CO33&gt;0),MAX(0,XN33-(MIN(CO33*UB33,(XN33+ABA33))-MIN(MIN(CO33*UB33,(XN33+ABA33)),ABA33))),XN33)</f>
        <v>1270</v>
      </c>
      <c r="XP33" s="20" t="n">
        <f aca="false">IF(AND(H_Direct=1,CP33&gt;0),MAX(0,XO33-(MIN(CP33*UC33,(XO33+ABB33))-MIN(MIN(CP33*UC33,(XO33+ABB33)),ABB33))),XO33)</f>
        <v>1270</v>
      </c>
      <c r="XQ33" s="20" t="n">
        <f aca="false">IF(AND(H_Direct=1,CQ33&gt;0),MAX(0,XP33-(MIN(CQ33*UD33,(XP33+ABC33))-MIN(MIN(CQ33*UD33,(XP33+ABC33)),ABC33))),XP33)</f>
        <v>1270</v>
      </c>
      <c r="XR33" s="20" t="n">
        <f aca="false">IF(AND(H_Direct=1,CR33&gt;0),MAX(0,XQ33-(MIN(CR33*UE33,(XQ33+ABD33))-MIN(MIN(CR33*UE33,(XQ33+ABD33)),ABD33))),XQ33)</f>
        <v>1270</v>
      </c>
      <c r="XS33" s="20" t="n">
        <f aca="false">XR33</f>
        <v>1270</v>
      </c>
      <c r="XT33" s="20" t="n">
        <f aca="false">XS33</f>
        <v>1270</v>
      </c>
      <c r="XU33" s="20" t="n">
        <f aca="false">XT33</f>
        <v>1270</v>
      </c>
      <c r="XV33" s="20" t="n">
        <f aca="false">XU33</f>
        <v>1270</v>
      </c>
      <c r="XW33" s="20" t="n">
        <f aca="false">XV33</f>
        <v>1270</v>
      </c>
      <c r="XX33" s="20" t="n">
        <f aca="false">XW33</f>
        <v>1270</v>
      </c>
      <c r="XY33" s="20" t="n">
        <f aca="false">XX33</f>
        <v>1270</v>
      </c>
      <c r="XZ33" s="20" t="n">
        <f aca="false">XY33</f>
        <v>1270</v>
      </c>
      <c r="YA33" s="20" t="n">
        <f aca="false">XZ33</f>
        <v>1270</v>
      </c>
      <c r="YB33" s="20" t="n">
        <f aca="false">YA33</f>
        <v>1270</v>
      </c>
      <c r="YC33" s="20" t="n">
        <f aca="false">YB33</f>
        <v>1270</v>
      </c>
      <c r="YD33" s="20" t="n">
        <f aca="false">YC33</f>
        <v>1270</v>
      </c>
      <c r="YE33" s="20" t="n">
        <f aca="false">YD33</f>
        <v>1270</v>
      </c>
      <c r="YF33" s="20" t="n">
        <f aca="false">YE33</f>
        <v>1270</v>
      </c>
      <c r="YG33" s="20" t="n">
        <f aca="false">YF33</f>
        <v>1270</v>
      </c>
      <c r="YH33" s="20" t="n">
        <f aca="false">YG33</f>
        <v>1270</v>
      </c>
      <c r="YI33" s="20" t="n">
        <f aca="false">YH33</f>
        <v>1270</v>
      </c>
      <c r="YJ33" s="20" t="n">
        <f aca="false">YI33</f>
        <v>1270</v>
      </c>
      <c r="YK33" s="20" t="n">
        <f aca="false">YJ33</f>
        <v>1270</v>
      </c>
      <c r="YL33" s="20" t="n">
        <f aca="false">YK33</f>
        <v>1270</v>
      </c>
      <c r="YM33" s="20" t="n">
        <f aca="false">YL33</f>
        <v>1270</v>
      </c>
      <c r="YN33" s="20" t="n">
        <f aca="false">YM33</f>
        <v>1270</v>
      </c>
      <c r="YO33" s="20" t="n">
        <f aca="false">YN33</f>
        <v>1270</v>
      </c>
      <c r="YP33" s="20" t="n">
        <f aca="false">YO33</f>
        <v>1270</v>
      </c>
      <c r="YQ33" s="20" t="n">
        <f aca="false">YP33</f>
        <v>1270</v>
      </c>
      <c r="YR33" s="20" t="n">
        <f aca="false">YQ33</f>
        <v>1270</v>
      </c>
      <c r="YS33" s="20" t="n">
        <f aca="false">YR33</f>
        <v>1270</v>
      </c>
      <c r="YT33" s="20" t="n">
        <f aca="false">YS33</f>
        <v>1270</v>
      </c>
      <c r="YU33" s="20" t="n">
        <f aca="false">YT33</f>
        <v>1270</v>
      </c>
      <c r="YV33" s="20" t="n">
        <f aca="false">YU33</f>
        <v>1270</v>
      </c>
      <c r="YW33" s="20" t="n">
        <f aca="false">YV33</f>
        <v>1270</v>
      </c>
      <c r="YX33" s="20" t="n">
        <f aca="false">YW33</f>
        <v>1270</v>
      </c>
      <c r="YY33" s="20" t="n">
        <f aca="false">YX33</f>
        <v>1270</v>
      </c>
      <c r="YZ33" s="20" t="n">
        <f aca="false">YY33</f>
        <v>1270</v>
      </c>
      <c r="ZA33" s="20" t="n">
        <f aca="false">YZ33</f>
        <v>1270</v>
      </c>
      <c r="ZB33" s="20" t="n">
        <f aca="false">ZA33</f>
        <v>1270</v>
      </c>
      <c r="ZC33" s="20" t="n">
        <f aca="false">ZB33</f>
        <v>1270</v>
      </c>
      <c r="ZD33" s="20" t="n">
        <f aca="false">ZC33</f>
        <v>1270</v>
      </c>
      <c r="ZE33" s="20" t="n">
        <f aca="false">ZD33</f>
        <v>1270</v>
      </c>
      <c r="ZF33" s="20" t="n">
        <f aca="false">ZE33</f>
        <v>1270</v>
      </c>
      <c r="ZG33" s="20" t="n">
        <f aca="false">ZF33</f>
        <v>1270</v>
      </c>
      <c r="ZH33" s="20" t="n">
        <f aca="false">ZG33</f>
        <v>1270</v>
      </c>
      <c r="ZI33" s="20" t="n">
        <f aca="false">ZH33</f>
        <v>1270</v>
      </c>
      <c r="ZJ33" s="20" t="n">
        <f aca="false">ZI33</f>
        <v>1270</v>
      </c>
      <c r="ZK33" s="20" t="n">
        <f aca="false">ZJ33</f>
        <v>1270</v>
      </c>
      <c r="ZL33" s="20" t="n">
        <f aca="false">ZK33</f>
        <v>1270</v>
      </c>
      <c r="ZM33" s="20" t="n">
        <f aca="false">ZL33</f>
        <v>1270</v>
      </c>
      <c r="ZN33" s="20" t="n">
        <f aca="false">ZM33</f>
        <v>1270</v>
      </c>
      <c r="ZO33" s="20" t="n">
        <f aca="false">ZN33</f>
        <v>1270</v>
      </c>
      <c r="ZP33" s="20" t="n">
        <f aca="false">ZO33</f>
        <v>1270</v>
      </c>
      <c r="ZQ33" s="20" t="n">
        <f aca="false">ZP33</f>
        <v>1270</v>
      </c>
      <c r="ZR33" s="20" t="n">
        <f aca="false">ZQ33</f>
        <v>1270</v>
      </c>
      <c r="ZS33" s="20" t="n">
        <f aca="false">ZR33</f>
        <v>1270</v>
      </c>
      <c r="ZT33" s="20" t="n">
        <f aca="false">ZS33</f>
        <v>1270</v>
      </c>
      <c r="ZU33" s="20" t="n">
        <f aca="false">ZT33</f>
        <v>1270</v>
      </c>
      <c r="ZV33" s="20" t="n">
        <f aca="false">ZU33</f>
        <v>1270</v>
      </c>
      <c r="ZW33" s="20" t="n">
        <f aca="false">ZV33</f>
        <v>1270</v>
      </c>
      <c r="ZX33" s="20" t="n">
        <f aca="false">ZW33</f>
        <v>1270</v>
      </c>
      <c r="ZY33" s="20" t="n">
        <f aca="false">ZX33</f>
        <v>1270</v>
      </c>
      <c r="ZZ33" s="20" t="n">
        <f aca="false">ZY33</f>
        <v>1270</v>
      </c>
      <c r="AAA33" s="20" t="n">
        <f aca="false">ZZ33</f>
        <v>1270</v>
      </c>
      <c r="AAB33" s="20" t="n">
        <f aca="false">AAA33</f>
        <v>1270</v>
      </c>
      <c r="AAC33" s="20" t="n">
        <f aca="false">AAB33</f>
        <v>1270</v>
      </c>
      <c r="AAD33" s="20" t="n">
        <f aca="false">AAC33</f>
        <v>1270</v>
      </c>
      <c r="AAE33" s="20" t="n">
        <f aca="false">IF(H_Direct=1,IF(BR33&lt;=0,I33-BR33*TE33,I33-MIN(MIN(BR33*TE33,(H33+I33)),I33)),I33)</f>
        <v>0</v>
      </c>
      <c r="AAF33" s="20" t="n">
        <f aca="false">IF(H_Direct=1,IF(BS33&lt;=0,AAE33-BS33*TF33,AAE33-MIN(MIN(BS33*TF33,(WR33+AAE33)),AAE33)),AAE33)</f>
        <v>0</v>
      </c>
      <c r="AAG33" s="20" t="n">
        <f aca="false">IF(H_Direct=1,IF(BT33&lt;=0,AAF33-BT33*TG33,AAF33-MIN(MIN(BT33*TG33,(WS33+AAF33)),AAF33)),AAF33)</f>
        <v>0</v>
      </c>
      <c r="AAH33" s="20" t="n">
        <f aca="false">IF(H_Direct=1,IF(BU33&lt;=0,AAG33-BU33*TH33,AAG33-MIN(MIN(BU33*TH33,(WT33+AAG33)),AAG33)),AAG33)</f>
        <v>0</v>
      </c>
      <c r="AAI33" s="20" t="n">
        <f aca="false">IF(H_Direct=1,IF(BV33&lt;=0,AAH33-BV33*TI33,AAH33-MIN(MIN(BV33*TI33,(WU33+AAH33)),AAH33)),AAH33)</f>
        <v>0</v>
      </c>
      <c r="AAJ33" s="20" t="n">
        <f aca="false">IF(H_Direct=1,IF(BW33&lt;=0,AAI33-BW33*TJ33,AAI33-MIN(MIN(BW33*TJ33,(WV33+AAI33)),AAI33)),AAI33)</f>
        <v>0</v>
      </c>
      <c r="AAK33" s="20" t="n">
        <f aca="false">IF(H_Direct=1,IF(BX33&lt;=0,AAJ33-BX33*TK33,AAJ33-MIN(MIN(BX33*TK33,(WW33+AAJ33)),AAJ33)),AAJ33)</f>
        <v>0</v>
      </c>
      <c r="AAL33" s="20" t="n">
        <f aca="false">IF(H_Direct=1,IF(BY33&lt;=0,AAK33-BY33*TL33,AAK33-MIN(MIN(BY33*TL33,(WX33+AAK33)),AAK33)),AAK33)</f>
        <v>0</v>
      </c>
      <c r="AAM33" s="20" t="n">
        <f aca="false">IF(H_Direct=1,IF(BZ33&lt;=0,AAL33-BZ33*TM33,AAL33-MIN(MIN(BZ33*TM33,(WY33+AAL33)),AAL33)),AAL33)</f>
        <v>0</v>
      </c>
      <c r="AAN33" s="20" t="n">
        <f aca="false">IF(H_Direct=1,IF(CA33&lt;=0,AAM33-CA33*TN33,AAM33-MIN(MIN(CA33*TN33,(WZ33+AAM33)),AAM33)),AAM33)</f>
        <v>0</v>
      </c>
      <c r="AAO33" s="20" t="n">
        <f aca="false">IF(H_Direct=1,IF(CB33&lt;=0,AAN33-CB33*TO33,AAN33-MIN(MIN(CB33*TO33,(XA33+AAN33)),AAN33)),AAN33)</f>
        <v>0</v>
      </c>
      <c r="AAP33" s="20" t="n">
        <f aca="false">IF(H_Direct=1,IF(CC33&lt;=0,AAO33-CC33*TP33,AAO33-MIN(MIN(CC33*TP33,(XB33+AAO33)),AAO33)),AAO33)</f>
        <v>0</v>
      </c>
      <c r="AAQ33" s="20" t="n">
        <f aca="false">IF(H_Direct=1,IF(CD33&lt;=0,AAP33-CD33*TQ33,AAP33-MIN(MIN(CD33*TQ33,(XC33+AAP33)),AAP33)),AAP33)</f>
        <v>0</v>
      </c>
      <c r="AAR33" s="20" t="n">
        <f aca="false">IF(H_Direct=1,IF(CE33&lt;=0,AAQ33-CE33*TR33,AAQ33-MIN(MIN(CE33*TR33,(XD33+AAQ33)),AAQ33)),AAQ33)</f>
        <v>0</v>
      </c>
      <c r="AAS33" s="20" t="n">
        <f aca="false">IF(H_Direct=1,IF(CF33&lt;=0,AAR33-CF33*TS33,AAR33-MIN(MIN(CF33*TS33,(XE33+AAR33)),AAR33)),AAR33)</f>
        <v>0</v>
      </c>
      <c r="AAT33" s="20" t="n">
        <f aca="false">IF(H_Direct=1,IF(CG33&lt;=0,AAS33-CG33*TT33,AAS33-MIN(MIN(CG33*TT33,(XF33+AAS33)),AAS33)),AAS33)</f>
        <v>0</v>
      </c>
      <c r="AAU33" s="20" t="n">
        <f aca="false">IF(H_Direct=1,IF(CH33&lt;=0,AAT33-CH33*TU33,AAT33-MIN(MIN(CH33*TU33,(XG33+AAT33)),AAT33)),AAT33)</f>
        <v>0</v>
      </c>
      <c r="AAV33" s="20" t="n">
        <f aca="false">IF(H_Direct=1,IF(CI33&lt;=0,AAU33-CI33*TV33,AAU33-MIN(MIN(CI33*TV33,(XH33+AAU33)),AAU33)),AAU33)</f>
        <v>0</v>
      </c>
      <c r="AAW33" s="20" t="n">
        <f aca="false">IF(H_Direct=1,IF(CJ33&lt;=0,AAV33-CJ33*TW33,AAV33-MIN(MIN(CJ33*TW33,(XI33+AAV33)),AAV33)),AAV33)</f>
        <v>0</v>
      </c>
      <c r="AAX33" s="20" t="n">
        <f aca="false">IF(H_Direct=1,IF(CK33&lt;=0,AAW33-CK33*TX33,AAW33-MIN(MIN(CK33*TX33,(XJ33+AAW33)),AAW33)),AAW33)</f>
        <v>0</v>
      </c>
      <c r="AAY33" s="20" t="n">
        <f aca="false">IF(H_Direct=1,IF(CL33&lt;=0,AAX33-CL33*TY33,AAX33-MIN(MIN(CL33*TY33,(XK33+AAX33)),AAX33)),AAX33)</f>
        <v>0</v>
      </c>
      <c r="AAZ33" s="20" t="n">
        <f aca="false">IF(H_Direct=1,IF(CM33&lt;=0,AAY33-CM33*TZ33,AAY33-MIN(MIN(CM33*TZ33,(XL33+AAY33)),AAY33)),AAY33)</f>
        <v>0</v>
      </c>
      <c r="ABA33" s="20" t="n">
        <f aca="false">IF(H_Direct=1,IF(CN33&lt;=0,AAZ33-CN33*UA33,AAZ33-MIN(MIN(CN33*UA33,(XM33+AAZ33)),AAZ33)),AAZ33)</f>
        <v>0</v>
      </c>
      <c r="ABB33" s="20" t="n">
        <f aca="false">IF(H_Direct=1,IF(CO33&lt;=0,ABA33-CO33*UB33,ABA33-MIN(MIN(CO33*UB33,(XN33+ABA33)),ABA33)),ABA33)</f>
        <v>0</v>
      </c>
      <c r="ABC33" s="20" t="n">
        <f aca="false">IF(H_Direct=1,IF(CP33&lt;=0,ABB33-CP33*UC33,ABB33-MIN(MIN(CP33*UC33,(XO33+ABB33)),ABB33)),ABB33)</f>
        <v>0</v>
      </c>
      <c r="ABD33" s="20" t="n">
        <f aca="false">IF(H_Direct=1,IF(CQ33&lt;=0,ABC33-CQ33*UD33,ABC33-MIN(MIN(CQ33*UD33,(XP33+ABC33)),ABC33)),ABC33)</f>
        <v>0</v>
      </c>
      <c r="ABE33" s="20" t="n">
        <f aca="false">IF(H_Direct=1,IF(CR33&lt;=0,ABD33-CR33*UE33,ABD33-MIN(MIN(CR33*UE33,(XQ33+ABD33)),ABD33)),ABD33)</f>
        <v>0</v>
      </c>
      <c r="ABF33" s="20" t="n">
        <f aca="false">ABE33</f>
        <v>0</v>
      </c>
      <c r="ABG33" s="20" t="n">
        <f aca="false">ABF33</f>
        <v>0</v>
      </c>
      <c r="ABH33" s="20" t="n">
        <f aca="false">ABG33</f>
        <v>0</v>
      </c>
      <c r="ABI33" s="20" t="n">
        <f aca="false">ABH33</f>
        <v>0</v>
      </c>
      <c r="ABJ33" s="20" t="n">
        <f aca="false">ABI33</f>
        <v>0</v>
      </c>
      <c r="ABK33" s="20" t="n">
        <f aca="false">ABJ33</f>
        <v>0</v>
      </c>
      <c r="ABL33" s="20" t="n">
        <f aca="false">ABK33</f>
        <v>0</v>
      </c>
      <c r="ABM33" s="20" t="n">
        <f aca="false">ABL33</f>
        <v>0</v>
      </c>
      <c r="ABN33" s="20" t="n">
        <f aca="false">ABM33</f>
        <v>0</v>
      </c>
      <c r="ABO33" s="20" t="n">
        <f aca="false">ABN33</f>
        <v>0</v>
      </c>
      <c r="ABP33" s="20" t="n">
        <f aca="false">ABO33</f>
        <v>0</v>
      </c>
      <c r="ABQ33" s="20" t="n">
        <f aca="false">ABP33</f>
        <v>0</v>
      </c>
      <c r="ABR33" s="20" t="n">
        <f aca="false">ABQ33</f>
        <v>0</v>
      </c>
      <c r="ABS33" s="20" t="n">
        <f aca="false">ABR33</f>
        <v>0</v>
      </c>
      <c r="ABT33" s="20" t="n">
        <f aca="false">ABS33</f>
        <v>0</v>
      </c>
      <c r="ABU33" s="20" t="n">
        <f aca="false">ABT33</f>
        <v>0</v>
      </c>
      <c r="ABV33" s="20" t="n">
        <f aca="false">ABU33</f>
        <v>0</v>
      </c>
      <c r="ABW33" s="20" t="n">
        <f aca="false">ABV33</f>
        <v>0</v>
      </c>
      <c r="ABX33" s="20" t="n">
        <f aca="false">ABW33</f>
        <v>0</v>
      </c>
      <c r="ABY33" s="20" t="n">
        <f aca="false">ABX33</f>
        <v>0</v>
      </c>
      <c r="ABZ33" s="20" t="n">
        <f aca="false">ABY33</f>
        <v>0</v>
      </c>
      <c r="ACA33" s="20" t="n">
        <f aca="false">ABZ33</f>
        <v>0</v>
      </c>
      <c r="ACB33" s="20" t="n">
        <f aca="false">ACA33</f>
        <v>0</v>
      </c>
      <c r="ACC33" s="20" t="n">
        <f aca="false">ACB33</f>
        <v>0</v>
      </c>
      <c r="ACD33" s="20" t="n">
        <f aca="false">ACC33</f>
        <v>0</v>
      </c>
      <c r="ACE33" s="20" t="n">
        <f aca="false">ACD33</f>
        <v>0</v>
      </c>
      <c r="ACF33" s="20" t="n">
        <f aca="false">ACE33</f>
        <v>0</v>
      </c>
      <c r="ACG33" s="20" t="n">
        <f aca="false">ACF33</f>
        <v>0</v>
      </c>
      <c r="ACH33" s="20" t="n">
        <f aca="false">ACG33</f>
        <v>0</v>
      </c>
      <c r="ACI33" s="20" t="n">
        <f aca="false">ACH33</f>
        <v>0</v>
      </c>
      <c r="ACJ33" s="20" t="n">
        <f aca="false">ACI33</f>
        <v>0</v>
      </c>
      <c r="ACK33" s="20" t="n">
        <f aca="false">ACJ33</f>
        <v>0</v>
      </c>
      <c r="ACL33" s="20" t="n">
        <f aca="false">ACK33</f>
        <v>0</v>
      </c>
      <c r="ACM33" s="20" t="n">
        <f aca="false">ACL33</f>
        <v>0</v>
      </c>
      <c r="ACN33" s="20" t="n">
        <f aca="false">ACM33</f>
        <v>0</v>
      </c>
      <c r="ACO33" s="20" t="n">
        <f aca="false">ACN33</f>
        <v>0</v>
      </c>
      <c r="ACP33" s="20" t="n">
        <f aca="false">ACO33</f>
        <v>0</v>
      </c>
      <c r="ACQ33" s="20" t="n">
        <f aca="false">ACP33</f>
        <v>0</v>
      </c>
      <c r="ACR33" s="20" t="n">
        <f aca="false">ACQ33</f>
        <v>0</v>
      </c>
      <c r="ACS33" s="20" t="n">
        <f aca="false">ACR33</f>
        <v>0</v>
      </c>
      <c r="ACT33" s="20" t="n">
        <f aca="false">ACS33</f>
        <v>0</v>
      </c>
      <c r="ACU33" s="20" t="n">
        <f aca="false">ACT33</f>
        <v>0</v>
      </c>
      <c r="ACV33" s="20" t="n">
        <f aca="false">ACU33</f>
        <v>0</v>
      </c>
      <c r="ACW33" s="20" t="n">
        <f aca="false">ACV33</f>
        <v>0</v>
      </c>
      <c r="ACX33" s="20" t="n">
        <f aca="false">ACW33</f>
        <v>0</v>
      </c>
      <c r="ACY33" s="20" t="n">
        <f aca="false">ACX33</f>
        <v>0</v>
      </c>
      <c r="ACZ33" s="20" t="n">
        <f aca="false">ACY33</f>
        <v>0</v>
      </c>
      <c r="ADA33" s="20" t="n">
        <f aca="false">ACZ33</f>
        <v>0</v>
      </c>
      <c r="ADB33" s="20" t="n">
        <f aca="false">ADA33</f>
        <v>0</v>
      </c>
      <c r="ADC33" s="20" t="n">
        <f aca="false">ADB33</f>
        <v>0</v>
      </c>
      <c r="ADD33" s="20" t="n">
        <f aca="false">ADC33</f>
        <v>0</v>
      </c>
      <c r="ADE33" s="20" t="n">
        <f aca="false">ADD33</f>
        <v>0</v>
      </c>
      <c r="ADF33" s="20" t="n">
        <f aca="false">ADE33</f>
        <v>0</v>
      </c>
      <c r="ADG33" s="20" t="n">
        <f aca="false">ADF33</f>
        <v>0</v>
      </c>
      <c r="ADH33" s="20" t="n">
        <f aca="false">ADG33</f>
        <v>0</v>
      </c>
      <c r="ADI33" s="20" t="n">
        <f aca="false">ADH33</f>
        <v>0</v>
      </c>
      <c r="ADJ33" s="20" t="n">
        <f aca="false">ADI33</f>
        <v>0</v>
      </c>
      <c r="ADK33" s="20" t="n">
        <f aca="false">ADJ33</f>
        <v>0</v>
      </c>
      <c r="ADL33" s="20" t="n">
        <f aca="false">ADK33</f>
        <v>0</v>
      </c>
      <c r="ADM33" s="20" t="n">
        <f aca="false">ADL33</f>
        <v>0</v>
      </c>
      <c r="ADN33" s="20" t="n">
        <f aca="false">ADM33</f>
        <v>0</v>
      </c>
      <c r="ADO33" s="20" t="n">
        <f aca="false">ADN33</f>
        <v>0</v>
      </c>
      <c r="ADP33" s="20" t="n">
        <f aca="false">ADO33</f>
        <v>0</v>
      </c>
      <c r="ADQ33" s="20" t="n">
        <f aca="false">ADP33</f>
        <v>0</v>
      </c>
      <c r="ADR33" s="20" t="n">
        <f aca="false">(AKR32-TE33+0)*(1+BQ33)</f>
        <v>0</v>
      </c>
      <c r="ADS33" s="20" t="n">
        <f aca="false">(AKS32-TF33+0)*(1+BQ33)</f>
        <v>0</v>
      </c>
      <c r="ADT33" s="20" t="n">
        <f aca="false">(AKT32-TG33+0)*(1+BQ33)</f>
        <v>0</v>
      </c>
      <c r="ADU33" s="20" t="n">
        <f aca="false">(AKU32-TH33+0)*(1+BQ33)</f>
        <v>0</v>
      </c>
      <c r="ADV33" s="20" t="n">
        <f aca="false">(AKV32-TI33+0)*(1+BQ33)</f>
        <v>0</v>
      </c>
      <c r="ADW33" s="20" t="n">
        <f aca="false">(AKW32-TJ33+0)*(1+BQ33)</f>
        <v>0</v>
      </c>
      <c r="ADX33" s="20" t="n">
        <f aca="false">(AKX32-TK33+0)*(1+BQ33)</f>
        <v>0</v>
      </c>
      <c r="ADY33" s="20" t="n">
        <f aca="false">(AKY32-TL33+0)*(1+BQ33)</f>
        <v>0</v>
      </c>
      <c r="ADZ33" s="20" t="n">
        <f aca="false">(AKZ32-TM33+0)*(1+BQ33)</f>
        <v>0</v>
      </c>
      <c r="AEA33" s="20" t="n">
        <f aca="false">(ALA32-TN33+0)*(1+BQ33)</f>
        <v>0</v>
      </c>
      <c r="AEB33" s="20" t="n">
        <f aca="false">(ALB32-TO33+0)*(1+BQ33)</f>
        <v>0</v>
      </c>
      <c r="AEC33" s="20" t="n">
        <f aca="false">(ALC32-TP33+0)*(1+BQ33)</f>
        <v>919.130427086322</v>
      </c>
      <c r="AED33" s="20" t="n">
        <f aca="false">(ALD32-TQ33+0)*(1+BQ33)</f>
        <v>1156.23682965075</v>
      </c>
      <c r="AEE33" s="20" t="n">
        <f aca="false">(ALE32-TR33+0)*(1+BQ33)</f>
        <v>1383.69232740628</v>
      </c>
      <c r="AEF33" s="20" t="n">
        <f aca="false">(ALF32-TS33+0)*(1+BQ33)</f>
        <v>1555.96933734347</v>
      </c>
      <c r="AEG33" s="20" t="n">
        <f aca="false">(ALG32-TT33+0)*(1+BQ33)</f>
        <v>1496.38840649578</v>
      </c>
      <c r="AEH33" s="20" t="n">
        <f aca="false">(ALH32-TU33+0)*(1+BQ33)</f>
        <v>1438.238440122</v>
      </c>
      <c r="AEI33" s="20" t="n">
        <f aca="false">(ALI32-TV33+0)*(1+BQ33)</f>
        <v>1381.48917758472</v>
      </c>
      <c r="AEJ33" s="20" t="n">
        <f aca="false">(ALJ32-TW33+0)*(1+BQ33)</f>
        <v>4293.65544771709</v>
      </c>
      <c r="AEK33" s="20" t="n">
        <f aca="false">(ALK32-TX33+0)*(1+BQ33)</f>
        <v>4691.16866589685</v>
      </c>
      <c r="AEL33" s="20" t="n">
        <f aca="false">(ALL32-TY33+0)*(1+BQ33)</f>
        <v>4600.95388386038</v>
      </c>
      <c r="AEM33" s="20" t="n">
        <f aca="false">(ALM32-TZ33+0)*(1+BQ33)</f>
        <v>4512.47400147845</v>
      </c>
      <c r="AEN33" s="20" t="n">
        <f aca="false">(ALN32-UA33+0)*(1+BQ33)</f>
        <v>4425.69565529617</v>
      </c>
      <c r="AEO33" s="20" t="n">
        <f aca="false">(ALO32-UB33+0)*(1+BQ33)</f>
        <v>4340.58612346355</v>
      </c>
      <c r="AEP33" s="20" t="n">
        <f aca="false">(ALP32-UC33+0)*(1+BQ33)</f>
        <v>4257.11331339695</v>
      </c>
      <c r="AEQ33" s="20" t="n">
        <f aca="false">(ALQ32-UD33+0)*(1+BQ33)</f>
        <v>4175.24574967777</v>
      </c>
      <c r="AER33" s="20" t="n">
        <f aca="false">((P33+S33)-UE33+BE33)*(1+BQ33)</f>
        <v>61946.6011896109</v>
      </c>
      <c r="AES33" s="20" t="n">
        <v>0</v>
      </c>
      <c r="AET33" s="20" t="n">
        <v>0</v>
      </c>
      <c r="AEU33" s="20" t="n">
        <v>0</v>
      </c>
      <c r="AEV33" s="20" t="n">
        <v>0</v>
      </c>
      <c r="AEW33" s="20" t="n">
        <v>0</v>
      </c>
      <c r="AEX33" s="20" t="n">
        <v>0</v>
      </c>
      <c r="AEY33" s="20" t="n">
        <v>0</v>
      </c>
      <c r="AEZ33" s="20" t="n">
        <v>0</v>
      </c>
      <c r="AFA33" s="20" t="n">
        <v>0</v>
      </c>
      <c r="AFB33" s="20" t="n">
        <v>0</v>
      </c>
      <c r="AFC33" s="20" t="n">
        <v>0</v>
      </c>
      <c r="AFD33" s="20" t="n">
        <v>0</v>
      </c>
      <c r="AFE33" s="20" t="n">
        <v>0</v>
      </c>
      <c r="AFF33" s="20" t="n">
        <v>0</v>
      </c>
      <c r="AFG33" s="20" t="n">
        <v>0</v>
      </c>
      <c r="AFH33" s="20" t="n">
        <v>0</v>
      </c>
      <c r="AFI33" s="20" t="n">
        <v>0</v>
      </c>
      <c r="AFJ33" s="20" t="n">
        <v>0</v>
      </c>
      <c r="AFK33" s="20" t="n">
        <v>0</v>
      </c>
      <c r="AFL33" s="20" t="n">
        <v>0</v>
      </c>
      <c r="AFM33" s="20" t="n">
        <v>0</v>
      </c>
      <c r="AFN33" s="20" t="n">
        <v>0</v>
      </c>
      <c r="AFO33" s="20" t="n">
        <v>0</v>
      </c>
      <c r="AFP33" s="20" t="n">
        <v>0</v>
      </c>
      <c r="AFQ33" s="20" t="n">
        <v>0</v>
      </c>
      <c r="AFR33" s="20" t="n">
        <v>0</v>
      </c>
      <c r="AFS33" s="20" t="n">
        <v>0</v>
      </c>
      <c r="AFT33" s="20" t="n">
        <v>0</v>
      </c>
      <c r="AFU33" s="20" t="n">
        <v>0</v>
      </c>
      <c r="AFV33" s="20" t="n">
        <v>0</v>
      </c>
      <c r="AFW33" s="20" t="n">
        <v>0</v>
      </c>
      <c r="AFX33" s="20" t="n">
        <v>0</v>
      </c>
      <c r="AFY33" s="20" t="n">
        <v>0</v>
      </c>
      <c r="AFZ33" s="20" t="n">
        <v>0</v>
      </c>
      <c r="AGA33" s="20" t="n">
        <v>0</v>
      </c>
      <c r="AGB33" s="20" t="n">
        <v>0</v>
      </c>
      <c r="AGC33" s="20" t="n">
        <v>0</v>
      </c>
      <c r="AGD33" s="20" t="n">
        <v>0</v>
      </c>
      <c r="AGE33" s="20" t="n">
        <v>0</v>
      </c>
      <c r="AGF33" s="20" t="n">
        <v>0</v>
      </c>
      <c r="AGG33" s="20" t="n">
        <v>0</v>
      </c>
      <c r="AGH33" s="20" t="n">
        <v>0</v>
      </c>
      <c r="AGI33" s="20" t="n">
        <v>0</v>
      </c>
      <c r="AGJ33" s="20" t="n">
        <v>0</v>
      </c>
      <c r="AGK33" s="20" t="n">
        <v>0</v>
      </c>
      <c r="AGL33" s="20" t="n">
        <v>0</v>
      </c>
      <c r="AGM33" s="20" t="n">
        <v>0</v>
      </c>
      <c r="AGN33" s="20" t="n">
        <v>0</v>
      </c>
      <c r="AGO33" s="20" t="n">
        <v>0</v>
      </c>
      <c r="AGP33" s="20" t="n">
        <v>0</v>
      </c>
      <c r="AGQ33" s="20" t="n">
        <v>0</v>
      </c>
      <c r="AGR33" s="20" t="n">
        <v>0</v>
      </c>
      <c r="AGS33" s="20" t="n">
        <v>0</v>
      </c>
      <c r="AGT33" s="20" t="n">
        <v>0</v>
      </c>
      <c r="AGU33" s="20" t="n">
        <v>0</v>
      </c>
      <c r="AGV33" s="20" t="n">
        <v>0</v>
      </c>
      <c r="AGW33" s="20" t="n">
        <v>0</v>
      </c>
      <c r="AGX33" s="20" t="n">
        <v>0</v>
      </c>
      <c r="AGY33" s="20" t="n">
        <v>0</v>
      </c>
      <c r="AGZ33" s="20" t="n">
        <v>0</v>
      </c>
      <c r="AHA33" s="20" t="n">
        <v>0</v>
      </c>
      <c r="AHB33" s="20" t="n">
        <v>0</v>
      </c>
      <c r="AHC33" s="20" t="n">
        <v>0</v>
      </c>
      <c r="AHD33" s="20" t="n">
        <v>0</v>
      </c>
      <c r="AHE33" s="20" t="n">
        <f aca="false">IF(AKR32&gt;0,AOE32-AOE32*TE33/AKR32,0)+0</f>
        <v>0</v>
      </c>
      <c r="AHF33" s="20" t="n">
        <f aca="false">IF(AKS32&gt;0,AOF32-AOF32*TF33/AKS32,0)+0</f>
        <v>0</v>
      </c>
      <c r="AHG33" s="20" t="n">
        <f aca="false">IF(AKT32&gt;0,AOG32-AOG32*TG33/AKT32,0)+0</f>
        <v>0</v>
      </c>
      <c r="AHH33" s="20" t="n">
        <f aca="false">IF(AKU32&gt;0,AOH32-AOH32*TH33/AKU32,0)+0</f>
        <v>0</v>
      </c>
      <c r="AHI33" s="20" t="n">
        <f aca="false">IF(AKV32&gt;0,AOI32-AOI32*TI33/AKV32,0)+0</f>
        <v>0</v>
      </c>
      <c r="AHJ33" s="20" t="n">
        <f aca="false">IF(AKW32&gt;0,AOJ32-AOJ32*TJ33/AKW32,0)+0</f>
        <v>0</v>
      </c>
      <c r="AHK33" s="20" t="n">
        <f aca="false">IF(AKX32&gt;0,AOK32-AOK32*TK33/AKX32,0)+0</f>
        <v>0</v>
      </c>
      <c r="AHL33" s="20" t="n">
        <f aca="false">IF(AKY32&gt;0,AOL32-AOL32*TL33/AKY32,0)+0</f>
        <v>0</v>
      </c>
      <c r="AHM33" s="20" t="n">
        <f aca="false">IF(AKZ32&gt;0,AOM32-AOM32*TM33/AKZ32,0)+0</f>
        <v>0</v>
      </c>
      <c r="AHN33" s="20" t="n">
        <f aca="false">IF(ALA32&gt;0,AON32-AON32*TN33/ALA32,0)+0</f>
        <v>0</v>
      </c>
      <c r="AHO33" s="20" t="n">
        <f aca="false">IF(ALB32&gt;0,AOO32-AOO32*TO33/ALB32,0)+0</f>
        <v>0</v>
      </c>
      <c r="AHP33" s="20" t="n">
        <f aca="false">IF(ALC32&gt;0,AOP32-AOP32*TP33/ALC32,0)+0</f>
        <v>671.599600191266</v>
      </c>
      <c r="AHQ33" s="20" t="n">
        <f aca="false">IF(ALD32&gt;0,AOQ32-AOQ32*TQ33/ALD32,0)+0</f>
        <v>878.644963131885</v>
      </c>
      <c r="AHR33" s="20" t="n">
        <f aca="false">IF(ALE32&gt;0,AOR32-AOR32*TR33/ALE32,0)+0</f>
        <v>1093.55214549053</v>
      </c>
      <c r="AHS33" s="20" t="n">
        <f aca="false">IF(ALF32&gt;0,AOS32-AOS32*TS33/ALF32,0)+0</f>
        <v>1278.89337564899</v>
      </c>
      <c r="AHT33" s="20" t="n">
        <f aca="false">IF(ALG32&gt;0,AOT32-AOT32*TT33/ALG32,0)+0</f>
        <v>1279.11908128089</v>
      </c>
      <c r="AHU33" s="20" t="n">
        <f aca="false">IF(ALH32&gt;0,AOU32-AOU32*TU33/ALH32,0)+0</f>
        <v>1278.58873616899</v>
      </c>
      <c r="AHV33" s="20" t="n">
        <f aca="false">IF(ALI32&gt;0,AOV32-AOV32*TV33/ALI32,0)+0</f>
        <v>1277.26440235273</v>
      </c>
      <c r="AHW33" s="20" t="n">
        <f aca="false">IF(ALJ32&gt;0,AOW32-AOW32*TW33/ALJ32,0)+0</f>
        <v>4128.51485357413</v>
      </c>
      <c r="AHX33" s="20" t="n">
        <f aca="false">IF(ALK32&gt;0,AOX32-AOX32*TX33/ALK32,0)+0</f>
        <v>3427.79099418306</v>
      </c>
      <c r="AHY33" s="20" t="n">
        <f aca="false">IF(ALL32&gt;0,AOY32-AOY32*TY33/ALL32,0)+0</f>
        <v>3496.34681406672</v>
      </c>
      <c r="AHZ33" s="20" t="n">
        <f aca="false">IF(ALM32&gt;0,AOZ32-AOZ32*TZ33/ALM32,0)+0</f>
        <v>3566.27375034805</v>
      </c>
      <c r="AIA33" s="20" t="n">
        <f aca="false">IF(ALN32&gt;0,APA32-APA32*UA33/ALN32,0)+0</f>
        <v>3637.59922535501</v>
      </c>
      <c r="AIB33" s="20" t="n">
        <f aca="false">IF(ALO32&gt;0,APB32-APB32*UB33/ALO32,0)+0</f>
        <v>3710.35120986211</v>
      </c>
      <c r="AIC33" s="20" t="n">
        <f aca="false">IF(ALP32&gt;0,APC32-APC32*UC33/ALP32,0)+0</f>
        <v>3784.55823405936</v>
      </c>
      <c r="AID33" s="20" t="n">
        <f aca="false">IF(ALQ32&gt;0,APD32-APD32*UD33/ALQ32,0)+0</f>
        <v>3860.24939874054</v>
      </c>
      <c r="AIE33" s="20" t="n">
        <f aca="false">IF((P33+S33)&gt;0,(P33+S33)-(P33+S33)*UE33/(P33+S33),0)+BE33</f>
        <v>59564.0396053951</v>
      </c>
      <c r="AIF33" s="20" t="n">
        <v>0</v>
      </c>
      <c r="AIG33" s="20" t="n">
        <v>0</v>
      </c>
      <c r="AIH33" s="20" t="n">
        <v>0</v>
      </c>
      <c r="AII33" s="20" t="n">
        <v>0</v>
      </c>
      <c r="AIJ33" s="20" t="n">
        <v>0</v>
      </c>
      <c r="AIK33" s="20" t="n">
        <v>0</v>
      </c>
      <c r="AIL33" s="20" t="n">
        <v>0</v>
      </c>
      <c r="AIM33" s="20" t="n">
        <v>0</v>
      </c>
      <c r="AIN33" s="20" t="n">
        <v>0</v>
      </c>
      <c r="AIO33" s="20" t="n">
        <v>0</v>
      </c>
      <c r="AIP33" s="20" t="n">
        <v>0</v>
      </c>
      <c r="AIQ33" s="20" t="n">
        <v>0</v>
      </c>
      <c r="AIR33" s="20" t="n">
        <v>0</v>
      </c>
      <c r="AIS33" s="20" t="n">
        <v>0</v>
      </c>
      <c r="AIT33" s="20" t="n">
        <v>0</v>
      </c>
      <c r="AIU33" s="20" t="n">
        <v>0</v>
      </c>
      <c r="AIV33" s="20" t="n">
        <v>0</v>
      </c>
      <c r="AIW33" s="20" t="n">
        <v>0</v>
      </c>
      <c r="AIX33" s="20" t="n">
        <v>0</v>
      </c>
      <c r="AIY33" s="20" t="n">
        <v>0</v>
      </c>
      <c r="AIZ33" s="20" t="n">
        <v>0</v>
      </c>
      <c r="AJA33" s="20" t="n">
        <v>0</v>
      </c>
      <c r="AJB33" s="20" t="n">
        <v>0</v>
      </c>
      <c r="AJC33" s="20" t="n">
        <v>0</v>
      </c>
      <c r="AJD33" s="20" t="n">
        <v>0</v>
      </c>
      <c r="AJE33" s="20" t="n">
        <v>0</v>
      </c>
      <c r="AJF33" s="20" t="n">
        <v>0</v>
      </c>
      <c r="AJG33" s="20" t="n">
        <v>0</v>
      </c>
      <c r="AJH33" s="20" t="n">
        <v>0</v>
      </c>
      <c r="AJI33" s="20" t="n">
        <v>0</v>
      </c>
      <c r="AJJ33" s="20" t="n">
        <v>0</v>
      </c>
      <c r="AJK33" s="20" t="n">
        <v>0</v>
      </c>
      <c r="AJL33" s="20" t="n">
        <v>0</v>
      </c>
      <c r="AJM33" s="20" t="n">
        <v>0</v>
      </c>
      <c r="AJN33" s="20" t="n">
        <v>0</v>
      </c>
      <c r="AJO33" s="20" t="n">
        <v>0</v>
      </c>
      <c r="AJP33" s="20" t="n">
        <v>0</v>
      </c>
      <c r="AJQ33" s="20" t="n">
        <v>0</v>
      </c>
      <c r="AJR33" s="20" t="n">
        <v>0</v>
      </c>
      <c r="AJS33" s="20" t="n">
        <v>0</v>
      </c>
      <c r="AJT33" s="20" t="n">
        <v>0</v>
      </c>
      <c r="AJU33" s="20" t="n">
        <v>0</v>
      </c>
      <c r="AJV33" s="20" t="n">
        <v>0</v>
      </c>
      <c r="AJW33" s="20" t="n">
        <v>0</v>
      </c>
      <c r="AJX33" s="20" t="n">
        <v>0</v>
      </c>
      <c r="AJY33" s="20" t="n">
        <v>0</v>
      </c>
      <c r="AJZ33" s="20" t="n">
        <v>0</v>
      </c>
      <c r="AKA33" s="20" t="n">
        <v>0</v>
      </c>
      <c r="AKB33" s="20" t="n">
        <v>0</v>
      </c>
      <c r="AKC33" s="20" t="n">
        <v>0</v>
      </c>
      <c r="AKD33" s="20" t="n">
        <v>0</v>
      </c>
      <c r="AKE33" s="20" t="n">
        <v>0</v>
      </c>
      <c r="AKF33" s="20" t="n">
        <v>0</v>
      </c>
      <c r="AKG33" s="20" t="n">
        <v>0</v>
      </c>
      <c r="AKH33" s="20" t="n">
        <v>0</v>
      </c>
      <c r="AKI33" s="20" t="n">
        <v>0</v>
      </c>
      <c r="AKJ33" s="20" t="n">
        <v>0</v>
      </c>
      <c r="AKK33" s="20" t="n">
        <v>0</v>
      </c>
      <c r="AKL33" s="20" t="n">
        <v>0</v>
      </c>
      <c r="AKM33" s="20" t="n">
        <v>0</v>
      </c>
      <c r="AKN33" s="20" t="n">
        <v>0</v>
      </c>
      <c r="AKO33" s="20" t="n">
        <v>0</v>
      </c>
      <c r="AKP33" s="20" t="n">
        <v>0</v>
      </c>
      <c r="AKQ33" s="20" t="n">
        <v>0</v>
      </c>
      <c r="AKR33" s="20" t="n">
        <f aca="false">ADR33-AVE33</f>
        <v>0</v>
      </c>
      <c r="AKS33" s="20" t="n">
        <f aca="false">ADS33-AVF33</f>
        <v>0</v>
      </c>
      <c r="AKT33" s="20" t="n">
        <f aca="false">ADT33-AVG33</f>
        <v>0</v>
      </c>
      <c r="AKU33" s="20" t="n">
        <f aca="false">ADU33-AVH33</f>
        <v>0</v>
      </c>
      <c r="AKV33" s="20" t="n">
        <f aca="false">ADV33-AVI33</f>
        <v>0</v>
      </c>
      <c r="AKW33" s="20" t="n">
        <f aca="false">ADW33-AVJ33</f>
        <v>0</v>
      </c>
      <c r="AKX33" s="20" t="n">
        <f aca="false">ADX33-AVK33</f>
        <v>0</v>
      </c>
      <c r="AKY33" s="20" t="n">
        <f aca="false">ADY33-AVL33</f>
        <v>0</v>
      </c>
      <c r="AKZ33" s="20" t="n">
        <f aca="false">ADZ33-AVM33</f>
        <v>0</v>
      </c>
      <c r="ALA33" s="20" t="n">
        <f aca="false">AEA33-AVN33</f>
        <v>0</v>
      </c>
      <c r="ALB33" s="20" t="n">
        <f aca="false">AEB33-AVO33</f>
        <v>0</v>
      </c>
      <c r="ALC33" s="20" t="n">
        <f aca="false">AEC33-AVP33</f>
        <v>825.068712866201</v>
      </c>
      <c r="ALD33" s="20" t="n">
        <f aca="false">AED33-AVQ33</f>
        <v>1156.23682965075</v>
      </c>
      <c r="ALE33" s="20" t="n">
        <f aca="false">AEE33-AVR33</f>
        <v>1383.69232740628</v>
      </c>
      <c r="ALF33" s="20" t="n">
        <f aca="false">AEF33-AVS33</f>
        <v>1555.96933734347</v>
      </c>
      <c r="ALG33" s="20" t="n">
        <f aca="false">AEG33-AVT33</f>
        <v>1496.38840649578</v>
      </c>
      <c r="ALH33" s="20" t="n">
        <f aca="false">AEH33-AVU33</f>
        <v>1438.238440122</v>
      </c>
      <c r="ALI33" s="20" t="n">
        <f aca="false">AEI33-AVV33</f>
        <v>1381.48917758472</v>
      </c>
      <c r="ALJ33" s="20" t="n">
        <f aca="false">AEJ33-AVW33</f>
        <v>4293.65544771709</v>
      </c>
      <c r="ALK33" s="20" t="n">
        <f aca="false">AEK33-AVX33</f>
        <v>4211.08515064561</v>
      </c>
      <c r="ALL33" s="20" t="n">
        <f aca="false">AEL33-AVY33</f>
        <v>4600.95388386038</v>
      </c>
      <c r="ALM33" s="20" t="n">
        <f aca="false">AEM33-AVZ33</f>
        <v>4512.47400147845</v>
      </c>
      <c r="ALN33" s="20" t="n">
        <f aca="false">AEN33-AWA33</f>
        <v>4425.69565529617</v>
      </c>
      <c r="ALO33" s="20" t="n">
        <f aca="false">AEO33-AWB33</f>
        <v>4340.58612346355</v>
      </c>
      <c r="ALP33" s="20" t="n">
        <f aca="false">AEP33-AWC33</f>
        <v>4257.11331339695</v>
      </c>
      <c r="ALQ33" s="20" t="n">
        <f aca="false">AEQ33-AWD33</f>
        <v>4175.24574967777</v>
      </c>
      <c r="ALR33" s="20" t="n">
        <f aca="false">AER33-AWE33</f>
        <v>61946.6011896109</v>
      </c>
      <c r="ALS33" s="20" t="n">
        <v>0</v>
      </c>
      <c r="ALT33" s="20" t="n">
        <v>0</v>
      </c>
      <c r="ALU33" s="20" t="n">
        <v>0</v>
      </c>
      <c r="ALV33" s="20" t="n">
        <v>0</v>
      </c>
      <c r="ALW33" s="20" t="n">
        <v>0</v>
      </c>
      <c r="ALX33" s="20" t="n">
        <v>0</v>
      </c>
      <c r="ALY33" s="20" t="n">
        <v>0</v>
      </c>
      <c r="ALZ33" s="20" t="n">
        <v>0</v>
      </c>
      <c r="AMA33" s="20" t="n">
        <v>0</v>
      </c>
      <c r="AMB33" s="20" t="n">
        <v>0</v>
      </c>
      <c r="AMC33" s="20" t="n">
        <v>0</v>
      </c>
      <c r="AMD33" s="20" t="n">
        <v>0</v>
      </c>
      <c r="AME33" s="20" t="n">
        <v>0</v>
      </c>
      <c r="AMF33" s="20" t="n">
        <v>0</v>
      </c>
      <c r="AMG33" s="20" t="n">
        <v>0</v>
      </c>
      <c r="AMH33" s="20" t="n">
        <v>0</v>
      </c>
      <c r="AMI33" s="20" t="n">
        <v>0</v>
      </c>
      <c r="AMJ33" s="20" t="n">
        <v>0</v>
      </c>
      <c r="AMK33" s="20" t="n">
        <v>0</v>
      </c>
      <c r="AML33" s="20" t="n">
        <v>0</v>
      </c>
      <c r="AMM33" s="20" t="n">
        <v>0</v>
      </c>
      <c r="AMN33" s="20" t="n">
        <v>0</v>
      </c>
      <c r="AMO33" s="20" t="n">
        <v>0</v>
      </c>
      <c r="AMP33" s="20" t="n">
        <v>0</v>
      </c>
      <c r="AMQ33" s="20" t="n">
        <v>0</v>
      </c>
      <c r="AMR33" s="20" t="n">
        <v>0</v>
      </c>
      <c r="AMS33" s="20" t="n">
        <v>0</v>
      </c>
      <c r="AMT33" s="20" t="n">
        <v>0</v>
      </c>
      <c r="AMU33" s="20" t="n">
        <v>0</v>
      </c>
      <c r="AMV33" s="20" t="n">
        <v>0</v>
      </c>
      <c r="AMW33" s="20" t="n">
        <v>0</v>
      </c>
      <c r="AMX33" s="20" t="n">
        <v>0</v>
      </c>
      <c r="AMY33" s="20" t="n">
        <v>0</v>
      </c>
      <c r="AMZ33" s="20" t="n">
        <v>0</v>
      </c>
      <c r="ANA33" s="20" t="n">
        <v>0</v>
      </c>
      <c r="ANB33" s="20" t="n">
        <v>0</v>
      </c>
      <c r="ANC33" s="20" t="n">
        <v>0</v>
      </c>
      <c r="AND33" s="20" t="n">
        <v>0</v>
      </c>
      <c r="ANE33" s="20" t="n">
        <v>0</v>
      </c>
      <c r="ANF33" s="20" t="n">
        <v>0</v>
      </c>
      <c r="ANG33" s="20" t="n">
        <v>0</v>
      </c>
      <c r="ANH33" s="20" t="n">
        <v>0</v>
      </c>
      <c r="ANI33" s="20" t="n">
        <v>0</v>
      </c>
      <c r="ANJ33" s="20" t="n">
        <v>0</v>
      </c>
      <c r="ANK33" s="20" t="n">
        <v>0</v>
      </c>
      <c r="ANL33" s="20" t="n">
        <v>0</v>
      </c>
      <c r="ANM33" s="20" t="n">
        <v>0</v>
      </c>
      <c r="ANN33" s="20" t="n">
        <v>0</v>
      </c>
      <c r="ANO33" s="20" t="n">
        <v>0</v>
      </c>
      <c r="ANP33" s="20" t="n">
        <v>0</v>
      </c>
      <c r="ANQ33" s="20" t="n">
        <v>0</v>
      </c>
      <c r="ANR33" s="20" t="n">
        <v>0</v>
      </c>
      <c r="ANS33" s="20" t="n">
        <v>0</v>
      </c>
      <c r="ANT33" s="20" t="n">
        <v>0</v>
      </c>
      <c r="ANU33" s="20" t="n">
        <v>0</v>
      </c>
      <c r="ANV33" s="20" t="n">
        <v>0</v>
      </c>
      <c r="ANW33" s="20" t="n">
        <v>0</v>
      </c>
      <c r="ANX33" s="20" t="n">
        <v>0</v>
      </c>
      <c r="ANY33" s="20" t="n">
        <v>0</v>
      </c>
      <c r="ANZ33" s="20" t="n">
        <v>0</v>
      </c>
      <c r="AOA33" s="20" t="n">
        <v>0</v>
      </c>
      <c r="AOB33" s="20" t="n">
        <v>0</v>
      </c>
      <c r="AOC33" s="20" t="n">
        <v>0</v>
      </c>
      <c r="AOD33" s="20" t="n">
        <v>0</v>
      </c>
      <c r="AOE33" s="20" t="n">
        <f aca="false">IF(AND(H_Direct=0,H_TaxEvt=1,ARR32+1&gt;=H_Deemed),AKR33,AHE33)</f>
        <v>0</v>
      </c>
      <c r="AOF33" s="20" t="n">
        <f aca="false">IF(AND(H_Direct=0,H_TaxEvt=1,ARS32+1&gt;=H_Deemed),AKS33,AHF33)</f>
        <v>0</v>
      </c>
      <c r="AOG33" s="20" t="n">
        <f aca="false">IF(AND(H_Direct=0,H_TaxEvt=1,ART32+1&gt;=H_Deemed),AKT33,AHG33)</f>
        <v>0</v>
      </c>
      <c r="AOH33" s="20" t="n">
        <f aca="false">IF(AND(H_Direct=0,H_TaxEvt=1,ARU32+1&gt;=H_Deemed),AKU33,AHH33)</f>
        <v>0</v>
      </c>
      <c r="AOI33" s="20" t="n">
        <f aca="false">IF(AND(H_Direct=0,H_TaxEvt=1,ARV32+1&gt;=H_Deemed),AKV33,AHI33)</f>
        <v>0</v>
      </c>
      <c r="AOJ33" s="20" t="n">
        <f aca="false">IF(AND(H_Direct=0,H_TaxEvt=1,ARW32+1&gt;=H_Deemed),AKW33,AHJ33)</f>
        <v>0</v>
      </c>
      <c r="AOK33" s="20" t="n">
        <f aca="false">IF(AND(H_Direct=0,H_TaxEvt=1,ARX32+1&gt;=H_Deemed),AKX33,AHK33)</f>
        <v>0</v>
      </c>
      <c r="AOL33" s="20" t="n">
        <f aca="false">IF(AND(H_Direct=0,H_TaxEvt=1,ARY32+1&gt;=H_Deemed),AKY33,AHL33)</f>
        <v>0</v>
      </c>
      <c r="AOM33" s="20" t="n">
        <f aca="false">IF(AND(H_Direct=0,H_TaxEvt=1,ARZ32+1&gt;=H_Deemed),AKZ33,AHM33)</f>
        <v>0</v>
      </c>
      <c r="AON33" s="20" t="n">
        <f aca="false">IF(AND(H_Direct=0,H_TaxEvt=1,ASA32+1&gt;=H_Deemed),ALA33,AHN33)</f>
        <v>0</v>
      </c>
      <c r="AOO33" s="20" t="n">
        <f aca="false">IF(AND(H_Direct=0,H_TaxEvt=1,ASB32+1&gt;=H_Deemed),ALB33,AHO33)</f>
        <v>0</v>
      </c>
      <c r="AOP33" s="20" t="n">
        <f aca="false">IF(AND(H_Direct=0,H_TaxEvt=1,ASC32+1&gt;=H_Deemed),ALC33,AHP33)</f>
        <v>825.068712866201</v>
      </c>
      <c r="AOQ33" s="20" t="n">
        <f aca="false">IF(AND(H_Direct=0,H_TaxEvt=1,ASD32+1&gt;=H_Deemed),ALD33,AHQ33)</f>
        <v>878.644963131885</v>
      </c>
      <c r="AOR33" s="20" t="n">
        <f aca="false">IF(AND(H_Direct=0,H_TaxEvt=1,ASE32+1&gt;=H_Deemed),ALE33,AHR33)</f>
        <v>1093.55214549053</v>
      </c>
      <c r="AOS33" s="20" t="n">
        <f aca="false">IF(AND(H_Direct=0,H_TaxEvt=1,ASF32+1&gt;=H_Deemed),ALF33,AHS33)</f>
        <v>1278.89337564899</v>
      </c>
      <c r="AOT33" s="20" t="n">
        <f aca="false">IF(AND(H_Direct=0,H_TaxEvt=1,ASG32+1&gt;=H_Deemed),ALG33,AHT33)</f>
        <v>1279.11908128089</v>
      </c>
      <c r="AOU33" s="20" t="n">
        <f aca="false">IF(AND(H_Direct=0,H_TaxEvt=1,ASH32+1&gt;=H_Deemed),ALH33,AHU33)</f>
        <v>1278.58873616899</v>
      </c>
      <c r="AOV33" s="20" t="n">
        <f aca="false">IF(AND(H_Direct=0,H_TaxEvt=1,ASI32+1&gt;=H_Deemed),ALI33,AHV33)</f>
        <v>1277.26440235273</v>
      </c>
      <c r="AOW33" s="20" t="n">
        <f aca="false">IF(AND(H_Direct=0,H_TaxEvt=1,ASJ32+1&gt;=H_Deemed),ALJ33,AHW33)</f>
        <v>4128.51485357413</v>
      </c>
      <c r="AOX33" s="20" t="n">
        <f aca="false">IF(AND(H_Direct=0,H_TaxEvt=1,ASK32+1&gt;=H_Deemed),ALK33,AHX33)</f>
        <v>4211.08515064561</v>
      </c>
      <c r="AOY33" s="20" t="n">
        <f aca="false">IF(AND(H_Direct=0,H_TaxEvt=1,ASL32+1&gt;=H_Deemed),ALL33,AHY33)</f>
        <v>3496.34681406672</v>
      </c>
      <c r="AOZ33" s="20" t="n">
        <f aca="false">IF(AND(H_Direct=0,H_TaxEvt=1,ASM32+1&gt;=H_Deemed),ALM33,AHZ33)</f>
        <v>3566.27375034805</v>
      </c>
      <c r="APA33" s="20" t="n">
        <f aca="false">IF(AND(H_Direct=0,H_TaxEvt=1,ASN32+1&gt;=H_Deemed),ALN33,AIA33)</f>
        <v>3637.59922535501</v>
      </c>
      <c r="APB33" s="20" t="n">
        <f aca="false">IF(AND(H_Direct=0,H_TaxEvt=1,ASO32+1&gt;=H_Deemed),ALO33,AIB33)</f>
        <v>3710.35120986211</v>
      </c>
      <c r="APC33" s="20" t="n">
        <f aca="false">IF(AND(H_Direct=0,H_TaxEvt=1,ASP32+1&gt;=H_Deemed),ALP33,AIC33)</f>
        <v>3784.55823405936</v>
      </c>
      <c r="APD33" s="20" t="n">
        <f aca="false">IF(AND(H_Direct=0,H_TaxEvt=1,ASQ32+1&gt;=H_Deemed),ALQ33,AID33)</f>
        <v>3860.24939874054</v>
      </c>
      <c r="APE33" s="20" t="n">
        <f aca="false">IF(AND(H_Direct=0,H_TaxEvt=1,0+1&gt;=H_Deemed),ALR33,AIE33)</f>
        <v>59564.0396053951</v>
      </c>
      <c r="APF33" s="20" t="n">
        <v>0</v>
      </c>
      <c r="APG33" s="20" t="n">
        <v>0</v>
      </c>
      <c r="APH33" s="20" t="n">
        <v>0</v>
      </c>
      <c r="API33" s="20" t="n">
        <v>0</v>
      </c>
      <c r="APJ33" s="20" t="n">
        <v>0</v>
      </c>
      <c r="APK33" s="20" t="n">
        <v>0</v>
      </c>
      <c r="APL33" s="20" t="n">
        <v>0</v>
      </c>
      <c r="APM33" s="20" t="n">
        <v>0</v>
      </c>
      <c r="APN33" s="20" t="n">
        <v>0</v>
      </c>
      <c r="APO33" s="20" t="n">
        <v>0</v>
      </c>
      <c r="APP33" s="20" t="n">
        <v>0</v>
      </c>
      <c r="APQ33" s="20" t="n">
        <v>0</v>
      </c>
      <c r="APR33" s="20" t="n">
        <v>0</v>
      </c>
      <c r="APS33" s="20" t="n">
        <v>0</v>
      </c>
      <c r="APT33" s="20" t="n">
        <v>0</v>
      </c>
      <c r="APU33" s="20" t="n">
        <v>0</v>
      </c>
      <c r="APV33" s="20" t="n">
        <v>0</v>
      </c>
      <c r="APW33" s="20" t="n">
        <v>0</v>
      </c>
      <c r="APX33" s="20" t="n">
        <v>0</v>
      </c>
      <c r="APY33" s="20" t="n">
        <v>0</v>
      </c>
      <c r="APZ33" s="20" t="n">
        <v>0</v>
      </c>
      <c r="AQA33" s="20" t="n">
        <v>0</v>
      </c>
      <c r="AQB33" s="20" t="n">
        <v>0</v>
      </c>
      <c r="AQC33" s="20" t="n">
        <v>0</v>
      </c>
      <c r="AQD33" s="20" t="n">
        <v>0</v>
      </c>
      <c r="AQE33" s="20" t="n">
        <v>0</v>
      </c>
      <c r="AQF33" s="20" t="n">
        <v>0</v>
      </c>
      <c r="AQG33" s="20" t="n">
        <v>0</v>
      </c>
      <c r="AQH33" s="20" t="n">
        <v>0</v>
      </c>
      <c r="AQI33" s="20" t="n">
        <v>0</v>
      </c>
      <c r="AQJ33" s="20" t="n">
        <v>0</v>
      </c>
      <c r="AQK33" s="20" t="n">
        <v>0</v>
      </c>
      <c r="AQL33" s="20" t="n">
        <v>0</v>
      </c>
      <c r="AQM33" s="20" t="n">
        <v>0</v>
      </c>
      <c r="AQN33" s="20" t="n">
        <v>0</v>
      </c>
      <c r="AQO33" s="20" t="n">
        <v>0</v>
      </c>
      <c r="AQP33" s="20" t="n">
        <v>0</v>
      </c>
      <c r="AQQ33" s="20" t="n">
        <v>0</v>
      </c>
      <c r="AQR33" s="20" t="n">
        <v>0</v>
      </c>
      <c r="AQS33" s="20" t="n">
        <v>0</v>
      </c>
      <c r="AQT33" s="20" t="n">
        <v>0</v>
      </c>
      <c r="AQU33" s="20" t="n">
        <v>0</v>
      </c>
      <c r="AQV33" s="20" t="n">
        <v>0</v>
      </c>
      <c r="AQW33" s="20" t="n">
        <v>0</v>
      </c>
      <c r="AQX33" s="20" t="n">
        <v>0</v>
      </c>
      <c r="AQY33" s="20" t="n">
        <v>0</v>
      </c>
      <c r="AQZ33" s="20" t="n">
        <v>0</v>
      </c>
      <c r="ARA33" s="20" t="n">
        <v>0</v>
      </c>
      <c r="ARB33" s="20" t="n">
        <v>0</v>
      </c>
      <c r="ARC33" s="20" t="n">
        <v>0</v>
      </c>
      <c r="ARD33" s="20" t="n">
        <v>0</v>
      </c>
      <c r="ARE33" s="20" t="n">
        <v>0</v>
      </c>
      <c r="ARF33" s="20" t="n">
        <v>0</v>
      </c>
      <c r="ARG33" s="20" t="n">
        <v>0</v>
      </c>
      <c r="ARH33" s="20" t="n">
        <v>0</v>
      </c>
      <c r="ARI33" s="20" t="n">
        <v>0</v>
      </c>
      <c r="ARJ33" s="20" t="n">
        <v>0</v>
      </c>
      <c r="ARK33" s="20" t="n">
        <v>0</v>
      </c>
      <c r="ARL33" s="20" t="n">
        <v>0</v>
      </c>
      <c r="ARM33" s="20" t="n">
        <v>0</v>
      </c>
      <c r="ARN33" s="20" t="n">
        <v>0</v>
      </c>
      <c r="ARO33" s="20" t="n">
        <v>0</v>
      </c>
      <c r="ARP33" s="20" t="n">
        <v>0</v>
      </c>
      <c r="ARQ33" s="20" t="n">
        <v>0</v>
      </c>
      <c r="ARR33" s="20" t="n">
        <f aca="false">IF(AND(H_Direct=0,H_TaxEvt=1),IF(ARR32+1&gt;=H_Deemed,0,ARR32+1),ARR32)</f>
        <v>2</v>
      </c>
      <c r="ARS33" s="20" t="n">
        <f aca="false">IF(AND(H_Direct=0,H_TaxEvt=1),IF(ARS32+1&gt;=H_Deemed,0,ARS32+1),ARS32)</f>
        <v>2</v>
      </c>
      <c r="ART33" s="20" t="n">
        <f aca="false">IF(AND(H_Direct=0,H_TaxEvt=1),IF(ART32+1&gt;=H_Deemed,0,ART32+1),ART32)</f>
        <v>1</v>
      </c>
      <c r="ARU33" s="20" t="n">
        <f aca="false">IF(AND(H_Direct=0,H_TaxEvt=1),IF(ARU32+1&gt;=H_Deemed,0,ARU32+1),ARU32)</f>
        <v>0</v>
      </c>
      <c r="ARV33" s="20" t="n">
        <f aca="false">IF(AND(H_Direct=0,H_TaxEvt=1),IF(ARV32+1&gt;=H_Deemed,0,ARV32+1),ARV32)</f>
        <v>7</v>
      </c>
      <c r="ARW33" s="20" t="n">
        <f aca="false">IF(AND(H_Direct=0,H_TaxEvt=1),IF(ARW32+1&gt;=H_Deemed,0,ARW32+1),ARW32)</f>
        <v>6</v>
      </c>
      <c r="ARX33" s="20" t="n">
        <f aca="false">IF(AND(H_Direct=0,H_TaxEvt=1),IF(ARX32+1&gt;=H_Deemed,0,ARX32+1),ARX32)</f>
        <v>5</v>
      </c>
      <c r="ARY33" s="20" t="n">
        <f aca="false">IF(AND(H_Direct=0,H_TaxEvt=1),IF(ARY32+1&gt;=H_Deemed,0,ARY32+1),ARY32)</f>
        <v>4</v>
      </c>
      <c r="ARZ33" s="20" t="n">
        <f aca="false">IF(AND(H_Direct=0,H_TaxEvt=1),IF(ARZ32+1&gt;=H_Deemed,0,ARZ32+1),ARZ32)</f>
        <v>3</v>
      </c>
      <c r="ASA33" s="20" t="n">
        <f aca="false">IF(AND(H_Direct=0,H_TaxEvt=1),IF(ASA32+1&gt;=H_Deemed,0,ASA32+1),ASA32)</f>
        <v>2</v>
      </c>
      <c r="ASB33" s="20" t="n">
        <f aca="false">IF(AND(H_Direct=0,H_TaxEvt=1),IF(ASB32+1&gt;=H_Deemed,0,ASB32+1),ASB32)</f>
        <v>1</v>
      </c>
      <c r="ASC33" s="20" t="n">
        <f aca="false">IF(AND(H_Direct=0,H_TaxEvt=1),IF(ASC32+1&gt;=H_Deemed,0,ASC32+1),ASC32)</f>
        <v>0</v>
      </c>
      <c r="ASD33" s="20" t="n">
        <f aca="false">IF(AND(H_Direct=0,H_TaxEvt=1),IF(ASD32+1&gt;=H_Deemed,0,ASD32+1),ASD32)</f>
        <v>7</v>
      </c>
      <c r="ASE33" s="20" t="n">
        <f aca="false">IF(AND(H_Direct=0,H_TaxEvt=1),IF(ASE32+1&gt;=H_Deemed,0,ASE32+1),ASE32)</f>
        <v>6</v>
      </c>
      <c r="ASF33" s="20" t="n">
        <f aca="false">IF(AND(H_Direct=0,H_TaxEvt=1),IF(ASF32+1&gt;=H_Deemed,0,ASF32+1),ASF32)</f>
        <v>5</v>
      </c>
      <c r="ASG33" s="20" t="n">
        <f aca="false">IF(AND(H_Direct=0,H_TaxEvt=1),IF(ASG32+1&gt;=H_Deemed,0,ASG32+1),ASG32)</f>
        <v>4</v>
      </c>
      <c r="ASH33" s="20" t="n">
        <f aca="false">IF(AND(H_Direct=0,H_TaxEvt=1),IF(ASH32+1&gt;=H_Deemed,0,ASH32+1),ASH32)</f>
        <v>3</v>
      </c>
      <c r="ASI33" s="20" t="n">
        <f aca="false">IF(AND(H_Direct=0,H_TaxEvt=1),IF(ASI32+1&gt;=H_Deemed,0,ASI32+1),ASI32)</f>
        <v>2</v>
      </c>
      <c r="ASJ33" s="20" t="n">
        <f aca="false">IF(AND(H_Direct=0,H_TaxEvt=1),IF(ASJ32+1&gt;=H_Deemed,0,ASJ32+1),ASJ32)</f>
        <v>1</v>
      </c>
      <c r="ASK33" s="20" t="n">
        <f aca="false">IF(AND(H_Direct=0,H_TaxEvt=1),IF(ASK32+1&gt;=H_Deemed,0,ASK32+1),ASK32)</f>
        <v>0</v>
      </c>
      <c r="ASL33" s="20" t="n">
        <f aca="false">IF(AND(H_Direct=0,H_TaxEvt=1),IF(ASL32+1&gt;=H_Deemed,0,ASL32+1),ASL32)</f>
        <v>7</v>
      </c>
      <c r="ASM33" s="20" t="n">
        <f aca="false">IF(AND(H_Direct=0,H_TaxEvt=1),IF(ASM32+1&gt;=H_Deemed,0,ASM32+1),ASM32)</f>
        <v>6</v>
      </c>
      <c r="ASN33" s="20" t="n">
        <f aca="false">IF(AND(H_Direct=0,H_TaxEvt=1),IF(ASN32+1&gt;=H_Deemed,0,ASN32+1),ASN32)</f>
        <v>5</v>
      </c>
      <c r="ASO33" s="20" t="n">
        <f aca="false">IF(AND(H_Direct=0,H_TaxEvt=1),IF(ASO32+1&gt;=H_Deemed,0,ASO32+1),ASO32)</f>
        <v>4</v>
      </c>
      <c r="ASP33" s="20" t="n">
        <f aca="false">IF(AND(H_Direct=0,H_TaxEvt=1),IF(ASP32+1&gt;=H_Deemed,0,ASP32+1),ASP32)</f>
        <v>3</v>
      </c>
      <c r="ASQ33" s="20" t="n">
        <f aca="false">IF(AND(H_Direct=0,H_TaxEvt=1),IF(ASQ32+1&gt;=H_Deemed,0,ASQ32+1),ASQ32)</f>
        <v>2</v>
      </c>
      <c r="ASR33" s="20" t="n">
        <f aca="false">IF(AND(H_Direct=0,H_TaxEvt=1),IF(0+1&gt;=H_Deemed,0,0+1),0)</f>
        <v>1</v>
      </c>
      <c r="ASS33" s="20" t="n">
        <v>0</v>
      </c>
      <c r="AST33" s="20" t="n">
        <v>0</v>
      </c>
      <c r="ASU33" s="20" t="n">
        <v>0</v>
      </c>
      <c r="ASV33" s="20" t="n">
        <v>0</v>
      </c>
      <c r="ASW33" s="20" t="n">
        <v>0</v>
      </c>
      <c r="ASX33" s="20" t="n">
        <v>0</v>
      </c>
      <c r="ASY33" s="20" t="n">
        <v>0</v>
      </c>
      <c r="ASZ33" s="20" t="n">
        <v>0</v>
      </c>
      <c r="ATA33" s="20" t="n">
        <v>0</v>
      </c>
      <c r="ATB33" s="20" t="n">
        <v>0</v>
      </c>
      <c r="ATC33" s="20" t="n">
        <v>0</v>
      </c>
      <c r="ATD33" s="20" t="n">
        <v>0</v>
      </c>
      <c r="ATE33" s="20" t="n">
        <v>0</v>
      </c>
      <c r="ATF33" s="20" t="n">
        <v>0</v>
      </c>
      <c r="ATG33" s="20" t="n">
        <v>0</v>
      </c>
      <c r="ATH33" s="20" t="n">
        <v>0</v>
      </c>
      <c r="ATI33" s="20" t="n">
        <v>0</v>
      </c>
      <c r="ATJ33" s="20" t="n">
        <v>0</v>
      </c>
      <c r="ATK33" s="20" t="n">
        <v>0</v>
      </c>
      <c r="ATL33" s="20" t="n">
        <v>0</v>
      </c>
      <c r="ATM33" s="20" t="n">
        <v>0</v>
      </c>
      <c r="ATN33" s="20" t="n">
        <v>0</v>
      </c>
      <c r="ATO33" s="20" t="n">
        <v>0</v>
      </c>
      <c r="ATP33" s="20" t="n">
        <v>0</v>
      </c>
      <c r="ATQ33" s="20" t="n">
        <v>0</v>
      </c>
      <c r="ATR33" s="20" t="n">
        <v>0</v>
      </c>
      <c r="ATS33" s="20" t="n">
        <v>0</v>
      </c>
      <c r="ATT33" s="20" t="n">
        <v>0</v>
      </c>
      <c r="ATU33" s="20" t="n">
        <v>0</v>
      </c>
      <c r="ATV33" s="20" t="n">
        <v>0</v>
      </c>
      <c r="ATW33" s="20" t="n">
        <v>0</v>
      </c>
      <c r="ATX33" s="20" t="n">
        <v>0</v>
      </c>
      <c r="ATY33" s="20" t="n">
        <v>0</v>
      </c>
      <c r="ATZ33" s="20" t="n">
        <v>0</v>
      </c>
      <c r="AUA33" s="20" t="n">
        <v>0</v>
      </c>
      <c r="AUB33" s="20" t="n">
        <v>0</v>
      </c>
      <c r="AUC33" s="20" t="n">
        <v>0</v>
      </c>
      <c r="AUD33" s="20" t="n">
        <v>0</v>
      </c>
      <c r="AUE33" s="20" t="n">
        <v>0</v>
      </c>
      <c r="AUF33" s="20" t="n">
        <v>0</v>
      </c>
      <c r="AUG33" s="20" t="n">
        <v>0</v>
      </c>
      <c r="AUH33" s="20" t="n">
        <v>0</v>
      </c>
      <c r="AUI33" s="20" t="n">
        <v>0</v>
      </c>
      <c r="AUJ33" s="20" t="n">
        <v>0</v>
      </c>
      <c r="AUK33" s="20" t="n">
        <v>0</v>
      </c>
      <c r="AUL33" s="20" t="n">
        <v>0</v>
      </c>
      <c r="AUM33" s="20" t="n">
        <v>0</v>
      </c>
      <c r="AUN33" s="20" t="n">
        <v>0</v>
      </c>
      <c r="AUO33" s="20" t="n">
        <v>0</v>
      </c>
      <c r="AUP33" s="20" t="n">
        <v>0</v>
      </c>
      <c r="AUQ33" s="20" t="n">
        <v>0</v>
      </c>
      <c r="AUR33" s="20" t="n">
        <v>0</v>
      </c>
      <c r="AUS33" s="20" t="n">
        <v>0</v>
      </c>
      <c r="AUT33" s="20" t="n">
        <v>0</v>
      </c>
      <c r="AUU33" s="20" t="n">
        <v>0</v>
      </c>
      <c r="AUV33" s="20" t="n">
        <v>0</v>
      </c>
      <c r="AUW33" s="20" t="n">
        <v>0</v>
      </c>
      <c r="AUX33" s="20" t="n">
        <v>0</v>
      </c>
      <c r="AUY33" s="20" t="n">
        <v>0</v>
      </c>
      <c r="AUZ33" s="20" t="n">
        <v>0</v>
      </c>
      <c r="AVA33" s="20" t="n">
        <v>0</v>
      </c>
      <c r="AVB33" s="20" t="n">
        <v>0</v>
      </c>
      <c r="AVC33" s="20" t="n">
        <v>0</v>
      </c>
      <c r="AVD33" s="20" t="n">
        <v>0</v>
      </c>
      <c r="AVE33" s="20" t="n">
        <f aca="false">IF(AND(H_Direct=0,H_TaxEvt=1,ARR32+1&gt;=H_Deemed),MAX(0,ADR33-AHE33)*H_Exit,0)</f>
        <v>0</v>
      </c>
      <c r="AVF33" s="20" t="n">
        <f aca="false">IF(AND(H_Direct=0,H_TaxEvt=1,ARS32+1&gt;=H_Deemed),MAX(0,ADS33-AHF33)*H_Exit,0)</f>
        <v>0</v>
      </c>
      <c r="AVG33" s="20" t="n">
        <f aca="false">IF(AND(H_Direct=0,H_TaxEvt=1,ART32+1&gt;=H_Deemed),MAX(0,ADT33-AHG33)*H_Exit,0)</f>
        <v>0</v>
      </c>
      <c r="AVH33" s="20" t="n">
        <f aca="false">IF(AND(H_Direct=0,H_TaxEvt=1,ARU32+1&gt;=H_Deemed),MAX(0,ADU33-AHH33)*H_Exit,0)</f>
        <v>0</v>
      </c>
      <c r="AVI33" s="20" t="n">
        <f aca="false">IF(AND(H_Direct=0,H_TaxEvt=1,ARV32+1&gt;=H_Deemed),MAX(0,ADV33-AHI33)*H_Exit,0)</f>
        <v>0</v>
      </c>
      <c r="AVJ33" s="20" t="n">
        <f aca="false">IF(AND(H_Direct=0,H_TaxEvt=1,ARW32+1&gt;=H_Deemed),MAX(0,ADW33-AHJ33)*H_Exit,0)</f>
        <v>0</v>
      </c>
      <c r="AVK33" s="20" t="n">
        <f aca="false">IF(AND(H_Direct=0,H_TaxEvt=1,ARX32+1&gt;=H_Deemed),MAX(0,ADX33-AHK33)*H_Exit,0)</f>
        <v>0</v>
      </c>
      <c r="AVL33" s="20" t="n">
        <f aca="false">IF(AND(H_Direct=0,H_TaxEvt=1,ARY32+1&gt;=H_Deemed),MAX(0,ADY33-AHL33)*H_Exit,0)</f>
        <v>0</v>
      </c>
      <c r="AVM33" s="20" t="n">
        <f aca="false">IF(AND(H_Direct=0,H_TaxEvt=1,ARZ32+1&gt;=H_Deemed),MAX(0,ADZ33-AHM33)*H_Exit,0)</f>
        <v>0</v>
      </c>
      <c r="AVN33" s="20" t="n">
        <f aca="false">IF(AND(H_Direct=0,H_TaxEvt=1,ASA32+1&gt;=H_Deemed),MAX(0,AEA33-AHN33)*H_Exit,0)</f>
        <v>0</v>
      </c>
      <c r="AVO33" s="20" t="n">
        <f aca="false">IF(AND(H_Direct=0,H_TaxEvt=1,ASB32+1&gt;=H_Deemed),MAX(0,AEB33-AHO33)*H_Exit,0)</f>
        <v>0</v>
      </c>
      <c r="AVP33" s="20" t="n">
        <f aca="false">IF(AND(H_Direct=0,H_TaxEvt=1,ASC32+1&gt;=H_Deemed),MAX(0,AEC33-AHP33)*H_Exit,0)</f>
        <v>94.0617142201215</v>
      </c>
      <c r="AVQ33" s="20" t="n">
        <f aca="false">IF(AND(H_Direct=0,H_TaxEvt=1,ASD32+1&gt;=H_Deemed),MAX(0,AED33-AHQ33)*H_Exit,0)</f>
        <v>0</v>
      </c>
      <c r="AVR33" s="20" t="n">
        <f aca="false">IF(AND(H_Direct=0,H_TaxEvt=1,ASE32+1&gt;=H_Deemed),MAX(0,AEE33-AHR33)*H_Exit,0)</f>
        <v>0</v>
      </c>
      <c r="AVS33" s="20" t="n">
        <f aca="false">IF(AND(H_Direct=0,H_TaxEvt=1,ASF32+1&gt;=H_Deemed),MAX(0,AEF33-AHS33)*H_Exit,0)</f>
        <v>0</v>
      </c>
      <c r="AVT33" s="20" t="n">
        <f aca="false">IF(AND(H_Direct=0,H_TaxEvt=1,ASG32+1&gt;=H_Deemed),MAX(0,AEG33-AHT33)*H_Exit,0)</f>
        <v>0</v>
      </c>
      <c r="AVU33" s="20" t="n">
        <f aca="false">IF(AND(H_Direct=0,H_TaxEvt=1,ASH32+1&gt;=H_Deemed),MAX(0,AEH33-AHU33)*H_Exit,0)</f>
        <v>0</v>
      </c>
      <c r="AVV33" s="20" t="n">
        <f aca="false">IF(AND(H_Direct=0,H_TaxEvt=1,ASI32+1&gt;=H_Deemed),MAX(0,AEI33-AHV33)*H_Exit,0)</f>
        <v>0</v>
      </c>
      <c r="AVW33" s="20" t="n">
        <f aca="false">IF(AND(H_Direct=0,H_TaxEvt=1,ASJ32+1&gt;=H_Deemed),MAX(0,AEJ33-AHW33)*H_Exit,0)</f>
        <v>0</v>
      </c>
      <c r="AVX33" s="20" t="n">
        <f aca="false">IF(AND(H_Direct=0,H_TaxEvt=1,ASK32+1&gt;=H_Deemed),MAX(0,AEK33-AHX33)*H_Exit,0)</f>
        <v>480.083515251243</v>
      </c>
      <c r="AVY33" s="20" t="n">
        <f aca="false">IF(AND(H_Direct=0,H_TaxEvt=1,ASL32+1&gt;=H_Deemed),MAX(0,AEL33-AHY33)*H_Exit,0)</f>
        <v>0</v>
      </c>
      <c r="AVZ33" s="20" t="n">
        <f aca="false">IF(AND(H_Direct=0,H_TaxEvt=1,ASM32+1&gt;=H_Deemed),MAX(0,AEM33-AHZ33)*H_Exit,0)</f>
        <v>0</v>
      </c>
      <c r="AWA33" s="20" t="n">
        <f aca="false">IF(AND(H_Direct=0,H_TaxEvt=1,ASN32+1&gt;=H_Deemed),MAX(0,AEN33-AIA33)*H_Exit,0)</f>
        <v>0</v>
      </c>
      <c r="AWB33" s="20" t="n">
        <f aca="false">IF(AND(H_Direct=0,H_TaxEvt=1,ASO32+1&gt;=H_Deemed),MAX(0,AEO33-AIB33)*H_Exit,0)</f>
        <v>0</v>
      </c>
      <c r="AWC33" s="20" t="n">
        <f aca="false">IF(AND(H_Direct=0,H_TaxEvt=1,ASP32+1&gt;=H_Deemed),MAX(0,AEP33-AIC33)*H_Exit,0)</f>
        <v>0</v>
      </c>
      <c r="AWD33" s="20" t="n">
        <f aca="false">IF(AND(H_Direct=0,H_TaxEvt=1,ASQ32+1&gt;=H_Deemed),MAX(0,AEQ33-AID33)*H_Exit,0)</f>
        <v>0</v>
      </c>
      <c r="AWE33" s="20" t="n">
        <f aca="false">IF(AND(H_Direct=0,H_TaxEvt=1,0+1&gt;=H_Deemed),MAX(0,AER33-AIE33)*H_Exit,0)</f>
        <v>0</v>
      </c>
      <c r="AWF33" s="20" t="n">
        <v>0</v>
      </c>
      <c r="AWG33" s="20" t="n">
        <v>0</v>
      </c>
      <c r="AWH33" s="20" t="n">
        <v>0</v>
      </c>
      <c r="AWI33" s="20" t="n">
        <v>0</v>
      </c>
      <c r="AWJ33" s="20" t="n">
        <v>0</v>
      </c>
      <c r="AWK33" s="20" t="n">
        <v>0</v>
      </c>
      <c r="AWL33" s="20" t="n">
        <v>0</v>
      </c>
      <c r="AWM33" s="20" t="n">
        <v>0</v>
      </c>
      <c r="AWN33" s="20" t="n">
        <v>0</v>
      </c>
      <c r="AWO33" s="20" t="n">
        <v>0</v>
      </c>
      <c r="AWP33" s="20" t="n">
        <v>0</v>
      </c>
      <c r="AWQ33" s="20" t="n">
        <v>0</v>
      </c>
      <c r="AWR33" s="20" t="n">
        <v>0</v>
      </c>
      <c r="AWS33" s="20" t="n">
        <v>0</v>
      </c>
      <c r="AWT33" s="20" t="n">
        <v>0</v>
      </c>
      <c r="AWU33" s="20" t="n">
        <v>0</v>
      </c>
      <c r="AWV33" s="20" t="n">
        <v>0</v>
      </c>
      <c r="AWW33" s="20" t="n">
        <v>0</v>
      </c>
      <c r="AWX33" s="20" t="n">
        <v>0</v>
      </c>
      <c r="AWY33" s="20" t="n">
        <v>0</v>
      </c>
      <c r="AWZ33" s="20" t="n">
        <v>0</v>
      </c>
      <c r="AXA33" s="20" t="n">
        <v>0</v>
      </c>
      <c r="AXB33" s="20" t="n">
        <v>0</v>
      </c>
      <c r="AXC33" s="20" t="n">
        <v>0</v>
      </c>
      <c r="AXD33" s="20" t="n">
        <v>0</v>
      </c>
      <c r="AXE33" s="20" t="n">
        <v>0</v>
      </c>
      <c r="AXF33" s="20" t="n">
        <v>0</v>
      </c>
      <c r="AXG33" s="20" t="n">
        <v>0</v>
      </c>
      <c r="AXH33" s="20" t="n">
        <v>0</v>
      </c>
      <c r="AXI33" s="20" t="n">
        <v>0</v>
      </c>
      <c r="AXJ33" s="20" t="n">
        <v>0</v>
      </c>
      <c r="AXK33" s="20" t="n">
        <v>0</v>
      </c>
      <c r="AXL33" s="20" t="n">
        <v>0</v>
      </c>
      <c r="AXM33" s="20" t="n">
        <v>0</v>
      </c>
      <c r="AXN33" s="20" t="n">
        <v>0</v>
      </c>
      <c r="AXO33" s="20" t="n">
        <v>0</v>
      </c>
      <c r="AXP33" s="20" t="n">
        <v>0</v>
      </c>
      <c r="AXQ33" s="20" t="n">
        <v>0</v>
      </c>
      <c r="AXR33" s="20" t="n">
        <v>0</v>
      </c>
      <c r="AXS33" s="20" t="n">
        <v>0</v>
      </c>
      <c r="AXT33" s="20" t="n">
        <v>0</v>
      </c>
      <c r="AXU33" s="20" t="n">
        <v>0</v>
      </c>
      <c r="AXV33" s="20" t="n">
        <v>0</v>
      </c>
      <c r="AXW33" s="20" t="n">
        <v>0</v>
      </c>
      <c r="AXX33" s="20" t="n">
        <v>0</v>
      </c>
      <c r="AXY33" s="20" t="n">
        <v>0</v>
      </c>
      <c r="AXZ33" s="20" t="n">
        <v>0</v>
      </c>
      <c r="AYA33" s="20" t="n">
        <v>0</v>
      </c>
      <c r="AYB33" s="20" t="n">
        <v>0</v>
      </c>
      <c r="AYC33" s="20" t="n">
        <v>0</v>
      </c>
      <c r="AYD33" s="20" t="n">
        <v>0</v>
      </c>
      <c r="AYE33" s="20" t="n">
        <v>0</v>
      </c>
      <c r="AYF33" s="20" t="n">
        <v>0</v>
      </c>
      <c r="AYG33" s="20" t="n">
        <v>0</v>
      </c>
      <c r="AYH33" s="20" t="n">
        <v>0</v>
      </c>
      <c r="AYI33" s="20" t="n">
        <v>0</v>
      </c>
      <c r="AYJ33" s="20" t="n">
        <v>0</v>
      </c>
      <c r="AYK33" s="20" t="n">
        <v>0</v>
      </c>
      <c r="AYL33" s="20" t="n">
        <v>0</v>
      </c>
      <c r="AYM33" s="20" t="n">
        <v>0</v>
      </c>
      <c r="AYN33" s="20" t="n">
        <v>0</v>
      </c>
      <c r="AYO33" s="20" t="n">
        <v>0</v>
      </c>
      <c r="AYP33" s="20" t="n">
        <v>0</v>
      </c>
      <c r="AYQ33" s="20" t="n">
        <v>0</v>
      </c>
    </row>
    <row r="34" customFormat="false" ht="15" hidden="false" customHeight="false" outlineLevel="0" collapsed="false">
      <c r="B34" s="20" t="n">
        <v>26</v>
      </c>
      <c r="C34" s="20" t="n">
        <f aca="false">'Plan cashflow'!C34</f>
        <v>1</v>
      </c>
      <c r="D34" s="20" t="n">
        <f aca="false">'Plan cashflow'!D34</f>
        <v>64</v>
      </c>
      <c r="E34" s="20" t="n">
        <f aca="false">AS_Year0+26</f>
        <v>2052</v>
      </c>
      <c r="F34" s="50" t="n">
        <f aca="false">'Plan cashflow'!F34</f>
        <v>1.67341811435403</v>
      </c>
      <c r="G34" s="59" t="n">
        <f aca="true">IF(MAX(TODAY(),DATE(E34,1,1))&gt;=H_CGTfrom,H_CGT1,H_CGT0)</f>
        <v>0.31</v>
      </c>
      <c r="H34" s="20" t="n">
        <f aca="false">H_Exempt*H_Persons</f>
        <v>1270</v>
      </c>
      <c r="I34" s="20" t="n">
        <f aca="false">AX33</f>
        <v>0</v>
      </c>
      <c r="J34" s="60" t="n">
        <f aca="false">BF33</f>
        <v>125669.786368659</v>
      </c>
      <c r="K34" s="60" t="n">
        <f aca="false">BG33</f>
        <v>0</v>
      </c>
      <c r="L34" s="20" t="n">
        <f aca="false">IF(AND(In_polLump&gt;0,In_polLumpAge&gt;0,D34=In_polLumpAge),In_polLump,0)</f>
        <v>0</v>
      </c>
      <c r="M34" s="20" t="n">
        <f aca="false">IF(AND(In_homeUse="Yes, I'd downsize",In_downAge&gt;0,D34=In_downAge,OR(In_home="Own outright",In_home="Own with mortgage"),In_homeValue&gt;0),MAX(0,MAX(0,In_homeValue-In_downValue)*F34*0.9-'Plan cashflow'!HR33),0)</f>
        <v>0</v>
      </c>
      <c r="N34" s="20" t="n">
        <f aca="false">'Plan pay &amp; tax'!Y260</f>
        <v>0</v>
      </c>
      <c r="O34" s="20" t="n">
        <f aca="false">L34+M34+(1-H_Sh)*N34</f>
        <v>0</v>
      </c>
      <c r="P34" s="20" t="n">
        <f aca="false">H_Sh*N34</f>
        <v>0</v>
      </c>
      <c r="Q34" s="20" t="n">
        <f aca="false">'Plan cashflow'!UL34</f>
        <v>0</v>
      </c>
      <c r="R34" s="20" t="n">
        <f aca="false">(1-H_Sh)*Q34</f>
        <v>0</v>
      </c>
      <c r="S34" s="20" t="n">
        <f aca="false">H_Sh*Q34</f>
        <v>0</v>
      </c>
      <c r="T34" s="20" t="n">
        <f aca="false">J34+K34+O34</f>
        <v>125669.786368659</v>
      </c>
      <c r="U34" s="20" t="n">
        <f aca="false">T34+R34</f>
        <v>125669.786368659</v>
      </c>
      <c r="V34" s="60" t="n">
        <f aca="false">SUM(FE34:IQ34)</f>
        <v>102910.962993317</v>
      </c>
      <c r="W34" s="60" t="n">
        <f aca="false">IF(AJ34&lt;=0,0,IF(AL34&lt;=0,AJ34,AJ34-G34*MAX(0,AL34*AJ34-(AY34+AZ34))))</f>
        <v>0</v>
      </c>
      <c r="X34" s="60" t="n">
        <f aca="false">IF(AR34&lt;=0,0,IF(AT34&lt;=0,AR34,AR34-G34*MAX(0,AT34*AR34-(BA34+BB34))))</f>
        <v>0</v>
      </c>
      <c r="Y34" s="60" t="n">
        <f aca="false">T34+V34-S34+W34+X34</f>
        <v>228580.749361976</v>
      </c>
      <c r="Z34" s="60" t="n">
        <f aca="false">'Plan cashflow'!UK34</f>
        <v>21353.8537723578</v>
      </c>
      <c r="AA34" s="20" t="n">
        <f aca="false">MIN(Z34,U34)</f>
        <v>21353.8537723578</v>
      </c>
      <c r="AB34" s="20" t="n">
        <f aca="false">Z34-AA34</f>
        <v>0</v>
      </c>
      <c r="AC34" s="20" t="n">
        <f aca="false">MIN(AA34,J34+O34+R34)</f>
        <v>21353.8537723578</v>
      </c>
      <c r="AD34" s="20" t="n">
        <f aca="false">AA34-AC34</f>
        <v>0</v>
      </c>
      <c r="AE34" s="20" t="n">
        <f aca="false">J34+O34+R34-AC34</f>
        <v>104315.932596301</v>
      </c>
      <c r="AF34" s="20" t="n">
        <f aca="false">K34-AD34</f>
        <v>0</v>
      </c>
      <c r="AG34" s="20" t="n">
        <f aca="false">SUM(PR34:TD34)</f>
        <v>0</v>
      </c>
      <c r="AH34" s="20" t="n">
        <f aca="false">SUM(TE34:WQ34)</f>
        <v>0</v>
      </c>
      <c r="AI34" s="20" t="n">
        <f aca="false">MAX(0,AB34-AG34)</f>
        <v>0</v>
      </c>
      <c r="AJ34" s="57" t="n">
        <f aca="false">BI33</f>
        <v>0</v>
      </c>
      <c r="AK34" s="20" t="n">
        <f aca="false">BJ33</f>
        <v>0</v>
      </c>
      <c r="AL34" s="20" t="n">
        <f aca="false">IF(AJ34&gt;0,(AJ34-AK34)/AJ34,0)</f>
        <v>0</v>
      </c>
      <c r="AM34" s="20" t="n">
        <f aca="false">IF(AJ34&lt;=0,0,IF(AL34&lt;=0,MIN(AI34,AJ34),MIN(AI34,AJ34-G34*MAX(0,AL34*AJ34-(AAD34+ADQ34)))))</f>
        <v>0</v>
      </c>
      <c r="AN34" s="20" t="n">
        <f aca="false">IF(AJ34&lt;=0,0,IF(AL34&lt;=0,AM34,IF(AM34&lt;=(AAD34+ADQ34)/AL34,AM34,(AM34-G34*(AAD34+ADQ34))/(1-G34*AL34))))</f>
        <v>0</v>
      </c>
      <c r="AO34" s="20" t="n">
        <f aca="false">IF(AL34&gt;0,MAX(0,AAD34-(MIN(AL34*AN34,(AAD34+ADQ34))-MIN(MIN(AL34*AN34,(AAD34+ADQ34)),ADQ34))),AAD34)</f>
        <v>1270</v>
      </c>
      <c r="AP34" s="20" t="n">
        <f aca="false">IF(AL34&lt;=0,ADQ34-AL34*AN34,ADQ34-MIN(MIN(AL34*AN34,(AAD34+ADQ34)),ADQ34))</f>
        <v>0</v>
      </c>
      <c r="AQ34" s="20" t="n">
        <f aca="false">MAX(0,AI34-AM34)</f>
        <v>0</v>
      </c>
      <c r="AR34" s="57" t="n">
        <f aca="false">BK33</f>
        <v>0</v>
      </c>
      <c r="AS34" s="20" t="n">
        <f aca="false">BL33</f>
        <v>0</v>
      </c>
      <c r="AT34" s="20" t="n">
        <f aca="false">IF(AR34&gt;0,(AR34-AS34)/AR34,0)</f>
        <v>0</v>
      </c>
      <c r="AU34" s="20" t="n">
        <f aca="false">IF(AR34&lt;=0,0,IF(AT34&lt;=0,MIN(AQ34,AR34),MIN(AQ34,AR34-G34*MAX(0,AT34*AR34-(AO34+AP34)))))</f>
        <v>0</v>
      </c>
      <c r="AV34" s="20" t="n">
        <f aca="false">IF(AR34&lt;=0,0,IF(AT34&lt;=0,AU34,IF(AU34&lt;=(AO34+AP34)/AT34,AU34,(AU34-G34*(AO34+AP34))/(1-G34*AT34))))</f>
        <v>0</v>
      </c>
      <c r="AW34" s="20" t="n">
        <f aca="false">IF(AT34&gt;0,MAX(0,AO34-(MIN(AT34*AV34,(AO34+AP34))-MIN(MIN(AT34*AV34,(AO34+AP34)),AP34))),AO34)</f>
        <v>1270</v>
      </c>
      <c r="AX34" s="20" t="n">
        <f aca="false">IF(AT34&lt;=0,AP34-AT34*AV34,AP34-MIN(MIN(AT34*AV34,(AO34+AP34)),AP34))</f>
        <v>0</v>
      </c>
      <c r="AY34" s="20" t="n">
        <f aca="false">MD34</f>
        <v>1270</v>
      </c>
      <c r="AZ34" s="20" t="n">
        <f aca="false">PQ34</f>
        <v>0</v>
      </c>
      <c r="BA34" s="20" t="n">
        <f aca="false">IF(AL34&gt;0,MAX(0,AY34-(MIN(AL34*AJ34,AY34+AZ34)-MIN(MIN(AL34*AJ34,AY34+AZ34),AZ34))),AY34)</f>
        <v>1270</v>
      </c>
      <c r="BB34" s="20" t="n">
        <f aca="false">IF(AL34&lt;=0,AZ34-AL34*AJ34,AZ34-MIN(MIN(AL34*AJ34,AY34+AZ34),AZ34))</f>
        <v>0</v>
      </c>
      <c r="BC34" s="20" t="n">
        <f aca="false">'Plan cashflow'!UM34</f>
        <v>0</v>
      </c>
      <c r="BD34" s="20" t="n">
        <f aca="false">(1-H_Sh)*BC34</f>
        <v>0</v>
      </c>
      <c r="BE34" s="20" t="n">
        <f aca="false">H_Sh*BC34</f>
        <v>0</v>
      </c>
      <c r="BF34" s="60" t="n">
        <f aca="false">(AE34+BD34)*(1+AS_Cash)</f>
        <v>105359.091922264</v>
      </c>
      <c r="BG34" s="60" t="n">
        <f aca="false">AF34*(1+AS_Cash)</f>
        <v>0</v>
      </c>
      <c r="BH34" s="60" t="n">
        <f aca="false">SUM(AKR34:AOD34)</f>
        <v>109627.768601837</v>
      </c>
      <c r="BI34" s="60" t="n">
        <f aca="false">(AJ34-AN34)*(1+AS_Infl)</f>
        <v>0</v>
      </c>
      <c r="BJ34" s="20" t="n">
        <f aca="false">IF(AJ34&gt;0,AK34-AK34*AN34/AJ34,0)</f>
        <v>0</v>
      </c>
      <c r="BK34" s="60" t="n">
        <f aca="false">(AR34-AV34)*(1+BQ34)</f>
        <v>0</v>
      </c>
      <c r="BL34" s="20" t="n">
        <f aca="false">IF(AR34&gt;0,AS34-AS34*AV34/AR34,0)</f>
        <v>0</v>
      </c>
      <c r="BM34" s="60" t="n">
        <f aca="false">BF34+BG34+BH34+BI34+BK34</f>
        <v>214986.8605241</v>
      </c>
      <c r="BN34" s="60" t="n">
        <f aca="false">(AH34-AG34)+(AN34-AM34)+(AV34-AU34)</f>
        <v>0</v>
      </c>
      <c r="BO34" s="20" t="n">
        <f aca="false">(AE34+BD34+AF34+MAX(0,'Plan cashflow'!QH34)+IF(Slot1_Rate=AS_Cash,'Plan cashflow'!QM34/(1+AS_Cash),0)+IF(Slot2_Rate=AS_Cash,'Plan cashflow'!QQ34/(1+AS_Cash),0)+IF(Slot3_Rate=AS_Cash,'Plan cashflow'!QU34/(1+AS_Cash),0)+IF(Slot4_Rate=AS_Cash,'Plan cashflow'!QY34/(1+AS_Cash),0)+IF(Slot5_Rate=AS_Cash,'Plan cashflow'!RC34/(1+AS_Cash),0)+IF(Slot6_Rate=AS_Cash,'Plan cashflow'!RG34/(1+AS_Cash),0)+IF(Slot7_Rate=AS_Cash,'Plan cashflow'!RK34/(1+AS_Cash),0)+IF(Slot8_Rate=AS_Cash,'Plan cashflow'!RO34/(1+AS_Cash),0)+IF(Slot9_Rate=AS_Cash,'Plan cashflow'!RS34/(1+AS_Cash),0)+IF(Slot10_Rate=AS_Cash,'Plan cashflow'!RW34/(1+AS_Cash),0)+IF(Slot11_Rate=AS_Cash,'Plan cashflow'!SA34/(1+AS_Cash),0)+IF(Slot12_Rate=AS_Cash,'Plan cashflow'!SE34/(1+AS_Cash),0)+IF(Slot13_Rate=AS_Cash,'Plan cashflow'!SI34/(1+AS_Cash),0)+IF(Slot14_Rate=AS_Cash,'Plan cashflow'!SM34/(1+AS_Cash),0)+IF(Slot15_Rate=AS_Cash,'Plan cashflow'!SQ34/(1+AS_Cash),0)+IF(Slot16_Rate=AS_Cash,'Plan cashflow'!SU34/(1+AS_Cash),0)+IF(Slot17_Rate=AS_Cash,'Plan cashflow'!SY34/(1+AS_Cash),0)+IF(Slot18_Rate=AS_Cash,'Plan cashflow'!TC34/(1+AS_Cash),0)+IF(Slot19_Rate=AS_Cash,'Plan cashflow'!TG34/(1+AS_Cash),0)+IF(Slot20_Rate=AS_Cash,'Plan cashflow'!TK34/(1+AS_Cash),0))*AS_Cash*H_DIRT/(1-H_DIRT)</f>
        <v>584.954719849231</v>
      </c>
      <c r="BP34" s="60" t="n">
        <f aca="false">SUM(AVE34:AYQ34)</f>
        <v>612.744894644129</v>
      </c>
      <c r="BQ34" s="54" t="n">
        <f aca="false">IF(H_TaxEvt=1,H_InvG,AS_Inv)</f>
        <v>0.04</v>
      </c>
      <c r="BR34" s="20" t="n">
        <f aca="false">IF(AKR33&gt;0,(AKR33-AOE33)/AKR33,0)</f>
        <v>0</v>
      </c>
      <c r="BS34" s="20" t="n">
        <f aca="false">IF(AKS33&gt;0,(AKS33-AOF33)/AKS33,0)</f>
        <v>0</v>
      </c>
      <c r="BT34" s="20" t="n">
        <f aca="false">IF(AKT33&gt;0,(AKT33-AOG33)/AKT33,0)</f>
        <v>0</v>
      </c>
      <c r="BU34" s="20" t="n">
        <f aca="false">IF(AKU33&gt;0,(AKU33-AOH33)/AKU33,0)</f>
        <v>0</v>
      </c>
      <c r="BV34" s="20" t="n">
        <f aca="false">IF(AKV33&gt;0,(AKV33-AOI33)/AKV33,0)</f>
        <v>0</v>
      </c>
      <c r="BW34" s="20" t="n">
        <f aca="false">IF(AKW33&gt;0,(AKW33-AOJ33)/AKW33,0)</f>
        <v>0</v>
      </c>
      <c r="BX34" s="20" t="n">
        <f aca="false">IF(AKX33&gt;0,(AKX33-AOK33)/AKX33,0)</f>
        <v>0</v>
      </c>
      <c r="BY34" s="20" t="n">
        <f aca="false">IF(AKY33&gt;0,(AKY33-AOL33)/AKY33,0)</f>
        <v>0</v>
      </c>
      <c r="BZ34" s="20" t="n">
        <f aca="false">IF(AKZ33&gt;0,(AKZ33-AOM33)/AKZ33,0)</f>
        <v>0</v>
      </c>
      <c r="CA34" s="20" t="n">
        <f aca="false">IF(ALA33&gt;0,(ALA33-AON33)/ALA33,0)</f>
        <v>0</v>
      </c>
      <c r="CB34" s="20" t="n">
        <f aca="false">IF(ALB33&gt;0,(ALB33-AOO33)/ALB33,0)</f>
        <v>0</v>
      </c>
      <c r="CC34" s="20" t="n">
        <f aca="false">IF(ALC33&gt;0,(ALC33-AOP33)/ALC33,0)</f>
        <v>0</v>
      </c>
      <c r="CD34" s="20" t="n">
        <f aca="false">IF(ALD33&gt;0,(ALD33-AOQ33)/ALD33,0)</f>
        <v>0.240082186797937</v>
      </c>
      <c r="CE34" s="20" t="n">
        <f aca="false">IF(ALE33&gt;0,(ALE33-AOR33)/ALE33,0)</f>
        <v>0.209685474269854</v>
      </c>
      <c r="CF34" s="20" t="n">
        <f aca="false">IF(ALF33&gt;0,(ALF33-AOS33)/ALF33,0)</f>
        <v>0.178072893240648</v>
      </c>
      <c r="CG34" s="20" t="n">
        <f aca="false">IF(ALG33&gt;0,(ALG33-AOT33)/ALG33,0)</f>
        <v>0.145195808970274</v>
      </c>
      <c r="CH34" s="20" t="n">
        <f aca="false">IF(ALH33&gt;0,(ALH33-AOU33)/ALH33,0)</f>
        <v>0.111003641329085</v>
      </c>
      <c r="CI34" s="20" t="n">
        <f aca="false">IF(ALI33&gt;0,(ALI33-AOV33)/ALI33,0)</f>
        <v>0.0754437869822485</v>
      </c>
      <c r="CJ34" s="20" t="n">
        <f aca="false">IF(ALJ33&gt;0,(ALJ33-AOW33)/ALJ33,0)</f>
        <v>0.0384615384615386</v>
      </c>
      <c r="CK34" s="20" t="n">
        <f aca="false">IF(ALK33&gt;0,(ALK33-AOX33)/ALK33,0)</f>
        <v>0</v>
      </c>
      <c r="CL34" s="20" t="n">
        <f aca="false">IF(ALL33&gt;0,(ALL33-AOY33)/ALL33,0)</f>
        <v>0.240082186797937</v>
      </c>
      <c r="CM34" s="20" t="n">
        <f aca="false">IF(ALM33&gt;0,(ALM33-AOZ33)/ALM33,0)</f>
        <v>0.209685474269854</v>
      </c>
      <c r="CN34" s="20" t="n">
        <f aca="false">IF(ALN33&gt;0,(ALN33-APA33)/ALN33,0)</f>
        <v>0.178072893240649</v>
      </c>
      <c r="CO34" s="20" t="n">
        <f aca="false">IF(ALO33&gt;0,(ALO33-APB33)/ALO33,0)</f>
        <v>0.145195808970274</v>
      </c>
      <c r="CP34" s="20" t="n">
        <f aca="false">IF(ALP33&gt;0,(ALP33-APC33)/ALP33,0)</f>
        <v>0.111003641329085</v>
      </c>
      <c r="CQ34" s="20" t="n">
        <f aca="false">IF(ALQ33&gt;0,(ALQ33-APD33)/ALQ33,0)</f>
        <v>0.0754437869822487</v>
      </c>
      <c r="CR34" s="20" t="n">
        <f aca="false">IF(ALR33&gt;0,(ALR33-APE33)/ALR33,0)</f>
        <v>0.0384615384615386</v>
      </c>
      <c r="CS34" s="20" t="n">
        <f aca="false">IF((P34+S34)&gt;0,((P34+S34)-(P34+S34))/(P34+S34),0)</f>
        <v>0</v>
      </c>
      <c r="CT34" s="20" t="n">
        <v>0</v>
      </c>
      <c r="CU34" s="20" t="n">
        <v>0</v>
      </c>
      <c r="CV34" s="20" t="n">
        <v>0</v>
      </c>
      <c r="CW34" s="20" t="n">
        <v>0</v>
      </c>
      <c r="CX34" s="20" t="n">
        <v>0</v>
      </c>
      <c r="CY34" s="20" t="n">
        <v>0</v>
      </c>
      <c r="CZ34" s="20" t="n">
        <v>0</v>
      </c>
      <c r="DA34" s="20" t="n">
        <v>0</v>
      </c>
      <c r="DB34" s="20" t="n">
        <v>0</v>
      </c>
      <c r="DC34" s="20" t="n">
        <v>0</v>
      </c>
      <c r="DD34" s="20" t="n">
        <v>0</v>
      </c>
      <c r="DE34" s="20" t="n">
        <v>0</v>
      </c>
      <c r="DF34" s="20" t="n">
        <v>0</v>
      </c>
      <c r="DG34" s="20" t="n">
        <v>0</v>
      </c>
      <c r="DH34" s="20" t="n">
        <v>0</v>
      </c>
      <c r="DI34" s="20" t="n">
        <v>0</v>
      </c>
      <c r="DJ34" s="20" t="n">
        <v>0</v>
      </c>
      <c r="DK34" s="20" t="n">
        <v>0</v>
      </c>
      <c r="DL34" s="20" t="n">
        <v>0</v>
      </c>
      <c r="DM34" s="20" t="n">
        <v>0</v>
      </c>
      <c r="DN34" s="20" t="n">
        <v>0</v>
      </c>
      <c r="DO34" s="20" t="n">
        <v>0</v>
      </c>
      <c r="DP34" s="20" t="n">
        <v>0</v>
      </c>
      <c r="DQ34" s="20" t="n">
        <v>0</v>
      </c>
      <c r="DR34" s="20" t="n">
        <v>0</v>
      </c>
      <c r="DS34" s="20" t="n">
        <v>0</v>
      </c>
      <c r="DT34" s="20" t="n">
        <v>0</v>
      </c>
      <c r="DU34" s="20" t="n">
        <v>0</v>
      </c>
      <c r="DV34" s="20" t="n">
        <v>0</v>
      </c>
      <c r="DW34" s="20" t="n">
        <v>0</v>
      </c>
      <c r="DX34" s="20" t="n">
        <v>0</v>
      </c>
      <c r="DY34" s="20" t="n">
        <v>0</v>
      </c>
      <c r="DZ34" s="20" t="n">
        <v>0</v>
      </c>
      <c r="EA34" s="20" t="n">
        <v>0</v>
      </c>
      <c r="EB34" s="20" t="n">
        <v>0</v>
      </c>
      <c r="EC34" s="20" t="n">
        <v>0</v>
      </c>
      <c r="ED34" s="20" t="n">
        <v>0</v>
      </c>
      <c r="EE34" s="20" t="n">
        <v>0</v>
      </c>
      <c r="EF34" s="20" t="n">
        <v>0</v>
      </c>
      <c r="EG34" s="20" t="n">
        <v>0</v>
      </c>
      <c r="EH34" s="20" t="n">
        <v>0</v>
      </c>
      <c r="EI34" s="20" t="n">
        <v>0</v>
      </c>
      <c r="EJ34" s="20" t="n">
        <v>0</v>
      </c>
      <c r="EK34" s="20" t="n">
        <v>0</v>
      </c>
      <c r="EL34" s="20" t="n">
        <v>0</v>
      </c>
      <c r="EM34" s="20" t="n">
        <v>0</v>
      </c>
      <c r="EN34" s="20" t="n">
        <v>0</v>
      </c>
      <c r="EO34" s="20" t="n">
        <v>0</v>
      </c>
      <c r="EP34" s="20" t="n">
        <v>0</v>
      </c>
      <c r="EQ34" s="20" t="n">
        <v>0</v>
      </c>
      <c r="ER34" s="20" t="n">
        <v>0</v>
      </c>
      <c r="ES34" s="20" t="n">
        <v>0</v>
      </c>
      <c r="ET34" s="20" t="n">
        <v>0</v>
      </c>
      <c r="EU34" s="20" t="n">
        <v>0</v>
      </c>
      <c r="EV34" s="20" t="n">
        <v>0</v>
      </c>
      <c r="EW34" s="20" t="n">
        <v>0</v>
      </c>
      <c r="EX34" s="20" t="n">
        <v>0</v>
      </c>
      <c r="EY34" s="20" t="n">
        <v>0</v>
      </c>
      <c r="EZ34" s="20" t="n">
        <v>0</v>
      </c>
      <c r="FA34" s="20" t="n">
        <v>0</v>
      </c>
      <c r="FB34" s="20" t="n">
        <v>0</v>
      </c>
      <c r="FC34" s="20" t="n">
        <v>0</v>
      </c>
      <c r="FD34" s="20" t="n">
        <v>0</v>
      </c>
      <c r="FE34" s="20" t="n">
        <f aca="false">IF(H_Direct=1,IF(AKR33&lt;=0,0,IF(BR34&lt;=0,AKR33,AKR33-G34*MAX(0,BR34*AKR33-(H34+I34)))),AKR33*(1-MAX(0,BR34)*H_Exit))</f>
        <v>0</v>
      </c>
      <c r="FF34" s="20" t="n">
        <f aca="false">IF(H_Direct=1,IF(AKS33&lt;=0,0,IF(BS34&lt;=0,AKS33,AKS33-G34*MAX(0,BS34*AKS33-(IR34+ME34)))),AKS33*(1-MAX(0,BS34)*H_Exit))</f>
        <v>0</v>
      </c>
      <c r="FG34" s="20" t="n">
        <f aca="false">IF(H_Direct=1,IF(AKT33&lt;=0,0,IF(BT34&lt;=0,AKT33,AKT33-G34*MAX(0,BT34*AKT33-(IS34+MF34)))),AKT33*(1-MAX(0,BT34)*H_Exit))</f>
        <v>0</v>
      </c>
      <c r="FH34" s="20" t="n">
        <f aca="false">IF(H_Direct=1,IF(AKU33&lt;=0,0,IF(BU34&lt;=0,AKU33,AKU33-G34*MAX(0,BU34*AKU33-(IT34+MG34)))),AKU33*(1-MAX(0,BU34)*H_Exit))</f>
        <v>0</v>
      </c>
      <c r="FI34" s="20" t="n">
        <f aca="false">IF(H_Direct=1,IF(AKV33&lt;=0,0,IF(BV34&lt;=0,AKV33,AKV33-G34*MAX(0,BV34*AKV33-(IU34+MH34)))),AKV33*(1-MAX(0,BV34)*H_Exit))</f>
        <v>0</v>
      </c>
      <c r="FJ34" s="20" t="n">
        <f aca="false">IF(H_Direct=1,IF(AKW33&lt;=0,0,IF(BW34&lt;=0,AKW33,AKW33-G34*MAX(0,BW34*AKW33-(IV34+MI34)))),AKW33*(1-MAX(0,BW34)*H_Exit))</f>
        <v>0</v>
      </c>
      <c r="FK34" s="20" t="n">
        <f aca="false">IF(H_Direct=1,IF(AKX33&lt;=0,0,IF(BX34&lt;=0,AKX33,AKX33-G34*MAX(0,BX34*AKX33-(IW34+MJ34)))),AKX33*(1-MAX(0,BX34)*H_Exit))</f>
        <v>0</v>
      </c>
      <c r="FL34" s="20" t="n">
        <f aca="false">IF(H_Direct=1,IF(AKY33&lt;=0,0,IF(BY34&lt;=0,AKY33,AKY33-G34*MAX(0,BY34*AKY33-(IX34+MK34)))),AKY33*(1-MAX(0,BY34)*H_Exit))</f>
        <v>0</v>
      </c>
      <c r="FM34" s="20" t="n">
        <f aca="false">IF(H_Direct=1,IF(AKZ33&lt;=0,0,IF(BZ34&lt;=0,AKZ33,AKZ33-G34*MAX(0,BZ34*AKZ33-(IY34+ML34)))),AKZ33*(1-MAX(0,BZ34)*H_Exit))</f>
        <v>0</v>
      </c>
      <c r="FN34" s="20" t="n">
        <f aca="false">IF(H_Direct=1,IF(ALA33&lt;=0,0,IF(CA34&lt;=0,ALA33,ALA33-G34*MAX(0,CA34*ALA33-(IZ34+MM34)))),ALA33*(1-MAX(0,CA34)*H_Exit))</f>
        <v>0</v>
      </c>
      <c r="FO34" s="20" t="n">
        <f aca="false">IF(H_Direct=1,IF(ALB33&lt;=0,0,IF(CB34&lt;=0,ALB33,ALB33-G34*MAX(0,CB34*ALB33-(JA34+MN34)))),ALB33*(1-MAX(0,CB34)*H_Exit))</f>
        <v>0</v>
      </c>
      <c r="FP34" s="20" t="n">
        <f aca="false">IF(H_Direct=1,IF(ALC33&lt;=0,0,IF(CC34&lt;=0,ALC33,ALC33-G34*MAX(0,CC34*ALC33-(JB34+MO34)))),ALC33*(1-MAX(0,CC34)*H_Exit))</f>
        <v>825.068712866201</v>
      </c>
      <c r="FQ34" s="20" t="n">
        <f aca="false">IF(H_Direct=1,IF(ALD33&lt;=0,0,IF(CD34&lt;=0,ALD33,ALD33-G34*MAX(0,CD34*ALD33-(JC34+MP34)))),ALD33*(1-MAX(0,CD34)*H_Exit))</f>
        <v>1050.75192037358</v>
      </c>
      <c r="FR34" s="20" t="n">
        <f aca="false">IF(H_Direct=1,IF(ALE33&lt;=0,0,IF(CE34&lt;=0,ALE33,ALE33-G34*MAX(0,CE34*ALE33-(JD34+MQ34)))),ALE33*(1-MAX(0,CE34)*H_Exit))</f>
        <v>1273.4390582783</v>
      </c>
      <c r="FS34" s="20" t="n">
        <f aca="false">IF(H_Direct=1,IF(ALF33&lt;=0,0,IF(CF34&lt;=0,ALF33,ALF33-G34*MAX(0,CF34*ALF33-(JE34+MR34)))),ALF33*(1-MAX(0,CF34)*H_Exit))</f>
        <v>1450.68047189957</v>
      </c>
      <c r="FT34" s="20" t="n">
        <f aca="false">IF(H_Direct=1,IF(ALG33&lt;=0,0,IF(CG34&lt;=0,ALG33,ALG33-G34*MAX(0,CG34*ALG33-(JF34+MS34)))),ALG33*(1-MAX(0,CG34)*H_Exit))</f>
        <v>1413.82606291412</v>
      </c>
      <c r="FU34" s="20" t="n">
        <f aca="false">IF(H_Direct=1,IF(ALH33&lt;=0,0,IF(CH34&lt;=0,ALH33,ALH33-G34*MAX(0,CH34*ALH33-(JG34+MT34)))),ALH33*(1-MAX(0,CH34)*H_Exit))</f>
        <v>1377.57155261986</v>
      </c>
      <c r="FV34" s="20" t="n">
        <f aca="false">IF(H_Direct=1,IF(ALI33&lt;=0,0,IF(CI34&lt;=0,ALI33,ALI33-G34*MAX(0,CI34*ALI33-(JH34+MU34)))),ALI33*(1-MAX(0,CI34)*H_Exit))</f>
        <v>1341.88376299656</v>
      </c>
      <c r="FW34" s="20" t="n">
        <f aca="false">IF(H_Direct=1,IF(ALJ33&lt;=0,0,IF(CJ34&lt;=0,ALJ33,ALJ33-G34*MAX(0,CJ34*ALJ33-(JI34+MV34)))),ALJ33*(1-MAX(0,CJ34)*H_Exit))</f>
        <v>4230.90202194277</v>
      </c>
      <c r="FX34" s="20" t="n">
        <f aca="false">IF(H_Direct=1,IF(ALK33&lt;=0,0,IF(CK34&lt;=0,ALK33,ALK33-G34*MAX(0,CK34*ALK33-(JJ34+MW34)))),ALK33*(1-MAX(0,CK34)*H_Exit))</f>
        <v>4211.08515064561</v>
      </c>
      <c r="FY34" s="20" t="n">
        <f aca="false">IF(H_Direct=1,IF(ALL33&lt;=0,0,IF(CL34&lt;=0,ALL33,ALL33-G34*MAX(0,CL34*ALL33-(JK34+MX34)))),ALL33*(1-MAX(0,CL34)*H_Exit))</f>
        <v>4181.20319733879</v>
      </c>
      <c r="FZ34" s="20" t="n">
        <f aca="false">IF(H_Direct=1,IF(ALM33&lt;=0,0,IF(CM34&lt;=0,ALM33,ALM33-G34*MAX(0,CM34*ALM33-(JL34+MY34)))),ALM33*(1-MAX(0,CM34)*H_Exit))</f>
        <v>4152.9179060489</v>
      </c>
      <c r="GA34" s="20" t="n">
        <f aca="false">IF(H_Direct=1,IF(ALN33&lt;=0,0,IF(CN34&lt;=0,ALN33,ALN33-G34*MAX(0,CN34*ALN33-(JM34+MZ34)))),ALN33*(1-MAX(0,CN34)*H_Exit))</f>
        <v>4126.21901191853</v>
      </c>
      <c r="GB34" s="20" t="n">
        <f aca="false">IF(H_Direct=1,IF(ALO33&lt;=0,0,IF(CO34&lt;=0,ALO33,ALO33-G34*MAX(0,CO34*ALO33-(JN34+NA34)))),ALO33*(1-MAX(0,CO34)*H_Exit))</f>
        <v>4101.096856295</v>
      </c>
      <c r="GC34" s="20" t="n">
        <f aca="false">IF(H_Direct=1,IF(ALP33&lt;=0,0,IF(CP34&lt;=0,ALP33,ALP33-G34*MAX(0,CP34*ALP33-(JO34+NB34)))),ALP33*(1-MAX(0,CP34)*H_Exit))</f>
        <v>4077.54238324866</v>
      </c>
      <c r="GD34" s="20" t="n">
        <f aca="false">IF(H_Direct=1,IF(ALQ33&lt;=0,0,IF(CQ34&lt;=0,ALQ33,ALQ33-G34*MAX(0,CQ34*ALQ33-(JP34+NC34)))),ALQ33*(1-MAX(0,CQ34)*H_Exit))</f>
        <v>4055.54713632163</v>
      </c>
      <c r="GE34" s="20" t="n">
        <f aca="false">IF(H_Direct=1,IF(ALR33&lt;=0,0,IF(CR34&lt;=0,ALR33,ALR33-G34*MAX(0,CR34*ALR33-(JQ34+ND34)))),ALR33*(1-MAX(0,CR34)*H_Exit))</f>
        <v>61041.2277876089</v>
      </c>
      <c r="GF34" s="20" t="n">
        <f aca="false">IF(H_Direct=1,IF((P34+S34)&lt;=0,0,IF(CS34&lt;=0,(P34+S34),(P34+S34)-G34*MAX(0,CS34*(P34+S34)-(JR34+NE34)))),(P34+S34)*(1-MAX(0,CS34)*H_Exit))</f>
        <v>0</v>
      </c>
      <c r="GG34" s="20" t="n">
        <v>0</v>
      </c>
      <c r="GH34" s="20" t="n">
        <v>0</v>
      </c>
      <c r="GI34" s="20" t="n">
        <v>0</v>
      </c>
      <c r="GJ34" s="20" t="n">
        <v>0</v>
      </c>
      <c r="GK34" s="20" t="n">
        <v>0</v>
      </c>
      <c r="GL34" s="20" t="n">
        <v>0</v>
      </c>
      <c r="GM34" s="20" t="n">
        <v>0</v>
      </c>
      <c r="GN34" s="20" t="n">
        <v>0</v>
      </c>
      <c r="GO34" s="20" t="n">
        <v>0</v>
      </c>
      <c r="GP34" s="20" t="n">
        <v>0</v>
      </c>
      <c r="GQ34" s="20" t="n">
        <v>0</v>
      </c>
      <c r="GR34" s="20" t="n">
        <v>0</v>
      </c>
      <c r="GS34" s="20" t="n">
        <v>0</v>
      </c>
      <c r="GT34" s="20" t="n">
        <v>0</v>
      </c>
      <c r="GU34" s="20" t="n">
        <v>0</v>
      </c>
      <c r="GV34" s="20" t="n">
        <v>0</v>
      </c>
      <c r="GW34" s="20" t="n">
        <v>0</v>
      </c>
      <c r="GX34" s="20" t="n">
        <v>0</v>
      </c>
      <c r="GY34" s="20" t="n">
        <v>0</v>
      </c>
      <c r="GZ34" s="20" t="n">
        <v>0</v>
      </c>
      <c r="HA34" s="20" t="n">
        <v>0</v>
      </c>
      <c r="HB34" s="20" t="n">
        <v>0</v>
      </c>
      <c r="HC34" s="20" t="n">
        <v>0</v>
      </c>
      <c r="HD34" s="20" t="n">
        <v>0</v>
      </c>
      <c r="HE34" s="20" t="n">
        <v>0</v>
      </c>
      <c r="HF34" s="20" t="n">
        <v>0</v>
      </c>
      <c r="HG34" s="20" t="n">
        <v>0</v>
      </c>
      <c r="HH34" s="20" t="n">
        <v>0</v>
      </c>
      <c r="HI34" s="20" t="n">
        <v>0</v>
      </c>
      <c r="HJ34" s="20" t="n">
        <v>0</v>
      </c>
      <c r="HK34" s="20" t="n">
        <v>0</v>
      </c>
      <c r="HL34" s="20" t="n">
        <v>0</v>
      </c>
      <c r="HM34" s="20" t="n">
        <v>0</v>
      </c>
      <c r="HN34" s="20" t="n">
        <v>0</v>
      </c>
      <c r="HO34" s="20" t="n">
        <v>0</v>
      </c>
      <c r="HP34" s="20" t="n">
        <v>0</v>
      </c>
      <c r="HQ34" s="20" t="n">
        <v>0</v>
      </c>
      <c r="HR34" s="20" t="n">
        <v>0</v>
      </c>
      <c r="HS34" s="20" t="n">
        <v>0</v>
      </c>
      <c r="HT34" s="20" t="n">
        <v>0</v>
      </c>
      <c r="HU34" s="20" t="n">
        <v>0</v>
      </c>
      <c r="HV34" s="20" t="n">
        <v>0</v>
      </c>
      <c r="HW34" s="20" t="n">
        <v>0</v>
      </c>
      <c r="HX34" s="20" t="n">
        <v>0</v>
      </c>
      <c r="HY34" s="20" t="n">
        <v>0</v>
      </c>
      <c r="HZ34" s="20" t="n">
        <v>0</v>
      </c>
      <c r="IA34" s="20" t="n">
        <v>0</v>
      </c>
      <c r="IB34" s="20" t="n">
        <v>0</v>
      </c>
      <c r="IC34" s="20" t="n">
        <v>0</v>
      </c>
      <c r="ID34" s="20" t="n">
        <v>0</v>
      </c>
      <c r="IE34" s="20" t="n">
        <v>0</v>
      </c>
      <c r="IF34" s="20" t="n">
        <v>0</v>
      </c>
      <c r="IG34" s="20" t="n">
        <v>0</v>
      </c>
      <c r="IH34" s="20" t="n">
        <v>0</v>
      </c>
      <c r="II34" s="20" t="n">
        <v>0</v>
      </c>
      <c r="IJ34" s="20" t="n">
        <v>0</v>
      </c>
      <c r="IK34" s="20" t="n">
        <v>0</v>
      </c>
      <c r="IL34" s="20" t="n">
        <v>0</v>
      </c>
      <c r="IM34" s="20" t="n">
        <v>0</v>
      </c>
      <c r="IN34" s="20" t="n">
        <v>0</v>
      </c>
      <c r="IO34" s="20" t="n">
        <v>0</v>
      </c>
      <c r="IP34" s="20" t="n">
        <v>0</v>
      </c>
      <c r="IQ34" s="20" t="n">
        <v>0</v>
      </c>
      <c r="IR34" s="20" t="n">
        <f aca="false">IF(AND(H_Direct=1,BR34&gt;0),MAX(0,H34-(MIN(BR34*AKR33,H34+I34)-MIN(MIN(BR34*AKR33,H34+I34),I34))),H34)</f>
        <v>1270</v>
      </c>
      <c r="IS34" s="20" t="n">
        <f aca="false">IF(AND(H_Direct=1,BS34&gt;0),MAX(0,IR34-(MIN(BS34*AKS33,IR34+ME34)-MIN(MIN(BS34*AKS33,IR34+ME34),ME34))),IR34)</f>
        <v>1270</v>
      </c>
      <c r="IT34" s="20" t="n">
        <f aca="false">IF(AND(H_Direct=1,BT34&gt;0),MAX(0,IS34-(MIN(BT34*AKT33,IS34+MF34)-MIN(MIN(BT34*AKT33,IS34+MF34),MF34))),IS34)</f>
        <v>1270</v>
      </c>
      <c r="IU34" s="20" t="n">
        <f aca="false">IF(AND(H_Direct=1,BU34&gt;0),MAX(0,IT34-(MIN(BU34*AKU33,IT34+MG34)-MIN(MIN(BU34*AKU33,IT34+MG34),MG34))),IT34)</f>
        <v>1270</v>
      </c>
      <c r="IV34" s="20" t="n">
        <f aca="false">IF(AND(H_Direct=1,BV34&gt;0),MAX(0,IU34-(MIN(BV34*AKV33,IU34+MH34)-MIN(MIN(BV34*AKV33,IU34+MH34),MH34))),IU34)</f>
        <v>1270</v>
      </c>
      <c r="IW34" s="20" t="n">
        <f aca="false">IF(AND(H_Direct=1,BW34&gt;0),MAX(0,IV34-(MIN(BW34*AKW33,IV34+MI34)-MIN(MIN(BW34*AKW33,IV34+MI34),MI34))),IV34)</f>
        <v>1270</v>
      </c>
      <c r="IX34" s="20" t="n">
        <f aca="false">IF(AND(H_Direct=1,BX34&gt;0),MAX(0,IW34-(MIN(BX34*AKX33,IW34+MJ34)-MIN(MIN(BX34*AKX33,IW34+MJ34),MJ34))),IW34)</f>
        <v>1270</v>
      </c>
      <c r="IY34" s="20" t="n">
        <f aca="false">IF(AND(H_Direct=1,BY34&gt;0),MAX(0,IX34-(MIN(BY34*AKY33,IX34+MK34)-MIN(MIN(BY34*AKY33,IX34+MK34),MK34))),IX34)</f>
        <v>1270</v>
      </c>
      <c r="IZ34" s="20" t="n">
        <f aca="false">IF(AND(H_Direct=1,BZ34&gt;0),MAX(0,IY34-(MIN(BZ34*AKZ33,IY34+ML34)-MIN(MIN(BZ34*AKZ33,IY34+ML34),ML34))),IY34)</f>
        <v>1270</v>
      </c>
      <c r="JA34" s="20" t="n">
        <f aca="false">IF(AND(H_Direct=1,CA34&gt;0),MAX(0,IZ34-(MIN(CA34*ALA33,IZ34+MM34)-MIN(MIN(CA34*ALA33,IZ34+MM34),MM34))),IZ34)</f>
        <v>1270</v>
      </c>
      <c r="JB34" s="20" t="n">
        <f aca="false">IF(AND(H_Direct=1,CB34&gt;0),MAX(0,JA34-(MIN(CB34*ALB33,JA34+MN34)-MIN(MIN(CB34*ALB33,JA34+MN34),MN34))),JA34)</f>
        <v>1270</v>
      </c>
      <c r="JC34" s="20" t="n">
        <f aca="false">IF(AND(H_Direct=1,CC34&gt;0),MAX(0,JB34-(MIN(CC34*ALC33,JB34+MO34)-MIN(MIN(CC34*ALC33,JB34+MO34),MO34))),JB34)</f>
        <v>1270</v>
      </c>
      <c r="JD34" s="20" t="n">
        <f aca="false">IF(AND(H_Direct=1,CD34&gt;0),MAX(0,JC34-(MIN(CD34*ALD33,JC34+MP34)-MIN(MIN(CD34*ALD33,JC34+MP34),MP34))),JC34)</f>
        <v>1270</v>
      </c>
      <c r="JE34" s="20" t="n">
        <f aca="false">IF(AND(H_Direct=1,CE34&gt;0),MAX(0,JD34-(MIN(CE34*ALE33,JD34+MQ34)-MIN(MIN(CE34*ALE33,JD34+MQ34),MQ34))),JD34)</f>
        <v>1270</v>
      </c>
      <c r="JF34" s="20" t="n">
        <f aca="false">IF(AND(H_Direct=1,CF34&gt;0),MAX(0,JE34-(MIN(CF34*ALF33,JE34+MR34)-MIN(MIN(CF34*ALF33,JE34+MR34),MR34))),JE34)</f>
        <v>1270</v>
      </c>
      <c r="JG34" s="20" t="n">
        <f aca="false">IF(AND(H_Direct=1,CG34&gt;0),MAX(0,JF34-(MIN(CG34*ALG33,JF34+MS34)-MIN(MIN(CG34*ALG33,JF34+MS34),MS34))),JF34)</f>
        <v>1270</v>
      </c>
      <c r="JH34" s="20" t="n">
        <f aca="false">IF(AND(H_Direct=1,CH34&gt;0),MAX(0,JG34-(MIN(CH34*ALH33,JG34+MT34)-MIN(MIN(CH34*ALH33,JG34+MT34),MT34))),JG34)</f>
        <v>1270</v>
      </c>
      <c r="JI34" s="20" t="n">
        <f aca="false">IF(AND(H_Direct=1,CI34&gt;0),MAX(0,JH34-(MIN(CI34*ALI33,JH34+MU34)-MIN(MIN(CI34*ALI33,JH34+MU34),MU34))),JH34)</f>
        <v>1270</v>
      </c>
      <c r="JJ34" s="20" t="n">
        <f aca="false">IF(AND(H_Direct=1,CJ34&gt;0),MAX(0,JI34-(MIN(CJ34*ALJ33,JI34+MV34)-MIN(MIN(CJ34*ALJ33,JI34+MV34),MV34))),JI34)</f>
        <v>1270</v>
      </c>
      <c r="JK34" s="20" t="n">
        <f aca="false">IF(AND(H_Direct=1,CK34&gt;0),MAX(0,JJ34-(MIN(CK34*ALK33,JJ34+MW34)-MIN(MIN(CK34*ALK33,JJ34+MW34),MW34))),JJ34)</f>
        <v>1270</v>
      </c>
      <c r="JL34" s="20" t="n">
        <f aca="false">IF(AND(H_Direct=1,CL34&gt;0),MAX(0,JK34-(MIN(CL34*ALL33,JK34+MX34)-MIN(MIN(CL34*ALL33,JK34+MX34),MX34))),JK34)</f>
        <v>1270</v>
      </c>
      <c r="JM34" s="20" t="n">
        <f aca="false">IF(AND(H_Direct=1,CM34&gt;0),MAX(0,JL34-(MIN(CM34*ALM33,JL34+MY34)-MIN(MIN(CM34*ALM33,JL34+MY34),MY34))),JL34)</f>
        <v>1270</v>
      </c>
      <c r="JN34" s="20" t="n">
        <f aca="false">IF(AND(H_Direct=1,CN34&gt;0),MAX(0,JM34-(MIN(CN34*ALN33,JM34+MZ34)-MIN(MIN(CN34*ALN33,JM34+MZ34),MZ34))),JM34)</f>
        <v>1270</v>
      </c>
      <c r="JO34" s="20" t="n">
        <f aca="false">IF(AND(H_Direct=1,CO34&gt;0),MAX(0,JN34-(MIN(CO34*ALO33,JN34+NA34)-MIN(MIN(CO34*ALO33,JN34+NA34),NA34))),JN34)</f>
        <v>1270</v>
      </c>
      <c r="JP34" s="20" t="n">
        <f aca="false">IF(AND(H_Direct=1,CP34&gt;0),MAX(0,JO34-(MIN(CP34*ALP33,JO34+NB34)-MIN(MIN(CP34*ALP33,JO34+NB34),NB34))),JO34)</f>
        <v>1270</v>
      </c>
      <c r="JQ34" s="20" t="n">
        <f aca="false">IF(AND(H_Direct=1,CQ34&gt;0),MAX(0,JP34-(MIN(CQ34*ALQ33,JP34+NC34)-MIN(MIN(CQ34*ALQ33,JP34+NC34),NC34))),JP34)</f>
        <v>1270</v>
      </c>
      <c r="JR34" s="20" t="n">
        <f aca="false">IF(AND(H_Direct=1,CR34&gt;0),MAX(0,JQ34-(MIN(CR34*ALR33,JQ34+ND34)-MIN(MIN(CR34*ALR33,JQ34+ND34),ND34))),JQ34)</f>
        <v>1270</v>
      </c>
      <c r="JS34" s="20" t="n">
        <f aca="false">IF(AND(H_Direct=1,CS34&gt;0),MAX(0,JR34-(MIN(CS34*(P34+S34),JR34+NE34)-MIN(MIN(CS34*(P34+S34),JR34+NE34),NE34))),JR34)</f>
        <v>1270</v>
      </c>
      <c r="JT34" s="20" t="n">
        <f aca="false">JS34</f>
        <v>1270</v>
      </c>
      <c r="JU34" s="20" t="n">
        <f aca="false">JT34</f>
        <v>1270</v>
      </c>
      <c r="JV34" s="20" t="n">
        <f aca="false">JU34</f>
        <v>1270</v>
      </c>
      <c r="JW34" s="20" t="n">
        <f aca="false">JV34</f>
        <v>1270</v>
      </c>
      <c r="JX34" s="20" t="n">
        <f aca="false">JW34</f>
        <v>1270</v>
      </c>
      <c r="JY34" s="20" t="n">
        <f aca="false">JX34</f>
        <v>1270</v>
      </c>
      <c r="JZ34" s="20" t="n">
        <f aca="false">JY34</f>
        <v>1270</v>
      </c>
      <c r="KA34" s="20" t="n">
        <f aca="false">JZ34</f>
        <v>1270</v>
      </c>
      <c r="KB34" s="20" t="n">
        <f aca="false">KA34</f>
        <v>1270</v>
      </c>
      <c r="KC34" s="20" t="n">
        <f aca="false">KB34</f>
        <v>1270</v>
      </c>
      <c r="KD34" s="20" t="n">
        <f aca="false">KC34</f>
        <v>1270</v>
      </c>
      <c r="KE34" s="20" t="n">
        <f aca="false">KD34</f>
        <v>1270</v>
      </c>
      <c r="KF34" s="20" t="n">
        <f aca="false">KE34</f>
        <v>1270</v>
      </c>
      <c r="KG34" s="20" t="n">
        <f aca="false">KF34</f>
        <v>1270</v>
      </c>
      <c r="KH34" s="20" t="n">
        <f aca="false">KG34</f>
        <v>1270</v>
      </c>
      <c r="KI34" s="20" t="n">
        <f aca="false">KH34</f>
        <v>1270</v>
      </c>
      <c r="KJ34" s="20" t="n">
        <f aca="false">KI34</f>
        <v>1270</v>
      </c>
      <c r="KK34" s="20" t="n">
        <f aca="false">KJ34</f>
        <v>1270</v>
      </c>
      <c r="KL34" s="20" t="n">
        <f aca="false">KK34</f>
        <v>1270</v>
      </c>
      <c r="KM34" s="20" t="n">
        <f aca="false">KL34</f>
        <v>1270</v>
      </c>
      <c r="KN34" s="20" t="n">
        <f aca="false">KM34</f>
        <v>1270</v>
      </c>
      <c r="KO34" s="20" t="n">
        <f aca="false">KN34</f>
        <v>1270</v>
      </c>
      <c r="KP34" s="20" t="n">
        <f aca="false">KO34</f>
        <v>1270</v>
      </c>
      <c r="KQ34" s="20" t="n">
        <f aca="false">KP34</f>
        <v>1270</v>
      </c>
      <c r="KR34" s="20" t="n">
        <f aca="false">KQ34</f>
        <v>1270</v>
      </c>
      <c r="KS34" s="20" t="n">
        <f aca="false">KR34</f>
        <v>1270</v>
      </c>
      <c r="KT34" s="20" t="n">
        <f aca="false">KS34</f>
        <v>1270</v>
      </c>
      <c r="KU34" s="20" t="n">
        <f aca="false">KT34</f>
        <v>1270</v>
      </c>
      <c r="KV34" s="20" t="n">
        <f aca="false">KU34</f>
        <v>1270</v>
      </c>
      <c r="KW34" s="20" t="n">
        <f aca="false">KV34</f>
        <v>1270</v>
      </c>
      <c r="KX34" s="20" t="n">
        <f aca="false">KW34</f>
        <v>1270</v>
      </c>
      <c r="KY34" s="20" t="n">
        <f aca="false">KX34</f>
        <v>1270</v>
      </c>
      <c r="KZ34" s="20" t="n">
        <f aca="false">KY34</f>
        <v>1270</v>
      </c>
      <c r="LA34" s="20" t="n">
        <f aca="false">KZ34</f>
        <v>1270</v>
      </c>
      <c r="LB34" s="20" t="n">
        <f aca="false">LA34</f>
        <v>1270</v>
      </c>
      <c r="LC34" s="20" t="n">
        <f aca="false">LB34</f>
        <v>1270</v>
      </c>
      <c r="LD34" s="20" t="n">
        <f aca="false">LC34</f>
        <v>1270</v>
      </c>
      <c r="LE34" s="20" t="n">
        <f aca="false">LD34</f>
        <v>1270</v>
      </c>
      <c r="LF34" s="20" t="n">
        <f aca="false">LE34</f>
        <v>1270</v>
      </c>
      <c r="LG34" s="20" t="n">
        <f aca="false">LF34</f>
        <v>1270</v>
      </c>
      <c r="LH34" s="20" t="n">
        <f aca="false">LG34</f>
        <v>1270</v>
      </c>
      <c r="LI34" s="20" t="n">
        <f aca="false">LH34</f>
        <v>1270</v>
      </c>
      <c r="LJ34" s="20" t="n">
        <f aca="false">LI34</f>
        <v>1270</v>
      </c>
      <c r="LK34" s="20" t="n">
        <f aca="false">LJ34</f>
        <v>1270</v>
      </c>
      <c r="LL34" s="20" t="n">
        <f aca="false">LK34</f>
        <v>1270</v>
      </c>
      <c r="LM34" s="20" t="n">
        <f aca="false">LL34</f>
        <v>1270</v>
      </c>
      <c r="LN34" s="20" t="n">
        <f aca="false">LM34</f>
        <v>1270</v>
      </c>
      <c r="LO34" s="20" t="n">
        <f aca="false">LN34</f>
        <v>1270</v>
      </c>
      <c r="LP34" s="20" t="n">
        <f aca="false">LO34</f>
        <v>1270</v>
      </c>
      <c r="LQ34" s="20" t="n">
        <f aca="false">LP34</f>
        <v>1270</v>
      </c>
      <c r="LR34" s="20" t="n">
        <f aca="false">LQ34</f>
        <v>1270</v>
      </c>
      <c r="LS34" s="20" t="n">
        <f aca="false">LR34</f>
        <v>1270</v>
      </c>
      <c r="LT34" s="20" t="n">
        <f aca="false">LS34</f>
        <v>1270</v>
      </c>
      <c r="LU34" s="20" t="n">
        <f aca="false">LT34</f>
        <v>1270</v>
      </c>
      <c r="LV34" s="20" t="n">
        <f aca="false">LU34</f>
        <v>1270</v>
      </c>
      <c r="LW34" s="20" t="n">
        <f aca="false">LV34</f>
        <v>1270</v>
      </c>
      <c r="LX34" s="20" t="n">
        <f aca="false">LW34</f>
        <v>1270</v>
      </c>
      <c r="LY34" s="20" t="n">
        <f aca="false">LX34</f>
        <v>1270</v>
      </c>
      <c r="LZ34" s="20" t="n">
        <f aca="false">LY34</f>
        <v>1270</v>
      </c>
      <c r="MA34" s="20" t="n">
        <f aca="false">LZ34</f>
        <v>1270</v>
      </c>
      <c r="MB34" s="20" t="n">
        <f aca="false">MA34</f>
        <v>1270</v>
      </c>
      <c r="MC34" s="20" t="n">
        <f aca="false">MB34</f>
        <v>1270</v>
      </c>
      <c r="MD34" s="20" t="n">
        <f aca="false">MC34</f>
        <v>1270</v>
      </c>
      <c r="ME34" s="20" t="n">
        <f aca="false">IF(H_Direct=1,IF(BR34&lt;=0,I34-BR34*AKR33,I34-MIN(MIN(BR34*AKR33,H34+I34),I34)),I34)</f>
        <v>0</v>
      </c>
      <c r="MF34" s="20" t="n">
        <f aca="false">IF(H_Direct=1,IF(BS34&lt;=0,ME34-BS34*AKS33,ME34-MIN(MIN(BS34*AKS33,IR34+ME34),ME34)),ME34)</f>
        <v>0</v>
      </c>
      <c r="MG34" s="20" t="n">
        <f aca="false">IF(H_Direct=1,IF(BT34&lt;=0,MF34-BT34*AKT33,MF34-MIN(MIN(BT34*AKT33,IS34+MF34),MF34)),MF34)</f>
        <v>0</v>
      </c>
      <c r="MH34" s="20" t="n">
        <f aca="false">IF(H_Direct=1,IF(BU34&lt;=0,MG34-BU34*AKU33,MG34-MIN(MIN(BU34*AKU33,IT34+MG34),MG34)),MG34)</f>
        <v>0</v>
      </c>
      <c r="MI34" s="20" t="n">
        <f aca="false">IF(H_Direct=1,IF(BV34&lt;=0,MH34-BV34*AKV33,MH34-MIN(MIN(BV34*AKV33,IU34+MH34),MH34)),MH34)</f>
        <v>0</v>
      </c>
      <c r="MJ34" s="20" t="n">
        <f aca="false">IF(H_Direct=1,IF(BW34&lt;=0,MI34-BW34*AKW33,MI34-MIN(MIN(BW34*AKW33,IV34+MI34),MI34)),MI34)</f>
        <v>0</v>
      </c>
      <c r="MK34" s="20" t="n">
        <f aca="false">IF(H_Direct=1,IF(BX34&lt;=0,MJ34-BX34*AKX33,MJ34-MIN(MIN(BX34*AKX33,IW34+MJ34),MJ34)),MJ34)</f>
        <v>0</v>
      </c>
      <c r="ML34" s="20" t="n">
        <f aca="false">IF(H_Direct=1,IF(BY34&lt;=0,MK34-BY34*AKY33,MK34-MIN(MIN(BY34*AKY33,IX34+MK34),MK34)),MK34)</f>
        <v>0</v>
      </c>
      <c r="MM34" s="20" t="n">
        <f aca="false">IF(H_Direct=1,IF(BZ34&lt;=0,ML34-BZ34*AKZ33,ML34-MIN(MIN(BZ34*AKZ33,IY34+ML34),ML34)),ML34)</f>
        <v>0</v>
      </c>
      <c r="MN34" s="20" t="n">
        <f aca="false">IF(H_Direct=1,IF(CA34&lt;=0,MM34-CA34*ALA33,MM34-MIN(MIN(CA34*ALA33,IZ34+MM34),MM34)),MM34)</f>
        <v>0</v>
      </c>
      <c r="MO34" s="20" t="n">
        <f aca="false">IF(H_Direct=1,IF(CB34&lt;=0,MN34-CB34*ALB33,MN34-MIN(MIN(CB34*ALB33,JA34+MN34),MN34)),MN34)</f>
        <v>0</v>
      </c>
      <c r="MP34" s="20" t="n">
        <f aca="false">IF(H_Direct=1,IF(CC34&lt;=0,MO34-CC34*ALC33,MO34-MIN(MIN(CC34*ALC33,JB34+MO34),MO34)),MO34)</f>
        <v>0</v>
      </c>
      <c r="MQ34" s="20" t="n">
        <f aca="false">IF(H_Direct=1,IF(CD34&lt;=0,MP34-CD34*ALD33,MP34-MIN(MIN(CD34*ALD33,JC34+MP34),MP34)),MP34)</f>
        <v>0</v>
      </c>
      <c r="MR34" s="20" t="n">
        <f aca="false">IF(H_Direct=1,IF(CE34&lt;=0,MQ34-CE34*ALE33,MQ34-MIN(MIN(CE34*ALE33,JD34+MQ34),MQ34)),MQ34)</f>
        <v>0</v>
      </c>
      <c r="MS34" s="20" t="n">
        <f aca="false">IF(H_Direct=1,IF(CF34&lt;=0,MR34-CF34*ALF33,MR34-MIN(MIN(CF34*ALF33,JE34+MR34),MR34)),MR34)</f>
        <v>0</v>
      </c>
      <c r="MT34" s="20" t="n">
        <f aca="false">IF(H_Direct=1,IF(CG34&lt;=0,MS34-CG34*ALG33,MS34-MIN(MIN(CG34*ALG33,JF34+MS34),MS34)),MS34)</f>
        <v>0</v>
      </c>
      <c r="MU34" s="20" t="n">
        <f aca="false">IF(H_Direct=1,IF(CH34&lt;=0,MT34-CH34*ALH33,MT34-MIN(MIN(CH34*ALH33,JG34+MT34),MT34)),MT34)</f>
        <v>0</v>
      </c>
      <c r="MV34" s="20" t="n">
        <f aca="false">IF(H_Direct=1,IF(CI34&lt;=0,MU34-CI34*ALI33,MU34-MIN(MIN(CI34*ALI33,JH34+MU34),MU34)),MU34)</f>
        <v>0</v>
      </c>
      <c r="MW34" s="20" t="n">
        <f aca="false">IF(H_Direct=1,IF(CJ34&lt;=0,MV34-CJ34*ALJ33,MV34-MIN(MIN(CJ34*ALJ33,JI34+MV34),MV34)),MV34)</f>
        <v>0</v>
      </c>
      <c r="MX34" s="20" t="n">
        <f aca="false">IF(H_Direct=1,IF(CK34&lt;=0,MW34-CK34*ALK33,MW34-MIN(MIN(CK34*ALK33,JJ34+MW34),MW34)),MW34)</f>
        <v>0</v>
      </c>
      <c r="MY34" s="20" t="n">
        <f aca="false">IF(H_Direct=1,IF(CL34&lt;=0,MX34-CL34*ALL33,MX34-MIN(MIN(CL34*ALL33,JK34+MX34),MX34)),MX34)</f>
        <v>0</v>
      </c>
      <c r="MZ34" s="20" t="n">
        <f aca="false">IF(H_Direct=1,IF(CM34&lt;=0,MY34-CM34*ALM33,MY34-MIN(MIN(CM34*ALM33,JL34+MY34),MY34)),MY34)</f>
        <v>0</v>
      </c>
      <c r="NA34" s="20" t="n">
        <f aca="false">IF(H_Direct=1,IF(CN34&lt;=0,MZ34-CN34*ALN33,MZ34-MIN(MIN(CN34*ALN33,JM34+MZ34),MZ34)),MZ34)</f>
        <v>0</v>
      </c>
      <c r="NB34" s="20" t="n">
        <f aca="false">IF(H_Direct=1,IF(CO34&lt;=0,NA34-CO34*ALO33,NA34-MIN(MIN(CO34*ALO33,JN34+NA34),NA34)),NA34)</f>
        <v>0</v>
      </c>
      <c r="NC34" s="20" t="n">
        <f aca="false">IF(H_Direct=1,IF(CP34&lt;=0,NB34-CP34*ALP33,NB34-MIN(MIN(CP34*ALP33,JO34+NB34),NB34)),NB34)</f>
        <v>0</v>
      </c>
      <c r="ND34" s="20" t="n">
        <f aca="false">IF(H_Direct=1,IF(CQ34&lt;=0,NC34-CQ34*ALQ33,NC34-MIN(MIN(CQ34*ALQ33,JP34+NC34),NC34)),NC34)</f>
        <v>0</v>
      </c>
      <c r="NE34" s="20" t="n">
        <f aca="false">IF(H_Direct=1,IF(CR34&lt;=0,ND34-CR34*ALR33,ND34-MIN(MIN(CR34*ALR33,JQ34+ND34),ND34)),ND34)</f>
        <v>0</v>
      </c>
      <c r="NF34" s="20" t="n">
        <f aca="false">IF(H_Direct=1,IF(CS34&lt;=0,NE34-CS34*(P34+S34),NE34-MIN(MIN(CS34*(P34+S34),JR34+NE34),NE34)),NE34)</f>
        <v>0</v>
      </c>
      <c r="NG34" s="20" t="n">
        <f aca="false">NF34</f>
        <v>0</v>
      </c>
      <c r="NH34" s="20" t="n">
        <f aca="false">NG34</f>
        <v>0</v>
      </c>
      <c r="NI34" s="20" t="n">
        <f aca="false">NH34</f>
        <v>0</v>
      </c>
      <c r="NJ34" s="20" t="n">
        <f aca="false">NI34</f>
        <v>0</v>
      </c>
      <c r="NK34" s="20" t="n">
        <f aca="false">NJ34</f>
        <v>0</v>
      </c>
      <c r="NL34" s="20" t="n">
        <f aca="false">NK34</f>
        <v>0</v>
      </c>
      <c r="NM34" s="20" t="n">
        <f aca="false">NL34</f>
        <v>0</v>
      </c>
      <c r="NN34" s="20" t="n">
        <f aca="false">NM34</f>
        <v>0</v>
      </c>
      <c r="NO34" s="20" t="n">
        <f aca="false">NN34</f>
        <v>0</v>
      </c>
      <c r="NP34" s="20" t="n">
        <f aca="false">NO34</f>
        <v>0</v>
      </c>
      <c r="NQ34" s="20" t="n">
        <f aca="false">NP34</f>
        <v>0</v>
      </c>
      <c r="NR34" s="20" t="n">
        <f aca="false">NQ34</f>
        <v>0</v>
      </c>
      <c r="NS34" s="20" t="n">
        <f aca="false">NR34</f>
        <v>0</v>
      </c>
      <c r="NT34" s="20" t="n">
        <f aca="false">NS34</f>
        <v>0</v>
      </c>
      <c r="NU34" s="20" t="n">
        <f aca="false">NT34</f>
        <v>0</v>
      </c>
      <c r="NV34" s="20" t="n">
        <f aca="false">NU34</f>
        <v>0</v>
      </c>
      <c r="NW34" s="20" t="n">
        <f aca="false">NV34</f>
        <v>0</v>
      </c>
      <c r="NX34" s="20" t="n">
        <f aca="false">NW34</f>
        <v>0</v>
      </c>
      <c r="NY34" s="20" t="n">
        <f aca="false">NX34</f>
        <v>0</v>
      </c>
      <c r="NZ34" s="20" t="n">
        <f aca="false">NY34</f>
        <v>0</v>
      </c>
      <c r="OA34" s="20" t="n">
        <f aca="false">NZ34</f>
        <v>0</v>
      </c>
      <c r="OB34" s="20" t="n">
        <f aca="false">OA34</f>
        <v>0</v>
      </c>
      <c r="OC34" s="20" t="n">
        <f aca="false">OB34</f>
        <v>0</v>
      </c>
      <c r="OD34" s="20" t="n">
        <f aca="false">OC34</f>
        <v>0</v>
      </c>
      <c r="OE34" s="20" t="n">
        <f aca="false">OD34</f>
        <v>0</v>
      </c>
      <c r="OF34" s="20" t="n">
        <f aca="false">OE34</f>
        <v>0</v>
      </c>
      <c r="OG34" s="20" t="n">
        <f aca="false">OF34</f>
        <v>0</v>
      </c>
      <c r="OH34" s="20" t="n">
        <f aca="false">OG34</f>
        <v>0</v>
      </c>
      <c r="OI34" s="20" t="n">
        <f aca="false">OH34</f>
        <v>0</v>
      </c>
      <c r="OJ34" s="20" t="n">
        <f aca="false">OI34</f>
        <v>0</v>
      </c>
      <c r="OK34" s="20" t="n">
        <f aca="false">OJ34</f>
        <v>0</v>
      </c>
      <c r="OL34" s="20" t="n">
        <f aca="false">OK34</f>
        <v>0</v>
      </c>
      <c r="OM34" s="20" t="n">
        <f aca="false">OL34</f>
        <v>0</v>
      </c>
      <c r="ON34" s="20" t="n">
        <f aca="false">OM34</f>
        <v>0</v>
      </c>
      <c r="OO34" s="20" t="n">
        <f aca="false">ON34</f>
        <v>0</v>
      </c>
      <c r="OP34" s="20" t="n">
        <f aca="false">OO34</f>
        <v>0</v>
      </c>
      <c r="OQ34" s="20" t="n">
        <f aca="false">OP34</f>
        <v>0</v>
      </c>
      <c r="OR34" s="20" t="n">
        <f aca="false">OQ34</f>
        <v>0</v>
      </c>
      <c r="OS34" s="20" t="n">
        <f aca="false">OR34</f>
        <v>0</v>
      </c>
      <c r="OT34" s="20" t="n">
        <f aca="false">OS34</f>
        <v>0</v>
      </c>
      <c r="OU34" s="20" t="n">
        <f aca="false">OT34</f>
        <v>0</v>
      </c>
      <c r="OV34" s="20" t="n">
        <f aca="false">OU34</f>
        <v>0</v>
      </c>
      <c r="OW34" s="20" t="n">
        <f aca="false">OV34</f>
        <v>0</v>
      </c>
      <c r="OX34" s="20" t="n">
        <f aca="false">OW34</f>
        <v>0</v>
      </c>
      <c r="OY34" s="20" t="n">
        <f aca="false">OX34</f>
        <v>0</v>
      </c>
      <c r="OZ34" s="20" t="n">
        <f aca="false">OY34</f>
        <v>0</v>
      </c>
      <c r="PA34" s="20" t="n">
        <f aca="false">OZ34</f>
        <v>0</v>
      </c>
      <c r="PB34" s="20" t="n">
        <f aca="false">PA34</f>
        <v>0</v>
      </c>
      <c r="PC34" s="20" t="n">
        <f aca="false">PB34</f>
        <v>0</v>
      </c>
      <c r="PD34" s="20" t="n">
        <f aca="false">PC34</f>
        <v>0</v>
      </c>
      <c r="PE34" s="20" t="n">
        <f aca="false">PD34</f>
        <v>0</v>
      </c>
      <c r="PF34" s="20" t="n">
        <f aca="false">PE34</f>
        <v>0</v>
      </c>
      <c r="PG34" s="20" t="n">
        <f aca="false">PF34</f>
        <v>0</v>
      </c>
      <c r="PH34" s="20" t="n">
        <f aca="false">PG34</f>
        <v>0</v>
      </c>
      <c r="PI34" s="20" t="n">
        <f aca="false">PH34</f>
        <v>0</v>
      </c>
      <c r="PJ34" s="20" t="n">
        <f aca="false">PI34</f>
        <v>0</v>
      </c>
      <c r="PK34" s="20" t="n">
        <f aca="false">PJ34</f>
        <v>0</v>
      </c>
      <c r="PL34" s="20" t="n">
        <f aca="false">PK34</f>
        <v>0</v>
      </c>
      <c r="PM34" s="20" t="n">
        <f aca="false">PL34</f>
        <v>0</v>
      </c>
      <c r="PN34" s="20" t="n">
        <f aca="false">PM34</f>
        <v>0</v>
      </c>
      <c r="PO34" s="20" t="n">
        <f aca="false">PN34</f>
        <v>0</v>
      </c>
      <c r="PP34" s="20" t="n">
        <f aca="false">PO34</f>
        <v>0</v>
      </c>
      <c r="PQ34" s="20" t="n">
        <f aca="false">PP34</f>
        <v>0</v>
      </c>
      <c r="PR34" s="20" t="n">
        <f aca="false">IF(H_Direct=1,IF(AKR33&lt;=0,0,IF(BR34&lt;=0,MIN(MAX(0,AB34),AKR33),MIN(MAX(0,AB34),AKR33-G34*MAX(0,BR34*AKR33-(H34+I34))))),MIN(FE34,MAX(0,AB34)))</f>
        <v>0</v>
      </c>
      <c r="PS34" s="20" t="n">
        <f aca="false">IF(H_Direct=1,IF(AKS33&lt;=0,0,IF(BS34&lt;=0,MIN(MAX(0,AB34-SUM(PR34:PR34)),AKS33),MIN(MAX(0,AB34-SUM(PR34:PR34)),AKS33-G34*MAX(0,BS34*AKS33-(WR34+AAE34))))),MIN(FF34,MAX(0,AB34-SUM(PR34:PR34))))</f>
        <v>0</v>
      </c>
      <c r="PT34" s="20" t="n">
        <f aca="false">IF(H_Direct=1,IF(AKT33&lt;=0,0,IF(BT34&lt;=0,MIN(MAX(0,AB34-SUM(PR34:PS34)),AKT33),MIN(MAX(0,AB34-SUM(PR34:PS34)),AKT33-G34*MAX(0,BT34*AKT33-(WS34+AAF34))))),MIN(FG34,MAX(0,AB34-SUM(PR34:PS34))))</f>
        <v>0</v>
      </c>
      <c r="PU34" s="20" t="n">
        <f aca="false">IF(H_Direct=1,IF(AKU33&lt;=0,0,IF(BU34&lt;=0,MIN(MAX(0,AB34-SUM(PR34:PT34)),AKU33),MIN(MAX(0,AB34-SUM(PR34:PT34)),AKU33-G34*MAX(0,BU34*AKU33-(WT34+AAG34))))),MIN(FH34,MAX(0,AB34-SUM(PR34:PT34))))</f>
        <v>0</v>
      </c>
      <c r="PV34" s="20" t="n">
        <f aca="false">IF(H_Direct=1,IF(AKV33&lt;=0,0,IF(BV34&lt;=0,MIN(MAX(0,AB34-SUM(PR34:PU34)),AKV33),MIN(MAX(0,AB34-SUM(PR34:PU34)),AKV33-G34*MAX(0,BV34*AKV33-(WU34+AAH34))))),MIN(FI34,MAX(0,AB34-SUM(PR34:PU34))))</f>
        <v>0</v>
      </c>
      <c r="PW34" s="20" t="n">
        <f aca="false">IF(H_Direct=1,IF(AKW33&lt;=0,0,IF(BW34&lt;=0,MIN(MAX(0,AB34-SUM(PR34:PV34)),AKW33),MIN(MAX(0,AB34-SUM(PR34:PV34)),AKW33-G34*MAX(0,BW34*AKW33-(WV34+AAI34))))),MIN(FJ34,MAX(0,AB34-SUM(PR34:PV34))))</f>
        <v>0</v>
      </c>
      <c r="PX34" s="20" t="n">
        <f aca="false">IF(H_Direct=1,IF(AKX33&lt;=0,0,IF(BX34&lt;=0,MIN(MAX(0,AB34-SUM(PR34:PW34)),AKX33),MIN(MAX(0,AB34-SUM(PR34:PW34)),AKX33-G34*MAX(0,BX34*AKX33-(WW34+AAJ34))))),MIN(FK34,MAX(0,AB34-SUM(PR34:PW34))))</f>
        <v>0</v>
      </c>
      <c r="PY34" s="20" t="n">
        <f aca="false">IF(H_Direct=1,IF(AKY33&lt;=0,0,IF(BY34&lt;=0,MIN(MAX(0,AB34-SUM(PR34:PX34)),AKY33),MIN(MAX(0,AB34-SUM(PR34:PX34)),AKY33-G34*MAX(0,BY34*AKY33-(WX34+AAK34))))),MIN(FL34,MAX(0,AB34-SUM(PR34:PX34))))</f>
        <v>0</v>
      </c>
      <c r="PZ34" s="20" t="n">
        <f aca="false">IF(H_Direct=1,IF(AKZ33&lt;=0,0,IF(BZ34&lt;=0,MIN(MAX(0,AB34-SUM(PR34:PY34)),AKZ33),MIN(MAX(0,AB34-SUM(PR34:PY34)),AKZ33-G34*MAX(0,BZ34*AKZ33-(WY34+AAL34))))),MIN(FM34,MAX(0,AB34-SUM(PR34:PY34))))</f>
        <v>0</v>
      </c>
      <c r="QA34" s="20" t="n">
        <f aca="false">IF(H_Direct=1,IF(ALA33&lt;=0,0,IF(CA34&lt;=0,MIN(MAX(0,AB34-SUM(PR34:PZ34)),ALA33),MIN(MAX(0,AB34-SUM(PR34:PZ34)),ALA33-G34*MAX(0,CA34*ALA33-(WZ34+AAM34))))),MIN(FN34,MAX(0,AB34-SUM(PR34:PZ34))))</f>
        <v>0</v>
      </c>
      <c r="QB34" s="20" t="n">
        <f aca="false">IF(H_Direct=1,IF(ALB33&lt;=0,0,IF(CB34&lt;=0,MIN(MAX(0,AB34-SUM(PR34:QA34)),ALB33),MIN(MAX(0,AB34-SUM(PR34:QA34)),ALB33-G34*MAX(0,CB34*ALB33-(XA34+AAN34))))),MIN(FO34,MAX(0,AB34-SUM(PR34:QA34))))</f>
        <v>0</v>
      </c>
      <c r="QC34" s="20" t="n">
        <f aca="false">IF(H_Direct=1,IF(ALC33&lt;=0,0,IF(CC34&lt;=0,MIN(MAX(0,AB34-SUM(PR34:QB34)),ALC33),MIN(MAX(0,AB34-SUM(PR34:QB34)),ALC33-G34*MAX(0,CC34*ALC33-(XB34+AAO34))))),MIN(FP34,MAX(0,AB34-SUM(PR34:QB34))))</f>
        <v>0</v>
      </c>
      <c r="QD34" s="20" t="n">
        <f aca="false">IF(H_Direct=1,IF(ALD33&lt;=0,0,IF(CD34&lt;=0,MIN(MAX(0,AB34-SUM(PR34:QC34)),ALD33),MIN(MAX(0,AB34-SUM(PR34:QC34)),ALD33-G34*MAX(0,CD34*ALD33-(XC34+AAP34))))),MIN(FQ34,MAX(0,AB34-SUM(PR34:QC34))))</f>
        <v>0</v>
      </c>
      <c r="QE34" s="20" t="n">
        <f aca="false">IF(H_Direct=1,IF(ALE33&lt;=0,0,IF(CE34&lt;=0,MIN(MAX(0,AB34-SUM(PR34:QD34)),ALE33),MIN(MAX(0,AB34-SUM(PR34:QD34)),ALE33-G34*MAX(0,CE34*ALE33-(XD34+AAQ34))))),MIN(FR34,MAX(0,AB34-SUM(PR34:QD34))))</f>
        <v>0</v>
      </c>
      <c r="QF34" s="20" t="n">
        <f aca="false">IF(H_Direct=1,IF(ALF33&lt;=0,0,IF(CF34&lt;=0,MIN(MAX(0,AB34-SUM(PR34:QE34)),ALF33),MIN(MAX(0,AB34-SUM(PR34:QE34)),ALF33-G34*MAX(0,CF34*ALF33-(XE34+AAR34))))),MIN(FS34,MAX(0,AB34-SUM(PR34:QE34))))</f>
        <v>0</v>
      </c>
      <c r="QG34" s="20" t="n">
        <f aca="false">IF(H_Direct=1,IF(ALG33&lt;=0,0,IF(CG34&lt;=0,MIN(MAX(0,AB34-SUM(PR34:QF34)),ALG33),MIN(MAX(0,AB34-SUM(PR34:QF34)),ALG33-G34*MAX(0,CG34*ALG33-(XF34+AAS34))))),MIN(FT34,MAX(0,AB34-SUM(PR34:QF34))))</f>
        <v>0</v>
      </c>
      <c r="QH34" s="20" t="n">
        <f aca="false">IF(H_Direct=1,IF(ALH33&lt;=0,0,IF(CH34&lt;=0,MIN(MAX(0,AB34-SUM(PR34:QG34)),ALH33),MIN(MAX(0,AB34-SUM(PR34:QG34)),ALH33-G34*MAX(0,CH34*ALH33-(XG34+AAT34))))),MIN(FU34,MAX(0,AB34-SUM(PR34:QG34))))</f>
        <v>0</v>
      </c>
      <c r="QI34" s="20" t="n">
        <f aca="false">IF(H_Direct=1,IF(ALI33&lt;=0,0,IF(CI34&lt;=0,MIN(MAX(0,AB34-SUM(PR34:QH34)),ALI33),MIN(MAX(0,AB34-SUM(PR34:QH34)),ALI33-G34*MAX(0,CI34*ALI33-(XH34+AAU34))))),MIN(FV34,MAX(0,AB34-SUM(PR34:QH34))))</f>
        <v>0</v>
      </c>
      <c r="QJ34" s="20" t="n">
        <f aca="false">IF(H_Direct=1,IF(ALJ33&lt;=0,0,IF(CJ34&lt;=0,MIN(MAX(0,AB34-SUM(PR34:QI34)),ALJ33),MIN(MAX(0,AB34-SUM(PR34:QI34)),ALJ33-G34*MAX(0,CJ34*ALJ33-(XI34+AAV34))))),MIN(FW34,MAX(0,AB34-SUM(PR34:QI34))))</f>
        <v>0</v>
      </c>
      <c r="QK34" s="20" t="n">
        <f aca="false">IF(H_Direct=1,IF(ALK33&lt;=0,0,IF(CK34&lt;=0,MIN(MAX(0,AB34-SUM(PR34:QJ34)),ALK33),MIN(MAX(0,AB34-SUM(PR34:QJ34)),ALK33-G34*MAX(0,CK34*ALK33-(XJ34+AAW34))))),MIN(FX34,MAX(0,AB34-SUM(PR34:QJ34))))</f>
        <v>0</v>
      </c>
      <c r="QL34" s="20" t="n">
        <f aca="false">IF(H_Direct=1,IF(ALL33&lt;=0,0,IF(CL34&lt;=0,MIN(MAX(0,AB34-SUM(PR34:QK34)),ALL33),MIN(MAX(0,AB34-SUM(PR34:QK34)),ALL33-G34*MAX(0,CL34*ALL33-(XK34+AAX34))))),MIN(FY34,MAX(0,AB34-SUM(PR34:QK34))))</f>
        <v>0</v>
      </c>
      <c r="QM34" s="20" t="n">
        <f aca="false">IF(H_Direct=1,IF(ALM33&lt;=0,0,IF(CM34&lt;=0,MIN(MAX(0,AB34-SUM(PR34:QL34)),ALM33),MIN(MAX(0,AB34-SUM(PR34:QL34)),ALM33-G34*MAX(0,CM34*ALM33-(XL34+AAY34))))),MIN(FZ34,MAX(0,AB34-SUM(PR34:QL34))))</f>
        <v>0</v>
      </c>
      <c r="QN34" s="20" t="n">
        <f aca="false">IF(H_Direct=1,IF(ALN33&lt;=0,0,IF(CN34&lt;=0,MIN(MAX(0,AB34-SUM(PR34:QM34)),ALN33),MIN(MAX(0,AB34-SUM(PR34:QM34)),ALN33-G34*MAX(0,CN34*ALN33-(XM34+AAZ34))))),MIN(GA34,MAX(0,AB34-SUM(PR34:QM34))))</f>
        <v>0</v>
      </c>
      <c r="QO34" s="20" t="n">
        <f aca="false">IF(H_Direct=1,IF(ALO33&lt;=0,0,IF(CO34&lt;=0,MIN(MAX(0,AB34-SUM(PR34:QN34)),ALO33),MIN(MAX(0,AB34-SUM(PR34:QN34)),ALO33-G34*MAX(0,CO34*ALO33-(XN34+ABA34))))),MIN(GB34,MAX(0,AB34-SUM(PR34:QN34))))</f>
        <v>0</v>
      </c>
      <c r="QP34" s="20" t="n">
        <f aca="false">IF(H_Direct=1,IF(ALP33&lt;=0,0,IF(CP34&lt;=0,MIN(MAX(0,AB34-SUM(PR34:QO34)),ALP33),MIN(MAX(0,AB34-SUM(PR34:QO34)),ALP33-G34*MAX(0,CP34*ALP33-(XO34+ABB34))))),MIN(GC34,MAX(0,AB34-SUM(PR34:QO34))))</f>
        <v>0</v>
      </c>
      <c r="QQ34" s="20" t="n">
        <f aca="false">IF(H_Direct=1,IF(ALQ33&lt;=0,0,IF(CQ34&lt;=0,MIN(MAX(0,AB34-SUM(PR34:QP34)),ALQ33),MIN(MAX(0,AB34-SUM(PR34:QP34)),ALQ33-G34*MAX(0,CQ34*ALQ33-(XP34+ABC34))))),MIN(GD34,MAX(0,AB34-SUM(PR34:QP34))))</f>
        <v>0</v>
      </c>
      <c r="QR34" s="20" t="n">
        <f aca="false">IF(H_Direct=1,IF(ALR33&lt;=0,0,IF(CR34&lt;=0,MIN(MAX(0,AB34-SUM(PR34:QQ34)),ALR33),MIN(MAX(0,AB34-SUM(PR34:QQ34)),ALR33-G34*MAX(0,CR34*ALR33-(XQ34+ABD34))))),MIN(GE34,MAX(0,AB34-SUM(PR34:QQ34))))</f>
        <v>0</v>
      </c>
      <c r="QS34" s="20" t="n">
        <f aca="false">IF(H_Direct=1,IF((P34+S34)&lt;=0,0,IF(CS34&lt;=0,MIN(MAX(0,AB34-SUM(PR34:QR34)),(P34+S34)),MIN(MAX(0,AB34-SUM(PR34:QR34)),(P34+S34)-G34*MAX(0,CS34*(P34+S34)-(XR34+ABE34))))),MIN(GF34,MAX(0,AB34-SUM(PR34:QR34))))</f>
        <v>0</v>
      </c>
      <c r="QT34" s="20" t="n">
        <v>0</v>
      </c>
      <c r="QU34" s="20" t="n">
        <v>0</v>
      </c>
      <c r="QV34" s="20" t="n">
        <v>0</v>
      </c>
      <c r="QW34" s="20" t="n">
        <v>0</v>
      </c>
      <c r="QX34" s="20" t="n">
        <v>0</v>
      </c>
      <c r="QY34" s="20" t="n">
        <v>0</v>
      </c>
      <c r="QZ34" s="20" t="n">
        <v>0</v>
      </c>
      <c r="RA34" s="20" t="n">
        <v>0</v>
      </c>
      <c r="RB34" s="20" t="n">
        <v>0</v>
      </c>
      <c r="RC34" s="20" t="n">
        <v>0</v>
      </c>
      <c r="RD34" s="20" t="n">
        <v>0</v>
      </c>
      <c r="RE34" s="20" t="n">
        <v>0</v>
      </c>
      <c r="RF34" s="20" t="n">
        <v>0</v>
      </c>
      <c r="RG34" s="20" t="n">
        <v>0</v>
      </c>
      <c r="RH34" s="20" t="n">
        <v>0</v>
      </c>
      <c r="RI34" s="20" t="n">
        <v>0</v>
      </c>
      <c r="RJ34" s="20" t="n">
        <v>0</v>
      </c>
      <c r="RK34" s="20" t="n">
        <v>0</v>
      </c>
      <c r="RL34" s="20" t="n">
        <v>0</v>
      </c>
      <c r="RM34" s="20" t="n">
        <v>0</v>
      </c>
      <c r="RN34" s="20" t="n">
        <v>0</v>
      </c>
      <c r="RO34" s="20" t="n">
        <v>0</v>
      </c>
      <c r="RP34" s="20" t="n">
        <v>0</v>
      </c>
      <c r="RQ34" s="20" t="n">
        <v>0</v>
      </c>
      <c r="RR34" s="20" t="n">
        <v>0</v>
      </c>
      <c r="RS34" s="20" t="n">
        <v>0</v>
      </c>
      <c r="RT34" s="20" t="n">
        <v>0</v>
      </c>
      <c r="RU34" s="20" t="n">
        <v>0</v>
      </c>
      <c r="RV34" s="20" t="n">
        <v>0</v>
      </c>
      <c r="RW34" s="20" t="n">
        <v>0</v>
      </c>
      <c r="RX34" s="20" t="n">
        <v>0</v>
      </c>
      <c r="RY34" s="20" t="n">
        <v>0</v>
      </c>
      <c r="RZ34" s="20" t="n">
        <v>0</v>
      </c>
      <c r="SA34" s="20" t="n">
        <v>0</v>
      </c>
      <c r="SB34" s="20" t="n">
        <v>0</v>
      </c>
      <c r="SC34" s="20" t="n">
        <v>0</v>
      </c>
      <c r="SD34" s="20" t="n">
        <v>0</v>
      </c>
      <c r="SE34" s="20" t="n">
        <v>0</v>
      </c>
      <c r="SF34" s="20" t="n">
        <v>0</v>
      </c>
      <c r="SG34" s="20" t="n">
        <v>0</v>
      </c>
      <c r="SH34" s="20" t="n">
        <v>0</v>
      </c>
      <c r="SI34" s="20" t="n">
        <v>0</v>
      </c>
      <c r="SJ34" s="20" t="n">
        <v>0</v>
      </c>
      <c r="SK34" s="20" t="n">
        <v>0</v>
      </c>
      <c r="SL34" s="20" t="n">
        <v>0</v>
      </c>
      <c r="SM34" s="20" t="n">
        <v>0</v>
      </c>
      <c r="SN34" s="20" t="n">
        <v>0</v>
      </c>
      <c r="SO34" s="20" t="n">
        <v>0</v>
      </c>
      <c r="SP34" s="20" t="n">
        <v>0</v>
      </c>
      <c r="SQ34" s="20" t="n">
        <v>0</v>
      </c>
      <c r="SR34" s="20" t="n">
        <v>0</v>
      </c>
      <c r="SS34" s="20" t="n">
        <v>0</v>
      </c>
      <c r="ST34" s="20" t="n">
        <v>0</v>
      </c>
      <c r="SU34" s="20" t="n">
        <v>0</v>
      </c>
      <c r="SV34" s="20" t="n">
        <v>0</v>
      </c>
      <c r="SW34" s="20" t="n">
        <v>0</v>
      </c>
      <c r="SX34" s="20" t="n">
        <v>0</v>
      </c>
      <c r="SY34" s="20" t="n">
        <v>0</v>
      </c>
      <c r="SZ34" s="20" t="n">
        <v>0</v>
      </c>
      <c r="TA34" s="20" t="n">
        <v>0</v>
      </c>
      <c r="TB34" s="20" t="n">
        <v>0</v>
      </c>
      <c r="TC34" s="20" t="n">
        <v>0</v>
      </c>
      <c r="TD34" s="20" t="n">
        <v>0</v>
      </c>
      <c r="TE34" s="20" t="n">
        <f aca="false">IF(AKR33&lt;=0,0,IF(H_Direct=1,IF(BR34&lt;=0,PR34,IF(PR34&lt;=(H34+I34)/BR34,PR34,(PR34-G34*(H34+I34))/(1-G34*BR34))),PR34/(1-MAX(0,BR34)*H_Exit)))</f>
        <v>0</v>
      </c>
      <c r="TF34" s="20" t="n">
        <f aca="false">IF(AKS33&lt;=0,0,IF(H_Direct=1,IF(BS34&lt;=0,PS34,IF(PS34&lt;=(WR34+AAE34)/BS34,PS34,(PS34-G34*(WR34+AAE34))/(1-G34*BS34))),PS34/(1-MAX(0,BS34)*H_Exit)))</f>
        <v>0</v>
      </c>
      <c r="TG34" s="20" t="n">
        <f aca="false">IF(AKT33&lt;=0,0,IF(H_Direct=1,IF(BT34&lt;=0,PT34,IF(PT34&lt;=(WS34+AAF34)/BT34,PT34,(PT34-G34*(WS34+AAF34))/(1-G34*BT34))),PT34/(1-MAX(0,BT34)*H_Exit)))</f>
        <v>0</v>
      </c>
      <c r="TH34" s="20" t="n">
        <f aca="false">IF(AKU33&lt;=0,0,IF(H_Direct=1,IF(BU34&lt;=0,PU34,IF(PU34&lt;=(WT34+AAG34)/BU34,PU34,(PU34-G34*(WT34+AAG34))/(1-G34*BU34))),PU34/(1-MAX(0,BU34)*H_Exit)))</f>
        <v>0</v>
      </c>
      <c r="TI34" s="20" t="n">
        <f aca="false">IF(AKV33&lt;=0,0,IF(H_Direct=1,IF(BV34&lt;=0,PV34,IF(PV34&lt;=(WU34+AAH34)/BV34,PV34,(PV34-G34*(WU34+AAH34))/(1-G34*BV34))),PV34/(1-MAX(0,BV34)*H_Exit)))</f>
        <v>0</v>
      </c>
      <c r="TJ34" s="20" t="n">
        <f aca="false">IF(AKW33&lt;=0,0,IF(H_Direct=1,IF(BW34&lt;=0,PW34,IF(PW34&lt;=(WV34+AAI34)/BW34,PW34,(PW34-G34*(WV34+AAI34))/(1-G34*BW34))),PW34/(1-MAX(0,BW34)*H_Exit)))</f>
        <v>0</v>
      </c>
      <c r="TK34" s="20" t="n">
        <f aca="false">IF(AKX33&lt;=0,0,IF(H_Direct=1,IF(BX34&lt;=0,PX34,IF(PX34&lt;=(WW34+AAJ34)/BX34,PX34,(PX34-G34*(WW34+AAJ34))/(1-G34*BX34))),PX34/(1-MAX(0,BX34)*H_Exit)))</f>
        <v>0</v>
      </c>
      <c r="TL34" s="20" t="n">
        <f aca="false">IF(AKY33&lt;=0,0,IF(H_Direct=1,IF(BY34&lt;=0,PY34,IF(PY34&lt;=(WX34+AAK34)/BY34,PY34,(PY34-G34*(WX34+AAK34))/(1-G34*BY34))),PY34/(1-MAX(0,BY34)*H_Exit)))</f>
        <v>0</v>
      </c>
      <c r="TM34" s="20" t="n">
        <f aca="false">IF(AKZ33&lt;=0,0,IF(H_Direct=1,IF(BZ34&lt;=0,PZ34,IF(PZ34&lt;=(WY34+AAL34)/BZ34,PZ34,(PZ34-G34*(WY34+AAL34))/(1-G34*BZ34))),PZ34/(1-MAX(0,BZ34)*H_Exit)))</f>
        <v>0</v>
      </c>
      <c r="TN34" s="20" t="n">
        <f aca="false">IF(ALA33&lt;=0,0,IF(H_Direct=1,IF(CA34&lt;=0,QA34,IF(QA34&lt;=(WZ34+AAM34)/CA34,QA34,(QA34-G34*(WZ34+AAM34))/(1-G34*CA34))),QA34/(1-MAX(0,CA34)*H_Exit)))</f>
        <v>0</v>
      </c>
      <c r="TO34" s="20" t="n">
        <f aca="false">IF(ALB33&lt;=0,0,IF(H_Direct=1,IF(CB34&lt;=0,QB34,IF(QB34&lt;=(XA34+AAN34)/CB34,QB34,(QB34-G34*(XA34+AAN34))/(1-G34*CB34))),QB34/(1-MAX(0,CB34)*H_Exit)))</f>
        <v>0</v>
      </c>
      <c r="TP34" s="20" t="n">
        <f aca="false">IF(ALC33&lt;=0,0,IF(H_Direct=1,IF(CC34&lt;=0,QC34,IF(QC34&lt;=(XB34+AAO34)/CC34,QC34,(QC34-G34*(XB34+AAO34))/(1-G34*CC34))),QC34/(1-MAX(0,CC34)*H_Exit)))</f>
        <v>0</v>
      </c>
      <c r="TQ34" s="20" t="n">
        <f aca="false">IF(ALD33&lt;=0,0,IF(H_Direct=1,IF(CD34&lt;=0,QD34,IF(QD34&lt;=(XC34+AAP34)/CD34,QD34,(QD34-G34*(XC34+AAP34))/(1-G34*CD34))),QD34/(1-MAX(0,CD34)*H_Exit)))</f>
        <v>0</v>
      </c>
      <c r="TR34" s="20" t="n">
        <f aca="false">IF(ALE33&lt;=0,0,IF(H_Direct=1,IF(CE34&lt;=0,QE34,IF(QE34&lt;=(XD34+AAQ34)/CE34,QE34,(QE34-G34*(XD34+AAQ34))/(1-G34*CE34))),QE34/(1-MAX(0,CE34)*H_Exit)))</f>
        <v>0</v>
      </c>
      <c r="TS34" s="20" t="n">
        <f aca="false">IF(ALF33&lt;=0,0,IF(H_Direct=1,IF(CF34&lt;=0,QF34,IF(QF34&lt;=(XE34+AAR34)/CF34,QF34,(QF34-G34*(XE34+AAR34))/(1-G34*CF34))),QF34/(1-MAX(0,CF34)*H_Exit)))</f>
        <v>0</v>
      </c>
      <c r="TT34" s="20" t="n">
        <f aca="false">IF(ALG33&lt;=0,0,IF(H_Direct=1,IF(CG34&lt;=0,QG34,IF(QG34&lt;=(XF34+AAS34)/CG34,QG34,(QG34-G34*(XF34+AAS34))/(1-G34*CG34))),QG34/(1-MAX(0,CG34)*H_Exit)))</f>
        <v>0</v>
      </c>
      <c r="TU34" s="20" t="n">
        <f aca="false">IF(ALH33&lt;=0,0,IF(H_Direct=1,IF(CH34&lt;=0,QH34,IF(QH34&lt;=(XG34+AAT34)/CH34,QH34,(QH34-G34*(XG34+AAT34))/(1-G34*CH34))),QH34/(1-MAX(0,CH34)*H_Exit)))</f>
        <v>0</v>
      </c>
      <c r="TV34" s="20" t="n">
        <f aca="false">IF(ALI33&lt;=0,0,IF(H_Direct=1,IF(CI34&lt;=0,QI34,IF(QI34&lt;=(XH34+AAU34)/CI34,QI34,(QI34-G34*(XH34+AAU34))/(1-G34*CI34))),QI34/(1-MAX(0,CI34)*H_Exit)))</f>
        <v>0</v>
      </c>
      <c r="TW34" s="20" t="n">
        <f aca="false">IF(ALJ33&lt;=0,0,IF(H_Direct=1,IF(CJ34&lt;=0,QJ34,IF(QJ34&lt;=(XI34+AAV34)/CJ34,QJ34,(QJ34-G34*(XI34+AAV34))/(1-G34*CJ34))),QJ34/(1-MAX(0,CJ34)*H_Exit)))</f>
        <v>0</v>
      </c>
      <c r="TX34" s="20" t="n">
        <f aca="false">IF(ALK33&lt;=0,0,IF(H_Direct=1,IF(CK34&lt;=0,QK34,IF(QK34&lt;=(XJ34+AAW34)/CK34,QK34,(QK34-G34*(XJ34+AAW34))/(1-G34*CK34))),QK34/(1-MAX(0,CK34)*H_Exit)))</f>
        <v>0</v>
      </c>
      <c r="TY34" s="20" t="n">
        <f aca="false">IF(ALL33&lt;=0,0,IF(H_Direct=1,IF(CL34&lt;=0,QL34,IF(QL34&lt;=(XK34+AAX34)/CL34,QL34,(QL34-G34*(XK34+AAX34))/(1-G34*CL34))),QL34/(1-MAX(0,CL34)*H_Exit)))</f>
        <v>0</v>
      </c>
      <c r="TZ34" s="20" t="n">
        <f aca="false">IF(ALM33&lt;=0,0,IF(H_Direct=1,IF(CM34&lt;=0,QM34,IF(QM34&lt;=(XL34+AAY34)/CM34,QM34,(QM34-G34*(XL34+AAY34))/(1-G34*CM34))),QM34/(1-MAX(0,CM34)*H_Exit)))</f>
        <v>0</v>
      </c>
      <c r="UA34" s="20" t="n">
        <f aca="false">IF(ALN33&lt;=0,0,IF(H_Direct=1,IF(CN34&lt;=0,QN34,IF(QN34&lt;=(XM34+AAZ34)/CN34,QN34,(QN34-G34*(XM34+AAZ34))/(1-G34*CN34))),QN34/(1-MAX(0,CN34)*H_Exit)))</f>
        <v>0</v>
      </c>
      <c r="UB34" s="20" t="n">
        <f aca="false">IF(ALO33&lt;=0,0,IF(H_Direct=1,IF(CO34&lt;=0,QO34,IF(QO34&lt;=(XN34+ABA34)/CO34,QO34,(QO34-G34*(XN34+ABA34))/(1-G34*CO34))),QO34/(1-MAX(0,CO34)*H_Exit)))</f>
        <v>0</v>
      </c>
      <c r="UC34" s="20" t="n">
        <f aca="false">IF(ALP33&lt;=0,0,IF(H_Direct=1,IF(CP34&lt;=0,QP34,IF(QP34&lt;=(XO34+ABB34)/CP34,QP34,(QP34-G34*(XO34+ABB34))/(1-G34*CP34))),QP34/(1-MAX(0,CP34)*H_Exit)))</f>
        <v>0</v>
      </c>
      <c r="UD34" s="20" t="n">
        <f aca="false">IF(ALQ33&lt;=0,0,IF(H_Direct=1,IF(CQ34&lt;=0,QQ34,IF(QQ34&lt;=(XP34+ABC34)/CQ34,QQ34,(QQ34-G34*(XP34+ABC34))/(1-G34*CQ34))),QQ34/(1-MAX(0,CQ34)*H_Exit)))</f>
        <v>0</v>
      </c>
      <c r="UE34" s="20" t="n">
        <f aca="false">IF(ALR33&lt;=0,0,IF(H_Direct=1,IF(CR34&lt;=0,QR34,IF(QR34&lt;=(XQ34+ABD34)/CR34,QR34,(QR34-G34*(XQ34+ABD34))/(1-G34*CR34))),QR34/(1-MAX(0,CR34)*H_Exit)))</f>
        <v>0</v>
      </c>
      <c r="UF34" s="20" t="n">
        <f aca="false">IF((P34+S34)&lt;=0,0,IF(H_Direct=1,IF(CS34&lt;=0,QS34,IF(QS34&lt;=(XR34+ABE34)/CS34,QS34,(QS34-G34*(XR34+ABE34))/(1-G34*CS34))),QS34/(1-MAX(0,CS34)*H_Exit)))</f>
        <v>0</v>
      </c>
      <c r="UG34" s="20" t="n">
        <v>0</v>
      </c>
      <c r="UH34" s="20" t="n">
        <v>0</v>
      </c>
      <c r="UI34" s="20" t="n">
        <v>0</v>
      </c>
      <c r="UJ34" s="20" t="n">
        <v>0</v>
      </c>
      <c r="UK34" s="20" t="n">
        <v>0</v>
      </c>
      <c r="UL34" s="20" t="n">
        <v>0</v>
      </c>
      <c r="UM34" s="20" t="n">
        <v>0</v>
      </c>
      <c r="UN34" s="20" t="n">
        <v>0</v>
      </c>
      <c r="UO34" s="20" t="n">
        <v>0</v>
      </c>
      <c r="UP34" s="20" t="n">
        <v>0</v>
      </c>
      <c r="UQ34" s="20" t="n">
        <v>0</v>
      </c>
      <c r="UR34" s="20" t="n">
        <v>0</v>
      </c>
      <c r="US34" s="20" t="n">
        <v>0</v>
      </c>
      <c r="UT34" s="20" t="n">
        <v>0</v>
      </c>
      <c r="UU34" s="20" t="n">
        <v>0</v>
      </c>
      <c r="UV34" s="20" t="n">
        <v>0</v>
      </c>
      <c r="UW34" s="20" t="n">
        <v>0</v>
      </c>
      <c r="UX34" s="20" t="n">
        <v>0</v>
      </c>
      <c r="UY34" s="20" t="n">
        <v>0</v>
      </c>
      <c r="UZ34" s="20" t="n">
        <v>0</v>
      </c>
      <c r="VA34" s="20" t="n">
        <v>0</v>
      </c>
      <c r="VB34" s="20" t="n">
        <v>0</v>
      </c>
      <c r="VC34" s="20" t="n">
        <v>0</v>
      </c>
      <c r="VD34" s="20" t="n">
        <v>0</v>
      </c>
      <c r="VE34" s="20" t="n">
        <v>0</v>
      </c>
      <c r="VF34" s="20" t="n">
        <v>0</v>
      </c>
      <c r="VG34" s="20" t="n">
        <v>0</v>
      </c>
      <c r="VH34" s="20" t="n">
        <v>0</v>
      </c>
      <c r="VI34" s="20" t="n">
        <v>0</v>
      </c>
      <c r="VJ34" s="20" t="n">
        <v>0</v>
      </c>
      <c r="VK34" s="20" t="n">
        <v>0</v>
      </c>
      <c r="VL34" s="20" t="n">
        <v>0</v>
      </c>
      <c r="VM34" s="20" t="n">
        <v>0</v>
      </c>
      <c r="VN34" s="20" t="n">
        <v>0</v>
      </c>
      <c r="VO34" s="20" t="n">
        <v>0</v>
      </c>
      <c r="VP34" s="20" t="n">
        <v>0</v>
      </c>
      <c r="VQ34" s="20" t="n">
        <v>0</v>
      </c>
      <c r="VR34" s="20" t="n">
        <v>0</v>
      </c>
      <c r="VS34" s="20" t="n">
        <v>0</v>
      </c>
      <c r="VT34" s="20" t="n">
        <v>0</v>
      </c>
      <c r="VU34" s="20" t="n">
        <v>0</v>
      </c>
      <c r="VV34" s="20" t="n">
        <v>0</v>
      </c>
      <c r="VW34" s="20" t="n">
        <v>0</v>
      </c>
      <c r="VX34" s="20" t="n">
        <v>0</v>
      </c>
      <c r="VY34" s="20" t="n">
        <v>0</v>
      </c>
      <c r="VZ34" s="20" t="n">
        <v>0</v>
      </c>
      <c r="WA34" s="20" t="n">
        <v>0</v>
      </c>
      <c r="WB34" s="20" t="n">
        <v>0</v>
      </c>
      <c r="WC34" s="20" t="n">
        <v>0</v>
      </c>
      <c r="WD34" s="20" t="n">
        <v>0</v>
      </c>
      <c r="WE34" s="20" t="n">
        <v>0</v>
      </c>
      <c r="WF34" s="20" t="n">
        <v>0</v>
      </c>
      <c r="WG34" s="20" t="n">
        <v>0</v>
      </c>
      <c r="WH34" s="20" t="n">
        <v>0</v>
      </c>
      <c r="WI34" s="20" t="n">
        <v>0</v>
      </c>
      <c r="WJ34" s="20" t="n">
        <v>0</v>
      </c>
      <c r="WK34" s="20" t="n">
        <v>0</v>
      </c>
      <c r="WL34" s="20" t="n">
        <v>0</v>
      </c>
      <c r="WM34" s="20" t="n">
        <v>0</v>
      </c>
      <c r="WN34" s="20" t="n">
        <v>0</v>
      </c>
      <c r="WO34" s="20" t="n">
        <v>0</v>
      </c>
      <c r="WP34" s="20" t="n">
        <v>0</v>
      </c>
      <c r="WQ34" s="20" t="n">
        <v>0</v>
      </c>
      <c r="WR34" s="20" t="n">
        <f aca="false">IF(AND(H_Direct=1,BR34&gt;0),MAX(0,H34-(MIN(BR34*TE34,(H34+I34))-MIN(MIN(BR34*TE34,(H34+I34)),I34))),H34)</f>
        <v>1270</v>
      </c>
      <c r="WS34" s="20" t="n">
        <f aca="false">IF(AND(H_Direct=1,BS34&gt;0),MAX(0,WR34-(MIN(BS34*TF34,(WR34+AAE34))-MIN(MIN(BS34*TF34,(WR34+AAE34)),AAE34))),WR34)</f>
        <v>1270</v>
      </c>
      <c r="WT34" s="20" t="n">
        <f aca="false">IF(AND(H_Direct=1,BT34&gt;0),MAX(0,WS34-(MIN(BT34*TG34,(WS34+AAF34))-MIN(MIN(BT34*TG34,(WS34+AAF34)),AAF34))),WS34)</f>
        <v>1270</v>
      </c>
      <c r="WU34" s="20" t="n">
        <f aca="false">IF(AND(H_Direct=1,BU34&gt;0),MAX(0,WT34-(MIN(BU34*TH34,(WT34+AAG34))-MIN(MIN(BU34*TH34,(WT34+AAG34)),AAG34))),WT34)</f>
        <v>1270</v>
      </c>
      <c r="WV34" s="20" t="n">
        <f aca="false">IF(AND(H_Direct=1,BV34&gt;0),MAX(0,WU34-(MIN(BV34*TI34,(WU34+AAH34))-MIN(MIN(BV34*TI34,(WU34+AAH34)),AAH34))),WU34)</f>
        <v>1270</v>
      </c>
      <c r="WW34" s="20" t="n">
        <f aca="false">IF(AND(H_Direct=1,BW34&gt;0),MAX(0,WV34-(MIN(BW34*TJ34,(WV34+AAI34))-MIN(MIN(BW34*TJ34,(WV34+AAI34)),AAI34))),WV34)</f>
        <v>1270</v>
      </c>
      <c r="WX34" s="20" t="n">
        <f aca="false">IF(AND(H_Direct=1,BX34&gt;0),MAX(0,WW34-(MIN(BX34*TK34,(WW34+AAJ34))-MIN(MIN(BX34*TK34,(WW34+AAJ34)),AAJ34))),WW34)</f>
        <v>1270</v>
      </c>
      <c r="WY34" s="20" t="n">
        <f aca="false">IF(AND(H_Direct=1,BY34&gt;0),MAX(0,WX34-(MIN(BY34*TL34,(WX34+AAK34))-MIN(MIN(BY34*TL34,(WX34+AAK34)),AAK34))),WX34)</f>
        <v>1270</v>
      </c>
      <c r="WZ34" s="20" t="n">
        <f aca="false">IF(AND(H_Direct=1,BZ34&gt;0),MAX(0,WY34-(MIN(BZ34*TM34,(WY34+AAL34))-MIN(MIN(BZ34*TM34,(WY34+AAL34)),AAL34))),WY34)</f>
        <v>1270</v>
      </c>
      <c r="XA34" s="20" t="n">
        <f aca="false">IF(AND(H_Direct=1,CA34&gt;0),MAX(0,WZ34-(MIN(CA34*TN34,(WZ34+AAM34))-MIN(MIN(CA34*TN34,(WZ34+AAM34)),AAM34))),WZ34)</f>
        <v>1270</v>
      </c>
      <c r="XB34" s="20" t="n">
        <f aca="false">IF(AND(H_Direct=1,CB34&gt;0),MAX(0,XA34-(MIN(CB34*TO34,(XA34+AAN34))-MIN(MIN(CB34*TO34,(XA34+AAN34)),AAN34))),XA34)</f>
        <v>1270</v>
      </c>
      <c r="XC34" s="20" t="n">
        <f aca="false">IF(AND(H_Direct=1,CC34&gt;0),MAX(0,XB34-(MIN(CC34*TP34,(XB34+AAO34))-MIN(MIN(CC34*TP34,(XB34+AAO34)),AAO34))),XB34)</f>
        <v>1270</v>
      </c>
      <c r="XD34" s="20" t="n">
        <f aca="false">IF(AND(H_Direct=1,CD34&gt;0),MAX(0,XC34-(MIN(CD34*TQ34,(XC34+AAP34))-MIN(MIN(CD34*TQ34,(XC34+AAP34)),AAP34))),XC34)</f>
        <v>1270</v>
      </c>
      <c r="XE34" s="20" t="n">
        <f aca="false">IF(AND(H_Direct=1,CE34&gt;0),MAX(0,XD34-(MIN(CE34*TR34,(XD34+AAQ34))-MIN(MIN(CE34*TR34,(XD34+AAQ34)),AAQ34))),XD34)</f>
        <v>1270</v>
      </c>
      <c r="XF34" s="20" t="n">
        <f aca="false">IF(AND(H_Direct=1,CF34&gt;0),MAX(0,XE34-(MIN(CF34*TS34,(XE34+AAR34))-MIN(MIN(CF34*TS34,(XE34+AAR34)),AAR34))),XE34)</f>
        <v>1270</v>
      </c>
      <c r="XG34" s="20" t="n">
        <f aca="false">IF(AND(H_Direct=1,CG34&gt;0),MAX(0,XF34-(MIN(CG34*TT34,(XF34+AAS34))-MIN(MIN(CG34*TT34,(XF34+AAS34)),AAS34))),XF34)</f>
        <v>1270</v>
      </c>
      <c r="XH34" s="20" t="n">
        <f aca="false">IF(AND(H_Direct=1,CH34&gt;0),MAX(0,XG34-(MIN(CH34*TU34,(XG34+AAT34))-MIN(MIN(CH34*TU34,(XG34+AAT34)),AAT34))),XG34)</f>
        <v>1270</v>
      </c>
      <c r="XI34" s="20" t="n">
        <f aca="false">IF(AND(H_Direct=1,CI34&gt;0),MAX(0,XH34-(MIN(CI34*TV34,(XH34+AAU34))-MIN(MIN(CI34*TV34,(XH34+AAU34)),AAU34))),XH34)</f>
        <v>1270</v>
      </c>
      <c r="XJ34" s="20" t="n">
        <f aca="false">IF(AND(H_Direct=1,CJ34&gt;0),MAX(0,XI34-(MIN(CJ34*TW34,(XI34+AAV34))-MIN(MIN(CJ34*TW34,(XI34+AAV34)),AAV34))),XI34)</f>
        <v>1270</v>
      </c>
      <c r="XK34" s="20" t="n">
        <f aca="false">IF(AND(H_Direct=1,CK34&gt;0),MAX(0,XJ34-(MIN(CK34*TX34,(XJ34+AAW34))-MIN(MIN(CK34*TX34,(XJ34+AAW34)),AAW34))),XJ34)</f>
        <v>1270</v>
      </c>
      <c r="XL34" s="20" t="n">
        <f aca="false">IF(AND(H_Direct=1,CL34&gt;0),MAX(0,XK34-(MIN(CL34*TY34,(XK34+AAX34))-MIN(MIN(CL34*TY34,(XK34+AAX34)),AAX34))),XK34)</f>
        <v>1270</v>
      </c>
      <c r="XM34" s="20" t="n">
        <f aca="false">IF(AND(H_Direct=1,CM34&gt;0),MAX(0,XL34-(MIN(CM34*TZ34,(XL34+AAY34))-MIN(MIN(CM34*TZ34,(XL34+AAY34)),AAY34))),XL34)</f>
        <v>1270</v>
      </c>
      <c r="XN34" s="20" t="n">
        <f aca="false">IF(AND(H_Direct=1,CN34&gt;0),MAX(0,XM34-(MIN(CN34*UA34,(XM34+AAZ34))-MIN(MIN(CN34*UA34,(XM34+AAZ34)),AAZ34))),XM34)</f>
        <v>1270</v>
      </c>
      <c r="XO34" s="20" t="n">
        <f aca="false">IF(AND(H_Direct=1,CO34&gt;0),MAX(0,XN34-(MIN(CO34*UB34,(XN34+ABA34))-MIN(MIN(CO34*UB34,(XN34+ABA34)),ABA34))),XN34)</f>
        <v>1270</v>
      </c>
      <c r="XP34" s="20" t="n">
        <f aca="false">IF(AND(H_Direct=1,CP34&gt;0),MAX(0,XO34-(MIN(CP34*UC34,(XO34+ABB34))-MIN(MIN(CP34*UC34,(XO34+ABB34)),ABB34))),XO34)</f>
        <v>1270</v>
      </c>
      <c r="XQ34" s="20" t="n">
        <f aca="false">IF(AND(H_Direct=1,CQ34&gt;0),MAX(0,XP34-(MIN(CQ34*UD34,(XP34+ABC34))-MIN(MIN(CQ34*UD34,(XP34+ABC34)),ABC34))),XP34)</f>
        <v>1270</v>
      </c>
      <c r="XR34" s="20" t="n">
        <f aca="false">IF(AND(H_Direct=1,CR34&gt;0),MAX(0,XQ34-(MIN(CR34*UE34,(XQ34+ABD34))-MIN(MIN(CR34*UE34,(XQ34+ABD34)),ABD34))),XQ34)</f>
        <v>1270</v>
      </c>
      <c r="XS34" s="20" t="n">
        <f aca="false">IF(AND(H_Direct=1,CS34&gt;0),MAX(0,XR34-(MIN(CS34*UF34,(XR34+ABE34))-MIN(MIN(CS34*UF34,(XR34+ABE34)),ABE34))),XR34)</f>
        <v>1270</v>
      </c>
      <c r="XT34" s="20" t="n">
        <f aca="false">XS34</f>
        <v>1270</v>
      </c>
      <c r="XU34" s="20" t="n">
        <f aca="false">XT34</f>
        <v>1270</v>
      </c>
      <c r="XV34" s="20" t="n">
        <f aca="false">XU34</f>
        <v>1270</v>
      </c>
      <c r="XW34" s="20" t="n">
        <f aca="false">XV34</f>
        <v>1270</v>
      </c>
      <c r="XX34" s="20" t="n">
        <f aca="false">XW34</f>
        <v>1270</v>
      </c>
      <c r="XY34" s="20" t="n">
        <f aca="false">XX34</f>
        <v>1270</v>
      </c>
      <c r="XZ34" s="20" t="n">
        <f aca="false">XY34</f>
        <v>1270</v>
      </c>
      <c r="YA34" s="20" t="n">
        <f aca="false">XZ34</f>
        <v>1270</v>
      </c>
      <c r="YB34" s="20" t="n">
        <f aca="false">YA34</f>
        <v>1270</v>
      </c>
      <c r="YC34" s="20" t="n">
        <f aca="false">YB34</f>
        <v>1270</v>
      </c>
      <c r="YD34" s="20" t="n">
        <f aca="false">YC34</f>
        <v>1270</v>
      </c>
      <c r="YE34" s="20" t="n">
        <f aca="false">YD34</f>
        <v>1270</v>
      </c>
      <c r="YF34" s="20" t="n">
        <f aca="false">YE34</f>
        <v>1270</v>
      </c>
      <c r="YG34" s="20" t="n">
        <f aca="false">YF34</f>
        <v>1270</v>
      </c>
      <c r="YH34" s="20" t="n">
        <f aca="false">YG34</f>
        <v>1270</v>
      </c>
      <c r="YI34" s="20" t="n">
        <f aca="false">YH34</f>
        <v>1270</v>
      </c>
      <c r="YJ34" s="20" t="n">
        <f aca="false">YI34</f>
        <v>1270</v>
      </c>
      <c r="YK34" s="20" t="n">
        <f aca="false">YJ34</f>
        <v>1270</v>
      </c>
      <c r="YL34" s="20" t="n">
        <f aca="false">YK34</f>
        <v>1270</v>
      </c>
      <c r="YM34" s="20" t="n">
        <f aca="false">YL34</f>
        <v>1270</v>
      </c>
      <c r="YN34" s="20" t="n">
        <f aca="false">YM34</f>
        <v>1270</v>
      </c>
      <c r="YO34" s="20" t="n">
        <f aca="false">YN34</f>
        <v>1270</v>
      </c>
      <c r="YP34" s="20" t="n">
        <f aca="false">YO34</f>
        <v>1270</v>
      </c>
      <c r="YQ34" s="20" t="n">
        <f aca="false">YP34</f>
        <v>1270</v>
      </c>
      <c r="YR34" s="20" t="n">
        <f aca="false">YQ34</f>
        <v>1270</v>
      </c>
      <c r="YS34" s="20" t="n">
        <f aca="false">YR34</f>
        <v>1270</v>
      </c>
      <c r="YT34" s="20" t="n">
        <f aca="false">YS34</f>
        <v>1270</v>
      </c>
      <c r="YU34" s="20" t="n">
        <f aca="false">YT34</f>
        <v>1270</v>
      </c>
      <c r="YV34" s="20" t="n">
        <f aca="false">YU34</f>
        <v>1270</v>
      </c>
      <c r="YW34" s="20" t="n">
        <f aca="false">YV34</f>
        <v>1270</v>
      </c>
      <c r="YX34" s="20" t="n">
        <f aca="false">YW34</f>
        <v>1270</v>
      </c>
      <c r="YY34" s="20" t="n">
        <f aca="false">YX34</f>
        <v>1270</v>
      </c>
      <c r="YZ34" s="20" t="n">
        <f aca="false">YY34</f>
        <v>1270</v>
      </c>
      <c r="ZA34" s="20" t="n">
        <f aca="false">YZ34</f>
        <v>1270</v>
      </c>
      <c r="ZB34" s="20" t="n">
        <f aca="false">ZA34</f>
        <v>1270</v>
      </c>
      <c r="ZC34" s="20" t="n">
        <f aca="false">ZB34</f>
        <v>1270</v>
      </c>
      <c r="ZD34" s="20" t="n">
        <f aca="false">ZC34</f>
        <v>1270</v>
      </c>
      <c r="ZE34" s="20" t="n">
        <f aca="false">ZD34</f>
        <v>1270</v>
      </c>
      <c r="ZF34" s="20" t="n">
        <f aca="false">ZE34</f>
        <v>1270</v>
      </c>
      <c r="ZG34" s="20" t="n">
        <f aca="false">ZF34</f>
        <v>1270</v>
      </c>
      <c r="ZH34" s="20" t="n">
        <f aca="false">ZG34</f>
        <v>1270</v>
      </c>
      <c r="ZI34" s="20" t="n">
        <f aca="false">ZH34</f>
        <v>1270</v>
      </c>
      <c r="ZJ34" s="20" t="n">
        <f aca="false">ZI34</f>
        <v>1270</v>
      </c>
      <c r="ZK34" s="20" t="n">
        <f aca="false">ZJ34</f>
        <v>1270</v>
      </c>
      <c r="ZL34" s="20" t="n">
        <f aca="false">ZK34</f>
        <v>1270</v>
      </c>
      <c r="ZM34" s="20" t="n">
        <f aca="false">ZL34</f>
        <v>1270</v>
      </c>
      <c r="ZN34" s="20" t="n">
        <f aca="false">ZM34</f>
        <v>1270</v>
      </c>
      <c r="ZO34" s="20" t="n">
        <f aca="false">ZN34</f>
        <v>1270</v>
      </c>
      <c r="ZP34" s="20" t="n">
        <f aca="false">ZO34</f>
        <v>1270</v>
      </c>
      <c r="ZQ34" s="20" t="n">
        <f aca="false">ZP34</f>
        <v>1270</v>
      </c>
      <c r="ZR34" s="20" t="n">
        <f aca="false">ZQ34</f>
        <v>1270</v>
      </c>
      <c r="ZS34" s="20" t="n">
        <f aca="false">ZR34</f>
        <v>1270</v>
      </c>
      <c r="ZT34" s="20" t="n">
        <f aca="false">ZS34</f>
        <v>1270</v>
      </c>
      <c r="ZU34" s="20" t="n">
        <f aca="false">ZT34</f>
        <v>1270</v>
      </c>
      <c r="ZV34" s="20" t="n">
        <f aca="false">ZU34</f>
        <v>1270</v>
      </c>
      <c r="ZW34" s="20" t="n">
        <f aca="false">ZV34</f>
        <v>1270</v>
      </c>
      <c r="ZX34" s="20" t="n">
        <f aca="false">ZW34</f>
        <v>1270</v>
      </c>
      <c r="ZY34" s="20" t="n">
        <f aca="false">ZX34</f>
        <v>1270</v>
      </c>
      <c r="ZZ34" s="20" t="n">
        <f aca="false">ZY34</f>
        <v>1270</v>
      </c>
      <c r="AAA34" s="20" t="n">
        <f aca="false">ZZ34</f>
        <v>1270</v>
      </c>
      <c r="AAB34" s="20" t="n">
        <f aca="false">AAA34</f>
        <v>1270</v>
      </c>
      <c r="AAC34" s="20" t="n">
        <f aca="false">AAB34</f>
        <v>1270</v>
      </c>
      <c r="AAD34" s="20" t="n">
        <f aca="false">AAC34</f>
        <v>1270</v>
      </c>
      <c r="AAE34" s="20" t="n">
        <f aca="false">IF(H_Direct=1,IF(BR34&lt;=0,I34-BR34*TE34,I34-MIN(MIN(BR34*TE34,(H34+I34)),I34)),I34)</f>
        <v>0</v>
      </c>
      <c r="AAF34" s="20" t="n">
        <f aca="false">IF(H_Direct=1,IF(BS34&lt;=0,AAE34-BS34*TF34,AAE34-MIN(MIN(BS34*TF34,(WR34+AAE34)),AAE34)),AAE34)</f>
        <v>0</v>
      </c>
      <c r="AAG34" s="20" t="n">
        <f aca="false">IF(H_Direct=1,IF(BT34&lt;=0,AAF34-BT34*TG34,AAF34-MIN(MIN(BT34*TG34,(WS34+AAF34)),AAF34)),AAF34)</f>
        <v>0</v>
      </c>
      <c r="AAH34" s="20" t="n">
        <f aca="false">IF(H_Direct=1,IF(BU34&lt;=0,AAG34-BU34*TH34,AAG34-MIN(MIN(BU34*TH34,(WT34+AAG34)),AAG34)),AAG34)</f>
        <v>0</v>
      </c>
      <c r="AAI34" s="20" t="n">
        <f aca="false">IF(H_Direct=1,IF(BV34&lt;=0,AAH34-BV34*TI34,AAH34-MIN(MIN(BV34*TI34,(WU34+AAH34)),AAH34)),AAH34)</f>
        <v>0</v>
      </c>
      <c r="AAJ34" s="20" t="n">
        <f aca="false">IF(H_Direct=1,IF(BW34&lt;=0,AAI34-BW34*TJ34,AAI34-MIN(MIN(BW34*TJ34,(WV34+AAI34)),AAI34)),AAI34)</f>
        <v>0</v>
      </c>
      <c r="AAK34" s="20" t="n">
        <f aca="false">IF(H_Direct=1,IF(BX34&lt;=0,AAJ34-BX34*TK34,AAJ34-MIN(MIN(BX34*TK34,(WW34+AAJ34)),AAJ34)),AAJ34)</f>
        <v>0</v>
      </c>
      <c r="AAL34" s="20" t="n">
        <f aca="false">IF(H_Direct=1,IF(BY34&lt;=0,AAK34-BY34*TL34,AAK34-MIN(MIN(BY34*TL34,(WX34+AAK34)),AAK34)),AAK34)</f>
        <v>0</v>
      </c>
      <c r="AAM34" s="20" t="n">
        <f aca="false">IF(H_Direct=1,IF(BZ34&lt;=0,AAL34-BZ34*TM34,AAL34-MIN(MIN(BZ34*TM34,(WY34+AAL34)),AAL34)),AAL34)</f>
        <v>0</v>
      </c>
      <c r="AAN34" s="20" t="n">
        <f aca="false">IF(H_Direct=1,IF(CA34&lt;=0,AAM34-CA34*TN34,AAM34-MIN(MIN(CA34*TN34,(WZ34+AAM34)),AAM34)),AAM34)</f>
        <v>0</v>
      </c>
      <c r="AAO34" s="20" t="n">
        <f aca="false">IF(H_Direct=1,IF(CB34&lt;=0,AAN34-CB34*TO34,AAN34-MIN(MIN(CB34*TO34,(XA34+AAN34)),AAN34)),AAN34)</f>
        <v>0</v>
      </c>
      <c r="AAP34" s="20" t="n">
        <f aca="false">IF(H_Direct=1,IF(CC34&lt;=0,AAO34-CC34*TP34,AAO34-MIN(MIN(CC34*TP34,(XB34+AAO34)),AAO34)),AAO34)</f>
        <v>0</v>
      </c>
      <c r="AAQ34" s="20" t="n">
        <f aca="false">IF(H_Direct=1,IF(CD34&lt;=0,AAP34-CD34*TQ34,AAP34-MIN(MIN(CD34*TQ34,(XC34+AAP34)),AAP34)),AAP34)</f>
        <v>0</v>
      </c>
      <c r="AAR34" s="20" t="n">
        <f aca="false">IF(H_Direct=1,IF(CE34&lt;=0,AAQ34-CE34*TR34,AAQ34-MIN(MIN(CE34*TR34,(XD34+AAQ34)),AAQ34)),AAQ34)</f>
        <v>0</v>
      </c>
      <c r="AAS34" s="20" t="n">
        <f aca="false">IF(H_Direct=1,IF(CF34&lt;=0,AAR34-CF34*TS34,AAR34-MIN(MIN(CF34*TS34,(XE34+AAR34)),AAR34)),AAR34)</f>
        <v>0</v>
      </c>
      <c r="AAT34" s="20" t="n">
        <f aca="false">IF(H_Direct=1,IF(CG34&lt;=0,AAS34-CG34*TT34,AAS34-MIN(MIN(CG34*TT34,(XF34+AAS34)),AAS34)),AAS34)</f>
        <v>0</v>
      </c>
      <c r="AAU34" s="20" t="n">
        <f aca="false">IF(H_Direct=1,IF(CH34&lt;=0,AAT34-CH34*TU34,AAT34-MIN(MIN(CH34*TU34,(XG34+AAT34)),AAT34)),AAT34)</f>
        <v>0</v>
      </c>
      <c r="AAV34" s="20" t="n">
        <f aca="false">IF(H_Direct=1,IF(CI34&lt;=0,AAU34-CI34*TV34,AAU34-MIN(MIN(CI34*TV34,(XH34+AAU34)),AAU34)),AAU34)</f>
        <v>0</v>
      </c>
      <c r="AAW34" s="20" t="n">
        <f aca="false">IF(H_Direct=1,IF(CJ34&lt;=0,AAV34-CJ34*TW34,AAV34-MIN(MIN(CJ34*TW34,(XI34+AAV34)),AAV34)),AAV34)</f>
        <v>0</v>
      </c>
      <c r="AAX34" s="20" t="n">
        <f aca="false">IF(H_Direct=1,IF(CK34&lt;=0,AAW34-CK34*TX34,AAW34-MIN(MIN(CK34*TX34,(XJ34+AAW34)),AAW34)),AAW34)</f>
        <v>0</v>
      </c>
      <c r="AAY34" s="20" t="n">
        <f aca="false">IF(H_Direct=1,IF(CL34&lt;=0,AAX34-CL34*TY34,AAX34-MIN(MIN(CL34*TY34,(XK34+AAX34)),AAX34)),AAX34)</f>
        <v>0</v>
      </c>
      <c r="AAZ34" s="20" t="n">
        <f aca="false">IF(H_Direct=1,IF(CM34&lt;=0,AAY34-CM34*TZ34,AAY34-MIN(MIN(CM34*TZ34,(XL34+AAY34)),AAY34)),AAY34)</f>
        <v>0</v>
      </c>
      <c r="ABA34" s="20" t="n">
        <f aca="false">IF(H_Direct=1,IF(CN34&lt;=0,AAZ34-CN34*UA34,AAZ34-MIN(MIN(CN34*UA34,(XM34+AAZ34)),AAZ34)),AAZ34)</f>
        <v>0</v>
      </c>
      <c r="ABB34" s="20" t="n">
        <f aca="false">IF(H_Direct=1,IF(CO34&lt;=0,ABA34-CO34*UB34,ABA34-MIN(MIN(CO34*UB34,(XN34+ABA34)),ABA34)),ABA34)</f>
        <v>0</v>
      </c>
      <c r="ABC34" s="20" t="n">
        <f aca="false">IF(H_Direct=1,IF(CP34&lt;=0,ABB34-CP34*UC34,ABB34-MIN(MIN(CP34*UC34,(XO34+ABB34)),ABB34)),ABB34)</f>
        <v>0</v>
      </c>
      <c r="ABD34" s="20" t="n">
        <f aca="false">IF(H_Direct=1,IF(CQ34&lt;=0,ABC34-CQ34*UD34,ABC34-MIN(MIN(CQ34*UD34,(XP34+ABC34)),ABC34)),ABC34)</f>
        <v>0</v>
      </c>
      <c r="ABE34" s="20" t="n">
        <f aca="false">IF(H_Direct=1,IF(CR34&lt;=0,ABD34-CR34*UE34,ABD34-MIN(MIN(CR34*UE34,(XQ34+ABD34)),ABD34)),ABD34)</f>
        <v>0</v>
      </c>
      <c r="ABF34" s="20" t="n">
        <f aca="false">IF(H_Direct=1,IF(CS34&lt;=0,ABE34-CS34*UF34,ABE34-MIN(MIN(CS34*UF34,(XR34+ABE34)),ABE34)),ABE34)</f>
        <v>0</v>
      </c>
      <c r="ABG34" s="20" t="n">
        <f aca="false">ABF34</f>
        <v>0</v>
      </c>
      <c r="ABH34" s="20" t="n">
        <f aca="false">ABG34</f>
        <v>0</v>
      </c>
      <c r="ABI34" s="20" t="n">
        <f aca="false">ABH34</f>
        <v>0</v>
      </c>
      <c r="ABJ34" s="20" t="n">
        <f aca="false">ABI34</f>
        <v>0</v>
      </c>
      <c r="ABK34" s="20" t="n">
        <f aca="false">ABJ34</f>
        <v>0</v>
      </c>
      <c r="ABL34" s="20" t="n">
        <f aca="false">ABK34</f>
        <v>0</v>
      </c>
      <c r="ABM34" s="20" t="n">
        <f aca="false">ABL34</f>
        <v>0</v>
      </c>
      <c r="ABN34" s="20" t="n">
        <f aca="false">ABM34</f>
        <v>0</v>
      </c>
      <c r="ABO34" s="20" t="n">
        <f aca="false">ABN34</f>
        <v>0</v>
      </c>
      <c r="ABP34" s="20" t="n">
        <f aca="false">ABO34</f>
        <v>0</v>
      </c>
      <c r="ABQ34" s="20" t="n">
        <f aca="false">ABP34</f>
        <v>0</v>
      </c>
      <c r="ABR34" s="20" t="n">
        <f aca="false">ABQ34</f>
        <v>0</v>
      </c>
      <c r="ABS34" s="20" t="n">
        <f aca="false">ABR34</f>
        <v>0</v>
      </c>
      <c r="ABT34" s="20" t="n">
        <f aca="false">ABS34</f>
        <v>0</v>
      </c>
      <c r="ABU34" s="20" t="n">
        <f aca="false">ABT34</f>
        <v>0</v>
      </c>
      <c r="ABV34" s="20" t="n">
        <f aca="false">ABU34</f>
        <v>0</v>
      </c>
      <c r="ABW34" s="20" t="n">
        <f aca="false">ABV34</f>
        <v>0</v>
      </c>
      <c r="ABX34" s="20" t="n">
        <f aca="false">ABW34</f>
        <v>0</v>
      </c>
      <c r="ABY34" s="20" t="n">
        <f aca="false">ABX34</f>
        <v>0</v>
      </c>
      <c r="ABZ34" s="20" t="n">
        <f aca="false">ABY34</f>
        <v>0</v>
      </c>
      <c r="ACA34" s="20" t="n">
        <f aca="false">ABZ34</f>
        <v>0</v>
      </c>
      <c r="ACB34" s="20" t="n">
        <f aca="false">ACA34</f>
        <v>0</v>
      </c>
      <c r="ACC34" s="20" t="n">
        <f aca="false">ACB34</f>
        <v>0</v>
      </c>
      <c r="ACD34" s="20" t="n">
        <f aca="false">ACC34</f>
        <v>0</v>
      </c>
      <c r="ACE34" s="20" t="n">
        <f aca="false">ACD34</f>
        <v>0</v>
      </c>
      <c r="ACF34" s="20" t="n">
        <f aca="false">ACE34</f>
        <v>0</v>
      </c>
      <c r="ACG34" s="20" t="n">
        <f aca="false">ACF34</f>
        <v>0</v>
      </c>
      <c r="ACH34" s="20" t="n">
        <f aca="false">ACG34</f>
        <v>0</v>
      </c>
      <c r="ACI34" s="20" t="n">
        <f aca="false">ACH34</f>
        <v>0</v>
      </c>
      <c r="ACJ34" s="20" t="n">
        <f aca="false">ACI34</f>
        <v>0</v>
      </c>
      <c r="ACK34" s="20" t="n">
        <f aca="false">ACJ34</f>
        <v>0</v>
      </c>
      <c r="ACL34" s="20" t="n">
        <f aca="false">ACK34</f>
        <v>0</v>
      </c>
      <c r="ACM34" s="20" t="n">
        <f aca="false">ACL34</f>
        <v>0</v>
      </c>
      <c r="ACN34" s="20" t="n">
        <f aca="false">ACM34</f>
        <v>0</v>
      </c>
      <c r="ACO34" s="20" t="n">
        <f aca="false">ACN34</f>
        <v>0</v>
      </c>
      <c r="ACP34" s="20" t="n">
        <f aca="false">ACO34</f>
        <v>0</v>
      </c>
      <c r="ACQ34" s="20" t="n">
        <f aca="false">ACP34</f>
        <v>0</v>
      </c>
      <c r="ACR34" s="20" t="n">
        <f aca="false">ACQ34</f>
        <v>0</v>
      </c>
      <c r="ACS34" s="20" t="n">
        <f aca="false">ACR34</f>
        <v>0</v>
      </c>
      <c r="ACT34" s="20" t="n">
        <f aca="false">ACS34</f>
        <v>0</v>
      </c>
      <c r="ACU34" s="20" t="n">
        <f aca="false">ACT34</f>
        <v>0</v>
      </c>
      <c r="ACV34" s="20" t="n">
        <f aca="false">ACU34</f>
        <v>0</v>
      </c>
      <c r="ACW34" s="20" t="n">
        <f aca="false">ACV34</f>
        <v>0</v>
      </c>
      <c r="ACX34" s="20" t="n">
        <f aca="false">ACW34</f>
        <v>0</v>
      </c>
      <c r="ACY34" s="20" t="n">
        <f aca="false">ACX34</f>
        <v>0</v>
      </c>
      <c r="ACZ34" s="20" t="n">
        <f aca="false">ACY34</f>
        <v>0</v>
      </c>
      <c r="ADA34" s="20" t="n">
        <f aca="false">ACZ34</f>
        <v>0</v>
      </c>
      <c r="ADB34" s="20" t="n">
        <f aca="false">ADA34</f>
        <v>0</v>
      </c>
      <c r="ADC34" s="20" t="n">
        <f aca="false">ADB34</f>
        <v>0</v>
      </c>
      <c r="ADD34" s="20" t="n">
        <f aca="false">ADC34</f>
        <v>0</v>
      </c>
      <c r="ADE34" s="20" t="n">
        <f aca="false">ADD34</f>
        <v>0</v>
      </c>
      <c r="ADF34" s="20" t="n">
        <f aca="false">ADE34</f>
        <v>0</v>
      </c>
      <c r="ADG34" s="20" t="n">
        <f aca="false">ADF34</f>
        <v>0</v>
      </c>
      <c r="ADH34" s="20" t="n">
        <f aca="false">ADG34</f>
        <v>0</v>
      </c>
      <c r="ADI34" s="20" t="n">
        <f aca="false">ADH34</f>
        <v>0</v>
      </c>
      <c r="ADJ34" s="20" t="n">
        <f aca="false">ADI34</f>
        <v>0</v>
      </c>
      <c r="ADK34" s="20" t="n">
        <f aca="false">ADJ34</f>
        <v>0</v>
      </c>
      <c r="ADL34" s="20" t="n">
        <f aca="false">ADK34</f>
        <v>0</v>
      </c>
      <c r="ADM34" s="20" t="n">
        <f aca="false">ADL34</f>
        <v>0</v>
      </c>
      <c r="ADN34" s="20" t="n">
        <f aca="false">ADM34</f>
        <v>0</v>
      </c>
      <c r="ADO34" s="20" t="n">
        <f aca="false">ADN34</f>
        <v>0</v>
      </c>
      <c r="ADP34" s="20" t="n">
        <f aca="false">ADO34</f>
        <v>0</v>
      </c>
      <c r="ADQ34" s="20" t="n">
        <f aca="false">ADP34</f>
        <v>0</v>
      </c>
      <c r="ADR34" s="20" t="n">
        <f aca="false">(AKR33-TE34+0)*(1+BQ34)</f>
        <v>0</v>
      </c>
      <c r="ADS34" s="20" t="n">
        <f aca="false">(AKS33-TF34+0)*(1+BQ34)</f>
        <v>0</v>
      </c>
      <c r="ADT34" s="20" t="n">
        <f aca="false">(AKT33-TG34+0)*(1+BQ34)</f>
        <v>0</v>
      </c>
      <c r="ADU34" s="20" t="n">
        <f aca="false">(AKU33-TH34+0)*(1+BQ34)</f>
        <v>0</v>
      </c>
      <c r="ADV34" s="20" t="n">
        <f aca="false">(AKV33-TI34+0)*(1+BQ34)</f>
        <v>0</v>
      </c>
      <c r="ADW34" s="20" t="n">
        <f aca="false">(AKW33-TJ34+0)*(1+BQ34)</f>
        <v>0</v>
      </c>
      <c r="ADX34" s="20" t="n">
        <f aca="false">(AKX33-TK34+0)*(1+BQ34)</f>
        <v>0</v>
      </c>
      <c r="ADY34" s="20" t="n">
        <f aca="false">(AKY33-TL34+0)*(1+BQ34)</f>
        <v>0</v>
      </c>
      <c r="ADZ34" s="20" t="n">
        <f aca="false">(AKZ33-TM34+0)*(1+BQ34)</f>
        <v>0</v>
      </c>
      <c r="AEA34" s="20" t="n">
        <f aca="false">(ALA33-TN34+0)*(1+BQ34)</f>
        <v>0</v>
      </c>
      <c r="AEB34" s="20" t="n">
        <f aca="false">(ALB33-TO34+0)*(1+BQ34)</f>
        <v>0</v>
      </c>
      <c r="AEC34" s="20" t="n">
        <f aca="false">(ALC33-TP34+0)*(1+BQ34)</f>
        <v>858.071461380849</v>
      </c>
      <c r="AED34" s="20" t="n">
        <f aca="false">(ALD33-TQ34+0)*(1+BQ34)</f>
        <v>1202.48630283678</v>
      </c>
      <c r="AEE34" s="20" t="n">
        <f aca="false">(ALE33-TR34+0)*(1+BQ34)</f>
        <v>1439.04002050253</v>
      </c>
      <c r="AEF34" s="20" t="n">
        <f aca="false">(ALF33-TS34+0)*(1+BQ34)</f>
        <v>1618.20811083721</v>
      </c>
      <c r="AEG34" s="20" t="n">
        <f aca="false">(ALG33-TT34+0)*(1+BQ34)</f>
        <v>1556.24394275561</v>
      </c>
      <c r="AEH34" s="20" t="n">
        <f aca="false">(ALH33-TU34+0)*(1+BQ34)</f>
        <v>1495.76797772688</v>
      </c>
      <c r="AEI34" s="20" t="n">
        <f aca="false">(ALI33-TV34+0)*(1+BQ34)</f>
        <v>1436.74874468811</v>
      </c>
      <c r="AEJ34" s="20" t="n">
        <f aca="false">(ALJ33-TW34+0)*(1+BQ34)</f>
        <v>4465.40166562578</v>
      </c>
      <c r="AEK34" s="20" t="n">
        <f aca="false">(ALK33-TX34+0)*(1+BQ34)</f>
        <v>4379.52855667144</v>
      </c>
      <c r="AEL34" s="20" t="n">
        <f aca="false">(ALL33-TY34+0)*(1+BQ34)</f>
        <v>4784.9920392148</v>
      </c>
      <c r="AEM34" s="20" t="n">
        <f aca="false">(ALM33-TZ34+0)*(1+BQ34)</f>
        <v>4692.97296153758</v>
      </c>
      <c r="AEN34" s="20" t="n">
        <f aca="false">(ALN33-UA34+0)*(1+BQ34)</f>
        <v>4602.72348150802</v>
      </c>
      <c r="AEO34" s="20" t="n">
        <f aca="false">(ALO33-UB34+0)*(1+BQ34)</f>
        <v>4514.20956840209</v>
      </c>
      <c r="AEP34" s="20" t="n">
        <f aca="false">(ALP33-UC34+0)*(1+BQ34)</f>
        <v>4427.39784593282</v>
      </c>
      <c r="AEQ34" s="20" t="n">
        <f aca="false">(ALQ33-UD34+0)*(1+BQ34)</f>
        <v>4342.25557966489</v>
      </c>
      <c r="AER34" s="20" t="n">
        <f aca="false">(ALR33-UE34+0)*(1+BQ34)</f>
        <v>64424.4652371953</v>
      </c>
      <c r="AES34" s="20" t="n">
        <f aca="false">((P34+S34)-UF34+BE34)*(1+BQ34)</f>
        <v>0</v>
      </c>
      <c r="AET34" s="20" t="n">
        <v>0</v>
      </c>
      <c r="AEU34" s="20" t="n">
        <v>0</v>
      </c>
      <c r="AEV34" s="20" t="n">
        <v>0</v>
      </c>
      <c r="AEW34" s="20" t="n">
        <v>0</v>
      </c>
      <c r="AEX34" s="20" t="n">
        <v>0</v>
      </c>
      <c r="AEY34" s="20" t="n">
        <v>0</v>
      </c>
      <c r="AEZ34" s="20" t="n">
        <v>0</v>
      </c>
      <c r="AFA34" s="20" t="n">
        <v>0</v>
      </c>
      <c r="AFB34" s="20" t="n">
        <v>0</v>
      </c>
      <c r="AFC34" s="20" t="n">
        <v>0</v>
      </c>
      <c r="AFD34" s="20" t="n">
        <v>0</v>
      </c>
      <c r="AFE34" s="20" t="n">
        <v>0</v>
      </c>
      <c r="AFF34" s="20" t="n">
        <v>0</v>
      </c>
      <c r="AFG34" s="20" t="n">
        <v>0</v>
      </c>
      <c r="AFH34" s="20" t="n">
        <v>0</v>
      </c>
      <c r="AFI34" s="20" t="n">
        <v>0</v>
      </c>
      <c r="AFJ34" s="20" t="n">
        <v>0</v>
      </c>
      <c r="AFK34" s="20" t="n">
        <v>0</v>
      </c>
      <c r="AFL34" s="20" t="n">
        <v>0</v>
      </c>
      <c r="AFM34" s="20" t="n">
        <v>0</v>
      </c>
      <c r="AFN34" s="20" t="n">
        <v>0</v>
      </c>
      <c r="AFO34" s="20" t="n">
        <v>0</v>
      </c>
      <c r="AFP34" s="20" t="n">
        <v>0</v>
      </c>
      <c r="AFQ34" s="20" t="n">
        <v>0</v>
      </c>
      <c r="AFR34" s="20" t="n">
        <v>0</v>
      </c>
      <c r="AFS34" s="20" t="n">
        <v>0</v>
      </c>
      <c r="AFT34" s="20" t="n">
        <v>0</v>
      </c>
      <c r="AFU34" s="20" t="n">
        <v>0</v>
      </c>
      <c r="AFV34" s="20" t="n">
        <v>0</v>
      </c>
      <c r="AFW34" s="20" t="n">
        <v>0</v>
      </c>
      <c r="AFX34" s="20" t="n">
        <v>0</v>
      </c>
      <c r="AFY34" s="20" t="n">
        <v>0</v>
      </c>
      <c r="AFZ34" s="20" t="n">
        <v>0</v>
      </c>
      <c r="AGA34" s="20" t="n">
        <v>0</v>
      </c>
      <c r="AGB34" s="20" t="n">
        <v>0</v>
      </c>
      <c r="AGC34" s="20" t="n">
        <v>0</v>
      </c>
      <c r="AGD34" s="20" t="n">
        <v>0</v>
      </c>
      <c r="AGE34" s="20" t="n">
        <v>0</v>
      </c>
      <c r="AGF34" s="20" t="n">
        <v>0</v>
      </c>
      <c r="AGG34" s="20" t="n">
        <v>0</v>
      </c>
      <c r="AGH34" s="20" t="n">
        <v>0</v>
      </c>
      <c r="AGI34" s="20" t="n">
        <v>0</v>
      </c>
      <c r="AGJ34" s="20" t="n">
        <v>0</v>
      </c>
      <c r="AGK34" s="20" t="n">
        <v>0</v>
      </c>
      <c r="AGL34" s="20" t="n">
        <v>0</v>
      </c>
      <c r="AGM34" s="20" t="n">
        <v>0</v>
      </c>
      <c r="AGN34" s="20" t="n">
        <v>0</v>
      </c>
      <c r="AGO34" s="20" t="n">
        <v>0</v>
      </c>
      <c r="AGP34" s="20" t="n">
        <v>0</v>
      </c>
      <c r="AGQ34" s="20" t="n">
        <v>0</v>
      </c>
      <c r="AGR34" s="20" t="n">
        <v>0</v>
      </c>
      <c r="AGS34" s="20" t="n">
        <v>0</v>
      </c>
      <c r="AGT34" s="20" t="n">
        <v>0</v>
      </c>
      <c r="AGU34" s="20" t="n">
        <v>0</v>
      </c>
      <c r="AGV34" s="20" t="n">
        <v>0</v>
      </c>
      <c r="AGW34" s="20" t="n">
        <v>0</v>
      </c>
      <c r="AGX34" s="20" t="n">
        <v>0</v>
      </c>
      <c r="AGY34" s="20" t="n">
        <v>0</v>
      </c>
      <c r="AGZ34" s="20" t="n">
        <v>0</v>
      </c>
      <c r="AHA34" s="20" t="n">
        <v>0</v>
      </c>
      <c r="AHB34" s="20" t="n">
        <v>0</v>
      </c>
      <c r="AHC34" s="20" t="n">
        <v>0</v>
      </c>
      <c r="AHD34" s="20" t="n">
        <v>0</v>
      </c>
      <c r="AHE34" s="20" t="n">
        <f aca="false">IF(AKR33&gt;0,AOE33-AOE33*TE34/AKR33,0)+0</f>
        <v>0</v>
      </c>
      <c r="AHF34" s="20" t="n">
        <f aca="false">IF(AKS33&gt;0,AOF33-AOF33*TF34/AKS33,0)+0</f>
        <v>0</v>
      </c>
      <c r="AHG34" s="20" t="n">
        <f aca="false">IF(AKT33&gt;0,AOG33-AOG33*TG34/AKT33,0)+0</f>
        <v>0</v>
      </c>
      <c r="AHH34" s="20" t="n">
        <f aca="false">IF(AKU33&gt;0,AOH33-AOH33*TH34/AKU33,0)+0</f>
        <v>0</v>
      </c>
      <c r="AHI34" s="20" t="n">
        <f aca="false">IF(AKV33&gt;0,AOI33-AOI33*TI34/AKV33,0)+0</f>
        <v>0</v>
      </c>
      <c r="AHJ34" s="20" t="n">
        <f aca="false">IF(AKW33&gt;0,AOJ33-AOJ33*TJ34/AKW33,0)+0</f>
        <v>0</v>
      </c>
      <c r="AHK34" s="20" t="n">
        <f aca="false">IF(AKX33&gt;0,AOK33-AOK33*TK34/AKX33,0)+0</f>
        <v>0</v>
      </c>
      <c r="AHL34" s="20" t="n">
        <f aca="false">IF(AKY33&gt;0,AOL33-AOL33*TL34/AKY33,0)+0</f>
        <v>0</v>
      </c>
      <c r="AHM34" s="20" t="n">
        <f aca="false">IF(AKZ33&gt;0,AOM33-AOM33*TM34/AKZ33,0)+0</f>
        <v>0</v>
      </c>
      <c r="AHN34" s="20" t="n">
        <f aca="false">IF(ALA33&gt;0,AON33-AON33*TN34/ALA33,0)+0</f>
        <v>0</v>
      </c>
      <c r="AHO34" s="20" t="n">
        <f aca="false">IF(ALB33&gt;0,AOO33-AOO33*TO34/ALB33,0)+0</f>
        <v>0</v>
      </c>
      <c r="AHP34" s="20" t="n">
        <f aca="false">IF(ALC33&gt;0,AOP33-AOP33*TP34/ALC33,0)+0</f>
        <v>825.068712866201</v>
      </c>
      <c r="AHQ34" s="20" t="n">
        <f aca="false">IF(ALD33&gt;0,AOQ33-AOQ33*TQ34/ALD33,0)+0</f>
        <v>878.644963131885</v>
      </c>
      <c r="AHR34" s="20" t="n">
        <f aca="false">IF(ALE33&gt;0,AOR33-AOR33*TR34/ALE33,0)+0</f>
        <v>1093.55214549053</v>
      </c>
      <c r="AHS34" s="20" t="n">
        <f aca="false">IF(ALF33&gt;0,AOS33-AOS33*TS34/ALF33,0)+0</f>
        <v>1278.89337564899</v>
      </c>
      <c r="AHT34" s="20" t="n">
        <f aca="false">IF(ALG33&gt;0,AOT33-AOT33*TT34/ALG33,0)+0</f>
        <v>1279.11908128089</v>
      </c>
      <c r="AHU34" s="20" t="n">
        <f aca="false">IF(ALH33&gt;0,AOU33-AOU33*TU34/ALH33,0)+0</f>
        <v>1278.58873616899</v>
      </c>
      <c r="AHV34" s="20" t="n">
        <f aca="false">IF(ALI33&gt;0,AOV33-AOV33*TV34/ALI33,0)+0</f>
        <v>1277.26440235273</v>
      </c>
      <c r="AHW34" s="20" t="n">
        <f aca="false">IF(ALJ33&gt;0,AOW33-AOW33*TW34/ALJ33,0)+0</f>
        <v>4128.51485357413</v>
      </c>
      <c r="AHX34" s="20" t="n">
        <f aca="false">IF(ALK33&gt;0,AOX33-AOX33*TX34/ALK33,0)+0</f>
        <v>4211.08515064561</v>
      </c>
      <c r="AHY34" s="20" t="n">
        <f aca="false">IF(ALL33&gt;0,AOY33-AOY33*TY34/ALL33,0)+0</f>
        <v>3496.34681406672</v>
      </c>
      <c r="AHZ34" s="20" t="n">
        <f aca="false">IF(ALM33&gt;0,AOZ33-AOZ33*TZ34/ALM33,0)+0</f>
        <v>3566.27375034805</v>
      </c>
      <c r="AIA34" s="20" t="n">
        <f aca="false">IF(ALN33&gt;0,APA33-APA33*UA34/ALN33,0)+0</f>
        <v>3637.59922535501</v>
      </c>
      <c r="AIB34" s="20" t="n">
        <f aca="false">IF(ALO33&gt;0,APB33-APB33*UB34/ALO33,0)+0</f>
        <v>3710.35120986211</v>
      </c>
      <c r="AIC34" s="20" t="n">
        <f aca="false">IF(ALP33&gt;0,APC33-APC33*UC34/ALP33,0)+0</f>
        <v>3784.55823405936</v>
      </c>
      <c r="AID34" s="20" t="n">
        <f aca="false">IF(ALQ33&gt;0,APD33-APD33*UD34/ALQ33,0)+0</f>
        <v>3860.24939874054</v>
      </c>
      <c r="AIE34" s="20" t="n">
        <f aca="false">IF(ALR33&gt;0,APE33-APE33*UE34/ALR33,0)+0</f>
        <v>59564.0396053951</v>
      </c>
      <c r="AIF34" s="20" t="n">
        <f aca="false">IF((P34+S34)&gt;0,(P34+S34)-(P34+S34)*UF34/(P34+S34),0)+BE34</f>
        <v>0</v>
      </c>
      <c r="AIG34" s="20" t="n">
        <v>0</v>
      </c>
      <c r="AIH34" s="20" t="n">
        <v>0</v>
      </c>
      <c r="AII34" s="20" t="n">
        <v>0</v>
      </c>
      <c r="AIJ34" s="20" t="n">
        <v>0</v>
      </c>
      <c r="AIK34" s="20" t="n">
        <v>0</v>
      </c>
      <c r="AIL34" s="20" t="n">
        <v>0</v>
      </c>
      <c r="AIM34" s="20" t="n">
        <v>0</v>
      </c>
      <c r="AIN34" s="20" t="n">
        <v>0</v>
      </c>
      <c r="AIO34" s="20" t="n">
        <v>0</v>
      </c>
      <c r="AIP34" s="20" t="n">
        <v>0</v>
      </c>
      <c r="AIQ34" s="20" t="n">
        <v>0</v>
      </c>
      <c r="AIR34" s="20" t="n">
        <v>0</v>
      </c>
      <c r="AIS34" s="20" t="n">
        <v>0</v>
      </c>
      <c r="AIT34" s="20" t="n">
        <v>0</v>
      </c>
      <c r="AIU34" s="20" t="n">
        <v>0</v>
      </c>
      <c r="AIV34" s="20" t="n">
        <v>0</v>
      </c>
      <c r="AIW34" s="20" t="n">
        <v>0</v>
      </c>
      <c r="AIX34" s="20" t="n">
        <v>0</v>
      </c>
      <c r="AIY34" s="20" t="n">
        <v>0</v>
      </c>
      <c r="AIZ34" s="20" t="n">
        <v>0</v>
      </c>
      <c r="AJA34" s="20" t="n">
        <v>0</v>
      </c>
      <c r="AJB34" s="20" t="n">
        <v>0</v>
      </c>
      <c r="AJC34" s="20" t="n">
        <v>0</v>
      </c>
      <c r="AJD34" s="20" t="n">
        <v>0</v>
      </c>
      <c r="AJE34" s="20" t="n">
        <v>0</v>
      </c>
      <c r="AJF34" s="20" t="n">
        <v>0</v>
      </c>
      <c r="AJG34" s="20" t="n">
        <v>0</v>
      </c>
      <c r="AJH34" s="20" t="n">
        <v>0</v>
      </c>
      <c r="AJI34" s="20" t="n">
        <v>0</v>
      </c>
      <c r="AJJ34" s="20" t="n">
        <v>0</v>
      </c>
      <c r="AJK34" s="20" t="n">
        <v>0</v>
      </c>
      <c r="AJL34" s="20" t="n">
        <v>0</v>
      </c>
      <c r="AJM34" s="20" t="n">
        <v>0</v>
      </c>
      <c r="AJN34" s="20" t="n">
        <v>0</v>
      </c>
      <c r="AJO34" s="20" t="n">
        <v>0</v>
      </c>
      <c r="AJP34" s="20" t="n">
        <v>0</v>
      </c>
      <c r="AJQ34" s="20" t="n">
        <v>0</v>
      </c>
      <c r="AJR34" s="20" t="n">
        <v>0</v>
      </c>
      <c r="AJS34" s="20" t="n">
        <v>0</v>
      </c>
      <c r="AJT34" s="20" t="n">
        <v>0</v>
      </c>
      <c r="AJU34" s="20" t="n">
        <v>0</v>
      </c>
      <c r="AJV34" s="20" t="n">
        <v>0</v>
      </c>
      <c r="AJW34" s="20" t="n">
        <v>0</v>
      </c>
      <c r="AJX34" s="20" t="n">
        <v>0</v>
      </c>
      <c r="AJY34" s="20" t="n">
        <v>0</v>
      </c>
      <c r="AJZ34" s="20" t="n">
        <v>0</v>
      </c>
      <c r="AKA34" s="20" t="n">
        <v>0</v>
      </c>
      <c r="AKB34" s="20" t="n">
        <v>0</v>
      </c>
      <c r="AKC34" s="20" t="n">
        <v>0</v>
      </c>
      <c r="AKD34" s="20" t="n">
        <v>0</v>
      </c>
      <c r="AKE34" s="20" t="n">
        <v>0</v>
      </c>
      <c r="AKF34" s="20" t="n">
        <v>0</v>
      </c>
      <c r="AKG34" s="20" t="n">
        <v>0</v>
      </c>
      <c r="AKH34" s="20" t="n">
        <v>0</v>
      </c>
      <c r="AKI34" s="20" t="n">
        <v>0</v>
      </c>
      <c r="AKJ34" s="20" t="n">
        <v>0</v>
      </c>
      <c r="AKK34" s="20" t="n">
        <v>0</v>
      </c>
      <c r="AKL34" s="20" t="n">
        <v>0</v>
      </c>
      <c r="AKM34" s="20" t="n">
        <v>0</v>
      </c>
      <c r="AKN34" s="20" t="n">
        <v>0</v>
      </c>
      <c r="AKO34" s="20" t="n">
        <v>0</v>
      </c>
      <c r="AKP34" s="20" t="n">
        <v>0</v>
      </c>
      <c r="AKQ34" s="20" t="n">
        <v>0</v>
      </c>
      <c r="AKR34" s="20" t="n">
        <f aca="false">ADR34-AVE34</f>
        <v>0</v>
      </c>
      <c r="AKS34" s="20" t="n">
        <f aca="false">ADS34-AVF34</f>
        <v>0</v>
      </c>
      <c r="AKT34" s="20" t="n">
        <f aca="false">ADT34-AVG34</f>
        <v>0</v>
      </c>
      <c r="AKU34" s="20" t="n">
        <f aca="false">ADU34-AVH34</f>
        <v>0</v>
      </c>
      <c r="AKV34" s="20" t="n">
        <f aca="false">ADV34-AVI34</f>
        <v>0</v>
      </c>
      <c r="AKW34" s="20" t="n">
        <f aca="false">ADW34-AVJ34</f>
        <v>0</v>
      </c>
      <c r="AKX34" s="20" t="n">
        <f aca="false">ADX34-AVK34</f>
        <v>0</v>
      </c>
      <c r="AKY34" s="20" t="n">
        <f aca="false">ADY34-AVL34</f>
        <v>0</v>
      </c>
      <c r="AKZ34" s="20" t="n">
        <f aca="false">ADZ34-AVM34</f>
        <v>0</v>
      </c>
      <c r="ALA34" s="20" t="n">
        <f aca="false">AEA34-AVN34</f>
        <v>0</v>
      </c>
      <c r="ALB34" s="20" t="n">
        <f aca="false">AEB34-AVO34</f>
        <v>0</v>
      </c>
      <c r="ALC34" s="20" t="n">
        <f aca="false">AEC34-AVP34</f>
        <v>858.071461380849</v>
      </c>
      <c r="ALD34" s="20" t="n">
        <f aca="false">AED34-AVQ34</f>
        <v>1079.42659374892</v>
      </c>
      <c r="ALE34" s="20" t="n">
        <f aca="false">AEE34-AVR34</f>
        <v>1439.04002050253</v>
      </c>
      <c r="ALF34" s="20" t="n">
        <f aca="false">AEF34-AVS34</f>
        <v>1618.20811083721</v>
      </c>
      <c r="ALG34" s="20" t="n">
        <f aca="false">AEG34-AVT34</f>
        <v>1556.24394275561</v>
      </c>
      <c r="ALH34" s="20" t="n">
        <f aca="false">AEH34-AVU34</f>
        <v>1495.76797772688</v>
      </c>
      <c r="ALI34" s="20" t="n">
        <f aca="false">AEI34-AVV34</f>
        <v>1436.74874468811</v>
      </c>
      <c r="ALJ34" s="20" t="n">
        <f aca="false">AEJ34-AVW34</f>
        <v>4465.40166562578</v>
      </c>
      <c r="ALK34" s="20" t="n">
        <f aca="false">AEK34-AVX34</f>
        <v>4379.52855667144</v>
      </c>
      <c r="ALL34" s="20" t="n">
        <f aca="false">AEL34-AVY34</f>
        <v>4295.30685365853</v>
      </c>
      <c r="ALM34" s="20" t="n">
        <f aca="false">AEM34-AVZ34</f>
        <v>4692.97296153758</v>
      </c>
      <c r="ALN34" s="20" t="n">
        <f aca="false">AEN34-AWA34</f>
        <v>4602.72348150802</v>
      </c>
      <c r="ALO34" s="20" t="n">
        <f aca="false">AEO34-AWB34</f>
        <v>4514.20956840209</v>
      </c>
      <c r="ALP34" s="20" t="n">
        <f aca="false">AEP34-AWC34</f>
        <v>4427.39784593282</v>
      </c>
      <c r="ALQ34" s="20" t="n">
        <f aca="false">AEQ34-AWD34</f>
        <v>4342.25557966489</v>
      </c>
      <c r="ALR34" s="20" t="n">
        <f aca="false">AER34-AWE34</f>
        <v>64424.4652371953</v>
      </c>
      <c r="ALS34" s="20" t="n">
        <f aca="false">AES34-AWF34</f>
        <v>0</v>
      </c>
      <c r="ALT34" s="20" t="n">
        <v>0</v>
      </c>
      <c r="ALU34" s="20" t="n">
        <v>0</v>
      </c>
      <c r="ALV34" s="20" t="n">
        <v>0</v>
      </c>
      <c r="ALW34" s="20" t="n">
        <v>0</v>
      </c>
      <c r="ALX34" s="20" t="n">
        <v>0</v>
      </c>
      <c r="ALY34" s="20" t="n">
        <v>0</v>
      </c>
      <c r="ALZ34" s="20" t="n">
        <v>0</v>
      </c>
      <c r="AMA34" s="20" t="n">
        <v>0</v>
      </c>
      <c r="AMB34" s="20" t="n">
        <v>0</v>
      </c>
      <c r="AMC34" s="20" t="n">
        <v>0</v>
      </c>
      <c r="AMD34" s="20" t="n">
        <v>0</v>
      </c>
      <c r="AME34" s="20" t="n">
        <v>0</v>
      </c>
      <c r="AMF34" s="20" t="n">
        <v>0</v>
      </c>
      <c r="AMG34" s="20" t="n">
        <v>0</v>
      </c>
      <c r="AMH34" s="20" t="n">
        <v>0</v>
      </c>
      <c r="AMI34" s="20" t="n">
        <v>0</v>
      </c>
      <c r="AMJ34" s="20" t="n">
        <v>0</v>
      </c>
      <c r="AMK34" s="20" t="n">
        <v>0</v>
      </c>
      <c r="AML34" s="20" t="n">
        <v>0</v>
      </c>
      <c r="AMM34" s="20" t="n">
        <v>0</v>
      </c>
      <c r="AMN34" s="20" t="n">
        <v>0</v>
      </c>
      <c r="AMO34" s="20" t="n">
        <v>0</v>
      </c>
      <c r="AMP34" s="20" t="n">
        <v>0</v>
      </c>
      <c r="AMQ34" s="20" t="n">
        <v>0</v>
      </c>
      <c r="AMR34" s="20" t="n">
        <v>0</v>
      </c>
      <c r="AMS34" s="20" t="n">
        <v>0</v>
      </c>
      <c r="AMT34" s="20" t="n">
        <v>0</v>
      </c>
      <c r="AMU34" s="20" t="n">
        <v>0</v>
      </c>
      <c r="AMV34" s="20" t="n">
        <v>0</v>
      </c>
      <c r="AMW34" s="20" t="n">
        <v>0</v>
      </c>
      <c r="AMX34" s="20" t="n">
        <v>0</v>
      </c>
      <c r="AMY34" s="20" t="n">
        <v>0</v>
      </c>
      <c r="AMZ34" s="20" t="n">
        <v>0</v>
      </c>
      <c r="ANA34" s="20" t="n">
        <v>0</v>
      </c>
      <c r="ANB34" s="20" t="n">
        <v>0</v>
      </c>
      <c r="ANC34" s="20" t="n">
        <v>0</v>
      </c>
      <c r="AND34" s="20" t="n">
        <v>0</v>
      </c>
      <c r="ANE34" s="20" t="n">
        <v>0</v>
      </c>
      <c r="ANF34" s="20" t="n">
        <v>0</v>
      </c>
      <c r="ANG34" s="20" t="n">
        <v>0</v>
      </c>
      <c r="ANH34" s="20" t="n">
        <v>0</v>
      </c>
      <c r="ANI34" s="20" t="n">
        <v>0</v>
      </c>
      <c r="ANJ34" s="20" t="n">
        <v>0</v>
      </c>
      <c r="ANK34" s="20" t="n">
        <v>0</v>
      </c>
      <c r="ANL34" s="20" t="n">
        <v>0</v>
      </c>
      <c r="ANM34" s="20" t="n">
        <v>0</v>
      </c>
      <c r="ANN34" s="20" t="n">
        <v>0</v>
      </c>
      <c r="ANO34" s="20" t="n">
        <v>0</v>
      </c>
      <c r="ANP34" s="20" t="n">
        <v>0</v>
      </c>
      <c r="ANQ34" s="20" t="n">
        <v>0</v>
      </c>
      <c r="ANR34" s="20" t="n">
        <v>0</v>
      </c>
      <c r="ANS34" s="20" t="n">
        <v>0</v>
      </c>
      <c r="ANT34" s="20" t="n">
        <v>0</v>
      </c>
      <c r="ANU34" s="20" t="n">
        <v>0</v>
      </c>
      <c r="ANV34" s="20" t="n">
        <v>0</v>
      </c>
      <c r="ANW34" s="20" t="n">
        <v>0</v>
      </c>
      <c r="ANX34" s="20" t="n">
        <v>0</v>
      </c>
      <c r="ANY34" s="20" t="n">
        <v>0</v>
      </c>
      <c r="ANZ34" s="20" t="n">
        <v>0</v>
      </c>
      <c r="AOA34" s="20" t="n">
        <v>0</v>
      </c>
      <c r="AOB34" s="20" t="n">
        <v>0</v>
      </c>
      <c r="AOC34" s="20" t="n">
        <v>0</v>
      </c>
      <c r="AOD34" s="20" t="n">
        <v>0</v>
      </c>
      <c r="AOE34" s="20" t="n">
        <f aca="false">IF(AND(H_Direct=0,H_TaxEvt=1,ARR33+1&gt;=H_Deemed),AKR34,AHE34)</f>
        <v>0</v>
      </c>
      <c r="AOF34" s="20" t="n">
        <f aca="false">IF(AND(H_Direct=0,H_TaxEvt=1,ARS33+1&gt;=H_Deemed),AKS34,AHF34)</f>
        <v>0</v>
      </c>
      <c r="AOG34" s="20" t="n">
        <f aca="false">IF(AND(H_Direct=0,H_TaxEvt=1,ART33+1&gt;=H_Deemed),AKT34,AHG34)</f>
        <v>0</v>
      </c>
      <c r="AOH34" s="20" t="n">
        <f aca="false">IF(AND(H_Direct=0,H_TaxEvt=1,ARU33+1&gt;=H_Deemed),AKU34,AHH34)</f>
        <v>0</v>
      </c>
      <c r="AOI34" s="20" t="n">
        <f aca="false">IF(AND(H_Direct=0,H_TaxEvt=1,ARV33+1&gt;=H_Deemed),AKV34,AHI34)</f>
        <v>0</v>
      </c>
      <c r="AOJ34" s="20" t="n">
        <f aca="false">IF(AND(H_Direct=0,H_TaxEvt=1,ARW33+1&gt;=H_Deemed),AKW34,AHJ34)</f>
        <v>0</v>
      </c>
      <c r="AOK34" s="20" t="n">
        <f aca="false">IF(AND(H_Direct=0,H_TaxEvt=1,ARX33+1&gt;=H_Deemed),AKX34,AHK34)</f>
        <v>0</v>
      </c>
      <c r="AOL34" s="20" t="n">
        <f aca="false">IF(AND(H_Direct=0,H_TaxEvt=1,ARY33+1&gt;=H_Deemed),AKY34,AHL34)</f>
        <v>0</v>
      </c>
      <c r="AOM34" s="20" t="n">
        <f aca="false">IF(AND(H_Direct=0,H_TaxEvt=1,ARZ33+1&gt;=H_Deemed),AKZ34,AHM34)</f>
        <v>0</v>
      </c>
      <c r="AON34" s="20" t="n">
        <f aca="false">IF(AND(H_Direct=0,H_TaxEvt=1,ASA33+1&gt;=H_Deemed),ALA34,AHN34)</f>
        <v>0</v>
      </c>
      <c r="AOO34" s="20" t="n">
        <f aca="false">IF(AND(H_Direct=0,H_TaxEvt=1,ASB33+1&gt;=H_Deemed),ALB34,AHO34)</f>
        <v>0</v>
      </c>
      <c r="AOP34" s="20" t="n">
        <f aca="false">IF(AND(H_Direct=0,H_TaxEvt=1,ASC33+1&gt;=H_Deemed),ALC34,AHP34)</f>
        <v>825.068712866201</v>
      </c>
      <c r="AOQ34" s="20" t="n">
        <f aca="false">IF(AND(H_Direct=0,H_TaxEvt=1,ASD33+1&gt;=H_Deemed),ALD34,AHQ34)</f>
        <v>1079.42659374892</v>
      </c>
      <c r="AOR34" s="20" t="n">
        <f aca="false">IF(AND(H_Direct=0,H_TaxEvt=1,ASE33+1&gt;=H_Deemed),ALE34,AHR34)</f>
        <v>1093.55214549053</v>
      </c>
      <c r="AOS34" s="20" t="n">
        <f aca="false">IF(AND(H_Direct=0,H_TaxEvt=1,ASF33+1&gt;=H_Deemed),ALF34,AHS34)</f>
        <v>1278.89337564899</v>
      </c>
      <c r="AOT34" s="20" t="n">
        <f aca="false">IF(AND(H_Direct=0,H_TaxEvt=1,ASG33+1&gt;=H_Deemed),ALG34,AHT34)</f>
        <v>1279.11908128089</v>
      </c>
      <c r="AOU34" s="20" t="n">
        <f aca="false">IF(AND(H_Direct=0,H_TaxEvt=1,ASH33+1&gt;=H_Deemed),ALH34,AHU34)</f>
        <v>1278.58873616899</v>
      </c>
      <c r="AOV34" s="20" t="n">
        <f aca="false">IF(AND(H_Direct=0,H_TaxEvt=1,ASI33+1&gt;=H_Deemed),ALI34,AHV34)</f>
        <v>1277.26440235273</v>
      </c>
      <c r="AOW34" s="20" t="n">
        <f aca="false">IF(AND(H_Direct=0,H_TaxEvt=1,ASJ33+1&gt;=H_Deemed),ALJ34,AHW34)</f>
        <v>4128.51485357413</v>
      </c>
      <c r="AOX34" s="20" t="n">
        <f aca="false">IF(AND(H_Direct=0,H_TaxEvt=1,ASK33+1&gt;=H_Deemed),ALK34,AHX34)</f>
        <v>4211.08515064561</v>
      </c>
      <c r="AOY34" s="20" t="n">
        <f aca="false">IF(AND(H_Direct=0,H_TaxEvt=1,ASL33+1&gt;=H_Deemed),ALL34,AHY34)</f>
        <v>4295.30685365853</v>
      </c>
      <c r="AOZ34" s="20" t="n">
        <f aca="false">IF(AND(H_Direct=0,H_TaxEvt=1,ASM33+1&gt;=H_Deemed),ALM34,AHZ34)</f>
        <v>3566.27375034805</v>
      </c>
      <c r="APA34" s="20" t="n">
        <f aca="false">IF(AND(H_Direct=0,H_TaxEvt=1,ASN33+1&gt;=H_Deemed),ALN34,AIA34)</f>
        <v>3637.59922535501</v>
      </c>
      <c r="APB34" s="20" t="n">
        <f aca="false">IF(AND(H_Direct=0,H_TaxEvt=1,ASO33+1&gt;=H_Deemed),ALO34,AIB34)</f>
        <v>3710.35120986211</v>
      </c>
      <c r="APC34" s="20" t="n">
        <f aca="false">IF(AND(H_Direct=0,H_TaxEvt=1,ASP33+1&gt;=H_Deemed),ALP34,AIC34)</f>
        <v>3784.55823405936</v>
      </c>
      <c r="APD34" s="20" t="n">
        <f aca="false">IF(AND(H_Direct=0,H_TaxEvt=1,ASQ33+1&gt;=H_Deemed),ALQ34,AID34)</f>
        <v>3860.24939874054</v>
      </c>
      <c r="APE34" s="20" t="n">
        <f aca="false">IF(AND(H_Direct=0,H_TaxEvt=1,ASR33+1&gt;=H_Deemed),ALR34,AIE34)</f>
        <v>59564.0396053951</v>
      </c>
      <c r="APF34" s="20" t="n">
        <f aca="false">IF(AND(H_Direct=0,H_TaxEvt=1,0+1&gt;=H_Deemed),ALS34,AIF34)</f>
        <v>0</v>
      </c>
      <c r="APG34" s="20" t="n">
        <v>0</v>
      </c>
      <c r="APH34" s="20" t="n">
        <v>0</v>
      </c>
      <c r="API34" s="20" t="n">
        <v>0</v>
      </c>
      <c r="APJ34" s="20" t="n">
        <v>0</v>
      </c>
      <c r="APK34" s="20" t="n">
        <v>0</v>
      </c>
      <c r="APL34" s="20" t="n">
        <v>0</v>
      </c>
      <c r="APM34" s="20" t="n">
        <v>0</v>
      </c>
      <c r="APN34" s="20" t="n">
        <v>0</v>
      </c>
      <c r="APO34" s="20" t="n">
        <v>0</v>
      </c>
      <c r="APP34" s="20" t="n">
        <v>0</v>
      </c>
      <c r="APQ34" s="20" t="n">
        <v>0</v>
      </c>
      <c r="APR34" s="20" t="n">
        <v>0</v>
      </c>
      <c r="APS34" s="20" t="n">
        <v>0</v>
      </c>
      <c r="APT34" s="20" t="n">
        <v>0</v>
      </c>
      <c r="APU34" s="20" t="n">
        <v>0</v>
      </c>
      <c r="APV34" s="20" t="n">
        <v>0</v>
      </c>
      <c r="APW34" s="20" t="n">
        <v>0</v>
      </c>
      <c r="APX34" s="20" t="n">
        <v>0</v>
      </c>
      <c r="APY34" s="20" t="n">
        <v>0</v>
      </c>
      <c r="APZ34" s="20" t="n">
        <v>0</v>
      </c>
      <c r="AQA34" s="20" t="n">
        <v>0</v>
      </c>
      <c r="AQB34" s="20" t="n">
        <v>0</v>
      </c>
      <c r="AQC34" s="20" t="n">
        <v>0</v>
      </c>
      <c r="AQD34" s="20" t="n">
        <v>0</v>
      </c>
      <c r="AQE34" s="20" t="n">
        <v>0</v>
      </c>
      <c r="AQF34" s="20" t="n">
        <v>0</v>
      </c>
      <c r="AQG34" s="20" t="n">
        <v>0</v>
      </c>
      <c r="AQH34" s="20" t="n">
        <v>0</v>
      </c>
      <c r="AQI34" s="20" t="n">
        <v>0</v>
      </c>
      <c r="AQJ34" s="20" t="n">
        <v>0</v>
      </c>
      <c r="AQK34" s="20" t="n">
        <v>0</v>
      </c>
      <c r="AQL34" s="20" t="n">
        <v>0</v>
      </c>
      <c r="AQM34" s="20" t="n">
        <v>0</v>
      </c>
      <c r="AQN34" s="20" t="n">
        <v>0</v>
      </c>
      <c r="AQO34" s="20" t="n">
        <v>0</v>
      </c>
      <c r="AQP34" s="20" t="n">
        <v>0</v>
      </c>
      <c r="AQQ34" s="20" t="n">
        <v>0</v>
      </c>
      <c r="AQR34" s="20" t="n">
        <v>0</v>
      </c>
      <c r="AQS34" s="20" t="n">
        <v>0</v>
      </c>
      <c r="AQT34" s="20" t="n">
        <v>0</v>
      </c>
      <c r="AQU34" s="20" t="n">
        <v>0</v>
      </c>
      <c r="AQV34" s="20" t="n">
        <v>0</v>
      </c>
      <c r="AQW34" s="20" t="n">
        <v>0</v>
      </c>
      <c r="AQX34" s="20" t="n">
        <v>0</v>
      </c>
      <c r="AQY34" s="20" t="n">
        <v>0</v>
      </c>
      <c r="AQZ34" s="20" t="n">
        <v>0</v>
      </c>
      <c r="ARA34" s="20" t="n">
        <v>0</v>
      </c>
      <c r="ARB34" s="20" t="n">
        <v>0</v>
      </c>
      <c r="ARC34" s="20" t="n">
        <v>0</v>
      </c>
      <c r="ARD34" s="20" t="n">
        <v>0</v>
      </c>
      <c r="ARE34" s="20" t="n">
        <v>0</v>
      </c>
      <c r="ARF34" s="20" t="n">
        <v>0</v>
      </c>
      <c r="ARG34" s="20" t="n">
        <v>0</v>
      </c>
      <c r="ARH34" s="20" t="n">
        <v>0</v>
      </c>
      <c r="ARI34" s="20" t="n">
        <v>0</v>
      </c>
      <c r="ARJ34" s="20" t="n">
        <v>0</v>
      </c>
      <c r="ARK34" s="20" t="n">
        <v>0</v>
      </c>
      <c r="ARL34" s="20" t="n">
        <v>0</v>
      </c>
      <c r="ARM34" s="20" t="n">
        <v>0</v>
      </c>
      <c r="ARN34" s="20" t="n">
        <v>0</v>
      </c>
      <c r="ARO34" s="20" t="n">
        <v>0</v>
      </c>
      <c r="ARP34" s="20" t="n">
        <v>0</v>
      </c>
      <c r="ARQ34" s="20" t="n">
        <v>0</v>
      </c>
      <c r="ARR34" s="20" t="n">
        <f aca="false">IF(AND(H_Direct=0,H_TaxEvt=1),IF(ARR33+1&gt;=H_Deemed,0,ARR33+1),ARR33)</f>
        <v>3</v>
      </c>
      <c r="ARS34" s="20" t="n">
        <f aca="false">IF(AND(H_Direct=0,H_TaxEvt=1),IF(ARS33+1&gt;=H_Deemed,0,ARS33+1),ARS33)</f>
        <v>3</v>
      </c>
      <c r="ART34" s="20" t="n">
        <f aca="false">IF(AND(H_Direct=0,H_TaxEvt=1),IF(ART33+1&gt;=H_Deemed,0,ART33+1),ART33)</f>
        <v>2</v>
      </c>
      <c r="ARU34" s="20" t="n">
        <f aca="false">IF(AND(H_Direct=0,H_TaxEvt=1),IF(ARU33+1&gt;=H_Deemed,0,ARU33+1),ARU33)</f>
        <v>1</v>
      </c>
      <c r="ARV34" s="20" t="n">
        <f aca="false">IF(AND(H_Direct=0,H_TaxEvt=1),IF(ARV33+1&gt;=H_Deemed,0,ARV33+1),ARV33)</f>
        <v>0</v>
      </c>
      <c r="ARW34" s="20" t="n">
        <f aca="false">IF(AND(H_Direct=0,H_TaxEvt=1),IF(ARW33+1&gt;=H_Deemed,0,ARW33+1),ARW33)</f>
        <v>7</v>
      </c>
      <c r="ARX34" s="20" t="n">
        <f aca="false">IF(AND(H_Direct=0,H_TaxEvt=1),IF(ARX33+1&gt;=H_Deemed,0,ARX33+1),ARX33)</f>
        <v>6</v>
      </c>
      <c r="ARY34" s="20" t="n">
        <f aca="false">IF(AND(H_Direct=0,H_TaxEvt=1),IF(ARY33+1&gt;=H_Deemed,0,ARY33+1),ARY33)</f>
        <v>5</v>
      </c>
      <c r="ARZ34" s="20" t="n">
        <f aca="false">IF(AND(H_Direct=0,H_TaxEvt=1),IF(ARZ33+1&gt;=H_Deemed,0,ARZ33+1),ARZ33)</f>
        <v>4</v>
      </c>
      <c r="ASA34" s="20" t="n">
        <f aca="false">IF(AND(H_Direct=0,H_TaxEvt=1),IF(ASA33+1&gt;=H_Deemed,0,ASA33+1),ASA33)</f>
        <v>3</v>
      </c>
      <c r="ASB34" s="20" t="n">
        <f aca="false">IF(AND(H_Direct=0,H_TaxEvt=1),IF(ASB33+1&gt;=H_Deemed,0,ASB33+1),ASB33)</f>
        <v>2</v>
      </c>
      <c r="ASC34" s="20" t="n">
        <f aca="false">IF(AND(H_Direct=0,H_TaxEvt=1),IF(ASC33+1&gt;=H_Deemed,0,ASC33+1),ASC33)</f>
        <v>1</v>
      </c>
      <c r="ASD34" s="20" t="n">
        <f aca="false">IF(AND(H_Direct=0,H_TaxEvt=1),IF(ASD33+1&gt;=H_Deemed,0,ASD33+1),ASD33)</f>
        <v>0</v>
      </c>
      <c r="ASE34" s="20" t="n">
        <f aca="false">IF(AND(H_Direct=0,H_TaxEvt=1),IF(ASE33+1&gt;=H_Deemed,0,ASE33+1),ASE33)</f>
        <v>7</v>
      </c>
      <c r="ASF34" s="20" t="n">
        <f aca="false">IF(AND(H_Direct=0,H_TaxEvt=1),IF(ASF33+1&gt;=H_Deemed,0,ASF33+1),ASF33)</f>
        <v>6</v>
      </c>
      <c r="ASG34" s="20" t="n">
        <f aca="false">IF(AND(H_Direct=0,H_TaxEvt=1),IF(ASG33+1&gt;=H_Deemed,0,ASG33+1),ASG33)</f>
        <v>5</v>
      </c>
      <c r="ASH34" s="20" t="n">
        <f aca="false">IF(AND(H_Direct=0,H_TaxEvt=1),IF(ASH33+1&gt;=H_Deemed,0,ASH33+1),ASH33)</f>
        <v>4</v>
      </c>
      <c r="ASI34" s="20" t="n">
        <f aca="false">IF(AND(H_Direct=0,H_TaxEvt=1),IF(ASI33+1&gt;=H_Deemed,0,ASI33+1),ASI33)</f>
        <v>3</v>
      </c>
      <c r="ASJ34" s="20" t="n">
        <f aca="false">IF(AND(H_Direct=0,H_TaxEvt=1),IF(ASJ33+1&gt;=H_Deemed,0,ASJ33+1),ASJ33)</f>
        <v>2</v>
      </c>
      <c r="ASK34" s="20" t="n">
        <f aca="false">IF(AND(H_Direct=0,H_TaxEvt=1),IF(ASK33+1&gt;=H_Deemed,0,ASK33+1),ASK33)</f>
        <v>1</v>
      </c>
      <c r="ASL34" s="20" t="n">
        <f aca="false">IF(AND(H_Direct=0,H_TaxEvt=1),IF(ASL33+1&gt;=H_Deemed,0,ASL33+1),ASL33)</f>
        <v>0</v>
      </c>
      <c r="ASM34" s="20" t="n">
        <f aca="false">IF(AND(H_Direct=0,H_TaxEvt=1),IF(ASM33+1&gt;=H_Deemed,0,ASM33+1),ASM33)</f>
        <v>7</v>
      </c>
      <c r="ASN34" s="20" t="n">
        <f aca="false">IF(AND(H_Direct=0,H_TaxEvt=1),IF(ASN33+1&gt;=H_Deemed,0,ASN33+1),ASN33)</f>
        <v>6</v>
      </c>
      <c r="ASO34" s="20" t="n">
        <f aca="false">IF(AND(H_Direct=0,H_TaxEvt=1),IF(ASO33+1&gt;=H_Deemed,0,ASO33+1),ASO33)</f>
        <v>5</v>
      </c>
      <c r="ASP34" s="20" t="n">
        <f aca="false">IF(AND(H_Direct=0,H_TaxEvt=1),IF(ASP33+1&gt;=H_Deemed,0,ASP33+1),ASP33)</f>
        <v>4</v>
      </c>
      <c r="ASQ34" s="20" t="n">
        <f aca="false">IF(AND(H_Direct=0,H_TaxEvt=1),IF(ASQ33+1&gt;=H_Deemed,0,ASQ33+1),ASQ33)</f>
        <v>3</v>
      </c>
      <c r="ASR34" s="20" t="n">
        <f aca="false">IF(AND(H_Direct=0,H_TaxEvt=1),IF(ASR33+1&gt;=H_Deemed,0,ASR33+1),ASR33)</f>
        <v>2</v>
      </c>
      <c r="ASS34" s="20" t="n">
        <f aca="false">IF(AND(H_Direct=0,H_TaxEvt=1),IF(0+1&gt;=H_Deemed,0,0+1),0)</f>
        <v>1</v>
      </c>
      <c r="AST34" s="20" t="n">
        <v>0</v>
      </c>
      <c r="ASU34" s="20" t="n">
        <v>0</v>
      </c>
      <c r="ASV34" s="20" t="n">
        <v>0</v>
      </c>
      <c r="ASW34" s="20" t="n">
        <v>0</v>
      </c>
      <c r="ASX34" s="20" t="n">
        <v>0</v>
      </c>
      <c r="ASY34" s="20" t="n">
        <v>0</v>
      </c>
      <c r="ASZ34" s="20" t="n">
        <v>0</v>
      </c>
      <c r="ATA34" s="20" t="n">
        <v>0</v>
      </c>
      <c r="ATB34" s="20" t="n">
        <v>0</v>
      </c>
      <c r="ATC34" s="20" t="n">
        <v>0</v>
      </c>
      <c r="ATD34" s="20" t="n">
        <v>0</v>
      </c>
      <c r="ATE34" s="20" t="n">
        <v>0</v>
      </c>
      <c r="ATF34" s="20" t="n">
        <v>0</v>
      </c>
      <c r="ATG34" s="20" t="n">
        <v>0</v>
      </c>
      <c r="ATH34" s="20" t="n">
        <v>0</v>
      </c>
      <c r="ATI34" s="20" t="n">
        <v>0</v>
      </c>
      <c r="ATJ34" s="20" t="n">
        <v>0</v>
      </c>
      <c r="ATK34" s="20" t="n">
        <v>0</v>
      </c>
      <c r="ATL34" s="20" t="n">
        <v>0</v>
      </c>
      <c r="ATM34" s="20" t="n">
        <v>0</v>
      </c>
      <c r="ATN34" s="20" t="n">
        <v>0</v>
      </c>
      <c r="ATO34" s="20" t="n">
        <v>0</v>
      </c>
      <c r="ATP34" s="20" t="n">
        <v>0</v>
      </c>
      <c r="ATQ34" s="20" t="n">
        <v>0</v>
      </c>
      <c r="ATR34" s="20" t="n">
        <v>0</v>
      </c>
      <c r="ATS34" s="20" t="n">
        <v>0</v>
      </c>
      <c r="ATT34" s="20" t="n">
        <v>0</v>
      </c>
      <c r="ATU34" s="20" t="n">
        <v>0</v>
      </c>
      <c r="ATV34" s="20" t="n">
        <v>0</v>
      </c>
      <c r="ATW34" s="20" t="n">
        <v>0</v>
      </c>
      <c r="ATX34" s="20" t="n">
        <v>0</v>
      </c>
      <c r="ATY34" s="20" t="n">
        <v>0</v>
      </c>
      <c r="ATZ34" s="20" t="n">
        <v>0</v>
      </c>
      <c r="AUA34" s="20" t="n">
        <v>0</v>
      </c>
      <c r="AUB34" s="20" t="n">
        <v>0</v>
      </c>
      <c r="AUC34" s="20" t="n">
        <v>0</v>
      </c>
      <c r="AUD34" s="20" t="n">
        <v>0</v>
      </c>
      <c r="AUE34" s="20" t="n">
        <v>0</v>
      </c>
      <c r="AUF34" s="20" t="n">
        <v>0</v>
      </c>
      <c r="AUG34" s="20" t="n">
        <v>0</v>
      </c>
      <c r="AUH34" s="20" t="n">
        <v>0</v>
      </c>
      <c r="AUI34" s="20" t="n">
        <v>0</v>
      </c>
      <c r="AUJ34" s="20" t="n">
        <v>0</v>
      </c>
      <c r="AUK34" s="20" t="n">
        <v>0</v>
      </c>
      <c r="AUL34" s="20" t="n">
        <v>0</v>
      </c>
      <c r="AUM34" s="20" t="n">
        <v>0</v>
      </c>
      <c r="AUN34" s="20" t="n">
        <v>0</v>
      </c>
      <c r="AUO34" s="20" t="n">
        <v>0</v>
      </c>
      <c r="AUP34" s="20" t="n">
        <v>0</v>
      </c>
      <c r="AUQ34" s="20" t="n">
        <v>0</v>
      </c>
      <c r="AUR34" s="20" t="n">
        <v>0</v>
      </c>
      <c r="AUS34" s="20" t="n">
        <v>0</v>
      </c>
      <c r="AUT34" s="20" t="n">
        <v>0</v>
      </c>
      <c r="AUU34" s="20" t="n">
        <v>0</v>
      </c>
      <c r="AUV34" s="20" t="n">
        <v>0</v>
      </c>
      <c r="AUW34" s="20" t="n">
        <v>0</v>
      </c>
      <c r="AUX34" s="20" t="n">
        <v>0</v>
      </c>
      <c r="AUY34" s="20" t="n">
        <v>0</v>
      </c>
      <c r="AUZ34" s="20" t="n">
        <v>0</v>
      </c>
      <c r="AVA34" s="20" t="n">
        <v>0</v>
      </c>
      <c r="AVB34" s="20" t="n">
        <v>0</v>
      </c>
      <c r="AVC34" s="20" t="n">
        <v>0</v>
      </c>
      <c r="AVD34" s="20" t="n">
        <v>0</v>
      </c>
      <c r="AVE34" s="20" t="n">
        <f aca="false">IF(AND(H_Direct=0,H_TaxEvt=1,ARR33+1&gt;=H_Deemed),MAX(0,ADR34-AHE34)*H_Exit,0)</f>
        <v>0</v>
      </c>
      <c r="AVF34" s="20" t="n">
        <f aca="false">IF(AND(H_Direct=0,H_TaxEvt=1,ARS33+1&gt;=H_Deemed),MAX(0,ADS34-AHF34)*H_Exit,0)</f>
        <v>0</v>
      </c>
      <c r="AVG34" s="20" t="n">
        <f aca="false">IF(AND(H_Direct=0,H_TaxEvt=1,ART33+1&gt;=H_Deemed),MAX(0,ADT34-AHG34)*H_Exit,0)</f>
        <v>0</v>
      </c>
      <c r="AVH34" s="20" t="n">
        <f aca="false">IF(AND(H_Direct=0,H_TaxEvt=1,ARU33+1&gt;=H_Deemed),MAX(0,ADU34-AHH34)*H_Exit,0)</f>
        <v>0</v>
      </c>
      <c r="AVI34" s="20" t="n">
        <f aca="false">IF(AND(H_Direct=0,H_TaxEvt=1,ARV33+1&gt;=H_Deemed),MAX(0,ADV34-AHI34)*H_Exit,0)</f>
        <v>0</v>
      </c>
      <c r="AVJ34" s="20" t="n">
        <f aca="false">IF(AND(H_Direct=0,H_TaxEvt=1,ARW33+1&gt;=H_Deemed),MAX(0,ADW34-AHJ34)*H_Exit,0)</f>
        <v>0</v>
      </c>
      <c r="AVK34" s="20" t="n">
        <f aca="false">IF(AND(H_Direct=0,H_TaxEvt=1,ARX33+1&gt;=H_Deemed),MAX(0,ADX34-AHK34)*H_Exit,0)</f>
        <v>0</v>
      </c>
      <c r="AVL34" s="20" t="n">
        <f aca="false">IF(AND(H_Direct=0,H_TaxEvt=1,ARY33+1&gt;=H_Deemed),MAX(0,ADY34-AHL34)*H_Exit,0)</f>
        <v>0</v>
      </c>
      <c r="AVM34" s="20" t="n">
        <f aca="false">IF(AND(H_Direct=0,H_TaxEvt=1,ARZ33+1&gt;=H_Deemed),MAX(0,ADZ34-AHM34)*H_Exit,0)</f>
        <v>0</v>
      </c>
      <c r="AVN34" s="20" t="n">
        <f aca="false">IF(AND(H_Direct=0,H_TaxEvt=1,ASA33+1&gt;=H_Deemed),MAX(0,AEA34-AHN34)*H_Exit,0)</f>
        <v>0</v>
      </c>
      <c r="AVO34" s="20" t="n">
        <f aca="false">IF(AND(H_Direct=0,H_TaxEvt=1,ASB33+1&gt;=H_Deemed),MAX(0,AEB34-AHO34)*H_Exit,0)</f>
        <v>0</v>
      </c>
      <c r="AVP34" s="20" t="n">
        <f aca="false">IF(AND(H_Direct=0,H_TaxEvt=1,ASC33+1&gt;=H_Deemed),MAX(0,AEC34-AHP34)*H_Exit,0)</f>
        <v>0</v>
      </c>
      <c r="AVQ34" s="20" t="n">
        <f aca="false">IF(AND(H_Direct=0,H_TaxEvt=1,ASD33+1&gt;=H_Deemed),MAX(0,AED34-AHQ34)*H_Exit,0)</f>
        <v>123.05970908786</v>
      </c>
      <c r="AVR34" s="20" t="n">
        <f aca="false">IF(AND(H_Direct=0,H_TaxEvt=1,ASE33+1&gt;=H_Deemed),MAX(0,AEE34-AHR34)*H_Exit,0)</f>
        <v>0</v>
      </c>
      <c r="AVS34" s="20" t="n">
        <f aca="false">IF(AND(H_Direct=0,H_TaxEvt=1,ASF33+1&gt;=H_Deemed),MAX(0,AEF34-AHS34)*H_Exit,0)</f>
        <v>0</v>
      </c>
      <c r="AVT34" s="20" t="n">
        <f aca="false">IF(AND(H_Direct=0,H_TaxEvt=1,ASG33+1&gt;=H_Deemed),MAX(0,AEG34-AHT34)*H_Exit,0)</f>
        <v>0</v>
      </c>
      <c r="AVU34" s="20" t="n">
        <f aca="false">IF(AND(H_Direct=0,H_TaxEvt=1,ASH33+1&gt;=H_Deemed),MAX(0,AEH34-AHU34)*H_Exit,0)</f>
        <v>0</v>
      </c>
      <c r="AVV34" s="20" t="n">
        <f aca="false">IF(AND(H_Direct=0,H_TaxEvt=1,ASI33+1&gt;=H_Deemed),MAX(0,AEI34-AHV34)*H_Exit,0)</f>
        <v>0</v>
      </c>
      <c r="AVW34" s="20" t="n">
        <f aca="false">IF(AND(H_Direct=0,H_TaxEvt=1,ASJ33+1&gt;=H_Deemed),MAX(0,AEJ34-AHW34)*H_Exit,0)</f>
        <v>0</v>
      </c>
      <c r="AVX34" s="20" t="n">
        <f aca="false">IF(AND(H_Direct=0,H_TaxEvt=1,ASK33+1&gt;=H_Deemed),MAX(0,AEK34-AHX34)*H_Exit,0)</f>
        <v>0</v>
      </c>
      <c r="AVY34" s="20" t="n">
        <f aca="false">IF(AND(H_Direct=0,H_TaxEvt=1,ASL33+1&gt;=H_Deemed),MAX(0,AEL34-AHY34)*H_Exit,0)</f>
        <v>489.685185556269</v>
      </c>
      <c r="AVZ34" s="20" t="n">
        <f aca="false">IF(AND(H_Direct=0,H_TaxEvt=1,ASM33+1&gt;=H_Deemed),MAX(0,AEM34-AHZ34)*H_Exit,0)</f>
        <v>0</v>
      </c>
      <c r="AWA34" s="20" t="n">
        <f aca="false">IF(AND(H_Direct=0,H_TaxEvt=1,ASN33+1&gt;=H_Deemed),MAX(0,AEN34-AIA34)*H_Exit,0)</f>
        <v>0</v>
      </c>
      <c r="AWB34" s="20" t="n">
        <f aca="false">IF(AND(H_Direct=0,H_TaxEvt=1,ASO33+1&gt;=H_Deemed),MAX(0,AEO34-AIB34)*H_Exit,0)</f>
        <v>0</v>
      </c>
      <c r="AWC34" s="20" t="n">
        <f aca="false">IF(AND(H_Direct=0,H_TaxEvt=1,ASP33+1&gt;=H_Deemed),MAX(0,AEP34-AIC34)*H_Exit,0)</f>
        <v>0</v>
      </c>
      <c r="AWD34" s="20" t="n">
        <f aca="false">IF(AND(H_Direct=0,H_TaxEvt=1,ASQ33+1&gt;=H_Deemed),MAX(0,AEQ34-AID34)*H_Exit,0)</f>
        <v>0</v>
      </c>
      <c r="AWE34" s="20" t="n">
        <f aca="false">IF(AND(H_Direct=0,H_TaxEvt=1,ASR33+1&gt;=H_Deemed),MAX(0,AER34-AIE34)*H_Exit,0)</f>
        <v>0</v>
      </c>
      <c r="AWF34" s="20" t="n">
        <f aca="false">IF(AND(H_Direct=0,H_TaxEvt=1,0+1&gt;=H_Deemed),MAX(0,AES34-AIF34)*H_Exit,0)</f>
        <v>0</v>
      </c>
      <c r="AWG34" s="20" t="n">
        <v>0</v>
      </c>
      <c r="AWH34" s="20" t="n">
        <v>0</v>
      </c>
      <c r="AWI34" s="20" t="n">
        <v>0</v>
      </c>
      <c r="AWJ34" s="20" t="n">
        <v>0</v>
      </c>
      <c r="AWK34" s="20" t="n">
        <v>0</v>
      </c>
      <c r="AWL34" s="20" t="n">
        <v>0</v>
      </c>
      <c r="AWM34" s="20" t="n">
        <v>0</v>
      </c>
      <c r="AWN34" s="20" t="n">
        <v>0</v>
      </c>
      <c r="AWO34" s="20" t="n">
        <v>0</v>
      </c>
      <c r="AWP34" s="20" t="n">
        <v>0</v>
      </c>
      <c r="AWQ34" s="20" t="n">
        <v>0</v>
      </c>
      <c r="AWR34" s="20" t="n">
        <v>0</v>
      </c>
      <c r="AWS34" s="20" t="n">
        <v>0</v>
      </c>
      <c r="AWT34" s="20" t="n">
        <v>0</v>
      </c>
      <c r="AWU34" s="20" t="n">
        <v>0</v>
      </c>
      <c r="AWV34" s="20" t="n">
        <v>0</v>
      </c>
      <c r="AWW34" s="20" t="n">
        <v>0</v>
      </c>
      <c r="AWX34" s="20" t="n">
        <v>0</v>
      </c>
      <c r="AWY34" s="20" t="n">
        <v>0</v>
      </c>
      <c r="AWZ34" s="20" t="n">
        <v>0</v>
      </c>
      <c r="AXA34" s="20" t="n">
        <v>0</v>
      </c>
      <c r="AXB34" s="20" t="n">
        <v>0</v>
      </c>
      <c r="AXC34" s="20" t="n">
        <v>0</v>
      </c>
      <c r="AXD34" s="20" t="n">
        <v>0</v>
      </c>
      <c r="AXE34" s="20" t="n">
        <v>0</v>
      </c>
      <c r="AXF34" s="20" t="n">
        <v>0</v>
      </c>
      <c r="AXG34" s="20" t="n">
        <v>0</v>
      </c>
      <c r="AXH34" s="20" t="n">
        <v>0</v>
      </c>
      <c r="AXI34" s="20" t="n">
        <v>0</v>
      </c>
      <c r="AXJ34" s="20" t="n">
        <v>0</v>
      </c>
      <c r="AXK34" s="20" t="n">
        <v>0</v>
      </c>
      <c r="AXL34" s="20" t="n">
        <v>0</v>
      </c>
      <c r="AXM34" s="20" t="n">
        <v>0</v>
      </c>
      <c r="AXN34" s="20" t="n">
        <v>0</v>
      </c>
      <c r="AXO34" s="20" t="n">
        <v>0</v>
      </c>
      <c r="AXP34" s="20" t="n">
        <v>0</v>
      </c>
      <c r="AXQ34" s="20" t="n">
        <v>0</v>
      </c>
      <c r="AXR34" s="20" t="n">
        <v>0</v>
      </c>
      <c r="AXS34" s="20" t="n">
        <v>0</v>
      </c>
      <c r="AXT34" s="20" t="n">
        <v>0</v>
      </c>
      <c r="AXU34" s="20" t="n">
        <v>0</v>
      </c>
      <c r="AXV34" s="20" t="n">
        <v>0</v>
      </c>
      <c r="AXW34" s="20" t="n">
        <v>0</v>
      </c>
      <c r="AXX34" s="20" t="n">
        <v>0</v>
      </c>
      <c r="AXY34" s="20" t="n">
        <v>0</v>
      </c>
      <c r="AXZ34" s="20" t="n">
        <v>0</v>
      </c>
      <c r="AYA34" s="20" t="n">
        <v>0</v>
      </c>
      <c r="AYB34" s="20" t="n">
        <v>0</v>
      </c>
      <c r="AYC34" s="20" t="n">
        <v>0</v>
      </c>
      <c r="AYD34" s="20" t="n">
        <v>0</v>
      </c>
      <c r="AYE34" s="20" t="n">
        <v>0</v>
      </c>
      <c r="AYF34" s="20" t="n">
        <v>0</v>
      </c>
      <c r="AYG34" s="20" t="n">
        <v>0</v>
      </c>
      <c r="AYH34" s="20" t="n">
        <v>0</v>
      </c>
      <c r="AYI34" s="20" t="n">
        <v>0</v>
      </c>
      <c r="AYJ34" s="20" t="n">
        <v>0</v>
      </c>
      <c r="AYK34" s="20" t="n">
        <v>0</v>
      </c>
      <c r="AYL34" s="20" t="n">
        <v>0</v>
      </c>
      <c r="AYM34" s="20" t="n">
        <v>0</v>
      </c>
      <c r="AYN34" s="20" t="n">
        <v>0</v>
      </c>
      <c r="AYO34" s="20" t="n">
        <v>0</v>
      </c>
      <c r="AYP34" s="20" t="n">
        <v>0</v>
      </c>
      <c r="AYQ34" s="20" t="n">
        <v>0</v>
      </c>
    </row>
    <row r="35" customFormat="false" ht="15" hidden="false" customHeight="false" outlineLevel="0" collapsed="false">
      <c r="B35" s="20" t="n">
        <v>27</v>
      </c>
      <c r="C35" s="20" t="n">
        <f aca="false">'Plan cashflow'!C35</f>
        <v>1</v>
      </c>
      <c r="D35" s="20" t="n">
        <f aca="false">'Plan cashflow'!D35</f>
        <v>65</v>
      </c>
      <c r="E35" s="20" t="n">
        <f aca="false">AS_Year0+27</f>
        <v>2053</v>
      </c>
      <c r="F35" s="50" t="n">
        <f aca="false">'Plan cashflow'!F35</f>
        <v>1.70688647664111</v>
      </c>
      <c r="G35" s="59" t="n">
        <f aca="true">IF(MAX(TODAY(),DATE(E35,1,1))&gt;=H_CGTfrom,H_CGT1,H_CGT0)</f>
        <v>0.31</v>
      </c>
      <c r="H35" s="20" t="n">
        <f aca="false">H_Exempt*H_Persons</f>
        <v>1270</v>
      </c>
      <c r="I35" s="20" t="n">
        <f aca="false">AX34</f>
        <v>0</v>
      </c>
      <c r="J35" s="60" t="n">
        <f aca="false">BF34</f>
        <v>105359.091922264</v>
      </c>
      <c r="K35" s="60" t="n">
        <f aca="false">BG34</f>
        <v>0</v>
      </c>
      <c r="L35" s="20" t="n">
        <f aca="false">IF(AND(In_polLump&gt;0,In_polLumpAge&gt;0,D35=In_polLumpAge),In_polLump,0)</f>
        <v>0</v>
      </c>
      <c r="M35" s="20" t="n">
        <f aca="false">IF(AND(In_homeUse="Yes, I'd downsize",In_downAge&gt;0,D35=In_downAge,OR(In_home="Own outright",In_home="Own with mortgage"),In_homeValue&gt;0),MAX(0,MAX(0,In_homeValue-In_downValue)*F35*0.9-'Plan cashflow'!HR34),0)</f>
        <v>0</v>
      </c>
      <c r="N35" s="20" t="n">
        <f aca="false">'Plan pay &amp; tax'!Y261</f>
        <v>0</v>
      </c>
      <c r="O35" s="20" t="n">
        <f aca="false">L35+M35+(1-H_Sh)*N35</f>
        <v>0</v>
      </c>
      <c r="P35" s="20" t="n">
        <f aca="false">H_Sh*N35</f>
        <v>0</v>
      </c>
      <c r="Q35" s="20" t="n">
        <f aca="false">'Plan cashflow'!UL35</f>
        <v>0</v>
      </c>
      <c r="R35" s="20" t="n">
        <f aca="false">(1-H_Sh)*Q35</f>
        <v>0</v>
      </c>
      <c r="S35" s="20" t="n">
        <f aca="false">H_Sh*Q35</f>
        <v>0</v>
      </c>
      <c r="T35" s="20" t="n">
        <f aca="false">J35+K35+O35</f>
        <v>105359.091922264</v>
      </c>
      <c r="U35" s="20" t="n">
        <f aca="false">T35+R35</f>
        <v>105359.091922264</v>
      </c>
      <c r="V35" s="60" t="n">
        <f aca="false">SUM(FE35:IQ35)</f>
        <v>105539.775238233</v>
      </c>
      <c r="W35" s="60" t="n">
        <f aca="false">IF(AJ35&lt;=0,0,IF(AL35&lt;=0,AJ35,AJ35-G35*MAX(0,AL35*AJ35-(AY35+AZ35))))</f>
        <v>0</v>
      </c>
      <c r="X35" s="60" t="n">
        <f aca="false">IF(AR35&lt;=0,0,IF(AT35&lt;=0,AR35,AR35-G35*MAX(0,AT35*AR35-(BA35+BB35))))</f>
        <v>0</v>
      </c>
      <c r="Y35" s="60" t="n">
        <f aca="false">T35+V35-S35+W35+X35</f>
        <v>210898.867160497</v>
      </c>
      <c r="Z35" s="60" t="n">
        <f aca="false">'Plan cashflow'!UK35</f>
        <v>21935.0063548324</v>
      </c>
      <c r="AA35" s="20" t="n">
        <f aca="false">MIN(Z35,U35)</f>
        <v>21935.0063548324</v>
      </c>
      <c r="AB35" s="20" t="n">
        <f aca="false">Z35-AA35</f>
        <v>0</v>
      </c>
      <c r="AC35" s="20" t="n">
        <f aca="false">MIN(AA35,J35+O35+R35)</f>
        <v>21935.0063548324</v>
      </c>
      <c r="AD35" s="20" t="n">
        <f aca="false">AA35-AC35</f>
        <v>0</v>
      </c>
      <c r="AE35" s="20" t="n">
        <f aca="false">J35+O35+R35-AC35</f>
        <v>83424.0855674314</v>
      </c>
      <c r="AF35" s="20" t="n">
        <f aca="false">K35-AD35</f>
        <v>0</v>
      </c>
      <c r="AG35" s="20" t="n">
        <f aca="false">SUM(PR35:TD35)</f>
        <v>0</v>
      </c>
      <c r="AH35" s="20" t="n">
        <f aca="false">SUM(TE35:WQ35)</f>
        <v>0</v>
      </c>
      <c r="AI35" s="20" t="n">
        <f aca="false">MAX(0,AB35-AG35)</f>
        <v>0</v>
      </c>
      <c r="AJ35" s="57" t="n">
        <f aca="false">BI34</f>
        <v>0</v>
      </c>
      <c r="AK35" s="20" t="n">
        <f aca="false">BJ34</f>
        <v>0</v>
      </c>
      <c r="AL35" s="20" t="n">
        <f aca="false">IF(AJ35&gt;0,(AJ35-AK35)/AJ35,0)</f>
        <v>0</v>
      </c>
      <c r="AM35" s="20" t="n">
        <f aca="false">IF(AJ35&lt;=0,0,IF(AL35&lt;=0,MIN(AI35,AJ35),MIN(AI35,AJ35-G35*MAX(0,AL35*AJ35-(AAD35+ADQ35)))))</f>
        <v>0</v>
      </c>
      <c r="AN35" s="20" t="n">
        <f aca="false">IF(AJ35&lt;=0,0,IF(AL35&lt;=0,AM35,IF(AM35&lt;=(AAD35+ADQ35)/AL35,AM35,(AM35-G35*(AAD35+ADQ35))/(1-G35*AL35))))</f>
        <v>0</v>
      </c>
      <c r="AO35" s="20" t="n">
        <f aca="false">IF(AL35&gt;0,MAX(0,AAD35-(MIN(AL35*AN35,(AAD35+ADQ35))-MIN(MIN(AL35*AN35,(AAD35+ADQ35)),ADQ35))),AAD35)</f>
        <v>1270</v>
      </c>
      <c r="AP35" s="20" t="n">
        <f aca="false">IF(AL35&lt;=0,ADQ35-AL35*AN35,ADQ35-MIN(MIN(AL35*AN35,(AAD35+ADQ35)),ADQ35))</f>
        <v>0</v>
      </c>
      <c r="AQ35" s="20" t="n">
        <f aca="false">MAX(0,AI35-AM35)</f>
        <v>0</v>
      </c>
      <c r="AR35" s="57" t="n">
        <f aca="false">BK34</f>
        <v>0</v>
      </c>
      <c r="AS35" s="20" t="n">
        <f aca="false">BL34</f>
        <v>0</v>
      </c>
      <c r="AT35" s="20" t="n">
        <f aca="false">IF(AR35&gt;0,(AR35-AS35)/AR35,0)</f>
        <v>0</v>
      </c>
      <c r="AU35" s="20" t="n">
        <f aca="false">IF(AR35&lt;=0,0,IF(AT35&lt;=0,MIN(AQ35,AR35),MIN(AQ35,AR35-G35*MAX(0,AT35*AR35-(AO35+AP35)))))</f>
        <v>0</v>
      </c>
      <c r="AV35" s="20" t="n">
        <f aca="false">IF(AR35&lt;=0,0,IF(AT35&lt;=0,AU35,IF(AU35&lt;=(AO35+AP35)/AT35,AU35,(AU35-G35*(AO35+AP35))/(1-G35*AT35))))</f>
        <v>0</v>
      </c>
      <c r="AW35" s="20" t="n">
        <f aca="false">IF(AT35&gt;0,MAX(0,AO35-(MIN(AT35*AV35,(AO35+AP35))-MIN(MIN(AT35*AV35,(AO35+AP35)),AP35))),AO35)</f>
        <v>1270</v>
      </c>
      <c r="AX35" s="20" t="n">
        <f aca="false">IF(AT35&lt;=0,AP35-AT35*AV35,AP35-MIN(MIN(AT35*AV35,(AO35+AP35)),AP35))</f>
        <v>0</v>
      </c>
      <c r="AY35" s="20" t="n">
        <f aca="false">MD35</f>
        <v>1270</v>
      </c>
      <c r="AZ35" s="20" t="n">
        <f aca="false">PQ35</f>
        <v>0</v>
      </c>
      <c r="BA35" s="20" t="n">
        <f aca="false">IF(AL35&gt;0,MAX(0,AY35-(MIN(AL35*AJ35,AY35+AZ35)-MIN(MIN(AL35*AJ35,AY35+AZ35),AZ35))),AY35)</f>
        <v>1270</v>
      </c>
      <c r="BB35" s="20" t="n">
        <f aca="false">IF(AL35&lt;=0,AZ35-AL35*AJ35,AZ35-MIN(MIN(AL35*AJ35,AY35+AZ35),AZ35))</f>
        <v>0</v>
      </c>
      <c r="BC35" s="20" t="n">
        <f aca="false">'Plan cashflow'!UM35</f>
        <v>0</v>
      </c>
      <c r="BD35" s="20" t="n">
        <f aca="false">(1-H_Sh)*BC35</f>
        <v>0</v>
      </c>
      <c r="BE35" s="20" t="n">
        <f aca="false">H_Sh*BC35</f>
        <v>0</v>
      </c>
      <c r="BF35" s="60" t="n">
        <f aca="false">(AE35+BD35)*(1+AS_Cash)</f>
        <v>84258.3264231057</v>
      </c>
      <c r="BG35" s="60" t="n">
        <f aca="false">AF35*(1+AS_Cash)</f>
        <v>0</v>
      </c>
      <c r="BH35" s="60" t="n">
        <f aca="false">SUM(AKR35:AOD35)</f>
        <v>113360.241655826</v>
      </c>
      <c r="BI35" s="60" t="n">
        <f aca="false">(AJ35-AN35)*(1+AS_Infl)</f>
        <v>0</v>
      </c>
      <c r="BJ35" s="20" t="n">
        <f aca="false">IF(AJ35&gt;0,AK35-AK35*AN35/AJ35,0)</f>
        <v>0</v>
      </c>
      <c r="BK35" s="60" t="n">
        <f aca="false">(AR35-AV35)*(1+BQ35)</f>
        <v>0</v>
      </c>
      <c r="BL35" s="20" t="n">
        <f aca="false">IF(AR35&gt;0,AS35-AS35*AV35/AR35,0)</f>
        <v>0</v>
      </c>
      <c r="BM35" s="60" t="n">
        <f aca="false">BF35+BG35+BH35+BI35+BK35</f>
        <v>197618.568078932</v>
      </c>
      <c r="BN35" s="60" t="n">
        <f aca="false">(AH35-AG35)+(AN35-AM35)+(AV35-AU35)</f>
        <v>0</v>
      </c>
      <c r="BO35" s="20" t="n">
        <f aca="false">(AE35+BD35+AF35+MAX(0,'Plan cashflow'!QH35)+IF(Slot1_Rate=AS_Cash,'Plan cashflow'!QM35/(1+AS_Cash),0)+IF(Slot2_Rate=AS_Cash,'Plan cashflow'!QQ35/(1+AS_Cash),0)+IF(Slot3_Rate=AS_Cash,'Plan cashflow'!QU35/(1+AS_Cash),0)+IF(Slot4_Rate=AS_Cash,'Plan cashflow'!QY35/(1+AS_Cash),0)+IF(Slot5_Rate=AS_Cash,'Plan cashflow'!RC35/(1+AS_Cash),0)+IF(Slot6_Rate=AS_Cash,'Plan cashflow'!RG35/(1+AS_Cash),0)+IF(Slot7_Rate=AS_Cash,'Plan cashflow'!RK35/(1+AS_Cash),0)+IF(Slot8_Rate=AS_Cash,'Plan cashflow'!RO35/(1+AS_Cash),0)+IF(Slot9_Rate=AS_Cash,'Plan cashflow'!RS35/(1+AS_Cash),0)+IF(Slot10_Rate=AS_Cash,'Plan cashflow'!RW35/(1+AS_Cash),0)+IF(Slot11_Rate=AS_Cash,'Plan cashflow'!SA35/(1+AS_Cash),0)+IF(Slot12_Rate=AS_Cash,'Plan cashflow'!SE35/(1+AS_Cash),0)+IF(Slot13_Rate=AS_Cash,'Plan cashflow'!SI35/(1+AS_Cash),0)+IF(Slot14_Rate=AS_Cash,'Plan cashflow'!SM35/(1+AS_Cash),0)+IF(Slot15_Rate=AS_Cash,'Plan cashflow'!SQ35/(1+AS_Cash),0)+IF(Slot16_Rate=AS_Cash,'Plan cashflow'!SU35/(1+AS_Cash),0)+IF(Slot17_Rate=AS_Cash,'Plan cashflow'!SY35/(1+AS_Cash),0)+IF(Slot18_Rate=AS_Cash,'Plan cashflow'!TC35/(1+AS_Cash),0)+IF(Slot19_Rate=AS_Cash,'Plan cashflow'!TG35/(1+AS_Cash),0)+IF(Slot20_Rate=AS_Cash,'Plan cashflow'!TK35/(1+AS_Cash),0))*AS_Cash*H_DIRT/(1-H_DIRT)</f>
        <v>482.76617604631</v>
      </c>
      <c r="BP35" s="60" t="n">
        <f aca="false">SUM(AVE35:AYQ35)</f>
        <v>652.63769008359</v>
      </c>
      <c r="BQ35" s="54" t="n">
        <f aca="false">IF(H_TaxEvt=1,H_InvG,AS_Inv)</f>
        <v>0.04</v>
      </c>
      <c r="BR35" s="20" t="n">
        <f aca="false">IF(AKR34&gt;0,(AKR34-AOE34)/AKR34,0)</f>
        <v>0</v>
      </c>
      <c r="BS35" s="20" t="n">
        <f aca="false">IF(AKS34&gt;0,(AKS34-AOF34)/AKS34,0)</f>
        <v>0</v>
      </c>
      <c r="BT35" s="20" t="n">
        <f aca="false">IF(AKT34&gt;0,(AKT34-AOG34)/AKT34,0)</f>
        <v>0</v>
      </c>
      <c r="BU35" s="20" t="n">
        <f aca="false">IF(AKU34&gt;0,(AKU34-AOH34)/AKU34,0)</f>
        <v>0</v>
      </c>
      <c r="BV35" s="20" t="n">
        <f aca="false">IF(AKV34&gt;0,(AKV34-AOI34)/AKV34,0)</f>
        <v>0</v>
      </c>
      <c r="BW35" s="20" t="n">
        <f aca="false">IF(AKW34&gt;0,(AKW34-AOJ34)/AKW34,0)</f>
        <v>0</v>
      </c>
      <c r="BX35" s="20" t="n">
        <f aca="false">IF(AKX34&gt;0,(AKX34-AOK34)/AKX34,0)</f>
        <v>0</v>
      </c>
      <c r="BY35" s="20" t="n">
        <f aca="false">IF(AKY34&gt;0,(AKY34-AOL34)/AKY34,0)</f>
        <v>0</v>
      </c>
      <c r="BZ35" s="20" t="n">
        <f aca="false">IF(AKZ34&gt;0,(AKZ34-AOM34)/AKZ34,0)</f>
        <v>0</v>
      </c>
      <c r="CA35" s="20" t="n">
        <f aca="false">IF(ALA34&gt;0,(ALA34-AON34)/ALA34,0)</f>
        <v>0</v>
      </c>
      <c r="CB35" s="20" t="n">
        <f aca="false">IF(ALB34&gt;0,(ALB34-AOO34)/ALB34,0)</f>
        <v>0</v>
      </c>
      <c r="CC35" s="20" t="n">
        <f aca="false">IF(ALC34&gt;0,(ALC34-AOP34)/ALC34,0)</f>
        <v>0.0384615384615385</v>
      </c>
      <c r="CD35" s="20" t="n">
        <f aca="false">IF(ALD34&gt;0,(ALD34-AOQ34)/ALD34,0)</f>
        <v>0</v>
      </c>
      <c r="CE35" s="20" t="n">
        <f aca="false">IF(ALE34&gt;0,(ALE34-AOR34)/ALE34,0)</f>
        <v>0.240082186797937</v>
      </c>
      <c r="CF35" s="20" t="n">
        <f aca="false">IF(ALF34&gt;0,(ALF34-AOS34)/ALF34,0)</f>
        <v>0.209685474269854</v>
      </c>
      <c r="CG35" s="20" t="n">
        <f aca="false">IF(ALG34&gt;0,(ALG34-AOT34)/ALG34,0)</f>
        <v>0.178072893240649</v>
      </c>
      <c r="CH35" s="20" t="n">
        <f aca="false">IF(ALH34&gt;0,(ALH34-AOU34)/ALH34,0)</f>
        <v>0.145195808970274</v>
      </c>
      <c r="CI35" s="20" t="n">
        <f aca="false">IF(ALI34&gt;0,(ALI34-AOV34)/ALI34,0)</f>
        <v>0.111003641329085</v>
      </c>
      <c r="CJ35" s="20" t="n">
        <f aca="false">IF(ALJ34&gt;0,(ALJ34-AOW34)/ALJ34,0)</f>
        <v>0.0754437869822487</v>
      </c>
      <c r="CK35" s="20" t="n">
        <f aca="false">IF(ALK34&gt;0,(ALK34-AOX34)/ALK34,0)</f>
        <v>0.0384615384615385</v>
      </c>
      <c r="CL35" s="20" t="n">
        <f aca="false">IF(ALL34&gt;0,(ALL34-AOY34)/ALL34,0)</f>
        <v>0</v>
      </c>
      <c r="CM35" s="20" t="n">
        <f aca="false">IF(ALM34&gt;0,(ALM34-AOZ34)/ALM34,0)</f>
        <v>0.240082186797937</v>
      </c>
      <c r="CN35" s="20" t="n">
        <f aca="false">IF(ALN34&gt;0,(ALN34-APA34)/ALN34,0)</f>
        <v>0.209685474269854</v>
      </c>
      <c r="CO35" s="20" t="n">
        <f aca="false">IF(ALO34&gt;0,(ALO34-APB34)/ALO34,0)</f>
        <v>0.178072893240648</v>
      </c>
      <c r="CP35" s="20" t="n">
        <f aca="false">IF(ALP34&gt;0,(ALP34-APC34)/ALP34,0)</f>
        <v>0.145195808970274</v>
      </c>
      <c r="CQ35" s="20" t="n">
        <f aca="false">IF(ALQ34&gt;0,(ALQ34-APD34)/ALQ34,0)</f>
        <v>0.111003641329085</v>
      </c>
      <c r="CR35" s="20" t="n">
        <f aca="false">IF(ALR34&gt;0,(ALR34-APE34)/ALR34,0)</f>
        <v>0.0754437869822486</v>
      </c>
      <c r="CS35" s="20" t="n">
        <f aca="false">IF(ALS34&gt;0,(ALS34-APF34)/ALS34,0)</f>
        <v>0</v>
      </c>
      <c r="CT35" s="20" t="n">
        <f aca="false">IF((P35+S35)&gt;0,((P35+S35)-(P35+S35))/(P35+S35),0)</f>
        <v>0</v>
      </c>
      <c r="CU35" s="20" t="n">
        <v>0</v>
      </c>
      <c r="CV35" s="20" t="n">
        <v>0</v>
      </c>
      <c r="CW35" s="20" t="n">
        <v>0</v>
      </c>
      <c r="CX35" s="20" t="n">
        <v>0</v>
      </c>
      <c r="CY35" s="20" t="n">
        <v>0</v>
      </c>
      <c r="CZ35" s="20" t="n">
        <v>0</v>
      </c>
      <c r="DA35" s="20" t="n">
        <v>0</v>
      </c>
      <c r="DB35" s="20" t="n">
        <v>0</v>
      </c>
      <c r="DC35" s="20" t="n">
        <v>0</v>
      </c>
      <c r="DD35" s="20" t="n">
        <v>0</v>
      </c>
      <c r="DE35" s="20" t="n">
        <v>0</v>
      </c>
      <c r="DF35" s="20" t="n">
        <v>0</v>
      </c>
      <c r="DG35" s="20" t="n">
        <v>0</v>
      </c>
      <c r="DH35" s="20" t="n">
        <v>0</v>
      </c>
      <c r="DI35" s="20" t="n">
        <v>0</v>
      </c>
      <c r="DJ35" s="20" t="n">
        <v>0</v>
      </c>
      <c r="DK35" s="20" t="n">
        <v>0</v>
      </c>
      <c r="DL35" s="20" t="n">
        <v>0</v>
      </c>
      <c r="DM35" s="20" t="n">
        <v>0</v>
      </c>
      <c r="DN35" s="20" t="n">
        <v>0</v>
      </c>
      <c r="DO35" s="20" t="n">
        <v>0</v>
      </c>
      <c r="DP35" s="20" t="n">
        <v>0</v>
      </c>
      <c r="DQ35" s="20" t="n">
        <v>0</v>
      </c>
      <c r="DR35" s="20" t="n">
        <v>0</v>
      </c>
      <c r="DS35" s="20" t="n">
        <v>0</v>
      </c>
      <c r="DT35" s="20" t="n">
        <v>0</v>
      </c>
      <c r="DU35" s="20" t="n">
        <v>0</v>
      </c>
      <c r="DV35" s="20" t="n">
        <v>0</v>
      </c>
      <c r="DW35" s="20" t="n">
        <v>0</v>
      </c>
      <c r="DX35" s="20" t="n">
        <v>0</v>
      </c>
      <c r="DY35" s="20" t="n">
        <v>0</v>
      </c>
      <c r="DZ35" s="20" t="n">
        <v>0</v>
      </c>
      <c r="EA35" s="20" t="n">
        <v>0</v>
      </c>
      <c r="EB35" s="20" t="n">
        <v>0</v>
      </c>
      <c r="EC35" s="20" t="n">
        <v>0</v>
      </c>
      <c r="ED35" s="20" t="n">
        <v>0</v>
      </c>
      <c r="EE35" s="20" t="n">
        <v>0</v>
      </c>
      <c r="EF35" s="20" t="n">
        <v>0</v>
      </c>
      <c r="EG35" s="20" t="n">
        <v>0</v>
      </c>
      <c r="EH35" s="20" t="n">
        <v>0</v>
      </c>
      <c r="EI35" s="20" t="n">
        <v>0</v>
      </c>
      <c r="EJ35" s="20" t="n">
        <v>0</v>
      </c>
      <c r="EK35" s="20" t="n">
        <v>0</v>
      </c>
      <c r="EL35" s="20" t="n">
        <v>0</v>
      </c>
      <c r="EM35" s="20" t="n">
        <v>0</v>
      </c>
      <c r="EN35" s="20" t="n">
        <v>0</v>
      </c>
      <c r="EO35" s="20" t="n">
        <v>0</v>
      </c>
      <c r="EP35" s="20" t="n">
        <v>0</v>
      </c>
      <c r="EQ35" s="20" t="n">
        <v>0</v>
      </c>
      <c r="ER35" s="20" t="n">
        <v>0</v>
      </c>
      <c r="ES35" s="20" t="n">
        <v>0</v>
      </c>
      <c r="ET35" s="20" t="n">
        <v>0</v>
      </c>
      <c r="EU35" s="20" t="n">
        <v>0</v>
      </c>
      <c r="EV35" s="20" t="n">
        <v>0</v>
      </c>
      <c r="EW35" s="20" t="n">
        <v>0</v>
      </c>
      <c r="EX35" s="20" t="n">
        <v>0</v>
      </c>
      <c r="EY35" s="20" t="n">
        <v>0</v>
      </c>
      <c r="EZ35" s="20" t="n">
        <v>0</v>
      </c>
      <c r="FA35" s="20" t="n">
        <v>0</v>
      </c>
      <c r="FB35" s="20" t="n">
        <v>0</v>
      </c>
      <c r="FC35" s="20" t="n">
        <v>0</v>
      </c>
      <c r="FD35" s="20" t="n">
        <v>0</v>
      </c>
      <c r="FE35" s="20" t="n">
        <f aca="false">IF(H_Direct=1,IF(AKR34&lt;=0,0,IF(BR35&lt;=0,AKR34,AKR34-G35*MAX(0,BR35*AKR34-(H35+I35)))),AKR34*(1-MAX(0,BR35)*H_Exit))</f>
        <v>0</v>
      </c>
      <c r="FF35" s="20" t="n">
        <f aca="false">IF(H_Direct=1,IF(AKS34&lt;=0,0,IF(BS35&lt;=0,AKS34,AKS34-G35*MAX(0,BS35*AKS34-(IR35+ME35)))),AKS34*(1-MAX(0,BS35)*H_Exit))</f>
        <v>0</v>
      </c>
      <c r="FG35" s="20" t="n">
        <f aca="false">IF(H_Direct=1,IF(AKT34&lt;=0,0,IF(BT35&lt;=0,AKT34,AKT34-G35*MAX(0,BT35*AKT34-(IS35+MF35)))),AKT34*(1-MAX(0,BT35)*H_Exit))</f>
        <v>0</v>
      </c>
      <c r="FH35" s="20" t="n">
        <f aca="false">IF(H_Direct=1,IF(AKU34&lt;=0,0,IF(BU35&lt;=0,AKU34,AKU34-G35*MAX(0,BU35*AKU34-(IT35+MG35)))),AKU34*(1-MAX(0,BU35)*H_Exit))</f>
        <v>0</v>
      </c>
      <c r="FI35" s="20" t="n">
        <f aca="false">IF(H_Direct=1,IF(AKV34&lt;=0,0,IF(BV35&lt;=0,AKV34,AKV34-G35*MAX(0,BV35*AKV34-(IU35+MH35)))),AKV34*(1-MAX(0,BV35)*H_Exit))</f>
        <v>0</v>
      </c>
      <c r="FJ35" s="20" t="n">
        <f aca="false">IF(H_Direct=1,IF(AKW34&lt;=0,0,IF(BW35&lt;=0,AKW34,AKW34-G35*MAX(0,BW35*AKW34-(IV35+MI35)))),AKW34*(1-MAX(0,BW35)*H_Exit))</f>
        <v>0</v>
      </c>
      <c r="FK35" s="20" t="n">
        <f aca="false">IF(H_Direct=1,IF(AKX34&lt;=0,0,IF(BX35&lt;=0,AKX34,AKX34-G35*MAX(0,BX35*AKX34-(IW35+MJ35)))),AKX34*(1-MAX(0,BX35)*H_Exit))</f>
        <v>0</v>
      </c>
      <c r="FL35" s="20" t="n">
        <f aca="false">IF(H_Direct=1,IF(AKY34&lt;=0,0,IF(BY35&lt;=0,AKY34,AKY34-G35*MAX(0,BY35*AKY34-(IX35+MK35)))),AKY34*(1-MAX(0,BY35)*H_Exit))</f>
        <v>0</v>
      </c>
      <c r="FM35" s="20" t="n">
        <f aca="false">IF(H_Direct=1,IF(AKZ34&lt;=0,0,IF(BZ35&lt;=0,AKZ34,AKZ34-G35*MAX(0,BZ35*AKZ34-(IY35+ML35)))),AKZ34*(1-MAX(0,BZ35)*H_Exit))</f>
        <v>0</v>
      </c>
      <c r="FN35" s="20" t="n">
        <f aca="false">IF(H_Direct=1,IF(ALA34&lt;=0,0,IF(CA35&lt;=0,ALA34,ALA34-G35*MAX(0,CA35*ALA34-(IZ35+MM35)))),ALA34*(1-MAX(0,CA35)*H_Exit))</f>
        <v>0</v>
      </c>
      <c r="FO35" s="20" t="n">
        <f aca="false">IF(H_Direct=1,IF(ALB34&lt;=0,0,IF(CB35&lt;=0,ALB34,ALB34-G35*MAX(0,CB35*ALB34-(JA35+MN35)))),ALB34*(1-MAX(0,CB35)*H_Exit))</f>
        <v>0</v>
      </c>
      <c r="FP35" s="20" t="n">
        <f aca="false">IF(H_Direct=1,IF(ALC34&lt;=0,0,IF(CC35&lt;=0,ALC34,ALC34-G35*MAX(0,CC35*ALC34-(JB35+MO35)))),ALC34*(1-MAX(0,CC35)*H_Exit))</f>
        <v>845.530416945283</v>
      </c>
      <c r="FQ35" s="20" t="n">
        <f aca="false">IF(H_Direct=1,IF(ALD34&lt;=0,0,IF(CD35&lt;=0,ALD34,ALD34-G35*MAX(0,CD35*ALD34-(JC35+MP35)))),ALD34*(1-MAX(0,CD35)*H_Exit))</f>
        <v>1079.42659374892</v>
      </c>
      <c r="FR35" s="20" t="n">
        <f aca="false">IF(H_Direct=1,IF(ALE34&lt;=0,0,IF(CE35&lt;=0,ALE34,ALE34-G35*MAX(0,CE35*ALE34-(JD35+MQ35)))),ALE34*(1-MAX(0,CE35)*H_Exit))</f>
        <v>1307.75462799797</v>
      </c>
      <c r="FS35" s="20" t="n">
        <f aca="false">IF(H_Direct=1,IF(ALF34&lt;=0,0,IF(CF35&lt;=0,ALF34,ALF34-G35*MAX(0,CF35*ALF34-(JE35+MR35)))),ALF34*(1-MAX(0,CF35)*H_Exit))</f>
        <v>1489.26851146569</v>
      </c>
      <c r="FT35" s="20" t="n">
        <f aca="false">IF(H_Direct=1,IF(ALG34&lt;=0,0,IF(CG35&lt;=0,ALG34,ALG34-G35*MAX(0,CG35*ALG34-(JF35+MS35)))),ALG34*(1-MAX(0,CG35)*H_Exit))</f>
        <v>1450.93649539522</v>
      </c>
      <c r="FU35" s="20" t="n">
        <f aca="false">IF(H_Direct=1,IF(ALH34&lt;=0,0,IF(CH35&lt;=0,ALH34,ALH34-G35*MAX(0,CH35*ALH34-(JG35+MT35)))),ALH34*(1-MAX(0,CH35)*H_Exit))</f>
        <v>1413.23986593488</v>
      </c>
      <c r="FV35" s="20" t="n">
        <f aca="false">IF(H_Direct=1,IF(ALI34&lt;=0,0,IF(CI35&lt;=0,ALI34,ALI34-G35*MAX(0,CI35*ALI34-(JH35+MU35)))),ALI34*(1-MAX(0,CI35)*H_Exit))</f>
        <v>1376.14469460066</v>
      </c>
      <c r="FW35" s="20" t="n">
        <f aca="false">IF(H_Direct=1,IF(ALJ34&lt;=0,0,IF(CJ35&lt;=0,ALJ34,ALJ34-G35*MAX(0,CJ35*ALJ34-(JI35+MV35)))),ALJ34*(1-MAX(0,CJ35)*H_Exit))</f>
        <v>4337.38467704615</v>
      </c>
      <c r="FX35" s="20" t="n">
        <f aca="false">IF(H_Direct=1,IF(ALK34&lt;=0,0,IF(CK35&lt;=0,ALK34,ALK34-G35*MAX(0,CK35*ALK34-(JJ35+MW35)))),ALK34*(1-MAX(0,CK35)*H_Exit))</f>
        <v>4315.52006238162</v>
      </c>
      <c r="FY35" s="20" t="n">
        <f aca="false">IF(H_Direct=1,IF(ALL34&lt;=0,0,IF(CL35&lt;=0,ALL34,ALL34-G35*MAX(0,CL35*ALL34-(JK35+MX35)))),ALL34*(1-MAX(0,CL35)*H_Exit))</f>
        <v>4295.30685365853</v>
      </c>
      <c r="FZ35" s="20" t="n">
        <f aca="false">IF(H_Direct=1,IF(ALM34&lt;=0,0,IF(CM35&lt;=0,ALM34,ALM34-G35*MAX(0,CM35*ALM34-(JL35+MY35)))),ALM34*(1-MAX(0,CM35)*H_Exit))</f>
        <v>4264.82726128556</v>
      </c>
      <c r="GA35" s="20" t="n">
        <f aca="false">IF(H_Direct=1,IF(ALN34&lt;=0,0,IF(CN35&lt;=0,ALN34,ALN34-G35*MAX(0,CN35*ALN34-(JM35+MZ35)))),ALN34*(1-MAX(0,CN35)*H_Exit))</f>
        <v>4235.97626416987</v>
      </c>
      <c r="GB35" s="20" t="n">
        <f aca="false">IF(H_Direct=1,IF(ALO34&lt;=0,0,IF(CO35&lt;=0,ALO34,ALO34-G35*MAX(0,CO35*ALO34-(JN35+NA35)))),ALO34*(1-MAX(0,CO35)*H_Exit))</f>
        <v>4208.7433921569</v>
      </c>
      <c r="GC35" s="20" t="n">
        <f aca="false">IF(H_Direct=1,IF(ALP34&lt;=0,0,IF(CP35&lt;=0,ALP34,ALP34-G35*MAX(0,CP35*ALP34-(JO35+NB35)))),ALP34*(1-MAX(0,CP35)*H_Exit))</f>
        <v>4183.11879342091</v>
      </c>
      <c r="GD35" s="20" t="n">
        <f aca="false">IF(H_Direct=1,IF(ALQ34&lt;=0,0,IF(CQ35&lt;=0,ALQ34,ALQ34-G35*MAX(0,CQ35*ALQ34-(JP35+NC35)))),ALQ34*(1-MAX(0,CQ35)*H_Exit))</f>
        <v>4159.09323091364</v>
      </c>
      <c r="GE35" s="20" t="n">
        <f aca="false">IF(H_Direct=1,IF(ALR34&lt;=0,0,IF(CR35&lt;=0,ALR34,ALR34-G35*MAX(0,CR35*ALR34-(JQ35+ND35)))),ALR34*(1-MAX(0,CR35)*H_Exit))</f>
        <v>62577.5034971112</v>
      </c>
      <c r="GF35" s="20" t="n">
        <f aca="false">IF(H_Direct=1,IF(ALS34&lt;=0,0,IF(CS35&lt;=0,ALS34,ALS34-G35*MAX(0,CS35*ALS34-(JR35+NE35)))),ALS34*(1-MAX(0,CS35)*H_Exit))</f>
        <v>0</v>
      </c>
      <c r="GG35" s="20" t="n">
        <f aca="false">IF(H_Direct=1,IF((P35+S35)&lt;=0,0,IF(CT35&lt;=0,(P35+S35),(P35+S35)-G35*MAX(0,CT35*(P35+S35)-(JS35+NF35)))),(P35+S35)*(1-MAX(0,CT35)*H_Exit))</f>
        <v>0</v>
      </c>
      <c r="GH35" s="20" t="n">
        <v>0</v>
      </c>
      <c r="GI35" s="20" t="n">
        <v>0</v>
      </c>
      <c r="GJ35" s="20" t="n">
        <v>0</v>
      </c>
      <c r="GK35" s="20" t="n">
        <v>0</v>
      </c>
      <c r="GL35" s="20" t="n">
        <v>0</v>
      </c>
      <c r="GM35" s="20" t="n">
        <v>0</v>
      </c>
      <c r="GN35" s="20" t="n">
        <v>0</v>
      </c>
      <c r="GO35" s="20" t="n">
        <v>0</v>
      </c>
      <c r="GP35" s="20" t="n">
        <v>0</v>
      </c>
      <c r="GQ35" s="20" t="n">
        <v>0</v>
      </c>
      <c r="GR35" s="20" t="n">
        <v>0</v>
      </c>
      <c r="GS35" s="20" t="n">
        <v>0</v>
      </c>
      <c r="GT35" s="20" t="n">
        <v>0</v>
      </c>
      <c r="GU35" s="20" t="n">
        <v>0</v>
      </c>
      <c r="GV35" s="20" t="n">
        <v>0</v>
      </c>
      <c r="GW35" s="20" t="n">
        <v>0</v>
      </c>
      <c r="GX35" s="20" t="n">
        <v>0</v>
      </c>
      <c r="GY35" s="20" t="n">
        <v>0</v>
      </c>
      <c r="GZ35" s="20" t="n">
        <v>0</v>
      </c>
      <c r="HA35" s="20" t="n">
        <v>0</v>
      </c>
      <c r="HB35" s="20" t="n">
        <v>0</v>
      </c>
      <c r="HC35" s="20" t="n">
        <v>0</v>
      </c>
      <c r="HD35" s="20" t="n">
        <v>0</v>
      </c>
      <c r="HE35" s="20" t="n">
        <v>0</v>
      </c>
      <c r="HF35" s="20" t="n">
        <v>0</v>
      </c>
      <c r="HG35" s="20" t="n">
        <v>0</v>
      </c>
      <c r="HH35" s="20" t="n">
        <v>0</v>
      </c>
      <c r="HI35" s="20" t="n">
        <v>0</v>
      </c>
      <c r="HJ35" s="20" t="n">
        <v>0</v>
      </c>
      <c r="HK35" s="20" t="n">
        <v>0</v>
      </c>
      <c r="HL35" s="20" t="n">
        <v>0</v>
      </c>
      <c r="HM35" s="20" t="n">
        <v>0</v>
      </c>
      <c r="HN35" s="20" t="n">
        <v>0</v>
      </c>
      <c r="HO35" s="20" t="n">
        <v>0</v>
      </c>
      <c r="HP35" s="20" t="n">
        <v>0</v>
      </c>
      <c r="HQ35" s="20" t="n">
        <v>0</v>
      </c>
      <c r="HR35" s="20" t="n">
        <v>0</v>
      </c>
      <c r="HS35" s="20" t="n">
        <v>0</v>
      </c>
      <c r="HT35" s="20" t="n">
        <v>0</v>
      </c>
      <c r="HU35" s="20" t="n">
        <v>0</v>
      </c>
      <c r="HV35" s="20" t="n">
        <v>0</v>
      </c>
      <c r="HW35" s="20" t="n">
        <v>0</v>
      </c>
      <c r="HX35" s="20" t="n">
        <v>0</v>
      </c>
      <c r="HY35" s="20" t="n">
        <v>0</v>
      </c>
      <c r="HZ35" s="20" t="n">
        <v>0</v>
      </c>
      <c r="IA35" s="20" t="n">
        <v>0</v>
      </c>
      <c r="IB35" s="20" t="n">
        <v>0</v>
      </c>
      <c r="IC35" s="20" t="n">
        <v>0</v>
      </c>
      <c r="ID35" s="20" t="n">
        <v>0</v>
      </c>
      <c r="IE35" s="20" t="n">
        <v>0</v>
      </c>
      <c r="IF35" s="20" t="n">
        <v>0</v>
      </c>
      <c r="IG35" s="20" t="n">
        <v>0</v>
      </c>
      <c r="IH35" s="20" t="n">
        <v>0</v>
      </c>
      <c r="II35" s="20" t="n">
        <v>0</v>
      </c>
      <c r="IJ35" s="20" t="n">
        <v>0</v>
      </c>
      <c r="IK35" s="20" t="n">
        <v>0</v>
      </c>
      <c r="IL35" s="20" t="n">
        <v>0</v>
      </c>
      <c r="IM35" s="20" t="n">
        <v>0</v>
      </c>
      <c r="IN35" s="20" t="n">
        <v>0</v>
      </c>
      <c r="IO35" s="20" t="n">
        <v>0</v>
      </c>
      <c r="IP35" s="20" t="n">
        <v>0</v>
      </c>
      <c r="IQ35" s="20" t="n">
        <v>0</v>
      </c>
      <c r="IR35" s="20" t="n">
        <f aca="false">IF(AND(H_Direct=1,BR35&gt;0),MAX(0,H35-(MIN(BR35*AKR34,H35+I35)-MIN(MIN(BR35*AKR34,H35+I35),I35))),H35)</f>
        <v>1270</v>
      </c>
      <c r="IS35" s="20" t="n">
        <f aca="false">IF(AND(H_Direct=1,BS35&gt;0),MAX(0,IR35-(MIN(BS35*AKS34,IR35+ME35)-MIN(MIN(BS35*AKS34,IR35+ME35),ME35))),IR35)</f>
        <v>1270</v>
      </c>
      <c r="IT35" s="20" t="n">
        <f aca="false">IF(AND(H_Direct=1,BT35&gt;0),MAX(0,IS35-(MIN(BT35*AKT34,IS35+MF35)-MIN(MIN(BT35*AKT34,IS35+MF35),MF35))),IS35)</f>
        <v>1270</v>
      </c>
      <c r="IU35" s="20" t="n">
        <f aca="false">IF(AND(H_Direct=1,BU35&gt;0),MAX(0,IT35-(MIN(BU35*AKU34,IT35+MG35)-MIN(MIN(BU35*AKU34,IT35+MG35),MG35))),IT35)</f>
        <v>1270</v>
      </c>
      <c r="IV35" s="20" t="n">
        <f aca="false">IF(AND(H_Direct=1,BV35&gt;0),MAX(0,IU35-(MIN(BV35*AKV34,IU35+MH35)-MIN(MIN(BV35*AKV34,IU35+MH35),MH35))),IU35)</f>
        <v>1270</v>
      </c>
      <c r="IW35" s="20" t="n">
        <f aca="false">IF(AND(H_Direct=1,BW35&gt;0),MAX(0,IV35-(MIN(BW35*AKW34,IV35+MI35)-MIN(MIN(BW35*AKW34,IV35+MI35),MI35))),IV35)</f>
        <v>1270</v>
      </c>
      <c r="IX35" s="20" t="n">
        <f aca="false">IF(AND(H_Direct=1,BX35&gt;0),MAX(0,IW35-(MIN(BX35*AKX34,IW35+MJ35)-MIN(MIN(BX35*AKX34,IW35+MJ35),MJ35))),IW35)</f>
        <v>1270</v>
      </c>
      <c r="IY35" s="20" t="n">
        <f aca="false">IF(AND(H_Direct=1,BY35&gt;0),MAX(0,IX35-(MIN(BY35*AKY34,IX35+MK35)-MIN(MIN(BY35*AKY34,IX35+MK35),MK35))),IX35)</f>
        <v>1270</v>
      </c>
      <c r="IZ35" s="20" t="n">
        <f aca="false">IF(AND(H_Direct=1,BZ35&gt;0),MAX(0,IY35-(MIN(BZ35*AKZ34,IY35+ML35)-MIN(MIN(BZ35*AKZ34,IY35+ML35),ML35))),IY35)</f>
        <v>1270</v>
      </c>
      <c r="JA35" s="20" t="n">
        <f aca="false">IF(AND(H_Direct=1,CA35&gt;0),MAX(0,IZ35-(MIN(CA35*ALA34,IZ35+MM35)-MIN(MIN(CA35*ALA34,IZ35+MM35),MM35))),IZ35)</f>
        <v>1270</v>
      </c>
      <c r="JB35" s="20" t="n">
        <f aca="false">IF(AND(H_Direct=1,CB35&gt;0),MAX(0,JA35-(MIN(CB35*ALB34,JA35+MN35)-MIN(MIN(CB35*ALB34,JA35+MN35),MN35))),JA35)</f>
        <v>1270</v>
      </c>
      <c r="JC35" s="20" t="n">
        <f aca="false">IF(AND(H_Direct=1,CC35&gt;0),MAX(0,JB35-(MIN(CC35*ALC34,JB35+MO35)-MIN(MIN(CC35*ALC34,JB35+MO35),MO35))),JB35)</f>
        <v>1270</v>
      </c>
      <c r="JD35" s="20" t="n">
        <f aca="false">IF(AND(H_Direct=1,CD35&gt;0),MAX(0,JC35-(MIN(CD35*ALD34,JC35+MP35)-MIN(MIN(CD35*ALD34,JC35+MP35),MP35))),JC35)</f>
        <v>1270</v>
      </c>
      <c r="JE35" s="20" t="n">
        <f aca="false">IF(AND(H_Direct=1,CE35&gt;0),MAX(0,JD35-(MIN(CE35*ALE34,JD35+MQ35)-MIN(MIN(CE35*ALE34,JD35+MQ35),MQ35))),JD35)</f>
        <v>1270</v>
      </c>
      <c r="JF35" s="20" t="n">
        <f aca="false">IF(AND(H_Direct=1,CF35&gt;0),MAX(0,JE35-(MIN(CF35*ALF34,JE35+MR35)-MIN(MIN(CF35*ALF34,JE35+MR35),MR35))),JE35)</f>
        <v>1270</v>
      </c>
      <c r="JG35" s="20" t="n">
        <f aca="false">IF(AND(H_Direct=1,CG35&gt;0),MAX(0,JF35-(MIN(CG35*ALG34,JF35+MS35)-MIN(MIN(CG35*ALG34,JF35+MS35),MS35))),JF35)</f>
        <v>1270</v>
      </c>
      <c r="JH35" s="20" t="n">
        <f aca="false">IF(AND(H_Direct=1,CH35&gt;0),MAX(0,JG35-(MIN(CH35*ALH34,JG35+MT35)-MIN(MIN(CH35*ALH34,JG35+MT35),MT35))),JG35)</f>
        <v>1270</v>
      </c>
      <c r="JI35" s="20" t="n">
        <f aca="false">IF(AND(H_Direct=1,CI35&gt;0),MAX(0,JH35-(MIN(CI35*ALI34,JH35+MU35)-MIN(MIN(CI35*ALI34,JH35+MU35),MU35))),JH35)</f>
        <v>1270</v>
      </c>
      <c r="JJ35" s="20" t="n">
        <f aca="false">IF(AND(H_Direct=1,CJ35&gt;0),MAX(0,JI35-(MIN(CJ35*ALJ34,JI35+MV35)-MIN(MIN(CJ35*ALJ34,JI35+MV35),MV35))),JI35)</f>
        <v>1270</v>
      </c>
      <c r="JK35" s="20" t="n">
        <f aca="false">IF(AND(H_Direct=1,CK35&gt;0),MAX(0,JJ35-(MIN(CK35*ALK34,JJ35+MW35)-MIN(MIN(CK35*ALK34,JJ35+MW35),MW35))),JJ35)</f>
        <v>1270</v>
      </c>
      <c r="JL35" s="20" t="n">
        <f aca="false">IF(AND(H_Direct=1,CL35&gt;0),MAX(0,JK35-(MIN(CL35*ALL34,JK35+MX35)-MIN(MIN(CL35*ALL34,JK35+MX35),MX35))),JK35)</f>
        <v>1270</v>
      </c>
      <c r="JM35" s="20" t="n">
        <f aca="false">IF(AND(H_Direct=1,CM35&gt;0),MAX(0,JL35-(MIN(CM35*ALM34,JL35+MY35)-MIN(MIN(CM35*ALM34,JL35+MY35),MY35))),JL35)</f>
        <v>1270</v>
      </c>
      <c r="JN35" s="20" t="n">
        <f aca="false">IF(AND(H_Direct=1,CN35&gt;0),MAX(0,JM35-(MIN(CN35*ALN34,JM35+MZ35)-MIN(MIN(CN35*ALN34,JM35+MZ35),MZ35))),JM35)</f>
        <v>1270</v>
      </c>
      <c r="JO35" s="20" t="n">
        <f aca="false">IF(AND(H_Direct=1,CO35&gt;0),MAX(0,JN35-(MIN(CO35*ALO34,JN35+NA35)-MIN(MIN(CO35*ALO34,JN35+NA35),NA35))),JN35)</f>
        <v>1270</v>
      </c>
      <c r="JP35" s="20" t="n">
        <f aca="false">IF(AND(H_Direct=1,CP35&gt;0),MAX(0,JO35-(MIN(CP35*ALP34,JO35+NB35)-MIN(MIN(CP35*ALP34,JO35+NB35),NB35))),JO35)</f>
        <v>1270</v>
      </c>
      <c r="JQ35" s="20" t="n">
        <f aca="false">IF(AND(H_Direct=1,CQ35&gt;0),MAX(0,JP35-(MIN(CQ35*ALQ34,JP35+NC35)-MIN(MIN(CQ35*ALQ34,JP35+NC35),NC35))),JP35)</f>
        <v>1270</v>
      </c>
      <c r="JR35" s="20" t="n">
        <f aca="false">IF(AND(H_Direct=1,CR35&gt;0),MAX(0,JQ35-(MIN(CR35*ALR34,JQ35+ND35)-MIN(MIN(CR35*ALR34,JQ35+ND35),ND35))),JQ35)</f>
        <v>1270</v>
      </c>
      <c r="JS35" s="20" t="n">
        <f aca="false">IF(AND(H_Direct=1,CS35&gt;0),MAX(0,JR35-(MIN(CS35*ALS34,JR35+NE35)-MIN(MIN(CS35*ALS34,JR35+NE35),NE35))),JR35)</f>
        <v>1270</v>
      </c>
      <c r="JT35" s="20" t="n">
        <f aca="false">IF(AND(H_Direct=1,CT35&gt;0),MAX(0,JS35-(MIN(CT35*(P35+S35),JS35+NF35)-MIN(MIN(CT35*(P35+S35),JS35+NF35),NF35))),JS35)</f>
        <v>1270</v>
      </c>
      <c r="JU35" s="20" t="n">
        <f aca="false">JT35</f>
        <v>1270</v>
      </c>
      <c r="JV35" s="20" t="n">
        <f aca="false">JU35</f>
        <v>1270</v>
      </c>
      <c r="JW35" s="20" t="n">
        <f aca="false">JV35</f>
        <v>1270</v>
      </c>
      <c r="JX35" s="20" t="n">
        <f aca="false">JW35</f>
        <v>1270</v>
      </c>
      <c r="JY35" s="20" t="n">
        <f aca="false">JX35</f>
        <v>1270</v>
      </c>
      <c r="JZ35" s="20" t="n">
        <f aca="false">JY35</f>
        <v>1270</v>
      </c>
      <c r="KA35" s="20" t="n">
        <f aca="false">JZ35</f>
        <v>1270</v>
      </c>
      <c r="KB35" s="20" t="n">
        <f aca="false">KA35</f>
        <v>1270</v>
      </c>
      <c r="KC35" s="20" t="n">
        <f aca="false">KB35</f>
        <v>1270</v>
      </c>
      <c r="KD35" s="20" t="n">
        <f aca="false">KC35</f>
        <v>1270</v>
      </c>
      <c r="KE35" s="20" t="n">
        <f aca="false">KD35</f>
        <v>1270</v>
      </c>
      <c r="KF35" s="20" t="n">
        <f aca="false">KE35</f>
        <v>1270</v>
      </c>
      <c r="KG35" s="20" t="n">
        <f aca="false">KF35</f>
        <v>1270</v>
      </c>
      <c r="KH35" s="20" t="n">
        <f aca="false">KG35</f>
        <v>1270</v>
      </c>
      <c r="KI35" s="20" t="n">
        <f aca="false">KH35</f>
        <v>1270</v>
      </c>
      <c r="KJ35" s="20" t="n">
        <f aca="false">KI35</f>
        <v>1270</v>
      </c>
      <c r="KK35" s="20" t="n">
        <f aca="false">KJ35</f>
        <v>1270</v>
      </c>
      <c r="KL35" s="20" t="n">
        <f aca="false">KK35</f>
        <v>1270</v>
      </c>
      <c r="KM35" s="20" t="n">
        <f aca="false">KL35</f>
        <v>1270</v>
      </c>
      <c r="KN35" s="20" t="n">
        <f aca="false">KM35</f>
        <v>1270</v>
      </c>
      <c r="KO35" s="20" t="n">
        <f aca="false">KN35</f>
        <v>1270</v>
      </c>
      <c r="KP35" s="20" t="n">
        <f aca="false">KO35</f>
        <v>1270</v>
      </c>
      <c r="KQ35" s="20" t="n">
        <f aca="false">KP35</f>
        <v>1270</v>
      </c>
      <c r="KR35" s="20" t="n">
        <f aca="false">KQ35</f>
        <v>1270</v>
      </c>
      <c r="KS35" s="20" t="n">
        <f aca="false">KR35</f>
        <v>1270</v>
      </c>
      <c r="KT35" s="20" t="n">
        <f aca="false">KS35</f>
        <v>1270</v>
      </c>
      <c r="KU35" s="20" t="n">
        <f aca="false">KT35</f>
        <v>1270</v>
      </c>
      <c r="KV35" s="20" t="n">
        <f aca="false">KU35</f>
        <v>1270</v>
      </c>
      <c r="KW35" s="20" t="n">
        <f aca="false">KV35</f>
        <v>1270</v>
      </c>
      <c r="KX35" s="20" t="n">
        <f aca="false">KW35</f>
        <v>1270</v>
      </c>
      <c r="KY35" s="20" t="n">
        <f aca="false">KX35</f>
        <v>1270</v>
      </c>
      <c r="KZ35" s="20" t="n">
        <f aca="false">KY35</f>
        <v>1270</v>
      </c>
      <c r="LA35" s="20" t="n">
        <f aca="false">KZ35</f>
        <v>1270</v>
      </c>
      <c r="LB35" s="20" t="n">
        <f aca="false">LA35</f>
        <v>1270</v>
      </c>
      <c r="LC35" s="20" t="n">
        <f aca="false">LB35</f>
        <v>1270</v>
      </c>
      <c r="LD35" s="20" t="n">
        <f aca="false">LC35</f>
        <v>1270</v>
      </c>
      <c r="LE35" s="20" t="n">
        <f aca="false">LD35</f>
        <v>1270</v>
      </c>
      <c r="LF35" s="20" t="n">
        <f aca="false">LE35</f>
        <v>1270</v>
      </c>
      <c r="LG35" s="20" t="n">
        <f aca="false">LF35</f>
        <v>1270</v>
      </c>
      <c r="LH35" s="20" t="n">
        <f aca="false">LG35</f>
        <v>1270</v>
      </c>
      <c r="LI35" s="20" t="n">
        <f aca="false">LH35</f>
        <v>1270</v>
      </c>
      <c r="LJ35" s="20" t="n">
        <f aca="false">LI35</f>
        <v>1270</v>
      </c>
      <c r="LK35" s="20" t="n">
        <f aca="false">LJ35</f>
        <v>1270</v>
      </c>
      <c r="LL35" s="20" t="n">
        <f aca="false">LK35</f>
        <v>1270</v>
      </c>
      <c r="LM35" s="20" t="n">
        <f aca="false">LL35</f>
        <v>1270</v>
      </c>
      <c r="LN35" s="20" t="n">
        <f aca="false">LM35</f>
        <v>1270</v>
      </c>
      <c r="LO35" s="20" t="n">
        <f aca="false">LN35</f>
        <v>1270</v>
      </c>
      <c r="LP35" s="20" t="n">
        <f aca="false">LO35</f>
        <v>1270</v>
      </c>
      <c r="LQ35" s="20" t="n">
        <f aca="false">LP35</f>
        <v>1270</v>
      </c>
      <c r="LR35" s="20" t="n">
        <f aca="false">LQ35</f>
        <v>1270</v>
      </c>
      <c r="LS35" s="20" t="n">
        <f aca="false">LR35</f>
        <v>1270</v>
      </c>
      <c r="LT35" s="20" t="n">
        <f aca="false">LS35</f>
        <v>1270</v>
      </c>
      <c r="LU35" s="20" t="n">
        <f aca="false">LT35</f>
        <v>1270</v>
      </c>
      <c r="LV35" s="20" t="n">
        <f aca="false">LU35</f>
        <v>1270</v>
      </c>
      <c r="LW35" s="20" t="n">
        <f aca="false">LV35</f>
        <v>1270</v>
      </c>
      <c r="LX35" s="20" t="n">
        <f aca="false">LW35</f>
        <v>1270</v>
      </c>
      <c r="LY35" s="20" t="n">
        <f aca="false">LX35</f>
        <v>1270</v>
      </c>
      <c r="LZ35" s="20" t="n">
        <f aca="false">LY35</f>
        <v>1270</v>
      </c>
      <c r="MA35" s="20" t="n">
        <f aca="false">LZ35</f>
        <v>1270</v>
      </c>
      <c r="MB35" s="20" t="n">
        <f aca="false">MA35</f>
        <v>1270</v>
      </c>
      <c r="MC35" s="20" t="n">
        <f aca="false">MB35</f>
        <v>1270</v>
      </c>
      <c r="MD35" s="20" t="n">
        <f aca="false">MC35</f>
        <v>1270</v>
      </c>
      <c r="ME35" s="20" t="n">
        <f aca="false">IF(H_Direct=1,IF(BR35&lt;=0,I35-BR35*AKR34,I35-MIN(MIN(BR35*AKR34,H35+I35),I35)),I35)</f>
        <v>0</v>
      </c>
      <c r="MF35" s="20" t="n">
        <f aca="false">IF(H_Direct=1,IF(BS35&lt;=0,ME35-BS35*AKS34,ME35-MIN(MIN(BS35*AKS34,IR35+ME35),ME35)),ME35)</f>
        <v>0</v>
      </c>
      <c r="MG35" s="20" t="n">
        <f aca="false">IF(H_Direct=1,IF(BT35&lt;=0,MF35-BT35*AKT34,MF35-MIN(MIN(BT35*AKT34,IS35+MF35),MF35)),MF35)</f>
        <v>0</v>
      </c>
      <c r="MH35" s="20" t="n">
        <f aca="false">IF(H_Direct=1,IF(BU35&lt;=0,MG35-BU35*AKU34,MG35-MIN(MIN(BU35*AKU34,IT35+MG35),MG35)),MG35)</f>
        <v>0</v>
      </c>
      <c r="MI35" s="20" t="n">
        <f aca="false">IF(H_Direct=1,IF(BV35&lt;=0,MH35-BV35*AKV34,MH35-MIN(MIN(BV35*AKV34,IU35+MH35),MH35)),MH35)</f>
        <v>0</v>
      </c>
      <c r="MJ35" s="20" t="n">
        <f aca="false">IF(H_Direct=1,IF(BW35&lt;=0,MI35-BW35*AKW34,MI35-MIN(MIN(BW35*AKW34,IV35+MI35),MI35)),MI35)</f>
        <v>0</v>
      </c>
      <c r="MK35" s="20" t="n">
        <f aca="false">IF(H_Direct=1,IF(BX35&lt;=0,MJ35-BX35*AKX34,MJ35-MIN(MIN(BX35*AKX34,IW35+MJ35),MJ35)),MJ35)</f>
        <v>0</v>
      </c>
      <c r="ML35" s="20" t="n">
        <f aca="false">IF(H_Direct=1,IF(BY35&lt;=0,MK35-BY35*AKY34,MK35-MIN(MIN(BY35*AKY34,IX35+MK35),MK35)),MK35)</f>
        <v>0</v>
      </c>
      <c r="MM35" s="20" t="n">
        <f aca="false">IF(H_Direct=1,IF(BZ35&lt;=0,ML35-BZ35*AKZ34,ML35-MIN(MIN(BZ35*AKZ34,IY35+ML35),ML35)),ML35)</f>
        <v>0</v>
      </c>
      <c r="MN35" s="20" t="n">
        <f aca="false">IF(H_Direct=1,IF(CA35&lt;=0,MM35-CA35*ALA34,MM35-MIN(MIN(CA35*ALA34,IZ35+MM35),MM35)),MM35)</f>
        <v>0</v>
      </c>
      <c r="MO35" s="20" t="n">
        <f aca="false">IF(H_Direct=1,IF(CB35&lt;=0,MN35-CB35*ALB34,MN35-MIN(MIN(CB35*ALB34,JA35+MN35),MN35)),MN35)</f>
        <v>0</v>
      </c>
      <c r="MP35" s="20" t="n">
        <f aca="false">IF(H_Direct=1,IF(CC35&lt;=0,MO35-CC35*ALC34,MO35-MIN(MIN(CC35*ALC34,JB35+MO35),MO35)),MO35)</f>
        <v>0</v>
      </c>
      <c r="MQ35" s="20" t="n">
        <f aca="false">IF(H_Direct=1,IF(CD35&lt;=0,MP35-CD35*ALD34,MP35-MIN(MIN(CD35*ALD34,JC35+MP35),MP35)),MP35)</f>
        <v>0</v>
      </c>
      <c r="MR35" s="20" t="n">
        <f aca="false">IF(H_Direct=1,IF(CE35&lt;=0,MQ35-CE35*ALE34,MQ35-MIN(MIN(CE35*ALE34,JD35+MQ35),MQ35)),MQ35)</f>
        <v>0</v>
      </c>
      <c r="MS35" s="20" t="n">
        <f aca="false">IF(H_Direct=1,IF(CF35&lt;=0,MR35-CF35*ALF34,MR35-MIN(MIN(CF35*ALF34,JE35+MR35),MR35)),MR35)</f>
        <v>0</v>
      </c>
      <c r="MT35" s="20" t="n">
        <f aca="false">IF(H_Direct=1,IF(CG35&lt;=0,MS35-CG35*ALG34,MS35-MIN(MIN(CG35*ALG34,JF35+MS35),MS35)),MS35)</f>
        <v>0</v>
      </c>
      <c r="MU35" s="20" t="n">
        <f aca="false">IF(H_Direct=1,IF(CH35&lt;=0,MT35-CH35*ALH34,MT35-MIN(MIN(CH35*ALH34,JG35+MT35),MT35)),MT35)</f>
        <v>0</v>
      </c>
      <c r="MV35" s="20" t="n">
        <f aca="false">IF(H_Direct=1,IF(CI35&lt;=0,MU35-CI35*ALI34,MU35-MIN(MIN(CI35*ALI34,JH35+MU35),MU35)),MU35)</f>
        <v>0</v>
      </c>
      <c r="MW35" s="20" t="n">
        <f aca="false">IF(H_Direct=1,IF(CJ35&lt;=0,MV35-CJ35*ALJ34,MV35-MIN(MIN(CJ35*ALJ34,JI35+MV35),MV35)),MV35)</f>
        <v>0</v>
      </c>
      <c r="MX35" s="20" t="n">
        <f aca="false">IF(H_Direct=1,IF(CK35&lt;=0,MW35-CK35*ALK34,MW35-MIN(MIN(CK35*ALK34,JJ35+MW35),MW35)),MW35)</f>
        <v>0</v>
      </c>
      <c r="MY35" s="20" t="n">
        <f aca="false">IF(H_Direct=1,IF(CL35&lt;=0,MX35-CL35*ALL34,MX35-MIN(MIN(CL35*ALL34,JK35+MX35),MX35)),MX35)</f>
        <v>0</v>
      </c>
      <c r="MZ35" s="20" t="n">
        <f aca="false">IF(H_Direct=1,IF(CM35&lt;=0,MY35-CM35*ALM34,MY35-MIN(MIN(CM35*ALM34,JL35+MY35),MY35)),MY35)</f>
        <v>0</v>
      </c>
      <c r="NA35" s="20" t="n">
        <f aca="false">IF(H_Direct=1,IF(CN35&lt;=0,MZ35-CN35*ALN34,MZ35-MIN(MIN(CN35*ALN34,JM35+MZ35),MZ35)),MZ35)</f>
        <v>0</v>
      </c>
      <c r="NB35" s="20" t="n">
        <f aca="false">IF(H_Direct=1,IF(CO35&lt;=0,NA35-CO35*ALO34,NA35-MIN(MIN(CO35*ALO34,JN35+NA35),NA35)),NA35)</f>
        <v>0</v>
      </c>
      <c r="NC35" s="20" t="n">
        <f aca="false">IF(H_Direct=1,IF(CP35&lt;=0,NB35-CP35*ALP34,NB35-MIN(MIN(CP35*ALP34,JO35+NB35),NB35)),NB35)</f>
        <v>0</v>
      </c>
      <c r="ND35" s="20" t="n">
        <f aca="false">IF(H_Direct=1,IF(CQ35&lt;=0,NC35-CQ35*ALQ34,NC35-MIN(MIN(CQ35*ALQ34,JP35+NC35),NC35)),NC35)</f>
        <v>0</v>
      </c>
      <c r="NE35" s="20" t="n">
        <f aca="false">IF(H_Direct=1,IF(CR35&lt;=0,ND35-CR35*ALR34,ND35-MIN(MIN(CR35*ALR34,JQ35+ND35),ND35)),ND35)</f>
        <v>0</v>
      </c>
      <c r="NF35" s="20" t="n">
        <f aca="false">IF(H_Direct=1,IF(CS35&lt;=0,NE35-CS35*ALS34,NE35-MIN(MIN(CS35*ALS34,JR35+NE35),NE35)),NE35)</f>
        <v>0</v>
      </c>
      <c r="NG35" s="20" t="n">
        <f aca="false">IF(H_Direct=1,IF(CT35&lt;=0,NF35-CT35*(P35+S35),NF35-MIN(MIN(CT35*(P35+S35),JS35+NF35),NF35)),NF35)</f>
        <v>0</v>
      </c>
      <c r="NH35" s="20" t="n">
        <f aca="false">NG35</f>
        <v>0</v>
      </c>
      <c r="NI35" s="20" t="n">
        <f aca="false">NH35</f>
        <v>0</v>
      </c>
      <c r="NJ35" s="20" t="n">
        <f aca="false">NI35</f>
        <v>0</v>
      </c>
      <c r="NK35" s="20" t="n">
        <f aca="false">NJ35</f>
        <v>0</v>
      </c>
      <c r="NL35" s="20" t="n">
        <f aca="false">NK35</f>
        <v>0</v>
      </c>
      <c r="NM35" s="20" t="n">
        <f aca="false">NL35</f>
        <v>0</v>
      </c>
      <c r="NN35" s="20" t="n">
        <f aca="false">NM35</f>
        <v>0</v>
      </c>
      <c r="NO35" s="20" t="n">
        <f aca="false">NN35</f>
        <v>0</v>
      </c>
      <c r="NP35" s="20" t="n">
        <f aca="false">NO35</f>
        <v>0</v>
      </c>
      <c r="NQ35" s="20" t="n">
        <f aca="false">NP35</f>
        <v>0</v>
      </c>
      <c r="NR35" s="20" t="n">
        <f aca="false">NQ35</f>
        <v>0</v>
      </c>
      <c r="NS35" s="20" t="n">
        <f aca="false">NR35</f>
        <v>0</v>
      </c>
      <c r="NT35" s="20" t="n">
        <f aca="false">NS35</f>
        <v>0</v>
      </c>
      <c r="NU35" s="20" t="n">
        <f aca="false">NT35</f>
        <v>0</v>
      </c>
      <c r="NV35" s="20" t="n">
        <f aca="false">NU35</f>
        <v>0</v>
      </c>
      <c r="NW35" s="20" t="n">
        <f aca="false">NV35</f>
        <v>0</v>
      </c>
      <c r="NX35" s="20" t="n">
        <f aca="false">NW35</f>
        <v>0</v>
      </c>
      <c r="NY35" s="20" t="n">
        <f aca="false">NX35</f>
        <v>0</v>
      </c>
      <c r="NZ35" s="20" t="n">
        <f aca="false">NY35</f>
        <v>0</v>
      </c>
      <c r="OA35" s="20" t="n">
        <f aca="false">NZ35</f>
        <v>0</v>
      </c>
      <c r="OB35" s="20" t="n">
        <f aca="false">OA35</f>
        <v>0</v>
      </c>
      <c r="OC35" s="20" t="n">
        <f aca="false">OB35</f>
        <v>0</v>
      </c>
      <c r="OD35" s="20" t="n">
        <f aca="false">OC35</f>
        <v>0</v>
      </c>
      <c r="OE35" s="20" t="n">
        <f aca="false">OD35</f>
        <v>0</v>
      </c>
      <c r="OF35" s="20" t="n">
        <f aca="false">OE35</f>
        <v>0</v>
      </c>
      <c r="OG35" s="20" t="n">
        <f aca="false">OF35</f>
        <v>0</v>
      </c>
      <c r="OH35" s="20" t="n">
        <f aca="false">OG35</f>
        <v>0</v>
      </c>
      <c r="OI35" s="20" t="n">
        <f aca="false">OH35</f>
        <v>0</v>
      </c>
      <c r="OJ35" s="20" t="n">
        <f aca="false">OI35</f>
        <v>0</v>
      </c>
      <c r="OK35" s="20" t="n">
        <f aca="false">OJ35</f>
        <v>0</v>
      </c>
      <c r="OL35" s="20" t="n">
        <f aca="false">OK35</f>
        <v>0</v>
      </c>
      <c r="OM35" s="20" t="n">
        <f aca="false">OL35</f>
        <v>0</v>
      </c>
      <c r="ON35" s="20" t="n">
        <f aca="false">OM35</f>
        <v>0</v>
      </c>
      <c r="OO35" s="20" t="n">
        <f aca="false">ON35</f>
        <v>0</v>
      </c>
      <c r="OP35" s="20" t="n">
        <f aca="false">OO35</f>
        <v>0</v>
      </c>
      <c r="OQ35" s="20" t="n">
        <f aca="false">OP35</f>
        <v>0</v>
      </c>
      <c r="OR35" s="20" t="n">
        <f aca="false">OQ35</f>
        <v>0</v>
      </c>
      <c r="OS35" s="20" t="n">
        <f aca="false">OR35</f>
        <v>0</v>
      </c>
      <c r="OT35" s="20" t="n">
        <f aca="false">OS35</f>
        <v>0</v>
      </c>
      <c r="OU35" s="20" t="n">
        <f aca="false">OT35</f>
        <v>0</v>
      </c>
      <c r="OV35" s="20" t="n">
        <f aca="false">OU35</f>
        <v>0</v>
      </c>
      <c r="OW35" s="20" t="n">
        <f aca="false">OV35</f>
        <v>0</v>
      </c>
      <c r="OX35" s="20" t="n">
        <f aca="false">OW35</f>
        <v>0</v>
      </c>
      <c r="OY35" s="20" t="n">
        <f aca="false">OX35</f>
        <v>0</v>
      </c>
      <c r="OZ35" s="20" t="n">
        <f aca="false">OY35</f>
        <v>0</v>
      </c>
      <c r="PA35" s="20" t="n">
        <f aca="false">OZ35</f>
        <v>0</v>
      </c>
      <c r="PB35" s="20" t="n">
        <f aca="false">PA35</f>
        <v>0</v>
      </c>
      <c r="PC35" s="20" t="n">
        <f aca="false">PB35</f>
        <v>0</v>
      </c>
      <c r="PD35" s="20" t="n">
        <f aca="false">PC35</f>
        <v>0</v>
      </c>
      <c r="PE35" s="20" t="n">
        <f aca="false">PD35</f>
        <v>0</v>
      </c>
      <c r="PF35" s="20" t="n">
        <f aca="false">PE35</f>
        <v>0</v>
      </c>
      <c r="PG35" s="20" t="n">
        <f aca="false">PF35</f>
        <v>0</v>
      </c>
      <c r="PH35" s="20" t="n">
        <f aca="false">PG35</f>
        <v>0</v>
      </c>
      <c r="PI35" s="20" t="n">
        <f aca="false">PH35</f>
        <v>0</v>
      </c>
      <c r="PJ35" s="20" t="n">
        <f aca="false">PI35</f>
        <v>0</v>
      </c>
      <c r="PK35" s="20" t="n">
        <f aca="false">PJ35</f>
        <v>0</v>
      </c>
      <c r="PL35" s="20" t="n">
        <f aca="false">PK35</f>
        <v>0</v>
      </c>
      <c r="PM35" s="20" t="n">
        <f aca="false">PL35</f>
        <v>0</v>
      </c>
      <c r="PN35" s="20" t="n">
        <f aca="false">PM35</f>
        <v>0</v>
      </c>
      <c r="PO35" s="20" t="n">
        <f aca="false">PN35</f>
        <v>0</v>
      </c>
      <c r="PP35" s="20" t="n">
        <f aca="false">PO35</f>
        <v>0</v>
      </c>
      <c r="PQ35" s="20" t="n">
        <f aca="false">PP35</f>
        <v>0</v>
      </c>
      <c r="PR35" s="20" t="n">
        <f aca="false">IF(H_Direct=1,IF(AKR34&lt;=0,0,IF(BR35&lt;=0,MIN(MAX(0,AB35),AKR34),MIN(MAX(0,AB35),AKR34-G35*MAX(0,BR35*AKR34-(H35+I35))))),MIN(FE35,MAX(0,AB35)))</f>
        <v>0</v>
      </c>
      <c r="PS35" s="20" t="n">
        <f aca="false">IF(H_Direct=1,IF(AKS34&lt;=0,0,IF(BS35&lt;=0,MIN(MAX(0,AB35-SUM(PR35:PR35)),AKS34),MIN(MAX(0,AB35-SUM(PR35:PR35)),AKS34-G35*MAX(0,BS35*AKS34-(WR35+AAE35))))),MIN(FF35,MAX(0,AB35-SUM(PR35:PR35))))</f>
        <v>0</v>
      </c>
      <c r="PT35" s="20" t="n">
        <f aca="false">IF(H_Direct=1,IF(AKT34&lt;=0,0,IF(BT35&lt;=0,MIN(MAX(0,AB35-SUM(PR35:PS35)),AKT34),MIN(MAX(0,AB35-SUM(PR35:PS35)),AKT34-G35*MAX(0,BT35*AKT34-(WS35+AAF35))))),MIN(FG35,MAX(0,AB35-SUM(PR35:PS35))))</f>
        <v>0</v>
      </c>
      <c r="PU35" s="20" t="n">
        <f aca="false">IF(H_Direct=1,IF(AKU34&lt;=0,0,IF(BU35&lt;=0,MIN(MAX(0,AB35-SUM(PR35:PT35)),AKU34),MIN(MAX(0,AB35-SUM(PR35:PT35)),AKU34-G35*MAX(0,BU35*AKU34-(WT35+AAG35))))),MIN(FH35,MAX(0,AB35-SUM(PR35:PT35))))</f>
        <v>0</v>
      </c>
      <c r="PV35" s="20" t="n">
        <f aca="false">IF(H_Direct=1,IF(AKV34&lt;=0,0,IF(BV35&lt;=0,MIN(MAX(0,AB35-SUM(PR35:PU35)),AKV34),MIN(MAX(0,AB35-SUM(PR35:PU35)),AKV34-G35*MAX(0,BV35*AKV34-(WU35+AAH35))))),MIN(FI35,MAX(0,AB35-SUM(PR35:PU35))))</f>
        <v>0</v>
      </c>
      <c r="PW35" s="20" t="n">
        <f aca="false">IF(H_Direct=1,IF(AKW34&lt;=0,0,IF(BW35&lt;=0,MIN(MAX(0,AB35-SUM(PR35:PV35)),AKW34),MIN(MAX(0,AB35-SUM(PR35:PV35)),AKW34-G35*MAX(0,BW35*AKW34-(WV35+AAI35))))),MIN(FJ35,MAX(0,AB35-SUM(PR35:PV35))))</f>
        <v>0</v>
      </c>
      <c r="PX35" s="20" t="n">
        <f aca="false">IF(H_Direct=1,IF(AKX34&lt;=0,0,IF(BX35&lt;=0,MIN(MAX(0,AB35-SUM(PR35:PW35)),AKX34),MIN(MAX(0,AB35-SUM(PR35:PW35)),AKX34-G35*MAX(0,BX35*AKX34-(WW35+AAJ35))))),MIN(FK35,MAX(0,AB35-SUM(PR35:PW35))))</f>
        <v>0</v>
      </c>
      <c r="PY35" s="20" t="n">
        <f aca="false">IF(H_Direct=1,IF(AKY34&lt;=0,0,IF(BY35&lt;=0,MIN(MAX(0,AB35-SUM(PR35:PX35)),AKY34),MIN(MAX(0,AB35-SUM(PR35:PX35)),AKY34-G35*MAX(0,BY35*AKY34-(WX35+AAK35))))),MIN(FL35,MAX(0,AB35-SUM(PR35:PX35))))</f>
        <v>0</v>
      </c>
      <c r="PZ35" s="20" t="n">
        <f aca="false">IF(H_Direct=1,IF(AKZ34&lt;=0,0,IF(BZ35&lt;=0,MIN(MAX(0,AB35-SUM(PR35:PY35)),AKZ34),MIN(MAX(0,AB35-SUM(PR35:PY35)),AKZ34-G35*MAX(0,BZ35*AKZ34-(WY35+AAL35))))),MIN(FM35,MAX(0,AB35-SUM(PR35:PY35))))</f>
        <v>0</v>
      </c>
      <c r="QA35" s="20" t="n">
        <f aca="false">IF(H_Direct=1,IF(ALA34&lt;=0,0,IF(CA35&lt;=0,MIN(MAX(0,AB35-SUM(PR35:PZ35)),ALA34),MIN(MAX(0,AB35-SUM(PR35:PZ35)),ALA34-G35*MAX(0,CA35*ALA34-(WZ35+AAM35))))),MIN(FN35,MAX(0,AB35-SUM(PR35:PZ35))))</f>
        <v>0</v>
      </c>
      <c r="QB35" s="20" t="n">
        <f aca="false">IF(H_Direct=1,IF(ALB34&lt;=0,0,IF(CB35&lt;=0,MIN(MAX(0,AB35-SUM(PR35:QA35)),ALB34),MIN(MAX(0,AB35-SUM(PR35:QA35)),ALB34-G35*MAX(0,CB35*ALB34-(XA35+AAN35))))),MIN(FO35,MAX(0,AB35-SUM(PR35:QA35))))</f>
        <v>0</v>
      </c>
      <c r="QC35" s="20" t="n">
        <f aca="false">IF(H_Direct=1,IF(ALC34&lt;=0,0,IF(CC35&lt;=0,MIN(MAX(0,AB35-SUM(PR35:QB35)),ALC34),MIN(MAX(0,AB35-SUM(PR35:QB35)),ALC34-G35*MAX(0,CC35*ALC34-(XB35+AAO35))))),MIN(FP35,MAX(0,AB35-SUM(PR35:QB35))))</f>
        <v>0</v>
      </c>
      <c r="QD35" s="20" t="n">
        <f aca="false">IF(H_Direct=1,IF(ALD34&lt;=0,0,IF(CD35&lt;=0,MIN(MAX(0,AB35-SUM(PR35:QC35)),ALD34),MIN(MAX(0,AB35-SUM(PR35:QC35)),ALD34-G35*MAX(0,CD35*ALD34-(XC35+AAP35))))),MIN(FQ35,MAX(0,AB35-SUM(PR35:QC35))))</f>
        <v>0</v>
      </c>
      <c r="QE35" s="20" t="n">
        <f aca="false">IF(H_Direct=1,IF(ALE34&lt;=0,0,IF(CE35&lt;=0,MIN(MAX(0,AB35-SUM(PR35:QD35)),ALE34),MIN(MAX(0,AB35-SUM(PR35:QD35)),ALE34-G35*MAX(0,CE35*ALE34-(XD35+AAQ35))))),MIN(FR35,MAX(0,AB35-SUM(PR35:QD35))))</f>
        <v>0</v>
      </c>
      <c r="QF35" s="20" t="n">
        <f aca="false">IF(H_Direct=1,IF(ALF34&lt;=0,0,IF(CF35&lt;=0,MIN(MAX(0,AB35-SUM(PR35:QE35)),ALF34),MIN(MAX(0,AB35-SUM(PR35:QE35)),ALF34-G35*MAX(0,CF35*ALF34-(XE35+AAR35))))),MIN(FS35,MAX(0,AB35-SUM(PR35:QE35))))</f>
        <v>0</v>
      </c>
      <c r="QG35" s="20" t="n">
        <f aca="false">IF(H_Direct=1,IF(ALG34&lt;=0,0,IF(CG35&lt;=0,MIN(MAX(0,AB35-SUM(PR35:QF35)),ALG34),MIN(MAX(0,AB35-SUM(PR35:QF35)),ALG34-G35*MAX(0,CG35*ALG34-(XF35+AAS35))))),MIN(FT35,MAX(0,AB35-SUM(PR35:QF35))))</f>
        <v>0</v>
      </c>
      <c r="QH35" s="20" t="n">
        <f aca="false">IF(H_Direct=1,IF(ALH34&lt;=0,0,IF(CH35&lt;=0,MIN(MAX(0,AB35-SUM(PR35:QG35)),ALH34),MIN(MAX(0,AB35-SUM(PR35:QG35)),ALH34-G35*MAX(0,CH35*ALH34-(XG35+AAT35))))),MIN(FU35,MAX(0,AB35-SUM(PR35:QG35))))</f>
        <v>0</v>
      </c>
      <c r="QI35" s="20" t="n">
        <f aca="false">IF(H_Direct=1,IF(ALI34&lt;=0,0,IF(CI35&lt;=0,MIN(MAX(0,AB35-SUM(PR35:QH35)),ALI34),MIN(MAX(0,AB35-SUM(PR35:QH35)),ALI34-G35*MAX(0,CI35*ALI34-(XH35+AAU35))))),MIN(FV35,MAX(0,AB35-SUM(PR35:QH35))))</f>
        <v>0</v>
      </c>
      <c r="QJ35" s="20" t="n">
        <f aca="false">IF(H_Direct=1,IF(ALJ34&lt;=0,0,IF(CJ35&lt;=0,MIN(MAX(0,AB35-SUM(PR35:QI35)),ALJ34),MIN(MAX(0,AB35-SUM(PR35:QI35)),ALJ34-G35*MAX(0,CJ35*ALJ34-(XI35+AAV35))))),MIN(FW35,MAX(0,AB35-SUM(PR35:QI35))))</f>
        <v>0</v>
      </c>
      <c r="QK35" s="20" t="n">
        <f aca="false">IF(H_Direct=1,IF(ALK34&lt;=0,0,IF(CK35&lt;=0,MIN(MAX(0,AB35-SUM(PR35:QJ35)),ALK34),MIN(MAX(0,AB35-SUM(PR35:QJ35)),ALK34-G35*MAX(0,CK35*ALK34-(XJ35+AAW35))))),MIN(FX35,MAX(0,AB35-SUM(PR35:QJ35))))</f>
        <v>0</v>
      </c>
      <c r="QL35" s="20" t="n">
        <f aca="false">IF(H_Direct=1,IF(ALL34&lt;=0,0,IF(CL35&lt;=0,MIN(MAX(0,AB35-SUM(PR35:QK35)),ALL34),MIN(MAX(0,AB35-SUM(PR35:QK35)),ALL34-G35*MAX(0,CL35*ALL34-(XK35+AAX35))))),MIN(FY35,MAX(0,AB35-SUM(PR35:QK35))))</f>
        <v>0</v>
      </c>
      <c r="QM35" s="20" t="n">
        <f aca="false">IF(H_Direct=1,IF(ALM34&lt;=0,0,IF(CM35&lt;=0,MIN(MAX(0,AB35-SUM(PR35:QL35)),ALM34),MIN(MAX(0,AB35-SUM(PR35:QL35)),ALM34-G35*MAX(0,CM35*ALM34-(XL35+AAY35))))),MIN(FZ35,MAX(0,AB35-SUM(PR35:QL35))))</f>
        <v>0</v>
      </c>
      <c r="QN35" s="20" t="n">
        <f aca="false">IF(H_Direct=1,IF(ALN34&lt;=0,0,IF(CN35&lt;=0,MIN(MAX(0,AB35-SUM(PR35:QM35)),ALN34),MIN(MAX(0,AB35-SUM(PR35:QM35)),ALN34-G35*MAX(0,CN35*ALN34-(XM35+AAZ35))))),MIN(GA35,MAX(0,AB35-SUM(PR35:QM35))))</f>
        <v>0</v>
      </c>
      <c r="QO35" s="20" t="n">
        <f aca="false">IF(H_Direct=1,IF(ALO34&lt;=0,0,IF(CO35&lt;=0,MIN(MAX(0,AB35-SUM(PR35:QN35)),ALO34),MIN(MAX(0,AB35-SUM(PR35:QN35)),ALO34-G35*MAX(0,CO35*ALO34-(XN35+ABA35))))),MIN(GB35,MAX(0,AB35-SUM(PR35:QN35))))</f>
        <v>0</v>
      </c>
      <c r="QP35" s="20" t="n">
        <f aca="false">IF(H_Direct=1,IF(ALP34&lt;=0,0,IF(CP35&lt;=0,MIN(MAX(0,AB35-SUM(PR35:QO35)),ALP34),MIN(MAX(0,AB35-SUM(PR35:QO35)),ALP34-G35*MAX(0,CP35*ALP34-(XO35+ABB35))))),MIN(GC35,MAX(0,AB35-SUM(PR35:QO35))))</f>
        <v>0</v>
      </c>
      <c r="QQ35" s="20" t="n">
        <f aca="false">IF(H_Direct=1,IF(ALQ34&lt;=0,0,IF(CQ35&lt;=0,MIN(MAX(0,AB35-SUM(PR35:QP35)),ALQ34),MIN(MAX(0,AB35-SUM(PR35:QP35)),ALQ34-G35*MAX(0,CQ35*ALQ34-(XP35+ABC35))))),MIN(GD35,MAX(0,AB35-SUM(PR35:QP35))))</f>
        <v>0</v>
      </c>
      <c r="QR35" s="20" t="n">
        <f aca="false">IF(H_Direct=1,IF(ALR34&lt;=0,0,IF(CR35&lt;=0,MIN(MAX(0,AB35-SUM(PR35:QQ35)),ALR34),MIN(MAX(0,AB35-SUM(PR35:QQ35)),ALR34-G35*MAX(0,CR35*ALR34-(XQ35+ABD35))))),MIN(GE35,MAX(0,AB35-SUM(PR35:QQ35))))</f>
        <v>0</v>
      </c>
      <c r="QS35" s="20" t="n">
        <f aca="false">IF(H_Direct=1,IF(ALS34&lt;=0,0,IF(CS35&lt;=0,MIN(MAX(0,AB35-SUM(PR35:QR35)),ALS34),MIN(MAX(0,AB35-SUM(PR35:QR35)),ALS34-G35*MAX(0,CS35*ALS34-(XR35+ABE35))))),MIN(GF35,MAX(0,AB35-SUM(PR35:QR35))))</f>
        <v>0</v>
      </c>
      <c r="QT35" s="20" t="n">
        <f aca="false">IF(H_Direct=1,IF((P35+S35)&lt;=0,0,IF(CT35&lt;=0,MIN(MAX(0,AB35-SUM(PR35:QS35)),(P35+S35)),MIN(MAX(0,AB35-SUM(PR35:QS35)),(P35+S35)-G35*MAX(0,CT35*(P35+S35)-(XS35+ABF35))))),MIN(GG35,MAX(0,AB35-SUM(PR35:QS35))))</f>
        <v>0</v>
      </c>
      <c r="QU35" s="20" t="n">
        <v>0</v>
      </c>
      <c r="QV35" s="20" t="n">
        <v>0</v>
      </c>
      <c r="QW35" s="20" t="n">
        <v>0</v>
      </c>
      <c r="QX35" s="20" t="n">
        <v>0</v>
      </c>
      <c r="QY35" s="20" t="n">
        <v>0</v>
      </c>
      <c r="QZ35" s="20" t="n">
        <v>0</v>
      </c>
      <c r="RA35" s="20" t="n">
        <v>0</v>
      </c>
      <c r="RB35" s="20" t="n">
        <v>0</v>
      </c>
      <c r="RC35" s="20" t="n">
        <v>0</v>
      </c>
      <c r="RD35" s="20" t="n">
        <v>0</v>
      </c>
      <c r="RE35" s="20" t="n">
        <v>0</v>
      </c>
      <c r="RF35" s="20" t="n">
        <v>0</v>
      </c>
      <c r="RG35" s="20" t="n">
        <v>0</v>
      </c>
      <c r="RH35" s="20" t="n">
        <v>0</v>
      </c>
      <c r="RI35" s="20" t="n">
        <v>0</v>
      </c>
      <c r="RJ35" s="20" t="n">
        <v>0</v>
      </c>
      <c r="RK35" s="20" t="n">
        <v>0</v>
      </c>
      <c r="RL35" s="20" t="n">
        <v>0</v>
      </c>
      <c r="RM35" s="20" t="n">
        <v>0</v>
      </c>
      <c r="RN35" s="20" t="n">
        <v>0</v>
      </c>
      <c r="RO35" s="20" t="n">
        <v>0</v>
      </c>
      <c r="RP35" s="20" t="n">
        <v>0</v>
      </c>
      <c r="RQ35" s="20" t="n">
        <v>0</v>
      </c>
      <c r="RR35" s="20" t="n">
        <v>0</v>
      </c>
      <c r="RS35" s="20" t="n">
        <v>0</v>
      </c>
      <c r="RT35" s="20" t="n">
        <v>0</v>
      </c>
      <c r="RU35" s="20" t="n">
        <v>0</v>
      </c>
      <c r="RV35" s="20" t="n">
        <v>0</v>
      </c>
      <c r="RW35" s="20" t="n">
        <v>0</v>
      </c>
      <c r="RX35" s="20" t="n">
        <v>0</v>
      </c>
      <c r="RY35" s="20" t="n">
        <v>0</v>
      </c>
      <c r="RZ35" s="20" t="n">
        <v>0</v>
      </c>
      <c r="SA35" s="20" t="n">
        <v>0</v>
      </c>
      <c r="SB35" s="20" t="n">
        <v>0</v>
      </c>
      <c r="SC35" s="20" t="n">
        <v>0</v>
      </c>
      <c r="SD35" s="20" t="n">
        <v>0</v>
      </c>
      <c r="SE35" s="20" t="n">
        <v>0</v>
      </c>
      <c r="SF35" s="20" t="n">
        <v>0</v>
      </c>
      <c r="SG35" s="20" t="n">
        <v>0</v>
      </c>
      <c r="SH35" s="20" t="n">
        <v>0</v>
      </c>
      <c r="SI35" s="20" t="n">
        <v>0</v>
      </c>
      <c r="SJ35" s="20" t="n">
        <v>0</v>
      </c>
      <c r="SK35" s="20" t="n">
        <v>0</v>
      </c>
      <c r="SL35" s="20" t="n">
        <v>0</v>
      </c>
      <c r="SM35" s="20" t="n">
        <v>0</v>
      </c>
      <c r="SN35" s="20" t="n">
        <v>0</v>
      </c>
      <c r="SO35" s="20" t="n">
        <v>0</v>
      </c>
      <c r="SP35" s="20" t="n">
        <v>0</v>
      </c>
      <c r="SQ35" s="20" t="n">
        <v>0</v>
      </c>
      <c r="SR35" s="20" t="n">
        <v>0</v>
      </c>
      <c r="SS35" s="20" t="n">
        <v>0</v>
      </c>
      <c r="ST35" s="20" t="n">
        <v>0</v>
      </c>
      <c r="SU35" s="20" t="n">
        <v>0</v>
      </c>
      <c r="SV35" s="20" t="n">
        <v>0</v>
      </c>
      <c r="SW35" s="20" t="n">
        <v>0</v>
      </c>
      <c r="SX35" s="20" t="n">
        <v>0</v>
      </c>
      <c r="SY35" s="20" t="n">
        <v>0</v>
      </c>
      <c r="SZ35" s="20" t="n">
        <v>0</v>
      </c>
      <c r="TA35" s="20" t="n">
        <v>0</v>
      </c>
      <c r="TB35" s="20" t="n">
        <v>0</v>
      </c>
      <c r="TC35" s="20" t="n">
        <v>0</v>
      </c>
      <c r="TD35" s="20" t="n">
        <v>0</v>
      </c>
      <c r="TE35" s="20" t="n">
        <f aca="false">IF(AKR34&lt;=0,0,IF(H_Direct=1,IF(BR35&lt;=0,PR35,IF(PR35&lt;=(H35+I35)/BR35,PR35,(PR35-G35*(H35+I35))/(1-G35*BR35))),PR35/(1-MAX(0,BR35)*H_Exit)))</f>
        <v>0</v>
      </c>
      <c r="TF35" s="20" t="n">
        <f aca="false">IF(AKS34&lt;=0,0,IF(H_Direct=1,IF(BS35&lt;=0,PS35,IF(PS35&lt;=(WR35+AAE35)/BS35,PS35,(PS35-G35*(WR35+AAE35))/(1-G35*BS35))),PS35/(1-MAX(0,BS35)*H_Exit)))</f>
        <v>0</v>
      </c>
      <c r="TG35" s="20" t="n">
        <f aca="false">IF(AKT34&lt;=0,0,IF(H_Direct=1,IF(BT35&lt;=0,PT35,IF(PT35&lt;=(WS35+AAF35)/BT35,PT35,(PT35-G35*(WS35+AAF35))/(1-G35*BT35))),PT35/(1-MAX(0,BT35)*H_Exit)))</f>
        <v>0</v>
      </c>
      <c r="TH35" s="20" t="n">
        <f aca="false">IF(AKU34&lt;=0,0,IF(H_Direct=1,IF(BU35&lt;=0,PU35,IF(PU35&lt;=(WT35+AAG35)/BU35,PU35,(PU35-G35*(WT35+AAG35))/(1-G35*BU35))),PU35/(1-MAX(0,BU35)*H_Exit)))</f>
        <v>0</v>
      </c>
      <c r="TI35" s="20" t="n">
        <f aca="false">IF(AKV34&lt;=0,0,IF(H_Direct=1,IF(BV35&lt;=0,PV35,IF(PV35&lt;=(WU35+AAH35)/BV35,PV35,(PV35-G35*(WU35+AAH35))/(1-G35*BV35))),PV35/(1-MAX(0,BV35)*H_Exit)))</f>
        <v>0</v>
      </c>
      <c r="TJ35" s="20" t="n">
        <f aca="false">IF(AKW34&lt;=0,0,IF(H_Direct=1,IF(BW35&lt;=0,PW35,IF(PW35&lt;=(WV35+AAI35)/BW35,PW35,(PW35-G35*(WV35+AAI35))/(1-G35*BW35))),PW35/(1-MAX(0,BW35)*H_Exit)))</f>
        <v>0</v>
      </c>
      <c r="TK35" s="20" t="n">
        <f aca="false">IF(AKX34&lt;=0,0,IF(H_Direct=1,IF(BX35&lt;=0,PX35,IF(PX35&lt;=(WW35+AAJ35)/BX35,PX35,(PX35-G35*(WW35+AAJ35))/(1-G35*BX35))),PX35/(1-MAX(0,BX35)*H_Exit)))</f>
        <v>0</v>
      </c>
      <c r="TL35" s="20" t="n">
        <f aca="false">IF(AKY34&lt;=0,0,IF(H_Direct=1,IF(BY35&lt;=0,PY35,IF(PY35&lt;=(WX35+AAK35)/BY35,PY35,(PY35-G35*(WX35+AAK35))/(1-G35*BY35))),PY35/(1-MAX(0,BY35)*H_Exit)))</f>
        <v>0</v>
      </c>
      <c r="TM35" s="20" t="n">
        <f aca="false">IF(AKZ34&lt;=0,0,IF(H_Direct=1,IF(BZ35&lt;=0,PZ35,IF(PZ35&lt;=(WY35+AAL35)/BZ35,PZ35,(PZ35-G35*(WY35+AAL35))/(1-G35*BZ35))),PZ35/(1-MAX(0,BZ35)*H_Exit)))</f>
        <v>0</v>
      </c>
      <c r="TN35" s="20" t="n">
        <f aca="false">IF(ALA34&lt;=0,0,IF(H_Direct=1,IF(CA35&lt;=0,QA35,IF(QA35&lt;=(WZ35+AAM35)/CA35,QA35,(QA35-G35*(WZ35+AAM35))/(1-G35*CA35))),QA35/(1-MAX(0,CA35)*H_Exit)))</f>
        <v>0</v>
      </c>
      <c r="TO35" s="20" t="n">
        <f aca="false">IF(ALB34&lt;=0,0,IF(H_Direct=1,IF(CB35&lt;=0,QB35,IF(QB35&lt;=(XA35+AAN35)/CB35,QB35,(QB35-G35*(XA35+AAN35))/(1-G35*CB35))),QB35/(1-MAX(0,CB35)*H_Exit)))</f>
        <v>0</v>
      </c>
      <c r="TP35" s="20" t="n">
        <f aca="false">IF(ALC34&lt;=0,0,IF(H_Direct=1,IF(CC35&lt;=0,QC35,IF(QC35&lt;=(XB35+AAO35)/CC35,QC35,(QC35-G35*(XB35+AAO35))/(1-G35*CC35))),QC35/(1-MAX(0,CC35)*H_Exit)))</f>
        <v>0</v>
      </c>
      <c r="TQ35" s="20" t="n">
        <f aca="false">IF(ALD34&lt;=0,0,IF(H_Direct=1,IF(CD35&lt;=0,QD35,IF(QD35&lt;=(XC35+AAP35)/CD35,QD35,(QD35-G35*(XC35+AAP35))/(1-G35*CD35))),QD35/(1-MAX(0,CD35)*H_Exit)))</f>
        <v>0</v>
      </c>
      <c r="TR35" s="20" t="n">
        <f aca="false">IF(ALE34&lt;=0,0,IF(H_Direct=1,IF(CE35&lt;=0,QE35,IF(QE35&lt;=(XD35+AAQ35)/CE35,QE35,(QE35-G35*(XD35+AAQ35))/(1-G35*CE35))),QE35/(1-MAX(0,CE35)*H_Exit)))</f>
        <v>0</v>
      </c>
      <c r="TS35" s="20" t="n">
        <f aca="false">IF(ALF34&lt;=0,0,IF(H_Direct=1,IF(CF35&lt;=0,QF35,IF(QF35&lt;=(XE35+AAR35)/CF35,QF35,(QF35-G35*(XE35+AAR35))/(1-G35*CF35))),QF35/(1-MAX(0,CF35)*H_Exit)))</f>
        <v>0</v>
      </c>
      <c r="TT35" s="20" t="n">
        <f aca="false">IF(ALG34&lt;=0,0,IF(H_Direct=1,IF(CG35&lt;=0,QG35,IF(QG35&lt;=(XF35+AAS35)/CG35,QG35,(QG35-G35*(XF35+AAS35))/(1-G35*CG35))),QG35/(1-MAX(0,CG35)*H_Exit)))</f>
        <v>0</v>
      </c>
      <c r="TU35" s="20" t="n">
        <f aca="false">IF(ALH34&lt;=0,0,IF(H_Direct=1,IF(CH35&lt;=0,QH35,IF(QH35&lt;=(XG35+AAT35)/CH35,QH35,(QH35-G35*(XG35+AAT35))/(1-G35*CH35))),QH35/(1-MAX(0,CH35)*H_Exit)))</f>
        <v>0</v>
      </c>
      <c r="TV35" s="20" t="n">
        <f aca="false">IF(ALI34&lt;=0,0,IF(H_Direct=1,IF(CI35&lt;=0,QI35,IF(QI35&lt;=(XH35+AAU35)/CI35,QI35,(QI35-G35*(XH35+AAU35))/(1-G35*CI35))),QI35/(1-MAX(0,CI35)*H_Exit)))</f>
        <v>0</v>
      </c>
      <c r="TW35" s="20" t="n">
        <f aca="false">IF(ALJ34&lt;=0,0,IF(H_Direct=1,IF(CJ35&lt;=0,QJ35,IF(QJ35&lt;=(XI35+AAV35)/CJ35,QJ35,(QJ35-G35*(XI35+AAV35))/(1-G35*CJ35))),QJ35/(1-MAX(0,CJ35)*H_Exit)))</f>
        <v>0</v>
      </c>
      <c r="TX35" s="20" t="n">
        <f aca="false">IF(ALK34&lt;=0,0,IF(H_Direct=1,IF(CK35&lt;=0,QK35,IF(QK35&lt;=(XJ35+AAW35)/CK35,QK35,(QK35-G35*(XJ35+AAW35))/(1-G35*CK35))),QK35/(1-MAX(0,CK35)*H_Exit)))</f>
        <v>0</v>
      </c>
      <c r="TY35" s="20" t="n">
        <f aca="false">IF(ALL34&lt;=0,0,IF(H_Direct=1,IF(CL35&lt;=0,QL35,IF(QL35&lt;=(XK35+AAX35)/CL35,QL35,(QL35-G35*(XK35+AAX35))/(1-G35*CL35))),QL35/(1-MAX(0,CL35)*H_Exit)))</f>
        <v>0</v>
      </c>
      <c r="TZ35" s="20" t="n">
        <f aca="false">IF(ALM34&lt;=0,0,IF(H_Direct=1,IF(CM35&lt;=0,QM35,IF(QM35&lt;=(XL35+AAY35)/CM35,QM35,(QM35-G35*(XL35+AAY35))/(1-G35*CM35))),QM35/(1-MAX(0,CM35)*H_Exit)))</f>
        <v>0</v>
      </c>
      <c r="UA35" s="20" t="n">
        <f aca="false">IF(ALN34&lt;=0,0,IF(H_Direct=1,IF(CN35&lt;=0,QN35,IF(QN35&lt;=(XM35+AAZ35)/CN35,QN35,(QN35-G35*(XM35+AAZ35))/(1-G35*CN35))),QN35/(1-MAX(0,CN35)*H_Exit)))</f>
        <v>0</v>
      </c>
      <c r="UB35" s="20" t="n">
        <f aca="false">IF(ALO34&lt;=0,0,IF(H_Direct=1,IF(CO35&lt;=0,QO35,IF(QO35&lt;=(XN35+ABA35)/CO35,QO35,(QO35-G35*(XN35+ABA35))/(1-G35*CO35))),QO35/(1-MAX(0,CO35)*H_Exit)))</f>
        <v>0</v>
      </c>
      <c r="UC35" s="20" t="n">
        <f aca="false">IF(ALP34&lt;=0,0,IF(H_Direct=1,IF(CP35&lt;=0,QP35,IF(QP35&lt;=(XO35+ABB35)/CP35,QP35,(QP35-G35*(XO35+ABB35))/(1-G35*CP35))),QP35/(1-MAX(0,CP35)*H_Exit)))</f>
        <v>0</v>
      </c>
      <c r="UD35" s="20" t="n">
        <f aca="false">IF(ALQ34&lt;=0,0,IF(H_Direct=1,IF(CQ35&lt;=0,QQ35,IF(QQ35&lt;=(XP35+ABC35)/CQ35,QQ35,(QQ35-G35*(XP35+ABC35))/(1-G35*CQ35))),QQ35/(1-MAX(0,CQ35)*H_Exit)))</f>
        <v>0</v>
      </c>
      <c r="UE35" s="20" t="n">
        <f aca="false">IF(ALR34&lt;=0,0,IF(H_Direct=1,IF(CR35&lt;=0,QR35,IF(QR35&lt;=(XQ35+ABD35)/CR35,QR35,(QR35-G35*(XQ35+ABD35))/(1-G35*CR35))),QR35/(1-MAX(0,CR35)*H_Exit)))</f>
        <v>0</v>
      </c>
      <c r="UF35" s="20" t="n">
        <f aca="false">IF(ALS34&lt;=0,0,IF(H_Direct=1,IF(CS35&lt;=0,QS35,IF(QS35&lt;=(XR35+ABE35)/CS35,QS35,(QS35-G35*(XR35+ABE35))/(1-G35*CS35))),QS35/(1-MAX(0,CS35)*H_Exit)))</f>
        <v>0</v>
      </c>
      <c r="UG35" s="20" t="n">
        <f aca="false">IF((P35+S35)&lt;=0,0,IF(H_Direct=1,IF(CT35&lt;=0,QT35,IF(QT35&lt;=(XS35+ABF35)/CT35,QT35,(QT35-G35*(XS35+ABF35))/(1-G35*CT35))),QT35/(1-MAX(0,CT35)*H_Exit)))</f>
        <v>0</v>
      </c>
      <c r="UH35" s="20" t="n">
        <v>0</v>
      </c>
      <c r="UI35" s="20" t="n">
        <v>0</v>
      </c>
      <c r="UJ35" s="20" t="n">
        <v>0</v>
      </c>
      <c r="UK35" s="20" t="n">
        <v>0</v>
      </c>
      <c r="UL35" s="20" t="n">
        <v>0</v>
      </c>
      <c r="UM35" s="20" t="n">
        <v>0</v>
      </c>
      <c r="UN35" s="20" t="n">
        <v>0</v>
      </c>
      <c r="UO35" s="20" t="n">
        <v>0</v>
      </c>
      <c r="UP35" s="20" t="n">
        <v>0</v>
      </c>
      <c r="UQ35" s="20" t="n">
        <v>0</v>
      </c>
      <c r="UR35" s="20" t="n">
        <v>0</v>
      </c>
      <c r="US35" s="20" t="n">
        <v>0</v>
      </c>
      <c r="UT35" s="20" t="n">
        <v>0</v>
      </c>
      <c r="UU35" s="20" t="n">
        <v>0</v>
      </c>
      <c r="UV35" s="20" t="n">
        <v>0</v>
      </c>
      <c r="UW35" s="20" t="n">
        <v>0</v>
      </c>
      <c r="UX35" s="20" t="n">
        <v>0</v>
      </c>
      <c r="UY35" s="20" t="n">
        <v>0</v>
      </c>
      <c r="UZ35" s="20" t="n">
        <v>0</v>
      </c>
      <c r="VA35" s="20" t="n">
        <v>0</v>
      </c>
      <c r="VB35" s="20" t="n">
        <v>0</v>
      </c>
      <c r="VC35" s="20" t="n">
        <v>0</v>
      </c>
      <c r="VD35" s="20" t="n">
        <v>0</v>
      </c>
      <c r="VE35" s="20" t="n">
        <v>0</v>
      </c>
      <c r="VF35" s="20" t="n">
        <v>0</v>
      </c>
      <c r="VG35" s="20" t="n">
        <v>0</v>
      </c>
      <c r="VH35" s="20" t="n">
        <v>0</v>
      </c>
      <c r="VI35" s="20" t="n">
        <v>0</v>
      </c>
      <c r="VJ35" s="20" t="n">
        <v>0</v>
      </c>
      <c r="VK35" s="20" t="n">
        <v>0</v>
      </c>
      <c r="VL35" s="20" t="n">
        <v>0</v>
      </c>
      <c r="VM35" s="20" t="n">
        <v>0</v>
      </c>
      <c r="VN35" s="20" t="n">
        <v>0</v>
      </c>
      <c r="VO35" s="20" t="n">
        <v>0</v>
      </c>
      <c r="VP35" s="20" t="n">
        <v>0</v>
      </c>
      <c r="VQ35" s="20" t="n">
        <v>0</v>
      </c>
      <c r="VR35" s="20" t="n">
        <v>0</v>
      </c>
      <c r="VS35" s="20" t="n">
        <v>0</v>
      </c>
      <c r="VT35" s="20" t="n">
        <v>0</v>
      </c>
      <c r="VU35" s="20" t="n">
        <v>0</v>
      </c>
      <c r="VV35" s="20" t="n">
        <v>0</v>
      </c>
      <c r="VW35" s="20" t="n">
        <v>0</v>
      </c>
      <c r="VX35" s="20" t="n">
        <v>0</v>
      </c>
      <c r="VY35" s="20" t="n">
        <v>0</v>
      </c>
      <c r="VZ35" s="20" t="n">
        <v>0</v>
      </c>
      <c r="WA35" s="20" t="n">
        <v>0</v>
      </c>
      <c r="WB35" s="20" t="n">
        <v>0</v>
      </c>
      <c r="WC35" s="20" t="n">
        <v>0</v>
      </c>
      <c r="WD35" s="20" t="n">
        <v>0</v>
      </c>
      <c r="WE35" s="20" t="n">
        <v>0</v>
      </c>
      <c r="WF35" s="20" t="n">
        <v>0</v>
      </c>
      <c r="WG35" s="20" t="n">
        <v>0</v>
      </c>
      <c r="WH35" s="20" t="n">
        <v>0</v>
      </c>
      <c r="WI35" s="20" t="n">
        <v>0</v>
      </c>
      <c r="WJ35" s="20" t="n">
        <v>0</v>
      </c>
      <c r="WK35" s="20" t="n">
        <v>0</v>
      </c>
      <c r="WL35" s="20" t="n">
        <v>0</v>
      </c>
      <c r="WM35" s="20" t="n">
        <v>0</v>
      </c>
      <c r="WN35" s="20" t="n">
        <v>0</v>
      </c>
      <c r="WO35" s="20" t="n">
        <v>0</v>
      </c>
      <c r="WP35" s="20" t="n">
        <v>0</v>
      </c>
      <c r="WQ35" s="20" t="n">
        <v>0</v>
      </c>
      <c r="WR35" s="20" t="n">
        <f aca="false">IF(AND(H_Direct=1,BR35&gt;0),MAX(0,H35-(MIN(BR35*TE35,(H35+I35))-MIN(MIN(BR35*TE35,(H35+I35)),I35))),H35)</f>
        <v>1270</v>
      </c>
      <c r="WS35" s="20" t="n">
        <f aca="false">IF(AND(H_Direct=1,BS35&gt;0),MAX(0,WR35-(MIN(BS35*TF35,(WR35+AAE35))-MIN(MIN(BS35*TF35,(WR35+AAE35)),AAE35))),WR35)</f>
        <v>1270</v>
      </c>
      <c r="WT35" s="20" t="n">
        <f aca="false">IF(AND(H_Direct=1,BT35&gt;0),MAX(0,WS35-(MIN(BT35*TG35,(WS35+AAF35))-MIN(MIN(BT35*TG35,(WS35+AAF35)),AAF35))),WS35)</f>
        <v>1270</v>
      </c>
      <c r="WU35" s="20" t="n">
        <f aca="false">IF(AND(H_Direct=1,BU35&gt;0),MAX(0,WT35-(MIN(BU35*TH35,(WT35+AAG35))-MIN(MIN(BU35*TH35,(WT35+AAG35)),AAG35))),WT35)</f>
        <v>1270</v>
      </c>
      <c r="WV35" s="20" t="n">
        <f aca="false">IF(AND(H_Direct=1,BV35&gt;0),MAX(0,WU35-(MIN(BV35*TI35,(WU35+AAH35))-MIN(MIN(BV35*TI35,(WU35+AAH35)),AAH35))),WU35)</f>
        <v>1270</v>
      </c>
      <c r="WW35" s="20" t="n">
        <f aca="false">IF(AND(H_Direct=1,BW35&gt;0),MAX(0,WV35-(MIN(BW35*TJ35,(WV35+AAI35))-MIN(MIN(BW35*TJ35,(WV35+AAI35)),AAI35))),WV35)</f>
        <v>1270</v>
      </c>
      <c r="WX35" s="20" t="n">
        <f aca="false">IF(AND(H_Direct=1,BX35&gt;0),MAX(0,WW35-(MIN(BX35*TK35,(WW35+AAJ35))-MIN(MIN(BX35*TK35,(WW35+AAJ35)),AAJ35))),WW35)</f>
        <v>1270</v>
      </c>
      <c r="WY35" s="20" t="n">
        <f aca="false">IF(AND(H_Direct=1,BY35&gt;0),MAX(0,WX35-(MIN(BY35*TL35,(WX35+AAK35))-MIN(MIN(BY35*TL35,(WX35+AAK35)),AAK35))),WX35)</f>
        <v>1270</v>
      </c>
      <c r="WZ35" s="20" t="n">
        <f aca="false">IF(AND(H_Direct=1,BZ35&gt;0),MAX(0,WY35-(MIN(BZ35*TM35,(WY35+AAL35))-MIN(MIN(BZ35*TM35,(WY35+AAL35)),AAL35))),WY35)</f>
        <v>1270</v>
      </c>
      <c r="XA35" s="20" t="n">
        <f aca="false">IF(AND(H_Direct=1,CA35&gt;0),MAX(0,WZ35-(MIN(CA35*TN35,(WZ35+AAM35))-MIN(MIN(CA35*TN35,(WZ35+AAM35)),AAM35))),WZ35)</f>
        <v>1270</v>
      </c>
      <c r="XB35" s="20" t="n">
        <f aca="false">IF(AND(H_Direct=1,CB35&gt;0),MAX(0,XA35-(MIN(CB35*TO35,(XA35+AAN35))-MIN(MIN(CB35*TO35,(XA35+AAN35)),AAN35))),XA35)</f>
        <v>1270</v>
      </c>
      <c r="XC35" s="20" t="n">
        <f aca="false">IF(AND(H_Direct=1,CC35&gt;0),MAX(0,XB35-(MIN(CC35*TP35,(XB35+AAO35))-MIN(MIN(CC35*TP35,(XB35+AAO35)),AAO35))),XB35)</f>
        <v>1270</v>
      </c>
      <c r="XD35" s="20" t="n">
        <f aca="false">IF(AND(H_Direct=1,CD35&gt;0),MAX(0,XC35-(MIN(CD35*TQ35,(XC35+AAP35))-MIN(MIN(CD35*TQ35,(XC35+AAP35)),AAP35))),XC35)</f>
        <v>1270</v>
      </c>
      <c r="XE35" s="20" t="n">
        <f aca="false">IF(AND(H_Direct=1,CE35&gt;0),MAX(0,XD35-(MIN(CE35*TR35,(XD35+AAQ35))-MIN(MIN(CE35*TR35,(XD35+AAQ35)),AAQ35))),XD35)</f>
        <v>1270</v>
      </c>
      <c r="XF35" s="20" t="n">
        <f aca="false">IF(AND(H_Direct=1,CF35&gt;0),MAX(0,XE35-(MIN(CF35*TS35,(XE35+AAR35))-MIN(MIN(CF35*TS35,(XE35+AAR35)),AAR35))),XE35)</f>
        <v>1270</v>
      </c>
      <c r="XG35" s="20" t="n">
        <f aca="false">IF(AND(H_Direct=1,CG35&gt;0),MAX(0,XF35-(MIN(CG35*TT35,(XF35+AAS35))-MIN(MIN(CG35*TT35,(XF35+AAS35)),AAS35))),XF35)</f>
        <v>1270</v>
      </c>
      <c r="XH35" s="20" t="n">
        <f aca="false">IF(AND(H_Direct=1,CH35&gt;0),MAX(0,XG35-(MIN(CH35*TU35,(XG35+AAT35))-MIN(MIN(CH35*TU35,(XG35+AAT35)),AAT35))),XG35)</f>
        <v>1270</v>
      </c>
      <c r="XI35" s="20" t="n">
        <f aca="false">IF(AND(H_Direct=1,CI35&gt;0),MAX(0,XH35-(MIN(CI35*TV35,(XH35+AAU35))-MIN(MIN(CI35*TV35,(XH35+AAU35)),AAU35))),XH35)</f>
        <v>1270</v>
      </c>
      <c r="XJ35" s="20" t="n">
        <f aca="false">IF(AND(H_Direct=1,CJ35&gt;0),MAX(0,XI35-(MIN(CJ35*TW35,(XI35+AAV35))-MIN(MIN(CJ35*TW35,(XI35+AAV35)),AAV35))),XI35)</f>
        <v>1270</v>
      </c>
      <c r="XK35" s="20" t="n">
        <f aca="false">IF(AND(H_Direct=1,CK35&gt;0),MAX(0,XJ35-(MIN(CK35*TX35,(XJ35+AAW35))-MIN(MIN(CK35*TX35,(XJ35+AAW35)),AAW35))),XJ35)</f>
        <v>1270</v>
      </c>
      <c r="XL35" s="20" t="n">
        <f aca="false">IF(AND(H_Direct=1,CL35&gt;0),MAX(0,XK35-(MIN(CL35*TY35,(XK35+AAX35))-MIN(MIN(CL35*TY35,(XK35+AAX35)),AAX35))),XK35)</f>
        <v>1270</v>
      </c>
      <c r="XM35" s="20" t="n">
        <f aca="false">IF(AND(H_Direct=1,CM35&gt;0),MAX(0,XL35-(MIN(CM35*TZ35,(XL35+AAY35))-MIN(MIN(CM35*TZ35,(XL35+AAY35)),AAY35))),XL35)</f>
        <v>1270</v>
      </c>
      <c r="XN35" s="20" t="n">
        <f aca="false">IF(AND(H_Direct=1,CN35&gt;0),MAX(0,XM35-(MIN(CN35*UA35,(XM35+AAZ35))-MIN(MIN(CN35*UA35,(XM35+AAZ35)),AAZ35))),XM35)</f>
        <v>1270</v>
      </c>
      <c r="XO35" s="20" t="n">
        <f aca="false">IF(AND(H_Direct=1,CO35&gt;0),MAX(0,XN35-(MIN(CO35*UB35,(XN35+ABA35))-MIN(MIN(CO35*UB35,(XN35+ABA35)),ABA35))),XN35)</f>
        <v>1270</v>
      </c>
      <c r="XP35" s="20" t="n">
        <f aca="false">IF(AND(H_Direct=1,CP35&gt;0),MAX(0,XO35-(MIN(CP35*UC35,(XO35+ABB35))-MIN(MIN(CP35*UC35,(XO35+ABB35)),ABB35))),XO35)</f>
        <v>1270</v>
      </c>
      <c r="XQ35" s="20" t="n">
        <f aca="false">IF(AND(H_Direct=1,CQ35&gt;0),MAX(0,XP35-(MIN(CQ35*UD35,(XP35+ABC35))-MIN(MIN(CQ35*UD35,(XP35+ABC35)),ABC35))),XP35)</f>
        <v>1270</v>
      </c>
      <c r="XR35" s="20" t="n">
        <f aca="false">IF(AND(H_Direct=1,CR35&gt;0),MAX(0,XQ35-(MIN(CR35*UE35,(XQ35+ABD35))-MIN(MIN(CR35*UE35,(XQ35+ABD35)),ABD35))),XQ35)</f>
        <v>1270</v>
      </c>
      <c r="XS35" s="20" t="n">
        <f aca="false">IF(AND(H_Direct=1,CS35&gt;0),MAX(0,XR35-(MIN(CS35*UF35,(XR35+ABE35))-MIN(MIN(CS35*UF35,(XR35+ABE35)),ABE35))),XR35)</f>
        <v>1270</v>
      </c>
      <c r="XT35" s="20" t="n">
        <f aca="false">IF(AND(H_Direct=1,CT35&gt;0),MAX(0,XS35-(MIN(CT35*UG35,(XS35+ABF35))-MIN(MIN(CT35*UG35,(XS35+ABF35)),ABF35))),XS35)</f>
        <v>1270</v>
      </c>
      <c r="XU35" s="20" t="n">
        <f aca="false">XT35</f>
        <v>1270</v>
      </c>
      <c r="XV35" s="20" t="n">
        <f aca="false">XU35</f>
        <v>1270</v>
      </c>
      <c r="XW35" s="20" t="n">
        <f aca="false">XV35</f>
        <v>1270</v>
      </c>
      <c r="XX35" s="20" t="n">
        <f aca="false">XW35</f>
        <v>1270</v>
      </c>
      <c r="XY35" s="20" t="n">
        <f aca="false">XX35</f>
        <v>1270</v>
      </c>
      <c r="XZ35" s="20" t="n">
        <f aca="false">XY35</f>
        <v>1270</v>
      </c>
      <c r="YA35" s="20" t="n">
        <f aca="false">XZ35</f>
        <v>1270</v>
      </c>
      <c r="YB35" s="20" t="n">
        <f aca="false">YA35</f>
        <v>1270</v>
      </c>
      <c r="YC35" s="20" t="n">
        <f aca="false">YB35</f>
        <v>1270</v>
      </c>
      <c r="YD35" s="20" t="n">
        <f aca="false">YC35</f>
        <v>1270</v>
      </c>
      <c r="YE35" s="20" t="n">
        <f aca="false">YD35</f>
        <v>1270</v>
      </c>
      <c r="YF35" s="20" t="n">
        <f aca="false">YE35</f>
        <v>1270</v>
      </c>
      <c r="YG35" s="20" t="n">
        <f aca="false">YF35</f>
        <v>1270</v>
      </c>
      <c r="YH35" s="20" t="n">
        <f aca="false">YG35</f>
        <v>1270</v>
      </c>
      <c r="YI35" s="20" t="n">
        <f aca="false">YH35</f>
        <v>1270</v>
      </c>
      <c r="YJ35" s="20" t="n">
        <f aca="false">YI35</f>
        <v>1270</v>
      </c>
      <c r="YK35" s="20" t="n">
        <f aca="false">YJ35</f>
        <v>1270</v>
      </c>
      <c r="YL35" s="20" t="n">
        <f aca="false">YK35</f>
        <v>1270</v>
      </c>
      <c r="YM35" s="20" t="n">
        <f aca="false">YL35</f>
        <v>1270</v>
      </c>
      <c r="YN35" s="20" t="n">
        <f aca="false">YM35</f>
        <v>1270</v>
      </c>
      <c r="YO35" s="20" t="n">
        <f aca="false">YN35</f>
        <v>1270</v>
      </c>
      <c r="YP35" s="20" t="n">
        <f aca="false">YO35</f>
        <v>1270</v>
      </c>
      <c r="YQ35" s="20" t="n">
        <f aca="false">YP35</f>
        <v>1270</v>
      </c>
      <c r="YR35" s="20" t="n">
        <f aca="false">YQ35</f>
        <v>1270</v>
      </c>
      <c r="YS35" s="20" t="n">
        <f aca="false">YR35</f>
        <v>1270</v>
      </c>
      <c r="YT35" s="20" t="n">
        <f aca="false">YS35</f>
        <v>1270</v>
      </c>
      <c r="YU35" s="20" t="n">
        <f aca="false">YT35</f>
        <v>1270</v>
      </c>
      <c r="YV35" s="20" t="n">
        <f aca="false">YU35</f>
        <v>1270</v>
      </c>
      <c r="YW35" s="20" t="n">
        <f aca="false">YV35</f>
        <v>1270</v>
      </c>
      <c r="YX35" s="20" t="n">
        <f aca="false">YW35</f>
        <v>1270</v>
      </c>
      <c r="YY35" s="20" t="n">
        <f aca="false">YX35</f>
        <v>1270</v>
      </c>
      <c r="YZ35" s="20" t="n">
        <f aca="false">YY35</f>
        <v>1270</v>
      </c>
      <c r="ZA35" s="20" t="n">
        <f aca="false">YZ35</f>
        <v>1270</v>
      </c>
      <c r="ZB35" s="20" t="n">
        <f aca="false">ZA35</f>
        <v>1270</v>
      </c>
      <c r="ZC35" s="20" t="n">
        <f aca="false">ZB35</f>
        <v>1270</v>
      </c>
      <c r="ZD35" s="20" t="n">
        <f aca="false">ZC35</f>
        <v>1270</v>
      </c>
      <c r="ZE35" s="20" t="n">
        <f aca="false">ZD35</f>
        <v>1270</v>
      </c>
      <c r="ZF35" s="20" t="n">
        <f aca="false">ZE35</f>
        <v>1270</v>
      </c>
      <c r="ZG35" s="20" t="n">
        <f aca="false">ZF35</f>
        <v>1270</v>
      </c>
      <c r="ZH35" s="20" t="n">
        <f aca="false">ZG35</f>
        <v>1270</v>
      </c>
      <c r="ZI35" s="20" t="n">
        <f aca="false">ZH35</f>
        <v>1270</v>
      </c>
      <c r="ZJ35" s="20" t="n">
        <f aca="false">ZI35</f>
        <v>1270</v>
      </c>
      <c r="ZK35" s="20" t="n">
        <f aca="false">ZJ35</f>
        <v>1270</v>
      </c>
      <c r="ZL35" s="20" t="n">
        <f aca="false">ZK35</f>
        <v>1270</v>
      </c>
      <c r="ZM35" s="20" t="n">
        <f aca="false">ZL35</f>
        <v>1270</v>
      </c>
      <c r="ZN35" s="20" t="n">
        <f aca="false">ZM35</f>
        <v>1270</v>
      </c>
      <c r="ZO35" s="20" t="n">
        <f aca="false">ZN35</f>
        <v>1270</v>
      </c>
      <c r="ZP35" s="20" t="n">
        <f aca="false">ZO35</f>
        <v>1270</v>
      </c>
      <c r="ZQ35" s="20" t="n">
        <f aca="false">ZP35</f>
        <v>1270</v>
      </c>
      <c r="ZR35" s="20" t="n">
        <f aca="false">ZQ35</f>
        <v>1270</v>
      </c>
      <c r="ZS35" s="20" t="n">
        <f aca="false">ZR35</f>
        <v>1270</v>
      </c>
      <c r="ZT35" s="20" t="n">
        <f aca="false">ZS35</f>
        <v>1270</v>
      </c>
      <c r="ZU35" s="20" t="n">
        <f aca="false">ZT35</f>
        <v>1270</v>
      </c>
      <c r="ZV35" s="20" t="n">
        <f aca="false">ZU35</f>
        <v>1270</v>
      </c>
      <c r="ZW35" s="20" t="n">
        <f aca="false">ZV35</f>
        <v>1270</v>
      </c>
      <c r="ZX35" s="20" t="n">
        <f aca="false">ZW35</f>
        <v>1270</v>
      </c>
      <c r="ZY35" s="20" t="n">
        <f aca="false">ZX35</f>
        <v>1270</v>
      </c>
      <c r="ZZ35" s="20" t="n">
        <f aca="false">ZY35</f>
        <v>1270</v>
      </c>
      <c r="AAA35" s="20" t="n">
        <f aca="false">ZZ35</f>
        <v>1270</v>
      </c>
      <c r="AAB35" s="20" t="n">
        <f aca="false">AAA35</f>
        <v>1270</v>
      </c>
      <c r="AAC35" s="20" t="n">
        <f aca="false">AAB35</f>
        <v>1270</v>
      </c>
      <c r="AAD35" s="20" t="n">
        <f aca="false">AAC35</f>
        <v>1270</v>
      </c>
      <c r="AAE35" s="20" t="n">
        <f aca="false">IF(H_Direct=1,IF(BR35&lt;=0,I35-BR35*TE35,I35-MIN(MIN(BR35*TE35,(H35+I35)),I35)),I35)</f>
        <v>0</v>
      </c>
      <c r="AAF35" s="20" t="n">
        <f aca="false">IF(H_Direct=1,IF(BS35&lt;=0,AAE35-BS35*TF35,AAE35-MIN(MIN(BS35*TF35,(WR35+AAE35)),AAE35)),AAE35)</f>
        <v>0</v>
      </c>
      <c r="AAG35" s="20" t="n">
        <f aca="false">IF(H_Direct=1,IF(BT35&lt;=0,AAF35-BT35*TG35,AAF35-MIN(MIN(BT35*TG35,(WS35+AAF35)),AAF35)),AAF35)</f>
        <v>0</v>
      </c>
      <c r="AAH35" s="20" t="n">
        <f aca="false">IF(H_Direct=1,IF(BU35&lt;=0,AAG35-BU35*TH35,AAG35-MIN(MIN(BU35*TH35,(WT35+AAG35)),AAG35)),AAG35)</f>
        <v>0</v>
      </c>
      <c r="AAI35" s="20" t="n">
        <f aca="false">IF(H_Direct=1,IF(BV35&lt;=0,AAH35-BV35*TI35,AAH35-MIN(MIN(BV35*TI35,(WU35+AAH35)),AAH35)),AAH35)</f>
        <v>0</v>
      </c>
      <c r="AAJ35" s="20" t="n">
        <f aca="false">IF(H_Direct=1,IF(BW35&lt;=0,AAI35-BW35*TJ35,AAI35-MIN(MIN(BW35*TJ35,(WV35+AAI35)),AAI35)),AAI35)</f>
        <v>0</v>
      </c>
      <c r="AAK35" s="20" t="n">
        <f aca="false">IF(H_Direct=1,IF(BX35&lt;=0,AAJ35-BX35*TK35,AAJ35-MIN(MIN(BX35*TK35,(WW35+AAJ35)),AAJ35)),AAJ35)</f>
        <v>0</v>
      </c>
      <c r="AAL35" s="20" t="n">
        <f aca="false">IF(H_Direct=1,IF(BY35&lt;=0,AAK35-BY35*TL35,AAK35-MIN(MIN(BY35*TL35,(WX35+AAK35)),AAK35)),AAK35)</f>
        <v>0</v>
      </c>
      <c r="AAM35" s="20" t="n">
        <f aca="false">IF(H_Direct=1,IF(BZ35&lt;=0,AAL35-BZ35*TM35,AAL35-MIN(MIN(BZ35*TM35,(WY35+AAL35)),AAL35)),AAL35)</f>
        <v>0</v>
      </c>
      <c r="AAN35" s="20" t="n">
        <f aca="false">IF(H_Direct=1,IF(CA35&lt;=0,AAM35-CA35*TN35,AAM35-MIN(MIN(CA35*TN35,(WZ35+AAM35)),AAM35)),AAM35)</f>
        <v>0</v>
      </c>
      <c r="AAO35" s="20" t="n">
        <f aca="false">IF(H_Direct=1,IF(CB35&lt;=0,AAN35-CB35*TO35,AAN35-MIN(MIN(CB35*TO35,(XA35+AAN35)),AAN35)),AAN35)</f>
        <v>0</v>
      </c>
      <c r="AAP35" s="20" t="n">
        <f aca="false">IF(H_Direct=1,IF(CC35&lt;=0,AAO35-CC35*TP35,AAO35-MIN(MIN(CC35*TP35,(XB35+AAO35)),AAO35)),AAO35)</f>
        <v>0</v>
      </c>
      <c r="AAQ35" s="20" t="n">
        <f aca="false">IF(H_Direct=1,IF(CD35&lt;=0,AAP35-CD35*TQ35,AAP35-MIN(MIN(CD35*TQ35,(XC35+AAP35)),AAP35)),AAP35)</f>
        <v>0</v>
      </c>
      <c r="AAR35" s="20" t="n">
        <f aca="false">IF(H_Direct=1,IF(CE35&lt;=0,AAQ35-CE35*TR35,AAQ35-MIN(MIN(CE35*TR35,(XD35+AAQ35)),AAQ35)),AAQ35)</f>
        <v>0</v>
      </c>
      <c r="AAS35" s="20" t="n">
        <f aca="false">IF(H_Direct=1,IF(CF35&lt;=0,AAR35-CF35*TS35,AAR35-MIN(MIN(CF35*TS35,(XE35+AAR35)),AAR35)),AAR35)</f>
        <v>0</v>
      </c>
      <c r="AAT35" s="20" t="n">
        <f aca="false">IF(H_Direct=1,IF(CG35&lt;=0,AAS35-CG35*TT35,AAS35-MIN(MIN(CG35*TT35,(XF35+AAS35)),AAS35)),AAS35)</f>
        <v>0</v>
      </c>
      <c r="AAU35" s="20" t="n">
        <f aca="false">IF(H_Direct=1,IF(CH35&lt;=0,AAT35-CH35*TU35,AAT35-MIN(MIN(CH35*TU35,(XG35+AAT35)),AAT35)),AAT35)</f>
        <v>0</v>
      </c>
      <c r="AAV35" s="20" t="n">
        <f aca="false">IF(H_Direct=1,IF(CI35&lt;=0,AAU35-CI35*TV35,AAU35-MIN(MIN(CI35*TV35,(XH35+AAU35)),AAU35)),AAU35)</f>
        <v>0</v>
      </c>
      <c r="AAW35" s="20" t="n">
        <f aca="false">IF(H_Direct=1,IF(CJ35&lt;=0,AAV35-CJ35*TW35,AAV35-MIN(MIN(CJ35*TW35,(XI35+AAV35)),AAV35)),AAV35)</f>
        <v>0</v>
      </c>
      <c r="AAX35" s="20" t="n">
        <f aca="false">IF(H_Direct=1,IF(CK35&lt;=0,AAW35-CK35*TX35,AAW35-MIN(MIN(CK35*TX35,(XJ35+AAW35)),AAW35)),AAW35)</f>
        <v>0</v>
      </c>
      <c r="AAY35" s="20" t="n">
        <f aca="false">IF(H_Direct=1,IF(CL35&lt;=0,AAX35-CL35*TY35,AAX35-MIN(MIN(CL35*TY35,(XK35+AAX35)),AAX35)),AAX35)</f>
        <v>0</v>
      </c>
      <c r="AAZ35" s="20" t="n">
        <f aca="false">IF(H_Direct=1,IF(CM35&lt;=0,AAY35-CM35*TZ35,AAY35-MIN(MIN(CM35*TZ35,(XL35+AAY35)),AAY35)),AAY35)</f>
        <v>0</v>
      </c>
      <c r="ABA35" s="20" t="n">
        <f aca="false">IF(H_Direct=1,IF(CN35&lt;=0,AAZ35-CN35*UA35,AAZ35-MIN(MIN(CN35*UA35,(XM35+AAZ35)),AAZ35)),AAZ35)</f>
        <v>0</v>
      </c>
      <c r="ABB35" s="20" t="n">
        <f aca="false">IF(H_Direct=1,IF(CO35&lt;=0,ABA35-CO35*UB35,ABA35-MIN(MIN(CO35*UB35,(XN35+ABA35)),ABA35)),ABA35)</f>
        <v>0</v>
      </c>
      <c r="ABC35" s="20" t="n">
        <f aca="false">IF(H_Direct=1,IF(CP35&lt;=0,ABB35-CP35*UC35,ABB35-MIN(MIN(CP35*UC35,(XO35+ABB35)),ABB35)),ABB35)</f>
        <v>0</v>
      </c>
      <c r="ABD35" s="20" t="n">
        <f aca="false">IF(H_Direct=1,IF(CQ35&lt;=0,ABC35-CQ35*UD35,ABC35-MIN(MIN(CQ35*UD35,(XP35+ABC35)),ABC35)),ABC35)</f>
        <v>0</v>
      </c>
      <c r="ABE35" s="20" t="n">
        <f aca="false">IF(H_Direct=1,IF(CR35&lt;=0,ABD35-CR35*UE35,ABD35-MIN(MIN(CR35*UE35,(XQ35+ABD35)),ABD35)),ABD35)</f>
        <v>0</v>
      </c>
      <c r="ABF35" s="20" t="n">
        <f aca="false">IF(H_Direct=1,IF(CS35&lt;=0,ABE35-CS35*UF35,ABE35-MIN(MIN(CS35*UF35,(XR35+ABE35)),ABE35)),ABE35)</f>
        <v>0</v>
      </c>
      <c r="ABG35" s="20" t="n">
        <f aca="false">IF(H_Direct=1,IF(CT35&lt;=0,ABF35-CT35*UG35,ABF35-MIN(MIN(CT35*UG35,(XS35+ABF35)),ABF35)),ABF35)</f>
        <v>0</v>
      </c>
      <c r="ABH35" s="20" t="n">
        <f aca="false">ABG35</f>
        <v>0</v>
      </c>
      <c r="ABI35" s="20" t="n">
        <f aca="false">ABH35</f>
        <v>0</v>
      </c>
      <c r="ABJ35" s="20" t="n">
        <f aca="false">ABI35</f>
        <v>0</v>
      </c>
      <c r="ABK35" s="20" t="n">
        <f aca="false">ABJ35</f>
        <v>0</v>
      </c>
      <c r="ABL35" s="20" t="n">
        <f aca="false">ABK35</f>
        <v>0</v>
      </c>
      <c r="ABM35" s="20" t="n">
        <f aca="false">ABL35</f>
        <v>0</v>
      </c>
      <c r="ABN35" s="20" t="n">
        <f aca="false">ABM35</f>
        <v>0</v>
      </c>
      <c r="ABO35" s="20" t="n">
        <f aca="false">ABN35</f>
        <v>0</v>
      </c>
      <c r="ABP35" s="20" t="n">
        <f aca="false">ABO35</f>
        <v>0</v>
      </c>
      <c r="ABQ35" s="20" t="n">
        <f aca="false">ABP35</f>
        <v>0</v>
      </c>
      <c r="ABR35" s="20" t="n">
        <f aca="false">ABQ35</f>
        <v>0</v>
      </c>
      <c r="ABS35" s="20" t="n">
        <f aca="false">ABR35</f>
        <v>0</v>
      </c>
      <c r="ABT35" s="20" t="n">
        <f aca="false">ABS35</f>
        <v>0</v>
      </c>
      <c r="ABU35" s="20" t="n">
        <f aca="false">ABT35</f>
        <v>0</v>
      </c>
      <c r="ABV35" s="20" t="n">
        <f aca="false">ABU35</f>
        <v>0</v>
      </c>
      <c r="ABW35" s="20" t="n">
        <f aca="false">ABV35</f>
        <v>0</v>
      </c>
      <c r="ABX35" s="20" t="n">
        <f aca="false">ABW35</f>
        <v>0</v>
      </c>
      <c r="ABY35" s="20" t="n">
        <f aca="false">ABX35</f>
        <v>0</v>
      </c>
      <c r="ABZ35" s="20" t="n">
        <f aca="false">ABY35</f>
        <v>0</v>
      </c>
      <c r="ACA35" s="20" t="n">
        <f aca="false">ABZ35</f>
        <v>0</v>
      </c>
      <c r="ACB35" s="20" t="n">
        <f aca="false">ACA35</f>
        <v>0</v>
      </c>
      <c r="ACC35" s="20" t="n">
        <f aca="false">ACB35</f>
        <v>0</v>
      </c>
      <c r="ACD35" s="20" t="n">
        <f aca="false">ACC35</f>
        <v>0</v>
      </c>
      <c r="ACE35" s="20" t="n">
        <f aca="false">ACD35</f>
        <v>0</v>
      </c>
      <c r="ACF35" s="20" t="n">
        <f aca="false">ACE35</f>
        <v>0</v>
      </c>
      <c r="ACG35" s="20" t="n">
        <f aca="false">ACF35</f>
        <v>0</v>
      </c>
      <c r="ACH35" s="20" t="n">
        <f aca="false">ACG35</f>
        <v>0</v>
      </c>
      <c r="ACI35" s="20" t="n">
        <f aca="false">ACH35</f>
        <v>0</v>
      </c>
      <c r="ACJ35" s="20" t="n">
        <f aca="false">ACI35</f>
        <v>0</v>
      </c>
      <c r="ACK35" s="20" t="n">
        <f aca="false">ACJ35</f>
        <v>0</v>
      </c>
      <c r="ACL35" s="20" t="n">
        <f aca="false">ACK35</f>
        <v>0</v>
      </c>
      <c r="ACM35" s="20" t="n">
        <f aca="false">ACL35</f>
        <v>0</v>
      </c>
      <c r="ACN35" s="20" t="n">
        <f aca="false">ACM35</f>
        <v>0</v>
      </c>
      <c r="ACO35" s="20" t="n">
        <f aca="false">ACN35</f>
        <v>0</v>
      </c>
      <c r="ACP35" s="20" t="n">
        <f aca="false">ACO35</f>
        <v>0</v>
      </c>
      <c r="ACQ35" s="20" t="n">
        <f aca="false">ACP35</f>
        <v>0</v>
      </c>
      <c r="ACR35" s="20" t="n">
        <f aca="false">ACQ35</f>
        <v>0</v>
      </c>
      <c r="ACS35" s="20" t="n">
        <f aca="false">ACR35</f>
        <v>0</v>
      </c>
      <c r="ACT35" s="20" t="n">
        <f aca="false">ACS35</f>
        <v>0</v>
      </c>
      <c r="ACU35" s="20" t="n">
        <f aca="false">ACT35</f>
        <v>0</v>
      </c>
      <c r="ACV35" s="20" t="n">
        <f aca="false">ACU35</f>
        <v>0</v>
      </c>
      <c r="ACW35" s="20" t="n">
        <f aca="false">ACV35</f>
        <v>0</v>
      </c>
      <c r="ACX35" s="20" t="n">
        <f aca="false">ACW35</f>
        <v>0</v>
      </c>
      <c r="ACY35" s="20" t="n">
        <f aca="false">ACX35</f>
        <v>0</v>
      </c>
      <c r="ACZ35" s="20" t="n">
        <f aca="false">ACY35</f>
        <v>0</v>
      </c>
      <c r="ADA35" s="20" t="n">
        <f aca="false">ACZ35</f>
        <v>0</v>
      </c>
      <c r="ADB35" s="20" t="n">
        <f aca="false">ADA35</f>
        <v>0</v>
      </c>
      <c r="ADC35" s="20" t="n">
        <f aca="false">ADB35</f>
        <v>0</v>
      </c>
      <c r="ADD35" s="20" t="n">
        <f aca="false">ADC35</f>
        <v>0</v>
      </c>
      <c r="ADE35" s="20" t="n">
        <f aca="false">ADD35</f>
        <v>0</v>
      </c>
      <c r="ADF35" s="20" t="n">
        <f aca="false">ADE35</f>
        <v>0</v>
      </c>
      <c r="ADG35" s="20" t="n">
        <f aca="false">ADF35</f>
        <v>0</v>
      </c>
      <c r="ADH35" s="20" t="n">
        <f aca="false">ADG35</f>
        <v>0</v>
      </c>
      <c r="ADI35" s="20" t="n">
        <f aca="false">ADH35</f>
        <v>0</v>
      </c>
      <c r="ADJ35" s="20" t="n">
        <f aca="false">ADI35</f>
        <v>0</v>
      </c>
      <c r="ADK35" s="20" t="n">
        <f aca="false">ADJ35</f>
        <v>0</v>
      </c>
      <c r="ADL35" s="20" t="n">
        <f aca="false">ADK35</f>
        <v>0</v>
      </c>
      <c r="ADM35" s="20" t="n">
        <f aca="false">ADL35</f>
        <v>0</v>
      </c>
      <c r="ADN35" s="20" t="n">
        <f aca="false">ADM35</f>
        <v>0</v>
      </c>
      <c r="ADO35" s="20" t="n">
        <f aca="false">ADN35</f>
        <v>0</v>
      </c>
      <c r="ADP35" s="20" t="n">
        <f aca="false">ADO35</f>
        <v>0</v>
      </c>
      <c r="ADQ35" s="20" t="n">
        <f aca="false">ADP35</f>
        <v>0</v>
      </c>
      <c r="ADR35" s="20" t="n">
        <f aca="false">(AKR34-TE35+0)*(1+BQ35)</f>
        <v>0</v>
      </c>
      <c r="ADS35" s="20" t="n">
        <f aca="false">(AKS34-TF35+0)*(1+BQ35)</f>
        <v>0</v>
      </c>
      <c r="ADT35" s="20" t="n">
        <f aca="false">(AKT34-TG35+0)*(1+BQ35)</f>
        <v>0</v>
      </c>
      <c r="ADU35" s="20" t="n">
        <f aca="false">(AKU34-TH35+0)*(1+BQ35)</f>
        <v>0</v>
      </c>
      <c r="ADV35" s="20" t="n">
        <f aca="false">(AKV34-TI35+0)*(1+BQ35)</f>
        <v>0</v>
      </c>
      <c r="ADW35" s="20" t="n">
        <f aca="false">(AKW34-TJ35+0)*(1+BQ35)</f>
        <v>0</v>
      </c>
      <c r="ADX35" s="20" t="n">
        <f aca="false">(AKX34-TK35+0)*(1+BQ35)</f>
        <v>0</v>
      </c>
      <c r="ADY35" s="20" t="n">
        <f aca="false">(AKY34-TL35+0)*(1+BQ35)</f>
        <v>0</v>
      </c>
      <c r="ADZ35" s="20" t="n">
        <f aca="false">(AKZ34-TM35+0)*(1+BQ35)</f>
        <v>0</v>
      </c>
      <c r="AEA35" s="20" t="n">
        <f aca="false">(ALA34-TN35+0)*(1+BQ35)</f>
        <v>0</v>
      </c>
      <c r="AEB35" s="20" t="n">
        <f aca="false">(ALB34-TO35+0)*(1+BQ35)</f>
        <v>0</v>
      </c>
      <c r="AEC35" s="20" t="n">
        <f aca="false">(ALC34-TP35+0)*(1+BQ35)</f>
        <v>892.394319836083</v>
      </c>
      <c r="AED35" s="20" t="n">
        <f aca="false">(ALD34-TQ35+0)*(1+BQ35)</f>
        <v>1122.60365749888</v>
      </c>
      <c r="AEE35" s="20" t="n">
        <f aca="false">(ALE34-TR35+0)*(1+BQ35)</f>
        <v>1496.60162132263</v>
      </c>
      <c r="AEF35" s="20" t="n">
        <f aca="false">(ALF34-TS35+0)*(1+BQ35)</f>
        <v>1682.9364352707</v>
      </c>
      <c r="AEG35" s="20" t="n">
        <f aca="false">(ALG34-TT35+0)*(1+BQ35)</f>
        <v>1618.49370046584</v>
      </c>
      <c r="AEH35" s="20" t="n">
        <f aca="false">(ALH34-TU35+0)*(1+BQ35)</f>
        <v>1555.59869683595</v>
      </c>
      <c r="AEI35" s="20" t="n">
        <f aca="false">(ALI34-TV35+0)*(1+BQ35)</f>
        <v>1494.21869447563</v>
      </c>
      <c r="AEJ35" s="20" t="n">
        <f aca="false">(ALJ34-TW35+0)*(1+BQ35)</f>
        <v>4644.01773225081</v>
      </c>
      <c r="AEK35" s="20" t="n">
        <f aca="false">(ALK34-TX35+0)*(1+BQ35)</f>
        <v>4554.70969893829</v>
      </c>
      <c r="AEL35" s="20" t="n">
        <f aca="false">(ALL34-TY35+0)*(1+BQ35)</f>
        <v>4467.11912780487</v>
      </c>
      <c r="AEM35" s="20" t="n">
        <f aca="false">(ALM34-TZ35+0)*(1+BQ35)</f>
        <v>4880.69187999909</v>
      </c>
      <c r="AEN35" s="20" t="n">
        <f aca="false">(ALN34-UA35+0)*(1+BQ35)</f>
        <v>4786.83242076834</v>
      </c>
      <c r="AEO35" s="20" t="n">
        <f aca="false">(ALO34-UB35+0)*(1+BQ35)</f>
        <v>4694.77795113817</v>
      </c>
      <c r="AEP35" s="20" t="n">
        <f aca="false">(ALP34-UC35+0)*(1+BQ35)</f>
        <v>4604.49375977014</v>
      </c>
      <c r="AEQ35" s="20" t="n">
        <f aca="false">(ALQ34-UD35+0)*(1+BQ35)</f>
        <v>4515.94580285148</v>
      </c>
      <c r="AER35" s="20" t="n">
        <f aca="false">(ALR34-UE35+0)*(1+BQ35)</f>
        <v>67001.4438466831</v>
      </c>
      <c r="AES35" s="20" t="n">
        <f aca="false">(ALS34-UF35+0)*(1+BQ35)</f>
        <v>0</v>
      </c>
      <c r="AET35" s="20" t="n">
        <f aca="false">((P35+S35)-UG35+BE35)*(1+BQ35)</f>
        <v>0</v>
      </c>
      <c r="AEU35" s="20" t="n">
        <v>0</v>
      </c>
      <c r="AEV35" s="20" t="n">
        <v>0</v>
      </c>
      <c r="AEW35" s="20" t="n">
        <v>0</v>
      </c>
      <c r="AEX35" s="20" t="n">
        <v>0</v>
      </c>
      <c r="AEY35" s="20" t="n">
        <v>0</v>
      </c>
      <c r="AEZ35" s="20" t="n">
        <v>0</v>
      </c>
      <c r="AFA35" s="20" t="n">
        <v>0</v>
      </c>
      <c r="AFB35" s="20" t="n">
        <v>0</v>
      </c>
      <c r="AFC35" s="20" t="n">
        <v>0</v>
      </c>
      <c r="AFD35" s="20" t="n">
        <v>0</v>
      </c>
      <c r="AFE35" s="20" t="n">
        <v>0</v>
      </c>
      <c r="AFF35" s="20" t="n">
        <v>0</v>
      </c>
      <c r="AFG35" s="20" t="n">
        <v>0</v>
      </c>
      <c r="AFH35" s="20" t="n">
        <v>0</v>
      </c>
      <c r="AFI35" s="20" t="n">
        <v>0</v>
      </c>
      <c r="AFJ35" s="20" t="n">
        <v>0</v>
      </c>
      <c r="AFK35" s="20" t="n">
        <v>0</v>
      </c>
      <c r="AFL35" s="20" t="n">
        <v>0</v>
      </c>
      <c r="AFM35" s="20" t="n">
        <v>0</v>
      </c>
      <c r="AFN35" s="20" t="n">
        <v>0</v>
      </c>
      <c r="AFO35" s="20" t="n">
        <v>0</v>
      </c>
      <c r="AFP35" s="20" t="n">
        <v>0</v>
      </c>
      <c r="AFQ35" s="20" t="n">
        <v>0</v>
      </c>
      <c r="AFR35" s="20" t="n">
        <v>0</v>
      </c>
      <c r="AFS35" s="20" t="n">
        <v>0</v>
      </c>
      <c r="AFT35" s="20" t="n">
        <v>0</v>
      </c>
      <c r="AFU35" s="20" t="n">
        <v>0</v>
      </c>
      <c r="AFV35" s="20" t="n">
        <v>0</v>
      </c>
      <c r="AFW35" s="20" t="n">
        <v>0</v>
      </c>
      <c r="AFX35" s="20" t="n">
        <v>0</v>
      </c>
      <c r="AFY35" s="20" t="n">
        <v>0</v>
      </c>
      <c r="AFZ35" s="20" t="n">
        <v>0</v>
      </c>
      <c r="AGA35" s="20" t="n">
        <v>0</v>
      </c>
      <c r="AGB35" s="20" t="n">
        <v>0</v>
      </c>
      <c r="AGC35" s="20" t="n">
        <v>0</v>
      </c>
      <c r="AGD35" s="20" t="n">
        <v>0</v>
      </c>
      <c r="AGE35" s="20" t="n">
        <v>0</v>
      </c>
      <c r="AGF35" s="20" t="n">
        <v>0</v>
      </c>
      <c r="AGG35" s="20" t="n">
        <v>0</v>
      </c>
      <c r="AGH35" s="20" t="n">
        <v>0</v>
      </c>
      <c r="AGI35" s="20" t="n">
        <v>0</v>
      </c>
      <c r="AGJ35" s="20" t="n">
        <v>0</v>
      </c>
      <c r="AGK35" s="20" t="n">
        <v>0</v>
      </c>
      <c r="AGL35" s="20" t="n">
        <v>0</v>
      </c>
      <c r="AGM35" s="20" t="n">
        <v>0</v>
      </c>
      <c r="AGN35" s="20" t="n">
        <v>0</v>
      </c>
      <c r="AGO35" s="20" t="n">
        <v>0</v>
      </c>
      <c r="AGP35" s="20" t="n">
        <v>0</v>
      </c>
      <c r="AGQ35" s="20" t="n">
        <v>0</v>
      </c>
      <c r="AGR35" s="20" t="n">
        <v>0</v>
      </c>
      <c r="AGS35" s="20" t="n">
        <v>0</v>
      </c>
      <c r="AGT35" s="20" t="n">
        <v>0</v>
      </c>
      <c r="AGU35" s="20" t="n">
        <v>0</v>
      </c>
      <c r="AGV35" s="20" t="n">
        <v>0</v>
      </c>
      <c r="AGW35" s="20" t="n">
        <v>0</v>
      </c>
      <c r="AGX35" s="20" t="n">
        <v>0</v>
      </c>
      <c r="AGY35" s="20" t="n">
        <v>0</v>
      </c>
      <c r="AGZ35" s="20" t="n">
        <v>0</v>
      </c>
      <c r="AHA35" s="20" t="n">
        <v>0</v>
      </c>
      <c r="AHB35" s="20" t="n">
        <v>0</v>
      </c>
      <c r="AHC35" s="20" t="n">
        <v>0</v>
      </c>
      <c r="AHD35" s="20" t="n">
        <v>0</v>
      </c>
      <c r="AHE35" s="20" t="n">
        <f aca="false">IF(AKR34&gt;0,AOE34-AOE34*TE35/AKR34,0)+0</f>
        <v>0</v>
      </c>
      <c r="AHF35" s="20" t="n">
        <f aca="false">IF(AKS34&gt;0,AOF34-AOF34*TF35/AKS34,0)+0</f>
        <v>0</v>
      </c>
      <c r="AHG35" s="20" t="n">
        <f aca="false">IF(AKT34&gt;0,AOG34-AOG34*TG35/AKT34,0)+0</f>
        <v>0</v>
      </c>
      <c r="AHH35" s="20" t="n">
        <f aca="false">IF(AKU34&gt;0,AOH34-AOH34*TH35/AKU34,0)+0</f>
        <v>0</v>
      </c>
      <c r="AHI35" s="20" t="n">
        <f aca="false">IF(AKV34&gt;0,AOI34-AOI34*TI35/AKV34,0)+0</f>
        <v>0</v>
      </c>
      <c r="AHJ35" s="20" t="n">
        <f aca="false">IF(AKW34&gt;0,AOJ34-AOJ34*TJ35/AKW34,0)+0</f>
        <v>0</v>
      </c>
      <c r="AHK35" s="20" t="n">
        <f aca="false">IF(AKX34&gt;0,AOK34-AOK34*TK35/AKX34,0)+0</f>
        <v>0</v>
      </c>
      <c r="AHL35" s="20" t="n">
        <f aca="false">IF(AKY34&gt;0,AOL34-AOL34*TL35/AKY34,0)+0</f>
        <v>0</v>
      </c>
      <c r="AHM35" s="20" t="n">
        <f aca="false">IF(AKZ34&gt;0,AOM34-AOM34*TM35/AKZ34,0)+0</f>
        <v>0</v>
      </c>
      <c r="AHN35" s="20" t="n">
        <f aca="false">IF(ALA34&gt;0,AON34-AON34*TN35/ALA34,0)+0</f>
        <v>0</v>
      </c>
      <c r="AHO35" s="20" t="n">
        <f aca="false">IF(ALB34&gt;0,AOO34-AOO34*TO35/ALB34,0)+0</f>
        <v>0</v>
      </c>
      <c r="AHP35" s="20" t="n">
        <f aca="false">IF(ALC34&gt;0,AOP34-AOP34*TP35/ALC34,0)+0</f>
        <v>825.068712866201</v>
      </c>
      <c r="AHQ35" s="20" t="n">
        <f aca="false">IF(ALD34&gt;0,AOQ34-AOQ34*TQ35/ALD34,0)+0</f>
        <v>1079.42659374892</v>
      </c>
      <c r="AHR35" s="20" t="n">
        <f aca="false">IF(ALE34&gt;0,AOR34-AOR34*TR35/ALE34,0)+0</f>
        <v>1093.55214549053</v>
      </c>
      <c r="AHS35" s="20" t="n">
        <f aca="false">IF(ALF34&gt;0,AOS34-AOS34*TS35/ALF34,0)+0</f>
        <v>1278.89337564899</v>
      </c>
      <c r="AHT35" s="20" t="n">
        <f aca="false">IF(ALG34&gt;0,AOT34-AOT34*TT35/ALG34,0)+0</f>
        <v>1279.11908128089</v>
      </c>
      <c r="AHU35" s="20" t="n">
        <f aca="false">IF(ALH34&gt;0,AOU34-AOU34*TU35/ALH34,0)+0</f>
        <v>1278.58873616899</v>
      </c>
      <c r="AHV35" s="20" t="n">
        <f aca="false">IF(ALI34&gt;0,AOV34-AOV34*TV35/ALI34,0)+0</f>
        <v>1277.26440235273</v>
      </c>
      <c r="AHW35" s="20" t="n">
        <f aca="false">IF(ALJ34&gt;0,AOW34-AOW34*TW35/ALJ34,0)+0</f>
        <v>4128.51485357413</v>
      </c>
      <c r="AHX35" s="20" t="n">
        <f aca="false">IF(ALK34&gt;0,AOX34-AOX34*TX35/ALK34,0)+0</f>
        <v>4211.08515064561</v>
      </c>
      <c r="AHY35" s="20" t="n">
        <f aca="false">IF(ALL34&gt;0,AOY34-AOY34*TY35/ALL34,0)+0</f>
        <v>4295.30685365853</v>
      </c>
      <c r="AHZ35" s="20" t="n">
        <f aca="false">IF(ALM34&gt;0,AOZ34-AOZ34*TZ35/ALM34,0)+0</f>
        <v>3566.27375034805</v>
      </c>
      <c r="AIA35" s="20" t="n">
        <f aca="false">IF(ALN34&gt;0,APA34-APA34*UA35/ALN34,0)+0</f>
        <v>3637.59922535501</v>
      </c>
      <c r="AIB35" s="20" t="n">
        <f aca="false">IF(ALO34&gt;0,APB34-APB34*UB35/ALO34,0)+0</f>
        <v>3710.35120986211</v>
      </c>
      <c r="AIC35" s="20" t="n">
        <f aca="false">IF(ALP34&gt;0,APC34-APC34*UC35/ALP34,0)+0</f>
        <v>3784.55823405936</v>
      </c>
      <c r="AID35" s="20" t="n">
        <f aca="false">IF(ALQ34&gt;0,APD34-APD34*UD35/ALQ34,0)+0</f>
        <v>3860.24939874054</v>
      </c>
      <c r="AIE35" s="20" t="n">
        <f aca="false">IF(ALR34&gt;0,APE34-APE34*UE35/ALR34,0)+0</f>
        <v>59564.0396053951</v>
      </c>
      <c r="AIF35" s="20" t="n">
        <f aca="false">IF(ALS34&gt;0,APF34-APF34*UF35/ALS34,0)+0</f>
        <v>0</v>
      </c>
      <c r="AIG35" s="20" t="n">
        <f aca="false">IF((P35+S35)&gt;0,(P35+S35)-(P35+S35)*UG35/(P35+S35),0)+BE35</f>
        <v>0</v>
      </c>
      <c r="AIH35" s="20" t="n">
        <v>0</v>
      </c>
      <c r="AII35" s="20" t="n">
        <v>0</v>
      </c>
      <c r="AIJ35" s="20" t="n">
        <v>0</v>
      </c>
      <c r="AIK35" s="20" t="n">
        <v>0</v>
      </c>
      <c r="AIL35" s="20" t="n">
        <v>0</v>
      </c>
      <c r="AIM35" s="20" t="n">
        <v>0</v>
      </c>
      <c r="AIN35" s="20" t="n">
        <v>0</v>
      </c>
      <c r="AIO35" s="20" t="n">
        <v>0</v>
      </c>
      <c r="AIP35" s="20" t="n">
        <v>0</v>
      </c>
      <c r="AIQ35" s="20" t="n">
        <v>0</v>
      </c>
      <c r="AIR35" s="20" t="n">
        <v>0</v>
      </c>
      <c r="AIS35" s="20" t="n">
        <v>0</v>
      </c>
      <c r="AIT35" s="20" t="n">
        <v>0</v>
      </c>
      <c r="AIU35" s="20" t="n">
        <v>0</v>
      </c>
      <c r="AIV35" s="20" t="n">
        <v>0</v>
      </c>
      <c r="AIW35" s="20" t="n">
        <v>0</v>
      </c>
      <c r="AIX35" s="20" t="n">
        <v>0</v>
      </c>
      <c r="AIY35" s="20" t="n">
        <v>0</v>
      </c>
      <c r="AIZ35" s="20" t="n">
        <v>0</v>
      </c>
      <c r="AJA35" s="20" t="n">
        <v>0</v>
      </c>
      <c r="AJB35" s="20" t="n">
        <v>0</v>
      </c>
      <c r="AJC35" s="20" t="n">
        <v>0</v>
      </c>
      <c r="AJD35" s="20" t="n">
        <v>0</v>
      </c>
      <c r="AJE35" s="20" t="n">
        <v>0</v>
      </c>
      <c r="AJF35" s="20" t="n">
        <v>0</v>
      </c>
      <c r="AJG35" s="20" t="n">
        <v>0</v>
      </c>
      <c r="AJH35" s="20" t="n">
        <v>0</v>
      </c>
      <c r="AJI35" s="20" t="n">
        <v>0</v>
      </c>
      <c r="AJJ35" s="20" t="n">
        <v>0</v>
      </c>
      <c r="AJK35" s="20" t="n">
        <v>0</v>
      </c>
      <c r="AJL35" s="20" t="n">
        <v>0</v>
      </c>
      <c r="AJM35" s="20" t="n">
        <v>0</v>
      </c>
      <c r="AJN35" s="20" t="n">
        <v>0</v>
      </c>
      <c r="AJO35" s="20" t="n">
        <v>0</v>
      </c>
      <c r="AJP35" s="20" t="n">
        <v>0</v>
      </c>
      <c r="AJQ35" s="20" t="n">
        <v>0</v>
      </c>
      <c r="AJR35" s="20" t="n">
        <v>0</v>
      </c>
      <c r="AJS35" s="20" t="n">
        <v>0</v>
      </c>
      <c r="AJT35" s="20" t="n">
        <v>0</v>
      </c>
      <c r="AJU35" s="20" t="n">
        <v>0</v>
      </c>
      <c r="AJV35" s="20" t="n">
        <v>0</v>
      </c>
      <c r="AJW35" s="20" t="n">
        <v>0</v>
      </c>
      <c r="AJX35" s="20" t="n">
        <v>0</v>
      </c>
      <c r="AJY35" s="20" t="n">
        <v>0</v>
      </c>
      <c r="AJZ35" s="20" t="n">
        <v>0</v>
      </c>
      <c r="AKA35" s="20" t="n">
        <v>0</v>
      </c>
      <c r="AKB35" s="20" t="n">
        <v>0</v>
      </c>
      <c r="AKC35" s="20" t="n">
        <v>0</v>
      </c>
      <c r="AKD35" s="20" t="n">
        <v>0</v>
      </c>
      <c r="AKE35" s="20" t="n">
        <v>0</v>
      </c>
      <c r="AKF35" s="20" t="n">
        <v>0</v>
      </c>
      <c r="AKG35" s="20" t="n">
        <v>0</v>
      </c>
      <c r="AKH35" s="20" t="n">
        <v>0</v>
      </c>
      <c r="AKI35" s="20" t="n">
        <v>0</v>
      </c>
      <c r="AKJ35" s="20" t="n">
        <v>0</v>
      </c>
      <c r="AKK35" s="20" t="n">
        <v>0</v>
      </c>
      <c r="AKL35" s="20" t="n">
        <v>0</v>
      </c>
      <c r="AKM35" s="20" t="n">
        <v>0</v>
      </c>
      <c r="AKN35" s="20" t="n">
        <v>0</v>
      </c>
      <c r="AKO35" s="20" t="n">
        <v>0</v>
      </c>
      <c r="AKP35" s="20" t="n">
        <v>0</v>
      </c>
      <c r="AKQ35" s="20" t="n">
        <v>0</v>
      </c>
      <c r="AKR35" s="20" t="n">
        <f aca="false">ADR35-AVE35</f>
        <v>0</v>
      </c>
      <c r="AKS35" s="20" t="n">
        <f aca="false">ADS35-AVF35</f>
        <v>0</v>
      </c>
      <c r="AKT35" s="20" t="n">
        <f aca="false">ADT35-AVG35</f>
        <v>0</v>
      </c>
      <c r="AKU35" s="20" t="n">
        <f aca="false">ADU35-AVH35</f>
        <v>0</v>
      </c>
      <c r="AKV35" s="20" t="n">
        <f aca="false">ADV35-AVI35</f>
        <v>0</v>
      </c>
      <c r="AKW35" s="20" t="n">
        <f aca="false">ADW35-AVJ35</f>
        <v>0</v>
      </c>
      <c r="AKX35" s="20" t="n">
        <f aca="false">ADX35-AVK35</f>
        <v>0</v>
      </c>
      <c r="AKY35" s="20" t="n">
        <f aca="false">ADY35-AVL35</f>
        <v>0</v>
      </c>
      <c r="AKZ35" s="20" t="n">
        <f aca="false">ADZ35-AVM35</f>
        <v>0</v>
      </c>
      <c r="ALA35" s="20" t="n">
        <f aca="false">AEA35-AVN35</f>
        <v>0</v>
      </c>
      <c r="ALB35" s="20" t="n">
        <f aca="false">AEB35-AVO35</f>
        <v>0</v>
      </c>
      <c r="ALC35" s="20" t="n">
        <f aca="false">AEC35-AVP35</f>
        <v>892.394319836083</v>
      </c>
      <c r="ALD35" s="20" t="n">
        <f aca="false">AED35-AVQ35</f>
        <v>1122.60365749888</v>
      </c>
      <c r="ALE35" s="20" t="n">
        <f aca="false">AEE35-AVR35</f>
        <v>1343.44282050643</v>
      </c>
      <c r="ALF35" s="20" t="n">
        <f aca="false">AEF35-AVS35</f>
        <v>1682.9364352707</v>
      </c>
      <c r="ALG35" s="20" t="n">
        <f aca="false">AEG35-AVT35</f>
        <v>1618.49370046584</v>
      </c>
      <c r="ALH35" s="20" t="n">
        <f aca="false">AEH35-AVU35</f>
        <v>1555.59869683595</v>
      </c>
      <c r="ALI35" s="20" t="n">
        <f aca="false">AEI35-AVV35</f>
        <v>1494.21869447563</v>
      </c>
      <c r="ALJ35" s="20" t="n">
        <f aca="false">AEJ35-AVW35</f>
        <v>4644.01773225081</v>
      </c>
      <c r="ALK35" s="20" t="n">
        <f aca="false">AEK35-AVX35</f>
        <v>4554.70969893829</v>
      </c>
      <c r="ALL35" s="20" t="n">
        <f aca="false">AEL35-AVY35</f>
        <v>4467.11912780487</v>
      </c>
      <c r="ALM35" s="20" t="n">
        <f aca="false">AEM35-AVZ35</f>
        <v>4381.21299073169</v>
      </c>
      <c r="ALN35" s="20" t="n">
        <f aca="false">AEN35-AWA35</f>
        <v>4786.83242076834</v>
      </c>
      <c r="ALO35" s="20" t="n">
        <f aca="false">AEO35-AWB35</f>
        <v>4694.77795113817</v>
      </c>
      <c r="ALP35" s="20" t="n">
        <f aca="false">AEP35-AWC35</f>
        <v>4604.49375977014</v>
      </c>
      <c r="ALQ35" s="20" t="n">
        <f aca="false">AEQ35-AWD35</f>
        <v>4515.94580285148</v>
      </c>
      <c r="ALR35" s="20" t="n">
        <f aca="false">AER35-AWE35</f>
        <v>67001.4438466831</v>
      </c>
      <c r="ALS35" s="20" t="n">
        <f aca="false">AES35-AWF35</f>
        <v>0</v>
      </c>
      <c r="ALT35" s="20" t="n">
        <f aca="false">AET35-AWG35</f>
        <v>0</v>
      </c>
      <c r="ALU35" s="20" t="n">
        <v>0</v>
      </c>
      <c r="ALV35" s="20" t="n">
        <v>0</v>
      </c>
      <c r="ALW35" s="20" t="n">
        <v>0</v>
      </c>
      <c r="ALX35" s="20" t="n">
        <v>0</v>
      </c>
      <c r="ALY35" s="20" t="n">
        <v>0</v>
      </c>
      <c r="ALZ35" s="20" t="n">
        <v>0</v>
      </c>
      <c r="AMA35" s="20" t="n">
        <v>0</v>
      </c>
      <c r="AMB35" s="20" t="n">
        <v>0</v>
      </c>
      <c r="AMC35" s="20" t="n">
        <v>0</v>
      </c>
      <c r="AMD35" s="20" t="n">
        <v>0</v>
      </c>
      <c r="AME35" s="20" t="n">
        <v>0</v>
      </c>
      <c r="AMF35" s="20" t="n">
        <v>0</v>
      </c>
      <c r="AMG35" s="20" t="n">
        <v>0</v>
      </c>
      <c r="AMH35" s="20" t="n">
        <v>0</v>
      </c>
      <c r="AMI35" s="20" t="n">
        <v>0</v>
      </c>
      <c r="AMJ35" s="20" t="n">
        <v>0</v>
      </c>
      <c r="AMK35" s="20" t="n">
        <v>0</v>
      </c>
      <c r="AML35" s="20" t="n">
        <v>0</v>
      </c>
      <c r="AMM35" s="20" t="n">
        <v>0</v>
      </c>
      <c r="AMN35" s="20" t="n">
        <v>0</v>
      </c>
      <c r="AMO35" s="20" t="n">
        <v>0</v>
      </c>
      <c r="AMP35" s="20" t="n">
        <v>0</v>
      </c>
      <c r="AMQ35" s="20" t="n">
        <v>0</v>
      </c>
      <c r="AMR35" s="20" t="n">
        <v>0</v>
      </c>
      <c r="AMS35" s="20" t="n">
        <v>0</v>
      </c>
      <c r="AMT35" s="20" t="n">
        <v>0</v>
      </c>
      <c r="AMU35" s="20" t="n">
        <v>0</v>
      </c>
      <c r="AMV35" s="20" t="n">
        <v>0</v>
      </c>
      <c r="AMW35" s="20" t="n">
        <v>0</v>
      </c>
      <c r="AMX35" s="20" t="n">
        <v>0</v>
      </c>
      <c r="AMY35" s="20" t="n">
        <v>0</v>
      </c>
      <c r="AMZ35" s="20" t="n">
        <v>0</v>
      </c>
      <c r="ANA35" s="20" t="n">
        <v>0</v>
      </c>
      <c r="ANB35" s="20" t="n">
        <v>0</v>
      </c>
      <c r="ANC35" s="20" t="n">
        <v>0</v>
      </c>
      <c r="AND35" s="20" t="n">
        <v>0</v>
      </c>
      <c r="ANE35" s="20" t="n">
        <v>0</v>
      </c>
      <c r="ANF35" s="20" t="n">
        <v>0</v>
      </c>
      <c r="ANG35" s="20" t="n">
        <v>0</v>
      </c>
      <c r="ANH35" s="20" t="n">
        <v>0</v>
      </c>
      <c r="ANI35" s="20" t="n">
        <v>0</v>
      </c>
      <c r="ANJ35" s="20" t="n">
        <v>0</v>
      </c>
      <c r="ANK35" s="20" t="n">
        <v>0</v>
      </c>
      <c r="ANL35" s="20" t="n">
        <v>0</v>
      </c>
      <c r="ANM35" s="20" t="n">
        <v>0</v>
      </c>
      <c r="ANN35" s="20" t="n">
        <v>0</v>
      </c>
      <c r="ANO35" s="20" t="n">
        <v>0</v>
      </c>
      <c r="ANP35" s="20" t="n">
        <v>0</v>
      </c>
      <c r="ANQ35" s="20" t="n">
        <v>0</v>
      </c>
      <c r="ANR35" s="20" t="n">
        <v>0</v>
      </c>
      <c r="ANS35" s="20" t="n">
        <v>0</v>
      </c>
      <c r="ANT35" s="20" t="n">
        <v>0</v>
      </c>
      <c r="ANU35" s="20" t="n">
        <v>0</v>
      </c>
      <c r="ANV35" s="20" t="n">
        <v>0</v>
      </c>
      <c r="ANW35" s="20" t="n">
        <v>0</v>
      </c>
      <c r="ANX35" s="20" t="n">
        <v>0</v>
      </c>
      <c r="ANY35" s="20" t="n">
        <v>0</v>
      </c>
      <c r="ANZ35" s="20" t="n">
        <v>0</v>
      </c>
      <c r="AOA35" s="20" t="n">
        <v>0</v>
      </c>
      <c r="AOB35" s="20" t="n">
        <v>0</v>
      </c>
      <c r="AOC35" s="20" t="n">
        <v>0</v>
      </c>
      <c r="AOD35" s="20" t="n">
        <v>0</v>
      </c>
      <c r="AOE35" s="20" t="n">
        <f aca="false">IF(AND(H_Direct=0,H_TaxEvt=1,ARR34+1&gt;=H_Deemed),AKR35,AHE35)</f>
        <v>0</v>
      </c>
      <c r="AOF35" s="20" t="n">
        <f aca="false">IF(AND(H_Direct=0,H_TaxEvt=1,ARS34+1&gt;=H_Deemed),AKS35,AHF35)</f>
        <v>0</v>
      </c>
      <c r="AOG35" s="20" t="n">
        <f aca="false">IF(AND(H_Direct=0,H_TaxEvt=1,ART34+1&gt;=H_Deemed),AKT35,AHG35)</f>
        <v>0</v>
      </c>
      <c r="AOH35" s="20" t="n">
        <f aca="false">IF(AND(H_Direct=0,H_TaxEvt=1,ARU34+1&gt;=H_Deemed),AKU35,AHH35)</f>
        <v>0</v>
      </c>
      <c r="AOI35" s="20" t="n">
        <f aca="false">IF(AND(H_Direct=0,H_TaxEvt=1,ARV34+1&gt;=H_Deemed),AKV35,AHI35)</f>
        <v>0</v>
      </c>
      <c r="AOJ35" s="20" t="n">
        <f aca="false">IF(AND(H_Direct=0,H_TaxEvt=1,ARW34+1&gt;=H_Deemed),AKW35,AHJ35)</f>
        <v>0</v>
      </c>
      <c r="AOK35" s="20" t="n">
        <f aca="false">IF(AND(H_Direct=0,H_TaxEvt=1,ARX34+1&gt;=H_Deemed),AKX35,AHK35)</f>
        <v>0</v>
      </c>
      <c r="AOL35" s="20" t="n">
        <f aca="false">IF(AND(H_Direct=0,H_TaxEvt=1,ARY34+1&gt;=H_Deemed),AKY35,AHL35)</f>
        <v>0</v>
      </c>
      <c r="AOM35" s="20" t="n">
        <f aca="false">IF(AND(H_Direct=0,H_TaxEvt=1,ARZ34+1&gt;=H_Deemed),AKZ35,AHM35)</f>
        <v>0</v>
      </c>
      <c r="AON35" s="20" t="n">
        <f aca="false">IF(AND(H_Direct=0,H_TaxEvt=1,ASA34+1&gt;=H_Deemed),ALA35,AHN35)</f>
        <v>0</v>
      </c>
      <c r="AOO35" s="20" t="n">
        <f aca="false">IF(AND(H_Direct=0,H_TaxEvt=1,ASB34+1&gt;=H_Deemed),ALB35,AHO35)</f>
        <v>0</v>
      </c>
      <c r="AOP35" s="20" t="n">
        <f aca="false">IF(AND(H_Direct=0,H_TaxEvt=1,ASC34+1&gt;=H_Deemed),ALC35,AHP35)</f>
        <v>825.068712866201</v>
      </c>
      <c r="AOQ35" s="20" t="n">
        <f aca="false">IF(AND(H_Direct=0,H_TaxEvt=1,ASD34+1&gt;=H_Deemed),ALD35,AHQ35)</f>
        <v>1079.42659374892</v>
      </c>
      <c r="AOR35" s="20" t="n">
        <f aca="false">IF(AND(H_Direct=0,H_TaxEvt=1,ASE34+1&gt;=H_Deemed),ALE35,AHR35)</f>
        <v>1343.44282050643</v>
      </c>
      <c r="AOS35" s="20" t="n">
        <f aca="false">IF(AND(H_Direct=0,H_TaxEvt=1,ASF34+1&gt;=H_Deemed),ALF35,AHS35)</f>
        <v>1278.89337564899</v>
      </c>
      <c r="AOT35" s="20" t="n">
        <f aca="false">IF(AND(H_Direct=0,H_TaxEvt=1,ASG34+1&gt;=H_Deemed),ALG35,AHT35)</f>
        <v>1279.11908128089</v>
      </c>
      <c r="AOU35" s="20" t="n">
        <f aca="false">IF(AND(H_Direct=0,H_TaxEvt=1,ASH34+1&gt;=H_Deemed),ALH35,AHU35)</f>
        <v>1278.58873616899</v>
      </c>
      <c r="AOV35" s="20" t="n">
        <f aca="false">IF(AND(H_Direct=0,H_TaxEvt=1,ASI34+1&gt;=H_Deemed),ALI35,AHV35)</f>
        <v>1277.26440235273</v>
      </c>
      <c r="AOW35" s="20" t="n">
        <f aca="false">IF(AND(H_Direct=0,H_TaxEvt=1,ASJ34+1&gt;=H_Deemed),ALJ35,AHW35)</f>
        <v>4128.51485357413</v>
      </c>
      <c r="AOX35" s="20" t="n">
        <f aca="false">IF(AND(H_Direct=0,H_TaxEvt=1,ASK34+1&gt;=H_Deemed),ALK35,AHX35)</f>
        <v>4211.08515064561</v>
      </c>
      <c r="AOY35" s="20" t="n">
        <f aca="false">IF(AND(H_Direct=0,H_TaxEvt=1,ASL34+1&gt;=H_Deemed),ALL35,AHY35)</f>
        <v>4295.30685365853</v>
      </c>
      <c r="AOZ35" s="20" t="n">
        <f aca="false">IF(AND(H_Direct=0,H_TaxEvt=1,ASM34+1&gt;=H_Deemed),ALM35,AHZ35)</f>
        <v>4381.21299073169</v>
      </c>
      <c r="APA35" s="20" t="n">
        <f aca="false">IF(AND(H_Direct=0,H_TaxEvt=1,ASN34+1&gt;=H_Deemed),ALN35,AIA35)</f>
        <v>3637.59922535501</v>
      </c>
      <c r="APB35" s="20" t="n">
        <f aca="false">IF(AND(H_Direct=0,H_TaxEvt=1,ASO34+1&gt;=H_Deemed),ALO35,AIB35)</f>
        <v>3710.35120986211</v>
      </c>
      <c r="APC35" s="20" t="n">
        <f aca="false">IF(AND(H_Direct=0,H_TaxEvt=1,ASP34+1&gt;=H_Deemed),ALP35,AIC35)</f>
        <v>3784.55823405936</v>
      </c>
      <c r="APD35" s="20" t="n">
        <f aca="false">IF(AND(H_Direct=0,H_TaxEvt=1,ASQ34+1&gt;=H_Deemed),ALQ35,AID35)</f>
        <v>3860.24939874054</v>
      </c>
      <c r="APE35" s="20" t="n">
        <f aca="false">IF(AND(H_Direct=0,H_TaxEvt=1,ASR34+1&gt;=H_Deemed),ALR35,AIE35)</f>
        <v>59564.0396053951</v>
      </c>
      <c r="APF35" s="20" t="n">
        <f aca="false">IF(AND(H_Direct=0,H_TaxEvt=1,ASS34+1&gt;=H_Deemed),ALS35,AIF35)</f>
        <v>0</v>
      </c>
      <c r="APG35" s="20" t="n">
        <f aca="false">IF(AND(H_Direct=0,H_TaxEvt=1,0+1&gt;=H_Deemed),ALT35,AIG35)</f>
        <v>0</v>
      </c>
      <c r="APH35" s="20" t="n">
        <v>0</v>
      </c>
      <c r="API35" s="20" t="n">
        <v>0</v>
      </c>
      <c r="APJ35" s="20" t="n">
        <v>0</v>
      </c>
      <c r="APK35" s="20" t="n">
        <v>0</v>
      </c>
      <c r="APL35" s="20" t="n">
        <v>0</v>
      </c>
      <c r="APM35" s="20" t="n">
        <v>0</v>
      </c>
      <c r="APN35" s="20" t="n">
        <v>0</v>
      </c>
      <c r="APO35" s="20" t="n">
        <v>0</v>
      </c>
      <c r="APP35" s="20" t="n">
        <v>0</v>
      </c>
      <c r="APQ35" s="20" t="n">
        <v>0</v>
      </c>
      <c r="APR35" s="20" t="n">
        <v>0</v>
      </c>
      <c r="APS35" s="20" t="n">
        <v>0</v>
      </c>
      <c r="APT35" s="20" t="n">
        <v>0</v>
      </c>
      <c r="APU35" s="20" t="n">
        <v>0</v>
      </c>
      <c r="APV35" s="20" t="n">
        <v>0</v>
      </c>
      <c r="APW35" s="20" t="n">
        <v>0</v>
      </c>
      <c r="APX35" s="20" t="n">
        <v>0</v>
      </c>
      <c r="APY35" s="20" t="n">
        <v>0</v>
      </c>
      <c r="APZ35" s="20" t="n">
        <v>0</v>
      </c>
      <c r="AQA35" s="20" t="n">
        <v>0</v>
      </c>
      <c r="AQB35" s="20" t="n">
        <v>0</v>
      </c>
      <c r="AQC35" s="20" t="n">
        <v>0</v>
      </c>
      <c r="AQD35" s="20" t="n">
        <v>0</v>
      </c>
      <c r="AQE35" s="20" t="n">
        <v>0</v>
      </c>
      <c r="AQF35" s="20" t="n">
        <v>0</v>
      </c>
      <c r="AQG35" s="20" t="n">
        <v>0</v>
      </c>
      <c r="AQH35" s="20" t="n">
        <v>0</v>
      </c>
      <c r="AQI35" s="20" t="n">
        <v>0</v>
      </c>
      <c r="AQJ35" s="20" t="n">
        <v>0</v>
      </c>
      <c r="AQK35" s="20" t="n">
        <v>0</v>
      </c>
      <c r="AQL35" s="20" t="n">
        <v>0</v>
      </c>
      <c r="AQM35" s="20" t="n">
        <v>0</v>
      </c>
      <c r="AQN35" s="20" t="n">
        <v>0</v>
      </c>
      <c r="AQO35" s="20" t="n">
        <v>0</v>
      </c>
      <c r="AQP35" s="20" t="n">
        <v>0</v>
      </c>
      <c r="AQQ35" s="20" t="n">
        <v>0</v>
      </c>
      <c r="AQR35" s="20" t="n">
        <v>0</v>
      </c>
      <c r="AQS35" s="20" t="n">
        <v>0</v>
      </c>
      <c r="AQT35" s="20" t="n">
        <v>0</v>
      </c>
      <c r="AQU35" s="20" t="n">
        <v>0</v>
      </c>
      <c r="AQV35" s="20" t="n">
        <v>0</v>
      </c>
      <c r="AQW35" s="20" t="n">
        <v>0</v>
      </c>
      <c r="AQX35" s="20" t="n">
        <v>0</v>
      </c>
      <c r="AQY35" s="20" t="n">
        <v>0</v>
      </c>
      <c r="AQZ35" s="20" t="n">
        <v>0</v>
      </c>
      <c r="ARA35" s="20" t="n">
        <v>0</v>
      </c>
      <c r="ARB35" s="20" t="n">
        <v>0</v>
      </c>
      <c r="ARC35" s="20" t="n">
        <v>0</v>
      </c>
      <c r="ARD35" s="20" t="n">
        <v>0</v>
      </c>
      <c r="ARE35" s="20" t="n">
        <v>0</v>
      </c>
      <c r="ARF35" s="20" t="n">
        <v>0</v>
      </c>
      <c r="ARG35" s="20" t="n">
        <v>0</v>
      </c>
      <c r="ARH35" s="20" t="n">
        <v>0</v>
      </c>
      <c r="ARI35" s="20" t="n">
        <v>0</v>
      </c>
      <c r="ARJ35" s="20" t="n">
        <v>0</v>
      </c>
      <c r="ARK35" s="20" t="n">
        <v>0</v>
      </c>
      <c r="ARL35" s="20" t="n">
        <v>0</v>
      </c>
      <c r="ARM35" s="20" t="n">
        <v>0</v>
      </c>
      <c r="ARN35" s="20" t="n">
        <v>0</v>
      </c>
      <c r="ARO35" s="20" t="n">
        <v>0</v>
      </c>
      <c r="ARP35" s="20" t="n">
        <v>0</v>
      </c>
      <c r="ARQ35" s="20" t="n">
        <v>0</v>
      </c>
      <c r="ARR35" s="20" t="n">
        <f aca="false">IF(AND(H_Direct=0,H_TaxEvt=1),IF(ARR34+1&gt;=H_Deemed,0,ARR34+1),ARR34)</f>
        <v>4</v>
      </c>
      <c r="ARS35" s="20" t="n">
        <f aca="false">IF(AND(H_Direct=0,H_TaxEvt=1),IF(ARS34+1&gt;=H_Deemed,0,ARS34+1),ARS34)</f>
        <v>4</v>
      </c>
      <c r="ART35" s="20" t="n">
        <f aca="false">IF(AND(H_Direct=0,H_TaxEvt=1),IF(ART34+1&gt;=H_Deemed,0,ART34+1),ART34)</f>
        <v>3</v>
      </c>
      <c r="ARU35" s="20" t="n">
        <f aca="false">IF(AND(H_Direct=0,H_TaxEvt=1),IF(ARU34+1&gt;=H_Deemed,0,ARU34+1),ARU34)</f>
        <v>2</v>
      </c>
      <c r="ARV35" s="20" t="n">
        <f aca="false">IF(AND(H_Direct=0,H_TaxEvt=1),IF(ARV34+1&gt;=H_Deemed,0,ARV34+1),ARV34)</f>
        <v>1</v>
      </c>
      <c r="ARW35" s="20" t="n">
        <f aca="false">IF(AND(H_Direct=0,H_TaxEvt=1),IF(ARW34+1&gt;=H_Deemed,0,ARW34+1),ARW34)</f>
        <v>0</v>
      </c>
      <c r="ARX35" s="20" t="n">
        <f aca="false">IF(AND(H_Direct=0,H_TaxEvt=1),IF(ARX34+1&gt;=H_Deemed,0,ARX34+1),ARX34)</f>
        <v>7</v>
      </c>
      <c r="ARY35" s="20" t="n">
        <f aca="false">IF(AND(H_Direct=0,H_TaxEvt=1),IF(ARY34+1&gt;=H_Deemed,0,ARY34+1),ARY34)</f>
        <v>6</v>
      </c>
      <c r="ARZ35" s="20" t="n">
        <f aca="false">IF(AND(H_Direct=0,H_TaxEvt=1),IF(ARZ34+1&gt;=H_Deemed,0,ARZ34+1),ARZ34)</f>
        <v>5</v>
      </c>
      <c r="ASA35" s="20" t="n">
        <f aca="false">IF(AND(H_Direct=0,H_TaxEvt=1),IF(ASA34+1&gt;=H_Deemed,0,ASA34+1),ASA34)</f>
        <v>4</v>
      </c>
      <c r="ASB35" s="20" t="n">
        <f aca="false">IF(AND(H_Direct=0,H_TaxEvt=1),IF(ASB34+1&gt;=H_Deemed,0,ASB34+1),ASB34)</f>
        <v>3</v>
      </c>
      <c r="ASC35" s="20" t="n">
        <f aca="false">IF(AND(H_Direct=0,H_TaxEvt=1),IF(ASC34+1&gt;=H_Deemed,0,ASC34+1),ASC34)</f>
        <v>2</v>
      </c>
      <c r="ASD35" s="20" t="n">
        <f aca="false">IF(AND(H_Direct=0,H_TaxEvt=1),IF(ASD34+1&gt;=H_Deemed,0,ASD34+1),ASD34)</f>
        <v>1</v>
      </c>
      <c r="ASE35" s="20" t="n">
        <f aca="false">IF(AND(H_Direct=0,H_TaxEvt=1),IF(ASE34+1&gt;=H_Deemed,0,ASE34+1),ASE34)</f>
        <v>0</v>
      </c>
      <c r="ASF35" s="20" t="n">
        <f aca="false">IF(AND(H_Direct=0,H_TaxEvt=1),IF(ASF34+1&gt;=H_Deemed,0,ASF34+1),ASF34)</f>
        <v>7</v>
      </c>
      <c r="ASG35" s="20" t="n">
        <f aca="false">IF(AND(H_Direct=0,H_TaxEvt=1),IF(ASG34+1&gt;=H_Deemed,0,ASG34+1),ASG34)</f>
        <v>6</v>
      </c>
      <c r="ASH35" s="20" t="n">
        <f aca="false">IF(AND(H_Direct=0,H_TaxEvt=1),IF(ASH34+1&gt;=H_Deemed,0,ASH34+1),ASH34)</f>
        <v>5</v>
      </c>
      <c r="ASI35" s="20" t="n">
        <f aca="false">IF(AND(H_Direct=0,H_TaxEvt=1),IF(ASI34+1&gt;=H_Deemed,0,ASI34+1),ASI34)</f>
        <v>4</v>
      </c>
      <c r="ASJ35" s="20" t="n">
        <f aca="false">IF(AND(H_Direct=0,H_TaxEvt=1),IF(ASJ34+1&gt;=H_Deemed,0,ASJ34+1),ASJ34)</f>
        <v>3</v>
      </c>
      <c r="ASK35" s="20" t="n">
        <f aca="false">IF(AND(H_Direct=0,H_TaxEvt=1),IF(ASK34+1&gt;=H_Deemed,0,ASK34+1),ASK34)</f>
        <v>2</v>
      </c>
      <c r="ASL35" s="20" t="n">
        <f aca="false">IF(AND(H_Direct=0,H_TaxEvt=1),IF(ASL34+1&gt;=H_Deemed,0,ASL34+1),ASL34)</f>
        <v>1</v>
      </c>
      <c r="ASM35" s="20" t="n">
        <f aca="false">IF(AND(H_Direct=0,H_TaxEvt=1),IF(ASM34+1&gt;=H_Deemed,0,ASM34+1),ASM34)</f>
        <v>0</v>
      </c>
      <c r="ASN35" s="20" t="n">
        <f aca="false">IF(AND(H_Direct=0,H_TaxEvt=1),IF(ASN34+1&gt;=H_Deemed,0,ASN34+1),ASN34)</f>
        <v>7</v>
      </c>
      <c r="ASO35" s="20" t="n">
        <f aca="false">IF(AND(H_Direct=0,H_TaxEvt=1),IF(ASO34+1&gt;=H_Deemed,0,ASO34+1),ASO34)</f>
        <v>6</v>
      </c>
      <c r="ASP35" s="20" t="n">
        <f aca="false">IF(AND(H_Direct=0,H_TaxEvt=1),IF(ASP34+1&gt;=H_Deemed,0,ASP34+1),ASP34)</f>
        <v>5</v>
      </c>
      <c r="ASQ35" s="20" t="n">
        <f aca="false">IF(AND(H_Direct=0,H_TaxEvt=1),IF(ASQ34+1&gt;=H_Deemed,0,ASQ34+1),ASQ34)</f>
        <v>4</v>
      </c>
      <c r="ASR35" s="20" t="n">
        <f aca="false">IF(AND(H_Direct=0,H_TaxEvt=1),IF(ASR34+1&gt;=H_Deemed,0,ASR34+1),ASR34)</f>
        <v>3</v>
      </c>
      <c r="ASS35" s="20" t="n">
        <f aca="false">IF(AND(H_Direct=0,H_TaxEvt=1),IF(ASS34+1&gt;=H_Deemed,0,ASS34+1),ASS34)</f>
        <v>2</v>
      </c>
      <c r="AST35" s="20" t="n">
        <f aca="false">IF(AND(H_Direct=0,H_TaxEvt=1),IF(0+1&gt;=H_Deemed,0,0+1),0)</f>
        <v>1</v>
      </c>
      <c r="ASU35" s="20" t="n">
        <v>0</v>
      </c>
      <c r="ASV35" s="20" t="n">
        <v>0</v>
      </c>
      <c r="ASW35" s="20" t="n">
        <v>0</v>
      </c>
      <c r="ASX35" s="20" t="n">
        <v>0</v>
      </c>
      <c r="ASY35" s="20" t="n">
        <v>0</v>
      </c>
      <c r="ASZ35" s="20" t="n">
        <v>0</v>
      </c>
      <c r="ATA35" s="20" t="n">
        <v>0</v>
      </c>
      <c r="ATB35" s="20" t="n">
        <v>0</v>
      </c>
      <c r="ATC35" s="20" t="n">
        <v>0</v>
      </c>
      <c r="ATD35" s="20" t="n">
        <v>0</v>
      </c>
      <c r="ATE35" s="20" t="n">
        <v>0</v>
      </c>
      <c r="ATF35" s="20" t="n">
        <v>0</v>
      </c>
      <c r="ATG35" s="20" t="n">
        <v>0</v>
      </c>
      <c r="ATH35" s="20" t="n">
        <v>0</v>
      </c>
      <c r="ATI35" s="20" t="n">
        <v>0</v>
      </c>
      <c r="ATJ35" s="20" t="n">
        <v>0</v>
      </c>
      <c r="ATK35" s="20" t="n">
        <v>0</v>
      </c>
      <c r="ATL35" s="20" t="n">
        <v>0</v>
      </c>
      <c r="ATM35" s="20" t="n">
        <v>0</v>
      </c>
      <c r="ATN35" s="20" t="n">
        <v>0</v>
      </c>
      <c r="ATO35" s="20" t="n">
        <v>0</v>
      </c>
      <c r="ATP35" s="20" t="n">
        <v>0</v>
      </c>
      <c r="ATQ35" s="20" t="n">
        <v>0</v>
      </c>
      <c r="ATR35" s="20" t="n">
        <v>0</v>
      </c>
      <c r="ATS35" s="20" t="n">
        <v>0</v>
      </c>
      <c r="ATT35" s="20" t="n">
        <v>0</v>
      </c>
      <c r="ATU35" s="20" t="n">
        <v>0</v>
      </c>
      <c r="ATV35" s="20" t="n">
        <v>0</v>
      </c>
      <c r="ATW35" s="20" t="n">
        <v>0</v>
      </c>
      <c r="ATX35" s="20" t="n">
        <v>0</v>
      </c>
      <c r="ATY35" s="20" t="n">
        <v>0</v>
      </c>
      <c r="ATZ35" s="20" t="n">
        <v>0</v>
      </c>
      <c r="AUA35" s="20" t="n">
        <v>0</v>
      </c>
      <c r="AUB35" s="20" t="n">
        <v>0</v>
      </c>
      <c r="AUC35" s="20" t="n">
        <v>0</v>
      </c>
      <c r="AUD35" s="20" t="n">
        <v>0</v>
      </c>
      <c r="AUE35" s="20" t="n">
        <v>0</v>
      </c>
      <c r="AUF35" s="20" t="n">
        <v>0</v>
      </c>
      <c r="AUG35" s="20" t="n">
        <v>0</v>
      </c>
      <c r="AUH35" s="20" t="n">
        <v>0</v>
      </c>
      <c r="AUI35" s="20" t="n">
        <v>0</v>
      </c>
      <c r="AUJ35" s="20" t="n">
        <v>0</v>
      </c>
      <c r="AUK35" s="20" t="n">
        <v>0</v>
      </c>
      <c r="AUL35" s="20" t="n">
        <v>0</v>
      </c>
      <c r="AUM35" s="20" t="n">
        <v>0</v>
      </c>
      <c r="AUN35" s="20" t="n">
        <v>0</v>
      </c>
      <c r="AUO35" s="20" t="n">
        <v>0</v>
      </c>
      <c r="AUP35" s="20" t="n">
        <v>0</v>
      </c>
      <c r="AUQ35" s="20" t="n">
        <v>0</v>
      </c>
      <c r="AUR35" s="20" t="n">
        <v>0</v>
      </c>
      <c r="AUS35" s="20" t="n">
        <v>0</v>
      </c>
      <c r="AUT35" s="20" t="n">
        <v>0</v>
      </c>
      <c r="AUU35" s="20" t="n">
        <v>0</v>
      </c>
      <c r="AUV35" s="20" t="n">
        <v>0</v>
      </c>
      <c r="AUW35" s="20" t="n">
        <v>0</v>
      </c>
      <c r="AUX35" s="20" t="n">
        <v>0</v>
      </c>
      <c r="AUY35" s="20" t="n">
        <v>0</v>
      </c>
      <c r="AUZ35" s="20" t="n">
        <v>0</v>
      </c>
      <c r="AVA35" s="20" t="n">
        <v>0</v>
      </c>
      <c r="AVB35" s="20" t="n">
        <v>0</v>
      </c>
      <c r="AVC35" s="20" t="n">
        <v>0</v>
      </c>
      <c r="AVD35" s="20" t="n">
        <v>0</v>
      </c>
      <c r="AVE35" s="20" t="n">
        <f aca="false">IF(AND(H_Direct=0,H_TaxEvt=1,ARR34+1&gt;=H_Deemed),MAX(0,ADR35-AHE35)*H_Exit,0)</f>
        <v>0</v>
      </c>
      <c r="AVF35" s="20" t="n">
        <f aca="false">IF(AND(H_Direct=0,H_TaxEvt=1,ARS34+1&gt;=H_Deemed),MAX(0,ADS35-AHF35)*H_Exit,0)</f>
        <v>0</v>
      </c>
      <c r="AVG35" s="20" t="n">
        <f aca="false">IF(AND(H_Direct=0,H_TaxEvt=1,ART34+1&gt;=H_Deemed),MAX(0,ADT35-AHG35)*H_Exit,0)</f>
        <v>0</v>
      </c>
      <c r="AVH35" s="20" t="n">
        <f aca="false">IF(AND(H_Direct=0,H_TaxEvt=1,ARU34+1&gt;=H_Deemed),MAX(0,ADU35-AHH35)*H_Exit,0)</f>
        <v>0</v>
      </c>
      <c r="AVI35" s="20" t="n">
        <f aca="false">IF(AND(H_Direct=0,H_TaxEvt=1,ARV34+1&gt;=H_Deemed),MAX(0,ADV35-AHI35)*H_Exit,0)</f>
        <v>0</v>
      </c>
      <c r="AVJ35" s="20" t="n">
        <f aca="false">IF(AND(H_Direct=0,H_TaxEvt=1,ARW34+1&gt;=H_Deemed),MAX(0,ADW35-AHJ35)*H_Exit,0)</f>
        <v>0</v>
      </c>
      <c r="AVK35" s="20" t="n">
        <f aca="false">IF(AND(H_Direct=0,H_TaxEvt=1,ARX34+1&gt;=H_Deemed),MAX(0,ADX35-AHK35)*H_Exit,0)</f>
        <v>0</v>
      </c>
      <c r="AVL35" s="20" t="n">
        <f aca="false">IF(AND(H_Direct=0,H_TaxEvt=1,ARY34+1&gt;=H_Deemed),MAX(0,ADY35-AHL35)*H_Exit,0)</f>
        <v>0</v>
      </c>
      <c r="AVM35" s="20" t="n">
        <f aca="false">IF(AND(H_Direct=0,H_TaxEvt=1,ARZ34+1&gt;=H_Deemed),MAX(0,ADZ35-AHM35)*H_Exit,0)</f>
        <v>0</v>
      </c>
      <c r="AVN35" s="20" t="n">
        <f aca="false">IF(AND(H_Direct=0,H_TaxEvt=1,ASA34+1&gt;=H_Deemed),MAX(0,AEA35-AHN35)*H_Exit,0)</f>
        <v>0</v>
      </c>
      <c r="AVO35" s="20" t="n">
        <f aca="false">IF(AND(H_Direct=0,H_TaxEvt=1,ASB34+1&gt;=H_Deemed),MAX(0,AEB35-AHO35)*H_Exit,0)</f>
        <v>0</v>
      </c>
      <c r="AVP35" s="20" t="n">
        <f aca="false">IF(AND(H_Direct=0,H_TaxEvt=1,ASC34+1&gt;=H_Deemed),MAX(0,AEC35-AHP35)*H_Exit,0)</f>
        <v>0</v>
      </c>
      <c r="AVQ35" s="20" t="n">
        <f aca="false">IF(AND(H_Direct=0,H_TaxEvt=1,ASD34+1&gt;=H_Deemed),MAX(0,AED35-AHQ35)*H_Exit,0)</f>
        <v>0</v>
      </c>
      <c r="AVR35" s="20" t="n">
        <f aca="false">IF(AND(H_Direct=0,H_TaxEvt=1,ASE34+1&gt;=H_Deemed),MAX(0,AEE35-AHR35)*H_Exit,0)</f>
        <v>153.158800816197</v>
      </c>
      <c r="AVS35" s="20" t="n">
        <f aca="false">IF(AND(H_Direct=0,H_TaxEvt=1,ASF34+1&gt;=H_Deemed),MAX(0,AEF35-AHS35)*H_Exit,0)</f>
        <v>0</v>
      </c>
      <c r="AVT35" s="20" t="n">
        <f aca="false">IF(AND(H_Direct=0,H_TaxEvt=1,ASG34+1&gt;=H_Deemed),MAX(0,AEG35-AHT35)*H_Exit,0)</f>
        <v>0</v>
      </c>
      <c r="AVU35" s="20" t="n">
        <f aca="false">IF(AND(H_Direct=0,H_TaxEvt=1,ASH34+1&gt;=H_Deemed),MAX(0,AEH35-AHU35)*H_Exit,0)</f>
        <v>0</v>
      </c>
      <c r="AVV35" s="20" t="n">
        <f aca="false">IF(AND(H_Direct=0,H_TaxEvt=1,ASI34+1&gt;=H_Deemed),MAX(0,AEI35-AHV35)*H_Exit,0)</f>
        <v>0</v>
      </c>
      <c r="AVW35" s="20" t="n">
        <f aca="false">IF(AND(H_Direct=0,H_TaxEvt=1,ASJ34+1&gt;=H_Deemed),MAX(0,AEJ35-AHW35)*H_Exit,0)</f>
        <v>0</v>
      </c>
      <c r="AVX35" s="20" t="n">
        <f aca="false">IF(AND(H_Direct=0,H_TaxEvt=1,ASK34+1&gt;=H_Deemed),MAX(0,AEK35-AHX35)*H_Exit,0)</f>
        <v>0</v>
      </c>
      <c r="AVY35" s="20" t="n">
        <f aca="false">IF(AND(H_Direct=0,H_TaxEvt=1,ASL34+1&gt;=H_Deemed),MAX(0,AEL35-AHY35)*H_Exit,0)</f>
        <v>0</v>
      </c>
      <c r="AVZ35" s="20" t="n">
        <f aca="false">IF(AND(H_Direct=0,H_TaxEvt=1,ASM34+1&gt;=H_Deemed),MAX(0,AEM35-AHZ35)*H_Exit,0)</f>
        <v>499.478889267394</v>
      </c>
      <c r="AWA35" s="20" t="n">
        <f aca="false">IF(AND(H_Direct=0,H_TaxEvt=1,ASN34+1&gt;=H_Deemed),MAX(0,AEN35-AIA35)*H_Exit,0)</f>
        <v>0</v>
      </c>
      <c r="AWB35" s="20" t="n">
        <f aca="false">IF(AND(H_Direct=0,H_TaxEvt=1,ASO34+1&gt;=H_Deemed),MAX(0,AEO35-AIB35)*H_Exit,0)</f>
        <v>0</v>
      </c>
      <c r="AWC35" s="20" t="n">
        <f aca="false">IF(AND(H_Direct=0,H_TaxEvt=1,ASP34+1&gt;=H_Deemed),MAX(0,AEP35-AIC35)*H_Exit,0)</f>
        <v>0</v>
      </c>
      <c r="AWD35" s="20" t="n">
        <f aca="false">IF(AND(H_Direct=0,H_TaxEvt=1,ASQ34+1&gt;=H_Deemed),MAX(0,AEQ35-AID35)*H_Exit,0)</f>
        <v>0</v>
      </c>
      <c r="AWE35" s="20" t="n">
        <f aca="false">IF(AND(H_Direct=0,H_TaxEvt=1,ASR34+1&gt;=H_Deemed),MAX(0,AER35-AIE35)*H_Exit,0)</f>
        <v>0</v>
      </c>
      <c r="AWF35" s="20" t="n">
        <f aca="false">IF(AND(H_Direct=0,H_TaxEvt=1,ASS34+1&gt;=H_Deemed),MAX(0,AES35-AIF35)*H_Exit,0)</f>
        <v>0</v>
      </c>
      <c r="AWG35" s="20" t="n">
        <f aca="false">IF(AND(H_Direct=0,H_TaxEvt=1,0+1&gt;=H_Deemed),MAX(0,AET35-AIG35)*H_Exit,0)</f>
        <v>0</v>
      </c>
      <c r="AWH35" s="20" t="n">
        <v>0</v>
      </c>
      <c r="AWI35" s="20" t="n">
        <v>0</v>
      </c>
      <c r="AWJ35" s="20" t="n">
        <v>0</v>
      </c>
      <c r="AWK35" s="20" t="n">
        <v>0</v>
      </c>
      <c r="AWL35" s="20" t="n">
        <v>0</v>
      </c>
      <c r="AWM35" s="20" t="n">
        <v>0</v>
      </c>
      <c r="AWN35" s="20" t="n">
        <v>0</v>
      </c>
      <c r="AWO35" s="20" t="n">
        <v>0</v>
      </c>
      <c r="AWP35" s="20" t="n">
        <v>0</v>
      </c>
      <c r="AWQ35" s="20" t="n">
        <v>0</v>
      </c>
      <c r="AWR35" s="20" t="n">
        <v>0</v>
      </c>
      <c r="AWS35" s="20" t="n">
        <v>0</v>
      </c>
      <c r="AWT35" s="20" t="n">
        <v>0</v>
      </c>
      <c r="AWU35" s="20" t="n">
        <v>0</v>
      </c>
      <c r="AWV35" s="20" t="n">
        <v>0</v>
      </c>
      <c r="AWW35" s="20" t="n">
        <v>0</v>
      </c>
      <c r="AWX35" s="20" t="n">
        <v>0</v>
      </c>
      <c r="AWY35" s="20" t="n">
        <v>0</v>
      </c>
      <c r="AWZ35" s="20" t="n">
        <v>0</v>
      </c>
      <c r="AXA35" s="20" t="n">
        <v>0</v>
      </c>
      <c r="AXB35" s="20" t="n">
        <v>0</v>
      </c>
      <c r="AXC35" s="20" t="n">
        <v>0</v>
      </c>
      <c r="AXD35" s="20" t="n">
        <v>0</v>
      </c>
      <c r="AXE35" s="20" t="n">
        <v>0</v>
      </c>
      <c r="AXF35" s="20" t="n">
        <v>0</v>
      </c>
      <c r="AXG35" s="20" t="n">
        <v>0</v>
      </c>
      <c r="AXH35" s="20" t="n">
        <v>0</v>
      </c>
      <c r="AXI35" s="20" t="n">
        <v>0</v>
      </c>
      <c r="AXJ35" s="20" t="n">
        <v>0</v>
      </c>
      <c r="AXK35" s="20" t="n">
        <v>0</v>
      </c>
      <c r="AXL35" s="20" t="n">
        <v>0</v>
      </c>
      <c r="AXM35" s="20" t="n">
        <v>0</v>
      </c>
      <c r="AXN35" s="20" t="n">
        <v>0</v>
      </c>
      <c r="AXO35" s="20" t="n">
        <v>0</v>
      </c>
      <c r="AXP35" s="20" t="n">
        <v>0</v>
      </c>
      <c r="AXQ35" s="20" t="n">
        <v>0</v>
      </c>
      <c r="AXR35" s="20" t="n">
        <v>0</v>
      </c>
      <c r="AXS35" s="20" t="n">
        <v>0</v>
      </c>
      <c r="AXT35" s="20" t="n">
        <v>0</v>
      </c>
      <c r="AXU35" s="20" t="n">
        <v>0</v>
      </c>
      <c r="AXV35" s="20" t="n">
        <v>0</v>
      </c>
      <c r="AXW35" s="20" t="n">
        <v>0</v>
      </c>
      <c r="AXX35" s="20" t="n">
        <v>0</v>
      </c>
      <c r="AXY35" s="20" t="n">
        <v>0</v>
      </c>
      <c r="AXZ35" s="20" t="n">
        <v>0</v>
      </c>
      <c r="AYA35" s="20" t="n">
        <v>0</v>
      </c>
      <c r="AYB35" s="20" t="n">
        <v>0</v>
      </c>
      <c r="AYC35" s="20" t="n">
        <v>0</v>
      </c>
      <c r="AYD35" s="20" t="n">
        <v>0</v>
      </c>
      <c r="AYE35" s="20" t="n">
        <v>0</v>
      </c>
      <c r="AYF35" s="20" t="n">
        <v>0</v>
      </c>
      <c r="AYG35" s="20" t="n">
        <v>0</v>
      </c>
      <c r="AYH35" s="20" t="n">
        <v>0</v>
      </c>
      <c r="AYI35" s="20" t="n">
        <v>0</v>
      </c>
      <c r="AYJ35" s="20" t="n">
        <v>0</v>
      </c>
      <c r="AYK35" s="20" t="n">
        <v>0</v>
      </c>
      <c r="AYL35" s="20" t="n">
        <v>0</v>
      </c>
      <c r="AYM35" s="20" t="n">
        <v>0</v>
      </c>
      <c r="AYN35" s="20" t="n">
        <v>0</v>
      </c>
      <c r="AYO35" s="20" t="n">
        <v>0</v>
      </c>
      <c r="AYP35" s="20" t="n">
        <v>0</v>
      </c>
      <c r="AYQ35" s="20" t="n">
        <v>0</v>
      </c>
    </row>
    <row r="36" customFormat="false" ht="15" hidden="false" customHeight="false" outlineLevel="0" collapsed="false">
      <c r="B36" s="20" t="n">
        <v>28</v>
      </c>
      <c r="C36" s="20" t="n">
        <f aca="false">'Plan cashflow'!C36</f>
        <v>1</v>
      </c>
      <c r="D36" s="20" t="n">
        <f aca="false">'Plan cashflow'!D36</f>
        <v>66</v>
      </c>
      <c r="E36" s="20" t="n">
        <f aca="false">AS_Year0+28</f>
        <v>2054</v>
      </c>
      <c r="F36" s="50" t="n">
        <f aca="false">'Plan cashflow'!F36</f>
        <v>1.74102420617393</v>
      </c>
      <c r="G36" s="59" t="n">
        <f aca="true">IF(MAX(TODAY(),DATE(E36,1,1))&gt;=H_CGTfrom,H_CGT1,H_CGT0)</f>
        <v>0.31</v>
      </c>
      <c r="H36" s="20" t="n">
        <f aca="false">H_Exempt*H_Persons</f>
        <v>1270</v>
      </c>
      <c r="I36" s="20" t="n">
        <f aca="false">AX35</f>
        <v>0</v>
      </c>
      <c r="J36" s="60" t="n">
        <f aca="false">BF35</f>
        <v>84258.3264231057</v>
      </c>
      <c r="K36" s="60" t="n">
        <f aca="false">BG35</f>
        <v>0</v>
      </c>
      <c r="L36" s="20" t="n">
        <f aca="false">IF(AND(In_polLump&gt;0,In_polLumpAge&gt;0,D36=In_polLumpAge),In_polLump,0)</f>
        <v>0</v>
      </c>
      <c r="M36" s="20" t="n">
        <f aca="false">IF(AND(In_homeUse="Yes, I'd downsize",In_downAge&gt;0,D36=In_downAge,OR(In_home="Own outright",In_home="Own with mortgage"),In_homeValue&gt;0),MAX(0,MAX(0,In_homeValue-In_downValue)*F36*0.9-'Plan cashflow'!HR35),0)</f>
        <v>0</v>
      </c>
      <c r="N36" s="20" t="n">
        <f aca="false">'Plan pay &amp; tax'!Y262</f>
        <v>0</v>
      </c>
      <c r="O36" s="20" t="n">
        <f aca="false">L36+M36+(1-H_Sh)*N36</f>
        <v>0</v>
      </c>
      <c r="P36" s="20" t="n">
        <f aca="false">H_Sh*N36</f>
        <v>0</v>
      </c>
      <c r="Q36" s="20" t="n">
        <f aca="false">'Plan cashflow'!UL36</f>
        <v>0</v>
      </c>
      <c r="R36" s="20" t="n">
        <f aca="false">(1-H_Sh)*Q36</f>
        <v>0</v>
      </c>
      <c r="S36" s="20" t="n">
        <f aca="false">H_Sh*Q36</f>
        <v>0</v>
      </c>
      <c r="T36" s="20" t="n">
        <f aca="false">J36+K36+O36</f>
        <v>84258.3264231057</v>
      </c>
      <c r="U36" s="20" t="n">
        <f aca="false">T36+R36</f>
        <v>84258.3264231057</v>
      </c>
      <c r="V36" s="60" t="n">
        <f aca="false">SUM(FE36:IQ36)</f>
        <v>108258.543899559</v>
      </c>
      <c r="W36" s="60" t="n">
        <f aca="false">IF(AJ36&lt;=0,0,IF(AL36&lt;=0,AJ36,AJ36-G36*MAX(0,AL36*AJ36-(AY36+AZ36))))</f>
        <v>0</v>
      </c>
      <c r="X36" s="60" t="n">
        <f aca="false">IF(AR36&lt;=0,0,IF(AT36&lt;=0,AR36,AR36-G36*MAX(0,AT36*AR36-(BA36+BB36))))</f>
        <v>0</v>
      </c>
      <c r="Y36" s="60" t="n">
        <f aca="false">T36+V36-S36+W36+X36</f>
        <v>192516.870322664</v>
      </c>
      <c r="Z36" s="60" t="n">
        <f aca="false">'Plan cashflow'!UK36</f>
        <v>0</v>
      </c>
      <c r="AA36" s="20" t="n">
        <f aca="false">MIN(Z36,U36)</f>
        <v>0</v>
      </c>
      <c r="AB36" s="20" t="n">
        <f aca="false">Z36-AA36</f>
        <v>0</v>
      </c>
      <c r="AC36" s="20" t="n">
        <f aca="false">MIN(AA36,J36+O36+R36)</f>
        <v>0</v>
      </c>
      <c r="AD36" s="20" t="n">
        <f aca="false">AA36-AC36</f>
        <v>0</v>
      </c>
      <c r="AE36" s="20" t="n">
        <f aca="false">J36+O36+R36-AC36</f>
        <v>84258.3264231057</v>
      </c>
      <c r="AF36" s="20" t="n">
        <f aca="false">K36-AD36</f>
        <v>0</v>
      </c>
      <c r="AG36" s="20" t="n">
        <f aca="false">SUM(PR36:TD36)</f>
        <v>0</v>
      </c>
      <c r="AH36" s="20" t="n">
        <f aca="false">SUM(TE36:WQ36)</f>
        <v>0</v>
      </c>
      <c r="AI36" s="20" t="n">
        <f aca="false">MAX(0,AB36-AG36)</f>
        <v>0</v>
      </c>
      <c r="AJ36" s="57" t="n">
        <f aca="false">BI35</f>
        <v>0</v>
      </c>
      <c r="AK36" s="20" t="n">
        <f aca="false">BJ35</f>
        <v>0</v>
      </c>
      <c r="AL36" s="20" t="n">
        <f aca="false">IF(AJ36&gt;0,(AJ36-AK36)/AJ36,0)</f>
        <v>0</v>
      </c>
      <c r="AM36" s="20" t="n">
        <f aca="false">IF(AJ36&lt;=0,0,IF(AL36&lt;=0,MIN(AI36,AJ36),MIN(AI36,AJ36-G36*MAX(0,AL36*AJ36-(AAD36+ADQ36)))))</f>
        <v>0</v>
      </c>
      <c r="AN36" s="20" t="n">
        <f aca="false">IF(AJ36&lt;=0,0,IF(AL36&lt;=0,AM36,IF(AM36&lt;=(AAD36+ADQ36)/AL36,AM36,(AM36-G36*(AAD36+ADQ36))/(1-G36*AL36))))</f>
        <v>0</v>
      </c>
      <c r="AO36" s="20" t="n">
        <f aca="false">IF(AL36&gt;0,MAX(0,AAD36-(MIN(AL36*AN36,(AAD36+ADQ36))-MIN(MIN(AL36*AN36,(AAD36+ADQ36)),ADQ36))),AAD36)</f>
        <v>1270</v>
      </c>
      <c r="AP36" s="20" t="n">
        <f aca="false">IF(AL36&lt;=0,ADQ36-AL36*AN36,ADQ36-MIN(MIN(AL36*AN36,(AAD36+ADQ36)),ADQ36))</f>
        <v>0</v>
      </c>
      <c r="AQ36" s="20" t="n">
        <f aca="false">MAX(0,AI36-AM36)</f>
        <v>0</v>
      </c>
      <c r="AR36" s="57" t="n">
        <f aca="false">BK35</f>
        <v>0</v>
      </c>
      <c r="AS36" s="20" t="n">
        <f aca="false">BL35</f>
        <v>0</v>
      </c>
      <c r="AT36" s="20" t="n">
        <f aca="false">IF(AR36&gt;0,(AR36-AS36)/AR36,0)</f>
        <v>0</v>
      </c>
      <c r="AU36" s="20" t="n">
        <f aca="false">IF(AR36&lt;=0,0,IF(AT36&lt;=0,MIN(AQ36,AR36),MIN(AQ36,AR36-G36*MAX(0,AT36*AR36-(AO36+AP36)))))</f>
        <v>0</v>
      </c>
      <c r="AV36" s="20" t="n">
        <f aca="false">IF(AR36&lt;=0,0,IF(AT36&lt;=0,AU36,IF(AU36&lt;=(AO36+AP36)/AT36,AU36,(AU36-G36*(AO36+AP36))/(1-G36*AT36))))</f>
        <v>0</v>
      </c>
      <c r="AW36" s="20" t="n">
        <f aca="false">IF(AT36&gt;0,MAX(0,AO36-(MIN(AT36*AV36,(AO36+AP36))-MIN(MIN(AT36*AV36,(AO36+AP36)),AP36))),AO36)</f>
        <v>1270</v>
      </c>
      <c r="AX36" s="20" t="n">
        <f aca="false">IF(AT36&lt;=0,AP36-AT36*AV36,AP36-MIN(MIN(AT36*AV36,(AO36+AP36)),AP36))</f>
        <v>0</v>
      </c>
      <c r="AY36" s="20" t="n">
        <f aca="false">MD36</f>
        <v>1270</v>
      </c>
      <c r="AZ36" s="20" t="n">
        <f aca="false">PQ36</f>
        <v>0</v>
      </c>
      <c r="BA36" s="20" t="n">
        <f aca="false">IF(AL36&gt;0,MAX(0,AY36-(MIN(AL36*AJ36,AY36+AZ36)-MIN(MIN(AL36*AJ36,AY36+AZ36),AZ36))),AY36)</f>
        <v>1270</v>
      </c>
      <c r="BB36" s="20" t="n">
        <f aca="false">IF(AL36&lt;=0,AZ36-AL36*AJ36,AZ36-MIN(MIN(AL36*AJ36,AY36+AZ36),AZ36))</f>
        <v>0</v>
      </c>
      <c r="BC36" s="20" t="n">
        <f aca="false">'Plan cashflow'!UM36</f>
        <v>4323.64424572961</v>
      </c>
      <c r="BD36" s="20" t="n">
        <f aca="false">(1-H_Sh)*BC36</f>
        <v>2594.18654743776</v>
      </c>
      <c r="BE36" s="20" t="n">
        <f aca="false">H_Sh*BC36</f>
        <v>1729.45769829184</v>
      </c>
      <c r="BF36" s="60" t="n">
        <f aca="false">(AE36+BD36)*(1+AS_Cash)</f>
        <v>87721.0381002489</v>
      </c>
      <c r="BG36" s="60" t="n">
        <f aca="false">AF36*(1+AS_Cash)</f>
        <v>0</v>
      </c>
      <c r="BH36" s="60" t="n">
        <f aca="false">SUM(AKR36:AOD36)</f>
        <v>119004.701864758</v>
      </c>
      <c r="BI36" s="60" t="n">
        <f aca="false">(AJ36-AN36)*(1+AS_Infl)</f>
        <v>0</v>
      </c>
      <c r="BJ36" s="20" t="n">
        <f aca="false">IF(AJ36&gt;0,AK36-AK36*AN36/AJ36,0)</f>
        <v>0</v>
      </c>
      <c r="BK36" s="60" t="n">
        <f aca="false">(AR36-AV36)*(1+BQ36)</f>
        <v>0</v>
      </c>
      <c r="BL36" s="20" t="n">
        <f aca="false">IF(AR36&gt;0,AS36-AS36*AV36/AR36,0)</f>
        <v>0</v>
      </c>
      <c r="BM36" s="60" t="n">
        <f aca="false">BF36+BG36+BH36+BI36+BK36</f>
        <v>206725.739965007</v>
      </c>
      <c r="BN36" s="60" t="n">
        <f aca="false">(AH36-AG36)+(AN36-AM36)+(AV36-AU36)</f>
        <v>0</v>
      </c>
      <c r="BO36" s="20" t="n">
        <f aca="false">(AE36+BD36+AF36+MAX(0,'Plan cashflow'!QH36)+IF(Slot1_Rate=AS_Cash,'Plan cashflow'!QM36/(1+AS_Cash),0)+IF(Slot2_Rate=AS_Cash,'Plan cashflow'!QQ36/(1+AS_Cash),0)+IF(Slot3_Rate=AS_Cash,'Plan cashflow'!QU36/(1+AS_Cash),0)+IF(Slot4_Rate=AS_Cash,'Plan cashflow'!QY36/(1+AS_Cash),0)+IF(Slot5_Rate=AS_Cash,'Plan cashflow'!RC36/(1+AS_Cash),0)+IF(Slot6_Rate=AS_Cash,'Plan cashflow'!RG36/(1+AS_Cash),0)+IF(Slot7_Rate=AS_Cash,'Plan cashflow'!RK36/(1+AS_Cash),0)+IF(Slot8_Rate=AS_Cash,'Plan cashflow'!RO36/(1+AS_Cash),0)+IF(Slot9_Rate=AS_Cash,'Plan cashflow'!RS36/(1+AS_Cash),0)+IF(Slot10_Rate=AS_Cash,'Plan cashflow'!RW36/(1+AS_Cash),0)+IF(Slot11_Rate=AS_Cash,'Plan cashflow'!SA36/(1+AS_Cash),0)+IF(Slot12_Rate=AS_Cash,'Plan cashflow'!SE36/(1+AS_Cash),0)+IF(Slot13_Rate=AS_Cash,'Plan cashflow'!SI36/(1+AS_Cash),0)+IF(Slot14_Rate=AS_Cash,'Plan cashflow'!SM36/(1+AS_Cash),0)+IF(Slot15_Rate=AS_Cash,'Plan cashflow'!SQ36/(1+AS_Cash),0)+IF(Slot16_Rate=AS_Cash,'Plan cashflow'!SU36/(1+AS_Cash),0)+IF(Slot17_Rate=AS_Cash,'Plan cashflow'!SY36/(1+AS_Cash),0)+IF(Slot18_Rate=AS_Cash,'Plan cashflow'!TC36/(1+AS_Cash),0)+IF(Slot19_Rate=AS_Cash,'Plan cashflow'!TG36/(1+AS_Cash),0)+IF(Slot20_Rate=AS_Cash,'Plan cashflow'!TK36/(1+AS_Cash),0))*AS_Cash*H_DIRT/(1-H_DIRT)</f>
        <v>500.371174532959</v>
      </c>
      <c r="BP36" s="60" t="n">
        <f aca="false">SUM(AVE36:AYQ36)</f>
        <v>688.585463525108</v>
      </c>
      <c r="BQ36" s="54" t="n">
        <f aca="false">IF(H_TaxEvt=1,H_InvG,AS_Inv)</f>
        <v>0.04</v>
      </c>
      <c r="BR36" s="20" t="n">
        <f aca="false">IF(AKR35&gt;0,(AKR35-AOE35)/AKR35,0)</f>
        <v>0</v>
      </c>
      <c r="BS36" s="20" t="n">
        <f aca="false">IF(AKS35&gt;0,(AKS35-AOF35)/AKS35,0)</f>
        <v>0</v>
      </c>
      <c r="BT36" s="20" t="n">
        <f aca="false">IF(AKT35&gt;0,(AKT35-AOG35)/AKT35,0)</f>
        <v>0</v>
      </c>
      <c r="BU36" s="20" t="n">
        <f aca="false">IF(AKU35&gt;0,(AKU35-AOH35)/AKU35,0)</f>
        <v>0</v>
      </c>
      <c r="BV36" s="20" t="n">
        <f aca="false">IF(AKV35&gt;0,(AKV35-AOI35)/AKV35,0)</f>
        <v>0</v>
      </c>
      <c r="BW36" s="20" t="n">
        <f aca="false">IF(AKW35&gt;0,(AKW35-AOJ35)/AKW35,0)</f>
        <v>0</v>
      </c>
      <c r="BX36" s="20" t="n">
        <f aca="false">IF(AKX35&gt;0,(AKX35-AOK35)/AKX35,0)</f>
        <v>0</v>
      </c>
      <c r="BY36" s="20" t="n">
        <f aca="false">IF(AKY35&gt;0,(AKY35-AOL35)/AKY35,0)</f>
        <v>0</v>
      </c>
      <c r="BZ36" s="20" t="n">
        <f aca="false">IF(AKZ35&gt;0,(AKZ35-AOM35)/AKZ35,0)</f>
        <v>0</v>
      </c>
      <c r="CA36" s="20" t="n">
        <f aca="false">IF(ALA35&gt;0,(ALA35-AON35)/ALA35,0)</f>
        <v>0</v>
      </c>
      <c r="CB36" s="20" t="n">
        <f aca="false">IF(ALB35&gt;0,(ALB35-AOO35)/ALB35,0)</f>
        <v>0</v>
      </c>
      <c r="CC36" s="20" t="n">
        <f aca="false">IF(ALC35&gt;0,(ALC35-AOP35)/ALC35,0)</f>
        <v>0.0754437869822486</v>
      </c>
      <c r="CD36" s="20" t="n">
        <f aca="false">IF(ALD35&gt;0,(ALD35-AOQ35)/ALD35,0)</f>
        <v>0.0384615384615386</v>
      </c>
      <c r="CE36" s="20" t="n">
        <f aca="false">IF(ALE35&gt;0,(ALE35-AOR35)/ALE35,0)</f>
        <v>0</v>
      </c>
      <c r="CF36" s="20" t="n">
        <f aca="false">IF(ALF35&gt;0,(ALF35-AOS35)/ALF35,0)</f>
        <v>0.240082186797937</v>
      </c>
      <c r="CG36" s="20" t="n">
        <f aca="false">IF(ALG35&gt;0,(ALG35-AOT35)/ALG35,0)</f>
        <v>0.209685474269854</v>
      </c>
      <c r="CH36" s="20" t="n">
        <f aca="false">IF(ALH35&gt;0,(ALH35-AOU35)/ALH35,0)</f>
        <v>0.178072893240648</v>
      </c>
      <c r="CI36" s="20" t="n">
        <f aca="false">IF(ALI35&gt;0,(ALI35-AOV35)/ALI35,0)</f>
        <v>0.145195808970274</v>
      </c>
      <c r="CJ36" s="20" t="n">
        <f aca="false">IF(ALJ35&gt;0,(ALJ35-AOW35)/ALJ35,0)</f>
        <v>0.111003641329085</v>
      </c>
      <c r="CK36" s="20" t="n">
        <f aca="false">IF(ALK35&gt;0,(ALK35-AOX35)/ALK35,0)</f>
        <v>0.0754437869822487</v>
      </c>
      <c r="CL36" s="20" t="n">
        <f aca="false">IF(ALL35&gt;0,(ALL35-AOY35)/ALL35,0)</f>
        <v>0.0384615384615385</v>
      </c>
      <c r="CM36" s="20" t="n">
        <f aca="false">IF(ALM35&gt;0,(ALM35-AOZ35)/ALM35,0)</f>
        <v>0</v>
      </c>
      <c r="CN36" s="20" t="n">
        <f aca="false">IF(ALN35&gt;0,(ALN35-APA35)/ALN35,0)</f>
        <v>0.240082186797937</v>
      </c>
      <c r="CO36" s="20" t="n">
        <f aca="false">IF(ALO35&gt;0,(ALO35-APB35)/ALO35,0)</f>
        <v>0.209685474269854</v>
      </c>
      <c r="CP36" s="20" t="n">
        <f aca="false">IF(ALP35&gt;0,(ALP35-APC35)/ALP35,0)</f>
        <v>0.178072893240648</v>
      </c>
      <c r="CQ36" s="20" t="n">
        <f aca="false">IF(ALQ35&gt;0,(ALQ35-APD35)/ALQ35,0)</f>
        <v>0.145195808970274</v>
      </c>
      <c r="CR36" s="20" t="n">
        <f aca="false">IF(ALR35&gt;0,(ALR35-APE35)/ALR35,0)</f>
        <v>0.111003641329085</v>
      </c>
      <c r="CS36" s="20" t="n">
        <f aca="false">IF(ALS35&gt;0,(ALS35-APF35)/ALS35,0)</f>
        <v>0</v>
      </c>
      <c r="CT36" s="20" t="n">
        <f aca="false">IF(ALT35&gt;0,(ALT35-APG35)/ALT35,0)</f>
        <v>0</v>
      </c>
      <c r="CU36" s="20" t="n">
        <f aca="false">IF((P36+S36)&gt;0,((P36+S36)-(P36+S36))/(P36+S36),0)</f>
        <v>0</v>
      </c>
      <c r="CV36" s="20" t="n">
        <v>0</v>
      </c>
      <c r="CW36" s="20" t="n">
        <v>0</v>
      </c>
      <c r="CX36" s="20" t="n">
        <v>0</v>
      </c>
      <c r="CY36" s="20" t="n">
        <v>0</v>
      </c>
      <c r="CZ36" s="20" t="n">
        <v>0</v>
      </c>
      <c r="DA36" s="20" t="n">
        <v>0</v>
      </c>
      <c r="DB36" s="20" t="n">
        <v>0</v>
      </c>
      <c r="DC36" s="20" t="n">
        <v>0</v>
      </c>
      <c r="DD36" s="20" t="n">
        <v>0</v>
      </c>
      <c r="DE36" s="20" t="n">
        <v>0</v>
      </c>
      <c r="DF36" s="20" t="n">
        <v>0</v>
      </c>
      <c r="DG36" s="20" t="n">
        <v>0</v>
      </c>
      <c r="DH36" s="20" t="n">
        <v>0</v>
      </c>
      <c r="DI36" s="20" t="n">
        <v>0</v>
      </c>
      <c r="DJ36" s="20" t="n">
        <v>0</v>
      </c>
      <c r="DK36" s="20" t="n">
        <v>0</v>
      </c>
      <c r="DL36" s="20" t="n">
        <v>0</v>
      </c>
      <c r="DM36" s="20" t="n">
        <v>0</v>
      </c>
      <c r="DN36" s="20" t="n">
        <v>0</v>
      </c>
      <c r="DO36" s="20" t="n">
        <v>0</v>
      </c>
      <c r="DP36" s="20" t="n">
        <v>0</v>
      </c>
      <c r="DQ36" s="20" t="n">
        <v>0</v>
      </c>
      <c r="DR36" s="20" t="n">
        <v>0</v>
      </c>
      <c r="DS36" s="20" t="n">
        <v>0</v>
      </c>
      <c r="DT36" s="20" t="n">
        <v>0</v>
      </c>
      <c r="DU36" s="20" t="n">
        <v>0</v>
      </c>
      <c r="DV36" s="20" t="n">
        <v>0</v>
      </c>
      <c r="DW36" s="20" t="n">
        <v>0</v>
      </c>
      <c r="DX36" s="20" t="n">
        <v>0</v>
      </c>
      <c r="DY36" s="20" t="n">
        <v>0</v>
      </c>
      <c r="DZ36" s="20" t="n">
        <v>0</v>
      </c>
      <c r="EA36" s="20" t="n">
        <v>0</v>
      </c>
      <c r="EB36" s="20" t="n">
        <v>0</v>
      </c>
      <c r="EC36" s="20" t="n">
        <v>0</v>
      </c>
      <c r="ED36" s="20" t="n">
        <v>0</v>
      </c>
      <c r="EE36" s="20" t="n">
        <v>0</v>
      </c>
      <c r="EF36" s="20" t="n">
        <v>0</v>
      </c>
      <c r="EG36" s="20" t="n">
        <v>0</v>
      </c>
      <c r="EH36" s="20" t="n">
        <v>0</v>
      </c>
      <c r="EI36" s="20" t="n">
        <v>0</v>
      </c>
      <c r="EJ36" s="20" t="n">
        <v>0</v>
      </c>
      <c r="EK36" s="20" t="n">
        <v>0</v>
      </c>
      <c r="EL36" s="20" t="n">
        <v>0</v>
      </c>
      <c r="EM36" s="20" t="n">
        <v>0</v>
      </c>
      <c r="EN36" s="20" t="n">
        <v>0</v>
      </c>
      <c r="EO36" s="20" t="n">
        <v>0</v>
      </c>
      <c r="EP36" s="20" t="n">
        <v>0</v>
      </c>
      <c r="EQ36" s="20" t="n">
        <v>0</v>
      </c>
      <c r="ER36" s="20" t="n">
        <v>0</v>
      </c>
      <c r="ES36" s="20" t="n">
        <v>0</v>
      </c>
      <c r="ET36" s="20" t="n">
        <v>0</v>
      </c>
      <c r="EU36" s="20" t="n">
        <v>0</v>
      </c>
      <c r="EV36" s="20" t="n">
        <v>0</v>
      </c>
      <c r="EW36" s="20" t="n">
        <v>0</v>
      </c>
      <c r="EX36" s="20" t="n">
        <v>0</v>
      </c>
      <c r="EY36" s="20" t="n">
        <v>0</v>
      </c>
      <c r="EZ36" s="20" t="n">
        <v>0</v>
      </c>
      <c r="FA36" s="20" t="n">
        <v>0</v>
      </c>
      <c r="FB36" s="20" t="n">
        <v>0</v>
      </c>
      <c r="FC36" s="20" t="n">
        <v>0</v>
      </c>
      <c r="FD36" s="20" t="n">
        <v>0</v>
      </c>
      <c r="FE36" s="20" t="n">
        <f aca="false">IF(H_Direct=1,IF(AKR35&lt;=0,0,IF(BR36&lt;=0,AKR35,AKR35-G36*MAX(0,BR36*AKR35-(H36+I36)))),AKR35*(1-MAX(0,BR36)*H_Exit))</f>
        <v>0</v>
      </c>
      <c r="FF36" s="20" t="n">
        <f aca="false">IF(H_Direct=1,IF(AKS35&lt;=0,0,IF(BS36&lt;=0,AKS35,AKS35-G36*MAX(0,BS36*AKS35-(IR36+ME36)))),AKS35*(1-MAX(0,BS36)*H_Exit))</f>
        <v>0</v>
      </c>
      <c r="FG36" s="20" t="n">
        <f aca="false">IF(H_Direct=1,IF(AKT35&lt;=0,0,IF(BT36&lt;=0,AKT35,AKT35-G36*MAX(0,BT36*AKT35-(IS36+MF36)))),AKT35*(1-MAX(0,BT36)*H_Exit))</f>
        <v>0</v>
      </c>
      <c r="FH36" s="20" t="n">
        <f aca="false">IF(H_Direct=1,IF(AKU35&lt;=0,0,IF(BU36&lt;=0,AKU35,AKU35-G36*MAX(0,BU36*AKU35-(IT36+MG36)))),AKU35*(1-MAX(0,BU36)*H_Exit))</f>
        <v>0</v>
      </c>
      <c r="FI36" s="20" t="n">
        <f aca="false">IF(H_Direct=1,IF(AKV35&lt;=0,0,IF(BV36&lt;=0,AKV35,AKV35-G36*MAX(0,BV36*AKV35-(IU36+MH36)))),AKV35*(1-MAX(0,BV36)*H_Exit))</f>
        <v>0</v>
      </c>
      <c r="FJ36" s="20" t="n">
        <f aca="false">IF(H_Direct=1,IF(AKW35&lt;=0,0,IF(BW36&lt;=0,AKW35,AKW35-G36*MAX(0,BW36*AKW35-(IV36+MI36)))),AKW35*(1-MAX(0,BW36)*H_Exit))</f>
        <v>0</v>
      </c>
      <c r="FK36" s="20" t="n">
        <f aca="false">IF(H_Direct=1,IF(AKX35&lt;=0,0,IF(BX36&lt;=0,AKX35,AKX35-G36*MAX(0,BX36*AKX35-(IW36+MJ36)))),AKX35*(1-MAX(0,BX36)*H_Exit))</f>
        <v>0</v>
      </c>
      <c r="FL36" s="20" t="n">
        <f aca="false">IF(H_Direct=1,IF(AKY35&lt;=0,0,IF(BY36&lt;=0,AKY35,AKY35-G36*MAX(0,BY36*AKY35-(IX36+MK36)))),AKY35*(1-MAX(0,BY36)*H_Exit))</f>
        <v>0</v>
      </c>
      <c r="FM36" s="20" t="n">
        <f aca="false">IF(H_Direct=1,IF(AKZ35&lt;=0,0,IF(BZ36&lt;=0,AKZ35,AKZ35-G36*MAX(0,BZ36*AKZ35-(IY36+ML36)))),AKZ35*(1-MAX(0,BZ36)*H_Exit))</f>
        <v>0</v>
      </c>
      <c r="FN36" s="20" t="n">
        <f aca="false">IF(H_Direct=1,IF(ALA35&lt;=0,0,IF(CA36&lt;=0,ALA35,ALA35-G36*MAX(0,CA36*ALA35-(IZ36+MM36)))),ALA35*(1-MAX(0,CA36)*H_Exit))</f>
        <v>0</v>
      </c>
      <c r="FO36" s="20" t="n">
        <f aca="false">IF(H_Direct=1,IF(ALB35&lt;=0,0,IF(CB36&lt;=0,ALB35,ALB35-G36*MAX(0,CB36*ALB35-(JA36+MN36)))),ALB35*(1-MAX(0,CB36)*H_Exit))</f>
        <v>0</v>
      </c>
      <c r="FP36" s="20" t="n">
        <f aca="false">IF(H_Direct=1,IF(ALC35&lt;=0,0,IF(CC36&lt;=0,ALC35,ALC35-G36*MAX(0,CC36*ALC35-(JB36+MO36)))),ALC35*(1-MAX(0,CC36)*H_Exit))</f>
        <v>866.810589187528</v>
      </c>
      <c r="FQ36" s="20" t="n">
        <f aca="false">IF(H_Direct=1,IF(ALD35&lt;=0,0,IF(CD36&lt;=0,ALD35,ALD35-G36*MAX(0,CD36*ALD35-(JC36+MP36)))),ALD35*(1-MAX(0,CD36)*H_Exit))</f>
        <v>1106.19637327389</v>
      </c>
      <c r="FR36" s="20" t="n">
        <f aca="false">IF(H_Direct=1,IF(ALE35&lt;=0,0,IF(CE36&lt;=0,ALE35,ALE35-G36*MAX(0,CE36*ALE35-(JD36+MQ36)))),ALE35*(1-MAX(0,CE36)*H_Exit))</f>
        <v>1343.44282050643</v>
      </c>
      <c r="FS36" s="20" t="n">
        <f aca="false">IF(H_Direct=1,IF(ALF35&lt;=0,0,IF(CF36&lt;=0,ALF35,ALF35-G36*MAX(0,CF36*ALF35-(JE36+MR36)))),ALF35*(1-MAX(0,CF36)*H_Exit))</f>
        <v>1529.40007261445</v>
      </c>
      <c r="FT36" s="20" t="n">
        <f aca="false">IF(H_Direct=1,IF(ALG35&lt;=0,0,IF(CG36&lt;=0,ALG35,ALG35-G36*MAX(0,CG36*ALG35-(JF36+MS36)))),ALG35*(1-MAX(0,CG36)*H_Exit))</f>
        <v>1489.53134517555</v>
      </c>
      <c r="FU36" s="20" t="n">
        <f aca="false">IF(H_Direct=1,IF(ALH35&lt;=0,0,IF(CH36&lt;=0,ALH35,ALH35-G36*MAX(0,CH36*ALH35-(JG36+MT36)))),ALH35*(1-MAX(0,CH36)*H_Exit))</f>
        <v>1450.33491178251</v>
      </c>
      <c r="FV36" s="20" t="n">
        <f aca="false">IF(H_Direct=1,IF(ALI35&lt;=0,0,IF(CI36&lt;=0,ALI35,ALI35-G36*MAX(0,CI36*ALI35-(JH36+MU36)))),ALI35*(1-MAX(0,CI36)*H_Exit))</f>
        <v>1411.77606346893</v>
      </c>
      <c r="FW36" s="20" t="n">
        <f aca="false">IF(H_Direct=1,IF(ALJ35&lt;=0,0,IF(CJ36&lt;=0,ALJ35,ALJ35-G36*MAX(0,CJ36*ALJ35-(JI36+MV36)))),ALJ35*(1-MAX(0,CJ36)*H_Exit))</f>
        <v>4448.12663835367</v>
      </c>
      <c r="FX36" s="20" t="n">
        <f aca="false">IF(H_Direct=1,IF(ALK35&lt;=0,0,IF(CK36&lt;=0,ALK35,ALK35-G36*MAX(0,CK36*ALK35-(JJ36+MW36)))),ALK35*(1-MAX(0,CK36)*H_Exit))</f>
        <v>4424.13237058707</v>
      </c>
      <c r="FY36" s="20" t="n">
        <f aca="false">IF(H_Direct=1,IF(ALL35&lt;=0,0,IF(CL36&lt;=0,ALL35,ALL35-G36*MAX(0,CL36*ALL35-(JK36+MX36)))),ALL35*(1-MAX(0,CL36)*H_Exit))</f>
        <v>4401.83046362926</v>
      </c>
      <c r="FZ36" s="20" t="n">
        <f aca="false">IF(H_Direct=1,IF(ALM35&lt;=0,0,IF(CM36&lt;=0,ALM35,ALM35-G36*MAX(0,CM36*ALM35-(JL36+MY36)))),ALM35*(1-MAX(0,CM36)*H_Exit))</f>
        <v>4381.21299073169</v>
      </c>
      <c r="GA36" s="20" t="n">
        <f aca="false">IF(H_Direct=1,IF(ALN35&lt;=0,0,IF(CN36&lt;=0,ALN35,ALN35-G36*MAX(0,CN36*ALN35-(JM36+MZ36)))),ALN35*(1-MAX(0,CN36)*H_Exit))</f>
        <v>4350.12380651127</v>
      </c>
      <c r="GB36" s="20" t="n">
        <f aca="false">IF(H_Direct=1,IF(ALO35&lt;=0,0,IF(CO36&lt;=0,ALO35,ALO35-G36*MAX(0,CO36*ALO35-(JN36+NA36)))),ALO35*(1-MAX(0,CO36)*H_Exit))</f>
        <v>4320.69578945327</v>
      </c>
      <c r="GC36" s="20" t="n">
        <f aca="false">IF(H_Direct=1,IF(ALP35&lt;=0,0,IF(CP36&lt;=0,ALP35,ALP35-G36*MAX(0,CP36*ALP35-(JO36+NB36)))),ALP35*(1-MAX(0,CP36)*H_Exit))</f>
        <v>4292.91826000004</v>
      </c>
      <c r="GD36" s="20" t="n">
        <f aca="false">IF(H_Direct=1,IF(ALQ35&lt;=0,0,IF(CQ36&lt;=0,ALQ35,ALQ35-G36*MAX(0,CQ36*ALQ35-(JP36+NC36)))),ALQ35*(1-MAX(0,CQ36)*H_Exit))</f>
        <v>4266.78116928933</v>
      </c>
      <c r="GE36" s="20" t="n">
        <f aca="false">IF(H_Direct=1,IF(ALR35&lt;=0,0,IF(CR36&lt;=0,ALR35,ALR35-G36*MAX(0,CR36*ALR35-(JQ36+ND36)))),ALR35*(1-MAX(0,CR36)*H_Exit))</f>
        <v>64175.2302349937</v>
      </c>
      <c r="GF36" s="20" t="n">
        <f aca="false">IF(H_Direct=1,IF(ALS35&lt;=0,0,IF(CS36&lt;=0,ALS35,ALS35-G36*MAX(0,CS36*ALS35-(JR36+NE36)))),ALS35*(1-MAX(0,CS36)*H_Exit))</f>
        <v>0</v>
      </c>
      <c r="GG36" s="20" t="n">
        <f aca="false">IF(H_Direct=1,IF(ALT35&lt;=0,0,IF(CT36&lt;=0,ALT35,ALT35-G36*MAX(0,CT36*ALT35-(JS36+NF36)))),ALT35*(1-MAX(0,CT36)*H_Exit))</f>
        <v>0</v>
      </c>
      <c r="GH36" s="20" t="n">
        <f aca="false">IF(H_Direct=1,IF((P36+S36)&lt;=0,0,IF(CU36&lt;=0,(P36+S36),(P36+S36)-G36*MAX(0,CU36*(P36+S36)-(JT36+NG36)))),(P36+S36)*(1-MAX(0,CU36)*H_Exit))</f>
        <v>0</v>
      </c>
      <c r="GI36" s="20" t="n">
        <v>0</v>
      </c>
      <c r="GJ36" s="20" t="n">
        <v>0</v>
      </c>
      <c r="GK36" s="20" t="n">
        <v>0</v>
      </c>
      <c r="GL36" s="20" t="n">
        <v>0</v>
      </c>
      <c r="GM36" s="20" t="n">
        <v>0</v>
      </c>
      <c r="GN36" s="20" t="n">
        <v>0</v>
      </c>
      <c r="GO36" s="20" t="n">
        <v>0</v>
      </c>
      <c r="GP36" s="20" t="n">
        <v>0</v>
      </c>
      <c r="GQ36" s="20" t="n">
        <v>0</v>
      </c>
      <c r="GR36" s="20" t="n">
        <v>0</v>
      </c>
      <c r="GS36" s="20" t="n">
        <v>0</v>
      </c>
      <c r="GT36" s="20" t="n">
        <v>0</v>
      </c>
      <c r="GU36" s="20" t="n">
        <v>0</v>
      </c>
      <c r="GV36" s="20" t="n">
        <v>0</v>
      </c>
      <c r="GW36" s="20" t="n">
        <v>0</v>
      </c>
      <c r="GX36" s="20" t="n">
        <v>0</v>
      </c>
      <c r="GY36" s="20" t="n">
        <v>0</v>
      </c>
      <c r="GZ36" s="20" t="n">
        <v>0</v>
      </c>
      <c r="HA36" s="20" t="n">
        <v>0</v>
      </c>
      <c r="HB36" s="20" t="n">
        <v>0</v>
      </c>
      <c r="HC36" s="20" t="n">
        <v>0</v>
      </c>
      <c r="HD36" s="20" t="n">
        <v>0</v>
      </c>
      <c r="HE36" s="20" t="n">
        <v>0</v>
      </c>
      <c r="HF36" s="20" t="n">
        <v>0</v>
      </c>
      <c r="HG36" s="20" t="n">
        <v>0</v>
      </c>
      <c r="HH36" s="20" t="n">
        <v>0</v>
      </c>
      <c r="HI36" s="20" t="n">
        <v>0</v>
      </c>
      <c r="HJ36" s="20" t="n">
        <v>0</v>
      </c>
      <c r="HK36" s="20" t="n">
        <v>0</v>
      </c>
      <c r="HL36" s="20" t="n">
        <v>0</v>
      </c>
      <c r="HM36" s="20" t="n">
        <v>0</v>
      </c>
      <c r="HN36" s="20" t="n">
        <v>0</v>
      </c>
      <c r="HO36" s="20" t="n">
        <v>0</v>
      </c>
      <c r="HP36" s="20" t="n">
        <v>0</v>
      </c>
      <c r="HQ36" s="20" t="n">
        <v>0</v>
      </c>
      <c r="HR36" s="20" t="n">
        <v>0</v>
      </c>
      <c r="HS36" s="20" t="n">
        <v>0</v>
      </c>
      <c r="HT36" s="20" t="n">
        <v>0</v>
      </c>
      <c r="HU36" s="20" t="n">
        <v>0</v>
      </c>
      <c r="HV36" s="20" t="n">
        <v>0</v>
      </c>
      <c r="HW36" s="20" t="n">
        <v>0</v>
      </c>
      <c r="HX36" s="20" t="n">
        <v>0</v>
      </c>
      <c r="HY36" s="20" t="n">
        <v>0</v>
      </c>
      <c r="HZ36" s="20" t="n">
        <v>0</v>
      </c>
      <c r="IA36" s="20" t="n">
        <v>0</v>
      </c>
      <c r="IB36" s="20" t="n">
        <v>0</v>
      </c>
      <c r="IC36" s="20" t="n">
        <v>0</v>
      </c>
      <c r="ID36" s="20" t="n">
        <v>0</v>
      </c>
      <c r="IE36" s="20" t="n">
        <v>0</v>
      </c>
      <c r="IF36" s="20" t="n">
        <v>0</v>
      </c>
      <c r="IG36" s="20" t="n">
        <v>0</v>
      </c>
      <c r="IH36" s="20" t="n">
        <v>0</v>
      </c>
      <c r="II36" s="20" t="n">
        <v>0</v>
      </c>
      <c r="IJ36" s="20" t="n">
        <v>0</v>
      </c>
      <c r="IK36" s="20" t="n">
        <v>0</v>
      </c>
      <c r="IL36" s="20" t="n">
        <v>0</v>
      </c>
      <c r="IM36" s="20" t="n">
        <v>0</v>
      </c>
      <c r="IN36" s="20" t="n">
        <v>0</v>
      </c>
      <c r="IO36" s="20" t="n">
        <v>0</v>
      </c>
      <c r="IP36" s="20" t="n">
        <v>0</v>
      </c>
      <c r="IQ36" s="20" t="n">
        <v>0</v>
      </c>
      <c r="IR36" s="20" t="n">
        <f aca="false">IF(AND(H_Direct=1,BR36&gt;0),MAX(0,H36-(MIN(BR36*AKR35,H36+I36)-MIN(MIN(BR36*AKR35,H36+I36),I36))),H36)</f>
        <v>1270</v>
      </c>
      <c r="IS36" s="20" t="n">
        <f aca="false">IF(AND(H_Direct=1,BS36&gt;0),MAX(0,IR36-(MIN(BS36*AKS35,IR36+ME36)-MIN(MIN(BS36*AKS35,IR36+ME36),ME36))),IR36)</f>
        <v>1270</v>
      </c>
      <c r="IT36" s="20" t="n">
        <f aca="false">IF(AND(H_Direct=1,BT36&gt;0),MAX(0,IS36-(MIN(BT36*AKT35,IS36+MF36)-MIN(MIN(BT36*AKT35,IS36+MF36),MF36))),IS36)</f>
        <v>1270</v>
      </c>
      <c r="IU36" s="20" t="n">
        <f aca="false">IF(AND(H_Direct=1,BU36&gt;0),MAX(0,IT36-(MIN(BU36*AKU35,IT36+MG36)-MIN(MIN(BU36*AKU35,IT36+MG36),MG36))),IT36)</f>
        <v>1270</v>
      </c>
      <c r="IV36" s="20" t="n">
        <f aca="false">IF(AND(H_Direct=1,BV36&gt;0),MAX(0,IU36-(MIN(BV36*AKV35,IU36+MH36)-MIN(MIN(BV36*AKV35,IU36+MH36),MH36))),IU36)</f>
        <v>1270</v>
      </c>
      <c r="IW36" s="20" t="n">
        <f aca="false">IF(AND(H_Direct=1,BW36&gt;0),MAX(0,IV36-(MIN(BW36*AKW35,IV36+MI36)-MIN(MIN(BW36*AKW35,IV36+MI36),MI36))),IV36)</f>
        <v>1270</v>
      </c>
      <c r="IX36" s="20" t="n">
        <f aca="false">IF(AND(H_Direct=1,BX36&gt;0),MAX(0,IW36-(MIN(BX36*AKX35,IW36+MJ36)-MIN(MIN(BX36*AKX35,IW36+MJ36),MJ36))),IW36)</f>
        <v>1270</v>
      </c>
      <c r="IY36" s="20" t="n">
        <f aca="false">IF(AND(H_Direct=1,BY36&gt;0),MAX(0,IX36-(MIN(BY36*AKY35,IX36+MK36)-MIN(MIN(BY36*AKY35,IX36+MK36),MK36))),IX36)</f>
        <v>1270</v>
      </c>
      <c r="IZ36" s="20" t="n">
        <f aca="false">IF(AND(H_Direct=1,BZ36&gt;0),MAX(0,IY36-(MIN(BZ36*AKZ35,IY36+ML36)-MIN(MIN(BZ36*AKZ35,IY36+ML36),ML36))),IY36)</f>
        <v>1270</v>
      </c>
      <c r="JA36" s="20" t="n">
        <f aca="false">IF(AND(H_Direct=1,CA36&gt;0),MAX(0,IZ36-(MIN(CA36*ALA35,IZ36+MM36)-MIN(MIN(CA36*ALA35,IZ36+MM36),MM36))),IZ36)</f>
        <v>1270</v>
      </c>
      <c r="JB36" s="20" t="n">
        <f aca="false">IF(AND(H_Direct=1,CB36&gt;0),MAX(0,JA36-(MIN(CB36*ALB35,JA36+MN36)-MIN(MIN(CB36*ALB35,JA36+MN36),MN36))),JA36)</f>
        <v>1270</v>
      </c>
      <c r="JC36" s="20" t="n">
        <f aca="false">IF(AND(H_Direct=1,CC36&gt;0),MAX(0,JB36-(MIN(CC36*ALC35,JB36+MO36)-MIN(MIN(CC36*ALC35,JB36+MO36),MO36))),JB36)</f>
        <v>1270</v>
      </c>
      <c r="JD36" s="20" t="n">
        <f aca="false">IF(AND(H_Direct=1,CD36&gt;0),MAX(0,JC36-(MIN(CD36*ALD35,JC36+MP36)-MIN(MIN(CD36*ALD35,JC36+MP36),MP36))),JC36)</f>
        <v>1270</v>
      </c>
      <c r="JE36" s="20" t="n">
        <f aca="false">IF(AND(H_Direct=1,CE36&gt;0),MAX(0,JD36-(MIN(CE36*ALE35,JD36+MQ36)-MIN(MIN(CE36*ALE35,JD36+MQ36),MQ36))),JD36)</f>
        <v>1270</v>
      </c>
      <c r="JF36" s="20" t="n">
        <f aca="false">IF(AND(H_Direct=1,CF36&gt;0),MAX(0,JE36-(MIN(CF36*ALF35,JE36+MR36)-MIN(MIN(CF36*ALF35,JE36+MR36),MR36))),JE36)</f>
        <v>1270</v>
      </c>
      <c r="JG36" s="20" t="n">
        <f aca="false">IF(AND(H_Direct=1,CG36&gt;0),MAX(0,JF36-(MIN(CG36*ALG35,JF36+MS36)-MIN(MIN(CG36*ALG35,JF36+MS36),MS36))),JF36)</f>
        <v>1270</v>
      </c>
      <c r="JH36" s="20" t="n">
        <f aca="false">IF(AND(H_Direct=1,CH36&gt;0),MAX(0,JG36-(MIN(CH36*ALH35,JG36+MT36)-MIN(MIN(CH36*ALH35,JG36+MT36),MT36))),JG36)</f>
        <v>1270</v>
      </c>
      <c r="JI36" s="20" t="n">
        <f aca="false">IF(AND(H_Direct=1,CI36&gt;0),MAX(0,JH36-(MIN(CI36*ALI35,JH36+MU36)-MIN(MIN(CI36*ALI35,JH36+MU36),MU36))),JH36)</f>
        <v>1270</v>
      </c>
      <c r="JJ36" s="20" t="n">
        <f aca="false">IF(AND(H_Direct=1,CJ36&gt;0),MAX(0,JI36-(MIN(CJ36*ALJ35,JI36+MV36)-MIN(MIN(CJ36*ALJ35,JI36+MV36),MV36))),JI36)</f>
        <v>1270</v>
      </c>
      <c r="JK36" s="20" t="n">
        <f aca="false">IF(AND(H_Direct=1,CK36&gt;0),MAX(0,JJ36-(MIN(CK36*ALK35,JJ36+MW36)-MIN(MIN(CK36*ALK35,JJ36+MW36),MW36))),JJ36)</f>
        <v>1270</v>
      </c>
      <c r="JL36" s="20" t="n">
        <f aca="false">IF(AND(H_Direct=1,CL36&gt;0),MAX(0,JK36-(MIN(CL36*ALL35,JK36+MX36)-MIN(MIN(CL36*ALL35,JK36+MX36),MX36))),JK36)</f>
        <v>1270</v>
      </c>
      <c r="JM36" s="20" t="n">
        <f aca="false">IF(AND(H_Direct=1,CM36&gt;0),MAX(0,JL36-(MIN(CM36*ALM35,JL36+MY36)-MIN(MIN(CM36*ALM35,JL36+MY36),MY36))),JL36)</f>
        <v>1270</v>
      </c>
      <c r="JN36" s="20" t="n">
        <f aca="false">IF(AND(H_Direct=1,CN36&gt;0),MAX(0,JM36-(MIN(CN36*ALN35,JM36+MZ36)-MIN(MIN(CN36*ALN35,JM36+MZ36),MZ36))),JM36)</f>
        <v>1270</v>
      </c>
      <c r="JO36" s="20" t="n">
        <f aca="false">IF(AND(H_Direct=1,CO36&gt;0),MAX(0,JN36-(MIN(CO36*ALO35,JN36+NA36)-MIN(MIN(CO36*ALO35,JN36+NA36),NA36))),JN36)</f>
        <v>1270</v>
      </c>
      <c r="JP36" s="20" t="n">
        <f aca="false">IF(AND(H_Direct=1,CP36&gt;0),MAX(0,JO36-(MIN(CP36*ALP35,JO36+NB36)-MIN(MIN(CP36*ALP35,JO36+NB36),NB36))),JO36)</f>
        <v>1270</v>
      </c>
      <c r="JQ36" s="20" t="n">
        <f aca="false">IF(AND(H_Direct=1,CQ36&gt;0),MAX(0,JP36-(MIN(CQ36*ALQ35,JP36+NC36)-MIN(MIN(CQ36*ALQ35,JP36+NC36),NC36))),JP36)</f>
        <v>1270</v>
      </c>
      <c r="JR36" s="20" t="n">
        <f aca="false">IF(AND(H_Direct=1,CR36&gt;0),MAX(0,JQ36-(MIN(CR36*ALR35,JQ36+ND36)-MIN(MIN(CR36*ALR35,JQ36+ND36),ND36))),JQ36)</f>
        <v>1270</v>
      </c>
      <c r="JS36" s="20" t="n">
        <f aca="false">IF(AND(H_Direct=1,CS36&gt;0),MAX(0,JR36-(MIN(CS36*ALS35,JR36+NE36)-MIN(MIN(CS36*ALS35,JR36+NE36),NE36))),JR36)</f>
        <v>1270</v>
      </c>
      <c r="JT36" s="20" t="n">
        <f aca="false">IF(AND(H_Direct=1,CT36&gt;0),MAX(0,JS36-(MIN(CT36*ALT35,JS36+NF36)-MIN(MIN(CT36*ALT35,JS36+NF36),NF36))),JS36)</f>
        <v>1270</v>
      </c>
      <c r="JU36" s="20" t="n">
        <f aca="false">IF(AND(H_Direct=1,CU36&gt;0),MAX(0,JT36-(MIN(CU36*(P36+S36),JT36+NG36)-MIN(MIN(CU36*(P36+S36),JT36+NG36),NG36))),JT36)</f>
        <v>1270</v>
      </c>
      <c r="JV36" s="20" t="n">
        <f aca="false">JU36</f>
        <v>1270</v>
      </c>
      <c r="JW36" s="20" t="n">
        <f aca="false">JV36</f>
        <v>1270</v>
      </c>
      <c r="JX36" s="20" t="n">
        <f aca="false">JW36</f>
        <v>1270</v>
      </c>
      <c r="JY36" s="20" t="n">
        <f aca="false">JX36</f>
        <v>1270</v>
      </c>
      <c r="JZ36" s="20" t="n">
        <f aca="false">JY36</f>
        <v>1270</v>
      </c>
      <c r="KA36" s="20" t="n">
        <f aca="false">JZ36</f>
        <v>1270</v>
      </c>
      <c r="KB36" s="20" t="n">
        <f aca="false">KA36</f>
        <v>1270</v>
      </c>
      <c r="KC36" s="20" t="n">
        <f aca="false">KB36</f>
        <v>1270</v>
      </c>
      <c r="KD36" s="20" t="n">
        <f aca="false">KC36</f>
        <v>1270</v>
      </c>
      <c r="KE36" s="20" t="n">
        <f aca="false">KD36</f>
        <v>1270</v>
      </c>
      <c r="KF36" s="20" t="n">
        <f aca="false">KE36</f>
        <v>1270</v>
      </c>
      <c r="KG36" s="20" t="n">
        <f aca="false">KF36</f>
        <v>1270</v>
      </c>
      <c r="KH36" s="20" t="n">
        <f aca="false">KG36</f>
        <v>1270</v>
      </c>
      <c r="KI36" s="20" t="n">
        <f aca="false">KH36</f>
        <v>1270</v>
      </c>
      <c r="KJ36" s="20" t="n">
        <f aca="false">KI36</f>
        <v>1270</v>
      </c>
      <c r="KK36" s="20" t="n">
        <f aca="false">KJ36</f>
        <v>1270</v>
      </c>
      <c r="KL36" s="20" t="n">
        <f aca="false">KK36</f>
        <v>1270</v>
      </c>
      <c r="KM36" s="20" t="n">
        <f aca="false">KL36</f>
        <v>1270</v>
      </c>
      <c r="KN36" s="20" t="n">
        <f aca="false">KM36</f>
        <v>1270</v>
      </c>
      <c r="KO36" s="20" t="n">
        <f aca="false">KN36</f>
        <v>1270</v>
      </c>
      <c r="KP36" s="20" t="n">
        <f aca="false">KO36</f>
        <v>1270</v>
      </c>
      <c r="KQ36" s="20" t="n">
        <f aca="false">KP36</f>
        <v>1270</v>
      </c>
      <c r="KR36" s="20" t="n">
        <f aca="false">KQ36</f>
        <v>1270</v>
      </c>
      <c r="KS36" s="20" t="n">
        <f aca="false">KR36</f>
        <v>1270</v>
      </c>
      <c r="KT36" s="20" t="n">
        <f aca="false">KS36</f>
        <v>1270</v>
      </c>
      <c r="KU36" s="20" t="n">
        <f aca="false">KT36</f>
        <v>1270</v>
      </c>
      <c r="KV36" s="20" t="n">
        <f aca="false">KU36</f>
        <v>1270</v>
      </c>
      <c r="KW36" s="20" t="n">
        <f aca="false">KV36</f>
        <v>1270</v>
      </c>
      <c r="KX36" s="20" t="n">
        <f aca="false">KW36</f>
        <v>1270</v>
      </c>
      <c r="KY36" s="20" t="n">
        <f aca="false">KX36</f>
        <v>1270</v>
      </c>
      <c r="KZ36" s="20" t="n">
        <f aca="false">KY36</f>
        <v>1270</v>
      </c>
      <c r="LA36" s="20" t="n">
        <f aca="false">KZ36</f>
        <v>1270</v>
      </c>
      <c r="LB36" s="20" t="n">
        <f aca="false">LA36</f>
        <v>1270</v>
      </c>
      <c r="LC36" s="20" t="n">
        <f aca="false">LB36</f>
        <v>1270</v>
      </c>
      <c r="LD36" s="20" t="n">
        <f aca="false">LC36</f>
        <v>1270</v>
      </c>
      <c r="LE36" s="20" t="n">
        <f aca="false">LD36</f>
        <v>1270</v>
      </c>
      <c r="LF36" s="20" t="n">
        <f aca="false">LE36</f>
        <v>1270</v>
      </c>
      <c r="LG36" s="20" t="n">
        <f aca="false">LF36</f>
        <v>1270</v>
      </c>
      <c r="LH36" s="20" t="n">
        <f aca="false">LG36</f>
        <v>1270</v>
      </c>
      <c r="LI36" s="20" t="n">
        <f aca="false">LH36</f>
        <v>1270</v>
      </c>
      <c r="LJ36" s="20" t="n">
        <f aca="false">LI36</f>
        <v>1270</v>
      </c>
      <c r="LK36" s="20" t="n">
        <f aca="false">LJ36</f>
        <v>1270</v>
      </c>
      <c r="LL36" s="20" t="n">
        <f aca="false">LK36</f>
        <v>1270</v>
      </c>
      <c r="LM36" s="20" t="n">
        <f aca="false">LL36</f>
        <v>1270</v>
      </c>
      <c r="LN36" s="20" t="n">
        <f aca="false">LM36</f>
        <v>1270</v>
      </c>
      <c r="LO36" s="20" t="n">
        <f aca="false">LN36</f>
        <v>1270</v>
      </c>
      <c r="LP36" s="20" t="n">
        <f aca="false">LO36</f>
        <v>1270</v>
      </c>
      <c r="LQ36" s="20" t="n">
        <f aca="false">LP36</f>
        <v>1270</v>
      </c>
      <c r="LR36" s="20" t="n">
        <f aca="false">LQ36</f>
        <v>1270</v>
      </c>
      <c r="LS36" s="20" t="n">
        <f aca="false">LR36</f>
        <v>1270</v>
      </c>
      <c r="LT36" s="20" t="n">
        <f aca="false">LS36</f>
        <v>1270</v>
      </c>
      <c r="LU36" s="20" t="n">
        <f aca="false">LT36</f>
        <v>1270</v>
      </c>
      <c r="LV36" s="20" t="n">
        <f aca="false">LU36</f>
        <v>1270</v>
      </c>
      <c r="LW36" s="20" t="n">
        <f aca="false">LV36</f>
        <v>1270</v>
      </c>
      <c r="LX36" s="20" t="n">
        <f aca="false">LW36</f>
        <v>1270</v>
      </c>
      <c r="LY36" s="20" t="n">
        <f aca="false">LX36</f>
        <v>1270</v>
      </c>
      <c r="LZ36" s="20" t="n">
        <f aca="false">LY36</f>
        <v>1270</v>
      </c>
      <c r="MA36" s="20" t="n">
        <f aca="false">LZ36</f>
        <v>1270</v>
      </c>
      <c r="MB36" s="20" t="n">
        <f aca="false">MA36</f>
        <v>1270</v>
      </c>
      <c r="MC36" s="20" t="n">
        <f aca="false">MB36</f>
        <v>1270</v>
      </c>
      <c r="MD36" s="20" t="n">
        <f aca="false">MC36</f>
        <v>1270</v>
      </c>
      <c r="ME36" s="20" t="n">
        <f aca="false">IF(H_Direct=1,IF(BR36&lt;=0,I36-BR36*AKR35,I36-MIN(MIN(BR36*AKR35,H36+I36),I36)),I36)</f>
        <v>0</v>
      </c>
      <c r="MF36" s="20" t="n">
        <f aca="false">IF(H_Direct=1,IF(BS36&lt;=0,ME36-BS36*AKS35,ME36-MIN(MIN(BS36*AKS35,IR36+ME36),ME36)),ME36)</f>
        <v>0</v>
      </c>
      <c r="MG36" s="20" t="n">
        <f aca="false">IF(H_Direct=1,IF(BT36&lt;=0,MF36-BT36*AKT35,MF36-MIN(MIN(BT36*AKT35,IS36+MF36),MF36)),MF36)</f>
        <v>0</v>
      </c>
      <c r="MH36" s="20" t="n">
        <f aca="false">IF(H_Direct=1,IF(BU36&lt;=0,MG36-BU36*AKU35,MG36-MIN(MIN(BU36*AKU35,IT36+MG36),MG36)),MG36)</f>
        <v>0</v>
      </c>
      <c r="MI36" s="20" t="n">
        <f aca="false">IF(H_Direct=1,IF(BV36&lt;=0,MH36-BV36*AKV35,MH36-MIN(MIN(BV36*AKV35,IU36+MH36),MH36)),MH36)</f>
        <v>0</v>
      </c>
      <c r="MJ36" s="20" t="n">
        <f aca="false">IF(H_Direct=1,IF(BW36&lt;=0,MI36-BW36*AKW35,MI36-MIN(MIN(BW36*AKW35,IV36+MI36),MI36)),MI36)</f>
        <v>0</v>
      </c>
      <c r="MK36" s="20" t="n">
        <f aca="false">IF(H_Direct=1,IF(BX36&lt;=0,MJ36-BX36*AKX35,MJ36-MIN(MIN(BX36*AKX35,IW36+MJ36),MJ36)),MJ36)</f>
        <v>0</v>
      </c>
      <c r="ML36" s="20" t="n">
        <f aca="false">IF(H_Direct=1,IF(BY36&lt;=0,MK36-BY36*AKY35,MK36-MIN(MIN(BY36*AKY35,IX36+MK36),MK36)),MK36)</f>
        <v>0</v>
      </c>
      <c r="MM36" s="20" t="n">
        <f aca="false">IF(H_Direct=1,IF(BZ36&lt;=0,ML36-BZ36*AKZ35,ML36-MIN(MIN(BZ36*AKZ35,IY36+ML36),ML36)),ML36)</f>
        <v>0</v>
      </c>
      <c r="MN36" s="20" t="n">
        <f aca="false">IF(H_Direct=1,IF(CA36&lt;=0,MM36-CA36*ALA35,MM36-MIN(MIN(CA36*ALA35,IZ36+MM36),MM36)),MM36)</f>
        <v>0</v>
      </c>
      <c r="MO36" s="20" t="n">
        <f aca="false">IF(H_Direct=1,IF(CB36&lt;=0,MN36-CB36*ALB35,MN36-MIN(MIN(CB36*ALB35,JA36+MN36),MN36)),MN36)</f>
        <v>0</v>
      </c>
      <c r="MP36" s="20" t="n">
        <f aca="false">IF(H_Direct=1,IF(CC36&lt;=0,MO36-CC36*ALC35,MO36-MIN(MIN(CC36*ALC35,JB36+MO36),MO36)),MO36)</f>
        <v>0</v>
      </c>
      <c r="MQ36" s="20" t="n">
        <f aca="false">IF(H_Direct=1,IF(CD36&lt;=0,MP36-CD36*ALD35,MP36-MIN(MIN(CD36*ALD35,JC36+MP36),MP36)),MP36)</f>
        <v>0</v>
      </c>
      <c r="MR36" s="20" t="n">
        <f aca="false">IF(H_Direct=1,IF(CE36&lt;=0,MQ36-CE36*ALE35,MQ36-MIN(MIN(CE36*ALE35,JD36+MQ36),MQ36)),MQ36)</f>
        <v>0</v>
      </c>
      <c r="MS36" s="20" t="n">
        <f aca="false">IF(H_Direct=1,IF(CF36&lt;=0,MR36-CF36*ALF35,MR36-MIN(MIN(CF36*ALF35,JE36+MR36),MR36)),MR36)</f>
        <v>0</v>
      </c>
      <c r="MT36" s="20" t="n">
        <f aca="false">IF(H_Direct=1,IF(CG36&lt;=0,MS36-CG36*ALG35,MS36-MIN(MIN(CG36*ALG35,JF36+MS36),MS36)),MS36)</f>
        <v>0</v>
      </c>
      <c r="MU36" s="20" t="n">
        <f aca="false">IF(H_Direct=1,IF(CH36&lt;=0,MT36-CH36*ALH35,MT36-MIN(MIN(CH36*ALH35,JG36+MT36),MT36)),MT36)</f>
        <v>0</v>
      </c>
      <c r="MV36" s="20" t="n">
        <f aca="false">IF(H_Direct=1,IF(CI36&lt;=0,MU36-CI36*ALI35,MU36-MIN(MIN(CI36*ALI35,JH36+MU36),MU36)),MU36)</f>
        <v>0</v>
      </c>
      <c r="MW36" s="20" t="n">
        <f aca="false">IF(H_Direct=1,IF(CJ36&lt;=0,MV36-CJ36*ALJ35,MV36-MIN(MIN(CJ36*ALJ35,JI36+MV36),MV36)),MV36)</f>
        <v>0</v>
      </c>
      <c r="MX36" s="20" t="n">
        <f aca="false">IF(H_Direct=1,IF(CK36&lt;=0,MW36-CK36*ALK35,MW36-MIN(MIN(CK36*ALK35,JJ36+MW36),MW36)),MW36)</f>
        <v>0</v>
      </c>
      <c r="MY36" s="20" t="n">
        <f aca="false">IF(H_Direct=1,IF(CL36&lt;=0,MX36-CL36*ALL35,MX36-MIN(MIN(CL36*ALL35,JK36+MX36),MX36)),MX36)</f>
        <v>0</v>
      </c>
      <c r="MZ36" s="20" t="n">
        <f aca="false">IF(H_Direct=1,IF(CM36&lt;=0,MY36-CM36*ALM35,MY36-MIN(MIN(CM36*ALM35,JL36+MY36),MY36)),MY36)</f>
        <v>0</v>
      </c>
      <c r="NA36" s="20" t="n">
        <f aca="false">IF(H_Direct=1,IF(CN36&lt;=0,MZ36-CN36*ALN35,MZ36-MIN(MIN(CN36*ALN35,JM36+MZ36),MZ36)),MZ36)</f>
        <v>0</v>
      </c>
      <c r="NB36" s="20" t="n">
        <f aca="false">IF(H_Direct=1,IF(CO36&lt;=0,NA36-CO36*ALO35,NA36-MIN(MIN(CO36*ALO35,JN36+NA36),NA36)),NA36)</f>
        <v>0</v>
      </c>
      <c r="NC36" s="20" t="n">
        <f aca="false">IF(H_Direct=1,IF(CP36&lt;=0,NB36-CP36*ALP35,NB36-MIN(MIN(CP36*ALP35,JO36+NB36),NB36)),NB36)</f>
        <v>0</v>
      </c>
      <c r="ND36" s="20" t="n">
        <f aca="false">IF(H_Direct=1,IF(CQ36&lt;=0,NC36-CQ36*ALQ35,NC36-MIN(MIN(CQ36*ALQ35,JP36+NC36),NC36)),NC36)</f>
        <v>0</v>
      </c>
      <c r="NE36" s="20" t="n">
        <f aca="false">IF(H_Direct=1,IF(CR36&lt;=0,ND36-CR36*ALR35,ND36-MIN(MIN(CR36*ALR35,JQ36+ND36),ND36)),ND36)</f>
        <v>0</v>
      </c>
      <c r="NF36" s="20" t="n">
        <f aca="false">IF(H_Direct=1,IF(CS36&lt;=0,NE36-CS36*ALS35,NE36-MIN(MIN(CS36*ALS35,JR36+NE36),NE36)),NE36)</f>
        <v>0</v>
      </c>
      <c r="NG36" s="20" t="n">
        <f aca="false">IF(H_Direct=1,IF(CT36&lt;=0,NF36-CT36*ALT35,NF36-MIN(MIN(CT36*ALT35,JS36+NF36),NF36)),NF36)</f>
        <v>0</v>
      </c>
      <c r="NH36" s="20" t="n">
        <f aca="false">IF(H_Direct=1,IF(CU36&lt;=0,NG36-CU36*(P36+S36),NG36-MIN(MIN(CU36*(P36+S36),JT36+NG36),NG36)),NG36)</f>
        <v>0</v>
      </c>
      <c r="NI36" s="20" t="n">
        <f aca="false">NH36</f>
        <v>0</v>
      </c>
      <c r="NJ36" s="20" t="n">
        <f aca="false">NI36</f>
        <v>0</v>
      </c>
      <c r="NK36" s="20" t="n">
        <f aca="false">NJ36</f>
        <v>0</v>
      </c>
      <c r="NL36" s="20" t="n">
        <f aca="false">NK36</f>
        <v>0</v>
      </c>
      <c r="NM36" s="20" t="n">
        <f aca="false">NL36</f>
        <v>0</v>
      </c>
      <c r="NN36" s="20" t="n">
        <f aca="false">NM36</f>
        <v>0</v>
      </c>
      <c r="NO36" s="20" t="n">
        <f aca="false">NN36</f>
        <v>0</v>
      </c>
      <c r="NP36" s="20" t="n">
        <f aca="false">NO36</f>
        <v>0</v>
      </c>
      <c r="NQ36" s="20" t="n">
        <f aca="false">NP36</f>
        <v>0</v>
      </c>
      <c r="NR36" s="20" t="n">
        <f aca="false">NQ36</f>
        <v>0</v>
      </c>
      <c r="NS36" s="20" t="n">
        <f aca="false">NR36</f>
        <v>0</v>
      </c>
      <c r="NT36" s="20" t="n">
        <f aca="false">NS36</f>
        <v>0</v>
      </c>
      <c r="NU36" s="20" t="n">
        <f aca="false">NT36</f>
        <v>0</v>
      </c>
      <c r="NV36" s="20" t="n">
        <f aca="false">NU36</f>
        <v>0</v>
      </c>
      <c r="NW36" s="20" t="n">
        <f aca="false">NV36</f>
        <v>0</v>
      </c>
      <c r="NX36" s="20" t="n">
        <f aca="false">NW36</f>
        <v>0</v>
      </c>
      <c r="NY36" s="20" t="n">
        <f aca="false">NX36</f>
        <v>0</v>
      </c>
      <c r="NZ36" s="20" t="n">
        <f aca="false">NY36</f>
        <v>0</v>
      </c>
      <c r="OA36" s="20" t="n">
        <f aca="false">NZ36</f>
        <v>0</v>
      </c>
      <c r="OB36" s="20" t="n">
        <f aca="false">OA36</f>
        <v>0</v>
      </c>
      <c r="OC36" s="20" t="n">
        <f aca="false">OB36</f>
        <v>0</v>
      </c>
      <c r="OD36" s="20" t="n">
        <f aca="false">OC36</f>
        <v>0</v>
      </c>
      <c r="OE36" s="20" t="n">
        <f aca="false">OD36</f>
        <v>0</v>
      </c>
      <c r="OF36" s="20" t="n">
        <f aca="false">OE36</f>
        <v>0</v>
      </c>
      <c r="OG36" s="20" t="n">
        <f aca="false">OF36</f>
        <v>0</v>
      </c>
      <c r="OH36" s="20" t="n">
        <f aca="false">OG36</f>
        <v>0</v>
      </c>
      <c r="OI36" s="20" t="n">
        <f aca="false">OH36</f>
        <v>0</v>
      </c>
      <c r="OJ36" s="20" t="n">
        <f aca="false">OI36</f>
        <v>0</v>
      </c>
      <c r="OK36" s="20" t="n">
        <f aca="false">OJ36</f>
        <v>0</v>
      </c>
      <c r="OL36" s="20" t="n">
        <f aca="false">OK36</f>
        <v>0</v>
      </c>
      <c r="OM36" s="20" t="n">
        <f aca="false">OL36</f>
        <v>0</v>
      </c>
      <c r="ON36" s="20" t="n">
        <f aca="false">OM36</f>
        <v>0</v>
      </c>
      <c r="OO36" s="20" t="n">
        <f aca="false">ON36</f>
        <v>0</v>
      </c>
      <c r="OP36" s="20" t="n">
        <f aca="false">OO36</f>
        <v>0</v>
      </c>
      <c r="OQ36" s="20" t="n">
        <f aca="false">OP36</f>
        <v>0</v>
      </c>
      <c r="OR36" s="20" t="n">
        <f aca="false">OQ36</f>
        <v>0</v>
      </c>
      <c r="OS36" s="20" t="n">
        <f aca="false">OR36</f>
        <v>0</v>
      </c>
      <c r="OT36" s="20" t="n">
        <f aca="false">OS36</f>
        <v>0</v>
      </c>
      <c r="OU36" s="20" t="n">
        <f aca="false">OT36</f>
        <v>0</v>
      </c>
      <c r="OV36" s="20" t="n">
        <f aca="false">OU36</f>
        <v>0</v>
      </c>
      <c r="OW36" s="20" t="n">
        <f aca="false">OV36</f>
        <v>0</v>
      </c>
      <c r="OX36" s="20" t="n">
        <f aca="false">OW36</f>
        <v>0</v>
      </c>
      <c r="OY36" s="20" t="n">
        <f aca="false">OX36</f>
        <v>0</v>
      </c>
      <c r="OZ36" s="20" t="n">
        <f aca="false">OY36</f>
        <v>0</v>
      </c>
      <c r="PA36" s="20" t="n">
        <f aca="false">OZ36</f>
        <v>0</v>
      </c>
      <c r="PB36" s="20" t="n">
        <f aca="false">PA36</f>
        <v>0</v>
      </c>
      <c r="PC36" s="20" t="n">
        <f aca="false">PB36</f>
        <v>0</v>
      </c>
      <c r="PD36" s="20" t="n">
        <f aca="false">PC36</f>
        <v>0</v>
      </c>
      <c r="PE36" s="20" t="n">
        <f aca="false">PD36</f>
        <v>0</v>
      </c>
      <c r="PF36" s="20" t="n">
        <f aca="false">PE36</f>
        <v>0</v>
      </c>
      <c r="PG36" s="20" t="n">
        <f aca="false">PF36</f>
        <v>0</v>
      </c>
      <c r="PH36" s="20" t="n">
        <f aca="false">PG36</f>
        <v>0</v>
      </c>
      <c r="PI36" s="20" t="n">
        <f aca="false">PH36</f>
        <v>0</v>
      </c>
      <c r="PJ36" s="20" t="n">
        <f aca="false">PI36</f>
        <v>0</v>
      </c>
      <c r="PK36" s="20" t="n">
        <f aca="false">PJ36</f>
        <v>0</v>
      </c>
      <c r="PL36" s="20" t="n">
        <f aca="false">PK36</f>
        <v>0</v>
      </c>
      <c r="PM36" s="20" t="n">
        <f aca="false">PL36</f>
        <v>0</v>
      </c>
      <c r="PN36" s="20" t="n">
        <f aca="false">PM36</f>
        <v>0</v>
      </c>
      <c r="PO36" s="20" t="n">
        <f aca="false">PN36</f>
        <v>0</v>
      </c>
      <c r="PP36" s="20" t="n">
        <f aca="false">PO36</f>
        <v>0</v>
      </c>
      <c r="PQ36" s="20" t="n">
        <f aca="false">PP36</f>
        <v>0</v>
      </c>
      <c r="PR36" s="20" t="n">
        <f aca="false">IF(H_Direct=1,IF(AKR35&lt;=0,0,IF(BR36&lt;=0,MIN(MAX(0,AB36),AKR35),MIN(MAX(0,AB36),AKR35-G36*MAX(0,BR36*AKR35-(H36+I36))))),MIN(FE36,MAX(0,AB36)))</f>
        <v>0</v>
      </c>
      <c r="PS36" s="20" t="n">
        <f aca="false">IF(H_Direct=1,IF(AKS35&lt;=0,0,IF(BS36&lt;=0,MIN(MAX(0,AB36-SUM(PR36:PR36)),AKS35),MIN(MAX(0,AB36-SUM(PR36:PR36)),AKS35-G36*MAX(0,BS36*AKS35-(WR36+AAE36))))),MIN(FF36,MAX(0,AB36-SUM(PR36:PR36))))</f>
        <v>0</v>
      </c>
      <c r="PT36" s="20" t="n">
        <f aca="false">IF(H_Direct=1,IF(AKT35&lt;=0,0,IF(BT36&lt;=0,MIN(MAX(0,AB36-SUM(PR36:PS36)),AKT35),MIN(MAX(0,AB36-SUM(PR36:PS36)),AKT35-G36*MAX(0,BT36*AKT35-(WS36+AAF36))))),MIN(FG36,MAX(0,AB36-SUM(PR36:PS36))))</f>
        <v>0</v>
      </c>
      <c r="PU36" s="20" t="n">
        <f aca="false">IF(H_Direct=1,IF(AKU35&lt;=0,0,IF(BU36&lt;=0,MIN(MAX(0,AB36-SUM(PR36:PT36)),AKU35),MIN(MAX(0,AB36-SUM(PR36:PT36)),AKU35-G36*MAX(0,BU36*AKU35-(WT36+AAG36))))),MIN(FH36,MAX(0,AB36-SUM(PR36:PT36))))</f>
        <v>0</v>
      </c>
      <c r="PV36" s="20" t="n">
        <f aca="false">IF(H_Direct=1,IF(AKV35&lt;=0,0,IF(BV36&lt;=0,MIN(MAX(0,AB36-SUM(PR36:PU36)),AKV35),MIN(MAX(0,AB36-SUM(PR36:PU36)),AKV35-G36*MAX(0,BV36*AKV35-(WU36+AAH36))))),MIN(FI36,MAX(0,AB36-SUM(PR36:PU36))))</f>
        <v>0</v>
      </c>
      <c r="PW36" s="20" t="n">
        <f aca="false">IF(H_Direct=1,IF(AKW35&lt;=0,0,IF(BW36&lt;=0,MIN(MAX(0,AB36-SUM(PR36:PV36)),AKW35),MIN(MAX(0,AB36-SUM(PR36:PV36)),AKW35-G36*MAX(0,BW36*AKW35-(WV36+AAI36))))),MIN(FJ36,MAX(0,AB36-SUM(PR36:PV36))))</f>
        <v>0</v>
      </c>
      <c r="PX36" s="20" t="n">
        <f aca="false">IF(H_Direct=1,IF(AKX35&lt;=0,0,IF(BX36&lt;=0,MIN(MAX(0,AB36-SUM(PR36:PW36)),AKX35),MIN(MAX(0,AB36-SUM(PR36:PW36)),AKX35-G36*MAX(0,BX36*AKX35-(WW36+AAJ36))))),MIN(FK36,MAX(0,AB36-SUM(PR36:PW36))))</f>
        <v>0</v>
      </c>
      <c r="PY36" s="20" t="n">
        <f aca="false">IF(H_Direct=1,IF(AKY35&lt;=0,0,IF(BY36&lt;=0,MIN(MAX(0,AB36-SUM(PR36:PX36)),AKY35),MIN(MAX(0,AB36-SUM(PR36:PX36)),AKY35-G36*MAX(0,BY36*AKY35-(WX36+AAK36))))),MIN(FL36,MAX(0,AB36-SUM(PR36:PX36))))</f>
        <v>0</v>
      </c>
      <c r="PZ36" s="20" t="n">
        <f aca="false">IF(H_Direct=1,IF(AKZ35&lt;=0,0,IF(BZ36&lt;=0,MIN(MAX(0,AB36-SUM(PR36:PY36)),AKZ35),MIN(MAX(0,AB36-SUM(PR36:PY36)),AKZ35-G36*MAX(0,BZ36*AKZ35-(WY36+AAL36))))),MIN(FM36,MAX(0,AB36-SUM(PR36:PY36))))</f>
        <v>0</v>
      </c>
      <c r="QA36" s="20" t="n">
        <f aca="false">IF(H_Direct=1,IF(ALA35&lt;=0,0,IF(CA36&lt;=0,MIN(MAX(0,AB36-SUM(PR36:PZ36)),ALA35),MIN(MAX(0,AB36-SUM(PR36:PZ36)),ALA35-G36*MAX(0,CA36*ALA35-(WZ36+AAM36))))),MIN(FN36,MAX(0,AB36-SUM(PR36:PZ36))))</f>
        <v>0</v>
      </c>
      <c r="QB36" s="20" t="n">
        <f aca="false">IF(H_Direct=1,IF(ALB35&lt;=0,0,IF(CB36&lt;=0,MIN(MAX(0,AB36-SUM(PR36:QA36)),ALB35),MIN(MAX(0,AB36-SUM(PR36:QA36)),ALB35-G36*MAX(0,CB36*ALB35-(XA36+AAN36))))),MIN(FO36,MAX(0,AB36-SUM(PR36:QA36))))</f>
        <v>0</v>
      </c>
      <c r="QC36" s="20" t="n">
        <f aca="false">IF(H_Direct=1,IF(ALC35&lt;=0,0,IF(CC36&lt;=0,MIN(MAX(0,AB36-SUM(PR36:QB36)),ALC35),MIN(MAX(0,AB36-SUM(PR36:QB36)),ALC35-G36*MAX(0,CC36*ALC35-(XB36+AAO36))))),MIN(FP36,MAX(0,AB36-SUM(PR36:QB36))))</f>
        <v>0</v>
      </c>
      <c r="QD36" s="20" t="n">
        <f aca="false">IF(H_Direct=1,IF(ALD35&lt;=0,0,IF(CD36&lt;=0,MIN(MAX(0,AB36-SUM(PR36:QC36)),ALD35),MIN(MAX(0,AB36-SUM(PR36:QC36)),ALD35-G36*MAX(0,CD36*ALD35-(XC36+AAP36))))),MIN(FQ36,MAX(0,AB36-SUM(PR36:QC36))))</f>
        <v>0</v>
      </c>
      <c r="QE36" s="20" t="n">
        <f aca="false">IF(H_Direct=1,IF(ALE35&lt;=0,0,IF(CE36&lt;=0,MIN(MAX(0,AB36-SUM(PR36:QD36)),ALE35),MIN(MAX(0,AB36-SUM(PR36:QD36)),ALE35-G36*MAX(0,CE36*ALE35-(XD36+AAQ36))))),MIN(FR36,MAX(0,AB36-SUM(PR36:QD36))))</f>
        <v>0</v>
      </c>
      <c r="QF36" s="20" t="n">
        <f aca="false">IF(H_Direct=1,IF(ALF35&lt;=0,0,IF(CF36&lt;=0,MIN(MAX(0,AB36-SUM(PR36:QE36)),ALF35),MIN(MAX(0,AB36-SUM(PR36:QE36)),ALF35-G36*MAX(0,CF36*ALF35-(XE36+AAR36))))),MIN(FS36,MAX(0,AB36-SUM(PR36:QE36))))</f>
        <v>0</v>
      </c>
      <c r="QG36" s="20" t="n">
        <f aca="false">IF(H_Direct=1,IF(ALG35&lt;=0,0,IF(CG36&lt;=0,MIN(MAX(0,AB36-SUM(PR36:QF36)),ALG35),MIN(MAX(0,AB36-SUM(PR36:QF36)),ALG35-G36*MAX(0,CG36*ALG35-(XF36+AAS36))))),MIN(FT36,MAX(0,AB36-SUM(PR36:QF36))))</f>
        <v>0</v>
      </c>
      <c r="QH36" s="20" t="n">
        <f aca="false">IF(H_Direct=1,IF(ALH35&lt;=0,0,IF(CH36&lt;=0,MIN(MAX(0,AB36-SUM(PR36:QG36)),ALH35),MIN(MAX(0,AB36-SUM(PR36:QG36)),ALH35-G36*MAX(0,CH36*ALH35-(XG36+AAT36))))),MIN(FU36,MAX(0,AB36-SUM(PR36:QG36))))</f>
        <v>0</v>
      </c>
      <c r="QI36" s="20" t="n">
        <f aca="false">IF(H_Direct=1,IF(ALI35&lt;=0,0,IF(CI36&lt;=0,MIN(MAX(0,AB36-SUM(PR36:QH36)),ALI35),MIN(MAX(0,AB36-SUM(PR36:QH36)),ALI35-G36*MAX(0,CI36*ALI35-(XH36+AAU36))))),MIN(FV36,MAX(0,AB36-SUM(PR36:QH36))))</f>
        <v>0</v>
      </c>
      <c r="QJ36" s="20" t="n">
        <f aca="false">IF(H_Direct=1,IF(ALJ35&lt;=0,0,IF(CJ36&lt;=0,MIN(MAX(0,AB36-SUM(PR36:QI36)),ALJ35),MIN(MAX(0,AB36-SUM(PR36:QI36)),ALJ35-G36*MAX(0,CJ36*ALJ35-(XI36+AAV36))))),MIN(FW36,MAX(0,AB36-SUM(PR36:QI36))))</f>
        <v>0</v>
      </c>
      <c r="QK36" s="20" t="n">
        <f aca="false">IF(H_Direct=1,IF(ALK35&lt;=0,0,IF(CK36&lt;=0,MIN(MAX(0,AB36-SUM(PR36:QJ36)),ALK35),MIN(MAX(0,AB36-SUM(PR36:QJ36)),ALK35-G36*MAX(0,CK36*ALK35-(XJ36+AAW36))))),MIN(FX36,MAX(0,AB36-SUM(PR36:QJ36))))</f>
        <v>0</v>
      </c>
      <c r="QL36" s="20" t="n">
        <f aca="false">IF(H_Direct=1,IF(ALL35&lt;=0,0,IF(CL36&lt;=0,MIN(MAX(0,AB36-SUM(PR36:QK36)),ALL35),MIN(MAX(0,AB36-SUM(PR36:QK36)),ALL35-G36*MAX(0,CL36*ALL35-(XK36+AAX36))))),MIN(FY36,MAX(0,AB36-SUM(PR36:QK36))))</f>
        <v>0</v>
      </c>
      <c r="QM36" s="20" t="n">
        <f aca="false">IF(H_Direct=1,IF(ALM35&lt;=0,0,IF(CM36&lt;=0,MIN(MAX(0,AB36-SUM(PR36:QL36)),ALM35),MIN(MAX(0,AB36-SUM(PR36:QL36)),ALM35-G36*MAX(0,CM36*ALM35-(XL36+AAY36))))),MIN(FZ36,MAX(0,AB36-SUM(PR36:QL36))))</f>
        <v>0</v>
      </c>
      <c r="QN36" s="20" t="n">
        <f aca="false">IF(H_Direct=1,IF(ALN35&lt;=0,0,IF(CN36&lt;=0,MIN(MAX(0,AB36-SUM(PR36:QM36)),ALN35),MIN(MAX(0,AB36-SUM(PR36:QM36)),ALN35-G36*MAX(0,CN36*ALN35-(XM36+AAZ36))))),MIN(GA36,MAX(0,AB36-SUM(PR36:QM36))))</f>
        <v>0</v>
      </c>
      <c r="QO36" s="20" t="n">
        <f aca="false">IF(H_Direct=1,IF(ALO35&lt;=0,0,IF(CO36&lt;=0,MIN(MAX(0,AB36-SUM(PR36:QN36)),ALO35),MIN(MAX(0,AB36-SUM(PR36:QN36)),ALO35-G36*MAX(0,CO36*ALO35-(XN36+ABA36))))),MIN(GB36,MAX(0,AB36-SUM(PR36:QN36))))</f>
        <v>0</v>
      </c>
      <c r="QP36" s="20" t="n">
        <f aca="false">IF(H_Direct=1,IF(ALP35&lt;=0,0,IF(CP36&lt;=0,MIN(MAX(0,AB36-SUM(PR36:QO36)),ALP35),MIN(MAX(0,AB36-SUM(PR36:QO36)),ALP35-G36*MAX(0,CP36*ALP35-(XO36+ABB36))))),MIN(GC36,MAX(0,AB36-SUM(PR36:QO36))))</f>
        <v>0</v>
      </c>
      <c r="QQ36" s="20" t="n">
        <f aca="false">IF(H_Direct=1,IF(ALQ35&lt;=0,0,IF(CQ36&lt;=0,MIN(MAX(0,AB36-SUM(PR36:QP36)),ALQ35),MIN(MAX(0,AB36-SUM(PR36:QP36)),ALQ35-G36*MAX(0,CQ36*ALQ35-(XP36+ABC36))))),MIN(GD36,MAX(0,AB36-SUM(PR36:QP36))))</f>
        <v>0</v>
      </c>
      <c r="QR36" s="20" t="n">
        <f aca="false">IF(H_Direct=1,IF(ALR35&lt;=0,0,IF(CR36&lt;=0,MIN(MAX(0,AB36-SUM(PR36:QQ36)),ALR35),MIN(MAX(0,AB36-SUM(PR36:QQ36)),ALR35-G36*MAX(0,CR36*ALR35-(XQ36+ABD36))))),MIN(GE36,MAX(0,AB36-SUM(PR36:QQ36))))</f>
        <v>0</v>
      </c>
      <c r="QS36" s="20" t="n">
        <f aca="false">IF(H_Direct=1,IF(ALS35&lt;=0,0,IF(CS36&lt;=0,MIN(MAX(0,AB36-SUM(PR36:QR36)),ALS35),MIN(MAX(0,AB36-SUM(PR36:QR36)),ALS35-G36*MAX(0,CS36*ALS35-(XR36+ABE36))))),MIN(GF36,MAX(0,AB36-SUM(PR36:QR36))))</f>
        <v>0</v>
      </c>
      <c r="QT36" s="20" t="n">
        <f aca="false">IF(H_Direct=1,IF(ALT35&lt;=0,0,IF(CT36&lt;=0,MIN(MAX(0,AB36-SUM(PR36:QS36)),ALT35),MIN(MAX(0,AB36-SUM(PR36:QS36)),ALT35-G36*MAX(0,CT36*ALT35-(XS36+ABF36))))),MIN(GG36,MAX(0,AB36-SUM(PR36:QS36))))</f>
        <v>0</v>
      </c>
      <c r="QU36" s="20" t="n">
        <f aca="false">IF(H_Direct=1,IF((P36+S36)&lt;=0,0,IF(CU36&lt;=0,MIN(MAX(0,AB36-SUM(PR36:QT36)),(P36+S36)),MIN(MAX(0,AB36-SUM(PR36:QT36)),(P36+S36)-G36*MAX(0,CU36*(P36+S36)-(XT36+ABG36))))),MIN(GH36,MAX(0,AB36-SUM(PR36:QT36))))</f>
        <v>0</v>
      </c>
      <c r="QV36" s="20" t="n">
        <v>0</v>
      </c>
      <c r="QW36" s="20" t="n">
        <v>0</v>
      </c>
      <c r="QX36" s="20" t="n">
        <v>0</v>
      </c>
      <c r="QY36" s="20" t="n">
        <v>0</v>
      </c>
      <c r="QZ36" s="20" t="n">
        <v>0</v>
      </c>
      <c r="RA36" s="20" t="n">
        <v>0</v>
      </c>
      <c r="RB36" s="20" t="n">
        <v>0</v>
      </c>
      <c r="RC36" s="20" t="n">
        <v>0</v>
      </c>
      <c r="RD36" s="20" t="n">
        <v>0</v>
      </c>
      <c r="RE36" s="20" t="n">
        <v>0</v>
      </c>
      <c r="RF36" s="20" t="n">
        <v>0</v>
      </c>
      <c r="RG36" s="20" t="n">
        <v>0</v>
      </c>
      <c r="RH36" s="20" t="n">
        <v>0</v>
      </c>
      <c r="RI36" s="20" t="n">
        <v>0</v>
      </c>
      <c r="RJ36" s="20" t="n">
        <v>0</v>
      </c>
      <c r="RK36" s="20" t="n">
        <v>0</v>
      </c>
      <c r="RL36" s="20" t="n">
        <v>0</v>
      </c>
      <c r="RM36" s="20" t="n">
        <v>0</v>
      </c>
      <c r="RN36" s="20" t="n">
        <v>0</v>
      </c>
      <c r="RO36" s="20" t="n">
        <v>0</v>
      </c>
      <c r="RP36" s="20" t="n">
        <v>0</v>
      </c>
      <c r="RQ36" s="20" t="n">
        <v>0</v>
      </c>
      <c r="RR36" s="20" t="n">
        <v>0</v>
      </c>
      <c r="RS36" s="20" t="n">
        <v>0</v>
      </c>
      <c r="RT36" s="20" t="n">
        <v>0</v>
      </c>
      <c r="RU36" s="20" t="n">
        <v>0</v>
      </c>
      <c r="RV36" s="20" t="n">
        <v>0</v>
      </c>
      <c r="RW36" s="20" t="n">
        <v>0</v>
      </c>
      <c r="RX36" s="20" t="n">
        <v>0</v>
      </c>
      <c r="RY36" s="20" t="n">
        <v>0</v>
      </c>
      <c r="RZ36" s="20" t="n">
        <v>0</v>
      </c>
      <c r="SA36" s="20" t="n">
        <v>0</v>
      </c>
      <c r="SB36" s="20" t="n">
        <v>0</v>
      </c>
      <c r="SC36" s="20" t="n">
        <v>0</v>
      </c>
      <c r="SD36" s="20" t="n">
        <v>0</v>
      </c>
      <c r="SE36" s="20" t="n">
        <v>0</v>
      </c>
      <c r="SF36" s="20" t="n">
        <v>0</v>
      </c>
      <c r="SG36" s="20" t="n">
        <v>0</v>
      </c>
      <c r="SH36" s="20" t="n">
        <v>0</v>
      </c>
      <c r="SI36" s="20" t="n">
        <v>0</v>
      </c>
      <c r="SJ36" s="20" t="n">
        <v>0</v>
      </c>
      <c r="SK36" s="20" t="n">
        <v>0</v>
      </c>
      <c r="SL36" s="20" t="n">
        <v>0</v>
      </c>
      <c r="SM36" s="20" t="n">
        <v>0</v>
      </c>
      <c r="SN36" s="20" t="n">
        <v>0</v>
      </c>
      <c r="SO36" s="20" t="n">
        <v>0</v>
      </c>
      <c r="SP36" s="20" t="n">
        <v>0</v>
      </c>
      <c r="SQ36" s="20" t="n">
        <v>0</v>
      </c>
      <c r="SR36" s="20" t="n">
        <v>0</v>
      </c>
      <c r="SS36" s="20" t="n">
        <v>0</v>
      </c>
      <c r="ST36" s="20" t="n">
        <v>0</v>
      </c>
      <c r="SU36" s="20" t="n">
        <v>0</v>
      </c>
      <c r="SV36" s="20" t="n">
        <v>0</v>
      </c>
      <c r="SW36" s="20" t="n">
        <v>0</v>
      </c>
      <c r="SX36" s="20" t="n">
        <v>0</v>
      </c>
      <c r="SY36" s="20" t="n">
        <v>0</v>
      </c>
      <c r="SZ36" s="20" t="n">
        <v>0</v>
      </c>
      <c r="TA36" s="20" t="n">
        <v>0</v>
      </c>
      <c r="TB36" s="20" t="n">
        <v>0</v>
      </c>
      <c r="TC36" s="20" t="n">
        <v>0</v>
      </c>
      <c r="TD36" s="20" t="n">
        <v>0</v>
      </c>
      <c r="TE36" s="20" t="n">
        <f aca="false">IF(AKR35&lt;=0,0,IF(H_Direct=1,IF(BR36&lt;=0,PR36,IF(PR36&lt;=(H36+I36)/BR36,PR36,(PR36-G36*(H36+I36))/(1-G36*BR36))),PR36/(1-MAX(0,BR36)*H_Exit)))</f>
        <v>0</v>
      </c>
      <c r="TF36" s="20" t="n">
        <f aca="false">IF(AKS35&lt;=0,0,IF(H_Direct=1,IF(BS36&lt;=0,PS36,IF(PS36&lt;=(WR36+AAE36)/BS36,PS36,(PS36-G36*(WR36+AAE36))/(1-G36*BS36))),PS36/(1-MAX(0,BS36)*H_Exit)))</f>
        <v>0</v>
      </c>
      <c r="TG36" s="20" t="n">
        <f aca="false">IF(AKT35&lt;=0,0,IF(H_Direct=1,IF(BT36&lt;=0,PT36,IF(PT36&lt;=(WS36+AAF36)/BT36,PT36,(PT36-G36*(WS36+AAF36))/(1-G36*BT36))),PT36/(1-MAX(0,BT36)*H_Exit)))</f>
        <v>0</v>
      </c>
      <c r="TH36" s="20" t="n">
        <f aca="false">IF(AKU35&lt;=0,0,IF(H_Direct=1,IF(BU36&lt;=0,PU36,IF(PU36&lt;=(WT36+AAG36)/BU36,PU36,(PU36-G36*(WT36+AAG36))/(1-G36*BU36))),PU36/(1-MAX(0,BU36)*H_Exit)))</f>
        <v>0</v>
      </c>
      <c r="TI36" s="20" t="n">
        <f aca="false">IF(AKV35&lt;=0,0,IF(H_Direct=1,IF(BV36&lt;=0,PV36,IF(PV36&lt;=(WU36+AAH36)/BV36,PV36,(PV36-G36*(WU36+AAH36))/(1-G36*BV36))),PV36/(1-MAX(0,BV36)*H_Exit)))</f>
        <v>0</v>
      </c>
      <c r="TJ36" s="20" t="n">
        <f aca="false">IF(AKW35&lt;=0,0,IF(H_Direct=1,IF(BW36&lt;=0,PW36,IF(PW36&lt;=(WV36+AAI36)/BW36,PW36,(PW36-G36*(WV36+AAI36))/(1-G36*BW36))),PW36/(1-MAX(0,BW36)*H_Exit)))</f>
        <v>0</v>
      </c>
      <c r="TK36" s="20" t="n">
        <f aca="false">IF(AKX35&lt;=0,0,IF(H_Direct=1,IF(BX36&lt;=0,PX36,IF(PX36&lt;=(WW36+AAJ36)/BX36,PX36,(PX36-G36*(WW36+AAJ36))/(1-G36*BX36))),PX36/(1-MAX(0,BX36)*H_Exit)))</f>
        <v>0</v>
      </c>
      <c r="TL36" s="20" t="n">
        <f aca="false">IF(AKY35&lt;=0,0,IF(H_Direct=1,IF(BY36&lt;=0,PY36,IF(PY36&lt;=(WX36+AAK36)/BY36,PY36,(PY36-G36*(WX36+AAK36))/(1-G36*BY36))),PY36/(1-MAX(0,BY36)*H_Exit)))</f>
        <v>0</v>
      </c>
      <c r="TM36" s="20" t="n">
        <f aca="false">IF(AKZ35&lt;=0,0,IF(H_Direct=1,IF(BZ36&lt;=0,PZ36,IF(PZ36&lt;=(WY36+AAL36)/BZ36,PZ36,(PZ36-G36*(WY36+AAL36))/(1-G36*BZ36))),PZ36/(1-MAX(0,BZ36)*H_Exit)))</f>
        <v>0</v>
      </c>
      <c r="TN36" s="20" t="n">
        <f aca="false">IF(ALA35&lt;=0,0,IF(H_Direct=1,IF(CA36&lt;=0,QA36,IF(QA36&lt;=(WZ36+AAM36)/CA36,QA36,(QA36-G36*(WZ36+AAM36))/(1-G36*CA36))),QA36/(1-MAX(0,CA36)*H_Exit)))</f>
        <v>0</v>
      </c>
      <c r="TO36" s="20" t="n">
        <f aca="false">IF(ALB35&lt;=0,0,IF(H_Direct=1,IF(CB36&lt;=0,QB36,IF(QB36&lt;=(XA36+AAN36)/CB36,QB36,(QB36-G36*(XA36+AAN36))/(1-G36*CB36))),QB36/(1-MAX(0,CB36)*H_Exit)))</f>
        <v>0</v>
      </c>
      <c r="TP36" s="20" t="n">
        <f aca="false">IF(ALC35&lt;=0,0,IF(H_Direct=1,IF(CC36&lt;=0,QC36,IF(QC36&lt;=(XB36+AAO36)/CC36,QC36,(QC36-G36*(XB36+AAO36))/(1-G36*CC36))),QC36/(1-MAX(0,CC36)*H_Exit)))</f>
        <v>0</v>
      </c>
      <c r="TQ36" s="20" t="n">
        <f aca="false">IF(ALD35&lt;=0,0,IF(H_Direct=1,IF(CD36&lt;=0,QD36,IF(QD36&lt;=(XC36+AAP36)/CD36,QD36,(QD36-G36*(XC36+AAP36))/(1-G36*CD36))),QD36/(1-MAX(0,CD36)*H_Exit)))</f>
        <v>0</v>
      </c>
      <c r="TR36" s="20" t="n">
        <f aca="false">IF(ALE35&lt;=0,0,IF(H_Direct=1,IF(CE36&lt;=0,QE36,IF(QE36&lt;=(XD36+AAQ36)/CE36,QE36,(QE36-G36*(XD36+AAQ36))/(1-G36*CE36))),QE36/(1-MAX(0,CE36)*H_Exit)))</f>
        <v>0</v>
      </c>
      <c r="TS36" s="20" t="n">
        <f aca="false">IF(ALF35&lt;=0,0,IF(H_Direct=1,IF(CF36&lt;=0,QF36,IF(QF36&lt;=(XE36+AAR36)/CF36,QF36,(QF36-G36*(XE36+AAR36))/(1-G36*CF36))),QF36/(1-MAX(0,CF36)*H_Exit)))</f>
        <v>0</v>
      </c>
      <c r="TT36" s="20" t="n">
        <f aca="false">IF(ALG35&lt;=0,0,IF(H_Direct=1,IF(CG36&lt;=0,QG36,IF(QG36&lt;=(XF36+AAS36)/CG36,QG36,(QG36-G36*(XF36+AAS36))/(1-G36*CG36))),QG36/(1-MAX(0,CG36)*H_Exit)))</f>
        <v>0</v>
      </c>
      <c r="TU36" s="20" t="n">
        <f aca="false">IF(ALH35&lt;=0,0,IF(H_Direct=1,IF(CH36&lt;=0,QH36,IF(QH36&lt;=(XG36+AAT36)/CH36,QH36,(QH36-G36*(XG36+AAT36))/(1-G36*CH36))),QH36/(1-MAX(0,CH36)*H_Exit)))</f>
        <v>0</v>
      </c>
      <c r="TV36" s="20" t="n">
        <f aca="false">IF(ALI35&lt;=0,0,IF(H_Direct=1,IF(CI36&lt;=0,QI36,IF(QI36&lt;=(XH36+AAU36)/CI36,QI36,(QI36-G36*(XH36+AAU36))/(1-G36*CI36))),QI36/(1-MAX(0,CI36)*H_Exit)))</f>
        <v>0</v>
      </c>
      <c r="TW36" s="20" t="n">
        <f aca="false">IF(ALJ35&lt;=0,0,IF(H_Direct=1,IF(CJ36&lt;=0,QJ36,IF(QJ36&lt;=(XI36+AAV36)/CJ36,QJ36,(QJ36-G36*(XI36+AAV36))/(1-G36*CJ36))),QJ36/(1-MAX(0,CJ36)*H_Exit)))</f>
        <v>0</v>
      </c>
      <c r="TX36" s="20" t="n">
        <f aca="false">IF(ALK35&lt;=0,0,IF(H_Direct=1,IF(CK36&lt;=0,QK36,IF(QK36&lt;=(XJ36+AAW36)/CK36,QK36,(QK36-G36*(XJ36+AAW36))/(1-G36*CK36))),QK36/(1-MAX(0,CK36)*H_Exit)))</f>
        <v>0</v>
      </c>
      <c r="TY36" s="20" t="n">
        <f aca="false">IF(ALL35&lt;=0,0,IF(H_Direct=1,IF(CL36&lt;=0,QL36,IF(QL36&lt;=(XK36+AAX36)/CL36,QL36,(QL36-G36*(XK36+AAX36))/(1-G36*CL36))),QL36/(1-MAX(0,CL36)*H_Exit)))</f>
        <v>0</v>
      </c>
      <c r="TZ36" s="20" t="n">
        <f aca="false">IF(ALM35&lt;=0,0,IF(H_Direct=1,IF(CM36&lt;=0,QM36,IF(QM36&lt;=(XL36+AAY36)/CM36,QM36,(QM36-G36*(XL36+AAY36))/(1-G36*CM36))),QM36/(1-MAX(0,CM36)*H_Exit)))</f>
        <v>0</v>
      </c>
      <c r="UA36" s="20" t="n">
        <f aca="false">IF(ALN35&lt;=0,0,IF(H_Direct=1,IF(CN36&lt;=0,QN36,IF(QN36&lt;=(XM36+AAZ36)/CN36,QN36,(QN36-G36*(XM36+AAZ36))/(1-G36*CN36))),QN36/(1-MAX(0,CN36)*H_Exit)))</f>
        <v>0</v>
      </c>
      <c r="UB36" s="20" t="n">
        <f aca="false">IF(ALO35&lt;=0,0,IF(H_Direct=1,IF(CO36&lt;=0,QO36,IF(QO36&lt;=(XN36+ABA36)/CO36,QO36,(QO36-G36*(XN36+ABA36))/(1-G36*CO36))),QO36/(1-MAX(0,CO36)*H_Exit)))</f>
        <v>0</v>
      </c>
      <c r="UC36" s="20" t="n">
        <f aca="false">IF(ALP35&lt;=0,0,IF(H_Direct=1,IF(CP36&lt;=0,QP36,IF(QP36&lt;=(XO36+ABB36)/CP36,QP36,(QP36-G36*(XO36+ABB36))/(1-G36*CP36))),QP36/(1-MAX(0,CP36)*H_Exit)))</f>
        <v>0</v>
      </c>
      <c r="UD36" s="20" t="n">
        <f aca="false">IF(ALQ35&lt;=0,0,IF(H_Direct=1,IF(CQ36&lt;=0,QQ36,IF(QQ36&lt;=(XP36+ABC36)/CQ36,QQ36,(QQ36-G36*(XP36+ABC36))/(1-G36*CQ36))),QQ36/(1-MAX(0,CQ36)*H_Exit)))</f>
        <v>0</v>
      </c>
      <c r="UE36" s="20" t="n">
        <f aca="false">IF(ALR35&lt;=0,0,IF(H_Direct=1,IF(CR36&lt;=0,QR36,IF(QR36&lt;=(XQ36+ABD36)/CR36,QR36,(QR36-G36*(XQ36+ABD36))/(1-G36*CR36))),QR36/(1-MAX(0,CR36)*H_Exit)))</f>
        <v>0</v>
      </c>
      <c r="UF36" s="20" t="n">
        <f aca="false">IF(ALS35&lt;=0,0,IF(H_Direct=1,IF(CS36&lt;=0,QS36,IF(QS36&lt;=(XR36+ABE36)/CS36,QS36,(QS36-G36*(XR36+ABE36))/(1-G36*CS36))),QS36/(1-MAX(0,CS36)*H_Exit)))</f>
        <v>0</v>
      </c>
      <c r="UG36" s="20" t="n">
        <f aca="false">IF(ALT35&lt;=0,0,IF(H_Direct=1,IF(CT36&lt;=0,QT36,IF(QT36&lt;=(XS36+ABF36)/CT36,QT36,(QT36-G36*(XS36+ABF36))/(1-G36*CT36))),QT36/(1-MAX(0,CT36)*H_Exit)))</f>
        <v>0</v>
      </c>
      <c r="UH36" s="20" t="n">
        <f aca="false">IF((P36+S36)&lt;=0,0,IF(H_Direct=1,IF(CU36&lt;=0,QU36,IF(QU36&lt;=(XT36+ABG36)/CU36,QU36,(QU36-G36*(XT36+ABG36))/(1-G36*CU36))),QU36/(1-MAX(0,CU36)*H_Exit)))</f>
        <v>0</v>
      </c>
      <c r="UI36" s="20" t="n">
        <v>0</v>
      </c>
      <c r="UJ36" s="20" t="n">
        <v>0</v>
      </c>
      <c r="UK36" s="20" t="n">
        <v>0</v>
      </c>
      <c r="UL36" s="20" t="n">
        <v>0</v>
      </c>
      <c r="UM36" s="20" t="n">
        <v>0</v>
      </c>
      <c r="UN36" s="20" t="n">
        <v>0</v>
      </c>
      <c r="UO36" s="20" t="n">
        <v>0</v>
      </c>
      <c r="UP36" s="20" t="n">
        <v>0</v>
      </c>
      <c r="UQ36" s="20" t="n">
        <v>0</v>
      </c>
      <c r="UR36" s="20" t="n">
        <v>0</v>
      </c>
      <c r="US36" s="20" t="n">
        <v>0</v>
      </c>
      <c r="UT36" s="20" t="n">
        <v>0</v>
      </c>
      <c r="UU36" s="20" t="n">
        <v>0</v>
      </c>
      <c r="UV36" s="20" t="n">
        <v>0</v>
      </c>
      <c r="UW36" s="20" t="n">
        <v>0</v>
      </c>
      <c r="UX36" s="20" t="n">
        <v>0</v>
      </c>
      <c r="UY36" s="20" t="n">
        <v>0</v>
      </c>
      <c r="UZ36" s="20" t="n">
        <v>0</v>
      </c>
      <c r="VA36" s="20" t="n">
        <v>0</v>
      </c>
      <c r="VB36" s="20" t="n">
        <v>0</v>
      </c>
      <c r="VC36" s="20" t="n">
        <v>0</v>
      </c>
      <c r="VD36" s="20" t="n">
        <v>0</v>
      </c>
      <c r="VE36" s="20" t="n">
        <v>0</v>
      </c>
      <c r="VF36" s="20" t="n">
        <v>0</v>
      </c>
      <c r="VG36" s="20" t="n">
        <v>0</v>
      </c>
      <c r="VH36" s="20" t="n">
        <v>0</v>
      </c>
      <c r="VI36" s="20" t="n">
        <v>0</v>
      </c>
      <c r="VJ36" s="20" t="n">
        <v>0</v>
      </c>
      <c r="VK36" s="20" t="n">
        <v>0</v>
      </c>
      <c r="VL36" s="20" t="n">
        <v>0</v>
      </c>
      <c r="VM36" s="20" t="n">
        <v>0</v>
      </c>
      <c r="VN36" s="20" t="n">
        <v>0</v>
      </c>
      <c r="VO36" s="20" t="n">
        <v>0</v>
      </c>
      <c r="VP36" s="20" t="n">
        <v>0</v>
      </c>
      <c r="VQ36" s="20" t="n">
        <v>0</v>
      </c>
      <c r="VR36" s="20" t="n">
        <v>0</v>
      </c>
      <c r="VS36" s="20" t="n">
        <v>0</v>
      </c>
      <c r="VT36" s="20" t="n">
        <v>0</v>
      </c>
      <c r="VU36" s="20" t="n">
        <v>0</v>
      </c>
      <c r="VV36" s="20" t="n">
        <v>0</v>
      </c>
      <c r="VW36" s="20" t="n">
        <v>0</v>
      </c>
      <c r="VX36" s="20" t="n">
        <v>0</v>
      </c>
      <c r="VY36" s="20" t="n">
        <v>0</v>
      </c>
      <c r="VZ36" s="20" t="n">
        <v>0</v>
      </c>
      <c r="WA36" s="20" t="n">
        <v>0</v>
      </c>
      <c r="WB36" s="20" t="n">
        <v>0</v>
      </c>
      <c r="WC36" s="20" t="n">
        <v>0</v>
      </c>
      <c r="WD36" s="20" t="n">
        <v>0</v>
      </c>
      <c r="WE36" s="20" t="n">
        <v>0</v>
      </c>
      <c r="WF36" s="20" t="n">
        <v>0</v>
      </c>
      <c r="WG36" s="20" t="n">
        <v>0</v>
      </c>
      <c r="WH36" s="20" t="n">
        <v>0</v>
      </c>
      <c r="WI36" s="20" t="n">
        <v>0</v>
      </c>
      <c r="WJ36" s="20" t="n">
        <v>0</v>
      </c>
      <c r="WK36" s="20" t="n">
        <v>0</v>
      </c>
      <c r="WL36" s="20" t="n">
        <v>0</v>
      </c>
      <c r="WM36" s="20" t="n">
        <v>0</v>
      </c>
      <c r="WN36" s="20" t="n">
        <v>0</v>
      </c>
      <c r="WO36" s="20" t="n">
        <v>0</v>
      </c>
      <c r="WP36" s="20" t="n">
        <v>0</v>
      </c>
      <c r="WQ36" s="20" t="n">
        <v>0</v>
      </c>
      <c r="WR36" s="20" t="n">
        <f aca="false">IF(AND(H_Direct=1,BR36&gt;0),MAX(0,H36-(MIN(BR36*TE36,(H36+I36))-MIN(MIN(BR36*TE36,(H36+I36)),I36))),H36)</f>
        <v>1270</v>
      </c>
      <c r="WS36" s="20" t="n">
        <f aca="false">IF(AND(H_Direct=1,BS36&gt;0),MAX(0,WR36-(MIN(BS36*TF36,(WR36+AAE36))-MIN(MIN(BS36*TF36,(WR36+AAE36)),AAE36))),WR36)</f>
        <v>1270</v>
      </c>
      <c r="WT36" s="20" t="n">
        <f aca="false">IF(AND(H_Direct=1,BT36&gt;0),MAX(0,WS36-(MIN(BT36*TG36,(WS36+AAF36))-MIN(MIN(BT36*TG36,(WS36+AAF36)),AAF36))),WS36)</f>
        <v>1270</v>
      </c>
      <c r="WU36" s="20" t="n">
        <f aca="false">IF(AND(H_Direct=1,BU36&gt;0),MAX(0,WT36-(MIN(BU36*TH36,(WT36+AAG36))-MIN(MIN(BU36*TH36,(WT36+AAG36)),AAG36))),WT36)</f>
        <v>1270</v>
      </c>
      <c r="WV36" s="20" t="n">
        <f aca="false">IF(AND(H_Direct=1,BV36&gt;0),MAX(0,WU36-(MIN(BV36*TI36,(WU36+AAH36))-MIN(MIN(BV36*TI36,(WU36+AAH36)),AAH36))),WU36)</f>
        <v>1270</v>
      </c>
      <c r="WW36" s="20" t="n">
        <f aca="false">IF(AND(H_Direct=1,BW36&gt;0),MAX(0,WV36-(MIN(BW36*TJ36,(WV36+AAI36))-MIN(MIN(BW36*TJ36,(WV36+AAI36)),AAI36))),WV36)</f>
        <v>1270</v>
      </c>
      <c r="WX36" s="20" t="n">
        <f aca="false">IF(AND(H_Direct=1,BX36&gt;0),MAX(0,WW36-(MIN(BX36*TK36,(WW36+AAJ36))-MIN(MIN(BX36*TK36,(WW36+AAJ36)),AAJ36))),WW36)</f>
        <v>1270</v>
      </c>
      <c r="WY36" s="20" t="n">
        <f aca="false">IF(AND(H_Direct=1,BY36&gt;0),MAX(0,WX36-(MIN(BY36*TL36,(WX36+AAK36))-MIN(MIN(BY36*TL36,(WX36+AAK36)),AAK36))),WX36)</f>
        <v>1270</v>
      </c>
      <c r="WZ36" s="20" t="n">
        <f aca="false">IF(AND(H_Direct=1,BZ36&gt;0),MAX(0,WY36-(MIN(BZ36*TM36,(WY36+AAL36))-MIN(MIN(BZ36*TM36,(WY36+AAL36)),AAL36))),WY36)</f>
        <v>1270</v>
      </c>
      <c r="XA36" s="20" t="n">
        <f aca="false">IF(AND(H_Direct=1,CA36&gt;0),MAX(0,WZ36-(MIN(CA36*TN36,(WZ36+AAM36))-MIN(MIN(CA36*TN36,(WZ36+AAM36)),AAM36))),WZ36)</f>
        <v>1270</v>
      </c>
      <c r="XB36" s="20" t="n">
        <f aca="false">IF(AND(H_Direct=1,CB36&gt;0),MAX(0,XA36-(MIN(CB36*TO36,(XA36+AAN36))-MIN(MIN(CB36*TO36,(XA36+AAN36)),AAN36))),XA36)</f>
        <v>1270</v>
      </c>
      <c r="XC36" s="20" t="n">
        <f aca="false">IF(AND(H_Direct=1,CC36&gt;0),MAX(0,XB36-(MIN(CC36*TP36,(XB36+AAO36))-MIN(MIN(CC36*TP36,(XB36+AAO36)),AAO36))),XB36)</f>
        <v>1270</v>
      </c>
      <c r="XD36" s="20" t="n">
        <f aca="false">IF(AND(H_Direct=1,CD36&gt;0),MAX(0,XC36-(MIN(CD36*TQ36,(XC36+AAP36))-MIN(MIN(CD36*TQ36,(XC36+AAP36)),AAP36))),XC36)</f>
        <v>1270</v>
      </c>
      <c r="XE36" s="20" t="n">
        <f aca="false">IF(AND(H_Direct=1,CE36&gt;0),MAX(0,XD36-(MIN(CE36*TR36,(XD36+AAQ36))-MIN(MIN(CE36*TR36,(XD36+AAQ36)),AAQ36))),XD36)</f>
        <v>1270</v>
      </c>
      <c r="XF36" s="20" t="n">
        <f aca="false">IF(AND(H_Direct=1,CF36&gt;0),MAX(0,XE36-(MIN(CF36*TS36,(XE36+AAR36))-MIN(MIN(CF36*TS36,(XE36+AAR36)),AAR36))),XE36)</f>
        <v>1270</v>
      </c>
      <c r="XG36" s="20" t="n">
        <f aca="false">IF(AND(H_Direct=1,CG36&gt;0),MAX(0,XF36-(MIN(CG36*TT36,(XF36+AAS36))-MIN(MIN(CG36*TT36,(XF36+AAS36)),AAS36))),XF36)</f>
        <v>1270</v>
      </c>
      <c r="XH36" s="20" t="n">
        <f aca="false">IF(AND(H_Direct=1,CH36&gt;0),MAX(0,XG36-(MIN(CH36*TU36,(XG36+AAT36))-MIN(MIN(CH36*TU36,(XG36+AAT36)),AAT36))),XG36)</f>
        <v>1270</v>
      </c>
      <c r="XI36" s="20" t="n">
        <f aca="false">IF(AND(H_Direct=1,CI36&gt;0),MAX(0,XH36-(MIN(CI36*TV36,(XH36+AAU36))-MIN(MIN(CI36*TV36,(XH36+AAU36)),AAU36))),XH36)</f>
        <v>1270</v>
      </c>
      <c r="XJ36" s="20" t="n">
        <f aca="false">IF(AND(H_Direct=1,CJ36&gt;0),MAX(0,XI36-(MIN(CJ36*TW36,(XI36+AAV36))-MIN(MIN(CJ36*TW36,(XI36+AAV36)),AAV36))),XI36)</f>
        <v>1270</v>
      </c>
      <c r="XK36" s="20" t="n">
        <f aca="false">IF(AND(H_Direct=1,CK36&gt;0),MAX(0,XJ36-(MIN(CK36*TX36,(XJ36+AAW36))-MIN(MIN(CK36*TX36,(XJ36+AAW36)),AAW36))),XJ36)</f>
        <v>1270</v>
      </c>
      <c r="XL36" s="20" t="n">
        <f aca="false">IF(AND(H_Direct=1,CL36&gt;0),MAX(0,XK36-(MIN(CL36*TY36,(XK36+AAX36))-MIN(MIN(CL36*TY36,(XK36+AAX36)),AAX36))),XK36)</f>
        <v>1270</v>
      </c>
      <c r="XM36" s="20" t="n">
        <f aca="false">IF(AND(H_Direct=1,CM36&gt;0),MAX(0,XL36-(MIN(CM36*TZ36,(XL36+AAY36))-MIN(MIN(CM36*TZ36,(XL36+AAY36)),AAY36))),XL36)</f>
        <v>1270</v>
      </c>
      <c r="XN36" s="20" t="n">
        <f aca="false">IF(AND(H_Direct=1,CN36&gt;0),MAX(0,XM36-(MIN(CN36*UA36,(XM36+AAZ36))-MIN(MIN(CN36*UA36,(XM36+AAZ36)),AAZ36))),XM36)</f>
        <v>1270</v>
      </c>
      <c r="XO36" s="20" t="n">
        <f aca="false">IF(AND(H_Direct=1,CO36&gt;0),MAX(0,XN36-(MIN(CO36*UB36,(XN36+ABA36))-MIN(MIN(CO36*UB36,(XN36+ABA36)),ABA36))),XN36)</f>
        <v>1270</v>
      </c>
      <c r="XP36" s="20" t="n">
        <f aca="false">IF(AND(H_Direct=1,CP36&gt;0),MAX(0,XO36-(MIN(CP36*UC36,(XO36+ABB36))-MIN(MIN(CP36*UC36,(XO36+ABB36)),ABB36))),XO36)</f>
        <v>1270</v>
      </c>
      <c r="XQ36" s="20" t="n">
        <f aca="false">IF(AND(H_Direct=1,CQ36&gt;0),MAX(0,XP36-(MIN(CQ36*UD36,(XP36+ABC36))-MIN(MIN(CQ36*UD36,(XP36+ABC36)),ABC36))),XP36)</f>
        <v>1270</v>
      </c>
      <c r="XR36" s="20" t="n">
        <f aca="false">IF(AND(H_Direct=1,CR36&gt;0),MAX(0,XQ36-(MIN(CR36*UE36,(XQ36+ABD36))-MIN(MIN(CR36*UE36,(XQ36+ABD36)),ABD36))),XQ36)</f>
        <v>1270</v>
      </c>
      <c r="XS36" s="20" t="n">
        <f aca="false">IF(AND(H_Direct=1,CS36&gt;0),MAX(0,XR36-(MIN(CS36*UF36,(XR36+ABE36))-MIN(MIN(CS36*UF36,(XR36+ABE36)),ABE36))),XR36)</f>
        <v>1270</v>
      </c>
      <c r="XT36" s="20" t="n">
        <f aca="false">IF(AND(H_Direct=1,CT36&gt;0),MAX(0,XS36-(MIN(CT36*UG36,(XS36+ABF36))-MIN(MIN(CT36*UG36,(XS36+ABF36)),ABF36))),XS36)</f>
        <v>1270</v>
      </c>
      <c r="XU36" s="20" t="n">
        <f aca="false">IF(AND(H_Direct=1,CU36&gt;0),MAX(0,XT36-(MIN(CU36*UH36,(XT36+ABG36))-MIN(MIN(CU36*UH36,(XT36+ABG36)),ABG36))),XT36)</f>
        <v>1270</v>
      </c>
      <c r="XV36" s="20" t="n">
        <f aca="false">XU36</f>
        <v>1270</v>
      </c>
      <c r="XW36" s="20" t="n">
        <f aca="false">XV36</f>
        <v>1270</v>
      </c>
      <c r="XX36" s="20" t="n">
        <f aca="false">XW36</f>
        <v>1270</v>
      </c>
      <c r="XY36" s="20" t="n">
        <f aca="false">XX36</f>
        <v>1270</v>
      </c>
      <c r="XZ36" s="20" t="n">
        <f aca="false">XY36</f>
        <v>1270</v>
      </c>
      <c r="YA36" s="20" t="n">
        <f aca="false">XZ36</f>
        <v>1270</v>
      </c>
      <c r="YB36" s="20" t="n">
        <f aca="false">YA36</f>
        <v>1270</v>
      </c>
      <c r="YC36" s="20" t="n">
        <f aca="false">YB36</f>
        <v>1270</v>
      </c>
      <c r="YD36" s="20" t="n">
        <f aca="false">YC36</f>
        <v>1270</v>
      </c>
      <c r="YE36" s="20" t="n">
        <f aca="false">YD36</f>
        <v>1270</v>
      </c>
      <c r="YF36" s="20" t="n">
        <f aca="false">YE36</f>
        <v>1270</v>
      </c>
      <c r="YG36" s="20" t="n">
        <f aca="false">YF36</f>
        <v>1270</v>
      </c>
      <c r="YH36" s="20" t="n">
        <f aca="false">YG36</f>
        <v>1270</v>
      </c>
      <c r="YI36" s="20" t="n">
        <f aca="false">YH36</f>
        <v>1270</v>
      </c>
      <c r="YJ36" s="20" t="n">
        <f aca="false">YI36</f>
        <v>1270</v>
      </c>
      <c r="YK36" s="20" t="n">
        <f aca="false">YJ36</f>
        <v>1270</v>
      </c>
      <c r="YL36" s="20" t="n">
        <f aca="false">YK36</f>
        <v>1270</v>
      </c>
      <c r="YM36" s="20" t="n">
        <f aca="false">YL36</f>
        <v>1270</v>
      </c>
      <c r="YN36" s="20" t="n">
        <f aca="false">YM36</f>
        <v>1270</v>
      </c>
      <c r="YO36" s="20" t="n">
        <f aca="false">YN36</f>
        <v>1270</v>
      </c>
      <c r="YP36" s="20" t="n">
        <f aca="false">YO36</f>
        <v>1270</v>
      </c>
      <c r="YQ36" s="20" t="n">
        <f aca="false">YP36</f>
        <v>1270</v>
      </c>
      <c r="YR36" s="20" t="n">
        <f aca="false">YQ36</f>
        <v>1270</v>
      </c>
      <c r="YS36" s="20" t="n">
        <f aca="false">YR36</f>
        <v>1270</v>
      </c>
      <c r="YT36" s="20" t="n">
        <f aca="false">YS36</f>
        <v>1270</v>
      </c>
      <c r="YU36" s="20" t="n">
        <f aca="false">YT36</f>
        <v>1270</v>
      </c>
      <c r="YV36" s="20" t="n">
        <f aca="false">YU36</f>
        <v>1270</v>
      </c>
      <c r="YW36" s="20" t="n">
        <f aca="false">YV36</f>
        <v>1270</v>
      </c>
      <c r="YX36" s="20" t="n">
        <f aca="false">YW36</f>
        <v>1270</v>
      </c>
      <c r="YY36" s="20" t="n">
        <f aca="false">YX36</f>
        <v>1270</v>
      </c>
      <c r="YZ36" s="20" t="n">
        <f aca="false">YY36</f>
        <v>1270</v>
      </c>
      <c r="ZA36" s="20" t="n">
        <f aca="false">YZ36</f>
        <v>1270</v>
      </c>
      <c r="ZB36" s="20" t="n">
        <f aca="false">ZA36</f>
        <v>1270</v>
      </c>
      <c r="ZC36" s="20" t="n">
        <f aca="false">ZB36</f>
        <v>1270</v>
      </c>
      <c r="ZD36" s="20" t="n">
        <f aca="false">ZC36</f>
        <v>1270</v>
      </c>
      <c r="ZE36" s="20" t="n">
        <f aca="false">ZD36</f>
        <v>1270</v>
      </c>
      <c r="ZF36" s="20" t="n">
        <f aca="false">ZE36</f>
        <v>1270</v>
      </c>
      <c r="ZG36" s="20" t="n">
        <f aca="false">ZF36</f>
        <v>1270</v>
      </c>
      <c r="ZH36" s="20" t="n">
        <f aca="false">ZG36</f>
        <v>1270</v>
      </c>
      <c r="ZI36" s="20" t="n">
        <f aca="false">ZH36</f>
        <v>1270</v>
      </c>
      <c r="ZJ36" s="20" t="n">
        <f aca="false">ZI36</f>
        <v>1270</v>
      </c>
      <c r="ZK36" s="20" t="n">
        <f aca="false">ZJ36</f>
        <v>1270</v>
      </c>
      <c r="ZL36" s="20" t="n">
        <f aca="false">ZK36</f>
        <v>1270</v>
      </c>
      <c r="ZM36" s="20" t="n">
        <f aca="false">ZL36</f>
        <v>1270</v>
      </c>
      <c r="ZN36" s="20" t="n">
        <f aca="false">ZM36</f>
        <v>1270</v>
      </c>
      <c r="ZO36" s="20" t="n">
        <f aca="false">ZN36</f>
        <v>1270</v>
      </c>
      <c r="ZP36" s="20" t="n">
        <f aca="false">ZO36</f>
        <v>1270</v>
      </c>
      <c r="ZQ36" s="20" t="n">
        <f aca="false">ZP36</f>
        <v>1270</v>
      </c>
      <c r="ZR36" s="20" t="n">
        <f aca="false">ZQ36</f>
        <v>1270</v>
      </c>
      <c r="ZS36" s="20" t="n">
        <f aca="false">ZR36</f>
        <v>1270</v>
      </c>
      <c r="ZT36" s="20" t="n">
        <f aca="false">ZS36</f>
        <v>1270</v>
      </c>
      <c r="ZU36" s="20" t="n">
        <f aca="false">ZT36</f>
        <v>1270</v>
      </c>
      <c r="ZV36" s="20" t="n">
        <f aca="false">ZU36</f>
        <v>1270</v>
      </c>
      <c r="ZW36" s="20" t="n">
        <f aca="false">ZV36</f>
        <v>1270</v>
      </c>
      <c r="ZX36" s="20" t="n">
        <f aca="false">ZW36</f>
        <v>1270</v>
      </c>
      <c r="ZY36" s="20" t="n">
        <f aca="false">ZX36</f>
        <v>1270</v>
      </c>
      <c r="ZZ36" s="20" t="n">
        <f aca="false">ZY36</f>
        <v>1270</v>
      </c>
      <c r="AAA36" s="20" t="n">
        <f aca="false">ZZ36</f>
        <v>1270</v>
      </c>
      <c r="AAB36" s="20" t="n">
        <f aca="false">AAA36</f>
        <v>1270</v>
      </c>
      <c r="AAC36" s="20" t="n">
        <f aca="false">AAB36</f>
        <v>1270</v>
      </c>
      <c r="AAD36" s="20" t="n">
        <f aca="false">AAC36</f>
        <v>1270</v>
      </c>
      <c r="AAE36" s="20" t="n">
        <f aca="false">IF(H_Direct=1,IF(BR36&lt;=0,I36-BR36*TE36,I36-MIN(MIN(BR36*TE36,(H36+I36)),I36)),I36)</f>
        <v>0</v>
      </c>
      <c r="AAF36" s="20" t="n">
        <f aca="false">IF(H_Direct=1,IF(BS36&lt;=0,AAE36-BS36*TF36,AAE36-MIN(MIN(BS36*TF36,(WR36+AAE36)),AAE36)),AAE36)</f>
        <v>0</v>
      </c>
      <c r="AAG36" s="20" t="n">
        <f aca="false">IF(H_Direct=1,IF(BT36&lt;=0,AAF36-BT36*TG36,AAF36-MIN(MIN(BT36*TG36,(WS36+AAF36)),AAF36)),AAF36)</f>
        <v>0</v>
      </c>
      <c r="AAH36" s="20" t="n">
        <f aca="false">IF(H_Direct=1,IF(BU36&lt;=0,AAG36-BU36*TH36,AAG36-MIN(MIN(BU36*TH36,(WT36+AAG36)),AAG36)),AAG36)</f>
        <v>0</v>
      </c>
      <c r="AAI36" s="20" t="n">
        <f aca="false">IF(H_Direct=1,IF(BV36&lt;=0,AAH36-BV36*TI36,AAH36-MIN(MIN(BV36*TI36,(WU36+AAH36)),AAH36)),AAH36)</f>
        <v>0</v>
      </c>
      <c r="AAJ36" s="20" t="n">
        <f aca="false">IF(H_Direct=1,IF(BW36&lt;=0,AAI36-BW36*TJ36,AAI36-MIN(MIN(BW36*TJ36,(WV36+AAI36)),AAI36)),AAI36)</f>
        <v>0</v>
      </c>
      <c r="AAK36" s="20" t="n">
        <f aca="false">IF(H_Direct=1,IF(BX36&lt;=0,AAJ36-BX36*TK36,AAJ36-MIN(MIN(BX36*TK36,(WW36+AAJ36)),AAJ36)),AAJ36)</f>
        <v>0</v>
      </c>
      <c r="AAL36" s="20" t="n">
        <f aca="false">IF(H_Direct=1,IF(BY36&lt;=0,AAK36-BY36*TL36,AAK36-MIN(MIN(BY36*TL36,(WX36+AAK36)),AAK36)),AAK36)</f>
        <v>0</v>
      </c>
      <c r="AAM36" s="20" t="n">
        <f aca="false">IF(H_Direct=1,IF(BZ36&lt;=0,AAL36-BZ36*TM36,AAL36-MIN(MIN(BZ36*TM36,(WY36+AAL36)),AAL36)),AAL36)</f>
        <v>0</v>
      </c>
      <c r="AAN36" s="20" t="n">
        <f aca="false">IF(H_Direct=1,IF(CA36&lt;=0,AAM36-CA36*TN36,AAM36-MIN(MIN(CA36*TN36,(WZ36+AAM36)),AAM36)),AAM36)</f>
        <v>0</v>
      </c>
      <c r="AAO36" s="20" t="n">
        <f aca="false">IF(H_Direct=1,IF(CB36&lt;=0,AAN36-CB36*TO36,AAN36-MIN(MIN(CB36*TO36,(XA36+AAN36)),AAN36)),AAN36)</f>
        <v>0</v>
      </c>
      <c r="AAP36" s="20" t="n">
        <f aca="false">IF(H_Direct=1,IF(CC36&lt;=0,AAO36-CC36*TP36,AAO36-MIN(MIN(CC36*TP36,(XB36+AAO36)),AAO36)),AAO36)</f>
        <v>0</v>
      </c>
      <c r="AAQ36" s="20" t="n">
        <f aca="false">IF(H_Direct=1,IF(CD36&lt;=0,AAP36-CD36*TQ36,AAP36-MIN(MIN(CD36*TQ36,(XC36+AAP36)),AAP36)),AAP36)</f>
        <v>0</v>
      </c>
      <c r="AAR36" s="20" t="n">
        <f aca="false">IF(H_Direct=1,IF(CE36&lt;=0,AAQ36-CE36*TR36,AAQ36-MIN(MIN(CE36*TR36,(XD36+AAQ36)),AAQ36)),AAQ36)</f>
        <v>0</v>
      </c>
      <c r="AAS36" s="20" t="n">
        <f aca="false">IF(H_Direct=1,IF(CF36&lt;=0,AAR36-CF36*TS36,AAR36-MIN(MIN(CF36*TS36,(XE36+AAR36)),AAR36)),AAR36)</f>
        <v>0</v>
      </c>
      <c r="AAT36" s="20" t="n">
        <f aca="false">IF(H_Direct=1,IF(CG36&lt;=0,AAS36-CG36*TT36,AAS36-MIN(MIN(CG36*TT36,(XF36+AAS36)),AAS36)),AAS36)</f>
        <v>0</v>
      </c>
      <c r="AAU36" s="20" t="n">
        <f aca="false">IF(H_Direct=1,IF(CH36&lt;=0,AAT36-CH36*TU36,AAT36-MIN(MIN(CH36*TU36,(XG36+AAT36)),AAT36)),AAT36)</f>
        <v>0</v>
      </c>
      <c r="AAV36" s="20" t="n">
        <f aca="false">IF(H_Direct=1,IF(CI36&lt;=0,AAU36-CI36*TV36,AAU36-MIN(MIN(CI36*TV36,(XH36+AAU36)),AAU36)),AAU36)</f>
        <v>0</v>
      </c>
      <c r="AAW36" s="20" t="n">
        <f aca="false">IF(H_Direct=1,IF(CJ36&lt;=0,AAV36-CJ36*TW36,AAV36-MIN(MIN(CJ36*TW36,(XI36+AAV36)),AAV36)),AAV36)</f>
        <v>0</v>
      </c>
      <c r="AAX36" s="20" t="n">
        <f aca="false">IF(H_Direct=1,IF(CK36&lt;=0,AAW36-CK36*TX36,AAW36-MIN(MIN(CK36*TX36,(XJ36+AAW36)),AAW36)),AAW36)</f>
        <v>0</v>
      </c>
      <c r="AAY36" s="20" t="n">
        <f aca="false">IF(H_Direct=1,IF(CL36&lt;=0,AAX36-CL36*TY36,AAX36-MIN(MIN(CL36*TY36,(XK36+AAX36)),AAX36)),AAX36)</f>
        <v>0</v>
      </c>
      <c r="AAZ36" s="20" t="n">
        <f aca="false">IF(H_Direct=1,IF(CM36&lt;=0,AAY36-CM36*TZ36,AAY36-MIN(MIN(CM36*TZ36,(XL36+AAY36)),AAY36)),AAY36)</f>
        <v>0</v>
      </c>
      <c r="ABA36" s="20" t="n">
        <f aca="false">IF(H_Direct=1,IF(CN36&lt;=0,AAZ36-CN36*UA36,AAZ36-MIN(MIN(CN36*UA36,(XM36+AAZ36)),AAZ36)),AAZ36)</f>
        <v>0</v>
      </c>
      <c r="ABB36" s="20" t="n">
        <f aca="false">IF(H_Direct=1,IF(CO36&lt;=0,ABA36-CO36*UB36,ABA36-MIN(MIN(CO36*UB36,(XN36+ABA36)),ABA36)),ABA36)</f>
        <v>0</v>
      </c>
      <c r="ABC36" s="20" t="n">
        <f aca="false">IF(H_Direct=1,IF(CP36&lt;=0,ABB36-CP36*UC36,ABB36-MIN(MIN(CP36*UC36,(XO36+ABB36)),ABB36)),ABB36)</f>
        <v>0</v>
      </c>
      <c r="ABD36" s="20" t="n">
        <f aca="false">IF(H_Direct=1,IF(CQ36&lt;=0,ABC36-CQ36*UD36,ABC36-MIN(MIN(CQ36*UD36,(XP36+ABC36)),ABC36)),ABC36)</f>
        <v>0</v>
      </c>
      <c r="ABE36" s="20" t="n">
        <f aca="false">IF(H_Direct=1,IF(CR36&lt;=0,ABD36-CR36*UE36,ABD36-MIN(MIN(CR36*UE36,(XQ36+ABD36)),ABD36)),ABD36)</f>
        <v>0</v>
      </c>
      <c r="ABF36" s="20" t="n">
        <f aca="false">IF(H_Direct=1,IF(CS36&lt;=0,ABE36-CS36*UF36,ABE36-MIN(MIN(CS36*UF36,(XR36+ABE36)),ABE36)),ABE36)</f>
        <v>0</v>
      </c>
      <c r="ABG36" s="20" t="n">
        <f aca="false">IF(H_Direct=1,IF(CT36&lt;=0,ABF36-CT36*UG36,ABF36-MIN(MIN(CT36*UG36,(XS36+ABF36)),ABF36)),ABF36)</f>
        <v>0</v>
      </c>
      <c r="ABH36" s="20" t="n">
        <f aca="false">IF(H_Direct=1,IF(CU36&lt;=0,ABG36-CU36*UH36,ABG36-MIN(MIN(CU36*UH36,(XT36+ABG36)),ABG36)),ABG36)</f>
        <v>0</v>
      </c>
      <c r="ABI36" s="20" t="n">
        <f aca="false">ABH36</f>
        <v>0</v>
      </c>
      <c r="ABJ36" s="20" t="n">
        <f aca="false">ABI36</f>
        <v>0</v>
      </c>
      <c r="ABK36" s="20" t="n">
        <f aca="false">ABJ36</f>
        <v>0</v>
      </c>
      <c r="ABL36" s="20" t="n">
        <f aca="false">ABK36</f>
        <v>0</v>
      </c>
      <c r="ABM36" s="20" t="n">
        <f aca="false">ABL36</f>
        <v>0</v>
      </c>
      <c r="ABN36" s="20" t="n">
        <f aca="false">ABM36</f>
        <v>0</v>
      </c>
      <c r="ABO36" s="20" t="n">
        <f aca="false">ABN36</f>
        <v>0</v>
      </c>
      <c r="ABP36" s="20" t="n">
        <f aca="false">ABO36</f>
        <v>0</v>
      </c>
      <c r="ABQ36" s="20" t="n">
        <f aca="false">ABP36</f>
        <v>0</v>
      </c>
      <c r="ABR36" s="20" t="n">
        <f aca="false">ABQ36</f>
        <v>0</v>
      </c>
      <c r="ABS36" s="20" t="n">
        <f aca="false">ABR36</f>
        <v>0</v>
      </c>
      <c r="ABT36" s="20" t="n">
        <f aca="false">ABS36</f>
        <v>0</v>
      </c>
      <c r="ABU36" s="20" t="n">
        <f aca="false">ABT36</f>
        <v>0</v>
      </c>
      <c r="ABV36" s="20" t="n">
        <f aca="false">ABU36</f>
        <v>0</v>
      </c>
      <c r="ABW36" s="20" t="n">
        <f aca="false">ABV36</f>
        <v>0</v>
      </c>
      <c r="ABX36" s="20" t="n">
        <f aca="false">ABW36</f>
        <v>0</v>
      </c>
      <c r="ABY36" s="20" t="n">
        <f aca="false">ABX36</f>
        <v>0</v>
      </c>
      <c r="ABZ36" s="20" t="n">
        <f aca="false">ABY36</f>
        <v>0</v>
      </c>
      <c r="ACA36" s="20" t="n">
        <f aca="false">ABZ36</f>
        <v>0</v>
      </c>
      <c r="ACB36" s="20" t="n">
        <f aca="false">ACA36</f>
        <v>0</v>
      </c>
      <c r="ACC36" s="20" t="n">
        <f aca="false">ACB36</f>
        <v>0</v>
      </c>
      <c r="ACD36" s="20" t="n">
        <f aca="false">ACC36</f>
        <v>0</v>
      </c>
      <c r="ACE36" s="20" t="n">
        <f aca="false">ACD36</f>
        <v>0</v>
      </c>
      <c r="ACF36" s="20" t="n">
        <f aca="false">ACE36</f>
        <v>0</v>
      </c>
      <c r="ACG36" s="20" t="n">
        <f aca="false">ACF36</f>
        <v>0</v>
      </c>
      <c r="ACH36" s="20" t="n">
        <f aca="false">ACG36</f>
        <v>0</v>
      </c>
      <c r="ACI36" s="20" t="n">
        <f aca="false">ACH36</f>
        <v>0</v>
      </c>
      <c r="ACJ36" s="20" t="n">
        <f aca="false">ACI36</f>
        <v>0</v>
      </c>
      <c r="ACK36" s="20" t="n">
        <f aca="false">ACJ36</f>
        <v>0</v>
      </c>
      <c r="ACL36" s="20" t="n">
        <f aca="false">ACK36</f>
        <v>0</v>
      </c>
      <c r="ACM36" s="20" t="n">
        <f aca="false">ACL36</f>
        <v>0</v>
      </c>
      <c r="ACN36" s="20" t="n">
        <f aca="false">ACM36</f>
        <v>0</v>
      </c>
      <c r="ACO36" s="20" t="n">
        <f aca="false">ACN36</f>
        <v>0</v>
      </c>
      <c r="ACP36" s="20" t="n">
        <f aca="false">ACO36</f>
        <v>0</v>
      </c>
      <c r="ACQ36" s="20" t="n">
        <f aca="false">ACP36</f>
        <v>0</v>
      </c>
      <c r="ACR36" s="20" t="n">
        <f aca="false">ACQ36</f>
        <v>0</v>
      </c>
      <c r="ACS36" s="20" t="n">
        <f aca="false">ACR36</f>
        <v>0</v>
      </c>
      <c r="ACT36" s="20" t="n">
        <f aca="false">ACS36</f>
        <v>0</v>
      </c>
      <c r="ACU36" s="20" t="n">
        <f aca="false">ACT36</f>
        <v>0</v>
      </c>
      <c r="ACV36" s="20" t="n">
        <f aca="false">ACU36</f>
        <v>0</v>
      </c>
      <c r="ACW36" s="20" t="n">
        <f aca="false">ACV36</f>
        <v>0</v>
      </c>
      <c r="ACX36" s="20" t="n">
        <f aca="false">ACW36</f>
        <v>0</v>
      </c>
      <c r="ACY36" s="20" t="n">
        <f aca="false">ACX36</f>
        <v>0</v>
      </c>
      <c r="ACZ36" s="20" t="n">
        <f aca="false">ACY36</f>
        <v>0</v>
      </c>
      <c r="ADA36" s="20" t="n">
        <f aca="false">ACZ36</f>
        <v>0</v>
      </c>
      <c r="ADB36" s="20" t="n">
        <f aca="false">ADA36</f>
        <v>0</v>
      </c>
      <c r="ADC36" s="20" t="n">
        <f aca="false">ADB36</f>
        <v>0</v>
      </c>
      <c r="ADD36" s="20" t="n">
        <f aca="false">ADC36</f>
        <v>0</v>
      </c>
      <c r="ADE36" s="20" t="n">
        <f aca="false">ADD36</f>
        <v>0</v>
      </c>
      <c r="ADF36" s="20" t="n">
        <f aca="false">ADE36</f>
        <v>0</v>
      </c>
      <c r="ADG36" s="20" t="n">
        <f aca="false">ADF36</f>
        <v>0</v>
      </c>
      <c r="ADH36" s="20" t="n">
        <f aca="false">ADG36</f>
        <v>0</v>
      </c>
      <c r="ADI36" s="20" t="n">
        <f aca="false">ADH36</f>
        <v>0</v>
      </c>
      <c r="ADJ36" s="20" t="n">
        <f aca="false">ADI36</f>
        <v>0</v>
      </c>
      <c r="ADK36" s="20" t="n">
        <f aca="false">ADJ36</f>
        <v>0</v>
      </c>
      <c r="ADL36" s="20" t="n">
        <f aca="false">ADK36</f>
        <v>0</v>
      </c>
      <c r="ADM36" s="20" t="n">
        <f aca="false">ADL36</f>
        <v>0</v>
      </c>
      <c r="ADN36" s="20" t="n">
        <f aca="false">ADM36</f>
        <v>0</v>
      </c>
      <c r="ADO36" s="20" t="n">
        <f aca="false">ADN36</f>
        <v>0</v>
      </c>
      <c r="ADP36" s="20" t="n">
        <f aca="false">ADO36</f>
        <v>0</v>
      </c>
      <c r="ADQ36" s="20" t="n">
        <f aca="false">ADP36</f>
        <v>0</v>
      </c>
      <c r="ADR36" s="20" t="n">
        <f aca="false">(AKR35-TE36+0)*(1+BQ36)</f>
        <v>0</v>
      </c>
      <c r="ADS36" s="20" t="n">
        <f aca="false">(AKS35-TF36+0)*(1+BQ36)</f>
        <v>0</v>
      </c>
      <c r="ADT36" s="20" t="n">
        <f aca="false">(AKT35-TG36+0)*(1+BQ36)</f>
        <v>0</v>
      </c>
      <c r="ADU36" s="20" t="n">
        <f aca="false">(AKU35-TH36+0)*(1+BQ36)</f>
        <v>0</v>
      </c>
      <c r="ADV36" s="20" t="n">
        <f aca="false">(AKV35-TI36+0)*(1+BQ36)</f>
        <v>0</v>
      </c>
      <c r="ADW36" s="20" t="n">
        <f aca="false">(AKW35-TJ36+0)*(1+BQ36)</f>
        <v>0</v>
      </c>
      <c r="ADX36" s="20" t="n">
        <f aca="false">(AKX35-TK36+0)*(1+BQ36)</f>
        <v>0</v>
      </c>
      <c r="ADY36" s="20" t="n">
        <f aca="false">(AKY35-TL36+0)*(1+BQ36)</f>
        <v>0</v>
      </c>
      <c r="ADZ36" s="20" t="n">
        <f aca="false">(AKZ35-TM36+0)*(1+BQ36)</f>
        <v>0</v>
      </c>
      <c r="AEA36" s="20" t="n">
        <f aca="false">(ALA35-TN36+0)*(1+BQ36)</f>
        <v>0</v>
      </c>
      <c r="AEB36" s="20" t="n">
        <f aca="false">(ALB35-TO36+0)*(1+BQ36)</f>
        <v>0</v>
      </c>
      <c r="AEC36" s="20" t="n">
        <f aca="false">(ALC35-TP36+0)*(1+BQ36)</f>
        <v>928.090092629526</v>
      </c>
      <c r="AED36" s="20" t="n">
        <f aca="false">(ALD35-TQ36+0)*(1+BQ36)</f>
        <v>1167.50780379883</v>
      </c>
      <c r="AEE36" s="20" t="n">
        <f aca="false">(ALE35-TR36+0)*(1+BQ36)</f>
        <v>1397.18053332669</v>
      </c>
      <c r="AEF36" s="20" t="n">
        <f aca="false">(ALF35-TS36+0)*(1+BQ36)</f>
        <v>1750.25389268153</v>
      </c>
      <c r="AEG36" s="20" t="n">
        <f aca="false">(ALG35-TT36+0)*(1+BQ36)</f>
        <v>1683.23344848447</v>
      </c>
      <c r="AEH36" s="20" t="n">
        <f aca="false">(ALH35-TU36+0)*(1+BQ36)</f>
        <v>1617.82264470939</v>
      </c>
      <c r="AEI36" s="20" t="n">
        <f aca="false">(ALI35-TV36+0)*(1+BQ36)</f>
        <v>1553.98744225466</v>
      </c>
      <c r="AEJ36" s="20" t="n">
        <f aca="false">(ALJ35-TW36+0)*(1+BQ36)</f>
        <v>4829.77844154084</v>
      </c>
      <c r="AEK36" s="20" t="n">
        <f aca="false">(ALK35-TX36+0)*(1+BQ36)</f>
        <v>4736.89808689582</v>
      </c>
      <c r="AEL36" s="20" t="n">
        <f aca="false">(ALL35-TY36+0)*(1+BQ36)</f>
        <v>4645.80389291706</v>
      </c>
      <c r="AEM36" s="20" t="n">
        <f aca="false">(ALM35-TZ36+0)*(1+BQ36)</f>
        <v>4556.46151036096</v>
      </c>
      <c r="AEN36" s="20" t="n">
        <f aca="false">(ALN35-UA36+0)*(1+BQ36)</f>
        <v>4978.30571759907</v>
      </c>
      <c r="AEO36" s="20" t="n">
        <f aca="false">(ALO35-UB36+0)*(1+BQ36)</f>
        <v>4882.5690691837</v>
      </c>
      <c r="AEP36" s="20" t="n">
        <f aca="false">(ALP35-UC36+0)*(1+BQ36)</f>
        <v>4788.67351016094</v>
      </c>
      <c r="AEQ36" s="20" t="n">
        <f aca="false">(ALQ35-UD36+0)*(1+BQ36)</f>
        <v>4696.58363496554</v>
      </c>
      <c r="AER36" s="20" t="n">
        <f aca="false">(ALR35-UE36+0)*(1+BQ36)</f>
        <v>69681.5016005504</v>
      </c>
      <c r="AES36" s="20" t="n">
        <f aca="false">(ALS35-UF36+0)*(1+BQ36)</f>
        <v>0</v>
      </c>
      <c r="AET36" s="20" t="n">
        <f aca="false">(ALT35-UG36+0)*(1+BQ36)</f>
        <v>0</v>
      </c>
      <c r="AEU36" s="20" t="n">
        <f aca="false">((P36+S36)-UH36+BE36)*(1+BQ36)</f>
        <v>1798.63600622352</v>
      </c>
      <c r="AEV36" s="20" t="n">
        <v>0</v>
      </c>
      <c r="AEW36" s="20" t="n">
        <v>0</v>
      </c>
      <c r="AEX36" s="20" t="n">
        <v>0</v>
      </c>
      <c r="AEY36" s="20" t="n">
        <v>0</v>
      </c>
      <c r="AEZ36" s="20" t="n">
        <v>0</v>
      </c>
      <c r="AFA36" s="20" t="n">
        <v>0</v>
      </c>
      <c r="AFB36" s="20" t="n">
        <v>0</v>
      </c>
      <c r="AFC36" s="20" t="n">
        <v>0</v>
      </c>
      <c r="AFD36" s="20" t="n">
        <v>0</v>
      </c>
      <c r="AFE36" s="20" t="n">
        <v>0</v>
      </c>
      <c r="AFF36" s="20" t="n">
        <v>0</v>
      </c>
      <c r="AFG36" s="20" t="n">
        <v>0</v>
      </c>
      <c r="AFH36" s="20" t="n">
        <v>0</v>
      </c>
      <c r="AFI36" s="20" t="n">
        <v>0</v>
      </c>
      <c r="AFJ36" s="20" t="n">
        <v>0</v>
      </c>
      <c r="AFK36" s="20" t="n">
        <v>0</v>
      </c>
      <c r="AFL36" s="20" t="n">
        <v>0</v>
      </c>
      <c r="AFM36" s="20" t="n">
        <v>0</v>
      </c>
      <c r="AFN36" s="20" t="n">
        <v>0</v>
      </c>
      <c r="AFO36" s="20" t="n">
        <v>0</v>
      </c>
      <c r="AFP36" s="20" t="n">
        <v>0</v>
      </c>
      <c r="AFQ36" s="20" t="n">
        <v>0</v>
      </c>
      <c r="AFR36" s="20" t="n">
        <v>0</v>
      </c>
      <c r="AFS36" s="20" t="n">
        <v>0</v>
      </c>
      <c r="AFT36" s="20" t="n">
        <v>0</v>
      </c>
      <c r="AFU36" s="20" t="n">
        <v>0</v>
      </c>
      <c r="AFV36" s="20" t="n">
        <v>0</v>
      </c>
      <c r="AFW36" s="20" t="n">
        <v>0</v>
      </c>
      <c r="AFX36" s="20" t="n">
        <v>0</v>
      </c>
      <c r="AFY36" s="20" t="n">
        <v>0</v>
      </c>
      <c r="AFZ36" s="20" t="n">
        <v>0</v>
      </c>
      <c r="AGA36" s="20" t="n">
        <v>0</v>
      </c>
      <c r="AGB36" s="20" t="n">
        <v>0</v>
      </c>
      <c r="AGC36" s="20" t="n">
        <v>0</v>
      </c>
      <c r="AGD36" s="20" t="n">
        <v>0</v>
      </c>
      <c r="AGE36" s="20" t="n">
        <v>0</v>
      </c>
      <c r="AGF36" s="20" t="n">
        <v>0</v>
      </c>
      <c r="AGG36" s="20" t="n">
        <v>0</v>
      </c>
      <c r="AGH36" s="20" t="n">
        <v>0</v>
      </c>
      <c r="AGI36" s="20" t="n">
        <v>0</v>
      </c>
      <c r="AGJ36" s="20" t="n">
        <v>0</v>
      </c>
      <c r="AGK36" s="20" t="n">
        <v>0</v>
      </c>
      <c r="AGL36" s="20" t="n">
        <v>0</v>
      </c>
      <c r="AGM36" s="20" t="n">
        <v>0</v>
      </c>
      <c r="AGN36" s="20" t="n">
        <v>0</v>
      </c>
      <c r="AGO36" s="20" t="n">
        <v>0</v>
      </c>
      <c r="AGP36" s="20" t="n">
        <v>0</v>
      </c>
      <c r="AGQ36" s="20" t="n">
        <v>0</v>
      </c>
      <c r="AGR36" s="20" t="n">
        <v>0</v>
      </c>
      <c r="AGS36" s="20" t="n">
        <v>0</v>
      </c>
      <c r="AGT36" s="20" t="n">
        <v>0</v>
      </c>
      <c r="AGU36" s="20" t="n">
        <v>0</v>
      </c>
      <c r="AGV36" s="20" t="n">
        <v>0</v>
      </c>
      <c r="AGW36" s="20" t="n">
        <v>0</v>
      </c>
      <c r="AGX36" s="20" t="n">
        <v>0</v>
      </c>
      <c r="AGY36" s="20" t="n">
        <v>0</v>
      </c>
      <c r="AGZ36" s="20" t="n">
        <v>0</v>
      </c>
      <c r="AHA36" s="20" t="n">
        <v>0</v>
      </c>
      <c r="AHB36" s="20" t="n">
        <v>0</v>
      </c>
      <c r="AHC36" s="20" t="n">
        <v>0</v>
      </c>
      <c r="AHD36" s="20" t="n">
        <v>0</v>
      </c>
      <c r="AHE36" s="20" t="n">
        <f aca="false">IF(AKR35&gt;0,AOE35-AOE35*TE36/AKR35,0)+0</f>
        <v>0</v>
      </c>
      <c r="AHF36" s="20" t="n">
        <f aca="false">IF(AKS35&gt;0,AOF35-AOF35*TF36/AKS35,0)+0</f>
        <v>0</v>
      </c>
      <c r="AHG36" s="20" t="n">
        <f aca="false">IF(AKT35&gt;0,AOG35-AOG35*TG36/AKT35,0)+0</f>
        <v>0</v>
      </c>
      <c r="AHH36" s="20" t="n">
        <f aca="false">IF(AKU35&gt;0,AOH35-AOH35*TH36/AKU35,0)+0</f>
        <v>0</v>
      </c>
      <c r="AHI36" s="20" t="n">
        <f aca="false">IF(AKV35&gt;0,AOI35-AOI35*TI36/AKV35,0)+0</f>
        <v>0</v>
      </c>
      <c r="AHJ36" s="20" t="n">
        <f aca="false">IF(AKW35&gt;0,AOJ35-AOJ35*TJ36/AKW35,0)+0</f>
        <v>0</v>
      </c>
      <c r="AHK36" s="20" t="n">
        <f aca="false">IF(AKX35&gt;0,AOK35-AOK35*TK36/AKX35,0)+0</f>
        <v>0</v>
      </c>
      <c r="AHL36" s="20" t="n">
        <f aca="false">IF(AKY35&gt;0,AOL35-AOL35*TL36/AKY35,0)+0</f>
        <v>0</v>
      </c>
      <c r="AHM36" s="20" t="n">
        <f aca="false">IF(AKZ35&gt;0,AOM35-AOM35*TM36/AKZ35,0)+0</f>
        <v>0</v>
      </c>
      <c r="AHN36" s="20" t="n">
        <f aca="false">IF(ALA35&gt;0,AON35-AON35*TN36/ALA35,0)+0</f>
        <v>0</v>
      </c>
      <c r="AHO36" s="20" t="n">
        <f aca="false">IF(ALB35&gt;0,AOO35-AOO35*TO36/ALB35,0)+0</f>
        <v>0</v>
      </c>
      <c r="AHP36" s="20" t="n">
        <f aca="false">IF(ALC35&gt;0,AOP35-AOP35*TP36/ALC35,0)+0</f>
        <v>825.068712866201</v>
      </c>
      <c r="AHQ36" s="20" t="n">
        <f aca="false">IF(ALD35&gt;0,AOQ35-AOQ35*TQ36/ALD35,0)+0</f>
        <v>1079.42659374892</v>
      </c>
      <c r="AHR36" s="20" t="n">
        <f aca="false">IF(ALE35&gt;0,AOR35-AOR35*TR36/ALE35,0)+0</f>
        <v>1343.44282050643</v>
      </c>
      <c r="AHS36" s="20" t="n">
        <f aca="false">IF(ALF35&gt;0,AOS35-AOS35*TS36/ALF35,0)+0</f>
        <v>1278.89337564899</v>
      </c>
      <c r="AHT36" s="20" t="n">
        <f aca="false">IF(ALG35&gt;0,AOT35-AOT35*TT36/ALG35,0)+0</f>
        <v>1279.11908128089</v>
      </c>
      <c r="AHU36" s="20" t="n">
        <f aca="false">IF(ALH35&gt;0,AOU35-AOU35*TU36/ALH35,0)+0</f>
        <v>1278.58873616899</v>
      </c>
      <c r="AHV36" s="20" t="n">
        <f aca="false">IF(ALI35&gt;0,AOV35-AOV35*TV36/ALI35,0)+0</f>
        <v>1277.26440235273</v>
      </c>
      <c r="AHW36" s="20" t="n">
        <f aca="false">IF(ALJ35&gt;0,AOW35-AOW35*TW36/ALJ35,0)+0</f>
        <v>4128.51485357413</v>
      </c>
      <c r="AHX36" s="20" t="n">
        <f aca="false">IF(ALK35&gt;0,AOX35-AOX35*TX36/ALK35,0)+0</f>
        <v>4211.08515064561</v>
      </c>
      <c r="AHY36" s="20" t="n">
        <f aca="false">IF(ALL35&gt;0,AOY35-AOY35*TY36/ALL35,0)+0</f>
        <v>4295.30685365853</v>
      </c>
      <c r="AHZ36" s="20" t="n">
        <f aca="false">IF(ALM35&gt;0,AOZ35-AOZ35*TZ36/ALM35,0)+0</f>
        <v>4381.21299073169</v>
      </c>
      <c r="AIA36" s="20" t="n">
        <f aca="false">IF(ALN35&gt;0,APA35-APA35*UA36/ALN35,0)+0</f>
        <v>3637.59922535501</v>
      </c>
      <c r="AIB36" s="20" t="n">
        <f aca="false">IF(ALO35&gt;0,APB35-APB35*UB36/ALO35,0)+0</f>
        <v>3710.35120986211</v>
      </c>
      <c r="AIC36" s="20" t="n">
        <f aca="false">IF(ALP35&gt;0,APC35-APC35*UC36/ALP35,0)+0</f>
        <v>3784.55823405936</v>
      </c>
      <c r="AID36" s="20" t="n">
        <f aca="false">IF(ALQ35&gt;0,APD35-APD35*UD36/ALQ35,0)+0</f>
        <v>3860.24939874054</v>
      </c>
      <c r="AIE36" s="20" t="n">
        <f aca="false">IF(ALR35&gt;0,APE35-APE35*UE36/ALR35,0)+0</f>
        <v>59564.0396053951</v>
      </c>
      <c r="AIF36" s="20" t="n">
        <f aca="false">IF(ALS35&gt;0,APF35-APF35*UF36/ALS35,0)+0</f>
        <v>0</v>
      </c>
      <c r="AIG36" s="20" t="n">
        <f aca="false">IF(ALT35&gt;0,APG35-APG35*UG36/ALT35,0)+0</f>
        <v>0</v>
      </c>
      <c r="AIH36" s="20" t="n">
        <f aca="false">IF((P36+S36)&gt;0,(P36+S36)-(P36+S36)*UH36/(P36+S36),0)+BE36</f>
        <v>1729.45769829184</v>
      </c>
      <c r="AII36" s="20" t="n">
        <v>0</v>
      </c>
      <c r="AIJ36" s="20" t="n">
        <v>0</v>
      </c>
      <c r="AIK36" s="20" t="n">
        <v>0</v>
      </c>
      <c r="AIL36" s="20" t="n">
        <v>0</v>
      </c>
      <c r="AIM36" s="20" t="n">
        <v>0</v>
      </c>
      <c r="AIN36" s="20" t="n">
        <v>0</v>
      </c>
      <c r="AIO36" s="20" t="n">
        <v>0</v>
      </c>
      <c r="AIP36" s="20" t="n">
        <v>0</v>
      </c>
      <c r="AIQ36" s="20" t="n">
        <v>0</v>
      </c>
      <c r="AIR36" s="20" t="n">
        <v>0</v>
      </c>
      <c r="AIS36" s="20" t="n">
        <v>0</v>
      </c>
      <c r="AIT36" s="20" t="n">
        <v>0</v>
      </c>
      <c r="AIU36" s="20" t="n">
        <v>0</v>
      </c>
      <c r="AIV36" s="20" t="n">
        <v>0</v>
      </c>
      <c r="AIW36" s="20" t="n">
        <v>0</v>
      </c>
      <c r="AIX36" s="20" t="n">
        <v>0</v>
      </c>
      <c r="AIY36" s="20" t="n">
        <v>0</v>
      </c>
      <c r="AIZ36" s="20" t="n">
        <v>0</v>
      </c>
      <c r="AJA36" s="20" t="n">
        <v>0</v>
      </c>
      <c r="AJB36" s="20" t="n">
        <v>0</v>
      </c>
      <c r="AJC36" s="20" t="n">
        <v>0</v>
      </c>
      <c r="AJD36" s="20" t="n">
        <v>0</v>
      </c>
      <c r="AJE36" s="20" t="n">
        <v>0</v>
      </c>
      <c r="AJF36" s="20" t="n">
        <v>0</v>
      </c>
      <c r="AJG36" s="20" t="n">
        <v>0</v>
      </c>
      <c r="AJH36" s="20" t="n">
        <v>0</v>
      </c>
      <c r="AJI36" s="20" t="n">
        <v>0</v>
      </c>
      <c r="AJJ36" s="20" t="n">
        <v>0</v>
      </c>
      <c r="AJK36" s="20" t="n">
        <v>0</v>
      </c>
      <c r="AJL36" s="20" t="n">
        <v>0</v>
      </c>
      <c r="AJM36" s="20" t="n">
        <v>0</v>
      </c>
      <c r="AJN36" s="20" t="n">
        <v>0</v>
      </c>
      <c r="AJO36" s="20" t="n">
        <v>0</v>
      </c>
      <c r="AJP36" s="20" t="n">
        <v>0</v>
      </c>
      <c r="AJQ36" s="20" t="n">
        <v>0</v>
      </c>
      <c r="AJR36" s="20" t="n">
        <v>0</v>
      </c>
      <c r="AJS36" s="20" t="n">
        <v>0</v>
      </c>
      <c r="AJT36" s="20" t="n">
        <v>0</v>
      </c>
      <c r="AJU36" s="20" t="n">
        <v>0</v>
      </c>
      <c r="AJV36" s="20" t="n">
        <v>0</v>
      </c>
      <c r="AJW36" s="20" t="n">
        <v>0</v>
      </c>
      <c r="AJX36" s="20" t="n">
        <v>0</v>
      </c>
      <c r="AJY36" s="20" t="n">
        <v>0</v>
      </c>
      <c r="AJZ36" s="20" t="n">
        <v>0</v>
      </c>
      <c r="AKA36" s="20" t="n">
        <v>0</v>
      </c>
      <c r="AKB36" s="20" t="n">
        <v>0</v>
      </c>
      <c r="AKC36" s="20" t="n">
        <v>0</v>
      </c>
      <c r="AKD36" s="20" t="n">
        <v>0</v>
      </c>
      <c r="AKE36" s="20" t="n">
        <v>0</v>
      </c>
      <c r="AKF36" s="20" t="n">
        <v>0</v>
      </c>
      <c r="AKG36" s="20" t="n">
        <v>0</v>
      </c>
      <c r="AKH36" s="20" t="n">
        <v>0</v>
      </c>
      <c r="AKI36" s="20" t="n">
        <v>0</v>
      </c>
      <c r="AKJ36" s="20" t="n">
        <v>0</v>
      </c>
      <c r="AKK36" s="20" t="n">
        <v>0</v>
      </c>
      <c r="AKL36" s="20" t="n">
        <v>0</v>
      </c>
      <c r="AKM36" s="20" t="n">
        <v>0</v>
      </c>
      <c r="AKN36" s="20" t="n">
        <v>0</v>
      </c>
      <c r="AKO36" s="20" t="n">
        <v>0</v>
      </c>
      <c r="AKP36" s="20" t="n">
        <v>0</v>
      </c>
      <c r="AKQ36" s="20" t="n">
        <v>0</v>
      </c>
      <c r="AKR36" s="20" t="n">
        <f aca="false">ADR36-AVE36</f>
        <v>0</v>
      </c>
      <c r="AKS36" s="20" t="n">
        <f aca="false">ADS36-AVF36</f>
        <v>0</v>
      </c>
      <c r="AKT36" s="20" t="n">
        <f aca="false">ADT36-AVG36</f>
        <v>0</v>
      </c>
      <c r="AKU36" s="20" t="n">
        <f aca="false">ADU36-AVH36</f>
        <v>0</v>
      </c>
      <c r="AKV36" s="20" t="n">
        <f aca="false">ADV36-AVI36</f>
        <v>0</v>
      </c>
      <c r="AKW36" s="20" t="n">
        <f aca="false">ADW36-AVJ36</f>
        <v>0</v>
      </c>
      <c r="AKX36" s="20" t="n">
        <f aca="false">ADX36-AVK36</f>
        <v>0</v>
      </c>
      <c r="AKY36" s="20" t="n">
        <f aca="false">ADY36-AVL36</f>
        <v>0</v>
      </c>
      <c r="AKZ36" s="20" t="n">
        <f aca="false">ADZ36-AVM36</f>
        <v>0</v>
      </c>
      <c r="ALA36" s="20" t="n">
        <f aca="false">AEA36-AVN36</f>
        <v>0</v>
      </c>
      <c r="ALB36" s="20" t="n">
        <f aca="false">AEB36-AVO36</f>
        <v>0</v>
      </c>
      <c r="ALC36" s="20" t="n">
        <f aca="false">AEC36-AVP36</f>
        <v>928.090092629526</v>
      </c>
      <c r="ALD36" s="20" t="n">
        <f aca="false">AED36-AVQ36</f>
        <v>1167.50780379883</v>
      </c>
      <c r="ALE36" s="20" t="n">
        <f aca="false">AEE36-AVR36</f>
        <v>1397.18053332669</v>
      </c>
      <c r="ALF36" s="20" t="n">
        <f aca="false">AEF36-AVS36</f>
        <v>1571.13689620916</v>
      </c>
      <c r="ALG36" s="20" t="n">
        <f aca="false">AEG36-AVT36</f>
        <v>1683.23344848447</v>
      </c>
      <c r="ALH36" s="20" t="n">
        <f aca="false">AEH36-AVU36</f>
        <v>1617.82264470939</v>
      </c>
      <c r="ALI36" s="20" t="n">
        <f aca="false">AEI36-AVV36</f>
        <v>1553.98744225466</v>
      </c>
      <c r="ALJ36" s="20" t="n">
        <f aca="false">AEJ36-AVW36</f>
        <v>4829.77844154084</v>
      </c>
      <c r="ALK36" s="20" t="n">
        <f aca="false">AEK36-AVX36</f>
        <v>4736.89808689582</v>
      </c>
      <c r="ALL36" s="20" t="n">
        <f aca="false">AEL36-AVY36</f>
        <v>4645.80389291706</v>
      </c>
      <c r="ALM36" s="20" t="n">
        <f aca="false">AEM36-AVZ36</f>
        <v>4556.46151036096</v>
      </c>
      <c r="ALN36" s="20" t="n">
        <f aca="false">AEN36-AWA36</f>
        <v>4468.83725054633</v>
      </c>
      <c r="ALO36" s="20" t="n">
        <f aca="false">AEO36-AWB36</f>
        <v>4882.5690691837</v>
      </c>
      <c r="ALP36" s="20" t="n">
        <f aca="false">AEP36-AWC36</f>
        <v>4788.67351016094</v>
      </c>
      <c r="ALQ36" s="20" t="n">
        <f aca="false">AEQ36-AWD36</f>
        <v>4696.58363496554</v>
      </c>
      <c r="ALR36" s="20" t="n">
        <f aca="false">AER36-AWE36</f>
        <v>69681.5016005504</v>
      </c>
      <c r="ALS36" s="20" t="n">
        <f aca="false">AES36-AWF36</f>
        <v>0</v>
      </c>
      <c r="ALT36" s="20" t="n">
        <f aca="false">AET36-AWG36</f>
        <v>0</v>
      </c>
      <c r="ALU36" s="20" t="n">
        <f aca="false">AEU36-AWH36</f>
        <v>1798.63600622352</v>
      </c>
      <c r="ALV36" s="20" t="n">
        <v>0</v>
      </c>
      <c r="ALW36" s="20" t="n">
        <v>0</v>
      </c>
      <c r="ALX36" s="20" t="n">
        <v>0</v>
      </c>
      <c r="ALY36" s="20" t="n">
        <v>0</v>
      </c>
      <c r="ALZ36" s="20" t="n">
        <v>0</v>
      </c>
      <c r="AMA36" s="20" t="n">
        <v>0</v>
      </c>
      <c r="AMB36" s="20" t="n">
        <v>0</v>
      </c>
      <c r="AMC36" s="20" t="n">
        <v>0</v>
      </c>
      <c r="AMD36" s="20" t="n">
        <v>0</v>
      </c>
      <c r="AME36" s="20" t="n">
        <v>0</v>
      </c>
      <c r="AMF36" s="20" t="n">
        <v>0</v>
      </c>
      <c r="AMG36" s="20" t="n">
        <v>0</v>
      </c>
      <c r="AMH36" s="20" t="n">
        <v>0</v>
      </c>
      <c r="AMI36" s="20" t="n">
        <v>0</v>
      </c>
      <c r="AMJ36" s="20" t="n">
        <v>0</v>
      </c>
      <c r="AMK36" s="20" t="n">
        <v>0</v>
      </c>
      <c r="AML36" s="20" t="n">
        <v>0</v>
      </c>
      <c r="AMM36" s="20" t="n">
        <v>0</v>
      </c>
      <c r="AMN36" s="20" t="n">
        <v>0</v>
      </c>
      <c r="AMO36" s="20" t="n">
        <v>0</v>
      </c>
      <c r="AMP36" s="20" t="n">
        <v>0</v>
      </c>
      <c r="AMQ36" s="20" t="n">
        <v>0</v>
      </c>
      <c r="AMR36" s="20" t="n">
        <v>0</v>
      </c>
      <c r="AMS36" s="20" t="n">
        <v>0</v>
      </c>
      <c r="AMT36" s="20" t="n">
        <v>0</v>
      </c>
      <c r="AMU36" s="20" t="n">
        <v>0</v>
      </c>
      <c r="AMV36" s="20" t="n">
        <v>0</v>
      </c>
      <c r="AMW36" s="20" t="n">
        <v>0</v>
      </c>
      <c r="AMX36" s="20" t="n">
        <v>0</v>
      </c>
      <c r="AMY36" s="20" t="n">
        <v>0</v>
      </c>
      <c r="AMZ36" s="20" t="n">
        <v>0</v>
      </c>
      <c r="ANA36" s="20" t="n">
        <v>0</v>
      </c>
      <c r="ANB36" s="20" t="n">
        <v>0</v>
      </c>
      <c r="ANC36" s="20" t="n">
        <v>0</v>
      </c>
      <c r="AND36" s="20" t="n">
        <v>0</v>
      </c>
      <c r="ANE36" s="20" t="n">
        <v>0</v>
      </c>
      <c r="ANF36" s="20" t="n">
        <v>0</v>
      </c>
      <c r="ANG36" s="20" t="n">
        <v>0</v>
      </c>
      <c r="ANH36" s="20" t="n">
        <v>0</v>
      </c>
      <c r="ANI36" s="20" t="n">
        <v>0</v>
      </c>
      <c r="ANJ36" s="20" t="n">
        <v>0</v>
      </c>
      <c r="ANK36" s="20" t="n">
        <v>0</v>
      </c>
      <c r="ANL36" s="20" t="n">
        <v>0</v>
      </c>
      <c r="ANM36" s="20" t="n">
        <v>0</v>
      </c>
      <c r="ANN36" s="20" t="n">
        <v>0</v>
      </c>
      <c r="ANO36" s="20" t="n">
        <v>0</v>
      </c>
      <c r="ANP36" s="20" t="n">
        <v>0</v>
      </c>
      <c r="ANQ36" s="20" t="n">
        <v>0</v>
      </c>
      <c r="ANR36" s="20" t="n">
        <v>0</v>
      </c>
      <c r="ANS36" s="20" t="n">
        <v>0</v>
      </c>
      <c r="ANT36" s="20" t="n">
        <v>0</v>
      </c>
      <c r="ANU36" s="20" t="n">
        <v>0</v>
      </c>
      <c r="ANV36" s="20" t="n">
        <v>0</v>
      </c>
      <c r="ANW36" s="20" t="n">
        <v>0</v>
      </c>
      <c r="ANX36" s="20" t="n">
        <v>0</v>
      </c>
      <c r="ANY36" s="20" t="n">
        <v>0</v>
      </c>
      <c r="ANZ36" s="20" t="n">
        <v>0</v>
      </c>
      <c r="AOA36" s="20" t="n">
        <v>0</v>
      </c>
      <c r="AOB36" s="20" t="n">
        <v>0</v>
      </c>
      <c r="AOC36" s="20" t="n">
        <v>0</v>
      </c>
      <c r="AOD36" s="20" t="n">
        <v>0</v>
      </c>
      <c r="AOE36" s="20" t="n">
        <f aca="false">IF(AND(H_Direct=0,H_TaxEvt=1,ARR35+1&gt;=H_Deemed),AKR36,AHE36)</f>
        <v>0</v>
      </c>
      <c r="AOF36" s="20" t="n">
        <f aca="false">IF(AND(H_Direct=0,H_TaxEvt=1,ARS35+1&gt;=H_Deemed),AKS36,AHF36)</f>
        <v>0</v>
      </c>
      <c r="AOG36" s="20" t="n">
        <f aca="false">IF(AND(H_Direct=0,H_TaxEvt=1,ART35+1&gt;=H_Deemed),AKT36,AHG36)</f>
        <v>0</v>
      </c>
      <c r="AOH36" s="20" t="n">
        <f aca="false">IF(AND(H_Direct=0,H_TaxEvt=1,ARU35+1&gt;=H_Deemed),AKU36,AHH36)</f>
        <v>0</v>
      </c>
      <c r="AOI36" s="20" t="n">
        <f aca="false">IF(AND(H_Direct=0,H_TaxEvt=1,ARV35+1&gt;=H_Deemed),AKV36,AHI36)</f>
        <v>0</v>
      </c>
      <c r="AOJ36" s="20" t="n">
        <f aca="false">IF(AND(H_Direct=0,H_TaxEvt=1,ARW35+1&gt;=H_Deemed),AKW36,AHJ36)</f>
        <v>0</v>
      </c>
      <c r="AOK36" s="20" t="n">
        <f aca="false">IF(AND(H_Direct=0,H_TaxEvt=1,ARX35+1&gt;=H_Deemed),AKX36,AHK36)</f>
        <v>0</v>
      </c>
      <c r="AOL36" s="20" t="n">
        <f aca="false">IF(AND(H_Direct=0,H_TaxEvt=1,ARY35+1&gt;=H_Deemed),AKY36,AHL36)</f>
        <v>0</v>
      </c>
      <c r="AOM36" s="20" t="n">
        <f aca="false">IF(AND(H_Direct=0,H_TaxEvt=1,ARZ35+1&gt;=H_Deemed),AKZ36,AHM36)</f>
        <v>0</v>
      </c>
      <c r="AON36" s="20" t="n">
        <f aca="false">IF(AND(H_Direct=0,H_TaxEvt=1,ASA35+1&gt;=H_Deemed),ALA36,AHN36)</f>
        <v>0</v>
      </c>
      <c r="AOO36" s="20" t="n">
        <f aca="false">IF(AND(H_Direct=0,H_TaxEvt=1,ASB35+1&gt;=H_Deemed),ALB36,AHO36)</f>
        <v>0</v>
      </c>
      <c r="AOP36" s="20" t="n">
        <f aca="false">IF(AND(H_Direct=0,H_TaxEvt=1,ASC35+1&gt;=H_Deemed),ALC36,AHP36)</f>
        <v>825.068712866201</v>
      </c>
      <c r="AOQ36" s="20" t="n">
        <f aca="false">IF(AND(H_Direct=0,H_TaxEvt=1,ASD35+1&gt;=H_Deemed),ALD36,AHQ36)</f>
        <v>1079.42659374892</v>
      </c>
      <c r="AOR36" s="20" t="n">
        <f aca="false">IF(AND(H_Direct=0,H_TaxEvt=1,ASE35+1&gt;=H_Deemed),ALE36,AHR36)</f>
        <v>1343.44282050643</v>
      </c>
      <c r="AOS36" s="20" t="n">
        <f aca="false">IF(AND(H_Direct=0,H_TaxEvt=1,ASF35+1&gt;=H_Deemed),ALF36,AHS36)</f>
        <v>1571.13689620916</v>
      </c>
      <c r="AOT36" s="20" t="n">
        <f aca="false">IF(AND(H_Direct=0,H_TaxEvt=1,ASG35+1&gt;=H_Deemed),ALG36,AHT36)</f>
        <v>1279.11908128089</v>
      </c>
      <c r="AOU36" s="20" t="n">
        <f aca="false">IF(AND(H_Direct=0,H_TaxEvt=1,ASH35+1&gt;=H_Deemed),ALH36,AHU36)</f>
        <v>1278.58873616899</v>
      </c>
      <c r="AOV36" s="20" t="n">
        <f aca="false">IF(AND(H_Direct=0,H_TaxEvt=1,ASI35+1&gt;=H_Deemed),ALI36,AHV36)</f>
        <v>1277.26440235273</v>
      </c>
      <c r="AOW36" s="20" t="n">
        <f aca="false">IF(AND(H_Direct=0,H_TaxEvt=1,ASJ35+1&gt;=H_Deemed),ALJ36,AHW36)</f>
        <v>4128.51485357413</v>
      </c>
      <c r="AOX36" s="20" t="n">
        <f aca="false">IF(AND(H_Direct=0,H_TaxEvt=1,ASK35+1&gt;=H_Deemed),ALK36,AHX36)</f>
        <v>4211.08515064561</v>
      </c>
      <c r="AOY36" s="20" t="n">
        <f aca="false">IF(AND(H_Direct=0,H_TaxEvt=1,ASL35+1&gt;=H_Deemed),ALL36,AHY36)</f>
        <v>4295.30685365853</v>
      </c>
      <c r="AOZ36" s="20" t="n">
        <f aca="false">IF(AND(H_Direct=0,H_TaxEvt=1,ASM35+1&gt;=H_Deemed),ALM36,AHZ36)</f>
        <v>4381.21299073169</v>
      </c>
      <c r="APA36" s="20" t="n">
        <f aca="false">IF(AND(H_Direct=0,H_TaxEvt=1,ASN35+1&gt;=H_Deemed),ALN36,AIA36)</f>
        <v>4468.83725054633</v>
      </c>
      <c r="APB36" s="20" t="n">
        <f aca="false">IF(AND(H_Direct=0,H_TaxEvt=1,ASO35+1&gt;=H_Deemed),ALO36,AIB36)</f>
        <v>3710.35120986211</v>
      </c>
      <c r="APC36" s="20" t="n">
        <f aca="false">IF(AND(H_Direct=0,H_TaxEvt=1,ASP35+1&gt;=H_Deemed),ALP36,AIC36)</f>
        <v>3784.55823405936</v>
      </c>
      <c r="APD36" s="20" t="n">
        <f aca="false">IF(AND(H_Direct=0,H_TaxEvt=1,ASQ35+1&gt;=H_Deemed),ALQ36,AID36)</f>
        <v>3860.24939874054</v>
      </c>
      <c r="APE36" s="20" t="n">
        <f aca="false">IF(AND(H_Direct=0,H_TaxEvt=1,ASR35+1&gt;=H_Deemed),ALR36,AIE36)</f>
        <v>59564.0396053951</v>
      </c>
      <c r="APF36" s="20" t="n">
        <f aca="false">IF(AND(H_Direct=0,H_TaxEvt=1,ASS35+1&gt;=H_Deemed),ALS36,AIF36)</f>
        <v>0</v>
      </c>
      <c r="APG36" s="20" t="n">
        <f aca="false">IF(AND(H_Direct=0,H_TaxEvt=1,AST35+1&gt;=H_Deemed),ALT36,AIG36)</f>
        <v>0</v>
      </c>
      <c r="APH36" s="20" t="n">
        <f aca="false">IF(AND(H_Direct=0,H_TaxEvt=1,0+1&gt;=H_Deemed),ALU36,AIH36)</f>
        <v>1729.45769829184</v>
      </c>
      <c r="API36" s="20" t="n">
        <v>0</v>
      </c>
      <c r="APJ36" s="20" t="n">
        <v>0</v>
      </c>
      <c r="APK36" s="20" t="n">
        <v>0</v>
      </c>
      <c r="APL36" s="20" t="n">
        <v>0</v>
      </c>
      <c r="APM36" s="20" t="n">
        <v>0</v>
      </c>
      <c r="APN36" s="20" t="n">
        <v>0</v>
      </c>
      <c r="APO36" s="20" t="n">
        <v>0</v>
      </c>
      <c r="APP36" s="20" t="n">
        <v>0</v>
      </c>
      <c r="APQ36" s="20" t="n">
        <v>0</v>
      </c>
      <c r="APR36" s="20" t="n">
        <v>0</v>
      </c>
      <c r="APS36" s="20" t="n">
        <v>0</v>
      </c>
      <c r="APT36" s="20" t="n">
        <v>0</v>
      </c>
      <c r="APU36" s="20" t="n">
        <v>0</v>
      </c>
      <c r="APV36" s="20" t="n">
        <v>0</v>
      </c>
      <c r="APW36" s="20" t="n">
        <v>0</v>
      </c>
      <c r="APX36" s="20" t="n">
        <v>0</v>
      </c>
      <c r="APY36" s="20" t="n">
        <v>0</v>
      </c>
      <c r="APZ36" s="20" t="n">
        <v>0</v>
      </c>
      <c r="AQA36" s="20" t="n">
        <v>0</v>
      </c>
      <c r="AQB36" s="20" t="n">
        <v>0</v>
      </c>
      <c r="AQC36" s="20" t="n">
        <v>0</v>
      </c>
      <c r="AQD36" s="20" t="n">
        <v>0</v>
      </c>
      <c r="AQE36" s="20" t="n">
        <v>0</v>
      </c>
      <c r="AQF36" s="20" t="n">
        <v>0</v>
      </c>
      <c r="AQG36" s="20" t="n">
        <v>0</v>
      </c>
      <c r="AQH36" s="20" t="n">
        <v>0</v>
      </c>
      <c r="AQI36" s="20" t="n">
        <v>0</v>
      </c>
      <c r="AQJ36" s="20" t="n">
        <v>0</v>
      </c>
      <c r="AQK36" s="20" t="n">
        <v>0</v>
      </c>
      <c r="AQL36" s="20" t="n">
        <v>0</v>
      </c>
      <c r="AQM36" s="20" t="n">
        <v>0</v>
      </c>
      <c r="AQN36" s="20" t="n">
        <v>0</v>
      </c>
      <c r="AQO36" s="20" t="n">
        <v>0</v>
      </c>
      <c r="AQP36" s="20" t="n">
        <v>0</v>
      </c>
      <c r="AQQ36" s="20" t="n">
        <v>0</v>
      </c>
      <c r="AQR36" s="20" t="n">
        <v>0</v>
      </c>
      <c r="AQS36" s="20" t="n">
        <v>0</v>
      </c>
      <c r="AQT36" s="20" t="n">
        <v>0</v>
      </c>
      <c r="AQU36" s="20" t="n">
        <v>0</v>
      </c>
      <c r="AQV36" s="20" t="n">
        <v>0</v>
      </c>
      <c r="AQW36" s="20" t="n">
        <v>0</v>
      </c>
      <c r="AQX36" s="20" t="n">
        <v>0</v>
      </c>
      <c r="AQY36" s="20" t="n">
        <v>0</v>
      </c>
      <c r="AQZ36" s="20" t="n">
        <v>0</v>
      </c>
      <c r="ARA36" s="20" t="n">
        <v>0</v>
      </c>
      <c r="ARB36" s="20" t="n">
        <v>0</v>
      </c>
      <c r="ARC36" s="20" t="n">
        <v>0</v>
      </c>
      <c r="ARD36" s="20" t="n">
        <v>0</v>
      </c>
      <c r="ARE36" s="20" t="n">
        <v>0</v>
      </c>
      <c r="ARF36" s="20" t="n">
        <v>0</v>
      </c>
      <c r="ARG36" s="20" t="n">
        <v>0</v>
      </c>
      <c r="ARH36" s="20" t="n">
        <v>0</v>
      </c>
      <c r="ARI36" s="20" t="n">
        <v>0</v>
      </c>
      <c r="ARJ36" s="20" t="n">
        <v>0</v>
      </c>
      <c r="ARK36" s="20" t="n">
        <v>0</v>
      </c>
      <c r="ARL36" s="20" t="n">
        <v>0</v>
      </c>
      <c r="ARM36" s="20" t="n">
        <v>0</v>
      </c>
      <c r="ARN36" s="20" t="n">
        <v>0</v>
      </c>
      <c r="ARO36" s="20" t="n">
        <v>0</v>
      </c>
      <c r="ARP36" s="20" t="n">
        <v>0</v>
      </c>
      <c r="ARQ36" s="20" t="n">
        <v>0</v>
      </c>
      <c r="ARR36" s="20" t="n">
        <f aca="false">IF(AND(H_Direct=0,H_TaxEvt=1),IF(ARR35+1&gt;=H_Deemed,0,ARR35+1),ARR35)</f>
        <v>5</v>
      </c>
      <c r="ARS36" s="20" t="n">
        <f aca="false">IF(AND(H_Direct=0,H_TaxEvt=1),IF(ARS35+1&gt;=H_Deemed,0,ARS35+1),ARS35)</f>
        <v>5</v>
      </c>
      <c r="ART36" s="20" t="n">
        <f aca="false">IF(AND(H_Direct=0,H_TaxEvt=1),IF(ART35+1&gt;=H_Deemed,0,ART35+1),ART35)</f>
        <v>4</v>
      </c>
      <c r="ARU36" s="20" t="n">
        <f aca="false">IF(AND(H_Direct=0,H_TaxEvt=1),IF(ARU35+1&gt;=H_Deemed,0,ARU35+1),ARU35)</f>
        <v>3</v>
      </c>
      <c r="ARV36" s="20" t="n">
        <f aca="false">IF(AND(H_Direct=0,H_TaxEvt=1),IF(ARV35+1&gt;=H_Deemed,0,ARV35+1),ARV35)</f>
        <v>2</v>
      </c>
      <c r="ARW36" s="20" t="n">
        <f aca="false">IF(AND(H_Direct=0,H_TaxEvt=1),IF(ARW35+1&gt;=H_Deemed,0,ARW35+1),ARW35)</f>
        <v>1</v>
      </c>
      <c r="ARX36" s="20" t="n">
        <f aca="false">IF(AND(H_Direct=0,H_TaxEvt=1),IF(ARX35+1&gt;=H_Deemed,0,ARX35+1),ARX35)</f>
        <v>0</v>
      </c>
      <c r="ARY36" s="20" t="n">
        <f aca="false">IF(AND(H_Direct=0,H_TaxEvt=1),IF(ARY35+1&gt;=H_Deemed,0,ARY35+1),ARY35)</f>
        <v>7</v>
      </c>
      <c r="ARZ36" s="20" t="n">
        <f aca="false">IF(AND(H_Direct=0,H_TaxEvt=1),IF(ARZ35+1&gt;=H_Deemed,0,ARZ35+1),ARZ35)</f>
        <v>6</v>
      </c>
      <c r="ASA36" s="20" t="n">
        <f aca="false">IF(AND(H_Direct=0,H_TaxEvt=1),IF(ASA35+1&gt;=H_Deemed,0,ASA35+1),ASA35)</f>
        <v>5</v>
      </c>
      <c r="ASB36" s="20" t="n">
        <f aca="false">IF(AND(H_Direct=0,H_TaxEvt=1),IF(ASB35+1&gt;=H_Deemed,0,ASB35+1),ASB35)</f>
        <v>4</v>
      </c>
      <c r="ASC36" s="20" t="n">
        <f aca="false">IF(AND(H_Direct=0,H_TaxEvt=1),IF(ASC35+1&gt;=H_Deemed,0,ASC35+1),ASC35)</f>
        <v>3</v>
      </c>
      <c r="ASD36" s="20" t="n">
        <f aca="false">IF(AND(H_Direct=0,H_TaxEvt=1),IF(ASD35+1&gt;=H_Deemed,0,ASD35+1),ASD35)</f>
        <v>2</v>
      </c>
      <c r="ASE36" s="20" t="n">
        <f aca="false">IF(AND(H_Direct=0,H_TaxEvt=1),IF(ASE35+1&gt;=H_Deemed,0,ASE35+1),ASE35)</f>
        <v>1</v>
      </c>
      <c r="ASF36" s="20" t="n">
        <f aca="false">IF(AND(H_Direct=0,H_TaxEvt=1),IF(ASF35+1&gt;=H_Deemed,0,ASF35+1),ASF35)</f>
        <v>0</v>
      </c>
      <c r="ASG36" s="20" t="n">
        <f aca="false">IF(AND(H_Direct=0,H_TaxEvt=1),IF(ASG35+1&gt;=H_Deemed,0,ASG35+1),ASG35)</f>
        <v>7</v>
      </c>
      <c r="ASH36" s="20" t="n">
        <f aca="false">IF(AND(H_Direct=0,H_TaxEvt=1),IF(ASH35+1&gt;=H_Deemed,0,ASH35+1),ASH35)</f>
        <v>6</v>
      </c>
      <c r="ASI36" s="20" t="n">
        <f aca="false">IF(AND(H_Direct=0,H_TaxEvt=1),IF(ASI35+1&gt;=H_Deemed,0,ASI35+1),ASI35)</f>
        <v>5</v>
      </c>
      <c r="ASJ36" s="20" t="n">
        <f aca="false">IF(AND(H_Direct=0,H_TaxEvt=1),IF(ASJ35+1&gt;=H_Deemed,0,ASJ35+1),ASJ35)</f>
        <v>4</v>
      </c>
      <c r="ASK36" s="20" t="n">
        <f aca="false">IF(AND(H_Direct=0,H_TaxEvt=1),IF(ASK35+1&gt;=H_Deemed,0,ASK35+1),ASK35)</f>
        <v>3</v>
      </c>
      <c r="ASL36" s="20" t="n">
        <f aca="false">IF(AND(H_Direct=0,H_TaxEvt=1),IF(ASL35+1&gt;=H_Deemed,0,ASL35+1),ASL35)</f>
        <v>2</v>
      </c>
      <c r="ASM36" s="20" t="n">
        <f aca="false">IF(AND(H_Direct=0,H_TaxEvt=1),IF(ASM35+1&gt;=H_Deemed,0,ASM35+1),ASM35)</f>
        <v>1</v>
      </c>
      <c r="ASN36" s="20" t="n">
        <f aca="false">IF(AND(H_Direct=0,H_TaxEvt=1),IF(ASN35+1&gt;=H_Deemed,0,ASN35+1),ASN35)</f>
        <v>0</v>
      </c>
      <c r="ASO36" s="20" t="n">
        <f aca="false">IF(AND(H_Direct=0,H_TaxEvt=1),IF(ASO35+1&gt;=H_Deemed,0,ASO35+1),ASO35)</f>
        <v>7</v>
      </c>
      <c r="ASP36" s="20" t="n">
        <f aca="false">IF(AND(H_Direct=0,H_TaxEvt=1),IF(ASP35+1&gt;=H_Deemed,0,ASP35+1),ASP35)</f>
        <v>6</v>
      </c>
      <c r="ASQ36" s="20" t="n">
        <f aca="false">IF(AND(H_Direct=0,H_TaxEvt=1),IF(ASQ35+1&gt;=H_Deemed,0,ASQ35+1),ASQ35)</f>
        <v>5</v>
      </c>
      <c r="ASR36" s="20" t="n">
        <f aca="false">IF(AND(H_Direct=0,H_TaxEvt=1),IF(ASR35+1&gt;=H_Deemed,0,ASR35+1),ASR35)</f>
        <v>4</v>
      </c>
      <c r="ASS36" s="20" t="n">
        <f aca="false">IF(AND(H_Direct=0,H_TaxEvt=1),IF(ASS35+1&gt;=H_Deemed,0,ASS35+1),ASS35)</f>
        <v>3</v>
      </c>
      <c r="AST36" s="20" t="n">
        <f aca="false">IF(AND(H_Direct=0,H_TaxEvt=1),IF(AST35+1&gt;=H_Deemed,0,AST35+1),AST35)</f>
        <v>2</v>
      </c>
      <c r="ASU36" s="20" t="n">
        <f aca="false">IF(AND(H_Direct=0,H_TaxEvt=1),IF(0+1&gt;=H_Deemed,0,0+1),0)</f>
        <v>1</v>
      </c>
      <c r="ASV36" s="20" t="n">
        <v>0</v>
      </c>
      <c r="ASW36" s="20" t="n">
        <v>0</v>
      </c>
      <c r="ASX36" s="20" t="n">
        <v>0</v>
      </c>
      <c r="ASY36" s="20" t="n">
        <v>0</v>
      </c>
      <c r="ASZ36" s="20" t="n">
        <v>0</v>
      </c>
      <c r="ATA36" s="20" t="n">
        <v>0</v>
      </c>
      <c r="ATB36" s="20" t="n">
        <v>0</v>
      </c>
      <c r="ATC36" s="20" t="n">
        <v>0</v>
      </c>
      <c r="ATD36" s="20" t="n">
        <v>0</v>
      </c>
      <c r="ATE36" s="20" t="n">
        <v>0</v>
      </c>
      <c r="ATF36" s="20" t="n">
        <v>0</v>
      </c>
      <c r="ATG36" s="20" t="n">
        <v>0</v>
      </c>
      <c r="ATH36" s="20" t="n">
        <v>0</v>
      </c>
      <c r="ATI36" s="20" t="n">
        <v>0</v>
      </c>
      <c r="ATJ36" s="20" t="n">
        <v>0</v>
      </c>
      <c r="ATK36" s="20" t="n">
        <v>0</v>
      </c>
      <c r="ATL36" s="20" t="n">
        <v>0</v>
      </c>
      <c r="ATM36" s="20" t="n">
        <v>0</v>
      </c>
      <c r="ATN36" s="20" t="n">
        <v>0</v>
      </c>
      <c r="ATO36" s="20" t="n">
        <v>0</v>
      </c>
      <c r="ATP36" s="20" t="n">
        <v>0</v>
      </c>
      <c r="ATQ36" s="20" t="n">
        <v>0</v>
      </c>
      <c r="ATR36" s="20" t="n">
        <v>0</v>
      </c>
      <c r="ATS36" s="20" t="n">
        <v>0</v>
      </c>
      <c r="ATT36" s="20" t="n">
        <v>0</v>
      </c>
      <c r="ATU36" s="20" t="n">
        <v>0</v>
      </c>
      <c r="ATV36" s="20" t="n">
        <v>0</v>
      </c>
      <c r="ATW36" s="20" t="n">
        <v>0</v>
      </c>
      <c r="ATX36" s="20" t="n">
        <v>0</v>
      </c>
      <c r="ATY36" s="20" t="n">
        <v>0</v>
      </c>
      <c r="ATZ36" s="20" t="n">
        <v>0</v>
      </c>
      <c r="AUA36" s="20" t="n">
        <v>0</v>
      </c>
      <c r="AUB36" s="20" t="n">
        <v>0</v>
      </c>
      <c r="AUC36" s="20" t="n">
        <v>0</v>
      </c>
      <c r="AUD36" s="20" t="n">
        <v>0</v>
      </c>
      <c r="AUE36" s="20" t="n">
        <v>0</v>
      </c>
      <c r="AUF36" s="20" t="n">
        <v>0</v>
      </c>
      <c r="AUG36" s="20" t="n">
        <v>0</v>
      </c>
      <c r="AUH36" s="20" t="n">
        <v>0</v>
      </c>
      <c r="AUI36" s="20" t="n">
        <v>0</v>
      </c>
      <c r="AUJ36" s="20" t="n">
        <v>0</v>
      </c>
      <c r="AUK36" s="20" t="n">
        <v>0</v>
      </c>
      <c r="AUL36" s="20" t="n">
        <v>0</v>
      </c>
      <c r="AUM36" s="20" t="n">
        <v>0</v>
      </c>
      <c r="AUN36" s="20" t="n">
        <v>0</v>
      </c>
      <c r="AUO36" s="20" t="n">
        <v>0</v>
      </c>
      <c r="AUP36" s="20" t="n">
        <v>0</v>
      </c>
      <c r="AUQ36" s="20" t="n">
        <v>0</v>
      </c>
      <c r="AUR36" s="20" t="n">
        <v>0</v>
      </c>
      <c r="AUS36" s="20" t="n">
        <v>0</v>
      </c>
      <c r="AUT36" s="20" t="n">
        <v>0</v>
      </c>
      <c r="AUU36" s="20" t="n">
        <v>0</v>
      </c>
      <c r="AUV36" s="20" t="n">
        <v>0</v>
      </c>
      <c r="AUW36" s="20" t="n">
        <v>0</v>
      </c>
      <c r="AUX36" s="20" t="n">
        <v>0</v>
      </c>
      <c r="AUY36" s="20" t="n">
        <v>0</v>
      </c>
      <c r="AUZ36" s="20" t="n">
        <v>0</v>
      </c>
      <c r="AVA36" s="20" t="n">
        <v>0</v>
      </c>
      <c r="AVB36" s="20" t="n">
        <v>0</v>
      </c>
      <c r="AVC36" s="20" t="n">
        <v>0</v>
      </c>
      <c r="AVD36" s="20" t="n">
        <v>0</v>
      </c>
      <c r="AVE36" s="20" t="n">
        <f aca="false">IF(AND(H_Direct=0,H_TaxEvt=1,ARR35+1&gt;=H_Deemed),MAX(0,ADR36-AHE36)*H_Exit,0)</f>
        <v>0</v>
      </c>
      <c r="AVF36" s="20" t="n">
        <f aca="false">IF(AND(H_Direct=0,H_TaxEvt=1,ARS35+1&gt;=H_Deemed),MAX(0,ADS36-AHF36)*H_Exit,0)</f>
        <v>0</v>
      </c>
      <c r="AVG36" s="20" t="n">
        <f aca="false">IF(AND(H_Direct=0,H_TaxEvt=1,ART35+1&gt;=H_Deemed),MAX(0,ADT36-AHG36)*H_Exit,0)</f>
        <v>0</v>
      </c>
      <c r="AVH36" s="20" t="n">
        <f aca="false">IF(AND(H_Direct=0,H_TaxEvt=1,ARU35+1&gt;=H_Deemed),MAX(0,ADU36-AHH36)*H_Exit,0)</f>
        <v>0</v>
      </c>
      <c r="AVI36" s="20" t="n">
        <f aca="false">IF(AND(H_Direct=0,H_TaxEvt=1,ARV35+1&gt;=H_Deemed),MAX(0,ADV36-AHI36)*H_Exit,0)</f>
        <v>0</v>
      </c>
      <c r="AVJ36" s="20" t="n">
        <f aca="false">IF(AND(H_Direct=0,H_TaxEvt=1,ARW35+1&gt;=H_Deemed),MAX(0,ADW36-AHJ36)*H_Exit,0)</f>
        <v>0</v>
      </c>
      <c r="AVK36" s="20" t="n">
        <f aca="false">IF(AND(H_Direct=0,H_TaxEvt=1,ARX35+1&gt;=H_Deemed),MAX(0,ADX36-AHK36)*H_Exit,0)</f>
        <v>0</v>
      </c>
      <c r="AVL36" s="20" t="n">
        <f aca="false">IF(AND(H_Direct=0,H_TaxEvt=1,ARY35+1&gt;=H_Deemed),MAX(0,ADY36-AHL36)*H_Exit,0)</f>
        <v>0</v>
      </c>
      <c r="AVM36" s="20" t="n">
        <f aca="false">IF(AND(H_Direct=0,H_TaxEvt=1,ARZ35+1&gt;=H_Deemed),MAX(0,ADZ36-AHM36)*H_Exit,0)</f>
        <v>0</v>
      </c>
      <c r="AVN36" s="20" t="n">
        <f aca="false">IF(AND(H_Direct=0,H_TaxEvt=1,ASA35+1&gt;=H_Deemed),MAX(0,AEA36-AHN36)*H_Exit,0)</f>
        <v>0</v>
      </c>
      <c r="AVO36" s="20" t="n">
        <f aca="false">IF(AND(H_Direct=0,H_TaxEvt=1,ASB35+1&gt;=H_Deemed),MAX(0,AEB36-AHO36)*H_Exit,0)</f>
        <v>0</v>
      </c>
      <c r="AVP36" s="20" t="n">
        <f aca="false">IF(AND(H_Direct=0,H_TaxEvt=1,ASC35+1&gt;=H_Deemed),MAX(0,AEC36-AHP36)*H_Exit,0)</f>
        <v>0</v>
      </c>
      <c r="AVQ36" s="20" t="n">
        <f aca="false">IF(AND(H_Direct=0,H_TaxEvt=1,ASD35+1&gt;=H_Deemed),MAX(0,AED36-AHQ36)*H_Exit,0)</f>
        <v>0</v>
      </c>
      <c r="AVR36" s="20" t="n">
        <f aca="false">IF(AND(H_Direct=0,H_TaxEvt=1,ASE35+1&gt;=H_Deemed),MAX(0,AEE36-AHR36)*H_Exit,0)</f>
        <v>0</v>
      </c>
      <c r="AVS36" s="20" t="n">
        <f aca="false">IF(AND(H_Direct=0,H_TaxEvt=1,ASF35+1&gt;=H_Deemed),MAX(0,AEF36-AHS36)*H_Exit,0)</f>
        <v>179.116996472366</v>
      </c>
      <c r="AVT36" s="20" t="n">
        <f aca="false">IF(AND(H_Direct=0,H_TaxEvt=1,ASG35+1&gt;=H_Deemed),MAX(0,AEG36-AHT36)*H_Exit,0)</f>
        <v>0</v>
      </c>
      <c r="AVU36" s="20" t="n">
        <f aca="false">IF(AND(H_Direct=0,H_TaxEvt=1,ASH35+1&gt;=H_Deemed),MAX(0,AEH36-AHU36)*H_Exit,0)</f>
        <v>0</v>
      </c>
      <c r="AVV36" s="20" t="n">
        <f aca="false">IF(AND(H_Direct=0,H_TaxEvt=1,ASI35+1&gt;=H_Deemed),MAX(0,AEI36-AHV36)*H_Exit,0)</f>
        <v>0</v>
      </c>
      <c r="AVW36" s="20" t="n">
        <f aca="false">IF(AND(H_Direct=0,H_TaxEvt=1,ASJ35+1&gt;=H_Deemed),MAX(0,AEJ36-AHW36)*H_Exit,0)</f>
        <v>0</v>
      </c>
      <c r="AVX36" s="20" t="n">
        <f aca="false">IF(AND(H_Direct=0,H_TaxEvt=1,ASK35+1&gt;=H_Deemed),MAX(0,AEK36-AHX36)*H_Exit,0)</f>
        <v>0</v>
      </c>
      <c r="AVY36" s="20" t="n">
        <f aca="false">IF(AND(H_Direct=0,H_TaxEvt=1,ASL35+1&gt;=H_Deemed),MAX(0,AEL36-AHY36)*H_Exit,0)</f>
        <v>0</v>
      </c>
      <c r="AVZ36" s="20" t="n">
        <f aca="false">IF(AND(H_Direct=0,H_TaxEvt=1,ASM35+1&gt;=H_Deemed),MAX(0,AEM36-AHZ36)*H_Exit,0)</f>
        <v>0</v>
      </c>
      <c r="AWA36" s="20" t="n">
        <f aca="false">IF(AND(H_Direct=0,H_TaxEvt=1,ASN35+1&gt;=H_Deemed),MAX(0,AEN36-AIA36)*H_Exit,0)</f>
        <v>509.468467052742</v>
      </c>
      <c r="AWB36" s="20" t="n">
        <f aca="false">IF(AND(H_Direct=0,H_TaxEvt=1,ASO35+1&gt;=H_Deemed),MAX(0,AEO36-AIB36)*H_Exit,0)</f>
        <v>0</v>
      </c>
      <c r="AWC36" s="20" t="n">
        <f aca="false">IF(AND(H_Direct=0,H_TaxEvt=1,ASP35+1&gt;=H_Deemed),MAX(0,AEP36-AIC36)*H_Exit,0)</f>
        <v>0</v>
      </c>
      <c r="AWD36" s="20" t="n">
        <f aca="false">IF(AND(H_Direct=0,H_TaxEvt=1,ASQ35+1&gt;=H_Deemed),MAX(0,AEQ36-AID36)*H_Exit,0)</f>
        <v>0</v>
      </c>
      <c r="AWE36" s="20" t="n">
        <f aca="false">IF(AND(H_Direct=0,H_TaxEvt=1,ASR35+1&gt;=H_Deemed),MAX(0,AER36-AIE36)*H_Exit,0)</f>
        <v>0</v>
      </c>
      <c r="AWF36" s="20" t="n">
        <f aca="false">IF(AND(H_Direct=0,H_TaxEvt=1,ASS35+1&gt;=H_Deemed),MAX(0,AES36-AIF36)*H_Exit,0)</f>
        <v>0</v>
      </c>
      <c r="AWG36" s="20" t="n">
        <f aca="false">IF(AND(H_Direct=0,H_TaxEvt=1,AST35+1&gt;=H_Deemed),MAX(0,AET36-AIG36)*H_Exit,0)</f>
        <v>0</v>
      </c>
      <c r="AWH36" s="20" t="n">
        <f aca="false">IF(AND(H_Direct=0,H_TaxEvt=1,0+1&gt;=H_Deemed),MAX(0,AEU36-AIH36)*H_Exit,0)</f>
        <v>0</v>
      </c>
      <c r="AWI36" s="20" t="n">
        <v>0</v>
      </c>
      <c r="AWJ36" s="20" t="n">
        <v>0</v>
      </c>
      <c r="AWK36" s="20" t="n">
        <v>0</v>
      </c>
      <c r="AWL36" s="20" t="n">
        <v>0</v>
      </c>
      <c r="AWM36" s="20" t="n">
        <v>0</v>
      </c>
      <c r="AWN36" s="20" t="n">
        <v>0</v>
      </c>
      <c r="AWO36" s="20" t="n">
        <v>0</v>
      </c>
      <c r="AWP36" s="20" t="n">
        <v>0</v>
      </c>
      <c r="AWQ36" s="20" t="n">
        <v>0</v>
      </c>
      <c r="AWR36" s="20" t="n">
        <v>0</v>
      </c>
      <c r="AWS36" s="20" t="n">
        <v>0</v>
      </c>
      <c r="AWT36" s="20" t="n">
        <v>0</v>
      </c>
      <c r="AWU36" s="20" t="n">
        <v>0</v>
      </c>
      <c r="AWV36" s="20" t="n">
        <v>0</v>
      </c>
      <c r="AWW36" s="20" t="n">
        <v>0</v>
      </c>
      <c r="AWX36" s="20" t="n">
        <v>0</v>
      </c>
      <c r="AWY36" s="20" t="n">
        <v>0</v>
      </c>
      <c r="AWZ36" s="20" t="n">
        <v>0</v>
      </c>
      <c r="AXA36" s="20" t="n">
        <v>0</v>
      </c>
      <c r="AXB36" s="20" t="n">
        <v>0</v>
      </c>
      <c r="AXC36" s="20" t="n">
        <v>0</v>
      </c>
      <c r="AXD36" s="20" t="n">
        <v>0</v>
      </c>
      <c r="AXE36" s="20" t="n">
        <v>0</v>
      </c>
      <c r="AXF36" s="20" t="n">
        <v>0</v>
      </c>
      <c r="AXG36" s="20" t="n">
        <v>0</v>
      </c>
      <c r="AXH36" s="20" t="n">
        <v>0</v>
      </c>
      <c r="AXI36" s="20" t="n">
        <v>0</v>
      </c>
      <c r="AXJ36" s="20" t="n">
        <v>0</v>
      </c>
      <c r="AXK36" s="20" t="n">
        <v>0</v>
      </c>
      <c r="AXL36" s="20" t="n">
        <v>0</v>
      </c>
      <c r="AXM36" s="20" t="n">
        <v>0</v>
      </c>
      <c r="AXN36" s="20" t="n">
        <v>0</v>
      </c>
      <c r="AXO36" s="20" t="n">
        <v>0</v>
      </c>
      <c r="AXP36" s="20" t="n">
        <v>0</v>
      </c>
      <c r="AXQ36" s="20" t="n">
        <v>0</v>
      </c>
      <c r="AXR36" s="20" t="n">
        <v>0</v>
      </c>
      <c r="AXS36" s="20" t="n">
        <v>0</v>
      </c>
      <c r="AXT36" s="20" t="n">
        <v>0</v>
      </c>
      <c r="AXU36" s="20" t="n">
        <v>0</v>
      </c>
      <c r="AXV36" s="20" t="n">
        <v>0</v>
      </c>
      <c r="AXW36" s="20" t="n">
        <v>0</v>
      </c>
      <c r="AXX36" s="20" t="n">
        <v>0</v>
      </c>
      <c r="AXY36" s="20" t="n">
        <v>0</v>
      </c>
      <c r="AXZ36" s="20" t="n">
        <v>0</v>
      </c>
      <c r="AYA36" s="20" t="n">
        <v>0</v>
      </c>
      <c r="AYB36" s="20" t="n">
        <v>0</v>
      </c>
      <c r="AYC36" s="20" t="n">
        <v>0</v>
      </c>
      <c r="AYD36" s="20" t="n">
        <v>0</v>
      </c>
      <c r="AYE36" s="20" t="n">
        <v>0</v>
      </c>
      <c r="AYF36" s="20" t="n">
        <v>0</v>
      </c>
      <c r="AYG36" s="20" t="n">
        <v>0</v>
      </c>
      <c r="AYH36" s="20" t="n">
        <v>0</v>
      </c>
      <c r="AYI36" s="20" t="n">
        <v>0</v>
      </c>
      <c r="AYJ36" s="20" t="n">
        <v>0</v>
      </c>
      <c r="AYK36" s="20" t="n">
        <v>0</v>
      </c>
      <c r="AYL36" s="20" t="n">
        <v>0</v>
      </c>
      <c r="AYM36" s="20" t="n">
        <v>0</v>
      </c>
      <c r="AYN36" s="20" t="n">
        <v>0</v>
      </c>
      <c r="AYO36" s="20" t="n">
        <v>0</v>
      </c>
      <c r="AYP36" s="20" t="n">
        <v>0</v>
      </c>
      <c r="AYQ36" s="20" t="n">
        <v>0</v>
      </c>
    </row>
    <row r="37" customFormat="false" ht="15" hidden="false" customHeight="false" outlineLevel="0" collapsed="false">
      <c r="B37" s="20" t="n">
        <v>29</v>
      </c>
      <c r="C37" s="20" t="n">
        <f aca="false">'Plan cashflow'!C37</f>
        <v>1</v>
      </c>
      <c r="D37" s="20" t="n">
        <f aca="false">'Plan cashflow'!D37</f>
        <v>67</v>
      </c>
      <c r="E37" s="20" t="n">
        <f aca="false">AS_Year0+29</f>
        <v>2055</v>
      </c>
      <c r="F37" s="50" t="n">
        <f aca="false">'Plan cashflow'!F37</f>
        <v>1.77584469029741</v>
      </c>
      <c r="G37" s="59" t="n">
        <f aca="true">IF(MAX(TODAY(),DATE(E37,1,1))&gt;=H_CGTfrom,H_CGT1,H_CGT0)</f>
        <v>0.31</v>
      </c>
      <c r="H37" s="20" t="n">
        <f aca="false">H_Exempt*H_Persons</f>
        <v>1270</v>
      </c>
      <c r="I37" s="20" t="n">
        <f aca="false">AX36</f>
        <v>0</v>
      </c>
      <c r="J37" s="60" t="n">
        <f aca="false">BF36</f>
        <v>87721.0381002489</v>
      </c>
      <c r="K37" s="60" t="n">
        <f aca="false">BG36</f>
        <v>0</v>
      </c>
      <c r="L37" s="20" t="n">
        <f aca="false">IF(AND(In_polLump&gt;0,In_polLumpAge&gt;0,D37=In_polLumpAge),In_polLump,0)</f>
        <v>0</v>
      </c>
      <c r="M37" s="20" t="n">
        <f aca="false">IF(AND(In_homeUse="Yes, I'd downsize",In_downAge&gt;0,D37=In_downAge,OR(In_home="Own outright",In_home="Own with mortgage"),In_homeValue&gt;0),MAX(0,MAX(0,In_homeValue-In_downValue)*F37*0.9-'Plan cashflow'!HR36),0)</f>
        <v>0</v>
      </c>
      <c r="N37" s="20" t="n">
        <f aca="false">'Plan pay &amp; tax'!Y263</f>
        <v>0</v>
      </c>
      <c r="O37" s="20" t="n">
        <f aca="false">L37+M37+(1-H_Sh)*N37</f>
        <v>0</v>
      </c>
      <c r="P37" s="20" t="n">
        <f aca="false">H_Sh*N37</f>
        <v>0</v>
      </c>
      <c r="Q37" s="20" t="n">
        <f aca="false">'Plan cashflow'!UL37</f>
        <v>0</v>
      </c>
      <c r="R37" s="20" t="n">
        <f aca="false">(1-H_Sh)*Q37</f>
        <v>0</v>
      </c>
      <c r="S37" s="20" t="n">
        <f aca="false">H_Sh*Q37</f>
        <v>0</v>
      </c>
      <c r="T37" s="20" t="n">
        <f aca="false">J37+K37+O37</f>
        <v>87721.0381002489</v>
      </c>
      <c r="U37" s="20" t="n">
        <f aca="false">T37+R37</f>
        <v>87721.0381002489</v>
      </c>
      <c r="V37" s="60" t="n">
        <f aca="false">SUM(FE37:IQ37)</f>
        <v>112842.226141833</v>
      </c>
      <c r="W37" s="60" t="n">
        <f aca="false">IF(AJ37&lt;=0,0,IF(AL37&lt;=0,AJ37,AJ37-G37*MAX(0,AL37*AJ37-(AY37+AZ37))))</f>
        <v>0</v>
      </c>
      <c r="X37" s="60" t="n">
        <f aca="false">IF(AR37&lt;=0,0,IF(AT37&lt;=0,AR37,AR37-G37*MAX(0,AT37*AR37-(BA37+BB37))))</f>
        <v>0</v>
      </c>
      <c r="Y37" s="60" t="n">
        <f aca="false">T37+V37-S37+W37+X37</f>
        <v>200563.264242081</v>
      </c>
      <c r="Z37" s="60" t="n">
        <f aca="false">'Plan cashflow'!UK37</f>
        <v>19379.8615082084</v>
      </c>
      <c r="AA37" s="20" t="n">
        <f aca="false">MIN(Z37,U37)</f>
        <v>19379.8615082084</v>
      </c>
      <c r="AB37" s="20" t="n">
        <f aca="false">Z37-AA37</f>
        <v>0</v>
      </c>
      <c r="AC37" s="20" t="n">
        <f aca="false">MIN(AA37,J37+O37+R37)</f>
        <v>19379.8615082084</v>
      </c>
      <c r="AD37" s="20" t="n">
        <f aca="false">AA37-AC37</f>
        <v>0</v>
      </c>
      <c r="AE37" s="20" t="n">
        <f aca="false">J37+O37+R37-AC37</f>
        <v>68341.1765920406</v>
      </c>
      <c r="AF37" s="20" t="n">
        <f aca="false">K37-AD37</f>
        <v>0</v>
      </c>
      <c r="AG37" s="20" t="n">
        <f aca="false">SUM(PR37:TD37)</f>
        <v>0</v>
      </c>
      <c r="AH37" s="20" t="n">
        <f aca="false">SUM(TE37:WQ37)</f>
        <v>0</v>
      </c>
      <c r="AI37" s="20" t="n">
        <f aca="false">MAX(0,AB37-AG37)</f>
        <v>0</v>
      </c>
      <c r="AJ37" s="57" t="n">
        <f aca="false">BI36</f>
        <v>0</v>
      </c>
      <c r="AK37" s="20" t="n">
        <f aca="false">BJ36</f>
        <v>0</v>
      </c>
      <c r="AL37" s="20" t="n">
        <f aca="false">IF(AJ37&gt;0,(AJ37-AK37)/AJ37,0)</f>
        <v>0</v>
      </c>
      <c r="AM37" s="20" t="n">
        <f aca="false">IF(AJ37&lt;=0,0,IF(AL37&lt;=0,MIN(AI37,AJ37),MIN(AI37,AJ37-G37*MAX(0,AL37*AJ37-(AAD37+ADQ37)))))</f>
        <v>0</v>
      </c>
      <c r="AN37" s="20" t="n">
        <f aca="false">IF(AJ37&lt;=0,0,IF(AL37&lt;=0,AM37,IF(AM37&lt;=(AAD37+ADQ37)/AL37,AM37,(AM37-G37*(AAD37+ADQ37))/(1-G37*AL37))))</f>
        <v>0</v>
      </c>
      <c r="AO37" s="20" t="n">
        <f aca="false">IF(AL37&gt;0,MAX(0,AAD37-(MIN(AL37*AN37,(AAD37+ADQ37))-MIN(MIN(AL37*AN37,(AAD37+ADQ37)),ADQ37))),AAD37)</f>
        <v>1270</v>
      </c>
      <c r="AP37" s="20" t="n">
        <f aca="false">IF(AL37&lt;=0,ADQ37-AL37*AN37,ADQ37-MIN(MIN(AL37*AN37,(AAD37+ADQ37)),ADQ37))</f>
        <v>0</v>
      </c>
      <c r="AQ37" s="20" t="n">
        <f aca="false">MAX(0,AI37-AM37)</f>
        <v>0</v>
      </c>
      <c r="AR37" s="57" t="n">
        <f aca="false">BK36</f>
        <v>0</v>
      </c>
      <c r="AS37" s="20" t="n">
        <f aca="false">BL36</f>
        <v>0</v>
      </c>
      <c r="AT37" s="20" t="n">
        <f aca="false">IF(AR37&gt;0,(AR37-AS37)/AR37,0)</f>
        <v>0</v>
      </c>
      <c r="AU37" s="20" t="n">
        <f aca="false">IF(AR37&lt;=0,0,IF(AT37&lt;=0,MIN(AQ37,AR37),MIN(AQ37,AR37-G37*MAX(0,AT37*AR37-(AO37+AP37)))))</f>
        <v>0</v>
      </c>
      <c r="AV37" s="20" t="n">
        <f aca="false">IF(AR37&lt;=0,0,IF(AT37&lt;=0,AU37,IF(AU37&lt;=(AO37+AP37)/AT37,AU37,(AU37-G37*(AO37+AP37))/(1-G37*AT37))))</f>
        <v>0</v>
      </c>
      <c r="AW37" s="20" t="n">
        <f aca="false">IF(AT37&gt;0,MAX(0,AO37-(MIN(AT37*AV37,(AO37+AP37))-MIN(MIN(AT37*AV37,(AO37+AP37)),AP37))),AO37)</f>
        <v>1270</v>
      </c>
      <c r="AX37" s="20" t="n">
        <f aca="false">IF(AT37&lt;=0,AP37-AT37*AV37,AP37-MIN(MIN(AT37*AV37,(AO37+AP37)),AP37))</f>
        <v>0</v>
      </c>
      <c r="AY37" s="20" t="n">
        <f aca="false">MD37</f>
        <v>1270</v>
      </c>
      <c r="AZ37" s="20" t="n">
        <f aca="false">PQ37</f>
        <v>0</v>
      </c>
      <c r="BA37" s="20" t="n">
        <f aca="false">IF(AL37&gt;0,MAX(0,AY37-(MIN(AL37*AJ37,AY37+AZ37)-MIN(MIN(AL37*AJ37,AY37+AZ37),AZ37))),AY37)</f>
        <v>1270</v>
      </c>
      <c r="BB37" s="20" t="n">
        <f aca="false">IF(AL37&lt;=0,AZ37-AL37*AJ37,AZ37-MIN(MIN(AL37*AJ37,AY37+AZ37),AZ37))</f>
        <v>0</v>
      </c>
      <c r="BC37" s="20" t="n">
        <f aca="false">'Plan cashflow'!UM37</f>
        <v>0</v>
      </c>
      <c r="BD37" s="20" t="n">
        <f aca="false">(1-H_Sh)*BC37</f>
        <v>0</v>
      </c>
      <c r="BE37" s="20" t="n">
        <f aca="false">H_Sh*BC37</f>
        <v>0</v>
      </c>
      <c r="BF37" s="60" t="n">
        <f aca="false">(AE37+BD37)*(1+AS_Cash)</f>
        <v>69024.588357961</v>
      </c>
      <c r="BG37" s="60" t="n">
        <f aca="false">AF37*(1+AS_Cash)</f>
        <v>0</v>
      </c>
      <c r="BH37" s="60" t="n">
        <f aca="false">SUM(AKR37:AOD37)</f>
        <v>123066.083495</v>
      </c>
      <c r="BI37" s="60" t="n">
        <f aca="false">(AJ37-AN37)*(1+AS_Infl)</f>
        <v>0</v>
      </c>
      <c r="BJ37" s="20" t="n">
        <f aca="false">IF(AJ37&gt;0,AK37-AK37*AN37/AJ37,0)</f>
        <v>0</v>
      </c>
      <c r="BK37" s="60" t="n">
        <f aca="false">(AR37-AV37)*(1+BQ37)</f>
        <v>0</v>
      </c>
      <c r="BL37" s="20" t="n">
        <f aca="false">IF(AR37&gt;0,AS37-AS37*AV37/AR37,0)</f>
        <v>0</v>
      </c>
      <c r="BM37" s="60" t="n">
        <f aca="false">BF37+BG37+BH37+BI37+BK37</f>
        <v>192090.671852961</v>
      </c>
      <c r="BN37" s="60" t="n">
        <f aca="false">(AH37-AG37)+(AN37-AM37)+(AV37-AU37)</f>
        <v>0</v>
      </c>
      <c r="BO37" s="20" t="n">
        <f aca="false">(AE37+BD37+AF37+MAX(0,'Plan cashflow'!QH37)+IF(Slot1_Rate=AS_Cash,'Plan cashflow'!QM37/(1+AS_Cash),0)+IF(Slot2_Rate=AS_Cash,'Plan cashflow'!QQ37/(1+AS_Cash),0)+IF(Slot3_Rate=AS_Cash,'Plan cashflow'!QU37/(1+AS_Cash),0)+IF(Slot4_Rate=AS_Cash,'Plan cashflow'!QY37/(1+AS_Cash),0)+IF(Slot5_Rate=AS_Cash,'Plan cashflow'!RC37/(1+AS_Cash),0)+IF(Slot6_Rate=AS_Cash,'Plan cashflow'!RG37/(1+AS_Cash),0)+IF(Slot7_Rate=AS_Cash,'Plan cashflow'!RK37/(1+AS_Cash),0)+IF(Slot8_Rate=AS_Cash,'Plan cashflow'!RO37/(1+AS_Cash),0)+IF(Slot9_Rate=AS_Cash,'Plan cashflow'!RS37/(1+AS_Cash),0)+IF(Slot10_Rate=AS_Cash,'Plan cashflow'!RW37/(1+AS_Cash),0)+IF(Slot11_Rate=AS_Cash,'Plan cashflow'!SA37/(1+AS_Cash),0)+IF(Slot12_Rate=AS_Cash,'Plan cashflow'!SE37/(1+AS_Cash),0)+IF(Slot13_Rate=AS_Cash,'Plan cashflow'!SI37/(1+AS_Cash),0)+IF(Slot14_Rate=AS_Cash,'Plan cashflow'!SM37/(1+AS_Cash),0)+IF(Slot15_Rate=AS_Cash,'Plan cashflow'!SQ37/(1+AS_Cash),0)+IF(Slot16_Rate=AS_Cash,'Plan cashflow'!SU37/(1+AS_Cash),0)+IF(Slot17_Rate=AS_Cash,'Plan cashflow'!SY37/(1+AS_Cash),0)+IF(Slot18_Rate=AS_Cash,'Plan cashflow'!TC37/(1+AS_Cash),0)+IF(Slot19_Rate=AS_Cash,'Plan cashflow'!TG37/(1+AS_Cash),0)+IF(Slot20_Rate=AS_Cash,'Plan cashflow'!TK37/(1+AS_Cash),0))*AS_Cash*H_DIRT/(1-H_DIRT)</f>
        <v>409.921837058755</v>
      </c>
      <c r="BP37" s="60" t="n">
        <f aca="false">SUM(AVE37:AYQ37)</f>
        <v>698.806444348122</v>
      </c>
      <c r="BQ37" s="54" t="n">
        <f aca="false">IF(H_TaxEvt=1,H_InvG,AS_Inv)</f>
        <v>0.04</v>
      </c>
      <c r="BR37" s="20" t="n">
        <f aca="false">IF(AKR36&gt;0,(AKR36-AOE36)/AKR36,0)</f>
        <v>0</v>
      </c>
      <c r="BS37" s="20" t="n">
        <f aca="false">IF(AKS36&gt;0,(AKS36-AOF36)/AKS36,0)</f>
        <v>0</v>
      </c>
      <c r="BT37" s="20" t="n">
        <f aca="false">IF(AKT36&gt;0,(AKT36-AOG36)/AKT36,0)</f>
        <v>0</v>
      </c>
      <c r="BU37" s="20" t="n">
        <f aca="false">IF(AKU36&gt;0,(AKU36-AOH36)/AKU36,0)</f>
        <v>0</v>
      </c>
      <c r="BV37" s="20" t="n">
        <f aca="false">IF(AKV36&gt;0,(AKV36-AOI36)/AKV36,0)</f>
        <v>0</v>
      </c>
      <c r="BW37" s="20" t="n">
        <f aca="false">IF(AKW36&gt;0,(AKW36-AOJ36)/AKW36,0)</f>
        <v>0</v>
      </c>
      <c r="BX37" s="20" t="n">
        <f aca="false">IF(AKX36&gt;0,(AKX36-AOK36)/AKX36,0)</f>
        <v>0</v>
      </c>
      <c r="BY37" s="20" t="n">
        <f aca="false">IF(AKY36&gt;0,(AKY36-AOL36)/AKY36,0)</f>
        <v>0</v>
      </c>
      <c r="BZ37" s="20" t="n">
        <f aca="false">IF(AKZ36&gt;0,(AKZ36-AOM36)/AKZ36,0)</f>
        <v>0</v>
      </c>
      <c r="CA37" s="20" t="n">
        <f aca="false">IF(ALA36&gt;0,(ALA36-AON36)/ALA36,0)</f>
        <v>0</v>
      </c>
      <c r="CB37" s="20" t="n">
        <f aca="false">IF(ALB36&gt;0,(ALB36-AOO36)/ALB36,0)</f>
        <v>0</v>
      </c>
      <c r="CC37" s="20" t="n">
        <f aca="false">IF(ALC36&gt;0,(ALC36-AOP36)/ALC36,0)</f>
        <v>0.111003641329085</v>
      </c>
      <c r="CD37" s="20" t="n">
        <f aca="false">IF(ALD36&gt;0,(ALD36-AOQ36)/ALD36,0)</f>
        <v>0.0754437869822486</v>
      </c>
      <c r="CE37" s="20" t="n">
        <f aca="false">IF(ALE36&gt;0,(ALE36-AOR36)/ALE36,0)</f>
        <v>0.0384615384615385</v>
      </c>
      <c r="CF37" s="20" t="n">
        <f aca="false">IF(ALF36&gt;0,(ALF36-AOS36)/ALF36,0)</f>
        <v>0</v>
      </c>
      <c r="CG37" s="20" t="n">
        <f aca="false">IF(ALG36&gt;0,(ALG36-AOT36)/ALG36,0)</f>
        <v>0.240082186797937</v>
      </c>
      <c r="CH37" s="20" t="n">
        <f aca="false">IF(ALH36&gt;0,(ALH36-AOU36)/ALH36,0)</f>
        <v>0.209685474269854</v>
      </c>
      <c r="CI37" s="20" t="n">
        <f aca="false">IF(ALI36&gt;0,(ALI36-AOV36)/ALI36,0)</f>
        <v>0.178072893240648</v>
      </c>
      <c r="CJ37" s="20" t="n">
        <f aca="false">IF(ALJ36&gt;0,(ALJ36-AOW36)/ALJ36,0)</f>
        <v>0.145195808970274</v>
      </c>
      <c r="CK37" s="20" t="n">
        <f aca="false">IF(ALK36&gt;0,(ALK36-AOX36)/ALK36,0)</f>
        <v>0.111003641329085</v>
      </c>
      <c r="CL37" s="20" t="n">
        <f aca="false">IF(ALL36&gt;0,(ALL36-AOY36)/ALL36,0)</f>
        <v>0.0754437869822487</v>
      </c>
      <c r="CM37" s="20" t="n">
        <f aca="false">IF(ALM36&gt;0,(ALM36-AOZ36)/ALM36,0)</f>
        <v>0.0384615384615386</v>
      </c>
      <c r="CN37" s="20" t="n">
        <f aca="false">IF(ALN36&gt;0,(ALN36-APA36)/ALN36,0)</f>
        <v>0</v>
      </c>
      <c r="CO37" s="20" t="n">
        <f aca="false">IF(ALO36&gt;0,(ALO36-APB36)/ALO36,0)</f>
        <v>0.240082186797937</v>
      </c>
      <c r="CP37" s="20" t="n">
        <f aca="false">IF(ALP36&gt;0,(ALP36-APC36)/ALP36,0)</f>
        <v>0.209685474269854</v>
      </c>
      <c r="CQ37" s="20" t="n">
        <f aca="false">IF(ALQ36&gt;0,(ALQ36-APD36)/ALQ36,0)</f>
        <v>0.178072893240648</v>
      </c>
      <c r="CR37" s="20" t="n">
        <f aca="false">IF(ALR36&gt;0,(ALR36-APE36)/ALR36,0)</f>
        <v>0.145195808970274</v>
      </c>
      <c r="CS37" s="20" t="n">
        <f aca="false">IF(ALS36&gt;0,(ALS36-APF36)/ALS36,0)</f>
        <v>0</v>
      </c>
      <c r="CT37" s="20" t="n">
        <f aca="false">IF(ALT36&gt;0,(ALT36-APG36)/ALT36,0)</f>
        <v>0</v>
      </c>
      <c r="CU37" s="20" t="n">
        <f aca="false">IF(ALU36&gt;0,(ALU36-APH36)/ALU36,0)</f>
        <v>0.0384615384615385</v>
      </c>
      <c r="CV37" s="20" t="n">
        <f aca="false">IF((P37+S37)&gt;0,((P37+S37)-(P37+S37))/(P37+S37),0)</f>
        <v>0</v>
      </c>
      <c r="CW37" s="20" t="n">
        <v>0</v>
      </c>
      <c r="CX37" s="20" t="n">
        <v>0</v>
      </c>
      <c r="CY37" s="20" t="n">
        <v>0</v>
      </c>
      <c r="CZ37" s="20" t="n">
        <v>0</v>
      </c>
      <c r="DA37" s="20" t="n">
        <v>0</v>
      </c>
      <c r="DB37" s="20" t="n">
        <v>0</v>
      </c>
      <c r="DC37" s="20" t="n">
        <v>0</v>
      </c>
      <c r="DD37" s="20" t="n">
        <v>0</v>
      </c>
      <c r="DE37" s="20" t="n">
        <v>0</v>
      </c>
      <c r="DF37" s="20" t="n">
        <v>0</v>
      </c>
      <c r="DG37" s="20" t="n">
        <v>0</v>
      </c>
      <c r="DH37" s="20" t="n">
        <v>0</v>
      </c>
      <c r="DI37" s="20" t="n">
        <v>0</v>
      </c>
      <c r="DJ37" s="20" t="n">
        <v>0</v>
      </c>
      <c r="DK37" s="20" t="n">
        <v>0</v>
      </c>
      <c r="DL37" s="20" t="n">
        <v>0</v>
      </c>
      <c r="DM37" s="20" t="n">
        <v>0</v>
      </c>
      <c r="DN37" s="20" t="n">
        <v>0</v>
      </c>
      <c r="DO37" s="20" t="n">
        <v>0</v>
      </c>
      <c r="DP37" s="20" t="n">
        <v>0</v>
      </c>
      <c r="DQ37" s="20" t="n">
        <v>0</v>
      </c>
      <c r="DR37" s="20" t="n">
        <v>0</v>
      </c>
      <c r="DS37" s="20" t="n">
        <v>0</v>
      </c>
      <c r="DT37" s="20" t="n">
        <v>0</v>
      </c>
      <c r="DU37" s="20" t="n">
        <v>0</v>
      </c>
      <c r="DV37" s="20" t="n">
        <v>0</v>
      </c>
      <c r="DW37" s="20" t="n">
        <v>0</v>
      </c>
      <c r="DX37" s="20" t="n">
        <v>0</v>
      </c>
      <c r="DY37" s="20" t="n">
        <v>0</v>
      </c>
      <c r="DZ37" s="20" t="n">
        <v>0</v>
      </c>
      <c r="EA37" s="20" t="n">
        <v>0</v>
      </c>
      <c r="EB37" s="20" t="n">
        <v>0</v>
      </c>
      <c r="EC37" s="20" t="n">
        <v>0</v>
      </c>
      <c r="ED37" s="20" t="n">
        <v>0</v>
      </c>
      <c r="EE37" s="20" t="n">
        <v>0</v>
      </c>
      <c r="EF37" s="20" t="n">
        <v>0</v>
      </c>
      <c r="EG37" s="20" t="n">
        <v>0</v>
      </c>
      <c r="EH37" s="20" t="n">
        <v>0</v>
      </c>
      <c r="EI37" s="20" t="n">
        <v>0</v>
      </c>
      <c r="EJ37" s="20" t="n">
        <v>0</v>
      </c>
      <c r="EK37" s="20" t="n">
        <v>0</v>
      </c>
      <c r="EL37" s="20" t="n">
        <v>0</v>
      </c>
      <c r="EM37" s="20" t="n">
        <v>0</v>
      </c>
      <c r="EN37" s="20" t="n">
        <v>0</v>
      </c>
      <c r="EO37" s="20" t="n">
        <v>0</v>
      </c>
      <c r="EP37" s="20" t="n">
        <v>0</v>
      </c>
      <c r="EQ37" s="20" t="n">
        <v>0</v>
      </c>
      <c r="ER37" s="20" t="n">
        <v>0</v>
      </c>
      <c r="ES37" s="20" t="n">
        <v>0</v>
      </c>
      <c r="ET37" s="20" t="n">
        <v>0</v>
      </c>
      <c r="EU37" s="20" t="n">
        <v>0</v>
      </c>
      <c r="EV37" s="20" t="n">
        <v>0</v>
      </c>
      <c r="EW37" s="20" t="n">
        <v>0</v>
      </c>
      <c r="EX37" s="20" t="n">
        <v>0</v>
      </c>
      <c r="EY37" s="20" t="n">
        <v>0</v>
      </c>
      <c r="EZ37" s="20" t="n">
        <v>0</v>
      </c>
      <c r="FA37" s="20" t="n">
        <v>0</v>
      </c>
      <c r="FB37" s="20" t="n">
        <v>0</v>
      </c>
      <c r="FC37" s="20" t="n">
        <v>0</v>
      </c>
      <c r="FD37" s="20" t="n">
        <v>0</v>
      </c>
      <c r="FE37" s="20" t="n">
        <f aca="false">IF(H_Direct=1,IF(AKR36&lt;=0,0,IF(BR37&lt;=0,AKR36,AKR36-G37*MAX(0,BR37*AKR36-(H37+I37)))),AKR36*(1-MAX(0,BR37)*H_Exit))</f>
        <v>0</v>
      </c>
      <c r="FF37" s="20" t="n">
        <f aca="false">IF(H_Direct=1,IF(AKS36&lt;=0,0,IF(BS37&lt;=0,AKS36,AKS36-G37*MAX(0,BS37*AKS36-(IR37+ME37)))),AKS36*(1-MAX(0,BS37)*H_Exit))</f>
        <v>0</v>
      </c>
      <c r="FG37" s="20" t="n">
        <f aca="false">IF(H_Direct=1,IF(AKT36&lt;=0,0,IF(BT37&lt;=0,AKT36,AKT36-G37*MAX(0,BT37*AKT36-(IS37+MF37)))),AKT36*(1-MAX(0,BT37)*H_Exit))</f>
        <v>0</v>
      </c>
      <c r="FH37" s="20" t="n">
        <f aca="false">IF(H_Direct=1,IF(AKU36&lt;=0,0,IF(BU37&lt;=0,AKU36,AKU36-G37*MAX(0,BU37*AKU36-(IT37+MG37)))),AKU36*(1-MAX(0,BU37)*H_Exit))</f>
        <v>0</v>
      </c>
      <c r="FI37" s="20" t="n">
        <f aca="false">IF(H_Direct=1,IF(AKV36&lt;=0,0,IF(BV37&lt;=0,AKV36,AKV36-G37*MAX(0,BV37*AKV36-(IU37+MH37)))),AKV36*(1-MAX(0,BV37)*H_Exit))</f>
        <v>0</v>
      </c>
      <c r="FJ37" s="20" t="n">
        <f aca="false">IF(H_Direct=1,IF(AKW36&lt;=0,0,IF(BW37&lt;=0,AKW36,AKW36-G37*MAX(0,BW37*AKW36-(IV37+MI37)))),AKW36*(1-MAX(0,BW37)*H_Exit))</f>
        <v>0</v>
      </c>
      <c r="FK37" s="20" t="n">
        <f aca="false">IF(H_Direct=1,IF(AKX36&lt;=0,0,IF(BX37&lt;=0,AKX36,AKX36-G37*MAX(0,BX37*AKX36-(IW37+MJ37)))),AKX36*(1-MAX(0,BX37)*H_Exit))</f>
        <v>0</v>
      </c>
      <c r="FL37" s="20" t="n">
        <f aca="false">IF(H_Direct=1,IF(AKY36&lt;=0,0,IF(BY37&lt;=0,AKY36,AKY36-G37*MAX(0,BY37*AKY36-(IX37+MK37)))),AKY36*(1-MAX(0,BY37)*H_Exit))</f>
        <v>0</v>
      </c>
      <c r="FM37" s="20" t="n">
        <f aca="false">IF(H_Direct=1,IF(AKZ36&lt;=0,0,IF(BZ37&lt;=0,AKZ36,AKZ36-G37*MAX(0,BZ37*AKZ36-(IY37+ML37)))),AKZ36*(1-MAX(0,BZ37)*H_Exit))</f>
        <v>0</v>
      </c>
      <c r="FN37" s="20" t="n">
        <f aca="false">IF(H_Direct=1,IF(ALA36&lt;=0,0,IF(CA37&lt;=0,ALA36,ALA36-G37*MAX(0,CA37*ALA36-(IZ37+MM37)))),ALA36*(1-MAX(0,CA37)*H_Exit))</f>
        <v>0</v>
      </c>
      <c r="FO37" s="20" t="n">
        <f aca="false">IF(H_Direct=1,IF(ALB36&lt;=0,0,IF(CB37&lt;=0,ALB36,ALB36-G37*MAX(0,CB37*ALB36-(JA37+MN37)))),ALB36*(1-MAX(0,CB37)*H_Exit))</f>
        <v>0</v>
      </c>
      <c r="FP37" s="20" t="n">
        <f aca="false">IF(H_Direct=1,IF(ALC36&lt;=0,0,IF(CC37&lt;=0,ALC36,ALC36-G37*MAX(0,CC37*ALC36-(JB37+MO37)))),ALC36*(1-MAX(0,CC37)*H_Exit))</f>
        <v>888.941968319463</v>
      </c>
      <c r="FQ37" s="20" t="n">
        <f aca="false">IF(H_Direct=1,IF(ALD36&lt;=0,0,IF(CD37&lt;=0,ALD36,ALD36-G37*MAX(0,CD37*ALD36-(JC37+MP37)))),ALD36*(1-MAX(0,CD37)*H_Exit))</f>
        <v>1134.03694397987</v>
      </c>
      <c r="FR37" s="20" t="n">
        <f aca="false">IF(H_Direct=1,IF(ALE36&lt;=0,0,IF(CE37&lt;=0,ALE36,ALE36-G37*MAX(0,CE37*ALE36-(JD37+MQ37)))),ALE36*(1-MAX(0,CE37)*H_Exit))</f>
        <v>1376.76020245499</v>
      </c>
      <c r="FS37" s="20" t="n">
        <f aca="false">IF(H_Direct=1,IF(ALF36&lt;=0,0,IF(CF37&lt;=0,ALF36,ALF36-G37*MAX(0,CF37*ALF36-(JE37+MR37)))),ALF36*(1-MAX(0,CF37)*H_Exit))</f>
        <v>1571.13689620916</v>
      </c>
      <c r="FT37" s="20" t="n">
        <f aca="false">IF(H_Direct=1,IF(ALG36&lt;=0,0,IF(CG37&lt;=0,ALG36,ALG36-G37*MAX(0,CG37*ALG36-(JF37+MS37)))),ALG36*(1-MAX(0,CG37)*H_Exit))</f>
        <v>1529.66998894711</v>
      </c>
      <c r="FU37" s="20" t="n">
        <f aca="false">IF(H_Direct=1,IF(ALH36&lt;=0,0,IF(CH37&lt;=0,ALH36,ALH36-G37*MAX(0,CH37*ALH36-(JG37+MT37)))),ALH36*(1-MAX(0,CH37)*H_Exit))</f>
        <v>1488.91375946404</v>
      </c>
      <c r="FV37" s="20" t="n">
        <f aca="false">IF(H_Direct=1,IF(ALI36&lt;=0,0,IF(CI37&lt;=0,ALI36,ALI36-G37*MAX(0,CI37*ALI36-(JH37+MU37)))),ALI36*(1-MAX(0,CI37)*H_Exit))</f>
        <v>1448.83268709193</v>
      </c>
      <c r="FW37" s="20" t="n">
        <f aca="false">IF(H_Direct=1,IF(ALJ36&lt;=0,0,IF(CJ37&lt;=0,ALJ36,ALJ36-G37*MAX(0,CJ37*ALJ36-(JI37+MV37)))),ALJ36*(1-MAX(0,CJ37)*H_Exit))</f>
        <v>4563.29827811349</v>
      </c>
      <c r="FX37" s="20" t="n">
        <f aca="false">IF(H_Direct=1,IF(ALK36&lt;=0,0,IF(CK37&lt;=0,ALK36,ALK36-G37*MAX(0,CK37*ALK36-(JJ37+MW37)))),ALK36*(1-MAX(0,CK37)*H_Exit))</f>
        <v>4537.08917112074</v>
      </c>
      <c r="FY37" s="20" t="n">
        <f aca="false">IF(H_Direct=1,IF(ALL36&lt;=0,0,IF(CL37&lt;=0,ALL36,ALL36-G37*MAX(0,CL37*ALL36-(JK37+MX37)))),ALL36*(1-MAX(0,CL37)*H_Exit))</f>
        <v>4512.61501799882</v>
      </c>
      <c r="FZ37" s="20" t="n">
        <f aca="false">IF(H_Direct=1,IF(ALM36&lt;=0,0,IF(CM37&lt;=0,ALM36,ALM36-G37*MAX(0,CM37*ALM36-(JL37+MY37)))),ALM36*(1-MAX(0,CM37)*H_Exit))</f>
        <v>4489.86707290184</v>
      </c>
      <c r="GA37" s="20" t="n">
        <f aca="false">IF(H_Direct=1,IF(ALN36&lt;=0,0,IF(CN37&lt;=0,ALN36,ALN36-G37*MAX(0,CN37*ALN36-(JM37+MZ37)))),ALN36*(1-MAX(0,CN37)*H_Exit))</f>
        <v>4468.83725054633</v>
      </c>
      <c r="GB37" s="20" t="n">
        <f aca="false">IF(H_Direct=1,IF(ALO36&lt;=0,0,IF(CO37&lt;=0,ALO36,ALO36-G37*MAX(0,CO37*ALO36-(JN37+NA37)))),ALO36*(1-MAX(0,CO37)*H_Exit))</f>
        <v>4437.1262826415</v>
      </c>
      <c r="GC37" s="20" t="n">
        <f aca="false">IF(H_Direct=1,IF(ALP36&lt;=0,0,IF(CP37&lt;=0,ALP36,ALP36-G37*MAX(0,CP37*ALP36-(JO37+NB37)))),ALP36*(1-MAX(0,CP37)*H_Exit))</f>
        <v>4407.10970524234</v>
      </c>
      <c r="GD37" s="20" t="n">
        <f aca="false">IF(H_Direct=1,IF(ALQ36&lt;=0,0,IF(CQ37&lt;=0,ALQ36,ALQ36-G37*MAX(0,CQ37*ALQ36-(JP37+NC37)))),ALQ36*(1-MAX(0,CQ37)*H_Exit))</f>
        <v>4378.77662520004</v>
      </c>
      <c r="GE37" s="20" t="n">
        <f aca="false">IF(H_Direct=1,IF(ALR36&lt;=0,0,IF(CR37&lt;=0,ALR36,ALR36-G37*MAX(0,CR37*ALR36-(JQ37+ND37)))),ALR36*(1-MAX(0,CR37)*H_Exit))</f>
        <v>65836.8660423914</v>
      </c>
      <c r="GF37" s="20" t="n">
        <f aca="false">IF(H_Direct=1,IF(ALS36&lt;=0,0,IF(CS37&lt;=0,ALS36,ALS36-G37*MAX(0,CS37*ALS36-(JR37+NE37)))),ALS36*(1-MAX(0,CS37)*H_Exit))</f>
        <v>0</v>
      </c>
      <c r="GG37" s="20" t="n">
        <f aca="false">IF(H_Direct=1,IF(ALT36&lt;=0,0,IF(CT37&lt;=0,ALT36,ALT36-G37*MAX(0,CT37*ALT36-(JS37+NF37)))),ALT36*(1-MAX(0,CT37)*H_Exit))</f>
        <v>0</v>
      </c>
      <c r="GH37" s="20" t="n">
        <f aca="false">IF(H_Direct=1,IF(ALU36&lt;=0,0,IF(CU37&lt;=0,ALU36,ALU36-G37*MAX(0,CU37*ALU36-(JT37+NG37)))),ALU36*(1-MAX(0,CU37)*H_Exit))</f>
        <v>1772.34824920948</v>
      </c>
      <c r="GI37" s="20" t="n">
        <f aca="false">IF(H_Direct=1,IF((P37+S37)&lt;=0,0,IF(CV37&lt;=0,(P37+S37),(P37+S37)-G37*MAX(0,CV37*(P37+S37)-(JU37+NH37)))),(P37+S37)*(1-MAX(0,CV37)*H_Exit))</f>
        <v>0</v>
      </c>
      <c r="GJ37" s="20" t="n">
        <v>0</v>
      </c>
      <c r="GK37" s="20" t="n">
        <v>0</v>
      </c>
      <c r="GL37" s="20" t="n">
        <v>0</v>
      </c>
      <c r="GM37" s="20" t="n">
        <v>0</v>
      </c>
      <c r="GN37" s="20" t="n">
        <v>0</v>
      </c>
      <c r="GO37" s="20" t="n">
        <v>0</v>
      </c>
      <c r="GP37" s="20" t="n">
        <v>0</v>
      </c>
      <c r="GQ37" s="20" t="n">
        <v>0</v>
      </c>
      <c r="GR37" s="20" t="n">
        <v>0</v>
      </c>
      <c r="GS37" s="20" t="n">
        <v>0</v>
      </c>
      <c r="GT37" s="20" t="n">
        <v>0</v>
      </c>
      <c r="GU37" s="20" t="n">
        <v>0</v>
      </c>
      <c r="GV37" s="20" t="n">
        <v>0</v>
      </c>
      <c r="GW37" s="20" t="n">
        <v>0</v>
      </c>
      <c r="GX37" s="20" t="n">
        <v>0</v>
      </c>
      <c r="GY37" s="20" t="n">
        <v>0</v>
      </c>
      <c r="GZ37" s="20" t="n">
        <v>0</v>
      </c>
      <c r="HA37" s="20" t="n">
        <v>0</v>
      </c>
      <c r="HB37" s="20" t="n">
        <v>0</v>
      </c>
      <c r="HC37" s="20" t="n">
        <v>0</v>
      </c>
      <c r="HD37" s="20" t="n">
        <v>0</v>
      </c>
      <c r="HE37" s="20" t="n">
        <v>0</v>
      </c>
      <c r="HF37" s="20" t="n">
        <v>0</v>
      </c>
      <c r="HG37" s="20" t="n">
        <v>0</v>
      </c>
      <c r="HH37" s="20" t="n">
        <v>0</v>
      </c>
      <c r="HI37" s="20" t="n">
        <v>0</v>
      </c>
      <c r="HJ37" s="20" t="n">
        <v>0</v>
      </c>
      <c r="HK37" s="20" t="n">
        <v>0</v>
      </c>
      <c r="HL37" s="20" t="n">
        <v>0</v>
      </c>
      <c r="HM37" s="20" t="n">
        <v>0</v>
      </c>
      <c r="HN37" s="20" t="n">
        <v>0</v>
      </c>
      <c r="HO37" s="20" t="n">
        <v>0</v>
      </c>
      <c r="HP37" s="20" t="n">
        <v>0</v>
      </c>
      <c r="HQ37" s="20" t="n">
        <v>0</v>
      </c>
      <c r="HR37" s="20" t="n">
        <v>0</v>
      </c>
      <c r="HS37" s="20" t="n">
        <v>0</v>
      </c>
      <c r="HT37" s="20" t="n">
        <v>0</v>
      </c>
      <c r="HU37" s="20" t="n">
        <v>0</v>
      </c>
      <c r="HV37" s="20" t="n">
        <v>0</v>
      </c>
      <c r="HW37" s="20" t="n">
        <v>0</v>
      </c>
      <c r="HX37" s="20" t="n">
        <v>0</v>
      </c>
      <c r="HY37" s="20" t="n">
        <v>0</v>
      </c>
      <c r="HZ37" s="20" t="n">
        <v>0</v>
      </c>
      <c r="IA37" s="20" t="n">
        <v>0</v>
      </c>
      <c r="IB37" s="20" t="n">
        <v>0</v>
      </c>
      <c r="IC37" s="20" t="n">
        <v>0</v>
      </c>
      <c r="ID37" s="20" t="n">
        <v>0</v>
      </c>
      <c r="IE37" s="20" t="n">
        <v>0</v>
      </c>
      <c r="IF37" s="20" t="n">
        <v>0</v>
      </c>
      <c r="IG37" s="20" t="n">
        <v>0</v>
      </c>
      <c r="IH37" s="20" t="n">
        <v>0</v>
      </c>
      <c r="II37" s="20" t="n">
        <v>0</v>
      </c>
      <c r="IJ37" s="20" t="n">
        <v>0</v>
      </c>
      <c r="IK37" s="20" t="n">
        <v>0</v>
      </c>
      <c r="IL37" s="20" t="n">
        <v>0</v>
      </c>
      <c r="IM37" s="20" t="n">
        <v>0</v>
      </c>
      <c r="IN37" s="20" t="n">
        <v>0</v>
      </c>
      <c r="IO37" s="20" t="n">
        <v>0</v>
      </c>
      <c r="IP37" s="20" t="n">
        <v>0</v>
      </c>
      <c r="IQ37" s="20" t="n">
        <v>0</v>
      </c>
      <c r="IR37" s="20" t="n">
        <f aca="false">IF(AND(H_Direct=1,BR37&gt;0),MAX(0,H37-(MIN(BR37*AKR36,H37+I37)-MIN(MIN(BR37*AKR36,H37+I37),I37))),H37)</f>
        <v>1270</v>
      </c>
      <c r="IS37" s="20" t="n">
        <f aca="false">IF(AND(H_Direct=1,BS37&gt;0),MAX(0,IR37-(MIN(BS37*AKS36,IR37+ME37)-MIN(MIN(BS37*AKS36,IR37+ME37),ME37))),IR37)</f>
        <v>1270</v>
      </c>
      <c r="IT37" s="20" t="n">
        <f aca="false">IF(AND(H_Direct=1,BT37&gt;0),MAX(0,IS37-(MIN(BT37*AKT36,IS37+MF37)-MIN(MIN(BT37*AKT36,IS37+MF37),MF37))),IS37)</f>
        <v>1270</v>
      </c>
      <c r="IU37" s="20" t="n">
        <f aca="false">IF(AND(H_Direct=1,BU37&gt;0),MAX(0,IT37-(MIN(BU37*AKU36,IT37+MG37)-MIN(MIN(BU37*AKU36,IT37+MG37),MG37))),IT37)</f>
        <v>1270</v>
      </c>
      <c r="IV37" s="20" t="n">
        <f aca="false">IF(AND(H_Direct=1,BV37&gt;0),MAX(0,IU37-(MIN(BV37*AKV36,IU37+MH37)-MIN(MIN(BV37*AKV36,IU37+MH37),MH37))),IU37)</f>
        <v>1270</v>
      </c>
      <c r="IW37" s="20" t="n">
        <f aca="false">IF(AND(H_Direct=1,BW37&gt;0),MAX(0,IV37-(MIN(BW37*AKW36,IV37+MI37)-MIN(MIN(BW37*AKW36,IV37+MI37),MI37))),IV37)</f>
        <v>1270</v>
      </c>
      <c r="IX37" s="20" t="n">
        <f aca="false">IF(AND(H_Direct=1,BX37&gt;0),MAX(0,IW37-(MIN(BX37*AKX36,IW37+MJ37)-MIN(MIN(BX37*AKX36,IW37+MJ37),MJ37))),IW37)</f>
        <v>1270</v>
      </c>
      <c r="IY37" s="20" t="n">
        <f aca="false">IF(AND(H_Direct=1,BY37&gt;0),MAX(0,IX37-(MIN(BY37*AKY36,IX37+MK37)-MIN(MIN(BY37*AKY36,IX37+MK37),MK37))),IX37)</f>
        <v>1270</v>
      </c>
      <c r="IZ37" s="20" t="n">
        <f aca="false">IF(AND(H_Direct=1,BZ37&gt;0),MAX(0,IY37-(MIN(BZ37*AKZ36,IY37+ML37)-MIN(MIN(BZ37*AKZ36,IY37+ML37),ML37))),IY37)</f>
        <v>1270</v>
      </c>
      <c r="JA37" s="20" t="n">
        <f aca="false">IF(AND(H_Direct=1,CA37&gt;0),MAX(0,IZ37-(MIN(CA37*ALA36,IZ37+MM37)-MIN(MIN(CA37*ALA36,IZ37+MM37),MM37))),IZ37)</f>
        <v>1270</v>
      </c>
      <c r="JB37" s="20" t="n">
        <f aca="false">IF(AND(H_Direct=1,CB37&gt;0),MAX(0,JA37-(MIN(CB37*ALB36,JA37+MN37)-MIN(MIN(CB37*ALB36,JA37+MN37),MN37))),JA37)</f>
        <v>1270</v>
      </c>
      <c r="JC37" s="20" t="n">
        <f aca="false">IF(AND(H_Direct=1,CC37&gt;0),MAX(0,JB37-(MIN(CC37*ALC36,JB37+MO37)-MIN(MIN(CC37*ALC36,JB37+MO37),MO37))),JB37)</f>
        <v>1270</v>
      </c>
      <c r="JD37" s="20" t="n">
        <f aca="false">IF(AND(H_Direct=1,CD37&gt;0),MAX(0,JC37-(MIN(CD37*ALD36,JC37+MP37)-MIN(MIN(CD37*ALD36,JC37+MP37),MP37))),JC37)</f>
        <v>1270</v>
      </c>
      <c r="JE37" s="20" t="n">
        <f aca="false">IF(AND(H_Direct=1,CE37&gt;0),MAX(0,JD37-(MIN(CE37*ALE36,JD37+MQ37)-MIN(MIN(CE37*ALE36,JD37+MQ37),MQ37))),JD37)</f>
        <v>1270</v>
      </c>
      <c r="JF37" s="20" t="n">
        <f aca="false">IF(AND(H_Direct=1,CF37&gt;0),MAX(0,JE37-(MIN(CF37*ALF36,JE37+MR37)-MIN(MIN(CF37*ALF36,JE37+MR37),MR37))),JE37)</f>
        <v>1270</v>
      </c>
      <c r="JG37" s="20" t="n">
        <f aca="false">IF(AND(H_Direct=1,CG37&gt;0),MAX(0,JF37-(MIN(CG37*ALG36,JF37+MS37)-MIN(MIN(CG37*ALG36,JF37+MS37),MS37))),JF37)</f>
        <v>1270</v>
      </c>
      <c r="JH37" s="20" t="n">
        <f aca="false">IF(AND(H_Direct=1,CH37&gt;0),MAX(0,JG37-(MIN(CH37*ALH36,JG37+MT37)-MIN(MIN(CH37*ALH36,JG37+MT37),MT37))),JG37)</f>
        <v>1270</v>
      </c>
      <c r="JI37" s="20" t="n">
        <f aca="false">IF(AND(H_Direct=1,CI37&gt;0),MAX(0,JH37-(MIN(CI37*ALI36,JH37+MU37)-MIN(MIN(CI37*ALI36,JH37+MU37),MU37))),JH37)</f>
        <v>1270</v>
      </c>
      <c r="JJ37" s="20" t="n">
        <f aca="false">IF(AND(H_Direct=1,CJ37&gt;0),MAX(0,JI37-(MIN(CJ37*ALJ36,JI37+MV37)-MIN(MIN(CJ37*ALJ36,JI37+MV37),MV37))),JI37)</f>
        <v>1270</v>
      </c>
      <c r="JK37" s="20" t="n">
        <f aca="false">IF(AND(H_Direct=1,CK37&gt;0),MAX(0,JJ37-(MIN(CK37*ALK36,JJ37+MW37)-MIN(MIN(CK37*ALK36,JJ37+MW37),MW37))),JJ37)</f>
        <v>1270</v>
      </c>
      <c r="JL37" s="20" t="n">
        <f aca="false">IF(AND(H_Direct=1,CL37&gt;0),MAX(0,JK37-(MIN(CL37*ALL36,JK37+MX37)-MIN(MIN(CL37*ALL36,JK37+MX37),MX37))),JK37)</f>
        <v>1270</v>
      </c>
      <c r="JM37" s="20" t="n">
        <f aca="false">IF(AND(H_Direct=1,CM37&gt;0),MAX(0,JL37-(MIN(CM37*ALM36,JL37+MY37)-MIN(MIN(CM37*ALM36,JL37+MY37),MY37))),JL37)</f>
        <v>1270</v>
      </c>
      <c r="JN37" s="20" t="n">
        <f aca="false">IF(AND(H_Direct=1,CN37&gt;0),MAX(0,JM37-(MIN(CN37*ALN36,JM37+MZ37)-MIN(MIN(CN37*ALN36,JM37+MZ37),MZ37))),JM37)</f>
        <v>1270</v>
      </c>
      <c r="JO37" s="20" t="n">
        <f aca="false">IF(AND(H_Direct=1,CO37&gt;0),MAX(0,JN37-(MIN(CO37*ALO36,JN37+NA37)-MIN(MIN(CO37*ALO36,JN37+NA37),NA37))),JN37)</f>
        <v>1270</v>
      </c>
      <c r="JP37" s="20" t="n">
        <f aca="false">IF(AND(H_Direct=1,CP37&gt;0),MAX(0,JO37-(MIN(CP37*ALP36,JO37+NB37)-MIN(MIN(CP37*ALP36,JO37+NB37),NB37))),JO37)</f>
        <v>1270</v>
      </c>
      <c r="JQ37" s="20" t="n">
        <f aca="false">IF(AND(H_Direct=1,CQ37&gt;0),MAX(0,JP37-(MIN(CQ37*ALQ36,JP37+NC37)-MIN(MIN(CQ37*ALQ36,JP37+NC37),NC37))),JP37)</f>
        <v>1270</v>
      </c>
      <c r="JR37" s="20" t="n">
        <f aca="false">IF(AND(H_Direct=1,CR37&gt;0),MAX(0,JQ37-(MIN(CR37*ALR36,JQ37+ND37)-MIN(MIN(CR37*ALR36,JQ37+ND37),ND37))),JQ37)</f>
        <v>1270</v>
      </c>
      <c r="JS37" s="20" t="n">
        <f aca="false">IF(AND(H_Direct=1,CS37&gt;0),MAX(0,JR37-(MIN(CS37*ALS36,JR37+NE37)-MIN(MIN(CS37*ALS36,JR37+NE37),NE37))),JR37)</f>
        <v>1270</v>
      </c>
      <c r="JT37" s="20" t="n">
        <f aca="false">IF(AND(H_Direct=1,CT37&gt;0),MAX(0,JS37-(MIN(CT37*ALT36,JS37+NF37)-MIN(MIN(CT37*ALT36,JS37+NF37),NF37))),JS37)</f>
        <v>1270</v>
      </c>
      <c r="JU37" s="20" t="n">
        <f aca="false">IF(AND(H_Direct=1,CU37&gt;0),MAX(0,JT37-(MIN(CU37*ALU36,JT37+NG37)-MIN(MIN(CU37*ALU36,JT37+NG37),NG37))),JT37)</f>
        <v>1270</v>
      </c>
      <c r="JV37" s="20" t="n">
        <f aca="false">IF(AND(H_Direct=1,CV37&gt;0),MAX(0,JU37-(MIN(CV37*(P37+S37),JU37+NH37)-MIN(MIN(CV37*(P37+S37),JU37+NH37),NH37))),JU37)</f>
        <v>1270</v>
      </c>
      <c r="JW37" s="20" t="n">
        <f aca="false">JV37</f>
        <v>1270</v>
      </c>
      <c r="JX37" s="20" t="n">
        <f aca="false">JW37</f>
        <v>1270</v>
      </c>
      <c r="JY37" s="20" t="n">
        <f aca="false">JX37</f>
        <v>1270</v>
      </c>
      <c r="JZ37" s="20" t="n">
        <f aca="false">JY37</f>
        <v>1270</v>
      </c>
      <c r="KA37" s="20" t="n">
        <f aca="false">JZ37</f>
        <v>1270</v>
      </c>
      <c r="KB37" s="20" t="n">
        <f aca="false">KA37</f>
        <v>1270</v>
      </c>
      <c r="KC37" s="20" t="n">
        <f aca="false">KB37</f>
        <v>1270</v>
      </c>
      <c r="KD37" s="20" t="n">
        <f aca="false">KC37</f>
        <v>1270</v>
      </c>
      <c r="KE37" s="20" t="n">
        <f aca="false">KD37</f>
        <v>1270</v>
      </c>
      <c r="KF37" s="20" t="n">
        <f aca="false">KE37</f>
        <v>1270</v>
      </c>
      <c r="KG37" s="20" t="n">
        <f aca="false">KF37</f>
        <v>1270</v>
      </c>
      <c r="KH37" s="20" t="n">
        <f aca="false">KG37</f>
        <v>1270</v>
      </c>
      <c r="KI37" s="20" t="n">
        <f aca="false">KH37</f>
        <v>1270</v>
      </c>
      <c r="KJ37" s="20" t="n">
        <f aca="false">KI37</f>
        <v>1270</v>
      </c>
      <c r="KK37" s="20" t="n">
        <f aca="false">KJ37</f>
        <v>1270</v>
      </c>
      <c r="KL37" s="20" t="n">
        <f aca="false">KK37</f>
        <v>1270</v>
      </c>
      <c r="KM37" s="20" t="n">
        <f aca="false">KL37</f>
        <v>1270</v>
      </c>
      <c r="KN37" s="20" t="n">
        <f aca="false">KM37</f>
        <v>1270</v>
      </c>
      <c r="KO37" s="20" t="n">
        <f aca="false">KN37</f>
        <v>1270</v>
      </c>
      <c r="KP37" s="20" t="n">
        <f aca="false">KO37</f>
        <v>1270</v>
      </c>
      <c r="KQ37" s="20" t="n">
        <f aca="false">KP37</f>
        <v>1270</v>
      </c>
      <c r="KR37" s="20" t="n">
        <f aca="false">KQ37</f>
        <v>1270</v>
      </c>
      <c r="KS37" s="20" t="n">
        <f aca="false">KR37</f>
        <v>1270</v>
      </c>
      <c r="KT37" s="20" t="n">
        <f aca="false">KS37</f>
        <v>1270</v>
      </c>
      <c r="KU37" s="20" t="n">
        <f aca="false">KT37</f>
        <v>1270</v>
      </c>
      <c r="KV37" s="20" t="n">
        <f aca="false">KU37</f>
        <v>1270</v>
      </c>
      <c r="KW37" s="20" t="n">
        <f aca="false">KV37</f>
        <v>1270</v>
      </c>
      <c r="KX37" s="20" t="n">
        <f aca="false">KW37</f>
        <v>1270</v>
      </c>
      <c r="KY37" s="20" t="n">
        <f aca="false">KX37</f>
        <v>1270</v>
      </c>
      <c r="KZ37" s="20" t="n">
        <f aca="false">KY37</f>
        <v>1270</v>
      </c>
      <c r="LA37" s="20" t="n">
        <f aca="false">KZ37</f>
        <v>1270</v>
      </c>
      <c r="LB37" s="20" t="n">
        <f aca="false">LA37</f>
        <v>1270</v>
      </c>
      <c r="LC37" s="20" t="n">
        <f aca="false">LB37</f>
        <v>1270</v>
      </c>
      <c r="LD37" s="20" t="n">
        <f aca="false">LC37</f>
        <v>1270</v>
      </c>
      <c r="LE37" s="20" t="n">
        <f aca="false">LD37</f>
        <v>1270</v>
      </c>
      <c r="LF37" s="20" t="n">
        <f aca="false">LE37</f>
        <v>1270</v>
      </c>
      <c r="LG37" s="20" t="n">
        <f aca="false">LF37</f>
        <v>1270</v>
      </c>
      <c r="LH37" s="20" t="n">
        <f aca="false">LG37</f>
        <v>1270</v>
      </c>
      <c r="LI37" s="20" t="n">
        <f aca="false">LH37</f>
        <v>1270</v>
      </c>
      <c r="LJ37" s="20" t="n">
        <f aca="false">LI37</f>
        <v>1270</v>
      </c>
      <c r="LK37" s="20" t="n">
        <f aca="false">LJ37</f>
        <v>1270</v>
      </c>
      <c r="LL37" s="20" t="n">
        <f aca="false">LK37</f>
        <v>1270</v>
      </c>
      <c r="LM37" s="20" t="n">
        <f aca="false">LL37</f>
        <v>1270</v>
      </c>
      <c r="LN37" s="20" t="n">
        <f aca="false">LM37</f>
        <v>1270</v>
      </c>
      <c r="LO37" s="20" t="n">
        <f aca="false">LN37</f>
        <v>1270</v>
      </c>
      <c r="LP37" s="20" t="n">
        <f aca="false">LO37</f>
        <v>1270</v>
      </c>
      <c r="LQ37" s="20" t="n">
        <f aca="false">LP37</f>
        <v>1270</v>
      </c>
      <c r="LR37" s="20" t="n">
        <f aca="false">LQ37</f>
        <v>1270</v>
      </c>
      <c r="LS37" s="20" t="n">
        <f aca="false">LR37</f>
        <v>1270</v>
      </c>
      <c r="LT37" s="20" t="n">
        <f aca="false">LS37</f>
        <v>1270</v>
      </c>
      <c r="LU37" s="20" t="n">
        <f aca="false">LT37</f>
        <v>1270</v>
      </c>
      <c r="LV37" s="20" t="n">
        <f aca="false">LU37</f>
        <v>1270</v>
      </c>
      <c r="LW37" s="20" t="n">
        <f aca="false">LV37</f>
        <v>1270</v>
      </c>
      <c r="LX37" s="20" t="n">
        <f aca="false">LW37</f>
        <v>1270</v>
      </c>
      <c r="LY37" s="20" t="n">
        <f aca="false">LX37</f>
        <v>1270</v>
      </c>
      <c r="LZ37" s="20" t="n">
        <f aca="false">LY37</f>
        <v>1270</v>
      </c>
      <c r="MA37" s="20" t="n">
        <f aca="false">LZ37</f>
        <v>1270</v>
      </c>
      <c r="MB37" s="20" t="n">
        <f aca="false">MA37</f>
        <v>1270</v>
      </c>
      <c r="MC37" s="20" t="n">
        <f aca="false">MB37</f>
        <v>1270</v>
      </c>
      <c r="MD37" s="20" t="n">
        <f aca="false">MC37</f>
        <v>1270</v>
      </c>
      <c r="ME37" s="20" t="n">
        <f aca="false">IF(H_Direct=1,IF(BR37&lt;=0,I37-BR37*AKR36,I37-MIN(MIN(BR37*AKR36,H37+I37),I37)),I37)</f>
        <v>0</v>
      </c>
      <c r="MF37" s="20" t="n">
        <f aca="false">IF(H_Direct=1,IF(BS37&lt;=0,ME37-BS37*AKS36,ME37-MIN(MIN(BS37*AKS36,IR37+ME37),ME37)),ME37)</f>
        <v>0</v>
      </c>
      <c r="MG37" s="20" t="n">
        <f aca="false">IF(H_Direct=1,IF(BT37&lt;=0,MF37-BT37*AKT36,MF37-MIN(MIN(BT37*AKT36,IS37+MF37),MF37)),MF37)</f>
        <v>0</v>
      </c>
      <c r="MH37" s="20" t="n">
        <f aca="false">IF(H_Direct=1,IF(BU37&lt;=0,MG37-BU37*AKU36,MG37-MIN(MIN(BU37*AKU36,IT37+MG37),MG37)),MG37)</f>
        <v>0</v>
      </c>
      <c r="MI37" s="20" t="n">
        <f aca="false">IF(H_Direct=1,IF(BV37&lt;=0,MH37-BV37*AKV36,MH37-MIN(MIN(BV37*AKV36,IU37+MH37),MH37)),MH37)</f>
        <v>0</v>
      </c>
      <c r="MJ37" s="20" t="n">
        <f aca="false">IF(H_Direct=1,IF(BW37&lt;=0,MI37-BW37*AKW36,MI37-MIN(MIN(BW37*AKW36,IV37+MI37),MI37)),MI37)</f>
        <v>0</v>
      </c>
      <c r="MK37" s="20" t="n">
        <f aca="false">IF(H_Direct=1,IF(BX37&lt;=0,MJ37-BX37*AKX36,MJ37-MIN(MIN(BX37*AKX36,IW37+MJ37),MJ37)),MJ37)</f>
        <v>0</v>
      </c>
      <c r="ML37" s="20" t="n">
        <f aca="false">IF(H_Direct=1,IF(BY37&lt;=0,MK37-BY37*AKY36,MK37-MIN(MIN(BY37*AKY36,IX37+MK37),MK37)),MK37)</f>
        <v>0</v>
      </c>
      <c r="MM37" s="20" t="n">
        <f aca="false">IF(H_Direct=1,IF(BZ37&lt;=0,ML37-BZ37*AKZ36,ML37-MIN(MIN(BZ37*AKZ36,IY37+ML37),ML37)),ML37)</f>
        <v>0</v>
      </c>
      <c r="MN37" s="20" t="n">
        <f aca="false">IF(H_Direct=1,IF(CA37&lt;=0,MM37-CA37*ALA36,MM37-MIN(MIN(CA37*ALA36,IZ37+MM37),MM37)),MM37)</f>
        <v>0</v>
      </c>
      <c r="MO37" s="20" t="n">
        <f aca="false">IF(H_Direct=1,IF(CB37&lt;=0,MN37-CB37*ALB36,MN37-MIN(MIN(CB37*ALB36,JA37+MN37),MN37)),MN37)</f>
        <v>0</v>
      </c>
      <c r="MP37" s="20" t="n">
        <f aca="false">IF(H_Direct=1,IF(CC37&lt;=0,MO37-CC37*ALC36,MO37-MIN(MIN(CC37*ALC36,JB37+MO37),MO37)),MO37)</f>
        <v>0</v>
      </c>
      <c r="MQ37" s="20" t="n">
        <f aca="false">IF(H_Direct=1,IF(CD37&lt;=0,MP37-CD37*ALD36,MP37-MIN(MIN(CD37*ALD36,JC37+MP37),MP37)),MP37)</f>
        <v>0</v>
      </c>
      <c r="MR37" s="20" t="n">
        <f aca="false">IF(H_Direct=1,IF(CE37&lt;=0,MQ37-CE37*ALE36,MQ37-MIN(MIN(CE37*ALE36,JD37+MQ37),MQ37)),MQ37)</f>
        <v>0</v>
      </c>
      <c r="MS37" s="20" t="n">
        <f aca="false">IF(H_Direct=1,IF(CF37&lt;=0,MR37-CF37*ALF36,MR37-MIN(MIN(CF37*ALF36,JE37+MR37),MR37)),MR37)</f>
        <v>0</v>
      </c>
      <c r="MT37" s="20" t="n">
        <f aca="false">IF(H_Direct=1,IF(CG37&lt;=0,MS37-CG37*ALG36,MS37-MIN(MIN(CG37*ALG36,JF37+MS37),MS37)),MS37)</f>
        <v>0</v>
      </c>
      <c r="MU37" s="20" t="n">
        <f aca="false">IF(H_Direct=1,IF(CH37&lt;=0,MT37-CH37*ALH36,MT37-MIN(MIN(CH37*ALH36,JG37+MT37),MT37)),MT37)</f>
        <v>0</v>
      </c>
      <c r="MV37" s="20" t="n">
        <f aca="false">IF(H_Direct=1,IF(CI37&lt;=0,MU37-CI37*ALI36,MU37-MIN(MIN(CI37*ALI36,JH37+MU37),MU37)),MU37)</f>
        <v>0</v>
      </c>
      <c r="MW37" s="20" t="n">
        <f aca="false">IF(H_Direct=1,IF(CJ37&lt;=0,MV37-CJ37*ALJ36,MV37-MIN(MIN(CJ37*ALJ36,JI37+MV37),MV37)),MV37)</f>
        <v>0</v>
      </c>
      <c r="MX37" s="20" t="n">
        <f aca="false">IF(H_Direct=1,IF(CK37&lt;=0,MW37-CK37*ALK36,MW37-MIN(MIN(CK37*ALK36,JJ37+MW37),MW37)),MW37)</f>
        <v>0</v>
      </c>
      <c r="MY37" s="20" t="n">
        <f aca="false">IF(H_Direct=1,IF(CL37&lt;=0,MX37-CL37*ALL36,MX37-MIN(MIN(CL37*ALL36,JK37+MX37),MX37)),MX37)</f>
        <v>0</v>
      </c>
      <c r="MZ37" s="20" t="n">
        <f aca="false">IF(H_Direct=1,IF(CM37&lt;=0,MY37-CM37*ALM36,MY37-MIN(MIN(CM37*ALM36,JL37+MY37),MY37)),MY37)</f>
        <v>0</v>
      </c>
      <c r="NA37" s="20" t="n">
        <f aca="false">IF(H_Direct=1,IF(CN37&lt;=0,MZ37-CN37*ALN36,MZ37-MIN(MIN(CN37*ALN36,JM37+MZ37),MZ37)),MZ37)</f>
        <v>0</v>
      </c>
      <c r="NB37" s="20" t="n">
        <f aca="false">IF(H_Direct=1,IF(CO37&lt;=0,NA37-CO37*ALO36,NA37-MIN(MIN(CO37*ALO36,JN37+NA37),NA37)),NA37)</f>
        <v>0</v>
      </c>
      <c r="NC37" s="20" t="n">
        <f aca="false">IF(H_Direct=1,IF(CP37&lt;=0,NB37-CP37*ALP36,NB37-MIN(MIN(CP37*ALP36,JO37+NB37),NB37)),NB37)</f>
        <v>0</v>
      </c>
      <c r="ND37" s="20" t="n">
        <f aca="false">IF(H_Direct=1,IF(CQ37&lt;=0,NC37-CQ37*ALQ36,NC37-MIN(MIN(CQ37*ALQ36,JP37+NC37),NC37)),NC37)</f>
        <v>0</v>
      </c>
      <c r="NE37" s="20" t="n">
        <f aca="false">IF(H_Direct=1,IF(CR37&lt;=0,ND37-CR37*ALR36,ND37-MIN(MIN(CR37*ALR36,JQ37+ND37),ND37)),ND37)</f>
        <v>0</v>
      </c>
      <c r="NF37" s="20" t="n">
        <f aca="false">IF(H_Direct=1,IF(CS37&lt;=0,NE37-CS37*ALS36,NE37-MIN(MIN(CS37*ALS36,JR37+NE37),NE37)),NE37)</f>
        <v>0</v>
      </c>
      <c r="NG37" s="20" t="n">
        <f aca="false">IF(H_Direct=1,IF(CT37&lt;=0,NF37-CT37*ALT36,NF37-MIN(MIN(CT37*ALT36,JS37+NF37),NF37)),NF37)</f>
        <v>0</v>
      </c>
      <c r="NH37" s="20" t="n">
        <f aca="false">IF(H_Direct=1,IF(CU37&lt;=0,NG37-CU37*ALU36,NG37-MIN(MIN(CU37*ALU36,JT37+NG37),NG37)),NG37)</f>
        <v>0</v>
      </c>
      <c r="NI37" s="20" t="n">
        <f aca="false">IF(H_Direct=1,IF(CV37&lt;=0,NH37-CV37*(P37+S37),NH37-MIN(MIN(CV37*(P37+S37),JU37+NH37),NH37)),NH37)</f>
        <v>0</v>
      </c>
      <c r="NJ37" s="20" t="n">
        <f aca="false">NI37</f>
        <v>0</v>
      </c>
      <c r="NK37" s="20" t="n">
        <f aca="false">NJ37</f>
        <v>0</v>
      </c>
      <c r="NL37" s="20" t="n">
        <f aca="false">NK37</f>
        <v>0</v>
      </c>
      <c r="NM37" s="20" t="n">
        <f aca="false">NL37</f>
        <v>0</v>
      </c>
      <c r="NN37" s="20" t="n">
        <f aca="false">NM37</f>
        <v>0</v>
      </c>
      <c r="NO37" s="20" t="n">
        <f aca="false">NN37</f>
        <v>0</v>
      </c>
      <c r="NP37" s="20" t="n">
        <f aca="false">NO37</f>
        <v>0</v>
      </c>
      <c r="NQ37" s="20" t="n">
        <f aca="false">NP37</f>
        <v>0</v>
      </c>
      <c r="NR37" s="20" t="n">
        <f aca="false">NQ37</f>
        <v>0</v>
      </c>
      <c r="NS37" s="20" t="n">
        <f aca="false">NR37</f>
        <v>0</v>
      </c>
      <c r="NT37" s="20" t="n">
        <f aca="false">NS37</f>
        <v>0</v>
      </c>
      <c r="NU37" s="20" t="n">
        <f aca="false">NT37</f>
        <v>0</v>
      </c>
      <c r="NV37" s="20" t="n">
        <f aca="false">NU37</f>
        <v>0</v>
      </c>
      <c r="NW37" s="20" t="n">
        <f aca="false">NV37</f>
        <v>0</v>
      </c>
      <c r="NX37" s="20" t="n">
        <f aca="false">NW37</f>
        <v>0</v>
      </c>
      <c r="NY37" s="20" t="n">
        <f aca="false">NX37</f>
        <v>0</v>
      </c>
      <c r="NZ37" s="20" t="n">
        <f aca="false">NY37</f>
        <v>0</v>
      </c>
      <c r="OA37" s="20" t="n">
        <f aca="false">NZ37</f>
        <v>0</v>
      </c>
      <c r="OB37" s="20" t="n">
        <f aca="false">OA37</f>
        <v>0</v>
      </c>
      <c r="OC37" s="20" t="n">
        <f aca="false">OB37</f>
        <v>0</v>
      </c>
      <c r="OD37" s="20" t="n">
        <f aca="false">OC37</f>
        <v>0</v>
      </c>
      <c r="OE37" s="20" t="n">
        <f aca="false">OD37</f>
        <v>0</v>
      </c>
      <c r="OF37" s="20" t="n">
        <f aca="false">OE37</f>
        <v>0</v>
      </c>
      <c r="OG37" s="20" t="n">
        <f aca="false">OF37</f>
        <v>0</v>
      </c>
      <c r="OH37" s="20" t="n">
        <f aca="false">OG37</f>
        <v>0</v>
      </c>
      <c r="OI37" s="20" t="n">
        <f aca="false">OH37</f>
        <v>0</v>
      </c>
      <c r="OJ37" s="20" t="n">
        <f aca="false">OI37</f>
        <v>0</v>
      </c>
      <c r="OK37" s="20" t="n">
        <f aca="false">OJ37</f>
        <v>0</v>
      </c>
      <c r="OL37" s="20" t="n">
        <f aca="false">OK37</f>
        <v>0</v>
      </c>
      <c r="OM37" s="20" t="n">
        <f aca="false">OL37</f>
        <v>0</v>
      </c>
      <c r="ON37" s="20" t="n">
        <f aca="false">OM37</f>
        <v>0</v>
      </c>
      <c r="OO37" s="20" t="n">
        <f aca="false">ON37</f>
        <v>0</v>
      </c>
      <c r="OP37" s="20" t="n">
        <f aca="false">OO37</f>
        <v>0</v>
      </c>
      <c r="OQ37" s="20" t="n">
        <f aca="false">OP37</f>
        <v>0</v>
      </c>
      <c r="OR37" s="20" t="n">
        <f aca="false">OQ37</f>
        <v>0</v>
      </c>
      <c r="OS37" s="20" t="n">
        <f aca="false">OR37</f>
        <v>0</v>
      </c>
      <c r="OT37" s="20" t="n">
        <f aca="false">OS37</f>
        <v>0</v>
      </c>
      <c r="OU37" s="20" t="n">
        <f aca="false">OT37</f>
        <v>0</v>
      </c>
      <c r="OV37" s="20" t="n">
        <f aca="false">OU37</f>
        <v>0</v>
      </c>
      <c r="OW37" s="20" t="n">
        <f aca="false">OV37</f>
        <v>0</v>
      </c>
      <c r="OX37" s="20" t="n">
        <f aca="false">OW37</f>
        <v>0</v>
      </c>
      <c r="OY37" s="20" t="n">
        <f aca="false">OX37</f>
        <v>0</v>
      </c>
      <c r="OZ37" s="20" t="n">
        <f aca="false">OY37</f>
        <v>0</v>
      </c>
      <c r="PA37" s="20" t="n">
        <f aca="false">OZ37</f>
        <v>0</v>
      </c>
      <c r="PB37" s="20" t="n">
        <f aca="false">PA37</f>
        <v>0</v>
      </c>
      <c r="PC37" s="20" t="n">
        <f aca="false">PB37</f>
        <v>0</v>
      </c>
      <c r="PD37" s="20" t="n">
        <f aca="false">PC37</f>
        <v>0</v>
      </c>
      <c r="PE37" s="20" t="n">
        <f aca="false">PD37</f>
        <v>0</v>
      </c>
      <c r="PF37" s="20" t="n">
        <f aca="false">PE37</f>
        <v>0</v>
      </c>
      <c r="PG37" s="20" t="n">
        <f aca="false">PF37</f>
        <v>0</v>
      </c>
      <c r="PH37" s="20" t="n">
        <f aca="false">PG37</f>
        <v>0</v>
      </c>
      <c r="PI37" s="20" t="n">
        <f aca="false">PH37</f>
        <v>0</v>
      </c>
      <c r="PJ37" s="20" t="n">
        <f aca="false">PI37</f>
        <v>0</v>
      </c>
      <c r="PK37" s="20" t="n">
        <f aca="false">PJ37</f>
        <v>0</v>
      </c>
      <c r="PL37" s="20" t="n">
        <f aca="false">PK37</f>
        <v>0</v>
      </c>
      <c r="PM37" s="20" t="n">
        <f aca="false">PL37</f>
        <v>0</v>
      </c>
      <c r="PN37" s="20" t="n">
        <f aca="false">PM37</f>
        <v>0</v>
      </c>
      <c r="PO37" s="20" t="n">
        <f aca="false">PN37</f>
        <v>0</v>
      </c>
      <c r="PP37" s="20" t="n">
        <f aca="false">PO37</f>
        <v>0</v>
      </c>
      <c r="PQ37" s="20" t="n">
        <f aca="false">PP37</f>
        <v>0</v>
      </c>
      <c r="PR37" s="20" t="n">
        <f aca="false">IF(H_Direct=1,IF(AKR36&lt;=0,0,IF(BR37&lt;=0,MIN(MAX(0,AB37),AKR36),MIN(MAX(0,AB37),AKR36-G37*MAX(0,BR37*AKR36-(H37+I37))))),MIN(FE37,MAX(0,AB37)))</f>
        <v>0</v>
      </c>
      <c r="PS37" s="20" t="n">
        <f aca="false">IF(H_Direct=1,IF(AKS36&lt;=0,0,IF(BS37&lt;=0,MIN(MAX(0,AB37-SUM(PR37:PR37)),AKS36),MIN(MAX(0,AB37-SUM(PR37:PR37)),AKS36-G37*MAX(0,BS37*AKS36-(WR37+AAE37))))),MIN(FF37,MAX(0,AB37-SUM(PR37:PR37))))</f>
        <v>0</v>
      </c>
      <c r="PT37" s="20" t="n">
        <f aca="false">IF(H_Direct=1,IF(AKT36&lt;=0,0,IF(BT37&lt;=0,MIN(MAX(0,AB37-SUM(PR37:PS37)),AKT36),MIN(MAX(0,AB37-SUM(PR37:PS37)),AKT36-G37*MAX(0,BT37*AKT36-(WS37+AAF37))))),MIN(FG37,MAX(0,AB37-SUM(PR37:PS37))))</f>
        <v>0</v>
      </c>
      <c r="PU37" s="20" t="n">
        <f aca="false">IF(H_Direct=1,IF(AKU36&lt;=0,0,IF(BU37&lt;=0,MIN(MAX(0,AB37-SUM(PR37:PT37)),AKU36),MIN(MAX(0,AB37-SUM(PR37:PT37)),AKU36-G37*MAX(0,BU37*AKU36-(WT37+AAG37))))),MIN(FH37,MAX(0,AB37-SUM(PR37:PT37))))</f>
        <v>0</v>
      </c>
      <c r="PV37" s="20" t="n">
        <f aca="false">IF(H_Direct=1,IF(AKV36&lt;=0,0,IF(BV37&lt;=0,MIN(MAX(0,AB37-SUM(PR37:PU37)),AKV36),MIN(MAX(0,AB37-SUM(PR37:PU37)),AKV36-G37*MAX(0,BV37*AKV36-(WU37+AAH37))))),MIN(FI37,MAX(0,AB37-SUM(PR37:PU37))))</f>
        <v>0</v>
      </c>
      <c r="PW37" s="20" t="n">
        <f aca="false">IF(H_Direct=1,IF(AKW36&lt;=0,0,IF(BW37&lt;=0,MIN(MAX(0,AB37-SUM(PR37:PV37)),AKW36),MIN(MAX(0,AB37-SUM(PR37:PV37)),AKW36-G37*MAX(0,BW37*AKW36-(WV37+AAI37))))),MIN(FJ37,MAX(0,AB37-SUM(PR37:PV37))))</f>
        <v>0</v>
      </c>
      <c r="PX37" s="20" t="n">
        <f aca="false">IF(H_Direct=1,IF(AKX36&lt;=0,0,IF(BX37&lt;=0,MIN(MAX(0,AB37-SUM(PR37:PW37)),AKX36),MIN(MAX(0,AB37-SUM(PR37:PW37)),AKX36-G37*MAX(0,BX37*AKX36-(WW37+AAJ37))))),MIN(FK37,MAX(0,AB37-SUM(PR37:PW37))))</f>
        <v>0</v>
      </c>
      <c r="PY37" s="20" t="n">
        <f aca="false">IF(H_Direct=1,IF(AKY36&lt;=0,0,IF(BY37&lt;=0,MIN(MAX(0,AB37-SUM(PR37:PX37)),AKY36),MIN(MAX(0,AB37-SUM(PR37:PX37)),AKY36-G37*MAX(0,BY37*AKY36-(WX37+AAK37))))),MIN(FL37,MAX(0,AB37-SUM(PR37:PX37))))</f>
        <v>0</v>
      </c>
      <c r="PZ37" s="20" t="n">
        <f aca="false">IF(H_Direct=1,IF(AKZ36&lt;=0,0,IF(BZ37&lt;=0,MIN(MAX(0,AB37-SUM(PR37:PY37)),AKZ36),MIN(MAX(0,AB37-SUM(PR37:PY37)),AKZ36-G37*MAX(0,BZ37*AKZ36-(WY37+AAL37))))),MIN(FM37,MAX(0,AB37-SUM(PR37:PY37))))</f>
        <v>0</v>
      </c>
      <c r="QA37" s="20" t="n">
        <f aca="false">IF(H_Direct=1,IF(ALA36&lt;=0,0,IF(CA37&lt;=0,MIN(MAX(0,AB37-SUM(PR37:PZ37)),ALA36),MIN(MAX(0,AB37-SUM(PR37:PZ37)),ALA36-G37*MAX(0,CA37*ALA36-(WZ37+AAM37))))),MIN(FN37,MAX(0,AB37-SUM(PR37:PZ37))))</f>
        <v>0</v>
      </c>
      <c r="QB37" s="20" t="n">
        <f aca="false">IF(H_Direct=1,IF(ALB36&lt;=0,0,IF(CB37&lt;=0,MIN(MAX(0,AB37-SUM(PR37:QA37)),ALB36),MIN(MAX(0,AB37-SUM(PR37:QA37)),ALB36-G37*MAX(0,CB37*ALB36-(XA37+AAN37))))),MIN(FO37,MAX(0,AB37-SUM(PR37:QA37))))</f>
        <v>0</v>
      </c>
      <c r="QC37" s="20" t="n">
        <f aca="false">IF(H_Direct=1,IF(ALC36&lt;=0,0,IF(CC37&lt;=0,MIN(MAX(0,AB37-SUM(PR37:QB37)),ALC36),MIN(MAX(0,AB37-SUM(PR37:QB37)),ALC36-G37*MAX(0,CC37*ALC36-(XB37+AAO37))))),MIN(FP37,MAX(0,AB37-SUM(PR37:QB37))))</f>
        <v>0</v>
      </c>
      <c r="QD37" s="20" t="n">
        <f aca="false">IF(H_Direct=1,IF(ALD36&lt;=0,0,IF(CD37&lt;=0,MIN(MAX(0,AB37-SUM(PR37:QC37)),ALD36),MIN(MAX(0,AB37-SUM(PR37:QC37)),ALD36-G37*MAX(0,CD37*ALD36-(XC37+AAP37))))),MIN(FQ37,MAX(0,AB37-SUM(PR37:QC37))))</f>
        <v>0</v>
      </c>
      <c r="QE37" s="20" t="n">
        <f aca="false">IF(H_Direct=1,IF(ALE36&lt;=0,0,IF(CE37&lt;=0,MIN(MAX(0,AB37-SUM(PR37:QD37)),ALE36),MIN(MAX(0,AB37-SUM(PR37:QD37)),ALE36-G37*MAX(0,CE37*ALE36-(XD37+AAQ37))))),MIN(FR37,MAX(0,AB37-SUM(PR37:QD37))))</f>
        <v>0</v>
      </c>
      <c r="QF37" s="20" t="n">
        <f aca="false">IF(H_Direct=1,IF(ALF36&lt;=0,0,IF(CF37&lt;=0,MIN(MAX(0,AB37-SUM(PR37:QE37)),ALF36),MIN(MAX(0,AB37-SUM(PR37:QE37)),ALF36-G37*MAX(0,CF37*ALF36-(XE37+AAR37))))),MIN(FS37,MAX(0,AB37-SUM(PR37:QE37))))</f>
        <v>0</v>
      </c>
      <c r="QG37" s="20" t="n">
        <f aca="false">IF(H_Direct=1,IF(ALG36&lt;=0,0,IF(CG37&lt;=0,MIN(MAX(0,AB37-SUM(PR37:QF37)),ALG36),MIN(MAX(0,AB37-SUM(PR37:QF37)),ALG36-G37*MAX(0,CG37*ALG36-(XF37+AAS37))))),MIN(FT37,MAX(0,AB37-SUM(PR37:QF37))))</f>
        <v>0</v>
      </c>
      <c r="QH37" s="20" t="n">
        <f aca="false">IF(H_Direct=1,IF(ALH36&lt;=0,0,IF(CH37&lt;=0,MIN(MAX(0,AB37-SUM(PR37:QG37)),ALH36),MIN(MAX(0,AB37-SUM(PR37:QG37)),ALH36-G37*MAX(0,CH37*ALH36-(XG37+AAT37))))),MIN(FU37,MAX(0,AB37-SUM(PR37:QG37))))</f>
        <v>0</v>
      </c>
      <c r="QI37" s="20" t="n">
        <f aca="false">IF(H_Direct=1,IF(ALI36&lt;=0,0,IF(CI37&lt;=0,MIN(MAX(0,AB37-SUM(PR37:QH37)),ALI36),MIN(MAX(0,AB37-SUM(PR37:QH37)),ALI36-G37*MAX(0,CI37*ALI36-(XH37+AAU37))))),MIN(FV37,MAX(0,AB37-SUM(PR37:QH37))))</f>
        <v>0</v>
      </c>
      <c r="QJ37" s="20" t="n">
        <f aca="false">IF(H_Direct=1,IF(ALJ36&lt;=0,0,IF(CJ37&lt;=0,MIN(MAX(0,AB37-SUM(PR37:QI37)),ALJ36),MIN(MAX(0,AB37-SUM(PR37:QI37)),ALJ36-G37*MAX(0,CJ37*ALJ36-(XI37+AAV37))))),MIN(FW37,MAX(0,AB37-SUM(PR37:QI37))))</f>
        <v>0</v>
      </c>
      <c r="QK37" s="20" t="n">
        <f aca="false">IF(H_Direct=1,IF(ALK36&lt;=0,0,IF(CK37&lt;=0,MIN(MAX(0,AB37-SUM(PR37:QJ37)),ALK36),MIN(MAX(0,AB37-SUM(PR37:QJ37)),ALK36-G37*MAX(0,CK37*ALK36-(XJ37+AAW37))))),MIN(FX37,MAX(0,AB37-SUM(PR37:QJ37))))</f>
        <v>0</v>
      </c>
      <c r="QL37" s="20" t="n">
        <f aca="false">IF(H_Direct=1,IF(ALL36&lt;=0,0,IF(CL37&lt;=0,MIN(MAX(0,AB37-SUM(PR37:QK37)),ALL36),MIN(MAX(0,AB37-SUM(PR37:QK37)),ALL36-G37*MAX(0,CL37*ALL36-(XK37+AAX37))))),MIN(FY37,MAX(0,AB37-SUM(PR37:QK37))))</f>
        <v>0</v>
      </c>
      <c r="QM37" s="20" t="n">
        <f aca="false">IF(H_Direct=1,IF(ALM36&lt;=0,0,IF(CM37&lt;=0,MIN(MAX(0,AB37-SUM(PR37:QL37)),ALM36),MIN(MAX(0,AB37-SUM(PR37:QL37)),ALM36-G37*MAX(0,CM37*ALM36-(XL37+AAY37))))),MIN(FZ37,MAX(0,AB37-SUM(PR37:QL37))))</f>
        <v>0</v>
      </c>
      <c r="QN37" s="20" t="n">
        <f aca="false">IF(H_Direct=1,IF(ALN36&lt;=0,0,IF(CN37&lt;=0,MIN(MAX(0,AB37-SUM(PR37:QM37)),ALN36),MIN(MAX(0,AB37-SUM(PR37:QM37)),ALN36-G37*MAX(0,CN37*ALN36-(XM37+AAZ37))))),MIN(GA37,MAX(0,AB37-SUM(PR37:QM37))))</f>
        <v>0</v>
      </c>
      <c r="QO37" s="20" t="n">
        <f aca="false">IF(H_Direct=1,IF(ALO36&lt;=0,0,IF(CO37&lt;=0,MIN(MAX(0,AB37-SUM(PR37:QN37)),ALO36),MIN(MAX(0,AB37-SUM(PR37:QN37)),ALO36-G37*MAX(0,CO37*ALO36-(XN37+ABA37))))),MIN(GB37,MAX(0,AB37-SUM(PR37:QN37))))</f>
        <v>0</v>
      </c>
      <c r="QP37" s="20" t="n">
        <f aca="false">IF(H_Direct=1,IF(ALP36&lt;=0,0,IF(CP37&lt;=0,MIN(MAX(0,AB37-SUM(PR37:QO37)),ALP36),MIN(MAX(0,AB37-SUM(PR37:QO37)),ALP36-G37*MAX(0,CP37*ALP36-(XO37+ABB37))))),MIN(GC37,MAX(0,AB37-SUM(PR37:QO37))))</f>
        <v>0</v>
      </c>
      <c r="QQ37" s="20" t="n">
        <f aca="false">IF(H_Direct=1,IF(ALQ36&lt;=0,0,IF(CQ37&lt;=0,MIN(MAX(0,AB37-SUM(PR37:QP37)),ALQ36),MIN(MAX(0,AB37-SUM(PR37:QP37)),ALQ36-G37*MAX(0,CQ37*ALQ36-(XP37+ABC37))))),MIN(GD37,MAX(0,AB37-SUM(PR37:QP37))))</f>
        <v>0</v>
      </c>
      <c r="QR37" s="20" t="n">
        <f aca="false">IF(H_Direct=1,IF(ALR36&lt;=0,0,IF(CR37&lt;=0,MIN(MAX(0,AB37-SUM(PR37:QQ37)),ALR36),MIN(MAX(0,AB37-SUM(PR37:QQ37)),ALR36-G37*MAX(0,CR37*ALR36-(XQ37+ABD37))))),MIN(GE37,MAX(0,AB37-SUM(PR37:QQ37))))</f>
        <v>0</v>
      </c>
      <c r="QS37" s="20" t="n">
        <f aca="false">IF(H_Direct=1,IF(ALS36&lt;=0,0,IF(CS37&lt;=0,MIN(MAX(0,AB37-SUM(PR37:QR37)),ALS36),MIN(MAX(0,AB37-SUM(PR37:QR37)),ALS36-G37*MAX(0,CS37*ALS36-(XR37+ABE37))))),MIN(GF37,MAX(0,AB37-SUM(PR37:QR37))))</f>
        <v>0</v>
      </c>
      <c r="QT37" s="20" t="n">
        <f aca="false">IF(H_Direct=1,IF(ALT36&lt;=0,0,IF(CT37&lt;=0,MIN(MAX(0,AB37-SUM(PR37:QS37)),ALT36),MIN(MAX(0,AB37-SUM(PR37:QS37)),ALT36-G37*MAX(0,CT37*ALT36-(XS37+ABF37))))),MIN(GG37,MAX(0,AB37-SUM(PR37:QS37))))</f>
        <v>0</v>
      </c>
      <c r="QU37" s="20" t="n">
        <f aca="false">IF(H_Direct=1,IF(ALU36&lt;=0,0,IF(CU37&lt;=0,MIN(MAX(0,AB37-SUM(PR37:QT37)),ALU36),MIN(MAX(0,AB37-SUM(PR37:QT37)),ALU36-G37*MAX(0,CU37*ALU36-(XT37+ABG37))))),MIN(GH37,MAX(0,AB37-SUM(PR37:QT37))))</f>
        <v>0</v>
      </c>
      <c r="QV37" s="20" t="n">
        <f aca="false">IF(H_Direct=1,IF((P37+S37)&lt;=0,0,IF(CV37&lt;=0,MIN(MAX(0,AB37-SUM(PR37:QU37)),(P37+S37)),MIN(MAX(0,AB37-SUM(PR37:QU37)),(P37+S37)-G37*MAX(0,CV37*(P37+S37)-(XU37+ABH37))))),MIN(GI37,MAX(0,AB37-SUM(PR37:QU37))))</f>
        <v>0</v>
      </c>
      <c r="QW37" s="20" t="n">
        <v>0</v>
      </c>
      <c r="QX37" s="20" t="n">
        <v>0</v>
      </c>
      <c r="QY37" s="20" t="n">
        <v>0</v>
      </c>
      <c r="QZ37" s="20" t="n">
        <v>0</v>
      </c>
      <c r="RA37" s="20" t="n">
        <v>0</v>
      </c>
      <c r="RB37" s="20" t="n">
        <v>0</v>
      </c>
      <c r="RC37" s="20" t="n">
        <v>0</v>
      </c>
      <c r="RD37" s="20" t="n">
        <v>0</v>
      </c>
      <c r="RE37" s="20" t="n">
        <v>0</v>
      </c>
      <c r="RF37" s="20" t="n">
        <v>0</v>
      </c>
      <c r="RG37" s="20" t="n">
        <v>0</v>
      </c>
      <c r="RH37" s="20" t="n">
        <v>0</v>
      </c>
      <c r="RI37" s="20" t="n">
        <v>0</v>
      </c>
      <c r="RJ37" s="20" t="n">
        <v>0</v>
      </c>
      <c r="RK37" s="20" t="n">
        <v>0</v>
      </c>
      <c r="RL37" s="20" t="n">
        <v>0</v>
      </c>
      <c r="RM37" s="20" t="n">
        <v>0</v>
      </c>
      <c r="RN37" s="20" t="n">
        <v>0</v>
      </c>
      <c r="RO37" s="20" t="n">
        <v>0</v>
      </c>
      <c r="RP37" s="20" t="n">
        <v>0</v>
      </c>
      <c r="RQ37" s="20" t="n">
        <v>0</v>
      </c>
      <c r="RR37" s="20" t="n">
        <v>0</v>
      </c>
      <c r="RS37" s="20" t="n">
        <v>0</v>
      </c>
      <c r="RT37" s="20" t="n">
        <v>0</v>
      </c>
      <c r="RU37" s="20" t="n">
        <v>0</v>
      </c>
      <c r="RV37" s="20" t="n">
        <v>0</v>
      </c>
      <c r="RW37" s="20" t="n">
        <v>0</v>
      </c>
      <c r="RX37" s="20" t="n">
        <v>0</v>
      </c>
      <c r="RY37" s="20" t="n">
        <v>0</v>
      </c>
      <c r="RZ37" s="20" t="n">
        <v>0</v>
      </c>
      <c r="SA37" s="20" t="n">
        <v>0</v>
      </c>
      <c r="SB37" s="20" t="n">
        <v>0</v>
      </c>
      <c r="SC37" s="20" t="n">
        <v>0</v>
      </c>
      <c r="SD37" s="20" t="n">
        <v>0</v>
      </c>
      <c r="SE37" s="20" t="n">
        <v>0</v>
      </c>
      <c r="SF37" s="20" t="n">
        <v>0</v>
      </c>
      <c r="SG37" s="20" t="n">
        <v>0</v>
      </c>
      <c r="SH37" s="20" t="n">
        <v>0</v>
      </c>
      <c r="SI37" s="20" t="n">
        <v>0</v>
      </c>
      <c r="SJ37" s="20" t="n">
        <v>0</v>
      </c>
      <c r="SK37" s="20" t="n">
        <v>0</v>
      </c>
      <c r="SL37" s="20" t="n">
        <v>0</v>
      </c>
      <c r="SM37" s="20" t="n">
        <v>0</v>
      </c>
      <c r="SN37" s="20" t="n">
        <v>0</v>
      </c>
      <c r="SO37" s="20" t="n">
        <v>0</v>
      </c>
      <c r="SP37" s="20" t="n">
        <v>0</v>
      </c>
      <c r="SQ37" s="20" t="n">
        <v>0</v>
      </c>
      <c r="SR37" s="20" t="n">
        <v>0</v>
      </c>
      <c r="SS37" s="20" t="n">
        <v>0</v>
      </c>
      <c r="ST37" s="20" t="n">
        <v>0</v>
      </c>
      <c r="SU37" s="20" t="n">
        <v>0</v>
      </c>
      <c r="SV37" s="20" t="n">
        <v>0</v>
      </c>
      <c r="SW37" s="20" t="n">
        <v>0</v>
      </c>
      <c r="SX37" s="20" t="n">
        <v>0</v>
      </c>
      <c r="SY37" s="20" t="n">
        <v>0</v>
      </c>
      <c r="SZ37" s="20" t="n">
        <v>0</v>
      </c>
      <c r="TA37" s="20" t="n">
        <v>0</v>
      </c>
      <c r="TB37" s="20" t="n">
        <v>0</v>
      </c>
      <c r="TC37" s="20" t="n">
        <v>0</v>
      </c>
      <c r="TD37" s="20" t="n">
        <v>0</v>
      </c>
      <c r="TE37" s="20" t="n">
        <f aca="false">IF(AKR36&lt;=0,0,IF(H_Direct=1,IF(BR37&lt;=0,PR37,IF(PR37&lt;=(H37+I37)/BR37,PR37,(PR37-G37*(H37+I37))/(1-G37*BR37))),PR37/(1-MAX(0,BR37)*H_Exit)))</f>
        <v>0</v>
      </c>
      <c r="TF37" s="20" t="n">
        <f aca="false">IF(AKS36&lt;=0,0,IF(H_Direct=1,IF(BS37&lt;=0,PS37,IF(PS37&lt;=(WR37+AAE37)/BS37,PS37,(PS37-G37*(WR37+AAE37))/(1-G37*BS37))),PS37/(1-MAX(0,BS37)*H_Exit)))</f>
        <v>0</v>
      </c>
      <c r="TG37" s="20" t="n">
        <f aca="false">IF(AKT36&lt;=0,0,IF(H_Direct=1,IF(BT37&lt;=0,PT37,IF(PT37&lt;=(WS37+AAF37)/BT37,PT37,(PT37-G37*(WS37+AAF37))/(1-G37*BT37))),PT37/(1-MAX(0,BT37)*H_Exit)))</f>
        <v>0</v>
      </c>
      <c r="TH37" s="20" t="n">
        <f aca="false">IF(AKU36&lt;=0,0,IF(H_Direct=1,IF(BU37&lt;=0,PU37,IF(PU37&lt;=(WT37+AAG37)/BU37,PU37,(PU37-G37*(WT37+AAG37))/(1-G37*BU37))),PU37/(1-MAX(0,BU37)*H_Exit)))</f>
        <v>0</v>
      </c>
      <c r="TI37" s="20" t="n">
        <f aca="false">IF(AKV36&lt;=0,0,IF(H_Direct=1,IF(BV37&lt;=0,PV37,IF(PV37&lt;=(WU37+AAH37)/BV37,PV37,(PV37-G37*(WU37+AAH37))/(1-G37*BV37))),PV37/(1-MAX(0,BV37)*H_Exit)))</f>
        <v>0</v>
      </c>
      <c r="TJ37" s="20" t="n">
        <f aca="false">IF(AKW36&lt;=0,0,IF(H_Direct=1,IF(BW37&lt;=0,PW37,IF(PW37&lt;=(WV37+AAI37)/BW37,PW37,(PW37-G37*(WV37+AAI37))/(1-G37*BW37))),PW37/(1-MAX(0,BW37)*H_Exit)))</f>
        <v>0</v>
      </c>
      <c r="TK37" s="20" t="n">
        <f aca="false">IF(AKX36&lt;=0,0,IF(H_Direct=1,IF(BX37&lt;=0,PX37,IF(PX37&lt;=(WW37+AAJ37)/BX37,PX37,(PX37-G37*(WW37+AAJ37))/(1-G37*BX37))),PX37/(1-MAX(0,BX37)*H_Exit)))</f>
        <v>0</v>
      </c>
      <c r="TL37" s="20" t="n">
        <f aca="false">IF(AKY36&lt;=0,0,IF(H_Direct=1,IF(BY37&lt;=0,PY37,IF(PY37&lt;=(WX37+AAK37)/BY37,PY37,(PY37-G37*(WX37+AAK37))/(1-G37*BY37))),PY37/(1-MAX(0,BY37)*H_Exit)))</f>
        <v>0</v>
      </c>
      <c r="TM37" s="20" t="n">
        <f aca="false">IF(AKZ36&lt;=0,0,IF(H_Direct=1,IF(BZ37&lt;=0,PZ37,IF(PZ37&lt;=(WY37+AAL37)/BZ37,PZ37,(PZ37-G37*(WY37+AAL37))/(1-G37*BZ37))),PZ37/(1-MAX(0,BZ37)*H_Exit)))</f>
        <v>0</v>
      </c>
      <c r="TN37" s="20" t="n">
        <f aca="false">IF(ALA36&lt;=0,0,IF(H_Direct=1,IF(CA37&lt;=0,QA37,IF(QA37&lt;=(WZ37+AAM37)/CA37,QA37,(QA37-G37*(WZ37+AAM37))/(1-G37*CA37))),QA37/(1-MAX(0,CA37)*H_Exit)))</f>
        <v>0</v>
      </c>
      <c r="TO37" s="20" t="n">
        <f aca="false">IF(ALB36&lt;=0,0,IF(H_Direct=1,IF(CB37&lt;=0,QB37,IF(QB37&lt;=(XA37+AAN37)/CB37,QB37,(QB37-G37*(XA37+AAN37))/(1-G37*CB37))),QB37/(1-MAX(0,CB37)*H_Exit)))</f>
        <v>0</v>
      </c>
      <c r="TP37" s="20" t="n">
        <f aca="false">IF(ALC36&lt;=0,0,IF(H_Direct=1,IF(CC37&lt;=0,QC37,IF(QC37&lt;=(XB37+AAO37)/CC37,QC37,(QC37-G37*(XB37+AAO37))/(1-G37*CC37))),QC37/(1-MAX(0,CC37)*H_Exit)))</f>
        <v>0</v>
      </c>
      <c r="TQ37" s="20" t="n">
        <f aca="false">IF(ALD36&lt;=0,0,IF(H_Direct=1,IF(CD37&lt;=0,QD37,IF(QD37&lt;=(XC37+AAP37)/CD37,QD37,(QD37-G37*(XC37+AAP37))/(1-G37*CD37))),QD37/(1-MAX(0,CD37)*H_Exit)))</f>
        <v>0</v>
      </c>
      <c r="TR37" s="20" t="n">
        <f aca="false">IF(ALE36&lt;=0,0,IF(H_Direct=1,IF(CE37&lt;=0,QE37,IF(QE37&lt;=(XD37+AAQ37)/CE37,QE37,(QE37-G37*(XD37+AAQ37))/(1-G37*CE37))),QE37/(1-MAX(0,CE37)*H_Exit)))</f>
        <v>0</v>
      </c>
      <c r="TS37" s="20" t="n">
        <f aca="false">IF(ALF36&lt;=0,0,IF(H_Direct=1,IF(CF37&lt;=0,QF37,IF(QF37&lt;=(XE37+AAR37)/CF37,QF37,(QF37-G37*(XE37+AAR37))/(1-G37*CF37))),QF37/(1-MAX(0,CF37)*H_Exit)))</f>
        <v>0</v>
      </c>
      <c r="TT37" s="20" t="n">
        <f aca="false">IF(ALG36&lt;=0,0,IF(H_Direct=1,IF(CG37&lt;=0,QG37,IF(QG37&lt;=(XF37+AAS37)/CG37,QG37,(QG37-G37*(XF37+AAS37))/(1-G37*CG37))),QG37/(1-MAX(0,CG37)*H_Exit)))</f>
        <v>0</v>
      </c>
      <c r="TU37" s="20" t="n">
        <f aca="false">IF(ALH36&lt;=0,0,IF(H_Direct=1,IF(CH37&lt;=0,QH37,IF(QH37&lt;=(XG37+AAT37)/CH37,QH37,(QH37-G37*(XG37+AAT37))/(1-G37*CH37))),QH37/(1-MAX(0,CH37)*H_Exit)))</f>
        <v>0</v>
      </c>
      <c r="TV37" s="20" t="n">
        <f aca="false">IF(ALI36&lt;=0,0,IF(H_Direct=1,IF(CI37&lt;=0,QI37,IF(QI37&lt;=(XH37+AAU37)/CI37,QI37,(QI37-G37*(XH37+AAU37))/(1-G37*CI37))),QI37/(1-MAX(0,CI37)*H_Exit)))</f>
        <v>0</v>
      </c>
      <c r="TW37" s="20" t="n">
        <f aca="false">IF(ALJ36&lt;=0,0,IF(H_Direct=1,IF(CJ37&lt;=0,QJ37,IF(QJ37&lt;=(XI37+AAV37)/CJ37,QJ37,(QJ37-G37*(XI37+AAV37))/(1-G37*CJ37))),QJ37/(1-MAX(0,CJ37)*H_Exit)))</f>
        <v>0</v>
      </c>
      <c r="TX37" s="20" t="n">
        <f aca="false">IF(ALK36&lt;=0,0,IF(H_Direct=1,IF(CK37&lt;=0,QK37,IF(QK37&lt;=(XJ37+AAW37)/CK37,QK37,(QK37-G37*(XJ37+AAW37))/(1-G37*CK37))),QK37/(1-MAX(0,CK37)*H_Exit)))</f>
        <v>0</v>
      </c>
      <c r="TY37" s="20" t="n">
        <f aca="false">IF(ALL36&lt;=0,0,IF(H_Direct=1,IF(CL37&lt;=0,QL37,IF(QL37&lt;=(XK37+AAX37)/CL37,QL37,(QL37-G37*(XK37+AAX37))/(1-G37*CL37))),QL37/(1-MAX(0,CL37)*H_Exit)))</f>
        <v>0</v>
      </c>
      <c r="TZ37" s="20" t="n">
        <f aca="false">IF(ALM36&lt;=0,0,IF(H_Direct=1,IF(CM37&lt;=0,QM37,IF(QM37&lt;=(XL37+AAY37)/CM37,QM37,(QM37-G37*(XL37+AAY37))/(1-G37*CM37))),QM37/(1-MAX(0,CM37)*H_Exit)))</f>
        <v>0</v>
      </c>
      <c r="UA37" s="20" t="n">
        <f aca="false">IF(ALN36&lt;=0,0,IF(H_Direct=1,IF(CN37&lt;=0,QN37,IF(QN37&lt;=(XM37+AAZ37)/CN37,QN37,(QN37-G37*(XM37+AAZ37))/(1-G37*CN37))),QN37/(1-MAX(0,CN37)*H_Exit)))</f>
        <v>0</v>
      </c>
      <c r="UB37" s="20" t="n">
        <f aca="false">IF(ALO36&lt;=0,0,IF(H_Direct=1,IF(CO37&lt;=0,QO37,IF(QO37&lt;=(XN37+ABA37)/CO37,QO37,(QO37-G37*(XN37+ABA37))/(1-G37*CO37))),QO37/(1-MAX(0,CO37)*H_Exit)))</f>
        <v>0</v>
      </c>
      <c r="UC37" s="20" t="n">
        <f aca="false">IF(ALP36&lt;=0,0,IF(H_Direct=1,IF(CP37&lt;=0,QP37,IF(QP37&lt;=(XO37+ABB37)/CP37,QP37,(QP37-G37*(XO37+ABB37))/(1-G37*CP37))),QP37/(1-MAX(0,CP37)*H_Exit)))</f>
        <v>0</v>
      </c>
      <c r="UD37" s="20" t="n">
        <f aca="false">IF(ALQ36&lt;=0,0,IF(H_Direct=1,IF(CQ37&lt;=0,QQ37,IF(QQ37&lt;=(XP37+ABC37)/CQ37,QQ37,(QQ37-G37*(XP37+ABC37))/(1-G37*CQ37))),QQ37/(1-MAX(0,CQ37)*H_Exit)))</f>
        <v>0</v>
      </c>
      <c r="UE37" s="20" t="n">
        <f aca="false">IF(ALR36&lt;=0,0,IF(H_Direct=1,IF(CR37&lt;=0,QR37,IF(QR37&lt;=(XQ37+ABD37)/CR37,QR37,(QR37-G37*(XQ37+ABD37))/(1-G37*CR37))),QR37/(1-MAX(0,CR37)*H_Exit)))</f>
        <v>0</v>
      </c>
      <c r="UF37" s="20" t="n">
        <f aca="false">IF(ALS36&lt;=0,0,IF(H_Direct=1,IF(CS37&lt;=0,QS37,IF(QS37&lt;=(XR37+ABE37)/CS37,QS37,(QS37-G37*(XR37+ABE37))/(1-G37*CS37))),QS37/(1-MAX(0,CS37)*H_Exit)))</f>
        <v>0</v>
      </c>
      <c r="UG37" s="20" t="n">
        <f aca="false">IF(ALT36&lt;=0,0,IF(H_Direct=1,IF(CT37&lt;=0,QT37,IF(QT37&lt;=(XS37+ABF37)/CT37,QT37,(QT37-G37*(XS37+ABF37))/(1-G37*CT37))),QT37/(1-MAX(0,CT37)*H_Exit)))</f>
        <v>0</v>
      </c>
      <c r="UH37" s="20" t="n">
        <f aca="false">IF(ALU36&lt;=0,0,IF(H_Direct=1,IF(CU37&lt;=0,QU37,IF(QU37&lt;=(XT37+ABG37)/CU37,QU37,(QU37-G37*(XT37+ABG37))/(1-G37*CU37))),QU37/(1-MAX(0,CU37)*H_Exit)))</f>
        <v>0</v>
      </c>
      <c r="UI37" s="20" t="n">
        <f aca="false">IF((P37+S37)&lt;=0,0,IF(H_Direct=1,IF(CV37&lt;=0,QV37,IF(QV37&lt;=(XU37+ABH37)/CV37,QV37,(QV37-G37*(XU37+ABH37))/(1-G37*CV37))),QV37/(1-MAX(0,CV37)*H_Exit)))</f>
        <v>0</v>
      </c>
      <c r="UJ37" s="20" t="n">
        <v>0</v>
      </c>
      <c r="UK37" s="20" t="n">
        <v>0</v>
      </c>
      <c r="UL37" s="20" t="n">
        <v>0</v>
      </c>
      <c r="UM37" s="20" t="n">
        <v>0</v>
      </c>
      <c r="UN37" s="20" t="n">
        <v>0</v>
      </c>
      <c r="UO37" s="20" t="n">
        <v>0</v>
      </c>
      <c r="UP37" s="20" t="n">
        <v>0</v>
      </c>
      <c r="UQ37" s="20" t="n">
        <v>0</v>
      </c>
      <c r="UR37" s="20" t="n">
        <v>0</v>
      </c>
      <c r="US37" s="20" t="n">
        <v>0</v>
      </c>
      <c r="UT37" s="20" t="n">
        <v>0</v>
      </c>
      <c r="UU37" s="20" t="n">
        <v>0</v>
      </c>
      <c r="UV37" s="20" t="n">
        <v>0</v>
      </c>
      <c r="UW37" s="20" t="n">
        <v>0</v>
      </c>
      <c r="UX37" s="20" t="n">
        <v>0</v>
      </c>
      <c r="UY37" s="20" t="n">
        <v>0</v>
      </c>
      <c r="UZ37" s="20" t="n">
        <v>0</v>
      </c>
      <c r="VA37" s="20" t="n">
        <v>0</v>
      </c>
      <c r="VB37" s="20" t="n">
        <v>0</v>
      </c>
      <c r="VC37" s="20" t="n">
        <v>0</v>
      </c>
      <c r="VD37" s="20" t="n">
        <v>0</v>
      </c>
      <c r="VE37" s="20" t="n">
        <v>0</v>
      </c>
      <c r="VF37" s="20" t="n">
        <v>0</v>
      </c>
      <c r="VG37" s="20" t="n">
        <v>0</v>
      </c>
      <c r="VH37" s="20" t="n">
        <v>0</v>
      </c>
      <c r="VI37" s="20" t="n">
        <v>0</v>
      </c>
      <c r="VJ37" s="20" t="n">
        <v>0</v>
      </c>
      <c r="VK37" s="20" t="n">
        <v>0</v>
      </c>
      <c r="VL37" s="20" t="n">
        <v>0</v>
      </c>
      <c r="VM37" s="20" t="n">
        <v>0</v>
      </c>
      <c r="VN37" s="20" t="n">
        <v>0</v>
      </c>
      <c r="VO37" s="20" t="n">
        <v>0</v>
      </c>
      <c r="VP37" s="20" t="n">
        <v>0</v>
      </c>
      <c r="VQ37" s="20" t="n">
        <v>0</v>
      </c>
      <c r="VR37" s="20" t="n">
        <v>0</v>
      </c>
      <c r="VS37" s="20" t="n">
        <v>0</v>
      </c>
      <c r="VT37" s="20" t="n">
        <v>0</v>
      </c>
      <c r="VU37" s="20" t="n">
        <v>0</v>
      </c>
      <c r="VV37" s="20" t="n">
        <v>0</v>
      </c>
      <c r="VW37" s="20" t="n">
        <v>0</v>
      </c>
      <c r="VX37" s="20" t="n">
        <v>0</v>
      </c>
      <c r="VY37" s="20" t="n">
        <v>0</v>
      </c>
      <c r="VZ37" s="20" t="n">
        <v>0</v>
      </c>
      <c r="WA37" s="20" t="n">
        <v>0</v>
      </c>
      <c r="WB37" s="20" t="n">
        <v>0</v>
      </c>
      <c r="WC37" s="20" t="n">
        <v>0</v>
      </c>
      <c r="WD37" s="20" t="n">
        <v>0</v>
      </c>
      <c r="WE37" s="20" t="n">
        <v>0</v>
      </c>
      <c r="WF37" s="20" t="n">
        <v>0</v>
      </c>
      <c r="WG37" s="20" t="n">
        <v>0</v>
      </c>
      <c r="WH37" s="20" t="n">
        <v>0</v>
      </c>
      <c r="WI37" s="20" t="n">
        <v>0</v>
      </c>
      <c r="WJ37" s="20" t="n">
        <v>0</v>
      </c>
      <c r="WK37" s="20" t="n">
        <v>0</v>
      </c>
      <c r="WL37" s="20" t="n">
        <v>0</v>
      </c>
      <c r="WM37" s="20" t="n">
        <v>0</v>
      </c>
      <c r="WN37" s="20" t="n">
        <v>0</v>
      </c>
      <c r="WO37" s="20" t="n">
        <v>0</v>
      </c>
      <c r="WP37" s="20" t="n">
        <v>0</v>
      </c>
      <c r="WQ37" s="20" t="n">
        <v>0</v>
      </c>
      <c r="WR37" s="20" t="n">
        <f aca="false">IF(AND(H_Direct=1,BR37&gt;0),MAX(0,H37-(MIN(BR37*TE37,(H37+I37))-MIN(MIN(BR37*TE37,(H37+I37)),I37))),H37)</f>
        <v>1270</v>
      </c>
      <c r="WS37" s="20" t="n">
        <f aca="false">IF(AND(H_Direct=1,BS37&gt;0),MAX(0,WR37-(MIN(BS37*TF37,(WR37+AAE37))-MIN(MIN(BS37*TF37,(WR37+AAE37)),AAE37))),WR37)</f>
        <v>1270</v>
      </c>
      <c r="WT37" s="20" t="n">
        <f aca="false">IF(AND(H_Direct=1,BT37&gt;0),MAX(0,WS37-(MIN(BT37*TG37,(WS37+AAF37))-MIN(MIN(BT37*TG37,(WS37+AAF37)),AAF37))),WS37)</f>
        <v>1270</v>
      </c>
      <c r="WU37" s="20" t="n">
        <f aca="false">IF(AND(H_Direct=1,BU37&gt;0),MAX(0,WT37-(MIN(BU37*TH37,(WT37+AAG37))-MIN(MIN(BU37*TH37,(WT37+AAG37)),AAG37))),WT37)</f>
        <v>1270</v>
      </c>
      <c r="WV37" s="20" t="n">
        <f aca="false">IF(AND(H_Direct=1,BV37&gt;0),MAX(0,WU37-(MIN(BV37*TI37,(WU37+AAH37))-MIN(MIN(BV37*TI37,(WU37+AAH37)),AAH37))),WU37)</f>
        <v>1270</v>
      </c>
      <c r="WW37" s="20" t="n">
        <f aca="false">IF(AND(H_Direct=1,BW37&gt;0),MAX(0,WV37-(MIN(BW37*TJ37,(WV37+AAI37))-MIN(MIN(BW37*TJ37,(WV37+AAI37)),AAI37))),WV37)</f>
        <v>1270</v>
      </c>
      <c r="WX37" s="20" t="n">
        <f aca="false">IF(AND(H_Direct=1,BX37&gt;0),MAX(0,WW37-(MIN(BX37*TK37,(WW37+AAJ37))-MIN(MIN(BX37*TK37,(WW37+AAJ37)),AAJ37))),WW37)</f>
        <v>1270</v>
      </c>
      <c r="WY37" s="20" t="n">
        <f aca="false">IF(AND(H_Direct=1,BY37&gt;0),MAX(0,WX37-(MIN(BY37*TL37,(WX37+AAK37))-MIN(MIN(BY37*TL37,(WX37+AAK37)),AAK37))),WX37)</f>
        <v>1270</v>
      </c>
      <c r="WZ37" s="20" t="n">
        <f aca="false">IF(AND(H_Direct=1,BZ37&gt;0),MAX(0,WY37-(MIN(BZ37*TM37,(WY37+AAL37))-MIN(MIN(BZ37*TM37,(WY37+AAL37)),AAL37))),WY37)</f>
        <v>1270</v>
      </c>
      <c r="XA37" s="20" t="n">
        <f aca="false">IF(AND(H_Direct=1,CA37&gt;0),MAX(0,WZ37-(MIN(CA37*TN37,(WZ37+AAM37))-MIN(MIN(CA37*TN37,(WZ37+AAM37)),AAM37))),WZ37)</f>
        <v>1270</v>
      </c>
      <c r="XB37" s="20" t="n">
        <f aca="false">IF(AND(H_Direct=1,CB37&gt;0),MAX(0,XA37-(MIN(CB37*TO37,(XA37+AAN37))-MIN(MIN(CB37*TO37,(XA37+AAN37)),AAN37))),XA37)</f>
        <v>1270</v>
      </c>
      <c r="XC37" s="20" t="n">
        <f aca="false">IF(AND(H_Direct=1,CC37&gt;0),MAX(0,XB37-(MIN(CC37*TP37,(XB37+AAO37))-MIN(MIN(CC37*TP37,(XB37+AAO37)),AAO37))),XB37)</f>
        <v>1270</v>
      </c>
      <c r="XD37" s="20" t="n">
        <f aca="false">IF(AND(H_Direct=1,CD37&gt;0),MAX(0,XC37-(MIN(CD37*TQ37,(XC37+AAP37))-MIN(MIN(CD37*TQ37,(XC37+AAP37)),AAP37))),XC37)</f>
        <v>1270</v>
      </c>
      <c r="XE37" s="20" t="n">
        <f aca="false">IF(AND(H_Direct=1,CE37&gt;0),MAX(0,XD37-(MIN(CE37*TR37,(XD37+AAQ37))-MIN(MIN(CE37*TR37,(XD37+AAQ37)),AAQ37))),XD37)</f>
        <v>1270</v>
      </c>
      <c r="XF37" s="20" t="n">
        <f aca="false">IF(AND(H_Direct=1,CF37&gt;0),MAX(0,XE37-(MIN(CF37*TS37,(XE37+AAR37))-MIN(MIN(CF37*TS37,(XE37+AAR37)),AAR37))),XE37)</f>
        <v>1270</v>
      </c>
      <c r="XG37" s="20" t="n">
        <f aca="false">IF(AND(H_Direct=1,CG37&gt;0),MAX(0,XF37-(MIN(CG37*TT37,(XF37+AAS37))-MIN(MIN(CG37*TT37,(XF37+AAS37)),AAS37))),XF37)</f>
        <v>1270</v>
      </c>
      <c r="XH37" s="20" t="n">
        <f aca="false">IF(AND(H_Direct=1,CH37&gt;0),MAX(0,XG37-(MIN(CH37*TU37,(XG37+AAT37))-MIN(MIN(CH37*TU37,(XG37+AAT37)),AAT37))),XG37)</f>
        <v>1270</v>
      </c>
      <c r="XI37" s="20" t="n">
        <f aca="false">IF(AND(H_Direct=1,CI37&gt;0),MAX(0,XH37-(MIN(CI37*TV37,(XH37+AAU37))-MIN(MIN(CI37*TV37,(XH37+AAU37)),AAU37))),XH37)</f>
        <v>1270</v>
      </c>
      <c r="XJ37" s="20" t="n">
        <f aca="false">IF(AND(H_Direct=1,CJ37&gt;0),MAX(0,XI37-(MIN(CJ37*TW37,(XI37+AAV37))-MIN(MIN(CJ37*TW37,(XI37+AAV37)),AAV37))),XI37)</f>
        <v>1270</v>
      </c>
      <c r="XK37" s="20" t="n">
        <f aca="false">IF(AND(H_Direct=1,CK37&gt;0),MAX(0,XJ37-(MIN(CK37*TX37,(XJ37+AAW37))-MIN(MIN(CK37*TX37,(XJ37+AAW37)),AAW37))),XJ37)</f>
        <v>1270</v>
      </c>
      <c r="XL37" s="20" t="n">
        <f aca="false">IF(AND(H_Direct=1,CL37&gt;0),MAX(0,XK37-(MIN(CL37*TY37,(XK37+AAX37))-MIN(MIN(CL37*TY37,(XK37+AAX37)),AAX37))),XK37)</f>
        <v>1270</v>
      </c>
      <c r="XM37" s="20" t="n">
        <f aca="false">IF(AND(H_Direct=1,CM37&gt;0),MAX(0,XL37-(MIN(CM37*TZ37,(XL37+AAY37))-MIN(MIN(CM37*TZ37,(XL37+AAY37)),AAY37))),XL37)</f>
        <v>1270</v>
      </c>
      <c r="XN37" s="20" t="n">
        <f aca="false">IF(AND(H_Direct=1,CN37&gt;0),MAX(0,XM37-(MIN(CN37*UA37,(XM37+AAZ37))-MIN(MIN(CN37*UA37,(XM37+AAZ37)),AAZ37))),XM37)</f>
        <v>1270</v>
      </c>
      <c r="XO37" s="20" t="n">
        <f aca="false">IF(AND(H_Direct=1,CO37&gt;0),MAX(0,XN37-(MIN(CO37*UB37,(XN37+ABA37))-MIN(MIN(CO37*UB37,(XN37+ABA37)),ABA37))),XN37)</f>
        <v>1270</v>
      </c>
      <c r="XP37" s="20" t="n">
        <f aca="false">IF(AND(H_Direct=1,CP37&gt;0),MAX(0,XO37-(MIN(CP37*UC37,(XO37+ABB37))-MIN(MIN(CP37*UC37,(XO37+ABB37)),ABB37))),XO37)</f>
        <v>1270</v>
      </c>
      <c r="XQ37" s="20" t="n">
        <f aca="false">IF(AND(H_Direct=1,CQ37&gt;0),MAX(0,XP37-(MIN(CQ37*UD37,(XP37+ABC37))-MIN(MIN(CQ37*UD37,(XP37+ABC37)),ABC37))),XP37)</f>
        <v>1270</v>
      </c>
      <c r="XR37" s="20" t="n">
        <f aca="false">IF(AND(H_Direct=1,CR37&gt;0),MAX(0,XQ37-(MIN(CR37*UE37,(XQ37+ABD37))-MIN(MIN(CR37*UE37,(XQ37+ABD37)),ABD37))),XQ37)</f>
        <v>1270</v>
      </c>
      <c r="XS37" s="20" t="n">
        <f aca="false">IF(AND(H_Direct=1,CS37&gt;0),MAX(0,XR37-(MIN(CS37*UF37,(XR37+ABE37))-MIN(MIN(CS37*UF37,(XR37+ABE37)),ABE37))),XR37)</f>
        <v>1270</v>
      </c>
      <c r="XT37" s="20" t="n">
        <f aca="false">IF(AND(H_Direct=1,CT37&gt;0),MAX(0,XS37-(MIN(CT37*UG37,(XS37+ABF37))-MIN(MIN(CT37*UG37,(XS37+ABF37)),ABF37))),XS37)</f>
        <v>1270</v>
      </c>
      <c r="XU37" s="20" t="n">
        <f aca="false">IF(AND(H_Direct=1,CU37&gt;0),MAX(0,XT37-(MIN(CU37*UH37,(XT37+ABG37))-MIN(MIN(CU37*UH37,(XT37+ABG37)),ABG37))),XT37)</f>
        <v>1270</v>
      </c>
      <c r="XV37" s="20" t="n">
        <f aca="false">IF(AND(H_Direct=1,CV37&gt;0),MAX(0,XU37-(MIN(CV37*UI37,(XU37+ABH37))-MIN(MIN(CV37*UI37,(XU37+ABH37)),ABH37))),XU37)</f>
        <v>1270</v>
      </c>
      <c r="XW37" s="20" t="n">
        <f aca="false">XV37</f>
        <v>1270</v>
      </c>
      <c r="XX37" s="20" t="n">
        <f aca="false">XW37</f>
        <v>1270</v>
      </c>
      <c r="XY37" s="20" t="n">
        <f aca="false">XX37</f>
        <v>1270</v>
      </c>
      <c r="XZ37" s="20" t="n">
        <f aca="false">XY37</f>
        <v>1270</v>
      </c>
      <c r="YA37" s="20" t="n">
        <f aca="false">XZ37</f>
        <v>1270</v>
      </c>
      <c r="YB37" s="20" t="n">
        <f aca="false">YA37</f>
        <v>1270</v>
      </c>
      <c r="YC37" s="20" t="n">
        <f aca="false">YB37</f>
        <v>1270</v>
      </c>
      <c r="YD37" s="20" t="n">
        <f aca="false">YC37</f>
        <v>1270</v>
      </c>
      <c r="YE37" s="20" t="n">
        <f aca="false">YD37</f>
        <v>1270</v>
      </c>
      <c r="YF37" s="20" t="n">
        <f aca="false">YE37</f>
        <v>1270</v>
      </c>
      <c r="YG37" s="20" t="n">
        <f aca="false">YF37</f>
        <v>1270</v>
      </c>
      <c r="YH37" s="20" t="n">
        <f aca="false">YG37</f>
        <v>1270</v>
      </c>
      <c r="YI37" s="20" t="n">
        <f aca="false">YH37</f>
        <v>1270</v>
      </c>
      <c r="YJ37" s="20" t="n">
        <f aca="false">YI37</f>
        <v>1270</v>
      </c>
      <c r="YK37" s="20" t="n">
        <f aca="false">YJ37</f>
        <v>1270</v>
      </c>
      <c r="YL37" s="20" t="n">
        <f aca="false">YK37</f>
        <v>1270</v>
      </c>
      <c r="YM37" s="20" t="n">
        <f aca="false">YL37</f>
        <v>1270</v>
      </c>
      <c r="YN37" s="20" t="n">
        <f aca="false">YM37</f>
        <v>1270</v>
      </c>
      <c r="YO37" s="20" t="n">
        <f aca="false">YN37</f>
        <v>1270</v>
      </c>
      <c r="YP37" s="20" t="n">
        <f aca="false">YO37</f>
        <v>1270</v>
      </c>
      <c r="YQ37" s="20" t="n">
        <f aca="false">YP37</f>
        <v>1270</v>
      </c>
      <c r="YR37" s="20" t="n">
        <f aca="false">YQ37</f>
        <v>1270</v>
      </c>
      <c r="YS37" s="20" t="n">
        <f aca="false">YR37</f>
        <v>1270</v>
      </c>
      <c r="YT37" s="20" t="n">
        <f aca="false">YS37</f>
        <v>1270</v>
      </c>
      <c r="YU37" s="20" t="n">
        <f aca="false">YT37</f>
        <v>1270</v>
      </c>
      <c r="YV37" s="20" t="n">
        <f aca="false">YU37</f>
        <v>1270</v>
      </c>
      <c r="YW37" s="20" t="n">
        <f aca="false">YV37</f>
        <v>1270</v>
      </c>
      <c r="YX37" s="20" t="n">
        <f aca="false">YW37</f>
        <v>1270</v>
      </c>
      <c r="YY37" s="20" t="n">
        <f aca="false">YX37</f>
        <v>1270</v>
      </c>
      <c r="YZ37" s="20" t="n">
        <f aca="false">YY37</f>
        <v>1270</v>
      </c>
      <c r="ZA37" s="20" t="n">
        <f aca="false">YZ37</f>
        <v>1270</v>
      </c>
      <c r="ZB37" s="20" t="n">
        <f aca="false">ZA37</f>
        <v>1270</v>
      </c>
      <c r="ZC37" s="20" t="n">
        <f aca="false">ZB37</f>
        <v>1270</v>
      </c>
      <c r="ZD37" s="20" t="n">
        <f aca="false">ZC37</f>
        <v>1270</v>
      </c>
      <c r="ZE37" s="20" t="n">
        <f aca="false">ZD37</f>
        <v>1270</v>
      </c>
      <c r="ZF37" s="20" t="n">
        <f aca="false">ZE37</f>
        <v>1270</v>
      </c>
      <c r="ZG37" s="20" t="n">
        <f aca="false">ZF37</f>
        <v>1270</v>
      </c>
      <c r="ZH37" s="20" t="n">
        <f aca="false">ZG37</f>
        <v>1270</v>
      </c>
      <c r="ZI37" s="20" t="n">
        <f aca="false">ZH37</f>
        <v>1270</v>
      </c>
      <c r="ZJ37" s="20" t="n">
        <f aca="false">ZI37</f>
        <v>1270</v>
      </c>
      <c r="ZK37" s="20" t="n">
        <f aca="false">ZJ37</f>
        <v>1270</v>
      </c>
      <c r="ZL37" s="20" t="n">
        <f aca="false">ZK37</f>
        <v>1270</v>
      </c>
      <c r="ZM37" s="20" t="n">
        <f aca="false">ZL37</f>
        <v>1270</v>
      </c>
      <c r="ZN37" s="20" t="n">
        <f aca="false">ZM37</f>
        <v>1270</v>
      </c>
      <c r="ZO37" s="20" t="n">
        <f aca="false">ZN37</f>
        <v>1270</v>
      </c>
      <c r="ZP37" s="20" t="n">
        <f aca="false">ZO37</f>
        <v>1270</v>
      </c>
      <c r="ZQ37" s="20" t="n">
        <f aca="false">ZP37</f>
        <v>1270</v>
      </c>
      <c r="ZR37" s="20" t="n">
        <f aca="false">ZQ37</f>
        <v>1270</v>
      </c>
      <c r="ZS37" s="20" t="n">
        <f aca="false">ZR37</f>
        <v>1270</v>
      </c>
      <c r="ZT37" s="20" t="n">
        <f aca="false">ZS37</f>
        <v>1270</v>
      </c>
      <c r="ZU37" s="20" t="n">
        <f aca="false">ZT37</f>
        <v>1270</v>
      </c>
      <c r="ZV37" s="20" t="n">
        <f aca="false">ZU37</f>
        <v>1270</v>
      </c>
      <c r="ZW37" s="20" t="n">
        <f aca="false">ZV37</f>
        <v>1270</v>
      </c>
      <c r="ZX37" s="20" t="n">
        <f aca="false">ZW37</f>
        <v>1270</v>
      </c>
      <c r="ZY37" s="20" t="n">
        <f aca="false">ZX37</f>
        <v>1270</v>
      </c>
      <c r="ZZ37" s="20" t="n">
        <f aca="false">ZY37</f>
        <v>1270</v>
      </c>
      <c r="AAA37" s="20" t="n">
        <f aca="false">ZZ37</f>
        <v>1270</v>
      </c>
      <c r="AAB37" s="20" t="n">
        <f aca="false">AAA37</f>
        <v>1270</v>
      </c>
      <c r="AAC37" s="20" t="n">
        <f aca="false">AAB37</f>
        <v>1270</v>
      </c>
      <c r="AAD37" s="20" t="n">
        <f aca="false">AAC37</f>
        <v>1270</v>
      </c>
      <c r="AAE37" s="20" t="n">
        <f aca="false">IF(H_Direct=1,IF(BR37&lt;=0,I37-BR37*TE37,I37-MIN(MIN(BR37*TE37,(H37+I37)),I37)),I37)</f>
        <v>0</v>
      </c>
      <c r="AAF37" s="20" t="n">
        <f aca="false">IF(H_Direct=1,IF(BS37&lt;=0,AAE37-BS37*TF37,AAE37-MIN(MIN(BS37*TF37,(WR37+AAE37)),AAE37)),AAE37)</f>
        <v>0</v>
      </c>
      <c r="AAG37" s="20" t="n">
        <f aca="false">IF(H_Direct=1,IF(BT37&lt;=0,AAF37-BT37*TG37,AAF37-MIN(MIN(BT37*TG37,(WS37+AAF37)),AAF37)),AAF37)</f>
        <v>0</v>
      </c>
      <c r="AAH37" s="20" t="n">
        <f aca="false">IF(H_Direct=1,IF(BU37&lt;=0,AAG37-BU37*TH37,AAG37-MIN(MIN(BU37*TH37,(WT37+AAG37)),AAG37)),AAG37)</f>
        <v>0</v>
      </c>
      <c r="AAI37" s="20" t="n">
        <f aca="false">IF(H_Direct=1,IF(BV37&lt;=0,AAH37-BV37*TI37,AAH37-MIN(MIN(BV37*TI37,(WU37+AAH37)),AAH37)),AAH37)</f>
        <v>0</v>
      </c>
      <c r="AAJ37" s="20" t="n">
        <f aca="false">IF(H_Direct=1,IF(BW37&lt;=0,AAI37-BW37*TJ37,AAI37-MIN(MIN(BW37*TJ37,(WV37+AAI37)),AAI37)),AAI37)</f>
        <v>0</v>
      </c>
      <c r="AAK37" s="20" t="n">
        <f aca="false">IF(H_Direct=1,IF(BX37&lt;=0,AAJ37-BX37*TK37,AAJ37-MIN(MIN(BX37*TK37,(WW37+AAJ37)),AAJ37)),AAJ37)</f>
        <v>0</v>
      </c>
      <c r="AAL37" s="20" t="n">
        <f aca="false">IF(H_Direct=1,IF(BY37&lt;=0,AAK37-BY37*TL37,AAK37-MIN(MIN(BY37*TL37,(WX37+AAK37)),AAK37)),AAK37)</f>
        <v>0</v>
      </c>
      <c r="AAM37" s="20" t="n">
        <f aca="false">IF(H_Direct=1,IF(BZ37&lt;=0,AAL37-BZ37*TM37,AAL37-MIN(MIN(BZ37*TM37,(WY37+AAL37)),AAL37)),AAL37)</f>
        <v>0</v>
      </c>
      <c r="AAN37" s="20" t="n">
        <f aca="false">IF(H_Direct=1,IF(CA37&lt;=0,AAM37-CA37*TN37,AAM37-MIN(MIN(CA37*TN37,(WZ37+AAM37)),AAM37)),AAM37)</f>
        <v>0</v>
      </c>
      <c r="AAO37" s="20" t="n">
        <f aca="false">IF(H_Direct=1,IF(CB37&lt;=0,AAN37-CB37*TO37,AAN37-MIN(MIN(CB37*TO37,(XA37+AAN37)),AAN37)),AAN37)</f>
        <v>0</v>
      </c>
      <c r="AAP37" s="20" t="n">
        <f aca="false">IF(H_Direct=1,IF(CC37&lt;=0,AAO37-CC37*TP37,AAO37-MIN(MIN(CC37*TP37,(XB37+AAO37)),AAO37)),AAO37)</f>
        <v>0</v>
      </c>
      <c r="AAQ37" s="20" t="n">
        <f aca="false">IF(H_Direct=1,IF(CD37&lt;=0,AAP37-CD37*TQ37,AAP37-MIN(MIN(CD37*TQ37,(XC37+AAP37)),AAP37)),AAP37)</f>
        <v>0</v>
      </c>
      <c r="AAR37" s="20" t="n">
        <f aca="false">IF(H_Direct=1,IF(CE37&lt;=0,AAQ37-CE37*TR37,AAQ37-MIN(MIN(CE37*TR37,(XD37+AAQ37)),AAQ37)),AAQ37)</f>
        <v>0</v>
      </c>
      <c r="AAS37" s="20" t="n">
        <f aca="false">IF(H_Direct=1,IF(CF37&lt;=0,AAR37-CF37*TS37,AAR37-MIN(MIN(CF37*TS37,(XE37+AAR37)),AAR37)),AAR37)</f>
        <v>0</v>
      </c>
      <c r="AAT37" s="20" t="n">
        <f aca="false">IF(H_Direct=1,IF(CG37&lt;=0,AAS37-CG37*TT37,AAS37-MIN(MIN(CG37*TT37,(XF37+AAS37)),AAS37)),AAS37)</f>
        <v>0</v>
      </c>
      <c r="AAU37" s="20" t="n">
        <f aca="false">IF(H_Direct=1,IF(CH37&lt;=0,AAT37-CH37*TU37,AAT37-MIN(MIN(CH37*TU37,(XG37+AAT37)),AAT37)),AAT37)</f>
        <v>0</v>
      </c>
      <c r="AAV37" s="20" t="n">
        <f aca="false">IF(H_Direct=1,IF(CI37&lt;=0,AAU37-CI37*TV37,AAU37-MIN(MIN(CI37*TV37,(XH37+AAU37)),AAU37)),AAU37)</f>
        <v>0</v>
      </c>
      <c r="AAW37" s="20" t="n">
        <f aca="false">IF(H_Direct=1,IF(CJ37&lt;=0,AAV37-CJ37*TW37,AAV37-MIN(MIN(CJ37*TW37,(XI37+AAV37)),AAV37)),AAV37)</f>
        <v>0</v>
      </c>
      <c r="AAX37" s="20" t="n">
        <f aca="false">IF(H_Direct=1,IF(CK37&lt;=0,AAW37-CK37*TX37,AAW37-MIN(MIN(CK37*TX37,(XJ37+AAW37)),AAW37)),AAW37)</f>
        <v>0</v>
      </c>
      <c r="AAY37" s="20" t="n">
        <f aca="false">IF(H_Direct=1,IF(CL37&lt;=0,AAX37-CL37*TY37,AAX37-MIN(MIN(CL37*TY37,(XK37+AAX37)),AAX37)),AAX37)</f>
        <v>0</v>
      </c>
      <c r="AAZ37" s="20" t="n">
        <f aca="false">IF(H_Direct=1,IF(CM37&lt;=0,AAY37-CM37*TZ37,AAY37-MIN(MIN(CM37*TZ37,(XL37+AAY37)),AAY37)),AAY37)</f>
        <v>0</v>
      </c>
      <c r="ABA37" s="20" t="n">
        <f aca="false">IF(H_Direct=1,IF(CN37&lt;=0,AAZ37-CN37*UA37,AAZ37-MIN(MIN(CN37*UA37,(XM37+AAZ37)),AAZ37)),AAZ37)</f>
        <v>0</v>
      </c>
      <c r="ABB37" s="20" t="n">
        <f aca="false">IF(H_Direct=1,IF(CO37&lt;=0,ABA37-CO37*UB37,ABA37-MIN(MIN(CO37*UB37,(XN37+ABA37)),ABA37)),ABA37)</f>
        <v>0</v>
      </c>
      <c r="ABC37" s="20" t="n">
        <f aca="false">IF(H_Direct=1,IF(CP37&lt;=0,ABB37-CP37*UC37,ABB37-MIN(MIN(CP37*UC37,(XO37+ABB37)),ABB37)),ABB37)</f>
        <v>0</v>
      </c>
      <c r="ABD37" s="20" t="n">
        <f aca="false">IF(H_Direct=1,IF(CQ37&lt;=0,ABC37-CQ37*UD37,ABC37-MIN(MIN(CQ37*UD37,(XP37+ABC37)),ABC37)),ABC37)</f>
        <v>0</v>
      </c>
      <c r="ABE37" s="20" t="n">
        <f aca="false">IF(H_Direct=1,IF(CR37&lt;=0,ABD37-CR37*UE37,ABD37-MIN(MIN(CR37*UE37,(XQ37+ABD37)),ABD37)),ABD37)</f>
        <v>0</v>
      </c>
      <c r="ABF37" s="20" t="n">
        <f aca="false">IF(H_Direct=1,IF(CS37&lt;=0,ABE37-CS37*UF37,ABE37-MIN(MIN(CS37*UF37,(XR37+ABE37)),ABE37)),ABE37)</f>
        <v>0</v>
      </c>
      <c r="ABG37" s="20" t="n">
        <f aca="false">IF(H_Direct=1,IF(CT37&lt;=0,ABF37-CT37*UG37,ABF37-MIN(MIN(CT37*UG37,(XS37+ABF37)),ABF37)),ABF37)</f>
        <v>0</v>
      </c>
      <c r="ABH37" s="20" t="n">
        <f aca="false">IF(H_Direct=1,IF(CU37&lt;=0,ABG37-CU37*UH37,ABG37-MIN(MIN(CU37*UH37,(XT37+ABG37)),ABG37)),ABG37)</f>
        <v>0</v>
      </c>
      <c r="ABI37" s="20" t="n">
        <f aca="false">IF(H_Direct=1,IF(CV37&lt;=0,ABH37-CV37*UI37,ABH37-MIN(MIN(CV37*UI37,(XU37+ABH37)),ABH37)),ABH37)</f>
        <v>0</v>
      </c>
      <c r="ABJ37" s="20" t="n">
        <f aca="false">ABI37</f>
        <v>0</v>
      </c>
      <c r="ABK37" s="20" t="n">
        <f aca="false">ABJ37</f>
        <v>0</v>
      </c>
      <c r="ABL37" s="20" t="n">
        <f aca="false">ABK37</f>
        <v>0</v>
      </c>
      <c r="ABM37" s="20" t="n">
        <f aca="false">ABL37</f>
        <v>0</v>
      </c>
      <c r="ABN37" s="20" t="n">
        <f aca="false">ABM37</f>
        <v>0</v>
      </c>
      <c r="ABO37" s="20" t="n">
        <f aca="false">ABN37</f>
        <v>0</v>
      </c>
      <c r="ABP37" s="20" t="n">
        <f aca="false">ABO37</f>
        <v>0</v>
      </c>
      <c r="ABQ37" s="20" t="n">
        <f aca="false">ABP37</f>
        <v>0</v>
      </c>
      <c r="ABR37" s="20" t="n">
        <f aca="false">ABQ37</f>
        <v>0</v>
      </c>
      <c r="ABS37" s="20" t="n">
        <f aca="false">ABR37</f>
        <v>0</v>
      </c>
      <c r="ABT37" s="20" t="n">
        <f aca="false">ABS37</f>
        <v>0</v>
      </c>
      <c r="ABU37" s="20" t="n">
        <f aca="false">ABT37</f>
        <v>0</v>
      </c>
      <c r="ABV37" s="20" t="n">
        <f aca="false">ABU37</f>
        <v>0</v>
      </c>
      <c r="ABW37" s="20" t="n">
        <f aca="false">ABV37</f>
        <v>0</v>
      </c>
      <c r="ABX37" s="20" t="n">
        <f aca="false">ABW37</f>
        <v>0</v>
      </c>
      <c r="ABY37" s="20" t="n">
        <f aca="false">ABX37</f>
        <v>0</v>
      </c>
      <c r="ABZ37" s="20" t="n">
        <f aca="false">ABY37</f>
        <v>0</v>
      </c>
      <c r="ACA37" s="20" t="n">
        <f aca="false">ABZ37</f>
        <v>0</v>
      </c>
      <c r="ACB37" s="20" t="n">
        <f aca="false">ACA37</f>
        <v>0</v>
      </c>
      <c r="ACC37" s="20" t="n">
        <f aca="false">ACB37</f>
        <v>0</v>
      </c>
      <c r="ACD37" s="20" t="n">
        <f aca="false">ACC37</f>
        <v>0</v>
      </c>
      <c r="ACE37" s="20" t="n">
        <f aca="false">ACD37</f>
        <v>0</v>
      </c>
      <c r="ACF37" s="20" t="n">
        <f aca="false">ACE37</f>
        <v>0</v>
      </c>
      <c r="ACG37" s="20" t="n">
        <f aca="false">ACF37</f>
        <v>0</v>
      </c>
      <c r="ACH37" s="20" t="n">
        <f aca="false">ACG37</f>
        <v>0</v>
      </c>
      <c r="ACI37" s="20" t="n">
        <f aca="false">ACH37</f>
        <v>0</v>
      </c>
      <c r="ACJ37" s="20" t="n">
        <f aca="false">ACI37</f>
        <v>0</v>
      </c>
      <c r="ACK37" s="20" t="n">
        <f aca="false">ACJ37</f>
        <v>0</v>
      </c>
      <c r="ACL37" s="20" t="n">
        <f aca="false">ACK37</f>
        <v>0</v>
      </c>
      <c r="ACM37" s="20" t="n">
        <f aca="false">ACL37</f>
        <v>0</v>
      </c>
      <c r="ACN37" s="20" t="n">
        <f aca="false">ACM37</f>
        <v>0</v>
      </c>
      <c r="ACO37" s="20" t="n">
        <f aca="false">ACN37</f>
        <v>0</v>
      </c>
      <c r="ACP37" s="20" t="n">
        <f aca="false">ACO37</f>
        <v>0</v>
      </c>
      <c r="ACQ37" s="20" t="n">
        <f aca="false">ACP37</f>
        <v>0</v>
      </c>
      <c r="ACR37" s="20" t="n">
        <f aca="false">ACQ37</f>
        <v>0</v>
      </c>
      <c r="ACS37" s="20" t="n">
        <f aca="false">ACR37</f>
        <v>0</v>
      </c>
      <c r="ACT37" s="20" t="n">
        <f aca="false">ACS37</f>
        <v>0</v>
      </c>
      <c r="ACU37" s="20" t="n">
        <f aca="false">ACT37</f>
        <v>0</v>
      </c>
      <c r="ACV37" s="20" t="n">
        <f aca="false">ACU37</f>
        <v>0</v>
      </c>
      <c r="ACW37" s="20" t="n">
        <f aca="false">ACV37</f>
        <v>0</v>
      </c>
      <c r="ACX37" s="20" t="n">
        <f aca="false">ACW37</f>
        <v>0</v>
      </c>
      <c r="ACY37" s="20" t="n">
        <f aca="false">ACX37</f>
        <v>0</v>
      </c>
      <c r="ACZ37" s="20" t="n">
        <f aca="false">ACY37</f>
        <v>0</v>
      </c>
      <c r="ADA37" s="20" t="n">
        <f aca="false">ACZ37</f>
        <v>0</v>
      </c>
      <c r="ADB37" s="20" t="n">
        <f aca="false">ADA37</f>
        <v>0</v>
      </c>
      <c r="ADC37" s="20" t="n">
        <f aca="false">ADB37</f>
        <v>0</v>
      </c>
      <c r="ADD37" s="20" t="n">
        <f aca="false">ADC37</f>
        <v>0</v>
      </c>
      <c r="ADE37" s="20" t="n">
        <f aca="false">ADD37</f>
        <v>0</v>
      </c>
      <c r="ADF37" s="20" t="n">
        <f aca="false">ADE37</f>
        <v>0</v>
      </c>
      <c r="ADG37" s="20" t="n">
        <f aca="false">ADF37</f>
        <v>0</v>
      </c>
      <c r="ADH37" s="20" t="n">
        <f aca="false">ADG37</f>
        <v>0</v>
      </c>
      <c r="ADI37" s="20" t="n">
        <f aca="false">ADH37</f>
        <v>0</v>
      </c>
      <c r="ADJ37" s="20" t="n">
        <f aca="false">ADI37</f>
        <v>0</v>
      </c>
      <c r="ADK37" s="20" t="n">
        <f aca="false">ADJ37</f>
        <v>0</v>
      </c>
      <c r="ADL37" s="20" t="n">
        <f aca="false">ADK37</f>
        <v>0</v>
      </c>
      <c r="ADM37" s="20" t="n">
        <f aca="false">ADL37</f>
        <v>0</v>
      </c>
      <c r="ADN37" s="20" t="n">
        <f aca="false">ADM37</f>
        <v>0</v>
      </c>
      <c r="ADO37" s="20" t="n">
        <f aca="false">ADN37</f>
        <v>0</v>
      </c>
      <c r="ADP37" s="20" t="n">
        <f aca="false">ADO37</f>
        <v>0</v>
      </c>
      <c r="ADQ37" s="20" t="n">
        <f aca="false">ADP37</f>
        <v>0</v>
      </c>
      <c r="ADR37" s="20" t="n">
        <f aca="false">(AKR36-TE37+0)*(1+BQ37)</f>
        <v>0</v>
      </c>
      <c r="ADS37" s="20" t="n">
        <f aca="false">(AKS36-TF37+0)*(1+BQ37)</f>
        <v>0</v>
      </c>
      <c r="ADT37" s="20" t="n">
        <f aca="false">(AKT36-TG37+0)*(1+BQ37)</f>
        <v>0</v>
      </c>
      <c r="ADU37" s="20" t="n">
        <f aca="false">(AKU36-TH37+0)*(1+BQ37)</f>
        <v>0</v>
      </c>
      <c r="ADV37" s="20" t="n">
        <f aca="false">(AKV36-TI37+0)*(1+BQ37)</f>
        <v>0</v>
      </c>
      <c r="ADW37" s="20" t="n">
        <f aca="false">(AKW36-TJ37+0)*(1+BQ37)</f>
        <v>0</v>
      </c>
      <c r="ADX37" s="20" t="n">
        <f aca="false">(AKX36-TK37+0)*(1+BQ37)</f>
        <v>0</v>
      </c>
      <c r="ADY37" s="20" t="n">
        <f aca="false">(AKY36-TL37+0)*(1+BQ37)</f>
        <v>0</v>
      </c>
      <c r="ADZ37" s="20" t="n">
        <f aca="false">(AKZ36-TM37+0)*(1+BQ37)</f>
        <v>0</v>
      </c>
      <c r="AEA37" s="20" t="n">
        <f aca="false">(ALA36-TN37+0)*(1+BQ37)</f>
        <v>0</v>
      </c>
      <c r="AEB37" s="20" t="n">
        <f aca="false">(ALB36-TO37+0)*(1+BQ37)</f>
        <v>0</v>
      </c>
      <c r="AEC37" s="20" t="n">
        <f aca="false">(ALC36-TP37+0)*(1+BQ37)</f>
        <v>965.213696334707</v>
      </c>
      <c r="AED37" s="20" t="n">
        <f aca="false">(ALD36-TQ37+0)*(1+BQ37)</f>
        <v>1214.20811595079</v>
      </c>
      <c r="AEE37" s="20" t="n">
        <f aca="false">(ALE36-TR37+0)*(1+BQ37)</f>
        <v>1453.06775465976</v>
      </c>
      <c r="AEF37" s="20" t="n">
        <f aca="false">(ALF36-TS37+0)*(1+BQ37)</f>
        <v>1633.98237205753</v>
      </c>
      <c r="AEG37" s="20" t="n">
        <f aca="false">(ALG36-TT37+0)*(1+BQ37)</f>
        <v>1750.56278642385</v>
      </c>
      <c r="AEH37" s="20" t="n">
        <f aca="false">(ALH36-TU37+0)*(1+BQ37)</f>
        <v>1682.53555049777</v>
      </c>
      <c r="AEI37" s="20" t="n">
        <f aca="false">(ALI36-TV37+0)*(1+BQ37)</f>
        <v>1616.14693994484</v>
      </c>
      <c r="AEJ37" s="20" t="n">
        <f aca="false">(ALJ36-TW37+0)*(1+BQ37)</f>
        <v>5022.96957920248</v>
      </c>
      <c r="AEK37" s="20" t="n">
        <f aca="false">(ALK36-TX37+0)*(1+BQ37)</f>
        <v>4926.37401037166</v>
      </c>
      <c r="AEL37" s="20" t="n">
        <f aca="false">(ALL36-TY37+0)*(1+BQ37)</f>
        <v>4831.63604863375</v>
      </c>
      <c r="AEM37" s="20" t="n">
        <f aca="false">(ALM36-TZ37+0)*(1+BQ37)</f>
        <v>4738.7199707754</v>
      </c>
      <c r="AEN37" s="20" t="n">
        <f aca="false">(ALN36-UA37+0)*(1+BQ37)</f>
        <v>4647.59074056818</v>
      </c>
      <c r="AEO37" s="20" t="n">
        <f aca="false">(ALO36-UB37+0)*(1+BQ37)</f>
        <v>5077.87183195105</v>
      </c>
      <c r="AEP37" s="20" t="n">
        <f aca="false">(ALP36-UC37+0)*(1+BQ37)</f>
        <v>4980.22045056738</v>
      </c>
      <c r="AEQ37" s="20" t="n">
        <f aca="false">(ALQ36-UD37+0)*(1+BQ37)</f>
        <v>4884.44698036416</v>
      </c>
      <c r="AER37" s="20" t="n">
        <f aca="false">(ALR36-UE37+0)*(1+BQ37)</f>
        <v>72468.7616645725</v>
      </c>
      <c r="AES37" s="20" t="n">
        <f aca="false">(ALS36-UF37+0)*(1+BQ37)</f>
        <v>0</v>
      </c>
      <c r="AET37" s="20" t="n">
        <f aca="false">(ALT36-UG37+0)*(1+BQ37)</f>
        <v>0</v>
      </c>
      <c r="AEU37" s="20" t="n">
        <f aca="false">(ALU36-UH37+0)*(1+BQ37)</f>
        <v>1870.58144647246</v>
      </c>
      <c r="AEV37" s="20" t="n">
        <f aca="false">((P37+S37)-UI37+BE37)*(1+BQ37)</f>
        <v>0</v>
      </c>
      <c r="AEW37" s="20" t="n">
        <v>0</v>
      </c>
      <c r="AEX37" s="20" t="n">
        <v>0</v>
      </c>
      <c r="AEY37" s="20" t="n">
        <v>0</v>
      </c>
      <c r="AEZ37" s="20" t="n">
        <v>0</v>
      </c>
      <c r="AFA37" s="20" t="n">
        <v>0</v>
      </c>
      <c r="AFB37" s="20" t="n">
        <v>0</v>
      </c>
      <c r="AFC37" s="20" t="n">
        <v>0</v>
      </c>
      <c r="AFD37" s="20" t="n">
        <v>0</v>
      </c>
      <c r="AFE37" s="20" t="n">
        <v>0</v>
      </c>
      <c r="AFF37" s="20" t="n">
        <v>0</v>
      </c>
      <c r="AFG37" s="20" t="n">
        <v>0</v>
      </c>
      <c r="AFH37" s="20" t="n">
        <v>0</v>
      </c>
      <c r="AFI37" s="20" t="n">
        <v>0</v>
      </c>
      <c r="AFJ37" s="20" t="n">
        <v>0</v>
      </c>
      <c r="AFK37" s="20" t="n">
        <v>0</v>
      </c>
      <c r="AFL37" s="20" t="n">
        <v>0</v>
      </c>
      <c r="AFM37" s="20" t="n">
        <v>0</v>
      </c>
      <c r="AFN37" s="20" t="n">
        <v>0</v>
      </c>
      <c r="AFO37" s="20" t="n">
        <v>0</v>
      </c>
      <c r="AFP37" s="20" t="n">
        <v>0</v>
      </c>
      <c r="AFQ37" s="20" t="n">
        <v>0</v>
      </c>
      <c r="AFR37" s="20" t="n">
        <v>0</v>
      </c>
      <c r="AFS37" s="20" t="n">
        <v>0</v>
      </c>
      <c r="AFT37" s="20" t="n">
        <v>0</v>
      </c>
      <c r="AFU37" s="20" t="n">
        <v>0</v>
      </c>
      <c r="AFV37" s="20" t="n">
        <v>0</v>
      </c>
      <c r="AFW37" s="20" t="n">
        <v>0</v>
      </c>
      <c r="AFX37" s="20" t="n">
        <v>0</v>
      </c>
      <c r="AFY37" s="20" t="n">
        <v>0</v>
      </c>
      <c r="AFZ37" s="20" t="n">
        <v>0</v>
      </c>
      <c r="AGA37" s="20" t="n">
        <v>0</v>
      </c>
      <c r="AGB37" s="20" t="n">
        <v>0</v>
      </c>
      <c r="AGC37" s="20" t="n">
        <v>0</v>
      </c>
      <c r="AGD37" s="20" t="n">
        <v>0</v>
      </c>
      <c r="AGE37" s="20" t="n">
        <v>0</v>
      </c>
      <c r="AGF37" s="20" t="n">
        <v>0</v>
      </c>
      <c r="AGG37" s="20" t="n">
        <v>0</v>
      </c>
      <c r="AGH37" s="20" t="n">
        <v>0</v>
      </c>
      <c r="AGI37" s="20" t="n">
        <v>0</v>
      </c>
      <c r="AGJ37" s="20" t="n">
        <v>0</v>
      </c>
      <c r="AGK37" s="20" t="n">
        <v>0</v>
      </c>
      <c r="AGL37" s="20" t="n">
        <v>0</v>
      </c>
      <c r="AGM37" s="20" t="n">
        <v>0</v>
      </c>
      <c r="AGN37" s="20" t="n">
        <v>0</v>
      </c>
      <c r="AGO37" s="20" t="n">
        <v>0</v>
      </c>
      <c r="AGP37" s="20" t="n">
        <v>0</v>
      </c>
      <c r="AGQ37" s="20" t="n">
        <v>0</v>
      </c>
      <c r="AGR37" s="20" t="n">
        <v>0</v>
      </c>
      <c r="AGS37" s="20" t="n">
        <v>0</v>
      </c>
      <c r="AGT37" s="20" t="n">
        <v>0</v>
      </c>
      <c r="AGU37" s="20" t="n">
        <v>0</v>
      </c>
      <c r="AGV37" s="20" t="n">
        <v>0</v>
      </c>
      <c r="AGW37" s="20" t="n">
        <v>0</v>
      </c>
      <c r="AGX37" s="20" t="n">
        <v>0</v>
      </c>
      <c r="AGY37" s="20" t="n">
        <v>0</v>
      </c>
      <c r="AGZ37" s="20" t="n">
        <v>0</v>
      </c>
      <c r="AHA37" s="20" t="n">
        <v>0</v>
      </c>
      <c r="AHB37" s="20" t="n">
        <v>0</v>
      </c>
      <c r="AHC37" s="20" t="n">
        <v>0</v>
      </c>
      <c r="AHD37" s="20" t="n">
        <v>0</v>
      </c>
      <c r="AHE37" s="20" t="n">
        <f aca="false">IF(AKR36&gt;0,AOE36-AOE36*TE37/AKR36,0)+0</f>
        <v>0</v>
      </c>
      <c r="AHF37" s="20" t="n">
        <f aca="false">IF(AKS36&gt;0,AOF36-AOF36*TF37/AKS36,0)+0</f>
        <v>0</v>
      </c>
      <c r="AHG37" s="20" t="n">
        <f aca="false">IF(AKT36&gt;0,AOG36-AOG36*TG37/AKT36,0)+0</f>
        <v>0</v>
      </c>
      <c r="AHH37" s="20" t="n">
        <f aca="false">IF(AKU36&gt;0,AOH36-AOH36*TH37/AKU36,0)+0</f>
        <v>0</v>
      </c>
      <c r="AHI37" s="20" t="n">
        <f aca="false">IF(AKV36&gt;0,AOI36-AOI36*TI37/AKV36,0)+0</f>
        <v>0</v>
      </c>
      <c r="AHJ37" s="20" t="n">
        <f aca="false">IF(AKW36&gt;0,AOJ36-AOJ36*TJ37/AKW36,0)+0</f>
        <v>0</v>
      </c>
      <c r="AHK37" s="20" t="n">
        <f aca="false">IF(AKX36&gt;0,AOK36-AOK36*TK37/AKX36,0)+0</f>
        <v>0</v>
      </c>
      <c r="AHL37" s="20" t="n">
        <f aca="false">IF(AKY36&gt;0,AOL36-AOL36*TL37/AKY36,0)+0</f>
        <v>0</v>
      </c>
      <c r="AHM37" s="20" t="n">
        <f aca="false">IF(AKZ36&gt;0,AOM36-AOM36*TM37/AKZ36,0)+0</f>
        <v>0</v>
      </c>
      <c r="AHN37" s="20" t="n">
        <f aca="false">IF(ALA36&gt;0,AON36-AON36*TN37/ALA36,0)+0</f>
        <v>0</v>
      </c>
      <c r="AHO37" s="20" t="n">
        <f aca="false">IF(ALB36&gt;0,AOO36-AOO36*TO37/ALB36,0)+0</f>
        <v>0</v>
      </c>
      <c r="AHP37" s="20" t="n">
        <f aca="false">IF(ALC36&gt;0,AOP36-AOP36*TP37/ALC36,0)+0</f>
        <v>825.068712866201</v>
      </c>
      <c r="AHQ37" s="20" t="n">
        <f aca="false">IF(ALD36&gt;0,AOQ36-AOQ36*TQ37/ALD36,0)+0</f>
        <v>1079.42659374892</v>
      </c>
      <c r="AHR37" s="20" t="n">
        <f aca="false">IF(ALE36&gt;0,AOR36-AOR36*TR37/ALE36,0)+0</f>
        <v>1343.44282050643</v>
      </c>
      <c r="AHS37" s="20" t="n">
        <f aca="false">IF(ALF36&gt;0,AOS36-AOS36*TS37/ALF36,0)+0</f>
        <v>1571.13689620916</v>
      </c>
      <c r="AHT37" s="20" t="n">
        <f aca="false">IF(ALG36&gt;0,AOT36-AOT36*TT37/ALG36,0)+0</f>
        <v>1279.11908128089</v>
      </c>
      <c r="AHU37" s="20" t="n">
        <f aca="false">IF(ALH36&gt;0,AOU36-AOU36*TU37/ALH36,0)+0</f>
        <v>1278.58873616899</v>
      </c>
      <c r="AHV37" s="20" t="n">
        <f aca="false">IF(ALI36&gt;0,AOV36-AOV36*TV37/ALI36,0)+0</f>
        <v>1277.26440235273</v>
      </c>
      <c r="AHW37" s="20" t="n">
        <f aca="false">IF(ALJ36&gt;0,AOW36-AOW36*TW37/ALJ36,0)+0</f>
        <v>4128.51485357413</v>
      </c>
      <c r="AHX37" s="20" t="n">
        <f aca="false">IF(ALK36&gt;0,AOX36-AOX36*TX37/ALK36,0)+0</f>
        <v>4211.08515064561</v>
      </c>
      <c r="AHY37" s="20" t="n">
        <f aca="false">IF(ALL36&gt;0,AOY36-AOY36*TY37/ALL36,0)+0</f>
        <v>4295.30685365853</v>
      </c>
      <c r="AHZ37" s="20" t="n">
        <f aca="false">IF(ALM36&gt;0,AOZ36-AOZ36*TZ37/ALM36,0)+0</f>
        <v>4381.21299073169</v>
      </c>
      <c r="AIA37" s="20" t="n">
        <f aca="false">IF(ALN36&gt;0,APA36-APA36*UA37/ALN36,0)+0</f>
        <v>4468.83725054633</v>
      </c>
      <c r="AIB37" s="20" t="n">
        <f aca="false">IF(ALO36&gt;0,APB36-APB36*UB37/ALO36,0)+0</f>
        <v>3710.35120986211</v>
      </c>
      <c r="AIC37" s="20" t="n">
        <f aca="false">IF(ALP36&gt;0,APC36-APC36*UC37/ALP36,0)+0</f>
        <v>3784.55823405936</v>
      </c>
      <c r="AID37" s="20" t="n">
        <f aca="false">IF(ALQ36&gt;0,APD36-APD36*UD37/ALQ36,0)+0</f>
        <v>3860.24939874054</v>
      </c>
      <c r="AIE37" s="20" t="n">
        <f aca="false">IF(ALR36&gt;0,APE36-APE36*UE37/ALR36,0)+0</f>
        <v>59564.0396053951</v>
      </c>
      <c r="AIF37" s="20" t="n">
        <f aca="false">IF(ALS36&gt;0,APF36-APF36*UF37/ALS36,0)+0</f>
        <v>0</v>
      </c>
      <c r="AIG37" s="20" t="n">
        <f aca="false">IF(ALT36&gt;0,APG36-APG36*UG37/ALT36,0)+0</f>
        <v>0</v>
      </c>
      <c r="AIH37" s="20" t="n">
        <f aca="false">IF(ALU36&gt;0,APH36-APH36*UH37/ALU36,0)+0</f>
        <v>1729.45769829184</v>
      </c>
      <c r="AII37" s="20" t="n">
        <f aca="false">IF((P37+S37)&gt;0,(P37+S37)-(P37+S37)*UI37/(P37+S37),0)+BE37</f>
        <v>0</v>
      </c>
      <c r="AIJ37" s="20" t="n">
        <v>0</v>
      </c>
      <c r="AIK37" s="20" t="n">
        <v>0</v>
      </c>
      <c r="AIL37" s="20" t="n">
        <v>0</v>
      </c>
      <c r="AIM37" s="20" t="n">
        <v>0</v>
      </c>
      <c r="AIN37" s="20" t="n">
        <v>0</v>
      </c>
      <c r="AIO37" s="20" t="n">
        <v>0</v>
      </c>
      <c r="AIP37" s="20" t="n">
        <v>0</v>
      </c>
      <c r="AIQ37" s="20" t="n">
        <v>0</v>
      </c>
      <c r="AIR37" s="20" t="n">
        <v>0</v>
      </c>
      <c r="AIS37" s="20" t="n">
        <v>0</v>
      </c>
      <c r="AIT37" s="20" t="n">
        <v>0</v>
      </c>
      <c r="AIU37" s="20" t="n">
        <v>0</v>
      </c>
      <c r="AIV37" s="20" t="n">
        <v>0</v>
      </c>
      <c r="AIW37" s="20" t="n">
        <v>0</v>
      </c>
      <c r="AIX37" s="20" t="n">
        <v>0</v>
      </c>
      <c r="AIY37" s="20" t="n">
        <v>0</v>
      </c>
      <c r="AIZ37" s="20" t="n">
        <v>0</v>
      </c>
      <c r="AJA37" s="20" t="n">
        <v>0</v>
      </c>
      <c r="AJB37" s="20" t="n">
        <v>0</v>
      </c>
      <c r="AJC37" s="20" t="n">
        <v>0</v>
      </c>
      <c r="AJD37" s="20" t="n">
        <v>0</v>
      </c>
      <c r="AJE37" s="20" t="n">
        <v>0</v>
      </c>
      <c r="AJF37" s="20" t="n">
        <v>0</v>
      </c>
      <c r="AJG37" s="20" t="n">
        <v>0</v>
      </c>
      <c r="AJH37" s="20" t="n">
        <v>0</v>
      </c>
      <c r="AJI37" s="20" t="n">
        <v>0</v>
      </c>
      <c r="AJJ37" s="20" t="n">
        <v>0</v>
      </c>
      <c r="AJK37" s="20" t="n">
        <v>0</v>
      </c>
      <c r="AJL37" s="20" t="n">
        <v>0</v>
      </c>
      <c r="AJM37" s="20" t="n">
        <v>0</v>
      </c>
      <c r="AJN37" s="20" t="n">
        <v>0</v>
      </c>
      <c r="AJO37" s="20" t="n">
        <v>0</v>
      </c>
      <c r="AJP37" s="20" t="n">
        <v>0</v>
      </c>
      <c r="AJQ37" s="20" t="n">
        <v>0</v>
      </c>
      <c r="AJR37" s="20" t="n">
        <v>0</v>
      </c>
      <c r="AJS37" s="20" t="n">
        <v>0</v>
      </c>
      <c r="AJT37" s="20" t="n">
        <v>0</v>
      </c>
      <c r="AJU37" s="20" t="n">
        <v>0</v>
      </c>
      <c r="AJV37" s="20" t="n">
        <v>0</v>
      </c>
      <c r="AJW37" s="20" t="n">
        <v>0</v>
      </c>
      <c r="AJX37" s="20" t="n">
        <v>0</v>
      </c>
      <c r="AJY37" s="20" t="n">
        <v>0</v>
      </c>
      <c r="AJZ37" s="20" t="n">
        <v>0</v>
      </c>
      <c r="AKA37" s="20" t="n">
        <v>0</v>
      </c>
      <c r="AKB37" s="20" t="n">
        <v>0</v>
      </c>
      <c r="AKC37" s="20" t="n">
        <v>0</v>
      </c>
      <c r="AKD37" s="20" t="n">
        <v>0</v>
      </c>
      <c r="AKE37" s="20" t="n">
        <v>0</v>
      </c>
      <c r="AKF37" s="20" t="n">
        <v>0</v>
      </c>
      <c r="AKG37" s="20" t="n">
        <v>0</v>
      </c>
      <c r="AKH37" s="20" t="n">
        <v>0</v>
      </c>
      <c r="AKI37" s="20" t="n">
        <v>0</v>
      </c>
      <c r="AKJ37" s="20" t="n">
        <v>0</v>
      </c>
      <c r="AKK37" s="20" t="n">
        <v>0</v>
      </c>
      <c r="AKL37" s="20" t="n">
        <v>0</v>
      </c>
      <c r="AKM37" s="20" t="n">
        <v>0</v>
      </c>
      <c r="AKN37" s="20" t="n">
        <v>0</v>
      </c>
      <c r="AKO37" s="20" t="n">
        <v>0</v>
      </c>
      <c r="AKP37" s="20" t="n">
        <v>0</v>
      </c>
      <c r="AKQ37" s="20" t="n">
        <v>0</v>
      </c>
      <c r="AKR37" s="20" t="n">
        <f aca="false">ADR37-AVE37</f>
        <v>0</v>
      </c>
      <c r="AKS37" s="20" t="n">
        <f aca="false">ADS37-AVF37</f>
        <v>0</v>
      </c>
      <c r="AKT37" s="20" t="n">
        <f aca="false">ADT37-AVG37</f>
        <v>0</v>
      </c>
      <c r="AKU37" s="20" t="n">
        <f aca="false">ADU37-AVH37</f>
        <v>0</v>
      </c>
      <c r="AKV37" s="20" t="n">
        <f aca="false">ADV37-AVI37</f>
        <v>0</v>
      </c>
      <c r="AKW37" s="20" t="n">
        <f aca="false">ADW37-AVJ37</f>
        <v>0</v>
      </c>
      <c r="AKX37" s="20" t="n">
        <f aca="false">ADX37-AVK37</f>
        <v>0</v>
      </c>
      <c r="AKY37" s="20" t="n">
        <f aca="false">ADY37-AVL37</f>
        <v>0</v>
      </c>
      <c r="AKZ37" s="20" t="n">
        <f aca="false">ADZ37-AVM37</f>
        <v>0</v>
      </c>
      <c r="ALA37" s="20" t="n">
        <f aca="false">AEA37-AVN37</f>
        <v>0</v>
      </c>
      <c r="ALB37" s="20" t="n">
        <f aca="false">AEB37-AVO37</f>
        <v>0</v>
      </c>
      <c r="ALC37" s="20" t="n">
        <f aca="false">AEC37-AVP37</f>
        <v>965.213696334707</v>
      </c>
      <c r="ALD37" s="20" t="n">
        <f aca="false">AED37-AVQ37</f>
        <v>1214.20811595079</v>
      </c>
      <c r="ALE37" s="20" t="n">
        <f aca="false">AEE37-AVR37</f>
        <v>1453.06775465976</v>
      </c>
      <c r="ALF37" s="20" t="n">
        <f aca="false">AEF37-AVS37</f>
        <v>1633.98237205753</v>
      </c>
      <c r="ALG37" s="20" t="n">
        <f aca="false">AEG37-AVT37</f>
        <v>1571.41417846952</v>
      </c>
      <c r="ALH37" s="20" t="n">
        <f aca="false">AEH37-AVU37</f>
        <v>1682.53555049777</v>
      </c>
      <c r="ALI37" s="20" t="n">
        <f aca="false">AEI37-AVV37</f>
        <v>1616.14693994484</v>
      </c>
      <c r="ALJ37" s="20" t="n">
        <f aca="false">AEJ37-AVW37</f>
        <v>5022.96957920248</v>
      </c>
      <c r="ALK37" s="20" t="n">
        <f aca="false">AEK37-AVX37</f>
        <v>4926.37401037166</v>
      </c>
      <c r="ALL37" s="20" t="n">
        <f aca="false">AEL37-AVY37</f>
        <v>4831.63604863375</v>
      </c>
      <c r="ALM37" s="20" t="n">
        <f aca="false">AEM37-AVZ37</f>
        <v>4738.7199707754</v>
      </c>
      <c r="ALN37" s="20" t="n">
        <f aca="false">AEN37-AWA37</f>
        <v>4647.59074056818</v>
      </c>
      <c r="ALO37" s="20" t="n">
        <f aca="false">AEO37-AWB37</f>
        <v>4558.21399555725</v>
      </c>
      <c r="ALP37" s="20" t="n">
        <f aca="false">AEP37-AWC37</f>
        <v>4980.22045056738</v>
      </c>
      <c r="ALQ37" s="20" t="n">
        <f aca="false">AEQ37-AWD37</f>
        <v>4884.44698036416</v>
      </c>
      <c r="ALR37" s="20" t="n">
        <f aca="false">AER37-AWE37</f>
        <v>72468.7616645725</v>
      </c>
      <c r="ALS37" s="20" t="n">
        <f aca="false">AES37-AWF37</f>
        <v>0</v>
      </c>
      <c r="ALT37" s="20" t="n">
        <f aca="false">AET37-AWG37</f>
        <v>0</v>
      </c>
      <c r="ALU37" s="20" t="n">
        <f aca="false">AEU37-AWH37</f>
        <v>1870.58144647246</v>
      </c>
      <c r="ALV37" s="20" t="n">
        <f aca="false">AEV37-AWI37</f>
        <v>0</v>
      </c>
      <c r="ALW37" s="20" t="n">
        <v>0</v>
      </c>
      <c r="ALX37" s="20" t="n">
        <v>0</v>
      </c>
      <c r="ALY37" s="20" t="n">
        <v>0</v>
      </c>
      <c r="ALZ37" s="20" t="n">
        <v>0</v>
      </c>
      <c r="AMA37" s="20" t="n">
        <v>0</v>
      </c>
      <c r="AMB37" s="20" t="n">
        <v>0</v>
      </c>
      <c r="AMC37" s="20" t="n">
        <v>0</v>
      </c>
      <c r="AMD37" s="20" t="n">
        <v>0</v>
      </c>
      <c r="AME37" s="20" t="n">
        <v>0</v>
      </c>
      <c r="AMF37" s="20" t="n">
        <v>0</v>
      </c>
      <c r="AMG37" s="20" t="n">
        <v>0</v>
      </c>
      <c r="AMH37" s="20" t="n">
        <v>0</v>
      </c>
      <c r="AMI37" s="20" t="n">
        <v>0</v>
      </c>
      <c r="AMJ37" s="20" t="n">
        <v>0</v>
      </c>
      <c r="AMK37" s="20" t="n">
        <v>0</v>
      </c>
      <c r="AML37" s="20" t="n">
        <v>0</v>
      </c>
      <c r="AMM37" s="20" t="n">
        <v>0</v>
      </c>
      <c r="AMN37" s="20" t="n">
        <v>0</v>
      </c>
      <c r="AMO37" s="20" t="n">
        <v>0</v>
      </c>
      <c r="AMP37" s="20" t="n">
        <v>0</v>
      </c>
      <c r="AMQ37" s="20" t="n">
        <v>0</v>
      </c>
      <c r="AMR37" s="20" t="n">
        <v>0</v>
      </c>
      <c r="AMS37" s="20" t="n">
        <v>0</v>
      </c>
      <c r="AMT37" s="20" t="n">
        <v>0</v>
      </c>
      <c r="AMU37" s="20" t="n">
        <v>0</v>
      </c>
      <c r="AMV37" s="20" t="n">
        <v>0</v>
      </c>
      <c r="AMW37" s="20" t="n">
        <v>0</v>
      </c>
      <c r="AMX37" s="20" t="n">
        <v>0</v>
      </c>
      <c r="AMY37" s="20" t="n">
        <v>0</v>
      </c>
      <c r="AMZ37" s="20" t="n">
        <v>0</v>
      </c>
      <c r="ANA37" s="20" t="n">
        <v>0</v>
      </c>
      <c r="ANB37" s="20" t="n">
        <v>0</v>
      </c>
      <c r="ANC37" s="20" t="n">
        <v>0</v>
      </c>
      <c r="AND37" s="20" t="n">
        <v>0</v>
      </c>
      <c r="ANE37" s="20" t="n">
        <v>0</v>
      </c>
      <c r="ANF37" s="20" t="n">
        <v>0</v>
      </c>
      <c r="ANG37" s="20" t="n">
        <v>0</v>
      </c>
      <c r="ANH37" s="20" t="n">
        <v>0</v>
      </c>
      <c r="ANI37" s="20" t="n">
        <v>0</v>
      </c>
      <c r="ANJ37" s="20" t="n">
        <v>0</v>
      </c>
      <c r="ANK37" s="20" t="n">
        <v>0</v>
      </c>
      <c r="ANL37" s="20" t="n">
        <v>0</v>
      </c>
      <c r="ANM37" s="20" t="n">
        <v>0</v>
      </c>
      <c r="ANN37" s="20" t="n">
        <v>0</v>
      </c>
      <c r="ANO37" s="20" t="n">
        <v>0</v>
      </c>
      <c r="ANP37" s="20" t="n">
        <v>0</v>
      </c>
      <c r="ANQ37" s="20" t="n">
        <v>0</v>
      </c>
      <c r="ANR37" s="20" t="n">
        <v>0</v>
      </c>
      <c r="ANS37" s="20" t="n">
        <v>0</v>
      </c>
      <c r="ANT37" s="20" t="n">
        <v>0</v>
      </c>
      <c r="ANU37" s="20" t="n">
        <v>0</v>
      </c>
      <c r="ANV37" s="20" t="n">
        <v>0</v>
      </c>
      <c r="ANW37" s="20" t="n">
        <v>0</v>
      </c>
      <c r="ANX37" s="20" t="n">
        <v>0</v>
      </c>
      <c r="ANY37" s="20" t="n">
        <v>0</v>
      </c>
      <c r="ANZ37" s="20" t="n">
        <v>0</v>
      </c>
      <c r="AOA37" s="20" t="n">
        <v>0</v>
      </c>
      <c r="AOB37" s="20" t="n">
        <v>0</v>
      </c>
      <c r="AOC37" s="20" t="n">
        <v>0</v>
      </c>
      <c r="AOD37" s="20" t="n">
        <v>0</v>
      </c>
      <c r="AOE37" s="20" t="n">
        <f aca="false">IF(AND(H_Direct=0,H_TaxEvt=1,ARR36+1&gt;=H_Deemed),AKR37,AHE37)</f>
        <v>0</v>
      </c>
      <c r="AOF37" s="20" t="n">
        <f aca="false">IF(AND(H_Direct=0,H_TaxEvt=1,ARS36+1&gt;=H_Deemed),AKS37,AHF37)</f>
        <v>0</v>
      </c>
      <c r="AOG37" s="20" t="n">
        <f aca="false">IF(AND(H_Direct=0,H_TaxEvt=1,ART36+1&gt;=H_Deemed),AKT37,AHG37)</f>
        <v>0</v>
      </c>
      <c r="AOH37" s="20" t="n">
        <f aca="false">IF(AND(H_Direct=0,H_TaxEvt=1,ARU36+1&gt;=H_Deemed),AKU37,AHH37)</f>
        <v>0</v>
      </c>
      <c r="AOI37" s="20" t="n">
        <f aca="false">IF(AND(H_Direct=0,H_TaxEvt=1,ARV36+1&gt;=H_Deemed),AKV37,AHI37)</f>
        <v>0</v>
      </c>
      <c r="AOJ37" s="20" t="n">
        <f aca="false">IF(AND(H_Direct=0,H_TaxEvt=1,ARW36+1&gt;=H_Deemed),AKW37,AHJ37)</f>
        <v>0</v>
      </c>
      <c r="AOK37" s="20" t="n">
        <f aca="false">IF(AND(H_Direct=0,H_TaxEvt=1,ARX36+1&gt;=H_Deemed),AKX37,AHK37)</f>
        <v>0</v>
      </c>
      <c r="AOL37" s="20" t="n">
        <f aca="false">IF(AND(H_Direct=0,H_TaxEvt=1,ARY36+1&gt;=H_Deemed),AKY37,AHL37)</f>
        <v>0</v>
      </c>
      <c r="AOM37" s="20" t="n">
        <f aca="false">IF(AND(H_Direct=0,H_TaxEvt=1,ARZ36+1&gt;=H_Deemed),AKZ37,AHM37)</f>
        <v>0</v>
      </c>
      <c r="AON37" s="20" t="n">
        <f aca="false">IF(AND(H_Direct=0,H_TaxEvt=1,ASA36+1&gt;=H_Deemed),ALA37,AHN37)</f>
        <v>0</v>
      </c>
      <c r="AOO37" s="20" t="n">
        <f aca="false">IF(AND(H_Direct=0,H_TaxEvt=1,ASB36+1&gt;=H_Deemed),ALB37,AHO37)</f>
        <v>0</v>
      </c>
      <c r="AOP37" s="20" t="n">
        <f aca="false">IF(AND(H_Direct=0,H_TaxEvt=1,ASC36+1&gt;=H_Deemed),ALC37,AHP37)</f>
        <v>825.068712866201</v>
      </c>
      <c r="AOQ37" s="20" t="n">
        <f aca="false">IF(AND(H_Direct=0,H_TaxEvt=1,ASD36+1&gt;=H_Deemed),ALD37,AHQ37)</f>
        <v>1079.42659374892</v>
      </c>
      <c r="AOR37" s="20" t="n">
        <f aca="false">IF(AND(H_Direct=0,H_TaxEvt=1,ASE36+1&gt;=H_Deemed),ALE37,AHR37)</f>
        <v>1343.44282050643</v>
      </c>
      <c r="AOS37" s="20" t="n">
        <f aca="false">IF(AND(H_Direct=0,H_TaxEvt=1,ASF36+1&gt;=H_Deemed),ALF37,AHS37)</f>
        <v>1571.13689620916</v>
      </c>
      <c r="AOT37" s="20" t="n">
        <f aca="false">IF(AND(H_Direct=0,H_TaxEvt=1,ASG36+1&gt;=H_Deemed),ALG37,AHT37)</f>
        <v>1571.41417846952</v>
      </c>
      <c r="AOU37" s="20" t="n">
        <f aca="false">IF(AND(H_Direct=0,H_TaxEvt=1,ASH36+1&gt;=H_Deemed),ALH37,AHU37)</f>
        <v>1278.58873616899</v>
      </c>
      <c r="AOV37" s="20" t="n">
        <f aca="false">IF(AND(H_Direct=0,H_TaxEvt=1,ASI36+1&gt;=H_Deemed),ALI37,AHV37)</f>
        <v>1277.26440235273</v>
      </c>
      <c r="AOW37" s="20" t="n">
        <f aca="false">IF(AND(H_Direct=0,H_TaxEvt=1,ASJ36+1&gt;=H_Deemed),ALJ37,AHW37)</f>
        <v>4128.51485357413</v>
      </c>
      <c r="AOX37" s="20" t="n">
        <f aca="false">IF(AND(H_Direct=0,H_TaxEvt=1,ASK36+1&gt;=H_Deemed),ALK37,AHX37)</f>
        <v>4211.08515064561</v>
      </c>
      <c r="AOY37" s="20" t="n">
        <f aca="false">IF(AND(H_Direct=0,H_TaxEvt=1,ASL36+1&gt;=H_Deemed),ALL37,AHY37)</f>
        <v>4295.30685365853</v>
      </c>
      <c r="AOZ37" s="20" t="n">
        <f aca="false">IF(AND(H_Direct=0,H_TaxEvt=1,ASM36+1&gt;=H_Deemed),ALM37,AHZ37)</f>
        <v>4381.21299073169</v>
      </c>
      <c r="APA37" s="20" t="n">
        <f aca="false">IF(AND(H_Direct=0,H_TaxEvt=1,ASN36+1&gt;=H_Deemed),ALN37,AIA37)</f>
        <v>4468.83725054633</v>
      </c>
      <c r="APB37" s="20" t="n">
        <f aca="false">IF(AND(H_Direct=0,H_TaxEvt=1,ASO36+1&gt;=H_Deemed),ALO37,AIB37)</f>
        <v>4558.21399555725</v>
      </c>
      <c r="APC37" s="20" t="n">
        <f aca="false">IF(AND(H_Direct=0,H_TaxEvt=1,ASP36+1&gt;=H_Deemed),ALP37,AIC37)</f>
        <v>3784.55823405936</v>
      </c>
      <c r="APD37" s="20" t="n">
        <f aca="false">IF(AND(H_Direct=0,H_TaxEvt=1,ASQ36+1&gt;=H_Deemed),ALQ37,AID37)</f>
        <v>3860.24939874054</v>
      </c>
      <c r="APE37" s="20" t="n">
        <f aca="false">IF(AND(H_Direct=0,H_TaxEvt=1,ASR36+1&gt;=H_Deemed),ALR37,AIE37)</f>
        <v>59564.0396053951</v>
      </c>
      <c r="APF37" s="20" t="n">
        <f aca="false">IF(AND(H_Direct=0,H_TaxEvt=1,ASS36+1&gt;=H_Deemed),ALS37,AIF37)</f>
        <v>0</v>
      </c>
      <c r="APG37" s="20" t="n">
        <f aca="false">IF(AND(H_Direct=0,H_TaxEvt=1,AST36+1&gt;=H_Deemed),ALT37,AIG37)</f>
        <v>0</v>
      </c>
      <c r="APH37" s="20" t="n">
        <f aca="false">IF(AND(H_Direct=0,H_TaxEvt=1,ASU36+1&gt;=H_Deemed),ALU37,AIH37)</f>
        <v>1729.45769829184</v>
      </c>
      <c r="API37" s="20" t="n">
        <f aca="false">IF(AND(H_Direct=0,H_TaxEvt=1,0+1&gt;=H_Deemed),ALV37,AII37)</f>
        <v>0</v>
      </c>
      <c r="APJ37" s="20" t="n">
        <v>0</v>
      </c>
      <c r="APK37" s="20" t="n">
        <v>0</v>
      </c>
      <c r="APL37" s="20" t="n">
        <v>0</v>
      </c>
      <c r="APM37" s="20" t="n">
        <v>0</v>
      </c>
      <c r="APN37" s="20" t="n">
        <v>0</v>
      </c>
      <c r="APO37" s="20" t="n">
        <v>0</v>
      </c>
      <c r="APP37" s="20" t="n">
        <v>0</v>
      </c>
      <c r="APQ37" s="20" t="n">
        <v>0</v>
      </c>
      <c r="APR37" s="20" t="n">
        <v>0</v>
      </c>
      <c r="APS37" s="20" t="n">
        <v>0</v>
      </c>
      <c r="APT37" s="20" t="n">
        <v>0</v>
      </c>
      <c r="APU37" s="20" t="n">
        <v>0</v>
      </c>
      <c r="APV37" s="20" t="n">
        <v>0</v>
      </c>
      <c r="APW37" s="20" t="n">
        <v>0</v>
      </c>
      <c r="APX37" s="20" t="n">
        <v>0</v>
      </c>
      <c r="APY37" s="20" t="n">
        <v>0</v>
      </c>
      <c r="APZ37" s="20" t="n">
        <v>0</v>
      </c>
      <c r="AQA37" s="20" t="n">
        <v>0</v>
      </c>
      <c r="AQB37" s="20" t="n">
        <v>0</v>
      </c>
      <c r="AQC37" s="20" t="n">
        <v>0</v>
      </c>
      <c r="AQD37" s="20" t="n">
        <v>0</v>
      </c>
      <c r="AQE37" s="20" t="n">
        <v>0</v>
      </c>
      <c r="AQF37" s="20" t="n">
        <v>0</v>
      </c>
      <c r="AQG37" s="20" t="n">
        <v>0</v>
      </c>
      <c r="AQH37" s="20" t="n">
        <v>0</v>
      </c>
      <c r="AQI37" s="20" t="n">
        <v>0</v>
      </c>
      <c r="AQJ37" s="20" t="n">
        <v>0</v>
      </c>
      <c r="AQK37" s="20" t="n">
        <v>0</v>
      </c>
      <c r="AQL37" s="20" t="n">
        <v>0</v>
      </c>
      <c r="AQM37" s="20" t="n">
        <v>0</v>
      </c>
      <c r="AQN37" s="20" t="n">
        <v>0</v>
      </c>
      <c r="AQO37" s="20" t="n">
        <v>0</v>
      </c>
      <c r="AQP37" s="20" t="n">
        <v>0</v>
      </c>
      <c r="AQQ37" s="20" t="n">
        <v>0</v>
      </c>
      <c r="AQR37" s="20" t="n">
        <v>0</v>
      </c>
      <c r="AQS37" s="20" t="n">
        <v>0</v>
      </c>
      <c r="AQT37" s="20" t="n">
        <v>0</v>
      </c>
      <c r="AQU37" s="20" t="n">
        <v>0</v>
      </c>
      <c r="AQV37" s="20" t="n">
        <v>0</v>
      </c>
      <c r="AQW37" s="20" t="n">
        <v>0</v>
      </c>
      <c r="AQX37" s="20" t="n">
        <v>0</v>
      </c>
      <c r="AQY37" s="20" t="n">
        <v>0</v>
      </c>
      <c r="AQZ37" s="20" t="n">
        <v>0</v>
      </c>
      <c r="ARA37" s="20" t="n">
        <v>0</v>
      </c>
      <c r="ARB37" s="20" t="n">
        <v>0</v>
      </c>
      <c r="ARC37" s="20" t="n">
        <v>0</v>
      </c>
      <c r="ARD37" s="20" t="n">
        <v>0</v>
      </c>
      <c r="ARE37" s="20" t="n">
        <v>0</v>
      </c>
      <c r="ARF37" s="20" t="n">
        <v>0</v>
      </c>
      <c r="ARG37" s="20" t="n">
        <v>0</v>
      </c>
      <c r="ARH37" s="20" t="n">
        <v>0</v>
      </c>
      <c r="ARI37" s="20" t="n">
        <v>0</v>
      </c>
      <c r="ARJ37" s="20" t="n">
        <v>0</v>
      </c>
      <c r="ARK37" s="20" t="n">
        <v>0</v>
      </c>
      <c r="ARL37" s="20" t="n">
        <v>0</v>
      </c>
      <c r="ARM37" s="20" t="n">
        <v>0</v>
      </c>
      <c r="ARN37" s="20" t="n">
        <v>0</v>
      </c>
      <c r="ARO37" s="20" t="n">
        <v>0</v>
      </c>
      <c r="ARP37" s="20" t="n">
        <v>0</v>
      </c>
      <c r="ARQ37" s="20" t="n">
        <v>0</v>
      </c>
      <c r="ARR37" s="20" t="n">
        <f aca="false">IF(AND(H_Direct=0,H_TaxEvt=1),IF(ARR36+1&gt;=H_Deemed,0,ARR36+1),ARR36)</f>
        <v>6</v>
      </c>
      <c r="ARS37" s="20" t="n">
        <f aca="false">IF(AND(H_Direct=0,H_TaxEvt=1),IF(ARS36+1&gt;=H_Deemed,0,ARS36+1),ARS36)</f>
        <v>6</v>
      </c>
      <c r="ART37" s="20" t="n">
        <f aca="false">IF(AND(H_Direct=0,H_TaxEvt=1),IF(ART36+1&gt;=H_Deemed,0,ART36+1),ART36)</f>
        <v>5</v>
      </c>
      <c r="ARU37" s="20" t="n">
        <f aca="false">IF(AND(H_Direct=0,H_TaxEvt=1),IF(ARU36+1&gt;=H_Deemed,0,ARU36+1),ARU36)</f>
        <v>4</v>
      </c>
      <c r="ARV37" s="20" t="n">
        <f aca="false">IF(AND(H_Direct=0,H_TaxEvt=1),IF(ARV36+1&gt;=H_Deemed,0,ARV36+1),ARV36)</f>
        <v>3</v>
      </c>
      <c r="ARW37" s="20" t="n">
        <f aca="false">IF(AND(H_Direct=0,H_TaxEvt=1),IF(ARW36+1&gt;=H_Deemed,0,ARW36+1),ARW36)</f>
        <v>2</v>
      </c>
      <c r="ARX37" s="20" t="n">
        <f aca="false">IF(AND(H_Direct=0,H_TaxEvt=1),IF(ARX36+1&gt;=H_Deemed,0,ARX36+1),ARX36)</f>
        <v>1</v>
      </c>
      <c r="ARY37" s="20" t="n">
        <f aca="false">IF(AND(H_Direct=0,H_TaxEvt=1),IF(ARY36+1&gt;=H_Deemed,0,ARY36+1),ARY36)</f>
        <v>0</v>
      </c>
      <c r="ARZ37" s="20" t="n">
        <f aca="false">IF(AND(H_Direct=0,H_TaxEvt=1),IF(ARZ36+1&gt;=H_Deemed,0,ARZ36+1),ARZ36)</f>
        <v>7</v>
      </c>
      <c r="ASA37" s="20" t="n">
        <f aca="false">IF(AND(H_Direct=0,H_TaxEvt=1),IF(ASA36+1&gt;=H_Deemed,0,ASA36+1),ASA36)</f>
        <v>6</v>
      </c>
      <c r="ASB37" s="20" t="n">
        <f aca="false">IF(AND(H_Direct=0,H_TaxEvt=1),IF(ASB36+1&gt;=H_Deemed,0,ASB36+1),ASB36)</f>
        <v>5</v>
      </c>
      <c r="ASC37" s="20" t="n">
        <f aca="false">IF(AND(H_Direct=0,H_TaxEvt=1),IF(ASC36+1&gt;=H_Deemed,0,ASC36+1),ASC36)</f>
        <v>4</v>
      </c>
      <c r="ASD37" s="20" t="n">
        <f aca="false">IF(AND(H_Direct=0,H_TaxEvt=1),IF(ASD36+1&gt;=H_Deemed,0,ASD36+1),ASD36)</f>
        <v>3</v>
      </c>
      <c r="ASE37" s="20" t="n">
        <f aca="false">IF(AND(H_Direct=0,H_TaxEvt=1),IF(ASE36+1&gt;=H_Deemed,0,ASE36+1),ASE36)</f>
        <v>2</v>
      </c>
      <c r="ASF37" s="20" t="n">
        <f aca="false">IF(AND(H_Direct=0,H_TaxEvt=1),IF(ASF36+1&gt;=H_Deemed,0,ASF36+1),ASF36)</f>
        <v>1</v>
      </c>
      <c r="ASG37" s="20" t="n">
        <f aca="false">IF(AND(H_Direct=0,H_TaxEvt=1),IF(ASG36+1&gt;=H_Deemed,0,ASG36+1),ASG36)</f>
        <v>0</v>
      </c>
      <c r="ASH37" s="20" t="n">
        <f aca="false">IF(AND(H_Direct=0,H_TaxEvt=1),IF(ASH36+1&gt;=H_Deemed,0,ASH36+1),ASH36)</f>
        <v>7</v>
      </c>
      <c r="ASI37" s="20" t="n">
        <f aca="false">IF(AND(H_Direct=0,H_TaxEvt=1),IF(ASI36+1&gt;=H_Deemed,0,ASI36+1),ASI36)</f>
        <v>6</v>
      </c>
      <c r="ASJ37" s="20" t="n">
        <f aca="false">IF(AND(H_Direct=0,H_TaxEvt=1),IF(ASJ36+1&gt;=H_Deemed,0,ASJ36+1),ASJ36)</f>
        <v>5</v>
      </c>
      <c r="ASK37" s="20" t="n">
        <f aca="false">IF(AND(H_Direct=0,H_TaxEvt=1),IF(ASK36+1&gt;=H_Deemed,0,ASK36+1),ASK36)</f>
        <v>4</v>
      </c>
      <c r="ASL37" s="20" t="n">
        <f aca="false">IF(AND(H_Direct=0,H_TaxEvt=1),IF(ASL36+1&gt;=H_Deemed,0,ASL36+1),ASL36)</f>
        <v>3</v>
      </c>
      <c r="ASM37" s="20" t="n">
        <f aca="false">IF(AND(H_Direct=0,H_TaxEvt=1),IF(ASM36+1&gt;=H_Deemed,0,ASM36+1),ASM36)</f>
        <v>2</v>
      </c>
      <c r="ASN37" s="20" t="n">
        <f aca="false">IF(AND(H_Direct=0,H_TaxEvt=1),IF(ASN36+1&gt;=H_Deemed,0,ASN36+1),ASN36)</f>
        <v>1</v>
      </c>
      <c r="ASO37" s="20" t="n">
        <f aca="false">IF(AND(H_Direct=0,H_TaxEvt=1),IF(ASO36+1&gt;=H_Deemed,0,ASO36+1),ASO36)</f>
        <v>0</v>
      </c>
      <c r="ASP37" s="20" t="n">
        <f aca="false">IF(AND(H_Direct=0,H_TaxEvt=1),IF(ASP36+1&gt;=H_Deemed,0,ASP36+1),ASP36)</f>
        <v>7</v>
      </c>
      <c r="ASQ37" s="20" t="n">
        <f aca="false">IF(AND(H_Direct=0,H_TaxEvt=1),IF(ASQ36+1&gt;=H_Deemed,0,ASQ36+1),ASQ36)</f>
        <v>6</v>
      </c>
      <c r="ASR37" s="20" t="n">
        <f aca="false">IF(AND(H_Direct=0,H_TaxEvt=1),IF(ASR36+1&gt;=H_Deemed,0,ASR36+1),ASR36)</f>
        <v>5</v>
      </c>
      <c r="ASS37" s="20" t="n">
        <f aca="false">IF(AND(H_Direct=0,H_TaxEvt=1),IF(ASS36+1&gt;=H_Deemed,0,ASS36+1),ASS36)</f>
        <v>4</v>
      </c>
      <c r="AST37" s="20" t="n">
        <f aca="false">IF(AND(H_Direct=0,H_TaxEvt=1),IF(AST36+1&gt;=H_Deemed,0,AST36+1),AST36)</f>
        <v>3</v>
      </c>
      <c r="ASU37" s="20" t="n">
        <f aca="false">IF(AND(H_Direct=0,H_TaxEvt=1),IF(ASU36+1&gt;=H_Deemed,0,ASU36+1),ASU36)</f>
        <v>2</v>
      </c>
      <c r="ASV37" s="20" t="n">
        <f aca="false">IF(AND(H_Direct=0,H_TaxEvt=1),IF(0+1&gt;=H_Deemed,0,0+1),0)</f>
        <v>1</v>
      </c>
      <c r="ASW37" s="20" t="n">
        <v>0</v>
      </c>
      <c r="ASX37" s="20" t="n">
        <v>0</v>
      </c>
      <c r="ASY37" s="20" t="n">
        <v>0</v>
      </c>
      <c r="ASZ37" s="20" t="n">
        <v>0</v>
      </c>
      <c r="ATA37" s="20" t="n">
        <v>0</v>
      </c>
      <c r="ATB37" s="20" t="n">
        <v>0</v>
      </c>
      <c r="ATC37" s="20" t="n">
        <v>0</v>
      </c>
      <c r="ATD37" s="20" t="n">
        <v>0</v>
      </c>
      <c r="ATE37" s="20" t="n">
        <v>0</v>
      </c>
      <c r="ATF37" s="20" t="n">
        <v>0</v>
      </c>
      <c r="ATG37" s="20" t="n">
        <v>0</v>
      </c>
      <c r="ATH37" s="20" t="n">
        <v>0</v>
      </c>
      <c r="ATI37" s="20" t="n">
        <v>0</v>
      </c>
      <c r="ATJ37" s="20" t="n">
        <v>0</v>
      </c>
      <c r="ATK37" s="20" t="n">
        <v>0</v>
      </c>
      <c r="ATL37" s="20" t="n">
        <v>0</v>
      </c>
      <c r="ATM37" s="20" t="n">
        <v>0</v>
      </c>
      <c r="ATN37" s="20" t="n">
        <v>0</v>
      </c>
      <c r="ATO37" s="20" t="n">
        <v>0</v>
      </c>
      <c r="ATP37" s="20" t="n">
        <v>0</v>
      </c>
      <c r="ATQ37" s="20" t="n">
        <v>0</v>
      </c>
      <c r="ATR37" s="20" t="n">
        <v>0</v>
      </c>
      <c r="ATS37" s="20" t="n">
        <v>0</v>
      </c>
      <c r="ATT37" s="20" t="n">
        <v>0</v>
      </c>
      <c r="ATU37" s="20" t="n">
        <v>0</v>
      </c>
      <c r="ATV37" s="20" t="n">
        <v>0</v>
      </c>
      <c r="ATW37" s="20" t="n">
        <v>0</v>
      </c>
      <c r="ATX37" s="20" t="n">
        <v>0</v>
      </c>
      <c r="ATY37" s="20" t="n">
        <v>0</v>
      </c>
      <c r="ATZ37" s="20" t="n">
        <v>0</v>
      </c>
      <c r="AUA37" s="20" t="n">
        <v>0</v>
      </c>
      <c r="AUB37" s="20" t="n">
        <v>0</v>
      </c>
      <c r="AUC37" s="20" t="n">
        <v>0</v>
      </c>
      <c r="AUD37" s="20" t="n">
        <v>0</v>
      </c>
      <c r="AUE37" s="20" t="n">
        <v>0</v>
      </c>
      <c r="AUF37" s="20" t="n">
        <v>0</v>
      </c>
      <c r="AUG37" s="20" t="n">
        <v>0</v>
      </c>
      <c r="AUH37" s="20" t="n">
        <v>0</v>
      </c>
      <c r="AUI37" s="20" t="n">
        <v>0</v>
      </c>
      <c r="AUJ37" s="20" t="n">
        <v>0</v>
      </c>
      <c r="AUK37" s="20" t="n">
        <v>0</v>
      </c>
      <c r="AUL37" s="20" t="n">
        <v>0</v>
      </c>
      <c r="AUM37" s="20" t="n">
        <v>0</v>
      </c>
      <c r="AUN37" s="20" t="n">
        <v>0</v>
      </c>
      <c r="AUO37" s="20" t="n">
        <v>0</v>
      </c>
      <c r="AUP37" s="20" t="n">
        <v>0</v>
      </c>
      <c r="AUQ37" s="20" t="n">
        <v>0</v>
      </c>
      <c r="AUR37" s="20" t="n">
        <v>0</v>
      </c>
      <c r="AUS37" s="20" t="n">
        <v>0</v>
      </c>
      <c r="AUT37" s="20" t="n">
        <v>0</v>
      </c>
      <c r="AUU37" s="20" t="n">
        <v>0</v>
      </c>
      <c r="AUV37" s="20" t="n">
        <v>0</v>
      </c>
      <c r="AUW37" s="20" t="n">
        <v>0</v>
      </c>
      <c r="AUX37" s="20" t="n">
        <v>0</v>
      </c>
      <c r="AUY37" s="20" t="n">
        <v>0</v>
      </c>
      <c r="AUZ37" s="20" t="n">
        <v>0</v>
      </c>
      <c r="AVA37" s="20" t="n">
        <v>0</v>
      </c>
      <c r="AVB37" s="20" t="n">
        <v>0</v>
      </c>
      <c r="AVC37" s="20" t="n">
        <v>0</v>
      </c>
      <c r="AVD37" s="20" t="n">
        <v>0</v>
      </c>
      <c r="AVE37" s="20" t="n">
        <f aca="false">IF(AND(H_Direct=0,H_TaxEvt=1,ARR36+1&gt;=H_Deemed),MAX(0,ADR37-AHE37)*H_Exit,0)</f>
        <v>0</v>
      </c>
      <c r="AVF37" s="20" t="n">
        <f aca="false">IF(AND(H_Direct=0,H_TaxEvt=1,ARS36+1&gt;=H_Deemed),MAX(0,ADS37-AHF37)*H_Exit,0)</f>
        <v>0</v>
      </c>
      <c r="AVG37" s="20" t="n">
        <f aca="false">IF(AND(H_Direct=0,H_TaxEvt=1,ART36+1&gt;=H_Deemed),MAX(0,ADT37-AHG37)*H_Exit,0)</f>
        <v>0</v>
      </c>
      <c r="AVH37" s="20" t="n">
        <f aca="false">IF(AND(H_Direct=0,H_TaxEvt=1,ARU36+1&gt;=H_Deemed),MAX(0,ADU37-AHH37)*H_Exit,0)</f>
        <v>0</v>
      </c>
      <c r="AVI37" s="20" t="n">
        <f aca="false">IF(AND(H_Direct=0,H_TaxEvt=1,ARV36+1&gt;=H_Deemed),MAX(0,ADV37-AHI37)*H_Exit,0)</f>
        <v>0</v>
      </c>
      <c r="AVJ37" s="20" t="n">
        <f aca="false">IF(AND(H_Direct=0,H_TaxEvt=1,ARW36+1&gt;=H_Deemed),MAX(0,ADW37-AHJ37)*H_Exit,0)</f>
        <v>0</v>
      </c>
      <c r="AVK37" s="20" t="n">
        <f aca="false">IF(AND(H_Direct=0,H_TaxEvt=1,ARX36+1&gt;=H_Deemed),MAX(0,ADX37-AHK37)*H_Exit,0)</f>
        <v>0</v>
      </c>
      <c r="AVL37" s="20" t="n">
        <f aca="false">IF(AND(H_Direct=0,H_TaxEvt=1,ARY36+1&gt;=H_Deemed),MAX(0,ADY37-AHL37)*H_Exit,0)</f>
        <v>0</v>
      </c>
      <c r="AVM37" s="20" t="n">
        <f aca="false">IF(AND(H_Direct=0,H_TaxEvt=1,ARZ36+1&gt;=H_Deemed),MAX(0,ADZ37-AHM37)*H_Exit,0)</f>
        <v>0</v>
      </c>
      <c r="AVN37" s="20" t="n">
        <f aca="false">IF(AND(H_Direct=0,H_TaxEvt=1,ASA36+1&gt;=H_Deemed),MAX(0,AEA37-AHN37)*H_Exit,0)</f>
        <v>0</v>
      </c>
      <c r="AVO37" s="20" t="n">
        <f aca="false">IF(AND(H_Direct=0,H_TaxEvt=1,ASB36+1&gt;=H_Deemed),MAX(0,AEB37-AHO37)*H_Exit,0)</f>
        <v>0</v>
      </c>
      <c r="AVP37" s="20" t="n">
        <f aca="false">IF(AND(H_Direct=0,H_TaxEvt=1,ASC36+1&gt;=H_Deemed),MAX(0,AEC37-AHP37)*H_Exit,0)</f>
        <v>0</v>
      </c>
      <c r="AVQ37" s="20" t="n">
        <f aca="false">IF(AND(H_Direct=0,H_TaxEvt=1,ASD36+1&gt;=H_Deemed),MAX(0,AED37-AHQ37)*H_Exit,0)</f>
        <v>0</v>
      </c>
      <c r="AVR37" s="20" t="n">
        <f aca="false">IF(AND(H_Direct=0,H_TaxEvt=1,ASE36+1&gt;=H_Deemed),MAX(0,AEE37-AHR37)*H_Exit,0)</f>
        <v>0</v>
      </c>
      <c r="AVS37" s="20" t="n">
        <f aca="false">IF(AND(H_Direct=0,H_TaxEvt=1,ASF36+1&gt;=H_Deemed),MAX(0,AEF37-AHS37)*H_Exit,0)</f>
        <v>0</v>
      </c>
      <c r="AVT37" s="20" t="n">
        <f aca="false">IF(AND(H_Direct=0,H_TaxEvt=1,ASG36+1&gt;=H_Deemed),MAX(0,AEG37-AHT37)*H_Exit,0)</f>
        <v>179.148607954326</v>
      </c>
      <c r="AVU37" s="20" t="n">
        <f aca="false">IF(AND(H_Direct=0,H_TaxEvt=1,ASH36+1&gt;=H_Deemed),MAX(0,AEH37-AHU37)*H_Exit,0)</f>
        <v>0</v>
      </c>
      <c r="AVV37" s="20" t="n">
        <f aca="false">IF(AND(H_Direct=0,H_TaxEvt=1,ASI36+1&gt;=H_Deemed),MAX(0,AEI37-AHV37)*H_Exit,0)</f>
        <v>0</v>
      </c>
      <c r="AVW37" s="20" t="n">
        <f aca="false">IF(AND(H_Direct=0,H_TaxEvt=1,ASJ36+1&gt;=H_Deemed),MAX(0,AEJ37-AHW37)*H_Exit,0)</f>
        <v>0</v>
      </c>
      <c r="AVX37" s="20" t="n">
        <f aca="false">IF(AND(H_Direct=0,H_TaxEvt=1,ASK36+1&gt;=H_Deemed),MAX(0,AEK37-AHX37)*H_Exit,0)</f>
        <v>0</v>
      </c>
      <c r="AVY37" s="20" t="n">
        <f aca="false">IF(AND(H_Direct=0,H_TaxEvt=1,ASL36+1&gt;=H_Deemed),MAX(0,AEL37-AHY37)*H_Exit,0)</f>
        <v>0</v>
      </c>
      <c r="AVZ37" s="20" t="n">
        <f aca="false">IF(AND(H_Direct=0,H_TaxEvt=1,ASM36+1&gt;=H_Deemed),MAX(0,AEM37-AHZ37)*H_Exit,0)</f>
        <v>0</v>
      </c>
      <c r="AWA37" s="20" t="n">
        <f aca="false">IF(AND(H_Direct=0,H_TaxEvt=1,ASN36+1&gt;=H_Deemed),MAX(0,AEN37-AIA37)*H_Exit,0)</f>
        <v>0</v>
      </c>
      <c r="AWB37" s="20" t="n">
        <f aca="false">IF(AND(H_Direct=0,H_TaxEvt=1,ASO36+1&gt;=H_Deemed),MAX(0,AEO37-AIB37)*H_Exit,0)</f>
        <v>519.657836393796</v>
      </c>
      <c r="AWC37" s="20" t="n">
        <f aca="false">IF(AND(H_Direct=0,H_TaxEvt=1,ASP36+1&gt;=H_Deemed),MAX(0,AEP37-AIC37)*H_Exit,0)</f>
        <v>0</v>
      </c>
      <c r="AWD37" s="20" t="n">
        <f aca="false">IF(AND(H_Direct=0,H_TaxEvt=1,ASQ36+1&gt;=H_Deemed),MAX(0,AEQ37-AID37)*H_Exit,0)</f>
        <v>0</v>
      </c>
      <c r="AWE37" s="20" t="n">
        <f aca="false">IF(AND(H_Direct=0,H_TaxEvt=1,ASR36+1&gt;=H_Deemed),MAX(0,AER37-AIE37)*H_Exit,0)</f>
        <v>0</v>
      </c>
      <c r="AWF37" s="20" t="n">
        <f aca="false">IF(AND(H_Direct=0,H_TaxEvt=1,ASS36+1&gt;=H_Deemed),MAX(0,AES37-AIF37)*H_Exit,0)</f>
        <v>0</v>
      </c>
      <c r="AWG37" s="20" t="n">
        <f aca="false">IF(AND(H_Direct=0,H_TaxEvt=1,AST36+1&gt;=H_Deemed),MAX(0,AET37-AIG37)*H_Exit,0)</f>
        <v>0</v>
      </c>
      <c r="AWH37" s="20" t="n">
        <f aca="false">IF(AND(H_Direct=0,H_TaxEvt=1,ASU36+1&gt;=H_Deemed),MAX(0,AEU37-AIH37)*H_Exit,0)</f>
        <v>0</v>
      </c>
      <c r="AWI37" s="20" t="n">
        <f aca="false">IF(AND(H_Direct=0,H_TaxEvt=1,0+1&gt;=H_Deemed),MAX(0,AEV37-AII37)*H_Exit,0)</f>
        <v>0</v>
      </c>
      <c r="AWJ37" s="20" t="n">
        <v>0</v>
      </c>
      <c r="AWK37" s="20" t="n">
        <v>0</v>
      </c>
      <c r="AWL37" s="20" t="n">
        <v>0</v>
      </c>
      <c r="AWM37" s="20" t="n">
        <v>0</v>
      </c>
      <c r="AWN37" s="20" t="n">
        <v>0</v>
      </c>
      <c r="AWO37" s="20" t="n">
        <v>0</v>
      </c>
      <c r="AWP37" s="20" t="n">
        <v>0</v>
      </c>
      <c r="AWQ37" s="20" t="n">
        <v>0</v>
      </c>
      <c r="AWR37" s="20" t="n">
        <v>0</v>
      </c>
      <c r="AWS37" s="20" t="n">
        <v>0</v>
      </c>
      <c r="AWT37" s="20" t="n">
        <v>0</v>
      </c>
      <c r="AWU37" s="20" t="n">
        <v>0</v>
      </c>
      <c r="AWV37" s="20" t="n">
        <v>0</v>
      </c>
      <c r="AWW37" s="20" t="n">
        <v>0</v>
      </c>
      <c r="AWX37" s="20" t="n">
        <v>0</v>
      </c>
      <c r="AWY37" s="20" t="n">
        <v>0</v>
      </c>
      <c r="AWZ37" s="20" t="n">
        <v>0</v>
      </c>
      <c r="AXA37" s="20" t="n">
        <v>0</v>
      </c>
      <c r="AXB37" s="20" t="n">
        <v>0</v>
      </c>
      <c r="AXC37" s="20" t="n">
        <v>0</v>
      </c>
      <c r="AXD37" s="20" t="n">
        <v>0</v>
      </c>
      <c r="AXE37" s="20" t="n">
        <v>0</v>
      </c>
      <c r="AXF37" s="20" t="n">
        <v>0</v>
      </c>
      <c r="AXG37" s="20" t="n">
        <v>0</v>
      </c>
      <c r="AXH37" s="20" t="n">
        <v>0</v>
      </c>
      <c r="AXI37" s="20" t="n">
        <v>0</v>
      </c>
      <c r="AXJ37" s="20" t="n">
        <v>0</v>
      </c>
      <c r="AXK37" s="20" t="n">
        <v>0</v>
      </c>
      <c r="AXL37" s="20" t="n">
        <v>0</v>
      </c>
      <c r="AXM37" s="20" t="n">
        <v>0</v>
      </c>
      <c r="AXN37" s="20" t="n">
        <v>0</v>
      </c>
      <c r="AXO37" s="20" t="n">
        <v>0</v>
      </c>
      <c r="AXP37" s="20" t="n">
        <v>0</v>
      </c>
      <c r="AXQ37" s="20" t="n">
        <v>0</v>
      </c>
      <c r="AXR37" s="20" t="n">
        <v>0</v>
      </c>
      <c r="AXS37" s="20" t="n">
        <v>0</v>
      </c>
      <c r="AXT37" s="20" t="n">
        <v>0</v>
      </c>
      <c r="AXU37" s="20" t="n">
        <v>0</v>
      </c>
      <c r="AXV37" s="20" t="n">
        <v>0</v>
      </c>
      <c r="AXW37" s="20" t="n">
        <v>0</v>
      </c>
      <c r="AXX37" s="20" t="n">
        <v>0</v>
      </c>
      <c r="AXY37" s="20" t="n">
        <v>0</v>
      </c>
      <c r="AXZ37" s="20" t="n">
        <v>0</v>
      </c>
      <c r="AYA37" s="20" t="n">
        <v>0</v>
      </c>
      <c r="AYB37" s="20" t="n">
        <v>0</v>
      </c>
      <c r="AYC37" s="20" t="n">
        <v>0</v>
      </c>
      <c r="AYD37" s="20" t="n">
        <v>0</v>
      </c>
      <c r="AYE37" s="20" t="n">
        <v>0</v>
      </c>
      <c r="AYF37" s="20" t="n">
        <v>0</v>
      </c>
      <c r="AYG37" s="20" t="n">
        <v>0</v>
      </c>
      <c r="AYH37" s="20" t="n">
        <v>0</v>
      </c>
      <c r="AYI37" s="20" t="n">
        <v>0</v>
      </c>
      <c r="AYJ37" s="20" t="n">
        <v>0</v>
      </c>
      <c r="AYK37" s="20" t="n">
        <v>0</v>
      </c>
      <c r="AYL37" s="20" t="n">
        <v>0</v>
      </c>
      <c r="AYM37" s="20" t="n">
        <v>0</v>
      </c>
      <c r="AYN37" s="20" t="n">
        <v>0</v>
      </c>
      <c r="AYO37" s="20" t="n">
        <v>0</v>
      </c>
      <c r="AYP37" s="20" t="n">
        <v>0</v>
      </c>
      <c r="AYQ37" s="20" t="n">
        <v>0</v>
      </c>
    </row>
    <row r="38" customFormat="false" ht="15" hidden="false" customHeight="false" outlineLevel="0" collapsed="false">
      <c r="B38" s="20" t="n">
        <v>30</v>
      </c>
      <c r="C38" s="20" t="n">
        <f aca="false">'Plan cashflow'!C38</f>
        <v>1</v>
      </c>
      <c r="D38" s="20" t="n">
        <f aca="false">'Plan cashflow'!D38</f>
        <v>68</v>
      </c>
      <c r="E38" s="20" t="n">
        <f aca="false">AS_Year0+30</f>
        <v>2056</v>
      </c>
      <c r="F38" s="50" t="n">
        <f aca="false">'Plan cashflow'!F38</f>
        <v>1.81136158410335</v>
      </c>
      <c r="G38" s="59" t="n">
        <f aca="true">IF(MAX(TODAY(),DATE(E38,1,1))&gt;=H_CGTfrom,H_CGT1,H_CGT0)</f>
        <v>0.31</v>
      </c>
      <c r="H38" s="20" t="n">
        <f aca="false">H_Exempt*H_Persons</f>
        <v>1270</v>
      </c>
      <c r="I38" s="20" t="n">
        <f aca="false">AX37</f>
        <v>0</v>
      </c>
      <c r="J38" s="60" t="n">
        <f aca="false">BF37</f>
        <v>69024.588357961</v>
      </c>
      <c r="K38" s="60" t="n">
        <f aca="false">BG37</f>
        <v>0</v>
      </c>
      <c r="L38" s="20" t="n">
        <f aca="false">IF(AND(In_polLump&gt;0,In_polLumpAge&gt;0,D38=In_polLumpAge),In_polLump,0)</f>
        <v>0</v>
      </c>
      <c r="M38" s="20" t="n">
        <f aca="false">IF(AND(In_homeUse="Yes, I'd downsize",In_downAge&gt;0,D38=In_downAge,OR(In_home="Own outright",In_home="Own with mortgage"),In_homeValue&gt;0),MAX(0,MAX(0,In_homeValue-In_downValue)*F38*0.9-'Plan cashflow'!HR37),0)</f>
        <v>0</v>
      </c>
      <c r="N38" s="20" t="n">
        <f aca="false">'Plan pay &amp; tax'!Y264</f>
        <v>0</v>
      </c>
      <c r="O38" s="20" t="n">
        <f aca="false">L38+M38+(1-H_Sh)*N38</f>
        <v>0</v>
      </c>
      <c r="P38" s="20" t="n">
        <f aca="false">H_Sh*N38</f>
        <v>0</v>
      </c>
      <c r="Q38" s="20" t="n">
        <f aca="false">'Plan cashflow'!UL38</f>
        <v>0</v>
      </c>
      <c r="R38" s="20" t="n">
        <f aca="false">(1-H_Sh)*Q38</f>
        <v>0</v>
      </c>
      <c r="S38" s="20" t="n">
        <f aca="false">H_Sh*Q38</f>
        <v>0</v>
      </c>
      <c r="T38" s="20" t="n">
        <f aca="false">J38+K38+O38</f>
        <v>69024.588357961</v>
      </c>
      <c r="U38" s="20" t="n">
        <f aca="false">T38+R38</f>
        <v>69024.588357961</v>
      </c>
      <c r="V38" s="60" t="n">
        <f aca="false">SUM(FE38:IQ38)</f>
        <v>115793.542748079</v>
      </c>
      <c r="W38" s="60" t="n">
        <f aca="false">IF(AJ38&lt;=0,0,IF(AL38&lt;=0,AJ38,AJ38-G38*MAX(0,AL38*AJ38-(AY38+AZ38))))</f>
        <v>0</v>
      </c>
      <c r="X38" s="60" t="n">
        <f aca="false">IF(AR38&lt;=0,0,IF(AT38&lt;=0,AR38,AR38-G38*MAX(0,AT38*AR38-(BA38+BB38))))</f>
        <v>0</v>
      </c>
      <c r="Y38" s="60" t="n">
        <f aca="false">T38+V38-S38+W38+X38</f>
        <v>184818.13110604</v>
      </c>
      <c r="Z38" s="60" t="n">
        <f aca="false">'Plan cashflow'!UK38</f>
        <v>20176.5217144829</v>
      </c>
      <c r="AA38" s="20" t="n">
        <f aca="false">MIN(Z38,U38)</f>
        <v>20176.5217144829</v>
      </c>
      <c r="AB38" s="20" t="n">
        <f aca="false">Z38-AA38</f>
        <v>0</v>
      </c>
      <c r="AC38" s="20" t="n">
        <f aca="false">MIN(AA38,J38+O38+R38)</f>
        <v>20176.5217144829</v>
      </c>
      <c r="AD38" s="20" t="n">
        <f aca="false">AA38-AC38</f>
        <v>0</v>
      </c>
      <c r="AE38" s="20" t="n">
        <f aca="false">J38+O38+R38-AC38</f>
        <v>48848.0666434781</v>
      </c>
      <c r="AF38" s="20" t="n">
        <f aca="false">K38-AD38</f>
        <v>0</v>
      </c>
      <c r="AG38" s="20" t="n">
        <f aca="false">SUM(PR38:TD38)</f>
        <v>0</v>
      </c>
      <c r="AH38" s="20" t="n">
        <f aca="false">SUM(TE38:WQ38)</f>
        <v>0</v>
      </c>
      <c r="AI38" s="20" t="n">
        <f aca="false">MAX(0,AB38-AG38)</f>
        <v>0</v>
      </c>
      <c r="AJ38" s="57" t="n">
        <f aca="false">BI37</f>
        <v>0</v>
      </c>
      <c r="AK38" s="20" t="n">
        <f aca="false">BJ37</f>
        <v>0</v>
      </c>
      <c r="AL38" s="20" t="n">
        <f aca="false">IF(AJ38&gt;0,(AJ38-AK38)/AJ38,0)</f>
        <v>0</v>
      </c>
      <c r="AM38" s="20" t="n">
        <f aca="false">IF(AJ38&lt;=0,0,IF(AL38&lt;=0,MIN(AI38,AJ38),MIN(AI38,AJ38-G38*MAX(0,AL38*AJ38-(AAD38+ADQ38)))))</f>
        <v>0</v>
      </c>
      <c r="AN38" s="20" t="n">
        <f aca="false">IF(AJ38&lt;=0,0,IF(AL38&lt;=0,AM38,IF(AM38&lt;=(AAD38+ADQ38)/AL38,AM38,(AM38-G38*(AAD38+ADQ38))/(1-G38*AL38))))</f>
        <v>0</v>
      </c>
      <c r="AO38" s="20" t="n">
        <f aca="false">IF(AL38&gt;0,MAX(0,AAD38-(MIN(AL38*AN38,(AAD38+ADQ38))-MIN(MIN(AL38*AN38,(AAD38+ADQ38)),ADQ38))),AAD38)</f>
        <v>1270</v>
      </c>
      <c r="AP38" s="20" t="n">
        <f aca="false">IF(AL38&lt;=0,ADQ38-AL38*AN38,ADQ38-MIN(MIN(AL38*AN38,(AAD38+ADQ38)),ADQ38))</f>
        <v>0</v>
      </c>
      <c r="AQ38" s="20" t="n">
        <f aca="false">MAX(0,AI38-AM38)</f>
        <v>0</v>
      </c>
      <c r="AR38" s="57" t="n">
        <f aca="false">BK37</f>
        <v>0</v>
      </c>
      <c r="AS38" s="20" t="n">
        <f aca="false">BL37</f>
        <v>0</v>
      </c>
      <c r="AT38" s="20" t="n">
        <f aca="false">IF(AR38&gt;0,(AR38-AS38)/AR38,0)</f>
        <v>0</v>
      </c>
      <c r="AU38" s="20" t="n">
        <f aca="false">IF(AR38&lt;=0,0,IF(AT38&lt;=0,MIN(AQ38,AR38),MIN(AQ38,AR38-G38*MAX(0,AT38*AR38-(AO38+AP38)))))</f>
        <v>0</v>
      </c>
      <c r="AV38" s="20" t="n">
        <f aca="false">IF(AR38&lt;=0,0,IF(AT38&lt;=0,AU38,IF(AU38&lt;=(AO38+AP38)/AT38,AU38,(AU38-G38*(AO38+AP38))/(1-G38*AT38))))</f>
        <v>0</v>
      </c>
      <c r="AW38" s="20" t="n">
        <f aca="false">IF(AT38&gt;0,MAX(0,AO38-(MIN(AT38*AV38,(AO38+AP38))-MIN(MIN(AT38*AV38,(AO38+AP38)),AP38))),AO38)</f>
        <v>1270</v>
      </c>
      <c r="AX38" s="20" t="n">
        <f aca="false">IF(AT38&lt;=0,AP38-AT38*AV38,AP38-MIN(MIN(AT38*AV38,(AO38+AP38)),AP38))</f>
        <v>0</v>
      </c>
      <c r="AY38" s="20" t="n">
        <f aca="false">MD38</f>
        <v>1270</v>
      </c>
      <c r="AZ38" s="20" t="n">
        <f aca="false">PQ38</f>
        <v>0</v>
      </c>
      <c r="BA38" s="20" t="n">
        <f aca="false">IF(AL38&gt;0,MAX(0,AY38-(MIN(AL38*AJ38,AY38+AZ38)-MIN(MIN(AL38*AJ38,AY38+AZ38),AZ38))),AY38)</f>
        <v>1270</v>
      </c>
      <c r="BB38" s="20" t="n">
        <f aca="false">IF(AL38&lt;=0,AZ38-AL38*AJ38,AZ38-MIN(MIN(AL38*AJ38,AY38+AZ38),AZ38))</f>
        <v>0</v>
      </c>
      <c r="BC38" s="20" t="n">
        <f aca="false">'Plan cashflow'!UM38</f>
        <v>0</v>
      </c>
      <c r="BD38" s="20" t="n">
        <f aca="false">(1-H_Sh)*BC38</f>
        <v>0</v>
      </c>
      <c r="BE38" s="20" t="n">
        <f aca="false">H_Sh*BC38</f>
        <v>0</v>
      </c>
      <c r="BF38" s="60" t="n">
        <f aca="false">(AE38+BD38)*(1+AS_Cash)</f>
        <v>49336.5473099128</v>
      </c>
      <c r="BG38" s="60" t="n">
        <f aca="false">AF38*(1+AS_Cash)</f>
        <v>0</v>
      </c>
      <c r="BH38" s="60" t="n">
        <f aca="false">SUM(AKR38:AOD38)</f>
        <v>127279.601511866</v>
      </c>
      <c r="BI38" s="60" t="n">
        <f aca="false">(AJ38-AN38)*(1+AS_Infl)</f>
        <v>0</v>
      </c>
      <c r="BJ38" s="20" t="n">
        <f aca="false">IF(AJ38&gt;0,AK38-AK38*AN38/AJ38,0)</f>
        <v>0</v>
      </c>
      <c r="BK38" s="60" t="n">
        <f aca="false">(AR38-AV38)*(1+BQ38)</f>
        <v>0</v>
      </c>
      <c r="BL38" s="20" t="n">
        <f aca="false">IF(AR38&gt;0,AS38-AS38*AV38/AR38,0)</f>
        <v>0</v>
      </c>
      <c r="BM38" s="60" t="n">
        <f aca="false">BF38+BG38+BH38+BI38+BK38</f>
        <v>176616.148821779</v>
      </c>
      <c r="BN38" s="60" t="n">
        <f aca="false">(AH38-AG38)+(AN38-AM38)+(AV38-AU38)</f>
        <v>0</v>
      </c>
      <c r="BO38" s="20" t="n">
        <f aca="false">(AE38+BD38+AF38+MAX(0,'Plan cashflow'!QH38)+IF(Slot1_Rate=AS_Cash,'Plan cashflow'!QM38/(1+AS_Cash),0)+IF(Slot2_Rate=AS_Cash,'Plan cashflow'!QQ38/(1+AS_Cash),0)+IF(Slot3_Rate=AS_Cash,'Plan cashflow'!QU38/(1+AS_Cash),0)+IF(Slot4_Rate=AS_Cash,'Plan cashflow'!QY38/(1+AS_Cash),0)+IF(Slot5_Rate=AS_Cash,'Plan cashflow'!RC38/(1+AS_Cash),0)+IF(Slot6_Rate=AS_Cash,'Plan cashflow'!RG38/(1+AS_Cash),0)+IF(Slot7_Rate=AS_Cash,'Plan cashflow'!RK38/(1+AS_Cash),0)+IF(Slot8_Rate=AS_Cash,'Plan cashflow'!RO38/(1+AS_Cash),0)+IF(Slot9_Rate=AS_Cash,'Plan cashflow'!RS38/(1+AS_Cash),0)+IF(Slot10_Rate=AS_Cash,'Plan cashflow'!RW38/(1+AS_Cash),0)+IF(Slot11_Rate=AS_Cash,'Plan cashflow'!SA38/(1+AS_Cash),0)+IF(Slot12_Rate=AS_Cash,'Plan cashflow'!SE38/(1+AS_Cash),0)+IF(Slot13_Rate=AS_Cash,'Plan cashflow'!SI38/(1+AS_Cash),0)+IF(Slot14_Rate=AS_Cash,'Plan cashflow'!SM38/(1+AS_Cash),0)+IF(Slot15_Rate=AS_Cash,'Plan cashflow'!SQ38/(1+AS_Cash),0)+IF(Slot16_Rate=AS_Cash,'Plan cashflow'!SU38/(1+AS_Cash),0)+IF(Slot17_Rate=AS_Cash,'Plan cashflow'!SY38/(1+AS_Cash),0)+IF(Slot18_Rate=AS_Cash,'Plan cashflow'!TC38/(1+AS_Cash),0)+IF(Slot19_Rate=AS_Cash,'Plan cashflow'!TG38/(1+AS_Cash),0)+IF(Slot20_Rate=AS_Cash,'Plan cashflow'!TK38/(1+AS_Cash),0))*AS_Cash*H_DIRT/(1-H_DIRT)</f>
        <v>314.644157432636</v>
      </c>
      <c r="BP38" s="60" t="n">
        <f aca="false">SUM(AVE38:AYQ38)</f>
        <v>709.125322934173</v>
      </c>
      <c r="BQ38" s="54" t="n">
        <f aca="false">IF(H_TaxEvt=1,H_InvG,AS_Inv)</f>
        <v>0.04</v>
      </c>
      <c r="BR38" s="20" t="n">
        <f aca="false">IF(AKR37&gt;0,(AKR37-AOE37)/AKR37,0)</f>
        <v>0</v>
      </c>
      <c r="BS38" s="20" t="n">
        <f aca="false">IF(AKS37&gt;0,(AKS37-AOF37)/AKS37,0)</f>
        <v>0</v>
      </c>
      <c r="BT38" s="20" t="n">
        <f aca="false">IF(AKT37&gt;0,(AKT37-AOG37)/AKT37,0)</f>
        <v>0</v>
      </c>
      <c r="BU38" s="20" t="n">
        <f aca="false">IF(AKU37&gt;0,(AKU37-AOH37)/AKU37,0)</f>
        <v>0</v>
      </c>
      <c r="BV38" s="20" t="n">
        <f aca="false">IF(AKV37&gt;0,(AKV37-AOI37)/AKV37,0)</f>
        <v>0</v>
      </c>
      <c r="BW38" s="20" t="n">
        <f aca="false">IF(AKW37&gt;0,(AKW37-AOJ37)/AKW37,0)</f>
        <v>0</v>
      </c>
      <c r="BX38" s="20" t="n">
        <f aca="false">IF(AKX37&gt;0,(AKX37-AOK37)/AKX37,0)</f>
        <v>0</v>
      </c>
      <c r="BY38" s="20" t="n">
        <f aca="false">IF(AKY37&gt;0,(AKY37-AOL37)/AKY37,0)</f>
        <v>0</v>
      </c>
      <c r="BZ38" s="20" t="n">
        <f aca="false">IF(AKZ37&gt;0,(AKZ37-AOM37)/AKZ37,0)</f>
        <v>0</v>
      </c>
      <c r="CA38" s="20" t="n">
        <f aca="false">IF(ALA37&gt;0,(ALA37-AON37)/ALA37,0)</f>
        <v>0</v>
      </c>
      <c r="CB38" s="20" t="n">
        <f aca="false">IF(ALB37&gt;0,(ALB37-AOO37)/ALB37,0)</f>
        <v>0</v>
      </c>
      <c r="CC38" s="20" t="n">
        <f aca="false">IF(ALC37&gt;0,(ALC37-AOP37)/ALC37,0)</f>
        <v>0.145195808970274</v>
      </c>
      <c r="CD38" s="20" t="n">
        <f aca="false">IF(ALD37&gt;0,(ALD37-AOQ37)/ALD37,0)</f>
        <v>0.111003641329085</v>
      </c>
      <c r="CE38" s="20" t="n">
        <f aca="false">IF(ALE37&gt;0,(ALE37-AOR37)/ALE37,0)</f>
        <v>0.0754437869822486</v>
      </c>
      <c r="CF38" s="20" t="n">
        <f aca="false">IF(ALF37&gt;0,(ALF37-AOS37)/ALF37,0)</f>
        <v>0.0384615384615385</v>
      </c>
      <c r="CG38" s="20" t="n">
        <f aca="false">IF(ALG37&gt;0,(ALG37-AOT37)/ALG37,0)</f>
        <v>0</v>
      </c>
      <c r="CH38" s="20" t="n">
        <f aca="false">IF(ALH37&gt;0,(ALH37-AOU37)/ALH37,0)</f>
        <v>0.240082186797937</v>
      </c>
      <c r="CI38" s="20" t="n">
        <f aca="false">IF(ALI37&gt;0,(ALI37-AOV37)/ALI37,0)</f>
        <v>0.209685474269854</v>
      </c>
      <c r="CJ38" s="20" t="n">
        <f aca="false">IF(ALJ37&gt;0,(ALJ37-AOW37)/ALJ37,0)</f>
        <v>0.178072893240649</v>
      </c>
      <c r="CK38" s="20" t="n">
        <f aca="false">IF(ALK37&gt;0,(ALK37-AOX37)/ALK37,0)</f>
        <v>0.145195808970274</v>
      </c>
      <c r="CL38" s="20" t="n">
        <f aca="false">IF(ALL37&gt;0,(ALL37-AOY37)/ALL37,0)</f>
        <v>0.111003641329085</v>
      </c>
      <c r="CM38" s="20" t="n">
        <f aca="false">IF(ALM37&gt;0,(ALM37-AOZ37)/ALM37,0)</f>
        <v>0.0754437869822486</v>
      </c>
      <c r="CN38" s="20" t="n">
        <f aca="false">IF(ALN37&gt;0,(ALN37-APA37)/ALN37,0)</f>
        <v>0.0384615384615385</v>
      </c>
      <c r="CO38" s="20" t="n">
        <f aca="false">IF(ALO37&gt;0,(ALO37-APB37)/ALO37,0)</f>
        <v>0</v>
      </c>
      <c r="CP38" s="20" t="n">
        <f aca="false">IF(ALP37&gt;0,(ALP37-APC37)/ALP37,0)</f>
        <v>0.240082186797937</v>
      </c>
      <c r="CQ38" s="20" t="n">
        <f aca="false">IF(ALQ37&gt;0,(ALQ37-APD37)/ALQ37,0)</f>
        <v>0.209685474269854</v>
      </c>
      <c r="CR38" s="20" t="n">
        <f aca="false">IF(ALR37&gt;0,(ALR37-APE37)/ALR37,0)</f>
        <v>0.178072893240648</v>
      </c>
      <c r="CS38" s="20" t="n">
        <f aca="false">IF(ALS37&gt;0,(ALS37-APF37)/ALS37,0)</f>
        <v>0</v>
      </c>
      <c r="CT38" s="20" t="n">
        <f aca="false">IF(ALT37&gt;0,(ALT37-APG37)/ALT37,0)</f>
        <v>0</v>
      </c>
      <c r="CU38" s="20" t="n">
        <f aca="false">IF(ALU37&gt;0,(ALU37-APH37)/ALU37,0)</f>
        <v>0.0754437869822486</v>
      </c>
      <c r="CV38" s="20" t="n">
        <f aca="false">IF(ALV37&gt;0,(ALV37-API37)/ALV37,0)</f>
        <v>0</v>
      </c>
      <c r="CW38" s="20" t="n">
        <f aca="false">IF((P38+S38)&gt;0,((P38+S38)-(P38+S38))/(P38+S38),0)</f>
        <v>0</v>
      </c>
      <c r="CX38" s="20" t="n">
        <v>0</v>
      </c>
      <c r="CY38" s="20" t="n">
        <v>0</v>
      </c>
      <c r="CZ38" s="20" t="n">
        <v>0</v>
      </c>
      <c r="DA38" s="20" t="n">
        <v>0</v>
      </c>
      <c r="DB38" s="20" t="n">
        <v>0</v>
      </c>
      <c r="DC38" s="20" t="n">
        <v>0</v>
      </c>
      <c r="DD38" s="20" t="n">
        <v>0</v>
      </c>
      <c r="DE38" s="20" t="n">
        <v>0</v>
      </c>
      <c r="DF38" s="20" t="n">
        <v>0</v>
      </c>
      <c r="DG38" s="20" t="n">
        <v>0</v>
      </c>
      <c r="DH38" s="20" t="n">
        <v>0</v>
      </c>
      <c r="DI38" s="20" t="n">
        <v>0</v>
      </c>
      <c r="DJ38" s="20" t="n">
        <v>0</v>
      </c>
      <c r="DK38" s="20" t="n">
        <v>0</v>
      </c>
      <c r="DL38" s="20" t="n">
        <v>0</v>
      </c>
      <c r="DM38" s="20" t="n">
        <v>0</v>
      </c>
      <c r="DN38" s="20" t="n">
        <v>0</v>
      </c>
      <c r="DO38" s="20" t="n">
        <v>0</v>
      </c>
      <c r="DP38" s="20" t="n">
        <v>0</v>
      </c>
      <c r="DQ38" s="20" t="n">
        <v>0</v>
      </c>
      <c r="DR38" s="20" t="n">
        <v>0</v>
      </c>
      <c r="DS38" s="20" t="n">
        <v>0</v>
      </c>
      <c r="DT38" s="20" t="n">
        <v>0</v>
      </c>
      <c r="DU38" s="20" t="n">
        <v>0</v>
      </c>
      <c r="DV38" s="20" t="n">
        <v>0</v>
      </c>
      <c r="DW38" s="20" t="n">
        <v>0</v>
      </c>
      <c r="DX38" s="20" t="n">
        <v>0</v>
      </c>
      <c r="DY38" s="20" t="n">
        <v>0</v>
      </c>
      <c r="DZ38" s="20" t="n">
        <v>0</v>
      </c>
      <c r="EA38" s="20" t="n">
        <v>0</v>
      </c>
      <c r="EB38" s="20" t="n">
        <v>0</v>
      </c>
      <c r="EC38" s="20" t="n">
        <v>0</v>
      </c>
      <c r="ED38" s="20" t="n">
        <v>0</v>
      </c>
      <c r="EE38" s="20" t="n">
        <v>0</v>
      </c>
      <c r="EF38" s="20" t="n">
        <v>0</v>
      </c>
      <c r="EG38" s="20" t="n">
        <v>0</v>
      </c>
      <c r="EH38" s="20" t="n">
        <v>0</v>
      </c>
      <c r="EI38" s="20" t="n">
        <v>0</v>
      </c>
      <c r="EJ38" s="20" t="n">
        <v>0</v>
      </c>
      <c r="EK38" s="20" t="n">
        <v>0</v>
      </c>
      <c r="EL38" s="20" t="n">
        <v>0</v>
      </c>
      <c r="EM38" s="20" t="n">
        <v>0</v>
      </c>
      <c r="EN38" s="20" t="n">
        <v>0</v>
      </c>
      <c r="EO38" s="20" t="n">
        <v>0</v>
      </c>
      <c r="EP38" s="20" t="n">
        <v>0</v>
      </c>
      <c r="EQ38" s="20" t="n">
        <v>0</v>
      </c>
      <c r="ER38" s="20" t="n">
        <v>0</v>
      </c>
      <c r="ES38" s="20" t="n">
        <v>0</v>
      </c>
      <c r="ET38" s="20" t="n">
        <v>0</v>
      </c>
      <c r="EU38" s="20" t="n">
        <v>0</v>
      </c>
      <c r="EV38" s="20" t="n">
        <v>0</v>
      </c>
      <c r="EW38" s="20" t="n">
        <v>0</v>
      </c>
      <c r="EX38" s="20" t="n">
        <v>0</v>
      </c>
      <c r="EY38" s="20" t="n">
        <v>0</v>
      </c>
      <c r="EZ38" s="20" t="n">
        <v>0</v>
      </c>
      <c r="FA38" s="20" t="n">
        <v>0</v>
      </c>
      <c r="FB38" s="20" t="n">
        <v>0</v>
      </c>
      <c r="FC38" s="20" t="n">
        <v>0</v>
      </c>
      <c r="FD38" s="20" t="n">
        <v>0</v>
      </c>
      <c r="FE38" s="20" t="n">
        <f aca="false">IF(H_Direct=1,IF(AKR37&lt;=0,0,IF(BR38&lt;=0,AKR37,AKR37-G38*MAX(0,BR38*AKR37-(H38+I38)))),AKR37*(1-MAX(0,BR38)*H_Exit))</f>
        <v>0</v>
      </c>
      <c r="FF38" s="20" t="n">
        <f aca="false">IF(H_Direct=1,IF(AKS37&lt;=0,0,IF(BS38&lt;=0,AKS37,AKS37-G38*MAX(0,BS38*AKS37-(IR38+ME38)))),AKS37*(1-MAX(0,BS38)*H_Exit))</f>
        <v>0</v>
      </c>
      <c r="FG38" s="20" t="n">
        <f aca="false">IF(H_Direct=1,IF(AKT37&lt;=0,0,IF(BT38&lt;=0,AKT37,AKT37-G38*MAX(0,BT38*AKT37-(IS38+MF38)))),AKT37*(1-MAX(0,BT38)*H_Exit))</f>
        <v>0</v>
      </c>
      <c r="FH38" s="20" t="n">
        <f aca="false">IF(H_Direct=1,IF(AKU37&lt;=0,0,IF(BU38&lt;=0,AKU37,AKU37-G38*MAX(0,BU38*AKU37-(IT38+MG38)))),AKU37*(1-MAX(0,BU38)*H_Exit))</f>
        <v>0</v>
      </c>
      <c r="FI38" s="20" t="n">
        <f aca="false">IF(H_Direct=1,IF(AKV37&lt;=0,0,IF(BV38&lt;=0,AKV37,AKV37-G38*MAX(0,BV38*AKV37-(IU38+MH38)))),AKV37*(1-MAX(0,BV38)*H_Exit))</f>
        <v>0</v>
      </c>
      <c r="FJ38" s="20" t="n">
        <f aca="false">IF(H_Direct=1,IF(AKW37&lt;=0,0,IF(BW38&lt;=0,AKW37,AKW37-G38*MAX(0,BW38*AKW37-(IV38+MI38)))),AKW37*(1-MAX(0,BW38)*H_Exit))</f>
        <v>0</v>
      </c>
      <c r="FK38" s="20" t="n">
        <f aca="false">IF(H_Direct=1,IF(AKX37&lt;=0,0,IF(BX38&lt;=0,AKX37,AKX37-G38*MAX(0,BX38*AKX37-(IW38+MJ38)))),AKX37*(1-MAX(0,BX38)*H_Exit))</f>
        <v>0</v>
      </c>
      <c r="FL38" s="20" t="n">
        <f aca="false">IF(H_Direct=1,IF(AKY37&lt;=0,0,IF(BY38&lt;=0,AKY37,AKY37-G38*MAX(0,BY38*AKY37-(IX38+MK38)))),AKY37*(1-MAX(0,BY38)*H_Exit))</f>
        <v>0</v>
      </c>
      <c r="FM38" s="20" t="n">
        <f aca="false">IF(H_Direct=1,IF(AKZ37&lt;=0,0,IF(BZ38&lt;=0,AKZ37,AKZ37-G38*MAX(0,BZ38*AKZ37-(IY38+ML38)))),AKZ37*(1-MAX(0,BZ38)*H_Exit))</f>
        <v>0</v>
      </c>
      <c r="FN38" s="20" t="n">
        <f aca="false">IF(H_Direct=1,IF(ALA37&lt;=0,0,IF(CA38&lt;=0,ALA37,ALA37-G38*MAX(0,CA38*ALA37-(IZ38+MM38)))),ALA37*(1-MAX(0,CA38)*H_Exit))</f>
        <v>0</v>
      </c>
      <c r="FO38" s="20" t="n">
        <f aca="false">IF(H_Direct=1,IF(ALB37&lt;=0,0,IF(CB38&lt;=0,ALB37,ALB37-G38*MAX(0,CB38*ALB37-(JA38+MN38)))),ALB37*(1-MAX(0,CB38)*H_Exit))</f>
        <v>0</v>
      </c>
      <c r="FP38" s="20" t="n">
        <f aca="false">IF(H_Direct=1,IF(ALC37&lt;=0,0,IF(CC38&lt;=0,ALC37,ALC37-G38*MAX(0,CC38*ALC37-(JB38+MO38)))),ALC37*(1-MAX(0,CC38)*H_Exit))</f>
        <v>911.958602616675</v>
      </c>
      <c r="FQ38" s="20" t="n">
        <f aca="false">IF(H_Direct=1,IF(ALD37&lt;=0,0,IF(CD38&lt;=0,ALD37,ALD37-G38*MAX(0,CD38*ALD37-(JC38+MP38)))),ALD37*(1-MAX(0,CD38)*H_Exit))</f>
        <v>1162.99113751408</v>
      </c>
      <c r="FR38" s="20" t="n">
        <f aca="false">IF(H_Direct=1,IF(ALE37&lt;=0,0,IF(CE38&lt;=0,ALE37,ALE37-G38*MAX(0,CE38*ALE37-(JD38+MQ38)))),ALE37*(1-MAX(0,CE38)*H_Exit))</f>
        <v>1411.4102796815</v>
      </c>
      <c r="FS38" s="20" t="n">
        <f aca="false">IF(H_Direct=1,IF(ALF37&lt;=0,0,IF(CF38&lt;=0,ALF37,ALF37-G38*MAX(0,CF38*ALF37-(JE38+MR38)))),ALF37*(1-MAX(0,CF38)*H_Exit))</f>
        <v>1610.10109123515</v>
      </c>
      <c r="FT38" s="20" t="n">
        <f aca="false">IF(H_Direct=1,IF(ALG37&lt;=0,0,IF(CG38&lt;=0,ALG37,ALG37-G38*MAX(0,CG38*ALG37-(JF38+MS38)))),ALG37*(1-MAX(0,CG38)*H_Exit))</f>
        <v>1571.41417846952</v>
      </c>
      <c r="FU38" s="20" t="n">
        <f aca="false">IF(H_Direct=1,IF(ALH37&lt;=0,0,IF(CH38&lt;=0,ALH37,ALH37-G38*MAX(0,CH38*ALH37-(JG38+MT38)))),ALH37*(1-MAX(0,CH38)*H_Exit))</f>
        <v>1529.03576105283</v>
      </c>
      <c r="FV38" s="20" t="n">
        <f aca="false">IF(H_Direct=1,IF(ALI37&lt;=0,0,IF(CI38&lt;=0,ALI37,ALI37-G38*MAX(0,CI38*ALI37-(JH38+MU38)))),ALI37*(1-MAX(0,CI38)*H_Exit))</f>
        <v>1487.37157565984</v>
      </c>
      <c r="FW38" s="20" t="n">
        <f aca="false">IF(H_Direct=1,IF(ALJ37&lt;=0,0,IF(CJ38&lt;=0,ALJ37,ALJ37-G38*MAX(0,CJ38*ALJ37-(JI38+MV38)))),ALJ37*(1-MAX(0,CJ38)*H_Exit))</f>
        <v>4683.0767834637</v>
      </c>
      <c r="FX38" s="20" t="n">
        <f aca="false">IF(H_Direct=1,IF(ALK37&lt;=0,0,IF(CK38&lt;=0,ALK37,ALK37-G38*MAX(0,CK38*ALK37-(JJ38+MW38)))),ALK37*(1-MAX(0,CK38)*H_Exit))</f>
        <v>4654.56424367576</v>
      </c>
      <c r="FY38" s="20" t="n">
        <f aca="false">IF(H_Direct=1,IF(ALL37&lt;=0,0,IF(CL38&lt;=0,ALL37,ALL37-G38*MAX(0,CL38*ALL37-(JK38+MX38)))),ALL37*(1-MAX(0,CL38)*H_Exit))</f>
        <v>4627.83095454316</v>
      </c>
      <c r="FZ38" s="20" t="n">
        <f aca="false">IF(H_Direct=1,IF(ALM37&lt;=0,0,IF(CM38&lt;=0,ALM37,ALM37-G38*MAX(0,CM38*ALM37-(JL38+MY38)))),ALM37*(1-MAX(0,CM38)*H_Exit))</f>
        <v>4602.86731835879</v>
      </c>
      <c r="GA38" s="20" t="n">
        <f aca="false">IF(H_Direct=1,IF(ALN37&lt;=0,0,IF(CN38&lt;=0,ALN37,ALN37-G38*MAX(0,CN38*ALN37-(JM38+MZ38)))),ALN37*(1-MAX(0,CN38)*H_Exit))</f>
        <v>4579.66441435988</v>
      </c>
      <c r="GB38" s="20" t="n">
        <f aca="false">IF(H_Direct=1,IF(ALO37&lt;=0,0,IF(CO38&lt;=0,ALO37,ALO37-G38*MAX(0,CO38*ALO37-(JN38+NA38)))),ALO37*(1-MAX(0,CO38)*H_Exit))</f>
        <v>4558.21399555725</v>
      </c>
      <c r="GC38" s="20" t="n">
        <f aca="false">IF(H_Direct=1,IF(ALP37&lt;=0,0,IF(CP38&lt;=0,ALP37,ALP37-G38*MAX(0,CP38*ALP37-(JO38+NB38)))),ALP37*(1-MAX(0,CP38)*H_Exit))</f>
        <v>4525.86880829433</v>
      </c>
      <c r="GD38" s="20" t="n">
        <f aca="false">IF(H_Direct=1,IF(ALQ37&lt;=0,0,IF(CQ38&lt;=0,ALQ37,ALQ37-G38*MAX(0,CQ38*ALQ37-(JP38+NC38)))),ALQ37*(1-MAX(0,CQ38)*H_Exit))</f>
        <v>4495.25189934719</v>
      </c>
      <c r="GE38" s="20" t="n">
        <f aca="false">IF(H_Direct=1,IF(ALR37&lt;=0,0,IF(CR38&lt;=0,ALR37,ALR37-G38*MAX(0,CR38*ALR37-(JQ38+ND38)))),ALR37*(1-MAX(0,CR38)*H_Exit))</f>
        <v>67564.967282085</v>
      </c>
      <c r="GF38" s="20" t="n">
        <f aca="false">IF(H_Direct=1,IF(ALS37&lt;=0,0,IF(CS38&lt;=0,ALS37,ALS37-G38*MAX(0,CS38*ALS37-(JR38+NE38)))),ALS37*(1-MAX(0,CS38)*H_Exit))</f>
        <v>0</v>
      </c>
      <c r="GG38" s="20" t="n">
        <f aca="false">IF(H_Direct=1,IF(ALT37&lt;=0,0,IF(CT38&lt;=0,ALT37,ALT37-G38*MAX(0,CT38*ALT37-(JS38+NF38)))),ALT37*(1-MAX(0,CT38)*H_Exit))</f>
        <v>0</v>
      </c>
      <c r="GH38" s="20" t="n">
        <f aca="false">IF(H_Direct=1,IF(ALU37&lt;=0,0,IF(CU38&lt;=0,ALU37,ALU37-G38*MAX(0,CU38*ALU37-(JT38+NG38)))),ALU37*(1-MAX(0,CU38)*H_Exit))</f>
        <v>1816.95442216382</v>
      </c>
      <c r="GI38" s="20" t="n">
        <f aca="false">IF(H_Direct=1,IF(ALV37&lt;=0,0,IF(CV38&lt;=0,ALV37,ALV37-G38*MAX(0,CV38*ALV37-(JU38+NH38)))),ALV37*(1-MAX(0,CV38)*H_Exit))</f>
        <v>0</v>
      </c>
      <c r="GJ38" s="20" t="n">
        <f aca="false">IF(H_Direct=1,IF((P38+S38)&lt;=0,0,IF(CW38&lt;=0,(P38+S38),(P38+S38)-G38*MAX(0,CW38*(P38+S38)-(JV38+NI38)))),(P38+S38)*(1-MAX(0,CW38)*H_Exit))</f>
        <v>0</v>
      </c>
      <c r="GK38" s="20" t="n">
        <v>0</v>
      </c>
      <c r="GL38" s="20" t="n">
        <v>0</v>
      </c>
      <c r="GM38" s="20" t="n">
        <v>0</v>
      </c>
      <c r="GN38" s="20" t="n">
        <v>0</v>
      </c>
      <c r="GO38" s="20" t="n">
        <v>0</v>
      </c>
      <c r="GP38" s="20" t="n">
        <v>0</v>
      </c>
      <c r="GQ38" s="20" t="n">
        <v>0</v>
      </c>
      <c r="GR38" s="20" t="n">
        <v>0</v>
      </c>
      <c r="GS38" s="20" t="n">
        <v>0</v>
      </c>
      <c r="GT38" s="20" t="n">
        <v>0</v>
      </c>
      <c r="GU38" s="20" t="n">
        <v>0</v>
      </c>
      <c r="GV38" s="20" t="n">
        <v>0</v>
      </c>
      <c r="GW38" s="20" t="n">
        <v>0</v>
      </c>
      <c r="GX38" s="20" t="n">
        <v>0</v>
      </c>
      <c r="GY38" s="20" t="n">
        <v>0</v>
      </c>
      <c r="GZ38" s="20" t="n">
        <v>0</v>
      </c>
      <c r="HA38" s="20" t="n">
        <v>0</v>
      </c>
      <c r="HB38" s="20" t="n">
        <v>0</v>
      </c>
      <c r="HC38" s="20" t="n">
        <v>0</v>
      </c>
      <c r="HD38" s="20" t="n">
        <v>0</v>
      </c>
      <c r="HE38" s="20" t="n">
        <v>0</v>
      </c>
      <c r="HF38" s="20" t="n">
        <v>0</v>
      </c>
      <c r="HG38" s="20" t="n">
        <v>0</v>
      </c>
      <c r="HH38" s="20" t="n">
        <v>0</v>
      </c>
      <c r="HI38" s="20" t="n">
        <v>0</v>
      </c>
      <c r="HJ38" s="20" t="n">
        <v>0</v>
      </c>
      <c r="HK38" s="20" t="n">
        <v>0</v>
      </c>
      <c r="HL38" s="20" t="n">
        <v>0</v>
      </c>
      <c r="HM38" s="20" t="n">
        <v>0</v>
      </c>
      <c r="HN38" s="20" t="n">
        <v>0</v>
      </c>
      <c r="HO38" s="20" t="n">
        <v>0</v>
      </c>
      <c r="HP38" s="20" t="n">
        <v>0</v>
      </c>
      <c r="HQ38" s="20" t="n">
        <v>0</v>
      </c>
      <c r="HR38" s="20" t="n">
        <v>0</v>
      </c>
      <c r="HS38" s="20" t="n">
        <v>0</v>
      </c>
      <c r="HT38" s="20" t="n">
        <v>0</v>
      </c>
      <c r="HU38" s="20" t="n">
        <v>0</v>
      </c>
      <c r="HV38" s="20" t="n">
        <v>0</v>
      </c>
      <c r="HW38" s="20" t="n">
        <v>0</v>
      </c>
      <c r="HX38" s="20" t="n">
        <v>0</v>
      </c>
      <c r="HY38" s="20" t="n">
        <v>0</v>
      </c>
      <c r="HZ38" s="20" t="n">
        <v>0</v>
      </c>
      <c r="IA38" s="20" t="n">
        <v>0</v>
      </c>
      <c r="IB38" s="20" t="n">
        <v>0</v>
      </c>
      <c r="IC38" s="20" t="n">
        <v>0</v>
      </c>
      <c r="ID38" s="20" t="n">
        <v>0</v>
      </c>
      <c r="IE38" s="20" t="n">
        <v>0</v>
      </c>
      <c r="IF38" s="20" t="n">
        <v>0</v>
      </c>
      <c r="IG38" s="20" t="n">
        <v>0</v>
      </c>
      <c r="IH38" s="20" t="n">
        <v>0</v>
      </c>
      <c r="II38" s="20" t="n">
        <v>0</v>
      </c>
      <c r="IJ38" s="20" t="n">
        <v>0</v>
      </c>
      <c r="IK38" s="20" t="n">
        <v>0</v>
      </c>
      <c r="IL38" s="20" t="n">
        <v>0</v>
      </c>
      <c r="IM38" s="20" t="n">
        <v>0</v>
      </c>
      <c r="IN38" s="20" t="n">
        <v>0</v>
      </c>
      <c r="IO38" s="20" t="n">
        <v>0</v>
      </c>
      <c r="IP38" s="20" t="n">
        <v>0</v>
      </c>
      <c r="IQ38" s="20" t="n">
        <v>0</v>
      </c>
      <c r="IR38" s="20" t="n">
        <f aca="false">IF(AND(H_Direct=1,BR38&gt;0),MAX(0,H38-(MIN(BR38*AKR37,H38+I38)-MIN(MIN(BR38*AKR37,H38+I38),I38))),H38)</f>
        <v>1270</v>
      </c>
      <c r="IS38" s="20" t="n">
        <f aca="false">IF(AND(H_Direct=1,BS38&gt;0),MAX(0,IR38-(MIN(BS38*AKS37,IR38+ME38)-MIN(MIN(BS38*AKS37,IR38+ME38),ME38))),IR38)</f>
        <v>1270</v>
      </c>
      <c r="IT38" s="20" t="n">
        <f aca="false">IF(AND(H_Direct=1,BT38&gt;0),MAX(0,IS38-(MIN(BT38*AKT37,IS38+MF38)-MIN(MIN(BT38*AKT37,IS38+MF38),MF38))),IS38)</f>
        <v>1270</v>
      </c>
      <c r="IU38" s="20" t="n">
        <f aca="false">IF(AND(H_Direct=1,BU38&gt;0),MAX(0,IT38-(MIN(BU38*AKU37,IT38+MG38)-MIN(MIN(BU38*AKU37,IT38+MG38),MG38))),IT38)</f>
        <v>1270</v>
      </c>
      <c r="IV38" s="20" t="n">
        <f aca="false">IF(AND(H_Direct=1,BV38&gt;0),MAX(0,IU38-(MIN(BV38*AKV37,IU38+MH38)-MIN(MIN(BV38*AKV37,IU38+MH38),MH38))),IU38)</f>
        <v>1270</v>
      </c>
      <c r="IW38" s="20" t="n">
        <f aca="false">IF(AND(H_Direct=1,BW38&gt;0),MAX(0,IV38-(MIN(BW38*AKW37,IV38+MI38)-MIN(MIN(BW38*AKW37,IV38+MI38),MI38))),IV38)</f>
        <v>1270</v>
      </c>
      <c r="IX38" s="20" t="n">
        <f aca="false">IF(AND(H_Direct=1,BX38&gt;0),MAX(0,IW38-(MIN(BX38*AKX37,IW38+MJ38)-MIN(MIN(BX38*AKX37,IW38+MJ38),MJ38))),IW38)</f>
        <v>1270</v>
      </c>
      <c r="IY38" s="20" t="n">
        <f aca="false">IF(AND(H_Direct=1,BY38&gt;0),MAX(0,IX38-(MIN(BY38*AKY37,IX38+MK38)-MIN(MIN(BY38*AKY37,IX38+MK38),MK38))),IX38)</f>
        <v>1270</v>
      </c>
      <c r="IZ38" s="20" t="n">
        <f aca="false">IF(AND(H_Direct=1,BZ38&gt;0),MAX(0,IY38-(MIN(BZ38*AKZ37,IY38+ML38)-MIN(MIN(BZ38*AKZ37,IY38+ML38),ML38))),IY38)</f>
        <v>1270</v>
      </c>
      <c r="JA38" s="20" t="n">
        <f aca="false">IF(AND(H_Direct=1,CA38&gt;0),MAX(0,IZ38-(MIN(CA38*ALA37,IZ38+MM38)-MIN(MIN(CA38*ALA37,IZ38+MM38),MM38))),IZ38)</f>
        <v>1270</v>
      </c>
      <c r="JB38" s="20" t="n">
        <f aca="false">IF(AND(H_Direct=1,CB38&gt;0),MAX(0,JA38-(MIN(CB38*ALB37,JA38+MN38)-MIN(MIN(CB38*ALB37,JA38+MN38),MN38))),JA38)</f>
        <v>1270</v>
      </c>
      <c r="JC38" s="20" t="n">
        <f aca="false">IF(AND(H_Direct=1,CC38&gt;0),MAX(0,JB38-(MIN(CC38*ALC37,JB38+MO38)-MIN(MIN(CC38*ALC37,JB38+MO38),MO38))),JB38)</f>
        <v>1270</v>
      </c>
      <c r="JD38" s="20" t="n">
        <f aca="false">IF(AND(H_Direct=1,CD38&gt;0),MAX(0,JC38-(MIN(CD38*ALD37,JC38+MP38)-MIN(MIN(CD38*ALD37,JC38+MP38),MP38))),JC38)</f>
        <v>1270</v>
      </c>
      <c r="JE38" s="20" t="n">
        <f aca="false">IF(AND(H_Direct=1,CE38&gt;0),MAX(0,JD38-(MIN(CE38*ALE37,JD38+MQ38)-MIN(MIN(CE38*ALE37,JD38+MQ38),MQ38))),JD38)</f>
        <v>1270</v>
      </c>
      <c r="JF38" s="20" t="n">
        <f aca="false">IF(AND(H_Direct=1,CF38&gt;0),MAX(0,JE38-(MIN(CF38*ALF37,JE38+MR38)-MIN(MIN(CF38*ALF37,JE38+MR38),MR38))),JE38)</f>
        <v>1270</v>
      </c>
      <c r="JG38" s="20" t="n">
        <f aca="false">IF(AND(H_Direct=1,CG38&gt;0),MAX(0,JF38-(MIN(CG38*ALG37,JF38+MS38)-MIN(MIN(CG38*ALG37,JF38+MS38),MS38))),JF38)</f>
        <v>1270</v>
      </c>
      <c r="JH38" s="20" t="n">
        <f aca="false">IF(AND(H_Direct=1,CH38&gt;0),MAX(0,JG38-(MIN(CH38*ALH37,JG38+MT38)-MIN(MIN(CH38*ALH37,JG38+MT38),MT38))),JG38)</f>
        <v>1270</v>
      </c>
      <c r="JI38" s="20" t="n">
        <f aca="false">IF(AND(H_Direct=1,CI38&gt;0),MAX(0,JH38-(MIN(CI38*ALI37,JH38+MU38)-MIN(MIN(CI38*ALI37,JH38+MU38),MU38))),JH38)</f>
        <v>1270</v>
      </c>
      <c r="JJ38" s="20" t="n">
        <f aca="false">IF(AND(H_Direct=1,CJ38&gt;0),MAX(0,JI38-(MIN(CJ38*ALJ37,JI38+MV38)-MIN(MIN(CJ38*ALJ37,JI38+MV38),MV38))),JI38)</f>
        <v>1270</v>
      </c>
      <c r="JK38" s="20" t="n">
        <f aca="false">IF(AND(H_Direct=1,CK38&gt;0),MAX(0,JJ38-(MIN(CK38*ALK37,JJ38+MW38)-MIN(MIN(CK38*ALK37,JJ38+MW38),MW38))),JJ38)</f>
        <v>1270</v>
      </c>
      <c r="JL38" s="20" t="n">
        <f aca="false">IF(AND(H_Direct=1,CL38&gt;0),MAX(0,JK38-(MIN(CL38*ALL37,JK38+MX38)-MIN(MIN(CL38*ALL37,JK38+MX38),MX38))),JK38)</f>
        <v>1270</v>
      </c>
      <c r="JM38" s="20" t="n">
        <f aca="false">IF(AND(H_Direct=1,CM38&gt;0),MAX(0,JL38-(MIN(CM38*ALM37,JL38+MY38)-MIN(MIN(CM38*ALM37,JL38+MY38),MY38))),JL38)</f>
        <v>1270</v>
      </c>
      <c r="JN38" s="20" t="n">
        <f aca="false">IF(AND(H_Direct=1,CN38&gt;0),MAX(0,JM38-(MIN(CN38*ALN37,JM38+MZ38)-MIN(MIN(CN38*ALN37,JM38+MZ38),MZ38))),JM38)</f>
        <v>1270</v>
      </c>
      <c r="JO38" s="20" t="n">
        <f aca="false">IF(AND(H_Direct=1,CO38&gt;0),MAX(0,JN38-(MIN(CO38*ALO37,JN38+NA38)-MIN(MIN(CO38*ALO37,JN38+NA38),NA38))),JN38)</f>
        <v>1270</v>
      </c>
      <c r="JP38" s="20" t="n">
        <f aca="false">IF(AND(H_Direct=1,CP38&gt;0),MAX(0,JO38-(MIN(CP38*ALP37,JO38+NB38)-MIN(MIN(CP38*ALP37,JO38+NB38),NB38))),JO38)</f>
        <v>1270</v>
      </c>
      <c r="JQ38" s="20" t="n">
        <f aca="false">IF(AND(H_Direct=1,CQ38&gt;0),MAX(0,JP38-(MIN(CQ38*ALQ37,JP38+NC38)-MIN(MIN(CQ38*ALQ37,JP38+NC38),NC38))),JP38)</f>
        <v>1270</v>
      </c>
      <c r="JR38" s="20" t="n">
        <f aca="false">IF(AND(H_Direct=1,CR38&gt;0),MAX(0,JQ38-(MIN(CR38*ALR37,JQ38+ND38)-MIN(MIN(CR38*ALR37,JQ38+ND38),ND38))),JQ38)</f>
        <v>1270</v>
      </c>
      <c r="JS38" s="20" t="n">
        <f aca="false">IF(AND(H_Direct=1,CS38&gt;0),MAX(0,JR38-(MIN(CS38*ALS37,JR38+NE38)-MIN(MIN(CS38*ALS37,JR38+NE38),NE38))),JR38)</f>
        <v>1270</v>
      </c>
      <c r="JT38" s="20" t="n">
        <f aca="false">IF(AND(H_Direct=1,CT38&gt;0),MAX(0,JS38-(MIN(CT38*ALT37,JS38+NF38)-MIN(MIN(CT38*ALT37,JS38+NF38),NF38))),JS38)</f>
        <v>1270</v>
      </c>
      <c r="JU38" s="20" t="n">
        <f aca="false">IF(AND(H_Direct=1,CU38&gt;0),MAX(0,JT38-(MIN(CU38*ALU37,JT38+NG38)-MIN(MIN(CU38*ALU37,JT38+NG38),NG38))),JT38)</f>
        <v>1270</v>
      </c>
      <c r="JV38" s="20" t="n">
        <f aca="false">IF(AND(H_Direct=1,CV38&gt;0),MAX(0,JU38-(MIN(CV38*ALV37,JU38+NH38)-MIN(MIN(CV38*ALV37,JU38+NH38),NH38))),JU38)</f>
        <v>1270</v>
      </c>
      <c r="JW38" s="20" t="n">
        <f aca="false">IF(AND(H_Direct=1,CW38&gt;0),MAX(0,JV38-(MIN(CW38*(P38+S38),JV38+NI38)-MIN(MIN(CW38*(P38+S38),JV38+NI38),NI38))),JV38)</f>
        <v>1270</v>
      </c>
      <c r="JX38" s="20" t="n">
        <f aca="false">JW38</f>
        <v>1270</v>
      </c>
      <c r="JY38" s="20" t="n">
        <f aca="false">JX38</f>
        <v>1270</v>
      </c>
      <c r="JZ38" s="20" t="n">
        <f aca="false">JY38</f>
        <v>1270</v>
      </c>
      <c r="KA38" s="20" t="n">
        <f aca="false">JZ38</f>
        <v>1270</v>
      </c>
      <c r="KB38" s="20" t="n">
        <f aca="false">KA38</f>
        <v>1270</v>
      </c>
      <c r="KC38" s="20" t="n">
        <f aca="false">KB38</f>
        <v>1270</v>
      </c>
      <c r="KD38" s="20" t="n">
        <f aca="false">KC38</f>
        <v>1270</v>
      </c>
      <c r="KE38" s="20" t="n">
        <f aca="false">KD38</f>
        <v>1270</v>
      </c>
      <c r="KF38" s="20" t="n">
        <f aca="false">KE38</f>
        <v>1270</v>
      </c>
      <c r="KG38" s="20" t="n">
        <f aca="false">KF38</f>
        <v>1270</v>
      </c>
      <c r="KH38" s="20" t="n">
        <f aca="false">KG38</f>
        <v>1270</v>
      </c>
      <c r="KI38" s="20" t="n">
        <f aca="false">KH38</f>
        <v>1270</v>
      </c>
      <c r="KJ38" s="20" t="n">
        <f aca="false">KI38</f>
        <v>1270</v>
      </c>
      <c r="KK38" s="20" t="n">
        <f aca="false">KJ38</f>
        <v>1270</v>
      </c>
      <c r="KL38" s="20" t="n">
        <f aca="false">KK38</f>
        <v>1270</v>
      </c>
      <c r="KM38" s="20" t="n">
        <f aca="false">KL38</f>
        <v>1270</v>
      </c>
      <c r="KN38" s="20" t="n">
        <f aca="false">KM38</f>
        <v>1270</v>
      </c>
      <c r="KO38" s="20" t="n">
        <f aca="false">KN38</f>
        <v>1270</v>
      </c>
      <c r="KP38" s="20" t="n">
        <f aca="false">KO38</f>
        <v>1270</v>
      </c>
      <c r="KQ38" s="20" t="n">
        <f aca="false">KP38</f>
        <v>1270</v>
      </c>
      <c r="KR38" s="20" t="n">
        <f aca="false">KQ38</f>
        <v>1270</v>
      </c>
      <c r="KS38" s="20" t="n">
        <f aca="false">KR38</f>
        <v>1270</v>
      </c>
      <c r="KT38" s="20" t="n">
        <f aca="false">KS38</f>
        <v>1270</v>
      </c>
      <c r="KU38" s="20" t="n">
        <f aca="false">KT38</f>
        <v>1270</v>
      </c>
      <c r="KV38" s="20" t="n">
        <f aca="false">KU38</f>
        <v>1270</v>
      </c>
      <c r="KW38" s="20" t="n">
        <f aca="false">KV38</f>
        <v>1270</v>
      </c>
      <c r="KX38" s="20" t="n">
        <f aca="false">KW38</f>
        <v>1270</v>
      </c>
      <c r="KY38" s="20" t="n">
        <f aca="false">KX38</f>
        <v>1270</v>
      </c>
      <c r="KZ38" s="20" t="n">
        <f aca="false">KY38</f>
        <v>1270</v>
      </c>
      <c r="LA38" s="20" t="n">
        <f aca="false">KZ38</f>
        <v>1270</v>
      </c>
      <c r="LB38" s="20" t="n">
        <f aca="false">LA38</f>
        <v>1270</v>
      </c>
      <c r="LC38" s="20" t="n">
        <f aca="false">LB38</f>
        <v>1270</v>
      </c>
      <c r="LD38" s="20" t="n">
        <f aca="false">LC38</f>
        <v>1270</v>
      </c>
      <c r="LE38" s="20" t="n">
        <f aca="false">LD38</f>
        <v>1270</v>
      </c>
      <c r="LF38" s="20" t="n">
        <f aca="false">LE38</f>
        <v>1270</v>
      </c>
      <c r="LG38" s="20" t="n">
        <f aca="false">LF38</f>
        <v>1270</v>
      </c>
      <c r="LH38" s="20" t="n">
        <f aca="false">LG38</f>
        <v>1270</v>
      </c>
      <c r="LI38" s="20" t="n">
        <f aca="false">LH38</f>
        <v>1270</v>
      </c>
      <c r="LJ38" s="20" t="n">
        <f aca="false">LI38</f>
        <v>1270</v>
      </c>
      <c r="LK38" s="20" t="n">
        <f aca="false">LJ38</f>
        <v>1270</v>
      </c>
      <c r="LL38" s="20" t="n">
        <f aca="false">LK38</f>
        <v>1270</v>
      </c>
      <c r="LM38" s="20" t="n">
        <f aca="false">LL38</f>
        <v>1270</v>
      </c>
      <c r="LN38" s="20" t="n">
        <f aca="false">LM38</f>
        <v>1270</v>
      </c>
      <c r="LO38" s="20" t="n">
        <f aca="false">LN38</f>
        <v>1270</v>
      </c>
      <c r="LP38" s="20" t="n">
        <f aca="false">LO38</f>
        <v>1270</v>
      </c>
      <c r="LQ38" s="20" t="n">
        <f aca="false">LP38</f>
        <v>1270</v>
      </c>
      <c r="LR38" s="20" t="n">
        <f aca="false">LQ38</f>
        <v>1270</v>
      </c>
      <c r="LS38" s="20" t="n">
        <f aca="false">LR38</f>
        <v>1270</v>
      </c>
      <c r="LT38" s="20" t="n">
        <f aca="false">LS38</f>
        <v>1270</v>
      </c>
      <c r="LU38" s="20" t="n">
        <f aca="false">LT38</f>
        <v>1270</v>
      </c>
      <c r="LV38" s="20" t="n">
        <f aca="false">LU38</f>
        <v>1270</v>
      </c>
      <c r="LW38" s="20" t="n">
        <f aca="false">LV38</f>
        <v>1270</v>
      </c>
      <c r="LX38" s="20" t="n">
        <f aca="false">LW38</f>
        <v>1270</v>
      </c>
      <c r="LY38" s="20" t="n">
        <f aca="false">LX38</f>
        <v>1270</v>
      </c>
      <c r="LZ38" s="20" t="n">
        <f aca="false">LY38</f>
        <v>1270</v>
      </c>
      <c r="MA38" s="20" t="n">
        <f aca="false">LZ38</f>
        <v>1270</v>
      </c>
      <c r="MB38" s="20" t="n">
        <f aca="false">MA38</f>
        <v>1270</v>
      </c>
      <c r="MC38" s="20" t="n">
        <f aca="false">MB38</f>
        <v>1270</v>
      </c>
      <c r="MD38" s="20" t="n">
        <f aca="false">MC38</f>
        <v>1270</v>
      </c>
      <c r="ME38" s="20" t="n">
        <f aca="false">IF(H_Direct=1,IF(BR38&lt;=0,I38-BR38*AKR37,I38-MIN(MIN(BR38*AKR37,H38+I38),I38)),I38)</f>
        <v>0</v>
      </c>
      <c r="MF38" s="20" t="n">
        <f aca="false">IF(H_Direct=1,IF(BS38&lt;=0,ME38-BS38*AKS37,ME38-MIN(MIN(BS38*AKS37,IR38+ME38),ME38)),ME38)</f>
        <v>0</v>
      </c>
      <c r="MG38" s="20" t="n">
        <f aca="false">IF(H_Direct=1,IF(BT38&lt;=0,MF38-BT38*AKT37,MF38-MIN(MIN(BT38*AKT37,IS38+MF38),MF38)),MF38)</f>
        <v>0</v>
      </c>
      <c r="MH38" s="20" t="n">
        <f aca="false">IF(H_Direct=1,IF(BU38&lt;=0,MG38-BU38*AKU37,MG38-MIN(MIN(BU38*AKU37,IT38+MG38),MG38)),MG38)</f>
        <v>0</v>
      </c>
      <c r="MI38" s="20" t="n">
        <f aca="false">IF(H_Direct=1,IF(BV38&lt;=0,MH38-BV38*AKV37,MH38-MIN(MIN(BV38*AKV37,IU38+MH38),MH38)),MH38)</f>
        <v>0</v>
      </c>
      <c r="MJ38" s="20" t="n">
        <f aca="false">IF(H_Direct=1,IF(BW38&lt;=0,MI38-BW38*AKW37,MI38-MIN(MIN(BW38*AKW37,IV38+MI38),MI38)),MI38)</f>
        <v>0</v>
      </c>
      <c r="MK38" s="20" t="n">
        <f aca="false">IF(H_Direct=1,IF(BX38&lt;=0,MJ38-BX38*AKX37,MJ38-MIN(MIN(BX38*AKX37,IW38+MJ38),MJ38)),MJ38)</f>
        <v>0</v>
      </c>
      <c r="ML38" s="20" t="n">
        <f aca="false">IF(H_Direct=1,IF(BY38&lt;=0,MK38-BY38*AKY37,MK38-MIN(MIN(BY38*AKY37,IX38+MK38),MK38)),MK38)</f>
        <v>0</v>
      </c>
      <c r="MM38" s="20" t="n">
        <f aca="false">IF(H_Direct=1,IF(BZ38&lt;=0,ML38-BZ38*AKZ37,ML38-MIN(MIN(BZ38*AKZ37,IY38+ML38),ML38)),ML38)</f>
        <v>0</v>
      </c>
      <c r="MN38" s="20" t="n">
        <f aca="false">IF(H_Direct=1,IF(CA38&lt;=0,MM38-CA38*ALA37,MM38-MIN(MIN(CA38*ALA37,IZ38+MM38),MM38)),MM38)</f>
        <v>0</v>
      </c>
      <c r="MO38" s="20" t="n">
        <f aca="false">IF(H_Direct=1,IF(CB38&lt;=0,MN38-CB38*ALB37,MN38-MIN(MIN(CB38*ALB37,JA38+MN38),MN38)),MN38)</f>
        <v>0</v>
      </c>
      <c r="MP38" s="20" t="n">
        <f aca="false">IF(H_Direct=1,IF(CC38&lt;=0,MO38-CC38*ALC37,MO38-MIN(MIN(CC38*ALC37,JB38+MO38),MO38)),MO38)</f>
        <v>0</v>
      </c>
      <c r="MQ38" s="20" t="n">
        <f aca="false">IF(H_Direct=1,IF(CD38&lt;=0,MP38-CD38*ALD37,MP38-MIN(MIN(CD38*ALD37,JC38+MP38),MP38)),MP38)</f>
        <v>0</v>
      </c>
      <c r="MR38" s="20" t="n">
        <f aca="false">IF(H_Direct=1,IF(CE38&lt;=0,MQ38-CE38*ALE37,MQ38-MIN(MIN(CE38*ALE37,JD38+MQ38),MQ38)),MQ38)</f>
        <v>0</v>
      </c>
      <c r="MS38" s="20" t="n">
        <f aca="false">IF(H_Direct=1,IF(CF38&lt;=0,MR38-CF38*ALF37,MR38-MIN(MIN(CF38*ALF37,JE38+MR38),MR38)),MR38)</f>
        <v>0</v>
      </c>
      <c r="MT38" s="20" t="n">
        <f aca="false">IF(H_Direct=1,IF(CG38&lt;=0,MS38-CG38*ALG37,MS38-MIN(MIN(CG38*ALG37,JF38+MS38),MS38)),MS38)</f>
        <v>0</v>
      </c>
      <c r="MU38" s="20" t="n">
        <f aca="false">IF(H_Direct=1,IF(CH38&lt;=0,MT38-CH38*ALH37,MT38-MIN(MIN(CH38*ALH37,JG38+MT38),MT38)),MT38)</f>
        <v>0</v>
      </c>
      <c r="MV38" s="20" t="n">
        <f aca="false">IF(H_Direct=1,IF(CI38&lt;=0,MU38-CI38*ALI37,MU38-MIN(MIN(CI38*ALI37,JH38+MU38),MU38)),MU38)</f>
        <v>0</v>
      </c>
      <c r="MW38" s="20" t="n">
        <f aca="false">IF(H_Direct=1,IF(CJ38&lt;=0,MV38-CJ38*ALJ37,MV38-MIN(MIN(CJ38*ALJ37,JI38+MV38),MV38)),MV38)</f>
        <v>0</v>
      </c>
      <c r="MX38" s="20" t="n">
        <f aca="false">IF(H_Direct=1,IF(CK38&lt;=0,MW38-CK38*ALK37,MW38-MIN(MIN(CK38*ALK37,JJ38+MW38),MW38)),MW38)</f>
        <v>0</v>
      </c>
      <c r="MY38" s="20" t="n">
        <f aca="false">IF(H_Direct=1,IF(CL38&lt;=0,MX38-CL38*ALL37,MX38-MIN(MIN(CL38*ALL37,JK38+MX38),MX38)),MX38)</f>
        <v>0</v>
      </c>
      <c r="MZ38" s="20" t="n">
        <f aca="false">IF(H_Direct=1,IF(CM38&lt;=0,MY38-CM38*ALM37,MY38-MIN(MIN(CM38*ALM37,JL38+MY38),MY38)),MY38)</f>
        <v>0</v>
      </c>
      <c r="NA38" s="20" t="n">
        <f aca="false">IF(H_Direct=1,IF(CN38&lt;=0,MZ38-CN38*ALN37,MZ38-MIN(MIN(CN38*ALN37,JM38+MZ38),MZ38)),MZ38)</f>
        <v>0</v>
      </c>
      <c r="NB38" s="20" t="n">
        <f aca="false">IF(H_Direct=1,IF(CO38&lt;=0,NA38-CO38*ALO37,NA38-MIN(MIN(CO38*ALO37,JN38+NA38),NA38)),NA38)</f>
        <v>0</v>
      </c>
      <c r="NC38" s="20" t="n">
        <f aca="false">IF(H_Direct=1,IF(CP38&lt;=0,NB38-CP38*ALP37,NB38-MIN(MIN(CP38*ALP37,JO38+NB38),NB38)),NB38)</f>
        <v>0</v>
      </c>
      <c r="ND38" s="20" t="n">
        <f aca="false">IF(H_Direct=1,IF(CQ38&lt;=0,NC38-CQ38*ALQ37,NC38-MIN(MIN(CQ38*ALQ37,JP38+NC38),NC38)),NC38)</f>
        <v>0</v>
      </c>
      <c r="NE38" s="20" t="n">
        <f aca="false">IF(H_Direct=1,IF(CR38&lt;=0,ND38-CR38*ALR37,ND38-MIN(MIN(CR38*ALR37,JQ38+ND38),ND38)),ND38)</f>
        <v>0</v>
      </c>
      <c r="NF38" s="20" t="n">
        <f aca="false">IF(H_Direct=1,IF(CS38&lt;=0,NE38-CS38*ALS37,NE38-MIN(MIN(CS38*ALS37,JR38+NE38),NE38)),NE38)</f>
        <v>0</v>
      </c>
      <c r="NG38" s="20" t="n">
        <f aca="false">IF(H_Direct=1,IF(CT38&lt;=0,NF38-CT38*ALT37,NF38-MIN(MIN(CT38*ALT37,JS38+NF38),NF38)),NF38)</f>
        <v>0</v>
      </c>
      <c r="NH38" s="20" t="n">
        <f aca="false">IF(H_Direct=1,IF(CU38&lt;=0,NG38-CU38*ALU37,NG38-MIN(MIN(CU38*ALU37,JT38+NG38),NG38)),NG38)</f>
        <v>0</v>
      </c>
      <c r="NI38" s="20" t="n">
        <f aca="false">IF(H_Direct=1,IF(CV38&lt;=0,NH38-CV38*ALV37,NH38-MIN(MIN(CV38*ALV37,JU38+NH38),NH38)),NH38)</f>
        <v>0</v>
      </c>
      <c r="NJ38" s="20" t="n">
        <f aca="false">IF(H_Direct=1,IF(CW38&lt;=0,NI38-CW38*(P38+S38),NI38-MIN(MIN(CW38*(P38+S38),JV38+NI38),NI38)),NI38)</f>
        <v>0</v>
      </c>
      <c r="NK38" s="20" t="n">
        <f aca="false">NJ38</f>
        <v>0</v>
      </c>
      <c r="NL38" s="20" t="n">
        <f aca="false">NK38</f>
        <v>0</v>
      </c>
      <c r="NM38" s="20" t="n">
        <f aca="false">NL38</f>
        <v>0</v>
      </c>
      <c r="NN38" s="20" t="n">
        <f aca="false">NM38</f>
        <v>0</v>
      </c>
      <c r="NO38" s="20" t="n">
        <f aca="false">NN38</f>
        <v>0</v>
      </c>
      <c r="NP38" s="20" t="n">
        <f aca="false">NO38</f>
        <v>0</v>
      </c>
      <c r="NQ38" s="20" t="n">
        <f aca="false">NP38</f>
        <v>0</v>
      </c>
      <c r="NR38" s="20" t="n">
        <f aca="false">NQ38</f>
        <v>0</v>
      </c>
      <c r="NS38" s="20" t="n">
        <f aca="false">NR38</f>
        <v>0</v>
      </c>
      <c r="NT38" s="20" t="n">
        <f aca="false">NS38</f>
        <v>0</v>
      </c>
      <c r="NU38" s="20" t="n">
        <f aca="false">NT38</f>
        <v>0</v>
      </c>
      <c r="NV38" s="20" t="n">
        <f aca="false">NU38</f>
        <v>0</v>
      </c>
      <c r="NW38" s="20" t="n">
        <f aca="false">NV38</f>
        <v>0</v>
      </c>
      <c r="NX38" s="20" t="n">
        <f aca="false">NW38</f>
        <v>0</v>
      </c>
      <c r="NY38" s="20" t="n">
        <f aca="false">NX38</f>
        <v>0</v>
      </c>
      <c r="NZ38" s="20" t="n">
        <f aca="false">NY38</f>
        <v>0</v>
      </c>
      <c r="OA38" s="20" t="n">
        <f aca="false">NZ38</f>
        <v>0</v>
      </c>
      <c r="OB38" s="20" t="n">
        <f aca="false">OA38</f>
        <v>0</v>
      </c>
      <c r="OC38" s="20" t="n">
        <f aca="false">OB38</f>
        <v>0</v>
      </c>
      <c r="OD38" s="20" t="n">
        <f aca="false">OC38</f>
        <v>0</v>
      </c>
      <c r="OE38" s="20" t="n">
        <f aca="false">OD38</f>
        <v>0</v>
      </c>
      <c r="OF38" s="20" t="n">
        <f aca="false">OE38</f>
        <v>0</v>
      </c>
      <c r="OG38" s="20" t="n">
        <f aca="false">OF38</f>
        <v>0</v>
      </c>
      <c r="OH38" s="20" t="n">
        <f aca="false">OG38</f>
        <v>0</v>
      </c>
      <c r="OI38" s="20" t="n">
        <f aca="false">OH38</f>
        <v>0</v>
      </c>
      <c r="OJ38" s="20" t="n">
        <f aca="false">OI38</f>
        <v>0</v>
      </c>
      <c r="OK38" s="20" t="n">
        <f aca="false">OJ38</f>
        <v>0</v>
      </c>
      <c r="OL38" s="20" t="n">
        <f aca="false">OK38</f>
        <v>0</v>
      </c>
      <c r="OM38" s="20" t="n">
        <f aca="false">OL38</f>
        <v>0</v>
      </c>
      <c r="ON38" s="20" t="n">
        <f aca="false">OM38</f>
        <v>0</v>
      </c>
      <c r="OO38" s="20" t="n">
        <f aca="false">ON38</f>
        <v>0</v>
      </c>
      <c r="OP38" s="20" t="n">
        <f aca="false">OO38</f>
        <v>0</v>
      </c>
      <c r="OQ38" s="20" t="n">
        <f aca="false">OP38</f>
        <v>0</v>
      </c>
      <c r="OR38" s="20" t="n">
        <f aca="false">OQ38</f>
        <v>0</v>
      </c>
      <c r="OS38" s="20" t="n">
        <f aca="false">OR38</f>
        <v>0</v>
      </c>
      <c r="OT38" s="20" t="n">
        <f aca="false">OS38</f>
        <v>0</v>
      </c>
      <c r="OU38" s="20" t="n">
        <f aca="false">OT38</f>
        <v>0</v>
      </c>
      <c r="OV38" s="20" t="n">
        <f aca="false">OU38</f>
        <v>0</v>
      </c>
      <c r="OW38" s="20" t="n">
        <f aca="false">OV38</f>
        <v>0</v>
      </c>
      <c r="OX38" s="20" t="n">
        <f aca="false">OW38</f>
        <v>0</v>
      </c>
      <c r="OY38" s="20" t="n">
        <f aca="false">OX38</f>
        <v>0</v>
      </c>
      <c r="OZ38" s="20" t="n">
        <f aca="false">OY38</f>
        <v>0</v>
      </c>
      <c r="PA38" s="20" t="n">
        <f aca="false">OZ38</f>
        <v>0</v>
      </c>
      <c r="PB38" s="20" t="n">
        <f aca="false">PA38</f>
        <v>0</v>
      </c>
      <c r="PC38" s="20" t="n">
        <f aca="false">PB38</f>
        <v>0</v>
      </c>
      <c r="PD38" s="20" t="n">
        <f aca="false">PC38</f>
        <v>0</v>
      </c>
      <c r="PE38" s="20" t="n">
        <f aca="false">PD38</f>
        <v>0</v>
      </c>
      <c r="PF38" s="20" t="n">
        <f aca="false">PE38</f>
        <v>0</v>
      </c>
      <c r="PG38" s="20" t="n">
        <f aca="false">PF38</f>
        <v>0</v>
      </c>
      <c r="PH38" s="20" t="n">
        <f aca="false">PG38</f>
        <v>0</v>
      </c>
      <c r="PI38" s="20" t="n">
        <f aca="false">PH38</f>
        <v>0</v>
      </c>
      <c r="PJ38" s="20" t="n">
        <f aca="false">PI38</f>
        <v>0</v>
      </c>
      <c r="PK38" s="20" t="n">
        <f aca="false">PJ38</f>
        <v>0</v>
      </c>
      <c r="PL38" s="20" t="n">
        <f aca="false">PK38</f>
        <v>0</v>
      </c>
      <c r="PM38" s="20" t="n">
        <f aca="false">PL38</f>
        <v>0</v>
      </c>
      <c r="PN38" s="20" t="n">
        <f aca="false">PM38</f>
        <v>0</v>
      </c>
      <c r="PO38" s="20" t="n">
        <f aca="false">PN38</f>
        <v>0</v>
      </c>
      <c r="PP38" s="20" t="n">
        <f aca="false">PO38</f>
        <v>0</v>
      </c>
      <c r="PQ38" s="20" t="n">
        <f aca="false">PP38</f>
        <v>0</v>
      </c>
      <c r="PR38" s="20" t="n">
        <f aca="false">IF(H_Direct=1,IF(AKR37&lt;=0,0,IF(BR38&lt;=0,MIN(MAX(0,AB38),AKR37),MIN(MAX(0,AB38),AKR37-G38*MAX(0,BR38*AKR37-(H38+I38))))),MIN(FE38,MAX(0,AB38)))</f>
        <v>0</v>
      </c>
      <c r="PS38" s="20" t="n">
        <f aca="false">IF(H_Direct=1,IF(AKS37&lt;=0,0,IF(BS38&lt;=0,MIN(MAX(0,AB38-SUM(PR38:PR38)),AKS37),MIN(MAX(0,AB38-SUM(PR38:PR38)),AKS37-G38*MAX(0,BS38*AKS37-(WR38+AAE38))))),MIN(FF38,MAX(0,AB38-SUM(PR38:PR38))))</f>
        <v>0</v>
      </c>
      <c r="PT38" s="20" t="n">
        <f aca="false">IF(H_Direct=1,IF(AKT37&lt;=0,0,IF(BT38&lt;=0,MIN(MAX(0,AB38-SUM(PR38:PS38)),AKT37),MIN(MAX(0,AB38-SUM(PR38:PS38)),AKT37-G38*MAX(0,BT38*AKT37-(WS38+AAF38))))),MIN(FG38,MAX(0,AB38-SUM(PR38:PS38))))</f>
        <v>0</v>
      </c>
      <c r="PU38" s="20" t="n">
        <f aca="false">IF(H_Direct=1,IF(AKU37&lt;=0,0,IF(BU38&lt;=0,MIN(MAX(0,AB38-SUM(PR38:PT38)),AKU37),MIN(MAX(0,AB38-SUM(PR38:PT38)),AKU37-G38*MAX(0,BU38*AKU37-(WT38+AAG38))))),MIN(FH38,MAX(0,AB38-SUM(PR38:PT38))))</f>
        <v>0</v>
      </c>
      <c r="PV38" s="20" t="n">
        <f aca="false">IF(H_Direct=1,IF(AKV37&lt;=0,0,IF(BV38&lt;=0,MIN(MAX(0,AB38-SUM(PR38:PU38)),AKV37),MIN(MAX(0,AB38-SUM(PR38:PU38)),AKV37-G38*MAX(0,BV38*AKV37-(WU38+AAH38))))),MIN(FI38,MAX(0,AB38-SUM(PR38:PU38))))</f>
        <v>0</v>
      </c>
      <c r="PW38" s="20" t="n">
        <f aca="false">IF(H_Direct=1,IF(AKW37&lt;=0,0,IF(BW38&lt;=0,MIN(MAX(0,AB38-SUM(PR38:PV38)),AKW37),MIN(MAX(0,AB38-SUM(PR38:PV38)),AKW37-G38*MAX(0,BW38*AKW37-(WV38+AAI38))))),MIN(FJ38,MAX(0,AB38-SUM(PR38:PV38))))</f>
        <v>0</v>
      </c>
      <c r="PX38" s="20" t="n">
        <f aca="false">IF(H_Direct=1,IF(AKX37&lt;=0,0,IF(BX38&lt;=0,MIN(MAX(0,AB38-SUM(PR38:PW38)),AKX37),MIN(MAX(0,AB38-SUM(PR38:PW38)),AKX37-G38*MAX(0,BX38*AKX37-(WW38+AAJ38))))),MIN(FK38,MAX(0,AB38-SUM(PR38:PW38))))</f>
        <v>0</v>
      </c>
      <c r="PY38" s="20" t="n">
        <f aca="false">IF(H_Direct=1,IF(AKY37&lt;=0,0,IF(BY38&lt;=0,MIN(MAX(0,AB38-SUM(PR38:PX38)),AKY37),MIN(MAX(0,AB38-SUM(PR38:PX38)),AKY37-G38*MAX(0,BY38*AKY37-(WX38+AAK38))))),MIN(FL38,MAX(0,AB38-SUM(PR38:PX38))))</f>
        <v>0</v>
      </c>
      <c r="PZ38" s="20" t="n">
        <f aca="false">IF(H_Direct=1,IF(AKZ37&lt;=0,0,IF(BZ38&lt;=0,MIN(MAX(0,AB38-SUM(PR38:PY38)),AKZ37),MIN(MAX(0,AB38-SUM(PR38:PY38)),AKZ37-G38*MAX(0,BZ38*AKZ37-(WY38+AAL38))))),MIN(FM38,MAX(0,AB38-SUM(PR38:PY38))))</f>
        <v>0</v>
      </c>
      <c r="QA38" s="20" t="n">
        <f aca="false">IF(H_Direct=1,IF(ALA37&lt;=0,0,IF(CA38&lt;=0,MIN(MAX(0,AB38-SUM(PR38:PZ38)),ALA37),MIN(MAX(0,AB38-SUM(PR38:PZ38)),ALA37-G38*MAX(0,CA38*ALA37-(WZ38+AAM38))))),MIN(FN38,MAX(0,AB38-SUM(PR38:PZ38))))</f>
        <v>0</v>
      </c>
      <c r="QB38" s="20" t="n">
        <f aca="false">IF(H_Direct=1,IF(ALB37&lt;=0,0,IF(CB38&lt;=0,MIN(MAX(0,AB38-SUM(PR38:QA38)),ALB37),MIN(MAX(0,AB38-SUM(PR38:QA38)),ALB37-G38*MAX(0,CB38*ALB37-(XA38+AAN38))))),MIN(FO38,MAX(0,AB38-SUM(PR38:QA38))))</f>
        <v>0</v>
      </c>
      <c r="QC38" s="20" t="n">
        <f aca="false">IF(H_Direct=1,IF(ALC37&lt;=0,0,IF(CC38&lt;=0,MIN(MAX(0,AB38-SUM(PR38:QB38)),ALC37),MIN(MAX(0,AB38-SUM(PR38:QB38)),ALC37-G38*MAX(0,CC38*ALC37-(XB38+AAO38))))),MIN(FP38,MAX(0,AB38-SUM(PR38:QB38))))</f>
        <v>0</v>
      </c>
      <c r="QD38" s="20" t="n">
        <f aca="false">IF(H_Direct=1,IF(ALD37&lt;=0,0,IF(CD38&lt;=0,MIN(MAX(0,AB38-SUM(PR38:QC38)),ALD37),MIN(MAX(0,AB38-SUM(PR38:QC38)),ALD37-G38*MAX(0,CD38*ALD37-(XC38+AAP38))))),MIN(FQ38,MAX(0,AB38-SUM(PR38:QC38))))</f>
        <v>0</v>
      </c>
      <c r="QE38" s="20" t="n">
        <f aca="false">IF(H_Direct=1,IF(ALE37&lt;=0,0,IF(CE38&lt;=0,MIN(MAX(0,AB38-SUM(PR38:QD38)),ALE37),MIN(MAX(0,AB38-SUM(PR38:QD38)),ALE37-G38*MAX(0,CE38*ALE37-(XD38+AAQ38))))),MIN(FR38,MAX(0,AB38-SUM(PR38:QD38))))</f>
        <v>0</v>
      </c>
      <c r="QF38" s="20" t="n">
        <f aca="false">IF(H_Direct=1,IF(ALF37&lt;=0,0,IF(CF38&lt;=0,MIN(MAX(0,AB38-SUM(PR38:QE38)),ALF37),MIN(MAX(0,AB38-SUM(PR38:QE38)),ALF37-G38*MAX(0,CF38*ALF37-(XE38+AAR38))))),MIN(FS38,MAX(0,AB38-SUM(PR38:QE38))))</f>
        <v>0</v>
      </c>
      <c r="QG38" s="20" t="n">
        <f aca="false">IF(H_Direct=1,IF(ALG37&lt;=0,0,IF(CG38&lt;=0,MIN(MAX(0,AB38-SUM(PR38:QF38)),ALG37),MIN(MAX(0,AB38-SUM(PR38:QF38)),ALG37-G38*MAX(0,CG38*ALG37-(XF38+AAS38))))),MIN(FT38,MAX(0,AB38-SUM(PR38:QF38))))</f>
        <v>0</v>
      </c>
      <c r="QH38" s="20" t="n">
        <f aca="false">IF(H_Direct=1,IF(ALH37&lt;=0,0,IF(CH38&lt;=0,MIN(MAX(0,AB38-SUM(PR38:QG38)),ALH37),MIN(MAX(0,AB38-SUM(PR38:QG38)),ALH37-G38*MAX(0,CH38*ALH37-(XG38+AAT38))))),MIN(FU38,MAX(0,AB38-SUM(PR38:QG38))))</f>
        <v>0</v>
      </c>
      <c r="QI38" s="20" t="n">
        <f aca="false">IF(H_Direct=1,IF(ALI37&lt;=0,0,IF(CI38&lt;=0,MIN(MAX(0,AB38-SUM(PR38:QH38)),ALI37),MIN(MAX(0,AB38-SUM(PR38:QH38)),ALI37-G38*MAX(0,CI38*ALI37-(XH38+AAU38))))),MIN(FV38,MAX(0,AB38-SUM(PR38:QH38))))</f>
        <v>0</v>
      </c>
      <c r="QJ38" s="20" t="n">
        <f aca="false">IF(H_Direct=1,IF(ALJ37&lt;=0,0,IF(CJ38&lt;=0,MIN(MAX(0,AB38-SUM(PR38:QI38)),ALJ37),MIN(MAX(0,AB38-SUM(PR38:QI38)),ALJ37-G38*MAX(0,CJ38*ALJ37-(XI38+AAV38))))),MIN(FW38,MAX(0,AB38-SUM(PR38:QI38))))</f>
        <v>0</v>
      </c>
      <c r="QK38" s="20" t="n">
        <f aca="false">IF(H_Direct=1,IF(ALK37&lt;=0,0,IF(CK38&lt;=0,MIN(MAX(0,AB38-SUM(PR38:QJ38)),ALK37),MIN(MAX(0,AB38-SUM(PR38:QJ38)),ALK37-G38*MAX(0,CK38*ALK37-(XJ38+AAW38))))),MIN(FX38,MAX(0,AB38-SUM(PR38:QJ38))))</f>
        <v>0</v>
      </c>
      <c r="QL38" s="20" t="n">
        <f aca="false">IF(H_Direct=1,IF(ALL37&lt;=0,0,IF(CL38&lt;=0,MIN(MAX(0,AB38-SUM(PR38:QK38)),ALL37),MIN(MAX(0,AB38-SUM(PR38:QK38)),ALL37-G38*MAX(0,CL38*ALL37-(XK38+AAX38))))),MIN(FY38,MAX(0,AB38-SUM(PR38:QK38))))</f>
        <v>0</v>
      </c>
      <c r="QM38" s="20" t="n">
        <f aca="false">IF(H_Direct=1,IF(ALM37&lt;=0,0,IF(CM38&lt;=0,MIN(MAX(0,AB38-SUM(PR38:QL38)),ALM37),MIN(MAX(0,AB38-SUM(PR38:QL38)),ALM37-G38*MAX(0,CM38*ALM37-(XL38+AAY38))))),MIN(FZ38,MAX(0,AB38-SUM(PR38:QL38))))</f>
        <v>0</v>
      </c>
      <c r="QN38" s="20" t="n">
        <f aca="false">IF(H_Direct=1,IF(ALN37&lt;=0,0,IF(CN38&lt;=0,MIN(MAX(0,AB38-SUM(PR38:QM38)),ALN37),MIN(MAX(0,AB38-SUM(PR38:QM38)),ALN37-G38*MAX(0,CN38*ALN37-(XM38+AAZ38))))),MIN(GA38,MAX(0,AB38-SUM(PR38:QM38))))</f>
        <v>0</v>
      </c>
      <c r="QO38" s="20" t="n">
        <f aca="false">IF(H_Direct=1,IF(ALO37&lt;=0,0,IF(CO38&lt;=0,MIN(MAX(0,AB38-SUM(PR38:QN38)),ALO37),MIN(MAX(0,AB38-SUM(PR38:QN38)),ALO37-G38*MAX(0,CO38*ALO37-(XN38+ABA38))))),MIN(GB38,MAX(0,AB38-SUM(PR38:QN38))))</f>
        <v>0</v>
      </c>
      <c r="QP38" s="20" t="n">
        <f aca="false">IF(H_Direct=1,IF(ALP37&lt;=0,0,IF(CP38&lt;=0,MIN(MAX(0,AB38-SUM(PR38:QO38)),ALP37),MIN(MAX(0,AB38-SUM(PR38:QO38)),ALP37-G38*MAX(0,CP38*ALP37-(XO38+ABB38))))),MIN(GC38,MAX(0,AB38-SUM(PR38:QO38))))</f>
        <v>0</v>
      </c>
      <c r="QQ38" s="20" t="n">
        <f aca="false">IF(H_Direct=1,IF(ALQ37&lt;=0,0,IF(CQ38&lt;=0,MIN(MAX(0,AB38-SUM(PR38:QP38)),ALQ37),MIN(MAX(0,AB38-SUM(PR38:QP38)),ALQ37-G38*MAX(0,CQ38*ALQ37-(XP38+ABC38))))),MIN(GD38,MAX(0,AB38-SUM(PR38:QP38))))</f>
        <v>0</v>
      </c>
      <c r="QR38" s="20" t="n">
        <f aca="false">IF(H_Direct=1,IF(ALR37&lt;=0,0,IF(CR38&lt;=0,MIN(MAX(0,AB38-SUM(PR38:QQ38)),ALR37),MIN(MAX(0,AB38-SUM(PR38:QQ38)),ALR37-G38*MAX(0,CR38*ALR37-(XQ38+ABD38))))),MIN(GE38,MAX(0,AB38-SUM(PR38:QQ38))))</f>
        <v>0</v>
      </c>
      <c r="QS38" s="20" t="n">
        <f aca="false">IF(H_Direct=1,IF(ALS37&lt;=0,0,IF(CS38&lt;=0,MIN(MAX(0,AB38-SUM(PR38:QR38)),ALS37),MIN(MAX(0,AB38-SUM(PR38:QR38)),ALS37-G38*MAX(0,CS38*ALS37-(XR38+ABE38))))),MIN(GF38,MAX(0,AB38-SUM(PR38:QR38))))</f>
        <v>0</v>
      </c>
      <c r="QT38" s="20" t="n">
        <f aca="false">IF(H_Direct=1,IF(ALT37&lt;=0,0,IF(CT38&lt;=0,MIN(MAX(0,AB38-SUM(PR38:QS38)),ALT37),MIN(MAX(0,AB38-SUM(PR38:QS38)),ALT37-G38*MAX(0,CT38*ALT37-(XS38+ABF38))))),MIN(GG38,MAX(0,AB38-SUM(PR38:QS38))))</f>
        <v>0</v>
      </c>
      <c r="QU38" s="20" t="n">
        <f aca="false">IF(H_Direct=1,IF(ALU37&lt;=0,0,IF(CU38&lt;=0,MIN(MAX(0,AB38-SUM(PR38:QT38)),ALU37),MIN(MAX(0,AB38-SUM(PR38:QT38)),ALU37-G38*MAX(0,CU38*ALU37-(XT38+ABG38))))),MIN(GH38,MAX(0,AB38-SUM(PR38:QT38))))</f>
        <v>0</v>
      </c>
      <c r="QV38" s="20" t="n">
        <f aca="false">IF(H_Direct=1,IF(ALV37&lt;=0,0,IF(CV38&lt;=0,MIN(MAX(0,AB38-SUM(PR38:QU38)),ALV37),MIN(MAX(0,AB38-SUM(PR38:QU38)),ALV37-G38*MAX(0,CV38*ALV37-(XU38+ABH38))))),MIN(GI38,MAX(0,AB38-SUM(PR38:QU38))))</f>
        <v>0</v>
      </c>
      <c r="QW38" s="20" t="n">
        <f aca="false">IF(H_Direct=1,IF((P38+S38)&lt;=0,0,IF(CW38&lt;=0,MIN(MAX(0,AB38-SUM(PR38:QV38)),(P38+S38)),MIN(MAX(0,AB38-SUM(PR38:QV38)),(P38+S38)-G38*MAX(0,CW38*(P38+S38)-(XV38+ABI38))))),MIN(GJ38,MAX(0,AB38-SUM(PR38:QV38))))</f>
        <v>0</v>
      </c>
      <c r="QX38" s="20" t="n">
        <v>0</v>
      </c>
      <c r="QY38" s="20" t="n">
        <v>0</v>
      </c>
      <c r="QZ38" s="20" t="n">
        <v>0</v>
      </c>
      <c r="RA38" s="20" t="n">
        <v>0</v>
      </c>
      <c r="RB38" s="20" t="n">
        <v>0</v>
      </c>
      <c r="RC38" s="20" t="n">
        <v>0</v>
      </c>
      <c r="RD38" s="20" t="n">
        <v>0</v>
      </c>
      <c r="RE38" s="20" t="n">
        <v>0</v>
      </c>
      <c r="RF38" s="20" t="n">
        <v>0</v>
      </c>
      <c r="RG38" s="20" t="n">
        <v>0</v>
      </c>
      <c r="RH38" s="20" t="n">
        <v>0</v>
      </c>
      <c r="RI38" s="20" t="n">
        <v>0</v>
      </c>
      <c r="RJ38" s="20" t="n">
        <v>0</v>
      </c>
      <c r="RK38" s="20" t="n">
        <v>0</v>
      </c>
      <c r="RL38" s="20" t="n">
        <v>0</v>
      </c>
      <c r="RM38" s="20" t="n">
        <v>0</v>
      </c>
      <c r="RN38" s="20" t="n">
        <v>0</v>
      </c>
      <c r="RO38" s="20" t="n">
        <v>0</v>
      </c>
      <c r="RP38" s="20" t="n">
        <v>0</v>
      </c>
      <c r="RQ38" s="20" t="n">
        <v>0</v>
      </c>
      <c r="RR38" s="20" t="n">
        <v>0</v>
      </c>
      <c r="RS38" s="20" t="n">
        <v>0</v>
      </c>
      <c r="RT38" s="20" t="n">
        <v>0</v>
      </c>
      <c r="RU38" s="20" t="n">
        <v>0</v>
      </c>
      <c r="RV38" s="20" t="n">
        <v>0</v>
      </c>
      <c r="RW38" s="20" t="n">
        <v>0</v>
      </c>
      <c r="RX38" s="20" t="n">
        <v>0</v>
      </c>
      <c r="RY38" s="20" t="n">
        <v>0</v>
      </c>
      <c r="RZ38" s="20" t="n">
        <v>0</v>
      </c>
      <c r="SA38" s="20" t="n">
        <v>0</v>
      </c>
      <c r="SB38" s="20" t="n">
        <v>0</v>
      </c>
      <c r="SC38" s="20" t="n">
        <v>0</v>
      </c>
      <c r="SD38" s="20" t="n">
        <v>0</v>
      </c>
      <c r="SE38" s="20" t="n">
        <v>0</v>
      </c>
      <c r="SF38" s="20" t="n">
        <v>0</v>
      </c>
      <c r="SG38" s="20" t="n">
        <v>0</v>
      </c>
      <c r="SH38" s="20" t="n">
        <v>0</v>
      </c>
      <c r="SI38" s="20" t="n">
        <v>0</v>
      </c>
      <c r="SJ38" s="20" t="n">
        <v>0</v>
      </c>
      <c r="SK38" s="20" t="n">
        <v>0</v>
      </c>
      <c r="SL38" s="20" t="n">
        <v>0</v>
      </c>
      <c r="SM38" s="20" t="n">
        <v>0</v>
      </c>
      <c r="SN38" s="20" t="n">
        <v>0</v>
      </c>
      <c r="SO38" s="20" t="n">
        <v>0</v>
      </c>
      <c r="SP38" s="20" t="n">
        <v>0</v>
      </c>
      <c r="SQ38" s="20" t="n">
        <v>0</v>
      </c>
      <c r="SR38" s="20" t="n">
        <v>0</v>
      </c>
      <c r="SS38" s="20" t="n">
        <v>0</v>
      </c>
      <c r="ST38" s="20" t="n">
        <v>0</v>
      </c>
      <c r="SU38" s="20" t="n">
        <v>0</v>
      </c>
      <c r="SV38" s="20" t="n">
        <v>0</v>
      </c>
      <c r="SW38" s="20" t="n">
        <v>0</v>
      </c>
      <c r="SX38" s="20" t="n">
        <v>0</v>
      </c>
      <c r="SY38" s="20" t="n">
        <v>0</v>
      </c>
      <c r="SZ38" s="20" t="n">
        <v>0</v>
      </c>
      <c r="TA38" s="20" t="n">
        <v>0</v>
      </c>
      <c r="TB38" s="20" t="n">
        <v>0</v>
      </c>
      <c r="TC38" s="20" t="n">
        <v>0</v>
      </c>
      <c r="TD38" s="20" t="n">
        <v>0</v>
      </c>
      <c r="TE38" s="20" t="n">
        <f aca="false">IF(AKR37&lt;=0,0,IF(H_Direct=1,IF(BR38&lt;=0,PR38,IF(PR38&lt;=(H38+I38)/BR38,PR38,(PR38-G38*(H38+I38))/(1-G38*BR38))),PR38/(1-MAX(0,BR38)*H_Exit)))</f>
        <v>0</v>
      </c>
      <c r="TF38" s="20" t="n">
        <f aca="false">IF(AKS37&lt;=0,0,IF(H_Direct=1,IF(BS38&lt;=0,PS38,IF(PS38&lt;=(WR38+AAE38)/BS38,PS38,(PS38-G38*(WR38+AAE38))/(1-G38*BS38))),PS38/(1-MAX(0,BS38)*H_Exit)))</f>
        <v>0</v>
      </c>
      <c r="TG38" s="20" t="n">
        <f aca="false">IF(AKT37&lt;=0,0,IF(H_Direct=1,IF(BT38&lt;=0,PT38,IF(PT38&lt;=(WS38+AAF38)/BT38,PT38,(PT38-G38*(WS38+AAF38))/(1-G38*BT38))),PT38/(1-MAX(0,BT38)*H_Exit)))</f>
        <v>0</v>
      </c>
      <c r="TH38" s="20" t="n">
        <f aca="false">IF(AKU37&lt;=0,0,IF(H_Direct=1,IF(BU38&lt;=0,PU38,IF(PU38&lt;=(WT38+AAG38)/BU38,PU38,(PU38-G38*(WT38+AAG38))/(1-G38*BU38))),PU38/(1-MAX(0,BU38)*H_Exit)))</f>
        <v>0</v>
      </c>
      <c r="TI38" s="20" t="n">
        <f aca="false">IF(AKV37&lt;=0,0,IF(H_Direct=1,IF(BV38&lt;=0,PV38,IF(PV38&lt;=(WU38+AAH38)/BV38,PV38,(PV38-G38*(WU38+AAH38))/(1-G38*BV38))),PV38/(1-MAX(0,BV38)*H_Exit)))</f>
        <v>0</v>
      </c>
      <c r="TJ38" s="20" t="n">
        <f aca="false">IF(AKW37&lt;=0,0,IF(H_Direct=1,IF(BW38&lt;=0,PW38,IF(PW38&lt;=(WV38+AAI38)/BW38,PW38,(PW38-G38*(WV38+AAI38))/(1-G38*BW38))),PW38/(1-MAX(0,BW38)*H_Exit)))</f>
        <v>0</v>
      </c>
      <c r="TK38" s="20" t="n">
        <f aca="false">IF(AKX37&lt;=0,0,IF(H_Direct=1,IF(BX38&lt;=0,PX38,IF(PX38&lt;=(WW38+AAJ38)/BX38,PX38,(PX38-G38*(WW38+AAJ38))/(1-G38*BX38))),PX38/(1-MAX(0,BX38)*H_Exit)))</f>
        <v>0</v>
      </c>
      <c r="TL38" s="20" t="n">
        <f aca="false">IF(AKY37&lt;=0,0,IF(H_Direct=1,IF(BY38&lt;=0,PY38,IF(PY38&lt;=(WX38+AAK38)/BY38,PY38,(PY38-G38*(WX38+AAK38))/(1-G38*BY38))),PY38/(1-MAX(0,BY38)*H_Exit)))</f>
        <v>0</v>
      </c>
      <c r="TM38" s="20" t="n">
        <f aca="false">IF(AKZ37&lt;=0,0,IF(H_Direct=1,IF(BZ38&lt;=0,PZ38,IF(PZ38&lt;=(WY38+AAL38)/BZ38,PZ38,(PZ38-G38*(WY38+AAL38))/(1-G38*BZ38))),PZ38/(1-MAX(0,BZ38)*H_Exit)))</f>
        <v>0</v>
      </c>
      <c r="TN38" s="20" t="n">
        <f aca="false">IF(ALA37&lt;=0,0,IF(H_Direct=1,IF(CA38&lt;=0,QA38,IF(QA38&lt;=(WZ38+AAM38)/CA38,QA38,(QA38-G38*(WZ38+AAM38))/(1-G38*CA38))),QA38/(1-MAX(0,CA38)*H_Exit)))</f>
        <v>0</v>
      </c>
      <c r="TO38" s="20" t="n">
        <f aca="false">IF(ALB37&lt;=0,0,IF(H_Direct=1,IF(CB38&lt;=0,QB38,IF(QB38&lt;=(XA38+AAN38)/CB38,QB38,(QB38-G38*(XA38+AAN38))/(1-G38*CB38))),QB38/(1-MAX(0,CB38)*H_Exit)))</f>
        <v>0</v>
      </c>
      <c r="TP38" s="20" t="n">
        <f aca="false">IF(ALC37&lt;=0,0,IF(H_Direct=1,IF(CC38&lt;=0,QC38,IF(QC38&lt;=(XB38+AAO38)/CC38,QC38,(QC38-G38*(XB38+AAO38))/(1-G38*CC38))),QC38/(1-MAX(0,CC38)*H_Exit)))</f>
        <v>0</v>
      </c>
      <c r="TQ38" s="20" t="n">
        <f aca="false">IF(ALD37&lt;=0,0,IF(H_Direct=1,IF(CD38&lt;=0,QD38,IF(QD38&lt;=(XC38+AAP38)/CD38,QD38,(QD38-G38*(XC38+AAP38))/(1-G38*CD38))),QD38/(1-MAX(0,CD38)*H_Exit)))</f>
        <v>0</v>
      </c>
      <c r="TR38" s="20" t="n">
        <f aca="false">IF(ALE37&lt;=0,0,IF(H_Direct=1,IF(CE38&lt;=0,QE38,IF(QE38&lt;=(XD38+AAQ38)/CE38,QE38,(QE38-G38*(XD38+AAQ38))/(1-G38*CE38))),QE38/(1-MAX(0,CE38)*H_Exit)))</f>
        <v>0</v>
      </c>
      <c r="TS38" s="20" t="n">
        <f aca="false">IF(ALF37&lt;=0,0,IF(H_Direct=1,IF(CF38&lt;=0,QF38,IF(QF38&lt;=(XE38+AAR38)/CF38,QF38,(QF38-G38*(XE38+AAR38))/(1-G38*CF38))),QF38/(1-MAX(0,CF38)*H_Exit)))</f>
        <v>0</v>
      </c>
      <c r="TT38" s="20" t="n">
        <f aca="false">IF(ALG37&lt;=0,0,IF(H_Direct=1,IF(CG38&lt;=0,QG38,IF(QG38&lt;=(XF38+AAS38)/CG38,QG38,(QG38-G38*(XF38+AAS38))/(1-G38*CG38))),QG38/(1-MAX(0,CG38)*H_Exit)))</f>
        <v>0</v>
      </c>
      <c r="TU38" s="20" t="n">
        <f aca="false">IF(ALH37&lt;=0,0,IF(H_Direct=1,IF(CH38&lt;=0,QH38,IF(QH38&lt;=(XG38+AAT38)/CH38,QH38,(QH38-G38*(XG38+AAT38))/(1-G38*CH38))),QH38/(1-MAX(0,CH38)*H_Exit)))</f>
        <v>0</v>
      </c>
      <c r="TV38" s="20" t="n">
        <f aca="false">IF(ALI37&lt;=0,0,IF(H_Direct=1,IF(CI38&lt;=0,QI38,IF(QI38&lt;=(XH38+AAU38)/CI38,QI38,(QI38-G38*(XH38+AAU38))/(1-G38*CI38))),QI38/(1-MAX(0,CI38)*H_Exit)))</f>
        <v>0</v>
      </c>
      <c r="TW38" s="20" t="n">
        <f aca="false">IF(ALJ37&lt;=0,0,IF(H_Direct=1,IF(CJ38&lt;=0,QJ38,IF(QJ38&lt;=(XI38+AAV38)/CJ38,QJ38,(QJ38-G38*(XI38+AAV38))/(1-G38*CJ38))),QJ38/(1-MAX(0,CJ38)*H_Exit)))</f>
        <v>0</v>
      </c>
      <c r="TX38" s="20" t="n">
        <f aca="false">IF(ALK37&lt;=0,0,IF(H_Direct=1,IF(CK38&lt;=0,QK38,IF(QK38&lt;=(XJ38+AAW38)/CK38,QK38,(QK38-G38*(XJ38+AAW38))/(1-G38*CK38))),QK38/(1-MAX(0,CK38)*H_Exit)))</f>
        <v>0</v>
      </c>
      <c r="TY38" s="20" t="n">
        <f aca="false">IF(ALL37&lt;=0,0,IF(H_Direct=1,IF(CL38&lt;=0,QL38,IF(QL38&lt;=(XK38+AAX38)/CL38,QL38,(QL38-G38*(XK38+AAX38))/(1-G38*CL38))),QL38/(1-MAX(0,CL38)*H_Exit)))</f>
        <v>0</v>
      </c>
      <c r="TZ38" s="20" t="n">
        <f aca="false">IF(ALM37&lt;=0,0,IF(H_Direct=1,IF(CM38&lt;=0,QM38,IF(QM38&lt;=(XL38+AAY38)/CM38,QM38,(QM38-G38*(XL38+AAY38))/(1-G38*CM38))),QM38/(1-MAX(0,CM38)*H_Exit)))</f>
        <v>0</v>
      </c>
      <c r="UA38" s="20" t="n">
        <f aca="false">IF(ALN37&lt;=0,0,IF(H_Direct=1,IF(CN38&lt;=0,QN38,IF(QN38&lt;=(XM38+AAZ38)/CN38,QN38,(QN38-G38*(XM38+AAZ38))/(1-G38*CN38))),QN38/(1-MAX(0,CN38)*H_Exit)))</f>
        <v>0</v>
      </c>
      <c r="UB38" s="20" t="n">
        <f aca="false">IF(ALO37&lt;=0,0,IF(H_Direct=1,IF(CO38&lt;=0,QO38,IF(QO38&lt;=(XN38+ABA38)/CO38,QO38,(QO38-G38*(XN38+ABA38))/(1-G38*CO38))),QO38/(1-MAX(0,CO38)*H_Exit)))</f>
        <v>0</v>
      </c>
      <c r="UC38" s="20" t="n">
        <f aca="false">IF(ALP37&lt;=0,0,IF(H_Direct=1,IF(CP38&lt;=0,QP38,IF(QP38&lt;=(XO38+ABB38)/CP38,QP38,(QP38-G38*(XO38+ABB38))/(1-G38*CP38))),QP38/(1-MAX(0,CP38)*H_Exit)))</f>
        <v>0</v>
      </c>
      <c r="UD38" s="20" t="n">
        <f aca="false">IF(ALQ37&lt;=0,0,IF(H_Direct=1,IF(CQ38&lt;=0,QQ38,IF(QQ38&lt;=(XP38+ABC38)/CQ38,QQ38,(QQ38-G38*(XP38+ABC38))/(1-G38*CQ38))),QQ38/(1-MAX(0,CQ38)*H_Exit)))</f>
        <v>0</v>
      </c>
      <c r="UE38" s="20" t="n">
        <f aca="false">IF(ALR37&lt;=0,0,IF(H_Direct=1,IF(CR38&lt;=0,QR38,IF(QR38&lt;=(XQ38+ABD38)/CR38,QR38,(QR38-G38*(XQ38+ABD38))/(1-G38*CR38))),QR38/(1-MAX(0,CR38)*H_Exit)))</f>
        <v>0</v>
      </c>
      <c r="UF38" s="20" t="n">
        <f aca="false">IF(ALS37&lt;=0,0,IF(H_Direct=1,IF(CS38&lt;=0,QS38,IF(QS38&lt;=(XR38+ABE38)/CS38,QS38,(QS38-G38*(XR38+ABE38))/(1-G38*CS38))),QS38/(1-MAX(0,CS38)*H_Exit)))</f>
        <v>0</v>
      </c>
      <c r="UG38" s="20" t="n">
        <f aca="false">IF(ALT37&lt;=0,0,IF(H_Direct=1,IF(CT38&lt;=0,QT38,IF(QT38&lt;=(XS38+ABF38)/CT38,QT38,(QT38-G38*(XS38+ABF38))/(1-G38*CT38))),QT38/(1-MAX(0,CT38)*H_Exit)))</f>
        <v>0</v>
      </c>
      <c r="UH38" s="20" t="n">
        <f aca="false">IF(ALU37&lt;=0,0,IF(H_Direct=1,IF(CU38&lt;=0,QU38,IF(QU38&lt;=(XT38+ABG38)/CU38,QU38,(QU38-G38*(XT38+ABG38))/(1-G38*CU38))),QU38/(1-MAX(0,CU38)*H_Exit)))</f>
        <v>0</v>
      </c>
      <c r="UI38" s="20" t="n">
        <f aca="false">IF(ALV37&lt;=0,0,IF(H_Direct=1,IF(CV38&lt;=0,QV38,IF(QV38&lt;=(XU38+ABH38)/CV38,QV38,(QV38-G38*(XU38+ABH38))/(1-G38*CV38))),QV38/(1-MAX(0,CV38)*H_Exit)))</f>
        <v>0</v>
      </c>
      <c r="UJ38" s="20" t="n">
        <f aca="false">IF((P38+S38)&lt;=0,0,IF(H_Direct=1,IF(CW38&lt;=0,QW38,IF(QW38&lt;=(XV38+ABI38)/CW38,QW38,(QW38-G38*(XV38+ABI38))/(1-G38*CW38))),QW38/(1-MAX(0,CW38)*H_Exit)))</f>
        <v>0</v>
      </c>
      <c r="UK38" s="20" t="n">
        <v>0</v>
      </c>
      <c r="UL38" s="20" t="n">
        <v>0</v>
      </c>
      <c r="UM38" s="20" t="n">
        <v>0</v>
      </c>
      <c r="UN38" s="20" t="n">
        <v>0</v>
      </c>
      <c r="UO38" s="20" t="n">
        <v>0</v>
      </c>
      <c r="UP38" s="20" t="n">
        <v>0</v>
      </c>
      <c r="UQ38" s="20" t="n">
        <v>0</v>
      </c>
      <c r="UR38" s="20" t="n">
        <v>0</v>
      </c>
      <c r="US38" s="20" t="n">
        <v>0</v>
      </c>
      <c r="UT38" s="20" t="n">
        <v>0</v>
      </c>
      <c r="UU38" s="20" t="n">
        <v>0</v>
      </c>
      <c r="UV38" s="20" t="n">
        <v>0</v>
      </c>
      <c r="UW38" s="20" t="n">
        <v>0</v>
      </c>
      <c r="UX38" s="20" t="n">
        <v>0</v>
      </c>
      <c r="UY38" s="20" t="n">
        <v>0</v>
      </c>
      <c r="UZ38" s="20" t="n">
        <v>0</v>
      </c>
      <c r="VA38" s="20" t="n">
        <v>0</v>
      </c>
      <c r="VB38" s="20" t="n">
        <v>0</v>
      </c>
      <c r="VC38" s="20" t="n">
        <v>0</v>
      </c>
      <c r="VD38" s="20" t="n">
        <v>0</v>
      </c>
      <c r="VE38" s="20" t="n">
        <v>0</v>
      </c>
      <c r="VF38" s="20" t="n">
        <v>0</v>
      </c>
      <c r="VG38" s="20" t="n">
        <v>0</v>
      </c>
      <c r="VH38" s="20" t="n">
        <v>0</v>
      </c>
      <c r="VI38" s="20" t="n">
        <v>0</v>
      </c>
      <c r="VJ38" s="20" t="n">
        <v>0</v>
      </c>
      <c r="VK38" s="20" t="n">
        <v>0</v>
      </c>
      <c r="VL38" s="20" t="n">
        <v>0</v>
      </c>
      <c r="VM38" s="20" t="n">
        <v>0</v>
      </c>
      <c r="VN38" s="20" t="n">
        <v>0</v>
      </c>
      <c r="VO38" s="20" t="n">
        <v>0</v>
      </c>
      <c r="VP38" s="20" t="n">
        <v>0</v>
      </c>
      <c r="VQ38" s="20" t="n">
        <v>0</v>
      </c>
      <c r="VR38" s="20" t="n">
        <v>0</v>
      </c>
      <c r="VS38" s="20" t="n">
        <v>0</v>
      </c>
      <c r="VT38" s="20" t="n">
        <v>0</v>
      </c>
      <c r="VU38" s="20" t="n">
        <v>0</v>
      </c>
      <c r="VV38" s="20" t="n">
        <v>0</v>
      </c>
      <c r="VW38" s="20" t="n">
        <v>0</v>
      </c>
      <c r="VX38" s="20" t="n">
        <v>0</v>
      </c>
      <c r="VY38" s="20" t="n">
        <v>0</v>
      </c>
      <c r="VZ38" s="20" t="n">
        <v>0</v>
      </c>
      <c r="WA38" s="20" t="n">
        <v>0</v>
      </c>
      <c r="WB38" s="20" t="n">
        <v>0</v>
      </c>
      <c r="WC38" s="20" t="n">
        <v>0</v>
      </c>
      <c r="WD38" s="20" t="n">
        <v>0</v>
      </c>
      <c r="WE38" s="20" t="n">
        <v>0</v>
      </c>
      <c r="WF38" s="20" t="n">
        <v>0</v>
      </c>
      <c r="WG38" s="20" t="n">
        <v>0</v>
      </c>
      <c r="WH38" s="20" t="n">
        <v>0</v>
      </c>
      <c r="WI38" s="20" t="n">
        <v>0</v>
      </c>
      <c r="WJ38" s="20" t="n">
        <v>0</v>
      </c>
      <c r="WK38" s="20" t="n">
        <v>0</v>
      </c>
      <c r="WL38" s="20" t="n">
        <v>0</v>
      </c>
      <c r="WM38" s="20" t="n">
        <v>0</v>
      </c>
      <c r="WN38" s="20" t="n">
        <v>0</v>
      </c>
      <c r="WO38" s="20" t="n">
        <v>0</v>
      </c>
      <c r="WP38" s="20" t="n">
        <v>0</v>
      </c>
      <c r="WQ38" s="20" t="n">
        <v>0</v>
      </c>
      <c r="WR38" s="20" t="n">
        <f aca="false">IF(AND(H_Direct=1,BR38&gt;0),MAX(0,H38-(MIN(BR38*TE38,(H38+I38))-MIN(MIN(BR38*TE38,(H38+I38)),I38))),H38)</f>
        <v>1270</v>
      </c>
      <c r="WS38" s="20" t="n">
        <f aca="false">IF(AND(H_Direct=1,BS38&gt;0),MAX(0,WR38-(MIN(BS38*TF38,(WR38+AAE38))-MIN(MIN(BS38*TF38,(WR38+AAE38)),AAE38))),WR38)</f>
        <v>1270</v>
      </c>
      <c r="WT38" s="20" t="n">
        <f aca="false">IF(AND(H_Direct=1,BT38&gt;0),MAX(0,WS38-(MIN(BT38*TG38,(WS38+AAF38))-MIN(MIN(BT38*TG38,(WS38+AAF38)),AAF38))),WS38)</f>
        <v>1270</v>
      </c>
      <c r="WU38" s="20" t="n">
        <f aca="false">IF(AND(H_Direct=1,BU38&gt;0),MAX(0,WT38-(MIN(BU38*TH38,(WT38+AAG38))-MIN(MIN(BU38*TH38,(WT38+AAG38)),AAG38))),WT38)</f>
        <v>1270</v>
      </c>
      <c r="WV38" s="20" t="n">
        <f aca="false">IF(AND(H_Direct=1,BV38&gt;0),MAX(0,WU38-(MIN(BV38*TI38,(WU38+AAH38))-MIN(MIN(BV38*TI38,(WU38+AAH38)),AAH38))),WU38)</f>
        <v>1270</v>
      </c>
      <c r="WW38" s="20" t="n">
        <f aca="false">IF(AND(H_Direct=1,BW38&gt;0),MAX(0,WV38-(MIN(BW38*TJ38,(WV38+AAI38))-MIN(MIN(BW38*TJ38,(WV38+AAI38)),AAI38))),WV38)</f>
        <v>1270</v>
      </c>
      <c r="WX38" s="20" t="n">
        <f aca="false">IF(AND(H_Direct=1,BX38&gt;0),MAX(0,WW38-(MIN(BX38*TK38,(WW38+AAJ38))-MIN(MIN(BX38*TK38,(WW38+AAJ38)),AAJ38))),WW38)</f>
        <v>1270</v>
      </c>
      <c r="WY38" s="20" t="n">
        <f aca="false">IF(AND(H_Direct=1,BY38&gt;0),MAX(0,WX38-(MIN(BY38*TL38,(WX38+AAK38))-MIN(MIN(BY38*TL38,(WX38+AAK38)),AAK38))),WX38)</f>
        <v>1270</v>
      </c>
      <c r="WZ38" s="20" t="n">
        <f aca="false">IF(AND(H_Direct=1,BZ38&gt;0),MAX(0,WY38-(MIN(BZ38*TM38,(WY38+AAL38))-MIN(MIN(BZ38*TM38,(WY38+AAL38)),AAL38))),WY38)</f>
        <v>1270</v>
      </c>
      <c r="XA38" s="20" t="n">
        <f aca="false">IF(AND(H_Direct=1,CA38&gt;0),MAX(0,WZ38-(MIN(CA38*TN38,(WZ38+AAM38))-MIN(MIN(CA38*TN38,(WZ38+AAM38)),AAM38))),WZ38)</f>
        <v>1270</v>
      </c>
      <c r="XB38" s="20" t="n">
        <f aca="false">IF(AND(H_Direct=1,CB38&gt;0),MAX(0,XA38-(MIN(CB38*TO38,(XA38+AAN38))-MIN(MIN(CB38*TO38,(XA38+AAN38)),AAN38))),XA38)</f>
        <v>1270</v>
      </c>
      <c r="XC38" s="20" t="n">
        <f aca="false">IF(AND(H_Direct=1,CC38&gt;0),MAX(0,XB38-(MIN(CC38*TP38,(XB38+AAO38))-MIN(MIN(CC38*TP38,(XB38+AAO38)),AAO38))),XB38)</f>
        <v>1270</v>
      </c>
      <c r="XD38" s="20" t="n">
        <f aca="false">IF(AND(H_Direct=1,CD38&gt;0),MAX(0,XC38-(MIN(CD38*TQ38,(XC38+AAP38))-MIN(MIN(CD38*TQ38,(XC38+AAP38)),AAP38))),XC38)</f>
        <v>1270</v>
      </c>
      <c r="XE38" s="20" t="n">
        <f aca="false">IF(AND(H_Direct=1,CE38&gt;0),MAX(0,XD38-(MIN(CE38*TR38,(XD38+AAQ38))-MIN(MIN(CE38*TR38,(XD38+AAQ38)),AAQ38))),XD38)</f>
        <v>1270</v>
      </c>
      <c r="XF38" s="20" t="n">
        <f aca="false">IF(AND(H_Direct=1,CF38&gt;0),MAX(0,XE38-(MIN(CF38*TS38,(XE38+AAR38))-MIN(MIN(CF38*TS38,(XE38+AAR38)),AAR38))),XE38)</f>
        <v>1270</v>
      </c>
      <c r="XG38" s="20" t="n">
        <f aca="false">IF(AND(H_Direct=1,CG38&gt;0),MAX(0,XF38-(MIN(CG38*TT38,(XF38+AAS38))-MIN(MIN(CG38*TT38,(XF38+AAS38)),AAS38))),XF38)</f>
        <v>1270</v>
      </c>
      <c r="XH38" s="20" t="n">
        <f aca="false">IF(AND(H_Direct=1,CH38&gt;0),MAX(0,XG38-(MIN(CH38*TU38,(XG38+AAT38))-MIN(MIN(CH38*TU38,(XG38+AAT38)),AAT38))),XG38)</f>
        <v>1270</v>
      </c>
      <c r="XI38" s="20" t="n">
        <f aca="false">IF(AND(H_Direct=1,CI38&gt;0),MAX(0,XH38-(MIN(CI38*TV38,(XH38+AAU38))-MIN(MIN(CI38*TV38,(XH38+AAU38)),AAU38))),XH38)</f>
        <v>1270</v>
      </c>
      <c r="XJ38" s="20" t="n">
        <f aca="false">IF(AND(H_Direct=1,CJ38&gt;0),MAX(0,XI38-(MIN(CJ38*TW38,(XI38+AAV38))-MIN(MIN(CJ38*TW38,(XI38+AAV38)),AAV38))),XI38)</f>
        <v>1270</v>
      </c>
      <c r="XK38" s="20" t="n">
        <f aca="false">IF(AND(H_Direct=1,CK38&gt;0),MAX(0,XJ38-(MIN(CK38*TX38,(XJ38+AAW38))-MIN(MIN(CK38*TX38,(XJ38+AAW38)),AAW38))),XJ38)</f>
        <v>1270</v>
      </c>
      <c r="XL38" s="20" t="n">
        <f aca="false">IF(AND(H_Direct=1,CL38&gt;0),MAX(0,XK38-(MIN(CL38*TY38,(XK38+AAX38))-MIN(MIN(CL38*TY38,(XK38+AAX38)),AAX38))),XK38)</f>
        <v>1270</v>
      </c>
      <c r="XM38" s="20" t="n">
        <f aca="false">IF(AND(H_Direct=1,CM38&gt;0),MAX(0,XL38-(MIN(CM38*TZ38,(XL38+AAY38))-MIN(MIN(CM38*TZ38,(XL38+AAY38)),AAY38))),XL38)</f>
        <v>1270</v>
      </c>
      <c r="XN38" s="20" t="n">
        <f aca="false">IF(AND(H_Direct=1,CN38&gt;0),MAX(0,XM38-(MIN(CN38*UA38,(XM38+AAZ38))-MIN(MIN(CN38*UA38,(XM38+AAZ38)),AAZ38))),XM38)</f>
        <v>1270</v>
      </c>
      <c r="XO38" s="20" t="n">
        <f aca="false">IF(AND(H_Direct=1,CO38&gt;0),MAX(0,XN38-(MIN(CO38*UB38,(XN38+ABA38))-MIN(MIN(CO38*UB38,(XN38+ABA38)),ABA38))),XN38)</f>
        <v>1270</v>
      </c>
      <c r="XP38" s="20" t="n">
        <f aca="false">IF(AND(H_Direct=1,CP38&gt;0),MAX(0,XO38-(MIN(CP38*UC38,(XO38+ABB38))-MIN(MIN(CP38*UC38,(XO38+ABB38)),ABB38))),XO38)</f>
        <v>1270</v>
      </c>
      <c r="XQ38" s="20" t="n">
        <f aca="false">IF(AND(H_Direct=1,CQ38&gt;0),MAX(0,XP38-(MIN(CQ38*UD38,(XP38+ABC38))-MIN(MIN(CQ38*UD38,(XP38+ABC38)),ABC38))),XP38)</f>
        <v>1270</v>
      </c>
      <c r="XR38" s="20" t="n">
        <f aca="false">IF(AND(H_Direct=1,CR38&gt;0),MAX(0,XQ38-(MIN(CR38*UE38,(XQ38+ABD38))-MIN(MIN(CR38*UE38,(XQ38+ABD38)),ABD38))),XQ38)</f>
        <v>1270</v>
      </c>
      <c r="XS38" s="20" t="n">
        <f aca="false">IF(AND(H_Direct=1,CS38&gt;0),MAX(0,XR38-(MIN(CS38*UF38,(XR38+ABE38))-MIN(MIN(CS38*UF38,(XR38+ABE38)),ABE38))),XR38)</f>
        <v>1270</v>
      </c>
      <c r="XT38" s="20" t="n">
        <f aca="false">IF(AND(H_Direct=1,CT38&gt;0),MAX(0,XS38-(MIN(CT38*UG38,(XS38+ABF38))-MIN(MIN(CT38*UG38,(XS38+ABF38)),ABF38))),XS38)</f>
        <v>1270</v>
      </c>
      <c r="XU38" s="20" t="n">
        <f aca="false">IF(AND(H_Direct=1,CU38&gt;0),MAX(0,XT38-(MIN(CU38*UH38,(XT38+ABG38))-MIN(MIN(CU38*UH38,(XT38+ABG38)),ABG38))),XT38)</f>
        <v>1270</v>
      </c>
      <c r="XV38" s="20" t="n">
        <f aca="false">IF(AND(H_Direct=1,CV38&gt;0),MAX(0,XU38-(MIN(CV38*UI38,(XU38+ABH38))-MIN(MIN(CV38*UI38,(XU38+ABH38)),ABH38))),XU38)</f>
        <v>1270</v>
      </c>
      <c r="XW38" s="20" t="n">
        <f aca="false">IF(AND(H_Direct=1,CW38&gt;0),MAX(0,XV38-(MIN(CW38*UJ38,(XV38+ABI38))-MIN(MIN(CW38*UJ38,(XV38+ABI38)),ABI38))),XV38)</f>
        <v>1270</v>
      </c>
      <c r="XX38" s="20" t="n">
        <f aca="false">XW38</f>
        <v>1270</v>
      </c>
      <c r="XY38" s="20" t="n">
        <f aca="false">XX38</f>
        <v>1270</v>
      </c>
      <c r="XZ38" s="20" t="n">
        <f aca="false">XY38</f>
        <v>1270</v>
      </c>
      <c r="YA38" s="20" t="n">
        <f aca="false">XZ38</f>
        <v>1270</v>
      </c>
      <c r="YB38" s="20" t="n">
        <f aca="false">YA38</f>
        <v>1270</v>
      </c>
      <c r="YC38" s="20" t="n">
        <f aca="false">YB38</f>
        <v>1270</v>
      </c>
      <c r="YD38" s="20" t="n">
        <f aca="false">YC38</f>
        <v>1270</v>
      </c>
      <c r="YE38" s="20" t="n">
        <f aca="false">YD38</f>
        <v>1270</v>
      </c>
      <c r="YF38" s="20" t="n">
        <f aca="false">YE38</f>
        <v>1270</v>
      </c>
      <c r="YG38" s="20" t="n">
        <f aca="false">YF38</f>
        <v>1270</v>
      </c>
      <c r="YH38" s="20" t="n">
        <f aca="false">YG38</f>
        <v>1270</v>
      </c>
      <c r="YI38" s="20" t="n">
        <f aca="false">YH38</f>
        <v>1270</v>
      </c>
      <c r="YJ38" s="20" t="n">
        <f aca="false">YI38</f>
        <v>1270</v>
      </c>
      <c r="YK38" s="20" t="n">
        <f aca="false">YJ38</f>
        <v>1270</v>
      </c>
      <c r="YL38" s="20" t="n">
        <f aca="false">YK38</f>
        <v>1270</v>
      </c>
      <c r="YM38" s="20" t="n">
        <f aca="false">YL38</f>
        <v>1270</v>
      </c>
      <c r="YN38" s="20" t="n">
        <f aca="false">YM38</f>
        <v>1270</v>
      </c>
      <c r="YO38" s="20" t="n">
        <f aca="false">YN38</f>
        <v>1270</v>
      </c>
      <c r="YP38" s="20" t="n">
        <f aca="false">YO38</f>
        <v>1270</v>
      </c>
      <c r="YQ38" s="20" t="n">
        <f aca="false">YP38</f>
        <v>1270</v>
      </c>
      <c r="YR38" s="20" t="n">
        <f aca="false">YQ38</f>
        <v>1270</v>
      </c>
      <c r="YS38" s="20" t="n">
        <f aca="false">YR38</f>
        <v>1270</v>
      </c>
      <c r="YT38" s="20" t="n">
        <f aca="false">YS38</f>
        <v>1270</v>
      </c>
      <c r="YU38" s="20" t="n">
        <f aca="false">YT38</f>
        <v>1270</v>
      </c>
      <c r="YV38" s="20" t="n">
        <f aca="false">YU38</f>
        <v>1270</v>
      </c>
      <c r="YW38" s="20" t="n">
        <f aca="false">YV38</f>
        <v>1270</v>
      </c>
      <c r="YX38" s="20" t="n">
        <f aca="false">YW38</f>
        <v>1270</v>
      </c>
      <c r="YY38" s="20" t="n">
        <f aca="false">YX38</f>
        <v>1270</v>
      </c>
      <c r="YZ38" s="20" t="n">
        <f aca="false">YY38</f>
        <v>1270</v>
      </c>
      <c r="ZA38" s="20" t="n">
        <f aca="false">YZ38</f>
        <v>1270</v>
      </c>
      <c r="ZB38" s="20" t="n">
        <f aca="false">ZA38</f>
        <v>1270</v>
      </c>
      <c r="ZC38" s="20" t="n">
        <f aca="false">ZB38</f>
        <v>1270</v>
      </c>
      <c r="ZD38" s="20" t="n">
        <f aca="false">ZC38</f>
        <v>1270</v>
      </c>
      <c r="ZE38" s="20" t="n">
        <f aca="false">ZD38</f>
        <v>1270</v>
      </c>
      <c r="ZF38" s="20" t="n">
        <f aca="false">ZE38</f>
        <v>1270</v>
      </c>
      <c r="ZG38" s="20" t="n">
        <f aca="false">ZF38</f>
        <v>1270</v>
      </c>
      <c r="ZH38" s="20" t="n">
        <f aca="false">ZG38</f>
        <v>1270</v>
      </c>
      <c r="ZI38" s="20" t="n">
        <f aca="false">ZH38</f>
        <v>1270</v>
      </c>
      <c r="ZJ38" s="20" t="n">
        <f aca="false">ZI38</f>
        <v>1270</v>
      </c>
      <c r="ZK38" s="20" t="n">
        <f aca="false">ZJ38</f>
        <v>1270</v>
      </c>
      <c r="ZL38" s="20" t="n">
        <f aca="false">ZK38</f>
        <v>1270</v>
      </c>
      <c r="ZM38" s="20" t="n">
        <f aca="false">ZL38</f>
        <v>1270</v>
      </c>
      <c r="ZN38" s="20" t="n">
        <f aca="false">ZM38</f>
        <v>1270</v>
      </c>
      <c r="ZO38" s="20" t="n">
        <f aca="false">ZN38</f>
        <v>1270</v>
      </c>
      <c r="ZP38" s="20" t="n">
        <f aca="false">ZO38</f>
        <v>1270</v>
      </c>
      <c r="ZQ38" s="20" t="n">
        <f aca="false">ZP38</f>
        <v>1270</v>
      </c>
      <c r="ZR38" s="20" t="n">
        <f aca="false">ZQ38</f>
        <v>1270</v>
      </c>
      <c r="ZS38" s="20" t="n">
        <f aca="false">ZR38</f>
        <v>1270</v>
      </c>
      <c r="ZT38" s="20" t="n">
        <f aca="false">ZS38</f>
        <v>1270</v>
      </c>
      <c r="ZU38" s="20" t="n">
        <f aca="false">ZT38</f>
        <v>1270</v>
      </c>
      <c r="ZV38" s="20" t="n">
        <f aca="false">ZU38</f>
        <v>1270</v>
      </c>
      <c r="ZW38" s="20" t="n">
        <f aca="false">ZV38</f>
        <v>1270</v>
      </c>
      <c r="ZX38" s="20" t="n">
        <f aca="false">ZW38</f>
        <v>1270</v>
      </c>
      <c r="ZY38" s="20" t="n">
        <f aca="false">ZX38</f>
        <v>1270</v>
      </c>
      <c r="ZZ38" s="20" t="n">
        <f aca="false">ZY38</f>
        <v>1270</v>
      </c>
      <c r="AAA38" s="20" t="n">
        <f aca="false">ZZ38</f>
        <v>1270</v>
      </c>
      <c r="AAB38" s="20" t="n">
        <f aca="false">AAA38</f>
        <v>1270</v>
      </c>
      <c r="AAC38" s="20" t="n">
        <f aca="false">AAB38</f>
        <v>1270</v>
      </c>
      <c r="AAD38" s="20" t="n">
        <f aca="false">AAC38</f>
        <v>1270</v>
      </c>
      <c r="AAE38" s="20" t="n">
        <f aca="false">IF(H_Direct=1,IF(BR38&lt;=0,I38-BR38*TE38,I38-MIN(MIN(BR38*TE38,(H38+I38)),I38)),I38)</f>
        <v>0</v>
      </c>
      <c r="AAF38" s="20" t="n">
        <f aca="false">IF(H_Direct=1,IF(BS38&lt;=0,AAE38-BS38*TF38,AAE38-MIN(MIN(BS38*TF38,(WR38+AAE38)),AAE38)),AAE38)</f>
        <v>0</v>
      </c>
      <c r="AAG38" s="20" t="n">
        <f aca="false">IF(H_Direct=1,IF(BT38&lt;=0,AAF38-BT38*TG38,AAF38-MIN(MIN(BT38*TG38,(WS38+AAF38)),AAF38)),AAF38)</f>
        <v>0</v>
      </c>
      <c r="AAH38" s="20" t="n">
        <f aca="false">IF(H_Direct=1,IF(BU38&lt;=0,AAG38-BU38*TH38,AAG38-MIN(MIN(BU38*TH38,(WT38+AAG38)),AAG38)),AAG38)</f>
        <v>0</v>
      </c>
      <c r="AAI38" s="20" t="n">
        <f aca="false">IF(H_Direct=1,IF(BV38&lt;=0,AAH38-BV38*TI38,AAH38-MIN(MIN(BV38*TI38,(WU38+AAH38)),AAH38)),AAH38)</f>
        <v>0</v>
      </c>
      <c r="AAJ38" s="20" t="n">
        <f aca="false">IF(H_Direct=1,IF(BW38&lt;=0,AAI38-BW38*TJ38,AAI38-MIN(MIN(BW38*TJ38,(WV38+AAI38)),AAI38)),AAI38)</f>
        <v>0</v>
      </c>
      <c r="AAK38" s="20" t="n">
        <f aca="false">IF(H_Direct=1,IF(BX38&lt;=0,AAJ38-BX38*TK38,AAJ38-MIN(MIN(BX38*TK38,(WW38+AAJ38)),AAJ38)),AAJ38)</f>
        <v>0</v>
      </c>
      <c r="AAL38" s="20" t="n">
        <f aca="false">IF(H_Direct=1,IF(BY38&lt;=0,AAK38-BY38*TL38,AAK38-MIN(MIN(BY38*TL38,(WX38+AAK38)),AAK38)),AAK38)</f>
        <v>0</v>
      </c>
      <c r="AAM38" s="20" t="n">
        <f aca="false">IF(H_Direct=1,IF(BZ38&lt;=0,AAL38-BZ38*TM38,AAL38-MIN(MIN(BZ38*TM38,(WY38+AAL38)),AAL38)),AAL38)</f>
        <v>0</v>
      </c>
      <c r="AAN38" s="20" t="n">
        <f aca="false">IF(H_Direct=1,IF(CA38&lt;=0,AAM38-CA38*TN38,AAM38-MIN(MIN(CA38*TN38,(WZ38+AAM38)),AAM38)),AAM38)</f>
        <v>0</v>
      </c>
      <c r="AAO38" s="20" t="n">
        <f aca="false">IF(H_Direct=1,IF(CB38&lt;=0,AAN38-CB38*TO38,AAN38-MIN(MIN(CB38*TO38,(XA38+AAN38)),AAN38)),AAN38)</f>
        <v>0</v>
      </c>
      <c r="AAP38" s="20" t="n">
        <f aca="false">IF(H_Direct=1,IF(CC38&lt;=0,AAO38-CC38*TP38,AAO38-MIN(MIN(CC38*TP38,(XB38+AAO38)),AAO38)),AAO38)</f>
        <v>0</v>
      </c>
      <c r="AAQ38" s="20" t="n">
        <f aca="false">IF(H_Direct=1,IF(CD38&lt;=0,AAP38-CD38*TQ38,AAP38-MIN(MIN(CD38*TQ38,(XC38+AAP38)),AAP38)),AAP38)</f>
        <v>0</v>
      </c>
      <c r="AAR38" s="20" t="n">
        <f aca="false">IF(H_Direct=1,IF(CE38&lt;=0,AAQ38-CE38*TR38,AAQ38-MIN(MIN(CE38*TR38,(XD38+AAQ38)),AAQ38)),AAQ38)</f>
        <v>0</v>
      </c>
      <c r="AAS38" s="20" t="n">
        <f aca="false">IF(H_Direct=1,IF(CF38&lt;=0,AAR38-CF38*TS38,AAR38-MIN(MIN(CF38*TS38,(XE38+AAR38)),AAR38)),AAR38)</f>
        <v>0</v>
      </c>
      <c r="AAT38" s="20" t="n">
        <f aca="false">IF(H_Direct=1,IF(CG38&lt;=0,AAS38-CG38*TT38,AAS38-MIN(MIN(CG38*TT38,(XF38+AAS38)),AAS38)),AAS38)</f>
        <v>0</v>
      </c>
      <c r="AAU38" s="20" t="n">
        <f aca="false">IF(H_Direct=1,IF(CH38&lt;=0,AAT38-CH38*TU38,AAT38-MIN(MIN(CH38*TU38,(XG38+AAT38)),AAT38)),AAT38)</f>
        <v>0</v>
      </c>
      <c r="AAV38" s="20" t="n">
        <f aca="false">IF(H_Direct=1,IF(CI38&lt;=0,AAU38-CI38*TV38,AAU38-MIN(MIN(CI38*TV38,(XH38+AAU38)),AAU38)),AAU38)</f>
        <v>0</v>
      </c>
      <c r="AAW38" s="20" t="n">
        <f aca="false">IF(H_Direct=1,IF(CJ38&lt;=0,AAV38-CJ38*TW38,AAV38-MIN(MIN(CJ38*TW38,(XI38+AAV38)),AAV38)),AAV38)</f>
        <v>0</v>
      </c>
      <c r="AAX38" s="20" t="n">
        <f aca="false">IF(H_Direct=1,IF(CK38&lt;=0,AAW38-CK38*TX38,AAW38-MIN(MIN(CK38*TX38,(XJ38+AAW38)),AAW38)),AAW38)</f>
        <v>0</v>
      </c>
      <c r="AAY38" s="20" t="n">
        <f aca="false">IF(H_Direct=1,IF(CL38&lt;=0,AAX38-CL38*TY38,AAX38-MIN(MIN(CL38*TY38,(XK38+AAX38)),AAX38)),AAX38)</f>
        <v>0</v>
      </c>
      <c r="AAZ38" s="20" t="n">
        <f aca="false">IF(H_Direct=1,IF(CM38&lt;=0,AAY38-CM38*TZ38,AAY38-MIN(MIN(CM38*TZ38,(XL38+AAY38)),AAY38)),AAY38)</f>
        <v>0</v>
      </c>
      <c r="ABA38" s="20" t="n">
        <f aca="false">IF(H_Direct=1,IF(CN38&lt;=0,AAZ38-CN38*UA38,AAZ38-MIN(MIN(CN38*UA38,(XM38+AAZ38)),AAZ38)),AAZ38)</f>
        <v>0</v>
      </c>
      <c r="ABB38" s="20" t="n">
        <f aca="false">IF(H_Direct=1,IF(CO38&lt;=0,ABA38-CO38*UB38,ABA38-MIN(MIN(CO38*UB38,(XN38+ABA38)),ABA38)),ABA38)</f>
        <v>0</v>
      </c>
      <c r="ABC38" s="20" t="n">
        <f aca="false">IF(H_Direct=1,IF(CP38&lt;=0,ABB38-CP38*UC38,ABB38-MIN(MIN(CP38*UC38,(XO38+ABB38)),ABB38)),ABB38)</f>
        <v>0</v>
      </c>
      <c r="ABD38" s="20" t="n">
        <f aca="false">IF(H_Direct=1,IF(CQ38&lt;=0,ABC38-CQ38*UD38,ABC38-MIN(MIN(CQ38*UD38,(XP38+ABC38)),ABC38)),ABC38)</f>
        <v>0</v>
      </c>
      <c r="ABE38" s="20" t="n">
        <f aca="false">IF(H_Direct=1,IF(CR38&lt;=0,ABD38-CR38*UE38,ABD38-MIN(MIN(CR38*UE38,(XQ38+ABD38)),ABD38)),ABD38)</f>
        <v>0</v>
      </c>
      <c r="ABF38" s="20" t="n">
        <f aca="false">IF(H_Direct=1,IF(CS38&lt;=0,ABE38-CS38*UF38,ABE38-MIN(MIN(CS38*UF38,(XR38+ABE38)),ABE38)),ABE38)</f>
        <v>0</v>
      </c>
      <c r="ABG38" s="20" t="n">
        <f aca="false">IF(H_Direct=1,IF(CT38&lt;=0,ABF38-CT38*UG38,ABF38-MIN(MIN(CT38*UG38,(XS38+ABF38)),ABF38)),ABF38)</f>
        <v>0</v>
      </c>
      <c r="ABH38" s="20" t="n">
        <f aca="false">IF(H_Direct=1,IF(CU38&lt;=0,ABG38-CU38*UH38,ABG38-MIN(MIN(CU38*UH38,(XT38+ABG38)),ABG38)),ABG38)</f>
        <v>0</v>
      </c>
      <c r="ABI38" s="20" t="n">
        <f aca="false">IF(H_Direct=1,IF(CV38&lt;=0,ABH38-CV38*UI38,ABH38-MIN(MIN(CV38*UI38,(XU38+ABH38)),ABH38)),ABH38)</f>
        <v>0</v>
      </c>
      <c r="ABJ38" s="20" t="n">
        <f aca="false">IF(H_Direct=1,IF(CW38&lt;=0,ABI38-CW38*UJ38,ABI38-MIN(MIN(CW38*UJ38,(XV38+ABI38)),ABI38)),ABI38)</f>
        <v>0</v>
      </c>
      <c r="ABK38" s="20" t="n">
        <f aca="false">ABJ38</f>
        <v>0</v>
      </c>
      <c r="ABL38" s="20" t="n">
        <f aca="false">ABK38</f>
        <v>0</v>
      </c>
      <c r="ABM38" s="20" t="n">
        <f aca="false">ABL38</f>
        <v>0</v>
      </c>
      <c r="ABN38" s="20" t="n">
        <f aca="false">ABM38</f>
        <v>0</v>
      </c>
      <c r="ABO38" s="20" t="n">
        <f aca="false">ABN38</f>
        <v>0</v>
      </c>
      <c r="ABP38" s="20" t="n">
        <f aca="false">ABO38</f>
        <v>0</v>
      </c>
      <c r="ABQ38" s="20" t="n">
        <f aca="false">ABP38</f>
        <v>0</v>
      </c>
      <c r="ABR38" s="20" t="n">
        <f aca="false">ABQ38</f>
        <v>0</v>
      </c>
      <c r="ABS38" s="20" t="n">
        <f aca="false">ABR38</f>
        <v>0</v>
      </c>
      <c r="ABT38" s="20" t="n">
        <f aca="false">ABS38</f>
        <v>0</v>
      </c>
      <c r="ABU38" s="20" t="n">
        <f aca="false">ABT38</f>
        <v>0</v>
      </c>
      <c r="ABV38" s="20" t="n">
        <f aca="false">ABU38</f>
        <v>0</v>
      </c>
      <c r="ABW38" s="20" t="n">
        <f aca="false">ABV38</f>
        <v>0</v>
      </c>
      <c r="ABX38" s="20" t="n">
        <f aca="false">ABW38</f>
        <v>0</v>
      </c>
      <c r="ABY38" s="20" t="n">
        <f aca="false">ABX38</f>
        <v>0</v>
      </c>
      <c r="ABZ38" s="20" t="n">
        <f aca="false">ABY38</f>
        <v>0</v>
      </c>
      <c r="ACA38" s="20" t="n">
        <f aca="false">ABZ38</f>
        <v>0</v>
      </c>
      <c r="ACB38" s="20" t="n">
        <f aca="false">ACA38</f>
        <v>0</v>
      </c>
      <c r="ACC38" s="20" t="n">
        <f aca="false">ACB38</f>
        <v>0</v>
      </c>
      <c r="ACD38" s="20" t="n">
        <f aca="false">ACC38</f>
        <v>0</v>
      </c>
      <c r="ACE38" s="20" t="n">
        <f aca="false">ACD38</f>
        <v>0</v>
      </c>
      <c r="ACF38" s="20" t="n">
        <f aca="false">ACE38</f>
        <v>0</v>
      </c>
      <c r="ACG38" s="20" t="n">
        <f aca="false">ACF38</f>
        <v>0</v>
      </c>
      <c r="ACH38" s="20" t="n">
        <f aca="false">ACG38</f>
        <v>0</v>
      </c>
      <c r="ACI38" s="20" t="n">
        <f aca="false">ACH38</f>
        <v>0</v>
      </c>
      <c r="ACJ38" s="20" t="n">
        <f aca="false">ACI38</f>
        <v>0</v>
      </c>
      <c r="ACK38" s="20" t="n">
        <f aca="false">ACJ38</f>
        <v>0</v>
      </c>
      <c r="ACL38" s="20" t="n">
        <f aca="false">ACK38</f>
        <v>0</v>
      </c>
      <c r="ACM38" s="20" t="n">
        <f aca="false">ACL38</f>
        <v>0</v>
      </c>
      <c r="ACN38" s="20" t="n">
        <f aca="false">ACM38</f>
        <v>0</v>
      </c>
      <c r="ACO38" s="20" t="n">
        <f aca="false">ACN38</f>
        <v>0</v>
      </c>
      <c r="ACP38" s="20" t="n">
        <f aca="false">ACO38</f>
        <v>0</v>
      </c>
      <c r="ACQ38" s="20" t="n">
        <f aca="false">ACP38</f>
        <v>0</v>
      </c>
      <c r="ACR38" s="20" t="n">
        <f aca="false">ACQ38</f>
        <v>0</v>
      </c>
      <c r="ACS38" s="20" t="n">
        <f aca="false">ACR38</f>
        <v>0</v>
      </c>
      <c r="ACT38" s="20" t="n">
        <f aca="false">ACS38</f>
        <v>0</v>
      </c>
      <c r="ACU38" s="20" t="n">
        <f aca="false">ACT38</f>
        <v>0</v>
      </c>
      <c r="ACV38" s="20" t="n">
        <f aca="false">ACU38</f>
        <v>0</v>
      </c>
      <c r="ACW38" s="20" t="n">
        <f aca="false">ACV38</f>
        <v>0</v>
      </c>
      <c r="ACX38" s="20" t="n">
        <f aca="false">ACW38</f>
        <v>0</v>
      </c>
      <c r="ACY38" s="20" t="n">
        <f aca="false">ACX38</f>
        <v>0</v>
      </c>
      <c r="ACZ38" s="20" t="n">
        <f aca="false">ACY38</f>
        <v>0</v>
      </c>
      <c r="ADA38" s="20" t="n">
        <f aca="false">ACZ38</f>
        <v>0</v>
      </c>
      <c r="ADB38" s="20" t="n">
        <f aca="false">ADA38</f>
        <v>0</v>
      </c>
      <c r="ADC38" s="20" t="n">
        <f aca="false">ADB38</f>
        <v>0</v>
      </c>
      <c r="ADD38" s="20" t="n">
        <f aca="false">ADC38</f>
        <v>0</v>
      </c>
      <c r="ADE38" s="20" t="n">
        <f aca="false">ADD38</f>
        <v>0</v>
      </c>
      <c r="ADF38" s="20" t="n">
        <f aca="false">ADE38</f>
        <v>0</v>
      </c>
      <c r="ADG38" s="20" t="n">
        <f aca="false">ADF38</f>
        <v>0</v>
      </c>
      <c r="ADH38" s="20" t="n">
        <f aca="false">ADG38</f>
        <v>0</v>
      </c>
      <c r="ADI38" s="20" t="n">
        <f aca="false">ADH38</f>
        <v>0</v>
      </c>
      <c r="ADJ38" s="20" t="n">
        <f aca="false">ADI38</f>
        <v>0</v>
      </c>
      <c r="ADK38" s="20" t="n">
        <f aca="false">ADJ38</f>
        <v>0</v>
      </c>
      <c r="ADL38" s="20" t="n">
        <f aca="false">ADK38</f>
        <v>0</v>
      </c>
      <c r="ADM38" s="20" t="n">
        <f aca="false">ADL38</f>
        <v>0</v>
      </c>
      <c r="ADN38" s="20" t="n">
        <f aca="false">ADM38</f>
        <v>0</v>
      </c>
      <c r="ADO38" s="20" t="n">
        <f aca="false">ADN38</f>
        <v>0</v>
      </c>
      <c r="ADP38" s="20" t="n">
        <f aca="false">ADO38</f>
        <v>0</v>
      </c>
      <c r="ADQ38" s="20" t="n">
        <f aca="false">ADP38</f>
        <v>0</v>
      </c>
      <c r="ADR38" s="20" t="n">
        <f aca="false">(AKR37-TE38+0)*(1+BQ38)</f>
        <v>0</v>
      </c>
      <c r="ADS38" s="20" t="n">
        <f aca="false">(AKS37-TF38+0)*(1+BQ38)</f>
        <v>0</v>
      </c>
      <c r="ADT38" s="20" t="n">
        <f aca="false">(AKT37-TG38+0)*(1+BQ38)</f>
        <v>0</v>
      </c>
      <c r="ADU38" s="20" t="n">
        <f aca="false">(AKU37-TH38+0)*(1+BQ38)</f>
        <v>0</v>
      </c>
      <c r="ADV38" s="20" t="n">
        <f aca="false">(AKV37-TI38+0)*(1+BQ38)</f>
        <v>0</v>
      </c>
      <c r="ADW38" s="20" t="n">
        <f aca="false">(AKW37-TJ38+0)*(1+BQ38)</f>
        <v>0</v>
      </c>
      <c r="ADX38" s="20" t="n">
        <f aca="false">(AKX37-TK38+0)*(1+BQ38)</f>
        <v>0</v>
      </c>
      <c r="ADY38" s="20" t="n">
        <f aca="false">(AKY37-TL38+0)*(1+BQ38)</f>
        <v>0</v>
      </c>
      <c r="ADZ38" s="20" t="n">
        <f aca="false">(AKZ37-TM38+0)*(1+BQ38)</f>
        <v>0</v>
      </c>
      <c r="AEA38" s="20" t="n">
        <f aca="false">(ALA37-TN38+0)*(1+BQ38)</f>
        <v>0</v>
      </c>
      <c r="AEB38" s="20" t="n">
        <f aca="false">(ALB37-TO38+0)*(1+BQ38)</f>
        <v>0</v>
      </c>
      <c r="AEC38" s="20" t="n">
        <f aca="false">(ALC37-TP38+0)*(1+BQ38)</f>
        <v>1003.8222441881</v>
      </c>
      <c r="AED38" s="20" t="n">
        <f aca="false">(ALD37-TQ38+0)*(1+BQ38)</f>
        <v>1262.77644058882</v>
      </c>
      <c r="AEE38" s="20" t="n">
        <f aca="false">(ALE37-TR38+0)*(1+BQ38)</f>
        <v>1511.19046484615</v>
      </c>
      <c r="AEF38" s="20" t="n">
        <f aca="false">(ALF37-TS38+0)*(1+BQ38)</f>
        <v>1699.34166693983</v>
      </c>
      <c r="AEG38" s="20" t="n">
        <f aca="false">(ALG37-TT38+0)*(1+BQ38)</f>
        <v>1634.2707456083</v>
      </c>
      <c r="AEH38" s="20" t="n">
        <f aca="false">(ALH37-TU38+0)*(1+BQ38)</f>
        <v>1749.83697251768</v>
      </c>
      <c r="AEI38" s="20" t="n">
        <f aca="false">(ALI37-TV38+0)*(1+BQ38)</f>
        <v>1680.79281754264</v>
      </c>
      <c r="AEJ38" s="20" t="n">
        <f aca="false">(ALJ37-TW38+0)*(1+BQ38)</f>
        <v>5223.88836237058</v>
      </c>
      <c r="AEK38" s="20" t="n">
        <f aca="false">(ALK37-TX38+0)*(1+BQ38)</f>
        <v>5123.42897078652</v>
      </c>
      <c r="AEL38" s="20" t="n">
        <f aca="false">(ALL37-TY38+0)*(1+BQ38)</f>
        <v>5024.9014905791</v>
      </c>
      <c r="AEM38" s="20" t="n">
        <f aca="false">(ALM37-TZ38+0)*(1+BQ38)</f>
        <v>4928.26876960642</v>
      </c>
      <c r="AEN38" s="20" t="n">
        <f aca="false">(ALN37-UA38+0)*(1+BQ38)</f>
        <v>4833.49437019091</v>
      </c>
      <c r="AEO38" s="20" t="n">
        <f aca="false">(ALO37-UB38+0)*(1+BQ38)</f>
        <v>4740.54255537954</v>
      </c>
      <c r="AEP38" s="20" t="n">
        <f aca="false">(ALP37-UC38+0)*(1+BQ38)</f>
        <v>5179.42926859008</v>
      </c>
      <c r="AEQ38" s="20" t="n">
        <f aca="false">(ALQ37-UD38+0)*(1+BQ38)</f>
        <v>5079.82485957873</v>
      </c>
      <c r="AER38" s="20" t="n">
        <f aca="false">(ALR37-UE38+0)*(1+BQ38)</f>
        <v>75367.5121311554</v>
      </c>
      <c r="AES38" s="20" t="n">
        <f aca="false">(ALS37-UF38+0)*(1+BQ38)</f>
        <v>0</v>
      </c>
      <c r="AET38" s="20" t="n">
        <f aca="false">(ALT37-UG38+0)*(1+BQ38)</f>
        <v>0</v>
      </c>
      <c r="AEU38" s="20" t="n">
        <f aca="false">(ALU37-UH38+0)*(1+BQ38)</f>
        <v>1945.40470433136</v>
      </c>
      <c r="AEV38" s="20" t="n">
        <f aca="false">(ALV37-UI38+0)*(1+BQ38)</f>
        <v>0</v>
      </c>
      <c r="AEW38" s="20" t="n">
        <f aca="false">((P38+S38)-UJ38+BE38)*(1+BQ38)</f>
        <v>0</v>
      </c>
      <c r="AEX38" s="20" t="n">
        <v>0</v>
      </c>
      <c r="AEY38" s="20" t="n">
        <v>0</v>
      </c>
      <c r="AEZ38" s="20" t="n">
        <v>0</v>
      </c>
      <c r="AFA38" s="20" t="n">
        <v>0</v>
      </c>
      <c r="AFB38" s="20" t="n">
        <v>0</v>
      </c>
      <c r="AFC38" s="20" t="n">
        <v>0</v>
      </c>
      <c r="AFD38" s="20" t="n">
        <v>0</v>
      </c>
      <c r="AFE38" s="20" t="n">
        <v>0</v>
      </c>
      <c r="AFF38" s="20" t="n">
        <v>0</v>
      </c>
      <c r="AFG38" s="20" t="n">
        <v>0</v>
      </c>
      <c r="AFH38" s="20" t="n">
        <v>0</v>
      </c>
      <c r="AFI38" s="20" t="n">
        <v>0</v>
      </c>
      <c r="AFJ38" s="20" t="n">
        <v>0</v>
      </c>
      <c r="AFK38" s="20" t="n">
        <v>0</v>
      </c>
      <c r="AFL38" s="20" t="n">
        <v>0</v>
      </c>
      <c r="AFM38" s="20" t="n">
        <v>0</v>
      </c>
      <c r="AFN38" s="20" t="n">
        <v>0</v>
      </c>
      <c r="AFO38" s="20" t="n">
        <v>0</v>
      </c>
      <c r="AFP38" s="20" t="n">
        <v>0</v>
      </c>
      <c r="AFQ38" s="20" t="n">
        <v>0</v>
      </c>
      <c r="AFR38" s="20" t="n">
        <v>0</v>
      </c>
      <c r="AFS38" s="20" t="n">
        <v>0</v>
      </c>
      <c r="AFT38" s="20" t="n">
        <v>0</v>
      </c>
      <c r="AFU38" s="20" t="n">
        <v>0</v>
      </c>
      <c r="AFV38" s="20" t="n">
        <v>0</v>
      </c>
      <c r="AFW38" s="20" t="n">
        <v>0</v>
      </c>
      <c r="AFX38" s="20" t="n">
        <v>0</v>
      </c>
      <c r="AFY38" s="20" t="n">
        <v>0</v>
      </c>
      <c r="AFZ38" s="20" t="n">
        <v>0</v>
      </c>
      <c r="AGA38" s="20" t="n">
        <v>0</v>
      </c>
      <c r="AGB38" s="20" t="n">
        <v>0</v>
      </c>
      <c r="AGC38" s="20" t="n">
        <v>0</v>
      </c>
      <c r="AGD38" s="20" t="n">
        <v>0</v>
      </c>
      <c r="AGE38" s="20" t="n">
        <v>0</v>
      </c>
      <c r="AGF38" s="20" t="n">
        <v>0</v>
      </c>
      <c r="AGG38" s="20" t="n">
        <v>0</v>
      </c>
      <c r="AGH38" s="20" t="n">
        <v>0</v>
      </c>
      <c r="AGI38" s="20" t="n">
        <v>0</v>
      </c>
      <c r="AGJ38" s="20" t="n">
        <v>0</v>
      </c>
      <c r="AGK38" s="20" t="n">
        <v>0</v>
      </c>
      <c r="AGL38" s="20" t="n">
        <v>0</v>
      </c>
      <c r="AGM38" s="20" t="n">
        <v>0</v>
      </c>
      <c r="AGN38" s="20" t="n">
        <v>0</v>
      </c>
      <c r="AGO38" s="20" t="n">
        <v>0</v>
      </c>
      <c r="AGP38" s="20" t="n">
        <v>0</v>
      </c>
      <c r="AGQ38" s="20" t="n">
        <v>0</v>
      </c>
      <c r="AGR38" s="20" t="n">
        <v>0</v>
      </c>
      <c r="AGS38" s="20" t="n">
        <v>0</v>
      </c>
      <c r="AGT38" s="20" t="n">
        <v>0</v>
      </c>
      <c r="AGU38" s="20" t="n">
        <v>0</v>
      </c>
      <c r="AGV38" s="20" t="n">
        <v>0</v>
      </c>
      <c r="AGW38" s="20" t="n">
        <v>0</v>
      </c>
      <c r="AGX38" s="20" t="n">
        <v>0</v>
      </c>
      <c r="AGY38" s="20" t="n">
        <v>0</v>
      </c>
      <c r="AGZ38" s="20" t="n">
        <v>0</v>
      </c>
      <c r="AHA38" s="20" t="n">
        <v>0</v>
      </c>
      <c r="AHB38" s="20" t="n">
        <v>0</v>
      </c>
      <c r="AHC38" s="20" t="n">
        <v>0</v>
      </c>
      <c r="AHD38" s="20" t="n">
        <v>0</v>
      </c>
      <c r="AHE38" s="20" t="n">
        <f aca="false">IF(AKR37&gt;0,AOE37-AOE37*TE38/AKR37,0)+0</f>
        <v>0</v>
      </c>
      <c r="AHF38" s="20" t="n">
        <f aca="false">IF(AKS37&gt;0,AOF37-AOF37*TF38/AKS37,0)+0</f>
        <v>0</v>
      </c>
      <c r="AHG38" s="20" t="n">
        <f aca="false">IF(AKT37&gt;0,AOG37-AOG37*TG38/AKT37,0)+0</f>
        <v>0</v>
      </c>
      <c r="AHH38" s="20" t="n">
        <f aca="false">IF(AKU37&gt;0,AOH37-AOH37*TH38/AKU37,0)+0</f>
        <v>0</v>
      </c>
      <c r="AHI38" s="20" t="n">
        <f aca="false">IF(AKV37&gt;0,AOI37-AOI37*TI38/AKV37,0)+0</f>
        <v>0</v>
      </c>
      <c r="AHJ38" s="20" t="n">
        <f aca="false">IF(AKW37&gt;0,AOJ37-AOJ37*TJ38/AKW37,0)+0</f>
        <v>0</v>
      </c>
      <c r="AHK38" s="20" t="n">
        <f aca="false">IF(AKX37&gt;0,AOK37-AOK37*TK38/AKX37,0)+0</f>
        <v>0</v>
      </c>
      <c r="AHL38" s="20" t="n">
        <f aca="false">IF(AKY37&gt;0,AOL37-AOL37*TL38/AKY37,0)+0</f>
        <v>0</v>
      </c>
      <c r="AHM38" s="20" t="n">
        <f aca="false">IF(AKZ37&gt;0,AOM37-AOM37*TM38/AKZ37,0)+0</f>
        <v>0</v>
      </c>
      <c r="AHN38" s="20" t="n">
        <f aca="false">IF(ALA37&gt;0,AON37-AON37*TN38/ALA37,0)+0</f>
        <v>0</v>
      </c>
      <c r="AHO38" s="20" t="n">
        <f aca="false">IF(ALB37&gt;0,AOO37-AOO37*TO38/ALB37,0)+0</f>
        <v>0</v>
      </c>
      <c r="AHP38" s="20" t="n">
        <f aca="false">IF(ALC37&gt;0,AOP37-AOP37*TP38/ALC37,0)+0</f>
        <v>825.068712866201</v>
      </c>
      <c r="AHQ38" s="20" t="n">
        <f aca="false">IF(ALD37&gt;0,AOQ37-AOQ37*TQ38/ALD37,0)+0</f>
        <v>1079.42659374892</v>
      </c>
      <c r="AHR38" s="20" t="n">
        <f aca="false">IF(ALE37&gt;0,AOR37-AOR37*TR38/ALE37,0)+0</f>
        <v>1343.44282050643</v>
      </c>
      <c r="AHS38" s="20" t="n">
        <f aca="false">IF(ALF37&gt;0,AOS37-AOS37*TS38/ALF37,0)+0</f>
        <v>1571.13689620916</v>
      </c>
      <c r="AHT38" s="20" t="n">
        <f aca="false">IF(ALG37&gt;0,AOT37-AOT37*TT38/ALG37,0)+0</f>
        <v>1571.41417846952</v>
      </c>
      <c r="AHU38" s="20" t="n">
        <f aca="false">IF(ALH37&gt;0,AOU37-AOU37*TU38/ALH37,0)+0</f>
        <v>1278.58873616899</v>
      </c>
      <c r="AHV38" s="20" t="n">
        <f aca="false">IF(ALI37&gt;0,AOV37-AOV37*TV38/ALI37,0)+0</f>
        <v>1277.26440235273</v>
      </c>
      <c r="AHW38" s="20" t="n">
        <f aca="false">IF(ALJ37&gt;0,AOW37-AOW37*TW38/ALJ37,0)+0</f>
        <v>4128.51485357413</v>
      </c>
      <c r="AHX38" s="20" t="n">
        <f aca="false">IF(ALK37&gt;0,AOX37-AOX37*TX38/ALK37,0)+0</f>
        <v>4211.08515064561</v>
      </c>
      <c r="AHY38" s="20" t="n">
        <f aca="false">IF(ALL37&gt;0,AOY37-AOY37*TY38/ALL37,0)+0</f>
        <v>4295.30685365853</v>
      </c>
      <c r="AHZ38" s="20" t="n">
        <f aca="false">IF(ALM37&gt;0,AOZ37-AOZ37*TZ38/ALM37,0)+0</f>
        <v>4381.21299073169</v>
      </c>
      <c r="AIA38" s="20" t="n">
        <f aca="false">IF(ALN37&gt;0,APA37-APA37*UA38/ALN37,0)+0</f>
        <v>4468.83725054633</v>
      </c>
      <c r="AIB38" s="20" t="n">
        <f aca="false">IF(ALO37&gt;0,APB37-APB37*UB38/ALO37,0)+0</f>
        <v>4558.21399555725</v>
      </c>
      <c r="AIC38" s="20" t="n">
        <f aca="false">IF(ALP37&gt;0,APC37-APC37*UC38/ALP37,0)+0</f>
        <v>3784.55823405936</v>
      </c>
      <c r="AID38" s="20" t="n">
        <f aca="false">IF(ALQ37&gt;0,APD37-APD37*UD38/ALQ37,0)+0</f>
        <v>3860.24939874054</v>
      </c>
      <c r="AIE38" s="20" t="n">
        <f aca="false">IF(ALR37&gt;0,APE37-APE37*UE38/ALR37,0)+0</f>
        <v>59564.0396053951</v>
      </c>
      <c r="AIF38" s="20" t="n">
        <f aca="false">IF(ALS37&gt;0,APF37-APF37*UF38/ALS37,0)+0</f>
        <v>0</v>
      </c>
      <c r="AIG38" s="20" t="n">
        <f aca="false">IF(ALT37&gt;0,APG37-APG37*UG38/ALT37,0)+0</f>
        <v>0</v>
      </c>
      <c r="AIH38" s="20" t="n">
        <f aca="false">IF(ALU37&gt;0,APH37-APH37*UH38/ALU37,0)+0</f>
        <v>1729.45769829184</v>
      </c>
      <c r="AII38" s="20" t="n">
        <f aca="false">IF(ALV37&gt;0,API37-API37*UI38/ALV37,0)+0</f>
        <v>0</v>
      </c>
      <c r="AIJ38" s="20" t="n">
        <f aca="false">IF((P38+S38)&gt;0,(P38+S38)-(P38+S38)*UJ38/(P38+S38),0)+BE38</f>
        <v>0</v>
      </c>
      <c r="AIK38" s="20" t="n">
        <v>0</v>
      </c>
      <c r="AIL38" s="20" t="n">
        <v>0</v>
      </c>
      <c r="AIM38" s="20" t="n">
        <v>0</v>
      </c>
      <c r="AIN38" s="20" t="n">
        <v>0</v>
      </c>
      <c r="AIO38" s="20" t="n">
        <v>0</v>
      </c>
      <c r="AIP38" s="20" t="n">
        <v>0</v>
      </c>
      <c r="AIQ38" s="20" t="n">
        <v>0</v>
      </c>
      <c r="AIR38" s="20" t="n">
        <v>0</v>
      </c>
      <c r="AIS38" s="20" t="n">
        <v>0</v>
      </c>
      <c r="AIT38" s="20" t="n">
        <v>0</v>
      </c>
      <c r="AIU38" s="20" t="n">
        <v>0</v>
      </c>
      <c r="AIV38" s="20" t="n">
        <v>0</v>
      </c>
      <c r="AIW38" s="20" t="n">
        <v>0</v>
      </c>
      <c r="AIX38" s="20" t="n">
        <v>0</v>
      </c>
      <c r="AIY38" s="20" t="n">
        <v>0</v>
      </c>
      <c r="AIZ38" s="20" t="n">
        <v>0</v>
      </c>
      <c r="AJA38" s="20" t="n">
        <v>0</v>
      </c>
      <c r="AJB38" s="20" t="n">
        <v>0</v>
      </c>
      <c r="AJC38" s="20" t="n">
        <v>0</v>
      </c>
      <c r="AJD38" s="20" t="n">
        <v>0</v>
      </c>
      <c r="AJE38" s="20" t="n">
        <v>0</v>
      </c>
      <c r="AJF38" s="20" t="n">
        <v>0</v>
      </c>
      <c r="AJG38" s="20" t="n">
        <v>0</v>
      </c>
      <c r="AJH38" s="20" t="n">
        <v>0</v>
      </c>
      <c r="AJI38" s="20" t="n">
        <v>0</v>
      </c>
      <c r="AJJ38" s="20" t="n">
        <v>0</v>
      </c>
      <c r="AJK38" s="20" t="n">
        <v>0</v>
      </c>
      <c r="AJL38" s="20" t="n">
        <v>0</v>
      </c>
      <c r="AJM38" s="20" t="n">
        <v>0</v>
      </c>
      <c r="AJN38" s="20" t="n">
        <v>0</v>
      </c>
      <c r="AJO38" s="20" t="n">
        <v>0</v>
      </c>
      <c r="AJP38" s="20" t="n">
        <v>0</v>
      </c>
      <c r="AJQ38" s="20" t="n">
        <v>0</v>
      </c>
      <c r="AJR38" s="20" t="n">
        <v>0</v>
      </c>
      <c r="AJS38" s="20" t="n">
        <v>0</v>
      </c>
      <c r="AJT38" s="20" t="n">
        <v>0</v>
      </c>
      <c r="AJU38" s="20" t="n">
        <v>0</v>
      </c>
      <c r="AJV38" s="20" t="n">
        <v>0</v>
      </c>
      <c r="AJW38" s="20" t="n">
        <v>0</v>
      </c>
      <c r="AJX38" s="20" t="n">
        <v>0</v>
      </c>
      <c r="AJY38" s="20" t="n">
        <v>0</v>
      </c>
      <c r="AJZ38" s="20" t="n">
        <v>0</v>
      </c>
      <c r="AKA38" s="20" t="n">
        <v>0</v>
      </c>
      <c r="AKB38" s="20" t="n">
        <v>0</v>
      </c>
      <c r="AKC38" s="20" t="n">
        <v>0</v>
      </c>
      <c r="AKD38" s="20" t="n">
        <v>0</v>
      </c>
      <c r="AKE38" s="20" t="n">
        <v>0</v>
      </c>
      <c r="AKF38" s="20" t="n">
        <v>0</v>
      </c>
      <c r="AKG38" s="20" t="n">
        <v>0</v>
      </c>
      <c r="AKH38" s="20" t="n">
        <v>0</v>
      </c>
      <c r="AKI38" s="20" t="n">
        <v>0</v>
      </c>
      <c r="AKJ38" s="20" t="n">
        <v>0</v>
      </c>
      <c r="AKK38" s="20" t="n">
        <v>0</v>
      </c>
      <c r="AKL38" s="20" t="n">
        <v>0</v>
      </c>
      <c r="AKM38" s="20" t="n">
        <v>0</v>
      </c>
      <c r="AKN38" s="20" t="n">
        <v>0</v>
      </c>
      <c r="AKO38" s="20" t="n">
        <v>0</v>
      </c>
      <c r="AKP38" s="20" t="n">
        <v>0</v>
      </c>
      <c r="AKQ38" s="20" t="n">
        <v>0</v>
      </c>
      <c r="AKR38" s="20" t="n">
        <f aca="false">ADR38-AVE38</f>
        <v>0</v>
      </c>
      <c r="AKS38" s="20" t="n">
        <f aca="false">ADS38-AVF38</f>
        <v>0</v>
      </c>
      <c r="AKT38" s="20" t="n">
        <f aca="false">ADT38-AVG38</f>
        <v>0</v>
      </c>
      <c r="AKU38" s="20" t="n">
        <f aca="false">ADU38-AVH38</f>
        <v>0</v>
      </c>
      <c r="AKV38" s="20" t="n">
        <f aca="false">ADV38-AVI38</f>
        <v>0</v>
      </c>
      <c r="AKW38" s="20" t="n">
        <f aca="false">ADW38-AVJ38</f>
        <v>0</v>
      </c>
      <c r="AKX38" s="20" t="n">
        <f aca="false">ADX38-AVK38</f>
        <v>0</v>
      </c>
      <c r="AKY38" s="20" t="n">
        <f aca="false">ADY38-AVL38</f>
        <v>0</v>
      </c>
      <c r="AKZ38" s="20" t="n">
        <f aca="false">ADZ38-AVM38</f>
        <v>0</v>
      </c>
      <c r="ALA38" s="20" t="n">
        <f aca="false">AEA38-AVN38</f>
        <v>0</v>
      </c>
      <c r="ALB38" s="20" t="n">
        <f aca="false">AEB38-AVO38</f>
        <v>0</v>
      </c>
      <c r="ALC38" s="20" t="n">
        <f aca="false">AEC38-AVP38</f>
        <v>1003.8222441881</v>
      </c>
      <c r="ALD38" s="20" t="n">
        <f aca="false">AED38-AVQ38</f>
        <v>1262.77644058882</v>
      </c>
      <c r="ALE38" s="20" t="n">
        <f aca="false">AEE38-AVR38</f>
        <v>1511.19046484615</v>
      </c>
      <c r="ALF38" s="20" t="n">
        <f aca="false">AEF38-AVS38</f>
        <v>1699.34166693983</v>
      </c>
      <c r="ALG38" s="20" t="n">
        <f aca="false">AEG38-AVT38</f>
        <v>1634.2707456083</v>
      </c>
      <c r="ALH38" s="20" t="n">
        <f aca="false">AEH38-AVU38</f>
        <v>1570.76264270518</v>
      </c>
      <c r="ALI38" s="20" t="n">
        <f aca="false">AEI38-AVV38</f>
        <v>1680.79281754264</v>
      </c>
      <c r="ALJ38" s="20" t="n">
        <f aca="false">AEJ38-AVW38</f>
        <v>5223.88836237058</v>
      </c>
      <c r="ALK38" s="20" t="n">
        <f aca="false">AEK38-AVX38</f>
        <v>5123.42897078652</v>
      </c>
      <c r="ALL38" s="20" t="n">
        <f aca="false">AEL38-AVY38</f>
        <v>5024.9014905791</v>
      </c>
      <c r="ALM38" s="20" t="n">
        <f aca="false">AEM38-AVZ38</f>
        <v>4928.26876960642</v>
      </c>
      <c r="ALN38" s="20" t="n">
        <f aca="false">AEN38-AWA38</f>
        <v>4833.49437019091</v>
      </c>
      <c r="ALO38" s="20" t="n">
        <f aca="false">AEO38-AWB38</f>
        <v>4740.54255537954</v>
      </c>
      <c r="ALP38" s="20" t="n">
        <f aca="false">AEP38-AWC38</f>
        <v>4649.3782754684</v>
      </c>
      <c r="ALQ38" s="20" t="n">
        <f aca="false">AEQ38-AWD38</f>
        <v>5079.82485957873</v>
      </c>
      <c r="ALR38" s="20" t="n">
        <f aca="false">AER38-AWE38</f>
        <v>75367.5121311554</v>
      </c>
      <c r="ALS38" s="20" t="n">
        <f aca="false">AES38-AWF38</f>
        <v>0</v>
      </c>
      <c r="ALT38" s="20" t="n">
        <f aca="false">AET38-AWG38</f>
        <v>0</v>
      </c>
      <c r="ALU38" s="20" t="n">
        <f aca="false">AEU38-AWH38</f>
        <v>1945.40470433136</v>
      </c>
      <c r="ALV38" s="20" t="n">
        <f aca="false">AEV38-AWI38</f>
        <v>0</v>
      </c>
      <c r="ALW38" s="20" t="n">
        <f aca="false">AEW38-AWJ38</f>
        <v>0</v>
      </c>
      <c r="ALX38" s="20" t="n">
        <v>0</v>
      </c>
      <c r="ALY38" s="20" t="n">
        <v>0</v>
      </c>
      <c r="ALZ38" s="20" t="n">
        <v>0</v>
      </c>
      <c r="AMA38" s="20" t="n">
        <v>0</v>
      </c>
      <c r="AMB38" s="20" t="n">
        <v>0</v>
      </c>
      <c r="AMC38" s="20" t="n">
        <v>0</v>
      </c>
      <c r="AMD38" s="20" t="n">
        <v>0</v>
      </c>
      <c r="AME38" s="20" t="n">
        <v>0</v>
      </c>
      <c r="AMF38" s="20" t="n">
        <v>0</v>
      </c>
      <c r="AMG38" s="20" t="n">
        <v>0</v>
      </c>
      <c r="AMH38" s="20" t="n">
        <v>0</v>
      </c>
      <c r="AMI38" s="20" t="n">
        <v>0</v>
      </c>
      <c r="AMJ38" s="20" t="n">
        <v>0</v>
      </c>
      <c r="AMK38" s="20" t="n">
        <v>0</v>
      </c>
      <c r="AML38" s="20" t="n">
        <v>0</v>
      </c>
      <c r="AMM38" s="20" t="n">
        <v>0</v>
      </c>
      <c r="AMN38" s="20" t="n">
        <v>0</v>
      </c>
      <c r="AMO38" s="20" t="n">
        <v>0</v>
      </c>
      <c r="AMP38" s="20" t="n">
        <v>0</v>
      </c>
      <c r="AMQ38" s="20" t="n">
        <v>0</v>
      </c>
      <c r="AMR38" s="20" t="n">
        <v>0</v>
      </c>
      <c r="AMS38" s="20" t="n">
        <v>0</v>
      </c>
      <c r="AMT38" s="20" t="n">
        <v>0</v>
      </c>
      <c r="AMU38" s="20" t="n">
        <v>0</v>
      </c>
      <c r="AMV38" s="20" t="n">
        <v>0</v>
      </c>
      <c r="AMW38" s="20" t="n">
        <v>0</v>
      </c>
      <c r="AMX38" s="20" t="n">
        <v>0</v>
      </c>
      <c r="AMY38" s="20" t="n">
        <v>0</v>
      </c>
      <c r="AMZ38" s="20" t="n">
        <v>0</v>
      </c>
      <c r="ANA38" s="20" t="n">
        <v>0</v>
      </c>
      <c r="ANB38" s="20" t="n">
        <v>0</v>
      </c>
      <c r="ANC38" s="20" t="n">
        <v>0</v>
      </c>
      <c r="AND38" s="20" t="n">
        <v>0</v>
      </c>
      <c r="ANE38" s="20" t="n">
        <v>0</v>
      </c>
      <c r="ANF38" s="20" t="n">
        <v>0</v>
      </c>
      <c r="ANG38" s="20" t="n">
        <v>0</v>
      </c>
      <c r="ANH38" s="20" t="n">
        <v>0</v>
      </c>
      <c r="ANI38" s="20" t="n">
        <v>0</v>
      </c>
      <c r="ANJ38" s="20" t="n">
        <v>0</v>
      </c>
      <c r="ANK38" s="20" t="n">
        <v>0</v>
      </c>
      <c r="ANL38" s="20" t="n">
        <v>0</v>
      </c>
      <c r="ANM38" s="20" t="n">
        <v>0</v>
      </c>
      <c r="ANN38" s="20" t="n">
        <v>0</v>
      </c>
      <c r="ANO38" s="20" t="n">
        <v>0</v>
      </c>
      <c r="ANP38" s="20" t="n">
        <v>0</v>
      </c>
      <c r="ANQ38" s="20" t="n">
        <v>0</v>
      </c>
      <c r="ANR38" s="20" t="n">
        <v>0</v>
      </c>
      <c r="ANS38" s="20" t="n">
        <v>0</v>
      </c>
      <c r="ANT38" s="20" t="n">
        <v>0</v>
      </c>
      <c r="ANU38" s="20" t="n">
        <v>0</v>
      </c>
      <c r="ANV38" s="20" t="n">
        <v>0</v>
      </c>
      <c r="ANW38" s="20" t="n">
        <v>0</v>
      </c>
      <c r="ANX38" s="20" t="n">
        <v>0</v>
      </c>
      <c r="ANY38" s="20" t="n">
        <v>0</v>
      </c>
      <c r="ANZ38" s="20" t="n">
        <v>0</v>
      </c>
      <c r="AOA38" s="20" t="n">
        <v>0</v>
      </c>
      <c r="AOB38" s="20" t="n">
        <v>0</v>
      </c>
      <c r="AOC38" s="20" t="n">
        <v>0</v>
      </c>
      <c r="AOD38" s="20" t="n">
        <v>0</v>
      </c>
      <c r="AOE38" s="20" t="n">
        <f aca="false">IF(AND(H_Direct=0,H_TaxEvt=1,ARR37+1&gt;=H_Deemed),AKR38,AHE38)</f>
        <v>0</v>
      </c>
      <c r="AOF38" s="20" t="n">
        <f aca="false">IF(AND(H_Direct=0,H_TaxEvt=1,ARS37+1&gt;=H_Deemed),AKS38,AHF38)</f>
        <v>0</v>
      </c>
      <c r="AOG38" s="20" t="n">
        <f aca="false">IF(AND(H_Direct=0,H_TaxEvt=1,ART37+1&gt;=H_Deemed),AKT38,AHG38)</f>
        <v>0</v>
      </c>
      <c r="AOH38" s="20" t="n">
        <f aca="false">IF(AND(H_Direct=0,H_TaxEvt=1,ARU37+1&gt;=H_Deemed),AKU38,AHH38)</f>
        <v>0</v>
      </c>
      <c r="AOI38" s="20" t="n">
        <f aca="false">IF(AND(H_Direct=0,H_TaxEvt=1,ARV37+1&gt;=H_Deemed),AKV38,AHI38)</f>
        <v>0</v>
      </c>
      <c r="AOJ38" s="20" t="n">
        <f aca="false">IF(AND(H_Direct=0,H_TaxEvt=1,ARW37+1&gt;=H_Deemed),AKW38,AHJ38)</f>
        <v>0</v>
      </c>
      <c r="AOK38" s="20" t="n">
        <f aca="false">IF(AND(H_Direct=0,H_TaxEvt=1,ARX37+1&gt;=H_Deemed),AKX38,AHK38)</f>
        <v>0</v>
      </c>
      <c r="AOL38" s="20" t="n">
        <f aca="false">IF(AND(H_Direct=0,H_TaxEvt=1,ARY37+1&gt;=H_Deemed),AKY38,AHL38)</f>
        <v>0</v>
      </c>
      <c r="AOM38" s="20" t="n">
        <f aca="false">IF(AND(H_Direct=0,H_TaxEvt=1,ARZ37+1&gt;=H_Deemed),AKZ38,AHM38)</f>
        <v>0</v>
      </c>
      <c r="AON38" s="20" t="n">
        <f aca="false">IF(AND(H_Direct=0,H_TaxEvt=1,ASA37+1&gt;=H_Deemed),ALA38,AHN38)</f>
        <v>0</v>
      </c>
      <c r="AOO38" s="20" t="n">
        <f aca="false">IF(AND(H_Direct=0,H_TaxEvt=1,ASB37+1&gt;=H_Deemed),ALB38,AHO38)</f>
        <v>0</v>
      </c>
      <c r="AOP38" s="20" t="n">
        <f aca="false">IF(AND(H_Direct=0,H_TaxEvt=1,ASC37+1&gt;=H_Deemed),ALC38,AHP38)</f>
        <v>825.068712866201</v>
      </c>
      <c r="AOQ38" s="20" t="n">
        <f aca="false">IF(AND(H_Direct=0,H_TaxEvt=1,ASD37+1&gt;=H_Deemed),ALD38,AHQ38)</f>
        <v>1079.42659374892</v>
      </c>
      <c r="AOR38" s="20" t="n">
        <f aca="false">IF(AND(H_Direct=0,H_TaxEvt=1,ASE37+1&gt;=H_Deemed),ALE38,AHR38)</f>
        <v>1343.44282050643</v>
      </c>
      <c r="AOS38" s="20" t="n">
        <f aca="false">IF(AND(H_Direct=0,H_TaxEvt=1,ASF37+1&gt;=H_Deemed),ALF38,AHS38)</f>
        <v>1571.13689620916</v>
      </c>
      <c r="AOT38" s="20" t="n">
        <f aca="false">IF(AND(H_Direct=0,H_TaxEvt=1,ASG37+1&gt;=H_Deemed),ALG38,AHT38)</f>
        <v>1571.41417846952</v>
      </c>
      <c r="AOU38" s="20" t="n">
        <f aca="false">IF(AND(H_Direct=0,H_TaxEvt=1,ASH37+1&gt;=H_Deemed),ALH38,AHU38)</f>
        <v>1570.76264270518</v>
      </c>
      <c r="AOV38" s="20" t="n">
        <f aca="false">IF(AND(H_Direct=0,H_TaxEvt=1,ASI37+1&gt;=H_Deemed),ALI38,AHV38)</f>
        <v>1277.26440235273</v>
      </c>
      <c r="AOW38" s="20" t="n">
        <f aca="false">IF(AND(H_Direct=0,H_TaxEvt=1,ASJ37+1&gt;=H_Deemed),ALJ38,AHW38)</f>
        <v>4128.51485357413</v>
      </c>
      <c r="AOX38" s="20" t="n">
        <f aca="false">IF(AND(H_Direct=0,H_TaxEvt=1,ASK37+1&gt;=H_Deemed),ALK38,AHX38)</f>
        <v>4211.08515064561</v>
      </c>
      <c r="AOY38" s="20" t="n">
        <f aca="false">IF(AND(H_Direct=0,H_TaxEvt=1,ASL37+1&gt;=H_Deemed),ALL38,AHY38)</f>
        <v>4295.30685365853</v>
      </c>
      <c r="AOZ38" s="20" t="n">
        <f aca="false">IF(AND(H_Direct=0,H_TaxEvt=1,ASM37+1&gt;=H_Deemed),ALM38,AHZ38)</f>
        <v>4381.21299073169</v>
      </c>
      <c r="APA38" s="20" t="n">
        <f aca="false">IF(AND(H_Direct=0,H_TaxEvt=1,ASN37+1&gt;=H_Deemed),ALN38,AIA38)</f>
        <v>4468.83725054633</v>
      </c>
      <c r="APB38" s="20" t="n">
        <f aca="false">IF(AND(H_Direct=0,H_TaxEvt=1,ASO37+1&gt;=H_Deemed),ALO38,AIB38)</f>
        <v>4558.21399555725</v>
      </c>
      <c r="APC38" s="20" t="n">
        <f aca="false">IF(AND(H_Direct=0,H_TaxEvt=1,ASP37+1&gt;=H_Deemed),ALP38,AIC38)</f>
        <v>4649.3782754684</v>
      </c>
      <c r="APD38" s="20" t="n">
        <f aca="false">IF(AND(H_Direct=0,H_TaxEvt=1,ASQ37+1&gt;=H_Deemed),ALQ38,AID38)</f>
        <v>3860.24939874054</v>
      </c>
      <c r="APE38" s="20" t="n">
        <f aca="false">IF(AND(H_Direct=0,H_TaxEvt=1,ASR37+1&gt;=H_Deemed),ALR38,AIE38)</f>
        <v>59564.0396053951</v>
      </c>
      <c r="APF38" s="20" t="n">
        <f aca="false">IF(AND(H_Direct=0,H_TaxEvt=1,ASS37+1&gt;=H_Deemed),ALS38,AIF38)</f>
        <v>0</v>
      </c>
      <c r="APG38" s="20" t="n">
        <f aca="false">IF(AND(H_Direct=0,H_TaxEvt=1,AST37+1&gt;=H_Deemed),ALT38,AIG38)</f>
        <v>0</v>
      </c>
      <c r="APH38" s="20" t="n">
        <f aca="false">IF(AND(H_Direct=0,H_TaxEvt=1,ASU37+1&gt;=H_Deemed),ALU38,AIH38)</f>
        <v>1729.45769829184</v>
      </c>
      <c r="API38" s="20" t="n">
        <f aca="false">IF(AND(H_Direct=0,H_TaxEvt=1,ASV37+1&gt;=H_Deemed),ALV38,AII38)</f>
        <v>0</v>
      </c>
      <c r="APJ38" s="20" t="n">
        <f aca="false">IF(AND(H_Direct=0,H_TaxEvt=1,0+1&gt;=H_Deemed),ALW38,AIJ38)</f>
        <v>0</v>
      </c>
      <c r="APK38" s="20" t="n">
        <v>0</v>
      </c>
      <c r="APL38" s="20" t="n">
        <v>0</v>
      </c>
      <c r="APM38" s="20" t="n">
        <v>0</v>
      </c>
      <c r="APN38" s="20" t="n">
        <v>0</v>
      </c>
      <c r="APO38" s="20" t="n">
        <v>0</v>
      </c>
      <c r="APP38" s="20" t="n">
        <v>0</v>
      </c>
      <c r="APQ38" s="20" t="n">
        <v>0</v>
      </c>
      <c r="APR38" s="20" t="n">
        <v>0</v>
      </c>
      <c r="APS38" s="20" t="n">
        <v>0</v>
      </c>
      <c r="APT38" s="20" t="n">
        <v>0</v>
      </c>
      <c r="APU38" s="20" t="n">
        <v>0</v>
      </c>
      <c r="APV38" s="20" t="n">
        <v>0</v>
      </c>
      <c r="APW38" s="20" t="n">
        <v>0</v>
      </c>
      <c r="APX38" s="20" t="n">
        <v>0</v>
      </c>
      <c r="APY38" s="20" t="n">
        <v>0</v>
      </c>
      <c r="APZ38" s="20" t="n">
        <v>0</v>
      </c>
      <c r="AQA38" s="20" t="n">
        <v>0</v>
      </c>
      <c r="AQB38" s="20" t="n">
        <v>0</v>
      </c>
      <c r="AQC38" s="20" t="n">
        <v>0</v>
      </c>
      <c r="AQD38" s="20" t="n">
        <v>0</v>
      </c>
      <c r="AQE38" s="20" t="n">
        <v>0</v>
      </c>
      <c r="AQF38" s="20" t="n">
        <v>0</v>
      </c>
      <c r="AQG38" s="20" t="n">
        <v>0</v>
      </c>
      <c r="AQH38" s="20" t="n">
        <v>0</v>
      </c>
      <c r="AQI38" s="20" t="n">
        <v>0</v>
      </c>
      <c r="AQJ38" s="20" t="n">
        <v>0</v>
      </c>
      <c r="AQK38" s="20" t="n">
        <v>0</v>
      </c>
      <c r="AQL38" s="20" t="n">
        <v>0</v>
      </c>
      <c r="AQM38" s="20" t="n">
        <v>0</v>
      </c>
      <c r="AQN38" s="20" t="n">
        <v>0</v>
      </c>
      <c r="AQO38" s="20" t="n">
        <v>0</v>
      </c>
      <c r="AQP38" s="20" t="n">
        <v>0</v>
      </c>
      <c r="AQQ38" s="20" t="n">
        <v>0</v>
      </c>
      <c r="AQR38" s="20" t="n">
        <v>0</v>
      </c>
      <c r="AQS38" s="20" t="n">
        <v>0</v>
      </c>
      <c r="AQT38" s="20" t="n">
        <v>0</v>
      </c>
      <c r="AQU38" s="20" t="n">
        <v>0</v>
      </c>
      <c r="AQV38" s="20" t="n">
        <v>0</v>
      </c>
      <c r="AQW38" s="20" t="n">
        <v>0</v>
      </c>
      <c r="AQX38" s="20" t="n">
        <v>0</v>
      </c>
      <c r="AQY38" s="20" t="n">
        <v>0</v>
      </c>
      <c r="AQZ38" s="20" t="n">
        <v>0</v>
      </c>
      <c r="ARA38" s="20" t="n">
        <v>0</v>
      </c>
      <c r="ARB38" s="20" t="n">
        <v>0</v>
      </c>
      <c r="ARC38" s="20" t="n">
        <v>0</v>
      </c>
      <c r="ARD38" s="20" t="n">
        <v>0</v>
      </c>
      <c r="ARE38" s="20" t="n">
        <v>0</v>
      </c>
      <c r="ARF38" s="20" t="n">
        <v>0</v>
      </c>
      <c r="ARG38" s="20" t="n">
        <v>0</v>
      </c>
      <c r="ARH38" s="20" t="n">
        <v>0</v>
      </c>
      <c r="ARI38" s="20" t="n">
        <v>0</v>
      </c>
      <c r="ARJ38" s="20" t="n">
        <v>0</v>
      </c>
      <c r="ARK38" s="20" t="n">
        <v>0</v>
      </c>
      <c r="ARL38" s="20" t="n">
        <v>0</v>
      </c>
      <c r="ARM38" s="20" t="n">
        <v>0</v>
      </c>
      <c r="ARN38" s="20" t="n">
        <v>0</v>
      </c>
      <c r="ARO38" s="20" t="n">
        <v>0</v>
      </c>
      <c r="ARP38" s="20" t="n">
        <v>0</v>
      </c>
      <c r="ARQ38" s="20" t="n">
        <v>0</v>
      </c>
      <c r="ARR38" s="20" t="n">
        <f aca="false">IF(AND(H_Direct=0,H_TaxEvt=1),IF(ARR37+1&gt;=H_Deemed,0,ARR37+1),ARR37)</f>
        <v>7</v>
      </c>
      <c r="ARS38" s="20" t="n">
        <f aca="false">IF(AND(H_Direct=0,H_TaxEvt=1),IF(ARS37+1&gt;=H_Deemed,0,ARS37+1),ARS37)</f>
        <v>7</v>
      </c>
      <c r="ART38" s="20" t="n">
        <f aca="false">IF(AND(H_Direct=0,H_TaxEvt=1),IF(ART37+1&gt;=H_Deemed,0,ART37+1),ART37)</f>
        <v>6</v>
      </c>
      <c r="ARU38" s="20" t="n">
        <f aca="false">IF(AND(H_Direct=0,H_TaxEvt=1),IF(ARU37+1&gt;=H_Deemed,0,ARU37+1),ARU37)</f>
        <v>5</v>
      </c>
      <c r="ARV38" s="20" t="n">
        <f aca="false">IF(AND(H_Direct=0,H_TaxEvt=1),IF(ARV37+1&gt;=H_Deemed,0,ARV37+1),ARV37)</f>
        <v>4</v>
      </c>
      <c r="ARW38" s="20" t="n">
        <f aca="false">IF(AND(H_Direct=0,H_TaxEvt=1),IF(ARW37+1&gt;=H_Deemed,0,ARW37+1),ARW37)</f>
        <v>3</v>
      </c>
      <c r="ARX38" s="20" t="n">
        <f aca="false">IF(AND(H_Direct=0,H_TaxEvt=1),IF(ARX37+1&gt;=H_Deemed,0,ARX37+1),ARX37)</f>
        <v>2</v>
      </c>
      <c r="ARY38" s="20" t="n">
        <f aca="false">IF(AND(H_Direct=0,H_TaxEvt=1),IF(ARY37+1&gt;=H_Deemed,0,ARY37+1),ARY37)</f>
        <v>1</v>
      </c>
      <c r="ARZ38" s="20" t="n">
        <f aca="false">IF(AND(H_Direct=0,H_TaxEvt=1),IF(ARZ37+1&gt;=H_Deemed,0,ARZ37+1),ARZ37)</f>
        <v>0</v>
      </c>
      <c r="ASA38" s="20" t="n">
        <f aca="false">IF(AND(H_Direct=0,H_TaxEvt=1),IF(ASA37+1&gt;=H_Deemed,0,ASA37+1),ASA37)</f>
        <v>7</v>
      </c>
      <c r="ASB38" s="20" t="n">
        <f aca="false">IF(AND(H_Direct=0,H_TaxEvt=1),IF(ASB37+1&gt;=H_Deemed,0,ASB37+1),ASB37)</f>
        <v>6</v>
      </c>
      <c r="ASC38" s="20" t="n">
        <f aca="false">IF(AND(H_Direct=0,H_TaxEvt=1),IF(ASC37+1&gt;=H_Deemed,0,ASC37+1),ASC37)</f>
        <v>5</v>
      </c>
      <c r="ASD38" s="20" t="n">
        <f aca="false">IF(AND(H_Direct=0,H_TaxEvt=1),IF(ASD37+1&gt;=H_Deemed,0,ASD37+1),ASD37)</f>
        <v>4</v>
      </c>
      <c r="ASE38" s="20" t="n">
        <f aca="false">IF(AND(H_Direct=0,H_TaxEvt=1),IF(ASE37+1&gt;=H_Deemed,0,ASE37+1),ASE37)</f>
        <v>3</v>
      </c>
      <c r="ASF38" s="20" t="n">
        <f aca="false">IF(AND(H_Direct=0,H_TaxEvt=1),IF(ASF37+1&gt;=H_Deemed,0,ASF37+1),ASF37)</f>
        <v>2</v>
      </c>
      <c r="ASG38" s="20" t="n">
        <f aca="false">IF(AND(H_Direct=0,H_TaxEvt=1),IF(ASG37+1&gt;=H_Deemed,0,ASG37+1),ASG37)</f>
        <v>1</v>
      </c>
      <c r="ASH38" s="20" t="n">
        <f aca="false">IF(AND(H_Direct=0,H_TaxEvt=1),IF(ASH37+1&gt;=H_Deemed,0,ASH37+1),ASH37)</f>
        <v>0</v>
      </c>
      <c r="ASI38" s="20" t="n">
        <f aca="false">IF(AND(H_Direct=0,H_TaxEvt=1),IF(ASI37+1&gt;=H_Deemed,0,ASI37+1),ASI37)</f>
        <v>7</v>
      </c>
      <c r="ASJ38" s="20" t="n">
        <f aca="false">IF(AND(H_Direct=0,H_TaxEvt=1),IF(ASJ37+1&gt;=H_Deemed,0,ASJ37+1),ASJ37)</f>
        <v>6</v>
      </c>
      <c r="ASK38" s="20" t="n">
        <f aca="false">IF(AND(H_Direct=0,H_TaxEvt=1),IF(ASK37+1&gt;=H_Deemed,0,ASK37+1),ASK37)</f>
        <v>5</v>
      </c>
      <c r="ASL38" s="20" t="n">
        <f aca="false">IF(AND(H_Direct=0,H_TaxEvt=1),IF(ASL37+1&gt;=H_Deemed,0,ASL37+1),ASL37)</f>
        <v>4</v>
      </c>
      <c r="ASM38" s="20" t="n">
        <f aca="false">IF(AND(H_Direct=0,H_TaxEvt=1),IF(ASM37+1&gt;=H_Deemed,0,ASM37+1),ASM37)</f>
        <v>3</v>
      </c>
      <c r="ASN38" s="20" t="n">
        <f aca="false">IF(AND(H_Direct=0,H_TaxEvt=1),IF(ASN37+1&gt;=H_Deemed,0,ASN37+1),ASN37)</f>
        <v>2</v>
      </c>
      <c r="ASO38" s="20" t="n">
        <f aca="false">IF(AND(H_Direct=0,H_TaxEvt=1),IF(ASO37+1&gt;=H_Deemed,0,ASO37+1),ASO37)</f>
        <v>1</v>
      </c>
      <c r="ASP38" s="20" t="n">
        <f aca="false">IF(AND(H_Direct=0,H_TaxEvt=1),IF(ASP37+1&gt;=H_Deemed,0,ASP37+1),ASP37)</f>
        <v>0</v>
      </c>
      <c r="ASQ38" s="20" t="n">
        <f aca="false">IF(AND(H_Direct=0,H_TaxEvt=1),IF(ASQ37+1&gt;=H_Deemed,0,ASQ37+1),ASQ37)</f>
        <v>7</v>
      </c>
      <c r="ASR38" s="20" t="n">
        <f aca="false">IF(AND(H_Direct=0,H_TaxEvt=1),IF(ASR37+1&gt;=H_Deemed,0,ASR37+1),ASR37)</f>
        <v>6</v>
      </c>
      <c r="ASS38" s="20" t="n">
        <f aca="false">IF(AND(H_Direct=0,H_TaxEvt=1),IF(ASS37+1&gt;=H_Deemed,0,ASS37+1),ASS37)</f>
        <v>5</v>
      </c>
      <c r="AST38" s="20" t="n">
        <f aca="false">IF(AND(H_Direct=0,H_TaxEvt=1),IF(AST37+1&gt;=H_Deemed,0,AST37+1),AST37)</f>
        <v>4</v>
      </c>
      <c r="ASU38" s="20" t="n">
        <f aca="false">IF(AND(H_Direct=0,H_TaxEvt=1),IF(ASU37+1&gt;=H_Deemed,0,ASU37+1),ASU37)</f>
        <v>3</v>
      </c>
      <c r="ASV38" s="20" t="n">
        <f aca="false">IF(AND(H_Direct=0,H_TaxEvt=1),IF(ASV37+1&gt;=H_Deemed,0,ASV37+1),ASV37)</f>
        <v>2</v>
      </c>
      <c r="ASW38" s="20" t="n">
        <f aca="false">IF(AND(H_Direct=0,H_TaxEvt=1),IF(0+1&gt;=H_Deemed,0,0+1),0)</f>
        <v>1</v>
      </c>
      <c r="ASX38" s="20" t="n">
        <v>0</v>
      </c>
      <c r="ASY38" s="20" t="n">
        <v>0</v>
      </c>
      <c r="ASZ38" s="20" t="n">
        <v>0</v>
      </c>
      <c r="ATA38" s="20" t="n">
        <v>0</v>
      </c>
      <c r="ATB38" s="20" t="n">
        <v>0</v>
      </c>
      <c r="ATC38" s="20" t="n">
        <v>0</v>
      </c>
      <c r="ATD38" s="20" t="n">
        <v>0</v>
      </c>
      <c r="ATE38" s="20" t="n">
        <v>0</v>
      </c>
      <c r="ATF38" s="20" t="n">
        <v>0</v>
      </c>
      <c r="ATG38" s="20" t="n">
        <v>0</v>
      </c>
      <c r="ATH38" s="20" t="n">
        <v>0</v>
      </c>
      <c r="ATI38" s="20" t="n">
        <v>0</v>
      </c>
      <c r="ATJ38" s="20" t="n">
        <v>0</v>
      </c>
      <c r="ATK38" s="20" t="n">
        <v>0</v>
      </c>
      <c r="ATL38" s="20" t="n">
        <v>0</v>
      </c>
      <c r="ATM38" s="20" t="n">
        <v>0</v>
      </c>
      <c r="ATN38" s="20" t="n">
        <v>0</v>
      </c>
      <c r="ATO38" s="20" t="n">
        <v>0</v>
      </c>
      <c r="ATP38" s="20" t="n">
        <v>0</v>
      </c>
      <c r="ATQ38" s="20" t="n">
        <v>0</v>
      </c>
      <c r="ATR38" s="20" t="n">
        <v>0</v>
      </c>
      <c r="ATS38" s="20" t="n">
        <v>0</v>
      </c>
      <c r="ATT38" s="20" t="n">
        <v>0</v>
      </c>
      <c r="ATU38" s="20" t="n">
        <v>0</v>
      </c>
      <c r="ATV38" s="20" t="n">
        <v>0</v>
      </c>
      <c r="ATW38" s="20" t="n">
        <v>0</v>
      </c>
      <c r="ATX38" s="20" t="n">
        <v>0</v>
      </c>
      <c r="ATY38" s="20" t="n">
        <v>0</v>
      </c>
      <c r="ATZ38" s="20" t="n">
        <v>0</v>
      </c>
      <c r="AUA38" s="20" t="n">
        <v>0</v>
      </c>
      <c r="AUB38" s="20" t="n">
        <v>0</v>
      </c>
      <c r="AUC38" s="20" t="n">
        <v>0</v>
      </c>
      <c r="AUD38" s="20" t="n">
        <v>0</v>
      </c>
      <c r="AUE38" s="20" t="n">
        <v>0</v>
      </c>
      <c r="AUF38" s="20" t="n">
        <v>0</v>
      </c>
      <c r="AUG38" s="20" t="n">
        <v>0</v>
      </c>
      <c r="AUH38" s="20" t="n">
        <v>0</v>
      </c>
      <c r="AUI38" s="20" t="n">
        <v>0</v>
      </c>
      <c r="AUJ38" s="20" t="n">
        <v>0</v>
      </c>
      <c r="AUK38" s="20" t="n">
        <v>0</v>
      </c>
      <c r="AUL38" s="20" t="n">
        <v>0</v>
      </c>
      <c r="AUM38" s="20" t="n">
        <v>0</v>
      </c>
      <c r="AUN38" s="20" t="n">
        <v>0</v>
      </c>
      <c r="AUO38" s="20" t="n">
        <v>0</v>
      </c>
      <c r="AUP38" s="20" t="n">
        <v>0</v>
      </c>
      <c r="AUQ38" s="20" t="n">
        <v>0</v>
      </c>
      <c r="AUR38" s="20" t="n">
        <v>0</v>
      </c>
      <c r="AUS38" s="20" t="n">
        <v>0</v>
      </c>
      <c r="AUT38" s="20" t="n">
        <v>0</v>
      </c>
      <c r="AUU38" s="20" t="n">
        <v>0</v>
      </c>
      <c r="AUV38" s="20" t="n">
        <v>0</v>
      </c>
      <c r="AUW38" s="20" t="n">
        <v>0</v>
      </c>
      <c r="AUX38" s="20" t="n">
        <v>0</v>
      </c>
      <c r="AUY38" s="20" t="n">
        <v>0</v>
      </c>
      <c r="AUZ38" s="20" t="n">
        <v>0</v>
      </c>
      <c r="AVA38" s="20" t="n">
        <v>0</v>
      </c>
      <c r="AVB38" s="20" t="n">
        <v>0</v>
      </c>
      <c r="AVC38" s="20" t="n">
        <v>0</v>
      </c>
      <c r="AVD38" s="20" t="n">
        <v>0</v>
      </c>
      <c r="AVE38" s="20" t="n">
        <f aca="false">IF(AND(H_Direct=0,H_TaxEvt=1,ARR37+1&gt;=H_Deemed),MAX(0,ADR38-AHE38)*H_Exit,0)</f>
        <v>0</v>
      </c>
      <c r="AVF38" s="20" t="n">
        <f aca="false">IF(AND(H_Direct=0,H_TaxEvt=1,ARS37+1&gt;=H_Deemed),MAX(0,ADS38-AHF38)*H_Exit,0)</f>
        <v>0</v>
      </c>
      <c r="AVG38" s="20" t="n">
        <f aca="false">IF(AND(H_Direct=0,H_TaxEvt=1,ART37+1&gt;=H_Deemed),MAX(0,ADT38-AHG38)*H_Exit,0)</f>
        <v>0</v>
      </c>
      <c r="AVH38" s="20" t="n">
        <f aca="false">IF(AND(H_Direct=0,H_TaxEvt=1,ARU37+1&gt;=H_Deemed),MAX(0,ADU38-AHH38)*H_Exit,0)</f>
        <v>0</v>
      </c>
      <c r="AVI38" s="20" t="n">
        <f aca="false">IF(AND(H_Direct=0,H_TaxEvt=1,ARV37+1&gt;=H_Deemed),MAX(0,ADV38-AHI38)*H_Exit,0)</f>
        <v>0</v>
      </c>
      <c r="AVJ38" s="20" t="n">
        <f aca="false">IF(AND(H_Direct=0,H_TaxEvt=1,ARW37+1&gt;=H_Deemed),MAX(0,ADW38-AHJ38)*H_Exit,0)</f>
        <v>0</v>
      </c>
      <c r="AVK38" s="20" t="n">
        <f aca="false">IF(AND(H_Direct=0,H_TaxEvt=1,ARX37+1&gt;=H_Deemed),MAX(0,ADX38-AHK38)*H_Exit,0)</f>
        <v>0</v>
      </c>
      <c r="AVL38" s="20" t="n">
        <f aca="false">IF(AND(H_Direct=0,H_TaxEvt=1,ARY37+1&gt;=H_Deemed),MAX(0,ADY38-AHL38)*H_Exit,0)</f>
        <v>0</v>
      </c>
      <c r="AVM38" s="20" t="n">
        <f aca="false">IF(AND(H_Direct=0,H_TaxEvt=1,ARZ37+1&gt;=H_Deemed),MAX(0,ADZ38-AHM38)*H_Exit,0)</f>
        <v>0</v>
      </c>
      <c r="AVN38" s="20" t="n">
        <f aca="false">IF(AND(H_Direct=0,H_TaxEvt=1,ASA37+1&gt;=H_Deemed),MAX(0,AEA38-AHN38)*H_Exit,0)</f>
        <v>0</v>
      </c>
      <c r="AVO38" s="20" t="n">
        <f aca="false">IF(AND(H_Direct=0,H_TaxEvt=1,ASB37+1&gt;=H_Deemed),MAX(0,AEB38-AHO38)*H_Exit,0)</f>
        <v>0</v>
      </c>
      <c r="AVP38" s="20" t="n">
        <f aca="false">IF(AND(H_Direct=0,H_TaxEvt=1,ASC37+1&gt;=H_Deemed),MAX(0,AEC38-AHP38)*H_Exit,0)</f>
        <v>0</v>
      </c>
      <c r="AVQ38" s="20" t="n">
        <f aca="false">IF(AND(H_Direct=0,H_TaxEvt=1,ASD37+1&gt;=H_Deemed),MAX(0,AED38-AHQ38)*H_Exit,0)</f>
        <v>0</v>
      </c>
      <c r="AVR38" s="20" t="n">
        <f aca="false">IF(AND(H_Direct=0,H_TaxEvt=1,ASE37+1&gt;=H_Deemed),MAX(0,AEE38-AHR38)*H_Exit,0)</f>
        <v>0</v>
      </c>
      <c r="AVS38" s="20" t="n">
        <f aca="false">IF(AND(H_Direct=0,H_TaxEvt=1,ASF37+1&gt;=H_Deemed),MAX(0,AEF38-AHS38)*H_Exit,0)</f>
        <v>0</v>
      </c>
      <c r="AVT38" s="20" t="n">
        <f aca="false">IF(AND(H_Direct=0,H_TaxEvt=1,ASG37+1&gt;=H_Deemed),MAX(0,AEG38-AHT38)*H_Exit,0)</f>
        <v>0</v>
      </c>
      <c r="AVU38" s="20" t="n">
        <f aca="false">IF(AND(H_Direct=0,H_TaxEvt=1,ASH37+1&gt;=H_Deemed),MAX(0,AEH38-AHU38)*H_Exit,0)</f>
        <v>179.0743298125</v>
      </c>
      <c r="AVV38" s="20" t="n">
        <f aca="false">IF(AND(H_Direct=0,H_TaxEvt=1,ASI37+1&gt;=H_Deemed),MAX(0,AEI38-AHV38)*H_Exit,0)</f>
        <v>0</v>
      </c>
      <c r="AVW38" s="20" t="n">
        <f aca="false">IF(AND(H_Direct=0,H_TaxEvt=1,ASJ37+1&gt;=H_Deemed),MAX(0,AEJ38-AHW38)*H_Exit,0)</f>
        <v>0</v>
      </c>
      <c r="AVX38" s="20" t="n">
        <f aca="false">IF(AND(H_Direct=0,H_TaxEvt=1,ASK37+1&gt;=H_Deemed),MAX(0,AEK38-AHX38)*H_Exit,0)</f>
        <v>0</v>
      </c>
      <c r="AVY38" s="20" t="n">
        <f aca="false">IF(AND(H_Direct=0,H_TaxEvt=1,ASL37+1&gt;=H_Deemed),MAX(0,AEL38-AHY38)*H_Exit,0)</f>
        <v>0</v>
      </c>
      <c r="AVZ38" s="20" t="n">
        <f aca="false">IF(AND(H_Direct=0,H_TaxEvt=1,ASM37+1&gt;=H_Deemed),MAX(0,AEM38-AHZ38)*H_Exit,0)</f>
        <v>0</v>
      </c>
      <c r="AWA38" s="20" t="n">
        <f aca="false">IF(AND(H_Direct=0,H_TaxEvt=1,ASN37+1&gt;=H_Deemed),MAX(0,AEN38-AIA38)*H_Exit,0)</f>
        <v>0</v>
      </c>
      <c r="AWB38" s="20" t="n">
        <f aca="false">IF(AND(H_Direct=0,H_TaxEvt=1,ASO37+1&gt;=H_Deemed),MAX(0,AEO38-AIB38)*H_Exit,0)</f>
        <v>0</v>
      </c>
      <c r="AWC38" s="20" t="n">
        <f aca="false">IF(AND(H_Direct=0,H_TaxEvt=1,ASP37+1&gt;=H_Deemed),MAX(0,AEP38-AIC38)*H_Exit,0)</f>
        <v>530.050993121673</v>
      </c>
      <c r="AWD38" s="20" t="n">
        <f aca="false">IF(AND(H_Direct=0,H_TaxEvt=1,ASQ37+1&gt;=H_Deemed),MAX(0,AEQ38-AID38)*H_Exit,0)</f>
        <v>0</v>
      </c>
      <c r="AWE38" s="20" t="n">
        <f aca="false">IF(AND(H_Direct=0,H_TaxEvt=1,ASR37+1&gt;=H_Deemed),MAX(0,AER38-AIE38)*H_Exit,0)</f>
        <v>0</v>
      </c>
      <c r="AWF38" s="20" t="n">
        <f aca="false">IF(AND(H_Direct=0,H_TaxEvt=1,ASS37+1&gt;=H_Deemed),MAX(0,AES38-AIF38)*H_Exit,0)</f>
        <v>0</v>
      </c>
      <c r="AWG38" s="20" t="n">
        <f aca="false">IF(AND(H_Direct=0,H_TaxEvt=1,AST37+1&gt;=H_Deemed),MAX(0,AET38-AIG38)*H_Exit,0)</f>
        <v>0</v>
      </c>
      <c r="AWH38" s="20" t="n">
        <f aca="false">IF(AND(H_Direct=0,H_TaxEvt=1,ASU37+1&gt;=H_Deemed),MAX(0,AEU38-AIH38)*H_Exit,0)</f>
        <v>0</v>
      </c>
      <c r="AWI38" s="20" t="n">
        <f aca="false">IF(AND(H_Direct=0,H_TaxEvt=1,ASV37+1&gt;=H_Deemed),MAX(0,AEV38-AII38)*H_Exit,0)</f>
        <v>0</v>
      </c>
      <c r="AWJ38" s="20" t="n">
        <f aca="false">IF(AND(H_Direct=0,H_TaxEvt=1,0+1&gt;=H_Deemed),MAX(0,AEW38-AIJ38)*H_Exit,0)</f>
        <v>0</v>
      </c>
      <c r="AWK38" s="20" t="n">
        <v>0</v>
      </c>
      <c r="AWL38" s="20" t="n">
        <v>0</v>
      </c>
      <c r="AWM38" s="20" t="n">
        <v>0</v>
      </c>
      <c r="AWN38" s="20" t="n">
        <v>0</v>
      </c>
      <c r="AWO38" s="20" t="n">
        <v>0</v>
      </c>
      <c r="AWP38" s="20" t="n">
        <v>0</v>
      </c>
      <c r="AWQ38" s="20" t="n">
        <v>0</v>
      </c>
      <c r="AWR38" s="20" t="n">
        <v>0</v>
      </c>
      <c r="AWS38" s="20" t="n">
        <v>0</v>
      </c>
      <c r="AWT38" s="20" t="n">
        <v>0</v>
      </c>
      <c r="AWU38" s="20" t="n">
        <v>0</v>
      </c>
      <c r="AWV38" s="20" t="n">
        <v>0</v>
      </c>
      <c r="AWW38" s="20" t="n">
        <v>0</v>
      </c>
      <c r="AWX38" s="20" t="n">
        <v>0</v>
      </c>
      <c r="AWY38" s="20" t="n">
        <v>0</v>
      </c>
      <c r="AWZ38" s="20" t="n">
        <v>0</v>
      </c>
      <c r="AXA38" s="20" t="n">
        <v>0</v>
      </c>
      <c r="AXB38" s="20" t="n">
        <v>0</v>
      </c>
      <c r="AXC38" s="20" t="n">
        <v>0</v>
      </c>
      <c r="AXD38" s="20" t="n">
        <v>0</v>
      </c>
      <c r="AXE38" s="20" t="n">
        <v>0</v>
      </c>
      <c r="AXF38" s="20" t="n">
        <v>0</v>
      </c>
      <c r="AXG38" s="20" t="n">
        <v>0</v>
      </c>
      <c r="AXH38" s="20" t="n">
        <v>0</v>
      </c>
      <c r="AXI38" s="20" t="n">
        <v>0</v>
      </c>
      <c r="AXJ38" s="20" t="n">
        <v>0</v>
      </c>
      <c r="AXK38" s="20" t="n">
        <v>0</v>
      </c>
      <c r="AXL38" s="20" t="n">
        <v>0</v>
      </c>
      <c r="AXM38" s="20" t="n">
        <v>0</v>
      </c>
      <c r="AXN38" s="20" t="n">
        <v>0</v>
      </c>
      <c r="AXO38" s="20" t="n">
        <v>0</v>
      </c>
      <c r="AXP38" s="20" t="n">
        <v>0</v>
      </c>
      <c r="AXQ38" s="20" t="n">
        <v>0</v>
      </c>
      <c r="AXR38" s="20" t="n">
        <v>0</v>
      </c>
      <c r="AXS38" s="20" t="n">
        <v>0</v>
      </c>
      <c r="AXT38" s="20" t="n">
        <v>0</v>
      </c>
      <c r="AXU38" s="20" t="n">
        <v>0</v>
      </c>
      <c r="AXV38" s="20" t="n">
        <v>0</v>
      </c>
      <c r="AXW38" s="20" t="n">
        <v>0</v>
      </c>
      <c r="AXX38" s="20" t="n">
        <v>0</v>
      </c>
      <c r="AXY38" s="20" t="n">
        <v>0</v>
      </c>
      <c r="AXZ38" s="20" t="n">
        <v>0</v>
      </c>
      <c r="AYA38" s="20" t="n">
        <v>0</v>
      </c>
      <c r="AYB38" s="20" t="n">
        <v>0</v>
      </c>
      <c r="AYC38" s="20" t="n">
        <v>0</v>
      </c>
      <c r="AYD38" s="20" t="n">
        <v>0</v>
      </c>
      <c r="AYE38" s="20" t="n">
        <v>0</v>
      </c>
      <c r="AYF38" s="20" t="n">
        <v>0</v>
      </c>
      <c r="AYG38" s="20" t="n">
        <v>0</v>
      </c>
      <c r="AYH38" s="20" t="n">
        <v>0</v>
      </c>
      <c r="AYI38" s="20" t="n">
        <v>0</v>
      </c>
      <c r="AYJ38" s="20" t="n">
        <v>0</v>
      </c>
      <c r="AYK38" s="20" t="n">
        <v>0</v>
      </c>
      <c r="AYL38" s="20" t="n">
        <v>0</v>
      </c>
      <c r="AYM38" s="20" t="n">
        <v>0</v>
      </c>
      <c r="AYN38" s="20" t="n">
        <v>0</v>
      </c>
      <c r="AYO38" s="20" t="n">
        <v>0</v>
      </c>
      <c r="AYP38" s="20" t="n">
        <v>0</v>
      </c>
      <c r="AYQ38" s="20" t="n">
        <v>0</v>
      </c>
    </row>
    <row r="39" customFormat="false" ht="15" hidden="false" customHeight="false" outlineLevel="0" collapsed="false">
      <c r="B39" s="20" t="n">
        <v>31</v>
      </c>
      <c r="C39" s="20" t="n">
        <f aca="false">'Plan cashflow'!C39</f>
        <v>1</v>
      </c>
      <c r="D39" s="20" t="n">
        <f aca="false">'Plan cashflow'!D39</f>
        <v>69</v>
      </c>
      <c r="E39" s="20" t="n">
        <f aca="false">AS_Year0+31</f>
        <v>2057</v>
      </c>
      <c r="F39" s="50" t="n">
        <f aca="false">'Plan cashflow'!F39</f>
        <v>1.84758881578542</v>
      </c>
      <c r="G39" s="59" t="n">
        <f aca="true">IF(MAX(TODAY(),DATE(E39,1,1))&gt;=H_CGTfrom,H_CGT1,H_CGT0)</f>
        <v>0.31</v>
      </c>
      <c r="H39" s="20" t="n">
        <f aca="false">H_Exempt*H_Persons</f>
        <v>1270</v>
      </c>
      <c r="I39" s="20" t="n">
        <f aca="false">AX38</f>
        <v>0</v>
      </c>
      <c r="J39" s="60" t="n">
        <f aca="false">BF38</f>
        <v>49336.5473099128</v>
      </c>
      <c r="K39" s="60" t="n">
        <f aca="false">BG38</f>
        <v>0</v>
      </c>
      <c r="L39" s="20" t="n">
        <f aca="false">IF(AND(In_polLump&gt;0,In_polLumpAge&gt;0,D39=In_polLumpAge),In_polLump,0)</f>
        <v>0</v>
      </c>
      <c r="M39" s="20" t="n">
        <f aca="false">IF(AND(In_homeUse="Yes, I'd downsize",In_downAge&gt;0,D39=In_downAge,OR(In_home="Own outright",In_home="Own with mortgage"),In_homeValue&gt;0),MAX(0,MAX(0,In_homeValue-In_downValue)*F39*0.9-'Plan cashflow'!HR38),0)</f>
        <v>0</v>
      </c>
      <c r="N39" s="20" t="n">
        <f aca="false">'Plan pay &amp; tax'!Y265</f>
        <v>0</v>
      </c>
      <c r="O39" s="20" t="n">
        <f aca="false">L39+M39+(1-H_Sh)*N39</f>
        <v>0</v>
      </c>
      <c r="P39" s="20" t="n">
        <f aca="false">H_Sh*N39</f>
        <v>0</v>
      </c>
      <c r="Q39" s="20" t="n">
        <f aca="false">'Plan cashflow'!UL39</f>
        <v>0</v>
      </c>
      <c r="R39" s="20" t="n">
        <f aca="false">(1-H_Sh)*Q39</f>
        <v>0</v>
      </c>
      <c r="S39" s="20" t="n">
        <f aca="false">H_Sh*Q39</f>
        <v>0</v>
      </c>
      <c r="T39" s="20" t="n">
        <f aca="false">J39+K39+O39</f>
        <v>49336.5473099128</v>
      </c>
      <c r="U39" s="20" t="n">
        <f aca="false">T39+R39</f>
        <v>49336.5473099128</v>
      </c>
      <c r="V39" s="60" t="n">
        <f aca="false">SUM(FE39:IQ39)</f>
        <v>118845.581618755</v>
      </c>
      <c r="W39" s="60" t="n">
        <f aca="false">IF(AJ39&lt;=0,0,IF(AL39&lt;=0,AJ39,AJ39-G39*MAX(0,AL39*AJ39-(AY39+AZ39))))</f>
        <v>0</v>
      </c>
      <c r="X39" s="60" t="n">
        <f aca="false">IF(AR39&lt;=0,0,IF(AT39&lt;=0,AR39,AR39-G39*MAX(0,AT39*AR39-(BA39+BB39))))</f>
        <v>0</v>
      </c>
      <c r="Y39" s="60" t="n">
        <f aca="false">T39+V39-S39+W39+X39</f>
        <v>168182.128928667</v>
      </c>
      <c r="Z39" s="60" t="n">
        <f aca="false">'Plan cashflow'!UK39</f>
        <v>20985.1226702362</v>
      </c>
      <c r="AA39" s="20" t="n">
        <f aca="false">MIN(Z39,U39)</f>
        <v>20985.1226702362</v>
      </c>
      <c r="AB39" s="20" t="n">
        <f aca="false">Z39-AA39</f>
        <v>0</v>
      </c>
      <c r="AC39" s="20" t="n">
        <f aca="false">MIN(AA39,J39+O39+R39)</f>
        <v>20985.1226702362</v>
      </c>
      <c r="AD39" s="20" t="n">
        <f aca="false">AA39-AC39</f>
        <v>0</v>
      </c>
      <c r="AE39" s="20" t="n">
        <f aca="false">J39+O39+R39-AC39</f>
        <v>28351.4246396767</v>
      </c>
      <c r="AF39" s="20" t="n">
        <f aca="false">K39-AD39</f>
        <v>0</v>
      </c>
      <c r="AG39" s="20" t="n">
        <f aca="false">SUM(PR39:TD39)</f>
        <v>0</v>
      </c>
      <c r="AH39" s="20" t="n">
        <f aca="false">SUM(TE39:WQ39)</f>
        <v>0</v>
      </c>
      <c r="AI39" s="20" t="n">
        <f aca="false">MAX(0,AB39-AG39)</f>
        <v>0</v>
      </c>
      <c r="AJ39" s="57" t="n">
        <f aca="false">BI38</f>
        <v>0</v>
      </c>
      <c r="AK39" s="20" t="n">
        <f aca="false">BJ38</f>
        <v>0</v>
      </c>
      <c r="AL39" s="20" t="n">
        <f aca="false">IF(AJ39&gt;0,(AJ39-AK39)/AJ39,0)</f>
        <v>0</v>
      </c>
      <c r="AM39" s="20" t="n">
        <f aca="false">IF(AJ39&lt;=0,0,IF(AL39&lt;=0,MIN(AI39,AJ39),MIN(AI39,AJ39-G39*MAX(0,AL39*AJ39-(AAD39+ADQ39)))))</f>
        <v>0</v>
      </c>
      <c r="AN39" s="20" t="n">
        <f aca="false">IF(AJ39&lt;=0,0,IF(AL39&lt;=0,AM39,IF(AM39&lt;=(AAD39+ADQ39)/AL39,AM39,(AM39-G39*(AAD39+ADQ39))/(1-G39*AL39))))</f>
        <v>0</v>
      </c>
      <c r="AO39" s="20" t="n">
        <f aca="false">IF(AL39&gt;0,MAX(0,AAD39-(MIN(AL39*AN39,(AAD39+ADQ39))-MIN(MIN(AL39*AN39,(AAD39+ADQ39)),ADQ39))),AAD39)</f>
        <v>1270</v>
      </c>
      <c r="AP39" s="20" t="n">
        <f aca="false">IF(AL39&lt;=0,ADQ39-AL39*AN39,ADQ39-MIN(MIN(AL39*AN39,(AAD39+ADQ39)),ADQ39))</f>
        <v>0</v>
      </c>
      <c r="AQ39" s="20" t="n">
        <f aca="false">MAX(0,AI39-AM39)</f>
        <v>0</v>
      </c>
      <c r="AR39" s="57" t="n">
        <f aca="false">BK38</f>
        <v>0</v>
      </c>
      <c r="AS39" s="20" t="n">
        <f aca="false">BL38</f>
        <v>0</v>
      </c>
      <c r="AT39" s="20" t="n">
        <f aca="false">IF(AR39&gt;0,(AR39-AS39)/AR39,0)</f>
        <v>0</v>
      </c>
      <c r="AU39" s="20" t="n">
        <f aca="false">IF(AR39&lt;=0,0,IF(AT39&lt;=0,MIN(AQ39,AR39),MIN(AQ39,AR39-G39*MAX(0,AT39*AR39-(AO39+AP39)))))</f>
        <v>0</v>
      </c>
      <c r="AV39" s="20" t="n">
        <f aca="false">IF(AR39&lt;=0,0,IF(AT39&lt;=0,AU39,IF(AU39&lt;=(AO39+AP39)/AT39,AU39,(AU39-G39*(AO39+AP39))/(1-G39*AT39))))</f>
        <v>0</v>
      </c>
      <c r="AW39" s="20" t="n">
        <f aca="false">IF(AT39&gt;0,MAX(0,AO39-(MIN(AT39*AV39,(AO39+AP39))-MIN(MIN(AT39*AV39,(AO39+AP39)),AP39))),AO39)</f>
        <v>1270</v>
      </c>
      <c r="AX39" s="20" t="n">
        <f aca="false">IF(AT39&lt;=0,AP39-AT39*AV39,AP39-MIN(MIN(AT39*AV39,(AO39+AP39)),AP39))</f>
        <v>0</v>
      </c>
      <c r="AY39" s="20" t="n">
        <f aca="false">MD39</f>
        <v>1270</v>
      </c>
      <c r="AZ39" s="20" t="n">
        <f aca="false">PQ39</f>
        <v>0</v>
      </c>
      <c r="BA39" s="20" t="n">
        <f aca="false">IF(AL39&gt;0,MAX(0,AY39-(MIN(AL39*AJ39,AY39+AZ39)-MIN(MIN(AL39*AJ39,AY39+AZ39),AZ39))),AY39)</f>
        <v>1270</v>
      </c>
      <c r="BB39" s="20" t="n">
        <f aca="false">IF(AL39&lt;=0,AZ39-AL39*AJ39,AZ39-MIN(MIN(AL39*AJ39,AY39+AZ39),AZ39))</f>
        <v>0</v>
      </c>
      <c r="BC39" s="20" t="n">
        <f aca="false">'Plan cashflow'!UM39</f>
        <v>0</v>
      </c>
      <c r="BD39" s="20" t="n">
        <f aca="false">(1-H_Sh)*BC39</f>
        <v>0</v>
      </c>
      <c r="BE39" s="20" t="n">
        <f aca="false">H_Sh*BC39</f>
        <v>0</v>
      </c>
      <c r="BF39" s="60" t="n">
        <f aca="false">(AE39+BD39)*(1+AS_Cash)</f>
        <v>28634.9388860734</v>
      </c>
      <c r="BG39" s="60" t="n">
        <f aca="false">AF39*(1+AS_Cash)</f>
        <v>0</v>
      </c>
      <c r="BH39" s="60" t="n">
        <f aca="false">SUM(AKR39:AOD39)</f>
        <v>131651.244710758</v>
      </c>
      <c r="BI39" s="60" t="n">
        <f aca="false">(AJ39-AN39)*(1+AS_Infl)</f>
        <v>0</v>
      </c>
      <c r="BJ39" s="20" t="n">
        <f aca="false">IF(AJ39&gt;0,AK39-AK39*AN39/AJ39,0)</f>
        <v>0</v>
      </c>
      <c r="BK39" s="60" t="n">
        <f aca="false">(AR39-AV39)*(1+BQ39)</f>
        <v>0</v>
      </c>
      <c r="BL39" s="20" t="n">
        <f aca="false">IF(AR39&gt;0,AS39-AS39*AV39/AR39,0)</f>
        <v>0</v>
      </c>
      <c r="BM39" s="60" t="n">
        <f aca="false">BF39+BG39+BH39+BI39+BK39</f>
        <v>160286.183596831</v>
      </c>
      <c r="BN39" s="60" t="n">
        <f aca="false">(AH39-AG39)+(AN39-AM39)+(AV39-AU39)</f>
        <v>0</v>
      </c>
      <c r="BO39" s="20" t="n">
        <f aca="false">(AE39+BD39+AF39+MAX(0,'Plan cashflow'!QH39)+IF(Slot1_Rate=AS_Cash,'Plan cashflow'!QM39/(1+AS_Cash),0)+IF(Slot2_Rate=AS_Cash,'Plan cashflow'!QQ39/(1+AS_Cash),0)+IF(Slot3_Rate=AS_Cash,'Plan cashflow'!QU39/(1+AS_Cash),0)+IF(Slot4_Rate=AS_Cash,'Plan cashflow'!QY39/(1+AS_Cash),0)+IF(Slot5_Rate=AS_Cash,'Plan cashflow'!RC39/(1+AS_Cash),0)+IF(Slot6_Rate=AS_Cash,'Plan cashflow'!RG39/(1+AS_Cash),0)+IF(Slot7_Rate=AS_Cash,'Plan cashflow'!RK39/(1+AS_Cash),0)+IF(Slot8_Rate=AS_Cash,'Plan cashflow'!RO39/(1+AS_Cash),0)+IF(Slot9_Rate=AS_Cash,'Plan cashflow'!RS39/(1+AS_Cash),0)+IF(Slot10_Rate=AS_Cash,'Plan cashflow'!RW39/(1+AS_Cash),0)+IF(Slot11_Rate=AS_Cash,'Plan cashflow'!SA39/(1+AS_Cash),0)+IF(Slot12_Rate=AS_Cash,'Plan cashflow'!SE39/(1+AS_Cash),0)+IF(Slot13_Rate=AS_Cash,'Plan cashflow'!SI39/(1+AS_Cash),0)+IF(Slot14_Rate=AS_Cash,'Plan cashflow'!SM39/(1+AS_Cash),0)+IF(Slot15_Rate=AS_Cash,'Plan cashflow'!SQ39/(1+AS_Cash),0)+IF(Slot16_Rate=AS_Cash,'Plan cashflow'!SU39/(1+AS_Cash),0)+IF(Slot17_Rate=AS_Cash,'Plan cashflow'!SY39/(1+AS_Cash),0)+IF(Slot18_Rate=AS_Cash,'Plan cashflow'!TC39/(1+AS_Cash),0)+IF(Slot19_Rate=AS_Cash,'Plan cashflow'!TG39/(1+AS_Cash),0)+IF(Slot20_Rate=AS_Cash,'Plan cashflow'!TK39/(1+AS_Cash),0))*AS_Cash*H_DIRT/(1-H_DIRT)</f>
        <v>214.431039586396</v>
      </c>
      <c r="BP39" s="60" t="n">
        <f aca="false">SUM(AVE39:AYQ39)</f>
        <v>719.540861582917</v>
      </c>
      <c r="BQ39" s="54" t="n">
        <f aca="false">IF(H_TaxEvt=1,H_InvG,AS_Inv)</f>
        <v>0.04</v>
      </c>
      <c r="BR39" s="20" t="n">
        <f aca="false">IF(AKR38&gt;0,(AKR38-AOE38)/AKR38,0)</f>
        <v>0</v>
      </c>
      <c r="BS39" s="20" t="n">
        <f aca="false">IF(AKS38&gt;0,(AKS38-AOF38)/AKS38,0)</f>
        <v>0</v>
      </c>
      <c r="BT39" s="20" t="n">
        <f aca="false">IF(AKT38&gt;0,(AKT38-AOG38)/AKT38,0)</f>
        <v>0</v>
      </c>
      <c r="BU39" s="20" t="n">
        <f aca="false">IF(AKU38&gt;0,(AKU38-AOH38)/AKU38,0)</f>
        <v>0</v>
      </c>
      <c r="BV39" s="20" t="n">
        <f aca="false">IF(AKV38&gt;0,(AKV38-AOI38)/AKV38,0)</f>
        <v>0</v>
      </c>
      <c r="BW39" s="20" t="n">
        <f aca="false">IF(AKW38&gt;0,(AKW38-AOJ38)/AKW38,0)</f>
        <v>0</v>
      </c>
      <c r="BX39" s="20" t="n">
        <f aca="false">IF(AKX38&gt;0,(AKX38-AOK38)/AKX38,0)</f>
        <v>0</v>
      </c>
      <c r="BY39" s="20" t="n">
        <f aca="false">IF(AKY38&gt;0,(AKY38-AOL38)/AKY38,0)</f>
        <v>0</v>
      </c>
      <c r="BZ39" s="20" t="n">
        <f aca="false">IF(AKZ38&gt;0,(AKZ38-AOM38)/AKZ38,0)</f>
        <v>0</v>
      </c>
      <c r="CA39" s="20" t="n">
        <f aca="false">IF(ALA38&gt;0,(ALA38-AON38)/ALA38,0)</f>
        <v>0</v>
      </c>
      <c r="CB39" s="20" t="n">
        <f aca="false">IF(ALB38&gt;0,(ALB38-AOO38)/ALB38,0)</f>
        <v>0</v>
      </c>
      <c r="CC39" s="20" t="n">
        <f aca="false">IF(ALC38&gt;0,(ALC38-AOP38)/ALC38,0)</f>
        <v>0.178072893240648</v>
      </c>
      <c r="CD39" s="20" t="n">
        <f aca="false">IF(ALD38&gt;0,(ALD38-AOQ38)/ALD38,0)</f>
        <v>0.145195808970274</v>
      </c>
      <c r="CE39" s="20" t="n">
        <f aca="false">IF(ALE38&gt;0,(ALE38-AOR38)/ALE38,0)</f>
        <v>0.111003641329085</v>
      </c>
      <c r="CF39" s="20" t="n">
        <f aca="false">IF(ALF38&gt;0,(ALF38-AOS38)/ALF38,0)</f>
        <v>0.0754437869822485</v>
      </c>
      <c r="CG39" s="20" t="n">
        <f aca="false">IF(ALG38&gt;0,(ALG38-AOT38)/ALG38,0)</f>
        <v>0.0384615384615385</v>
      </c>
      <c r="CH39" s="20" t="n">
        <f aca="false">IF(ALH38&gt;0,(ALH38-AOU38)/ALH38,0)</f>
        <v>0</v>
      </c>
      <c r="CI39" s="20" t="n">
        <f aca="false">IF(ALI38&gt;0,(ALI38-AOV38)/ALI38,0)</f>
        <v>0.240082186797937</v>
      </c>
      <c r="CJ39" s="20" t="n">
        <f aca="false">IF(ALJ38&gt;0,(ALJ38-AOW38)/ALJ38,0)</f>
        <v>0.209685474269854</v>
      </c>
      <c r="CK39" s="20" t="n">
        <f aca="false">IF(ALK38&gt;0,(ALK38-AOX38)/ALK38,0)</f>
        <v>0.178072893240648</v>
      </c>
      <c r="CL39" s="20" t="n">
        <f aca="false">IF(ALL38&gt;0,(ALL38-AOY38)/ALL38,0)</f>
        <v>0.145195808970274</v>
      </c>
      <c r="CM39" s="20" t="n">
        <f aca="false">IF(ALM38&gt;0,(ALM38-AOZ38)/ALM38,0)</f>
        <v>0.111003641329085</v>
      </c>
      <c r="CN39" s="20" t="n">
        <f aca="false">IF(ALN38&gt;0,(ALN38-APA38)/ALN38,0)</f>
        <v>0.0754437869822487</v>
      </c>
      <c r="CO39" s="20" t="n">
        <f aca="false">IF(ALO38&gt;0,(ALO38-APB38)/ALO38,0)</f>
        <v>0.0384615384615385</v>
      </c>
      <c r="CP39" s="20" t="n">
        <f aca="false">IF(ALP38&gt;0,(ALP38-APC38)/ALP38,0)</f>
        <v>0</v>
      </c>
      <c r="CQ39" s="20" t="n">
        <f aca="false">IF(ALQ38&gt;0,(ALQ38-APD38)/ALQ38,0)</f>
        <v>0.240082186797937</v>
      </c>
      <c r="CR39" s="20" t="n">
        <f aca="false">IF(ALR38&gt;0,(ALR38-APE38)/ALR38,0)</f>
        <v>0.209685474269854</v>
      </c>
      <c r="CS39" s="20" t="n">
        <f aca="false">IF(ALS38&gt;0,(ALS38-APF38)/ALS38,0)</f>
        <v>0</v>
      </c>
      <c r="CT39" s="20" t="n">
        <f aca="false">IF(ALT38&gt;0,(ALT38-APG38)/ALT38,0)</f>
        <v>0</v>
      </c>
      <c r="CU39" s="20" t="n">
        <f aca="false">IF(ALU38&gt;0,(ALU38-APH38)/ALU38,0)</f>
        <v>0.111003641329085</v>
      </c>
      <c r="CV39" s="20" t="n">
        <f aca="false">IF(ALV38&gt;0,(ALV38-API38)/ALV38,0)</f>
        <v>0</v>
      </c>
      <c r="CW39" s="20" t="n">
        <f aca="false">IF(ALW38&gt;0,(ALW38-APJ38)/ALW38,0)</f>
        <v>0</v>
      </c>
      <c r="CX39" s="20" t="n">
        <f aca="false">IF((P39+S39)&gt;0,((P39+S39)-(P39+S39))/(P39+S39),0)</f>
        <v>0</v>
      </c>
      <c r="CY39" s="20" t="n">
        <v>0</v>
      </c>
      <c r="CZ39" s="20" t="n">
        <v>0</v>
      </c>
      <c r="DA39" s="20" t="n">
        <v>0</v>
      </c>
      <c r="DB39" s="20" t="n">
        <v>0</v>
      </c>
      <c r="DC39" s="20" t="n">
        <v>0</v>
      </c>
      <c r="DD39" s="20" t="n">
        <v>0</v>
      </c>
      <c r="DE39" s="20" t="n">
        <v>0</v>
      </c>
      <c r="DF39" s="20" t="n">
        <v>0</v>
      </c>
      <c r="DG39" s="20" t="n">
        <v>0</v>
      </c>
      <c r="DH39" s="20" t="n">
        <v>0</v>
      </c>
      <c r="DI39" s="20" t="n">
        <v>0</v>
      </c>
      <c r="DJ39" s="20" t="n">
        <v>0</v>
      </c>
      <c r="DK39" s="20" t="n">
        <v>0</v>
      </c>
      <c r="DL39" s="20" t="n">
        <v>0</v>
      </c>
      <c r="DM39" s="20" t="n">
        <v>0</v>
      </c>
      <c r="DN39" s="20" t="n">
        <v>0</v>
      </c>
      <c r="DO39" s="20" t="n">
        <v>0</v>
      </c>
      <c r="DP39" s="20" t="n">
        <v>0</v>
      </c>
      <c r="DQ39" s="20" t="n">
        <v>0</v>
      </c>
      <c r="DR39" s="20" t="n">
        <v>0</v>
      </c>
      <c r="DS39" s="20" t="n">
        <v>0</v>
      </c>
      <c r="DT39" s="20" t="n">
        <v>0</v>
      </c>
      <c r="DU39" s="20" t="n">
        <v>0</v>
      </c>
      <c r="DV39" s="20" t="n">
        <v>0</v>
      </c>
      <c r="DW39" s="20" t="n">
        <v>0</v>
      </c>
      <c r="DX39" s="20" t="n">
        <v>0</v>
      </c>
      <c r="DY39" s="20" t="n">
        <v>0</v>
      </c>
      <c r="DZ39" s="20" t="n">
        <v>0</v>
      </c>
      <c r="EA39" s="20" t="n">
        <v>0</v>
      </c>
      <c r="EB39" s="20" t="n">
        <v>0</v>
      </c>
      <c r="EC39" s="20" t="n">
        <v>0</v>
      </c>
      <c r="ED39" s="20" t="n">
        <v>0</v>
      </c>
      <c r="EE39" s="20" t="n">
        <v>0</v>
      </c>
      <c r="EF39" s="20" t="n">
        <v>0</v>
      </c>
      <c r="EG39" s="20" t="n">
        <v>0</v>
      </c>
      <c r="EH39" s="20" t="n">
        <v>0</v>
      </c>
      <c r="EI39" s="20" t="n">
        <v>0</v>
      </c>
      <c r="EJ39" s="20" t="n">
        <v>0</v>
      </c>
      <c r="EK39" s="20" t="n">
        <v>0</v>
      </c>
      <c r="EL39" s="20" t="n">
        <v>0</v>
      </c>
      <c r="EM39" s="20" t="n">
        <v>0</v>
      </c>
      <c r="EN39" s="20" t="n">
        <v>0</v>
      </c>
      <c r="EO39" s="20" t="n">
        <v>0</v>
      </c>
      <c r="EP39" s="20" t="n">
        <v>0</v>
      </c>
      <c r="EQ39" s="20" t="n">
        <v>0</v>
      </c>
      <c r="ER39" s="20" t="n">
        <v>0</v>
      </c>
      <c r="ES39" s="20" t="n">
        <v>0</v>
      </c>
      <c r="ET39" s="20" t="n">
        <v>0</v>
      </c>
      <c r="EU39" s="20" t="n">
        <v>0</v>
      </c>
      <c r="EV39" s="20" t="n">
        <v>0</v>
      </c>
      <c r="EW39" s="20" t="n">
        <v>0</v>
      </c>
      <c r="EX39" s="20" t="n">
        <v>0</v>
      </c>
      <c r="EY39" s="20" t="n">
        <v>0</v>
      </c>
      <c r="EZ39" s="20" t="n">
        <v>0</v>
      </c>
      <c r="FA39" s="20" t="n">
        <v>0</v>
      </c>
      <c r="FB39" s="20" t="n">
        <v>0</v>
      </c>
      <c r="FC39" s="20" t="n">
        <v>0</v>
      </c>
      <c r="FD39" s="20" t="n">
        <v>0</v>
      </c>
      <c r="FE39" s="20" t="n">
        <f aca="false">IF(H_Direct=1,IF(AKR38&lt;=0,0,IF(BR39&lt;=0,AKR38,AKR38-G39*MAX(0,BR39*AKR38-(H39+I39)))),AKR38*(1-MAX(0,BR39)*H_Exit))</f>
        <v>0</v>
      </c>
      <c r="FF39" s="20" t="n">
        <f aca="false">IF(H_Direct=1,IF(AKS38&lt;=0,0,IF(BS39&lt;=0,AKS38,AKS38-G39*MAX(0,BS39*AKS38-(IR39+ME39)))),AKS38*(1-MAX(0,BS39)*H_Exit))</f>
        <v>0</v>
      </c>
      <c r="FG39" s="20" t="n">
        <f aca="false">IF(H_Direct=1,IF(AKT38&lt;=0,0,IF(BT39&lt;=0,AKT38,AKT38-G39*MAX(0,BT39*AKT38-(IS39+MF39)))),AKT38*(1-MAX(0,BT39)*H_Exit))</f>
        <v>0</v>
      </c>
      <c r="FH39" s="20" t="n">
        <f aca="false">IF(H_Direct=1,IF(AKU38&lt;=0,0,IF(BU39&lt;=0,AKU38,AKU38-G39*MAX(0,BU39*AKU38-(IT39+MG39)))),AKU38*(1-MAX(0,BU39)*H_Exit))</f>
        <v>0</v>
      </c>
      <c r="FI39" s="20" t="n">
        <f aca="false">IF(H_Direct=1,IF(AKV38&lt;=0,0,IF(BV39&lt;=0,AKV38,AKV38-G39*MAX(0,BV39*AKV38-(IU39+MH39)))),AKV38*(1-MAX(0,BV39)*H_Exit))</f>
        <v>0</v>
      </c>
      <c r="FJ39" s="20" t="n">
        <f aca="false">IF(H_Direct=1,IF(AKW38&lt;=0,0,IF(BW39&lt;=0,AKW38,AKW38-G39*MAX(0,BW39*AKW38-(IV39+MI39)))),AKW38*(1-MAX(0,BW39)*H_Exit))</f>
        <v>0</v>
      </c>
      <c r="FK39" s="20" t="n">
        <f aca="false">IF(H_Direct=1,IF(AKX38&lt;=0,0,IF(BX39&lt;=0,AKX38,AKX38-G39*MAX(0,BX39*AKX38-(IW39+MJ39)))),AKX38*(1-MAX(0,BX39)*H_Exit))</f>
        <v>0</v>
      </c>
      <c r="FL39" s="20" t="n">
        <f aca="false">IF(H_Direct=1,IF(AKY38&lt;=0,0,IF(BY39&lt;=0,AKY38,AKY38-G39*MAX(0,BY39*AKY38-(IX39+MK39)))),AKY38*(1-MAX(0,BY39)*H_Exit))</f>
        <v>0</v>
      </c>
      <c r="FM39" s="20" t="n">
        <f aca="false">IF(H_Direct=1,IF(AKZ38&lt;=0,0,IF(BZ39&lt;=0,AKZ38,AKZ38-G39*MAX(0,BZ39*AKZ38-(IY39+ML39)))),AKZ38*(1-MAX(0,BZ39)*H_Exit))</f>
        <v>0</v>
      </c>
      <c r="FN39" s="20" t="n">
        <f aca="false">IF(H_Direct=1,IF(ALA38&lt;=0,0,IF(CA39&lt;=0,ALA38,ALA38-G39*MAX(0,CA39*ALA38-(IZ39+MM39)))),ALA38*(1-MAX(0,CA39)*H_Exit))</f>
        <v>0</v>
      </c>
      <c r="FO39" s="20" t="n">
        <f aca="false">IF(H_Direct=1,IF(ALB38&lt;=0,0,IF(CB39&lt;=0,ALB38,ALB38-G39*MAX(0,CB39*ALB38-(JA39+MN39)))),ALB38*(1-MAX(0,CB39)*H_Exit))</f>
        <v>0</v>
      </c>
      <c r="FP39" s="20" t="n">
        <f aca="false">IF(H_Direct=1,IF(ALC38&lt;=0,0,IF(CC39&lt;=0,ALC38,ALC38-G39*MAX(0,CC39*ALC38-(JB39+MO39)))),ALC38*(1-MAX(0,CC39)*H_Exit))</f>
        <v>935.895902285776</v>
      </c>
      <c r="FQ39" s="20" t="n">
        <f aca="false">IF(H_Direct=1,IF(ALD38&lt;=0,0,IF(CD39&lt;=0,ALD38,ALD38-G39*MAX(0,CD39*ALD38-(JC39+MP39)))),ALD38*(1-MAX(0,CD39)*H_Exit))</f>
        <v>1193.10349878966</v>
      </c>
      <c r="FR39" s="20" t="n">
        <f aca="false">IF(H_Direct=1,IF(ALE38&lt;=0,0,IF(CE39&lt;=0,ALE38,ALE38-G39*MAX(0,CE39*ALE38-(JD39+MQ39)))),ALE38*(1-MAX(0,CE39)*H_Exit))</f>
        <v>1447.44635999706</v>
      </c>
      <c r="FS39" s="20" t="n">
        <f aca="false">IF(H_Direct=1,IF(ALF38&lt;=0,0,IF(CF39&lt;=0,ALF38,ALF38-G39*MAX(0,CF39*ALF38-(JE39+MR39)))),ALF38*(1-MAX(0,CF39)*H_Exit))</f>
        <v>1650.62385406218</v>
      </c>
      <c r="FT39" s="20" t="n">
        <f aca="false">IF(H_Direct=1,IF(ALG38&lt;=0,0,IF(CG39&lt;=0,ALG38,ALG38-G39*MAX(0,CG39*ALG38-(JF39+MS39)))),ALG38*(1-MAX(0,CG39)*H_Exit))</f>
        <v>1610.38525009557</v>
      </c>
      <c r="FU39" s="20" t="n">
        <f aca="false">IF(H_Direct=1,IF(ALH38&lt;=0,0,IF(CH39&lt;=0,ALH38,ALH38-G39*MAX(0,CH39*ALH38-(JG39+MT39)))),ALH38*(1-MAX(0,CH39)*H_Exit))</f>
        <v>1570.76264270518</v>
      </c>
      <c r="FV39" s="20" t="n">
        <f aca="false">IF(H_Direct=1,IF(ALI38&lt;=0,0,IF(CI39&lt;=0,ALI38,ALI38-G39*MAX(0,CI39*ALI38-(JH39+MU39)))),ALI38*(1-MAX(0,CI39)*H_Exit))</f>
        <v>1527.45201977047</v>
      </c>
      <c r="FW39" s="20" t="n">
        <f aca="false">IF(H_Direct=1,IF(ALJ38&lt;=0,0,IF(CJ39&lt;=0,ALJ38,ALJ38-G39*MAX(0,CJ39*ALJ38-(JI39+MV39)))),ALJ38*(1-MAX(0,CJ39)*H_Exit))</f>
        <v>4807.64642902793</v>
      </c>
      <c r="FX39" s="20" t="n">
        <f aca="false">IF(H_Direct=1,IF(ALK38&lt;=0,0,IF(CK39&lt;=0,ALK38,ALK38-G39*MAX(0,CK39*ALK38-(JJ39+MW39)))),ALK38*(1-MAX(0,CK39)*H_Exit))</f>
        <v>4776.73831913298</v>
      </c>
      <c r="FY39" s="20" t="n">
        <f aca="false">IF(H_Direct=1,IF(ALL38&lt;=0,0,IF(CL39&lt;=0,ALL38,ALL38-G39*MAX(0,CL39*ALL38-(JK39+MX39)))),ALL38*(1-MAX(0,CL39)*H_Exit))</f>
        <v>4747.65552854928</v>
      </c>
      <c r="FZ39" s="20" t="n">
        <f aca="false">IF(H_Direct=1,IF(ALM38&lt;=0,0,IF(CM39&lt;=0,ALM38,ALM38-G39*MAX(0,CM39*ALM38-(JL39+MY39)))),ALM38*(1-MAX(0,CM39)*H_Exit))</f>
        <v>4720.38757363402</v>
      </c>
      <c r="GA39" s="20" t="n">
        <f aca="false">IF(H_Direct=1,IF(ALN38&lt;=0,0,IF(CN39&lt;=0,ALN38,ALN38-G39*MAX(0,CN39*ALN38-(JM39+MZ39)))),ALN38*(1-MAX(0,CN39)*H_Exit))</f>
        <v>4694.92466472597</v>
      </c>
      <c r="GB39" s="20" t="n">
        <f aca="false">IF(H_Direct=1,IF(ALO38&lt;=0,0,IF(CO39&lt;=0,ALO38,ALO38-G39*MAX(0,CO39*ALO38-(JN39+NA39)))),ALO38*(1-MAX(0,CO39)*H_Exit))</f>
        <v>4671.25770264707</v>
      </c>
      <c r="GC39" s="20" t="n">
        <f aca="false">IF(H_Direct=1,IF(ALP38&lt;=0,0,IF(CP39&lt;=0,ALP38,ALP38-G39*MAX(0,CP39*ALP38-(JO39+NB39)))),ALP38*(1-MAX(0,CP39)*H_Exit))</f>
        <v>4649.3782754684</v>
      </c>
      <c r="GD39" s="20" t="n">
        <f aca="false">IF(H_Direct=1,IF(ALQ38&lt;=0,0,IF(CQ39&lt;=0,ALQ38,ALQ38-G39*MAX(0,CQ39*ALQ38-(JP39+NC39)))),ALQ38*(1-MAX(0,CQ39)*H_Exit))</f>
        <v>4616.38618446022</v>
      </c>
      <c r="GE39" s="20" t="n">
        <f aca="false">IF(H_Direct=1,IF(ALR38&lt;=0,0,IF(CR39&lt;=0,ALR38,ALR38-G39*MAX(0,CR39*ALR38-(JQ39+ND39)))),ALR38*(1-MAX(0,CR39)*H_Exit))</f>
        <v>69362.1925713664</v>
      </c>
      <c r="GF39" s="20" t="n">
        <f aca="false">IF(H_Direct=1,IF(ALS38&lt;=0,0,IF(CS39&lt;=0,ALS38,ALS38-G39*MAX(0,CS39*ALS38-(JR39+NE39)))),ALS38*(1-MAX(0,CS39)*H_Exit))</f>
        <v>0</v>
      </c>
      <c r="GG39" s="20" t="n">
        <f aca="false">IF(H_Direct=1,IF(ALT38&lt;=0,0,IF(CT39&lt;=0,ALT38,ALT38-G39*MAX(0,CT39*ALT38-(JS39+NF39)))),ALT38*(1-MAX(0,CT39)*H_Exit))</f>
        <v>0</v>
      </c>
      <c r="GH39" s="20" t="n">
        <f aca="false">IF(H_Direct=1,IF(ALU38&lt;=0,0,IF(CU39&lt;=0,ALU38,ALU38-G39*MAX(0,CU39*ALU38-(JT39+NG39)))),ALU38*(1-MAX(0,CU39)*H_Exit))</f>
        <v>1863.34484203634</v>
      </c>
      <c r="GI39" s="20" t="n">
        <f aca="false">IF(H_Direct=1,IF(ALV38&lt;=0,0,IF(CV39&lt;=0,ALV38,ALV38-G39*MAX(0,CV39*ALV38-(JU39+NH39)))),ALV38*(1-MAX(0,CV39)*H_Exit))</f>
        <v>0</v>
      </c>
      <c r="GJ39" s="20" t="n">
        <f aca="false">IF(H_Direct=1,IF(ALW38&lt;=0,0,IF(CW39&lt;=0,ALW38,ALW38-G39*MAX(0,CW39*ALW38-(JV39+NI39)))),ALW38*(1-MAX(0,CW39)*H_Exit))</f>
        <v>0</v>
      </c>
      <c r="GK39" s="20" t="n">
        <f aca="false">IF(H_Direct=1,IF((P39+S39)&lt;=0,0,IF(CX39&lt;=0,(P39+S39),(P39+S39)-G39*MAX(0,CX39*(P39+S39)-(JW39+NJ39)))),(P39+S39)*(1-MAX(0,CX39)*H_Exit))</f>
        <v>0</v>
      </c>
      <c r="GL39" s="20" t="n">
        <v>0</v>
      </c>
      <c r="GM39" s="20" t="n">
        <v>0</v>
      </c>
      <c r="GN39" s="20" t="n">
        <v>0</v>
      </c>
      <c r="GO39" s="20" t="n">
        <v>0</v>
      </c>
      <c r="GP39" s="20" t="n">
        <v>0</v>
      </c>
      <c r="GQ39" s="20" t="n">
        <v>0</v>
      </c>
      <c r="GR39" s="20" t="n">
        <v>0</v>
      </c>
      <c r="GS39" s="20" t="n">
        <v>0</v>
      </c>
      <c r="GT39" s="20" t="n">
        <v>0</v>
      </c>
      <c r="GU39" s="20" t="n">
        <v>0</v>
      </c>
      <c r="GV39" s="20" t="n">
        <v>0</v>
      </c>
      <c r="GW39" s="20" t="n">
        <v>0</v>
      </c>
      <c r="GX39" s="20" t="n">
        <v>0</v>
      </c>
      <c r="GY39" s="20" t="n">
        <v>0</v>
      </c>
      <c r="GZ39" s="20" t="n">
        <v>0</v>
      </c>
      <c r="HA39" s="20" t="n">
        <v>0</v>
      </c>
      <c r="HB39" s="20" t="n">
        <v>0</v>
      </c>
      <c r="HC39" s="20" t="n">
        <v>0</v>
      </c>
      <c r="HD39" s="20" t="n">
        <v>0</v>
      </c>
      <c r="HE39" s="20" t="n">
        <v>0</v>
      </c>
      <c r="HF39" s="20" t="n">
        <v>0</v>
      </c>
      <c r="HG39" s="20" t="n">
        <v>0</v>
      </c>
      <c r="HH39" s="20" t="n">
        <v>0</v>
      </c>
      <c r="HI39" s="20" t="n">
        <v>0</v>
      </c>
      <c r="HJ39" s="20" t="n">
        <v>0</v>
      </c>
      <c r="HK39" s="20" t="n">
        <v>0</v>
      </c>
      <c r="HL39" s="20" t="n">
        <v>0</v>
      </c>
      <c r="HM39" s="20" t="n">
        <v>0</v>
      </c>
      <c r="HN39" s="20" t="n">
        <v>0</v>
      </c>
      <c r="HO39" s="20" t="n">
        <v>0</v>
      </c>
      <c r="HP39" s="20" t="n">
        <v>0</v>
      </c>
      <c r="HQ39" s="20" t="n">
        <v>0</v>
      </c>
      <c r="HR39" s="20" t="n">
        <v>0</v>
      </c>
      <c r="HS39" s="20" t="n">
        <v>0</v>
      </c>
      <c r="HT39" s="20" t="n">
        <v>0</v>
      </c>
      <c r="HU39" s="20" t="n">
        <v>0</v>
      </c>
      <c r="HV39" s="20" t="n">
        <v>0</v>
      </c>
      <c r="HW39" s="20" t="n">
        <v>0</v>
      </c>
      <c r="HX39" s="20" t="n">
        <v>0</v>
      </c>
      <c r="HY39" s="20" t="n">
        <v>0</v>
      </c>
      <c r="HZ39" s="20" t="n">
        <v>0</v>
      </c>
      <c r="IA39" s="20" t="n">
        <v>0</v>
      </c>
      <c r="IB39" s="20" t="n">
        <v>0</v>
      </c>
      <c r="IC39" s="20" t="n">
        <v>0</v>
      </c>
      <c r="ID39" s="20" t="n">
        <v>0</v>
      </c>
      <c r="IE39" s="20" t="n">
        <v>0</v>
      </c>
      <c r="IF39" s="20" t="n">
        <v>0</v>
      </c>
      <c r="IG39" s="20" t="n">
        <v>0</v>
      </c>
      <c r="IH39" s="20" t="n">
        <v>0</v>
      </c>
      <c r="II39" s="20" t="n">
        <v>0</v>
      </c>
      <c r="IJ39" s="20" t="n">
        <v>0</v>
      </c>
      <c r="IK39" s="20" t="n">
        <v>0</v>
      </c>
      <c r="IL39" s="20" t="n">
        <v>0</v>
      </c>
      <c r="IM39" s="20" t="n">
        <v>0</v>
      </c>
      <c r="IN39" s="20" t="n">
        <v>0</v>
      </c>
      <c r="IO39" s="20" t="n">
        <v>0</v>
      </c>
      <c r="IP39" s="20" t="n">
        <v>0</v>
      </c>
      <c r="IQ39" s="20" t="n">
        <v>0</v>
      </c>
      <c r="IR39" s="20" t="n">
        <f aca="false">IF(AND(H_Direct=1,BR39&gt;0),MAX(0,H39-(MIN(BR39*AKR38,H39+I39)-MIN(MIN(BR39*AKR38,H39+I39),I39))),H39)</f>
        <v>1270</v>
      </c>
      <c r="IS39" s="20" t="n">
        <f aca="false">IF(AND(H_Direct=1,BS39&gt;0),MAX(0,IR39-(MIN(BS39*AKS38,IR39+ME39)-MIN(MIN(BS39*AKS38,IR39+ME39),ME39))),IR39)</f>
        <v>1270</v>
      </c>
      <c r="IT39" s="20" t="n">
        <f aca="false">IF(AND(H_Direct=1,BT39&gt;0),MAX(0,IS39-(MIN(BT39*AKT38,IS39+MF39)-MIN(MIN(BT39*AKT38,IS39+MF39),MF39))),IS39)</f>
        <v>1270</v>
      </c>
      <c r="IU39" s="20" t="n">
        <f aca="false">IF(AND(H_Direct=1,BU39&gt;0),MAX(0,IT39-(MIN(BU39*AKU38,IT39+MG39)-MIN(MIN(BU39*AKU38,IT39+MG39),MG39))),IT39)</f>
        <v>1270</v>
      </c>
      <c r="IV39" s="20" t="n">
        <f aca="false">IF(AND(H_Direct=1,BV39&gt;0),MAX(0,IU39-(MIN(BV39*AKV38,IU39+MH39)-MIN(MIN(BV39*AKV38,IU39+MH39),MH39))),IU39)</f>
        <v>1270</v>
      </c>
      <c r="IW39" s="20" t="n">
        <f aca="false">IF(AND(H_Direct=1,BW39&gt;0),MAX(0,IV39-(MIN(BW39*AKW38,IV39+MI39)-MIN(MIN(BW39*AKW38,IV39+MI39),MI39))),IV39)</f>
        <v>1270</v>
      </c>
      <c r="IX39" s="20" t="n">
        <f aca="false">IF(AND(H_Direct=1,BX39&gt;0),MAX(0,IW39-(MIN(BX39*AKX38,IW39+MJ39)-MIN(MIN(BX39*AKX38,IW39+MJ39),MJ39))),IW39)</f>
        <v>1270</v>
      </c>
      <c r="IY39" s="20" t="n">
        <f aca="false">IF(AND(H_Direct=1,BY39&gt;0),MAX(0,IX39-(MIN(BY39*AKY38,IX39+MK39)-MIN(MIN(BY39*AKY38,IX39+MK39),MK39))),IX39)</f>
        <v>1270</v>
      </c>
      <c r="IZ39" s="20" t="n">
        <f aca="false">IF(AND(H_Direct=1,BZ39&gt;0),MAX(0,IY39-(MIN(BZ39*AKZ38,IY39+ML39)-MIN(MIN(BZ39*AKZ38,IY39+ML39),ML39))),IY39)</f>
        <v>1270</v>
      </c>
      <c r="JA39" s="20" t="n">
        <f aca="false">IF(AND(H_Direct=1,CA39&gt;0),MAX(0,IZ39-(MIN(CA39*ALA38,IZ39+MM39)-MIN(MIN(CA39*ALA38,IZ39+MM39),MM39))),IZ39)</f>
        <v>1270</v>
      </c>
      <c r="JB39" s="20" t="n">
        <f aca="false">IF(AND(H_Direct=1,CB39&gt;0),MAX(0,JA39-(MIN(CB39*ALB38,JA39+MN39)-MIN(MIN(CB39*ALB38,JA39+MN39),MN39))),JA39)</f>
        <v>1270</v>
      </c>
      <c r="JC39" s="20" t="n">
        <f aca="false">IF(AND(H_Direct=1,CC39&gt;0),MAX(0,JB39-(MIN(CC39*ALC38,JB39+MO39)-MIN(MIN(CC39*ALC38,JB39+MO39),MO39))),JB39)</f>
        <v>1270</v>
      </c>
      <c r="JD39" s="20" t="n">
        <f aca="false">IF(AND(H_Direct=1,CD39&gt;0),MAX(0,JC39-(MIN(CD39*ALD38,JC39+MP39)-MIN(MIN(CD39*ALD38,JC39+MP39),MP39))),JC39)</f>
        <v>1270</v>
      </c>
      <c r="JE39" s="20" t="n">
        <f aca="false">IF(AND(H_Direct=1,CE39&gt;0),MAX(0,JD39-(MIN(CE39*ALE38,JD39+MQ39)-MIN(MIN(CE39*ALE38,JD39+MQ39),MQ39))),JD39)</f>
        <v>1270</v>
      </c>
      <c r="JF39" s="20" t="n">
        <f aca="false">IF(AND(H_Direct=1,CF39&gt;0),MAX(0,JE39-(MIN(CF39*ALF38,JE39+MR39)-MIN(MIN(CF39*ALF38,JE39+MR39),MR39))),JE39)</f>
        <v>1270</v>
      </c>
      <c r="JG39" s="20" t="n">
        <f aca="false">IF(AND(H_Direct=1,CG39&gt;0),MAX(0,JF39-(MIN(CG39*ALG38,JF39+MS39)-MIN(MIN(CG39*ALG38,JF39+MS39),MS39))),JF39)</f>
        <v>1270</v>
      </c>
      <c r="JH39" s="20" t="n">
        <f aca="false">IF(AND(H_Direct=1,CH39&gt;0),MAX(0,JG39-(MIN(CH39*ALH38,JG39+MT39)-MIN(MIN(CH39*ALH38,JG39+MT39),MT39))),JG39)</f>
        <v>1270</v>
      </c>
      <c r="JI39" s="20" t="n">
        <f aca="false">IF(AND(H_Direct=1,CI39&gt;0),MAX(0,JH39-(MIN(CI39*ALI38,JH39+MU39)-MIN(MIN(CI39*ALI38,JH39+MU39),MU39))),JH39)</f>
        <v>1270</v>
      </c>
      <c r="JJ39" s="20" t="n">
        <f aca="false">IF(AND(H_Direct=1,CJ39&gt;0),MAX(0,JI39-(MIN(CJ39*ALJ38,JI39+MV39)-MIN(MIN(CJ39*ALJ38,JI39+MV39),MV39))),JI39)</f>
        <v>1270</v>
      </c>
      <c r="JK39" s="20" t="n">
        <f aca="false">IF(AND(H_Direct=1,CK39&gt;0),MAX(0,JJ39-(MIN(CK39*ALK38,JJ39+MW39)-MIN(MIN(CK39*ALK38,JJ39+MW39),MW39))),JJ39)</f>
        <v>1270</v>
      </c>
      <c r="JL39" s="20" t="n">
        <f aca="false">IF(AND(H_Direct=1,CL39&gt;0),MAX(0,JK39-(MIN(CL39*ALL38,JK39+MX39)-MIN(MIN(CL39*ALL38,JK39+MX39),MX39))),JK39)</f>
        <v>1270</v>
      </c>
      <c r="JM39" s="20" t="n">
        <f aca="false">IF(AND(H_Direct=1,CM39&gt;0),MAX(0,JL39-(MIN(CM39*ALM38,JL39+MY39)-MIN(MIN(CM39*ALM38,JL39+MY39),MY39))),JL39)</f>
        <v>1270</v>
      </c>
      <c r="JN39" s="20" t="n">
        <f aca="false">IF(AND(H_Direct=1,CN39&gt;0),MAX(0,JM39-(MIN(CN39*ALN38,JM39+MZ39)-MIN(MIN(CN39*ALN38,JM39+MZ39),MZ39))),JM39)</f>
        <v>1270</v>
      </c>
      <c r="JO39" s="20" t="n">
        <f aca="false">IF(AND(H_Direct=1,CO39&gt;0),MAX(0,JN39-(MIN(CO39*ALO38,JN39+NA39)-MIN(MIN(CO39*ALO38,JN39+NA39),NA39))),JN39)</f>
        <v>1270</v>
      </c>
      <c r="JP39" s="20" t="n">
        <f aca="false">IF(AND(H_Direct=1,CP39&gt;0),MAX(0,JO39-(MIN(CP39*ALP38,JO39+NB39)-MIN(MIN(CP39*ALP38,JO39+NB39),NB39))),JO39)</f>
        <v>1270</v>
      </c>
      <c r="JQ39" s="20" t="n">
        <f aca="false">IF(AND(H_Direct=1,CQ39&gt;0),MAX(0,JP39-(MIN(CQ39*ALQ38,JP39+NC39)-MIN(MIN(CQ39*ALQ38,JP39+NC39),NC39))),JP39)</f>
        <v>1270</v>
      </c>
      <c r="JR39" s="20" t="n">
        <f aca="false">IF(AND(H_Direct=1,CR39&gt;0),MAX(0,JQ39-(MIN(CR39*ALR38,JQ39+ND39)-MIN(MIN(CR39*ALR38,JQ39+ND39),ND39))),JQ39)</f>
        <v>1270</v>
      </c>
      <c r="JS39" s="20" t="n">
        <f aca="false">IF(AND(H_Direct=1,CS39&gt;0),MAX(0,JR39-(MIN(CS39*ALS38,JR39+NE39)-MIN(MIN(CS39*ALS38,JR39+NE39),NE39))),JR39)</f>
        <v>1270</v>
      </c>
      <c r="JT39" s="20" t="n">
        <f aca="false">IF(AND(H_Direct=1,CT39&gt;0),MAX(0,JS39-(MIN(CT39*ALT38,JS39+NF39)-MIN(MIN(CT39*ALT38,JS39+NF39),NF39))),JS39)</f>
        <v>1270</v>
      </c>
      <c r="JU39" s="20" t="n">
        <f aca="false">IF(AND(H_Direct=1,CU39&gt;0),MAX(0,JT39-(MIN(CU39*ALU38,JT39+NG39)-MIN(MIN(CU39*ALU38,JT39+NG39),NG39))),JT39)</f>
        <v>1270</v>
      </c>
      <c r="JV39" s="20" t="n">
        <f aca="false">IF(AND(H_Direct=1,CV39&gt;0),MAX(0,JU39-(MIN(CV39*ALV38,JU39+NH39)-MIN(MIN(CV39*ALV38,JU39+NH39),NH39))),JU39)</f>
        <v>1270</v>
      </c>
      <c r="JW39" s="20" t="n">
        <f aca="false">IF(AND(H_Direct=1,CW39&gt;0),MAX(0,JV39-(MIN(CW39*ALW38,JV39+NI39)-MIN(MIN(CW39*ALW38,JV39+NI39),NI39))),JV39)</f>
        <v>1270</v>
      </c>
      <c r="JX39" s="20" t="n">
        <f aca="false">IF(AND(H_Direct=1,CX39&gt;0),MAX(0,JW39-(MIN(CX39*(P39+S39),JW39+NJ39)-MIN(MIN(CX39*(P39+S39),JW39+NJ39),NJ39))),JW39)</f>
        <v>1270</v>
      </c>
      <c r="JY39" s="20" t="n">
        <f aca="false">JX39</f>
        <v>1270</v>
      </c>
      <c r="JZ39" s="20" t="n">
        <f aca="false">JY39</f>
        <v>1270</v>
      </c>
      <c r="KA39" s="20" t="n">
        <f aca="false">JZ39</f>
        <v>1270</v>
      </c>
      <c r="KB39" s="20" t="n">
        <f aca="false">KA39</f>
        <v>1270</v>
      </c>
      <c r="KC39" s="20" t="n">
        <f aca="false">KB39</f>
        <v>1270</v>
      </c>
      <c r="KD39" s="20" t="n">
        <f aca="false">KC39</f>
        <v>1270</v>
      </c>
      <c r="KE39" s="20" t="n">
        <f aca="false">KD39</f>
        <v>1270</v>
      </c>
      <c r="KF39" s="20" t="n">
        <f aca="false">KE39</f>
        <v>1270</v>
      </c>
      <c r="KG39" s="20" t="n">
        <f aca="false">KF39</f>
        <v>1270</v>
      </c>
      <c r="KH39" s="20" t="n">
        <f aca="false">KG39</f>
        <v>1270</v>
      </c>
      <c r="KI39" s="20" t="n">
        <f aca="false">KH39</f>
        <v>1270</v>
      </c>
      <c r="KJ39" s="20" t="n">
        <f aca="false">KI39</f>
        <v>1270</v>
      </c>
      <c r="KK39" s="20" t="n">
        <f aca="false">KJ39</f>
        <v>1270</v>
      </c>
      <c r="KL39" s="20" t="n">
        <f aca="false">KK39</f>
        <v>1270</v>
      </c>
      <c r="KM39" s="20" t="n">
        <f aca="false">KL39</f>
        <v>1270</v>
      </c>
      <c r="KN39" s="20" t="n">
        <f aca="false">KM39</f>
        <v>1270</v>
      </c>
      <c r="KO39" s="20" t="n">
        <f aca="false">KN39</f>
        <v>1270</v>
      </c>
      <c r="KP39" s="20" t="n">
        <f aca="false">KO39</f>
        <v>1270</v>
      </c>
      <c r="KQ39" s="20" t="n">
        <f aca="false">KP39</f>
        <v>1270</v>
      </c>
      <c r="KR39" s="20" t="n">
        <f aca="false">KQ39</f>
        <v>1270</v>
      </c>
      <c r="KS39" s="20" t="n">
        <f aca="false">KR39</f>
        <v>1270</v>
      </c>
      <c r="KT39" s="20" t="n">
        <f aca="false">KS39</f>
        <v>1270</v>
      </c>
      <c r="KU39" s="20" t="n">
        <f aca="false">KT39</f>
        <v>1270</v>
      </c>
      <c r="KV39" s="20" t="n">
        <f aca="false">KU39</f>
        <v>1270</v>
      </c>
      <c r="KW39" s="20" t="n">
        <f aca="false">KV39</f>
        <v>1270</v>
      </c>
      <c r="KX39" s="20" t="n">
        <f aca="false">KW39</f>
        <v>1270</v>
      </c>
      <c r="KY39" s="20" t="n">
        <f aca="false">KX39</f>
        <v>1270</v>
      </c>
      <c r="KZ39" s="20" t="n">
        <f aca="false">KY39</f>
        <v>1270</v>
      </c>
      <c r="LA39" s="20" t="n">
        <f aca="false">KZ39</f>
        <v>1270</v>
      </c>
      <c r="LB39" s="20" t="n">
        <f aca="false">LA39</f>
        <v>1270</v>
      </c>
      <c r="LC39" s="20" t="n">
        <f aca="false">LB39</f>
        <v>1270</v>
      </c>
      <c r="LD39" s="20" t="n">
        <f aca="false">LC39</f>
        <v>1270</v>
      </c>
      <c r="LE39" s="20" t="n">
        <f aca="false">LD39</f>
        <v>1270</v>
      </c>
      <c r="LF39" s="20" t="n">
        <f aca="false">LE39</f>
        <v>1270</v>
      </c>
      <c r="LG39" s="20" t="n">
        <f aca="false">LF39</f>
        <v>1270</v>
      </c>
      <c r="LH39" s="20" t="n">
        <f aca="false">LG39</f>
        <v>1270</v>
      </c>
      <c r="LI39" s="20" t="n">
        <f aca="false">LH39</f>
        <v>1270</v>
      </c>
      <c r="LJ39" s="20" t="n">
        <f aca="false">LI39</f>
        <v>1270</v>
      </c>
      <c r="LK39" s="20" t="n">
        <f aca="false">LJ39</f>
        <v>1270</v>
      </c>
      <c r="LL39" s="20" t="n">
        <f aca="false">LK39</f>
        <v>1270</v>
      </c>
      <c r="LM39" s="20" t="n">
        <f aca="false">LL39</f>
        <v>1270</v>
      </c>
      <c r="LN39" s="20" t="n">
        <f aca="false">LM39</f>
        <v>1270</v>
      </c>
      <c r="LO39" s="20" t="n">
        <f aca="false">LN39</f>
        <v>1270</v>
      </c>
      <c r="LP39" s="20" t="n">
        <f aca="false">LO39</f>
        <v>1270</v>
      </c>
      <c r="LQ39" s="20" t="n">
        <f aca="false">LP39</f>
        <v>1270</v>
      </c>
      <c r="LR39" s="20" t="n">
        <f aca="false">LQ39</f>
        <v>1270</v>
      </c>
      <c r="LS39" s="20" t="n">
        <f aca="false">LR39</f>
        <v>1270</v>
      </c>
      <c r="LT39" s="20" t="n">
        <f aca="false">LS39</f>
        <v>1270</v>
      </c>
      <c r="LU39" s="20" t="n">
        <f aca="false">LT39</f>
        <v>1270</v>
      </c>
      <c r="LV39" s="20" t="n">
        <f aca="false">LU39</f>
        <v>1270</v>
      </c>
      <c r="LW39" s="20" t="n">
        <f aca="false">LV39</f>
        <v>1270</v>
      </c>
      <c r="LX39" s="20" t="n">
        <f aca="false">LW39</f>
        <v>1270</v>
      </c>
      <c r="LY39" s="20" t="n">
        <f aca="false">LX39</f>
        <v>1270</v>
      </c>
      <c r="LZ39" s="20" t="n">
        <f aca="false">LY39</f>
        <v>1270</v>
      </c>
      <c r="MA39" s="20" t="n">
        <f aca="false">LZ39</f>
        <v>1270</v>
      </c>
      <c r="MB39" s="20" t="n">
        <f aca="false">MA39</f>
        <v>1270</v>
      </c>
      <c r="MC39" s="20" t="n">
        <f aca="false">MB39</f>
        <v>1270</v>
      </c>
      <c r="MD39" s="20" t="n">
        <f aca="false">MC39</f>
        <v>1270</v>
      </c>
      <c r="ME39" s="20" t="n">
        <f aca="false">IF(H_Direct=1,IF(BR39&lt;=0,I39-BR39*AKR38,I39-MIN(MIN(BR39*AKR38,H39+I39),I39)),I39)</f>
        <v>0</v>
      </c>
      <c r="MF39" s="20" t="n">
        <f aca="false">IF(H_Direct=1,IF(BS39&lt;=0,ME39-BS39*AKS38,ME39-MIN(MIN(BS39*AKS38,IR39+ME39),ME39)),ME39)</f>
        <v>0</v>
      </c>
      <c r="MG39" s="20" t="n">
        <f aca="false">IF(H_Direct=1,IF(BT39&lt;=0,MF39-BT39*AKT38,MF39-MIN(MIN(BT39*AKT38,IS39+MF39),MF39)),MF39)</f>
        <v>0</v>
      </c>
      <c r="MH39" s="20" t="n">
        <f aca="false">IF(H_Direct=1,IF(BU39&lt;=0,MG39-BU39*AKU38,MG39-MIN(MIN(BU39*AKU38,IT39+MG39),MG39)),MG39)</f>
        <v>0</v>
      </c>
      <c r="MI39" s="20" t="n">
        <f aca="false">IF(H_Direct=1,IF(BV39&lt;=0,MH39-BV39*AKV38,MH39-MIN(MIN(BV39*AKV38,IU39+MH39),MH39)),MH39)</f>
        <v>0</v>
      </c>
      <c r="MJ39" s="20" t="n">
        <f aca="false">IF(H_Direct=1,IF(BW39&lt;=0,MI39-BW39*AKW38,MI39-MIN(MIN(BW39*AKW38,IV39+MI39),MI39)),MI39)</f>
        <v>0</v>
      </c>
      <c r="MK39" s="20" t="n">
        <f aca="false">IF(H_Direct=1,IF(BX39&lt;=0,MJ39-BX39*AKX38,MJ39-MIN(MIN(BX39*AKX38,IW39+MJ39),MJ39)),MJ39)</f>
        <v>0</v>
      </c>
      <c r="ML39" s="20" t="n">
        <f aca="false">IF(H_Direct=1,IF(BY39&lt;=0,MK39-BY39*AKY38,MK39-MIN(MIN(BY39*AKY38,IX39+MK39),MK39)),MK39)</f>
        <v>0</v>
      </c>
      <c r="MM39" s="20" t="n">
        <f aca="false">IF(H_Direct=1,IF(BZ39&lt;=0,ML39-BZ39*AKZ38,ML39-MIN(MIN(BZ39*AKZ38,IY39+ML39),ML39)),ML39)</f>
        <v>0</v>
      </c>
      <c r="MN39" s="20" t="n">
        <f aca="false">IF(H_Direct=1,IF(CA39&lt;=0,MM39-CA39*ALA38,MM39-MIN(MIN(CA39*ALA38,IZ39+MM39),MM39)),MM39)</f>
        <v>0</v>
      </c>
      <c r="MO39" s="20" t="n">
        <f aca="false">IF(H_Direct=1,IF(CB39&lt;=0,MN39-CB39*ALB38,MN39-MIN(MIN(CB39*ALB38,JA39+MN39),MN39)),MN39)</f>
        <v>0</v>
      </c>
      <c r="MP39" s="20" t="n">
        <f aca="false">IF(H_Direct=1,IF(CC39&lt;=0,MO39-CC39*ALC38,MO39-MIN(MIN(CC39*ALC38,JB39+MO39),MO39)),MO39)</f>
        <v>0</v>
      </c>
      <c r="MQ39" s="20" t="n">
        <f aca="false">IF(H_Direct=1,IF(CD39&lt;=0,MP39-CD39*ALD38,MP39-MIN(MIN(CD39*ALD38,JC39+MP39),MP39)),MP39)</f>
        <v>0</v>
      </c>
      <c r="MR39" s="20" t="n">
        <f aca="false">IF(H_Direct=1,IF(CE39&lt;=0,MQ39-CE39*ALE38,MQ39-MIN(MIN(CE39*ALE38,JD39+MQ39),MQ39)),MQ39)</f>
        <v>0</v>
      </c>
      <c r="MS39" s="20" t="n">
        <f aca="false">IF(H_Direct=1,IF(CF39&lt;=0,MR39-CF39*ALF38,MR39-MIN(MIN(CF39*ALF38,JE39+MR39),MR39)),MR39)</f>
        <v>0</v>
      </c>
      <c r="MT39" s="20" t="n">
        <f aca="false">IF(H_Direct=1,IF(CG39&lt;=0,MS39-CG39*ALG38,MS39-MIN(MIN(CG39*ALG38,JF39+MS39),MS39)),MS39)</f>
        <v>0</v>
      </c>
      <c r="MU39" s="20" t="n">
        <f aca="false">IF(H_Direct=1,IF(CH39&lt;=0,MT39-CH39*ALH38,MT39-MIN(MIN(CH39*ALH38,JG39+MT39),MT39)),MT39)</f>
        <v>0</v>
      </c>
      <c r="MV39" s="20" t="n">
        <f aca="false">IF(H_Direct=1,IF(CI39&lt;=0,MU39-CI39*ALI38,MU39-MIN(MIN(CI39*ALI38,JH39+MU39),MU39)),MU39)</f>
        <v>0</v>
      </c>
      <c r="MW39" s="20" t="n">
        <f aca="false">IF(H_Direct=1,IF(CJ39&lt;=0,MV39-CJ39*ALJ38,MV39-MIN(MIN(CJ39*ALJ38,JI39+MV39),MV39)),MV39)</f>
        <v>0</v>
      </c>
      <c r="MX39" s="20" t="n">
        <f aca="false">IF(H_Direct=1,IF(CK39&lt;=0,MW39-CK39*ALK38,MW39-MIN(MIN(CK39*ALK38,JJ39+MW39),MW39)),MW39)</f>
        <v>0</v>
      </c>
      <c r="MY39" s="20" t="n">
        <f aca="false">IF(H_Direct=1,IF(CL39&lt;=0,MX39-CL39*ALL38,MX39-MIN(MIN(CL39*ALL38,JK39+MX39),MX39)),MX39)</f>
        <v>0</v>
      </c>
      <c r="MZ39" s="20" t="n">
        <f aca="false">IF(H_Direct=1,IF(CM39&lt;=0,MY39-CM39*ALM38,MY39-MIN(MIN(CM39*ALM38,JL39+MY39),MY39)),MY39)</f>
        <v>0</v>
      </c>
      <c r="NA39" s="20" t="n">
        <f aca="false">IF(H_Direct=1,IF(CN39&lt;=0,MZ39-CN39*ALN38,MZ39-MIN(MIN(CN39*ALN38,JM39+MZ39),MZ39)),MZ39)</f>
        <v>0</v>
      </c>
      <c r="NB39" s="20" t="n">
        <f aca="false">IF(H_Direct=1,IF(CO39&lt;=0,NA39-CO39*ALO38,NA39-MIN(MIN(CO39*ALO38,JN39+NA39),NA39)),NA39)</f>
        <v>0</v>
      </c>
      <c r="NC39" s="20" t="n">
        <f aca="false">IF(H_Direct=1,IF(CP39&lt;=0,NB39-CP39*ALP38,NB39-MIN(MIN(CP39*ALP38,JO39+NB39),NB39)),NB39)</f>
        <v>0</v>
      </c>
      <c r="ND39" s="20" t="n">
        <f aca="false">IF(H_Direct=1,IF(CQ39&lt;=0,NC39-CQ39*ALQ38,NC39-MIN(MIN(CQ39*ALQ38,JP39+NC39),NC39)),NC39)</f>
        <v>0</v>
      </c>
      <c r="NE39" s="20" t="n">
        <f aca="false">IF(H_Direct=1,IF(CR39&lt;=0,ND39-CR39*ALR38,ND39-MIN(MIN(CR39*ALR38,JQ39+ND39),ND39)),ND39)</f>
        <v>0</v>
      </c>
      <c r="NF39" s="20" t="n">
        <f aca="false">IF(H_Direct=1,IF(CS39&lt;=0,NE39-CS39*ALS38,NE39-MIN(MIN(CS39*ALS38,JR39+NE39),NE39)),NE39)</f>
        <v>0</v>
      </c>
      <c r="NG39" s="20" t="n">
        <f aca="false">IF(H_Direct=1,IF(CT39&lt;=0,NF39-CT39*ALT38,NF39-MIN(MIN(CT39*ALT38,JS39+NF39),NF39)),NF39)</f>
        <v>0</v>
      </c>
      <c r="NH39" s="20" t="n">
        <f aca="false">IF(H_Direct=1,IF(CU39&lt;=0,NG39-CU39*ALU38,NG39-MIN(MIN(CU39*ALU38,JT39+NG39),NG39)),NG39)</f>
        <v>0</v>
      </c>
      <c r="NI39" s="20" t="n">
        <f aca="false">IF(H_Direct=1,IF(CV39&lt;=0,NH39-CV39*ALV38,NH39-MIN(MIN(CV39*ALV38,JU39+NH39),NH39)),NH39)</f>
        <v>0</v>
      </c>
      <c r="NJ39" s="20" t="n">
        <f aca="false">IF(H_Direct=1,IF(CW39&lt;=0,NI39-CW39*ALW38,NI39-MIN(MIN(CW39*ALW38,JV39+NI39),NI39)),NI39)</f>
        <v>0</v>
      </c>
      <c r="NK39" s="20" t="n">
        <f aca="false">IF(H_Direct=1,IF(CX39&lt;=0,NJ39-CX39*(P39+S39),NJ39-MIN(MIN(CX39*(P39+S39),JW39+NJ39),NJ39)),NJ39)</f>
        <v>0</v>
      </c>
      <c r="NL39" s="20" t="n">
        <f aca="false">NK39</f>
        <v>0</v>
      </c>
      <c r="NM39" s="20" t="n">
        <f aca="false">NL39</f>
        <v>0</v>
      </c>
      <c r="NN39" s="20" t="n">
        <f aca="false">NM39</f>
        <v>0</v>
      </c>
      <c r="NO39" s="20" t="n">
        <f aca="false">NN39</f>
        <v>0</v>
      </c>
      <c r="NP39" s="20" t="n">
        <f aca="false">NO39</f>
        <v>0</v>
      </c>
      <c r="NQ39" s="20" t="n">
        <f aca="false">NP39</f>
        <v>0</v>
      </c>
      <c r="NR39" s="20" t="n">
        <f aca="false">NQ39</f>
        <v>0</v>
      </c>
      <c r="NS39" s="20" t="n">
        <f aca="false">NR39</f>
        <v>0</v>
      </c>
      <c r="NT39" s="20" t="n">
        <f aca="false">NS39</f>
        <v>0</v>
      </c>
      <c r="NU39" s="20" t="n">
        <f aca="false">NT39</f>
        <v>0</v>
      </c>
      <c r="NV39" s="20" t="n">
        <f aca="false">NU39</f>
        <v>0</v>
      </c>
      <c r="NW39" s="20" t="n">
        <f aca="false">NV39</f>
        <v>0</v>
      </c>
      <c r="NX39" s="20" t="n">
        <f aca="false">NW39</f>
        <v>0</v>
      </c>
      <c r="NY39" s="20" t="n">
        <f aca="false">NX39</f>
        <v>0</v>
      </c>
      <c r="NZ39" s="20" t="n">
        <f aca="false">NY39</f>
        <v>0</v>
      </c>
      <c r="OA39" s="20" t="n">
        <f aca="false">NZ39</f>
        <v>0</v>
      </c>
      <c r="OB39" s="20" t="n">
        <f aca="false">OA39</f>
        <v>0</v>
      </c>
      <c r="OC39" s="20" t="n">
        <f aca="false">OB39</f>
        <v>0</v>
      </c>
      <c r="OD39" s="20" t="n">
        <f aca="false">OC39</f>
        <v>0</v>
      </c>
      <c r="OE39" s="20" t="n">
        <f aca="false">OD39</f>
        <v>0</v>
      </c>
      <c r="OF39" s="20" t="n">
        <f aca="false">OE39</f>
        <v>0</v>
      </c>
      <c r="OG39" s="20" t="n">
        <f aca="false">OF39</f>
        <v>0</v>
      </c>
      <c r="OH39" s="20" t="n">
        <f aca="false">OG39</f>
        <v>0</v>
      </c>
      <c r="OI39" s="20" t="n">
        <f aca="false">OH39</f>
        <v>0</v>
      </c>
      <c r="OJ39" s="20" t="n">
        <f aca="false">OI39</f>
        <v>0</v>
      </c>
      <c r="OK39" s="20" t="n">
        <f aca="false">OJ39</f>
        <v>0</v>
      </c>
      <c r="OL39" s="20" t="n">
        <f aca="false">OK39</f>
        <v>0</v>
      </c>
      <c r="OM39" s="20" t="n">
        <f aca="false">OL39</f>
        <v>0</v>
      </c>
      <c r="ON39" s="20" t="n">
        <f aca="false">OM39</f>
        <v>0</v>
      </c>
      <c r="OO39" s="20" t="n">
        <f aca="false">ON39</f>
        <v>0</v>
      </c>
      <c r="OP39" s="20" t="n">
        <f aca="false">OO39</f>
        <v>0</v>
      </c>
      <c r="OQ39" s="20" t="n">
        <f aca="false">OP39</f>
        <v>0</v>
      </c>
      <c r="OR39" s="20" t="n">
        <f aca="false">OQ39</f>
        <v>0</v>
      </c>
      <c r="OS39" s="20" t="n">
        <f aca="false">OR39</f>
        <v>0</v>
      </c>
      <c r="OT39" s="20" t="n">
        <f aca="false">OS39</f>
        <v>0</v>
      </c>
      <c r="OU39" s="20" t="n">
        <f aca="false">OT39</f>
        <v>0</v>
      </c>
      <c r="OV39" s="20" t="n">
        <f aca="false">OU39</f>
        <v>0</v>
      </c>
      <c r="OW39" s="20" t="n">
        <f aca="false">OV39</f>
        <v>0</v>
      </c>
      <c r="OX39" s="20" t="n">
        <f aca="false">OW39</f>
        <v>0</v>
      </c>
      <c r="OY39" s="20" t="n">
        <f aca="false">OX39</f>
        <v>0</v>
      </c>
      <c r="OZ39" s="20" t="n">
        <f aca="false">OY39</f>
        <v>0</v>
      </c>
      <c r="PA39" s="20" t="n">
        <f aca="false">OZ39</f>
        <v>0</v>
      </c>
      <c r="PB39" s="20" t="n">
        <f aca="false">PA39</f>
        <v>0</v>
      </c>
      <c r="PC39" s="20" t="n">
        <f aca="false">PB39</f>
        <v>0</v>
      </c>
      <c r="PD39" s="20" t="n">
        <f aca="false">PC39</f>
        <v>0</v>
      </c>
      <c r="PE39" s="20" t="n">
        <f aca="false">PD39</f>
        <v>0</v>
      </c>
      <c r="PF39" s="20" t="n">
        <f aca="false">PE39</f>
        <v>0</v>
      </c>
      <c r="PG39" s="20" t="n">
        <f aca="false">PF39</f>
        <v>0</v>
      </c>
      <c r="PH39" s="20" t="n">
        <f aca="false">PG39</f>
        <v>0</v>
      </c>
      <c r="PI39" s="20" t="n">
        <f aca="false">PH39</f>
        <v>0</v>
      </c>
      <c r="PJ39" s="20" t="n">
        <f aca="false">PI39</f>
        <v>0</v>
      </c>
      <c r="PK39" s="20" t="n">
        <f aca="false">PJ39</f>
        <v>0</v>
      </c>
      <c r="PL39" s="20" t="n">
        <f aca="false">PK39</f>
        <v>0</v>
      </c>
      <c r="PM39" s="20" t="n">
        <f aca="false">PL39</f>
        <v>0</v>
      </c>
      <c r="PN39" s="20" t="n">
        <f aca="false">PM39</f>
        <v>0</v>
      </c>
      <c r="PO39" s="20" t="n">
        <f aca="false">PN39</f>
        <v>0</v>
      </c>
      <c r="PP39" s="20" t="n">
        <f aca="false">PO39</f>
        <v>0</v>
      </c>
      <c r="PQ39" s="20" t="n">
        <f aca="false">PP39</f>
        <v>0</v>
      </c>
      <c r="PR39" s="20" t="n">
        <f aca="false">IF(H_Direct=1,IF(AKR38&lt;=0,0,IF(BR39&lt;=0,MIN(MAX(0,AB39),AKR38),MIN(MAX(0,AB39),AKR38-G39*MAX(0,BR39*AKR38-(H39+I39))))),MIN(FE39,MAX(0,AB39)))</f>
        <v>0</v>
      </c>
      <c r="PS39" s="20" t="n">
        <f aca="false">IF(H_Direct=1,IF(AKS38&lt;=0,0,IF(BS39&lt;=0,MIN(MAX(0,AB39-SUM(PR39:PR39)),AKS38),MIN(MAX(0,AB39-SUM(PR39:PR39)),AKS38-G39*MAX(0,BS39*AKS38-(WR39+AAE39))))),MIN(FF39,MAX(0,AB39-SUM(PR39:PR39))))</f>
        <v>0</v>
      </c>
      <c r="PT39" s="20" t="n">
        <f aca="false">IF(H_Direct=1,IF(AKT38&lt;=0,0,IF(BT39&lt;=0,MIN(MAX(0,AB39-SUM(PR39:PS39)),AKT38),MIN(MAX(0,AB39-SUM(PR39:PS39)),AKT38-G39*MAX(0,BT39*AKT38-(WS39+AAF39))))),MIN(FG39,MAX(0,AB39-SUM(PR39:PS39))))</f>
        <v>0</v>
      </c>
      <c r="PU39" s="20" t="n">
        <f aca="false">IF(H_Direct=1,IF(AKU38&lt;=0,0,IF(BU39&lt;=0,MIN(MAX(0,AB39-SUM(PR39:PT39)),AKU38),MIN(MAX(0,AB39-SUM(PR39:PT39)),AKU38-G39*MAX(0,BU39*AKU38-(WT39+AAG39))))),MIN(FH39,MAX(0,AB39-SUM(PR39:PT39))))</f>
        <v>0</v>
      </c>
      <c r="PV39" s="20" t="n">
        <f aca="false">IF(H_Direct=1,IF(AKV38&lt;=0,0,IF(BV39&lt;=0,MIN(MAX(0,AB39-SUM(PR39:PU39)),AKV38),MIN(MAX(0,AB39-SUM(PR39:PU39)),AKV38-G39*MAX(0,BV39*AKV38-(WU39+AAH39))))),MIN(FI39,MAX(0,AB39-SUM(PR39:PU39))))</f>
        <v>0</v>
      </c>
      <c r="PW39" s="20" t="n">
        <f aca="false">IF(H_Direct=1,IF(AKW38&lt;=0,0,IF(BW39&lt;=0,MIN(MAX(0,AB39-SUM(PR39:PV39)),AKW38),MIN(MAX(0,AB39-SUM(PR39:PV39)),AKW38-G39*MAX(0,BW39*AKW38-(WV39+AAI39))))),MIN(FJ39,MAX(0,AB39-SUM(PR39:PV39))))</f>
        <v>0</v>
      </c>
      <c r="PX39" s="20" t="n">
        <f aca="false">IF(H_Direct=1,IF(AKX38&lt;=0,0,IF(BX39&lt;=0,MIN(MAX(0,AB39-SUM(PR39:PW39)),AKX38),MIN(MAX(0,AB39-SUM(PR39:PW39)),AKX38-G39*MAX(0,BX39*AKX38-(WW39+AAJ39))))),MIN(FK39,MAX(0,AB39-SUM(PR39:PW39))))</f>
        <v>0</v>
      </c>
      <c r="PY39" s="20" t="n">
        <f aca="false">IF(H_Direct=1,IF(AKY38&lt;=0,0,IF(BY39&lt;=0,MIN(MAX(0,AB39-SUM(PR39:PX39)),AKY38),MIN(MAX(0,AB39-SUM(PR39:PX39)),AKY38-G39*MAX(0,BY39*AKY38-(WX39+AAK39))))),MIN(FL39,MAX(0,AB39-SUM(PR39:PX39))))</f>
        <v>0</v>
      </c>
      <c r="PZ39" s="20" t="n">
        <f aca="false">IF(H_Direct=1,IF(AKZ38&lt;=0,0,IF(BZ39&lt;=0,MIN(MAX(0,AB39-SUM(PR39:PY39)),AKZ38),MIN(MAX(0,AB39-SUM(PR39:PY39)),AKZ38-G39*MAX(0,BZ39*AKZ38-(WY39+AAL39))))),MIN(FM39,MAX(0,AB39-SUM(PR39:PY39))))</f>
        <v>0</v>
      </c>
      <c r="QA39" s="20" t="n">
        <f aca="false">IF(H_Direct=1,IF(ALA38&lt;=0,0,IF(CA39&lt;=0,MIN(MAX(0,AB39-SUM(PR39:PZ39)),ALA38),MIN(MAX(0,AB39-SUM(PR39:PZ39)),ALA38-G39*MAX(0,CA39*ALA38-(WZ39+AAM39))))),MIN(FN39,MAX(0,AB39-SUM(PR39:PZ39))))</f>
        <v>0</v>
      </c>
      <c r="QB39" s="20" t="n">
        <f aca="false">IF(H_Direct=1,IF(ALB38&lt;=0,0,IF(CB39&lt;=0,MIN(MAX(0,AB39-SUM(PR39:QA39)),ALB38),MIN(MAX(0,AB39-SUM(PR39:QA39)),ALB38-G39*MAX(0,CB39*ALB38-(XA39+AAN39))))),MIN(FO39,MAX(0,AB39-SUM(PR39:QA39))))</f>
        <v>0</v>
      </c>
      <c r="QC39" s="20" t="n">
        <f aca="false">IF(H_Direct=1,IF(ALC38&lt;=0,0,IF(CC39&lt;=0,MIN(MAX(0,AB39-SUM(PR39:QB39)),ALC38),MIN(MAX(0,AB39-SUM(PR39:QB39)),ALC38-G39*MAX(0,CC39*ALC38-(XB39+AAO39))))),MIN(FP39,MAX(0,AB39-SUM(PR39:QB39))))</f>
        <v>0</v>
      </c>
      <c r="QD39" s="20" t="n">
        <f aca="false">IF(H_Direct=1,IF(ALD38&lt;=0,0,IF(CD39&lt;=0,MIN(MAX(0,AB39-SUM(PR39:QC39)),ALD38),MIN(MAX(0,AB39-SUM(PR39:QC39)),ALD38-G39*MAX(0,CD39*ALD38-(XC39+AAP39))))),MIN(FQ39,MAX(0,AB39-SUM(PR39:QC39))))</f>
        <v>0</v>
      </c>
      <c r="QE39" s="20" t="n">
        <f aca="false">IF(H_Direct=1,IF(ALE38&lt;=0,0,IF(CE39&lt;=0,MIN(MAX(0,AB39-SUM(PR39:QD39)),ALE38),MIN(MAX(0,AB39-SUM(PR39:QD39)),ALE38-G39*MAX(0,CE39*ALE38-(XD39+AAQ39))))),MIN(FR39,MAX(0,AB39-SUM(PR39:QD39))))</f>
        <v>0</v>
      </c>
      <c r="QF39" s="20" t="n">
        <f aca="false">IF(H_Direct=1,IF(ALF38&lt;=0,0,IF(CF39&lt;=0,MIN(MAX(0,AB39-SUM(PR39:QE39)),ALF38),MIN(MAX(0,AB39-SUM(PR39:QE39)),ALF38-G39*MAX(0,CF39*ALF38-(XE39+AAR39))))),MIN(FS39,MAX(0,AB39-SUM(PR39:QE39))))</f>
        <v>0</v>
      </c>
      <c r="QG39" s="20" t="n">
        <f aca="false">IF(H_Direct=1,IF(ALG38&lt;=0,0,IF(CG39&lt;=0,MIN(MAX(0,AB39-SUM(PR39:QF39)),ALG38),MIN(MAX(0,AB39-SUM(PR39:QF39)),ALG38-G39*MAX(0,CG39*ALG38-(XF39+AAS39))))),MIN(FT39,MAX(0,AB39-SUM(PR39:QF39))))</f>
        <v>0</v>
      </c>
      <c r="QH39" s="20" t="n">
        <f aca="false">IF(H_Direct=1,IF(ALH38&lt;=0,0,IF(CH39&lt;=0,MIN(MAX(0,AB39-SUM(PR39:QG39)),ALH38),MIN(MAX(0,AB39-SUM(PR39:QG39)),ALH38-G39*MAX(0,CH39*ALH38-(XG39+AAT39))))),MIN(FU39,MAX(0,AB39-SUM(PR39:QG39))))</f>
        <v>0</v>
      </c>
      <c r="QI39" s="20" t="n">
        <f aca="false">IF(H_Direct=1,IF(ALI38&lt;=0,0,IF(CI39&lt;=0,MIN(MAX(0,AB39-SUM(PR39:QH39)),ALI38),MIN(MAX(0,AB39-SUM(PR39:QH39)),ALI38-G39*MAX(0,CI39*ALI38-(XH39+AAU39))))),MIN(FV39,MAX(0,AB39-SUM(PR39:QH39))))</f>
        <v>0</v>
      </c>
      <c r="QJ39" s="20" t="n">
        <f aca="false">IF(H_Direct=1,IF(ALJ38&lt;=0,0,IF(CJ39&lt;=0,MIN(MAX(0,AB39-SUM(PR39:QI39)),ALJ38),MIN(MAX(0,AB39-SUM(PR39:QI39)),ALJ38-G39*MAX(0,CJ39*ALJ38-(XI39+AAV39))))),MIN(FW39,MAX(0,AB39-SUM(PR39:QI39))))</f>
        <v>0</v>
      </c>
      <c r="QK39" s="20" t="n">
        <f aca="false">IF(H_Direct=1,IF(ALK38&lt;=0,0,IF(CK39&lt;=0,MIN(MAX(0,AB39-SUM(PR39:QJ39)),ALK38),MIN(MAX(0,AB39-SUM(PR39:QJ39)),ALK38-G39*MAX(0,CK39*ALK38-(XJ39+AAW39))))),MIN(FX39,MAX(0,AB39-SUM(PR39:QJ39))))</f>
        <v>0</v>
      </c>
      <c r="QL39" s="20" t="n">
        <f aca="false">IF(H_Direct=1,IF(ALL38&lt;=0,0,IF(CL39&lt;=0,MIN(MAX(0,AB39-SUM(PR39:QK39)),ALL38),MIN(MAX(0,AB39-SUM(PR39:QK39)),ALL38-G39*MAX(0,CL39*ALL38-(XK39+AAX39))))),MIN(FY39,MAX(0,AB39-SUM(PR39:QK39))))</f>
        <v>0</v>
      </c>
      <c r="QM39" s="20" t="n">
        <f aca="false">IF(H_Direct=1,IF(ALM38&lt;=0,0,IF(CM39&lt;=0,MIN(MAX(0,AB39-SUM(PR39:QL39)),ALM38),MIN(MAX(0,AB39-SUM(PR39:QL39)),ALM38-G39*MAX(0,CM39*ALM38-(XL39+AAY39))))),MIN(FZ39,MAX(0,AB39-SUM(PR39:QL39))))</f>
        <v>0</v>
      </c>
      <c r="QN39" s="20" t="n">
        <f aca="false">IF(H_Direct=1,IF(ALN38&lt;=0,0,IF(CN39&lt;=0,MIN(MAX(0,AB39-SUM(PR39:QM39)),ALN38),MIN(MAX(0,AB39-SUM(PR39:QM39)),ALN38-G39*MAX(0,CN39*ALN38-(XM39+AAZ39))))),MIN(GA39,MAX(0,AB39-SUM(PR39:QM39))))</f>
        <v>0</v>
      </c>
      <c r="QO39" s="20" t="n">
        <f aca="false">IF(H_Direct=1,IF(ALO38&lt;=0,0,IF(CO39&lt;=0,MIN(MAX(0,AB39-SUM(PR39:QN39)),ALO38),MIN(MAX(0,AB39-SUM(PR39:QN39)),ALO38-G39*MAX(0,CO39*ALO38-(XN39+ABA39))))),MIN(GB39,MAX(0,AB39-SUM(PR39:QN39))))</f>
        <v>0</v>
      </c>
      <c r="QP39" s="20" t="n">
        <f aca="false">IF(H_Direct=1,IF(ALP38&lt;=0,0,IF(CP39&lt;=0,MIN(MAX(0,AB39-SUM(PR39:QO39)),ALP38),MIN(MAX(0,AB39-SUM(PR39:QO39)),ALP38-G39*MAX(0,CP39*ALP38-(XO39+ABB39))))),MIN(GC39,MAX(0,AB39-SUM(PR39:QO39))))</f>
        <v>0</v>
      </c>
      <c r="QQ39" s="20" t="n">
        <f aca="false">IF(H_Direct=1,IF(ALQ38&lt;=0,0,IF(CQ39&lt;=0,MIN(MAX(0,AB39-SUM(PR39:QP39)),ALQ38),MIN(MAX(0,AB39-SUM(PR39:QP39)),ALQ38-G39*MAX(0,CQ39*ALQ38-(XP39+ABC39))))),MIN(GD39,MAX(0,AB39-SUM(PR39:QP39))))</f>
        <v>0</v>
      </c>
      <c r="QR39" s="20" t="n">
        <f aca="false">IF(H_Direct=1,IF(ALR38&lt;=0,0,IF(CR39&lt;=0,MIN(MAX(0,AB39-SUM(PR39:QQ39)),ALR38),MIN(MAX(0,AB39-SUM(PR39:QQ39)),ALR38-G39*MAX(0,CR39*ALR38-(XQ39+ABD39))))),MIN(GE39,MAX(0,AB39-SUM(PR39:QQ39))))</f>
        <v>0</v>
      </c>
      <c r="QS39" s="20" t="n">
        <f aca="false">IF(H_Direct=1,IF(ALS38&lt;=0,0,IF(CS39&lt;=0,MIN(MAX(0,AB39-SUM(PR39:QR39)),ALS38),MIN(MAX(0,AB39-SUM(PR39:QR39)),ALS38-G39*MAX(0,CS39*ALS38-(XR39+ABE39))))),MIN(GF39,MAX(0,AB39-SUM(PR39:QR39))))</f>
        <v>0</v>
      </c>
      <c r="QT39" s="20" t="n">
        <f aca="false">IF(H_Direct=1,IF(ALT38&lt;=0,0,IF(CT39&lt;=0,MIN(MAX(0,AB39-SUM(PR39:QS39)),ALT38),MIN(MAX(0,AB39-SUM(PR39:QS39)),ALT38-G39*MAX(0,CT39*ALT38-(XS39+ABF39))))),MIN(GG39,MAX(0,AB39-SUM(PR39:QS39))))</f>
        <v>0</v>
      </c>
      <c r="QU39" s="20" t="n">
        <f aca="false">IF(H_Direct=1,IF(ALU38&lt;=0,0,IF(CU39&lt;=0,MIN(MAX(0,AB39-SUM(PR39:QT39)),ALU38),MIN(MAX(0,AB39-SUM(PR39:QT39)),ALU38-G39*MAX(0,CU39*ALU38-(XT39+ABG39))))),MIN(GH39,MAX(0,AB39-SUM(PR39:QT39))))</f>
        <v>0</v>
      </c>
      <c r="QV39" s="20" t="n">
        <f aca="false">IF(H_Direct=1,IF(ALV38&lt;=0,0,IF(CV39&lt;=0,MIN(MAX(0,AB39-SUM(PR39:QU39)),ALV38),MIN(MAX(0,AB39-SUM(PR39:QU39)),ALV38-G39*MAX(0,CV39*ALV38-(XU39+ABH39))))),MIN(GI39,MAX(0,AB39-SUM(PR39:QU39))))</f>
        <v>0</v>
      </c>
      <c r="QW39" s="20" t="n">
        <f aca="false">IF(H_Direct=1,IF(ALW38&lt;=0,0,IF(CW39&lt;=0,MIN(MAX(0,AB39-SUM(PR39:QV39)),ALW38),MIN(MAX(0,AB39-SUM(PR39:QV39)),ALW38-G39*MAX(0,CW39*ALW38-(XV39+ABI39))))),MIN(GJ39,MAX(0,AB39-SUM(PR39:QV39))))</f>
        <v>0</v>
      </c>
      <c r="QX39" s="20" t="n">
        <f aca="false">IF(H_Direct=1,IF((P39+S39)&lt;=0,0,IF(CX39&lt;=0,MIN(MAX(0,AB39-SUM(PR39:QW39)),(P39+S39)),MIN(MAX(0,AB39-SUM(PR39:QW39)),(P39+S39)-G39*MAX(0,CX39*(P39+S39)-(XW39+ABJ39))))),MIN(GK39,MAX(0,AB39-SUM(PR39:QW39))))</f>
        <v>0</v>
      </c>
      <c r="QY39" s="20" t="n">
        <v>0</v>
      </c>
      <c r="QZ39" s="20" t="n">
        <v>0</v>
      </c>
      <c r="RA39" s="20" t="n">
        <v>0</v>
      </c>
      <c r="RB39" s="20" t="n">
        <v>0</v>
      </c>
      <c r="RC39" s="20" t="n">
        <v>0</v>
      </c>
      <c r="RD39" s="20" t="n">
        <v>0</v>
      </c>
      <c r="RE39" s="20" t="n">
        <v>0</v>
      </c>
      <c r="RF39" s="20" t="n">
        <v>0</v>
      </c>
      <c r="RG39" s="20" t="n">
        <v>0</v>
      </c>
      <c r="RH39" s="20" t="n">
        <v>0</v>
      </c>
      <c r="RI39" s="20" t="n">
        <v>0</v>
      </c>
      <c r="RJ39" s="20" t="n">
        <v>0</v>
      </c>
      <c r="RK39" s="20" t="n">
        <v>0</v>
      </c>
      <c r="RL39" s="20" t="n">
        <v>0</v>
      </c>
      <c r="RM39" s="20" t="n">
        <v>0</v>
      </c>
      <c r="RN39" s="20" t="n">
        <v>0</v>
      </c>
      <c r="RO39" s="20" t="n">
        <v>0</v>
      </c>
      <c r="RP39" s="20" t="n">
        <v>0</v>
      </c>
      <c r="RQ39" s="20" t="n">
        <v>0</v>
      </c>
      <c r="RR39" s="20" t="n">
        <v>0</v>
      </c>
      <c r="RS39" s="20" t="n">
        <v>0</v>
      </c>
      <c r="RT39" s="20" t="n">
        <v>0</v>
      </c>
      <c r="RU39" s="20" t="n">
        <v>0</v>
      </c>
      <c r="RV39" s="20" t="n">
        <v>0</v>
      </c>
      <c r="RW39" s="20" t="n">
        <v>0</v>
      </c>
      <c r="RX39" s="20" t="n">
        <v>0</v>
      </c>
      <c r="RY39" s="20" t="n">
        <v>0</v>
      </c>
      <c r="RZ39" s="20" t="n">
        <v>0</v>
      </c>
      <c r="SA39" s="20" t="n">
        <v>0</v>
      </c>
      <c r="SB39" s="20" t="n">
        <v>0</v>
      </c>
      <c r="SC39" s="20" t="n">
        <v>0</v>
      </c>
      <c r="SD39" s="20" t="n">
        <v>0</v>
      </c>
      <c r="SE39" s="20" t="n">
        <v>0</v>
      </c>
      <c r="SF39" s="20" t="n">
        <v>0</v>
      </c>
      <c r="SG39" s="20" t="n">
        <v>0</v>
      </c>
      <c r="SH39" s="20" t="n">
        <v>0</v>
      </c>
      <c r="SI39" s="20" t="n">
        <v>0</v>
      </c>
      <c r="SJ39" s="20" t="n">
        <v>0</v>
      </c>
      <c r="SK39" s="20" t="n">
        <v>0</v>
      </c>
      <c r="SL39" s="20" t="n">
        <v>0</v>
      </c>
      <c r="SM39" s="20" t="n">
        <v>0</v>
      </c>
      <c r="SN39" s="20" t="n">
        <v>0</v>
      </c>
      <c r="SO39" s="20" t="n">
        <v>0</v>
      </c>
      <c r="SP39" s="20" t="n">
        <v>0</v>
      </c>
      <c r="SQ39" s="20" t="n">
        <v>0</v>
      </c>
      <c r="SR39" s="20" t="n">
        <v>0</v>
      </c>
      <c r="SS39" s="20" t="n">
        <v>0</v>
      </c>
      <c r="ST39" s="20" t="n">
        <v>0</v>
      </c>
      <c r="SU39" s="20" t="n">
        <v>0</v>
      </c>
      <c r="SV39" s="20" t="n">
        <v>0</v>
      </c>
      <c r="SW39" s="20" t="n">
        <v>0</v>
      </c>
      <c r="SX39" s="20" t="n">
        <v>0</v>
      </c>
      <c r="SY39" s="20" t="n">
        <v>0</v>
      </c>
      <c r="SZ39" s="20" t="n">
        <v>0</v>
      </c>
      <c r="TA39" s="20" t="n">
        <v>0</v>
      </c>
      <c r="TB39" s="20" t="n">
        <v>0</v>
      </c>
      <c r="TC39" s="20" t="n">
        <v>0</v>
      </c>
      <c r="TD39" s="20" t="n">
        <v>0</v>
      </c>
      <c r="TE39" s="20" t="n">
        <f aca="false">IF(AKR38&lt;=0,0,IF(H_Direct=1,IF(BR39&lt;=0,PR39,IF(PR39&lt;=(H39+I39)/BR39,PR39,(PR39-G39*(H39+I39))/(1-G39*BR39))),PR39/(1-MAX(0,BR39)*H_Exit)))</f>
        <v>0</v>
      </c>
      <c r="TF39" s="20" t="n">
        <f aca="false">IF(AKS38&lt;=0,0,IF(H_Direct=1,IF(BS39&lt;=0,PS39,IF(PS39&lt;=(WR39+AAE39)/BS39,PS39,(PS39-G39*(WR39+AAE39))/(1-G39*BS39))),PS39/(1-MAX(0,BS39)*H_Exit)))</f>
        <v>0</v>
      </c>
      <c r="TG39" s="20" t="n">
        <f aca="false">IF(AKT38&lt;=0,0,IF(H_Direct=1,IF(BT39&lt;=0,PT39,IF(PT39&lt;=(WS39+AAF39)/BT39,PT39,(PT39-G39*(WS39+AAF39))/(1-G39*BT39))),PT39/(1-MAX(0,BT39)*H_Exit)))</f>
        <v>0</v>
      </c>
      <c r="TH39" s="20" t="n">
        <f aca="false">IF(AKU38&lt;=0,0,IF(H_Direct=1,IF(BU39&lt;=0,PU39,IF(PU39&lt;=(WT39+AAG39)/BU39,PU39,(PU39-G39*(WT39+AAG39))/(1-G39*BU39))),PU39/(1-MAX(0,BU39)*H_Exit)))</f>
        <v>0</v>
      </c>
      <c r="TI39" s="20" t="n">
        <f aca="false">IF(AKV38&lt;=0,0,IF(H_Direct=1,IF(BV39&lt;=0,PV39,IF(PV39&lt;=(WU39+AAH39)/BV39,PV39,(PV39-G39*(WU39+AAH39))/(1-G39*BV39))),PV39/(1-MAX(0,BV39)*H_Exit)))</f>
        <v>0</v>
      </c>
      <c r="TJ39" s="20" t="n">
        <f aca="false">IF(AKW38&lt;=0,0,IF(H_Direct=1,IF(BW39&lt;=0,PW39,IF(PW39&lt;=(WV39+AAI39)/BW39,PW39,(PW39-G39*(WV39+AAI39))/(1-G39*BW39))),PW39/(1-MAX(0,BW39)*H_Exit)))</f>
        <v>0</v>
      </c>
      <c r="TK39" s="20" t="n">
        <f aca="false">IF(AKX38&lt;=0,0,IF(H_Direct=1,IF(BX39&lt;=0,PX39,IF(PX39&lt;=(WW39+AAJ39)/BX39,PX39,(PX39-G39*(WW39+AAJ39))/(1-G39*BX39))),PX39/(1-MAX(0,BX39)*H_Exit)))</f>
        <v>0</v>
      </c>
      <c r="TL39" s="20" t="n">
        <f aca="false">IF(AKY38&lt;=0,0,IF(H_Direct=1,IF(BY39&lt;=0,PY39,IF(PY39&lt;=(WX39+AAK39)/BY39,PY39,(PY39-G39*(WX39+AAK39))/(1-G39*BY39))),PY39/(1-MAX(0,BY39)*H_Exit)))</f>
        <v>0</v>
      </c>
      <c r="TM39" s="20" t="n">
        <f aca="false">IF(AKZ38&lt;=0,0,IF(H_Direct=1,IF(BZ39&lt;=0,PZ39,IF(PZ39&lt;=(WY39+AAL39)/BZ39,PZ39,(PZ39-G39*(WY39+AAL39))/(1-G39*BZ39))),PZ39/(1-MAX(0,BZ39)*H_Exit)))</f>
        <v>0</v>
      </c>
      <c r="TN39" s="20" t="n">
        <f aca="false">IF(ALA38&lt;=0,0,IF(H_Direct=1,IF(CA39&lt;=0,QA39,IF(QA39&lt;=(WZ39+AAM39)/CA39,QA39,(QA39-G39*(WZ39+AAM39))/(1-G39*CA39))),QA39/(1-MAX(0,CA39)*H_Exit)))</f>
        <v>0</v>
      </c>
      <c r="TO39" s="20" t="n">
        <f aca="false">IF(ALB38&lt;=0,0,IF(H_Direct=1,IF(CB39&lt;=0,QB39,IF(QB39&lt;=(XA39+AAN39)/CB39,QB39,(QB39-G39*(XA39+AAN39))/(1-G39*CB39))),QB39/(1-MAX(0,CB39)*H_Exit)))</f>
        <v>0</v>
      </c>
      <c r="TP39" s="20" t="n">
        <f aca="false">IF(ALC38&lt;=0,0,IF(H_Direct=1,IF(CC39&lt;=0,QC39,IF(QC39&lt;=(XB39+AAO39)/CC39,QC39,(QC39-G39*(XB39+AAO39))/(1-G39*CC39))),QC39/(1-MAX(0,CC39)*H_Exit)))</f>
        <v>0</v>
      </c>
      <c r="TQ39" s="20" t="n">
        <f aca="false">IF(ALD38&lt;=0,0,IF(H_Direct=1,IF(CD39&lt;=0,QD39,IF(QD39&lt;=(XC39+AAP39)/CD39,QD39,(QD39-G39*(XC39+AAP39))/(1-G39*CD39))),QD39/(1-MAX(0,CD39)*H_Exit)))</f>
        <v>0</v>
      </c>
      <c r="TR39" s="20" t="n">
        <f aca="false">IF(ALE38&lt;=0,0,IF(H_Direct=1,IF(CE39&lt;=0,QE39,IF(QE39&lt;=(XD39+AAQ39)/CE39,QE39,(QE39-G39*(XD39+AAQ39))/(1-G39*CE39))),QE39/(1-MAX(0,CE39)*H_Exit)))</f>
        <v>0</v>
      </c>
      <c r="TS39" s="20" t="n">
        <f aca="false">IF(ALF38&lt;=0,0,IF(H_Direct=1,IF(CF39&lt;=0,QF39,IF(QF39&lt;=(XE39+AAR39)/CF39,QF39,(QF39-G39*(XE39+AAR39))/(1-G39*CF39))),QF39/(1-MAX(0,CF39)*H_Exit)))</f>
        <v>0</v>
      </c>
      <c r="TT39" s="20" t="n">
        <f aca="false">IF(ALG38&lt;=0,0,IF(H_Direct=1,IF(CG39&lt;=0,QG39,IF(QG39&lt;=(XF39+AAS39)/CG39,QG39,(QG39-G39*(XF39+AAS39))/(1-G39*CG39))),QG39/(1-MAX(0,CG39)*H_Exit)))</f>
        <v>0</v>
      </c>
      <c r="TU39" s="20" t="n">
        <f aca="false">IF(ALH38&lt;=0,0,IF(H_Direct=1,IF(CH39&lt;=0,QH39,IF(QH39&lt;=(XG39+AAT39)/CH39,QH39,(QH39-G39*(XG39+AAT39))/(1-G39*CH39))),QH39/(1-MAX(0,CH39)*H_Exit)))</f>
        <v>0</v>
      </c>
      <c r="TV39" s="20" t="n">
        <f aca="false">IF(ALI38&lt;=0,0,IF(H_Direct=1,IF(CI39&lt;=0,QI39,IF(QI39&lt;=(XH39+AAU39)/CI39,QI39,(QI39-G39*(XH39+AAU39))/(1-G39*CI39))),QI39/(1-MAX(0,CI39)*H_Exit)))</f>
        <v>0</v>
      </c>
      <c r="TW39" s="20" t="n">
        <f aca="false">IF(ALJ38&lt;=0,0,IF(H_Direct=1,IF(CJ39&lt;=0,QJ39,IF(QJ39&lt;=(XI39+AAV39)/CJ39,QJ39,(QJ39-G39*(XI39+AAV39))/(1-G39*CJ39))),QJ39/(1-MAX(0,CJ39)*H_Exit)))</f>
        <v>0</v>
      </c>
      <c r="TX39" s="20" t="n">
        <f aca="false">IF(ALK38&lt;=0,0,IF(H_Direct=1,IF(CK39&lt;=0,QK39,IF(QK39&lt;=(XJ39+AAW39)/CK39,QK39,(QK39-G39*(XJ39+AAW39))/(1-G39*CK39))),QK39/(1-MAX(0,CK39)*H_Exit)))</f>
        <v>0</v>
      </c>
      <c r="TY39" s="20" t="n">
        <f aca="false">IF(ALL38&lt;=0,0,IF(H_Direct=1,IF(CL39&lt;=0,QL39,IF(QL39&lt;=(XK39+AAX39)/CL39,QL39,(QL39-G39*(XK39+AAX39))/(1-G39*CL39))),QL39/(1-MAX(0,CL39)*H_Exit)))</f>
        <v>0</v>
      </c>
      <c r="TZ39" s="20" t="n">
        <f aca="false">IF(ALM38&lt;=0,0,IF(H_Direct=1,IF(CM39&lt;=0,QM39,IF(QM39&lt;=(XL39+AAY39)/CM39,QM39,(QM39-G39*(XL39+AAY39))/(1-G39*CM39))),QM39/(1-MAX(0,CM39)*H_Exit)))</f>
        <v>0</v>
      </c>
      <c r="UA39" s="20" t="n">
        <f aca="false">IF(ALN38&lt;=0,0,IF(H_Direct=1,IF(CN39&lt;=0,QN39,IF(QN39&lt;=(XM39+AAZ39)/CN39,QN39,(QN39-G39*(XM39+AAZ39))/(1-G39*CN39))),QN39/(1-MAX(0,CN39)*H_Exit)))</f>
        <v>0</v>
      </c>
      <c r="UB39" s="20" t="n">
        <f aca="false">IF(ALO38&lt;=0,0,IF(H_Direct=1,IF(CO39&lt;=0,QO39,IF(QO39&lt;=(XN39+ABA39)/CO39,QO39,(QO39-G39*(XN39+ABA39))/(1-G39*CO39))),QO39/(1-MAX(0,CO39)*H_Exit)))</f>
        <v>0</v>
      </c>
      <c r="UC39" s="20" t="n">
        <f aca="false">IF(ALP38&lt;=0,0,IF(H_Direct=1,IF(CP39&lt;=0,QP39,IF(QP39&lt;=(XO39+ABB39)/CP39,QP39,(QP39-G39*(XO39+ABB39))/(1-G39*CP39))),QP39/(1-MAX(0,CP39)*H_Exit)))</f>
        <v>0</v>
      </c>
      <c r="UD39" s="20" t="n">
        <f aca="false">IF(ALQ38&lt;=0,0,IF(H_Direct=1,IF(CQ39&lt;=0,QQ39,IF(QQ39&lt;=(XP39+ABC39)/CQ39,QQ39,(QQ39-G39*(XP39+ABC39))/(1-G39*CQ39))),QQ39/(1-MAX(0,CQ39)*H_Exit)))</f>
        <v>0</v>
      </c>
      <c r="UE39" s="20" t="n">
        <f aca="false">IF(ALR38&lt;=0,0,IF(H_Direct=1,IF(CR39&lt;=0,QR39,IF(QR39&lt;=(XQ39+ABD39)/CR39,QR39,(QR39-G39*(XQ39+ABD39))/(1-G39*CR39))),QR39/(1-MAX(0,CR39)*H_Exit)))</f>
        <v>0</v>
      </c>
      <c r="UF39" s="20" t="n">
        <f aca="false">IF(ALS38&lt;=0,0,IF(H_Direct=1,IF(CS39&lt;=0,QS39,IF(QS39&lt;=(XR39+ABE39)/CS39,QS39,(QS39-G39*(XR39+ABE39))/(1-G39*CS39))),QS39/(1-MAX(0,CS39)*H_Exit)))</f>
        <v>0</v>
      </c>
      <c r="UG39" s="20" t="n">
        <f aca="false">IF(ALT38&lt;=0,0,IF(H_Direct=1,IF(CT39&lt;=0,QT39,IF(QT39&lt;=(XS39+ABF39)/CT39,QT39,(QT39-G39*(XS39+ABF39))/(1-G39*CT39))),QT39/(1-MAX(0,CT39)*H_Exit)))</f>
        <v>0</v>
      </c>
      <c r="UH39" s="20" t="n">
        <f aca="false">IF(ALU38&lt;=0,0,IF(H_Direct=1,IF(CU39&lt;=0,QU39,IF(QU39&lt;=(XT39+ABG39)/CU39,QU39,(QU39-G39*(XT39+ABG39))/(1-G39*CU39))),QU39/(1-MAX(0,CU39)*H_Exit)))</f>
        <v>0</v>
      </c>
      <c r="UI39" s="20" t="n">
        <f aca="false">IF(ALV38&lt;=0,0,IF(H_Direct=1,IF(CV39&lt;=0,QV39,IF(QV39&lt;=(XU39+ABH39)/CV39,QV39,(QV39-G39*(XU39+ABH39))/(1-G39*CV39))),QV39/(1-MAX(0,CV39)*H_Exit)))</f>
        <v>0</v>
      </c>
      <c r="UJ39" s="20" t="n">
        <f aca="false">IF(ALW38&lt;=0,0,IF(H_Direct=1,IF(CW39&lt;=0,QW39,IF(QW39&lt;=(XV39+ABI39)/CW39,QW39,(QW39-G39*(XV39+ABI39))/(1-G39*CW39))),QW39/(1-MAX(0,CW39)*H_Exit)))</f>
        <v>0</v>
      </c>
      <c r="UK39" s="20" t="n">
        <f aca="false">IF((P39+S39)&lt;=0,0,IF(H_Direct=1,IF(CX39&lt;=0,QX39,IF(QX39&lt;=(XW39+ABJ39)/CX39,QX39,(QX39-G39*(XW39+ABJ39))/(1-G39*CX39))),QX39/(1-MAX(0,CX39)*H_Exit)))</f>
        <v>0</v>
      </c>
      <c r="UL39" s="20" t="n">
        <v>0</v>
      </c>
      <c r="UM39" s="20" t="n">
        <v>0</v>
      </c>
      <c r="UN39" s="20" t="n">
        <v>0</v>
      </c>
      <c r="UO39" s="20" t="n">
        <v>0</v>
      </c>
      <c r="UP39" s="20" t="n">
        <v>0</v>
      </c>
      <c r="UQ39" s="20" t="n">
        <v>0</v>
      </c>
      <c r="UR39" s="20" t="n">
        <v>0</v>
      </c>
      <c r="US39" s="20" t="n">
        <v>0</v>
      </c>
      <c r="UT39" s="20" t="n">
        <v>0</v>
      </c>
      <c r="UU39" s="20" t="n">
        <v>0</v>
      </c>
      <c r="UV39" s="20" t="n">
        <v>0</v>
      </c>
      <c r="UW39" s="20" t="n">
        <v>0</v>
      </c>
      <c r="UX39" s="20" t="n">
        <v>0</v>
      </c>
      <c r="UY39" s="20" t="n">
        <v>0</v>
      </c>
      <c r="UZ39" s="20" t="n">
        <v>0</v>
      </c>
      <c r="VA39" s="20" t="n">
        <v>0</v>
      </c>
      <c r="VB39" s="20" t="n">
        <v>0</v>
      </c>
      <c r="VC39" s="20" t="n">
        <v>0</v>
      </c>
      <c r="VD39" s="20" t="n">
        <v>0</v>
      </c>
      <c r="VE39" s="20" t="n">
        <v>0</v>
      </c>
      <c r="VF39" s="20" t="n">
        <v>0</v>
      </c>
      <c r="VG39" s="20" t="n">
        <v>0</v>
      </c>
      <c r="VH39" s="20" t="n">
        <v>0</v>
      </c>
      <c r="VI39" s="20" t="n">
        <v>0</v>
      </c>
      <c r="VJ39" s="20" t="n">
        <v>0</v>
      </c>
      <c r="VK39" s="20" t="n">
        <v>0</v>
      </c>
      <c r="VL39" s="20" t="n">
        <v>0</v>
      </c>
      <c r="VM39" s="20" t="n">
        <v>0</v>
      </c>
      <c r="VN39" s="20" t="n">
        <v>0</v>
      </c>
      <c r="VO39" s="20" t="n">
        <v>0</v>
      </c>
      <c r="VP39" s="20" t="n">
        <v>0</v>
      </c>
      <c r="VQ39" s="20" t="n">
        <v>0</v>
      </c>
      <c r="VR39" s="20" t="n">
        <v>0</v>
      </c>
      <c r="VS39" s="20" t="n">
        <v>0</v>
      </c>
      <c r="VT39" s="20" t="n">
        <v>0</v>
      </c>
      <c r="VU39" s="20" t="n">
        <v>0</v>
      </c>
      <c r="VV39" s="20" t="n">
        <v>0</v>
      </c>
      <c r="VW39" s="20" t="n">
        <v>0</v>
      </c>
      <c r="VX39" s="20" t="n">
        <v>0</v>
      </c>
      <c r="VY39" s="20" t="n">
        <v>0</v>
      </c>
      <c r="VZ39" s="20" t="n">
        <v>0</v>
      </c>
      <c r="WA39" s="20" t="n">
        <v>0</v>
      </c>
      <c r="WB39" s="20" t="n">
        <v>0</v>
      </c>
      <c r="WC39" s="20" t="n">
        <v>0</v>
      </c>
      <c r="WD39" s="20" t="n">
        <v>0</v>
      </c>
      <c r="WE39" s="20" t="n">
        <v>0</v>
      </c>
      <c r="WF39" s="20" t="n">
        <v>0</v>
      </c>
      <c r="WG39" s="20" t="n">
        <v>0</v>
      </c>
      <c r="WH39" s="20" t="n">
        <v>0</v>
      </c>
      <c r="WI39" s="20" t="n">
        <v>0</v>
      </c>
      <c r="WJ39" s="20" t="n">
        <v>0</v>
      </c>
      <c r="WK39" s="20" t="n">
        <v>0</v>
      </c>
      <c r="WL39" s="20" t="n">
        <v>0</v>
      </c>
      <c r="WM39" s="20" t="n">
        <v>0</v>
      </c>
      <c r="WN39" s="20" t="n">
        <v>0</v>
      </c>
      <c r="WO39" s="20" t="n">
        <v>0</v>
      </c>
      <c r="WP39" s="20" t="n">
        <v>0</v>
      </c>
      <c r="WQ39" s="20" t="n">
        <v>0</v>
      </c>
      <c r="WR39" s="20" t="n">
        <f aca="false">IF(AND(H_Direct=1,BR39&gt;0),MAX(0,H39-(MIN(BR39*TE39,(H39+I39))-MIN(MIN(BR39*TE39,(H39+I39)),I39))),H39)</f>
        <v>1270</v>
      </c>
      <c r="WS39" s="20" t="n">
        <f aca="false">IF(AND(H_Direct=1,BS39&gt;0),MAX(0,WR39-(MIN(BS39*TF39,(WR39+AAE39))-MIN(MIN(BS39*TF39,(WR39+AAE39)),AAE39))),WR39)</f>
        <v>1270</v>
      </c>
      <c r="WT39" s="20" t="n">
        <f aca="false">IF(AND(H_Direct=1,BT39&gt;0),MAX(0,WS39-(MIN(BT39*TG39,(WS39+AAF39))-MIN(MIN(BT39*TG39,(WS39+AAF39)),AAF39))),WS39)</f>
        <v>1270</v>
      </c>
      <c r="WU39" s="20" t="n">
        <f aca="false">IF(AND(H_Direct=1,BU39&gt;0),MAX(0,WT39-(MIN(BU39*TH39,(WT39+AAG39))-MIN(MIN(BU39*TH39,(WT39+AAG39)),AAG39))),WT39)</f>
        <v>1270</v>
      </c>
      <c r="WV39" s="20" t="n">
        <f aca="false">IF(AND(H_Direct=1,BV39&gt;0),MAX(0,WU39-(MIN(BV39*TI39,(WU39+AAH39))-MIN(MIN(BV39*TI39,(WU39+AAH39)),AAH39))),WU39)</f>
        <v>1270</v>
      </c>
      <c r="WW39" s="20" t="n">
        <f aca="false">IF(AND(H_Direct=1,BW39&gt;0),MAX(0,WV39-(MIN(BW39*TJ39,(WV39+AAI39))-MIN(MIN(BW39*TJ39,(WV39+AAI39)),AAI39))),WV39)</f>
        <v>1270</v>
      </c>
      <c r="WX39" s="20" t="n">
        <f aca="false">IF(AND(H_Direct=1,BX39&gt;0),MAX(0,WW39-(MIN(BX39*TK39,(WW39+AAJ39))-MIN(MIN(BX39*TK39,(WW39+AAJ39)),AAJ39))),WW39)</f>
        <v>1270</v>
      </c>
      <c r="WY39" s="20" t="n">
        <f aca="false">IF(AND(H_Direct=1,BY39&gt;0),MAX(0,WX39-(MIN(BY39*TL39,(WX39+AAK39))-MIN(MIN(BY39*TL39,(WX39+AAK39)),AAK39))),WX39)</f>
        <v>1270</v>
      </c>
      <c r="WZ39" s="20" t="n">
        <f aca="false">IF(AND(H_Direct=1,BZ39&gt;0),MAX(0,WY39-(MIN(BZ39*TM39,(WY39+AAL39))-MIN(MIN(BZ39*TM39,(WY39+AAL39)),AAL39))),WY39)</f>
        <v>1270</v>
      </c>
      <c r="XA39" s="20" t="n">
        <f aca="false">IF(AND(H_Direct=1,CA39&gt;0),MAX(0,WZ39-(MIN(CA39*TN39,(WZ39+AAM39))-MIN(MIN(CA39*TN39,(WZ39+AAM39)),AAM39))),WZ39)</f>
        <v>1270</v>
      </c>
      <c r="XB39" s="20" t="n">
        <f aca="false">IF(AND(H_Direct=1,CB39&gt;0),MAX(0,XA39-(MIN(CB39*TO39,(XA39+AAN39))-MIN(MIN(CB39*TO39,(XA39+AAN39)),AAN39))),XA39)</f>
        <v>1270</v>
      </c>
      <c r="XC39" s="20" t="n">
        <f aca="false">IF(AND(H_Direct=1,CC39&gt;0),MAX(0,XB39-(MIN(CC39*TP39,(XB39+AAO39))-MIN(MIN(CC39*TP39,(XB39+AAO39)),AAO39))),XB39)</f>
        <v>1270</v>
      </c>
      <c r="XD39" s="20" t="n">
        <f aca="false">IF(AND(H_Direct=1,CD39&gt;0),MAX(0,XC39-(MIN(CD39*TQ39,(XC39+AAP39))-MIN(MIN(CD39*TQ39,(XC39+AAP39)),AAP39))),XC39)</f>
        <v>1270</v>
      </c>
      <c r="XE39" s="20" t="n">
        <f aca="false">IF(AND(H_Direct=1,CE39&gt;0),MAX(0,XD39-(MIN(CE39*TR39,(XD39+AAQ39))-MIN(MIN(CE39*TR39,(XD39+AAQ39)),AAQ39))),XD39)</f>
        <v>1270</v>
      </c>
      <c r="XF39" s="20" t="n">
        <f aca="false">IF(AND(H_Direct=1,CF39&gt;0),MAX(0,XE39-(MIN(CF39*TS39,(XE39+AAR39))-MIN(MIN(CF39*TS39,(XE39+AAR39)),AAR39))),XE39)</f>
        <v>1270</v>
      </c>
      <c r="XG39" s="20" t="n">
        <f aca="false">IF(AND(H_Direct=1,CG39&gt;0),MAX(0,XF39-(MIN(CG39*TT39,(XF39+AAS39))-MIN(MIN(CG39*TT39,(XF39+AAS39)),AAS39))),XF39)</f>
        <v>1270</v>
      </c>
      <c r="XH39" s="20" t="n">
        <f aca="false">IF(AND(H_Direct=1,CH39&gt;0),MAX(0,XG39-(MIN(CH39*TU39,(XG39+AAT39))-MIN(MIN(CH39*TU39,(XG39+AAT39)),AAT39))),XG39)</f>
        <v>1270</v>
      </c>
      <c r="XI39" s="20" t="n">
        <f aca="false">IF(AND(H_Direct=1,CI39&gt;0),MAX(0,XH39-(MIN(CI39*TV39,(XH39+AAU39))-MIN(MIN(CI39*TV39,(XH39+AAU39)),AAU39))),XH39)</f>
        <v>1270</v>
      </c>
      <c r="XJ39" s="20" t="n">
        <f aca="false">IF(AND(H_Direct=1,CJ39&gt;0),MAX(0,XI39-(MIN(CJ39*TW39,(XI39+AAV39))-MIN(MIN(CJ39*TW39,(XI39+AAV39)),AAV39))),XI39)</f>
        <v>1270</v>
      </c>
      <c r="XK39" s="20" t="n">
        <f aca="false">IF(AND(H_Direct=1,CK39&gt;0),MAX(0,XJ39-(MIN(CK39*TX39,(XJ39+AAW39))-MIN(MIN(CK39*TX39,(XJ39+AAW39)),AAW39))),XJ39)</f>
        <v>1270</v>
      </c>
      <c r="XL39" s="20" t="n">
        <f aca="false">IF(AND(H_Direct=1,CL39&gt;0),MAX(0,XK39-(MIN(CL39*TY39,(XK39+AAX39))-MIN(MIN(CL39*TY39,(XK39+AAX39)),AAX39))),XK39)</f>
        <v>1270</v>
      </c>
      <c r="XM39" s="20" t="n">
        <f aca="false">IF(AND(H_Direct=1,CM39&gt;0),MAX(0,XL39-(MIN(CM39*TZ39,(XL39+AAY39))-MIN(MIN(CM39*TZ39,(XL39+AAY39)),AAY39))),XL39)</f>
        <v>1270</v>
      </c>
      <c r="XN39" s="20" t="n">
        <f aca="false">IF(AND(H_Direct=1,CN39&gt;0),MAX(0,XM39-(MIN(CN39*UA39,(XM39+AAZ39))-MIN(MIN(CN39*UA39,(XM39+AAZ39)),AAZ39))),XM39)</f>
        <v>1270</v>
      </c>
      <c r="XO39" s="20" t="n">
        <f aca="false">IF(AND(H_Direct=1,CO39&gt;0),MAX(0,XN39-(MIN(CO39*UB39,(XN39+ABA39))-MIN(MIN(CO39*UB39,(XN39+ABA39)),ABA39))),XN39)</f>
        <v>1270</v>
      </c>
      <c r="XP39" s="20" t="n">
        <f aca="false">IF(AND(H_Direct=1,CP39&gt;0),MAX(0,XO39-(MIN(CP39*UC39,(XO39+ABB39))-MIN(MIN(CP39*UC39,(XO39+ABB39)),ABB39))),XO39)</f>
        <v>1270</v>
      </c>
      <c r="XQ39" s="20" t="n">
        <f aca="false">IF(AND(H_Direct=1,CQ39&gt;0),MAX(0,XP39-(MIN(CQ39*UD39,(XP39+ABC39))-MIN(MIN(CQ39*UD39,(XP39+ABC39)),ABC39))),XP39)</f>
        <v>1270</v>
      </c>
      <c r="XR39" s="20" t="n">
        <f aca="false">IF(AND(H_Direct=1,CR39&gt;0),MAX(0,XQ39-(MIN(CR39*UE39,(XQ39+ABD39))-MIN(MIN(CR39*UE39,(XQ39+ABD39)),ABD39))),XQ39)</f>
        <v>1270</v>
      </c>
      <c r="XS39" s="20" t="n">
        <f aca="false">IF(AND(H_Direct=1,CS39&gt;0),MAX(0,XR39-(MIN(CS39*UF39,(XR39+ABE39))-MIN(MIN(CS39*UF39,(XR39+ABE39)),ABE39))),XR39)</f>
        <v>1270</v>
      </c>
      <c r="XT39" s="20" t="n">
        <f aca="false">IF(AND(H_Direct=1,CT39&gt;0),MAX(0,XS39-(MIN(CT39*UG39,(XS39+ABF39))-MIN(MIN(CT39*UG39,(XS39+ABF39)),ABF39))),XS39)</f>
        <v>1270</v>
      </c>
      <c r="XU39" s="20" t="n">
        <f aca="false">IF(AND(H_Direct=1,CU39&gt;0),MAX(0,XT39-(MIN(CU39*UH39,(XT39+ABG39))-MIN(MIN(CU39*UH39,(XT39+ABG39)),ABG39))),XT39)</f>
        <v>1270</v>
      </c>
      <c r="XV39" s="20" t="n">
        <f aca="false">IF(AND(H_Direct=1,CV39&gt;0),MAX(0,XU39-(MIN(CV39*UI39,(XU39+ABH39))-MIN(MIN(CV39*UI39,(XU39+ABH39)),ABH39))),XU39)</f>
        <v>1270</v>
      </c>
      <c r="XW39" s="20" t="n">
        <f aca="false">IF(AND(H_Direct=1,CW39&gt;0),MAX(0,XV39-(MIN(CW39*UJ39,(XV39+ABI39))-MIN(MIN(CW39*UJ39,(XV39+ABI39)),ABI39))),XV39)</f>
        <v>1270</v>
      </c>
      <c r="XX39" s="20" t="n">
        <f aca="false">IF(AND(H_Direct=1,CX39&gt;0),MAX(0,XW39-(MIN(CX39*UK39,(XW39+ABJ39))-MIN(MIN(CX39*UK39,(XW39+ABJ39)),ABJ39))),XW39)</f>
        <v>1270</v>
      </c>
      <c r="XY39" s="20" t="n">
        <f aca="false">XX39</f>
        <v>1270</v>
      </c>
      <c r="XZ39" s="20" t="n">
        <f aca="false">XY39</f>
        <v>1270</v>
      </c>
      <c r="YA39" s="20" t="n">
        <f aca="false">XZ39</f>
        <v>1270</v>
      </c>
      <c r="YB39" s="20" t="n">
        <f aca="false">YA39</f>
        <v>1270</v>
      </c>
      <c r="YC39" s="20" t="n">
        <f aca="false">YB39</f>
        <v>1270</v>
      </c>
      <c r="YD39" s="20" t="n">
        <f aca="false">YC39</f>
        <v>1270</v>
      </c>
      <c r="YE39" s="20" t="n">
        <f aca="false">YD39</f>
        <v>1270</v>
      </c>
      <c r="YF39" s="20" t="n">
        <f aca="false">YE39</f>
        <v>1270</v>
      </c>
      <c r="YG39" s="20" t="n">
        <f aca="false">YF39</f>
        <v>1270</v>
      </c>
      <c r="YH39" s="20" t="n">
        <f aca="false">YG39</f>
        <v>1270</v>
      </c>
      <c r="YI39" s="20" t="n">
        <f aca="false">YH39</f>
        <v>1270</v>
      </c>
      <c r="YJ39" s="20" t="n">
        <f aca="false">YI39</f>
        <v>1270</v>
      </c>
      <c r="YK39" s="20" t="n">
        <f aca="false">YJ39</f>
        <v>1270</v>
      </c>
      <c r="YL39" s="20" t="n">
        <f aca="false">YK39</f>
        <v>1270</v>
      </c>
      <c r="YM39" s="20" t="n">
        <f aca="false">YL39</f>
        <v>1270</v>
      </c>
      <c r="YN39" s="20" t="n">
        <f aca="false">YM39</f>
        <v>1270</v>
      </c>
      <c r="YO39" s="20" t="n">
        <f aca="false">YN39</f>
        <v>1270</v>
      </c>
      <c r="YP39" s="20" t="n">
        <f aca="false">YO39</f>
        <v>1270</v>
      </c>
      <c r="YQ39" s="20" t="n">
        <f aca="false">YP39</f>
        <v>1270</v>
      </c>
      <c r="YR39" s="20" t="n">
        <f aca="false">YQ39</f>
        <v>1270</v>
      </c>
      <c r="YS39" s="20" t="n">
        <f aca="false">YR39</f>
        <v>1270</v>
      </c>
      <c r="YT39" s="20" t="n">
        <f aca="false">YS39</f>
        <v>1270</v>
      </c>
      <c r="YU39" s="20" t="n">
        <f aca="false">YT39</f>
        <v>1270</v>
      </c>
      <c r="YV39" s="20" t="n">
        <f aca="false">YU39</f>
        <v>1270</v>
      </c>
      <c r="YW39" s="20" t="n">
        <f aca="false">YV39</f>
        <v>1270</v>
      </c>
      <c r="YX39" s="20" t="n">
        <f aca="false">YW39</f>
        <v>1270</v>
      </c>
      <c r="YY39" s="20" t="n">
        <f aca="false">YX39</f>
        <v>1270</v>
      </c>
      <c r="YZ39" s="20" t="n">
        <f aca="false">YY39</f>
        <v>1270</v>
      </c>
      <c r="ZA39" s="20" t="n">
        <f aca="false">YZ39</f>
        <v>1270</v>
      </c>
      <c r="ZB39" s="20" t="n">
        <f aca="false">ZA39</f>
        <v>1270</v>
      </c>
      <c r="ZC39" s="20" t="n">
        <f aca="false">ZB39</f>
        <v>1270</v>
      </c>
      <c r="ZD39" s="20" t="n">
        <f aca="false">ZC39</f>
        <v>1270</v>
      </c>
      <c r="ZE39" s="20" t="n">
        <f aca="false">ZD39</f>
        <v>1270</v>
      </c>
      <c r="ZF39" s="20" t="n">
        <f aca="false">ZE39</f>
        <v>1270</v>
      </c>
      <c r="ZG39" s="20" t="n">
        <f aca="false">ZF39</f>
        <v>1270</v>
      </c>
      <c r="ZH39" s="20" t="n">
        <f aca="false">ZG39</f>
        <v>1270</v>
      </c>
      <c r="ZI39" s="20" t="n">
        <f aca="false">ZH39</f>
        <v>1270</v>
      </c>
      <c r="ZJ39" s="20" t="n">
        <f aca="false">ZI39</f>
        <v>1270</v>
      </c>
      <c r="ZK39" s="20" t="n">
        <f aca="false">ZJ39</f>
        <v>1270</v>
      </c>
      <c r="ZL39" s="20" t="n">
        <f aca="false">ZK39</f>
        <v>1270</v>
      </c>
      <c r="ZM39" s="20" t="n">
        <f aca="false">ZL39</f>
        <v>1270</v>
      </c>
      <c r="ZN39" s="20" t="n">
        <f aca="false">ZM39</f>
        <v>1270</v>
      </c>
      <c r="ZO39" s="20" t="n">
        <f aca="false">ZN39</f>
        <v>1270</v>
      </c>
      <c r="ZP39" s="20" t="n">
        <f aca="false">ZO39</f>
        <v>1270</v>
      </c>
      <c r="ZQ39" s="20" t="n">
        <f aca="false">ZP39</f>
        <v>1270</v>
      </c>
      <c r="ZR39" s="20" t="n">
        <f aca="false">ZQ39</f>
        <v>1270</v>
      </c>
      <c r="ZS39" s="20" t="n">
        <f aca="false">ZR39</f>
        <v>1270</v>
      </c>
      <c r="ZT39" s="20" t="n">
        <f aca="false">ZS39</f>
        <v>1270</v>
      </c>
      <c r="ZU39" s="20" t="n">
        <f aca="false">ZT39</f>
        <v>1270</v>
      </c>
      <c r="ZV39" s="20" t="n">
        <f aca="false">ZU39</f>
        <v>1270</v>
      </c>
      <c r="ZW39" s="20" t="n">
        <f aca="false">ZV39</f>
        <v>1270</v>
      </c>
      <c r="ZX39" s="20" t="n">
        <f aca="false">ZW39</f>
        <v>1270</v>
      </c>
      <c r="ZY39" s="20" t="n">
        <f aca="false">ZX39</f>
        <v>1270</v>
      </c>
      <c r="ZZ39" s="20" t="n">
        <f aca="false">ZY39</f>
        <v>1270</v>
      </c>
      <c r="AAA39" s="20" t="n">
        <f aca="false">ZZ39</f>
        <v>1270</v>
      </c>
      <c r="AAB39" s="20" t="n">
        <f aca="false">AAA39</f>
        <v>1270</v>
      </c>
      <c r="AAC39" s="20" t="n">
        <f aca="false">AAB39</f>
        <v>1270</v>
      </c>
      <c r="AAD39" s="20" t="n">
        <f aca="false">AAC39</f>
        <v>1270</v>
      </c>
      <c r="AAE39" s="20" t="n">
        <f aca="false">IF(H_Direct=1,IF(BR39&lt;=0,I39-BR39*TE39,I39-MIN(MIN(BR39*TE39,(H39+I39)),I39)),I39)</f>
        <v>0</v>
      </c>
      <c r="AAF39" s="20" t="n">
        <f aca="false">IF(H_Direct=1,IF(BS39&lt;=0,AAE39-BS39*TF39,AAE39-MIN(MIN(BS39*TF39,(WR39+AAE39)),AAE39)),AAE39)</f>
        <v>0</v>
      </c>
      <c r="AAG39" s="20" t="n">
        <f aca="false">IF(H_Direct=1,IF(BT39&lt;=0,AAF39-BT39*TG39,AAF39-MIN(MIN(BT39*TG39,(WS39+AAF39)),AAF39)),AAF39)</f>
        <v>0</v>
      </c>
      <c r="AAH39" s="20" t="n">
        <f aca="false">IF(H_Direct=1,IF(BU39&lt;=0,AAG39-BU39*TH39,AAG39-MIN(MIN(BU39*TH39,(WT39+AAG39)),AAG39)),AAG39)</f>
        <v>0</v>
      </c>
      <c r="AAI39" s="20" t="n">
        <f aca="false">IF(H_Direct=1,IF(BV39&lt;=0,AAH39-BV39*TI39,AAH39-MIN(MIN(BV39*TI39,(WU39+AAH39)),AAH39)),AAH39)</f>
        <v>0</v>
      </c>
      <c r="AAJ39" s="20" t="n">
        <f aca="false">IF(H_Direct=1,IF(BW39&lt;=0,AAI39-BW39*TJ39,AAI39-MIN(MIN(BW39*TJ39,(WV39+AAI39)),AAI39)),AAI39)</f>
        <v>0</v>
      </c>
      <c r="AAK39" s="20" t="n">
        <f aca="false">IF(H_Direct=1,IF(BX39&lt;=0,AAJ39-BX39*TK39,AAJ39-MIN(MIN(BX39*TK39,(WW39+AAJ39)),AAJ39)),AAJ39)</f>
        <v>0</v>
      </c>
      <c r="AAL39" s="20" t="n">
        <f aca="false">IF(H_Direct=1,IF(BY39&lt;=0,AAK39-BY39*TL39,AAK39-MIN(MIN(BY39*TL39,(WX39+AAK39)),AAK39)),AAK39)</f>
        <v>0</v>
      </c>
      <c r="AAM39" s="20" t="n">
        <f aca="false">IF(H_Direct=1,IF(BZ39&lt;=0,AAL39-BZ39*TM39,AAL39-MIN(MIN(BZ39*TM39,(WY39+AAL39)),AAL39)),AAL39)</f>
        <v>0</v>
      </c>
      <c r="AAN39" s="20" t="n">
        <f aca="false">IF(H_Direct=1,IF(CA39&lt;=0,AAM39-CA39*TN39,AAM39-MIN(MIN(CA39*TN39,(WZ39+AAM39)),AAM39)),AAM39)</f>
        <v>0</v>
      </c>
      <c r="AAO39" s="20" t="n">
        <f aca="false">IF(H_Direct=1,IF(CB39&lt;=0,AAN39-CB39*TO39,AAN39-MIN(MIN(CB39*TO39,(XA39+AAN39)),AAN39)),AAN39)</f>
        <v>0</v>
      </c>
      <c r="AAP39" s="20" t="n">
        <f aca="false">IF(H_Direct=1,IF(CC39&lt;=0,AAO39-CC39*TP39,AAO39-MIN(MIN(CC39*TP39,(XB39+AAO39)),AAO39)),AAO39)</f>
        <v>0</v>
      </c>
      <c r="AAQ39" s="20" t="n">
        <f aca="false">IF(H_Direct=1,IF(CD39&lt;=0,AAP39-CD39*TQ39,AAP39-MIN(MIN(CD39*TQ39,(XC39+AAP39)),AAP39)),AAP39)</f>
        <v>0</v>
      </c>
      <c r="AAR39" s="20" t="n">
        <f aca="false">IF(H_Direct=1,IF(CE39&lt;=0,AAQ39-CE39*TR39,AAQ39-MIN(MIN(CE39*TR39,(XD39+AAQ39)),AAQ39)),AAQ39)</f>
        <v>0</v>
      </c>
      <c r="AAS39" s="20" t="n">
        <f aca="false">IF(H_Direct=1,IF(CF39&lt;=0,AAR39-CF39*TS39,AAR39-MIN(MIN(CF39*TS39,(XE39+AAR39)),AAR39)),AAR39)</f>
        <v>0</v>
      </c>
      <c r="AAT39" s="20" t="n">
        <f aca="false">IF(H_Direct=1,IF(CG39&lt;=0,AAS39-CG39*TT39,AAS39-MIN(MIN(CG39*TT39,(XF39+AAS39)),AAS39)),AAS39)</f>
        <v>0</v>
      </c>
      <c r="AAU39" s="20" t="n">
        <f aca="false">IF(H_Direct=1,IF(CH39&lt;=0,AAT39-CH39*TU39,AAT39-MIN(MIN(CH39*TU39,(XG39+AAT39)),AAT39)),AAT39)</f>
        <v>0</v>
      </c>
      <c r="AAV39" s="20" t="n">
        <f aca="false">IF(H_Direct=1,IF(CI39&lt;=0,AAU39-CI39*TV39,AAU39-MIN(MIN(CI39*TV39,(XH39+AAU39)),AAU39)),AAU39)</f>
        <v>0</v>
      </c>
      <c r="AAW39" s="20" t="n">
        <f aca="false">IF(H_Direct=1,IF(CJ39&lt;=0,AAV39-CJ39*TW39,AAV39-MIN(MIN(CJ39*TW39,(XI39+AAV39)),AAV39)),AAV39)</f>
        <v>0</v>
      </c>
      <c r="AAX39" s="20" t="n">
        <f aca="false">IF(H_Direct=1,IF(CK39&lt;=0,AAW39-CK39*TX39,AAW39-MIN(MIN(CK39*TX39,(XJ39+AAW39)),AAW39)),AAW39)</f>
        <v>0</v>
      </c>
      <c r="AAY39" s="20" t="n">
        <f aca="false">IF(H_Direct=1,IF(CL39&lt;=0,AAX39-CL39*TY39,AAX39-MIN(MIN(CL39*TY39,(XK39+AAX39)),AAX39)),AAX39)</f>
        <v>0</v>
      </c>
      <c r="AAZ39" s="20" t="n">
        <f aca="false">IF(H_Direct=1,IF(CM39&lt;=0,AAY39-CM39*TZ39,AAY39-MIN(MIN(CM39*TZ39,(XL39+AAY39)),AAY39)),AAY39)</f>
        <v>0</v>
      </c>
      <c r="ABA39" s="20" t="n">
        <f aca="false">IF(H_Direct=1,IF(CN39&lt;=0,AAZ39-CN39*UA39,AAZ39-MIN(MIN(CN39*UA39,(XM39+AAZ39)),AAZ39)),AAZ39)</f>
        <v>0</v>
      </c>
      <c r="ABB39" s="20" t="n">
        <f aca="false">IF(H_Direct=1,IF(CO39&lt;=0,ABA39-CO39*UB39,ABA39-MIN(MIN(CO39*UB39,(XN39+ABA39)),ABA39)),ABA39)</f>
        <v>0</v>
      </c>
      <c r="ABC39" s="20" t="n">
        <f aca="false">IF(H_Direct=1,IF(CP39&lt;=0,ABB39-CP39*UC39,ABB39-MIN(MIN(CP39*UC39,(XO39+ABB39)),ABB39)),ABB39)</f>
        <v>0</v>
      </c>
      <c r="ABD39" s="20" t="n">
        <f aca="false">IF(H_Direct=1,IF(CQ39&lt;=0,ABC39-CQ39*UD39,ABC39-MIN(MIN(CQ39*UD39,(XP39+ABC39)),ABC39)),ABC39)</f>
        <v>0</v>
      </c>
      <c r="ABE39" s="20" t="n">
        <f aca="false">IF(H_Direct=1,IF(CR39&lt;=0,ABD39-CR39*UE39,ABD39-MIN(MIN(CR39*UE39,(XQ39+ABD39)),ABD39)),ABD39)</f>
        <v>0</v>
      </c>
      <c r="ABF39" s="20" t="n">
        <f aca="false">IF(H_Direct=1,IF(CS39&lt;=0,ABE39-CS39*UF39,ABE39-MIN(MIN(CS39*UF39,(XR39+ABE39)),ABE39)),ABE39)</f>
        <v>0</v>
      </c>
      <c r="ABG39" s="20" t="n">
        <f aca="false">IF(H_Direct=1,IF(CT39&lt;=0,ABF39-CT39*UG39,ABF39-MIN(MIN(CT39*UG39,(XS39+ABF39)),ABF39)),ABF39)</f>
        <v>0</v>
      </c>
      <c r="ABH39" s="20" t="n">
        <f aca="false">IF(H_Direct=1,IF(CU39&lt;=0,ABG39-CU39*UH39,ABG39-MIN(MIN(CU39*UH39,(XT39+ABG39)),ABG39)),ABG39)</f>
        <v>0</v>
      </c>
      <c r="ABI39" s="20" t="n">
        <f aca="false">IF(H_Direct=1,IF(CV39&lt;=0,ABH39-CV39*UI39,ABH39-MIN(MIN(CV39*UI39,(XU39+ABH39)),ABH39)),ABH39)</f>
        <v>0</v>
      </c>
      <c r="ABJ39" s="20" t="n">
        <f aca="false">IF(H_Direct=1,IF(CW39&lt;=0,ABI39-CW39*UJ39,ABI39-MIN(MIN(CW39*UJ39,(XV39+ABI39)),ABI39)),ABI39)</f>
        <v>0</v>
      </c>
      <c r="ABK39" s="20" t="n">
        <f aca="false">IF(H_Direct=1,IF(CX39&lt;=0,ABJ39-CX39*UK39,ABJ39-MIN(MIN(CX39*UK39,(XW39+ABJ39)),ABJ39)),ABJ39)</f>
        <v>0</v>
      </c>
      <c r="ABL39" s="20" t="n">
        <f aca="false">ABK39</f>
        <v>0</v>
      </c>
      <c r="ABM39" s="20" t="n">
        <f aca="false">ABL39</f>
        <v>0</v>
      </c>
      <c r="ABN39" s="20" t="n">
        <f aca="false">ABM39</f>
        <v>0</v>
      </c>
      <c r="ABO39" s="20" t="n">
        <f aca="false">ABN39</f>
        <v>0</v>
      </c>
      <c r="ABP39" s="20" t="n">
        <f aca="false">ABO39</f>
        <v>0</v>
      </c>
      <c r="ABQ39" s="20" t="n">
        <f aca="false">ABP39</f>
        <v>0</v>
      </c>
      <c r="ABR39" s="20" t="n">
        <f aca="false">ABQ39</f>
        <v>0</v>
      </c>
      <c r="ABS39" s="20" t="n">
        <f aca="false">ABR39</f>
        <v>0</v>
      </c>
      <c r="ABT39" s="20" t="n">
        <f aca="false">ABS39</f>
        <v>0</v>
      </c>
      <c r="ABU39" s="20" t="n">
        <f aca="false">ABT39</f>
        <v>0</v>
      </c>
      <c r="ABV39" s="20" t="n">
        <f aca="false">ABU39</f>
        <v>0</v>
      </c>
      <c r="ABW39" s="20" t="n">
        <f aca="false">ABV39</f>
        <v>0</v>
      </c>
      <c r="ABX39" s="20" t="n">
        <f aca="false">ABW39</f>
        <v>0</v>
      </c>
      <c r="ABY39" s="20" t="n">
        <f aca="false">ABX39</f>
        <v>0</v>
      </c>
      <c r="ABZ39" s="20" t="n">
        <f aca="false">ABY39</f>
        <v>0</v>
      </c>
      <c r="ACA39" s="20" t="n">
        <f aca="false">ABZ39</f>
        <v>0</v>
      </c>
      <c r="ACB39" s="20" t="n">
        <f aca="false">ACA39</f>
        <v>0</v>
      </c>
      <c r="ACC39" s="20" t="n">
        <f aca="false">ACB39</f>
        <v>0</v>
      </c>
      <c r="ACD39" s="20" t="n">
        <f aca="false">ACC39</f>
        <v>0</v>
      </c>
      <c r="ACE39" s="20" t="n">
        <f aca="false">ACD39</f>
        <v>0</v>
      </c>
      <c r="ACF39" s="20" t="n">
        <f aca="false">ACE39</f>
        <v>0</v>
      </c>
      <c r="ACG39" s="20" t="n">
        <f aca="false">ACF39</f>
        <v>0</v>
      </c>
      <c r="ACH39" s="20" t="n">
        <f aca="false">ACG39</f>
        <v>0</v>
      </c>
      <c r="ACI39" s="20" t="n">
        <f aca="false">ACH39</f>
        <v>0</v>
      </c>
      <c r="ACJ39" s="20" t="n">
        <f aca="false">ACI39</f>
        <v>0</v>
      </c>
      <c r="ACK39" s="20" t="n">
        <f aca="false">ACJ39</f>
        <v>0</v>
      </c>
      <c r="ACL39" s="20" t="n">
        <f aca="false">ACK39</f>
        <v>0</v>
      </c>
      <c r="ACM39" s="20" t="n">
        <f aca="false">ACL39</f>
        <v>0</v>
      </c>
      <c r="ACN39" s="20" t="n">
        <f aca="false">ACM39</f>
        <v>0</v>
      </c>
      <c r="ACO39" s="20" t="n">
        <f aca="false">ACN39</f>
        <v>0</v>
      </c>
      <c r="ACP39" s="20" t="n">
        <f aca="false">ACO39</f>
        <v>0</v>
      </c>
      <c r="ACQ39" s="20" t="n">
        <f aca="false">ACP39</f>
        <v>0</v>
      </c>
      <c r="ACR39" s="20" t="n">
        <f aca="false">ACQ39</f>
        <v>0</v>
      </c>
      <c r="ACS39" s="20" t="n">
        <f aca="false">ACR39</f>
        <v>0</v>
      </c>
      <c r="ACT39" s="20" t="n">
        <f aca="false">ACS39</f>
        <v>0</v>
      </c>
      <c r="ACU39" s="20" t="n">
        <f aca="false">ACT39</f>
        <v>0</v>
      </c>
      <c r="ACV39" s="20" t="n">
        <f aca="false">ACU39</f>
        <v>0</v>
      </c>
      <c r="ACW39" s="20" t="n">
        <f aca="false">ACV39</f>
        <v>0</v>
      </c>
      <c r="ACX39" s="20" t="n">
        <f aca="false">ACW39</f>
        <v>0</v>
      </c>
      <c r="ACY39" s="20" t="n">
        <f aca="false">ACX39</f>
        <v>0</v>
      </c>
      <c r="ACZ39" s="20" t="n">
        <f aca="false">ACY39</f>
        <v>0</v>
      </c>
      <c r="ADA39" s="20" t="n">
        <f aca="false">ACZ39</f>
        <v>0</v>
      </c>
      <c r="ADB39" s="20" t="n">
        <f aca="false">ADA39</f>
        <v>0</v>
      </c>
      <c r="ADC39" s="20" t="n">
        <f aca="false">ADB39</f>
        <v>0</v>
      </c>
      <c r="ADD39" s="20" t="n">
        <f aca="false">ADC39</f>
        <v>0</v>
      </c>
      <c r="ADE39" s="20" t="n">
        <f aca="false">ADD39</f>
        <v>0</v>
      </c>
      <c r="ADF39" s="20" t="n">
        <f aca="false">ADE39</f>
        <v>0</v>
      </c>
      <c r="ADG39" s="20" t="n">
        <f aca="false">ADF39</f>
        <v>0</v>
      </c>
      <c r="ADH39" s="20" t="n">
        <f aca="false">ADG39</f>
        <v>0</v>
      </c>
      <c r="ADI39" s="20" t="n">
        <f aca="false">ADH39</f>
        <v>0</v>
      </c>
      <c r="ADJ39" s="20" t="n">
        <f aca="false">ADI39</f>
        <v>0</v>
      </c>
      <c r="ADK39" s="20" t="n">
        <f aca="false">ADJ39</f>
        <v>0</v>
      </c>
      <c r="ADL39" s="20" t="n">
        <f aca="false">ADK39</f>
        <v>0</v>
      </c>
      <c r="ADM39" s="20" t="n">
        <f aca="false">ADL39</f>
        <v>0</v>
      </c>
      <c r="ADN39" s="20" t="n">
        <f aca="false">ADM39</f>
        <v>0</v>
      </c>
      <c r="ADO39" s="20" t="n">
        <f aca="false">ADN39</f>
        <v>0</v>
      </c>
      <c r="ADP39" s="20" t="n">
        <f aca="false">ADO39</f>
        <v>0</v>
      </c>
      <c r="ADQ39" s="20" t="n">
        <f aca="false">ADP39</f>
        <v>0</v>
      </c>
      <c r="ADR39" s="20" t="n">
        <f aca="false">(AKR38-TE39+0)*(1+BQ39)</f>
        <v>0</v>
      </c>
      <c r="ADS39" s="20" t="n">
        <f aca="false">(AKS38-TF39+0)*(1+BQ39)</f>
        <v>0</v>
      </c>
      <c r="ADT39" s="20" t="n">
        <f aca="false">(AKT38-TG39+0)*(1+BQ39)</f>
        <v>0</v>
      </c>
      <c r="ADU39" s="20" t="n">
        <f aca="false">(AKU38-TH39+0)*(1+BQ39)</f>
        <v>0</v>
      </c>
      <c r="ADV39" s="20" t="n">
        <f aca="false">(AKV38-TI39+0)*(1+BQ39)</f>
        <v>0</v>
      </c>
      <c r="ADW39" s="20" t="n">
        <f aca="false">(AKW38-TJ39+0)*(1+BQ39)</f>
        <v>0</v>
      </c>
      <c r="ADX39" s="20" t="n">
        <f aca="false">(AKX38-TK39+0)*(1+BQ39)</f>
        <v>0</v>
      </c>
      <c r="ADY39" s="20" t="n">
        <f aca="false">(AKY38-TL39+0)*(1+BQ39)</f>
        <v>0</v>
      </c>
      <c r="ADZ39" s="20" t="n">
        <f aca="false">(AKZ38-TM39+0)*(1+BQ39)</f>
        <v>0</v>
      </c>
      <c r="AEA39" s="20" t="n">
        <f aca="false">(ALA38-TN39+0)*(1+BQ39)</f>
        <v>0</v>
      </c>
      <c r="AEB39" s="20" t="n">
        <f aca="false">(ALB38-TO39+0)*(1+BQ39)</f>
        <v>0</v>
      </c>
      <c r="AEC39" s="20" t="n">
        <f aca="false">(ALC38-TP39+0)*(1+BQ39)</f>
        <v>1043.97513395562</v>
      </c>
      <c r="AED39" s="20" t="n">
        <f aca="false">(ALD38-TQ39+0)*(1+BQ39)</f>
        <v>1313.28749821237</v>
      </c>
      <c r="AEE39" s="20" t="n">
        <f aca="false">(ALE38-TR39+0)*(1+BQ39)</f>
        <v>1571.63808344</v>
      </c>
      <c r="AEF39" s="20" t="n">
        <f aca="false">(ALF38-TS39+0)*(1+BQ39)</f>
        <v>1767.31533361742</v>
      </c>
      <c r="AEG39" s="20" t="n">
        <f aca="false">(ALG38-TT39+0)*(1+BQ39)</f>
        <v>1699.64157543263</v>
      </c>
      <c r="AEH39" s="20" t="n">
        <f aca="false">(ALH38-TU39+0)*(1+BQ39)</f>
        <v>1633.59314841338</v>
      </c>
      <c r="AEI39" s="20" t="n">
        <f aca="false">(ALI38-TV39+0)*(1+BQ39)</f>
        <v>1748.02453024434</v>
      </c>
      <c r="AEJ39" s="20" t="n">
        <f aca="false">(ALJ38-TW39+0)*(1+BQ39)</f>
        <v>5432.8438968654</v>
      </c>
      <c r="AEK39" s="20" t="n">
        <f aca="false">(ALK38-TX39+0)*(1+BQ39)</f>
        <v>5328.36612961798</v>
      </c>
      <c r="AEL39" s="20" t="n">
        <f aca="false">(ALL38-TY39+0)*(1+BQ39)</f>
        <v>5225.89755020226</v>
      </c>
      <c r="AEM39" s="20" t="n">
        <f aca="false">(ALM38-TZ39+0)*(1+BQ39)</f>
        <v>5125.39952039067</v>
      </c>
      <c r="AEN39" s="20" t="n">
        <f aca="false">(ALN38-UA39+0)*(1+BQ39)</f>
        <v>5026.83414499855</v>
      </c>
      <c r="AEO39" s="20" t="n">
        <f aca="false">(ALO38-UB39+0)*(1+BQ39)</f>
        <v>4930.16425759472</v>
      </c>
      <c r="AEP39" s="20" t="n">
        <f aca="false">(ALP38-UC39+0)*(1+BQ39)</f>
        <v>4835.35340648714</v>
      </c>
      <c r="AEQ39" s="20" t="n">
        <f aca="false">(ALQ38-UD39+0)*(1+BQ39)</f>
        <v>5283.01785396188</v>
      </c>
      <c r="AER39" s="20" t="n">
        <f aca="false">(ALR38-UE39+0)*(1+BQ39)</f>
        <v>78382.2126164016</v>
      </c>
      <c r="AES39" s="20" t="n">
        <f aca="false">(ALS38-UF39+0)*(1+BQ39)</f>
        <v>0</v>
      </c>
      <c r="AET39" s="20" t="n">
        <f aca="false">(ALT38-UG39+0)*(1+BQ39)</f>
        <v>0</v>
      </c>
      <c r="AEU39" s="20" t="n">
        <f aca="false">(ALU38-UH39+0)*(1+BQ39)</f>
        <v>2023.22089250461</v>
      </c>
      <c r="AEV39" s="20" t="n">
        <f aca="false">(ALV38-UI39+0)*(1+BQ39)</f>
        <v>0</v>
      </c>
      <c r="AEW39" s="20" t="n">
        <f aca="false">(ALW38-UJ39+0)*(1+BQ39)</f>
        <v>0</v>
      </c>
      <c r="AEX39" s="20" t="n">
        <f aca="false">((P39+S39)-UK39+BE39)*(1+BQ39)</f>
        <v>0</v>
      </c>
      <c r="AEY39" s="20" t="n">
        <v>0</v>
      </c>
      <c r="AEZ39" s="20" t="n">
        <v>0</v>
      </c>
      <c r="AFA39" s="20" t="n">
        <v>0</v>
      </c>
      <c r="AFB39" s="20" t="n">
        <v>0</v>
      </c>
      <c r="AFC39" s="20" t="n">
        <v>0</v>
      </c>
      <c r="AFD39" s="20" t="n">
        <v>0</v>
      </c>
      <c r="AFE39" s="20" t="n">
        <v>0</v>
      </c>
      <c r="AFF39" s="20" t="n">
        <v>0</v>
      </c>
      <c r="AFG39" s="20" t="n">
        <v>0</v>
      </c>
      <c r="AFH39" s="20" t="n">
        <v>0</v>
      </c>
      <c r="AFI39" s="20" t="n">
        <v>0</v>
      </c>
      <c r="AFJ39" s="20" t="n">
        <v>0</v>
      </c>
      <c r="AFK39" s="20" t="n">
        <v>0</v>
      </c>
      <c r="AFL39" s="20" t="n">
        <v>0</v>
      </c>
      <c r="AFM39" s="20" t="n">
        <v>0</v>
      </c>
      <c r="AFN39" s="20" t="n">
        <v>0</v>
      </c>
      <c r="AFO39" s="20" t="n">
        <v>0</v>
      </c>
      <c r="AFP39" s="20" t="n">
        <v>0</v>
      </c>
      <c r="AFQ39" s="20" t="n">
        <v>0</v>
      </c>
      <c r="AFR39" s="20" t="n">
        <v>0</v>
      </c>
      <c r="AFS39" s="20" t="n">
        <v>0</v>
      </c>
      <c r="AFT39" s="20" t="n">
        <v>0</v>
      </c>
      <c r="AFU39" s="20" t="n">
        <v>0</v>
      </c>
      <c r="AFV39" s="20" t="n">
        <v>0</v>
      </c>
      <c r="AFW39" s="20" t="n">
        <v>0</v>
      </c>
      <c r="AFX39" s="20" t="n">
        <v>0</v>
      </c>
      <c r="AFY39" s="20" t="n">
        <v>0</v>
      </c>
      <c r="AFZ39" s="20" t="n">
        <v>0</v>
      </c>
      <c r="AGA39" s="20" t="n">
        <v>0</v>
      </c>
      <c r="AGB39" s="20" t="n">
        <v>0</v>
      </c>
      <c r="AGC39" s="20" t="n">
        <v>0</v>
      </c>
      <c r="AGD39" s="20" t="n">
        <v>0</v>
      </c>
      <c r="AGE39" s="20" t="n">
        <v>0</v>
      </c>
      <c r="AGF39" s="20" t="n">
        <v>0</v>
      </c>
      <c r="AGG39" s="20" t="n">
        <v>0</v>
      </c>
      <c r="AGH39" s="20" t="n">
        <v>0</v>
      </c>
      <c r="AGI39" s="20" t="n">
        <v>0</v>
      </c>
      <c r="AGJ39" s="20" t="n">
        <v>0</v>
      </c>
      <c r="AGK39" s="20" t="n">
        <v>0</v>
      </c>
      <c r="AGL39" s="20" t="n">
        <v>0</v>
      </c>
      <c r="AGM39" s="20" t="n">
        <v>0</v>
      </c>
      <c r="AGN39" s="20" t="n">
        <v>0</v>
      </c>
      <c r="AGO39" s="20" t="n">
        <v>0</v>
      </c>
      <c r="AGP39" s="20" t="n">
        <v>0</v>
      </c>
      <c r="AGQ39" s="20" t="n">
        <v>0</v>
      </c>
      <c r="AGR39" s="20" t="n">
        <v>0</v>
      </c>
      <c r="AGS39" s="20" t="n">
        <v>0</v>
      </c>
      <c r="AGT39" s="20" t="n">
        <v>0</v>
      </c>
      <c r="AGU39" s="20" t="n">
        <v>0</v>
      </c>
      <c r="AGV39" s="20" t="n">
        <v>0</v>
      </c>
      <c r="AGW39" s="20" t="n">
        <v>0</v>
      </c>
      <c r="AGX39" s="20" t="n">
        <v>0</v>
      </c>
      <c r="AGY39" s="20" t="n">
        <v>0</v>
      </c>
      <c r="AGZ39" s="20" t="n">
        <v>0</v>
      </c>
      <c r="AHA39" s="20" t="n">
        <v>0</v>
      </c>
      <c r="AHB39" s="20" t="n">
        <v>0</v>
      </c>
      <c r="AHC39" s="20" t="n">
        <v>0</v>
      </c>
      <c r="AHD39" s="20" t="n">
        <v>0</v>
      </c>
      <c r="AHE39" s="20" t="n">
        <f aca="false">IF(AKR38&gt;0,AOE38-AOE38*TE39/AKR38,0)+0</f>
        <v>0</v>
      </c>
      <c r="AHF39" s="20" t="n">
        <f aca="false">IF(AKS38&gt;0,AOF38-AOF38*TF39/AKS38,0)+0</f>
        <v>0</v>
      </c>
      <c r="AHG39" s="20" t="n">
        <f aca="false">IF(AKT38&gt;0,AOG38-AOG38*TG39/AKT38,0)+0</f>
        <v>0</v>
      </c>
      <c r="AHH39" s="20" t="n">
        <f aca="false">IF(AKU38&gt;0,AOH38-AOH38*TH39/AKU38,0)+0</f>
        <v>0</v>
      </c>
      <c r="AHI39" s="20" t="n">
        <f aca="false">IF(AKV38&gt;0,AOI38-AOI38*TI39/AKV38,0)+0</f>
        <v>0</v>
      </c>
      <c r="AHJ39" s="20" t="n">
        <f aca="false">IF(AKW38&gt;0,AOJ38-AOJ38*TJ39/AKW38,0)+0</f>
        <v>0</v>
      </c>
      <c r="AHK39" s="20" t="n">
        <f aca="false">IF(AKX38&gt;0,AOK38-AOK38*TK39/AKX38,0)+0</f>
        <v>0</v>
      </c>
      <c r="AHL39" s="20" t="n">
        <f aca="false">IF(AKY38&gt;0,AOL38-AOL38*TL39/AKY38,0)+0</f>
        <v>0</v>
      </c>
      <c r="AHM39" s="20" t="n">
        <f aca="false">IF(AKZ38&gt;0,AOM38-AOM38*TM39/AKZ38,0)+0</f>
        <v>0</v>
      </c>
      <c r="AHN39" s="20" t="n">
        <f aca="false">IF(ALA38&gt;0,AON38-AON38*TN39/ALA38,0)+0</f>
        <v>0</v>
      </c>
      <c r="AHO39" s="20" t="n">
        <f aca="false">IF(ALB38&gt;0,AOO38-AOO38*TO39/ALB38,0)+0</f>
        <v>0</v>
      </c>
      <c r="AHP39" s="20" t="n">
        <f aca="false">IF(ALC38&gt;0,AOP38-AOP38*TP39/ALC38,0)+0</f>
        <v>825.068712866201</v>
      </c>
      <c r="AHQ39" s="20" t="n">
        <f aca="false">IF(ALD38&gt;0,AOQ38-AOQ38*TQ39/ALD38,0)+0</f>
        <v>1079.42659374892</v>
      </c>
      <c r="AHR39" s="20" t="n">
        <f aca="false">IF(ALE38&gt;0,AOR38-AOR38*TR39/ALE38,0)+0</f>
        <v>1343.44282050643</v>
      </c>
      <c r="AHS39" s="20" t="n">
        <f aca="false">IF(ALF38&gt;0,AOS38-AOS38*TS39/ALF38,0)+0</f>
        <v>1571.13689620916</v>
      </c>
      <c r="AHT39" s="20" t="n">
        <f aca="false">IF(ALG38&gt;0,AOT38-AOT38*TT39/ALG38,0)+0</f>
        <v>1571.41417846952</v>
      </c>
      <c r="AHU39" s="20" t="n">
        <f aca="false">IF(ALH38&gt;0,AOU38-AOU38*TU39/ALH38,0)+0</f>
        <v>1570.76264270518</v>
      </c>
      <c r="AHV39" s="20" t="n">
        <f aca="false">IF(ALI38&gt;0,AOV38-AOV38*TV39/ALI38,0)+0</f>
        <v>1277.26440235273</v>
      </c>
      <c r="AHW39" s="20" t="n">
        <f aca="false">IF(ALJ38&gt;0,AOW38-AOW38*TW39/ALJ38,0)+0</f>
        <v>4128.51485357413</v>
      </c>
      <c r="AHX39" s="20" t="n">
        <f aca="false">IF(ALK38&gt;0,AOX38-AOX38*TX39/ALK38,0)+0</f>
        <v>4211.08515064561</v>
      </c>
      <c r="AHY39" s="20" t="n">
        <f aca="false">IF(ALL38&gt;0,AOY38-AOY38*TY39/ALL38,0)+0</f>
        <v>4295.30685365853</v>
      </c>
      <c r="AHZ39" s="20" t="n">
        <f aca="false">IF(ALM38&gt;0,AOZ38-AOZ38*TZ39/ALM38,0)+0</f>
        <v>4381.21299073169</v>
      </c>
      <c r="AIA39" s="20" t="n">
        <f aca="false">IF(ALN38&gt;0,APA38-APA38*UA39/ALN38,0)+0</f>
        <v>4468.83725054633</v>
      </c>
      <c r="AIB39" s="20" t="n">
        <f aca="false">IF(ALO38&gt;0,APB38-APB38*UB39/ALO38,0)+0</f>
        <v>4558.21399555725</v>
      </c>
      <c r="AIC39" s="20" t="n">
        <f aca="false">IF(ALP38&gt;0,APC38-APC38*UC39/ALP38,0)+0</f>
        <v>4649.3782754684</v>
      </c>
      <c r="AID39" s="20" t="n">
        <f aca="false">IF(ALQ38&gt;0,APD38-APD38*UD39/ALQ38,0)+0</f>
        <v>3860.24939874054</v>
      </c>
      <c r="AIE39" s="20" t="n">
        <f aca="false">IF(ALR38&gt;0,APE38-APE38*UE39/ALR38,0)+0</f>
        <v>59564.0396053951</v>
      </c>
      <c r="AIF39" s="20" t="n">
        <f aca="false">IF(ALS38&gt;0,APF38-APF38*UF39/ALS38,0)+0</f>
        <v>0</v>
      </c>
      <c r="AIG39" s="20" t="n">
        <f aca="false">IF(ALT38&gt;0,APG38-APG38*UG39/ALT38,0)+0</f>
        <v>0</v>
      </c>
      <c r="AIH39" s="20" t="n">
        <f aca="false">IF(ALU38&gt;0,APH38-APH38*UH39/ALU38,0)+0</f>
        <v>1729.45769829184</v>
      </c>
      <c r="AII39" s="20" t="n">
        <f aca="false">IF(ALV38&gt;0,API38-API38*UI39/ALV38,0)+0</f>
        <v>0</v>
      </c>
      <c r="AIJ39" s="20" t="n">
        <f aca="false">IF(ALW38&gt;0,APJ38-APJ38*UJ39/ALW38,0)+0</f>
        <v>0</v>
      </c>
      <c r="AIK39" s="20" t="n">
        <f aca="false">IF((P39+S39)&gt;0,(P39+S39)-(P39+S39)*UK39/(P39+S39),0)+BE39</f>
        <v>0</v>
      </c>
      <c r="AIL39" s="20" t="n">
        <v>0</v>
      </c>
      <c r="AIM39" s="20" t="n">
        <v>0</v>
      </c>
      <c r="AIN39" s="20" t="n">
        <v>0</v>
      </c>
      <c r="AIO39" s="20" t="n">
        <v>0</v>
      </c>
      <c r="AIP39" s="20" t="n">
        <v>0</v>
      </c>
      <c r="AIQ39" s="20" t="n">
        <v>0</v>
      </c>
      <c r="AIR39" s="20" t="n">
        <v>0</v>
      </c>
      <c r="AIS39" s="20" t="n">
        <v>0</v>
      </c>
      <c r="AIT39" s="20" t="n">
        <v>0</v>
      </c>
      <c r="AIU39" s="20" t="n">
        <v>0</v>
      </c>
      <c r="AIV39" s="20" t="n">
        <v>0</v>
      </c>
      <c r="AIW39" s="20" t="n">
        <v>0</v>
      </c>
      <c r="AIX39" s="20" t="n">
        <v>0</v>
      </c>
      <c r="AIY39" s="20" t="n">
        <v>0</v>
      </c>
      <c r="AIZ39" s="20" t="n">
        <v>0</v>
      </c>
      <c r="AJA39" s="20" t="n">
        <v>0</v>
      </c>
      <c r="AJB39" s="20" t="n">
        <v>0</v>
      </c>
      <c r="AJC39" s="20" t="n">
        <v>0</v>
      </c>
      <c r="AJD39" s="20" t="n">
        <v>0</v>
      </c>
      <c r="AJE39" s="20" t="n">
        <v>0</v>
      </c>
      <c r="AJF39" s="20" t="n">
        <v>0</v>
      </c>
      <c r="AJG39" s="20" t="n">
        <v>0</v>
      </c>
      <c r="AJH39" s="20" t="n">
        <v>0</v>
      </c>
      <c r="AJI39" s="20" t="n">
        <v>0</v>
      </c>
      <c r="AJJ39" s="20" t="n">
        <v>0</v>
      </c>
      <c r="AJK39" s="20" t="n">
        <v>0</v>
      </c>
      <c r="AJL39" s="20" t="n">
        <v>0</v>
      </c>
      <c r="AJM39" s="20" t="n">
        <v>0</v>
      </c>
      <c r="AJN39" s="20" t="n">
        <v>0</v>
      </c>
      <c r="AJO39" s="20" t="n">
        <v>0</v>
      </c>
      <c r="AJP39" s="20" t="n">
        <v>0</v>
      </c>
      <c r="AJQ39" s="20" t="n">
        <v>0</v>
      </c>
      <c r="AJR39" s="20" t="n">
        <v>0</v>
      </c>
      <c r="AJS39" s="20" t="n">
        <v>0</v>
      </c>
      <c r="AJT39" s="20" t="n">
        <v>0</v>
      </c>
      <c r="AJU39" s="20" t="n">
        <v>0</v>
      </c>
      <c r="AJV39" s="20" t="n">
        <v>0</v>
      </c>
      <c r="AJW39" s="20" t="n">
        <v>0</v>
      </c>
      <c r="AJX39" s="20" t="n">
        <v>0</v>
      </c>
      <c r="AJY39" s="20" t="n">
        <v>0</v>
      </c>
      <c r="AJZ39" s="20" t="n">
        <v>0</v>
      </c>
      <c r="AKA39" s="20" t="n">
        <v>0</v>
      </c>
      <c r="AKB39" s="20" t="n">
        <v>0</v>
      </c>
      <c r="AKC39" s="20" t="n">
        <v>0</v>
      </c>
      <c r="AKD39" s="20" t="n">
        <v>0</v>
      </c>
      <c r="AKE39" s="20" t="n">
        <v>0</v>
      </c>
      <c r="AKF39" s="20" t="n">
        <v>0</v>
      </c>
      <c r="AKG39" s="20" t="n">
        <v>0</v>
      </c>
      <c r="AKH39" s="20" t="n">
        <v>0</v>
      </c>
      <c r="AKI39" s="20" t="n">
        <v>0</v>
      </c>
      <c r="AKJ39" s="20" t="n">
        <v>0</v>
      </c>
      <c r="AKK39" s="20" t="n">
        <v>0</v>
      </c>
      <c r="AKL39" s="20" t="n">
        <v>0</v>
      </c>
      <c r="AKM39" s="20" t="n">
        <v>0</v>
      </c>
      <c r="AKN39" s="20" t="n">
        <v>0</v>
      </c>
      <c r="AKO39" s="20" t="n">
        <v>0</v>
      </c>
      <c r="AKP39" s="20" t="n">
        <v>0</v>
      </c>
      <c r="AKQ39" s="20" t="n">
        <v>0</v>
      </c>
      <c r="AKR39" s="20" t="n">
        <f aca="false">ADR39-AVE39</f>
        <v>0</v>
      </c>
      <c r="AKS39" s="20" t="n">
        <f aca="false">ADS39-AVF39</f>
        <v>0</v>
      </c>
      <c r="AKT39" s="20" t="n">
        <f aca="false">ADT39-AVG39</f>
        <v>0</v>
      </c>
      <c r="AKU39" s="20" t="n">
        <f aca="false">ADU39-AVH39</f>
        <v>0</v>
      </c>
      <c r="AKV39" s="20" t="n">
        <f aca="false">ADV39-AVI39</f>
        <v>0</v>
      </c>
      <c r="AKW39" s="20" t="n">
        <f aca="false">ADW39-AVJ39</f>
        <v>0</v>
      </c>
      <c r="AKX39" s="20" t="n">
        <f aca="false">ADX39-AVK39</f>
        <v>0</v>
      </c>
      <c r="AKY39" s="20" t="n">
        <f aca="false">ADY39-AVL39</f>
        <v>0</v>
      </c>
      <c r="AKZ39" s="20" t="n">
        <f aca="false">ADZ39-AVM39</f>
        <v>0</v>
      </c>
      <c r="ALA39" s="20" t="n">
        <f aca="false">AEA39-AVN39</f>
        <v>0</v>
      </c>
      <c r="ALB39" s="20" t="n">
        <f aca="false">AEB39-AVO39</f>
        <v>0</v>
      </c>
      <c r="ALC39" s="20" t="n">
        <f aca="false">AEC39-AVP39</f>
        <v>1043.97513395562</v>
      </c>
      <c r="ALD39" s="20" t="n">
        <f aca="false">AED39-AVQ39</f>
        <v>1313.28749821237</v>
      </c>
      <c r="ALE39" s="20" t="n">
        <f aca="false">AEE39-AVR39</f>
        <v>1571.63808344</v>
      </c>
      <c r="ALF39" s="20" t="n">
        <f aca="false">AEF39-AVS39</f>
        <v>1767.31533361742</v>
      </c>
      <c r="ALG39" s="20" t="n">
        <f aca="false">AEG39-AVT39</f>
        <v>1699.64157543263</v>
      </c>
      <c r="ALH39" s="20" t="n">
        <f aca="false">AEH39-AVU39</f>
        <v>1633.59314841338</v>
      </c>
      <c r="ALI39" s="20" t="n">
        <f aca="false">AEI39-AVV39</f>
        <v>1569.13568164553</v>
      </c>
      <c r="ALJ39" s="20" t="n">
        <f aca="false">AEJ39-AVW39</f>
        <v>5432.8438968654</v>
      </c>
      <c r="ALK39" s="20" t="n">
        <f aca="false">AEK39-AVX39</f>
        <v>5328.36612961798</v>
      </c>
      <c r="ALL39" s="20" t="n">
        <f aca="false">AEL39-AVY39</f>
        <v>5225.89755020226</v>
      </c>
      <c r="ALM39" s="20" t="n">
        <f aca="false">AEM39-AVZ39</f>
        <v>5125.39952039067</v>
      </c>
      <c r="ALN39" s="20" t="n">
        <f aca="false">AEN39-AWA39</f>
        <v>5026.83414499855</v>
      </c>
      <c r="ALO39" s="20" t="n">
        <f aca="false">AEO39-AWB39</f>
        <v>4930.16425759472</v>
      </c>
      <c r="ALP39" s="20" t="n">
        <f aca="false">AEP39-AWC39</f>
        <v>4835.35340648714</v>
      </c>
      <c r="ALQ39" s="20" t="n">
        <f aca="false">AEQ39-AWD39</f>
        <v>4742.36584097777</v>
      </c>
      <c r="ALR39" s="20" t="n">
        <f aca="false">AER39-AWE39</f>
        <v>78382.2126164016</v>
      </c>
      <c r="ALS39" s="20" t="n">
        <f aca="false">AES39-AWF39</f>
        <v>0</v>
      </c>
      <c r="ALT39" s="20" t="n">
        <f aca="false">AET39-AWG39</f>
        <v>0</v>
      </c>
      <c r="ALU39" s="20" t="n">
        <f aca="false">AEU39-AWH39</f>
        <v>2023.22089250461</v>
      </c>
      <c r="ALV39" s="20" t="n">
        <f aca="false">AEV39-AWI39</f>
        <v>0</v>
      </c>
      <c r="ALW39" s="20" t="n">
        <f aca="false">AEW39-AWJ39</f>
        <v>0</v>
      </c>
      <c r="ALX39" s="20" t="n">
        <f aca="false">AEX39-AWK39</f>
        <v>0</v>
      </c>
      <c r="ALY39" s="20" t="n">
        <v>0</v>
      </c>
      <c r="ALZ39" s="20" t="n">
        <v>0</v>
      </c>
      <c r="AMA39" s="20" t="n">
        <v>0</v>
      </c>
      <c r="AMB39" s="20" t="n">
        <v>0</v>
      </c>
      <c r="AMC39" s="20" t="n">
        <v>0</v>
      </c>
      <c r="AMD39" s="20" t="n">
        <v>0</v>
      </c>
      <c r="AME39" s="20" t="n">
        <v>0</v>
      </c>
      <c r="AMF39" s="20" t="n">
        <v>0</v>
      </c>
      <c r="AMG39" s="20" t="n">
        <v>0</v>
      </c>
      <c r="AMH39" s="20" t="n">
        <v>0</v>
      </c>
      <c r="AMI39" s="20" t="n">
        <v>0</v>
      </c>
      <c r="AMJ39" s="20" t="n">
        <v>0</v>
      </c>
      <c r="AMK39" s="20" t="n">
        <v>0</v>
      </c>
      <c r="AML39" s="20" t="n">
        <v>0</v>
      </c>
      <c r="AMM39" s="20" t="n">
        <v>0</v>
      </c>
      <c r="AMN39" s="20" t="n">
        <v>0</v>
      </c>
      <c r="AMO39" s="20" t="n">
        <v>0</v>
      </c>
      <c r="AMP39" s="20" t="n">
        <v>0</v>
      </c>
      <c r="AMQ39" s="20" t="n">
        <v>0</v>
      </c>
      <c r="AMR39" s="20" t="n">
        <v>0</v>
      </c>
      <c r="AMS39" s="20" t="n">
        <v>0</v>
      </c>
      <c r="AMT39" s="20" t="n">
        <v>0</v>
      </c>
      <c r="AMU39" s="20" t="n">
        <v>0</v>
      </c>
      <c r="AMV39" s="20" t="n">
        <v>0</v>
      </c>
      <c r="AMW39" s="20" t="n">
        <v>0</v>
      </c>
      <c r="AMX39" s="20" t="n">
        <v>0</v>
      </c>
      <c r="AMY39" s="20" t="n">
        <v>0</v>
      </c>
      <c r="AMZ39" s="20" t="n">
        <v>0</v>
      </c>
      <c r="ANA39" s="20" t="n">
        <v>0</v>
      </c>
      <c r="ANB39" s="20" t="n">
        <v>0</v>
      </c>
      <c r="ANC39" s="20" t="n">
        <v>0</v>
      </c>
      <c r="AND39" s="20" t="n">
        <v>0</v>
      </c>
      <c r="ANE39" s="20" t="n">
        <v>0</v>
      </c>
      <c r="ANF39" s="20" t="n">
        <v>0</v>
      </c>
      <c r="ANG39" s="20" t="n">
        <v>0</v>
      </c>
      <c r="ANH39" s="20" t="n">
        <v>0</v>
      </c>
      <c r="ANI39" s="20" t="n">
        <v>0</v>
      </c>
      <c r="ANJ39" s="20" t="n">
        <v>0</v>
      </c>
      <c r="ANK39" s="20" t="n">
        <v>0</v>
      </c>
      <c r="ANL39" s="20" t="n">
        <v>0</v>
      </c>
      <c r="ANM39" s="20" t="n">
        <v>0</v>
      </c>
      <c r="ANN39" s="20" t="n">
        <v>0</v>
      </c>
      <c r="ANO39" s="20" t="n">
        <v>0</v>
      </c>
      <c r="ANP39" s="20" t="n">
        <v>0</v>
      </c>
      <c r="ANQ39" s="20" t="n">
        <v>0</v>
      </c>
      <c r="ANR39" s="20" t="n">
        <v>0</v>
      </c>
      <c r="ANS39" s="20" t="n">
        <v>0</v>
      </c>
      <c r="ANT39" s="20" t="n">
        <v>0</v>
      </c>
      <c r="ANU39" s="20" t="n">
        <v>0</v>
      </c>
      <c r="ANV39" s="20" t="n">
        <v>0</v>
      </c>
      <c r="ANW39" s="20" t="n">
        <v>0</v>
      </c>
      <c r="ANX39" s="20" t="n">
        <v>0</v>
      </c>
      <c r="ANY39" s="20" t="n">
        <v>0</v>
      </c>
      <c r="ANZ39" s="20" t="n">
        <v>0</v>
      </c>
      <c r="AOA39" s="20" t="n">
        <v>0</v>
      </c>
      <c r="AOB39" s="20" t="n">
        <v>0</v>
      </c>
      <c r="AOC39" s="20" t="n">
        <v>0</v>
      </c>
      <c r="AOD39" s="20" t="n">
        <v>0</v>
      </c>
      <c r="AOE39" s="20" t="n">
        <f aca="false">IF(AND(H_Direct=0,H_TaxEvt=1,ARR38+1&gt;=H_Deemed),AKR39,AHE39)</f>
        <v>0</v>
      </c>
      <c r="AOF39" s="20" t="n">
        <f aca="false">IF(AND(H_Direct=0,H_TaxEvt=1,ARS38+1&gt;=H_Deemed),AKS39,AHF39)</f>
        <v>0</v>
      </c>
      <c r="AOG39" s="20" t="n">
        <f aca="false">IF(AND(H_Direct=0,H_TaxEvt=1,ART38+1&gt;=H_Deemed),AKT39,AHG39)</f>
        <v>0</v>
      </c>
      <c r="AOH39" s="20" t="n">
        <f aca="false">IF(AND(H_Direct=0,H_TaxEvt=1,ARU38+1&gt;=H_Deemed),AKU39,AHH39)</f>
        <v>0</v>
      </c>
      <c r="AOI39" s="20" t="n">
        <f aca="false">IF(AND(H_Direct=0,H_TaxEvt=1,ARV38+1&gt;=H_Deemed),AKV39,AHI39)</f>
        <v>0</v>
      </c>
      <c r="AOJ39" s="20" t="n">
        <f aca="false">IF(AND(H_Direct=0,H_TaxEvt=1,ARW38+1&gt;=H_Deemed),AKW39,AHJ39)</f>
        <v>0</v>
      </c>
      <c r="AOK39" s="20" t="n">
        <f aca="false">IF(AND(H_Direct=0,H_TaxEvt=1,ARX38+1&gt;=H_Deemed),AKX39,AHK39)</f>
        <v>0</v>
      </c>
      <c r="AOL39" s="20" t="n">
        <f aca="false">IF(AND(H_Direct=0,H_TaxEvt=1,ARY38+1&gt;=H_Deemed),AKY39,AHL39)</f>
        <v>0</v>
      </c>
      <c r="AOM39" s="20" t="n">
        <f aca="false">IF(AND(H_Direct=0,H_TaxEvt=1,ARZ38+1&gt;=H_Deemed),AKZ39,AHM39)</f>
        <v>0</v>
      </c>
      <c r="AON39" s="20" t="n">
        <f aca="false">IF(AND(H_Direct=0,H_TaxEvt=1,ASA38+1&gt;=H_Deemed),ALA39,AHN39)</f>
        <v>0</v>
      </c>
      <c r="AOO39" s="20" t="n">
        <f aca="false">IF(AND(H_Direct=0,H_TaxEvt=1,ASB38+1&gt;=H_Deemed),ALB39,AHO39)</f>
        <v>0</v>
      </c>
      <c r="AOP39" s="20" t="n">
        <f aca="false">IF(AND(H_Direct=0,H_TaxEvt=1,ASC38+1&gt;=H_Deemed),ALC39,AHP39)</f>
        <v>825.068712866201</v>
      </c>
      <c r="AOQ39" s="20" t="n">
        <f aca="false">IF(AND(H_Direct=0,H_TaxEvt=1,ASD38+1&gt;=H_Deemed),ALD39,AHQ39)</f>
        <v>1079.42659374892</v>
      </c>
      <c r="AOR39" s="20" t="n">
        <f aca="false">IF(AND(H_Direct=0,H_TaxEvt=1,ASE38+1&gt;=H_Deemed),ALE39,AHR39)</f>
        <v>1343.44282050643</v>
      </c>
      <c r="AOS39" s="20" t="n">
        <f aca="false">IF(AND(H_Direct=0,H_TaxEvt=1,ASF38+1&gt;=H_Deemed),ALF39,AHS39)</f>
        <v>1571.13689620916</v>
      </c>
      <c r="AOT39" s="20" t="n">
        <f aca="false">IF(AND(H_Direct=0,H_TaxEvt=1,ASG38+1&gt;=H_Deemed),ALG39,AHT39)</f>
        <v>1571.41417846952</v>
      </c>
      <c r="AOU39" s="20" t="n">
        <f aca="false">IF(AND(H_Direct=0,H_TaxEvt=1,ASH38+1&gt;=H_Deemed),ALH39,AHU39)</f>
        <v>1570.76264270518</v>
      </c>
      <c r="AOV39" s="20" t="n">
        <f aca="false">IF(AND(H_Direct=0,H_TaxEvt=1,ASI38+1&gt;=H_Deemed),ALI39,AHV39)</f>
        <v>1569.13568164553</v>
      </c>
      <c r="AOW39" s="20" t="n">
        <f aca="false">IF(AND(H_Direct=0,H_TaxEvt=1,ASJ38+1&gt;=H_Deemed),ALJ39,AHW39)</f>
        <v>4128.51485357413</v>
      </c>
      <c r="AOX39" s="20" t="n">
        <f aca="false">IF(AND(H_Direct=0,H_TaxEvt=1,ASK38+1&gt;=H_Deemed),ALK39,AHX39)</f>
        <v>4211.08515064561</v>
      </c>
      <c r="AOY39" s="20" t="n">
        <f aca="false">IF(AND(H_Direct=0,H_TaxEvt=1,ASL38+1&gt;=H_Deemed),ALL39,AHY39)</f>
        <v>4295.30685365853</v>
      </c>
      <c r="AOZ39" s="20" t="n">
        <f aca="false">IF(AND(H_Direct=0,H_TaxEvt=1,ASM38+1&gt;=H_Deemed),ALM39,AHZ39)</f>
        <v>4381.21299073169</v>
      </c>
      <c r="APA39" s="20" t="n">
        <f aca="false">IF(AND(H_Direct=0,H_TaxEvt=1,ASN38+1&gt;=H_Deemed),ALN39,AIA39)</f>
        <v>4468.83725054633</v>
      </c>
      <c r="APB39" s="20" t="n">
        <f aca="false">IF(AND(H_Direct=0,H_TaxEvt=1,ASO38+1&gt;=H_Deemed),ALO39,AIB39)</f>
        <v>4558.21399555725</v>
      </c>
      <c r="APC39" s="20" t="n">
        <f aca="false">IF(AND(H_Direct=0,H_TaxEvt=1,ASP38+1&gt;=H_Deemed),ALP39,AIC39)</f>
        <v>4649.3782754684</v>
      </c>
      <c r="APD39" s="20" t="n">
        <f aca="false">IF(AND(H_Direct=0,H_TaxEvt=1,ASQ38+1&gt;=H_Deemed),ALQ39,AID39)</f>
        <v>4742.36584097777</v>
      </c>
      <c r="APE39" s="20" t="n">
        <f aca="false">IF(AND(H_Direct=0,H_TaxEvt=1,ASR38+1&gt;=H_Deemed),ALR39,AIE39)</f>
        <v>59564.0396053951</v>
      </c>
      <c r="APF39" s="20" t="n">
        <f aca="false">IF(AND(H_Direct=0,H_TaxEvt=1,ASS38+1&gt;=H_Deemed),ALS39,AIF39)</f>
        <v>0</v>
      </c>
      <c r="APG39" s="20" t="n">
        <f aca="false">IF(AND(H_Direct=0,H_TaxEvt=1,AST38+1&gt;=H_Deemed),ALT39,AIG39)</f>
        <v>0</v>
      </c>
      <c r="APH39" s="20" t="n">
        <f aca="false">IF(AND(H_Direct=0,H_TaxEvt=1,ASU38+1&gt;=H_Deemed),ALU39,AIH39)</f>
        <v>1729.45769829184</v>
      </c>
      <c r="API39" s="20" t="n">
        <f aca="false">IF(AND(H_Direct=0,H_TaxEvt=1,ASV38+1&gt;=H_Deemed),ALV39,AII39)</f>
        <v>0</v>
      </c>
      <c r="APJ39" s="20" t="n">
        <f aca="false">IF(AND(H_Direct=0,H_TaxEvt=1,ASW38+1&gt;=H_Deemed),ALW39,AIJ39)</f>
        <v>0</v>
      </c>
      <c r="APK39" s="20" t="n">
        <f aca="false">IF(AND(H_Direct=0,H_TaxEvt=1,0+1&gt;=H_Deemed),ALX39,AIK39)</f>
        <v>0</v>
      </c>
      <c r="APL39" s="20" t="n">
        <v>0</v>
      </c>
      <c r="APM39" s="20" t="n">
        <v>0</v>
      </c>
      <c r="APN39" s="20" t="n">
        <v>0</v>
      </c>
      <c r="APO39" s="20" t="n">
        <v>0</v>
      </c>
      <c r="APP39" s="20" t="n">
        <v>0</v>
      </c>
      <c r="APQ39" s="20" t="n">
        <v>0</v>
      </c>
      <c r="APR39" s="20" t="n">
        <v>0</v>
      </c>
      <c r="APS39" s="20" t="n">
        <v>0</v>
      </c>
      <c r="APT39" s="20" t="n">
        <v>0</v>
      </c>
      <c r="APU39" s="20" t="n">
        <v>0</v>
      </c>
      <c r="APV39" s="20" t="n">
        <v>0</v>
      </c>
      <c r="APW39" s="20" t="n">
        <v>0</v>
      </c>
      <c r="APX39" s="20" t="n">
        <v>0</v>
      </c>
      <c r="APY39" s="20" t="n">
        <v>0</v>
      </c>
      <c r="APZ39" s="20" t="n">
        <v>0</v>
      </c>
      <c r="AQA39" s="20" t="n">
        <v>0</v>
      </c>
      <c r="AQB39" s="20" t="n">
        <v>0</v>
      </c>
      <c r="AQC39" s="20" t="n">
        <v>0</v>
      </c>
      <c r="AQD39" s="20" t="n">
        <v>0</v>
      </c>
      <c r="AQE39" s="20" t="n">
        <v>0</v>
      </c>
      <c r="AQF39" s="20" t="n">
        <v>0</v>
      </c>
      <c r="AQG39" s="20" t="n">
        <v>0</v>
      </c>
      <c r="AQH39" s="20" t="n">
        <v>0</v>
      </c>
      <c r="AQI39" s="20" t="n">
        <v>0</v>
      </c>
      <c r="AQJ39" s="20" t="n">
        <v>0</v>
      </c>
      <c r="AQK39" s="20" t="n">
        <v>0</v>
      </c>
      <c r="AQL39" s="20" t="n">
        <v>0</v>
      </c>
      <c r="AQM39" s="20" t="n">
        <v>0</v>
      </c>
      <c r="AQN39" s="20" t="n">
        <v>0</v>
      </c>
      <c r="AQO39" s="20" t="n">
        <v>0</v>
      </c>
      <c r="AQP39" s="20" t="n">
        <v>0</v>
      </c>
      <c r="AQQ39" s="20" t="n">
        <v>0</v>
      </c>
      <c r="AQR39" s="20" t="n">
        <v>0</v>
      </c>
      <c r="AQS39" s="20" t="n">
        <v>0</v>
      </c>
      <c r="AQT39" s="20" t="n">
        <v>0</v>
      </c>
      <c r="AQU39" s="20" t="n">
        <v>0</v>
      </c>
      <c r="AQV39" s="20" t="n">
        <v>0</v>
      </c>
      <c r="AQW39" s="20" t="n">
        <v>0</v>
      </c>
      <c r="AQX39" s="20" t="n">
        <v>0</v>
      </c>
      <c r="AQY39" s="20" t="n">
        <v>0</v>
      </c>
      <c r="AQZ39" s="20" t="n">
        <v>0</v>
      </c>
      <c r="ARA39" s="20" t="n">
        <v>0</v>
      </c>
      <c r="ARB39" s="20" t="n">
        <v>0</v>
      </c>
      <c r="ARC39" s="20" t="n">
        <v>0</v>
      </c>
      <c r="ARD39" s="20" t="n">
        <v>0</v>
      </c>
      <c r="ARE39" s="20" t="n">
        <v>0</v>
      </c>
      <c r="ARF39" s="20" t="n">
        <v>0</v>
      </c>
      <c r="ARG39" s="20" t="n">
        <v>0</v>
      </c>
      <c r="ARH39" s="20" t="n">
        <v>0</v>
      </c>
      <c r="ARI39" s="20" t="n">
        <v>0</v>
      </c>
      <c r="ARJ39" s="20" t="n">
        <v>0</v>
      </c>
      <c r="ARK39" s="20" t="n">
        <v>0</v>
      </c>
      <c r="ARL39" s="20" t="n">
        <v>0</v>
      </c>
      <c r="ARM39" s="20" t="n">
        <v>0</v>
      </c>
      <c r="ARN39" s="20" t="n">
        <v>0</v>
      </c>
      <c r="ARO39" s="20" t="n">
        <v>0</v>
      </c>
      <c r="ARP39" s="20" t="n">
        <v>0</v>
      </c>
      <c r="ARQ39" s="20" t="n">
        <v>0</v>
      </c>
      <c r="ARR39" s="20" t="n">
        <f aca="false">IF(AND(H_Direct=0,H_TaxEvt=1),IF(ARR38+1&gt;=H_Deemed,0,ARR38+1),ARR38)</f>
        <v>0</v>
      </c>
      <c r="ARS39" s="20" t="n">
        <f aca="false">IF(AND(H_Direct=0,H_TaxEvt=1),IF(ARS38+1&gt;=H_Deemed,0,ARS38+1),ARS38)</f>
        <v>0</v>
      </c>
      <c r="ART39" s="20" t="n">
        <f aca="false">IF(AND(H_Direct=0,H_TaxEvt=1),IF(ART38+1&gt;=H_Deemed,0,ART38+1),ART38)</f>
        <v>7</v>
      </c>
      <c r="ARU39" s="20" t="n">
        <f aca="false">IF(AND(H_Direct=0,H_TaxEvt=1),IF(ARU38+1&gt;=H_Deemed,0,ARU38+1),ARU38)</f>
        <v>6</v>
      </c>
      <c r="ARV39" s="20" t="n">
        <f aca="false">IF(AND(H_Direct=0,H_TaxEvt=1),IF(ARV38+1&gt;=H_Deemed,0,ARV38+1),ARV38)</f>
        <v>5</v>
      </c>
      <c r="ARW39" s="20" t="n">
        <f aca="false">IF(AND(H_Direct=0,H_TaxEvt=1),IF(ARW38+1&gt;=H_Deemed,0,ARW38+1),ARW38)</f>
        <v>4</v>
      </c>
      <c r="ARX39" s="20" t="n">
        <f aca="false">IF(AND(H_Direct=0,H_TaxEvt=1),IF(ARX38+1&gt;=H_Deemed,0,ARX38+1),ARX38)</f>
        <v>3</v>
      </c>
      <c r="ARY39" s="20" t="n">
        <f aca="false">IF(AND(H_Direct=0,H_TaxEvt=1),IF(ARY38+1&gt;=H_Deemed,0,ARY38+1),ARY38)</f>
        <v>2</v>
      </c>
      <c r="ARZ39" s="20" t="n">
        <f aca="false">IF(AND(H_Direct=0,H_TaxEvt=1),IF(ARZ38+1&gt;=H_Deemed,0,ARZ38+1),ARZ38)</f>
        <v>1</v>
      </c>
      <c r="ASA39" s="20" t="n">
        <f aca="false">IF(AND(H_Direct=0,H_TaxEvt=1),IF(ASA38+1&gt;=H_Deemed,0,ASA38+1),ASA38)</f>
        <v>0</v>
      </c>
      <c r="ASB39" s="20" t="n">
        <f aca="false">IF(AND(H_Direct=0,H_TaxEvt=1),IF(ASB38+1&gt;=H_Deemed,0,ASB38+1),ASB38)</f>
        <v>7</v>
      </c>
      <c r="ASC39" s="20" t="n">
        <f aca="false">IF(AND(H_Direct=0,H_TaxEvt=1),IF(ASC38+1&gt;=H_Deemed,0,ASC38+1),ASC38)</f>
        <v>6</v>
      </c>
      <c r="ASD39" s="20" t="n">
        <f aca="false">IF(AND(H_Direct=0,H_TaxEvt=1),IF(ASD38+1&gt;=H_Deemed,0,ASD38+1),ASD38)</f>
        <v>5</v>
      </c>
      <c r="ASE39" s="20" t="n">
        <f aca="false">IF(AND(H_Direct=0,H_TaxEvt=1),IF(ASE38+1&gt;=H_Deemed,0,ASE38+1),ASE38)</f>
        <v>4</v>
      </c>
      <c r="ASF39" s="20" t="n">
        <f aca="false">IF(AND(H_Direct=0,H_TaxEvt=1),IF(ASF38+1&gt;=H_Deemed,0,ASF38+1),ASF38)</f>
        <v>3</v>
      </c>
      <c r="ASG39" s="20" t="n">
        <f aca="false">IF(AND(H_Direct=0,H_TaxEvt=1),IF(ASG38+1&gt;=H_Deemed,0,ASG38+1),ASG38)</f>
        <v>2</v>
      </c>
      <c r="ASH39" s="20" t="n">
        <f aca="false">IF(AND(H_Direct=0,H_TaxEvt=1),IF(ASH38+1&gt;=H_Deemed,0,ASH38+1),ASH38)</f>
        <v>1</v>
      </c>
      <c r="ASI39" s="20" t="n">
        <f aca="false">IF(AND(H_Direct=0,H_TaxEvt=1),IF(ASI38+1&gt;=H_Deemed,0,ASI38+1),ASI38)</f>
        <v>0</v>
      </c>
      <c r="ASJ39" s="20" t="n">
        <f aca="false">IF(AND(H_Direct=0,H_TaxEvt=1),IF(ASJ38+1&gt;=H_Deemed,0,ASJ38+1),ASJ38)</f>
        <v>7</v>
      </c>
      <c r="ASK39" s="20" t="n">
        <f aca="false">IF(AND(H_Direct=0,H_TaxEvt=1),IF(ASK38+1&gt;=H_Deemed,0,ASK38+1),ASK38)</f>
        <v>6</v>
      </c>
      <c r="ASL39" s="20" t="n">
        <f aca="false">IF(AND(H_Direct=0,H_TaxEvt=1),IF(ASL38+1&gt;=H_Deemed,0,ASL38+1),ASL38)</f>
        <v>5</v>
      </c>
      <c r="ASM39" s="20" t="n">
        <f aca="false">IF(AND(H_Direct=0,H_TaxEvt=1),IF(ASM38+1&gt;=H_Deemed,0,ASM38+1),ASM38)</f>
        <v>4</v>
      </c>
      <c r="ASN39" s="20" t="n">
        <f aca="false">IF(AND(H_Direct=0,H_TaxEvt=1),IF(ASN38+1&gt;=H_Deemed,0,ASN38+1),ASN38)</f>
        <v>3</v>
      </c>
      <c r="ASO39" s="20" t="n">
        <f aca="false">IF(AND(H_Direct=0,H_TaxEvt=1),IF(ASO38+1&gt;=H_Deemed,0,ASO38+1),ASO38)</f>
        <v>2</v>
      </c>
      <c r="ASP39" s="20" t="n">
        <f aca="false">IF(AND(H_Direct=0,H_TaxEvt=1),IF(ASP38+1&gt;=H_Deemed,0,ASP38+1),ASP38)</f>
        <v>1</v>
      </c>
      <c r="ASQ39" s="20" t="n">
        <f aca="false">IF(AND(H_Direct=0,H_TaxEvt=1),IF(ASQ38+1&gt;=H_Deemed,0,ASQ38+1),ASQ38)</f>
        <v>0</v>
      </c>
      <c r="ASR39" s="20" t="n">
        <f aca="false">IF(AND(H_Direct=0,H_TaxEvt=1),IF(ASR38+1&gt;=H_Deemed,0,ASR38+1),ASR38)</f>
        <v>7</v>
      </c>
      <c r="ASS39" s="20" t="n">
        <f aca="false">IF(AND(H_Direct=0,H_TaxEvt=1),IF(ASS38+1&gt;=H_Deemed,0,ASS38+1),ASS38)</f>
        <v>6</v>
      </c>
      <c r="AST39" s="20" t="n">
        <f aca="false">IF(AND(H_Direct=0,H_TaxEvt=1),IF(AST38+1&gt;=H_Deemed,0,AST38+1),AST38)</f>
        <v>5</v>
      </c>
      <c r="ASU39" s="20" t="n">
        <f aca="false">IF(AND(H_Direct=0,H_TaxEvt=1),IF(ASU38+1&gt;=H_Deemed,0,ASU38+1),ASU38)</f>
        <v>4</v>
      </c>
      <c r="ASV39" s="20" t="n">
        <f aca="false">IF(AND(H_Direct=0,H_TaxEvt=1),IF(ASV38+1&gt;=H_Deemed,0,ASV38+1),ASV38)</f>
        <v>3</v>
      </c>
      <c r="ASW39" s="20" t="n">
        <f aca="false">IF(AND(H_Direct=0,H_TaxEvt=1),IF(ASW38+1&gt;=H_Deemed,0,ASW38+1),ASW38)</f>
        <v>2</v>
      </c>
      <c r="ASX39" s="20" t="n">
        <f aca="false">IF(AND(H_Direct=0,H_TaxEvt=1),IF(0+1&gt;=H_Deemed,0,0+1),0)</f>
        <v>1</v>
      </c>
      <c r="ASY39" s="20" t="n">
        <v>0</v>
      </c>
      <c r="ASZ39" s="20" t="n">
        <v>0</v>
      </c>
      <c r="ATA39" s="20" t="n">
        <v>0</v>
      </c>
      <c r="ATB39" s="20" t="n">
        <v>0</v>
      </c>
      <c r="ATC39" s="20" t="n">
        <v>0</v>
      </c>
      <c r="ATD39" s="20" t="n">
        <v>0</v>
      </c>
      <c r="ATE39" s="20" t="n">
        <v>0</v>
      </c>
      <c r="ATF39" s="20" t="n">
        <v>0</v>
      </c>
      <c r="ATG39" s="20" t="n">
        <v>0</v>
      </c>
      <c r="ATH39" s="20" t="n">
        <v>0</v>
      </c>
      <c r="ATI39" s="20" t="n">
        <v>0</v>
      </c>
      <c r="ATJ39" s="20" t="n">
        <v>0</v>
      </c>
      <c r="ATK39" s="20" t="n">
        <v>0</v>
      </c>
      <c r="ATL39" s="20" t="n">
        <v>0</v>
      </c>
      <c r="ATM39" s="20" t="n">
        <v>0</v>
      </c>
      <c r="ATN39" s="20" t="n">
        <v>0</v>
      </c>
      <c r="ATO39" s="20" t="n">
        <v>0</v>
      </c>
      <c r="ATP39" s="20" t="n">
        <v>0</v>
      </c>
      <c r="ATQ39" s="20" t="n">
        <v>0</v>
      </c>
      <c r="ATR39" s="20" t="n">
        <v>0</v>
      </c>
      <c r="ATS39" s="20" t="n">
        <v>0</v>
      </c>
      <c r="ATT39" s="20" t="n">
        <v>0</v>
      </c>
      <c r="ATU39" s="20" t="n">
        <v>0</v>
      </c>
      <c r="ATV39" s="20" t="n">
        <v>0</v>
      </c>
      <c r="ATW39" s="20" t="n">
        <v>0</v>
      </c>
      <c r="ATX39" s="20" t="n">
        <v>0</v>
      </c>
      <c r="ATY39" s="20" t="n">
        <v>0</v>
      </c>
      <c r="ATZ39" s="20" t="n">
        <v>0</v>
      </c>
      <c r="AUA39" s="20" t="n">
        <v>0</v>
      </c>
      <c r="AUB39" s="20" t="n">
        <v>0</v>
      </c>
      <c r="AUC39" s="20" t="n">
        <v>0</v>
      </c>
      <c r="AUD39" s="20" t="n">
        <v>0</v>
      </c>
      <c r="AUE39" s="20" t="n">
        <v>0</v>
      </c>
      <c r="AUF39" s="20" t="n">
        <v>0</v>
      </c>
      <c r="AUG39" s="20" t="n">
        <v>0</v>
      </c>
      <c r="AUH39" s="20" t="n">
        <v>0</v>
      </c>
      <c r="AUI39" s="20" t="n">
        <v>0</v>
      </c>
      <c r="AUJ39" s="20" t="n">
        <v>0</v>
      </c>
      <c r="AUK39" s="20" t="n">
        <v>0</v>
      </c>
      <c r="AUL39" s="20" t="n">
        <v>0</v>
      </c>
      <c r="AUM39" s="20" t="n">
        <v>0</v>
      </c>
      <c r="AUN39" s="20" t="n">
        <v>0</v>
      </c>
      <c r="AUO39" s="20" t="n">
        <v>0</v>
      </c>
      <c r="AUP39" s="20" t="n">
        <v>0</v>
      </c>
      <c r="AUQ39" s="20" t="n">
        <v>0</v>
      </c>
      <c r="AUR39" s="20" t="n">
        <v>0</v>
      </c>
      <c r="AUS39" s="20" t="n">
        <v>0</v>
      </c>
      <c r="AUT39" s="20" t="n">
        <v>0</v>
      </c>
      <c r="AUU39" s="20" t="n">
        <v>0</v>
      </c>
      <c r="AUV39" s="20" t="n">
        <v>0</v>
      </c>
      <c r="AUW39" s="20" t="n">
        <v>0</v>
      </c>
      <c r="AUX39" s="20" t="n">
        <v>0</v>
      </c>
      <c r="AUY39" s="20" t="n">
        <v>0</v>
      </c>
      <c r="AUZ39" s="20" t="n">
        <v>0</v>
      </c>
      <c r="AVA39" s="20" t="n">
        <v>0</v>
      </c>
      <c r="AVB39" s="20" t="n">
        <v>0</v>
      </c>
      <c r="AVC39" s="20" t="n">
        <v>0</v>
      </c>
      <c r="AVD39" s="20" t="n">
        <v>0</v>
      </c>
      <c r="AVE39" s="20" t="n">
        <f aca="false">IF(AND(H_Direct=0,H_TaxEvt=1,ARR38+1&gt;=H_Deemed),MAX(0,ADR39-AHE39)*H_Exit,0)</f>
        <v>0</v>
      </c>
      <c r="AVF39" s="20" t="n">
        <f aca="false">IF(AND(H_Direct=0,H_TaxEvt=1,ARS38+1&gt;=H_Deemed),MAX(0,ADS39-AHF39)*H_Exit,0)</f>
        <v>0</v>
      </c>
      <c r="AVG39" s="20" t="n">
        <f aca="false">IF(AND(H_Direct=0,H_TaxEvt=1,ART38+1&gt;=H_Deemed),MAX(0,ADT39-AHG39)*H_Exit,0)</f>
        <v>0</v>
      </c>
      <c r="AVH39" s="20" t="n">
        <f aca="false">IF(AND(H_Direct=0,H_TaxEvt=1,ARU38+1&gt;=H_Deemed),MAX(0,ADU39-AHH39)*H_Exit,0)</f>
        <v>0</v>
      </c>
      <c r="AVI39" s="20" t="n">
        <f aca="false">IF(AND(H_Direct=0,H_TaxEvt=1,ARV38+1&gt;=H_Deemed),MAX(0,ADV39-AHI39)*H_Exit,0)</f>
        <v>0</v>
      </c>
      <c r="AVJ39" s="20" t="n">
        <f aca="false">IF(AND(H_Direct=0,H_TaxEvt=1,ARW38+1&gt;=H_Deemed),MAX(0,ADW39-AHJ39)*H_Exit,0)</f>
        <v>0</v>
      </c>
      <c r="AVK39" s="20" t="n">
        <f aca="false">IF(AND(H_Direct=0,H_TaxEvt=1,ARX38+1&gt;=H_Deemed),MAX(0,ADX39-AHK39)*H_Exit,0)</f>
        <v>0</v>
      </c>
      <c r="AVL39" s="20" t="n">
        <f aca="false">IF(AND(H_Direct=0,H_TaxEvt=1,ARY38+1&gt;=H_Deemed),MAX(0,ADY39-AHL39)*H_Exit,0)</f>
        <v>0</v>
      </c>
      <c r="AVM39" s="20" t="n">
        <f aca="false">IF(AND(H_Direct=0,H_TaxEvt=1,ARZ38+1&gt;=H_Deemed),MAX(0,ADZ39-AHM39)*H_Exit,0)</f>
        <v>0</v>
      </c>
      <c r="AVN39" s="20" t="n">
        <f aca="false">IF(AND(H_Direct=0,H_TaxEvt=1,ASA38+1&gt;=H_Deemed),MAX(0,AEA39-AHN39)*H_Exit,0)</f>
        <v>0</v>
      </c>
      <c r="AVO39" s="20" t="n">
        <f aca="false">IF(AND(H_Direct=0,H_TaxEvt=1,ASB38+1&gt;=H_Deemed),MAX(0,AEB39-AHO39)*H_Exit,0)</f>
        <v>0</v>
      </c>
      <c r="AVP39" s="20" t="n">
        <f aca="false">IF(AND(H_Direct=0,H_TaxEvt=1,ASC38+1&gt;=H_Deemed),MAX(0,AEC39-AHP39)*H_Exit,0)</f>
        <v>0</v>
      </c>
      <c r="AVQ39" s="20" t="n">
        <f aca="false">IF(AND(H_Direct=0,H_TaxEvt=1,ASD38+1&gt;=H_Deemed),MAX(0,AED39-AHQ39)*H_Exit,0)</f>
        <v>0</v>
      </c>
      <c r="AVR39" s="20" t="n">
        <f aca="false">IF(AND(H_Direct=0,H_TaxEvt=1,ASE38+1&gt;=H_Deemed),MAX(0,AEE39-AHR39)*H_Exit,0)</f>
        <v>0</v>
      </c>
      <c r="AVS39" s="20" t="n">
        <f aca="false">IF(AND(H_Direct=0,H_TaxEvt=1,ASF38+1&gt;=H_Deemed),MAX(0,AEF39-AHS39)*H_Exit,0)</f>
        <v>0</v>
      </c>
      <c r="AVT39" s="20" t="n">
        <f aca="false">IF(AND(H_Direct=0,H_TaxEvt=1,ASG38+1&gt;=H_Deemed),MAX(0,AEG39-AHT39)*H_Exit,0)</f>
        <v>0</v>
      </c>
      <c r="AVU39" s="20" t="n">
        <f aca="false">IF(AND(H_Direct=0,H_TaxEvt=1,ASH38+1&gt;=H_Deemed),MAX(0,AEH39-AHU39)*H_Exit,0)</f>
        <v>0</v>
      </c>
      <c r="AVV39" s="20" t="n">
        <f aca="false">IF(AND(H_Direct=0,H_TaxEvt=1,ASI38+1&gt;=H_Deemed),MAX(0,AEI39-AHV39)*H_Exit,0)</f>
        <v>178.888848598811</v>
      </c>
      <c r="AVW39" s="20" t="n">
        <f aca="false">IF(AND(H_Direct=0,H_TaxEvt=1,ASJ38+1&gt;=H_Deemed),MAX(0,AEJ39-AHW39)*H_Exit,0)</f>
        <v>0</v>
      </c>
      <c r="AVX39" s="20" t="n">
        <f aca="false">IF(AND(H_Direct=0,H_TaxEvt=1,ASK38+1&gt;=H_Deemed),MAX(0,AEK39-AHX39)*H_Exit,0)</f>
        <v>0</v>
      </c>
      <c r="AVY39" s="20" t="n">
        <f aca="false">IF(AND(H_Direct=0,H_TaxEvt=1,ASL38+1&gt;=H_Deemed),MAX(0,AEL39-AHY39)*H_Exit,0)</f>
        <v>0</v>
      </c>
      <c r="AVZ39" s="20" t="n">
        <f aca="false">IF(AND(H_Direct=0,H_TaxEvt=1,ASM38+1&gt;=H_Deemed),MAX(0,AEM39-AHZ39)*H_Exit,0)</f>
        <v>0</v>
      </c>
      <c r="AWA39" s="20" t="n">
        <f aca="false">IF(AND(H_Direct=0,H_TaxEvt=1,ASN38+1&gt;=H_Deemed),MAX(0,AEN39-AIA39)*H_Exit,0)</f>
        <v>0</v>
      </c>
      <c r="AWB39" s="20" t="n">
        <f aca="false">IF(AND(H_Direct=0,H_TaxEvt=1,ASO38+1&gt;=H_Deemed),MAX(0,AEO39-AIB39)*H_Exit,0)</f>
        <v>0</v>
      </c>
      <c r="AWC39" s="20" t="n">
        <f aca="false">IF(AND(H_Direct=0,H_TaxEvt=1,ASP38+1&gt;=H_Deemed),MAX(0,AEP39-AIC39)*H_Exit,0)</f>
        <v>0</v>
      </c>
      <c r="AWD39" s="20" t="n">
        <f aca="false">IF(AND(H_Direct=0,H_TaxEvt=1,ASQ38+1&gt;=H_Deemed),MAX(0,AEQ39-AID39)*H_Exit,0)</f>
        <v>540.652012984107</v>
      </c>
      <c r="AWE39" s="20" t="n">
        <f aca="false">IF(AND(H_Direct=0,H_TaxEvt=1,ASR38+1&gt;=H_Deemed),MAX(0,AER39-AIE39)*H_Exit,0)</f>
        <v>0</v>
      </c>
      <c r="AWF39" s="20" t="n">
        <f aca="false">IF(AND(H_Direct=0,H_TaxEvt=1,ASS38+1&gt;=H_Deemed),MAX(0,AES39-AIF39)*H_Exit,0)</f>
        <v>0</v>
      </c>
      <c r="AWG39" s="20" t="n">
        <f aca="false">IF(AND(H_Direct=0,H_TaxEvt=1,AST38+1&gt;=H_Deemed),MAX(0,AET39-AIG39)*H_Exit,0)</f>
        <v>0</v>
      </c>
      <c r="AWH39" s="20" t="n">
        <f aca="false">IF(AND(H_Direct=0,H_TaxEvt=1,ASU38+1&gt;=H_Deemed),MAX(0,AEU39-AIH39)*H_Exit,0)</f>
        <v>0</v>
      </c>
      <c r="AWI39" s="20" t="n">
        <f aca="false">IF(AND(H_Direct=0,H_TaxEvt=1,ASV38+1&gt;=H_Deemed),MAX(0,AEV39-AII39)*H_Exit,0)</f>
        <v>0</v>
      </c>
      <c r="AWJ39" s="20" t="n">
        <f aca="false">IF(AND(H_Direct=0,H_TaxEvt=1,ASW38+1&gt;=H_Deemed),MAX(0,AEW39-AIJ39)*H_Exit,0)</f>
        <v>0</v>
      </c>
      <c r="AWK39" s="20" t="n">
        <f aca="false">IF(AND(H_Direct=0,H_TaxEvt=1,0+1&gt;=H_Deemed),MAX(0,AEX39-AIK39)*H_Exit,0)</f>
        <v>0</v>
      </c>
      <c r="AWL39" s="20" t="n">
        <v>0</v>
      </c>
      <c r="AWM39" s="20" t="n">
        <v>0</v>
      </c>
      <c r="AWN39" s="20" t="n">
        <v>0</v>
      </c>
      <c r="AWO39" s="20" t="n">
        <v>0</v>
      </c>
      <c r="AWP39" s="20" t="n">
        <v>0</v>
      </c>
      <c r="AWQ39" s="20" t="n">
        <v>0</v>
      </c>
      <c r="AWR39" s="20" t="n">
        <v>0</v>
      </c>
      <c r="AWS39" s="20" t="n">
        <v>0</v>
      </c>
      <c r="AWT39" s="20" t="n">
        <v>0</v>
      </c>
      <c r="AWU39" s="20" t="n">
        <v>0</v>
      </c>
      <c r="AWV39" s="20" t="n">
        <v>0</v>
      </c>
      <c r="AWW39" s="20" t="n">
        <v>0</v>
      </c>
      <c r="AWX39" s="20" t="n">
        <v>0</v>
      </c>
      <c r="AWY39" s="20" t="n">
        <v>0</v>
      </c>
      <c r="AWZ39" s="20" t="n">
        <v>0</v>
      </c>
      <c r="AXA39" s="20" t="n">
        <v>0</v>
      </c>
      <c r="AXB39" s="20" t="n">
        <v>0</v>
      </c>
      <c r="AXC39" s="20" t="n">
        <v>0</v>
      </c>
      <c r="AXD39" s="20" t="n">
        <v>0</v>
      </c>
      <c r="AXE39" s="20" t="n">
        <v>0</v>
      </c>
      <c r="AXF39" s="20" t="n">
        <v>0</v>
      </c>
      <c r="AXG39" s="20" t="n">
        <v>0</v>
      </c>
      <c r="AXH39" s="20" t="n">
        <v>0</v>
      </c>
      <c r="AXI39" s="20" t="n">
        <v>0</v>
      </c>
      <c r="AXJ39" s="20" t="n">
        <v>0</v>
      </c>
      <c r="AXK39" s="20" t="n">
        <v>0</v>
      </c>
      <c r="AXL39" s="20" t="n">
        <v>0</v>
      </c>
      <c r="AXM39" s="20" t="n">
        <v>0</v>
      </c>
      <c r="AXN39" s="20" t="n">
        <v>0</v>
      </c>
      <c r="AXO39" s="20" t="n">
        <v>0</v>
      </c>
      <c r="AXP39" s="20" t="n">
        <v>0</v>
      </c>
      <c r="AXQ39" s="20" t="n">
        <v>0</v>
      </c>
      <c r="AXR39" s="20" t="n">
        <v>0</v>
      </c>
      <c r="AXS39" s="20" t="n">
        <v>0</v>
      </c>
      <c r="AXT39" s="20" t="n">
        <v>0</v>
      </c>
      <c r="AXU39" s="20" t="n">
        <v>0</v>
      </c>
      <c r="AXV39" s="20" t="n">
        <v>0</v>
      </c>
      <c r="AXW39" s="20" t="n">
        <v>0</v>
      </c>
      <c r="AXX39" s="20" t="n">
        <v>0</v>
      </c>
      <c r="AXY39" s="20" t="n">
        <v>0</v>
      </c>
      <c r="AXZ39" s="20" t="n">
        <v>0</v>
      </c>
      <c r="AYA39" s="20" t="n">
        <v>0</v>
      </c>
      <c r="AYB39" s="20" t="n">
        <v>0</v>
      </c>
      <c r="AYC39" s="20" t="n">
        <v>0</v>
      </c>
      <c r="AYD39" s="20" t="n">
        <v>0</v>
      </c>
      <c r="AYE39" s="20" t="n">
        <v>0</v>
      </c>
      <c r="AYF39" s="20" t="n">
        <v>0</v>
      </c>
      <c r="AYG39" s="20" t="n">
        <v>0</v>
      </c>
      <c r="AYH39" s="20" t="n">
        <v>0</v>
      </c>
      <c r="AYI39" s="20" t="n">
        <v>0</v>
      </c>
      <c r="AYJ39" s="20" t="n">
        <v>0</v>
      </c>
      <c r="AYK39" s="20" t="n">
        <v>0</v>
      </c>
      <c r="AYL39" s="20" t="n">
        <v>0</v>
      </c>
      <c r="AYM39" s="20" t="n">
        <v>0</v>
      </c>
      <c r="AYN39" s="20" t="n">
        <v>0</v>
      </c>
      <c r="AYO39" s="20" t="n">
        <v>0</v>
      </c>
      <c r="AYP39" s="20" t="n">
        <v>0</v>
      </c>
      <c r="AYQ39" s="20" t="n">
        <v>0</v>
      </c>
    </row>
    <row r="40" customFormat="false" ht="15" hidden="false" customHeight="false" outlineLevel="0" collapsed="false">
      <c r="B40" s="20" t="n">
        <v>32</v>
      </c>
      <c r="C40" s="20" t="n">
        <f aca="false">'Plan cashflow'!C40</f>
        <v>1</v>
      </c>
      <c r="D40" s="20" t="n">
        <f aca="false">'Plan cashflow'!D40</f>
        <v>70</v>
      </c>
      <c r="E40" s="20" t="n">
        <f aca="false">AS_Year0+32</f>
        <v>2058</v>
      </c>
      <c r="F40" s="50" t="n">
        <f aca="false">'Plan cashflow'!F40</f>
        <v>1.88454059210113</v>
      </c>
      <c r="G40" s="59" t="n">
        <f aca="true">IF(MAX(TODAY(),DATE(E40,1,1))&gt;=H_CGTfrom,H_CGT1,H_CGT0)</f>
        <v>0.31</v>
      </c>
      <c r="H40" s="20" t="n">
        <f aca="false">H_Exempt*H_Persons</f>
        <v>1270</v>
      </c>
      <c r="I40" s="20" t="n">
        <f aca="false">AX39</f>
        <v>0</v>
      </c>
      <c r="J40" s="60" t="n">
        <f aca="false">BF39</f>
        <v>28634.9388860734</v>
      </c>
      <c r="K40" s="60" t="n">
        <f aca="false">BG39</f>
        <v>0</v>
      </c>
      <c r="L40" s="20" t="n">
        <f aca="false">IF(AND(In_polLump&gt;0,In_polLumpAge&gt;0,D40=In_polLumpAge),In_polLump,0)</f>
        <v>0</v>
      </c>
      <c r="M40" s="20" t="n">
        <f aca="false">IF(AND(In_homeUse="Yes, I'd downsize",In_downAge&gt;0,D40=In_downAge,OR(In_home="Own outright",In_home="Own with mortgage"),In_homeValue&gt;0),MAX(0,MAX(0,In_homeValue-In_downValue)*F40*0.9-'Plan cashflow'!HR39),0)</f>
        <v>0</v>
      </c>
      <c r="N40" s="20" t="n">
        <f aca="false">'Plan pay &amp; tax'!Y266</f>
        <v>0</v>
      </c>
      <c r="O40" s="20" t="n">
        <f aca="false">L40+M40+(1-H_Sh)*N40</f>
        <v>0</v>
      </c>
      <c r="P40" s="20" t="n">
        <f aca="false">H_Sh*N40</f>
        <v>0</v>
      </c>
      <c r="Q40" s="20" t="n">
        <f aca="false">'Plan cashflow'!UL40</f>
        <v>0</v>
      </c>
      <c r="R40" s="20" t="n">
        <f aca="false">(1-H_Sh)*Q40</f>
        <v>0</v>
      </c>
      <c r="S40" s="20" t="n">
        <f aca="false">H_Sh*Q40</f>
        <v>0</v>
      </c>
      <c r="T40" s="20" t="n">
        <f aca="false">J40+K40+O40</f>
        <v>28634.9388860734</v>
      </c>
      <c r="U40" s="20" t="n">
        <f aca="false">T40+R40</f>
        <v>28634.9388860734</v>
      </c>
      <c r="V40" s="60" t="n">
        <f aca="false">SUM(FE40:IQ40)</f>
        <v>122002.115736249</v>
      </c>
      <c r="W40" s="60" t="n">
        <f aca="false">IF(AJ40&lt;=0,0,IF(AL40&lt;=0,AJ40,AJ40-G40*MAX(0,AL40*AJ40-(AY40+AZ40))))</f>
        <v>0</v>
      </c>
      <c r="X40" s="60" t="n">
        <f aca="false">IF(AR40&lt;=0,0,IF(AT40&lt;=0,AR40,AR40-G40*MAX(0,AT40*AR40-(BA40+BB40))))</f>
        <v>0</v>
      </c>
      <c r="Y40" s="60" t="n">
        <f aca="false">T40+V40-S40+W40+X40</f>
        <v>150637.054622322</v>
      </c>
      <c r="Z40" s="60" t="n">
        <f aca="false">'Plan cashflow'!UK40</f>
        <v>21805.942156815</v>
      </c>
      <c r="AA40" s="20" t="n">
        <f aca="false">MIN(Z40,U40)</f>
        <v>21805.942156815</v>
      </c>
      <c r="AB40" s="20" t="n">
        <f aca="false">Z40-AA40</f>
        <v>0</v>
      </c>
      <c r="AC40" s="20" t="n">
        <f aca="false">MIN(AA40,J40+O40+R40)</f>
        <v>21805.942156815</v>
      </c>
      <c r="AD40" s="20" t="n">
        <f aca="false">AA40-AC40</f>
        <v>0</v>
      </c>
      <c r="AE40" s="20" t="n">
        <f aca="false">J40+O40+R40-AC40</f>
        <v>6828.99672925847</v>
      </c>
      <c r="AF40" s="20" t="n">
        <f aca="false">K40-AD40</f>
        <v>0</v>
      </c>
      <c r="AG40" s="20" t="n">
        <f aca="false">SUM(PR40:TD40)</f>
        <v>0</v>
      </c>
      <c r="AH40" s="20" t="n">
        <f aca="false">SUM(TE40:WQ40)</f>
        <v>0</v>
      </c>
      <c r="AI40" s="20" t="n">
        <f aca="false">MAX(0,AB40-AG40)</f>
        <v>0</v>
      </c>
      <c r="AJ40" s="57" t="n">
        <f aca="false">BI39</f>
        <v>0</v>
      </c>
      <c r="AK40" s="20" t="n">
        <f aca="false">BJ39</f>
        <v>0</v>
      </c>
      <c r="AL40" s="20" t="n">
        <f aca="false">IF(AJ40&gt;0,(AJ40-AK40)/AJ40,0)</f>
        <v>0</v>
      </c>
      <c r="AM40" s="20" t="n">
        <f aca="false">IF(AJ40&lt;=0,0,IF(AL40&lt;=0,MIN(AI40,AJ40),MIN(AI40,AJ40-G40*MAX(0,AL40*AJ40-(AAD40+ADQ40)))))</f>
        <v>0</v>
      </c>
      <c r="AN40" s="20" t="n">
        <f aca="false">IF(AJ40&lt;=0,0,IF(AL40&lt;=0,AM40,IF(AM40&lt;=(AAD40+ADQ40)/AL40,AM40,(AM40-G40*(AAD40+ADQ40))/(1-G40*AL40))))</f>
        <v>0</v>
      </c>
      <c r="AO40" s="20" t="n">
        <f aca="false">IF(AL40&gt;0,MAX(0,AAD40-(MIN(AL40*AN40,(AAD40+ADQ40))-MIN(MIN(AL40*AN40,(AAD40+ADQ40)),ADQ40))),AAD40)</f>
        <v>1270</v>
      </c>
      <c r="AP40" s="20" t="n">
        <f aca="false">IF(AL40&lt;=0,ADQ40-AL40*AN40,ADQ40-MIN(MIN(AL40*AN40,(AAD40+ADQ40)),ADQ40))</f>
        <v>0</v>
      </c>
      <c r="AQ40" s="20" t="n">
        <f aca="false">MAX(0,AI40-AM40)</f>
        <v>0</v>
      </c>
      <c r="AR40" s="57" t="n">
        <f aca="false">BK39</f>
        <v>0</v>
      </c>
      <c r="AS40" s="20" t="n">
        <f aca="false">BL39</f>
        <v>0</v>
      </c>
      <c r="AT40" s="20" t="n">
        <f aca="false">IF(AR40&gt;0,(AR40-AS40)/AR40,0)</f>
        <v>0</v>
      </c>
      <c r="AU40" s="20" t="n">
        <f aca="false">IF(AR40&lt;=0,0,IF(AT40&lt;=0,MIN(AQ40,AR40),MIN(AQ40,AR40-G40*MAX(0,AT40*AR40-(AO40+AP40)))))</f>
        <v>0</v>
      </c>
      <c r="AV40" s="20" t="n">
        <f aca="false">IF(AR40&lt;=0,0,IF(AT40&lt;=0,AU40,IF(AU40&lt;=(AO40+AP40)/AT40,AU40,(AU40-G40*(AO40+AP40))/(1-G40*AT40))))</f>
        <v>0</v>
      </c>
      <c r="AW40" s="20" t="n">
        <f aca="false">IF(AT40&gt;0,MAX(0,AO40-(MIN(AT40*AV40,(AO40+AP40))-MIN(MIN(AT40*AV40,(AO40+AP40)),AP40))),AO40)</f>
        <v>1270</v>
      </c>
      <c r="AX40" s="20" t="n">
        <f aca="false">IF(AT40&lt;=0,AP40-AT40*AV40,AP40-MIN(MIN(AT40*AV40,(AO40+AP40)),AP40))</f>
        <v>0</v>
      </c>
      <c r="AY40" s="20" t="n">
        <f aca="false">MD40</f>
        <v>1270</v>
      </c>
      <c r="AZ40" s="20" t="n">
        <f aca="false">PQ40</f>
        <v>0</v>
      </c>
      <c r="BA40" s="20" t="n">
        <f aca="false">IF(AL40&gt;0,MAX(0,AY40-(MIN(AL40*AJ40,AY40+AZ40)-MIN(MIN(AL40*AJ40,AY40+AZ40),AZ40))),AY40)</f>
        <v>1270</v>
      </c>
      <c r="BB40" s="20" t="n">
        <f aca="false">IF(AL40&lt;=0,AZ40-AL40*AJ40,AZ40-MIN(MIN(AL40*AJ40,AY40+AZ40),AZ40))</f>
        <v>0</v>
      </c>
      <c r="BC40" s="20" t="n">
        <f aca="false">'Plan cashflow'!UM40</f>
        <v>0</v>
      </c>
      <c r="BD40" s="20" t="n">
        <f aca="false">(1-H_Sh)*BC40</f>
        <v>0</v>
      </c>
      <c r="BE40" s="20" t="n">
        <f aca="false">H_Sh*BC40</f>
        <v>0</v>
      </c>
      <c r="BF40" s="60" t="n">
        <f aca="false">(AE40+BD40)*(1+AS_Cash)</f>
        <v>6897.28669655106</v>
      </c>
      <c r="BG40" s="60" t="n">
        <f aca="false">AF40*(1+AS_Cash)</f>
        <v>0</v>
      </c>
      <c r="BH40" s="60" t="n">
        <f aca="false">SUM(AKR40:AOD40)</f>
        <v>127996.754859553</v>
      </c>
      <c r="BI40" s="60" t="n">
        <f aca="false">(AJ40-AN40)*(1+AS_Infl)</f>
        <v>0</v>
      </c>
      <c r="BJ40" s="20" t="n">
        <f aca="false">IF(AJ40&gt;0,AK40-AK40*AN40/AJ40,0)</f>
        <v>0</v>
      </c>
      <c r="BK40" s="60" t="n">
        <f aca="false">(AR40-AV40)*(1+BQ40)</f>
        <v>0</v>
      </c>
      <c r="BL40" s="20" t="n">
        <f aca="false">IF(AR40&gt;0,AS40-AS40*AV40/AR40,0)</f>
        <v>0</v>
      </c>
      <c r="BM40" s="60" t="n">
        <f aca="false">BF40+BG40+BH40+BI40+BK40</f>
        <v>134894.041556104</v>
      </c>
      <c r="BN40" s="60" t="n">
        <f aca="false">(AH40-AG40)+(AN40-AM40)+(AV40-AU40)</f>
        <v>0</v>
      </c>
      <c r="BO40" s="20" t="n">
        <f aca="false">(AE40+BD40+AF40+MAX(0,'Plan cashflow'!QH40)+IF(Slot1_Rate=AS_Cash,'Plan cashflow'!QM40/(1+AS_Cash),0)+IF(Slot2_Rate=AS_Cash,'Plan cashflow'!QQ40/(1+AS_Cash),0)+IF(Slot3_Rate=AS_Cash,'Plan cashflow'!QU40/(1+AS_Cash),0)+IF(Slot4_Rate=AS_Cash,'Plan cashflow'!QY40/(1+AS_Cash),0)+IF(Slot5_Rate=AS_Cash,'Plan cashflow'!RC40/(1+AS_Cash),0)+IF(Slot6_Rate=AS_Cash,'Plan cashflow'!RG40/(1+AS_Cash),0)+IF(Slot7_Rate=AS_Cash,'Plan cashflow'!RK40/(1+AS_Cash),0)+IF(Slot8_Rate=AS_Cash,'Plan cashflow'!RO40/(1+AS_Cash),0)+IF(Slot9_Rate=AS_Cash,'Plan cashflow'!RS40/(1+AS_Cash),0)+IF(Slot10_Rate=AS_Cash,'Plan cashflow'!RW40/(1+AS_Cash),0)+IF(Slot11_Rate=AS_Cash,'Plan cashflow'!SA40/(1+AS_Cash),0)+IF(Slot12_Rate=AS_Cash,'Plan cashflow'!SE40/(1+AS_Cash),0)+IF(Slot13_Rate=AS_Cash,'Plan cashflow'!SI40/(1+AS_Cash),0)+IF(Slot14_Rate=AS_Cash,'Plan cashflow'!SM40/(1+AS_Cash),0)+IF(Slot15_Rate=AS_Cash,'Plan cashflow'!SQ40/(1+AS_Cash),0)+IF(Slot16_Rate=AS_Cash,'Plan cashflow'!SU40/(1+AS_Cash),0)+IF(Slot17_Rate=AS_Cash,'Plan cashflow'!SY40/(1+AS_Cash),0)+IF(Slot18_Rate=AS_Cash,'Plan cashflow'!TC40/(1+AS_Cash),0)+IF(Slot19_Rate=AS_Cash,'Plan cashflow'!TG40/(1+AS_Cash),0)+IF(Slot20_Rate=AS_Cash,'Plan cashflow'!TK40/(1+AS_Cash),0))*AS_Cash*H_DIRT/(1-H_DIRT)</f>
        <v>109.172948314365</v>
      </c>
      <c r="BP40" s="60" t="n">
        <f aca="false">SUM(AVE40:AYQ40)</f>
        <v>8920.53963963482</v>
      </c>
      <c r="BQ40" s="54" t="n">
        <f aca="false">IF(H_TaxEvt=1,H_InvG,AS_Inv)</f>
        <v>0.04</v>
      </c>
      <c r="BR40" s="20" t="n">
        <f aca="false">IF(AKR39&gt;0,(AKR39-AOE39)/AKR39,0)</f>
        <v>0</v>
      </c>
      <c r="BS40" s="20" t="n">
        <f aca="false">IF(AKS39&gt;0,(AKS39-AOF39)/AKS39,0)</f>
        <v>0</v>
      </c>
      <c r="BT40" s="20" t="n">
        <f aca="false">IF(AKT39&gt;0,(AKT39-AOG39)/AKT39,0)</f>
        <v>0</v>
      </c>
      <c r="BU40" s="20" t="n">
        <f aca="false">IF(AKU39&gt;0,(AKU39-AOH39)/AKU39,0)</f>
        <v>0</v>
      </c>
      <c r="BV40" s="20" t="n">
        <f aca="false">IF(AKV39&gt;0,(AKV39-AOI39)/AKV39,0)</f>
        <v>0</v>
      </c>
      <c r="BW40" s="20" t="n">
        <f aca="false">IF(AKW39&gt;0,(AKW39-AOJ39)/AKW39,0)</f>
        <v>0</v>
      </c>
      <c r="BX40" s="20" t="n">
        <f aca="false">IF(AKX39&gt;0,(AKX39-AOK39)/AKX39,0)</f>
        <v>0</v>
      </c>
      <c r="BY40" s="20" t="n">
        <f aca="false">IF(AKY39&gt;0,(AKY39-AOL39)/AKY39,0)</f>
        <v>0</v>
      </c>
      <c r="BZ40" s="20" t="n">
        <f aca="false">IF(AKZ39&gt;0,(AKZ39-AOM39)/AKZ39,0)</f>
        <v>0</v>
      </c>
      <c r="CA40" s="20" t="n">
        <f aca="false">IF(ALA39&gt;0,(ALA39-AON39)/ALA39,0)</f>
        <v>0</v>
      </c>
      <c r="CB40" s="20" t="n">
        <f aca="false">IF(ALB39&gt;0,(ALB39-AOO39)/ALB39,0)</f>
        <v>0</v>
      </c>
      <c r="CC40" s="20" t="n">
        <f aca="false">IF(ALC39&gt;0,(ALC39-AOP39)/ALC39,0)</f>
        <v>0.209685474269854</v>
      </c>
      <c r="CD40" s="20" t="n">
        <f aca="false">IF(ALD39&gt;0,(ALD39-AOQ39)/ALD39,0)</f>
        <v>0.178072893240648</v>
      </c>
      <c r="CE40" s="20" t="n">
        <f aca="false">IF(ALE39&gt;0,(ALE39-AOR39)/ALE39,0)</f>
        <v>0.145195808970274</v>
      </c>
      <c r="CF40" s="20" t="n">
        <f aca="false">IF(ALF39&gt;0,(ALF39-AOS39)/ALF39,0)</f>
        <v>0.111003641329085</v>
      </c>
      <c r="CG40" s="20" t="n">
        <f aca="false">IF(ALG39&gt;0,(ALG39-AOT39)/ALG39,0)</f>
        <v>0.0754437869822486</v>
      </c>
      <c r="CH40" s="20" t="n">
        <f aca="false">IF(ALH39&gt;0,(ALH39-AOU39)/ALH39,0)</f>
        <v>0.0384615384615385</v>
      </c>
      <c r="CI40" s="20" t="n">
        <f aca="false">IF(ALI39&gt;0,(ALI39-AOV39)/ALI39,0)</f>
        <v>0</v>
      </c>
      <c r="CJ40" s="20" t="n">
        <f aca="false">IF(ALJ39&gt;0,(ALJ39-AOW39)/ALJ39,0)</f>
        <v>0.240082186797937</v>
      </c>
      <c r="CK40" s="20" t="n">
        <f aca="false">IF(ALK39&gt;0,(ALK39-AOX39)/ALK39,0)</f>
        <v>0.209685474269854</v>
      </c>
      <c r="CL40" s="20" t="n">
        <f aca="false">IF(ALL39&gt;0,(ALL39-AOY39)/ALL39,0)</f>
        <v>0.178072893240648</v>
      </c>
      <c r="CM40" s="20" t="n">
        <f aca="false">IF(ALM39&gt;0,(ALM39-AOZ39)/ALM39,0)</f>
        <v>0.145195808970274</v>
      </c>
      <c r="CN40" s="20" t="n">
        <f aca="false">IF(ALN39&gt;0,(ALN39-APA39)/ALN39,0)</f>
        <v>0.111003641329085</v>
      </c>
      <c r="CO40" s="20" t="n">
        <f aca="false">IF(ALO39&gt;0,(ALO39-APB39)/ALO39,0)</f>
        <v>0.0754437869822486</v>
      </c>
      <c r="CP40" s="20" t="n">
        <f aca="false">IF(ALP39&gt;0,(ALP39-APC39)/ALP39,0)</f>
        <v>0.0384615384615386</v>
      </c>
      <c r="CQ40" s="20" t="n">
        <f aca="false">IF(ALQ39&gt;0,(ALQ39-APD39)/ALQ39,0)</f>
        <v>0</v>
      </c>
      <c r="CR40" s="20" t="n">
        <f aca="false">IF(ALR39&gt;0,(ALR39-APE39)/ALR39,0)</f>
        <v>0.240082186797937</v>
      </c>
      <c r="CS40" s="20" t="n">
        <f aca="false">IF(ALS39&gt;0,(ALS39-APF39)/ALS39,0)</f>
        <v>0</v>
      </c>
      <c r="CT40" s="20" t="n">
        <f aca="false">IF(ALT39&gt;0,(ALT39-APG39)/ALT39,0)</f>
        <v>0</v>
      </c>
      <c r="CU40" s="20" t="n">
        <f aca="false">IF(ALU39&gt;0,(ALU39-APH39)/ALU39,0)</f>
        <v>0.145195808970274</v>
      </c>
      <c r="CV40" s="20" t="n">
        <f aca="false">IF(ALV39&gt;0,(ALV39-API39)/ALV39,0)</f>
        <v>0</v>
      </c>
      <c r="CW40" s="20" t="n">
        <f aca="false">IF(ALW39&gt;0,(ALW39-APJ39)/ALW39,0)</f>
        <v>0</v>
      </c>
      <c r="CX40" s="20" t="n">
        <f aca="false">IF(ALX39&gt;0,(ALX39-APK39)/ALX39,0)</f>
        <v>0</v>
      </c>
      <c r="CY40" s="20" t="n">
        <f aca="false">IF((P40+S40)&gt;0,((P40+S40)-(P40+S40))/(P40+S40),0)</f>
        <v>0</v>
      </c>
      <c r="CZ40" s="20" t="n">
        <v>0</v>
      </c>
      <c r="DA40" s="20" t="n">
        <v>0</v>
      </c>
      <c r="DB40" s="20" t="n">
        <v>0</v>
      </c>
      <c r="DC40" s="20" t="n">
        <v>0</v>
      </c>
      <c r="DD40" s="20" t="n">
        <v>0</v>
      </c>
      <c r="DE40" s="20" t="n">
        <v>0</v>
      </c>
      <c r="DF40" s="20" t="n">
        <v>0</v>
      </c>
      <c r="DG40" s="20" t="n">
        <v>0</v>
      </c>
      <c r="DH40" s="20" t="n">
        <v>0</v>
      </c>
      <c r="DI40" s="20" t="n">
        <v>0</v>
      </c>
      <c r="DJ40" s="20" t="n">
        <v>0</v>
      </c>
      <c r="DK40" s="20" t="n">
        <v>0</v>
      </c>
      <c r="DL40" s="20" t="n">
        <v>0</v>
      </c>
      <c r="DM40" s="20" t="n">
        <v>0</v>
      </c>
      <c r="DN40" s="20" t="n">
        <v>0</v>
      </c>
      <c r="DO40" s="20" t="n">
        <v>0</v>
      </c>
      <c r="DP40" s="20" t="n">
        <v>0</v>
      </c>
      <c r="DQ40" s="20" t="n">
        <v>0</v>
      </c>
      <c r="DR40" s="20" t="n">
        <v>0</v>
      </c>
      <c r="DS40" s="20" t="n">
        <v>0</v>
      </c>
      <c r="DT40" s="20" t="n">
        <v>0</v>
      </c>
      <c r="DU40" s="20" t="n">
        <v>0</v>
      </c>
      <c r="DV40" s="20" t="n">
        <v>0</v>
      </c>
      <c r="DW40" s="20" t="n">
        <v>0</v>
      </c>
      <c r="DX40" s="20" t="n">
        <v>0</v>
      </c>
      <c r="DY40" s="20" t="n">
        <v>0</v>
      </c>
      <c r="DZ40" s="20" t="n">
        <v>0</v>
      </c>
      <c r="EA40" s="20" t="n">
        <v>0</v>
      </c>
      <c r="EB40" s="20" t="n">
        <v>0</v>
      </c>
      <c r="EC40" s="20" t="n">
        <v>0</v>
      </c>
      <c r="ED40" s="20" t="n">
        <v>0</v>
      </c>
      <c r="EE40" s="20" t="n">
        <v>0</v>
      </c>
      <c r="EF40" s="20" t="n">
        <v>0</v>
      </c>
      <c r="EG40" s="20" t="n">
        <v>0</v>
      </c>
      <c r="EH40" s="20" t="n">
        <v>0</v>
      </c>
      <c r="EI40" s="20" t="n">
        <v>0</v>
      </c>
      <c r="EJ40" s="20" t="n">
        <v>0</v>
      </c>
      <c r="EK40" s="20" t="n">
        <v>0</v>
      </c>
      <c r="EL40" s="20" t="n">
        <v>0</v>
      </c>
      <c r="EM40" s="20" t="n">
        <v>0</v>
      </c>
      <c r="EN40" s="20" t="n">
        <v>0</v>
      </c>
      <c r="EO40" s="20" t="n">
        <v>0</v>
      </c>
      <c r="EP40" s="20" t="n">
        <v>0</v>
      </c>
      <c r="EQ40" s="20" t="n">
        <v>0</v>
      </c>
      <c r="ER40" s="20" t="n">
        <v>0</v>
      </c>
      <c r="ES40" s="20" t="n">
        <v>0</v>
      </c>
      <c r="ET40" s="20" t="n">
        <v>0</v>
      </c>
      <c r="EU40" s="20" t="n">
        <v>0</v>
      </c>
      <c r="EV40" s="20" t="n">
        <v>0</v>
      </c>
      <c r="EW40" s="20" t="n">
        <v>0</v>
      </c>
      <c r="EX40" s="20" t="n">
        <v>0</v>
      </c>
      <c r="EY40" s="20" t="n">
        <v>0</v>
      </c>
      <c r="EZ40" s="20" t="n">
        <v>0</v>
      </c>
      <c r="FA40" s="20" t="n">
        <v>0</v>
      </c>
      <c r="FB40" s="20" t="n">
        <v>0</v>
      </c>
      <c r="FC40" s="20" t="n">
        <v>0</v>
      </c>
      <c r="FD40" s="20" t="n">
        <v>0</v>
      </c>
      <c r="FE40" s="20" t="n">
        <f aca="false">IF(H_Direct=1,IF(AKR39&lt;=0,0,IF(BR40&lt;=0,AKR39,AKR39-G40*MAX(0,BR40*AKR39-(H40+I40)))),AKR39*(1-MAX(0,BR40)*H_Exit))</f>
        <v>0</v>
      </c>
      <c r="FF40" s="20" t="n">
        <f aca="false">IF(H_Direct=1,IF(AKS39&lt;=0,0,IF(BS40&lt;=0,AKS39,AKS39-G40*MAX(0,BS40*AKS39-(IR40+ME40)))),AKS39*(1-MAX(0,BS40)*H_Exit))</f>
        <v>0</v>
      </c>
      <c r="FG40" s="20" t="n">
        <f aca="false">IF(H_Direct=1,IF(AKT39&lt;=0,0,IF(BT40&lt;=0,AKT39,AKT39-G40*MAX(0,BT40*AKT39-(IS40+MF40)))),AKT39*(1-MAX(0,BT40)*H_Exit))</f>
        <v>0</v>
      </c>
      <c r="FH40" s="20" t="n">
        <f aca="false">IF(H_Direct=1,IF(AKU39&lt;=0,0,IF(BU40&lt;=0,AKU39,AKU39-G40*MAX(0,BU40*AKU39-(IT40+MG40)))),AKU39*(1-MAX(0,BU40)*H_Exit))</f>
        <v>0</v>
      </c>
      <c r="FI40" s="20" t="n">
        <f aca="false">IF(H_Direct=1,IF(AKV39&lt;=0,0,IF(BV40&lt;=0,AKV39,AKV39-G40*MAX(0,BV40*AKV39-(IU40+MH40)))),AKV39*(1-MAX(0,BV40)*H_Exit))</f>
        <v>0</v>
      </c>
      <c r="FJ40" s="20" t="n">
        <f aca="false">IF(H_Direct=1,IF(AKW39&lt;=0,0,IF(BW40&lt;=0,AKW39,AKW39-G40*MAX(0,BW40*AKW39-(IV40+MI40)))),AKW39*(1-MAX(0,BW40)*H_Exit))</f>
        <v>0</v>
      </c>
      <c r="FK40" s="20" t="n">
        <f aca="false">IF(H_Direct=1,IF(AKX39&lt;=0,0,IF(BX40&lt;=0,AKX39,AKX39-G40*MAX(0,BX40*AKX39-(IW40+MJ40)))),AKX39*(1-MAX(0,BX40)*H_Exit))</f>
        <v>0</v>
      </c>
      <c r="FL40" s="20" t="n">
        <f aca="false">IF(H_Direct=1,IF(AKY39&lt;=0,0,IF(BY40&lt;=0,AKY39,AKY39-G40*MAX(0,BY40*AKY39-(IX40+MK40)))),AKY39*(1-MAX(0,BY40)*H_Exit))</f>
        <v>0</v>
      </c>
      <c r="FM40" s="20" t="n">
        <f aca="false">IF(H_Direct=1,IF(AKZ39&lt;=0,0,IF(BZ40&lt;=0,AKZ39,AKZ39-G40*MAX(0,BZ40*AKZ39-(IY40+ML40)))),AKZ39*(1-MAX(0,BZ40)*H_Exit))</f>
        <v>0</v>
      </c>
      <c r="FN40" s="20" t="n">
        <f aca="false">IF(H_Direct=1,IF(ALA39&lt;=0,0,IF(CA40&lt;=0,ALA39,ALA39-G40*MAX(0,CA40*ALA39-(IZ40+MM40)))),ALA39*(1-MAX(0,CA40)*H_Exit))</f>
        <v>0</v>
      </c>
      <c r="FO40" s="20" t="n">
        <f aca="false">IF(H_Direct=1,IF(ALB39&lt;=0,0,IF(CB40&lt;=0,ALB39,ALB39-G40*MAX(0,CB40*ALB39-(JA40+MN40)))),ALB39*(1-MAX(0,CB40)*H_Exit))</f>
        <v>0</v>
      </c>
      <c r="FP40" s="20" t="n">
        <f aca="false">IF(H_Direct=1,IF(ALC39&lt;=0,0,IF(CC40&lt;=0,ALC39,ALC39-G40*MAX(0,CC40*ALC39-(JB40+MO40)))),ALC39*(1-MAX(0,CC40)*H_Exit))</f>
        <v>960.790693941641</v>
      </c>
      <c r="FQ40" s="20" t="n">
        <f aca="false">IF(H_Direct=1,IF(ALD39&lt;=0,0,IF(CD40&lt;=0,ALD39,ALD39-G40*MAX(0,CD40*ALD39-(JC40+MP40)))),ALD39*(1-MAX(0,CD40)*H_Exit))</f>
        <v>1224.42035451626</v>
      </c>
      <c r="FR40" s="20" t="n">
        <f aca="false">IF(H_Direct=1,IF(ALE39&lt;=0,0,IF(CE40&lt;=0,ALE39,ALE39-G40*MAX(0,CE40*ALE39-(JD40+MQ40)))),ALE39*(1-MAX(0,CE40)*H_Exit))</f>
        <v>1484.92388352524</v>
      </c>
      <c r="FS40" s="20" t="n">
        <f aca="false">IF(H_Direct=1,IF(ALF39&lt;=0,0,IF(CF40&lt;=0,ALF39,ALF39-G40*MAX(0,CF40*ALF39-(JE40+MR40)))),ALF39*(1-MAX(0,CF40)*H_Exit))</f>
        <v>1692.76752740228</v>
      </c>
      <c r="FT40" s="20" t="n">
        <f aca="false">IF(H_Direct=1,IF(ALG39&lt;=0,0,IF(CG40&lt;=0,ALG39,ALG39-G40*MAX(0,CG40*ALG39-(JF40+MS40)))),ALG39*(1-MAX(0,CG40)*H_Exit))</f>
        <v>1650.91516458665</v>
      </c>
      <c r="FU40" s="20" t="n">
        <f aca="false">IF(H_Direct=1,IF(ALH39&lt;=0,0,IF(CH40&lt;=0,ALH39,ALH39-G40*MAX(0,CH40*ALH39-(JG40+MT40)))),ALH39*(1-MAX(0,CH40)*H_Exit))</f>
        <v>1609.71755624426</v>
      </c>
      <c r="FV40" s="20" t="n">
        <f aca="false">IF(H_Direct=1,IF(ALI39&lt;=0,0,IF(CI40&lt;=0,ALI39,ALI39-G40*MAX(0,CI40*ALI39-(JH40+MU40)))),ALI39*(1-MAX(0,CI40)*H_Exit))</f>
        <v>1569.13568164553</v>
      </c>
      <c r="FW40" s="20" t="n">
        <f aca="false">IF(H_Direct=1,IF(ALJ39&lt;=0,0,IF(CJ40&lt;=0,ALJ39,ALJ39-G40*MAX(0,CJ40*ALJ39-(JI40+MV40)))),ALJ39*(1-MAX(0,CJ40)*H_Exit))</f>
        <v>4937.19886041472</v>
      </c>
      <c r="FX40" s="20" t="n">
        <f aca="false">IF(H_Direct=1,IF(ALK39&lt;=0,0,IF(CK40&lt;=0,ALK39,ALK39-G40*MAX(0,CK40*ALK39-(JJ40+MW40)))),ALK39*(1-MAX(0,CK40)*H_Exit))</f>
        <v>4903.79935760848</v>
      </c>
      <c r="FY40" s="20" t="n">
        <f aca="false">IF(H_Direct=1,IF(ALL39&lt;=0,0,IF(CL40&lt;=0,ALL39,ALL39-G40*MAX(0,CL40*ALL39-(JK40+MX40)))),ALL39*(1-MAX(0,CL40)*H_Exit))</f>
        <v>4872.27308551564</v>
      </c>
      <c r="FZ40" s="20" t="n">
        <f aca="false">IF(H_Direct=1,IF(ALM39&lt;=0,0,IF(CM40&lt;=0,ALM39,ALM39-G40*MAX(0,CM40*ALM39-(JL40+MY40)))),ALM39*(1-MAX(0,CM40)*H_Exit))</f>
        <v>4842.60863912026</v>
      </c>
      <c r="GA40" s="20" t="n">
        <f aca="false">IF(H_Direct=1,IF(ALN39&lt;=0,0,IF(CN40&lt;=0,ALN39,ALN39-G40*MAX(0,CN40*ALN39-(JM40+MZ40)))),ALN39*(1-MAX(0,CN40)*H_Exit))</f>
        <v>4814.7953251067</v>
      </c>
      <c r="GB40" s="20" t="n">
        <f aca="false">IF(H_Direct=1,IF(ALO39&lt;=0,0,IF(CO40&lt;=0,ALO39,ALO39-G40*MAX(0,CO40*ALO39-(JN40+NA40)))),ALO39*(1-MAX(0,CO40)*H_Exit))</f>
        <v>4788.82315802049</v>
      </c>
      <c r="GC40" s="20" t="n">
        <f aca="false">IF(H_Direct=1,IF(ALP39&lt;=0,0,IF(CP40&lt;=0,ALP39,ALP39-G40*MAX(0,CP40*ALP39-(JO40+NB40)))),ALP39*(1-MAX(0,CP40)*H_Exit))</f>
        <v>4764.68285670002</v>
      </c>
      <c r="GD40" s="20" t="n">
        <f aca="false">IF(H_Direct=1,IF(ALQ39&lt;=0,0,IF(CQ40&lt;=0,ALQ39,ALQ39-G40*MAX(0,CQ40*ALQ39-(JP40+NC40)))),ALQ39*(1-MAX(0,CQ40)*H_Exit))</f>
        <v>4742.36584097777</v>
      </c>
      <c r="GE40" s="20" t="n">
        <f aca="false">IF(H_Direct=1,IF(ALR39&lt;=0,0,IF(CR40&lt;=0,ALR39,ALR39-G40*MAX(0,CR40*ALR39-(JQ40+ND40)))),ALR39*(1-MAX(0,CR40)*H_Exit))</f>
        <v>71231.3068722191</v>
      </c>
      <c r="GF40" s="20" t="n">
        <f aca="false">IF(H_Direct=1,IF(ALS39&lt;=0,0,IF(CS40&lt;=0,ALS39,ALS39-G40*MAX(0,CS40*ALS39-(JR40+NE40)))),ALS39*(1-MAX(0,CS40)*H_Exit))</f>
        <v>0</v>
      </c>
      <c r="GG40" s="20" t="n">
        <f aca="false">IF(H_Direct=1,IF(ALT39&lt;=0,0,IF(CT40&lt;=0,ALT39,ALT39-G40*MAX(0,CT40*ALT39-(JS40+NF40)))),ALT39*(1-MAX(0,CT40)*H_Exit))</f>
        <v>0</v>
      </c>
      <c r="GH40" s="20" t="n">
        <f aca="false">IF(H_Direct=1,IF(ALU39&lt;=0,0,IF(CU40&lt;=0,ALU39,ALU39-G40*MAX(0,CU40*ALU39-(JT40+NG40)))),ALU39*(1-MAX(0,CU40)*H_Exit))</f>
        <v>1911.59087870376</v>
      </c>
      <c r="GI40" s="20" t="n">
        <f aca="false">IF(H_Direct=1,IF(ALV39&lt;=0,0,IF(CV40&lt;=0,ALV39,ALV39-G40*MAX(0,CV40*ALV39-(JU40+NH40)))),ALV39*(1-MAX(0,CV40)*H_Exit))</f>
        <v>0</v>
      </c>
      <c r="GJ40" s="20" t="n">
        <f aca="false">IF(H_Direct=1,IF(ALW39&lt;=0,0,IF(CW40&lt;=0,ALW39,ALW39-G40*MAX(0,CW40*ALW39-(JV40+NI40)))),ALW39*(1-MAX(0,CW40)*H_Exit))</f>
        <v>0</v>
      </c>
      <c r="GK40" s="20" t="n">
        <f aca="false">IF(H_Direct=1,IF(ALX39&lt;=0,0,IF(CX40&lt;=0,ALX39,ALX39-G40*MAX(0,CX40*ALX39-(JW40+NJ40)))),ALX39*(1-MAX(0,CX40)*H_Exit))</f>
        <v>0</v>
      </c>
      <c r="GL40" s="20" t="n">
        <f aca="false">IF(H_Direct=1,IF((P40+S40)&lt;=0,0,IF(CY40&lt;=0,(P40+S40),(P40+S40)-G40*MAX(0,CY40*(P40+S40)-(JX40+NK40)))),(P40+S40)*(1-MAX(0,CY40)*H_Exit))</f>
        <v>0</v>
      </c>
      <c r="GM40" s="20" t="n">
        <v>0</v>
      </c>
      <c r="GN40" s="20" t="n">
        <v>0</v>
      </c>
      <c r="GO40" s="20" t="n">
        <v>0</v>
      </c>
      <c r="GP40" s="20" t="n">
        <v>0</v>
      </c>
      <c r="GQ40" s="20" t="n">
        <v>0</v>
      </c>
      <c r="GR40" s="20" t="n">
        <v>0</v>
      </c>
      <c r="GS40" s="20" t="n">
        <v>0</v>
      </c>
      <c r="GT40" s="20" t="n">
        <v>0</v>
      </c>
      <c r="GU40" s="20" t="n">
        <v>0</v>
      </c>
      <c r="GV40" s="20" t="n">
        <v>0</v>
      </c>
      <c r="GW40" s="20" t="n">
        <v>0</v>
      </c>
      <c r="GX40" s="20" t="n">
        <v>0</v>
      </c>
      <c r="GY40" s="20" t="n">
        <v>0</v>
      </c>
      <c r="GZ40" s="20" t="n">
        <v>0</v>
      </c>
      <c r="HA40" s="20" t="n">
        <v>0</v>
      </c>
      <c r="HB40" s="20" t="n">
        <v>0</v>
      </c>
      <c r="HC40" s="20" t="n">
        <v>0</v>
      </c>
      <c r="HD40" s="20" t="n">
        <v>0</v>
      </c>
      <c r="HE40" s="20" t="n">
        <v>0</v>
      </c>
      <c r="HF40" s="20" t="n">
        <v>0</v>
      </c>
      <c r="HG40" s="20" t="n">
        <v>0</v>
      </c>
      <c r="HH40" s="20" t="n">
        <v>0</v>
      </c>
      <c r="HI40" s="20" t="n">
        <v>0</v>
      </c>
      <c r="HJ40" s="20" t="n">
        <v>0</v>
      </c>
      <c r="HK40" s="20" t="n">
        <v>0</v>
      </c>
      <c r="HL40" s="20" t="n">
        <v>0</v>
      </c>
      <c r="HM40" s="20" t="n">
        <v>0</v>
      </c>
      <c r="HN40" s="20" t="n">
        <v>0</v>
      </c>
      <c r="HO40" s="20" t="n">
        <v>0</v>
      </c>
      <c r="HP40" s="20" t="n">
        <v>0</v>
      </c>
      <c r="HQ40" s="20" t="n">
        <v>0</v>
      </c>
      <c r="HR40" s="20" t="n">
        <v>0</v>
      </c>
      <c r="HS40" s="20" t="n">
        <v>0</v>
      </c>
      <c r="HT40" s="20" t="n">
        <v>0</v>
      </c>
      <c r="HU40" s="20" t="n">
        <v>0</v>
      </c>
      <c r="HV40" s="20" t="n">
        <v>0</v>
      </c>
      <c r="HW40" s="20" t="n">
        <v>0</v>
      </c>
      <c r="HX40" s="20" t="n">
        <v>0</v>
      </c>
      <c r="HY40" s="20" t="n">
        <v>0</v>
      </c>
      <c r="HZ40" s="20" t="n">
        <v>0</v>
      </c>
      <c r="IA40" s="20" t="n">
        <v>0</v>
      </c>
      <c r="IB40" s="20" t="n">
        <v>0</v>
      </c>
      <c r="IC40" s="20" t="n">
        <v>0</v>
      </c>
      <c r="ID40" s="20" t="n">
        <v>0</v>
      </c>
      <c r="IE40" s="20" t="n">
        <v>0</v>
      </c>
      <c r="IF40" s="20" t="n">
        <v>0</v>
      </c>
      <c r="IG40" s="20" t="n">
        <v>0</v>
      </c>
      <c r="IH40" s="20" t="n">
        <v>0</v>
      </c>
      <c r="II40" s="20" t="n">
        <v>0</v>
      </c>
      <c r="IJ40" s="20" t="n">
        <v>0</v>
      </c>
      <c r="IK40" s="20" t="n">
        <v>0</v>
      </c>
      <c r="IL40" s="20" t="n">
        <v>0</v>
      </c>
      <c r="IM40" s="20" t="n">
        <v>0</v>
      </c>
      <c r="IN40" s="20" t="n">
        <v>0</v>
      </c>
      <c r="IO40" s="20" t="n">
        <v>0</v>
      </c>
      <c r="IP40" s="20" t="n">
        <v>0</v>
      </c>
      <c r="IQ40" s="20" t="n">
        <v>0</v>
      </c>
      <c r="IR40" s="20" t="n">
        <f aca="false">IF(AND(H_Direct=1,BR40&gt;0),MAX(0,H40-(MIN(BR40*AKR39,H40+I40)-MIN(MIN(BR40*AKR39,H40+I40),I40))),H40)</f>
        <v>1270</v>
      </c>
      <c r="IS40" s="20" t="n">
        <f aca="false">IF(AND(H_Direct=1,BS40&gt;0),MAX(0,IR40-(MIN(BS40*AKS39,IR40+ME40)-MIN(MIN(BS40*AKS39,IR40+ME40),ME40))),IR40)</f>
        <v>1270</v>
      </c>
      <c r="IT40" s="20" t="n">
        <f aca="false">IF(AND(H_Direct=1,BT40&gt;0),MAX(0,IS40-(MIN(BT40*AKT39,IS40+MF40)-MIN(MIN(BT40*AKT39,IS40+MF40),MF40))),IS40)</f>
        <v>1270</v>
      </c>
      <c r="IU40" s="20" t="n">
        <f aca="false">IF(AND(H_Direct=1,BU40&gt;0),MAX(0,IT40-(MIN(BU40*AKU39,IT40+MG40)-MIN(MIN(BU40*AKU39,IT40+MG40),MG40))),IT40)</f>
        <v>1270</v>
      </c>
      <c r="IV40" s="20" t="n">
        <f aca="false">IF(AND(H_Direct=1,BV40&gt;0),MAX(0,IU40-(MIN(BV40*AKV39,IU40+MH40)-MIN(MIN(BV40*AKV39,IU40+MH40),MH40))),IU40)</f>
        <v>1270</v>
      </c>
      <c r="IW40" s="20" t="n">
        <f aca="false">IF(AND(H_Direct=1,BW40&gt;0),MAX(0,IV40-(MIN(BW40*AKW39,IV40+MI40)-MIN(MIN(BW40*AKW39,IV40+MI40),MI40))),IV40)</f>
        <v>1270</v>
      </c>
      <c r="IX40" s="20" t="n">
        <f aca="false">IF(AND(H_Direct=1,BX40&gt;0),MAX(0,IW40-(MIN(BX40*AKX39,IW40+MJ40)-MIN(MIN(BX40*AKX39,IW40+MJ40),MJ40))),IW40)</f>
        <v>1270</v>
      </c>
      <c r="IY40" s="20" t="n">
        <f aca="false">IF(AND(H_Direct=1,BY40&gt;0),MAX(0,IX40-(MIN(BY40*AKY39,IX40+MK40)-MIN(MIN(BY40*AKY39,IX40+MK40),MK40))),IX40)</f>
        <v>1270</v>
      </c>
      <c r="IZ40" s="20" t="n">
        <f aca="false">IF(AND(H_Direct=1,BZ40&gt;0),MAX(0,IY40-(MIN(BZ40*AKZ39,IY40+ML40)-MIN(MIN(BZ40*AKZ39,IY40+ML40),ML40))),IY40)</f>
        <v>1270</v>
      </c>
      <c r="JA40" s="20" t="n">
        <f aca="false">IF(AND(H_Direct=1,CA40&gt;0),MAX(0,IZ40-(MIN(CA40*ALA39,IZ40+MM40)-MIN(MIN(CA40*ALA39,IZ40+MM40),MM40))),IZ40)</f>
        <v>1270</v>
      </c>
      <c r="JB40" s="20" t="n">
        <f aca="false">IF(AND(H_Direct=1,CB40&gt;0),MAX(0,JA40-(MIN(CB40*ALB39,JA40+MN40)-MIN(MIN(CB40*ALB39,JA40+MN40),MN40))),JA40)</f>
        <v>1270</v>
      </c>
      <c r="JC40" s="20" t="n">
        <f aca="false">IF(AND(H_Direct=1,CC40&gt;0),MAX(0,JB40-(MIN(CC40*ALC39,JB40+MO40)-MIN(MIN(CC40*ALC39,JB40+MO40),MO40))),JB40)</f>
        <v>1270</v>
      </c>
      <c r="JD40" s="20" t="n">
        <f aca="false">IF(AND(H_Direct=1,CD40&gt;0),MAX(0,JC40-(MIN(CD40*ALD39,JC40+MP40)-MIN(MIN(CD40*ALD39,JC40+MP40),MP40))),JC40)</f>
        <v>1270</v>
      </c>
      <c r="JE40" s="20" t="n">
        <f aca="false">IF(AND(H_Direct=1,CE40&gt;0),MAX(0,JD40-(MIN(CE40*ALE39,JD40+MQ40)-MIN(MIN(CE40*ALE39,JD40+MQ40),MQ40))),JD40)</f>
        <v>1270</v>
      </c>
      <c r="JF40" s="20" t="n">
        <f aca="false">IF(AND(H_Direct=1,CF40&gt;0),MAX(0,JE40-(MIN(CF40*ALF39,JE40+MR40)-MIN(MIN(CF40*ALF39,JE40+MR40),MR40))),JE40)</f>
        <v>1270</v>
      </c>
      <c r="JG40" s="20" t="n">
        <f aca="false">IF(AND(H_Direct=1,CG40&gt;0),MAX(0,JF40-(MIN(CG40*ALG39,JF40+MS40)-MIN(MIN(CG40*ALG39,JF40+MS40),MS40))),JF40)</f>
        <v>1270</v>
      </c>
      <c r="JH40" s="20" t="n">
        <f aca="false">IF(AND(H_Direct=1,CH40&gt;0),MAX(0,JG40-(MIN(CH40*ALH39,JG40+MT40)-MIN(MIN(CH40*ALH39,JG40+MT40),MT40))),JG40)</f>
        <v>1270</v>
      </c>
      <c r="JI40" s="20" t="n">
        <f aca="false">IF(AND(H_Direct=1,CI40&gt;0),MAX(0,JH40-(MIN(CI40*ALI39,JH40+MU40)-MIN(MIN(CI40*ALI39,JH40+MU40),MU40))),JH40)</f>
        <v>1270</v>
      </c>
      <c r="JJ40" s="20" t="n">
        <f aca="false">IF(AND(H_Direct=1,CJ40&gt;0),MAX(0,JI40-(MIN(CJ40*ALJ39,JI40+MV40)-MIN(MIN(CJ40*ALJ39,JI40+MV40),MV40))),JI40)</f>
        <v>1270</v>
      </c>
      <c r="JK40" s="20" t="n">
        <f aca="false">IF(AND(H_Direct=1,CK40&gt;0),MAX(0,JJ40-(MIN(CK40*ALK39,JJ40+MW40)-MIN(MIN(CK40*ALK39,JJ40+MW40),MW40))),JJ40)</f>
        <v>1270</v>
      </c>
      <c r="JL40" s="20" t="n">
        <f aca="false">IF(AND(H_Direct=1,CL40&gt;0),MAX(0,JK40-(MIN(CL40*ALL39,JK40+MX40)-MIN(MIN(CL40*ALL39,JK40+MX40),MX40))),JK40)</f>
        <v>1270</v>
      </c>
      <c r="JM40" s="20" t="n">
        <f aca="false">IF(AND(H_Direct=1,CM40&gt;0),MAX(0,JL40-(MIN(CM40*ALM39,JL40+MY40)-MIN(MIN(CM40*ALM39,JL40+MY40),MY40))),JL40)</f>
        <v>1270</v>
      </c>
      <c r="JN40" s="20" t="n">
        <f aca="false">IF(AND(H_Direct=1,CN40&gt;0),MAX(0,JM40-(MIN(CN40*ALN39,JM40+MZ40)-MIN(MIN(CN40*ALN39,JM40+MZ40),MZ40))),JM40)</f>
        <v>1270</v>
      </c>
      <c r="JO40" s="20" t="n">
        <f aca="false">IF(AND(H_Direct=1,CO40&gt;0),MAX(0,JN40-(MIN(CO40*ALO39,JN40+NA40)-MIN(MIN(CO40*ALO39,JN40+NA40),NA40))),JN40)</f>
        <v>1270</v>
      </c>
      <c r="JP40" s="20" t="n">
        <f aca="false">IF(AND(H_Direct=1,CP40&gt;0),MAX(0,JO40-(MIN(CP40*ALP39,JO40+NB40)-MIN(MIN(CP40*ALP39,JO40+NB40),NB40))),JO40)</f>
        <v>1270</v>
      </c>
      <c r="JQ40" s="20" t="n">
        <f aca="false">IF(AND(H_Direct=1,CQ40&gt;0),MAX(0,JP40-(MIN(CQ40*ALQ39,JP40+NC40)-MIN(MIN(CQ40*ALQ39,JP40+NC40),NC40))),JP40)</f>
        <v>1270</v>
      </c>
      <c r="JR40" s="20" t="n">
        <f aca="false">IF(AND(H_Direct=1,CR40&gt;0),MAX(0,JQ40-(MIN(CR40*ALR39,JQ40+ND40)-MIN(MIN(CR40*ALR39,JQ40+ND40),ND40))),JQ40)</f>
        <v>1270</v>
      </c>
      <c r="JS40" s="20" t="n">
        <f aca="false">IF(AND(H_Direct=1,CS40&gt;0),MAX(0,JR40-(MIN(CS40*ALS39,JR40+NE40)-MIN(MIN(CS40*ALS39,JR40+NE40),NE40))),JR40)</f>
        <v>1270</v>
      </c>
      <c r="JT40" s="20" t="n">
        <f aca="false">IF(AND(H_Direct=1,CT40&gt;0),MAX(0,JS40-(MIN(CT40*ALT39,JS40+NF40)-MIN(MIN(CT40*ALT39,JS40+NF40),NF40))),JS40)</f>
        <v>1270</v>
      </c>
      <c r="JU40" s="20" t="n">
        <f aca="false">IF(AND(H_Direct=1,CU40&gt;0),MAX(0,JT40-(MIN(CU40*ALU39,JT40+NG40)-MIN(MIN(CU40*ALU39,JT40+NG40),NG40))),JT40)</f>
        <v>1270</v>
      </c>
      <c r="JV40" s="20" t="n">
        <f aca="false">IF(AND(H_Direct=1,CV40&gt;0),MAX(0,JU40-(MIN(CV40*ALV39,JU40+NH40)-MIN(MIN(CV40*ALV39,JU40+NH40),NH40))),JU40)</f>
        <v>1270</v>
      </c>
      <c r="JW40" s="20" t="n">
        <f aca="false">IF(AND(H_Direct=1,CW40&gt;0),MAX(0,JV40-(MIN(CW40*ALW39,JV40+NI40)-MIN(MIN(CW40*ALW39,JV40+NI40),NI40))),JV40)</f>
        <v>1270</v>
      </c>
      <c r="JX40" s="20" t="n">
        <f aca="false">IF(AND(H_Direct=1,CX40&gt;0),MAX(0,JW40-(MIN(CX40*ALX39,JW40+NJ40)-MIN(MIN(CX40*ALX39,JW40+NJ40),NJ40))),JW40)</f>
        <v>1270</v>
      </c>
      <c r="JY40" s="20" t="n">
        <f aca="false">IF(AND(H_Direct=1,CY40&gt;0),MAX(0,JX40-(MIN(CY40*(P40+S40),JX40+NK40)-MIN(MIN(CY40*(P40+S40),JX40+NK40),NK40))),JX40)</f>
        <v>1270</v>
      </c>
      <c r="JZ40" s="20" t="n">
        <f aca="false">JY40</f>
        <v>1270</v>
      </c>
      <c r="KA40" s="20" t="n">
        <f aca="false">JZ40</f>
        <v>1270</v>
      </c>
      <c r="KB40" s="20" t="n">
        <f aca="false">KA40</f>
        <v>1270</v>
      </c>
      <c r="KC40" s="20" t="n">
        <f aca="false">KB40</f>
        <v>1270</v>
      </c>
      <c r="KD40" s="20" t="n">
        <f aca="false">KC40</f>
        <v>1270</v>
      </c>
      <c r="KE40" s="20" t="n">
        <f aca="false">KD40</f>
        <v>1270</v>
      </c>
      <c r="KF40" s="20" t="n">
        <f aca="false">KE40</f>
        <v>1270</v>
      </c>
      <c r="KG40" s="20" t="n">
        <f aca="false">KF40</f>
        <v>1270</v>
      </c>
      <c r="KH40" s="20" t="n">
        <f aca="false">KG40</f>
        <v>1270</v>
      </c>
      <c r="KI40" s="20" t="n">
        <f aca="false">KH40</f>
        <v>1270</v>
      </c>
      <c r="KJ40" s="20" t="n">
        <f aca="false">KI40</f>
        <v>1270</v>
      </c>
      <c r="KK40" s="20" t="n">
        <f aca="false">KJ40</f>
        <v>1270</v>
      </c>
      <c r="KL40" s="20" t="n">
        <f aca="false">KK40</f>
        <v>1270</v>
      </c>
      <c r="KM40" s="20" t="n">
        <f aca="false">KL40</f>
        <v>1270</v>
      </c>
      <c r="KN40" s="20" t="n">
        <f aca="false">KM40</f>
        <v>1270</v>
      </c>
      <c r="KO40" s="20" t="n">
        <f aca="false">KN40</f>
        <v>1270</v>
      </c>
      <c r="KP40" s="20" t="n">
        <f aca="false">KO40</f>
        <v>1270</v>
      </c>
      <c r="KQ40" s="20" t="n">
        <f aca="false">KP40</f>
        <v>1270</v>
      </c>
      <c r="KR40" s="20" t="n">
        <f aca="false">KQ40</f>
        <v>1270</v>
      </c>
      <c r="KS40" s="20" t="n">
        <f aca="false">KR40</f>
        <v>1270</v>
      </c>
      <c r="KT40" s="20" t="n">
        <f aca="false">KS40</f>
        <v>1270</v>
      </c>
      <c r="KU40" s="20" t="n">
        <f aca="false">KT40</f>
        <v>1270</v>
      </c>
      <c r="KV40" s="20" t="n">
        <f aca="false">KU40</f>
        <v>1270</v>
      </c>
      <c r="KW40" s="20" t="n">
        <f aca="false">KV40</f>
        <v>1270</v>
      </c>
      <c r="KX40" s="20" t="n">
        <f aca="false">KW40</f>
        <v>1270</v>
      </c>
      <c r="KY40" s="20" t="n">
        <f aca="false">KX40</f>
        <v>1270</v>
      </c>
      <c r="KZ40" s="20" t="n">
        <f aca="false">KY40</f>
        <v>1270</v>
      </c>
      <c r="LA40" s="20" t="n">
        <f aca="false">KZ40</f>
        <v>1270</v>
      </c>
      <c r="LB40" s="20" t="n">
        <f aca="false">LA40</f>
        <v>1270</v>
      </c>
      <c r="LC40" s="20" t="n">
        <f aca="false">LB40</f>
        <v>1270</v>
      </c>
      <c r="LD40" s="20" t="n">
        <f aca="false">LC40</f>
        <v>1270</v>
      </c>
      <c r="LE40" s="20" t="n">
        <f aca="false">LD40</f>
        <v>1270</v>
      </c>
      <c r="LF40" s="20" t="n">
        <f aca="false">LE40</f>
        <v>1270</v>
      </c>
      <c r="LG40" s="20" t="n">
        <f aca="false">LF40</f>
        <v>1270</v>
      </c>
      <c r="LH40" s="20" t="n">
        <f aca="false">LG40</f>
        <v>1270</v>
      </c>
      <c r="LI40" s="20" t="n">
        <f aca="false">LH40</f>
        <v>1270</v>
      </c>
      <c r="LJ40" s="20" t="n">
        <f aca="false">LI40</f>
        <v>1270</v>
      </c>
      <c r="LK40" s="20" t="n">
        <f aca="false">LJ40</f>
        <v>1270</v>
      </c>
      <c r="LL40" s="20" t="n">
        <f aca="false">LK40</f>
        <v>1270</v>
      </c>
      <c r="LM40" s="20" t="n">
        <f aca="false">LL40</f>
        <v>1270</v>
      </c>
      <c r="LN40" s="20" t="n">
        <f aca="false">LM40</f>
        <v>1270</v>
      </c>
      <c r="LO40" s="20" t="n">
        <f aca="false">LN40</f>
        <v>1270</v>
      </c>
      <c r="LP40" s="20" t="n">
        <f aca="false">LO40</f>
        <v>1270</v>
      </c>
      <c r="LQ40" s="20" t="n">
        <f aca="false">LP40</f>
        <v>1270</v>
      </c>
      <c r="LR40" s="20" t="n">
        <f aca="false">LQ40</f>
        <v>1270</v>
      </c>
      <c r="LS40" s="20" t="n">
        <f aca="false">LR40</f>
        <v>1270</v>
      </c>
      <c r="LT40" s="20" t="n">
        <f aca="false">LS40</f>
        <v>1270</v>
      </c>
      <c r="LU40" s="20" t="n">
        <f aca="false">LT40</f>
        <v>1270</v>
      </c>
      <c r="LV40" s="20" t="n">
        <f aca="false">LU40</f>
        <v>1270</v>
      </c>
      <c r="LW40" s="20" t="n">
        <f aca="false">LV40</f>
        <v>1270</v>
      </c>
      <c r="LX40" s="20" t="n">
        <f aca="false">LW40</f>
        <v>1270</v>
      </c>
      <c r="LY40" s="20" t="n">
        <f aca="false">LX40</f>
        <v>1270</v>
      </c>
      <c r="LZ40" s="20" t="n">
        <f aca="false">LY40</f>
        <v>1270</v>
      </c>
      <c r="MA40" s="20" t="n">
        <f aca="false">LZ40</f>
        <v>1270</v>
      </c>
      <c r="MB40" s="20" t="n">
        <f aca="false">MA40</f>
        <v>1270</v>
      </c>
      <c r="MC40" s="20" t="n">
        <f aca="false">MB40</f>
        <v>1270</v>
      </c>
      <c r="MD40" s="20" t="n">
        <f aca="false">MC40</f>
        <v>1270</v>
      </c>
      <c r="ME40" s="20" t="n">
        <f aca="false">IF(H_Direct=1,IF(BR40&lt;=0,I40-BR40*AKR39,I40-MIN(MIN(BR40*AKR39,H40+I40),I40)),I40)</f>
        <v>0</v>
      </c>
      <c r="MF40" s="20" t="n">
        <f aca="false">IF(H_Direct=1,IF(BS40&lt;=0,ME40-BS40*AKS39,ME40-MIN(MIN(BS40*AKS39,IR40+ME40),ME40)),ME40)</f>
        <v>0</v>
      </c>
      <c r="MG40" s="20" t="n">
        <f aca="false">IF(H_Direct=1,IF(BT40&lt;=0,MF40-BT40*AKT39,MF40-MIN(MIN(BT40*AKT39,IS40+MF40),MF40)),MF40)</f>
        <v>0</v>
      </c>
      <c r="MH40" s="20" t="n">
        <f aca="false">IF(H_Direct=1,IF(BU40&lt;=0,MG40-BU40*AKU39,MG40-MIN(MIN(BU40*AKU39,IT40+MG40),MG40)),MG40)</f>
        <v>0</v>
      </c>
      <c r="MI40" s="20" t="n">
        <f aca="false">IF(H_Direct=1,IF(BV40&lt;=0,MH40-BV40*AKV39,MH40-MIN(MIN(BV40*AKV39,IU40+MH40),MH40)),MH40)</f>
        <v>0</v>
      </c>
      <c r="MJ40" s="20" t="n">
        <f aca="false">IF(H_Direct=1,IF(BW40&lt;=0,MI40-BW40*AKW39,MI40-MIN(MIN(BW40*AKW39,IV40+MI40),MI40)),MI40)</f>
        <v>0</v>
      </c>
      <c r="MK40" s="20" t="n">
        <f aca="false">IF(H_Direct=1,IF(BX40&lt;=0,MJ40-BX40*AKX39,MJ40-MIN(MIN(BX40*AKX39,IW40+MJ40),MJ40)),MJ40)</f>
        <v>0</v>
      </c>
      <c r="ML40" s="20" t="n">
        <f aca="false">IF(H_Direct=1,IF(BY40&lt;=0,MK40-BY40*AKY39,MK40-MIN(MIN(BY40*AKY39,IX40+MK40),MK40)),MK40)</f>
        <v>0</v>
      </c>
      <c r="MM40" s="20" t="n">
        <f aca="false">IF(H_Direct=1,IF(BZ40&lt;=0,ML40-BZ40*AKZ39,ML40-MIN(MIN(BZ40*AKZ39,IY40+ML40),ML40)),ML40)</f>
        <v>0</v>
      </c>
      <c r="MN40" s="20" t="n">
        <f aca="false">IF(H_Direct=1,IF(CA40&lt;=0,MM40-CA40*ALA39,MM40-MIN(MIN(CA40*ALA39,IZ40+MM40),MM40)),MM40)</f>
        <v>0</v>
      </c>
      <c r="MO40" s="20" t="n">
        <f aca="false">IF(H_Direct=1,IF(CB40&lt;=0,MN40-CB40*ALB39,MN40-MIN(MIN(CB40*ALB39,JA40+MN40),MN40)),MN40)</f>
        <v>0</v>
      </c>
      <c r="MP40" s="20" t="n">
        <f aca="false">IF(H_Direct=1,IF(CC40&lt;=0,MO40-CC40*ALC39,MO40-MIN(MIN(CC40*ALC39,JB40+MO40),MO40)),MO40)</f>
        <v>0</v>
      </c>
      <c r="MQ40" s="20" t="n">
        <f aca="false">IF(H_Direct=1,IF(CD40&lt;=0,MP40-CD40*ALD39,MP40-MIN(MIN(CD40*ALD39,JC40+MP40),MP40)),MP40)</f>
        <v>0</v>
      </c>
      <c r="MR40" s="20" t="n">
        <f aca="false">IF(H_Direct=1,IF(CE40&lt;=0,MQ40-CE40*ALE39,MQ40-MIN(MIN(CE40*ALE39,JD40+MQ40),MQ40)),MQ40)</f>
        <v>0</v>
      </c>
      <c r="MS40" s="20" t="n">
        <f aca="false">IF(H_Direct=1,IF(CF40&lt;=0,MR40-CF40*ALF39,MR40-MIN(MIN(CF40*ALF39,JE40+MR40),MR40)),MR40)</f>
        <v>0</v>
      </c>
      <c r="MT40" s="20" t="n">
        <f aca="false">IF(H_Direct=1,IF(CG40&lt;=0,MS40-CG40*ALG39,MS40-MIN(MIN(CG40*ALG39,JF40+MS40),MS40)),MS40)</f>
        <v>0</v>
      </c>
      <c r="MU40" s="20" t="n">
        <f aca="false">IF(H_Direct=1,IF(CH40&lt;=0,MT40-CH40*ALH39,MT40-MIN(MIN(CH40*ALH39,JG40+MT40),MT40)),MT40)</f>
        <v>0</v>
      </c>
      <c r="MV40" s="20" t="n">
        <f aca="false">IF(H_Direct=1,IF(CI40&lt;=0,MU40-CI40*ALI39,MU40-MIN(MIN(CI40*ALI39,JH40+MU40),MU40)),MU40)</f>
        <v>0</v>
      </c>
      <c r="MW40" s="20" t="n">
        <f aca="false">IF(H_Direct=1,IF(CJ40&lt;=0,MV40-CJ40*ALJ39,MV40-MIN(MIN(CJ40*ALJ39,JI40+MV40),MV40)),MV40)</f>
        <v>0</v>
      </c>
      <c r="MX40" s="20" t="n">
        <f aca="false">IF(H_Direct=1,IF(CK40&lt;=0,MW40-CK40*ALK39,MW40-MIN(MIN(CK40*ALK39,JJ40+MW40),MW40)),MW40)</f>
        <v>0</v>
      </c>
      <c r="MY40" s="20" t="n">
        <f aca="false">IF(H_Direct=1,IF(CL40&lt;=0,MX40-CL40*ALL39,MX40-MIN(MIN(CL40*ALL39,JK40+MX40),MX40)),MX40)</f>
        <v>0</v>
      </c>
      <c r="MZ40" s="20" t="n">
        <f aca="false">IF(H_Direct=1,IF(CM40&lt;=0,MY40-CM40*ALM39,MY40-MIN(MIN(CM40*ALM39,JL40+MY40),MY40)),MY40)</f>
        <v>0</v>
      </c>
      <c r="NA40" s="20" t="n">
        <f aca="false">IF(H_Direct=1,IF(CN40&lt;=0,MZ40-CN40*ALN39,MZ40-MIN(MIN(CN40*ALN39,JM40+MZ40),MZ40)),MZ40)</f>
        <v>0</v>
      </c>
      <c r="NB40" s="20" t="n">
        <f aca="false">IF(H_Direct=1,IF(CO40&lt;=0,NA40-CO40*ALO39,NA40-MIN(MIN(CO40*ALO39,JN40+NA40),NA40)),NA40)</f>
        <v>0</v>
      </c>
      <c r="NC40" s="20" t="n">
        <f aca="false">IF(H_Direct=1,IF(CP40&lt;=0,NB40-CP40*ALP39,NB40-MIN(MIN(CP40*ALP39,JO40+NB40),NB40)),NB40)</f>
        <v>0</v>
      </c>
      <c r="ND40" s="20" t="n">
        <f aca="false">IF(H_Direct=1,IF(CQ40&lt;=0,NC40-CQ40*ALQ39,NC40-MIN(MIN(CQ40*ALQ39,JP40+NC40),NC40)),NC40)</f>
        <v>0</v>
      </c>
      <c r="NE40" s="20" t="n">
        <f aca="false">IF(H_Direct=1,IF(CR40&lt;=0,ND40-CR40*ALR39,ND40-MIN(MIN(CR40*ALR39,JQ40+ND40),ND40)),ND40)</f>
        <v>0</v>
      </c>
      <c r="NF40" s="20" t="n">
        <f aca="false">IF(H_Direct=1,IF(CS40&lt;=0,NE40-CS40*ALS39,NE40-MIN(MIN(CS40*ALS39,JR40+NE40),NE40)),NE40)</f>
        <v>0</v>
      </c>
      <c r="NG40" s="20" t="n">
        <f aca="false">IF(H_Direct=1,IF(CT40&lt;=0,NF40-CT40*ALT39,NF40-MIN(MIN(CT40*ALT39,JS40+NF40),NF40)),NF40)</f>
        <v>0</v>
      </c>
      <c r="NH40" s="20" t="n">
        <f aca="false">IF(H_Direct=1,IF(CU40&lt;=0,NG40-CU40*ALU39,NG40-MIN(MIN(CU40*ALU39,JT40+NG40),NG40)),NG40)</f>
        <v>0</v>
      </c>
      <c r="NI40" s="20" t="n">
        <f aca="false">IF(H_Direct=1,IF(CV40&lt;=0,NH40-CV40*ALV39,NH40-MIN(MIN(CV40*ALV39,JU40+NH40),NH40)),NH40)</f>
        <v>0</v>
      </c>
      <c r="NJ40" s="20" t="n">
        <f aca="false">IF(H_Direct=1,IF(CW40&lt;=0,NI40-CW40*ALW39,NI40-MIN(MIN(CW40*ALW39,JV40+NI40),NI40)),NI40)</f>
        <v>0</v>
      </c>
      <c r="NK40" s="20" t="n">
        <f aca="false">IF(H_Direct=1,IF(CX40&lt;=0,NJ40-CX40*ALX39,NJ40-MIN(MIN(CX40*ALX39,JW40+NJ40),NJ40)),NJ40)</f>
        <v>0</v>
      </c>
      <c r="NL40" s="20" t="n">
        <f aca="false">IF(H_Direct=1,IF(CY40&lt;=0,NK40-CY40*(P40+S40),NK40-MIN(MIN(CY40*(P40+S40),JX40+NK40),NK40)),NK40)</f>
        <v>0</v>
      </c>
      <c r="NM40" s="20" t="n">
        <f aca="false">NL40</f>
        <v>0</v>
      </c>
      <c r="NN40" s="20" t="n">
        <f aca="false">NM40</f>
        <v>0</v>
      </c>
      <c r="NO40" s="20" t="n">
        <f aca="false">NN40</f>
        <v>0</v>
      </c>
      <c r="NP40" s="20" t="n">
        <f aca="false">NO40</f>
        <v>0</v>
      </c>
      <c r="NQ40" s="20" t="n">
        <f aca="false">NP40</f>
        <v>0</v>
      </c>
      <c r="NR40" s="20" t="n">
        <f aca="false">NQ40</f>
        <v>0</v>
      </c>
      <c r="NS40" s="20" t="n">
        <f aca="false">NR40</f>
        <v>0</v>
      </c>
      <c r="NT40" s="20" t="n">
        <f aca="false">NS40</f>
        <v>0</v>
      </c>
      <c r="NU40" s="20" t="n">
        <f aca="false">NT40</f>
        <v>0</v>
      </c>
      <c r="NV40" s="20" t="n">
        <f aca="false">NU40</f>
        <v>0</v>
      </c>
      <c r="NW40" s="20" t="n">
        <f aca="false">NV40</f>
        <v>0</v>
      </c>
      <c r="NX40" s="20" t="n">
        <f aca="false">NW40</f>
        <v>0</v>
      </c>
      <c r="NY40" s="20" t="n">
        <f aca="false">NX40</f>
        <v>0</v>
      </c>
      <c r="NZ40" s="20" t="n">
        <f aca="false">NY40</f>
        <v>0</v>
      </c>
      <c r="OA40" s="20" t="n">
        <f aca="false">NZ40</f>
        <v>0</v>
      </c>
      <c r="OB40" s="20" t="n">
        <f aca="false">OA40</f>
        <v>0</v>
      </c>
      <c r="OC40" s="20" t="n">
        <f aca="false">OB40</f>
        <v>0</v>
      </c>
      <c r="OD40" s="20" t="n">
        <f aca="false">OC40</f>
        <v>0</v>
      </c>
      <c r="OE40" s="20" t="n">
        <f aca="false">OD40</f>
        <v>0</v>
      </c>
      <c r="OF40" s="20" t="n">
        <f aca="false">OE40</f>
        <v>0</v>
      </c>
      <c r="OG40" s="20" t="n">
        <f aca="false">OF40</f>
        <v>0</v>
      </c>
      <c r="OH40" s="20" t="n">
        <f aca="false">OG40</f>
        <v>0</v>
      </c>
      <c r="OI40" s="20" t="n">
        <f aca="false">OH40</f>
        <v>0</v>
      </c>
      <c r="OJ40" s="20" t="n">
        <f aca="false">OI40</f>
        <v>0</v>
      </c>
      <c r="OK40" s="20" t="n">
        <f aca="false">OJ40</f>
        <v>0</v>
      </c>
      <c r="OL40" s="20" t="n">
        <f aca="false">OK40</f>
        <v>0</v>
      </c>
      <c r="OM40" s="20" t="n">
        <f aca="false">OL40</f>
        <v>0</v>
      </c>
      <c r="ON40" s="20" t="n">
        <f aca="false">OM40</f>
        <v>0</v>
      </c>
      <c r="OO40" s="20" t="n">
        <f aca="false">ON40</f>
        <v>0</v>
      </c>
      <c r="OP40" s="20" t="n">
        <f aca="false">OO40</f>
        <v>0</v>
      </c>
      <c r="OQ40" s="20" t="n">
        <f aca="false">OP40</f>
        <v>0</v>
      </c>
      <c r="OR40" s="20" t="n">
        <f aca="false">OQ40</f>
        <v>0</v>
      </c>
      <c r="OS40" s="20" t="n">
        <f aca="false">OR40</f>
        <v>0</v>
      </c>
      <c r="OT40" s="20" t="n">
        <f aca="false">OS40</f>
        <v>0</v>
      </c>
      <c r="OU40" s="20" t="n">
        <f aca="false">OT40</f>
        <v>0</v>
      </c>
      <c r="OV40" s="20" t="n">
        <f aca="false">OU40</f>
        <v>0</v>
      </c>
      <c r="OW40" s="20" t="n">
        <f aca="false">OV40</f>
        <v>0</v>
      </c>
      <c r="OX40" s="20" t="n">
        <f aca="false">OW40</f>
        <v>0</v>
      </c>
      <c r="OY40" s="20" t="n">
        <f aca="false">OX40</f>
        <v>0</v>
      </c>
      <c r="OZ40" s="20" t="n">
        <f aca="false">OY40</f>
        <v>0</v>
      </c>
      <c r="PA40" s="20" t="n">
        <f aca="false">OZ40</f>
        <v>0</v>
      </c>
      <c r="PB40" s="20" t="n">
        <f aca="false">PA40</f>
        <v>0</v>
      </c>
      <c r="PC40" s="20" t="n">
        <f aca="false">PB40</f>
        <v>0</v>
      </c>
      <c r="PD40" s="20" t="n">
        <f aca="false">PC40</f>
        <v>0</v>
      </c>
      <c r="PE40" s="20" t="n">
        <f aca="false">PD40</f>
        <v>0</v>
      </c>
      <c r="PF40" s="20" t="n">
        <f aca="false">PE40</f>
        <v>0</v>
      </c>
      <c r="PG40" s="20" t="n">
        <f aca="false">PF40</f>
        <v>0</v>
      </c>
      <c r="PH40" s="20" t="n">
        <f aca="false">PG40</f>
        <v>0</v>
      </c>
      <c r="PI40" s="20" t="n">
        <f aca="false">PH40</f>
        <v>0</v>
      </c>
      <c r="PJ40" s="20" t="n">
        <f aca="false">PI40</f>
        <v>0</v>
      </c>
      <c r="PK40" s="20" t="n">
        <f aca="false">PJ40</f>
        <v>0</v>
      </c>
      <c r="PL40" s="20" t="n">
        <f aca="false">PK40</f>
        <v>0</v>
      </c>
      <c r="PM40" s="20" t="n">
        <f aca="false">PL40</f>
        <v>0</v>
      </c>
      <c r="PN40" s="20" t="n">
        <f aca="false">PM40</f>
        <v>0</v>
      </c>
      <c r="PO40" s="20" t="n">
        <f aca="false">PN40</f>
        <v>0</v>
      </c>
      <c r="PP40" s="20" t="n">
        <f aca="false">PO40</f>
        <v>0</v>
      </c>
      <c r="PQ40" s="20" t="n">
        <f aca="false">PP40</f>
        <v>0</v>
      </c>
      <c r="PR40" s="20" t="n">
        <f aca="false">IF(H_Direct=1,IF(AKR39&lt;=0,0,IF(BR40&lt;=0,MIN(MAX(0,AB40),AKR39),MIN(MAX(0,AB40),AKR39-G40*MAX(0,BR40*AKR39-(H40+I40))))),MIN(FE40,MAX(0,AB40)))</f>
        <v>0</v>
      </c>
      <c r="PS40" s="20" t="n">
        <f aca="false">IF(H_Direct=1,IF(AKS39&lt;=0,0,IF(BS40&lt;=0,MIN(MAX(0,AB40-SUM(PR40:PR40)),AKS39),MIN(MAX(0,AB40-SUM(PR40:PR40)),AKS39-G40*MAX(0,BS40*AKS39-(WR40+AAE40))))),MIN(FF40,MAX(0,AB40-SUM(PR40:PR40))))</f>
        <v>0</v>
      </c>
      <c r="PT40" s="20" t="n">
        <f aca="false">IF(H_Direct=1,IF(AKT39&lt;=0,0,IF(BT40&lt;=0,MIN(MAX(0,AB40-SUM(PR40:PS40)),AKT39),MIN(MAX(0,AB40-SUM(PR40:PS40)),AKT39-G40*MAX(0,BT40*AKT39-(WS40+AAF40))))),MIN(FG40,MAX(0,AB40-SUM(PR40:PS40))))</f>
        <v>0</v>
      </c>
      <c r="PU40" s="20" t="n">
        <f aca="false">IF(H_Direct=1,IF(AKU39&lt;=0,0,IF(BU40&lt;=0,MIN(MAX(0,AB40-SUM(PR40:PT40)),AKU39),MIN(MAX(0,AB40-SUM(PR40:PT40)),AKU39-G40*MAX(0,BU40*AKU39-(WT40+AAG40))))),MIN(FH40,MAX(0,AB40-SUM(PR40:PT40))))</f>
        <v>0</v>
      </c>
      <c r="PV40" s="20" t="n">
        <f aca="false">IF(H_Direct=1,IF(AKV39&lt;=0,0,IF(BV40&lt;=0,MIN(MAX(0,AB40-SUM(PR40:PU40)),AKV39),MIN(MAX(0,AB40-SUM(PR40:PU40)),AKV39-G40*MAX(0,BV40*AKV39-(WU40+AAH40))))),MIN(FI40,MAX(0,AB40-SUM(PR40:PU40))))</f>
        <v>0</v>
      </c>
      <c r="PW40" s="20" t="n">
        <f aca="false">IF(H_Direct=1,IF(AKW39&lt;=0,0,IF(BW40&lt;=0,MIN(MAX(0,AB40-SUM(PR40:PV40)),AKW39),MIN(MAX(0,AB40-SUM(PR40:PV40)),AKW39-G40*MAX(0,BW40*AKW39-(WV40+AAI40))))),MIN(FJ40,MAX(0,AB40-SUM(PR40:PV40))))</f>
        <v>0</v>
      </c>
      <c r="PX40" s="20" t="n">
        <f aca="false">IF(H_Direct=1,IF(AKX39&lt;=0,0,IF(BX40&lt;=0,MIN(MAX(0,AB40-SUM(PR40:PW40)),AKX39),MIN(MAX(0,AB40-SUM(PR40:PW40)),AKX39-G40*MAX(0,BX40*AKX39-(WW40+AAJ40))))),MIN(FK40,MAX(0,AB40-SUM(PR40:PW40))))</f>
        <v>0</v>
      </c>
      <c r="PY40" s="20" t="n">
        <f aca="false">IF(H_Direct=1,IF(AKY39&lt;=0,0,IF(BY40&lt;=0,MIN(MAX(0,AB40-SUM(PR40:PX40)),AKY39),MIN(MAX(0,AB40-SUM(PR40:PX40)),AKY39-G40*MAX(0,BY40*AKY39-(WX40+AAK40))))),MIN(FL40,MAX(0,AB40-SUM(PR40:PX40))))</f>
        <v>0</v>
      </c>
      <c r="PZ40" s="20" t="n">
        <f aca="false">IF(H_Direct=1,IF(AKZ39&lt;=0,0,IF(BZ40&lt;=0,MIN(MAX(0,AB40-SUM(PR40:PY40)),AKZ39),MIN(MAX(0,AB40-SUM(PR40:PY40)),AKZ39-G40*MAX(0,BZ40*AKZ39-(WY40+AAL40))))),MIN(FM40,MAX(0,AB40-SUM(PR40:PY40))))</f>
        <v>0</v>
      </c>
      <c r="QA40" s="20" t="n">
        <f aca="false">IF(H_Direct=1,IF(ALA39&lt;=0,0,IF(CA40&lt;=0,MIN(MAX(0,AB40-SUM(PR40:PZ40)),ALA39),MIN(MAX(0,AB40-SUM(PR40:PZ40)),ALA39-G40*MAX(0,CA40*ALA39-(WZ40+AAM40))))),MIN(FN40,MAX(0,AB40-SUM(PR40:PZ40))))</f>
        <v>0</v>
      </c>
      <c r="QB40" s="20" t="n">
        <f aca="false">IF(H_Direct=1,IF(ALB39&lt;=0,0,IF(CB40&lt;=0,MIN(MAX(0,AB40-SUM(PR40:QA40)),ALB39),MIN(MAX(0,AB40-SUM(PR40:QA40)),ALB39-G40*MAX(0,CB40*ALB39-(XA40+AAN40))))),MIN(FO40,MAX(0,AB40-SUM(PR40:QA40))))</f>
        <v>0</v>
      </c>
      <c r="QC40" s="20" t="n">
        <f aca="false">IF(H_Direct=1,IF(ALC39&lt;=0,0,IF(CC40&lt;=0,MIN(MAX(0,AB40-SUM(PR40:QB40)),ALC39),MIN(MAX(0,AB40-SUM(PR40:QB40)),ALC39-G40*MAX(0,CC40*ALC39-(XB40+AAO40))))),MIN(FP40,MAX(0,AB40-SUM(PR40:QB40))))</f>
        <v>0</v>
      </c>
      <c r="QD40" s="20" t="n">
        <f aca="false">IF(H_Direct=1,IF(ALD39&lt;=0,0,IF(CD40&lt;=0,MIN(MAX(0,AB40-SUM(PR40:QC40)),ALD39),MIN(MAX(0,AB40-SUM(PR40:QC40)),ALD39-G40*MAX(0,CD40*ALD39-(XC40+AAP40))))),MIN(FQ40,MAX(0,AB40-SUM(PR40:QC40))))</f>
        <v>0</v>
      </c>
      <c r="QE40" s="20" t="n">
        <f aca="false">IF(H_Direct=1,IF(ALE39&lt;=0,0,IF(CE40&lt;=0,MIN(MAX(0,AB40-SUM(PR40:QD40)),ALE39),MIN(MAX(0,AB40-SUM(PR40:QD40)),ALE39-G40*MAX(0,CE40*ALE39-(XD40+AAQ40))))),MIN(FR40,MAX(0,AB40-SUM(PR40:QD40))))</f>
        <v>0</v>
      </c>
      <c r="QF40" s="20" t="n">
        <f aca="false">IF(H_Direct=1,IF(ALF39&lt;=0,0,IF(CF40&lt;=0,MIN(MAX(0,AB40-SUM(PR40:QE40)),ALF39),MIN(MAX(0,AB40-SUM(PR40:QE40)),ALF39-G40*MAX(0,CF40*ALF39-(XE40+AAR40))))),MIN(FS40,MAX(0,AB40-SUM(PR40:QE40))))</f>
        <v>0</v>
      </c>
      <c r="QG40" s="20" t="n">
        <f aca="false">IF(H_Direct=1,IF(ALG39&lt;=0,0,IF(CG40&lt;=0,MIN(MAX(0,AB40-SUM(PR40:QF40)),ALG39),MIN(MAX(0,AB40-SUM(PR40:QF40)),ALG39-G40*MAX(0,CG40*ALG39-(XF40+AAS40))))),MIN(FT40,MAX(0,AB40-SUM(PR40:QF40))))</f>
        <v>0</v>
      </c>
      <c r="QH40" s="20" t="n">
        <f aca="false">IF(H_Direct=1,IF(ALH39&lt;=0,0,IF(CH40&lt;=0,MIN(MAX(0,AB40-SUM(PR40:QG40)),ALH39),MIN(MAX(0,AB40-SUM(PR40:QG40)),ALH39-G40*MAX(0,CH40*ALH39-(XG40+AAT40))))),MIN(FU40,MAX(0,AB40-SUM(PR40:QG40))))</f>
        <v>0</v>
      </c>
      <c r="QI40" s="20" t="n">
        <f aca="false">IF(H_Direct=1,IF(ALI39&lt;=0,0,IF(CI40&lt;=0,MIN(MAX(0,AB40-SUM(PR40:QH40)),ALI39),MIN(MAX(0,AB40-SUM(PR40:QH40)),ALI39-G40*MAX(0,CI40*ALI39-(XH40+AAU40))))),MIN(FV40,MAX(0,AB40-SUM(PR40:QH40))))</f>
        <v>0</v>
      </c>
      <c r="QJ40" s="20" t="n">
        <f aca="false">IF(H_Direct=1,IF(ALJ39&lt;=0,0,IF(CJ40&lt;=0,MIN(MAX(0,AB40-SUM(PR40:QI40)),ALJ39),MIN(MAX(0,AB40-SUM(PR40:QI40)),ALJ39-G40*MAX(0,CJ40*ALJ39-(XI40+AAV40))))),MIN(FW40,MAX(0,AB40-SUM(PR40:QI40))))</f>
        <v>0</v>
      </c>
      <c r="QK40" s="20" t="n">
        <f aca="false">IF(H_Direct=1,IF(ALK39&lt;=0,0,IF(CK40&lt;=0,MIN(MAX(0,AB40-SUM(PR40:QJ40)),ALK39),MIN(MAX(0,AB40-SUM(PR40:QJ40)),ALK39-G40*MAX(0,CK40*ALK39-(XJ40+AAW40))))),MIN(FX40,MAX(0,AB40-SUM(PR40:QJ40))))</f>
        <v>0</v>
      </c>
      <c r="QL40" s="20" t="n">
        <f aca="false">IF(H_Direct=1,IF(ALL39&lt;=0,0,IF(CL40&lt;=0,MIN(MAX(0,AB40-SUM(PR40:QK40)),ALL39),MIN(MAX(0,AB40-SUM(PR40:QK40)),ALL39-G40*MAX(0,CL40*ALL39-(XK40+AAX40))))),MIN(FY40,MAX(0,AB40-SUM(PR40:QK40))))</f>
        <v>0</v>
      </c>
      <c r="QM40" s="20" t="n">
        <f aca="false">IF(H_Direct=1,IF(ALM39&lt;=0,0,IF(CM40&lt;=0,MIN(MAX(0,AB40-SUM(PR40:QL40)),ALM39),MIN(MAX(0,AB40-SUM(PR40:QL40)),ALM39-G40*MAX(0,CM40*ALM39-(XL40+AAY40))))),MIN(FZ40,MAX(0,AB40-SUM(PR40:QL40))))</f>
        <v>0</v>
      </c>
      <c r="QN40" s="20" t="n">
        <f aca="false">IF(H_Direct=1,IF(ALN39&lt;=0,0,IF(CN40&lt;=0,MIN(MAX(0,AB40-SUM(PR40:QM40)),ALN39),MIN(MAX(0,AB40-SUM(PR40:QM40)),ALN39-G40*MAX(0,CN40*ALN39-(XM40+AAZ40))))),MIN(GA40,MAX(0,AB40-SUM(PR40:QM40))))</f>
        <v>0</v>
      </c>
      <c r="QO40" s="20" t="n">
        <f aca="false">IF(H_Direct=1,IF(ALO39&lt;=0,0,IF(CO40&lt;=0,MIN(MAX(0,AB40-SUM(PR40:QN40)),ALO39),MIN(MAX(0,AB40-SUM(PR40:QN40)),ALO39-G40*MAX(0,CO40*ALO39-(XN40+ABA40))))),MIN(GB40,MAX(0,AB40-SUM(PR40:QN40))))</f>
        <v>0</v>
      </c>
      <c r="QP40" s="20" t="n">
        <f aca="false">IF(H_Direct=1,IF(ALP39&lt;=0,0,IF(CP40&lt;=0,MIN(MAX(0,AB40-SUM(PR40:QO40)),ALP39),MIN(MAX(0,AB40-SUM(PR40:QO40)),ALP39-G40*MAX(0,CP40*ALP39-(XO40+ABB40))))),MIN(GC40,MAX(0,AB40-SUM(PR40:QO40))))</f>
        <v>0</v>
      </c>
      <c r="QQ40" s="20" t="n">
        <f aca="false">IF(H_Direct=1,IF(ALQ39&lt;=0,0,IF(CQ40&lt;=0,MIN(MAX(0,AB40-SUM(PR40:QP40)),ALQ39),MIN(MAX(0,AB40-SUM(PR40:QP40)),ALQ39-G40*MAX(0,CQ40*ALQ39-(XP40+ABC40))))),MIN(GD40,MAX(0,AB40-SUM(PR40:QP40))))</f>
        <v>0</v>
      </c>
      <c r="QR40" s="20" t="n">
        <f aca="false">IF(H_Direct=1,IF(ALR39&lt;=0,0,IF(CR40&lt;=0,MIN(MAX(0,AB40-SUM(PR40:QQ40)),ALR39),MIN(MAX(0,AB40-SUM(PR40:QQ40)),ALR39-G40*MAX(0,CR40*ALR39-(XQ40+ABD40))))),MIN(GE40,MAX(0,AB40-SUM(PR40:QQ40))))</f>
        <v>0</v>
      </c>
      <c r="QS40" s="20" t="n">
        <f aca="false">IF(H_Direct=1,IF(ALS39&lt;=0,0,IF(CS40&lt;=0,MIN(MAX(0,AB40-SUM(PR40:QR40)),ALS39),MIN(MAX(0,AB40-SUM(PR40:QR40)),ALS39-G40*MAX(0,CS40*ALS39-(XR40+ABE40))))),MIN(GF40,MAX(0,AB40-SUM(PR40:QR40))))</f>
        <v>0</v>
      </c>
      <c r="QT40" s="20" t="n">
        <f aca="false">IF(H_Direct=1,IF(ALT39&lt;=0,0,IF(CT40&lt;=0,MIN(MAX(0,AB40-SUM(PR40:QS40)),ALT39),MIN(MAX(0,AB40-SUM(PR40:QS40)),ALT39-G40*MAX(0,CT40*ALT39-(XS40+ABF40))))),MIN(GG40,MAX(0,AB40-SUM(PR40:QS40))))</f>
        <v>0</v>
      </c>
      <c r="QU40" s="20" t="n">
        <f aca="false">IF(H_Direct=1,IF(ALU39&lt;=0,0,IF(CU40&lt;=0,MIN(MAX(0,AB40-SUM(PR40:QT40)),ALU39),MIN(MAX(0,AB40-SUM(PR40:QT40)),ALU39-G40*MAX(0,CU40*ALU39-(XT40+ABG40))))),MIN(GH40,MAX(0,AB40-SUM(PR40:QT40))))</f>
        <v>0</v>
      </c>
      <c r="QV40" s="20" t="n">
        <f aca="false">IF(H_Direct=1,IF(ALV39&lt;=0,0,IF(CV40&lt;=0,MIN(MAX(0,AB40-SUM(PR40:QU40)),ALV39),MIN(MAX(0,AB40-SUM(PR40:QU40)),ALV39-G40*MAX(0,CV40*ALV39-(XU40+ABH40))))),MIN(GI40,MAX(0,AB40-SUM(PR40:QU40))))</f>
        <v>0</v>
      </c>
      <c r="QW40" s="20" t="n">
        <f aca="false">IF(H_Direct=1,IF(ALW39&lt;=0,0,IF(CW40&lt;=0,MIN(MAX(0,AB40-SUM(PR40:QV40)),ALW39),MIN(MAX(0,AB40-SUM(PR40:QV40)),ALW39-G40*MAX(0,CW40*ALW39-(XV40+ABI40))))),MIN(GJ40,MAX(0,AB40-SUM(PR40:QV40))))</f>
        <v>0</v>
      </c>
      <c r="QX40" s="20" t="n">
        <f aca="false">IF(H_Direct=1,IF(ALX39&lt;=0,0,IF(CX40&lt;=0,MIN(MAX(0,AB40-SUM(PR40:QW40)),ALX39),MIN(MAX(0,AB40-SUM(PR40:QW40)),ALX39-G40*MAX(0,CX40*ALX39-(XW40+ABJ40))))),MIN(GK40,MAX(0,AB40-SUM(PR40:QW40))))</f>
        <v>0</v>
      </c>
      <c r="QY40" s="20" t="n">
        <f aca="false">IF(H_Direct=1,IF((P40+S40)&lt;=0,0,IF(CY40&lt;=0,MIN(MAX(0,AB40-SUM(PR40:QX40)),(P40+S40)),MIN(MAX(0,AB40-SUM(PR40:QX40)),(P40+S40)-G40*MAX(0,CY40*(P40+S40)-(XX40+ABK40))))),MIN(GL40,MAX(0,AB40-SUM(PR40:QX40))))</f>
        <v>0</v>
      </c>
      <c r="QZ40" s="20" t="n">
        <v>0</v>
      </c>
      <c r="RA40" s="20" t="n">
        <v>0</v>
      </c>
      <c r="RB40" s="20" t="n">
        <v>0</v>
      </c>
      <c r="RC40" s="20" t="n">
        <v>0</v>
      </c>
      <c r="RD40" s="20" t="n">
        <v>0</v>
      </c>
      <c r="RE40" s="20" t="n">
        <v>0</v>
      </c>
      <c r="RF40" s="20" t="n">
        <v>0</v>
      </c>
      <c r="RG40" s="20" t="n">
        <v>0</v>
      </c>
      <c r="RH40" s="20" t="n">
        <v>0</v>
      </c>
      <c r="RI40" s="20" t="n">
        <v>0</v>
      </c>
      <c r="RJ40" s="20" t="n">
        <v>0</v>
      </c>
      <c r="RK40" s="20" t="n">
        <v>0</v>
      </c>
      <c r="RL40" s="20" t="n">
        <v>0</v>
      </c>
      <c r="RM40" s="20" t="n">
        <v>0</v>
      </c>
      <c r="RN40" s="20" t="n">
        <v>0</v>
      </c>
      <c r="RO40" s="20" t="n">
        <v>0</v>
      </c>
      <c r="RP40" s="20" t="n">
        <v>0</v>
      </c>
      <c r="RQ40" s="20" t="n">
        <v>0</v>
      </c>
      <c r="RR40" s="20" t="n">
        <v>0</v>
      </c>
      <c r="RS40" s="20" t="n">
        <v>0</v>
      </c>
      <c r="RT40" s="20" t="n">
        <v>0</v>
      </c>
      <c r="RU40" s="20" t="n">
        <v>0</v>
      </c>
      <c r="RV40" s="20" t="n">
        <v>0</v>
      </c>
      <c r="RW40" s="20" t="n">
        <v>0</v>
      </c>
      <c r="RX40" s="20" t="n">
        <v>0</v>
      </c>
      <c r="RY40" s="20" t="n">
        <v>0</v>
      </c>
      <c r="RZ40" s="20" t="n">
        <v>0</v>
      </c>
      <c r="SA40" s="20" t="n">
        <v>0</v>
      </c>
      <c r="SB40" s="20" t="n">
        <v>0</v>
      </c>
      <c r="SC40" s="20" t="n">
        <v>0</v>
      </c>
      <c r="SD40" s="20" t="n">
        <v>0</v>
      </c>
      <c r="SE40" s="20" t="n">
        <v>0</v>
      </c>
      <c r="SF40" s="20" t="n">
        <v>0</v>
      </c>
      <c r="SG40" s="20" t="n">
        <v>0</v>
      </c>
      <c r="SH40" s="20" t="n">
        <v>0</v>
      </c>
      <c r="SI40" s="20" t="n">
        <v>0</v>
      </c>
      <c r="SJ40" s="20" t="n">
        <v>0</v>
      </c>
      <c r="SK40" s="20" t="n">
        <v>0</v>
      </c>
      <c r="SL40" s="20" t="n">
        <v>0</v>
      </c>
      <c r="SM40" s="20" t="n">
        <v>0</v>
      </c>
      <c r="SN40" s="20" t="n">
        <v>0</v>
      </c>
      <c r="SO40" s="20" t="n">
        <v>0</v>
      </c>
      <c r="SP40" s="20" t="n">
        <v>0</v>
      </c>
      <c r="SQ40" s="20" t="n">
        <v>0</v>
      </c>
      <c r="SR40" s="20" t="n">
        <v>0</v>
      </c>
      <c r="SS40" s="20" t="n">
        <v>0</v>
      </c>
      <c r="ST40" s="20" t="n">
        <v>0</v>
      </c>
      <c r="SU40" s="20" t="n">
        <v>0</v>
      </c>
      <c r="SV40" s="20" t="n">
        <v>0</v>
      </c>
      <c r="SW40" s="20" t="n">
        <v>0</v>
      </c>
      <c r="SX40" s="20" t="n">
        <v>0</v>
      </c>
      <c r="SY40" s="20" t="n">
        <v>0</v>
      </c>
      <c r="SZ40" s="20" t="n">
        <v>0</v>
      </c>
      <c r="TA40" s="20" t="n">
        <v>0</v>
      </c>
      <c r="TB40" s="20" t="n">
        <v>0</v>
      </c>
      <c r="TC40" s="20" t="n">
        <v>0</v>
      </c>
      <c r="TD40" s="20" t="n">
        <v>0</v>
      </c>
      <c r="TE40" s="20" t="n">
        <f aca="false">IF(AKR39&lt;=0,0,IF(H_Direct=1,IF(BR40&lt;=0,PR40,IF(PR40&lt;=(H40+I40)/BR40,PR40,(PR40-G40*(H40+I40))/(1-G40*BR40))),PR40/(1-MAX(0,BR40)*H_Exit)))</f>
        <v>0</v>
      </c>
      <c r="TF40" s="20" t="n">
        <f aca="false">IF(AKS39&lt;=0,0,IF(H_Direct=1,IF(BS40&lt;=0,PS40,IF(PS40&lt;=(WR40+AAE40)/BS40,PS40,(PS40-G40*(WR40+AAE40))/(1-G40*BS40))),PS40/(1-MAX(0,BS40)*H_Exit)))</f>
        <v>0</v>
      </c>
      <c r="TG40" s="20" t="n">
        <f aca="false">IF(AKT39&lt;=0,0,IF(H_Direct=1,IF(BT40&lt;=0,PT40,IF(PT40&lt;=(WS40+AAF40)/BT40,PT40,(PT40-G40*(WS40+AAF40))/(1-G40*BT40))),PT40/(1-MAX(0,BT40)*H_Exit)))</f>
        <v>0</v>
      </c>
      <c r="TH40" s="20" t="n">
        <f aca="false">IF(AKU39&lt;=0,0,IF(H_Direct=1,IF(BU40&lt;=0,PU40,IF(PU40&lt;=(WT40+AAG40)/BU40,PU40,(PU40-G40*(WT40+AAG40))/(1-G40*BU40))),PU40/(1-MAX(0,BU40)*H_Exit)))</f>
        <v>0</v>
      </c>
      <c r="TI40" s="20" t="n">
        <f aca="false">IF(AKV39&lt;=0,0,IF(H_Direct=1,IF(BV40&lt;=0,PV40,IF(PV40&lt;=(WU40+AAH40)/BV40,PV40,(PV40-G40*(WU40+AAH40))/(1-G40*BV40))),PV40/(1-MAX(0,BV40)*H_Exit)))</f>
        <v>0</v>
      </c>
      <c r="TJ40" s="20" t="n">
        <f aca="false">IF(AKW39&lt;=0,0,IF(H_Direct=1,IF(BW40&lt;=0,PW40,IF(PW40&lt;=(WV40+AAI40)/BW40,PW40,(PW40-G40*(WV40+AAI40))/(1-G40*BW40))),PW40/(1-MAX(0,BW40)*H_Exit)))</f>
        <v>0</v>
      </c>
      <c r="TK40" s="20" t="n">
        <f aca="false">IF(AKX39&lt;=0,0,IF(H_Direct=1,IF(BX40&lt;=0,PX40,IF(PX40&lt;=(WW40+AAJ40)/BX40,PX40,(PX40-G40*(WW40+AAJ40))/(1-G40*BX40))),PX40/(1-MAX(0,BX40)*H_Exit)))</f>
        <v>0</v>
      </c>
      <c r="TL40" s="20" t="n">
        <f aca="false">IF(AKY39&lt;=0,0,IF(H_Direct=1,IF(BY40&lt;=0,PY40,IF(PY40&lt;=(WX40+AAK40)/BY40,PY40,(PY40-G40*(WX40+AAK40))/(1-G40*BY40))),PY40/(1-MAX(0,BY40)*H_Exit)))</f>
        <v>0</v>
      </c>
      <c r="TM40" s="20" t="n">
        <f aca="false">IF(AKZ39&lt;=0,0,IF(H_Direct=1,IF(BZ40&lt;=0,PZ40,IF(PZ40&lt;=(WY40+AAL40)/BZ40,PZ40,(PZ40-G40*(WY40+AAL40))/(1-G40*BZ40))),PZ40/(1-MAX(0,BZ40)*H_Exit)))</f>
        <v>0</v>
      </c>
      <c r="TN40" s="20" t="n">
        <f aca="false">IF(ALA39&lt;=0,0,IF(H_Direct=1,IF(CA40&lt;=0,QA40,IF(QA40&lt;=(WZ40+AAM40)/CA40,QA40,(QA40-G40*(WZ40+AAM40))/(1-G40*CA40))),QA40/(1-MAX(0,CA40)*H_Exit)))</f>
        <v>0</v>
      </c>
      <c r="TO40" s="20" t="n">
        <f aca="false">IF(ALB39&lt;=0,0,IF(H_Direct=1,IF(CB40&lt;=0,QB40,IF(QB40&lt;=(XA40+AAN40)/CB40,QB40,(QB40-G40*(XA40+AAN40))/(1-G40*CB40))),QB40/(1-MAX(0,CB40)*H_Exit)))</f>
        <v>0</v>
      </c>
      <c r="TP40" s="20" t="n">
        <f aca="false">IF(ALC39&lt;=0,0,IF(H_Direct=1,IF(CC40&lt;=0,QC40,IF(QC40&lt;=(XB40+AAO40)/CC40,QC40,(QC40-G40*(XB40+AAO40))/(1-G40*CC40))),QC40/(1-MAX(0,CC40)*H_Exit)))</f>
        <v>0</v>
      </c>
      <c r="TQ40" s="20" t="n">
        <f aca="false">IF(ALD39&lt;=0,0,IF(H_Direct=1,IF(CD40&lt;=0,QD40,IF(QD40&lt;=(XC40+AAP40)/CD40,QD40,(QD40-G40*(XC40+AAP40))/(1-G40*CD40))),QD40/(1-MAX(0,CD40)*H_Exit)))</f>
        <v>0</v>
      </c>
      <c r="TR40" s="20" t="n">
        <f aca="false">IF(ALE39&lt;=0,0,IF(H_Direct=1,IF(CE40&lt;=0,QE40,IF(QE40&lt;=(XD40+AAQ40)/CE40,QE40,(QE40-G40*(XD40+AAQ40))/(1-G40*CE40))),QE40/(1-MAX(0,CE40)*H_Exit)))</f>
        <v>0</v>
      </c>
      <c r="TS40" s="20" t="n">
        <f aca="false">IF(ALF39&lt;=0,0,IF(H_Direct=1,IF(CF40&lt;=0,QF40,IF(QF40&lt;=(XE40+AAR40)/CF40,QF40,(QF40-G40*(XE40+AAR40))/(1-G40*CF40))),QF40/(1-MAX(0,CF40)*H_Exit)))</f>
        <v>0</v>
      </c>
      <c r="TT40" s="20" t="n">
        <f aca="false">IF(ALG39&lt;=0,0,IF(H_Direct=1,IF(CG40&lt;=0,QG40,IF(QG40&lt;=(XF40+AAS40)/CG40,QG40,(QG40-G40*(XF40+AAS40))/(1-G40*CG40))),QG40/(1-MAX(0,CG40)*H_Exit)))</f>
        <v>0</v>
      </c>
      <c r="TU40" s="20" t="n">
        <f aca="false">IF(ALH39&lt;=0,0,IF(H_Direct=1,IF(CH40&lt;=0,QH40,IF(QH40&lt;=(XG40+AAT40)/CH40,QH40,(QH40-G40*(XG40+AAT40))/(1-G40*CH40))),QH40/(1-MAX(0,CH40)*H_Exit)))</f>
        <v>0</v>
      </c>
      <c r="TV40" s="20" t="n">
        <f aca="false">IF(ALI39&lt;=0,0,IF(H_Direct=1,IF(CI40&lt;=0,QI40,IF(QI40&lt;=(XH40+AAU40)/CI40,QI40,(QI40-G40*(XH40+AAU40))/(1-G40*CI40))),QI40/(1-MAX(0,CI40)*H_Exit)))</f>
        <v>0</v>
      </c>
      <c r="TW40" s="20" t="n">
        <f aca="false">IF(ALJ39&lt;=0,0,IF(H_Direct=1,IF(CJ40&lt;=0,QJ40,IF(QJ40&lt;=(XI40+AAV40)/CJ40,QJ40,(QJ40-G40*(XI40+AAV40))/(1-G40*CJ40))),QJ40/(1-MAX(0,CJ40)*H_Exit)))</f>
        <v>0</v>
      </c>
      <c r="TX40" s="20" t="n">
        <f aca="false">IF(ALK39&lt;=0,0,IF(H_Direct=1,IF(CK40&lt;=0,QK40,IF(QK40&lt;=(XJ40+AAW40)/CK40,QK40,(QK40-G40*(XJ40+AAW40))/(1-G40*CK40))),QK40/(1-MAX(0,CK40)*H_Exit)))</f>
        <v>0</v>
      </c>
      <c r="TY40" s="20" t="n">
        <f aca="false">IF(ALL39&lt;=0,0,IF(H_Direct=1,IF(CL40&lt;=0,QL40,IF(QL40&lt;=(XK40+AAX40)/CL40,QL40,(QL40-G40*(XK40+AAX40))/(1-G40*CL40))),QL40/(1-MAX(0,CL40)*H_Exit)))</f>
        <v>0</v>
      </c>
      <c r="TZ40" s="20" t="n">
        <f aca="false">IF(ALM39&lt;=0,0,IF(H_Direct=1,IF(CM40&lt;=0,QM40,IF(QM40&lt;=(XL40+AAY40)/CM40,QM40,(QM40-G40*(XL40+AAY40))/(1-G40*CM40))),QM40/(1-MAX(0,CM40)*H_Exit)))</f>
        <v>0</v>
      </c>
      <c r="UA40" s="20" t="n">
        <f aca="false">IF(ALN39&lt;=0,0,IF(H_Direct=1,IF(CN40&lt;=0,QN40,IF(QN40&lt;=(XM40+AAZ40)/CN40,QN40,(QN40-G40*(XM40+AAZ40))/(1-G40*CN40))),QN40/(1-MAX(0,CN40)*H_Exit)))</f>
        <v>0</v>
      </c>
      <c r="UB40" s="20" t="n">
        <f aca="false">IF(ALO39&lt;=0,0,IF(H_Direct=1,IF(CO40&lt;=0,QO40,IF(QO40&lt;=(XN40+ABA40)/CO40,QO40,(QO40-G40*(XN40+ABA40))/(1-G40*CO40))),QO40/(1-MAX(0,CO40)*H_Exit)))</f>
        <v>0</v>
      </c>
      <c r="UC40" s="20" t="n">
        <f aca="false">IF(ALP39&lt;=0,0,IF(H_Direct=1,IF(CP40&lt;=0,QP40,IF(QP40&lt;=(XO40+ABB40)/CP40,QP40,(QP40-G40*(XO40+ABB40))/(1-G40*CP40))),QP40/(1-MAX(0,CP40)*H_Exit)))</f>
        <v>0</v>
      </c>
      <c r="UD40" s="20" t="n">
        <f aca="false">IF(ALQ39&lt;=0,0,IF(H_Direct=1,IF(CQ40&lt;=0,QQ40,IF(QQ40&lt;=(XP40+ABC40)/CQ40,QQ40,(QQ40-G40*(XP40+ABC40))/(1-G40*CQ40))),QQ40/(1-MAX(0,CQ40)*H_Exit)))</f>
        <v>0</v>
      </c>
      <c r="UE40" s="20" t="n">
        <f aca="false">IF(ALR39&lt;=0,0,IF(H_Direct=1,IF(CR40&lt;=0,QR40,IF(QR40&lt;=(XQ40+ABD40)/CR40,QR40,(QR40-G40*(XQ40+ABD40))/(1-G40*CR40))),QR40/(1-MAX(0,CR40)*H_Exit)))</f>
        <v>0</v>
      </c>
      <c r="UF40" s="20" t="n">
        <f aca="false">IF(ALS39&lt;=0,0,IF(H_Direct=1,IF(CS40&lt;=0,QS40,IF(QS40&lt;=(XR40+ABE40)/CS40,QS40,(QS40-G40*(XR40+ABE40))/(1-G40*CS40))),QS40/(1-MAX(0,CS40)*H_Exit)))</f>
        <v>0</v>
      </c>
      <c r="UG40" s="20" t="n">
        <f aca="false">IF(ALT39&lt;=0,0,IF(H_Direct=1,IF(CT40&lt;=0,QT40,IF(QT40&lt;=(XS40+ABF40)/CT40,QT40,(QT40-G40*(XS40+ABF40))/(1-G40*CT40))),QT40/(1-MAX(0,CT40)*H_Exit)))</f>
        <v>0</v>
      </c>
      <c r="UH40" s="20" t="n">
        <f aca="false">IF(ALU39&lt;=0,0,IF(H_Direct=1,IF(CU40&lt;=0,QU40,IF(QU40&lt;=(XT40+ABG40)/CU40,QU40,(QU40-G40*(XT40+ABG40))/(1-G40*CU40))),QU40/(1-MAX(0,CU40)*H_Exit)))</f>
        <v>0</v>
      </c>
      <c r="UI40" s="20" t="n">
        <f aca="false">IF(ALV39&lt;=0,0,IF(H_Direct=1,IF(CV40&lt;=0,QV40,IF(QV40&lt;=(XU40+ABH40)/CV40,QV40,(QV40-G40*(XU40+ABH40))/(1-G40*CV40))),QV40/(1-MAX(0,CV40)*H_Exit)))</f>
        <v>0</v>
      </c>
      <c r="UJ40" s="20" t="n">
        <f aca="false">IF(ALW39&lt;=0,0,IF(H_Direct=1,IF(CW40&lt;=0,QW40,IF(QW40&lt;=(XV40+ABI40)/CW40,QW40,(QW40-G40*(XV40+ABI40))/(1-G40*CW40))),QW40/(1-MAX(0,CW40)*H_Exit)))</f>
        <v>0</v>
      </c>
      <c r="UK40" s="20" t="n">
        <f aca="false">IF(ALX39&lt;=0,0,IF(H_Direct=1,IF(CX40&lt;=0,QX40,IF(QX40&lt;=(XW40+ABJ40)/CX40,QX40,(QX40-G40*(XW40+ABJ40))/(1-G40*CX40))),QX40/(1-MAX(0,CX40)*H_Exit)))</f>
        <v>0</v>
      </c>
      <c r="UL40" s="20" t="n">
        <f aca="false">IF((P40+S40)&lt;=0,0,IF(H_Direct=1,IF(CY40&lt;=0,QY40,IF(QY40&lt;=(XX40+ABK40)/CY40,QY40,(QY40-G40*(XX40+ABK40))/(1-G40*CY40))),QY40/(1-MAX(0,CY40)*H_Exit)))</f>
        <v>0</v>
      </c>
      <c r="UM40" s="20" t="n">
        <v>0</v>
      </c>
      <c r="UN40" s="20" t="n">
        <v>0</v>
      </c>
      <c r="UO40" s="20" t="n">
        <v>0</v>
      </c>
      <c r="UP40" s="20" t="n">
        <v>0</v>
      </c>
      <c r="UQ40" s="20" t="n">
        <v>0</v>
      </c>
      <c r="UR40" s="20" t="n">
        <v>0</v>
      </c>
      <c r="US40" s="20" t="n">
        <v>0</v>
      </c>
      <c r="UT40" s="20" t="n">
        <v>0</v>
      </c>
      <c r="UU40" s="20" t="n">
        <v>0</v>
      </c>
      <c r="UV40" s="20" t="n">
        <v>0</v>
      </c>
      <c r="UW40" s="20" t="n">
        <v>0</v>
      </c>
      <c r="UX40" s="20" t="n">
        <v>0</v>
      </c>
      <c r="UY40" s="20" t="n">
        <v>0</v>
      </c>
      <c r="UZ40" s="20" t="n">
        <v>0</v>
      </c>
      <c r="VA40" s="20" t="n">
        <v>0</v>
      </c>
      <c r="VB40" s="20" t="n">
        <v>0</v>
      </c>
      <c r="VC40" s="20" t="n">
        <v>0</v>
      </c>
      <c r="VD40" s="20" t="n">
        <v>0</v>
      </c>
      <c r="VE40" s="20" t="n">
        <v>0</v>
      </c>
      <c r="VF40" s="20" t="n">
        <v>0</v>
      </c>
      <c r="VG40" s="20" t="n">
        <v>0</v>
      </c>
      <c r="VH40" s="20" t="n">
        <v>0</v>
      </c>
      <c r="VI40" s="20" t="n">
        <v>0</v>
      </c>
      <c r="VJ40" s="20" t="n">
        <v>0</v>
      </c>
      <c r="VK40" s="20" t="n">
        <v>0</v>
      </c>
      <c r="VL40" s="20" t="n">
        <v>0</v>
      </c>
      <c r="VM40" s="20" t="n">
        <v>0</v>
      </c>
      <c r="VN40" s="20" t="n">
        <v>0</v>
      </c>
      <c r="VO40" s="20" t="n">
        <v>0</v>
      </c>
      <c r="VP40" s="20" t="n">
        <v>0</v>
      </c>
      <c r="VQ40" s="20" t="n">
        <v>0</v>
      </c>
      <c r="VR40" s="20" t="n">
        <v>0</v>
      </c>
      <c r="VS40" s="20" t="n">
        <v>0</v>
      </c>
      <c r="VT40" s="20" t="n">
        <v>0</v>
      </c>
      <c r="VU40" s="20" t="n">
        <v>0</v>
      </c>
      <c r="VV40" s="20" t="n">
        <v>0</v>
      </c>
      <c r="VW40" s="20" t="n">
        <v>0</v>
      </c>
      <c r="VX40" s="20" t="n">
        <v>0</v>
      </c>
      <c r="VY40" s="20" t="n">
        <v>0</v>
      </c>
      <c r="VZ40" s="20" t="n">
        <v>0</v>
      </c>
      <c r="WA40" s="20" t="n">
        <v>0</v>
      </c>
      <c r="WB40" s="20" t="n">
        <v>0</v>
      </c>
      <c r="WC40" s="20" t="n">
        <v>0</v>
      </c>
      <c r="WD40" s="20" t="n">
        <v>0</v>
      </c>
      <c r="WE40" s="20" t="n">
        <v>0</v>
      </c>
      <c r="WF40" s="20" t="n">
        <v>0</v>
      </c>
      <c r="WG40" s="20" t="n">
        <v>0</v>
      </c>
      <c r="WH40" s="20" t="n">
        <v>0</v>
      </c>
      <c r="WI40" s="20" t="n">
        <v>0</v>
      </c>
      <c r="WJ40" s="20" t="n">
        <v>0</v>
      </c>
      <c r="WK40" s="20" t="n">
        <v>0</v>
      </c>
      <c r="WL40" s="20" t="n">
        <v>0</v>
      </c>
      <c r="WM40" s="20" t="n">
        <v>0</v>
      </c>
      <c r="WN40" s="20" t="n">
        <v>0</v>
      </c>
      <c r="WO40" s="20" t="n">
        <v>0</v>
      </c>
      <c r="WP40" s="20" t="n">
        <v>0</v>
      </c>
      <c r="WQ40" s="20" t="n">
        <v>0</v>
      </c>
      <c r="WR40" s="20" t="n">
        <f aca="false">IF(AND(H_Direct=1,BR40&gt;0),MAX(0,H40-(MIN(BR40*TE40,(H40+I40))-MIN(MIN(BR40*TE40,(H40+I40)),I40))),H40)</f>
        <v>1270</v>
      </c>
      <c r="WS40" s="20" t="n">
        <f aca="false">IF(AND(H_Direct=1,BS40&gt;0),MAX(0,WR40-(MIN(BS40*TF40,(WR40+AAE40))-MIN(MIN(BS40*TF40,(WR40+AAE40)),AAE40))),WR40)</f>
        <v>1270</v>
      </c>
      <c r="WT40" s="20" t="n">
        <f aca="false">IF(AND(H_Direct=1,BT40&gt;0),MAX(0,WS40-(MIN(BT40*TG40,(WS40+AAF40))-MIN(MIN(BT40*TG40,(WS40+AAF40)),AAF40))),WS40)</f>
        <v>1270</v>
      </c>
      <c r="WU40" s="20" t="n">
        <f aca="false">IF(AND(H_Direct=1,BU40&gt;0),MAX(0,WT40-(MIN(BU40*TH40,(WT40+AAG40))-MIN(MIN(BU40*TH40,(WT40+AAG40)),AAG40))),WT40)</f>
        <v>1270</v>
      </c>
      <c r="WV40" s="20" t="n">
        <f aca="false">IF(AND(H_Direct=1,BV40&gt;0),MAX(0,WU40-(MIN(BV40*TI40,(WU40+AAH40))-MIN(MIN(BV40*TI40,(WU40+AAH40)),AAH40))),WU40)</f>
        <v>1270</v>
      </c>
      <c r="WW40" s="20" t="n">
        <f aca="false">IF(AND(H_Direct=1,BW40&gt;0),MAX(0,WV40-(MIN(BW40*TJ40,(WV40+AAI40))-MIN(MIN(BW40*TJ40,(WV40+AAI40)),AAI40))),WV40)</f>
        <v>1270</v>
      </c>
      <c r="WX40" s="20" t="n">
        <f aca="false">IF(AND(H_Direct=1,BX40&gt;0),MAX(0,WW40-(MIN(BX40*TK40,(WW40+AAJ40))-MIN(MIN(BX40*TK40,(WW40+AAJ40)),AAJ40))),WW40)</f>
        <v>1270</v>
      </c>
      <c r="WY40" s="20" t="n">
        <f aca="false">IF(AND(H_Direct=1,BY40&gt;0),MAX(0,WX40-(MIN(BY40*TL40,(WX40+AAK40))-MIN(MIN(BY40*TL40,(WX40+AAK40)),AAK40))),WX40)</f>
        <v>1270</v>
      </c>
      <c r="WZ40" s="20" t="n">
        <f aca="false">IF(AND(H_Direct=1,BZ40&gt;0),MAX(0,WY40-(MIN(BZ40*TM40,(WY40+AAL40))-MIN(MIN(BZ40*TM40,(WY40+AAL40)),AAL40))),WY40)</f>
        <v>1270</v>
      </c>
      <c r="XA40" s="20" t="n">
        <f aca="false">IF(AND(H_Direct=1,CA40&gt;0),MAX(0,WZ40-(MIN(CA40*TN40,(WZ40+AAM40))-MIN(MIN(CA40*TN40,(WZ40+AAM40)),AAM40))),WZ40)</f>
        <v>1270</v>
      </c>
      <c r="XB40" s="20" t="n">
        <f aca="false">IF(AND(H_Direct=1,CB40&gt;0),MAX(0,XA40-(MIN(CB40*TO40,(XA40+AAN40))-MIN(MIN(CB40*TO40,(XA40+AAN40)),AAN40))),XA40)</f>
        <v>1270</v>
      </c>
      <c r="XC40" s="20" t="n">
        <f aca="false">IF(AND(H_Direct=1,CC40&gt;0),MAX(0,XB40-(MIN(CC40*TP40,(XB40+AAO40))-MIN(MIN(CC40*TP40,(XB40+AAO40)),AAO40))),XB40)</f>
        <v>1270</v>
      </c>
      <c r="XD40" s="20" t="n">
        <f aca="false">IF(AND(H_Direct=1,CD40&gt;0),MAX(0,XC40-(MIN(CD40*TQ40,(XC40+AAP40))-MIN(MIN(CD40*TQ40,(XC40+AAP40)),AAP40))),XC40)</f>
        <v>1270</v>
      </c>
      <c r="XE40" s="20" t="n">
        <f aca="false">IF(AND(H_Direct=1,CE40&gt;0),MAX(0,XD40-(MIN(CE40*TR40,(XD40+AAQ40))-MIN(MIN(CE40*TR40,(XD40+AAQ40)),AAQ40))),XD40)</f>
        <v>1270</v>
      </c>
      <c r="XF40" s="20" t="n">
        <f aca="false">IF(AND(H_Direct=1,CF40&gt;0),MAX(0,XE40-(MIN(CF40*TS40,(XE40+AAR40))-MIN(MIN(CF40*TS40,(XE40+AAR40)),AAR40))),XE40)</f>
        <v>1270</v>
      </c>
      <c r="XG40" s="20" t="n">
        <f aca="false">IF(AND(H_Direct=1,CG40&gt;0),MAX(0,XF40-(MIN(CG40*TT40,(XF40+AAS40))-MIN(MIN(CG40*TT40,(XF40+AAS40)),AAS40))),XF40)</f>
        <v>1270</v>
      </c>
      <c r="XH40" s="20" t="n">
        <f aca="false">IF(AND(H_Direct=1,CH40&gt;0),MAX(0,XG40-(MIN(CH40*TU40,(XG40+AAT40))-MIN(MIN(CH40*TU40,(XG40+AAT40)),AAT40))),XG40)</f>
        <v>1270</v>
      </c>
      <c r="XI40" s="20" t="n">
        <f aca="false">IF(AND(H_Direct=1,CI40&gt;0),MAX(0,XH40-(MIN(CI40*TV40,(XH40+AAU40))-MIN(MIN(CI40*TV40,(XH40+AAU40)),AAU40))),XH40)</f>
        <v>1270</v>
      </c>
      <c r="XJ40" s="20" t="n">
        <f aca="false">IF(AND(H_Direct=1,CJ40&gt;0),MAX(0,XI40-(MIN(CJ40*TW40,(XI40+AAV40))-MIN(MIN(CJ40*TW40,(XI40+AAV40)),AAV40))),XI40)</f>
        <v>1270</v>
      </c>
      <c r="XK40" s="20" t="n">
        <f aca="false">IF(AND(H_Direct=1,CK40&gt;0),MAX(0,XJ40-(MIN(CK40*TX40,(XJ40+AAW40))-MIN(MIN(CK40*TX40,(XJ40+AAW40)),AAW40))),XJ40)</f>
        <v>1270</v>
      </c>
      <c r="XL40" s="20" t="n">
        <f aca="false">IF(AND(H_Direct=1,CL40&gt;0),MAX(0,XK40-(MIN(CL40*TY40,(XK40+AAX40))-MIN(MIN(CL40*TY40,(XK40+AAX40)),AAX40))),XK40)</f>
        <v>1270</v>
      </c>
      <c r="XM40" s="20" t="n">
        <f aca="false">IF(AND(H_Direct=1,CM40&gt;0),MAX(0,XL40-(MIN(CM40*TZ40,(XL40+AAY40))-MIN(MIN(CM40*TZ40,(XL40+AAY40)),AAY40))),XL40)</f>
        <v>1270</v>
      </c>
      <c r="XN40" s="20" t="n">
        <f aca="false">IF(AND(H_Direct=1,CN40&gt;0),MAX(0,XM40-(MIN(CN40*UA40,(XM40+AAZ40))-MIN(MIN(CN40*UA40,(XM40+AAZ40)),AAZ40))),XM40)</f>
        <v>1270</v>
      </c>
      <c r="XO40" s="20" t="n">
        <f aca="false">IF(AND(H_Direct=1,CO40&gt;0),MAX(0,XN40-(MIN(CO40*UB40,(XN40+ABA40))-MIN(MIN(CO40*UB40,(XN40+ABA40)),ABA40))),XN40)</f>
        <v>1270</v>
      </c>
      <c r="XP40" s="20" t="n">
        <f aca="false">IF(AND(H_Direct=1,CP40&gt;0),MAX(0,XO40-(MIN(CP40*UC40,(XO40+ABB40))-MIN(MIN(CP40*UC40,(XO40+ABB40)),ABB40))),XO40)</f>
        <v>1270</v>
      </c>
      <c r="XQ40" s="20" t="n">
        <f aca="false">IF(AND(H_Direct=1,CQ40&gt;0),MAX(0,XP40-(MIN(CQ40*UD40,(XP40+ABC40))-MIN(MIN(CQ40*UD40,(XP40+ABC40)),ABC40))),XP40)</f>
        <v>1270</v>
      </c>
      <c r="XR40" s="20" t="n">
        <f aca="false">IF(AND(H_Direct=1,CR40&gt;0),MAX(0,XQ40-(MIN(CR40*UE40,(XQ40+ABD40))-MIN(MIN(CR40*UE40,(XQ40+ABD40)),ABD40))),XQ40)</f>
        <v>1270</v>
      </c>
      <c r="XS40" s="20" t="n">
        <f aca="false">IF(AND(H_Direct=1,CS40&gt;0),MAX(0,XR40-(MIN(CS40*UF40,(XR40+ABE40))-MIN(MIN(CS40*UF40,(XR40+ABE40)),ABE40))),XR40)</f>
        <v>1270</v>
      </c>
      <c r="XT40" s="20" t="n">
        <f aca="false">IF(AND(H_Direct=1,CT40&gt;0),MAX(0,XS40-(MIN(CT40*UG40,(XS40+ABF40))-MIN(MIN(CT40*UG40,(XS40+ABF40)),ABF40))),XS40)</f>
        <v>1270</v>
      </c>
      <c r="XU40" s="20" t="n">
        <f aca="false">IF(AND(H_Direct=1,CU40&gt;0),MAX(0,XT40-(MIN(CU40*UH40,(XT40+ABG40))-MIN(MIN(CU40*UH40,(XT40+ABG40)),ABG40))),XT40)</f>
        <v>1270</v>
      </c>
      <c r="XV40" s="20" t="n">
        <f aca="false">IF(AND(H_Direct=1,CV40&gt;0),MAX(0,XU40-(MIN(CV40*UI40,(XU40+ABH40))-MIN(MIN(CV40*UI40,(XU40+ABH40)),ABH40))),XU40)</f>
        <v>1270</v>
      </c>
      <c r="XW40" s="20" t="n">
        <f aca="false">IF(AND(H_Direct=1,CW40&gt;0),MAX(0,XV40-(MIN(CW40*UJ40,(XV40+ABI40))-MIN(MIN(CW40*UJ40,(XV40+ABI40)),ABI40))),XV40)</f>
        <v>1270</v>
      </c>
      <c r="XX40" s="20" t="n">
        <f aca="false">IF(AND(H_Direct=1,CX40&gt;0),MAX(0,XW40-(MIN(CX40*UK40,(XW40+ABJ40))-MIN(MIN(CX40*UK40,(XW40+ABJ40)),ABJ40))),XW40)</f>
        <v>1270</v>
      </c>
      <c r="XY40" s="20" t="n">
        <f aca="false">IF(AND(H_Direct=1,CY40&gt;0),MAX(0,XX40-(MIN(CY40*UL40,(XX40+ABK40))-MIN(MIN(CY40*UL40,(XX40+ABK40)),ABK40))),XX40)</f>
        <v>1270</v>
      </c>
      <c r="XZ40" s="20" t="n">
        <f aca="false">XY40</f>
        <v>1270</v>
      </c>
      <c r="YA40" s="20" t="n">
        <f aca="false">XZ40</f>
        <v>1270</v>
      </c>
      <c r="YB40" s="20" t="n">
        <f aca="false">YA40</f>
        <v>1270</v>
      </c>
      <c r="YC40" s="20" t="n">
        <f aca="false">YB40</f>
        <v>1270</v>
      </c>
      <c r="YD40" s="20" t="n">
        <f aca="false">YC40</f>
        <v>1270</v>
      </c>
      <c r="YE40" s="20" t="n">
        <f aca="false">YD40</f>
        <v>1270</v>
      </c>
      <c r="YF40" s="20" t="n">
        <f aca="false">YE40</f>
        <v>1270</v>
      </c>
      <c r="YG40" s="20" t="n">
        <f aca="false">YF40</f>
        <v>1270</v>
      </c>
      <c r="YH40" s="20" t="n">
        <f aca="false">YG40</f>
        <v>1270</v>
      </c>
      <c r="YI40" s="20" t="n">
        <f aca="false">YH40</f>
        <v>1270</v>
      </c>
      <c r="YJ40" s="20" t="n">
        <f aca="false">YI40</f>
        <v>1270</v>
      </c>
      <c r="YK40" s="20" t="n">
        <f aca="false">YJ40</f>
        <v>1270</v>
      </c>
      <c r="YL40" s="20" t="n">
        <f aca="false">YK40</f>
        <v>1270</v>
      </c>
      <c r="YM40" s="20" t="n">
        <f aca="false">YL40</f>
        <v>1270</v>
      </c>
      <c r="YN40" s="20" t="n">
        <f aca="false">YM40</f>
        <v>1270</v>
      </c>
      <c r="YO40" s="20" t="n">
        <f aca="false">YN40</f>
        <v>1270</v>
      </c>
      <c r="YP40" s="20" t="n">
        <f aca="false">YO40</f>
        <v>1270</v>
      </c>
      <c r="YQ40" s="20" t="n">
        <f aca="false">YP40</f>
        <v>1270</v>
      </c>
      <c r="YR40" s="20" t="n">
        <f aca="false">YQ40</f>
        <v>1270</v>
      </c>
      <c r="YS40" s="20" t="n">
        <f aca="false">YR40</f>
        <v>1270</v>
      </c>
      <c r="YT40" s="20" t="n">
        <f aca="false">YS40</f>
        <v>1270</v>
      </c>
      <c r="YU40" s="20" t="n">
        <f aca="false">YT40</f>
        <v>1270</v>
      </c>
      <c r="YV40" s="20" t="n">
        <f aca="false">YU40</f>
        <v>1270</v>
      </c>
      <c r="YW40" s="20" t="n">
        <f aca="false">YV40</f>
        <v>1270</v>
      </c>
      <c r="YX40" s="20" t="n">
        <f aca="false">YW40</f>
        <v>1270</v>
      </c>
      <c r="YY40" s="20" t="n">
        <f aca="false">YX40</f>
        <v>1270</v>
      </c>
      <c r="YZ40" s="20" t="n">
        <f aca="false">YY40</f>
        <v>1270</v>
      </c>
      <c r="ZA40" s="20" t="n">
        <f aca="false">YZ40</f>
        <v>1270</v>
      </c>
      <c r="ZB40" s="20" t="n">
        <f aca="false">ZA40</f>
        <v>1270</v>
      </c>
      <c r="ZC40" s="20" t="n">
        <f aca="false">ZB40</f>
        <v>1270</v>
      </c>
      <c r="ZD40" s="20" t="n">
        <f aca="false">ZC40</f>
        <v>1270</v>
      </c>
      <c r="ZE40" s="20" t="n">
        <f aca="false">ZD40</f>
        <v>1270</v>
      </c>
      <c r="ZF40" s="20" t="n">
        <f aca="false">ZE40</f>
        <v>1270</v>
      </c>
      <c r="ZG40" s="20" t="n">
        <f aca="false">ZF40</f>
        <v>1270</v>
      </c>
      <c r="ZH40" s="20" t="n">
        <f aca="false">ZG40</f>
        <v>1270</v>
      </c>
      <c r="ZI40" s="20" t="n">
        <f aca="false">ZH40</f>
        <v>1270</v>
      </c>
      <c r="ZJ40" s="20" t="n">
        <f aca="false">ZI40</f>
        <v>1270</v>
      </c>
      <c r="ZK40" s="20" t="n">
        <f aca="false">ZJ40</f>
        <v>1270</v>
      </c>
      <c r="ZL40" s="20" t="n">
        <f aca="false">ZK40</f>
        <v>1270</v>
      </c>
      <c r="ZM40" s="20" t="n">
        <f aca="false">ZL40</f>
        <v>1270</v>
      </c>
      <c r="ZN40" s="20" t="n">
        <f aca="false">ZM40</f>
        <v>1270</v>
      </c>
      <c r="ZO40" s="20" t="n">
        <f aca="false">ZN40</f>
        <v>1270</v>
      </c>
      <c r="ZP40" s="20" t="n">
        <f aca="false">ZO40</f>
        <v>1270</v>
      </c>
      <c r="ZQ40" s="20" t="n">
        <f aca="false">ZP40</f>
        <v>1270</v>
      </c>
      <c r="ZR40" s="20" t="n">
        <f aca="false">ZQ40</f>
        <v>1270</v>
      </c>
      <c r="ZS40" s="20" t="n">
        <f aca="false">ZR40</f>
        <v>1270</v>
      </c>
      <c r="ZT40" s="20" t="n">
        <f aca="false">ZS40</f>
        <v>1270</v>
      </c>
      <c r="ZU40" s="20" t="n">
        <f aca="false">ZT40</f>
        <v>1270</v>
      </c>
      <c r="ZV40" s="20" t="n">
        <f aca="false">ZU40</f>
        <v>1270</v>
      </c>
      <c r="ZW40" s="20" t="n">
        <f aca="false">ZV40</f>
        <v>1270</v>
      </c>
      <c r="ZX40" s="20" t="n">
        <f aca="false">ZW40</f>
        <v>1270</v>
      </c>
      <c r="ZY40" s="20" t="n">
        <f aca="false">ZX40</f>
        <v>1270</v>
      </c>
      <c r="ZZ40" s="20" t="n">
        <f aca="false">ZY40</f>
        <v>1270</v>
      </c>
      <c r="AAA40" s="20" t="n">
        <f aca="false">ZZ40</f>
        <v>1270</v>
      </c>
      <c r="AAB40" s="20" t="n">
        <f aca="false">AAA40</f>
        <v>1270</v>
      </c>
      <c r="AAC40" s="20" t="n">
        <f aca="false">AAB40</f>
        <v>1270</v>
      </c>
      <c r="AAD40" s="20" t="n">
        <f aca="false">AAC40</f>
        <v>1270</v>
      </c>
      <c r="AAE40" s="20" t="n">
        <f aca="false">IF(H_Direct=1,IF(BR40&lt;=0,I40-BR40*TE40,I40-MIN(MIN(BR40*TE40,(H40+I40)),I40)),I40)</f>
        <v>0</v>
      </c>
      <c r="AAF40" s="20" t="n">
        <f aca="false">IF(H_Direct=1,IF(BS40&lt;=0,AAE40-BS40*TF40,AAE40-MIN(MIN(BS40*TF40,(WR40+AAE40)),AAE40)),AAE40)</f>
        <v>0</v>
      </c>
      <c r="AAG40" s="20" t="n">
        <f aca="false">IF(H_Direct=1,IF(BT40&lt;=0,AAF40-BT40*TG40,AAF40-MIN(MIN(BT40*TG40,(WS40+AAF40)),AAF40)),AAF40)</f>
        <v>0</v>
      </c>
      <c r="AAH40" s="20" t="n">
        <f aca="false">IF(H_Direct=1,IF(BU40&lt;=0,AAG40-BU40*TH40,AAG40-MIN(MIN(BU40*TH40,(WT40+AAG40)),AAG40)),AAG40)</f>
        <v>0</v>
      </c>
      <c r="AAI40" s="20" t="n">
        <f aca="false">IF(H_Direct=1,IF(BV40&lt;=0,AAH40-BV40*TI40,AAH40-MIN(MIN(BV40*TI40,(WU40+AAH40)),AAH40)),AAH40)</f>
        <v>0</v>
      </c>
      <c r="AAJ40" s="20" t="n">
        <f aca="false">IF(H_Direct=1,IF(BW40&lt;=0,AAI40-BW40*TJ40,AAI40-MIN(MIN(BW40*TJ40,(WV40+AAI40)),AAI40)),AAI40)</f>
        <v>0</v>
      </c>
      <c r="AAK40" s="20" t="n">
        <f aca="false">IF(H_Direct=1,IF(BX40&lt;=0,AAJ40-BX40*TK40,AAJ40-MIN(MIN(BX40*TK40,(WW40+AAJ40)),AAJ40)),AAJ40)</f>
        <v>0</v>
      </c>
      <c r="AAL40" s="20" t="n">
        <f aca="false">IF(H_Direct=1,IF(BY40&lt;=0,AAK40-BY40*TL40,AAK40-MIN(MIN(BY40*TL40,(WX40+AAK40)),AAK40)),AAK40)</f>
        <v>0</v>
      </c>
      <c r="AAM40" s="20" t="n">
        <f aca="false">IF(H_Direct=1,IF(BZ40&lt;=0,AAL40-BZ40*TM40,AAL40-MIN(MIN(BZ40*TM40,(WY40+AAL40)),AAL40)),AAL40)</f>
        <v>0</v>
      </c>
      <c r="AAN40" s="20" t="n">
        <f aca="false">IF(H_Direct=1,IF(CA40&lt;=0,AAM40-CA40*TN40,AAM40-MIN(MIN(CA40*TN40,(WZ40+AAM40)),AAM40)),AAM40)</f>
        <v>0</v>
      </c>
      <c r="AAO40" s="20" t="n">
        <f aca="false">IF(H_Direct=1,IF(CB40&lt;=0,AAN40-CB40*TO40,AAN40-MIN(MIN(CB40*TO40,(XA40+AAN40)),AAN40)),AAN40)</f>
        <v>0</v>
      </c>
      <c r="AAP40" s="20" t="n">
        <f aca="false">IF(H_Direct=1,IF(CC40&lt;=0,AAO40-CC40*TP40,AAO40-MIN(MIN(CC40*TP40,(XB40+AAO40)),AAO40)),AAO40)</f>
        <v>0</v>
      </c>
      <c r="AAQ40" s="20" t="n">
        <f aca="false">IF(H_Direct=1,IF(CD40&lt;=0,AAP40-CD40*TQ40,AAP40-MIN(MIN(CD40*TQ40,(XC40+AAP40)),AAP40)),AAP40)</f>
        <v>0</v>
      </c>
      <c r="AAR40" s="20" t="n">
        <f aca="false">IF(H_Direct=1,IF(CE40&lt;=0,AAQ40-CE40*TR40,AAQ40-MIN(MIN(CE40*TR40,(XD40+AAQ40)),AAQ40)),AAQ40)</f>
        <v>0</v>
      </c>
      <c r="AAS40" s="20" t="n">
        <f aca="false">IF(H_Direct=1,IF(CF40&lt;=0,AAR40-CF40*TS40,AAR40-MIN(MIN(CF40*TS40,(XE40+AAR40)),AAR40)),AAR40)</f>
        <v>0</v>
      </c>
      <c r="AAT40" s="20" t="n">
        <f aca="false">IF(H_Direct=1,IF(CG40&lt;=0,AAS40-CG40*TT40,AAS40-MIN(MIN(CG40*TT40,(XF40+AAS40)),AAS40)),AAS40)</f>
        <v>0</v>
      </c>
      <c r="AAU40" s="20" t="n">
        <f aca="false">IF(H_Direct=1,IF(CH40&lt;=0,AAT40-CH40*TU40,AAT40-MIN(MIN(CH40*TU40,(XG40+AAT40)),AAT40)),AAT40)</f>
        <v>0</v>
      </c>
      <c r="AAV40" s="20" t="n">
        <f aca="false">IF(H_Direct=1,IF(CI40&lt;=0,AAU40-CI40*TV40,AAU40-MIN(MIN(CI40*TV40,(XH40+AAU40)),AAU40)),AAU40)</f>
        <v>0</v>
      </c>
      <c r="AAW40" s="20" t="n">
        <f aca="false">IF(H_Direct=1,IF(CJ40&lt;=0,AAV40-CJ40*TW40,AAV40-MIN(MIN(CJ40*TW40,(XI40+AAV40)),AAV40)),AAV40)</f>
        <v>0</v>
      </c>
      <c r="AAX40" s="20" t="n">
        <f aca="false">IF(H_Direct=1,IF(CK40&lt;=0,AAW40-CK40*TX40,AAW40-MIN(MIN(CK40*TX40,(XJ40+AAW40)),AAW40)),AAW40)</f>
        <v>0</v>
      </c>
      <c r="AAY40" s="20" t="n">
        <f aca="false">IF(H_Direct=1,IF(CL40&lt;=0,AAX40-CL40*TY40,AAX40-MIN(MIN(CL40*TY40,(XK40+AAX40)),AAX40)),AAX40)</f>
        <v>0</v>
      </c>
      <c r="AAZ40" s="20" t="n">
        <f aca="false">IF(H_Direct=1,IF(CM40&lt;=0,AAY40-CM40*TZ40,AAY40-MIN(MIN(CM40*TZ40,(XL40+AAY40)),AAY40)),AAY40)</f>
        <v>0</v>
      </c>
      <c r="ABA40" s="20" t="n">
        <f aca="false">IF(H_Direct=1,IF(CN40&lt;=0,AAZ40-CN40*UA40,AAZ40-MIN(MIN(CN40*UA40,(XM40+AAZ40)),AAZ40)),AAZ40)</f>
        <v>0</v>
      </c>
      <c r="ABB40" s="20" t="n">
        <f aca="false">IF(H_Direct=1,IF(CO40&lt;=0,ABA40-CO40*UB40,ABA40-MIN(MIN(CO40*UB40,(XN40+ABA40)),ABA40)),ABA40)</f>
        <v>0</v>
      </c>
      <c r="ABC40" s="20" t="n">
        <f aca="false">IF(H_Direct=1,IF(CP40&lt;=0,ABB40-CP40*UC40,ABB40-MIN(MIN(CP40*UC40,(XO40+ABB40)),ABB40)),ABB40)</f>
        <v>0</v>
      </c>
      <c r="ABD40" s="20" t="n">
        <f aca="false">IF(H_Direct=1,IF(CQ40&lt;=0,ABC40-CQ40*UD40,ABC40-MIN(MIN(CQ40*UD40,(XP40+ABC40)),ABC40)),ABC40)</f>
        <v>0</v>
      </c>
      <c r="ABE40" s="20" t="n">
        <f aca="false">IF(H_Direct=1,IF(CR40&lt;=0,ABD40-CR40*UE40,ABD40-MIN(MIN(CR40*UE40,(XQ40+ABD40)),ABD40)),ABD40)</f>
        <v>0</v>
      </c>
      <c r="ABF40" s="20" t="n">
        <f aca="false">IF(H_Direct=1,IF(CS40&lt;=0,ABE40-CS40*UF40,ABE40-MIN(MIN(CS40*UF40,(XR40+ABE40)),ABE40)),ABE40)</f>
        <v>0</v>
      </c>
      <c r="ABG40" s="20" t="n">
        <f aca="false">IF(H_Direct=1,IF(CT40&lt;=0,ABF40-CT40*UG40,ABF40-MIN(MIN(CT40*UG40,(XS40+ABF40)),ABF40)),ABF40)</f>
        <v>0</v>
      </c>
      <c r="ABH40" s="20" t="n">
        <f aca="false">IF(H_Direct=1,IF(CU40&lt;=0,ABG40-CU40*UH40,ABG40-MIN(MIN(CU40*UH40,(XT40+ABG40)),ABG40)),ABG40)</f>
        <v>0</v>
      </c>
      <c r="ABI40" s="20" t="n">
        <f aca="false">IF(H_Direct=1,IF(CV40&lt;=0,ABH40-CV40*UI40,ABH40-MIN(MIN(CV40*UI40,(XU40+ABH40)),ABH40)),ABH40)</f>
        <v>0</v>
      </c>
      <c r="ABJ40" s="20" t="n">
        <f aca="false">IF(H_Direct=1,IF(CW40&lt;=0,ABI40-CW40*UJ40,ABI40-MIN(MIN(CW40*UJ40,(XV40+ABI40)),ABI40)),ABI40)</f>
        <v>0</v>
      </c>
      <c r="ABK40" s="20" t="n">
        <f aca="false">IF(H_Direct=1,IF(CX40&lt;=0,ABJ40-CX40*UK40,ABJ40-MIN(MIN(CX40*UK40,(XW40+ABJ40)),ABJ40)),ABJ40)</f>
        <v>0</v>
      </c>
      <c r="ABL40" s="20" t="n">
        <f aca="false">IF(H_Direct=1,IF(CY40&lt;=0,ABK40-CY40*UL40,ABK40-MIN(MIN(CY40*UL40,(XX40+ABK40)),ABK40)),ABK40)</f>
        <v>0</v>
      </c>
      <c r="ABM40" s="20" t="n">
        <f aca="false">ABL40</f>
        <v>0</v>
      </c>
      <c r="ABN40" s="20" t="n">
        <f aca="false">ABM40</f>
        <v>0</v>
      </c>
      <c r="ABO40" s="20" t="n">
        <f aca="false">ABN40</f>
        <v>0</v>
      </c>
      <c r="ABP40" s="20" t="n">
        <f aca="false">ABO40</f>
        <v>0</v>
      </c>
      <c r="ABQ40" s="20" t="n">
        <f aca="false">ABP40</f>
        <v>0</v>
      </c>
      <c r="ABR40" s="20" t="n">
        <f aca="false">ABQ40</f>
        <v>0</v>
      </c>
      <c r="ABS40" s="20" t="n">
        <f aca="false">ABR40</f>
        <v>0</v>
      </c>
      <c r="ABT40" s="20" t="n">
        <f aca="false">ABS40</f>
        <v>0</v>
      </c>
      <c r="ABU40" s="20" t="n">
        <f aca="false">ABT40</f>
        <v>0</v>
      </c>
      <c r="ABV40" s="20" t="n">
        <f aca="false">ABU40</f>
        <v>0</v>
      </c>
      <c r="ABW40" s="20" t="n">
        <f aca="false">ABV40</f>
        <v>0</v>
      </c>
      <c r="ABX40" s="20" t="n">
        <f aca="false">ABW40</f>
        <v>0</v>
      </c>
      <c r="ABY40" s="20" t="n">
        <f aca="false">ABX40</f>
        <v>0</v>
      </c>
      <c r="ABZ40" s="20" t="n">
        <f aca="false">ABY40</f>
        <v>0</v>
      </c>
      <c r="ACA40" s="20" t="n">
        <f aca="false">ABZ40</f>
        <v>0</v>
      </c>
      <c r="ACB40" s="20" t="n">
        <f aca="false">ACA40</f>
        <v>0</v>
      </c>
      <c r="ACC40" s="20" t="n">
        <f aca="false">ACB40</f>
        <v>0</v>
      </c>
      <c r="ACD40" s="20" t="n">
        <f aca="false">ACC40</f>
        <v>0</v>
      </c>
      <c r="ACE40" s="20" t="n">
        <f aca="false">ACD40</f>
        <v>0</v>
      </c>
      <c r="ACF40" s="20" t="n">
        <f aca="false">ACE40</f>
        <v>0</v>
      </c>
      <c r="ACG40" s="20" t="n">
        <f aca="false">ACF40</f>
        <v>0</v>
      </c>
      <c r="ACH40" s="20" t="n">
        <f aca="false">ACG40</f>
        <v>0</v>
      </c>
      <c r="ACI40" s="20" t="n">
        <f aca="false">ACH40</f>
        <v>0</v>
      </c>
      <c r="ACJ40" s="20" t="n">
        <f aca="false">ACI40</f>
        <v>0</v>
      </c>
      <c r="ACK40" s="20" t="n">
        <f aca="false">ACJ40</f>
        <v>0</v>
      </c>
      <c r="ACL40" s="20" t="n">
        <f aca="false">ACK40</f>
        <v>0</v>
      </c>
      <c r="ACM40" s="20" t="n">
        <f aca="false">ACL40</f>
        <v>0</v>
      </c>
      <c r="ACN40" s="20" t="n">
        <f aca="false">ACM40</f>
        <v>0</v>
      </c>
      <c r="ACO40" s="20" t="n">
        <f aca="false">ACN40</f>
        <v>0</v>
      </c>
      <c r="ACP40" s="20" t="n">
        <f aca="false">ACO40</f>
        <v>0</v>
      </c>
      <c r="ACQ40" s="20" t="n">
        <f aca="false">ACP40</f>
        <v>0</v>
      </c>
      <c r="ACR40" s="20" t="n">
        <f aca="false">ACQ40</f>
        <v>0</v>
      </c>
      <c r="ACS40" s="20" t="n">
        <f aca="false">ACR40</f>
        <v>0</v>
      </c>
      <c r="ACT40" s="20" t="n">
        <f aca="false">ACS40</f>
        <v>0</v>
      </c>
      <c r="ACU40" s="20" t="n">
        <f aca="false">ACT40</f>
        <v>0</v>
      </c>
      <c r="ACV40" s="20" t="n">
        <f aca="false">ACU40</f>
        <v>0</v>
      </c>
      <c r="ACW40" s="20" t="n">
        <f aca="false">ACV40</f>
        <v>0</v>
      </c>
      <c r="ACX40" s="20" t="n">
        <f aca="false">ACW40</f>
        <v>0</v>
      </c>
      <c r="ACY40" s="20" t="n">
        <f aca="false">ACX40</f>
        <v>0</v>
      </c>
      <c r="ACZ40" s="20" t="n">
        <f aca="false">ACY40</f>
        <v>0</v>
      </c>
      <c r="ADA40" s="20" t="n">
        <f aca="false">ACZ40</f>
        <v>0</v>
      </c>
      <c r="ADB40" s="20" t="n">
        <f aca="false">ADA40</f>
        <v>0</v>
      </c>
      <c r="ADC40" s="20" t="n">
        <f aca="false">ADB40</f>
        <v>0</v>
      </c>
      <c r="ADD40" s="20" t="n">
        <f aca="false">ADC40</f>
        <v>0</v>
      </c>
      <c r="ADE40" s="20" t="n">
        <f aca="false">ADD40</f>
        <v>0</v>
      </c>
      <c r="ADF40" s="20" t="n">
        <f aca="false">ADE40</f>
        <v>0</v>
      </c>
      <c r="ADG40" s="20" t="n">
        <f aca="false">ADF40</f>
        <v>0</v>
      </c>
      <c r="ADH40" s="20" t="n">
        <f aca="false">ADG40</f>
        <v>0</v>
      </c>
      <c r="ADI40" s="20" t="n">
        <f aca="false">ADH40</f>
        <v>0</v>
      </c>
      <c r="ADJ40" s="20" t="n">
        <f aca="false">ADI40</f>
        <v>0</v>
      </c>
      <c r="ADK40" s="20" t="n">
        <f aca="false">ADJ40</f>
        <v>0</v>
      </c>
      <c r="ADL40" s="20" t="n">
        <f aca="false">ADK40</f>
        <v>0</v>
      </c>
      <c r="ADM40" s="20" t="n">
        <f aca="false">ADL40</f>
        <v>0</v>
      </c>
      <c r="ADN40" s="20" t="n">
        <f aca="false">ADM40</f>
        <v>0</v>
      </c>
      <c r="ADO40" s="20" t="n">
        <f aca="false">ADN40</f>
        <v>0</v>
      </c>
      <c r="ADP40" s="20" t="n">
        <f aca="false">ADO40</f>
        <v>0</v>
      </c>
      <c r="ADQ40" s="20" t="n">
        <f aca="false">ADP40</f>
        <v>0</v>
      </c>
      <c r="ADR40" s="20" t="n">
        <f aca="false">(AKR39-TE40+0)*(1+BQ40)</f>
        <v>0</v>
      </c>
      <c r="ADS40" s="20" t="n">
        <f aca="false">(AKS39-TF40+0)*(1+BQ40)</f>
        <v>0</v>
      </c>
      <c r="ADT40" s="20" t="n">
        <f aca="false">(AKT39-TG40+0)*(1+BQ40)</f>
        <v>0</v>
      </c>
      <c r="ADU40" s="20" t="n">
        <f aca="false">(AKU39-TH40+0)*(1+BQ40)</f>
        <v>0</v>
      </c>
      <c r="ADV40" s="20" t="n">
        <f aca="false">(AKV39-TI40+0)*(1+BQ40)</f>
        <v>0</v>
      </c>
      <c r="ADW40" s="20" t="n">
        <f aca="false">(AKW39-TJ40+0)*(1+BQ40)</f>
        <v>0</v>
      </c>
      <c r="ADX40" s="20" t="n">
        <f aca="false">(AKX39-TK40+0)*(1+BQ40)</f>
        <v>0</v>
      </c>
      <c r="ADY40" s="20" t="n">
        <f aca="false">(AKY39-TL40+0)*(1+BQ40)</f>
        <v>0</v>
      </c>
      <c r="ADZ40" s="20" t="n">
        <f aca="false">(AKZ39-TM40+0)*(1+BQ40)</f>
        <v>0</v>
      </c>
      <c r="AEA40" s="20" t="n">
        <f aca="false">(ALA39-TN40+0)*(1+BQ40)</f>
        <v>0</v>
      </c>
      <c r="AEB40" s="20" t="n">
        <f aca="false">(ALB39-TO40+0)*(1+BQ40)</f>
        <v>0</v>
      </c>
      <c r="AEC40" s="20" t="n">
        <f aca="false">(ALC39-TP40+0)*(1+BQ40)</f>
        <v>1085.73413931384</v>
      </c>
      <c r="AED40" s="20" t="n">
        <f aca="false">(ALD39-TQ40+0)*(1+BQ40)</f>
        <v>1365.81899814086</v>
      </c>
      <c r="AEE40" s="20" t="n">
        <f aca="false">(ALE39-TR40+0)*(1+BQ40)</f>
        <v>1634.5036067776</v>
      </c>
      <c r="AEF40" s="20" t="n">
        <f aca="false">(ALF39-TS40+0)*(1+BQ40)</f>
        <v>1838.00794696212</v>
      </c>
      <c r="AEG40" s="20" t="n">
        <f aca="false">(ALG39-TT40+0)*(1+BQ40)</f>
        <v>1767.62723844994</v>
      </c>
      <c r="AEH40" s="20" t="n">
        <f aca="false">(ALH39-TU40+0)*(1+BQ40)</f>
        <v>1698.93687434992</v>
      </c>
      <c r="AEI40" s="20" t="n">
        <f aca="false">(ALI39-TV40+0)*(1+BQ40)</f>
        <v>1631.90110891135</v>
      </c>
      <c r="AEJ40" s="20" t="n">
        <f aca="false">(ALJ39-TW40+0)*(1+BQ40)</f>
        <v>5650.15765274001</v>
      </c>
      <c r="AEK40" s="20" t="n">
        <f aca="false">(ALK39-TX40+0)*(1+BQ40)</f>
        <v>5541.5007748027</v>
      </c>
      <c r="AEL40" s="20" t="n">
        <f aca="false">(ALL39-TY40+0)*(1+BQ40)</f>
        <v>5434.93345221035</v>
      </c>
      <c r="AEM40" s="20" t="n">
        <f aca="false">(ALM39-TZ40+0)*(1+BQ40)</f>
        <v>5330.4155012063</v>
      </c>
      <c r="AEN40" s="20" t="n">
        <f aca="false">(ALN39-UA40+0)*(1+BQ40)</f>
        <v>5227.90751079849</v>
      </c>
      <c r="AEO40" s="20" t="n">
        <f aca="false">(ALO39-UB40+0)*(1+BQ40)</f>
        <v>5127.37082789851</v>
      </c>
      <c r="AEP40" s="20" t="n">
        <f aca="false">(ALP39-UC40+0)*(1+BQ40)</f>
        <v>5028.76754274662</v>
      </c>
      <c r="AEQ40" s="20" t="n">
        <f aca="false">(ALQ39-UD40+0)*(1+BQ40)</f>
        <v>4932.06047461688</v>
      </c>
      <c r="AER40" s="20" t="n">
        <f aca="false">(ALR39-UE40+0)*(1+BQ40)</f>
        <v>81517.5011210576</v>
      </c>
      <c r="AES40" s="20" t="n">
        <f aca="false">(ALS39-UF40+0)*(1+BQ40)</f>
        <v>0</v>
      </c>
      <c r="AET40" s="20" t="n">
        <f aca="false">(ALT39-UG40+0)*(1+BQ40)</f>
        <v>0</v>
      </c>
      <c r="AEU40" s="20" t="n">
        <f aca="false">(ALU39-UH40+0)*(1+BQ40)</f>
        <v>2104.14972820479</v>
      </c>
      <c r="AEV40" s="20" t="n">
        <f aca="false">(ALV39-UI40+0)*(1+BQ40)</f>
        <v>0</v>
      </c>
      <c r="AEW40" s="20" t="n">
        <f aca="false">(ALW39-UJ40+0)*(1+BQ40)</f>
        <v>0</v>
      </c>
      <c r="AEX40" s="20" t="n">
        <f aca="false">(ALX39-UK40+0)*(1+BQ40)</f>
        <v>0</v>
      </c>
      <c r="AEY40" s="20" t="n">
        <f aca="false">((P40+S40)-UL40+BE40)*(1+BQ40)</f>
        <v>0</v>
      </c>
      <c r="AEZ40" s="20" t="n">
        <v>0</v>
      </c>
      <c r="AFA40" s="20" t="n">
        <v>0</v>
      </c>
      <c r="AFB40" s="20" t="n">
        <v>0</v>
      </c>
      <c r="AFC40" s="20" t="n">
        <v>0</v>
      </c>
      <c r="AFD40" s="20" t="n">
        <v>0</v>
      </c>
      <c r="AFE40" s="20" t="n">
        <v>0</v>
      </c>
      <c r="AFF40" s="20" t="n">
        <v>0</v>
      </c>
      <c r="AFG40" s="20" t="n">
        <v>0</v>
      </c>
      <c r="AFH40" s="20" t="n">
        <v>0</v>
      </c>
      <c r="AFI40" s="20" t="n">
        <v>0</v>
      </c>
      <c r="AFJ40" s="20" t="n">
        <v>0</v>
      </c>
      <c r="AFK40" s="20" t="n">
        <v>0</v>
      </c>
      <c r="AFL40" s="20" t="n">
        <v>0</v>
      </c>
      <c r="AFM40" s="20" t="n">
        <v>0</v>
      </c>
      <c r="AFN40" s="20" t="n">
        <v>0</v>
      </c>
      <c r="AFO40" s="20" t="n">
        <v>0</v>
      </c>
      <c r="AFP40" s="20" t="n">
        <v>0</v>
      </c>
      <c r="AFQ40" s="20" t="n">
        <v>0</v>
      </c>
      <c r="AFR40" s="20" t="n">
        <v>0</v>
      </c>
      <c r="AFS40" s="20" t="n">
        <v>0</v>
      </c>
      <c r="AFT40" s="20" t="n">
        <v>0</v>
      </c>
      <c r="AFU40" s="20" t="n">
        <v>0</v>
      </c>
      <c r="AFV40" s="20" t="n">
        <v>0</v>
      </c>
      <c r="AFW40" s="20" t="n">
        <v>0</v>
      </c>
      <c r="AFX40" s="20" t="n">
        <v>0</v>
      </c>
      <c r="AFY40" s="20" t="n">
        <v>0</v>
      </c>
      <c r="AFZ40" s="20" t="n">
        <v>0</v>
      </c>
      <c r="AGA40" s="20" t="n">
        <v>0</v>
      </c>
      <c r="AGB40" s="20" t="n">
        <v>0</v>
      </c>
      <c r="AGC40" s="20" t="n">
        <v>0</v>
      </c>
      <c r="AGD40" s="20" t="n">
        <v>0</v>
      </c>
      <c r="AGE40" s="20" t="n">
        <v>0</v>
      </c>
      <c r="AGF40" s="20" t="n">
        <v>0</v>
      </c>
      <c r="AGG40" s="20" t="n">
        <v>0</v>
      </c>
      <c r="AGH40" s="20" t="n">
        <v>0</v>
      </c>
      <c r="AGI40" s="20" t="n">
        <v>0</v>
      </c>
      <c r="AGJ40" s="20" t="n">
        <v>0</v>
      </c>
      <c r="AGK40" s="20" t="n">
        <v>0</v>
      </c>
      <c r="AGL40" s="20" t="n">
        <v>0</v>
      </c>
      <c r="AGM40" s="20" t="n">
        <v>0</v>
      </c>
      <c r="AGN40" s="20" t="n">
        <v>0</v>
      </c>
      <c r="AGO40" s="20" t="n">
        <v>0</v>
      </c>
      <c r="AGP40" s="20" t="n">
        <v>0</v>
      </c>
      <c r="AGQ40" s="20" t="n">
        <v>0</v>
      </c>
      <c r="AGR40" s="20" t="n">
        <v>0</v>
      </c>
      <c r="AGS40" s="20" t="n">
        <v>0</v>
      </c>
      <c r="AGT40" s="20" t="n">
        <v>0</v>
      </c>
      <c r="AGU40" s="20" t="n">
        <v>0</v>
      </c>
      <c r="AGV40" s="20" t="n">
        <v>0</v>
      </c>
      <c r="AGW40" s="20" t="n">
        <v>0</v>
      </c>
      <c r="AGX40" s="20" t="n">
        <v>0</v>
      </c>
      <c r="AGY40" s="20" t="n">
        <v>0</v>
      </c>
      <c r="AGZ40" s="20" t="n">
        <v>0</v>
      </c>
      <c r="AHA40" s="20" t="n">
        <v>0</v>
      </c>
      <c r="AHB40" s="20" t="n">
        <v>0</v>
      </c>
      <c r="AHC40" s="20" t="n">
        <v>0</v>
      </c>
      <c r="AHD40" s="20" t="n">
        <v>0</v>
      </c>
      <c r="AHE40" s="20" t="n">
        <f aca="false">IF(AKR39&gt;0,AOE39-AOE39*TE40/AKR39,0)+0</f>
        <v>0</v>
      </c>
      <c r="AHF40" s="20" t="n">
        <f aca="false">IF(AKS39&gt;0,AOF39-AOF39*TF40/AKS39,0)+0</f>
        <v>0</v>
      </c>
      <c r="AHG40" s="20" t="n">
        <f aca="false">IF(AKT39&gt;0,AOG39-AOG39*TG40/AKT39,0)+0</f>
        <v>0</v>
      </c>
      <c r="AHH40" s="20" t="n">
        <f aca="false">IF(AKU39&gt;0,AOH39-AOH39*TH40/AKU39,0)+0</f>
        <v>0</v>
      </c>
      <c r="AHI40" s="20" t="n">
        <f aca="false">IF(AKV39&gt;0,AOI39-AOI39*TI40/AKV39,0)+0</f>
        <v>0</v>
      </c>
      <c r="AHJ40" s="20" t="n">
        <f aca="false">IF(AKW39&gt;0,AOJ39-AOJ39*TJ40/AKW39,0)+0</f>
        <v>0</v>
      </c>
      <c r="AHK40" s="20" t="n">
        <f aca="false">IF(AKX39&gt;0,AOK39-AOK39*TK40/AKX39,0)+0</f>
        <v>0</v>
      </c>
      <c r="AHL40" s="20" t="n">
        <f aca="false">IF(AKY39&gt;0,AOL39-AOL39*TL40/AKY39,0)+0</f>
        <v>0</v>
      </c>
      <c r="AHM40" s="20" t="n">
        <f aca="false">IF(AKZ39&gt;0,AOM39-AOM39*TM40/AKZ39,0)+0</f>
        <v>0</v>
      </c>
      <c r="AHN40" s="20" t="n">
        <f aca="false">IF(ALA39&gt;0,AON39-AON39*TN40/ALA39,0)+0</f>
        <v>0</v>
      </c>
      <c r="AHO40" s="20" t="n">
        <f aca="false">IF(ALB39&gt;0,AOO39-AOO39*TO40/ALB39,0)+0</f>
        <v>0</v>
      </c>
      <c r="AHP40" s="20" t="n">
        <f aca="false">IF(ALC39&gt;0,AOP39-AOP39*TP40/ALC39,0)+0</f>
        <v>825.068712866201</v>
      </c>
      <c r="AHQ40" s="20" t="n">
        <f aca="false">IF(ALD39&gt;0,AOQ39-AOQ39*TQ40/ALD39,0)+0</f>
        <v>1079.42659374892</v>
      </c>
      <c r="AHR40" s="20" t="n">
        <f aca="false">IF(ALE39&gt;0,AOR39-AOR39*TR40/ALE39,0)+0</f>
        <v>1343.44282050643</v>
      </c>
      <c r="AHS40" s="20" t="n">
        <f aca="false">IF(ALF39&gt;0,AOS39-AOS39*TS40/ALF39,0)+0</f>
        <v>1571.13689620916</v>
      </c>
      <c r="AHT40" s="20" t="n">
        <f aca="false">IF(ALG39&gt;0,AOT39-AOT39*TT40/ALG39,0)+0</f>
        <v>1571.41417846952</v>
      </c>
      <c r="AHU40" s="20" t="n">
        <f aca="false">IF(ALH39&gt;0,AOU39-AOU39*TU40/ALH39,0)+0</f>
        <v>1570.76264270518</v>
      </c>
      <c r="AHV40" s="20" t="n">
        <f aca="false">IF(ALI39&gt;0,AOV39-AOV39*TV40/ALI39,0)+0</f>
        <v>1569.13568164553</v>
      </c>
      <c r="AHW40" s="20" t="n">
        <f aca="false">IF(ALJ39&gt;0,AOW39-AOW39*TW40/ALJ39,0)+0</f>
        <v>4128.51485357413</v>
      </c>
      <c r="AHX40" s="20" t="n">
        <f aca="false">IF(ALK39&gt;0,AOX39-AOX39*TX40/ALK39,0)+0</f>
        <v>4211.08515064561</v>
      </c>
      <c r="AHY40" s="20" t="n">
        <f aca="false">IF(ALL39&gt;0,AOY39-AOY39*TY40/ALL39,0)+0</f>
        <v>4295.30685365853</v>
      </c>
      <c r="AHZ40" s="20" t="n">
        <f aca="false">IF(ALM39&gt;0,AOZ39-AOZ39*TZ40/ALM39,0)+0</f>
        <v>4381.21299073169</v>
      </c>
      <c r="AIA40" s="20" t="n">
        <f aca="false">IF(ALN39&gt;0,APA39-APA39*UA40/ALN39,0)+0</f>
        <v>4468.83725054633</v>
      </c>
      <c r="AIB40" s="20" t="n">
        <f aca="false">IF(ALO39&gt;0,APB39-APB39*UB40/ALO39,0)+0</f>
        <v>4558.21399555725</v>
      </c>
      <c r="AIC40" s="20" t="n">
        <f aca="false">IF(ALP39&gt;0,APC39-APC39*UC40/ALP39,0)+0</f>
        <v>4649.3782754684</v>
      </c>
      <c r="AID40" s="20" t="n">
        <f aca="false">IF(ALQ39&gt;0,APD39-APD39*UD40/ALQ39,0)+0</f>
        <v>4742.36584097777</v>
      </c>
      <c r="AIE40" s="20" t="n">
        <f aca="false">IF(ALR39&gt;0,APE39-APE39*UE40/ALR39,0)+0</f>
        <v>59564.0396053951</v>
      </c>
      <c r="AIF40" s="20" t="n">
        <f aca="false">IF(ALS39&gt;0,APF39-APF39*UF40/ALS39,0)+0</f>
        <v>0</v>
      </c>
      <c r="AIG40" s="20" t="n">
        <f aca="false">IF(ALT39&gt;0,APG39-APG39*UG40/ALT39,0)+0</f>
        <v>0</v>
      </c>
      <c r="AIH40" s="20" t="n">
        <f aca="false">IF(ALU39&gt;0,APH39-APH39*UH40/ALU39,0)+0</f>
        <v>1729.45769829184</v>
      </c>
      <c r="AII40" s="20" t="n">
        <f aca="false">IF(ALV39&gt;0,API39-API39*UI40/ALV39,0)+0</f>
        <v>0</v>
      </c>
      <c r="AIJ40" s="20" t="n">
        <f aca="false">IF(ALW39&gt;0,APJ39-APJ39*UJ40/ALW39,0)+0</f>
        <v>0</v>
      </c>
      <c r="AIK40" s="20" t="n">
        <f aca="false">IF(ALX39&gt;0,APK39-APK39*UK40/ALX39,0)+0</f>
        <v>0</v>
      </c>
      <c r="AIL40" s="20" t="n">
        <f aca="false">IF((P40+S40)&gt;0,(P40+S40)-(P40+S40)*UL40/(P40+S40),0)+BE40</f>
        <v>0</v>
      </c>
      <c r="AIM40" s="20" t="n">
        <v>0</v>
      </c>
      <c r="AIN40" s="20" t="n">
        <v>0</v>
      </c>
      <c r="AIO40" s="20" t="n">
        <v>0</v>
      </c>
      <c r="AIP40" s="20" t="n">
        <v>0</v>
      </c>
      <c r="AIQ40" s="20" t="n">
        <v>0</v>
      </c>
      <c r="AIR40" s="20" t="n">
        <v>0</v>
      </c>
      <c r="AIS40" s="20" t="n">
        <v>0</v>
      </c>
      <c r="AIT40" s="20" t="n">
        <v>0</v>
      </c>
      <c r="AIU40" s="20" t="n">
        <v>0</v>
      </c>
      <c r="AIV40" s="20" t="n">
        <v>0</v>
      </c>
      <c r="AIW40" s="20" t="n">
        <v>0</v>
      </c>
      <c r="AIX40" s="20" t="n">
        <v>0</v>
      </c>
      <c r="AIY40" s="20" t="n">
        <v>0</v>
      </c>
      <c r="AIZ40" s="20" t="n">
        <v>0</v>
      </c>
      <c r="AJA40" s="20" t="n">
        <v>0</v>
      </c>
      <c r="AJB40" s="20" t="n">
        <v>0</v>
      </c>
      <c r="AJC40" s="20" t="n">
        <v>0</v>
      </c>
      <c r="AJD40" s="20" t="n">
        <v>0</v>
      </c>
      <c r="AJE40" s="20" t="n">
        <v>0</v>
      </c>
      <c r="AJF40" s="20" t="n">
        <v>0</v>
      </c>
      <c r="AJG40" s="20" t="n">
        <v>0</v>
      </c>
      <c r="AJH40" s="20" t="n">
        <v>0</v>
      </c>
      <c r="AJI40" s="20" t="n">
        <v>0</v>
      </c>
      <c r="AJJ40" s="20" t="n">
        <v>0</v>
      </c>
      <c r="AJK40" s="20" t="n">
        <v>0</v>
      </c>
      <c r="AJL40" s="20" t="n">
        <v>0</v>
      </c>
      <c r="AJM40" s="20" t="n">
        <v>0</v>
      </c>
      <c r="AJN40" s="20" t="n">
        <v>0</v>
      </c>
      <c r="AJO40" s="20" t="n">
        <v>0</v>
      </c>
      <c r="AJP40" s="20" t="n">
        <v>0</v>
      </c>
      <c r="AJQ40" s="20" t="n">
        <v>0</v>
      </c>
      <c r="AJR40" s="20" t="n">
        <v>0</v>
      </c>
      <c r="AJS40" s="20" t="n">
        <v>0</v>
      </c>
      <c r="AJT40" s="20" t="n">
        <v>0</v>
      </c>
      <c r="AJU40" s="20" t="n">
        <v>0</v>
      </c>
      <c r="AJV40" s="20" t="n">
        <v>0</v>
      </c>
      <c r="AJW40" s="20" t="n">
        <v>0</v>
      </c>
      <c r="AJX40" s="20" t="n">
        <v>0</v>
      </c>
      <c r="AJY40" s="20" t="n">
        <v>0</v>
      </c>
      <c r="AJZ40" s="20" t="n">
        <v>0</v>
      </c>
      <c r="AKA40" s="20" t="n">
        <v>0</v>
      </c>
      <c r="AKB40" s="20" t="n">
        <v>0</v>
      </c>
      <c r="AKC40" s="20" t="n">
        <v>0</v>
      </c>
      <c r="AKD40" s="20" t="n">
        <v>0</v>
      </c>
      <c r="AKE40" s="20" t="n">
        <v>0</v>
      </c>
      <c r="AKF40" s="20" t="n">
        <v>0</v>
      </c>
      <c r="AKG40" s="20" t="n">
        <v>0</v>
      </c>
      <c r="AKH40" s="20" t="n">
        <v>0</v>
      </c>
      <c r="AKI40" s="20" t="n">
        <v>0</v>
      </c>
      <c r="AKJ40" s="20" t="n">
        <v>0</v>
      </c>
      <c r="AKK40" s="20" t="n">
        <v>0</v>
      </c>
      <c r="AKL40" s="20" t="n">
        <v>0</v>
      </c>
      <c r="AKM40" s="20" t="n">
        <v>0</v>
      </c>
      <c r="AKN40" s="20" t="n">
        <v>0</v>
      </c>
      <c r="AKO40" s="20" t="n">
        <v>0</v>
      </c>
      <c r="AKP40" s="20" t="n">
        <v>0</v>
      </c>
      <c r="AKQ40" s="20" t="n">
        <v>0</v>
      </c>
      <c r="AKR40" s="20" t="n">
        <f aca="false">ADR40-AVE40</f>
        <v>0</v>
      </c>
      <c r="AKS40" s="20" t="n">
        <f aca="false">ADS40-AVF40</f>
        <v>0</v>
      </c>
      <c r="AKT40" s="20" t="n">
        <f aca="false">ADT40-AVG40</f>
        <v>0</v>
      </c>
      <c r="AKU40" s="20" t="n">
        <f aca="false">ADU40-AVH40</f>
        <v>0</v>
      </c>
      <c r="AKV40" s="20" t="n">
        <f aca="false">ADV40-AVI40</f>
        <v>0</v>
      </c>
      <c r="AKW40" s="20" t="n">
        <f aca="false">ADW40-AVJ40</f>
        <v>0</v>
      </c>
      <c r="AKX40" s="20" t="n">
        <f aca="false">ADX40-AVK40</f>
        <v>0</v>
      </c>
      <c r="AKY40" s="20" t="n">
        <f aca="false">ADY40-AVL40</f>
        <v>0</v>
      </c>
      <c r="AKZ40" s="20" t="n">
        <f aca="false">ADZ40-AVM40</f>
        <v>0</v>
      </c>
      <c r="ALA40" s="20" t="n">
        <f aca="false">AEA40-AVN40</f>
        <v>0</v>
      </c>
      <c r="ALB40" s="20" t="n">
        <f aca="false">AEB40-AVO40</f>
        <v>0</v>
      </c>
      <c r="ALC40" s="20" t="n">
        <f aca="false">AEC40-AVP40</f>
        <v>1085.73413931384</v>
      </c>
      <c r="ALD40" s="20" t="n">
        <f aca="false">AED40-AVQ40</f>
        <v>1365.81899814086</v>
      </c>
      <c r="ALE40" s="20" t="n">
        <f aca="false">AEE40-AVR40</f>
        <v>1634.5036067776</v>
      </c>
      <c r="ALF40" s="20" t="n">
        <f aca="false">AEF40-AVS40</f>
        <v>1838.00794696212</v>
      </c>
      <c r="ALG40" s="20" t="n">
        <f aca="false">AEG40-AVT40</f>
        <v>1767.62723844994</v>
      </c>
      <c r="ALH40" s="20" t="n">
        <f aca="false">AEH40-AVU40</f>
        <v>1698.93687434992</v>
      </c>
      <c r="ALI40" s="20" t="n">
        <f aca="false">AEI40-AVV40</f>
        <v>1631.90110891135</v>
      </c>
      <c r="ALJ40" s="20" t="n">
        <f aca="false">AEJ40-AVW40</f>
        <v>5071.93338905698</v>
      </c>
      <c r="ALK40" s="20" t="n">
        <f aca="false">AEK40-AVX40</f>
        <v>5541.5007748027</v>
      </c>
      <c r="ALL40" s="20" t="n">
        <f aca="false">AEL40-AVY40</f>
        <v>5434.93345221035</v>
      </c>
      <c r="ALM40" s="20" t="n">
        <f aca="false">AEM40-AVZ40</f>
        <v>5330.4155012063</v>
      </c>
      <c r="ALN40" s="20" t="n">
        <f aca="false">AEN40-AWA40</f>
        <v>5227.90751079849</v>
      </c>
      <c r="ALO40" s="20" t="n">
        <f aca="false">AEO40-AWB40</f>
        <v>5127.37082789851</v>
      </c>
      <c r="ALP40" s="20" t="n">
        <f aca="false">AEP40-AWC40</f>
        <v>5028.76754274662</v>
      </c>
      <c r="ALQ40" s="20" t="n">
        <f aca="false">AEQ40-AWD40</f>
        <v>4932.06047461688</v>
      </c>
      <c r="ALR40" s="20" t="n">
        <f aca="false">AER40-AWE40</f>
        <v>73175.1857451059</v>
      </c>
      <c r="ALS40" s="20" t="n">
        <f aca="false">AES40-AWF40</f>
        <v>0</v>
      </c>
      <c r="ALT40" s="20" t="n">
        <f aca="false">AET40-AWG40</f>
        <v>0</v>
      </c>
      <c r="ALU40" s="20" t="n">
        <f aca="false">AEU40-AWH40</f>
        <v>2104.14972820479</v>
      </c>
      <c r="ALV40" s="20" t="n">
        <f aca="false">AEV40-AWI40</f>
        <v>0</v>
      </c>
      <c r="ALW40" s="20" t="n">
        <f aca="false">AEW40-AWJ40</f>
        <v>0</v>
      </c>
      <c r="ALX40" s="20" t="n">
        <f aca="false">AEX40-AWK40</f>
        <v>0</v>
      </c>
      <c r="ALY40" s="20" t="n">
        <f aca="false">AEY40-AWL40</f>
        <v>0</v>
      </c>
      <c r="ALZ40" s="20" t="n">
        <v>0</v>
      </c>
      <c r="AMA40" s="20" t="n">
        <v>0</v>
      </c>
      <c r="AMB40" s="20" t="n">
        <v>0</v>
      </c>
      <c r="AMC40" s="20" t="n">
        <v>0</v>
      </c>
      <c r="AMD40" s="20" t="n">
        <v>0</v>
      </c>
      <c r="AME40" s="20" t="n">
        <v>0</v>
      </c>
      <c r="AMF40" s="20" t="n">
        <v>0</v>
      </c>
      <c r="AMG40" s="20" t="n">
        <v>0</v>
      </c>
      <c r="AMH40" s="20" t="n">
        <v>0</v>
      </c>
      <c r="AMI40" s="20" t="n">
        <v>0</v>
      </c>
      <c r="AMJ40" s="20" t="n">
        <v>0</v>
      </c>
      <c r="AMK40" s="20" t="n">
        <v>0</v>
      </c>
      <c r="AML40" s="20" t="n">
        <v>0</v>
      </c>
      <c r="AMM40" s="20" t="n">
        <v>0</v>
      </c>
      <c r="AMN40" s="20" t="n">
        <v>0</v>
      </c>
      <c r="AMO40" s="20" t="n">
        <v>0</v>
      </c>
      <c r="AMP40" s="20" t="n">
        <v>0</v>
      </c>
      <c r="AMQ40" s="20" t="n">
        <v>0</v>
      </c>
      <c r="AMR40" s="20" t="n">
        <v>0</v>
      </c>
      <c r="AMS40" s="20" t="n">
        <v>0</v>
      </c>
      <c r="AMT40" s="20" t="n">
        <v>0</v>
      </c>
      <c r="AMU40" s="20" t="n">
        <v>0</v>
      </c>
      <c r="AMV40" s="20" t="n">
        <v>0</v>
      </c>
      <c r="AMW40" s="20" t="n">
        <v>0</v>
      </c>
      <c r="AMX40" s="20" t="n">
        <v>0</v>
      </c>
      <c r="AMY40" s="20" t="n">
        <v>0</v>
      </c>
      <c r="AMZ40" s="20" t="n">
        <v>0</v>
      </c>
      <c r="ANA40" s="20" t="n">
        <v>0</v>
      </c>
      <c r="ANB40" s="20" t="n">
        <v>0</v>
      </c>
      <c r="ANC40" s="20" t="n">
        <v>0</v>
      </c>
      <c r="AND40" s="20" t="n">
        <v>0</v>
      </c>
      <c r="ANE40" s="20" t="n">
        <v>0</v>
      </c>
      <c r="ANF40" s="20" t="n">
        <v>0</v>
      </c>
      <c r="ANG40" s="20" t="n">
        <v>0</v>
      </c>
      <c r="ANH40" s="20" t="n">
        <v>0</v>
      </c>
      <c r="ANI40" s="20" t="n">
        <v>0</v>
      </c>
      <c r="ANJ40" s="20" t="n">
        <v>0</v>
      </c>
      <c r="ANK40" s="20" t="n">
        <v>0</v>
      </c>
      <c r="ANL40" s="20" t="n">
        <v>0</v>
      </c>
      <c r="ANM40" s="20" t="n">
        <v>0</v>
      </c>
      <c r="ANN40" s="20" t="n">
        <v>0</v>
      </c>
      <c r="ANO40" s="20" t="n">
        <v>0</v>
      </c>
      <c r="ANP40" s="20" t="n">
        <v>0</v>
      </c>
      <c r="ANQ40" s="20" t="n">
        <v>0</v>
      </c>
      <c r="ANR40" s="20" t="n">
        <v>0</v>
      </c>
      <c r="ANS40" s="20" t="n">
        <v>0</v>
      </c>
      <c r="ANT40" s="20" t="n">
        <v>0</v>
      </c>
      <c r="ANU40" s="20" t="n">
        <v>0</v>
      </c>
      <c r="ANV40" s="20" t="n">
        <v>0</v>
      </c>
      <c r="ANW40" s="20" t="n">
        <v>0</v>
      </c>
      <c r="ANX40" s="20" t="n">
        <v>0</v>
      </c>
      <c r="ANY40" s="20" t="n">
        <v>0</v>
      </c>
      <c r="ANZ40" s="20" t="n">
        <v>0</v>
      </c>
      <c r="AOA40" s="20" t="n">
        <v>0</v>
      </c>
      <c r="AOB40" s="20" t="n">
        <v>0</v>
      </c>
      <c r="AOC40" s="20" t="n">
        <v>0</v>
      </c>
      <c r="AOD40" s="20" t="n">
        <v>0</v>
      </c>
      <c r="AOE40" s="20" t="n">
        <f aca="false">IF(AND(H_Direct=0,H_TaxEvt=1,ARR39+1&gt;=H_Deemed),AKR40,AHE40)</f>
        <v>0</v>
      </c>
      <c r="AOF40" s="20" t="n">
        <f aca="false">IF(AND(H_Direct=0,H_TaxEvt=1,ARS39+1&gt;=H_Deemed),AKS40,AHF40)</f>
        <v>0</v>
      </c>
      <c r="AOG40" s="20" t="n">
        <f aca="false">IF(AND(H_Direct=0,H_TaxEvt=1,ART39+1&gt;=H_Deemed),AKT40,AHG40)</f>
        <v>0</v>
      </c>
      <c r="AOH40" s="20" t="n">
        <f aca="false">IF(AND(H_Direct=0,H_TaxEvt=1,ARU39+1&gt;=H_Deemed),AKU40,AHH40)</f>
        <v>0</v>
      </c>
      <c r="AOI40" s="20" t="n">
        <f aca="false">IF(AND(H_Direct=0,H_TaxEvt=1,ARV39+1&gt;=H_Deemed),AKV40,AHI40)</f>
        <v>0</v>
      </c>
      <c r="AOJ40" s="20" t="n">
        <f aca="false">IF(AND(H_Direct=0,H_TaxEvt=1,ARW39+1&gt;=H_Deemed),AKW40,AHJ40)</f>
        <v>0</v>
      </c>
      <c r="AOK40" s="20" t="n">
        <f aca="false">IF(AND(H_Direct=0,H_TaxEvt=1,ARX39+1&gt;=H_Deemed),AKX40,AHK40)</f>
        <v>0</v>
      </c>
      <c r="AOL40" s="20" t="n">
        <f aca="false">IF(AND(H_Direct=0,H_TaxEvt=1,ARY39+1&gt;=H_Deemed),AKY40,AHL40)</f>
        <v>0</v>
      </c>
      <c r="AOM40" s="20" t="n">
        <f aca="false">IF(AND(H_Direct=0,H_TaxEvt=1,ARZ39+1&gt;=H_Deemed),AKZ40,AHM40)</f>
        <v>0</v>
      </c>
      <c r="AON40" s="20" t="n">
        <f aca="false">IF(AND(H_Direct=0,H_TaxEvt=1,ASA39+1&gt;=H_Deemed),ALA40,AHN40)</f>
        <v>0</v>
      </c>
      <c r="AOO40" s="20" t="n">
        <f aca="false">IF(AND(H_Direct=0,H_TaxEvt=1,ASB39+1&gt;=H_Deemed),ALB40,AHO40)</f>
        <v>0</v>
      </c>
      <c r="AOP40" s="20" t="n">
        <f aca="false">IF(AND(H_Direct=0,H_TaxEvt=1,ASC39+1&gt;=H_Deemed),ALC40,AHP40)</f>
        <v>825.068712866201</v>
      </c>
      <c r="AOQ40" s="20" t="n">
        <f aca="false">IF(AND(H_Direct=0,H_TaxEvt=1,ASD39+1&gt;=H_Deemed),ALD40,AHQ40)</f>
        <v>1079.42659374892</v>
      </c>
      <c r="AOR40" s="20" t="n">
        <f aca="false">IF(AND(H_Direct=0,H_TaxEvt=1,ASE39+1&gt;=H_Deemed),ALE40,AHR40)</f>
        <v>1343.44282050643</v>
      </c>
      <c r="AOS40" s="20" t="n">
        <f aca="false">IF(AND(H_Direct=0,H_TaxEvt=1,ASF39+1&gt;=H_Deemed),ALF40,AHS40)</f>
        <v>1571.13689620916</v>
      </c>
      <c r="AOT40" s="20" t="n">
        <f aca="false">IF(AND(H_Direct=0,H_TaxEvt=1,ASG39+1&gt;=H_Deemed),ALG40,AHT40)</f>
        <v>1571.41417846952</v>
      </c>
      <c r="AOU40" s="20" t="n">
        <f aca="false">IF(AND(H_Direct=0,H_TaxEvt=1,ASH39+1&gt;=H_Deemed),ALH40,AHU40)</f>
        <v>1570.76264270518</v>
      </c>
      <c r="AOV40" s="20" t="n">
        <f aca="false">IF(AND(H_Direct=0,H_TaxEvt=1,ASI39+1&gt;=H_Deemed),ALI40,AHV40)</f>
        <v>1569.13568164553</v>
      </c>
      <c r="AOW40" s="20" t="n">
        <f aca="false">IF(AND(H_Direct=0,H_TaxEvt=1,ASJ39+1&gt;=H_Deemed),ALJ40,AHW40)</f>
        <v>5071.93338905698</v>
      </c>
      <c r="AOX40" s="20" t="n">
        <f aca="false">IF(AND(H_Direct=0,H_TaxEvt=1,ASK39+1&gt;=H_Deemed),ALK40,AHX40)</f>
        <v>4211.08515064561</v>
      </c>
      <c r="AOY40" s="20" t="n">
        <f aca="false">IF(AND(H_Direct=0,H_TaxEvt=1,ASL39+1&gt;=H_Deemed),ALL40,AHY40)</f>
        <v>4295.30685365853</v>
      </c>
      <c r="AOZ40" s="20" t="n">
        <f aca="false">IF(AND(H_Direct=0,H_TaxEvt=1,ASM39+1&gt;=H_Deemed),ALM40,AHZ40)</f>
        <v>4381.21299073169</v>
      </c>
      <c r="APA40" s="20" t="n">
        <f aca="false">IF(AND(H_Direct=0,H_TaxEvt=1,ASN39+1&gt;=H_Deemed),ALN40,AIA40)</f>
        <v>4468.83725054633</v>
      </c>
      <c r="APB40" s="20" t="n">
        <f aca="false">IF(AND(H_Direct=0,H_TaxEvt=1,ASO39+1&gt;=H_Deemed),ALO40,AIB40)</f>
        <v>4558.21399555725</v>
      </c>
      <c r="APC40" s="20" t="n">
        <f aca="false">IF(AND(H_Direct=0,H_TaxEvt=1,ASP39+1&gt;=H_Deemed),ALP40,AIC40)</f>
        <v>4649.3782754684</v>
      </c>
      <c r="APD40" s="20" t="n">
        <f aca="false">IF(AND(H_Direct=0,H_TaxEvt=1,ASQ39+1&gt;=H_Deemed),ALQ40,AID40)</f>
        <v>4742.36584097777</v>
      </c>
      <c r="APE40" s="20" t="n">
        <f aca="false">IF(AND(H_Direct=0,H_TaxEvt=1,ASR39+1&gt;=H_Deemed),ALR40,AIE40)</f>
        <v>73175.1857451059</v>
      </c>
      <c r="APF40" s="20" t="n">
        <f aca="false">IF(AND(H_Direct=0,H_TaxEvt=1,ASS39+1&gt;=H_Deemed),ALS40,AIF40)</f>
        <v>0</v>
      </c>
      <c r="APG40" s="20" t="n">
        <f aca="false">IF(AND(H_Direct=0,H_TaxEvt=1,AST39+1&gt;=H_Deemed),ALT40,AIG40)</f>
        <v>0</v>
      </c>
      <c r="APH40" s="20" t="n">
        <f aca="false">IF(AND(H_Direct=0,H_TaxEvt=1,ASU39+1&gt;=H_Deemed),ALU40,AIH40)</f>
        <v>1729.45769829184</v>
      </c>
      <c r="API40" s="20" t="n">
        <f aca="false">IF(AND(H_Direct=0,H_TaxEvt=1,ASV39+1&gt;=H_Deemed),ALV40,AII40)</f>
        <v>0</v>
      </c>
      <c r="APJ40" s="20" t="n">
        <f aca="false">IF(AND(H_Direct=0,H_TaxEvt=1,ASW39+1&gt;=H_Deemed),ALW40,AIJ40)</f>
        <v>0</v>
      </c>
      <c r="APK40" s="20" t="n">
        <f aca="false">IF(AND(H_Direct=0,H_TaxEvt=1,ASX39+1&gt;=H_Deemed),ALX40,AIK40)</f>
        <v>0</v>
      </c>
      <c r="APL40" s="20" t="n">
        <f aca="false">IF(AND(H_Direct=0,H_TaxEvt=1,0+1&gt;=H_Deemed),ALY40,AIL40)</f>
        <v>0</v>
      </c>
      <c r="APM40" s="20" t="n">
        <v>0</v>
      </c>
      <c r="APN40" s="20" t="n">
        <v>0</v>
      </c>
      <c r="APO40" s="20" t="n">
        <v>0</v>
      </c>
      <c r="APP40" s="20" t="n">
        <v>0</v>
      </c>
      <c r="APQ40" s="20" t="n">
        <v>0</v>
      </c>
      <c r="APR40" s="20" t="n">
        <v>0</v>
      </c>
      <c r="APS40" s="20" t="n">
        <v>0</v>
      </c>
      <c r="APT40" s="20" t="n">
        <v>0</v>
      </c>
      <c r="APU40" s="20" t="n">
        <v>0</v>
      </c>
      <c r="APV40" s="20" t="n">
        <v>0</v>
      </c>
      <c r="APW40" s="20" t="n">
        <v>0</v>
      </c>
      <c r="APX40" s="20" t="n">
        <v>0</v>
      </c>
      <c r="APY40" s="20" t="n">
        <v>0</v>
      </c>
      <c r="APZ40" s="20" t="n">
        <v>0</v>
      </c>
      <c r="AQA40" s="20" t="n">
        <v>0</v>
      </c>
      <c r="AQB40" s="20" t="n">
        <v>0</v>
      </c>
      <c r="AQC40" s="20" t="n">
        <v>0</v>
      </c>
      <c r="AQD40" s="20" t="n">
        <v>0</v>
      </c>
      <c r="AQE40" s="20" t="n">
        <v>0</v>
      </c>
      <c r="AQF40" s="20" t="n">
        <v>0</v>
      </c>
      <c r="AQG40" s="20" t="n">
        <v>0</v>
      </c>
      <c r="AQH40" s="20" t="n">
        <v>0</v>
      </c>
      <c r="AQI40" s="20" t="n">
        <v>0</v>
      </c>
      <c r="AQJ40" s="20" t="n">
        <v>0</v>
      </c>
      <c r="AQK40" s="20" t="n">
        <v>0</v>
      </c>
      <c r="AQL40" s="20" t="n">
        <v>0</v>
      </c>
      <c r="AQM40" s="20" t="n">
        <v>0</v>
      </c>
      <c r="AQN40" s="20" t="n">
        <v>0</v>
      </c>
      <c r="AQO40" s="20" t="n">
        <v>0</v>
      </c>
      <c r="AQP40" s="20" t="n">
        <v>0</v>
      </c>
      <c r="AQQ40" s="20" t="n">
        <v>0</v>
      </c>
      <c r="AQR40" s="20" t="n">
        <v>0</v>
      </c>
      <c r="AQS40" s="20" t="n">
        <v>0</v>
      </c>
      <c r="AQT40" s="20" t="n">
        <v>0</v>
      </c>
      <c r="AQU40" s="20" t="n">
        <v>0</v>
      </c>
      <c r="AQV40" s="20" t="n">
        <v>0</v>
      </c>
      <c r="AQW40" s="20" t="n">
        <v>0</v>
      </c>
      <c r="AQX40" s="20" t="n">
        <v>0</v>
      </c>
      <c r="AQY40" s="20" t="n">
        <v>0</v>
      </c>
      <c r="AQZ40" s="20" t="n">
        <v>0</v>
      </c>
      <c r="ARA40" s="20" t="n">
        <v>0</v>
      </c>
      <c r="ARB40" s="20" t="n">
        <v>0</v>
      </c>
      <c r="ARC40" s="20" t="n">
        <v>0</v>
      </c>
      <c r="ARD40" s="20" t="n">
        <v>0</v>
      </c>
      <c r="ARE40" s="20" t="n">
        <v>0</v>
      </c>
      <c r="ARF40" s="20" t="n">
        <v>0</v>
      </c>
      <c r="ARG40" s="20" t="n">
        <v>0</v>
      </c>
      <c r="ARH40" s="20" t="n">
        <v>0</v>
      </c>
      <c r="ARI40" s="20" t="n">
        <v>0</v>
      </c>
      <c r="ARJ40" s="20" t="n">
        <v>0</v>
      </c>
      <c r="ARK40" s="20" t="n">
        <v>0</v>
      </c>
      <c r="ARL40" s="20" t="n">
        <v>0</v>
      </c>
      <c r="ARM40" s="20" t="n">
        <v>0</v>
      </c>
      <c r="ARN40" s="20" t="n">
        <v>0</v>
      </c>
      <c r="ARO40" s="20" t="n">
        <v>0</v>
      </c>
      <c r="ARP40" s="20" t="n">
        <v>0</v>
      </c>
      <c r="ARQ40" s="20" t="n">
        <v>0</v>
      </c>
      <c r="ARR40" s="20" t="n">
        <f aca="false">IF(AND(H_Direct=0,H_TaxEvt=1),IF(ARR39+1&gt;=H_Deemed,0,ARR39+1),ARR39)</f>
        <v>1</v>
      </c>
      <c r="ARS40" s="20" t="n">
        <f aca="false">IF(AND(H_Direct=0,H_TaxEvt=1),IF(ARS39+1&gt;=H_Deemed,0,ARS39+1),ARS39)</f>
        <v>1</v>
      </c>
      <c r="ART40" s="20" t="n">
        <f aca="false">IF(AND(H_Direct=0,H_TaxEvt=1),IF(ART39+1&gt;=H_Deemed,0,ART39+1),ART39)</f>
        <v>0</v>
      </c>
      <c r="ARU40" s="20" t="n">
        <f aca="false">IF(AND(H_Direct=0,H_TaxEvt=1),IF(ARU39+1&gt;=H_Deemed,0,ARU39+1),ARU39)</f>
        <v>7</v>
      </c>
      <c r="ARV40" s="20" t="n">
        <f aca="false">IF(AND(H_Direct=0,H_TaxEvt=1),IF(ARV39+1&gt;=H_Deemed,0,ARV39+1),ARV39)</f>
        <v>6</v>
      </c>
      <c r="ARW40" s="20" t="n">
        <f aca="false">IF(AND(H_Direct=0,H_TaxEvt=1),IF(ARW39+1&gt;=H_Deemed,0,ARW39+1),ARW39)</f>
        <v>5</v>
      </c>
      <c r="ARX40" s="20" t="n">
        <f aca="false">IF(AND(H_Direct=0,H_TaxEvt=1),IF(ARX39+1&gt;=H_Deemed,0,ARX39+1),ARX39)</f>
        <v>4</v>
      </c>
      <c r="ARY40" s="20" t="n">
        <f aca="false">IF(AND(H_Direct=0,H_TaxEvt=1),IF(ARY39+1&gt;=H_Deemed,0,ARY39+1),ARY39)</f>
        <v>3</v>
      </c>
      <c r="ARZ40" s="20" t="n">
        <f aca="false">IF(AND(H_Direct=0,H_TaxEvt=1),IF(ARZ39+1&gt;=H_Deemed,0,ARZ39+1),ARZ39)</f>
        <v>2</v>
      </c>
      <c r="ASA40" s="20" t="n">
        <f aca="false">IF(AND(H_Direct=0,H_TaxEvt=1),IF(ASA39+1&gt;=H_Deemed,0,ASA39+1),ASA39)</f>
        <v>1</v>
      </c>
      <c r="ASB40" s="20" t="n">
        <f aca="false">IF(AND(H_Direct=0,H_TaxEvt=1),IF(ASB39+1&gt;=H_Deemed,0,ASB39+1),ASB39)</f>
        <v>0</v>
      </c>
      <c r="ASC40" s="20" t="n">
        <f aca="false">IF(AND(H_Direct=0,H_TaxEvt=1),IF(ASC39+1&gt;=H_Deemed,0,ASC39+1),ASC39)</f>
        <v>7</v>
      </c>
      <c r="ASD40" s="20" t="n">
        <f aca="false">IF(AND(H_Direct=0,H_TaxEvt=1),IF(ASD39+1&gt;=H_Deemed,0,ASD39+1),ASD39)</f>
        <v>6</v>
      </c>
      <c r="ASE40" s="20" t="n">
        <f aca="false">IF(AND(H_Direct=0,H_TaxEvt=1),IF(ASE39+1&gt;=H_Deemed,0,ASE39+1),ASE39)</f>
        <v>5</v>
      </c>
      <c r="ASF40" s="20" t="n">
        <f aca="false">IF(AND(H_Direct=0,H_TaxEvt=1),IF(ASF39+1&gt;=H_Deemed,0,ASF39+1),ASF39)</f>
        <v>4</v>
      </c>
      <c r="ASG40" s="20" t="n">
        <f aca="false">IF(AND(H_Direct=0,H_TaxEvt=1),IF(ASG39+1&gt;=H_Deemed,0,ASG39+1),ASG39)</f>
        <v>3</v>
      </c>
      <c r="ASH40" s="20" t="n">
        <f aca="false">IF(AND(H_Direct=0,H_TaxEvt=1),IF(ASH39+1&gt;=H_Deemed,0,ASH39+1),ASH39)</f>
        <v>2</v>
      </c>
      <c r="ASI40" s="20" t="n">
        <f aca="false">IF(AND(H_Direct=0,H_TaxEvt=1),IF(ASI39+1&gt;=H_Deemed,0,ASI39+1),ASI39)</f>
        <v>1</v>
      </c>
      <c r="ASJ40" s="20" t="n">
        <f aca="false">IF(AND(H_Direct=0,H_TaxEvt=1),IF(ASJ39+1&gt;=H_Deemed,0,ASJ39+1),ASJ39)</f>
        <v>0</v>
      </c>
      <c r="ASK40" s="20" t="n">
        <f aca="false">IF(AND(H_Direct=0,H_TaxEvt=1),IF(ASK39+1&gt;=H_Deemed,0,ASK39+1),ASK39)</f>
        <v>7</v>
      </c>
      <c r="ASL40" s="20" t="n">
        <f aca="false">IF(AND(H_Direct=0,H_TaxEvt=1),IF(ASL39+1&gt;=H_Deemed,0,ASL39+1),ASL39)</f>
        <v>6</v>
      </c>
      <c r="ASM40" s="20" t="n">
        <f aca="false">IF(AND(H_Direct=0,H_TaxEvt=1),IF(ASM39+1&gt;=H_Deemed,0,ASM39+1),ASM39)</f>
        <v>5</v>
      </c>
      <c r="ASN40" s="20" t="n">
        <f aca="false">IF(AND(H_Direct=0,H_TaxEvt=1),IF(ASN39+1&gt;=H_Deemed,0,ASN39+1),ASN39)</f>
        <v>4</v>
      </c>
      <c r="ASO40" s="20" t="n">
        <f aca="false">IF(AND(H_Direct=0,H_TaxEvt=1),IF(ASO39+1&gt;=H_Deemed,0,ASO39+1),ASO39)</f>
        <v>3</v>
      </c>
      <c r="ASP40" s="20" t="n">
        <f aca="false">IF(AND(H_Direct=0,H_TaxEvt=1),IF(ASP39+1&gt;=H_Deemed,0,ASP39+1),ASP39)</f>
        <v>2</v>
      </c>
      <c r="ASQ40" s="20" t="n">
        <f aca="false">IF(AND(H_Direct=0,H_TaxEvt=1),IF(ASQ39+1&gt;=H_Deemed,0,ASQ39+1),ASQ39)</f>
        <v>1</v>
      </c>
      <c r="ASR40" s="20" t="n">
        <f aca="false">IF(AND(H_Direct=0,H_TaxEvt=1),IF(ASR39+1&gt;=H_Deemed,0,ASR39+1),ASR39)</f>
        <v>0</v>
      </c>
      <c r="ASS40" s="20" t="n">
        <f aca="false">IF(AND(H_Direct=0,H_TaxEvt=1),IF(ASS39+1&gt;=H_Deemed,0,ASS39+1),ASS39)</f>
        <v>7</v>
      </c>
      <c r="AST40" s="20" t="n">
        <f aca="false">IF(AND(H_Direct=0,H_TaxEvt=1),IF(AST39+1&gt;=H_Deemed,0,AST39+1),AST39)</f>
        <v>6</v>
      </c>
      <c r="ASU40" s="20" t="n">
        <f aca="false">IF(AND(H_Direct=0,H_TaxEvt=1),IF(ASU39+1&gt;=H_Deemed,0,ASU39+1),ASU39)</f>
        <v>5</v>
      </c>
      <c r="ASV40" s="20" t="n">
        <f aca="false">IF(AND(H_Direct=0,H_TaxEvt=1),IF(ASV39+1&gt;=H_Deemed,0,ASV39+1),ASV39)</f>
        <v>4</v>
      </c>
      <c r="ASW40" s="20" t="n">
        <f aca="false">IF(AND(H_Direct=0,H_TaxEvt=1),IF(ASW39+1&gt;=H_Deemed,0,ASW39+1),ASW39)</f>
        <v>3</v>
      </c>
      <c r="ASX40" s="20" t="n">
        <f aca="false">IF(AND(H_Direct=0,H_TaxEvt=1),IF(ASX39+1&gt;=H_Deemed,0,ASX39+1),ASX39)</f>
        <v>2</v>
      </c>
      <c r="ASY40" s="20" t="n">
        <f aca="false">IF(AND(H_Direct=0,H_TaxEvt=1),IF(0+1&gt;=H_Deemed,0,0+1),0)</f>
        <v>1</v>
      </c>
      <c r="ASZ40" s="20" t="n">
        <v>0</v>
      </c>
      <c r="ATA40" s="20" t="n">
        <v>0</v>
      </c>
      <c r="ATB40" s="20" t="n">
        <v>0</v>
      </c>
      <c r="ATC40" s="20" t="n">
        <v>0</v>
      </c>
      <c r="ATD40" s="20" t="n">
        <v>0</v>
      </c>
      <c r="ATE40" s="20" t="n">
        <v>0</v>
      </c>
      <c r="ATF40" s="20" t="n">
        <v>0</v>
      </c>
      <c r="ATG40" s="20" t="n">
        <v>0</v>
      </c>
      <c r="ATH40" s="20" t="n">
        <v>0</v>
      </c>
      <c r="ATI40" s="20" t="n">
        <v>0</v>
      </c>
      <c r="ATJ40" s="20" t="n">
        <v>0</v>
      </c>
      <c r="ATK40" s="20" t="n">
        <v>0</v>
      </c>
      <c r="ATL40" s="20" t="n">
        <v>0</v>
      </c>
      <c r="ATM40" s="20" t="n">
        <v>0</v>
      </c>
      <c r="ATN40" s="20" t="n">
        <v>0</v>
      </c>
      <c r="ATO40" s="20" t="n">
        <v>0</v>
      </c>
      <c r="ATP40" s="20" t="n">
        <v>0</v>
      </c>
      <c r="ATQ40" s="20" t="n">
        <v>0</v>
      </c>
      <c r="ATR40" s="20" t="n">
        <v>0</v>
      </c>
      <c r="ATS40" s="20" t="n">
        <v>0</v>
      </c>
      <c r="ATT40" s="20" t="n">
        <v>0</v>
      </c>
      <c r="ATU40" s="20" t="n">
        <v>0</v>
      </c>
      <c r="ATV40" s="20" t="n">
        <v>0</v>
      </c>
      <c r="ATW40" s="20" t="n">
        <v>0</v>
      </c>
      <c r="ATX40" s="20" t="n">
        <v>0</v>
      </c>
      <c r="ATY40" s="20" t="n">
        <v>0</v>
      </c>
      <c r="ATZ40" s="20" t="n">
        <v>0</v>
      </c>
      <c r="AUA40" s="20" t="n">
        <v>0</v>
      </c>
      <c r="AUB40" s="20" t="n">
        <v>0</v>
      </c>
      <c r="AUC40" s="20" t="n">
        <v>0</v>
      </c>
      <c r="AUD40" s="20" t="n">
        <v>0</v>
      </c>
      <c r="AUE40" s="20" t="n">
        <v>0</v>
      </c>
      <c r="AUF40" s="20" t="n">
        <v>0</v>
      </c>
      <c r="AUG40" s="20" t="n">
        <v>0</v>
      </c>
      <c r="AUH40" s="20" t="n">
        <v>0</v>
      </c>
      <c r="AUI40" s="20" t="n">
        <v>0</v>
      </c>
      <c r="AUJ40" s="20" t="n">
        <v>0</v>
      </c>
      <c r="AUK40" s="20" t="n">
        <v>0</v>
      </c>
      <c r="AUL40" s="20" t="n">
        <v>0</v>
      </c>
      <c r="AUM40" s="20" t="n">
        <v>0</v>
      </c>
      <c r="AUN40" s="20" t="n">
        <v>0</v>
      </c>
      <c r="AUO40" s="20" t="n">
        <v>0</v>
      </c>
      <c r="AUP40" s="20" t="n">
        <v>0</v>
      </c>
      <c r="AUQ40" s="20" t="n">
        <v>0</v>
      </c>
      <c r="AUR40" s="20" t="n">
        <v>0</v>
      </c>
      <c r="AUS40" s="20" t="n">
        <v>0</v>
      </c>
      <c r="AUT40" s="20" t="n">
        <v>0</v>
      </c>
      <c r="AUU40" s="20" t="n">
        <v>0</v>
      </c>
      <c r="AUV40" s="20" t="n">
        <v>0</v>
      </c>
      <c r="AUW40" s="20" t="n">
        <v>0</v>
      </c>
      <c r="AUX40" s="20" t="n">
        <v>0</v>
      </c>
      <c r="AUY40" s="20" t="n">
        <v>0</v>
      </c>
      <c r="AUZ40" s="20" t="n">
        <v>0</v>
      </c>
      <c r="AVA40" s="20" t="n">
        <v>0</v>
      </c>
      <c r="AVB40" s="20" t="n">
        <v>0</v>
      </c>
      <c r="AVC40" s="20" t="n">
        <v>0</v>
      </c>
      <c r="AVD40" s="20" t="n">
        <v>0</v>
      </c>
      <c r="AVE40" s="20" t="n">
        <f aca="false">IF(AND(H_Direct=0,H_TaxEvt=1,ARR39+1&gt;=H_Deemed),MAX(0,ADR40-AHE40)*H_Exit,0)</f>
        <v>0</v>
      </c>
      <c r="AVF40" s="20" t="n">
        <f aca="false">IF(AND(H_Direct=0,H_TaxEvt=1,ARS39+1&gt;=H_Deemed),MAX(0,ADS40-AHF40)*H_Exit,0)</f>
        <v>0</v>
      </c>
      <c r="AVG40" s="20" t="n">
        <f aca="false">IF(AND(H_Direct=0,H_TaxEvt=1,ART39+1&gt;=H_Deemed),MAX(0,ADT40-AHG40)*H_Exit,0)</f>
        <v>0</v>
      </c>
      <c r="AVH40" s="20" t="n">
        <f aca="false">IF(AND(H_Direct=0,H_TaxEvt=1,ARU39+1&gt;=H_Deemed),MAX(0,ADU40-AHH40)*H_Exit,0)</f>
        <v>0</v>
      </c>
      <c r="AVI40" s="20" t="n">
        <f aca="false">IF(AND(H_Direct=0,H_TaxEvt=1,ARV39+1&gt;=H_Deemed),MAX(0,ADV40-AHI40)*H_Exit,0)</f>
        <v>0</v>
      </c>
      <c r="AVJ40" s="20" t="n">
        <f aca="false">IF(AND(H_Direct=0,H_TaxEvt=1,ARW39+1&gt;=H_Deemed),MAX(0,ADW40-AHJ40)*H_Exit,0)</f>
        <v>0</v>
      </c>
      <c r="AVK40" s="20" t="n">
        <f aca="false">IF(AND(H_Direct=0,H_TaxEvt=1,ARX39+1&gt;=H_Deemed),MAX(0,ADX40-AHK40)*H_Exit,0)</f>
        <v>0</v>
      </c>
      <c r="AVL40" s="20" t="n">
        <f aca="false">IF(AND(H_Direct=0,H_TaxEvt=1,ARY39+1&gt;=H_Deemed),MAX(0,ADY40-AHL40)*H_Exit,0)</f>
        <v>0</v>
      </c>
      <c r="AVM40" s="20" t="n">
        <f aca="false">IF(AND(H_Direct=0,H_TaxEvt=1,ARZ39+1&gt;=H_Deemed),MAX(0,ADZ40-AHM40)*H_Exit,0)</f>
        <v>0</v>
      </c>
      <c r="AVN40" s="20" t="n">
        <f aca="false">IF(AND(H_Direct=0,H_TaxEvt=1,ASA39+1&gt;=H_Deemed),MAX(0,AEA40-AHN40)*H_Exit,0)</f>
        <v>0</v>
      </c>
      <c r="AVO40" s="20" t="n">
        <f aca="false">IF(AND(H_Direct=0,H_TaxEvt=1,ASB39+1&gt;=H_Deemed),MAX(0,AEB40-AHO40)*H_Exit,0)</f>
        <v>0</v>
      </c>
      <c r="AVP40" s="20" t="n">
        <f aca="false">IF(AND(H_Direct=0,H_TaxEvt=1,ASC39+1&gt;=H_Deemed),MAX(0,AEC40-AHP40)*H_Exit,0)</f>
        <v>0</v>
      </c>
      <c r="AVQ40" s="20" t="n">
        <f aca="false">IF(AND(H_Direct=0,H_TaxEvt=1,ASD39+1&gt;=H_Deemed),MAX(0,AED40-AHQ40)*H_Exit,0)</f>
        <v>0</v>
      </c>
      <c r="AVR40" s="20" t="n">
        <f aca="false">IF(AND(H_Direct=0,H_TaxEvt=1,ASE39+1&gt;=H_Deemed),MAX(0,AEE40-AHR40)*H_Exit,0)</f>
        <v>0</v>
      </c>
      <c r="AVS40" s="20" t="n">
        <f aca="false">IF(AND(H_Direct=0,H_TaxEvt=1,ASF39+1&gt;=H_Deemed),MAX(0,AEF40-AHS40)*H_Exit,0)</f>
        <v>0</v>
      </c>
      <c r="AVT40" s="20" t="n">
        <f aca="false">IF(AND(H_Direct=0,H_TaxEvt=1,ASG39+1&gt;=H_Deemed),MAX(0,AEG40-AHT40)*H_Exit,0)</f>
        <v>0</v>
      </c>
      <c r="AVU40" s="20" t="n">
        <f aca="false">IF(AND(H_Direct=0,H_TaxEvt=1,ASH39+1&gt;=H_Deemed),MAX(0,AEH40-AHU40)*H_Exit,0)</f>
        <v>0</v>
      </c>
      <c r="AVV40" s="20" t="n">
        <f aca="false">IF(AND(H_Direct=0,H_TaxEvt=1,ASI39+1&gt;=H_Deemed),MAX(0,AEI40-AHV40)*H_Exit,0)</f>
        <v>0</v>
      </c>
      <c r="AVW40" s="20" t="n">
        <f aca="false">IF(AND(H_Direct=0,H_TaxEvt=1,ASJ39+1&gt;=H_Deemed),MAX(0,AEJ40-AHW40)*H_Exit,0)</f>
        <v>578.224263683037</v>
      </c>
      <c r="AVX40" s="20" t="n">
        <f aca="false">IF(AND(H_Direct=0,H_TaxEvt=1,ASK39+1&gt;=H_Deemed),MAX(0,AEK40-AHX40)*H_Exit,0)</f>
        <v>0</v>
      </c>
      <c r="AVY40" s="20" t="n">
        <f aca="false">IF(AND(H_Direct=0,H_TaxEvt=1,ASL39+1&gt;=H_Deemed),MAX(0,AEL40-AHY40)*H_Exit,0)</f>
        <v>0</v>
      </c>
      <c r="AVZ40" s="20" t="n">
        <f aca="false">IF(AND(H_Direct=0,H_TaxEvt=1,ASM39+1&gt;=H_Deemed),MAX(0,AEM40-AHZ40)*H_Exit,0)</f>
        <v>0</v>
      </c>
      <c r="AWA40" s="20" t="n">
        <f aca="false">IF(AND(H_Direct=0,H_TaxEvt=1,ASN39+1&gt;=H_Deemed),MAX(0,AEN40-AIA40)*H_Exit,0)</f>
        <v>0</v>
      </c>
      <c r="AWB40" s="20" t="n">
        <f aca="false">IF(AND(H_Direct=0,H_TaxEvt=1,ASO39+1&gt;=H_Deemed),MAX(0,AEO40-AIB40)*H_Exit,0)</f>
        <v>0</v>
      </c>
      <c r="AWC40" s="20" t="n">
        <f aca="false">IF(AND(H_Direct=0,H_TaxEvt=1,ASP39+1&gt;=H_Deemed),MAX(0,AEP40-AIC40)*H_Exit,0)</f>
        <v>0</v>
      </c>
      <c r="AWD40" s="20" t="n">
        <f aca="false">IF(AND(H_Direct=0,H_TaxEvt=1,ASQ39+1&gt;=H_Deemed),MAX(0,AEQ40-AID40)*H_Exit,0)</f>
        <v>0</v>
      </c>
      <c r="AWE40" s="20" t="n">
        <f aca="false">IF(AND(H_Direct=0,H_TaxEvt=1,ASR39+1&gt;=H_Deemed),MAX(0,AER40-AIE40)*H_Exit,0)</f>
        <v>8342.31537595178</v>
      </c>
      <c r="AWF40" s="20" t="n">
        <f aca="false">IF(AND(H_Direct=0,H_TaxEvt=1,ASS39+1&gt;=H_Deemed),MAX(0,AES40-AIF40)*H_Exit,0)</f>
        <v>0</v>
      </c>
      <c r="AWG40" s="20" t="n">
        <f aca="false">IF(AND(H_Direct=0,H_TaxEvt=1,AST39+1&gt;=H_Deemed),MAX(0,AET40-AIG40)*H_Exit,0)</f>
        <v>0</v>
      </c>
      <c r="AWH40" s="20" t="n">
        <f aca="false">IF(AND(H_Direct=0,H_TaxEvt=1,ASU39+1&gt;=H_Deemed),MAX(0,AEU40-AIH40)*H_Exit,0)</f>
        <v>0</v>
      </c>
      <c r="AWI40" s="20" t="n">
        <f aca="false">IF(AND(H_Direct=0,H_TaxEvt=1,ASV39+1&gt;=H_Deemed),MAX(0,AEV40-AII40)*H_Exit,0)</f>
        <v>0</v>
      </c>
      <c r="AWJ40" s="20" t="n">
        <f aca="false">IF(AND(H_Direct=0,H_TaxEvt=1,ASW39+1&gt;=H_Deemed),MAX(0,AEW40-AIJ40)*H_Exit,0)</f>
        <v>0</v>
      </c>
      <c r="AWK40" s="20" t="n">
        <f aca="false">IF(AND(H_Direct=0,H_TaxEvt=1,ASX39+1&gt;=H_Deemed),MAX(0,AEX40-AIK40)*H_Exit,0)</f>
        <v>0</v>
      </c>
      <c r="AWL40" s="20" t="n">
        <f aca="false">IF(AND(H_Direct=0,H_TaxEvt=1,0+1&gt;=H_Deemed),MAX(0,AEY40-AIL40)*H_Exit,0)</f>
        <v>0</v>
      </c>
      <c r="AWM40" s="20" t="n">
        <v>0</v>
      </c>
      <c r="AWN40" s="20" t="n">
        <v>0</v>
      </c>
      <c r="AWO40" s="20" t="n">
        <v>0</v>
      </c>
      <c r="AWP40" s="20" t="n">
        <v>0</v>
      </c>
      <c r="AWQ40" s="20" t="n">
        <v>0</v>
      </c>
      <c r="AWR40" s="20" t="n">
        <v>0</v>
      </c>
      <c r="AWS40" s="20" t="n">
        <v>0</v>
      </c>
      <c r="AWT40" s="20" t="n">
        <v>0</v>
      </c>
      <c r="AWU40" s="20" t="n">
        <v>0</v>
      </c>
      <c r="AWV40" s="20" t="n">
        <v>0</v>
      </c>
      <c r="AWW40" s="20" t="n">
        <v>0</v>
      </c>
      <c r="AWX40" s="20" t="n">
        <v>0</v>
      </c>
      <c r="AWY40" s="20" t="n">
        <v>0</v>
      </c>
      <c r="AWZ40" s="20" t="n">
        <v>0</v>
      </c>
      <c r="AXA40" s="20" t="n">
        <v>0</v>
      </c>
      <c r="AXB40" s="20" t="n">
        <v>0</v>
      </c>
      <c r="AXC40" s="20" t="n">
        <v>0</v>
      </c>
      <c r="AXD40" s="20" t="n">
        <v>0</v>
      </c>
      <c r="AXE40" s="20" t="n">
        <v>0</v>
      </c>
      <c r="AXF40" s="20" t="n">
        <v>0</v>
      </c>
      <c r="AXG40" s="20" t="n">
        <v>0</v>
      </c>
      <c r="AXH40" s="20" t="n">
        <v>0</v>
      </c>
      <c r="AXI40" s="20" t="n">
        <v>0</v>
      </c>
      <c r="AXJ40" s="20" t="n">
        <v>0</v>
      </c>
      <c r="AXK40" s="20" t="n">
        <v>0</v>
      </c>
      <c r="AXL40" s="20" t="n">
        <v>0</v>
      </c>
      <c r="AXM40" s="20" t="n">
        <v>0</v>
      </c>
      <c r="AXN40" s="20" t="n">
        <v>0</v>
      </c>
      <c r="AXO40" s="20" t="n">
        <v>0</v>
      </c>
      <c r="AXP40" s="20" t="n">
        <v>0</v>
      </c>
      <c r="AXQ40" s="20" t="n">
        <v>0</v>
      </c>
      <c r="AXR40" s="20" t="n">
        <v>0</v>
      </c>
      <c r="AXS40" s="20" t="n">
        <v>0</v>
      </c>
      <c r="AXT40" s="20" t="n">
        <v>0</v>
      </c>
      <c r="AXU40" s="20" t="n">
        <v>0</v>
      </c>
      <c r="AXV40" s="20" t="n">
        <v>0</v>
      </c>
      <c r="AXW40" s="20" t="n">
        <v>0</v>
      </c>
      <c r="AXX40" s="20" t="n">
        <v>0</v>
      </c>
      <c r="AXY40" s="20" t="n">
        <v>0</v>
      </c>
      <c r="AXZ40" s="20" t="n">
        <v>0</v>
      </c>
      <c r="AYA40" s="20" t="n">
        <v>0</v>
      </c>
      <c r="AYB40" s="20" t="n">
        <v>0</v>
      </c>
      <c r="AYC40" s="20" t="n">
        <v>0</v>
      </c>
      <c r="AYD40" s="20" t="n">
        <v>0</v>
      </c>
      <c r="AYE40" s="20" t="n">
        <v>0</v>
      </c>
      <c r="AYF40" s="20" t="n">
        <v>0</v>
      </c>
      <c r="AYG40" s="20" t="n">
        <v>0</v>
      </c>
      <c r="AYH40" s="20" t="n">
        <v>0</v>
      </c>
      <c r="AYI40" s="20" t="n">
        <v>0</v>
      </c>
      <c r="AYJ40" s="20" t="n">
        <v>0</v>
      </c>
      <c r="AYK40" s="20" t="n">
        <v>0</v>
      </c>
      <c r="AYL40" s="20" t="n">
        <v>0</v>
      </c>
      <c r="AYM40" s="20" t="n">
        <v>0</v>
      </c>
      <c r="AYN40" s="20" t="n">
        <v>0</v>
      </c>
      <c r="AYO40" s="20" t="n">
        <v>0</v>
      </c>
      <c r="AYP40" s="20" t="n">
        <v>0</v>
      </c>
      <c r="AYQ40" s="20" t="n">
        <v>0</v>
      </c>
    </row>
    <row r="41" customFormat="false" ht="15" hidden="false" customHeight="false" outlineLevel="0" collapsed="false">
      <c r="B41" s="20" t="n">
        <v>33</v>
      </c>
      <c r="C41" s="20" t="n">
        <f aca="false">'Plan cashflow'!C41</f>
        <v>1</v>
      </c>
      <c r="D41" s="20" t="n">
        <f aca="false">'Plan cashflow'!D41</f>
        <v>71</v>
      </c>
      <c r="E41" s="20" t="n">
        <f aca="false">AS_Year0+33</f>
        <v>2059</v>
      </c>
      <c r="F41" s="50" t="n">
        <f aca="false">'Plan cashflow'!F41</f>
        <v>1.92223140394315</v>
      </c>
      <c r="G41" s="59" t="n">
        <f aca="true">IF(MAX(TODAY(),DATE(E41,1,1))&gt;=H_CGTfrom,H_CGT1,H_CGT0)</f>
        <v>0.31</v>
      </c>
      <c r="H41" s="20" t="n">
        <f aca="false">H_Exempt*H_Persons</f>
        <v>1270</v>
      </c>
      <c r="I41" s="20" t="n">
        <f aca="false">AX40</f>
        <v>0</v>
      </c>
      <c r="J41" s="60" t="n">
        <f aca="false">BF40</f>
        <v>6897.28669655106</v>
      </c>
      <c r="K41" s="60" t="n">
        <f aca="false">BG40</f>
        <v>0</v>
      </c>
      <c r="L41" s="20" t="n">
        <f aca="false">IF(AND(In_polLump&gt;0,In_polLumpAge&gt;0,D41=In_polLumpAge),In_polLump,0)</f>
        <v>0</v>
      </c>
      <c r="M41" s="20" t="n">
        <f aca="false">IF(AND(In_homeUse="Yes, I'd downsize",In_downAge&gt;0,D41=In_downAge,OR(In_home="Own outright",In_home="Own with mortgage"),In_homeValue&gt;0),MAX(0,MAX(0,In_homeValue-In_downValue)*F41*0.9-'Plan cashflow'!HR40),0)</f>
        <v>0</v>
      </c>
      <c r="N41" s="20" t="n">
        <f aca="false">'Plan pay &amp; tax'!Y267</f>
        <v>0</v>
      </c>
      <c r="O41" s="20" t="n">
        <f aca="false">L41+M41+(1-H_Sh)*N41</f>
        <v>0</v>
      </c>
      <c r="P41" s="20" t="n">
        <f aca="false">H_Sh*N41</f>
        <v>0</v>
      </c>
      <c r="Q41" s="20" t="n">
        <f aca="false">'Plan cashflow'!UL41</f>
        <v>0</v>
      </c>
      <c r="R41" s="20" t="n">
        <f aca="false">(1-H_Sh)*Q41</f>
        <v>0</v>
      </c>
      <c r="S41" s="20" t="n">
        <f aca="false">H_Sh*Q41</f>
        <v>0</v>
      </c>
      <c r="T41" s="20" t="n">
        <f aca="false">J41+K41+O41</f>
        <v>6897.28669655106</v>
      </c>
      <c r="U41" s="20" t="n">
        <f aca="false">T41+R41</f>
        <v>6897.28669655106</v>
      </c>
      <c r="V41" s="60" t="n">
        <f aca="false">SUM(FE41:IQ41)</f>
        <v>125267.066605076</v>
      </c>
      <c r="W41" s="60" t="n">
        <f aca="false">IF(AJ41&lt;=0,0,IF(AL41&lt;=0,AJ41,AJ41-G41*MAX(0,AL41*AJ41-(AY41+AZ41))))</f>
        <v>0</v>
      </c>
      <c r="X41" s="60" t="n">
        <f aca="false">IF(AR41&lt;=0,0,IF(AT41&lt;=0,AR41,AR41-G41*MAX(0,AT41*AR41-(BA41+BB41))))</f>
        <v>0</v>
      </c>
      <c r="Y41" s="60" t="n">
        <f aca="false">T41+V41-S41+W41+X41</f>
        <v>132164.353301627</v>
      </c>
      <c r="Z41" s="60" t="n">
        <f aca="false">'Plan cashflow'!UK41</f>
        <v>19335.1179852798</v>
      </c>
      <c r="AA41" s="20" t="n">
        <f aca="false">MIN(Z41,U41)</f>
        <v>6897.28669655106</v>
      </c>
      <c r="AB41" s="20" t="n">
        <f aca="false">Z41-AA41</f>
        <v>12437.8312887288</v>
      </c>
      <c r="AC41" s="20" t="n">
        <f aca="false">MIN(AA41,J41+O41+R41)</f>
        <v>6897.28669655106</v>
      </c>
      <c r="AD41" s="20" t="n">
        <f aca="false">AA41-AC41</f>
        <v>0</v>
      </c>
      <c r="AE41" s="20" t="n">
        <f aca="false">J41+O41+R41-AC41</f>
        <v>0</v>
      </c>
      <c r="AF41" s="20" t="n">
        <f aca="false">K41-AD41</f>
        <v>0</v>
      </c>
      <c r="AG41" s="20" t="n">
        <f aca="false">SUM(PR41:TD41)</f>
        <v>12437.8312887288</v>
      </c>
      <c r="AH41" s="20" t="n">
        <f aca="false">SUM(TE41:WQ41)</f>
        <v>13004.8453956955</v>
      </c>
      <c r="AI41" s="20" t="n">
        <f aca="false">MAX(0,AB41-AG41)</f>
        <v>0</v>
      </c>
      <c r="AJ41" s="57" t="n">
        <f aca="false">BI40</f>
        <v>0</v>
      </c>
      <c r="AK41" s="20" t="n">
        <f aca="false">BJ40</f>
        <v>0</v>
      </c>
      <c r="AL41" s="20" t="n">
        <f aca="false">IF(AJ41&gt;0,(AJ41-AK41)/AJ41,0)</f>
        <v>0</v>
      </c>
      <c r="AM41" s="20" t="n">
        <f aca="false">IF(AJ41&lt;=0,0,IF(AL41&lt;=0,MIN(AI41,AJ41),MIN(AI41,AJ41-G41*MAX(0,AL41*AJ41-(AAD41+ADQ41)))))</f>
        <v>0</v>
      </c>
      <c r="AN41" s="20" t="n">
        <f aca="false">IF(AJ41&lt;=0,0,IF(AL41&lt;=0,AM41,IF(AM41&lt;=(AAD41+ADQ41)/AL41,AM41,(AM41-G41*(AAD41+ADQ41))/(1-G41*AL41))))</f>
        <v>0</v>
      </c>
      <c r="AO41" s="20" t="n">
        <f aca="false">IF(AL41&gt;0,MAX(0,AAD41-(MIN(AL41*AN41,(AAD41+ADQ41))-MIN(MIN(AL41*AN41,(AAD41+ADQ41)),ADQ41))),AAD41)</f>
        <v>1270</v>
      </c>
      <c r="AP41" s="20" t="n">
        <f aca="false">IF(AL41&lt;=0,ADQ41-AL41*AN41,ADQ41-MIN(MIN(AL41*AN41,(AAD41+ADQ41)),ADQ41))</f>
        <v>0</v>
      </c>
      <c r="AQ41" s="20" t="n">
        <f aca="false">MAX(0,AI41-AM41)</f>
        <v>0</v>
      </c>
      <c r="AR41" s="57" t="n">
        <f aca="false">BK40</f>
        <v>0</v>
      </c>
      <c r="AS41" s="20" t="n">
        <f aca="false">BL40</f>
        <v>0</v>
      </c>
      <c r="AT41" s="20" t="n">
        <f aca="false">IF(AR41&gt;0,(AR41-AS41)/AR41,0)</f>
        <v>0</v>
      </c>
      <c r="AU41" s="20" t="n">
        <f aca="false">IF(AR41&lt;=0,0,IF(AT41&lt;=0,MIN(AQ41,AR41),MIN(AQ41,AR41-G41*MAX(0,AT41*AR41-(AO41+AP41)))))</f>
        <v>0</v>
      </c>
      <c r="AV41" s="20" t="n">
        <f aca="false">IF(AR41&lt;=0,0,IF(AT41&lt;=0,AU41,IF(AU41&lt;=(AO41+AP41)/AT41,AU41,(AU41-G41*(AO41+AP41))/(1-G41*AT41))))</f>
        <v>0</v>
      </c>
      <c r="AW41" s="20" t="n">
        <f aca="false">IF(AT41&gt;0,MAX(0,AO41-(MIN(AT41*AV41,(AO41+AP41))-MIN(MIN(AT41*AV41,(AO41+AP41)),AP41))),AO41)</f>
        <v>1270</v>
      </c>
      <c r="AX41" s="20" t="n">
        <f aca="false">IF(AT41&lt;=0,AP41-AT41*AV41,AP41-MIN(MIN(AT41*AV41,(AO41+AP41)),AP41))</f>
        <v>0</v>
      </c>
      <c r="AY41" s="20" t="n">
        <f aca="false">MD41</f>
        <v>1270</v>
      </c>
      <c r="AZ41" s="20" t="n">
        <f aca="false">PQ41</f>
        <v>0</v>
      </c>
      <c r="BA41" s="20" t="n">
        <f aca="false">IF(AL41&gt;0,MAX(0,AY41-(MIN(AL41*AJ41,AY41+AZ41)-MIN(MIN(AL41*AJ41,AY41+AZ41),AZ41))),AY41)</f>
        <v>1270</v>
      </c>
      <c r="BB41" s="20" t="n">
        <f aca="false">IF(AL41&lt;=0,AZ41-AL41*AJ41,AZ41-MIN(MIN(AL41*AJ41,AY41+AZ41),AZ41))</f>
        <v>0</v>
      </c>
      <c r="BC41" s="20" t="n">
        <f aca="false">'Plan cashflow'!UM41</f>
        <v>0</v>
      </c>
      <c r="BD41" s="20" t="n">
        <f aca="false">(1-H_Sh)*BC41</f>
        <v>0</v>
      </c>
      <c r="BE41" s="20" t="n">
        <f aca="false">H_Sh*BC41</f>
        <v>0</v>
      </c>
      <c r="BF41" s="60" t="n">
        <f aca="false">(AE41+BD41)*(1+AS_Cash)</f>
        <v>0</v>
      </c>
      <c r="BG41" s="60" t="n">
        <f aca="false">AF41*(1+AS_Cash)</f>
        <v>0</v>
      </c>
      <c r="BH41" s="60" t="n">
        <f aca="false">SUM(AKR41:AOD41)</f>
        <v>119001.797093455</v>
      </c>
      <c r="BI41" s="60" t="n">
        <f aca="false">(AJ41-AN41)*(1+AS_Infl)</f>
        <v>0</v>
      </c>
      <c r="BJ41" s="20" t="n">
        <f aca="false">IF(AJ41&gt;0,AK41-AK41*AN41/AJ41,0)</f>
        <v>0</v>
      </c>
      <c r="BK41" s="60" t="n">
        <f aca="false">(AR41-AV41)*(1+BQ41)</f>
        <v>0</v>
      </c>
      <c r="BL41" s="20" t="n">
        <f aca="false">IF(AR41&gt;0,AS41-AS41*AV41/AR41,0)</f>
        <v>0</v>
      </c>
      <c r="BM41" s="60" t="n">
        <f aca="false">BF41+BG41+BH41+BI41+BK41</f>
        <v>119001.797093455</v>
      </c>
      <c r="BN41" s="60" t="n">
        <f aca="false">(AH41-AG41)+(AN41-AM41)+(AV41-AU41)</f>
        <v>567.014106966781</v>
      </c>
      <c r="BO41" s="20" t="n">
        <f aca="false">(AE41+BD41+AF41+MAX(0,'Plan cashflow'!QH41)+IF(Slot1_Rate=AS_Cash,'Plan cashflow'!QM41/(1+AS_Cash),0)+IF(Slot2_Rate=AS_Cash,'Plan cashflow'!QQ41/(1+AS_Cash),0)+IF(Slot3_Rate=AS_Cash,'Plan cashflow'!QU41/(1+AS_Cash),0)+IF(Slot4_Rate=AS_Cash,'Plan cashflow'!QY41/(1+AS_Cash),0)+IF(Slot5_Rate=AS_Cash,'Plan cashflow'!RC41/(1+AS_Cash),0)+IF(Slot6_Rate=AS_Cash,'Plan cashflow'!RG41/(1+AS_Cash),0)+IF(Slot7_Rate=AS_Cash,'Plan cashflow'!RK41/(1+AS_Cash),0)+IF(Slot8_Rate=AS_Cash,'Plan cashflow'!RO41/(1+AS_Cash),0)+IF(Slot9_Rate=AS_Cash,'Plan cashflow'!RS41/(1+AS_Cash),0)+IF(Slot10_Rate=AS_Cash,'Plan cashflow'!RW41/(1+AS_Cash),0)+IF(Slot11_Rate=AS_Cash,'Plan cashflow'!SA41/(1+AS_Cash),0)+IF(Slot12_Rate=AS_Cash,'Plan cashflow'!SE41/(1+AS_Cash),0)+IF(Slot13_Rate=AS_Cash,'Plan cashflow'!SI41/(1+AS_Cash),0)+IF(Slot14_Rate=AS_Cash,'Plan cashflow'!SM41/(1+AS_Cash),0)+IF(Slot15_Rate=AS_Cash,'Plan cashflow'!SQ41/(1+AS_Cash),0)+IF(Slot16_Rate=AS_Cash,'Plan cashflow'!SU41/(1+AS_Cash),0)+IF(Slot17_Rate=AS_Cash,'Plan cashflow'!SY41/(1+AS_Cash),0)+IF(Slot18_Rate=AS_Cash,'Plan cashflow'!TC41/(1+AS_Cash),0)+IF(Slot19_Rate=AS_Cash,'Plan cashflow'!TG41/(1+AS_Cash),0)+IF(Slot20_Rate=AS_Cash,'Plan cashflow'!TK41/(1+AS_Cash),0))*AS_Cash*H_DIRT/(1-H_DIRT)</f>
        <v>76.2929672025558</v>
      </c>
      <c r="BP41" s="60" t="n">
        <f aca="false">SUM(AVE41:AYQ41)</f>
        <v>589.788748956697</v>
      </c>
      <c r="BQ41" s="54" t="n">
        <f aca="false">IF(H_TaxEvt=1,H_InvG,AS_Inv)</f>
        <v>0.04</v>
      </c>
      <c r="BR41" s="20" t="n">
        <f aca="false">IF(AKR40&gt;0,(AKR40-AOE40)/AKR40,0)</f>
        <v>0</v>
      </c>
      <c r="BS41" s="20" t="n">
        <f aca="false">IF(AKS40&gt;0,(AKS40-AOF40)/AKS40,0)</f>
        <v>0</v>
      </c>
      <c r="BT41" s="20" t="n">
        <f aca="false">IF(AKT40&gt;0,(AKT40-AOG40)/AKT40,0)</f>
        <v>0</v>
      </c>
      <c r="BU41" s="20" t="n">
        <f aca="false">IF(AKU40&gt;0,(AKU40-AOH40)/AKU40,0)</f>
        <v>0</v>
      </c>
      <c r="BV41" s="20" t="n">
        <f aca="false">IF(AKV40&gt;0,(AKV40-AOI40)/AKV40,0)</f>
        <v>0</v>
      </c>
      <c r="BW41" s="20" t="n">
        <f aca="false">IF(AKW40&gt;0,(AKW40-AOJ40)/AKW40,0)</f>
        <v>0</v>
      </c>
      <c r="BX41" s="20" t="n">
        <f aca="false">IF(AKX40&gt;0,(AKX40-AOK40)/AKX40,0)</f>
        <v>0</v>
      </c>
      <c r="BY41" s="20" t="n">
        <f aca="false">IF(AKY40&gt;0,(AKY40-AOL40)/AKY40,0)</f>
        <v>0</v>
      </c>
      <c r="BZ41" s="20" t="n">
        <f aca="false">IF(AKZ40&gt;0,(AKZ40-AOM40)/AKZ40,0)</f>
        <v>0</v>
      </c>
      <c r="CA41" s="20" t="n">
        <f aca="false">IF(ALA40&gt;0,(ALA40-AON40)/ALA40,0)</f>
        <v>0</v>
      </c>
      <c r="CB41" s="20" t="n">
        <f aca="false">IF(ALB40&gt;0,(ALB40-AOO40)/ALB40,0)</f>
        <v>0</v>
      </c>
      <c r="CC41" s="20" t="n">
        <f aca="false">IF(ALC40&gt;0,(ALC40-AOP40)/ALC40,0)</f>
        <v>0.240082186797937</v>
      </c>
      <c r="CD41" s="20" t="n">
        <f aca="false">IF(ALD40&gt;0,(ALD40-AOQ40)/ALD40,0)</f>
        <v>0.209685474269854</v>
      </c>
      <c r="CE41" s="20" t="n">
        <f aca="false">IF(ALE40&gt;0,(ALE40-AOR40)/ALE40,0)</f>
        <v>0.178072893240648</v>
      </c>
      <c r="CF41" s="20" t="n">
        <f aca="false">IF(ALF40&gt;0,(ALF40-AOS40)/ALF40,0)</f>
        <v>0.145195808970274</v>
      </c>
      <c r="CG41" s="20" t="n">
        <f aca="false">IF(ALG40&gt;0,(ALG40-AOT40)/ALG40,0)</f>
        <v>0.111003641329085</v>
      </c>
      <c r="CH41" s="20" t="n">
        <f aca="false">IF(ALH40&gt;0,(ALH40-AOU40)/ALH40,0)</f>
        <v>0.0754437869822485</v>
      </c>
      <c r="CI41" s="20" t="n">
        <f aca="false">IF(ALI40&gt;0,(ALI40-AOV40)/ALI40,0)</f>
        <v>0.0384615384615385</v>
      </c>
      <c r="CJ41" s="20" t="n">
        <f aca="false">IF(ALJ40&gt;0,(ALJ40-AOW40)/ALJ40,0)</f>
        <v>0</v>
      </c>
      <c r="CK41" s="20" t="n">
        <f aca="false">IF(ALK40&gt;0,(ALK40-AOX40)/ALK40,0)</f>
        <v>0.240082186797937</v>
      </c>
      <c r="CL41" s="20" t="n">
        <f aca="false">IF(ALL40&gt;0,(ALL40-AOY40)/ALL40,0)</f>
        <v>0.209685474269854</v>
      </c>
      <c r="CM41" s="20" t="n">
        <f aca="false">IF(ALM40&gt;0,(ALM40-AOZ40)/ALM40,0)</f>
        <v>0.178072893240648</v>
      </c>
      <c r="CN41" s="20" t="n">
        <f aca="false">IF(ALN40&gt;0,(ALN40-APA40)/ALN40,0)</f>
        <v>0.145195808970274</v>
      </c>
      <c r="CO41" s="20" t="n">
        <f aca="false">IF(ALO40&gt;0,(ALO40-APB40)/ALO40,0)</f>
        <v>0.111003641329085</v>
      </c>
      <c r="CP41" s="20" t="n">
        <f aca="false">IF(ALP40&gt;0,(ALP40-APC40)/ALP40,0)</f>
        <v>0.0754437869822486</v>
      </c>
      <c r="CQ41" s="20" t="n">
        <f aca="false">IF(ALQ40&gt;0,(ALQ40-APD40)/ALQ40,0)</f>
        <v>0.0384615384615385</v>
      </c>
      <c r="CR41" s="20" t="n">
        <f aca="false">IF(ALR40&gt;0,(ALR40-APE40)/ALR40,0)</f>
        <v>0</v>
      </c>
      <c r="CS41" s="20" t="n">
        <f aca="false">IF(ALS40&gt;0,(ALS40-APF40)/ALS40,0)</f>
        <v>0</v>
      </c>
      <c r="CT41" s="20" t="n">
        <f aca="false">IF(ALT40&gt;0,(ALT40-APG40)/ALT40,0)</f>
        <v>0</v>
      </c>
      <c r="CU41" s="20" t="n">
        <f aca="false">IF(ALU40&gt;0,(ALU40-APH40)/ALU40,0)</f>
        <v>0.178072893240648</v>
      </c>
      <c r="CV41" s="20" t="n">
        <f aca="false">IF(ALV40&gt;0,(ALV40-API40)/ALV40,0)</f>
        <v>0</v>
      </c>
      <c r="CW41" s="20" t="n">
        <f aca="false">IF(ALW40&gt;0,(ALW40-APJ40)/ALW40,0)</f>
        <v>0</v>
      </c>
      <c r="CX41" s="20" t="n">
        <f aca="false">IF(ALX40&gt;0,(ALX40-APK40)/ALX40,0)</f>
        <v>0</v>
      </c>
      <c r="CY41" s="20" t="n">
        <f aca="false">IF(ALY40&gt;0,(ALY40-APL40)/ALY40,0)</f>
        <v>0</v>
      </c>
      <c r="CZ41" s="20" t="n">
        <f aca="false">IF((P41+S41)&gt;0,((P41+S41)-(P41+S41))/(P41+S41),0)</f>
        <v>0</v>
      </c>
      <c r="DA41" s="20" t="n">
        <v>0</v>
      </c>
      <c r="DB41" s="20" t="n">
        <v>0</v>
      </c>
      <c r="DC41" s="20" t="n">
        <v>0</v>
      </c>
      <c r="DD41" s="20" t="n">
        <v>0</v>
      </c>
      <c r="DE41" s="20" t="n">
        <v>0</v>
      </c>
      <c r="DF41" s="20" t="n">
        <v>0</v>
      </c>
      <c r="DG41" s="20" t="n">
        <v>0</v>
      </c>
      <c r="DH41" s="20" t="n">
        <v>0</v>
      </c>
      <c r="DI41" s="20" t="n">
        <v>0</v>
      </c>
      <c r="DJ41" s="20" t="n">
        <v>0</v>
      </c>
      <c r="DK41" s="20" t="n">
        <v>0</v>
      </c>
      <c r="DL41" s="20" t="n">
        <v>0</v>
      </c>
      <c r="DM41" s="20" t="n">
        <v>0</v>
      </c>
      <c r="DN41" s="20" t="n">
        <v>0</v>
      </c>
      <c r="DO41" s="20" t="n">
        <v>0</v>
      </c>
      <c r="DP41" s="20" t="n">
        <v>0</v>
      </c>
      <c r="DQ41" s="20" t="n">
        <v>0</v>
      </c>
      <c r="DR41" s="20" t="n">
        <v>0</v>
      </c>
      <c r="DS41" s="20" t="n">
        <v>0</v>
      </c>
      <c r="DT41" s="20" t="n">
        <v>0</v>
      </c>
      <c r="DU41" s="20" t="n">
        <v>0</v>
      </c>
      <c r="DV41" s="20" t="n">
        <v>0</v>
      </c>
      <c r="DW41" s="20" t="n">
        <v>0</v>
      </c>
      <c r="DX41" s="20" t="n">
        <v>0</v>
      </c>
      <c r="DY41" s="20" t="n">
        <v>0</v>
      </c>
      <c r="DZ41" s="20" t="n">
        <v>0</v>
      </c>
      <c r="EA41" s="20" t="n">
        <v>0</v>
      </c>
      <c r="EB41" s="20" t="n">
        <v>0</v>
      </c>
      <c r="EC41" s="20" t="n">
        <v>0</v>
      </c>
      <c r="ED41" s="20" t="n">
        <v>0</v>
      </c>
      <c r="EE41" s="20" t="n">
        <v>0</v>
      </c>
      <c r="EF41" s="20" t="n">
        <v>0</v>
      </c>
      <c r="EG41" s="20" t="n">
        <v>0</v>
      </c>
      <c r="EH41" s="20" t="n">
        <v>0</v>
      </c>
      <c r="EI41" s="20" t="n">
        <v>0</v>
      </c>
      <c r="EJ41" s="20" t="n">
        <v>0</v>
      </c>
      <c r="EK41" s="20" t="n">
        <v>0</v>
      </c>
      <c r="EL41" s="20" t="n">
        <v>0</v>
      </c>
      <c r="EM41" s="20" t="n">
        <v>0</v>
      </c>
      <c r="EN41" s="20" t="n">
        <v>0</v>
      </c>
      <c r="EO41" s="20" t="n">
        <v>0</v>
      </c>
      <c r="EP41" s="20" t="n">
        <v>0</v>
      </c>
      <c r="EQ41" s="20" t="n">
        <v>0</v>
      </c>
      <c r="ER41" s="20" t="n">
        <v>0</v>
      </c>
      <c r="ES41" s="20" t="n">
        <v>0</v>
      </c>
      <c r="ET41" s="20" t="n">
        <v>0</v>
      </c>
      <c r="EU41" s="20" t="n">
        <v>0</v>
      </c>
      <c r="EV41" s="20" t="n">
        <v>0</v>
      </c>
      <c r="EW41" s="20" t="n">
        <v>0</v>
      </c>
      <c r="EX41" s="20" t="n">
        <v>0</v>
      </c>
      <c r="EY41" s="20" t="n">
        <v>0</v>
      </c>
      <c r="EZ41" s="20" t="n">
        <v>0</v>
      </c>
      <c r="FA41" s="20" t="n">
        <v>0</v>
      </c>
      <c r="FB41" s="20" t="n">
        <v>0</v>
      </c>
      <c r="FC41" s="20" t="n">
        <v>0</v>
      </c>
      <c r="FD41" s="20" t="n">
        <v>0</v>
      </c>
      <c r="FE41" s="20" t="n">
        <f aca="false">IF(H_Direct=1,IF(AKR40&lt;=0,0,IF(BR41&lt;=0,AKR40,AKR40-G41*MAX(0,BR41*AKR40-(H41+I41)))),AKR40*(1-MAX(0,BR41)*H_Exit))</f>
        <v>0</v>
      </c>
      <c r="FF41" s="20" t="n">
        <f aca="false">IF(H_Direct=1,IF(AKS40&lt;=0,0,IF(BS41&lt;=0,AKS40,AKS40-G41*MAX(0,BS41*AKS40-(IR41+ME41)))),AKS40*(1-MAX(0,BS41)*H_Exit))</f>
        <v>0</v>
      </c>
      <c r="FG41" s="20" t="n">
        <f aca="false">IF(H_Direct=1,IF(AKT40&lt;=0,0,IF(BT41&lt;=0,AKT40,AKT40-G41*MAX(0,BT41*AKT40-(IS41+MF41)))),AKT40*(1-MAX(0,BT41)*H_Exit))</f>
        <v>0</v>
      </c>
      <c r="FH41" s="20" t="n">
        <f aca="false">IF(H_Direct=1,IF(AKU40&lt;=0,0,IF(BU41&lt;=0,AKU40,AKU40-G41*MAX(0,BU41*AKU40-(IT41+MG41)))),AKU40*(1-MAX(0,BU41)*H_Exit))</f>
        <v>0</v>
      </c>
      <c r="FI41" s="20" t="n">
        <f aca="false">IF(H_Direct=1,IF(AKV40&lt;=0,0,IF(BV41&lt;=0,AKV40,AKV40-G41*MAX(0,BV41*AKV40-(IU41+MH41)))),AKV40*(1-MAX(0,BV41)*H_Exit))</f>
        <v>0</v>
      </c>
      <c r="FJ41" s="20" t="n">
        <f aca="false">IF(H_Direct=1,IF(AKW40&lt;=0,0,IF(BW41&lt;=0,AKW40,AKW40-G41*MAX(0,BW41*AKW40-(IV41+MI41)))),AKW40*(1-MAX(0,BW41)*H_Exit))</f>
        <v>0</v>
      </c>
      <c r="FK41" s="20" t="n">
        <f aca="false">IF(H_Direct=1,IF(AKX40&lt;=0,0,IF(BX41&lt;=0,AKX40,AKX40-G41*MAX(0,BX41*AKX40-(IW41+MJ41)))),AKX40*(1-MAX(0,BX41)*H_Exit))</f>
        <v>0</v>
      </c>
      <c r="FL41" s="20" t="n">
        <f aca="false">IF(H_Direct=1,IF(AKY40&lt;=0,0,IF(BY41&lt;=0,AKY40,AKY40-G41*MAX(0,BY41*AKY40-(IX41+MK41)))),AKY40*(1-MAX(0,BY41)*H_Exit))</f>
        <v>0</v>
      </c>
      <c r="FM41" s="20" t="n">
        <f aca="false">IF(H_Direct=1,IF(AKZ40&lt;=0,0,IF(BZ41&lt;=0,AKZ40,AKZ40-G41*MAX(0,BZ41*AKZ40-(IY41+ML41)))),AKZ40*(1-MAX(0,BZ41)*H_Exit))</f>
        <v>0</v>
      </c>
      <c r="FN41" s="20" t="n">
        <f aca="false">IF(H_Direct=1,IF(ALA40&lt;=0,0,IF(CA41&lt;=0,ALA40,ALA40-G41*MAX(0,CA41*ALA40-(IZ41+MM41)))),ALA40*(1-MAX(0,CA41)*H_Exit))</f>
        <v>0</v>
      </c>
      <c r="FO41" s="20" t="n">
        <f aca="false">IF(H_Direct=1,IF(ALB40&lt;=0,0,IF(CB41&lt;=0,ALB40,ALB40-G41*MAX(0,CB41*ALB40-(JA41+MN41)))),ALB40*(1-MAX(0,CB41)*H_Exit))</f>
        <v>0</v>
      </c>
      <c r="FP41" s="20" t="n">
        <f aca="false">IF(H_Direct=1,IF(ALC40&lt;=0,0,IF(CC41&lt;=0,ALC40,ALC40-G41*MAX(0,CC41*ALC40-(JB41+MO41)))),ALC40*(1-MAX(0,CC41)*H_Exit))</f>
        <v>986.68127726374</v>
      </c>
      <c r="FQ41" s="20" t="n">
        <f aca="false">IF(H_Direct=1,IF(ALD40&lt;=0,0,IF(CD41&lt;=0,ALD40,ALD40-G41*MAX(0,CD41*ALD40-(JC41+MP41)))),ALD40*(1-MAX(0,CD41)*H_Exit))</f>
        <v>1256.98988447193</v>
      </c>
      <c r="FR41" s="20" t="n">
        <f aca="false">IF(H_Direct=1,IF(ALE40&lt;=0,0,IF(CE41&lt;=0,ALE40,ALE40-G41*MAX(0,CE41*ALE40-(JD41+MQ41)))),ALE40*(1-MAX(0,CE41)*H_Exit))</f>
        <v>1523.90050799455</v>
      </c>
      <c r="FS41" s="20" t="n">
        <f aca="false">IF(H_Direct=1,IF(ALF40&lt;=0,0,IF(CF41&lt;=0,ALF40,ALF40-G41*MAX(0,CF41*ALF40-(JE41+MR41)))),ALF40*(1-MAX(0,CF41)*H_Exit))</f>
        <v>1736.596947676</v>
      </c>
      <c r="FT41" s="20" t="n">
        <f aca="false">IF(H_Direct=1,IF(ALG40&lt;=0,0,IF(CG41&lt;=0,ALG40,ALG40-G41*MAX(0,CG41*ALG40-(JF41+MS41)))),ALG40*(1-MAX(0,CG41)*H_Exit))</f>
        <v>1693.06627565738</v>
      </c>
      <c r="FU41" s="20" t="n">
        <f aca="false">IF(H_Direct=1,IF(ALH40&lt;=0,0,IF(CH41&lt;=0,ALH40,ALH40-G41*MAX(0,CH41*ALH40-(JG41+MT41)))),ALH40*(1-MAX(0,CH41)*H_Exit))</f>
        <v>1650.23066632492</v>
      </c>
      <c r="FV41" s="20" t="n">
        <f aca="false">IF(H_Direct=1,IF(ALI40&lt;=0,0,IF(CI41&lt;=0,ALI40,ALI40-G41*MAX(0,CI41*ALI40-(JH41+MU41)))),ALI40*(1-MAX(0,CI41)*H_Exit))</f>
        <v>1608.05024655034</v>
      </c>
      <c r="FW41" s="20" t="n">
        <f aca="false">IF(H_Direct=1,IF(ALJ40&lt;=0,0,IF(CJ41&lt;=0,ALJ40,ALJ40-G41*MAX(0,CJ41*ALJ40-(JI41+MV41)))),ALJ40*(1-MAX(0,CJ41)*H_Exit))</f>
        <v>5071.93338905698</v>
      </c>
      <c r="FX41" s="20" t="n">
        <f aca="false">IF(H_Direct=1,IF(ALK40&lt;=0,0,IF(CK41&lt;=0,ALK40,ALK40-G41*MAX(0,CK41*ALK40-(JJ41+MW41)))),ALK40*(1-MAX(0,CK41)*H_Exit))</f>
        <v>5035.94283762301</v>
      </c>
      <c r="FY41" s="20" t="n">
        <f aca="false">IF(H_Direct=1,IF(ALL40&lt;=0,0,IF(CL41&lt;=0,ALL40,ALL40-G41*MAX(0,CL41*ALL40-(JK41+MX41)))),ALL40*(1-MAX(0,CL41)*H_Exit))</f>
        <v>5001.87534476066</v>
      </c>
      <c r="FZ41" s="20" t="n">
        <f aca="false">IF(H_Direct=1,IF(ALM40&lt;=0,0,IF(CM41&lt;=0,ALM40,ALM40-G41*MAX(0,CM41*ALM40-(JL41+MY41)))),ALM40*(1-MAX(0,CM41)*H_Exit))</f>
        <v>4969.71854722595</v>
      </c>
      <c r="GA41" s="20" t="n">
        <f aca="false">IF(H_Direct=1,IF(ALN40&lt;=0,0,IF(CN41&lt;=0,ALN40,ALN40-G41*MAX(0,CN41*ALN40-(JM41+MZ41)))),ALN40*(1-MAX(0,CN41)*H_Exit))</f>
        <v>4939.46081190267</v>
      </c>
      <c r="GB41" s="20" t="n">
        <f aca="false">IF(H_Direct=1,IF(ALO40&lt;=0,0,IF(CO41&lt;=0,ALO40,ALO40-G41*MAX(0,CO41*ALO40-(JN41+NA41)))),ALO40*(1-MAX(0,CO41)*H_Exit))</f>
        <v>4911.09123160883</v>
      </c>
      <c r="GC41" s="20" t="n">
        <f aca="false">IF(H_Direct=1,IF(ALP40&lt;=0,0,IF(CP41&lt;=0,ALP40,ALP40-G41*MAX(0,CP41*ALP40-(JO41+NB41)))),ALP40*(1-MAX(0,CP41)*H_Exit))</f>
        <v>4884.5996211809</v>
      </c>
      <c r="GD41" s="20" t="n">
        <f aca="false">IF(H_Direct=1,IF(ALQ40&lt;=0,0,IF(CQ41&lt;=0,ALQ40,ALQ40-G41*MAX(0,CQ41*ALQ40-(JP41+NC41)))),ALQ40*(1-MAX(0,CQ41)*H_Exit))</f>
        <v>4859.97651383402</v>
      </c>
      <c r="GE41" s="20" t="n">
        <f aca="false">IF(H_Direct=1,IF(ALR40&lt;=0,0,IF(CR41&lt;=0,ALR40,ALR40-G41*MAX(0,CR41*ALR40-(JQ41+ND41)))),ALR40*(1-MAX(0,CR41)*H_Exit))</f>
        <v>73175.1857451059</v>
      </c>
      <c r="GF41" s="20" t="n">
        <f aca="false">IF(H_Direct=1,IF(ALS40&lt;=0,0,IF(CS41&lt;=0,ALS40,ALS40-G41*MAX(0,CS41*ALS40-(JR41+NE41)))),ALS40*(1-MAX(0,CS41)*H_Exit))</f>
        <v>0</v>
      </c>
      <c r="GG41" s="20" t="n">
        <f aca="false">IF(H_Direct=1,IF(ALT40&lt;=0,0,IF(CT41&lt;=0,ALT40,ALT40-G41*MAX(0,CT41*ALT40-(JS41+NF41)))),ALT40*(1-MAX(0,CT41)*H_Exit))</f>
        <v>0</v>
      </c>
      <c r="GH41" s="20" t="n">
        <f aca="false">IF(H_Direct=1,IF(ALU40&lt;=0,0,IF(CU41&lt;=0,ALU40,ALU40-G41*MAX(0,CU41*ALU40-(JT41+NG41)))),ALU40*(1-MAX(0,CU41)*H_Exit))</f>
        <v>1961.76675683787</v>
      </c>
      <c r="GI41" s="20" t="n">
        <f aca="false">IF(H_Direct=1,IF(ALV40&lt;=0,0,IF(CV41&lt;=0,ALV40,ALV40-G41*MAX(0,CV41*ALV40-(JU41+NH41)))),ALV40*(1-MAX(0,CV41)*H_Exit))</f>
        <v>0</v>
      </c>
      <c r="GJ41" s="20" t="n">
        <f aca="false">IF(H_Direct=1,IF(ALW40&lt;=0,0,IF(CW41&lt;=0,ALW40,ALW40-G41*MAX(0,CW41*ALW40-(JV41+NI41)))),ALW40*(1-MAX(0,CW41)*H_Exit))</f>
        <v>0</v>
      </c>
      <c r="GK41" s="20" t="n">
        <f aca="false">IF(H_Direct=1,IF(ALX40&lt;=0,0,IF(CX41&lt;=0,ALX40,ALX40-G41*MAX(0,CX41*ALX40-(JW41+NJ41)))),ALX40*(1-MAX(0,CX41)*H_Exit))</f>
        <v>0</v>
      </c>
      <c r="GL41" s="20" t="n">
        <f aca="false">IF(H_Direct=1,IF(ALY40&lt;=0,0,IF(CY41&lt;=0,ALY40,ALY40-G41*MAX(0,CY41*ALY40-(JX41+NK41)))),ALY40*(1-MAX(0,CY41)*H_Exit))</f>
        <v>0</v>
      </c>
      <c r="GM41" s="20" t="n">
        <f aca="false">IF(H_Direct=1,IF((P41+S41)&lt;=0,0,IF(CZ41&lt;=0,(P41+S41),(P41+S41)-G41*MAX(0,CZ41*(P41+S41)-(JY41+NL41)))),(P41+S41)*(1-MAX(0,CZ41)*H_Exit))</f>
        <v>0</v>
      </c>
      <c r="GN41" s="20" t="n">
        <v>0</v>
      </c>
      <c r="GO41" s="20" t="n">
        <v>0</v>
      </c>
      <c r="GP41" s="20" t="n">
        <v>0</v>
      </c>
      <c r="GQ41" s="20" t="n">
        <v>0</v>
      </c>
      <c r="GR41" s="20" t="n">
        <v>0</v>
      </c>
      <c r="GS41" s="20" t="n">
        <v>0</v>
      </c>
      <c r="GT41" s="20" t="n">
        <v>0</v>
      </c>
      <c r="GU41" s="20" t="n">
        <v>0</v>
      </c>
      <c r="GV41" s="20" t="n">
        <v>0</v>
      </c>
      <c r="GW41" s="20" t="n">
        <v>0</v>
      </c>
      <c r="GX41" s="20" t="n">
        <v>0</v>
      </c>
      <c r="GY41" s="20" t="n">
        <v>0</v>
      </c>
      <c r="GZ41" s="20" t="n">
        <v>0</v>
      </c>
      <c r="HA41" s="20" t="n">
        <v>0</v>
      </c>
      <c r="HB41" s="20" t="n">
        <v>0</v>
      </c>
      <c r="HC41" s="20" t="n">
        <v>0</v>
      </c>
      <c r="HD41" s="20" t="n">
        <v>0</v>
      </c>
      <c r="HE41" s="20" t="n">
        <v>0</v>
      </c>
      <c r="HF41" s="20" t="n">
        <v>0</v>
      </c>
      <c r="HG41" s="20" t="n">
        <v>0</v>
      </c>
      <c r="HH41" s="20" t="n">
        <v>0</v>
      </c>
      <c r="HI41" s="20" t="n">
        <v>0</v>
      </c>
      <c r="HJ41" s="20" t="n">
        <v>0</v>
      </c>
      <c r="HK41" s="20" t="n">
        <v>0</v>
      </c>
      <c r="HL41" s="20" t="n">
        <v>0</v>
      </c>
      <c r="HM41" s="20" t="n">
        <v>0</v>
      </c>
      <c r="HN41" s="20" t="n">
        <v>0</v>
      </c>
      <c r="HO41" s="20" t="n">
        <v>0</v>
      </c>
      <c r="HP41" s="20" t="n">
        <v>0</v>
      </c>
      <c r="HQ41" s="20" t="n">
        <v>0</v>
      </c>
      <c r="HR41" s="20" t="n">
        <v>0</v>
      </c>
      <c r="HS41" s="20" t="n">
        <v>0</v>
      </c>
      <c r="HT41" s="20" t="n">
        <v>0</v>
      </c>
      <c r="HU41" s="20" t="n">
        <v>0</v>
      </c>
      <c r="HV41" s="20" t="n">
        <v>0</v>
      </c>
      <c r="HW41" s="20" t="n">
        <v>0</v>
      </c>
      <c r="HX41" s="20" t="n">
        <v>0</v>
      </c>
      <c r="HY41" s="20" t="n">
        <v>0</v>
      </c>
      <c r="HZ41" s="20" t="n">
        <v>0</v>
      </c>
      <c r="IA41" s="20" t="n">
        <v>0</v>
      </c>
      <c r="IB41" s="20" t="n">
        <v>0</v>
      </c>
      <c r="IC41" s="20" t="n">
        <v>0</v>
      </c>
      <c r="ID41" s="20" t="n">
        <v>0</v>
      </c>
      <c r="IE41" s="20" t="n">
        <v>0</v>
      </c>
      <c r="IF41" s="20" t="n">
        <v>0</v>
      </c>
      <c r="IG41" s="20" t="n">
        <v>0</v>
      </c>
      <c r="IH41" s="20" t="n">
        <v>0</v>
      </c>
      <c r="II41" s="20" t="n">
        <v>0</v>
      </c>
      <c r="IJ41" s="20" t="n">
        <v>0</v>
      </c>
      <c r="IK41" s="20" t="n">
        <v>0</v>
      </c>
      <c r="IL41" s="20" t="n">
        <v>0</v>
      </c>
      <c r="IM41" s="20" t="n">
        <v>0</v>
      </c>
      <c r="IN41" s="20" t="n">
        <v>0</v>
      </c>
      <c r="IO41" s="20" t="n">
        <v>0</v>
      </c>
      <c r="IP41" s="20" t="n">
        <v>0</v>
      </c>
      <c r="IQ41" s="20" t="n">
        <v>0</v>
      </c>
      <c r="IR41" s="20" t="n">
        <f aca="false">IF(AND(H_Direct=1,BR41&gt;0),MAX(0,H41-(MIN(BR41*AKR40,H41+I41)-MIN(MIN(BR41*AKR40,H41+I41),I41))),H41)</f>
        <v>1270</v>
      </c>
      <c r="IS41" s="20" t="n">
        <f aca="false">IF(AND(H_Direct=1,BS41&gt;0),MAX(0,IR41-(MIN(BS41*AKS40,IR41+ME41)-MIN(MIN(BS41*AKS40,IR41+ME41),ME41))),IR41)</f>
        <v>1270</v>
      </c>
      <c r="IT41" s="20" t="n">
        <f aca="false">IF(AND(H_Direct=1,BT41&gt;0),MAX(0,IS41-(MIN(BT41*AKT40,IS41+MF41)-MIN(MIN(BT41*AKT40,IS41+MF41),MF41))),IS41)</f>
        <v>1270</v>
      </c>
      <c r="IU41" s="20" t="n">
        <f aca="false">IF(AND(H_Direct=1,BU41&gt;0),MAX(0,IT41-(MIN(BU41*AKU40,IT41+MG41)-MIN(MIN(BU41*AKU40,IT41+MG41),MG41))),IT41)</f>
        <v>1270</v>
      </c>
      <c r="IV41" s="20" t="n">
        <f aca="false">IF(AND(H_Direct=1,BV41&gt;0),MAX(0,IU41-(MIN(BV41*AKV40,IU41+MH41)-MIN(MIN(BV41*AKV40,IU41+MH41),MH41))),IU41)</f>
        <v>1270</v>
      </c>
      <c r="IW41" s="20" t="n">
        <f aca="false">IF(AND(H_Direct=1,BW41&gt;0),MAX(0,IV41-(MIN(BW41*AKW40,IV41+MI41)-MIN(MIN(BW41*AKW40,IV41+MI41),MI41))),IV41)</f>
        <v>1270</v>
      </c>
      <c r="IX41" s="20" t="n">
        <f aca="false">IF(AND(H_Direct=1,BX41&gt;0),MAX(0,IW41-(MIN(BX41*AKX40,IW41+MJ41)-MIN(MIN(BX41*AKX40,IW41+MJ41),MJ41))),IW41)</f>
        <v>1270</v>
      </c>
      <c r="IY41" s="20" t="n">
        <f aca="false">IF(AND(H_Direct=1,BY41&gt;0),MAX(0,IX41-(MIN(BY41*AKY40,IX41+MK41)-MIN(MIN(BY41*AKY40,IX41+MK41),MK41))),IX41)</f>
        <v>1270</v>
      </c>
      <c r="IZ41" s="20" t="n">
        <f aca="false">IF(AND(H_Direct=1,BZ41&gt;0),MAX(0,IY41-(MIN(BZ41*AKZ40,IY41+ML41)-MIN(MIN(BZ41*AKZ40,IY41+ML41),ML41))),IY41)</f>
        <v>1270</v>
      </c>
      <c r="JA41" s="20" t="n">
        <f aca="false">IF(AND(H_Direct=1,CA41&gt;0),MAX(0,IZ41-(MIN(CA41*ALA40,IZ41+MM41)-MIN(MIN(CA41*ALA40,IZ41+MM41),MM41))),IZ41)</f>
        <v>1270</v>
      </c>
      <c r="JB41" s="20" t="n">
        <f aca="false">IF(AND(H_Direct=1,CB41&gt;0),MAX(0,JA41-(MIN(CB41*ALB40,JA41+MN41)-MIN(MIN(CB41*ALB40,JA41+MN41),MN41))),JA41)</f>
        <v>1270</v>
      </c>
      <c r="JC41" s="20" t="n">
        <f aca="false">IF(AND(H_Direct=1,CC41&gt;0),MAX(0,JB41-(MIN(CC41*ALC40,JB41+MO41)-MIN(MIN(CC41*ALC40,JB41+MO41),MO41))),JB41)</f>
        <v>1270</v>
      </c>
      <c r="JD41" s="20" t="n">
        <f aca="false">IF(AND(H_Direct=1,CD41&gt;0),MAX(0,JC41-(MIN(CD41*ALD40,JC41+MP41)-MIN(MIN(CD41*ALD40,JC41+MP41),MP41))),JC41)</f>
        <v>1270</v>
      </c>
      <c r="JE41" s="20" t="n">
        <f aca="false">IF(AND(H_Direct=1,CE41&gt;0),MAX(0,JD41-(MIN(CE41*ALE40,JD41+MQ41)-MIN(MIN(CE41*ALE40,JD41+MQ41),MQ41))),JD41)</f>
        <v>1270</v>
      </c>
      <c r="JF41" s="20" t="n">
        <f aca="false">IF(AND(H_Direct=1,CF41&gt;0),MAX(0,JE41-(MIN(CF41*ALF40,JE41+MR41)-MIN(MIN(CF41*ALF40,JE41+MR41),MR41))),JE41)</f>
        <v>1270</v>
      </c>
      <c r="JG41" s="20" t="n">
        <f aca="false">IF(AND(H_Direct=1,CG41&gt;0),MAX(0,JF41-(MIN(CG41*ALG40,JF41+MS41)-MIN(MIN(CG41*ALG40,JF41+MS41),MS41))),JF41)</f>
        <v>1270</v>
      </c>
      <c r="JH41" s="20" t="n">
        <f aca="false">IF(AND(H_Direct=1,CH41&gt;0),MAX(0,JG41-(MIN(CH41*ALH40,JG41+MT41)-MIN(MIN(CH41*ALH40,JG41+MT41),MT41))),JG41)</f>
        <v>1270</v>
      </c>
      <c r="JI41" s="20" t="n">
        <f aca="false">IF(AND(H_Direct=1,CI41&gt;0),MAX(0,JH41-(MIN(CI41*ALI40,JH41+MU41)-MIN(MIN(CI41*ALI40,JH41+MU41),MU41))),JH41)</f>
        <v>1270</v>
      </c>
      <c r="JJ41" s="20" t="n">
        <f aca="false">IF(AND(H_Direct=1,CJ41&gt;0),MAX(0,JI41-(MIN(CJ41*ALJ40,JI41+MV41)-MIN(MIN(CJ41*ALJ40,JI41+MV41),MV41))),JI41)</f>
        <v>1270</v>
      </c>
      <c r="JK41" s="20" t="n">
        <f aca="false">IF(AND(H_Direct=1,CK41&gt;0),MAX(0,JJ41-(MIN(CK41*ALK40,JJ41+MW41)-MIN(MIN(CK41*ALK40,JJ41+MW41),MW41))),JJ41)</f>
        <v>1270</v>
      </c>
      <c r="JL41" s="20" t="n">
        <f aca="false">IF(AND(H_Direct=1,CL41&gt;0),MAX(0,JK41-(MIN(CL41*ALL40,JK41+MX41)-MIN(MIN(CL41*ALL40,JK41+MX41),MX41))),JK41)</f>
        <v>1270</v>
      </c>
      <c r="JM41" s="20" t="n">
        <f aca="false">IF(AND(H_Direct=1,CM41&gt;0),MAX(0,JL41-(MIN(CM41*ALM40,JL41+MY41)-MIN(MIN(CM41*ALM40,JL41+MY41),MY41))),JL41)</f>
        <v>1270</v>
      </c>
      <c r="JN41" s="20" t="n">
        <f aca="false">IF(AND(H_Direct=1,CN41&gt;0),MAX(0,JM41-(MIN(CN41*ALN40,JM41+MZ41)-MIN(MIN(CN41*ALN40,JM41+MZ41),MZ41))),JM41)</f>
        <v>1270</v>
      </c>
      <c r="JO41" s="20" t="n">
        <f aca="false">IF(AND(H_Direct=1,CO41&gt;0),MAX(0,JN41-(MIN(CO41*ALO40,JN41+NA41)-MIN(MIN(CO41*ALO40,JN41+NA41),NA41))),JN41)</f>
        <v>1270</v>
      </c>
      <c r="JP41" s="20" t="n">
        <f aca="false">IF(AND(H_Direct=1,CP41&gt;0),MAX(0,JO41-(MIN(CP41*ALP40,JO41+NB41)-MIN(MIN(CP41*ALP40,JO41+NB41),NB41))),JO41)</f>
        <v>1270</v>
      </c>
      <c r="JQ41" s="20" t="n">
        <f aca="false">IF(AND(H_Direct=1,CQ41&gt;0),MAX(0,JP41-(MIN(CQ41*ALQ40,JP41+NC41)-MIN(MIN(CQ41*ALQ40,JP41+NC41),NC41))),JP41)</f>
        <v>1270</v>
      </c>
      <c r="JR41" s="20" t="n">
        <f aca="false">IF(AND(H_Direct=1,CR41&gt;0),MAX(0,JQ41-(MIN(CR41*ALR40,JQ41+ND41)-MIN(MIN(CR41*ALR40,JQ41+ND41),ND41))),JQ41)</f>
        <v>1270</v>
      </c>
      <c r="JS41" s="20" t="n">
        <f aca="false">IF(AND(H_Direct=1,CS41&gt;0),MAX(0,JR41-(MIN(CS41*ALS40,JR41+NE41)-MIN(MIN(CS41*ALS40,JR41+NE41),NE41))),JR41)</f>
        <v>1270</v>
      </c>
      <c r="JT41" s="20" t="n">
        <f aca="false">IF(AND(H_Direct=1,CT41&gt;0),MAX(0,JS41-(MIN(CT41*ALT40,JS41+NF41)-MIN(MIN(CT41*ALT40,JS41+NF41),NF41))),JS41)</f>
        <v>1270</v>
      </c>
      <c r="JU41" s="20" t="n">
        <f aca="false">IF(AND(H_Direct=1,CU41&gt;0),MAX(0,JT41-(MIN(CU41*ALU40,JT41+NG41)-MIN(MIN(CU41*ALU40,JT41+NG41),NG41))),JT41)</f>
        <v>1270</v>
      </c>
      <c r="JV41" s="20" t="n">
        <f aca="false">IF(AND(H_Direct=1,CV41&gt;0),MAX(0,JU41-(MIN(CV41*ALV40,JU41+NH41)-MIN(MIN(CV41*ALV40,JU41+NH41),NH41))),JU41)</f>
        <v>1270</v>
      </c>
      <c r="JW41" s="20" t="n">
        <f aca="false">IF(AND(H_Direct=1,CW41&gt;0),MAX(0,JV41-(MIN(CW41*ALW40,JV41+NI41)-MIN(MIN(CW41*ALW40,JV41+NI41),NI41))),JV41)</f>
        <v>1270</v>
      </c>
      <c r="JX41" s="20" t="n">
        <f aca="false">IF(AND(H_Direct=1,CX41&gt;0),MAX(0,JW41-(MIN(CX41*ALX40,JW41+NJ41)-MIN(MIN(CX41*ALX40,JW41+NJ41),NJ41))),JW41)</f>
        <v>1270</v>
      </c>
      <c r="JY41" s="20" t="n">
        <f aca="false">IF(AND(H_Direct=1,CY41&gt;0),MAX(0,JX41-(MIN(CY41*ALY40,JX41+NK41)-MIN(MIN(CY41*ALY40,JX41+NK41),NK41))),JX41)</f>
        <v>1270</v>
      </c>
      <c r="JZ41" s="20" t="n">
        <f aca="false">IF(AND(H_Direct=1,CZ41&gt;0),MAX(0,JY41-(MIN(CZ41*(P41+S41),JY41+NL41)-MIN(MIN(CZ41*(P41+S41),JY41+NL41),NL41))),JY41)</f>
        <v>1270</v>
      </c>
      <c r="KA41" s="20" t="n">
        <f aca="false">JZ41</f>
        <v>1270</v>
      </c>
      <c r="KB41" s="20" t="n">
        <f aca="false">KA41</f>
        <v>1270</v>
      </c>
      <c r="KC41" s="20" t="n">
        <f aca="false">KB41</f>
        <v>1270</v>
      </c>
      <c r="KD41" s="20" t="n">
        <f aca="false">KC41</f>
        <v>1270</v>
      </c>
      <c r="KE41" s="20" t="n">
        <f aca="false">KD41</f>
        <v>1270</v>
      </c>
      <c r="KF41" s="20" t="n">
        <f aca="false">KE41</f>
        <v>1270</v>
      </c>
      <c r="KG41" s="20" t="n">
        <f aca="false">KF41</f>
        <v>1270</v>
      </c>
      <c r="KH41" s="20" t="n">
        <f aca="false">KG41</f>
        <v>1270</v>
      </c>
      <c r="KI41" s="20" t="n">
        <f aca="false">KH41</f>
        <v>1270</v>
      </c>
      <c r="KJ41" s="20" t="n">
        <f aca="false">KI41</f>
        <v>1270</v>
      </c>
      <c r="KK41" s="20" t="n">
        <f aca="false">KJ41</f>
        <v>1270</v>
      </c>
      <c r="KL41" s="20" t="n">
        <f aca="false">KK41</f>
        <v>1270</v>
      </c>
      <c r="KM41" s="20" t="n">
        <f aca="false">KL41</f>
        <v>1270</v>
      </c>
      <c r="KN41" s="20" t="n">
        <f aca="false">KM41</f>
        <v>1270</v>
      </c>
      <c r="KO41" s="20" t="n">
        <f aca="false">KN41</f>
        <v>1270</v>
      </c>
      <c r="KP41" s="20" t="n">
        <f aca="false">KO41</f>
        <v>1270</v>
      </c>
      <c r="KQ41" s="20" t="n">
        <f aca="false">KP41</f>
        <v>1270</v>
      </c>
      <c r="KR41" s="20" t="n">
        <f aca="false">KQ41</f>
        <v>1270</v>
      </c>
      <c r="KS41" s="20" t="n">
        <f aca="false">KR41</f>
        <v>1270</v>
      </c>
      <c r="KT41" s="20" t="n">
        <f aca="false">KS41</f>
        <v>1270</v>
      </c>
      <c r="KU41" s="20" t="n">
        <f aca="false">KT41</f>
        <v>1270</v>
      </c>
      <c r="KV41" s="20" t="n">
        <f aca="false">KU41</f>
        <v>1270</v>
      </c>
      <c r="KW41" s="20" t="n">
        <f aca="false">KV41</f>
        <v>1270</v>
      </c>
      <c r="KX41" s="20" t="n">
        <f aca="false">KW41</f>
        <v>1270</v>
      </c>
      <c r="KY41" s="20" t="n">
        <f aca="false">KX41</f>
        <v>1270</v>
      </c>
      <c r="KZ41" s="20" t="n">
        <f aca="false">KY41</f>
        <v>1270</v>
      </c>
      <c r="LA41" s="20" t="n">
        <f aca="false">KZ41</f>
        <v>1270</v>
      </c>
      <c r="LB41" s="20" t="n">
        <f aca="false">LA41</f>
        <v>1270</v>
      </c>
      <c r="LC41" s="20" t="n">
        <f aca="false">LB41</f>
        <v>1270</v>
      </c>
      <c r="LD41" s="20" t="n">
        <f aca="false">LC41</f>
        <v>1270</v>
      </c>
      <c r="LE41" s="20" t="n">
        <f aca="false">LD41</f>
        <v>1270</v>
      </c>
      <c r="LF41" s="20" t="n">
        <f aca="false">LE41</f>
        <v>1270</v>
      </c>
      <c r="LG41" s="20" t="n">
        <f aca="false">LF41</f>
        <v>1270</v>
      </c>
      <c r="LH41" s="20" t="n">
        <f aca="false">LG41</f>
        <v>1270</v>
      </c>
      <c r="LI41" s="20" t="n">
        <f aca="false">LH41</f>
        <v>1270</v>
      </c>
      <c r="LJ41" s="20" t="n">
        <f aca="false">LI41</f>
        <v>1270</v>
      </c>
      <c r="LK41" s="20" t="n">
        <f aca="false">LJ41</f>
        <v>1270</v>
      </c>
      <c r="LL41" s="20" t="n">
        <f aca="false">LK41</f>
        <v>1270</v>
      </c>
      <c r="LM41" s="20" t="n">
        <f aca="false">LL41</f>
        <v>1270</v>
      </c>
      <c r="LN41" s="20" t="n">
        <f aca="false">LM41</f>
        <v>1270</v>
      </c>
      <c r="LO41" s="20" t="n">
        <f aca="false">LN41</f>
        <v>1270</v>
      </c>
      <c r="LP41" s="20" t="n">
        <f aca="false">LO41</f>
        <v>1270</v>
      </c>
      <c r="LQ41" s="20" t="n">
        <f aca="false">LP41</f>
        <v>1270</v>
      </c>
      <c r="LR41" s="20" t="n">
        <f aca="false">LQ41</f>
        <v>1270</v>
      </c>
      <c r="LS41" s="20" t="n">
        <f aca="false">LR41</f>
        <v>1270</v>
      </c>
      <c r="LT41" s="20" t="n">
        <f aca="false">LS41</f>
        <v>1270</v>
      </c>
      <c r="LU41" s="20" t="n">
        <f aca="false">LT41</f>
        <v>1270</v>
      </c>
      <c r="LV41" s="20" t="n">
        <f aca="false">LU41</f>
        <v>1270</v>
      </c>
      <c r="LW41" s="20" t="n">
        <f aca="false">LV41</f>
        <v>1270</v>
      </c>
      <c r="LX41" s="20" t="n">
        <f aca="false">LW41</f>
        <v>1270</v>
      </c>
      <c r="LY41" s="20" t="n">
        <f aca="false">LX41</f>
        <v>1270</v>
      </c>
      <c r="LZ41" s="20" t="n">
        <f aca="false">LY41</f>
        <v>1270</v>
      </c>
      <c r="MA41" s="20" t="n">
        <f aca="false">LZ41</f>
        <v>1270</v>
      </c>
      <c r="MB41" s="20" t="n">
        <f aca="false">MA41</f>
        <v>1270</v>
      </c>
      <c r="MC41" s="20" t="n">
        <f aca="false">MB41</f>
        <v>1270</v>
      </c>
      <c r="MD41" s="20" t="n">
        <f aca="false">MC41</f>
        <v>1270</v>
      </c>
      <c r="ME41" s="20" t="n">
        <f aca="false">IF(H_Direct=1,IF(BR41&lt;=0,I41-BR41*AKR40,I41-MIN(MIN(BR41*AKR40,H41+I41),I41)),I41)</f>
        <v>0</v>
      </c>
      <c r="MF41" s="20" t="n">
        <f aca="false">IF(H_Direct=1,IF(BS41&lt;=0,ME41-BS41*AKS40,ME41-MIN(MIN(BS41*AKS40,IR41+ME41),ME41)),ME41)</f>
        <v>0</v>
      </c>
      <c r="MG41" s="20" t="n">
        <f aca="false">IF(H_Direct=1,IF(BT41&lt;=0,MF41-BT41*AKT40,MF41-MIN(MIN(BT41*AKT40,IS41+MF41),MF41)),MF41)</f>
        <v>0</v>
      </c>
      <c r="MH41" s="20" t="n">
        <f aca="false">IF(H_Direct=1,IF(BU41&lt;=0,MG41-BU41*AKU40,MG41-MIN(MIN(BU41*AKU40,IT41+MG41),MG41)),MG41)</f>
        <v>0</v>
      </c>
      <c r="MI41" s="20" t="n">
        <f aca="false">IF(H_Direct=1,IF(BV41&lt;=0,MH41-BV41*AKV40,MH41-MIN(MIN(BV41*AKV40,IU41+MH41),MH41)),MH41)</f>
        <v>0</v>
      </c>
      <c r="MJ41" s="20" t="n">
        <f aca="false">IF(H_Direct=1,IF(BW41&lt;=0,MI41-BW41*AKW40,MI41-MIN(MIN(BW41*AKW40,IV41+MI41),MI41)),MI41)</f>
        <v>0</v>
      </c>
      <c r="MK41" s="20" t="n">
        <f aca="false">IF(H_Direct=1,IF(BX41&lt;=0,MJ41-BX41*AKX40,MJ41-MIN(MIN(BX41*AKX40,IW41+MJ41),MJ41)),MJ41)</f>
        <v>0</v>
      </c>
      <c r="ML41" s="20" t="n">
        <f aca="false">IF(H_Direct=1,IF(BY41&lt;=0,MK41-BY41*AKY40,MK41-MIN(MIN(BY41*AKY40,IX41+MK41),MK41)),MK41)</f>
        <v>0</v>
      </c>
      <c r="MM41" s="20" t="n">
        <f aca="false">IF(H_Direct=1,IF(BZ41&lt;=0,ML41-BZ41*AKZ40,ML41-MIN(MIN(BZ41*AKZ40,IY41+ML41),ML41)),ML41)</f>
        <v>0</v>
      </c>
      <c r="MN41" s="20" t="n">
        <f aca="false">IF(H_Direct=1,IF(CA41&lt;=0,MM41-CA41*ALA40,MM41-MIN(MIN(CA41*ALA40,IZ41+MM41),MM41)),MM41)</f>
        <v>0</v>
      </c>
      <c r="MO41" s="20" t="n">
        <f aca="false">IF(H_Direct=1,IF(CB41&lt;=0,MN41-CB41*ALB40,MN41-MIN(MIN(CB41*ALB40,JA41+MN41),MN41)),MN41)</f>
        <v>0</v>
      </c>
      <c r="MP41" s="20" t="n">
        <f aca="false">IF(H_Direct=1,IF(CC41&lt;=0,MO41-CC41*ALC40,MO41-MIN(MIN(CC41*ALC40,JB41+MO41),MO41)),MO41)</f>
        <v>0</v>
      </c>
      <c r="MQ41" s="20" t="n">
        <f aca="false">IF(H_Direct=1,IF(CD41&lt;=0,MP41-CD41*ALD40,MP41-MIN(MIN(CD41*ALD40,JC41+MP41),MP41)),MP41)</f>
        <v>0</v>
      </c>
      <c r="MR41" s="20" t="n">
        <f aca="false">IF(H_Direct=1,IF(CE41&lt;=0,MQ41-CE41*ALE40,MQ41-MIN(MIN(CE41*ALE40,JD41+MQ41),MQ41)),MQ41)</f>
        <v>0</v>
      </c>
      <c r="MS41" s="20" t="n">
        <f aca="false">IF(H_Direct=1,IF(CF41&lt;=0,MR41-CF41*ALF40,MR41-MIN(MIN(CF41*ALF40,JE41+MR41),MR41)),MR41)</f>
        <v>0</v>
      </c>
      <c r="MT41" s="20" t="n">
        <f aca="false">IF(H_Direct=1,IF(CG41&lt;=0,MS41-CG41*ALG40,MS41-MIN(MIN(CG41*ALG40,JF41+MS41),MS41)),MS41)</f>
        <v>0</v>
      </c>
      <c r="MU41" s="20" t="n">
        <f aca="false">IF(H_Direct=1,IF(CH41&lt;=0,MT41-CH41*ALH40,MT41-MIN(MIN(CH41*ALH40,JG41+MT41),MT41)),MT41)</f>
        <v>0</v>
      </c>
      <c r="MV41" s="20" t="n">
        <f aca="false">IF(H_Direct=1,IF(CI41&lt;=0,MU41-CI41*ALI40,MU41-MIN(MIN(CI41*ALI40,JH41+MU41),MU41)),MU41)</f>
        <v>0</v>
      </c>
      <c r="MW41" s="20" t="n">
        <f aca="false">IF(H_Direct=1,IF(CJ41&lt;=0,MV41-CJ41*ALJ40,MV41-MIN(MIN(CJ41*ALJ40,JI41+MV41),MV41)),MV41)</f>
        <v>0</v>
      </c>
      <c r="MX41" s="20" t="n">
        <f aca="false">IF(H_Direct=1,IF(CK41&lt;=0,MW41-CK41*ALK40,MW41-MIN(MIN(CK41*ALK40,JJ41+MW41),MW41)),MW41)</f>
        <v>0</v>
      </c>
      <c r="MY41" s="20" t="n">
        <f aca="false">IF(H_Direct=1,IF(CL41&lt;=0,MX41-CL41*ALL40,MX41-MIN(MIN(CL41*ALL40,JK41+MX41),MX41)),MX41)</f>
        <v>0</v>
      </c>
      <c r="MZ41" s="20" t="n">
        <f aca="false">IF(H_Direct=1,IF(CM41&lt;=0,MY41-CM41*ALM40,MY41-MIN(MIN(CM41*ALM40,JL41+MY41),MY41)),MY41)</f>
        <v>0</v>
      </c>
      <c r="NA41" s="20" t="n">
        <f aca="false">IF(H_Direct=1,IF(CN41&lt;=0,MZ41-CN41*ALN40,MZ41-MIN(MIN(CN41*ALN40,JM41+MZ41),MZ41)),MZ41)</f>
        <v>0</v>
      </c>
      <c r="NB41" s="20" t="n">
        <f aca="false">IF(H_Direct=1,IF(CO41&lt;=0,NA41-CO41*ALO40,NA41-MIN(MIN(CO41*ALO40,JN41+NA41),NA41)),NA41)</f>
        <v>0</v>
      </c>
      <c r="NC41" s="20" t="n">
        <f aca="false">IF(H_Direct=1,IF(CP41&lt;=0,NB41-CP41*ALP40,NB41-MIN(MIN(CP41*ALP40,JO41+NB41),NB41)),NB41)</f>
        <v>0</v>
      </c>
      <c r="ND41" s="20" t="n">
        <f aca="false">IF(H_Direct=1,IF(CQ41&lt;=0,NC41-CQ41*ALQ40,NC41-MIN(MIN(CQ41*ALQ40,JP41+NC41),NC41)),NC41)</f>
        <v>0</v>
      </c>
      <c r="NE41" s="20" t="n">
        <f aca="false">IF(H_Direct=1,IF(CR41&lt;=0,ND41-CR41*ALR40,ND41-MIN(MIN(CR41*ALR40,JQ41+ND41),ND41)),ND41)</f>
        <v>0</v>
      </c>
      <c r="NF41" s="20" t="n">
        <f aca="false">IF(H_Direct=1,IF(CS41&lt;=0,NE41-CS41*ALS40,NE41-MIN(MIN(CS41*ALS40,JR41+NE41),NE41)),NE41)</f>
        <v>0</v>
      </c>
      <c r="NG41" s="20" t="n">
        <f aca="false">IF(H_Direct=1,IF(CT41&lt;=0,NF41-CT41*ALT40,NF41-MIN(MIN(CT41*ALT40,JS41+NF41),NF41)),NF41)</f>
        <v>0</v>
      </c>
      <c r="NH41" s="20" t="n">
        <f aca="false">IF(H_Direct=1,IF(CU41&lt;=0,NG41-CU41*ALU40,NG41-MIN(MIN(CU41*ALU40,JT41+NG41),NG41)),NG41)</f>
        <v>0</v>
      </c>
      <c r="NI41" s="20" t="n">
        <f aca="false">IF(H_Direct=1,IF(CV41&lt;=0,NH41-CV41*ALV40,NH41-MIN(MIN(CV41*ALV40,JU41+NH41),NH41)),NH41)</f>
        <v>0</v>
      </c>
      <c r="NJ41" s="20" t="n">
        <f aca="false">IF(H_Direct=1,IF(CW41&lt;=0,NI41-CW41*ALW40,NI41-MIN(MIN(CW41*ALW40,JV41+NI41),NI41)),NI41)</f>
        <v>0</v>
      </c>
      <c r="NK41" s="20" t="n">
        <f aca="false">IF(H_Direct=1,IF(CX41&lt;=0,NJ41-CX41*ALX40,NJ41-MIN(MIN(CX41*ALX40,JW41+NJ41),NJ41)),NJ41)</f>
        <v>0</v>
      </c>
      <c r="NL41" s="20" t="n">
        <f aca="false">IF(H_Direct=1,IF(CY41&lt;=0,NK41-CY41*ALY40,NK41-MIN(MIN(CY41*ALY40,JX41+NK41),NK41)),NK41)</f>
        <v>0</v>
      </c>
      <c r="NM41" s="20" t="n">
        <f aca="false">IF(H_Direct=1,IF(CZ41&lt;=0,NL41-CZ41*(P41+S41),NL41-MIN(MIN(CZ41*(P41+S41),JY41+NL41),NL41)),NL41)</f>
        <v>0</v>
      </c>
      <c r="NN41" s="20" t="n">
        <f aca="false">NM41</f>
        <v>0</v>
      </c>
      <c r="NO41" s="20" t="n">
        <f aca="false">NN41</f>
        <v>0</v>
      </c>
      <c r="NP41" s="20" t="n">
        <f aca="false">NO41</f>
        <v>0</v>
      </c>
      <c r="NQ41" s="20" t="n">
        <f aca="false">NP41</f>
        <v>0</v>
      </c>
      <c r="NR41" s="20" t="n">
        <f aca="false">NQ41</f>
        <v>0</v>
      </c>
      <c r="NS41" s="20" t="n">
        <f aca="false">NR41</f>
        <v>0</v>
      </c>
      <c r="NT41" s="20" t="n">
        <f aca="false">NS41</f>
        <v>0</v>
      </c>
      <c r="NU41" s="20" t="n">
        <f aca="false">NT41</f>
        <v>0</v>
      </c>
      <c r="NV41" s="20" t="n">
        <f aca="false">NU41</f>
        <v>0</v>
      </c>
      <c r="NW41" s="20" t="n">
        <f aca="false">NV41</f>
        <v>0</v>
      </c>
      <c r="NX41" s="20" t="n">
        <f aca="false">NW41</f>
        <v>0</v>
      </c>
      <c r="NY41" s="20" t="n">
        <f aca="false">NX41</f>
        <v>0</v>
      </c>
      <c r="NZ41" s="20" t="n">
        <f aca="false">NY41</f>
        <v>0</v>
      </c>
      <c r="OA41" s="20" t="n">
        <f aca="false">NZ41</f>
        <v>0</v>
      </c>
      <c r="OB41" s="20" t="n">
        <f aca="false">OA41</f>
        <v>0</v>
      </c>
      <c r="OC41" s="20" t="n">
        <f aca="false">OB41</f>
        <v>0</v>
      </c>
      <c r="OD41" s="20" t="n">
        <f aca="false">OC41</f>
        <v>0</v>
      </c>
      <c r="OE41" s="20" t="n">
        <f aca="false">OD41</f>
        <v>0</v>
      </c>
      <c r="OF41" s="20" t="n">
        <f aca="false">OE41</f>
        <v>0</v>
      </c>
      <c r="OG41" s="20" t="n">
        <f aca="false">OF41</f>
        <v>0</v>
      </c>
      <c r="OH41" s="20" t="n">
        <f aca="false">OG41</f>
        <v>0</v>
      </c>
      <c r="OI41" s="20" t="n">
        <f aca="false">OH41</f>
        <v>0</v>
      </c>
      <c r="OJ41" s="20" t="n">
        <f aca="false">OI41</f>
        <v>0</v>
      </c>
      <c r="OK41" s="20" t="n">
        <f aca="false">OJ41</f>
        <v>0</v>
      </c>
      <c r="OL41" s="20" t="n">
        <f aca="false">OK41</f>
        <v>0</v>
      </c>
      <c r="OM41" s="20" t="n">
        <f aca="false">OL41</f>
        <v>0</v>
      </c>
      <c r="ON41" s="20" t="n">
        <f aca="false">OM41</f>
        <v>0</v>
      </c>
      <c r="OO41" s="20" t="n">
        <f aca="false">ON41</f>
        <v>0</v>
      </c>
      <c r="OP41" s="20" t="n">
        <f aca="false">OO41</f>
        <v>0</v>
      </c>
      <c r="OQ41" s="20" t="n">
        <f aca="false">OP41</f>
        <v>0</v>
      </c>
      <c r="OR41" s="20" t="n">
        <f aca="false">OQ41</f>
        <v>0</v>
      </c>
      <c r="OS41" s="20" t="n">
        <f aca="false">OR41</f>
        <v>0</v>
      </c>
      <c r="OT41" s="20" t="n">
        <f aca="false">OS41</f>
        <v>0</v>
      </c>
      <c r="OU41" s="20" t="n">
        <f aca="false">OT41</f>
        <v>0</v>
      </c>
      <c r="OV41" s="20" t="n">
        <f aca="false">OU41</f>
        <v>0</v>
      </c>
      <c r="OW41" s="20" t="n">
        <f aca="false">OV41</f>
        <v>0</v>
      </c>
      <c r="OX41" s="20" t="n">
        <f aca="false">OW41</f>
        <v>0</v>
      </c>
      <c r="OY41" s="20" t="n">
        <f aca="false">OX41</f>
        <v>0</v>
      </c>
      <c r="OZ41" s="20" t="n">
        <f aca="false">OY41</f>
        <v>0</v>
      </c>
      <c r="PA41" s="20" t="n">
        <f aca="false">OZ41</f>
        <v>0</v>
      </c>
      <c r="PB41" s="20" t="n">
        <f aca="false">PA41</f>
        <v>0</v>
      </c>
      <c r="PC41" s="20" t="n">
        <f aca="false">PB41</f>
        <v>0</v>
      </c>
      <c r="PD41" s="20" t="n">
        <f aca="false">PC41</f>
        <v>0</v>
      </c>
      <c r="PE41" s="20" t="n">
        <f aca="false">PD41</f>
        <v>0</v>
      </c>
      <c r="PF41" s="20" t="n">
        <f aca="false">PE41</f>
        <v>0</v>
      </c>
      <c r="PG41" s="20" t="n">
        <f aca="false">PF41</f>
        <v>0</v>
      </c>
      <c r="PH41" s="20" t="n">
        <f aca="false">PG41</f>
        <v>0</v>
      </c>
      <c r="PI41" s="20" t="n">
        <f aca="false">PH41</f>
        <v>0</v>
      </c>
      <c r="PJ41" s="20" t="n">
        <f aca="false">PI41</f>
        <v>0</v>
      </c>
      <c r="PK41" s="20" t="n">
        <f aca="false">PJ41</f>
        <v>0</v>
      </c>
      <c r="PL41" s="20" t="n">
        <f aca="false">PK41</f>
        <v>0</v>
      </c>
      <c r="PM41" s="20" t="n">
        <f aca="false">PL41</f>
        <v>0</v>
      </c>
      <c r="PN41" s="20" t="n">
        <f aca="false">PM41</f>
        <v>0</v>
      </c>
      <c r="PO41" s="20" t="n">
        <f aca="false">PN41</f>
        <v>0</v>
      </c>
      <c r="PP41" s="20" t="n">
        <f aca="false">PO41</f>
        <v>0</v>
      </c>
      <c r="PQ41" s="20" t="n">
        <f aca="false">PP41</f>
        <v>0</v>
      </c>
      <c r="PR41" s="20" t="n">
        <f aca="false">IF(H_Direct=1,IF(AKR40&lt;=0,0,IF(BR41&lt;=0,MIN(MAX(0,AB41),AKR40),MIN(MAX(0,AB41),AKR40-G41*MAX(0,BR41*AKR40-(H41+I41))))),MIN(FE41,MAX(0,AB41)))</f>
        <v>0</v>
      </c>
      <c r="PS41" s="20" t="n">
        <f aca="false">IF(H_Direct=1,IF(AKS40&lt;=0,0,IF(BS41&lt;=0,MIN(MAX(0,AB41-SUM(PR41:PR41)),AKS40),MIN(MAX(0,AB41-SUM(PR41:PR41)),AKS40-G41*MAX(0,BS41*AKS40-(WR41+AAE41))))),MIN(FF41,MAX(0,AB41-SUM(PR41:PR41))))</f>
        <v>0</v>
      </c>
      <c r="PT41" s="20" t="n">
        <f aca="false">IF(H_Direct=1,IF(AKT40&lt;=0,0,IF(BT41&lt;=0,MIN(MAX(0,AB41-SUM(PR41:PS41)),AKT40),MIN(MAX(0,AB41-SUM(PR41:PS41)),AKT40-G41*MAX(0,BT41*AKT40-(WS41+AAF41))))),MIN(FG41,MAX(0,AB41-SUM(PR41:PS41))))</f>
        <v>0</v>
      </c>
      <c r="PU41" s="20" t="n">
        <f aca="false">IF(H_Direct=1,IF(AKU40&lt;=0,0,IF(BU41&lt;=0,MIN(MAX(0,AB41-SUM(PR41:PT41)),AKU40),MIN(MAX(0,AB41-SUM(PR41:PT41)),AKU40-G41*MAX(0,BU41*AKU40-(WT41+AAG41))))),MIN(FH41,MAX(0,AB41-SUM(PR41:PT41))))</f>
        <v>0</v>
      </c>
      <c r="PV41" s="20" t="n">
        <f aca="false">IF(H_Direct=1,IF(AKV40&lt;=0,0,IF(BV41&lt;=0,MIN(MAX(0,AB41-SUM(PR41:PU41)),AKV40),MIN(MAX(0,AB41-SUM(PR41:PU41)),AKV40-G41*MAX(0,BV41*AKV40-(WU41+AAH41))))),MIN(FI41,MAX(0,AB41-SUM(PR41:PU41))))</f>
        <v>0</v>
      </c>
      <c r="PW41" s="20" t="n">
        <f aca="false">IF(H_Direct=1,IF(AKW40&lt;=0,0,IF(BW41&lt;=0,MIN(MAX(0,AB41-SUM(PR41:PV41)),AKW40),MIN(MAX(0,AB41-SUM(PR41:PV41)),AKW40-G41*MAX(0,BW41*AKW40-(WV41+AAI41))))),MIN(FJ41,MAX(0,AB41-SUM(PR41:PV41))))</f>
        <v>0</v>
      </c>
      <c r="PX41" s="20" t="n">
        <f aca="false">IF(H_Direct=1,IF(AKX40&lt;=0,0,IF(BX41&lt;=0,MIN(MAX(0,AB41-SUM(PR41:PW41)),AKX40),MIN(MAX(0,AB41-SUM(PR41:PW41)),AKX40-G41*MAX(0,BX41*AKX40-(WW41+AAJ41))))),MIN(FK41,MAX(0,AB41-SUM(PR41:PW41))))</f>
        <v>0</v>
      </c>
      <c r="PY41" s="20" t="n">
        <f aca="false">IF(H_Direct=1,IF(AKY40&lt;=0,0,IF(BY41&lt;=0,MIN(MAX(0,AB41-SUM(PR41:PX41)),AKY40),MIN(MAX(0,AB41-SUM(PR41:PX41)),AKY40-G41*MAX(0,BY41*AKY40-(WX41+AAK41))))),MIN(FL41,MAX(0,AB41-SUM(PR41:PX41))))</f>
        <v>0</v>
      </c>
      <c r="PZ41" s="20" t="n">
        <f aca="false">IF(H_Direct=1,IF(AKZ40&lt;=0,0,IF(BZ41&lt;=0,MIN(MAX(0,AB41-SUM(PR41:PY41)),AKZ40),MIN(MAX(0,AB41-SUM(PR41:PY41)),AKZ40-G41*MAX(0,BZ41*AKZ40-(WY41+AAL41))))),MIN(FM41,MAX(0,AB41-SUM(PR41:PY41))))</f>
        <v>0</v>
      </c>
      <c r="QA41" s="20" t="n">
        <f aca="false">IF(H_Direct=1,IF(ALA40&lt;=0,0,IF(CA41&lt;=0,MIN(MAX(0,AB41-SUM(PR41:PZ41)),ALA40),MIN(MAX(0,AB41-SUM(PR41:PZ41)),ALA40-G41*MAX(0,CA41*ALA40-(WZ41+AAM41))))),MIN(FN41,MAX(0,AB41-SUM(PR41:PZ41))))</f>
        <v>0</v>
      </c>
      <c r="QB41" s="20" t="n">
        <f aca="false">IF(H_Direct=1,IF(ALB40&lt;=0,0,IF(CB41&lt;=0,MIN(MAX(0,AB41-SUM(PR41:QA41)),ALB40),MIN(MAX(0,AB41-SUM(PR41:QA41)),ALB40-G41*MAX(0,CB41*ALB40-(XA41+AAN41))))),MIN(FO41,MAX(0,AB41-SUM(PR41:QA41))))</f>
        <v>0</v>
      </c>
      <c r="QC41" s="20" t="n">
        <f aca="false">IF(H_Direct=1,IF(ALC40&lt;=0,0,IF(CC41&lt;=0,MIN(MAX(0,AB41-SUM(PR41:QB41)),ALC40),MIN(MAX(0,AB41-SUM(PR41:QB41)),ALC40-G41*MAX(0,CC41*ALC40-(XB41+AAO41))))),MIN(FP41,MAX(0,AB41-SUM(PR41:QB41))))</f>
        <v>986.68127726374</v>
      </c>
      <c r="QD41" s="20" t="n">
        <f aca="false">IF(H_Direct=1,IF(ALD40&lt;=0,0,IF(CD41&lt;=0,MIN(MAX(0,AB41-SUM(PR41:QC41)),ALD40),MIN(MAX(0,AB41-SUM(PR41:QC41)),ALD40-G41*MAX(0,CD41*ALD40-(XC41+AAP41))))),MIN(FQ41,MAX(0,AB41-SUM(PR41:QC41))))</f>
        <v>1256.98988447193</v>
      </c>
      <c r="QE41" s="20" t="n">
        <f aca="false">IF(H_Direct=1,IF(ALE40&lt;=0,0,IF(CE41&lt;=0,MIN(MAX(0,AB41-SUM(PR41:QD41)),ALE40),MIN(MAX(0,AB41-SUM(PR41:QD41)),ALE40-G41*MAX(0,CE41*ALE40-(XD41+AAQ41))))),MIN(FR41,MAX(0,AB41-SUM(PR41:QD41))))</f>
        <v>1523.90050799455</v>
      </c>
      <c r="QF41" s="20" t="n">
        <f aca="false">IF(H_Direct=1,IF(ALF40&lt;=0,0,IF(CF41&lt;=0,MIN(MAX(0,AB41-SUM(PR41:QE41)),ALF40),MIN(MAX(0,AB41-SUM(PR41:QE41)),ALF40-G41*MAX(0,CF41*ALF40-(XE41+AAR41))))),MIN(FS41,MAX(0,AB41-SUM(PR41:QE41))))</f>
        <v>1736.596947676</v>
      </c>
      <c r="QG41" s="20" t="n">
        <f aca="false">IF(H_Direct=1,IF(ALG40&lt;=0,0,IF(CG41&lt;=0,MIN(MAX(0,AB41-SUM(PR41:QF41)),ALG40),MIN(MAX(0,AB41-SUM(PR41:QF41)),ALG40-G41*MAX(0,CG41*ALG40-(XF41+AAS41))))),MIN(FT41,MAX(0,AB41-SUM(PR41:QF41))))</f>
        <v>1693.06627565738</v>
      </c>
      <c r="QH41" s="20" t="n">
        <f aca="false">IF(H_Direct=1,IF(ALH40&lt;=0,0,IF(CH41&lt;=0,MIN(MAX(0,AB41-SUM(PR41:QG41)),ALH40),MIN(MAX(0,AB41-SUM(PR41:QG41)),ALH40-G41*MAX(0,CH41*ALH40-(XG41+AAT41))))),MIN(FU41,MAX(0,AB41-SUM(PR41:QG41))))</f>
        <v>1650.23066632492</v>
      </c>
      <c r="QI41" s="20" t="n">
        <f aca="false">IF(H_Direct=1,IF(ALI40&lt;=0,0,IF(CI41&lt;=0,MIN(MAX(0,AB41-SUM(PR41:QH41)),ALI40),MIN(MAX(0,AB41-SUM(PR41:QH41)),ALI40-G41*MAX(0,CI41*ALI40-(XH41+AAU41))))),MIN(FV41,MAX(0,AB41-SUM(PR41:QH41))))</f>
        <v>1608.05024655034</v>
      </c>
      <c r="QJ41" s="20" t="n">
        <f aca="false">IF(H_Direct=1,IF(ALJ40&lt;=0,0,IF(CJ41&lt;=0,MIN(MAX(0,AB41-SUM(PR41:QI41)),ALJ40),MIN(MAX(0,AB41-SUM(PR41:QI41)),ALJ40-G41*MAX(0,CJ41*ALJ40-(XI41+AAV41))))),MIN(FW41,MAX(0,AB41-SUM(PR41:QI41))))</f>
        <v>1982.31548278991</v>
      </c>
      <c r="QK41" s="20" t="n">
        <f aca="false">IF(H_Direct=1,IF(ALK40&lt;=0,0,IF(CK41&lt;=0,MIN(MAX(0,AB41-SUM(PR41:QJ41)),ALK40),MIN(MAX(0,AB41-SUM(PR41:QJ41)),ALK40-G41*MAX(0,CK41*ALK40-(XJ41+AAW41))))),MIN(FX41,MAX(0,AB41-SUM(PR41:QJ41))))</f>
        <v>0</v>
      </c>
      <c r="QL41" s="20" t="n">
        <f aca="false">IF(H_Direct=1,IF(ALL40&lt;=0,0,IF(CL41&lt;=0,MIN(MAX(0,AB41-SUM(PR41:QK41)),ALL40),MIN(MAX(0,AB41-SUM(PR41:QK41)),ALL40-G41*MAX(0,CL41*ALL40-(XK41+AAX41))))),MIN(FY41,MAX(0,AB41-SUM(PR41:QK41))))</f>
        <v>0</v>
      </c>
      <c r="QM41" s="20" t="n">
        <f aca="false">IF(H_Direct=1,IF(ALM40&lt;=0,0,IF(CM41&lt;=0,MIN(MAX(0,AB41-SUM(PR41:QL41)),ALM40),MIN(MAX(0,AB41-SUM(PR41:QL41)),ALM40-G41*MAX(0,CM41*ALM40-(XL41+AAY41))))),MIN(FZ41,MAX(0,AB41-SUM(PR41:QL41))))</f>
        <v>0</v>
      </c>
      <c r="QN41" s="20" t="n">
        <f aca="false">IF(H_Direct=1,IF(ALN40&lt;=0,0,IF(CN41&lt;=0,MIN(MAX(0,AB41-SUM(PR41:QM41)),ALN40),MIN(MAX(0,AB41-SUM(PR41:QM41)),ALN40-G41*MAX(0,CN41*ALN40-(XM41+AAZ41))))),MIN(GA41,MAX(0,AB41-SUM(PR41:QM41))))</f>
        <v>0</v>
      </c>
      <c r="QO41" s="20" t="n">
        <f aca="false">IF(H_Direct=1,IF(ALO40&lt;=0,0,IF(CO41&lt;=0,MIN(MAX(0,AB41-SUM(PR41:QN41)),ALO40),MIN(MAX(0,AB41-SUM(PR41:QN41)),ALO40-G41*MAX(0,CO41*ALO40-(XN41+ABA41))))),MIN(GB41,MAX(0,AB41-SUM(PR41:QN41))))</f>
        <v>0</v>
      </c>
      <c r="QP41" s="20" t="n">
        <f aca="false">IF(H_Direct=1,IF(ALP40&lt;=0,0,IF(CP41&lt;=0,MIN(MAX(0,AB41-SUM(PR41:QO41)),ALP40),MIN(MAX(0,AB41-SUM(PR41:QO41)),ALP40-G41*MAX(0,CP41*ALP40-(XO41+ABB41))))),MIN(GC41,MAX(0,AB41-SUM(PR41:QO41))))</f>
        <v>0</v>
      </c>
      <c r="QQ41" s="20" t="n">
        <f aca="false">IF(H_Direct=1,IF(ALQ40&lt;=0,0,IF(CQ41&lt;=0,MIN(MAX(0,AB41-SUM(PR41:QP41)),ALQ40),MIN(MAX(0,AB41-SUM(PR41:QP41)),ALQ40-G41*MAX(0,CQ41*ALQ40-(XP41+ABC41))))),MIN(GD41,MAX(0,AB41-SUM(PR41:QP41))))</f>
        <v>0</v>
      </c>
      <c r="QR41" s="20" t="n">
        <f aca="false">IF(H_Direct=1,IF(ALR40&lt;=0,0,IF(CR41&lt;=0,MIN(MAX(0,AB41-SUM(PR41:QQ41)),ALR40),MIN(MAX(0,AB41-SUM(PR41:QQ41)),ALR40-G41*MAX(0,CR41*ALR40-(XQ41+ABD41))))),MIN(GE41,MAX(0,AB41-SUM(PR41:QQ41))))</f>
        <v>0</v>
      </c>
      <c r="QS41" s="20" t="n">
        <f aca="false">IF(H_Direct=1,IF(ALS40&lt;=0,0,IF(CS41&lt;=0,MIN(MAX(0,AB41-SUM(PR41:QR41)),ALS40),MIN(MAX(0,AB41-SUM(PR41:QR41)),ALS40-G41*MAX(0,CS41*ALS40-(XR41+ABE41))))),MIN(GF41,MAX(0,AB41-SUM(PR41:QR41))))</f>
        <v>0</v>
      </c>
      <c r="QT41" s="20" t="n">
        <f aca="false">IF(H_Direct=1,IF(ALT40&lt;=0,0,IF(CT41&lt;=0,MIN(MAX(0,AB41-SUM(PR41:QS41)),ALT40),MIN(MAX(0,AB41-SUM(PR41:QS41)),ALT40-G41*MAX(0,CT41*ALT40-(XS41+ABF41))))),MIN(GG41,MAX(0,AB41-SUM(PR41:QS41))))</f>
        <v>0</v>
      </c>
      <c r="QU41" s="20" t="n">
        <f aca="false">IF(H_Direct=1,IF(ALU40&lt;=0,0,IF(CU41&lt;=0,MIN(MAX(0,AB41-SUM(PR41:QT41)),ALU40),MIN(MAX(0,AB41-SUM(PR41:QT41)),ALU40-G41*MAX(0,CU41*ALU40-(XT41+ABG41))))),MIN(GH41,MAX(0,AB41-SUM(PR41:QT41))))</f>
        <v>0</v>
      </c>
      <c r="QV41" s="20" t="n">
        <f aca="false">IF(H_Direct=1,IF(ALV40&lt;=0,0,IF(CV41&lt;=0,MIN(MAX(0,AB41-SUM(PR41:QU41)),ALV40),MIN(MAX(0,AB41-SUM(PR41:QU41)),ALV40-G41*MAX(0,CV41*ALV40-(XU41+ABH41))))),MIN(GI41,MAX(0,AB41-SUM(PR41:QU41))))</f>
        <v>0</v>
      </c>
      <c r="QW41" s="20" t="n">
        <f aca="false">IF(H_Direct=1,IF(ALW40&lt;=0,0,IF(CW41&lt;=0,MIN(MAX(0,AB41-SUM(PR41:QV41)),ALW40),MIN(MAX(0,AB41-SUM(PR41:QV41)),ALW40-G41*MAX(0,CW41*ALW40-(XV41+ABI41))))),MIN(GJ41,MAX(0,AB41-SUM(PR41:QV41))))</f>
        <v>0</v>
      </c>
      <c r="QX41" s="20" t="n">
        <f aca="false">IF(H_Direct=1,IF(ALX40&lt;=0,0,IF(CX41&lt;=0,MIN(MAX(0,AB41-SUM(PR41:QW41)),ALX40),MIN(MAX(0,AB41-SUM(PR41:QW41)),ALX40-G41*MAX(0,CX41*ALX40-(XW41+ABJ41))))),MIN(GK41,MAX(0,AB41-SUM(PR41:QW41))))</f>
        <v>0</v>
      </c>
      <c r="QY41" s="20" t="n">
        <f aca="false">IF(H_Direct=1,IF(ALY40&lt;=0,0,IF(CY41&lt;=0,MIN(MAX(0,AB41-SUM(PR41:QX41)),ALY40),MIN(MAX(0,AB41-SUM(PR41:QX41)),ALY40-G41*MAX(0,CY41*ALY40-(XX41+ABK41))))),MIN(GL41,MAX(0,AB41-SUM(PR41:QX41))))</f>
        <v>0</v>
      </c>
      <c r="QZ41" s="20" t="n">
        <f aca="false">IF(H_Direct=1,IF((P41+S41)&lt;=0,0,IF(CZ41&lt;=0,MIN(MAX(0,AB41-SUM(PR41:QY41)),(P41+S41)),MIN(MAX(0,AB41-SUM(PR41:QY41)),(P41+S41)-G41*MAX(0,CZ41*(P41+S41)-(XY41+ABL41))))),MIN(GM41,MAX(0,AB41-SUM(PR41:QY41))))</f>
        <v>0</v>
      </c>
      <c r="RA41" s="20" t="n">
        <v>0</v>
      </c>
      <c r="RB41" s="20" t="n">
        <v>0</v>
      </c>
      <c r="RC41" s="20" t="n">
        <v>0</v>
      </c>
      <c r="RD41" s="20" t="n">
        <v>0</v>
      </c>
      <c r="RE41" s="20" t="n">
        <v>0</v>
      </c>
      <c r="RF41" s="20" t="n">
        <v>0</v>
      </c>
      <c r="RG41" s="20" t="n">
        <v>0</v>
      </c>
      <c r="RH41" s="20" t="n">
        <v>0</v>
      </c>
      <c r="RI41" s="20" t="n">
        <v>0</v>
      </c>
      <c r="RJ41" s="20" t="n">
        <v>0</v>
      </c>
      <c r="RK41" s="20" t="n">
        <v>0</v>
      </c>
      <c r="RL41" s="20" t="n">
        <v>0</v>
      </c>
      <c r="RM41" s="20" t="n">
        <v>0</v>
      </c>
      <c r="RN41" s="20" t="n">
        <v>0</v>
      </c>
      <c r="RO41" s="20" t="n">
        <v>0</v>
      </c>
      <c r="RP41" s="20" t="n">
        <v>0</v>
      </c>
      <c r="RQ41" s="20" t="n">
        <v>0</v>
      </c>
      <c r="RR41" s="20" t="n">
        <v>0</v>
      </c>
      <c r="RS41" s="20" t="n">
        <v>0</v>
      </c>
      <c r="RT41" s="20" t="n">
        <v>0</v>
      </c>
      <c r="RU41" s="20" t="n">
        <v>0</v>
      </c>
      <c r="RV41" s="20" t="n">
        <v>0</v>
      </c>
      <c r="RW41" s="20" t="n">
        <v>0</v>
      </c>
      <c r="RX41" s="20" t="n">
        <v>0</v>
      </c>
      <c r="RY41" s="20" t="n">
        <v>0</v>
      </c>
      <c r="RZ41" s="20" t="n">
        <v>0</v>
      </c>
      <c r="SA41" s="20" t="n">
        <v>0</v>
      </c>
      <c r="SB41" s="20" t="n">
        <v>0</v>
      </c>
      <c r="SC41" s="20" t="n">
        <v>0</v>
      </c>
      <c r="SD41" s="20" t="n">
        <v>0</v>
      </c>
      <c r="SE41" s="20" t="n">
        <v>0</v>
      </c>
      <c r="SF41" s="20" t="n">
        <v>0</v>
      </c>
      <c r="SG41" s="20" t="n">
        <v>0</v>
      </c>
      <c r="SH41" s="20" t="n">
        <v>0</v>
      </c>
      <c r="SI41" s="20" t="n">
        <v>0</v>
      </c>
      <c r="SJ41" s="20" t="n">
        <v>0</v>
      </c>
      <c r="SK41" s="20" t="n">
        <v>0</v>
      </c>
      <c r="SL41" s="20" t="n">
        <v>0</v>
      </c>
      <c r="SM41" s="20" t="n">
        <v>0</v>
      </c>
      <c r="SN41" s="20" t="n">
        <v>0</v>
      </c>
      <c r="SO41" s="20" t="n">
        <v>0</v>
      </c>
      <c r="SP41" s="20" t="n">
        <v>0</v>
      </c>
      <c r="SQ41" s="20" t="n">
        <v>0</v>
      </c>
      <c r="SR41" s="20" t="n">
        <v>0</v>
      </c>
      <c r="SS41" s="20" t="n">
        <v>0</v>
      </c>
      <c r="ST41" s="20" t="n">
        <v>0</v>
      </c>
      <c r="SU41" s="20" t="n">
        <v>0</v>
      </c>
      <c r="SV41" s="20" t="n">
        <v>0</v>
      </c>
      <c r="SW41" s="20" t="n">
        <v>0</v>
      </c>
      <c r="SX41" s="20" t="n">
        <v>0</v>
      </c>
      <c r="SY41" s="20" t="n">
        <v>0</v>
      </c>
      <c r="SZ41" s="20" t="n">
        <v>0</v>
      </c>
      <c r="TA41" s="20" t="n">
        <v>0</v>
      </c>
      <c r="TB41" s="20" t="n">
        <v>0</v>
      </c>
      <c r="TC41" s="20" t="n">
        <v>0</v>
      </c>
      <c r="TD41" s="20" t="n">
        <v>0</v>
      </c>
      <c r="TE41" s="20" t="n">
        <f aca="false">IF(AKR40&lt;=0,0,IF(H_Direct=1,IF(BR41&lt;=0,PR41,IF(PR41&lt;=(H41+I41)/BR41,PR41,(PR41-G41*(H41+I41))/(1-G41*BR41))),PR41/(1-MAX(0,BR41)*H_Exit)))</f>
        <v>0</v>
      </c>
      <c r="TF41" s="20" t="n">
        <f aca="false">IF(AKS40&lt;=0,0,IF(H_Direct=1,IF(BS41&lt;=0,PS41,IF(PS41&lt;=(WR41+AAE41)/BS41,PS41,(PS41-G41*(WR41+AAE41))/(1-G41*BS41))),PS41/(1-MAX(0,BS41)*H_Exit)))</f>
        <v>0</v>
      </c>
      <c r="TG41" s="20" t="n">
        <f aca="false">IF(AKT40&lt;=0,0,IF(H_Direct=1,IF(BT41&lt;=0,PT41,IF(PT41&lt;=(WS41+AAF41)/BT41,PT41,(PT41-G41*(WS41+AAF41))/(1-G41*BT41))),PT41/(1-MAX(0,BT41)*H_Exit)))</f>
        <v>0</v>
      </c>
      <c r="TH41" s="20" t="n">
        <f aca="false">IF(AKU40&lt;=0,0,IF(H_Direct=1,IF(BU41&lt;=0,PU41,IF(PU41&lt;=(WT41+AAG41)/BU41,PU41,(PU41-G41*(WT41+AAG41))/(1-G41*BU41))),PU41/(1-MAX(0,BU41)*H_Exit)))</f>
        <v>0</v>
      </c>
      <c r="TI41" s="20" t="n">
        <f aca="false">IF(AKV40&lt;=0,0,IF(H_Direct=1,IF(BV41&lt;=0,PV41,IF(PV41&lt;=(WU41+AAH41)/BV41,PV41,(PV41-G41*(WU41+AAH41))/(1-G41*BV41))),PV41/(1-MAX(0,BV41)*H_Exit)))</f>
        <v>0</v>
      </c>
      <c r="TJ41" s="20" t="n">
        <f aca="false">IF(AKW40&lt;=0,0,IF(H_Direct=1,IF(BW41&lt;=0,PW41,IF(PW41&lt;=(WV41+AAI41)/BW41,PW41,(PW41-G41*(WV41+AAI41))/(1-G41*BW41))),PW41/(1-MAX(0,BW41)*H_Exit)))</f>
        <v>0</v>
      </c>
      <c r="TK41" s="20" t="n">
        <f aca="false">IF(AKX40&lt;=0,0,IF(H_Direct=1,IF(BX41&lt;=0,PX41,IF(PX41&lt;=(WW41+AAJ41)/BX41,PX41,(PX41-G41*(WW41+AAJ41))/(1-G41*BX41))),PX41/(1-MAX(0,BX41)*H_Exit)))</f>
        <v>0</v>
      </c>
      <c r="TL41" s="20" t="n">
        <f aca="false">IF(AKY40&lt;=0,0,IF(H_Direct=1,IF(BY41&lt;=0,PY41,IF(PY41&lt;=(WX41+AAK41)/BY41,PY41,(PY41-G41*(WX41+AAK41))/(1-G41*BY41))),PY41/(1-MAX(0,BY41)*H_Exit)))</f>
        <v>0</v>
      </c>
      <c r="TM41" s="20" t="n">
        <f aca="false">IF(AKZ40&lt;=0,0,IF(H_Direct=1,IF(BZ41&lt;=0,PZ41,IF(PZ41&lt;=(WY41+AAL41)/BZ41,PZ41,(PZ41-G41*(WY41+AAL41))/(1-G41*BZ41))),PZ41/(1-MAX(0,BZ41)*H_Exit)))</f>
        <v>0</v>
      </c>
      <c r="TN41" s="20" t="n">
        <f aca="false">IF(ALA40&lt;=0,0,IF(H_Direct=1,IF(CA41&lt;=0,QA41,IF(QA41&lt;=(WZ41+AAM41)/CA41,QA41,(QA41-G41*(WZ41+AAM41))/(1-G41*CA41))),QA41/(1-MAX(0,CA41)*H_Exit)))</f>
        <v>0</v>
      </c>
      <c r="TO41" s="20" t="n">
        <f aca="false">IF(ALB40&lt;=0,0,IF(H_Direct=1,IF(CB41&lt;=0,QB41,IF(QB41&lt;=(XA41+AAN41)/CB41,QB41,(QB41-G41*(XA41+AAN41))/(1-G41*CB41))),QB41/(1-MAX(0,CB41)*H_Exit)))</f>
        <v>0</v>
      </c>
      <c r="TP41" s="20" t="n">
        <f aca="false">IF(ALC40&lt;=0,0,IF(H_Direct=1,IF(CC41&lt;=0,QC41,IF(QC41&lt;=(XB41+AAO41)/CC41,QC41,(QC41-G41*(XB41+AAO41))/(1-G41*CC41))),QC41/(1-MAX(0,CC41)*H_Exit)))</f>
        <v>1085.73413931384</v>
      </c>
      <c r="TQ41" s="20" t="n">
        <f aca="false">IF(ALD40&lt;=0,0,IF(H_Direct=1,IF(CD41&lt;=0,QD41,IF(QD41&lt;=(XC41+AAP41)/CD41,QD41,(QD41-G41*(XC41+AAP41))/(1-G41*CD41))),QD41/(1-MAX(0,CD41)*H_Exit)))</f>
        <v>1365.81899814086</v>
      </c>
      <c r="TR41" s="20" t="n">
        <f aca="false">IF(ALE40&lt;=0,0,IF(H_Direct=1,IF(CE41&lt;=0,QE41,IF(QE41&lt;=(XD41+AAQ41)/CE41,QE41,(QE41-G41*(XD41+AAQ41))/(1-G41*CE41))),QE41/(1-MAX(0,CE41)*H_Exit)))</f>
        <v>1634.5036067776</v>
      </c>
      <c r="TS41" s="20" t="n">
        <f aca="false">IF(ALF40&lt;=0,0,IF(H_Direct=1,IF(CF41&lt;=0,QF41,IF(QF41&lt;=(XE41+AAR41)/CF41,QF41,(QF41-G41*(XE41+AAR41))/(1-G41*CF41))),QF41/(1-MAX(0,CF41)*H_Exit)))</f>
        <v>1838.00794696212</v>
      </c>
      <c r="TT41" s="20" t="n">
        <f aca="false">IF(ALG40&lt;=0,0,IF(H_Direct=1,IF(CG41&lt;=0,QG41,IF(QG41&lt;=(XF41+AAS41)/CG41,QG41,(QG41-G41*(XF41+AAS41))/(1-G41*CG41))),QG41/(1-MAX(0,CG41)*H_Exit)))</f>
        <v>1767.62723844994</v>
      </c>
      <c r="TU41" s="20" t="n">
        <f aca="false">IF(ALH40&lt;=0,0,IF(H_Direct=1,IF(CH41&lt;=0,QH41,IF(QH41&lt;=(XG41+AAT41)/CH41,QH41,(QH41-G41*(XG41+AAT41))/(1-G41*CH41))),QH41/(1-MAX(0,CH41)*H_Exit)))</f>
        <v>1698.93687434992</v>
      </c>
      <c r="TV41" s="20" t="n">
        <f aca="false">IF(ALI40&lt;=0,0,IF(H_Direct=1,IF(CI41&lt;=0,QI41,IF(QI41&lt;=(XH41+AAU41)/CI41,QI41,(QI41-G41*(XH41+AAU41))/(1-G41*CI41))),QI41/(1-MAX(0,CI41)*H_Exit)))</f>
        <v>1631.90110891135</v>
      </c>
      <c r="TW41" s="20" t="n">
        <f aca="false">IF(ALJ40&lt;=0,0,IF(H_Direct=1,IF(CJ41&lt;=0,QJ41,IF(QJ41&lt;=(XI41+AAV41)/CJ41,QJ41,(QJ41-G41*(XI41+AAV41))/(1-G41*CJ41))),QJ41/(1-MAX(0,CJ41)*H_Exit)))</f>
        <v>1982.31548278991</v>
      </c>
      <c r="TX41" s="20" t="n">
        <f aca="false">IF(ALK40&lt;=0,0,IF(H_Direct=1,IF(CK41&lt;=0,QK41,IF(QK41&lt;=(XJ41+AAW41)/CK41,QK41,(QK41-G41*(XJ41+AAW41))/(1-G41*CK41))),QK41/(1-MAX(0,CK41)*H_Exit)))</f>
        <v>0</v>
      </c>
      <c r="TY41" s="20" t="n">
        <f aca="false">IF(ALL40&lt;=0,0,IF(H_Direct=1,IF(CL41&lt;=0,QL41,IF(QL41&lt;=(XK41+AAX41)/CL41,QL41,(QL41-G41*(XK41+AAX41))/(1-G41*CL41))),QL41/(1-MAX(0,CL41)*H_Exit)))</f>
        <v>0</v>
      </c>
      <c r="TZ41" s="20" t="n">
        <f aca="false">IF(ALM40&lt;=0,0,IF(H_Direct=1,IF(CM41&lt;=0,QM41,IF(QM41&lt;=(XL41+AAY41)/CM41,QM41,(QM41-G41*(XL41+AAY41))/(1-G41*CM41))),QM41/(1-MAX(0,CM41)*H_Exit)))</f>
        <v>0</v>
      </c>
      <c r="UA41" s="20" t="n">
        <f aca="false">IF(ALN40&lt;=0,0,IF(H_Direct=1,IF(CN41&lt;=0,QN41,IF(QN41&lt;=(XM41+AAZ41)/CN41,QN41,(QN41-G41*(XM41+AAZ41))/(1-G41*CN41))),QN41/(1-MAX(0,CN41)*H_Exit)))</f>
        <v>0</v>
      </c>
      <c r="UB41" s="20" t="n">
        <f aca="false">IF(ALO40&lt;=0,0,IF(H_Direct=1,IF(CO41&lt;=0,QO41,IF(QO41&lt;=(XN41+ABA41)/CO41,QO41,(QO41-G41*(XN41+ABA41))/(1-G41*CO41))),QO41/(1-MAX(0,CO41)*H_Exit)))</f>
        <v>0</v>
      </c>
      <c r="UC41" s="20" t="n">
        <f aca="false">IF(ALP40&lt;=0,0,IF(H_Direct=1,IF(CP41&lt;=0,QP41,IF(QP41&lt;=(XO41+ABB41)/CP41,QP41,(QP41-G41*(XO41+ABB41))/(1-G41*CP41))),QP41/(1-MAX(0,CP41)*H_Exit)))</f>
        <v>0</v>
      </c>
      <c r="UD41" s="20" t="n">
        <f aca="false">IF(ALQ40&lt;=0,0,IF(H_Direct=1,IF(CQ41&lt;=0,QQ41,IF(QQ41&lt;=(XP41+ABC41)/CQ41,QQ41,(QQ41-G41*(XP41+ABC41))/(1-G41*CQ41))),QQ41/(1-MAX(0,CQ41)*H_Exit)))</f>
        <v>0</v>
      </c>
      <c r="UE41" s="20" t="n">
        <f aca="false">IF(ALR40&lt;=0,0,IF(H_Direct=1,IF(CR41&lt;=0,QR41,IF(QR41&lt;=(XQ41+ABD41)/CR41,QR41,(QR41-G41*(XQ41+ABD41))/(1-G41*CR41))),QR41/(1-MAX(0,CR41)*H_Exit)))</f>
        <v>0</v>
      </c>
      <c r="UF41" s="20" t="n">
        <f aca="false">IF(ALS40&lt;=0,0,IF(H_Direct=1,IF(CS41&lt;=0,QS41,IF(QS41&lt;=(XR41+ABE41)/CS41,QS41,(QS41-G41*(XR41+ABE41))/(1-G41*CS41))),QS41/(1-MAX(0,CS41)*H_Exit)))</f>
        <v>0</v>
      </c>
      <c r="UG41" s="20" t="n">
        <f aca="false">IF(ALT40&lt;=0,0,IF(H_Direct=1,IF(CT41&lt;=0,QT41,IF(QT41&lt;=(XS41+ABF41)/CT41,QT41,(QT41-G41*(XS41+ABF41))/(1-G41*CT41))),QT41/(1-MAX(0,CT41)*H_Exit)))</f>
        <v>0</v>
      </c>
      <c r="UH41" s="20" t="n">
        <f aca="false">IF(ALU40&lt;=0,0,IF(H_Direct=1,IF(CU41&lt;=0,QU41,IF(QU41&lt;=(XT41+ABG41)/CU41,QU41,(QU41-G41*(XT41+ABG41))/(1-G41*CU41))),QU41/(1-MAX(0,CU41)*H_Exit)))</f>
        <v>0</v>
      </c>
      <c r="UI41" s="20" t="n">
        <f aca="false">IF(ALV40&lt;=0,0,IF(H_Direct=1,IF(CV41&lt;=0,QV41,IF(QV41&lt;=(XU41+ABH41)/CV41,QV41,(QV41-G41*(XU41+ABH41))/(1-G41*CV41))),QV41/(1-MAX(0,CV41)*H_Exit)))</f>
        <v>0</v>
      </c>
      <c r="UJ41" s="20" t="n">
        <f aca="false">IF(ALW40&lt;=0,0,IF(H_Direct=1,IF(CW41&lt;=0,QW41,IF(QW41&lt;=(XV41+ABI41)/CW41,QW41,(QW41-G41*(XV41+ABI41))/(1-G41*CW41))),QW41/(1-MAX(0,CW41)*H_Exit)))</f>
        <v>0</v>
      </c>
      <c r="UK41" s="20" t="n">
        <f aca="false">IF(ALX40&lt;=0,0,IF(H_Direct=1,IF(CX41&lt;=0,QX41,IF(QX41&lt;=(XW41+ABJ41)/CX41,QX41,(QX41-G41*(XW41+ABJ41))/(1-G41*CX41))),QX41/(1-MAX(0,CX41)*H_Exit)))</f>
        <v>0</v>
      </c>
      <c r="UL41" s="20" t="n">
        <f aca="false">IF(ALY40&lt;=0,0,IF(H_Direct=1,IF(CY41&lt;=0,QY41,IF(QY41&lt;=(XX41+ABK41)/CY41,QY41,(QY41-G41*(XX41+ABK41))/(1-G41*CY41))),QY41/(1-MAX(0,CY41)*H_Exit)))</f>
        <v>0</v>
      </c>
      <c r="UM41" s="20" t="n">
        <f aca="false">IF((P41+S41)&lt;=0,0,IF(H_Direct=1,IF(CZ41&lt;=0,QZ41,IF(QZ41&lt;=(XY41+ABL41)/CZ41,QZ41,(QZ41-G41*(XY41+ABL41))/(1-G41*CZ41))),QZ41/(1-MAX(0,CZ41)*H_Exit)))</f>
        <v>0</v>
      </c>
      <c r="UN41" s="20" t="n">
        <v>0</v>
      </c>
      <c r="UO41" s="20" t="n">
        <v>0</v>
      </c>
      <c r="UP41" s="20" t="n">
        <v>0</v>
      </c>
      <c r="UQ41" s="20" t="n">
        <v>0</v>
      </c>
      <c r="UR41" s="20" t="n">
        <v>0</v>
      </c>
      <c r="US41" s="20" t="n">
        <v>0</v>
      </c>
      <c r="UT41" s="20" t="n">
        <v>0</v>
      </c>
      <c r="UU41" s="20" t="n">
        <v>0</v>
      </c>
      <c r="UV41" s="20" t="n">
        <v>0</v>
      </c>
      <c r="UW41" s="20" t="n">
        <v>0</v>
      </c>
      <c r="UX41" s="20" t="n">
        <v>0</v>
      </c>
      <c r="UY41" s="20" t="n">
        <v>0</v>
      </c>
      <c r="UZ41" s="20" t="n">
        <v>0</v>
      </c>
      <c r="VA41" s="20" t="n">
        <v>0</v>
      </c>
      <c r="VB41" s="20" t="n">
        <v>0</v>
      </c>
      <c r="VC41" s="20" t="n">
        <v>0</v>
      </c>
      <c r="VD41" s="20" t="n">
        <v>0</v>
      </c>
      <c r="VE41" s="20" t="n">
        <v>0</v>
      </c>
      <c r="VF41" s="20" t="n">
        <v>0</v>
      </c>
      <c r="VG41" s="20" t="n">
        <v>0</v>
      </c>
      <c r="VH41" s="20" t="n">
        <v>0</v>
      </c>
      <c r="VI41" s="20" t="n">
        <v>0</v>
      </c>
      <c r="VJ41" s="20" t="n">
        <v>0</v>
      </c>
      <c r="VK41" s="20" t="n">
        <v>0</v>
      </c>
      <c r="VL41" s="20" t="n">
        <v>0</v>
      </c>
      <c r="VM41" s="20" t="n">
        <v>0</v>
      </c>
      <c r="VN41" s="20" t="n">
        <v>0</v>
      </c>
      <c r="VO41" s="20" t="n">
        <v>0</v>
      </c>
      <c r="VP41" s="20" t="n">
        <v>0</v>
      </c>
      <c r="VQ41" s="20" t="n">
        <v>0</v>
      </c>
      <c r="VR41" s="20" t="n">
        <v>0</v>
      </c>
      <c r="VS41" s="20" t="n">
        <v>0</v>
      </c>
      <c r="VT41" s="20" t="n">
        <v>0</v>
      </c>
      <c r="VU41" s="20" t="n">
        <v>0</v>
      </c>
      <c r="VV41" s="20" t="n">
        <v>0</v>
      </c>
      <c r="VW41" s="20" t="n">
        <v>0</v>
      </c>
      <c r="VX41" s="20" t="n">
        <v>0</v>
      </c>
      <c r="VY41" s="20" t="n">
        <v>0</v>
      </c>
      <c r="VZ41" s="20" t="n">
        <v>0</v>
      </c>
      <c r="WA41" s="20" t="n">
        <v>0</v>
      </c>
      <c r="WB41" s="20" t="n">
        <v>0</v>
      </c>
      <c r="WC41" s="20" t="n">
        <v>0</v>
      </c>
      <c r="WD41" s="20" t="n">
        <v>0</v>
      </c>
      <c r="WE41" s="20" t="n">
        <v>0</v>
      </c>
      <c r="WF41" s="20" t="n">
        <v>0</v>
      </c>
      <c r="WG41" s="20" t="n">
        <v>0</v>
      </c>
      <c r="WH41" s="20" t="n">
        <v>0</v>
      </c>
      <c r="WI41" s="20" t="n">
        <v>0</v>
      </c>
      <c r="WJ41" s="20" t="n">
        <v>0</v>
      </c>
      <c r="WK41" s="20" t="n">
        <v>0</v>
      </c>
      <c r="WL41" s="20" t="n">
        <v>0</v>
      </c>
      <c r="WM41" s="20" t="n">
        <v>0</v>
      </c>
      <c r="WN41" s="20" t="n">
        <v>0</v>
      </c>
      <c r="WO41" s="20" t="n">
        <v>0</v>
      </c>
      <c r="WP41" s="20" t="n">
        <v>0</v>
      </c>
      <c r="WQ41" s="20" t="n">
        <v>0</v>
      </c>
      <c r="WR41" s="20" t="n">
        <f aca="false">IF(AND(H_Direct=1,BR41&gt;0),MAX(0,H41-(MIN(BR41*TE41,(H41+I41))-MIN(MIN(BR41*TE41,(H41+I41)),I41))),H41)</f>
        <v>1270</v>
      </c>
      <c r="WS41" s="20" t="n">
        <f aca="false">IF(AND(H_Direct=1,BS41&gt;0),MAX(0,WR41-(MIN(BS41*TF41,(WR41+AAE41))-MIN(MIN(BS41*TF41,(WR41+AAE41)),AAE41))),WR41)</f>
        <v>1270</v>
      </c>
      <c r="WT41" s="20" t="n">
        <f aca="false">IF(AND(H_Direct=1,BT41&gt;0),MAX(0,WS41-(MIN(BT41*TG41,(WS41+AAF41))-MIN(MIN(BT41*TG41,(WS41+AAF41)),AAF41))),WS41)</f>
        <v>1270</v>
      </c>
      <c r="WU41" s="20" t="n">
        <f aca="false">IF(AND(H_Direct=1,BU41&gt;0),MAX(0,WT41-(MIN(BU41*TH41,(WT41+AAG41))-MIN(MIN(BU41*TH41,(WT41+AAG41)),AAG41))),WT41)</f>
        <v>1270</v>
      </c>
      <c r="WV41" s="20" t="n">
        <f aca="false">IF(AND(H_Direct=1,BV41&gt;0),MAX(0,WU41-(MIN(BV41*TI41,(WU41+AAH41))-MIN(MIN(BV41*TI41,(WU41+AAH41)),AAH41))),WU41)</f>
        <v>1270</v>
      </c>
      <c r="WW41" s="20" t="n">
        <f aca="false">IF(AND(H_Direct=1,BW41&gt;0),MAX(0,WV41-(MIN(BW41*TJ41,(WV41+AAI41))-MIN(MIN(BW41*TJ41,(WV41+AAI41)),AAI41))),WV41)</f>
        <v>1270</v>
      </c>
      <c r="WX41" s="20" t="n">
        <f aca="false">IF(AND(H_Direct=1,BX41&gt;0),MAX(0,WW41-(MIN(BX41*TK41,(WW41+AAJ41))-MIN(MIN(BX41*TK41,(WW41+AAJ41)),AAJ41))),WW41)</f>
        <v>1270</v>
      </c>
      <c r="WY41" s="20" t="n">
        <f aca="false">IF(AND(H_Direct=1,BY41&gt;0),MAX(0,WX41-(MIN(BY41*TL41,(WX41+AAK41))-MIN(MIN(BY41*TL41,(WX41+AAK41)),AAK41))),WX41)</f>
        <v>1270</v>
      </c>
      <c r="WZ41" s="20" t="n">
        <f aca="false">IF(AND(H_Direct=1,BZ41&gt;0),MAX(0,WY41-(MIN(BZ41*TM41,(WY41+AAL41))-MIN(MIN(BZ41*TM41,(WY41+AAL41)),AAL41))),WY41)</f>
        <v>1270</v>
      </c>
      <c r="XA41" s="20" t="n">
        <f aca="false">IF(AND(H_Direct=1,CA41&gt;0),MAX(0,WZ41-(MIN(CA41*TN41,(WZ41+AAM41))-MIN(MIN(CA41*TN41,(WZ41+AAM41)),AAM41))),WZ41)</f>
        <v>1270</v>
      </c>
      <c r="XB41" s="20" t="n">
        <f aca="false">IF(AND(H_Direct=1,CB41&gt;0),MAX(0,XA41-(MIN(CB41*TO41,(XA41+AAN41))-MIN(MIN(CB41*TO41,(XA41+AAN41)),AAN41))),XA41)</f>
        <v>1270</v>
      </c>
      <c r="XC41" s="20" t="n">
        <f aca="false">IF(AND(H_Direct=1,CC41&gt;0),MAX(0,XB41-(MIN(CC41*TP41,(XB41+AAO41))-MIN(MIN(CC41*TP41,(XB41+AAO41)),AAO41))),XB41)</f>
        <v>1270</v>
      </c>
      <c r="XD41" s="20" t="n">
        <f aca="false">IF(AND(H_Direct=1,CD41&gt;0),MAX(0,XC41-(MIN(CD41*TQ41,(XC41+AAP41))-MIN(MIN(CD41*TQ41,(XC41+AAP41)),AAP41))),XC41)</f>
        <v>1270</v>
      </c>
      <c r="XE41" s="20" t="n">
        <f aca="false">IF(AND(H_Direct=1,CE41&gt;0),MAX(0,XD41-(MIN(CE41*TR41,(XD41+AAQ41))-MIN(MIN(CE41*TR41,(XD41+AAQ41)),AAQ41))),XD41)</f>
        <v>1270</v>
      </c>
      <c r="XF41" s="20" t="n">
        <f aca="false">IF(AND(H_Direct=1,CF41&gt;0),MAX(0,XE41-(MIN(CF41*TS41,(XE41+AAR41))-MIN(MIN(CF41*TS41,(XE41+AAR41)),AAR41))),XE41)</f>
        <v>1270</v>
      </c>
      <c r="XG41" s="20" t="n">
        <f aca="false">IF(AND(H_Direct=1,CG41&gt;0),MAX(0,XF41-(MIN(CG41*TT41,(XF41+AAS41))-MIN(MIN(CG41*TT41,(XF41+AAS41)),AAS41))),XF41)</f>
        <v>1270</v>
      </c>
      <c r="XH41" s="20" t="n">
        <f aca="false">IF(AND(H_Direct=1,CH41&gt;0),MAX(0,XG41-(MIN(CH41*TU41,(XG41+AAT41))-MIN(MIN(CH41*TU41,(XG41+AAT41)),AAT41))),XG41)</f>
        <v>1270</v>
      </c>
      <c r="XI41" s="20" t="n">
        <f aca="false">IF(AND(H_Direct=1,CI41&gt;0),MAX(0,XH41-(MIN(CI41*TV41,(XH41+AAU41))-MIN(MIN(CI41*TV41,(XH41+AAU41)),AAU41))),XH41)</f>
        <v>1270</v>
      </c>
      <c r="XJ41" s="20" t="n">
        <f aca="false">IF(AND(H_Direct=1,CJ41&gt;0),MAX(0,XI41-(MIN(CJ41*TW41,(XI41+AAV41))-MIN(MIN(CJ41*TW41,(XI41+AAV41)),AAV41))),XI41)</f>
        <v>1270</v>
      </c>
      <c r="XK41" s="20" t="n">
        <f aca="false">IF(AND(H_Direct=1,CK41&gt;0),MAX(0,XJ41-(MIN(CK41*TX41,(XJ41+AAW41))-MIN(MIN(CK41*TX41,(XJ41+AAW41)),AAW41))),XJ41)</f>
        <v>1270</v>
      </c>
      <c r="XL41" s="20" t="n">
        <f aca="false">IF(AND(H_Direct=1,CL41&gt;0),MAX(0,XK41-(MIN(CL41*TY41,(XK41+AAX41))-MIN(MIN(CL41*TY41,(XK41+AAX41)),AAX41))),XK41)</f>
        <v>1270</v>
      </c>
      <c r="XM41" s="20" t="n">
        <f aca="false">IF(AND(H_Direct=1,CM41&gt;0),MAX(0,XL41-(MIN(CM41*TZ41,(XL41+AAY41))-MIN(MIN(CM41*TZ41,(XL41+AAY41)),AAY41))),XL41)</f>
        <v>1270</v>
      </c>
      <c r="XN41" s="20" t="n">
        <f aca="false">IF(AND(H_Direct=1,CN41&gt;0),MAX(0,XM41-(MIN(CN41*UA41,(XM41+AAZ41))-MIN(MIN(CN41*UA41,(XM41+AAZ41)),AAZ41))),XM41)</f>
        <v>1270</v>
      </c>
      <c r="XO41" s="20" t="n">
        <f aca="false">IF(AND(H_Direct=1,CO41&gt;0),MAX(0,XN41-(MIN(CO41*UB41,(XN41+ABA41))-MIN(MIN(CO41*UB41,(XN41+ABA41)),ABA41))),XN41)</f>
        <v>1270</v>
      </c>
      <c r="XP41" s="20" t="n">
        <f aca="false">IF(AND(H_Direct=1,CP41&gt;0),MAX(0,XO41-(MIN(CP41*UC41,(XO41+ABB41))-MIN(MIN(CP41*UC41,(XO41+ABB41)),ABB41))),XO41)</f>
        <v>1270</v>
      </c>
      <c r="XQ41" s="20" t="n">
        <f aca="false">IF(AND(H_Direct=1,CQ41&gt;0),MAX(0,XP41-(MIN(CQ41*UD41,(XP41+ABC41))-MIN(MIN(CQ41*UD41,(XP41+ABC41)),ABC41))),XP41)</f>
        <v>1270</v>
      </c>
      <c r="XR41" s="20" t="n">
        <f aca="false">IF(AND(H_Direct=1,CR41&gt;0),MAX(0,XQ41-(MIN(CR41*UE41,(XQ41+ABD41))-MIN(MIN(CR41*UE41,(XQ41+ABD41)),ABD41))),XQ41)</f>
        <v>1270</v>
      </c>
      <c r="XS41" s="20" t="n">
        <f aca="false">IF(AND(H_Direct=1,CS41&gt;0),MAX(0,XR41-(MIN(CS41*UF41,(XR41+ABE41))-MIN(MIN(CS41*UF41,(XR41+ABE41)),ABE41))),XR41)</f>
        <v>1270</v>
      </c>
      <c r="XT41" s="20" t="n">
        <f aca="false">IF(AND(H_Direct=1,CT41&gt;0),MAX(0,XS41-(MIN(CT41*UG41,(XS41+ABF41))-MIN(MIN(CT41*UG41,(XS41+ABF41)),ABF41))),XS41)</f>
        <v>1270</v>
      </c>
      <c r="XU41" s="20" t="n">
        <f aca="false">IF(AND(H_Direct=1,CU41&gt;0),MAX(0,XT41-(MIN(CU41*UH41,(XT41+ABG41))-MIN(MIN(CU41*UH41,(XT41+ABG41)),ABG41))),XT41)</f>
        <v>1270</v>
      </c>
      <c r="XV41" s="20" t="n">
        <f aca="false">IF(AND(H_Direct=1,CV41&gt;0),MAX(0,XU41-(MIN(CV41*UI41,(XU41+ABH41))-MIN(MIN(CV41*UI41,(XU41+ABH41)),ABH41))),XU41)</f>
        <v>1270</v>
      </c>
      <c r="XW41" s="20" t="n">
        <f aca="false">IF(AND(H_Direct=1,CW41&gt;0),MAX(0,XV41-(MIN(CW41*UJ41,(XV41+ABI41))-MIN(MIN(CW41*UJ41,(XV41+ABI41)),ABI41))),XV41)</f>
        <v>1270</v>
      </c>
      <c r="XX41" s="20" t="n">
        <f aca="false">IF(AND(H_Direct=1,CX41&gt;0),MAX(0,XW41-(MIN(CX41*UK41,(XW41+ABJ41))-MIN(MIN(CX41*UK41,(XW41+ABJ41)),ABJ41))),XW41)</f>
        <v>1270</v>
      </c>
      <c r="XY41" s="20" t="n">
        <f aca="false">IF(AND(H_Direct=1,CY41&gt;0),MAX(0,XX41-(MIN(CY41*UL41,(XX41+ABK41))-MIN(MIN(CY41*UL41,(XX41+ABK41)),ABK41))),XX41)</f>
        <v>1270</v>
      </c>
      <c r="XZ41" s="20" t="n">
        <f aca="false">IF(AND(H_Direct=1,CZ41&gt;0),MAX(0,XY41-(MIN(CZ41*UM41,(XY41+ABL41))-MIN(MIN(CZ41*UM41,(XY41+ABL41)),ABL41))),XY41)</f>
        <v>1270</v>
      </c>
      <c r="YA41" s="20" t="n">
        <f aca="false">XZ41</f>
        <v>1270</v>
      </c>
      <c r="YB41" s="20" t="n">
        <f aca="false">YA41</f>
        <v>1270</v>
      </c>
      <c r="YC41" s="20" t="n">
        <f aca="false">YB41</f>
        <v>1270</v>
      </c>
      <c r="YD41" s="20" t="n">
        <f aca="false">YC41</f>
        <v>1270</v>
      </c>
      <c r="YE41" s="20" t="n">
        <f aca="false">YD41</f>
        <v>1270</v>
      </c>
      <c r="YF41" s="20" t="n">
        <f aca="false">YE41</f>
        <v>1270</v>
      </c>
      <c r="YG41" s="20" t="n">
        <f aca="false">YF41</f>
        <v>1270</v>
      </c>
      <c r="YH41" s="20" t="n">
        <f aca="false">YG41</f>
        <v>1270</v>
      </c>
      <c r="YI41" s="20" t="n">
        <f aca="false">YH41</f>
        <v>1270</v>
      </c>
      <c r="YJ41" s="20" t="n">
        <f aca="false">YI41</f>
        <v>1270</v>
      </c>
      <c r="YK41" s="20" t="n">
        <f aca="false">YJ41</f>
        <v>1270</v>
      </c>
      <c r="YL41" s="20" t="n">
        <f aca="false">YK41</f>
        <v>1270</v>
      </c>
      <c r="YM41" s="20" t="n">
        <f aca="false">YL41</f>
        <v>1270</v>
      </c>
      <c r="YN41" s="20" t="n">
        <f aca="false">YM41</f>
        <v>1270</v>
      </c>
      <c r="YO41" s="20" t="n">
        <f aca="false">YN41</f>
        <v>1270</v>
      </c>
      <c r="YP41" s="20" t="n">
        <f aca="false">YO41</f>
        <v>1270</v>
      </c>
      <c r="YQ41" s="20" t="n">
        <f aca="false">YP41</f>
        <v>1270</v>
      </c>
      <c r="YR41" s="20" t="n">
        <f aca="false">YQ41</f>
        <v>1270</v>
      </c>
      <c r="YS41" s="20" t="n">
        <f aca="false">YR41</f>
        <v>1270</v>
      </c>
      <c r="YT41" s="20" t="n">
        <f aca="false">YS41</f>
        <v>1270</v>
      </c>
      <c r="YU41" s="20" t="n">
        <f aca="false">YT41</f>
        <v>1270</v>
      </c>
      <c r="YV41" s="20" t="n">
        <f aca="false">YU41</f>
        <v>1270</v>
      </c>
      <c r="YW41" s="20" t="n">
        <f aca="false">YV41</f>
        <v>1270</v>
      </c>
      <c r="YX41" s="20" t="n">
        <f aca="false">YW41</f>
        <v>1270</v>
      </c>
      <c r="YY41" s="20" t="n">
        <f aca="false">YX41</f>
        <v>1270</v>
      </c>
      <c r="YZ41" s="20" t="n">
        <f aca="false">YY41</f>
        <v>1270</v>
      </c>
      <c r="ZA41" s="20" t="n">
        <f aca="false">YZ41</f>
        <v>1270</v>
      </c>
      <c r="ZB41" s="20" t="n">
        <f aca="false">ZA41</f>
        <v>1270</v>
      </c>
      <c r="ZC41" s="20" t="n">
        <f aca="false">ZB41</f>
        <v>1270</v>
      </c>
      <c r="ZD41" s="20" t="n">
        <f aca="false">ZC41</f>
        <v>1270</v>
      </c>
      <c r="ZE41" s="20" t="n">
        <f aca="false">ZD41</f>
        <v>1270</v>
      </c>
      <c r="ZF41" s="20" t="n">
        <f aca="false">ZE41</f>
        <v>1270</v>
      </c>
      <c r="ZG41" s="20" t="n">
        <f aca="false">ZF41</f>
        <v>1270</v>
      </c>
      <c r="ZH41" s="20" t="n">
        <f aca="false">ZG41</f>
        <v>1270</v>
      </c>
      <c r="ZI41" s="20" t="n">
        <f aca="false">ZH41</f>
        <v>1270</v>
      </c>
      <c r="ZJ41" s="20" t="n">
        <f aca="false">ZI41</f>
        <v>1270</v>
      </c>
      <c r="ZK41" s="20" t="n">
        <f aca="false">ZJ41</f>
        <v>1270</v>
      </c>
      <c r="ZL41" s="20" t="n">
        <f aca="false">ZK41</f>
        <v>1270</v>
      </c>
      <c r="ZM41" s="20" t="n">
        <f aca="false">ZL41</f>
        <v>1270</v>
      </c>
      <c r="ZN41" s="20" t="n">
        <f aca="false">ZM41</f>
        <v>1270</v>
      </c>
      <c r="ZO41" s="20" t="n">
        <f aca="false">ZN41</f>
        <v>1270</v>
      </c>
      <c r="ZP41" s="20" t="n">
        <f aca="false">ZO41</f>
        <v>1270</v>
      </c>
      <c r="ZQ41" s="20" t="n">
        <f aca="false">ZP41</f>
        <v>1270</v>
      </c>
      <c r="ZR41" s="20" t="n">
        <f aca="false">ZQ41</f>
        <v>1270</v>
      </c>
      <c r="ZS41" s="20" t="n">
        <f aca="false">ZR41</f>
        <v>1270</v>
      </c>
      <c r="ZT41" s="20" t="n">
        <f aca="false">ZS41</f>
        <v>1270</v>
      </c>
      <c r="ZU41" s="20" t="n">
        <f aca="false">ZT41</f>
        <v>1270</v>
      </c>
      <c r="ZV41" s="20" t="n">
        <f aca="false">ZU41</f>
        <v>1270</v>
      </c>
      <c r="ZW41" s="20" t="n">
        <f aca="false">ZV41</f>
        <v>1270</v>
      </c>
      <c r="ZX41" s="20" t="n">
        <f aca="false">ZW41</f>
        <v>1270</v>
      </c>
      <c r="ZY41" s="20" t="n">
        <f aca="false">ZX41</f>
        <v>1270</v>
      </c>
      <c r="ZZ41" s="20" t="n">
        <f aca="false">ZY41</f>
        <v>1270</v>
      </c>
      <c r="AAA41" s="20" t="n">
        <f aca="false">ZZ41</f>
        <v>1270</v>
      </c>
      <c r="AAB41" s="20" t="n">
        <f aca="false">AAA41</f>
        <v>1270</v>
      </c>
      <c r="AAC41" s="20" t="n">
        <f aca="false">AAB41</f>
        <v>1270</v>
      </c>
      <c r="AAD41" s="20" t="n">
        <f aca="false">AAC41</f>
        <v>1270</v>
      </c>
      <c r="AAE41" s="20" t="n">
        <f aca="false">IF(H_Direct=1,IF(BR41&lt;=0,I41-BR41*TE41,I41-MIN(MIN(BR41*TE41,(H41+I41)),I41)),I41)</f>
        <v>0</v>
      </c>
      <c r="AAF41" s="20" t="n">
        <f aca="false">IF(H_Direct=1,IF(BS41&lt;=0,AAE41-BS41*TF41,AAE41-MIN(MIN(BS41*TF41,(WR41+AAE41)),AAE41)),AAE41)</f>
        <v>0</v>
      </c>
      <c r="AAG41" s="20" t="n">
        <f aca="false">IF(H_Direct=1,IF(BT41&lt;=0,AAF41-BT41*TG41,AAF41-MIN(MIN(BT41*TG41,(WS41+AAF41)),AAF41)),AAF41)</f>
        <v>0</v>
      </c>
      <c r="AAH41" s="20" t="n">
        <f aca="false">IF(H_Direct=1,IF(BU41&lt;=0,AAG41-BU41*TH41,AAG41-MIN(MIN(BU41*TH41,(WT41+AAG41)),AAG41)),AAG41)</f>
        <v>0</v>
      </c>
      <c r="AAI41" s="20" t="n">
        <f aca="false">IF(H_Direct=1,IF(BV41&lt;=0,AAH41-BV41*TI41,AAH41-MIN(MIN(BV41*TI41,(WU41+AAH41)),AAH41)),AAH41)</f>
        <v>0</v>
      </c>
      <c r="AAJ41" s="20" t="n">
        <f aca="false">IF(H_Direct=1,IF(BW41&lt;=0,AAI41-BW41*TJ41,AAI41-MIN(MIN(BW41*TJ41,(WV41+AAI41)),AAI41)),AAI41)</f>
        <v>0</v>
      </c>
      <c r="AAK41" s="20" t="n">
        <f aca="false">IF(H_Direct=1,IF(BX41&lt;=0,AAJ41-BX41*TK41,AAJ41-MIN(MIN(BX41*TK41,(WW41+AAJ41)),AAJ41)),AAJ41)</f>
        <v>0</v>
      </c>
      <c r="AAL41" s="20" t="n">
        <f aca="false">IF(H_Direct=1,IF(BY41&lt;=0,AAK41-BY41*TL41,AAK41-MIN(MIN(BY41*TL41,(WX41+AAK41)),AAK41)),AAK41)</f>
        <v>0</v>
      </c>
      <c r="AAM41" s="20" t="n">
        <f aca="false">IF(H_Direct=1,IF(BZ41&lt;=0,AAL41-BZ41*TM41,AAL41-MIN(MIN(BZ41*TM41,(WY41+AAL41)),AAL41)),AAL41)</f>
        <v>0</v>
      </c>
      <c r="AAN41" s="20" t="n">
        <f aca="false">IF(H_Direct=1,IF(CA41&lt;=0,AAM41-CA41*TN41,AAM41-MIN(MIN(CA41*TN41,(WZ41+AAM41)),AAM41)),AAM41)</f>
        <v>0</v>
      </c>
      <c r="AAO41" s="20" t="n">
        <f aca="false">IF(H_Direct=1,IF(CB41&lt;=0,AAN41-CB41*TO41,AAN41-MIN(MIN(CB41*TO41,(XA41+AAN41)),AAN41)),AAN41)</f>
        <v>0</v>
      </c>
      <c r="AAP41" s="20" t="n">
        <f aca="false">IF(H_Direct=1,IF(CC41&lt;=0,AAO41-CC41*TP41,AAO41-MIN(MIN(CC41*TP41,(XB41+AAO41)),AAO41)),AAO41)</f>
        <v>0</v>
      </c>
      <c r="AAQ41" s="20" t="n">
        <f aca="false">IF(H_Direct=1,IF(CD41&lt;=0,AAP41-CD41*TQ41,AAP41-MIN(MIN(CD41*TQ41,(XC41+AAP41)),AAP41)),AAP41)</f>
        <v>0</v>
      </c>
      <c r="AAR41" s="20" t="n">
        <f aca="false">IF(H_Direct=1,IF(CE41&lt;=0,AAQ41-CE41*TR41,AAQ41-MIN(MIN(CE41*TR41,(XD41+AAQ41)),AAQ41)),AAQ41)</f>
        <v>0</v>
      </c>
      <c r="AAS41" s="20" t="n">
        <f aca="false">IF(H_Direct=1,IF(CF41&lt;=0,AAR41-CF41*TS41,AAR41-MIN(MIN(CF41*TS41,(XE41+AAR41)),AAR41)),AAR41)</f>
        <v>0</v>
      </c>
      <c r="AAT41" s="20" t="n">
        <f aca="false">IF(H_Direct=1,IF(CG41&lt;=0,AAS41-CG41*TT41,AAS41-MIN(MIN(CG41*TT41,(XF41+AAS41)),AAS41)),AAS41)</f>
        <v>0</v>
      </c>
      <c r="AAU41" s="20" t="n">
        <f aca="false">IF(H_Direct=1,IF(CH41&lt;=0,AAT41-CH41*TU41,AAT41-MIN(MIN(CH41*TU41,(XG41+AAT41)),AAT41)),AAT41)</f>
        <v>0</v>
      </c>
      <c r="AAV41" s="20" t="n">
        <f aca="false">IF(H_Direct=1,IF(CI41&lt;=0,AAU41-CI41*TV41,AAU41-MIN(MIN(CI41*TV41,(XH41+AAU41)),AAU41)),AAU41)</f>
        <v>0</v>
      </c>
      <c r="AAW41" s="20" t="n">
        <f aca="false">IF(H_Direct=1,IF(CJ41&lt;=0,AAV41-CJ41*TW41,AAV41-MIN(MIN(CJ41*TW41,(XI41+AAV41)),AAV41)),AAV41)</f>
        <v>0</v>
      </c>
      <c r="AAX41" s="20" t="n">
        <f aca="false">IF(H_Direct=1,IF(CK41&lt;=0,AAW41-CK41*TX41,AAW41-MIN(MIN(CK41*TX41,(XJ41+AAW41)),AAW41)),AAW41)</f>
        <v>0</v>
      </c>
      <c r="AAY41" s="20" t="n">
        <f aca="false">IF(H_Direct=1,IF(CL41&lt;=0,AAX41-CL41*TY41,AAX41-MIN(MIN(CL41*TY41,(XK41+AAX41)),AAX41)),AAX41)</f>
        <v>0</v>
      </c>
      <c r="AAZ41" s="20" t="n">
        <f aca="false">IF(H_Direct=1,IF(CM41&lt;=0,AAY41-CM41*TZ41,AAY41-MIN(MIN(CM41*TZ41,(XL41+AAY41)),AAY41)),AAY41)</f>
        <v>0</v>
      </c>
      <c r="ABA41" s="20" t="n">
        <f aca="false">IF(H_Direct=1,IF(CN41&lt;=0,AAZ41-CN41*UA41,AAZ41-MIN(MIN(CN41*UA41,(XM41+AAZ41)),AAZ41)),AAZ41)</f>
        <v>0</v>
      </c>
      <c r="ABB41" s="20" t="n">
        <f aca="false">IF(H_Direct=1,IF(CO41&lt;=0,ABA41-CO41*UB41,ABA41-MIN(MIN(CO41*UB41,(XN41+ABA41)),ABA41)),ABA41)</f>
        <v>0</v>
      </c>
      <c r="ABC41" s="20" t="n">
        <f aca="false">IF(H_Direct=1,IF(CP41&lt;=0,ABB41-CP41*UC41,ABB41-MIN(MIN(CP41*UC41,(XO41+ABB41)),ABB41)),ABB41)</f>
        <v>0</v>
      </c>
      <c r="ABD41" s="20" t="n">
        <f aca="false">IF(H_Direct=1,IF(CQ41&lt;=0,ABC41-CQ41*UD41,ABC41-MIN(MIN(CQ41*UD41,(XP41+ABC41)),ABC41)),ABC41)</f>
        <v>0</v>
      </c>
      <c r="ABE41" s="20" t="n">
        <f aca="false">IF(H_Direct=1,IF(CR41&lt;=0,ABD41-CR41*UE41,ABD41-MIN(MIN(CR41*UE41,(XQ41+ABD41)),ABD41)),ABD41)</f>
        <v>0</v>
      </c>
      <c r="ABF41" s="20" t="n">
        <f aca="false">IF(H_Direct=1,IF(CS41&lt;=0,ABE41-CS41*UF41,ABE41-MIN(MIN(CS41*UF41,(XR41+ABE41)),ABE41)),ABE41)</f>
        <v>0</v>
      </c>
      <c r="ABG41" s="20" t="n">
        <f aca="false">IF(H_Direct=1,IF(CT41&lt;=0,ABF41-CT41*UG41,ABF41-MIN(MIN(CT41*UG41,(XS41+ABF41)),ABF41)),ABF41)</f>
        <v>0</v>
      </c>
      <c r="ABH41" s="20" t="n">
        <f aca="false">IF(H_Direct=1,IF(CU41&lt;=0,ABG41-CU41*UH41,ABG41-MIN(MIN(CU41*UH41,(XT41+ABG41)),ABG41)),ABG41)</f>
        <v>0</v>
      </c>
      <c r="ABI41" s="20" t="n">
        <f aca="false">IF(H_Direct=1,IF(CV41&lt;=0,ABH41-CV41*UI41,ABH41-MIN(MIN(CV41*UI41,(XU41+ABH41)),ABH41)),ABH41)</f>
        <v>0</v>
      </c>
      <c r="ABJ41" s="20" t="n">
        <f aca="false">IF(H_Direct=1,IF(CW41&lt;=0,ABI41-CW41*UJ41,ABI41-MIN(MIN(CW41*UJ41,(XV41+ABI41)),ABI41)),ABI41)</f>
        <v>0</v>
      </c>
      <c r="ABK41" s="20" t="n">
        <f aca="false">IF(H_Direct=1,IF(CX41&lt;=0,ABJ41-CX41*UK41,ABJ41-MIN(MIN(CX41*UK41,(XW41+ABJ41)),ABJ41)),ABJ41)</f>
        <v>0</v>
      </c>
      <c r="ABL41" s="20" t="n">
        <f aca="false">IF(H_Direct=1,IF(CY41&lt;=0,ABK41-CY41*UL41,ABK41-MIN(MIN(CY41*UL41,(XX41+ABK41)),ABK41)),ABK41)</f>
        <v>0</v>
      </c>
      <c r="ABM41" s="20" t="n">
        <f aca="false">IF(H_Direct=1,IF(CZ41&lt;=0,ABL41-CZ41*UM41,ABL41-MIN(MIN(CZ41*UM41,(XY41+ABL41)),ABL41)),ABL41)</f>
        <v>0</v>
      </c>
      <c r="ABN41" s="20" t="n">
        <f aca="false">ABM41</f>
        <v>0</v>
      </c>
      <c r="ABO41" s="20" t="n">
        <f aca="false">ABN41</f>
        <v>0</v>
      </c>
      <c r="ABP41" s="20" t="n">
        <f aca="false">ABO41</f>
        <v>0</v>
      </c>
      <c r="ABQ41" s="20" t="n">
        <f aca="false">ABP41</f>
        <v>0</v>
      </c>
      <c r="ABR41" s="20" t="n">
        <f aca="false">ABQ41</f>
        <v>0</v>
      </c>
      <c r="ABS41" s="20" t="n">
        <f aca="false">ABR41</f>
        <v>0</v>
      </c>
      <c r="ABT41" s="20" t="n">
        <f aca="false">ABS41</f>
        <v>0</v>
      </c>
      <c r="ABU41" s="20" t="n">
        <f aca="false">ABT41</f>
        <v>0</v>
      </c>
      <c r="ABV41" s="20" t="n">
        <f aca="false">ABU41</f>
        <v>0</v>
      </c>
      <c r="ABW41" s="20" t="n">
        <f aca="false">ABV41</f>
        <v>0</v>
      </c>
      <c r="ABX41" s="20" t="n">
        <f aca="false">ABW41</f>
        <v>0</v>
      </c>
      <c r="ABY41" s="20" t="n">
        <f aca="false">ABX41</f>
        <v>0</v>
      </c>
      <c r="ABZ41" s="20" t="n">
        <f aca="false">ABY41</f>
        <v>0</v>
      </c>
      <c r="ACA41" s="20" t="n">
        <f aca="false">ABZ41</f>
        <v>0</v>
      </c>
      <c r="ACB41" s="20" t="n">
        <f aca="false">ACA41</f>
        <v>0</v>
      </c>
      <c r="ACC41" s="20" t="n">
        <f aca="false">ACB41</f>
        <v>0</v>
      </c>
      <c r="ACD41" s="20" t="n">
        <f aca="false">ACC41</f>
        <v>0</v>
      </c>
      <c r="ACE41" s="20" t="n">
        <f aca="false">ACD41</f>
        <v>0</v>
      </c>
      <c r="ACF41" s="20" t="n">
        <f aca="false">ACE41</f>
        <v>0</v>
      </c>
      <c r="ACG41" s="20" t="n">
        <f aca="false">ACF41</f>
        <v>0</v>
      </c>
      <c r="ACH41" s="20" t="n">
        <f aca="false">ACG41</f>
        <v>0</v>
      </c>
      <c r="ACI41" s="20" t="n">
        <f aca="false">ACH41</f>
        <v>0</v>
      </c>
      <c r="ACJ41" s="20" t="n">
        <f aca="false">ACI41</f>
        <v>0</v>
      </c>
      <c r="ACK41" s="20" t="n">
        <f aca="false">ACJ41</f>
        <v>0</v>
      </c>
      <c r="ACL41" s="20" t="n">
        <f aca="false">ACK41</f>
        <v>0</v>
      </c>
      <c r="ACM41" s="20" t="n">
        <f aca="false">ACL41</f>
        <v>0</v>
      </c>
      <c r="ACN41" s="20" t="n">
        <f aca="false">ACM41</f>
        <v>0</v>
      </c>
      <c r="ACO41" s="20" t="n">
        <f aca="false">ACN41</f>
        <v>0</v>
      </c>
      <c r="ACP41" s="20" t="n">
        <f aca="false">ACO41</f>
        <v>0</v>
      </c>
      <c r="ACQ41" s="20" t="n">
        <f aca="false">ACP41</f>
        <v>0</v>
      </c>
      <c r="ACR41" s="20" t="n">
        <f aca="false">ACQ41</f>
        <v>0</v>
      </c>
      <c r="ACS41" s="20" t="n">
        <f aca="false">ACR41</f>
        <v>0</v>
      </c>
      <c r="ACT41" s="20" t="n">
        <f aca="false">ACS41</f>
        <v>0</v>
      </c>
      <c r="ACU41" s="20" t="n">
        <f aca="false">ACT41</f>
        <v>0</v>
      </c>
      <c r="ACV41" s="20" t="n">
        <f aca="false">ACU41</f>
        <v>0</v>
      </c>
      <c r="ACW41" s="20" t="n">
        <f aca="false">ACV41</f>
        <v>0</v>
      </c>
      <c r="ACX41" s="20" t="n">
        <f aca="false">ACW41</f>
        <v>0</v>
      </c>
      <c r="ACY41" s="20" t="n">
        <f aca="false">ACX41</f>
        <v>0</v>
      </c>
      <c r="ACZ41" s="20" t="n">
        <f aca="false">ACY41</f>
        <v>0</v>
      </c>
      <c r="ADA41" s="20" t="n">
        <f aca="false">ACZ41</f>
        <v>0</v>
      </c>
      <c r="ADB41" s="20" t="n">
        <f aca="false">ADA41</f>
        <v>0</v>
      </c>
      <c r="ADC41" s="20" t="n">
        <f aca="false">ADB41</f>
        <v>0</v>
      </c>
      <c r="ADD41" s="20" t="n">
        <f aca="false">ADC41</f>
        <v>0</v>
      </c>
      <c r="ADE41" s="20" t="n">
        <f aca="false">ADD41</f>
        <v>0</v>
      </c>
      <c r="ADF41" s="20" t="n">
        <f aca="false">ADE41</f>
        <v>0</v>
      </c>
      <c r="ADG41" s="20" t="n">
        <f aca="false">ADF41</f>
        <v>0</v>
      </c>
      <c r="ADH41" s="20" t="n">
        <f aca="false">ADG41</f>
        <v>0</v>
      </c>
      <c r="ADI41" s="20" t="n">
        <f aca="false">ADH41</f>
        <v>0</v>
      </c>
      <c r="ADJ41" s="20" t="n">
        <f aca="false">ADI41</f>
        <v>0</v>
      </c>
      <c r="ADK41" s="20" t="n">
        <f aca="false">ADJ41</f>
        <v>0</v>
      </c>
      <c r="ADL41" s="20" t="n">
        <f aca="false">ADK41</f>
        <v>0</v>
      </c>
      <c r="ADM41" s="20" t="n">
        <f aca="false">ADL41</f>
        <v>0</v>
      </c>
      <c r="ADN41" s="20" t="n">
        <f aca="false">ADM41</f>
        <v>0</v>
      </c>
      <c r="ADO41" s="20" t="n">
        <f aca="false">ADN41</f>
        <v>0</v>
      </c>
      <c r="ADP41" s="20" t="n">
        <f aca="false">ADO41</f>
        <v>0</v>
      </c>
      <c r="ADQ41" s="20" t="n">
        <f aca="false">ADP41</f>
        <v>0</v>
      </c>
      <c r="ADR41" s="20" t="n">
        <f aca="false">(AKR40-TE41+0)*(1+BQ41)</f>
        <v>0</v>
      </c>
      <c r="ADS41" s="20" t="n">
        <f aca="false">(AKS40-TF41+0)*(1+BQ41)</f>
        <v>0</v>
      </c>
      <c r="ADT41" s="20" t="n">
        <f aca="false">(AKT40-TG41+0)*(1+BQ41)</f>
        <v>0</v>
      </c>
      <c r="ADU41" s="20" t="n">
        <f aca="false">(AKU40-TH41+0)*(1+BQ41)</f>
        <v>0</v>
      </c>
      <c r="ADV41" s="20" t="n">
        <f aca="false">(AKV40-TI41+0)*(1+BQ41)</f>
        <v>0</v>
      </c>
      <c r="ADW41" s="20" t="n">
        <f aca="false">(AKW40-TJ41+0)*(1+BQ41)</f>
        <v>0</v>
      </c>
      <c r="ADX41" s="20" t="n">
        <f aca="false">(AKX40-TK41+0)*(1+BQ41)</f>
        <v>0</v>
      </c>
      <c r="ADY41" s="20" t="n">
        <f aca="false">(AKY40-TL41+0)*(1+BQ41)</f>
        <v>0</v>
      </c>
      <c r="ADZ41" s="20" t="n">
        <f aca="false">(AKZ40-TM41+0)*(1+BQ41)</f>
        <v>0</v>
      </c>
      <c r="AEA41" s="20" t="n">
        <f aca="false">(ALA40-TN41+0)*(1+BQ41)</f>
        <v>0</v>
      </c>
      <c r="AEB41" s="20" t="n">
        <f aca="false">(ALB40-TO41+0)*(1+BQ41)</f>
        <v>0</v>
      </c>
      <c r="AEC41" s="20" t="n">
        <f aca="false">(ALC40-TP41+0)*(1+BQ41)</f>
        <v>0</v>
      </c>
      <c r="AED41" s="20" t="n">
        <f aca="false">(ALD40-TQ41+0)*(1+BQ41)</f>
        <v>0</v>
      </c>
      <c r="AEE41" s="20" t="n">
        <f aca="false">(ALE40-TR41+0)*(1+BQ41)</f>
        <v>0</v>
      </c>
      <c r="AEF41" s="20" t="n">
        <f aca="false">(ALF40-TS41+0)*(1+BQ41)</f>
        <v>0</v>
      </c>
      <c r="AEG41" s="20" t="n">
        <f aca="false">(ALG40-TT41+0)*(1+BQ41)</f>
        <v>0</v>
      </c>
      <c r="AEH41" s="20" t="n">
        <f aca="false">(ALH40-TU41+0)*(1+BQ41)</f>
        <v>0</v>
      </c>
      <c r="AEI41" s="20" t="n">
        <f aca="false">(ALI40-TV41+0)*(1+BQ41)</f>
        <v>0</v>
      </c>
      <c r="AEJ41" s="20" t="n">
        <f aca="false">(ALJ40-TW41+0)*(1+BQ41)</f>
        <v>3213.20262251775</v>
      </c>
      <c r="AEK41" s="20" t="n">
        <f aca="false">(ALK40-TX41+0)*(1+BQ41)</f>
        <v>5763.16080579481</v>
      </c>
      <c r="AEL41" s="20" t="n">
        <f aca="false">(ALL40-TY41+0)*(1+BQ41)</f>
        <v>5652.33079029876</v>
      </c>
      <c r="AEM41" s="20" t="n">
        <f aca="false">(ALM40-TZ41+0)*(1+BQ41)</f>
        <v>5543.63212125455</v>
      </c>
      <c r="AEN41" s="20" t="n">
        <f aca="false">(ALN40-UA41+0)*(1+BQ41)</f>
        <v>5437.02381123043</v>
      </c>
      <c r="AEO41" s="20" t="n">
        <f aca="false">(ALO40-UB41+0)*(1+BQ41)</f>
        <v>5332.46566101445</v>
      </c>
      <c r="AEP41" s="20" t="n">
        <f aca="false">(ALP40-UC41+0)*(1+BQ41)</f>
        <v>5229.91824445649</v>
      </c>
      <c r="AEQ41" s="20" t="n">
        <f aca="false">(ALQ40-UD41+0)*(1+BQ41)</f>
        <v>5129.34289360156</v>
      </c>
      <c r="AER41" s="20" t="n">
        <f aca="false">(ALR40-UE41+0)*(1+BQ41)</f>
        <v>76102.1931749101</v>
      </c>
      <c r="AES41" s="20" t="n">
        <f aca="false">(ALS40-UF41+0)*(1+BQ41)</f>
        <v>0</v>
      </c>
      <c r="AET41" s="20" t="n">
        <f aca="false">(ALT40-UG41+0)*(1+BQ41)</f>
        <v>0</v>
      </c>
      <c r="AEU41" s="20" t="n">
        <f aca="false">(ALU40-UH41+0)*(1+BQ41)</f>
        <v>2188.31571733299</v>
      </c>
      <c r="AEV41" s="20" t="n">
        <f aca="false">(ALV40-UI41+0)*(1+BQ41)</f>
        <v>0</v>
      </c>
      <c r="AEW41" s="20" t="n">
        <f aca="false">(ALW40-UJ41+0)*(1+BQ41)</f>
        <v>0</v>
      </c>
      <c r="AEX41" s="20" t="n">
        <f aca="false">(ALX40-UK41+0)*(1+BQ41)</f>
        <v>0</v>
      </c>
      <c r="AEY41" s="20" t="n">
        <f aca="false">(ALY40-UL41+0)*(1+BQ41)</f>
        <v>0</v>
      </c>
      <c r="AEZ41" s="20" t="n">
        <f aca="false">((P41+S41)-UM41+BE41)*(1+BQ41)</f>
        <v>0</v>
      </c>
      <c r="AFA41" s="20" t="n">
        <v>0</v>
      </c>
      <c r="AFB41" s="20" t="n">
        <v>0</v>
      </c>
      <c r="AFC41" s="20" t="n">
        <v>0</v>
      </c>
      <c r="AFD41" s="20" t="n">
        <v>0</v>
      </c>
      <c r="AFE41" s="20" t="n">
        <v>0</v>
      </c>
      <c r="AFF41" s="20" t="n">
        <v>0</v>
      </c>
      <c r="AFG41" s="20" t="n">
        <v>0</v>
      </c>
      <c r="AFH41" s="20" t="n">
        <v>0</v>
      </c>
      <c r="AFI41" s="20" t="n">
        <v>0</v>
      </c>
      <c r="AFJ41" s="20" t="n">
        <v>0</v>
      </c>
      <c r="AFK41" s="20" t="n">
        <v>0</v>
      </c>
      <c r="AFL41" s="20" t="n">
        <v>0</v>
      </c>
      <c r="AFM41" s="20" t="n">
        <v>0</v>
      </c>
      <c r="AFN41" s="20" t="n">
        <v>0</v>
      </c>
      <c r="AFO41" s="20" t="n">
        <v>0</v>
      </c>
      <c r="AFP41" s="20" t="n">
        <v>0</v>
      </c>
      <c r="AFQ41" s="20" t="n">
        <v>0</v>
      </c>
      <c r="AFR41" s="20" t="n">
        <v>0</v>
      </c>
      <c r="AFS41" s="20" t="n">
        <v>0</v>
      </c>
      <c r="AFT41" s="20" t="n">
        <v>0</v>
      </c>
      <c r="AFU41" s="20" t="n">
        <v>0</v>
      </c>
      <c r="AFV41" s="20" t="n">
        <v>0</v>
      </c>
      <c r="AFW41" s="20" t="n">
        <v>0</v>
      </c>
      <c r="AFX41" s="20" t="n">
        <v>0</v>
      </c>
      <c r="AFY41" s="20" t="n">
        <v>0</v>
      </c>
      <c r="AFZ41" s="20" t="n">
        <v>0</v>
      </c>
      <c r="AGA41" s="20" t="n">
        <v>0</v>
      </c>
      <c r="AGB41" s="20" t="n">
        <v>0</v>
      </c>
      <c r="AGC41" s="20" t="n">
        <v>0</v>
      </c>
      <c r="AGD41" s="20" t="n">
        <v>0</v>
      </c>
      <c r="AGE41" s="20" t="n">
        <v>0</v>
      </c>
      <c r="AGF41" s="20" t="n">
        <v>0</v>
      </c>
      <c r="AGG41" s="20" t="n">
        <v>0</v>
      </c>
      <c r="AGH41" s="20" t="n">
        <v>0</v>
      </c>
      <c r="AGI41" s="20" t="n">
        <v>0</v>
      </c>
      <c r="AGJ41" s="20" t="n">
        <v>0</v>
      </c>
      <c r="AGK41" s="20" t="n">
        <v>0</v>
      </c>
      <c r="AGL41" s="20" t="n">
        <v>0</v>
      </c>
      <c r="AGM41" s="20" t="n">
        <v>0</v>
      </c>
      <c r="AGN41" s="20" t="n">
        <v>0</v>
      </c>
      <c r="AGO41" s="20" t="n">
        <v>0</v>
      </c>
      <c r="AGP41" s="20" t="n">
        <v>0</v>
      </c>
      <c r="AGQ41" s="20" t="n">
        <v>0</v>
      </c>
      <c r="AGR41" s="20" t="n">
        <v>0</v>
      </c>
      <c r="AGS41" s="20" t="n">
        <v>0</v>
      </c>
      <c r="AGT41" s="20" t="n">
        <v>0</v>
      </c>
      <c r="AGU41" s="20" t="n">
        <v>0</v>
      </c>
      <c r="AGV41" s="20" t="n">
        <v>0</v>
      </c>
      <c r="AGW41" s="20" t="n">
        <v>0</v>
      </c>
      <c r="AGX41" s="20" t="n">
        <v>0</v>
      </c>
      <c r="AGY41" s="20" t="n">
        <v>0</v>
      </c>
      <c r="AGZ41" s="20" t="n">
        <v>0</v>
      </c>
      <c r="AHA41" s="20" t="n">
        <v>0</v>
      </c>
      <c r="AHB41" s="20" t="n">
        <v>0</v>
      </c>
      <c r="AHC41" s="20" t="n">
        <v>0</v>
      </c>
      <c r="AHD41" s="20" t="n">
        <v>0</v>
      </c>
      <c r="AHE41" s="20" t="n">
        <f aca="false">IF(AKR40&gt;0,AOE40-AOE40*TE41/AKR40,0)+0</f>
        <v>0</v>
      </c>
      <c r="AHF41" s="20" t="n">
        <f aca="false">IF(AKS40&gt;0,AOF40-AOF40*TF41/AKS40,0)+0</f>
        <v>0</v>
      </c>
      <c r="AHG41" s="20" t="n">
        <f aca="false">IF(AKT40&gt;0,AOG40-AOG40*TG41/AKT40,0)+0</f>
        <v>0</v>
      </c>
      <c r="AHH41" s="20" t="n">
        <f aca="false">IF(AKU40&gt;0,AOH40-AOH40*TH41/AKU40,0)+0</f>
        <v>0</v>
      </c>
      <c r="AHI41" s="20" t="n">
        <f aca="false">IF(AKV40&gt;0,AOI40-AOI40*TI41/AKV40,0)+0</f>
        <v>0</v>
      </c>
      <c r="AHJ41" s="20" t="n">
        <f aca="false">IF(AKW40&gt;0,AOJ40-AOJ40*TJ41/AKW40,0)+0</f>
        <v>0</v>
      </c>
      <c r="AHK41" s="20" t="n">
        <f aca="false">IF(AKX40&gt;0,AOK40-AOK40*TK41/AKX40,0)+0</f>
        <v>0</v>
      </c>
      <c r="AHL41" s="20" t="n">
        <f aca="false">IF(AKY40&gt;0,AOL40-AOL40*TL41/AKY40,0)+0</f>
        <v>0</v>
      </c>
      <c r="AHM41" s="20" t="n">
        <f aca="false">IF(AKZ40&gt;0,AOM40-AOM40*TM41/AKZ40,0)+0</f>
        <v>0</v>
      </c>
      <c r="AHN41" s="20" t="n">
        <f aca="false">IF(ALA40&gt;0,AON40-AON40*TN41/ALA40,0)+0</f>
        <v>0</v>
      </c>
      <c r="AHO41" s="20" t="n">
        <f aca="false">IF(ALB40&gt;0,AOO40-AOO40*TO41/ALB40,0)+0</f>
        <v>0</v>
      </c>
      <c r="AHP41" s="20" t="n">
        <f aca="false">IF(ALC40&gt;0,AOP40-AOP40*TP41/ALC40,0)+0</f>
        <v>0</v>
      </c>
      <c r="AHQ41" s="20" t="n">
        <f aca="false">IF(ALD40&gt;0,AOQ40-AOQ40*TQ41/ALD40,0)+0</f>
        <v>0</v>
      </c>
      <c r="AHR41" s="20" t="n">
        <f aca="false">IF(ALE40&gt;0,AOR40-AOR40*TR41/ALE40,0)+0</f>
        <v>0</v>
      </c>
      <c r="AHS41" s="20" t="n">
        <f aca="false">IF(ALF40&gt;0,AOS40-AOS40*TS41/ALF40,0)+0</f>
        <v>0</v>
      </c>
      <c r="AHT41" s="20" t="n">
        <f aca="false">IF(ALG40&gt;0,AOT40-AOT40*TT41/ALG40,0)+0</f>
        <v>0</v>
      </c>
      <c r="AHU41" s="20" t="n">
        <f aca="false">IF(ALH40&gt;0,AOU40-AOU40*TU41/ALH40,0)+0</f>
        <v>0</v>
      </c>
      <c r="AHV41" s="20" t="n">
        <f aca="false">IF(ALI40&gt;0,AOV40-AOV40*TV41/ALI40,0)+0</f>
        <v>0</v>
      </c>
      <c r="AHW41" s="20" t="n">
        <f aca="false">IF(ALJ40&gt;0,AOW40-AOW40*TW41/ALJ40,0)+0</f>
        <v>3089.61790626707</v>
      </c>
      <c r="AHX41" s="20" t="n">
        <f aca="false">IF(ALK40&gt;0,AOX40-AOX40*TX41/ALK40,0)+0</f>
        <v>4211.08515064561</v>
      </c>
      <c r="AHY41" s="20" t="n">
        <f aca="false">IF(ALL40&gt;0,AOY40-AOY40*TY41/ALL40,0)+0</f>
        <v>4295.30685365853</v>
      </c>
      <c r="AHZ41" s="20" t="n">
        <f aca="false">IF(ALM40&gt;0,AOZ40-AOZ40*TZ41/ALM40,0)+0</f>
        <v>4381.21299073169</v>
      </c>
      <c r="AIA41" s="20" t="n">
        <f aca="false">IF(ALN40&gt;0,APA40-APA40*UA41/ALN40,0)+0</f>
        <v>4468.83725054633</v>
      </c>
      <c r="AIB41" s="20" t="n">
        <f aca="false">IF(ALO40&gt;0,APB40-APB40*UB41/ALO40,0)+0</f>
        <v>4558.21399555725</v>
      </c>
      <c r="AIC41" s="20" t="n">
        <f aca="false">IF(ALP40&gt;0,APC40-APC40*UC41/ALP40,0)+0</f>
        <v>4649.3782754684</v>
      </c>
      <c r="AID41" s="20" t="n">
        <f aca="false">IF(ALQ40&gt;0,APD40-APD40*UD41/ALQ40,0)+0</f>
        <v>4742.36584097777</v>
      </c>
      <c r="AIE41" s="20" t="n">
        <f aca="false">IF(ALR40&gt;0,APE40-APE40*UE41/ALR40,0)+0</f>
        <v>73175.1857451059</v>
      </c>
      <c r="AIF41" s="20" t="n">
        <f aca="false">IF(ALS40&gt;0,APF40-APF40*UF41/ALS40,0)+0</f>
        <v>0</v>
      </c>
      <c r="AIG41" s="20" t="n">
        <f aca="false">IF(ALT40&gt;0,APG40-APG40*UG41/ALT40,0)+0</f>
        <v>0</v>
      </c>
      <c r="AIH41" s="20" t="n">
        <f aca="false">IF(ALU40&gt;0,APH40-APH40*UH41/ALU40,0)+0</f>
        <v>1729.45769829184</v>
      </c>
      <c r="AII41" s="20" t="n">
        <f aca="false">IF(ALV40&gt;0,API40-API40*UI41/ALV40,0)+0</f>
        <v>0</v>
      </c>
      <c r="AIJ41" s="20" t="n">
        <f aca="false">IF(ALW40&gt;0,APJ40-APJ40*UJ41/ALW40,0)+0</f>
        <v>0</v>
      </c>
      <c r="AIK41" s="20" t="n">
        <f aca="false">IF(ALX40&gt;0,APK40-APK40*UK41/ALX40,0)+0</f>
        <v>0</v>
      </c>
      <c r="AIL41" s="20" t="n">
        <f aca="false">IF(ALY40&gt;0,APL40-APL40*UL41/ALY40,0)+0</f>
        <v>0</v>
      </c>
      <c r="AIM41" s="20" t="n">
        <f aca="false">IF((P41+S41)&gt;0,(P41+S41)-(P41+S41)*UM41/(P41+S41),0)+BE41</f>
        <v>0</v>
      </c>
      <c r="AIN41" s="20" t="n">
        <v>0</v>
      </c>
      <c r="AIO41" s="20" t="n">
        <v>0</v>
      </c>
      <c r="AIP41" s="20" t="n">
        <v>0</v>
      </c>
      <c r="AIQ41" s="20" t="n">
        <v>0</v>
      </c>
      <c r="AIR41" s="20" t="n">
        <v>0</v>
      </c>
      <c r="AIS41" s="20" t="n">
        <v>0</v>
      </c>
      <c r="AIT41" s="20" t="n">
        <v>0</v>
      </c>
      <c r="AIU41" s="20" t="n">
        <v>0</v>
      </c>
      <c r="AIV41" s="20" t="n">
        <v>0</v>
      </c>
      <c r="AIW41" s="20" t="n">
        <v>0</v>
      </c>
      <c r="AIX41" s="20" t="n">
        <v>0</v>
      </c>
      <c r="AIY41" s="20" t="n">
        <v>0</v>
      </c>
      <c r="AIZ41" s="20" t="n">
        <v>0</v>
      </c>
      <c r="AJA41" s="20" t="n">
        <v>0</v>
      </c>
      <c r="AJB41" s="20" t="n">
        <v>0</v>
      </c>
      <c r="AJC41" s="20" t="n">
        <v>0</v>
      </c>
      <c r="AJD41" s="20" t="n">
        <v>0</v>
      </c>
      <c r="AJE41" s="20" t="n">
        <v>0</v>
      </c>
      <c r="AJF41" s="20" t="n">
        <v>0</v>
      </c>
      <c r="AJG41" s="20" t="n">
        <v>0</v>
      </c>
      <c r="AJH41" s="20" t="n">
        <v>0</v>
      </c>
      <c r="AJI41" s="20" t="n">
        <v>0</v>
      </c>
      <c r="AJJ41" s="20" t="n">
        <v>0</v>
      </c>
      <c r="AJK41" s="20" t="n">
        <v>0</v>
      </c>
      <c r="AJL41" s="20" t="n">
        <v>0</v>
      </c>
      <c r="AJM41" s="20" t="n">
        <v>0</v>
      </c>
      <c r="AJN41" s="20" t="n">
        <v>0</v>
      </c>
      <c r="AJO41" s="20" t="n">
        <v>0</v>
      </c>
      <c r="AJP41" s="20" t="n">
        <v>0</v>
      </c>
      <c r="AJQ41" s="20" t="n">
        <v>0</v>
      </c>
      <c r="AJR41" s="20" t="n">
        <v>0</v>
      </c>
      <c r="AJS41" s="20" t="n">
        <v>0</v>
      </c>
      <c r="AJT41" s="20" t="n">
        <v>0</v>
      </c>
      <c r="AJU41" s="20" t="n">
        <v>0</v>
      </c>
      <c r="AJV41" s="20" t="n">
        <v>0</v>
      </c>
      <c r="AJW41" s="20" t="n">
        <v>0</v>
      </c>
      <c r="AJX41" s="20" t="n">
        <v>0</v>
      </c>
      <c r="AJY41" s="20" t="n">
        <v>0</v>
      </c>
      <c r="AJZ41" s="20" t="n">
        <v>0</v>
      </c>
      <c r="AKA41" s="20" t="n">
        <v>0</v>
      </c>
      <c r="AKB41" s="20" t="n">
        <v>0</v>
      </c>
      <c r="AKC41" s="20" t="n">
        <v>0</v>
      </c>
      <c r="AKD41" s="20" t="n">
        <v>0</v>
      </c>
      <c r="AKE41" s="20" t="n">
        <v>0</v>
      </c>
      <c r="AKF41" s="20" t="n">
        <v>0</v>
      </c>
      <c r="AKG41" s="20" t="n">
        <v>0</v>
      </c>
      <c r="AKH41" s="20" t="n">
        <v>0</v>
      </c>
      <c r="AKI41" s="20" t="n">
        <v>0</v>
      </c>
      <c r="AKJ41" s="20" t="n">
        <v>0</v>
      </c>
      <c r="AKK41" s="20" t="n">
        <v>0</v>
      </c>
      <c r="AKL41" s="20" t="n">
        <v>0</v>
      </c>
      <c r="AKM41" s="20" t="n">
        <v>0</v>
      </c>
      <c r="AKN41" s="20" t="n">
        <v>0</v>
      </c>
      <c r="AKO41" s="20" t="n">
        <v>0</v>
      </c>
      <c r="AKP41" s="20" t="n">
        <v>0</v>
      </c>
      <c r="AKQ41" s="20" t="n">
        <v>0</v>
      </c>
      <c r="AKR41" s="20" t="n">
        <f aca="false">ADR41-AVE41</f>
        <v>0</v>
      </c>
      <c r="AKS41" s="20" t="n">
        <f aca="false">ADS41-AVF41</f>
        <v>0</v>
      </c>
      <c r="AKT41" s="20" t="n">
        <f aca="false">ADT41-AVG41</f>
        <v>0</v>
      </c>
      <c r="AKU41" s="20" t="n">
        <f aca="false">ADU41-AVH41</f>
        <v>0</v>
      </c>
      <c r="AKV41" s="20" t="n">
        <f aca="false">ADV41-AVI41</f>
        <v>0</v>
      </c>
      <c r="AKW41" s="20" t="n">
        <f aca="false">ADW41-AVJ41</f>
        <v>0</v>
      </c>
      <c r="AKX41" s="20" t="n">
        <f aca="false">ADX41-AVK41</f>
        <v>0</v>
      </c>
      <c r="AKY41" s="20" t="n">
        <f aca="false">ADY41-AVL41</f>
        <v>0</v>
      </c>
      <c r="AKZ41" s="20" t="n">
        <f aca="false">ADZ41-AVM41</f>
        <v>0</v>
      </c>
      <c r="ALA41" s="20" t="n">
        <f aca="false">AEA41-AVN41</f>
        <v>0</v>
      </c>
      <c r="ALB41" s="20" t="n">
        <f aca="false">AEB41-AVO41</f>
        <v>0</v>
      </c>
      <c r="ALC41" s="20" t="n">
        <f aca="false">AEC41-AVP41</f>
        <v>0</v>
      </c>
      <c r="ALD41" s="20" t="n">
        <f aca="false">AED41-AVQ41</f>
        <v>0</v>
      </c>
      <c r="ALE41" s="20" t="n">
        <f aca="false">AEE41-AVR41</f>
        <v>0</v>
      </c>
      <c r="ALF41" s="20" t="n">
        <f aca="false">AEF41-AVS41</f>
        <v>0</v>
      </c>
      <c r="ALG41" s="20" t="n">
        <f aca="false">AEG41-AVT41</f>
        <v>0</v>
      </c>
      <c r="ALH41" s="20" t="n">
        <f aca="false">AEH41-AVU41</f>
        <v>0</v>
      </c>
      <c r="ALI41" s="20" t="n">
        <f aca="false">AEI41-AVV41</f>
        <v>0</v>
      </c>
      <c r="ALJ41" s="20" t="n">
        <f aca="false">AEJ41-AVW41</f>
        <v>3213.20262251775</v>
      </c>
      <c r="ALK41" s="20" t="n">
        <f aca="false">AEK41-AVX41</f>
        <v>5173.37205683812</v>
      </c>
      <c r="ALL41" s="20" t="n">
        <f aca="false">AEL41-AVY41</f>
        <v>5652.33079029876</v>
      </c>
      <c r="ALM41" s="20" t="n">
        <f aca="false">AEM41-AVZ41</f>
        <v>5543.63212125455</v>
      </c>
      <c r="ALN41" s="20" t="n">
        <f aca="false">AEN41-AWA41</f>
        <v>5437.02381123043</v>
      </c>
      <c r="ALO41" s="20" t="n">
        <f aca="false">AEO41-AWB41</f>
        <v>5332.46566101445</v>
      </c>
      <c r="ALP41" s="20" t="n">
        <f aca="false">AEP41-AWC41</f>
        <v>5229.91824445649</v>
      </c>
      <c r="ALQ41" s="20" t="n">
        <f aca="false">AEQ41-AWD41</f>
        <v>5129.34289360156</v>
      </c>
      <c r="ALR41" s="20" t="n">
        <f aca="false">AER41-AWE41</f>
        <v>76102.1931749101</v>
      </c>
      <c r="ALS41" s="20" t="n">
        <f aca="false">AES41-AWF41</f>
        <v>0</v>
      </c>
      <c r="ALT41" s="20" t="n">
        <f aca="false">AET41-AWG41</f>
        <v>0</v>
      </c>
      <c r="ALU41" s="20" t="n">
        <f aca="false">AEU41-AWH41</f>
        <v>2188.31571733299</v>
      </c>
      <c r="ALV41" s="20" t="n">
        <f aca="false">AEV41-AWI41</f>
        <v>0</v>
      </c>
      <c r="ALW41" s="20" t="n">
        <f aca="false">AEW41-AWJ41</f>
        <v>0</v>
      </c>
      <c r="ALX41" s="20" t="n">
        <f aca="false">AEX41-AWK41</f>
        <v>0</v>
      </c>
      <c r="ALY41" s="20" t="n">
        <f aca="false">AEY41-AWL41</f>
        <v>0</v>
      </c>
      <c r="ALZ41" s="20" t="n">
        <f aca="false">AEZ41-AWM41</f>
        <v>0</v>
      </c>
      <c r="AMA41" s="20" t="n">
        <v>0</v>
      </c>
      <c r="AMB41" s="20" t="n">
        <v>0</v>
      </c>
      <c r="AMC41" s="20" t="n">
        <v>0</v>
      </c>
      <c r="AMD41" s="20" t="n">
        <v>0</v>
      </c>
      <c r="AME41" s="20" t="n">
        <v>0</v>
      </c>
      <c r="AMF41" s="20" t="n">
        <v>0</v>
      </c>
      <c r="AMG41" s="20" t="n">
        <v>0</v>
      </c>
      <c r="AMH41" s="20" t="n">
        <v>0</v>
      </c>
      <c r="AMI41" s="20" t="n">
        <v>0</v>
      </c>
      <c r="AMJ41" s="20" t="n">
        <v>0</v>
      </c>
      <c r="AMK41" s="20" t="n">
        <v>0</v>
      </c>
      <c r="AML41" s="20" t="n">
        <v>0</v>
      </c>
      <c r="AMM41" s="20" t="n">
        <v>0</v>
      </c>
      <c r="AMN41" s="20" t="n">
        <v>0</v>
      </c>
      <c r="AMO41" s="20" t="n">
        <v>0</v>
      </c>
      <c r="AMP41" s="20" t="n">
        <v>0</v>
      </c>
      <c r="AMQ41" s="20" t="n">
        <v>0</v>
      </c>
      <c r="AMR41" s="20" t="n">
        <v>0</v>
      </c>
      <c r="AMS41" s="20" t="n">
        <v>0</v>
      </c>
      <c r="AMT41" s="20" t="n">
        <v>0</v>
      </c>
      <c r="AMU41" s="20" t="n">
        <v>0</v>
      </c>
      <c r="AMV41" s="20" t="n">
        <v>0</v>
      </c>
      <c r="AMW41" s="20" t="n">
        <v>0</v>
      </c>
      <c r="AMX41" s="20" t="n">
        <v>0</v>
      </c>
      <c r="AMY41" s="20" t="n">
        <v>0</v>
      </c>
      <c r="AMZ41" s="20" t="n">
        <v>0</v>
      </c>
      <c r="ANA41" s="20" t="n">
        <v>0</v>
      </c>
      <c r="ANB41" s="20" t="n">
        <v>0</v>
      </c>
      <c r="ANC41" s="20" t="n">
        <v>0</v>
      </c>
      <c r="AND41" s="20" t="n">
        <v>0</v>
      </c>
      <c r="ANE41" s="20" t="n">
        <v>0</v>
      </c>
      <c r="ANF41" s="20" t="n">
        <v>0</v>
      </c>
      <c r="ANG41" s="20" t="n">
        <v>0</v>
      </c>
      <c r="ANH41" s="20" t="n">
        <v>0</v>
      </c>
      <c r="ANI41" s="20" t="n">
        <v>0</v>
      </c>
      <c r="ANJ41" s="20" t="n">
        <v>0</v>
      </c>
      <c r="ANK41" s="20" t="n">
        <v>0</v>
      </c>
      <c r="ANL41" s="20" t="n">
        <v>0</v>
      </c>
      <c r="ANM41" s="20" t="n">
        <v>0</v>
      </c>
      <c r="ANN41" s="20" t="n">
        <v>0</v>
      </c>
      <c r="ANO41" s="20" t="n">
        <v>0</v>
      </c>
      <c r="ANP41" s="20" t="n">
        <v>0</v>
      </c>
      <c r="ANQ41" s="20" t="n">
        <v>0</v>
      </c>
      <c r="ANR41" s="20" t="n">
        <v>0</v>
      </c>
      <c r="ANS41" s="20" t="n">
        <v>0</v>
      </c>
      <c r="ANT41" s="20" t="n">
        <v>0</v>
      </c>
      <c r="ANU41" s="20" t="n">
        <v>0</v>
      </c>
      <c r="ANV41" s="20" t="n">
        <v>0</v>
      </c>
      <c r="ANW41" s="20" t="n">
        <v>0</v>
      </c>
      <c r="ANX41" s="20" t="n">
        <v>0</v>
      </c>
      <c r="ANY41" s="20" t="n">
        <v>0</v>
      </c>
      <c r="ANZ41" s="20" t="n">
        <v>0</v>
      </c>
      <c r="AOA41" s="20" t="n">
        <v>0</v>
      </c>
      <c r="AOB41" s="20" t="n">
        <v>0</v>
      </c>
      <c r="AOC41" s="20" t="n">
        <v>0</v>
      </c>
      <c r="AOD41" s="20" t="n">
        <v>0</v>
      </c>
      <c r="AOE41" s="20" t="n">
        <f aca="false">IF(AND(H_Direct=0,H_TaxEvt=1,ARR40+1&gt;=H_Deemed),AKR41,AHE41)</f>
        <v>0</v>
      </c>
      <c r="AOF41" s="20" t="n">
        <f aca="false">IF(AND(H_Direct=0,H_TaxEvt=1,ARS40+1&gt;=H_Deemed),AKS41,AHF41)</f>
        <v>0</v>
      </c>
      <c r="AOG41" s="20" t="n">
        <f aca="false">IF(AND(H_Direct=0,H_TaxEvt=1,ART40+1&gt;=H_Deemed),AKT41,AHG41)</f>
        <v>0</v>
      </c>
      <c r="AOH41" s="20" t="n">
        <f aca="false">IF(AND(H_Direct=0,H_TaxEvt=1,ARU40+1&gt;=H_Deemed),AKU41,AHH41)</f>
        <v>0</v>
      </c>
      <c r="AOI41" s="20" t="n">
        <f aca="false">IF(AND(H_Direct=0,H_TaxEvt=1,ARV40+1&gt;=H_Deemed),AKV41,AHI41)</f>
        <v>0</v>
      </c>
      <c r="AOJ41" s="20" t="n">
        <f aca="false">IF(AND(H_Direct=0,H_TaxEvt=1,ARW40+1&gt;=H_Deemed),AKW41,AHJ41)</f>
        <v>0</v>
      </c>
      <c r="AOK41" s="20" t="n">
        <f aca="false">IF(AND(H_Direct=0,H_TaxEvt=1,ARX40+1&gt;=H_Deemed),AKX41,AHK41)</f>
        <v>0</v>
      </c>
      <c r="AOL41" s="20" t="n">
        <f aca="false">IF(AND(H_Direct=0,H_TaxEvt=1,ARY40+1&gt;=H_Deemed),AKY41,AHL41)</f>
        <v>0</v>
      </c>
      <c r="AOM41" s="20" t="n">
        <f aca="false">IF(AND(H_Direct=0,H_TaxEvt=1,ARZ40+1&gt;=H_Deemed),AKZ41,AHM41)</f>
        <v>0</v>
      </c>
      <c r="AON41" s="20" t="n">
        <f aca="false">IF(AND(H_Direct=0,H_TaxEvt=1,ASA40+1&gt;=H_Deemed),ALA41,AHN41)</f>
        <v>0</v>
      </c>
      <c r="AOO41" s="20" t="n">
        <f aca="false">IF(AND(H_Direct=0,H_TaxEvt=1,ASB40+1&gt;=H_Deemed),ALB41,AHO41)</f>
        <v>0</v>
      </c>
      <c r="AOP41" s="20" t="n">
        <f aca="false">IF(AND(H_Direct=0,H_TaxEvt=1,ASC40+1&gt;=H_Deemed),ALC41,AHP41)</f>
        <v>0</v>
      </c>
      <c r="AOQ41" s="20" t="n">
        <f aca="false">IF(AND(H_Direct=0,H_TaxEvt=1,ASD40+1&gt;=H_Deemed),ALD41,AHQ41)</f>
        <v>0</v>
      </c>
      <c r="AOR41" s="20" t="n">
        <f aca="false">IF(AND(H_Direct=0,H_TaxEvt=1,ASE40+1&gt;=H_Deemed),ALE41,AHR41)</f>
        <v>0</v>
      </c>
      <c r="AOS41" s="20" t="n">
        <f aca="false">IF(AND(H_Direct=0,H_TaxEvt=1,ASF40+1&gt;=H_Deemed),ALF41,AHS41)</f>
        <v>0</v>
      </c>
      <c r="AOT41" s="20" t="n">
        <f aca="false">IF(AND(H_Direct=0,H_TaxEvt=1,ASG40+1&gt;=H_Deemed),ALG41,AHT41)</f>
        <v>0</v>
      </c>
      <c r="AOU41" s="20" t="n">
        <f aca="false">IF(AND(H_Direct=0,H_TaxEvt=1,ASH40+1&gt;=H_Deemed),ALH41,AHU41)</f>
        <v>0</v>
      </c>
      <c r="AOV41" s="20" t="n">
        <f aca="false">IF(AND(H_Direct=0,H_TaxEvt=1,ASI40+1&gt;=H_Deemed),ALI41,AHV41)</f>
        <v>0</v>
      </c>
      <c r="AOW41" s="20" t="n">
        <f aca="false">IF(AND(H_Direct=0,H_TaxEvt=1,ASJ40+1&gt;=H_Deemed),ALJ41,AHW41)</f>
        <v>3089.61790626707</v>
      </c>
      <c r="AOX41" s="20" t="n">
        <f aca="false">IF(AND(H_Direct=0,H_TaxEvt=1,ASK40+1&gt;=H_Deemed),ALK41,AHX41)</f>
        <v>5173.37205683812</v>
      </c>
      <c r="AOY41" s="20" t="n">
        <f aca="false">IF(AND(H_Direct=0,H_TaxEvt=1,ASL40+1&gt;=H_Deemed),ALL41,AHY41)</f>
        <v>4295.30685365853</v>
      </c>
      <c r="AOZ41" s="20" t="n">
        <f aca="false">IF(AND(H_Direct=0,H_TaxEvt=1,ASM40+1&gt;=H_Deemed),ALM41,AHZ41)</f>
        <v>4381.21299073169</v>
      </c>
      <c r="APA41" s="20" t="n">
        <f aca="false">IF(AND(H_Direct=0,H_TaxEvt=1,ASN40+1&gt;=H_Deemed),ALN41,AIA41)</f>
        <v>4468.83725054633</v>
      </c>
      <c r="APB41" s="20" t="n">
        <f aca="false">IF(AND(H_Direct=0,H_TaxEvt=1,ASO40+1&gt;=H_Deemed),ALO41,AIB41)</f>
        <v>4558.21399555725</v>
      </c>
      <c r="APC41" s="20" t="n">
        <f aca="false">IF(AND(H_Direct=0,H_TaxEvt=1,ASP40+1&gt;=H_Deemed),ALP41,AIC41)</f>
        <v>4649.3782754684</v>
      </c>
      <c r="APD41" s="20" t="n">
        <f aca="false">IF(AND(H_Direct=0,H_TaxEvt=1,ASQ40+1&gt;=H_Deemed),ALQ41,AID41)</f>
        <v>4742.36584097777</v>
      </c>
      <c r="APE41" s="20" t="n">
        <f aca="false">IF(AND(H_Direct=0,H_TaxEvt=1,ASR40+1&gt;=H_Deemed),ALR41,AIE41)</f>
        <v>73175.1857451059</v>
      </c>
      <c r="APF41" s="20" t="n">
        <f aca="false">IF(AND(H_Direct=0,H_TaxEvt=1,ASS40+1&gt;=H_Deemed),ALS41,AIF41)</f>
        <v>0</v>
      </c>
      <c r="APG41" s="20" t="n">
        <f aca="false">IF(AND(H_Direct=0,H_TaxEvt=1,AST40+1&gt;=H_Deemed),ALT41,AIG41)</f>
        <v>0</v>
      </c>
      <c r="APH41" s="20" t="n">
        <f aca="false">IF(AND(H_Direct=0,H_TaxEvt=1,ASU40+1&gt;=H_Deemed),ALU41,AIH41)</f>
        <v>1729.45769829184</v>
      </c>
      <c r="API41" s="20" t="n">
        <f aca="false">IF(AND(H_Direct=0,H_TaxEvt=1,ASV40+1&gt;=H_Deemed),ALV41,AII41)</f>
        <v>0</v>
      </c>
      <c r="APJ41" s="20" t="n">
        <f aca="false">IF(AND(H_Direct=0,H_TaxEvt=1,ASW40+1&gt;=H_Deemed),ALW41,AIJ41)</f>
        <v>0</v>
      </c>
      <c r="APK41" s="20" t="n">
        <f aca="false">IF(AND(H_Direct=0,H_TaxEvt=1,ASX40+1&gt;=H_Deemed),ALX41,AIK41)</f>
        <v>0</v>
      </c>
      <c r="APL41" s="20" t="n">
        <f aca="false">IF(AND(H_Direct=0,H_TaxEvt=1,ASY40+1&gt;=H_Deemed),ALY41,AIL41)</f>
        <v>0</v>
      </c>
      <c r="APM41" s="20" t="n">
        <f aca="false">IF(AND(H_Direct=0,H_TaxEvt=1,0+1&gt;=H_Deemed),ALZ41,AIM41)</f>
        <v>0</v>
      </c>
      <c r="APN41" s="20" t="n">
        <v>0</v>
      </c>
      <c r="APO41" s="20" t="n">
        <v>0</v>
      </c>
      <c r="APP41" s="20" t="n">
        <v>0</v>
      </c>
      <c r="APQ41" s="20" t="n">
        <v>0</v>
      </c>
      <c r="APR41" s="20" t="n">
        <v>0</v>
      </c>
      <c r="APS41" s="20" t="n">
        <v>0</v>
      </c>
      <c r="APT41" s="20" t="n">
        <v>0</v>
      </c>
      <c r="APU41" s="20" t="n">
        <v>0</v>
      </c>
      <c r="APV41" s="20" t="n">
        <v>0</v>
      </c>
      <c r="APW41" s="20" t="n">
        <v>0</v>
      </c>
      <c r="APX41" s="20" t="n">
        <v>0</v>
      </c>
      <c r="APY41" s="20" t="n">
        <v>0</v>
      </c>
      <c r="APZ41" s="20" t="n">
        <v>0</v>
      </c>
      <c r="AQA41" s="20" t="n">
        <v>0</v>
      </c>
      <c r="AQB41" s="20" t="n">
        <v>0</v>
      </c>
      <c r="AQC41" s="20" t="n">
        <v>0</v>
      </c>
      <c r="AQD41" s="20" t="n">
        <v>0</v>
      </c>
      <c r="AQE41" s="20" t="n">
        <v>0</v>
      </c>
      <c r="AQF41" s="20" t="n">
        <v>0</v>
      </c>
      <c r="AQG41" s="20" t="n">
        <v>0</v>
      </c>
      <c r="AQH41" s="20" t="n">
        <v>0</v>
      </c>
      <c r="AQI41" s="20" t="n">
        <v>0</v>
      </c>
      <c r="AQJ41" s="20" t="n">
        <v>0</v>
      </c>
      <c r="AQK41" s="20" t="n">
        <v>0</v>
      </c>
      <c r="AQL41" s="20" t="n">
        <v>0</v>
      </c>
      <c r="AQM41" s="20" t="n">
        <v>0</v>
      </c>
      <c r="AQN41" s="20" t="n">
        <v>0</v>
      </c>
      <c r="AQO41" s="20" t="n">
        <v>0</v>
      </c>
      <c r="AQP41" s="20" t="n">
        <v>0</v>
      </c>
      <c r="AQQ41" s="20" t="n">
        <v>0</v>
      </c>
      <c r="AQR41" s="20" t="n">
        <v>0</v>
      </c>
      <c r="AQS41" s="20" t="n">
        <v>0</v>
      </c>
      <c r="AQT41" s="20" t="n">
        <v>0</v>
      </c>
      <c r="AQU41" s="20" t="n">
        <v>0</v>
      </c>
      <c r="AQV41" s="20" t="n">
        <v>0</v>
      </c>
      <c r="AQW41" s="20" t="n">
        <v>0</v>
      </c>
      <c r="AQX41" s="20" t="n">
        <v>0</v>
      </c>
      <c r="AQY41" s="20" t="n">
        <v>0</v>
      </c>
      <c r="AQZ41" s="20" t="n">
        <v>0</v>
      </c>
      <c r="ARA41" s="20" t="n">
        <v>0</v>
      </c>
      <c r="ARB41" s="20" t="n">
        <v>0</v>
      </c>
      <c r="ARC41" s="20" t="n">
        <v>0</v>
      </c>
      <c r="ARD41" s="20" t="n">
        <v>0</v>
      </c>
      <c r="ARE41" s="20" t="n">
        <v>0</v>
      </c>
      <c r="ARF41" s="20" t="n">
        <v>0</v>
      </c>
      <c r="ARG41" s="20" t="n">
        <v>0</v>
      </c>
      <c r="ARH41" s="20" t="n">
        <v>0</v>
      </c>
      <c r="ARI41" s="20" t="n">
        <v>0</v>
      </c>
      <c r="ARJ41" s="20" t="n">
        <v>0</v>
      </c>
      <c r="ARK41" s="20" t="n">
        <v>0</v>
      </c>
      <c r="ARL41" s="20" t="n">
        <v>0</v>
      </c>
      <c r="ARM41" s="20" t="n">
        <v>0</v>
      </c>
      <c r="ARN41" s="20" t="n">
        <v>0</v>
      </c>
      <c r="ARO41" s="20" t="n">
        <v>0</v>
      </c>
      <c r="ARP41" s="20" t="n">
        <v>0</v>
      </c>
      <c r="ARQ41" s="20" t="n">
        <v>0</v>
      </c>
      <c r="ARR41" s="20" t="n">
        <f aca="false">IF(AND(H_Direct=0,H_TaxEvt=1),IF(ARR40+1&gt;=H_Deemed,0,ARR40+1),ARR40)</f>
        <v>2</v>
      </c>
      <c r="ARS41" s="20" t="n">
        <f aca="false">IF(AND(H_Direct=0,H_TaxEvt=1),IF(ARS40+1&gt;=H_Deemed,0,ARS40+1),ARS40)</f>
        <v>2</v>
      </c>
      <c r="ART41" s="20" t="n">
        <f aca="false">IF(AND(H_Direct=0,H_TaxEvt=1),IF(ART40+1&gt;=H_Deemed,0,ART40+1),ART40)</f>
        <v>1</v>
      </c>
      <c r="ARU41" s="20" t="n">
        <f aca="false">IF(AND(H_Direct=0,H_TaxEvt=1),IF(ARU40+1&gt;=H_Deemed,0,ARU40+1),ARU40)</f>
        <v>0</v>
      </c>
      <c r="ARV41" s="20" t="n">
        <f aca="false">IF(AND(H_Direct=0,H_TaxEvt=1),IF(ARV40+1&gt;=H_Deemed,0,ARV40+1),ARV40)</f>
        <v>7</v>
      </c>
      <c r="ARW41" s="20" t="n">
        <f aca="false">IF(AND(H_Direct=0,H_TaxEvt=1),IF(ARW40+1&gt;=H_Deemed,0,ARW40+1),ARW40)</f>
        <v>6</v>
      </c>
      <c r="ARX41" s="20" t="n">
        <f aca="false">IF(AND(H_Direct=0,H_TaxEvt=1),IF(ARX40+1&gt;=H_Deemed,0,ARX40+1),ARX40)</f>
        <v>5</v>
      </c>
      <c r="ARY41" s="20" t="n">
        <f aca="false">IF(AND(H_Direct=0,H_TaxEvt=1),IF(ARY40+1&gt;=H_Deemed,0,ARY40+1),ARY40)</f>
        <v>4</v>
      </c>
      <c r="ARZ41" s="20" t="n">
        <f aca="false">IF(AND(H_Direct=0,H_TaxEvt=1),IF(ARZ40+1&gt;=H_Deemed,0,ARZ40+1),ARZ40)</f>
        <v>3</v>
      </c>
      <c r="ASA41" s="20" t="n">
        <f aca="false">IF(AND(H_Direct=0,H_TaxEvt=1),IF(ASA40+1&gt;=H_Deemed,0,ASA40+1),ASA40)</f>
        <v>2</v>
      </c>
      <c r="ASB41" s="20" t="n">
        <f aca="false">IF(AND(H_Direct=0,H_TaxEvt=1),IF(ASB40+1&gt;=H_Deemed,0,ASB40+1),ASB40)</f>
        <v>1</v>
      </c>
      <c r="ASC41" s="20" t="n">
        <f aca="false">IF(AND(H_Direct=0,H_TaxEvt=1),IF(ASC40+1&gt;=H_Deemed,0,ASC40+1),ASC40)</f>
        <v>0</v>
      </c>
      <c r="ASD41" s="20" t="n">
        <f aca="false">IF(AND(H_Direct=0,H_TaxEvt=1),IF(ASD40+1&gt;=H_Deemed,0,ASD40+1),ASD40)</f>
        <v>7</v>
      </c>
      <c r="ASE41" s="20" t="n">
        <f aca="false">IF(AND(H_Direct=0,H_TaxEvt=1),IF(ASE40+1&gt;=H_Deemed,0,ASE40+1),ASE40)</f>
        <v>6</v>
      </c>
      <c r="ASF41" s="20" t="n">
        <f aca="false">IF(AND(H_Direct=0,H_TaxEvt=1),IF(ASF40+1&gt;=H_Deemed,0,ASF40+1),ASF40)</f>
        <v>5</v>
      </c>
      <c r="ASG41" s="20" t="n">
        <f aca="false">IF(AND(H_Direct=0,H_TaxEvt=1),IF(ASG40+1&gt;=H_Deemed,0,ASG40+1),ASG40)</f>
        <v>4</v>
      </c>
      <c r="ASH41" s="20" t="n">
        <f aca="false">IF(AND(H_Direct=0,H_TaxEvt=1),IF(ASH40+1&gt;=H_Deemed,0,ASH40+1),ASH40)</f>
        <v>3</v>
      </c>
      <c r="ASI41" s="20" t="n">
        <f aca="false">IF(AND(H_Direct=0,H_TaxEvt=1),IF(ASI40+1&gt;=H_Deemed,0,ASI40+1),ASI40)</f>
        <v>2</v>
      </c>
      <c r="ASJ41" s="20" t="n">
        <f aca="false">IF(AND(H_Direct=0,H_TaxEvt=1),IF(ASJ40+1&gt;=H_Deemed,0,ASJ40+1),ASJ40)</f>
        <v>1</v>
      </c>
      <c r="ASK41" s="20" t="n">
        <f aca="false">IF(AND(H_Direct=0,H_TaxEvt=1),IF(ASK40+1&gt;=H_Deemed,0,ASK40+1),ASK40)</f>
        <v>0</v>
      </c>
      <c r="ASL41" s="20" t="n">
        <f aca="false">IF(AND(H_Direct=0,H_TaxEvt=1),IF(ASL40+1&gt;=H_Deemed,0,ASL40+1),ASL40)</f>
        <v>7</v>
      </c>
      <c r="ASM41" s="20" t="n">
        <f aca="false">IF(AND(H_Direct=0,H_TaxEvt=1),IF(ASM40+1&gt;=H_Deemed,0,ASM40+1),ASM40)</f>
        <v>6</v>
      </c>
      <c r="ASN41" s="20" t="n">
        <f aca="false">IF(AND(H_Direct=0,H_TaxEvt=1),IF(ASN40+1&gt;=H_Deemed,0,ASN40+1),ASN40)</f>
        <v>5</v>
      </c>
      <c r="ASO41" s="20" t="n">
        <f aca="false">IF(AND(H_Direct=0,H_TaxEvt=1),IF(ASO40+1&gt;=H_Deemed,0,ASO40+1),ASO40)</f>
        <v>4</v>
      </c>
      <c r="ASP41" s="20" t="n">
        <f aca="false">IF(AND(H_Direct=0,H_TaxEvt=1),IF(ASP40+1&gt;=H_Deemed,0,ASP40+1),ASP40)</f>
        <v>3</v>
      </c>
      <c r="ASQ41" s="20" t="n">
        <f aca="false">IF(AND(H_Direct=0,H_TaxEvt=1),IF(ASQ40+1&gt;=H_Deemed,0,ASQ40+1),ASQ40)</f>
        <v>2</v>
      </c>
      <c r="ASR41" s="20" t="n">
        <f aca="false">IF(AND(H_Direct=0,H_TaxEvt=1),IF(ASR40+1&gt;=H_Deemed,0,ASR40+1),ASR40)</f>
        <v>1</v>
      </c>
      <c r="ASS41" s="20" t="n">
        <f aca="false">IF(AND(H_Direct=0,H_TaxEvt=1),IF(ASS40+1&gt;=H_Deemed,0,ASS40+1),ASS40)</f>
        <v>0</v>
      </c>
      <c r="AST41" s="20" t="n">
        <f aca="false">IF(AND(H_Direct=0,H_TaxEvt=1),IF(AST40+1&gt;=H_Deemed,0,AST40+1),AST40)</f>
        <v>7</v>
      </c>
      <c r="ASU41" s="20" t="n">
        <f aca="false">IF(AND(H_Direct=0,H_TaxEvt=1),IF(ASU40+1&gt;=H_Deemed,0,ASU40+1),ASU40)</f>
        <v>6</v>
      </c>
      <c r="ASV41" s="20" t="n">
        <f aca="false">IF(AND(H_Direct=0,H_TaxEvt=1),IF(ASV40+1&gt;=H_Deemed,0,ASV40+1),ASV40)</f>
        <v>5</v>
      </c>
      <c r="ASW41" s="20" t="n">
        <f aca="false">IF(AND(H_Direct=0,H_TaxEvt=1),IF(ASW40+1&gt;=H_Deemed,0,ASW40+1),ASW40)</f>
        <v>4</v>
      </c>
      <c r="ASX41" s="20" t="n">
        <f aca="false">IF(AND(H_Direct=0,H_TaxEvt=1),IF(ASX40+1&gt;=H_Deemed,0,ASX40+1),ASX40)</f>
        <v>3</v>
      </c>
      <c r="ASY41" s="20" t="n">
        <f aca="false">IF(AND(H_Direct=0,H_TaxEvt=1),IF(ASY40+1&gt;=H_Deemed,0,ASY40+1),ASY40)</f>
        <v>2</v>
      </c>
      <c r="ASZ41" s="20" t="n">
        <f aca="false">IF(AND(H_Direct=0,H_TaxEvt=1),IF(0+1&gt;=H_Deemed,0,0+1),0)</f>
        <v>1</v>
      </c>
      <c r="ATA41" s="20" t="n">
        <v>0</v>
      </c>
      <c r="ATB41" s="20" t="n">
        <v>0</v>
      </c>
      <c r="ATC41" s="20" t="n">
        <v>0</v>
      </c>
      <c r="ATD41" s="20" t="n">
        <v>0</v>
      </c>
      <c r="ATE41" s="20" t="n">
        <v>0</v>
      </c>
      <c r="ATF41" s="20" t="n">
        <v>0</v>
      </c>
      <c r="ATG41" s="20" t="n">
        <v>0</v>
      </c>
      <c r="ATH41" s="20" t="n">
        <v>0</v>
      </c>
      <c r="ATI41" s="20" t="n">
        <v>0</v>
      </c>
      <c r="ATJ41" s="20" t="n">
        <v>0</v>
      </c>
      <c r="ATK41" s="20" t="n">
        <v>0</v>
      </c>
      <c r="ATL41" s="20" t="n">
        <v>0</v>
      </c>
      <c r="ATM41" s="20" t="n">
        <v>0</v>
      </c>
      <c r="ATN41" s="20" t="n">
        <v>0</v>
      </c>
      <c r="ATO41" s="20" t="n">
        <v>0</v>
      </c>
      <c r="ATP41" s="20" t="n">
        <v>0</v>
      </c>
      <c r="ATQ41" s="20" t="n">
        <v>0</v>
      </c>
      <c r="ATR41" s="20" t="n">
        <v>0</v>
      </c>
      <c r="ATS41" s="20" t="n">
        <v>0</v>
      </c>
      <c r="ATT41" s="20" t="n">
        <v>0</v>
      </c>
      <c r="ATU41" s="20" t="n">
        <v>0</v>
      </c>
      <c r="ATV41" s="20" t="n">
        <v>0</v>
      </c>
      <c r="ATW41" s="20" t="n">
        <v>0</v>
      </c>
      <c r="ATX41" s="20" t="n">
        <v>0</v>
      </c>
      <c r="ATY41" s="20" t="n">
        <v>0</v>
      </c>
      <c r="ATZ41" s="20" t="n">
        <v>0</v>
      </c>
      <c r="AUA41" s="20" t="n">
        <v>0</v>
      </c>
      <c r="AUB41" s="20" t="n">
        <v>0</v>
      </c>
      <c r="AUC41" s="20" t="n">
        <v>0</v>
      </c>
      <c r="AUD41" s="20" t="n">
        <v>0</v>
      </c>
      <c r="AUE41" s="20" t="n">
        <v>0</v>
      </c>
      <c r="AUF41" s="20" t="n">
        <v>0</v>
      </c>
      <c r="AUG41" s="20" t="n">
        <v>0</v>
      </c>
      <c r="AUH41" s="20" t="n">
        <v>0</v>
      </c>
      <c r="AUI41" s="20" t="n">
        <v>0</v>
      </c>
      <c r="AUJ41" s="20" t="n">
        <v>0</v>
      </c>
      <c r="AUK41" s="20" t="n">
        <v>0</v>
      </c>
      <c r="AUL41" s="20" t="n">
        <v>0</v>
      </c>
      <c r="AUM41" s="20" t="n">
        <v>0</v>
      </c>
      <c r="AUN41" s="20" t="n">
        <v>0</v>
      </c>
      <c r="AUO41" s="20" t="n">
        <v>0</v>
      </c>
      <c r="AUP41" s="20" t="n">
        <v>0</v>
      </c>
      <c r="AUQ41" s="20" t="n">
        <v>0</v>
      </c>
      <c r="AUR41" s="20" t="n">
        <v>0</v>
      </c>
      <c r="AUS41" s="20" t="n">
        <v>0</v>
      </c>
      <c r="AUT41" s="20" t="n">
        <v>0</v>
      </c>
      <c r="AUU41" s="20" t="n">
        <v>0</v>
      </c>
      <c r="AUV41" s="20" t="n">
        <v>0</v>
      </c>
      <c r="AUW41" s="20" t="n">
        <v>0</v>
      </c>
      <c r="AUX41" s="20" t="n">
        <v>0</v>
      </c>
      <c r="AUY41" s="20" t="n">
        <v>0</v>
      </c>
      <c r="AUZ41" s="20" t="n">
        <v>0</v>
      </c>
      <c r="AVA41" s="20" t="n">
        <v>0</v>
      </c>
      <c r="AVB41" s="20" t="n">
        <v>0</v>
      </c>
      <c r="AVC41" s="20" t="n">
        <v>0</v>
      </c>
      <c r="AVD41" s="20" t="n">
        <v>0</v>
      </c>
      <c r="AVE41" s="20" t="n">
        <f aca="false">IF(AND(H_Direct=0,H_TaxEvt=1,ARR40+1&gt;=H_Deemed),MAX(0,ADR41-AHE41)*H_Exit,0)</f>
        <v>0</v>
      </c>
      <c r="AVF41" s="20" t="n">
        <f aca="false">IF(AND(H_Direct=0,H_TaxEvt=1,ARS40+1&gt;=H_Deemed),MAX(0,ADS41-AHF41)*H_Exit,0)</f>
        <v>0</v>
      </c>
      <c r="AVG41" s="20" t="n">
        <f aca="false">IF(AND(H_Direct=0,H_TaxEvt=1,ART40+1&gt;=H_Deemed),MAX(0,ADT41-AHG41)*H_Exit,0)</f>
        <v>0</v>
      </c>
      <c r="AVH41" s="20" t="n">
        <f aca="false">IF(AND(H_Direct=0,H_TaxEvt=1,ARU40+1&gt;=H_Deemed),MAX(0,ADU41-AHH41)*H_Exit,0)</f>
        <v>0</v>
      </c>
      <c r="AVI41" s="20" t="n">
        <f aca="false">IF(AND(H_Direct=0,H_TaxEvt=1,ARV40+1&gt;=H_Deemed),MAX(0,ADV41-AHI41)*H_Exit,0)</f>
        <v>0</v>
      </c>
      <c r="AVJ41" s="20" t="n">
        <f aca="false">IF(AND(H_Direct=0,H_TaxEvt=1,ARW40+1&gt;=H_Deemed),MAX(0,ADW41-AHJ41)*H_Exit,0)</f>
        <v>0</v>
      </c>
      <c r="AVK41" s="20" t="n">
        <f aca="false">IF(AND(H_Direct=0,H_TaxEvt=1,ARX40+1&gt;=H_Deemed),MAX(0,ADX41-AHK41)*H_Exit,0)</f>
        <v>0</v>
      </c>
      <c r="AVL41" s="20" t="n">
        <f aca="false">IF(AND(H_Direct=0,H_TaxEvt=1,ARY40+1&gt;=H_Deemed),MAX(0,ADY41-AHL41)*H_Exit,0)</f>
        <v>0</v>
      </c>
      <c r="AVM41" s="20" t="n">
        <f aca="false">IF(AND(H_Direct=0,H_TaxEvt=1,ARZ40+1&gt;=H_Deemed),MAX(0,ADZ41-AHM41)*H_Exit,0)</f>
        <v>0</v>
      </c>
      <c r="AVN41" s="20" t="n">
        <f aca="false">IF(AND(H_Direct=0,H_TaxEvt=1,ASA40+1&gt;=H_Deemed),MAX(0,AEA41-AHN41)*H_Exit,0)</f>
        <v>0</v>
      </c>
      <c r="AVO41" s="20" t="n">
        <f aca="false">IF(AND(H_Direct=0,H_TaxEvt=1,ASB40+1&gt;=H_Deemed),MAX(0,AEB41-AHO41)*H_Exit,0)</f>
        <v>0</v>
      </c>
      <c r="AVP41" s="20" t="n">
        <f aca="false">IF(AND(H_Direct=0,H_TaxEvt=1,ASC40+1&gt;=H_Deemed),MAX(0,AEC41-AHP41)*H_Exit,0)</f>
        <v>0</v>
      </c>
      <c r="AVQ41" s="20" t="n">
        <f aca="false">IF(AND(H_Direct=0,H_TaxEvt=1,ASD40+1&gt;=H_Deemed),MAX(0,AED41-AHQ41)*H_Exit,0)</f>
        <v>0</v>
      </c>
      <c r="AVR41" s="20" t="n">
        <f aca="false">IF(AND(H_Direct=0,H_TaxEvt=1,ASE40+1&gt;=H_Deemed),MAX(0,AEE41-AHR41)*H_Exit,0)</f>
        <v>0</v>
      </c>
      <c r="AVS41" s="20" t="n">
        <f aca="false">IF(AND(H_Direct=0,H_TaxEvt=1,ASF40+1&gt;=H_Deemed),MAX(0,AEF41-AHS41)*H_Exit,0)</f>
        <v>0</v>
      </c>
      <c r="AVT41" s="20" t="n">
        <f aca="false">IF(AND(H_Direct=0,H_TaxEvt=1,ASG40+1&gt;=H_Deemed),MAX(0,AEG41-AHT41)*H_Exit,0)</f>
        <v>0</v>
      </c>
      <c r="AVU41" s="20" t="n">
        <f aca="false">IF(AND(H_Direct=0,H_TaxEvt=1,ASH40+1&gt;=H_Deemed),MAX(0,AEH41-AHU41)*H_Exit,0)</f>
        <v>0</v>
      </c>
      <c r="AVV41" s="20" t="n">
        <f aca="false">IF(AND(H_Direct=0,H_TaxEvt=1,ASI40+1&gt;=H_Deemed),MAX(0,AEI41-AHV41)*H_Exit,0)</f>
        <v>0</v>
      </c>
      <c r="AVW41" s="20" t="n">
        <f aca="false">IF(AND(H_Direct=0,H_TaxEvt=1,ASJ40+1&gt;=H_Deemed),MAX(0,AEJ41-AHW41)*H_Exit,0)</f>
        <v>0</v>
      </c>
      <c r="AVX41" s="20" t="n">
        <f aca="false">IF(AND(H_Direct=0,H_TaxEvt=1,ASK40+1&gt;=H_Deemed),MAX(0,AEK41-AHX41)*H_Exit,0)</f>
        <v>589.788748956697</v>
      </c>
      <c r="AVY41" s="20" t="n">
        <f aca="false">IF(AND(H_Direct=0,H_TaxEvt=1,ASL40+1&gt;=H_Deemed),MAX(0,AEL41-AHY41)*H_Exit,0)</f>
        <v>0</v>
      </c>
      <c r="AVZ41" s="20" t="n">
        <f aca="false">IF(AND(H_Direct=0,H_TaxEvt=1,ASM40+1&gt;=H_Deemed),MAX(0,AEM41-AHZ41)*H_Exit,0)</f>
        <v>0</v>
      </c>
      <c r="AWA41" s="20" t="n">
        <f aca="false">IF(AND(H_Direct=0,H_TaxEvt=1,ASN40+1&gt;=H_Deemed),MAX(0,AEN41-AIA41)*H_Exit,0)</f>
        <v>0</v>
      </c>
      <c r="AWB41" s="20" t="n">
        <f aca="false">IF(AND(H_Direct=0,H_TaxEvt=1,ASO40+1&gt;=H_Deemed),MAX(0,AEO41-AIB41)*H_Exit,0)</f>
        <v>0</v>
      </c>
      <c r="AWC41" s="20" t="n">
        <f aca="false">IF(AND(H_Direct=0,H_TaxEvt=1,ASP40+1&gt;=H_Deemed),MAX(0,AEP41-AIC41)*H_Exit,0)</f>
        <v>0</v>
      </c>
      <c r="AWD41" s="20" t="n">
        <f aca="false">IF(AND(H_Direct=0,H_TaxEvt=1,ASQ40+1&gt;=H_Deemed),MAX(0,AEQ41-AID41)*H_Exit,0)</f>
        <v>0</v>
      </c>
      <c r="AWE41" s="20" t="n">
        <f aca="false">IF(AND(H_Direct=0,H_TaxEvt=1,ASR40+1&gt;=H_Deemed),MAX(0,AER41-AIE41)*H_Exit,0)</f>
        <v>0</v>
      </c>
      <c r="AWF41" s="20" t="n">
        <f aca="false">IF(AND(H_Direct=0,H_TaxEvt=1,ASS40+1&gt;=H_Deemed),MAX(0,AES41-AIF41)*H_Exit,0)</f>
        <v>0</v>
      </c>
      <c r="AWG41" s="20" t="n">
        <f aca="false">IF(AND(H_Direct=0,H_TaxEvt=1,AST40+1&gt;=H_Deemed),MAX(0,AET41-AIG41)*H_Exit,0)</f>
        <v>0</v>
      </c>
      <c r="AWH41" s="20" t="n">
        <f aca="false">IF(AND(H_Direct=0,H_TaxEvt=1,ASU40+1&gt;=H_Deemed),MAX(0,AEU41-AIH41)*H_Exit,0)</f>
        <v>0</v>
      </c>
      <c r="AWI41" s="20" t="n">
        <f aca="false">IF(AND(H_Direct=0,H_TaxEvt=1,ASV40+1&gt;=H_Deemed),MAX(0,AEV41-AII41)*H_Exit,0)</f>
        <v>0</v>
      </c>
      <c r="AWJ41" s="20" t="n">
        <f aca="false">IF(AND(H_Direct=0,H_TaxEvt=1,ASW40+1&gt;=H_Deemed),MAX(0,AEW41-AIJ41)*H_Exit,0)</f>
        <v>0</v>
      </c>
      <c r="AWK41" s="20" t="n">
        <f aca="false">IF(AND(H_Direct=0,H_TaxEvt=1,ASX40+1&gt;=H_Deemed),MAX(0,AEX41-AIK41)*H_Exit,0)</f>
        <v>0</v>
      </c>
      <c r="AWL41" s="20" t="n">
        <f aca="false">IF(AND(H_Direct=0,H_TaxEvt=1,ASY40+1&gt;=H_Deemed),MAX(0,AEY41-AIL41)*H_Exit,0)</f>
        <v>0</v>
      </c>
      <c r="AWM41" s="20" t="n">
        <f aca="false">IF(AND(H_Direct=0,H_TaxEvt=1,0+1&gt;=H_Deemed),MAX(0,AEZ41-AIM41)*H_Exit,0)</f>
        <v>0</v>
      </c>
      <c r="AWN41" s="20" t="n">
        <v>0</v>
      </c>
      <c r="AWO41" s="20" t="n">
        <v>0</v>
      </c>
      <c r="AWP41" s="20" t="n">
        <v>0</v>
      </c>
      <c r="AWQ41" s="20" t="n">
        <v>0</v>
      </c>
      <c r="AWR41" s="20" t="n">
        <v>0</v>
      </c>
      <c r="AWS41" s="20" t="n">
        <v>0</v>
      </c>
      <c r="AWT41" s="20" t="n">
        <v>0</v>
      </c>
      <c r="AWU41" s="20" t="n">
        <v>0</v>
      </c>
      <c r="AWV41" s="20" t="n">
        <v>0</v>
      </c>
      <c r="AWW41" s="20" t="n">
        <v>0</v>
      </c>
      <c r="AWX41" s="20" t="n">
        <v>0</v>
      </c>
      <c r="AWY41" s="20" t="n">
        <v>0</v>
      </c>
      <c r="AWZ41" s="20" t="n">
        <v>0</v>
      </c>
      <c r="AXA41" s="20" t="n">
        <v>0</v>
      </c>
      <c r="AXB41" s="20" t="n">
        <v>0</v>
      </c>
      <c r="AXC41" s="20" t="n">
        <v>0</v>
      </c>
      <c r="AXD41" s="20" t="n">
        <v>0</v>
      </c>
      <c r="AXE41" s="20" t="n">
        <v>0</v>
      </c>
      <c r="AXF41" s="20" t="n">
        <v>0</v>
      </c>
      <c r="AXG41" s="20" t="n">
        <v>0</v>
      </c>
      <c r="AXH41" s="20" t="n">
        <v>0</v>
      </c>
      <c r="AXI41" s="20" t="n">
        <v>0</v>
      </c>
      <c r="AXJ41" s="20" t="n">
        <v>0</v>
      </c>
      <c r="AXK41" s="20" t="n">
        <v>0</v>
      </c>
      <c r="AXL41" s="20" t="n">
        <v>0</v>
      </c>
      <c r="AXM41" s="20" t="n">
        <v>0</v>
      </c>
      <c r="AXN41" s="20" t="n">
        <v>0</v>
      </c>
      <c r="AXO41" s="20" t="n">
        <v>0</v>
      </c>
      <c r="AXP41" s="20" t="n">
        <v>0</v>
      </c>
      <c r="AXQ41" s="20" t="n">
        <v>0</v>
      </c>
      <c r="AXR41" s="20" t="n">
        <v>0</v>
      </c>
      <c r="AXS41" s="20" t="n">
        <v>0</v>
      </c>
      <c r="AXT41" s="20" t="n">
        <v>0</v>
      </c>
      <c r="AXU41" s="20" t="n">
        <v>0</v>
      </c>
      <c r="AXV41" s="20" t="n">
        <v>0</v>
      </c>
      <c r="AXW41" s="20" t="n">
        <v>0</v>
      </c>
      <c r="AXX41" s="20" t="n">
        <v>0</v>
      </c>
      <c r="AXY41" s="20" t="n">
        <v>0</v>
      </c>
      <c r="AXZ41" s="20" t="n">
        <v>0</v>
      </c>
      <c r="AYA41" s="20" t="n">
        <v>0</v>
      </c>
      <c r="AYB41" s="20" t="n">
        <v>0</v>
      </c>
      <c r="AYC41" s="20" t="n">
        <v>0</v>
      </c>
      <c r="AYD41" s="20" t="n">
        <v>0</v>
      </c>
      <c r="AYE41" s="20" t="n">
        <v>0</v>
      </c>
      <c r="AYF41" s="20" t="n">
        <v>0</v>
      </c>
      <c r="AYG41" s="20" t="n">
        <v>0</v>
      </c>
      <c r="AYH41" s="20" t="n">
        <v>0</v>
      </c>
      <c r="AYI41" s="20" t="n">
        <v>0</v>
      </c>
      <c r="AYJ41" s="20" t="n">
        <v>0</v>
      </c>
      <c r="AYK41" s="20" t="n">
        <v>0</v>
      </c>
      <c r="AYL41" s="20" t="n">
        <v>0</v>
      </c>
      <c r="AYM41" s="20" t="n">
        <v>0</v>
      </c>
      <c r="AYN41" s="20" t="n">
        <v>0</v>
      </c>
      <c r="AYO41" s="20" t="n">
        <v>0</v>
      </c>
      <c r="AYP41" s="20" t="n">
        <v>0</v>
      </c>
      <c r="AYQ41" s="20" t="n">
        <v>0</v>
      </c>
    </row>
    <row r="42" customFormat="false" ht="15" hidden="false" customHeight="false" outlineLevel="0" collapsed="false">
      <c r="B42" s="20" t="n">
        <v>34</v>
      </c>
      <c r="C42" s="20" t="n">
        <f aca="false">'Plan cashflow'!C42</f>
        <v>1</v>
      </c>
      <c r="D42" s="20" t="n">
        <f aca="false">'Plan cashflow'!D42</f>
        <v>72</v>
      </c>
      <c r="E42" s="20" t="n">
        <f aca="false">AS_Year0+34</f>
        <v>2060</v>
      </c>
      <c r="F42" s="50" t="n">
        <f aca="false">'Plan cashflow'!F42</f>
        <v>1.96067603202202</v>
      </c>
      <c r="G42" s="59" t="n">
        <f aca="true">IF(MAX(TODAY(),DATE(E42,1,1))&gt;=H_CGTfrom,H_CGT1,H_CGT0)</f>
        <v>0.31</v>
      </c>
      <c r="H42" s="20" t="n">
        <f aca="false">H_Exempt*H_Persons</f>
        <v>1270</v>
      </c>
      <c r="I42" s="20" t="n">
        <f aca="false">AX41</f>
        <v>0</v>
      </c>
      <c r="J42" s="60" t="n">
        <f aca="false">BF41</f>
        <v>0</v>
      </c>
      <c r="K42" s="60" t="n">
        <f aca="false">BG41</f>
        <v>0</v>
      </c>
      <c r="L42" s="20" t="n">
        <f aca="false">IF(AND(In_polLump&gt;0,In_polLumpAge&gt;0,D42=In_polLumpAge),In_polLump,0)</f>
        <v>0</v>
      </c>
      <c r="M42" s="20" t="n">
        <f aca="false">IF(AND(In_homeUse="Yes, I'd downsize",In_downAge&gt;0,D42=In_downAge,OR(In_home="Own outright",In_home="Own with mortgage"),In_homeValue&gt;0),MAX(0,MAX(0,In_homeValue-In_downValue)*F42*0.9-'Plan cashflow'!HR41),0)</f>
        <v>0</v>
      </c>
      <c r="N42" s="20" t="n">
        <f aca="false">'Plan pay &amp; tax'!Y268</f>
        <v>0</v>
      </c>
      <c r="O42" s="20" t="n">
        <f aca="false">L42+M42+(1-H_Sh)*N42</f>
        <v>0</v>
      </c>
      <c r="P42" s="20" t="n">
        <f aca="false">H_Sh*N42</f>
        <v>0</v>
      </c>
      <c r="Q42" s="20" t="n">
        <f aca="false">'Plan cashflow'!UL42</f>
        <v>0</v>
      </c>
      <c r="R42" s="20" t="n">
        <f aca="false">(1-H_Sh)*Q42</f>
        <v>0</v>
      </c>
      <c r="S42" s="20" t="n">
        <f aca="false">H_Sh*Q42</f>
        <v>0</v>
      </c>
      <c r="T42" s="20" t="n">
        <f aca="false">J42+K42+O42</f>
        <v>0</v>
      </c>
      <c r="U42" s="20" t="n">
        <f aca="false">T42+R42</f>
        <v>0</v>
      </c>
      <c r="V42" s="60" t="n">
        <f aca="false">SUM(FE42:IQ42)</f>
        <v>115681.03467105</v>
      </c>
      <c r="W42" s="60" t="n">
        <f aca="false">IF(AJ42&lt;=0,0,IF(AL42&lt;=0,AJ42,AJ42-G42*MAX(0,AL42*AJ42-(AY42+AZ42))))</f>
        <v>0</v>
      </c>
      <c r="X42" s="60" t="n">
        <f aca="false">IF(AR42&lt;=0,0,IF(AT42&lt;=0,AR42,AR42-G42*MAX(0,AT42*AR42-(BA42+BB42))))</f>
        <v>0</v>
      </c>
      <c r="Y42" s="60" t="n">
        <f aca="false">T42+V42-S42+W42+X42</f>
        <v>115681.03467105</v>
      </c>
      <c r="Z42" s="60" t="n">
        <f aca="false">'Plan cashflow'!UK42</f>
        <v>20383.8884285354</v>
      </c>
      <c r="AA42" s="20" t="n">
        <f aca="false">MIN(Z42,U42)</f>
        <v>0</v>
      </c>
      <c r="AB42" s="20" t="n">
        <f aca="false">Z42-AA42</f>
        <v>20383.8884285354</v>
      </c>
      <c r="AC42" s="20" t="n">
        <f aca="false">MIN(AA42,J42+O42+R42)</f>
        <v>0</v>
      </c>
      <c r="AD42" s="20" t="n">
        <f aca="false">AA42-AC42</f>
        <v>0</v>
      </c>
      <c r="AE42" s="20" t="n">
        <f aca="false">J42+O42+R42-AC42</f>
        <v>0</v>
      </c>
      <c r="AF42" s="20" t="n">
        <f aca="false">K42-AD42</f>
        <v>0</v>
      </c>
      <c r="AG42" s="20" t="n">
        <f aca="false">SUM(PR42:TD42)</f>
        <v>20383.8884285354</v>
      </c>
      <c r="AH42" s="20" t="n">
        <f aca="false">SUM(TE42:WQ42)</f>
        <v>21519.2948975286</v>
      </c>
      <c r="AI42" s="20" t="n">
        <f aca="false">MAX(0,AB42-AG42)</f>
        <v>0</v>
      </c>
      <c r="AJ42" s="57" t="n">
        <f aca="false">BI41</f>
        <v>0</v>
      </c>
      <c r="AK42" s="20" t="n">
        <f aca="false">BJ41</f>
        <v>0</v>
      </c>
      <c r="AL42" s="20" t="n">
        <f aca="false">IF(AJ42&gt;0,(AJ42-AK42)/AJ42,0)</f>
        <v>0</v>
      </c>
      <c r="AM42" s="20" t="n">
        <f aca="false">IF(AJ42&lt;=0,0,IF(AL42&lt;=0,MIN(AI42,AJ42),MIN(AI42,AJ42-G42*MAX(0,AL42*AJ42-(AAD42+ADQ42)))))</f>
        <v>0</v>
      </c>
      <c r="AN42" s="20" t="n">
        <f aca="false">IF(AJ42&lt;=0,0,IF(AL42&lt;=0,AM42,IF(AM42&lt;=(AAD42+ADQ42)/AL42,AM42,(AM42-G42*(AAD42+ADQ42))/(1-G42*AL42))))</f>
        <v>0</v>
      </c>
      <c r="AO42" s="20" t="n">
        <f aca="false">IF(AL42&gt;0,MAX(0,AAD42-(MIN(AL42*AN42,(AAD42+ADQ42))-MIN(MIN(AL42*AN42,(AAD42+ADQ42)),ADQ42))),AAD42)</f>
        <v>1270</v>
      </c>
      <c r="AP42" s="20" t="n">
        <f aca="false">IF(AL42&lt;=0,ADQ42-AL42*AN42,ADQ42-MIN(MIN(AL42*AN42,(AAD42+ADQ42)),ADQ42))</f>
        <v>0</v>
      </c>
      <c r="AQ42" s="20" t="n">
        <f aca="false">MAX(0,AI42-AM42)</f>
        <v>0</v>
      </c>
      <c r="AR42" s="57" t="n">
        <f aca="false">BK41</f>
        <v>0</v>
      </c>
      <c r="AS42" s="20" t="n">
        <f aca="false">BL41</f>
        <v>0</v>
      </c>
      <c r="AT42" s="20" t="n">
        <f aca="false">IF(AR42&gt;0,(AR42-AS42)/AR42,0)</f>
        <v>0</v>
      </c>
      <c r="AU42" s="20" t="n">
        <f aca="false">IF(AR42&lt;=0,0,IF(AT42&lt;=0,MIN(AQ42,AR42),MIN(AQ42,AR42-G42*MAX(0,AT42*AR42-(AO42+AP42)))))</f>
        <v>0</v>
      </c>
      <c r="AV42" s="20" t="n">
        <f aca="false">IF(AR42&lt;=0,0,IF(AT42&lt;=0,AU42,IF(AU42&lt;=(AO42+AP42)/AT42,AU42,(AU42-G42*(AO42+AP42))/(1-G42*AT42))))</f>
        <v>0</v>
      </c>
      <c r="AW42" s="20" t="n">
        <f aca="false">IF(AT42&gt;0,MAX(0,AO42-(MIN(AT42*AV42,(AO42+AP42))-MIN(MIN(AT42*AV42,(AO42+AP42)),AP42))),AO42)</f>
        <v>1270</v>
      </c>
      <c r="AX42" s="20" t="n">
        <f aca="false">IF(AT42&lt;=0,AP42-AT42*AV42,AP42-MIN(MIN(AT42*AV42,(AO42+AP42)),AP42))</f>
        <v>0</v>
      </c>
      <c r="AY42" s="20" t="n">
        <f aca="false">MD42</f>
        <v>1270</v>
      </c>
      <c r="AZ42" s="20" t="n">
        <f aca="false">PQ42</f>
        <v>0</v>
      </c>
      <c r="BA42" s="20" t="n">
        <f aca="false">IF(AL42&gt;0,MAX(0,AY42-(MIN(AL42*AJ42,AY42+AZ42)-MIN(MIN(AL42*AJ42,AY42+AZ42),AZ42))),AY42)</f>
        <v>1270</v>
      </c>
      <c r="BB42" s="20" t="n">
        <f aca="false">IF(AL42&lt;=0,AZ42-AL42*AJ42,AZ42-MIN(MIN(AL42*AJ42,AY42+AZ42),AZ42))</f>
        <v>0</v>
      </c>
      <c r="BC42" s="20" t="n">
        <f aca="false">'Plan cashflow'!UM42</f>
        <v>0</v>
      </c>
      <c r="BD42" s="20" t="n">
        <f aca="false">(1-H_Sh)*BC42</f>
        <v>0</v>
      </c>
      <c r="BE42" s="20" t="n">
        <f aca="false">H_Sh*BC42</f>
        <v>0</v>
      </c>
      <c r="BF42" s="60" t="n">
        <f aca="false">(AE42+BD42)*(1+AS_Cash)</f>
        <v>0</v>
      </c>
      <c r="BG42" s="60" t="n">
        <f aca="false">AF42*(1+AS_Cash)</f>
        <v>0</v>
      </c>
      <c r="BH42" s="60" t="n">
        <f aca="false">SUM(AKR42:AOD42)</f>
        <v>101381.802283764</v>
      </c>
      <c r="BI42" s="60" t="n">
        <f aca="false">(AJ42-AN42)*(1+AS_Infl)</f>
        <v>0</v>
      </c>
      <c r="BJ42" s="20" t="n">
        <f aca="false">IF(AJ42&gt;0,AK42-AK42*AN42/AJ42,0)</f>
        <v>0</v>
      </c>
      <c r="BK42" s="60" t="n">
        <f aca="false">(AR42-AV42)*(1+BQ42)</f>
        <v>0</v>
      </c>
      <c r="BL42" s="20" t="n">
        <f aca="false">IF(AR42&gt;0,AS42-AS42*AV42/AR42,0)</f>
        <v>0</v>
      </c>
      <c r="BM42" s="60" t="n">
        <f aca="false">BF42+BG42+BH42+BI42+BK42</f>
        <v>101381.802283764</v>
      </c>
      <c r="BN42" s="60" t="n">
        <f aca="false">(AH42-AG42)+(AN42-AM42)+(AV42-AU42)</f>
        <v>1135.40646899321</v>
      </c>
      <c r="BO42" s="20" t="n">
        <f aca="false">(AE42+BD42+AF42+MAX(0,'Plan cashflow'!QH42)+IF(Slot1_Rate=AS_Cash,'Plan cashflow'!QM42/(1+AS_Cash),0)+IF(Slot2_Rate=AS_Cash,'Plan cashflow'!QQ42/(1+AS_Cash),0)+IF(Slot3_Rate=AS_Cash,'Plan cashflow'!QU42/(1+AS_Cash),0)+IF(Slot4_Rate=AS_Cash,'Plan cashflow'!QY42/(1+AS_Cash),0)+IF(Slot5_Rate=AS_Cash,'Plan cashflow'!RC42/(1+AS_Cash),0)+IF(Slot6_Rate=AS_Cash,'Plan cashflow'!RG42/(1+AS_Cash),0)+IF(Slot7_Rate=AS_Cash,'Plan cashflow'!RK42/(1+AS_Cash),0)+IF(Slot8_Rate=AS_Cash,'Plan cashflow'!RO42/(1+AS_Cash),0)+IF(Slot9_Rate=AS_Cash,'Plan cashflow'!RS42/(1+AS_Cash),0)+IF(Slot10_Rate=AS_Cash,'Plan cashflow'!RW42/(1+AS_Cash),0)+IF(Slot11_Rate=AS_Cash,'Plan cashflow'!SA42/(1+AS_Cash),0)+IF(Slot12_Rate=AS_Cash,'Plan cashflow'!SE42/(1+AS_Cash),0)+IF(Slot13_Rate=AS_Cash,'Plan cashflow'!SI42/(1+AS_Cash),0)+IF(Slot14_Rate=AS_Cash,'Plan cashflow'!SM42/(1+AS_Cash),0)+IF(Slot15_Rate=AS_Cash,'Plan cashflow'!SQ42/(1+AS_Cash),0)+IF(Slot16_Rate=AS_Cash,'Plan cashflow'!SU42/(1+AS_Cash),0)+IF(Slot17_Rate=AS_Cash,'Plan cashflow'!SY42/(1+AS_Cash),0)+IF(Slot18_Rate=AS_Cash,'Plan cashflow'!TC42/(1+AS_Cash),0)+IF(Slot19_Rate=AS_Cash,'Plan cashflow'!TG42/(1+AS_Cash),0)+IF(Slot20_Rate=AS_Cash,'Plan cashflow'!TK42/(1+AS_Cash),0))*AS_Cash*H_DIRT/(1-H_DIRT)</f>
        <v>77.0558968745814</v>
      </c>
      <c r="BP42" s="60" t="n">
        <f aca="false">SUM(AVE42:AYQ42)</f>
        <v>0</v>
      </c>
      <c r="BQ42" s="54" t="n">
        <f aca="false">IF(H_TaxEvt=1,H_InvG,AS_Inv)</f>
        <v>0.04</v>
      </c>
      <c r="BR42" s="20" t="n">
        <f aca="false">IF(AKR41&gt;0,(AKR41-AOE41)/AKR41,0)</f>
        <v>0</v>
      </c>
      <c r="BS42" s="20" t="n">
        <f aca="false">IF(AKS41&gt;0,(AKS41-AOF41)/AKS41,0)</f>
        <v>0</v>
      </c>
      <c r="BT42" s="20" t="n">
        <f aca="false">IF(AKT41&gt;0,(AKT41-AOG41)/AKT41,0)</f>
        <v>0</v>
      </c>
      <c r="BU42" s="20" t="n">
        <f aca="false">IF(AKU41&gt;0,(AKU41-AOH41)/AKU41,0)</f>
        <v>0</v>
      </c>
      <c r="BV42" s="20" t="n">
        <f aca="false">IF(AKV41&gt;0,(AKV41-AOI41)/AKV41,0)</f>
        <v>0</v>
      </c>
      <c r="BW42" s="20" t="n">
        <f aca="false">IF(AKW41&gt;0,(AKW41-AOJ41)/AKW41,0)</f>
        <v>0</v>
      </c>
      <c r="BX42" s="20" t="n">
        <f aca="false">IF(AKX41&gt;0,(AKX41-AOK41)/AKX41,0)</f>
        <v>0</v>
      </c>
      <c r="BY42" s="20" t="n">
        <f aca="false">IF(AKY41&gt;0,(AKY41-AOL41)/AKY41,0)</f>
        <v>0</v>
      </c>
      <c r="BZ42" s="20" t="n">
        <f aca="false">IF(AKZ41&gt;0,(AKZ41-AOM41)/AKZ41,0)</f>
        <v>0</v>
      </c>
      <c r="CA42" s="20" t="n">
        <f aca="false">IF(ALA41&gt;0,(ALA41-AON41)/ALA41,0)</f>
        <v>0</v>
      </c>
      <c r="CB42" s="20" t="n">
        <f aca="false">IF(ALB41&gt;0,(ALB41-AOO41)/ALB41,0)</f>
        <v>0</v>
      </c>
      <c r="CC42" s="20" t="n">
        <f aca="false">IF(ALC41&gt;0,(ALC41-AOP41)/ALC41,0)</f>
        <v>0</v>
      </c>
      <c r="CD42" s="20" t="n">
        <f aca="false">IF(ALD41&gt;0,(ALD41-AOQ41)/ALD41,0)</f>
        <v>0</v>
      </c>
      <c r="CE42" s="20" t="n">
        <f aca="false">IF(ALE41&gt;0,(ALE41-AOR41)/ALE41,0)</f>
        <v>0</v>
      </c>
      <c r="CF42" s="20" t="n">
        <f aca="false">IF(ALF41&gt;0,(ALF41-AOS41)/ALF41,0)</f>
        <v>0</v>
      </c>
      <c r="CG42" s="20" t="n">
        <f aca="false">IF(ALG41&gt;0,(ALG41-AOT41)/ALG41,0)</f>
        <v>0</v>
      </c>
      <c r="CH42" s="20" t="n">
        <f aca="false">IF(ALH41&gt;0,(ALH41-AOU41)/ALH41,0)</f>
        <v>0</v>
      </c>
      <c r="CI42" s="20" t="n">
        <f aca="false">IF(ALI41&gt;0,(ALI41-AOV41)/ALI41,0)</f>
        <v>0</v>
      </c>
      <c r="CJ42" s="20" t="n">
        <f aca="false">IF(ALJ41&gt;0,(ALJ41-AOW41)/ALJ41,0)</f>
        <v>0.0384615384615386</v>
      </c>
      <c r="CK42" s="20" t="n">
        <f aca="false">IF(ALK41&gt;0,(ALK41-AOX41)/ALK41,0)</f>
        <v>0</v>
      </c>
      <c r="CL42" s="20" t="n">
        <f aca="false">IF(ALL41&gt;0,(ALL41-AOY41)/ALL41,0)</f>
        <v>0.240082186797937</v>
      </c>
      <c r="CM42" s="20" t="n">
        <f aca="false">IF(ALM41&gt;0,(ALM41-AOZ41)/ALM41,0)</f>
        <v>0.209685474269854</v>
      </c>
      <c r="CN42" s="20" t="n">
        <f aca="false">IF(ALN41&gt;0,(ALN41-APA41)/ALN41,0)</f>
        <v>0.178072893240648</v>
      </c>
      <c r="CO42" s="20" t="n">
        <f aca="false">IF(ALO41&gt;0,(ALO41-APB41)/ALO41,0)</f>
        <v>0.145195808970274</v>
      </c>
      <c r="CP42" s="20" t="n">
        <f aca="false">IF(ALP41&gt;0,(ALP41-APC41)/ALP41,0)</f>
        <v>0.111003641329085</v>
      </c>
      <c r="CQ42" s="20" t="n">
        <f aca="false">IF(ALQ41&gt;0,(ALQ41-APD41)/ALQ41,0)</f>
        <v>0.0754437869822486</v>
      </c>
      <c r="CR42" s="20" t="n">
        <f aca="false">IF(ALR41&gt;0,(ALR41-APE41)/ALR41,0)</f>
        <v>0.0384615384615384</v>
      </c>
      <c r="CS42" s="20" t="n">
        <f aca="false">IF(ALS41&gt;0,(ALS41-APF41)/ALS41,0)</f>
        <v>0</v>
      </c>
      <c r="CT42" s="20" t="n">
        <f aca="false">IF(ALT41&gt;0,(ALT41-APG41)/ALT41,0)</f>
        <v>0</v>
      </c>
      <c r="CU42" s="20" t="n">
        <f aca="false">IF(ALU41&gt;0,(ALU41-APH41)/ALU41,0)</f>
        <v>0.209685474269854</v>
      </c>
      <c r="CV42" s="20" t="n">
        <f aca="false">IF(ALV41&gt;0,(ALV41-API41)/ALV41,0)</f>
        <v>0</v>
      </c>
      <c r="CW42" s="20" t="n">
        <f aca="false">IF(ALW41&gt;0,(ALW41-APJ41)/ALW41,0)</f>
        <v>0</v>
      </c>
      <c r="CX42" s="20" t="n">
        <f aca="false">IF(ALX41&gt;0,(ALX41-APK41)/ALX41,0)</f>
        <v>0</v>
      </c>
      <c r="CY42" s="20" t="n">
        <f aca="false">IF(ALY41&gt;0,(ALY41-APL41)/ALY41,0)</f>
        <v>0</v>
      </c>
      <c r="CZ42" s="20" t="n">
        <f aca="false">IF(ALZ41&gt;0,(ALZ41-APM41)/ALZ41,0)</f>
        <v>0</v>
      </c>
      <c r="DA42" s="20" t="n">
        <f aca="false">IF((P42+S42)&gt;0,((P42+S42)-(P42+S42))/(P42+S42),0)</f>
        <v>0</v>
      </c>
      <c r="DB42" s="20" t="n">
        <v>0</v>
      </c>
      <c r="DC42" s="20" t="n">
        <v>0</v>
      </c>
      <c r="DD42" s="20" t="n">
        <v>0</v>
      </c>
      <c r="DE42" s="20" t="n">
        <v>0</v>
      </c>
      <c r="DF42" s="20" t="n">
        <v>0</v>
      </c>
      <c r="DG42" s="20" t="n">
        <v>0</v>
      </c>
      <c r="DH42" s="20" t="n">
        <v>0</v>
      </c>
      <c r="DI42" s="20" t="n">
        <v>0</v>
      </c>
      <c r="DJ42" s="20" t="n">
        <v>0</v>
      </c>
      <c r="DK42" s="20" t="n">
        <v>0</v>
      </c>
      <c r="DL42" s="20" t="n">
        <v>0</v>
      </c>
      <c r="DM42" s="20" t="n">
        <v>0</v>
      </c>
      <c r="DN42" s="20" t="n">
        <v>0</v>
      </c>
      <c r="DO42" s="20" t="n">
        <v>0</v>
      </c>
      <c r="DP42" s="20" t="n">
        <v>0</v>
      </c>
      <c r="DQ42" s="20" t="n">
        <v>0</v>
      </c>
      <c r="DR42" s="20" t="n">
        <v>0</v>
      </c>
      <c r="DS42" s="20" t="n">
        <v>0</v>
      </c>
      <c r="DT42" s="20" t="n">
        <v>0</v>
      </c>
      <c r="DU42" s="20" t="n">
        <v>0</v>
      </c>
      <c r="DV42" s="20" t="n">
        <v>0</v>
      </c>
      <c r="DW42" s="20" t="n">
        <v>0</v>
      </c>
      <c r="DX42" s="20" t="n">
        <v>0</v>
      </c>
      <c r="DY42" s="20" t="n">
        <v>0</v>
      </c>
      <c r="DZ42" s="20" t="n">
        <v>0</v>
      </c>
      <c r="EA42" s="20" t="n">
        <v>0</v>
      </c>
      <c r="EB42" s="20" t="n">
        <v>0</v>
      </c>
      <c r="EC42" s="20" t="n">
        <v>0</v>
      </c>
      <c r="ED42" s="20" t="n">
        <v>0</v>
      </c>
      <c r="EE42" s="20" t="n">
        <v>0</v>
      </c>
      <c r="EF42" s="20" t="n">
        <v>0</v>
      </c>
      <c r="EG42" s="20" t="n">
        <v>0</v>
      </c>
      <c r="EH42" s="20" t="n">
        <v>0</v>
      </c>
      <c r="EI42" s="20" t="n">
        <v>0</v>
      </c>
      <c r="EJ42" s="20" t="n">
        <v>0</v>
      </c>
      <c r="EK42" s="20" t="n">
        <v>0</v>
      </c>
      <c r="EL42" s="20" t="n">
        <v>0</v>
      </c>
      <c r="EM42" s="20" t="n">
        <v>0</v>
      </c>
      <c r="EN42" s="20" t="n">
        <v>0</v>
      </c>
      <c r="EO42" s="20" t="n">
        <v>0</v>
      </c>
      <c r="EP42" s="20" t="n">
        <v>0</v>
      </c>
      <c r="EQ42" s="20" t="n">
        <v>0</v>
      </c>
      <c r="ER42" s="20" t="n">
        <v>0</v>
      </c>
      <c r="ES42" s="20" t="n">
        <v>0</v>
      </c>
      <c r="ET42" s="20" t="n">
        <v>0</v>
      </c>
      <c r="EU42" s="20" t="n">
        <v>0</v>
      </c>
      <c r="EV42" s="20" t="n">
        <v>0</v>
      </c>
      <c r="EW42" s="20" t="n">
        <v>0</v>
      </c>
      <c r="EX42" s="20" t="n">
        <v>0</v>
      </c>
      <c r="EY42" s="20" t="n">
        <v>0</v>
      </c>
      <c r="EZ42" s="20" t="n">
        <v>0</v>
      </c>
      <c r="FA42" s="20" t="n">
        <v>0</v>
      </c>
      <c r="FB42" s="20" t="n">
        <v>0</v>
      </c>
      <c r="FC42" s="20" t="n">
        <v>0</v>
      </c>
      <c r="FD42" s="20" t="n">
        <v>0</v>
      </c>
      <c r="FE42" s="20" t="n">
        <f aca="false">IF(H_Direct=1,IF(AKR41&lt;=0,0,IF(BR42&lt;=0,AKR41,AKR41-G42*MAX(0,BR42*AKR41-(H42+I42)))),AKR41*(1-MAX(0,BR42)*H_Exit))</f>
        <v>0</v>
      </c>
      <c r="FF42" s="20" t="n">
        <f aca="false">IF(H_Direct=1,IF(AKS41&lt;=0,0,IF(BS42&lt;=0,AKS41,AKS41-G42*MAX(0,BS42*AKS41-(IR42+ME42)))),AKS41*(1-MAX(0,BS42)*H_Exit))</f>
        <v>0</v>
      </c>
      <c r="FG42" s="20" t="n">
        <f aca="false">IF(H_Direct=1,IF(AKT41&lt;=0,0,IF(BT42&lt;=0,AKT41,AKT41-G42*MAX(0,BT42*AKT41-(IS42+MF42)))),AKT41*(1-MAX(0,BT42)*H_Exit))</f>
        <v>0</v>
      </c>
      <c r="FH42" s="20" t="n">
        <f aca="false">IF(H_Direct=1,IF(AKU41&lt;=0,0,IF(BU42&lt;=0,AKU41,AKU41-G42*MAX(0,BU42*AKU41-(IT42+MG42)))),AKU41*(1-MAX(0,BU42)*H_Exit))</f>
        <v>0</v>
      </c>
      <c r="FI42" s="20" t="n">
        <f aca="false">IF(H_Direct=1,IF(AKV41&lt;=0,0,IF(BV42&lt;=0,AKV41,AKV41-G42*MAX(0,BV42*AKV41-(IU42+MH42)))),AKV41*(1-MAX(0,BV42)*H_Exit))</f>
        <v>0</v>
      </c>
      <c r="FJ42" s="20" t="n">
        <f aca="false">IF(H_Direct=1,IF(AKW41&lt;=0,0,IF(BW42&lt;=0,AKW41,AKW41-G42*MAX(0,BW42*AKW41-(IV42+MI42)))),AKW41*(1-MAX(0,BW42)*H_Exit))</f>
        <v>0</v>
      </c>
      <c r="FK42" s="20" t="n">
        <f aca="false">IF(H_Direct=1,IF(AKX41&lt;=0,0,IF(BX42&lt;=0,AKX41,AKX41-G42*MAX(0,BX42*AKX41-(IW42+MJ42)))),AKX41*(1-MAX(0,BX42)*H_Exit))</f>
        <v>0</v>
      </c>
      <c r="FL42" s="20" t="n">
        <f aca="false">IF(H_Direct=1,IF(AKY41&lt;=0,0,IF(BY42&lt;=0,AKY41,AKY41-G42*MAX(0,BY42*AKY41-(IX42+MK42)))),AKY41*(1-MAX(0,BY42)*H_Exit))</f>
        <v>0</v>
      </c>
      <c r="FM42" s="20" t="n">
        <f aca="false">IF(H_Direct=1,IF(AKZ41&lt;=0,0,IF(BZ42&lt;=0,AKZ41,AKZ41-G42*MAX(0,BZ42*AKZ41-(IY42+ML42)))),AKZ41*(1-MAX(0,BZ42)*H_Exit))</f>
        <v>0</v>
      </c>
      <c r="FN42" s="20" t="n">
        <f aca="false">IF(H_Direct=1,IF(ALA41&lt;=0,0,IF(CA42&lt;=0,ALA41,ALA41-G42*MAX(0,CA42*ALA41-(IZ42+MM42)))),ALA41*(1-MAX(0,CA42)*H_Exit))</f>
        <v>0</v>
      </c>
      <c r="FO42" s="20" t="n">
        <f aca="false">IF(H_Direct=1,IF(ALB41&lt;=0,0,IF(CB42&lt;=0,ALB41,ALB41-G42*MAX(0,CB42*ALB41-(JA42+MN42)))),ALB41*(1-MAX(0,CB42)*H_Exit))</f>
        <v>0</v>
      </c>
      <c r="FP42" s="20" t="n">
        <f aca="false">IF(H_Direct=1,IF(ALC41&lt;=0,0,IF(CC42&lt;=0,ALC41,ALC41-G42*MAX(0,CC42*ALC41-(JB42+MO42)))),ALC41*(1-MAX(0,CC42)*H_Exit))</f>
        <v>0</v>
      </c>
      <c r="FQ42" s="20" t="n">
        <f aca="false">IF(H_Direct=1,IF(ALD41&lt;=0,0,IF(CD42&lt;=0,ALD41,ALD41-G42*MAX(0,CD42*ALD41-(JC42+MP42)))),ALD41*(1-MAX(0,CD42)*H_Exit))</f>
        <v>0</v>
      </c>
      <c r="FR42" s="20" t="n">
        <f aca="false">IF(H_Direct=1,IF(ALE41&lt;=0,0,IF(CE42&lt;=0,ALE41,ALE41-G42*MAX(0,CE42*ALE41-(JD42+MQ42)))),ALE41*(1-MAX(0,CE42)*H_Exit))</f>
        <v>0</v>
      </c>
      <c r="FS42" s="20" t="n">
        <f aca="false">IF(H_Direct=1,IF(ALF41&lt;=0,0,IF(CF42&lt;=0,ALF41,ALF41-G42*MAX(0,CF42*ALF41-(JE42+MR42)))),ALF41*(1-MAX(0,CF42)*H_Exit))</f>
        <v>0</v>
      </c>
      <c r="FT42" s="20" t="n">
        <f aca="false">IF(H_Direct=1,IF(ALG41&lt;=0,0,IF(CG42&lt;=0,ALG41,ALG41-G42*MAX(0,CG42*ALG41-(JF42+MS42)))),ALG41*(1-MAX(0,CG42)*H_Exit))</f>
        <v>0</v>
      </c>
      <c r="FU42" s="20" t="n">
        <f aca="false">IF(H_Direct=1,IF(ALH41&lt;=0,0,IF(CH42&lt;=0,ALH41,ALH41-G42*MAX(0,CH42*ALH41-(JG42+MT42)))),ALH41*(1-MAX(0,CH42)*H_Exit))</f>
        <v>0</v>
      </c>
      <c r="FV42" s="20" t="n">
        <f aca="false">IF(H_Direct=1,IF(ALI41&lt;=0,0,IF(CI42&lt;=0,ALI41,ALI41-G42*MAX(0,CI42*ALI41-(JH42+MU42)))),ALI41*(1-MAX(0,CI42)*H_Exit))</f>
        <v>0</v>
      </c>
      <c r="FW42" s="20" t="n">
        <f aca="false">IF(H_Direct=1,IF(ALJ41&lt;=0,0,IF(CJ42&lt;=0,ALJ41,ALJ41-G42*MAX(0,CJ42*ALJ41-(JI42+MV42)))),ALJ41*(1-MAX(0,CJ42)*H_Exit))</f>
        <v>3166.24043034249</v>
      </c>
      <c r="FX42" s="20" t="n">
        <f aca="false">IF(H_Direct=1,IF(ALK41&lt;=0,0,IF(CK42&lt;=0,ALK41,ALK41-G42*MAX(0,CK42*ALK41-(JJ42+MW42)))),ALK41*(1-MAX(0,CK42)*H_Exit))</f>
        <v>5173.37205683812</v>
      </c>
      <c r="FY42" s="20" t="n">
        <f aca="false">IF(H_Direct=1,IF(ALL41&lt;=0,0,IF(CL42&lt;=0,ALL41,ALL41-G42*MAX(0,CL42*ALL41-(JK42+MX42)))),ALL41*(1-MAX(0,CL42)*H_Exit))</f>
        <v>5136.66169437547</v>
      </c>
      <c r="FZ42" s="20" t="n">
        <f aca="false">IF(H_Direct=1,IF(ALM41&lt;=0,0,IF(CM42&lt;=0,ALM41,ALM41-G42*MAX(0,CM42*ALM41-(JL42+MY42)))),ALM41*(1-MAX(0,CM42)*H_Exit))</f>
        <v>5101.91285165587</v>
      </c>
      <c r="GA42" s="20" t="n">
        <f aca="false">IF(H_Direct=1,IF(ALN41&lt;=0,0,IF(CN42&lt;=0,ALN41,ALN41-G42*MAX(0,CN42*ALN41-(JM42+MZ42)))),ALN41*(1-MAX(0,CN42)*H_Exit))</f>
        <v>5069.11291817047</v>
      </c>
      <c r="GB42" s="20" t="n">
        <f aca="false">IF(H_Direct=1,IF(ALO41&lt;=0,0,IF(CO42&lt;=0,ALO41,ALO41-G42*MAX(0,CO42*ALO41-(JN42+NA42)))),ALO41*(1-MAX(0,CO42)*H_Exit))</f>
        <v>5038.25002814072</v>
      </c>
      <c r="GC42" s="20" t="n">
        <f aca="false">IF(H_Direct=1,IF(ALP41&lt;=0,0,IF(CP42&lt;=0,ALP41,ALP41-G42*MAX(0,CP42*ALP41-(JO42+NB42)))),ALP41*(1-MAX(0,CP42)*H_Exit))</f>
        <v>5009.31305624102</v>
      </c>
      <c r="GD42" s="20" t="n">
        <f aca="false">IF(H_Direct=1,IF(ALQ41&lt;=0,0,IF(CQ42&lt;=0,ALQ41,ALQ41-G42*MAX(0,CQ42*ALQ41-(JP42+NC42)))),ALQ41*(1-MAX(0,CQ42)*H_Exit))</f>
        <v>4982.29161360452</v>
      </c>
      <c r="GE42" s="20" t="n">
        <f aca="false">IF(H_Direct=1,IF(ALR41&lt;=0,0,IF(CR42&lt;=0,ALR41,ALR41-G42*MAX(0,CR42*ALR41-(JQ42+ND42)))),ALR41*(1-MAX(0,CR42)*H_Exit))</f>
        <v>74989.9303515845</v>
      </c>
      <c r="GF42" s="20" t="n">
        <f aca="false">IF(H_Direct=1,IF(ALS41&lt;=0,0,IF(CS42&lt;=0,ALS41,ALS41-G42*MAX(0,CS42*ALS41-(JR42+NE42)))),ALS41*(1-MAX(0,CS42)*H_Exit))</f>
        <v>0</v>
      </c>
      <c r="GG42" s="20" t="n">
        <f aca="false">IF(H_Direct=1,IF(ALT41&lt;=0,0,IF(CT42&lt;=0,ALT41,ALT41-G42*MAX(0,CT42*ALT41-(JS42+NF42)))),ALT41*(1-MAX(0,CT42)*H_Exit))</f>
        <v>0</v>
      </c>
      <c r="GH42" s="20" t="n">
        <f aca="false">IF(H_Direct=1,IF(ALU41&lt;=0,0,IF(CU42&lt;=0,ALU41,ALU41-G42*MAX(0,CU42*ALU41-(JT42+NG42)))),ALU41*(1-MAX(0,CU42)*H_Exit))</f>
        <v>2013.94967009735</v>
      </c>
      <c r="GI42" s="20" t="n">
        <f aca="false">IF(H_Direct=1,IF(ALV41&lt;=0,0,IF(CV42&lt;=0,ALV41,ALV41-G42*MAX(0,CV42*ALV41-(JU42+NH42)))),ALV41*(1-MAX(0,CV42)*H_Exit))</f>
        <v>0</v>
      </c>
      <c r="GJ42" s="20" t="n">
        <f aca="false">IF(H_Direct=1,IF(ALW41&lt;=0,0,IF(CW42&lt;=0,ALW41,ALW41-G42*MAX(0,CW42*ALW41-(JV42+NI42)))),ALW41*(1-MAX(0,CW42)*H_Exit))</f>
        <v>0</v>
      </c>
      <c r="GK42" s="20" t="n">
        <f aca="false">IF(H_Direct=1,IF(ALX41&lt;=0,0,IF(CX42&lt;=0,ALX41,ALX41-G42*MAX(0,CX42*ALX41-(JW42+NJ42)))),ALX41*(1-MAX(0,CX42)*H_Exit))</f>
        <v>0</v>
      </c>
      <c r="GL42" s="20" t="n">
        <f aca="false">IF(H_Direct=1,IF(ALY41&lt;=0,0,IF(CY42&lt;=0,ALY41,ALY41-G42*MAX(0,CY42*ALY41-(JX42+NK42)))),ALY41*(1-MAX(0,CY42)*H_Exit))</f>
        <v>0</v>
      </c>
      <c r="GM42" s="20" t="n">
        <f aca="false">IF(H_Direct=1,IF(ALZ41&lt;=0,0,IF(CZ42&lt;=0,ALZ41,ALZ41-G42*MAX(0,CZ42*ALZ41-(JY42+NL42)))),ALZ41*(1-MAX(0,CZ42)*H_Exit))</f>
        <v>0</v>
      </c>
      <c r="GN42" s="20" t="n">
        <f aca="false">IF(H_Direct=1,IF((P42+S42)&lt;=0,0,IF(DA42&lt;=0,(P42+S42),(P42+S42)-G42*MAX(0,DA42*(P42+S42)-(JZ42+NM42)))),(P42+S42)*(1-MAX(0,DA42)*H_Exit))</f>
        <v>0</v>
      </c>
      <c r="GO42" s="20" t="n">
        <v>0</v>
      </c>
      <c r="GP42" s="20" t="n">
        <v>0</v>
      </c>
      <c r="GQ42" s="20" t="n">
        <v>0</v>
      </c>
      <c r="GR42" s="20" t="n">
        <v>0</v>
      </c>
      <c r="GS42" s="20" t="n">
        <v>0</v>
      </c>
      <c r="GT42" s="20" t="n">
        <v>0</v>
      </c>
      <c r="GU42" s="20" t="n">
        <v>0</v>
      </c>
      <c r="GV42" s="20" t="n">
        <v>0</v>
      </c>
      <c r="GW42" s="20" t="n">
        <v>0</v>
      </c>
      <c r="GX42" s="20" t="n">
        <v>0</v>
      </c>
      <c r="GY42" s="20" t="n">
        <v>0</v>
      </c>
      <c r="GZ42" s="20" t="n">
        <v>0</v>
      </c>
      <c r="HA42" s="20" t="n">
        <v>0</v>
      </c>
      <c r="HB42" s="20" t="n">
        <v>0</v>
      </c>
      <c r="HC42" s="20" t="n">
        <v>0</v>
      </c>
      <c r="HD42" s="20" t="n">
        <v>0</v>
      </c>
      <c r="HE42" s="20" t="n">
        <v>0</v>
      </c>
      <c r="HF42" s="20" t="n">
        <v>0</v>
      </c>
      <c r="HG42" s="20" t="n">
        <v>0</v>
      </c>
      <c r="HH42" s="20" t="n">
        <v>0</v>
      </c>
      <c r="HI42" s="20" t="n">
        <v>0</v>
      </c>
      <c r="HJ42" s="20" t="n">
        <v>0</v>
      </c>
      <c r="HK42" s="20" t="n">
        <v>0</v>
      </c>
      <c r="HL42" s="20" t="n">
        <v>0</v>
      </c>
      <c r="HM42" s="20" t="n">
        <v>0</v>
      </c>
      <c r="HN42" s="20" t="n">
        <v>0</v>
      </c>
      <c r="HO42" s="20" t="n">
        <v>0</v>
      </c>
      <c r="HP42" s="20" t="n">
        <v>0</v>
      </c>
      <c r="HQ42" s="20" t="n">
        <v>0</v>
      </c>
      <c r="HR42" s="20" t="n">
        <v>0</v>
      </c>
      <c r="HS42" s="20" t="n">
        <v>0</v>
      </c>
      <c r="HT42" s="20" t="n">
        <v>0</v>
      </c>
      <c r="HU42" s="20" t="n">
        <v>0</v>
      </c>
      <c r="HV42" s="20" t="n">
        <v>0</v>
      </c>
      <c r="HW42" s="20" t="n">
        <v>0</v>
      </c>
      <c r="HX42" s="20" t="n">
        <v>0</v>
      </c>
      <c r="HY42" s="20" t="n">
        <v>0</v>
      </c>
      <c r="HZ42" s="20" t="n">
        <v>0</v>
      </c>
      <c r="IA42" s="20" t="n">
        <v>0</v>
      </c>
      <c r="IB42" s="20" t="n">
        <v>0</v>
      </c>
      <c r="IC42" s="20" t="n">
        <v>0</v>
      </c>
      <c r="ID42" s="20" t="n">
        <v>0</v>
      </c>
      <c r="IE42" s="20" t="n">
        <v>0</v>
      </c>
      <c r="IF42" s="20" t="n">
        <v>0</v>
      </c>
      <c r="IG42" s="20" t="n">
        <v>0</v>
      </c>
      <c r="IH42" s="20" t="n">
        <v>0</v>
      </c>
      <c r="II42" s="20" t="n">
        <v>0</v>
      </c>
      <c r="IJ42" s="20" t="n">
        <v>0</v>
      </c>
      <c r="IK42" s="20" t="n">
        <v>0</v>
      </c>
      <c r="IL42" s="20" t="n">
        <v>0</v>
      </c>
      <c r="IM42" s="20" t="n">
        <v>0</v>
      </c>
      <c r="IN42" s="20" t="n">
        <v>0</v>
      </c>
      <c r="IO42" s="20" t="n">
        <v>0</v>
      </c>
      <c r="IP42" s="20" t="n">
        <v>0</v>
      </c>
      <c r="IQ42" s="20" t="n">
        <v>0</v>
      </c>
      <c r="IR42" s="20" t="n">
        <f aca="false">IF(AND(H_Direct=1,BR42&gt;0),MAX(0,H42-(MIN(BR42*AKR41,H42+I42)-MIN(MIN(BR42*AKR41,H42+I42),I42))),H42)</f>
        <v>1270</v>
      </c>
      <c r="IS42" s="20" t="n">
        <f aca="false">IF(AND(H_Direct=1,BS42&gt;0),MAX(0,IR42-(MIN(BS42*AKS41,IR42+ME42)-MIN(MIN(BS42*AKS41,IR42+ME42),ME42))),IR42)</f>
        <v>1270</v>
      </c>
      <c r="IT42" s="20" t="n">
        <f aca="false">IF(AND(H_Direct=1,BT42&gt;0),MAX(0,IS42-(MIN(BT42*AKT41,IS42+MF42)-MIN(MIN(BT42*AKT41,IS42+MF42),MF42))),IS42)</f>
        <v>1270</v>
      </c>
      <c r="IU42" s="20" t="n">
        <f aca="false">IF(AND(H_Direct=1,BU42&gt;0),MAX(0,IT42-(MIN(BU42*AKU41,IT42+MG42)-MIN(MIN(BU42*AKU41,IT42+MG42),MG42))),IT42)</f>
        <v>1270</v>
      </c>
      <c r="IV42" s="20" t="n">
        <f aca="false">IF(AND(H_Direct=1,BV42&gt;0),MAX(0,IU42-(MIN(BV42*AKV41,IU42+MH42)-MIN(MIN(BV42*AKV41,IU42+MH42),MH42))),IU42)</f>
        <v>1270</v>
      </c>
      <c r="IW42" s="20" t="n">
        <f aca="false">IF(AND(H_Direct=1,BW42&gt;0),MAX(0,IV42-(MIN(BW42*AKW41,IV42+MI42)-MIN(MIN(BW42*AKW41,IV42+MI42),MI42))),IV42)</f>
        <v>1270</v>
      </c>
      <c r="IX42" s="20" t="n">
        <f aca="false">IF(AND(H_Direct=1,BX42&gt;0),MAX(0,IW42-(MIN(BX42*AKX41,IW42+MJ42)-MIN(MIN(BX42*AKX41,IW42+MJ42),MJ42))),IW42)</f>
        <v>1270</v>
      </c>
      <c r="IY42" s="20" t="n">
        <f aca="false">IF(AND(H_Direct=1,BY42&gt;0),MAX(0,IX42-(MIN(BY42*AKY41,IX42+MK42)-MIN(MIN(BY42*AKY41,IX42+MK42),MK42))),IX42)</f>
        <v>1270</v>
      </c>
      <c r="IZ42" s="20" t="n">
        <f aca="false">IF(AND(H_Direct=1,BZ42&gt;0),MAX(0,IY42-(MIN(BZ42*AKZ41,IY42+ML42)-MIN(MIN(BZ42*AKZ41,IY42+ML42),ML42))),IY42)</f>
        <v>1270</v>
      </c>
      <c r="JA42" s="20" t="n">
        <f aca="false">IF(AND(H_Direct=1,CA42&gt;0),MAX(0,IZ42-(MIN(CA42*ALA41,IZ42+MM42)-MIN(MIN(CA42*ALA41,IZ42+MM42),MM42))),IZ42)</f>
        <v>1270</v>
      </c>
      <c r="JB42" s="20" t="n">
        <f aca="false">IF(AND(H_Direct=1,CB42&gt;0),MAX(0,JA42-(MIN(CB42*ALB41,JA42+MN42)-MIN(MIN(CB42*ALB41,JA42+MN42),MN42))),JA42)</f>
        <v>1270</v>
      </c>
      <c r="JC42" s="20" t="n">
        <f aca="false">IF(AND(H_Direct=1,CC42&gt;0),MAX(0,JB42-(MIN(CC42*ALC41,JB42+MO42)-MIN(MIN(CC42*ALC41,JB42+MO42),MO42))),JB42)</f>
        <v>1270</v>
      </c>
      <c r="JD42" s="20" t="n">
        <f aca="false">IF(AND(H_Direct=1,CD42&gt;0),MAX(0,JC42-(MIN(CD42*ALD41,JC42+MP42)-MIN(MIN(CD42*ALD41,JC42+MP42),MP42))),JC42)</f>
        <v>1270</v>
      </c>
      <c r="JE42" s="20" t="n">
        <f aca="false">IF(AND(H_Direct=1,CE42&gt;0),MAX(0,JD42-(MIN(CE42*ALE41,JD42+MQ42)-MIN(MIN(CE42*ALE41,JD42+MQ42),MQ42))),JD42)</f>
        <v>1270</v>
      </c>
      <c r="JF42" s="20" t="n">
        <f aca="false">IF(AND(H_Direct=1,CF42&gt;0),MAX(0,JE42-(MIN(CF42*ALF41,JE42+MR42)-MIN(MIN(CF42*ALF41,JE42+MR42),MR42))),JE42)</f>
        <v>1270</v>
      </c>
      <c r="JG42" s="20" t="n">
        <f aca="false">IF(AND(H_Direct=1,CG42&gt;0),MAX(0,JF42-(MIN(CG42*ALG41,JF42+MS42)-MIN(MIN(CG42*ALG41,JF42+MS42),MS42))),JF42)</f>
        <v>1270</v>
      </c>
      <c r="JH42" s="20" t="n">
        <f aca="false">IF(AND(H_Direct=1,CH42&gt;0),MAX(0,JG42-(MIN(CH42*ALH41,JG42+MT42)-MIN(MIN(CH42*ALH41,JG42+MT42),MT42))),JG42)</f>
        <v>1270</v>
      </c>
      <c r="JI42" s="20" t="n">
        <f aca="false">IF(AND(H_Direct=1,CI42&gt;0),MAX(0,JH42-(MIN(CI42*ALI41,JH42+MU42)-MIN(MIN(CI42*ALI41,JH42+MU42),MU42))),JH42)</f>
        <v>1270</v>
      </c>
      <c r="JJ42" s="20" t="n">
        <f aca="false">IF(AND(H_Direct=1,CJ42&gt;0),MAX(0,JI42-(MIN(CJ42*ALJ41,JI42+MV42)-MIN(MIN(CJ42*ALJ41,JI42+MV42),MV42))),JI42)</f>
        <v>1270</v>
      </c>
      <c r="JK42" s="20" t="n">
        <f aca="false">IF(AND(H_Direct=1,CK42&gt;0),MAX(0,JJ42-(MIN(CK42*ALK41,JJ42+MW42)-MIN(MIN(CK42*ALK41,JJ42+MW42),MW42))),JJ42)</f>
        <v>1270</v>
      </c>
      <c r="JL42" s="20" t="n">
        <f aca="false">IF(AND(H_Direct=1,CL42&gt;0),MAX(0,JK42-(MIN(CL42*ALL41,JK42+MX42)-MIN(MIN(CL42*ALL41,JK42+MX42),MX42))),JK42)</f>
        <v>1270</v>
      </c>
      <c r="JM42" s="20" t="n">
        <f aca="false">IF(AND(H_Direct=1,CM42&gt;0),MAX(0,JL42-(MIN(CM42*ALM41,JL42+MY42)-MIN(MIN(CM42*ALM41,JL42+MY42),MY42))),JL42)</f>
        <v>1270</v>
      </c>
      <c r="JN42" s="20" t="n">
        <f aca="false">IF(AND(H_Direct=1,CN42&gt;0),MAX(0,JM42-(MIN(CN42*ALN41,JM42+MZ42)-MIN(MIN(CN42*ALN41,JM42+MZ42),MZ42))),JM42)</f>
        <v>1270</v>
      </c>
      <c r="JO42" s="20" t="n">
        <f aca="false">IF(AND(H_Direct=1,CO42&gt;0),MAX(0,JN42-(MIN(CO42*ALO41,JN42+NA42)-MIN(MIN(CO42*ALO41,JN42+NA42),NA42))),JN42)</f>
        <v>1270</v>
      </c>
      <c r="JP42" s="20" t="n">
        <f aca="false">IF(AND(H_Direct=1,CP42&gt;0),MAX(0,JO42-(MIN(CP42*ALP41,JO42+NB42)-MIN(MIN(CP42*ALP41,JO42+NB42),NB42))),JO42)</f>
        <v>1270</v>
      </c>
      <c r="JQ42" s="20" t="n">
        <f aca="false">IF(AND(H_Direct=1,CQ42&gt;0),MAX(0,JP42-(MIN(CQ42*ALQ41,JP42+NC42)-MIN(MIN(CQ42*ALQ41,JP42+NC42),NC42))),JP42)</f>
        <v>1270</v>
      </c>
      <c r="JR42" s="20" t="n">
        <f aca="false">IF(AND(H_Direct=1,CR42&gt;0),MAX(0,JQ42-(MIN(CR42*ALR41,JQ42+ND42)-MIN(MIN(CR42*ALR41,JQ42+ND42),ND42))),JQ42)</f>
        <v>1270</v>
      </c>
      <c r="JS42" s="20" t="n">
        <f aca="false">IF(AND(H_Direct=1,CS42&gt;0),MAX(0,JR42-(MIN(CS42*ALS41,JR42+NE42)-MIN(MIN(CS42*ALS41,JR42+NE42),NE42))),JR42)</f>
        <v>1270</v>
      </c>
      <c r="JT42" s="20" t="n">
        <f aca="false">IF(AND(H_Direct=1,CT42&gt;0),MAX(0,JS42-(MIN(CT42*ALT41,JS42+NF42)-MIN(MIN(CT42*ALT41,JS42+NF42),NF42))),JS42)</f>
        <v>1270</v>
      </c>
      <c r="JU42" s="20" t="n">
        <f aca="false">IF(AND(H_Direct=1,CU42&gt;0),MAX(0,JT42-(MIN(CU42*ALU41,JT42+NG42)-MIN(MIN(CU42*ALU41,JT42+NG42),NG42))),JT42)</f>
        <v>1270</v>
      </c>
      <c r="JV42" s="20" t="n">
        <f aca="false">IF(AND(H_Direct=1,CV42&gt;0),MAX(0,JU42-(MIN(CV42*ALV41,JU42+NH42)-MIN(MIN(CV42*ALV41,JU42+NH42),NH42))),JU42)</f>
        <v>1270</v>
      </c>
      <c r="JW42" s="20" t="n">
        <f aca="false">IF(AND(H_Direct=1,CW42&gt;0),MAX(0,JV42-(MIN(CW42*ALW41,JV42+NI42)-MIN(MIN(CW42*ALW41,JV42+NI42),NI42))),JV42)</f>
        <v>1270</v>
      </c>
      <c r="JX42" s="20" t="n">
        <f aca="false">IF(AND(H_Direct=1,CX42&gt;0),MAX(0,JW42-(MIN(CX42*ALX41,JW42+NJ42)-MIN(MIN(CX42*ALX41,JW42+NJ42),NJ42))),JW42)</f>
        <v>1270</v>
      </c>
      <c r="JY42" s="20" t="n">
        <f aca="false">IF(AND(H_Direct=1,CY42&gt;0),MAX(0,JX42-(MIN(CY42*ALY41,JX42+NK42)-MIN(MIN(CY42*ALY41,JX42+NK42),NK42))),JX42)</f>
        <v>1270</v>
      </c>
      <c r="JZ42" s="20" t="n">
        <f aca="false">IF(AND(H_Direct=1,CZ42&gt;0),MAX(0,JY42-(MIN(CZ42*ALZ41,JY42+NL42)-MIN(MIN(CZ42*ALZ41,JY42+NL42),NL42))),JY42)</f>
        <v>1270</v>
      </c>
      <c r="KA42" s="20" t="n">
        <f aca="false">IF(AND(H_Direct=1,DA42&gt;0),MAX(0,JZ42-(MIN(DA42*(P42+S42),JZ42+NM42)-MIN(MIN(DA42*(P42+S42),JZ42+NM42),NM42))),JZ42)</f>
        <v>1270</v>
      </c>
      <c r="KB42" s="20" t="n">
        <f aca="false">KA42</f>
        <v>1270</v>
      </c>
      <c r="KC42" s="20" t="n">
        <f aca="false">KB42</f>
        <v>1270</v>
      </c>
      <c r="KD42" s="20" t="n">
        <f aca="false">KC42</f>
        <v>1270</v>
      </c>
      <c r="KE42" s="20" t="n">
        <f aca="false">KD42</f>
        <v>1270</v>
      </c>
      <c r="KF42" s="20" t="n">
        <f aca="false">KE42</f>
        <v>1270</v>
      </c>
      <c r="KG42" s="20" t="n">
        <f aca="false">KF42</f>
        <v>1270</v>
      </c>
      <c r="KH42" s="20" t="n">
        <f aca="false">KG42</f>
        <v>1270</v>
      </c>
      <c r="KI42" s="20" t="n">
        <f aca="false">KH42</f>
        <v>1270</v>
      </c>
      <c r="KJ42" s="20" t="n">
        <f aca="false">KI42</f>
        <v>1270</v>
      </c>
      <c r="KK42" s="20" t="n">
        <f aca="false">KJ42</f>
        <v>1270</v>
      </c>
      <c r="KL42" s="20" t="n">
        <f aca="false">KK42</f>
        <v>1270</v>
      </c>
      <c r="KM42" s="20" t="n">
        <f aca="false">KL42</f>
        <v>1270</v>
      </c>
      <c r="KN42" s="20" t="n">
        <f aca="false">KM42</f>
        <v>1270</v>
      </c>
      <c r="KO42" s="20" t="n">
        <f aca="false">KN42</f>
        <v>1270</v>
      </c>
      <c r="KP42" s="20" t="n">
        <f aca="false">KO42</f>
        <v>1270</v>
      </c>
      <c r="KQ42" s="20" t="n">
        <f aca="false">KP42</f>
        <v>1270</v>
      </c>
      <c r="KR42" s="20" t="n">
        <f aca="false">KQ42</f>
        <v>1270</v>
      </c>
      <c r="KS42" s="20" t="n">
        <f aca="false">KR42</f>
        <v>1270</v>
      </c>
      <c r="KT42" s="20" t="n">
        <f aca="false">KS42</f>
        <v>1270</v>
      </c>
      <c r="KU42" s="20" t="n">
        <f aca="false">KT42</f>
        <v>1270</v>
      </c>
      <c r="KV42" s="20" t="n">
        <f aca="false">KU42</f>
        <v>1270</v>
      </c>
      <c r="KW42" s="20" t="n">
        <f aca="false">KV42</f>
        <v>1270</v>
      </c>
      <c r="KX42" s="20" t="n">
        <f aca="false">KW42</f>
        <v>1270</v>
      </c>
      <c r="KY42" s="20" t="n">
        <f aca="false">KX42</f>
        <v>1270</v>
      </c>
      <c r="KZ42" s="20" t="n">
        <f aca="false">KY42</f>
        <v>1270</v>
      </c>
      <c r="LA42" s="20" t="n">
        <f aca="false">KZ42</f>
        <v>1270</v>
      </c>
      <c r="LB42" s="20" t="n">
        <f aca="false">LA42</f>
        <v>1270</v>
      </c>
      <c r="LC42" s="20" t="n">
        <f aca="false">LB42</f>
        <v>1270</v>
      </c>
      <c r="LD42" s="20" t="n">
        <f aca="false">LC42</f>
        <v>1270</v>
      </c>
      <c r="LE42" s="20" t="n">
        <f aca="false">LD42</f>
        <v>1270</v>
      </c>
      <c r="LF42" s="20" t="n">
        <f aca="false">LE42</f>
        <v>1270</v>
      </c>
      <c r="LG42" s="20" t="n">
        <f aca="false">LF42</f>
        <v>1270</v>
      </c>
      <c r="LH42" s="20" t="n">
        <f aca="false">LG42</f>
        <v>1270</v>
      </c>
      <c r="LI42" s="20" t="n">
        <f aca="false">LH42</f>
        <v>1270</v>
      </c>
      <c r="LJ42" s="20" t="n">
        <f aca="false">LI42</f>
        <v>1270</v>
      </c>
      <c r="LK42" s="20" t="n">
        <f aca="false">LJ42</f>
        <v>1270</v>
      </c>
      <c r="LL42" s="20" t="n">
        <f aca="false">LK42</f>
        <v>1270</v>
      </c>
      <c r="LM42" s="20" t="n">
        <f aca="false">LL42</f>
        <v>1270</v>
      </c>
      <c r="LN42" s="20" t="n">
        <f aca="false">LM42</f>
        <v>1270</v>
      </c>
      <c r="LO42" s="20" t="n">
        <f aca="false">LN42</f>
        <v>1270</v>
      </c>
      <c r="LP42" s="20" t="n">
        <f aca="false">LO42</f>
        <v>1270</v>
      </c>
      <c r="LQ42" s="20" t="n">
        <f aca="false">LP42</f>
        <v>1270</v>
      </c>
      <c r="LR42" s="20" t="n">
        <f aca="false">LQ42</f>
        <v>1270</v>
      </c>
      <c r="LS42" s="20" t="n">
        <f aca="false">LR42</f>
        <v>1270</v>
      </c>
      <c r="LT42" s="20" t="n">
        <f aca="false">LS42</f>
        <v>1270</v>
      </c>
      <c r="LU42" s="20" t="n">
        <f aca="false">LT42</f>
        <v>1270</v>
      </c>
      <c r="LV42" s="20" t="n">
        <f aca="false">LU42</f>
        <v>1270</v>
      </c>
      <c r="LW42" s="20" t="n">
        <f aca="false">LV42</f>
        <v>1270</v>
      </c>
      <c r="LX42" s="20" t="n">
        <f aca="false">LW42</f>
        <v>1270</v>
      </c>
      <c r="LY42" s="20" t="n">
        <f aca="false">LX42</f>
        <v>1270</v>
      </c>
      <c r="LZ42" s="20" t="n">
        <f aca="false">LY42</f>
        <v>1270</v>
      </c>
      <c r="MA42" s="20" t="n">
        <f aca="false">LZ42</f>
        <v>1270</v>
      </c>
      <c r="MB42" s="20" t="n">
        <f aca="false">MA42</f>
        <v>1270</v>
      </c>
      <c r="MC42" s="20" t="n">
        <f aca="false">MB42</f>
        <v>1270</v>
      </c>
      <c r="MD42" s="20" t="n">
        <f aca="false">MC42</f>
        <v>1270</v>
      </c>
      <c r="ME42" s="20" t="n">
        <f aca="false">IF(H_Direct=1,IF(BR42&lt;=0,I42-BR42*AKR41,I42-MIN(MIN(BR42*AKR41,H42+I42),I42)),I42)</f>
        <v>0</v>
      </c>
      <c r="MF42" s="20" t="n">
        <f aca="false">IF(H_Direct=1,IF(BS42&lt;=0,ME42-BS42*AKS41,ME42-MIN(MIN(BS42*AKS41,IR42+ME42),ME42)),ME42)</f>
        <v>0</v>
      </c>
      <c r="MG42" s="20" t="n">
        <f aca="false">IF(H_Direct=1,IF(BT42&lt;=0,MF42-BT42*AKT41,MF42-MIN(MIN(BT42*AKT41,IS42+MF42),MF42)),MF42)</f>
        <v>0</v>
      </c>
      <c r="MH42" s="20" t="n">
        <f aca="false">IF(H_Direct=1,IF(BU42&lt;=0,MG42-BU42*AKU41,MG42-MIN(MIN(BU42*AKU41,IT42+MG42),MG42)),MG42)</f>
        <v>0</v>
      </c>
      <c r="MI42" s="20" t="n">
        <f aca="false">IF(H_Direct=1,IF(BV42&lt;=0,MH42-BV42*AKV41,MH42-MIN(MIN(BV42*AKV41,IU42+MH42),MH42)),MH42)</f>
        <v>0</v>
      </c>
      <c r="MJ42" s="20" t="n">
        <f aca="false">IF(H_Direct=1,IF(BW42&lt;=0,MI42-BW42*AKW41,MI42-MIN(MIN(BW42*AKW41,IV42+MI42),MI42)),MI42)</f>
        <v>0</v>
      </c>
      <c r="MK42" s="20" t="n">
        <f aca="false">IF(H_Direct=1,IF(BX42&lt;=0,MJ42-BX42*AKX41,MJ42-MIN(MIN(BX42*AKX41,IW42+MJ42),MJ42)),MJ42)</f>
        <v>0</v>
      </c>
      <c r="ML42" s="20" t="n">
        <f aca="false">IF(H_Direct=1,IF(BY42&lt;=0,MK42-BY42*AKY41,MK42-MIN(MIN(BY42*AKY41,IX42+MK42),MK42)),MK42)</f>
        <v>0</v>
      </c>
      <c r="MM42" s="20" t="n">
        <f aca="false">IF(H_Direct=1,IF(BZ42&lt;=0,ML42-BZ42*AKZ41,ML42-MIN(MIN(BZ42*AKZ41,IY42+ML42),ML42)),ML42)</f>
        <v>0</v>
      </c>
      <c r="MN42" s="20" t="n">
        <f aca="false">IF(H_Direct=1,IF(CA42&lt;=0,MM42-CA42*ALA41,MM42-MIN(MIN(CA42*ALA41,IZ42+MM42),MM42)),MM42)</f>
        <v>0</v>
      </c>
      <c r="MO42" s="20" t="n">
        <f aca="false">IF(H_Direct=1,IF(CB42&lt;=0,MN42-CB42*ALB41,MN42-MIN(MIN(CB42*ALB41,JA42+MN42),MN42)),MN42)</f>
        <v>0</v>
      </c>
      <c r="MP42" s="20" t="n">
        <f aca="false">IF(H_Direct=1,IF(CC42&lt;=0,MO42-CC42*ALC41,MO42-MIN(MIN(CC42*ALC41,JB42+MO42),MO42)),MO42)</f>
        <v>0</v>
      </c>
      <c r="MQ42" s="20" t="n">
        <f aca="false">IF(H_Direct=1,IF(CD42&lt;=0,MP42-CD42*ALD41,MP42-MIN(MIN(CD42*ALD41,JC42+MP42),MP42)),MP42)</f>
        <v>0</v>
      </c>
      <c r="MR42" s="20" t="n">
        <f aca="false">IF(H_Direct=1,IF(CE42&lt;=0,MQ42-CE42*ALE41,MQ42-MIN(MIN(CE42*ALE41,JD42+MQ42),MQ42)),MQ42)</f>
        <v>0</v>
      </c>
      <c r="MS42" s="20" t="n">
        <f aca="false">IF(H_Direct=1,IF(CF42&lt;=0,MR42-CF42*ALF41,MR42-MIN(MIN(CF42*ALF41,JE42+MR42),MR42)),MR42)</f>
        <v>0</v>
      </c>
      <c r="MT42" s="20" t="n">
        <f aca="false">IF(H_Direct=1,IF(CG42&lt;=0,MS42-CG42*ALG41,MS42-MIN(MIN(CG42*ALG41,JF42+MS42),MS42)),MS42)</f>
        <v>0</v>
      </c>
      <c r="MU42" s="20" t="n">
        <f aca="false">IF(H_Direct=1,IF(CH42&lt;=0,MT42-CH42*ALH41,MT42-MIN(MIN(CH42*ALH41,JG42+MT42),MT42)),MT42)</f>
        <v>0</v>
      </c>
      <c r="MV42" s="20" t="n">
        <f aca="false">IF(H_Direct=1,IF(CI42&lt;=0,MU42-CI42*ALI41,MU42-MIN(MIN(CI42*ALI41,JH42+MU42),MU42)),MU42)</f>
        <v>0</v>
      </c>
      <c r="MW42" s="20" t="n">
        <f aca="false">IF(H_Direct=1,IF(CJ42&lt;=0,MV42-CJ42*ALJ41,MV42-MIN(MIN(CJ42*ALJ41,JI42+MV42),MV42)),MV42)</f>
        <v>0</v>
      </c>
      <c r="MX42" s="20" t="n">
        <f aca="false">IF(H_Direct=1,IF(CK42&lt;=0,MW42-CK42*ALK41,MW42-MIN(MIN(CK42*ALK41,JJ42+MW42),MW42)),MW42)</f>
        <v>0</v>
      </c>
      <c r="MY42" s="20" t="n">
        <f aca="false">IF(H_Direct=1,IF(CL42&lt;=0,MX42-CL42*ALL41,MX42-MIN(MIN(CL42*ALL41,JK42+MX42),MX42)),MX42)</f>
        <v>0</v>
      </c>
      <c r="MZ42" s="20" t="n">
        <f aca="false">IF(H_Direct=1,IF(CM42&lt;=0,MY42-CM42*ALM41,MY42-MIN(MIN(CM42*ALM41,JL42+MY42),MY42)),MY42)</f>
        <v>0</v>
      </c>
      <c r="NA42" s="20" t="n">
        <f aca="false">IF(H_Direct=1,IF(CN42&lt;=0,MZ42-CN42*ALN41,MZ42-MIN(MIN(CN42*ALN41,JM42+MZ42),MZ42)),MZ42)</f>
        <v>0</v>
      </c>
      <c r="NB42" s="20" t="n">
        <f aca="false">IF(H_Direct=1,IF(CO42&lt;=0,NA42-CO42*ALO41,NA42-MIN(MIN(CO42*ALO41,JN42+NA42),NA42)),NA42)</f>
        <v>0</v>
      </c>
      <c r="NC42" s="20" t="n">
        <f aca="false">IF(H_Direct=1,IF(CP42&lt;=0,NB42-CP42*ALP41,NB42-MIN(MIN(CP42*ALP41,JO42+NB42),NB42)),NB42)</f>
        <v>0</v>
      </c>
      <c r="ND42" s="20" t="n">
        <f aca="false">IF(H_Direct=1,IF(CQ42&lt;=0,NC42-CQ42*ALQ41,NC42-MIN(MIN(CQ42*ALQ41,JP42+NC42),NC42)),NC42)</f>
        <v>0</v>
      </c>
      <c r="NE42" s="20" t="n">
        <f aca="false">IF(H_Direct=1,IF(CR42&lt;=0,ND42-CR42*ALR41,ND42-MIN(MIN(CR42*ALR41,JQ42+ND42),ND42)),ND42)</f>
        <v>0</v>
      </c>
      <c r="NF42" s="20" t="n">
        <f aca="false">IF(H_Direct=1,IF(CS42&lt;=0,NE42-CS42*ALS41,NE42-MIN(MIN(CS42*ALS41,JR42+NE42),NE42)),NE42)</f>
        <v>0</v>
      </c>
      <c r="NG42" s="20" t="n">
        <f aca="false">IF(H_Direct=1,IF(CT42&lt;=0,NF42-CT42*ALT41,NF42-MIN(MIN(CT42*ALT41,JS42+NF42),NF42)),NF42)</f>
        <v>0</v>
      </c>
      <c r="NH42" s="20" t="n">
        <f aca="false">IF(H_Direct=1,IF(CU42&lt;=0,NG42-CU42*ALU41,NG42-MIN(MIN(CU42*ALU41,JT42+NG42),NG42)),NG42)</f>
        <v>0</v>
      </c>
      <c r="NI42" s="20" t="n">
        <f aca="false">IF(H_Direct=1,IF(CV42&lt;=0,NH42-CV42*ALV41,NH42-MIN(MIN(CV42*ALV41,JU42+NH42),NH42)),NH42)</f>
        <v>0</v>
      </c>
      <c r="NJ42" s="20" t="n">
        <f aca="false">IF(H_Direct=1,IF(CW42&lt;=0,NI42-CW42*ALW41,NI42-MIN(MIN(CW42*ALW41,JV42+NI42),NI42)),NI42)</f>
        <v>0</v>
      </c>
      <c r="NK42" s="20" t="n">
        <f aca="false">IF(H_Direct=1,IF(CX42&lt;=0,NJ42-CX42*ALX41,NJ42-MIN(MIN(CX42*ALX41,JW42+NJ42),NJ42)),NJ42)</f>
        <v>0</v>
      </c>
      <c r="NL42" s="20" t="n">
        <f aca="false">IF(H_Direct=1,IF(CY42&lt;=0,NK42-CY42*ALY41,NK42-MIN(MIN(CY42*ALY41,JX42+NK42),NK42)),NK42)</f>
        <v>0</v>
      </c>
      <c r="NM42" s="20" t="n">
        <f aca="false">IF(H_Direct=1,IF(CZ42&lt;=0,NL42-CZ42*ALZ41,NL42-MIN(MIN(CZ42*ALZ41,JY42+NL42),NL42)),NL42)</f>
        <v>0</v>
      </c>
      <c r="NN42" s="20" t="n">
        <f aca="false">IF(H_Direct=1,IF(DA42&lt;=0,NM42-DA42*(P42+S42),NM42-MIN(MIN(DA42*(P42+S42),JZ42+NM42),NM42)),NM42)</f>
        <v>0</v>
      </c>
      <c r="NO42" s="20" t="n">
        <f aca="false">NN42</f>
        <v>0</v>
      </c>
      <c r="NP42" s="20" t="n">
        <f aca="false">NO42</f>
        <v>0</v>
      </c>
      <c r="NQ42" s="20" t="n">
        <f aca="false">NP42</f>
        <v>0</v>
      </c>
      <c r="NR42" s="20" t="n">
        <f aca="false">NQ42</f>
        <v>0</v>
      </c>
      <c r="NS42" s="20" t="n">
        <f aca="false">NR42</f>
        <v>0</v>
      </c>
      <c r="NT42" s="20" t="n">
        <f aca="false">NS42</f>
        <v>0</v>
      </c>
      <c r="NU42" s="20" t="n">
        <f aca="false">NT42</f>
        <v>0</v>
      </c>
      <c r="NV42" s="20" t="n">
        <f aca="false">NU42</f>
        <v>0</v>
      </c>
      <c r="NW42" s="20" t="n">
        <f aca="false">NV42</f>
        <v>0</v>
      </c>
      <c r="NX42" s="20" t="n">
        <f aca="false">NW42</f>
        <v>0</v>
      </c>
      <c r="NY42" s="20" t="n">
        <f aca="false">NX42</f>
        <v>0</v>
      </c>
      <c r="NZ42" s="20" t="n">
        <f aca="false">NY42</f>
        <v>0</v>
      </c>
      <c r="OA42" s="20" t="n">
        <f aca="false">NZ42</f>
        <v>0</v>
      </c>
      <c r="OB42" s="20" t="n">
        <f aca="false">OA42</f>
        <v>0</v>
      </c>
      <c r="OC42" s="20" t="n">
        <f aca="false">OB42</f>
        <v>0</v>
      </c>
      <c r="OD42" s="20" t="n">
        <f aca="false">OC42</f>
        <v>0</v>
      </c>
      <c r="OE42" s="20" t="n">
        <f aca="false">OD42</f>
        <v>0</v>
      </c>
      <c r="OF42" s="20" t="n">
        <f aca="false">OE42</f>
        <v>0</v>
      </c>
      <c r="OG42" s="20" t="n">
        <f aca="false">OF42</f>
        <v>0</v>
      </c>
      <c r="OH42" s="20" t="n">
        <f aca="false">OG42</f>
        <v>0</v>
      </c>
      <c r="OI42" s="20" t="n">
        <f aca="false">OH42</f>
        <v>0</v>
      </c>
      <c r="OJ42" s="20" t="n">
        <f aca="false">OI42</f>
        <v>0</v>
      </c>
      <c r="OK42" s="20" t="n">
        <f aca="false">OJ42</f>
        <v>0</v>
      </c>
      <c r="OL42" s="20" t="n">
        <f aca="false">OK42</f>
        <v>0</v>
      </c>
      <c r="OM42" s="20" t="n">
        <f aca="false">OL42</f>
        <v>0</v>
      </c>
      <c r="ON42" s="20" t="n">
        <f aca="false">OM42</f>
        <v>0</v>
      </c>
      <c r="OO42" s="20" t="n">
        <f aca="false">ON42</f>
        <v>0</v>
      </c>
      <c r="OP42" s="20" t="n">
        <f aca="false">OO42</f>
        <v>0</v>
      </c>
      <c r="OQ42" s="20" t="n">
        <f aca="false">OP42</f>
        <v>0</v>
      </c>
      <c r="OR42" s="20" t="n">
        <f aca="false">OQ42</f>
        <v>0</v>
      </c>
      <c r="OS42" s="20" t="n">
        <f aca="false">OR42</f>
        <v>0</v>
      </c>
      <c r="OT42" s="20" t="n">
        <f aca="false">OS42</f>
        <v>0</v>
      </c>
      <c r="OU42" s="20" t="n">
        <f aca="false">OT42</f>
        <v>0</v>
      </c>
      <c r="OV42" s="20" t="n">
        <f aca="false">OU42</f>
        <v>0</v>
      </c>
      <c r="OW42" s="20" t="n">
        <f aca="false">OV42</f>
        <v>0</v>
      </c>
      <c r="OX42" s="20" t="n">
        <f aca="false">OW42</f>
        <v>0</v>
      </c>
      <c r="OY42" s="20" t="n">
        <f aca="false">OX42</f>
        <v>0</v>
      </c>
      <c r="OZ42" s="20" t="n">
        <f aca="false">OY42</f>
        <v>0</v>
      </c>
      <c r="PA42" s="20" t="n">
        <f aca="false">OZ42</f>
        <v>0</v>
      </c>
      <c r="PB42" s="20" t="n">
        <f aca="false">PA42</f>
        <v>0</v>
      </c>
      <c r="PC42" s="20" t="n">
        <f aca="false">PB42</f>
        <v>0</v>
      </c>
      <c r="PD42" s="20" t="n">
        <f aca="false">PC42</f>
        <v>0</v>
      </c>
      <c r="PE42" s="20" t="n">
        <f aca="false">PD42</f>
        <v>0</v>
      </c>
      <c r="PF42" s="20" t="n">
        <f aca="false">PE42</f>
        <v>0</v>
      </c>
      <c r="PG42" s="20" t="n">
        <f aca="false">PF42</f>
        <v>0</v>
      </c>
      <c r="PH42" s="20" t="n">
        <f aca="false">PG42</f>
        <v>0</v>
      </c>
      <c r="PI42" s="20" t="n">
        <f aca="false">PH42</f>
        <v>0</v>
      </c>
      <c r="PJ42" s="20" t="n">
        <f aca="false">PI42</f>
        <v>0</v>
      </c>
      <c r="PK42" s="20" t="n">
        <f aca="false">PJ42</f>
        <v>0</v>
      </c>
      <c r="PL42" s="20" t="n">
        <f aca="false">PK42</f>
        <v>0</v>
      </c>
      <c r="PM42" s="20" t="n">
        <f aca="false">PL42</f>
        <v>0</v>
      </c>
      <c r="PN42" s="20" t="n">
        <f aca="false">PM42</f>
        <v>0</v>
      </c>
      <c r="PO42" s="20" t="n">
        <f aca="false">PN42</f>
        <v>0</v>
      </c>
      <c r="PP42" s="20" t="n">
        <f aca="false">PO42</f>
        <v>0</v>
      </c>
      <c r="PQ42" s="20" t="n">
        <f aca="false">PP42</f>
        <v>0</v>
      </c>
      <c r="PR42" s="20" t="n">
        <f aca="false">IF(H_Direct=1,IF(AKR41&lt;=0,0,IF(BR42&lt;=0,MIN(MAX(0,AB42),AKR41),MIN(MAX(0,AB42),AKR41-G42*MAX(0,BR42*AKR41-(H42+I42))))),MIN(FE42,MAX(0,AB42)))</f>
        <v>0</v>
      </c>
      <c r="PS42" s="20" t="n">
        <f aca="false">IF(H_Direct=1,IF(AKS41&lt;=0,0,IF(BS42&lt;=0,MIN(MAX(0,AB42-SUM(PR42:PR42)),AKS41),MIN(MAX(0,AB42-SUM(PR42:PR42)),AKS41-G42*MAX(0,BS42*AKS41-(WR42+AAE42))))),MIN(FF42,MAX(0,AB42-SUM(PR42:PR42))))</f>
        <v>0</v>
      </c>
      <c r="PT42" s="20" t="n">
        <f aca="false">IF(H_Direct=1,IF(AKT41&lt;=0,0,IF(BT42&lt;=0,MIN(MAX(0,AB42-SUM(PR42:PS42)),AKT41),MIN(MAX(0,AB42-SUM(PR42:PS42)),AKT41-G42*MAX(0,BT42*AKT41-(WS42+AAF42))))),MIN(FG42,MAX(0,AB42-SUM(PR42:PS42))))</f>
        <v>0</v>
      </c>
      <c r="PU42" s="20" t="n">
        <f aca="false">IF(H_Direct=1,IF(AKU41&lt;=0,0,IF(BU42&lt;=0,MIN(MAX(0,AB42-SUM(PR42:PT42)),AKU41),MIN(MAX(0,AB42-SUM(PR42:PT42)),AKU41-G42*MAX(0,BU42*AKU41-(WT42+AAG42))))),MIN(FH42,MAX(0,AB42-SUM(PR42:PT42))))</f>
        <v>0</v>
      </c>
      <c r="PV42" s="20" t="n">
        <f aca="false">IF(H_Direct=1,IF(AKV41&lt;=0,0,IF(BV42&lt;=0,MIN(MAX(0,AB42-SUM(PR42:PU42)),AKV41),MIN(MAX(0,AB42-SUM(PR42:PU42)),AKV41-G42*MAX(0,BV42*AKV41-(WU42+AAH42))))),MIN(FI42,MAX(0,AB42-SUM(PR42:PU42))))</f>
        <v>0</v>
      </c>
      <c r="PW42" s="20" t="n">
        <f aca="false">IF(H_Direct=1,IF(AKW41&lt;=0,0,IF(BW42&lt;=0,MIN(MAX(0,AB42-SUM(PR42:PV42)),AKW41),MIN(MAX(0,AB42-SUM(PR42:PV42)),AKW41-G42*MAX(0,BW42*AKW41-(WV42+AAI42))))),MIN(FJ42,MAX(0,AB42-SUM(PR42:PV42))))</f>
        <v>0</v>
      </c>
      <c r="PX42" s="20" t="n">
        <f aca="false">IF(H_Direct=1,IF(AKX41&lt;=0,0,IF(BX42&lt;=0,MIN(MAX(0,AB42-SUM(PR42:PW42)),AKX41),MIN(MAX(0,AB42-SUM(PR42:PW42)),AKX41-G42*MAX(0,BX42*AKX41-(WW42+AAJ42))))),MIN(FK42,MAX(0,AB42-SUM(PR42:PW42))))</f>
        <v>0</v>
      </c>
      <c r="PY42" s="20" t="n">
        <f aca="false">IF(H_Direct=1,IF(AKY41&lt;=0,0,IF(BY42&lt;=0,MIN(MAX(0,AB42-SUM(PR42:PX42)),AKY41),MIN(MAX(0,AB42-SUM(PR42:PX42)),AKY41-G42*MAX(0,BY42*AKY41-(WX42+AAK42))))),MIN(FL42,MAX(0,AB42-SUM(PR42:PX42))))</f>
        <v>0</v>
      </c>
      <c r="PZ42" s="20" t="n">
        <f aca="false">IF(H_Direct=1,IF(AKZ41&lt;=0,0,IF(BZ42&lt;=0,MIN(MAX(0,AB42-SUM(PR42:PY42)),AKZ41),MIN(MAX(0,AB42-SUM(PR42:PY42)),AKZ41-G42*MAX(0,BZ42*AKZ41-(WY42+AAL42))))),MIN(FM42,MAX(0,AB42-SUM(PR42:PY42))))</f>
        <v>0</v>
      </c>
      <c r="QA42" s="20" t="n">
        <f aca="false">IF(H_Direct=1,IF(ALA41&lt;=0,0,IF(CA42&lt;=0,MIN(MAX(0,AB42-SUM(PR42:PZ42)),ALA41),MIN(MAX(0,AB42-SUM(PR42:PZ42)),ALA41-G42*MAX(0,CA42*ALA41-(WZ42+AAM42))))),MIN(FN42,MAX(0,AB42-SUM(PR42:PZ42))))</f>
        <v>0</v>
      </c>
      <c r="QB42" s="20" t="n">
        <f aca="false">IF(H_Direct=1,IF(ALB41&lt;=0,0,IF(CB42&lt;=0,MIN(MAX(0,AB42-SUM(PR42:QA42)),ALB41),MIN(MAX(0,AB42-SUM(PR42:QA42)),ALB41-G42*MAX(0,CB42*ALB41-(XA42+AAN42))))),MIN(FO42,MAX(0,AB42-SUM(PR42:QA42))))</f>
        <v>0</v>
      </c>
      <c r="QC42" s="20" t="n">
        <f aca="false">IF(H_Direct=1,IF(ALC41&lt;=0,0,IF(CC42&lt;=0,MIN(MAX(0,AB42-SUM(PR42:QB42)),ALC41),MIN(MAX(0,AB42-SUM(PR42:QB42)),ALC41-G42*MAX(0,CC42*ALC41-(XB42+AAO42))))),MIN(FP42,MAX(0,AB42-SUM(PR42:QB42))))</f>
        <v>0</v>
      </c>
      <c r="QD42" s="20" t="n">
        <f aca="false">IF(H_Direct=1,IF(ALD41&lt;=0,0,IF(CD42&lt;=0,MIN(MAX(0,AB42-SUM(PR42:QC42)),ALD41),MIN(MAX(0,AB42-SUM(PR42:QC42)),ALD41-G42*MAX(0,CD42*ALD41-(XC42+AAP42))))),MIN(FQ42,MAX(0,AB42-SUM(PR42:QC42))))</f>
        <v>0</v>
      </c>
      <c r="QE42" s="20" t="n">
        <f aca="false">IF(H_Direct=1,IF(ALE41&lt;=0,0,IF(CE42&lt;=0,MIN(MAX(0,AB42-SUM(PR42:QD42)),ALE41),MIN(MAX(0,AB42-SUM(PR42:QD42)),ALE41-G42*MAX(0,CE42*ALE41-(XD42+AAQ42))))),MIN(FR42,MAX(0,AB42-SUM(PR42:QD42))))</f>
        <v>0</v>
      </c>
      <c r="QF42" s="20" t="n">
        <f aca="false">IF(H_Direct=1,IF(ALF41&lt;=0,0,IF(CF42&lt;=0,MIN(MAX(0,AB42-SUM(PR42:QE42)),ALF41),MIN(MAX(0,AB42-SUM(PR42:QE42)),ALF41-G42*MAX(0,CF42*ALF41-(XE42+AAR42))))),MIN(FS42,MAX(0,AB42-SUM(PR42:QE42))))</f>
        <v>0</v>
      </c>
      <c r="QG42" s="20" t="n">
        <f aca="false">IF(H_Direct=1,IF(ALG41&lt;=0,0,IF(CG42&lt;=0,MIN(MAX(0,AB42-SUM(PR42:QF42)),ALG41),MIN(MAX(0,AB42-SUM(PR42:QF42)),ALG41-G42*MAX(0,CG42*ALG41-(XF42+AAS42))))),MIN(FT42,MAX(0,AB42-SUM(PR42:QF42))))</f>
        <v>0</v>
      </c>
      <c r="QH42" s="20" t="n">
        <f aca="false">IF(H_Direct=1,IF(ALH41&lt;=0,0,IF(CH42&lt;=0,MIN(MAX(0,AB42-SUM(PR42:QG42)),ALH41),MIN(MAX(0,AB42-SUM(PR42:QG42)),ALH41-G42*MAX(0,CH42*ALH41-(XG42+AAT42))))),MIN(FU42,MAX(0,AB42-SUM(PR42:QG42))))</f>
        <v>0</v>
      </c>
      <c r="QI42" s="20" t="n">
        <f aca="false">IF(H_Direct=1,IF(ALI41&lt;=0,0,IF(CI42&lt;=0,MIN(MAX(0,AB42-SUM(PR42:QH42)),ALI41),MIN(MAX(0,AB42-SUM(PR42:QH42)),ALI41-G42*MAX(0,CI42*ALI41-(XH42+AAU42))))),MIN(FV42,MAX(0,AB42-SUM(PR42:QH42))))</f>
        <v>0</v>
      </c>
      <c r="QJ42" s="20" t="n">
        <f aca="false">IF(H_Direct=1,IF(ALJ41&lt;=0,0,IF(CJ42&lt;=0,MIN(MAX(0,AB42-SUM(PR42:QI42)),ALJ41),MIN(MAX(0,AB42-SUM(PR42:QI42)),ALJ41-G42*MAX(0,CJ42*ALJ41-(XI42+AAV42))))),MIN(FW42,MAX(0,AB42-SUM(PR42:QI42))))</f>
        <v>3166.24043034249</v>
      </c>
      <c r="QK42" s="20" t="n">
        <f aca="false">IF(H_Direct=1,IF(ALK41&lt;=0,0,IF(CK42&lt;=0,MIN(MAX(0,AB42-SUM(PR42:QJ42)),ALK41),MIN(MAX(0,AB42-SUM(PR42:QJ42)),ALK41-G42*MAX(0,CK42*ALK41-(XJ42+AAW42))))),MIN(FX42,MAX(0,AB42-SUM(PR42:QJ42))))</f>
        <v>5173.37205683812</v>
      </c>
      <c r="QL42" s="20" t="n">
        <f aca="false">IF(H_Direct=1,IF(ALL41&lt;=0,0,IF(CL42&lt;=0,MIN(MAX(0,AB42-SUM(PR42:QK42)),ALL41),MIN(MAX(0,AB42-SUM(PR42:QK42)),ALL41-G42*MAX(0,CL42*ALL41-(XK42+AAX42))))),MIN(FY42,MAX(0,AB42-SUM(PR42:QK42))))</f>
        <v>5136.66169437547</v>
      </c>
      <c r="QM42" s="20" t="n">
        <f aca="false">IF(H_Direct=1,IF(ALM41&lt;=0,0,IF(CM42&lt;=0,MIN(MAX(0,AB42-SUM(PR42:QL42)),ALM41),MIN(MAX(0,AB42-SUM(PR42:QL42)),ALM41-G42*MAX(0,CM42*ALM41-(XL42+AAY42))))),MIN(FZ42,MAX(0,AB42-SUM(PR42:QL42))))</f>
        <v>5101.91285165587</v>
      </c>
      <c r="QN42" s="20" t="n">
        <f aca="false">IF(H_Direct=1,IF(ALN41&lt;=0,0,IF(CN42&lt;=0,MIN(MAX(0,AB42-SUM(PR42:QM42)),ALN41),MIN(MAX(0,AB42-SUM(PR42:QM42)),ALN41-G42*MAX(0,CN42*ALN41-(XM42+AAZ42))))),MIN(GA42,MAX(0,AB42-SUM(PR42:QM42))))</f>
        <v>1805.70139532343</v>
      </c>
      <c r="QO42" s="20" t="n">
        <f aca="false">IF(H_Direct=1,IF(ALO41&lt;=0,0,IF(CO42&lt;=0,MIN(MAX(0,AB42-SUM(PR42:QN42)),ALO41),MIN(MAX(0,AB42-SUM(PR42:QN42)),ALO41-G42*MAX(0,CO42*ALO41-(XN42+ABA42))))),MIN(GB42,MAX(0,AB42-SUM(PR42:QN42))))</f>
        <v>0</v>
      </c>
      <c r="QP42" s="20" t="n">
        <f aca="false">IF(H_Direct=1,IF(ALP41&lt;=0,0,IF(CP42&lt;=0,MIN(MAX(0,AB42-SUM(PR42:QO42)),ALP41),MIN(MAX(0,AB42-SUM(PR42:QO42)),ALP41-G42*MAX(0,CP42*ALP41-(XO42+ABB42))))),MIN(GC42,MAX(0,AB42-SUM(PR42:QO42))))</f>
        <v>0</v>
      </c>
      <c r="QQ42" s="20" t="n">
        <f aca="false">IF(H_Direct=1,IF(ALQ41&lt;=0,0,IF(CQ42&lt;=0,MIN(MAX(0,AB42-SUM(PR42:QP42)),ALQ41),MIN(MAX(0,AB42-SUM(PR42:QP42)),ALQ41-G42*MAX(0,CQ42*ALQ41-(XP42+ABC42))))),MIN(GD42,MAX(0,AB42-SUM(PR42:QP42))))</f>
        <v>0</v>
      </c>
      <c r="QR42" s="20" t="n">
        <f aca="false">IF(H_Direct=1,IF(ALR41&lt;=0,0,IF(CR42&lt;=0,MIN(MAX(0,AB42-SUM(PR42:QQ42)),ALR41),MIN(MAX(0,AB42-SUM(PR42:QQ42)),ALR41-G42*MAX(0,CR42*ALR41-(XQ42+ABD42))))),MIN(GE42,MAX(0,AB42-SUM(PR42:QQ42))))</f>
        <v>0</v>
      </c>
      <c r="QS42" s="20" t="n">
        <f aca="false">IF(H_Direct=1,IF(ALS41&lt;=0,0,IF(CS42&lt;=0,MIN(MAX(0,AB42-SUM(PR42:QR42)),ALS41),MIN(MAX(0,AB42-SUM(PR42:QR42)),ALS41-G42*MAX(0,CS42*ALS41-(XR42+ABE42))))),MIN(GF42,MAX(0,AB42-SUM(PR42:QR42))))</f>
        <v>0</v>
      </c>
      <c r="QT42" s="20" t="n">
        <f aca="false">IF(H_Direct=1,IF(ALT41&lt;=0,0,IF(CT42&lt;=0,MIN(MAX(0,AB42-SUM(PR42:QS42)),ALT41),MIN(MAX(0,AB42-SUM(PR42:QS42)),ALT41-G42*MAX(0,CT42*ALT41-(XS42+ABF42))))),MIN(GG42,MAX(0,AB42-SUM(PR42:QS42))))</f>
        <v>0</v>
      </c>
      <c r="QU42" s="20" t="n">
        <f aca="false">IF(H_Direct=1,IF(ALU41&lt;=0,0,IF(CU42&lt;=0,MIN(MAX(0,AB42-SUM(PR42:QT42)),ALU41),MIN(MAX(0,AB42-SUM(PR42:QT42)),ALU41-G42*MAX(0,CU42*ALU41-(XT42+ABG42))))),MIN(GH42,MAX(0,AB42-SUM(PR42:QT42))))</f>
        <v>0</v>
      </c>
      <c r="QV42" s="20" t="n">
        <f aca="false">IF(H_Direct=1,IF(ALV41&lt;=0,0,IF(CV42&lt;=0,MIN(MAX(0,AB42-SUM(PR42:QU42)),ALV41),MIN(MAX(0,AB42-SUM(PR42:QU42)),ALV41-G42*MAX(0,CV42*ALV41-(XU42+ABH42))))),MIN(GI42,MAX(0,AB42-SUM(PR42:QU42))))</f>
        <v>0</v>
      </c>
      <c r="QW42" s="20" t="n">
        <f aca="false">IF(H_Direct=1,IF(ALW41&lt;=0,0,IF(CW42&lt;=0,MIN(MAX(0,AB42-SUM(PR42:QV42)),ALW41),MIN(MAX(0,AB42-SUM(PR42:QV42)),ALW41-G42*MAX(0,CW42*ALW41-(XV42+ABI42))))),MIN(GJ42,MAX(0,AB42-SUM(PR42:QV42))))</f>
        <v>0</v>
      </c>
      <c r="QX42" s="20" t="n">
        <f aca="false">IF(H_Direct=1,IF(ALX41&lt;=0,0,IF(CX42&lt;=0,MIN(MAX(0,AB42-SUM(PR42:QW42)),ALX41),MIN(MAX(0,AB42-SUM(PR42:QW42)),ALX41-G42*MAX(0,CX42*ALX41-(XW42+ABJ42))))),MIN(GK42,MAX(0,AB42-SUM(PR42:QW42))))</f>
        <v>0</v>
      </c>
      <c r="QY42" s="20" t="n">
        <f aca="false">IF(H_Direct=1,IF(ALY41&lt;=0,0,IF(CY42&lt;=0,MIN(MAX(0,AB42-SUM(PR42:QX42)),ALY41),MIN(MAX(0,AB42-SUM(PR42:QX42)),ALY41-G42*MAX(0,CY42*ALY41-(XX42+ABK42))))),MIN(GL42,MAX(0,AB42-SUM(PR42:QX42))))</f>
        <v>0</v>
      </c>
      <c r="QZ42" s="20" t="n">
        <f aca="false">IF(H_Direct=1,IF(ALZ41&lt;=0,0,IF(CZ42&lt;=0,MIN(MAX(0,AB42-SUM(PR42:QY42)),ALZ41),MIN(MAX(0,AB42-SUM(PR42:QY42)),ALZ41-G42*MAX(0,CZ42*ALZ41-(XY42+ABL42))))),MIN(GM42,MAX(0,AB42-SUM(PR42:QY42))))</f>
        <v>0</v>
      </c>
      <c r="RA42" s="20" t="n">
        <f aca="false">IF(H_Direct=1,IF((P42+S42)&lt;=0,0,IF(DA42&lt;=0,MIN(MAX(0,AB42-SUM(PR42:QZ42)),(P42+S42)),MIN(MAX(0,AB42-SUM(PR42:QZ42)),(P42+S42)-G42*MAX(0,DA42*(P42+S42)-(XZ42+ABM42))))),MIN(GN42,MAX(0,AB42-SUM(PR42:QZ42))))</f>
        <v>0</v>
      </c>
      <c r="RB42" s="20" t="n">
        <v>0</v>
      </c>
      <c r="RC42" s="20" t="n">
        <v>0</v>
      </c>
      <c r="RD42" s="20" t="n">
        <v>0</v>
      </c>
      <c r="RE42" s="20" t="n">
        <v>0</v>
      </c>
      <c r="RF42" s="20" t="n">
        <v>0</v>
      </c>
      <c r="RG42" s="20" t="n">
        <v>0</v>
      </c>
      <c r="RH42" s="20" t="n">
        <v>0</v>
      </c>
      <c r="RI42" s="20" t="n">
        <v>0</v>
      </c>
      <c r="RJ42" s="20" t="n">
        <v>0</v>
      </c>
      <c r="RK42" s="20" t="n">
        <v>0</v>
      </c>
      <c r="RL42" s="20" t="n">
        <v>0</v>
      </c>
      <c r="RM42" s="20" t="n">
        <v>0</v>
      </c>
      <c r="RN42" s="20" t="n">
        <v>0</v>
      </c>
      <c r="RO42" s="20" t="n">
        <v>0</v>
      </c>
      <c r="RP42" s="20" t="n">
        <v>0</v>
      </c>
      <c r="RQ42" s="20" t="n">
        <v>0</v>
      </c>
      <c r="RR42" s="20" t="n">
        <v>0</v>
      </c>
      <c r="RS42" s="20" t="n">
        <v>0</v>
      </c>
      <c r="RT42" s="20" t="n">
        <v>0</v>
      </c>
      <c r="RU42" s="20" t="n">
        <v>0</v>
      </c>
      <c r="RV42" s="20" t="n">
        <v>0</v>
      </c>
      <c r="RW42" s="20" t="n">
        <v>0</v>
      </c>
      <c r="RX42" s="20" t="n">
        <v>0</v>
      </c>
      <c r="RY42" s="20" t="n">
        <v>0</v>
      </c>
      <c r="RZ42" s="20" t="n">
        <v>0</v>
      </c>
      <c r="SA42" s="20" t="n">
        <v>0</v>
      </c>
      <c r="SB42" s="20" t="n">
        <v>0</v>
      </c>
      <c r="SC42" s="20" t="n">
        <v>0</v>
      </c>
      <c r="SD42" s="20" t="n">
        <v>0</v>
      </c>
      <c r="SE42" s="20" t="n">
        <v>0</v>
      </c>
      <c r="SF42" s="20" t="n">
        <v>0</v>
      </c>
      <c r="SG42" s="20" t="n">
        <v>0</v>
      </c>
      <c r="SH42" s="20" t="n">
        <v>0</v>
      </c>
      <c r="SI42" s="20" t="n">
        <v>0</v>
      </c>
      <c r="SJ42" s="20" t="n">
        <v>0</v>
      </c>
      <c r="SK42" s="20" t="n">
        <v>0</v>
      </c>
      <c r="SL42" s="20" t="n">
        <v>0</v>
      </c>
      <c r="SM42" s="20" t="n">
        <v>0</v>
      </c>
      <c r="SN42" s="20" t="n">
        <v>0</v>
      </c>
      <c r="SO42" s="20" t="n">
        <v>0</v>
      </c>
      <c r="SP42" s="20" t="n">
        <v>0</v>
      </c>
      <c r="SQ42" s="20" t="n">
        <v>0</v>
      </c>
      <c r="SR42" s="20" t="n">
        <v>0</v>
      </c>
      <c r="SS42" s="20" t="n">
        <v>0</v>
      </c>
      <c r="ST42" s="20" t="n">
        <v>0</v>
      </c>
      <c r="SU42" s="20" t="n">
        <v>0</v>
      </c>
      <c r="SV42" s="20" t="n">
        <v>0</v>
      </c>
      <c r="SW42" s="20" t="n">
        <v>0</v>
      </c>
      <c r="SX42" s="20" t="n">
        <v>0</v>
      </c>
      <c r="SY42" s="20" t="n">
        <v>0</v>
      </c>
      <c r="SZ42" s="20" t="n">
        <v>0</v>
      </c>
      <c r="TA42" s="20" t="n">
        <v>0</v>
      </c>
      <c r="TB42" s="20" t="n">
        <v>0</v>
      </c>
      <c r="TC42" s="20" t="n">
        <v>0</v>
      </c>
      <c r="TD42" s="20" t="n">
        <v>0</v>
      </c>
      <c r="TE42" s="20" t="n">
        <f aca="false">IF(AKR41&lt;=0,0,IF(H_Direct=1,IF(BR42&lt;=0,PR42,IF(PR42&lt;=(H42+I42)/BR42,PR42,(PR42-G42*(H42+I42))/(1-G42*BR42))),PR42/(1-MAX(0,BR42)*H_Exit)))</f>
        <v>0</v>
      </c>
      <c r="TF42" s="20" t="n">
        <f aca="false">IF(AKS41&lt;=0,0,IF(H_Direct=1,IF(BS42&lt;=0,PS42,IF(PS42&lt;=(WR42+AAE42)/BS42,PS42,(PS42-G42*(WR42+AAE42))/(1-G42*BS42))),PS42/(1-MAX(0,BS42)*H_Exit)))</f>
        <v>0</v>
      </c>
      <c r="TG42" s="20" t="n">
        <f aca="false">IF(AKT41&lt;=0,0,IF(H_Direct=1,IF(BT42&lt;=0,PT42,IF(PT42&lt;=(WS42+AAF42)/BT42,PT42,(PT42-G42*(WS42+AAF42))/(1-G42*BT42))),PT42/(1-MAX(0,BT42)*H_Exit)))</f>
        <v>0</v>
      </c>
      <c r="TH42" s="20" t="n">
        <f aca="false">IF(AKU41&lt;=0,0,IF(H_Direct=1,IF(BU42&lt;=0,PU42,IF(PU42&lt;=(WT42+AAG42)/BU42,PU42,(PU42-G42*(WT42+AAG42))/(1-G42*BU42))),PU42/(1-MAX(0,BU42)*H_Exit)))</f>
        <v>0</v>
      </c>
      <c r="TI42" s="20" t="n">
        <f aca="false">IF(AKV41&lt;=0,0,IF(H_Direct=1,IF(BV42&lt;=0,PV42,IF(PV42&lt;=(WU42+AAH42)/BV42,PV42,(PV42-G42*(WU42+AAH42))/(1-G42*BV42))),PV42/(1-MAX(0,BV42)*H_Exit)))</f>
        <v>0</v>
      </c>
      <c r="TJ42" s="20" t="n">
        <f aca="false">IF(AKW41&lt;=0,0,IF(H_Direct=1,IF(BW42&lt;=0,PW42,IF(PW42&lt;=(WV42+AAI42)/BW42,PW42,(PW42-G42*(WV42+AAI42))/(1-G42*BW42))),PW42/(1-MAX(0,BW42)*H_Exit)))</f>
        <v>0</v>
      </c>
      <c r="TK42" s="20" t="n">
        <f aca="false">IF(AKX41&lt;=0,0,IF(H_Direct=1,IF(BX42&lt;=0,PX42,IF(PX42&lt;=(WW42+AAJ42)/BX42,PX42,(PX42-G42*(WW42+AAJ42))/(1-G42*BX42))),PX42/(1-MAX(0,BX42)*H_Exit)))</f>
        <v>0</v>
      </c>
      <c r="TL42" s="20" t="n">
        <f aca="false">IF(AKY41&lt;=0,0,IF(H_Direct=1,IF(BY42&lt;=0,PY42,IF(PY42&lt;=(WX42+AAK42)/BY42,PY42,(PY42-G42*(WX42+AAK42))/(1-G42*BY42))),PY42/(1-MAX(0,BY42)*H_Exit)))</f>
        <v>0</v>
      </c>
      <c r="TM42" s="20" t="n">
        <f aca="false">IF(AKZ41&lt;=0,0,IF(H_Direct=1,IF(BZ42&lt;=0,PZ42,IF(PZ42&lt;=(WY42+AAL42)/BZ42,PZ42,(PZ42-G42*(WY42+AAL42))/(1-G42*BZ42))),PZ42/(1-MAX(0,BZ42)*H_Exit)))</f>
        <v>0</v>
      </c>
      <c r="TN42" s="20" t="n">
        <f aca="false">IF(ALA41&lt;=0,0,IF(H_Direct=1,IF(CA42&lt;=0,QA42,IF(QA42&lt;=(WZ42+AAM42)/CA42,QA42,(QA42-G42*(WZ42+AAM42))/(1-G42*CA42))),QA42/(1-MAX(0,CA42)*H_Exit)))</f>
        <v>0</v>
      </c>
      <c r="TO42" s="20" t="n">
        <f aca="false">IF(ALB41&lt;=0,0,IF(H_Direct=1,IF(CB42&lt;=0,QB42,IF(QB42&lt;=(XA42+AAN42)/CB42,QB42,(QB42-G42*(XA42+AAN42))/(1-G42*CB42))),QB42/(1-MAX(0,CB42)*H_Exit)))</f>
        <v>0</v>
      </c>
      <c r="TP42" s="20" t="n">
        <f aca="false">IF(ALC41&lt;=0,0,IF(H_Direct=1,IF(CC42&lt;=0,QC42,IF(QC42&lt;=(XB42+AAO42)/CC42,QC42,(QC42-G42*(XB42+AAO42))/(1-G42*CC42))),QC42/(1-MAX(0,CC42)*H_Exit)))</f>
        <v>0</v>
      </c>
      <c r="TQ42" s="20" t="n">
        <f aca="false">IF(ALD41&lt;=0,0,IF(H_Direct=1,IF(CD42&lt;=0,QD42,IF(QD42&lt;=(XC42+AAP42)/CD42,QD42,(QD42-G42*(XC42+AAP42))/(1-G42*CD42))),QD42/(1-MAX(0,CD42)*H_Exit)))</f>
        <v>0</v>
      </c>
      <c r="TR42" s="20" t="n">
        <f aca="false">IF(ALE41&lt;=0,0,IF(H_Direct=1,IF(CE42&lt;=0,QE42,IF(QE42&lt;=(XD42+AAQ42)/CE42,QE42,(QE42-G42*(XD42+AAQ42))/(1-G42*CE42))),QE42/(1-MAX(0,CE42)*H_Exit)))</f>
        <v>0</v>
      </c>
      <c r="TS42" s="20" t="n">
        <f aca="false">IF(ALF41&lt;=0,0,IF(H_Direct=1,IF(CF42&lt;=0,QF42,IF(QF42&lt;=(XE42+AAR42)/CF42,QF42,(QF42-G42*(XE42+AAR42))/(1-G42*CF42))),QF42/(1-MAX(0,CF42)*H_Exit)))</f>
        <v>0</v>
      </c>
      <c r="TT42" s="20" t="n">
        <f aca="false">IF(ALG41&lt;=0,0,IF(H_Direct=1,IF(CG42&lt;=0,QG42,IF(QG42&lt;=(XF42+AAS42)/CG42,QG42,(QG42-G42*(XF42+AAS42))/(1-G42*CG42))),QG42/(1-MAX(0,CG42)*H_Exit)))</f>
        <v>0</v>
      </c>
      <c r="TU42" s="20" t="n">
        <f aca="false">IF(ALH41&lt;=0,0,IF(H_Direct=1,IF(CH42&lt;=0,QH42,IF(QH42&lt;=(XG42+AAT42)/CH42,QH42,(QH42-G42*(XG42+AAT42))/(1-G42*CH42))),QH42/(1-MAX(0,CH42)*H_Exit)))</f>
        <v>0</v>
      </c>
      <c r="TV42" s="20" t="n">
        <f aca="false">IF(ALI41&lt;=0,0,IF(H_Direct=1,IF(CI42&lt;=0,QI42,IF(QI42&lt;=(XH42+AAU42)/CI42,QI42,(QI42-G42*(XH42+AAU42))/(1-G42*CI42))),QI42/(1-MAX(0,CI42)*H_Exit)))</f>
        <v>0</v>
      </c>
      <c r="TW42" s="20" t="n">
        <f aca="false">IF(ALJ41&lt;=0,0,IF(H_Direct=1,IF(CJ42&lt;=0,QJ42,IF(QJ42&lt;=(XI42+AAV42)/CJ42,QJ42,(QJ42-G42*(XI42+AAV42))/(1-G42*CJ42))),QJ42/(1-MAX(0,CJ42)*H_Exit)))</f>
        <v>3213.20262251775</v>
      </c>
      <c r="TX42" s="20" t="n">
        <f aca="false">IF(ALK41&lt;=0,0,IF(H_Direct=1,IF(CK42&lt;=0,QK42,IF(QK42&lt;=(XJ42+AAW42)/CK42,QK42,(QK42-G42*(XJ42+AAW42))/(1-G42*CK42))),QK42/(1-MAX(0,CK42)*H_Exit)))</f>
        <v>5173.37205683812</v>
      </c>
      <c r="TY42" s="20" t="n">
        <f aca="false">IF(ALL41&lt;=0,0,IF(H_Direct=1,IF(CL42&lt;=0,QL42,IF(QL42&lt;=(XK42+AAX42)/CL42,QL42,(QL42-G42*(XK42+AAX42))/(1-G42*CL42))),QL42/(1-MAX(0,CL42)*H_Exit)))</f>
        <v>5652.33079029876</v>
      </c>
      <c r="TZ42" s="20" t="n">
        <f aca="false">IF(ALM41&lt;=0,0,IF(H_Direct=1,IF(CM42&lt;=0,QM42,IF(QM42&lt;=(XL42+AAY42)/CM42,QM42,(QM42-G42*(XL42+AAY42))/(1-G42*CM42))),QM42/(1-MAX(0,CM42)*H_Exit)))</f>
        <v>5543.63212125455</v>
      </c>
      <c r="UA42" s="20" t="n">
        <f aca="false">IF(ALN41&lt;=0,0,IF(H_Direct=1,IF(CN42&lt;=0,QN42,IF(QN42&lt;=(XM42+AAZ42)/CN42,QN42,(QN42-G42*(XM42+AAZ42))/(1-G42*CN42))),QN42/(1-MAX(0,CN42)*H_Exit)))</f>
        <v>1936.75730661941</v>
      </c>
      <c r="UB42" s="20" t="n">
        <f aca="false">IF(ALO41&lt;=0,0,IF(H_Direct=1,IF(CO42&lt;=0,QO42,IF(QO42&lt;=(XN42+ABA42)/CO42,QO42,(QO42-G42*(XN42+ABA42))/(1-G42*CO42))),QO42/(1-MAX(0,CO42)*H_Exit)))</f>
        <v>0</v>
      </c>
      <c r="UC42" s="20" t="n">
        <f aca="false">IF(ALP41&lt;=0,0,IF(H_Direct=1,IF(CP42&lt;=0,QP42,IF(QP42&lt;=(XO42+ABB42)/CP42,QP42,(QP42-G42*(XO42+ABB42))/(1-G42*CP42))),QP42/(1-MAX(0,CP42)*H_Exit)))</f>
        <v>0</v>
      </c>
      <c r="UD42" s="20" t="n">
        <f aca="false">IF(ALQ41&lt;=0,0,IF(H_Direct=1,IF(CQ42&lt;=0,QQ42,IF(QQ42&lt;=(XP42+ABC42)/CQ42,QQ42,(QQ42-G42*(XP42+ABC42))/(1-G42*CQ42))),QQ42/(1-MAX(0,CQ42)*H_Exit)))</f>
        <v>0</v>
      </c>
      <c r="UE42" s="20" t="n">
        <f aca="false">IF(ALR41&lt;=0,0,IF(H_Direct=1,IF(CR42&lt;=0,QR42,IF(QR42&lt;=(XQ42+ABD42)/CR42,QR42,(QR42-G42*(XQ42+ABD42))/(1-G42*CR42))),QR42/(1-MAX(0,CR42)*H_Exit)))</f>
        <v>0</v>
      </c>
      <c r="UF42" s="20" t="n">
        <f aca="false">IF(ALS41&lt;=0,0,IF(H_Direct=1,IF(CS42&lt;=0,QS42,IF(QS42&lt;=(XR42+ABE42)/CS42,QS42,(QS42-G42*(XR42+ABE42))/(1-G42*CS42))),QS42/(1-MAX(0,CS42)*H_Exit)))</f>
        <v>0</v>
      </c>
      <c r="UG42" s="20" t="n">
        <f aca="false">IF(ALT41&lt;=0,0,IF(H_Direct=1,IF(CT42&lt;=0,QT42,IF(QT42&lt;=(XS42+ABF42)/CT42,QT42,(QT42-G42*(XS42+ABF42))/(1-G42*CT42))),QT42/(1-MAX(0,CT42)*H_Exit)))</f>
        <v>0</v>
      </c>
      <c r="UH42" s="20" t="n">
        <f aca="false">IF(ALU41&lt;=0,0,IF(H_Direct=1,IF(CU42&lt;=0,QU42,IF(QU42&lt;=(XT42+ABG42)/CU42,QU42,(QU42-G42*(XT42+ABG42))/(1-G42*CU42))),QU42/(1-MAX(0,CU42)*H_Exit)))</f>
        <v>0</v>
      </c>
      <c r="UI42" s="20" t="n">
        <f aca="false">IF(ALV41&lt;=0,0,IF(H_Direct=1,IF(CV42&lt;=0,QV42,IF(QV42&lt;=(XU42+ABH42)/CV42,QV42,(QV42-G42*(XU42+ABH42))/(1-G42*CV42))),QV42/(1-MAX(0,CV42)*H_Exit)))</f>
        <v>0</v>
      </c>
      <c r="UJ42" s="20" t="n">
        <f aca="false">IF(ALW41&lt;=0,0,IF(H_Direct=1,IF(CW42&lt;=0,QW42,IF(QW42&lt;=(XV42+ABI42)/CW42,QW42,(QW42-G42*(XV42+ABI42))/(1-G42*CW42))),QW42/(1-MAX(0,CW42)*H_Exit)))</f>
        <v>0</v>
      </c>
      <c r="UK42" s="20" t="n">
        <f aca="false">IF(ALX41&lt;=0,0,IF(H_Direct=1,IF(CX42&lt;=0,QX42,IF(QX42&lt;=(XW42+ABJ42)/CX42,QX42,(QX42-G42*(XW42+ABJ42))/(1-G42*CX42))),QX42/(1-MAX(0,CX42)*H_Exit)))</f>
        <v>0</v>
      </c>
      <c r="UL42" s="20" t="n">
        <f aca="false">IF(ALY41&lt;=0,0,IF(H_Direct=1,IF(CY42&lt;=0,QY42,IF(QY42&lt;=(XX42+ABK42)/CY42,QY42,(QY42-G42*(XX42+ABK42))/(1-G42*CY42))),QY42/(1-MAX(0,CY42)*H_Exit)))</f>
        <v>0</v>
      </c>
      <c r="UM42" s="20" t="n">
        <f aca="false">IF(ALZ41&lt;=0,0,IF(H_Direct=1,IF(CZ42&lt;=0,QZ42,IF(QZ42&lt;=(XY42+ABL42)/CZ42,QZ42,(QZ42-G42*(XY42+ABL42))/(1-G42*CZ42))),QZ42/(1-MAX(0,CZ42)*H_Exit)))</f>
        <v>0</v>
      </c>
      <c r="UN42" s="20" t="n">
        <f aca="false">IF((P42+S42)&lt;=0,0,IF(H_Direct=1,IF(DA42&lt;=0,RA42,IF(RA42&lt;=(XZ42+ABM42)/DA42,RA42,(RA42-G42*(XZ42+ABM42))/(1-G42*DA42))),RA42/(1-MAX(0,DA42)*H_Exit)))</f>
        <v>0</v>
      </c>
      <c r="UO42" s="20" t="n">
        <v>0</v>
      </c>
      <c r="UP42" s="20" t="n">
        <v>0</v>
      </c>
      <c r="UQ42" s="20" t="n">
        <v>0</v>
      </c>
      <c r="UR42" s="20" t="n">
        <v>0</v>
      </c>
      <c r="US42" s="20" t="n">
        <v>0</v>
      </c>
      <c r="UT42" s="20" t="n">
        <v>0</v>
      </c>
      <c r="UU42" s="20" t="n">
        <v>0</v>
      </c>
      <c r="UV42" s="20" t="n">
        <v>0</v>
      </c>
      <c r="UW42" s="20" t="n">
        <v>0</v>
      </c>
      <c r="UX42" s="20" t="n">
        <v>0</v>
      </c>
      <c r="UY42" s="20" t="n">
        <v>0</v>
      </c>
      <c r="UZ42" s="20" t="n">
        <v>0</v>
      </c>
      <c r="VA42" s="20" t="n">
        <v>0</v>
      </c>
      <c r="VB42" s="20" t="n">
        <v>0</v>
      </c>
      <c r="VC42" s="20" t="n">
        <v>0</v>
      </c>
      <c r="VD42" s="20" t="n">
        <v>0</v>
      </c>
      <c r="VE42" s="20" t="n">
        <v>0</v>
      </c>
      <c r="VF42" s="20" t="n">
        <v>0</v>
      </c>
      <c r="VG42" s="20" t="n">
        <v>0</v>
      </c>
      <c r="VH42" s="20" t="n">
        <v>0</v>
      </c>
      <c r="VI42" s="20" t="n">
        <v>0</v>
      </c>
      <c r="VJ42" s="20" t="n">
        <v>0</v>
      </c>
      <c r="VK42" s="20" t="n">
        <v>0</v>
      </c>
      <c r="VL42" s="20" t="n">
        <v>0</v>
      </c>
      <c r="VM42" s="20" t="n">
        <v>0</v>
      </c>
      <c r="VN42" s="20" t="n">
        <v>0</v>
      </c>
      <c r="VO42" s="20" t="n">
        <v>0</v>
      </c>
      <c r="VP42" s="20" t="n">
        <v>0</v>
      </c>
      <c r="VQ42" s="20" t="n">
        <v>0</v>
      </c>
      <c r="VR42" s="20" t="n">
        <v>0</v>
      </c>
      <c r="VS42" s="20" t="n">
        <v>0</v>
      </c>
      <c r="VT42" s="20" t="n">
        <v>0</v>
      </c>
      <c r="VU42" s="20" t="n">
        <v>0</v>
      </c>
      <c r="VV42" s="20" t="n">
        <v>0</v>
      </c>
      <c r="VW42" s="20" t="n">
        <v>0</v>
      </c>
      <c r="VX42" s="20" t="n">
        <v>0</v>
      </c>
      <c r="VY42" s="20" t="n">
        <v>0</v>
      </c>
      <c r="VZ42" s="20" t="n">
        <v>0</v>
      </c>
      <c r="WA42" s="20" t="n">
        <v>0</v>
      </c>
      <c r="WB42" s="20" t="n">
        <v>0</v>
      </c>
      <c r="WC42" s="20" t="n">
        <v>0</v>
      </c>
      <c r="WD42" s="20" t="n">
        <v>0</v>
      </c>
      <c r="WE42" s="20" t="n">
        <v>0</v>
      </c>
      <c r="WF42" s="20" t="n">
        <v>0</v>
      </c>
      <c r="WG42" s="20" t="n">
        <v>0</v>
      </c>
      <c r="WH42" s="20" t="n">
        <v>0</v>
      </c>
      <c r="WI42" s="20" t="n">
        <v>0</v>
      </c>
      <c r="WJ42" s="20" t="n">
        <v>0</v>
      </c>
      <c r="WK42" s="20" t="n">
        <v>0</v>
      </c>
      <c r="WL42" s="20" t="n">
        <v>0</v>
      </c>
      <c r="WM42" s="20" t="n">
        <v>0</v>
      </c>
      <c r="WN42" s="20" t="n">
        <v>0</v>
      </c>
      <c r="WO42" s="20" t="n">
        <v>0</v>
      </c>
      <c r="WP42" s="20" t="n">
        <v>0</v>
      </c>
      <c r="WQ42" s="20" t="n">
        <v>0</v>
      </c>
      <c r="WR42" s="20" t="n">
        <f aca="false">IF(AND(H_Direct=1,BR42&gt;0),MAX(0,H42-(MIN(BR42*TE42,(H42+I42))-MIN(MIN(BR42*TE42,(H42+I42)),I42))),H42)</f>
        <v>1270</v>
      </c>
      <c r="WS42" s="20" t="n">
        <f aca="false">IF(AND(H_Direct=1,BS42&gt;0),MAX(0,WR42-(MIN(BS42*TF42,(WR42+AAE42))-MIN(MIN(BS42*TF42,(WR42+AAE42)),AAE42))),WR42)</f>
        <v>1270</v>
      </c>
      <c r="WT42" s="20" t="n">
        <f aca="false">IF(AND(H_Direct=1,BT42&gt;0),MAX(0,WS42-(MIN(BT42*TG42,(WS42+AAF42))-MIN(MIN(BT42*TG42,(WS42+AAF42)),AAF42))),WS42)</f>
        <v>1270</v>
      </c>
      <c r="WU42" s="20" t="n">
        <f aca="false">IF(AND(H_Direct=1,BU42&gt;0),MAX(0,WT42-(MIN(BU42*TH42,(WT42+AAG42))-MIN(MIN(BU42*TH42,(WT42+AAG42)),AAG42))),WT42)</f>
        <v>1270</v>
      </c>
      <c r="WV42" s="20" t="n">
        <f aca="false">IF(AND(H_Direct=1,BV42&gt;0),MAX(0,WU42-(MIN(BV42*TI42,(WU42+AAH42))-MIN(MIN(BV42*TI42,(WU42+AAH42)),AAH42))),WU42)</f>
        <v>1270</v>
      </c>
      <c r="WW42" s="20" t="n">
        <f aca="false">IF(AND(H_Direct=1,BW42&gt;0),MAX(0,WV42-(MIN(BW42*TJ42,(WV42+AAI42))-MIN(MIN(BW42*TJ42,(WV42+AAI42)),AAI42))),WV42)</f>
        <v>1270</v>
      </c>
      <c r="WX42" s="20" t="n">
        <f aca="false">IF(AND(H_Direct=1,BX42&gt;0),MAX(0,WW42-(MIN(BX42*TK42,(WW42+AAJ42))-MIN(MIN(BX42*TK42,(WW42+AAJ42)),AAJ42))),WW42)</f>
        <v>1270</v>
      </c>
      <c r="WY42" s="20" t="n">
        <f aca="false">IF(AND(H_Direct=1,BY42&gt;0),MAX(0,WX42-(MIN(BY42*TL42,(WX42+AAK42))-MIN(MIN(BY42*TL42,(WX42+AAK42)),AAK42))),WX42)</f>
        <v>1270</v>
      </c>
      <c r="WZ42" s="20" t="n">
        <f aca="false">IF(AND(H_Direct=1,BZ42&gt;0),MAX(0,WY42-(MIN(BZ42*TM42,(WY42+AAL42))-MIN(MIN(BZ42*TM42,(WY42+AAL42)),AAL42))),WY42)</f>
        <v>1270</v>
      </c>
      <c r="XA42" s="20" t="n">
        <f aca="false">IF(AND(H_Direct=1,CA42&gt;0),MAX(0,WZ42-(MIN(CA42*TN42,(WZ42+AAM42))-MIN(MIN(CA42*TN42,(WZ42+AAM42)),AAM42))),WZ42)</f>
        <v>1270</v>
      </c>
      <c r="XB42" s="20" t="n">
        <f aca="false">IF(AND(H_Direct=1,CB42&gt;0),MAX(0,XA42-(MIN(CB42*TO42,(XA42+AAN42))-MIN(MIN(CB42*TO42,(XA42+AAN42)),AAN42))),XA42)</f>
        <v>1270</v>
      </c>
      <c r="XC42" s="20" t="n">
        <f aca="false">IF(AND(H_Direct=1,CC42&gt;0),MAX(0,XB42-(MIN(CC42*TP42,(XB42+AAO42))-MIN(MIN(CC42*TP42,(XB42+AAO42)),AAO42))),XB42)</f>
        <v>1270</v>
      </c>
      <c r="XD42" s="20" t="n">
        <f aca="false">IF(AND(H_Direct=1,CD42&gt;0),MAX(0,XC42-(MIN(CD42*TQ42,(XC42+AAP42))-MIN(MIN(CD42*TQ42,(XC42+AAP42)),AAP42))),XC42)</f>
        <v>1270</v>
      </c>
      <c r="XE42" s="20" t="n">
        <f aca="false">IF(AND(H_Direct=1,CE42&gt;0),MAX(0,XD42-(MIN(CE42*TR42,(XD42+AAQ42))-MIN(MIN(CE42*TR42,(XD42+AAQ42)),AAQ42))),XD42)</f>
        <v>1270</v>
      </c>
      <c r="XF42" s="20" t="n">
        <f aca="false">IF(AND(H_Direct=1,CF42&gt;0),MAX(0,XE42-(MIN(CF42*TS42,(XE42+AAR42))-MIN(MIN(CF42*TS42,(XE42+AAR42)),AAR42))),XE42)</f>
        <v>1270</v>
      </c>
      <c r="XG42" s="20" t="n">
        <f aca="false">IF(AND(H_Direct=1,CG42&gt;0),MAX(0,XF42-(MIN(CG42*TT42,(XF42+AAS42))-MIN(MIN(CG42*TT42,(XF42+AAS42)),AAS42))),XF42)</f>
        <v>1270</v>
      </c>
      <c r="XH42" s="20" t="n">
        <f aca="false">IF(AND(H_Direct=1,CH42&gt;0),MAX(0,XG42-(MIN(CH42*TU42,(XG42+AAT42))-MIN(MIN(CH42*TU42,(XG42+AAT42)),AAT42))),XG42)</f>
        <v>1270</v>
      </c>
      <c r="XI42" s="20" t="n">
        <f aca="false">IF(AND(H_Direct=1,CI42&gt;0),MAX(0,XH42-(MIN(CI42*TV42,(XH42+AAU42))-MIN(MIN(CI42*TV42,(XH42+AAU42)),AAU42))),XH42)</f>
        <v>1270</v>
      </c>
      <c r="XJ42" s="20" t="n">
        <f aca="false">IF(AND(H_Direct=1,CJ42&gt;0),MAX(0,XI42-(MIN(CJ42*TW42,(XI42+AAV42))-MIN(MIN(CJ42*TW42,(XI42+AAV42)),AAV42))),XI42)</f>
        <v>1270</v>
      </c>
      <c r="XK42" s="20" t="n">
        <f aca="false">IF(AND(H_Direct=1,CK42&gt;0),MAX(0,XJ42-(MIN(CK42*TX42,(XJ42+AAW42))-MIN(MIN(CK42*TX42,(XJ42+AAW42)),AAW42))),XJ42)</f>
        <v>1270</v>
      </c>
      <c r="XL42" s="20" t="n">
        <f aca="false">IF(AND(H_Direct=1,CL42&gt;0),MAX(0,XK42-(MIN(CL42*TY42,(XK42+AAX42))-MIN(MIN(CL42*TY42,(XK42+AAX42)),AAX42))),XK42)</f>
        <v>1270</v>
      </c>
      <c r="XM42" s="20" t="n">
        <f aca="false">IF(AND(H_Direct=1,CM42&gt;0),MAX(0,XL42-(MIN(CM42*TZ42,(XL42+AAY42))-MIN(MIN(CM42*TZ42,(XL42+AAY42)),AAY42))),XL42)</f>
        <v>1270</v>
      </c>
      <c r="XN42" s="20" t="n">
        <f aca="false">IF(AND(H_Direct=1,CN42&gt;0),MAX(0,XM42-(MIN(CN42*UA42,(XM42+AAZ42))-MIN(MIN(CN42*UA42,(XM42+AAZ42)),AAZ42))),XM42)</f>
        <v>1270</v>
      </c>
      <c r="XO42" s="20" t="n">
        <f aca="false">IF(AND(H_Direct=1,CO42&gt;0),MAX(0,XN42-(MIN(CO42*UB42,(XN42+ABA42))-MIN(MIN(CO42*UB42,(XN42+ABA42)),ABA42))),XN42)</f>
        <v>1270</v>
      </c>
      <c r="XP42" s="20" t="n">
        <f aca="false">IF(AND(H_Direct=1,CP42&gt;0),MAX(0,XO42-(MIN(CP42*UC42,(XO42+ABB42))-MIN(MIN(CP42*UC42,(XO42+ABB42)),ABB42))),XO42)</f>
        <v>1270</v>
      </c>
      <c r="XQ42" s="20" t="n">
        <f aca="false">IF(AND(H_Direct=1,CQ42&gt;0),MAX(0,XP42-(MIN(CQ42*UD42,(XP42+ABC42))-MIN(MIN(CQ42*UD42,(XP42+ABC42)),ABC42))),XP42)</f>
        <v>1270</v>
      </c>
      <c r="XR42" s="20" t="n">
        <f aca="false">IF(AND(H_Direct=1,CR42&gt;0),MAX(0,XQ42-(MIN(CR42*UE42,(XQ42+ABD42))-MIN(MIN(CR42*UE42,(XQ42+ABD42)),ABD42))),XQ42)</f>
        <v>1270</v>
      </c>
      <c r="XS42" s="20" t="n">
        <f aca="false">IF(AND(H_Direct=1,CS42&gt;0),MAX(0,XR42-(MIN(CS42*UF42,(XR42+ABE42))-MIN(MIN(CS42*UF42,(XR42+ABE42)),ABE42))),XR42)</f>
        <v>1270</v>
      </c>
      <c r="XT42" s="20" t="n">
        <f aca="false">IF(AND(H_Direct=1,CT42&gt;0),MAX(0,XS42-(MIN(CT42*UG42,(XS42+ABF42))-MIN(MIN(CT42*UG42,(XS42+ABF42)),ABF42))),XS42)</f>
        <v>1270</v>
      </c>
      <c r="XU42" s="20" t="n">
        <f aca="false">IF(AND(H_Direct=1,CU42&gt;0),MAX(0,XT42-(MIN(CU42*UH42,(XT42+ABG42))-MIN(MIN(CU42*UH42,(XT42+ABG42)),ABG42))),XT42)</f>
        <v>1270</v>
      </c>
      <c r="XV42" s="20" t="n">
        <f aca="false">IF(AND(H_Direct=1,CV42&gt;0),MAX(0,XU42-(MIN(CV42*UI42,(XU42+ABH42))-MIN(MIN(CV42*UI42,(XU42+ABH42)),ABH42))),XU42)</f>
        <v>1270</v>
      </c>
      <c r="XW42" s="20" t="n">
        <f aca="false">IF(AND(H_Direct=1,CW42&gt;0),MAX(0,XV42-(MIN(CW42*UJ42,(XV42+ABI42))-MIN(MIN(CW42*UJ42,(XV42+ABI42)),ABI42))),XV42)</f>
        <v>1270</v>
      </c>
      <c r="XX42" s="20" t="n">
        <f aca="false">IF(AND(H_Direct=1,CX42&gt;0),MAX(0,XW42-(MIN(CX42*UK42,(XW42+ABJ42))-MIN(MIN(CX42*UK42,(XW42+ABJ42)),ABJ42))),XW42)</f>
        <v>1270</v>
      </c>
      <c r="XY42" s="20" t="n">
        <f aca="false">IF(AND(H_Direct=1,CY42&gt;0),MAX(0,XX42-(MIN(CY42*UL42,(XX42+ABK42))-MIN(MIN(CY42*UL42,(XX42+ABK42)),ABK42))),XX42)</f>
        <v>1270</v>
      </c>
      <c r="XZ42" s="20" t="n">
        <f aca="false">IF(AND(H_Direct=1,CZ42&gt;0),MAX(0,XY42-(MIN(CZ42*UM42,(XY42+ABL42))-MIN(MIN(CZ42*UM42,(XY42+ABL42)),ABL42))),XY42)</f>
        <v>1270</v>
      </c>
      <c r="YA42" s="20" t="n">
        <f aca="false">IF(AND(H_Direct=1,DA42&gt;0),MAX(0,XZ42-(MIN(DA42*UN42,(XZ42+ABM42))-MIN(MIN(DA42*UN42,(XZ42+ABM42)),ABM42))),XZ42)</f>
        <v>1270</v>
      </c>
      <c r="YB42" s="20" t="n">
        <f aca="false">YA42</f>
        <v>1270</v>
      </c>
      <c r="YC42" s="20" t="n">
        <f aca="false">YB42</f>
        <v>1270</v>
      </c>
      <c r="YD42" s="20" t="n">
        <f aca="false">YC42</f>
        <v>1270</v>
      </c>
      <c r="YE42" s="20" t="n">
        <f aca="false">YD42</f>
        <v>1270</v>
      </c>
      <c r="YF42" s="20" t="n">
        <f aca="false">YE42</f>
        <v>1270</v>
      </c>
      <c r="YG42" s="20" t="n">
        <f aca="false">YF42</f>
        <v>1270</v>
      </c>
      <c r="YH42" s="20" t="n">
        <f aca="false">YG42</f>
        <v>1270</v>
      </c>
      <c r="YI42" s="20" t="n">
        <f aca="false">YH42</f>
        <v>1270</v>
      </c>
      <c r="YJ42" s="20" t="n">
        <f aca="false">YI42</f>
        <v>1270</v>
      </c>
      <c r="YK42" s="20" t="n">
        <f aca="false">YJ42</f>
        <v>1270</v>
      </c>
      <c r="YL42" s="20" t="n">
        <f aca="false">YK42</f>
        <v>1270</v>
      </c>
      <c r="YM42" s="20" t="n">
        <f aca="false">YL42</f>
        <v>1270</v>
      </c>
      <c r="YN42" s="20" t="n">
        <f aca="false">YM42</f>
        <v>1270</v>
      </c>
      <c r="YO42" s="20" t="n">
        <f aca="false">YN42</f>
        <v>1270</v>
      </c>
      <c r="YP42" s="20" t="n">
        <f aca="false">YO42</f>
        <v>1270</v>
      </c>
      <c r="YQ42" s="20" t="n">
        <f aca="false">YP42</f>
        <v>1270</v>
      </c>
      <c r="YR42" s="20" t="n">
        <f aca="false">YQ42</f>
        <v>1270</v>
      </c>
      <c r="YS42" s="20" t="n">
        <f aca="false">YR42</f>
        <v>1270</v>
      </c>
      <c r="YT42" s="20" t="n">
        <f aca="false">YS42</f>
        <v>1270</v>
      </c>
      <c r="YU42" s="20" t="n">
        <f aca="false">YT42</f>
        <v>1270</v>
      </c>
      <c r="YV42" s="20" t="n">
        <f aca="false">YU42</f>
        <v>1270</v>
      </c>
      <c r="YW42" s="20" t="n">
        <f aca="false">YV42</f>
        <v>1270</v>
      </c>
      <c r="YX42" s="20" t="n">
        <f aca="false">YW42</f>
        <v>1270</v>
      </c>
      <c r="YY42" s="20" t="n">
        <f aca="false">YX42</f>
        <v>1270</v>
      </c>
      <c r="YZ42" s="20" t="n">
        <f aca="false">YY42</f>
        <v>1270</v>
      </c>
      <c r="ZA42" s="20" t="n">
        <f aca="false">YZ42</f>
        <v>1270</v>
      </c>
      <c r="ZB42" s="20" t="n">
        <f aca="false">ZA42</f>
        <v>1270</v>
      </c>
      <c r="ZC42" s="20" t="n">
        <f aca="false">ZB42</f>
        <v>1270</v>
      </c>
      <c r="ZD42" s="20" t="n">
        <f aca="false">ZC42</f>
        <v>1270</v>
      </c>
      <c r="ZE42" s="20" t="n">
        <f aca="false">ZD42</f>
        <v>1270</v>
      </c>
      <c r="ZF42" s="20" t="n">
        <f aca="false">ZE42</f>
        <v>1270</v>
      </c>
      <c r="ZG42" s="20" t="n">
        <f aca="false">ZF42</f>
        <v>1270</v>
      </c>
      <c r="ZH42" s="20" t="n">
        <f aca="false">ZG42</f>
        <v>1270</v>
      </c>
      <c r="ZI42" s="20" t="n">
        <f aca="false">ZH42</f>
        <v>1270</v>
      </c>
      <c r="ZJ42" s="20" t="n">
        <f aca="false">ZI42</f>
        <v>1270</v>
      </c>
      <c r="ZK42" s="20" t="n">
        <f aca="false">ZJ42</f>
        <v>1270</v>
      </c>
      <c r="ZL42" s="20" t="n">
        <f aca="false">ZK42</f>
        <v>1270</v>
      </c>
      <c r="ZM42" s="20" t="n">
        <f aca="false">ZL42</f>
        <v>1270</v>
      </c>
      <c r="ZN42" s="20" t="n">
        <f aca="false">ZM42</f>
        <v>1270</v>
      </c>
      <c r="ZO42" s="20" t="n">
        <f aca="false">ZN42</f>
        <v>1270</v>
      </c>
      <c r="ZP42" s="20" t="n">
        <f aca="false">ZO42</f>
        <v>1270</v>
      </c>
      <c r="ZQ42" s="20" t="n">
        <f aca="false">ZP42</f>
        <v>1270</v>
      </c>
      <c r="ZR42" s="20" t="n">
        <f aca="false">ZQ42</f>
        <v>1270</v>
      </c>
      <c r="ZS42" s="20" t="n">
        <f aca="false">ZR42</f>
        <v>1270</v>
      </c>
      <c r="ZT42" s="20" t="n">
        <f aca="false">ZS42</f>
        <v>1270</v>
      </c>
      <c r="ZU42" s="20" t="n">
        <f aca="false">ZT42</f>
        <v>1270</v>
      </c>
      <c r="ZV42" s="20" t="n">
        <f aca="false">ZU42</f>
        <v>1270</v>
      </c>
      <c r="ZW42" s="20" t="n">
        <f aca="false">ZV42</f>
        <v>1270</v>
      </c>
      <c r="ZX42" s="20" t="n">
        <f aca="false">ZW42</f>
        <v>1270</v>
      </c>
      <c r="ZY42" s="20" t="n">
        <f aca="false">ZX42</f>
        <v>1270</v>
      </c>
      <c r="ZZ42" s="20" t="n">
        <f aca="false">ZY42</f>
        <v>1270</v>
      </c>
      <c r="AAA42" s="20" t="n">
        <f aca="false">ZZ42</f>
        <v>1270</v>
      </c>
      <c r="AAB42" s="20" t="n">
        <f aca="false">AAA42</f>
        <v>1270</v>
      </c>
      <c r="AAC42" s="20" t="n">
        <f aca="false">AAB42</f>
        <v>1270</v>
      </c>
      <c r="AAD42" s="20" t="n">
        <f aca="false">AAC42</f>
        <v>1270</v>
      </c>
      <c r="AAE42" s="20" t="n">
        <f aca="false">IF(H_Direct=1,IF(BR42&lt;=0,I42-BR42*TE42,I42-MIN(MIN(BR42*TE42,(H42+I42)),I42)),I42)</f>
        <v>0</v>
      </c>
      <c r="AAF42" s="20" t="n">
        <f aca="false">IF(H_Direct=1,IF(BS42&lt;=0,AAE42-BS42*TF42,AAE42-MIN(MIN(BS42*TF42,(WR42+AAE42)),AAE42)),AAE42)</f>
        <v>0</v>
      </c>
      <c r="AAG42" s="20" t="n">
        <f aca="false">IF(H_Direct=1,IF(BT42&lt;=0,AAF42-BT42*TG42,AAF42-MIN(MIN(BT42*TG42,(WS42+AAF42)),AAF42)),AAF42)</f>
        <v>0</v>
      </c>
      <c r="AAH42" s="20" t="n">
        <f aca="false">IF(H_Direct=1,IF(BU42&lt;=0,AAG42-BU42*TH42,AAG42-MIN(MIN(BU42*TH42,(WT42+AAG42)),AAG42)),AAG42)</f>
        <v>0</v>
      </c>
      <c r="AAI42" s="20" t="n">
        <f aca="false">IF(H_Direct=1,IF(BV42&lt;=0,AAH42-BV42*TI42,AAH42-MIN(MIN(BV42*TI42,(WU42+AAH42)),AAH42)),AAH42)</f>
        <v>0</v>
      </c>
      <c r="AAJ42" s="20" t="n">
        <f aca="false">IF(H_Direct=1,IF(BW42&lt;=0,AAI42-BW42*TJ42,AAI42-MIN(MIN(BW42*TJ42,(WV42+AAI42)),AAI42)),AAI42)</f>
        <v>0</v>
      </c>
      <c r="AAK42" s="20" t="n">
        <f aca="false">IF(H_Direct=1,IF(BX42&lt;=0,AAJ42-BX42*TK42,AAJ42-MIN(MIN(BX42*TK42,(WW42+AAJ42)),AAJ42)),AAJ42)</f>
        <v>0</v>
      </c>
      <c r="AAL42" s="20" t="n">
        <f aca="false">IF(H_Direct=1,IF(BY42&lt;=0,AAK42-BY42*TL42,AAK42-MIN(MIN(BY42*TL42,(WX42+AAK42)),AAK42)),AAK42)</f>
        <v>0</v>
      </c>
      <c r="AAM42" s="20" t="n">
        <f aca="false">IF(H_Direct=1,IF(BZ42&lt;=0,AAL42-BZ42*TM42,AAL42-MIN(MIN(BZ42*TM42,(WY42+AAL42)),AAL42)),AAL42)</f>
        <v>0</v>
      </c>
      <c r="AAN42" s="20" t="n">
        <f aca="false">IF(H_Direct=1,IF(CA42&lt;=0,AAM42-CA42*TN42,AAM42-MIN(MIN(CA42*TN42,(WZ42+AAM42)),AAM42)),AAM42)</f>
        <v>0</v>
      </c>
      <c r="AAO42" s="20" t="n">
        <f aca="false">IF(H_Direct=1,IF(CB42&lt;=0,AAN42-CB42*TO42,AAN42-MIN(MIN(CB42*TO42,(XA42+AAN42)),AAN42)),AAN42)</f>
        <v>0</v>
      </c>
      <c r="AAP42" s="20" t="n">
        <f aca="false">IF(H_Direct=1,IF(CC42&lt;=0,AAO42-CC42*TP42,AAO42-MIN(MIN(CC42*TP42,(XB42+AAO42)),AAO42)),AAO42)</f>
        <v>0</v>
      </c>
      <c r="AAQ42" s="20" t="n">
        <f aca="false">IF(H_Direct=1,IF(CD42&lt;=0,AAP42-CD42*TQ42,AAP42-MIN(MIN(CD42*TQ42,(XC42+AAP42)),AAP42)),AAP42)</f>
        <v>0</v>
      </c>
      <c r="AAR42" s="20" t="n">
        <f aca="false">IF(H_Direct=1,IF(CE42&lt;=0,AAQ42-CE42*TR42,AAQ42-MIN(MIN(CE42*TR42,(XD42+AAQ42)),AAQ42)),AAQ42)</f>
        <v>0</v>
      </c>
      <c r="AAS42" s="20" t="n">
        <f aca="false">IF(H_Direct=1,IF(CF42&lt;=0,AAR42-CF42*TS42,AAR42-MIN(MIN(CF42*TS42,(XE42+AAR42)),AAR42)),AAR42)</f>
        <v>0</v>
      </c>
      <c r="AAT42" s="20" t="n">
        <f aca="false">IF(H_Direct=1,IF(CG42&lt;=0,AAS42-CG42*TT42,AAS42-MIN(MIN(CG42*TT42,(XF42+AAS42)),AAS42)),AAS42)</f>
        <v>0</v>
      </c>
      <c r="AAU42" s="20" t="n">
        <f aca="false">IF(H_Direct=1,IF(CH42&lt;=0,AAT42-CH42*TU42,AAT42-MIN(MIN(CH42*TU42,(XG42+AAT42)),AAT42)),AAT42)</f>
        <v>0</v>
      </c>
      <c r="AAV42" s="20" t="n">
        <f aca="false">IF(H_Direct=1,IF(CI42&lt;=0,AAU42-CI42*TV42,AAU42-MIN(MIN(CI42*TV42,(XH42+AAU42)),AAU42)),AAU42)</f>
        <v>0</v>
      </c>
      <c r="AAW42" s="20" t="n">
        <f aca="false">IF(H_Direct=1,IF(CJ42&lt;=0,AAV42-CJ42*TW42,AAV42-MIN(MIN(CJ42*TW42,(XI42+AAV42)),AAV42)),AAV42)</f>
        <v>0</v>
      </c>
      <c r="AAX42" s="20" t="n">
        <f aca="false">IF(H_Direct=1,IF(CK42&lt;=0,AAW42-CK42*TX42,AAW42-MIN(MIN(CK42*TX42,(XJ42+AAW42)),AAW42)),AAW42)</f>
        <v>0</v>
      </c>
      <c r="AAY42" s="20" t="n">
        <f aca="false">IF(H_Direct=1,IF(CL42&lt;=0,AAX42-CL42*TY42,AAX42-MIN(MIN(CL42*TY42,(XK42+AAX42)),AAX42)),AAX42)</f>
        <v>0</v>
      </c>
      <c r="AAZ42" s="20" t="n">
        <f aca="false">IF(H_Direct=1,IF(CM42&lt;=0,AAY42-CM42*TZ42,AAY42-MIN(MIN(CM42*TZ42,(XL42+AAY42)),AAY42)),AAY42)</f>
        <v>0</v>
      </c>
      <c r="ABA42" s="20" t="n">
        <f aca="false">IF(H_Direct=1,IF(CN42&lt;=0,AAZ42-CN42*UA42,AAZ42-MIN(MIN(CN42*UA42,(XM42+AAZ42)),AAZ42)),AAZ42)</f>
        <v>0</v>
      </c>
      <c r="ABB42" s="20" t="n">
        <f aca="false">IF(H_Direct=1,IF(CO42&lt;=0,ABA42-CO42*UB42,ABA42-MIN(MIN(CO42*UB42,(XN42+ABA42)),ABA42)),ABA42)</f>
        <v>0</v>
      </c>
      <c r="ABC42" s="20" t="n">
        <f aca="false">IF(H_Direct=1,IF(CP42&lt;=0,ABB42-CP42*UC42,ABB42-MIN(MIN(CP42*UC42,(XO42+ABB42)),ABB42)),ABB42)</f>
        <v>0</v>
      </c>
      <c r="ABD42" s="20" t="n">
        <f aca="false">IF(H_Direct=1,IF(CQ42&lt;=0,ABC42-CQ42*UD42,ABC42-MIN(MIN(CQ42*UD42,(XP42+ABC42)),ABC42)),ABC42)</f>
        <v>0</v>
      </c>
      <c r="ABE42" s="20" t="n">
        <f aca="false">IF(H_Direct=1,IF(CR42&lt;=0,ABD42-CR42*UE42,ABD42-MIN(MIN(CR42*UE42,(XQ42+ABD42)),ABD42)),ABD42)</f>
        <v>0</v>
      </c>
      <c r="ABF42" s="20" t="n">
        <f aca="false">IF(H_Direct=1,IF(CS42&lt;=0,ABE42-CS42*UF42,ABE42-MIN(MIN(CS42*UF42,(XR42+ABE42)),ABE42)),ABE42)</f>
        <v>0</v>
      </c>
      <c r="ABG42" s="20" t="n">
        <f aca="false">IF(H_Direct=1,IF(CT42&lt;=0,ABF42-CT42*UG42,ABF42-MIN(MIN(CT42*UG42,(XS42+ABF42)),ABF42)),ABF42)</f>
        <v>0</v>
      </c>
      <c r="ABH42" s="20" t="n">
        <f aca="false">IF(H_Direct=1,IF(CU42&lt;=0,ABG42-CU42*UH42,ABG42-MIN(MIN(CU42*UH42,(XT42+ABG42)),ABG42)),ABG42)</f>
        <v>0</v>
      </c>
      <c r="ABI42" s="20" t="n">
        <f aca="false">IF(H_Direct=1,IF(CV42&lt;=0,ABH42-CV42*UI42,ABH42-MIN(MIN(CV42*UI42,(XU42+ABH42)),ABH42)),ABH42)</f>
        <v>0</v>
      </c>
      <c r="ABJ42" s="20" t="n">
        <f aca="false">IF(H_Direct=1,IF(CW42&lt;=0,ABI42-CW42*UJ42,ABI42-MIN(MIN(CW42*UJ42,(XV42+ABI42)),ABI42)),ABI42)</f>
        <v>0</v>
      </c>
      <c r="ABK42" s="20" t="n">
        <f aca="false">IF(H_Direct=1,IF(CX42&lt;=0,ABJ42-CX42*UK42,ABJ42-MIN(MIN(CX42*UK42,(XW42+ABJ42)),ABJ42)),ABJ42)</f>
        <v>0</v>
      </c>
      <c r="ABL42" s="20" t="n">
        <f aca="false">IF(H_Direct=1,IF(CY42&lt;=0,ABK42-CY42*UL42,ABK42-MIN(MIN(CY42*UL42,(XX42+ABK42)),ABK42)),ABK42)</f>
        <v>0</v>
      </c>
      <c r="ABM42" s="20" t="n">
        <f aca="false">IF(H_Direct=1,IF(CZ42&lt;=0,ABL42-CZ42*UM42,ABL42-MIN(MIN(CZ42*UM42,(XY42+ABL42)),ABL42)),ABL42)</f>
        <v>0</v>
      </c>
      <c r="ABN42" s="20" t="n">
        <f aca="false">IF(H_Direct=1,IF(DA42&lt;=0,ABM42-DA42*UN42,ABM42-MIN(MIN(DA42*UN42,(XZ42+ABM42)),ABM42)),ABM42)</f>
        <v>0</v>
      </c>
      <c r="ABO42" s="20" t="n">
        <f aca="false">ABN42</f>
        <v>0</v>
      </c>
      <c r="ABP42" s="20" t="n">
        <f aca="false">ABO42</f>
        <v>0</v>
      </c>
      <c r="ABQ42" s="20" t="n">
        <f aca="false">ABP42</f>
        <v>0</v>
      </c>
      <c r="ABR42" s="20" t="n">
        <f aca="false">ABQ42</f>
        <v>0</v>
      </c>
      <c r="ABS42" s="20" t="n">
        <f aca="false">ABR42</f>
        <v>0</v>
      </c>
      <c r="ABT42" s="20" t="n">
        <f aca="false">ABS42</f>
        <v>0</v>
      </c>
      <c r="ABU42" s="20" t="n">
        <f aca="false">ABT42</f>
        <v>0</v>
      </c>
      <c r="ABV42" s="20" t="n">
        <f aca="false">ABU42</f>
        <v>0</v>
      </c>
      <c r="ABW42" s="20" t="n">
        <f aca="false">ABV42</f>
        <v>0</v>
      </c>
      <c r="ABX42" s="20" t="n">
        <f aca="false">ABW42</f>
        <v>0</v>
      </c>
      <c r="ABY42" s="20" t="n">
        <f aca="false">ABX42</f>
        <v>0</v>
      </c>
      <c r="ABZ42" s="20" t="n">
        <f aca="false">ABY42</f>
        <v>0</v>
      </c>
      <c r="ACA42" s="20" t="n">
        <f aca="false">ABZ42</f>
        <v>0</v>
      </c>
      <c r="ACB42" s="20" t="n">
        <f aca="false">ACA42</f>
        <v>0</v>
      </c>
      <c r="ACC42" s="20" t="n">
        <f aca="false">ACB42</f>
        <v>0</v>
      </c>
      <c r="ACD42" s="20" t="n">
        <f aca="false">ACC42</f>
        <v>0</v>
      </c>
      <c r="ACE42" s="20" t="n">
        <f aca="false">ACD42</f>
        <v>0</v>
      </c>
      <c r="ACF42" s="20" t="n">
        <f aca="false">ACE42</f>
        <v>0</v>
      </c>
      <c r="ACG42" s="20" t="n">
        <f aca="false">ACF42</f>
        <v>0</v>
      </c>
      <c r="ACH42" s="20" t="n">
        <f aca="false">ACG42</f>
        <v>0</v>
      </c>
      <c r="ACI42" s="20" t="n">
        <f aca="false">ACH42</f>
        <v>0</v>
      </c>
      <c r="ACJ42" s="20" t="n">
        <f aca="false">ACI42</f>
        <v>0</v>
      </c>
      <c r="ACK42" s="20" t="n">
        <f aca="false">ACJ42</f>
        <v>0</v>
      </c>
      <c r="ACL42" s="20" t="n">
        <f aca="false">ACK42</f>
        <v>0</v>
      </c>
      <c r="ACM42" s="20" t="n">
        <f aca="false">ACL42</f>
        <v>0</v>
      </c>
      <c r="ACN42" s="20" t="n">
        <f aca="false">ACM42</f>
        <v>0</v>
      </c>
      <c r="ACO42" s="20" t="n">
        <f aca="false">ACN42</f>
        <v>0</v>
      </c>
      <c r="ACP42" s="20" t="n">
        <f aca="false">ACO42</f>
        <v>0</v>
      </c>
      <c r="ACQ42" s="20" t="n">
        <f aca="false">ACP42</f>
        <v>0</v>
      </c>
      <c r="ACR42" s="20" t="n">
        <f aca="false">ACQ42</f>
        <v>0</v>
      </c>
      <c r="ACS42" s="20" t="n">
        <f aca="false">ACR42</f>
        <v>0</v>
      </c>
      <c r="ACT42" s="20" t="n">
        <f aca="false">ACS42</f>
        <v>0</v>
      </c>
      <c r="ACU42" s="20" t="n">
        <f aca="false">ACT42</f>
        <v>0</v>
      </c>
      <c r="ACV42" s="20" t="n">
        <f aca="false">ACU42</f>
        <v>0</v>
      </c>
      <c r="ACW42" s="20" t="n">
        <f aca="false">ACV42</f>
        <v>0</v>
      </c>
      <c r="ACX42" s="20" t="n">
        <f aca="false">ACW42</f>
        <v>0</v>
      </c>
      <c r="ACY42" s="20" t="n">
        <f aca="false">ACX42</f>
        <v>0</v>
      </c>
      <c r="ACZ42" s="20" t="n">
        <f aca="false">ACY42</f>
        <v>0</v>
      </c>
      <c r="ADA42" s="20" t="n">
        <f aca="false">ACZ42</f>
        <v>0</v>
      </c>
      <c r="ADB42" s="20" t="n">
        <f aca="false">ADA42</f>
        <v>0</v>
      </c>
      <c r="ADC42" s="20" t="n">
        <f aca="false">ADB42</f>
        <v>0</v>
      </c>
      <c r="ADD42" s="20" t="n">
        <f aca="false">ADC42</f>
        <v>0</v>
      </c>
      <c r="ADE42" s="20" t="n">
        <f aca="false">ADD42</f>
        <v>0</v>
      </c>
      <c r="ADF42" s="20" t="n">
        <f aca="false">ADE42</f>
        <v>0</v>
      </c>
      <c r="ADG42" s="20" t="n">
        <f aca="false">ADF42</f>
        <v>0</v>
      </c>
      <c r="ADH42" s="20" t="n">
        <f aca="false">ADG42</f>
        <v>0</v>
      </c>
      <c r="ADI42" s="20" t="n">
        <f aca="false">ADH42</f>
        <v>0</v>
      </c>
      <c r="ADJ42" s="20" t="n">
        <f aca="false">ADI42</f>
        <v>0</v>
      </c>
      <c r="ADK42" s="20" t="n">
        <f aca="false">ADJ42</f>
        <v>0</v>
      </c>
      <c r="ADL42" s="20" t="n">
        <f aca="false">ADK42</f>
        <v>0</v>
      </c>
      <c r="ADM42" s="20" t="n">
        <f aca="false">ADL42</f>
        <v>0</v>
      </c>
      <c r="ADN42" s="20" t="n">
        <f aca="false">ADM42</f>
        <v>0</v>
      </c>
      <c r="ADO42" s="20" t="n">
        <f aca="false">ADN42</f>
        <v>0</v>
      </c>
      <c r="ADP42" s="20" t="n">
        <f aca="false">ADO42</f>
        <v>0</v>
      </c>
      <c r="ADQ42" s="20" t="n">
        <f aca="false">ADP42</f>
        <v>0</v>
      </c>
      <c r="ADR42" s="20" t="n">
        <f aca="false">(AKR41-TE42+0)*(1+BQ42)</f>
        <v>0</v>
      </c>
      <c r="ADS42" s="20" t="n">
        <f aca="false">(AKS41-TF42+0)*(1+BQ42)</f>
        <v>0</v>
      </c>
      <c r="ADT42" s="20" t="n">
        <f aca="false">(AKT41-TG42+0)*(1+BQ42)</f>
        <v>0</v>
      </c>
      <c r="ADU42" s="20" t="n">
        <f aca="false">(AKU41-TH42+0)*(1+BQ42)</f>
        <v>0</v>
      </c>
      <c r="ADV42" s="20" t="n">
        <f aca="false">(AKV41-TI42+0)*(1+BQ42)</f>
        <v>0</v>
      </c>
      <c r="ADW42" s="20" t="n">
        <f aca="false">(AKW41-TJ42+0)*(1+BQ42)</f>
        <v>0</v>
      </c>
      <c r="ADX42" s="20" t="n">
        <f aca="false">(AKX41-TK42+0)*(1+BQ42)</f>
        <v>0</v>
      </c>
      <c r="ADY42" s="20" t="n">
        <f aca="false">(AKY41-TL42+0)*(1+BQ42)</f>
        <v>0</v>
      </c>
      <c r="ADZ42" s="20" t="n">
        <f aca="false">(AKZ41-TM42+0)*(1+BQ42)</f>
        <v>0</v>
      </c>
      <c r="AEA42" s="20" t="n">
        <f aca="false">(ALA41-TN42+0)*(1+BQ42)</f>
        <v>0</v>
      </c>
      <c r="AEB42" s="20" t="n">
        <f aca="false">(ALB41-TO42+0)*(1+BQ42)</f>
        <v>0</v>
      </c>
      <c r="AEC42" s="20" t="n">
        <f aca="false">(ALC41-TP42+0)*(1+BQ42)</f>
        <v>0</v>
      </c>
      <c r="AED42" s="20" t="n">
        <f aca="false">(ALD41-TQ42+0)*(1+BQ42)</f>
        <v>0</v>
      </c>
      <c r="AEE42" s="20" t="n">
        <f aca="false">(ALE41-TR42+0)*(1+BQ42)</f>
        <v>0</v>
      </c>
      <c r="AEF42" s="20" t="n">
        <f aca="false">(ALF41-TS42+0)*(1+BQ42)</f>
        <v>0</v>
      </c>
      <c r="AEG42" s="20" t="n">
        <f aca="false">(ALG41-TT42+0)*(1+BQ42)</f>
        <v>0</v>
      </c>
      <c r="AEH42" s="20" t="n">
        <f aca="false">(ALH41-TU42+0)*(1+BQ42)</f>
        <v>0</v>
      </c>
      <c r="AEI42" s="20" t="n">
        <f aca="false">(ALI41-TV42+0)*(1+BQ42)</f>
        <v>0</v>
      </c>
      <c r="AEJ42" s="20" t="n">
        <f aca="false">(ALJ41-TW42+0)*(1+BQ42)</f>
        <v>0</v>
      </c>
      <c r="AEK42" s="20" t="n">
        <f aca="false">(ALK41-TX42+0)*(1+BQ42)</f>
        <v>0</v>
      </c>
      <c r="AEL42" s="20" t="n">
        <f aca="false">(ALL41-TY42+0)*(1+BQ42)</f>
        <v>0</v>
      </c>
      <c r="AEM42" s="20" t="n">
        <f aca="false">(ALM41-TZ42+0)*(1+BQ42)</f>
        <v>0</v>
      </c>
      <c r="AEN42" s="20" t="n">
        <f aca="false">(ALN41-UA42+0)*(1+BQ42)</f>
        <v>3640.27716479546</v>
      </c>
      <c r="AEO42" s="20" t="n">
        <f aca="false">(ALO41-UB42+0)*(1+BQ42)</f>
        <v>5545.76428745503</v>
      </c>
      <c r="AEP42" s="20" t="n">
        <f aca="false">(ALP41-UC42+0)*(1+BQ42)</f>
        <v>5439.11497423475</v>
      </c>
      <c r="AEQ42" s="20" t="n">
        <f aca="false">(ALQ41-UD42+0)*(1+BQ42)</f>
        <v>5334.51660934562</v>
      </c>
      <c r="AER42" s="20" t="n">
        <f aca="false">(ALR41-UE42+0)*(1+BQ42)</f>
        <v>79146.2809019065</v>
      </c>
      <c r="AES42" s="20" t="n">
        <f aca="false">(ALS41-UF42+0)*(1+BQ42)</f>
        <v>0</v>
      </c>
      <c r="AET42" s="20" t="n">
        <f aca="false">(ALT41-UG42+0)*(1+BQ42)</f>
        <v>0</v>
      </c>
      <c r="AEU42" s="20" t="n">
        <f aca="false">(ALU41-UH42+0)*(1+BQ42)</f>
        <v>2275.84834602631</v>
      </c>
      <c r="AEV42" s="20" t="n">
        <f aca="false">(ALV41-UI42+0)*(1+BQ42)</f>
        <v>0</v>
      </c>
      <c r="AEW42" s="20" t="n">
        <f aca="false">(ALW41-UJ42+0)*(1+BQ42)</f>
        <v>0</v>
      </c>
      <c r="AEX42" s="20" t="n">
        <f aca="false">(ALX41-UK42+0)*(1+BQ42)</f>
        <v>0</v>
      </c>
      <c r="AEY42" s="20" t="n">
        <f aca="false">(ALY41-UL42+0)*(1+BQ42)</f>
        <v>0</v>
      </c>
      <c r="AEZ42" s="20" t="n">
        <f aca="false">(ALZ41-UM42+0)*(1+BQ42)</f>
        <v>0</v>
      </c>
      <c r="AFA42" s="20" t="n">
        <f aca="false">((P42+S42)-UN42+BE42)*(1+BQ42)</f>
        <v>0</v>
      </c>
      <c r="AFB42" s="20" t="n">
        <v>0</v>
      </c>
      <c r="AFC42" s="20" t="n">
        <v>0</v>
      </c>
      <c r="AFD42" s="20" t="n">
        <v>0</v>
      </c>
      <c r="AFE42" s="20" t="n">
        <v>0</v>
      </c>
      <c r="AFF42" s="20" t="n">
        <v>0</v>
      </c>
      <c r="AFG42" s="20" t="n">
        <v>0</v>
      </c>
      <c r="AFH42" s="20" t="n">
        <v>0</v>
      </c>
      <c r="AFI42" s="20" t="n">
        <v>0</v>
      </c>
      <c r="AFJ42" s="20" t="n">
        <v>0</v>
      </c>
      <c r="AFK42" s="20" t="n">
        <v>0</v>
      </c>
      <c r="AFL42" s="20" t="n">
        <v>0</v>
      </c>
      <c r="AFM42" s="20" t="n">
        <v>0</v>
      </c>
      <c r="AFN42" s="20" t="n">
        <v>0</v>
      </c>
      <c r="AFO42" s="20" t="n">
        <v>0</v>
      </c>
      <c r="AFP42" s="20" t="n">
        <v>0</v>
      </c>
      <c r="AFQ42" s="20" t="n">
        <v>0</v>
      </c>
      <c r="AFR42" s="20" t="n">
        <v>0</v>
      </c>
      <c r="AFS42" s="20" t="n">
        <v>0</v>
      </c>
      <c r="AFT42" s="20" t="n">
        <v>0</v>
      </c>
      <c r="AFU42" s="20" t="n">
        <v>0</v>
      </c>
      <c r="AFV42" s="20" t="n">
        <v>0</v>
      </c>
      <c r="AFW42" s="20" t="n">
        <v>0</v>
      </c>
      <c r="AFX42" s="20" t="n">
        <v>0</v>
      </c>
      <c r="AFY42" s="20" t="n">
        <v>0</v>
      </c>
      <c r="AFZ42" s="20" t="n">
        <v>0</v>
      </c>
      <c r="AGA42" s="20" t="n">
        <v>0</v>
      </c>
      <c r="AGB42" s="20" t="n">
        <v>0</v>
      </c>
      <c r="AGC42" s="20" t="n">
        <v>0</v>
      </c>
      <c r="AGD42" s="20" t="n">
        <v>0</v>
      </c>
      <c r="AGE42" s="20" t="n">
        <v>0</v>
      </c>
      <c r="AGF42" s="20" t="n">
        <v>0</v>
      </c>
      <c r="AGG42" s="20" t="n">
        <v>0</v>
      </c>
      <c r="AGH42" s="20" t="n">
        <v>0</v>
      </c>
      <c r="AGI42" s="20" t="n">
        <v>0</v>
      </c>
      <c r="AGJ42" s="20" t="n">
        <v>0</v>
      </c>
      <c r="AGK42" s="20" t="n">
        <v>0</v>
      </c>
      <c r="AGL42" s="20" t="n">
        <v>0</v>
      </c>
      <c r="AGM42" s="20" t="n">
        <v>0</v>
      </c>
      <c r="AGN42" s="20" t="n">
        <v>0</v>
      </c>
      <c r="AGO42" s="20" t="n">
        <v>0</v>
      </c>
      <c r="AGP42" s="20" t="n">
        <v>0</v>
      </c>
      <c r="AGQ42" s="20" t="n">
        <v>0</v>
      </c>
      <c r="AGR42" s="20" t="n">
        <v>0</v>
      </c>
      <c r="AGS42" s="20" t="n">
        <v>0</v>
      </c>
      <c r="AGT42" s="20" t="n">
        <v>0</v>
      </c>
      <c r="AGU42" s="20" t="n">
        <v>0</v>
      </c>
      <c r="AGV42" s="20" t="n">
        <v>0</v>
      </c>
      <c r="AGW42" s="20" t="n">
        <v>0</v>
      </c>
      <c r="AGX42" s="20" t="n">
        <v>0</v>
      </c>
      <c r="AGY42" s="20" t="n">
        <v>0</v>
      </c>
      <c r="AGZ42" s="20" t="n">
        <v>0</v>
      </c>
      <c r="AHA42" s="20" t="n">
        <v>0</v>
      </c>
      <c r="AHB42" s="20" t="n">
        <v>0</v>
      </c>
      <c r="AHC42" s="20" t="n">
        <v>0</v>
      </c>
      <c r="AHD42" s="20" t="n">
        <v>0</v>
      </c>
      <c r="AHE42" s="20" t="n">
        <f aca="false">IF(AKR41&gt;0,AOE41-AOE41*TE42/AKR41,0)+0</f>
        <v>0</v>
      </c>
      <c r="AHF42" s="20" t="n">
        <f aca="false">IF(AKS41&gt;0,AOF41-AOF41*TF42/AKS41,0)+0</f>
        <v>0</v>
      </c>
      <c r="AHG42" s="20" t="n">
        <f aca="false">IF(AKT41&gt;0,AOG41-AOG41*TG42/AKT41,0)+0</f>
        <v>0</v>
      </c>
      <c r="AHH42" s="20" t="n">
        <f aca="false">IF(AKU41&gt;0,AOH41-AOH41*TH42/AKU41,0)+0</f>
        <v>0</v>
      </c>
      <c r="AHI42" s="20" t="n">
        <f aca="false">IF(AKV41&gt;0,AOI41-AOI41*TI42/AKV41,0)+0</f>
        <v>0</v>
      </c>
      <c r="AHJ42" s="20" t="n">
        <f aca="false">IF(AKW41&gt;0,AOJ41-AOJ41*TJ42/AKW41,0)+0</f>
        <v>0</v>
      </c>
      <c r="AHK42" s="20" t="n">
        <f aca="false">IF(AKX41&gt;0,AOK41-AOK41*TK42/AKX41,0)+0</f>
        <v>0</v>
      </c>
      <c r="AHL42" s="20" t="n">
        <f aca="false">IF(AKY41&gt;0,AOL41-AOL41*TL42/AKY41,0)+0</f>
        <v>0</v>
      </c>
      <c r="AHM42" s="20" t="n">
        <f aca="false">IF(AKZ41&gt;0,AOM41-AOM41*TM42/AKZ41,0)+0</f>
        <v>0</v>
      </c>
      <c r="AHN42" s="20" t="n">
        <f aca="false">IF(ALA41&gt;0,AON41-AON41*TN42/ALA41,0)+0</f>
        <v>0</v>
      </c>
      <c r="AHO42" s="20" t="n">
        <f aca="false">IF(ALB41&gt;0,AOO41-AOO41*TO42/ALB41,0)+0</f>
        <v>0</v>
      </c>
      <c r="AHP42" s="20" t="n">
        <f aca="false">IF(ALC41&gt;0,AOP41-AOP41*TP42/ALC41,0)+0</f>
        <v>0</v>
      </c>
      <c r="AHQ42" s="20" t="n">
        <f aca="false">IF(ALD41&gt;0,AOQ41-AOQ41*TQ42/ALD41,0)+0</f>
        <v>0</v>
      </c>
      <c r="AHR42" s="20" t="n">
        <f aca="false">IF(ALE41&gt;0,AOR41-AOR41*TR42/ALE41,0)+0</f>
        <v>0</v>
      </c>
      <c r="AHS42" s="20" t="n">
        <f aca="false">IF(ALF41&gt;0,AOS41-AOS41*TS42/ALF41,0)+0</f>
        <v>0</v>
      </c>
      <c r="AHT42" s="20" t="n">
        <f aca="false">IF(ALG41&gt;0,AOT41-AOT41*TT42/ALG41,0)+0</f>
        <v>0</v>
      </c>
      <c r="AHU42" s="20" t="n">
        <f aca="false">IF(ALH41&gt;0,AOU41-AOU41*TU42/ALH41,0)+0</f>
        <v>0</v>
      </c>
      <c r="AHV42" s="20" t="n">
        <f aca="false">IF(ALI41&gt;0,AOV41-AOV41*TV42/ALI41,0)+0</f>
        <v>0</v>
      </c>
      <c r="AHW42" s="20" t="n">
        <f aca="false">IF(ALJ41&gt;0,AOW41-AOW41*TW42/ALJ41,0)+0</f>
        <v>0</v>
      </c>
      <c r="AHX42" s="20" t="n">
        <f aca="false">IF(ALK41&gt;0,AOX41-AOX41*TX42/ALK41,0)+0</f>
        <v>0</v>
      </c>
      <c r="AHY42" s="20" t="n">
        <f aca="false">IF(ALL41&gt;0,AOY41-AOY41*TY42/ALL41,0)+0</f>
        <v>0</v>
      </c>
      <c r="AHZ42" s="20" t="n">
        <f aca="false">IF(ALM41&gt;0,AOZ41-AOZ41*TZ42/ALM41,0)+0</f>
        <v>0</v>
      </c>
      <c r="AIA42" s="20" t="n">
        <f aca="false">IF(ALN41&gt;0,APA41-APA41*UA42/ALN41,0)+0</f>
        <v>2876.96392102161</v>
      </c>
      <c r="AIB42" s="20" t="n">
        <f aca="false">IF(ALO41&gt;0,APB41-APB41*UB42/ALO41,0)+0</f>
        <v>4558.21399555725</v>
      </c>
      <c r="AIC42" s="20" t="n">
        <f aca="false">IF(ALP41&gt;0,APC41-APC41*UC42/ALP41,0)+0</f>
        <v>4649.3782754684</v>
      </c>
      <c r="AID42" s="20" t="n">
        <f aca="false">IF(ALQ41&gt;0,APD41-APD41*UD42/ALQ41,0)+0</f>
        <v>4742.36584097777</v>
      </c>
      <c r="AIE42" s="20" t="n">
        <f aca="false">IF(ALR41&gt;0,APE41-APE41*UE42/ALR41,0)+0</f>
        <v>73175.1857451059</v>
      </c>
      <c r="AIF42" s="20" t="n">
        <f aca="false">IF(ALS41&gt;0,APF41-APF41*UF42/ALS41,0)+0</f>
        <v>0</v>
      </c>
      <c r="AIG42" s="20" t="n">
        <f aca="false">IF(ALT41&gt;0,APG41-APG41*UG42/ALT41,0)+0</f>
        <v>0</v>
      </c>
      <c r="AIH42" s="20" t="n">
        <f aca="false">IF(ALU41&gt;0,APH41-APH41*UH42/ALU41,0)+0</f>
        <v>1729.45769829184</v>
      </c>
      <c r="AII42" s="20" t="n">
        <f aca="false">IF(ALV41&gt;0,API41-API41*UI42/ALV41,0)+0</f>
        <v>0</v>
      </c>
      <c r="AIJ42" s="20" t="n">
        <f aca="false">IF(ALW41&gt;0,APJ41-APJ41*UJ42/ALW41,0)+0</f>
        <v>0</v>
      </c>
      <c r="AIK42" s="20" t="n">
        <f aca="false">IF(ALX41&gt;0,APK41-APK41*UK42/ALX41,0)+0</f>
        <v>0</v>
      </c>
      <c r="AIL42" s="20" t="n">
        <f aca="false">IF(ALY41&gt;0,APL41-APL41*UL42/ALY41,0)+0</f>
        <v>0</v>
      </c>
      <c r="AIM42" s="20" t="n">
        <f aca="false">IF(ALZ41&gt;0,APM41-APM41*UM42/ALZ41,0)+0</f>
        <v>0</v>
      </c>
      <c r="AIN42" s="20" t="n">
        <f aca="false">IF((P42+S42)&gt;0,(P42+S42)-(P42+S42)*UN42/(P42+S42),0)+BE42</f>
        <v>0</v>
      </c>
      <c r="AIO42" s="20" t="n">
        <v>0</v>
      </c>
      <c r="AIP42" s="20" t="n">
        <v>0</v>
      </c>
      <c r="AIQ42" s="20" t="n">
        <v>0</v>
      </c>
      <c r="AIR42" s="20" t="n">
        <v>0</v>
      </c>
      <c r="AIS42" s="20" t="n">
        <v>0</v>
      </c>
      <c r="AIT42" s="20" t="n">
        <v>0</v>
      </c>
      <c r="AIU42" s="20" t="n">
        <v>0</v>
      </c>
      <c r="AIV42" s="20" t="n">
        <v>0</v>
      </c>
      <c r="AIW42" s="20" t="n">
        <v>0</v>
      </c>
      <c r="AIX42" s="20" t="n">
        <v>0</v>
      </c>
      <c r="AIY42" s="20" t="n">
        <v>0</v>
      </c>
      <c r="AIZ42" s="20" t="n">
        <v>0</v>
      </c>
      <c r="AJA42" s="20" t="n">
        <v>0</v>
      </c>
      <c r="AJB42" s="20" t="n">
        <v>0</v>
      </c>
      <c r="AJC42" s="20" t="n">
        <v>0</v>
      </c>
      <c r="AJD42" s="20" t="n">
        <v>0</v>
      </c>
      <c r="AJE42" s="20" t="n">
        <v>0</v>
      </c>
      <c r="AJF42" s="20" t="n">
        <v>0</v>
      </c>
      <c r="AJG42" s="20" t="n">
        <v>0</v>
      </c>
      <c r="AJH42" s="20" t="n">
        <v>0</v>
      </c>
      <c r="AJI42" s="20" t="n">
        <v>0</v>
      </c>
      <c r="AJJ42" s="20" t="n">
        <v>0</v>
      </c>
      <c r="AJK42" s="20" t="n">
        <v>0</v>
      </c>
      <c r="AJL42" s="20" t="n">
        <v>0</v>
      </c>
      <c r="AJM42" s="20" t="n">
        <v>0</v>
      </c>
      <c r="AJN42" s="20" t="n">
        <v>0</v>
      </c>
      <c r="AJO42" s="20" t="n">
        <v>0</v>
      </c>
      <c r="AJP42" s="20" t="n">
        <v>0</v>
      </c>
      <c r="AJQ42" s="20" t="n">
        <v>0</v>
      </c>
      <c r="AJR42" s="20" t="n">
        <v>0</v>
      </c>
      <c r="AJS42" s="20" t="n">
        <v>0</v>
      </c>
      <c r="AJT42" s="20" t="n">
        <v>0</v>
      </c>
      <c r="AJU42" s="20" t="n">
        <v>0</v>
      </c>
      <c r="AJV42" s="20" t="n">
        <v>0</v>
      </c>
      <c r="AJW42" s="20" t="n">
        <v>0</v>
      </c>
      <c r="AJX42" s="20" t="n">
        <v>0</v>
      </c>
      <c r="AJY42" s="20" t="n">
        <v>0</v>
      </c>
      <c r="AJZ42" s="20" t="n">
        <v>0</v>
      </c>
      <c r="AKA42" s="20" t="n">
        <v>0</v>
      </c>
      <c r="AKB42" s="20" t="n">
        <v>0</v>
      </c>
      <c r="AKC42" s="20" t="n">
        <v>0</v>
      </c>
      <c r="AKD42" s="20" t="n">
        <v>0</v>
      </c>
      <c r="AKE42" s="20" t="n">
        <v>0</v>
      </c>
      <c r="AKF42" s="20" t="n">
        <v>0</v>
      </c>
      <c r="AKG42" s="20" t="n">
        <v>0</v>
      </c>
      <c r="AKH42" s="20" t="n">
        <v>0</v>
      </c>
      <c r="AKI42" s="20" t="n">
        <v>0</v>
      </c>
      <c r="AKJ42" s="20" t="n">
        <v>0</v>
      </c>
      <c r="AKK42" s="20" t="n">
        <v>0</v>
      </c>
      <c r="AKL42" s="20" t="n">
        <v>0</v>
      </c>
      <c r="AKM42" s="20" t="n">
        <v>0</v>
      </c>
      <c r="AKN42" s="20" t="n">
        <v>0</v>
      </c>
      <c r="AKO42" s="20" t="n">
        <v>0</v>
      </c>
      <c r="AKP42" s="20" t="n">
        <v>0</v>
      </c>
      <c r="AKQ42" s="20" t="n">
        <v>0</v>
      </c>
      <c r="AKR42" s="20" t="n">
        <f aca="false">ADR42-AVE42</f>
        <v>0</v>
      </c>
      <c r="AKS42" s="20" t="n">
        <f aca="false">ADS42-AVF42</f>
        <v>0</v>
      </c>
      <c r="AKT42" s="20" t="n">
        <f aca="false">ADT42-AVG42</f>
        <v>0</v>
      </c>
      <c r="AKU42" s="20" t="n">
        <f aca="false">ADU42-AVH42</f>
        <v>0</v>
      </c>
      <c r="AKV42" s="20" t="n">
        <f aca="false">ADV42-AVI42</f>
        <v>0</v>
      </c>
      <c r="AKW42" s="20" t="n">
        <f aca="false">ADW42-AVJ42</f>
        <v>0</v>
      </c>
      <c r="AKX42" s="20" t="n">
        <f aca="false">ADX42-AVK42</f>
        <v>0</v>
      </c>
      <c r="AKY42" s="20" t="n">
        <f aca="false">ADY42-AVL42</f>
        <v>0</v>
      </c>
      <c r="AKZ42" s="20" t="n">
        <f aca="false">ADZ42-AVM42</f>
        <v>0</v>
      </c>
      <c r="ALA42" s="20" t="n">
        <f aca="false">AEA42-AVN42</f>
        <v>0</v>
      </c>
      <c r="ALB42" s="20" t="n">
        <f aca="false">AEB42-AVO42</f>
        <v>0</v>
      </c>
      <c r="ALC42" s="20" t="n">
        <f aca="false">AEC42-AVP42</f>
        <v>0</v>
      </c>
      <c r="ALD42" s="20" t="n">
        <f aca="false">AED42-AVQ42</f>
        <v>0</v>
      </c>
      <c r="ALE42" s="20" t="n">
        <f aca="false">AEE42-AVR42</f>
        <v>0</v>
      </c>
      <c r="ALF42" s="20" t="n">
        <f aca="false">AEF42-AVS42</f>
        <v>0</v>
      </c>
      <c r="ALG42" s="20" t="n">
        <f aca="false">AEG42-AVT42</f>
        <v>0</v>
      </c>
      <c r="ALH42" s="20" t="n">
        <f aca="false">AEH42-AVU42</f>
        <v>0</v>
      </c>
      <c r="ALI42" s="20" t="n">
        <f aca="false">AEI42-AVV42</f>
        <v>0</v>
      </c>
      <c r="ALJ42" s="20" t="n">
        <f aca="false">AEJ42-AVW42</f>
        <v>0</v>
      </c>
      <c r="ALK42" s="20" t="n">
        <f aca="false">AEK42-AVX42</f>
        <v>0</v>
      </c>
      <c r="ALL42" s="20" t="n">
        <f aca="false">AEL42-AVY42</f>
        <v>0</v>
      </c>
      <c r="ALM42" s="20" t="n">
        <f aca="false">AEM42-AVZ42</f>
        <v>0</v>
      </c>
      <c r="ALN42" s="20" t="n">
        <f aca="false">AEN42-AWA42</f>
        <v>3640.27716479546</v>
      </c>
      <c r="ALO42" s="20" t="n">
        <f aca="false">AEO42-AWB42</f>
        <v>5545.76428745503</v>
      </c>
      <c r="ALP42" s="20" t="n">
        <f aca="false">AEP42-AWC42</f>
        <v>5439.11497423475</v>
      </c>
      <c r="ALQ42" s="20" t="n">
        <f aca="false">AEQ42-AWD42</f>
        <v>5334.51660934562</v>
      </c>
      <c r="ALR42" s="20" t="n">
        <f aca="false">AER42-AWE42</f>
        <v>79146.2809019065</v>
      </c>
      <c r="ALS42" s="20" t="n">
        <f aca="false">AES42-AWF42</f>
        <v>0</v>
      </c>
      <c r="ALT42" s="20" t="n">
        <f aca="false">AET42-AWG42</f>
        <v>0</v>
      </c>
      <c r="ALU42" s="20" t="n">
        <f aca="false">AEU42-AWH42</f>
        <v>2275.84834602631</v>
      </c>
      <c r="ALV42" s="20" t="n">
        <f aca="false">AEV42-AWI42</f>
        <v>0</v>
      </c>
      <c r="ALW42" s="20" t="n">
        <f aca="false">AEW42-AWJ42</f>
        <v>0</v>
      </c>
      <c r="ALX42" s="20" t="n">
        <f aca="false">AEX42-AWK42</f>
        <v>0</v>
      </c>
      <c r="ALY42" s="20" t="n">
        <f aca="false">AEY42-AWL42</f>
        <v>0</v>
      </c>
      <c r="ALZ42" s="20" t="n">
        <f aca="false">AEZ42-AWM42</f>
        <v>0</v>
      </c>
      <c r="AMA42" s="20" t="n">
        <f aca="false">AFA42-AWN42</f>
        <v>0</v>
      </c>
      <c r="AMB42" s="20" t="n">
        <v>0</v>
      </c>
      <c r="AMC42" s="20" t="n">
        <v>0</v>
      </c>
      <c r="AMD42" s="20" t="n">
        <v>0</v>
      </c>
      <c r="AME42" s="20" t="n">
        <v>0</v>
      </c>
      <c r="AMF42" s="20" t="n">
        <v>0</v>
      </c>
      <c r="AMG42" s="20" t="n">
        <v>0</v>
      </c>
      <c r="AMH42" s="20" t="n">
        <v>0</v>
      </c>
      <c r="AMI42" s="20" t="n">
        <v>0</v>
      </c>
      <c r="AMJ42" s="20" t="n">
        <v>0</v>
      </c>
      <c r="AMK42" s="20" t="n">
        <v>0</v>
      </c>
      <c r="AML42" s="20" t="n">
        <v>0</v>
      </c>
      <c r="AMM42" s="20" t="n">
        <v>0</v>
      </c>
      <c r="AMN42" s="20" t="n">
        <v>0</v>
      </c>
      <c r="AMO42" s="20" t="n">
        <v>0</v>
      </c>
      <c r="AMP42" s="20" t="n">
        <v>0</v>
      </c>
      <c r="AMQ42" s="20" t="n">
        <v>0</v>
      </c>
      <c r="AMR42" s="20" t="n">
        <v>0</v>
      </c>
      <c r="AMS42" s="20" t="n">
        <v>0</v>
      </c>
      <c r="AMT42" s="20" t="n">
        <v>0</v>
      </c>
      <c r="AMU42" s="20" t="n">
        <v>0</v>
      </c>
      <c r="AMV42" s="20" t="n">
        <v>0</v>
      </c>
      <c r="AMW42" s="20" t="n">
        <v>0</v>
      </c>
      <c r="AMX42" s="20" t="n">
        <v>0</v>
      </c>
      <c r="AMY42" s="20" t="n">
        <v>0</v>
      </c>
      <c r="AMZ42" s="20" t="n">
        <v>0</v>
      </c>
      <c r="ANA42" s="20" t="n">
        <v>0</v>
      </c>
      <c r="ANB42" s="20" t="n">
        <v>0</v>
      </c>
      <c r="ANC42" s="20" t="n">
        <v>0</v>
      </c>
      <c r="AND42" s="20" t="n">
        <v>0</v>
      </c>
      <c r="ANE42" s="20" t="n">
        <v>0</v>
      </c>
      <c r="ANF42" s="20" t="n">
        <v>0</v>
      </c>
      <c r="ANG42" s="20" t="n">
        <v>0</v>
      </c>
      <c r="ANH42" s="20" t="n">
        <v>0</v>
      </c>
      <c r="ANI42" s="20" t="n">
        <v>0</v>
      </c>
      <c r="ANJ42" s="20" t="n">
        <v>0</v>
      </c>
      <c r="ANK42" s="20" t="n">
        <v>0</v>
      </c>
      <c r="ANL42" s="20" t="n">
        <v>0</v>
      </c>
      <c r="ANM42" s="20" t="n">
        <v>0</v>
      </c>
      <c r="ANN42" s="20" t="n">
        <v>0</v>
      </c>
      <c r="ANO42" s="20" t="n">
        <v>0</v>
      </c>
      <c r="ANP42" s="20" t="n">
        <v>0</v>
      </c>
      <c r="ANQ42" s="20" t="n">
        <v>0</v>
      </c>
      <c r="ANR42" s="20" t="n">
        <v>0</v>
      </c>
      <c r="ANS42" s="20" t="n">
        <v>0</v>
      </c>
      <c r="ANT42" s="20" t="n">
        <v>0</v>
      </c>
      <c r="ANU42" s="20" t="n">
        <v>0</v>
      </c>
      <c r="ANV42" s="20" t="n">
        <v>0</v>
      </c>
      <c r="ANW42" s="20" t="n">
        <v>0</v>
      </c>
      <c r="ANX42" s="20" t="n">
        <v>0</v>
      </c>
      <c r="ANY42" s="20" t="n">
        <v>0</v>
      </c>
      <c r="ANZ42" s="20" t="n">
        <v>0</v>
      </c>
      <c r="AOA42" s="20" t="n">
        <v>0</v>
      </c>
      <c r="AOB42" s="20" t="n">
        <v>0</v>
      </c>
      <c r="AOC42" s="20" t="n">
        <v>0</v>
      </c>
      <c r="AOD42" s="20" t="n">
        <v>0</v>
      </c>
      <c r="AOE42" s="20" t="n">
        <f aca="false">IF(AND(H_Direct=0,H_TaxEvt=1,ARR41+1&gt;=H_Deemed),AKR42,AHE42)</f>
        <v>0</v>
      </c>
      <c r="AOF42" s="20" t="n">
        <f aca="false">IF(AND(H_Direct=0,H_TaxEvt=1,ARS41+1&gt;=H_Deemed),AKS42,AHF42)</f>
        <v>0</v>
      </c>
      <c r="AOG42" s="20" t="n">
        <f aca="false">IF(AND(H_Direct=0,H_TaxEvt=1,ART41+1&gt;=H_Deemed),AKT42,AHG42)</f>
        <v>0</v>
      </c>
      <c r="AOH42" s="20" t="n">
        <f aca="false">IF(AND(H_Direct=0,H_TaxEvt=1,ARU41+1&gt;=H_Deemed),AKU42,AHH42)</f>
        <v>0</v>
      </c>
      <c r="AOI42" s="20" t="n">
        <f aca="false">IF(AND(H_Direct=0,H_TaxEvt=1,ARV41+1&gt;=H_Deemed),AKV42,AHI42)</f>
        <v>0</v>
      </c>
      <c r="AOJ42" s="20" t="n">
        <f aca="false">IF(AND(H_Direct=0,H_TaxEvt=1,ARW41+1&gt;=H_Deemed),AKW42,AHJ42)</f>
        <v>0</v>
      </c>
      <c r="AOK42" s="20" t="n">
        <f aca="false">IF(AND(H_Direct=0,H_TaxEvt=1,ARX41+1&gt;=H_Deemed),AKX42,AHK42)</f>
        <v>0</v>
      </c>
      <c r="AOL42" s="20" t="n">
        <f aca="false">IF(AND(H_Direct=0,H_TaxEvt=1,ARY41+1&gt;=H_Deemed),AKY42,AHL42)</f>
        <v>0</v>
      </c>
      <c r="AOM42" s="20" t="n">
        <f aca="false">IF(AND(H_Direct=0,H_TaxEvt=1,ARZ41+1&gt;=H_Deemed),AKZ42,AHM42)</f>
        <v>0</v>
      </c>
      <c r="AON42" s="20" t="n">
        <f aca="false">IF(AND(H_Direct=0,H_TaxEvt=1,ASA41+1&gt;=H_Deemed),ALA42,AHN42)</f>
        <v>0</v>
      </c>
      <c r="AOO42" s="20" t="n">
        <f aca="false">IF(AND(H_Direct=0,H_TaxEvt=1,ASB41+1&gt;=H_Deemed),ALB42,AHO42)</f>
        <v>0</v>
      </c>
      <c r="AOP42" s="20" t="n">
        <f aca="false">IF(AND(H_Direct=0,H_TaxEvt=1,ASC41+1&gt;=H_Deemed),ALC42,AHP42)</f>
        <v>0</v>
      </c>
      <c r="AOQ42" s="20" t="n">
        <f aca="false">IF(AND(H_Direct=0,H_TaxEvt=1,ASD41+1&gt;=H_Deemed),ALD42,AHQ42)</f>
        <v>0</v>
      </c>
      <c r="AOR42" s="20" t="n">
        <f aca="false">IF(AND(H_Direct=0,H_TaxEvt=1,ASE41+1&gt;=H_Deemed),ALE42,AHR42)</f>
        <v>0</v>
      </c>
      <c r="AOS42" s="20" t="n">
        <f aca="false">IF(AND(H_Direct=0,H_TaxEvt=1,ASF41+1&gt;=H_Deemed),ALF42,AHS42)</f>
        <v>0</v>
      </c>
      <c r="AOT42" s="20" t="n">
        <f aca="false">IF(AND(H_Direct=0,H_TaxEvt=1,ASG41+1&gt;=H_Deemed),ALG42,AHT42)</f>
        <v>0</v>
      </c>
      <c r="AOU42" s="20" t="n">
        <f aca="false">IF(AND(H_Direct=0,H_TaxEvt=1,ASH41+1&gt;=H_Deemed),ALH42,AHU42)</f>
        <v>0</v>
      </c>
      <c r="AOV42" s="20" t="n">
        <f aca="false">IF(AND(H_Direct=0,H_TaxEvt=1,ASI41+1&gt;=H_Deemed),ALI42,AHV42)</f>
        <v>0</v>
      </c>
      <c r="AOW42" s="20" t="n">
        <f aca="false">IF(AND(H_Direct=0,H_TaxEvt=1,ASJ41+1&gt;=H_Deemed),ALJ42,AHW42)</f>
        <v>0</v>
      </c>
      <c r="AOX42" s="20" t="n">
        <f aca="false">IF(AND(H_Direct=0,H_TaxEvt=1,ASK41+1&gt;=H_Deemed),ALK42,AHX42)</f>
        <v>0</v>
      </c>
      <c r="AOY42" s="20" t="n">
        <f aca="false">IF(AND(H_Direct=0,H_TaxEvt=1,ASL41+1&gt;=H_Deemed),ALL42,AHY42)</f>
        <v>0</v>
      </c>
      <c r="AOZ42" s="20" t="n">
        <f aca="false">IF(AND(H_Direct=0,H_TaxEvt=1,ASM41+1&gt;=H_Deemed),ALM42,AHZ42)</f>
        <v>0</v>
      </c>
      <c r="APA42" s="20" t="n">
        <f aca="false">IF(AND(H_Direct=0,H_TaxEvt=1,ASN41+1&gt;=H_Deemed),ALN42,AIA42)</f>
        <v>2876.96392102161</v>
      </c>
      <c r="APB42" s="20" t="n">
        <f aca="false">IF(AND(H_Direct=0,H_TaxEvt=1,ASO41+1&gt;=H_Deemed),ALO42,AIB42)</f>
        <v>4558.21399555725</v>
      </c>
      <c r="APC42" s="20" t="n">
        <f aca="false">IF(AND(H_Direct=0,H_TaxEvt=1,ASP41+1&gt;=H_Deemed),ALP42,AIC42)</f>
        <v>4649.3782754684</v>
      </c>
      <c r="APD42" s="20" t="n">
        <f aca="false">IF(AND(H_Direct=0,H_TaxEvt=1,ASQ41+1&gt;=H_Deemed),ALQ42,AID42)</f>
        <v>4742.36584097777</v>
      </c>
      <c r="APE42" s="20" t="n">
        <f aca="false">IF(AND(H_Direct=0,H_TaxEvt=1,ASR41+1&gt;=H_Deemed),ALR42,AIE42)</f>
        <v>73175.1857451059</v>
      </c>
      <c r="APF42" s="20" t="n">
        <f aca="false">IF(AND(H_Direct=0,H_TaxEvt=1,ASS41+1&gt;=H_Deemed),ALS42,AIF42)</f>
        <v>0</v>
      </c>
      <c r="APG42" s="20" t="n">
        <f aca="false">IF(AND(H_Direct=0,H_TaxEvt=1,AST41+1&gt;=H_Deemed),ALT42,AIG42)</f>
        <v>0</v>
      </c>
      <c r="APH42" s="20" t="n">
        <f aca="false">IF(AND(H_Direct=0,H_TaxEvt=1,ASU41+1&gt;=H_Deemed),ALU42,AIH42)</f>
        <v>1729.45769829184</v>
      </c>
      <c r="API42" s="20" t="n">
        <f aca="false">IF(AND(H_Direct=0,H_TaxEvt=1,ASV41+1&gt;=H_Deemed),ALV42,AII42)</f>
        <v>0</v>
      </c>
      <c r="APJ42" s="20" t="n">
        <f aca="false">IF(AND(H_Direct=0,H_TaxEvt=1,ASW41+1&gt;=H_Deemed),ALW42,AIJ42)</f>
        <v>0</v>
      </c>
      <c r="APK42" s="20" t="n">
        <f aca="false">IF(AND(H_Direct=0,H_TaxEvt=1,ASX41+1&gt;=H_Deemed),ALX42,AIK42)</f>
        <v>0</v>
      </c>
      <c r="APL42" s="20" t="n">
        <f aca="false">IF(AND(H_Direct=0,H_TaxEvt=1,ASY41+1&gt;=H_Deemed),ALY42,AIL42)</f>
        <v>0</v>
      </c>
      <c r="APM42" s="20" t="n">
        <f aca="false">IF(AND(H_Direct=0,H_TaxEvt=1,ASZ41+1&gt;=H_Deemed),ALZ42,AIM42)</f>
        <v>0</v>
      </c>
      <c r="APN42" s="20" t="n">
        <f aca="false">IF(AND(H_Direct=0,H_TaxEvt=1,0+1&gt;=H_Deemed),AMA42,AIN42)</f>
        <v>0</v>
      </c>
      <c r="APO42" s="20" t="n">
        <v>0</v>
      </c>
      <c r="APP42" s="20" t="n">
        <v>0</v>
      </c>
      <c r="APQ42" s="20" t="n">
        <v>0</v>
      </c>
      <c r="APR42" s="20" t="n">
        <v>0</v>
      </c>
      <c r="APS42" s="20" t="n">
        <v>0</v>
      </c>
      <c r="APT42" s="20" t="n">
        <v>0</v>
      </c>
      <c r="APU42" s="20" t="n">
        <v>0</v>
      </c>
      <c r="APV42" s="20" t="n">
        <v>0</v>
      </c>
      <c r="APW42" s="20" t="n">
        <v>0</v>
      </c>
      <c r="APX42" s="20" t="n">
        <v>0</v>
      </c>
      <c r="APY42" s="20" t="n">
        <v>0</v>
      </c>
      <c r="APZ42" s="20" t="n">
        <v>0</v>
      </c>
      <c r="AQA42" s="20" t="n">
        <v>0</v>
      </c>
      <c r="AQB42" s="20" t="n">
        <v>0</v>
      </c>
      <c r="AQC42" s="20" t="n">
        <v>0</v>
      </c>
      <c r="AQD42" s="20" t="n">
        <v>0</v>
      </c>
      <c r="AQE42" s="20" t="n">
        <v>0</v>
      </c>
      <c r="AQF42" s="20" t="n">
        <v>0</v>
      </c>
      <c r="AQG42" s="20" t="n">
        <v>0</v>
      </c>
      <c r="AQH42" s="20" t="n">
        <v>0</v>
      </c>
      <c r="AQI42" s="20" t="n">
        <v>0</v>
      </c>
      <c r="AQJ42" s="20" t="n">
        <v>0</v>
      </c>
      <c r="AQK42" s="20" t="n">
        <v>0</v>
      </c>
      <c r="AQL42" s="20" t="n">
        <v>0</v>
      </c>
      <c r="AQM42" s="20" t="n">
        <v>0</v>
      </c>
      <c r="AQN42" s="20" t="n">
        <v>0</v>
      </c>
      <c r="AQO42" s="20" t="n">
        <v>0</v>
      </c>
      <c r="AQP42" s="20" t="n">
        <v>0</v>
      </c>
      <c r="AQQ42" s="20" t="n">
        <v>0</v>
      </c>
      <c r="AQR42" s="20" t="n">
        <v>0</v>
      </c>
      <c r="AQS42" s="20" t="n">
        <v>0</v>
      </c>
      <c r="AQT42" s="20" t="n">
        <v>0</v>
      </c>
      <c r="AQU42" s="20" t="n">
        <v>0</v>
      </c>
      <c r="AQV42" s="20" t="n">
        <v>0</v>
      </c>
      <c r="AQW42" s="20" t="n">
        <v>0</v>
      </c>
      <c r="AQX42" s="20" t="n">
        <v>0</v>
      </c>
      <c r="AQY42" s="20" t="n">
        <v>0</v>
      </c>
      <c r="AQZ42" s="20" t="n">
        <v>0</v>
      </c>
      <c r="ARA42" s="20" t="n">
        <v>0</v>
      </c>
      <c r="ARB42" s="20" t="n">
        <v>0</v>
      </c>
      <c r="ARC42" s="20" t="n">
        <v>0</v>
      </c>
      <c r="ARD42" s="20" t="n">
        <v>0</v>
      </c>
      <c r="ARE42" s="20" t="n">
        <v>0</v>
      </c>
      <c r="ARF42" s="20" t="n">
        <v>0</v>
      </c>
      <c r="ARG42" s="20" t="n">
        <v>0</v>
      </c>
      <c r="ARH42" s="20" t="n">
        <v>0</v>
      </c>
      <c r="ARI42" s="20" t="n">
        <v>0</v>
      </c>
      <c r="ARJ42" s="20" t="n">
        <v>0</v>
      </c>
      <c r="ARK42" s="20" t="n">
        <v>0</v>
      </c>
      <c r="ARL42" s="20" t="n">
        <v>0</v>
      </c>
      <c r="ARM42" s="20" t="n">
        <v>0</v>
      </c>
      <c r="ARN42" s="20" t="n">
        <v>0</v>
      </c>
      <c r="ARO42" s="20" t="n">
        <v>0</v>
      </c>
      <c r="ARP42" s="20" t="n">
        <v>0</v>
      </c>
      <c r="ARQ42" s="20" t="n">
        <v>0</v>
      </c>
      <c r="ARR42" s="20" t="n">
        <f aca="false">IF(AND(H_Direct=0,H_TaxEvt=1),IF(ARR41+1&gt;=H_Deemed,0,ARR41+1),ARR41)</f>
        <v>3</v>
      </c>
      <c r="ARS42" s="20" t="n">
        <f aca="false">IF(AND(H_Direct=0,H_TaxEvt=1),IF(ARS41+1&gt;=H_Deemed,0,ARS41+1),ARS41)</f>
        <v>3</v>
      </c>
      <c r="ART42" s="20" t="n">
        <f aca="false">IF(AND(H_Direct=0,H_TaxEvt=1),IF(ART41+1&gt;=H_Deemed,0,ART41+1),ART41)</f>
        <v>2</v>
      </c>
      <c r="ARU42" s="20" t="n">
        <f aca="false">IF(AND(H_Direct=0,H_TaxEvt=1),IF(ARU41+1&gt;=H_Deemed,0,ARU41+1),ARU41)</f>
        <v>1</v>
      </c>
      <c r="ARV42" s="20" t="n">
        <f aca="false">IF(AND(H_Direct=0,H_TaxEvt=1),IF(ARV41+1&gt;=H_Deemed,0,ARV41+1),ARV41)</f>
        <v>0</v>
      </c>
      <c r="ARW42" s="20" t="n">
        <f aca="false">IF(AND(H_Direct=0,H_TaxEvt=1),IF(ARW41+1&gt;=H_Deemed,0,ARW41+1),ARW41)</f>
        <v>7</v>
      </c>
      <c r="ARX42" s="20" t="n">
        <f aca="false">IF(AND(H_Direct=0,H_TaxEvt=1),IF(ARX41+1&gt;=H_Deemed,0,ARX41+1),ARX41)</f>
        <v>6</v>
      </c>
      <c r="ARY42" s="20" t="n">
        <f aca="false">IF(AND(H_Direct=0,H_TaxEvt=1),IF(ARY41+1&gt;=H_Deemed,0,ARY41+1),ARY41)</f>
        <v>5</v>
      </c>
      <c r="ARZ42" s="20" t="n">
        <f aca="false">IF(AND(H_Direct=0,H_TaxEvt=1),IF(ARZ41+1&gt;=H_Deemed,0,ARZ41+1),ARZ41)</f>
        <v>4</v>
      </c>
      <c r="ASA42" s="20" t="n">
        <f aca="false">IF(AND(H_Direct=0,H_TaxEvt=1),IF(ASA41+1&gt;=H_Deemed,0,ASA41+1),ASA41)</f>
        <v>3</v>
      </c>
      <c r="ASB42" s="20" t="n">
        <f aca="false">IF(AND(H_Direct=0,H_TaxEvt=1),IF(ASB41+1&gt;=H_Deemed,0,ASB41+1),ASB41)</f>
        <v>2</v>
      </c>
      <c r="ASC42" s="20" t="n">
        <f aca="false">IF(AND(H_Direct=0,H_TaxEvt=1),IF(ASC41+1&gt;=H_Deemed,0,ASC41+1),ASC41)</f>
        <v>1</v>
      </c>
      <c r="ASD42" s="20" t="n">
        <f aca="false">IF(AND(H_Direct=0,H_TaxEvt=1),IF(ASD41+1&gt;=H_Deemed,0,ASD41+1),ASD41)</f>
        <v>0</v>
      </c>
      <c r="ASE42" s="20" t="n">
        <f aca="false">IF(AND(H_Direct=0,H_TaxEvt=1),IF(ASE41+1&gt;=H_Deemed,0,ASE41+1),ASE41)</f>
        <v>7</v>
      </c>
      <c r="ASF42" s="20" t="n">
        <f aca="false">IF(AND(H_Direct=0,H_TaxEvt=1),IF(ASF41+1&gt;=H_Deemed,0,ASF41+1),ASF41)</f>
        <v>6</v>
      </c>
      <c r="ASG42" s="20" t="n">
        <f aca="false">IF(AND(H_Direct=0,H_TaxEvt=1),IF(ASG41+1&gt;=H_Deemed,0,ASG41+1),ASG41)</f>
        <v>5</v>
      </c>
      <c r="ASH42" s="20" t="n">
        <f aca="false">IF(AND(H_Direct=0,H_TaxEvt=1),IF(ASH41+1&gt;=H_Deemed,0,ASH41+1),ASH41)</f>
        <v>4</v>
      </c>
      <c r="ASI42" s="20" t="n">
        <f aca="false">IF(AND(H_Direct=0,H_TaxEvt=1),IF(ASI41+1&gt;=H_Deemed,0,ASI41+1),ASI41)</f>
        <v>3</v>
      </c>
      <c r="ASJ42" s="20" t="n">
        <f aca="false">IF(AND(H_Direct=0,H_TaxEvt=1),IF(ASJ41+1&gt;=H_Deemed,0,ASJ41+1),ASJ41)</f>
        <v>2</v>
      </c>
      <c r="ASK42" s="20" t="n">
        <f aca="false">IF(AND(H_Direct=0,H_TaxEvt=1),IF(ASK41+1&gt;=H_Deemed,0,ASK41+1),ASK41)</f>
        <v>1</v>
      </c>
      <c r="ASL42" s="20" t="n">
        <f aca="false">IF(AND(H_Direct=0,H_TaxEvt=1),IF(ASL41+1&gt;=H_Deemed,0,ASL41+1),ASL41)</f>
        <v>0</v>
      </c>
      <c r="ASM42" s="20" t="n">
        <f aca="false">IF(AND(H_Direct=0,H_TaxEvt=1),IF(ASM41+1&gt;=H_Deemed,0,ASM41+1),ASM41)</f>
        <v>7</v>
      </c>
      <c r="ASN42" s="20" t="n">
        <f aca="false">IF(AND(H_Direct=0,H_TaxEvt=1),IF(ASN41+1&gt;=H_Deemed,0,ASN41+1),ASN41)</f>
        <v>6</v>
      </c>
      <c r="ASO42" s="20" t="n">
        <f aca="false">IF(AND(H_Direct=0,H_TaxEvt=1),IF(ASO41+1&gt;=H_Deemed,0,ASO41+1),ASO41)</f>
        <v>5</v>
      </c>
      <c r="ASP42" s="20" t="n">
        <f aca="false">IF(AND(H_Direct=0,H_TaxEvt=1),IF(ASP41+1&gt;=H_Deemed,0,ASP41+1),ASP41)</f>
        <v>4</v>
      </c>
      <c r="ASQ42" s="20" t="n">
        <f aca="false">IF(AND(H_Direct=0,H_TaxEvt=1),IF(ASQ41+1&gt;=H_Deemed,0,ASQ41+1),ASQ41)</f>
        <v>3</v>
      </c>
      <c r="ASR42" s="20" t="n">
        <f aca="false">IF(AND(H_Direct=0,H_TaxEvt=1),IF(ASR41+1&gt;=H_Deemed,0,ASR41+1),ASR41)</f>
        <v>2</v>
      </c>
      <c r="ASS42" s="20" t="n">
        <f aca="false">IF(AND(H_Direct=0,H_TaxEvt=1),IF(ASS41+1&gt;=H_Deemed,0,ASS41+1),ASS41)</f>
        <v>1</v>
      </c>
      <c r="AST42" s="20" t="n">
        <f aca="false">IF(AND(H_Direct=0,H_TaxEvt=1),IF(AST41+1&gt;=H_Deemed,0,AST41+1),AST41)</f>
        <v>0</v>
      </c>
      <c r="ASU42" s="20" t="n">
        <f aca="false">IF(AND(H_Direct=0,H_TaxEvt=1),IF(ASU41+1&gt;=H_Deemed,0,ASU41+1),ASU41)</f>
        <v>7</v>
      </c>
      <c r="ASV42" s="20" t="n">
        <f aca="false">IF(AND(H_Direct=0,H_TaxEvt=1),IF(ASV41+1&gt;=H_Deemed,0,ASV41+1),ASV41)</f>
        <v>6</v>
      </c>
      <c r="ASW42" s="20" t="n">
        <f aca="false">IF(AND(H_Direct=0,H_TaxEvt=1),IF(ASW41+1&gt;=H_Deemed,0,ASW41+1),ASW41)</f>
        <v>5</v>
      </c>
      <c r="ASX42" s="20" t="n">
        <f aca="false">IF(AND(H_Direct=0,H_TaxEvt=1),IF(ASX41+1&gt;=H_Deemed,0,ASX41+1),ASX41)</f>
        <v>4</v>
      </c>
      <c r="ASY42" s="20" t="n">
        <f aca="false">IF(AND(H_Direct=0,H_TaxEvt=1),IF(ASY41+1&gt;=H_Deemed,0,ASY41+1),ASY41)</f>
        <v>3</v>
      </c>
      <c r="ASZ42" s="20" t="n">
        <f aca="false">IF(AND(H_Direct=0,H_TaxEvt=1),IF(ASZ41+1&gt;=H_Deemed,0,ASZ41+1),ASZ41)</f>
        <v>2</v>
      </c>
      <c r="ATA42" s="20" t="n">
        <f aca="false">IF(AND(H_Direct=0,H_TaxEvt=1),IF(0+1&gt;=H_Deemed,0,0+1),0)</f>
        <v>1</v>
      </c>
      <c r="ATB42" s="20" t="n">
        <v>0</v>
      </c>
      <c r="ATC42" s="20" t="n">
        <v>0</v>
      </c>
      <c r="ATD42" s="20" t="n">
        <v>0</v>
      </c>
      <c r="ATE42" s="20" t="n">
        <v>0</v>
      </c>
      <c r="ATF42" s="20" t="n">
        <v>0</v>
      </c>
      <c r="ATG42" s="20" t="n">
        <v>0</v>
      </c>
      <c r="ATH42" s="20" t="n">
        <v>0</v>
      </c>
      <c r="ATI42" s="20" t="n">
        <v>0</v>
      </c>
      <c r="ATJ42" s="20" t="n">
        <v>0</v>
      </c>
      <c r="ATK42" s="20" t="n">
        <v>0</v>
      </c>
      <c r="ATL42" s="20" t="n">
        <v>0</v>
      </c>
      <c r="ATM42" s="20" t="n">
        <v>0</v>
      </c>
      <c r="ATN42" s="20" t="n">
        <v>0</v>
      </c>
      <c r="ATO42" s="20" t="n">
        <v>0</v>
      </c>
      <c r="ATP42" s="20" t="n">
        <v>0</v>
      </c>
      <c r="ATQ42" s="20" t="n">
        <v>0</v>
      </c>
      <c r="ATR42" s="20" t="n">
        <v>0</v>
      </c>
      <c r="ATS42" s="20" t="n">
        <v>0</v>
      </c>
      <c r="ATT42" s="20" t="n">
        <v>0</v>
      </c>
      <c r="ATU42" s="20" t="n">
        <v>0</v>
      </c>
      <c r="ATV42" s="20" t="n">
        <v>0</v>
      </c>
      <c r="ATW42" s="20" t="n">
        <v>0</v>
      </c>
      <c r="ATX42" s="20" t="n">
        <v>0</v>
      </c>
      <c r="ATY42" s="20" t="n">
        <v>0</v>
      </c>
      <c r="ATZ42" s="20" t="n">
        <v>0</v>
      </c>
      <c r="AUA42" s="20" t="n">
        <v>0</v>
      </c>
      <c r="AUB42" s="20" t="n">
        <v>0</v>
      </c>
      <c r="AUC42" s="20" t="n">
        <v>0</v>
      </c>
      <c r="AUD42" s="20" t="n">
        <v>0</v>
      </c>
      <c r="AUE42" s="20" t="n">
        <v>0</v>
      </c>
      <c r="AUF42" s="20" t="n">
        <v>0</v>
      </c>
      <c r="AUG42" s="20" t="n">
        <v>0</v>
      </c>
      <c r="AUH42" s="20" t="n">
        <v>0</v>
      </c>
      <c r="AUI42" s="20" t="n">
        <v>0</v>
      </c>
      <c r="AUJ42" s="20" t="n">
        <v>0</v>
      </c>
      <c r="AUK42" s="20" t="n">
        <v>0</v>
      </c>
      <c r="AUL42" s="20" t="n">
        <v>0</v>
      </c>
      <c r="AUM42" s="20" t="n">
        <v>0</v>
      </c>
      <c r="AUN42" s="20" t="n">
        <v>0</v>
      </c>
      <c r="AUO42" s="20" t="n">
        <v>0</v>
      </c>
      <c r="AUP42" s="20" t="n">
        <v>0</v>
      </c>
      <c r="AUQ42" s="20" t="n">
        <v>0</v>
      </c>
      <c r="AUR42" s="20" t="n">
        <v>0</v>
      </c>
      <c r="AUS42" s="20" t="n">
        <v>0</v>
      </c>
      <c r="AUT42" s="20" t="n">
        <v>0</v>
      </c>
      <c r="AUU42" s="20" t="n">
        <v>0</v>
      </c>
      <c r="AUV42" s="20" t="n">
        <v>0</v>
      </c>
      <c r="AUW42" s="20" t="n">
        <v>0</v>
      </c>
      <c r="AUX42" s="20" t="n">
        <v>0</v>
      </c>
      <c r="AUY42" s="20" t="n">
        <v>0</v>
      </c>
      <c r="AUZ42" s="20" t="n">
        <v>0</v>
      </c>
      <c r="AVA42" s="20" t="n">
        <v>0</v>
      </c>
      <c r="AVB42" s="20" t="n">
        <v>0</v>
      </c>
      <c r="AVC42" s="20" t="n">
        <v>0</v>
      </c>
      <c r="AVD42" s="20" t="n">
        <v>0</v>
      </c>
      <c r="AVE42" s="20" t="n">
        <f aca="false">IF(AND(H_Direct=0,H_TaxEvt=1,ARR41+1&gt;=H_Deemed),MAX(0,ADR42-AHE42)*H_Exit,0)</f>
        <v>0</v>
      </c>
      <c r="AVF42" s="20" t="n">
        <f aca="false">IF(AND(H_Direct=0,H_TaxEvt=1,ARS41+1&gt;=H_Deemed),MAX(0,ADS42-AHF42)*H_Exit,0)</f>
        <v>0</v>
      </c>
      <c r="AVG42" s="20" t="n">
        <f aca="false">IF(AND(H_Direct=0,H_TaxEvt=1,ART41+1&gt;=H_Deemed),MAX(0,ADT42-AHG42)*H_Exit,0)</f>
        <v>0</v>
      </c>
      <c r="AVH42" s="20" t="n">
        <f aca="false">IF(AND(H_Direct=0,H_TaxEvt=1,ARU41+1&gt;=H_Deemed),MAX(0,ADU42-AHH42)*H_Exit,0)</f>
        <v>0</v>
      </c>
      <c r="AVI42" s="20" t="n">
        <f aca="false">IF(AND(H_Direct=0,H_TaxEvt=1,ARV41+1&gt;=H_Deemed),MAX(0,ADV42-AHI42)*H_Exit,0)</f>
        <v>0</v>
      </c>
      <c r="AVJ42" s="20" t="n">
        <f aca="false">IF(AND(H_Direct=0,H_TaxEvt=1,ARW41+1&gt;=H_Deemed),MAX(0,ADW42-AHJ42)*H_Exit,0)</f>
        <v>0</v>
      </c>
      <c r="AVK42" s="20" t="n">
        <f aca="false">IF(AND(H_Direct=0,H_TaxEvt=1,ARX41+1&gt;=H_Deemed),MAX(0,ADX42-AHK42)*H_Exit,0)</f>
        <v>0</v>
      </c>
      <c r="AVL42" s="20" t="n">
        <f aca="false">IF(AND(H_Direct=0,H_TaxEvt=1,ARY41+1&gt;=H_Deemed),MAX(0,ADY42-AHL42)*H_Exit,0)</f>
        <v>0</v>
      </c>
      <c r="AVM42" s="20" t="n">
        <f aca="false">IF(AND(H_Direct=0,H_TaxEvt=1,ARZ41+1&gt;=H_Deemed),MAX(0,ADZ42-AHM42)*H_Exit,0)</f>
        <v>0</v>
      </c>
      <c r="AVN42" s="20" t="n">
        <f aca="false">IF(AND(H_Direct=0,H_TaxEvt=1,ASA41+1&gt;=H_Deemed),MAX(0,AEA42-AHN42)*H_Exit,0)</f>
        <v>0</v>
      </c>
      <c r="AVO42" s="20" t="n">
        <f aca="false">IF(AND(H_Direct=0,H_TaxEvt=1,ASB41+1&gt;=H_Deemed),MAX(0,AEB42-AHO42)*H_Exit,0)</f>
        <v>0</v>
      </c>
      <c r="AVP42" s="20" t="n">
        <f aca="false">IF(AND(H_Direct=0,H_TaxEvt=1,ASC41+1&gt;=H_Deemed),MAX(0,AEC42-AHP42)*H_Exit,0)</f>
        <v>0</v>
      </c>
      <c r="AVQ42" s="20" t="n">
        <f aca="false">IF(AND(H_Direct=0,H_TaxEvt=1,ASD41+1&gt;=H_Deemed),MAX(0,AED42-AHQ42)*H_Exit,0)</f>
        <v>0</v>
      </c>
      <c r="AVR42" s="20" t="n">
        <f aca="false">IF(AND(H_Direct=0,H_TaxEvt=1,ASE41+1&gt;=H_Deemed),MAX(0,AEE42-AHR42)*H_Exit,0)</f>
        <v>0</v>
      </c>
      <c r="AVS42" s="20" t="n">
        <f aca="false">IF(AND(H_Direct=0,H_TaxEvt=1,ASF41+1&gt;=H_Deemed),MAX(0,AEF42-AHS42)*H_Exit,0)</f>
        <v>0</v>
      </c>
      <c r="AVT42" s="20" t="n">
        <f aca="false">IF(AND(H_Direct=0,H_TaxEvt=1,ASG41+1&gt;=H_Deemed),MAX(0,AEG42-AHT42)*H_Exit,0)</f>
        <v>0</v>
      </c>
      <c r="AVU42" s="20" t="n">
        <f aca="false">IF(AND(H_Direct=0,H_TaxEvt=1,ASH41+1&gt;=H_Deemed),MAX(0,AEH42-AHU42)*H_Exit,0)</f>
        <v>0</v>
      </c>
      <c r="AVV42" s="20" t="n">
        <f aca="false">IF(AND(H_Direct=0,H_TaxEvt=1,ASI41+1&gt;=H_Deemed),MAX(0,AEI42-AHV42)*H_Exit,0)</f>
        <v>0</v>
      </c>
      <c r="AVW42" s="20" t="n">
        <f aca="false">IF(AND(H_Direct=0,H_TaxEvt=1,ASJ41+1&gt;=H_Deemed),MAX(0,AEJ42-AHW42)*H_Exit,0)</f>
        <v>0</v>
      </c>
      <c r="AVX42" s="20" t="n">
        <f aca="false">IF(AND(H_Direct=0,H_TaxEvt=1,ASK41+1&gt;=H_Deemed),MAX(0,AEK42-AHX42)*H_Exit,0)</f>
        <v>0</v>
      </c>
      <c r="AVY42" s="20" t="n">
        <f aca="false">IF(AND(H_Direct=0,H_TaxEvt=1,ASL41+1&gt;=H_Deemed),MAX(0,AEL42-AHY42)*H_Exit,0)</f>
        <v>0</v>
      </c>
      <c r="AVZ42" s="20" t="n">
        <f aca="false">IF(AND(H_Direct=0,H_TaxEvt=1,ASM41+1&gt;=H_Deemed),MAX(0,AEM42-AHZ42)*H_Exit,0)</f>
        <v>0</v>
      </c>
      <c r="AWA42" s="20" t="n">
        <f aca="false">IF(AND(H_Direct=0,H_TaxEvt=1,ASN41+1&gt;=H_Deemed),MAX(0,AEN42-AIA42)*H_Exit,0)</f>
        <v>0</v>
      </c>
      <c r="AWB42" s="20" t="n">
        <f aca="false">IF(AND(H_Direct=0,H_TaxEvt=1,ASO41+1&gt;=H_Deemed),MAX(0,AEO42-AIB42)*H_Exit,0)</f>
        <v>0</v>
      </c>
      <c r="AWC42" s="20" t="n">
        <f aca="false">IF(AND(H_Direct=0,H_TaxEvt=1,ASP41+1&gt;=H_Deemed),MAX(0,AEP42-AIC42)*H_Exit,0)</f>
        <v>0</v>
      </c>
      <c r="AWD42" s="20" t="n">
        <f aca="false">IF(AND(H_Direct=0,H_TaxEvt=1,ASQ41+1&gt;=H_Deemed),MAX(0,AEQ42-AID42)*H_Exit,0)</f>
        <v>0</v>
      </c>
      <c r="AWE42" s="20" t="n">
        <f aca="false">IF(AND(H_Direct=0,H_TaxEvt=1,ASR41+1&gt;=H_Deemed),MAX(0,AER42-AIE42)*H_Exit,0)</f>
        <v>0</v>
      </c>
      <c r="AWF42" s="20" t="n">
        <f aca="false">IF(AND(H_Direct=0,H_TaxEvt=1,ASS41+1&gt;=H_Deemed),MAX(0,AES42-AIF42)*H_Exit,0)</f>
        <v>0</v>
      </c>
      <c r="AWG42" s="20" t="n">
        <f aca="false">IF(AND(H_Direct=0,H_TaxEvt=1,AST41+1&gt;=H_Deemed),MAX(0,AET42-AIG42)*H_Exit,0)</f>
        <v>0</v>
      </c>
      <c r="AWH42" s="20" t="n">
        <f aca="false">IF(AND(H_Direct=0,H_TaxEvt=1,ASU41+1&gt;=H_Deemed),MAX(0,AEU42-AIH42)*H_Exit,0)</f>
        <v>0</v>
      </c>
      <c r="AWI42" s="20" t="n">
        <f aca="false">IF(AND(H_Direct=0,H_TaxEvt=1,ASV41+1&gt;=H_Deemed),MAX(0,AEV42-AII42)*H_Exit,0)</f>
        <v>0</v>
      </c>
      <c r="AWJ42" s="20" t="n">
        <f aca="false">IF(AND(H_Direct=0,H_TaxEvt=1,ASW41+1&gt;=H_Deemed),MAX(0,AEW42-AIJ42)*H_Exit,0)</f>
        <v>0</v>
      </c>
      <c r="AWK42" s="20" t="n">
        <f aca="false">IF(AND(H_Direct=0,H_TaxEvt=1,ASX41+1&gt;=H_Deemed),MAX(0,AEX42-AIK42)*H_Exit,0)</f>
        <v>0</v>
      </c>
      <c r="AWL42" s="20" t="n">
        <f aca="false">IF(AND(H_Direct=0,H_TaxEvt=1,ASY41+1&gt;=H_Deemed),MAX(0,AEY42-AIL42)*H_Exit,0)</f>
        <v>0</v>
      </c>
      <c r="AWM42" s="20" t="n">
        <f aca="false">IF(AND(H_Direct=0,H_TaxEvt=1,ASZ41+1&gt;=H_Deemed),MAX(0,AEZ42-AIM42)*H_Exit,0)</f>
        <v>0</v>
      </c>
      <c r="AWN42" s="20" t="n">
        <f aca="false">IF(AND(H_Direct=0,H_TaxEvt=1,0+1&gt;=H_Deemed),MAX(0,AFA42-AIN42)*H_Exit,0)</f>
        <v>0</v>
      </c>
      <c r="AWO42" s="20" t="n">
        <v>0</v>
      </c>
      <c r="AWP42" s="20" t="n">
        <v>0</v>
      </c>
      <c r="AWQ42" s="20" t="n">
        <v>0</v>
      </c>
      <c r="AWR42" s="20" t="n">
        <v>0</v>
      </c>
      <c r="AWS42" s="20" t="n">
        <v>0</v>
      </c>
      <c r="AWT42" s="20" t="n">
        <v>0</v>
      </c>
      <c r="AWU42" s="20" t="n">
        <v>0</v>
      </c>
      <c r="AWV42" s="20" t="n">
        <v>0</v>
      </c>
      <c r="AWW42" s="20" t="n">
        <v>0</v>
      </c>
      <c r="AWX42" s="20" t="n">
        <v>0</v>
      </c>
      <c r="AWY42" s="20" t="n">
        <v>0</v>
      </c>
      <c r="AWZ42" s="20" t="n">
        <v>0</v>
      </c>
      <c r="AXA42" s="20" t="n">
        <v>0</v>
      </c>
      <c r="AXB42" s="20" t="n">
        <v>0</v>
      </c>
      <c r="AXC42" s="20" t="n">
        <v>0</v>
      </c>
      <c r="AXD42" s="20" t="n">
        <v>0</v>
      </c>
      <c r="AXE42" s="20" t="n">
        <v>0</v>
      </c>
      <c r="AXF42" s="20" t="n">
        <v>0</v>
      </c>
      <c r="AXG42" s="20" t="n">
        <v>0</v>
      </c>
      <c r="AXH42" s="20" t="n">
        <v>0</v>
      </c>
      <c r="AXI42" s="20" t="n">
        <v>0</v>
      </c>
      <c r="AXJ42" s="20" t="n">
        <v>0</v>
      </c>
      <c r="AXK42" s="20" t="n">
        <v>0</v>
      </c>
      <c r="AXL42" s="20" t="n">
        <v>0</v>
      </c>
      <c r="AXM42" s="20" t="n">
        <v>0</v>
      </c>
      <c r="AXN42" s="20" t="n">
        <v>0</v>
      </c>
      <c r="AXO42" s="20" t="n">
        <v>0</v>
      </c>
      <c r="AXP42" s="20" t="n">
        <v>0</v>
      </c>
      <c r="AXQ42" s="20" t="n">
        <v>0</v>
      </c>
      <c r="AXR42" s="20" t="n">
        <v>0</v>
      </c>
      <c r="AXS42" s="20" t="n">
        <v>0</v>
      </c>
      <c r="AXT42" s="20" t="n">
        <v>0</v>
      </c>
      <c r="AXU42" s="20" t="n">
        <v>0</v>
      </c>
      <c r="AXV42" s="20" t="n">
        <v>0</v>
      </c>
      <c r="AXW42" s="20" t="n">
        <v>0</v>
      </c>
      <c r="AXX42" s="20" t="n">
        <v>0</v>
      </c>
      <c r="AXY42" s="20" t="n">
        <v>0</v>
      </c>
      <c r="AXZ42" s="20" t="n">
        <v>0</v>
      </c>
      <c r="AYA42" s="20" t="n">
        <v>0</v>
      </c>
      <c r="AYB42" s="20" t="n">
        <v>0</v>
      </c>
      <c r="AYC42" s="20" t="n">
        <v>0</v>
      </c>
      <c r="AYD42" s="20" t="n">
        <v>0</v>
      </c>
      <c r="AYE42" s="20" t="n">
        <v>0</v>
      </c>
      <c r="AYF42" s="20" t="n">
        <v>0</v>
      </c>
      <c r="AYG42" s="20" t="n">
        <v>0</v>
      </c>
      <c r="AYH42" s="20" t="n">
        <v>0</v>
      </c>
      <c r="AYI42" s="20" t="n">
        <v>0</v>
      </c>
      <c r="AYJ42" s="20" t="n">
        <v>0</v>
      </c>
      <c r="AYK42" s="20" t="n">
        <v>0</v>
      </c>
      <c r="AYL42" s="20" t="n">
        <v>0</v>
      </c>
      <c r="AYM42" s="20" t="n">
        <v>0</v>
      </c>
      <c r="AYN42" s="20" t="n">
        <v>0</v>
      </c>
      <c r="AYO42" s="20" t="n">
        <v>0</v>
      </c>
      <c r="AYP42" s="20" t="n">
        <v>0</v>
      </c>
      <c r="AYQ42" s="20" t="n">
        <v>0</v>
      </c>
    </row>
    <row r="43" customFormat="false" ht="15" hidden="false" customHeight="false" outlineLevel="0" collapsed="false">
      <c r="B43" s="20" t="n">
        <v>35</v>
      </c>
      <c r="C43" s="20" t="n">
        <f aca="false">'Plan cashflow'!C43</f>
        <v>1</v>
      </c>
      <c r="D43" s="20" t="n">
        <f aca="false">'Plan cashflow'!D43</f>
        <v>73</v>
      </c>
      <c r="E43" s="20" t="n">
        <f aca="false">AS_Year0+35</f>
        <v>2061</v>
      </c>
      <c r="F43" s="50" t="n">
        <f aca="false">'Plan cashflow'!F43</f>
        <v>1.99988955266246</v>
      </c>
      <c r="G43" s="59" t="n">
        <f aca="true">IF(MAX(TODAY(),DATE(E43,1,1))&gt;=H_CGTfrom,H_CGT1,H_CGT0)</f>
        <v>0.31</v>
      </c>
      <c r="H43" s="20" t="n">
        <f aca="false">H_Exempt*H_Persons</f>
        <v>1270</v>
      </c>
      <c r="I43" s="20" t="n">
        <f aca="false">AX42</f>
        <v>0</v>
      </c>
      <c r="J43" s="60" t="n">
        <f aca="false">BF42</f>
        <v>0</v>
      </c>
      <c r="K43" s="60" t="n">
        <f aca="false">BG42</f>
        <v>0</v>
      </c>
      <c r="L43" s="20" t="n">
        <f aca="false">IF(AND(In_polLump&gt;0,In_polLumpAge&gt;0,D43=In_polLumpAge),In_polLump,0)</f>
        <v>0</v>
      </c>
      <c r="M43" s="20" t="n">
        <f aca="false">IF(AND(In_homeUse="Yes, I'd downsize",In_downAge&gt;0,D43=In_downAge,OR(In_home="Own outright",In_home="Own with mortgage"),In_homeValue&gt;0),MAX(0,MAX(0,In_homeValue-In_downValue)*F43*0.9-'Plan cashflow'!HR42),0)</f>
        <v>0</v>
      </c>
      <c r="N43" s="20" t="n">
        <f aca="false">'Plan pay &amp; tax'!Y269</f>
        <v>0</v>
      </c>
      <c r="O43" s="20" t="n">
        <f aca="false">L43+M43+(1-H_Sh)*N43</f>
        <v>0</v>
      </c>
      <c r="P43" s="20" t="n">
        <f aca="false">H_Sh*N43</f>
        <v>0</v>
      </c>
      <c r="Q43" s="20" t="n">
        <f aca="false">'Plan cashflow'!UL43</f>
        <v>0</v>
      </c>
      <c r="R43" s="20" t="n">
        <f aca="false">(1-H_Sh)*Q43</f>
        <v>0</v>
      </c>
      <c r="S43" s="20" t="n">
        <f aca="false">H_Sh*Q43</f>
        <v>0</v>
      </c>
      <c r="T43" s="20" t="n">
        <f aca="false">J43+K43+O43</f>
        <v>0</v>
      </c>
      <c r="U43" s="20" t="n">
        <f aca="false">T43+R43</f>
        <v>0</v>
      </c>
      <c r="V43" s="60" t="n">
        <f aca="false">SUM(FE43:IQ43)</f>
        <v>97714.7122969741</v>
      </c>
      <c r="W43" s="60" t="n">
        <f aca="false">IF(AJ43&lt;=0,0,IF(AL43&lt;=0,AJ43,AJ43-G43*MAX(0,AL43*AJ43-(AY43+AZ43))))</f>
        <v>0</v>
      </c>
      <c r="X43" s="60" t="n">
        <f aca="false">IF(AR43&lt;=0,0,IF(AT43&lt;=0,AR43,AR43-G43*MAX(0,AT43*AR43-(BA43+BB43))))</f>
        <v>0</v>
      </c>
      <c r="Y43" s="60" t="n">
        <f aca="false">T43+V43-S43+W43+X43</f>
        <v>97714.7122969741</v>
      </c>
      <c r="Z43" s="60" t="n">
        <f aca="false">'Plan cashflow'!UK43</f>
        <v>21440.3432638788</v>
      </c>
      <c r="AA43" s="20" t="n">
        <f aca="false">MIN(Z43,U43)</f>
        <v>0</v>
      </c>
      <c r="AB43" s="20" t="n">
        <f aca="false">Z43-AA43</f>
        <v>21440.3432638788</v>
      </c>
      <c r="AC43" s="20" t="n">
        <f aca="false">MIN(AA43,J43+O43+R43)</f>
        <v>0</v>
      </c>
      <c r="AD43" s="20" t="n">
        <f aca="false">AA43-AC43</f>
        <v>0</v>
      </c>
      <c r="AE43" s="20" t="n">
        <f aca="false">J43+O43+R43-AC43</f>
        <v>0</v>
      </c>
      <c r="AF43" s="20" t="n">
        <f aca="false">K43-AD43</f>
        <v>0</v>
      </c>
      <c r="AG43" s="20" t="n">
        <f aca="false">SUM(PR43:TD43)</f>
        <v>21440.3432638788</v>
      </c>
      <c r="AH43" s="20" t="n">
        <f aca="false">SUM(TE43:WQ43)</f>
        <v>22709.6260554787</v>
      </c>
      <c r="AI43" s="20" t="n">
        <f aca="false">MAX(0,AB43-AG43)</f>
        <v>0</v>
      </c>
      <c r="AJ43" s="57" t="n">
        <f aca="false">BI42</f>
        <v>0</v>
      </c>
      <c r="AK43" s="20" t="n">
        <f aca="false">BJ42</f>
        <v>0</v>
      </c>
      <c r="AL43" s="20" t="n">
        <f aca="false">IF(AJ43&gt;0,(AJ43-AK43)/AJ43,0)</f>
        <v>0</v>
      </c>
      <c r="AM43" s="20" t="n">
        <f aca="false">IF(AJ43&lt;=0,0,IF(AL43&lt;=0,MIN(AI43,AJ43),MIN(AI43,AJ43-G43*MAX(0,AL43*AJ43-(AAD43+ADQ43)))))</f>
        <v>0</v>
      </c>
      <c r="AN43" s="20" t="n">
        <f aca="false">IF(AJ43&lt;=0,0,IF(AL43&lt;=0,AM43,IF(AM43&lt;=(AAD43+ADQ43)/AL43,AM43,(AM43-G43*(AAD43+ADQ43))/(1-G43*AL43))))</f>
        <v>0</v>
      </c>
      <c r="AO43" s="20" t="n">
        <f aca="false">IF(AL43&gt;0,MAX(0,AAD43-(MIN(AL43*AN43,(AAD43+ADQ43))-MIN(MIN(AL43*AN43,(AAD43+ADQ43)),ADQ43))),AAD43)</f>
        <v>1270</v>
      </c>
      <c r="AP43" s="20" t="n">
        <f aca="false">IF(AL43&lt;=0,ADQ43-AL43*AN43,ADQ43-MIN(MIN(AL43*AN43,(AAD43+ADQ43)),ADQ43))</f>
        <v>0</v>
      </c>
      <c r="AQ43" s="20" t="n">
        <f aca="false">MAX(0,AI43-AM43)</f>
        <v>0</v>
      </c>
      <c r="AR43" s="57" t="n">
        <f aca="false">BK42</f>
        <v>0</v>
      </c>
      <c r="AS43" s="20" t="n">
        <f aca="false">BL42</f>
        <v>0</v>
      </c>
      <c r="AT43" s="20" t="n">
        <f aca="false">IF(AR43&gt;0,(AR43-AS43)/AR43,0)</f>
        <v>0</v>
      </c>
      <c r="AU43" s="20" t="n">
        <f aca="false">IF(AR43&lt;=0,0,IF(AT43&lt;=0,MIN(AQ43,AR43),MIN(AQ43,AR43-G43*MAX(0,AT43*AR43-(AO43+AP43)))))</f>
        <v>0</v>
      </c>
      <c r="AV43" s="20" t="n">
        <f aca="false">IF(AR43&lt;=0,0,IF(AT43&lt;=0,AU43,IF(AU43&lt;=(AO43+AP43)/AT43,AU43,(AU43-G43*(AO43+AP43))/(1-G43*AT43))))</f>
        <v>0</v>
      </c>
      <c r="AW43" s="20" t="n">
        <f aca="false">IF(AT43&gt;0,MAX(0,AO43-(MIN(AT43*AV43,(AO43+AP43))-MIN(MIN(AT43*AV43,(AO43+AP43)),AP43))),AO43)</f>
        <v>1270</v>
      </c>
      <c r="AX43" s="20" t="n">
        <f aca="false">IF(AT43&lt;=0,AP43-AT43*AV43,AP43-MIN(MIN(AT43*AV43,(AO43+AP43)),AP43))</f>
        <v>0</v>
      </c>
      <c r="AY43" s="20" t="n">
        <f aca="false">MD43</f>
        <v>1270</v>
      </c>
      <c r="AZ43" s="20" t="n">
        <f aca="false">PQ43</f>
        <v>0</v>
      </c>
      <c r="BA43" s="20" t="n">
        <f aca="false">IF(AL43&gt;0,MAX(0,AY43-(MIN(AL43*AJ43,AY43+AZ43)-MIN(MIN(AL43*AJ43,AY43+AZ43),AZ43))),AY43)</f>
        <v>1270</v>
      </c>
      <c r="BB43" s="20" t="n">
        <f aca="false">IF(AL43&lt;=0,AZ43-AL43*AJ43,AZ43-MIN(MIN(AL43*AJ43,AY43+AZ43),AZ43))</f>
        <v>0</v>
      </c>
      <c r="BC43" s="20" t="n">
        <f aca="false">'Plan cashflow'!UM43</f>
        <v>0</v>
      </c>
      <c r="BD43" s="20" t="n">
        <f aca="false">(1-H_Sh)*BC43</f>
        <v>0</v>
      </c>
      <c r="BE43" s="20" t="n">
        <f aca="false">H_Sh*BC43</f>
        <v>0</v>
      </c>
      <c r="BF43" s="60" t="n">
        <f aca="false">(AE43+BD43)*(1+AS_Cash)</f>
        <v>0</v>
      </c>
      <c r="BG43" s="60" t="n">
        <f aca="false">AF43*(1+AS_Cash)</f>
        <v>0</v>
      </c>
      <c r="BH43" s="60" t="n">
        <f aca="false">SUM(AKR43:AOD43)</f>
        <v>81576.8419364177</v>
      </c>
      <c r="BI43" s="60" t="n">
        <f aca="false">(AJ43-AN43)*(1+AS_Infl)</f>
        <v>0</v>
      </c>
      <c r="BJ43" s="20" t="n">
        <f aca="false">IF(AJ43&gt;0,AK43-AK43*AN43/AJ43,0)</f>
        <v>0</v>
      </c>
      <c r="BK43" s="60" t="n">
        <f aca="false">(AR43-AV43)*(1+BQ43)</f>
        <v>0</v>
      </c>
      <c r="BL43" s="20" t="n">
        <f aca="false">IF(AR43&gt;0,AS43-AS43*AV43/AR43,0)</f>
        <v>0</v>
      </c>
      <c r="BM43" s="60" t="n">
        <f aca="false">BF43+BG43+BH43+BI43+BK43</f>
        <v>81576.8419364177</v>
      </c>
      <c r="BN43" s="60" t="n">
        <f aca="false">(AH43-AG43)+(AN43-AM43)+(AV43-AU43)</f>
        <v>1269.2827915999</v>
      </c>
      <c r="BO43" s="20" t="n">
        <f aca="false">(AE43+BD43+AF43+MAX(0,'Plan cashflow'!QH43)+IF(Slot1_Rate=AS_Cash,'Plan cashflow'!QM43/(1+AS_Cash),0)+IF(Slot2_Rate=AS_Cash,'Plan cashflow'!QQ43/(1+AS_Cash),0)+IF(Slot3_Rate=AS_Cash,'Plan cashflow'!QU43/(1+AS_Cash),0)+IF(Slot4_Rate=AS_Cash,'Plan cashflow'!QY43/(1+AS_Cash),0)+IF(Slot5_Rate=AS_Cash,'Plan cashflow'!RC43/(1+AS_Cash),0)+IF(Slot6_Rate=AS_Cash,'Plan cashflow'!RG43/(1+AS_Cash),0)+IF(Slot7_Rate=AS_Cash,'Plan cashflow'!RK43/(1+AS_Cash),0)+IF(Slot8_Rate=AS_Cash,'Plan cashflow'!RO43/(1+AS_Cash),0)+IF(Slot9_Rate=AS_Cash,'Plan cashflow'!RS43/(1+AS_Cash),0)+IF(Slot10_Rate=AS_Cash,'Plan cashflow'!RW43/(1+AS_Cash),0)+IF(Slot11_Rate=AS_Cash,'Plan cashflow'!SA43/(1+AS_Cash),0)+IF(Slot12_Rate=AS_Cash,'Plan cashflow'!SE43/(1+AS_Cash),0)+IF(Slot13_Rate=AS_Cash,'Plan cashflow'!SI43/(1+AS_Cash),0)+IF(Slot14_Rate=AS_Cash,'Plan cashflow'!SM43/(1+AS_Cash),0)+IF(Slot15_Rate=AS_Cash,'Plan cashflow'!SQ43/(1+AS_Cash),0)+IF(Slot16_Rate=AS_Cash,'Plan cashflow'!SU43/(1+AS_Cash),0)+IF(Slot17_Rate=AS_Cash,'Plan cashflow'!SY43/(1+AS_Cash),0)+IF(Slot18_Rate=AS_Cash,'Plan cashflow'!TC43/(1+AS_Cash),0)+IF(Slot19_Rate=AS_Cash,'Plan cashflow'!TG43/(1+AS_Cash),0)+IF(Slot20_Rate=AS_Cash,'Plan cashflow'!TK43/(1+AS_Cash),0))*AS_Cash*H_DIRT/(1-H_DIRT)</f>
        <v>77.8264558433272</v>
      </c>
      <c r="BP43" s="60" t="n">
        <f aca="false">SUM(AVE43:AYQ43)</f>
        <v>242.221340998696</v>
      </c>
      <c r="BQ43" s="54" t="n">
        <f aca="false">IF(H_TaxEvt=1,H_InvG,AS_Inv)</f>
        <v>0.04</v>
      </c>
      <c r="BR43" s="20" t="n">
        <f aca="false">IF(AKR42&gt;0,(AKR42-AOE42)/AKR42,0)</f>
        <v>0</v>
      </c>
      <c r="BS43" s="20" t="n">
        <f aca="false">IF(AKS42&gt;0,(AKS42-AOF42)/AKS42,0)</f>
        <v>0</v>
      </c>
      <c r="BT43" s="20" t="n">
        <f aca="false">IF(AKT42&gt;0,(AKT42-AOG42)/AKT42,0)</f>
        <v>0</v>
      </c>
      <c r="BU43" s="20" t="n">
        <f aca="false">IF(AKU42&gt;0,(AKU42-AOH42)/AKU42,0)</f>
        <v>0</v>
      </c>
      <c r="BV43" s="20" t="n">
        <f aca="false">IF(AKV42&gt;0,(AKV42-AOI42)/AKV42,0)</f>
        <v>0</v>
      </c>
      <c r="BW43" s="20" t="n">
        <f aca="false">IF(AKW42&gt;0,(AKW42-AOJ42)/AKW42,0)</f>
        <v>0</v>
      </c>
      <c r="BX43" s="20" t="n">
        <f aca="false">IF(AKX42&gt;0,(AKX42-AOK42)/AKX42,0)</f>
        <v>0</v>
      </c>
      <c r="BY43" s="20" t="n">
        <f aca="false">IF(AKY42&gt;0,(AKY42-AOL42)/AKY42,0)</f>
        <v>0</v>
      </c>
      <c r="BZ43" s="20" t="n">
        <f aca="false">IF(AKZ42&gt;0,(AKZ42-AOM42)/AKZ42,0)</f>
        <v>0</v>
      </c>
      <c r="CA43" s="20" t="n">
        <f aca="false">IF(ALA42&gt;0,(ALA42-AON42)/ALA42,0)</f>
        <v>0</v>
      </c>
      <c r="CB43" s="20" t="n">
        <f aca="false">IF(ALB42&gt;0,(ALB42-AOO42)/ALB42,0)</f>
        <v>0</v>
      </c>
      <c r="CC43" s="20" t="n">
        <f aca="false">IF(ALC42&gt;0,(ALC42-AOP42)/ALC42,0)</f>
        <v>0</v>
      </c>
      <c r="CD43" s="20" t="n">
        <f aca="false">IF(ALD42&gt;0,(ALD42-AOQ42)/ALD42,0)</f>
        <v>0</v>
      </c>
      <c r="CE43" s="20" t="n">
        <f aca="false">IF(ALE42&gt;0,(ALE42-AOR42)/ALE42,0)</f>
        <v>0</v>
      </c>
      <c r="CF43" s="20" t="n">
        <f aca="false">IF(ALF42&gt;0,(ALF42-AOS42)/ALF42,0)</f>
        <v>0</v>
      </c>
      <c r="CG43" s="20" t="n">
        <f aca="false">IF(ALG42&gt;0,(ALG42-AOT42)/ALG42,0)</f>
        <v>0</v>
      </c>
      <c r="CH43" s="20" t="n">
        <f aca="false">IF(ALH42&gt;0,(ALH42-AOU42)/ALH42,0)</f>
        <v>0</v>
      </c>
      <c r="CI43" s="20" t="n">
        <f aca="false">IF(ALI42&gt;0,(ALI42-AOV42)/ALI42,0)</f>
        <v>0</v>
      </c>
      <c r="CJ43" s="20" t="n">
        <f aca="false">IF(ALJ42&gt;0,(ALJ42-AOW42)/ALJ42,0)</f>
        <v>0</v>
      </c>
      <c r="CK43" s="20" t="n">
        <f aca="false">IF(ALK42&gt;0,(ALK42-AOX42)/ALK42,0)</f>
        <v>0</v>
      </c>
      <c r="CL43" s="20" t="n">
        <f aca="false">IF(ALL42&gt;0,(ALL42-AOY42)/ALL42,0)</f>
        <v>0</v>
      </c>
      <c r="CM43" s="20" t="n">
        <f aca="false">IF(ALM42&gt;0,(ALM42-AOZ42)/ALM42,0)</f>
        <v>0</v>
      </c>
      <c r="CN43" s="20" t="n">
        <f aca="false">IF(ALN42&gt;0,(ALN42-APA42)/ALN42,0)</f>
        <v>0.209685474269854</v>
      </c>
      <c r="CO43" s="20" t="n">
        <f aca="false">IF(ALO42&gt;0,(ALO42-APB42)/ALO42,0)</f>
        <v>0.178072893240648</v>
      </c>
      <c r="CP43" s="20" t="n">
        <f aca="false">IF(ALP42&gt;0,(ALP42-APC42)/ALP42,0)</f>
        <v>0.145195808970274</v>
      </c>
      <c r="CQ43" s="20" t="n">
        <f aca="false">IF(ALQ42&gt;0,(ALQ42-APD42)/ALQ42,0)</f>
        <v>0.111003641329085</v>
      </c>
      <c r="CR43" s="20" t="n">
        <f aca="false">IF(ALR42&gt;0,(ALR42-APE42)/ALR42,0)</f>
        <v>0.0754437869822486</v>
      </c>
      <c r="CS43" s="20" t="n">
        <f aca="false">IF(ALS42&gt;0,(ALS42-APF42)/ALS42,0)</f>
        <v>0</v>
      </c>
      <c r="CT43" s="20" t="n">
        <f aca="false">IF(ALT42&gt;0,(ALT42-APG42)/ALT42,0)</f>
        <v>0</v>
      </c>
      <c r="CU43" s="20" t="n">
        <f aca="false">IF(ALU42&gt;0,(ALU42-APH42)/ALU42,0)</f>
        <v>0.240082186797937</v>
      </c>
      <c r="CV43" s="20" t="n">
        <f aca="false">IF(ALV42&gt;0,(ALV42-API42)/ALV42,0)</f>
        <v>0</v>
      </c>
      <c r="CW43" s="20" t="n">
        <f aca="false">IF(ALW42&gt;0,(ALW42-APJ42)/ALW42,0)</f>
        <v>0</v>
      </c>
      <c r="CX43" s="20" t="n">
        <f aca="false">IF(ALX42&gt;0,(ALX42-APK42)/ALX42,0)</f>
        <v>0</v>
      </c>
      <c r="CY43" s="20" t="n">
        <f aca="false">IF(ALY42&gt;0,(ALY42-APL42)/ALY42,0)</f>
        <v>0</v>
      </c>
      <c r="CZ43" s="20" t="n">
        <f aca="false">IF(ALZ42&gt;0,(ALZ42-APM42)/ALZ42,0)</f>
        <v>0</v>
      </c>
      <c r="DA43" s="20" t="n">
        <f aca="false">IF(AMA42&gt;0,(AMA42-APN42)/AMA42,0)</f>
        <v>0</v>
      </c>
      <c r="DB43" s="20" t="n">
        <f aca="false">IF((P43+S43)&gt;0,((P43+S43)-(P43+S43))/(P43+S43),0)</f>
        <v>0</v>
      </c>
      <c r="DC43" s="20" t="n">
        <v>0</v>
      </c>
      <c r="DD43" s="20" t="n">
        <v>0</v>
      </c>
      <c r="DE43" s="20" t="n">
        <v>0</v>
      </c>
      <c r="DF43" s="20" t="n">
        <v>0</v>
      </c>
      <c r="DG43" s="20" t="n">
        <v>0</v>
      </c>
      <c r="DH43" s="20" t="n">
        <v>0</v>
      </c>
      <c r="DI43" s="20" t="n">
        <v>0</v>
      </c>
      <c r="DJ43" s="20" t="n">
        <v>0</v>
      </c>
      <c r="DK43" s="20" t="n">
        <v>0</v>
      </c>
      <c r="DL43" s="20" t="n">
        <v>0</v>
      </c>
      <c r="DM43" s="20" t="n">
        <v>0</v>
      </c>
      <c r="DN43" s="20" t="n">
        <v>0</v>
      </c>
      <c r="DO43" s="20" t="n">
        <v>0</v>
      </c>
      <c r="DP43" s="20" t="n">
        <v>0</v>
      </c>
      <c r="DQ43" s="20" t="n">
        <v>0</v>
      </c>
      <c r="DR43" s="20" t="n">
        <v>0</v>
      </c>
      <c r="DS43" s="20" t="n">
        <v>0</v>
      </c>
      <c r="DT43" s="20" t="n">
        <v>0</v>
      </c>
      <c r="DU43" s="20" t="n">
        <v>0</v>
      </c>
      <c r="DV43" s="20" t="n">
        <v>0</v>
      </c>
      <c r="DW43" s="20" t="n">
        <v>0</v>
      </c>
      <c r="DX43" s="20" t="n">
        <v>0</v>
      </c>
      <c r="DY43" s="20" t="n">
        <v>0</v>
      </c>
      <c r="DZ43" s="20" t="n">
        <v>0</v>
      </c>
      <c r="EA43" s="20" t="n">
        <v>0</v>
      </c>
      <c r="EB43" s="20" t="n">
        <v>0</v>
      </c>
      <c r="EC43" s="20" t="n">
        <v>0</v>
      </c>
      <c r="ED43" s="20" t="n">
        <v>0</v>
      </c>
      <c r="EE43" s="20" t="n">
        <v>0</v>
      </c>
      <c r="EF43" s="20" t="n">
        <v>0</v>
      </c>
      <c r="EG43" s="20" t="n">
        <v>0</v>
      </c>
      <c r="EH43" s="20" t="n">
        <v>0</v>
      </c>
      <c r="EI43" s="20" t="n">
        <v>0</v>
      </c>
      <c r="EJ43" s="20" t="n">
        <v>0</v>
      </c>
      <c r="EK43" s="20" t="n">
        <v>0</v>
      </c>
      <c r="EL43" s="20" t="n">
        <v>0</v>
      </c>
      <c r="EM43" s="20" t="n">
        <v>0</v>
      </c>
      <c r="EN43" s="20" t="n">
        <v>0</v>
      </c>
      <c r="EO43" s="20" t="n">
        <v>0</v>
      </c>
      <c r="EP43" s="20" t="n">
        <v>0</v>
      </c>
      <c r="EQ43" s="20" t="n">
        <v>0</v>
      </c>
      <c r="ER43" s="20" t="n">
        <v>0</v>
      </c>
      <c r="ES43" s="20" t="n">
        <v>0</v>
      </c>
      <c r="ET43" s="20" t="n">
        <v>0</v>
      </c>
      <c r="EU43" s="20" t="n">
        <v>0</v>
      </c>
      <c r="EV43" s="20" t="n">
        <v>0</v>
      </c>
      <c r="EW43" s="20" t="n">
        <v>0</v>
      </c>
      <c r="EX43" s="20" t="n">
        <v>0</v>
      </c>
      <c r="EY43" s="20" t="n">
        <v>0</v>
      </c>
      <c r="EZ43" s="20" t="n">
        <v>0</v>
      </c>
      <c r="FA43" s="20" t="n">
        <v>0</v>
      </c>
      <c r="FB43" s="20" t="n">
        <v>0</v>
      </c>
      <c r="FC43" s="20" t="n">
        <v>0</v>
      </c>
      <c r="FD43" s="20" t="n">
        <v>0</v>
      </c>
      <c r="FE43" s="20" t="n">
        <f aca="false">IF(H_Direct=1,IF(AKR42&lt;=0,0,IF(BR43&lt;=0,AKR42,AKR42-G43*MAX(0,BR43*AKR42-(H43+I43)))),AKR42*(1-MAX(0,BR43)*H_Exit))</f>
        <v>0</v>
      </c>
      <c r="FF43" s="20" t="n">
        <f aca="false">IF(H_Direct=1,IF(AKS42&lt;=0,0,IF(BS43&lt;=0,AKS42,AKS42-G43*MAX(0,BS43*AKS42-(IR43+ME43)))),AKS42*(1-MAX(0,BS43)*H_Exit))</f>
        <v>0</v>
      </c>
      <c r="FG43" s="20" t="n">
        <f aca="false">IF(H_Direct=1,IF(AKT42&lt;=0,0,IF(BT43&lt;=0,AKT42,AKT42-G43*MAX(0,BT43*AKT42-(IS43+MF43)))),AKT42*(1-MAX(0,BT43)*H_Exit))</f>
        <v>0</v>
      </c>
      <c r="FH43" s="20" t="n">
        <f aca="false">IF(H_Direct=1,IF(AKU42&lt;=0,0,IF(BU43&lt;=0,AKU42,AKU42-G43*MAX(0,BU43*AKU42-(IT43+MG43)))),AKU42*(1-MAX(0,BU43)*H_Exit))</f>
        <v>0</v>
      </c>
      <c r="FI43" s="20" t="n">
        <f aca="false">IF(H_Direct=1,IF(AKV42&lt;=0,0,IF(BV43&lt;=0,AKV42,AKV42-G43*MAX(0,BV43*AKV42-(IU43+MH43)))),AKV42*(1-MAX(0,BV43)*H_Exit))</f>
        <v>0</v>
      </c>
      <c r="FJ43" s="20" t="n">
        <f aca="false">IF(H_Direct=1,IF(AKW42&lt;=0,0,IF(BW43&lt;=0,AKW42,AKW42-G43*MAX(0,BW43*AKW42-(IV43+MI43)))),AKW42*(1-MAX(0,BW43)*H_Exit))</f>
        <v>0</v>
      </c>
      <c r="FK43" s="20" t="n">
        <f aca="false">IF(H_Direct=1,IF(AKX42&lt;=0,0,IF(BX43&lt;=0,AKX42,AKX42-G43*MAX(0,BX43*AKX42-(IW43+MJ43)))),AKX42*(1-MAX(0,BX43)*H_Exit))</f>
        <v>0</v>
      </c>
      <c r="FL43" s="20" t="n">
        <f aca="false">IF(H_Direct=1,IF(AKY42&lt;=0,0,IF(BY43&lt;=0,AKY42,AKY42-G43*MAX(0,BY43*AKY42-(IX43+MK43)))),AKY42*(1-MAX(0,BY43)*H_Exit))</f>
        <v>0</v>
      </c>
      <c r="FM43" s="20" t="n">
        <f aca="false">IF(H_Direct=1,IF(AKZ42&lt;=0,0,IF(BZ43&lt;=0,AKZ42,AKZ42-G43*MAX(0,BZ43*AKZ42-(IY43+ML43)))),AKZ42*(1-MAX(0,BZ43)*H_Exit))</f>
        <v>0</v>
      </c>
      <c r="FN43" s="20" t="n">
        <f aca="false">IF(H_Direct=1,IF(ALA42&lt;=0,0,IF(CA43&lt;=0,ALA42,ALA42-G43*MAX(0,CA43*ALA42-(IZ43+MM43)))),ALA42*(1-MAX(0,CA43)*H_Exit))</f>
        <v>0</v>
      </c>
      <c r="FO43" s="20" t="n">
        <f aca="false">IF(H_Direct=1,IF(ALB42&lt;=0,0,IF(CB43&lt;=0,ALB42,ALB42-G43*MAX(0,CB43*ALB42-(JA43+MN43)))),ALB42*(1-MAX(0,CB43)*H_Exit))</f>
        <v>0</v>
      </c>
      <c r="FP43" s="20" t="n">
        <f aca="false">IF(H_Direct=1,IF(ALC42&lt;=0,0,IF(CC43&lt;=0,ALC42,ALC42-G43*MAX(0,CC43*ALC42-(JB43+MO43)))),ALC42*(1-MAX(0,CC43)*H_Exit))</f>
        <v>0</v>
      </c>
      <c r="FQ43" s="20" t="n">
        <f aca="false">IF(H_Direct=1,IF(ALD42&lt;=0,0,IF(CD43&lt;=0,ALD42,ALD42-G43*MAX(0,CD43*ALD42-(JC43+MP43)))),ALD42*(1-MAX(0,CD43)*H_Exit))</f>
        <v>0</v>
      </c>
      <c r="FR43" s="20" t="n">
        <f aca="false">IF(H_Direct=1,IF(ALE42&lt;=0,0,IF(CE43&lt;=0,ALE42,ALE42-G43*MAX(0,CE43*ALE42-(JD43+MQ43)))),ALE42*(1-MAX(0,CE43)*H_Exit))</f>
        <v>0</v>
      </c>
      <c r="FS43" s="20" t="n">
        <f aca="false">IF(H_Direct=1,IF(ALF42&lt;=0,0,IF(CF43&lt;=0,ALF42,ALF42-G43*MAX(0,CF43*ALF42-(JE43+MR43)))),ALF42*(1-MAX(0,CF43)*H_Exit))</f>
        <v>0</v>
      </c>
      <c r="FT43" s="20" t="n">
        <f aca="false">IF(H_Direct=1,IF(ALG42&lt;=0,0,IF(CG43&lt;=0,ALG42,ALG42-G43*MAX(0,CG43*ALG42-(JF43+MS43)))),ALG42*(1-MAX(0,CG43)*H_Exit))</f>
        <v>0</v>
      </c>
      <c r="FU43" s="20" t="n">
        <f aca="false">IF(H_Direct=1,IF(ALH42&lt;=0,0,IF(CH43&lt;=0,ALH42,ALH42-G43*MAX(0,CH43*ALH42-(JG43+MT43)))),ALH42*(1-MAX(0,CH43)*H_Exit))</f>
        <v>0</v>
      </c>
      <c r="FV43" s="20" t="n">
        <f aca="false">IF(H_Direct=1,IF(ALI42&lt;=0,0,IF(CI43&lt;=0,ALI42,ALI42-G43*MAX(0,CI43*ALI42-(JH43+MU43)))),ALI42*(1-MAX(0,CI43)*H_Exit))</f>
        <v>0</v>
      </c>
      <c r="FW43" s="20" t="n">
        <f aca="false">IF(H_Direct=1,IF(ALJ42&lt;=0,0,IF(CJ43&lt;=0,ALJ42,ALJ42-G43*MAX(0,CJ43*ALJ42-(JI43+MV43)))),ALJ42*(1-MAX(0,CJ43)*H_Exit))</f>
        <v>0</v>
      </c>
      <c r="FX43" s="20" t="n">
        <f aca="false">IF(H_Direct=1,IF(ALK42&lt;=0,0,IF(CK43&lt;=0,ALK42,ALK42-G43*MAX(0,CK43*ALK42-(JJ43+MW43)))),ALK42*(1-MAX(0,CK43)*H_Exit))</f>
        <v>0</v>
      </c>
      <c r="FY43" s="20" t="n">
        <f aca="false">IF(H_Direct=1,IF(ALL42&lt;=0,0,IF(CL43&lt;=0,ALL42,ALL42-G43*MAX(0,CL43*ALL42-(JK43+MX43)))),ALL42*(1-MAX(0,CL43)*H_Exit))</f>
        <v>0</v>
      </c>
      <c r="FZ43" s="20" t="n">
        <f aca="false">IF(H_Direct=1,IF(ALM42&lt;=0,0,IF(CM43&lt;=0,ALM42,ALM42-G43*MAX(0,CM43*ALM42-(JL43+MY43)))),ALM42*(1-MAX(0,CM43)*H_Exit))</f>
        <v>0</v>
      </c>
      <c r="GA43" s="20" t="n">
        <f aca="false">IF(H_Direct=1,IF(ALN42&lt;=0,0,IF(CN43&lt;=0,ALN42,ALN42-G43*MAX(0,CN43*ALN42-(JM43+MZ43)))),ALN42*(1-MAX(0,CN43)*H_Exit))</f>
        <v>3350.2181321614</v>
      </c>
      <c r="GB43" s="20" t="n">
        <f aca="false">IF(H_Direct=1,IF(ALO42&lt;=0,0,IF(CO43&lt;=0,ALO42,ALO42-G43*MAX(0,CO43*ALO42-(JN43+NA43)))),ALO42*(1-MAX(0,CO43)*H_Exit))</f>
        <v>5170.49517653388</v>
      </c>
      <c r="GC43" s="20" t="n">
        <f aca="false">IF(H_Direct=1,IF(ALP42&lt;=0,0,IF(CP43&lt;=0,ALP42,ALP42-G43*MAX(0,CP43*ALP42-(JO43+NB43)))),ALP42*(1-MAX(0,CP43)*H_Exit))</f>
        <v>5139.01502870354</v>
      </c>
      <c r="GD43" s="20" t="n">
        <f aca="false">IF(H_Direct=1,IF(ALQ42&lt;=0,0,IF(CQ43&lt;=0,ALQ42,ALQ42-G43*MAX(0,CQ43*ALQ42-(JP43+NC43)))),ALQ42*(1-MAX(0,CQ43)*H_Exit))</f>
        <v>5109.49931736584</v>
      </c>
      <c r="GE43" s="20" t="n">
        <f aca="false">IF(H_Direct=1,IF(ALR42&lt;=0,0,IF(CR43&lt;=0,ALR42,ALR42-G43*MAX(0,CR43*ALR42-(JQ43+ND43)))),ALR42*(1-MAX(0,CR43)*H_Exit))</f>
        <v>76877.2647423223</v>
      </c>
      <c r="GF43" s="20" t="n">
        <f aca="false">IF(H_Direct=1,IF(ALS42&lt;=0,0,IF(CS43&lt;=0,ALS42,ALS42-G43*MAX(0,CS43*ALS42-(JR43+NE43)))),ALS42*(1-MAX(0,CS43)*H_Exit))</f>
        <v>0</v>
      </c>
      <c r="GG43" s="20" t="n">
        <f aca="false">IF(H_Direct=1,IF(ALT42&lt;=0,0,IF(CT43&lt;=0,ALT42,ALT42-G43*MAX(0,CT43*ALT42-(JS43+NF43)))),ALT42*(1-MAX(0,CT43)*H_Exit))</f>
        <v>0</v>
      </c>
      <c r="GH43" s="20" t="n">
        <f aca="false">IF(H_Direct=1,IF(ALU42&lt;=0,0,IF(CU43&lt;=0,ALU42,ALU42-G43*MAX(0,CU43*ALU42-(JT43+NG43)))),ALU42*(1-MAX(0,CU43)*H_Exit))</f>
        <v>2068.21989988721</v>
      </c>
      <c r="GI43" s="20" t="n">
        <f aca="false">IF(H_Direct=1,IF(ALV42&lt;=0,0,IF(CV43&lt;=0,ALV42,ALV42-G43*MAX(0,CV43*ALV42-(JU43+NH43)))),ALV42*(1-MAX(0,CV43)*H_Exit))</f>
        <v>0</v>
      </c>
      <c r="GJ43" s="20" t="n">
        <f aca="false">IF(H_Direct=1,IF(ALW42&lt;=0,0,IF(CW43&lt;=0,ALW42,ALW42-G43*MAX(0,CW43*ALW42-(JV43+NI43)))),ALW42*(1-MAX(0,CW43)*H_Exit))</f>
        <v>0</v>
      </c>
      <c r="GK43" s="20" t="n">
        <f aca="false">IF(H_Direct=1,IF(ALX42&lt;=0,0,IF(CX43&lt;=0,ALX42,ALX42-G43*MAX(0,CX43*ALX42-(JW43+NJ43)))),ALX42*(1-MAX(0,CX43)*H_Exit))</f>
        <v>0</v>
      </c>
      <c r="GL43" s="20" t="n">
        <f aca="false">IF(H_Direct=1,IF(ALY42&lt;=0,0,IF(CY43&lt;=0,ALY42,ALY42-G43*MAX(0,CY43*ALY42-(JX43+NK43)))),ALY42*(1-MAX(0,CY43)*H_Exit))</f>
        <v>0</v>
      </c>
      <c r="GM43" s="20" t="n">
        <f aca="false">IF(H_Direct=1,IF(ALZ42&lt;=0,0,IF(CZ43&lt;=0,ALZ42,ALZ42-G43*MAX(0,CZ43*ALZ42-(JY43+NL43)))),ALZ42*(1-MAX(0,CZ43)*H_Exit))</f>
        <v>0</v>
      </c>
      <c r="GN43" s="20" t="n">
        <f aca="false">IF(H_Direct=1,IF(AMA42&lt;=0,0,IF(DA43&lt;=0,AMA42,AMA42-G43*MAX(0,DA43*AMA42-(JZ43+NM43)))),AMA42*(1-MAX(0,DA43)*H_Exit))</f>
        <v>0</v>
      </c>
      <c r="GO43" s="20" t="n">
        <f aca="false">IF(H_Direct=1,IF((P43+S43)&lt;=0,0,IF(DB43&lt;=0,(P43+S43),(P43+S43)-G43*MAX(0,DB43*(P43+S43)-(KA43+NN43)))),(P43+S43)*(1-MAX(0,DB43)*H_Exit))</f>
        <v>0</v>
      </c>
      <c r="GP43" s="20" t="n">
        <v>0</v>
      </c>
      <c r="GQ43" s="20" t="n">
        <v>0</v>
      </c>
      <c r="GR43" s="20" t="n">
        <v>0</v>
      </c>
      <c r="GS43" s="20" t="n">
        <v>0</v>
      </c>
      <c r="GT43" s="20" t="n">
        <v>0</v>
      </c>
      <c r="GU43" s="20" t="n">
        <v>0</v>
      </c>
      <c r="GV43" s="20" t="n">
        <v>0</v>
      </c>
      <c r="GW43" s="20" t="n">
        <v>0</v>
      </c>
      <c r="GX43" s="20" t="n">
        <v>0</v>
      </c>
      <c r="GY43" s="20" t="n">
        <v>0</v>
      </c>
      <c r="GZ43" s="20" t="n">
        <v>0</v>
      </c>
      <c r="HA43" s="20" t="n">
        <v>0</v>
      </c>
      <c r="HB43" s="20" t="n">
        <v>0</v>
      </c>
      <c r="HC43" s="20" t="n">
        <v>0</v>
      </c>
      <c r="HD43" s="20" t="n">
        <v>0</v>
      </c>
      <c r="HE43" s="20" t="n">
        <v>0</v>
      </c>
      <c r="HF43" s="20" t="n">
        <v>0</v>
      </c>
      <c r="HG43" s="20" t="n">
        <v>0</v>
      </c>
      <c r="HH43" s="20" t="n">
        <v>0</v>
      </c>
      <c r="HI43" s="20" t="n">
        <v>0</v>
      </c>
      <c r="HJ43" s="20" t="n">
        <v>0</v>
      </c>
      <c r="HK43" s="20" t="n">
        <v>0</v>
      </c>
      <c r="HL43" s="20" t="n">
        <v>0</v>
      </c>
      <c r="HM43" s="20" t="n">
        <v>0</v>
      </c>
      <c r="HN43" s="20" t="n">
        <v>0</v>
      </c>
      <c r="HO43" s="20" t="n">
        <v>0</v>
      </c>
      <c r="HP43" s="20" t="n">
        <v>0</v>
      </c>
      <c r="HQ43" s="20" t="n">
        <v>0</v>
      </c>
      <c r="HR43" s="20" t="n">
        <v>0</v>
      </c>
      <c r="HS43" s="20" t="n">
        <v>0</v>
      </c>
      <c r="HT43" s="20" t="n">
        <v>0</v>
      </c>
      <c r="HU43" s="20" t="n">
        <v>0</v>
      </c>
      <c r="HV43" s="20" t="n">
        <v>0</v>
      </c>
      <c r="HW43" s="20" t="n">
        <v>0</v>
      </c>
      <c r="HX43" s="20" t="n">
        <v>0</v>
      </c>
      <c r="HY43" s="20" t="n">
        <v>0</v>
      </c>
      <c r="HZ43" s="20" t="n">
        <v>0</v>
      </c>
      <c r="IA43" s="20" t="n">
        <v>0</v>
      </c>
      <c r="IB43" s="20" t="n">
        <v>0</v>
      </c>
      <c r="IC43" s="20" t="n">
        <v>0</v>
      </c>
      <c r="ID43" s="20" t="n">
        <v>0</v>
      </c>
      <c r="IE43" s="20" t="n">
        <v>0</v>
      </c>
      <c r="IF43" s="20" t="n">
        <v>0</v>
      </c>
      <c r="IG43" s="20" t="n">
        <v>0</v>
      </c>
      <c r="IH43" s="20" t="n">
        <v>0</v>
      </c>
      <c r="II43" s="20" t="n">
        <v>0</v>
      </c>
      <c r="IJ43" s="20" t="n">
        <v>0</v>
      </c>
      <c r="IK43" s="20" t="n">
        <v>0</v>
      </c>
      <c r="IL43" s="20" t="n">
        <v>0</v>
      </c>
      <c r="IM43" s="20" t="n">
        <v>0</v>
      </c>
      <c r="IN43" s="20" t="n">
        <v>0</v>
      </c>
      <c r="IO43" s="20" t="n">
        <v>0</v>
      </c>
      <c r="IP43" s="20" t="n">
        <v>0</v>
      </c>
      <c r="IQ43" s="20" t="n">
        <v>0</v>
      </c>
      <c r="IR43" s="20" t="n">
        <f aca="false">IF(AND(H_Direct=1,BR43&gt;0),MAX(0,H43-(MIN(BR43*AKR42,H43+I43)-MIN(MIN(BR43*AKR42,H43+I43),I43))),H43)</f>
        <v>1270</v>
      </c>
      <c r="IS43" s="20" t="n">
        <f aca="false">IF(AND(H_Direct=1,BS43&gt;0),MAX(0,IR43-(MIN(BS43*AKS42,IR43+ME43)-MIN(MIN(BS43*AKS42,IR43+ME43),ME43))),IR43)</f>
        <v>1270</v>
      </c>
      <c r="IT43" s="20" t="n">
        <f aca="false">IF(AND(H_Direct=1,BT43&gt;0),MAX(0,IS43-(MIN(BT43*AKT42,IS43+MF43)-MIN(MIN(BT43*AKT42,IS43+MF43),MF43))),IS43)</f>
        <v>1270</v>
      </c>
      <c r="IU43" s="20" t="n">
        <f aca="false">IF(AND(H_Direct=1,BU43&gt;0),MAX(0,IT43-(MIN(BU43*AKU42,IT43+MG43)-MIN(MIN(BU43*AKU42,IT43+MG43),MG43))),IT43)</f>
        <v>1270</v>
      </c>
      <c r="IV43" s="20" t="n">
        <f aca="false">IF(AND(H_Direct=1,BV43&gt;0),MAX(0,IU43-(MIN(BV43*AKV42,IU43+MH43)-MIN(MIN(BV43*AKV42,IU43+MH43),MH43))),IU43)</f>
        <v>1270</v>
      </c>
      <c r="IW43" s="20" t="n">
        <f aca="false">IF(AND(H_Direct=1,BW43&gt;0),MAX(0,IV43-(MIN(BW43*AKW42,IV43+MI43)-MIN(MIN(BW43*AKW42,IV43+MI43),MI43))),IV43)</f>
        <v>1270</v>
      </c>
      <c r="IX43" s="20" t="n">
        <f aca="false">IF(AND(H_Direct=1,BX43&gt;0),MAX(0,IW43-(MIN(BX43*AKX42,IW43+MJ43)-MIN(MIN(BX43*AKX42,IW43+MJ43),MJ43))),IW43)</f>
        <v>1270</v>
      </c>
      <c r="IY43" s="20" t="n">
        <f aca="false">IF(AND(H_Direct=1,BY43&gt;0),MAX(0,IX43-(MIN(BY43*AKY42,IX43+MK43)-MIN(MIN(BY43*AKY42,IX43+MK43),MK43))),IX43)</f>
        <v>1270</v>
      </c>
      <c r="IZ43" s="20" t="n">
        <f aca="false">IF(AND(H_Direct=1,BZ43&gt;0),MAX(0,IY43-(MIN(BZ43*AKZ42,IY43+ML43)-MIN(MIN(BZ43*AKZ42,IY43+ML43),ML43))),IY43)</f>
        <v>1270</v>
      </c>
      <c r="JA43" s="20" t="n">
        <f aca="false">IF(AND(H_Direct=1,CA43&gt;0),MAX(0,IZ43-(MIN(CA43*ALA42,IZ43+MM43)-MIN(MIN(CA43*ALA42,IZ43+MM43),MM43))),IZ43)</f>
        <v>1270</v>
      </c>
      <c r="JB43" s="20" t="n">
        <f aca="false">IF(AND(H_Direct=1,CB43&gt;0),MAX(0,JA43-(MIN(CB43*ALB42,JA43+MN43)-MIN(MIN(CB43*ALB42,JA43+MN43),MN43))),JA43)</f>
        <v>1270</v>
      </c>
      <c r="JC43" s="20" t="n">
        <f aca="false">IF(AND(H_Direct=1,CC43&gt;0),MAX(0,JB43-(MIN(CC43*ALC42,JB43+MO43)-MIN(MIN(CC43*ALC42,JB43+MO43),MO43))),JB43)</f>
        <v>1270</v>
      </c>
      <c r="JD43" s="20" t="n">
        <f aca="false">IF(AND(H_Direct=1,CD43&gt;0),MAX(0,JC43-(MIN(CD43*ALD42,JC43+MP43)-MIN(MIN(CD43*ALD42,JC43+MP43),MP43))),JC43)</f>
        <v>1270</v>
      </c>
      <c r="JE43" s="20" t="n">
        <f aca="false">IF(AND(H_Direct=1,CE43&gt;0),MAX(0,JD43-(MIN(CE43*ALE42,JD43+MQ43)-MIN(MIN(CE43*ALE42,JD43+MQ43),MQ43))),JD43)</f>
        <v>1270</v>
      </c>
      <c r="JF43" s="20" t="n">
        <f aca="false">IF(AND(H_Direct=1,CF43&gt;0),MAX(0,JE43-(MIN(CF43*ALF42,JE43+MR43)-MIN(MIN(CF43*ALF42,JE43+MR43),MR43))),JE43)</f>
        <v>1270</v>
      </c>
      <c r="JG43" s="20" t="n">
        <f aca="false">IF(AND(H_Direct=1,CG43&gt;0),MAX(0,JF43-(MIN(CG43*ALG42,JF43+MS43)-MIN(MIN(CG43*ALG42,JF43+MS43),MS43))),JF43)</f>
        <v>1270</v>
      </c>
      <c r="JH43" s="20" t="n">
        <f aca="false">IF(AND(H_Direct=1,CH43&gt;0),MAX(0,JG43-(MIN(CH43*ALH42,JG43+MT43)-MIN(MIN(CH43*ALH42,JG43+MT43),MT43))),JG43)</f>
        <v>1270</v>
      </c>
      <c r="JI43" s="20" t="n">
        <f aca="false">IF(AND(H_Direct=1,CI43&gt;0),MAX(0,JH43-(MIN(CI43*ALI42,JH43+MU43)-MIN(MIN(CI43*ALI42,JH43+MU43),MU43))),JH43)</f>
        <v>1270</v>
      </c>
      <c r="JJ43" s="20" t="n">
        <f aca="false">IF(AND(H_Direct=1,CJ43&gt;0),MAX(0,JI43-(MIN(CJ43*ALJ42,JI43+MV43)-MIN(MIN(CJ43*ALJ42,JI43+MV43),MV43))),JI43)</f>
        <v>1270</v>
      </c>
      <c r="JK43" s="20" t="n">
        <f aca="false">IF(AND(H_Direct=1,CK43&gt;0),MAX(0,JJ43-(MIN(CK43*ALK42,JJ43+MW43)-MIN(MIN(CK43*ALK42,JJ43+MW43),MW43))),JJ43)</f>
        <v>1270</v>
      </c>
      <c r="JL43" s="20" t="n">
        <f aca="false">IF(AND(H_Direct=1,CL43&gt;0),MAX(0,JK43-(MIN(CL43*ALL42,JK43+MX43)-MIN(MIN(CL43*ALL42,JK43+MX43),MX43))),JK43)</f>
        <v>1270</v>
      </c>
      <c r="JM43" s="20" t="n">
        <f aca="false">IF(AND(H_Direct=1,CM43&gt;0),MAX(0,JL43-(MIN(CM43*ALM42,JL43+MY43)-MIN(MIN(CM43*ALM42,JL43+MY43),MY43))),JL43)</f>
        <v>1270</v>
      </c>
      <c r="JN43" s="20" t="n">
        <f aca="false">IF(AND(H_Direct=1,CN43&gt;0),MAX(0,JM43-(MIN(CN43*ALN42,JM43+MZ43)-MIN(MIN(CN43*ALN42,JM43+MZ43),MZ43))),JM43)</f>
        <v>1270</v>
      </c>
      <c r="JO43" s="20" t="n">
        <f aca="false">IF(AND(H_Direct=1,CO43&gt;0),MAX(0,JN43-(MIN(CO43*ALO42,JN43+NA43)-MIN(MIN(CO43*ALO42,JN43+NA43),NA43))),JN43)</f>
        <v>1270</v>
      </c>
      <c r="JP43" s="20" t="n">
        <f aca="false">IF(AND(H_Direct=1,CP43&gt;0),MAX(0,JO43-(MIN(CP43*ALP42,JO43+NB43)-MIN(MIN(CP43*ALP42,JO43+NB43),NB43))),JO43)</f>
        <v>1270</v>
      </c>
      <c r="JQ43" s="20" t="n">
        <f aca="false">IF(AND(H_Direct=1,CQ43&gt;0),MAX(0,JP43-(MIN(CQ43*ALQ42,JP43+NC43)-MIN(MIN(CQ43*ALQ42,JP43+NC43),NC43))),JP43)</f>
        <v>1270</v>
      </c>
      <c r="JR43" s="20" t="n">
        <f aca="false">IF(AND(H_Direct=1,CR43&gt;0),MAX(0,JQ43-(MIN(CR43*ALR42,JQ43+ND43)-MIN(MIN(CR43*ALR42,JQ43+ND43),ND43))),JQ43)</f>
        <v>1270</v>
      </c>
      <c r="JS43" s="20" t="n">
        <f aca="false">IF(AND(H_Direct=1,CS43&gt;0),MAX(0,JR43-(MIN(CS43*ALS42,JR43+NE43)-MIN(MIN(CS43*ALS42,JR43+NE43),NE43))),JR43)</f>
        <v>1270</v>
      </c>
      <c r="JT43" s="20" t="n">
        <f aca="false">IF(AND(H_Direct=1,CT43&gt;0),MAX(0,JS43-(MIN(CT43*ALT42,JS43+NF43)-MIN(MIN(CT43*ALT42,JS43+NF43),NF43))),JS43)</f>
        <v>1270</v>
      </c>
      <c r="JU43" s="20" t="n">
        <f aca="false">IF(AND(H_Direct=1,CU43&gt;0),MAX(0,JT43-(MIN(CU43*ALU42,JT43+NG43)-MIN(MIN(CU43*ALU42,JT43+NG43),NG43))),JT43)</f>
        <v>1270</v>
      </c>
      <c r="JV43" s="20" t="n">
        <f aca="false">IF(AND(H_Direct=1,CV43&gt;0),MAX(0,JU43-(MIN(CV43*ALV42,JU43+NH43)-MIN(MIN(CV43*ALV42,JU43+NH43),NH43))),JU43)</f>
        <v>1270</v>
      </c>
      <c r="JW43" s="20" t="n">
        <f aca="false">IF(AND(H_Direct=1,CW43&gt;0),MAX(0,JV43-(MIN(CW43*ALW42,JV43+NI43)-MIN(MIN(CW43*ALW42,JV43+NI43),NI43))),JV43)</f>
        <v>1270</v>
      </c>
      <c r="JX43" s="20" t="n">
        <f aca="false">IF(AND(H_Direct=1,CX43&gt;0),MAX(0,JW43-(MIN(CX43*ALX42,JW43+NJ43)-MIN(MIN(CX43*ALX42,JW43+NJ43),NJ43))),JW43)</f>
        <v>1270</v>
      </c>
      <c r="JY43" s="20" t="n">
        <f aca="false">IF(AND(H_Direct=1,CY43&gt;0),MAX(0,JX43-(MIN(CY43*ALY42,JX43+NK43)-MIN(MIN(CY43*ALY42,JX43+NK43),NK43))),JX43)</f>
        <v>1270</v>
      </c>
      <c r="JZ43" s="20" t="n">
        <f aca="false">IF(AND(H_Direct=1,CZ43&gt;0),MAX(0,JY43-(MIN(CZ43*ALZ42,JY43+NL43)-MIN(MIN(CZ43*ALZ42,JY43+NL43),NL43))),JY43)</f>
        <v>1270</v>
      </c>
      <c r="KA43" s="20" t="n">
        <f aca="false">IF(AND(H_Direct=1,DA43&gt;0),MAX(0,JZ43-(MIN(DA43*AMA42,JZ43+NM43)-MIN(MIN(DA43*AMA42,JZ43+NM43),NM43))),JZ43)</f>
        <v>1270</v>
      </c>
      <c r="KB43" s="20" t="n">
        <f aca="false">IF(AND(H_Direct=1,DB43&gt;0),MAX(0,KA43-(MIN(DB43*(P43+S43),KA43+NN43)-MIN(MIN(DB43*(P43+S43),KA43+NN43),NN43))),KA43)</f>
        <v>1270</v>
      </c>
      <c r="KC43" s="20" t="n">
        <f aca="false">KB43</f>
        <v>1270</v>
      </c>
      <c r="KD43" s="20" t="n">
        <f aca="false">KC43</f>
        <v>1270</v>
      </c>
      <c r="KE43" s="20" t="n">
        <f aca="false">KD43</f>
        <v>1270</v>
      </c>
      <c r="KF43" s="20" t="n">
        <f aca="false">KE43</f>
        <v>1270</v>
      </c>
      <c r="KG43" s="20" t="n">
        <f aca="false">KF43</f>
        <v>1270</v>
      </c>
      <c r="KH43" s="20" t="n">
        <f aca="false">KG43</f>
        <v>1270</v>
      </c>
      <c r="KI43" s="20" t="n">
        <f aca="false">KH43</f>
        <v>1270</v>
      </c>
      <c r="KJ43" s="20" t="n">
        <f aca="false">KI43</f>
        <v>1270</v>
      </c>
      <c r="KK43" s="20" t="n">
        <f aca="false">KJ43</f>
        <v>1270</v>
      </c>
      <c r="KL43" s="20" t="n">
        <f aca="false">KK43</f>
        <v>1270</v>
      </c>
      <c r="KM43" s="20" t="n">
        <f aca="false">KL43</f>
        <v>1270</v>
      </c>
      <c r="KN43" s="20" t="n">
        <f aca="false">KM43</f>
        <v>1270</v>
      </c>
      <c r="KO43" s="20" t="n">
        <f aca="false">KN43</f>
        <v>1270</v>
      </c>
      <c r="KP43" s="20" t="n">
        <f aca="false">KO43</f>
        <v>1270</v>
      </c>
      <c r="KQ43" s="20" t="n">
        <f aca="false">KP43</f>
        <v>1270</v>
      </c>
      <c r="KR43" s="20" t="n">
        <f aca="false">KQ43</f>
        <v>1270</v>
      </c>
      <c r="KS43" s="20" t="n">
        <f aca="false">KR43</f>
        <v>1270</v>
      </c>
      <c r="KT43" s="20" t="n">
        <f aca="false">KS43</f>
        <v>1270</v>
      </c>
      <c r="KU43" s="20" t="n">
        <f aca="false">KT43</f>
        <v>1270</v>
      </c>
      <c r="KV43" s="20" t="n">
        <f aca="false">KU43</f>
        <v>1270</v>
      </c>
      <c r="KW43" s="20" t="n">
        <f aca="false">KV43</f>
        <v>1270</v>
      </c>
      <c r="KX43" s="20" t="n">
        <f aca="false">KW43</f>
        <v>1270</v>
      </c>
      <c r="KY43" s="20" t="n">
        <f aca="false">KX43</f>
        <v>1270</v>
      </c>
      <c r="KZ43" s="20" t="n">
        <f aca="false">KY43</f>
        <v>1270</v>
      </c>
      <c r="LA43" s="20" t="n">
        <f aca="false">KZ43</f>
        <v>1270</v>
      </c>
      <c r="LB43" s="20" t="n">
        <f aca="false">LA43</f>
        <v>1270</v>
      </c>
      <c r="LC43" s="20" t="n">
        <f aca="false">LB43</f>
        <v>1270</v>
      </c>
      <c r="LD43" s="20" t="n">
        <f aca="false">LC43</f>
        <v>1270</v>
      </c>
      <c r="LE43" s="20" t="n">
        <f aca="false">LD43</f>
        <v>1270</v>
      </c>
      <c r="LF43" s="20" t="n">
        <f aca="false">LE43</f>
        <v>1270</v>
      </c>
      <c r="LG43" s="20" t="n">
        <f aca="false">LF43</f>
        <v>1270</v>
      </c>
      <c r="LH43" s="20" t="n">
        <f aca="false">LG43</f>
        <v>1270</v>
      </c>
      <c r="LI43" s="20" t="n">
        <f aca="false">LH43</f>
        <v>1270</v>
      </c>
      <c r="LJ43" s="20" t="n">
        <f aca="false">LI43</f>
        <v>1270</v>
      </c>
      <c r="LK43" s="20" t="n">
        <f aca="false">LJ43</f>
        <v>1270</v>
      </c>
      <c r="LL43" s="20" t="n">
        <f aca="false">LK43</f>
        <v>1270</v>
      </c>
      <c r="LM43" s="20" t="n">
        <f aca="false">LL43</f>
        <v>1270</v>
      </c>
      <c r="LN43" s="20" t="n">
        <f aca="false">LM43</f>
        <v>1270</v>
      </c>
      <c r="LO43" s="20" t="n">
        <f aca="false">LN43</f>
        <v>1270</v>
      </c>
      <c r="LP43" s="20" t="n">
        <f aca="false">LO43</f>
        <v>1270</v>
      </c>
      <c r="LQ43" s="20" t="n">
        <f aca="false">LP43</f>
        <v>1270</v>
      </c>
      <c r="LR43" s="20" t="n">
        <f aca="false">LQ43</f>
        <v>1270</v>
      </c>
      <c r="LS43" s="20" t="n">
        <f aca="false">LR43</f>
        <v>1270</v>
      </c>
      <c r="LT43" s="20" t="n">
        <f aca="false">LS43</f>
        <v>1270</v>
      </c>
      <c r="LU43" s="20" t="n">
        <f aca="false">LT43</f>
        <v>1270</v>
      </c>
      <c r="LV43" s="20" t="n">
        <f aca="false">LU43</f>
        <v>1270</v>
      </c>
      <c r="LW43" s="20" t="n">
        <f aca="false">LV43</f>
        <v>1270</v>
      </c>
      <c r="LX43" s="20" t="n">
        <f aca="false">LW43</f>
        <v>1270</v>
      </c>
      <c r="LY43" s="20" t="n">
        <f aca="false">LX43</f>
        <v>1270</v>
      </c>
      <c r="LZ43" s="20" t="n">
        <f aca="false">LY43</f>
        <v>1270</v>
      </c>
      <c r="MA43" s="20" t="n">
        <f aca="false">LZ43</f>
        <v>1270</v>
      </c>
      <c r="MB43" s="20" t="n">
        <f aca="false">MA43</f>
        <v>1270</v>
      </c>
      <c r="MC43" s="20" t="n">
        <f aca="false">MB43</f>
        <v>1270</v>
      </c>
      <c r="MD43" s="20" t="n">
        <f aca="false">MC43</f>
        <v>1270</v>
      </c>
      <c r="ME43" s="20" t="n">
        <f aca="false">IF(H_Direct=1,IF(BR43&lt;=0,I43-BR43*AKR42,I43-MIN(MIN(BR43*AKR42,H43+I43),I43)),I43)</f>
        <v>0</v>
      </c>
      <c r="MF43" s="20" t="n">
        <f aca="false">IF(H_Direct=1,IF(BS43&lt;=0,ME43-BS43*AKS42,ME43-MIN(MIN(BS43*AKS42,IR43+ME43),ME43)),ME43)</f>
        <v>0</v>
      </c>
      <c r="MG43" s="20" t="n">
        <f aca="false">IF(H_Direct=1,IF(BT43&lt;=0,MF43-BT43*AKT42,MF43-MIN(MIN(BT43*AKT42,IS43+MF43),MF43)),MF43)</f>
        <v>0</v>
      </c>
      <c r="MH43" s="20" t="n">
        <f aca="false">IF(H_Direct=1,IF(BU43&lt;=0,MG43-BU43*AKU42,MG43-MIN(MIN(BU43*AKU42,IT43+MG43),MG43)),MG43)</f>
        <v>0</v>
      </c>
      <c r="MI43" s="20" t="n">
        <f aca="false">IF(H_Direct=1,IF(BV43&lt;=0,MH43-BV43*AKV42,MH43-MIN(MIN(BV43*AKV42,IU43+MH43),MH43)),MH43)</f>
        <v>0</v>
      </c>
      <c r="MJ43" s="20" t="n">
        <f aca="false">IF(H_Direct=1,IF(BW43&lt;=0,MI43-BW43*AKW42,MI43-MIN(MIN(BW43*AKW42,IV43+MI43),MI43)),MI43)</f>
        <v>0</v>
      </c>
      <c r="MK43" s="20" t="n">
        <f aca="false">IF(H_Direct=1,IF(BX43&lt;=0,MJ43-BX43*AKX42,MJ43-MIN(MIN(BX43*AKX42,IW43+MJ43),MJ43)),MJ43)</f>
        <v>0</v>
      </c>
      <c r="ML43" s="20" t="n">
        <f aca="false">IF(H_Direct=1,IF(BY43&lt;=0,MK43-BY43*AKY42,MK43-MIN(MIN(BY43*AKY42,IX43+MK43),MK43)),MK43)</f>
        <v>0</v>
      </c>
      <c r="MM43" s="20" t="n">
        <f aca="false">IF(H_Direct=1,IF(BZ43&lt;=0,ML43-BZ43*AKZ42,ML43-MIN(MIN(BZ43*AKZ42,IY43+ML43),ML43)),ML43)</f>
        <v>0</v>
      </c>
      <c r="MN43" s="20" t="n">
        <f aca="false">IF(H_Direct=1,IF(CA43&lt;=0,MM43-CA43*ALA42,MM43-MIN(MIN(CA43*ALA42,IZ43+MM43),MM43)),MM43)</f>
        <v>0</v>
      </c>
      <c r="MO43" s="20" t="n">
        <f aca="false">IF(H_Direct=1,IF(CB43&lt;=0,MN43-CB43*ALB42,MN43-MIN(MIN(CB43*ALB42,JA43+MN43),MN43)),MN43)</f>
        <v>0</v>
      </c>
      <c r="MP43" s="20" t="n">
        <f aca="false">IF(H_Direct=1,IF(CC43&lt;=0,MO43-CC43*ALC42,MO43-MIN(MIN(CC43*ALC42,JB43+MO43),MO43)),MO43)</f>
        <v>0</v>
      </c>
      <c r="MQ43" s="20" t="n">
        <f aca="false">IF(H_Direct=1,IF(CD43&lt;=0,MP43-CD43*ALD42,MP43-MIN(MIN(CD43*ALD42,JC43+MP43),MP43)),MP43)</f>
        <v>0</v>
      </c>
      <c r="MR43" s="20" t="n">
        <f aca="false">IF(H_Direct=1,IF(CE43&lt;=0,MQ43-CE43*ALE42,MQ43-MIN(MIN(CE43*ALE42,JD43+MQ43),MQ43)),MQ43)</f>
        <v>0</v>
      </c>
      <c r="MS43" s="20" t="n">
        <f aca="false">IF(H_Direct=1,IF(CF43&lt;=0,MR43-CF43*ALF42,MR43-MIN(MIN(CF43*ALF42,JE43+MR43),MR43)),MR43)</f>
        <v>0</v>
      </c>
      <c r="MT43" s="20" t="n">
        <f aca="false">IF(H_Direct=1,IF(CG43&lt;=0,MS43-CG43*ALG42,MS43-MIN(MIN(CG43*ALG42,JF43+MS43),MS43)),MS43)</f>
        <v>0</v>
      </c>
      <c r="MU43" s="20" t="n">
        <f aca="false">IF(H_Direct=1,IF(CH43&lt;=0,MT43-CH43*ALH42,MT43-MIN(MIN(CH43*ALH42,JG43+MT43),MT43)),MT43)</f>
        <v>0</v>
      </c>
      <c r="MV43" s="20" t="n">
        <f aca="false">IF(H_Direct=1,IF(CI43&lt;=0,MU43-CI43*ALI42,MU43-MIN(MIN(CI43*ALI42,JH43+MU43),MU43)),MU43)</f>
        <v>0</v>
      </c>
      <c r="MW43" s="20" t="n">
        <f aca="false">IF(H_Direct=1,IF(CJ43&lt;=0,MV43-CJ43*ALJ42,MV43-MIN(MIN(CJ43*ALJ42,JI43+MV43),MV43)),MV43)</f>
        <v>0</v>
      </c>
      <c r="MX43" s="20" t="n">
        <f aca="false">IF(H_Direct=1,IF(CK43&lt;=0,MW43-CK43*ALK42,MW43-MIN(MIN(CK43*ALK42,JJ43+MW43),MW43)),MW43)</f>
        <v>0</v>
      </c>
      <c r="MY43" s="20" t="n">
        <f aca="false">IF(H_Direct=1,IF(CL43&lt;=0,MX43-CL43*ALL42,MX43-MIN(MIN(CL43*ALL42,JK43+MX43),MX43)),MX43)</f>
        <v>0</v>
      </c>
      <c r="MZ43" s="20" t="n">
        <f aca="false">IF(H_Direct=1,IF(CM43&lt;=0,MY43-CM43*ALM42,MY43-MIN(MIN(CM43*ALM42,JL43+MY43),MY43)),MY43)</f>
        <v>0</v>
      </c>
      <c r="NA43" s="20" t="n">
        <f aca="false">IF(H_Direct=1,IF(CN43&lt;=0,MZ43-CN43*ALN42,MZ43-MIN(MIN(CN43*ALN42,JM43+MZ43),MZ43)),MZ43)</f>
        <v>0</v>
      </c>
      <c r="NB43" s="20" t="n">
        <f aca="false">IF(H_Direct=1,IF(CO43&lt;=0,NA43-CO43*ALO42,NA43-MIN(MIN(CO43*ALO42,JN43+NA43),NA43)),NA43)</f>
        <v>0</v>
      </c>
      <c r="NC43" s="20" t="n">
        <f aca="false">IF(H_Direct=1,IF(CP43&lt;=0,NB43-CP43*ALP42,NB43-MIN(MIN(CP43*ALP42,JO43+NB43),NB43)),NB43)</f>
        <v>0</v>
      </c>
      <c r="ND43" s="20" t="n">
        <f aca="false">IF(H_Direct=1,IF(CQ43&lt;=0,NC43-CQ43*ALQ42,NC43-MIN(MIN(CQ43*ALQ42,JP43+NC43),NC43)),NC43)</f>
        <v>0</v>
      </c>
      <c r="NE43" s="20" t="n">
        <f aca="false">IF(H_Direct=1,IF(CR43&lt;=0,ND43-CR43*ALR42,ND43-MIN(MIN(CR43*ALR42,JQ43+ND43),ND43)),ND43)</f>
        <v>0</v>
      </c>
      <c r="NF43" s="20" t="n">
        <f aca="false">IF(H_Direct=1,IF(CS43&lt;=0,NE43-CS43*ALS42,NE43-MIN(MIN(CS43*ALS42,JR43+NE43),NE43)),NE43)</f>
        <v>0</v>
      </c>
      <c r="NG43" s="20" t="n">
        <f aca="false">IF(H_Direct=1,IF(CT43&lt;=0,NF43-CT43*ALT42,NF43-MIN(MIN(CT43*ALT42,JS43+NF43),NF43)),NF43)</f>
        <v>0</v>
      </c>
      <c r="NH43" s="20" t="n">
        <f aca="false">IF(H_Direct=1,IF(CU43&lt;=0,NG43-CU43*ALU42,NG43-MIN(MIN(CU43*ALU42,JT43+NG43),NG43)),NG43)</f>
        <v>0</v>
      </c>
      <c r="NI43" s="20" t="n">
        <f aca="false">IF(H_Direct=1,IF(CV43&lt;=0,NH43-CV43*ALV42,NH43-MIN(MIN(CV43*ALV42,JU43+NH43),NH43)),NH43)</f>
        <v>0</v>
      </c>
      <c r="NJ43" s="20" t="n">
        <f aca="false">IF(H_Direct=1,IF(CW43&lt;=0,NI43-CW43*ALW42,NI43-MIN(MIN(CW43*ALW42,JV43+NI43),NI43)),NI43)</f>
        <v>0</v>
      </c>
      <c r="NK43" s="20" t="n">
        <f aca="false">IF(H_Direct=1,IF(CX43&lt;=0,NJ43-CX43*ALX42,NJ43-MIN(MIN(CX43*ALX42,JW43+NJ43),NJ43)),NJ43)</f>
        <v>0</v>
      </c>
      <c r="NL43" s="20" t="n">
        <f aca="false">IF(H_Direct=1,IF(CY43&lt;=0,NK43-CY43*ALY42,NK43-MIN(MIN(CY43*ALY42,JX43+NK43),NK43)),NK43)</f>
        <v>0</v>
      </c>
      <c r="NM43" s="20" t="n">
        <f aca="false">IF(H_Direct=1,IF(CZ43&lt;=0,NL43-CZ43*ALZ42,NL43-MIN(MIN(CZ43*ALZ42,JY43+NL43),NL43)),NL43)</f>
        <v>0</v>
      </c>
      <c r="NN43" s="20" t="n">
        <f aca="false">IF(H_Direct=1,IF(DA43&lt;=0,NM43-DA43*AMA42,NM43-MIN(MIN(DA43*AMA42,JZ43+NM43),NM43)),NM43)</f>
        <v>0</v>
      </c>
      <c r="NO43" s="20" t="n">
        <f aca="false">IF(H_Direct=1,IF(DB43&lt;=0,NN43-DB43*(P43+S43),NN43-MIN(MIN(DB43*(P43+S43),KA43+NN43),NN43)),NN43)</f>
        <v>0</v>
      </c>
      <c r="NP43" s="20" t="n">
        <f aca="false">NO43</f>
        <v>0</v>
      </c>
      <c r="NQ43" s="20" t="n">
        <f aca="false">NP43</f>
        <v>0</v>
      </c>
      <c r="NR43" s="20" t="n">
        <f aca="false">NQ43</f>
        <v>0</v>
      </c>
      <c r="NS43" s="20" t="n">
        <f aca="false">NR43</f>
        <v>0</v>
      </c>
      <c r="NT43" s="20" t="n">
        <f aca="false">NS43</f>
        <v>0</v>
      </c>
      <c r="NU43" s="20" t="n">
        <f aca="false">NT43</f>
        <v>0</v>
      </c>
      <c r="NV43" s="20" t="n">
        <f aca="false">NU43</f>
        <v>0</v>
      </c>
      <c r="NW43" s="20" t="n">
        <f aca="false">NV43</f>
        <v>0</v>
      </c>
      <c r="NX43" s="20" t="n">
        <f aca="false">NW43</f>
        <v>0</v>
      </c>
      <c r="NY43" s="20" t="n">
        <f aca="false">NX43</f>
        <v>0</v>
      </c>
      <c r="NZ43" s="20" t="n">
        <f aca="false">NY43</f>
        <v>0</v>
      </c>
      <c r="OA43" s="20" t="n">
        <f aca="false">NZ43</f>
        <v>0</v>
      </c>
      <c r="OB43" s="20" t="n">
        <f aca="false">OA43</f>
        <v>0</v>
      </c>
      <c r="OC43" s="20" t="n">
        <f aca="false">OB43</f>
        <v>0</v>
      </c>
      <c r="OD43" s="20" t="n">
        <f aca="false">OC43</f>
        <v>0</v>
      </c>
      <c r="OE43" s="20" t="n">
        <f aca="false">OD43</f>
        <v>0</v>
      </c>
      <c r="OF43" s="20" t="n">
        <f aca="false">OE43</f>
        <v>0</v>
      </c>
      <c r="OG43" s="20" t="n">
        <f aca="false">OF43</f>
        <v>0</v>
      </c>
      <c r="OH43" s="20" t="n">
        <f aca="false">OG43</f>
        <v>0</v>
      </c>
      <c r="OI43" s="20" t="n">
        <f aca="false">OH43</f>
        <v>0</v>
      </c>
      <c r="OJ43" s="20" t="n">
        <f aca="false">OI43</f>
        <v>0</v>
      </c>
      <c r="OK43" s="20" t="n">
        <f aca="false">OJ43</f>
        <v>0</v>
      </c>
      <c r="OL43" s="20" t="n">
        <f aca="false">OK43</f>
        <v>0</v>
      </c>
      <c r="OM43" s="20" t="n">
        <f aca="false">OL43</f>
        <v>0</v>
      </c>
      <c r="ON43" s="20" t="n">
        <f aca="false">OM43</f>
        <v>0</v>
      </c>
      <c r="OO43" s="20" t="n">
        <f aca="false">ON43</f>
        <v>0</v>
      </c>
      <c r="OP43" s="20" t="n">
        <f aca="false">OO43</f>
        <v>0</v>
      </c>
      <c r="OQ43" s="20" t="n">
        <f aca="false">OP43</f>
        <v>0</v>
      </c>
      <c r="OR43" s="20" t="n">
        <f aca="false">OQ43</f>
        <v>0</v>
      </c>
      <c r="OS43" s="20" t="n">
        <f aca="false">OR43</f>
        <v>0</v>
      </c>
      <c r="OT43" s="20" t="n">
        <f aca="false">OS43</f>
        <v>0</v>
      </c>
      <c r="OU43" s="20" t="n">
        <f aca="false">OT43</f>
        <v>0</v>
      </c>
      <c r="OV43" s="20" t="n">
        <f aca="false">OU43</f>
        <v>0</v>
      </c>
      <c r="OW43" s="20" t="n">
        <f aca="false">OV43</f>
        <v>0</v>
      </c>
      <c r="OX43" s="20" t="n">
        <f aca="false">OW43</f>
        <v>0</v>
      </c>
      <c r="OY43" s="20" t="n">
        <f aca="false">OX43</f>
        <v>0</v>
      </c>
      <c r="OZ43" s="20" t="n">
        <f aca="false">OY43</f>
        <v>0</v>
      </c>
      <c r="PA43" s="20" t="n">
        <f aca="false">OZ43</f>
        <v>0</v>
      </c>
      <c r="PB43" s="20" t="n">
        <f aca="false">PA43</f>
        <v>0</v>
      </c>
      <c r="PC43" s="20" t="n">
        <f aca="false">PB43</f>
        <v>0</v>
      </c>
      <c r="PD43" s="20" t="n">
        <f aca="false">PC43</f>
        <v>0</v>
      </c>
      <c r="PE43" s="20" t="n">
        <f aca="false">PD43</f>
        <v>0</v>
      </c>
      <c r="PF43" s="20" t="n">
        <f aca="false">PE43</f>
        <v>0</v>
      </c>
      <c r="PG43" s="20" t="n">
        <f aca="false">PF43</f>
        <v>0</v>
      </c>
      <c r="PH43" s="20" t="n">
        <f aca="false">PG43</f>
        <v>0</v>
      </c>
      <c r="PI43" s="20" t="n">
        <f aca="false">PH43</f>
        <v>0</v>
      </c>
      <c r="PJ43" s="20" t="n">
        <f aca="false">PI43</f>
        <v>0</v>
      </c>
      <c r="PK43" s="20" t="n">
        <f aca="false">PJ43</f>
        <v>0</v>
      </c>
      <c r="PL43" s="20" t="n">
        <f aca="false">PK43</f>
        <v>0</v>
      </c>
      <c r="PM43" s="20" t="n">
        <f aca="false">PL43</f>
        <v>0</v>
      </c>
      <c r="PN43" s="20" t="n">
        <f aca="false">PM43</f>
        <v>0</v>
      </c>
      <c r="PO43" s="20" t="n">
        <f aca="false">PN43</f>
        <v>0</v>
      </c>
      <c r="PP43" s="20" t="n">
        <f aca="false">PO43</f>
        <v>0</v>
      </c>
      <c r="PQ43" s="20" t="n">
        <f aca="false">PP43</f>
        <v>0</v>
      </c>
      <c r="PR43" s="20" t="n">
        <f aca="false">IF(H_Direct=1,IF(AKR42&lt;=0,0,IF(BR43&lt;=0,MIN(MAX(0,AB43),AKR42),MIN(MAX(0,AB43),AKR42-G43*MAX(0,BR43*AKR42-(H43+I43))))),MIN(FE43,MAX(0,AB43)))</f>
        <v>0</v>
      </c>
      <c r="PS43" s="20" t="n">
        <f aca="false">IF(H_Direct=1,IF(AKS42&lt;=0,0,IF(BS43&lt;=0,MIN(MAX(0,AB43-SUM(PR43:PR43)),AKS42),MIN(MAX(0,AB43-SUM(PR43:PR43)),AKS42-G43*MAX(0,BS43*AKS42-(WR43+AAE43))))),MIN(FF43,MAX(0,AB43-SUM(PR43:PR43))))</f>
        <v>0</v>
      </c>
      <c r="PT43" s="20" t="n">
        <f aca="false">IF(H_Direct=1,IF(AKT42&lt;=0,0,IF(BT43&lt;=0,MIN(MAX(0,AB43-SUM(PR43:PS43)),AKT42),MIN(MAX(0,AB43-SUM(PR43:PS43)),AKT42-G43*MAX(0,BT43*AKT42-(WS43+AAF43))))),MIN(FG43,MAX(0,AB43-SUM(PR43:PS43))))</f>
        <v>0</v>
      </c>
      <c r="PU43" s="20" t="n">
        <f aca="false">IF(H_Direct=1,IF(AKU42&lt;=0,0,IF(BU43&lt;=0,MIN(MAX(0,AB43-SUM(PR43:PT43)),AKU42),MIN(MAX(0,AB43-SUM(PR43:PT43)),AKU42-G43*MAX(0,BU43*AKU42-(WT43+AAG43))))),MIN(FH43,MAX(0,AB43-SUM(PR43:PT43))))</f>
        <v>0</v>
      </c>
      <c r="PV43" s="20" t="n">
        <f aca="false">IF(H_Direct=1,IF(AKV42&lt;=0,0,IF(BV43&lt;=0,MIN(MAX(0,AB43-SUM(PR43:PU43)),AKV42),MIN(MAX(0,AB43-SUM(PR43:PU43)),AKV42-G43*MAX(0,BV43*AKV42-(WU43+AAH43))))),MIN(FI43,MAX(0,AB43-SUM(PR43:PU43))))</f>
        <v>0</v>
      </c>
      <c r="PW43" s="20" t="n">
        <f aca="false">IF(H_Direct=1,IF(AKW42&lt;=0,0,IF(BW43&lt;=0,MIN(MAX(0,AB43-SUM(PR43:PV43)),AKW42),MIN(MAX(0,AB43-SUM(PR43:PV43)),AKW42-G43*MAX(0,BW43*AKW42-(WV43+AAI43))))),MIN(FJ43,MAX(0,AB43-SUM(PR43:PV43))))</f>
        <v>0</v>
      </c>
      <c r="PX43" s="20" t="n">
        <f aca="false">IF(H_Direct=1,IF(AKX42&lt;=0,0,IF(BX43&lt;=0,MIN(MAX(0,AB43-SUM(PR43:PW43)),AKX42),MIN(MAX(0,AB43-SUM(PR43:PW43)),AKX42-G43*MAX(0,BX43*AKX42-(WW43+AAJ43))))),MIN(FK43,MAX(0,AB43-SUM(PR43:PW43))))</f>
        <v>0</v>
      </c>
      <c r="PY43" s="20" t="n">
        <f aca="false">IF(H_Direct=1,IF(AKY42&lt;=0,0,IF(BY43&lt;=0,MIN(MAX(0,AB43-SUM(PR43:PX43)),AKY42),MIN(MAX(0,AB43-SUM(PR43:PX43)),AKY42-G43*MAX(0,BY43*AKY42-(WX43+AAK43))))),MIN(FL43,MAX(0,AB43-SUM(PR43:PX43))))</f>
        <v>0</v>
      </c>
      <c r="PZ43" s="20" t="n">
        <f aca="false">IF(H_Direct=1,IF(AKZ42&lt;=0,0,IF(BZ43&lt;=0,MIN(MAX(0,AB43-SUM(PR43:PY43)),AKZ42),MIN(MAX(0,AB43-SUM(PR43:PY43)),AKZ42-G43*MAX(0,BZ43*AKZ42-(WY43+AAL43))))),MIN(FM43,MAX(0,AB43-SUM(PR43:PY43))))</f>
        <v>0</v>
      </c>
      <c r="QA43" s="20" t="n">
        <f aca="false">IF(H_Direct=1,IF(ALA42&lt;=0,0,IF(CA43&lt;=0,MIN(MAX(0,AB43-SUM(PR43:PZ43)),ALA42),MIN(MAX(0,AB43-SUM(PR43:PZ43)),ALA42-G43*MAX(0,CA43*ALA42-(WZ43+AAM43))))),MIN(FN43,MAX(0,AB43-SUM(PR43:PZ43))))</f>
        <v>0</v>
      </c>
      <c r="QB43" s="20" t="n">
        <f aca="false">IF(H_Direct=1,IF(ALB42&lt;=0,0,IF(CB43&lt;=0,MIN(MAX(0,AB43-SUM(PR43:QA43)),ALB42),MIN(MAX(0,AB43-SUM(PR43:QA43)),ALB42-G43*MAX(0,CB43*ALB42-(XA43+AAN43))))),MIN(FO43,MAX(0,AB43-SUM(PR43:QA43))))</f>
        <v>0</v>
      </c>
      <c r="QC43" s="20" t="n">
        <f aca="false">IF(H_Direct=1,IF(ALC42&lt;=0,0,IF(CC43&lt;=0,MIN(MAX(0,AB43-SUM(PR43:QB43)),ALC42),MIN(MAX(0,AB43-SUM(PR43:QB43)),ALC42-G43*MAX(0,CC43*ALC42-(XB43+AAO43))))),MIN(FP43,MAX(0,AB43-SUM(PR43:QB43))))</f>
        <v>0</v>
      </c>
      <c r="QD43" s="20" t="n">
        <f aca="false">IF(H_Direct=1,IF(ALD42&lt;=0,0,IF(CD43&lt;=0,MIN(MAX(0,AB43-SUM(PR43:QC43)),ALD42),MIN(MAX(0,AB43-SUM(PR43:QC43)),ALD42-G43*MAX(0,CD43*ALD42-(XC43+AAP43))))),MIN(FQ43,MAX(0,AB43-SUM(PR43:QC43))))</f>
        <v>0</v>
      </c>
      <c r="QE43" s="20" t="n">
        <f aca="false">IF(H_Direct=1,IF(ALE42&lt;=0,0,IF(CE43&lt;=0,MIN(MAX(0,AB43-SUM(PR43:QD43)),ALE42),MIN(MAX(0,AB43-SUM(PR43:QD43)),ALE42-G43*MAX(0,CE43*ALE42-(XD43+AAQ43))))),MIN(FR43,MAX(0,AB43-SUM(PR43:QD43))))</f>
        <v>0</v>
      </c>
      <c r="QF43" s="20" t="n">
        <f aca="false">IF(H_Direct=1,IF(ALF42&lt;=0,0,IF(CF43&lt;=0,MIN(MAX(0,AB43-SUM(PR43:QE43)),ALF42),MIN(MAX(0,AB43-SUM(PR43:QE43)),ALF42-G43*MAX(0,CF43*ALF42-(XE43+AAR43))))),MIN(FS43,MAX(0,AB43-SUM(PR43:QE43))))</f>
        <v>0</v>
      </c>
      <c r="QG43" s="20" t="n">
        <f aca="false">IF(H_Direct=1,IF(ALG42&lt;=0,0,IF(CG43&lt;=0,MIN(MAX(0,AB43-SUM(PR43:QF43)),ALG42),MIN(MAX(0,AB43-SUM(PR43:QF43)),ALG42-G43*MAX(0,CG43*ALG42-(XF43+AAS43))))),MIN(FT43,MAX(0,AB43-SUM(PR43:QF43))))</f>
        <v>0</v>
      </c>
      <c r="QH43" s="20" t="n">
        <f aca="false">IF(H_Direct=1,IF(ALH42&lt;=0,0,IF(CH43&lt;=0,MIN(MAX(0,AB43-SUM(PR43:QG43)),ALH42),MIN(MAX(0,AB43-SUM(PR43:QG43)),ALH42-G43*MAX(0,CH43*ALH42-(XG43+AAT43))))),MIN(FU43,MAX(0,AB43-SUM(PR43:QG43))))</f>
        <v>0</v>
      </c>
      <c r="QI43" s="20" t="n">
        <f aca="false">IF(H_Direct=1,IF(ALI42&lt;=0,0,IF(CI43&lt;=0,MIN(MAX(0,AB43-SUM(PR43:QH43)),ALI42),MIN(MAX(0,AB43-SUM(PR43:QH43)),ALI42-G43*MAX(0,CI43*ALI42-(XH43+AAU43))))),MIN(FV43,MAX(0,AB43-SUM(PR43:QH43))))</f>
        <v>0</v>
      </c>
      <c r="QJ43" s="20" t="n">
        <f aca="false">IF(H_Direct=1,IF(ALJ42&lt;=0,0,IF(CJ43&lt;=0,MIN(MAX(0,AB43-SUM(PR43:QI43)),ALJ42),MIN(MAX(0,AB43-SUM(PR43:QI43)),ALJ42-G43*MAX(0,CJ43*ALJ42-(XI43+AAV43))))),MIN(FW43,MAX(0,AB43-SUM(PR43:QI43))))</f>
        <v>0</v>
      </c>
      <c r="QK43" s="20" t="n">
        <f aca="false">IF(H_Direct=1,IF(ALK42&lt;=0,0,IF(CK43&lt;=0,MIN(MAX(0,AB43-SUM(PR43:QJ43)),ALK42),MIN(MAX(0,AB43-SUM(PR43:QJ43)),ALK42-G43*MAX(0,CK43*ALK42-(XJ43+AAW43))))),MIN(FX43,MAX(0,AB43-SUM(PR43:QJ43))))</f>
        <v>0</v>
      </c>
      <c r="QL43" s="20" t="n">
        <f aca="false">IF(H_Direct=1,IF(ALL42&lt;=0,0,IF(CL43&lt;=0,MIN(MAX(0,AB43-SUM(PR43:QK43)),ALL42),MIN(MAX(0,AB43-SUM(PR43:QK43)),ALL42-G43*MAX(0,CL43*ALL42-(XK43+AAX43))))),MIN(FY43,MAX(0,AB43-SUM(PR43:QK43))))</f>
        <v>0</v>
      </c>
      <c r="QM43" s="20" t="n">
        <f aca="false">IF(H_Direct=1,IF(ALM42&lt;=0,0,IF(CM43&lt;=0,MIN(MAX(0,AB43-SUM(PR43:QL43)),ALM42),MIN(MAX(0,AB43-SUM(PR43:QL43)),ALM42-G43*MAX(0,CM43*ALM42-(XL43+AAY43))))),MIN(FZ43,MAX(0,AB43-SUM(PR43:QL43))))</f>
        <v>0</v>
      </c>
      <c r="QN43" s="20" t="n">
        <f aca="false">IF(H_Direct=1,IF(ALN42&lt;=0,0,IF(CN43&lt;=0,MIN(MAX(0,AB43-SUM(PR43:QM43)),ALN42),MIN(MAX(0,AB43-SUM(PR43:QM43)),ALN42-G43*MAX(0,CN43*ALN42-(XM43+AAZ43))))),MIN(GA43,MAX(0,AB43-SUM(PR43:QM43))))</f>
        <v>3350.2181321614</v>
      </c>
      <c r="QO43" s="20" t="n">
        <f aca="false">IF(H_Direct=1,IF(ALO42&lt;=0,0,IF(CO43&lt;=0,MIN(MAX(0,AB43-SUM(PR43:QN43)),ALO42),MIN(MAX(0,AB43-SUM(PR43:QN43)),ALO42-G43*MAX(0,CO43*ALO42-(XN43+ABA43))))),MIN(GB43,MAX(0,AB43-SUM(PR43:QN43))))</f>
        <v>5170.49517653388</v>
      </c>
      <c r="QP43" s="20" t="n">
        <f aca="false">IF(H_Direct=1,IF(ALP42&lt;=0,0,IF(CP43&lt;=0,MIN(MAX(0,AB43-SUM(PR43:QO43)),ALP42),MIN(MAX(0,AB43-SUM(PR43:QO43)),ALP42-G43*MAX(0,CP43*ALP42-(XO43+ABB43))))),MIN(GC43,MAX(0,AB43-SUM(PR43:QO43))))</f>
        <v>5139.01502870354</v>
      </c>
      <c r="QQ43" s="20" t="n">
        <f aca="false">IF(H_Direct=1,IF(ALQ42&lt;=0,0,IF(CQ43&lt;=0,MIN(MAX(0,AB43-SUM(PR43:QP43)),ALQ42),MIN(MAX(0,AB43-SUM(PR43:QP43)),ALQ42-G43*MAX(0,CQ43*ALQ42-(XP43+ABC43))))),MIN(GD43,MAX(0,AB43-SUM(PR43:QP43))))</f>
        <v>5109.49931736584</v>
      </c>
      <c r="QR43" s="20" t="n">
        <f aca="false">IF(H_Direct=1,IF(ALR42&lt;=0,0,IF(CR43&lt;=0,MIN(MAX(0,AB43-SUM(PR43:QQ43)),ALR42),MIN(MAX(0,AB43-SUM(PR43:QQ43)),ALR42-G43*MAX(0,CR43*ALR42-(XQ43+ABD43))))),MIN(GE43,MAX(0,AB43-SUM(PR43:QQ43))))</f>
        <v>2671.11560911415</v>
      </c>
      <c r="QS43" s="20" t="n">
        <f aca="false">IF(H_Direct=1,IF(ALS42&lt;=0,0,IF(CS43&lt;=0,MIN(MAX(0,AB43-SUM(PR43:QR43)),ALS42),MIN(MAX(0,AB43-SUM(PR43:QR43)),ALS42-G43*MAX(0,CS43*ALS42-(XR43+ABE43))))),MIN(GF43,MAX(0,AB43-SUM(PR43:QR43))))</f>
        <v>0</v>
      </c>
      <c r="QT43" s="20" t="n">
        <f aca="false">IF(H_Direct=1,IF(ALT42&lt;=0,0,IF(CT43&lt;=0,MIN(MAX(0,AB43-SUM(PR43:QS43)),ALT42),MIN(MAX(0,AB43-SUM(PR43:QS43)),ALT42-G43*MAX(0,CT43*ALT42-(XS43+ABF43))))),MIN(GG43,MAX(0,AB43-SUM(PR43:QS43))))</f>
        <v>0</v>
      </c>
      <c r="QU43" s="20" t="n">
        <f aca="false">IF(H_Direct=1,IF(ALU42&lt;=0,0,IF(CU43&lt;=0,MIN(MAX(0,AB43-SUM(PR43:QT43)),ALU42),MIN(MAX(0,AB43-SUM(PR43:QT43)),ALU42-G43*MAX(0,CU43*ALU42-(XT43+ABG43))))),MIN(GH43,MAX(0,AB43-SUM(PR43:QT43))))</f>
        <v>0</v>
      </c>
      <c r="QV43" s="20" t="n">
        <f aca="false">IF(H_Direct=1,IF(ALV42&lt;=0,0,IF(CV43&lt;=0,MIN(MAX(0,AB43-SUM(PR43:QU43)),ALV42),MIN(MAX(0,AB43-SUM(PR43:QU43)),ALV42-G43*MAX(0,CV43*ALV42-(XU43+ABH43))))),MIN(GI43,MAX(0,AB43-SUM(PR43:QU43))))</f>
        <v>0</v>
      </c>
      <c r="QW43" s="20" t="n">
        <f aca="false">IF(H_Direct=1,IF(ALW42&lt;=0,0,IF(CW43&lt;=0,MIN(MAX(0,AB43-SUM(PR43:QV43)),ALW42),MIN(MAX(0,AB43-SUM(PR43:QV43)),ALW42-G43*MAX(0,CW43*ALW42-(XV43+ABI43))))),MIN(GJ43,MAX(0,AB43-SUM(PR43:QV43))))</f>
        <v>0</v>
      </c>
      <c r="QX43" s="20" t="n">
        <f aca="false">IF(H_Direct=1,IF(ALX42&lt;=0,0,IF(CX43&lt;=0,MIN(MAX(0,AB43-SUM(PR43:QW43)),ALX42),MIN(MAX(0,AB43-SUM(PR43:QW43)),ALX42-G43*MAX(0,CX43*ALX42-(XW43+ABJ43))))),MIN(GK43,MAX(0,AB43-SUM(PR43:QW43))))</f>
        <v>0</v>
      </c>
      <c r="QY43" s="20" t="n">
        <f aca="false">IF(H_Direct=1,IF(ALY42&lt;=0,0,IF(CY43&lt;=0,MIN(MAX(0,AB43-SUM(PR43:QX43)),ALY42),MIN(MAX(0,AB43-SUM(PR43:QX43)),ALY42-G43*MAX(0,CY43*ALY42-(XX43+ABK43))))),MIN(GL43,MAX(0,AB43-SUM(PR43:QX43))))</f>
        <v>0</v>
      </c>
      <c r="QZ43" s="20" t="n">
        <f aca="false">IF(H_Direct=1,IF(ALZ42&lt;=0,0,IF(CZ43&lt;=0,MIN(MAX(0,AB43-SUM(PR43:QY43)),ALZ42),MIN(MAX(0,AB43-SUM(PR43:QY43)),ALZ42-G43*MAX(0,CZ43*ALZ42-(XY43+ABL43))))),MIN(GM43,MAX(0,AB43-SUM(PR43:QY43))))</f>
        <v>0</v>
      </c>
      <c r="RA43" s="20" t="n">
        <f aca="false">IF(H_Direct=1,IF(AMA42&lt;=0,0,IF(DA43&lt;=0,MIN(MAX(0,AB43-SUM(PR43:QZ43)),AMA42),MIN(MAX(0,AB43-SUM(PR43:QZ43)),AMA42-G43*MAX(0,DA43*AMA42-(XZ43+ABM43))))),MIN(GN43,MAX(0,AB43-SUM(PR43:QZ43))))</f>
        <v>0</v>
      </c>
      <c r="RB43" s="20" t="n">
        <f aca="false">IF(H_Direct=1,IF((P43+S43)&lt;=0,0,IF(DB43&lt;=0,MIN(MAX(0,AB43-SUM(PR43:RA43)),(P43+S43)),MIN(MAX(0,AB43-SUM(PR43:RA43)),(P43+S43)-G43*MAX(0,DB43*(P43+S43)-(YA43+ABN43))))),MIN(GO43,MAX(0,AB43-SUM(PR43:RA43))))</f>
        <v>0</v>
      </c>
      <c r="RC43" s="20" t="n">
        <v>0</v>
      </c>
      <c r="RD43" s="20" t="n">
        <v>0</v>
      </c>
      <c r="RE43" s="20" t="n">
        <v>0</v>
      </c>
      <c r="RF43" s="20" t="n">
        <v>0</v>
      </c>
      <c r="RG43" s="20" t="n">
        <v>0</v>
      </c>
      <c r="RH43" s="20" t="n">
        <v>0</v>
      </c>
      <c r="RI43" s="20" t="n">
        <v>0</v>
      </c>
      <c r="RJ43" s="20" t="n">
        <v>0</v>
      </c>
      <c r="RK43" s="20" t="n">
        <v>0</v>
      </c>
      <c r="RL43" s="20" t="n">
        <v>0</v>
      </c>
      <c r="RM43" s="20" t="n">
        <v>0</v>
      </c>
      <c r="RN43" s="20" t="n">
        <v>0</v>
      </c>
      <c r="RO43" s="20" t="n">
        <v>0</v>
      </c>
      <c r="RP43" s="20" t="n">
        <v>0</v>
      </c>
      <c r="RQ43" s="20" t="n">
        <v>0</v>
      </c>
      <c r="RR43" s="20" t="n">
        <v>0</v>
      </c>
      <c r="RS43" s="20" t="n">
        <v>0</v>
      </c>
      <c r="RT43" s="20" t="n">
        <v>0</v>
      </c>
      <c r="RU43" s="20" t="n">
        <v>0</v>
      </c>
      <c r="RV43" s="20" t="n">
        <v>0</v>
      </c>
      <c r="RW43" s="20" t="n">
        <v>0</v>
      </c>
      <c r="RX43" s="20" t="n">
        <v>0</v>
      </c>
      <c r="RY43" s="20" t="n">
        <v>0</v>
      </c>
      <c r="RZ43" s="20" t="n">
        <v>0</v>
      </c>
      <c r="SA43" s="20" t="n">
        <v>0</v>
      </c>
      <c r="SB43" s="20" t="n">
        <v>0</v>
      </c>
      <c r="SC43" s="20" t="n">
        <v>0</v>
      </c>
      <c r="SD43" s="20" t="n">
        <v>0</v>
      </c>
      <c r="SE43" s="20" t="n">
        <v>0</v>
      </c>
      <c r="SF43" s="20" t="n">
        <v>0</v>
      </c>
      <c r="SG43" s="20" t="n">
        <v>0</v>
      </c>
      <c r="SH43" s="20" t="n">
        <v>0</v>
      </c>
      <c r="SI43" s="20" t="n">
        <v>0</v>
      </c>
      <c r="SJ43" s="20" t="n">
        <v>0</v>
      </c>
      <c r="SK43" s="20" t="n">
        <v>0</v>
      </c>
      <c r="SL43" s="20" t="n">
        <v>0</v>
      </c>
      <c r="SM43" s="20" t="n">
        <v>0</v>
      </c>
      <c r="SN43" s="20" t="n">
        <v>0</v>
      </c>
      <c r="SO43" s="20" t="n">
        <v>0</v>
      </c>
      <c r="SP43" s="20" t="n">
        <v>0</v>
      </c>
      <c r="SQ43" s="20" t="n">
        <v>0</v>
      </c>
      <c r="SR43" s="20" t="n">
        <v>0</v>
      </c>
      <c r="SS43" s="20" t="n">
        <v>0</v>
      </c>
      <c r="ST43" s="20" t="n">
        <v>0</v>
      </c>
      <c r="SU43" s="20" t="n">
        <v>0</v>
      </c>
      <c r="SV43" s="20" t="n">
        <v>0</v>
      </c>
      <c r="SW43" s="20" t="n">
        <v>0</v>
      </c>
      <c r="SX43" s="20" t="n">
        <v>0</v>
      </c>
      <c r="SY43" s="20" t="n">
        <v>0</v>
      </c>
      <c r="SZ43" s="20" t="n">
        <v>0</v>
      </c>
      <c r="TA43" s="20" t="n">
        <v>0</v>
      </c>
      <c r="TB43" s="20" t="n">
        <v>0</v>
      </c>
      <c r="TC43" s="20" t="n">
        <v>0</v>
      </c>
      <c r="TD43" s="20" t="n">
        <v>0</v>
      </c>
      <c r="TE43" s="20" t="n">
        <f aca="false">IF(AKR42&lt;=0,0,IF(H_Direct=1,IF(BR43&lt;=0,PR43,IF(PR43&lt;=(H43+I43)/BR43,PR43,(PR43-G43*(H43+I43))/(1-G43*BR43))),PR43/(1-MAX(0,BR43)*H_Exit)))</f>
        <v>0</v>
      </c>
      <c r="TF43" s="20" t="n">
        <f aca="false">IF(AKS42&lt;=0,0,IF(H_Direct=1,IF(BS43&lt;=0,PS43,IF(PS43&lt;=(WR43+AAE43)/BS43,PS43,(PS43-G43*(WR43+AAE43))/(1-G43*BS43))),PS43/(1-MAX(0,BS43)*H_Exit)))</f>
        <v>0</v>
      </c>
      <c r="TG43" s="20" t="n">
        <f aca="false">IF(AKT42&lt;=0,0,IF(H_Direct=1,IF(BT43&lt;=0,PT43,IF(PT43&lt;=(WS43+AAF43)/BT43,PT43,(PT43-G43*(WS43+AAF43))/(1-G43*BT43))),PT43/(1-MAX(0,BT43)*H_Exit)))</f>
        <v>0</v>
      </c>
      <c r="TH43" s="20" t="n">
        <f aca="false">IF(AKU42&lt;=0,0,IF(H_Direct=1,IF(BU43&lt;=0,PU43,IF(PU43&lt;=(WT43+AAG43)/BU43,PU43,(PU43-G43*(WT43+AAG43))/(1-G43*BU43))),PU43/(1-MAX(0,BU43)*H_Exit)))</f>
        <v>0</v>
      </c>
      <c r="TI43" s="20" t="n">
        <f aca="false">IF(AKV42&lt;=0,0,IF(H_Direct=1,IF(BV43&lt;=0,PV43,IF(PV43&lt;=(WU43+AAH43)/BV43,PV43,(PV43-G43*(WU43+AAH43))/(1-G43*BV43))),PV43/(1-MAX(0,BV43)*H_Exit)))</f>
        <v>0</v>
      </c>
      <c r="TJ43" s="20" t="n">
        <f aca="false">IF(AKW42&lt;=0,0,IF(H_Direct=1,IF(BW43&lt;=0,PW43,IF(PW43&lt;=(WV43+AAI43)/BW43,PW43,(PW43-G43*(WV43+AAI43))/(1-G43*BW43))),PW43/(1-MAX(0,BW43)*H_Exit)))</f>
        <v>0</v>
      </c>
      <c r="TK43" s="20" t="n">
        <f aca="false">IF(AKX42&lt;=0,0,IF(H_Direct=1,IF(BX43&lt;=0,PX43,IF(PX43&lt;=(WW43+AAJ43)/BX43,PX43,(PX43-G43*(WW43+AAJ43))/(1-G43*BX43))),PX43/(1-MAX(0,BX43)*H_Exit)))</f>
        <v>0</v>
      </c>
      <c r="TL43" s="20" t="n">
        <f aca="false">IF(AKY42&lt;=0,0,IF(H_Direct=1,IF(BY43&lt;=0,PY43,IF(PY43&lt;=(WX43+AAK43)/BY43,PY43,(PY43-G43*(WX43+AAK43))/(1-G43*BY43))),PY43/(1-MAX(0,BY43)*H_Exit)))</f>
        <v>0</v>
      </c>
      <c r="TM43" s="20" t="n">
        <f aca="false">IF(AKZ42&lt;=0,0,IF(H_Direct=1,IF(BZ43&lt;=0,PZ43,IF(PZ43&lt;=(WY43+AAL43)/BZ43,PZ43,(PZ43-G43*(WY43+AAL43))/(1-G43*BZ43))),PZ43/(1-MAX(0,BZ43)*H_Exit)))</f>
        <v>0</v>
      </c>
      <c r="TN43" s="20" t="n">
        <f aca="false">IF(ALA42&lt;=0,0,IF(H_Direct=1,IF(CA43&lt;=0,QA43,IF(QA43&lt;=(WZ43+AAM43)/CA43,QA43,(QA43-G43*(WZ43+AAM43))/(1-G43*CA43))),QA43/(1-MAX(0,CA43)*H_Exit)))</f>
        <v>0</v>
      </c>
      <c r="TO43" s="20" t="n">
        <f aca="false">IF(ALB42&lt;=0,0,IF(H_Direct=1,IF(CB43&lt;=0,QB43,IF(QB43&lt;=(XA43+AAN43)/CB43,QB43,(QB43-G43*(XA43+AAN43))/(1-G43*CB43))),QB43/(1-MAX(0,CB43)*H_Exit)))</f>
        <v>0</v>
      </c>
      <c r="TP43" s="20" t="n">
        <f aca="false">IF(ALC42&lt;=0,0,IF(H_Direct=1,IF(CC43&lt;=0,QC43,IF(QC43&lt;=(XB43+AAO43)/CC43,QC43,(QC43-G43*(XB43+AAO43))/(1-G43*CC43))),QC43/(1-MAX(0,CC43)*H_Exit)))</f>
        <v>0</v>
      </c>
      <c r="TQ43" s="20" t="n">
        <f aca="false">IF(ALD42&lt;=0,0,IF(H_Direct=1,IF(CD43&lt;=0,QD43,IF(QD43&lt;=(XC43+AAP43)/CD43,QD43,(QD43-G43*(XC43+AAP43))/(1-G43*CD43))),QD43/(1-MAX(0,CD43)*H_Exit)))</f>
        <v>0</v>
      </c>
      <c r="TR43" s="20" t="n">
        <f aca="false">IF(ALE42&lt;=0,0,IF(H_Direct=1,IF(CE43&lt;=0,QE43,IF(QE43&lt;=(XD43+AAQ43)/CE43,QE43,(QE43-G43*(XD43+AAQ43))/(1-G43*CE43))),QE43/(1-MAX(0,CE43)*H_Exit)))</f>
        <v>0</v>
      </c>
      <c r="TS43" s="20" t="n">
        <f aca="false">IF(ALF42&lt;=0,0,IF(H_Direct=1,IF(CF43&lt;=0,QF43,IF(QF43&lt;=(XE43+AAR43)/CF43,QF43,(QF43-G43*(XE43+AAR43))/(1-G43*CF43))),QF43/(1-MAX(0,CF43)*H_Exit)))</f>
        <v>0</v>
      </c>
      <c r="TT43" s="20" t="n">
        <f aca="false">IF(ALG42&lt;=0,0,IF(H_Direct=1,IF(CG43&lt;=0,QG43,IF(QG43&lt;=(XF43+AAS43)/CG43,QG43,(QG43-G43*(XF43+AAS43))/(1-G43*CG43))),QG43/(1-MAX(0,CG43)*H_Exit)))</f>
        <v>0</v>
      </c>
      <c r="TU43" s="20" t="n">
        <f aca="false">IF(ALH42&lt;=0,0,IF(H_Direct=1,IF(CH43&lt;=0,QH43,IF(QH43&lt;=(XG43+AAT43)/CH43,QH43,(QH43-G43*(XG43+AAT43))/(1-G43*CH43))),QH43/(1-MAX(0,CH43)*H_Exit)))</f>
        <v>0</v>
      </c>
      <c r="TV43" s="20" t="n">
        <f aca="false">IF(ALI42&lt;=0,0,IF(H_Direct=1,IF(CI43&lt;=0,QI43,IF(QI43&lt;=(XH43+AAU43)/CI43,QI43,(QI43-G43*(XH43+AAU43))/(1-G43*CI43))),QI43/(1-MAX(0,CI43)*H_Exit)))</f>
        <v>0</v>
      </c>
      <c r="TW43" s="20" t="n">
        <f aca="false">IF(ALJ42&lt;=0,0,IF(H_Direct=1,IF(CJ43&lt;=0,QJ43,IF(QJ43&lt;=(XI43+AAV43)/CJ43,QJ43,(QJ43-G43*(XI43+AAV43))/(1-G43*CJ43))),QJ43/(1-MAX(0,CJ43)*H_Exit)))</f>
        <v>0</v>
      </c>
      <c r="TX43" s="20" t="n">
        <f aca="false">IF(ALK42&lt;=0,0,IF(H_Direct=1,IF(CK43&lt;=0,QK43,IF(QK43&lt;=(XJ43+AAW43)/CK43,QK43,(QK43-G43*(XJ43+AAW43))/(1-G43*CK43))),QK43/(1-MAX(0,CK43)*H_Exit)))</f>
        <v>0</v>
      </c>
      <c r="TY43" s="20" t="n">
        <f aca="false">IF(ALL42&lt;=0,0,IF(H_Direct=1,IF(CL43&lt;=0,QL43,IF(QL43&lt;=(XK43+AAX43)/CL43,QL43,(QL43-G43*(XK43+AAX43))/(1-G43*CL43))),QL43/(1-MAX(0,CL43)*H_Exit)))</f>
        <v>0</v>
      </c>
      <c r="TZ43" s="20" t="n">
        <f aca="false">IF(ALM42&lt;=0,0,IF(H_Direct=1,IF(CM43&lt;=0,QM43,IF(QM43&lt;=(XL43+AAY43)/CM43,QM43,(QM43-G43*(XL43+AAY43))/(1-G43*CM43))),QM43/(1-MAX(0,CM43)*H_Exit)))</f>
        <v>0</v>
      </c>
      <c r="UA43" s="20" t="n">
        <f aca="false">IF(ALN42&lt;=0,0,IF(H_Direct=1,IF(CN43&lt;=0,QN43,IF(QN43&lt;=(XM43+AAZ43)/CN43,QN43,(QN43-G43*(XM43+AAZ43))/(1-G43*CN43))),QN43/(1-MAX(0,CN43)*H_Exit)))</f>
        <v>3640.27716479546</v>
      </c>
      <c r="UB43" s="20" t="n">
        <f aca="false">IF(ALO42&lt;=0,0,IF(H_Direct=1,IF(CO43&lt;=0,QO43,IF(QO43&lt;=(XN43+ABA43)/CO43,QO43,(QO43-G43*(XN43+ABA43))/(1-G43*CO43))),QO43/(1-MAX(0,CO43)*H_Exit)))</f>
        <v>5545.76428745503</v>
      </c>
      <c r="UC43" s="20" t="n">
        <f aca="false">IF(ALP42&lt;=0,0,IF(H_Direct=1,IF(CP43&lt;=0,QP43,IF(QP43&lt;=(XO43+ABB43)/CP43,QP43,(QP43-G43*(XO43+ABB43))/(1-G43*CP43))),QP43/(1-MAX(0,CP43)*H_Exit)))</f>
        <v>5439.11497423475</v>
      </c>
      <c r="UD43" s="20" t="n">
        <f aca="false">IF(ALQ42&lt;=0,0,IF(H_Direct=1,IF(CQ43&lt;=0,QQ43,IF(QQ43&lt;=(XP43+ABC43)/CQ43,QQ43,(QQ43-G43*(XP43+ABC43))/(1-G43*CQ43))),QQ43/(1-MAX(0,CQ43)*H_Exit)))</f>
        <v>5334.51660934562</v>
      </c>
      <c r="UE43" s="20" t="n">
        <f aca="false">IF(ALR42&lt;=0,0,IF(H_Direct=1,IF(CR43&lt;=0,QR43,IF(QR43&lt;=(XQ43+ABD43)/CR43,QR43,(QR43-G43*(XQ43+ABD43))/(1-G43*CR43))),QR43/(1-MAX(0,CR43)*H_Exit)))</f>
        <v>2749.95301964784</v>
      </c>
      <c r="UF43" s="20" t="n">
        <f aca="false">IF(ALS42&lt;=0,0,IF(H_Direct=1,IF(CS43&lt;=0,QS43,IF(QS43&lt;=(XR43+ABE43)/CS43,QS43,(QS43-G43*(XR43+ABE43))/(1-G43*CS43))),QS43/(1-MAX(0,CS43)*H_Exit)))</f>
        <v>0</v>
      </c>
      <c r="UG43" s="20" t="n">
        <f aca="false">IF(ALT42&lt;=0,0,IF(H_Direct=1,IF(CT43&lt;=0,QT43,IF(QT43&lt;=(XS43+ABF43)/CT43,QT43,(QT43-G43*(XS43+ABF43))/(1-G43*CT43))),QT43/(1-MAX(0,CT43)*H_Exit)))</f>
        <v>0</v>
      </c>
      <c r="UH43" s="20" t="n">
        <f aca="false">IF(ALU42&lt;=0,0,IF(H_Direct=1,IF(CU43&lt;=0,QU43,IF(QU43&lt;=(XT43+ABG43)/CU43,QU43,(QU43-G43*(XT43+ABG43))/(1-G43*CU43))),QU43/(1-MAX(0,CU43)*H_Exit)))</f>
        <v>0</v>
      </c>
      <c r="UI43" s="20" t="n">
        <f aca="false">IF(ALV42&lt;=0,0,IF(H_Direct=1,IF(CV43&lt;=0,QV43,IF(QV43&lt;=(XU43+ABH43)/CV43,QV43,(QV43-G43*(XU43+ABH43))/(1-G43*CV43))),QV43/(1-MAX(0,CV43)*H_Exit)))</f>
        <v>0</v>
      </c>
      <c r="UJ43" s="20" t="n">
        <f aca="false">IF(ALW42&lt;=0,0,IF(H_Direct=1,IF(CW43&lt;=0,QW43,IF(QW43&lt;=(XV43+ABI43)/CW43,QW43,(QW43-G43*(XV43+ABI43))/(1-G43*CW43))),QW43/(1-MAX(0,CW43)*H_Exit)))</f>
        <v>0</v>
      </c>
      <c r="UK43" s="20" t="n">
        <f aca="false">IF(ALX42&lt;=0,0,IF(H_Direct=1,IF(CX43&lt;=0,QX43,IF(QX43&lt;=(XW43+ABJ43)/CX43,QX43,(QX43-G43*(XW43+ABJ43))/(1-G43*CX43))),QX43/(1-MAX(0,CX43)*H_Exit)))</f>
        <v>0</v>
      </c>
      <c r="UL43" s="20" t="n">
        <f aca="false">IF(ALY42&lt;=0,0,IF(H_Direct=1,IF(CY43&lt;=0,QY43,IF(QY43&lt;=(XX43+ABK43)/CY43,QY43,(QY43-G43*(XX43+ABK43))/(1-G43*CY43))),QY43/(1-MAX(0,CY43)*H_Exit)))</f>
        <v>0</v>
      </c>
      <c r="UM43" s="20" t="n">
        <f aca="false">IF(ALZ42&lt;=0,0,IF(H_Direct=1,IF(CZ43&lt;=0,QZ43,IF(QZ43&lt;=(XY43+ABL43)/CZ43,QZ43,(QZ43-G43*(XY43+ABL43))/(1-G43*CZ43))),QZ43/(1-MAX(0,CZ43)*H_Exit)))</f>
        <v>0</v>
      </c>
      <c r="UN43" s="20" t="n">
        <f aca="false">IF(AMA42&lt;=0,0,IF(H_Direct=1,IF(DA43&lt;=0,RA43,IF(RA43&lt;=(XZ43+ABM43)/DA43,RA43,(RA43-G43*(XZ43+ABM43))/(1-G43*DA43))),RA43/(1-MAX(0,DA43)*H_Exit)))</f>
        <v>0</v>
      </c>
      <c r="UO43" s="20" t="n">
        <f aca="false">IF((P43+S43)&lt;=0,0,IF(H_Direct=1,IF(DB43&lt;=0,RB43,IF(RB43&lt;=(YA43+ABN43)/DB43,RB43,(RB43-G43*(YA43+ABN43))/(1-G43*DB43))),RB43/(1-MAX(0,DB43)*H_Exit)))</f>
        <v>0</v>
      </c>
      <c r="UP43" s="20" t="n">
        <v>0</v>
      </c>
      <c r="UQ43" s="20" t="n">
        <v>0</v>
      </c>
      <c r="UR43" s="20" t="n">
        <v>0</v>
      </c>
      <c r="US43" s="20" t="n">
        <v>0</v>
      </c>
      <c r="UT43" s="20" t="n">
        <v>0</v>
      </c>
      <c r="UU43" s="20" t="n">
        <v>0</v>
      </c>
      <c r="UV43" s="20" t="n">
        <v>0</v>
      </c>
      <c r="UW43" s="20" t="n">
        <v>0</v>
      </c>
      <c r="UX43" s="20" t="n">
        <v>0</v>
      </c>
      <c r="UY43" s="20" t="n">
        <v>0</v>
      </c>
      <c r="UZ43" s="20" t="n">
        <v>0</v>
      </c>
      <c r="VA43" s="20" t="n">
        <v>0</v>
      </c>
      <c r="VB43" s="20" t="n">
        <v>0</v>
      </c>
      <c r="VC43" s="20" t="n">
        <v>0</v>
      </c>
      <c r="VD43" s="20" t="n">
        <v>0</v>
      </c>
      <c r="VE43" s="20" t="n">
        <v>0</v>
      </c>
      <c r="VF43" s="20" t="n">
        <v>0</v>
      </c>
      <c r="VG43" s="20" t="n">
        <v>0</v>
      </c>
      <c r="VH43" s="20" t="n">
        <v>0</v>
      </c>
      <c r="VI43" s="20" t="n">
        <v>0</v>
      </c>
      <c r="VJ43" s="20" t="n">
        <v>0</v>
      </c>
      <c r="VK43" s="20" t="n">
        <v>0</v>
      </c>
      <c r="VL43" s="20" t="n">
        <v>0</v>
      </c>
      <c r="VM43" s="20" t="n">
        <v>0</v>
      </c>
      <c r="VN43" s="20" t="n">
        <v>0</v>
      </c>
      <c r="VO43" s="20" t="n">
        <v>0</v>
      </c>
      <c r="VP43" s="20" t="n">
        <v>0</v>
      </c>
      <c r="VQ43" s="20" t="n">
        <v>0</v>
      </c>
      <c r="VR43" s="20" t="n">
        <v>0</v>
      </c>
      <c r="VS43" s="20" t="n">
        <v>0</v>
      </c>
      <c r="VT43" s="20" t="n">
        <v>0</v>
      </c>
      <c r="VU43" s="20" t="n">
        <v>0</v>
      </c>
      <c r="VV43" s="20" t="n">
        <v>0</v>
      </c>
      <c r="VW43" s="20" t="n">
        <v>0</v>
      </c>
      <c r="VX43" s="20" t="n">
        <v>0</v>
      </c>
      <c r="VY43" s="20" t="n">
        <v>0</v>
      </c>
      <c r="VZ43" s="20" t="n">
        <v>0</v>
      </c>
      <c r="WA43" s="20" t="n">
        <v>0</v>
      </c>
      <c r="WB43" s="20" t="n">
        <v>0</v>
      </c>
      <c r="WC43" s="20" t="n">
        <v>0</v>
      </c>
      <c r="WD43" s="20" t="n">
        <v>0</v>
      </c>
      <c r="WE43" s="20" t="n">
        <v>0</v>
      </c>
      <c r="WF43" s="20" t="n">
        <v>0</v>
      </c>
      <c r="WG43" s="20" t="n">
        <v>0</v>
      </c>
      <c r="WH43" s="20" t="n">
        <v>0</v>
      </c>
      <c r="WI43" s="20" t="n">
        <v>0</v>
      </c>
      <c r="WJ43" s="20" t="n">
        <v>0</v>
      </c>
      <c r="WK43" s="20" t="n">
        <v>0</v>
      </c>
      <c r="WL43" s="20" t="n">
        <v>0</v>
      </c>
      <c r="WM43" s="20" t="n">
        <v>0</v>
      </c>
      <c r="WN43" s="20" t="n">
        <v>0</v>
      </c>
      <c r="WO43" s="20" t="n">
        <v>0</v>
      </c>
      <c r="WP43" s="20" t="n">
        <v>0</v>
      </c>
      <c r="WQ43" s="20" t="n">
        <v>0</v>
      </c>
      <c r="WR43" s="20" t="n">
        <f aca="false">IF(AND(H_Direct=1,BR43&gt;0),MAX(0,H43-(MIN(BR43*TE43,(H43+I43))-MIN(MIN(BR43*TE43,(H43+I43)),I43))),H43)</f>
        <v>1270</v>
      </c>
      <c r="WS43" s="20" t="n">
        <f aca="false">IF(AND(H_Direct=1,BS43&gt;0),MAX(0,WR43-(MIN(BS43*TF43,(WR43+AAE43))-MIN(MIN(BS43*TF43,(WR43+AAE43)),AAE43))),WR43)</f>
        <v>1270</v>
      </c>
      <c r="WT43" s="20" t="n">
        <f aca="false">IF(AND(H_Direct=1,BT43&gt;0),MAX(0,WS43-(MIN(BT43*TG43,(WS43+AAF43))-MIN(MIN(BT43*TG43,(WS43+AAF43)),AAF43))),WS43)</f>
        <v>1270</v>
      </c>
      <c r="WU43" s="20" t="n">
        <f aca="false">IF(AND(H_Direct=1,BU43&gt;0),MAX(0,WT43-(MIN(BU43*TH43,(WT43+AAG43))-MIN(MIN(BU43*TH43,(WT43+AAG43)),AAG43))),WT43)</f>
        <v>1270</v>
      </c>
      <c r="WV43" s="20" t="n">
        <f aca="false">IF(AND(H_Direct=1,BV43&gt;0),MAX(0,WU43-(MIN(BV43*TI43,(WU43+AAH43))-MIN(MIN(BV43*TI43,(WU43+AAH43)),AAH43))),WU43)</f>
        <v>1270</v>
      </c>
      <c r="WW43" s="20" t="n">
        <f aca="false">IF(AND(H_Direct=1,BW43&gt;0),MAX(0,WV43-(MIN(BW43*TJ43,(WV43+AAI43))-MIN(MIN(BW43*TJ43,(WV43+AAI43)),AAI43))),WV43)</f>
        <v>1270</v>
      </c>
      <c r="WX43" s="20" t="n">
        <f aca="false">IF(AND(H_Direct=1,BX43&gt;0),MAX(0,WW43-(MIN(BX43*TK43,(WW43+AAJ43))-MIN(MIN(BX43*TK43,(WW43+AAJ43)),AAJ43))),WW43)</f>
        <v>1270</v>
      </c>
      <c r="WY43" s="20" t="n">
        <f aca="false">IF(AND(H_Direct=1,BY43&gt;0),MAX(0,WX43-(MIN(BY43*TL43,(WX43+AAK43))-MIN(MIN(BY43*TL43,(WX43+AAK43)),AAK43))),WX43)</f>
        <v>1270</v>
      </c>
      <c r="WZ43" s="20" t="n">
        <f aca="false">IF(AND(H_Direct=1,BZ43&gt;0),MAX(0,WY43-(MIN(BZ43*TM43,(WY43+AAL43))-MIN(MIN(BZ43*TM43,(WY43+AAL43)),AAL43))),WY43)</f>
        <v>1270</v>
      </c>
      <c r="XA43" s="20" t="n">
        <f aca="false">IF(AND(H_Direct=1,CA43&gt;0),MAX(0,WZ43-(MIN(CA43*TN43,(WZ43+AAM43))-MIN(MIN(CA43*TN43,(WZ43+AAM43)),AAM43))),WZ43)</f>
        <v>1270</v>
      </c>
      <c r="XB43" s="20" t="n">
        <f aca="false">IF(AND(H_Direct=1,CB43&gt;0),MAX(0,XA43-(MIN(CB43*TO43,(XA43+AAN43))-MIN(MIN(CB43*TO43,(XA43+AAN43)),AAN43))),XA43)</f>
        <v>1270</v>
      </c>
      <c r="XC43" s="20" t="n">
        <f aca="false">IF(AND(H_Direct=1,CC43&gt;0),MAX(0,XB43-(MIN(CC43*TP43,(XB43+AAO43))-MIN(MIN(CC43*TP43,(XB43+AAO43)),AAO43))),XB43)</f>
        <v>1270</v>
      </c>
      <c r="XD43" s="20" t="n">
        <f aca="false">IF(AND(H_Direct=1,CD43&gt;0),MAX(0,XC43-(MIN(CD43*TQ43,(XC43+AAP43))-MIN(MIN(CD43*TQ43,(XC43+AAP43)),AAP43))),XC43)</f>
        <v>1270</v>
      </c>
      <c r="XE43" s="20" t="n">
        <f aca="false">IF(AND(H_Direct=1,CE43&gt;0),MAX(0,XD43-(MIN(CE43*TR43,(XD43+AAQ43))-MIN(MIN(CE43*TR43,(XD43+AAQ43)),AAQ43))),XD43)</f>
        <v>1270</v>
      </c>
      <c r="XF43" s="20" t="n">
        <f aca="false">IF(AND(H_Direct=1,CF43&gt;0),MAX(0,XE43-(MIN(CF43*TS43,(XE43+AAR43))-MIN(MIN(CF43*TS43,(XE43+AAR43)),AAR43))),XE43)</f>
        <v>1270</v>
      </c>
      <c r="XG43" s="20" t="n">
        <f aca="false">IF(AND(H_Direct=1,CG43&gt;0),MAX(0,XF43-(MIN(CG43*TT43,(XF43+AAS43))-MIN(MIN(CG43*TT43,(XF43+AAS43)),AAS43))),XF43)</f>
        <v>1270</v>
      </c>
      <c r="XH43" s="20" t="n">
        <f aca="false">IF(AND(H_Direct=1,CH43&gt;0),MAX(0,XG43-(MIN(CH43*TU43,(XG43+AAT43))-MIN(MIN(CH43*TU43,(XG43+AAT43)),AAT43))),XG43)</f>
        <v>1270</v>
      </c>
      <c r="XI43" s="20" t="n">
        <f aca="false">IF(AND(H_Direct=1,CI43&gt;0),MAX(0,XH43-(MIN(CI43*TV43,(XH43+AAU43))-MIN(MIN(CI43*TV43,(XH43+AAU43)),AAU43))),XH43)</f>
        <v>1270</v>
      </c>
      <c r="XJ43" s="20" t="n">
        <f aca="false">IF(AND(H_Direct=1,CJ43&gt;0),MAX(0,XI43-(MIN(CJ43*TW43,(XI43+AAV43))-MIN(MIN(CJ43*TW43,(XI43+AAV43)),AAV43))),XI43)</f>
        <v>1270</v>
      </c>
      <c r="XK43" s="20" t="n">
        <f aca="false">IF(AND(H_Direct=1,CK43&gt;0),MAX(0,XJ43-(MIN(CK43*TX43,(XJ43+AAW43))-MIN(MIN(CK43*TX43,(XJ43+AAW43)),AAW43))),XJ43)</f>
        <v>1270</v>
      </c>
      <c r="XL43" s="20" t="n">
        <f aca="false">IF(AND(H_Direct=1,CL43&gt;0),MAX(0,XK43-(MIN(CL43*TY43,(XK43+AAX43))-MIN(MIN(CL43*TY43,(XK43+AAX43)),AAX43))),XK43)</f>
        <v>1270</v>
      </c>
      <c r="XM43" s="20" t="n">
        <f aca="false">IF(AND(H_Direct=1,CM43&gt;0),MAX(0,XL43-(MIN(CM43*TZ43,(XL43+AAY43))-MIN(MIN(CM43*TZ43,(XL43+AAY43)),AAY43))),XL43)</f>
        <v>1270</v>
      </c>
      <c r="XN43" s="20" t="n">
        <f aca="false">IF(AND(H_Direct=1,CN43&gt;0),MAX(0,XM43-(MIN(CN43*UA43,(XM43+AAZ43))-MIN(MIN(CN43*UA43,(XM43+AAZ43)),AAZ43))),XM43)</f>
        <v>1270</v>
      </c>
      <c r="XO43" s="20" t="n">
        <f aca="false">IF(AND(H_Direct=1,CO43&gt;0),MAX(0,XN43-(MIN(CO43*UB43,(XN43+ABA43))-MIN(MIN(CO43*UB43,(XN43+ABA43)),ABA43))),XN43)</f>
        <v>1270</v>
      </c>
      <c r="XP43" s="20" t="n">
        <f aca="false">IF(AND(H_Direct=1,CP43&gt;0),MAX(0,XO43-(MIN(CP43*UC43,(XO43+ABB43))-MIN(MIN(CP43*UC43,(XO43+ABB43)),ABB43))),XO43)</f>
        <v>1270</v>
      </c>
      <c r="XQ43" s="20" t="n">
        <f aca="false">IF(AND(H_Direct=1,CQ43&gt;0),MAX(0,XP43-(MIN(CQ43*UD43,(XP43+ABC43))-MIN(MIN(CQ43*UD43,(XP43+ABC43)),ABC43))),XP43)</f>
        <v>1270</v>
      </c>
      <c r="XR43" s="20" t="n">
        <f aca="false">IF(AND(H_Direct=1,CR43&gt;0),MAX(0,XQ43-(MIN(CR43*UE43,(XQ43+ABD43))-MIN(MIN(CR43*UE43,(XQ43+ABD43)),ABD43))),XQ43)</f>
        <v>1270</v>
      </c>
      <c r="XS43" s="20" t="n">
        <f aca="false">IF(AND(H_Direct=1,CS43&gt;0),MAX(0,XR43-(MIN(CS43*UF43,(XR43+ABE43))-MIN(MIN(CS43*UF43,(XR43+ABE43)),ABE43))),XR43)</f>
        <v>1270</v>
      </c>
      <c r="XT43" s="20" t="n">
        <f aca="false">IF(AND(H_Direct=1,CT43&gt;0),MAX(0,XS43-(MIN(CT43*UG43,(XS43+ABF43))-MIN(MIN(CT43*UG43,(XS43+ABF43)),ABF43))),XS43)</f>
        <v>1270</v>
      </c>
      <c r="XU43" s="20" t="n">
        <f aca="false">IF(AND(H_Direct=1,CU43&gt;0),MAX(0,XT43-(MIN(CU43*UH43,(XT43+ABG43))-MIN(MIN(CU43*UH43,(XT43+ABG43)),ABG43))),XT43)</f>
        <v>1270</v>
      </c>
      <c r="XV43" s="20" t="n">
        <f aca="false">IF(AND(H_Direct=1,CV43&gt;0),MAX(0,XU43-(MIN(CV43*UI43,(XU43+ABH43))-MIN(MIN(CV43*UI43,(XU43+ABH43)),ABH43))),XU43)</f>
        <v>1270</v>
      </c>
      <c r="XW43" s="20" t="n">
        <f aca="false">IF(AND(H_Direct=1,CW43&gt;0),MAX(0,XV43-(MIN(CW43*UJ43,(XV43+ABI43))-MIN(MIN(CW43*UJ43,(XV43+ABI43)),ABI43))),XV43)</f>
        <v>1270</v>
      </c>
      <c r="XX43" s="20" t="n">
        <f aca="false">IF(AND(H_Direct=1,CX43&gt;0),MAX(0,XW43-(MIN(CX43*UK43,(XW43+ABJ43))-MIN(MIN(CX43*UK43,(XW43+ABJ43)),ABJ43))),XW43)</f>
        <v>1270</v>
      </c>
      <c r="XY43" s="20" t="n">
        <f aca="false">IF(AND(H_Direct=1,CY43&gt;0),MAX(0,XX43-(MIN(CY43*UL43,(XX43+ABK43))-MIN(MIN(CY43*UL43,(XX43+ABK43)),ABK43))),XX43)</f>
        <v>1270</v>
      </c>
      <c r="XZ43" s="20" t="n">
        <f aca="false">IF(AND(H_Direct=1,CZ43&gt;0),MAX(0,XY43-(MIN(CZ43*UM43,(XY43+ABL43))-MIN(MIN(CZ43*UM43,(XY43+ABL43)),ABL43))),XY43)</f>
        <v>1270</v>
      </c>
      <c r="YA43" s="20" t="n">
        <f aca="false">IF(AND(H_Direct=1,DA43&gt;0),MAX(0,XZ43-(MIN(DA43*UN43,(XZ43+ABM43))-MIN(MIN(DA43*UN43,(XZ43+ABM43)),ABM43))),XZ43)</f>
        <v>1270</v>
      </c>
      <c r="YB43" s="20" t="n">
        <f aca="false">IF(AND(H_Direct=1,DB43&gt;0),MAX(0,YA43-(MIN(DB43*UO43,(YA43+ABN43))-MIN(MIN(DB43*UO43,(YA43+ABN43)),ABN43))),YA43)</f>
        <v>1270</v>
      </c>
      <c r="YC43" s="20" t="n">
        <f aca="false">YB43</f>
        <v>1270</v>
      </c>
      <c r="YD43" s="20" t="n">
        <f aca="false">YC43</f>
        <v>1270</v>
      </c>
      <c r="YE43" s="20" t="n">
        <f aca="false">YD43</f>
        <v>1270</v>
      </c>
      <c r="YF43" s="20" t="n">
        <f aca="false">YE43</f>
        <v>1270</v>
      </c>
      <c r="YG43" s="20" t="n">
        <f aca="false">YF43</f>
        <v>1270</v>
      </c>
      <c r="YH43" s="20" t="n">
        <f aca="false">YG43</f>
        <v>1270</v>
      </c>
      <c r="YI43" s="20" t="n">
        <f aca="false">YH43</f>
        <v>1270</v>
      </c>
      <c r="YJ43" s="20" t="n">
        <f aca="false">YI43</f>
        <v>1270</v>
      </c>
      <c r="YK43" s="20" t="n">
        <f aca="false">YJ43</f>
        <v>1270</v>
      </c>
      <c r="YL43" s="20" t="n">
        <f aca="false">YK43</f>
        <v>1270</v>
      </c>
      <c r="YM43" s="20" t="n">
        <f aca="false">YL43</f>
        <v>1270</v>
      </c>
      <c r="YN43" s="20" t="n">
        <f aca="false">YM43</f>
        <v>1270</v>
      </c>
      <c r="YO43" s="20" t="n">
        <f aca="false">YN43</f>
        <v>1270</v>
      </c>
      <c r="YP43" s="20" t="n">
        <f aca="false">YO43</f>
        <v>1270</v>
      </c>
      <c r="YQ43" s="20" t="n">
        <f aca="false">YP43</f>
        <v>1270</v>
      </c>
      <c r="YR43" s="20" t="n">
        <f aca="false">YQ43</f>
        <v>1270</v>
      </c>
      <c r="YS43" s="20" t="n">
        <f aca="false">YR43</f>
        <v>1270</v>
      </c>
      <c r="YT43" s="20" t="n">
        <f aca="false">YS43</f>
        <v>1270</v>
      </c>
      <c r="YU43" s="20" t="n">
        <f aca="false">YT43</f>
        <v>1270</v>
      </c>
      <c r="YV43" s="20" t="n">
        <f aca="false">YU43</f>
        <v>1270</v>
      </c>
      <c r="YW43" s="20" t="n">
        <f aca="false">YV43</f>
        <v>1270</v>
      </c>
      <c r="YX43" s="20" t="n">
        <f aca="false">YW43</f>
        <v>1270</v>
      </c>
      <c r="YY43" s="20" t="n">
        <f aca="false">YX43</f>
        <v>1270</v>
      </c>
      <c r="YZ43" s="20" t="n">
        <f aca="false">YY43</f>
        <v>1270</v>
      </c>
      <c r="ZA43" s="20" t="n">
        <f aca="false">YZ43</f>
        <v>1270</v>
      </c>
      <c r="ZB43" s="20" t="n">
        <f aca="false">ZA43</f>
        <v>1270</v>
      </c>
      <c r="ZC43" s="20" t="n">
        <f aca="false">ZB43</f>
        <v>1270</v>
      </c>
      <c r="ZD43" s="20" t="n">
        <f aca="false">ZC43</f>
        <v>1270</v>
      </c>
      <c r="ZE43" s="20" t="n">
        <f aca="false">ZD43</f>
        <v>1270</v>
      </c>
      <c r="ZF43" s="20" t="n">
        <f aca="false">ZE43</f>
        <v>1270</v>
      </c>
      <c r="ZG43" s="20" t="n">
        <f aca="false">ZF43</f>
        <v>1270</v>
      </c>
      <c r="ZH43" s="20" t="n">
        <f aca="false">ZG43</f>
        <v>1270</v>
      </c>
      <c r="ZI43" s="20" t="n">
        <f aca="false">ZH43</f>
        <v>1270</v>
      </c>
      <c r="ZJ43" s="20" t="n">
        <f aca="false">ZI43</f>
        <v>1270</v>
      </c>
      <c r="ZK43" s="20" t="n">
        <f aca="false">ZJ43</f>
        <v>1270</v>
      </c>
      <c r="ZL43" s="20" t="n">
        <f aca="false">ZK43</f>
        <v>1270</v>
      </c>
      <c r="ZM43" s="20" t="n">
        <f aca="false">ZL43</f>
        <v>1270</v>
      </c>
      <c r="ZN43" s="20" t="n">
        <f aca="false">ZM43</f>
        <v>1270</v>
      </c>
      <c r="ZO43" s="20" t="n">
        <f aca="false">ZN43</f>
        <v>1270</v>
      </c>
      <c r="ZP43" s="20" t="n">
        <f aca="false">ZO43</f>
        <v>1270</v>
      </c>
      <c r="ZQ43" s="20" t="n">
        <f aca="false">ZP43</f>
        <v>1270</v>
      </c>
      <c r="ZR43" s="20" t="n">
        <f aca="false">ZQ43</f>
        <v>1270</v>
      </c>
      <c r="ZS43" s="20" t="n">
        <f aca="false">ZR43</f>
        <v>1270</v>
      </c>
      <c r="ZT43" s="20" t="n">
        <f aca="false">ZS43</f>
        <v>1270</v>
      </c>
      <c r="ZU43" s="20" t="n">
        <f aca="false">ZT43</f>
        <v>1270</v>
      </c>
      <c r="ZV43" s="20" t="n">
        <f aca="false">ZU43</f>
        <v>1270</v>
      </c>
      <c r="ZW43" s="20" t="n">
        <f aca="false">ZV43</f>
        <v>1270</v>
      </c>
      <c r="ZX43" s="20" t="n">
        <f aca="false">ZW43</f>
        <v>1270</v>
      </c>
      <c r="ZY43" s="20" t="n">
        <f aca="false">ZX43</f>
        <v>1270</v>
      </c>
      <c r="ZZ43" s="20" t="n">
        <f aca="false">ZY43</f>
        <v>1270</v>
      </c>
      <c r="AAA43" s="20" t="n">
        <f aca="false">ZZ43</f>
        <v>1270</v>
      </c>
      <c r="AAB43" s="20" t="n">
        <f aca="false">AAA43</f>
        <v>1270</v>
      </c>
      <c r="AAC43" s="20" t="n">
        <f aca="false">AAB43</f>
        <v>1270</v>
      </c>
      <c r="AAD43" s="20" t="n">
        <f aca="false">AAC43</f>
        <v>1270</v>
      </c>
      <c r="AAE43" s="20" t="n">
        <f aca="false">IF(H_Direct=1,IF(BR43&lt;=0,I43-BR43*TE43,I43-MIN(MIN(BR43*TE43,(H43+I43)),I43)),I43)</f>
        <v>0</v>
      </c>
      <c r="AAF43" s="20" t="n">
        <f aca="false">IF(H_Direct=1,IF(BS43&lt;=0,AAE43-BS43*TF43,AAE43-MIN(MIN(BS43*TF43,(WR43+AAE43)),AAE43)),AAE43)</f>
        <v>0</v>
      </c>
      <c r="AAG43" s="20" t="n">
        <f aca="false">IF(H_Direct=1,IF(BT43&lt;=0,AAF43-BT43*TG43,AAF43-MIN(MIN(BT43*TG43,(WS43+AAF43)),AAF43)),AAF43)</f>
        <v>0</v>
      </c>
      <c r="AAH43" s="20" t="n">
        <f aca="false">IF(H_Direct=1,IF(BU43&lt;=0,AAG43-BU43*TH43,AAG43-MIN(MIN(BU43*TH43,(WT43+AAG43)),AAG43)),AAG43)</f>
        <v>0</v>
      </c>
      <c r="AAI43" s="20" t="n">
        <f aca="false">IF(H_Direct=1,IF(BV43&lt;=0,AAH43-BV43*TI43,AAH43-MIN(MIN(BV43*TI43,(WU43+AAH43)),AAH43)),AAH43)</f>
        <v>0</v>
      </c>
      <c r="AAJ43" s="20" t="n">
        <f aca="false">IF(H_Direct=1,IF(BW43&lt;=0,AAI43-BW43*TJ43,AAI43-MIN(MIN(BW43*TJ43,(WV43+AAI43)),AAI43)),AAI43)</f>
        <v>0</v>
      </c>
      <c r="AAK43" s="20" t="n">
        <f aca="false">IF(H_Direct=1,IF(BX43&lt;=0,AAJ43-BX43*TK43,AAJ43-MIN(MIN(BX43*TK43,(WW43+AAJ43)),AAJ43)),AAJ43)</f>
        <v>0</v>
      </c>
      <c r="AAL43" s="20" t="n">
        <f aca="false">IF(H_Direct=1,IF(BY43&lt;=0,AAK43-BY43*TL43,AAK43-MIN(MIN(BY43*TL43,(WX43+AAK43)),AAK43)),AAK43)</f>
        <v>0</v>
      </c>
      <c r="AAM43" s="20" t="n">
        <f aca="false">IF(H_Direct=1,IF(BZ43&lt;=0,AAL43-BZ43*TM43,AAL43-MIN(MIN(BZ43*TM43,(WY43+AAL43)),AAL43)),AAL43)</f>
        <v>0</v>
      </c>
      <c r="AAN43" s="20" t="n">
        <f aca="false">IF(H_Direct=1,IF(CA43&lt;=0,AAM43-CA43*TN43,AAM43-MIN(MIN(CA43*TN43,(WZ43+AAM43)),AAM43)),AAM43)</f>
        <v>0</v>
      </c>
      <c r="AAO43" s="20" t="n">
        <f aca="false">IF(H_Direct=1,IF(CB43&lt;=0,AAN43-CB43*TO43,AAN43-MIN(MIN(CB43*TO43,(XA43+AAN43)),AAN43)),AAN43)</f>
        <v>0</v>
      </c>
      <c r="AAP43" s="20" t="n">
        <f aca="false">IF(H_Direct=1,IF(CC43&lt;=0,AAO43-CC43*TP43,AAO43-MIN(MIN(CC43*TP43,(XB43+AAO43)),AAO43)),AAO43)</f>
        <v>0</v>
      </c>
      <c r="AAQ43" s="20" t="n">
        <f aca="false">IF(H_Direct=1,IF(CD43&lt;=0,AAP43-CD43*TQ43,AAP43-MIN(MIN(CD43*TQ43,(XC43+AAP43)),AAP43)),AAP43)</f>
        <v>0</v>
      </c>
      <c r="AAR43" s="20" t="n">
        <f aca="false">IF(H_Direct=1,IF(CE43&lt;=0,AAQ43-CE43*TR43,AAQ43-MIN(MIN(CE43*TR43,(XD43+AAQ43)),AAQ43)),AAQ43)</f>
        <v>0</v>
      </c>
      <c r="AAS43" s="20" t="n">
        <f aca="false">IF(H_Direct=1,IF(CF43&lt;=0,AAR43-CF43*TS43,AAR43-MIN(MIN(CF43*TS43,(XE43+AAR43)),AAR43)),AAR43)</f>
        <v>0</v>
      </c>
      <c r="AAT43" s="20" t="n">
        <f aca="false">IF(H_Direct=1,IF(CG43&lt;=0,AAS43-CG43*TT43,AAS43-MIN(MIN(CG43*TT43,(XF43+AAS43)),AAS43)),AAS43)</f>
        <v>0</v>
      </c>
      <c r="AAU43" s="20" t="n">
        <f aca="false">IF(H_Direct=1,IF(CH43&lt;=0,AAT43-CH43*TU43,AAT43-MIN(MIN(CH43*TU43,(XG43+AAT43)),AAT43)),AAT43)</f>
        <v>0</v>
      </c>
      <c r="AAV43" s="20" t="n">
        <f aca="false">IF(H_Direct=1,IF(CI43&lt;=0,AAU43-CI43*TV43,AAU43-MIN(MIN(CI43*TV43,(XH43+AAU43)),AAU43)),AAU43)</f>
        <v>0</v>
      </c>
      <c r="AAW43" s="20" t="n">
        <f aca="false">IF(H_Direct=1,IF(CJ43&lt;=0,AAV43-CJ43*TW43,AAV43-MIN(MIN(CJ43*TW43,(XI43+AAV43)),AAV43)),AAV43)</f>
        <v>0</v>
      </c>
      <c r="AAX43" s="20" t="n">
        <f aca="false">IF(H_Direct=1,IF(CK43&lt;=0,AAW43-CK43*TX43,AAW43-MIN(MIN(CK43*TX43,(XJ43+AAW43)),AAW43)),AAW43)</f>
        <v>0</v>
      </c>
      <c r="AAY43" s="20" t="n">
        <f aca="false">IF(H_Direct=1,IF(CL43&lt;=0,AAX43-CL43*TY43,AAX43-MIN(MIN(CL43*TY43,(XK43+AAX43)),AAX43)),AAX43)</f>
        <v>0</v>
      </c>
      <c r="AAZ43" s="20" t="n">
        <f aca="false">IF(H_Direct=1,IF(CM43&lt;=0,AAY43-CM43*TZ43,AAY43-MIN(MIN(CM43*TZ43,(XL43+AAY43)),AAY43)),AAY43)</f>
        <v>0</v>
      </c>
      <c r="ABA43" s="20" t="n">
        <f aca="false">IF(H_Direct=1,IF(CN43&lt;=0,AAZ43-CN43*UA43,AAZ43-MIN(MIN(CN43*UA43,(XM43+AAZ43)),AAZ43)),AAZ43)</f>
        <v>0</v>
      </c>
      <c r="ABB43" s="20" t="n">
        <f aca="false">IF(H_Direct=1,IF(CO43&lt;=0,ABA43-CO43*UB43,ABA43-MIN(MIN(CO43*UB43,(XN43+ABA43)),ABA43)),ABA43)</f>
        <v>0</v>
      </c>
      <c r="ABC43" s="20" t="n">
        <f aca="false">IF(H_Direct=1,IF(CP43&lt;=0,ABB43-CP43*UC43,ABB43-MIN(MIN(CP43*UC43,(XO43+ABB43)),ABB43)),ABB43)</f>
        <v>0</v>
      </c>
      <c r="ABD43" s="20" t="n">
        <f aca="false">IF(H_Direct=1,IF(CQ43&lt;=0,ABC43-CQ43*UD43,ABC43-MIN(MIN(CQ43*UD43,(XP43+ABC43)),ABC43)),ABC43)</f>
        <v>0</v>
      </c>
      <c r="ABE43" s="20" t="n">
        <f aca="false">IF(H_Direct=1,IF(CR43&lt;=0,ABD43-CR43*UE43,ABD43-MIN(MIN(CR43*UE43,(XQ43+ABD43)),ABD43)),ABD43)</f>
        <v>0</v>
      </c>
      <c r="ABF43" s="20" t="n">
        <f aca="false">IF(H_Direct=1,IF(CS43&lt;=0,ABE43-CS43*UF43,ABE43-MIN(MIN(CS43*UF43,(XR43+ABE43)),ABE43)),ABE43)</f>
        <v>0</v>
      </c>
      <c r="ABG43" s="20" t="n">
        <f aca="false">IF(H_Direct=1,IF(CT43&lt;=0,ABF43-CT43*UG43,ABF43-MIN(MIN(CT43*UG43,(XS43+ABF43)),ABF43)),ABF43)</f>
        <v>0</v>
      </c>
      <c r="ABH43" s="20" t="n">
        <f aca="false">IF(H_Direct=1,IF(CU43&lt;=0,ABG43-CU43*UH43,ABG43-MIN(MIN(CU43*UH43,(XT43+ABG43)),ABG43)),ABG43)</f>
        <v>0</v>
      </c>
      <c r="ABI43" s="20" t="n">
        <f aca="false">IF(H_Direct=1,IF(CV43&lt;=0,ABH43-CV43*UI43,ABH43-MIN(MIN(CV43*UI43,(XU43+ABH43)),ABH43)),ABH43)</f>
        <v>0</v>
      </c>
      <c r="ABJ43" s="20" t="n">
        <f aca="false">IF(H_Direct=1,IF(CW43&lt;=0,ABI43-CW43*UJ43,ABI43-MIN(MIN(CW43*UJ43,(XV43+ABI43)),ABI43)),ABI43)</f>
        <v>0</v>
      </c>
      <c r="ABK43" s="20" t="n">
        <f aca="false">IF(H_Direct=1,IF(CX43&lt;=0,ABJ43-CX43*UK43,ABJ43-MIN(MIN(CX43*UK43,(XW43+ABJ43)),ABJ43)),ABJ43)</f>
        <v>0</v>
      </c>
      <c r="ABL43" s="20" t="n">
        <f aca="false">IF(H_Direct=1,IF(CY43&lt;=0,ABK43-CY43*UL43,ABK43-MIN(MIN(CY43*UL43,(XX43+ABK43)),ABK43)),ABK43)</f>
        <v>0</v>
      </c>
      <c r="ABM43" s="20" t="n">
        <f aca="false">IF(H_Direct=1,IF(CZ43&lt;=0,ABL43-CZ43*UM43,ABL43-MIN(MIN(CZ43*UM43,(XY43+ABL43)),ABL43)),ABL43)</f>
        <v>0</v>
      </c>
      <c r="ABN43" s="20" t="n">
        <f aca="false">IF(H_Direct=1,IF(DA43&lt;=0,ABM43-DA43*UN43,ABM43-MIN(MIN(DA43*UN43,(XZ43+ABM43)),ABM43)),ABM43)</f>
        <v>0</v>
      </c>
      <c r="ABO43" s="20" t="n">
        <f aca="false">IF(H_Direct=1,IF(DB43&lt;=0,ABN43-DB43*UO43,ABN43-MIN(MIN(DB43*UO43,(YA43+ABN43)),ABN43)),ABN43)</f>
        <v>0</v>
      </c>
      <c r="ABP43" s="20" t="n">
        <f aca="false">ABO43</f>
        <v>0</v>
      </c>
      <c r="ABQ43" s="20" t="n">
        <f aca="false">ABP43</f>
        <v>0</v>
      </c>
      <c r="ABR43" s="20" t="n">
        <f aca="false">ABQ43</f>
        <v>0</v>
      </c>
      <c r="ABS43" s="20" t="n">
        <f aca="false">ABR43</f>
        <v>0</v>
      </c>
      <c r="ABT43" s="20" t="n">
        <f aca="false">ABS43</f>
        <v>0</v>
      </c>
      <c r="ABU43" s="20" t="n">
        <f aca="false">ABT43</f>
        <v>0</v>
      </c>
      <c r="ABV43" s="20" t="n">
        <f aca="false">ABU43</f>
        <v>0</v>
      </c>
      <c r="ABW43" s="20" t="n">
        <f aca="false">ABV43</f>
        <v>0</v>
      </c>
      <c r="ABX43" s="20" t="n">
        <f aca="false">ABW43</f>
        <v>0</v>
      </c>
      <c r="ABY43" s="20" t="n">
        <f aca="false">ABX43</f>
        <v>0</v>
      </c>
      <c r="ABZ43" s="20" t="n">
        <f aca="false">ABY43</f>
        <v>0</v>
      </c>
      <c r="ACA43" s="20" t="n">
        <f aca="false">ABZ43</f>
        <v>0</v>
      </c>
      <c r="ACB43" s="20" t="n">
        <f aca="false">ACA43</f>
        <v>0</v>
      </c>
      <c r="ACC43" s="20" t="n">
        <f aca="false">ACB43</f>
        <v>0</v>
      </c>
      <c r="ACD43" s="20" t="n">
        <f aca="false">ACC43</f>
        <v>0</v>
      </c>
      <c r="ACE43" s="20" t="n">
        <f aca="false">ACD43</f>
        <v>0</v>
      </c>
      <c r="ACF43" s="20" t="n">
        <f aca="false">ACE43</f>
        <v>0</v>
      </c>
      <c r="ACG43" s="20" t="n">
        <f aca="false">ACF43</f>
        <v>0</v>
      </c>
      <c r="ACH43" s="20" t="n">
        <f aca="false">ACG43</f>
        <v>0</v>
      </c>
      <c r="ACI43" s="20" t="n">
        <f aca="false">ACH43</f>
        <v>0</v>
      </c>
      <c r="ACJ43" s="20" t="n">
        <f aca="false">ACI43</f>
        <v>0</v>
      </c>
      <c r="ACK43" s="20" t="n">
        <f aca="false">ACJ43</f>
        <v>0</v>
      </c>
      <c r="ACL43" s="20" t="n">
        <f aca="false">ACK43</f>
        <v>0</v>
      </c>
      <c r="ACM43" s="20" t="n">
        <f aca="false">ACL43</f>
        <v>0</v>
      </c>
      <c r="ACN43" s="20" t="n">
        <f aca="false">ACM43</f>
        <v>0</v>
      </c>
      <c r="ACO43" s="20" t="n">
        <f aca="false">ACN43</f>
        <v>0</v>
      </c>
      <c r="ACP43" s="20" t="n">
        <f aca="false">ACO43</f>
        <v>0</v>
      </c>
      <c r="ACQ43" s="20" t="n">
        <f aca="false">ACP43</f>
        <v>0</v>
      </c>
      <c r="ACR43" s="20" t="n">
        <f aca="false">ACQ43</f>
        <v>0</v>
      </c>
      <c r="ACS43" s="20" t="n">
        <f aca="false">ACR43</f>
        <v>0</v>
      </c>
      <c r="ACT43" s="20" t="n">
        <f aca="false">ACS43</f>
        <v>0</v>
      </c>
      <c r="ACU43" s="20" t="n">
        <f aca="false">ACT43</f>
        <v>0</v>
      </c>
      <c r="ACV43" s="20" t="n">
        <f aca="false">ACU43</f>
        <v>0</v>
      </c>
      <c r="ACW43" s="20" t="n">
        <f aca="false">ACV43</f>
        <v>0</v>
      </c>
      <c r="ACX43" s="20" t="n">
        <f aca="false">ACW43</f>
        <v>0</v>
      </c>
      <c r="ACY43" s="20" t="n">
        <f aca="false">ACX43</f>
        <v>0</v>
      </c>
      <c r="ACZ43" s="20" t="n">
        <f aca="false">ACY43</f>
        <v>0</v>
      </c>
      <c r="ADA43" s="20" t="n">
        <f aca="false">ACZ43</f>
        <v>0</v>
      </c>
      <c r="ADB43" s="20" t="n">
        <f aca="false">ADA43</f>
        <v>0</v>
      </c>
      <c r="ADC43" s="20" t="n">
        <f aca="false">ADB43</f>
        <v>0</v>
      </c>
      <c r="ADD43" s="20" t="n">
        <f aca="false">ADC43</f>
        <v>0</v>
      </c>
      <c r="ADE43" s="20" t="n">
        <f aca="false">ADD43</f>
        <v>0</v>
      </c>
      <c r="ADF43" s="20" t="n">
        <f aca="false">ADE43</f>
        <v>0</v>
      </c>
      <c r="ADG43" s="20" t="n">
        <f aca="false">ADF43</f>
        <v>0</v>
      </c>
      <c r="ADH43" s="20" t="n">
        <f aca="false">ADG43</f>
        <v>0</v>
      </c>
      <c r="ADI43" s="20" t="n">
        <f aca="false">ADH43</f>
        <v>0</v>
      </c>
      <c r="ADJ43" s="20" t="n">
        <f aca="false">ADI43</f>
        <v>0</v>
      </c>
      <c r="ADK43" s="20" t="n">
        <f aca="false">ADJ43</f>
        <v>0</v>
      </c>
      <c r="ADL43" s="20" t="n">
        <f aca="false">ADK43</f>
        <v>0</v>
      </c>
      <c r="ADM43" s="20" t="n">
        <f aca="false">ADL43</f>
        <v>0</v>
      </c>
      <c r="ADN43" s="20" t="n">
        <f aca="false">ADM43</f>
        <v>0</v>
      </c>
      <c r="ADO43" s="20" t="n">
        <f aca="false">ADN43</f>
        <v>0</v>
      </c>
      <c r="ADP43" s="20" t="n">
        <f aca="false">ADO43</f>
        <v>0</v>
      </c>
      <c r="ADQ43" s="20" t="n">
        <f aca="false">ADP43</f>
        <v>0</v>
      </c>
      <c r="ADR43" s="20" t="n">
        <f aca="false">(AKR42-TE43+0)*(1+BQ43)</f>
        <v>0</v>
      </c>
      <c r="ADS43" s="20" t="n">
        <f aca="false">(AKS42-TF43+0)*(1+BQ43)</f>
        <v>0</v>
      </c>
      <c r="ADT43" s="20" t="n">
        <f aca="false">(AKT42-TG43+0)*(1+BQ43)</f>
        <v>0</v>
      </c>
      <c r="ADU43" s="20" t="n">
        <f aca="false">(AKU42-TH43+0)*(1+BQ43)</f>
        <v>0</v>
      </c>
      <c r="ADV43" s="20" t="n">
        <f aca="false">(AKV42-TI43+0)*(1+BQ43)</f>
        <v>0</v>
      </c>
      <c r="ADW43" s="20" t="n">
        <f aca="false">(AKW42-TJ43+0)*(1+BQ43)</f>
        <v>0</v>
      </c>
      <c r="ADX43" s="20" t="n">
        <f aca="false">(AKX42-TK43+0)*(1+BQ43)</f>
        <v>0</v>
      </c>
      <c r="ADY43" s="20" t="n">
        <f aca="false">(AKY42-TL43+0)*(1+BQ43)</f>
        <v>0</v>
      </c>
      <c r="ADZ43" s="20" t="n">
        <f aca="false">(AKZ42-TM43+0)*(1+BQ43)</f>
        <v>0</v>
      </c>
      <c r="AEA43" s="20" t="n">
        <f aca="false">(ALA42-TN43+0)*(1+BQ43)</f>
        <v>0</v>
      </c>
      <c r="AEB43" s="20" t="n">
        <f aca="false">(ALB42-TO43+0)*(1+BQ43)</f>
        <v>0</v>
      </c>
      <c r="AEC43" s="20" t="n">
        <f aca="false">(ALC42-TP43+0)*(1+BQ43)</f>
        <v>0</v>
      </c>
      <c r="AED43" s="20" t="n">
        <f aca="false">(ALD42-TQ43+0)*(1+BQ43)</f>
        <v>0</v>
      </c>
      <c r="AEE43" s="20" t="n">
        <f aca="false">(ALE42-TR43+0)*(1+BQ43)</f>
        <v>0</v>
      </c>
      <c r="AEF43" s="20" t="n">
        <f aca="false">(ALF42-TS43+0)*(1+BQ43)</f>
        <v>0</v>
      </c>
      <c r="AEG43" s="20" t="n">
        <f aca="false">(ALG42-TT43+0)*(1+BQ43)</f>
        <v>0</v>
      </c>
      <c r="AEH43" s="20" t="n">
        <f aca="false">(ALH42-TU43+0)*(1+BQ43)</f>
        <v>0</v>
      </c>
      <c r="AEI43" s="20" t="n">
        <f aca="false">(ALI42-TV43+0)*(1+BQ43)</f>
        <v>0</v>
      </c>
      <c r="AEJ43" s="20" t="n">
        <f aca="false">(ALJ42-TW43+0)*(1+BQ43)</f>
        <v>0</v>
      </c>
      <c r="AEK43" s="20" t="n">
        <f aca="false">(ALK42-TX43+0)*(1+BQ43)</f>
        <v>0</v>
      </c>
      <c r="AEL43" s="20" t="n">
        <f aca="false">(ALL42-TY43+0)*(1+BQ43)</f>
        <v>0</v>
      </c>
      <c r="AEM43" s="20" t="n">
        <f aca="false">(ALM42-TZ43+0)*(1+BQ43)</f>
        <v>0</v>
      </c>
      <c r="AEN43" s="20" t="n">
        <f aca="false">(ALN42-UA43+0)*(1+BQ43)</f>
        <v>0</v>
      </c>
      <c r="AEO43" s="20" t="n">
        <f aca="false">(ALO42-UB43+0)*(1+BQ43)</f>
        <v>0</v>
      </c>
      <c r="AEP43" s="20" t="n">
        <f aca="false">(ALP42-UC43+0)*(1+BQ43)</f>
        <v>0</v>
      </c>
      <c r="AEQ43" s="20" t="n">
        <f aca="false">(ALQ42-UD43+0)*(1+BQ43)</f>
        <v>0</v>
      </c>
      <c r="AER43" s="20" t="n">
        <f aca="false">(ALR42-UE43+0)*(1+BQ43)</f>
        <v>79452.180997549</v>
      </c>
      <c r="AES43" s="20" t="n">
        <f aca="false">(ALS42-UF43+0)*(1+BQ43)</f>
        <v>0</v>
      </c>
      <c r="AET43" s="20" t="n">
        <f aca="false">(ALT42-UG43+0)*(1+BQ43)</f>
        <v>0</v>
      </c>
      <c r="AEU43" s="20" t="n">
        <f aca="false">(ALU42-UH43+0)*(1+BQ43)</f>
        <v>2366.88227986736</v>
      </c>
      <c r="AEV43" s="20" t="n">
        <f aca="false">(ALV42-UI43+0)*(1+BQ43)</f>
        <v>0</v>
      </c>
      <c r="AEW43" s="20" t="n">
        <f aca="false">(ALW42-UJ43+0)*(1+BQ43)</f>
        <v>0</v>
      </c>
      <c r="AEX43" s="20" t="n">
        <f aca="false">(ALX42-UK43+0)*(1+BQ43)</f>
        <v>0</v>
      </c>
      <c r="AEY43" s="20" t="n">
        <f aca="false">(ALY42-UL43+0)*(1+BQ43)</f>
        <v>0</v>
      </c>
      <c r="AEZ43" s="20" t="n">
        <f aca="false">(ALZ42-UM43+0)*(1+BQ43)</f>
        <v>0</v>
      </c>
      <c r="AFA43" s="20" t="n">
        <f aca="false">(AMA42-UN43+0)*(1+BQ43)</f>
        <v>0</v>
      </c>
      <c r="AFB43" s="20" t="n">
        <f aca="false">((P43+S43)-UO43+BE43)*(1+BQ43)</f>
        <v>0</v>
      </c>
      <c r="AFC43" s="20" t="n">
        <v>0</v>
      </c>
      <c r="AFD43" s="20" t="n">
        <v>0</v>
      </c>
      <c r="AFE43" s="20" t="n">
        <v>0</v>
      </c>
      <c r="AFF43" s="20" t="n">
        <v>0</v>
      </c>
      <c r="AFG43" s="20" t="n">
        <v>0</v>
      </c>
      <c r="AFH43" s="20" t="n">
        <v>0</v>
      </c>
      <c r="AFI43" s="20" t="n">
        <v>0</v>
      </c>
      <c r="AFJ43" s="20" t="n">
        <v>0</v>
      </c>
      <c r="AFK43" s="20" t="n">
        <v>0</v>
      </c>
      <c r="AFL43" s="20" t="n">
        <v>0</v>
      </c>
      <c r="AFM43" s="20" t="n">
        <v>0</v>
      </c>
      <c r="AFN43" s="20" t="n">
        <v>0</v>
      </c>
      <c r="AFO43" s="20" t="n">
        <v>0</v>
      </c>
      <c r="AFP43" s="20" t="n">
        <v>0</v>
      </c>
      <c r="AFQ43" s="20" t="n">
        <v>0</v>
      </c>
      <c r="AFR43" s="20" t="n">
        <v>0</v>
      </c>
      <c r="AFS43" s="20" t="n">
        <v>0</v>
      </c>
      <c r="AFT43" s="20" t="n">
        <v>0</v>
      </c>
      <c r="AFU43" s="20" t="n">
        <v>0</v>
      </c>
      <c r="AFV43" s="20" t="n">
        <v>0</v>
      </c>
      <c r="AFW43" s="20" t="n">
        <v>0</v>
      </c>
      <c r="AFX43" s="20" t="n">
        <v>0</v>
      </c>
      <c r="AFY43" s="20" t="n">
        <v>0</v>
      </c>
      <c r="AFZ43" s="20" t="n">
        <v>0</v>
      </c>
      <c r="AGA43" s="20" t="n">
        <v>0</v>
      </c>
      <c r="AGB43" s="20" t="n">
        <v>0</v>
      </c>
      <c r="AGC43" s="20" t="n">
        <v>0</v>
      </c>
      <c r="AGD43" s="20" t="n">
        <v>0</v>
      </c>
      <c r="AGE43" s="20" t="n">
        <v>0</v>
      </c>
      <c r="AGF43" s="20" t="n">
        <v>0</v>
      </c>
      <c r="AGG43" s="20" t="n">
        <v>0</v>
      </c>
      <c r="AGH43" s="20" t="n">
        <v>0</v>
      </c>
      <c r="AGI43" s="20" t="n">
        <v>0</v>
      </c>
      <c r="AGJ43" s="20" t="n">
        <v>0</v>
      </c>
      <c r="AGK43" s="20" t="n">
        <v>0</v>
      </c>
      <c r="AGL43" s="20" t="n">
        <v>0</v>
      </c>
      <c r="AGM43" s="20" t="n">
        <v>0</v>
      </c>
      <c r="AGN43" s="20" t="n">
        <v>0</v>
      </c>
      <c r="AGO43" s="20" t="n">
        <v>0</v>
      </c>
      <c r="AGP43" s="20" t="n">
        <v>0</v>
      </c>
      <c r="AGQ43" s="20" t="n">
        <v>0</v>
      </c>
      <c r="AGR43" s="20" t="n">
        <v>0</v>
      </c>
      <c r="AGS43" s="20" t="n">
        <v>0</v>
      </c>
      <c r="AGT43" s="20" t="n">
        <v>0</v>
      </c>
      <c r="AGU43" s="20" t="n">
        <v>0</v>
      </c>
      <c r="AGV43" s="20" t="n">
        <v>0</v>
      </c>
      <c r="AGW43" s="20" t="n">
        <v>0</v>
      </c>
      <c r="AGX43" s="20" t="n">
        <v>0</v>
      </c>
      <c r="AGY43" s="20" t="n">
        <v>0</v>
      </c>
      <c r="AGZ43" s="20" t="n">
        <v>0</v>
      </c>
      <c r="AHA43" s="20" t="n">
        <v>0</v>
      </c>
      <c r="AHB43" s="20" t="n">
        <v>0</v>
      </c>
      <c r="AHC43" s="20" t="n">
        <v>0</v>
      </c>
      <c r="AHD43" s="20" t="n">
        <v>0</v>
      </c>
      <c r="AHE43" s="20" t="n">
        <f aca="false">IF(AKR42&gt;0,AOE42-AOE42*TE43/AKR42,0)+0</f>
        <v>0</v>
      </c>
      <c r="AHF43" s="20" t="n">
        <f aca="false">IF(AKS42&gt;0,AOF42-AOF42*TF43/AKS42,0)+0</f>
        <v>0</v>
      </c>
      <c r="AHG43" s="20" t="n">
        <f aca="false">IF(AKT42&gt;0,AOG42-AOG42*TG43/AKT42,0)+0</f>
        <v>0</v>
      </c>
      <c r="AHH43" s="20" t="n">
        <f aca="false">IF(AKU42&gt;0,AOH42-AOH42*TH43/AKU42,0)+0</f>
        <v>0</v>
      </c>
      <c r="AHI43" s="20" t="n">
        <f aca="false">IF(AKV42&gt;0,AOI42-AOI42*TI43/AKV42,0)+0</f>
        <v>0</v>
      </c>
      <c r="AHJ43" s="20" t="n">
        <f aca="false">IF(AKW42&gt;0,AOJ42-AOJ42*TJ43/AKW42,0)+0</f>
        <v>0</v>
      </c>
      <c r="AHK43" s="20" t="n">
        <f aca="false">IF(AKX42&gt;0,AOK42-AOK42*TK43/AKX42,0)+0</f>
        <v>0</v>
      </c>
      <c r="AHL43" s="20" t="n">
        <f aca="false">IF(AKY42&gt;0,AOL42-AOL42*TL43/AKY42,0)+0</f>
        <v>0</v>
      </c>
      <c r="AHM43" s="20" t="n">
        <f aca="false">IF(AKZ42&gt;0,AOM42-AOM42*TM43/AKZ42,0)+0</f>
        <v>0</v>
      </c>
      <c r="AHN43" s="20" t="n">
        <f aca="false">IF(ALA42&gt;0,AON42-AON42*TN43/ALA42,0)+0</f>
        <v>0</v>
      </c>
      <c r="AHO43" s="20" t="n">
        <f aca="false">IF(ALB42&gt;0,AOO42-AOO42*TO43/ALB42,0)+0</f>
        <v>0</v>
      </c>
      <c r="AHP43" s="20" t="n">
        <f aca="false">IF(ALC42&gt;0,AOP42-AOP42*TP43/ALC42,0)+0</f>
        <v>0</v>
      </c>
      <c r="AHQ43" s="20" t="n">
        <f aca="false">IF(ALD42&gt;0,AOQ42-AOQ42*TQ43/ALD42,0)+0</f>
        <v>0</v>
      </c>
      <c r="AHR43" s="20" t="n">
        <f aca="false">IF(ALE42&gt;0,AOR42-AOR42*TR43/ALE42,0)+0</f>
        <v>0</v>
      </c>
      <c r="AHS43" s="20" t="n">
        <f aca="false">IF(ALF42&gt;0,AOS42-AOS42*TS43/ALF42,0)+0</f>
        <v>0</v>
      </c>
      <c r="AHT43" s="20" t="n">
        <f aca="false">IF(ALG42&gt;0,AOT42-AOT42*TT43/ALG42,0)+0</f>
        <v>0</v>
      </c>
      <c r="AHU43" s="20" t="n">
        <f aca="false">IF(ALH42&gt;0,AOU42-AOU42*TU43/ALH42,0)+0</f>
        <v>0</v>
      </c>
      <c r="AHV43" s="20" t="n">
        <f aca="false">IF(ALI42&gt;0,AOV42-AOV42*TV43/ALI42,0)+0</f>
        <v>0</v>
      </c>
      <c r="AHW43" s="20" t="n">
        <f aca="false">IF(ALJ42&gt;0,AOW42-AOW42*TW43/ALJ42,0)+0</f>
        <v>0</v>
      </c>
      <c r="AHX43" s="20" t="n">
        <f aca="false">IF(ALK42&gt;0,AOX42-AOX42*TX43/ALK42,0)+0</f>
        <v>0</v>
      </c>
      <c r="AHY43" s="20" t="n">
        <f aca="false">IF(ALL42&gt;0,AOY42-AOY42*TY43/ALL42,0)+0</f>
        <v>0</v>
      </c>
      <c r="AHZ43" s="20" t="n">
        <f aca="false">IF(ALM42&gt;0,AOZ42-AOZ42*TZ43/ALM42,0)+0</f>
        <v>0</v>
      </c>
      <c r="AIA43" s="20" t="n">
        <f aca="false">IF(ALN42&gt;0,APA42-APA42*UA43/ALN42,0)+0</f>
        <v>0</v>
      </c>
      <c r="AIB43" s="20" t="n">
        <f aca="false">IF(ALO42&gt;0,APB42-APB42*UB43/ALO42,0)+0</f>
        <v>0</v>
      </c>
      <c r="AIC43" s="20" t="n">
        <f aca="false">IF(ALP42&gt;0,APC42-APC42*UC43/ALP42,0)+0</f>
        <v>0</v>
      </c>
      <c r="AID43" s="20" t="n">
        <f aca="false">IF(ALQ42&gt;0,APD42-APD42*UD43/ALQ42,0)+0</f>
        <v>0</v>
      </c>
      <c r="AIE43" s="20" t="n">
        <f aca="false">IF(ALR42&gt;0,APE42-APE42*UE43/ALR42,0)+0</f>
        <v>70632.6995952835</v>
      </c>
      <c r="AIF43" s="20" t="n">
        <f aca="false">IF(ALS42&gt;0,APF42-APF42*UF43/ALS42,0)+0</f>
        <v>0</v>
      </c>
      <c r="AIG43" s="20" t="n">
        <f aca="false">IF(ALT42&gt;0,APG42-APG42*UG43/ALT42,0)+0</f>
        <v>0</v>
      </c>
      <c r="AIH43" s="20" t="n">
        <f aca="false">IF(ALU42&gt;0,APH42-APH42*UH43/ALU42,0)+0</f>
        <v>1729.45769829184</v>
      </c>
      <c r="AII43" s="20" t="n">
        <f aca="false">IF(ALV42&gt;0,API42-API42*UI43/ALV42,0)+0</f>
        <v>0</v>
      </c>
      <c r="AIJ43" s="20" t="n">
        <f aca="false">IF(ALW42&gt;0,APJ42-APJ42*UJ43/ALW42,0)+0</f>
        <v>0</v>
      </c>
      <c r="AIK43" s="20" t="n">
        <f aca="false">IF(ALX42&gt;0,APK42-APK42*UK43/ALX42,0)+0</f>
        <v>0</v>
      </c>
      <c r="AIL43" s="20" t="n">
        <f aca="false">IF(ALY42&gt;0,APL42-APL42*UL43/ALY42,0)+0</f>
        <v>0</v>
      </c>
      <c r="AIM43" s="20" t="n">
        <f aca="false">IF(ALZ42&gt;0,APM42-APM42*UM43/ALZ42,0)+0</f>
        <v>0</v>
      </c>
      <c r="AIN43" s="20" t="n">
        <f aca="false">IF(AMA42&gt;0,APN42-APN42*UN43/AMA42,0)+0</f>
        <v>0</v>
      </c>
      <c r="AIO43" s="20" t="n">
        <f aca="false">IF((P43+S43)&gt;0,(P43+S43)-(P43+S43)*UO43/(P43+S43),0)+BE43</f>
        <v>0</v>
      </c>
      <c r="AIP43" s="20" t="n">
        <v>0</v>
      </c>
      <c r="AIQ43" s="20" t="n">
        <v>0</v>
      </c>
      <c r="AIR43" s="20" t="n">
        <v>0</v>
      </c>
      <c r="AIS43" s="20" t="n">
        <v>0</v>
      </c>
      <c r="AIT43" s="20" t="n">
        <v>0</v>
      </c>
      <c r="AIU43" s="20" t="n">
        <v>0</v>
      </c>
      <c r="AIV43" s="20" t="n">
        <v>0</v>
      </c>
      <c r="AIW43" s="20" t="n">
        <v>0</v>
      </c>
      <c r="AIX43" s="20" t="n">
        <v>0</v>
      </c>
      <c r="AIY43" s="20" t="n">
        <v>0</v>
      </c>
      <c r="AIZ43" s="20" t="n">
        <v>0</v>
      </c>
      <c r="AJA43" s="20" t="n">
        <v>0</v>
      </c>
      <c r="AJB43" s="20" t="n">
        <v>0</v>
      </c>
      <c r="AJC43" s="20" t="n">
        <v>0</v>
      </c>
      <c r="AJD43" s="20" t="n">
        <v>0</v>
      </c>
      <c r="AJE43" s="20" t="n">
        <v>0</v>
      </c>
      <c r="AJF43" s="20" t="n">
        <v>0</v>
      </c>
      <c r="AJG43" s="20" t="n">
        <v>0</v>
      </c>
      <c r="AJH43" s="20" t="n">
        <v>0</v>
      </c>
      <c r="AJI43" s="20" t="n">
        <v>0</v>
      </c>
      <c r="AJJ43" s="20" t="n">
        <v>0</v>
      </c>
      <c r="AJK43" s="20" t="n">
        <v>0</v>
      </c>
      <c r="AJL43" s="20" t="n">
        <v>0</v>
      </c>
      <c r="AJM43" s="20" t="n">
        <v>0</v>
      </c>
      <c r="AJN43" s="20" t="n">
        <v>0</v>
      </c>
      <c r="AJO43" s="20" t="n">
        <v>0</v>
      </c>
      <c r="AJP43" s="20" t="n">
        <v>0</v>
      </c>
      <c r="AJQ43" s="20" t="n">
        <v>0</v>
      </c>
      <c r="AJR43" s="20" t="n">
        <v>0</v>
      </c>
      <c r="AJS43" s="20" t="n">
        <v>0</v>
      </c>
      <c r="AJT43" s="20" t="n">
        <v>0</v>
      </c>
      <c r="AJU43" s="20" t="n">
        <v>0</v>
      </c>
      <c r="AJV43" s="20" t="n">
        <v>0</v>
      </c>
      <c r="AJW43" s="20" t="n">
        <v>0</v>
      </c>
      <c r="AJX43" s="20" t="n">
        <v>0</v>
      </c>
      <c r="AJY43" s="20" t="n">
        <v>0</v>
      </c>
      <c r="AJZ43" s="20" t="n">
        <v>0</v>
      </c>
      <c r="AKA43" s="20" t="n">
        <v>0</v>
      </c>
      <c r="AKB43" s="20" t="n">
        <v>0</v>
      </c>
      <c r="AKC43" s="20" t="n">
        <v>0</v>
      </c>
      <c r="AKD43" s="20" t="n">
        <v>0</v>
      </c>
      <c r="AKE43" s="20" t="n">
        <v>0</v>
      </c>
      <c r="AKF43" s="20" t="n">
        <v>0</v>
      </c>
      <c r="AKG43" s="20" t="n">
        <v>0</v>
      </c>
      <c r="AKH43" s="20" t="n">
        <v>0</v>
      </c>
      <c r="AKI43" s="20" t="n">
        <v>0</v>
      </c>
      <c r="AKJ43" s="20" t="n">
        <v>0</v>
      </c>
      <c r="AKK43" s="20" t="n">
        <v>0</v>
      </c>
      <c r="AKL43" s="20" t="n">
        <v>0</v>
      </c>
      <c r="AKM43" s="20" t="n">
        <v>0</v>
      </c>
      <c r="AKN43" s="20" t="n">
        <v>0</v>
      </c>
      <c r="AKO43" s="20" t="n">
        <v>0</v>
      </c>
      <c r="AKP43" s="20" t="n">
        <v>0</v>
      </c>
      <c r="AKQ43" s="20" t="n">
        <v>0</v>
      </c>
      <c r="AKR43" s="20" t="n">
        <f aca="false">ADR43-AVE43</f>
        <v>0</v>
      </c>
      <c r="AKS43" s="20" t="n">
        <f aca="false">ADS43-AVF43</f>
        <v>0</v>
      </c>
      <c r="AKT43" s="20" t="n">
        <f aca="false">ADT43-AVG43</f>
        <v>0</v>
      </c>
      <c r="AKU43" s="20" t="n">
        <f aca="false">ADU43-AVH43</f>
        <v>0</v>
      </c>
      <c r="AKV43" s="20" t="n">
        <f aca="false">ADV43-AVI43</f>
        <v>0</v>
      </c>
      <c r="AKW43" s="20" t="n">
        <f aca="false">ADW43-AVJ43</f>
        <v>0</v>
      </c>
      <c r="AKX43" s="20" t="n">
        <f aca="false">ADX43-AVK43</f>
        <v>0</v>
      </c>
      <c r="AKY43" s="20" t="n">
        <f aca="false">ADY43-AVL43</f>
        <v>0</v>
      </c>
      <c r="AKZ43" s="20" t="n">
        <f aca="false">ADZ43-AVM43</f>
        <v>0</v>
      </c>
      <c r="ALA43" s="20" t="n">
        <f aca="false">AEA43-AVN43</f>
        <v>0</v>
      </c>
      <c r="ALB43" s="20" t="n">
        <f aca="false">AEB43-AVO43</f>
        <v>0</v>
      </c>
      <c r="ALC43" s="20" t="n">
        <f aca="false">AEC43-AVP43</f>
        <v>0</v>
      </c>
      <c r="ALD43" s="20" t="n">
        <f aca="false">AED43-AVQ43</f>
        <v>0</v>
      </c>
      <c r="ALE43" s="20" t="n">
        <f aca="false">AEE43-AVR43</f>
        <v>0</v>
      </c>
      <c r="ALF43" s="20" t="n">
        <f aca="false">AEF43-AVS43</f>
        <v>0</v>
      </c>
      <c r="ALG43" s="20" t="n">
        <f aca="false">AEG43-AVT43</f>
        <v>0</v>
      </c>
      <c r="ALH43" s="20" t="n">
        <f aca="false">AEH43-AVU43</f>
        <v>0</v>
      </c>
      <c r="ALI43" s="20" t="n">
        <f aca="false">AEI43-AVV43</f>
        <v>0</v>
      </c>
      <c r="ALJ43" s="20" t="n">
        <f aca="false">AEJ43-AVW43</f>
        <v>0</v>
      </c>
      <c r="ALK43" s="20" t="n">
        <f aca="false">AEK43-AVX43</f>
        <v>0</v>
      </c>
      <c r="ALL43" s="20" t="n">
        <f aca="false">AEL43-AVY43</f>
        <v>0</v>
      </c>
      <c r="ALM43" s="20" t="n">
        <f aca="false">AEM43-AVZ43</f>
        <v>0</v>
      </c>
      <c r="ALN43" s="20" t="n">
        <f aca="false">AEN43-AWA43</f>
        <v>0</v>
      </c>
      <c r="ALO43" s="20" t="n">
        <f aca="false">AEO43-AWB43</f>
        <v>0</v>
      </c>
      <c r="ALP43" s="20" t="n">
        <f aca="false">AEP43-AWC43</f>
        <v>0</v>
      </c>
      <c r="ALQ43" s="20" t="n">
        <f aca="false">AEQ43-AWD43</f>
        <v>0</v>
      </c>
      <c r="ALR43" s="20" t="n">
        <f aca="false">AER43-AWE43</f>
        <v>79452.180997549</v>
      </c>
      <c r="ALS43" s="20" t="n">
        <f aca="false">AES43-AWF43</f>
        <v>0</v>
      </c>
      <c r="ALT43" s="20" t="n">
        <f aca="false">AET43-AWG43</f>
        <v>0</v>
      </c>
      <c r="ALU43" s="20" t="n">
        <f aca="false">AEU43-AWH43</f>
        <v>2124.66093886866</v>
      </c>
      <c r="ALV43" s="20" t="n">
        <f aca="false">AEV43-AWI43</f>
        <v>0</v>
      </c>
      <c r="ALW43" s="20" t="n">
        <f aca="false">AEW43-AWJ43</f>
        <v>0</v>
      </c>
      <c r="ALX43" s="20" t="n">
        <f aca="false">AEX43-AWK43</f>
        <v>0</v>
      </c>
      <c r="ALY43" s="20" t="n">
        <f aca="false">AEY43-AWL43</f>
        <v>0</v>
      </c>
      <c r="ALZ43" s="20" t="n">
        <f aca="false">AEZ43-AWM43</f>
        <v>0</v>
      </c>
      <c r="AMA43" s="20" t="n">
        <f aca="false">AFA43-AWN43</f>
        <v>0</v>
      </c>
      <c r="AMB43" s="20" t="n">
        <f aca="false">AFB43-AWO43</f>
        <v>0</v>
      </c>
      <c r="AMC43" s="20" t="n">
        <v>0</v>
      </c>
      <c r="AMD43" s="20" t="n">
        <v>0</v>
      </c>
      <c r="AME43" s="20" t="n">
        <v>0</v>
      </c>
      <c r="AMF43" s="20" t="n">
        <v>0</v>
      </c>
      <c r="AMG43" s="20" t="n">
        <v>0</v>
      </c>
      <c r="AMH43" s="20" t="n">
        <v>0</v>
      </c>
      <c r="AMI43" s="20" t="n">
        <v>0</v>
      </c>
      <c r="AMJ43" s="20" t="n">
        <v>0</v>
      </c>
      <c r="AMK43" s="20" t="n">
        <v>0</v>
      </c>
      <c r="AML43" s="20" t="n">
        <v>0</v>
      </c>
      <c r="AMM43" s="20" t="n">
        <v>0</v>
      </c>
      <c r="AMN43" s="20" t="n">
        <v>0</v>
      </c>
      <c r="AMO43" s="20" t="n">
        <v>0</v>
      </c>
      <c r="AMP43" s="20" t="n">
        <v>0</v>
      </c>
      <c r="AMQ43" s="20" t="n">
        <v>0</v>
      </c>
      <c r="AMR43" s="20" t="n">
        <v>0</v>
      </c>
      <c r="AMS43" s="20" t="n">
        <v>0</v>
      </c>
      <c r="AMT43" s="20" t="n">
        <v>0</v>
      </c>
      <c r="AMU43" s="20" t="n">
        <v>0</v>
      </c>
      <c r="AMV43" s="20" t="n">
        <v>0</v>
      </c>
      <c r="AMW43" s="20" t="n">
        <v>0</v>
      </c>
      <c r="AMX43" s="20" t="n">
        <v>0</v>
      </c>
      <c r="AMY43" s="20" t="n">
        <v>0</v>
      </c>
      <c r="AMZ43" s="20" t="n">
        <v>0</v>
      </c>
      <c r="ANA43" s="20" t="n">
        <v>0</v>
      </c>
      <c r="ANB43" s="20" t="n">
        <v>0</v>
      </c>
      <c r="ANC43" s="20" t="n">
        <v>0</v>
      </c>
      <c r="AND43" s="20" t="n">
        <v>0</v>
      </c>
      <c r="ANE43" s="20" t="n">
        <v>0</v>
      </c>
      <c r="ANF43" s="20" t="n">
        <v>0</v>
      </c>
      <c r="ANG43" s="20" t="n">
        <v>0</v>
      </c>
      <c r="ANH43" s="20" t="n">
        <v>0</v>
      </c>
      <c r="ANI43" s="20" t="n">
        <v>0</v>
      </c>
      <c r="ANJ43" s="20" t="n">
        <v>0</v>
      </c>
      <c r="ANK43" s="20" t="n">
        <v>0</v>
      </c>
      <c r="ANL43" s="20" t="n">
        <v>0</v>
      </c>
      <c r="ANM43" s="20" t="n">
        <v>0</v>
      </c>
      <c r="ANN43" s="20" t="n">
        <v>0</v>
      </c>
      <c r="ANO43" s="20" t="n">
        <v>0</v>
      </c>
      <c r="ANP43" s="20" t="n">
        <v>0</v>
      </c>
      <c r="ANQ43" s="20" t="n">
        <v>0</v>
      </c>
      <c r="ANR43" s="20" t="n">
        <v>0</v>
      </c>
      <c r="ANS43" s="20" t="n">
        <v>0</v>
      </c>
      <c r="ANT43" s="20" t="n">
        <v>0</v>
      </c>
      <c r="ANU43" s="20" t="n">
        <v>0</v>
      </c>
      <c r="ANV43" s="20" t="n">
        <v>0</v>
      </c>
      <c r="ANW43" s="20" t="n">
        <v>0</v>
      </c>
      <c r="ANX43" s="20" t="n">
        <v>0</v>
      </c>
      <c r="ANY43" s="20" t="n">
        <v>0</v>
      </c>
      <c r="ANZ43" s="20" t="n">
        <v>0</v>
      </c>
      <c r="AOA43" s="20" t="n">
        <v>0</v>
      </c>
      <c r="AOB43" s="20" t="n">
        <v>0</v>
      </c>
      <c r="AOC43" s="20" t="n">
        <v>0</v>
      </c>
      <c r="AOD43" s="20" t="n">
        <v>0</v>
      </c>
      <c r="AOE43" s="20" t="n">
        <f aca="false">IF(AND(H_Direct=0,H_TaxEvt=1,ARR42+1&gt;=H_Deemed),AKR43,AHE43)</f>
        <v>0</v>
      </c>
      <c r="AOF43" s="20" t="n">
        <f aca="false">IF(AND(H_Direct=0,H_TaxEvt=1,ARS42+1&gt;=H_Deemed),AKS43,AHF43)</f>
        <v>0</v>
      </c>
      <c r="AOG43" s="20" t="n">
        <f aca="false">IF(AND(H_Direct=0,H_TaxEvt=1,ART42+1&gt;=H_Deemed),AKT43,AHG43)</f>
        <v>0</v>
      </c>
      <c r="AOH43" s="20" t="n">
        <f aca="false">IF(AND(H_Direct=0,H_TaxEvt=1,ARU42+1&gt;=H_Deemed),AKU43,AHH43)</f>
        <v>0</v>
      </c>
      <c r="AOI43" s="20" t="n">
        <f aca="false">IF(AND(H_Direct=0,H_TaxEvt=1,ARV42+1&gt;=H_Deemed),AKV43,AHI43)</f>
        <v>0</v>
      </c>
      <c r="AOJ43" s="20" t="n">
        <f aca="false">IF(AND(H_Direct=0,H_TaxEvt=1,ARW42+1&gt;=H_Deemed),AKW43,AHJ43)</f>
        <v>0</v>
      </c>
      <c r="AOK43" s="20" t="n">
        <f aca="false">IF(AND(H_Direct=0,H_TaxEvt=1,ARX42+1&gt;=H_Deemed),AKX43,AHK43)</f>
        <v>0</v>
      </c>
      <c r="AOL43" s="20" t="n">
        <f aca="false">IF(AND(H_Direct=0,H_TaxEvt=1,ARY42+1&gt;=H_Deemed),AKY43,AHL43)</f>
        <v>0</v>
      </c>
      <c r="AOM43" s="20" t="n">
        <f aca="false">IF(AND(H_Direct=0,H_TaxEvt=1,ARZ42+1&gt;=H_Deemed),AKZ43,AHM43)</f>
        <v>0</v>
      </c>
      <c r="AON43" s="20" t="n">
        <f aca="false">IF(AND(H_Direct=0,H_TaxEvt=1,ASA42+1&gt;=H_Deemed),ALA43,AHN43)</f>
        <v>0</v>
      </c>
      <c r="AOO43" s="20" t="n">
        <f aca="false">IF(AND(H_Direct=0,H_TaxEvt=1,ASB42+1&gt;=H_Deemed),ALB43,AHO43)</f>
        <v>0</v>
      </c>
      <c r="AOP43" s="20" t="n">
        <f aca="false">IF(AND(H_Direct=0,H_TaxEvt=1,ASC42+1&gt;=H_Deemed),ALC43,AHP43)</f>
        <v>0</v>
      </c>
      <c r="AOQ43" s="20" t="n">
        <f aca="false">IF(AND(H_Direct=0,H_TaxEvt=1,ASD42+1&gt;=H_Deemed),ALD43,AHQ43)</f>
        <v>0</v>
      </c>
      <c r="AOR43" s="20" t="n">
        <f aca="false">IF(AND(H_Direct=0,H_TaxEvt=1,ASE42+1&gt;=H_Deemed),ALE43,AHR43)</f>
        <v>0</v>
      </c>
      <c r="AOS43" s="20" t="n">
        <f aca="false">IF(AND(H_Direct=0,H_TaxEvt=1,ASF42+1&gt;=H_Deemed),ALF43,AHS43)</f>
        <v>0</v>
      </c>
      <c r="AOT43" s="20" t="n">
        <f aca="false">IF(AND(H_Direct=0,H_TaxEvt=1,ASG42+1&gt;=H_Deemed),ALG43,AHT43)</f>
        <v>0</v>
      </c>
      <c r="AOU43" s="20" t="n">
        <f aca="false">IF(AND(H_Direct=0,H_TaxEvt=1,ASH42+1&gt;=H_Deemed),ALH43,AHU43)</f>
        <v>0</v>
      </c>
      <c r="AOV43" s="20" t="n">
        <f aca="false">IF(AND(H_Direct=0,H_TaxEvt=1,ASI42+1&gt;=H_Deemed),ALI43,AHV43)</f>
        <v>0</v>
      </c>
      <c r="AOW43" s="20" t="n">
        <f aca="false">IF(AND(H_Direct=0,H_TaxEvt=1,ASJ42+1&gt;=H_Deemed),ALJ43,AHW43)</f>
        <v>0</v>
      </c>
      <c r="AOX43" s="20" t="n">
        <f aca="false">IF(AND(H_Direct=0,H_TaxEvt=1,ASK42+1&gt;=H_Deemed),ALK43,AHX43)</f>
        <v>0</v>
      </c>
      <c r="AOY43" s="20" t="n">
        <f aca="false">IF(AND(H_Direct=0,H_TaxEvt=1,ASL42+1&gt;=H_Deemed),ALL43,AHY43)</f>
        <v>0</v>
      </c>
      <c r="AOZ43" s="20" t="n">
        <f aca="false">IF(AND(H_Direct=0,H_TaxEvt=1,ASM42+1&gt;=H_Deemed),ALM43,AHZ43)</f>
        <v>0</v>
      </c>
      <c r="APA43" s="20" t="n">
        <f aca="false">IF(AND(H_Direct=0,H_TaxEvt=1,ASN42+1&gt;=H_Deemed),ALN43,AIA43)</f>
        <v>0</v>
      </c>
      <c r="APB43" s="20" t="n">
        <f aca="false">IF(AND(H_Direct=0,H_TaxEvt=1,ASO42+1&gt;=H_Deemed),ALO43,AIB43)</f>
        <v>0</v>
      </c>
      <c r="APC43" s="20" t="n">
        <f aca="false">IF(AND(H_Direct=0,H_TaxEvt=1,ASP42+1&gt;=H_Deemed),ALP43,AIC43)</f>
        <v>0</v>
      </c>
      <c r="APD43" s="20" t="n">
        <f aca="false">IF(AND(H_Direct=0,H_TaxEvt=1,ASQ42+1&gt;=H_Deemed),ALQ43,AID43)</f>
        <v>0</v>
      </c>
      <c r="APE43" s="20" t="n">
        <f aca="false">IF(AND(H_Direct=0,H_TaxEvt=1,ASR42+1&gt;=H_Deemed),ALR43,AIE43)</f>
        <v>70632.6995952835</v>
      </c>
      <c r="APF43" s="20" t="n">
        <f aca="false">IF(AND(H_Direct=0,H_TaxEvt=1,ASS42+1&gt;=H_Deemed),ALS43,AIF43)</f>
        <v>0</v>
      </c>
      <c r="APG43" s="20" t="n">
        <f aca="false">IF(AND(H_Direct=0,H_TaxEvt=1,AST42+1&gt;=H_Deemed),ALT43,AIG43)</f>
        <v>0</v>
      </c>
      <c r="APH43" s="20" t="n">
        <f aca="false">IF(AND(H_Direct=0,H_TaxEvt=1,ASU42+1&gt;=H_Deemed),ALU43,AIH43)</f>
        <v>2124.66093886866</v>
      </c>
      <c r="API43" s="20" t="n">
        <f aca="false">IF(AND(H_Direct=0,H_TaxEvt=1,ASV42+1&gt;=H_Deemed),ALV43,AII43)</f>
        <v>0</v>
      </c>
      <c r="APJ43" s="20" t="n">
        <f aca="false">IF(AND(H_Direct=0,H_TaxEvt=1,ASW42+1&gt;=H_Deemed),ALW43,AIJ43)</f>
        <v>0</v>
      </c>
      <c r="APK43" s="20" t="n">
        <f aca="false">IF(AND(H_Direct=0,H_TaxEvt=1,ASX42+1&gt;=H_Deemed),ALX43,AIK43)</f>
        <v>0</v>
      </c>
      <c r="APL43" s="20" t="n">
        <f aca="false">IF(AND(H_Direct=0,H_TaxEvt=1,ASY42+1&gt;=H_Deemed),ALY43,AIL43)</f>
        <v>0</v>
      </c>
      <c r="APM43" s="20" t="n">
        <f aca="false">IF(AND(H_Direct=0,H_TaxEvt=1,ASZ42+1&gt;=H_Deemed),ALZ43,AIM43)</f>
        <v>0</v>
      </c>
      <c r="APN43" s="20" t="n">
        <f aca="false">IF(AND(H_Direct=0,H_TaxEvt=1,ATA42+1&gt;=H_Deemed),AMA43,AIN43)</f>
        <v>0</v>
      </c>
      <c r="APO43" s="20" t="n">
        <f aca="false">IF(AND(H_Direct=0,H_TaxEvt=1,0+1&gt;=H_Deemed),AMB43,AIO43)</f>
        <v>0</v>
      </c>
      <c r="APP43" s="20" t="n">
        <v>0</v>
      </c>
      <c r="APQ43" s="20" t="n">
        <v>0</v>
      </c>
      <c r="APR43" s="20" t="n">
        <v>0</v>
      </c>
      <c r="APS43" s="20" t="n">
        <v>0</v>
      </c>
      <c r="APT43" s="20" t="n">
        <v>0</v>
      </c>
      <c r="APU43" s="20" t="n">
        <v>0</v>
      </c>
      <c r="APV43" s="20" t="n">
        <v>0</v>
      </c>
      <c r="APW43" s="20" t="n">
        <v>0</v>
      </c>
      <c r="APX43" s="20" t="n">
        <v>0</v>
      </c>
      <c r="APY43" s="20" t="n">
        <v>0</v>
      </c>
      <c r="APZ43" s="20" t="n">
        <v>0</v>
      </c>
      <c r="AQA43" s="20" t="n">
        <v>0</v>
      </c>
      <c r="AQB43" s="20" t="n">
        <v>0</v>
      </c>
      <c r="AQC43" s="20" t="n">
        <v>0</v>
      </c>
      <c r="AQD43" s="20" t="n">
        <v>0</v>
      </c>
      <c r="AQE43" s="20" t="n">
        <v>0</v>
      </c>
      <c r="AQF43" s="20" t="n">
        <v>0</v>
      </c>
      <c r="AQG43" s="20" t="n">
        <v>0</v>
      </c>
      <c r="AQH43" s="20" t="n">
        <v>0</v>
      </c>
      <c r="AQI43" s="20" t="n">
        <v>0</v>
      </c>
      <c r="AQJ43" s="20" t="n">
        <v>0</v>
      </c>
      <c r="AQK43" s="20" t="n">
        <v>0</v>
      </c>
      <c r="AQL43" s="20" t="n">
        <v>0</v>
      </c>
      <c r="AQM43" s="20" t="n">
        <v>0</v>
      </c>
      <c r="AQN43" s="20" t="n">
        <v>0</v>
      </c>
      <c r="AQO43" s="20" t="n">
        <v>0</v>
      </c>
      <c r="AQP43" s="20" t="n">
        <v>0</v>
      </c>
      <c r="AQQ43" s="20" t="n">
        <v>0</v>
      </c>
      <c r="AQR43" s="20" t="n">
        <v>0</v>
      </c>
      <c r="AQS43" s="20" t="n">
        <v>0</v>
      </c>
      <c r="AQT43" s="20" t="n">
        <v>0</v>
      </c>
      <c r="AQU43" s="20" t="n">
        <v>0</v>
      </c>
      <c r="AQV43" s="20" t="n">
        <v>0</v>
      </c>
      <c r="AQW43" s="20" t="n">
        <v>0</v>
      </c>
      <c r="AQX43" s="20" t="n">
        <v>0</v>
      </c>
      <c r="AQY43" s="20" t="n">
        <v>0</v>
      </c>
      <c r="AQZ43" s="20" t="n">
        <v>0</v>
      </c>
      <c r="ARA43" s="20" t="n">
        <v>0</v>
      </c>
      <c r="ARB43" s="20" t="n">
        <v>0</v>
      </c>
      <c r="ARC43" s="20" t="n">
        <v>0</v>
      </c>
      <c r="ARD43" s="20" t="n">
        <v>0</v>
      </c>
      <c r="ARE43" s="20" t="n">
        <v>0</v>
      </c>
      <c r="ARF43" s="20" t="n">
        <v>0</v>
      </c>
      <c r="ARG43" s="20" t="n">
        <v>0</v>
      </c>
      <c r="ARH43" s="20" t="n">
        <v>0</v>
      </c>
      <c r="ARI43" s="20" t="n">
        <v>0</v>
      </c>
      <c r="ARJ43" s="20" t="n">
        <v>0</v>
      </c>
      <c r="ARK43" s="20" t="n">
        <v>0</v>
      </c>
      <c r="ARL43" s="20" t="n">
        <v>0</v>
      </c>
      <c r="ARM43" s="20" t="n">
        <v>0</v>
      </c>
      <c r="ARN43" s="20" t="n">
        <v>0</v>
      </c>
      <c r="ARO43" s="20" t="n">
        <v>0</v>
      </c>
      <c r="ARP43" s="20" t="n">
        <v>0</v>
      </c>
      <c r="ARQ43" s="20" t="n">
        <v>0</v>
      </c>
      <c r="ARR43" s="20" t="n">
        <f aca="false">IF(AND(H_Direct=0,H_TaxEvt=1),IF(ARR42+1&gt;=H_Deemed,0,ARR42+1),ARR42)</f>
        <v>4</v>
      </c>
      <c r="ARS43" s="20" t="n">
        <f aca="false">IF(AND(H_Direct=0,H_TaxEvt=1),IF(ARS42+1&gt;=H_Deemed,0,ARS42+1),ARS42)</f>
        <v>4</v>
      </c>
      <c r="ART43" s="20" t="n">
        <f aca="false">IF(AND(H_Direct=0,H_TaxEvt=1),IF(ART42+1&gt;=H_Deemed,0,ART42+1),ART42)</f>
        <v>3</v>
      </c>
      <c r="ARU43" s="20" t="n">
        <f aca="false">IF(AND(H_Direct=0,H_TaxEvt=1),IF(ARU42+1&gt;=H_Deemed,0,ARU42+1),ARU42)</f>
        <v>2</v>
      </c>
      <c r="ARV43" s="20" t="n">
        <f aca="false">IF(AND(H_Direct=0,H_TaxEvt=1),IF(ARV42+1&gt;=H_Deemed,0,ARV42+1),ARV42)</f>
        <v>1</v>
      </c>
      <c r="ARW43" s="20" t="n">
        <f aca="false">IF(AND(H_Direct=0,H_TaxEvt=1),IF(ARW42+1&gt;=H_Deemed,0,ARW42+1),ARW42)</f>
        <v>0</v>
      </c>
      <c r="ARX43" s="20" t="n">
        <f aca="false">IF(AND(H_Direct=0,H_TaxEvt=1),IF(ARX42+1&gt;=H_Deemed,0,ARX42+1),ARX42)</f>
        <v>7</v>
      </c>
      <c r="ARY43" s="20" t="n">
        <f aca="false">IF(AND(H_Direct=0,H_TaxEvt=1),IF(ARY42+1&gt;=H_Deemed,0,ARY42+1),ARY42)</f>
        <v>6</v>
      </c>
      <c r="ARZ43" s="20" t="n">
        <f aca="false">IF(AND(H_Direct=0,H_TaxEvt=1),IF(ARZ42+1&gt;=H_Deemed,0,ARZ42+1),ARZ42)</f>
        <v>5</v>
      </c>
      <c r="ASA43" s="20" t="n">
        <f aca="false">IF(AND(H_Direct=0,H_TaxEvt=1),IF(ASA42+1&gt;=H_Deemed,0,ASA42+1),ASA42)</f>
        <v>4</v>
      </c>
      <c r="ASB43" s="20" t="n">
        <f aca="false">IF(AND(H_Direct=0,H_TaxEvt=1),IF(ASB42+1&gt;=H_Deemed,0,ASB42+1),ASB42)</f>
        <v>3</v>
      </c>
      <c r="ASC43" s="20" t="n">
        <f aca="false">IF(AND(H_Direct=0,H_TaxEvt=1),IF(ASC42+1&gt;=H_Deemed,0,ASC42+1),ASC42)</f>
        <v>2</v>
      </c>
      <c r="ASD43" s="20" t="n">
        <f aca="false">IF(AND(H_Direct=0,H_TaxEvt=1),IF(ASD42+1&gt;=H_Deemed,0,ASD42+1),ASD42)</f>
        <v>1</v>
      </c>
      <c r="ASE43" s="20" t="n">
        <f aca="false">IF(AND(H_Direct=0,H_TaxEvt=1),IF(ASE42+1&gt;=H_Deemed,0,ASE42+1),ASE42)</f>
        <v>0</v>
      </c>
      <c r="ASF43" s="20" t="n">
        <f aca="false">IF(AND(H_Direct=0,H_TaxEvt=1),IF(ASF42+1&gt;=H_Deemed,0,ASF42+1),ASF42)</f>
        <v>7</v>
      </c>
      <c r="ASG43" s="20" t="n">
        <f aca="false">IF(AND(H_Direct=0,H_TaxEvt=1),IF(ASG42+1&gt;=H_Deemed,0,ASG42+1),ASG42)</f>
        <v>6</v>
      </c>
      <c r="ASH43" s="20" t="n">
        <f aca="false">IF(AND(H_Direct=0,H_TaxEvt=1),IF(ASH42+1&gt;=H_Deemed,0,ASH42+1),ASH42)</f>
        <v>5</v>
      </c>
      <c r="ASI43" s="20" t="n">
        <f aca="false">IF(AND(H_Direct=0,H_TaxEvt=1),IF(ASI42+1&gt;=H_Deemed,0,ASI42+1),ASI42)</f>
        <v>4</v>
      </c>
      <c r="ASJ43" s="20" t="n">
        <f aca="false">IF(AND(H_Direct=0,H_TaxEvt=1),IF(ASJ42+1&gt;=H_Deemed,0,ASJ42+1),ASJ42)</f>
        <v>3</v>
      </c>
      <c r="ASK43" s="20" t="n">
        <f aca="false">IF(AND(H_Direct=0,H_TaxEvt=1),IF(ASK42+1&gt;=H_Deemed,0,ASK42+1),ASK42)</f>
        <v>2</v>
      </c>
      <c r="ASL43" s="20" t="n">
        <f aca="false">IF(AND(H_Direct=0,H_TaxEvt=1),IF(ASL42+1&gt;=H_Deemed,0,ASL42+1),ASL42)</f>
        <v>1</v>
      </c>
      <c r="ASM43" s="20" t="n">
        <f aca="false">IF(AND(H_Direct=0,H_TaxEvt=1),IF(ASM42+1&gt;=H_Deemed,0,ASM42+1),ASM42)</f>
        <v>0</v>
      </c>
      <c r="ASN43" s="20" t="n">
        <f aca="false">IF(AND(H_Direct=0,H_TaxEvt=1),IF(ASN42+1&gt;=H_Deemed,0,ASN42+1),ASN42)</f>
        <v>7</v>
      </c>
      <c r="ASO43" s="20" t="n">
        <f aca="false">IF(AND(H_Direct=0,H_TaxEvt=1),IF(ASO42+1&gt;=H_Deemed,0,ASO42+1),ASO42)</f>
        <v>6</v>
      </c>
      <c r="ASP43" s="20" t="n">
        <f aca="false">IF(AND(H_Direct=0,H_TaxEvt=1),IF(ASP42+1&gt;=H_Deemed,0,ASP42+1),ASP42)</f>
        <v>5</v>
      </c>
      <c r="ASQ43" s="20" t="n">
        <f aca="false">IF(AND(H_Direct=0,H_TaxEvt=1),IF(ASQ42+1&gt;=H_Deemed,0,ASQ42+1),ASQ42)</f>
        <v>4</v>
      </c>
      <c r="ASR43" s="20" t="n">
        <f aca="false">IF(AND(H_Direct=0,H_TaxEvt=1),IF(ASR42+1&gt;=H_Deemed,0,ASR42+1),ASR42)</f>
        <v>3</v>
      </c>
      <c r="ASS43" s="20" t="n">
        <f aca="false">IF(AND(H_Direct=0,H_TaxEvt=1),IF(ASS42+1&gt;=H_Deemed,0,ASS42+1),ASS42)</f>
        <v>2</v>
      </c>
      <c r="AST43" s="20" t="n">
        <f aca="false">IF(AND(H_Direct=0,H_TaxEvt=1),IF(AST42+1&gt;=H_Deemed,0,AST42+1),AST42)</f>
        <v>1</v>
      </c>
      <c r="ASU43" s="20" t="n">
        <f aca="false">IF(AND(H_Direct=0,H_TaxEvt=1),IF(ASU42+1&gt;=H_Deemed,0,ASU42+1),ASU42)</f>
        <v>0</v>
      </c>
      <c r="ASV43" s="20" t="n">
        <f aca="false">IF(AND(H_Direct=0,H_TaxEvt=1),IF(ASV42+1&gt;=H_Deemed,0,ASV42+1),ASV42)</f>
        <v>7</v>
      </c>
      <c r="ASW43" s="20" t="n">
        <f aca="false">IF(AND(H_Direct=0,H_TaxEvt=1),IF(ASW42+1&gt;=H_Deemed,0,ASW42+1),ASW42)</f>
        <v>6</v>
      </c>
      <c r="ASX43" s="20" t="n">
        <f aca="false">IF(AND(H_Direct=0,H_TaxEvt=1),IF(ASX42+1&gt;=H_Deemed,0,ASX42+1),ASX42)</f>
        <v>5</v>
      </c>
      <c r="ASY43" s="20" t="n">
        <f aca="false">IF(AND(H_Direct=0,H_TaxEvt=1),IF(ASY42+1&gt;=H_Deemed,0,ASY42+1),ASY42)</f>
        <v>4</v>
      </c>
      <c r="ASZ43" s="20" t="n">
        <f aca="false">IF(AND(H_Direct=0,H_TaxEvt=1),IF(ASZ42+1&gt;=H_Deemed,0,ASZ42+1),ASZ42)</f>
        <v>3</v>
      </c>
      <c r="ATA43" s="20" t="n">
        <f aca="false">IF(AND(H_Direct=0,H_TaxEvt=1),IF(ATA42+1&gt;=H_Deemed,0,ATA42+1),ATA42)</f>
        <v>2</v>
      </c>
      <c r="ATB43" s="20" t="n">
        <f aca="false">IF(AND(H_Direct=0,H_TaxEvt=1),IF(0+1&gt;=H_Deemed,0,0+1),0)</f>
        <v>1</v>
      </c>
      <c r="ATC43" s="20" t="n">
        <v>0</v>
      </c>
      <c r="ATD43" s="20" t="n">
        <v>0</v>
      </c>
      <c r="ATE43" s="20" t="n">
        <v>0</v>
      </c>
      <c r="ATF43" s="20" t="n">
        <v>0</v>
      </c>
      <c r="ATG43" s="20" t="n">
        <v>0</v>
      </c>
      <c r="ATH43" s="20" t="n">
        <v>0</v>
      </c>
      <c r="ATI43" s="20" t="n">
        <v>0</v>
      </c>
      <c r="ATJ43" s="20" t="n">
        <v>0</v>
      </c>
      <c r="ATK43" s="20" t="n">
        <v>0</v>
      </c>
      <c r="ATL43" s="20" t="n">
        <v>0</v>
      </c>
      <c r="ATM43" s="20" t="n">
        <v>0</v>
      </c>
      <c r="ATN43" s="20" t="n">
        <v>0</v>
      </c>
      <c r="ATO43" s="20" t="n">
        <v>0</v>
      </c>
      <c r="ATP43" s="20" t="n">
        <v>0</v>
      </c>
      <c r="ATQ43" s="20" t="n">
        <v>0</v>
      </c>
      <c r="ATR43" s="20" t="n">
        <v>0</v>
      </c>
      <c r="ATS43" s="20" t="n">
        <v>0</v>
      </c>
      <c r="ATT43" s="20" t="n">
        <v>0</v>
      </c>
      <c r="ATU43" s="20" t="n">
        <v>0</v>
      </c>
      <c r="ATV43" s="20" t="n">
        <v>0</v>
      </c>
      <c r="ATW43" s="20" t="n">
        <v>0</v>
      </c>
      <c r="ATX43" s="20" t="n">
        <v>0</v>
      </c>
      <c r="ATY43" s="20" t="n">
        <v>0</v>
      </c>
      <c r="ATZ43" s="20" t="n">
        <v>0</v>
      </c>
      <c r="AUA43" s="20" t="n">
        <v>0</v>
      </c>
      <c r="AUB43" s="20" t="n">
        <v>0</v>
      </c>
      <c r="AUC43" s="20" t="n">
        <v>0</v>
      </c>
      <c r="AUD43" s="20" t="n">
        <v>0</v>
      </c>
      <c r="AUE43" s="20" t="n">
        <v>0</v>
      </c>
      <c r="AUF43" s="20" t="n">
        <v>0</v>
      </c>
      <c r="AUG43" s="20" t="n">
        <v>0</v>
      </c>
      <c r="AUH43" s="20" t="n">
        <v>0</v>
      </c>
      <c r="AUI43" s="20" t="n">
        <v>0</v>
      </c>
      <c r="AUJ43" s="20" t="n">
        <v>0</v>
      </c>
      <c r="AUK43" s="20" t="n">
        <v>0</v>
      </c>
      <c r="AUL43" s="20" t="n">
        <v>0</v>
      </c>
      <c r="AUM43" s="20" t="n">
        <v>0</v>
      </c>
      <c r="AUN43" s="20" t="n">
        <v>0</v>
      </c>
      <c r="AUO43" s="20" t="n">
        <v>0</v>
      </c>
      <c r="AUP43" s="20" t="n">
        <v>0</v>
      </c>
      <c r="AUQ43" s="20" t="n">
        <v>0</v>
      </c>
      <c r="AUR43" s="20" t="n">
        <v>0</v>
      </c>
      <c r="AUS43" s="20" t="n">
        <v>0</v>
      </c>
      <c r="AUT43" s="20" t="n">
        <v>0</v>
      </c>
      <c r="AUU43" s="20" t="n">
        <v>0</v>
      </c>
      <c r="AUV43" s="20" t="n">
        <v>0</v>
      </c>
      <c r="AUW43" s="20" t="n">
        <v>0</v>
      </c>
      <c r="AUX43" s="20" t="n">
        <v>0</v>
      </c>
      <c r="AUY43" s="20" t="n">
        <v>0</v>
      </c>
      <c r="AUZ43" s="20" t="n">
        <v>0</v>
      </c>
      <c r="AVA43" s="20" t="n">
        <v>0</v>
      </c>
      <c r="AVB43" s="20" t="n">
        <v>0</v>
      </c>
      <c r="AVC43" s="20" t="n">
        <v>0</v>
      </c>
      <c r="AVD43" s="20" t="n">
        <v>0</v>
      </c>
      <c r="AVE43" s="20" t="n">
        <f aca="false">IF(AND(H_Direct=0,H_TaxEvt=1,ARR42+1&gt;=H_Deemed),MAX(0,ADR43-AHE43)*H_Exit,0)</f>
        <v>0</v>
      </c>
      <c r="AVF43" s="20" t="n">
        <f aca="false">IF(AND(H_Direct=0,H_TaxEvt=1,ARS42+1&gt;=H_Deemed),MAX(0,ADS43-AHF43)*H_Exit,0)</f>
        <v>0</v>
      </c>
      <c r="AVG43" s="20" t="n">
        <f aca="false">IF(AND(H_Direct=0,H_TaxEvt=1,ART42+1&gt;=H_Deemed),MAX(0,ADT43-AHG43)*H_Exit,0)</f>
        <v>0</v>
      </c>
      <c r="AVH43" s="20" t="n">
        <f aca="false">IF(AND(H_Direct=0,H_TaxEvt=1,ARU42+1&gt;=H_Deemed),MAX(0,ADU43-AHH43)*H_Exit,0)</f>
        <v>0</v>
      </c>
      <c r="AVI43" s="20" t="n">
        <f aca="false">IF(AND(H_Direct=0,H_TaxEvt=1,ARV42+1&gt;=H_Deemed),MAX(0,ADV43-AHI43)*H_Exit,0)</f>
        <v>0</v>
      </c>
      <c r="AVJ43" s="20" t="n">
        <f aca="false">IF(AND(H_Direct=0,H_TaxEvt=1,ARW42+1&gt;=H_Deemed),MAX(0,ADW43-AHJ43)*H_Exit,0)</f>
        <v>0</v>
      </c>
      <c r="AVK43" s="20" t="n">
        <f aca="false">IF(AND(H_Direct=0,H_TaxEvt=1,ARX42+1&gt;=H_Deemed),MAX(0,ADX43-AHK43)*H_Exit,0)</f>
        <v>0</v>
      </c>
      <c r="AVL43" s="20" t="n">
        <f aca="false">IF(AND(H_Direct=0,H_TaxEvt=1,ARY42+1&gt;=H_Deemed),MAX(0,ADY43-AHL43)*H_Exit,0)</f>
        <v>0</v>
      </c>
      <c r="AVM43" s="20" t="n">
        <f aca="false">IF(AND(H_Direct=0,H_TaxEvt=1,ARZ42+1&gt;=H_Deemed),MAX(0,ADZ43-AHM43)*H_Exit,0)</f>
        <v>0</v>
      </c>
      <c r="AVN43" s="20" t="n">
        <f aca="false">IF(AND(H_Direct=0,H_TaxEvt=1,ASA42+1&gt;=H_Deemed),MAX(0,AEA43-AHN43)*H_Exit,0)</f>
        <v>0</v>
      </c>
      <c r="AVO43" s="20" t="n">
        <f aca="false">IF(AND(H_Direct=0,H_TaxEvt=1,ASB42+1&gt;=H_Deemed),MAX(0,AEB43-AHO43)*H_Exit,0)</f>
        <v>0</v>
      </c>
      <c r="AVP43" s="20" t="n">
        <f aca="false">IF(AND(H_Direct=0,H_TaxEvt=1,ASC42+1&gt;=H_Deemed),MAX(0,AEC43-AHP43)*H_Exit,0)</f>
        <v>0</v>
      </c>
      <c r="AVQ43" s="20" t="n">
        <f aca="false">IF(AND(H_Direct=0,H_TaxEvt=1,ASD42+1&gt;=H_Deemed),MAX(0,AED43-AHQ43)*H_Exit,0)</f>
        <v>0</v>
      </c>
      <c r="AVR43" s="20" t="n">
        <f aca="false">IF(AND(H_Direct=0,H_TaxEvt=1,ASE42+1&gt;=H_Deemed),MAX(0,AEE43-AHR43)*H_Exit,0)</f>
        <v>0</v>
      </c>
      <c r="AVS43" s="20" t="n">
        <f aca="false">IF(AND(H_Direct=0,H_TaxEvt=1,ASF42+1&gt;=H_Deemed),MAX(0,AEF43-AHS43)*H_Exit,0)</f>
        <v>0</v>
      </c>
      <c r="AVT43" s="20" t="n">
        <f aca="false">IF(AND(H_Direct=0,H_TaxEvt=1,ASG42+1&gt;=H_Deemed),MAX(0,AEG43-AHT43)*H_Exit,0)</f>
        <v>0</v>
      </c>
      <c r="AVU43" s="20" t="n">
        <f aca="false">IF(AND(H_Direct=0,H_TaxEvt=1,ASH42+1&gt;=H_Deemed),MAX(0,AEH43-AHU43)*H_Exit,0)</f>
        <v>0</v>
      </c>
      <c r="AVV43" s="20" t="n">
        <f aca="false">IF(AND(H_Direct=0,H_TaxEvt=1,ASI42+1&gt;=H_Deemed),MAX(0,AEI43-AHV43)*H_Exit,0)</f>
        <v>0</v>
      </c>
      <c r="AVW43" s="20" t="n">
        <f aca="false">IF(AND(H_Direct=0,H_TaxEvt=1,ASJ42+1&gt;=H_Deemed),MAX(0,AEJ43-AHW43)*H_Exit,0)</f>
        <v>0</v>
      </c>
      <c r="AVX43" s="20" t="n">
        <f aca="false">IF(AND(H_Direct=0,H_TaxEvt=1,ASK42+1&gt;=H_Deemed),MAX(0,AEK43-AHX43)*H_Exit,0)</f>
        <v>0</v>
      </c>
      <c r="AVY43" s="20" t="n">
        <f aca="false">IF(AND(H_Direct=0,H_TaxEvt=1,ASL42+1&gt;=H_Deemed),MAX(0,AEL43-AHY43)*H_Exit,0)</f>
        <v>0</v>
      </c>
      <c r="AVZ43" s="20" t="n">
        <f aca="false">IF(AND(H_Direct=0,H_TaxEvt=1,ASM42+1&gt;=H_Deemed),MAX(0,AEM43-AHZ43)*H_Exit,0)</f>
        <v>0</v>
      </c>
      <c r="AWA43" s="20" t="n">
        <f aca="false">IF(AND(H_Direct=0,H_TaxEvt=1,ASN42+1&gt;=H_Deemed),MAX(0,AEN43-AIA43)*H_Exit,0)</f>
        <v>0</v>
      </c>
      <c r="AWB43" s="20" t="n">
        <f aca="false">IF(AND(H_Direct=0,H_TaxEvt=1,ASO42+1&gt;=H_Deemed),MAX(0,AEO43-AIB43)*H_Exit,0)</f>
        <v>0</v>
      </c>
      <c r="AWC43" s="20" t="n">
        <f aca="false">IF(AND(H_Direct=0,H_TaxEvt=1,ASP42+1&gt;=H_Deemed),MAX(0,AEP43-AIC43)*H_Exit,0)</f>
        <v>0</v>
      </c>
      <c r="AWD43" s="20" t="n">
        <f aca="false">IF(AND(H_Direct=0,H_TaxEvt=1,ASQ42+1&gt;=H_Deemed),MAX(0,AEQ43-AID43)*H_Exit,0)</f>
        <v>0</v>
      </c>
      <c r="AWE43" s="20" t="n">
        <f aca="false">IF(AND(H_Direct=0,H_TaxEvt=1,ASR42+1&gt;=H_Deemed),MAX(0,AER43-AIE43)*H_Exit,0)</f>
        <v>0</v>
      </c>
      <c r="AWF43" s="20" t="n">
        <f aca="false">IF(AND(H_Direct=0,H_TaxEvt=1,ASS42+1&gt;=H_Deemed),MAX(0,AES43-AIF43)*H_Exit,0)</f>
        <v>0</v>
      </c>
      <c r="AWG43" s="20" t="n">
        <f aca="false">IF(AND(H_Direct=0,H_TaxEvt=1,AST42+1&gt;=H_Deemed),MAX(0,AET43-AIG43)*H_Exit,0)</f>
        <v>0</v>
      </c>
      <c r="AWH43" s="20" t="n">
        <f aca="false">IF(AND(H_Direct=0,H_TaxEvt=1,ASU42+1&gt;=H_Deemed),MAX(0,AEU43-AIH43)*H_Exit,0)</f>
        <v>242.221340998696</v>
      </c>
      <c r="AWI43" s="20" t="n">
        <f aca="false">IF(AND(H_Direct=0,H_TaxEvt=1,ASV42+1&gt;=H_Deemed),MAX(0,AEV43-AII43)*H_Exit,0)</f>
        <v>0</v>
      </c>
      <c r="AWJ43" s="20" t="n">
        <f aca="false">IF(AND(H_Direct=0,H_TaxEvt=1,ASW42+1&gt;=H_Deemed),MAX(0,AEW43-AIJ43)*H_Exit,0)</f>
        <v>0</v>
      </c>
      <c r="AWK43" s="20" t="n">
        <f aca="false">IF(AND(H_Direct=0,H_TaxEvt=1,ASX42+1&gt;=H_Deemed),MAX(0,AEX43-AIK43)*H_Exit,0)</f>
        <v>0</v>
      </c>
      <c r="AWL43" s="20" t="n">
        <f aca="false">IF(AND(H_Direct=0,H_TaxEvt=1,ASY42+1&gt;=H_Deemed),MAX(0,AEY43-AIL43)*H_Exit,0)</f>
        <v>0</v>
      </c>
      <c r="AWM43" s="20" t="n">
        <f aca="false">IF(AND(H_Direct=0,H_TaxEvt=1,ASZ42+1&gt;=H_Deemed),MAX(0,AEZ43-AIM43)*H_Exit,0)</f>
        <v>0</v>
      </c>
      <c r="AWN43" s="20" t="n">
        <f aca="false">IF(AND(H_Direct=0,H_TaxEvt=1,ATA42+1&gt;=H_Deemed),MAX(0,AFA43-AIN43)*H_Exit,0)</f>
        <v>0</v>
      </c>
      <c r="AWO43" s="20" t="n">
        <f aca="false">IF(AND(H_Direct=0,H_TaxEvt=1,0+1&gt;=H_Deemed),MAX(0,AFB43-AIO43)*H_Exit,0)</f>
        <v>0</v>
      </c>
      <c r="AWP43" s="20" t="n">
        <v>0</v>
      </c>
      <c r="AWQ43" s="20" t="n">
        <v>0</v>
      </c>
      <c r="AWR43" s="20" t="n">
        <v>0</v>
      </c>
      <c r="AWS43" s="20" t="n">
        <v>0</v>
      </c>
      <c r="AWT43" s="20" t="n">
        <v>0</v>
      </c>
      <c r="AWU43" s="20" t="n">
        <v>0</v>
      </c>
      <c r="AWV43" s="20" t="n">
        <v>0</v>
      </c>
      <c r="AWW43" s="20" t="n">
        <v>0</v>
      </c>
      <c r="AWX43" s="20" t="n">
        <v>0</v>
      </c>
      <c r="AWY43" s="20" t="n">
        <v>0</v>
      </c>
      <c r="AWZ43" s="20" t="n">
        <v>0</v>
      </c>
      <c r="AXA43" s="20" t="n">
        <v>0</v>
      </c>
      <c r="AXB43" s="20" t="n">
        <v>0</v>
      </c>
      <c r="AXC43" s="20" t="n">
        <v>0</v>
      </c>
      <c r="AXD43" s="20" t="n">
        <v>0</v>
      </c>
      <c r="AXE43" s="20" t="n">
        <v>0</v>
      </c>
      <c r="AXF43" s="20" t="n">
        <v>0</v>
      </c>
      <c r="AXG43" s="20" t="n">
        <v>0</v>
      </c>
      <c r="AXH43" s="20" t="n">
        <v>0</v>
      </c>
      <c r="AXI43" s="20" t="n">
        <v>0</v>
      </c>
      <c r="AXJ43" s="20" t="n">
        <v>0</v>
      </c>
      <c r="AXK43" s="20" t="n">
        <v>0</v>
      </c>
      <c r="AXL43" s="20" t="n">
        <v>0</v>
      </c>
      <c r="AXM43" s="20" t="n">
        <v>0</v>
      </c>
      <c r="AXN43" s="20" t="n">
        <v>0</v>
      </c>
      <c r="AXO43" s="20" t="n">
        <v>0</v>
      </c>
      <c r="AXP43" s="20" t="n">
        <v>0</v>
      </c>
      <c r="AXQ43" s="20" t="n">
        <v>0</v>
      </c>
      <c r="AXR43" s="20" t="n">
        <v>0</v>
      </c>
      <c r="AXS43" s="20" t="n">
        <v>0</v>
      </c>
      <c r="AXT43" s="20" t="n">
        <v>0</v>
      </c>
      <c r="AXU43" s="20" t="n">
        <v>0</v>
      </c>
      <c r="AXV43" s="20" t="n">
        <v>0</v>
      </c>
      <c r="AXW43" s="20" t="n">
        <v>0</v>
      </c>
      <c r="AXX43" s="20" t="n">
        <v>0</v>
      </c>
      <c r="AXY43" s="20" t="n">
        <v>0</v>
      </c>
      <c r="AXZ43" s="20" t="n">
        <v>0</v>
      </c>
      <c r="AYA43" s="20" t="n">
        <v>0</v>
      </c>
      <c r="AYB43" s="20" t="n">
        <v>0</v>
      </c>
      <c r="AYC43" s="20" t="n">
        <v>0</v>
      </c>
      <c r="AYD43" s="20" t="n">
        <v>0</v>
      </c>
      <c r="AYE43" s="20" t="n">
        <v>0</v>
      </c>
      <c r="AYF43" s="20" t="n">
        <v>0</v>
      </c>
      <c r="AYG43" s="20" t="n">
        <v>0</v>
      </c>
      <c r="AYH43" s="20" t="n">
        <v>0</v>
      </c>
      <c r="AYI43" s="20" t="n">
        <v>0</v>
      </c>
      <c r="AYJ43" s="20" t="n">
        <v>0</v>
      </c>
      <c r="AYK43" s="20" t="n">
        <v>0</v>
      </c>
      <c r="AYL43" s="20" t="n">
        <v>0</v>
      </c>
      <c r="AYM43" s="20" t="n">
        <v>0</v>
      </c>
      <c r="AYN43" s="20" t="n">
        <v>0</v>
      </c>
      <c r="AYO43" s="20" t="n">
        <v>0</v>
      </c>
      <c r="AYP43" s="20" t="n">
        <v>0</v>
      </c>
      <c r="AYQ43" s="20" t="n">
        <v>0</v>
      </c>
    </row>
    <row r="44" customFormat="false" ht="15" hidden="false" customHeight="false" outlineLevel="0" collapsed="false">
      <c r="B44" s="20" t="n">
        <v>36</v>
      </c>
      <c r="C44" s="20" t="n">
        <f aca="false">'Plan cashflow'!C44</f>
        <v>1</v>
      </c>
      <c r="D44" s="20" t="n">
        <f aca="false">'Plan cashflow'!D44</f>
        <v>74</v>
      </c>
      <c r="E44" s="20" t="n">
        <f aca="false">AS_Year0+36</f>
        <v>2062</v>
      </c>
      <c r="F44" s="50" t="n">
        <f aca="false">'Plan cashflow'!F44</f>
        <v>2.03988734371571</v>
      </c>
      <c r="G44" s="59" t="n">
        <f aca="true">IF(MAX(TODAY(),DATE(E44,1,1))&gt;=H_CGTfrom,H_CGT1,H_CGT0)</f>
        <v>0.31</v>
      </c>
      <c r="H44" s="20" t="n">
        <f aca="false">H_Exempt*H_Persons</f>
        <v>1270</v>
      </c>
      <c r="I44" s="20" t="n">
        <f aca="false">AX43</f>
        <v>0</v>
      </c>
      <c r="J44" s="60" t="n">
        <f aca="false">BF43</f>
        <v>0</v>
      </c>
      <c r="K44" s="60" t="n">
        <f aca="false">BG43</f>
        <v>0</v>
      </c>
      <c r="L44" s="20" t="n">
        <f aca="false">IF(AND(In_polLump&gt;0,In_polLumpAge&gt;0,D44=In_polLumpAge),In_polLump,0)</f>
        <v>0</v>
      </c>
      <c r="M44" s="20" t="n">
        <f aca="false">IF(AND(In_homeUse="Yes, I'd downsize",In_downAge&gt;0,D44=In_downAge,OR(In_home="Own outright",In_home="Own with mortgage"),In_homeValue&gt;0),MAX(0,MAX(0,In_homeValue-In_downValue)*F44*0.9-'Plan cashflow'!HR43),0)</f>
        <v>0</v>
      </c>
      <c r="N44" s="20" t="n">
        <f aca="false">'Plan pay &amp; tax'!Y270</f>
        <v>0</v>
      </c>
      <c r="O44" s="20" t="n">
        <f aca="false">L44+M44+(1-H_Sh)*N44</f>
        <v>0</v>
      </c>
      <c r="P44" s="20" t="n">
        <f aca="false">H_Sh*N44</f>
        <v>0</v>
      </c>
      <c r="Q44" s="20" t="n">
        <f aca="false">'Plan cashflow'!UL44</f>
        <v>0</v>
      </c>
      <c r="R44" s="20" t="n">
        <f aca="false">(1-H_Sh)*Q44</f>
        <v>0</v>
      </c>
      <c r="S44" s="20" t="n">
        <f aca="false">H_Sh*Q44</f>
        <v>0</v>
      </c>
      <c r="T44" s="20" t="n">
        <f aca="false">J44+K44+O44</f>
        <v>0</v>
      </c>
      <c r="U44" s="20" t="n">
        <f aca="false">T44+R44</f>
        <v>0</v>
      </c>
      <c r="V44" s="60" t="n">
        <f aca="false">SUM(FE44:IQ44)</f>
        <v>78225.4390035568</v>
      </c>
      <c r="W44" s="60" t="n">
        <f aca="false">IF(AJ44&lt;=0,0,IF(AL44&lt;=0,AJ44,AJ44-G44*MAX(0,AL44*AJ44-(AY44+AZ44))))</f>
        <v>0</v>
      </c>
      <c r="X44" s="60" t="n">
        <f aca="false">IF(AR44&lt;=0,0,IF(AT44&lt;=0,AR44,AR44-G44*MAX(0,AT44*AR44-(BA44+BB44))))</f>
        <v>0</v>
      </c>
      <c r="Y44" s="60" t="n">
        <f aca="false">T44+V44-S44+W44+X44</f>
        <v>78225.4390035568</v>
      </c>
      <c r="Z44" s="60" t="n">
        <f aca="false">'Plan cashflow'!UK44</f>
        <v>22504.9029963136</v>
      </c>
      <c r="AA44" s="20" t="n">
        <f aca="false">MIN(Z44,U44)</f>
        <v>0</v>
      </c>
      <c r="AB44" s="20" t="n">
        <f aca="false">Z44-AA44</f>
        <v>22504.9029963136</v>
      </c>
      <c r="AC44" s="20" t="n">
        <f aca="false">MIN(AA44,J44+O44+R44)</f>
        <v>0</v>
      </c>
      <c r="AD44" s="20" t="n">
        <f aca="false">AA44-AC44</f>
        <v>0</v>
      </c>
      <c r="AE44" s="20" t="n">
        <f aca="false">J44+O44+R44-AC44</f>
        <v>0</v>
      </c>
      <c r="AF44" s="20" t="n">
        <f aca="false">K44-AD44</f>
        <v>0</v>
      </c>
      <c r="AG44" s="20" t="n">
        <f aca="false">SUM(PR44:TD44)</f>
        <v>22504.9029963136</v>
      </c>
      <c r="AH44" s="20" t="n">
        <f aca="false">SUM(TE44:WQ44)</f>
        <v>23495.9966463875</v>
      </c>
      <c r="AI44" s="20" t="n">
        <f aca="false">MAX(0,AB44-AG44)</f>
        <v>0</v>
      </c>
      <c r="AJ44" s="57" t="n">
        <f aca="false">BI43</f>
        <v>0</v>
      </c>
      <c r="AK44" s="20" t="n">
        <f aca="false">BJ43</f>
        <v>0</v>
      </c>
      <c r="AL44" s="20" t="n">
        <f aca="false">IF(AJ44&gt;0,(AJ44-AK44)/AJ44,0)</f>
        <v>0</v>
      </c>
      <c r="AM44" s="20" t="n">
        <f aca="false">IF(AJ44&lt;=0,0,IF(AL44&lt;=0,MIN(AI44,AJ44),MIN(AI44,AJ44-G44*MAX(0,AL44*AJ44-(AAD44+ADQ44)))))</f>
        <v>0</v>
      </c>
      <c r="AN44" s="20" t="n">
        <f aca="false">IF(AJ44&lt;=0,0,IF(AL44&lt;=0,AM44,IF(AM44&lt;=(AAD44+ADQ44)/AL44,AM44,(AM44-G44*(AAD44+ADQ44))/(1-G44*AL44))))</f>
        <v>0</v>
      </c>
      <c r="AO44" s="20" t="n">
        <f aca="false">IF(AL44&gt;0,MAX(0,AAD44-(MIN(AL44*AN44,(AAD44+ADQ44))-MIN(MIN(AL44*AN44,(AAD44+ADQ44)),ADQ44))),AAD44)</f>
        <v>1270</v>
      </c>
      <c r="AP44" s="20" t="n">
        <f aca="false">IF(AL44&lt;=0,ADQ44-AL44*AN44,ADQ44-MIN(MIN(AL44*AN44,(AAD44+ADQ44)),ADQ44))</f>
        <v>0</v>
      </c>
      <c r="AQ44" s="20" t="n">
        <f aca="false">MAX(0,AI44-AM44)</f>
        <v>0</v>
      </c>
      <c r="AR44" s="57" t="n">
        <f aca="false">BK43</f>
        <v>0</v>
      </c>
      <c r="AS44" s="20" t="n">
        <f aca="false">BL43</f>
        <v>0</v>
      </c>
      <c r="AT44" s="20" t="n">
        <f aca="false">IF(AR44&gt;0,(AR44-AS44)/AR44,0)</f>
        <v>0</v>
      </c>
      <c r="AU44" s="20" t="n">
        <f aca="false">IF(AR44&lt;=0,0,IF(AT44&lt;=0,MIN(AQ44,AR44),MIN(AQ44,AR44-G44*MAX(0,AT44*AR44-(AO44+AP44)))))</f>
        <v>0</v>
      </c>
      <c r="AV44" s="20" t="n">
        <f aca="false">IF(AR44&lt;=0,0,IF(AT44&lt;=0,AU44,IF(AU44&lt;=(AO44+AP44)/AT44,AU44,(AU44-G44*(AO44+AP44))/(1-G44*AT44))))</f>
        <v>0</v>
      </c>
      <c r="AW44" s="20" t="n">
        <f aca="false">IF(AT44&gt;0,MAX(0,AO44-(MIN(AT44*AV44,(AO44+AP44))-MIN(MIN(AT44*AV44,(AO44+AP44)),AP44))),AO44)</f>
        <v>1270</v>
      </c>
      <c r="AX44" s="20" t="n">
        <f aca="false">IF(AT44&lt;=0,AP44-AT44*AV44,AP44-MIN(MIN(AT44*AV44,(AO44+AP44)),AP44))</f>
        <v>0</v>
      </c>
      <c r="AY44" s="20" t="n">
        <f aca="false">MD44</f>
        <v>1270</v>
      </c>
      <c r="AZ44" s="20" t="n">
        <f aca="false">PQ44</f>
        <v>0</v>
      </c>
      <c r="BA44" s="20" t="n">
        <f aca="false">IF(AL44&gt;0,MAX(0,AY44-(MIN(AL44*AJ44,AY44+AZ44)-MIN(MIN(AL44*AJ44,AY44+AZ44),AZ44))),AY44)</f>
        <v>1270</v>
      </c>
      <c r="BB44" s="20" t="n">
        <f aca="false">IF(AL44&lt;=0,AZ44-AL44*AJ44,AZ44-MIN(MIN(AL44*AJ44,AY44+AZ44),AZ44))</f>
        <v>0</v>
      </c>
      <c r="BC44" s="20" t="n">
        <f aca="false">'Plan cashflow'!UM44</f>
        <v>0</v>
      </c>
      <c r="BD44" s="20" t="n">
        <f aca="false">(1-H_Sh)*BC44</f>
        <v>0</v>
      </c>
      <c r="BE44" s="20" t="n">
        <f aca="false">H_Sh*BC44</f>
        <v>0</v>
      </c>
      <c r="BF44" s="60" t="n">
        <f aca="false">(AE44+BD44)*(1+AS_Cash)</f>
        <v>0</v>
      </c>
      <c r="BG44" s="60" t="n">
        <f aca="false">AF44*(1+AS_Cash)</f>
        <v>0</v>
      </c>
      <c r="BH44" s="60" t="n">
        <f aca="false">SUM(AKR44:AOD44)</f>
        <v>60404.0791016314</v>
      </c>
      <c r="BI44" s="60" t="n">
        <f aca="false">(AJ44-AN44)*(1+AS_Infl)</f>
        <v>0</v>
      </c>
      <c r="BJ44" s="20" t="n">
        <f aca="false">IF(AJ44&gt;0,AK44-AK44*AN44/AJ44,0)</f>
        <v>0</v>
      </c>
      <c r="BK44" s="60" t="n">
        <f aca="false">(AR44-AV44)*(1+BQ44)</f>
        <v>0</v>
      </c>
      <c r="BL44" s="20" t="n">
        <f aca="false">IF(AR44&gt;0,AS44-AS44*AV44/AR44,0)</f>
        <v>0</v>
      </c>
      <c r="BM44" s="60" t="n">
        <f aca="false">BF44+BG44+BH44+BI44+BK44</f>
        <v>60404.0791016314</v>
      </c>
      <c r="BN44" s="60" t="n">
        <f aca="false">(AH44-AG44)+(AN44-AM44)+(AV44-AU44)</f>
        <v>991.093650073894</v>
      </c>
      <c r="BO44" s="20" t="n">
        <f aca="false">(AE44+BD44+AF44+MAX(0,'Plan cashflow'!QH44)+IF(Slot1_Rate=AS_Cash,'Plan cashflow'!QM44/(1+AS_Cash),0)+IF(Slot2_Rate=AS_Cash,'Plan cashflow'!QQ44/(1+AS_Cash),0)+IF(Slot3_Rate=AS_Cash,'Plan cashflow'!QU44/(1+AS_Cash),0)+IF(Slot4_Rate=AS_Cash,'Plan cashflow'!QY44/(1+AS_Cash),0)+IF(Slot5_Rate=AS_Cash,'Plan cashflow'!RC44/(1+AS_Cash),0)+IF(Slot6_Rate=AS_Cash,'Plan cashflow'!RG44/(1+AS_Cash),0)+IF(Slot7_Rate=AS_Cash,'Plan cashflow'!RK44/(1+AS_Cash),0)+IF(Slot8_Rate=AS_Cash,'Plan cashflow'!RO44/(1+AS_Cash),0)+IF(Slot9_Rate=AS_Cash,'Plan cashflow'!RS44/(1+AS_Cash),0)+IF(Slot10_Rate=AS_Cash,'Plan cashflow'!RW44/(1+AS_Cash),0)+IF(Slot11_Rate=AS_Cash,'Plan cashflow'!SA44/(1+AS_Cash),0)+IF(Slot12_Rate=AS_Cash,'Plan cashflow'!SE44/(1+AS_Cash),0)+IF(Slot13_Rate=AS_Cash,'Plan cashflow'!SI44/(1+AS_Cash),0)+IF(Slot14_Rate=AS_Cash,'Plan cashflow'!SM44/(1+AS_Cash),0)+IF(Slot15_Rate=AS_Cash,'Plan cashflow'!SQ44/(1+AS_Cash),0)+IF(Slot16_Rate=AS_Cash,'Plan cashflow'!SU44/(1+AS_Cash),0)+IF(Slot17_Rate=AS_Cash,'Plan cashflow'!SY44/(1+AS_Cash),0)+IF(Slot18_Rate=AS_Cash,'Plan cashflow'!TC44/(1+AS_Cash),0)+IF(Slot19_Rate=AS_Cash,'Plan cashflow'!TG44/(1+AS_Cash),0)+IF(Slot20_Rate=AS_Cash,'Plan cashflow'!TK44/(1+AS_Cash),0))*AS_Cash*H_DIRT/(1-H_DIRT)</f>
        <v>78.6047204017604</v>
      </c>
      <c r="BP44" s="60" t="n">
        <f aca="false">SUM(AVE44:AYQ44)</f>
        <v>0</v>
      </c>
      <c r="BQ44" s="54" t="n">
        <f aca="false">IF(H_TaxEvt=1,H_InvG,AS_Inv)</f>
        <v>0.04</v>
      </c>
      <c r="BR44" s="20" t="n">
        <f aca="false">IF(AKR43&gt;0,(AKR43-AOE43)/AKR43,0)</f>
        <v>0</v>
      </c>
      <c r="BS44" s="20" t="n">
        <f aca="false">IF(AKS43&gt;0,(AKS43-AOF43)/AKS43,0)</f>
        <v>0</v>
      </c>
      <c r="BT44" s="20" t="n">
        <f aca="false">IF(AKT43&gt;0,(AKT43-AOG43)/AKT43,0)</f>
        <v>0</v>
      </c>
      <c r="BU44" s="20" t="n">
        <f aca="false">IF(AKU43&gt;0,(AKU43-AOH43)/AKU43,0)</f>
        <v>0</v>
      </c>
      <c r="BV44" s="20" t="n">
        <f aca="false">IF(AKV43&gt;0,(AKV43-AOI43)/AKV43,0)</f>
        <v>0</v>
      </c>
      <c r="BW44" s="20" t="n">
        <f aca="false">IF(AKW43&gt;0,(AKW43-AOJ43)/AKW43,0)</f>
        <v>0</v>
      </c>
      <c r="BX44" s="20" t="n">
        <f aca="false">IF(AKX43&gt;0,(AKX43-AOK43)/AKX43,0)</f>
        <v>0</v>
      </c>
      <c r="BY44" s="20" t="n">
        <f aca="false">IF(AKY43&gt;0,(AKY43-AOL43)/AKY43,0)</f>
        <v>0</v>
      </c>
      <c r="BZ44" s="20" t="n">
        <f aca="false">IF(AKZ43&gt;0,(AKZ43-AOM43)/AKZ43,0)</f>
        <v>0</v>
      </c>
      <c r="CA44" s="20" t="n">
        <f aca="false">IF(ALA43&gt;0,(ALA43-AON43)/ALA43,0)</f>
        <v>0</v>
      </c>
      <c r="CB44" s="20" t="n">
        <f aca="false">IF(ALB43&gt;0,(ALB43-AOO43)/ALB43,0)</f>
        <v>0</v>
      </c>
      <c r="CC44" s="20" t="n">
        <f aca="false">IF(ALC43&gt;0,(ALC43-AOP43)/ALC43,0)</f>
        <v>0</v>
      </c>
      <c r="CD44" s="20" t="n">
        <f aca="false">IF(ALD43&gt;0,(ALD43-AOQ43)/ALD43,0)</f>
        <v>0</v>
      </c>
      <c r="CE44" s="20" t="n">
        <f aca="false">IF(ALE43&gt;0,(ALE43-AOR43)/ALE43,0)</f>
        <v>0</v>
      </c>
      <c r="CF44" s="20" t="n">
        <f aca="false">IF(ALF43&gt;0,(ALF43-AOS43)/ALF43,0)</f>
        <v>0</v>
      </c>
      <c r="CG44" s="20" t="n">
        <f aca="false">IF(ALG43&gt;0,(ALG43-AOT43)/ALG43,0)</f>
        <v>0</v>
      </c>
      <c r="CH44" s="20" t="n">
        <f aca="false">IF(ALH43&gt;0,(ALH43-AOU43)/ALH43,0)</f>
        <v>0</v>
      </c>
      <c r="CI44" s="20" t="n">
        <f aca="false">IF(ALI43&gt;0,(ALI43-AOV43)/ALI43,0)</f>
        <v>0</v>
      </c>
      <c r="CJ44" s="20" t="n">
        <f aca="false">IF(ALJ43&gt;0,(ALJ43-AOW43)/ALJ43,0)</f>
        <v>0</v>
      </c>
      <c r="CK44" s="20" t="n">
        <f aca="false">IF(ALK43&gt;0,(ALK43-AOX43)/ALK43,0)</f>
        <v>0</v>
      </c>
      <c r="CL44" s="20" t="n">
        <f aca="false">IF(ALL43&gt;0,(ALL43-AOY43)/ALL43,0)</f>
        <v>0</v>
      </c>
      <c r="CM44" s="20" t="n">
        <f aca="false">IF(ALM43&gt;0,(ALM43-AOZ43)/ALM43,0)</f>
        <v>0</v>
      </c>
      <c r="CN44" s="20" t="n">
        <f aca="false">IF(ALN43&gt;0,(ALN43-APA43)/ALN43,0)</f>
        <v>0</v>
      </c>
      <c r="CO44" s="20" t="n">
        <f aca="false">IF(ALO43&gt;0,(ALO43-APB43)/ALO43,0)</f>
        <v>0</v>
      </c>
      <c r="CP44" s="20" t="n">
        <f aca="false">IF(ALP43&gt;0,(ALP43-APC43)/ALP43,0)</f>
        <v>0</v>
      </c>
      <c r="CQ44" s="20" t="n">
        <f aca="false">IF(ALQ43&gt;0,(ALQ43-APD43)/ALQ43,0)</f>
        <v>0</v>
      </c>
      <c r="CR44" s="20" t="n">
        <f aca="false">IF(ALR43&gt;0,(ALR43-APE43)/ALR43,0)</f>
        <v>0.111003641329085</v>
      </c>
      <c r="CS44" s="20" t="n">
        <f aca="false">IF(ALS43&gt;0,(ALS43-APF43)/ALS43,0)</f>
        <v>0</v>
      </c>
      <c r="CT44" s="20" t="n">
        <f aca="false">IF(ALT43&gt;0,(ALT43-APG43)/ALT43,0)</f>
        <v>0</v>
      </c>
      <c r="CU44" s="20" t="n">
        <f aca="false">IF(ALU43&gt;0,(ALU43-APH43)/ALU43,0)</f>
        <v>0</v>
      </c>
      <c r="CV44" s="20" t="n">
        <f aca="false">IF(ALV43&gt;0,(ALV43-API43)/ALV43,0)</f>
        <v>0</v>
      </c>
      <c r="CW44" s="20" t="n">
        <f aca="false">IF(ALW43&gt;0,(ALW43-APJ43)/ALW43,0)</f>
        <v>0</v>
      </c>
      <c r="CX44" s="20" t="n">
        <f aca="false">IF(ALX43&gt;0,(ALX43-APK43)/ALX43,0)</f>
        <v>0</v>
      </c>
      <c r="CY44" s="20" t="n">
        <f aca="false">IF(ALY43&gt;0,(ALY43-APL43)/ALY43,0)</f>
        <v>0</v>
      </c>
      <c r="CZ44" s="20" t="n">
        <f aca="false">IF(ALZ43&gt;0,(ALZ43-APM43)/ALZ43,0)</f>
        <v>0</v>
      </c>
      <c r="DA44" s="20" t="n">
        <f aca="false">IF(AMA43&gt;0,(AMA43-APN43)/AMA43,0)</f>
        <v>0</v>
      </c>
      <c r="DB44" s="20" t="n">
        <f aca="false">IF(AMB43&gt;0,(AMB43-APO43)/AMB43,0)</f>
        <v>0</v>
      </c>
      <c r="DC44" s="20" t="n">
        <f aca="false">IF((P44+S44)&gt;0,((P44+S44)-(P44+S44))/(P44+S44),0)</f>
        <v>0</v>
      </c>
      <c r="DD44" s="20" t="n">
        <v>0</v>
      </c>
      <c r="DE44" s="20" t="n">
        <v>0</v>
      </c>
      <c r="DF44" s="20" t="n">
        <v>0</v>
      </c>
      <c r="DG44" s="20" t="n">
        <v>0</v>
      </c>
      <c r="DH44" s="20" t="n">
        <v>0</v>
      </c>
      <c r="DI44" s="20" t="n">
        <v>0</v>
      </c>
      <c r="DJ44" s="20" t="n">
        <v>0</v>
      </c>
      <c r="DK44" s="20" t="n">
        <v>0</v>
      </c>
      <c r="DL44" s="20" t="n">
        <v>0</v>
      </c>
      <c r="DM44" s="20" t="n">
        <v>0</v>
      </c>
      <c r="DN44" s="20" t="n">
        <v>0</v>
      </c>
      <c r="DO44" s="20" t="n">
        <v>0</v>
      </c>
      <c r="DP44" s="20" t="n">
        <v>0</v>
      </c>
      <c r="DQ44" s="20" t="n">
        <v>0</v>
      </c>
      <c r="DR44" s="20" t="n">
        <v>0</v>
      </c>
      <c r="DS44" s="20" t="n">
        <v>0</v>
      </c>
      <c r="DT44" s="20" t="n">
        <v>0</v>
      </c>
      <c r="DU44" s="20" t="n">
        <v>0</v>
      </c>
      <c r="DV44" s="20" t="n">
        <v>0</v>
      </c>
      <c r="DW44" s="20" t="n">
        <v>0</v>
      </c>
      <c r="DX44" s="20" t="n">
        <v>0</v>
      </c>
      <c r="DY44" s="20" t="n">
        <v>0</v>
      </c>
      <c r="DZ44" s="20" t="n">
        <v>0</v>
      </c>
      <c r="EA44" s="20" t="n">
        <v>0</v>
      </c>
      <c r="EB44" s="20" t="n">
        <v>0</v>
      </c>
      <c r="EC44" s="20" t="n">
        <v>0</v>
      </c>
      <c r="ED44" s="20" t="n">
        <v>0</v>
      </c>
      <c r="EE44" s="20" t="n">
        <v>0</v>
      </c>
      <c r="EF44" s="20" t="n">
        <v>0</v>
      </c>
      <c r="EG44" s="20" t="n">
        <v>0</v>
      </c>
      <c r="EH44" s="20" t="n">
        <v>0</v>
      </c>
      <c r="EI44" s="20" t="n">
        <v>0</v>
      </c>
      <c r="EJ44" s="20" t="n">
        <v>0</v>
      </c>
      <c r="EK44" s="20" t="n">
        <v>0</v>
      </c>
      <c r="EL44" s="20" t="n">
        <v>0</v>
      </c>
      <c r="EM44" s="20" t="n">
        <v>0</v>
      </c>
      <c r="EN44" s="20" t="n">
        <v>0</v>
      </c>
      <c r="EO44" s="20" t="n">
        <v>0</v>
      </c>
      <c r="EP44" s="20" t="n">
        <v>0</v>
      </c>
      <c r="EQ44" s="20" t="n">
        <v>0</v>
      </c>
      <c r="ER44" s="20" t="n">
        <v>0</v>
      </c>
      <c r="ES44" s="20" t="n">
        <v>0</v>
      </c>
      <c r="ET44" s="20" t="n">
        <v>0</v>
      </c>
      <c r="EU44" s="20" t="n">
        <v>0</v>
      </c>
      <c r="EV44" s="20" t="n">
        <v>0</v>
      </c>
      <c r="EW44" s="20" t="n">
        <v>0</v>
      </c>
      <c r="EX44" s="20" t="n">
        <v>0</v>
      </c>
      <c r="EY44" s="20" t="n">
        <v>0</v>
      </c>
      <c r="EZ44" s="20" t="n">
        <v>0</v>
      </c>
      <c r="FA44" s="20" t="n">
        <v>0</v>
      </c>
      <c r="FB44" s="20" t="n">
        <v>0</v>
      </c>
      <c r="FC44" s="20" t="n">
        <v>0</v>
      </c>
      <c r="FD44" s="20" t="n">
        <v>0</v>
      </c>
      <c r="FE44" s="20" t="n">
        <f aca="false">IF(H_Direct=1,IF(AKR43&lt;=0,0,IF(BR44&lt;=0,AKR43,AKR43-G44*MAX(0,BR44*AKR43-(H44+I44)))),AKR43*(1-MAX(0,BR44)*H_Exit))</f>
        <v>0</v>
      </c>
      <c r="FF44" s="20" t="n">
        <f aca="false">IF(H_Direct=1,IF(AKS43&lt;=0,0,IF(BS44&lt;=0,AKS43,AKS43-G44*MAX(0,BS44*AKS43-(IR44+ME44)))),AKS43*(1-MAX(0,BS44)*H_Exit))</f>
        <v>0</v>
      </c>
      <c r="FG44" s="20" t="n">
        <f aca="false">IF(H_Direct=1,IF(AKT43&lt;=0,0,IF(BT44&lt;=0,AKT43,AKT43-G44*MAX(0,BT44*AKT43-(IS44+MF44)))),AKT43*(1-MAX(0,BT44)*H_Exit))</f>
        <v>0</v>
      </c>
      <c r="FH44" s="20" t="n">
        <f aca="false">IF(H_Direct=1,IF(AKU43&lt;=0,0,IF(BU44&lt;=0,AKU43,AKU43-G44*MAX(0,BU44*AKU43-(IT44+MG44)))),AKU43*(1-MAX(0,BU44)*H_Exit))</f>
        <v>0</v>
      </c>
      <c r="FI44" s="20" t="n">
        <f aca="false">IF(H_Direct=1,IF(AKV43&lt;=0,0,IF(BV44&lt;=0,AKV43,AKV43-G44*MAX(0,BV44*AKV43-(IU44+MH44)))),AKV43*(1-MAX(0,BV44)*H_Exit))</f>
        <v>0</v>
      </c>
      <c r="FJ44" s="20" t="n">
        <f aca="false">IF(H_Direct=1,IF(AKW43&lt;=0,0,IF(BW44&lt;=0,AKW43,AKW43-G44*MAX(0,BW44*AKW43-(IV44+MI44)))),AKW43*(1-MAX(0,BW44)*H_Exit))</f>
        <v>0</v>
      </c>
      <c r="FK44" s="20" t="n">
        <f aca="false">IF(H_Direct=1,IF(AKX43&lt;=0,0,IF(BX44&lt;=0,AKX43,AKX43-G44*MAX(0,BX44*AKX43-(IW44+MJ44)))),AKX43*(1-MAX(0,BX44)*H_Exit))</f>
        <v>0</v>
      </c>
      <c r="FL44" s="20" t="n">
        <f aca="false">IF(H_Direct=1,IF(AKY43&lt;=0,0,IF(BY44&lt;=0,AKY43,AKY43-G44*MAX(0,BY44*AKY43-(IX44+MK44)))),AKY43*(1-MAX(0,BY44)*H_Exit))</f>
        <v>0</v>
      </c>
      <c r="FM44" s="20" t="n">
        <f aca="false">IF(H_Direct=1,IF(AKZ43&lt;=0,0,IF(BZ44&lt;=0,AKZ43,AKZ43-G44*MAX(0,BZ44*AKZ43-(IY44+ML44)))),AKZ43*(1-MAX(0,BZ44)*H_Exit))</f>
        <v>0</v>
      </c>
      <c r="FN44" s="20" t="n">
        <f aca="false">IF(H_Direct=1,IF(ALA43&lt;=0,0,IF(CA44&lt;=0,ALA43,ALA43-G44*MAX(0,CA44*ALA43-(IZ44+MM44)))),ALA43*(1-MAX(0,CA44)*H_Exit))</f>
        <v>0</v>
      </c>
      <c r="FO44" s="20" t="n">
        <f aca="false">IF(H_Direct=1,IF(ALB43&lt;=0,0,IF(CB44&lt;=0,ALB43,ALB43-G44*MAX(0,CB44*ALB43-(JA44+MN44)))),ALB43*(1-MAX(0,CB44)*H_Exit))</f>
        <v>0</v>
      </c>
      <c r="FP44" s="20" t="n">
        <f aca="false">IF(H_Direct=1,IF(ALC43&lt;=0,0,IF(CC44&lt;=0,ALC43,ALC43-G44*MAX(0,CC44*ALC43-(JB44+MO44)))),ALC43*(1-MAX(0,CC44)*H_Exit))</f>
        <v>0</v>
      </c>
      <c r="FQ44" s="20" t="n">
        <f aca="false">IF(H_Direct=1,IF(ALD43&lt;=0,0,IF(CD44&lt;=0,ALD43,ALD43-G44*MAX(0,CD44*ALD43-(JC44+MP44)))),ALD43*(1-MAX(0,CD44)*H_Exit))</f>
        <v>0</v>
      </c>
      <c r="FR44" s="20" t="n">
        <f aca="false">IF(H_Direct=1,IF(ALE43&lt;=0,0,IF(CE44&lt;=0,ALE43,ALE43-G44*MAX(0,CE44*ALE43-(JD44+MQ44)))),ALE43*(1-MAX(0,CE44)*H_Exit))</f>
        <v>0</v>
      </c>
      <c r="FS44" s="20" t="n">
        <f aca="false">IF(H_Direct=1,IF(ALF43&lt;=0,0,IF(CF44&lt;=0,ALF43,ALF43-G44*MAX(0,CF44*ALF43-(JE44+MR44)))),ALF43*(1-MAX(0,CF44)*H_Exit))</f>
        <v>0</v>
      </c>
      <c r="FT44" s="20" t="n">
        <f aca="false">IF(H_Direct=1,IF(ALG43&lt;=0,0,IF(CG44&lt;=0,ALG43,ALG43-G44*MAX(0,CG44*ALG43-(JF44+MS44)))),ALG43*(1-MAX(0,CG44)*H_Exit))</f>
        <v>0</v>
      </c>
      <c r="FU44" s="20" t="n">
        <f aca="false">IF(H_Direct=1,IF(ALH43&lt;=0,0,IF(CH44&lt;=0,ALH43,ALH43-G44*MAX(0,CH44*ALH43-(JG44+MT44)))),ALH43*(1-MAX(0,CH44)*H_Exit))</f>
        <v>0</v>
      </c>
      <c r="FV44" s="20" t="n">
        <f aca="false">IF(H_Direct=1,IF(ALI43&lt;=0,0,IF(CI44&lt;=0,ALI43,ALI43-G44*MAX(0,CI44*ALI43-(JH44+MU44)))),ALI43*(1-MAX(0,CI44)*H_Exit))</f>
        <v>0</v>
      </c>
      <c r="FW44" s="20" t="n">
        <f aca="false">IF(H_Direct=1,IF(ALJ43&lt;=0,0,IF(CJ44&lt;=0,ALJ43,ALJ43-G44*MAX(0,CJ44*ALJ43-(JI44+MV44)))),ALJ43*(1-MAX(0,CJ44)*H_Exit))</f>
        <v>0</v>
      </c>
      <c r="FX44" s="20" t="n">
        <f aca="false">IF(H_Direct=1,IF(ALK43&lt;=0,0,IF(CK44&lt;=0,ALK43,ALK43-G44*MAX(0,CK44*ALK43-(JJ44+MW44)))),ALK43*(1-MAX(0,CK44)*H_Exit))</f>
        <v>0</v>
      </c>
      <c r="FY44" s="20" t="n">
        <f aca="false">IF(H_Direct=1,IF(ALL43&lt;=0,0,IF(CL44&lt;=0,ALL43,ALL43-G44*MAX(0,CL44*ALL43-(JK44+MX44)))),ALL43*(1-MAX(0,CL44)*H_Exit))</f>
        <v>0</v>
      </c>
      <c r="FZ44" s="20" t="n">
        <f aca="false">IF(H_Direct=1,IF(ALM43&lt;=0,0,IF(CM44&lt;=0,ALM43,ALM43-G44*MAX(0,CM44*ALM43-(JL44+MY44)))),ALM43*(1-MAX(0,CM44)*H_Exit))</f>
        <v>0</v>
      </c>
      <c r="GA44" s="20" t="n">
        <f aca="false">IF(H_Direct=1,IF(ALN43&lt;=0,0,IF(CN44&lt;=0,ALN43,ALN43-G44*MAX(0,CN44*ALN43-(JM44+MZ44)))),ALN43*(1-MAX(0,CN44)*H_Exit))</f>
        <v>0</v>
      </c>
      <c r="GB44" s="20" t="n">
        <f aca="false">IF(H_Direct=1,IF(ALO43&lt;=0,0,IF(CO44&lt;=0,ALO43,ALO43-G44*MAX(0,CO44*ALO43-(JN44+NA44)))),ALO43*(1-MAX(0,CO44)*H_Exit))</f>
        <v>0</v>
      </c>
      <c r="GC44" s="20" t="n">
        <f aca="false">IF(H_Direct=1,IF(ALP43&lt;=0,0,IF(CP44&lt;=0,ALP43,ALP43-G44*MAX(0,CP44*ALP43-(JO44+NB44)))),ALP43*(1-MAX(0,CP44)*H_Exit))</f>
        <v>0</v>
      </c>
      <c r="GD44" s="20" t="n">
        <f aca="false">IF(H_Direct=1,IF(ALQ43&lt;=0,0,IF(CQ44&lt;=0,ALQ43,ALQ43-G44*MAX(0,CQ44*ALQ43-(JP44+NC44)))),ALQ43*(1-MAX(0,CQ44)*H_Exit))</f>
        <v>0</v>
      </c>
      <c r="GE44" s="20" t="n">
        <f aca="false">IF(H_Direct=1,IF(ALR43&lt;=0,0,IF(CR44&lt;=0,ALR43,ALR43-G44*MAX(0,CR44*ALR43-(JQ44+ND44)))),ALR43*(1-MAX(0,CR44)*H_Exit))</f>
        <v>76100.7780646881</v>
      </c>
      <c r="GF44" s="20" t="n">
        <f aca="false">IF(H_Direct=1,IF(ALS43&lt;=0,0,IF(CS44&lt;=0,ALS43,ALS43-G44*MAX(0,CS44*ALS43-(JR44+NE44)))),ALS43*(1-MAX(0,CS44)*H_Exit))</f>
        <v>0</v>
      </c>
      <c r="GG44" s="20" t="n">
        <f aca="false">IF(H_Direct=1,IF(ALT43&lt;=0,0,IF(CT44&lt;=0,ALT43,ALT43-G44*MAX(0,CT44*ALT43-(JS44+NF44)))),ALT43*(1-MAX(0,CT44)*H_Exit))</f>
        <v>0</v>
      </c>
      <c r="GH44" s="20" t="n">
        <f aca="false">IF(H_Direct=1,IF(ALU43&lt;=0,0,IF(CU44&lt;=0,ALU43,ALU43-G44*MAX(0,CU44*ALU43-(JT44+NG44)))),ALU43*(1-MAX(0,CU44)*H_Exit))</f>
        <v>2124.66093886866</v>
      </c>
      <c r="GI44" s="20" t="n">
        <f aca="false">IF(H_Direct=1,IF(ALV43&lt;=0,0,IF(CV44&lt;=0,ALV43,ALV43-G44*MAX(0,CV44*ALV43-(JU44+NH44)))),ALV43*(1-MAX(0,CV44)*H_Exit))</f>
        <v>0</v>
      </c>
      <c r="GJ44" s="20" t="n">
        <f aca="false">IF(H_Direct=1,IF(ALW43&lt;=0,0,IF(CW44&lt;=0,ALW43,ALW43-G44*MAX(0,CW44*ALW43-(JV44+NI44)))),ALW43*(1-MAX(0,CW44)*H_Exit))</f>
        <v>0</v>
      </c>
      <c r="GK44" s="20" t="n">
        <f aca="false">IF(H_Direct=1,IF(ALX43&lt;=0,0,IF(CX44&lt;=0,ALX43,ALX43-G44*MAX(0,CX44*ALX43-(JW44+NJ44)))),ALX43*(1-MAX(0,CX44)*H_Exit))</f>
        <v>0</v>
      </c>
      <c r="GL44" s="20" t="n">
        <f aca="false">IF(H_Direct=1,IF(ALY43&lt;=0,0,IF(CY44&lt;=0,ALY43,ALY43-G44*MAX(0,CY44*ALY43-(JX44+NK44)))),ALY43*(1-MAX(0,CY44)*H_Exit))</f>
        <v>0</v>
      </c>
      <c r="GM44" s="20" t="n">
        <f aca="false">IF(H_Direct=1,IF(ALZ43&lt;=0,0,IF(CZ44&lt;=0,ALZ43,ALZ43-G44*MAX(0,CZ44*ALZ43-(JY44+NL44)))),ALZ43*(1-MAX(0,CZ44)*H_Exit))</f>
        <v>0</v>
      </c>
      <c r="GN44" s="20" t="n">
        <f aca="false">IF(H_Direct=1,IF(AMA43&lt;=0,0,IF(DA44&lt;=0,AMA43,AMA43-G44*MAX(0,DA44*AMA43-(JZ44+NM44)))),AMA43*(1-MAX(0,DA44)*H_Exit))</f>
        <v>0</v>
      </c>
      <c r="GO44" s="20" t="n">
        <f aca="false">IF(H_Direct=1,IF(AMB43&lt;=0,0,IF(DB44&lt;=0,AMB43,AMB43-G44*MAX(0,DB44*AMB43-(KA44+NN44)))),AMB43*(1-MAX(0,DB44)*H_Exit))</f>
        <v>0</v>
      </c>
      <c r="GP44" s="20" t="n">
        <f aca="false">IF(H_Direct=1,IF((P44+S44)&lt;=0,0,IF(DC44&lt;=0,(P44+S44),(P44+S44)-G44*MAX(0,DC44*(P44+S44)-(KB44+NO44)))),(P44+S44)*(1-MAX(0,DC44)*H_Exit))</f>
        <v>0</v>
      </c>
      <c r="GQ44" s="20" t="n">
        <v>0</v>
      </c>
      <c r="GR44" s="20" t="n">
        <v>0</v>
      </c>
      <c r="GS44" s="20" t="n">
        <v>0</v>
      </c>
      <c r="GT44" s="20" t="n">
        <v>0</v>
      </c>
      <c r="GU44" s="20" t="n">
        <v>0</v>
      </c>
      <c r="GV44" s="20" t="n">
        <v>0</v>
      </c>
      <c r="GW44" s="20" t="n">
        <v>0</v>
      </c>
      <c r="GX44" s="20" t="n">
        <v>0</v>
      </c>
      <c r="GY44" s="20" t="n">
        <v>0</v>
      </c>
      <c r="GZ44" s="20" t="n">
        <v>0</v>
      </c>
      <c r="HA44" s="20" t="n">
        <v>0</v>
      </c>
      <c r="HB44" s="20" t="n">
        <v>0</v>
      </c>
      <c r="HC44" s="20" t="n">
        <v>0</v>
      </c>
      <c r="HD44" s="20" t="n">
        <v>0</v>
      </c>
      <c r="HE44" s="20" t="n">
        <v>0</v>
      </c>
      <c r="HF44" s="20" t="n">
        <v>0</v>
      </c>
      <c r="HG44" s="20" t="n">
        <v>0</v>
      </c>
      <c r="HH44" s="20" t="n">
        <v>0</v>
      </c>
      <c r="HI44" s="20" t="n">
        <v>0</v>
      </c>
      <c r="HJ44" s="20" t="n">
        <v>0</v>
      </c>
      <c r="HK44" s="20" t="n">
        <v>0</v>
      </c>
      <c r="HL44" s="20" t="n">
        <v>0</v>
      </c>
      <c r="HM44" s="20" t="n">
        <v>0</v>
      </c>
      <c r="HN44" s="20" t="n">
        <v>0</v>
      </c>
      <c r="HO44" s="20" t="n">
        <v>0</v>
      </c>
      <c r="HP44" s="20" t="n">
        <v>0</v>
      </c>
      <c r="HQ44" s="20" t="n">
        <v>0</v>
      </c>
      <c r="HR44" s="20" t="n">
        <v>0</v>
      </c>
      <c r="HS44" s="20" t="n">
        <v>0</v>
      </c>
      <c r="HT44" s="20" t="n">
        <v>0</v>
      </c>
      <c r="HU44" s="20" t="n">
        <v>0</v>
      </c>
      <c r="HV44" s="20" t="n">
        <v>0</v>
      </c>
      <c r="HW44" s="20" t="n">
        <v>0</v>
      </c>
      <c r="HX44" s="20" t="n">
        <v>0</v>
      </c>
      <c r="HY44" s="20" t="n">
        <v>0</v>
      </c>
      <c r="HZ44" s="20" t="n">
        <v>0</v>
      </c>
      <c r="IA44" s="20" t="n">
        <v>0</v>
      </c>
      <c r="IB44" s="20" t="n">
        <v>0</v>
      </c>
      <c r="IC44" s="20" t="n">
        <v>0</v>
      </c>
      <c r="ID44" s="20" t="n">
        <v>0</v>
      </c>
      <c r="IE44" s="20" t="n">
        <v>0</v>
      </c>
      <c r="IF44" s="20" t="n">
        <v>0</v>
      </c>
      <c r="IG44" s="20" t="n">
        <v>0</v>
      </c>
      <c r="IH44" s="20" t="n">
        <v>0</v>
      </c>
      <c r="II44" s="20" t="n">
        <v>0</v>
      </c>
      <c r="IJ44" s="20" t="n">
        <v>0</v>
      </c>
      <c r="IK44" s="20" t="n">
        <v>0</v>
      </c>
      <c r="IL44" s="20" t="n">
        <v>0</v>
      </c>
      <c r="IM44" s="20" t="n">
        <v>0</v>
      </c>
      <c r="IN44" s="20" t="n">
        <v>0</v>
      </c>
      <c r="IO44" s="20" t="n">
        <v>0</v>
      </c>
      <c r="IP44" s="20" t="n">
        <v>0</v>
      </c>
      <c r="IQ44" s="20" t="n">
        <v>0</v>
      </c>
      <c r="IR44" s="20" t="n">
        <f aca="false">IF(AND(H_Direct=1,BR44&gt;0),MAX(0,H44-(MIN(BR44*AKR43,H44+I44)-MIN(MIN(BR44*AKR43,H44+I44),I44))),H44)</f>
        <v>1270</v>
      </c>
      <c r="IS44" s="20" t="n">
        <f aca="false">IF(AND(H_Direct=1,BS44&gt;0),MAX(0,IR44-(MIN(BS44*AKS43,IR44+ME44)-MIN(MIN(BS44*AKS43,IR44+ME44),ME44))),IR44)</f>
        <v>1270</v>
      </c>
      <c r="IT44" s="20" t="n">
        <f aca="false">IF(AND(H_Direct=1,BT44&gt;0),MAX(0,IS44-(MIN(BT44*AKT43,IS44+MF44)-MIN(MIN(BT44*AKT43,IS44+MF44),MF44))),IS44)</f>
        <v>1270</v>
      </c>
      <c r="IU44" s="20" t="n">
        <f aca="false">IF(AND(H_Direct=1,BU44&gt;0),MAX(0,IT44-(MIN(BU44*AKU43,IT44+MG44)-MIN(MIN(BU44*AKU43,IT44+MG44),MG44))),IT44)</f>
        <v>1270</v>
      </c>
      <c r="IV44" s="20" t="n">
        <f aca="false">IF(AND(H_Direct=1,BV44&gt;0),MAX(0,IU44-(MIN(BV44*AKV43,IU44+MH44)-MIN(MIN(BV44*AKV43,IU44+MH44),MH44))),IU44)</f>
        <v>1270</v>
      </c>
      <c r="IW44" s="20" t="n">
        <f aca="false">IF(AND(H_Direct=1,BW44&gt;0),MAX(0,IV44-(MIN(BW44*AKW43,IV44+MI44)-MIN(MIN(BW44*AKW43,IV44+MI44),MI44))),IV44)</f>
        <v>1270</v>
      </c>
      <c r="IX44" s="20" t="n">
        <f aca="false">IF(AND(H_Direct=1,BX44&gt;0),MAX(0,IW44-(MIN(BX44*AKX43,IW44+MJ44)-MIN(MIN(BX44*AKX43,IW44+MJ44),MJ44))),IW44)</f>
        <v>1270</v>
      </c>
      <c r="IY44" s="20" t="n">
        <f aca="false">IF(AND(H_Direct=1,BY44&gt;0),MAX(0,IX44-(MIN(BY44*AKY43,IX44+MK44)-MIN(MIN(BY44*AKY43,IX44+MK44),MK44))),IX44)</f>
        <v>1270</v>
      </c>
      <c r="IZ44" s="20" t="n">
        <f aca="false">IF(AND(H_Direct=1,BZ44&gt;0),MAX(0,IY44-(MIN(BZ44*AKZ43,IY44+ML44)-MIN(MIN(BZ44*AKZ43,IY44+ML44),ML44))),IY44)</f>
        <v>1270</v>
      </c>
      <c r="JA44" s="20" t="n">
        <f aca="false">IF(AND(H_Direct=1,CA44&gt;0),MAX(0,IZ44-(MIN(CA44*ALA43,IZ44+MM44)-MIN(MIN(CA44*ALA43,IZ44+MM44),MM44))),IZ44)</f>
        <v>1270</v>
      </c>
      <c r="JB44" s="20" t="n">
        <f aca="false">IF(AND(H_Direct=1,CB44&gt;0),MAX(0,JA44-(MIN(CB44*ALB43,JA44+MN44)-MIN(MIN(CB44*ALB43,JA44+MN44),MN44))),JA44)</f>
        <v>1270</v>
      </c>
      <c r="JC44" s="20" t="n">
        <f aca="false">IF(AND(H_Direct=1,CC44&gt;0),MAX(0,JB44-(MIN(CC44*ALC43,JB44+MO44)-MIN(MIN(CC44*ALC43,JB44+MO44),MO44))),JB44)</f>
        <v>1270</v>
      </c>
      <c r="JD44" s="20" t="n">
        <f aca="false">IF(AND(H_Direct=1,CD44&gt;0),MAX(0,JC44-(MIN(CD44*ALD43,JC44+MP44)-MIN(MIN(CD44*ALD43,JC44+MP44),MP44))),JC44)</f>
        <v>1270</v>
      </c>
      <c r="JE44" s="20" t="n">
        <f aca="false">IF(AND(H_Direct=1,CE44&gt;0),MAX(0,JD44-(MIN(CE44*ALE43,JD44+MQ44)-MIN(MIN(CE44*ALE43,JD44+MQ44),MQ44))),JD44)</f>
        <v>1270</v>
      </c>
      <c r="JF44" s="20" t="n">
        <f aca="false">IF(AND(H_Direct=1,CF44&gt;0),MAX(0,JE44-(MIN(CF44*ALF43,JE44+MR44)-MIN(MIN(CF44*ALF43,JE44+MR44),MR44))),JE44)</f>
        <v>1270</v>
      </c>
      <c r="JG44" s="20" t="n">
        <f aca="false">IF(AND(H_Direct=1,CG44&gt;0),MAX(0,JF44-(MIN(CG44*ALG43,JF44+MS44)-MIN(MIN(CG44*ALG43,JF44+MS44),MS44))),JF44)</f>
        <v>1270</v>
      </c>
      <c r="JH44" s="20" t="n">
        <f aca="false">IF(AND(H_Direct=1,CH44&gt;0),MAX(0,JG44-(MIN(CH44*ALH43,JG44+MT44)-MIN(MIN(CH44*ALH43,JG44+MT44),MT44))),JG44)</f>
        <v>1270</v>
      </c>
      <c r="JI44" s="20" t="n">
        <f aca="false">IF(AND(H_Direct=1,CI44&gt;0),MAX(0,JH44-(MIN(CI44*ALI43,JH44+MU44)-MIN(MIN(CI44*ALI43,JH44+MU44),MU44))),JH44)</f>
        <v>1270</v>
      </c>
      <c r="JJ44" s="20" t="n">
        <f aca="false">IF(AND(H_Direct=1,CJ44&gt;0),MAX(0,JI44-(MIN(CJ44*ALJ43,JI44+MV44)-MIN(MIN(CJ44*ALJ43,JI44+MV44),MV44))),JI44)</f>
        <v>1270</v>
      </c>
      <c r="JK44" s="20" t="n">
        <f aca="false">IF(AND(H_Direct=1,CK44&gt;0),MAX(0,JJ44-(MIN(CK44*ALK43,JJ44+MW44)-MIN(MIN(CK44*ALK43,JJ44+MW44),MW44))),JJ44)</f>
        <v>1270</v>
      </c>
      <c r="JL44" s="20" t="n">
        <f aca="false">IF(AND(H_Direct=1,CL44&gt;0),MAX(0,JK44-(MIN(CL44*ALL43,JK44+MX44)-MIN(MIN(CL44*ALL43,JK44+MX44),MX44))),JK44)</f>
        <v>1270</v>
      </c>
      <c r="JM44" s="20" t="n">
        <f aca="false">IF(AND(H_Direct=1,CM44&gt;0),MAX(0,JL44-(MIN(CM44*ALM43,JL44+MY44)-MIN(MIN(CM44*ALM43,JL44+MY44),MY44))),JL44)</f>
        <v>1270</v>
      </c>
      <c r="JN44" s="20" t="n">
        <f aca="false">IF(AND(H_Direct=1,CN44&gt;0),MAX(0,JM44-(MIN(CN44*ALN43,JM44+MZ44)-MIN(MIN(CN44*ALN43,JM44+MZ44),MZ44))),JM44)</f>
        <v>1270</v>
      </c>
      <c r="JO44" s="20" t="n">
        <f aca="false">IF(AND(H_Direct=1,CO44&gt;0),MAX(0,JN44-(MIN(CO44*ALO43,JN44+NA44)-MIN(MIN(CO44*ALO43,JN44+NA44),NA44))),JN44)</f>
        <v>1270</v>
      </c>
      <c r="JP44" s="20" t="n">
        <f aca="false">IF(AND(H_Direct=1,CP44&gt;0),MAX(0,JO44-(MIN(CP44*ALP43,JO44+NB44)-MIN(MIN(CP44*ALP43,JO44+NB44),NB44))),JO44)</f>
        <v>1270</v>
      </c>
      <c r="JQ44" s="20" t="n">
        <f aca="false">IF(AND(H_Direct=1,CQ44&gt;0),MAX(0,JP44-(MIN(CQ44*ALQ43,JP44+NC44)-MIN(MIN(CQ44*ALQ43,JP44+NC44),NC44))),JP44)</f>
        <v>1270</v>
      </c>
      <c r="JR44" s="20" t="n">
        <f aca="false">IF(AND(H_Direct=1,CR44&gt;0),MAX(0,JQ44-(MIN(CR44*ALR43,JQ44+ND44)-MIN(MIN(CR44*ALR43,JQ44+ND44),ND44))),JQ44)</f>
        <v>1270</v>
      </c>
      <c r="JS44" s="20" t="n">
        <f aca="false">IF(AND(H_Direct=1,CS44&gt;0),MAX(0,JR44-(MIN(CS44*ALS43,JR44+NE44)-MIN(MIN(CS44*ALS43,JR44+NE44),NE44))),JR44)</f>
        <v>1270</v>
      </c>
      <c r="JT44" s="20" t="n">
        <f aca="false">IF(AND(H_Direct=1,CT44&gt;0),MAX(0,JS44-(MIN(CT44*ALT43,JS44+NF44)-MIN(MIN(CT44*ALT43,JS44+NF44),NF44))),JS44)</f>
        <v>1270</v>
      </c>
      <c r="JU44" s="20" t="n">
        <f aca="false">IF(AND(H_Direct=1,CU44&gt;0),MAX(0,JT44-(MIN(CU44*ALU43,JT44+NG44)-MIN(MIN(CU44*ALU43,JT44+NG44),NG44))),JT44)</f>
        <v>1270</v>
      </c>
      <c r="JV44" s="20" t="n">
        <f aca="false">IF(AND(H_Direct=1,CV44&gt;0),MAX(0,JU44-(MIN(CV44*ALV43,JU44+NH44)-MIN(MIN(CV44*ALV43,JU44+NH44),NH44))),JU44)</f>
        <v>1270</v>
      </c>
      <c r="JW44" s="20" t="n">
        <f aca="false">IF(AND(H_Direct=1,CW44&gt;0),MAX(0,JV44-(MIN(CW44*ALW43,JV44+NI44)-MIN(MIN(CW44*ALW43,JV44+NI44),NI44))),JV44)</f>
        <v>1270</v>
      </c>
      <c r="JX44" s="20" t="n">
        <f aca="false">IF(AND(H_Direct=1,CX44&gt;0),MAX(0,JW44-(MIN(CX44*ALX43,JW44+NJ44)-MIN(MIN(CX44*ALX43,JW44+NJ44),NJ44))),JW44)</f>
        <v>1270</v>
      </c>
      <c r="JY44" s="20" t="n">
        <f aca="false">IF(AND(H_Direct=1,CY44&gt;0),MAX(0,JX44-(MIN(CY44*ALY43,JX44+NK44)-MIN(MIN(CY44*ALY43,JX44+NK44),NK44))),JX44)</f>
        <v>1270</v>
      </c>
      <c r="JZ44" s="20" t="n">
        <f aca="false">IF(AND(H_Direct=1,CZ44&gt;0),MAX(0,JY44-(MIN(CZ44*ALZ43,JY44+NL44)-MIN(MIN(CZ44*ALZ43,JY44+NL44),NL44))),JY44)</f>
        <v>1270</v>
      </c>
      <c r="KA44" s="20" t="n">
        <f aca="false">IF(AND(H_Direct=1,DA44&gt;0),MAX(0,JZ44-(MIN(DA44*AMA43,JZ44+NM44)-MIN(MIN(DA44*AMA43,JZ44+NM44),NM44))),JZ44)</f>
        <v>1270</v>
      </c>
      <c r="KB44" s="20" t="n">
        <f aca="false">IF(AND(H_Direct=1,DB44&gt;0),MAX(0,KA44-(MIN(DB44*AMB43,KA44+NN44)-MIN(MIN(DB44*AMB43,KA44+NN44),NN44))),KA44)</f>
        <v>1270</v>
      </c>
      <c r="KC44" s="20" t="n">
        <f aca="false">IF(AND(H_Direct=1,DC44&gt;0),MAX(0,KB44-(MIN(DC44*(P44+S44),KB44+NO44)-MIN(MIN(DC44*(P44+S44),KB44+NO44),NO44))),KB44)</f>
        <v>1270</v>
      </c>
      <c r="KD44" s="20" t="n">
        <f aca="false">KC44</f>
        <v>1270</v>
      </c>
      <c r="KE44" s="20" t="n">
        <f aca="false">KD44</f>
        <v>1270</v>
      </c>
      <c r="KF44" s="20" t="n">
        <f aca="false">KE44</f>
        <v>1270</v>
      </c>
      <c r="KG44" s="20" t="n">
        <f aca="false">KF44</f>
        <v>1270</v>
      </c>
      <c r="KH44" s="20" t="n">
        <f aca="false">KG44</f>
        <v>1270</v>
      </c>
      <c r="KI44" s="20" t="n">
        <f aca="false">KH44</f>
        <v>1270</v>
      </c>
      <c r="KJ44" s="20" t="n">
        <f aca="false">KI44</f>
        <v>1270</v>
      </c>
      <c r="KK44" s="20" t="n">
        <f aca="false">KJ44</f>
        <v>1270</v>
      </c>
      <c r="KL44" s="20" t="n">
        <f aca="false">KK44</f>
        <v>1270</v>
      </c>
      <c r="KM44" s="20" t="n">
        <f aca="false">KL44</f>
        <v>1270</v>
      </c>
      <c r="KN44" s="20" t="n">
        <f aca="false">KM44</f>
        <v>1270</v>
      </c>
      <c r="KO44" s="20" t="n">
        <f aca="false">KN44</f>
        <v>1270</v>
      </c>
      <c r="KP44" s="20" t="n">
        <f aca="false">KO44</f>
        <v>1270</v>
      </c>
      <c r="KQ44" s="20" t="n">
        <f aca="false">KP44</f>
        <v>1270</v>
      </c>
      <c r="KR44" s="20" t="n">
        <f aca="false">KQ44</f>
        <v>1270</v>
      </c>
      <c r="KS44" s="20" t="n">
        <f aca="false">KR44</f>
        <v>1270</v>
      </c>
      <c r="KT44" s="20" t="n">
        <f aca="false">KS44</f>
        <v>1270</v>
      </c>
      <c r="KU44" s="20" t="n">
        <f aca="false">KT44</f>
        <v>1270</v>
      </c>
      <c r="KV44" s="20" t="n">
        <f aca="false">KU44</f>
        <v>1270</v>
      </c>
      <c r="KW44" s="20" t="n">
        <f aca="false">KV44</f>
        <v>1270</v>
      </c>
      <c r="KX44" s="20" t="n">
        <f aca="false">KW44</f>
        <v>1270</v>
      </c>
      <c r="KY44" s="20" t="n">
        <f aca="false">KX44</f>
        <v>1270</v>
      </c>
      <c r="KZ44" s="20" t="n">
        <f aca="false">KY44</f>
        <v>1270</v>
      </c>
      <c r="LA44" s="20" t="n">
        <f aca="false">KZ44</f>
        <v>1270</v>
      </c>
      <c r="LB44" s="20" t="n">
        <f aca="false">LA44</f>
        <v>1270</v>
      </c>
      <c r="LC44" s="20" t="n">
        <f aca="false">LB44</f>
        <v>1270</v>
      </c>
      <c r="LD44" s="20" t="n">
        <f aca="false">LC44</f>
        <v>1270</v>
      </c>
      <c r="LE44" s="20" t="n">
        <f aca="false">LD44</f>
        <v>1270</v>
      </c>
      <c r="LF44" s="20" t="n">
        <f aca="false">LE44</f>
        <v>1270</v>
      </c>
      <c r="LG44" s="20" t="n">
        <f aca="false">LF44</f>
        <v>1270</v>
      </c>
      <c r="LH44" s="20" t="n">
        <f aca="false">LG44</f>
        <v>1270</v>
      </c>
      <c r="LI44" s="20" t="n">
        <f aca="false">LH44</f>
        <v>1270</v>
      </c>
      <c r="LJ44" s="20" t="n">
        <f aca="false">LI44</f>
        <v>1270</v>
      </c>
      <c r="LK44" s="20" t="n">
        <f aca="false">LJ44</f>
        <v>1270</v>
      </c>
      <c r="LL44" s="20" t="n">
        <f aca="false">LK44</f>
        <v>1270</v>
      </c>
      <c r="LM44" s="20" t="n">
        <f aca="false">LL44</f>
        <v>1270</v>
      </c>
      <c r="LN44" s="20" t="n">
        <f aca="false">LM44</f>
        <v>1270</v>
      </c>
      <c r="LO44" s="20" t="n">
        <f aca="false">LN44</f>
        <v>1270</v>
      </c>
      <c r="LP44" s="20" t="n">
        <f aca="false">LO44</f>
        <v>1270</v>
      </c>
      <c r="LQ44" s="20" t="n">
        <f aca="false">LP44</f>
        <v>1270</v>
      </c>
      <c r="LR44" s="20" t="n">
        <f aca="false">LQ44</f>
        <v>1270</v>
      </c>
      <c r="LS44" s="20" t="n">
        <f aca="false">LR44</f>
        <v>1270</v>
      </c>
      <c r="LT44" s="20" t="n">
        <f aca="false">LS44</f>
        <v>1270</v>
      </c>
      <c r="LU44" s="20" t="n">
        <f aca="false">LT44</f>
        <v>1270</v>
      </c>
      <c r="LV44" s="20" t="n">
        <f aca="false">LU44</f>
        <v>1270</v>
      </c>
      <c r="LW44" s="20" t="n">
        <f aca="false">LV44</f>
        <v>1270</v>
      </c>
      <c r="LX44" s="20" t="n">
        <f aca="false">LW44</f>
        <v>1270</v>
      </c>
      <c r="LY44" s="20" t="n">
        <f aca="false">LX44</f>
        <v>1270</v>
      </c>
      <c r="LZ44" s="20" t="n">
        <f aca="false">LY44</f>
        <v>1270</v>
      </c>
      <c r="MA44" s="20" t="n">
        <f aca="false">LZ44</f>
        <v>1270</v>
      </c>
      <c r="MB44" s="20" t="n">
        <f aca="false">MA44</f>
        <v>1270</v>
      </c>
      <c r="MC44" s="20" t="n">
        <f aca="false">MB44</f>
        <v>1270</v>
      </c>
      <c r="MD44" s="20" t="n">
        <f aca="false">MC44</f>
        <v>1270</v>
      </c>
      <c r="ME44" s="20" t="n">
        <f aca="false">IF(H_Direct=1,IF(BR44&lt;=0,I44-BR44*AKR43,I44-MIN(MIN(BR44*AKR43,H44+I44),I44)),I44)</f>
        <v>0</v>
      </c>
      <c r="MF44" s="20" t="n">
        <f aca="false">IF(H_Direct=1,IF(BS44&lt;=0,ME44-BS44*AKS43,ME44-MIN(MIN(BS44*AKS43,IR44+ME44),ME44)),ME44)</f>
        <v>0</v>
      </c>
      <c r="MG44" s="20" t="n">
        <f aca="false">IF(H_Direct=1,IF(BT44&lt;=0,MF44-BT44*AKT43,MF44-MIN(MIN(BT44*AKT43,IS44+MF44),MF44)),MF44)</f>
        <v>0</v>
      </c>
      <c r="MH44" s="20" t="n">
        <f aca="false">IF(H_Direct=1,IF(BU44&lt;=0,MG44-BU44*AKU43,MG44-MIN(MIN(BU44*AKU43,IT44+MG44),MG44)),MG44)</f>
        <v>0</v>
      </c>
      <c r="MI44" s="20" t="n">
        <f aca="false">IF(H_Direct=1,IF(BV44&lt;=0,MH44-BV44*AKV43,MH44-MIN(MIN(BV44*AKV43,IU44+MH44),MH44)),MH44)</f>
        <v>0</v>
      </c>
      <c r="MJ44" s="20" t="n">
        <f aca="false">IF(H_Direct=1,IF(BW44&lt;=0,MI44-BW44*AKW43,MI44-MIN(MIN(BW44*AKW43,IV44+MI44),MI44)),MI44)</f>
        <v>0</v>
      </c>
      <c r="MK44" s="20" t="n">
        <f aca="false">IF(H_Direct=1,IF(BX44&lt;=0,MJ44-BX44*AKX43,MJ44-MIN(MIN(BX44*AKX43,IW44+MJ44),MJ44)),MJ44)</f>
        <v>0</v>
      </c>
      <c r="ML44" s="20" t="n">
        <f aca="false">IF(H_Direct=1,IF(BY44&lt;=0,MK44-BY44*AKY43,MK44-MIN(MIN(BY44*AKY43,IX44+MK44),MK44)),MK44)</f>
        <v>0</v>
      </c>
      <c r="MM44" s="20" t="n">
        <f aca="false">IF(H_Direct=1,IF(BZ44&lt;=0,ML44-BZ44*AKZ43,ML44-MIN(MIN(BZ44*AKZ43,IY44+ML44),ML44)),ML44)</f>
        <v>0</v>
      </c>
      <c r="MN44" s="20" t="n">
        <f aca="false">IF(H_Direct=1,IF(CA44&lt;=0,MM44-CA44*ALA43,MM44-MIN(MIN(CA44*ALA43,IZ44+MM44),MM44)),MM44)</f>
        <v>0</v>
      </c>
      <c r="MO44" s="20" t="n">
        <f aca="false">IF(H_Direct=1,IF(CB44&lt;=0,MN44-CB44*ALB43,MN44-MIN(MIN(CB44*ALB43,JA44+MN44),MN44)),MN44)</f>
        <v>0</v>
      </c>
      <c r="MP44" s="20" t="n">
        <f aca="false">IF(H_Direct=1,IF(CC44&lt;=0,MO44-CC44*ALC43,MO44-MIN(MIN(CC44*ALC43,JB44+MO44),MO44)),MO44)</f>
        <v>0</v>
      </c>
      <c r="MQ44" s="20" t="n">
        <f aca="false">IF(H_Direct=1,IF(CD44&lt;=0,MP44-CD44*ALD43,MP44-MIN(MIN(CD44*ALD43,JC44+MP44),MP44)),MP44)</f>
        <v>0</v>
      </c>
      <c r="MR44" s="20" t="n">
        <f aca="false">IF(H_Direct=1,IF(CE44&lt;=0,MQ44-CE44*ALE43,MQ44-MIN(MIN(CE44*ALE43,JD44+MQ44),MQ44)),MQ44)</f>
        <v>0</v>
      </c>
      <c r="MS44" s="20" t="n">
        <f aca="false">IF(H_Direct=1,IF(CF44&lt;=0,MR44-CF44*ALF43,MR44-MIN(MIN(CF44*ALF43,JE44+MR44),MR44)),MR44)</f>
        <v>0</v>
      </c>
      <c r="MT44" s="20" t="n">
        <f aca="false">IF(H_Direct=1,IF(CG44&lt;=0,MS44-CG44*ALG43,MS44-MIN(MIN(CG44*ALG43,JF44+MS44),MS44)),MS44)</f>
        <v>0</v>
      </c>
      <c r="MU44" s="20" t="n">
        <f aca="false">IF(H_Direct=1,IF(CH44&lt;=0,MT44-CH44*ALH43,MT44-MIN(MIN(CH44*ALH43,JG44+MT44),MT44)),MT44)</f>
        <v>0</v>
      </c>
      <c r="MV44" s="20" t="n">
        <f aca="false">IF(H_Direct=1,IF(CI44&lt;=0,MU44-CI44*ALI43,MU44-MIN(MIN(CI44*ALI43,JH44+MU44),MU44)),MU44)</f>
        <v>0</v>
      </c>
      <c r="MW44" s="20" t="n">
        <f aca="false">IF(H_Direct=1,IF(CJ44&lt;=0,MV44-CJ44*ALJ43,MV44-MIN(MIN(CJ44*ALJ43,JI44+MV44),MV44)),MV44)</f>
        <v>0</v>
      </c>
      <c r="MX44" s="20" t="n">
        <f aca="false">IF(H_Direct=1,IF(CK44&lt;=0,MW44-CK44*ALK43,MW44-MIN(MIN(CK44*ALK43,JJ44+MW44),MW44)),MW44)</f>
        <v>0</v>
      </c>
      <c r="MY44" s="20" t="n">
        <f aca="false">IF(H_Direct=1,IF(CL44&lt;=0,MX44-CL44*ALL43,MX44-MIN(MIN(CL44*ALL43,JK44+MX44),MX44)),MX44)</f>
        <v>0</v>
      </c>
      <c r="MZ44" s="20" t="n">
        <f aca="false">IF(H_Direct=1,IF(CM44&lt;=0,MY44-CM44*ALM43,MY44-MIN(MIN(CM44*ALM43,JL44+MY44),MY44)),MY44)</f>
        <v>0</v>
      </c>
      <c r="NA44" s="20" t="n">
        <f aca="false">IF(H_Direct=1,IF(CN44&lt;=0,MZ44-CN44*ALN43,MZ44-MIN(MIN(CN44*ALN43,JM44+MZ44),MZ44)),MZ44)</f>
        <v>0</v>
      </c>
      <c r="NB44" s="20" t="n">
        <f aca="false">IF(H_Direct=1,IF(CO44&lt;=0,NA44-CO44*ALO43,NA44-MIN(MIN(CO44*ALO43,JN44+NA44),NA44)),NA44)</f>
        <v>0</v>
      </c>
      <c r="NC44" s="20" t="n">
        <f aca="false">IF(H_Direct=1,IF(CP44&lt;=0,NB44-CP44*ALP43,NB44-MIN(MIN(CP44*ALP43,JO44+NB44),NB44)),NB44)</f>
        <v>0</v>
      </c>
      <c r="ND44" s="20" t="n">
        <f aca="false">IF(H_Direct=1,IF(CQ44&lt;=0,NC44-CQ44*ALQ43,NC44-MIN(MIN(CQ44*ALQ43,JP44+NC44),NC44)),NC44)</f>
        <v>0</v>
      </c>
      <c r="NE44" s="20" t="n">
        <f aca="false">IF(H_Direct=1,IF(CR44&lt;=0,ND44-CR44*ALR43,ND44-MIN(MIN(CR44*ALR43,JQ44+ND44),ND44)),ND44)</f>
        <v>0</v>
      </c>
      <c r="NF44" s="20" t="n">
        <f aca="false">IF(H_Direct=1,IF(CS44&lt;=0,NE44-CS44*ALS43,NE44-MIN(MIN(CS44*ALS43,JR44+NE44),NE44)),NE44)</f>
        <v>0</v>
      </c>
      <c r="NG44" s="20" t="n">
        <f aca="false">IF(H_Direct=1,IF(CT44&lt;=0,NF44-CT44*ALT43,NF44-MIN(MIN(CT44*ALT43,JS44+NF44),NF44)),NF44)</f>
        <v>0</v>
      </c>
      <c r="NH44" s="20" t="n">
        <f aca="false">IF(H_Direct=1,IF(CU44&lt;=0,NG44-CU44*ALU43,NG44-MIN(MIN(CU44*ALU43,JT44+NG44),NG44)),NG44)</f>
        <v>0</v>
      </c>
      <c r="NI44" s="20" t="n">
        <f aca="false">IF(H_Direct=1,IF(CV44&lt;=0,NH44-CV44*ALV43,NH44-MIN(MIN(CV44*ALV43,JU44+NH44),NH44)),NH44)</f>
        <v>0</v>
      </c>
      <c r="NJ44" s="20" t="n">
        <f aca="false">IF(H_Direct=1,IF(CW44&lt;=0,NI44-CW44*ALW43,NI44-MIN(MIN(CW44*ALW43,JV44+NI44),NI44)),NI44)</f>
        <v>0</v>
      </c>
      <c r="NK44" s="20" t="n">
        <f aca="false">IF(H_Direct=1,IF(CX44&lt;=0,NJ44-CX44*ALX43,NJ44-MIN(MIN(CX44*ALX43,JW44+NJ44),NJ44)),NJ44)</f>
        <v>0</v>
      </c>
      <c r="NL44" s="20" t="n">
        <f aca="false">IF(H_Direct=1,IF(CY44&lt;=0,NK44-CY44*ALY43,NK44-MIN(MIN(CY44*ALY43,JX44+NK44),NK44)),NK44)</f>
        <v>0</v>
      </c>
      <c r="NM44" s="20" t="n">
        <f aca="false">IF(H_Direct=1,IF(CZ44&lt;=0,NL44-CZ44*ALZ43,NL44-MIN(MIN(CZ44*ALZ43,JY44+NL44),NL44)),NL44)</f>
        <v>0</v>
      </c>
      <c r="NN44" s="20" t="n">
        <f aca="false">IF(H_Direct=1,IF(DA44&lt;=0,NM44-DA44*AMA43,NM44-MIN(MIN(DA44*AMA43,JZ44+NM44),NM44)),NM44)</f>
        <v>0</v>
      </c>
      <c r="NO44" s="20" t="n">
        <f aca="false">IF(H_Direct=1,IF(DB44&lt;=0,NN44-DB44*AMB43,NN44-MIN(MIN(DB44*AMB43,KA44+NN44),NN44)),NN44)</f>
        <v>0</v>
      </c>
      <c r="NP44" s="20" t="n">
        <f aca="false">IF(H_Direct=1,IF(DC44&lt;=0,NO44-DC44*(P44+S44),NO44-MIN(MIN(DC44*(P44+S44),KB44+NO44),NO44)),NO44)</f>
        <v>0</v>
      </c>
      <c r="NQ44" s="20" t="n">
        <f aca="false">NP44</f>
        <v>0</v>
      </c>
      <c r="NR44" s="20" t="n">
        <f aca="false">NQ44</f>
        <v>0</v>
      </c>
      <c r="NS44" s="20" t="n">
        <f aca="false">NR44</f>
        <v>0</v>
      </c>
      <c r="NT44" s="20" t="n">
        <f aca="false">NS44</f>
        <v>0</v>
      </c>
      <c r="NU44" s="20" t="n">
        <f aca="false">NT44</f>
        <v>0</v>
      </c>
      <c r="NV44" s="20" t="n">
        <f aca="false">NU44</f>
        <v>0</v>
      </c>
      <c r="NW44" s="20" t="n">
        <f aca="false">NV44</f>
        <v>0</v>
      </c>
      <c r="NX44" s="20" t="n">
        <f aca="false">NW44</f>
        <v>0</v>
      </c>
      <c r="NY44" s="20" t="n">
        <f aca="false">NX44</f>
        <v>0</v>
      </c>
      <c r="NZ44" s="20" t="n">
        <f aca="false">NY44</f>
        <v>0</v>
      </c>
      <c r="OA44" s="20" t="n">
        <f aca="false">NZ44</f>
        <v>0</v>
      </c>
      <c r="OB44" s="20" t="n">
        <f aca="false">OA44</f>
        <v>0</v>
      </c>
      <c r="OC44" s="20" t="n">
        <f aca="false">OB44</f>
        <v>0</v>
      </c>
      <c r="OD44" s="20" t="n">
        <f aca="false">OC44</f>
        <v>0</v>
      </c>
      <c r="OE44" s="20" t="n">
        <f aca="false">OD44</f>
        <v>0</v>
      </c>
      <c r="OF44" s="20" t="n">
        <f aca="false">OE44</f>
        <v>0</v>
      </c>
      <c r="OG44" s="20" t="n">
        <f aca="false">OF44</f>
        <v>0</v>
      </c>
      <c r="OH44" s="20" t="n">
        <f aca="false">OG44</f>
        <v>0</v>
      </c>
      <c r="OI44" s="20" t="n">
        <f aca="false">OH44</f>
        <v>0</v>
      </c>
      <c r="OJ44" s="20" t="n">
        <f aca="false">OI44</f>
        <v>0</v>
      </c>
      <c r="OK44" s="20" t="n">
        <f aca="false">OJ44</f>
        <v>0</v>
      </c>
      <c r="OL44" s="20" t="n">
        <f aca="false">OK44</f>
        <v>0</v>
      </c>
      <c r="OM44" s="20" t="n">
        <f aca="false">OL44</f>
        <v>0</v>
      </c>
      <c r="ON44" s="20" t="n">
        <f aca="false">OM44</f>
        <v>0</v>
      </c>
      <c r="OO44" s="20" t="n">
        <f aca="false">ON44</f>
        <v>0</v>
      </c>
      <c r="OP44" s="20" t="n">
        <f aca="false">OO44</f>
        <v>0</v>
      </c>
      <c r="OQ44" s="20" t="n">
        <f aca="false">OP44</f>
        <v>0</v>
      </c>
      <c r="OR44" s="20" t="n">
        <f aca="false">OQ44</f>
        <v>0</v>
      </c>
      <c r="OS44" s="20" t="n">
        <f aca="false">OR44</f>
        <v>0</v>
      </c>
      <c r="OT44" s="20" t="n">
        <f aca="false">OS44</f>
        <v>0</v>
      </c>
      <c r="OU44" s="20" t="n">
        <f aca="false">OT44</f>
        <v>0</v>
      </c>
      <c r="OV44" s="20" t="n">
        <f aca="false">OU44</f>
        <v>0</v>
      </c>
      <c r="OW44" s="20" t="n">
        <f aca="false">OV44</f>
        <v>0</v>
      </c>
      <c r="OX44" s="20" t="n">
        <f aca="false">OW44</f>
        <v>0</v>
      </c>
      <c r="OY44" s="20" t="n">
        <f aca="false">OX44</f>
        <v>0</v>
      </c>
      <c r="OZ44" s="20" t="n">
        <f aca="false">OY44</f>
        <v>0</v>
      </c>
      <c r="PA44" s="20" t="n">
        <f aca="false">OZ44</f>
        <v>0</v>
      </c>
      <c r="PB44" s="20" t="n">
        <f aca="false">PA44</f>
        <v>0</v>
      </c>
      <c r="PC44" s="20" t="n">
        <f aca="false">PB44</f>
        <v>0</v>
      </c>
      <c r="PD44" s="20" t="n">
        <f aca="false">PC44</f>
        <v>0</v>
      </c>
      <c r="PE44" s="20" t="n">
        <f aca="false">PD44</f>
        <v>0</v>
      </c>
      <c r="PF44" s="20" t="n">
        <f aca="false">PE44</f>
        <v>0</v>
      </c>
      <c r="PG44" s="20" t="n">
        <f aca="false">PF44</f>
        <v>0</v>
      </c>
      <c r="PH44" s="20" t="n">
        <f aca="false">PG44</f>
        <v>0</v>
      </c>
      <c r="PI44" s="20" t="n">
        <f aca="false">PH44</f>
        <v>0</v>
      </c>
      <c r="PJ44" s="20" t="n">
        <f aca="false">PI44</f>
        <v>0</v>
      </c>
      <c r="PK44" s="20" t="n">
        <f aca="false">PJ44</f>
        <v>0</v>
      </c>
      <c r="PL44" s="20" t="n">
        <f aca="false">PK44</f>
        <v>0</v>
      </c>
      <c r="PM44" s="20" t="n">
        <f aca="false">PL44</f>
        <v>0</v>
      </c>
      <c r="PN44" s="20" t="n">
        <f aca="false">PM44</f>
        <v>0</v>
      </c>
      <c r="PO44" s="20" t="n">
        <f aca="false">PN44</f>
        <v>0</v>
      </c>
      <c r="PP44" s="20" t="n">
        <f aca="false">PO44</f>
        <v>0</v>
      </c>
      <c r="PQ44" s="20" t="n">
        <f aca="false">PP44</f>
        <v>0</v>
      </c>
      <c r="PR44" s="20" t="n">
        <f aca="false">IF(H_Direct=1,IF(AKR43&lt;=0,0,IF(BR44&lt;=0,MIN(MAX(0,AB44),AKR43),MIN(MAX(0,AB44),AKR43-G44*MAX(0,BR44*AKR43-(H44+I44))))),MIN(FE44,MAX(0,AB44)))</f>
        <v>0</v>
      </c>
      <c r="PS44" s="20" t="n">
        <f aca="false">IF(H_Direct=1,IF(AKS43&lt;=0,0,IF(BS44&lt;=0,MIN(MAX(0,AB44-SUM(PR44:PR44)),AKS43),MIN(MAX(0,AB44-SUM(PR44:PR44)),AKS43-G44*MAX(0,BS44*AKS43-(WR44+AAE44))))),MIN(FF44,MAX(0,AB44-SUM(PR44:PR44))))</f>
        <v>0</v>
      </c>
      <c r="PT44" s="20" t="n">
        <f aca="false">IF(H_Direct=1,IF(AKT43&lt;=0,0,IF(BT44&lt;=0,MIN(MAX(0,AB44-SUM(PR44:PS44)),AKT43),MIN(MAX(0,AB44-SUM(PR44:PS44)),AKT43-G44*MAX(0,BT44*AKT43-(WS44+AAF44))))),MIN(FG44,MAX(0,AB44-SUM(PR44:PS44))))</f>
        <v>0</v>
      </c>
      <c r="PU44" s="20" t="n">
        <f aca="false">IF(H_Direct=1,IF(AKU43&lt;=0,0,IF(BU44&lt;=0,MIN(MAX(0,AB44-SUM(PR44:PT44)),AKU43),MIN(MAX(0,AB44-SUM(PR44:PT44)),AKU43-G44*MAX(0,BU44*AKU43-(WT44+AAG44))))),MIN(FH44,MAX(0,AB44-SUM(PR44:PT44))))</f>
        <v>0</v>
      </c>
      <c r="PV44" s="20" t="n">
        <f aca="false">IF(H_Direct=1,IF(AKV43&lt;=0,0,IF(BV44&lt;=0,MIN(MAX(0,AB44-SUM(PR44:PU44)),AKV43),MIN(MAX(0,AB44-SUM(PR44:PU44)),AKV43-G44*MAX(0,BV44*AKV43-(WU44+AAH44))))),MIN(FI44,MAX(0,AB44-SUM(PR44:PU44))))</f>
        <v>0</v>
      </c>
      <c r="PW44" s="20" t="n">
        <f aca="false">IF(H_Direct=1,IF(AKW43&lt;=0,0,IF(BW44&lt;=0,MIN(MAX(0,AB44-SUM(PR44:PV44)),AKW43),MIN(MAX(0,AB44-SUM(PR44:PV44)),AKW43-G44*MAX(0,BW44*AKW43-(WV44+AAI44))))),MIN(FJ44,MAX(0,AB44-SUM(PR44:PV44))))</f>
        <v>0</v>
      </c>
      <c r="PX44" s="20" t="n">
        <f aca="false">IF(H_Direct=1,IF(AKX43&lt;=0,0,IF(BX44&lt;=0,MIN(MAX(0,AB44-SUM(PR44:PW44)),AKX43),MIN(MAX(0,AB44-SUM(PR44:PW44)),AKX43-G44*MAX(0,BX44*AKX43-(WW44+AAJ44))))),MIN(FK44,MAX(0,AB44-SUM(PR44:PW44))))</f>
        <v>0</v>
      </c>
      <c r="PY44" s="20" t="n">
        <f aca="false">IF(H_Direct=1,IF(AKY43&lt;=0,0,IF(BY44&lt;=0,MIN(MAX(0,AB44-SUM(PR44:PX44)),AKY43),MIN(MAX(0,AB44-SUM(PR44:PX44)),AKY43-G44*MAX(0,BY44*AKY43-(WX44+AAK44))))),MIN(FL44,MAX(0,AB44-SUM(PR44:PX44))))</f>
        <v>0</v>
      </c>
      <c r="PZ44" s="20" t="n">
        <f aca="false">IF(H_Direct=1,IF(AKZ43&lt;=0,0,IF(BZ44&lt;=0,MIN(MAX(0,AB44-SUM(PR44:PY44)),AKZ43),MIN(MAX(0,AB44-SUM(PR44:PY44)),AKZ43-G44*MAX(0,BZ44*AKZ43-(WY44+AAL44))))),MIN(FM44,MAX(0,AB44-SUM(PR44:PY44))))</f>
        <v>0</v>
      </c>
      <c r="QA44" s="20" t="n">
        <f aca="false">IF(H_Direct=1,IF(ALA43&lt;=0,0,IF(CA44&lt;=0,MIN(MAX(0,AB44-SUM(PR44:PZ44)),ALA43),MIN(MAX(0,AB44-SUM(PR44:PZ44)),ALA43-G44*MAX(0,CA44*ALA43-(WZ44+AAM44))))),MIN(FN44,MAX(0,AB44-SUM(PR44:PZ44))))</f>
        <v>0</v>
      </c>
      <c r="QB44" s="20" t="n">
        <f aca="false">IF(H_Direct=1,IF(ALB43&lt;=0,0,IF(CB44&lt;=0,MIN(MAX(0,AB44-SUM(PR44:QA44)),ALB43),MIN(MAX(0,AB44-SUM(PR44:QA44)),ALB43-G44*MAX(0,CB44*ALB43-(XA44+AAN44))))),MIN(FO44,MAX(0,AB44-SUM(PR44:QA44))))</f>
        <v>0</v>
      </c>
      <c r="QC44" s="20" t="n">
        <f aca="false">IF(H_Direct=1,IF(ALC43&lt;=0,0,IF(CC44&lt;=0,MIN(MAX(0,AB44-SUM(PR44:QB44)),ALC43),MIN(MAX(0,AB44-SUM(PR44:QB44)),ALC43-G44*MAX(0,CC44*ALC43-(XB44+AAO44))))),MIN(FP44,MAX(0,AB44-SUM(PR44:QB44))))</f>
        <v>0</v>
      </c>
      <c r="QD44" s="20" t="n">
        <f aca="false">IF(H_Direct=1,IF(ALD43&lt;=0,0,IF(CD44&lt;=0,MIN(MAX(0,AB44-SUM(PR44:QC44)),ALD43),MIN(MAX(0,AB44-SUM(PR44:QC44)),ALD43-G44*MAX(0,CD44*ALD43-(XC44+AAP44))))),MIN(FQ44,MAX(0,AB44-SUM(PR44:QC44))))</f>
        <v>0</v>
      </c>
      <c r="QE44" s="20" t="n">
        <f aca="false">IF(H_Direct=1,IF(ALE43&lt;=0,0,IF(CE44&lt;=0,MIN(MAX(0,AB44-SUM(PR44:QD44)),ALE43),MIN(MAX(0,AB44-SUM(PR44:QD44)),ALE43-G44*MAX(0,CE44*ALE43-(XD44+AAQ44))))),MIN(FR44,MAX(0,AB44-SUM(PR44:QD44))))</f>
        <v>0</v>
      </c>
      <c r="QF44" s="20" t="n">
        <f aca="false">IF(H_Direct=1,IF(ALF43&lt;=0,0,IF(CF44&lt;=0,MIN(MAX(0,AB44-SUM(PR44:QE44)),ALF43),MIN(MAX(0,AB44-SUM(PR44:QE44)),ALF43-G44*MAX(0,CF44*ALF43-(XE44+AAR44))))),MIN(FS44,MAX(0,AB44-SUM(PR44:QE44))))</f>
        <v>0</v>
      </c>
      <c r="QG44" s="20" t="n">
        <f aca="false">IF(H_Direct=1,IF(ALG43&lt;=0,0,IF(CG44&lt;=0,MIN(MAX(0,AB44-SUM(PR44:QF44)),ALG43),MIN(MAX(0,AB44-SUM(PR44:QF44)),ALG43-G44*MAX(0,CG44*ALG43-(XF44+AAS44))))),MIN(FT44,MAX(0,AB44-SUM(PR44:QF44))))</f>
        <v>0</v>
      </c>
      <c r="QH44" s="20" t="n">
        <f aca="false">IF(H_Direct=1,IF(ALH43&lt;=0,0,IF(CH44&lt;=0,MIN(MAX(0,AB44-SUM(PR44:QG44)),ALH43),MIN(MAX(0,AB44-SUM(PR44:QG44)),ALH43-G44*MAX(0,CH44*ALH43-(XG44+AAT44))))),MIN(FU44,MAX(0,AB44-SUM(PR44:QG44))))</f>
        <v>0</v>
      </c>
      <c r="QI44" s="20" t="n">
        <f aca="false">IF(H_Direct=1,IF(ALI43&lt;=0,0,IF(CI44&lt;=0,MIN(MAX(0,AB44-SUM(PR44:QH44)),ALI43),MIN(MAX(0,AB44-SUM(PR44:QH44)),ALI43-G44*MAX(0,CI44*ALI43-(XH44+AAU44))))),MIN(FV44,MAX(0,AB44-SUM(PR44:QH44))))</f>
        <v>0</v>
      </c>
      <c r="QJ44" s="20" t="n">
        <f aca="false">IF(H_Direct=1,IF(ALJ43&lt;=0,0,IF(CJ44&lt;=0,MIN(MAX(0,AB44-SUM(PR44:QI44)),ALJ43),MIN(MAX(0,AB44-SUM(PR44:QI44)),ALJ43-G44*MAX(0,CJ44*ALJ43-(XI44+AAV44))))),MIN(FW44,MAX(0,AB44-SUM(PR44:QI44))))</f>
        <v>0</v>
      </c>
      <c r="QK44" s="20" t="n">
        <f aca="false">IF(H_Direct=1,IF(ALK43&lt;=0,0,IF(CK44&lt;=0,MIN(MAX(0,AB44-SUM(PR44:QJ44)),ALK43),MIN(MAX(0,AB44-SUM(PR44:QJ44)),ALK43-G44*MAX(0,CK44*ALK43-(XJ44+AAW44))))),MIN(FX44,MAX(0,AB44-SUM(PR44:QJ44))))</f>
        <v>0</v>
      </c>
      <c r="QL44" s="20" t="n">
        <f aca="false">IF(H_Direct=1,IF(ALL43&lt;=0,0,IF(CL44&lt;=0,MIN(MAX(0,AB44-SUM(PR44:QK44)),ALL43),MIN(MAX(0,AB44-SUM(PR44:QK44)),ALL43-G44*MAX(0,CL44*ALL43-(XK44+AAX44))))),MIN(FY44,MAX(0,AB44-SUM(PR44:QK44))))</f>
        <v>0</v>
      </c>
      <c r="QM44" s="20" t="n">
        <f aca="false">IF(H_Direct=1,IF(ALM43&lt;=0,0,IF(CM44&lt;=0,MIN(MAX(0,AB44-SUM(PR44:QL44)),ALM43),MIN(MAX(0,AB44-SUM(PR44:QL44)),ALM43-G44*MAX(0,CM44*ALM43-(XL44+AAY44))))),MIN(FZ44,MAX(0,AB44-SUM(PR44:QL44))))</f>
        <v>0</v>
      </c>
      <c r="QN44" s="20" t="n">
        <f aca="false">IF(H_Direct=1,IF(ALN43&lt;=0,0,IF(CN44&lt;=0,MIN(MAX(0,AB44-SUM(PR44:QM44)),ALN43),MIN(MAX(0,AB44-SUM(PR44:QM44)),ALN43-G44*MAX(0,CN44*ALN43-(XM44+AAZ44))))),MIN(GA44,MAX(0,AB44-SUM(PR44:QM44))))</f>
        <v>0</v>
      </c>
      <c r="QO44" s="20" t="n">
        <f aca="false">IF(H_Direct=1,IF(ALO43&lt;=0,0,IF(CO44&lt;=0,MIN(MAX(0,AB44-SUM(PR44:QN44)),ALO43),MIN(MAX(0,AB44-SUM(PR44:QN44)),ALO43-G44*MAX(0,CO44*ALO43-(XN44+ABA44))))),MIN(GB44,MAX(0,AB44-SUM(PR44:QN44))))</f>
        <v>0</v>
      </c>
      <c r="QP44" s="20" t="n">
        <f aca="false">IF(H_Direct=1,IF(ALP43&lt;=0,0,IF(CP44&lt;=0,MIN(MAX(0,AB44-SUM(PR44:QO44)),ALP43),MIN(MAX(0,AB44-SUM(PR44:QO44)),ALP43-G44*MAX(0,CP44*ALP43-(XO44+ABB44))))),MIN(GC44,MAX(0,AB44-SUM(PR44:QO44))))</f>
        <v>0</v>
      </c>
      <c r="QQ44" s="20" t="n">
        <f aca="false">IF(H_Direct=1,IF(ALQ43&lt;=0,0,IF(CQ44&lt;=0,MIN(MAX(0,AB44-SUM(PR44:QP44)),ALQ43),MIN(MAX(0,AB44-SUM(PR44:QP44)),ALQ43-G44*MAX(0,CQ44*ALQ43-(XP44+ABC44))))),MIN(GD44,MAX(0,AB44-SUM(PR44:QP44))))</f>
        <v>0</v>
      </c>
      <c r="QR44" s="20" t="n">
        <f aca="false">IF(H_Direct=1,IF(ALR43&lt;=0,0,IF(CR44&lt;=0,MIN(MAX(0,AB44-SUM(PR44:QQ44)),ALR43),MIN(MAX(0,AB44-SUM(PR44:QQ44)),ALR43-G44*MAX(0,CR44*ALR43-(XQ44+ABD44))))),MIN(GE44,MAX(0,AB44-SUM(PR44:QQ44))))</f>
        <v>22504.9029963136</v>
      </c>
      <c r="QS44" s="20" t="n">
        <f aca="false">IF(H_Direct=1,IF(ALS43&lt;=0,0,IF(CS44&lt;=0,MIN(MAX(0,AB44-SUM(PR44:QR44)),ALS43),MIN(MAX(0,AB44-SUM(PR44:QR44)),ALS43-G44*MAX(0,CS44*ALS43-(XR44+ABE44))))),MIN(GF44,MAX(0,AB44-SUM(PR44:QR44))))</f>
        <v>0</v>
      </c>
      <c r="QT44" s="20" t="n">
        <f aca="false">IF(H_Direct=1,IF(ALT43&lt;=0,0,IF(CT44&lt;=0,MIN(MAX(0,AB44-SUM(PR44:QS44)),ALT43),MIN(MAX(0,AB44-SUM(PR44:QS44)),ALT43-G44*MAX(0,CT44*ALT43-(XS44+ABF44))))),MIN(GG44,MAX(0,AB44-SUM(PR44:QS44))))</f>
        <v>0</v>
      </c>
      <c r="QU44" s="20" t="n">
        <f aca="false">IF(H_Direct=1,IF(ALU43&lt;=0,0,IF(CU44&lt;=0,MIN(MAX(0,AB44-SUM(PR44:QT44)),ALU43),MIN(MAX(0,AB44-SUM(PR44:QT44)),ALU43-G44*MAX(0,CU44*ALU43-(XT44+ABG44))))),MIN(GH44,MAX(0,AB44-SUM(PR44:QT44))))</f>
        <v>0</v>
      </c>
      <c r="QV44" s="20" t="n">
        <f aca="false">IF(H_Direct=1,IF(ALV43&lt;=0,0,IF(CV44&lt;=0,MIN(MAX(0,AB44-SUM(PR44:QU44)),ALV43),MIN(MAX(0,AB44-SUM(PR44:QU44)),ALV43-G44*MAX(0,CV44*ALV43-(XU44+ABH44))))),MIN(GI44,MAX(0,AB44-SUM(PR44:QU44))))</f>
        <v>0</v>
      </c>
      <c r="QW44" s="20" t="n">
        <f aca="false">IF(H_Direct=1,IF(ALW43&lt;=0,0,IF(CW44&lt;=0,MIN(MAX(0,AB44-SUM(PR44:QV44)),ALW43),MIN(MAX(0,AB44-SUM(PR44:QV44)),ALW43-G44*MAX(0,CW44*ALW43-(XV44+ABI44))))),MIN(GJ44,MAX(0,AB44-SUM(PR44:QV44))))</f>
        <v>0</v>
      </c>
      <c r="QX44" s="20" t="n">
        <f aca="false">IF(H_Direct=1,IF(ALX43&lt;=0,0,IF(CX44&lt;=0,MIN(MAX(0,AB44-SUM(PR44:QW44)),ALX43),MIN(MAX(0,AB44-SUM(PR44:QW44)),ALX43-G44*MAX(0,CX44*ALX43-(XW44+ABJ44))))),MIN(GK44,MAX(0,AB44-SUM(PR44:QW44))))</f>
        <v>0</v>
      </c>
      <c r="QY44" s="20" t="n">
        <f aca="false">IF(H_Direct=1,IF(ALY43&lt;=0,0,IF(CY44&lt;=0,MIN(MAX(0,AB44-SUM(PR44:QX44)),ALY43),MIN(MAX(0,AB44-SUM(PR44:QX44)),ALY43-G44*MAX(0,CY44*ALY43-(XX44+ABK44))))),MIN(GL44,MAX(0,AB44-SUM(PR44:QX44))))</f>
        <v>0</v>
      </c>
      <c r="QZ44" s="20" t="n">
        <f aca="false">IF(H_Direct=1,IF(ALZ43&lt;=0,0,IF(CZ44&lt;=0,MIN(MAX(0,AB44-SUM(PR44:QY44)),ALZ43),MIN(MAX(0,AB44-SUM(PR44:QY44)),ALZ43-G44*MAX(0,CZ44*ALZ43-(XY44+ABL44))))),MIN(GM44,MAX(0,AB44-SUM(PR44:QY44))))</f>
        <v>0</v>
      </c>
      <c r="RA44" s="20" t="n">
        <f aca="false">IF(H_Direct=1,IF(AMA43&lt;=0,0,IF(DA44&lt;=0,MIN(MAX(0,AB44-SUM(PR44:QZ44)),AMA43),MIN(MAX(0,AB44-SUM(PR44:QZ44)),AMA43-G44*MAX(0,DA44*AMA43-(XZ44+ABM44))))),MIN(GN44,MAX(0,AB44-SUM(PR44:QZ44))))</f>
        <v>0</v>
      </c>
      <c r="RB44" s="20" t="n">
        <f aca="false">IF(H_Direct=1,IF(AMB43&lt;=0,0,IF(DB44&lt;=0,MIN(MAX(0,AB44-SUM(PR44:RA44)),AMB43),MIN(MAX(0,AB44-SUM(PR44:RA44)),AMB43-G44*MAX(0,DB44*AMB43-(YA44+ABN44))))),MIN(GO44,MAX(0,AB44-SUM(PR44:RA44))))</f>
        <v>0</v>
      </c>
      <c r="RC44" s="20" t="n">
        <f aca="false">IF(H_Direct=1,IF((P44+S44)&lt;=0,0,IF(DC44&lt;=0,MIN(MAX(0,AB44-SUM(PR44:RB44)),(P44+S44)),MIN(MAX(0,AB44-SUM(PR44:RB44)),(P44+S44)-G44*MAX(0,DC44*(P44+S44)-(YB44+ABO44))))),MIN(GP44,MAX(0,AB44-SUM(PR44:RB44))))</f>
        <v>0</v>
      </c>
      <c r="RD44" s="20" t="n">
        <v>0</v>
      </c>
      <c r="RE44" s="20" t="n">
        <v>0</v>
      </c>
      <c r="RF44" s="20" t="n">
        <v>0</v>
      </c>
      <c r="RG44" s="20" t="n">
        <v>0</v>
      </c>
      <c r="RH44" s="20" t="n">
        <v>0</v>
      </c>
      <c r="RI44" s="20" t="n">
        <v>0</v>
      </c>
      <c r="RJ44" s="20" t="n">
        <v>0</v>
      </c>
      <c r="RK44" s="20" t="n">
        <v>0</v>
      </c>
      <c r="RL44" s="20" t="n">
        <v>0</v>
      </c>
      <c r="RM44" s="20" t="n">
        <v>0</v>
      </c>
      <c r="RN44" s="20" t="n">
        <v>0</v>
      </c>
      <c r="RO44" s="20" t="n">
        <v>0</v>
      </c>
      <c r="RP44" s="20" t="n">
        <v>0</v>
      </c>
      <c r="RQ44" s="20" t="n">
        <v>0</v>
      </c>
      <c r="RR44" s="20" t="n">
        <v>0</v>
      </c>
      <c r="RS44" s="20" t="n">
        <v>0</v>
      </c>
      <c r="RT44" s="20" t="n">
        <v>0</v>
      </c>
      <c r="RU44" s="20" t="n">
        <v>0</v>
      </c>
      <c r="RV44" s="20" t="n">
        <v>0</v>
      </c>
      <c r="RW44" s="20" t="n">
        <v>0</v>
      </c>
      <c r="RX44" s="20" t="n">
        <v>0</v>
      </c>
      <c r="RY44" s="20" t="n">
        <v>0</v>
      </c>
      <c r="RZ44" s="20" t="n">
        <v>0</v>
      </c>
      <c r="SA44" s="20" t="n">
        <v>0</v>
      </c>
      <c r="SB44" s="20" t="n">
        <v>0</v>
      </c>
      <c r="SC44" s="20" t="n">
        <v>0</v>
      </c>
      <c r="SD44" s="20" t="n">
        <v>0</v>
      </c>
      <c r="SE44" s="20" t="n">
        <v>0</v>
      </c>
      <c r="SF44" s="20" t="n">
        <v>0</v>
      </c>
      <c r="SG44" s="20" t="n">
        <v>0</v>
      </c>
      <c r="SH44" s="20" t="n">
        <v>0</v>
      </c>
      <c r="SI44" s="20" t="n">
        <v>0</v>
      </c>
      <c r="SJ44" s="20" t="n">
        <v>0</v>
      </c>
      <c r="SK44" s="20" t="n">
        <v>0</v>
      </c>
      <c r="SL44" s="20" t="n">
        <v>0</v>
      </c>
      <c r="SM44" s="20" t="n">
        <v>0</v>
      </c>
      <c r="SN44" s="20" t="n">
        <v>0</v>
      </c>
      <c r="SO44" s="20" t="n">
        <v>0</v>
      </c>
      <c r="SP44" s="20" t="n">
        <v>0</v>
      </c>
      <c r="SQ44" s="20" t="n">
        <v>0</v>
      </c>
      <c r="SR44" s="20" t="n">
        <v>0</v>
      </c>
      <c r="SS44" s="20" t="n">
        <v>0</v>
      </c>
      <c r="ST44" s="20" t="n">
        <v>0</v>
      </c>
      <c r="SU44" s="20" t="n">
        <v>0</v>
      </c>
      <c r="SV44" s="20" t="n">
        <v>0</v>
      </c>
      <c r="SW44" s="20" t="n">
        <v>0</v>
      </c>
      <c r="SX44" s="20" t="n">
        <v>0</v>
      </c>
      <c r="SY44" s="20" t="n">
        <v>0</v>
      </c>
      <c r="SZ44" s="20" t="n">
        <v>0</v>
      </c>
      <c r="TA44" s="20" t="n">
        <v>0</v>
      </c>
      <c r="TB44" s="20" t="n">
        <v>0</v>
      </c>
      <c r="TC44" s="20" t="n">
        <v>0</v>
      </c>
      <c r="TD44" s="20" t="n">
        <v>0</v>
      </c>
      <c r="TE44" s="20" t="n">
        <f aca="false">IF(AKR43&lt;=0,0,IF(H_Direct=1,IF(BR44&lt;=0,PR44,IF(PR44&lt;=(H44+I44)/BR44,PR44,(PR44-G44*(H44+I44))/(1-G44*BR44))),PR44/(1-MAX(0,BR44)*H_Exit)))</f>
        <v>0</v>
      </c>
      <c r="TF44" s="20" t="n">
        <f aca="false">IF(AKS43&lt;=0,0,IF(H_Direct=1,IF(BS44&lt;=0,PS44,IF(PS44&lt;=(WR44+AAE44)/BS44,PS44,(PS44-G44*(WR44+AAE44))/(1-G44*BS44))),PS44/(1-MAX(0,BS44)*H_Exit)))</f>
        <v>0</v>
      </c>
      <c r="TG44" s="20" t="n">
        <f aca="false">IF(AKT43&lt;=0,0,IF(H_Direct=1,IF(BT44&lt;=0,PT44,IF(PT44&lt;=(WS44+AAF44)/BT44,PT44,(PT44-G44*(WS44+AAF44))/(1-G44*BT44))),PT44/(1-MAX(0,BT44)*H_Exit)))</f>
        <v>0</v>
      </c>
      <c r="TH44" s="20" t="n">
        <f aca="false">IF(AKU43&lt;=0,0,IF(H_Direct=1,IF(BU44&lt;=0,PU44,IF(PU44&lt;=(WT44+AAG44)/BU44,PU44,(PU44-G44*(WT44+AAG44))/(1-G44*BU44))),PU44/(1-MAX(0,BU44)*H_Exit)))</f>
        <v>0</v>
      </c>
      <c r="TI44" s="20" t="n">
        <f aca="false">IF(AKV43&lt;=0,0,IF(H_Direct=1,IF(BV44&lt;=0,PV44,IF(PV44&lt;=(WU44+AAH44)/BV44,PV44,(PV44-G44*(WU44+AAH44))/(1-G44*BV44))),PV44/(1-MAX(0,BV44)*H_Exit)))</f>
        <v>0</v>
      </c>
      <c r="TJ44" s="20" t="n">
        <f aca="false">IF(AKW43&lt;=0,0,IF(H_Direct=1,IF(BW44&lt;=0,PW44,IF(PW44&lt;=(WV44+AAI44)/BW44,PW44,(PW44-G44*(WV44+AAI44))/(1-G44*BW44))),PW44/(1-MAX(0,BW44)*H_Exit)))</f>
        <v>0</v>
      </c>
      <c r="TK44" s="20" t="n">
        <f aca="false">IF(AKX43&lt;=0,0,IF(H_Direct=1,IF(BX44&lt;=0,PX44,IF(PX44&lt;=(WW44+AAJ44)/BX44,PX44,(PX44-G44*(WW44+AAJ44))/(1-G44*BX44))),PX44/(1-MAX(0,BX44)*H_Exit)))</f>
        <v>0</v>
      </c>
      <c r="TL44" s="20" t="n">
        <f aca="false">IF(AKY43&lt;=0,0,IF(H_Direct=1,IF(BY44&lt;=0,PY44,IF(PY44&lt;=(WX44+AAK44)/BY44,PY44,(PY44-G44*(WX44+AAK44))/(1-G44*BY44))),PY44/(1-MAX(0,BY44)*H_Exit)))</f>
        <v>0</v>
      </c>
      <c r="TM44" s="20" t="n">
        <f aca="false">IF(AKZ43&lt;=0,0,IF(H_Direct=1,IF(BZ44&lt;=0,PZ44,IF(PZ44&lt;=(WY44+AAL44)/BZ44,PZ44,(PZ44-G44*(WY44+AAL44))/(1-G44*BZ44))),PZ44/(1-MAX(0,BZ44)*H_Exit)))</f>
        <v>0</v>
      </c>
      <c r="TN44" s="20" t="n">
        <f aca="false">IF(ALA43&lt;=0,0,IF(H_Direct=1,IF(CA44&lt;=0,QA44,IF(QA44&lt;=(WZ44+AAM44)/CA44,QA44,(QA44-G44*(WZ44+AAM44))/(1-G44*CA44))),QA44/(1-MAX(0,CA44)*H_Exit)))</f>
        <v>0</v>
      </c>
      <c r="TO44" s="20" t="n">
        <f aca="false">IF(ALB43&lt;=0,0,IF(H_Direct=1,IF(CB44&lt;=0,QB44,IF(QB44&lt;=(XA44+AAN44)/CB44,QB44,(QB44-G44*(XA44+AAN44))/(1-G44*CB44))),QB44/(1-MAX(0,CB44)*H_Exit)))</f>
        <v>0</v>
      </c>
      <c r="TP44" s="20" t="n">
        <f aca="false">IF(ALC43&lt;=0,0,IF(H_Direct=1,IF(CC44&lt;=0,QC44,IF(QC44&lt;=(XB44+AAO44)/CC44,QC44,(QC44-G44*(XB44+AAO44))/(1-G44*CC44))),QC44/(1-MAX(0,CC44)*H_Exit)))</f>
        <v>0</v>
      </c>
      <c r="TQ44" s="20" t="n">
        <f aca="false">IF(ALD43&lt;=0,0,IF(H_Direct=1,IF(CD44&lt;=0,QD44,IF(QD44&lt;=(XC44+AAP44)/CD44,QD44,(QD44-G44*(XC44+AAP44))/(1-G44*CD44))),QD44/(1-MAX(0,CD44)*H_Exit)))</f>
        <v>0</v>
      </c>
      <c r="TR44" s="20" t="n">
        <f aca="false">IF(ALE43&lt;=0,0,IF(H_Direct=1,IF(CE44&lt;=0,QE44,IF(QE44&lt;=(XD44+AAQ44)/CE44,QE44,(QE44-G44*(XD44+AAQ44))/(1-G44*CE44))),QE44/(1-MAX(0,CE44)*H_Exit)))</f>
        <v>0</v>
      </c>
      <c r="TS44" s="20" t="n">
        <f aca="false">IF(ALF43&lt;=0,0,IF(H_Direct=1,IF(CF44&lt;=0,QF44,IF(QF44&lt;=(XE44+AAR44)/CF44,QF44,(QF44-G44*(XE44+AAR44))/(1-G44*CF44))),QF44/(1-MAX(0,CF44)*H_Exit)))</f>
        <v>0</v>
      </c>
      <c r="TT44" s="20" t="n">
        <f aca="false">IF(ALG43&lt;=0,0,IF(H_Direct=1,IF(CG44&lt;=0,QG44,IF(QG44&lt;=(XF44+AAS44)/CG44,QG44,(QG44-G44*(XF44+AAS44))/(1-G44*CG44))),QG44/(1-MAX(0,CG44)*H_Exit)))</f>
        <v>0</v>
      </c>
      <c r="TU44" s="20" t="n">
        <f aca="false">IF(ALH43&lt;=0,0,IF(H_Direct=1,IF(CH44&lt;=0,QH44,IF(QH44&lt;=(XG44+AAT44)/CH44,QH44,(QH44-G44*(XG44+AAT44))/(1-G44*CH44))),QH44/(1-MAX(0,CH44)*H_Exit)))</f>
        <v>0</v>
      </c>
      <c r="TV44" s="20" t="n">
        <f aca="false">IF(ALI43&lt;=0,0,IF(H_Direct=1,IF(CI44&lt;=0,QI44,IF(QI44&lt;=(XH44+AAU44)/CI44,QI44,(QI44-G44*(XH44+AAU44))/(1-G44*CI44))),QI44/(1-MAX(0,CI44)*H_Exit)))</f>
        <v>0</v>
      </c>
      <c r="TW44" s="20" t="n">
        <f aca="false">IF(ALJ43&lt;=0,0,IF(H_Direct=1,IF(CJ44&lt;=0,QJ44,IF(QJ44&lt;=(XI44+AAV44)/CJ44,QJ44,(QJ44-G44*(XI44+AAV44))/(1-G44*CJ44))),QJ44/(1-MAX(0,CJ44)*H_Exit)))</f>
        <v>0</v>
      </c>
      <c r="TX44" s="20" t="n">
        <f aca="false">IF(ALK43&lt;=0,0,IF(H_Direct=1,IF(CK44&lt;=0,QK44,IF(QK44&lt;=(XJ44+AAW44)/CK44,QK44,(QK44-G44*(XJ44+AAW44))/(1-G44*CK44))),QK44/(1-MAX(0,CK44)*H_Exit)))</f>
        <v>0</v>
      </c>
      <c r="TY44" s="20" t="n">
        <f aca="false">IF(ALL43&lt;=0,0,IF(H_Direct=1,IF(CL44&lt;=0,QL44,IF(QL44&lt;=(XK44+AAX44)/CL44,QL44,(QL44-G44*(XK44+AAX44))/(1-G44*CL44))),QL44/(1-MAX(0,CL44)*H_Exit)))</f>
        <v>0</v>
      </c>
      <c r="TZ44" s="20" t="n">
        <f aca="false">IF(ALM43&lt;=0,0,IF(H_Direct=1,IF(CM44&lt;=0,QM44,IF(QM44&lt;=(XL44+AAY44)/CM44,QM44,(QM44-G44*(XL44+AAY44))/(1-G44*CM44))),QM44/(1-MAX(0,CM44)*H_Exit)))</f>
        <v>0</v>
      </c>
      <c r="UA44" s="20" t="n">
        <f aca="false">IF(ALN43&lt;=0,0,IF(H_Direct=1,IF(CN44&lt;=0,QN44,IF(QN44&lt;=(XM44+AAZ44)/CN44,QN44,(QN44-G44*(XM44+AAZ44))/(1-G44*CN44))),QN44/(1-MAX(0,CN44)*H_Exit)))</f>
        <v>0</v>
      </c>
      <c r="UB44" s="20" t="n">
        <f aca="false">IF(ALO43&lt;=0,0,IF(H_Direct=1,IF(CO44&lt;=0,QO44,IF(QO44&lt;=(XN44+ABA44)/CO44,QO44,(QO44-G44*(XN44+ABA44))/(1-G44*CO44))),QO44/(1-MAX(0,CO44)*H_Exit)))</f>
        <v>0</v>
      </c>
      <c r="UC44" s="20" t="n">
        <f aca="false">IF(ALP43&lt;=0,0,IF(H_Direct=1,IF(CP44&lt;=0,QP44,IF(QP44&lt;=(XO44+ABB44)/CP44,QP44,(QP44-G44*(XO44+ABB44))/(1-G44*CP44))),QP44/(1-MAX(0,CP44)*H_Exit)))</f>
        <v>0</v>
      </c>
      <c r="UD44" s="20" t="n">
        <f aca="false">IF(ALQ43&lt;=0,0,IF(H_Direct=1,IF(CQ44&lt;=0,QQ44,IF(QQ44&lt;=(XP44+ABC44)/CQ44,QQ44,(QQ44-G44*(XP44+ABC44))/(1-G44*CQ44))),QQ44/(1-MAX(0,CQ44)*H_Exit)))</f>
        <v>0</v>
      </c>
      <c r="UE44" s="20" t="n">
        <f aca="false">IF(ALR43&lt;=0,0,IF(H_Direct=1,IF(CR44&lt;=0,QR44,IF(QR44&lt;=(XQ44+ABD44)/CR44,QR44,(QR44-G44*(XQ44+ABD44))/(1-G44*CR44))),QR44/(1-MAX(0,CR44)*H_Exit)))</f>
        <v>23495.9966463875</v>
      </c>
      <c r="UF44" s="20" t="n">
        <f aca="false">IF(ALS43&lt;=0,0,IF(H_Direct=1,IF(CS44&lt;=0,QS44,IF(QS44&lt;=(XR44+ABE44)/CS44,QS44,(QS44-G44*(XR44+ABE44))/(1-G44*CS44))),QS44/(1-MAX(0,CS44)*H_Exit)))</f>
        <v>0</v>
      </c>
      <c r="UG44" s="20" t="n">
        <f aca="false">IF(ALT43&lt;=0,0,IF(H_Direct=1,IF(CT44&lt;=0,QT44,IF(QT44&lt;=(XS44+ABF44)/CT44,QT44,(QT44-G44*(XS44+ABF44))/(1-G44*CT44))),QT44/(1-MAX(0,CT44)*H_Exit)))</f>
        <v>0</v>
      </c>
      <c r="UH44" s="20" t="n">
        <f aca="false">IF(ALU43&lt;=0,0,IF(H_Direct=1,IF(CU44&lt;=0,QU44,IF(QU44&lt;=(XT44+ABG44)/CU44,QU44,(QU44-G44*(XT44+ABG44))/(1-G44*CU44))),QU44/(1-MAX(0,CU44)*H_Exit)))</f>
        <v>0</v>
      </c>
      <c r="UI44" s="20" t="n">
        <f aca="false">IF(ALV43&lt;=0,0,IF(H_Direct=1,IF(CV44&lt;=0,QV44,IF(QV44&lt;=(XU44+ABH44)/CV44,QV44,(QV44-G44*(XU44+ABH44))/(1-G44*CV44))),QV44/(1-MAX(0,CV44)*H_Exit)))</f>
        <v>0</v>
      </c>
      <c r="UJ44" s="20" t="n">
        <f aca="false">IF(ALW43&lt;=0,0,IF(H_Direct=1,IF(CW44&lt;=0,QW44,IF(QW44&lt;=(XV44+ABI44)/CW44,QW44,(QW44-G44*(XV44+ABI44))/(1-G44*CW44))),QW44/(1-MAX(0,CW44)*H_Exit)))</f>
        <v>0</v>
      </c>
      <c r="UK44" s="20" t="n">
        <f aca="false">IF(ALX43&lt;=0,0,IF(H_Direct=1,IF(CX44&lt;=0,QX44,IF(QX44&lt;=(XW44+ABJ44)/CX44,QX44,(QX44-G44*(XW44+ABJ44))/(1-G44*CX44))),QX44/(1-MAX(0,CX44)*H_Exit)))</f>
        <v>0</v>
      </c>
      <c r="UL44" s="20" t="n">
        <f aca="false">IF(ALY43&lt;=0,0,IF(H_Direct=1,IF(CY44&lt;=0,QY44,IF(QY44&lt;=(XX44+ABK44)/CY44,QY44,(QY44-G44*(XX44+ABK44))/(1-G44*CY44))),QY44/(1-MAX(0,CY44)*H_Exit)))</f>
        <v>0</v>
      </c>
      <c r="UM44" s="20" t="n">
        <f aca="false">IF(ALZ43&lt;=0,0,IF(H_Direct=1,IF(CZ44&lt;=0,QZ44,IF(QZ44&lt;=(XY44+ABL44)/CZ44,QZ44,(QZ44-G44*(XY44+ABL44))/(1-G44*CZ44))),QZ44/(1-MAX(0,CZ44)*H_Exit)))</f>
        <v>0</v>
      </c>
      <c r="UN44" s="20" t="n">
        <f aca="false">IF(AMA43&lt;=0,0,IF(H_Direct=1,IF(DA44&lt;=0,RA44,IF(RA44&lt;=(XZ44+ABM44)/DA44,RA44,(RA44-G44*(XZ44+ABM44))/(1-G44*DA44))),RA44/(1-MAX(0,DA44)*H_Exit)))</f>
        <v>0</v>
      </c>
      <c r="UO44" s="20" t="n">
        <f aca="false">IF(AMB43&lt;=0,0,IF(H_Direct=1,IF(DB44&lt;=0,RB44,IF(RB44&lt;=(YA44+ABN44)/DB44,RB44,(RB44-G44*(YA44+ABN44))/(1-G44*DB44))),RB44/(1-MAX(0,DB44)*H_Exit)))</f>
        <v>0</v>
      </c>
      <c r="UP44" s="20" t="n">
        <f aca="false">IF((P44+S44)&lt;=0,0,IF(H_Direct=1,IF(DC44&lt;=0,RC44,IF(RC44&lt;=(YB44+ABO44)/DC44,RC44,(RC44-G44*(YB44+ABO44))/(1-G44*DC44))),RC44/(1-MAX(0,DC44)*H_Exit)))</f>
        <v>0</v>
      </c>
      <c r="UQ44" s="20" t="n">
        <v>0</v>
      </c>
      <c r="UR44" s="20" t="n">
        <v>0</v>
      </c>
      <c r="US44" s="20" t="n">
        <v>0</v>
      </c>
      <c r="UT44" s="20" t="n">
        <v>0</v>
      </c>
      <c r="UU44" s="20" t="n">
        <v>0</v>
      </c>
      <c r="UV44" s="20" t="n">
        <v>0</v>
      </c>
      <c r="UW44" s="20" t="n">
        <v>0</v>
      </c>
      <c r="UX44" s="20" t="n">
        <v>0</v>
      </c>
      <c r="UY44" s="20" t="n">
        <v>0</v>
      </c>
      <c r="UZ44" s="20" t="n">
        <v>0</v>
      </c>
      <c r="VA44" s="20" t="n">
        <v>0</v>
      </c>
      <c r="VB44" s="20" t="n">
        <v>0</v>
      </c>
      <c r="VC44" s="20" t="n">
        <v>0</v>
      </c>
      <c r="VD44" s="20" t="n">
        <v>0</v>
      </c>
      <c r="VE44" s="20" t="n">
        <v>0</v>
      </c>
      <c r="VF44" s="20" t="n">
        <v>0</v>
      </c>
      <c r="VG44" s="20" t="n">
        <v>0</v>
      </c>
      <c r="VH44" s="20" t="n">
        <v>0</v>
      </c>
      <c r="VI44" s="20" t="n">
        <v>0</v>
      </c>
      <c r="VJ44" s="20" t="n">
        <v>0</v>
      </c>
      <c r="VK44" s="20" t="n">
        <v>0</v>
      </c>
      <c r="VL44" s="20" t="n">
        <v>0</v>
      </c>
      <c r="VM44" s="20" t="n">
        <v>0</v>
      </c>
      <c r="VN44" s="20" t="n">
        <v>0</v>
      </c>
      <c r="VO44" s="20" t="n">
        <v>0</v>
      </c>
      <c r="VP44" s="20" t="n">
        <v>0</v>
      </c>
      <c r="VQ44" s="20" t="n">
        <v>0</v>
      </c>
      <c r="VR44" s="20" t="n">
        <v>0</v>
      </c>
      <c r="VS44" s="20" t="n">
        <v>0</v>
      </c>
      <c r="VT44" s="20" t="n">
        <v>0</v>
      </c>
      <c r="VU44" s="20" t="n">
        <v>0</v>
      </c>
      <c r="VV44" s="20" t="n">
        <v>0</v>
      </c>
      <c r="VW44" s="20" t="n">
        <v>0</v>
      </c>
      <c r="VX44" s="20" t="n">
        <v>0</v>
      </c>
      <c r="VY44" s="20" t="n">
        <v>0</v>
      </c>
      <c r="VZ44" s="20" t="n">
        <v>0</v>
      </c>
      <c r="WA44" s="20" t="n">
        <v>0</v>
      </c>
      <c r="WB44" s="20" t="n">
        <v>0</v>
      </c>
      <c r="WC44" s="20" t="n">
        <v>0</v>
      </c>
      <c r="WD44" s="20" t="n">
        <v>0</v>
      </c>
      <c r="WE44" s="20" t="n">
        <v>0</v>
      </c>
      <c r="WF44" s="20" t="n">
        <v>0</v>
      </c>
      <c r="WG44" s="20" t="n">
        <v>0</v>
      </c>
      <c r="WH44" s="20" t="n">
        <v>0</v>
      </c>
      <c r="WI44" s="20" t="n">
        <v>0</v>
      </c>
      <c r="WJ44" s="20" t="n">
        <v>0</v>
      </c>
      <c r="WK44" s="20" t="n">
        <v>0</v>
      </c>
      <c r="WL44" s="20" t="n">
        <v>0</v>
      </c>
      <c r="WM44" s="20" t="n">
        <v>0</v>
      </c>
      <c r="WN44" s="20" t="n">
        <v>0</v>
      </c>
      <c r="WO44" s="20" t="n">
        <v>0</v>
      </c>
      <c r="WP44" s="20" t="n">
        <v>0</v>
      </c>
      <c r="WQ44" s="20" t="n">
        <v>0</v>
      </c>
      <c r="WR44" s="20" t="n">
        <f aca="false">IF(AND(H_Direct=1,BR44&gt;0),MAX(0,H44-(MIN(BR44*TE44,(H44+I44))-MIN(MIN(BR44*TE44,(H44+I44)),I44))),H44)</f>
        <v>1270</v>
      </c>
      <c r="WS44" s="20" t="n">
        <f aca="false">IF(AND(H_Direct=1,BS44&gt;0),MAX(0,WR44-(MIN(BS44*TF44,(WR44+AAE44))-MIN(MIN(BS44*TF44,(WR44+AAE44)),AAE44))),WR44)</f>
        <v>1270</v>
      </c>
      <c r="WT44" s="20" t="n">
        <f aca="false">IF(AND(H_Direct=1,BT44&gt;0),MAX(0,WS44-(MIN(BT44*TG44,(WS44+AAF44))-MIN(MIN(BT44*TG44,(WS44+AAF44)),AAF44))),WS44)</f>
        <v>1270</v>
      </c>
      <c r="WU44" s="20" t="n">
        <f aca="false">IF(AND(H_Direct=1,BU44&gt;0),MAX(0,WT44-(MIN(BU44*TH44,(WT44+AAG44))-MIN(MIN(BU44*TH44,(WT44+AAG44)),AAG44))),WT44)</f>
        <v>1270</v>
      </c>
      <c r="WV44" s="20" t="n">
        <f aca="false">IF(AND(H_Direct=1,BV44&gt;0),MAX(0,WU44-(MIN(BV44*TI44,(WU44+AAH44))-MIN(MIN(BV44*TI44,(WU44+AAH44)),AAH44))),WU44)</f>
        <v>1270</v>
      </c>
      <c r="WW44" s="20" t="n">
        <f aca="false">IF(AND(H_Direct=1,BW44&gt;0),MAX(0,WV44-(MIN(BW44*TJ44,(WV44+AAI44))-MIN(MIN(BW44*TJ44,(WV44+AAI44)),AAI44))),WV44)</f>
        <v>1270</v>
      </c>
      <c r="WX44" s="20" t="n">
        <f aca="false">IF(AND(H_Direct=1,BX44&gt;0),MAX(0,WW44-(MIN(BX44*TK44,(WW44+AAJ44))-MIN(MIN(BX44*TK44,(WW44+AAJ44)),AAJ44))),WW44)</f>
        <v>1270</v>
      </c>
      <c r="WY44" s="20" t="n">
        <f aca="false">IF(AND(H_Direct=1,BY44&gt;0),MAX(0,WX44-(MIN(BY44*TL44,(WX44+AAK44))-MIN(MIN(BY44*TL44,(WX44+AAK44)),AAK44))),WX44)</f>
        <v>1270</v>
      </c>
      <c r="WZ44" s="20" t="n">
        <f aca="false">IF(AND(H_Direct=1,BZ44&gt;0),MAX(0,WY44-(MIN(BZ44*TM44,(WY44+AAL44))-MIN(MIN(BZ44*TM44,(WY44+AAL44)),AAL44))),WY44)</f>
        <v>1270</v>
      </c>
      <c r="XA44" s="20" t="n">
        <f aca="false">IF(AND(H_Direct=1,CA44&gt;0),MAX(0,WZ44-(MIN(CA44*TN44,(WZ44+AAM44))-MIN(MIN(CA44*TN44,(WZ44+AAM44)),AAM44))),WZ44)</f>
        <v>1270</v>
      </c>
      <c r="XB44" s="20" t="n">
        <f aca="false">IF(AND(H_Direct=1,CB44&gt;0),MAX(0,XA44-(MIN(CB44*TO44,(XA44+AAN44))-MIN(MIN(CB44*TO44,(XA44+AAN44)),AAN44))),XA44)</f>
        <v>1270</v>
      </c>
      <c r="XC44" s="20" t="n">
        <f aca="false">IF(AND(H_Direct=1,CC44&gt;0),MAX(0,XB44-(MIN(CC44*TP44,(XB44+AAO44))-MIN(MIN(CC44*TP44,(XB44+AAO44)),AAO44))),XB44)</f>
        <v>1270</v>
      </c>
      <c r="XD44" s="20" t="n">
        <f aca="false">IF(AND(H_Direct=1,CD44&gt;0),MAX(0,XC44-(MIN(CD44*TQ44,(XC44+AAP44))-MIN(MIN(CD44*TQ44,(XC44+AAP44)),AAP44))),XC44)</f>
        <v>1270</v>
      </c>
      <c r="XE44" s="20" t="n">
        <f aca="false">IF(AND(H_Direct=1,CE44&gt;0),MAX(0,XD44-(MIN(CE44*TR44,(XD44+AAQ44))-MIN(MIN(CE44*TR44,(XD44+AAQ44)),AAQ44))),XD44)</f>
        <v>1270</v>
      </c>
      <c r="XF44" s="20" t="n">
        <f aca="false">IF(AND(H_Direct=1,CF44&gt;0),MAX(0,XE44-(MIN(CF44*TS44,(XE44+AAR44))-MIN(MIN(CF44*TS44,(XE44+AAR44)),AAR44))),XE44)</f>
        <v>1270</v>
      </c>
      <c r="XG44" s="20" t="n">
        <f aca="false">IF(AND(H_Direct=1,CG44&gt;0),MAX(0,XF44-(MIN(CG44*TT44,(XF44+AAS44))-MIN(MIN(CG44*TT44,(XF44+AAS44)),AAS44))),XF44)</f>
        <v>1270</v>
      </c>
      <c r="XH44" s="20" t="n">
        <f aca="false">IF(AND(H_Direct=1,CH44&gt;0),MAX(0,XG44-(MIN(CH44*TU44,(XG44+AAT44))-MIN(MIN(CH44*TU44,(XG44+AAT44)),AAT44))),XG44)</f>
        <v>1270</v>
      </c>
      <c r="XI44" s="20" t="n">
        <f aca="false">IF(AND(H_Direct=1,CI44&gt;0),MAX(0,XH44-(MIN(CI44*TV44,(XH44+AAU44))-MIN(MIN(CI44*TV44,(XH44+AAU44)),AAU44))),XH44)</f>
        <v>1270</v>
      </c>
      <c r="XJ44" s="20" t="n">
        <f aca="false">IF(AND(H_Direct=1,CJ44&gt;0),MAX(0,XI44-(MIN(CJ44*TW44,(XI44+AAV44))-MIN(MIN(CJ44*TW44,(XI44+AAV44)),AAV44))),XI44)</f>
        <v>1270</v>
      </c>
      <c r="XK44" s="20" t="n">
        <f aca="false">IF(AND(H_Direct=1,CK44&gt;0),MAX(0,XJ44-(MIN(CK44*TX44,(XJ44+AAW44))-MIN(MIN(CK44*TX44,(XJ44+AAW44)),AAW44))),XJ44)</f>
        <v>1270</v>
      </c>
      <c r="XL44" s="20" t="n">
        <f aca="false">IF(AND(H_Direct=1,CL44&gt;0),MAX(0,XK44-(MIN(CL44*TY44,(XK44+AAX44))-MIN(MIN(CL44*TY44,(XK44+AAX44)),AAX44))),XK44)</f>
        <v>1270</v>
      </c>
      <c r="XM44" s="20" t="n">
        <f aca="false">IF(AND(H_Direct=1,CM44&gt;0),MAX(0,XL44-(MIN(CM44*TZ44,(XL44+AAY44))-MIN(MIN(CM44*TZ44,(XL44+AAY44)),AAY44))),XL44)</f>
        <v>1270</v>
      </c>
      <c r="XN44" s="20" t="n">
        <f aca="false">IF(AND(H_Direct=1,CN44&gt;0),MAX(0,XM44-(MIN(CN44*UA44,(XM44+AAZ44))-MIN(MIN(CN44*UA44,(XM44+AAZ44)),AAZ44))),XM44)</f>
        <v>1270</v>
      </c>
      <c r="XO44" s="20" t="n">
        <f aca="false">IF(AND(H_Direct=1,CO44&gt;0),MAX(0,XN44-(MIN(CO44*UB44,(XN44+ABA44))-MIN(MIN(CO44*UB44,(XN44+ABA44)),ABA44))),XN44)</f>
        <v>1270</v>
      </c>
      <c r="XP44" s="20" t="n">
        <f aca="false">IF(AND(H_Direct=1,CP44&gt;0),MAX(0,XO44-(MIN(CP44*UC44,(XO44+ABB44))-MIN(MIN(CP44*UC44,(XO44+ABB44)),ABB44))),XO44)</f>
        <v>1270</v>
      </c>
      <c r="XQ44" s="20" t="n">
        <f aca="false">IF(AND(H_Direct=1,CQ44&gt;0),MAX(0,XP44-(MIN(CQ44*UD44,(XP44+ABC44))-MIN(MIN(CQ44*UD44,(XP44+ABC44)),ABC44))),XP44)</f>
        <v>1270</v>
      </c>
      <c r="XR44" s="20" t="n">
        <f aca="false">IF(AND(H_Direct=1,CR44&gt;0),MAX(0,XQ44-(MIN(CR44*UE44,(XQ44+ABD44))-MIN(MIN(CR44*UE44,(XQ44+ABD44)),ABD44))),XQ44)</f>
        <v>1270</v>
      </c>
      <c r="XS44" s="20" t="n">
        <f aca="false">IF(AND(H_Direct=1,CS44&gt;0),MAX(0,XR44-(MIN(CS44*UF44,(XR44+ABE44))-MIN(MIN(CS44*UF44,(XR44+ABE44)),ABE44))),XR44)</f>
        <v>1270</v>
      </c>
      <c r="XT44" s="20" t="n">
        <f aca="false">IF(AND(H_Direct=1,CT44&gt;0),MAX(0,XS44-(MIN(CT44*UG44,(XS44+ABF44))-MIN(MIN(CT44*UG44,(XS44+ABF44)),ABF44))),XS44)</f>
        <v>1270</v>
      </c>
      <c r="XU44" s="20" t="n">
        <f aca="false">IF(AND(H_Direct=1,CU44&gt;0),MAX(0,XT44-(MIN(CU44*UH44,(XT44+ABG44))-MIN(MIN(CU44*UH44,(XT44+ABG44)),ABG44))),XT44)</f>
        <v>1270</v>
      </c>
      <c r="XV44" s="20" t="n">
        <f aca="false">IF(AND(H_Direct=1,CV44&gt;0),MAX(0,XU44-(MIN(CV44*UI44,(XU44+ABH44))-MIN(MIN(CV44*UI44,(XU44+ABH44)),ABH44))),XU44)</f>
        <v>1270</v>
      </c>
      <c r="XW44" s="20" t="n">
        <f aca="false">IF(AND(H_Direct=1,CW44&gt;0),MAX(0,XV44-(MIN(CW44*UJ44,(XV44+ABI44))-MIN(MIN(CW44*UJ44,(XV44+ABI44)),ABI44))),XV44)</f>
        <v>1270</v>
      </c>
      <c r="XX44" s="20" t="n">
        <f aca="false">IF(AND(H_Direct=1,CX44&gt;0),MAX(0,XW44-(MIN(CX44*UK44,(XW44+ABJ44))-MIN(MIN(CX44*UK44,(XW44+ABJ44)),ABJ44))),XW44)</f>
        <v>1270</v>
      </c>
      <c r="XY44" s="20" t="n">
        <f aca="false">IF(AND(H_Direct=1,CY44&gt;0),MAX(0,XX44-(MIN(CY44*UL44,(XX44+ABK44))-MIN(MIN(CY44*UL44,(XX44+ABK44)),ABK44))),XX44)</f>
        <v>1270</v>
      </c>
      <c r="XZ44" s="20" t="n">
        <f aca="false">IF(AND(H_Direct=1,CZ44&gt;0),MAX(0,XY44-(MIN(CZ44*UM44,(XY44+ABL44))-MIN(MIN(CZ44*UM44,(XY44+ABL44)),ABL44))),XY44)</f>
        <v>1270</v>
      </c>
      <c r="YA44" s="20" t="n">
        <f aca="false">IF(AND(H_Direct=1,DA44&gt;0),MAX(0,XZ44-(MIN(DA44*UN44,(XZ44+ABM44))-MIN(MIN(DA44*UN44,(XZ44+ABM44)),ABM44))),XZ44)</f>
        <v>1270</v>
      </c>
      <c r="YB44" s="20" t="n">
        <f aca="false">IF(AND(H_Direct=1,DB44&gt;0),MAX(0,YA44-(MIN(DB44*UO44,(YA44+ABN44))-MIN(MIN(DB44*UO44,(YA44+ABN44)),ABN44))),YA44)</f>
        <v>1270</v>
      </c>
      <c r="YC44" s="20" t="n">
        <f aca="false">IF(AND(H_Direct=1,DC44&gt;0),MAX(0,YB44-(MIN(DC44*UP44,(YB44+ABO44))-MIN(MIN(DC44*UP44,(YB44+ABO44)),ABO44))),YB44)</f>
        <v>1270</v>
      </c>
      <c r="YD44" s="20" t="n">
        <f aca="false">YC44</f>
        <v>1270</v>
      </c>
      <c r="YE44" s="20" t="n">
        <f aca="false">YD44</f>
        <v>1270</v>
      </c>
      <c r="YF44" s="20" t="n">
        <f aca="false">YE44</f>
        <v>1270</v>
      </c>
      <c r="YG44" s="20" t="n">
        <f aca="false">YF44</f>
        <v>1270</v>
      </c>
      <c r="YH44" s="20" t="n">
        <f aca="false">YG44</f>
        <v>1270</v>
      </c>
      <c r="YI44" s="20" t="n">
        <f aca="false">YH44</f>
        <v>1270</v>
      </c>
      <c r="YJ44" s="20" t="n">
        <f aca="false">YI44</f>
        <v>1270</v>
      </c>
      <c r="YK44" s="20" t="n">
        <f aca="false">YJ44</f>
        <v>1270</v>
      </c>
      <c r="YL44" s="20" t="n">
        <f aca="false">YK44</f>
        <v>1270</v>
      </c>
      <c r="YM44" s="20" t="n">
        <f aca="false">YL44</f>
        <v>1270</v>
      </c>
      <c r="YN44" s="20" t="n">
        <f aca="false">YM44</f>
        <v>1270</v>
      </c>
      <c r="YO44" s="20" t="n">
        <f aca="false">YN44</f>
        <v>1270</v>
      </c>
      <c r="YP44" s="20" t="n">
        <f aca="false">YO44</f>
        <v>1270</v>
      </c>
      <c r="YQ44" s="20" t="n">
        <f aca="false">YP44</f>
        <v>1270</v>
      </c>
      <c r="YR44" s="20" t="n">
        <f aca="false">YQ44</f>
        <v>1270</v>
      </c>
      <c r="YS44" s="20" t="n">
        <f aca="false">YR44</f>
        <v>1270</v>
      </c>
      <c r="YT44" s="20" t="n">
        <f aca="false">YS44</f>
        <v>1270</v>
      </c>
      <c r="YU44" s="20" t="n">
        <f aca="false">YT44</f>
        <v>1270</v>
      </c>
      <c r="YV44" s="20" t="n">
        <f aca="false">YU44</f>
        <v>1270</v>
      </c>
      <c r="YW44" s="20" t="n">
        <f aca="false">YV44</f>
        <v>1270</v>
      </c>
      <c r="YX44" s="20" t="n">
        <f aca="false">YW44</f>
        <v>1270</v>
      </c>
      <c r="YY44" s="20" t="n">
        <f aca="false">YX44</f>
        <v>1270</v>
      </c>
      <c r="YZ44" s="20" t="n">
        <f aca="false">YY44</f>
        <v>1270</v>
      </c>
      <c r="ZA44" s="20" t="n">
        <f aca="false">YZ44</f>
        <v>1270</v>
      </c>
      <c r="ZB44" s="20" t="n">
        <f aca="false">ZA44</f>
        <v>1270</v>
      </c>
      <c r="ZC44" s="20" t="n">
        <f aca="false">ZB44</f>
        <v>1270</v>
      </c>
      <c r="ZD44" s="20" t="n">
        <f aca="false">ZC44</f>
        <v>1270</v>
      </c>
      <c r="ZE44" s="20" t="n">
        <f aca="false">ZD44</f>
        <v>1270</v>
      </c>
      <c r="ZF44" s="20" t="n">
        <f aca="false">ZE44</f>
        <v>1270</v>
      </c>
      <c r="ZG44" s="20" t="n">
        <f aca="false">ZF44</f>
        <v>1270</v>
      </c>
      <c r="ZH44" s="20" t="n">
        <f aca="false">ZG44</f>
        <v>1270</v>
      </c>
      <c r="ZI44" s="20" t="n">
        <f aca="false">ZH44</f>
        <v>1270</v>
      </c>
      <c r="ZJ44" s="20" t="n">
        <f aca="false">ZI44</f>
        <v>1270</v>
      </c>
      <c r="ZK44" s="20" t="n">
        <f aca="false">ZJ44</f>
        <v>1270</v>
      </c>
      <c r="ZL44" s="20" t="n">
        <f aca="false">ZK44</f>
        <v>1270</v>
      </c>
      <c r="ZM44" s="20" t="n">
        <f aca="false">ZL44</f>
        <v>1270</v>
      </c>
      <c r="ZN44" s="20" t="n">
        <f aca="false">ZM44</f>
        <v>1270</v>
      </c>
      <c r="ZO44" s="20" t="n">
        <f aca="false">ZN44</f>
        <v>1270</v>
      </c>
      <c r="ZP44" s="20" t="n">
        <f aca="false">ZO44</f>
        <v>1270</v>
      </c>
      <c r="ZQ44" s="20" t="n">
        <f aca="false">ZP44</f>
        <v>1270</v>
      </c>
      <c r="ZR44" s="20" t="n">
        <f aca="false">ZQ44</f>
        <v>1270</v>
      </c>
      <c r="ZS44" s="20" t="n">
        <f aca="false">ZR44</f>
        <v>1270</v>
      </c>
      <c r="ZT44" s="20" t="n">
        <f aca="false">ZS44</f>
        <v>1270</v>
      </c>
      <c r="ZU44" s="20" t="n">
        <f aca="false">ZT44</f>
        <v>1270</v>
      </c>
      <c r="ZV44" s="20" t="n">
        <f aca="false">ZU44</f>
        <v>1270</v>
      </c>
      <c r="ZW44" s="20" t="n">
        <f aca="false">ZV44</f>
        <v>1270</v>
      </c>
      <c r="ZX44" s="20" t="n">
        <f aca="false">ZW44</f>
        <v>1270</v>
      </c>
      <c r="ZY44" s="20" t="n">
        <f aca="false">ZX44</f>
        <v>1270</v>
      </c>
      <c r="ZZ44" s="20" t="n">
        <f aca="false">ZY44</f>
        <v>1270</v>
      </c>
      <c r="AAA44" s="20" t="n">
        <f aca="false">ZZ44</f>
        <v>1270</v>
      </c>
      <c r="AAB44" s="20" t="n">
        <f aca="false">AAA44</f>
        <v>1270</v>
      </c>
      <c r="AAC44" s="20" t="n">
        <f aca="false">AAB44</f>
        <v>1270</v>
      </c>
      <c r="AAD44" s="20" t="n">
        <f aca="false">AAC44</f>
        <v>1270</v>
      </c>
      <c r="AAE44" s="20" t="n">
        <f aca="false">IF(H_Direct=1,IF(BR44&lt;=0,I44-BR44*TE44,I44-MIN(MIN(BR44*TE44,(H44+I44)),I44)),I44)</f>
        <v>0</v>
      </c>
      <c r="AAF44" s="20" t="n">
        <f aca="false">IF(H_Direct=1,IF(BS44&lt;=0,AAE44-BS44*TF44,AAE44-MIN(MIN(BS44*TF44,(WR44+AAE44)),AAE44)),AAE44)</f>
        <v>0</v>
      </c>
      <c r="AAG44" s="20" t="n">
        <f aca="false">IF(H_Direct=1,IF(BT44&lt;=0,AAF44-BT44*TG44,AAF44-MIN(MIN(BT44*TG44,(WS44+AAF44)),AAF44)),AAF44)</f>
        <v>0</v>
      </c>
      <c r="AAH44" s="20" t="n">
        <f aca="false">IF(H_Direct=1,IF(BU44&lt;=0,AAG44-BU44*TH44,AAG44-MIN(MIN(BU44*TH44,(WT44+AAG44)),AAG44)),AAG44)</f>
        <v>0</v>
      </c>
      <c r="AAI44" s="20" t="n">
        <f aca="false">IF(H_Direct=1,IF(BV44&lt;=0,AAH44-BV44*TI44,AAH44-MIN(MIN(BV44*TI44,(WU44+AAH44)),AAH44)),AAH44)</f>
        <v>0</v>
      </c>
      <c r="AAJ44" s="20" t="n">
        <f aca="false">IF(H_Direct=1,IF(BW44&lt;=0,AAI44-BW44*TJ44,AAI44-MIN(MIN(BW44*TJ44,(WV44+AAI44)),AAI44)),AAI44)</f>
        <v>0</v>
      </c>
      <c r="AAK44" s="20" t="n">
        <f aca="false">IF(H_Direct=1,IF(BX44&lt;=0,AAJ44-BX44*TK44,AAJ44-MIN(MIN(BX44*TK44,(WW44+AAJ44)),AAJ44)),AAJ44)</f>
        <v>0</v>
      </c>
      <c r="AAL44" s="20" t="n">
        <f aca="false">IF(H_Direct=1,IF(BY44&lt;=0,AAK44-BY44*TL44,AAK44-MIN(MIN(BY44*TL44,(WX44+AAK44)),AAK44)),AAK44)</f>
        <v>0</v>
      </c>
      <c r="AAM44" s="20" t="n">
        <f aca="false">IF(H_Direct=1,IF(BZ44&lt;=0,AAL44-BZ44*TM44,AAL44-MIN(MIN(BZ44*TM44,(WY44+AAL44)),AAL44)),AAL44)</f>
        <v>0</v>
      </c>
      <c r="AAN44" s="20" t="n">
        <f aca="false">IF(H_Direct=1,IF(CA44&lt;=0,AAM44-CA44*TN44,AAM44-MIN(MIN(CA44*TN44,(WZ44+AAM44)),AAM44)),AAM44)</f>
        <v>0</v>
      </c>
      <c r="AAO44" s="20" t="n">
        <f aca="false">IF(H_Direct=1,IF(CB44&lt;=0,AAN44-CB44*TO44,AAN44-MIN(MIN(CB44*TO44,(XA44+AAN44)),AAN44)),AAN44)</f>
        <v>0</v>
      </c>
      <c r="AAP44" s="20" t="n">
        <f aca="false">IF(H_Direct=1,IF(CC44&lt;=0,AAO44-CC44*TP44,AAO44-MIN(MIN(CC44*TP44,(XB44+AAO44)),AAO44)),AAO44)</f>
        <v>0</v>
      </c>
      <c r="AAQ44" s="20" t="n">
        <f aca="false">IF(H_Direct=1,IF(CD44&lt;=0,AAP44-CD44*TQ44,AAP44-MIN(MIN(CD44*TQ44,(XC44+AAP44)),AAP44)),AAP44)</f>
        <v>0</v>
      </c>
      <c r="AAR44" s="20" t="n">
        <f aca="false">IF(H_Direct=1,IF(CE44&lt;=0,AAQ44-CE44*TR44,AAQ44-MIN(MIN(CE44*TR44,(XD44+AAQ44)),AAQ44)),AAQ44)</f>
        <v>0</v>
      </c>
      <c r="AAS44" s="20" t="n">
        <f aca="false">IF(H_Direct=1,IF(CF44&lt;=0,AAR44-CF44*TS44,AAR44-MIN(MIN(CF44*TS44,(XE44+AAR44)),AAR44)),AAR44)</f>
        <v>0</v>
      </c>
      <c r="AAT44" s="20" t="n">
        <f aca="false">IF(H_Direct=1,IF(CG44&lt;=0,AAS44-CG44*TT44,AAS44-MIN(MIN(CG44*TT44,(XF44+AAS44)),AAS44)),AAS44)</f>
        <v>0</v>
      </c>
      <c r="AAU44" s="20" t="n">
        <f aca="false">IF(H_Direct=1,IF(CH44&lt;=0,AAT44-CH44*TU44,AAT44-MIN(MIN(CH44*TU44,(XG44+AAT44)),AAT44)),AAT44)</f>
        <v>0</v>
      </c>
      <c r="AAV44" s="20" t="n">
        <f aca="false">IF(H_Direct=1,IF(CI44&lt;=0,AAU44-CI44*TV44,AAU44-MIN(MIN(CI44*TV44,(XH44+AAU44)),AAU44)),AAU44)</f>
        <v>0</v>
      </c>
      <c r="AAW44" s="20" t="n">
        <f aca="false">IF(H_Direct=1,IF(CJ44&lt;=0,AAV44-CJ44*TW44,AAV44-MIN(MIN(CJ44*TW44,(XI44+AAV44)),AAV44)),AAV44)</f>
        <v>0</v>
      </c>
      <c r="AAX44" s="20" t="n">
        <f aca="false">IF(H_Direct=1,IF(CK44&lt;=0,AAW44-CK44*TX44,AAW44-MIN(MIN(CK44*TX44,(XJ44+AAW44)),AAW44)),AAW44)</f>
        <v>0</v>
      </c>
      <c r="AAY44" s="20" t="n">
        <f aca="false">IF(H_Direct=1,IF(CL44&lt;=0,AAX44-CL44*TY44,AAX44-MIN(MIN(CL44*TY44,(XK44+AAX44)),AAX44)),AAX44)</f>
        <v>0</v>
      </c>
      <c r="AAZ44" s="20" t="n">
        <f aca="false">IF(H_Direct=1,IF(CM44&lt;=0,AAY44-CM44*TZ44,AAY44-MIN(MIN(CM44*TZ44,(XL44+AAY44)),AAY44)),AAY44)</f>
        <v>0</v>
      </c>
      <c r="ABA44" s="20" t="n">
        <f aca="false">IF(H_Direct=1,IF(CN44&lt;=0,AAZ44-CN44*UA44,AAZ44-MIN(MIN(CN44*UA44,(XM44+AAZ44)),AAZ44)),AAZ44)</f>
        <v>0</v>
      </c>
      <c r="ABB44" s="20" t="n">
        <f aca="false">IF(H_Direct=1,IF(CO44&lt;=0,ABA44-CO44*UB44,ABA44-MIN(MIN(CO44*UB44,(XN44+ABA44)),ABA44)),ABA44)</f>
        <v>0</v>
      </c>
      <c r="ABC44" s="20" t="n">
        <f aca="false">IF(H_Direct=1,IF(CP44&lt;=0,ABB44-CP44*UC44,ABB44-MIN(MIN(CP44*UC44,(XO44+ABB44)),ABB44)),ABB44)</f>
        <v>0</v>
      </c>
      <c r="ABD44" s="20" t="n">
        <f aca="false">IF(H_Direct=1,IF(CQ44&lt;=0,ABC44-CQ44*UD44,ABC44-MIN(MIN(CQ44*UD44,(XP44+ABC44)),ABC44)),ABC44)</f>
        <v>0</v>
      </c>
      <c r="ABE44" s="20" t="n">
        <f aca="false">IF(H_Direct=1,IF(CR44&lt;=0,ABD44-CR44*UE44,ABD44-MIN(MIN(CR44*UE44,(XQ44+ABD44)),ABD44)),ABD44)</f>
        <v>0</v>
      </c>
      <c r="ABF44" s="20" t="n">
        <f aca="false">IF(H_Direct=1,IF(CS44&lt;=0,ABE44-CS44*UF44,ABE44-MIN(MIN(CS44*UF44,(XR44+ABE44)),ABE44)),ABE44)</f>
        <v>0</v>
      </c>
      <c r="ABG44" s="20" t="n">
        <f aca="false">IF(H_Direct=1,IF(CT44&lt;=0,ABF44-CT44*UG44,ABF44-MIN(MIN(CT44*UG44,(XS44+ABF44)),ABF44)),ABF44)</f>
        <v>0</v>
      </c>
      <c r="ABH44" s="20" t="n">
        <f aca="false">IF(H_Direct=1,IF(CU44&lt;=0,ABG44-CU44*UH44,ABG44-MIN(MIN(CU44*UH44,(XT44+ABG44)),ABG44)),ABG44)</f>
        <v>0</v>
      </c>
      <c r="ABI44" s="20" t="n">
        <f aca="false">IF(H_Direct=1,IF(CV44&lt;=0,ABH44-CV44*UI44,ABH44-MIN(MIN(CV44*UI44,(XU44+ABH44)),ABH44)),ABH44)</f>
        <v>0</v>
      </c>
      <c r="ABJ44" s="20" t="n">
        <f aca="false">IF(H_Direct=1,IF(CW44&lt;=0,ABI44-CW44*UJ44,ABI44-MIN(MIN(CW44*UJ44,(XV44+ABI44)),ABI44)),ABI44)</f>
        <v>0</v>
      </c>
      <c r="ABK44" s="20" t="n">
        <f aca="false">IF(H_Direct=1,IF(CX44&lt;=0,ABJ44-CX44*UK44,ABJ44-MIN(MIN(CX44*UK44,(XW44+ABJ44)),ABJ44)),ABJ44)</f>
        <v>0</v>
      </c>
      <c r="ABL44" s="20" t="n">
        <f aca="false">IF(H_Direct=1,IF(CY44&lt;=0,ABK44-CY44*UL44,ABK44-MIN(MIN(CY44*UL44,(XX44+ABK44)),ABK44)),ABK44)</f>
        <v>0</v>
      </c>
      <c r="ABM44" s="20" t="n">
        <f aca="false">IF(H_Direct=1,IF(CZ44&lt;=0,ABL44-CZ44*UM44,ABL44-MIN(MIN(CZ44*UM44,(XY44+ABL44)),ABL44)),ABL44)</f>
        <v>0</v>
      </c>
      <c r="ABN44" s="20" t="n">
        <f aca="false">IF(H_Direct=1,IF(DA44&lt;=0,ABM44-DA44*UN44,ABM44-MIN(MIN(DA44*UN44,(XZ44+ABM44)),ABM44)),ABM44)</f>
        <v>0</v>
      </c>
      <c r="ABO44" s="20" t="n">
        <f aca="false">IF(H_Direct=1,IF(DB44&lt;=0,ABN44-DB44*UO44,ABN44-MIN(MIN(DB44*UO44,(YA44+ABN44)),ABN44)),ABN44)</f>
        <v>0</v>
      </c>
      <c r="ABP44" s="20" t="n">
        <f aca="false">IF(H_Direct=1,IF(DC44&lt;=0,ABO44-DC44*UP44,ABO44-MIN(MIN(DC44*UP44,(YB44+ABO44)),ABO44)),ABO44)</f>
        <v>0</v>
      </c>
      <c r="ABQ44" s="20" t="n">
        <f aca="false">ABP44</f>
        <v>0</v>
      </c>
      <c r="ABR44" s="20" t="n">
        <f aca="false">ABQ44</f>
        <v>0</v>
      </c>
      <c r="ABS44" s="20" t="n">
        <f aca="false">ABR44</f>
        <v>0</v>
      </c>
      <c r="ABT44" s="20" t="n">
        <f aca="false">ABS44</f>
        <v>0</v>
      </c>
      <c r="ABU44" s="20" t="n">
        <f aca="false">ABT44</f>
        <v>0</v>
      </c>
      <c r="ABV44" s="20" t="n">
        <f aca="false">ABU44</f>
        <v>0</v>
      </c>
      <c r="ABW44" s="20" t="n">
        <f aca="false">ABV44</f>
        <v>0</v>
      </c>
      <c r="ABX44" s="20" t="n">
        <f aca="false">ABW44</f>
        <v>0</v>
      </c>
      <c r="ABY44" s="20" t="n">
        <f aca="false">ABX44</f>
        <v>0</v>
      </c>
      <c r="ABZ44" s="20" t="n">
        <f aca="false">ABY44</f>
        <v>0</v>
      </c>
      <c r="ACA44" s="20" t="n">
        <f aca="false">ABZ44</f>
        <v>0</v>
      </c>
      <c r="ACB44" s="20" t="n">
        <f aca="false">ACA44</f>
        <v>0</v>
      </c>
      <c r="ACC44" s="20" t="n">
        <f aca="false">ACB44</f>
        <v>0</v>
      </c>
      <c r="ACD44" s="20" t="n">
        <f aca="false">ACC44</f>
        <v>0</v>
      </c>
      <c r="ACE44" s="20" t="n">
        <f aca="false">ACD44</f>
        <v>0</v>
      </c>
      <c r="ACF44" s="20" t="n">
        <f aca="false">ACE44</f>
        <v>0</v>
      </c>
      <c r="ACG44" s="20" t="n">
        <f aca="false">ACF44</f>
        <v>0</v>
      </c>
      <c r="ACH44" s="20" t="n">
        <f aca="false">ACG44</f>
        <v>0</v>
      </c>
      <c r="ACI44" s="20" t="n">
        <f aca="false">ACH44</f>
        <v>0</v>
      </c>
      <c r="ACJ44" s="20" t="n">
        <f aca="false">ACI44</f>
        <v>0</v>
      </c>
      <c r="ACK44" s="20" t="n">
        <f aca="false">ACJ44</f>
        <v>0</v>
      </c>
      <c r="ACL44" s="20" t="n">
        <f aca="false">ACK44</f>
        <v>0</v>
      </c>
      <c r="ACM44" s="20" t="n">
        <f aca="false">ACL44</f>
        <v>0</v>
      </c>
      <c r="ACN44" s="20" t="n">
        <f aca="false">ACM44</f>
        <v>0</v>
      </c>
      <c r="ACO44" s="20" t="n">
        <f aca="false">ACN44</f>
        <v>0</v>
      </c>
      <c r="ACP44" s="20" t="n">
        <f aca="false">ACO44</f>
        <v>0</v>
      </c>
      <c r="ACQ44" s="20" t="n">
        <f aca="false">ACP44</f>
        <v>0</v>
      </c>
      <c r="ACR44" s="20" t="n">
        <f aca="false">ACQ44</f>
        <v>0</v>
      </c>
      <c r="ACS44" s="20" t="n">
        <f aca="false">ACR44</f>
        <v>0</v>
      </c>
      <c r="ACT44" s="20" t="n">
        <f aca="false">ACS44</f>
        <v>0</v>
      </c>
      <c r="ACU44" s="20" t="n">
        <f aca="false">ACT44</f>
        <v>0</v>
      </c>
      <c r="ACV44" s="20" t="n">
        <f aca="false">ACU44</f>
        <v>0</v>
      </c>
      <c r="ACW44" s="20" t="n">
        <f aca="false">ACV44</f>
        <v>0</v>
      </c>
      <c r="ACX44" s="20" t="n">
        <f aca="false">ACW44</f>
        <v>0</v>
      </c>
      <c r="ACY44" s="20" t="n">
        <f aca="false">ACX44</f>
        <v>0</v>
      </c>
      <c r="ACZ44" s="20" t="n">
        <f aca="false">ACY44</f>
        <v>0</v>
      </c>
      <c r="ADA44" s="20" t="n">
        <f aca="false">ACZ44</f>
        <v>0</v>
      </c>
      <c r="ADB44" s="20" t="n">
        <f aca="false">ADA44</f>
        <v>0</v>
      </c>
      <c r="ADC44" s="20" t="n">
        <f aca="false">ADB44</f>
        <v>0</v>
      </c>
      <c r="ADD44" s="20" t="n">
        <f aca="false">ADC44</f>
        <v>0</v>
      </c>
      <c r="ADE44" s="20" t="n">
        <f aca="false">ADD44</f>
        <v>0</v>
      </c>
      <c r="ADF44" s="20" t="n">
        <f aca="false">ADE44</f>
        <v>0</v>
      </c>
      <c r="ADG44" s="20" t="n">
        <f aca="false">ADF44</f>
        <v>0</v>
      </c>
      <c r="ADH44" s="20" t="n">
        <f aca="false">ADG44</f>
        <v>0</v>
      </c>
      <c r="ADI44" s="20" t="n">
        <f aca="false">ADH44</f>
        <v>0</v>
      </c>
      <c r="ADJ44" s="20" t="n">
        <f aca="false">ADI44</f>
        <v>0</v>
      </c>
      <c r="ADK44" s="20" t="n">
        <f aca="false">ADJ44</f>
        <v>0</v>
      </c>
      <c r="ADL44" s="20" t="n">
        <f aca="false">ADK44</f>
        <v>0</v>
      </c>
      <c r="ADM44" s="20" t="n">
        <f aca="false">ADL44</f>
        <v>0</v>
      </c>
      <c r="ADN44" s="20" t="n">
        <f aca="false">ADM44</f>
        <v>0</v>
      </c>
      <c r="ADO44" s="20" t="n">
        <f aca="false">ADN44</f>
        <v>0</v>
      </c>
      <c r="ADP44" s="20" t="n">
        <f aca="false">ADO44</f>
        <v>0</v>
      </c>
      <c r="ADQ44" s="20" t="n">
        <f aca="false">ADP44</f>
        <v>0</v>
      </c>
      <c r="ADR44" s="20" t="n">
        <f aca="false">(AKR43-TE44+0)*(1+BQ44)</f>
        <v>0</v>
      </c>
      <c r="ADS44" s="20" t="n">
        <f aca="false">(AKS43-TF44+0)*(1+BQ44)</f>
        <v>0</v>
      </c>
      <c r="ADT44" s="20" t="n">
        <f aca="false">(AKT43-TG44+0)*(1+BQ44)</f>
        <v>0</v>
      </c>
      <c r="ADU44" s="20" t="n">
        <f aca="false">(AKU43-TH44+0)*(1+BQ44)</f>
        <v>0</v>
      </c>
      <c r="ADV44" s="20" t="n">
        <f aca="false">(AKV43-TI44+0)*(1+BQ44)</f>
        <v>0</v>
      </c>
      <c r="ADW44" s="20" t="n">
        <f aca="false">(AKW43-TJ44+0)*(1+BQ44)</f>
        <v>0</v>
      </c>
      <c r="ADX44" s="20" t="n">
        <f aca="false">(AKX43-TK44+0)*(1+BQ44)</f>
        <v>0</v>
      </c>
      <c r="ADY44" s="20" t="n">
        <f aca="false">(AKY43-TL44+0)*(1+BQ44)</f>
        <v>0</v>
      </c>
      <c r="ADZ44" s="20" t="n">
        <f aca="false">(AKZ43-TM44+0)*(1+BQ44)</f>
        <v>0</v>
      </c>
      <c r="AEA44" s="20" t="n">
        <f aca="false">(ALA43-TN44+0)*(1+BQ44)</f>
        <v>0</v>
      </c>
      <c r="AEB44" s="20" t="n">
        <f aca="false">(ALB43-TO44+0)*(1+BQ44)</f>
        <v>0</v>
      </c>
      <c r="AEC44" s="20" t="n">
        <f aca="false">(ALC43-TP44+0)*(1+BQ44)</f>
        <v>0</v>
      </c>
      <c r="AED44" s="20" t="n">
        <f aca="false">(ALD43-TQ44+0)*(1+BQ44)</f>
        <v>0</v>
      </c>
      <c r="AEE44" s="20" t="n">
        <f aca="false">(ALE43-TR44+0)*(1+BQ44)</f>
        <v>0</v>
      </c>
      <c r="AEF44" s="20" t="n">
        <f aca="false">(ALF43-TS44+0)*(1+BQ44)</f>
        <v>0</v>
      </c>
      <c r="AEG44" s="20" t="n">
        <f aca="false">(ALG43-TT44+0)*(1+BQ44)</f>
        <v>0</v>
      </c>
      <c r="AEH44" s="20" t="n">
        <f aca="false">(ALH43-TU44+0)*(1+BQ44)</f>
        <v>0</v>
      </c>
      <c r="AEI44" s="20" t="n">
        <f aca="false">(ALI43-TV44+0)*(1+BQ44)</f>
        <v>0</v>
      </c>
      <c r="AEJ44" s="20" t="n">
        <f aca="false">(ALJ43-TW44+0)*(1+BQ44)</f>
        <v>0</v>
      </c>
      <c r="AEK44" s="20" t="n">
        <f aca="false">(ALK43-TX44+0)*(1+BQ44)</f>
        <v>0</v>
      </c>
      <c r="AEL44" s="20" t="n">
        <f aca="false">(ALL43-TY44+0)*(1+BQ44)</f>
        <v>0</v>
      </c>
      <c r="AEM44" s="20" t="n">
        <f aca="false">(ALM43-TZ44+0)*(1+BQ44)</f>
        <v>0</v>
      </c>
      <c r="AEN44" s="20" t="n">
        <f aca="false">(ALN43-UA44+0)*(1+BQ44)</f>
        <v>0</v>
      </c>
      <c r="AEO44" s="20" t="n">
        <f aca="false">(ALO43-UB44+0)*(1+BQ44)</f>
        <v>0</v>
      </c>
      <c r="AEP44" s="20" t="n">
        <f aca="false">(ALP43-UC44+0)*(1+BQ44)</f>
        <v>0</v>
      </c>
      <c r="AEQ44" s="20" t="n">
        <f aca="false">(ALQ43-UD44+0)*(1+BQ44)</f>
        <v>0</v>
      </c>
      <c r="AER44" s="20" t="n">
        <f aca="false">(ALR43-UE44+0)*(1+BQ44)</f>
        <v>58194.431725208</v>
      </c>
      <c r="AES44" s="20" t="n">
        <f aca="false">(ALS43-UF44+0)*(1+BQ44)</f>
        <v>0</v>
      </c>
      <c r="AET44" s="20" t="n">
        <f aca="false">(ALT43-UG44+0)*(1+BQ44)</f>
        <v>0</v>
      </c>
      <c r="AEU44" s="20" t="n">
        <f aca="false">(ALU43-UH44+0)*(1+BQ44)</f>
        <v>2209.64737642341</v>
      </c>
      <c r="AEV44" s="20" t="n">
        <f aca="false">(ALV43-UI44+0)*(1+BQ44)</f>
        <v>0</v>
      </c>
      <c r="AEW44" s="20" t="n">
        <f aca="false">(ALW43-UJ44+0)*(1+BQ44)</f>
        <v>0</v>
      </c>
      <c r="AEX44" s="20" t="n">
        <f aca="false">(ALX43-UK44+0)*(1+BQ44)</f>
        <v>0</v>
      </c>
      <c r="AEY44" s="20" t="n">
        <f aca="false">(ALY43-UL44+0)*(1+BQ44)</f>
        <v>0</v>
      </c>
      <c r="AEZ44" s="20" t="n">
        <f aca="false">(ALZ43-UM44+0)*(1+BQ44)</f>
        <v>0</v>
      </c>
      <c r="AFA44" s="20" t="n">
        <f aca="false">(AMA43-UN44+0)*(1+BQ44)</f>
        <v>0</v>
      </c>
      <c r="AFB44" s="20" t="n">
        <f aca="false">(AMB43-UO44+0)*(1+BQ44)</f>
        <v>0</v>
      </c>
      <c r="AFC44" s="20" t="n">
        <f aca="false">((P44+S44)-UP44+BE44)*(1+BQ44)</f>
        <v>0</v>
      </c>
      <c r="AFD44" s="20" t="n">
        <v>0</v>
      </c>
      <c r="AFE44" s="20" t="n">
        <v>0</v>
      </c>
      <c r="AFF44" s="20" t="n">
        <v>0</v>
      </c>
      <c r="AFG44" s="20" t="n">
        <v>0</v>
      </c>
      <c r="AFH44" s="20" t="n">
        <v>0</v>
      </c>
      <c r="AFI44" s="20" t="n">
        <v>0</v>
      </c>
      <c r="AFJ44" s="20" t="n">
        <v>0</v>
      </c>
      <c r="AFK44" s="20" t="n">
        <v>0</v>
      </c>
      <c r="AFL44" s="20" t="n">
        <v>0</v>
      </c>
      <c r="AFM44" s="20" t="n">
        <v>0</v>
      </c>
      <c r="AFN44" s="20" t="n">
        <v>0</v>
      </c>
      <c r="AFO44" s="20" t="n">
        <v>0</v>
      </c>
      <c r="AFP44" s="20" t="n">
        <v>0</v>
      </c>
      <c r="AFQ44" s="20" t="n">
        <v>0</v>
      </c>
      <c r="AFR44" s="20" t="n">
        <v>0</v>
      </c>
      <c r="AFS44" s="20" t="n">
        <v>0</v>
      </c>
      <c r="AFT44" s="20" t="n">
        <v>0</v>
      </c>
      <c r="AFU44" s="20" t="n">
        <v>0</v>
      </c>
      <c r="AFV44" s="20" t="n">
        <v>0</v>
      </c>
      <c r="AFW44" s="20" t="n">
        <v>0</v>
      </c>
      <c r="AFX44" s="20" t="n">
        <v>0</v>
      </c>
      <c r="AFY44" s="20" t="n">
        <v>0</v>
      </c>
      <c r="AFZ44" s="20" t="n">
        <v>0</v>
      </c>
      <c r="AGA44" s="20" t="n">
        <v>0</v>
      </c>
      <c r="AGB44" s="20" t="n">
        <v>0</v>
      </c>
      <c r="AGC44" s="20" t="n">
        <v>0</v>
      </c>
      <c r="AGD44" s="20" t="n">
        <v>0</v>
      </c>
      <c r="AGE44" s="20" t="n">
        <v>0</v>
      </c>
      <c r="AGF44" s="20" t="n">
        <v>0</v>
      </c>
      <c r="AGG44" s="20" t="n">
        <v>0</v>
      </c>
      <c r="AGH44" s="20" t="n">
        <v>0</v>
      </c>
      <c r="AGI44" s="20" t="n">
        <v>0</v>
      </c>
      <c r="AGJ44" s="20" t="n">
        <v>0</v>
      </c>
      <c r="AGK44" s="20" t="n">
        <v>0</v>
      </c>
      <c r="AGL44" s="20" t="n">
        <v>0</v>
      </c>
      <c r="AGM44" s="20" t="n">
        <v>0</v>
      </c>
      <c r="AGN44" s="20" t="n">
        <v>0</v>
      </c>
      <c r="AGO44" s="20" t="n">
        <v>0</v>
      </c>
      <c r="AGP44" s="20" t="n">
        <v>0</v>
      </c>
      <c r="AGQ44" s="20" t="n">
        <v>0</v>
      </c>
      <c r="AGR44" s="20" t="n">
        <v>0</v>
      </c>
      <c r="AGS44" s="20" t="n">
        <v>0</v>
      </c>
      <c r="AGT44" s="20" t="n">
        <v>0</v>
      </c>
      <c r="AGU44" s="20" t="n">
        <v>0</v>
      </c>
      <c r="AGV44" s="20" t="n">
        <v>0</v>
      </c>
      <c r="AGW44" s="20" t="n">
        <v>0</v>
      </c>
      <c r="AGX44" s="20" t="n">
        <v>0</v>
      </c>
      <c r="AGY44" s="20" t="n">
        <v>0</v>
      </c>
      <c r="AGZ44" s="20" t="n">
        <v>0</v>
      </c>
      <c r="AHA44" s="20" t="n">
        <v>0</v>
      </c>
      <c r="AHB44" s="20" t="n">
        <v>0</v>
      </c>
      <c r="AHC44" s="20" t="n">
        <v>0</v>
      </c>
      <c r="AHD44" s="20" t="n">
        <v>0</v>
      </c>
      <c r="AHE44" s="20" t="n">
        <f aca="false">IF(AKR43&gt;0,AOE43-AOE43*TE44/AKR43,0)+0</f>
        <v>0</v>
      </c>
      <c r="AHF44" s="20" t="n">
        <f aca="false">IF(AKS43&gt;0,AOF43-AOF43*TF44/AKS43,0)+0</f>
        <v>0</v>
      </c>
      <c r="AHG44" s="20" t="n">
        <f aca="false">IF(AKT43&gt;0,AOG43-AOG43*TG44/AKT43,0)+0</f>
        <v>0</v>
      </c>
      <c r="AHH44" s="20" t="n">
        <f aca="false">IF(AKU43&gt;0,AOH43-AOH43*TH44/AKU43,0)+0</f>
        <v>0</v>
      </c>
      <c r="AHI44" s="20" t="n">
        <f aca="false">IF(AKV43&gt;0,AOI43-AOI43*TI44/AKV43,0)+0</f>
        <v>0</v>
      </c>
      <c r="AHJ44" s="20" t="n">
        <f aca="false">IF(AKW43&gt;0,AOJ43-AOJ43*TJ44/AKW43,0)+0</f>
        <v>0</v>
      </c>
      <c r="AHK44" s="20" t="n">
        <f aca="false">IF(AKX43&gt;0,AOK43-AOK43*TK44/AKX43,0)+0</f>
        <v>0</v>
      </c>
      <c r="AHL44" s="20" t="n">
        <f aca="false">IF(AKY43&gt;0,AOL43-AOL43*TL44/AKY43,0)+0</f>
        <v>0</v>
      </c>
      <c r="AHM44" s="20" t="n">
        <f aca="false">IF(AKZ43&gt;0,AOM43-AOM43*TM44/AKZ43,0)+0</f>
        <v>0</v>
      </c>
      <c r="AHN44" s="20" t="n">
        <f aca="false">IF(ALA43&gt;0,AON43-AON43*TN44/ALA43,0)+0</f>
        <v>0</v>
      </c>
      <c r="AHO44" s="20" t="n">
        <f aca="false">IF(ALB43&gt;0,AOO43-AOO43*TO44/ALB43,0)+0</f>
        <v>0</v>
      </c>
      <c r="AHP44" s="20" t="n">
        <f aca="false">IF(ALC43&gt;0,AOP43-AOP43*TP44/ALC43,0)+0</f>
        <v>0</v>
      </c>
      <c r="AHQ44" s="20" t="n">
        <f aca="false">IF(ALD43&gt;0,AOQ43-AOQ43*TQ44/ALD43,0)+0</f>
        <v>0</v>
      </c>
      <c r="AHR44" s="20" t="n">
        <f aca="false">IF(ALE43&gt;0,AOR43-AOR43*TR44/ALE43,0)+0</f>
        <v>0</v>
      </c>
      <c r="AHS44" s="20" t="n">
        <f aca="false">IF(ALF43&gt;0,AOS43-AOS43*TS44/ALF43,0)+0</f>
        <v>0</v>
      </c>
      <c r="AHT44" s="20" t="n">
        <f aca="false">IF(ALG43&gt;0,AOT43-AOT43*TT44/ALG43,0)+0</f>
        <v>0</v>
      </c>
      <c r="AHU44" s="20" t="n">
        <f aca="false">IF(ALH43&gt;0,AOU43-AOU43*TU44/ALH43,0)+0</f>
        <v>0</v>
      </c>
      <c r="AHV44" s="20" t="n">
        <f aca="false">IF(ALI43&gt;0,AOV43-AOV43*TV44/ALI43,0)+0</f>
        <v>0</v>
      </c>
      <c r="AHW44" s="20" t="n">
        <f aca="false">IF(ALJ43&gt;0,AOW43-AOW43*TW44/ALJ43,0)+0</f>
        <v>0</v>
      </c>
      <c r="AHX44" s="20" t="n">
        <f aca="false">IF(ALK43&gt;0,AOX43-AOX43*TX44/ALK43,0)+0</f>
        <v>0</v>
      </c>
      <c r="AHY44" s="20" t="n">
        <f aca="false">IF(ALL43&gt;0,AOY43-AOY43*TY44/ALL43,0)+0</f>
        <v>0</v>
      </c>
      <c r="AHZ44" s="20" t="n">
        <f aca="false">IF(ALM43&gt;0,AOZ43-AOZ43*TZ44/ALM43,0)+0</f>
        <v>0</v>
      </c>
      <c r="AIA44" s="20" t="n">
        <f aca="false">IF(ALN43&gt;0,APA43-APA43*UA44/ALN43,0)+0</f>
        <v>0</v>
      </c>
      <c r="AIB44" s="20" t="n">
        <f aca="false">IF(ALO43&gt;0,APB43-APB43*UB44/ALO43,0)+0</f>
        <v>0</v>
      </c>
      <c r="AIC44" s="20" t="n">
        <f aca="false">IF(ALP43&gt;0,APC43-APC43*UC44/ALP43,0)+0</f>
        <v>0</v>
      </c>
      <c r="AID44" s="20" t="n">
        <f aca="false">IF(ALQ43&gt;0,APD43-APD43*UD44/ALQ43,0)+0</f>
        <v>0</v>
      </c>
      <c r="AIE44" s="20" t="n">
        <f aca="false">IF(ALR43&gt;0,APE43-APE43*UE44/ALR43,0)+0</f>
        <v>49744.844133301</v>
      </c>
      <c r="AIF44" s="20" t="n">
        <f aca="false">IF(ALS43&gt;0,APF43-APF43*UF44/ALS43,0)+0</f>
        <v>0</v>
      </c>
      <c r="AIG44" s="20" t="n">
        <f aca="false">IF(ALT43&gt;0,APG43-APG43*UG44/ALT43,0)+0</f>
        <v>0</v>
      </c>
      <c r="AIH44" s="20" t="n">
        <f aca="false">IF(ALU43&gt;0,APH43-APH43*UH44/ALU43,0)+0</f>
        <v>2124.66093886866</v>
      </c>
      <c r="AII44" s="20" t="n">
        <f aca="false">IF(ALV43&gt;0,API43-API43*UI44/ALV43,0)+0</f>
        <v>0</v>
      </c>
      <c r="AIJ44" s="20" t="n">
        <f aca="false">IF(ALW43&gt;0,APJ43-APJ43*UJ44/ALW43,0)+0</f>
        <v>0</v>
      </c>
      <c r="AIK44" s="20" t="n">
        <f aca="false">IF(ALX43&gt;0,APK43-APK43*UK44/ALX43,0)+0</f>
        <v>0</v>
      </c>
      <c r="AIL44" s="20" t="n">
        <f aca="false">IF(ALY43&gt;0,APL43-APL43*UL44/ALY43,0)+0</f>
        <v>0</v>
      </c>
      <c r="AIM44" s="20" t="n">
        <f aca="false">IF(ALZ43&gt;0,APM43-APM43*UM44/ALZ43,0)+0</f>
        <v>0</v>
      </c>
      <c r="AIN44" s="20" t="n">
        <f aca="false">IF(AMA43&gt;0,APN43-APN43*UN44/AMA43,0)+0</f>
        <v>0</v>
      </c>
      <c r="AIO44" s="20" t="n">
        <f aca="false">IF(AMB43&gt;0,APO43-APO43*UO44/AMB43,0)+0</f>
        <v>0</v>
      </c>
      <c r="AIP44" s="20" t="n">
        <f aca="false">IF((P44+S44)&gt;0,(P44+S44)-(P44+S44)*UP44/(P44+S44),0)+BE44</f>
        <v>0</v>
      </c>
      <c r="AIQ44" s="20" t="n">
        <v>0</v>
      </c>
      <c r="AIR44" s="20" t="n">
        <v>0</v>
      </c>
      <c r="AIS44" s="20" t="n">
        <v>0</v>
      </c>
      <c r="AIT44" s="20" t="n">
        <v>0</v>
      </c>
      <c r="AIU44" s="20" t="n">
        <v>0</v>
      </c>
      <c r="AIV44" s="20" t="n">
        <v>0</v>
      </c>
      <c r="AIW44" s="20" t="n">
        <v>0</v>
      </c>
      <c r="AIX44" s="20" t="n">
        <v>0</v>
      </c>
      <c r="AIY44" s="20" t="n">
        <v>0</v>
      </c>
      <c r="AIZ44" s="20" t="n">
        <v>0</v>
      </c>
      <c r="AJA44" s="20" t="n">
        <v>0</v>
      </c>
      <c r="AJB44" s="20" t="n">
        <v>0</v>
      </c>
      <c r="AJC44" s="20" t="n">
        <v>0</v>
      </c>
      <c r="AJD44" s="20" t="n">
        <v>0</v>
      </c>
      <c r="AJE44" s="20" t="n">
        <v>0</v>
      </c>
      <c r="AJF44" s="20" t="n">
        <v>0</v>
      </c>
      <c r="AJG44" s="20" t="n">
        <v>0</v>
      </c>
      <c r="AJH44" s="20" t="n">
        <v>0</v>
      </c>
      <c r="AJI44" s="20" t="n">
        <v>0</v>
      </c>
      <c r="AJJ44" s="20" t="n">
        <v>0</v>
      </c>
      <c r="AJK44" s="20" t="n">
        <v>0</v>
      </c>
      <c r="AJL44" s="20" t="n">
        <v>0</v>
      </c>
      <c r="AJM44" s="20" t="n">
        <v>0</v>
      </c>
      <c r="AJN44" s="20" t="n">
        <v>0</v>
      </c>
      <c r="AJO44" s="20" t="n">
        <v>0</v>
      </c>
      <c r="AJP44" s="20" t="n">
        <v>0</v>
      </c>
      <c r="AJQ44" s="20" t="n">
        <v>0</v>
      </c>
      <c r="AJR44" s="20" t="n">
        <v>0</v>
      </c>
      <c r="AJS44" s="20" t="n">
        <v>0</v>
      </c>
      <c r="AJT44" s="20" t="n">
        <v>0</v>
      </c>
      <c r="AJU44" s="20" t="n">
        <v>0</v>
      </c>
      <c r="AJV44" s="20" t="n">
        <v>0</v>
      </c>
      <c r="AJW44" s="20" t="n">
        <v>0</v>
      </c>
      <c r="AJX44" s="20" t="n">
        <v>0</v>
      </c>
      <c r="AJY44" s="20" t="n">
        <v>0</v>
      </c>
      <c r="AJZ44" s="20" t="n">
        <v>0</v>
      </c>
      <c r="AKA44" s="20" t="n">
        <v>0</v>
      </c>
      <c r="AKB44" s="20" t="n">
        <v>0</v>
      </c>
      <c r="AKC44" s="20" t="n">
        <v>0</v>
      </c>
      <c r="AKD44" s="20" t="n">
        <v>0</v>
      </c>
      <c r="AKE44" s="20" t="n">
        <v>0</v>
      </c>
      <c r="AKF44" s="20" t="n">
        <v>0</v>
      </c>
      <c r="AKG44" s="20" t="n">
        <v>0</v>
      </c>
      <c r="AKH44" s="20" t="n">
        <v>0</v>
      </c>
      <c r="AKI44" s="20" t="n">
        <v>0</v>
      </c>
      <c r="AKJ44" s="20" t="n">
        <v>0</v>
      </c>
      <c r="AKK44" s="20" t="n">
        <v>0</v>
      </c>
      <c r="AKL44" s="20" t="n">
        <v>0</v>
      </c>
      <c r="AKM44" s="20" t="n">
        <v>0</v>
      </c>
      <c r="AKN44" s="20" t="n">
        <v>0</v>
      </c>
      <c r="AKO44" s="20" t="n">
        <v>0</v>
      </c>
      <c r="AKP44" s="20" t="n">
        <v>0</v>
      </c>
      <c r="AKQ44" s="20" t="n">
        <v>0</v>
      </c>
      <c r="AKR44" s="20" t="n">
        <f aca="false">ADR44-AVE44</f>
        <v>0</v>
      </c>
      <c r="AKS44" s="20" t="n">
        <f aca="false">ADS44-AVF44</f>
        <v>0</v>
      </c>
      <c r="AKT44" s="20" t="n">
        <f aca="false">ADT44-AVG44</f>
        <v>0</v>
      </c>
      <c r="AKU44" s="20" t="n">
        <f aca="false">ADU44-AVH44</f>
        <v>0</v>
      </c>
      <c r="AKV44" s="20" t="n">
        <f aca="false">ADV44-AVI44</f>
        <v>0</v>
      </c>
      <c r="AKW44" s="20" t="n">
        <f aca="false">ADW44-AVJ44</f>
        <v>0</v>
      </c>
      <c r="AKX44" s="20" t="n">
        <f aca="false">ADX44-AVK44</f>
        <v>0</v>
      </c>
      <c r="AKY44" s="20" t="n">
        <f aca="false">ADY44-AVL44</f>
        <v>0</v>
      </c>
      <c r="AKZ44" s="20" t="n">
        <f aca="false">ADZ44-AVM44</f>
        <v>0</v>
      </c>
      <c r="ALA44" s="20" t="n">
        <f aca="false">AEA44-AVN44</f>
        <v>0</v>
      </c>
      <c r="ALB44" s="20" t="n">
        <f aca="false">AEB44-AVO44</f>
        <v>0</v>
      </c>
      <c r="ALC44" s="20" t="n">
        <f aca="false">AEC44-AVP44</f>
        <v>0</v>
      </c>
      <c r="ALD44" s="20" t="n">
        <f aca="false">AED44-AVQ44</f>
        <v>0</v>
      </c>
      <c r="ALE44" s="20" t="n">
        <f aca="false">AEE44-AVR44</f>
        <v>0</v>
      </c>
      <c r="ALF44" s="20" t="n">
        <f aca="false">AEF44-AVS44</f>
        <v>0</v>
      </c>
      <c r="ALG44" s="20" t="n">
        <f aca="false">AEG44-AVT44</f>
        <v>0</v>
      </c>
      <c r="ALH44" s="20" t="n">
        <f aca="false">AEH44-AVU44</f>
        <v>0</v>
      </c>
      <c r="ALI44" s="20" t="n">
        <f aca="false">AEI44-AVV44</f>
        <v>0</v>
      </c>
      <c r="ALJ44" s="20" t="n">
        <f aca="false">AEJ44-AVW44</f>
        <v>0</v>
      </c>
      <c r="ALK44" s="20" t="n">
        <f aca="false">AEK44-AVX44</f>
        <v>0</v>
      </c>
      <c r="ALL44" s="20" t="n">
        <f aca="false">AEL44-AVY44</f>
        <v>0</v>
      </c>
      <c r="ALM44" s="20" t="n">
        <f aca="false">AEM44-AVZ44</f>
        <v>0</v>
      </c>
      <c r="ALN44" s="20" t="n">
        <f aca="false">AEN44-AWA44</f>
        <v>0</v>
      </c>
      <c r="ALO44" s="20" t="n">
        <f aca="false">AEO44-AWB44</f>
        <v>0</v>
      </c>
      <c r="ALP44" s="20" t="n">
        <f aca="false">AEP44-AWC44</f>
        <v>0</v>
      </c>
      <c r="ALQ44" s="20" t="n">
        <f aca="false">AEQ44-AWD44</f>
        <v>0</v>
      </c>
      <c r="ALR44" s="20" t="n">
        <f aca="false">AER44-AWE44</f>
        <v>58194.431725208</v>
      </c>
      <c r="ALS44" s="20" t="n">
        <f aca="false">AES44-AWF44</f>
        <v>0</v>
      </c>
      <c r="ALT44" s="20" t="n">
        <f aca="false">AET44-AWG44</f>
        <v>0</v>
      </c>
      <c r="ALU44" s="20" t="n">
        <f aca="false">AEU44-AWH44</f>
        <v>2209.64737642341</v>
      </c>
      <c r="ALV44" s="20" t="n">
        <f aca="false">AEV44-AWI44</f>
        <v>0</v>
      </c>
      <c r="ALW44" s="20" t="n">
        <f aca="false">AEW44-AWJ44</f>
        <v>0</v>
      </c>
      <c r="ALX44" s="20" t="n">
        <f aca="false">AEX44-AWK44</f>
        <v>0</v>
      </c>
      <c r="ALY44" s="20" t="n">
        <f aca="false">AEY44-AWL44</f>
        <v>0</v>
      </c>
      <c r="ALZ44" s="20" t="n">
        <f aca="false">AEZ44-AWM44</f>
        <v>0</v>
      </c>
      <c r="AMA44" s="20" t="n">
        <f aca="false">AFA44-AWN44</f>
        <v>0</v>
      </c>
      <c r="AMB44" s="20" t="n">
        <f aca="false">AFB44-AWO44</f>
        <v>0</v>
      </c>
      <c r="AMC44" s="20" t="n">
        <f aca="false">AFC44-AWP44</f>
        <v>0</v>
      </c>
      <c r="AMD44" s="20" t="n">
        <v>0</v>
      </c>
      <c r="AME44" s="20" t="n">
        <v>0</v>
      </c>
      <c r="AMF44" s="20" t="n">
        <v>0</v>
      </c>
      <c r="AMG44" s="20" t="n">
        <v>0</v>
      </c>
      <c r="AMH44" s="20" t="n">
        <v>0</v>
      </c>
      <c r="AMI44" s="20" t="n">
        <v>0</v>
      </c>
      <c r="AMJ44" s="20" t="n">
        <v>0</v>
      </c>
      <c r="AMK44" s="20" t="n">
        <v>0</v>
      </c>
      <c r="AML44" s="20" t="n">
        <v>0</v>
      </c>
      <c r="AMM44" s="20" t="n">
        <v>0</v>
      </c>
      <c r="AMN44" s="20" t="n">
        <v>0</v>
      </c>
      <c r="AMO44" s="20" t="n">
        <v>0</v>
      </c>
      <c r="AMP44" s="20" t="n">
        <v>0</v>
      </c>
      <c r="AMQ44" s="20" t="n">
        <v>0</v>
      </c>
      <c r="AMR44" s="20" t="n">
        <v>0</v>
      </c>
      <c r="AMS44" s="20" t="n">
        <v>0</v>
      </c>
      <c r="AMT44" s="20" t="n">
        <v>0</v>
      </c>
      <c r="AMU44" s="20" t="n">
        <v>0</v>
      </c>
      <c r="AMV44" s="20" t="n">
        <v>0</v>
      </c>
      <c r="AMW44" s="20" t="n">
        <v>0</v>
      </c>
      <c r="AMX44" s="20" t="n">
        <v>0</v>
      </c>
      <c r="AMY44" s="20" t="n">
        <v>0</v>
      </c>
      <c r="AMZ44" s="20" t="n">
        <v>0</v>
      </c>
      <c r="ANA44" s="20" t="n">
        <v>0</v>
      </c>
      <c r="ANB44" s="20" t="n">
        <v>0</v>
      </c>
      <c r="ANC44" s="20" t="n">
        <v>0</v>
      </c>
      <c r="AND44" s="20" t="n">
        <v>0</v>
      </c>
      <c r="ANE44" s="20" t="n">
        <v>0</v>
      </c>
      <c r="ANF44" s="20" t="n">
        <v>0</v>
      </c>
      <c r="ANG44" s="20" t="n">
        <v>0</v>
      </c>
      <c r="ANH44" s="20" t="n">
        <v>0</v>
      </c>
      <c r="ANI44" s="20" t="n">
        <v>0</v>
      </c>
      <c r="ANJ44" s="20" t="n">
        <v>0</v>
      </c>
      <c r="ANK44" s="20" t="n">
        <v>0</v>
      </c>
      <c r="ANL44" s="20" t="n">
        <v>0</v>
      </c>
      <c r="ANM44" s="20" t="n">
        <v>0</v>
      </c>
      <c r="ANN44" s="20" t="n">
        <v>0</v>
      </c>
      <c r="ANO44" s="20" t="n">
        <v>0</v>
      </c>
      <c r="ANP44" s="20" t="n">
        <v>0</v>
      </c>
      <c r="ANQ44" s="20" t="n">
        <v>0</v>
      </c>
      <c r="ANR44" s="20" t="n">
        <v>0</v>
      </c>
      <c r="ANS44" s="20" t="n">
        <v>0</v>
      </c>
      <c r="ANT44" s="20" t="n">
        <v>0</v>
      </c>
      <c r="ANU44" s="20" t="n">
        <v>0</v>
      </c>
      <c r="ANV44" s="20" t="n">
        <v>0</v>
      </c>
      <c r="ANW44" s="20" t="n">
        <v>0</v>
      </c>
      <c r="ANX44" s="20" t="n">
        <v>0</v>
      </c>
      <c r="ANY44" s="20" t="n">
        <v>0</v>
      </c>
      <c r="ANZ44" s="20" t="n">
        <v>0</v>
      </c>
      <c r="AOA44" s="20" t="n">
        <v>0</v>
      </c>
      <c r="AOB44" s="20" t="n">
        <v>0</v>
      </c>
      <c r="AOC44" s="20" t="n">
        <v>0</v>
      </c>
      <c r="AOD44" s="20" t="n">
        <v>0</v>
      </c>
      <c r="AOE44" s="20" t="n">
        <f aca="false">IF(AND(H_Direct=0,H_TaxEvt=1,ARR43+1&gt;=H_Deemed),AKR44,AHE44)</f>
        <v>0</v>
      </c>
      <c r="AOF44" s="20" t="n">
        <f aca="false">IF(AND(H_Direct=0,H_TaxEvt=1,ARS43+1&gt;=H_Deemed),AKS44,AHF44)</f>
        <v>0</v>
      </c>
      <c r="AOG44" s="20" t="n">
        <f aca="false">IF(AND(H_Direct=0,H_TaxEvt=1,ART43+1&gt;=H_Deemed),AKT44,AHG44)</f>
        <v>0</v>
      </c>
      <c r="AOH44" s="20" t="n">
        <f aca="false">IF(AND(H_Direct=0,H_TaxEvt=1,ARU43+1&gt;=H_Deemed),AKU44,AHH44)</f>
        <v>0</v>
      </c>
      <c r="AOI44" s="20" t="n">
        <f aca="false">IF(AND(H_Direct=0,H_TaxEvt=1,ARV43+1&gt;=H_Deemed),AKV44,AHI44)</f>
        <v>0</v>
      </c>
      <c r="AOJ44" s="20" t="n">
        <f aca="false">IF(AND(H_Direct=0,H_TaxEvt=1,ARW43+1&gt;=H_Deemed),AKW44,AHJ44)</f>
        <v>0</v>
      </c>
      <c r="AOK44" s="20" t="n">
        <f aca="false">IF(AND(H_Direct=0,H_TaxEvt=1,ARX43+1&gt;=H_Deemed),AKX44,AHK44)</f>
        <v>0</v>
      </c>
      <c r="AOL44" s="20" t="n">
        <f aca="false">IF(AND(H_Direct=0,H_TaxEvt=1,ARY43+1&gt;=H_Deemed),AKY44,AHL44)</f>
        <v>0</v>
      </c>
      <c r="AOM44" s="20" t="n">
        <f aca="false">IF(AND(H_Direct=0,H_TaxEvt=1,ARZ43+1&gt;=H_Deemed),AKZ44,AHM44)</f>
        <v>0</v>
      </c>
      <c r="AON44" s="20" t="n">
        <f aca="false">IF(AND(H_Direct=0,H_TaxEvt=1,ASA43+1&gt;=H_Deemed),ALA44,AHN44)</f>
        <v>0</v>
      </c>
      <c r="AOO44" s="20" t="n">
        <f aca="false">IF(AND(H_Direct=0,H_TaxEvt=1,ASB43+1&gt;=H_Deemed),ALB44,AHO44)</f>
        <v>0</v>
      </c>
      <c r="AOP44" s="20" t="n">
        <f aca="false">IF(AND(H_Direct=0,H_TaxEvt=1,ASC43+1&gt;=H_Deemed),ALC44,AHP44)</f>
        <v>0</v>
      </c>
      <c r="AOQ44" s="20" t="n">
        <f aca="false">IF(AND(H_Direct=0,H_TaxEvt=1,ASD43+1&gt;=H_Deemed),ALD44,AHQ44)</f>
        <v>0</v>
      </c>
      <c r="AOR44" s="20" t="n">
        <f aca="false">IF(AND(H_Direct=0,H_TaxEvt=1,ASE43+1&gt;=H_Deemed),ALE44,AHR44)</f>
        <v>0</v>
      </c>
      <c r="AOS44" s="20" t="n">
        <f aca="false">IF(AND(H_Direct=0,H_TaxEvt=1,ASF43+1&gt;=H_Deemed),ALF44,AHS44)</f>
        <v>0</v>
      </c>
      <c r="AOT44" s="20" t="n">
        <f aca="false">IF(AND(H_Direct=0,H_TaxEvt=1,ASG43+1&gt;=H_Deemed),ALG44,AHT44)</f>
        <v>0</v>
      </c>
      <c r="AOU44" s="20" t="n">
        <f aca="false">IF(AND(H_Direct=0,H_TaxEvt=1,ASH43+1&gt;=H_Deemed),ALH44,AHU44)</f>
        <v>0</v>
      </c>
      <c r="AOV44" s="20" t="n">
        <f aca="false">IF(AND(H_Direct=0,H_TaxEvt=1,ASI43+1&gt;=H_Deemed),ALI44,AHV44)</f>
        <v>0</v>
      </c>
      <c r="AOW44" s="20" t="n">
        <f aca="false">IF(AND(H_Direct=0,H_TaxEvt=1,ASJ43+1&gt;=H_Deemed),ALJ44,AHW44)</f>
        <v>0</v>
      </c>
      <c r="AOX44" s="20" t="n">
        <f aca="false">IF(AND(H_Direct=0,H_TaxEvt=1,ASK43+1&gt;=H_Deemed),ALK44,AHX44)</f>
        <v>0</v>
      </c>
      <c r="AOY44" s="20" t="n">
        <f aca="false">IF(AND(H_Direct=0,H_TaxEvt=1,ASL43+1&gt;=H_Deemed),ALL44,AHY44)</f>
        <v>0</v>
      </c>
      <c r="AOZ44" s="20" t="n">
        <f aca="false">IF(AND(H_Direct=0,H_TaxEvt=1,ASM43+1&gt;=H_Deemed),ALM44,AHZ44)</f>
        <v>0</v>
      </c>
      <c r="APA44" s="20" t="n">
        <f aca="false">IF(AND(H_Direct=0,H_TaxEvt=1,ASN43+1&gt;=H_Deemed),ALN44,AIA44)</f>
        <v>0</v>
      </c>
      <c r="APB44" s="20" t="n">
        <f aca="false">IF(AND(H_Direct=0,H_TaxEvt=1,ASO43+1&gt;=H_Deemed),ALO44,AIB44)</f>
        <v>0</v>
      </c>
      <c r="APC44" s="20" t="n">
        <f aca="false">IF(AND(H_Direct=0,H_TaxEvt=1,ASP43+1&gt;=H_Deemed),ALP44,AIC44)</f>
        <v>0</v>
      </c>
      <c r="APD44" s="20" t="n">
        <f aca="false">IF(AND(H_Direct=0,H_TaxEvt=1,ASQ43+1&gt;=H_Deemed),ALQ44,AID44)</f>
        <v>0</v>
      </c>
      <c r="APE44" s="20" t="n">
        <f aca="false">IF(AND(H_Direct=0,H_TaxEvt=1,ASR43+1&gt;=H_Deemed),ALR44,AIE44)</f>
        <v>49744.844133301</v>
      </c>
      <c r="APF44" s="20" t="n">
        <f aca="false">IF(AND(H_Direct=0,H_TaxEvt=1,ASS43+1&gt;=H_Deemed),ALS44,AIF44)</f>
        <v>0</v>
      </c>
      <c r="APG44" s="20" t="n">
        <f aca="false">IF(AND(H_Direct=0,H_TaxEvt=1,AST43+1&gt;=H_Deemed),ALT44,AIG44)</f>
        <v>0</v>
      </c>
      <c r="APH44" s="20" t="n">
        <f aca="false">IF(AND(H_Direct=0,H_TaxEvt=1,ASU43+1&gt;=H_Deemed),ALU44,AIH44)</f>
        <v>2124.66093886866</v>
      </c>
      <c r="API44" s="20" t="n">
        <f aca="false">IF(AND(H_Direct=0,H_TaxEvt=1,ASV43+1&gt;=H_Deemed),ALV44,AII44)</f>
        <v>0</v>
      </c>
      <c r="APJ44" s="20" t="n">
        <f aca="false">IF(AND(H_Direct=0,H_TaxEvt=1,ASW43+1&gt;=H_Deemed),ALW44,AIJ44)</f>
        <v>0</v>
      </c>
      <c r="APK44" s="20" t="n">
        <f aca="false">IF(AND(H_Direct=0,H_TaxEvt=1,ASX43+1&gt;=H_Deemed),ALX44,AIK44)</f>
        <v>0</v>
      </c>
      <c r="APL44" s="20" t="n">
        <f aca="false">IF(AND(H_Direct=0,H_TaxEvt=1,ASY43+1&gt;=H_Deemed),ALY44,AIL44)</f>
        <v>0</v>
      </c>
      <c r="APM44" s="20" t="n">
        <f aca="false">IF(AND(H_Direct=0,H_TaxEvt=1,ASZ43+1&gt;=H_Deemed),ALZ44,AIM44)</f>
        <v>0</v>
      </c>
      <c r="APN44" s="20" t="n">
        <f aca="false">IF(AND(H_Direct=0,H_TaxEvt=1,ATA43+1&gt;=H_Deemed),AMA44,AIN44)</f>
        <v>0</v>
      </c>
      <c r="APO44" s="20" t="n">
        <f aca="false">IF(AND(H_Direct=0,H_TaxEvt=1,ATB43+1&gt;=H_Deemed),AMB44,AIO44)</f>
        <v>0</v>
      </c>
      <c r="APP44" s="20" t="n">
        <f aca="false">IF(AND(H_Direct=0,H_TaxEvt=1,0+1&gt;=H_Deemed),AMC44,AIP44)</f>
        <v>0</v>
      </c>
      <c r="APQ44" s="20" t="n">
        <v>0</v>
      </c>
      <c r="APR44" s="20" t="n">
        <v>0</v>
      </c>
      <c r="APS44" s="20" t="n">
        <v>0</v>
      </c>
      <c r="APT44" s="20" t="n">
        <v>0</v>
      </c>
      <c r="APU44" s="20" t="n">
        <v>0</v>
      </c>
      <c r="APV44" s="20" t="n">
        <v>0</v>
      </c>
      <c r="APW44" s="20" t="n">
        <v>0</v>
      </c>
      <c r="APX44" s="20" t="n">
        <v>0</v>
      </c>
      <c r="APY44" s="20" t="n">
        <v>0</v>
      </c>
      <c r="APZ44" s="20" t="n">
        <v>0</v>
      </c>
      <c r="AQA44" s="20" t="n">
        <v>0</v>
      </c>
      <c r="AQB44" s="20" t="n">
        <v>0</v>
      </c>
      <c r="AQC44" s="20" t="n">
        <v>0</v>
      </c>
      <c r="AQD44" s="20" t="n">
        <v>0</v>
      </c>
      <c r="AQE44" s="20" t="n">
        <v>0</v>
      </c>
      <c r="AQF44" s="20" t="n">
        <v>0</v>
      </c>
      <c r="AQG44" s="20" t="n">
        <v>0</v>
      </c>
      <c r="AQH44" s="20" t="n">
        <v>0</v>
      </c>
      <c r="AQI44" s="20" t="n">
        <v>0</v>
      </c>
      <c r="AQJ44" s="20" t="n">
        <v>0</v>
      </c>
      <c r="AQK44" s="20" t="n">
        <v>0</v>
      </c>
      <c r="AQL44" s="20" t="n">
        <v>0</v>
      </c>
      <c r="AQM44" s="20" t="n">
        <v>0</v>
      </c>
      <c r="AQN44" s="20" t="n">
        <v>0</v>
      </c>
      <c r="AQO44" s="20" t="n">
        <v>0</v>
      </c>
      <c r="AQP44" s="20" t="n">
        <v>0</v>
      </c>
      <c r="AQQ44" s="20" t="n">
        <v>0</v>
      </c>
      <c r="AQR44" s="20" t="n">
        <v>0</v>
      </c>
      <c r="AQS44" s="20" t="n">
        <v>0</v>
      </c>
      <c r="AQT44" s="20" t="n">
        <v>0</v>
      </c>
      <c r="AQU44" s="20" t="n">
        <v>0</v>
      </c>
      <c r="AQV44" s="20" t="n">
        <v>0</v>
      </c>
      <c r="AQW44" s="20" t="n">
        <v>0</v>
      </c>
      <c r="AQX44" s="20" t="n">
        <v>0</v>
      </c>
      <c r="AQY44" s="20" t="n">
        <v>0</v>
      </c>
      <c r="AQZ44" s="20" t="n">
        <v>0</v>
      </c>
      <c r="ARA44" s="20" t="n">
        <v>0</v>
      </c>
      <c r="ARB44" s="20" t="n">
        <v>0</v>
      </c>
      <c r="ARC44" s="20" t="n">
        <v>0</v>
      </c>
      <c r="ARD44" s="20" t="n">
        <v>0</v>
      </c>
      <c r="ARE44" s="20" t="n">
        <v>0</v>
      </c>
      <c r="ARF44" s="20" t="n">
        <v>0</v>
      </c>
      <c r="ARG44" s="20" t="n">
        <v>0</v>
      </c>
      <c r="ARH44" s="20" t="n">
        <v>0</v>
      </c>
      <c r="ARI44" s="20" t="n">
        <v>0</v>
      </c>
      <c r="ARJ44" s="20" t="n">
        <v>0</v>
      </c>
      <c r="ARK44" s="20" t="n">
        <v>0</v>
      </c>
      <c r="ARL44" s="20" t="n">
        <v>0</v>
      </c>
      <c r="ARM44" s="20" t="n">
        <v>0</v>
      </c>
      <c r="ARN44" s="20" t="n">
        <v>0</v>
      </c>
      <c r="ARO44" s="20" t="n">
        <v>0</v>
      </c>
      <c r="ARP44" s="20" t="n">
        <v>0</v>
      </c>
      <c r="ARQ44" s="20" t="n">
        <v>0</v>
      </c>
      <c r="ARR44" s="20" t="n">
        <f aca="false">IF(AND(H_Direct=0,H_TaxEvt=1),IF(ARR43+1&gt;=H_Deemed,0,ARR43+1),ARR43)</f>
        <v>5</v>
      </c>
      <c r="ARS44" s="20" t="n">
        <f aca="false">IF(AND(H_Direct=0,H_TaxEvt=1),IF(ARS43+1&gt;=H_Deemed,0,ARS43+1),ARS43)</f>
        <v>5</v>
      </c>
      <c r="ART44" s="20" t="n">
        <f aca="false">IF(AND(H_Direct=0,H_TaxEvt=1),IF(ART43+1&gt;=H_Deemed,0,ART43+1),ART43)</f>
        <v>4</v>
      </c>
      <c r="ARU44" s="20" t="n">
        <f aca="false">IF(AND(H_Direct=0,H_TaxEvt=1),IF(ARU43+1&gt;=H_Deemed,0,ARU43+1),ARU43)</f>
        <v>3</v>
      </c>
      <c r="ARV44" s="20" t="n">
        <f aca="false">IF(AND(H_Direct=0,H_TaxEvt=1),IF(ARV43+1&gt;=H_Deemed,0,ARV43+1),ARV43)</f>
        <v>2</v>
      </c>
      <c r="ARW44" s="20" t="n">
        <f aca="false">IF(AND(H_Direct=0,H_TaxEvt=1),IF(ARW43+1&gt;=H_Deemed,0,ARW43+1),ARW43)</f>
        <v>1</v>
      </c>
      <c r="ARX44" s="20" t="n">
        <f aca="false">IF(AND(H_Direct=0,H_TaxEvt=1),IF(ARX43+1&gt;=H_Deemed,0,ARX43+1),ARX43)</f>
        <v>0</v>
      </c>
      <c r="ARY44" s="20" t="n">
        <f aca="false">IF(AND(H_Direct=0,H_TaxEvt=1),IF(ARY43+1&gt;=H_Deemed,0,ARY43+1),ARY43)</f>
        <v>7</v>
      </c>
      <c r="ARZ44" s="20" t="n">
        <f aca="false">IF(AND(H_Direct=0,H_TaxEvt=1),IF(ARZ43+1&gt;=H_Deemed,0,ARZ43+1),ARZ43)</f>
        <v>6</v>
      </c>
      <c r="ASA44" s="20" t="n">
        <f aca="false">IF(AND(H_Direct=0,H_TaxEvt=1),IF(ASA43+1&gt;=H_Deemed,0,ASA43+1),ASA43)</f>
        <v>5</v>
      </c>
      <c r="ASB44" s="20" t="n">
        <f aca="false">IF(AND(H_Direct=0,H_TaxEvt=1),IF(ASB43+1&gt;=H_Deemed,0,ASB43+1),ASB43)</f>
        <v>4</v>
      </c>
      <c r="ASC44" s="20" t="n">
        <f aca="false">IF(AND(H_Direct=0,H_TaxEvt=1),IF(ASC43+1&gt;=H_Deemed,0,ASC43+1),ASC43)</f>
        <v>3</v>
      </c>
      <c r="ASD44" s="20" t="n">
        <f aca="false">IF(AND(H_Direct=0,H_TaxEvt=1),IF(ASD43+1&gt;=H_Deemed,0,ASD43+1),ASD43)</f>
        <v>2</v>
      </c>
      <c r="ASE44" s="20" t="n">
        <f aca="false">IF(AND(H_Direct=0,H_TaxEvt=1),IF(ASE43+1&gt;=H_Deemed,0,ASE43+1),ASE43)</f>
        <v>1</v>
      </c>
      <c r="ASF44" s="20" t="n">
        <f aca="false">IF(AND(H_Direct=0,H_TaxEvt=1),IF(ASF43+1&gt;=H_Deemed,0,ASF43+1),ASF43)</f>
        <v>0</v>
      </c>
      <c r="ASG44" s="20" t="n">
        <f aca="false">IF(AND(H_Direct=0,H_TaxEvt=1),IF(ASG43+1&gt;=H_Deemed,0,ASG43+1),ASG43)</f>
        <v>7</v>
      </c>
      <c r="ASH44" s="20" t="n">
        <f aca="false">IF(AND(H_Direct=0,H_TaxEvt=1),IF(ASH43+1&gt;=H_Deemed,0,ASH43+1),ASH43)</f>
        <v>6</v>
      </c>
      <c r="ASI44" s="20" t="n">
        <f aca="false">IF(AND(H_Direct=0,H_TaxEvt=1),IF(ASI43+1&gt;=H_Deemed,0,ASI43+1),ASI43)</f>
        <v>5</v>
      </c>
      <c r="ASJ44" s="20" t="n">
        <f aca="false">IF(AND(H_Direct=0,H_TaxEvt=1),IF(ASJ43+1&gt;=H_Deemed,0,ASJ43+1),ASJ43)</f>
        <v>4</v>
      </c>
      <c r="ASK44" s="20" t="n">
        <f aca="false">IF(AND(H_Direct=0,H_TaxEvt=1),IF(ASK43+1&gt;=H_Deemed,0,ASK43+1),ASK43)</f>
        <v>3</v>
      </c>
      <c r="ASL44" s="20" t="n">
        <f aca="false">IF(AND(H_Direct=0,H_TaxEvt=1),IF(ASL43+1&gt;=H_Deemed,0,ASL43+1),ASL43)</f>
        <v>2</v>
      </c>
      <c r="ASM44" s="20" t="n">
        <f aca="false">IF(AND(H_Direct=0,H_TaxEvt=1),IF(ASM43+1&gt;=H_Deemed,0,ASM43+1),ASM43)</f>
        <v>1</v>
      </c>
      <c r="ASN44" s="20" t="n">
        <f aca="false">IF(AND(H_Direct=0,H_TaxEvt=1),IF(ASN43+1&gt;=H_Deemed,0,ASN43+1),ASN43)</f>
        <v>0</v>
      </c>
      <c r="ASO44" s="20" t="n">
        <f aca="false">IF(AND(H_Direct=0,H_TaxEvt=1),IF(ASO43+1&gt;=H_Deemed,0,ASO43+1),ASO43)</f>
        <v>7</v>
      </c>
      <c r="ASP44" s="20" t="n">
        <f aca="false">IF(AND(H_Direct=0,H_TaxEvt=1),IF(ASP43+1&gt;=H_Deemed,0,ASP43+1),ASP43)</f>
        <v>6</v>
      </c>
      <c r="ASQ44" s="20" t="n">
        <f aca="false">IF(AND(H_Direct=0,H_TaxEvt=1),IF(ASQ43+1&gt;=H_Deemed,0,ASQ43+1),ASQ43)</f>
        <v>5</v>
      </c>
      <c r="ASR44" s="20" t="n">
        <f aca="false">IF(AND(H_Direct=0,H_TaxEvt=1),IF(ASR43+1&gt;=H_Deemed,0,ASR43+1),ASR43)</f>
        <v>4</v>
      </c>
      <c r="ASS44" s="20" t="n">
        <f aca="false">IF(AND(H_Direct=0,H_TaxEvt=1),IF(ASS43+1&gt;=H_Deemed,0,ASS43+1),ASS43)</f>
        <v>3</v>
      </c>
      <c r="AST44" s="20" t="n">
        <f aca="false">IF(AND(H_Direct=0,H_TaxEvt=1),IF(AST43+1&gt;=H_Deemed,0,AST43+1),AST43)</f>
        <v>2</v>
      </c>
      <c r="ASU44" s="20" t="n">
        <f aca="false">IF(AND(H_Direct=0,H_TaxEvt=1),IF(ASU43+1&gt;=H_Deemed,0,ASU43+1),ASU43)</f>
        <v>1</v>
      </c>
      <c r="ASV44" s="20" t="n">
        <f aca="false">IF(AND(H_Direct=0,H_TaxEvt=1),IF(ASV43+1&gt;=H_Deemed,0,ASV43+1),ASV43)</f>
        <v>0</v>
      </c>
      <c r="ASW44" s="20" t="n">
        <f aca="false">IF(AND(H_Direct=0,H_TaxEvt=1),IF(ASW43+1&gt;=H_Deemed,0,ASW43+1),ASW43)</f>
        <v>7</v>
      </c>
      <c r="ASX44" s="20" t="n">
        <f aca="false">IF(AND(H_Direct=0,H_TaxEvt=1),IF(ASX43+1&gt;=H_Deemed,0,ASX43+1),ASX43)</f>
        <v>6</v>
      </c>
      <c r="ASY44" s="20" t="n">
        <f aca="false">IF(AND(H_Direct=0,H_TaxEvt=1),IF(ASY43+1&gt;=H_Deemed,0,ASY43+1),ASY43)</f>
        <v>5</v>
      </c>
      <c r="ASZ44" s="20" t="n">
        <f aca="false">IF(AND(H_Direct=0,H_TaxEvt=1),IF(ASZ43+1&gt;=H_Deemed,0,ASZ43+1),ASZ43)</f>
        <v>4</v>
      </c>
      <c r="ATA44" s="20" t="n">
        <f aca="false">IF(AND(H_Direct=0,H_TaxEvt=1),IF(ATA43+1&gt;=H_Deemed,0,ATA43+1),ATA43)</f>
        <v>3</v>
      </c>
      <c r="ATB44" s="20" t="n">
        <f aca="false">IF(AND(H_Direct=0,H_TaxEvt=1),IF(ATB43+1&gt;=H_Deemed,0,ATB43+1),ATB43)</f>
        <v>2</v>
      </c>
      <c r="ATC44" s="20" t="n">
        <f aca="false">IF(AND(H_Direct=0,H_TaxEvt=1),IF(0+1&gt;=H_Deemed,0,0+1),0)</f>
        <v>1</v>
      </c>
      <c r="ATD44" s="20" t="n">
        <v>0</v>
      </c>
      <c r="ATE44" s="20" t="n">
        <v>0</v>
      </c>
      <c r="ATF44" s="20" t="n">
        <v>0</v>
      </c>
      <c r="ATG44" s="20" t="n">
        <v>0</v>
      </c>
      <c r="ATH44" s="20" t="n">
        <v>0</v>
      </c>
      <c r="ATI44" s="20" t="n">
        <v>0</v>
      </c>
      <c r="ATJ44" s="20" t="n">
        <v>0</v>
      </c>
      <c r="ATK44" s="20" t="n">
        <v>0</v>
      </c>
      <c r="ATL44" s="20" t="n">
        <v>0</v>
      </c>
      <c r="ATM44" s="20" t="n">
        <v>0</v>
      </c>
      <c r="ATN44" s="20" t="n">
        <v>0</v>
      </c>
      <c r="ATO44" s="20" t="n">
        <v>0</v>
      </c>
      <c r="ATP44" s="20" t="n">
        <v>0</v>
      </c>
      <c r="ATQ44" s="20" t="n">
        <v>0</v>
      </c>
      <c r="ATR44" s="20" t="n">
        <v>0</v>
      </c>
      <c r="ATS44" s="20" t="n">
        <v>0</v>
      </c>
      <c r="ATT44" s="20" t="n">
        <v>0</v>
      </c>
      <c r="ATU44" s="20" t="n">
        <v>0</v>
      </c>
      <c r="ATV44" s="20" t="n">
        <v>0</v>
      </c>
      <c r="ATW44" s="20" t="n">
        <v>0</v>
      </c>
      <c r="ATX44" s="20" t="n">
        <v>0</v>
      </c>
      <c r="ATY44" s="20" t="n">
        <v>0</v>
      </c>
      <c r="ATZ44" s="20" t="n">
        <v>0</v>
      </c>
      <c r="AUA44" s="20" t="n">
        <v>0</v>
      </c>
      <c r="AUB44" s="20" t="n">
        <v>0</v>
      </c>
      <c r="AUC44" s="20" t="n">
        <v>0</v>
      </c>
      <c r="AUD44" s="20" t="n">
        <v>0</v>
      </c>
      <c r="AUE44" s="20" t="n">
        <v>0</v>
      </c>
      <c r="AUF44" s="20" t="n">
        <v>0</v>
      </c>
      <c r="AUG44" s="20" t="n">
        <v>0</v>
      </c>
      <c r="AUH44" s="20" t="n">
        <v>0</v>
      </c>
      <c r="AUI44" s="20" t="n">
        <v>0</v>
      </c>
      <c r="AUJ44" s="20" t="n">
        <v>0</v>
      </c>
      <c r="AUK44" s="20" t="n">
        <v>0</v>
      </c>
      <c r="AUL44" s="20" t="n">
        <v>0</v>
      </c>
      <c r="AUM44" s="20" t="n">
        <v>0</v>
      </c>
      <c r="AUN44" s="20" t="n">
        <v>0</v>
      </c>
      <c r="AUO44" s="20" t="n">
        <v>0</v>
      </c>
      <c r="AUP44" s="20" t="n">
        <v>0</v>
      </c>
      <c r="AUQ44" s="20" t="n">
        <v>0</v>
      </c>
      <c r="AUR44" s="20" t="n">
        <v>0</v>
      </c>
      <c r="AUS44" s="20" t="n">
        <v>0</v>
      </c>
      <c r="AUT44" s="20" t="n">
        <v>0</v>
      </c>
      <c r="AUU44" s="20" t="n">
        <v>0</v>
      </c>
      <c r="AUV44" s="20" t="n">
        <v>0</v>
      </c>
      <c r="AUW44" s="20" t="n">
        <v>0</v>
      </c>
      <c r="AUX44" s="20" t="n">
        <v>0</v>
      </c>
      <c r="AUY44" s="20" t="n">
        <v>0</v>
      </c>
      <c r="AUZ44" s="20" t="n">
        <v>0</v>
      </c>
      <c r="AVA44" s="20" t="n">
        <v>0</v>
      </c>
      <c r="AVB44" s="20" t="n">
        <v>0</v>
      </c>
      <c r="AVC44" s="20" t="n">
        <v>0</v>
      </c>
      <c r="AVD44" s="20" t="n">
        <v>0</v>
      </c>
      <c r="AVE44" s="20" t="n">
        <f aca="false">IF(AND(H_Direct=0,H_TaxEvt=1,ARR43+1&gt;=H_Deemed),MAX(0,ADR44-AHE44)*H_Exit,0)</f>
        <v>0</v>
      </c>
      <c r="AVF44" s="20" t="n">
        <f aca="false">IF(AND(H_Direct=0,H_TaxEvt=1,ARS43+1&gt;=H_Deemed),MAX(0,ADS44-AHF44)*H_Exit,0)</f>
        <v>0</v>
      </c>
      <c r="AVG44" s="20" t="n">
        <f aca="false">IF(AND(H_Direct=0,H_TaxEvt=1,ART43+1&gt;=H_Deemed),MAX(0,ADT44-AHG44)*H_Exit,0)</f>
        <v>0</v>
      </c>
      <c r="AVH44" s="20" t="n">
        <f aca="false">IF(AND(H_Direct=0,H_TaxEvt=1,ARU43+1&gt;=H_Deemed),MAX(0,ADU44-AHH44)*H_Exit,0)</f>
        <v>0</v>
      </c>
      <c r="AVI44" s="20" t="n">
        <f aca="false">IF(AND(H_Direct=0,H_TaxEvt=1,ARV43+1&gt;=H_Deemed),MAX(0,ADV44-AHI44)*H_Exit,0)</f>
        <v>0</v>
      </c>
      <c r="AVJ44" s="20" t="n">
        <f aca="false">IF(AND(H_Direct=0,H_TaxEvt=1,ARW43+1&gt;=H_Deemed),MAX(0,ADW44-AHJ44)*H_Exit,0)</f>
        <v>0</v>
      </c>
      <c r="AVK44" s="20" t="n">
        <f aca="false">IF(AND(H_Direct=0,H_TaxEvt=1,ARX43+1&gt;=H_Deemed),MAX(0,ADX44-AHK44)*H_Exit,0)</f>
        <v>0</v>
      </c>
      <c r="AVL44" s="20" t="n">
        <f aca="false">IF(AND(H_Direct=0,H_TaxEvt=1,ARY43+1&gt;=H_Deemed),MAX(0,ADY44-AHL44)*H_Exit,0)</f>
        <v>0</v>
      </c>
      <c r="AVM44" s="20" t="n">
        <f aca="false">IF(AND(H_Direct=0,H_TaxEvt=1,ARZ43+1&gt;=H_Deemed),MAX(0,ADZ44-AHM44)*H_Exit,0)</f>
        <v>0</v>
      </c>
      <c r="AVN44" s="20" t="n">
        <f aca="false">IF(AND(H_Direct=0,H_TaxEvt=1,ASA43+1&gt;=H_Deemed),MAX(0,AEA44-AHN44)*H_Exit,0)</f>
        <v>0</v>
      </c>
      <c r="AVO44" s="20" t="n">
        <f aca="false">IF(AND(H_Direct=0,H_TaxEvt=1,ASB43+1&gt;=H_Deemed),MAX(0,AEB44-AHO44)*H_Exit,0)</f>
        <v>0</v>
      </c>
      <c r="AVP44" s="20" t="n">
        <f aca="false">IF(AND(H_Direct=0,H_TaxEvt=1,ASC43+1&gt;=H_Deemed),MAX(0,AEC44-AHP44)*H_Exit,0)</f>
        <v>0</v>
      </c>
      <c r="AVQ44" s="20" t="n">
        <f aca="false">IF(AND(H_Direct=0,H_TaxEvt=1,ASD43+1&gt;=H_Deemed),MAX(0,AED44-AHQ44)*H_Exit,0)</f>
        <v>0</v>
      </c>
      <c r="AVR44" s="20" t="n">
        <f aca="false">IF(AND(H_Direct=0,H_TaxEvt=1,ASE43+1&gt;=H_Deemed),MAX(0,AEE44-AHR44)*H_Exit,0)</f>
        <v>0</v>
      </c>
      <c r="AVS44" s="20" t="n">
        <f aca="false">IF(AND(H_Direct=0,H_TaxEvt=1,ASF43+1&gt;=H_Deemed),MAX(0,AEF44-AHS44)*H_Exit,0)</f>
        <v>0</v>
      </c>
      <c r="AVT44" s="20" t="n">
        <f aca="false">IF(AND(H_Direct=0,H_TaxEvt=1,ASG43+1&gt;=H_Deemed),MAX(0,AEG44-AHT44)*H_Exit,0)</f>
        <v>0</v>
      </c>
      <c r="AVU44" s="20" t="n">
        <f aca="false">IF(AND(H_Direct=0,H_TaxEvt=1,ASH43+1&gt;=H_Deemed),MAX(0,AEH44-AHU44)*H_Exit,0)</f>
        <v>0</v>
      </c>
      <c r="AVV44" s="20" t="n">
        <f aca="false">IF(AND(H_Direct=0,H_TaxEvt=1,ASI43+1&gt;=H_Deemed),MAX(0,AEI44-AHV44)*H_Exit,0)</f>
        <v>0</v>
      </c>
      <c r="AVW44" s="20" t="n">
        <f aca="false">IF(AND(H_Direct=0,H_TaxEvt=1,ASJ43+1&gt;=H_Deemed),MAX(0,AEJ44-AHW44)*H_Exit,0)</f>
        <v>0</v>
      </c>
      <c r="AVX44" s="20" t="n">
        <f aca="false">IF(AND(H_Direct=0,H_TaxEvt=1,ASK43+1&gt;=H_Deemed),MAX(0,AEK44-AHX44)*H_Exit,0)</f>
        <v>0</v>
      </c>
      <c r="AVY44" s="20" t="n">
        <f aca="false">IF(AND(H_Direct=0,H_TaxEvt=1,ASL43+1&gt;=H_Deemed),MAX(0,AEL44-AHY44)*H_Exit,0)</f>
        <v>0</v>
      </c>
      <c r="AVZ44" s="20" t="n">
        <f aca="false">IF(AND(H_Direct=0,H_TaxEvt=1,ASM43+1&gt;=H_Deemed),MAX(0,AEM44-AHZ44)*H_Exit,0)</f>
        <v>0</v>
      </c>
      <c r="AWA44" s="20" t="n">
        <f aca="false">IF(AND(H_Direct=0,H_TaxEvt=1,ASN43+1&gt;=H_Deemed),MAX(0,AEN44-AIA44)*H_Exit,0)</f>
        <v>0</v>
      </c>
      <c r="AWB44" s="20" t="n">
        <f aca="false">IF(AND(H_Direct=0,H_TaxEvt=1,ASO43+1&gt;=H_Deemed),MAX(0,AEO44-AIB44)*H_Exit,0)</f>
        <v>0</v>
      </c>
      <c r="AWC44" s="20" t="n">
        <f aca="false">IF(AND(H_Direct=0,H_TaxEvt=1,ASP43+1&gt;=H_Deemed),MAX(0,AEP44-AIC44)*H_Exit,0)</f>
        <v>0</v>
      </c>
      <c r="AWD44" s="20" t="n">
        <f aca="false">IF(AND(H_Direct=0,H_TaxEvt=1,ASQ43+1&gt;=H_Deemed),MAX(0,AEQ44-AID44)*H_Exit,0)</f>
        <v>0</v>
      </c>
      <c r="AWE44" s="20" t="n">
        <f aca="false">IF(AND(H_Direct=0,H_TaxEvt=1,ASR43+1&gt;=H_Deemed),MAX(0,AER44-AIE44)*H_Exit,0)</f>
        <v>0</v>
      </c>
      <c r="AWF44" s="20" t="n">
        <f aca="false">IF(AND(H_Direct=0,H_TaxEvt=1,ASS43+1&gt;=H_Deemed),MAX(0,AES44-AIF44)*H_Exit,0)</f>
        <v>0</v>
      </c>
      <c r="AWG44" s="20" t="n">
        <f aca="false">IF(AND(H_Direct=0,H_TaxEvt=1,AST43+1&gt;=H_Deemed),MAX(0,AET44-AIG44)*H_Exit,0)</f>
        <v>0</v>
      </c>
      <c r="AWH44" s="20" t="n">
        <f aca="false">IF(AND(H_Direct=0,H_TaxEvt=1,ASU43+1&gt;=H_Deemed),MAX(0,AEU44-AIH44)*H_Exit,0)</f>
        <v>0</v>
      </c>
      <c r="AWI44" s="20" t="n">
        <f aca="false">IF(AND(H_Direct=0,H_TaxEvt=1,ASV43+1&gt;=H_Deemed),MAX(0,AEV44-AII44)*H_Exit,0)</f>
        <v>0</v>
      </c>
      <c r="AWJ44" s="20" t="n">
        <f aca="false">IF(AND(H_Direct=0,H_TaxEvt=1,ASW43+1&gt;=H_Deemed),MAX(0,AEW44-AIJ44)*H_Exit,0)</f>
        <v>0</v>
      </c>
      <c r="AWK44" s="20" t="n">
        <f aca="false">IF(AND(H_Direct=0,H_TaxEvt=1,ASX43+1&gt;=H_Deemed),MAX(0,AEX44-AIK44)*H_Exit,0)</f>
        <v>0</v>
      </c>
      <c r="AWL44" s="20" t="n">
        <f aca="false">IF(AND(H_Direct=0,H_TaxEvt=1,ASY43+1&gt;=H_Deemed),MAX(0,AEY44-AIL44)*H_Exit,0)</f>
        <v>0</v>
      </c>
      <c r="AWM44" s="20" t="n">
        <f aca="false">IF(AND(H_Direct=0,H_TaxEvt=1,ASZ43+1&gt;=H_Deemed),MAX(0,AEZ44-AIM44)*H_Exit,0)</f>
        <v>0</v>
      </c>
      <c r="AWN44" s="20" t="n">
        <f aca="false">IF(AND(H_Direct=0,H_TaxEvt=1,ATA43+1&gt;=H_Deemed),MAX(0,AFA44-AIN44)*H_Exit,0)</f>
        <v>0</v>
      </c>
      <c r="AWO44" s="20" t="n">
        <f aca="false">IF(AND(H_Direct=0,H_TaxEvt=1,ATB43+1&gt;=H_Deemed),MAX(0,AFB44-AIO44)*H_Exit,0)</f>
        <v>0</v>
      </c>
      <c r="AWP44" s="20" t="n">
        <f aca="false">IF(AND(H_Direct=0,H_TaxEvt=1,0+1&gt;=H_Deemed),MAX(0,AFC44-AIP44)*H_Exit,0)</f>
        <v>0</v>
      </c>
      <c r="AWQ44" s="20" t="n">
        <v>0</v>
      </c>
      <c r="AWR44" s="20" t="n">
        <v>0</v>
      </c>
      <c r="AWS44" s="20" t="n">
        <v>0</v>
      </c>
      <c r="AWT44" s="20" t="n">
        <v>0</v>
      </c>
      <c r="AWU44" s="20" t="n">
        <v>0</v>
      </c>
      <c r="AWV44" s="20" t="n">
        <v>0</v>
      </c>
      <c r="AWW44" s="20" t="n">
        <v>0</v>
      </c>
      <c r="AWX44" s="20" t="n">
        <v>0</v>
      </c>
      <c r="AWY44" s="20" t="n">
        <v>0</v>
      </c>
      <c r="AWZ44" s="20" t="n">
        <v>0</v>
      </c>
      <c r="AXA44" s="20" t="n">
        <v>0</v>
      </c>
      <c r="AXB44" s="20" t="n">
        <v>0</v>
      </c>
      <c r="AXC44" s="20" t="n">
        <v>0</v>
      </c>
      <c r="AXD44" s="20" t="n">
        <v>0</v>
      </c>
      <c r="AXE44" s="20" t="n">
        <v>0</v>
      </c>
      <c r="AXF44" s="20" t="n">
        <v>0</v>
      </c>
      <c r="AXG44" s="20" t="n">
        <v>0</v>
      </c>
      <c r="AXH44" s="20" t="n">
        <v>0</v>
      </c>
      <c r="AXI44" s="20" t="n">
        <v>0</v>
      </c>
      <c r="AXJ44" s="20" t="n">
        <v>0</v>
      </c>
      <c r="AXK44" s="20" t="n">
        <v>0</v>
      </c>
      <c r="AXL44" s="20" t="n">
        <v>0</v>
      </c>
      <c r="AXM44" s="20" t="n">
        <v>0</v>
      </c>
      <c r="AXN44" s="20" t="n">
        <v>0</v>
      </c>
      <c r="AXO44" s="20" t="n">
        <v>0</v>
      </c>
      <c r="AXP44" s="20" t="n">
        <v>0</v>
      </c>
      <c r="AXQ44" s="20" t="n">
        <v>0</v>
      </c>
      <c r="AXR44" s="20" t="n">
        <v>0</v>
      </c>
      <c r="AXS44" s="20" t="n">
        <v>0</v>
      </c>
      <c r="AXT44" s="20" t="n">
        <v>0</v>
      </c>
      <c r="AXU44" s="20" t="n">
        <v>0</v>
      </c>
      <c r="AXV44" s="20" t="n">
        <v>0</v>
      </c>
      <c r="AXW44" s="20" t="n">
        <v>0</v>
      </c>
      <c r="AXX44" s="20" t="n">
        <v>0</v>
      </c>
      <c r="AXY44" s="20" t="n">
        <v>0</v>
      </c>
      <c r="AXZ44" s="20" t="n">
        <v>0</v>
      </c>
      <c r="AYA44" s="20" t="n">
        <v>0</v>
      </c>
      <c r="AYB44" s="20" t="n">
        <v>0</v>
      </c>
      <c r="AYC44" s="20" t="n">
        <v>0</v>
      </c>
      <c r="AYD44" s="20" t="n">
        <v>0</v>
      </c>
      <c r="AYE44" s="20" t="n">
        <v>0</v>
      </c>
      <c r="AYF44" s="20" t="n">
        <v>0</v>
      </c>
      <c r="AYG44" s="20" t="n">
        <v>0</v>
      </c>
      <c r="AYH44" s="20" t="n">
        <v>0</v>
      </c>
      <c r="AYI44" s="20" t="n">
        <v>0</v>
      </c>
      <c r="AYJ44" s="20" t="n">
        <v>0</v>
      </c>
      <c r="AYK44" s="20" t="n">
        <v>0</v>
      </c>
      <c r="AYL44" s="20" t="n">
        <v>0</v>
      </c>
      <c r="AYM44" s="20" t="n">
        <v>0</v>
      </c>
      <c r="AYN44" s="20" t="n">
        <v>0</v>
      </c>
      <c r="AYO44" s="20" t="n">
        <v>0</v>
      </c>
      <c r="AYP44" s="20" t="n">
        <v>0</v>
      </c>
      <c r="AYQ44" s="20" t="n">
        <v>0</v>
      </c>
    </row>
    <row r="45" customFormat="false" ht="15" hidden="false" customHeight="false" outlineLevel="0" collapsed="false">
      <c r="B45" s="20" t="n">
        <v>37</v>
      </c>
      <c r="C45" s="20" t="n">
        <f aca="false">'Plan cashflow'!C45</f>
        <v>1</v>
      </c>
      <c r="D45" s="20" t="n">
        <f aca="false">'Plan cashflow'!D45</f>
        <v>75</v>
      </c>
      <c r="E45" s="20" t="n">
        <f aca="false">AS_Year0+37</f>
        <v>2063</v>
      </c>
      <c r="F45" s="50" t="n">
        <f aca="false">'Plan cashflow'!F45</f>
        <v>2.08068509059002</v>
      </c>
      <c r="G45" s="59" t="n">
        <f aca="true">IF(MAX(TODAY(),DATE(E45,1,1))&gt;=H_CGTfrom,H_CGT1,H_CGT0)</f>
        <v>0.31</v>
      </c>
      <c r="H45" s="20" t="n">
        <f aca="false">H_Exempt*H_Persons</f>
        <v>1270</v>
      </c>
      <c r="I45" s="20" t="n">
        <f aca="false">AX44</f>
        <v>0</v>
      </c>
      <c r="J45" s="60" t="n">
        <f aca="false">BF44</f>
        <v>0</v>
      </c>
      <c r="K45" s="60" t="n">
        <f aca="false">BG44</f>
        <v>0</v>
      </c>
      <c r="L45" s="20" t="n">
        <f aca="false">IF(AND(In_polLump&gt;0,In_polLumpAge&gt;0,D45=In_polLumpAge),In_polLump,0)</f>
        <v>0</v>
      </c>
      <c r="M45" s="20" t="n">
        <f aca="false">IF(AND(In_homeUse="Yes, I'd downsize",In_downAge&gt;0,D45=In_downAge,OR(In_home="Own outright",In_home="Own with mortgage"),In_homeValue&gt;0),MAX(0,MAX(0,In_homeValue-In_downValue)*F45*0.9-'Plan cashflow'!HR44),0)</f>
        <v>0</v>
      </c>
      <c r="N45" s="20" t="n">
        <f aca="false">'Plan pay &amp; tax'!Y271</f>
        <v>0</v>
      </c>
      <c r="O45" s="20" t="n">
        <f aca="false">L45+M45+(1-H_Sh)*N45</f>
        <v>0</v>
      </c>
      <c r="P45" s="20" t="n">
        <f aca="false">H_Sh*N45</f>
        <v>0</v>
      </c>
      <c r="Q45" s="20" t="n">
        <f aca="false">'Plan cashflow'!UL45</f>
        <v>0</v>
      </c>
      <c r="R45" s="20" t="n">
        <f aca="false">(1-H_Sh)*Q45</f>
        <v>0</v>
      </c>
      <c r="S45" s="20" t="n">
        <f aca="false">H_Sh*Q45</f>
        <v>0</v>
      </c>
      <c r="T45" s="20" t="n">
        <f aca="false">J45+K45+O45</f>
        <v>0</v>
      </c>
      <c r="U45" s="20" t="n">
        <f aca="false">T45+R45</f>
        <v>0</v>
      </c>
      <c r="V45" s="60" t="n">
        <f aca="false">SUM(FE45:IQ45)</f>
        <v>57160.940970436</v>
      </c>
      <c r="W45" s="60" t="n">
        <f aca="false">IF(AJ45&lt;=0,0,IF(AL45&lt;=0,AJ45,AJ45-G45*MAX(0,AL45*AJ45-(AY45+AZ45))))</f>
        <v>0</v>
      </c>
      <c r="X45" s="60" t="n">
        <f aca="false">IF(AR45&lt;=0,0,IF(AT45&lt;=0,AR45,AR45-G45*MAX(0,AT45*AR45-(BA45+BB45))))</f>
        <v>0</v>
      </c>
      <c r="Y45" s="60" t="n">
        <f aca="false">T45+V45-S45+W45+X45</f>
        <v>57160.940970436</v>
      </c>
      <c r="Z45" s="60" t="n">
        <f aca="false">'Plan cashflow'!UK45</f>
        <v>23577.9911845889</v>
      </c>
      <c r="AA45" s="20" t="n">
        <f aca="false">MIN(Z45,U45)</f>
        <v>0</v>
      </c>
      <c r="AB45" s="20" t="n">
        <f aca="false">Z45-AA45</f>
        <v>23577.9911845889</v>
      </c>
      <c r="AC45" s="20" t="n">
        <f aca="false">MIN(AA45,J45+O45+R45)</f>
        <v>0</v>
      </c>
      <c r="AD45" s="20" t="n">
        <f aca="false">AA45-AC45</f>
        <v>0</v>
      </c>
      <c r="AE45" s="20" t="n">
        <f aca="false">J45+O45+R45-AC45</f>
        <v>0</v>
      </c>
      <c r="AF45" s="20" t="n">
        <f aca="false">K45-AD45</f>
        <v>0</v>
      </c>
      <c r="AG45" s="20" t="n">
        <f aca="false">SUM(PR45:TD45)</f>
        <v>23577.9911845889</v>
      </c>
      <c r="AH45" s="20" t="n">
        <f aca="false">SUM(TE45:WQ45)</f>
        <v>24954.8608436013</v>
      </c>
      <c r="AI45" s="20" t="n">
        <f aca="false">MAX(0,AB45-AG45)</f>
        <v>0</v>
      </c>
      <c r="AJ45" s="57" t="n">
        <f aca="false">BI44</f>
        <v>0</v>
      </c>
      <c r="AK45" s="20" t="n">
        <f aca="false">BJ44</f>
        <v>0</v>
      </c>
      <c r="AL45" s="20" t="n">
        <f aca="false">IF(AJ45&gt;0,(AJ45-AK45)/AJ45,0)</f>
        <v>0</v>
      </c>
      <c r="AM45" s="20" t="n">
        <f aca="false">IF(AJ45&lt;=0,0,IF(AL45&lt;=0,MIN(AI45,AJ45),MIN(AI45,AJ45-G45*MAX(0,AL45*AJ45-(AAD45+ADQ45)))))</f>
        <v>0</v>
      </c>
      <c r="AN45" s="20" t="n">
        <f aca="false">IF(AJ45&lt;=0,0,IF(AL45&lt;=0,AM45,IF(AM45&lt;=(AAD45+ADQ45)/AL45,AM45,(AM45-G45*(AAD45+ADQ45))/(1-G45*AL45))))</f>
        <v>0</v>
      </c>
      <c r="AO45" s="20" t="n">
        <f aca="false">IF(AL45&gt;0,MAX(0,AAD45-(MIN(AL45*AN45,(AAD45+ADQ45))-MIN(MIN(AL45*AN45,(AAD45+ADQ45)),ADQ45))),AAD45)</f>
        <v>1270</v>
      </c>
      <c r="AP45" s="20" t="n">
        <f aca="false">IF(AL45&lt;=0,ADQ45-AL45*AN45,ADQ45-MIN(MIN(AL45*AN45,(AAD45+ADQ45)),ADQ45))</f>
        <v>0</v>
      </c>
      <c r="AQ45" s="20" t="n">
        <f aca="false">MAX(0,AI45-AM45)</f>
        <v>0</v>
      </c>
      <c r="AR45" s="57" t="n">
        <f aca="false">BK44</f>
        <v>0</v>
      </c>
      <c r="AS45" s="20" t="n">
        <f aca="false">BL44</f>
        <v>0</v>
      </c>
      <c r="AT45" s="20" t="n">
        <f aca="false">IF(AR45&gt;0,(AR45-AS45)/AR45,0)</f>
        <v>0</v>
      </c>
      <c r="AU45" s="20" t="n">
        <f aca="false">IF(AR45&lt;=0,0,IF(AT45&lt;=0,MIN(AQ45,AR45),MIN(AQ45,AR45-G45*MAX(0,AT45*AR45-(AO45+AP45)))))</f>
        <v>0</v>
      </c>
      <c r="AV45" s="20" t="n">
        <f aca="false">IF(AR45&lt;=0,0,IF(AT45&lt;=0,AU45,IF(AU45&lt;=(AO45+AP45)/AT45,AU45,(AU45-G45*(AO45+AP45))/(1-G45*AT45))))</f>
        <v>0</v>
      </c>
      <c r="AW45" s="20" t="n">
        <f aca="false">IF(AT45&gt;0,MAX(0,AO45-(MIN(AT45*AV45,(AO45+AP45))-MIN(MIN(AT45*AV45,(AO45+AP45)),AP45))),AO45)</f>
        <v>1270</v>
      </c>
      <c r="AX45" s="20" t="n">
        <f aca="false">IF(AT45&lt;=0,AP45-AT45*AV45,AP45-MIN(MIN(AT45*AV45,(AO45+AP45)),AP45))</f>
        <v>0</v>
      </c>
      <c r="AY45" s="20" t="n">
        <f aca="false">MD45</f>
        <v>1270</v>
      </c>
      <c r="AZ45" s="20" t="n">
        <f aca="false">PQ45</f>
        <v>0</v>
      </c>
      <c r="BA45" s="20" t="n">
        <f aca="false">IF(AL45&gt;0,MAX(0,AY45-(MIN(AL45*AJ45,AY45+AZ45)-MIN(MIN(AL45*AJ45,AY45+AZ45),AZ45))),AY45)</f>
        <v>1270</v>
      </c>
      <c r="BB45" s="20" t="n">
        <f aca="false">IF(AL45&lt;=0,AZ45-AL45*AJ45,AZ45-MIN(MIN(AL45*AJ45,AY45+AZ45),AZ45))</f>
        <v>0</v>
      </c>
      <c r="BC45" s="20" t="n">
        <f aca="false">'Plan cashflow'!UM45</f>
        <v>0</v>
      </c>
      <c r="BD45" s="20" t="n">
        <f aca="false">(1-H_Sh)*BC45</f>
        <v>0</v>
      </c>
      <c r="BE45" s="20" t="n">
        <f aca="false">H_Sh*BC45</f>
        <v>0</v>
      </c>
      <c r="BF45" s="60" t="n">
        <f aca="false">(AE45+BD45)*(1+AS_Cash)</f>
        <v>0</v>
      </c>
      <c r="BG45" s="60" t="n">
        <f aca="false">AF45*(1+AS_Cash)</f>
        <v>0</v>
      </c>
      <c r="BH45" s="60" t="n">
        <f aca="false">SUM(AKR45:AOD45)</f>
        <v>36867.1869883514</v>
      </c>
      <c r="BI45" s="60" t="n">
        <f aca="false">(AJ45-AN45)*(1+AS_Infl)</f>
        <v>0</v>
      </c>
      <c r="BJ45" s="20" t="n">
        <f aca="false">IF(AJ45&gt;0,AK45-AK45*AN45/AJ45,0)</f>
        <v>0</v>
      </c>
      <c r="BK45" s="60" t="n">
        <f aca="false">(AR45-AV45)*(1+BQ45)</f>
        <v>0</v>
      </c>
      <c r="BL45" s="20" t="n">
        <f aca="false">IF(AR45&gt;0,AS45-AS45*AV45/AR45,0)</f>
        <v>0</v>
      </c>
      <c r="BM45" s="60" t="n">
        <f aca="false">BF45+BG45+BH45+BI45+BK45</f>
        <v>36867.1869883514</v>
      </c>
      <c r="BN45" s="60" t="n">
        <f aca="false">(AH45-AG45)+(AN45-AM45)+(AV45-AU45)</f>
        <v>1376.86965901238</v>
      </c>
      <c r="BO45" s="20" t="n">
        <f aca="false">(AE45+BD45+AF45+MAX(0,'Plan cashflow'!QH45)+IF(Slot1_Rate=AS_Cash,'Plan cashflow'!QM45/(1+AS_Cash),0)+IF(Slot2_Rate=AS_Cash,'Plan cashflow'!QQ45/(1+AS_Cash),0)+IF(Slot3_Rate=AS_Cash,'Plan cashflow'!QU45/(1+AS_Cash),0)+IF(Slot4_Rate=AS_Cash,'Plan cashflow'!QY45/(1+AS_Cash),0)+IF(Slot5_Rate=AS_Cash,'Plan cashflow'!RC45/(1+AS_Cash),0)+IF(Slot6_Rate=AS_Cash,'Plan cashflow'!RG45/(1+AS_Cash),0)+IF(Slot7_Rate=AS_Cash,'Plan cashflow'!RK45/(1+AS_Cash),0)+IF(Slot8_Rate=AS_Cash,'Plan cashflow'!RO45/(1+AS_Cash),0)+IF(Slot9_Rate=AS_Cash,'Plan cashflow'!RS45/(1+AS_Cash),0)+IF(Slot10_Rate=AS_Cash,'Plan cashflow'!RW45/(1+AS_Cash),0)+IF(Slot11_Rate=AS_Cash,'Plan cashflow'!SA45/(1+AS_Cash),0)+IF(Slot12_Rate=AS_Cash,'Plan cashflow'!SE45/(1+AS_Cash),0)+IF(Slot13_Rate=AS_Cash,'Plan cashflow'!SI45/(1+AS_Cash),0)+IF(Slot14_Rate=AS_Cash,'Plan cashflow'!SM45/(1+AS_Cash),0)+IF(Slot15_Rate=AS_Cash,'Plan cashflow'!SQ45/(1+AS_Cash),0)+IF(Slot16_Rate=AS_Cash,'Plan cashflow'!SU45/(1+AS_Cash),0)+IF(Slot17_Rate=AS_Cash,'Plan cashflow'!SY45/(1+AS_Cash),0)+IF(Slot18_Rate=AS_Cash,'Plan cashflow'!TC45/(1+AS_Cash),0)+IF(Slot19_Rate=AS_Cash,'Plan cashflow'!TG45/(1+AS_Cash),0)+IF(Slot20_Rate=AS_Cash,'Plan cashflow'!TK45/(1+AS_Cash),0))*AS_Cash*H_DIRT/(1-H_DIRT)</f>
        <v>79.390767605778</v>
      </c>
      <c r="BP45" s="60" t="n">
        <f aca="false">SUM(AVE45:AYQ45)</f>
        <v>0</v>
      </c>
      <c r="BQ45" s="54" t="n">
        <f aca="false">IF(H_TaxEvt=1,H_InvG,AS_Inv)</f>
        <v>0.04</v>
      </c>
      <c r="BR45" s="20" t="n">
        <f aca="false">IF(AKR44&gt;0,(AKR44-AOE44)/AKR44,0)</f>
        <v>0</v>
      </c>
      <c r="BS45" s="20" t="n">
        <f aca="false">IF(AKS44&gt;0,(AKS44-AOF44)/AKS44,0)</f>
        <v>0</v>
      </c>
      <c r="BT45" s="20" t="n">
        <f aca="false">IF(AKT44&gt;0,(AKT44-AOG44)/AKT44,0)</f>
        <v>0</v>
      </c>
      <c r="BU45" s="20" t="n">
        <f aca="false">IF(AKU44&gt;0,(AKU44-AOH44)/AKU44,0)</f>
        <v>0</v>
      </c>
      <c r="BV45" s="20" t="n">
        <f aca="false">IF(AKV44&gt;0,(AKV44-AOI44)/AKV44,0)</f>
        <v>0</v>
      </c>
      <c r="BW45" s="20" t="n">
        <f aca="false">IF(AKW44&gt;0,(AKW44-AOJ44)/AKW44,0)</f>
        <v>0</v>
      </c>
      <c r="BX45" s="20" t="n">
        <f aca="false">IF(AKX44&gt;0,(AKX44-AOK44)/AKX44,0)</f>
        <v>0</v>
      </c>
      <c r="BY45" s="20" t="n">
        <f aca="false">IF(AKY44&gt;0,(AKY44-AOL44)/AKY44,0)</f>
        <v>0</v>
      </c>
      <c r="BZ45" s="20" t="n">
        <f aca="false">IF(AKZ44&gt;0,(AKZ44-AOM44)/AKZ44,0)</f>
        <v>0</v>
      </c>
      <c r="CA45" s="20" t="n">
        <f aca="false">IF(ALA44&gt;0,(ALA44-AON44)/ALA44,0)</f>
        <v>0</v>
      </c>
      <c r="CB45" s="20" t="n">
        <f aca="false">IF(ALB44&gt;0,(ALB44-AOO44)/ALB44,0)</f>
        <v>0</v>
      </c>
      <c r="CC45" s="20" t="n">
        <f aca="false">IF(ALC44&gt;0,(ALC44-AOP44)/ALC44,0)</f>
        <v>0</v>
      </c>
      <c r="CD45" s="20" t="n">
        <f aca="false">IF(ALD44&gt;0,(ALD44-AOQ44)/ALD44,0)</f>
        <v>0</v>
      </c>
      <c r="CE45" s="20" t="n">
        <f aca="false">IF(ALE44&gt;0,(ALE44-AOR44)/ALE44,0)</f>
        <v>0</v>
      </c>
      <c r="CF45" s="20" t="n">
        <f aca="false">IF(ALF44&gt;0,(ALF44-AOS44)/ALF44,0)</f>
        <v>0</v>
      </c>
      <c r="CG45" s="20" t="n">
        <f aca="false">IF(ALG44&gt;0,(ALG44-AOT44)/ALG44,0)</f>
        <v>0</v>
      </c>
      <c r="CH45" s="20" t="n">
        <f aca="false">IF(ALH44&gt;0,(ALH44-AOU44)/ALH44,0)</f>
        <v>0</v>
      </c>
      <c r="CI45" s="20" t="n">
        <f aca="false">IF(ALI44&gt;0,(ALI44-AOV44)/ALI44,0)</f>
        <v>0</v>
      </c>
      <c r="CJ45" s="20" t="n">
        <f aca="false">IF(ALJ44&gt;0,(ALJ44-AOW44)/ALJ44,0)</f>
        <v>0</v>
      </c>
      <c r="CK45" s="20" t="n">
        <f aca="false">IF(ALK44&gt;0,(ALK44-AOX44)/ALK44,0)</f>
        <v>0</v>
      </c>
      <c r="CL45" s="20" t="n">
        <f aca="false">IF(ALL44&gt;0,(ALL44-AOY44)/ALL44,0)</f>
        <v>0</v>
      </c>
      <c r="CM45" s="20" t="n">
        <f aca="false">IF(ALM44&gt;0,(ALM44-AOZ44)/ALM44,0)</f>
        <v>0</v>
      </c>
      <c r="CN45" s="20" t="n">
        <f aca="false">IF(ALN44&gt;0,(ALN44-APA44)/ALN44,0)</f>
        <v>0</v>
      </c>
      <c r="CO45" s="20" t="n">
        <f aca="false">IF(ALO44&gt;0,(ALO44-APB44)/ALO44,0)</f>
        <v>0</v>
      </c>
      <c r="CP45" s="20" t="n">
        <f aca="false">IF(ALP44&gt;0,(ALP44-APC44)/ALP44,0)</f>
        <v>0</v>
      </c>
      <c r="CQ45" s="20" t="n">
        <f aca="false">IF(ALQ44&gt;0,(ALQ44-APD44)/ALQ44,0)</f>
        <v>0</v>
      </c>
      <c r="CR45" s="20" t="n">
        <f aca="false">IF(ALR44&gt;0,(ALR44-APE44)/ALR44,0)</f>
        <v>0.145195808970274</v>
      </c>
      <c r="CS45" s="20" t="n">
        <f aca="false">IF(ALS44&gt;0,(ALS44-APF44)/ALS44,0)</f>
        <v>0</v>
      </c>
      <c r="CT45" s="20" t="n">
        <f aca="false">IF(ALT44&gt;0,(ALT44-APG44)/ALT44,0)</f>
        <v>0</v>
      </c>
      <c r="CU45" s="20" t="n">
        <f aca="false">IF(ALU44&gt;0,(ALU44-APH44)/ALU44,0)</f>
        <v>0.0384615384615386</v>
      </c>
      <c r="CV45" s="20" t="n">
        <f aca="false">IF(ALV44&gt;0,(ALV44-API44)/ALV44,0)</f>
        <v>0</v>
      </c>
      <c r="CW45" s="20" t="n">
        <f aca="false">IF(ALW44&gt;0,(ALW44-APJ44)/ALW44,0)</f>
        <v>0</v>
      </c>
      <c r="CX45" s="20" t="n">
        <f aca="false">IF(ALX44&gt;0,(ALX44-APK44)/ALX44,0)</f>
        <v>0</v>
      </c>
      <c r="CY45" s="20" t="n">
        <f aca="false">IF(ALY44&gt;0,(ALY44-APL44)/ALY44,0)</f>
        <v>0</v>
      </c>
      <c r="CZ45" s="20" t="n">
        <f aca="false">IF(ALZ44&gt;0,(ALZ44-APM44)/ALZ44,0)</f>
        <v>0</v>
      </c>
      <c r="DA45" s="20" t="n">
        <f aca="false">IF(AMA44&gt;0,(AMA44-APN44)/AMA44,0)</f>
        <v>0</v>
      </c>
      <c r="DB45" s="20" t="n">
        <f aca="false">IF(AMB44&gt;0,(AMB44-APO44)/AMB44,0)</f>
        <v>0</v>
      </c>
      <c r="DC45" s="20" t="n">
        <f aca="false">IF(AMC44&gt;0,(AMC44-APP44)/AMC44,0)</f>
        <v>0</v>
      </c>
      <c r="DD45" s="20" t="n">
        <f aca="false">IF((P45+S45)&gt;0,((P45+S45)-(P45+S45))/(P45+S45),0)</f>
        <v>0</v>
      </c>
      <c r="DE45" s="20" t="n">
        <v>0</v>
      </c>
      <c r="DF45" s="20" t="n">
        <v>0</v>
      </c>
      <c r="DG45" s="20" t="n">
        <v>0</v>
      </c>
      <c r="DH45" s="20" t="n">
        <v>0</v>
      </c>
      <c r="DI45" s="20" t="n">
        <v>0</v>
      </c>
      <c r="DJ45" s="20" t="n">
        <v>0</v>
      </c>
      <c r="DK45" s="20" t="n">
        <v>0</v>
      </c>
      <c r="DL45" s="20" t="n">
        <v>0</v>
      </c>
      <c r="DM45" s="20" t="n">
        <v>0</v>
      </c>
      <c r="DN45" s="20" t="n">
        <v>0</v>
      </c>
      <c r="DO45" s="20" t="n">
        <v>0</v>
      </c>
      <c r="DP45" s="20" t="n">
        <v>0</v>
      </c>
      <c r="DQ45" s="20" t="n">
        <v>0</v>
      </c>
      <c r="DR45" s="20" t="n">
        <v>0</v>
      </c>
      <c r="DS45" s="20" t="n">
        <v>0</v>
      </c>
      <c r="DT45" s="20" t="n">
        <v>0</v>
      </c>
      <c r="DU45" s="20" t="n">
        <v>0</v>
      </c>
      <c r="DV45" s="20" t="n">
        <v>0</v>
      </c>
      <c r="DW45" s="20" t="n">
        <v>0</v>
      </c>
      <c r="DX45" s="20" t="n">
        <v>0</v>
      </c>
      <c r="DY45" s="20" t="n">
        <v>0</v>
      </c>
      <c r="DZ45" s="20" t="n">
        <v>0</v>
      </c>
      <c r="EA45" s="20" t="n">
        <v>0</v>
      </c>
      <c r="EB45" s="20" t="n">
        <v>0</v>
      </c>
      <c r="EC45" s="20" t="n">
        <v>0</v>
      </c>
      <c r="ED45" s="20" t="n">
        <v>0</v>
      </c>
      <c r="EE45" s="20" t="n">
        <v>0</v>
      </c>
      <c r="EF45" s="20" t="n">
        <v>0</v>
      </c>
      <c r="EG45" s="20" t="n">
        <v>0</v>
      </c>
      <c r="EH45" s="20" t="n">
        <v>0</v>
      </c>
      <c r="EI45" s="20" t="n">
        <v>0</v>
      </c>
      <c r="EJ45" s="20" t="n">
        <v>0</v>
      </c>
      <c r="EK45" s="20" t="n">
        <v>0</v>
      </c>
      <c r="EL45" s="20" t="n">
        <v>0</v>
      </c>
      <c r="EM45" s="20" t="n">
        <v>0</v>
      </c>
      <c r="EN45" s="20" t="n">
        <v>0</v>
      </c>
      <c r="EO45" s="20" t="n">
        <v>0</v>
      </c>
      <c r="EP45" s="20" t="n">
        <v>0</v>
      </c>
      <c r="EQ45" s="20" t="n">
        <v>0</v>
      </c>
      <c r="ER45" s="20" t="n">
        <v>0</v>
      </c>
      <c r="ES45" s="20" t="n">
        <v>0</v>
      </c>
      <c r="ET45" s="20" t="n">
        <v>0</v>
      </c>
      <c r="EU45" s="20" t="n">
        <v>0</v>
      </c>
      <c r="EV45" s="20" t="n">
        <v>0</v>
      </c>
      <c r="EW45" s="20" t="n">
        <v>0</v>
      </c>
      <c r="EX45" s="20" t="n">
        <v>0</v>
      </c>
      <c r="EY45" s="20" t="n">
        <v>0</v>
      </c>
      <c r="EZ45" s="20" t="n">
        <v>0</v>
      </c>
      <c r="FA45" s="20" t="n">
        <v>0</v>
      </c>
      <c r="FB45" s="20" t="n">
        <v>0</v>
      </c>
      <c r="FC45" s="20" t="n">
        <v>0</v>
      </c>
      <c r="FD45" s="20" t="n">
        <v>0</v>
      </c>
      <c r="FE45" s="20" t="n">
        <f aca="false">IF(H_Direct=1,IF(AKR44&lt;=0,0,IF(BR45&lt;=0,AKR44,AKR44-G45*MAX(0,BR45*AKR44-(H45+I45)))),AKR44*(1-MAX(0,BR45)*H_Exit))</f>
        <v>0</v>
      </c>
      <c r="FF45" s="20" t="n">
        <f aca="false">IF(H_Direct=1,IF(AKS44&lt;=0,0,IF(BS45&lt;=0,AKS44,AKS44-G45*MAX(0,BS45*AKS44-(IR45+ME45)))),AKS44*(1-MAX(0,BS45)*H_Exit))</f>
        <v>0</v>
      </c>
      <c r="FG45" s="20" t="n">
        <f aca="false">IF(H_Direct=1,IF(AKT44&lt;=0,0,IF(BT45&lt;=0,AKT44,AKT44-G45*MAX(0,BT45*AKT44-(IS45+MF45)))),AKT44*(1-MAX(0,BT45)*H_Exit))</f>
        <v>0</v>
      </c>
      <c r="FH45" s="20" t="n">
        <f aca="false">IF(H_Direct=1,IF(AKU44&lt;=0,0,IF(BU45&lt;=0,AKU44,AKU44-G45*MAX(0,BU45*AKU44-(IT45+MG45)))),AKU44*(1-MAX(0,BU45)*H_Exit))</f>
        <v>0</v>
      </c>
      <c r="FI45" s="20" t="n">
        <f aca="false">IF(H_Direct=1,IF(AKV44&lt;=0,0,IF(BV45&lt;=0,AKV44,AKV44-G45*MAX(0,BV45*AKV44-(IU45+MH45)))),AKV44*(1-MAX(0,BV45)*H_Exit))</f>
        <v>0</v>
      </c>
      <c r="FJ45" s="20" t="n">
        <f aca="false">IF(H_Direct=1,IF(AKW44&lt;=0,0,IF(BW45&lt;=0,AKW44,AKW44-G45*MAX(0,BW45*AKW44-(IV45+MI45)))),AKW44*(1-MAX(0,BW45)*H_Exit))</f>
        <v>0</v>
      </c>
      <c r="FK45" s="20" t="n">
        <f aca="false">IF(H_Direct=1,IF(AKX44&lt;=0,0,IF(BX45&lt;=0,AKX44,AKX44-G45*MAX(0,BX45*AKX44-(IW45+MJ45)))),AKX44*(1-MAX(0,BX45)*H_Exit))</f>
        <v>0</v>
      </c>
      <c r="FL45" s="20" t="n">
        <f aca="false">IF(H_Direct=1,IF(AKY44&lt;=0,0,IF(BY45&lt;=0,AKY44,AKY44-G45*MAX(0,BY45*AKY44-(IX45+MK45)))),AKY44*(1-MAX(0,BY45)*H_Exit))</f>
        <v>0</v>
      </c>
      <c r="FM45" s="20" t="n">
        <f aca="false">IF(H_Direct=1,IF(AKZ44&lt;=0,0,IF(BZ45&lt;=0,AKZ44,AKZ44-G45*MAX(0,BZ45*AKZ44-(IY45+ML45)))),AKZ44*(1-MAX(0,BZ45)*H_Exit))</f>
        <v>0</v>
      </c>
      <c r="FN45" s="20" t="n">
        <f aca="false">IF(H_Direct=1,IF(ALA44&lt;=0,0,IF(CA45&lt;=0,ALA44,ALA44-G45*MAX(0,CA45*ALA44-(IZ45+MM45)))),ALA44*(1-MAX(0,CA45)*H_Exit))</f>
        <v>0</v>
      </c>
      <c r="FO45" s="20" t="n">
        <f aca="false">IF(H_Direct=1,IF(ALB44&lt;=0,0,IF(CB45&lt;=0,ALB44,ALB44-G45*MAX(0,CB45*ALB44-(JA45+MN45)))),ALB44*(1-MAX(0,CB45)*H_Exit))</f>
        <v>0</v>
      </c>
      <c r="FP45" s="20" t="n">
        <f aca="false">IF(H_Direct=1,IF(ALC44&lt;=0,0,IF(CC45&lt;=0,ALC44,ALC44-G45*MAX(0,CC45*ALC44-(JB45+MO45)))),ALC44*(1-MAX(0,CC45)*H_Exit))</f>
        <v>0</v>
      </c>
      <c r="FQ45" s="20" t="n">
        <f aca="false">IF(H_Direct=1,IF(ALD44&lt;=0,0,IF(CD45&lt;=0,ALD44,ALD44-G45*MAX(0,CD45*ALD44-(JC45+MP45)))),ALD44*(1-MAX(0,CD45)*H_Exit))</f>
        <v>0</v>
      </c>
      <c r="FR45" s="20" t="n">
        <f aca="false">IF(H_Direct=1,IF(ALE44&lt;=0,0,IF(CE45&lt;=0,ALE44,ALE44-G45*MAX(0,CE45*ALE44-(JD45+MQ45)))),ALE44*(1-MAX(0,CE45)*H_Exit))</f>
        <v>0</v>
      </c>
      <c r="FS45" s="20" t="n">
        <f aca="false">IF(H_Direct=1,IF(ALF44&lt;=0,0,IF(CF45&lt;=0,ALF44,ALF44-G45*MAX(0,CF45*ALF44-(JE45+MR45)))),ALF44*(1-MAX(0,CF45)*H_Exit))</f>
        <v>0</v>
      </c>
      <c r="FT45" s="20" t="n">
        <f aca="false">IF(H_Direct=1,IF(ALG44&lt;=0,0,IF(CG45&lt;=0,ALG44,ALG44-G45*MAX(0,CG45*ALG44-(JF45+MS45)))),ALG44*(1-MAX(0,CG45)*H_Exit))</f>
        <v>0</v>
      </c>
      <c r="FU45" s="20" t="n">
        <f aca="false">IF(H_Direct=1,IF(ALH44&lt;=0,0,IF(CH45&lt;=0,ALH44,ALH44-G45*MAX(0,CH45*ALH44-(JG45+MT45)))),ALH44*(1-MAX(0,CH45)*H_Exit))</f>
        <v>0</v>
      </c>
      <c r="FV45" s="20" t="n">
        <f aca="false">IF(H_Direct=1,IF(ALI44&lt;=0,0,IF(CI45&lt;=0,ALI44,ALI44-G45*MAX(0,CI45*ALI44-(JH45+MU45)))),ALI44*(1-MAX(0,CI45)*H_Exit))</f>
        <v>0</v>
      </c>
      <c r="FW45" s="20" t="n">
        <f aca="false">IF(H_Direct=1,IF(ALJ44&lt;=0,0,IF(CJ45&lt;=0,ALJ44,ALJ44-G45*MAX(0,CJ45*ALJ44-(JI45+MV45)))),ALJ44*(1-MAX(0,CJ45)*H_Exit))</f>
        <v>0</v>
      </c>
      <c r="FX45" s="20" t="n">
        <f aca="false">IF(H_Direct=1,IF(ALK44&lt;=0,0,IF(CK45&lt;=0,ALK44,ALK44-G45*MAX(0,CK45*ALK44-(JJ45+MW45)))),ALK44*(1-MAX(0,CK45)*H_Exit))</f>
        <v>0</v>
      </c>
      <c r="FY45" s="20" t="n">
        <f aca="false">IF(H_Direct=1,IF(ALL44&lt;=0,0,IF(CL45&lt;=0,ALL44,ALL44-G45*MAX(0,CL45*ALL44-(JK45+MX45)))),ALL44*(1-MAX(0,CL45)*H_Exit))</f>
        <v>0</v>
      </c>
      <c r="FZ45" s="20" t="n">
        <f aca="false">IF(H_Direct=1,IF(ALM44&lt;=0,0,IF(CM45&lt;=0,ALM44,ALM44-G45*MAX(0,CM45*ALM44-(JL45+MY45)))),ALM44*(1-MAX(0,CM45)*H_Exit))</f>
        <v>0</v>
      </c>
      <c r="GA45" s="20" t="n">
        <f aca="false">IF(H_Direct=1,IF(ALN44&lt;=0,0,IF(CN45&lt;=0,ALN44,ALN44-G45*MAX(0,CN45*ALN44-(JM45+MZ45)))),ALN44*(1-MAX(0,CN45)*H_Exit))</f>
        <v>0</v>
      </c>
      <c r="GB45" s="20" t="n">
        <f aca="false">IF(H_Direct=1,IF(ALO44&lt;=0,0,IF(CO45&lt;=0,ALO44,ALO44-G45*MAX(0,CO45*ALO44-(JN45+NA45)))),ALO44*(1-MAX(0,CO45)*H_Exit))</f>
        <v>0</v>
      </c>
      <c r="GC45" s="20" t="n">
        <f aca="false">IF(H_Direct=1,IF(ALP44&lt;=0,0,IF(CP45&lt;=0,ALP44,ALP44-G45*MAX(0,CP45*ALP44-(JO45+NB45)))),ALP44*(1-MAX(0,CP45)*H_Exit))</f>
        <v>0</v>
      </c>
      <c r="GD45" s="20" t="n">
        <f aca="false">IF(H_Direct=1,IF(ALQ44&lt;=0,0,IF(CQ45&lt;=0,ALQ44,ALQ44-G45*MAX(0,CQ45*ALQ44-(JP45+NC45)))),ALQ44*(1-MAX(0,CQ45)*H_Exit))</f>
        <v>0</v>
      </c>
      <c r="GE45" s="20" t="n">
        <f aca="false">IF(H_Direct=1,IF(ALR44&lt;=0,0,IF(CR45&lt;=0,ALR44,ALR44-G45*MAX(0,CR45*ALR44-(JQ45+ND45)))),ALR44*(1-MAX(0,CR45)*H_Exit))</f>
        <v>54983.5884402834</v>
      </c>
      <c r="GF45" s="20" t="n">
        <f aca="false">IF(H_Direct=1,IF(ALS44&lt;=0,0,IF(CS45&lt;=0,ALS44,ALS44-G45*MAX(0,CS45*ALS44-(JR45+NE45)))),ALS44*(1-MAX(0,CS45)*H_Exit))</f>
        <v>0</v>
      </c>
      <c r="GG45" s="20" t="n">
        <f aca="false">IF(H_Direct=1,IF(ALT44&lt;=0,0,IF(CT45&lt;=0,ALT44,ALT44-G45*MAX(0,CT45*ALT44-(JS45+NF45)))),ALT44*(1-MAX(0,CT45)*H_Exit))</f>
        <v>0</v>
      </c>
      <c r="GH45" s="20" t="n">
        <f aca="false">IF(H_Direct=1,IF(ALU44&lt;=0,0,IF(CU45&lt;=0,ALU44,ALU44-G45*MAX(0,CU45*ALU44-(JT45+NG45)))),ALU44*(1-MAX(0,CU45)*H_Exit))</f>
        <v>2177.35253015261</v>
      </c>
      <c r="GI45" s="20" t="n">
        <f aca="false">IF(H_Direct=1,IF(ALV44&lt;=0,0,IF(CV45&lt;=0,ALV44,ALV44-G45*MAX(0,CV45*ALV44-(JU45+NH45)))),ALV44*(1-MAX(0,CV45)*H_Exit))</f>
        <v>0</v>
      </c>
      <c r="GJ45" s="20" t="n">
        <f aca="false">IF(H_Direct=1,IF(ALW44&lt;=0,0,IF(CW45&lt;=0,ALW44,ALW44-G45*MAX(0,CW45*ALW44-(JV45+NI45)))),ALW44*(1-MAX(0,CW45)*H_Exit))</f>
        <v>0</v>
      </c>
      <c r="GK45" s="20" t="n">
        <f aca="false">IF(H_Direct=1,IF(ALX44&lt;=0,0,IF(CX45&lt;=0,ALX44,ALX44-G45*MAX(0,CX45*ALX44-(JW45+NJ45)))),ALX44*(1-MAX(0,CX45)*H_Exit))</f>
        <v>0</v>
      </c>
      <c r="GL45" s="20" t="n">
        <f aca="false">IF(H_Direct=1,IF(ALY44&lt;=0,0,IF(CY45&lt;=0,ALY44,ALY44-G45*MAX(0,CY45*ALY44-(JX45+NK45)))),ALY44*(1-MAX(0,CY45)*H_Exit))</f>
        <v>0</v>
      </c>
      <c r="GM45" s="20" t="n">
        <f aca="false">IF(H_Direct=1,IF(ALZ44&lt;=0,0,IF(CZ45&lt;=0,ALZ44,ALZ44-G45*MAX(0,CZ45*ALZ44-(JY45+NL45)))),ALZ44*(1-MAX(0,CZ45)*H_Exit))</f>
        <v>0</v>
      </c>
      <c r="GN45" s="20" t="n">
        <f aca="false">IF(H_Direct=1,IF(AMA44&lt;=0,0,IF(DA45&lt;=0,AMA44,AMA44-G45*MAX(0,DA45*AMA44-(JZ45+NM45)))),AMA44*(1-MAX(0,DA45)*H_Exit))</f>
        <v>0</v>
      </c>
      <c r="GO45" s="20" t="n">
        <f aca="false">IF(H_Direct=1,IF(AMB44&lt;=0,0,IF(DB45&lt;=0,AMB44,AMB44-G45*MAX(0,DB45*AMB44-(KA45+NN45)))),AMB44*(1-MAX(0,DB45)*H_Exit))</f>
        <v>0</v>
      </c>
      <c r="GP45" s="20" t="n">
        <f aca="false">IF(H_Direct=1,IF(AMC44&lt;=0,0,IF(DC45&lt;=0,AMC44,AMC44-G45*MAX(0,DC45*AMC44-(KB45+NO45)))),AMC44*(1-MAX(0,DC45)*H_Exit))</f>
        <v>0</v>
      </c>
      <c r="GQ45" s="20" t="n">
        <f aca="false">IF(H_Direct=1,IF((P45+S45)&lt;=0,0,IF(DD45&lt;=0,(P45+S45),(P45+S45)-G45*MAX(0,DD45*(P45+S45)-(KC45+NP45)))),(P45+S45)*(1-MAX(0,DD45)*H_Exit))</f>
        <v>0</v>
      </c>
      <c r="GR45" s="20" t="n">
        <v>0</v>
      </c>
      <c r="GS45" s="20" t="n">
        <v>0</v>
      </c>
      <c r="GT45" s="20" t="n">
        <v>0</v>
      </c>
      <c r="GU45" s="20" t="n">
        <v>0</v>
      </c>
      <c r="GV45" s="20" t="n">
        <v>0</v>
      </c>
      <c r="GW45" s="20" t="n">
        <v>0</v>
      </c>
      <c r="GX45" s="20" t="n">
        <v>0</v>
      </c>
      <c r="GY45" s="20" t="n">
        <v>0</v>
      </c>
      <c r="GZ45" s="20" t="n">
        <v>0</v>
      </c>
      <c r="HA45" s="20" t="n">
        <v>0</v>
      </c>
      <c r="HB45" s="20" t="n">
        <v>0</v>
      </c>
      <c r="HC45" s="20" t="n">
        <v>0</v>
      </c>
      <c r="HD45" s="20" t="n">
        <v>0</v>
      </c>
      <c r="HE45" s="20" t="n">
        <v>0</v>
      </c>
      <c r="HF45" s="20" t="n">
        <v>0</v>
      </c>
      <c r="HG45" s="20" t="n">
        <v>0</v>
      </c>
      <c r="HH45" s="20" t="n">
        <v>0</v>
      </c>
      <c r="HI45" s="20" t="n">
        <v>0</v>
      </c>
      <c r="HJ45" s="20" t="n">
        <v>0</v>
      </c>
      <c r="HK45" s="20" t="n">
        <v>0</v>
      </c>
      <c r="HL45" s="20" t="n">
        <v>0</v>
      </c>
      <c r="HM45" s="20" t="n">
        <v>0</v>
      </c>
      <c r="HN45" s="20" t="n">
        <v>0</v>
      </c>
      <c r="HO45" s="20" t="n">
        <v>0</v>
      </c>
      <c r="HP45" s="20" t="n">
        <v>0</v>
      </c>
      <c r="HQ45" s="20" t="n">
        <v>0</v>
      </c>
      <c r="HR45" s="20" t="n">
        <v>0</v>
      </c>
      <c r="HS45" s="20" t="n">
        <v>0</v>
      </c>
      <c r="HT45" s="20" t="n">
        <v>0</v>
      </c>
      <c r="HU45" s="20" t="n">
        <v>0</v>
      </c>
      <c r="HV45" s="20" t="n">
        <v>0</v>
      </c>
      <c r="HW45" s="20" t="n">
        <v>0</v>
      </c>
      <c r="HX45" s="20" t="n">
        <v>0</v>
      </c>
      <c r="HY45" s="20" t="n">
        <v>0</v>
      </c>
      <c r="HZ45" s="20" t="n">
        <v>0</v>
      </c>
      <c r="IA45" s="20" t="n">
        <v>0</v>
      </c>
      <c r="IB45" s="20" t="n">
        <v>0</v>
      </c>
      <c r="IC45" s="20" t="n">
        <v>0</v>
      </c>
      <c r="ID45" s="20" t="n">
        <v>0</v>
      </c>
      <c r="IE45" s="20" t="n">
        <v>0</v>
      </c>
      <c r="IF45" s="20" t="n">
        <v>0</v>
      </c>
      <c r="IG45" s="20" t="n">
        <v>0</v>
      </c>
      <c r="IH45" s="20" t="n">
        <v>0</v>
      </c>
      <c r="II45" s="20" t="n">
        <v>0</v>
      </c>
      <c r="IJ45" s="20" t="n">
        <v>0</v>
      </c>
      <c r="IK45" s="20" t="n">
        <v>0</v>
      </c>
      <c r="IL45" s="20" t="n">
        <v>0</v>
      </c>
      <c r="IM45" s="20" t="n">
        <v>0</v>
      </c>
      <c r="IN45" s="20" t="n">
        <v>0</v>
      </c>
      <c r="IO45" s="20" t="n">
        <v>0</v>
      </c>
      <c r="IP45" s="20" t="n">
        <v>0</v>
      </c>
      <c r="IQ45" s="20" t="n">
        <v>0</v>
      </c>
      <c r="IR45" s="20" t="n">
        <f aca="false">IF(AND(H_Direct=1,BR45&gt;0),MAX(0,H45-(MIN(BR45*AKR44,H45+I45)-MIN(MIN(BR45*AKR44,H45+I45),I45))),H45)</f>
        <v>1270</v>
      </c>
      <c r="IS45" s="20" t="n">
        <f aca="false">IF(AND(H_Direct=1,BS45&gt;0),MAX(0,IR45-(MIN(BS45*AKS44,IR45+ME45)-MIN(MIN(BS45*AKS44,IR45+ME45),ME45))),IR45)</f>
        <v>1270</v>
      </c>
      <c r="IT45" s="20" t="n">
        <f aca="false">IF(AND(H_Direct=1,BT45&gt;0),MAX(0,IS45-(MIN(BT45*AKT44,IS45+MF45)-MIN(MIN(BT45*AKT44,IS45+MF45),MF45))),IS45)</f>
        <v>1270</v>
      </c>
      <c r="IU45" s="20" t="n">
        <f aca="false">IF(AND(H_Direct=1,BU45&gt;0),MAX(0,IT45-(MIN(BU45*AKU44,IT45+MG45)-MIN(MIN(BU45*AKU44,IT45+MG45),MG45))),IT45)</f>
        <v>1270</v>
      </c>
      <c r="IV45" s="20" t="n">
        <f aca="false">IF(AND(H_Direct=1,BV45&gt;0),MAX(0,IU45-(MIN(BV45*AKV44,IU45+MH45)-MIN(MIN(BV45*AKV44,IU45+MH45),MH45))),IU45)</f>
        <v>1270</v>
      </c>
      <c r="IW45" s="20" t="n">
        <f aca="false">IF(AND(H_Direct=1,BW45&gt;0),MAX(0,IV45-(MIN(BW45*AKW44,IV45+MI45)-MIN(MIN(BW45*AKW44,IV45+MI45),MI45))),IV45)</f>
        <v>1270</v>
      </c>
      <c r="IX45" s="20" t="n">
        <f aca="false">IF(AND(H_Direct=1,BX45&gt;0),MAX(0,IW45-(MIN(BX45*AKX44,IW45+MJ45)-MIN(MIN(BX45*AKX44,IW45+MJ45),MJ45))),IW45)</f>
        <v>1270</v>
      </c>
      <c r="IY45" s="20" t="n">
        <f aca="false">IF(AND(H_Direct=1,BY45&gt;0),MAX(0,IX45-(MIN(BY45*AKY44,IX45+MK45)-MIN(MIN(BY45*AKY44,IX45+MK45),MK45))),IX45)</f>
        <v>1270</v>
      </c>
      <c r="IZ45" s="20" t="n">
        <f aca="false">IF(AND(H_Direct=1,BZ45&gt;0),MAX(0,IY45-(MIN(BZ45*AKZ44,IY45+ML45)-MIN(MIN(BZ45*AKZ44,IY45+ML45),ML45))),IY45)</f>
        <v>1270</v>
      </c>
      <c r="JA45" s="20" t="n">
        <f aca="false">IF(AND(H_Direct=1,CA45&gt;0),MAX(0,IZ45-(MIN(CA45*ALA44,IZ45+MM45)-MIN(MIN(CA45*ALA44,IZ45+MM45),MM45))),IZ45)</f>
        <v>1270</v>
      </c>
      <c r="JB45" s="20" t="n">
        <f aca="false">IF(AND(H_Direct=1,CB45&gt;0),MAX(0,JA45-(MIN(CB45*ALB44,JA45+MN45)-MIN(MIN(CB45*ALB44,JA45+MN45),MN45))),JA45)</f>
        <v>1270</v>
      </c>
      <c r="JC45" s="20" t="n">
        <f aca="false">IF(AND(H_Direct=1,CC45&gt;0),MAX(0,JB45-(MIN(CC45*ALC44,JB45+MO45)-MIN(MIN(CC45*ALC44,JB45+MO45),MO45))),JB45)</f>
        <v>1270</v>
      </c>
      <c r="JD45" s="20" t="n">
        <f aca="false">IF(AND(H_Direct=1,CD45&gt;0),MAX(0,JC45-(MIN(CD45*ALD44,JC45+MP45)-MIN(MIN(CD45*ALD44,JC45+MP45),MP45))),JC45)</f>
        <v>1270</v>
      </c>
      <c r="JE45" s="20" t="n">
        <f aca="false">IF(AND(H_Direct=1,CE45&gt;0),MAX(0,JD45-(MIN(CE45*ALE44,JD45+MQ45)-MIN(MIN(CE45*ALE44,JD45+MQ45),MQ45))),JD45)</f>
        <v>1270</v>
      </c>
      <c r="JF45" s="20" t="n">
        <f aca="false">IF(AND(H_Direct=1,CF45&gt;0),MAX(0,JE45-(MIN(CF45*ALF44,JE45+MR45)-MIN(MIN(CF45*ALF44,JE45+MR45),MR45))),JE45)</f>
        <v>1270</v>
      </c>
      <c r="JG45" s="20" t="n">
        <f aca="false">IF(AND(H_Direct=1,CG45&gt;0),MAX(0,JF45-(MIN(CG45*ALG44,JF45+MS45)-MIN(MIN(CG45*ALG44,JF45+MS45),MS45))),JF45)</f>
        <v>1270</v>
      </c>
      <c r="JH45" s="20" t="n">
        <f aca="false">IF(AND(H_Direct=1,CH45&gt;0),MAX(0,JG45-(MIN(CH45*ALH44,JG45+MT45)-MIN(MIN(CH45*ALH44,JG45+MT45),MT45))),JG45)</f>
        <v>1270</v>
      </c>
      <c r="JI45" s="20" t="n">
        <f aca="false">IF(AND(H_Direct=1,CI45&gt;0),MAX(0,JH45-(MIN(CI45*ALI44,JH45+MU45)-MIN(MIN(CI45*ALI44,JH45+MU45),MU45))),JH45)</f>
        <v>1270</v>
      </c>
      <c r="JJ45" s="20" t="n">
        <f aca="false">IF(AND(H_Direct=1,CJ45&gt;0),MAX(0,JI45-(MIN(CJ45*ALJ44,JI45+MV45)-MIN(MIN(CJ45*ALJ44,JI45+MV45),MV45))),JI45)</f>
        <v>1270</v>
      </c>
      <c r="JK45" s="20" t="n">
        <f aca="false">IF(AND(H_Direct=1,CK45&gt;0),MAX(0,JJ45-(MIN(CK45*ALK44,JJ45+MW45)-MIN(MIN(CK45*ALK44,JJ45+MW45),MW45))),JJ45)</f>
        <v>1270</v>
      </c>
      <c r="JL45" s="20" t="n">
        <f aca="false">IF(AND(H_Direct=1,CL45&gt;0),MAX(0,JK45-(MIN(CL45*ALL44,JK45+MX45)-MIN(MIN(CL45*ALL44,JK45+MX45),MX45))),JK45)</f>
        <v>1270</v>
      </c>
      <c r="JM45" s="20" t="n">
        <f aca="false">IF(AND(H_Direct=1,CM45&gt;0),MAX(0,JL45-(MIN(CM45*ALM44,JL45+MY45)-MIN(MIN(CM45*ALM44,JL45+MY45),MY45))),JL45)</f>
        <v>1270</v>
      </c>
      <c r="JN45" s="20" t="n">
        <f aca="false">IF(AND(H_Direct=1,CN45&gt;0),MAX(0,JM45-(MIN(CN45*ALN44,JM45+MZ45)-MIN(MIN(CN45*ALN44,JM45+MZ45),MZ45))),JM45)</f>
        <v>1270</v>
      </c>
      <c r="JO45" s="20" t="n">
        <f aca="false">IF(AND(H_Direct=1,CO45&gt;0),MAX(0,JN45-(MIN(CO45*ALO44,JN45+NA45)-MIN(MIN(CO45*ALO44,JN45+NA45),NA45))),JN45)</f>
        <v>1270</v>
      </c>
      <c r="JP45" s="20" t="n">
        <f aca="false">IF(AND(H_Direct=1,CP45&gt;0),MAX(0,JO45-(MIN(CP45*ALP44,JO45+NB45)-MIN(MIN(CP45*ALP44,JO45+NB45),NB45))),JO45)</f>
        <v>1270</v>
      </c>
      <c r="JQ45" s="20" t="n">
        <f aca="false">IF(AND(H_Direct=1,CQ45&gt;0),MAX(0,JP45-(MIN(CQ45*ALQ44,JP45+NC45)-MIN(MIN(CQ45*ALQ44,JP45+NC45),NC45))),JP45)</f>
        <v>1270</v>
      </c>
      <c r="JR45" s="20" t="n">
        <f aca="false">IF(AND(H_Direct=1,CR45&gt;0),MAX(0,JQ45-(MIN(CR45*ALR44,JQ45+ND45)-MIN(MIN(CR45*ALR44,JQ45+ND45),ND45))),JQ45)</f>
        <v>1270</v>
      </c>
      <c r="JS45" s="20" t="n">
        <f aca="false">IF(AND(H_Direct=1,CS45&gt;0),MAX(0,JR45-(MIN(CS45*ALS44,JR45+NE45)-MIN(MIN(CS45*ALS44,JR45+NE45),NE45))),JR45)</f>
        <v>1270</v>
      </c>
      <c r="JT45" s="20" t="n">
        <f aca="false">IF(AND(H_Direct=1,CT45&gt;0),MAX(0,JS45-(MIN(CT45*ALT44,JS45+NF45)-MIN(MIN(CT45*ALT44,JS45+NF45),NF45))),JS45)</f>
        <v>1270</v>
      </c>
      <c r="JU45" s="20" t="n">
        <f aca="false">IF(AND(H_Direct=1,CU45&gt;0),MAX(0,JT45-(MIN(CU45*ALU44,JT45+NG45)-MIN(MIN(CU45*ALU44,JT45+NG45),NG45))),JT45)</f>
        <v>1270</v>
      </c>
      <c r="JV45" s="20" t="n">
        <f aca="false">IF(AND(H_Direct=1,CV45&gt;0),MAX(0,JU45-(MIN(CV45*ALV44,JU45+NH45)-MIN(MIN(CV45*ALV44,JU45+NH45),NH45))),JU45)</f>
        <v>1270</v>
      </c>
      <c r="JW45" s="20" t="n">
        <f aca="false">IF(AND(H_Direct=1,CW45&gt;0),MAX(0,JV45-(MIN(CW45*ALW44,JV45+NI45)-MIN(MIN(CW45*ALW44,JV45+NI45),NI45))),JV45)</f>
        <v>1270</v>
      </c>
      <c r="JX45" s="20" t="n">
        <f aca="false">IF(AND(H_Direct=1,CX45&gt;0),MAX(0,JW45-(MIN(CX45*ALX44,JW45+NJ45)-MIN(MIN(CX45*ALX44,JW45+NJ45),NJ45))),JW45)</f>
        <v>1270</v>
      </c>
      <c r="JY45" s="20" t="n">
        <f aca="false">IF(AND(H_Direct=1,CY45&gt;0),MAX(0,JX45-(MIN(CY45*ALY44,JX45+NK45)-MIN(MIN(CY45*ALY44,JX45+NK45),NK45))),JX45)</f>
        <v>1270</v>
      </c>
      <c r="JZ45" s="20" t="n">
        <f aca="false">IF(AND(H_Direct=1,CZ45&gt;0),MAX(0,JY45-(MIN(CZ45*ALZ44,JY45+NL45)-MIN(MIN(CZ45*ALZ44,JY45+NL45),NL45))),JY45)</f>
        <v>1270</v>
      </c>
      <c r="KA45" s="20" t="n">
        <f aca="false">IF(AND(H_Direct=1,DA45&gt;0),MAX(0,JZ45-(MIN(DA45*AMA44,JZ45+NM45)-MIN(MIN(DA45*AMA44,JZ45+NM45),NM45))),JZ45)</f>
        <v>1270</v>
      </c>
      <c r="KB45" s="20" t="n">
        <f aca="false">IF(AND(H_Direct=1,DB45&gt;0),MAX(0,KA45-(MIN(DB45*AMB44,KA45+NN45)-MIN(MIN(DB45*AMB44,KA45+NN45),NN45))),KA45)</f>
        <v>1270</v>
      </c>
      <c r="KC45" s="20" t="n">
        <f aca="false">IF(AND(H_Direct=1,DC45&gt;0),MAX(0,KB45-(MIN(DC45*AMC44,KB45+NO45)-MIN(MIN(DC45*AMC44,KB45+NO45),NO45))),KB45)</f>
        <v>1270</v>
      </c>
      <c r="KD45" s="20" t="n">
        <f aca="false">IF(AND(H_Direct=1,DD45&gt;0),MAX(0,KC45-(MIN(DD45*(P45+S45),KC45+NP45)-MIN(MIN(DD45*(P45+S45),KC45+NP45),NP45))),KC45)</f>
        <v>1270</v>
      </c>
      <c r="KE45" s="20" t="n">
        <f aca="false">KD45</f>
        <v>1270</v>
      </c>
      <c r="KF45" s="20" t="n">
        <f aca="false">KE45</f>
        <v>1270</v>
      </c>
      <c r="KG45" s="20" t="n">
        <f aca="false">KF45</f>
        <v>1270</v>
      </c>
      <c r="KH45" s="20" t="n">
        <f aca="false">KG45</f>
        <v>1270</v>
      </c>
      <c r="KI45" s="20" t="n">
        <f aca="false">KH45</f>
        <v>1270</v>
      </c>
      <c r="KJ45" s="20" t="n">
        <f aca="false">KI45</f>
        <v>1270</v>
      </c>
      <c r="KK45" s="20" t="n">
        <f aca="false">KJ45</f>
        <v>1270</v>
      </c>
      <c r="KL45" s="20" t="n">
        <f aca="false">KK45</f>
        <v>1270</v>
      </c>
      <c r="KM45" s="20" t="n">
        <f aca="false">KL45</f>
        <v>1270</v>
      </c>
      <c r="KN45" s="20" t="n">
        <f aca="false">KM45</f>
        <v>1270</v>
      </c>
      <c r="KO45" s="20" t="n">
        <f aca="false">KN45</f>
        <v>1270</v>
      </c>
      <c r="KP45" s="20" t="n">
        <f aca="false">KO45</f>
        <v>1270</v>
      </c>
      <c r="KQ45" s="20" t="n">
        <f aca="false">KP45</f>
        <v>1270</v>
      </c>
      <c r="KR45" s="20" t="n">
        <f aca="false">KQ45</f>
        <v>1270</v>
      </c>
      <c r="KS45" s="20" t="n">
        <f aca="false">KR45</f>
        <v>1270</v>
      </c>
      <c r="KT45" s="20" t="n">
        <f aca="false">KS45</f>
        <v>1270</v>
      </c>
      <c r="KU45" s="20" t="n">
        <f aca="false">KT45</f>
        <v>1270</v>
      </c>
      <c r="KV45" s="20" t="n">
        <f aca="false">KU45</f>
        <v>1270</v>
      </c>
      <c r="KW45" s="20" t="n">
        <f aca="false">KV45</f>
        <v>1270</v>
      </c>
      <c r="KX45" s="20" t="n">
        <f aca="false">KW45</f>
        <v>1270</v>
      </c>
      <c r="KY45" s="20" t="n">
        <f aca="false">KX45</f>
        <v>1270</v>
      </c>
      <c r="KZ45" s="20" t="n">
        <f aca="false">KY45</f>
        <v>1270</v>
      </c>
      <c r="LA45" s="20" t="n">
        <f aca="false">KZ45</f>
        <v>1270</v>
      </c>
      <c r="LB45" s="20" t="n">
        <f aca="false">LA45</f>
        <v>1270</v>
      </c>
      <c r="LC45" s="20" t="n">
        <f aca="false">LB45</f>
        <v>1270</v>
      </c>
      <c r="LD45" s="20" t="n">
        <f aca="false">LC45</f>
        <v>1270</v>
      </c>
      <c r="LE45" s="20" t="n">
        <f aca="false">LD45</f>
        <v>1270</v>
      </c>
      <c r="LF45" s="20" t="n">
        <f aca="false">LE45</f>
        <v>1270</v>
      </c>
      <c r="LG45" s="20" t="n">
        <f aca="false">LF45</f>
        <v>1270</v>
      </c>
      <c r="LH45" s="20" t="n">
        <f aca="false">LG45</f>
        <v>1270</v>
      </c>
      <c r="LI45" s="20" t="n">
        <f aca="false">LH45</f>
        <v>1270</v>
      </c>
      <c r="LJ45" s="20" t="n">
        <f aca="false">LI45</f>
        <v>1270</v>
      </c>
      <c r="LK45" s="20" t="n">
        <f aca="false">LJ45</f>
        <v>1270</v>
      </c>
      <c r="LL45" s="20" t="n">
        <f aca="false">LK45</f>
        <v>1270</v>
      </c>
      <c r="LM45" s="20" t="n">
        <f aca="false">LL45</f>
        <v>1270</v>
      </c>
      <c r="LN45" s="20" t="n">
        <f aca="false">LM45</f>
        <v>1270</v>
      </c>
      <c r="LO45" s="20" t="n">
        <f aca="false">LN45</f>
        <v>1270</v>
      </c>
      <c r="LP45" s="20" t="n">
        <f aca="false">LO45</f>
        <v>1270</v>
      </c>
      <c r="LQ45" s="20" t="n">
        <f aca="false">LP45</f>
        <v>1270</v>
      </c>
      <c r="LR45" s="20" t="n">
        <f aca="false">LQ45</f>
        <v>1270</v>
      </c>
      <c r="LS45" s="20" t="n">
        <f aca="false">LR45</f>
        <v>1270</v>
      </c>
      <c r="LT45" s="20" t="n">
        <f aca="false">LS45</f>
        <v>1270</v>
      </c>
      <c r="LU45" s="20" t="n">
        <f aca="false">LT45</f>
        <v>1270</v>
      </c>
      <c r="LV45" s="20" t="n">
        <f aca="false">LU45</f>
        <v>1270</v>
      </c>
      <c r="LW45" s="20" t="n">
        <f aca="false">LV45</f>
        <v>1270</v>
      </c>
      <c r="LX45" s="20" t="n">
        <f aca="false">LW45</f>
        <v>1270</v>
      </c>
      <c r="LY45" s="20" t="n">
        <f aca="false">LX45</f>
        <v>1270</v>
      </c>
      <c r="LZ45" s="20" t="n">
        <f aca="false">LY45</f>
        <v>1270</v>
      </c>
      <c r="MA45" s="20" t="n">
        <f aca="false">LZ45</f>
        <v>1270</v>
      </c>
      <c r="MB45" s="20" t="n">
        <f aca="false">MA45</f>
        <v>1270</v>
      </c>
      <c r="MC45" s="20" t="n">
        <f aca="false">MB45</f>
        <v>1270</v>
      </c>
      <c r="MD45" s="20" t="n">
        <f aca="false">MC45</f>
        <v>1270</v>
      </c>
      <c r="ME45" s="20" t="n">
        <f aca="false">IF(H_Direct=1,IF(BR45&lt;=0,I45-BR45*AKR44,I45-MIN(MIN(BR45*AKR44,H45+I45),I45)),I45)</f>
        <v>0</v>
      </c>
      <c r="MF45" s="20" t="n">
        <f aca="false">IF(H_Direct=1,IF(BS45&lt;=0,ME45-BS45*AKS44,ME45-MIN(MIN(BS45*AKS44,IR45+ME45),ME45)),ME45)</f>
        <v>0</v>
      </c>
      <c r="MG45" s="20" t="n">
        <f aca="false">IF(H_Direct=1,IF(BT45&lt;=0,MF45-BT45*AKT44,MF45-MIN(MIN(BT45*AKT44,IS45+MF45),MF45)),MF45)</f>
        <v>0</v>
      </c>
      <c r="MH45" s="20" t="n">
        <f aca="false">IF(H_Direct=1,IF(BU45&lt;=0,MG45-BU45*AKU44,MG45-MIN(MIN(BU45*AKU44,IT45+MG45),MG45)),MG45)</f>
        <v>0</v>
      </c>
      <c r="MI45" s="20" t="n">
        <f aca="false">IF(H_Direct=1,IF(BV45&lt;=0,MH45-BV45*AKV44,MH45-MIN(MIN(BV45*AKV44,IU45+MH45),MH45)),MH45)</f>
        <v>0</v>
      </c>
      <c r="MJ45" s="20" t="n">
        <f aca="false">IF(H_Direct=1,IF(BW45&lt;=0,MI45-BW45*AKW44,MI45-MIN(MIN(BW45*AKW44,IV45+MI45),MI45)),MI45)</f>
        <v>0</v>
      </c>
      <c r="MK45" s="20" t="n">
        <f aca="false">IF(H_Direct=1,IF(BX45&lt;=0,MJ45-BX45*AKX44,MJ45-MIN(MIN(BX45*AKX44,IW45+MJ45),MJ45)),MJ45)</f>
        <v>0</v>
      </c>
      <c r="ML45" s="20" t="n">
        <f aca="false">IF(H_Direct=1,IF(BY45&lt;=0,MK45-BY45*AKY44,MK45-MIN(MIN(BY45*AKY44,IX45+MK45),MK45)),MK45)</f>
        <v>0</v>
      </c>
      <c r="MM45" s="20" t="n">
        <f aca="false">IF(H_Direct=1,IF(BZ45&lt;=0,ML45-BZ45*AKZ44,ML45-MIN(MIN(BZ45*AKZ44,IY45+ML45),ML45)),ML45)</f>
        <v>0</v>
      </c>
      <c r="MN45" s="20" t="n">
        <f aca="false">IF(H_Direct=1,IF(CA45&lt;=0,MM45-CA45*ALA44,MM45-MIN(MIN(CA45*ALA44,IZ45+MM45),MM45)),MM45)</f>
        <v>0</v>
      </c>
      <c r="MO45" s="20" t="n">
        <f aca="false">IF(H_Direct=1,IF(CB45&lt;=0,MN45-CB45*ALB44,MN45-MIN(MIN(CB45*ALB44,JA45+MN45),MN45)),MN45)</f>
        <v>0</v>
      </c>
      <c r="MP45" s="20" t="n">
        <f aca="false">IF(H_Direct=1,IF(CC45&lt;=0,MO45-CC45*ALC44,MO45-MIN(MIN(CC45*ALC44,JB45+MO45),MO45)),MO45)</f>
        <v>0</v>
      </c>
      <c r="MQ45" s="20" t="n">
        <f aca="false">IF(H_Direct=1,IF(CD45&lt;=0,MP45-CD45*ALD44,MP45-MIN(MIN(CD45*ALD44,JC45+MP45),MP45)),MP45)</f>
        <v>0</v>
      </c>
      <c r="MR45" s="20" t="n">
        <f aca="false">IF(H_Direct=1,IF(CE45&lt;=0,MQ45-CE45*ALE44,MQ45-MIN(MIN(CE45*ALE44,JD45+MQ45),MQ45)),MQ45)</f>
        <v>0</v>
      </c>
      <c r="MS45" s="20" t="n">
        <f aca="false">IF(H_Direct=1,IF(CF45&lt;=0,MR45-CF45*ALF44,MR45-MIN(MIN(CF45*ALF44,JE45+MR45),MR45)),MR45)</f>
        <v>0</v>
      </c>
      <c r="MT45" s="20" t="n">
        <f aca="false">IF(H_Direct=1,IF(CG45&lt;=0,MS45-CG45*ALG44,MS45-MIN(MIN(CG45*ALG44,JF45+MS45),MS45)),MS45)</f>
        <v>0</v>
      </c>
      <c r="MU45" s="20" t="n">
        <f aca="false">IF(H_Direct=1,IF(CH45&lt;=0,MT45-CH45*ALH44,MT45-MIN(MIN(CH45*ALH44,JG45+MT45),MT45)),MT45)</f>
        <v>0</v>
      </c>
      <c r="MV45" s="20" t="n">
        <f aca="false">IF(H_Direct=1,IF(CI45&lt;=0,MU45-CI45*ALI44,MU45-MIN(MIN(CI45*ALI44,JH45+MU45),MU45)),MU45)</f>
        <v>0</v>
      </c>
      <c r="MW45" s="20" t="n">
        <f aca="false">IF(H_Direct=1,IF(CJ45&lt;=0,MV45-CJ45*ALJ44,MV45-MIN(MIN(CJ45*ALJ44,JI45+MV45),MV45)),MV45)</f>
        <v>0</v>
      </c>
      <c r="MX45" s="20" t="n">
        <f aca="false">IF(H_Direct=1,IF(CK45&lt;=0,MW45-CK45*ALK44,MW45-MIN(MIN(CK45*ALK44,JJ45+MW45),MW45)),MW45)</f>
        <v>0</v>
      </c>
      <c r="MY45" s="20" t="n">
        <f aca="false">IF(H_Direct=1,IF(CL45&lt;=0,MX45-CL45*ALL44,MX45-MIN(MIN(CL45*ALL44,JK45+MX45),MX45)),MX45)</f>
        <v>0</v>
      </c>
      <c r="MZ45" s="20" t="n">
        <f aca="false">IF(H_Direct=1,IF(CM45&lt;=0,MY45-CM45*ALM44,MY45-MIN(MIN(CM45*ALM44,JL45+MY45),MY45)),MY45)</f>
        <v>0</v>
      </c>
      <c r="NA45" s="20" t="n">
        <f aca="false">IF(H_Direct=1,IF(CN45&lt;=0,MZ45-CN45*ALN44,MZ45-MIN(MIN(CN45*ALN44,JM45+MZ45),MZ45)),MZ45)</f>
        <v>0</v>
      </c>
      <c r="NB45" s="20" t="n">
        <f aca="false">IF(H_Direct=1,IF(CO45&lt;=0,NA45-CO45*ALO44,NA45-MIN(MIN(CO45*ALO44,JN45+NA45),NA45)),NA45)</f>
        <v>0</v>
      </c>
      <c r="NC45" s="20" t="n">
        <f aca="false">IF(H_Direct=1,IF(CP45&lt;=0,NB45-CP45*ALP44,NB45-MIN(MIN(CP45*ALP44,JO45+NB45),NB45)),NB45)</f>
        <v>0</v>
      </c>
      <c r="ND45" s="20" t="n">
        <f aca="false">IF(H_Direct=1,IF(CQ45&lt;=0,NC45-CQ45*ALQ44,NC45-MIN(MIN(CQ45*ALQ44,JP45+NC45),NC45)),NC45)</f>
        <v>0</v>
      </c>
      <c r="NE45" s="20" t="n">
        <f aca="false">IF(H_Direct=1,IF(CR45&lt;=0,ND45-CR45*ALR44,ND45-MIN(MIN(CR45*ALR44,JQ45+ND45),ND45)),ND45)</f>
        <v>0</v>
      </c>
      <c r="NF45" s="20" t="n">
        <f aca="false">IF(H_Direct=1,IF(CS45&lt;=0,NE45-CS45*ALS44,NE45-MIN(MIN(CS45*ALS44,JR45+NE45),NE45)),NE45)</f>
        <v>0</v>
      </c>
      <c r="NG45" s="20" t="n">
        <f aca="false">IF(H_Direct=1,IF(CT45&lt;=0,NF45-CT45*ALT44,NF45-MIN(MIN(CT45*ALT44,JS45+NF45),NF45)),NF45)</f>
        <v>0</v>
      </c>
      <c r="NH45" s="20" t="n">
        <f aca="false">IF(H_Direct=1,IF(CU45&lt;=0,NG45-CU45*ALU44,NG45-MIN(MIN(CU45*ALU44,JT45+NG45),NG45)),NG45)</f>
        <v>0</v>
      </c>
      <c r="NI45" s="20" t="n">
        <f aca="false">IF(H_Direct=1,IF(CV45&lt;=0,NH45-CV45*ALV44,NH45-MIN(MIN(CV45*ALV44,JU45+NH45),NH45)),NH45)</f>
        <v>0</v>
      </c>
      <c r="NJ45" s="20" t="n">
        <f aca="false">IF(H_Direct=1,IF(CW45&lt;=0,NI45-CW45*ALW44,NI45-MIN(MIN(CW45*ALW44,JV45+NI45),NI45)),NI45)</f>
        <v>0</v>
      </c>
      <c r="NK45" s="20" t="n">
        <f aca="false">IF(H_Direct=1,IF(CX45&lt;=0,NJ45-CX45*ALX44,NJ45-MIN(MIN(CX45*ALX44,JW45+NJ45),NJ45)),NJ45)</f>
        <v>0</v>
      </c>
      <c r="NL45" s="20" t="n">
        <f aca="false">IF(H_Direct=1,IF(CY45&lt;=0,NK45-CY45*ALY44,NK45-MIN(MIN(CY45*ALY44,JX45+NK45),NK45)),NK45)</f>
        <v>0</v>
      </c>
      <c r="NM45" s="20" t="n">
        <f aca="false">IF(H_Direct=1,IF(CZ45&lt;=0,NL45-CZ45*ALZ44,NL45-MIN(MIN(CZ45*ALZ44,JY45+NL45),NL45)),NL45)</f>
        <v>0</v>
      </c>
      <c r="NN45" s="20" t="n">
        <f aca="false">IF(H_Direct=1,IF(DA45&lt;=0,NM45-DA45*AMA44,NM45-MIN(MIN(DA45*AMA44,JZ45+NM45),NM45)),NM45)</f>
        <v>0</v>
      </c>
      <c r="NO45" s="20" t="n">
        <f aca="false">IF(H_Direct=1,IF(DB45&lt;=0,NN45-DB45*AMB44,NN45-MIN(MIN(DB45*AMB44,KA45+NN45),NN45)),NN45)</f>
        <v>0</v>
      </c>
      <c r="NP45" s="20" t="n">
        <f aca="false">IF(H_Direct=1,IF(DC45&lt;=0,NO45-DC45*AMC44,NO45-MIN(MIN(DC45*AMC44,KB45+NO45),NO45)),NO45)</f>
        <v>0</v>
      </c>
      <c r="NQ45" s="20" t="n">
        <f aca="false">IF(H_Direct=1,IF(DD45&lt;=0,NP45-DD45*(P45+S45),NP45-MIN(MIN(DD45*(P45+S45),KC45+NP45),NP45)),NP45)</f>
        <v>0</v>
      </c>
      <c r="NR45" s="20" t="n">
        <f aca="false">NQ45</f>
        <v>0</v>
      </c>
      <c r="NS45" s="20" t="n">
        <f aca="false">NR45</f>
        <v>0</v>
      </c>
      <c r="NT45" s="20" t="n">
        <f aca="false">NS45</f>
        <v>0</v>
      </c>
      <c r="NU45" s="20" t="n">
        <f aca="false">NT45</f>
        <v>0</v>
      </c>
      <c r="NV45" s="20" t="n">
        <f aca="false">NU45</f>
        <v>0</v>
      </c>
      <c r="NW45" s="20" t="n">
        <f aca="false">NV45</f>
        <v>0</v>
      </c>
      <c r="NX45" s="20" t="n">
        <f aca="false">NW45</f>
        <v>0</v>
      </c>
      <c r="NY45" s="20" t="n">
        <f aca="false">NX45</f>
        <v>0</v>
      </c>
      <c r="NZ45" s="20" t="n">
        <f aca="false">NY45</f>
        <v>0</v>
      </c>
      <c r="OA45" s="20" t="n">
        <f aca="false">NZ45</f>
        <v>0</v>
      </c>
      <c r="OB45" s="20" t="n">
        <f aca="false">OA45</f>
        <v>0</v>
      </c>
      <c r="OC45" s="20" t="n">
        <f aca="false">OB45</f>
        <v>0</v>
      </c>
      <c r="OD45" s="20" t="n">
        <f aca="false">OC45</f>
        <v>0</v>
      </c>
      <c r="OE45" s="20" t="n">
        <f aca="false">OD45</f>
        <v>0</v>
      </c>
      <c r="OF45" s="20" t="n">
        <f aca="false">OE45</f>
        <v>0</v>
      </c>
      <c r="OG45" s="20" t="n">
        <f aca="false">OF45</f>
        <v>0</v>
      </c>
      <c r="OH45" s="20" t="n">
        <f aca="false">OG45</f>
        <v>0</v>
      </c>
      <c r="OI45" s="20" t="n">
        <f aca="false">OH45</f>
        <v>0</v>
      </c>
      <c r="OJ45" s="20" t="n">
        <f aca="false">OI45</f>
        <v>0</v>
      </c>
      <c r="OK45" s="20" t="n">
        <f aca="false">OJ45</f>
        <v>0</v>
      </c>
      <c r="OL45" s="20" t="n">
        <f aca="false">OK45</f>
        <v>0</v>
      </c>
      <c r="OM45" s="20" t="n">
        <f aca="false">OL45</f>
        <v>0</v>
      </c>
      <c r="ON45" s="20" t="n">
        <f aca="false">OM45</f>
        <v>0</v>
      </c>
      <c r="OO45" s="20" t="n">
        <f aca="false">ON45</f>
        <v>0</v>
      </c>
      <c r="OP45" s="20" t="n">
        <f aca="false">OO45</f>
        <v>0</v>
      </c>
      <c r="OQ45" s="20" t="n">
        <f aca="false">OP45</f>
        <v>0</v>
      </c>
      <c r="OR45" s="20" t="n">
        <f aca="false">OQ45</f>
        <v>0</v>
      </c>
      <c r="OS45" s="20" t="n">
        <f aca="false">OR45</f>
        <v>0</v>
      </c>
      <c r="OT45" s="20" t="n">
        <f aca="false">OS45</f>
        <v>0</v>
      </c>
      <c r="OU45" s="20" t="n">
        <f aca="false">OT45</f>
        <v>0</v>
      </c>
      <c r="OV45" s="20" t="n">
        <f aca="false">OU45</f>
        <v>0</v>
      </c>
      <c r="OW45" s="20" t="n">
        <f aca="false">OV45</f>
        <v>0</v>
      </c>
      <c r="OX45" s="20" t="n">
        <f aca="false">OW45</f>
        <v>0</v>
      </c>
      <c r="OY45" s="20" t="n">
        <f aca="false">OX45</f>
        <v>0</v>
      </c>
      <c r="OZ45" s="20" t="n">
        <f aca="false">OY45</f>
        <v>0</v>
      </c>
      <c r="PA45" s="20" t="n">
        <f aca="false">OZ45</f>
        <v>0</v>
      </c>
      <c r="PB45" s="20" t="n">
        <f aca="false">PA45</f>
        <v>0</v>
      </c>
      <c r="PC45" s="20" t="n">
        <f aca="false">PB45</f>
        <v>0</v>
      </c>
      <c r="PD45" s="20" t="n">
        <f aca="false">PC45</f>
        <v>0</v>
      </c>
      <c r="PE45" s="20" t="n">
        <f aca="false">PD45</f>
        <v>0</v>
      </c>
      <c r="PF45" s="20" t="n">
        <f aca="false">PE45</f>
        <v>0</v>
      </c>
      <c r="PG45" s="20" t="n">
        <f aca="false">PF45</f>
        <v>0</v>
      </c>
      <c r="PH45" s="20" t="n">
        <f aca="false">PG45</f>
        <v>0</v>
      </c>
      <c r="PI45" s="20" t="n">
        <f aca="false">PH45</f>
        <v>0</v>
      </c>
      <c r="PJ45" s="20" t="n">
        <f aca="false">PI45</f>
        <v>0</v>
      </c>
      <c r="PK45" s="20" t="n">
        <f aca="false">PJ45</f>
        <v>0</v>
      </c>
      <c r="PL45" s="20" t="n">
        <f aca="false">PK45</f>
        <v>0</v>
      </c>
      <c r="PM45" s="20" t="n">
        <f aca="false">PL45</f>
        <v>0</v>
      </c>
      <c r="PN45" s="20" t="n">
        <f aca="false">PM45</f>
        <v>0</v>
      </c>
      <c r="PO45" s="20" t="n">
        <f aca="false">PN45</f>
        <v>0</v>
      </c>
      <c r="PP45" s="20" t="n">
        <f aca="false">PO45</f>
        <v>0</v>
      </c>
      <c r="PQ45" s="20" t="n">
        <f aca="false">PP45</f>
        <v>0</v>
      </c>
      <c r="PR45" s="20" t="n">
        <f aca="false">IF(H_Direct=1,IF(AKR44&lt;=0,0,IF(BR45&lt;=0,MIN(MAX(0,AB45),AKR44),MIN(MAX(0,AB45),AKR44-G45*MAX(0,BR45*AKR44-(H45+I45))))),MIN(FE45,MAX(0,AB45)))</f>
        <v>0</v>
      </c>
      <c r="PS45" s="20" t="n">
        <f aca="false">IF(H_Direct=1,IF(AKS44&lt;=0,0,IF(BS45&lt;=0,MIN(MAX(0,AB45-SUM(PR45:PR45)),AKS44),MIN(MAX(0,AB45-SUM(PR45:PR45)),AKS44-G45*MAX(0,BS45*AKS44-(WR45+AAE45))))),MIN(FF45,MAX(0,AB45-SUM(PR45:PR45))))</f>
        <v>0</v>
      </c>
      <c r="PT45" s="20" t="n">
        <f aca="false">IF(H_Direct=1,IF(AKT44&lt;=0,0,IF(BT45&lt;=0,MIN(MAX(0,AB45-SUM(PR45:PS45)),AKT44),MIN(MAX(0,AB45-SUM(PR45:PS45)),AKT44-G45*MAX(0,BT45*AKT44-(WS45+AAF45))))),MIN(FG45,MAX(0,AB45-SUM(PR45:PS45))))</f>
        <v>0</v>
      </c>
      <c r="PU45" s="20" t="n">
        <f aca="false">IF(H_Direct=1,IF(AKU44&lt;=0,0,IF(BU45&lt;=0,MIN(MAX(0,AB45-SUM(PR45:PT45)),AKU44),MIN(MAX(0,AB45-SUM(PR45:PT45)),AKU44-G45*MAX(0,BU45*AKU44-(WT45+AAG45))))),MIN(FH45,MAX(0,AB45-SUM(PR45:PT45))))</f>
        <v>0</v>
      </c>
      <c r="PV45" s="20" t="n">
        <f aca="false">IF(H_Direct=1,IF(AKV44&lt;=0,0,IF(BV45&lt;=0,MIN(MAX(0,AB45-SUM(PR45:PU45)),AKV44),MIN(MAX(0,AB45-SUM(PR45:PU45)),AKV44-G45*MAX(0,BV45*AKV44-(WU45+AAH45))))),MIN(FI45,MAX(0,AB45-SUM(PR45:PU45))))</f>
        <v>0</v>
      </c>
      <c r="PW45" s="20" t="n">
        <f aca="false">IF(H_Direct=1,IF(AKW44&lt;=0,0,IF(BW45&lt;=0,MIN(MAX(0,AB45-SUM(PR45:PV45)),AKW44),MIN(MAX(0,AB45-SUM(PR45:PV45)),AKW44-G45*MAX(0,BW45*AKW44-(WV45+AAI45))))),MIN(FJ45,MAX(0,AB45-SUM(PR45:PV45))))</f>
        <v>0</v>
      </c>
      <c r="PX45" s="20" t="n">
        <f aca="false">IF(H_Direct=1,IF(AKX44&lt;=0,0,IF(BX45&lt;=0,MIN(MAX(0,AB45-SUM(PR45:PW45)),AKX44),MIN(MAX(0,AB45-SUM(PR45:PW45)),AKX44-G45*MAX(0,BX45*AKX44-(WW45+AAJ45))))),MIN(FK45,MAX(0,AB45-SUM(PR45:PW45))))</f>
        <v>0</v>
      </c>
      <c r="PY45" s="20" t="n">
        <f aca="false">IF(H_Direct=1,IF(AKY44&lt;=0,0,IF(BY45&lt;=0,MIN(MAX(0,AB45-SUM(PR45:PX45)),AKY44),MIN(MAX(0,AB45-SUM(PR45:PX45)),AKY44-G45*MAX(0,BY45*AKY44-(WX45+AAK45))))),MIN(FL45,MAX(0,AB45-SUM(PR45:PX45))))</f>
        <v>0</v>
      </c>
      <c r="PZ45" s="20" t="n">
        <f aca="false">IF(H_Direct=1,IF(AKZ44&lt;=0,0,IF(BZ45&lt;=0,MIN(MAX(0,AB45-SUM(PR45:PY45)),AKZ44),MIN(MAX(0,AB45-SUM(PR45:PY45)),AKZ44-G45*MAX(0,BZ45*AKZ44-(WY45+AAL45))))),MIN(FM45,MAX(0,AB45-SUM(PR45:PY45))))</f>
        <v>0</v>
      </c>
      <c r="QA45" s="20" t="n">
        <f aca="false">IF(H_Direct=1,IF(ALA44&lt;=0,0,IF(CA45&lt;=0,MIN(MAX(0,AB45-SUM(PR45:PZ45)),ALA44),MIN(MAX(0,AB45-SUM(PR45:PZ45)),ALA44-G45*MAX(0,CA45*ALA44-(WZ45+AAM45))))),MIN(FN45,MAX(0,AB45-SUM(PR45:PZ45))))</f>
        <v>0</v>
      </c>
      <c r="QB45" s="20" t="n">
        <f aca="false">IF(H_Direct=1,IF(ALB44&lt;=0,0,IF(CB45&lt;=0,MIN(MAX(0,AB45-SUM(PR45:QA45)),ALB44),MIN(MAX(0,AB45-SUM(PR45:QA45)),ALB44-G45*MAX(0,CB45*ALB44-(XA45+AAN45))))),MIN(FO45,MAX(0,AB45-SUM(PR45:QA45))))</f>
        <v>0</v>
      </c>
      <c r="QC45" s="20" t="n">
        <f aca="false">IF(H_Direct=1,IF(ALC44&lt;=0,0,IF(CC45&lt;=0,MIN(MAX(0,AB45-SUM(PR45:QB45)),ALC44),MIN(MAX(0,AB45-SUM(PR45:QB45)),ALC44-G45*MAX(0,CC45*ALC44-(XB45+AAO45))))),MIN(FP45,MAX(0,AB45-SUM(PR45:QB45))))</f>
        <v>0</v>
      </c>
      <c r="QD45" s="20" t="n">
        <f aca="false">IF(H_Direct=1,IF(ALD44&lt;=0,0,IF(CD45&lt;=0,MIN(MAX(0,AB45-SUM(PR45:QC45)),ALD44),MIN(MAX(0,AB45-SUM(PR45:QC45)),ALD44-G45*MAX(0,CD45*ALD44-(XC45+AAP45))))),MIN(FQ45,MAX(0,AB45-SUM(PR45:QC45))))</f>
        <v>0</v>
      </c>
      <c r="QE45" s="20" t="n">
        <f aca="false">IF(H_Direct=1,IF(ALE44&lt;=0,0,IF(CE45&lt;=0,MIN(MAX(0,AB45-SUM(PR45:QD45)),ALE44),MIN(MAX(0,AB45-SUM(PR45:QD45)),ALE44-G45*MAX(0,CE45*ALE44-(XD45+AAQ45))))),MIN(FR45,MAX(0,AB45-SUM(PR45:QD45))))</f>
        <v>0</v>
      </c>
      <c r="QF45" s="20" t="n">
        <f aca="false">IF(H_Direct=1,IF(ALF44&lt;=0,0,IF(CF45&lt;=0,MIN(MAX(0,AB45-SUM(PR45:QE45)),ALF44),MIN(MAX(0,AB45-SUM(PR45:QE45)),ALF44-G45*MAX(0,CF45*ALF44-(XE45+AAR45))))),MIN(FS45,MAX(0,AB45-SUM(PR45:QE45))))</f>
        <v>0</v>
      </c>
      <c r="QG45" s="20" t="n">
        <f aca="false">IF(H_Direct=1,IF(ALG44&lt;=0,0,IF(CG45&lt;=0,MIN(MAX(0,AB45-SUM(PR45:QF45)),ALG44),MIN(MAX(0,AB45-SUM(PR45:QF45)),ALG44-G45*MAX(0,CG45*ALG44-(XF45+AAS45))))),MIN(FT45,MAX(0,AB45-SUM(PR45:QF45))))</f>
        <v>0</v>
      </c>
      <c r="QH45" s="20" t="n">
        <f aca="false">IF(H_Direct=1,IF(ALH44&lt;=0,0,IF(CH45&lt;=0,MIN(MAX(0,AB45-SUM(PR45:QG45)),ALH44),MIN(MAX(0,AB45-SUM(PR45:QG45)),ALH44-G45*MAX(0,CH45*ALH44-(XG45+AAT45))))),MIN(FU45,MAX(0,AB45-SUM(PR45:QG45))))</f>
        <v>0</v>
      </c>
      <c r="QI45" s="20" t="n">
        <f aca="false">IF(H_Direct=1,IF(ALI44&lt;=0,0,IF(CI45&lt;=0,MIN(MAX(0,AB45-SUM(PR45:QH45)),ALI44),MIN(MAX(0,AB45-SUM(PR45:QH45)),ALI44-G45*MAX(0,CI45*ALI44-(XH45+AAU45))))),MIN(FV45,MAX(0,AB45-SUM(PR45:QH45))))</f>
        <v>0</v>
      </c>
      <c r="QJ45" s="20" t="n">
        <f aca="false">IF(H_Direct=1,IF(ALJ44&lt;=0,0,IF(CJ45&lt;=0,MIN(MAX(0,AB45-SUM(PR45:QI45)),ALJ44),MIN(MAX(0,AB45-SUM(PR45:QI45)),ALJ44-G45*MAX(0,CJ45*ALJ44-(XI45+AAV45))))),MIN(FW45,MAX(0,AB45-SUM(PR45:QI45))))</f>
        <v>0</v>
      </c>
      <c r="QK45" s="20" t="n">
        <f aca="false">IF(H_Direct=1,IF(ALK44&lt;=0,0,IF(CK45&lt;=0,MIN(MAX(0,AB45-SUM(PR45:QJ45)),ALK44),MIN(MAX(0,AB45-SUM(PR45:QJ45)),ALK44-G45*MAX(0,CK45*ALK44-(XJ45+AAW45))))),MIN(FX45,MAX(0,AB45-SUM(PR45:QJ45))))</f>
        <v>0</v>
      </c>
      <c r="QL45" s="20" t="n">
        <f aca="false">IF(H_Direct=1,IF(ALL44&lt;=0,0,IF(CL45&lt;=0,MIN(MAX(0,AB45-SUM(PR45:QK45)),ALL44),MIN(MAX(0,AB45-SUM(PR45:QK45)),ALL44-G45*MAX(0,CL45*ALL44-(XK45+AAX45))))),MIN(FY45,MAX(0,AB45-SUM(PR45:QK45))))</f>
        <v>0</v>
      </c>
      <c r="QM45" s="20" t="n">
        <f aca="false">IF(H_Direct=1,IF(ALM44&lt;=0,0,IF(CM45&lt;=0,MIN(MAX(0,AB45-SUM(PR45:QL45)),ALM44),MIN(MAX(0,AB45-SUM(PR45:QL45)),ALM44-G45*MAX(0,CM45*ALM44-(XL45+AAY45))))),MIN(FZ45,MAX(0,AB45-SUM(PR45:QL45))))</f>
        <v>0</v>
      </c>
      <c r="QN45" s="20" t="n">
        <f aca="false">IF(H_Direct=1,IF(ALN44&lt;=0,0,IF(CN45&lt;=0,MIN(MAX(0,AB45-SUM(PR45:QM45)),ALN44),MIN(MAX(0,AB45-SUM(PR45:QM45)),ALN44-G45*MAX(0,CN45*ALN44-(XM45+AAZ45))))),MIN(GA45,MAX(0,AB45-SUM(PR45:QM45))))</f>
        <v>0</v>
      </c>
      <c r="QO45" s="20" t="n">
        <f aca="false">IF(H_Direct=1,IF(ALO44&lt;=0,0,IF(CO45&lt;=0,MIN(MAX(0,AB45-SUM(PR45:QN45)),ALO44),MIN(MAX(0,AB45-SUM(PR45:QN45)),ALO44-G45*MAX(0,CO45*ALO44-(XN45+ABA45))))),MIN(GB45,MAX(0,AB45-SUM(PR45:QN45))))</f>
        <v>0</v>
      </c>
      <c r="QP45" s="20" t="n">
        <f aca="false">IF(H_Direct=1,IF(ALP44&lt;=0,0,IF(CP45&lt;=0,MIN(MAX(0,AB45-SUM(PR45:QO45)),ALP44),MIN(MAX(0,AB45-SUM(PR45:QO45)),ALP44-G45*MAX(0,CP45*ALP44-(XO45+ABB45))))),MIN(GC45,MAX(0,AB45-SUM(PR45:QO45))))</f>
        <v>0</v>
      </c>
      <c r="QQ45" s="20" t="n">
        <f aca="false">IF(H_Direct=1,IF(ALQ44&lt;=0,0,IF(CQ45&lt;=0,MIN(MAX(0,AB45-SUM(PR45:QP45)),ALQ44),MIN(MAX(0,AB45-SUM(PR45:QP45)),ALQ44-G45*MAX(0,CQ45*ALQ44-(XP45+ABC45))))),MIN(GD45,MAX(0,AB45-SUM(PR45:QP45))))</f>
        <v>0</v>
      </c>
      <c r="QR45" s="20" t="n">
        <f aca="false">IF(H_Direct=1,IF(ALR44&lt;=0,0,IF(CR45&lt;=0,MIN(MAX(0,AB45-SUM(PR45:QQ45)),ALR44),MIN(MAX(0,AB45-SUM(PR45:QQ45)),ALR44-G45*MAX(0,CR45*ALR44-(XQ45+ABD45))))),MIN(GE45,MAX(0,AB45-SUM(PR45:QQ45))))</f>
        <v>23577.9911845889</v>
      </c>
      <c r="QS45" s="20" t="n">
        <f aca="false">IF(H_Direct=1,IF(ALS44&lt;=0,0,IF(CS45&lt;=0,MIN(MAX(0,AB45-SUM(PR45:QR45)),ALS44),MIN(MAX(0,AB45-SUM(PR45:QR45)),ALS44-G45*MAX(0,CS45*ALS44-(XR45+ABE45))))),MIN(GF45,MAX(0,AB45-SUM(PR45:QR45))))</f>
        <v>0</v>
      </c>
      <c r="QT45" s="20" t="n">
        <f aca="false">IF(H_Direct=1,IF(ALT44&lt;=0,0,IF(CT45&lt;=0,MIN(MAX(0,AB45-SUM(PR45:QS45)),ALT44),MIN(MAX(0,AB45-SUM(PR45:QS45)),ALT44-G45*MAX(0,CT45*ALT44-(XS45+ABF45))))),MIN(GG45,MAX(0,AB45-SUM(PR45:QS45))))</f>
        <v>0</v>
      </c>
      <c r="QU45" s="20" t="n">
        <f aca="false">IF(H_Direct=1,IF(ALU44&lt;=0,0,IF(CU45&lt;=0,MIN(MAX(0,AB45-SUM(PR45:QT45)),ALU44),MIN(MAX(0,AB45-SUM(PR45:QT45)),ALU44-G45*MAX(0,CU45*ALU44-(XT45+ABG45))))),MIN(GH45,MAX(0,AB45-SUM(PR45:QT45))))</f>
        <v>0</v>
      </c>
      <c r="QV45" s="20" t="n">
        <f aca="false">IF(H_Direct=1,IF(ALV44&lt;=0,0,IF(CV45&lt;=0,MIN(MAX(0,AB45-SUM(PR45:QU45)),ALV44),MIN(MAX(0,AB45-SUM(PR45:QU45)),ALV44-G45*MAX(0,CV45*ALV44-(XU45+ABH45))))),MIN(GI45,MAX(0,AB45-SUM(PR45:QU45))))</f>
        <v>0</v>
      </c>
      <c r="QW45" s="20" t="n">
        <f aca="false">IF(H_Direct=1,IF(ALW44&lt;=0,0,IF(CW45&lt;=0,MIN(MAX(0,AB45-SUM(PR45:QV45)),ALW44),MIN(MAX(0,AB45-SUM(PR45:QV45)),ALW44-G45*MAX(0,CW45*ALW44-(XV45+ABI45))))),MIN(GJ45,MAX(0,AB45-SUM(PR45:QV45))))</f>
        <v>0</v>
      </c>
      <c r="QX45" s="20" t="n">
        <f aca="false">IF(H_Direct=1,IF(ALX44&lt;=0,0,IF(CX45&lt;=0,MIN(MAX(0,AB45-SUM(PR45:QW45)),ALX44),MIN(MAX(0,AB45-SUM(PR45:QW45)),ALX44-G45*MAX(0,CX45*ALX44-(XW45+ABJ45))))),MIN(GK45,MAX(0,AB45-SUM(PR45:QW45))))</f>
        <v>0</v>
      </c>
      <c r="QY45" s="20" t="n">
        <f aca="false">IF(H_Direct=1,IF(ALY44&lt;=0,0,IF(CY45&lt;=0,MIN(MAX(0,AB45-SUM(PR45:QX45)),ALY44),MIN(MAX(0,AB45-SUM(PR45:QX45)),ALY44-G45*MAX(0,CY45*ALY44-(XX45+ABK45))))),MIN(GL45,MAX(0,AB45-SUM(PR45:QX45))))</f>
        <v>0</v>
      </c>
      <c r="QZ45" s="20" t="n">
        <f aca="false">IF(H_Direct=1,IF(ALZ44&lt;=0,0,IF(CZ45&lt;=0,MIN(MAX(0,AB45-SUM(PR45:QY45)),ALZ44),MIN(MAX(0,AB45-SUM(PR45:QY45)),ALZ44-G45*MAX(0,CZ45*ALZ44-(XY45+ABL45))))),MIN(GM45,MAX(0,AB45-SUM(PR45:QY45))))</f>
        <v>0</v>
      </c>
      <c r="RA45" s="20" t="n">
        <f aca="false">IF(H_Direct=1,IF(AMA44&lt;=0,0,IF(DA45&lt;=0,MIN(MAX(0,AB45-SUM(PR45:QZ45)),AMA44),MIN(MAX(0,AB45-SUM(PR45:QZ45)),AMA44-G45*MAX(0,DA45*AMA44-(XZ45+ABM45))))),MIN(GN45,MAX(0,AB45-SUM(PR45:QZ45))))</f>
        <v>0</v>
      </c>
      <c r="RB45" s="20" t="n">
        <f aca="false">IF(H_Direct=1,IF(AMB44&lt;=0,0,IF(DB45&lt;=0,MIN(MAX(0,AB45-SUM(PR45:RA45)),AMB44),MIN(MAX(0,AB45-SUM(PR45:RA45)),AMB44-G45*MAX(0,DB45*AMB44-(YA45+ABN45))))),MIN(GO45,MAX(0,AB45-SUM(PR45:RA45))))</f>
        <v>0</v>
      </c>
      <c r="RC45" s="20" t="n">
        <f aca="false">IF(H_Direct=1,IF(AMC44&lt;=0,0,IF(DC45&lt;=0,MIN(MAX(0,AB45-SUM(PR45:RB45)),AMC44),MIN(MAX(0,AB45-SUM(PR45:RB45)),AMC44-G45*MAX(0,DC45*AMC44-(YB45+ABO45))))),MIN(GP45,MAX(0,AB45-SUM(PR45:RB45))))</f>
        <v>0</v>
      </c>
      <c r="RD45" s="20" t="n">
        <f aca="false">IF(H_Direct=1,IF((P45+S45)&lt;=0,0,IF(DD45&lt;=0,MIN(MAX(0,AB45-SUM(PR45:RC45)),(P45+S45)),MIN(MAX(0,AB45-SUM(PR45:RC45)),(P45+S45)-G45*MAX(0,DD45*(P45+S45)-(YC45+ABP45))))),MIN(GQ45,MAX(0,AB45-SUM(PR45:RC45))))</f>
        <v>0</v>
      </c>
      <c r="RE45" s="20" t="n">
        <v>0</v>
      </c>
      <c r="RF45" s="20" t="n">
        <v>0</v>
      </c>
      <c r="RG45" s="20" t="n">
        <v>0</v>
      </c>
      <c r="RH45" s="20" t="n">
        <v>0</v>
      </c>
      <c r="RI45" s="20" t="n">
        <v>0</v>
      </c>
      <c r="RJ45" s="20" t="n">
        <v>0</v>
      </c>
      <c r="RK45" s="20" t="n">
        <v>0</v>
      </c>
      <c r="RL45" s="20" t="n">
        <v>0</v>
      </c>
      <c r="RM45" s="20" t="n">
        <v>0</v>
      </c>
      <c r="RN45" s="20" t="n">
        <v>0</v>
      </c>
      <c r="RO45" s="20" t="n">
        <v>0</v>
      </c>
      <c r="RP45" s="20" t="n">
        <v>0</v>
      </c>
      <c r="RQ45" s="20" t="n">
        <v>0</v>
      </c>
      <c r="RR45" s="20" t="n">
        <v>0</v>
      </c>
      <c r="RS45" s="20" t="n">
        <v>0</v>
      </c>
      <c r="RT45" s="20" t="n">
        <v>0</v>
      </c>
      <c r="RU45" s="20" t="n">
        <v>0</v>
      </c>
      <c r="RV45" s="20" t="n">
        <v>0</v>
      </c>
      <c r="RW45" s="20" t="n">
        <v>0</v>
      </c>
      <c r="RX45" s="20" t="n">
        <v>0</v>
      </c>
      <c r="RY45" s="20" t="n">
        <v>0</v>
      </c>
      <c r="RZ45" s="20" t="n">
        <v>0</v>
      </c>
      <c r="SA45" s="20" t="n">
        <v>0</v>
      </c>
      <c r="SB45" s="20" t="n">
        <v>0</v>
      </c>
      <c r="SC45" s="20" t="n">
        <v>0</v>
      </c>
      <c r="SD45" s="20" t="n">
        <v>0</v>
      </c>
      <c r="SE45" s="20" t="n">
        <v>0</v>
      </c>
      <c r="SF45" s="20" t="n">
        <v>0</v>
      </c>
      <c r="SG45" s="20" t="n">
        <v>0</v>
      </c>
      <c r="SH45" s="20" t="n">
        <v>0</v>
      </c>
      <c r="SI45" s="20" t="n">
        <v>0</v>
      </c>
      <c r="SJ45" s="20" t="n">
        <v>0</v>
      </c>
      <c r="SK45" s="20" t="n">
        <v>0</v>
      </c>
      <c r="SL45" s="20" t="n">
        <v>0</v>
      </c>
      <c r="SM45" s="20" t="n">
        <v>0</v>
      </c>
      <c r="SN45" s="20" t="n">
        <v>0</v>
      </c>
      <c r="SO45" s="20" t="n">
        <v>0</v>
      </c>
      <c r="SP45" s="20" t="n">
        <v>0</v>
      </c>
      <c r="SQ45" s="20" t="n">
        <v>0</v>
      </c>
      <c r="SR45" s="20" t="n">
        <v>0</v>
      </c>
      <c r="SS45" s="20" t="n">
        <v>0</v>
      </c>
      <c r="ST45" s="20" t="n">
        <v>0</v>
      </c>
      <c r="SU45" s="20" t="n">
        <v>0</v>
      </c>
      <c r="SV45" s="20" t="n">
        <v>0</v>
      </c>
      <c r="SW45" s="20" t="n">
        <v>0</v>
      </c>
      <c r="SX45" s="20" t="n">
        <v>0</v>
      </c>
      <c r="SY45" s="20" t="n">
        <v>0</v>
      </c>
      <c r="SZ45" s="20" t="n">
        <v>0</v>
      </c>
      <c r="TA45" s="20" t="n">
        <v>0</v>
      </c>
      <c r="TB45" s="20" t="n">
        <v>0</v>
      </c>
      <c r="TC45" s="20" t="n">
        <v>0</v>
      </c>
      <c r="TD45" s="20" t="n">
        <v>0</v>
      </c>
      <c r="TE45" s="20" t="n">
        <f aca="false">IF(AKR44&lt;=0,0,IF(H_Direct=1,IF(BR45&lt;=0,PR45,IF(PR45&lt;=(H45+I45)/BR45,PR45,(PR45-G45*(H45+I45))/(1-G45*BR45))),PR45/(1-MAX(0,BR45)*H_Exit)))</f>
        <v>0</v>
      </c>
      <c r="TF45" s="20" t="n">
        <f aca="false">IF(AKS44&lt;=0,0,IF(H_Direct=1,IF(BS45&lt;=0,PS45,IF(PS45&lt;=(WR45+AAE45)/BS45,PS45,(PS45-G45*(WR45+AAE45))/(1-G45*BS45))),PS45/(1-MAX(0,BS45)*H_Exit)))</f>
        <v>0</v>
      </c>
      <c r="TG45" s="20" t="n">
        <f aca="false">IF(AKT44&lt;=0,0,IF(H_Direct=1,IF(BT45&lt;=0,PT45,IF(PT45&lt;=(WS45+AAF45)/BT45,PT45,(PT45-G45*(WS45+AAF45))/(1-G45*BT45))),PT45/(1-MAX(0,BT45)*H_Exit)))</f>
        <v>0</v>
      </c>
      <c r="TH45" s="20" t="n">
        <f aca="false">IF(AKU44&lt;=0,0,IF(H_Direct=1,IF(BU45&lt;=0,PU45,IF(PU45&lt;=(WT45+AAG45)/BU45,PU45,(PU45-G45*(WT45+AAG45))/(1-G45*BU45))),PU45/(1-MAX(0,BU45)*H_Exit)))</f>
        <v>0</v>
      </c>
      <c r="TI45" s="20" t="n">
        <f aca="false">IF(AKV44&lt;=0,0,IF(H_Direct=1,IF(BV45&lt;=0,PV45,IF(PV45&lt;=(WU45+AAH45)/BV45,PV45,(PV45-G45*(WU45+AAH45))/(1-G45*BV45))),PV45/(1-MAX(0,BV45)*H_Exit)))</f>
        <v>0</v>
      </c>
      <c r="TJ45" s="20" t="n">
        <f aca="false">IF(AKW44&lt;=0,0,IF(H_Direct=1,IF(BW45&lt;=0,PW45,IF(PW45&lt;=(WV45+AAI45)/BW45,PW45,(PW45-G45*(WV45+AAI45))/(1-G45*BW45))),PW45/(1-MAX(0,BW45)*H_Exit)))</f>
        <v>0</v>
      </c>
      <c r="TK45" s="20" t="n">
        <f aca="false">IF(AKX44&lt;=0,0,IF(H_Direct=1,IF(BX45&lt;=0,PX45,IF(PX45&lt;=(WW45+AAJ45)/BX45,PX45,(PX45-G45*(WW45+AAJ45))/(1-G45*BX45))),PX45/(1-MAX(0,BX45)*H_Exit)))</f>
        <v>0</v>
      </c>
      <c r="TL45" s="20" t="n">
        <f aca="false">IF(AKY44&lt;=0,0,IF(H_Direct=1,IF(BY45&lt;=0,PY45,IF(PY45&lt;=(WX45+AAK45)/BY45,PY45,(PY45-G45*(WX45+AAK45))/(1-G45*BY45))),PY45/(1-MAX(0,BY45)*H_Exit)))</f>
        <v>0</v>
      </c>
      <c r="TM45" s="20" t="n">
        <f aca="false">IF(AKZ44&lt;=0,0,IF(H_Direct=1,IF(BZ45&lt;=0,PZ45,IF(PZ45&lt;=(WY45+AAL45)/BZ45,PZ45,(PZ45-G45*(WY45+AAL45))/(1-G45*BZ45))),PZ45/(1-MAX(0,BZ45)*H_Exit)))</f>
        <v>0</v>
      </c>
      <c r="TN45" s="20" t="n">
        <f aca="false">IF(ALA44&lt;=0,0,IF(H_Direct=1,IF(CA45&lt;=0,QA45,IF(QA45&lt;=(WZ45+AAM45)/CA45,QA45,(QA45-G45*(WZ45+AAM45))/(1-G45*CA45))),QA45/(1-MAX(0,CA45)*H_Exit)))</f>
        <v>0</v>
      </c>
      <c r="TO45" s="20" t="n">
        <f aca="false">IF(ALB44&lt;=0,0,IF(H_Direct=1,IF(CB45&lt;=0,QB45,IF(QB45&lt;=(XA45+AAN45)/CB45,QB45,(QB45-G45*(XA45+AAN45))/(1-G45*CB45))),QB45/(1-MAX(0,CB45)*H_Exit)))</f>
        <v>0</v>
      </c>
      <c r="TP45" s="20" t="n">
        <f aca="false">IF(ALC44&lt;=0,0,IF(H_Direct=1,IF(CC45&lt;=0,QC45,IF(QC45&lt;=(XB45+AAO45)/CC45,QC45,(QC45-G45*(XB45+AAO45))/(1-G45*CC45))),QC45/(1-MAX(0,CC45)*H_Exit)))</f>
        <v>0</v>
      </c>
      <c r="TQ45" s="20" t="n">
        <f aca="false">IF(ALD44&lt;=0,0,IF(H_Direct=1,IF(CD45&lt;=0,QD45,IF(QD45&lt;=(XC45+AAP45)/CD45,QD45,(QD45-G45*(XC45+AAP45))/(1-G45*CD45))),QD45/(1-MAX(0,CD45)*H_Exit)))</f>
        <v>0</v>
      </c>
      <c r="TR45" s="20" t="n">
        <f aca="false">IF(ALE44&lt;=0,0,IF(H_Direct=1,IF(CE45&lt;=0,QE45,IF(QE45&lt;=(XD45+AAQ45)/CE45,QE45,(QE45-G45*(XD45+AAQ45))/(1-G45*CE45))),QE45/(1-MAX(0,CE45)*H_Exit)))</f>
        <v>0</v>
      </c>
      <c r="TS45" s="20" t="n">
        <f aca="false">IF(ALF44&lt;=0,0,IF(H_Direct=1,IF(CF45&lt;=0,QF45,IF(QF45&lt;=(XE45+AAR45)/CF45,QF45,(QF45-G45*(XE45+AAR45))/(1-G45*CF45))),QF45/(1-MAX(0,CF45)*H_Exit)))</f>
        <v>0</v>
      </c>
      <c r="TT45" s="20" t="n">
        <f aca="false">IF(ALG44&lt;=0,0,IF(H_Direct=1,IF(CG45&lt;=0,QG45,IF(QG45&lt;=(XF45+AAS45)/CG45,QG45,(QG45-G45*(XF45+AAS45))/(1-G45*CG45))),QG45/(1-MAX(0,CG45)*H_Exit)))</f>
        <v>0</v>
      </c>
      <c r="TU45" s="20" t="n">
        <f aca="false">IF(ALH44&lt;=0,0,IF(H_Direct=1,IF(CH45&lt;=0,QH45,IF(QH45&lt;=(XG45+AAT45)/CH45,QH45,(QH45-G45*(XG45+AAT45))/(1-G45*CH45))),QH45/(1-MAX(0,CH45)*H_Exit)))</f>
        <v>0</v>
      </c>
      <c r="TV45" s="20" t="n">
        <f aca="false">IF(ALI44&lt;=0,0,IF(H_Direct=1,IF(CI45&lt;=0,QI45,IF(QI45&lt;=(XH45+AAU45)/CI45,QI45,(QI45-G45*(XH45+AAU45))/(1-G45*CI45))),QI45/(1-MAX(0,CI45)*H_Exit)))</f>
        <v>0</v>
      </c>
      <c r="TW45" s="20" t="n">
        <f aca="false">IF(ALJ44&lt;=0,0,IF(H_Direct=1,IF(CJ45&lt;=0,QJ45,IF(QJ45&lt;=(XI45+AAV45)/CJ45,QJ45,(QJ45-G45*(XI45+AAV45))/(1-G45*CJ45))),QJ45/(1-MAX(0,CJ45)*H_Exit)))</f>
        <v>0</v>
      </c>
      <c r="TX45" s="20" t="n">
        <f aca="false">IF(ALK44&lt;=0,0,IF(H_Direct=1,IF(CK45&lt;=0,QK45,IF(QK45&lt;=(XJ45+AAW45)/CK45,QK45,(QK45-G45*(XJ45+AAW45))/(1-G45*CK45))),QK45/(1-MAX(0,CK45)*H_Exit)))</f>
        <v>0</v>
      </c>
      <c r="TY45" s="20" t="n">
        <f aca="false">IF(ALL44&lt;=0,0,IF(H_Direct=1,IF(CL45&lt;=0,QL45,IF(QL45&lt;=(XK45+AAX45)/CL45,QL45,(QL45-G45*(XK45+AAX45))/(1-G45*CL45))),QL45/(1-MAX(0,CL45)*H_Exit)))</f>
        <v>0</v>
      </c>
      <c r="TZ45" s="20" t="n">
        <f aca="false">IF(ALM44&lt;=0,0,IF(H_Direct=1,IF(CM45&lt;=0,QM45,IF(QM45&lt;=(XL45+AAY45)/CM45,QM45,(QM45-G45*(XL45+AAY45))/(1-G45*CM45))),QM45/(1-MAX(0,CM45)*H_Exit)))</f>
        <v>0</v>
      </c>
      <c r="UA45" s="20" t="n">
        <f aca="false">IF(ALN44&lt;=0,0,IF(H_Direct=1,IF(CN45&lt;=0,QN45,IF(QN45&lt;=(XM45+AAZ45)/CN45,QN45,(QN45-G45*(XM45+AAZ45))/(1-G45*CN45))),QN45/(1-MAX(0,CN45)*H_Exit)))</f>
        <v>0</v>
      </c>
      <c r="UB45" s="20" t="n">
        <f aca="false">IF(ALO44&lt;=0,0,IF(H_Direct=1,IF(CO45&lt;=0,QO45,IF(QO45&lt;=(XN45+ABA45)/CO45,QO45,(QO45-G45*(XN45+ABA45))/(1-G45*CO45))),QO45/(1-MAX(0,CO45)*H_Exit)))</f>
        <v>0</v>
      </c>
      <c r="UC45" s="20" t="n">
        <f aca="false">IF(ALP44&lt;=0,0,IF(H_Direct=1,IF(CP45&lt;=0,QP45,IF(QP45&lt;=(XO45+ABB45)/CP45,QP45,(QP45-G45*(XO45+ABB45))/(1-G45*CP45))),QP45/(1-MAX(0,CP45)*H_Exit)))</f>
        <v>0</v>
      </c>
      <c r="UD45" s="20" t="n">
        <f aca="false">IF(ALQ44&lt;=0,0,IF(H_Direct=1,IF(CQ45&lt;=0,QQ45,IF(QQ45&lt;=(XP45+ABC45)/CQ45,QQ45,(QQ45-G45*(XP45+ABC45))/(1-G45*CQ45))),QQ45/(1-MAX(0,CQ45)*H_Exit)))</f>
        <v>0</v>
      </c>
      <c r="UE45" s="20" t="n">
        <f aca="false">IF(ALR44&lt;=0,0,IF(H_Direct=1,IF(CR45&lt;=0,QR45,IF(QR45&lt;=(XQ45+ABD45)/CR45,QR45,(QR45-G45*(XQ45+ABD45))/(1-G45*CR45))),QR45/(1-MAX(0,CR45)*H_Exit)))</f>
        <v>24954.8608436013</v>
      </c>
      <c r="UF45" s="20" t="n">
        <f aca="false">IF(ALS44&lt;=0,0,IF(H_Direct=1,IF(CS45&lt;=0,QS45,IF(QS45&lt;=(XR45+ABE45)/CS45,QS45,(QS45-G45*(XR45+ABE45))/(1-G45*CS45))),QS45/(1-MAX(0,CS45)*H_Exit)))</f>
        <v>0</v>
      </c>
      <c r="UG45" s="20" t="n">
        <f aca="false">IF(ALT44&lt;=0,0,IF(H_Direct=1,IF(CT45&lt;=0,QT45,IF(QT45&lt;=(XS45+ABF45)/CT45,QT45,(QT45-G45*(XS45+ABF45))/(1-G45*CT45))),QT45/(1-MAX(0,CT45)*H_Exit)))</f>
        <v>0</v>
      </c>
      <c r="UH45" s="20" t="n">
        <f aca="false">IF(ALU44&lt;=0,0,IF(H_Direct=1,IF(CU45&lt;=0,QU45,IF(QU45&lt;=(XT45+ABG45)/CU45,QU45,(QU45-G45*(XT45+ABG45))/(1-G45*CU45))),QU45/(1-MAX(0,CU45)*H_Exit)))</f>
        <v>0</v>
      </c>
      <c r="UI45" s="20" t="n">
        <f aca="false">IF(ALV44&lt;=0,0,IF(H_Direct=1,IF(CV45&lt;=0,QV45,IF(QV45&lt;=(XU45+ABH45)/CV45,QV45,(QV45-G45*(XU45+ABH45))/(1-G45*CV45))),QV45/(1-MAX(0,CV45)*H_Exit)))</f>
        <v>0</v>
      </c>
      <c r="UJ45" s="20" t="n">
        <f aca="false">IF(ALW44&lt;=0,0,IF(H_Direct=1,IF(CW45&lt;=0,QW45,IF(QW45&lt;=(XV45+ABI45)/CW45,QW45,(QW45-G45*(XV45+ABI45))/(1-G45*CW45))),QW45/(1-MAX(0,CW45)*H_Exit)))</f>
        <v>0</v>
      </c>
      <c r="UK45" s="20" t="n">
        <f aca="false">IF(ALX44&lt;=0,0,IF(H_Direct=1,IF(CX45&lt;=0,QX45,IF(QX45&lt;=(XW45+ABJ45)/CX45,QX45,(QX45-G45*(XW45+ABJ45))/(1-G45*CX45))),QX45/(1-MAX(0,CX45)*H_Exit)))</f>
        <v>0</v>
      </c>
      <c r="UL45" s="20" t="n">
        <f aca="false">IF(ALY44&lt;=0,0,IF(H_Direct=1,IF(CY45&lt;=0,QY45,IF(QY45&lt;=(XX45+ABK45)/CY45,QY45,(QY45-G45*(XX45+ABK45))/(1-G45*CY45))),QY45/(1-MAX(0,CY45)*H_Exit)))</f>
        <v>0</v>
      </c>
      <c r="UM45" s="20" t="n">
        <f aca="false">IF(ALZ44&lt;=0,0,IF(H_Direct=1,IF(CZ45&lt;=0,QZ45,IF(QZ45&lt;=(XY45+ABL45)/CZ45,QZ45,(QZ45-G45*(XY45+ABL45))/(1-G45*CZ45))),QZ45/(1-MAX(0,CZ45)*H_Exit)))</f>
        <v>0</v>
      </c>
      <c r="UN45" s="20" t="n">
        <f aca="false">IF(AMA44&lt;=0,0,IF(H_Direct=1,IF(DA45&lt;=0,RA45,IF(RA45&lt;=(XZ45+ABM45)/DA45,RA45,(RA45-G45*(XZ45+ABM45))/(1-G45*DA45))),RA45/(1-MAX(0,DA45)*H_Exit)))</f>
        <v>0</v>
      </c>
      <c r="UO45" s="20" t="n">
        <f aca="false">IF(AMB44&lt;=0,0,IF(H_Direct=1,IF(DB45&lt;=0,RB45,IF(RB45&lt;=(YA45+ABN45)/DB45,RB45,(RB45-G45*(YA45+ABN45))/(1-G45*DB45))),RB45/(1-MAX(0,DB45)*H_Exit)))</f>
        <v>0</v>
      </c>
      <c r="UP45" s="20" t="n">
        <f aca="false">IF(AMC44&lt;=0,0,IF(H_Direct=1,IF(DC45&lt;=0,RC45,IF(RC45&lt;=(YB45+ABO45)/DC45,RC45,(RC45-G45*(YB45+ABO45))/(1-G45*DC45))),RC45/(1-MAX(0,DC45)*H_Exit)))</f>
        <v>0</v>
      </c>
      <c r="UQ45" s="20" t="n">
        <f aca="false">IF((P45+S45)&lt;=0,0,IF(H_Direct=1,IF(DD45&lt;=0,RD45,IF(RD45&lt;=(YC45+ABP45)/DD45,RD45,(RD45-G45*(YC45+ABP45))/(1-G45*DD45))),RD45/(1-MAX(0,DD45)*H_Exit)))</f>
        <v>0</v>
      </c>
      <c r="UR45" s="20" t="n">
        <v>0</v>
      </c>
      <c r="US45" s="20" t="n">
        <v>0</v>
      </c>
      <c r="UT45" s="20" t="n">
        <v>0</v>
      </c>
      <c r="UU45" s="20" t="n">
        <v>0</v>
      </c>
      <c r="UV45" s="20" t="n">
        <v>0</v>
      </c>
      <c r="UW45" s="20" t="n">
        <v>0</v>
      </c>
      <c r="UX45" s="20" t="n">
        <v>0</v>
      </c>
      <c r="UY45" s="20" t="n">
        <v>0</v>
      </c>
      <c r="UZ45" s="20" t="n">
        <v>0</v>
      </c>
      <c r="VA45" s="20" t="n">
        <v>0</v>
      </c>
      <c r="VB45" s="20" t="n">
        <v>0</v>
      </c>
      <c r="VC45" s="20" t="n">
        <v>0</v>
      </c>
      <c r="VD45" s="20" t="n">
        <v>0</v>
      </c>
      <c r="VE45" s="20" t="n">
        <v>0</v>
      </c>
      <c r="VF45" s="20" t="n">
        <v>0</v>
      </c>
      <c r="VG45" s="20" t="n">
        <v>0</v>
      </c>
      <c r="VH45" s="20" t="n">
        <v>0</v>
      </c>
      <c r="VI45" s="20" t="n">
        <v>0</v>
      </c>
      <c r="VJ45" s="20" t="n">
        <v>0</v>
      </c>
      <c r="VK45" s="20" t="n">
        <v>0</v>
      </c>
      <c r="VL45" s="20" t="n">
        <v>0</v>
      </c>
      <c r="VM45" s="20" t="n">
        <v>0</v>
      </c>
      <c r="VN45" s="20" t="n">
        <v>0</v>
      </c>
      <c r="VO45" s="20" t="n">
        <v>0</v>
      </c>
      <c r="VP45" s="20" t="n">
        <v>0</v>
      </c>
      <c r="VQ45" s="20" t="n">
        <v>0</v>
      </c>
      <c r="VR45" s="20" t="n">
        <v>0</v>
      </c>
      <c r="VS45" s="20" t="n">
        <v>0</v>
      </c>
      <c r="VT45" s="20" t="n">
        <v>0</v>
      </c>
      <c r="VU45" s="20" t="n">
        <v>0</v>
      </c>
      <c r="VV45" s="20" t="n">
        <v>0</v>
      </c>
      <c r="VW45" s="20" t="n">
        <v>0</v>
      </c>
      <c r="VX45" s="20" t="n">
        <v>0</v>
      </c>
      <c r="VY45" s="20" t="n">
        <v>0</v>
      </c>
      <c r="VZ45" s="20" t="n">
        <v>0</v>
      </c>
      <c r="WA45" s="20" t="n">
        <v>0</v>
      </c>
      <c r="WB45" s="20" t="n">
        <v>0</v>
      </c>
      <c r="WC45" s="20" t="n">
        <v>0</v>
      </c>
      <c r="WD45" s="20" t="n">
        <v>0</v>
      </c>
      <c r="WE45" s="20" t="n">
        <v>0</v>
      </c>
      <c r="WF45" s="20" t="n">
        <v>0</v>
      </c>
      <c r="WG45" s="20" t="n">
        <v>0</v>
      </c>
      <c r="WH45" s="20" t="n">
        <v>0</v>
      </c>
      <c r="WI45" s="20" t="n">
        <v>0</v>
      </c>
      <c r="WJ45" s="20" t="n">
        <v>0</v>
      </c>
      <c r="WK45" s="20" t="n">
        <v>0</v>
      </c>
      <c r="WL45" s="20" t="n">
        <v>0</v>
      </c>
      <c r="WM45" s="20" t="n">
        <v>0</v>
      </c>
      <c r="WN45" s="20" t="n">
        <v>0</v>
      </c>
      <c r="WO45" s="20" t="n">
        <v>0</v>
      </c>
      <c r="WP45" s="20" t="n">
        <v>0</v>
      </c>
      <c r="WQ45" s="20" t="n">
        <v>0</v>
      </c>
      <c r="WR45" s="20" t="n">
        <f aca="false">IF(AND(H_Direct=1,BR45&gt;0),MAX(0,H45-(MIN(BR45*TE45,(H45+I45))-MIN(MIN(BR45*TE45,(H45+I45)),I45))),H45)</f>
        <v>1270</v>
      </c>
      <c r="WS45" s="20" t="n">
        <f aca="false">IF(AND(H_Direct=1,BS45&gt;0),MAX(0,WR45-(MIN(BS45*TF45,(WR45+AAE45))-MIN(MIN(BS45*TF45,(WR45+AAE45)),AAE45))),WR45)</f>
        <v>1270</v>
      </c>
      <c r="WT45" s="20" t="n">
        <f aca="false">IF(AND(H_Direct=1,BT45&gt;0),MAX(0,WS45-(MIN(BT45*TG45,(WS45+AAF45))-MIN(MIN(BT45*TG45,(WS45+AAF45)),AAF45))),WS45)</f>
        <v>1270</v>
      </c>
      <c r="WU45" s="20" t="n">
        <f aca="false">IF(AND(H_Direct=1,BU45&gt;0),MAX(0,WT45-(MIN(BU45*TH45,(WT45+AAG45))-MIN(MIN(BU45*TH45,(WT45+AAG45)),AAG45))),WT45)</f>
        <v>1270</v>
      </c>
      <c r="WV45" s="20" t="n">
        <f aca="false">IF(AND(H_Direct=1,BV45&gt;0),MAX(0,WU45-(MIN(BV45*TI45,(WU45+AAH45))-MIN(MIN(BV45*TI45,(WU45+AAH45)),AAH45))),WU45)</f>
        <v>1270</v>
      </c>
      <c r="WW45" s="20" t="n">
        <f aca="false">IF(AND(H_Direct=1,BW45&gt;0),MAX(0,WV45-(MIN(BW45*TJ45,(WV45+AAI45))-MIN(MIN(BW45*TJ45,(WV45+AAI45)),AAI45))),WV45)</f>
        <v>1270</v>
      </c>
      <c r="WX45" s="20" t="n">
        <f aca="false">IF(AND(H_Direct=1,BX45&gt;0),MAX(0,WW45-(MIN(BX45*TK45,(WW45+AAJ45))-MIN(MIN(BX45*TK45,(WW45+AAJ45)),AAJ45))),WW45)</f>
        <v>1270</v>
      </c>
      <c r="WY45" s="20" t="n">
        <f aca="false">IF(AND(H_Direct=1,BY45&gt;0),MAX(0,WX45-(MIN(BY45*TL45,(WX45+AAK45))-MIN(MIN(BY45*TL45,(WX45+AAK45)),AAK45))),WX45)</f>
        <v>1270</v>
      </c>
      <c r="WZ45" s="20" t="n">
        <f aca="false">IF(AND(H_Direct=1,BZ45&gt;0),MAX(0,WY45-(MIN(BZ45*TM45,(WY45+AAL45))-MIN(MIN(BZ45*TM45,(WY45+AAL45)),AAL45))),WY45)</f>
        <v>1270</v>
      </c>
      <c r="XA45" s="20" t="n">
        <f aca="false">IF(AND(H_Direct=1,CA45&gt;0),MAX(0,WZ45-(MIN(CA45*TN45,(WZ45+AAM45))-MIN(MIN(CA45*TN45,(WZ45+AAM45)),AAM45))),WZ45)</f>
        <v>1270</v>
      </c>
      <c r="XB45" s="20" t="n">
        <f aca="false">IF(AND(H_Direct=1,CB45&gt;0),MAX(0,XA45-(MIN(CB45*TO45,(XA45+AAN45))-MIN(MIN(CB45*TO45,(XA45+AAN45)),AAN45))),XA45)</f>
        <v>1270</v>
      </c>
      <c r="XC45" s="20" t="n">
        <f aca="false">IF(AND(H_Direct=1,CC45&gt;0),MAX(0,XB45-(MIN(CC45*TP45,(XB45+AAO45))-MIN(MIN(CC45*TP45,(XB45+AAO45)),AAO45))),XB45)</f>
        <v>1270</v>
      </c>
      <c r="XD45" s="20" t="n">
        <f aca="false">IF(AND(H_Direct=1,CD45&gt;0),MAX(0,XC45-(MIN(CD45*TQ45,(XC45+AAP45))-MIN(MIN(CD45*TQ45,(XC45+AAP45)),AAP45))),XC45)</f>
        <v>1270</v>
      </c>
      <c r="XE45" s="20" t="n">
        <f aca="false">IF(AND(H_Direct=1,CE45&gt;0),MAX(0,XD45-(MIN(CE45*TR45,(XD45+AAQ45))-MIN(MIN(CE45*TR45,(XD45+AAQ45)),AAQ45))),XD45)</f>
        <v>1270</v>
      </c>
      <c r="XF45" s="20" t="n">
        <f aca="false">IF(AND(H_Direct=1,CF45&gt;0),MAX(0,XE45-(MIN(CF45*TS45,(XE45+AAR45))-MIN(MIN(CF45*TS45,(XE45+AAR45)),AAR45))),XE45)</f>
        <v>1270</v>
      </c>
      <c r="XG45" s="20" t="n">
        <f aca="false">IF(AND(H_Direct=1,CG45&gt;0),MAX(0,XF45-(MIN(CG45*TT45,(XF45+AAS45))-MIN(MIN(CG45*TT45,(XF45+AAS45)),AAS45))),XF45)</f>
        <v>1270</v>
      </c>
      <c r="XH45" s="20" t="n">
        <f aca="false">IF(AND(H_Direct=1,CH45&gt;0),MAX(0,XG45-(MIN(CH45*TU45,(XG45+AAT45))-MIN(MIN(CH45*TU45,(XG45+AAT45)),AAT45))),XG45)</f>
        <v>1270</v>
      </c>
      <c r="XI45" s="20" t="n">
        <f aca="false">IF(AND(H_Direct=1,CI45&gt;0),MAX(0,XH45-(MIN(CI45*TV45,(XH45+AAU45))-MIN(MIN(CI45*TV45,(XH45+AAU45)),AAU45))),XH45)</f>
        <v>1270</v>
      </c>
      <c r="XJ45" s="20" t="n">
        <f aca="false">IF(AND(H_Direct=1,CJ45&gt;0),MAX(0,XI45-(MIN(CJ45*TW45,(XI45+AAV45))-MIN(MIN(CJ45*TW45,(XI45+AAV45)),AAV45))),XI45)</f>
        <v>1270</v>
      </c>
      <c r="XK45" s="20" t="n">
        <f aca="false">IF(AND(H_Direct=1,CK45&gt;0),MAX(0,XJ45-(MIN(CK45*TX45,(XJ45+AAW45))-MIN(MIN(CK45*TX45,(XJ45+AAW45)),AAW45))),XJ45)</f>
        <v>1270</v>
      </c>
      <c r="XL45" s="20" t="n">
        <f aca="false">IF(AND(H_Direct=1,CL45&gt;0),MAX(0,XK45-(MIN(CL45*TY45,(XK45+AAX45))-MIN(MIN(CL45*TY45,(XK45+AAX45)),AAX45))),XK45)</f>
        <v>1270</v>
      </c>
      <c r="XM45" s="20" t="n">
        <f aca="false">IF(AND(H_Direct=1,CM45&gt;0),MAX(0,XL45-(MIN(CM45*TZ45,(XL45+AAY45))-MIN(MIN(CM45*TZ45,(XL45+AAY45)),AAY45))),XL45)</f>
        <v>1270</v>
      </c>
      <c r="XN45" s="20" t="n">
        <f aca="false">IF(AND(H_Direct=1,CN45&gt;0),MAX(0,XM45-(MIN(CN45*UA45,(XM45+AAZ45))-MIN(MIN(CN45*UA45,(XM45+AAZ45)),AAZ45))),XM45)</f>
        <v>1270</v>
      </c>
      <c r="XO45" s="20" t="n">
        <f aca="false">IF(AND(H_Direct=1,CO45&gt;0),MAX(0,XN45-(MIN(CO45*UB45,(XN45+ABA45))-MIN(MIN(CO45*UB45,(XN45+ABA45)),ABA45))),XN45)</f>
        <v>1270</v>
      </c>
      <c r="XP45" s="20" t="n">
        <f aca="false">IF(AND(H_Direct=1,CP45&gt;0),MAX(0,XO45-(MIN(CP45*UC45,(XO45+ABB45))-MIN(MIN(CP45*UC45,(XO45+ABB45)),ABB45))),XO45)</f>
        <v>1270</v>
      </c>
      <c r="XQ45" s="20" t="n">
        <f aca="false">IF(AND(H_Direct=1,CQ45&gt;0),MAX(0,XP45-(MIN(CQ45*UD45,(XP45+ABC45))-MIN(MIN(CQ45*UD45,(XP45+ABC45)),ABC45))),XP45)</f>
        <v>1270</v>
      </c>
      <c r="XR45" s="20" t="n">
        <f aca="false">IF(AND(H_Direct=1,CR45&gt;0),MAX(0,XQ45-(MIN(CR45*UE45,(XQ45+ABD45))-MIN(MIN(CR45*UE45,(XQ45+ABD45)),ABD45))),XQ45)</f>
        <v>1270</v>
      </c>
      <c r="XS45" s="20" t="n">
        <f aca="false">IF(AND(H_Direct=1,CS45&gt;0),MAX(0,XR45-(MIN(CS45*UF45,(XR45+ABE45))-MIN(MIN(CS45*UF45,(XR45+ABE45)),ABE45))),XR45)</f>
        <v>1270</v>
      </c>
      <c r="XT45" s="20" t="n">
        <f aca="false">IF(AND(H_Direct=1,CT45&gt;0),MAX(0,XS45-(MIN(CT45*UG45,(XS45+ABF45))-MIN(MIN(CT45*UG45,(XS45+ABF45)),ABF45))),XS45)</f>
        <v>1270</v>
      </c>
      <c r="XU45" s="20" t="n">
        <f aca="false">IF(AND(H_Direct=1,CU45&gt;0),MAX(0,XT45-(MIN(CU45*UH45,(XT45+ABG45))-MIN(MIN(CU45*UH45,(XT45+ABG45)),ABG45))),XT45)</f>
        <v>1270</v>
      </c>
      <c r="XV45" s="20" t="n">
        <f aca="false">IF(AND(H_Direct=1,CV45&gt;0),MAX(0,XU45-(MIN(CV45*UI45,(XU45+ABH45))-MIN(MIN(CV45*UI45,(XU45+ABH45)),ABH45))),XU45)</f>
        <v>1270</v>
      </c>
      <c r="XW45" s="20" t="n">
        <f aca="false">IF(AND(H_Direct=1,CW45&gt;0),MAX(0,XV45-(MIN(CW45*UJ45,(XV45+ABI45))-MIN(MIN(CW45*UJ45,(XV45+ABI45)),ABI45))),XV45)</f>
        <v>1270</v>
      </c>
      <c r="XX45" s="20" t="n">
        <f aca="false">IF(AND(H_Direct=1,CX45&gt;0),MAX(0,XW45-(MIN(CX45*UK45,(XW45+ABJ45))-MIN(MIN(CX45*UK45,(XW45+ABJ45)),ABJ45))),XW45)</f>
        <v>1270</v>
      </c>
      <c r="XY45" s="20" t="n">
        <f aca="false">IF(AND(H_Direct=1,CY45&gt;0),MAX(0,XX45-(MIN(CY45*UL45,(XX45+ABK45))-MIN(MIN(CY45*UL45,(XX45+ABK45)),ABK45))),XX45)</f>
        <v>1270</v>
      </c>
      <c r="XZ45" s="20" t="n">
        <f aca="false">IF(AND(H_Direct=1,CZ45&gt;0),MAX(0,XY45-(MIN(CZ45*UM45,(XY45+ABL45))-MIN(MIN(CZ45*UM45,(XY45+ABL45)),ABL45))),XY45)</f>
        <v>1270</v>
      </c>
      <c r="YA45" s="20" t="n">
        <f aca="false">IF(AND(H_Direct=1,DA45&gt;0),MAX(0,XZ45-(MIN(DA45*UN45,(XZ45+ABM45))-MIN(MIN(DA45*UN45,(XZ45+ABM45)),ABM45))),XZ45)</f>
        <v>1270</v>
      </c>
      <c r="YB45" s="20" t="n">
        <f aca="false">IF(AND(H_Direct=1,DB45&gt;0),MAX(0,YA45-(MIN(DB45*UO45,(YA45+ABN45))-MIN(MIN(DB45*UO45,(YA45+ABN45)),ABN45))),YA45)</f>
        <v>1270</v>
      </c>
      <c r="YC45" s="20" t="n">
        <f aca="false">IF(AND(H_Direct=1,DC45&gt;0),MAX(0,YB45-(MIN(DC45*UP45,(YB45+ABO45))-MIN(MIN(DC45*UP45,(YB45+ABO45)),ABO45))),YB45)</f>
        <v>1270</v>
      </c>
      <c r="YD45" s="20" t="n">
        <f aca="false">IF(AND(H_Direct=1,DD45&gt;0),MAX(0,YC45-(MIN(DD45*UQ45,(YC45+ABP45))-MIN(MIN(DD45*UQ45,(YC45+ABP45)),ABP45))),YC45)</f>
        <v>1270</v>
      </c>
      <c r="YE45" s="20" t="n">
        <f aca="false">YD45</f>
        <v>1270</v>
      </c>
      <c r="YF45" s="20" t="n">
        <f aca="false">YE45</f>
        <v>1270</v>
      </c>
      <c r="YG45" s="20" t="n">
        <f aca="false">YF45</f>
        <v>1270</v>
      </c>
      <c r="YH45" s="20" t="n">
        <f aca="false">YG45</f>
        <v>1270</v>
      </c>
      <c r="YI45" s="20" t="n">
        <f aca="false">YH45</f>
        <v>1270</v>
      </c>
      <c r="YJ45" s="20" t="n">
        <f aca="false">YI45</f>
        <v>1270</v>
      </c>
      <c r="YK45" s="20" t="n">
        <f aca="false">YJ45</f>
        <v>1270</v>
      </c>
      <c r="YL45" s="20" t="n">
        <f aca="false">YK45</f>
        <v>1270</v>
      </c>
      <c r="YM45" s="20" t="n">
        <f aca="false">YL45</f>
        <v>1270</v>
      </c>
      <c r="YN45" s="20" t="n">
        <f aca="false">YM45</f>
        <v>1270</v>
      </c>
      <c r="YO45" s="20" t="n">
        <f aca="false">YN45</f>
        <v>1270</v>
      </c>
      <c r="YP45" s="20" t="n">
        <f aca="false">YO45</f>
        <v>1270</v>
      </c>
      <c r="YQ45" s="20" t="n">
        <f aca="false">YP45</f>
        <v>1270</v>
      </c>
      <c r="YR45" s="20" t="n">
        <f aca="false">YQ45</f>
        <v>1270</v>
      </c>
      <c r="YS45" s="20" t="n">
        <f aca="false">YR45</f>
        <v>1270</v>
      </c>
      <c r="YT45" s="20" t="n">
        <f aca="false">YS45</f>
        <v>1270</v>
      </c>
      <c r="YU45" s="20" t="n">
        <f aca="false">YT45</f>
        <v>1270</v>
      </c>
      <c r="YV45" s="20" t="n">
        <f aca="false">YU45</f>
        <v>1270</v>
      </c>
      <c r="YW45" s="20" t="n">
        <f aca="false">YV45</f>
        <v>1270</v>
      </c>
      <c r="YX45" s="20" t="n">
        <f aca="false">YW45</f>
        <v>1270</v>
      </c>
      <c r="YY45" s="20" t="n">
        <f aca="false">YX45</f>
        <v>1270</v>
      </c>
      <c r="YZ45" s="20" t="n">
        <f aca="false">YY45</f>
        <v>1270</v>
      </c>
      <c r="ZA45" s="20" t="n">
        <f aca="false">YZ45</f>
        <v>1270</v>
      </c>
      <c r="ZB45" s="20" t="n">
        <f aca="false">ZA45</f>
        <v>1270</v>
      </c>
      <c r="ZC45" s="20" t="n">
        <f aca="false">ZB45</f>
        <v>1270</v>
      </c>
      <c r="ZD45" s="20" t="n">
        <f aca="false">ZC45</f>
        <v>1270</v>
      </c>
      <c r="ZE45" s="20" t="n">
        <f aca="false">ZD45</f>
        <v>1270</v>
      </c>
      <c r="ZF45" s="20" t="n">
        <f aca="false">ZE45</f>
        <v>1270</v>
      </c>
      <c r="ZG45" s="20" t="n">
        <f aca="false">ZF45</f>
        <v>1270</v>
      </c>
      <c r="ZH45" s="20" t="n">
        <f aca="false">ZG45</f>
        <v>1270</v>
      </c>
      <c r="ZI45" s="20" t="n">
        <f aca="false">ZH45</f>
        <v>1270</v>
      </c>
      <c r="ZJ45" s="20" t="n">
        <f aca="false">ZI45</f>
        <v>1270</v>
      </c>
      <c r="ZK45" s="20" t="n">
        <f aca="false">ZJ45</f>
        <v>1270</v>
      </c>
      <c r="ZL45" s="20" t="n">
        <f aca="false">ZK45</f>
        <v>1270</v>
      </c>
      <c r="ZM45" s="20" t="n">
        <f aca="false">ZL45</f>
        <v>1270</v>
      </c>
      <c r="ZN45" s="20" t="n">
        <f aca="false">ZM45</f>
        <v>1270</v>
      </c>
      <c r="ZO45" s="20" t="n">
        <f aca="false">ZN45</f>
        <v>1270</v>
      </c>
      <c r="ZP45" s="20" t="n">
        <f aca="false">ZO45</f>
        <v>1270</v>
      </c>
      <c r="ZQ45" s="20" t="n">
        <f aca="false">ZP45</f>
        <v>1270</v>
      </c>
      <c r="ZR45" s="20" t="n">
        <f aca="false">ZQ45</f>
        <v>1270</v>
      </c>
      <c r="ZS45" s="20" t="n">
        <f aca="false">ZR45</f>
        <v>1270</v>
      </c>
      <c r="ZT45" s="20" t="n">
        <f aca="false">ZS45</f>
        <v>1270</v>
      </c>
      <c r="ZU45" s="20" t="n">
        <f aca="false">ZT45</f>
        <v>1270</v>
      </c>
      <c r="ZV45" s="20" t="n">
        <f aca="false">ZU45</f>
        <v>1270</v>
      </c>
      <c r="ZW45" s="20" t="n">
        <f aca="false">ZV45</f>
        <v>1270</v>
      </c>
      <c r="ZX45" s="20" t="n">
        <f aca="false">ZW45</f>
        <v>1270</v>
      </c>
      <c r="ZY45" s="20" t="n">
        <f aca="false">ZX45</f>
        <v>1270</v>
      </c>
      <c r="ZZ45" s="20" t="n">
        <f aca="false">ZY45</f>
        <v>1270</v>
      </c>
      <c r="AAA45" s="20" t="n">
        <f aca="false">ZZ45</f>
        <v>1270</v>
      </c>
      <c r="AAB45" s="20" t="n">
        <f aca="false">AAA45</f>
        <v>1270</v>
      </c>
      <c r="AAC45" s="20" t="n">
        <f aca="false">AAB45</f>
        <v>1270</v>
      </c>
      <c r="AAD45" s="20" t="n">
        <f aca="false">AAC45</f>
        <v>1270</v>
      </c>
      <c r="AAE45" s="20" t="n">
        <f aca="false">IF(H_Direct=1,IF(BR45&lt;=0,I45-BR45*TE45,I45-MIN(MIN(BR45*TE45,(H45+I45)),I45)),I45)</f>
        <v>0</v>
      </c>
      <c r="AAF45" s="20" t="n">
        <f aca="false">IF(H_Direct=1,IF(BS45&lt;=0,AAE45-BS45*TF45,AAE45-MIN(MIN(BS45*TF45,(WR45+AAE45)),AAE45)),AAE45)</f>
        <v>0</v>
      </c>
      <c r="AAG45" s="20" t="n">
        <f aca="false">IF(H_Direct=1,IF(BT45&lt;=0,AAF45-BT45*TG45,AAF45-MIN(MIN(BT45*TG45,(WS45+AAF45)),AAF45)),AAF45)</f>
        <v>0</v>
      </c>
      <c r="AAH45" s="20" t="n">
        <f aca="false">IF(H_Direct=1,IF(BU45&lt;=0,AAG45-BU45*TH45,AAG45-MIN(MIN(BU45*TH45,(WT45+AAG45)),AAG45)),AAG45)</f>
        <v>0</v>
      </c>
      <c r="AAI45" s="20" t="n">
        <f aca="false">IF(H_Direct=1,IF(BV45&lt;=0,AAH45-BV45*TI45,AAH45-MIN(MIN(BV45*TI45,(WU45+AAH45)),AAH45)),AAH45)</f>
        <v>0</v>
      </c>
      <c r="AAJ45" s="20" t="n">
        <f aca="false">IF(H_Direct=1,IF(BW45&lt;=0,AAI45-BW45*TJ45,AAI45-MIN(MIN(BW45*TJ45,(WV45+AAI45)),AAI45)),AAI45)</f>
        <v>0</v>
      </c>
      <c r="AAK45" s="20" t="n">
        <f aca="false">IF(H_Direct=1,IF(BX45&lt;=0,AAJ45-BX45*TK45,AAJ45-MIN(MIN(BX45*TK45,(WW45+AAJ45)),AAJ45)),AAJ45)</f>
        <v>0</v>
      </c>
      <c r="AAL45" s="20" t="n">
        <f aca="false">IF(H_Direct=1,IF(BY45&lt;=0,AAK45-BY45*TL45,AAK45-MIN(MIN(BY45*TL45,(WX45+AAK45)),AAK45)),AAK45)</f>
        <v>0</v>
      </c>
      <c r="AAM45" s="20" t="n">
        <f aca="false">IF(H_Direct=1,IF(BZ45&lt;=0,AAL45-BZ45*TM45,AAL45-MIN(MIN(BZ45*TM45,(WY45+AAL45)),AAL45)),AAL45)</f>
        <v>0</v>
      </c>
      <c r="AAN45" s="20" t="n">
        <f aca="false">IF(H_Direct=1,IF(CA45&lt;=0,AAM45-CA45*TN45,AAM45-MIN(MIN(CA45*TN45,(WZ45+AAM45)),AAM45)),AAM45)</f>
        <v>0</v>
      </c>
      <c r="AAO45" s="20" t="n">
        <f aca="false">IF(H_Direct=1,IF(CB45&lt;=0,AAN45-CB45*TO45,AAN45-MIN(MIN(CB45*TO45,(XA45+AAN45)),AAN45)),AAN45)</f>
        <v>0</v>
      </c>
      <c r="AAP45" s="20" t="n">
        <f aca="false">IF(H_Direct=1,IF(CC45&lt;=0,AAO45-CC45*TP45,AAO45-MIN(MIN(CC45*TP45,(XB45+AAO45)),AAO45)),AAO45)</f>
        <v>0</v>
      </c>
      <c r="AAQ45" s="20" t="n">
        <f aca="false">IF(H_Direct=1,IF(CD45&lt;=0,AAP45-CD45*TQ45,AAP45-MIN(MIN(CD45*TQ45,(XC45+AAP45)),AAP45)),AAP45)</f>
        <v>0</v>
      </c>
      <c r="AAR45" s="20" t="n">
        <f aca="false">IF(H_Direct=1,IF(CE45&lt;=0,AAQ45-CE45*TR45,AAQ45-MIN(MIN(CE45*TR45,(XD45+AAQ45)),AAQ45)),AAQ45)</f>
        <v>0</v>
      </c>
      <c r="AAS45" s="20" t="n">
        <f aca="false">IF(H_Direct=1,IF(CF45&lt;=0,AAR45-CF45*TS45,AAR45-MIN(MIN(CF45*TS45,(XE45+AAR45)),AAR45)),AAR45)</f>
        <v>0</v>
      </c>
      <c r="AAT45" s="20" t="n">
        <f aca="false">IF(H_Direct=1,IF(CG45&lt;=0,AAS45-CG45*TT45,AAS45-MIN(MIN(CG45*TT45,(XF45+AAS45)),AAS45)),AAS45)</f>
        <v>0</v>
      </c>
      <c r="AAU45" s="20" t="n">
        <f aca="false">IF(H_Direct=1,IF(CH45&lt;=0,AAT45-CH45*TU45,AAT45-MIN(MIN(CH45*TU45,(XG45+AAT45)),AAT45)),AAT45)</f>
        <v>0</v>
      </c>
      <c r="AAV45" s="20" t="n">
        <f aca="false">IF(H_Direct=1,IF(CI45&lt;=0,AAU45-CI45*TV45,AAU45-MIN(MIN(CI45*TV45,(XH45+AAU45)),AAU45)),AAU45)</f>
        <v>0</v>
      </c>
      <c r="AAW45" s="20" t="n">
        <f aca="false">IF(H_Direct=1,IF(CJ45&lt;=0,AAV45-CJ45*TW45,AAV45-MIN(MIN(CJ45*TW45,(XI45+AAV45)),AAV45)),AAV45)</f>
        <v>0</v>
      </c>
      <c r="AAX45" s="20" t="n">
        <f aca="false">IF(H_Direct=1,IF(CK45&lt;=0,AAW45-CK45*TX45,AAW45-MIN(MIN(CK45*TX45,(XJ45+AAW45)),AAW45)),AAW45)</f>
        <v>0</v>
      </c>
      <c r="AAY45" s="20" t="n">
        <f aca="false">IF(H_Direct=1,IF(CL45&lt;=0,AAX45-CL45*TY45,AAX45-MIN(MIN(CL45*TY45,(XK45+AAX45)),AAX45)),AAX45)</f>
        <v>0</v>
      </c>
      <c r="AAZ45" s="20" t="n">
        <f aca="false">IF(H_Direct=1,IF(CM45&lt;=0,AAY45-CM45*TZ45,AAY45-MIN(MIN(CM45*TZ45,(XL45+AAY45)),AAY45)),AAY45)</f>
        <v>0</v>
      </c>
      <c r="ABA45" s="20" t="n">
        <f aca="false">IF(H_Direct=1,IF(CN45&lt;=0,AAZ45-CN45*UA45,AAZ45-MIN(MIN(CN45*UA45,(XM45+AAZ45)),AAZ45)),AAZ45)</f>
        <v>0</v>
      </c>
      <c r="ABB45" s="20" t="n">
        <f aca="false">IF(H_Direct=1,IF(CO45&lt;=0,ABA45-CO45*UB45,ABA45-MIN(MIN(CO45*UB45,(XN45+ABA45)),ABA45)),ABA45)</f>
        <v>0</v>
      </c>
      <c r="ABC45" s="20" t="n">
        <f aca="false">IF(H_Direct=1,IF(CP45&lt;=0,ABB45-CP45*UC45,ABB45-MIN(MIN(CP45*UC45,(XO45+ABB45)),ABB45)),ABB45)</f>
        <v>0</v>
      </c>
      <c r="ABD45" s="20" t="n">
        <f aca="false">IF(H_Direct=1,IF(CQ45&lt;=0,ABC45-CQ45*UD45,ABC45-MIN(MIN(CQ45*UD45,(XP45+ABC45)),ABC45)),ABC45)</f>
        <v>0</v>
      </c>
      <c r="ABE45" s="20" t="n">
        <f aca="false">IF(H_Direct=1,IF(CR45&lt;=0,ABD45-CR45*UE45,ABD45-MIN(MIN(CR45*UE45,(XQ45+ABD45)),ABD45)),ABD45)</f>
        <v>0</v>
      </c>
      <c r="ABF45" s="20" t="n">
        <f aca="false">IF(H_Direct=1,IF(CS45&lt;=0,ABE45-CS45*UF45,ABE45-MIN(MIN(CS45*UF45,(XR45+ABE45)),ABE45)),ABE45)</f>
        <v>0</v>
      </c>
      <c r="ABG45" s="20" t="n">
        <f aca="false">IF(H_Direct=1,IF(CT45&lt;=0,ABF45-CT45*UG45,ABF45-MIN(MIN(CT45*UG45,(XS45+ABF45)),ABF45)),ABF45)</f>
        <v>0</v>
      </c>
      <c r="ABH45" s="20" t="n">
        <f aca="false">IF(H_Direct=1,IF(CU45&lt;=0,ABG45-CU45*UH45,ABG45-MIN(MIN(CU45*UH45,(XT45+ABG45)),ABG45)),ABG45)</f>
        <v>0</v>
      </c>
      <c r="ABI45" s="20" t="n">
        <f aca="false">IF(H_Direct=1,IF(CV45&lt;=0,ABH45-CV45*UI45,ABH45-MIN(MIN(CV45*UI45,(XU45+ABH45)),ABH45)),ABH45)</f>
        <v>0</v>
      </c>
      <c r="ABJ45" s="20" t="n">
        <f aca="false">IF(H_Direct=1,IF(CW45&lt;=0,ABI45-CW45*UJ45,ABI45-MIN(MIN(CW45*UJ45,(XV45+ABI45)),ABI45)),ABI45)</f>
        <v>0</v>
      </c>
      <c r="ABK45" s="20" t="n">
        <f aca="false">IF(H_Direct=1,IF(CX45&lt;=0,ABJ45-CX45*UK45,ABJ45-MIN(MIN(CX45*UK45,(XW45+ABJ45)),ABJ45)),ABJ45)</f>
        <v>0</v>
      </c>
      <c r="ABL45" s="20" t="n">
        <f aca="false">IF(H_Direct=1,IF(CY45&lt;=0,ABK45-CY45*UL45,ABK45-MIN(MIN(CY45*UL45,(XX45+ABK45)),ABK45)),ABK45)</f>
        <v>0</v>
      </c>
      <c r="ABM45" s="20" t="n">
        <f aca="false">IF(H_Direct=1,IF(CZ45&lt;=0,ABL45-CZ45*UM45,ABL45-MIN(MIN(CZ45*UM45,(XY45+ABL45)),ABL45)),ABL45)</f>
        <v>0</v>
      </c>
      <c r="ABN45" s="20" t="n">
        <f aca="false">IF(H_Direct=1,IF(DA45&lt;=0,ABM45-DA45*UN45,ABM45-MIN(MIN(DA45*UN45,(XZ45+ABM45)),ABM45)),ABM45)</f>
        <v>0</v>
      </c>
      <c r="ABO45" s="20" t="n">
        <f aca="false">IF(H_Direct=1,IF(DB45&lt;=0,ABN45-DB45*UO45,ABN45-MIN(MIN(DB45*UO45,(YA45+ABN45)),ABN45)),ABN45)</f>
        <v>0</v>
      </c>
      <c r="ABP45" s="20" t="n">
        <f aca="false">IF(H_Direct=1,IF(DC45&lt;=0,ABO45-DC45*UP45,ABO45-MIN(MIN(DC45*UP45,(YB45+ABO45)),ABO45)),ABO45)</f>
        <v>0</v>
      </c>
      <c r="ABQ45" s="20" t="n">
        <f aca="false">IF(H_Direct=1,IF(DD45&lt;=0,ABP45-DD45*UQ45,ABP45-MIN(MIN(DD45*UQ45,(YC45+ABP45)),ABP45)),ABP45)</f>
        <v>0</v>
      </c>
      <c r="ABR45" s="20" t="n">
        <f aca="false">ABQ45</f>
        <v>0</v>
      </c>
      <c r="ABS45" s="20" t="n">
        <f aca="false">ABR45</f>
        <v>0</v>
      </c>
      <c r="ABT45" s="20" t="n">
        <f aca="false">ABS45</f>
        <v>0</v>
      </c>
      <c r="ABU45" s="20" t="n">
        <f aca="false">ABT45</f>
        <v>0</v>
      </c>
      <c r="ABV45" s="20" t="n">
        <f aca="false">ABU45</f>
        <v>0</v>
      </c>
      <c r="ABW45" s="20" t="n">
        <f aca="false">ABV45</f>
        <v>0</v>
      </c>
      <c r="ABX45" s="20" t="n">
        <f aca="false">ABW45</f>
        <v>0</v>
      </c>
      <c r="ABY45" s="20" t="n">
        <f aca="false">ABX45</f>
        <v>0</v>
      </c>
      <c r="ABZ45" s="20" t="n">
        <f aca="false">ABY45</f>
        <v>0</v>
      </c>
      <c r="ACA45" s="20" t="n">
        <f aca="false">ABZ45</f>
        <v>0</v>
      </c>
      <c r="ACB45" s="20" t="n">
        <f aca="false">ACA45</f>
        <v>0</v>
      </c>
      <c r="ACC45" s="20" t="n">
        <f aca="false">ACB45</f>
        <v>0</v>
      </c>
      <c r="ACD45" s="20" t="n">
        <f aca="false">ACC45</f>
        <v>0</v>
      </c>
      <c r="ACE45" s="20" t="n">
        <f aca="false">ACD45</f>
        <v>0</v>
      </c>
      <c r="ACF45" s="20" t="n">
        <f aca="false">ACE45</f>
        <v>0</v>
      </c>
      <c r="ACG45" s="20" t="n">
        <f aca="false">ACF45</f>
        <v>0</v>
      </c>
      <c r="ACH45" s="20" t="n">
        <f aca="false">ACG45</f>
        <v>0</v>
      </c>
      <c r="ACI45" s="20" t="n">
        <f aca="false">ACH45</f>
        <v>0</v>
      </c>
      <c r="ACJ45" s="20" t="n">
        <f aca="false">ACI45</f>
        <v>0</v>
      </c>
      <c r="ACK45" s="20" t="n">
        <f aca="false">ACJ45</f>
        <v>0</v>
      </c>
      <c r="ACL45" s="20" t="n">
        <f aca="false">ACK45</f>
        <v>0</v>
      </c>
      <c r="ACM45" s="20" t="n">
        <f aca="false">ACL45</f>
        <v>0</v>
      </c>
      <c r="ACN45" s="20" t="n">
        <f aca="false">ACM45</f>
        <v>0</v>
      </c>
      <c r="ACO45" s="20" t="n">
        <f aca="false">ACN45</f>
        <v>0</v>
      </c>
      <c r="ACP45" s="20" t="n">
        <f aca="false">ACO45</f>
        <v>0</v>
      </c>
      <c r="ACQ45" s="20" t="n">
        <f aca="false">ACP45</f>
        <v>0</v>
      </c>
      <c r="ACR45" s="20" t="n">
        <f aca="false">ACQ45</f>
        <v>0</v>
      </c>
      <c r="ACS45" s="20" t="n">
        <f aca="false">ACR45</f>
        <v>0</v>
      </c>
      <c r="ACT45" s="20" t="n">
        <f aca="false">ACS45</f>
        <v>0</v>
      </c>
      <c r="ACU45" s="20" t="n">
        <f aca="false">ACT45</f>
        <v>0</v>
      </c>
      <c r="ACV45" s="20" t="n">
        <f aca="false">ACU45</f>
        <v>0</v>
      </c>
      <c r="ACW45" s="20" t="n">
        <f aca="false">ACV45</f>
        <v>0</v>
      </c>
      <c r="ACX45" s="20" t="n">
        <f aca="false">ACW45</f>
        <v>0</v>
      </c>
      <c r="ACY45" s="20" t="n">
        <f aca="false">ACX45</f>
        <v>0</v>
      </c>
      <c r="ACZ45" s="20" t="n">
        <f aca="false">ACY45</f>
        <v>0</v>
      </c>
      <c r="ADA45" s="20" t="n">
        <f aca="false">ACZ45</f>
        <v>0</v>
      </c>
      <c r="ADB45" s="20" t="n">
        <f aca="false">ADA45</f>
        <v>0</v>
      </c>
      <c r="ADC45" s="20" t="n">
        <f aca="false">ADB45</f>
        <v>0</v>
      </c>
      <c r="ADD45" s="20" t="n">
        <f aca="false">ADC45</f>
        <v>0</v>
      </c>
      <c r="ADE45" s="20" t="n">
        <f aca="false">ADD45</f>
        <v>0</v>
      </c>
      <c r="ADF45" s="20" t="n">
        <f aca="false">ADE45</f>
        <v>0</v>
      </c>
      <c r="ADG45" s="20" t="n">
        <f aca="false">ADF45</f>
        <v>0</v>
      </c>
      <c r="ADH45" s="20" t="n">
        <f aca="false">ADG45</f>
        <v>0</v>
      </c>
      <c r="ADI45" s="20" t="n">
        <f aca="false">ADH45</f>
        <v>0</v>
      </c>
      <c r="ADJ45" s="20" t="n">
        <f aca="false">ADI45</f>
        <v>0</v>
      </c>
      <c r="ADK45" s="20" t="n">
        <f aca="false">ADJ45</f>
        <v>0</v>
      </c>
      <c r="ADL45" s="20" t="n">
        <f aca="false">ADK45</f>
        <v>0</v>
      </c>
      <c r="ADM45" s="20" t="n">
        <f aca="false">ADL45</f>
        <v>0</v>
      </c>
      <c r="ADN45" s="20" t="n">
        <f aca="false">ADM45</f>
        <v>0</v>
      </c>
      <c r="ADO45" s="20" t="n">
        <f aca="false">ADN45</f>
        <v>0</v>
      </c>
      <c r="ADP45" s="20" t="n">
        <f aca="false">ADO45</f>
        <v>0</v>
      </c>
      <c r="ADQ45" s="20" t="n">
        <f aca="false">ADP45</f>
        <v>0</v>
      </c>
      <c r="ADR45" s="20" t="n">
        <f aca="false">(AKR44-TE45+0)*(1+BQ45)</f>
        <v>0</v>
      </c>
      <c r="ADS45" s="20" t="n">
        <f aca="false">(AKS44-TF45+0)*(1+BQ45)</f>
        <v>0</v>
      </c>
      <c r="ADT45" s="20" t="n">
        <f aca="false">(AKT44-TG45+0)*(1+BQ45)</f>
        <v>0</v>
      </c>
      <c r="ADU45" s="20" t="n">
        <f aca="false">(AKU44-TH45+0)*(1+BQ45)</f>
        <v>0</v>
      </c>
      <c r="ADV45" s="20" t="n">
        <f aca="false">(AKV44-TI45+0)*(1+BQ45)</f>
        <v>0</v>
      </c>
      <c r="ADW45" s="20" t="n">
        <f aca="false">(AKW44-TJ45+0)*(1+BQ45)</f>
        <v>0</v>
      </c>
      <c r="ADX45" s="20" t="n">
        <f aca="false">(AKX44-TK45+0)*(1+BQ45)</f>
        <v>0</v>
      </c>
      <c r="ADY45" s="20" t="n">
        <f aca="false">(AKY44-TL45+0)*(1+BQ45)</f>
        <v>0</v>
      </c>
      <c r="ADZ45" s="20" t="n">
        <f aca="false">(AKZ44-TM45+0)*(1+BQ45)</f>
        <v>0</v>
      </c>
      <c r="AEA45" s="20" t="n">
        <f aca="false">(ALA44-TN45+0)*(1+BQ45)</f>
        <v>0</v>
      </c>
      <c r="AEB45" s="20" t="n">
        <f aca="false">(ALB44-TO45+0)*(1+BQ45)</f>
        <v>0</v>
      </c>
      <c r="AEC45" s="20" t="n">
        <f aca="false">(ALC44-TP45+0)*(1+BQ45)</f>
        <v>0</v>
      </c>
      <c r="AED45" s="20" t="n">
        <f aca="false">(ALD44-TQ45+0)*(1+BQ45)</f>
        <v>0</v>
      </c>
      <c r="AEE45" s="20" t="n">
        <f aca="false">(ALE44-TR45+0)*(1+BQ45)</f>
        <v>0</v>
      </c>
      <c r="AEF45" s="20" t="n">
        <f aca="false">(ALF44-TS45+0)*(1+BQ45)</f>
        <v>0</v>
      </c>
      <c r="AEG45" s="20" t="n">
        <f aca="false">(ALG44-TT45+0)*(1+BQ45)</f>
        <v>0</v>
      </c>
      <c r="AEH45" s="20" t="n">
        <f aca="false">(ALH44-TU45+0)*(1+BQ45)</f>
        <v>0</v>
      </c>
      <c r="AEI45" s="20" t="n">
        <f aca="false">(ALI44-TV45+0)*(1+BQ45)</f>
        <v>0</v>
      </c>
      <c r="AEJ45" s="20" t="n">
        <f aca="false">(ALJ44-TW45+0)*(1+BQ45)</f>
        <v>0</v>
      </c>
      <c r="AEK45" s="20" t="n">
        <f aca="false">(ALK44-TX45+0)*(1+BQ45)</f>
        <v>0</v>
      </c>
      <c r="AEL45" s="20" t="n">
        <f aca="false">(ALL44-TY45+0)*(1+BQ45)</f>
        <v>0</v>
      </c>
      <c r="AEM45" s="20" t="n">
        <f aca="false">(ALM44-TZ45+0)*(1+BQ45)</f>
        <v>0</v>
      </c>
      <c r="AEN45" s="20" t="n">
        <f aca="false">(ALN44-UA45+0)*(1+BQ45)</f>
        <v>0</v>
      </c>
      <c r="AEO45" s="20" t="n">
        <f aca="false">(ALO44-UB45+0)*(1+BQ45)</f>
        <v>0</v>
      </c>
      <c r="AEP45" s="20" t="n">
        <f aca="false">(ALP44-UC45+0)*(1+BQ45)</f>
        <v>0</v>
      </c>
      <c r="AEQ45" s="20" t="n">
        <f aca="false">(ALQ44-UD45+0)*(1+BQ45)</f>
        <v>0</v>
      </c>
      <c r="AER45" s="20" t="n">
        <f aca="false">(ALR44-UE45+0)*(1+BQ45)</f>
        <v>34569.153716871</v>
      </c>
      <c r="AES45" s="20" t="n">
        <f aca="false">(ALS44-UF45+0)*(1+BQ45)</f>
        <v>0</v>
      </c>
      <c r="AET45" s="20" t="n">
        <f aca="false">(ALT44-UG45+0)*(1+BQ45)</f>
        <v>0</v>
      </c>
      <c r="AEU45" s="20" t="n">
        <f aca="false">(ALU44-UH45+0)*(1+BQ45)</f>
        <v>2298.03327148035</v>
      </c>
      <c r="AEV45" s="20" t="n">
        <f aca="false">(ALV44-UI45+0)*(1+BQ45)</f>
        <v>0</v>
      </c>
      <c r="AEW45" s="20" t="n">
        <f aca="false">(ALW44-UJ45+0)*(1+BQ45)</f>
        <v>0</v>
      </c>
      <c r="AEX45" s="20" t="n">
        <f aca="false">(ALX44-UK45+0)*(1+BQ45)</f>
        <v>0</v>
      </c>
      <c r="AEY45" s="20" t="n">
        <f aca="false">(ALY44-UL45+0)*(1+BQ45)</f>
        <v>0</v>
      </c>
      <c r="AEZ45" s="20" t="n">
        <f aca="false">(ALZ44-UM45+0)*(1+BQ45)</f>
        <v>0</v>
      </c>
      <c r="AFA45" s="20" t="n">
        <f aca="false">(AMA44-UN45+0)*(1+BQ45)</f>
        <v>0</v>
      </c>
      <c r="AFB45" s="20" t="n">
        <f aca="false">(AMB44-UO45+0)*(1+BQ45)</f>
        <v>0</v>
      </c>
      <c r="AFC45" s="20" t="n">
        <f aca="false">(AMC44-UP45+0)*(1+BQ45)</f>
        <v>0</v>
      </c>
      <c r="AFD45" s="20" t="n">
        <f aca="false">((P45+S45)-UQ45+BE45)*(1+BQ45)</f>
        <v>0</v>
      </c>
      <c r="AFE45" s="20" t="n">
        <v>0</v>
      </c>
      <c r="AFF45" s="20" t="n">
        <v>0</v>
      </c>
      <c r="AFG45" s="20" t="n">
        <v>0</v>
      </c>
      <c r="AFH45" s="20" t="n">
        <v>0</v>
      </c>
      <c r="AFI45" s="20" t="n">
        <v>0</v>
      </c>
      <c r="AFJ45" s="20" t="n">
        <v>0</v>
      </c>
      <c r="AFK45" s="20" t="n">
        <v>0</v>
      </c>
      <c r="AFL45" s="20" t="n">
        <v>0</v>
      </c>
      <c r="AFM45" s="20" t="n">
        <v>0</v>
      </c>
      <c r="AFN45" s="20" t="n">
        <v>0</v>
      </c>
      <c r="AFO45" s="20" t="n">
        <v>0</v>
      </c>
      <c r="AFP45" s="20" t="n">
        <v>0</v>
      </c>
      <c r="AFQ45" s="20" t="n">
        <v>0</v>
      </c>
      <c r="AFR45" s="20" t="n">
        <v>0</v>
      </c>
      <c r="AFS45" s="20" t="n">
        <v>0</v>
      </c>
      <c r="AFT45" s="20" t="n">
        <v>0</v>
      </c>
      <c r="AFU45" s="20" t="n">
        <v>0</v>
      </c>
      <c r="AFV45" s="20" t="n">
        <v>0</v>
      </c>
      <c r="AFW45" s="20" t="n">
        <v>0</v>
      </c>
      <c r="AFX45" s="20" t="n">
        <v>0</v>
      </c>
      <c r="AFY45" s="20" t="n">
        <v>0</v>
      </c>
      <c r="AFZ45" s="20" t="n">
        <v>0</v>
      </c>
      <c r="AGA45" s="20" t="n">
        <v>0</v>
      </c>
      <c r="AGB45" s="20" t="n">
        <v>0</v>
      </c>
      <c r="AGC45" s="20" t="n">
        <v>0</v>
      </c>
      <c r="AGD45" s="20" t="n">
        <v>0</v>
      </c>
      <c r="AGE45" s="20" t="n">
        <v>0</v>
      </c>
      <c r="AGF45" s="20" t="n">
        <v>0</v>
      </c>
      <c r="AGG45" s="20" t="n">
        <v>0</v>
      </c>
      <c r="AGH45" s="20" t="n">
        <v>0</v>
      </c>
      <c r="AGI45" s="20" t="n">
        <v>0</v>
      </c>
      <c r="AGJ45" s="20" t="n">
        <v>0</v>
      </c>
      <c r="AGK45" s="20" t="n">
        <v>0</v>
      </c>
      <c r="AGL45" s="20" t="n">
        <v>0</v>
      </c>
      <c r="AGM45" s="20" t="n">
        <v>0</v>
      </c>
      <c r="AGN45" s="20" t="n">
        <v>0</v>
      </c>
      <c r="AGO45" s="20" t="n">
        <v>0</v>
      </c>
      <c r="AGP45" s="20" t="n">
        <v>0</v>
      </c>
      <c r="AGQ45" s="20" t="n">
        <v>0</v>
      </c>
      <c r="AGR45" s="20" t="n">
        <v>0</v>
      </c>
      <c r="AGS45" s="20" t="n">
        <v>0</v>
      </c>
      <c r="AGT45" s="20" t="n">
        <v>0</v>
      </c>
      <c r="AGU45" s="20" t="n">
        <v>0</v>
      </c>
      <c r="AGV45" s="20" t="n">
        <v>0</v>
      </c>
      <c r="AGW45" s="20" t="n">
        <v>0</v>
      </c>
      <c r="AGX45" s="20" t="n">
        <v>0</v>
      </c>
      <c r="AGY45" s="20" t="n">
        <v>0</v>
      </c>
      <c r="AGZ45" s="20" t="n">
        <v>0</v>
      </c>
      <c r="AHA45" s="20" t="n">
        <v>0</v>
      </c>
      <c r="AHB45" s="20" t="n">
        <v>0</v>
      </c>
      <c r="AHC45" s="20" t="n">
        <v>0</v>
      </c>
      <c r="AHD45" s="20" t="n">
        <v>0</v>
      </c>
      <c r="AHE45" s="20" t="n">
        <f aca="false">IF(AKR44&gt;0,AOE44-AOE44*TE45/AKR44,0)+0</f>
        <v>0</v>
      </c>
      <c r="AHF45" s="20" t="n">
        <f aca="false">IF(AKS44&gt;0,AOF44-AOF44*TF45/AKS44,0)+0</f>
        <v>0</v>
      </c>
      <c r="AHG45" s="20" t="n">
        <f aca="false">IF(AKT44&gt;0,AOG44-AOG44*TG45/AKT44,0)+0</f>
        <v>0</v>
      </c>
      <c r="AHH45" s="20" t="n">
        <f aca="false">IF(AKU44&gt;0,AOH44-AOH44*TH45/AKU44,0)+0</f>
        <v>0</v>
      </c>
      <c r="AHI45" s="20" t="n">
        <f aca="false">IF(AKV44&gt;0,AOI44-AOI44*TI45/AKV44,0)+0</f>
        <v>0</v>
      </c>
      <c r="AHJ45" s="20" t="n">
        <f aca="false">IF(AKW44&gt;0,AOJ44-AOJ44*TJ45/AKW44,0)+0</f>
        <v>0</v>
      </c>
      <c r="AHK45" s="20" t="n">
        <f aca="false">IF(AKX44&gt;0,AOK44-AOK44*TK45/AKX44,0)+0</f>
        <v>0</v>
      </c>
      <c r="AHL45" s="20" t="n">
        <f aca="false">IF(AKY44&gt;0,AOL44-AOL44*TL45/AKY44,0)+0</f>
        <v>0</v>
      </c>
      <c r="AHM45" s="20" t="n">
        <f aca="false">IF(AKZ44&gt;0,AOM44-AOM44*TM45/AKZ44,0)+0</f>
        <v>0</v>
      </c>
      <c r="AHN45" s="20" t="n">
        <f aca="false">IF(ALA44&gt;0,AON44-AON44*TN45/ALA44,0)+0</f>
        <v>0</v>
      </c>
      <c r="AHO45" s="20" t="n">
        <f aca="false">IF(ALB44&gt;0,AOO44-AOO44*TO45/ALB44,0)+0</f>
        <v>0</v>
      </c>
      <c r="AHP45" s="20" t="n">
        <f aca="false">IF(ALC44&gt;0,AOP44-AOP44*TP45/ALC44,0)+0</f>
        <v>0</v>
      </c>
      <c r="AHQ45" s="20" t="n">
        <f aca="false">IF(ALD44&gt;0,AOQ44-AOQ44*TQ45/ALD44,0)+0</f>
        <v>0</v>
      </c>
      <c r="AHR45" s="20" t="n">
        <f aca="false">IF(ALE44&gt;0,AOR44-AOR44*TR45/ALE44,0)+0</f>
        <v>0</v>
      </c>
      <c r="AHS45" s="20" t="n">
        <f aca="false">IF(ALF44&gt;0,AOS44-AOS44*TS45/ALF44,0)+0</f>
        <v>0</v>
      </c>
      <c r="AHT45" s="20" t="n">
        <f aca="false">IF(ALG44&gt;0,AOT44-AOT44*TT45/ALG44,0)+0</f>
        <v>0</v>
      </c>
      <c r="AHU45" s="20" t="n">
        <f aca="false">IF(ALH44&gt;0,AOU44-AOU44*TU45/ALH44,0)+0</f>
        <v>0</v>
      </c>
      <c r="AHV45" s="20" t="n">
        <f aca="false">IF(ALI44&gt;0,AOV44-AOV44*TV45/ALI44,0)+0</f>
        <v>0</v>
      </c>
      <c r="AHW45" s="20" t="n">
        <f aca="false">IF(ALJ44&gt;0,AOW44-AOW44*TW45/ALJ44,0)+0</f>
        <v>0</v>
      </c>
      <c r="AHX45" s="20" t="n">
        <f aca="false">IF(ALK44&gt;0,AOX44-AOX44*TX45/ALK44,0)+0</f>
        <v>0</v>
      </c>
      <c r="AHY45" s="20" t="n">
        <f aca="false">IF(ALL44&gt;0,AOY44-AOY44*TY45/ALL44,0)+0</f>
        <v>0</v>
      </c>
      <c r="AHZ45" s="20" t="n">
        <f aca="false">IF(ALM44&gt;0,AOZ44-AOZ44*TZ45/ALM44,0)+0</f>
        <v>0</v>
      </c>
      <c r="AIA45" s="20" t="n">
        <f aca="false">IF(ALN44&gt;0,APA44-APA44*UA45/ALN44,0)+0</f>
        <v>0</v>
      </c>
      <c r="AIB45" s="20" t="n">
        <f aca="false">IF(ALO44&gt;0,APB44-APB44*UB45/ALO44,0)+0</f>
        <v>0</v>
      </c>
      <c r="AIC45" s="20" t="n">
        <f aca="false">IF(ALP44&gt;0,APC44-APC44*UC45/ALP44,0)+0</f>
        <v>0</v>
      </c>
      <c r="AID45" s="20" t="n">
        <f aca="false">IF(ALQ44&gt;0,APD44-APD44*UD45/ALQ44,0)+0</f>
        <v>0</v>
      </c>
      <c r="AIE45" s="20" t="n">
        <f aca="false">IF(ALR44&gt;0,APE44-APE44*UE45/ALR44,0)+0</f>
        <v>28413.3244976271</v>
      </c>
      <c r="AIF45" s="20" t="n">
        <f aca="false">IF(ALS44&gt;0,APF44-APF44*UF45/ALS44,0)+0</f>
        <v>0</v>
      </c>
      <c r="AIG45" s="20" t="n">
        <f aca="false">IF(ALT44&gt;0,APG44-APG44*UG45/ALT44,0)+0</f>
        <v>0</v>
      </c>
      <c r="AIH45" s="20" t="n">
        <f aca="false">IF(ALU44&gt;0,APH44-APH44*UH45/ALU44,0)+0</f>
        <v>2124.66093886866</v>
      </c>
      <c r="AII45" s="20" t="n">
        <f aca="false">IF(ALV44&gt;0,API44-API44*UI45/ALV44,0)+0</f>
        <v>0</v>
      </c>
      <c r="AIJ45" s="20" t="n">
        <f aca="false">IF(ALW44&gt;0,APJ44-APJ44*UJ45/ALW44,0)+0</f>
        <v>0</v>
      </c>
      <c r="AIK45" s="20" t="n">
        <f aca="false">IF(ALX44&gt;0,APK44-APK44*UK45/ALX44,0)+0</f>
        <v>0</v>
      </c>
      <c r="AIL45" s="20" t="n">
        <f aca="false">IF(ALY44&gt;0,APL44-APL44*UL45/ALY44,0)+0</f>
        <v>0</v>
      </c>
      <c r="AIM45" s="20" t="n">
        <f aca="false">IF(ALZ44&gt;0,APM44-APM44*UM45/ALZ44,0)+0</f>
        <v>0</v>
      </c>
      <c r="AIN45" s="20" t="n">
        <f aca="false">IF(AMA44&gt;0,APN44-APN44*UN45/AMA44,0)+0</f>
        <v>0</v>
      </c>
      <c r="AIO45" s="20" t="n">
        <f aca="false">IF(AMB44&gt;0,APO44-APO44*UO45/AMB44,0)+0</f>
        <v>0</v>
      </c>
      <c r="AIP45" s="20" t="n">
        <f aca="false">IF(AMC44&gt;0,APP44-APP44*UP45/AMC44,0)+0</f>
        <v>0</v>
      </c>
      <c r="AIQ45" s="20" t="n">
        <f aca="false">IF((P45+S45)&gt;0,(P45+S45)-(P45+S45)*UQ45/(P45+S45),0)+BE45</f>
        <v>0</v>
      </c>
      <c r="AIR45" s="20" t="n">
        <v>0</v>
      </c>
      <c r="AIS45" s="20" t="n">
        <v>0</v>
      </c>
      <c r="AIT45" s="20" t="n">
        <v>0</v>
      </c>
      <c r="AIU45" s="20" t="n">
        <v>0</v>
      </c>
      <c r="AIV45" s="20" t="n">
        <v>0</v>
      </c>
      <c r="AIW45" s="20" t="n">
        <v>0</v>
      </c>
      <c r="AIX45" s="20" t="n">
        <v>0</v>
      </c>
      <c r="AIY45" s="20" t="n">
        <v>0</v>
      </c>
      <c r="AIZ45" s="20" t="n">
        <v>0</v>
      </c>
      <c r="AJA45" s="20" t="n">
        <v>0</v>
      </c>
      <c r="AJB45" s="20" t="n">
        <v>0</v>
      </c>
      <c r="AJC45" s="20" t="n">
        <v>0</v>
      </c>
      <c r="AJD45" s="20" t="n">
        <v>0</v>
      </c>
      <c r="AJE45" s="20" t="n">
        <v>0</v>
      </c>
      <c r="AJF45" s="20" t="n">
        <v>0</v>
      </c>
      <c r="AJG45" s="20" t="n">
        <v>0</v>
      </c>
      <c r="AJH45" s="20" t="n">
        <v>0</v>
      </c>
      <c r="AJI45" s="20" t="n">
        <v>0</v>
      </c>
      <c r="AJJ45" s="20" t="n">
        <v>0</v>
      </c>
      <c r="AJK45" s="20" t="n">
        <v>0</v>
      </c>
      <c r="AJL45" s="20" t="n">
        <v>0</v>
      </c>
      <c r="AJM45" s="20" t="n">
        <v>0</v>
      </c>
      <c r="AJN45" s="20" t="n">
        <v>0</v>
      </c>
      <c r="AJO45" s="20" t="n">
        <v>0</v>
      </c>
      <c r="AJP45" s="20" t="n">
        <v>0</v>
      </c>
      <c r="AJQ45" s="20" t="n">
        <v>0</v>
      </c>
      <c r="AJR45" s="20" t="n">
        <v>0</v>
      </c>
      <c r="AJS45" s="20" t="n">
        <v>0</v>
      </c>
      <c r="AJT45" s="20" t="n">
        <v>0</v>
      </c>
      <c r="AJU45" s="20" t="n">
        <v>0</v>
      </c>
      <c r="AJV45" s="20" t="n">
        <v>0</v>
      </c>
      <c r="AJW45" s="20" t="n">
        <v>0</v>
      </c>
      <c r="AJX45" s="20" t="n">
        <v>0</v>
      </c>
      <c r="AJY45" s="20" t="n">
        <v>0</v>
      </c>
      <c r="AJZ45" s="20" t="n">
        <v>0</v>
      </c>
      <c r="AKA45" s="20" t="n">
        <v>0</v>
      </c>
      <c r="AKB45" s="20" t="n">
        <v>0</v>
      </c>
      <c r="AKC45" s="20" t="n">
        <v>0</v>
      </c>
      <c r="AKD45" s="20" t="n">
        <v>0</v>
      </c>
      <c r="AKE45" s="20" t="n">
        <v>0</v>
      </c>
      <c r="AKF45" s="20" t="n">
        <v>0</v>
      </c>
      <c r="AKG45" s="20" t="n">
        <v>0</v>
      </c>
      <c r="AKH45" s="20" t="n">
        <v>0</v>
      </c>
      <c r="AKI45" s="20" t="n">
        <v>0</v>
      </c>
      <c r="AKJ45" s="20" t="n">
        <v>0</v>
      </c>
      <c r="AKK45" s="20" t="n">
        <v>0</v>
      </c>
      <c r="AKL45" s="20" t="n">
        <v>0</v>
      </c>
      <c r="AKM45" s="20" t="n">
        <v>0</v>
      </c>
      <c r="AKN45" s="20" t="n">
        <v>0</v>
      </c>
      <c r="AKO45" s="20" t="n">
        <v>0</v>
      </c>
      <c r="AKP45" s="20" t="n">
        <v>0</v>
      </c>
      <c r="AKQ45" s="20" t="n">
        <v>0</v>
      </c>
      <c r="AKR45" s="20" t="n">
        <f aca="false">ADR45-AVE45</f>
        <v>0</v>
      </c>
      <c r="AKS45" s="20" t="n">
        <f aca="false">ADS45-AVF45</f>
        <v>0</v>
      </c>
      <c r="AKT45" s="20" t="n">
        <f aca="false">ADT45-AVG45</f>
        <v>0</v>
      </c>
      <c r="AKU45" s="20" t="n">
        <f aca="false">ADU45-AVH45</f>
        <v>0</v>
      </c>
      <c r="AKV45" s="20" t="n">
        <f aca="false">ADV45-AVI45</f>
        <v>0</v>
      </c>
      <c r="AKW45" s="20" t="n">
        <f aca="false">ADW45-AVJ45</f>
        <v>0</v>
      </c>
      <c r="AKX45" s="20" t="n">
        <f aca="false">ADX45-AVK45</f>
        <v>0</v>
      </c>
      <c r="AKY45" s="20" t="n">
        <f aca="false">ADY45-AVL45</f>
        <v>0</v>
      </c>
      <c r="AKZ45" s="20" t="n">
        <f aca="false">ADZ45-AVM45</f>
        <v>0</v>
      </c>
      <c r="ALA45" s="20" t="n">
        <f aca="false">AEA45-AVN45</f>
        <v>0</v>
      </c>
      <c r="ALB45" s="20" t="n">
        <f aca="false">AEB45-AVO45</f>
        <v>0</v>
      </c>
      <c r="ALC45" s="20" t="n">
        <f aca="false">AEC45-AVP45</f>
        <v>0</v>
      </c>
      <c r="ALD45" s="20" t="n">
        <f aca="false">AED45-AVQ45</f>
        <v>0</v>
      </c>
      <c r="ALE45" s="20" t="n">
        <f aca="false">AEE45-AVR45</f>
        <v>0</v>
      </c>
      <c r="ALF45" s="20" t="n">
        <f aca="false">AEF45-AVS45</f>
        <v>0</v>
      </c>
      <c r="ALG45" s="20" t="n">
        <f aca="false">AEG45-AVT45</f>
        <v>0</v>
      </c>
      <c r="ALH45" s="20" t="n">
        <f aca="false">AEH45-AVU45</f>
        <v>0</v>
      </c>
      <c r="ALI45" s="20" t="n">
        <f aca="false">AEI45-AVV45</f>
        <v>0</v>
      </c>
      <c r="ALJ45" s="20" t="n">
        <f aca="false">AEJ45-AVW45</f>
        <v>0</v>
      </c>
      <c r="ALK45" s="20" t="n">
        <f aca="false">AEK45-AVX45</f>
        <v>0</v>
      </c>
      <c r="ALL45" s="20" t="n">
        <f aca="false">AEL45-AVY45</f>
        <v>0</v>
      </c>
      <c r="ALM45" s="20" t="n">
        <f aca="false">AEM45-AVZ45</f>
        <v>0</v>
      </c>
      <c r="ALN45" s="20" t="n">
        <f aca="false">AEN45-AWA45</f>
        <v>0</v>
      </c>
      <c r="ALO45" s="20" t="n">
        <f aca="false">AEO45-AWB45</f>
        <v>0</v>
      </c>
      <c r="ALP45" s="20" t="n">
        <f aca="false">AEP45-AWC45</f>
        <v>0</v>
      </c>
      <c r="ALQ45" s="20" t="n">
        <f aca="false">AEQ45-AWD45</f>
        <v>0</v>
      </c>
      <c r="ALR45" s="20" t="n">
        <f aca="false">AER45-AWE45</f>
        <v>34569.153716871</v>
      </c>
      <c r="ALS45" s="20" t="n">
        <f aca="false">AES45-AWF45</f>
        <v>0</v>
      </c>
      <c r="ALT45" s="20" t="n">
        <f aca="false">AET45-AWG45</f>
        <v>0</v>
      </c>
      <c r="ALU45" s="20" t="n">
        <f aca="false">AEU45-AWH45</f>
        <v>2298.03327148035</v>
      </c>
      <c r="ALV45" s="20" t="n">
        <f aca="false">AEV45-AWI45</f>
        <v>0</v>
      </c>
      <c r="ALW45" s="20" t="n">
        <f aca="false">AEW45-AWJ45</f>
        <v>0</v>
      </c>
      <c r="ALX45" s="20" t="n">
        <f aca="false">AEX45-AWK45</f>
        <v>0</v>
      </c>
      <c r="ALY45" s="20" t="n">
        <f aca="false">AEY45-AWL45</f>
        <v>0</v>
      </c>
      <c r="ALZ45" s="20" t="n">
        <f aca="false">AEZ45-AWM45</f>
        <v>0</v>
      </c>
      <c r="AMA45" s="20" t="n">
        <f aca="false">AFA45-AWN45</f>
        <v>0</v>
      </c>
      <c r="AMB45" s="20" t="n">
        <f aca="false">AFB45-AWO45</f>
        <v>0</v>
      </c>
      <c r="AMC45" s="20" t="n">
        <f aca="false">AFC45-AWP45</f>
        <v>0</v>
      </c>
      <c r="AMD45" s="20" t="n">
        <f aca="false">AFD45-AWQ45</f>
        <v>0</v>
      </c>
      <c r="AME45" s="20" t="n">
        <v>0</v>
      </c>
      <c r="AMF45" s="20" t="n">
        <v>0</v>
      </c>
      <c r="AMG45" s="20" t="n">
        <v>0</v>
      </c>
      <c r="AMH45" s="20" t="n">
        <v>0</v>
      </c>
      <c r="AMI45" s="20" t="n">
        <v>0</v>
      </c>
      <c r="AMJ45" s="20" t="n">
        <v>0</v>
      </c>
      <c r="AMK45" s="20" t="n">
        <v>0</v>
      </c>
      <c r="AML45" s="20" t="n">
        <v>0</v>
      </c>
      <c r="AMM45" s="20" t="n">
        <v>0</v>
      </c>
      <c r="AMN45" s="20" t="n">
        <v>0</v>
      </c>
      <c r="AMO45" s="20" t="n">
        <v>0</v>
      </c>
      <c r="AMP45" s="20" t="n">
        <v>0</v>
      </c>
      <c r="AMQ45" s="20" t="n">
        <v>0</v>
      </c>
      <c r="AMR45" s="20" t="n">
        <v>0</v>
      </c>
      <c r="AMS45" s="20" t="n">
        <v>0</v>
      </c>
      <c r="AMT45" s="20" t="n">
        <v>0</v>
      </c>
      <c r="AMU45" s="20" t="n">
        <v>0</v>
      </c>
      <c r="AMV45" s="20" t="n">
        <v>0</v>
      </c>
      <c r="AMW45" s="20" t="n">
        <v>0</v>
      </c>
      <c r="AMX45" s="20" t="n">
        <v>0</v>
      </c>
      <c r="AMY45" s="20" t="n">
        <v>0</v>
      </c>
      <c r="AMZ45" s="20" t="n">
        <v>0</v>
      </c>
      <c r="ANA45" s="20" t="n">
        <v>0</v>
      </c>
      <c r="ANB45" s="20" t="n">
        <v>0</v>
      </c>
      <c r="ANC45" s="20" t="n">
        <v>0</v>
      </c>
      <c r="AND45" s="20" t="n">
        <v>0</v>
      </c>
      <c r="ANE45" s="20" t="n">
        <v>0</v>
      </c>
      <c r="ANF45" s="20" t="n">
        <v>0</v>
      </c>
      <c r="ANG45" s="20" t="n">
        <v>0</v>
      </c>
      <c r="ANH45" s="20" t="n">
        <v>0</v>
      </c>
      <c r="ANI45" s="20" t="n">
        <v>0</v>
      </c>
      <c r="ANJ45" s="20" t="n">
        <v>0</v>
      </c>
      <c r="ANK45" s="20" t="n">
        <v>0</v>
      </c>
      <c r="ANL45" s="20" t="n">
        <v>0</v>
      </c>
      <c r="ANM45" s="20" t="n">
        <v>0</v>
      </c>
      <c r="ANN45" s="20" t="n">
        <v>0</v>
      </c>
      <c r="ANO45" s="20" t="n">
        <v>0</v>
      </c>
      <c r="ANP45" s="20" t="n">
        <v>0</v>
      </c>
      <c r="ANQ45" s="20" t="n">
        <v>0</v>
      </c>
      <c r="ANR45" s="20" t="n">
        <v>0</v>
      </c>
      <c r="ANS45" s="20" t="n">
        <v>0</v>
      </c>
      <c r="ANT45" s="20" t="n">
        <v>0</v>
      </c>
      <c r="ANU45" s="20" t="n">
        <v>0</v>
      </c>
      <c r="ANV45" s="20" t="n">
        <v>0</v>
      </c>
      <c r="ANW45" s="20" t="n">
        <v>0</v>
      </c>
      <c r="ANX45" s="20" t="n">
        <v>0</v>
      </c>
      <c r="ANY45" s="20" t="n">
        <v>0</v>
      </c>
      <c r="ANZ45" s="20" t="n">
        <v>0</v>
      </c>
      <c r="AOA45" s="20" t="n">
        <v>0</v>
      </c>
      <c r="AOB45" s="20" t="n">
        <v>0</v>
      </c>
      <c r="AOC45" s="20" t="n">
        <v>0</v>
      </c>
      <c r="AOD45" s="20" t="n">
        <v>0</v>
      </c>
      <c r="AOE45" s="20" t="n">
        <f aca="false">IF(AND(H_Direct=0,H_TaxEvt=1,ARR44+1&gt;=H_Deemed),AKR45,AHE45)</f>
        <v>0</v>
      </c>
      <c r="AOF45" s="20" t="n">
        <f aca="false">IF(AND(H_Direct=0,H_TaxEvt=1,ARS44+1&gt;=H_Deemed),AKS45,AHF45)</f>
        <v>0</v>
      </c>
      <c r="AOG45" s="20" t="n">
        <f aca="false">IF(AND(H_Direct=0,H_TaxEvt=1,ART44+1&gt;=H_Deemed),AKT45,AHG45)</f>
        <v>0</v>
      </c>
      <c r="AOH45" s="20" t="n">
        <f aca="false">IF(AND(H_Direct=0,H_TaxEvt=1,ARU44+1&gt;=H_Deemed),AKU45,AHH45)</f>
        <v>0</v>
      </c>
      <c r="AOI45" s="20" t="n">
        <f aca="false">IF(AND(H_Direct=0,H_TaxEvt=1,ARV44+1&gt;=H_Deemed),AKV45,AHI45)</f>
        <v>0</v>
      </c>
      <c r="AOJ45" s="20" t="n">
        <f aca="false">IF(AND(H_Direct=0,H_TaxEvt=1,ARW44+1&gt;=H_Deemed),AKW45,AHJ45)</f>
        <v>0</v>
      </c>
      <c r="AOK45" s="20" t="n">
        <f aca="false">IF(AND(H_Direct=0,H_TaxEvt=1,ARX44+1&gt;=H_Deemed),AKX45,AHK45)</f>
        <v>0</v>
      </c>
      <c r="AOL45" s="20" t="n">
        <f aca="false">IF(AND(H_Direct=0,H_TaxEvt=1,ARY44+1&gt;=H_Deemed),AKY45,AHL45)</f>
        <v>0</v>
      </c>
      <c r="AOM45" s="20" t="n">
        <f aca="false">IF(AND(H_Direct=0,H_TaxEvt=1,ARZ44+1&gt;=H_Deemed),AKZ45,AHM45)</f>
        <v>0</v>
      </c>
      <c r="AON45" s="20" t="n">
        <f aca="false">IF(AND(H_Direct=0,H_TaxEvt=1,ASA44+1&gt;=H_Deemed),ALA45,AHN45)</f>
        <v>0</v>
      </c>
      <c r="AOO45" s="20" t="n">
        <f aca="false">IF(AND(H_Direct=0,H_TaxEvt=1,ASB44+1&gt;=H_Deemed),ALB45,AHO45)</f>
        <v>0</v>
      </c>
      <c r="AOP45" s="20" t="n">
        <f aca="false">IF(AND(H_Direct=0,H_TaxEvt=1,ASC44+1&gt;=H_Deemed),ALC45,AHP45)</f>
        <v>0</v>
      </c>
      <c r="AOQ45" s="20" t="n">
        <f aca="false">IF(AND(H_Direct=0,H_TaxEvt=1,ASD44+1&gt;=H_Deemed),ALD45,AHQ45)</f>
        <v>0</v>
      </c>
      <c r="AOR45" s="20" t="n">
        <f aca="false">IF(AND(H_Direct=0,H_TaxEvt=1,ASE44+1&gt;=H_Deemed),ALE45,AHR45)</f>
        <v>0</v>
      </c>
      <c r="AOS45" s="20" t="n">
        <f aca="false">IF(AND(H_Direct=0,H_TaxEvt=1,ASF44+1&gt;=H_Deemed),ALF45,AHS45)</f>
        <v>0</v>
      </c>
      <c r="AOT45" s="20" t="n">
        <f aca="false">IF(AND(H_Direct=0,H_TaxEvt=1,ASG44+1&gt;=H_Deemed),ALG45,AHT45)</f>
        <v>0</v>
      </c>
      <c r="AOU45" s="20" t="n">
        <f aca="false">IF(AND(H_Direct=0,H_TaxEvt=1,ASH44+1&gt;=H_Deemed),ALH45,AHU45)</f>
        <v>0</v>
      </c>
      <c r="AOV45" s="20" t="n">
        <f aca="false">IF(AND(H_Direct=0,H_TaxEvt=1,ASI44+1&gt;=H_Deemed),ALI45,AHV45)</f>
        <v>0</v>
      </c>
      <c r="AOW45" s="20" t="n">
        <f aca="false">IF(AND(H_Direct=0,H_TaxEvt=1,ASJ44+1&gt;=H_Deemed),ALJ45,AHW45)</f>
        <v>0</v>
      </c>
      <c r="AOX45" s="20" t="n">
        <f aca="false">IF(AND(H_Direct=0,H_TaxEvt=1,ASK44+1&gt;=H_Deemed),ALK45,AHX45)</f>
        <v>0</v>
      </c>
      <c r="AOY45" s="20" t="n">
        <f aca="false">IF(AND(H_Direct=0,H_TaxEvt=1,ASL44+1&gt;=H_Deemed),ALL45,AHY45)</f>
        <v>0</v>
      </c>
      <c r="AOZ45" s="20" t="n">
        <f aca="false">IF(AND(H_Direct=0,H_TaxEvt=1,ASM44+1&gt;=H_Deemed),ALM45,AHZ45)</f>
        <v>0</v>
      </c>
      <c r="APA45" s="20" t="n">
        <f aca="false">IF(AND(H_Direct=0,H_TaxEvt=1,ASN44+1&gt;=H_Deemed),ALN45,AIA45)</f>
        <v>0</v>
      </c>
      <c r="APB45" s="20" t="n">
        <f aca="false">IF(AND(H_Direct=0,H_TaxEvt=1,ASO44+1&gt;=H_Deemed),ALO45,AIB45)</f>
        <v>0</v>
      </c>
      <c r="APC45" s="20" t="n">
        <f aca="false">IF(AND(H_Direct=0,H_TaxEvt=1,ASP44+1&gt;=H_Deemed),ALP45,AIC45)</f>
        <v>0</v>
      </c>
      <c r="APD45" s="20" t="n">
        <f aca="false">IF(AND(H_Direct=0,H_TaxEvt=1,ASQ44+1&gt;=H_Deemed),ALQ45,AID45)</f>
        <v>0</v>
      </c>
      <c r="APE45" s="20" t="n">
        <f aca="false">IF(AND(H_Direct=0,H_TaxEvt=1,ASR44+1&gt;=H_Deemed),ALR45,AIE45)</f>
        <v>28413.3244976271</v>
      </c>
      <c r="APF45" s="20" t="n">
        <f aca="false">IF(AND(H_Direct=0,H_TaxEvt=1,ASS44+1&gt;=H_Deemed),ALS45,AIF45)</f>
        <v>0</v>
      </c>
      <c r="APG45" s="20" t="n">
        <f aca="false">IF(AND(H_Direct=0,H_TaxEvt=1,AST44+1&gt;=H_Deemed),ALT45,AIG45)</f>
        <v>0</v>
      </c>
      <c r="APH45" s="20" t="n">
        <f aca="false">IF(AND(H_Direct=0,H_TaxEvt=1,ASU44+1&gt;=H_Deemed),ALU45,AIH45)</f>
        <v>2124.66093886866</v>
      </c>
      <c r="API45" s="20" t="n">
        <f aca="false">IF(AND(H_Direct=0,H_TaxEvt=1,ASV44+1&gt;=H_Deemed),ALV45,AII45)</f>
        <v>0</v>
      </c>
      <c r="APJ45" s="20" t="n">
        <f aca="false">IF(AND(H_Direct=0,H_TaxEvt=1,ASW44+1&gt;=H_Deemed),ALW45,AIJ45)</f>
        <v>0</v>
      </c>
      <c r="APK45" s="20" t="n">
        <f aca="false">IF(AND(H_Direct=0,H_TaxEvt=1,ASX44+1&gt;=H_Deemed),ALX45,AIK45)</f>
        <v>0</v>
      </c>
      <c r="APL45" s="20" t="n">
        <f aca="false">IF(AND(H_Direct=0,H_TaxEvt=1,ASY44+1&gt;=H_Deemed),ALY45,AIL45)</f>
        <v>0</v>
      </c>
      <c r="APM45" s="20" t="n">
        <f aca="false">IF(AND(H_Direct=0,H_TaxEvt=1,ASZ44+1&gt;=H_Deemed),ALZ45,AIM45)</f>
        <v>0</v>
      </c>
      <c r="APN45" s="20" t="n">
        <f aca="false">IF(AND(H_Direct=0,H_TaxEvt=1,ATA44+1&gt;=H_Deemed),AMA45,AIN45)</f>
        <v>0</v>
      </c>
      <c r="APO45" s="20" t="n">
        <f aca="false">IF(AND(H_Direct=0,H_TaxEvt=1,ATB44+1&gt;=H_Deemed),AMB45,AIO45)</f>
        <v>0</v>
      </c>
      <c r="APP45" s="20" t="n">
        <f aca="false">IF(AND(H_Direct=0,H_TaxEvt=1,ATC44+1&gt;=H_Deemed),AMC45,AIP45)</f>
        <v>0</v>
      </c>
      <c r="APQ45" s="20" t="n">
        <f aca="false">IF(AND(H_Direct=0,H_TaxEvt=1,0+1&gt;=H_Deemed),AMD45,AIQ45)</f>
        <v>0</v>
      </c>
      <c r="APR45" s="20" t="n">
        <v>0</v>
      </c>
      <c r="APS45" s="20" t="n">
        <v>0</v>
      </c>
      <c r="APT45" s="20" t="n">
        <v>0</v>
      </c>
      <c r="APU45" s="20" t="n">
        <v>0</v>
      </c>
      <c r="APV45" s="20" t="n">
        <v>0</v>
      </c>
      <c r="APW45" s="20" t="n">
        <v>0</v>
      </c>
      <c r="APX45" s="20" t="n">
        <v>0</v>
      </c>
      <c r="APY45" s="20" t="n">
        <v>0</v>
      </c>
      <c r="APZ45" s="20" t="n">
        <v>0</v>
      </c>
      <c r="AQA45" s="20" t="n">
        <v>0</v>
      </c>
      <c r="AQB45" s="20" t="n">
        <v>0</v>
      </c>
      <c r="AQC45" s="20" t="n">
        <v>0</v>
      </c>
      <c r="AQD45" s="20" t="n">
        <v>0</v>
      </c>
      <c r="AQE45" s="20" t="n">
        <v>0</v>
      </c>
      <c r="AQF45" s="20" t="n">
        <v>0</v>
      </c>
      <c r="AQG45" s="20" t="n">
        <v>0</v>
      </c>
      <c r="AQH45" s="20" t="n">
        <v>0</v>
      </c>
      <c r="AQI45" s="20" t="n">
        <v>0</v>
      </c>
      <c r="AQJ45" s="20" t="n">
        <v>0</v>
      </c>
      <c r="AQK45" s="20" t="n">
        <v>0</v>
      </c>
      <c r="AQL45" s="20" t="n">
        <v>0</v>
      </c>
      <c r="AQM45" s="20" t="n">
        <v>0</v>
      </c>
      <c r="AQN45" s="20" t="n">
        <v>0</v>
      </c>
      <c r="AQO45" s="20" t="n">
        <v>0</v>
      </c>
      <c r="AQP45" s="20" t="n">
        <v>0</v>
      </c>
      <c r="AQQ45" s="20" t="n">
        <v>0</v>
      </c>
      <c r="AQR45" s="20" t="n">
        <v>0</v>
      </c>
      <c r="AQS45" s="20" t="n">
        <v>0</v>
      </c>
      <c r="AQT45" s="20" t="n">
        <v>0</v>
      </c>
      <c r="AQU45" s="20" t="n">
        <v>0</v>
      </c>
      <c r="AQV45" s="20" t="n">
        <v>0</v>
      </c>
      <c r="AQW45" s="20" t="n">
        <v>0</v>
      </c>
      <c r="AQX45" s="20" t="n">
        <v>0</v>
      </c>
      <c r="AQY45" s="20" t="n">
        <v>0</v>
      </c>
      <c r="AQZ45" s="20" t="n">
        <v>0</v>
      </c>
      <c r="ARA45" s="20" t="n">
        <v>0</v>
      </c>
      <c r="ARB45" s="20" t="n">
        <v>0</v>
      </c>
      <c r="ARC45" s="20" t="n">
        <v>0</v>
      </c>
      <c r="ARD45" s="20" t="n">
        <v>0</v>
      </c>
      <c r="ARE45" s="20" t="n">
        <v>0</v>
      </c>
      <c r="ARF45" s="20" t="n">
        <v>0</v>
      </c>
      <c r="ARG45" s="20" t="n">
        <v>0</v>
      </c>
      <c r="ARH45" s="20" t="n">
        <v>0</v>
      </c>
      <c r="ARI45" s="20" t="n">
        <v>0</v>
      </c>
      <c r="ARJ45" s="20" t="n">
        <v>0</v>
      </c>
      <c r="ARK45" s="20" t="n">
        <v>0</v>
      </c>
      <c r="ARL45" s="20" t="n">
        <v>0</v>
      </c>
      <c r="ARM45" s="20" t="n">
        <v>0</v>
      </c>
      <c r="ARN45" s="20" t="n">
        <v>0</v>
      </c>
      <c r="ARO45" s="20" t="n">
        <v>0</v>
      </c>
      <c r="ARP45" s="20" t="n">
        <v>0</v>
      </c>
      <c r="ARQ45" s="20" t="n">
        <v>0</v>
      </c>
      <c r="ARR45" s="20" t="n">
        <f aca="false">IF(AND(H_Direct=0,H_TaxEvt=1),IF(ARR44+1&gt;=H_Deemed,0,ARR44+1),ARR44)</f>
        <v>6</v>
      </c>
      <c r="ARS45" s="20" t="n">
        <f aca="false">IF(AND(H_Direct=0,H_TaxEvt=1),IF(ARS44+1&gt;=H_Deemed,0,ARS44+1),ARS44)</f>
        <v>6</v>
      </c>
      <c r="ART45" s="20" t="n">
        <f aca="false">IF(AND(H_Direct=0,H_TaxEvt=1),IF(ART44+1&gt;=H_Deemed,0,ART44+1),ART44)</f>
        <v>5</v>
      </c>
      <c r="ARU45" s="20" t="n">
        <f aca="false">IF(AND(H_Direct=0,H_TaxEvt=1),IF(ARU44+1&gt;=H_Deemed,0,ARU44+1),ARU44)</f>
        <v>4</v>
      </c>
      <c r="ARV45" s="20" t="n">
        <f aca="false">IF(AND(H_Direct=0,H_TaxEvt=1),IF(ARV44+1&gt;=H_Deemed,0,ARV44+1),ARV44)</f>
        <v>3</v>
      </c>
      <c r="ARW45" s="20" t="n">
        <f aca="false">IF(AND(H_Direct=0,H_TaxEvt=1),IF(ARW44+1&gt;=H_Deemed,0,ARW44+1),ARW44)</f>
        <v>2</v>
      </c>
      <c r="ARX45" s="20" t="n">
        <f aca="false">IF(AND(H_Direct=0,H_TaxEvt=1),IF(ARX44+1&gt;=H_Deemed,0,ARX44+1),ARX44)</f>
        <v>1</v>
      </c>
      <c r="ARY45" s="20" t="n">
        <f aca="false">IF(AND(H_Direct=0,H_TaxEvt=1),IF(ARY44+1&gt;=H_Deemed,0,ARY44+1),ARY44)</f>
        <v>0</v>
      </c>
      <c r="ARZ45" s="20" t="n">
        <f aca="false">IF(AND(H_Direct=0,H_TaxEvt=1),IF(ARZ44+1&gt;=H_Deemed,0,ARZ44+1),ARZ44)</f>
        <v>7</v>
      </c>
      <c r="ASA45" s="20" t="n">
        <f aca="false">IF(AND(H_Direct=0,H_TaxEvt=1),IF(ASA44+1&gt;=H_Deemed,0,ASA44+1),ASA44)</f>
        <v>6</v>
      </c>
      <c r="ASB45" s="20" t="n">
        <f aca="false">IF(AND(H_Direct=0,H_TaxEvt=1),IF(ASB44+1&gt;=H_Deemed,0,ASB44+1),ASB44)</f>
        <v>5</v>
      </c>
      <c r="ASC45" s="20" t="n">
        <f aca="false">IF(AND(H_Direct=0,H_TaxEvt=1),IF(ASC44+1&gt;=H_Deemed,0,ASC44+1),ASC44)</f>
        <v>4</v>
      </c>
      <c r="ASD45" s="20" t="n">
        <f aca="false">IF(AND(H_Direct=0,H_TaxEvt=1),IF(ASD44+1&gt;=H_Deemed,0,ASD44+1),ASD44)</f>
        <v>3</v>
      </c>
      <c r="ASE45" s="20" t="n">
        <f aca="false">IF(AND(H_Direct=0,H_TaxEvt=1),IF(ASE44+1&gt;=H_Deemed,0,ASE44+1),ASE44)</f>
        <v>2</v>
      </c>
      <c r="ASF45" s="20" t="n">
        <f aca="false">IF(AND(H_Direct=0,H_TaxEvt=1),IF(ASF44+1&gt;=H_Deemed,0,ASF44+1),ASF44)</f>
        <v>1</v>
      </c>
      <c r="ASG45" s="20" t="n">
        <f aca="false">IF(AND(H_Direct=0,H_TaxEvt=1),IF(ASG44+1&gt;=H_Deemed,0,ASG44+1),ASG44)</f>
        <v>0</v>
      </c>
      <c r="ASH45" s="20" t="n">
        <f aca="false">IF(AND(H_Direct=0,H_TaxEvt=1),IF(ASH44+1&gt;=H_Deemed,0,ASH44+1),ASH44)</f>
        <v>7</v>
      </c>
      <c r="ASI45" s="20" t="n">
        <f aca="false">IF(AND(H_Direct=0,H_TaxEvt=1),IF(ASI44+1&gt;=H_Deemed,0,ASI44+1),ASI44)</f>
        <v>6</v>
      </c>
      <c r="ASJ45" s="20" t="n">
        <f aca="false">IF(AND(H_Direct=0,H_TaxEvt=1),IF(ASJ44+1&gt;=H_Deemed,0,ASJ44+1),ASJ44)</f>
        <v>5</v>
      </c>
      <c r="ASK45" s="20" t="n">
        <f aca="false">IF(AND(H_Direct=0,H_TaxEvt=1),IF(ASK44+1&gt;=H_Deemed,0,ASK44+1),ASK44)</f>
        <v>4</v>
      </c>
      <c r="ASL45" s="20" t="n">
        <f aca="false">IF(AND(H_Direct=0,H_TaxEvt=1),IF(ASL44+1&gt;=H_Deemed,0,ASL44+1),ASL44)</f>
        <v>3</v>
      </c>
      <c r="ASM45" s="20" t="n">
        <f aca="false">IF(AND(H_Direct=0,H_TaxEvt=1),IF(ASM44+1&gt;=H_Deemed,0,ASM44+1),ASM44)</f>
        <v>2</v>
      </c>
      <c r="ASN45" s="20" t="n">
        <f aca="false">IF(AND(H_Direct=0,H_TaxEvt=1),IF(ASN44+1&gt;=H_Deemed,0,ASN44+1),ASN44)</f>
        <v>1</v>
      </c>
      <c r="ASO45" s="20" t="n">
        <f aca="false">IF(AND(H_Direct=0,H_TaxEvt=1),IF(ASO44+1&gt;=H_Deemed,0,ASO44+1),ASO44)</f>
        <v>0</v>
      </c>
      <c r="ASP45" s="20" t="n">
        <f aca="false">IF(AND(H_Direct=0,H_TaxEvt=1),IF(ASP44+1&gt;=H_Deemed,0,ASP44+1),ASP44)</f>
        <v>7</v>
      </c>
      <c r="ASQ45" s="20" t="n">
        <f aca="false">IF(AND(H_Direct=0,H_TaxEvt=1),IF(ASQ44+1&gt;=H_Deemed,0,ASQ44+1),ASQ44)</f>
        <v>6</v>
      </c>
      <c r="ASR45" s="20" t="n">
        <f aca="false">IF(AND(H_Direct=0,H_TaxEvt=1),IF(ASR44+1&gt;=H_Deemed,0,ASR44+1),ASR44)</f>
        <v>5</v>
      </c>
      <c r="ASS45" s="20" t="n">
        <f aca="false">IF(AND(H_Direct=0,H_TaxEvt=1),IF(ASS44+1&gt;=H_Deemed,0,ASS44+1),ASS44)</f>
        <v>4</v>
      </c>
      <c r="AST45" s="20" t="n">
        <f aca="false">IF(AND(H_Direct=0,H_TaxEvt=1),IF(AST44+1&gt;=H_Deemed,0,AST44+1),AST44)</f>
        <v>3</v>
      </c>
      <c r="ASU45" s="20" t="n">
        <f aca="false">IF(AND(H_Direct=0,H_TaxEvt=1),IF(ASU44+1&gt;=H_Deemed,0,ASU44+1),ASU44)</f>
        <v>2</v>
      </c>
      <c r="ASV45" s="20" t="n">
        <f aca="false">IF(AND(H_Direct=0,H_TaxEvt=1),IF(ASV44+1&gt;=H_Deemed,0,ASV44+1),ASV44)</f>
        <v>1</v>
      </c>
      <c r="ASW45" s="20" t="n">
        <f aca="false">IF(AND(H_Direct=0,H_TaxEvt=1),IF(ASW44+1&gt;=H_Deemed,0,ASW44+1),ASW44)</f>
        <v>0</v>
      </c>
      <c r="ASX45" s="20" t="n">
        <f aca="false">IF(AND(H_Direct=0,H_TaxEvt=1),IF(ASX44+1&gt;=H_Deemed,0,ASX44+1),ASX44)</f>
        <v>7</v>
      </c>
      <c r="ASY45" s="20" t="n">
        <f aca="false">IF(AND(H_Direct=0,H_TaxEvt=1),IF(ASY44+1&gt;=H_Deemed,0,ASY44+1),ASY44)</f>
        <v>6</v>
      </c>
      <c r="ASZ45" s="20" t="n">
        <f aca="false">IF(AND(H_Direct=0,H_TaxEvt=1),IF(ASZ44+1&gt;=H_Deemed,0,ASZ44+1),ASZ44)</f>
        <v>5</v>
      </c>
      <c r="ATA45" s="20" t="n">
        <f aca="false">IF(AND(H_Direct=0,H_TaxEvt=1),IF(ATA44+1&gt;=H_Deemed,0,ATA44+1),ATA44)</f>
        <v>4</v>
      </c>
      <c r="ATB45" s="20" t="n">
        <f aca="false">IF(AND(H_Direct=0,H_TaxEvt=1),IF(ATB44+1&gt;=H_Deemed,0,ATB44+1),ATB44)</f>
        <v>3</v>
      </c>
      <c r="ATC45" s="20" t="n">
        <f aca="false">IF(AND(H_Direct=0,H_TaxEvt=1),IF(ATC44+1&gt;=H_Deemed,0,ATC44+1),ATC44)</f>
        <v>2</v>
      </c>
      <c r="ATD45" s="20" t="n">
        <f aca="false">IF(AND(H_Direct=0,H_TaxEvt=1),IF(0+1&gt;=H_Deemed,0,0+1),0)</f>
        <v>1</v>
      </c>
      <c r="ATE45" s="20" t="n">
        <v>0</v>
      </c>
      <c r="ATF45" s="20" t="n">
        <v>0</v>
      </c>
      <c r="ATG45" s="20" t="n">
        <v>0</v>
      </c>
      <c r="ATH45" s="20" t="n">
        <v>0</v>
      </c>
      <c r="ATI45" s="20" t="n">
        <v>0</v>
      </c>
      <c r="ATJ45" s="20" t="n">
        <v>0</v>
      </c>
      <c r="ATK45" s="20" t="n">
        <v>0</v>
      </c>
      <c r="ATL45" s="20" t="n">
        <v>0</v>
      </c>
      <c r="ATM45" s="20" t="n">
        <v>0</v>
      </c>
      <c r="ATN45" s="20" t="n">
        <v>0</v>
      </c>
      <c r="ATO45" s="20" t="n">
        <v>0</v>
      </c>
      <c r="ATP45" s="20" t="n">
        <v>0</v>
      </c>
      <c r="ATQ45" s="20" t="n">
        <v>0</v>
      </c>
      <c r="ATR45" s="20" t="n">
        <v>0</v>
      </c>
      <c r="ATS45" s="20" t="n">
        <v>0</v>
      </c>
      <c r="ATT45" s="20" t="n">
        <v>0</v>
      </c>
      <c r="ATU45" s="20" t="n">
        <v>0</v>
      </c>
      <c r="ATV45" s="20" t="n">
        <v>0</v>
      </c>
      <c r="ATW45" s="20" t="n">
        <v>0</v>
      </c>
      <c r="ATX45" s="20" t="n">
        <v>0</v>
      </c>
      <c r="ATY45" s="20" t="n">
        <v>0</v>
      </c>
      <c r="ATZ45" s="20" t="n">
        <v>0</v>
      </c>
      <c r="AUA45" s="20" t="n">
        <v>0</v>
      </c>
      <c r="AUB45" s="20" t="n">
        <v>0</v>
      </c>
      <c r="AUC45" s="20" t="n">
        <v>0</v>
      </c>
      <c r="AUD45" s="20" t="n">
        <v>0</v>
      </c>
      <c r="AUE45" s="20" t="n">
        <v>0</v>
      </c>
      <c r="AUF45" s="20" t="n">
        <v>0</v>
      </c>
      <c r="AUG45" s="20" t="n">
        <v>0</v>
      </c>
      <c r="AUH45" s="20" t="n">
        <v>0</v>
      </c>
      <c r="AUI45" s="20" t="n">
        <v>0</v>
      </c>
      <c r="AUJ45" s="20" t="n">
        <v>0</v>
      </c>
      <c r="AUK45" s="20" t="n">
        <v>0</v>
      </c>
      <c r="AUL45" s="20" t="n">
        <v>0</v>
      </c>
      <c r="AUM45" s="20" t="n">
        <v>0</v>
      </c>
      <c r="AUN45" s="20" t="n">
        <v>0</v>
      </c>
      <c r="AUO45" s="20" t="n">
        <v>0</v>
      </c>
      <c r="AUP45" s="20" t="n">
        <v>0</v>
      </c>
      <c r="AUQ45" s="20" t="n">
        <v>0</v>
      </c>
      <c r="AUR45" s="20" t="n">
        <v>0</v>
      </c>
      <c r="AUS45" s="20" t="n">
        <v>0</v>
      </c>
      <c r="AUT45" s="20" t="n">
        <v>0</v>
      </c>
      <c r="AUU45" s="20" t="n">
        <v>0</v>
      </c>
      <c r="AUV45" s="20" t="n">
        <v>0</v>
      </c>
      <c r="AUW45" s="20" t="n">
        <v>0</v>
      </c>
      <c r="AUX45" s="20" t="n">
        <v>0</v>
      </c>
      <c r="AUY45" s="20" t="n">
        <v>0</v>
      </c>
      <c r="AUZ45" s="20" t="n">
        <v>0</v>
      </c>
      <c r="AVA45" s="20" t="n">
        <v>0</v>
      </c>
      <c r="AVB45" s="20" t="n">
        <v>0</v>
      </c>
      <c r="AVC45" s="20" t="n">
        <v>0</v>
      </c>
      <c r="AVD45" s="20" t="n">
        <v>0</v>
      </c>
      <c r="AVE45" s="20" t="n">
        <f aca="false">IF(AND(H_Direct=0,H_TaxEvt=1,ARR44+1&gt;=H_Deemed),MAX(0,ADR45-AHE45)*H_Exit,0)</f>
        <v>0</v>
      </c>
      <c r="AVF45" s="20" t="n">
        <f aca="false">IF(AND(H_Direct=0,H_TaxEvt=1,ARS44+1&gt;=H_Deemed),MAX(0,ADS45-AHF45)*H_Exit,0)</f>
        <v>0</v>
      </c>
      <c r="AVG45" s="20" t="n">
        <f aca="false">IF(AND(H_Direct=0,H_TaxEvt=1,ART44+1&gt;=H_Deemed),MAX(0,ADT45-AHG45)*H_Exit,0)</f>
        <v>0</v>
      </c>
      <c r="AVH45" s="20" t="n">
        <f aca="false">IF(AND(H_Direct=0,H_TaxEvt=1,ARU44+1&gt;=H_Deemed),MAX(0,ADU45-AHH45)*H_Exit,0)</f>
        <v>0</v>
      </c>
      <c r="AVI45" s="20" t="n">
        <f aca="false">IF(AND(H_Direct=0,H_TaxEvt=1,ARV44+1&gt;=H_Deemed),MAX(0,ADV45-AHI45)*H_Exit,0)</f>
        <v>0</v>
      </c>
      <c r="AVJ45" s="20" t="n">
        <f aca="false">IF(AND(H_Direct=0,H_TaxEvt=1,ARW44+1&gt;=H_Deemed),MAX(0,ADW45-AHJ45)*H_Exit,0)</f>
        <v>0</v>
      </c>
      <c r="AVK45" s="20" t="n">
        <f aca="false">IF(AND(H_Direct=0,H_TaxEvt=1,ARX44+1&gt;=H_Deemed),MAX(0,ADX45-AHK45)*H_Exit,0)</f>
        <v>0</v>
      </c>
      <c r="AVL45" s="20" t="n">
        <f aca="false">IF(AND(H_Direct=0,H_TaxEvt=1,ARY44+1&gt;=H_Deemed),MAX(0,ADY45-AHL45)*H_Exit,0)</f>
        <v>0</v>
      </c>
      <c r="AVM45" s="20" t="n">
        <f aca="false">IF(AND(H_Direct=0,H_TaxEvt=1,ARZ44+1&gt;=H_Deemed),MAX(0,ADZ45-AHM45)*H_Exit,0)</f>
        <v>0</v>
      </c>
      <c r="AVN45" s="20" t="n">
        <f aca="false">IF(AND(H_Direct=0,H_TaxEvt=1,ASA44+1&gt;=H_Deemed),MAX(0,AEA45-AHN45)*H_Exit,0)</f>
        <v>0</v>
      </c>
      <c r="AVO45" s="20" t="n">
        <f aca="false">IF(AND(H_Direct=0,H_TaxEvt=1,ASB44+1&gt;=H_Deemed),MAX(0,AEB45-AHO45)*H_Exit,0)</f>
        <v>0</v>
      </c>
      <c r="AVP45" s="20" t="n">
        <f aca="false">IF(AND(H_Direct=0,H_TaxEvt=1,ASC44+1&gt;=H_Deemed),MAX(0,AEC45-AHP45)*H_Exit,0)</f>
        <v>0</v>
      </c>
      <c r="AVQ45" s="20" t="n">
        <f aca="false">IF(AND(H_Direct=0,H_TaxEvt=1,ASD44+1&gt;=H_Deemed),MAX(0,AED45-AHQ45)*H_Exit,0)</f>
        <v>0</v>
      </c>
      <c r="AVR45" s="20" t="n">
        <f aca="false">IF(AND(H_Direct=0,H_TaxEvt=1,ASE44+1&gt;=H_Deemed),MAX(0,AEE45-AHR45)*H_Exit,0)</f>
        <v>0</v>
      </c>
      <c r="AVS45" s="20" t="n">
        <f aca="false">IF(AND(H_Direct=0,H_TaxEvt=1,ASF44+1&gt;=H_Deemed),MAX(0,AEF45-AHS45)*H_Exit,0)</f>
        <v>0</v>
      </c>
      <c r="AVT45" s="20" t="n">
        <f aca="false">IF(AND(H_Direct=0,H_TaxEvt=1,ASG44+1&gt;=H_Deemed),MAX(0,AEG45-AHT45)*H_Exit,0)</f>
        <v>0</v>
      </c>
      <c r="AVU45" s="20" t="n">
        <f aca="false">IF(AND(H_Direct=0,H_TaxEvt=1,ASH44+1&gt;=H_Deemed),MAX(0,AEH45-AHU45)*H_Exit,0)</f>
        <v>0</v>
      </c>
      <c r="AVV45" s="20" t="n">
        <f aca="false">IF(AND(H_Direct=0,H_TaxEvt=1,ASI44+1&gt;=H_Deemed),MAX(0,AEI45-AHV45)*H_Exit,0)</f>
        <v>0</v>
      </c>
      <c r="AVW45" s="20" t="n">
        <f aca="false">IF(AND(H_Direct=0,H_TaxEvt=1,ASJ44+1&gt;=H_Deemed),MAX(0,AEJ45-AHW45)*H_Exit,0)</f>
        <v>0</v>
      </c>
      <c r="AVX45" s="20" t="n">
        <f aca="false">IF(AND(H_Direct=0,H_TaxEvt=1,ASK44+1&gt;=H_Deemed),MAX(0,AEK45-AHX45)*H_Exit,0)</f>
        <v>0</v>
      </c>
      <c r="AVY45" s="20" t="n">
        <f aca="false">IF(AND(H_Direct=0,H_TaxEvt=1,ASL44+1&gt;=H_Deemed),MAX(0,AEL45-AHY45)*H_Exit,0)</f>
        <v>0</v>
      </c>
      <c r="AVZ45" s="20" t="n">
        <f aca="false">IF(AND(H_Direct=0,H_TaxEvt=1,ASM44+1&gt;=H_Deemed),MAX(0,AEM45-AHZ45)*H_Exit,0)</f>
        <v>0</v>
      </c>
      <c r="AWA45" s="20" t="n">
        <f aca="false">IF(AND(H_Direct=0,H_TaxEvt=1,ASN44+1&gt;=H_Deemed),MAX(0,AEN45-AIA45)*H_Exit,0)</f>
        <v>0</v>
      </c>
      <c r="AWB45" s="20" t="n">
        <f aca="false">IF(AND(H_Direct=0,H_TaxEvt=1,ASO44+1&gt;=H_Deemed),MAX(0,AEO45-AIB45)*H_Exit,0)</f>
        <v>0</v>
      </c>
      <c r="AWC45" s="20" t="n">
        <f aca="false">IF(AND(H_Direct=0,H_TaxEvt=1,ASP44+1&gt;=H_Deemed),MAX(0,AEP45-AIC45)*H_Exit,0)</f>
        <v>0</v>
      </c>
      <c r="AWD45" s="20" t="n">
        <f aca="false">IF(AND(H_Direct=0,H_TaxEvt=1,ASQ44+1&gt;=H_Deemed),MAX(0,AEQ45-AID45)*H_Exit,0)</f>
        <v>0</v>
      </c>
      <c r="AWE45" s="20" t="n">
        <f aca="false">IF(AND(H_Direct=0,H_TaxEvt=1,ASR44+1&gt;=H_Deemed),MAX(0,AER45-AIE45)*H_Exit,0)</f>
        <v>0</v>
      </c>
      <c r="AWF45" s="20" t="n">
        <f aca="false">IF(AND(H_Direct=0,H_TaxEvt=1,ASS44+1&gt;=H_Deemed),MAX(0,AES45-AIF45)*H_Exit,0)</f>
        <v>0</v>
      </c>
      <c r="AWG45" s="20" t="n">
        <f aca="false">IF(AND(H_Direct=0,H_TaxEvt=1,AST44+1&gt;=H_Deemed),MAX(0,AET45-AIG45)*H_Exit,0)</f>
        <v>0</v>
      </c>
      <c r="AWH45" s="20" t="n">
        <f aca="false">IF(AND(H_Direct=0,H_TaxEvt=1,ASU44+1&gt;=H_Deemed),MAX(0,AEU45-AIH45)*H_Exit,0)</f>
        <v>0</v>
      </c>
      <c r="AWI45" s="20" t="n">
        <f aca="false">IF(AND(H_Direct=0,H_TaxEvt=1,ASV44+1&gt;=H_Deemed),MAX(0,AEV45-AII45)*H_Exit,0)</f>
        <v>0</v>
      </c>
      <c r="AWJ45" s="20" t="n">
        <f aca="false">IF(AND(H_Direct=0,H_TaxEvt=1,ASW44+1&gt;=H_Deemed),MAX(0,AEW45-AIJ45)*H_Exit,0)</f>
        <v>0</v>
      </c>
      <c r="AWK45" s="20" t="n">
        <f aca="false">IF(AND(H_Direct=0,H_TaxEvt=1,ASX44+1&gt;=H_Deemed),MAX(0,AEX45-AIK45)*H_Exit,0)</f>
        <v>0</v>
      </c>
      <c r="AWL45" s="20" t="n">
        <f aca="false">IF(AND(H_Direct=0,H_TaxEvt=1,ASY44+1&gt;=H_Deemed),MAX(0,AEY45-AIL45)*H_Exit,0)</f>
        <v>0</v>
      </c>
      <c r="AWM45" s="20" t="n">
        <f aca="false">IF(AND(H_Direct=0,H_TaxEvt=1,ASZ44+1&gt;=H_Deemed),MAX(0,AEZ45-AIM45)*H_Exit,0)</f>
        <v>0</v>
      </c>
      <c r="AWN45" s="20" t="n">
        <f aca="false">IF(AND(H_Direct=0,H_TaxEvt=1,ATA44+1&gt;=H_Deemed),MAX(0,AFA45-AIN45)*H_Exit,0)</f>
        <v>0</v>
      </c>
      <c r="AWO45" s="20" t="n">
        <f aca="false">IF(AND(H_Direct=0,H_TaxEvt=1,ATB44+1&gt;=H_Deemed),MAX(0,AFB45-AIO45)*H_Exit,0)</f>
        <v>0</v>
      </c>
      <c r="AWP45" s="20" t="n">
        <f aca="false">IF(AND(H_Direct=0,H_TaxEvt=1,ATC44+1&gt;=H_Deemed),MAX(0,AFC45-AIP45)*H_Exit,0)</f>
        <v>0</v>
      </c>
      <c r="AWQ45" s="20" t="n">
        <f aca="false">IF(AND(H_Direct=0,H_TaxEvt=1,0+1&gt;=H_Deemed),MAX(0,AFD45-AIQ45)*H_Exit,0)</f>
        <v>0</v>
      </c>
      <c r="AWR45" s="20" t="n">
        <v>0</v>
      </c>
      <c r="AWS45" s="20" t="n">
        <v>0</v>
      </c>
      <c r="AWT45" s="20" t="n">
        <v>0</v>
      </c>
      <c r="AWU45" s="20" t="n">
        <v>0</v>
      </c>
      <c r="AWV45" s="20" t="n">
        <v>0</v>
      </c>
      <c r="AWW45" s="20" t="n">
        <v>0</v>
      </c>
      <c r="AWX45" s="20" t="n">
        <v>0</v>
      </c>
      <c r="AWY45" s="20" t="n">
        <v>0</v>
      </c>
      <c r="AWZ45" s="20" t="n">
        <v>0</v>
      </c>
      <c r="AXA45" s="20" t="n">
        <v>0</v>
      </c>
      <c r="AXB45" s="20" t="n">
        <v>0</v>
      </c>
      <c r="AXC45" s="20" t="n">
        <v>0</v>
      </c>
      <c r="AXD45" s="20" t="n">
        <v>0</v>
      </c>
      <c r="AXE45" s="20" t="n">
        <v>0</v>
      </c>
      <c r="AXF45" s="20" t="n">
        <v>0</v>
      </c>
      <c r="AXG45" s="20" t="n">
        <v>0</v>
      </c>
      <c r="AXH45" s="20" t="n">
        <v>0</v>
      </c>
      <c r="AXI45" s="20" t="n">
        <v>0</v>
      </c>
      <c r="AXJ45" s="20" t="n">
        <v>0</v>
      </c>
      <c r="AXK45" s="20" t="n">
        <v>0</v>
      </c>
      <c r="AXL45" s="20" t="n">
        <v>0</v>
      </c>
      <c r="AXM45" s="20" t="n">
        <v>0</v>
      </c>
      <c r="AXN45" s="20" t="n">
        <v>0</v>
      </c>
      <c r="AXO45" s="20" t="n">
        <v>0</v>
      </c>
      <c r="AXP45" s="20" t="n">
        <v>0</v>
      </c>
      <c r="AXQ45" s="20" t="n">
        <v>0</v>
      </c>
      <c r="AXR45" s="20" t="n">
        <v>0</v>
      </c>
      <c r="AXS45" s="20" t="n">
        <v>0</v>
      </c>
      <c r="AXT45" s="20" t="n">
        <v>0</v>
      </c>
      <c r="AXU45" s="20" t="n">
        <v>0</v>
      </c>
      <c r="AXV45" s="20" t="n">
        <v>0</v>
      </c>
      <c r="AXW45" s="20" t="n">
        <v>0</v>
      </c>
      <c r="AXX45" s="20" t="n">
        <v>0</v>
      </c>
      <c r="AXY45" s="20" t="n">
        <v>0</v>
      </c>
      <c r="AXZ45" s="20" t="n">
        <v>0</v>
      </c>
      <c r="AYA45" s="20" t="n">
        <v>0</v>
      </c>
      <c r="AYB45" s="20" t="n">
        <v>0</v>
      </c>
      <c r="AYC45" s="20" t="n">
        <v>0</v>
      </c>
      <c r="AYD45" s="20" t="n">
        <v>0</v>
      </c>
      <c r="AYE45" s="20" t="n">
        <v>0</v>
      </c>
      <c r="AYF45" s="20" t="n">
        <v>0</v>
      </c>
      <c r="AYG45" s="20" t="n">
        <v>0</v>
      </c>
      <c r="AYH45" s="20" t="n">
        <v>0</v>
      </c>
      <c r="AYI45" s="20" t="n">
        <v>0</v>
      </c>
      <c r="AYJ45" s="20" t="n">
        <v>0</v>
      </c>
      <c r="AYK45" s="20" t="n">
        <v>0</v>
      </c>
      <c r="AYL45" s="20" t="n">
        <v>0</v>
      </c>
      <c r="AYM45" s="20" t="n">
        <v>0</v>
      </c>
      <c r="AYN45" s="20" t="n">
        <v>0</v>
      </c>
      <c r="AYO45" s="20" t="n">
        <v>0</v>
      </c>
      <c r="AYP45" s="20" t="n">
        <v>0</v>
      </c>
      <c r="AYQ45" s="20" t="n">
        <v>0</v>
      </c>
    </row>
    <row r="46" customFormat="false" ht="15" hidden="false" customHeight="false" outlineLevel="0" collapsed="false">
      <c r="B46" s="20" t="n">
        <v>38</v>
      </c>
      <c r="C46" s="20" t="n">
        <f aca="false">'Plan cashflow'!C46</f>
        <v>1</v>
      </c>
      <c r="D46" s="20" t="n">
        <f aca="false">'Plan cashflow'!D46</f>
        <v>76</v>
      </c>
      <c r="E46" s="20" t="n">
        <f aca="false">AS_Year0+38</f>
        <v>2064</v>
      </c>
      <c r="F46" s="50" t="n">
        <f aca="false">'Plan cashflow'!F46</f>
        <v>2.12229879240182</v>
      </c>
      <c r="G46" s="59" t="n">
        <f aca="true">IF(MAX(TODAY(),DATE(E46,1,1))&gt;=H_CGTfrom,H_CGT1,H_CGT0)</f>
        <v>0.31</v>
      </c>
      <c r="H46" s="20" t="n">
        <f aca="false">H_Exempt*H_Persons</f>
        <v>1270</v>
      </c>
      <c r="I46" s="20" t="n">
        <f aca="false">AX45</f>
        <v>0</v>
      </c>
      <c r="J46" s="60" t="n">
        <f aca="false">BF45</f>
        <v>0</v>
      </c>
      <c r="K46" s="60" t="n">
        <f aca="false">BG45</f>
        <v>0</v>
      </c>
      <c r="L46" s="20" t="n">
        <f aca="false">IF(AND(In_polLump&gt;0,In_polLumpAge&gt;0,D46=In_polLumpAge),In_polLump,0)</f>
        <v>0</v>
      </c>
      <c r="M46" s="20" t="n">
        <f aca="false">IF(AND(In_homeUse="Yes, I'd downsize",In_downAge&gt;0,D46=In_downAge,OR(In_home="Own outright",In_home="Own with mortgage"),In_homeValue&gt;0),MAX(0,MAX(0,In_homeValue-In_downValue)*F46*0.9-'Plan cashflow'!HR45),0)</f>
        <v>0</v>
      </c>
      <c r="N46" s="20" t="n">
        <f aca="false">'Plan pay &amp; tax'!Y272</f>
        <v>0</v>
      </c>
      <c r="O46" s="20" t="n">
        <f aca="false">L46+M46+(1-H_Sh)*N46</f>
        <v>0</v>
      </c>
      <c r="P46" s="20" t="n">
        <f aca="false">H_Sh*N46</f>
        <v>0</v>
      </c>
      <c r="Q46" s="20" t="n">
        <f aca="false">'Plan cashflow'!UL46</f>
        <v>0</v>
      </c>
      <c r="R46" s="20" t="n">
        <f aca="false">(1-H_Sh)*Q46</f>
        <v>0</v>
      </c>
      <c r="S46" s="20" t="n">
        <f aca="false">H_Sh*Q46</f>
        <v>0</v>
      </c>
      <c r="T46" s="20" t="n">
        <f aca="false">J46+K46+O46</f>
        <v>0</v>
      </c>
      <c r="U46" s="20" t="n">
        <f aca="false">T46+R46</f>
        <v>0</v>
      </c>
      <c r="V46" s="60" t="n">
        <f aca="false">SUM(FE46:IQ46)</f>
        <v>34462.0903986462</v>
      </c>
      <c r="W46" s="60" t="n">
        <f aca="false">IF(AJ46&lt;=0,0,IF(AL46&lt;=0,AJ46,AJ46-G46*MAX(0,AL46*AJ46-(AY46+AZ46))))</f>
        <v>0</v>
      </c>
      <c r="X46" s="60" t="n">
        <f aca="false">IF(AR46&lt;=0,0,IF(AT46&lt;=0,AR46,AR46-G46*MAX(0,AT46*AR46-(BA46+BB46))))</f>
        <v>0</v>
      </c>
      <c r="Y46" s="60" t="n">
        <f aca="false">T46+V46-S46+W46+X46</f>
        <v>34462.0903986462</v>
      </c>
      <c r="Z46" s="60" t="n">
        <f aca="false">'Plan cashflow'!UK46</f>
        <v>24660.0346098031</v>
      </c>
      <c r="AA46" s="20" t="n">
        <f aca="false">MIN(Z46,U46)</f>
        <v>0</v>
      </c>
      <c r="AB46" s="20" t="n">
        <f aca="false">Z46-AA46</f>
        <v>24660.0346098031</v>
      </c>
      <c r="AC46" s="20" t="n">
        <f aca="false">MIN(AA46,J46+O46+R46)</f>
        <v>0</v>
      </c>
      <c r="AD46" s="20" t="n">
        <f aca="false">AA46-AC46</f>
        <v>0</v>
      </c>
      <c r="AE46" s="20" t="n">
        <f aca="false">J46+O46+R46-AC46</f>
        <v>0</v>
      </c>
      <c r="AF46" s="20" t="n">
        <f aca="false">K46-AD46</f>
        <v>0</v>
      </c>
      <c r="AG46" s="20" t="n">
        <f aca="false">SUM(PR46:TD46)</f>
        <v>24660.0346098031</v>
      </c>
      <c r="AH46" s="20" t="n">
        <f aca="false">SUM(TE46:WQ46)</f>
        <v>26449.8340288811</v>
      </c>
      <c r="AI46" s="20" t="n">
        <f aca="false">MAX(0,AB46-AG46)</f>
        <v>0</v>
      </c>
      <c r="AJ46" s="57" t="n">
        <f aca="false">BI45</f>
        <v>0</v>
      </c>
      <c r="AK46" s="20" t="n">
        <f aca="false">BJ45</f>
        <v>0</v>
      </c>
      <c r="AL46" s="20" t="n">
        <f aca="false">IF(AJ46&gt;0,(AJ46-AK46)/AJ46,0)</f>
        <v>0</v>
      </c>
      <c r="AM46" s="20" t="n">
        <f aca="false">IF(AJ46&lt;=0,0,IF(AL46&lt;=0,MIN(AI46,AJ46),MIN(AI46,AJ46-G46*MAX(0,AL46*AJ46-(AAD46+ADQ46)))))</f>
        <v>0</v>
      </c>
      <c r="AN46" s="20" t="n">
        <f aca="false">IF(AJ46&lt;=0,0,IF(AL46&lt;=0,AM46,IF(AM46&lt;=(AAD46+ADQ46)/AL46,AM46,(AM46-G46*(AAD46+ADQ46))/(1-G46*AL46))))</f>
        <v>0</v>
      </c>
      <c r="AO46" s="20" t="n">
        <f aca="false">IF(AL46&gt;0,MAX(0,AAD46-(MIN(AL46*AN46,(AAD46+ADQ46))-MIN(MIN(AL46*AN46,(AAD46+ADQ46)),ADQ46))),AAD46)</f>
        <v>1270</v>
      </c>
      <c r="AP46" s="20" t="n">
        <f aca="false">IF(AL46&lt;=0,ADQ46-AL46*AN46,ADQ46-MIN(MIN(AL46*AN46,(AAD46+ADQ46)),ADQ46))</f>
        <v>0</v>
      </c>
      <c r="AQ46" s="20" t="n">
        <f aca="false">MAX(0,AI46-AM46)</f>
        <v>0</v>
      </c>
      <c r="AR46" s="57" t="n">
        <f aca="false">BK45</f>
        <v>0</v>
      </c>
      <c r="AS46" s="20" t="n">
        <f aca="false">BL45</f>
        <v>0</v>
      </c>
      <c r="AT46" s="20" t="n">
        <f aca="false">IF(AR46&gt;0,(AR46-AS46)/AR46,0)</f>
        <v>0</v>
      </c>
      <c r="AU46" s="20" t="n">
        <f aca="false">IF(AR46&lt;=0,0,IF(AT46&lt;=0,MIN(AQ46,AR46),MIN(AQ46,AR46-G46*MAX(0,AT46*AR46-(AO46+AP46)))))</f>
        <v>0</v>
      </c>
      <c r="AV46" s="20" t="n">
        <f aca="false">IF(AR46&lt;=0,0,IF(AT46&lt;=0,AU46,IF(AU46&lt;=(AO46+AP46)/AT46,AU46,(AU46-G46*(AO46+AP46))/(1-G46*AT46))))</f>
        <v>0</v>
      </c>
      <c r="AW46" s="20" t="n">
        <f aca="false">IF(AT46&gt;0,MAX(0,AO46-(MIN(AT46*AV46,(AO46+AP46))-MIN(MIN(AT46*AV46,(AO46+AP46)),AP46))),AO46)</f>
        <v>1270</v>
      </c>
      <c r="AX46" s="20" t="n">
        <f aca="false">IF(AT46&lt;=0,AP46-AT46*AV46,AP46-MIN(MIN(AT46*AV46,(AO46+AP46)),AP46))</f>
        <v>0</v>
      </c>
      <c r="AY46" s="20" t="n">
        <f aca="false">MD46</f>
        <v>1270</v>
      </c>
      <c r="AZ46" s="20" t="n">
        <f aca="false">PQ46</f>
        <v>0</v>
      </c>
      <c r="BA46" s="20" t="n">
        <f aca="false">IF(AL46&gt;0,MAX(0,AY46-(MIN(AL46*AJ46,AY46+AZ46)-MIN(MIN(AL46*AJ46,AY46+AZ46),AZ46))),AY46)</f>
        <v>1270</v>
      </c>
      <c r="BB46" s="20" t="n">
        <f aca="false">IF(AL46&lt;=0,AZ46-AL46*AJ46,AZ46-MIN(MIN(AL46*AJ46,AY46+AZ46),AZ46))</f>
        <v>0</v>
      </c>
      <c r="BC46" s="20" t="n">
        <f aca="false">'Plan cashflow'!UM46</f>
        <v>0</v>
      </c>
      <c r="BD46" s="20" t="n">
        <f aca="false">(1-H_Sh)*BC46</f>
        <v>0</v>
      </c>
      <c r="BE46" s="20" t="n">
        <f aca="false">H_Sh*BC46</f>
        <v>0</v>
      </c>
      <c r="BF46" s="60" t="n">
        <f aca="false">(AE46+BD46)*(1+AS_Cash)</f>
        <v>0</v>
      </c>
      <c r="BG46" s="60" t="n">
        <f aca="false">AF46*(1+AS_Cash)</f>
        <v>0</v>
      </c>
      <c r="BH46" s="60" t="n">
        <f aca="false">SUM(AKR46:AOD46)</f>
        <v>10834.0470778491</v>
      </c>
      <c r="BI46" s="60" t="n">
        <f aca="false">(AJ46-AN46)*(1+AS_Infl)</f>
        <v>0</v>
      </c>
      <c r="BJ46" s="20" t="n">
        <f aca="false">IF(AJ46&gt;0,AK46-AK46*AN46/AJ46,0)</f>
        <v>0</v>
      </c>
      <c r="BK46" s="60" t="n">
        <f aca="false">(AR46-AV46)*(1+BQ46)</f>
        <v>0</v>
      </c>
      <c r="BL46" s="20" t="n">
        <f aca="false">IF(AR46&gt;0,AS46-AS46*AV46/AR46,0)</f>
        <v>0</v>
      </c>
      <c r="BM46" s="60" t="n">
        <f aca="false">BF46+BG46+BH46+BI46+BK46</f>
        <v>10834.0470778491</v>
      </c>
      <c r="BN46" s="60" t="n">
        <f aca="false">(AH46-AG46)+(AN46-AM46)+(AV46-AU46)</f>
        <v>1789.79941907797</v>
      </c>
      <c r="BO46" s="20" t="n">
        <f aca="false">(AE46+BD46+AF46+MAX(0,'Plan cashflow'!QH46)+IF(Slot1_Rate=AS_Cash,'Plan cashflow'!QM46/(1+AS_Cash),0)+IF(Slot2_Rate=AS_Cash,'Plan cashflow'!QQ46/(1+AS_Cash),0)+IF(Slot3_Rate=AS_Cash,'Plan cashflow'!QU46/(1+AS_Cash),0)+IF(Slot4_Rate=AS_Cash,'Plan cashflow'!QY46/(1+AS_Cash),0)+IF(Slot5_Rate=AS_Cash,'Plan cashflow'!RC46/(1+AS_Cash),0)+IF(Slot6_Rate=AS_Cash,'Plan cashflow'!RG46/(1+AS_Cash),0)+IF(Slot7_Rate=AS_Cash,'Plan cashflow'!RK46/(1+AS_Cash),0)+IF(Slot8_Rate=AS_Cash,'Plan cashflow'!RO46/(1+AS_Cash),0)+IF(Slot9_Rate=AS_Cash,'Plan cashflow'!RS46/(1+AS_Cash),0)+IF(Slot10_Rate=AS_Cash,'Plan cashflow'!RW46/(1+AS_Cash),0)+IF(Slot11_Rate=AS_Cash,'Plan cashflow'!SA46/(1+AS_Cash),0)+IF(Slot12_Rate=AS_Cash,'Plan cashflow'!SE46/(1+AS_Cash),0)+IF(Slot13_Rate=AS_Cash,'Plan cashflow'!SI46/(1+AS_Cash),0)+IF(Slot14_Rate=AS_Cash,'Plan cashflow'!SM46/(1+AS_Cash),0)+IF(Slot15_Rate=AS_Cash,'Plan cashflow'!SQ46/(1+AS_Cash),0)+IF(Slot16_Rate=AS_Cash,'Plan cashflow'!SU46/(1+AS_Cash),0)+IF(Slot17_Rate=AS_Cash,'Plan cashflow'!SY46/(1+AS_Cash),0)+IF(Slot18_Rate=AS_Cash,'Plan cashflow'!TC46/(1+AS_Cash),0)+IF(Slot19_Rate=AS_Cash,'Plan cashflow'!TG46/(1+AS_Cash),0)+IF(Slot20_Rate=AS_Cash,'Plan cashflow'!TK46/(1+AS_Cash),0))*AS_Cash*H_DIRT/(1-H_DIRT)</f>
        <v>80.1846752818358</v>
      </c>
      <c r="BP46" s="60" t="n">
        <f aca="false">SUM(AVE46:AYQ46)</f>
        <v>0</v>
      </c>
      <c r="BQ46" s="54" t="n">
        <f aca="false">IF(H_TaxEvt=1,H_InvG,AS_Inv)</f>
        <v>0.04</v>
      </c>
      <c r="BR46" s="20" t="n">
        <f aca="false">IF(AKR45&gt;0,(AKR45-AOE45)/AKR45,0)</f>
        <v>0</v>
      </c>
      <c r="BS46" s="20" t="n">
        <f aca="false">IF(AKS45&gt;0,(AKS45-AOF45)/AKS45,0)</f>
        <v>0</v>
      </c>
      <c r="BT46" s="20" t="n">
        <f aca="false">IF(AKT45&gt;0,(AKT45-AOG45)/AKT45,0)</f>
        <v>0</v>
      </c>
      <c r="BU46" s="20" t="n">
        <f aca="false">IF(AKU45&gt;0,(AKU45-AOH45)/AKU45,0)</f>
        <v>0</v>
      </c>
      <c r="BV46" s="20" t="n">
        <f aca="false">IF(AKV45&gt;0,(AKV45-AOI45)/AKV45,0)</f>
        <v>0</v>
      </c>
      <c r="BW46" s="20" t="n">
        <f aca="false">IF(AKW45&gt;0,(AKW45-AOJ45)/AKW45,0)</f>
        <v>0</v>
      </c>
      <c r="BX46" s="20" t="n">
        <f aca="false">IF(AKX45&gt;0,(AKX45-AOK45)/AKX45,0)</f>
        <v>0</v>
      </c>
      <c r="BY46" s="20" t="n">
        <f aca="false">IF(AKY45&gt;0,(AKY45-AOL45)/AKY45,0)</f>
        <v>0</v>
      </c>
      <c r="BZ46" s="20" t="n">
        <f aca="false">IF(AKZ45&gt;0,(AKZ45-AOM45)/AKZ45,0)</f>
        <v>0</v>
      </c>
      <c r="CA46" s="20" t="n">
        <f aca="false">IF(ALA45&gt;0,(ALA45-AON45)/ALA45,0)</f>
        <v>0</v>
      </c>
      <c r="CB46" s="20" t="n">
        <f aca="false">IF(ALB45&gt;0,(ALB45-AOO45)/ALB45,0)</f>
        <v>0</v>
      </c>
      <c r="CC46" s="20" t="n">
        <f aca="false">IF(ALC45&gt;0,(ALC45-AOP45)/ALC45,0)</f>
        <v>0</v>
      </c>
      <c r="CD46" s="20" t="n">
        <f aca="false">IF(ALD45&gt;0,(ALD45-AOQ45)/ALD45,0)</f>
        <v>0</v>
      </c>
      <c r="CE46" s="20" t="n">
        <f aca="false">IF(ALE45&gt;0,(ALE45-AOR45)/ALE45,0)</f>
        <v>0</v>
      </c>
      <c r="CF46" s="20" t="n">
        <f aca="false">IF(ALF45&gt;0,(ALF45-AOS45)/ALF45,0)</f>
        <v>0</v>
      </c>
      <c r="CG46" s="20" t="n">
        <f aca="false">IF(ALG45&gt;0,(ALG45-AOT45)/ALG45,0)</f>
        <v>0</v>
      </c>
      <c r="CH46" s="20" t="n">
        <f aca="false">IF(ALH45&gt;0,(ALH45-AOU45)/ALH45,0)</f>
        <v>0</v>
      </c>
      <c r="CI46" s="20" t="n">
        <f aca="false">IF(ALI45&gt;0,(ALI45-AOV45)/ALI45,0)</f>
        <v>0</v>
      </c>
      <c r="CJ46" s="20" t="n">
        <f aca="false">IF(ALJ45&gt;0,(ALJ45-AOW45)/ALJ45,0)</f>
        <v>0</v>
      </c>
      <c r="CK46" s="20" t="n">
        <f aca="false">IF(ALK45&gt;0,(ALK45-AOX45)/ALK45,0)</f>
        <v>0</v>
      </c>
      <c r="CL46" s="20" t="n">
        <f aca="false">IF(ALL45&gt;0,(ALL45-AOY45)/ALL45,0)</f>
        <v>0</v>
      </c>
      <c r="CM46" s="20" t="n">
        <f aca="false">IF(ALM45&gt;0,(ALM45-AOZ45)/ALM45,0)</f>
        <v>0</v>
      </c>
      <c r="CN46" s="20" t="n">
        <f aca="false">IF(ALN45&gt;0,(ALN45-APA45)/ALN45,0)</f>
        <v>0</v>
      </c>
      <c r="CO46" s="20" t="n">
        <f aca="false">IF(ALO45&gt;0,(ALO45-APB45)/ALO45,0)</f>
        <v>0</v>
      </c>
      <c r="CP46" s="20" t="n">
        <f aca="false">IF(ALP45&gt;0,(ALP45-APC45)/ALP45,0)</f>
        <v>0</v>
      </c>
      <c r="CQ46" s="20" t="n">
        <f aca="false">IF(ALQ45&gt;0,(ALQ45-APD45)/ALQ45,0)</f>
        <v>0</v>
      </c>
      <c r="CR46" s="20" t="n">
        <f aca="false">IF(ALR45&gt;0,(ALR45-APE45)/ALR45,0)</f>
        <v>0.178072893240648</v>
      </c>
      <c r="CS46" s="20" t="n">
        <f aca="false">IF(ALS45&gt;0,(ALS45-APF45)/ALS45,0)</f>
        <v>0</v>
      </c>
      <c r="CT46" s="20" t="n">
        <f aca="false">IF(ALT45&gt;0,(ALT45-APG45)/ALT45,0)</f>
        <v>0</v>
      </c>
      <c r="CU46" s="20" t="n">
        <f aca="false">IF(ALU45&gt;0,(ALU45-APH45)/ALU45,0)</f>
        <v>0.0754437869822487</v>
      </c>
      <c r="CV46" s="20" t="n">
        <f aca="false">IF(ALV45&gt;0,(ALV45-API45)/ALV45,0)</f>
        <v>0</v>
      </c>
      <c r="CW46" s="20" t="n">
        <f aca="false">IF(ALW45&gt;0,(ALW45-APJ45)/ALW45,0)</f>
        <v>0</v>
      </c>
      <c r="CX46" s="20" t="n">
        <f aca="false">IF(ALX45&gt;0,(ALX45-APK45)/ALX45,0)</f>
        <v>0</v>
      </c>
      <c r="CY46" s="20" t="n">
        <f aca="false">IF(ALY45&gt;0,(ALY45-APL45)/ALY45,0)</f>
        <v>0</v>
      </c>
      <c r="CZ46" s="20" t="n">
        <f aca="false">IF(ALZ45&gt;0,(ALZ45-APM45)/ALZ45,0)</f>
        <v>0</v>
      </c>
      <c r="DA46" s="20" t="n">
        <f aca="false">IF(AMA45&gt;0,(AMA45-APN45)/AMA45,0)</f>
        <v>0</v>
      </c>
      <c r="DB46" s="20" t="n">
        <f aca="false">IF(AMB45&gt;0,(AMB45-APO45)/AMB45,0)</f>
        <v>0</v>
      </c>
      <c r="DC46" s="20" t="n">
        <f aca="false">IF(AMC45&gt;0,(AMC45-APP45)/AMC45,0)</f>
        <v>0</v>
      </c>
      <c r="DD46" s="20" t="n">
        <f aca="false">IF(AMD45&gt;0,(AMD45-APQ45)/AMD45,0)</f>
        <v>0</v>
      </c>
      <c r="DE46" s="20" t="n">
        <f aca="false">IF((P46+S46)&gt;0,((P46+S46)-(P46+S46))/(P46+S46),0)</f>
        <v>0</v>
      </c>
      <c r="DF46" s="20" t="n">
        <v>0</v>
      </c>
      <c r="DG46" s="20" t="n">
        <v>0</v>
      </c>
      <c r="DH46" s="20" t="n">
        <v>0</v>
      </c>
      <c r="DI46" s="20" t="n">
        <v>0</v>
      </c>
      <c r="DJ46" s="20" t="n">
        <v>0</v>
      </c>
      <c r="DK46" s="20" t="n">
        <v>0</v>
      </c>
      <c r="DL46" s="20" t="n">
        <v>0</v>
      </c>
      <c r="DM46" s="20" t="n">
        <v>0</v>
      </c>
      <c r="DN46" s="20" t="n">
        <v>0</v>
      </c>
      <c r="DO46" s="20" t="n">
        <v>0</v>
      </c>
      <c r="DP46" s="20" t="n">
        <v>0</v>
      </c>
      <c r="DQ46" s="20" t="n">
        <v>0</v>
      </c>
      <c r="DR46" s="20" t="n">
        <v>0</v>
      </c>
      <c r="DS46" s="20" t="n">
        <v>0</v>
      </c>
      <c r="DT46" s="20" t="n">
        <v>0</v>
      </c>
      <c r="DU46" s="20" t="n">
        <v>0</v>
      </c>
      <c r="DV46" s="20" t="n">
        <v>0</v>
      </c>
      <c r="DW46" s="20" t="n">
        <v>0</v>
      </c>
      <c r="DX46" s="20" t="n">
        <v>0</v>
      </c>
      <c r="DY46" s="20" t="n">
        <v>0</v>
      </c>
      <c r="DZ46" s="20" t="n">
        <v>0</v>
      </c>
      <c r="EA46" s="20" t="n">
        <v>0</v>
      </c>
      <c r="EB46" s="20" t="n">
        <v>0</v>
      </c>
      <c r="EC46" s="20" t="n">
        <v>0</v>
      </c>
      <c r="ED46" s="20" t="n">
        <v>0</v>
      </c>
      <c r="EE46" s="20" t="n">
        <v>0</v>
      </c>
      <c r="EF46" s="20" t="n">
        <v>0</v>
      </c>
      <c r="EG46" s="20" t="n">
        <v>0</v>
      </c>
      <c r="EH46" s="20" t="n">
        <v>0</v>
      </c>
      <c r="EI46" s="20" t="n">
        <v>0</v>
      </c>
      <c r="EJ46" s="20" t="n">
        <v>0</v>
      </c>
      <c r="EK46" s="20" t="n">
        <v>0</v>
      </c>
      <c r="EL46" s="20" t="n">
        <v>0</v>
      </c>
      <c r="EM46" s="20" t="n">
        <v>0</v>
      </c>
      <c r="EN46" s="20" t="n">
        <v>0</v>
      </c>
      <c r="EO46" s="20" t="n">
        <v>0</v>
      </c>
      <c r="EP46" s="20" t="n">
        <v>0</v>
      </c>
      <c r="EQ46" s="20" t="n">
        <v>0</v>
      </c>
      <c r="ER46" s="20" t="n">
        <v>0</v>
      </c>
      <c r="ES46" s="20" t="n">
        <v>0</v>
      </c>
      <c r="ET46" s="20" t="n">
        <v>0</v>
      </c>
      <c r="EU46" s="20" t="n">
        <v>0</v>
      </c>
      <c r="EV46" s="20" t="n">
        <v>0</v>
      </c>
      <c r="EW46" s="20" t="n">
        <v>0</v>
      </c>
      <c r="EX46" s="20" t="n">
        <v>0</v>
      </c>
      <c r="EY46" s="20" t="n">
        <v>0</v>
      </c>
      <c r="EZ46" s="20" t="n">
        <v>0</v>
      </c>
      <c r="FA46" s="20" t="n">
        <v>0</v>
      </c>
      <c r="FB46" s="20" t="n">
        <v>0</v>
      </c>
      <c r="FC46" s="20" t="n">
        <v>0</v>
      </c>
      <c r="FD46" s="20" t="n">
        <v>0</v>
      </c>
      <c r="FE46" s="20" t="n">
        <f aca="false">IF(H_Direct=1,IF(AKR45&lt;=0,0,IF(BR46&lt;=0,AKR45,AKR45-G46*MAX(0,BR46*AKR45-(H46+I46)))),AKR45*(1-MAX(0,BR46)*H_Exit))</f>
        <v>0</v>
      </c>
      <c r="FF46" s="20" t="n">
        <f aca="false">IF(H_Direct=1,IF(AKS45&lt;=0,0,IF(BS46&lt;=0,AKS45,AKS45-G46*MAX(0,BS46*AKS45-(IR46+ME46)))),AKS45*(1-MAX(0,BS46)*H_Exit))</f>
        <v>0</v>
      </c>
      <c r="FG46" s="20" t="n">
        <f aca="false">IF(H_Direct=1,IF(AKT45&lt;=0,0,IF(BT46&lt;=0,AKT45,AKT45-G46*MAX(0,BT46*AKT45-(IS46+MF46)))),AKT45*(1-MAX(0,BT46)*H_Exit))</f>
        <v>0</v>
      </c>
      <c r="FH46" s="20" t="n">
        <f aca="false">IF(H_Direct=1,IF(AKU45&lt;=0,0,IF(BU46&lt;=0,AKU45,AKU45-G46*MAX(0,BU46*AKU45-(IT46+MG46)))),AKU45*(1-MAX(0,BU46)*H_Exit))</f>
        <v>0</v>
      </c>
      <c r="FI46" s="20" t="n">
        <f aca="false">IF(H_Direct=1,IF(AKV45&lt;=0,0,IF(BV46&lt;=0,AKV45,AKV45-G46*MAX(0,BV46*AKV45-(IU46+MH46)))),AKV45*(1-MAX(0,BV46)*H_Exit))</f>
        <v>0</v>
      </c>
      <c r="FJ46" s="20" t="n">
        <f aca="false">IF(H_Direct=1,IF(AKW45&lt;=0,0,IF(BW46&lt;=0,AKW45,AKW45-G46*MAX(0,BW46*AKW45-(IV46+MI46)))),AKW45*(1-MAX(0,BW46)*H_Exit))</f>
        <v>0</v>
      </c>
      <c r="FK46" s="20" t="n">
        <f aca="false">IF(H_Direct=1,IF(AKX45&lt;=0,0,IF(BX46&lt;=0,AKX45,AKX45-G46*MAX(0,BX46*AKX45-(IW46+MJ46)))),AKX45*(1-MAX(0,BX46)*H_Exit))</f>
        <v>0</v>
      </c>
      <c r="FL46" s="20" t="n">
        <f aca="false">IF(H_Direct=1,IF(AKY45&lt;=0,0,IF(BY46&lt;=0,AKY45,AKY45-G46*MAX(0,BY46*AKY45-(IX46+MK46)))),AKY45*(1-MAX(0,BY46)*H_Exit))</f>
        <v>0</v>
      </c>
      <c r="FM46" s="20" t="n">
        <f aca="false">IF(H_Direct=1,IF(AKZ45&lt;=0,0,IF(BZ46&lt;=0,AKZ45,AKZ45-G46*MAX(0,BZ46*AKZ45-(IY46+ML46)))),AKZ45*(1-MAX(0,BZ46)*H_Exit))</f>
        <v>0</v>
      </c>
      <c r="FN46" s="20" t="n">
        <f aca="false">IF(H_Direct=1,IF(ALA45&lt;=0,0,IF(CA46&lt;=0,ALA45,ALA45-G46*MAX(0,CA46*ALA45-(IZ46+MM46)))),ALA45*(1-MAX(0,CA46)*H_Exit))</f>
        <v>0</v>
      </c>
      <c r="FO46" s="20" t="n">
        <f aca="false">IF(H_Direct=1,IF(ALB45&lt;=0,0,IF(CB46&lt;=0,ALB45,ALB45-G46*MAX(0,CB46*ALB45-(JA46+MN46)))),ALB45*(1-MAX(0,CB46)*H_Exit))</f>
        <v>0</v>
      </c>
      <c r="FP46" s="20" t="n">
        <f aca="false">IF(H_Direct=1,IF(ALC45&lt;=0,0,IF(CC46&lt;=0,ALC45,ALC45-G46*MAX(0,CC46*ALC45-(JB46+MO46)))),ALC45*(1-MAX(0,CC46)*H_Exit))</f>
        <v>0</v>
      </c>
      <c r="FQ46" s="20" t="n">
        <f aca="false">IF(H_Direct=1,IF(ALD45&lt;=0,0,IF(CD46&lt;=0,ALD45,ALD45-G46*MAX(0,CD46*ALD45-(JC46+MP46)))),ALD45*(1-MAX(0,CD46)*H_Exit))</f>
        <v>0</v>
      </c>
      <c r="FR46" s="20" t="n">
        <f aca="false">IF(H_Direct=1,IF(ALE45&lt;=0,0,IF(CE46&lt;=0,ALE45,ALE45-G46*MAX(0,CE46*ALE45-(JD46+MQ46)))),ALE45*(1-MAX(0,CE46)*H_Exit))</f>
        <v>0</v>
      </c>
      <c r="FS46" s="20" t="n">
        <f aca="false">IF(H_Direct=1,IF(ALF45&lt;=0,0,IF(CF46&lt;=0,ALF45,ALF45-G46*MAX(0,CF46*ALF45-(JE46+MR46)))),ALF45*(1-MAX(0,CF46)*H_Exit))</f>
        <v>0</v>
      </c>
      <c r="FT46" s="20" t="n">
        <f aca="false">IF(H_Direct=1,IF(ALG45&lt;=0,0,IF(CG46&lt;=0,ALG45,ALG45-G46*MAX(0,CG46*ALG45-(JF46+MS46)))),ALG45*(1-MAX(0,CG46)*H_Exit))</f>
        <v>0</v>
      </c>
      <c r="FU46" s="20" t="n">
        <f aca="false">IF(H_Direct=1,IF(ALH45&lt;=0,0,IF(CH46&lt;=0,ALH45,ALH45-G46*MAX(0,CH46*ALH45-(JG46+MT46)))),ALH45*(1-MAX(0,CH46)*H_Exit))</f>
        <v>0</v>
      </c>
      <c r="FV46" s="20" t="n">
        <f aca="false">IF(H_Direct=1,IF(ALI45&lt;=0,0,IF(CI46&lt;=0,ALI45,ALI45-G46*MAX(0,CI46*ALI45-(JH46+MU46)))),ALI45*(1-MAX(0,CI46)*H_Exit))</f>
        <v>0</v>
      </c>
      <c r="FW46" s="20" t="n">
        <f aca="false">IF(H_Direct=1,IF(ALJ45&lt;=0,0,IF(CJ46&lt;=0,ALJ45,ALJ45-G46*MAX(0,CJ46*ALJ45-(JI46+MV46)))),ALJ45*(1-MAX(0,CJ46)*H_Exit))</f>
        <v>0</v>
      </c>
      <c r="FX46" s="20" t="n">
        <f aca="false">IF(H_Direct=1,IF(ALK45&lt;=0,0,IF(CK46&lt;=0,ALK45,ALK45-G46*MAX(0,CK46*ALK45-(JJ46+MW46)))),ALK45*(1-MAX(0,CK46)*H_Exit))</f>
        <v>0</v>
      </c>
      <c r="FY46" s="20" t="n">
        <f aca="false">IF(H_Direct=1,IF(ALL45&lt;=0,0,IF(CL46&lt;=0,ALL45,ALL45-G46*MAX(0,CL46*ALL45-(JK46+MX46)))),ALL45*(1-MAX(0,CL46)*H_Exit))</f>
        <v>0</v>
      </c>
      <c r="FZ46" s="20" t="n">
        <f aca="false">IF(H_Direct=1,IF(ALM45&lt;=0,0,IF(CM46&lt;=0,ALM45,ALM45-G46*MAX(0,CM46*ALM45-(JL46+MY46)))),ALM45*(1-MAX(0,CM46)*H_Exit))</f>
        <v>0</v>
      </c>
      <c r="GA46" s="20" t="n">
        <f aca="false">IF(H_Direct=1,IF(ALN45&lt;=0,0,IF(CN46&lt;=0,ALN45,ALN45-G46*MAX(0,CN46*ALN45-(JM46+MZ46)))),ALN45*(1-MAX(0,CN46)*H_Exit))</f>
        <v>0</v>
      </c>
      <c r="GB46" s="20" t="n">
        <f aca="false">IF(H_Direct=1,IF(ALO45&lt;=0,0,IF(CO46&lt;=0,ALO45,ALO45-G46*MAX(0,CO46*ALO45-(JN46+NA46)))),ALO45*(1-MAX(0,CO46)*H_Exit))</f>
        <v>0</v>
      </c>
      <c r="GC46" s="20" t="n">
        <f aca="false">IF(H_Direct=1,IF(ALP45&lt;=0,0,IF(CP46&lt;=0,ALP45,ALP45-G46*MAX(0,CP46*ALP45-(JO46+NB46)))),ALP45*(1-MAX(0,CP46)*H_Exit))</f>
        <v>0</v>
      </c>
      <c r="GD46" s="20" t="n">
        <f aca="false">IF(H_Direct=1,IF(ALQ45&lt;=0,0,IF(CQ46&lt;=0,ALQ45,ALQ45-G46*MAX(0,CQ46*ALQ45-(JP46+NC46)))),ALQ45*(1-MAX(0,CQ46)*H_Exit))</f>
        <v>0</v>
      </c>
      <c r="GE46" s="20" t="n">
        <f aca="false">IF(H_Direct=1,IF(ALR45&lt;=0,0,IF(CR46&lt;=0,ALR45,ALR45-G46*MAX(0,CR46*ALR45-(JQ46+ND46)))),ALR45*(1-MAX(0,CR46)*H_Exit))</f>
        <v>32229.9386135583</v>
      </c>
      <c r="GF46" s="20" t="n">
        <f aca="false">IF(H_Direct=1,IF(ALS45&lt;=0,0,IF(CS46&lt;=0,ALS45,ALS45-G46*MAX(0,CS46*ALS45-(JR46+NE46)))),ALS45*(1-MAX(0,CS46)*H_Exit))</f>
        <v>0</v>
      </c>
      <c r="GG46" s="20" t="n">
        <f aca="false">IF(H_Direct=1,IF(ALT45&lt;=0,0,IF(CT46&lt;=0,ALT45,ALT45-G46*MAX(0,CT46*ALT45-(JS46+NF46)))),ALT45*(1-MAX(0,CT46)*H_Exit))</f>
        <v>0</v>
      </c>
      <c r="GH46" s="20" t="n">
        <f aca="false">IF(H_Direct=1,IF(ALU45&lt;=0,0,IF(CU46&lt;=0,ALU45,ALU45-G46*MAX(0,CU46*ALU45-(JT46+NG46)))),ALU45*(1-MAX(0,CU46)*H_Exit))</f>
        <v>2232.15178508791</v>
      </c>
      <c r="GI46" s="20" t="n">
        <f aca="false">IF(H_Direct=1,IF(ALV45&lt;=0,0,IF(CV46&lt;=0,ALV45,ALV45-G46*MAX(0,CV46*ALV45-(JU46+NH46)))),ALV45*(1-MAX(0,CV46)*H_Exit))</f>
        <v>0</v>
      </c>
      <c r="GJ46" s="20" t="n">
        <f aca="false">IF(H_Direct=1,IF(ALW45&lt;=0,0,IF(CW46&lt;=0,ALW45,ALW45-G46*MAX(0,CW46*ALW45-(JV46+NI46)))),ALW45*(1-MAX(0,CW46)*H_Exit))</f>
        <v>0</v>
      </c>
      <c r="GK46" s="20" t="n">
        <f aca="false">IF(H_Direct=1,IF(ALX45&lt;=0,0,IF(CX46&lt;=0,ALX45,ALX45-G46*MAX(0,CX46*ALX45-(JW46+NJ46)))),ALX45*(1-MAX(0,CX46)*H_Exit))</f>
        <v>0</v>
      </c>
      <c r="GL46" s="20" t="n">
        <f aca="false">IF(H_Direct=1,IF(ALY45&lt;=0,0,IF(CY46&lt;=0,ALY45,ALY45-G46*MAX(0,CY46*ALY45-(JX46+NK46)))),ALY45*(1-MAX(0,CY46)*H_Exit))</f>
        <v>0</v>
      </c>
      <c r="GM46" s="20" t="n">
        <f aca="false">IF(H_Direct=1,IF(ALZ45&lt;=0,0,IF(CZ46&lt;=0,ALZ45,ALZ45-G46*MAX(0,CZ46*ALZ45-(JY46+NL46)))),ALZ45*(1-MAX(0,CZ46)*H_Exit))</f>
        <v>0</v>
      </c>
      <c r="GN46" s="20" t="n">
        <f aca="false">IF(H_Direct=1,IF(AMA45&lt;=0,0,IF(DA46&lt;=0,AMA45,AMA45-G46*MAX(0,DA46*AMA45-(JZ46+NM46)))),AMA45*(1-MAX(0,DA46)*H_Exit))</f>
        <v>0</v>
      </c>
      <c r="GO46" s="20" t="n">
        <f aca="false">IF(H_Direct=1,IF(AMB45&lt;=0,0,IF(DB46&lt;=0,AMB45,AMB45-G46*MAX(0,DB46*AMB45-(KA46+NN46)))),AMB45*(1-MAX(0,DB46)*H_Exit))</f>
        <v>0</v>
      </c>
      <c r="GP46" s="20" t="n">
        <f aca="false">IF(H_Direct=1,IF(AMC45&lt;=0,0,IF(DC46&lt;=0,AMC45,AMC45-G46*MAX(0,DC46*AMC45-(KB46+NO46)))),AMC45*(1-MAX(0,DC46)*H_Exit))</f>
        <v>0</v>
      </c>
      <c r="GQ46" s="20" t="n">
        <f aca="false">IF(H_Direct=1,IF(AMD45&lt;=0,0,IF(DD46&lt;=0,AMD45,AMD45-G46*MAX(0,DD46*AMD45-(KC46+NP46)))),AMD45*(1-MAX(0,DD46)*H_Exit))</f>
        <v>0</v>
      </c>
      <c r="GR46" s="20" t="n">
        <f aca="false">IF(H_Direct=1,IF((P46+S46)&lt;=0,0,IF(DE46&lt;=0,(P46+S46),(P46+S46)-G46*MAX(0,DE46*(P46+S46)-(KD46+NQ46)))),(P46+S46)*(1-MAX(0,DE46)*H_Exit))</f>
        <v>0</v>
      </c>
      <c r="GS46" s="20" t="n">
        <v>0</v>
      </c>
      <c r="GT46" s="20" t="n">
        <v>0</v>
      </c>
      <c r="GU46" s="20" t="n">
        <v>0</v>
      </c>
      <c r="GV46" s="20" t="n">
        <v>0</v>
      </c>
      <c r="GW46" s="20" t="n">
        <v>0</v>
      </c>
      <c r="GX46" s="20" t="n">
        <v>0</v>
      </c>
      <c r="GY46" s="20" t="n">
        <v>0</v>
      </c>
      <c r="GZ46" s="20" t="n">
        <v>0</v>
      </c>
      <c r="HA46" s="20" t="n">
        <v>0</v>
      </c>
      <c r="HB46" s="20" t="n">
        <v>0</v>
      </c>
      <c r="HC46" s="20" t="n">
        <v>0</v>
      </c>
      <c r="HD46" s="20" t="n">
        <v>0</v>
      </c>
      <c r="HE46" s="20" t="n">
        <v>0</v>
      </c>
      <c r="HF46" s="20" t="n">
        <v>0</v>
      </c>
      <c r="HG46" s="20" t="n">
        <v>0</v>
      </c>
      <c r="HH46" s="20" t="n">
        <v>0</v>
      </c>
      <c r="HI46" s="20" t="n">
        <v>0</v>
      </c>
      <c r="HJ46" s="20" t="n">
        <v>0</v>
      </c>
      <c r="HK46" s="20" t="n">
        <v>0</v>
      </c>
      <c r="HL46" s="20" t="n">
        <v>0</v>
      </c>
      <c r="HM46" s="20" t="n">
        <v>0</v>
      </c>
      <c r="HN46" s="20" t="n">
        <v>0</v>
      </c>
      <c r="HO46" s="20" t="n">
        <v>0</v>
      </c>
      <c r="HP46" s="20" t="n">
        <v>0</v>
      </c>
      <c r="HQ46" s="20" t="n">
        <v>0</v>
      </c>
      <c r="HR46" s="20" t="n">
        <v>0</v>
      </c>
      <c r="HS46" s="20" t="n">
        <v>0</v>
      </c>
      <c r="HT46" s="20" t="n">
        <v>0</v>
      </c>
      <c r="HU46" s="20" t="n">
        <v>0</v>
      </c>
      <c r="HV46" s="20" t="n">
        <v>0</v>
      </c>
      <c r="HW46" s="20" t="n">
        <v>0</v>
      </c>
      <c r="HX46" s="20" t="n">
        <v>0</v>
      </c>
      <c r="HY46" s="20" t="n">
        <v>0</v>
      </c>
      <c r="HZ46" s="20" t="n">
        <v>0</v>
      </c>
      <c r="IA46" s="20" t="n">
        <v>0</v>
      </c>
      <c r="IB46" s="20" t="n">
        <v>0</v>
      </c>
      <c r="IC46" s="20" t="n">
        <v>0</v>
      </c>
      <c r="ID46" s="20" t="n">
        <v>0</v>
      </c>
      <c r="IE46" s="20" t="n">
        <v>0</v>
      </c>
      <c r="IF46" s="20" t="n">
        <v>0</v>
      </c>
      <c r="IG46" s="20" t="n">
        <v>0</v>
      </c>
      <c r="IH46" s="20" t="n">
        <v>0</v>
      </c>
      <c r="II46" s="20" t="n">
        <v>0</v>
      </c>
      <c r="IJ46" s="20" t="n">
        <v>0</v>
      </c>
      <c r="IK46" s="20" t="n">
        <v>0</v>
      </c>
      <c r="IL46" s="20" t="n">
        <v>0</v>
      </c>
      <c r="IM46" s="20" t="n">
        <v>0</v>
      </c>
      <c r="IN46" s="20" t="n">
        <v>0</v>
      </c>
      <c r="IO46" s="20" t="n">
        <v>0</v>
      </c>
      <c r="IP46" s="20" t="n">
        <v>0</v>
      </c>
      <c r="IQ46" s="20" t="n">
        <v>0</v>
      </c>
      <c r="IR46" s="20" t="n">
        <f aca="false">IF(AND(H_Direct=1,BR46&gt;0),MAX(0,H46-(MIN(BR46*AKR45,H46+I46)-MIN(MIN(BR46*AKR45,H46+I46),I46))),H46)</f>
        <v>1270</v>
      </c>
      <c r="IS46" s="20" t="n">
        <f aca="false">IF(AND(H_Direct=1,BS46&gt;0),MAX(0,IR46-(MIN(BS46*AKS45,IR46+ME46)-MIN(MIN(BS46*AKS45,IR46+ME46),ME46))),IR46)</f>
        <v>1270</v>
      </c>
      <c r="IT46" s="20" t="n">
        <f aca="false">IF(AND(H_Direct=1,BT46&gt;0),MAX(0,IS46-(MIN(BT46*AKT45,IS46+MF46)-MIN(MIN(BT46*AKT45,IS46+MF46),MF46))),IS46)</f>
        <v>1270</v>
      </c>
      <c r="IU46" s="20" t="n">
        <f aca="false">IF(AND(H_Direct=1,BU46&gt;0),MAX(0,IT46-(MIN(BU46*AKU45,IT46+MG46)-MIN(MIN(BU46*AKU45,IT46+MG46),MG46))),IT46)</f>
        <v>1270</v>
      </c>
      <c r="IV46" s="20" t="n">
        <f aca="false">IF(AND(H_Direct=1,BV46&gt;0),MAX(0,IU46-(MIN(BV46*AKV45,IU46+MH46)-MIN(MIN(BV46*AKV45,IU46+MH46),MH46))),IU46)</f>
        <v>1270</v>
      </c>
      <c r="IW46" s="20" t="n">
        <f aca="false">IF(AND(H_Direct=1,BW46&gt;0),MAX(0,IV46-(MIN(BW46*AKW45,IV46+MI46)-MIN(MIN(BW46*AKW45,IV46+MI46),MI46))),IV46)</f>
        <v>1270</v>
      </c>
      <c r="IX46" s="20" t="n">
        <f aca="false">IF(AND(H_Direct=1,BX46&gt;0),MAX(0,IW46-(MIN(BX46*AKX45,IW46+MJ46)-MIN(MIN(BX46*AKX45,IW46+MJ46),MJ46))),IW46)</f>
        <v>1270</v>
      </c>
      <c r="IY46" s="20" t="n">
        <f aca="false">IF(AND(H_Direct=1,BY46&gt;0),MAX(0,IX46-(MIN(BY46*AKY45,IX46+MK46)-MIN(MIN(BY46*AKY45,IX46+MK46),MK46))),IX46)</f>
        <v>1270</v>
      </c>
      <c r="IZ46" s="20" t="n">
        <f aca="false">IF(AND(H_Direct=1,BZ46&gt;0),MAX(0,IY46-(MIN(BZ46*AKZ45,IY46+ML46)-MIN(MIN(BZ46*AKZ45,IY46+ML46),ML46))),IY46)</f>
        <v>1270</v>
      </c>
      <c r="JA46" s="20" t="n">
        <f aca="false">IF(AND(H_Direct=1,CA46&gt;0),MAX(0,IZ46-(MIN(CA46*ALA45,IZ46+MM46)-MIN(MIN(CA46*ALA45,IZ46+MM46),MM46))),IZ46)</f>
        <v>1270</v>
      </c>
      <c r="JB46" s="20" t="n">
        <f aca="false">IF(AND(H_Direct=1,CB46&gt;0),MAX(0,JA46-(MIN(CB46*ALB45,JA46+MN46)-MIN(MIN(CB46*ALB45,JA46+MN46),MN46))),JA46)</f>
        <v>1270</v>
      </c>
      <c r="JC46" s="20" t="n">
        <f aca="false">IF(AND(H_Direct=1,CC46&gt;0),MAX(0,JB46-(MIN(CC46*ALC45,JB46+MO46)-MIN(MIN(CC46*ALC45,JB46+MO46),MO46))),JB46)</f>
        <v>1270</v>
      </c>
      <c r="JD46" s="20" t="n">
        <f aca="false">IF(AND(H_Direct=1,CD46&gt;0),MAX(0,JC46-(MIN(CD46*ALD45,JC46+MP46)-MIN(MIN(CD46*ALD45,JC46+MP46),MP46))),JC46)</f>
        <v>1270</v>
      </c>
      <c r="JE46" s="20" t="n">
        <f aca="false">IF(AND(H_Direct=1,CE46&gt;0),MAX(0,JD46-(MIN(CE46*ALE45,JD46+MQ46)-MIN(MIN(CE46*ALE45,JD46+MQ46),MQ46))),JD46)</f>
        <v>1270</v>
      </c>
      <c r="JF46" s="20" t="n">
        <f aca="false">IF(AND(H_Direct=1,CF46&gt;0),MAX(0,JE46-(MIN(CF46*ALF45,JE46+MR46)-MIN(MIN(CF46*ALF45,JE46+MR46),MR46))),JE46)</f>
        <v>1270</v>
      </c>
      <c r="JG46" s="20" t="n">
        <f aca="false">IF(AND(H_Direct=1,CG46&gt;0),MAX(0,JF46-(MIN(CG46*ALG45,JF46+MS46)-MIN(MIN(CG46*ALG45,JF46+MS46),MS46))),JF46)</f>
        <v>1270</v>
      </c>
      <c r="JH46" s="20" t="n">
        <f aca="false">IF(AND(H_Direct=1,CH46&gt;0),MAX(0,JG46-(MIN(CH46*ALH45,JG46+MT46)-MIN(MIN(CH46*ALH45,JG46+MT46),MT46))),JG46)</f>
        <v>1270</v>
      </c>
      <c r="JI46" s="20" t="n">
        <f aca="false">IF(AND(H_Direct=1,CI46&gt;0),MAX(0,JH46-(MIN(CI46*ALI45,JH46+MU46)-MIN(MIN(CI46*ALI45,JH46+MU46),MU46))),JH46)</f>
        <v>1270</v>
      </c>
      <c r="JJ46" s="20" t="n">
        <f aca="false">IF(AND(H_Direct=1,CJ46&gt;0),MAX(0,JI46-(MIN(CJ46*ALJ45,JI46+MV46)-MIN(MIN(CJ46*ALJ45,JI46+MV46),MV46))),JI46)</f>
        <v>1270</v>
      </c>
      <c r="JK46" s="20" t="n">
        <f aca="false">IF(AND(H_Direct=1,CK46&gt;0),MAX(0,JJ46-(MIN(CK46*ALK45,JJ46+MW46)-MIN(MIN(CK46*ALK45,JJ46+MW46),MW46))),JJ46)</f>
        <v>1270</v>
      </c>
      <c r="JL46" s="20" t="n">
        <f aca="false">IF(AND(H_Direct=1,CL46&gt;0),MAX(0,JK46-(MIN(CL46*ALL45,JK46+MX46)-MIN(MIN(CL46*ALL45,JK46+MX46),MX46))),JK46)</f>
        <v>1270</v>
      </c>
      <c r="JM46" s="20" t="n">
        <f aca="false">IF(AND(H_Direct=1,CM46&gt;0),MAX(0,JL46-(MIN(CM46*ALM45,JL46+MY46)-MIN(MIN(CM46*ALM45,JL46+MY46),MY46))),JL46)</f>
        <v>1270</v>
      </c>
      <c r="JN46" s="20" t="n">
        <f aca="false">IF(AND(H_Direct=1,CN46&gt;0),MAX(0,JM46-(MIN(CN46*ALN45,JM46+MZ46)-MIN(MIN(CN46*ALN45,JM46+MZ46),MZ46))),JM46)</f>
        <v>1270</v>
      </c>
      <c r="JO46" s="20" t="n">
        <f aca="false">IF(AND(H_Direct=1,CO46&gt;0),MAX(0,JN46-(MIN(CO46*ALO45,JN46+NA46)-MIN(MIN(CO46*ALO45,JN46+NA46),NA46))),JN46)</f>
        <v>1270</v>
      </c>
      <c r="JP46" s="20" t="n">
        <f aca="false">IF(AND(H_Direct=1,CP46&gt;0),MAX(0,JO46-(MIN(CP46*ALP45,JO46+NB46)-MIN(MIN(CP46*ALP45,JO46+NB46),NB46))),JO46)</f>
        <v>1270</v>
      </c>
      <c r="JQ46" s="20" t="n">
        <f aca="false">IF(AND(H_Direct=1,CQ46&gt;0),MAX(0,JP46-(MIN(CQ46*ALQ45,JP46+NC46)-MIN(MIN(CQ46*ALQ45,JP46+NC46),NC46))),JP46)</f>
        <v>1270</v>
      </c>
      <c r="JR46" s="20" t="n">
        <f aca="false">IF(AND(H_Direct=1,CR46&gt;0),MAX(0,JQ46-(MIN(CR46*ALR45,JQ46+ND46)-MIN(MIN(CR46*ALR45,JQ46+ND46),ND46))),JQ46)</f>
        <v>1270</v>
      </c>
      <c r="JS46" s="20" t="n">
        <f aca="false">IF(AND(H_Direct=1,CS46&gt;0),MAX(0,JR46-(MIN(CS46*ALS45,JR46+NE46)-MIN(MIN(CS46*ALS45,JR46+NE46),NE46))),JR46)</f>
        <v>1270</v>
      </c>
      <c r="JT46" s="20" t="n">
        <f aca="false">IF(AND(H_Direct=1,CT46&gt;0),MAX(0,JS46-(MIN(CT46*ALT45,JS46+NF46)-MIN(MIN(CT46*ALT45,JS46+NF46),NF46))),JS46)</f>
        <v>1270</v>
      </c>
      <c r="JU46" s="20" t="n">
        <f aca="false">IF(AND(H_Direct=1,CU46&gt;0),MAX(0,JT46-(MIN(CU46*ALU45,JT46+NG46)-MIN(MIN(CU46*ALU45,JT46+NG46),NG46))),JT46)</f>
        <v>1270</v>
      </c>
      <c r="JV46" s="20" t="n">
        <f aca="false">IF(AND(H_Direct=1,CV46&gt;0),MAX(0,JU46-(MIN(CV46*ALV45,JU46+NH46)-MIN(MIN(CV46*ALV45,JU46+NH46),NH46))),JU46)</f>
        <v>1270</v>
      </c>
      <c r="JW46" s="20" t="n">
        <f aca="false">IF(AND(H_Direct=1,CW46&gt;0),MAX(0,JV46-(MIN(CW46*ALW45,JV46+NI46)-MIN(MIN(CW46*ALW45,JV46+NI46),NI46))),JV46)</f>
        <v>1270</v>
      </c>
      <c r="JX46" s="20" t="n">
        <f aca="false">IF(AND(H_Direct=1,CX46&gt;0),MAX(0,JW46-(MIN(CX46*ALX45,JW46+NJ46)-MIN(MIN(CX46*ALX45,JW46+NJ46),NJ46))),JW46)</f>
        <v>1270</v>
      </c>
      <c r="JY46" s="20" t="n">
        <f aca="false">IF(AND(H_Direct=1,CY46&gt;0),MAX(0,JX46-(MIN(CY46*ALY45,JX46+NK46)-MIN(MIN(CY46*ALY45,JX46+NK46),NK46))),JX46)</f>
        <v>1270</v>
      </c>
      <c r="JZ46" s="20" t="n">
        <f aca="false">IF(AND(H_Direct=1,CZ46&gt;0),MAX(0,JY46-(MIN(CZ46*ALZ45,JY46+NL46)-MIN(MIN(CZ46*ALZ45,JY46+NL46),NL46))),JY46)</f>
        <v>1270</v>
      </c>
      <c r="KA46" s="20" t="n">
        <f aca="false">IF(AND(H_Direct=1,DA46&gt;0),MAX(0,JZ46-(MIN(DA46*AMA45,JZ46+NM46)-MIN(MIN(DA46*AMA45,JZ46+NM46),NM46))),JZ46)</f>
        <v>1270</v>
      </c>
      <c r="KB46" s="20" t="n">
        <f aca="false">IF(AND(H_Direct=1,DB46&gt;0),MAX(0,KA46-(MIN(DB46*AMB45,KA46+NN46)-MIN(MIN(DB46*AMB45,KA46+NN46),NN46))),KA46)</f>
        <v>1270</v>
      </c>
      <c r="KC46" s="20" t="n">
        <f aca="false">IF(AND(H_Direct=1,DC46&gt;0),MAX(0,KB46-(MIN(DC46*AMC45,KB46+NO46)-MIN(MIN(DC46*AMC45,KB46+NO46),NO46))),KB46)</f>
        <v>1270</v>
      </c>
      <c r="KD46" s="20" t="n">
        <f aca="false">IF(AND(H_Direct=1,DD46&gt;0),MAX(0,KC46-(MIN(DD46*AMD45,KC46+NP46)-MIN(MIN(DD46*AMD45,KC46+NP46),NP46))),KC46)</f>
        <v>1270</v>
      </c>
      <c r="KE46" s="20" t="n">
        <f aca="false">IF(AND(H_Direct=1,DE46&gt;0),MAX(0,KD46-(MIN(DE46*(P46+S46),KD46+NQ46)-MIN(MIN(DE46*(P46+S46),KD46+NQ46),NQ46))),KD46)</f>
        <v>1270</v>
      </c>
      <c r="KF46" s="20" t="n">
        <f aca="false">KE46</f>
        <v>1270</v>
      </c>
      <c r="KG46" s="20" t="n">
        <f aca="false">KF46</f>
        <v>1270</v>
      </c>
      <c r="KH46" s="20" t="n">
        <f aca="false">KG46</f>
        <v>1270</v>
      </c>
      <c r="KI46" s="20" t="n">
        <f aca="false">KH46</f>
        <v>1270</v>
      </c>
      <c r="KJ46" s="20" t="n">
        <f aca="false">KI46</f>
        <v>1270</v>
      </c>
      <c r="KK46" s="20" t="n">
        <f aca="false">KJ46</f>
        <v>1270</v>
      </c>
      <c r="KL46" s="20" t="n">
        <f aca="false">KK46</f>
        <v>1270</v>
      </c>
      <c r="KM46" s="20" t="n">
        <f aca="false">KL46</f>
        <v>1270</v>
      </c>
      <c r="KN46" s="20" t="n">
        <f aca="false">KM46</f>
        <v>1270</v>
      </c>
      <c r="KO46" s="20" t="n">
        <f aca="false">KN46</f>
        <v>1270</v>
      </c>
      <c r="KP46" s="20" t="n">
        <f aca="false">KO46</f>
        <v>1270</v>
      </c>
      <c r="KQ46" s="20" t="n">
        <f aca="false">KP46</f>
        <v>1270</v>
      </c>
      <c r="KR46" s="20" t="n">
        <f aca="false">KQ46</f>
        <v>1270</v>
      </c>
      <c r="KS46" s="20" t="n">
        <f aca="false">KR46</f>
        <v>1270</v>
      </c>
      <c r="KT46" s="20" t="n">
        <f aca="false">KS46</f>
        <v>1270</v>
      </c>
      <c r="KU46" s="20" t="n">
        <f aca="false">KT46</f>
        <v>1270</v>
      </c>
      <c r="KV46" s="20" t="n">
        <f aca="false">KU46</f>
        <v>1270</v>
      </c>
      <c r="KW46" s="20" t="n">
        <f aca="false">KV46</f>
        <v>1270</v>
      </c>
      <c r="KX46" s="20" t="n">
        <f aca="false">KW46</f>
        <v>1270</v>
      </c>
      <c r="KY46" s="20" t="n">
        <f aca="false">KX46</f>
        <v>1270</v>
      </c>
      <c r="KZ46" s="20" t="n">
        <f aca="false">KY46</f>
        <v>1270</v>
      </c>
      <c r="LA46" s="20" t="n">
        <f aca="false">KZ46</f>
        <v>1270</v>
      </c>
      <c r="LB46" s="20" t="n">
        <f aca="false">LA46</f>
        <v>1270</v>
      </c>
      <c r="LC46" s="20" t="n">
        <f aca="false">LB46</f>
        <v>1270</v>
      </c>
      <c r="LD46" s="20" t="n">
        <f aca="false">LC46</f>
        <v>1270</v>
      </c>
      <c r="LE46" s="20" t="n">
        <f aca="false">LD46</f>
        <v>1270</v>
      </c>
      <c r="LF46" s="20" t="n">
        <f aca="false">LE46</f>
        <v>1270</v>
      </c>
      <c r="LG46" s="20" t="n">
        <f aca="false">LF46</f>
        <v>1270</v>
      </c>
      <c r="LH46" s="20" t="n">
        <f aca="false">LG46</f>
        <v>1270</v>
      </c>
      <c r="LI46" s="20" t="n">
        <f aca="false">LH46</f>
        <v>1270</v>
      </c>
      <c r="LJ46" s="20" t="n">
        <f aca="false">LI46</f>
        <v>1270</v>
      </c>
      <c r="LK46" s="20" t="n">
        <f aca="false">LJ46</f>
        <v>1270</v>
      </c>
      <c r="LL46" s="20" t="n">
        <f aca="false">LK46</f>
        <v>1270</v>
      </c>
      <c r="LM46" s="20" t="n">
        <f aca="false">LL46</f>
        <v>1270</v>
      </c>
      <c r="LN46" s="20" t="n">
        <f aca="false">LM46</f>
        <v>1270</v>
      </c>
      <c r="LO46" s="20" t="n">
        <f aca="false">LN46</f>
        <v>1270</v>
      </c>
      <c r="LP46" s="20" t="n">
        <f aca="false">LO46</f>
        <v>1270</v>
      </c>
      <c r="LQ46" s="20" t="n">
        <f aca="false">LP46</f>
        <v>1270</v>
      </c>
      <c r="LR46" s="20" t="n">
        <f aca="false">LQ46</f>
        <v>1270</v>
      </c>
      <c r="LS46" s="20" t="n">
        <f aca="false">LR46</f>
        <v>1270</v>
      </c>
      <c r="LT46" s="20" t="n">
        <f aca="false">LS46</f>
        <v>1270</v>
      </c>
      <c r="LU46" s="20" t="n">
        <f aca="false">LT46</f>
        <v>1270</v>
      </c>
      <c r="LV46" s="20" t="n">
        <f aca="false">LU46</f>
        <v>1270</v>
      </c>
      <c r="LW46" s="20" t="n">
        <f aca="false">LV46</f>
        <v>1270</v>
      </c>
      <c r="LX46" s="20" t="n">
        <f aca="false">LW46</f>
        <v>1270</v>
      </c>
      <c r="LY46" s="20" t="n">
        <f aca="false">LX46</f>
        <v>1270</v>
      </c>
      <c r="LZ46" s="20" t="n">
        <f aca="false">LY46</f>
        <v>1270</v>
      </c>
      <c r="MA46" s="20" t="n">
        <f aca="false">LZ46</f>
        <v>1270</v>
      </c>
      <c r="MB46" s="20" t="n">
        <f aca="false">MA46</f>
        <v>1270</v>
      </c>
      <c r="MC46" s="20" t="n">
        <f aca="false">MB46</f>
        <v>1270</v>
      </c>
      <c r="MD46" s="20" t="n">
        <f aca="false">MC46</f>
        <v>1270</v>
      </c>
      <c r="ME46" s="20" t="n">
        <f aca="false">IF(H_Direct=1,IF(BR46&lt;=0,I46-BR46*AKR45,I46-MIN(MIN(BR46*AKR45,H46+I46),I46)),I46)</f>
        <v>0</v>
      </c>
      <c r="MF46" s="20" t="n">
        <f aca="false">IF(H_Direct=1,IF(BS46&lt;=0,ME46-BS46*AKS45,ME46-MIN(MIN(BS46*AKS45,IR46+ME46),ME46)),ME46)</f>
        <v>0</v>
      </c>
      <c r="MG46" s="20" t="n">
        <f aca="false">IF(H_Direct=1,IF(BT46&lt;=0,MF46-BT46*AKT45,MF46-MIN(MIN(BT46*AKT45,IS46+MF46),MF46)),MF46)</f>
        <v>0</v>
      </c>
      <c r="MH46" s="20" t="n">
        <f aca="false">IF(H_Direct=1,IF(BU46&lt;=0,MG46-BU46*AKU45,MG46-MIN(MIN(BU46*AKU45,IT46+MG46),MG46)),MG46)</f>
        <v>0</v>
      </c>
      <c r="MI46" s="20" t="n">
        <f aca="false">IF(H_Direct=1,IF(BV46&lt;=0,MH46-BV46*AKV45,MH46-MIN(MIN(BV46*AKV45,IU46+MH46),MH46)),MH46)</f>
        <v>0</v>
      </c>
      <c r="MJ46" s="20" t="n">
        <f aca="false">IF(H_Direct=1,IF(BW46&lt;=0,MI46-BW46*AKW45,MI46-MIN(MIN(BW46*AKW45,IV46+MI46),MI46)),MI46)</f>
        <v>0</v>
      </c>
      <c r="MK46" s="20" t="n">
        <f aca="false">IF(H_Direct=1,IF(BX46&lt;=0,MJ46-BX46*AKX45,MJ46-MIN(MIN(BX46*AKX45,IW46+MJ46),MJ46)),MJ46)</f>
        <v>0</v>
      </c>
      <c r="ML46" s="20" t="n">
        <f aca="false">IF(H_Direct=1,IF(BY46&lt;=0,MK46-BY46*AKY45,MK46-MIN(MIN(BY46*AKY45,IX46+MK46),MK46)),MK46)</f>
        <v>0</v>
      </c>
      <c r="MM46" s="20" t="n">
        <f aca="false">IF(H_Direct=1,IF(BZ46&lt;=0,ML46-BZ46*AKZ45,ML46-MIN(MIN(BZ46*AKZ45,IY46+ML46),ML46)),ML46)</f>
        <v>0</v>
      </c>
      <c r="MN46" s="20" t="n">
        <f aca="false">IF(H_Direct=1,IF(CA46&lt;=0,MM46-CA46*ALA45,MM46-MIN(MIN(CA46*ALA45,IZ46+MM46),MM46)),MM46)</f>
        <v>0</v>
      </c>
      <c r="MO46" s="20" t="n">
        <f aca="false">IF(H_Direct=1,IF(CB46&lt;=0,MN46-CB46*ALB45,MN46-MIN(MIN(CB46*ALB45,JA46+MN46),MN46)),MN46)</f>
        <v>0</v>
      </c>
      <c r="MP46" s="20" t="n">
        <f aca="false">IF(H_Direct=1,IF(CC46&lt;=0,MO46-CC46*ALC45,MO46-MIN(MIN(CC46*ALC45,JB46+MO46),MO46)),MO46)</f>
        <v>0</v>
      </c>
      <c r="MQ46" s="20" t="n">
        <f aca="false">IF(H_Direct=1,IF(CD46&lt;=0,MP46-CD46*ALD45,MP46-MIN(MIN(CD46*ALD45,JC46+MP46),MP46)),MP46)</f>
        <v>0</v>
      </c>
      <c r="MR46" s="20" t="n">
        <f aca="false">IF(H_Direct=1,IF(CE46&lt;=0,MQ46-CE46*ALE45,MQ46-MIN(MIN(CE46*ALE45,JD46+MQ46),MQ46)),MQ46)</f>
        <v>0</v>
      </c>
      <c r="MS46" s="20" t="n">
        <f aca="false">IF(H_Direct=1,IF(CF46&lt;=0,MR46-CF46*ALF45,MR46-MIN(MIN(CF46*ALF45,JE46+MR46),MR46)),MR46)</f>
        <v>0</v>
      </c>
      <c r="MT46" s="20" t="n">
        <f aca="false">IF(H_Direct=1,IF(CG46&lt;=0,MS46-CG46*ALG45,MS46-MIN(MIN(CG46*ALG45,JF46+MS46),MS46)),MS46)</f>
        <v>0</v>
      </c>
      <c r="MU46" s="20" t="n">
        <f aca="false">IF(H_Direct=1,IF(CH46&lt;=0,MT46-CH46*ALH45,MT46-MIN(MIN(CH46*ALH45,JG46+MT46),MT46)),MT46)</f>
        <v>0</v>
      </c>
      <c r="MV46" s="20" t="n">
        <f aca="false">IF(H_Direct=1,IF(CI46&lt;=0,MU46-CI46*ALI45,MU46-MIN(MIN(CI46*ALI45,JH46+MU46),MU46)),MU46)</f>
        <v>0</v>
      </c>
      <c r="MW46" s="20" t="n">
        <f aca="false">IF(H_Direct=1,IF(CJ46&lt;=0,MV46-CJ46*ALJ45,MV46-MIN(MIN(CJ46*ALJ45,JI46+MV46),MV46)),MV46)</f>
        <v>0</v>
      </c>
      <c r="MX46" s="20" t="n">
        <f aca="false">IF(H_Direct=1,IF(CK46&lt;=0,MW46-CK46*ALK45,MW46-MIN(MIN(CK46*ALK45,JJ46+MW46),MW46)),MW46)</f>
        <v>0</v>
      </c>
      <c r="MY46" s="20" t="n">
        <f aca="false">IF(H_Direct=1,IF(CL46&lt;=0,MX46-CL46*ALL45,MX46-MIN(MIN(CL46*ALL45,JK46+MX46),MX46)),MX46)</f>
        <v>0</v>
      </c>
      <c r="MZ46" s="20" t="n">
        <f aca="false">IF(H_Direct=1,IF(CM46&lt;=0,MY46-CM46*ALM45,MY46-MIN(MIN(CM46*ALM45,JL46+MY46),MY46)),MY46)</f>
        <v>0</v>
      </c>
      <c r="NA46" s="20" t="n">
        <f aca="false">IF(H_Direct=1,IF(CN46&lt;=0,MZ46-CN46*ALN45,MZ46-MIN(MIN(CN46*ALN45,JM46+MZ46),MZ46)),MZ46)</f>
        <v>0</v>
      </c>
      <c r="NB46" s="20" t="n">
        <f aca="false">IF(H_Direct=1,IF(CO46&lt;=0,NA46-CO46*ALO45,NA46-MIN(MIN(CO46*ALO45,JN46+NA46),NA46)),NA46)</f>
        <v>0</v>
      </c>
      <c r="NC46" s="20" t="n">
        <f aca="false">IF(H_Direct=1,IF(CP46&lt;=0,NB46-CP46*ALP45,NB46-MIN(MIN(CP46*ALP45,JO46+NB46),NB46)),NB46)</f>
        <v>0</v>
      </c>
      <c r="ND46" s="20" t="n">
        <f aca="false">IF(H_Direct=1,IF(CQ46&lt;=0,NC46-CQ46*ALQ45,NC46-MIN(MIN(CQ46*ALQ45,JP46+NC46),NC46)),NC46)</f>
        <v>0</v>
      </c>
      <c r="NE46" s="20" t="n">
        <f aca="false">IF(H_Direct=1,IF(CR46&lt;=0,ND46-CR46*ALR45,ND46-MIN(MIN(CR46*ALR45,JQ46+ND46),ND46)),ND46)</f>
        <v>0</v>
      </c>
      <c r="NF46" s="20" t="n">
        <f aca="false">IF(H_Direct=1,IF(CS46&lt;=0,NE46-CS46*ALS45,NE46-MIN(MIN(CS46*ALS45,JR46+NE46),NE46)),NE46)</f>
        <v>0</v>
      </c>
      <c r="NG46" s="20" t="n">
        <f aca="false">IF(H_Direct=1,IF(CT46&lt;=0,NF46-CT46*ALT45,NF46-MIN(MIN(CT46*ALT45,JS46+NF46),NF46)),NF46)</f>
        <v>0</v>
      </c>
      <c r="NH46" s="20" t="n">
        <f aca="false">IF(H_Direct=1,IF(CU46&lt;=0,NG46-CU46*ALU45,NG46-MIN(MIN(CU46*ALU45,JT46+NG46),NG46)),NG46)</f>
        <v>0</v>
      </c>
      <c r="NI46" s="20" t="n">
        <f aca="false">IF(H_Direct=1,IF(CV46&lt;=0,NH46-CV46*ALV45,NH46-MIN(MIN(CV46*ALV45,JU46+NH46),NH46)),NH46)</f>
        <v>0</v>
      </c>
      <c r="NJ46" s="20" t="n">
        <f aca="false">IF(H_Direct=1,IF(CW46&lt;=0,NI46-CW46*ALW45,NI46-MIN(MIN(CW46*ALW45,JV46+NI46),NI46)),NI46)</f>
        <v>0</v>
      </c>
      <c r="NK46" s="20" t="n">
        <f aca="false">IF(H_Direct=1,IF(CX46&lt;=0,NJ46-CX46*ALX45,NJ46-MIN(MIN(CX46*ALX45,JW46+NJ46),NJ46)),NJ46)</f>
        <v>0</v>
      </c>
      <c r="NL46" s="20" t="n">
        <f aca="false">IF(H_Direct=1,IF(CY46&lt;=0,NK46-CY46*ALY45,NK46-MIN(MIN(CY46*ALY45,JX46+NK46),NK46)),NK46)</f>
        <v>0</v>
      </c>
      <c r="NM46" s="20" t="n">
        <f aca="false">IF(H_Direct=1,IF(CZ46&lt;=0,NL46-CZ46*ALZ45,NL46-MIN(MIN(CZ46*ALZ45,JY46+NL46),NL46)),NL46)</f>
        <v>0</v>
      </c>
      <c r="NN46" s="20" t="n">
        <f aca="false">IF(H_Direct=1,IF(DA46&lt;=0,NM46-DA46*AMA45,NM46-MIN(MIN(DA46*AMA45,JZ46+NM46),NM46)),NM46)</f>
        <v>0</v>
      </c>
      <c r="NO46" s="20" t="n">
        <f aca="false">IF(H_Direct=1,IF(DB46&lt;=0,NN46-DB46*AMB45,NN46-MIN(MIN(DB46*AMB45,KA46+NN46),NN46)),NN46)</f>
        <v>0</v>
      </c>
      <c r="NP46" s="20" t="n">
        <f aca="false">IF(H_Direct=1,IF(DC46&lt;=0,NO46-DC46*AMC45,NO46-MIN(MIN(DC46*AMC45,KB46+NO46),NO46)),NO46)</f>
        <v>0</v>
      </c>
      <c r="NQ46" s="20" t="n">
        <f aca="false">IF(H_Direct=1,IF(DD46&lt;=0,NP46-DD46*AMD45,NP46-MIN(MIN(DD46*AMD45,KC46+NP46),NP46)),NP46)</f>
        <v>0</v>
      </c>
      <c r="NR46" s="20" t="n">
        <f aca="false">IF(H_Direct=1,IF(DE46&lt;=0,NQ46-DE46*(P46+S46),NQ46-MIN(MIN(DE46*(P46+S46),KD46+NQ46),NQ46)),NQ46)</f>
        <v>0</v>
      </c>
      <c r="NS46" s="20" t="n">
        <f aca="false">NR46</f>
        <v>0</v>
      </c>
      <c r="NT46" s="20" t="n">
        <f aca="false">NS46</f>
        <v>0</v>
      </c>
      <c r="NU46" s="20" t="n">
        <f aca="false">NT46</f>
        <v>0</v>
      </c>
      <c r="NV46" s="20" t="n">
        <f aca="false">NU46</f>
        <v>0</v>
      </c>
      <c r="NW46" s="20" t="n">
        <f aca="false">NV46</f>
        <v>0</v>
      </c>
      <c r="NX46" s="20" t="n">
        <f aca="false">NW46</f>
        <v>0</v>
      </c>
      <c r="NY46" s="20" t="n">
        <f aca="false">NX46</f>
        <v>0</v>
      </c>
      <c r="NZ46" s="20" t="n">
        <f aca="false">NY46</f>
        <v>0</v>
      </c>
      <c r="OA46" s="20" t="n">
        <f aca="false">NZ46</f>
        <v>0</v>
      </c>
      <c r="OB46" s="20" t="n">
        <f aca="false">OA46</f>
        <v>0</v>
      </c>
      <c r="OC46" s="20" t="n">
        <f aca="false">OB46</f>
        <v>0</v>
      </c>
      <c r="OD46" s="20" t="n">
        <f aca="false">OC46</f>
        <v>0</v>
      </c>
      <c r="OE46" s="20" t="n">
        <f aca="false">OD46</f>
        <v>0</v>
      </c>
      <c r="OF46" s="20" t="n">
        <f aca="false">OE46</f>
        <v>0</v>
      </c>
      <c r="OG46" s="20" t="n">
        <f aca="false">OF46</f>
        <v>0</v>
      </c>
      <c r="OH46" s="20" t="n">
        <f aca="false">OG46</f>
        <v>0</v>
      </c>
      <c r="OI46" s="20" t="n">
        <f aca="false">OH46</f>
        <v>0</v>
      </c>
      <c r="OJ46" s="20" t="n">
        <f aca="false">OI46</f>
        <v>0</v>
      </c>
      <c r="OK46" s="20" t="n">
        <f aca="false">OJ46</f>
        <v>0</v>
      </c>
      <c r="OL46" s="20" t="n">
        <f aca="false">OK46</f>
        <v>0</v>
      </c>
      <c r="OM46" s="20" t="n">
        <f aca="false">OL46</f>
        <v>0</v>
      </c>
      <c r="ON46" s="20" t="n">
        <f aca="false">OM46</f>
        <v>0</v>
      </c>
      <c r="OO46" s="20" t="n">
        <f aca="false">ON46</f>
        <v>0</v>
      </c>
      <c r="OP46" s="20" t="n">
        <f aca="false">OO46</f>
        <v>0</v>
      </c>
      <c r="OQ46" s="20" t="n">
        <f aca="false">OP46</f>
        <v>0</v>
      </c>
      <c r="OR46" s="20" t="n">
        <f aca="false">OQ46</f>
        <v>0</v>
      </c>
      <c r="OS46" s="20" t="n">
        <f aca="false">OR46</f>
        <v>0</v>
      </c>
      <c r="OT46" s="20" t="n">
        <f aca="false">OS46</f>
        <v>0</v>
      </c>
      <c r="OU46" s="20" t="n">
        <f aca="false">OT46</f>
        <v>0</v>
      </c>
      <c r="OV46" s="20" t="n">
        <f aca="false">OU46</f>
        <v>0</v>
      </c>
      <c r="OW46" s="20" t="n">
        <f aca="false">OV46</f>
        <v>0</v>
      </c>
      <c r="OX46" s="20" t="n">
        <f aca="false">OW46</f>
        <v>0</v>
      </c>
      <c r="OY46" s="20" t="n">
        <f aca="false">OX46</f>
        <v>0</v>
      </c>
      <c r="OZ46" s="20" t="n">
        <f aca="false">OY46</f>
        <v>0</v>
      </c>
      <c r="PA46" s="20" t="n">
        <f aca="false">OZ46</f>
        <v>0</v>
      </c>
      <c r="PB46" s="20" t="n">
        <f aca="false">PA46</f>
        <v>0</v>
      </c>
      <c r="PC46" s="20" t="n">
        <f aca="false">PB46</f>
        <v>0</v>
      </c>
      <c r="PD46" s="20" t="n">
        <f aca="false">PC46</f>
        <v>0</v>
      </c>
      <c r="PE46" s="20" t="n">
        <f aca="false">PD46</f>
        <v>0</v>
      </c>
      <c r="PF46" s="20" t="n">
        <f aca="false">PE46</f>
        <v>0</v>
      </c>
      <c r="PG46" s="20" t="n">
        <f aca="false">PF46</f>
        <v>0</v>
      </c>
      <c r="PH46" s="20" t="n">
        <f aca="false">PG46</f>
        <v>0</v>
      </c>
      <c r="PI46" s="20" t="n">
        <f aca="false">PH46</f>
        <v>0</v>
      </c>
      <c r="PJ46" s="20" t="n">
        <f aca="false">PI46</f>
        <v>0</v>
      </c>
      <c r="PK46" s="20" t="n">
        <f aca="false">PJ46</f>
        <v>0</v>
      </c>
      <c r="PL46" s="20" t="n">
        <f aca="false">PK46</f>
        <v>0</v>
      </c>
      <c r="PM46" s="20" t="n">
        <f aca="false">PL46</f>
        <v>0</v>
      </c>
      <c r="PN46" s="20" t="n">
        <f aca="false">PM46</f>
        <v>0</v>
      </c>
      <c r="PO46" s="20" t="n">
        <f aca="false">PN46</f>
        <v>0</v>
      </c>
      <c r="PP46" s="20" t="n">
        <f aca="false">PO46</f>
        <v>0</v>
      </c>
      <c r="PQ46" s="20" t="n">
        <f aca="false">PP46</f>
        <v>0</v>
      </c>
      <c r="PR46" s="20" t="n">
        <f aca="false">IF(H_Direct=1,IF(AKR45&lt;=0,0,IF(BR46&lt;=0,MIN(MAX(0,AB46),AKR45),MIN(MAX(0,AB46),AKR45-G46*MAX(0,BR46*AKR45-(H46+I46))))),MIN(FE46,MAX(0,AB46)))</f>
        <v>0</v>
      </c>
      <c r="PS46" s="20" t="n">
        <f aca="false">IF(H_Direct=1,IF(AKS45&lt;=0,0,IF(BS46&lt;=0,MIN(MAX(0,AB46-SUM(PR46:PR46)),AKS45),MIN(MAX(0,AB46-SUM(PR46:PR46)),AKS45-G46*MAX(0,BS46*AKS45-(WR46+AAE46))))),MIN(FF46,MAX(0,AB46-SUM(PR46:PR46))))</f>
        <v>0</v>
      </c>
      <c r="PT46" s="20" t="n">
        <f aca="false">IF(H_Direct=1,IF(AKT45&lt;=0,0,IF(BT46&lt;=0,MIN(MAX(0,AB46-SUM(PR46:PS46)),AKT45),MIN(MAX(0,AB46-SUM(PR46:PS46)),AKT45-G46*MAX(0,BT46*AKT45-(WS46+AAF46))))),MIN(FG46,MAX(0,AB46-SUM(PR46:PS46))))</f>
        <v>0</v>
      </c>
      <c r="PU46" s="20" t="n">
        <f aca="false">IF(H_Direct=1,IF(AKU45&lt;=0,0,IF(BU46&lt;=0,MIN(MAX(0,AB46-SUM(PR46:PT46)),AKU45),MIN(MAX(0,AB46-SUM(PR46:PT46)),AKU45-G46*MAX(0,BU46*AKU45-(WT46+AAG46))))),MIN(FH46,MAX(0,AB46-SUM(PR46:PT46))))</f>
        <v>0</v>
      </c>
      <c r="PV46" s="20" t="n">
        <f aca="false">IF(H_Direct=1,IF(AKV45&lt;=0,0,IF(BV46&lt;=0,MIN(MAX(0,AB46-SUM(PR46:PU46)),AKV45),MIN(MAX(0,AB46-SUM(PR46:PU46)),AKV45-G46*MAX(0,BV46*AKV45-(WU46+AAH46))))),MIN(FI46,MAX(0,AB46-SUM(PR46:PU46))))</f>
        <v>0</v>
      </c>
      <c r="PW46" s="20" t="n">
        <f aca="false">IF(H_Direct=1,IF(AKW45&lt;=0,0,IF(BW46&lt;=0,MIN(MAX(0,AB46-SUM(PR46:PV46)),AKW45),MIN(MAX(0,AB46-SUM(PR46:PV46)),AKW45-G46*MAX(0,BW46*AKW45-(WV46+AAI46))))),MIN(FJ46,MAX(0,AB46-SUM(PR46:PV46))))</f>
        <v>0</v>
      </c>
      <c r="PX46" s="20" t="n">
        <f aca="false">IF(H_Direct=1,IF(AKX45&lt;=0,0,IF(BX46&lt;=0,MIN(MAX(0,AB46-SUM(PR46:PW46)),AKX45),MIN(MAX(0,AB46-SUM(PR46:PW46)),AKX45-G46*MAX(0,BX46*AKX45-(WW46+AAJ46))))),MIN(FK46,MAX(0,AB46-SUM(PR46:PW46))))</f>
        <v>0</v>
      </c>
      <c r="PY46" s="20" t="n">
        <f aca="false">IF(H_Direct=1,IF(AKY45&lt;=0,0,IF(BY46&lt;=0,MIN(MAX(0,AB46-SUM(PR46:PX46)),AKY45),MIN(MAX(0,AB46-SUM(PR46:PX46)),AKY45-G46*MAX(0,BY46*AKY45-(WX46+AAK46))))),MIN(FL46,MAX(0,AB46-SUM(PR46:PX46))))</f>
        <v>0</v>
      </c>
      <c r="PZ46" s="20" t="n">
        <f aca="false">IF(H_Direct=1,IF(AKZ45&lt;=0,0,IF(BZ46&lt;=0,MIN(MAX(0,AB46-SUM(PR46:PY46)),AKZ45),MIN(MAX(0,AB46-SUM(PR46:PY46)),AKZ45-G46*MAX(0,BZ46*AKZ45-(WY46+AAL46))))),MIN(FM46,MAX(0,AB46-SUM(PR46:PY46))))</f>
        <v>0</v>
      </c>
      <c r="QA46" s="20" t="n">
        <f aca="false">IF(H_Direct=1,IF(ALA45&lt;=0,0,IF(CA46&lt;=0,MIN(MAX(0,AB46-SUM(PR46:PZ46)),ALA45),MIN(MAX(0,AB46-SUM(PR46:PZ46)),ALA45-G46*MAX(0,CA46*ALA45-(WZ46+AAM46))))),MIN(FN46,MAX(0,AB46-SUM(PR46:PZ46))))</f>
        <v>0</v>
      </c>
      <c r="QB46" s="20" t="n">
        <f aca="false">IF(H_Direct=1,IF(ALB45&lt;=0,0,IF(CB46&lt;=0,MIN(MAX(0,AB46-SUM(PR46:QA46)),ALB45),MIN(MAX(0,AB46-SUM(PR46:QA46)),ALB45-G46*MAX(0,CB46*ALB45-(XA46+AAN46))))),MIN(FO46,MAX(0,AB46-SUM(PR46:QA46))))</f>
        <v>0</v>
      </c>
      <c r="QC46" s="20" t="n">
        <f aca="false">IF(H_Direct=1,IF(ALC45&lt;=0,0,IF(CC46&lt;=0,MIN(MAX(0,AB46-SUM(PR46:QB46)),ALC45),MIN(MAX(0,AB46-SUM(PR46:QB46)),ALC45-G46*MAX(0,CC46*ALC45-(XB46+AAO46))))),MIN(FP46,MAX(0,AB46-SUM(PR46:QB46))))</f>
        <v>0</v>
      </c>
      <c r="QD46" s="20" t="n">
        <f aca="false">IF(H_Direct=1,IF(ALD45&lt;=0,0,IF(CD46&lt;=0,MIN(MAX(0,AB46-SUM(PR46:QC46)),ALD45),MIN(MAX(0,AB46-SUM(PR46:QC46)),ALD45-G46*MAX(0,CD46*ALD45-(XC46+AAP46))))),MIN(FQ46,MAX(0,AB46-SUM(PR46:QC46))))</f>
        <v>0</v>
      </c>
      <c r="QE46" s="20" t="n">
        <f aca="false">IF(H_Direct=1,IF(ALE45&lt;=0,0,IF(CE46&lt;=0,MIN(MAX(0,AB46-SUM(PR46:QD46)),ALE45),MIN(MAX(0,AB46-SUM(PR46:QD46)),ALE45-G46*MAX(0,CE46*ALE45-(XD46+AAQ46))))),MIN(FR46,MAX(0,AB46-SUM(PR46:QD46))))</f>
        <v>0</v>
      </c>
      <c r="QF46" s="20" t="n">
        <f aca="false">IF(H_Direct=1,IF(ALF45&lt;=0,0,IF(CF46&lt;=0,MIN(MAX(0,AB46-SUM(PR46:QE46)),ALF45),MIN(MAX(0,AB46-SUM(PR46:QE46)),ALF45-G46*MAX(0,CF46*ALF45-(XE46+AAR46))))),MIN(FS46,MAX(0,AB46-SUM(PR46:QE46))))</f>
        <v>0</v>
      </c>
      <c r="QG46" s="20" t="n">
        <f aca="false">IF(H_Direct=1,IF(ALG45&lt;=0,0,IF(CG46&lt;=0,MIN(MAX(0,AB46-SUM(PR46:QF46)),ALG45),MIN(MAX(0,AB46-SUM(PR46:QF46)),ALG45-G46*MAX(0,CG46*ALG45-(XF46+AAS46))))),MIN(FT46,MAX(0,AB46-SUM(PR46:QF46))))</f>
        <v>0</v>
      </c>
      <c r="QH46" s="20" t="n">
        <f aca="false">IF(H_Direct=1,IF(ALH45&lt;=0,0,IF(CH46&lt;=0,MIN(MAX(0,AB46-SUM(PR46:QG46)),ALH45),MIN(MAX(0,AB46-SUM(PR46:QG46)),ALH45-G46*MAX(0,CH46*ALH45-(XG46+AAT46))))),MIN(FU46,MAX(0,AB46-SUM(PR46:QG46))))</f>
        <v>0</v>
      </c>
      <c r="QI46" s="20" t="n">
        <f aca="false">IF(H_Direct=1,IF(ALI45&lt;=0,0,IF(CI46&lt;=0,MIN(MAX(0,AB46-SUM(PR46:QH46)),ALI45),MIN(MAX(0,AB46-SUM(PR46:QH46)),ALI45-G46*MAX(0,CI46*ALI45-(XH46+AAU46))))),MIN(FV46,MAX(0,AB46-SUM(PR46:QH46))))</f>
        <v>0</v>
      </c>
      <c r="QJ46" s="20" t="n">
        <f aca="false">IF(H_Direct=1,IF(ALJ45&lt;=0,0,IF(CJ46&lt;=0,MIN(MAX(0,AB46-SUM(PR46:QI46)),ALJ45),MIN(MAX(0,AB46-SUM(PR46:QI46)),ALJ45-G46*MAX(0,CJ46*ALJ45-(XI46+AAV46))))),MIN(FW46,MAX(0,AB46-SUM(PR46:QI46))))</f>
        <v>0</v>
      </c>
      <c r="QK46" s="20" t="n">
        <f aca="false">IF(H_Direct=1,IF(ALK45&lt;=0,0,IF(CK46&lt;=0,MIN(MAX(0,AB46-SUM(PR46:QJ46)),ALK45),MIN(MAX(0,AB46-SUM(PR46:QJ46)),ALK45-G46*MAX(0,CK46*ALK45-(XJ46+AAW46))))),MIN(FX46,MAX(0,AB46-SUM(PR46:QJ46))))</f>
        <v>0</v>
      </c>
      <c r="QL46" s="20" t="n">
        <f aca="false">IF(H_Direct=1,IF(ALL45&lt;=0,0,IF(CL46&lt;=0,MIN(MAX(0,AB46-SUM(PR46:QK46)),ALL45),MIN(MAX(0,AB46-SUM(PR46:QK46)),ALL45-G46*MAX(0,CL46*ALL45-(XK46+AAX46))))),MIN(FY46,MAX(0,AB46-SUM(PR46:QK46))))</f>
        <v>0</v>
      </c>
      <c r="QM46" s="20" t="n">
        <f aca="false">IF(H_Direct=1,IF(ALM45&lt;=0,0,IF(CM46&lt;=0,MIN(MAX(0,AB46-SUM(PR46:QL46)),ALM45),MIN(MAX(0,AB46-SUM(PR46:QL46)),ALM45-G46*MAX(0,CM46*ALM45-(XL46+AAY46))))),MIN(FZ46,MAX(0,AB46-SUM(PR46:QL46))))</f>
        <v>0</v>
      </c>
      <c r="QN46" s="20" t="n">
        <f aca="false">IF(H_Direct=1,IF(ALN45&lt;=0,0,IF(CN46&lt;=0,MIN(MAX(0,AB46-SUM(PR46:QM46)),ALN45),MIN(MAX(0,AB46-SUM(PR46:QM46)),ALN45-G46*MAX(0,CN46*ALN45-(XM46+AAZ46))))),MIN(GA46,MAX(0,AB46-SUM(PR46:QM46))))</f>
        <v>0</v>
      </c>
      <c r="QO46" s="20" t="n">
        <f aca="false">IF(H_Direct=1,IF(ALO45&lt;=0,0,IF(CO46&lt;=0,MIN(MAX(0,AB46-SUM(PR46:QN46)),ALO45),MIN(MAX(0,AB46-SUM(PR46:QN46)),ALO45-G46*MAX(0,CO46*ALO45-(XN46+ABA46))))),MIN(GB46,MAX(0,AB46-SUM(PR46:QN46))))</f>
        <v>0</v>
      </c>
      <c r="QP46" s="20" t="n">
        <f aca="false">IF(H_Direct=1,IF(ALP45&lt;=0,0,IF(CP46&lt;=0,MIN(MAX(0,AB46-SUM(PR46:QO46)),ALP45),MIN(MAX(0,AB46-SUM(PR46:QO46)),ALP45-G46*MAX(0,CP46*ALP45-(XO46+ABB46))))),MIN(GC46,MAX(0,AB46-SUM(PR46:QO46))))</f>
        <v>0</v>
      </c>
      <c r="QQ46" s="20" t="n">
        <f aca="false">IF(H_Direct=1,IF(ALQ45&lt;=0,0,IF(CQ46&lt;=0,MIN(MAX(0,AB46-SUM(PR46:QP46)),ALQ45),MIN(MAX(0,AB46-SUM(PR46:QP46)),ALQ45-G46*MAX(0,CQ46*ALQ45-(XP46+ABC46))))),MIN(GD46,MAX(0,AB46-SUM(PR46:QP46))))</f>
        <v>0</v>
      </c>
      <c r="QR46" s="20" t="n">
        <f aca="false">IF(H_Direct=1,IF(ALR45&lt;=0,0,IF(CR46&lt;=0,MIN(MAX(0,AB46-SUM(PR46:QQ46)),ALR45),MIN(MAX(0,AB46-SUM(PR46:QQ46)),ALR45-G46*MAX(0,CR46*ALR45-(XQ46+ABD46))))),MIN(GE46,MAX(0,AB46-SUM(PR46:QQ46))))</f>
        <v>24660.0346098031</v>
      </c>
      <c r="QS46" s="20" t="n">
        <f aca="false">IF(H_Direct=1,IF(ALS45&lt;=0,0,IF(CS46&lt;=0,MIN(MAX(0,AB46-SUM(PR46:QR46)),ALS45),MIN(MAX(0,AB46-SUM(PR46:QR46)),ALS45-G46*MAX(0,CS46*ALS45-(XR46+ABE46))))),MIN(GF46,MAX(0,AB46-SUM(PR46:QR46))))</f>
        <v>0</v>
      </c>
      <c r="QT46" s="20" t="n">
        <f aca="false">IF(H_Direct=1,IF(ALT45&lt;=0,0,IF(CT46&lt;=0,MIN(MAX(0,AB46-SUM(PR46:QS46)),ALT45),MIN(MAX(0,AB46-SUM(PR46:QS46)),ALT45-G46*MAX(0,CT46*ALT45-(XS46+ABF46))))),MIN(GG46,MAX(0,AB46-SUM(PR46:QS46))))</f>
        <v>0</v>
      </c>
      <c r="QU46" s="20" t="n">
        <f aca="false">IF(H_Direct=1,IF(ALU45&lt;=0,0,IF(CU46&lt;=0,MIN(MAX(0,AB46-SUM(PR46:QT46)),ALU45),MIN(MAX(0,AB46-SUM(PR46:QT46)),ALU45-G46*MAX(0,CU46*ALU45-(XT46+ABG46))))),MIN(GH46,MAX(0,AB46-SUM(PR46:QT46))))</f>
        <v>0</v>
      </c>
      <c r="QV46" s="20" t="n">
        <f aca="false">IF(H_Direct=1,IF(ALV45&lt;=0,0,IF(CV46&lt;=0,MIN(MAX(0,AB46-SUM(PR46:QU46)),ALV45),MIN(MAX(0,AB46-SUM(PR46:QU46)),ALV45-G46*MAX(0,CV46*ALV45-(XU46+ABH46))))),MIN(GI46,MAX(0,AB46-SUM(PR46:QU46))))</f>
        <v>0</v>
      </c>
      <c r="QW46" s="20" t="n">
        <f aca="false">IF(H_Direct=1,IF(ALW45&lt;=0,0,IF(CW46&lt;=0,MIN(MAX(0,AB46-SUM(PR46:QV46)),ALW45),MIN(MAX(0,AB46-SUM(PR46:QV46)),ALW45-G46*MAX(0,CW46*ALW45-(XV46+ABI46))))),MIN(GJ46,MAX(0,AB46-SUM(PR46:QV46))))</f>
        <v>0</v>
      </c>
      <c r="QX46" s="20" t="n">
        <f aca="false">IF(H_Direct=1,IF(ALX45&lt;=0,0,IF(CX46&lt;=0,MIN(MAX(0,AB46-SUM(PR46:QW46)),ALX45),MIN(MAX(0,AB46-SUM(PR46:QW46)),ALX45-G46*MAX(0,CX46*ALX45-(XW46+ABJ46))))),MIN(GK46,MAX(0,AB46-SUM(PR46:QW46))))</f>
        <v>0</v>
      </c>
      <c r="QY46" s="20" t="n">
        <f aca="false">IF(H_Direct=1,IF(ALY45&lt;=0,0,IF(CY46&lt;=0,MIN(MAX(0,AB46-SUM(PR46:QX46)),ALY45),MIN(MAX(0,AB46-SUM(PR46:QX46)),ALY45-G46*MAX(0,CY46*ALY45-(XX46+ABK46))))),MIN(GL46,MAX(0,AB46-SUM(PR46:QX46))))</f>
        <v>0</v>
      </c>
      <c r="QZ46" s="20" t="n">
        <f aca="false">IF(H_Direct=1,IF(ALZ45&lt;=0,0,IF(CZ46&lt;=0,MIN(MAX(0,AB46-SUM(PR46:QY46)),ALZ45),MIN(MAX(0,AB46-SUM(PR46:QY46)),ALZ45-G46*MAX(0,CZ46*ALZ45-(XY46+ABL46))))),MIN(GM46,MAX(0,AB46-SUM(PR46:QY46))))</f>
        <v>0</v>
      </c>
      <c r="RA46" s="20" t="n">
        <f aca="false">IF(H_Direct=1,IF(AMA45&lt;=0,0,IF(DA46&lt;=0,MIN(MAX(0,AB46-SUM(PR46:QZ46)),AMA45),MIN(MAX(0,AB46-SUM(PR46:QZ46)),AMA45-G46*MAX(0,DA46*AMA45-(XZ46+ABM46))))),MIN(GN46,MAX(0,AB46-SUM(PR46:QZ46))))</f>
        <v>0</v>
      </c>
      <c r="RB46" s="20" t="n">
        <f aca="false">IF(H_Direct=1,IF(AMB45&lt;=0,0,IF(DB46&lt;=0,MIN(MAX(0,AB46-SUM(PR46:RA46)),AMB45),MIN(MAX(0,AB46-SUM(PR46:RA46)),AMB45-G46*MAX(0,DB46*AMB45-(YA46+ABN46))))),MIN(GO46,MAX(0,AB46-SUM(PR46:RA46))))</f>
        <v>0</v>
      </c>
      <c r="RC46" s="20" t="n">
        <f aca="false">IF(H_Direct=1,IF(AMC45&lt;=0,0,IF(DC46&lt;=0,MIN(MAX(0,AB46-SUM(PR46:RB46)),AMC45),MIN(MAX(0,AB46-SUM(PR46:RB46)),AMC45-G46*MAX(0,DC46*AMC45-(YB46+ABO46))))),MIN(GP46,MAX(0,AB46-SUM(PR46:RB46))))</f>
        <v>0</v>
      </c>
      <c r="RD46" s="20" t="n">
        <f aca="false">IF(H_Direct=1,IF(AMD45&lt;=0,0,IF(DD46&lt;=0,MIN(MAX(0,AB46-SUM(PR46:RC46)),AMD45),MIN(MAX(0,AB46-SUM(PR46:RC46)),AMD45-G46*MAX(0,DD46*AMD45-(YC46+ABP46))))),MIN(GQ46,MAX(0,AB46-SUM(PR46:RC46))))</f>
        <v>0</v>
      </c>
      <c r="RE46" s="20" t="n">
        <f aca="false">IF(H_Direct=1,IF((P46+S46)&lt;=0,0,IF(DE46&lt;=0,MIN(MAX(0,AB46-SUM(PR46:RD46)),(P46+S46)),MIN(MAX(0,AB46-SUM(PR46:RD46)),(P46+S46)-G46*MAX(0,DE46*(P46+S46)-(YD46+ABQ46))))),MIN(GR46,MAX(0,AB46-SUM(PR46:RD46))))</f>
        <v>0</v>
      </c>
      <c r="RF46" s="20" t="n">
        <v>0</v>
      </c>
      <c r="RG46" s="20" t="n">
        <v>0</v>
      </c>
      <c r="RH46" s="20" t="n">
        <v>0</v>
      </c>
      <c r="RI46" s="20" t="n">
        <v>0</v>
      </c>
      <c r="RJ46" s="20" t="n">
        <v>0</v>
      </c>
      <c r="RK46" s="20" t="n">
        <v>0</v>
      </c>
      <c r="RL46" s="20" t="n">
        <v>0</v>
      </c>
      <c r="RM46" s="20" t="n">
        <v>0</v>
      </c>
      <c r="RN46" s="20" t="n">
        <v>0</v>
      </c>
      <c r="RO46" s="20" t="n">
        <v>0</v>
      </c>
      <c r="RP46" s="20" t="n">
        <v>0</v>
      </c>
      <c r="RQ46" s="20" t="n">
        <v>0</v>
      </c>
      <c r="RR46" s="20" t="n">
        <v>0</v>
      </c>
      <c r="RS46" s="20" t="n">
        <v>0</v>
      </c>
      <c r="RT46" s="20" t="n">
        <v>0</v>
      </c>
      <c r="RU46" s="20" t="n">
        <v>0</v>
      </c>
      <c r="RV46" s="20" t="n">
        <v>0</v>
      </c>
      <c r="RW46" s="20" t="n">
        <v>0</v>
      </c>
      <c r="RX46" s="20" t="n">
        <v>0</v>
      </c>
      <c r="RY46" s="20" t="n">
        <v>0</v>
      </c>
      <c r="RZ46" s="20" t="n">
        <v>0</v>
      </c>
      <c r="SA46" s="20" t="n">
        <v>0</v>
      </c>
      <c r="SB46" s="20" t="n">
        <v>0</v>
      </c>
      <c r="SC46" s="20" t="n">
        <v>0</v>
      </c>
      <c r="SD46" s="20" t="n">
        <v>0</v>
      </c>
      <c r="SE46" s="20" t="n">
        <v>0</v>
      </c>
      <c r="SF46" s="20" t="n">
        <v>0</v>
      </c>
      <c r="SG46" s="20" t="n">
        <v>0</v>
      </c>
      <c r="SH46" s="20" t="n">
        <v>0</v>
      </c>
      <c r="SI46" s="20" t="n">
        <v>0</v>
      </c>
      <c r="SJ46" s="20" t="n">
        <v>0</v>
      </c>
      <c r="SK46" s="20" t="n">
        <v>0</v>
      </c>
      <c r="SL46" s="20" t="n">
        <v>0</v>
      </c>
      <c r="SM46" s="20" t="n">
        <v>0</v>
      </c>
      <c r="SN46" s="20" t="n">
        <v>0</v>
      </c>
      <c r="SO46" s="20" t="n">
        <v>0</v>
      </c>
      <c r="SP46" s="20" t="n">
        <v>0</v>
      </c>
      <c r="SQ46" s="20" t="n">
        <v>0</v>
      </c>
      <c r="SR46" s="20" t="n">
        <v>0</v>
      </c>
      <c r="SS46" s="20" t="n">
        <v>0</v>
      </c>
      <c r="ST46" s="20" t="n">
        <v>0</v>
      </c>
      <c r="SU46" s="20" t="n">
        <v>0</v>
      </c>
      <c r="SV46" s="20" t="n">
        <v>0</v>
      </c>
      <c r="SW46" s="20" t="n">
        <v>0</v>
      </c>
      <c r="SX46" s="20" t="n">
        <v>0</v>
      </c>
      <c r="SY46" s="20" t="n">
        <v>0</v>
      </c>
      <c r="SZ46" s="20" t="n">
        <v>0</v>
      </c>
      <c r="TA46" s="20" t="n">
        <v>0</v>
      </c>
      <c r="TB46" s="20" t="n">
        <v>0</v>
      </c>
      <c r="TC46" s="20" t="n">
        <v>0</v>
      </c>
      <c r="TD46" s="20" t="n">
        <v>0</v>
      </c>
      <c r="TE46" s="20" t="n">
        <f aca="false">IF(AKR45&lt;=0,0,IF(H_Direct=1,IF(BR46&lt;=0,PR46,IF(PR46&lt;=(H46+I46)/BR46,PR46,(PR46-G46*(H46+I46))/(1-G46*BR46))),PR46/(1-MAX(0,BR46)*H_Exit)))</f>
        <v>0</v>
      </c>
      <c r="TF46" s="20" t="n">
        <f aca="false">IF(AKS45&lt;=0,0,IF(H_Direct=1,IF(BS46&lt;=0,PS46,IF(PS46&lt;=(WR46+AAE46)/BS46,PS46,(PS46-G46*(WR46+AAE46))/(1-G46*BS46))),PS46/(1-MAX(0,BS46)*H_Exit)))</f>
        <v>0</v>
      </c>
      <c r="TG46" s="20" t="n">
        <f aca="false">IF(AKT45&lt;=0,0,IF(H_Direct=1,IF(BT46&lt;=0,PT46,IF(PT46&lt;=(WS46+AAF46)/BT46,PT46,(PT46-G46*(WS46+AAF46))/(1-G46*BT46))),PT46/(1-MAX(0,BT46)*H_Exit)))</f>
        <v>0</v>
      </c>
      <c r="TH46" s="20" t="n">
        <f aca="false">IF(AKU45&lt;=0,0,IF(H_Direct=1,IF(BU46&lt;=0,PU46,IF(PU46&lt;=(WT46+AAG46)/BU46,PU46,(PU46-G46*(WT46+AAG46))/(1-G46*BU46))),PU46/(1-MAX(0,BU46)*H_Exit)))</f>
        <v>0</v>
      </c>
      <c r="TI46" s="20" t="n">
        <f aca="false">IF(AKV45&lt;=0,0,IF(H_Direct=1,IF(BV46&lt;=0,PV46,IF(PV46&lt;=(WU46+AAH46)/BV46,PV46,(PV46-G46*(WU46+AAH46))/(1-G46*BV46))),PV46/(1-MAX(0,BV46)*H_Exit)))</f>
        <v>0</v>
      </c>
      <c r="TJ46" s="20" t="n">
        <f aca="false">IF(AKW45&lt;=0,0,IF(H_Direct=1,IF(BW46&lt;=0,PW46,IF(PW46&lt;=(WV46+AAI46)/BW46,PW46,(PW46-G46*(WV46+AAI46))/(1-G46*BW46))),PW46/(1-MAX(0,BW46)*H_Exit)))</f>
        <v>0</v>
      </c>
      <c r="TK46" s="20" t="n">
        <f aca="false">IF(AKX45&lt;=0,0,IF(H_Direct=1,IF(BX46&lt;=0,PX46,IF(PX46&lt;=(WW46+AAJ46)/BX46,PX46,(PX46-G46*(WW46+AAJ46))/(1-G46*BX46))),PX46/(1-MAX(0,BX46)*H_Exit)))</f>
        <v>0</v>
      </c>
      <c r="TL46" s="20" t="n">
        <f aca="false">IF(AKY45&lt;=0,0,IF(H_Direct=1,IF(BY46&lt;=0,PY46,IF(PY46&lt;=(WX46+AAK46)/BY46,PY46,(PY46-G46*(WX46+AAK46))/(1-G46*BY46))),PY46/(1-MAX(0,BY46)*H_Exit)))</f>
        <v>0</v>
      </c>
      <c r="TM46" s="20" t="n">
        <f aca="false">IF(AKZ45&lt;=0,0,IF(H_Direct=1,IF(BZ46&lt;=0,PZ46,IF(PZ46&lt;=(WY46+AAL46)/BZ46,PZ46,(PZ46-G46*(WY46+AAL46))/(1-G46*BZ46))),PZ46/(1-MAX(0,BZ46)*H_Exit)))</f>
        <v>0</v>
      </c>
      <c r="TN46" s="20" t="n">
        <f aca="false">IF(ALA45&lt;=0,0,IF(H_Direct=1,IF(CA46&lt;=0,QA46,IF(QA46&lt;=(WZ46+AAM46)/CA46,QA46,(QA46-G46*(WZ46+AAM46))/(1-G46*CA46))),QA46/(1-MAX(0,CA46)*H_Exit)))</f>
        <v>0</v>
      </c>
      <c r="TO46" s="20" t="n">
        <f aca="false">IF(ALB45&lt;=0,0,IF(H_Direct=1,IF(CB46&lt;=0,QB46,IF(QB46&lt;=(XA46+AAN46)/CB46,QB46,(QB46-G46*(XA46+AAN46))/(1-G46*CB46))),QB46/(1-MAX(0,CB46)*H_Exit)))</f>
        <v>0</v>
      </c>
      <c r="TP46" s="20" t="n">
        <f aca="false">IF(ALC45&lt;=0,0,IF(H_Direct=1,IF(CC46&lt;=0,QC46,IF(QC46&lt;=(XB46+AAO46)/CC46,QC46,(QC46-G46*(XB46+AAO46))/(1-G46*CC46))),QC46/(1-MAX(0,CC46)*H_Exit)))</f>
        <v>0</v>
      </c>
      <c r="TQ46" s="20" t="n">
        <f aca="false">IF(ALD45&lt;=0,0,IF(H_Direct=1,IF(CD46&lt;=0,QD46,IF(QD46&lt;=(XC46+AAP46)/CD46,QD46,(QD46-G46*(XC46+AAP46))/(1-G46*CD46))),QD46/(1-MAX(0,CD46)*H_Exit)))</f>
        <v>0</v>
      </c>
      <c r="TR46" s="20" t="n">
        <f aca="false">IF(ALE45&lt;=0,0,IF(H_Direct=1,IF(CE46&lt;=0,QE46,IF(QE46&lt;=(XD46+AAQ46)/CE46,QE46,(QE46-G46*(XD46+AAQ46))/(1-G46*CE46))),QE46/(1-MAX(0,CE46)*H_Exit)))</f>
        <v>0</v>
      </c>
      <c r="TS46" s="20" t="n">
        <f aca="false">IF(ALF45&lt;=0,0,IF(H_Direct=1,IF(CF46&lt;=0,QF46,IF(QF46&lt;=(XE46+AAR46)/CF46,QF46,(QF46-G46*(XE46+AAR46))/(1-G46*CF46))),QF46/(1-MAX(0,CF46)*H_Exit)))</f>
        <v>0</v>
      </c>
      <c r="TT46" s="20" t="n">
        <f aca="false">IF(ALG45&lt;=0,0,IF(H_Direct=1,IF(CG46&lt;=0,QG46,IF(QG46&lt;=(XF46+AAS46)/CG46,QG46,(QG46-G46*(XF46+AAS46))/(1-G46*CG46))),QG46/(1-MAX(0,CG46)*H_Exit)))</f>
        <v>0</v>
      </c>
      <c r="TU46" s="20" t="n">
        <f aca="false">IF(ALH45&lt;=0,0,IF(H_Direct=1,IF(CH46&lt;=0,QH46,IF(QH46&lt;=(XG46+AAT46)/CH46,QH46,(QH46-G46*(XG46+AAT46))/(1-G46*CH46))),QH46/(1-MAX(0,CH46)*H_Exit)))</f>
        <v>0</v>
      </c>
      <c r="TV46" s="20" t="n">
        <f aca="false">IF(ALI45&lt;=0,0,IF(H_Direct=1,IF(CI46&lt;=0,QI46,IF(QI46&lt;=(XH46+AAU46)/CI46,QI46,(QI46-G46*(XH46+AAU46))/(1-G46*CI46))),QI46/(1-MAX(0,CI46)*H_Exit)))</f>
        <v>0</v>
      </c>
      <c r="TW46" s="20" t="n">
        <f aca="false">IF(ALJ45&lt;=0,0,IF(H_Direct=1,IF(CJ46&lt;=0,QJ46,IF(QJ46&lt;=(XI46+AAV46)/CJ46,QJ46,(QJ46-G46*(XI46+AAV46))/(1-G46*CJ46))),QJ46/(1-MAX(0,CJ46)*H_Exit)))</f>
        <v>0</v>
      </c>
      <c r="TX46" s="20" t="n">
        <f aca="false">IF(ALK45&lt;=0,0,IF(H_Direct=1,IF(CK46&lt;=0,QK46,IF(QK46&lt;=(XJ46+AAW46)/CK46,QK46,(QK46-G46*(XJ46+AAW46))/(1-G46*CK46))),QK46/(1-MAX(0,CK46)*H_Exit)))</f>
        <v>0</v>
      </c>
      <c r="TY46" s="20" t="n">
        <f aca="false">IF(ALL45&lt;=0,0,IF(H_Direct=1,IF(CL46&lt;=0,QL46,IF(QL46&lt;=(XK46+AAX46)/CL46,QL46,(QL46-G46*(XK46+AAX46))/(1-G46*CL46))),QL46/(1-MAX(0,CL46)*H_Exit)))</f>
        <v>0</v>
      </c>
      <c r="TZ46" s="20" t="n">
        <f aca="false">IF(ALM45&lt;=0,0,IF(H_Direct=1,IF(CM46&lt;=0,QM46,IF(QM46&lt;=(XL46+AAY46)/CM46,QM46,(QM46-G46*(XL46+AAY46))/(1-G46*CM46))),QM46/(1-MAX(0,CM46)*H_Exit)))</f>
        <v>0</v>
      </c>
      <c r="UA46" s="20" t="n">
        <f aca="false">IF(ALN45&lt;=0,0,IF(H_Direct=1,IF(CN46&lt;=0,QN46,IF(QN46&lt;=(XM46+AAZ46)/CN46,QN46,(QN46-G46*(XM46+AAZ46))/(1-G46*CN46))),QN46/(1-MAX(0,CN46)*H_Exit)))</f>
        <v>0</v>
      </c>
      <c r="UB46" s="20" t="n">
        <f aca="false">IF(ALO45&lt;=0,0,IF(H_Direct=1,IF(CO46&lt;=0,QO46,IF(QO46&lt;=(XN46+ABA46)/CO46,QO46,(QO46-G46*(XN46+ABA46))/(1-G46*CO46))),QO46/(1-MAX(0,CO46)*H_Exit)))</f>
        <v>0</v>
      </c>
      <c r="UC46" s="20" t="n">
        <f aca="false">IF(ALP45&lt;=0,0,IF(H_Direct=1,IF(CP46&lt;=0,QP46,IF(QP46&lt;=(XO46+ABB46)/CP46,QP46,(QP46-G46*(XO46+ABB46))/(1-G46*CP46))),QP46/(1-MAX(0,CP46)*H_Exit)))</f>
        <v>0</v>
      </c>
      <c r="UD46" s="20" t="n">
        <f aca="false">IF(ALQ45&lt;=0,0,IF(H_Direct=1,IF(CQ46&lt;=0,QQ46,IF(QQ46&lt;=(XP46+ABC46)/CQ46,QQ46,(QQ46-G46*(XP46+ABC46))/(1-G46*CQ46))),QQ46/(1-MAX(0,CQ46)*H_Exit)))</f>
        <v>0</v>
      </c>
      <c r="UE46" s="20" t="n">
        <f aca="false">IF(ALR45&lt;=0,0,IF(H_Direct=1,IF(CR46&lt;=0,QR46,IF(QR46&lt;=(XQ46+ABD46)/CR46,QR46,(QR46-G46*(XQ46+ABD46))/(1-G46*CR46))),QR46/(1-MAX(0,CR46)*H_Exit)))</f>
        <v>26449.8340288811</v>
      </c>
      <c r="UF46" s="20" t="n">
        <f aca="false">IF(ALS45&lt;=0,0,IF(H_Direct=1,IF(CS46&lt;=0,QS46,IF(QS46&lt;=(XR46+ABE46)/CS46,QS46,(QS46-G46*(XR46+ABE46))/(1-G46*CS46))),QS46/(1-MAX(0,CS46)*H_Exit)))</f>
        <v>0</v>
      </c>
      <c r="UG46" s="20" t="n">
        <f aca="false">IF(ALT45&lt;=0,0,IF(H_Direct=1,IF(CT46&lt;=0,QT46,IF(QT46&lt;=(XS46+ABF46)/CT46,QT46,(QT46-G46*(XS46+ABF46))/(1-G46*CT46))),QT46/(1-MAX(0,CT46)*H_Exit)))</f>
        <v>0</v>
      </c>
      <c r="UH46" s="20" t="n">
        <f aca="false">IF(ALU45&lt;=0,0,IF(H_Direct=1,IF(CU46&lt;=0,QU46,IF(QU46&lt;=(XT46+ABG46)/CU46,QU46,(QU46-G46*(XT46+ABG46))/(1-G46*CU46))),QU46/(1-MAX(0,CU46)*H_Exit)))</f>
        <v>0</v>
      </c>
      <c r="UI46" s="20" t="n">
        <f aca="false">IF(ALV45&lt;=0,0,IF(H_Direct=1,IF(CV46&lt;=0,QV46,IF(QV46&lt;=(XU46+ABH46)/CV46,QV46,(QV46-G46*(XU46+ABH46))/(1-G46*CV46))),QV46/(1-MAX(0,CV46)*H_Exit)))</f>
        <v>0</v>
      </c>
      <c r="UJ46" s="20" t="n">
        <f aca="false">IF(ALW45&lt;=0,0,IF(H_Direct=1,IF(CW46&lt;=0,QW46,IF(QW46&lt;=(XV46+ABI46)/CW46,QW46,(QW46-G46*(XV46+ABI46))/(1-G46*CW46))),QW46/(1-MAX(0,CW46)*H_Exit)))</f>
        <v>0</v>
      </c>
      <c r="UK46" s="20" t="n">
        <f aca="false">IF(ALX45&lt;=0,0,IF(H_Direct=1,IF(CX46&lt;=0,QX46,IF(QX46&lt;=(XW46+ABJ46)/CX46,QX46,(QX46-G46*(XW46+ABJ46))/(1-G46*CX46))),QX46/(1-MAX(0,CX46)*H_Exit)))</f>
        <v>0</v>
      </c>
      <c r="UL46" s="20" t="n">
        <f aca="false">IF(ALY45&lt;=0,0,IF(H_Direct=1,IF(CY46&lt;=0,QY46,IF(QY46&lt;=(XX46+ABK46)/CY46,QY46,(QY46-G46*(XX46+ABK46))/(1-G46*CY46))),QY46/(1-MAX(0,CY46)*H_Exit)))</f>
        <v>0</v>
      </c>
      <c r="UM46" s="20" t="n">
        <f aca="false">IF(ALZ45&lt;=0,0,IF(H_Direct=1,IF(CZ46&lt;=0,QZ46,IF(QZ46&lt;=(XY46+ABL46)/CZ46,QZ46,(QZ46-G46*(XY46+ABL46))/(1-G46*CZ46))),QZ46/(1-MAX(0,CZ46)*H_Exit)))</f>
        <v>0</v>
      </c>
      <c r="UN46" s="20" t="n">
        <f aca="false">IF(AMA45&lt;=0,0,IF(H_Direct=1,IF(DA46&lt;=0,RA46,IF(RA46&lt;=(XZ46+ABM46)/DA46,RA46,(RA46-G46*(XZ46+ABM46))/(1-G46*DA46))),RA46/(1-MAX(0,DA46)*H_Exit)))</f>
        <v>0</v>
      </c>
      <c r="UO46" s="20" t="n">
        <f aca="false">IF(AMB45&lt;=0,0,IF(H_Direct=1,IF(DB46&lt;=0,RB46,IF(RB46&lt;=(YA46+ABN46)/DB46,RB46,(RB46-G46*(YA46+ABN46))/(1-G46*DB46))),RB46/(1-MAX(0,DB46)*H_Exit)))</f>
        <v>0</v>
      </c>
      <c r="UP46" s="20" t="n">
        <f aca="false">IF(AMC45&lt;=0,0,IF(H_Direct=1,IF(DC46&lt;=0,RC46,IF(RC46&lt;=(YB46+ABO46)/DC46,RC46,(RC46-G46*(YB46+ABO46))/(1-G46*DC46))),RC46/(1-MAX(0,DC46)*H_Exit)))</f>
        <v>0</v>
      </c>
      <c r="UQ46" s="20" t="n">
        <f aca="false">IF(AMD45&lt;=0,0,IF(H_Direct=1,IF(DD46&lt;=0,RD46,IF(RD46&lt;=(YC46+ABP46)/DD46,RD46,(RD46-G46*(YC46+ABP46))/(1-G46*DD46))),RD46/(1-MAX(0,DD46)*H_Exit)))</f>
        <v>0</v>
      </c>
      <c r="UR46" s="20" t="n">
        <f aca="false">IF((P46+S46)&lt;=0,0,IF(H_Direct=1,IF(DE46&lt;=0,RE46,IF(RE46&lt;=(YD46+ABQ46)/DE46,RE46,(RE46-G46*(YD46+ABQ46))/(1-G46*DE46))),RE46/(1-MAX(0,DE46)*H_Exit)))</f>
        <v>0</v>
      </c>
      <c r="US46" s="20" t="n">
        <v>0</v>
      </c>
      <c r="UT46" s="20" t="n">
        <v>0</v>
      </c>
      <c r="UU46" s="20" t="n">
        <v>0</v>
      </c>
      <c r="UV46" s="20" t="n">
        <v>0</v>
      </c>
      <c r="UW46" s="20" t="n">
        <v>0</v>
      </c>
      <c r="UX46" s="20" t="n">
        <v>0</v>
      </c>
      <c r="UY46" s="20" t="n">
        <v>0</v>
      </c>
      <c r="UZ46" s="20" t="n">
        <v>0</v>
      </c>
      <c r="VA46" s="20" t="n">
        <v>0</v>
      </c>
      <c r="VB46" s="20" t="n">
        <v>0</v>
      </c>
      <c r="VC46" s="20" t="n">
        <v>0</v>
      </c>
      <c r="VD46" s="20" t="n">
        <v>0</v>
      </c>
      <c r="VE46" s="20" t="n">
        <v>0</v>
      </c>
      <c r="VF46" s="20" t="n">
        <v>0</v>
      </c>
      <c r="VG46" s="20" t="n">
        <v>0</v>
      </c>
      <c r="VH46" s="20" t="n">
        <v>0</v>
      </c>
      <c r="VI46" s="20" t="n">
        <v>0</v>
      </c>
      <c r="VJ46" s="20" t="n">
        <v>0</v>
      </c>
      <c r="VK46" s="20" t="n">
        <v>0</v>
      </c>
      <c r="VL46" s="20" t="n">
        <v>0</v>
      </c>
      <c r="VM46" s="20" t="n">
        <v>0</v>
      </c>
      <c r="VN46" s="20" t="n">
        <v>0</v>
      </c>
      <c r="VO46" s="20" t="n">
        <v>0</v>
      </c>
      <c r="VP46" s="20" t="n">
        <v>0</v>
      </c>
      <c r="VQ46" s="20" t="n">
        <v>0</v>
      </c>
      <c r="VR46" s="20" t="n">
        <v>0</v>
      </c>
      <c r="VS46" s="20" t="n">
        <v>0</v>
      </c>
      <c r="VT46" s="20" t="n">
        <v>0</v>
      </c>
      <c r="VU46" s="20" t="n">
        <v>0</v>
      </c>
      <c r="VV46" s="20" t="n">
        <v>0</v>
      </c>
      <c r="VW46" s="20" t="n">
        <v>0</v>
      </c>
      <c r="VX46" s="20" t="n">
        <v>0</v>
      </c>
      <c r="VY46" s="20" t="n">
        <v>0</v>
      </c>
      <c r="VZ46" s="20" t="n">
        <v>0</v>
      </c>
      <c r="WA46" s="20" t="n">
        <v>0</v>
      </c>
      <c r="WB46" s="20" t="n">
        <v>0</v>
      </c>
      <c r="WC46" s="20" t="n">
        <v>0</v>
      </c>
      <c r="WD46" s="20" t="n">
        <v>0</v>
      </c>
      <c r="WE46" s="20" t="n">
        <v>0</v>
      </c>
      <c r="WF46" s="20" t="n">
        <v>0</v>
      </c>
      <c r="WG46" s="20" t="n">
        <v>0</v>
      </c>
      <c r="WH46" s="20" t="n">
        <v>0</v>
      </c>
      <c r="WI46" s="20" t="n">
        <v>0</v>
      </c>
      <c r="WJ46" s="20" t="n">
        <v>0</v>
      </c>
      <c r="WK46" s="20" t="n">
        <v>0</v>
      </c>
      <c r="WL46" s="20" t="n">
        <v>0</v>
      </c>
      <c r="WM46" s="20" t="n">
        <v>0</v>
      </c>
      <c r="WN46" s="20" t="n">
        <v>0</v>
      </c>
      <c r="WO46" s="20" t="n">
        <v>0</v>
      </c>
      <c r="WP46" s="20" t="n">
        <v>0</v>
      </c>
      <c r="WQ46" s="20" t="n">
        <v>0</v>
      </c>
      <c r="WR46" s="20" t="n">
        <f aca="false">IF(AND(H_Direct=1,BR46&gt;0),MAX(0,H46-(MIN(BR46*TE46,(H46+I46))-MIN(MIN(BR46*TE46,(H46+I46)),I46))),H46)</f>
        <v>1270</v>
      </c>
      <c r="WS46" s="20" t="n">
        <f aca="false">IF(AND(H_Direct=1,BS46&gt;0),MAX(0,WR46-(MIN(BS46*TF46,(WR46+AAE46))-MIN(MIN(BS46*TF46,(WR46+AAE46)),AAE46))),WR46)</f>
        <v>1270</v>
      </c>
      <c r="WT46" s="20" t="n">
        <f aca="false">IF(AND(H_Direct=1,BT46&gt;0),MAX(0,WS46-(MIN(BT46*TG46,(WS46+AAF46))-MIN(MIN(BT46*TG46,(WS46+AAF46)),AAF46))),WS46)</f>
        <v>1270</v>
      </c>
      <c r="WU46" s="20" t="n">
        <f aca="false">IF(AND(H_Direct=1,BU46&gt;0),MAX(0,WT46-(MIN(BU46*TH46,(WT46+AAG46))-MIN(MIN(BU46*TH46,(WT46+AAG46)),AAG46))),WT46)</f>
        <v>1270</v>
      </c>
      <c r="WV46" s="20" t="n">
        <f aca="false">IF(AND(H_Direct=1,BV46&gt;0),MAX(0,WU46-(MIN(BV46*TI46,(WU46+AAH46))-MIN(MIN(BV46*TI46,(WU46+AAH46)),AAH46))),WU46)</f>
        <v>1270</v>
      </c>
      <c r="WW46" s="20" t="n">
        <f aca="false">IF(AND(H_Direct=1,BW46&gt;0),MAX(0,WV46-(MIN(BW46*TJ46,(WV46+AAI46))-MIN(MIN(BW46*TJ46,(WV46+AAI46)),AAI46))),WV46)</f>
        <v>1270</v>
      </c>
      <c r="WX46" s="20" t="n">
        <f aca="false">IF(AND(H_Direct=1,BX46&gt;0),MAX(0,WW46-(MIN(BX46*TK46,(WW46+AAJ46))-MIN(MIN(BX46*TK46,(WW46+AAJ46)),AAJ46))),WW46)</f>
        <v>1270</v>
      </c>
      <c r="WY46" s="20" t="n">
        <f aca="false">IF(AND(H_Direct=1,BY46&gt;0),MAX(0,WX46-(MIN(BY46*TL46,(WX46+AAK46))-MIN(MIN(BY46*TL46,(WX46+AAK46)),AAK46))),WX46)</f>
        <v>1270</v>
      </c>
      <c r="WZ46" s="20" t="n">
        <f aca="false">IF(AND(H_Direct=1,BZ46&gt;0),MAX(0,WY46-(MIN(BZ46*TM46,(WY46+AAL46))-MIN(MIN(BZ46*TM46,(WY46+AAL46)),AAL46))),WY46)</f>
        <v>1270</v>
      </c>
      <c r="XA46" s="20" t="n">
        <f aca="false">IF(AND(H_Direct=1,CA46&gt;0),MAX(0,WZ46-(MIN(CA46*TN46,(WZ46+AAM46))-MIN(MIN(CA46*TN46,(WZ46+AAM46)),AAM46))),WZ46)</f>
        <v>1270</v>
      </c>
      <c r="XB46" s="20" t="n">
        <f aca="false">IF(AND(H_Direct=1,CB46&gt;0),MAX(0,XA46-(MIN(CB46*TO46,(XA46+AAN46))-MIN(MIN(CB46*TO46,(XA46+AAN46)),AAN46))),XA46)</f>
        <v>1270</v>
      </c>
      <c r="XC46" s="20" t="n">
        <f aca="false">IF(AND(H_Direct=1,CC46&gt;0),MAX(0,XB46-(MIN(CC46*TP46,(XB46+AAO46))-MIN(MIN(CC46*TP46,(XB46+AAO46)),AAO46))),XB46)</f>
        <v>1270</v>
      </c>
      <c r="XD46" s="20" t="n">
        <f aca="false">IF(AND(H_Direct=1,CD46&gt;0),MAX(0,XC46-(MIN(CD46*TQ46,(XC46+AAP46))-MIN(MIN(CD46*TQ46,(XC46+AAP46)),AAP46))),XC46)</f>
        <v>1270</v>
      </c>
      <c r="XE46" s="20" t="n">
        <f aca="false">IF(AND(H_Direct=1,CE46&gt;0),MAX(0,XD46-(MIN(CE46*TR46,(XD46+AAQ46))-MIN(MIN(CE46*TR46,(XD46+AAQ46)),AAQ46))),XD46)</f>
        <v>1270</v>
      </c>
      <c r="XF46" s="20" t="n">
        <f aca="false">IF(AND(H_Direct=1,CF46&gt;0),MAX(0,XE46-(MIN(CF46*TS46,(XE46+AAR46))-MIN(MIN(CF46*TS46,(XE46+AAR46)),AAR46))),XE46)</f>
        <v>1270</v>
      </c>
      <c r="XG46" s="20" t="n">
        <f aca="false">IF(AND(H_Direct=1,CG46&gt;0),MAX(0,XF46-(MIN(CG46*TT46,(XF46+AAS46))-MIN(MIN(CG46*TT46,(XF46+AAS46)),AAS46))),XF46)</f>
        <v>1270</v>
      </c>
      <c r="XH46" s="20" t="n">
        <f aca="false">IF(AND(H_Direct=1,CH46&gt;0),MAX(0,XG46-(MIN(CH46*TU46,(XG46+AAT46))-MIN(MIN(CH46*TU46,(XG46+AAT46)),AAT46))),XG46)</f>
        <v>1270</v>
      </c>
      <c r="XI46" s="20" t="n">
        <f aca="false">IF(AND(H_Direct=1,CI46&gt;0),MAX(0,XH46-(MIN(CI46*TV46,(XH46+AAU46))-MIN(MIN(CI46*TV46,(XH46+AAU46)),AAU46))),XH46)</f>
        <v>1270</v>
      </c>
      <c r="XJ46" s="20" t="n">
        <f aca="false">IF(AND(H_Direct=1,CJ46&gt;0),MAX(0,XI46-(MIN(CJ46*TW46,(XI46+AAV46))-MIN(MIN(CJ46*TW46,(XI46+AAV46)),AAV46))),XI46)</f>
        <v>1270</v>
      </c>
      <c r="XK46" s="20" t="n">
        <f aca="false">IF(AND(H_Direct=1,CK46&gt;0),MAX(0,XJ46-(MIN(CK46*TX46,(XJ46+AAW46))-MIN(MIN(CK46*TX46,(XJ46+AAW46)),AAW46))),XJ46)</f>
        <v>1270</v>
      </c>
      <c r="XL46" s="20" t="n">
        <f aca="false">IF(AND(H_Direct=1,CL46&gt;0),MAX(0,XK46-(MIN(CL46*TY46,(XK46+AAX46))-MIN(MIN(CL46*TY46,(XK46+AAX46)),AAX46))),XK46)</f>
        <v>1270</v>
      </c>
      <c r="XM46" s="20" t="n">
        <f aca="false">IF(AND(H_Direct=1,CM46&gt;0),MAX(0,XL46-(MIN(CM46*TZ46,(XL46+AAY46))-MIN(MIN(CM46*TZ46,(XL46+AAY46)),AAY46))),XL46)</f>
        <v>1270</v>
      </c>
      <c r="XN46" s="20" t="n">
        <f aca="false">IF(AND(H_Direct=1,CN46&gt;0),MAX(0,XM46-(MIN(CN46*UA46,(XM46+AAZ46))-MIN(MIN(CN46*UA46,(XM46+AAZ46)),AAZ46))),XM46)</f>
        <v>1270</v>
      </c>
      <c r="XO46" s="20" t="n">
        <f aca="false">IF(AND(H_Direct=1,CO46&gt;0),MAX(0,XN46-(MIN(CO46*UB46,(XN46+ABA46))-MIN(MIN(CO46*UB46,(XN46+ABA46)),ABA46))),XN46)</f>
        <v>1270</v>
      </c>
      <c r="XP46" s="20" t="n">
        <f aca="false">IF(AND(H_Direct=1,CP46&gt;0),MAX(0,XO46-(MIN(CP46*UC46,(XO46+ABB46))-MIN(MIN(CP46*UC46,(XO46+ABB46)),ABB46))),XO46)</f>
        <v>1270</v>
      </c>
      <c r="XQ46" s="20" t="n">
        <f aca="false">IF(AND(H_Direct=1,CQ46&gt;0),MAX(0,XP46-(MIN(CQ46*UD46,(XP46+ABC46))-MIN(MIN(CQ46*UD46,(XP46+ABC46)),ABC46))),XP46)</f>
        <v>1270</v>
      </c>
      <c r="XR46" s="20" t="n">
        <f aca="false">IF(AND(H_Direct=1,CR46&gt;0),MAX(0,XQ46-(MIN(CR46*UE46,(XQ46+ABD46))-MIN(MIN(CR46*UE46,(XQ46+ABD46)),ABD46))),XQ46)</f>
        <v>1270</v>
      </c>
      <c r="XS46" s="20" t="n">
        <f aca="false">IF(AND(H_Direct=1,CS46&gt;0),MAX(0,XR46-(MIN(CS46*UF46,(XR46+ABE46))-MIN(MIN(CS46*UF46,(XR46+ABE46)),ABE46))),XR46)</f>
        <v>1270</v>
      </c>
      <c r="XT46" s="20" t="n">
        <f aca="false">IF(AND(H_Direct=1,CT46&gt;0),MAX(0,XS46-(MIN(CT46*UG46,(XS46+ABF46))-MIN(MIN(CT46*UG46,(XS46+ABF46)),ABF46))),XS46)</f>
        <v>1270</v>
      </c>
      <c r="XU46" s="20" t="n">
        <f aca="false">IF(AND(H_Direct=1,CU46&gt;0),MAX(0,XT46-(MIN(CU46*UH46,(XT46+ABG46))-MIN(MIN(CU46*UH46,(XT46+ABG46)),ABG46))),XT46)</f>
        <v>1270</v>
      </c>
      <c r="XV46" s="20" t="n">
        <f aca="false">IF(AND(H_Direct=1,CV46&gt;0),MAX(0,XU46-(MIN(CV46*UI46,(XU46+ABH46))-MIN(MIN(CV46*UI46,(XU46+ABH46)),ABH46))),XU46)</f>
        <v>1270</v>
      </c>
      <c r="XW46" s="20" t="n">
        <f aca="false">IF(AND(H_Direct=1,CW46&gt;0),MAX(0,XV46-(MIN(CW46*UJ46,(XV46+ABI46))-MIN(MIN(CW46*UJ46,(XV46+ABI46)),ABI46))),XV46)</f>
        <v>1270</v>
      </c>
      <c r="XX46" s="20" t="n">
        <f aca="false">IF(AND(H_Direct=1,CX46&gt;0),MAX(0,XW46-(MIN(CX46*UK46,(XW46+ABJ46))-MIN(MIN(CX46*UK46,(XW46+ABJ46)),ABJ46))),XW46)</f>
        <v>1270</v>
      </c>
      <c r="XY46" s="20" t="n">
        <f aca="false">IF(AND(H_Direct=1,CY46&gt;0),MAX(0,XX46-(MIN(CY46*UL46,(XX46+ABK46))-MIN(MIN(CY46*UL46,(XX46+ABK46)),ABK46))),XX46)</f>
        <v>1270</v>
      </c>
      <c r="XZ46" s="20" t="n">
        <f aca="false">IF(AND(H_Direct=1,CZ46&gt;0),MAX(0,XY46-(MIN(CZ46*UM46,(XY46+ABL46))-MIN(MIN(CZ46*UM46,(XY46+ABL46)),ABL46))),XY46)</f>
        <v>1270</v>
      </c>
      <c r="YA46" s="20" t="n">
        <f aca="false">IF(AND(H_Direct=1,DA46&gt;0),MAX(0,XZ46-(MIN(DA46*UN46,(XZ46+ABM46))-MIN(MIN(DA46*UN46,(XZ46+ABM46)),ABM46))),XZ46)</f>
        <v>1270</v>
      </c>
      <c r="YB46" s="20" t="n">
        <f aca="false">IF(AND(H_Direct=1,DB46&gt;0),MAX(0,YA46-(MIN(DB46*UO46,(YA46+ABN46))-MIN(MIN(DB46*UO46,(YA46+ABN46)),ABN46))),YA46)</f>
        <v>1270</v>
      </c>
      <c r="YC46" s="20" t="n">
        <f aca="false">IF(AND(H_Direct=1,DC46&gt;0),MAX(0,YB46-(MIN(DC46*UP46,(YB46+ABO46))-MIN(MIN(DC46*UP46,(YB46+ABO46)),ABO46))),YB46)</f>
        <v>1270</v>
      </c>
      <c r="YD46" s="20" t="n">
        <f aca="false">IF(AND(H_Direct=1,DD46&gt;0),MAX(0,YC46-(MIN(DD46*UQ46,(YC46+ABP46))-MIN(MIN(DD46*UQ46,(YC46+ABP46)),ABP46))),YC46)</f>
        <v>1270</v>
      </c>
      <c r="YE46" s="20" t="n">
        <f aca="false">IF(AND(H_Direct=1,DE46&gt;0),MAX(0,YD46-(MIN(DE46*UR46,(YD46+ABQ46))-MIN(MIN(DE46*UR46,(YD46+ABQ46)),ABQ46))),YD46)</f>
        <v>1270</v>
      </c>
      <c r="YF46" s="20" t="n">
        <f aca="false">YE46</f>
        <v>1270</v>
      </c>
      <c r="YG46" s="20" t="n">
        <f aca="false">YF46</f>
        <v>1270</v>
      </c>
      <c r="YH46" s="20" t="n">
        <f aca="false">YG46</f>
        <v>1270</v>
      </c>
      <c r="YI46" s="20" t="n">
        <f aca="false">YH46</f>
        <v>1270</v>
      </c>
      <c r="YJ46" s="20" t="n">
        <f aca="false">YI46</f>
        <v>1270</v>
      </c>
      <c r="YK46" s="20" t="n">
        <f aca="false">YJ46</f>
        <v>1270</v>
      </c>
      <c r="YL46" s="20" t="n">
        <f aca="false">YK46</f>
        <v>1270</v>
      </c>
      <c r="YM46" s="20" t="n">
        <f aca="false">YL46</f>
        <v>1270</v>
      </c>
      <c r="YN46" s="20" t="n">
        <f aca="false">YM46</f>
        <v>1270</v>
      </c>
      <c r="YO46" s="20" t="n">
        <f aca="false">YN46</f>
        <v>1270</v>
      </c>
      <c r="YP46" s="20" t="n">
        <f aca="false">YO46</f>
        <v>1270</v>
      </c>
      <c r="YQ46" s="20" t="n">
        <f aca="false">YP46</f>
        <v>1270</v>
      </c>
      <c r="YR46" s="20" t="n">
        <f aca="false">YQ46</f>
        <v>1270</v>
      </c>
      <c r="YS46" s="20" t="n">
        <f aca="false">YR46</f>
        <v>1270</v>
      </c>
      <c r="YT46" s="20" t="n">
        <f aca="false">YS46</f>
        <v>1270</v>
      </c>
      <c r="YU46" s="20" t="n">
        <f aca="false">YT46</f>
        <v>1270</v>
      </c>
      <c r="YV46" s="20" t="n">
        <f aca="false">YU46</f>
        <v>1270</v>
      </c>
      <c r="YW46" s="20" t="n">
        <f aca="false">YV46</f>
        <v>1270</v>
      </c>
      <c r="YX46" s="20" t="n">
        <f aca="false">YW46</f>
        <v>1270</v>
      </c>
      <c r="YY46" s="20" t="n">
        <f aca="false">YX46</f>
        <v>1270</v>
      </c>
      <c r="YZ46" s="20" t="n">
        <f aca="false">YY46</f>
        <v>1270</v>
      </c>
      <c r="ZA46" s="20" t="n">
        <f aca="false">YZ46</f>
        <v>1270</v>
      </c>
      <c r="ZB46" s="20" t="n">
        <f aca="false">ZA46</f>
        <v>1270</v>
      </c>
      <c r="ZC46" s="20" t="n">
        <f aca="false">ZB46</f>
        <v>1270</v>
      </c>
      <c r="ZD46" s="20" t="n">
        <f aca="false">ZC46</f>
        <v>1270</v>
      </c>
      <c r="ZE46" s="20" t="n">
        <f aca="false">ZD46</f>
        <v>1270</v>
      </c>
      <c r="ZF46" s="20" t="n">
        <f aca="false">ZE46</f>
        <v>1270</v>
      </c>
      <c r="ZG46" s="20" t="n">
        <f aca="false">ZF46</f>
        <v>1270</v>
      </c>
      <c r="ZH46" s="20" t="n">
        <f aca="false">ZG46</f>
        <v>1270</v>
      </c>
      <c r="ZI46" s="20" t="n">
        <f aca="false">ZH46</f>
        <v>1270</v>
      </c>
      <c r="ZJ46" s="20" t="n">
        <f aca="false">ZI46</f>
        <v>1270</v>
      </c>
      <c r="ZK46" s="20" t="n">
        <f aca="false">ZJ46</f>
        <v>1270</v>
      </c>
      <c r="ZL46" s="20" t="n">
        <f aca="false">ZK46</f>
        <v>1270</v>
      </c>
      <c r="ZM46" s="20" t="n">
        <f aca="false">ZL46</f>
        <v>1270</v>
      </c>
      <c r="ZN46" s="20" t="n">
        <f aca="false">ZM46</f>
        <v>1270</v>
      </c>
      <c r="ZO46" s="20" t="n">
        <f aca="false">ZN46</f>
        <v>1270</v>
      </c>
      <c r="ZP46" s="20" t="n">
        <f aca="false">ZO46</f>
        <v>1270</v>
      </c>
      <c r="ZQ46" s="20" t="n">
        <f aca="false">ZP46</f>
        <v>1270</v>
      </c>
      <c r="ZR46" s="20" t="n">
        <f aca="false">ZQ46</f>
        <v>1270</v>
      </c>
      <c r="ZS46" s="20" t="n">
        <f aca="false">ZR46</f>
        <v>1270</v>
      </c>
      <c r="ZT46" s="20" t="n">
        <f aca="false">ZS46</f>
        <v>1270</v>
      </c>
      <c r="ZU46" s="20" t="n">
        <f aca="false">ZT46</f>
        <v>1270</v>
      </c>
      <c r="ZV46" s="20" t="n">
        <f aca="false">ZU46</f>
        <v>1270</v>
      </c>
      <c r="ZW46" s="20" t="n">
        <f aca="false">ZV46</f>
        <v>1270</v>
      </c>
      <c r="ZX46" s="20" t="n">
        <f aca="false">ZW46</f>
        <v>1270</v>
      </c>
      <c r="ZY46" s="20" t="n">
        <f aca="false">ZX46</f>
        <v>1270</v>
      </c>
      <c r="ZZ46" s="20" t="n">
        <f aca="false">ZY46</f>
        <v>1270</v>
      </c>
      <c r="AAA46" s="20" t="n">
        <f aca="false">ZZ46</f>
        <v>1270</v>
      </c>
      <c r="AAB46" s="20" t="n">
        <f aca="false">AAA46</f>
        <v>1270</v>
      </c>
      <c r="AAC46" s="20" t="n">
        <f aca="false">AAB46</f>
        <v>1270</v>
      </c>
      <c r="AAD46" s="20" t="n">
        <f aca="false">AAC46</f>
        <v>1270</v>
      </c>
      <c r="AAE46" s="20" t="n">
        <f aca="false">IF(H_Direct=1,IF(BR46&lt;=0,I46-BR46*TE46,I46-MIN(MIN(BR46*TE46,(H46+I46)),I46)),I46)</f>
        <v>0</v>
      </c>
      <c r="AAF46" s="20" t="n">
        <f aca="false">IF(H_Direct=1,IF(BS46&lt;=0,AAE46-BS46*TF46,AAE46-MIN(MIN(BS46*TF46,(WR46+AAE46)),AAE46)),AAE46)</f>
        <v>0</v>
      </c>
      <c r="AAG46" s="20" t="n">
        <f aca="false">IF(H_Direct=1,IF(BT46&lt;=0,AAF46-BT46*TG46,AAF46-MIN(MIN(BT46*TG46,(WS46+AAF46)),AAF46)),AAF46)</f>
        <v>0</v>
      </c>
      <c r="AAH46" s="20" t="n">
        <f aca="false">IF(H_Direct=1,IF(BU46&lt;=0,AAG46-BU46*TH46,AAG46-MIN(MIN(BU46*TH46,(WT46+AAG46)),AAG46)),AAG46)</f>
        <v>0</v>
      </c>
      <c r="AAI46" s="20" t="n">
        <f aca="false">IF(H_Direct=1,IF(BV46&lt;=0,AAH46-BV46*TI46,AAH46-MIN(MIN(BV46*TI46,(WU46+AAH46)),AAH46)),AAH46)</f>
        <v>0</v>
      </c>
      <c r="AAJ46" s="20" t="n">
        <f aca="false">IF(H_Direct=1,IF(BW46&lt;=0,AAI46-BW46*TJ46,AAI46-MIN(MIN(BW46*TJ46,(WV46+AAI46)),AAI46)),AAI46)</f>
        <v>0</v>
      </c>
      <c r="AAK46" s="20" t="n">
        <f aca="false">IF(H_Direct=1,IF(BX46&lt;=0,AAJ46-BX46*TK46,AAJ46-MIN(MIN(BX46*TK46,(WW46+AAJ46)),AAJ46)),AAJ46)</f>
        <v>0</v>
      </c>
      <c r="AAL46" s="20" t="n">
        <f aca="false">IF(H_Direct=1,IF(BY46&lt;=0,AAK46-BY46*TL46,AAK46-MIN(MIN(BY46*TL46,(WX46+AAK46)),AAK46)),AAK46)</f>
        <v>0</v>
      </c>
      <c r="AAM46" s="20" t="n">
        <f aca="false">IF(H_Direct=1,IF(BZ46&lt;=0,AAL46-BZ46*TM46,AAL46-MIN(MIN(BZ46*TM46,(WY46+AAL46)),AAL46)),AAL46)</f>
        <v>0</v>
      </c>
      <c r="AAN46" s="20" t="n">
        <f aca="false">IF(H_Direct=1,IF(CA46&lt;=0,AAM46-CA46*TN46,AAM46-MIN(MIN(CA46*TN46,(WZ46+AAM46)),AAM46)),AAM46)</f>
        <v>0</v>
      </c>
      <c r="AAO46" s="20" t="n">
        <f aca="false">IF(H_Direct=1,IF(CB46&lt;=0,AAN46-CB46*TO46,AAN46-MIN(MIN(CB46*TO46,(XA46+AAN46)),AAN46)),AAN46)</f>
        <v>0</v>
      </c>
      <c r="AAP46" s="20" t="n">
        <f aca="false">IF(H_Direct=1,IF(CC46&lt;=0,AAO46-CC46*TP46,AAO46-MIN(MIN(CC46*TP46,(XB46+AAO46)),AAO46)),AAO46)</f>
        <v>0</v>
      </c>
      <c r="AAQ46" s="20" t="n">
        <f aca="false">IF(H_Direct=1,IF(CD46&lt;=0,AAP46-CD46*TQ46,AAP46-MIN(MIN(CD46*TQ46,(XC46+AAP46)),AAP46)),AAP46)</f>
        <v>0</v>
      </c>
      <c r="AAR46" s="20" t="n">
        <f aca="false">IF(H_Direct=1,IF(CE46&lt;=0,AAQ46-CE46*TR46,AAQ46-MIN(MIN(CE46*TR46,(XD46+AAQ46)),AAQ46)),AAQ46)</f>
        <v>0</v>
      </c>
      <c r="AAS46" s="20" t="n">
        <f aca="false">IF(H_Direct=1,IF(CF46&lt;=0,AAR46-CF46*TS46,AAR46-MIN(MIN(CF46*TS46,(XE46+AAR46)),AAR46)),AAR46)</f>
        <v>0</v>
      </c>
      <c r="AAT46" s="20" t="n">
        <f aca="false">IF(H_Direct=1,IF(CG46&lt;=0,AAS46-CG46*TT46,AAS46-MIN(MIN(CG46*TT46,(XF46+AAS46)),AAS46)),AAS46)</f>
        <v>0</v>
      </c>
      <c r="AAU46" s="20" t="n">
        <f aca="false">IF(H_Direct=1,IF(CH46&lt;=0,AAT46-CH46*TU46,AAT46-MIN(MIN(CH46*TU46,(XG46+AAT46)),AAT46)),AAT46)</f>
        <v>0</v>
      </c>
      <c r="AAV46" s="20" t="n">
        <f aca="false">IF(H_Direct=1,IF(CI46&lt;=0,AAU46-CI46*TV46,AAU46-MIN(MIN(CI46*TV46,(XH46+AAU46)),AAU46)),AAU46)</f>
        <v>0</v>
      </c>
      <c r="AAW46" s="20" t="n">
        <f aca="false">IF(H_Direct=1,IF(CJ46&lt;=0,AAV46-CJ46*TW46,AAV46-MIN(MIN(CJ46*TW46,(XI46+AAV46)),AAV46)),AAV46)</f>
        <v>0</v>
      </c>
      <c r="AAX46" s="20" t="n">
        <f aca="false">IF(H_Direct=1,IF(CK46&lt;=0,AAW46-CK46*TX46,AAW46-MIN(MIN(CK46*TX46,(XJ46+AAW46)),AAW46)),AAW46)</f>
        <v>0</v>
      </c>
      <c r="AAY46" s="20" t="n">
        <f aca="false">IF(H_Direct=1,IF(CL46&lt;=0,AAX46-CL46*TY46,AAX46-MIN(MIN(CL46*TY46,(XK46+AAX46)),AAX46)),AAX46)</f>
        <v>0</v>
      </c>
      <c r="AAZ46" s="20" t="n">
        <f aca="false">IF(H_Direct=1,IF(CM46&lt;=0,AAY46-CM46*TZ46,AAY46-MIN(MIN(CM46*TZ46,(XL46+AAY46)),AAY46)),AAY46)</f>
        <v>0</v>
      </c>
      <c r="ABA46" s="20" t="n">
        <f aca="false">IF(H_Direct=1,IF(CN46&lt;=0,AAZ46-CN46*UA46,AAZ46-MIN(MIN(CN46*UA46,(XM46+AAZ46)),AAZ46)),AAZ46)</f>
        <v>0</v>
      </c>
      <c r="ABB46" s="20" t="n">
        <f aca="false">IF(H_Direct=1,IF(CO46&lt;=0,ABA46-CO46*UB46,ABA46-MIN(MIN(CO46*UB46,(XN46+ABA46)),ABA46)),ABA46)</f>
        <v>0</v>
      </c>
      <c r="ABC46" s="20" t="n">
        <f aca="false">IF(H_Direct=1,IF(CP46&lt;=0,ABB46-CP46*UC46,ABB46-MIN(MIN(CP46*UC46,(XO46+ABB46)),ABB46)),ABB46)</f>
        <v>0</v>
      </c>
      <c r="ABD46" s="20" t="n">
        <f aca="false">IF(H_Direct=1,IF(CQ46&lt;=0,ABC46-CQ46*UD46,ABC46-MIN(MIN(CQ46*UD46,(XP46+ABC46)),ABC46)),ABC46)</f>
        <v>0</v>
      </c>
      <c r="ABE46" s="20" t="n">
        <f aca="false">IF(H_Direct=1,IF(CR46&lt;=0,ABD46-CR46*UE46,ABD46-MIN(MIN(CR46*UE46,(XQ46+ABD46)),ABD46)),ABD46)</f>
        <v>0</v>
      </c>
      <c r="ABF46" s="20" t="n">
        <f aca="false">IF(H_Direct=1,IF(CS46&lt;=0,ABE46-CS46*UF46,ABE46-MIN(MIN(CS46*UF46,(XR46+ABE46)),ABE46)),ABE46)</f>
        <v>0</v>
      </c>
      <c r="ABG46" s="20" t="n">
        <f aca="false">IF(H_Direct=1,IF(CT46&lt;=0,ABF46-CT46*UG46,ABF46-MIN(MIN(CT46*UG46,(XS46+ABF46)),ABF46)),ABF46)</f>
        <v>0</v>
      </c>
      <c r="ABH46" s="20" t="n">
        <f aca="false">IF(H_Direct=1,IF(CU46&lt;=0,ABG46-CU46*UH46,ABG46-MIN(MIN(CU46*UH46,(XT46+ABG46)),ABG46)),ABG46)</f>
        <v>0</v>
      </c>
      <c r="ABI46" s="20" t="n">
        <f aca="false">IF(H_Direct=1,IF(CV46&lt;=0,ABH46-CV46*UI46,ABH46-MIN(MIN(CV46*UI46,(XU46+ABH46)),ABH46)),ABH46)</f>
        <v>0</v>
      </c>
      <c r="ABJ46" s="20" t="n">
        <f aca="false">IF(H_Direct=1,IF(CW46&lt;=0,ABI46-CW46*UJ46,ABI46-MIN(MIN(CW46*UJ46,(XV46+ABI46)),ABI46)),ABI46)</f>
        <v>0</v>
      </c>
      <c r="ABK46" s="20" t="n">
        <f aca="false">IF(H_Direct=1,IF(CX46&lt;=0,ABJ46-CX46*UK46,ABJ46-MIN(MIN(CX46*UK46,(XW46+ABJ46)),ABJ46)),ABJ46)</f>
        <v>0</v>
      </c>
      <c r="ABL46" s="20" t="n">
        <f aca="false">IF(H_Direct=1,IF(CY46&lt;=0,ABK46-CY46*UL46,ABK46-MIN(MIN(CY46*UL46,(XX46+ABK46)),ABK46)),ABK46)</f>
        <v>0</v>
      </c>
      <c r="ABM46" s="20" t="n">
        <f aca="false">IF(H_Direct=1,IF(CZ46&lt;=0,ABL46-CZ46*UM46,ABL46-MIN(MIN(CZ46*UM46,(XY46+ABL46)),ABL46)),ABL46)</f>
        <v>0</v>
      </c>
      <c r="ABN46" s="20" t="n">
        <f aca="false">IF(H_Direct=1,IF(DA46&lt;=0,ABM46-DA46*UN46,ABM46-MIN(MIN(DA46*UN46,(XZ46+ABM46)),ABM46)),ABM46)</f>
        <v>0</v>
      </c>
      <c r="ABO46" s="20" t="n">
        <f aca="false">IF(H_Direct=1,IF(DB46&lt;=0,ABN46-DB46*UO46,ABN46-MIN(MIN(DB46*UO46,(YA46+ABN46)),ABN46)),ABN46)</f>
        <v>0</v>
      </c>
      <c r="ABP46" s="20" t="n">
        <f aca="false">IF(H_Direct=1,IF(DC46&lt;=0,ABO46-DC46*UP46,ABO46-MIN(MIN(DC46*UP46,(YB46+ABO46)),ABO46)),ABO46)</f>
        <v>0</v>
      </c>
      <c r="ABQ46" s="20" t="n">
        <f aca="false">IF(H_Direct=1,IF(DD46&lt;=0,ABP46-DD46*UQ46,ABP46-MIN(MIN(DD46*UQ46,(YC46+ABP46)),ABP46)),ABP46)</f>
        <v>0</v>
      </c>
      <c r="ABR46" s="20" t="n">
        <f aca="false">IF(H_Direct=1,IF(DE46&lt;=0,ABQ46-DE46*UR46,ABQ46-MIN(MIN(DE46*UR46,(YD46+ABQ46)),ABQ46)),ABQ46)</f>
        <v>0</v>
      </c>
      <c r="ABS46" s="20" t="n">
        <f aca="false">ABR46</f>
        <v>0</v>
      </c>
      <c r="ABT46" s="20" t="n">
        <f aca="false">ABS46</f>
        <v>0</v>
      </c>
      <c r="ABU46" s="20" t="n">
        <f aca="false">ABT46</f>
        <v>0</v>
      </c>
      <c r="ABV46" s="20" t="n">
        <f aca="false">ABU46</f>
        <v>0</v>
      </c>
      <c r="ABW46" s="20" t="n">
        <f aca="false">ABV46</f>
        <v>0</v>
      </c>
      <c r="ABX46" s="20" t="n">
        <f aca="false">ABW46</f>
        <v>0</v>
      </c>
      <c r="ABY46" s="20" t="n">
        <f aca="false">ABX46</f>
        <v>0</v>
      </c>
      <c r="ABZ46" s="20" t="n">
        <f aca="false">ABY46</f>
        <v>0</v>
      </c>
      <c r="ACA46" s="20" t="n">
        <f aca="false">ABZ46</f>
        <v>0</v>
      </c>
      <c r="ACB46" s="20" t="n">
        <f aca="false">ACA46</f>
        <v>0</v>
      </c>
      <c r="ACC46" s="20" t="n">
        <f aca="false">ACB46</f>
        <v>0</v>
      </c>
      <c r="ACD46" s="20" t="n">
        <f aca="false">ACC46</f>
        <v>0</v>
      </c>
      <c r="ACE46" s="20" t="n">
        <f aca="false">ACD46</f>
        <v>0</v>
      </c>
      <c r="ACF46" s="20" t="n">
        <f aca="false">ACE46</f>
        <v>0</v>
      </c>
      <c r="ACG46" s="20" t="n">
        <f aca="false">ACF46</f>
        <v>0</v>
      </c>
      <c r="ACH46" s="20" t="n">
        <f aca="false">ACG46</f>
        <v>0</v>
      </c>
      <c r="ACI46" s="20" t="n">
        <f aca="false">ACH46</f>
        <v>0</v>
      </c>
      <c r="ACJ46" s="20" t="n">
        <f aca="false">ACI46</f>
        <v>0</v>
      </c>
      <c r="ACK46" s="20" t="n">
        <f aca="false">ACJ46</f>
        <v>0</v>
      </c>
      <c r="ACL46" s="20" t="n">
        <f aca="false">ACK46</f>
        <v>0</v>
      </c>
      <c r="ACM46" s="20" t="n">
        <f aca="false">ACL46</f>
        <v>0</v>
      </c>
      <c r="ACN46" s="20" t="n">
        <f aca="false">ACM46</f>
        <v>0</v>
      </c>
      <c r="ACO46" s="20" t="n">
        <f aca="false">ACN46</f>
        <v>0</v>
      </c>
      <c r="ACP46" s="20" t="n">
        <f aca="false">ACO46</f>
        <v>0</v>
      </c>
      <c r="ACQ46" s="20" t="n">
        <f aca="false">ACP46</f>
        <v>0</v>
      </c>
      <c r="ACR46" s="20" t="n">
        <f aca="false">ACQ46</f>
        <v>0</v>
      </c>
      <c r="ACS46" s="20" t="n">
        <f aca="false">ACR46</f>
        <v>0</v>
      </c>
      <c r="ACT46" s="20" t="n">
        <f aca="false">ACS46</f>
        <v>0</v>
      </c>
      <c r="ACU46" s="20" t="n">
        <f aca="false">ACT46</f>
        <v>0</v>
      </c>
      <c r="ACV46" s="20" t="n">
        <f aca="false">ACU46</f>
        <v>0</v>
      </c>
      <c r="ACW46" s="20" t="n">
        <f aca="false">ACV46</f>
        <v>0</v>
      </c>
      <c r="ACX46" s="20" t="n">
        <f aca="false">ACW46</f>
        <v>0</v>
      </c>
      <c r="ACY46" s="20" t="n">
        <f aca="false">ACX46</f>
        <v>0</v>
      </c>
      <c r="ACZ46" s="20" t="n">
        <f aca="false">ACY46</f>
        <v>0</v>
      </c>
      <c r="ADA46" s="20" t="n">
        <f aca="false">ACZ46</f>
        <v>0</v>
      </c>
      <c r="ADB46" s="20" t="n">
        <f aca="false">ADA46</f>
        <v>0</v>
      </c>
      <c r="ADC46" s="20" t="n">
        <f aca="false">ADB46</f>
        <v>0</v>
      </c>
      <c r="ADD46" s="20" t="n">
        <f aca="false">ADC46</f>
        <v>0</v>
      </c>
      <c r="ADE46" s="20" t="n">
        <f aca="false">ADD46</f>
        <v>0</v>
      </c>
      <c r="ADF46" s="20" t="n">
        <f aca="false">ADE46</f>
        <v>0</v>
      </c>
      <c r="ADG46" s="20" t="n">
        <f aca="false">ADF46</f>
        <v>0</v>
      </c>
      <c r="ADH46" s="20" t="n">
        <f aca="false">ADG46</f>
        <v>0</v>
      </c>
      <c r="ADI46" s="20" t="n">
        <f aca="false">ADH46</f>
        <v>0</v>
      </c>
      <c r="ADJ46" s="20" t="n">
        <f aca="false">ADI46</f>
        <v>0</v>
      </c>
      <c r="ADK46" s="20" t="n">
        <f aca="false">ADJ46</f>
        <v>0</v>
      </c>
      <c r="ADL46" s="20" t="n">
        <f aca="false">ADK46</f>
        <v>0</v>
      </c>
      <c r="ADM46" s="20" t="n">
        <f aca="false">ADL46</f>
        <v>0</v>
      </c>
      <c r="ADN46" s="20" t="n">
        <f aca="false">ADM46</f>
        <v>0</v>
      </c>
      <c r="ADO46" s="20" t="n">
        <f aca="false">ADN46</f>
        <v>0</v>
      </c>
      <c r="ADP46" s="20" t="n">
        <f aca="false">ADO46</f>
        <v>0</v>
      </c>
      <c r="ADQ46" s="20" t="n">
        <f aca="false">ADP46</f>
        <v>0</v>
      </c>
      <c r="ADR46" s="20" t="n">
        <f aca="false">(AKR45-TE46+0)*(1+BQ46)</f>
        <v>0</v>
      </c>
      <c r="ADS46" s="20" t="n">
        <f aca="false">(AKS45-TF46+0)*(1+BQ46)</f>
        <v>0</v>
      </c>
      <c r="ADT46" s="20" t="n">
        <f aca="false">(AKT45-TG46+0)*(1+BQ46)</f>
        <v>0</v>
      </c>
      <c r="ADU46" s="20" t="n">
        <f aca="false">(AKU45-TH46+0)*(1+BQ46)</f>
        <v>0</v>
      </c>
      <c r="ADV46" s="20" t="n">
        <f aca="false">(AKV45-TI46+0)*(1+BQ46)</f>
        <v>0</v>
      </c>
      <c r="ADW46" s="20" t="n">
        <f aca="false">(AKW45-TJ46+0)*(1+BQ46)</f>
        <v>0</v>
      </c>
      <c r="ADX46" s="20" t="n">
        <f aca="false">(AKX45-TK46+0)*(1+BQ46)</f>
        <v>0</v>
      </c>
      <c r="ADY46" s="20" t="n">
        <f aca="false">(AKY45-TL46+0)*(1+BQ46)</f>
        <v>0</v>
      </c>
      <c r="ADZ46" s="20" t="n">
        <f aca="false">(AKZ45-TM46+0)*(1+BQ46)</f>
        <v>0</v>
      </c>
      <c r="AEA46" s="20" t="n">
        <f aca="false">(ALA45-TN46+0)*(1+BQ46)</f>
        <v>0</v>
      </c>
      <c r="AEB46" s="20" t="n">
        <f aca="false">(ALB45-TO46+0)*(1+BQ46)</f>
        <v>0</v>
      </c>
      <c r="AEC46" s="20" t="n">
        <f aca="false">(ALC45-TP46+0)*(1+BQ46)</f>
        <v>0</v>
      </c>
      <c r="AED46" s="20" t="n">
        <f aca="false">(ALD45-TQ46+0)*(1+BQ46)</f>
        <v>0</v>
      </c>
      <c r="AEE46" s="20" t="n">
        <f aca="false">(ALE45-TR46+0)*(1+BQ46)</f>
        <v>0</v>
      </c>
      <c r="AEF46" s="20" t="n">
        <f aca="false">(ALF45-TS46+0)*(1+BQ46)</f>
        <v>0</v>
      </c>
      <c r="AEG46" s="20" t="n">
        <f aca="false">(ALG45-TT46+0)*(1+BQ46)</f>
        <v>0</v>
      </c>
      <c r="AEH46" s="20" t="n">
        <f aca="false">(ALH45-TU46+0)*(1+BQ46)</f>
        <v>0</v>
      </c>
      <c r="AEI46" s="20" t="n">
        <f aca="false">(ALI45-TV46+0)*(1+BQ46)</f>
        <v>0</v>
      </c>
      <c r="AEJ46" s="20" t="n">
        <f aca="false">(ALJ45-TW46+0)*(1+BQ46)</f>
        <v>0</v>
      </c>
      <c r="AEK46" s="20" t="n">
        <f aca="false">(ALK45-TX46+0)*(1+BQ46)</f>
        <v>0</v>
      </c>
      <c r="AEL46" s="20" t="n">
        <f aca="false">(ALL45-TY46+0)*(1+BQ46)</f>
        <v>0</v>
      </c>
      <c r="AEM46" s="20" t="n">
        <f aca="false">(ALM45-TZ46+0)*(1+BQ46)</f>
        <v>0</v>
      </c>
      <c r="AEN46" s="20" t="n">
        <f aca="false">(ALN45-UA46+0)*(1+BQ46)</f>
        <v>0</v>
      </c>
      <c r="AEO46" s="20" t="n">
        <f aca="false">(ALO45-UB46+0)*(1+BQ46)</f>
        <v>0</v>
      </c>
      <c r="AEP46" s="20" t="n">
        <f aca="false">(ALP45-UC46+0)*(1+BQ46)</f>
        <v>0</v>
      </c>
      <c r="AEQ46" s="20" t="n">
        <f aca="false">(ALQ45-UD46+0)*(1+BQ46)</f>
        <v>0</v>
      </c>
      <c r="AER46" s="20" t="n">
        <f aca="false">(ALR45-UE46+0)*(1+BQ46)</f>
        <v>8444.09247550955</v>
      </c>
      <c r="AES46" s="20" t="n">
        <f aca="false">(ALS45-UF46+0)*(1+BQ46)</f>
        <v>0</v>
      </c>
      <c r="AET46" s="20" t="n">
        <f aca="false">(ALT45-UG46+0)*(1+BQ46)</f>
        <v>0</v>
      </c>
      <c r="AEU46" s="20" t="n">
        <f aca="false">(ALU45-UH46+0)*(1+BQ46)</f>
        <v>2389.95460233956</v>
      </c>
      <c r="AEV46" s="20" t="n">
        <f aca="false">(ALV45-UI46+0)*(1+BQ46)</f>
        <v>0</v>
      </c>
      <c r="AEW46" s="20" t="n">
        <f aca="false">(ALW45-UJ46+0)*(1+BQ46)</f>
        <v>0</v>
      </c>
      <c r="AEX46" s="20" t="n">
        <f aca="false">(ALX45-UK46+0)*(1+BQ46)</f>
        <v>0</v>
      </c>
      <c r="AEY46" s="20" t="n">
        <f aca="false">(ALY45-UL46+0)*(1+BQ46)</f>
        <v>0</v>
      </c>
      <c r="AEZ46" s="20" t="n">
        <f aca="false">(ALZ45-UM46+0)*(1+BQ46)</f>
        <v>0</v>
      </c>
      <c r="AFA46" s="20" t="n">
        <f aca="false">(AMA45-UN46+0)*(1+BQ46)</f>
        <v>0</v>
      </c>
      <c r="AFB46" s="20" t="n">
        <f aca="false">(AMB45-UO46+0)*(1+BQ46)</f>
        <v>0</v>
      </c>
      <c r="AFC46" s="20" t="n">
        <f aca="false">(AMC45-UP46+0)*(1+BQ46)</f>
        <v>0</v>
      </c>
      <c r="AFD46" s="20" t="n">
        <f aca="false">(AMD45-UQ46+0)*(1+BQ46)</f>
        <v>0</v>
      </c>
      <c r="AFE46" s="20" t="n">
        <f aca="false">((P46+S46)-UR46+BE46)*(1+BQ46)</f>
        <v>0</v>
      </c>
      <c r="AFF46" s="20" t="n">
        <v>0</v>
      </c>
      <c r="AFG46" s="20" t="n">
        <v>0</v>
      </c>
      <c r="AFH46" s="20" t="n">
        <v>0</v>
      </c>
      <c r="AFI46" s="20" t="n">
        <v>0</v>
      </c>
      <c r="AFJ46" s="20" t="n">
        <v>0</v>
      </c>
      <c r="AFK46" s="20" t="n">
        <v>0</v>
      </c>
      <c r="AFL46" s="20" t="n">
        <v>0</v>
      </c>
      <c r="AFM46" s="20" t="n">
        <v>0</v>
      </c>
      <c r="AFN46" s="20" t="n">
        <v>0</v>
      </c>
      <c r="AFO46" s="20" t="n">
        <v>0</v>
      </c>
      <c r="AFP46" s="20" t="n">
        <v>0</v>
      </c>
      <c r="AFQ46" s="20" t="n">
        <v>0</v>
      </c>
      <c r="AFR46" s="20" t="n">
        <v>0</v>
      </c>
      <c r="AFS46" s="20" t="n">
        <v>0</v>
      </c>
      <c r="AFT46" s="20" t="n">
        <v>0</v>
      </c>
      <c r="AFU46" s="20" t="n">
        <v>0</v>
      </c>
      <c r="AFV46" s="20" t="n">
        <v>0</v>
      </c>
      <c r="AFW46" s="20" t="n">
        <v>0</v>
      </c>
      <c r="AFX46" s="20" t="n">
        <v>0</v>
      </c>
      <c r="AFY46" s="20" t="n">
        <v>0</v>
      </c>
      <c r="AFZ46" s="20" t="n">
        <v>0</v>
      </c>
      <c r="AGA46" s="20" t="n">
        <v>0</v>
      </c>
      <c r="AGB46" s="20" t="n">
        <v>0</v>
      </c>
      <c r="AGC46" s="20" t="n">
        <v>0</v>
      </c>
      <c r="AGD46" s="20" t="n">
        <v>0</v>
      </c>
      <c r="AGE46" s="20" t="n">
        <v>0</v>
      </c>
      <c r="AGF46" s="20" t="n">
        <v>0</v>
      </c>
      <c r="AGG46" s="20" t="n">
        <v>0</v>
      </c>
      <c r="AGH46" s="20" t="n">
        <v>0</v>
      </c>
      <c r="AGI46" s="20" t="n">
        <v>0</v>
      </c>
      <c r="AGJ46" s="20" t="n">
        <v>0</v>
      </c>
      <c r="AGK46" s="20" t="n">
        <v>0</v>
      </c>
      <c r="AGL46" s="20" t="n">
        <v>0</v>
      </c>
      <c r="AGM46" s="20" t="n">
        <v>0</v>
      </c>
      <c r="AGN46" s="20" t="n">
        <v>0</v>
      </c>
      <c r="AGO46" s="20" t="n">
        <v>0</v>
      </c>
      <c r="AGP46" s="20" t="n">
        <v>0</v>
      </c>
      <c r="AGQ46" s="20" t="n">
        <v>0</v>
      </c>
      <c r="AGR46" s="20" t="n">
        <v>0</v>
      </c>
      <c r="AGS46" s="20" t="n">
        <v>0</v>
      </c>
      <c r="AGT46" s="20" t="n">
        <v>0</v>
      </c>
      <c r="AGU46" s="20" t="n">
        <v>0</v>
      </c>
      <c r="AGV46" s="20" t="n">
        <v>0</v>
      </c>
      <c r="AGW46" s="20" t="n">
        <v>0</v>
      </c>
      <c r="AGX46" s="20" t="n">
        <v>0</v>
      </c>
      <c r="AGY46" s="20" t="n">
        <v>0</v>
      </c>
      <c r="AGZ46" s="20" t="n">
        <v>0</v>
      </c>
      <c r="AHA46" s="20" t="n">
        <v>0</v>
      </c>
      <c r="AHB46" s="20" t="n">
        <v>0</v>
      </c>
      <c r="AHC46" s="20" t="n">
        <v>0</v>
      </c>
      <c r="AHD46" s="20" t="n">
        <v>0</v>
      </c>
      <c r="AHE46" s="20" t="n">
        <f aca="false">IF(AKR45&gt;0,AOE45-AOE45*TE46/AKR45,0)+0</f>
        <v>0</v>
      </c>
      <c r="AHF46" s="20" t="n">
        <f aca="false">IF(AKS45&gt;0,AOF45-AOF45*TF46/AKS45,0)+0</f>
        <v>0</v>
      </c>
      <c r="AHG46" s="20" t="n">
        <f aca="false">IF(AKT45&gt;0,AOG45-AOG45*TG46/AKT45,0)+0</f>
        <v>0</v>
      </c>
      <c r="AHH46" s="20" t="n">
        <f aca="false">IF(AKU45&gt;0,AOH45-AOH45*TH46/AKU45,0)+0</f>
        <v>0</v>
      </c>
      <c r="AHI46" s="20" t="n">
        <f aca="false">IF(AKV45&gt;0,AOI45-AOI45*TI46/AKV45,0)+0</f>
        <v>0</v>
      </c>
      <c r="AHJ46" s="20" t="n">
        <f aca="false">IF(AKW45&gt;0,AOJ45-AOJ45*TJ46/AKW45,0)+0</f>
        <v>0</v>
      </c>
      <c r="AHK46" s="20" t="n">
        <f aca="false">IF(AKX45&gt;0,AOK45-AOK45*TK46/AKX45,0)+0</f>
        <v>0</v>
      </c>
      <c r="AHL46" s="20" t="n">
        <f aca="false">IF(AKY45&gt;0,AOL45-AOL45*TL46/AKY45,0)+0</f>
        <v>0</v>
      </c>
      <c r="AHM46" s="20" t="n">
        <f aca="false">IF(AKZ45&gt;0,AOM45-AOM45*TM46/AKZ45,0)+0</f>
        <v>0</v>
      </c>
      <c r="AHN46" s="20" t="n">
        <f aca="false">IF(ALA45&gt;0,AON45-AON45*TN46/ALA45,0)+0</f>
        <v>0</v>
      </c>
      <c r="AHO46" s="20" t="n">
        <f aca="false">IF(ALB45&gt;0,AOO45-AOO45*TO46/ALB45,0)+0</f>
        <v>0</v>
      </c>
      <c r="AHP46" s="20" t="n">
        <f aca="false">IF(ALC45&gt;0,AOP45-AOP45*TP46/ALC45,0)+0</f>
        <v>0</v>
      </c>
      <c r="AHQ46" s="20" t="n">
        <f aca="false">IF(ALD45&gt;0,AOQ45-AOQ45*TQ46/ALD45,0)+0</f>
        <v>0</v>
      </c>
      <c r="AHR46" s="20" t="n">
        <f aca="false">IF(ALE45&gt;0,AOR45-AOR45*TR46/ALE45,0)+0</f>
        <v>0</v>
      </c>
      <c r="AHS46" s="20" t="n">
        <f aca="false">IF(ALF45&gt;0,AOS45-AOS45*TS46/ALF45,0)+0</f>
        <v>0</v>
      </c>
      <c r="AHT46" s="20" t="n">
        <f aca="false">IF(ALG45&gt;0,AOT45-AOT45*TT46/ALG45,0)+0</f>
        <v>0</v>
      </c>
      <c r="AHU46" s="20" t="n">
        <f aca="false">IF(ALH45&gt;0,AOU45-AOU45*TU46/ALH45,0)+0</f>
        <v>0</v>
      </c>
      <c r="AHV46" s="20" t="n">
        <f aca="false">IF(ALI45&gt;0,AOV45-AOV45*TV46/ALI45,0)+0</f>
        <v>0</v>
      </c>
      <c r="AHW46" s="20" t="n">
        <f aca="false">IF(ALJ45&gt;0,AOW45-AOW45*TW46/ALJ45,0)+0</f>
        <v>0</v>
      </c>
      <c r="AHX46" s="20" t="n">
        <f aca="false">IF(ALK45&gt;0,AOX45-AOX45*TX46/ALK45,0)+0</f>
        <v>0</v>
      </c>
      <c r="AHY46" s="20" t="n">
        <f aca="false">IF(ALL45&gt;0,AOY45-AOY45*TY46/ALL45,0)+0</f>
        <v>0</v>
      </c>
      <c r="AHZ46" s="20" t="n">
        <f aca="false">IF(ALM45&gt;0,AOZ45-AOZ45*TZ46/ALM45,0)+0</f>
        <v>0</v>
      </c>
      <c r="AIA46" s="20" t="n">
        <f aca="false">IF(ALN45&gt;0,APA45-APA45*UA46/ALN45,0)+0</f>
        <v>0</v>
      </c>
      <c r="AIB46" s="20" t="n">
        <f aca="false">IF(ALO45&gt;0,APB45-APB45*UB46/ALO45,0)+0</f>
        <v>0</v>
      </c>
      <c r="AIC46" s="20" t="n">
        <f aca="false">IF(ALP45&gt;0,APC45-APC45*UC46/ALP45,0)+0</f>
        <v>0</v>
      </c>
      <c r="AID46" s="20" t="n">
        <f aca="false">IF(ALQ45&gt;0,APD45-APD45*UD46/ALQ45,0)+0</f>
        <v>0</v>
      </c>
      <c r="AIE46" s="20" t="n">
        <f aca="false">IF(ALR45&gt;0,APE45-APE45*UE46/ALR45,0)+0</f>
        <v>6673.48894000382</v>
      </c>
      <c r="AIF46" s="20" t="n">
        <f aca="false">IF(ALS45&gt;0,APF45-APF45*UF46/ALS45,0)+0</f>
        <v>0</v>
      </c>
      <c r="AIG46" s="20" t="n">
        <f aca="false">IF(ALT45&gt;0,APG45-APG45*UG46/ALT45,0)+0</f>
        <v>0</v>
      </c>
      <c r="AIH46" s="20" t="n">
        <f aca="false">IF(ALU45&gt;0,APH45-APH45*UH46/ALU45,0)+0</f>
        <v>2124.66093886866</v>
      </c>
      <c r="AII46" s="20" t="n">
        <f aca="false">IF(ALV45&gt;0,API45-API45*UI46/ALV45,0)+0</f>
        <v>0</v>
      </c>
      <c r="AIJ46" s="20" t="n">
        <f aca="false">IF(ALW45&gt;0,APJ45-APJ45*UJ46/ALW45,0)+0</f>
        <v>0</v>
      </c>
      <c r="AIK46" s="20" t="n">
        <f aca="false">IF(ALX45&gt;0,APK45-APK45*UK46/ALX45,0)+0</f>
        <v>0</v>
      </c>
      <c r="AIL46" s="20" t="n">
        <f aca="false">IF(ALY45&gt;0,APL45-APL45*UL46/ALY45,0)+0</f>
        <v>0</v>
      </c>
      <c r="AIM46" s="20" t="n">
        <f aca="false">IF(ALZ45&gt;0,APM45-APM45*UM46/ALZ45,0)+0</f>
        <v>0</v>
      </c>
      <c r="AIN46" s="20" t="n">
        <f aca="false">IF(AMA45&gt;0,APN45-APN45*UN46/AMA45,0)+0</f>
        <v>0</v>
      </c>
      <c r="AIO46" s="20" t="n">
        <f aca="false">IF(AMB45&gt;0,APO45-APO45*UO46/AMB45,0)+0</f>
        <v>0</v>
      </c>
      <c r="AIP46" s="20" t="n">
        <f aca="false">IF(AMC45&gt;0,APP45-APP45*UP46/AMC45,0)+0</f>
        <v>0</v>
      </c>
      <c r="AIQ46" s="20" t="n">
        <f aca="false">IF(AMD45&gt;0,APQ45-APQ45*UQ46/AMD45,0)+0</f>
        <v>0</v>
      </c>
      <c r="AIR46" s="20" t="n">
        <f aca="false">IF((P46+S46)&gt;0,(P46+S46)-(P46+S46)*UR46/(P46+S46),0)+BE46</f>
        <v>0</v>
      </c>
      <c r="AIS46" s="20" t="n">
        <v>0</v>
      </c>
      <c r="AIT46" s="20" t="n">
        <v>0</v>
      </c>
      <c r="AIU46" s="20" t="n">
        <v>0</v>
      </c>
      <c r="AIV46" s="20" t="n">
        <v>0</v>
      </c>
      <c r="AIW46" s="20" t="n">
        <v>0</v>
      </c>
      <c r="AIX46" s="20" t="n">
        <v>0</v>
      </c>
      <c r="AIY46" s="20" t="n">
        <v>0</v>
      </c>
      <c r="AIZ46" s="20" t="n">
        <v>0</v>
      </c>
      <c r="AJA46" s="20" t="n">
        <v>0</v>
      </c>
      <c r="AJB46" s="20" t="n">
        <v>0</v>
      </c>
      <c r="AJC46" s="20" t="n">
        <v>0</v>
      </c>
      <c r="AJD46" s="20" t="n">
        <v>0</v>
      </c>
      <c r="AJE46" s="20" t="n">
        <v>0</v>
      </c>
      <c r="AJF46" s="20" t="n">
        <v>0</v>
      </c>
      <c r="AJG46" s="20" t="n">
        <v>0</v>
      </c>
      <c r="AJH46" s="20" t="n">
        <v>0</v>
      </c>
      <c r="AJI46" s="20" t="n">
        <v>0</v>
      </c>
      <c r="AJJ46" s="20" t="n">
        <v>0</v>
      </c>
      <c r="AJK46" s="20" t="n">
        <v>0</v>
      </c>
      <c r="AJL46" s="20" t="n">
        <v>0</v>
      </c>
      <c r="AJM46" s="20" t="n">
        <v>0</v>
      </c>
      <c r="AJN46" s="20" t="n">
        <v>0</v>
      </c>
      <c r="AJO46" s="20" t="n">
        <v>0</v>
      </c>
      <c r="AJP46" s="20" t="n">
        <v>0</v>
      </c>
      <c r="AJQ46" s="20" t="n">
        <v>0</v>
      </c>
      <c r="AJR46" s="20" t="n">
        <v>0</v>
      </c>
      <c r="AJS46" s="20" t="n">
        <v>0</v>
      </c>
      <c r="AJT46" s="20" t="n">
        <v>0</v>
      </c>
      <c r="AJU46" s="20" t="n">
        <v>0</v>
      </c>
      <c r="AJV46" s="20" t="n">
        <v>0</v>
      </c>
      <c r="AJW46" s="20" t="n">
        <v>0</v>
      </c>
      <c r="AJX46" s="20" t="n">
        <v>0</v>
      </c>
      <c r="AJY46" s="20" t="n">
        <v>0</v>
      </c>
      <c r="AJZ46" s="20" t="n">
        <v>0</v>
      </c>
      <c r="AKA46" s="20" t="n">
        <v>0</v>
      </c>
      <c r="AKB46" s="20" t="n">
        <v>0</v>
      </c>
      <c r="AKC46" s="20" t="n">
        <v>0</v>
      </c>
      <c r="AKD46" s="20" t="n">
        <v>0</v>
      </c>
      <c r="AKE46" s="20" t="n">
        <v>0</v>
      </c>
      <c r="AKF46" s="20" t="n">
        <v>0</v>
      </c>
      <c r="AKG46" s="20" t="n">
        <v>0</v>
      </c>
      <c r="AKH46" s="20" t="n">
        <v>0</v>
      </c>
      <c r="AKI46" s="20" t="n">
        <v>0</v>
      </c>
      <c r="AKJ46" s="20" t="n">
        <v>0</v>
      </c>
      <c r="AKK46" s="20" t="n">
        <v>0</v>
      </c>
      <c r="AKL46" s="20" t="n">
        <v>0</v>
      </c>
      <c r="AKM46" s="20" t="n">
        <v>0</v>
      </c>
      <c r="AKN46" s="20" t="n">
        <v>0</v>
      </c>
      <c r="AKO46" s="20" t="n">
        <v>0</v>
      </c>
      <c r="AKP46" s="20" t="n">
        <v>0</v>
      </c>
      <c r="AKQ46" s="20" t="n">
        <v>0</v>
      </c>
      <c r="AKR46" s="20" t="n">
        <f aca="false">ADR46-AVE46</f>
        <v>0</v>
      </c>
      <c r="AKS46" s="20" t="n">
        <f aca="false">ADS46-AVF46</f>
        <v>0</v>
      </c>
      <c r="AKT46" s="20" t="n">
        <f aca="false">ADT46-AVG46</f>
        <v>0</v>
      </c>
      <c r="AKU46" s="20" t="n">
        <f aca="false">ADU46-AVH46</f>
        <v>0</v>
      </c>
      <c r="AKV46" s="20" t="n">
        <f aca="false">ADV46-AVI46</f>
        <v>0</v>
      </c>
      <c r="AKW46" s="20" t="n">
        <f aca="false">ADW46-AVJ46</f>
        <v>0</v>
      </c>
      <c r="AKX46" s="20" t="n">
        <f aca="false">ADX46-AVK46</f>
        <v>0</v>
      </c>
      <c r="AKY46" s="20" t="n">
        <f aca="false">ADY46-AVL46</f>
        <v>0</v>
      </c>
      <c r="AKZ46" s="20" t="n">
        <f aca="false">ADZ46-AVM46</f>
        <v>0</v>
      </c>
      <c r="ALA46" s="20" t="n">
        <f aca="false">AEA46-AVN46</f>
        <v>0</v>
      </c>
      <c r="ALB46" s="20" t="n">
        <f aca="false">AEB46-AVO46</f>
        <v>0</v>
      </c>
      <c r="ALC46" s="20" t="n">
        <f aca="false">AEC46-AVP46</f>
        <v>0</v>
      </c>
      <c r="ALD46" s="20" t="n">
        <f aca="false">AED46-AVQ46</f>
        <v>0</v>
      </c>
      <c r="ALE46" s="20" t="n">
        <f aca="false">AEE46-AVR46</f>
        <v>0</v>
      </c>
      <c r="ALF46" s="20" t="n">
        <f aca="false">AEF46-AVS46</f>
        <v>0</v>
      </c>
      <c r="ALG46" s="20" t="n">
        <f aca="false">AEG46-AVT46</f>
        <v>0</v>
      </c>
      <c r="ALH46" s="20" t="n">
        <f aca="false">AEH46-AVU46</f>
        <v>0</v>
      </c>
      <c r="ALI46" s="20" t="n">
        <f aca="false">AEI46-AVV46</f>
        <v>0</v>
      </c>
      <c r="ALJ46" s="20" t="n">
        <f aca="false">AEJ46-AVW46</f>
        <v>0</v>
      </c>
      <c r="ALK46" s="20" t="n">
        <f aca="false">AEK46-AVX46</f>
        <v>0</v>
      </c>
      <c r="ALL46" s="20" t="n">
        <f aca="false">AEL46-AVY46</f>
        <v>0</v>
      </c>
      <c r="ALM46" s="20" t="n">
        <f aca="false">AEM46-AVZ46</f>
        <v>0</v>
      </c>
      <c r="ALN46" s="20" t="n">
        <f aca="false">AEN46-AWA46</f>
        <v>0</v>
      </c>
      <c r="ALO46" s="20" t="n">
        <f aca="false">AEO46-AWB46</f>
        <v>0</v>
      </c>
      <c r="ALP46" s="20" t="n">
        <f aca="false">AEP46-AWC46</f>
        <v>0</v>
      </c>
      <c r="ALQ46" s="20" t="n">
        <f aca="false">AEQ46-AWD46</f>
        <v>0</v>
      </c>
      <c r="ALR46" s="20" t="n">
        <f aca="false">AER46-AWE46</f>
        <v>8444.09247550955</v>
      </c>
      <c r="ALS46" s="20" t="n">
        <f aca="false">AES46-AWF46</f>
        <v>0</v>
      </c>
      <c r="ALT46" s="20" t="n">
        <f aca="false">AET46-AWG46</f>
        <v>0</v>
      </c>
      <c r="ALU46" s="20" t="n">
        <f aca="false">AEU46-AWH46</f>
        <v>2389.95460233956</v>
      </c>
      <c r="ALV46" s="20" t="n">
        <f aca="false">AEV46-AWI46</f>
        <v>0</v>
      </c>
      <c r="ALW46" s="20" t="n">
        <f aca="false">AEW46-AWJ46</f>
        <v>0</v>
      </c>
      <c r="ALX46" s="20" t="n">
        <f aca="false">AEX46-AWK46</f>
        <v>0</v>
      </c>
      <c r="ALY46" s="20" t="n">
        <f aca="false">AEY46-AWL46</f>
        <v>0</v>
      </c>
      <c r="ALZ46" s="20" t="n">
        <f aca="false">AEZ46-AWM46</f>
        <v>0</v>
      </c>
      <c r="AMA46" s="20" t="n">
        <f aca="false">AFA46-AWN46</f>
        <v>0</v>
      </c>
      <c r="AMB46" s="20" t="n">
        <f aca="false">AFB46-AWO46</f>
        <v>0</v>
      </c>
      <c r="AMC46" s="20" t="n">
        <f aca="false">AFC46-AWP46</f>
        <v>0</v>
      </c>
      <c r="AMD46" s="20" t="n">
        <f aca="false">AFD46-AWQ46</f>
        <v>0</v>
      </c>
      <c r="AME46" s="20" t="n">
        <f aca="false">AFE46-AWR46</f>
        <v>0</v>
      </c>
      <c r="AMF46" s="20" t="n">
        <v>0</v>
      </c>
      <c r="AMG46" s="20" t="n">
        <v>0</v>
      </c>
      <c r="AMH46" s="20" t="n">
        <v>0</v>
      </c>
      <c r="AMI46" s="20" t="n">
        <v>0</v>
      </c>
      <c r="AMJ46" s="20" t="n">
        <v>0</v>
      </c>
      <c r="AMK46" s="20" t="n">
        <v>0</v>
      </c>
      <c r="AML46" s="20" t="n">
        <v>0</v>
      </c>
      <c r="AMM46" s="20" t="n">
        <v>0</v>
      </c>
      <c r="AMN46" s="20" t="n">
        <v>0</v>
      </c>
      <c r="AMO46" s="20" t="n">
        <v>0</v>
      </c>
      <c r="AMP46" s="20" t="n">
        <v>0</v>
      </c>
      <c r="AMQ46" s="20" t="n">
        <v>0</v>
      </c>
      <c r="AMR46" s="20" t="n">
        <v>0</v>
      </c>
      <c r="AMS46" s="20" t="n">
        <v>0</v>
      </c>
      <c r="AMT46" s="20" t="n">
        <v>0</v>
      </c>
      <c r="AMU46" s="20" t="n">
        <v>0</v>
      </c>
      <c r="AMV46" s="20" t="n">
        <v>0</v>
      </c>
      <c r="AMW46" s="20" t="n">
        <v>0</v>
      </c>
      <c r="AMX46" s="20" t="n">
        <v>0</v>
      </c>
      <c r="AMY46" s="20" t="n">
        <v>0</v>
      </c>
      <c r="AMZ46" s="20" t="n">
        <v>0</v>
      </c>
      <c r="ANA46" s="20" t="n">
        <v>0</v>
      </c>
      <c r="ANB46" s="20" t="n">
        <v>0</v>
      </c>
      <c r="ANC46" s="20" t="n">
        <v>0</v>
      </c>
      <c r="AND46" s="20" t="n">
        <v>0</v>
      </c>
      <c r="ANE46" s="20" t="n">
        <v>0</v>
      </c>
      <c r="ANF46" s="20" t="n">
        <v>0</v>
      </c>
      <c r="ANG46" s="20" t="n">
        <v>0</v>
      </c>
      <c r="ANH46" s="20" t="n">
        <v>0</v>
      </c>
      <c r="ANI46" s="20" t="n">
        <v>0</v>
      </c>
      <c r="ANJ46" s="20" t="n">
        <v>0</v>
      </c>
      <c r="ANK46" s="20" t="n">
        <v>0</v>
      </c>
      <c r="ANL46" s="20" t="n">
        <v>0</v>
      </c>
      <c r="ANM46" s="20" t="n">
        <v>0</v>
      </c>
      <c r="ANN46" s="20" t="n">
        <v>0</v>
      </c>
      <c r="ANO46" s="20" t="n">
        <v>0</v>
      </c>
      <c r="ANP46" s="20" t="n">
        <v>0</v>
      </c>
      <c r="ANQ46" s="20" t="n">
        <v>0</v>
      </c>
      <c r="ANR46" s="20" t="n">
        <v>0</v>
      </c>
      <c r="ANS46" s="20" t="n">
        <v>0</v>
      </c>
      <c r="ANT46" s="20" t="n">
        <v>0</v>
      </c>
      <c r="ANU46" s="20" t="n">
        <v>0</v>
      </c>
      <c r="ANV46" s="20" t="n">
        <v>0</v>
      </c>
      <c r="ANW46" s="20" t="n">
        <v>0</v>
      </c>
      <c r="ANX46" s="20" t="n">
        <v>0</v>
      </c>
      <c r="ANY46" s="20" t="n">
        <v>0</v>
      </c>
      <c r="ANZ46" s="20" t="n">
        <v>0</v>
      </c>
      <c r="AOA46" s="20" t="n">
        <v>0</v>
      </c>
      <c r="AOB46" s="20" t="n">
        <v>0</v>
      </c>
      <c r="AOC46" s="20" t="n">
        <v>0</v>
      </c>
      <c r="AOD46" s="20" t="n">
        <v>0</v>
      </c>
      <c r="AOE46" s="20" t="n">
        <f aca="false">IF(AND(H_Direct=0,H_TaxEvt=1,ARR45+1&gt;=H_Deemed),AKR46,AHE46)</f>
        <v>0</v>
      </c>
      <c r="AOF46" s="20" t="n">
        <f aca="false">IF(AND(H_Direct=0,H_TaxEvt=1,ARS45+1&gt;=H_Deemed),AKS46,AHF46)</f>
        <v>0</v>
      </c>
      <c r="AOG46" s="20" t="n">
        <f aca="false">IF(AND(H_Direct=0,H_TaxEvt=1,ART45+1&gt;=H_Deemed),AKT46,AHG46)</f>
        <v>0</v>
      </c>
      <c r="AOH46" s="20" t="n">
        <f aca="false">IF(AND(H_Direct=0,H_TaxEvt=1,ARU45+1&gt;=H_Deemed),AKU46,AHH46)</f>
        <v>0</v>
      </c>
      <c r="AOI46" s="20" t="n">
        <f aca="false">IF(AND(H_Direct=0,H_TaxEvt=1,ARV45+1&gt;=H_Deemed),AKV46,AHI46)</f>
        <v>0</v>
      </c>
      <c r="AOJ46" s="20" t="n">
        <f aca="false">IF(AND(H_Direct=0,H_TaxEvt=1,ARW45+1&gt;=H_Deemed),AKW46,AHJ46)</f>
        <v>0</v>
      </c>
      <c r="AOK46" s="20" t="n">
        <f aca="false">IF(AND(H_Direct=0,H_TaxEvt=1,ARX45+1&gt;=H_Deemed),AKX46,AHK46)</f>
        <v>0</v>
      </c>
      <c r="AOL46" s="20" t="n">
        <f aca="false">IF(AND(H_Direct=0,H_TaxEvt=1,ARY45+1&gt;=H_Deemed),AKY46,AHL46)</f>
        <v>0</v>
      </c>
      <c r="AOM46" s="20" t="n">
        <f aca="false">IF(AND(H_Direct=0,H_TaxEvt=1,ARZ45+1&gt;=H_Deemed),AKZ46,AHM46)</f>
        <v>0</v>
      </c>
      <c r="AON46" s="20" t="n">
        <f aca="false">IF(AND(H_Direct=0,H_TaxEvt=1,ASA45+1&gt;=H_Deemed),ALA46,AHN46)</f>
        <v>0</v>
      </c>
      <c r="AOO46" s="20" t="n">
        <f aca="false">IF(AND(H_Direct=0,H_TaxEvt=1,ASB45+1&gt;=H_Deemed),ALB46,AHO46)</f>
        <v>0</v>
      </c>
      <c r="AOP46" s="20" t="n">
        <f aca="false">IF(AND(H_Direct=0,H_TaxEvt=1,ASC45+1&gt;=H_Deemed),ALC46,AHP46)</f>
        <v>0</v>
      </c>
      <c r="AOQ46" s="20" t="n">
        <f aca="false">IF(AND(H_Direct=0,H_TaxEvt=1,ASD45+1&gt;=H_Deemed),ALD46,AHQ46)</f>
        <v>0</v>
      </c>
      <c r="AOR46" s="20" t="n">
        <f aca="false">IF(AND(H_Direct=0,H_TaxEvt=1,ASE45+1&gt;=H_Deemed),ALE46,AHR46)</f>
        <v>0</v>
      </c>
      <c r="AOS46" s="20" t="n">
        <f aca="false">IF(AND(H_Direct=0,H_TaxEvt=1,ASF45+1&gt;=H_Deemed),ALF46,AHS46)</f>
        <v>0</v>
      </c>
      <c r="AOT46" s="20" t="n">
        <f aca="false">IF(AND(H_Direct=0,H_TaxEvt=1,ASG45+1&gt;=H_Deemed),ALG46,AHT46)</f>
        <v>0</v>
      </c>
      <c r="AOU46" s="20" t="n">
        <f aca="false">IF(AND(H_Direct=0,H_TaxEvt=1,ASH45+1&gt;=H_Deemed),ALH46,AHU46)</f>
        <v>0</v>
      </c>
      <c r="AOV46" s="20" t="n">
        <f aca="false">IF(AND(H_Direct=0,H_TaxEvt=1,ASI45+1&gt;=H_Deemed),ALI46,AHV46)</f>
        <v>0</v>
      </c>
      <c r="AOW46" s="20" t="n">
        <f aca="false">IF(AND(H_Direct=0,H_TaxEvt=1,ASJ45+1&gt;=H_Deemed),ALJ46,AHW46)</f>
        <v>0</v>
      </c>
      <c r="AOX46" s="20" t="n">
        <f aca="false">IF(AND(H_Direct=0,H_TaxEvt=1,ASK45+1&gt;=H_Deemed),ALK46,AHX46)</f>
        <v>0</v>
      </c>
      <c r="AOY46" s="20" t="n">
        <f aca="false">IF(AND(H_Direct=0,H_TaxEvt=1,ASL45+1&gt;=H_Deemed),ALL46,AHY46)</f>
        <v>0</v>
      </c>
      <c r="AOZ46" s="20" t="n">
        <f aca="false">IF(AND(H_Direct=0,H_TaxEvt=1,ASM45+1&gt;=H_Deemed),ALM46,AHZ46)</f>
        <v>0</v>
      </c>
      <c r="APA46" s="20" t="n">
        <f aca="false">IF(AND(H_Direct=0,H_TaxEvt=1,ASN45+1&gt;=H_Deemed),ALN46,AIA46)</f>
        <v>0</v>
      </c>
      <c r="APB46" s="20" t="n">
        <f aca="false">IF(AND(H_Direct=0,H_TaxEvt=1,ASO45+1&gt;=H_Deemed),ALO46,AIB46)</f>
        <v>0</v>
      </c>
      <c r="APC46" s="20" t="n">
        <f aca="false">IF(AND(H_Direct=0,H_TaxEvt=1,ASP45+1&gt;=H_Deemed),ALP46,AIC46)</f>
        <v>0</v>
      </c>
      <c r="APD46" s="20" t="n">
        <f aca="false">IF(AND(H_Direct=0,H_TaxEvt=1,ASQ45+1&gt;=H_Deemed),ALQ46,AID46)</f>
        <v>0</v>
      </c>
      <c r="APE46" s="20" t="n">
        <f aca="false">IF(AND(H_Direct=0,H_TaxEvt=1,ASR45+1&gt;=H_Deemed),ALR46,AIE46)</f>
        <v>6673.48894000382</v>
      </c>
      <c r="APF46" s="20" t="n">
        <f aca="false">IF(AND(H_Direct=0,H_TaxEvt=1,ASS45+1&gt;=H_Deemed),ALS46,AIF46)</f>
        <v>0</v>
      </c>
      <c r="APG46" s="20" t="n">
        <f aca="false">IF(AND(H_Direct=0,H_TaxEvt=1,AST45+1&gt;=H_Deemed),ALT46,AIG46)</f>
        <v>0</v>
      </c>
      <c r="APH46" s="20" t="n">
        <f aca="false">IF(AND(H_Direct=0,H_TaxEvt=1,ASU45+1&gt;=H_Deemed),ALU46,AIH46)</f>
        <v>2124.66093886866</v>
      </c>
      <c r="API46" s="20" t="n">
        <f aca="false">IF(AND(H_Direct=0,H_TaxEvt=1,ASV45+1&gt;=H_Deemed),ALV46,AII46)</f>
        <v>0</v>
      </c>
      <c r="APJ46" s="20" t="n">
        <f aca="false">IF(AND(H_Direct=0,H_TaxEvt=1,ASW45+1&gt;=H_Deemed),ALW46,AIJ46)</f>
        <v>0</v>
      </c>
      <c r="APK46" s="20" t="n">
        <f aca="false">IF(AND(H_Direct=0,H_TaxEvt=1,ASX45+1&gt;=H_Deemed),ALX46,AIK46)</f>
        <v>0</v>
      </c>
      <c r="APL46" s="20" t="n">
        <f aca="false">IF(AND(H_Direct=0,H_TaxEvt=1,ASY45+1&gt;=H_Deemed),ALY46,AIL46)</f>
        <v>0</v>
      </c>
      <c r="APM46" s="20" t="n">
        <f aca="false">IF(AND(H_Direct=0,H_TaxEvt=1,ASZ45+1&gt;=H_Deemed),ALZ46,AIM46)</f>
        <v>0</v>
      </c>
      <c r="APN46" s="20" t="n">
        <f aca="false">IF(AND(H_Direct=0,H_TaxEvt=1,ATA45+1&gt;=H_Deemed),AMA46,AIN46)</f>
        <v>0</v>
      </c>
      <c r="APO46" s="20" t="n">
        <f aca="false">IF(AND(H_Direct=0,H_TaxEvt=1,ATB45+1&gt;=H_Deemed),AMB46,AIO46)</f>
        <v>0</v>
      </c>
      <c r="APP46" s="20" t="n">
        <f aca="false">IF(AND(H_Direct=0,H_TaxEvt=1,ATC45+1&gt;=H_Deemed),AMC46,AIP46)</f>
        <v>0</v>
      </c>
      <c r="APQ46" s="20" t="n">
        <f aca="false">IF(AND(H_Direct=0,H_TaxEvt=1,ATD45+1&gt;=H_Deemed),AMD46,AIQ46)</f>
        <v>0</v>
      </c>
      <c r="APR46" s="20" t="n">
        <f aca="false">IF(AND(H_Direct=0,H_TaxEvt=1,0+1&gt;=H_Deemed),AME46,AIR46)</f>
        <v>0</v>
      </c>
      <c r="APS46" s="20" t="n">
        <v>0</v>
      </c>
      <c r="APT46" s="20" t="n">
        <v>0</v>
      </c>
      <c r="APU46" s="20" t="n">
        <v>0</v>
      </c>
      <c r="APV46" s="20" t="n">
        <v>0</v>
      </c>
      <c r="APW46" s="20" t="n">
        <v>0</v>
      </c>
      <c r="APX46" s="20" t="n">
        <v>0</v>
      </c>
      <c r="APY46" s="20" t="n">
        <v>0</v>
      </c>
      <c r="APZ46" s="20" t="n">
        <v>0</v>
      </c>
      <c r="AQA46" s="20" t="n">
        <v>0</v>
      </c>
      <c r="AQB46" s="20" t="n">
        <v>0</v>
      </c>
      <c r="AQC46" s="20" t="n">
        <v>0</v>
      </c>
      <c r="AQD46" s="20" t="n">
        <v>0</v>
      </c>
      <c r="AQE46" s="20" t="n">
        <v>0</v>
      </c>
      <c r="AQF46" s="20" t="n">
        <v>0</v>
      </c>
      <c r="AQG46" s="20" t="n">
        <v>0</v>
      </c>
      <c r="AQH46" s="20" t="n">
        <v>0</v>
      </c>
      <c r="AQI46" s="20" t="n">
        <v>0</v>
      </c>
      <c r="AQJ46" s="20" t="n">
        <v>0</v>
      </c>
      <c r="AQK46" s="20" t="n">
        <v>0</v>
      </c>
      <c r="AQL46" s="20" t="n">
        <v>0</v>
      </c>
      <c r="AQM46" s="20" t="n">
        <v>0</v>
      </c>
      <c r="AQN46" s="20" t="n">
        <v>0</v>
      </c>
      <c r="AQO46" s="20" t="n">
        <v>0</v>
      </c>
      <c r="AQP46" s="20" t="n">
        <v>0</v>
      </c>
      <c r="AQQ46" s="20" t="n">
        <v>0</v>
      </c>
      <c r="AQR46" s="20" t="n">
        <v>0</v>
      </c>
      <c r="AQS46" s="20" t="n">
        <v>0</v>
      </c>
      <c r="AQT46" s="20" t="n">
        <v>0</v>
      </c>
      <c r="AQU46" s="20" t="n">
        <v>0</v>
      </c>
      <c r="AQV46" s="20" t="n">
        <v>0</v>
      </c>
      <c r="AQW46" s="20" t="n">
        <v>0</v>
      </c>
      <c r="AQX46" s="20" t="n">
        <v>0</v>
      </c>
      <c r="AQY46" s="20" t="n">
        <v>0</v>
      </c>
      <c r="AQZ46" s="20" t="n">
        <v>0</v>
      </c>
      <c r="ARA46" s="20" t="n">
        <v>0</v>
      </c>
      <c r="ARB46" s="20" t="n">
        <v>0</v>
      </c>
      <c r="ARC46" s="20" t="n">
        <v>0</v>
      </c>
      <c r="ARD46" s="20" t="n">
        <v>0</v>
      </c>
      <c r="ARE46" s="20" t="n">
        <v>0</v>
      </c>
      <c r="ARF46" s="20" t="n">
        <v>0</v>
      </c>
      <c r="ARG46" s="20" t="n">
        <v>0</v>
      </c>
      <c r="ARH46" s="20" t="n">
        <v>0</v>
      </c>
      <c r="ARI46" s="20" t="n">
        <v>0</v>
      </c>
      <c r="ARJ46" s="20" t="n">
        <v>0</v>
      </c>
      <c r="ARK46" s="20" t="n">
        <v>0</v>
      </c>
      <c r="ARL46" s="20" t="n">
        <v>0</v>
      </c>
      <c r="ARM46" s="20" t="n">
        <v>0</v>
      </c>
      <c r="ARN46" s="20" t="n">
        <v>0</v>
      </c>
      <c r="ARO46" s="20" t="n">
        <v>0</v>
      </c>
      <c r="ARP46" s="20" t="n">
        <v>0</v>
      </c>
      <c r="ARQ46" s="20" t="n">
        <v>0</v>
      </c>
      <c r="ARR46" s="20" t="n">
        <f aca="false">IF(AND(H_Direct=0,H_TaxEvt=1),IF(ARR45+1&gt;=H_Deemed,0,ARR45+1),ARR45)</f>
        <v>7</v>
      </c>
      <c r="ARS46" s="20" t="n">
        <f aca="false">IF(AND(H_Direct=0,H_TaxEvt=1),IF(ARS45+1&gt;=H_Deemed,0,ARS45+1),ARS45)</f>
        <v>7</v>
      </c>
      <c r="ART46" s="20" t="n">
        <f aca="false">IF(AND(H_Direct=0,H_TaxEvt=1),IF(ART45+1&gt;=H_Deemed,0,ART45+1),ART45)</f>
        <v>6</v>
      </c>
      <c r="ARU46" s="20" t="n">
        <f aca="false">IF(AND(H_Direct=0,H_TaxEvt=1),IF(ARU45+1&gt;=H_Deemed,0,ARU45+1),ARU45)</f>
        <v>5</v>
      </c>
      <c r="ARV46" s="20" t="n">
        <f aca="false">IF(AND(H_Direct=0,H_TaxEvt=1),IF(ARV45+1&gt;=H_Deemed,0,ARV45+1),ARV45)</f>
        <v>4</v>
      </c>
      <c r="ARW46" s="20" t="n">
        <f aca="false">IF(AND(H_Direct=0,H_TaxEvt=1),IF(ARW45+1&gt;=H_Deemed,0,ARW45+1),ARW45)</f>
        <v>3</v>
      </c>
      <c r="ARX46" s="20" t="n">
        <f aca="false">IF(AND(H_Direct=0,H_TaxEvt=1),IF(ARX45+1&gt;=H_Deemed,0,ARX45+1),ARX45)</f>
        <v>2</v>
      </c>
      <c r="ARY46" s="20" t="n">
        <f aca="false">IF(AND(H_Direct=0,H_TaxEvt=1),IF(ARY45+1&gt;=H_Deemed,0,ARY45+1),ARY45)</f>
        <v>1</v>
      </c>
      <c r="ARZ46" s="20" t="n">
        <f aca="false">IF(AND(H_Direct=0,H_TaxEvt=1),IF(ARZ45+1&gt;=H_Deemed,0,ARZ45+1),ARZ45)</f>
        <v>0</v>
      </c>
      <c r="ASA46" s="20" t="n">
        <f aca="false">IF(AND(H_Direct=0,H_TaxEvt=1),IF(ASA45+1&gt;=H_Deemed,0,ASA45+1),ASA45)</f>
        <v>7</v>
      </c>
      <c r="ASB46" s="20" t="n">
        <f aca="false">IF(AND(H_Direct=0,H_TaxEvt=1),IF(ASB45+1&gt;=H_Deemed,0,ASB45+1),ASB45)</f>
        <v>6</v>
      </c>
      <c r="ASC46" s="20" t="n">
        <f aca="false">IF(AND(H_Direct=0,H_TaxEvt=1),IF(ASC45+1&gt;=H_Deemed,0,ASC45+1),ASC45)</f>
        <v>5</v>
      </c>
      <c r="ASD46" s="20" t="n">
        <f aca="false">IF(AND(H_Direct=0,H_TaxEvt=1),IF(ASD45+1&gt;=H_Deemed,0,ASD45+1),ASD45)</f>
        <v>4</v>
      </c>
      <c r="ASE46" s="20" t="n">
        <f aca="false">IF(AND(H_Direct=0,H_TaxEvt=1),IF(ASE45+1&gt;=H_Deemed,0,ASE45+1),ASE45)</f>
        <v>3</v>
      </c>
      <c r="ASF46" s="20" t="n">
        <f aca="false">IF(AND(H_Direct=0,H_TaxEvt=1),IF(ASF45+1&gt;=H_Deemed,0,ASF45+1),ASF45)</f>
        <v>2</v>
      </c>
      <c r="ASG46" s="20" t="n">
        <f aca="false">IF(AND(H_Direct=0,H_TaxEvt=1),IF(ASG45+1&gt;=H_Deemed,0,ASG45+1),ASG45)</f>
        <v>1</v>
      </c>
      <c r="ASH46" s="20" t="n">
        <f aca="false">IF(AND(H_Direct=0,H_TaxEvt=1),IF(ASH45+1&gt;=H_Deemed,0,ASH45+1),ASH45)</f>
        <v>0</v>
      </c>
      <c r="ASI46" s="20" t="n">
        <f aca="false">IF(AND(H_Direct=0,H_TaxEvt=1),IF(ASI45+1&gt;=H_Deemed,0,ASI45+1),ASI45)</f>
        <v>7</v>
      </c>
      <c r="ASJ46" s="20" t="n">
        <f aca="false">IF(AND(H_Direct=0,H_TaxEvt=1),IF(ASJ45+1&gt;=H_Deemed,0,ASJ45+1),ASJ45)</f>
        <v>6</v>
      </c>
      <c r="ASK46" s="20" t="n">
        <f aca="false">IF(AND(H_Direct=0,H_TaxEvt=1),IF(ASK45+1&gt;=H_Deemed,0,ASK45+1),ASK45)</f>
        <v>5</v>
      </c>
      <c r="ASL46" s="20" t="n">
        <f aca="false">IF(AND(H_Direct=0,H_TaxEvt=1),IF(ASL45+1&gt;=H_Deemed,0,ASL45+1),ASL45)</f>
        <v>4</v>
      </c>
      <c r="ASM46" s="20" t="n">
        <f aca="false">IF(AND(H_Direct=0,H_TaxEvt=1),IF(ASM45+1&gt;=H_Deemed,0,ASM45+1),ASM45)</f>
        <v>3</v>
      </c>
      <c r="ASN46" s="20" t="n">
        <f aca="false">IF(AND(H_Direct=0,H_TaxEvt=1),IF(ASN45+1&gt;=H_Deemed,0,ASN45+1),ASN45)</f>
        <v>2</v>
      </c>
      <c r="ASO46" s="20" t="n">
        <f aca="false">IF(AND(H_Direct=0,H_TaxEvt=1),IF(ASO45+1&gt;=H_Deemed,0,ASO45+1),ASO45)</f>
        <v>1</v>
      </c>
      <c r="ASP46" s="20" t="n">
        <f aca="false">IF(AND(H_Direct=0,H_TaxEvt=1),IF(ASP45+1&gt;=H_Deemed,0,ASP45+1),ASP45)</f>
        <v>0</v>
      </c>
      <c r="ASQ46" s="20" t="n">
        <f aca="false">IF(AND(H_Direct=0,H_TaxEvt=1),IF(ASQ45+1&gt;=H_Deemed,0,ASQ45+1),ASQ45)</f>
        <v>7</v>
      </c>
      <c r="ASR46" s="20" t="n">
        <f aca="false">IF(AND(H_Direct=0,H_TaxEvt=1),IF(ASR45+1&gt;=H_Deemed,0,ASR45+1),ASR45)</f>
        <v>6</v>
      </c>
      <c r="ASS46" s="20" t="n">
        <f aca="false">IF(AND(H_Direct=0,H_TaxEvt=1),IF(ASS45+1&gt;=H_Deemed,0,ASS45+1),ASS45)</f>
        <v>5</v>
      </c>
      <c r="AST46" s="20" t="n">
        <f aca="false">IF(AND(H_Direct=0,H_TaxEvt=1),IF(AST45+1&gt;=H_Deemed,0,AST45+1),AST45)</f>
        <v>4</v>
      </c>
      <c r="ASU46" s="20" t="n">
        <f aca="false">IF(AND(H_Direct=0,H_TaxEvt=1),IF(ASU45+1&gt;=H_Deemed,0,ASU45+1),ASU45)</f>
        <v>3</v>
      </c>
      <c r="ASV46" s="20" t="n">
        <f aca="false">IF(AND(H_Direct=0,H_TaxEvt=1),IF(ASV45+1&gt;=H_Deemed,0,ASV45+1),ASV45)</f>
        <v>2</v>
      </c>
      <c r="ASW46" s="20" t="n">
        <f aca="false">IF(AND(H_Direct=0,H_TaxEvt=1),IF(ASW45+1&gt;=H_Deemed,0,ASW45+1),ASW45)</f>
        <v>1</v>
      </c>
      <c r="ASX46" s="20" t="n">
        <f aca="false">IF(AND(H_Direct=0,H_TaxEvt=1),IF(ASX45+1&gt;=H_Deemed,0,ASX45+1),ASX45)</f>
        <v>0</v>
      </c>
      <c r="ASY46" s="20" t="n">
        <f aca="false">IF(AND(H_Direct=0,H_TaxEvt=1),IF(ASY45+1&gt;=H_Deemed,0,ASY45+1),ASY45)</f>
        <v>7</v>
      </c>
      <c r="ASZ46" s="20" t="n">
        <f aca="false">IF(AND(H_Direct=0,H_TaxEvt=1),IF(ASZ45+1&gt;=H_Deemed,0,ASZ45+1),ASZ45)</f>
        <v>6</v>
      </c>
      <c r="ATA46" s="20" t="n">
        <f aca="false">IF(AND(H_Direct=0,H_TaxEvt=1),IF(ATA45+1&gt;=H_Deemed,0,ATA45+1),ATA45)</f>
        <v>5</v>
      </c>
      <c r="ATB46" s="20" t="n">
        <f aca="false">IF(AND(H_Direct=0,H_TaxEvt=1),IF(ATB45+1&gt;=H_Deemed,0,ATB45+1),ATB45)</f>
        <v>4</v>
      </c>
      <c r="ATC46" s="20" t="n">
        <f aca="false">IF(AND(H_Direct=0,H_TaxEvt=1),IF(ATC45+1&gt;=H_Deemed,0,ATC45+1),ATC45)</f>
        <v>3</v>
      </c>
      <c r="ATD46" s="20" t="n">
        <f aca="false">IF(AND(H_Direct=0,H_TaxEvt=1),IF(ATD45+1&gt;=H_Deemed,0,ATD45+1),ATD45)</f>
        <v>2</v>
      </c>
      <c r="ATE46" s="20" t="n">
        <f aca="false">IF(AND(H_Direct=0,H_TaxEvt=1),IF(0+1&gt;=H_Deemed,0,0+1),0)</f>
        <v>1</v>
      </c>
      <c r="ATF46" s="20" t="n">
        <v>0</v>
      </c>
      <c r="ATG46" s="20" t="n">
        <v>0</v>
      </c>
      <c r="ATH46" s="20" t="n">
        <v>0</v>
      </c>
      <c r="ATI46" s="20" t="n">
        <v>0</v>
      </c>
      <c r="ATJ46" s="20" t="n">
        <v>0</v>
      </c>
      <c r="ATK46" s="20" t="n">
        <v>0</v>
      </c>
      <c r="ATL46" s="20" t="n">
        <v>0</v>
      </c>
      <c r="ATM46" s="20" t="n">
        <v>0</v>
      </c>
      <c r="ATN46" s="20" t="n">
        <v>0</v>
      </c>
      <c r="ATO46" s="20" t="n">
        <v>0</v>
      </c>
      <c r="ATP46" s="20" t="n">
        <v>0</v>
      </c>
      <c r="ATQ46" s="20" t="n">
        <v>0</v>
      </c>
      <c r="ATR46" s="20" t="n">
        <v>0</v>
      </c>
      <c r="ATS46" s="20" t="n">
        <v>0</v>
      </c>
      <c r="ATT46" s="20" t="n">
        <v>0</v>
      </c>
      <c r="ATU46" s="20" t="n">
        <v>0</v>
      </c>
      <c r="ATV46" s="20" t="n">
        <v>0</v>
      </c>
      <c r="ATW46" s="20" t="n">
        <v>0</v>
      </c>
      <c r="ATX46" s="20" t="n">
        <v>0</v>
      </c>
      <c r="ATY46" s="20" t="n">
        <v>0</v>
      </c>
      <c r="ATZ46" s="20" t="n">
        <v>0</v>
      </c>
      <c r="AUA46" s="20" t="n">
        <v>0</v>
      </c>
      <c r="AUB46" s="20" t="n">
        <v>0</v>
      </c>
      <c r="AUC46" s="20" t="n">
        <v>0</v>
      </c>
      <c r="AUD46" s="20" t="n">
        <v>0</v>
      </c>
      <c r="AUE46" s="20" t="n">
        <v>0</v>
      </c>
      <c r="AUF46" s="20" t="n">
        <v>0</v>
      </c>
      <c r="AUG46" s="20" t="n">
        <v>0</v>
      </c>
      <c r="AUH46" s="20" t="n">
        <v>0</v>
      </c>
      <c r="AUI46" s="20" t="n">
        <v>0</v>
      </c>
      <c r="AUJ46" s="20" t="n">
        <v>0</v>
      </c>
      <c r="AUK46" s="20" t="n">
        <v>0</v>
      </c>
      <c r="AUL46" s="20" t="n">
        <v>0</v>
      </c>
      <c r="AUM46" s="20" t="n">
        <v>0</v>
      </c>
      <c r="AUN46" s="20" t="n">
        <v>0</v>
      </c>
      <c r="AUO46" s="20" t="n">
        <v>0</v>
      </c>
      <c r="AUP46" s="20" t="n">
        <v>0</v>
      </c>
      <c r="AUQ46" s="20" t="n">
        <v>0</v>
      </c>
      <c r="AUR46" s="20" t="n">
        <v>0</v>
      </c>
      <c r="AUS46" s="20" t="n">
        <v>0</v>
      </c>
      <c r="AUT46" s="20" t="n">
        <v>0</v>
      </c>
      <c r="AUU46" s="20" t="n">
        <v>0</v>
      </c>
      <c r="AUV46" s="20" t="n">
        <v>0</v>
      </c>
      <c r="AUW46" s="20" t="n">
        <v>0</v>
      </c>
      <c r="AUX46" s="20" t="n">
        <v>0</v>
      </c>
      <c r="AUY46" s="20" t="n">
        <v>0</v>
      </c>
      <c r="AUZ46" s="20" t="n">
        <v>0</v>
      </c>
      <c r="AVA46" s="20" t="n">
        <v>0</v>
      </c>
      <c r="AVB46" s="20" t="n">
        <v>0</v>
      </c>
      <c r="AVC46" s="20" t="n">
        <v>0</v>
      </c>
      <c r="AVD46" s="20" t="n">
        <v>0</v>
      </c>
      <c r="AVE46" s="20" t="n">
        <f aca="false">IF(AND(H_Direct=0,H_TaxEvt=1,ARR45+1&gt;=H_Deemed),MAX(0,ADR46-AHE46)*H_Exit,0)</f>
        <v>0</v>
      </c>
      <c r="AVF46" s="20" t="n">
        <f aca="false">IF(AND(H_Direct=0,H_TaxEvt=1,ARS45+1&gt;=H_Deemed),MAX(0,ADS46-AHF46)*H_Exit,0)</f>
        <v>0</v>
      </c>
      <c r="AVG46" s="20" t="n">
        <f aca="false">IF(AND(H_Direct=0,H_TaxEvt=1,ART45+1&gt;=H_Deemed),MAX(0,ADT46-AHG46)*H_Exit,0)</f>
        <v>0</v>
      </c>
      <c r="AVH46" s="20" t="n">
        <f aca="false">IF(AND(H_Direct=0,H_TaxEvt=1,ARU45+1&gt;=H_Deemed),MAX(0,ADU46-AHH46)*H_Exit,0)</f>
        <v>0</v>
      </c>
      <c r="AVI46" s="20" t="n">
        <f aca="false">IF(AND(H_Direct=0,H_TaxEvt=1,ARV45+1&gt;=H_Deemed),MAX(0,ADV46-AHI46)*H_Exit,0)</f>
        <v>0</v>
      </c>
      <c r="AVJ46" s="20" t="n">
        <f aca="false">IF(AND(H_Direct=0,H_TaxEvt=1,ARW45+1&gt;=H_Deemed),MAX(0,ADW46-AHJ46)*H_Exit,0)</f>
        <v>0</v>
      </c>
      <c r="AVK46" s="20" t="n">
        <f aca="false">IF(AND(H_Direct=0,H_TaxEvt=1,ARX45+1&gt;=H_Deemed),MAX(0,ADX46-AHK46)*H_Exit,0)</f>
        <v>0</v>
      </c>
      <c r="AVL46" s="20" t="n">
        <f aca="false">IF(AND(H_Direct=0,H_TaxEvt=1,ARY45+1&gt;=H_Deemed),MAX(0,ADY46-AHL46)*H_Exit,0)</f>
        <v>0</v>
      </c>
      <c r="AVM46" s="20" t="n">
        <f aca="false">IF(AND(H_Direct=0,H_TaxEvt=1,ARZ45+1&gt;=H_Deemed),MAX(0,ADZ46-AHM46)*H_Exit,0)</f>
        <v>0</v>
      </c>
      <c r="AVN46" s="20" t="n">
        <f aca="false">IF(AND(H_Direct=0,H_TaxEvt=1,ASA45+1&gt;=H_Deemed),MAX(0,AEA46-AHN46)*H_Exit,0)</f>
        <v>0</v>
      </c>
      <c r="AVO46" s="20" t="n">
        <f aca="false">IF(AND(H_Direct=0,H_TaxEvt=1,ASB45+1&gt;=H_Deemed),MAX(0,AEB46-AHO46)*H_Exit,0)</f>
        <v>0</v>
      </c>
      <c r="AVP46" s="20" t="n">
        <f aca="false">IF(AND(H_Direct=0,H_TaxEvt=1,ASC45+1&gt;=H_Deemed),MAX(0,AEC46-AHP46)*H_Exit,0)</f>
        <v>0</v>
      </c>
      <c r="AVQ46" s="20" t="n">
        <f aca="false">IF(AND(H_Direct=0,H_TaxEvt=1,ASD45+1&gt;=H_Deemed),MAX(0,AED46-AHQ46)*H_Exit,0)</f>
        <v>0</v>
      </c>
      <c r="AVR46" s="20" t="n">
        <f aca="false">IF(AND(H_Direct=0,H_TaxEvt=1,ASE45+1&gt;=H_Deemed),MAX(0,AEE46-AHR46)*H_Exit,0)</f>
        <v>0</v>
      </c>
      <c r="AVS46" s="20" t="n">
        <f aca="false">IF(AND(H_Direct=0,H_TaxEvt=1,ASF45+1&gt;=H_Deemed),MAX(0,AEF46-AHS46)*H_Exit,0)</f>
        <v>0</v>
      </c>
      <c r="AVT46" s="20" t="n">
        <f aca="false">IF(AND(H_Direct=0,H_TaxEvt=1,ASG45+1&gt;=H_Deemed),MAX(0,AEG46-AHT46)*H_Exit,0)</f>
        <v>0</v>
      </c>
      <c r="AVU46" s="20" t="n">
        <f aca="false">IF(AND(H_Direct=0,H_TaxEvt=1,ASH45+1&gt;=H_Deemed),MAX(0,AEH46-AHU46)*H_Exit,0)</f>
        <v>0</v>
      </c>
      <c r="AVV46" s="20" t="n">
        <f aca="false">IF(AND(H_Direct=0,H_TaxEvt=1,ASI45+1&gt;=H_Deemed),MAX(0,AEI46-AHV46)*H_Exit,0)</f>
        <v>0</v>
      </c>
      <c r="AVW46" s="20" t="n">
        <f aca="false">IF(AND(H_Direct=0,H_TaxEvt=1,ASJ45+1&gt;=H_Deemed),MAX(0,AEJ46-AHW46)*H_Exit,0)</f>
        <v>0</v>
      </c>
      <c r="AVX46" s="20" t="n">
        <f aca="false">IF(AND(H_Direct=0,H_TaxEvt=1,ASK45+1&gt;=H_Deemed),MAX(0,AEK46-AHX46)*H_Exit,0)</f>
        <v>0</v>
      </c>
      <c r="AVY46" s="20" t="n">
        <f aca="false">IF(AND(H_Direct=0,H_TaxEvt=1,ASL45+1&gt;=H_Deemed),MAX(0,AEL46-AHY46)*H_Exit,0)</f>
        <v>0</v>
      </c>
      <c r="AVZ46" s="20" t="n">
        <f aca="false">IF(AND(H_Direct=0,H_TaxEvt=1,ASM45+1&gt;=H_Deemed),MAX(0,AEM46-AHZ46)*H_Exit,0)</f>
        <v>0</v>
      </c>
      <c r="AWA46" s="20" t="n">
        <f aca="false">IF(AND(H_Direct=0,H_TaxEvt=1,ASN45+1&gt;=H_Deemed),MAX(0,AEN46-AIA46)*H_Exit,0)</f>
        <v>0</v>
      </c>
      <c r="AWB46" s="20" t="n">
        <f aca="false">IF(AND(H_Direct=0,H_TaxEvt=1,ASO45+1&gt;=H_Deemed),MAX(0,AEO46-AIB46)*H_Exit,0)</f>
        <v>0</v>
      </c>
      <c r="AWC46" s="20" t="n">
        <f aca="false">IF(AND(H_Direct=0,H_TaxEvt=1,ASP45+1&gt;=H_Deemed),MAX(0,AEP46-AIC46)*H_Exit,0)</f>
        <v>0</v>
      </c>
      <c r="AWD46" s="20" t="n">
        <f aca="false">IF(AND(H_Direct=0,H_TaxEvt=1,ASQ45+1&gt;=H_Deemed),MAX(0,AEQ46-AID46)*H_Exit,0)</f>
        <v>0</v>
      </c>
      <c r="AWE46" s="20" t="n">
        <f aca="false">IF(AND(H_Direct=0,H_TaxEvt=1,ASR45+1&gt;=H_Deemed),MAX(0,AER46-AIE46)*H_Exit,0)</f>
        <v>0</v>
      </c>
      <c r="AWF46" s="20" t="n">
        <f aca="false">IF(AND(H_Direct=0,H_TaxEvt=1,ASS45+1&gt;=H_Deemed),MAX(0,AES46-AIF46)*H_Exit,0)</f>
        <v>0</v>
      </c>
      <c r="AWG46" s="20" t="n">
        <f aca="false">IF(AND(H_Direct=0,H_TaxEvt=1,AST45+1&gt;=H_Deemed),MAX(0,AET46-AIG46)*H_Exit,0)</f>
        <v>0</v>
      </c>
      <c r="AWH46" s="20" t="n">
        <f aca="false">IF(AND(H_Direct=0,H_TaxEvt=1,ASU45+1&gt;=H_Deemed),MAX(0,AEU46-AIH46)*H_Exit,0)</f>
        <v>0</v>
      </c>
      <c r="AWI46" s="20" t="n">
        <f aca="false">IF(AND(H_Direct=0,H_TaxEvt=1,ASV45+1&gt;=H_Deemed),MAX(0,AEV46-AII46)*H_Exit,0)</f>
        <v>0</v>
      </c>
      <c r="AWJ46" s="20" t="n">
        <f aca="false">IF(AND(H_Direct=0,H_TaxEvt=1,ASW45+1&gt;=H_Deemed),MAX(0,AEW46-AIJ46)*H_Exit,0)</f>
        <v>0</v>
      </c>
      <c r="AWK46" s="20" t="n">
        <f aca="false">IF(AND(H_Direct=0,H_TaxEvt=1,ASX45+1&gt;=H_Deemed),MAX(0,AEX46-AIK46)*H_Exit,0)</f>
        <v>0</v>
      </c>
      <c r="AWL46" s="20" t="n">
        <f aca="false">IF(AND(H_Direct=0,H_TaxEvt=1,ASY45+1&gt;=H_Deemed),MAX(0,AEY46-AIL46)*H_Exit,0)</f>
        <v>0</v>
      </c>
      <c r="AWM46" s="20" t="n">
        <f aca="false">IF(AND(H_Direct=0,H_TaxEvt=1,ASZ45+1&gt;=H_Deemed),MAX(0,AEZ46-AIM46)*H_Exit,0)</f>
        <v>0</v>
      </c>
      <c r="AWN46" s="20" t="n">
        <f aca="false">IF(AND(H_Direct=0,H_TaxEvt=1,ATA45+1&gt;=H_Deemed),MAX(0,AFA46-AIN46)*H_Exit,0)</f>
        <v>0</v>
      </c>
      <c r="AWO46" s="20" t="n">
        <f aca="false">IF(AND(H_Direct=0,H_TaxEvt=1,ATB45+1&gt;=H_Deemed),MAX(0,AFB46-AIO46)*H_Exit,0)</f>
        <v>0</v>
      </c>
      <c r="AWP46" s="20" t="n">
        <f aca="false">IF(AND(H_Direct=0,H_TaxEvt=1,ATC45+1&gt;=H_Deemed),MAX(0,AFC46-AIP46)*H_Exit,0)</f>
        <v>0</v>
      </c>
      <c r="AWQ46" s="20" t="n">
        <f aca="false">IF(AND(H_Direct=0,H_TaxEvt=1,ATD45+1&gt;=H_Deemed),MAX(0,AFD46-AIQ46)*H_Exit,0)</f>
        <v>0</v>
      </c>
      <c r="AWR46" s="20" t="n">
        <f aca="false">IF(AND(H_Direct=0,H_TaxEvt=1,0+1&gt;=H_Deemed),MAX(0,AFE46-AIR46)*H_Exit,0)</f>
        <v>0</v>
      </c>
      <c r="AWS46" s="20" t="n">
        <v>0</v>
      </c>
      <c r="AWT46" s="20" t="n">
        <v>0</v>
      </c>
      <c r="AWU46" s="20" t="n">
        <v>0</v>
      </c>
      <c r="AWV46" s="20" t="n">
        <v>0</v>
      </c>
      <c r="AWW46" s="20" t="n">
        <v>0</v>
      </c>
      <c r="AWX46" s="20" t="n">
        <v>0</v>
      </c>
      <c r="AWY46" s="20" t="n">
        <v>0</v>
      </c>
      <c r="AWZ46" s="20" t="n">
        <v>0</v>
      </c>
      <c r="AXA46" s="20" t="n">
        <v>0</v>
      </c>
      <c r="AXB46" s="20" t="n">
        <v>0</v>
      </c>
      <c r="AXC46" s="20" t="n">
        <v>0</v>
      </c>
      <c r="AXD46" s="20" t="n">
        <v>0</v>
      </c>
      <c r="AXE46" s="20" t="n">
        <v>0</v>
      </c>
      <c r="AXF46" s="20" t="n">
        <v>0</v>
      </c>
      <c r="AXG46" s="20" t="n">
        <v>0</v>
      </c>
      <c r="AXH46" s="20" t="n">
        <v>0</v>
      </c>
      <c r="AXI46" s="20" t="n">
        <v>0</v>
      </c>
      <c r="AXJ46" s="20" t="n">
        <v>0</v>
      </c>
      <c r="AXK46" s="20" t="n">
        <v>0</v>
      </c>
      <c r="AXL46" s="20" t="n">
        <v>0</v>
      </c>
      <c r="AXM46" s="20" t="n">
        <v>0</v>
      </c>
      <c r="AXN46" s="20" t="n">
        <v>0</v>
      </c>
      <c r="AXO46" s="20" t="n">
        <v>0</v>
      </c>
      <c r="AXP46" s="20" t="n">
        <v>0</v>
      </c>
      <c r="AXQ46" s="20" t="n">
        <v>0</v>
      </c>
      <c r="AXR46" s="20" t="n">
        <v>0</v>
      </c>
      <c r="AXS46" s="20" t="n">
        <v>0</v>
      </c>
      <c r="AXT46" s="20" t="n">
        <v>0</v>
      </c>
      <c r="AXU46" s="20" t="n">
        <v>0</v>
      </c>
      <c r="AXV46" s="20" t="n">
        <v>0</v>
      </c>
      <c r="AXW46" s="20" t="n">
        <v>0</v>
      </c>
      <c r="AXX46" s="20" t="n">
        <v>0</v>
      </c>
      <c r="AXY46" s="20" t="n">
        <v>0</v>
      </c>
      <c r="AXZ46" s="20" t="n">
        <v>0</v>
      </c>
      <c r="AYA46" s="20" t="n">
        <v>0</v>
      </c>
      <c r="AYB46" s="20" t="n">
        <v>0</v>
      </c>
      <c r="AYC46" s="20" t="n">
        <v>0</v>
      </c>
      <c r="AYD46" s="20" t="n">
        <v>0</v>
      </c>
      <c r="AYE46" s="20" t="n">
        <v>0</v>
      </c>
      <c r="AYF46" s="20" t="n">
        <v>0</v>
      </c>
      <c r="AYG46" s="20" t="n">
        <v>0</v>
      </c>
      <c r="AYH46" s="20" t="n">
        <v>0</v>
      </c>
      <c r="AYI46" s="20" t="n">
        <v>0</v>
      </c>
      <c r="AYJ46" s="20" t="n">
        <v>0</v>
      </c>
      <c r="AYK46" s="20" t="n">
        <v>0</v>
      </c>
      <c r="AYL46" s="20" t="n">
        <v>0</v>
      </c>
      <c r="AYM46" s="20" t="n">
        <v>0</v>
      </c>
      <c r="AYN46" s="20" t="n">
        <v>0</v>
      </c>
      <c r="AYO46" s="20" t="n">
        <v>0</v>
      </c>
      <c r="AYP46" s="20" t="n">
        <v>0</v>
      </c>
      <c r="AYQ46" s="20" t="n">
        <v>0</v>
      </c>
    </row>
    <row r="47" customFormat="false" ht="15" hidden="false" customHeight="false" outlineLevel="0" collapsed="false">
      <c r="B47" s="20" t="n">
        <v>39</v>
      </c>
      <c r="C47" s="20" t="n">
        <f aca="false">'Plan cashflow'!C47</f>
        <v>1</v>
      </c>
      <c r="D47" s="20" t="n">
        <f aca="false">'Plan cashflow'!D47</f>
        <v>77</v>
      </c>
      <c r="E47" s="20" t="n">
        <f aca="false">AS_Year0+39</f>
        <v>2065</v>
      </c>
      <c r="F47" s="50" t="n">
        <f aca="false">'Plan cashflow'!F47</f>
        <v>2.16474476824986</v>
      </c>
      <c r="G47" s="59" t="n">
        <f aca="true">IF(MAX(TODAY(),DATE(E47,1,1))&gt;=H_CGTfrom,H_CGT1,H_CGT0)</f>
        <v>0.31</v>
      </c>
      <c r="H47" s="20" t="n">
        <f aca="false">H_Exempt*H_Persons</f>
        <v>1270</v>
      </c>
      <c r="I47" s="20" t="n">
        <f aca="false">AX46</f>
        <v>0</v>
      </c>
      <c r="J47" s="60" t="n">
        <f aca="false">BF46</f>
        <v>0</v>
      </c>
      <c r="K47" s="60" t="n">
        <f aca="false">BG46</f>
        <v>0</v>
      </c>
      <c r="L47" s="20" t="n">
        <f aca="false">IF(AND(In_polLump&gt;0,In_polLumpAge&gt;0,D47=In_polLumpAge),In_polLump,0)</f>
        <v>0</v>
      </c>
      <c r="M47" s="20" t="n">
        <f aca="false">IF(AND(In_homeUse="Yes, I'd downsize",In_downAge&gt;0,D47=In_downAge,OR(In_home="Own outright",In_home="Own with mortgage"),In_homeValue&gt;0),MAX(0,MAX(0,In_homeValue-In_downValue)*F47*0.9-'Plan cashflow'!HR46),0)</f>
        <v>0</v>
      </c>
      <c r="N47" s="20" t="n">
        <f aca="false">'Plan pay &amp; tax'!Y273</f>
        <v>0</v>
      </c>
      <c r="O47" s="20" t="n">
        <f aca="false">L47+M47+(1-H_Sh)*N47</f>
        <v>0</v>
      </c>
      <c r="P47" s="20" t="n">
        <f aca="false">H_Sh*N47</f>
        <v>0</v>
      </c>
      <c r="Q47" s="20" t="n">
        <f aca="false">'Plan cashflow'!UL47</f>
        <v>0</v>
      </c>
      <c r="R47" s="20" t="n">
        <f aca="false">(1-H_Sh)*Q47</f>
        <v>0</v>
      </c>
      <c r="S47" s="20" t="n">
        <f aca="false">H_Sh*Q47</f>
        <v>0</v>
      </c>
      <c r="T47" s="20" t="n">
        <f aca="false">J47+K47+O47</f>
        <v>0</v>
      </c>
      <c r="U47" s="20" t="n">
        <f aca="false">T47+R47</f>
        <v>0</v>
      </c>
      <c r="V47" s="60" t="n">
        <f aca="false">SUM(FE47:IQ47)</f>
        <v>10060.406142238</v>
      </c>
      <c r="W47" s="60" t="n">
        <f aca="false">IF(AJ47&lt;=0,0,IF(AL47&lt;=0,AJ47,AJ47-G47*MAX(0,AL47*AJ47-(AY47+AZ47))))</f>
        <v>0</v>
      </c>
      <c r="X47" s="60" t="n">
        <f aca="false">IF(AR47&lt;=0,0,IF(AT47&lt;=0,AR47,AR47-G47*MAX(0,AT47*AR47-(BA47+BB47))))</f>
        <v>0</v>
      </c>
      <c r="Y47" s="60" t="n">
        <f aca="false">T47+V47-S47+W47+X47</f>
        <v>10060.406142238</v>
      </c>
      <c r="Z47" s="60" t="n">
        <f aca="false">'Plan cashflow'!UK47</f>
        <v>10060.406142238</v>
      </c>
      <c r="AA47" s="20" t="n">
        <f aca="false">MIN(Z47,U47)</f>
        <v>0</v>
      </c>
      <c r="AB47" s="20" t="n">
        <f aca="false">Z47-AA47</f>
        <v>10060.406142238</v>
      </c>
      <c r="AC47" s="20" t="n">
        <f aca="false">MIN(AA47,J47+O47+R47)</f>
        <v>0</v>
      </c>
      <c r="AD47" s="20" t="n">
        <f aca="false">AA47-AC47</f>
        <v>0</v>
      </c>
      <c r="AE47" s="20" t="n">
        <f aca="false">J47+O47+R47-AC47</f>
        <v>0</v>
      </c>
      <c r="AF47" s="20" t="n">
        <f aca="false">K47-AD47</f>
        <v>0</v>
      </c>
      <c r="AG47" s="20" t="n">
        <f aca="false">SUM(PR47:TD47)</f>
        <v>10060.406142238</v>
      </c>
      <c r="AH47" s="20" t="n">
        <f aca="false">SUM(TE47:WQ47)</f>
        <v>10834.0470778491</v>
      </c>
      <c r="AI47" s="20" t="n">
        <f aca="false">MAX(0,AB47-AG47)</f>
        <v>0</v>
      </c>
      <c r="AJ47" s="57" t="n">
        <f aca="false">BI46</f>
        <v>0</v>
      </c>
      <c r="AK47" s="20" t="n">
        <f aca="false">BJ46</f>
        <v>0</v>
      </c>
      <c r="AL47" s="20" t="n">
        <f aca="false">IF(AJ47&gt;0,(AJ47-AK47)/AJ47,0)</f>
        <v>0</v>
      </c>
      <c r="AM47" s="20" t="n">
        <f aca="false">IF(AJ47&lt;=0,0,IF(AL47&lt;=0,MIN(AI47,AJ47),MIN(AI47,AJ47-G47*MAX(0,AL47*AJ47-(AAD47+ADQ47)))))</f>
        <v>0</v>
      </c>
      <c r="AN47" s="20" t="n">
        <f aca="false">IF(AJ47&lt;=0,0,IF(AL47&lt;=0,AM47,IF(AM47&lt;=(AAD47+ADQ47)/AL47,AM47,(AM47-G47*(AAD47+ADQ47))/(1-G47*AL47))))</f>
        <v>0</v>
      </c>
      <c r="AO47" s="20" t="n">
        <f aca="false">IF(AL47&gt;0,MAX(0,AAD47-(MIN(AL47*AN47,(AAD47+ADQ47))-MIN(MIN(AL47*AN47,(AAD47+ADQ47)),ADQ47))),AAD47)</f>
        <v>1270</v>
      </c>
      <c r="AP47" s="20" t="n">
        <f aca="false">IF(AL47&lt;=0,ADQ47-AL47*AN47,ADQ47-MIN(MIN(AL47*AN47,(AAD47+ADQ47)),ADQ47))</f>
        <v>0</v>
      </c>
      <c r="AQ47" s="20" t="n">
        <f aca="false">MAX(0,AI47-AM47)</f>
        <v>0</v>
      </c>
      <c r="AR47" s="57" t="n">
        <f aca="false">BK46</f>
        <v>0</v>
      </c>
      <c r="AS47" s="20" t="n">
        <f aca="false">BL46</f>
        <v>0</v>
      </c>
      <c r="AT47" s="20" t="n">
        <f aca="false">IF(AR47&gt;0,(AR47-AS47)/AR47,0)</f>
        <v>0</v>
      </c>
      <c r="AU47" s="20" t="n">
        <f aca="false">IF(AR47&lt;=0,0,IF(AT47&lt;=0,MIN(AQ47,AR47),MIN(AQ47,AR47-G47*MAX(0,AT47*AR47-(AO47+AP47)))))</f>
        <v>0</v>
      </c>
      <c r="AV47" s="20" t="n">
        <f aca="false">IF(AR47&lt;=0,0,IF(AT47&lt;=0,AU47,IF(AU47&lt;=(AO47+AP47)/AT47,AU47,(AU47-G47*(AO47+AP47))/(1-G47*AT47))))</f>
        <v>0</v>
      </c>
      <c r="AW47" s="20" t="n">
        <f aca="false">IF(AT47&gt;0,MAX(0,AO47-(MIN(AT47*AV47,(AO47+AP47))-MIN(MIN(AT47*AV47,(AO47+AP47)),AP47))),AO47)</f>
        <v>1270</v>
      </c>
      <c r="AX47" s="20" t="n">
        <f aca="false">IF(AT47&lt;=0,AP47-AT47*AV47,AP47-MIN(MIN(AT47*AV47,(AO47+AP47)),AP47))</f>
        <v>0</v>
      </c>
      <c r="AY47" s="20" t="n">
        <f aca="false">MD47</f>
        <v>1270</v>
      </c>
      <c r="AZ47" s="20" t="n">
        <f aca="false">PQ47</f>
        <v>0</v>
      </c>
      <c r="BA47" s="20" t="n">
        <f aca="false">IF(AL47&gt;0,MAX(0,AY47-(MIN(AL47*AJ47,AY47+AZ47)-MIN(MIN(AL47*AJ47,AY47+AZ47),AZ47))),AY47)</f>
        <v>1270</v>
      </c>
      <c r="BB47" s="20" t="n">
        <f aca="false">IF(AL47&lt;=0,AZ47-AL47*AJ47,AZ47-MIN(MIN(AL47*AJ47,AY47+AZ47),AZ47))</f>
        <v>0</v>
      </c>
      <c r="BC47" s="20" t="n">
        <f aca="false">'Plan cashflow'!UM47</f>
        <v>0</v>
      </c>
      <c r="BD47" s="20" t="n">
        <f aca="false">(1-H_Sh)*BC47</f>
        <v>0</v>
      </c>
      <c r="BE47" s="20" t="n">
        <f aca="false">H_Sh*BC47</f>
        <v>0</v>
      </c>
      <c r="BF47" s="60" t="n">
        <f aca="false">(AE47+BD47)*(1+AS_Cash)</f>
        <v>0</v>
      </c>
      <c r="BG47" s="60" t="n">
        <f aca="false">AF47*(1+AS_Cash)</f>
        <v>0</v>
      </c>
      <c r="BH47" s="60" t="n">
        <f aca="false">SUM(AKR47:AOD47)</f>
        <v>0</v>
      </c>
      <c r="BI47" s="60" t="n">
        <f aca="false">(AJ47-AN47)*(1+AS_Infl)</f>
        <v>0</v>
      </c>
      <c r="BJ47" s="20" t="n">
        <f aca="false">IF(AJ47&gt;0,AK47-AK47*AN47/AJ47,0)</f>
        <v>0</v>
      </c>
      <c r="BK47" s="60" t="n">
        <f aca="false">(AR47-AV47)*(1+BQ47)</f>
        <v>0</v>
      </c>
      <c r="BL47" s="20" t="n">
        <f aca="false">IF(AR47&gt;0,AS47-AS47*AV47/AR47,0)</f>
        <v>0</v>
      </c>
      <c r="BM47" s="60" t="n">
        <f aca="false">BF47+BG47+BH47+BI47+BK47</f>
        <v>0</v>
      </c>
      <c r="BN47" s="60" t="n">
        <f aca="false">(AH47-AG47)+(AN47-AM47)+(AV47-AU47)</f>
        <v>773.640935611118</v>
      </c>
      <c r="BO47" s="20" t="n">
        <f aca="false">(AE47+BD47+AF47+MAX(0,'Plan cashflow'!QH47)+IF(Slot1_Rate=AS_Cash,'Plan cashflow'!QM47/(1+AS_Cash),0)+IF(Slot2_Rate=AS_Cash,'Plan cashflow'!QQ47/(1+AS_Cash),0)+IF(Slot3_Rate=AS_Cash,'Plan cashflow'!QU47/(1+AS_Cash),0)+IF(Slot4_Rate=AS_Cash,'Plan cashflow'!QY47/(1+AS_Cash),0)+IF(Slot5_Rate=AS_Cash,'Plan cashflow'!RC47/(1+AS_Cash),0)+IF(Slot6_Rate=AS_Cash,'Plan cashflow'!RG47/(1+AS_Cash),0)+IF(Slot7_Rate=AS_Cash,'Plan cashflow'!RK47/(1+AS_Cash),0)+IF(Slot8_Rate=AS_Cash,'Plan cashflow'!RO47/(1+AS_Cash),0)+IF(Slot9_Rate=AS_Cash,'Plan cashflow'!RS47/(1+AS_Cash),0)+IF(Slot10_Rate=AS_Cash,'Plan cashflow'!RW47/(1+AS_Cash),0)+IF(Slot11_Rate=AS_Cash,'Plan cashflow'!SA47/(1+AS_Cash),0)+IF(Slot12_Rate=AS_Cash,'Plan cashflow'!SE47/(1+AS_Cash),0)+IF(Slot13_Rate=AS_Cash,'Plan cashflow'!SI47/(1+AS_Cash),0)+IF(Slot14_Rate=AS_Cash,'Plan cashflow'!SM47/(1+AS_Cash),0)+IF(Slot15_Rate=AS_Cash,'Plan cashflow'!SQ47/(1+AS_Cash),0)+IF(Slot16_Rate=AS_Cash,'Plan cashflow'!SU47/(1+AS_Cash),0)+IF(Slot17_Rate=AS_Cash,'Plan cashflow'!SY47/(1+AS_Cash),0)+IF(Slot18_Rate=AS_Cash,'Plan cashflow'!TC47/(1+AS_Cash),0)+IF(Slot19_Rate=AS_Cash,'Plan cashflow'!TG47/(1+AS_Cash),0)+IF(Slot20_Rate=AS_Cash,'Plan cashflow'!TK47/(1+AS_Cash),0))*AS_Cash*H_DIRT/(1-H_DIRT)</f>
        <v>7.49423923392617</v>
      </c>
      <c r="BP47" s="60" t="n">
        <f aca="false">SUM(AVE47:AYQ47)</f>
        <v>0</v>
      </c>
      <c r="BQ47" s="54" t="n">
        <f aca="false">IF(H_TaxEvt=1,H_InvG,AS_Inv)</f>
        <v>0.04</v>
      </c>
      <c r="BR47" s="20" t="n">
        <f aca="false">IF(AKR46&gt;0,(AKR46-AOE46)/AKR46,0)</f>
        <v>0</v>
      </c>
      <c r="BS47" s="20" t="n">
        <f aca="false">IF(AKS46&gt;0,(AKS46-AOF46)/AKS46,0)</f>
        <v>0</v>
      </c>
      <c r="BT47" s="20" t="n">
        <f aca="false">IF(AKT46&gt;0,(AKT46-AOG46)/AKT46,0)</f>
        <v>0</v>
      </c>
      <c r="BU47" s="20" t="n">
        <f aca="false">IF(AKU46&gt;0,(AKU46-AOH46)/AKU46,0)</f>
        <v>0</v>
      </c>
      <c r="BV47" s="20" t="n">
        <f aca="false">IF(AKV46&gt;0,(AKV46-AOI46)/AKV46,0)</f>
        <v>0</v>
      </c>
      <c r="BW47" s="20" t="n">
        <f aca="false">IF(AKW46&gt;0,(AKW46-AOJ46)/AKW46,0)</f>
        <v>0</v>
      </c>
      <c r="BX47" s="20" t="n">
        <f aca="false">IF(AKX46&gt;0,(AKX46-AOK46)/AKX46,0)</f>
        <v>0</v>
      </c>
      <c r="BY47" s="20" t="n">
        <f aca="false">IF(AKY46&gt;0,(AKY46-AOL46)/AKY46,0)</f>
        <v>0</v>
      </c>
      <c r="BZ47" s="20" t="n">
        <f aca="false">IF(AKZ46&gt;0,(AKZ46-AOM46)/AKZ46,0)</f>
        <v>0</v>
      </c>
      <c r="CA47" s="20" t="n">
        <f aca="false">IF(ALA46&gt;0,(ALA46-AON46)/ALA46,0)</f>
        <v>0</v>
      </c>
      <c r="CB47" s="20" t="n">
        <f aca="false">IF(ALB46&gt;0,(ALB46-AOO46)/ALB46,0)</f>
        <v>0</v>
      </c>
      <c r="CC47" s="20" t="n">
        <f aca="false">IF(ALC46&gt;0,(ALC46-AOP46)/ALC46,0)</f>
        <v>0</v>
      </c>
      <c r="CD47" s="20" t="n">
        <f aca="false">IF(ALD46&gt;0,(ALD46-AOQ46)/ALD46,0)</f>
        <v>0</v>
      </c>
      <c r="CE47" s="20" t="n">
        <f aca="false">IF(ALE46&gt;0,(ALE46-AOR46)/ALE46,0)</f>
        <v>0</v>
      </c>
      <c r="CF47" s="20" t="n">
        <f aca="false">IF(ALF46&gt;0,(ALF46-AOS46)/ALF46,0)</f>
        <v>0</v>
      </c>
      <c r="CG47" s="20" t="n">
        <f aca="false">IF(ALG46&gt;0,(ALG46-AOT46)/ALG46,0)</f>
        <v>0</v>
      </c>
      <c r="CH47" s="20" t="n">
        <f aca="false">IF(ALH46&gt;0,(ALH46-AOU46)/ALH46,0)</f>
        <v>0</v>
      </c>
      <c r="CI47" s="20" t="n">
        <f aca="false">IF(ALI46&gt;0,(ALI46-AOV46)/ALI46,0)</f>
        <v>0</v>
      </c>
      <c r="CJ47" s="20" t="n">
        <f aca="false">IF(ALJ46&gt;0,(ALJ46-AOW46)/ALJ46,0)</f>
        <v>0</v>
      </c>
      <c r="CK47" s="20" t="n">
        <f aca="false">IF(ALK46&gt;0,(ALK46-AOX46)/ALK46,0)</f>
        <v>0</v>
      </c>
      <c r="CL47" s="20" t="n">
        <f aca="false">IF(ALL46&gt;0,(ALL46-AOY46)/ALL46,0)</f>
        <v>0</v>
      </c>
      <c r="CM47" s="20" t="n">
        <f aca="false">IF(ALM46&gt;0,(ALM46-AOZ46)/ALM46,0)</f>
        <v>0</v>
      </c>
      <c r="CN47" s="20" t="n">
        <f aca="false">IF(ALN46&gt;0,(ALN46-APA46)/ALN46,0)</f>
        <v>0</v>
      </c>
      <c r="CO47" s="20" t="n">
        <f aca="false">IF(ALO46&gt;0,(ALO46-APB46)/ALO46,0)</f>
        <v>0</v>
      </c>
      <c r="CP47" s="20" t="n">
        <f aca="false">IF(ALP46&gt;0,(ALP46-APC46)/ALP46,0)</f>
        <v>0</v>
      </c>
      <c r="CQ47" s="20" t="n">
        <f aca="false">IF(ALQ46&gt;0,(ALQ46-APD46)/ALQ46,0)</f>
        <v>0</v>
      </c>
      <c r="CR47" s="20" t="n">
        <f aca="false">IF(ALR46&gt;0,(ALR46-APE46)/ALR46,0)</f>
        <v>0.209685474269855</v>
      </c>
      <c r="CS47" s="20" t="n">
        <f aca="false">IF(ALS46&gt;0,(ALS46-APF46)/ALS46,0)</f>
        <v>0</v>
      </c>
      <c r="CT47" s="20" t="n">
        <f aca="false">IF(ALT46&gt;0,(ALT46-APG46)/ALT46,0)</f>
        <v>0</v>
      </c>
      <c r="CU47" s="20" t="n">
        <f aca="false">IF(ALU46&gt;0,(ALU46-APH46)/ALU46,0)</f>
        <v>0.111003641329085</v>
      </c>
      <c r="CV47" s="20" t="n">
        <f aca="false">IF(ALV46&gt;0,(ALV46-API46)/ALV46,0)</f>
        <v>0</v>
      </c>
      <c r="CW47" s="20" t="n">
        <f aca="false">IF(ALW46&gt;0,(ALW46-APJ46)/ALW46,0)</f>
        <v>0</v>
      </c>
      <c r="CX47" s="20" t="n">
        <f aca="false">IF(ALX46&gt;0,(ALX46-APK46)/ALX46,0)</f>
        <v>0</v>
      </c>
      <c r="CY47" s="20" t="n">
        <f aca="false">IF(ALY46&gt;0,(ALY46-APL46)/ALY46,0)</f>
        <v>0</v>
      </c>
      <c r="CZ47" s="20" t="n">
        <f aca="false">IF(ALZ46&gt;0,(ALZ46-APM46)/ALZ46,0)</f>
        <v>0</v>
      </c>
      <c r="DA47" s="20" t="n">
        <f aca="false">IF(AMA46&gt;0,(AMA46-APN46)/AMA46,0)</f>
        <v>0</v>
      </c>
      <c r="DB47" s="20" t="n">
        <f aca="false">IF(AMB46&gt;0,(AMB46-APO46)/AMB46,0)</f>
        <v>0</v>
      </c>
      <c r="DC47" s="20" t="n">
        <f aca="false">IF(AMC46&gt;0,(AMC46-APP46)/AMC46,0)</f>
        <v>0</v>
      </c>
      <c r="DD47" s="20" t="n">
        <f aca="false">IF(AMD46&gt;0,(AMD46-APQ46)/AMD46,0)</f>
        <v>0</v>
      </c>
      <c r="DE47" s="20" t="n">
        <f aca="false">IF(AME46&gt;0,(AME46-APR46)/AME46,0)</f>
        <v>0</v>
      </c>
      <c r="DF47" s="20" t="n">
        <f aca="false">IF((P47+S47)&gt;0,((P47+S47)-(P47+S47))/(P47+S47),0)</f>
        <v>0</v>
      </c>
      <c r="DG47" s="20" t="n">
        <v>0</v>
      </c>
      <c r="DH47" s="20" t="n">
        <v>0</v>
      </c>
      <c r="DI47" s="20" t="n">
        <v>0</v>
      </c>
      <c r="DJ47" s="20" t="n">
        <v>0</v>
      </c>
      <c r="DK47" s="20" t="n">
        <v>0</v>
      </c>
      <c r="DL47" s="20" t="n">
        <v>0</v>
      </c>
      <c r="DM47" s="20" t="n">
        <v>0</v>
      </c>
      <c r="DN47" s="20" t="n">
        <v>0</v>
      </c>
      <c r="DO47" s="20" t="n">
        <v>0</v>
      </c>
      <c r="DP47" s="20" t="n">
        <v>0</v>
      </c>
      <c r="DQ47" s="20" t="n">
        <v>0</v>
      </c>
      <c r="DR47" s="20" t="n">
        <v>0</v>
      </c>
      <c r="DS47" s="20" t="n">
        <v>0</v>
      </c>
      <c r="DT47" s="20" t="n">
        <v>0</v>
      </c>
      <c r="DU47" s="20" t="n">
        <v>0</v>
      </c>
      <c r="DV47" s="20" t="n">
        <v>0</v>
      </c>
      <c r="DW47" s="20" t="n">
        <v>0</v>
      </c>
      <c r="DX47" s="20" t="n">
        <v>0</v>
      </c>
      <c r="DY47" s="20" t="n">
        <v>0</v>
      </c>
      <c r="DZ47" s="20" t="n">
        <v>0</v>
      </c>
      <c r="EA47" s="20" t="n">
        <v>0</v>
      </c>
      <c r="EB47" s="20" t="n">
        <v>0</v>
      </c>
      <c r="EC47" s="20" t="n">
        <v>0</v>
      </c>
      <c r="ED47" s="20" t="n">
        <v>0</v>
      </c>
      <c r="EE47" s="20" t="n">
        <v>0</v>
      </c>
      <c r="EF47" s="20" t="n">
        <v>0</v>
      </c>
      <c r="EG47" s="20" t="n">
        <v>0</v>
      </c>
      <c r="EH47" s="20" t="n">
        <v>0</v>
      </c>
      <c r="EI47" s="20" t="n">
        <v>0</v>
      </c>
      <c r="EJ47" s="20" t="n">
        <v>0</v>
      </c>
      <c r="EK47" s="20" t="n">
        <v>0</v>
      </c>
      <c r="EL47" s="20" t="n">
        <v>0</v>
      </c>
      <c r="EM47" s="20" t="n">
        <v>0</v>
      </c>
      <c r="EN47" s="20" t="n">
        <v>0</v>
      </c>
      <c r="EO47" s="20" t="n">
        <v>0</v>
      </c>
      <c r="EP47" s="20" t="n">
        <v>0</v>
      </c>
      <c r="EQ47" s="20" t="n">
        <v>0</v>
      </c>
      <c r="ER47" s="20" t="n">
        <v>0</v>
      </c>
      <c r="ES47" s="20" t="n">
        <v>0</v>
      </c>
      <c r="ET47" s="20" t="n">
        <v>0</v>
      </c>
      <c r="EU47" s="20" t="n">
        <v>0</v>
      </c>
      <c r="EV47" s="20" t="n">
        <v>0</v>
      </c>
      <c r="EW47" s="20" t="n">
        <v>0</v>
      </c>
      <c r="EX47" s="20" t="n">
        <v>0</v>
      </c>
      <c r="EY47" s="20" t="n">
        <v>0</v>
      </c>
      <c r="EZ47" s="20" t="n">
        <v>0</v>
      </c>
      <c r="FA47" s="20" t="n">
        <v>0</v>
      </c>
      <c r="FB47" s="20" t="n">
        <v>0</v>
      </c>
      <c r="FC47" s="20" t="n">
        <v>0</v>
      </c>
      <c r="FD47" s="20" t="n">
        <v>0</v>
      </c>
      <c r="FE47" s="20" t="n">
        <f aca="false">IF(H_Direct=1,IF(AKR46&lt;=0,0,IF(BR47&lt;=0,AKR46,AKR46-G47*MAX(0,BR47*AKR46-(H47+I47)))),AKR46*(1-MAX(0,BR47)*H_Exit))</f>
        <v>0</v>
      </c>
      <c r="FF47" s="20" t="n">
        <f aca="false">IF(H_Direct=1,IF(AKS46&lt;=0,0,IF(BS47&lt;=0,AKS46,AKS46-G47*MAX(0,BS47*AKS46-(IR47+ME47)))),AKS46*(1-MAX(0,BS47)*H_Exit))</f>
        <v>0</v>
      </c>
      <c r="FG47" s="20" t="n">
        <f aca="false">IF(H_Direct=1,IF(AKT46&lt;=0,0,IF(BT47&lt;=0,AKT46,AKT46-G47*MAX(0,BT47*AKT46-(IS47+MF47)))),AKT46*(1-MAX(0,BT47)*H_Exit))</f>
        <v>0</v>
      </c>
      <c r="FH47" s="20" t="n">
        <f aca="false">IF(H_Direct=1,IF(AKU46&lt;=0,0,IF(BU47&lt;=0,AKU46,AKU46-G47*MAX(0,BU47*AKU46-(IT47+MG47)))),AKU46*(1-MAX(0,BU47)*H_Exit))</f>
        <v>0</v>
      </c>
      <c r="FI47" s="20" t="n">
        <f aca="false">IF(H_Direct=1,IF(AKV46&lt;=0,0,IF(BV47&lt;=0,AKV46,AKV46-G47*MAX(0,BV47*AKV46-(IU47+MH47)))),AKV46*(1-MAX(0,BV47)*H_Exit))</f>
        <v>0</v>
      </c>
      <c r="FJ47" s="20" t="n">
        <f aca="false">IF(H_Direct=1,IF(AKW46&lt;=0,0,IF(BW47&lt;=0,AKW46,AKW46-G47*MAX(0,BW47*AKW46-(IV47+MI47)))),AKW46*(1-MAX(0,BW47)*H_Exit))</f>
        <v>0</v>
      </c>
      <c r="FK47" s="20" t="n">
        <f aca="false">IF(H_Direct=1,IF(AKX46&lt;=0,0,IF(BX47&lt;=0,AKX46,AKX46-G47*MAX(0,BX47*AKX46-(IW47+MJ47)))),AKX46*(1-MAX(0,BX47)*H_Exit))</f>
        <v>0</v>
      </c>
      <c r="FL47" s="20" t="n">
        <f aca="false">IF(H_Direct=1,IF(AKY46&lt;=0,0,IF(BY47&lt;=0,AKY46,AKY46-G47*MAX(0,BY47*AKY46-(IX47+MK47)))),AKY46*(1-MAX(0,BY47)*H_Exit))</f>
        <v>0</v>
      </c>
      <c r="FM47" s="20" t="n">
        <f aca="false">IF(H_Direct=1,IF(AKZ46&lt;=0,0,IF(BZ47&lt;=0,AKZ46,AKZ46-G47*MAX(0,BZ47*AKZ46-(IY47+ML47)))),AKZ46*(1-MAX(0,BZ47)*H_Exit))</f>
        <v>0</v>
      </c>
      <c r="FN47" s="20" t="n">
        <f aca="false">IF(H_Direct=1,IF(ALA46&lt;=0,0,IF(CA47&lt;=0,ALA46,ALA46-G47*MAX(0,CA47*ALA46-(IZ47+MM47)))),ALA46*(1-MAX(0,CA47)*H_Exit))</f>
        <v>0</v>
      </c>
      <c r="FO47" s="20" t="n">
        <f aca="false">IF(H_Direct=1,IF(ALB46&lt;=0,0,IF(CB47&lt;=0,ALB46,ALB46-G47*MAX(0,CB47*ALB46-(JA47+MN47)))),ALB46*(1-MAX(0,CB47)*H_Exit))</f>
        <v>0</v>
      </c>
      <c r="FP47" s="20" t="n">
        <f aca="false">IF(H_Direct=1,IF(ALC46&lt;=0,0,IF(CC47&lt;=0,ALC46,ALC46-G47*MAX(0,CC47*ALC46-(JB47+MO47)))),ALC46*(1-MAX(0,CC47)*H_Exit))</f>
        <v>0</v>
      </c>
      <c r="FQ47" s="20" t="n">
        <f aca="false">IF(H_Direct=1,IF(ALD46&lt;=0,0,IF(CD47&lt;=0,ALD46,ALD46-G47*MAX(0,CD47*ALD46-(JC47+MP47)))),ALD46*(1-MAX(0,CD47)*H_Exit))</f>
        <v>0</v>
      </c>
      <c r="FR47" s="20" t="n">
        <f aca="false">IF(H_Direct=1,IF(ALE46&lt;=0,0,IF(CE47&lt;=0,ALE46,ALE46-G47*MAX(0,CE47*ALE46-(JD47+MQ47)))),ALE46*(1-MAX(0,CE47)*H_Exit))</f>
        <v>0</v>
      </c>
      <c r="FS47" s="20" t="n">
        <f aca="false">IF(H_Direct=1,IF(ALF46&lt;=0,0,IF(CF47&lt;=0,ALF46,ALF46-G47*MAX(0,CF47*ALF46-(JE47+MR47)))),ALF46*(1-MAX(0,CF47)*H_Exit))</f>
        <v>0</v>
      </c>
      <c r="FT47" s="20" t="n">
        <f aca="false">IF(H_Direct=1,IF(ALG46&lt;=0,0,IF(CG47&lt;=0,ALG46,ALG46-G47*MAX(0,CG47*ALG46-(JF47+MS47)))),ALG46*(1-MAX(0,CG47)*H_Exit))</f>
        <v>0</v>
      </c>
      <c r="FU47" s="20" t="n">
        <f aca="false">IF(H_Direct=1,IF(ALH46&lt;=0,0,IF(CH47&lt;=0,ALH46,ALH46-G47*MAX(0,CH47*ALH46-(JG47+MT47)))),ALH46*(1-MAX(0,CH47)*H_Exit))</f>
        <v>0</v>
      </c>
      <c r="FV47" s="20" t="n">
        <f aca="false">IF(H_Direct=1,IF(ALI46&lt;=0,0,IF(CI47&lt;=0,ALI46,ALI46-G47*MAX(0,CI47*ALI46-(JH47+MU47)))),ALI46*(1-MAX(0,CI47)*H_Exit))</f>
        <v>0</v>
      </c>
      <c r="FW47" s="20" t="n">
        <f aca="false">IF(H_Direct=1,IF(ALJ46&lt;=0,0,IF(CJ47&lt;=0,ALJ46,ALJ46-G47*MAX(0,CJ47*ALJ46-(JI47+MV47)))),ALJ46*(1-MAX(0,CJ47)*H_Exit))</f>
        <v>0</v>
      </c>
      <c r="FX47" s="20" t="n">
        <f aca="false">IF(H_Direct=1,IF(ALK46&lt;=0,0,IF(CK47&lt;=0,ALK46,ALK46-G47*MAX(0,CK47*ALK46-(JJ47+MW47)))),ALK46*(1-MAX(0,CK47)*H_Exit))</f>
        <v>0</v>
      </c>
      <c r="FY47" s="20" t="n">
        <f aca="false">IF(H_Direct=1,IF(ALL46&lt;=0,0,IF(CL47&lt;=0,ALL46,ALL46-G47*MAX(0,CL47*ALL46-(JK47+MX47)))),ALL46*(1-MAX(0,CL47)*H_Exit))</f>
        <v>0</v>
      </c>
      <c r="FZ47" s="20" t="n">
        <f aca="false">IF(H_Direct=1,IF(ALM46&lt;=0,0,IF(CM47&lt;=0,ALM46,ALM46-G47*MAX(0,CM47*ALM46-(JL47+MY47)))),ALM46*(1-MAX(0,CM47)*H_Exit))</f>
        <v>0</v>
      </c>
      <c r="GA47" s="20" t="n">
        <f aca="false">IF(H_Direct=1,IF(ALN46&lt;=0,0,IF(CN47&lt;=0,ALN46,ALN46-G47*MAX(0,CN47*ALN46-(JM47+MZ47)))),ALN46*(1-MAX(0,CN47)*H_Exit))</f>
        <v>0</v>
      </c>
      <c r="GB47" s="20" t="n">
        <f aca="false">IF(H_Direct=1,IF(ALO46&lt;=0,0,IF(CO47&lt;=0,ALO46,ALO46-G47*MAX(0,CO47*ALO46-(JN47+NA47)))),ALO46*(1-MAX(0,CO47)*H_Exit))</f>
        <v>0</v>
      </c>
      <c r="GC47" s="20" t="n">
        <f aca="false">IF(H_Direct=1,IF(ALP46&lt;=0,0,IF(CP47&lt;=0,ALP46,ALP46-G47*MAX(0,CP47*ALP46-(JO47+NB47)))),ALP46*(1-MAX(0,CP47)*H_Exit))</f>
        <v>0</v>
      </c>
      <c r="GD47" s="20" t="n">
        <f aca="false">IF(H_Direct=1,IF(ALQ46&lt;=0,0,IF(CQ47&lt;=0,ALQ46,ALQ46-G47*MAX(0,CQ47*ALQ46-(JP47+NC47)))),ALQ46*(1-MAX(0,CQ47)*H_Exit))</f>
        <v>0</v>
      </c>
      <c r="GE47" s="20" t="n">
        <f aca="false">IF(H_Direct=1,IF(ALR46&lt;=0,0,IF(CR47&lt;=0,ALR46,ALR46-G47*MAX(0,CR47*ALR46-(JQ47+ND47)))),ALR46*(1-MAX(0,CR47)*H_Exit))</f>
        <v>7771.26313201737</v>
      </c>
      <c r="GF47" s="20" t="n">
        <f aca="false">IF(H_Direct=1,IF(ALS46&lt;=0,0,IF(CS47&lt;=0,ALS46,ALS46-G47*MAX(0,CS47*ALS46-(JR47+NE47)))),ALS46*(1-MAX(0,CS47)*H_Exit))</f>
        <v>0</v>
      </c>
      <c r="GG47" s="20" t="n">
        <f aca="false">IF(H_Direct=1,IF(ALT46&lt;=0,0,IF(CT47&lt;=0,ALT46,ALT46-G47*MAX(0,CT47*ALT46-(JS47+NF47)))),ALT46*(1-MAX(0,CT47)*H_Exit))</f>
        <v>0</v>
      </c>
      <c r="GH47" s="20" t="n">
        <f aca="false">IF(H_Direct=1,IF(ALU46&lt;=0,0,IF(CU47&lt;=0,ALU46,ALU46-G47*MAX(0,CU47*ALU46-(JT47+NG47)))),ALU46*(1-MAX(0,CU47)*H_Exit))</f>
        <v>2289.14301022062</v>
      </c>
      <c r="GI47" s="20" t="n">
        <f aca="false">IF(H_Direct=1,IF(ALV46&lt;=0,0,IF(CV47&lt;=0,ALV46,ALV46-G47*MAX(0,CV47*ALV46-(JU47+NH47)))),ALV46*(1-MAX(0,CV47)*H_Exit))</f>
        <v>0</v>
      </c>
      <c r="GJ47" s="20" t="n">
        <f aca="false">IF(H_Direct=1,IF(ALW46&lt;=0,0,IF(CW47&lt;=0,ALW46,ALW46-G47*MAX(0,CW47*ALW46-(JV47+NI47)))),ALW46*(1-MAX(0,CW47)*H_Exit))</f>
        <v>0</v>
      </c>
      <c r="GK47" s="20" t="n">
        <f aca="false">IF(H_Direct=1,IF(ALX46&lt;=0,0,IF(CX47&lt;=0,ALX46,ALX46-G47*MAX(0,CX47*ALX46-(JW47+NJ47)))),ALX46*(1-MAX(0,CX47)*H_Exit))</f>
        <v>0</v>
      </c>
      <c r="GL47" s="20" t="n">
        <f aca="false">IF(H_Direct=1,IF(ALY46&lt;=0,0,IF(CY47&lt;=0,ALY46,ALY46-G47*MAX(0,CY47*ALY46-(JX47+NK47)))),ALY46*(1-MAX(0,CY47)*H_Exit))</f>
        <v>0</v>
      </c>
      <c r="GM47" s="20" t="n">
        <f aca="false">IF(H_Direct=1,IF(ALZ46&lt;=0,0,IF(CZ47&lt;=0,ALZ46,ALZ46-G47*MAX(0,CZ47*ALZ46-(JY47+NL47)))),ALZ46*(1-MAX(0,CZ47)*H_Exit))</f>
        <v>0</v>
      </c>
      <c r="GN47" s="20" t="n">
        <f aca="false">IF(H_Direct=1,IF(AMA46&lt;=0,0,IF(DA47&lt;=0,AMA46,AMA46-G47*MAX(0,DA47*AMA46-(JZ47+NM47)))),AMA46*(1-MAX(0,DA47)*H_Exit))</f>
        <v>0</v>
      </c>
      <c r="GO47" s="20" t="n">
        <f aca="false">IF(H_Direct=1,IF(AMB46&lt;=0,0,IF(DB47&lt;=0,AMB46,AMB46-G47*MAX(0,DB47*AMB46-(KA47+NN47)))),AMB46*(1-MAX(0,DB47)*H_Exit))</f>
        <v>0</v>
      </c>
      <c r="GP47" s="20" t="n">
        <f aca="false">IF(H_Direct=1,IF(AMC46&lt;=0,0,IF(DC47&lt;=0,AMC46,AMC46-G47*MAX(0,DC47*AMC46-(KB47+NO47)))),AMC46*(1-MAX(0,DC47)*H_Exit))</f>
        <v>0</v>
      </c>
      <c r="GQ47" s="20" t="n">
        <f aca="false">IF(H_Direct=1,IF(AMD46&lt;=0,0,IF(DD47&lt;=0,AMD46,AMD46-G47*MAX(0,DD47*AMD46-(KC47+NP47)))),AMD46*(1-MAX(0,DD47)*H_Exit))</f>
        <v>0</v>
      </c>
      <c r="GR47" s="20" t="n">
        <f aca="false">IF(H_Direct=1,IF(AME46&lt;=0,0,IF(DE47&lt;=0,AME46,AME46-G47*MAX(0,DE47*AME46-(KD47+NQ47)))),AME46*(1-MAX(0,DE47)*H_Exit))</f>
        <v>0</v>
      </c>
      <c r="GS47" s="20" t="n">
        <f aca="false">IF(H_Direct=1,IF((P47+S47)&lt;=0,0,IF(DF47&lt;=0,(P47+S47),(P47+S47)-G47*MAX(0,DF47*(P47+S47)-(KE47+NR47)))),(P47+S47)*(1-MAX(0,DF47)*H_Exit))</f>
        <v>0</v>
      </c>
      <c r="GT47" s="20" t="n">
        <v>0</v>
      </c>
      <c r="GU47" s="20" t="n">
        <v>0</v>
      </c>
      <c r="GV47" s="20" t="n">
        <v>0</v>
      </c>
      <c r="GW47" s="20" t="n">
        <v>0</v>
      </c>
      <c r="GX47" s="20" t="n">
        <v>0</v>
      </c>
      <c r="GY47" s="20" t="n">
        <v>0</v>
      </c>
      <c r="GZ47" s="20" t="n">
        <v>0</v>
      </c>
      <c r="HA47" s="20" t="n">
        <v>0</v>
      </c>
      <c r="HB47" s="20" t="n">
        <v>0</v>
      </c>
      <c r="HC47" s="20" t="n">
        <v>0</v>
      </c>
      <c r="HD47" s="20" t="n">
        <v>0</v>
      </c>
      <c r="HE47" s="20" t="n">
        <v>0</v>
      </c>
      <c r="HF47" s="20" t="n">
        <v>0</v>
      </c>
      <c r="HG47" s="20" t="n">
        <v>0</v>
      </c>
      <c r="HH47" s="20" t="n">
        <v>0</v>
      </c>
      <c r="HI47" s="20" t="n">
        <v>0</v>
      </c>
      <c r="HJ47" s="20" t="n">
        <v>0</v>
      </c>
      <c r="HK47" s="20" t="n">
        <v>0</v>
      </c>
      <c r="HL47" s="20" t="n">
        <v>0</v>
      </c>
      <c r="HM47" s="20" t="n">
        <v>0</v>
      </c>
      <c r="HN47" s="20" t="n">
        <v>0</v>
      </c>
      <c r="HO47" s="20" t="n">
        <v>0</v>
      </c>
      <c r="HP47" s="20" t="n">
        <v>0</v>
      </c>
      <c r="HQ47" s="20" t="n">
        <v>0</v>
      </c>
      <c r="HR47" s="20" t="n">
        <v>0</v>
      </c>
      <c r="HS47" s="20" t="n">
        <v>0</v>
      </c>
      <c r="HT47" s="20" t="n">
        <v>0</v>
      </c>
      <c r="HU47" s="20" t="n">
        <v>0</v>
      </c>
      <c r="HV47" s="20" t="n">
        <v>0</v>
      </c>
      <c r="HW47" s="20" t="n">
        <v>0</v>
      </c>
      <c r="HX47" s="20" t="n">
        <v>0</v>
      </c>
      <c r="HY47" s="20" t="n">
        <v>0</v>
      </c>
      <c r="HZ47" s="20" t="n">
        <v>0</v>
      </c>
      <c r="IA47" s="20" t="n">
        <v>0</v>
      </c>
      <c r="IB47" s="20" t="n">
        <v>0</v>
      </c>
      <c r="IC47" s="20" t="n">
        <v>0</v>
      </c>
      <c r="ID47" s="20" t="n">
        <v>0</v>
      </c>
      <c r="IE47" s="20" t="n">
        <v>0</v>
      </c>
      <c r="IF47" s="20" t="n">
        <v>0</v>
      </c>
      <c r="IG47" s="20" t="n">
        <v>0</v>
      </c>
      <c r="IH47" s="20" t="n">
        <v>0</v>
      </c>
      <c r="II47" s="20" t="n">
        <v>0</v>
      </c>
      <c r="IJ47" s="20" t="n">
        <v>0</v>
      </c>
      <c r="IK47" s="20" t="n">
        <v>0</v>
      </c>
      <c r="IL47" s="20" t="n">
        <v>0</v>
      </c>
      <c r="IM47" s="20" t="n">
        <v>0</v>
      </c>
      <c r="IN47" s="20" t="n">
        <v>0</v>
      </c>
      <c r="IO47" s="20" t="n">
        <v>0</v>
      </c>
      <c r="IP47" s="20" t="n">
        <v>0</v>
      </c>
      <c r="IQ47" s="20" t="n">
        <v>0</v>
      </c>
      <c r="IR47" s="20" t="n">
        <f aca="false">IF(AND(H_Direct=1,BR47&gt;0),MAX(0,H47-(MIN(BR47*AKR46,H47+I47)-MIN(MIN(BR47*AKR46,H47+I47),I47))),H47)</f>
        <v>1270</v>
      </c>
      <c r="IS47" s="20" t="n">
        <f aca="false">IF(AND(H_Direct=1,BS47&gt;0),MAX(0,IR47-(MIN(BS47*AKS46,IR47+ME47)-MIN(MIN(BS47*AKS46,IR47+ME47),ME47))),IR47)</f>
        <v>1270</v>
      </c>
      <c r="IT47" s="20" t="n">
        <f aca="false">IF(AND(H_Direct=1,BT47&gt;0),MAX(0,IS47-(MIN(BT47*AKT46,IS47+MF47)-MIN(MIN(BT47*AKT46,IS47+MF47),MF47))),IS47)</f>
        <v>1270</v>
      </c>
      <c r="IU47" s="20" t="n">
        <f aca="false">IF(AND(H_Direct=1,BU47&gt;0),MAX(0,IT47-(MIN(BU47*AKU46,IT47+MG47)-MIN(MIN(BU47*AKU46,IT47+MG47),MG47))),IT47)</f>
        <v>1270</v>
      </c>
      <c r="IV47" s="20" t="n">
        <f aca="false">IF(AND(H_Direct=1,BV47&gt;0),MAX(0,IU47-(MIN(BV47*AKV46,IU47+MH47)-MIN(MIN(BV47*AKV46,IU47+MH47),MH47))),IU47)</f>
        <v>1270</v>
      </c>
      <c r="IW47" s="20" t="n">
        <f aca="false">IF(AND(H_Direct=1,BW47&gt;0),MAX(0,IV47-(MIN(BW47*AKW46,IV47+MI47)-MIN(MIN(BW47*AKW46,IV47+MI47),MI47))),IV47)</f>
        <v>1270</v>
      </c>
      <c r="IX47" s="20" t="n">
        <f aca="false">IF(AND(H_Direct=1,BX47&gt;0),MAX(0,IW47-(MIN(BX47*AKX46,IW47+MJ47)-MIN(MIN(BX47*AKX46,IW47+MJ47),MJ47))),IW47)</f>
        <v>1270</v>
      </c>
      <c r="IY47" s="20" t="n">
        <f aca="false">IF(AND(H_Direct=1,BY47&gt;0),MAX(0,IX47-(MIN(BY47*AKY46,IX47+MK47)-MIN(MIN(BY47*AKY46,IX47+MK47),MK47))),IX47)</f>
        <v>1270</v>
      </c>
      <c r="IZ47" s="20" t="n">
        <f aca="false">IF(AND(H_Direct=1,BZ47&gt;0),MAX(0,IY47-(MIN(BZ47*AKZ46,IY47+ML47)-MIN(MIN(BZ47*AKZ46,IY47+ML47),ML47))),IY47)</f>
        <v>1270</v>
      </c>
      <c r="JA47" s="20" t="n">
        <f aca="false">IF(AND(H_Direct=1,CA47&gt;0),MAX(0,IZ47-(MIN(CA47*ALA46,IZ47+MM47)-MIN(MIN(CA47*ALA46,IZ47+MM47),MM47))),IZ47)</f>
        <v>1270</v>
      </c>
      <c r="JB47" s="20" t="n">
        <f aca="false">IF(AND(H_Direct=1,CB47&gt;0),MAX(0,JA47-(MIN(CB47*ALB46,JA47+MN47)-MIN(MIN(CB47*ALB46,JA47+MN47),MN47))),JA47)</f>
        <v>1270</v>
      </c>
      <c r="JC47" s="20" t="n">
        <f aca="false">IF(AND(H_Direct=1,CC47&gt;0),MAX(0,JB47-(MIN(CC47*ALC46,JB47+MO47)-MIN(MIN(CC47*ALC46,JB47+MO47),MO47))),JB47)</f>
        <v>1270</v>
      </c>
      <c r="JD47" s="20" t="n">
        <f aca="false">IF(AND(H_Direct=1,CD47&gt;0),MAX(0,JC47-(MIN(CD47*ALD46,JC47+MP47)-MIN(MIN(CD47*ALD46,JC47+MP47),MP47))),JC47)</f>
        <v>1270</v>
      </c>
      <c r="JE47" s="20" t="n">
        <f aca="false">IF(AND(H_Direct=1,CE47&gt;0),MAX(0,JD47-(MIN(CE47*ALE46,JD47+MQ47)-MIN(MIN(CE47*ALE46,JD47+MQ47),MQ47))),JD47)</f>
        <v>1270</v>
      </c>
      <c r="JF47" s="20" t="n">
        <f aca="false">IF(AND(H_Direct=1,CF47&gt;0),MAX(0,JE47-(MIN(CF47*ALF46,JE47+MR47)-MIN(MIN(CF47*ALF46,JE47+MR47),MR47))),JE47)</f>
        <v>1270</v>
      </c>
      <c r="JG47" s="20" t="n">
        <f aca="false">IF(AND(H_Direct=1,CG47&gt;0),MAX(0,JF47-(MIN(CG47*ALG46,JF47+MS47)-MIN(MIN(CG47*ALG46,JF47+MS47),MS47))),JF47)</f>
        <v>1270</v>
      </c>
      <c r="JH47" s="20" t="n">
        <f aca="false">IF(AND(H_Direct=1,CH47&gt;0),MAX(0,JG47-(MIN(CH47*ALH46,JG47+MT47)-MIN(MIN(CH47*ALH46,JG47+MT47),MT47))),JG47)</f>
        <v>1270</v>
      </c>
      <c r="JI47" s="20" t="n">
        <f aca="false">IF(AND(H_Direct=1,CI47&gt;0),MAX(0,JH47-(MIN(CI47*ALI46,JH47+MU47)-MIN(MIN(CI47*ALI46,JH47+MU47),MU47))),JH47)</f>
        <v>1270</v>
      </c>
      <c r="JJ47" s="20" t="n">
        <f aca="false">IF(AND(H_Direct=1,CJ47&gt;0),MAX(0,JI47-(MIN(CJ47*ALJ46,JI47+MV47)-MIN(MIN(CJ47*ALJ46,JI47+MV47),MV47))),JI47)</f>
        <v>1270</v>
      </c>
      <c r="JK47" s="20" t="n">
        <f aca="false">IF(AND(H_Direct=1,CK47&gt;0),MAX(0,JJ47-(MIN(CK47*ALK46,JJ47+MW47)-MIN(MIN(CK47*ALK46,JJ47+MW47),MW47))),JJ47)</f>
        <v>1270</v>
      </c>
      <c r="JL47" s="20" t="n">
        <f aca="false">IF(AND(H_Direct=1,CL47&gt;0),MAX(0,JK47-(MIN(CL47*ALL46,JK47+MX47)-MIN(MIN(CL47*ALL46,JK47+MX47),MX47))),JK47)</f>
        <v>1270</v>
      </c>
      <c r="JM47" s="20" t="n">
        <f aca="false">IF(AND(H_Direct=1,CM47&gt;0),MAX(0,JL47-(MIN(CM47*ALM46,JL47+MY47)-MIN(MIN(CM47*ALM46,JL47+MY47),MY47))),JL47)</f>
        <v>1270</v>
      </c>
      <c r="JN47" s="20" t="n">
        <f aca="false">IF(AND(H_Direct=1,CN47&gt;0),MAX(0,JM47-(MIN(CN47*ALN46,JM47+MZ47)-MIN(MIN(CN47*ALN46,JM47+MZ47),MZ47))),JM47)</f>
        <v>1270</v>
      </c>
      <c r="JO47" s="20" t="n">
        <f aca="false">IF(AND(H_Direct=1,CO47&gt;0),MAX(0,JN47-(MIN(CO47*ALO46,JN47+NA47)-MIN(MIN(CO47*ALO46,JN47+NA47),NA47))),JN47)</f>
        <v>1270</v>
      </c>
      <c r="JP47" s="20" t="n">
        <f aca="false">IF(AND(H_Direct=1,CP47&gt;0),MAX(0,JO47-(MIN(CP47*ALP46,JO47+NB47)-MIN(MIN(CP47*ALP46,JO47+NB47),NB47))),JO47)</f>
        <v>1270</v>
      </c>
      <c r="JQ47" s="20" t="n">
        <f aca="false">IF(AND(H_Direct=1,CQ47&gt;0),MAX(0,JP47-(MIN(CQ47*ALQ46,JP47+NC47)-MIN(MIN(CQ47*ALQ46,JP47+NC47),NC47))),JP47)</f>
        <v>1270</v>
      </c>
      <c r="JR47" s="20" t="n">
        <f aca="false">IF(AND(H_Direct=1,CR47&gt;0),MAX(0,JQ47-(MIN(CR47*ALR46,JQ47+ND47)-MIN(MIN(CR47*ALR46,JQ47+ND47),ND47))),JQ47)</f>
        <v>1270</v>
      </c>
      <c r="JS47" s="20" t="n">
        <f aca="false">IF(AND(H_Direct=1,CS47&gt;0),MAX(0,JR47-(MIN(CS47*ALS46,JR47+NE47)-MIN(MIN(CS47*ALS46,JR47+NE47),NE47))),JR47)</f>
        <v>1270</v>
      </c>
      <c r="JT47" s="20" t="n">
        <f aca="false">IF(AND(H_Direct=1,CT47&gt;0),MAX(0,JS47-(MIN(CT47*ALT46,JS47+NF47)-MIN(MIN(CT47*ALT46,JS47+NF47),NF47))),JS47)</f>
        <v>1270</v>
      </c>
      <c r="JU47" s="20" t="n">
        <f aca="false">IF(AND(H_Direct=1,CU47&gt;0),MAX(0,JT47-(MIN(CU47*ALU46,JT47+NG47)-MIN(MIN(CU47*ALU46,JT47+NG47),NG47))),JT47)</f>
        <v>1270</v>
      </c>
      <c r="JV47" s="20" t="n">
        <f aca="false">IF(AND(H_Direct=1,CV47&gt;0),MAX(0,JU47-(MIN(CV47*ALV46,JU47+NH47)-MIN(MIN(CV47*ALV46,JU47+NH47),NH47))),JU47)</f>
        <v>1270</v>
      </c>
      <c r="JW47" s="20" t="n">
        <f aca="false">IF(AND(H_Direct=1,CW47&gt;0),MAX(0,JV47-(MIN(CW47*ALW46,JV47+NI47)-MIN(MIN(CW47*ALW46,JV47+NI47),NI47))),JV47)</f>
        <v>1270</v>
      </c>
      <c r="JX47" s="20" t="n">
        <f aca="false">IF(AND(H_Direct=1,CX47&gt;0),MAX(0,JW47-(MIN(CX47*ALX46,JW47+NJ47)-MIN(MIN(CX47*ALX46,JW47+NJ47),NJ47))),JW47)</f>
        <v>1270</v>
      </c>
      <c r="JY47" s="20" t="n">
        <f aca="false">IF(AND(H_Direct=1,CY47&gt;0),MAX(0,JX47-(MIN(CY47*ALY46,JX47+NK47)-MIN(MIN(CY47*ALY46,JX47+NK47),NK47))),JX47)</f>
        <v>1270</v>
      </c>
      <c r="JZ47" s="20" t="n">
        <f aca="false">IF(AND(H_Direct=1,CZ47&gt;0),MAX(0,JY47-(MIN(CZ47*ALZ46,JY47+NL47)-MIN(MIN(CZ47*ALZ46,JY47+NL47),NL47))),JY47)</f>
        <v>1270</v>
      </c>
      <c r="KA47" s="20" t="n">
        <f aca="false">IF(AND(H_Direct=1,DA47&gt;0),MAX(0,JZ47-(MIN(DA47*AMA46,JZ47+NM47)-MIN(MIN(DA47*AMA46,JZ47+NM47),NM47))),JZ47)</f>
        <v>1270</v>
      </c>
      <c r="KB47" s="20" t="n">
        <f aca="false">IF(AND(H_Direct=1,DB47&gt;0),MAX(0,KA47-(MIN(DB47*AMB46,KA47+NN47)-MIN(MIN(DB47*AMB46,KA47+NN47),NN47))),KA47)</f>
        <v>1270</v>
      </c>
      <c r="KC47" s="20" t="n">
        <f aca="false">IF(AND(H_Direct=1,DC47&gt;0),MAX(0,KB47-(MIN(DC47*AMC46,KB47+NO47)-MIN(MIN(DC47*AMC46,KB47+NO47),NO47))),KB47)</f>
        <v>1270</v>
      </c>
      <c r="KD47" s="20" t="n">
        <f aca="false">IF(AND(H_Direct=1,DD47&gt;0),MAX(0,KC47-(MIN(DD47*AMD46,KC47+NP47)-MIN(MIN(DD47*AMD46,KC47+NP47),NP47))),KC47)</f>
        <v>1270</v>
      </c>
      <c r="KE47" s="20" t="n">
        <f aca="false">IF(AND(H_Direct=1,DE47&gt;0),MAX(0,KD47-(MIN(DE47*AME46,KD47+NQ47)-MIN(MIN(DE47*AME46,KD47+NQ47),NQ47))),KD47)</f>
        <v>1270</v>
      </c>
      <c r="KF47" s="20" t="n">
        <f aca="false">IF(AND(H_Direct=1,DF47&gt;0),MAX(0,KE47-(MIN(DF47*(P47+S47),KE47+NR47)-MIN(MIN(DF47*(P47+S47),KE47+NR47),NR47))),KE47)</f>
        <v>1270</v>
      </c>
      <c r="KG47" s="20" t="n">
        <f aca="false">KF47</f>
        <v>1270</v>
      </c>
      <c r="KH47" s="20" t="n">
        <f aca="false">KG47</f>
        <v>1270</v>
      </c>
      <c r="KI47" s="20" t="n">
        <f aca="false">KH47</f>
        <v>1270</v>
      </c>
      <c r="KJ47" s="20" t="n">
        <f aca="false">KI47</f>
        <v>1270</v>
      </c>
      <c r="KK47" s="20" t="n">
        <f aca="false">KJ47</f>
        <v>1270</v>
      </c>
      <c r="KL47" s="20" t="n">
        <f aca="false">KK47</f>
        <v>1270</v>
      </c>
      <c r="KM47" s="20" t="n">
        <f aca="false">KL47</f>
        <v>1270</v>
      </c>
      <c r="KN47" s="20" t="n">
        <f aca="false">KM47</f>
        <v>1270</v>
      </c>
      <c r="KO47" s="20" t="n">
        <f aca="false">KN47</f>
        <v>1270</v>
      </c>
      <c r="KP47" s="20" t="n">
        <f aca="false">KO47</f>
        <v>1270</v>
      </c>
      <c r="KQ47" s="20" t="n">
        <f aca="false">KP47</f>
        <v>1270</v>
      </c>
      <c r="KR47" s="20" t="n">
        <f aca="false">KQ47</f>
        <v>1270</v>
      </c>
      <c r="KS47" s="20" t="n">
        <f aca="false">KR47</f>
        <v>1270</v>
      </c>
      <c r="KT47" s="20" t="n">
        <f aca="false">KS47</f>
        <v>1270</v>
      </c>
      <c r="KU47" s="20" t="n">
        <f aca="false">KT47</f>
        <v>1270</v>
      </c>
      <c r="KV47" s="20" t="n">
        <f aca="false">KU47</f>
        <v>1270</v>
      </c>
      <c r="KW47" s="20" t="n">
        <f aca="false">KV47</f>
        <v>1270</v>
      </c>
      <c r="KX47" s="20" t="n">
        <f aca="false">KW47</f>
        <v>1270</v>
      </c>
      <c r="KY47" s="20" t="n">
        <f aca="false">KX47</f>
        <v>1270</v>
      </c>
      <c r="KZ47" s="20" t="n">
        <f aca="false">KY47</f>
        <v>1270</v>
      </c>
      <c r="LA47" s="20" t="n">
        <f aca="false">KZ47</f>
        <v>1270</v>
      </c>
      <c r="LB47" s="20" t="n">
        <f aca="false">LA47</f>
        <v>1270</v>
      </c>
      <c r="LC47" s="20" t="n">
        <f aca="false">LB47</f>
        <v>1270</v>
      </c>
      <c r="LD47" s="20" t="n">
        <f aca="false">LC47</f>
        <v>1270</v>
      </c>
      <c r="LE47" s="20" t="n">
        <f aca="false">LD47</f>
        <v>1270</v>
      </c>
      <c r="LF47" s="20" t="n">
        <f aca="false">LE47</f>
        <v>1270</v>
      </c>
      <c r="LG47" s="20" t="n">
        <f aca="false">LF47</f>
        <v>1270</v>
      </c>
      <c r="LH47" s="20" t="n">
        <f aca="false">LG47</f>
        <v>1270</v>
      </c>
      <c r="LI47" s="20" t="n">
        <f aca="false">LH47</f>
        <v>1270</v>
      </c>
      <c r="LJ47" s="20" t="n">
        <f aca="false">LI47</f>
        <v>1270</v>
      </c>
      <c r="LK47" s="20" t="n">
        <f aca="false">LJ47</f>
        <v>1270</v>
      </c>
      <c r="LL47" s="20" t="n">
        <f aca="false">LK47</f>
        <v>1270</v>
      </c>
      <c r="LM47" s="20" t="n">
        <f aca="false">LL47</f>
        <v>1270</v>
      </c>
      <c r="LN47" s="20" t="n">
        <f aca="false">LM47</f>
        <v>1270</v>
      </c>
      <c r="LO47" s="20" t="n">
        <f aca="false">LN47</f>
        <v>1270</v>
      </c>
      <c r="LP47" s="20" t="n">
        <f aca="false">LO47</f>
        <v>1270</v>
      </c>
      <c r="LQ47" s="20" t="n">
        <f aca="false">LP47</f>
        <v>1270</v>
      </c>
      <c r="LR47" s="20" t="n">
        <f aca="false">LQ47</f>
        <v>1270</v>
      </c>
      <c r="LS47" s="20" t="n">
        <f aca="false">LR47</f>
        <v>1270</v>
      </c>
      <c r="LT47" s="20" t="n">
        <f aca="false">LS47</f>
        <v>1270</v>
      </c>
      <c r="LU47" s="20" t="n">
        <f aca="false">LT47</f>
        <v>1270</v>
      </c>
      <c r="LV47" s="20" t="n">
        <f aca="false">LU47</f>
        <v>1270</v>
      </c>
      <c r="LW47" s="20" t="n">
        <f aca="false">LV47</f>
        <v>1270</v>
      </c>
      <c r="LX47" s="20" t="n">
        <f aca="false">LW47</f>
        <v>1270</v>
      </c>
      <c r="LY47" s="20" t="n">
        <f aca="false">LX47</f>
        <v>1270</v>
      </c>
      <c r="LZ47" s="20" t="n">
        <f aca="false">LY47</f>
        <v>1270</v>
      </c>
      <c r="MA47" s="20" t="n">
        <f aca="false">LZ47</f>
        <v>1270</v>
      </c>
      <c r="MB47" s="20" t="n">
        <f aca="false">MA47</f>
        <v>1270</v>
      </c>
      <c r="MC47" s="20" t="n">
        <f aca="false">MB47</f>
        <v>1270</v>
      </c>
      <c r="MD47" s="20" t="n">
        <f aca="false">MC47</f>
        <v>1270</v>
      </c>
      <c r="ME47" s="20" t="n">
        <f aca="false">IF(H_Direct=1,IF(BR47&lt;=0,I47-BR47*AKR46,I47-MIN(MIN(BR47*AKR46,H47+I47),I47)),I47)</f>
        <v>0</v>
      </c>
      <c r="MF47" s="20" t="n">
        <f aca="false">IF(H_Direct=1,IF(BS47&lt;=0,ME47-BS47*AKS46,ME47-MIN(MIN(BS47*AKS46,IR47+ME47),ME47)),ME47)</f>
        <v>0</v>
      </c>
      <c r="MG47" s="20" t="n">
        <f aca="false">IF(H_Direct=1,IF(BT47&lt;=0,MF47-BT47*AKT46,MF47-MIN(MIN(BT47*AKT46,IS47+MF47),MF47)),MF47)</f>
        <v>0</v>
      </c>
      <c r="MH47" s="20" t="n">
        <f aca="false">IF(H_Direct=1,IF(BU47&lt;=0,MG47-BU47*AKU46,MG47-MIN(MIN(BU47*AKU46,IT47+MG47),MG47)),MG47)</f>
        <v>0</v>
      </c>
      <c r="MI47" s="20" t="n">
        <f aca="false">IF(H_Direct=1,IF(BV47&lt;=0,MH47-BV47*AKV46,MH47-MIN(MIN(BV47*AKV46,IU47+MH47),MH47)),MH47)</f>
        <v>0</v>
      </c>
      <c r="MJ47" s="20" t="n">
        <f aca="false">IF(H_Direct=1,IF(BW47&lt;=0,MI47-BW47*AKW46,MI47-MIN(MIN(BW47*AKW46,IV47+MI47),MI47)),MI47)</f>
        <v>0</v>
      </c>
      <c r="MK47" s="20" t="n">
        <f aca="false">IF(H_Direct=1,IF(BX47&lt;=0,MJ47-BX47*AKX46,MJ47-MIN(MIN(BX47*AKX46,IW47+MJ47),MJ47)),MJ47)</f>
        <v>0</v>
      </c>
      <c r="ML47" s="20" t="n">
        <f aca="false">IF(H_Direct=1,IF(BY47&lt;=0,MK47-BY47*AKY46,MK47-MIN(MIN(BY47*AKY46,IX47+MK47),MK47)),MK47)</f>
        <v>0</v>
      </c>
      <c r="MM47" s="20" t="n">
        <f aca="false">IF(H_Direct=1,IF(BZ47&lt;=0,ML47-BZ47*AKZ46,ML47-MIN(MIN(BZ47*AKZ46,IY47+ML47),ML47)),ML47)</f>
        <v>0</v>
      </c>
      <c r="MN47" s="20" t="n">
        <f aca="false">IF(H_Direct=1,IF(CA47&lt;=0,MM47-CA47*ALA46,MM47-MIN(MIN(CA47*ALA46,IZ47+MM47),MM47)),MM47)</f>
        <v>0</v>
      </c>
      <c r="MO47" s="20" t="n">
        <f aca="false">IF(H_Direct=1,IF(CB47&lt;=0,MN47-CB47*ALB46,MN47-MIN(MIN(CB47*ALB46,JA47+MN47),MN47)),MN47)</f>
        <v>0</v>
      </c>
      <c r="MP47" s="20" t="n">
        <f aca="false">IF(H_Direct=1,IF(CC47&lt;=0,MO47-CC47*ALC46,MO47-MIN(MIN(CC47*ALC46,JB47+MO47),MO47)),MO47)</f>
        <v>0</v>
      </c>
      <c r="MQ47" s="20" t="n">
        <f aca="false">IF(H_Direct=1,IF(CD47&lt;=0,MP47-CD47*ALD46,MP47-MIN(MIN(CD47*ALD46,JC47+MP47),MP47)),MP47)</f>
        <v>0</v>
      </c>
      <c r="MR47" s="20" t="n">
        <f aca="false">IF(H_Direct=1,IF(CE47&lt;=0,MQ47-CE47*ALE46,MQ47-MIN(MIN(CE47*ALE46,JD47+MQ47),MQ47)),MQ47)</f>
        <v>0</v>
      </c>
      <c r="MS47" s="20" t="n">
        <f aca="false">IF(H_Direct=1,IF(CF47&lt;=0,MR47-CF47*ALF46,MR47-MIN(MIN(CF47*ALF46,JE47+MR47),MR47)),MR47)</f>
        <v>0</v>
      </c>
      <c r="MT47" s="20" t="n">
        <f aca="false">IF(H_Direct=1,IF(CG47&lt;=0,MS47-CG47*ALG46,MS47-MIN(MIN(CG47*ALG46,JF47+MS47),MS47)),MS47)</f>
        <v>0</v>
      </c>
      <c r="MU47" s="20" t="n">
        <f aca="false">IF(H_Direct=1,IF(CH47&lt;=0,MT47-CH47*ALH46,MT47-MIN(MIN(CH47*ALH46,JG47+MT47),MT47)),MT47)</f>
        <v>0</v>
      </c>
      <c r="MV47" s="20" t="n">
        <f aca="false">IF(H_Direct=1,IF(CI47&lt;=0,MU47-CI47*ALI46,MU47-MIN(MIN(CI47*ALI46,JH47+MU47),MU47)),MU47)</f>
        <v>0</v>
      </c>
      <c r="MW47" s="20" t="n">
        <f aca="false">IF(H_Direct=1,IF(CJ47&lt;=0,MV47-CJ47*ALJ46,MV47-MIN(MIN(CJ47*ALJ46,JI47+MV47),MV47)),MV47)</f>
        <v>0</v>
      </c>
      <c r="MX47" s="20" t="n">
        <f aca="false">IF(H_Direct=1,IF(CK47&lt;=0,MW47-CK47*ALK46,MW47-MIN(MIN(CK47*ALK46,JJ47+MW47),MW47)),MW47)</f>
        <v>0</v>
      </c>
      <c r="MY47" s="20" t="n">
        <f aca="false">IF(H_Direct=1,IF(CL47&lt;=0,MX47-CL47*ALL46,MX47-MIN(MIN(CL47*ALL46,JK47+MX47),MX47)),MX47)</f>
        <v>0</v>
      </c>
      <c r="MZ47" s="20" t="n">
        <f aca="false">IF(H_Direct=1,IF(CM47&lt;=0,MY47-CM47*ALM46,MY47-MIN(MIN(CM47*ALM46,JL47+MY47),MY47)),MY47)</f>
        <v>0</v>
      </c>
      <c r="NA47" s="20" t="n">
        <f aca="false">IF(H_Direct=1,IF(CN47&lt;=0,MZ47-CN47*ALN46,MZ47-MIN(MIN(CN47*ALN46,JM47+MZ47),MZ47)),MZ47)</f>
        <v>0</v>
      </c>
      <c r="NB47" s="20" t="n">
        <f aca="false">IF(H_Direct=1,IF(CO47&lt;=0,NA47-CO47*ALO46,NA47-MIN(MIN(CO47*ALO46,JN47+NA47),NA47)),NA47)</f>
        <v>0</v>
      </c>
      <c r="NC47" s="20" t="n">
        <f aca="false">IF(H_Direct=1,IF(CP47&lt;=0,NB47-CP47*ALP46,NB47-MIN(MIN(CP47*ALP46,JO47+NB47),NB47)),NB47)</f>
        <v>0</v>
      </c>
      <c r="ND47" s="20" t="n">
        <f aca="false">IF(H_Direct=1,IF(CQ47&lt;=0,NC47-CQ47*ALQ46,NC47-MIN(MIN(CQ47*ALQ46,JP47+NC47),NC47)),NC47)</f>
        <v>0</v>
      </c>
      <c r="NE47" s="20" t="n">
        <f aca="false">IF(H_Direct=1,IF(CR47&lt;=0,ND47-CR47*ALR46,ND47-MIN(MIN(CR47*ALR46,JQ47+ND47),ND47)),ND47)</f>
        <v>0</v>
      </c>
      <c r="NF47" s="20" t="n">
        <f aca="false">IF(H_Direct=1,IF(CS47&lt;=0,NE47-CS47*ALS46,NE47-MIN(MIN(CS47*ALS46,JR47+NE47),NE47)),NE47)</f>
        <v>0</v>
      </c>
      <c r="NG47" s="20" t="n">
        <f aca="false">IF(H_Direct=1,IF(CT47&lt;=0,NF47-CT47*ALT46,NF47-MIN(MIN(CT47*ALT46,JS47+NF47),NF47)),NF47)</f>
        <v>0</v>
      </c>
      <c r="NH47" s="20" t="n">
        <f aca="false">IF(H_Direct=1,IF(CU47&lt;=0,NG47-CU47*ALU46,NG47-MIN(MIN(CU47*ALU46,JT47+NG47),NG47)),NG47)</f>
        <v>0</v>
      </c>
      <c r="NI47" s="20" t="n">
        <f aca="false">IF(H_Direct=1,IF(CV47&lt;=0,NH47-CV47*ALV46,NH47-MIN(MIN(CV47*ALV46,JU47+NH47),NH47)),NH47)</f>
        <v>0</v>
      </c>
      <c r="NJ47" s="20" t="n">
        <f aca="false">IF(H_Direct=1,IF(CW47&lt;=0,NI47-CW47*ALW46,NI47-MIN(MIN(CW47*ALW46,JV47+NI47),NI47)),NI47)</f>
        <v>0</v>
      </c>
      <c r="NK47" s="20" t="n">
        <f aca="false">IF(H_Direct=1,IF(CX47&lt;=0,NJ47-CX47*ALX46,NJ47-MIN(MIN(CX47*ALX46,JW47+NJ47),NJ47)),NJ47)</f>
        <v>0</v>
      </c>
      <c r="NL47" s="20" t="n">
        <f aca="false">IF(H_Direct=1,IF(CY47&lt;=0,NK47-CY47*ALY46,NK47-MIN(MIN(CY47*ALY46,JX47+NK47),NK47)),NK47)</f>
        <v>0</v>
      </c>
      <c r="NM47" s="20" t="n">
        <f aca="false">IF(H_Direct=1,IF(CZ47&lt;=0,NL47-CZ47*ALZ46,NL47-MIN(MIN(CZ47*ALZ46,JY47+NL47),NL47)),NL47)</f>
        <v>0</v>
      </c>
      <c r="NN47" s="20" t="n">
        <f aca="false">IF(H_Direct=1,IF(DA47&lt;=0,NM47-DA47*AMA46,NM47-MIN(MIN(DA47*AMA46,JZ47+NM47),NM47)),NM47)</f>
        <v>0</v>
      </c>
      <c r="NO47" s="20" t="n">
        <f aca="false">IF(H_Direct=1,IF(DB47&lt;=0,NN47-DB47*AMB46,NN47-MIN(MIN(DB47*AMB46,KA47+NN47),NN47)),NN47)</f>
        <v>0</v>
      </c>
      <c r="NP47" s="20" t="n">
        <f aca="false">IF(H_Direct=1,IF(DC47&lt;=0,NO47-DC47*AMC46,NO47-MIN(MIN(DC47*AMC46,KB47+NO47),NO47)),NO47)</f>
        <v>0</v>
      </c>
      <c r="NQ47" s="20" t="n">
        <f aca="false">IF(H_Direct=1,IF(DD47&lt;=0,NP47-DD47*AMD46,NP47-MIN(MIN(DD47*AMD46,KC47+NP47),NP47)),NP47)</f>
        <v>0</v>
      </c>
      <c r="NR47" s="20" t="n">
        <f aca="false">IF(H_Direct=1,IF(DE47&lt;=0,NQ47-DE47*AME46,NQ47-MIN(MIN(DE47*AME46,KD47+NQ47),NQ47)),NQ47)</f>
        <v>0</v>
      </c>
      <c r="NS47" s="20" t="n">
        <f aca="false">IF(H_Direct=1,IF(DF47&lt;=0,NR47-DF47*(P47+S47),NR47-MIN(MIN(DF47*(P47+S47),KE47+NR47),NR47)),NR47)</f>
        <v>0</v>
      </c>
      <c r="NT47" s="20" t="n">
        <f aca="false">NS47</f>
        <v>0</v>
      </c>
      <c r="NU47" s="20" t="n">
        <f aca="false">NT47</f>
        <v>0</v>
      </c>
      <c r="NV47" s="20" t="n">
        <f aca="false">NU47</f>
        <v>0</v>
      </c>
      <c r="NW47" s="20" t="n">
        <f aca="false">NV47</f>
        <v>0</v>
      </c>
      <c r="NX47" s="20" t="n">
        <f aca="false">NW47</f>
        <v>0</v>
      </c>
      <c r="NY47" s="20" t="n">
        <f aca="false">NX47</f>
        <v>0</v>
      </c>
      <c r="NZ47" s="20" t="n">
        <f aca="false">NY47</f>
        <v>0</v>
      </c>
      <c r="OA47" s="20" t="n">
        <f aca="false">NZ47</f>
        <v>0</v>
      </c>
      <c r="OB47" s="20" t="n">
        <f aca="false">OA47</f>
        <v>0</v>
      </c>
      <c r="OC47" s="20" t="n">
        <f aca="false">OB47</f>
        <v>0</v>
      </c>
      <c r="OD47" s="20" t="n">
        <f aca="false">OC47</f>
        <v>0</v>
      </c>
      <c r="OE47" s="20" t="n">
        <f aca="false">OD47</f>
        <v>0</v>
      </c>
      <c r="OF47" s="20" t="n">
        <f aca="false">OE47</f>
        <v>0</v>
      </c>
      <c r="OG47" s="20" t="n">
        <f aca="false">OF47</f>
        <v>0</v>
      </c>
      <c r="OH47" s="20" t="n">
        <f aca="false">OG47</f>
        <v>0</v>
      </c>
      <c r="OI47" s="20" t="n">
        <f aca="false">OH47</f>
        <v>0</v>
      </c>
      <c r="OJ47" s="20" t="n">
        <f aca="false">OI47</f>
        <v>0</v>
      </c>
      <c r="OK47" s="20" t="n">
        <f aca="false">OJ47</f>
        <v>0</v>
      </c>
      <c r="OL47" s="20" t="n">
        <f aca="false">OK47</f>
        <v>0</v>
      </c>
      <c r="OM47" s="20" t="n">
        <f aca="false">OL47</f>
        <v>0</v>
      </c>
      <c r="ON47" s="20" t="n">
        <f aca="false">OM47</f>
        <v>0</v>
      </c>
      <c r="OO47" s="20" t="n">
        <f aca="false">ON47</f>
        <v>0</v>
      </c>
      <c r="OP47" s="20" t="n">
        <f aca="false">OO47</f>
        <v>0</v>
      </c>
      <c r="OQ47" s="20" t="n">
        <f aca="false">OP47</f>
        <v>0</v>
      </c>
      <c r="OR47" s="20" t="n">
        <f aca="false">OQ47</f>
        <v>0</v>
      </c>
      <c r="OS47" s="20" t="n">
        <f aca="false">OR47</f>
        <v>0</v>
      </c>
      <c r="OT47" s="20" t="n">
        <f aca="false">OS47</f>
        <v>0</v>
      </c>
      <c r="OU47" s="20" t="n">
        <f aca="false">OT47</f>
        <v>0</v>
      </c>
      <c r="OV47" s="20" t="n">
        <f aca="false">OU47</f>
        <v>0</v>
      </c>
      <c r="OW47" s="20" t="n">
        <f aca="false">OV47</f>
        <v>0</v>
      </c>
      <c r="OX47" s="20" t="n">
        <f aca="false">OW47</f>
        <v>0</v>
      </c>
      <c r="OY47" s="20" t="n">
        <f aca="false">OX47</f>
        <v>0</v>
      </c>
      <c r="OZ47" s="20" t="n">
        <f aca="false">OY47</f>
        <v>0</v>
      </c>
      <c r="PA47" s="20" t="n">
        <f aca="false">OZ47</f>
        <v>0</v>
      </c>
      <c r="PB47" s="20" t="n">
        <f aca="false">PA47</f>
        <v>0</v>
      </c>
      <c r="PC47" s="20" t="n">
        <f aca="false">PB47</f>
        <v>0</v>
      </c>
      <c r="PD47" s="20" t="n">
        <f aca="false">PC47</f>
        <v>0</v>
      </c>
      <c r="PE47" s="20" t="n">
        <f aca="false">PD47</f>
        <v>0</v>
      </c>
      <c r="PF47" s="20" t="n">
        <f aca="false">PE47</f>
        <v>0</v>
      </c>
      <c r="PG47" s="20" t="n">
        <f aca="false">PF47</f>
        <v>0</v>
      </c>
      <c r="PH47" s="20" t="n">
        <f aca="false">PG47</f>
        <v>0</v>
      </c>
      <c r="PI47" s="20" t="n">
        <f aca="false">PH47</f>
        <v>0</v>
      </c>
      <c r="PJ47" s="20" t="n">
        <f aca="false">PI47</f>
        <v>0</v>
      </c>
      <c r="PK47" s="20" t="n">
        <f aca="false">PJ47</f>
        <v>0</v>
      </c>
      <c r="PL47" s="20" t="n">
        <f aca="false">PK47</f>
        <v>0</v>
      </c>
      <c r="PM47" s="20" t="n">
        <f aca="false">PL47</f>
        <v>0</v>
      </c>
      <c r="PN47" s="20" t="n">
        <f aca="false">PM47</f>
        <v>0</v>
      </c>
      <c r="PO47" s="20" t="n">
        <f aca="false">PN47</f>
        <v>0</v>
      </c>
      <c r="PP47" s="20" t="n">
        <f aca="false">PO47</f>
        <v>0</v>
      </c>
      <c r="PQ47" s="20" t="n">
        <f aca="false">PP47</f>
        <v>0</v>
      </c>
      <c r="PR47" s="20" t="n">
        <f aca="false">IF(H_Direct=1,IF(AKR46&lt;=0,0,IF(BR47&lt;=0,MIN(MAX(0,AB47),AKR46),MIN(MAX(0,AB47),AKR46-G47*MAX(0,BR47*AKR46-(H47+I47))))),MIN(FE47,MAX(0,AB47)))</f>
        <v>0</v>
      </c>
      <c r="PS47" s="20" t="n">
        <f aca="false">IF(H_Direct=1,IF(AKS46&lt;=0,0,IF(BS47&lt;=0,MIN(MAX(0,AB47-SUM(PR47:PR47)),AKS46),MIN(MAX(0,AB47-SUM(PR47:PR47)),AKS46-G47*MAX(0,BS47*AKS46-(WR47+AAE47))))),MIN(FF47,MAX(0,AB47-SUM(PR47:PR47))))</f>
        <v>0</v>
      </c>
      <c r="PT47" s="20" t="n">
        <f aca="false">IF(H_Direct=1,IF(AKT46&lt;=0,0,IF(BT47&lt;=0,MIN(MAX(0,AB47-SUM(PR47:PS47)),AKT46),MIN(MAX(0,AB47-SUM(PR47:PS47)),AKT46-G47*MAX(0,BT47*AKT46-(WS47+AAF47))))),MIN(FG47,MAX(0,AB47-SUM(PR47:PS47))))</f>
        <v>0</v>
      </c>
      <c r="PU47" s="20" t="n">
        <f aca="false">IF(H_Direct=1,IF(AKU46&lt;=0,0,IF(BU47&lt;=0,MIN(MAX(0,AB47-SUM(PR47:PT47)),AKU46),MIN(MAX(0,AB47-SUM(PR47:PT47)),AKU46-G47*MAX(0,BU47*AKU46-(WT47+AAG47))))),MIN(FH47,MAX(0,AB47-SUM(PR47:PT47))))</f>
        <v>0</v>
      </c>
      <c r="PV47" s="20" t="n">
        <f aca="false">IF(H_Direct=1,IF(AKV46&lt;=0,0,IF(BV47&lt;=0,MIN(MAX(0,AB47-SUM(PR47:PU47)),AKV46),MIN(MAX(0,AB47-SUM(PR47:PU47)),AKV46-G47*MAX(0,BV47*AKV46-(WU47+AAH47))))),MIN(FI47,MAX(0,AB47-SUM(PR47:PU47))))</f>
        <v>0</v>
      </c>
      <c r="PW47" s="20" t="n">
        <f aca="false">IF(H_Direct=1,IF(AKW46&lt;=0,0,IF(BW47&lt;=0,MIN(MAX(0,AB47-SUM(PR47:PV47)),AKW46),MIN(MAX(0,AB47-SUM(PR47:PV47)),AKW46-G47*MAX(0,BW47*AKW46-(WV47+AAI47))))),MIN(FJ47,MAX(0,AB47-SUM(PR47:PV47))))</f>
        <v>0</v>
      </c>
      <c r="PX47" s="20" t="n">
        <f aca="false">IF(H_Direct=1,IF(AKX46&lt;=0,0,IF(BX47&lt;=0,MIN(MAX(0,AB47-SUM(PR47:PW47)),AKX46),MIN(MAX(0,AB47-SUM(PR47:PW47)),AKX46-G47*MAX(0,BX47*AKX46-(WW47+AAJ47))))),MIN(FK47,MAX(0,AB47-SUM(PR47:PW47))))</f>
        <v>0</v>
      </c>
      <c r="PY47" s="20" t="n">
        <f aca="false">IF(H_Direct=1,IF(AKY46&lt;=0,0,IF(BY47&lt;=0,MIN(MAX(0,AB47-SUM(PR47:PX47)),AKY46),MIN(MAX(0,AB47-SUM(PR47:PX47)),AKY46-G47*MAX(0,BY47*AKY46-(WX47+AAK47))))),MIN(FL47,MAX(0,AB47-SUM(PR47:PX47))))</f>
        <v>0</v>
      </c>
      <c r="PZ47" s="20" t="n">
        <f aca="false">IF(H_Direct=1,IF(AKZ46&lt;=0,0,IF(BZ47&lt;=0,MIN(MAX(0,AB47-SUM(PR47:PY47)),AKZ46),MIN(MAX(0,AB47-SUM(PR47:PY47)),AKZ46-G47*MAX(0,BZ47*AKZ46-(WY47+AAL47))))),MIN(FM47,MAX(0,AB47-SUM(PR47:PY47))))</f>
        <v>0</v>
      </c>
      <c r="QA47" s="20" t="n">
        <f aca="false">IF(H_Direct=1,IF(ALA46&lt;=0,0,IF(CA47&lt;=0,MIN(MAX(0,AB47-SUM(PR47:PZ47)),ALA46),MIN(MAX(0,AB47-SUM(PR47:PZ47)),ALA46-G47*MAX(0,CA47*ALA46-(WZ47+AAM47))))),MIN(FN47,MAX(0,AB47-SUM(PR47:PZ47))))</f>
        <v>0</v>
      </c>
      <c r="QB47" s="20" t="n">
        <f aca="false">IF(H_Direct=1,IF(ALB46&lt;=0,0,IF(CB47&lt;=0,MIN(MAX(0,AB47-SUM(PR47:QA47)),ALB46),MIN(MAX(0,AB47-SUM(PR47:QA47)),ALB46-G47*MAX(0,CB47*ALB46-(XA47+AAN47))))),MIN(FO47,MAX(0,AB47-SUM(PR47:QA47))))</f>
        <v>0</v>
      </c>
      <c r="QC47" s="20" t="n">
        <f aca="false">IF(H_Direct=1,IF(ALC46&lt;=0,0,IF(CC47&lt;=0,MIN(MAX(0,AB47-SUM(PR47:QB47)),ALC46),MIN(MAX(0,AB47-SUM(PR47:QB47)),ALC46-G47*MAX(0,CC47*ALC46-(XB47+AAO47))))),MIN(FP47,MAX(0,AB47-SUM(PR47:QB47))))</f>
        <v>0</v>
      </c>
      <c r="QD47" s="20" t="n">
        <f aca="false">IF(H_Direct=1,IF(ALD46&lt;=0,0,IF(CD47&lt;=0,MIN(MAX(0,AB47-SUM(PR47:QC47)),ALD46),MIN(MAX(0,AB47-SUM(PR47:QC47)),ALD46-G47*MAX(0,CD47*ALD46-(XC47+AAP47))))),MIN(FQ47,MAX(0,AB47-SUM(PR47:QC47))))</f>
        <v>0</v>
      </c>
      <c r="QE47" s="20" t="n">
        <f aca="false">IF(H_Direct=1,IF(ALE46&lt;=0,0,IF(CE47&lt;=0,MIN(MAX(0,AB47-SUM(PR47:QD47)),ALE46),MIN(MAX(0,AB47-SUM(PR47:QD47)),ALE46-G47*MAX(0,CE47*ALE46-(XD47+AAQ47))))),MIN(FR47,MAX(0,AB47-SUM(PR47:QD47))))</f>
        <v>0</v>
      </c>
      <c r="QF47" s="20" t="n">
        <f aca="false">IF(H_Direct=1,IF(ALF46&lt;=0,0,IF(CF47&lt;=0,MIN(MAX(0,AB47-SUM(PR47:QE47)),ALF46),MIN(MAX(0,AB47-SUM(PR47:QE47)),ALF46-G47*MAX(0,CF47*ALF46-(XE47+AAR47))))),MIN(FS47,MAX(0,AB47-SUM(PR47:QE47))))</f>
        <v>0</v>
      </c>
      <c r="QG47" s="20" t="n">
        <f aca="false">IF(H_Direct=1,IF(ALG46&lt;=0,0,IF(CG47&lt;=0,MIN(MAX(0,AB47-SUM(PR47:QF47)),ALG46),MIN(MAX(0,AB47-SUM(PR47:QF47)),ALG46-G47*MAX(0,CG47*ALG46-(XF47+AAS47))))),MIN(FT47,MAX(0,AB47-SUM(PR47:QF47))))</f>
        <v>0</v>
      </c>
      <c r="QH47" s="20" t="n">
        <f aca="false">IF(H_Direct=1,IF(ALH46&lt;=0,0,IF(CH47&lt;=0,MIN(MAX(0,AB47-SUM(PR47:QG47)),ALH46),MIN(MAX(0,AB47-SUM(PR47:QG47)),ALH46-G47*MAX(0,CH47*ALH46-(XG47+AAT47))))),MIN(FU47,MAX(0,AB47-SUM(PR47:QG47))))</f>
        <v>0</v>
      </c>
      <c r="QI47" s="20" t="n">
        <f aca="false">IF(H_Direct=1,IF(ALI46&lt;=0,0,IF(CI47&lt;=0,MIN(MAX(0,AB47-SUM(PR47:QH47)),ALI46),MIN(MAX(0,AB47-SUM(PR47:QH47)),ALI46-G47*MAX(0,CI47*ALI46-(XH47+AAU47))))),MIN(FV47,MAX(0,AB47-SUM(PR47:QH47))))</f>
        <v>0</v>
      </c>
      <c r="QJ47" s="20" t="n">
        <f aca="false">IF(H_Direct=1,IF(ALJ46&lt;=0,0,IF(CJ47&lt;=0,MIN(MAX(0,AB47-SUM(PR47:QI47)),ALJ46),MIN(MAX(0,AB47-SUM(PR47:QI47)),ALJ46-G47*MAX(0,CJ47*ALJ46-(XI47+AAV47))))),MIN(FW47,MAX(0,AB47-SUM(PR47:QI47))))</f>
        <v>0</v>
      </c>
      <c r="QK47" s="20" t="n">
        <f aca="false">IF(H_Direct=1,IF(ALK46&lt;=0,0,IF(CK47&lt;=0,MIN(MAX(0,AB47-SUM(PR47:QJ47)),ALK46),MIN(MAX(0,AB47-SUM(PR47:QJ47)),ALK46-G47*MAX(0,CK47*ALK46-(XJ47+AAW47))))),MIN(FX47,MAX(0,AB47-SUM(PR47:QJ47))))</f>
        <v>0</v>
      </c>
      <c r="QL47" s="20" t="n">
        <f aca="false">IF(H_Direct=1,IF(ALL46&lt;=0,0,IF(CL47&lt;=0,MIN(MAX(0,AB47-SUM(PR47:QK47)),ALL46),MIN(MAX(0,AB47-SUM(PR47:QK47)),ALL46-G47*MAX(0,CL47*ALL46-(XK47+AAX47))))),MIN(FY47,MAX(0,AB47-SUM(PR47:QK47))))</f>
        <v>0</v>
      </c>
      <c r="QM47" s="20" t="n">
        <f aca="false">IF(H_Direct=1,IF(ALM46&lt;=0,0,IF(CM47&lt;=0,MIN(MAX(0,AB47-SUM(PR47:QL47)),ALM46),MIN(MAX(0,AB47-SUM(PR47:QL47)),ALM46-G47*MAX(0,CM47*ALM46-(XL47+AAY47))))),MIN(FZ47,MAX(0,AB47-SUM(PR47:QL47))))</f>
        <v>0</v>
      </c>
      <c r="QN47" s="20" t="n">
        <f aca="false">IF(H_Direct=1,IF(ALN46&lt;=0,0,IF(CN47&lt;=0,MIN(MAX(0,AB47-SUM(PR47:QM47)),ALN46),MIN(MAX(0,AB47-SUM(PR47:QM47)),ALN46-G47*MAX(0,CN47*ALN46-(XM47+AAZ47))))),MIN(GA47,MAX(0,AB47-SUM(PR47:QM47))))</f>
        <v>0</v>
      </c>
      <c r="QO47" s="20" t="n">
        <f aca="false">IF(H_Direct=1,IF(ALO46&lt;=0,0,IF(CO47&lt;=0,MIN(MAX(0,AB47-SUM(PR47:QN47)),ALO46),MIN(MAX(0,AB47-SUM(PR47:QN47)),ALO46-G47*MAX(0,CO47*ALO46-(XN47+ABA47))))),MIN(GB47,MAX(0,AB47-SUM(PR47:QN47))))</f>
        <v>0</v>
      </c>
      <c r="QP47" s="20" t="n">
        <f aca="false">IF(H_Direct=1,IF(ALP46&lt;=0,0,IF(CP47&lt;=0,MIN(MAX(0,AB47-SUM(PR47:QO47)),ALP46),MIN(MAX(0,AB47-SUM(PR47:QO47)),ALP46-G47*MAX(0,CP47*ALP46-(XO47+ABB47))))),MIN(GC47,MAX(0,AB47-SUM(PR47:QO47))))</f>
        <v>0</v>
      </c>
      <c r="QQ47" s="20" t="n">
        <f aca="false">IF(H_Direct=1,IF(ALQ46&lt;=0,0,IF(CQ47&lt;=0,MIN(MAX(0,AB47-SUM(PR47:QP47)),ALQ46),MIN(MAX(0,AB47-SUM(PR47:QP47)),ALQ46-G47*MAX(0,CQ47*ALQ46-(XP47+ABC47))))),MIN(GD47,MAX(0,AB47-SUM(PR47:QP47))))</f>
        <v>0</v>
      </c>
      <c r="QR47" s="20" t="n">
        <f aca="false">IF(H_Direct=1,IF(ALR46&lt;=0,0,IF(CR47&lt;=0,MIN(MAX(0,AB47-SUM(PR47:QQ47)),ALR46),MIN(MAX(0,AB47-SUM(PR47:QQ47)),ALR46-G47*MAX(0,CR47*ALR46-(XQ47+ABD47))))),MIN(GE47,MAX(0,AB47-SUM(PR47:QQ47))))</f>
        <v>7771.26313201737</v>
      </c>
      <c r="QS47" s="20" t="n">
        <f aca="false">IF(H_Direct=1,IF(ALS46&lt;=0,0,IF(CS47&lt;=0,MIN(MAX(0,AB47-SUM(PR47:QR47)),ALS46),MIN(MAX(0,AB47-SUM(PR47:QR47)),ALS46-G47*MAX(0,CS47*ALS46-(XR47+ABE47))))),MIN(GF47,MAX(0,AB47-SUM(PR47:QR47))))</f>
        <v>0</v>
      </c>
      <c r="QT47" s="20" t="n">
        <f aca="false">IF(H_Direct=1,IF(ALT46&lt;=0,0,IF(CT47&lt;=0,MIN(MAX(0,AB47-SUM(PR47:QS47)),ALT46),MIN(MAX(0,AB47-SUM(PR47:QS47)),ALT46-G47*MAX(0,CT47*ALT46-(XS47+ABF47))))),MIN(GG47,MAX(0,AB47-SUM(PR47:QS47))))</f>
        <v>0</v>
      </c>
      <c r="QU47" s="20" t="n">
        <f aca="false">IF(H_Direct=1,IF(ALU46&lt;=0,0,IF(CU47&lt;=0,MIN(MAX(0,AB47-SUM(PR47:QT47)),ALU46),MIN(MAX(0,AB47-SUM(PR47:QT47)),ALU46-G47*MAX(0,CU47*ALU46-(XT47+ABG47))))),MIN(GH47,MAX(0,AB47-SUM(PR47:QT47))))</f>
        <v>2289.14301022062</v>
      </c>
      <c r="QV47" s="20" t="n">
        <f aca="false">IF(H_Direct=1,IF(ALV46&lt;=0,0,IF(CV47&lt;=0,MIN(MAX(0,AB47-SUM(PR47:QU47)),ALV46),MIN(MAX(0,AB47-SUM(PR47:QU47)),ALV46-G47*MAX(0,CV47*ALV46-(XU47+ABH47))))),MIN(GI47,MAX(0,AB47-SUM(PR47:QU47))))</f>
        <v>0</v>
      </c>
      <c r="QW47" s="20" t="n">
        <f aca="false">IF(H_Direct=1,IF(ALW46&lt;=0,0,IF(CW47&lt;=0,MIN(MAX(0,AB47-SUM(PR47:QV47)),ALW46),MIN(MAX(0,AB47-SUM(PR47:QV47)),ALW46-G47*MAX(0,CW47*ALW46-(XV47+ABI47))))),MIN(GJ47,MAX(0,AB47-SUM(PR47:QV47))))</f>
        <v>0</v>
      </c>
      <c r="QX47" s="20" t="n">
        <f aca="false">IF(H_Direct=1,IF(ALX46&lt;=0,0,IF(CX47&lt;=0,MIN(MAX(0,AB47-SUM(PR47:QW47)),ALX46),MIN(MAX(0,AB47-SUM(PR47:QW47)),ALX46-G47*MAX(0,CX47*ALX46-(XW47+ABJ47))))),MIN(GK47,MAX(0,AB47-SUM(PR47:QW47))))</f>
        <v>0</v>
      </c>
      <c r="QY47" s="20" t="n">
        <f aca="false">IF(H_Direct=1,IF(ALY46&lt;=0,0,IF(CY47&lt;=0,MIN(MAX(0,AB47-SUM(PR47:QX47)),ALY46),MIN(MAX(0,AB47-SUM(PR47:QX47)),ALY46-G47*MAX(0,CY47*ALY46-(XX47+ABK47))))),MIN(GL47,MAX(0,AB47-SUM(PR47:QX47))))</f>
        <v>0</v>
      </c>
      <c r="QZ47" s="20" t="n">
        <f aca="false">IF(H_Direct=1,IF(ALZ46&lt;=0,0,IF(CZ47&lt;=0,MIN(MAX(0,AB47-SUM(PR47:QY47)),ALZ46),MIN(MAX(0,AB47-SUM(PR47:QY47)),ALZ46-G47*MAX(0,CZ47*ALZ46-(XY47+ABL47))))),MIN(GM47,MAX(0,AB47-SUM(PR47:QY47))))</f>
        <v>0</v>
      </c>
      <c r="RA47" s="20" t="n">
        <f aca="false">IF(H_Direct=1,IF(AMA46&lt;=0,0,IF(DA47&lt;=0,MIN(MAX(0,AB47-SUM(PR47:QZ47)),AMA46),MIN(MAX(0,AB47-SUM(PR47:QZ47)),AMA46-G47*MAX(0,DA47*AMA46-(XZ47+ABM47))))),MIN(GN47,MAX(0,AB47-SUM(PR47:QZ47))))</f>
        <v>0</v>
      </c>
      <c r="RB47" s="20" t="n">
        <f aca="false">IF(H_Direct=1,IF(AMB46&lt;=0,0,IF(DB47&lt;=0,MIN(MAX(0,AB47-SUM(PR47:RA47)),AMB46),MIN(MAX(0,AB47-SUM(PR47:RA47)),AMB46-G47*MAX(0,DB47*AMB46-(YA47+ABN47))))),MIN(GO47,MAX(0,AB47-SUM(PR47:RA47))))</f>
        <v>0</v>
      </c>
      <c r="RC47" s="20" t="n">
        <f aca="false">IF(H_Direct=1,IF(AMC46&lt;=0,0,IF(DC47&lt;=0,MIN(MAX(0,AB47-SUM(PR47:RB47)),AMC46),MIN(MAX(0,AB47-SUM(PR47:RB47)),AMC46-G47*MAX(0,DC47*AMC46-(YB47+ABO47))))),MIN(GP47,MAX(0,AB47-SUM(PR47:RB47))))</f>
        <v>0</v>
      </c>
      <c r="RD47" s="20" t="n">
        <f aca="false">IF(H_Direct=1,IF(AMD46&lt;=0,0,IF(DD47&lt;=0,MIN(MAX(0,AB47-SUM(PR47:RC47)),AMD46),MIN(MAX(0,AB47-SUM(PR47:RC47)),AMD46-G47*MAX(0,DD47*AMD46-(YC47+ABP47))))),MIN(GQ47,MAX(0,AB47-SUM(PR47:RC47))))</f>
        <v>0</v>
      </c>
      <c r="RE47" s="20" t="n">
        <f aca="false">IF(H_Direct=1,IF(AME46&lt;=0,0,IF(DE47&lt;=0,MIN(MAX(0,AB47-SUM(PR47:RD47)),AME46),MIN(MAX(0,AB47-SUM(PR47:RD47)),AME46-G47*MAX(0,DE47*AME46-(YD47+ABQ47))))),MIN(GR47,MAX(0,AB47-SUM(PR47:RD47))))</f>
        <v>0</v>
      </c>
      <c r="RF47" s="20" t="n">
        <f aca="false">IF(H_Direct=1,IF((P47+S47)&lt;=0,0,IF(DF47&lt;=0,MIN(MAX(0,AB47-SUM(PR47:RE47)),(P47+S47)),MIN(MAX(0,AB47-SUM(PR47:RE47)),(P47+S47)-G47*MAX(0,DF47*(P47+S47)-(YE47+ABR47))))),MIN(GS47,MAX(0,AB47-SUM(PR47:RE47))))</f>
        <v>0</v>
      </c>
      <c r="RG47" s="20" t="n">
        <v>0</v>
      </c>
      <c r="RH47" s="20" t="n">
        <v>0</v>
      </c>
      <c r="RI47" s="20" t="n">
        <v>0</v>
      </c>
      <c r="RJ47" s="20" t="n">
        <v>0</v>
      </c>
      <c r="RK47" s="20" t="n">
        <v>0</v>
      </c>
      <c r="RL47" s="20" t="n">
        <v>0</v>
      </c>
      <c r="RM47" s="20" t="n">
        <v>0</v>
      </c>
      <c r="RN47" s="20" t="n">
        <v>0</v>
      </c>
      <c r="RO47" s="20" t="n">
        <v>0</v>
      </c>
      <c r="RP47" s="20" t="n">
        <v>0</v>
      </c>
      <c r="RQ47" s="20" t="n">
        <v>0</v>
      </c>
      <c r="RR47" s="20" t="n">
        <v>0</v>
      </c>
      <c r="RS47" s="20" t="n">
        <v>0</v>
      </c>
      <c r="RT47" s="20" t="n">
        <v>0</v>
      </c>
      <c r="RU47" s="20" t="n">
        <v>0</v>
      </c>
      <c r="RV47" s="20" t="n">
        <v>0</v>
      </c>
      <c r="RW47" s="20" t="n">
        <v>0</v>
      </c>
      <c r="RX47" s="20" t="n">
        <v>0</v>
      </c>
      <c r="RY47" s="20" t="n">
        <v>0</v>
      </c>
      <c r="RZ47" s="20" t="n">
        <v>0</v>
      </c>
      <c r="SA47" s="20" t="n">
        <v>0</v>
      </c>
      <c r="SB47" s="20" t="n">
        <v>0</v>
      </c>
      <c r="SC47" s="20" t="n">
        <v>0</v>
      </c>
      <c r="SD47" s="20" t="n">
        <v>0</v>
      </c>
      <c r="SE47" s="20" t="n">
        <v>0</v>
      </c>
      <c r="SF47" s="20" t="n">
        <v>0</v>
      </c>
      <c r="SG47" s="20" t="n">
        <v>0</v>
      </c>
      <c r="SH47" s="20" t="n">
        <v>0</v>
      </c>
      <c r="SI47" s="20" t="n">
        <v>0</v>
      </c>
      <c r="SJ47" s="20" t="n">
        <v>0</v>
      </c>
      <c r="SK47" s="20" t="n">
        <v>0</v>
      </c>
      <c r="SL47" s="20" t="n">
        <v>0</v>
      </c>
      <c r="SM47" s="20" t="n">
        <v>0</v>
      </c>
      <c r="SN47" s="20" t="n">
        <v>0</v>
      </c>
      <c r="SO47" s="20" t="n">
        <v>0</v>
      </c>
      <c r="SP47" s="20" t="n">
        <v>0</v>
      </c>
      <c r="SQ47" s="20" t="n">
        <v>0</v>
      </c>
      <c r="SR47" s="20" t="n">
        <v>0</v>
      </c>
      <c r="SS47" s="20" t="n">
        <v>0</v>
      </c>
      <c r="ST47" s="20" t="n">
        <v>0</v>
      </c>
      <c r="SU47" s="20" t="n">
        <v>0</v>
      </c>
      <c r="SV47" s="20" t="n">
        <v>0</v>
      </c>
      <c r="SW47" s="20" t="n">
        <v>0</v>
      </c>
      <c r="SX47" s="20" t="n">
        <v>0</v>
      </c>
      <c r="SY47" s="20" t="n">
        <v>0</v>
      </c>
      <c r="SZ47" s="20" t="n">
        <v>0</v>
      </c>
      <c r="TA47" s="20" t="n">
        <v>0</v>
      </c>
      <c r="TB47" s="20" t="n">
        <v>0</v>
      </c>
      <c r="TC47" s="20" t="n">
        <v>0</v>
      </c>
      <c r="TD47" s="20" t="n">
        <v>0</v>
      </c>
      <c r="TE47" s="20" t="n">
        <f aca="false">IF(AKR46&lt;=0,0,IF(H_Direct=1,IF(BR47&lt;=0,PR47,IF(PR47&lt;=(H47+I47)/BR47,PR47,(PR47-G47*(H47+I47))/(1-G47*BR47))),PR47/(1-MAX(0,BR47)*H_Exit)))</f>
        <v>0</v>
      </c>
      <c r="TF47" s="20" t="n">
        <f aca="false">IF(AKS46&lt;=0,0,IF(H_Direct=1,IF(BS47&lt;=0,PS47,IF(PS47&lt;=(WR47+AAE47)/BS47,PS47,(PS47-G47*(WR47+AAE47))/(1-G47*BS47))),PS47/(1-MAX(0,BS47)*H_Exit)))</f>
        <v>0</v>
      </c>
      <c r="TG47" s="20" t="n">
        <f aca="false">IF(AKT46&lt;=0,0,IF(H_Direct=1,IF(BT47&lt;=0,PT47,IF(PT47&lt;=(WS47+AAF47)/BT47,PT47,(PT47-G47*(WS47+AAF47))/(1-G47*BT47))),PT47/(1-MAX(0,BT47)*H_Exit)))</f>
        <v>0</v>
      </c>
      <c r="TH47" s="20" t="n">
        <f aca="false">IF(AKU46&lt;=0,0,IF(H_Direct=1,IF(BU47&lt;=0,PU47,IF(PU47&lt;=(WT47+AAG47)/BU47,PU47,(PU47-G47*(WT47+AAG47))/(1-G47*BU47))),PU47/(1-MAX(0,BU47)*H_Exit)))</f>
        <v>0</v>
      </c>
      <c r="TI47" s="20" t="n">
        <f aca="false">IF(AKV46&lt;=0,0,IF(H_Direct=1,IF(BV47&lt;=0,PV47,IF(PV47&lt;=(WU47+AAH47)/BV47,PV47,(PV47-G47*(WU47+AAH47))/(1-G47*BV47))),PV47/(1-MAX(0,BV47)*H_Exit)))</f>
        <v>0</v>
      </c>
      <c r="TJ47" s="20" t="n">
        <f aca="false">IF(AKW46&lt;=0,0,IF(H_Direct=1,IF(BW47&lt;=0,PW47,IF(PW47&lt;=(WV47+AAI47)/BW47,PW47,(PW47-G47*(WV47+AAI47))/(1-G47*BW47))),PW47/(1-MAX(0,BW47)*H_Exit)))</f>
        <v>0</v>
      </c>
      <c r="TK47" s="20" t="n">
        <f aca="false">IF(AKX46&lt;=0,0,IF(H_Direct=1,IF(BX47&lt;=0,PX47,IF(PX47&lt;=(WW47+AAJ47)/BX47,PX47,(PX47-G47*(WW47+AAJ47))/(1-G47*BX47))),PX47/(1-MAX(0,BX47)*H_Exit)))</f>
        <v>0</v>
      </c>
      <c r="TL47" s="20" t="n">
        <f aca="false">IF(AKY46&lt;=0,0,IF(H_Direct=1,IF(BY47&lt;=0,PY47,IF(PY47&lt;=(WX47+AAK47)/BY47,PY47,(PY47-G47*(WX47+AAK47))/(1-G47*BY47))),PY47/(1-MAX(0,BY47)*H_Exit)))</f>
        <v>0</v>
      </c>
      <c r="TM47" s="20" t="n">
        <f aca="false">IF(AKZ46&lt;=0,0,IF(H_Direct=1,IF(BZ47&lt;=0,PZ47,IF(PZ47&lt;=(WY47+AAL47)/BZ47,PZ47,(PZ47-G47*(WY47+AAL47))/(1-G47*BZ47))),PZ47/(1-MAX(0,BZ47)*H_Exit)))</f>
        <v>0</v>
      </c>
      <c r="TN47" s="20" t="n">
        <f aca="false">IF(ALA46&lt;=0,0,IF(H_Direct=1,IF(CA47&lt;=0,QA47,IF(QA47&lt;=(WZ47+AAM47)/CA47,QA47,(QA47-G47*(WZ47+AAM47))/(1-G47*CA47))),QA47/(1-MAX(0,CA47)*H_Exit)))</f>
        <v>0</v>
      </c>
      <c r="TO47" s="20" t="n">
        <f aca="false">IF(ALB46&lt;=0,0,IF(H_Direct=1,IF(CB47&lt;=0,QB47,IF(QB47&lt;=(XA47+AAN47)/CB47,QB47,(QB47-G47*(XA47+AAN47))/(1-G47*CB47))),QB47/(1-MAX(0,CB47)*H_Exit)))</f>
        <v>0</v>
      </c>
      <c r="TP47" s="20" t="n">
        <f aca="false">IF(ALC46&lt;=0,0,IF(H_Direct=1,IF(CC47&lt;=0,QC47,IF(QC47&lt;=(XB47+AAO47)/CC47,QC47,(QC47-G47*(XB47+AAO47))/(1-G47*CC47))),QC47/(1-MAX(0,CC47)*H_Exit)))</f>
        <v>0</v>
      </c>
      <c r="TQ47" s="20" t="n">
        <f aca="false">IF(ALD46&lt;=0,0,IF(H_Direct=1,IF(CD47&lt;=0,QD47,IF(QD47&lt;=(XC47+AAP47)/CD47,QD47,(QD47-G47*(XC47+AAP47))/(1-G47*CD47))),QD47/(1-MAX(0,CD47)*H_Exit)))</f>
        <v>0</v>
      </c>
      <c r="TR47" s="20" t="n">
        <f aca="false">IF(ALE46&lt;=0,0,IF(H_Direct=1,IF(CE47&lt;=0,QE47,IF(QE47&lt;=(XD47+AAQ47)/CE47,QE47,(QE47-G47*(XD47+AAQ47))/(1-G47*CE47))),QE47/(1-MAX(0,CE47)*H_Exit)))</f>
        <v>0</v>
      </c>
      <c r="TS47" s="20" t="n">
        <f aca="false">IF(ALF46&lt;=0,0,IF(H_Direct=1,IF(CF47&lt;=0,QF47,IF(QF47&lt;=(XE47+AAR47)/CF47,QF47,(QF47-G47*(XE47+AAR47))/(1-G47*CF47))),QF47/(1-MAX(0,CF47)*H_Exit)))</f>
        <v>0</v>
      </c>
      <c r="TT47" s="20" t="n">
        <f aca="false">IF(ALG46&lt;=0,0,IF(H_Direct=1,IF(CG47&lt;=0,QG47,IF(QG47&lt;=(XF47+AAS47)/CG47,QG47,(QG47-G47*(XF47+AAS47))/(1-G47*CG47))),QG47/(1-MAX(0,CG47)*H_Exit)))</f>
        <v>0</v>
      </c>
      <c r="TU47" s="20" t="n">
        <f aca="false">IF(ALH46&lt;=0,0,IF(H_Direct=1,IF(CH47&lt;=0,QH47,IF(QH47&lt;=(XG47+AAT47)/CH47,QH47,(QH47-G47*(XG47+AAT47))/(1-G47*CH47))),QH47/(1-MAX(0,CH47)*H_Exit)))</f>
        <v>0</v>
      </c>
      <c r="TV47" s="20" t="n">
        <f aca="false">IF(ALI46&lt;=0,0,IF(H_Direct=1,IF(CI47&lt;=0,QI47,IF(QI47&lt;=(XH47+AAU47)/CI47,QI47,(QI47-G47*(XH47+AAU47))/(1-G47*CI47))),QI47/(1-MAX(0,CI47)*H_Exit)))</f>
        <v>0</v>
      </c>
      <c r="TW47" s="20" t="n">
        <f aca="false">IF(ALJ46&lt;=0,0,IF(H_Direct=1,IF(CJ47&lt;=0,QJ47,IF(QJ47&lt;=(XI47+AAV47)/CJ47,QJ47,(QJ47-G47*(XI47+AAV47))/(1-G47*CJ47))),QJ47/(1-MAX(0,CJ47)*H_Exit)))</f>
        <v>0</v>
      </c>
      <c r="TX47" s="20" t="n">
        <f aca="false">IF(ALK46&lt;=0,0,IF(H_Direct=1,IF(CK47&lt;=0,QK47,IF(QK47&lt;=(XJ47+AAW47)/CK47,QK47,(QK47-G47*(XJ47+AAW47))/(1-G47*CK47))),QK47/(1-MAX(0,CK47)*H_Exit)))</f>
        <v>0</v>
      </c>
      <c r="TY47" s="20" t="n">
        <f aca="false">IF(ALL46&lt;=0,0,IF(H_Direct=1,IF(CL47&lt;=0,QL47,IF(QL47&lt;=(XK47+AAX47)/CL47,QL47,(QL47-G47*(XK47+AAX47))/(1-G47*CL47))),QL47/(1-MAX(0,CL47)*H_Exit)))</f>
        <v>0</v>
      </c>
      <c r="TZ47" s="20" t="n">
        <f aca="false">IF(ALM46&lt;=0,0,IF(H_Direct=1,IF(CM47&lt;=0,QM47,IF(QM47&lt;=(XL47+AAY47)/CM47,QM47,(QM47-G47*(XL47+AAY47))/(1-G47*CM47))),QM47/(1-MAX(0,CM47)*H_Exit)))</f>
        <v>0</v>
      </c>
      <c r="UA47" s="20" t="n">
        <f aca="false">IF(ALN46&lt;=0,0,IF(H_Direct=1,IF(CN47&lt;=0,QN47,IF(QN47&lt;=(XM47+AAZ47)/CN47,QN47,(QN47-G47*(XM47+AAZ47))/(1-G47*CN47))),QN47/(1-MAX(0,CN47)*H_Exit)))</f>
        <v>0</v>
      </c>
      <c r="UB47" s="20" t="n">
        <f aca="false">IF(ALO46&lt;=0,0,IF(H_Direct=1,IF(CO47&lt;=0,QO47,IF(QO47&lt;=(XN47+ABA47)/CO47,QO47,(QO47-G47*(XN47+ABA47))/(1-G47*CO47))),QO47/(1-MAX(0,CO47)*H_Exit)))</f>
        <v>0</v>
      </c>
      <c r="UC47" s="20" t="n">
        <f aca="false">IF(ALP46&lt;=0,0,IF(H_Direct=1,IF(CP47&lt;=0,QP47,IF(QP47&lt;=(XO47+ABB47)/CP47,QP47,(QP47-G47*(XO47+ABB47))/(1-G47*CP47))),QP47/(1-MAX(0,CP47)*H_Exit)))</f>
        <v>0</v>
      </c>
      <c r="UD47" s="20" t="n">
        <f aca="false">IF(ALQ46&lt;=0,0,IF(H_Direct=1,IF(CQ47&lt;=0,QQ47,IF(QQ47&lt;=(XP47+ABC47)/CQ47,QQ47,(QQ47-G47*(XP47+ABC47))/(1-G47*CQ47))),QQ47/(1-MAX(0,CQ47)*H_Exit)))</f>
        <v>0</v>
      </c>
      <c r="UE47" s="20" t="n">
        <f aca="false">IF(ALR46&lt;=0,0,IF(H_Direct=1,IF(CR47&lt;=0,QR47,IF(QR47&lt;=(XQ47+ABD47)/CR47,QR47,(QR47-G47*(XQ47+ABD47))/(1-G47*CR47))),QR47/(1-MAX(0,CR47)*H_Exit)))</f>
        <v>8444.09247550955</v>
      </c>
      <c r="UF47" s="20" t="n">
        <f aca="false">IF(ALS46&lt;=0,0,IF(H_Direct=1,IF(CS47&lt;=0,QS47,IF(QS47&lt;=(XR47+ABE47)/CS47,QS47,(QS47-G47*(XR47+ABE47))/(1-G47*CS47))),QS47/(1-MAX(0,CS47)*H_Exit)))</f>
        <v>0</v>
      </c>
      <c r="UG47" s="20" t="n">
        <f aca="false">IF(ALT46&lt;=0,0,IF(H_Direct=1,IF(CT47&lt;=0,QT47,IF(QT47&lt;=(XS47+ABF47)/CT47,QT47,(QT47-G47*(XS47+ABF47))/(1-G47*CT47))),QT47/(1-MAX(0,CT47)*H_Exit)))</f>
        <v>0</v>
      </c>
      <c r="UH47" s="20" t="n">
        <f aca="false">IF(ALU46&lt;=0,0,IF(H_Direct=1,IF(CU47&lt;=0,QU47,IF(QU47&lt;=(XT47+ABG47)/CU47,QU47,(QU47-G47*(XT47+ABG47))/(1-G47*CU47))),QU47/(1-MAX(0,CU47)*H_Exit)))</f>
        <v>2389.95460233956</v>
      </c>
      <c r="UI47" s="20" t="n">
        <f aca="false">IF(ALV46&lt;=0,0,IF(H_Direct=1,IF(CV47&lt;=0,QV47,IF(QV47&lt;=(XU47+ABH47)/CV47,QV47,(QV47-G47*(XU47+ABH47))/(1-G47*CV47))),QV47/(1-MAX(0,CV47)*H_Exit)))</f>
        <v>0</v>
      </c>
      <c r="UJ47" s="20" t="n">
        <f aca="false">IF(ALW46&lt;=0,0,IF(H_Direct=1,IF(CW47&lt;=0,QW47,IF(QW47&lt;=(XV47+ABI47)/CW47,QW47,(QW47-G47*(XV47+ABI47))/(1-G47*CW47))),QW47/(1-MAX(0,CW47)*H_Exit)))</f>
        <v>0</v>
      </c>
      <c r="UK47" s="20" t="n">
        <f aca="false">IF(ALX46&lt;=0,0,IF(H_Direct=1,IF(CX47&lt;=0,QX47,IF(QX47&lt;=(XW47+ABJ47)/CX47,QX47,(QX47-G47*(XW47+ABJ47))/(1-G47*CX47))),QX47/(1-MAX(0,CX47)*H_Exit)))</f>
        <v>0</v>
      </c>
      <c r="UL47" s="20" t="n">
        <f aca="false">IF(ALY46&lt;=0,0,IF(H_Direct=1,IF(CY47&lt;=0,QY47,IF(QY47&lt;=(XX47+ABK47)/CY47,QY47,(QY47-G47*(XX47+ABK47))/(1-G47*CY47))),QY47/(1-MAX(0,CY47)*H_Exit)))</f>
        <v>0</v>
      </c>
      <c r="UM47" s="20" t="n">
        <f aca="false">IF(ALZ46&lt;=0,0,IF(H_Direct=1,IF(CZ47&lt;=0,QZ47,IF(QZ47&lt;=(XY47+ABL47)/CZ47,QZ47,(QZ47-G47*(XY47+ABL47))/(1-G47*CZ47))),QZ47/(1-MAX(0,CZ47)*H_Exit)))</f>
        <v>0</v>
      </c>
      <c r="UN47" s="20" t="n">
        <f aca="false">IF(AMA46&lt;=0,0,IF(H_Direct=1,IF(DA47&lt;=0,RA47,IF(RA47&lt;=(XZ47+ABM47)/DA47,RA47,(RA47-G47*(XZ47+ABM47))/(1-G47*DA47))),RA47/(1-MAX(0,DA47)*H_Exit)))</f>
        <v>0</v>
      </c>
      <c r="UO47" s="20" t="n">
        <f aca="false">IF(AMB46&lt;=0,0,IF(H_Direct=1,IF(DB47&lt;=0,RB47,IF(RB47&lt;=(YA47+ABN47)/DB47,RB47,(RB47-G47*(YA47+ABN47))/(1-G47*DB47))),RB47/(1-MAX(0,DB47)*H_Exit)))</f>
        <v>0</v>
      </c>
      <c r="UP47" s="20" t="n">
        <f aca="false">IF(AMC46&lt;=0,0,IF(H_Direct=1,IF(DC47&lt;=0,RC47,IF(RC47&lt;=(YB47+ABO47)/DC47,RC47,(RC47-G47*(YB47+ABO47))/(1-G47*DC47))),RC47/(1-MAX(0,DC47)*H_Exit)))</f>
        <v>0</v>
      </c>
      <c r="UQ47" s="20" t="n">
        <f aca="false">IF(AMD46&lt;=0,0,IF(H_Direct=1,IF(DD47&lt;=0,RD47,IF(RD47&lt;=(YC47+ABP47)/DD47,RD47,(RD47-G47*(YC47+ABP47))/(1-G47*DD47))),RD47/(1-MAX(0,DD47)*H_Exit)))</f>
        <v>0</v>
      </c>
      <c r="UR47" s="20" t="n">
        <f aca="false">IF(AME46&lt;=0,0,IF(H_Direct=1,IF(DE47&lt;=0,RE47,IF(RE47&lt;=(YD47+ABQ47)/DE47,RE47,(RE47-G47*(YD47+ABQ47))/(1-G47*DE47))),RE47/(1-MAX(0,DE47)*H_Exit)))</f>
        <v>0</v>
      </c>
      <c r="US47" s="20" t="n">
        <f aca="false">IF((P47+S47)&lt;=0,0,IF(H_Direct=1,IF(DF47&lt;=0,RF47,IF(RF47&lt;=(YE47+ABR47)/DF47,RF47,(RF47-G47*(YE47+ABR47))/(1-G47*DF47))),RF47/(1-MAX(0,DF47)*H_Exit)))</f>
        <v>0</v>
      </c>
      <c r="UT47" s="20" t="n">
        <v>0</v>
      </c>
      <c r="UU47" s="20" t="n">
        <v>0</v>
      </c>
      <c r="UV47" s="20" t="n">
        <v>0</v>
      </c>
      <c r="UW47" s="20" t="n">
        <v>0</v>
      </c>
      <c r="UX47" s="20" t="n">
        <v>0</v>
      </c>
      <c r="UY47" s="20" t="n">
        <v>0</v>
      </c>
      <c r="UZ47" s="20" t="n">
        <v>0</v>
      </c>
      <c r="VA47" s="20" t="n">
        <v>0</v>
      </c>
      <c r="VB47" s="20" t="n">
        <v>0</v>
      </c>
      <c r="VC47" s="20" t="n">
        <v>0</v>
      </c>
      <c r="VD47" s="20" t="n">
        <v>0</v>
      </c>
      <c r="VE47" s="20" t="n">
        <v>0</v>
      </c>
      <c r="VF47" s="20" t="n">
        <v>0</v>
      </c>
      <c r="VG47" s="20" t="n">
        <v>0</v>
      </c>
      <c r="VH47" s="20" t="n">
        <v>0</v>
      </c>
      <c r="VI47" s="20" t="n">
        <v>0</v>
      </c>
      <c r="VJ47" s="20" t="n">
        <v>0</v>
      </c>
      <c r="VK47" s="20" t="n">
        <v>0</v>
      </c>
      <c r="VL47" s="20" t="n">
        <v>0</v>
      </c>
      <c r="VM47" s="20" t="n">
        <v>0</v>
      </c>
      <c r="VN47" s="20" t="n">
        <v>0</v>
      </c>
      <c r="VO47" s="20" t="n">
        <v>0</v>
      </c>
      <c r="VP47" s="20" t="n">
        <v>0</v>
      </c>
      <c r="VQ47" s="20" t="n">
        <v>0</v>
      </c>
      <c r="VR47" s="20" t="n">
        <v>0</v>
      </c>
      <c r="VS47" s="20" t="n">
        <v>0</v>
      </c>
      <c r="VT47" s="20" t="n">
        <v>0</v>
      </c>
      <c r="VU47" s="20" t="n">
        <v>0</v>
      </c>
      <c r="VV47" s="20" t="n">
        <v>0</v>
      </c>
      <c r="VW47" s="20" t="n">
        <v>0</v>
      </c>
      <c r="VX47" s="20" t="n">
        <v>0</v>
      </c>
      <c r="VY47" s="20" t="n">
        <v>0</v>
      </c>
      <c r="VZ47" s="20" t="n">
        <v>0</v>
      </c>
      <c r="WA47" s="20" t="n">
        <v>0</v>
      </c>
      <c r="WB47" s="20" t="n">
        <v>0</v>
      </c>
      <c r="WC47" s="20" t="n">
        <v>0</v>
      </c>
      <c r="WD47" s="20" t="n">
        <v>0</v>
      </c>
      <c r="WE47" s="20" t="n">
        <v>0</v>
      </c>
      <c r="WF47" s="20" t="n">
        <v>0</v>
      </c>
      <c r="WG47" s="20" t="n">
        <v>0</v>
      </c>
      <c r="WH47" s="20" t="n">
        <v>0</v>
      </c>
      <c r="WI47" s="20" t="n">
        <v>0</v>
      </c>
      <c r="WJ47" s="20" t="n">
        <v>0</v>
      </c>
      <c r="WK47" s="20" t="n">
        <v>0</v>
      </c>
      <c r="WL47" s="20" t="n">
        <v>0</v>
      </c>
      <c r="WM47" s="20" t="n">
        <v>0</v>
      </c>
      <c r="WN47" s="20" t="n">
        <v>0</v>
      </c>
      <c r="WO47" s="20" t="n">
        <v>0</v>
      </c>
      <c r="WP47" s="20" t="n">
        <v>0</v>
      </c>
      <c r="WQ47" s="20" t="n">
        <v>0</v>
      </c>
      <c r="WR47" s="20" t="n">
        <f aca="false">IF(AND(H_Direct=1,BR47&gt;0),MAX(0,H47-(MIN(BR47*TE47,(H47+I47))-MIN(MIN(BR47*TE47,(H47+I47)),I47))),H47)</f>
        <v>1270</v>
      </c>
      <c r="WS47" s="20" t="n">
        <f aca="false">IF(AND(H_Direct=1,BS47&gt;0),MAX(0,WR47-(MIN(BS47*TF47,(WR47+AAE47))-MIN(MIN(BS47*TF47,(WR47+AAE47)),AAE47))),WR47)</f>
        <v>1270</v>
      </c>
      <c r="WT47" s="20" t="n">
        <f aca="false">IF(AND(H_Direct=1,BT47&gt;0),MAX(0,WS47-(MIN(BT47*TG47,(WS47+AAF47))-MIN(MIN(BT47*TG47,(WS47+AAF47)),AAF47))),WS47)</f>
        <v>1270</v>
      </c>
      <c r="WU47" s="20" t="n">
        <f aca="false">IF(AND(H_Direct=1,BU47&gt;0),MAX(0,WT47-(MIN(BU47*TH47,(WT47+AAG47))-MIN(MIN(BU47*TH47,(WT47+AAG47)),AAG47))),WT47)</f>
        <v>1270</v>
      </c>
      <c r="WV47" s="20" t="n">
        <f aca="false">IF(AND(H_Direct=1,BV47&gt;0),MAX(0,WU47-(MIN(BV47*TI47,(WU47+AAH47))-MIN(MIN(BV47*TI47,(WU47+AAH47)),AAH47))),WU47)</f>
        <v>1270</v>
      </c>
      <c r="WW47" s="20" t="n">
        <f aca="false">IF(AND(H_Direct=1,BW47&gt;0),MAX(0,WV47-(MIN(BW47*TJ47,(WV47+AAI47))-MIN(MIN(BW47*TJ47,(WV47+AAI47)),AAI47))),WV47)</f>
        <v>1270</v>
      </c>
      <c r="WX47" s="20" t="n">
        <f aca="false">IF(AND(H_Direct=1,BX47&gt;0),MAX(0,WW47-(MIN(BX47*TK47,(WW47+AAJ47))-MIN(MIN(BX47*TK47,(WW47+AAJ47)),AAJ47))),WW47)</f>
        <v>1270</v>
      </c>
      <c r="WY47" s="20" t="n">
        <f aca="false">IF(AND(H_Direct=1,BY47&gt;0),MAX(0,WX47-(MIN(BY47*TL47,(WX47+AAK47))-MIN(MIN(BY47*TL47,(WX47+AAK47)),AAK47))),WX47)</f>
        <v>1270</v>
      </c>
      <c r="WZ47" s="20" t="n">
        <f aca="false">IF(AND(H_Direct=1,BZ47&gt;0),MAX(0,WY47-(MIN(BZ47*TM47,(WY47+AAL47))-MIN(MIN(BZ47*TM47,(WY47+AAL47)),AAL47))),WY47)</f>
        <v>1270</v>
      </c>
      <c r="XA47" s="20" t="n">
        <f aca="false">IF(AND(H_Direct=1,CA47&gt;0),MAX(0,WZ47-(MIN(CA47*TN47,(WZ47+AAM47))-MIN(MIN(CA47*TN47,(WZ47+AAM47)),AAM47))),WZ47)</f>
        <v>1270</v>
      </c>
      <c r="XB47" s="20" t="n">
        <f aca="false">IF(AND(H_Direct=1,CB47&gt;0),MAX(0,XA47-(MIN(CB47*TO47,(XA47+AAN47))-MIN(MIN(CB47*TO47,(XA47+AAN47)),AAN47))),XA47)</f>
        <v>1270</v>
      </c>
      <c r="XC47" s="20" t="n">
        <f aca="false">IF(AND(H_Direct=1,CC47&gt;0),MAX(0,XB47-(MIN(CC47*TP47,(XB47+AAO47))-MIN(MIN(CC47*TP47,(XB47+AAO47)),AAO47))),XB47)</f>
        <v>1270</v>
      </c>
      <c r="XD47" s="20" t="n">
        <f aca="false">IF(AND(H_Direct=1,CD47&gt;0),MAX(0,XC47-(MIN(CD47*TQ47,(XC47+AAP47))-MIN(MIN(CD47*TQ47,(XC47+AAP47)),AAP47))),XC47)</f>
        <v>1270</v>
      </c>
      <c r="XE47" s="20" t="n">
        <f aca="false">IF(AND(H_Direct=1,CE47&gt;0),MAX(0,XD47-(MIN(CE47*TR47,(XD47+AAQ47))-MIN(MIN(CE47*TR47,(XD47+AAQ47)),AAQ47))),XD47)</f>
        <v>1270</v>
      </c>
      <c r="XF47" s="20" t="n">
        <f aca="false">IF(AND(H_Direct=1,CF47&gt;0),MAX(0,XE47-(MIN(CF47*TS47,(XE47+AAR47))-MIN(MIN(CF47*TS47,(XE47+AAR47)),AAR47))),XE47)</f>
        <v>1270</v>
      </c>
      <c r="XG47" s="20" t="n">
        <f aca="false">IF(AND(H_Direct=1,CG47&gt;0),MAX(0,XF47-(MIN(CG47*TT47,(XF47+AAS47))-MIN(MIN(CG47*TT47,(XF47+AAS47)),AAS47))),XF47)</f>
        <v>1270</v>
      </c>
      <c r="XH47" s="20" t="n">
        <f aca="false">IF(AND(H_Direct=1,CH47&gt;0),MAX(0,XG47-(MIN(CH47*TU47,(XG47+AAT47))-MIN(MIN(CH47*TU47,(XG47+AAT47)),AAT47))),XG47)</f>
        <v>1270</v>
      </c>
      <c r="XI47" s="20" t="n">
        <f aca="false">IF(AND(H_Direct=1,CI47&gt;0),MAX(0,XH47-(MIN(CI47*TV47,(XH47+AAU47))-MIN(MIN(CI47*TV47,(XH47+AAU47)),AAU47))),XH47)</f>
        <v>1270</v>
      </c>
      <c r="XJ47" s="20" t="n">
        <f aca="false">IF(AND(H_Direct=1,CJ47&gt;0),MAX(0,XI47-(MIN(CJ47*TW47,(XI47+AAV47))-MIN(MIN(CJ47*TW47,(XI47+AAV47)),AAV47))),XI47)</f>
        <v>1270</v>
      </c>
      <c r="XK47" s="20" t="n">
        <f aca="false">IF(AND(H_Direct=1,CK47&gt;0),MAX(0,XJ47-(MIN(CK47*TX47,(XJ47+AAW47))-MIN(MIN(CK47*TX47,(XJ47+AAW47)),AAW47))),XJ47)</f>
        <v>1270</v>
      </c>
      <c r="XL47" s="20" t="n">
        <f aca="false">IF(AND(H_Direct=1,CL47&gt;0),MAX(0,XK47-(MIN(CL47*TY47,(XK47+AAX47))-MIN(MIN(CL47*TY47,(XK47+AAX47)),AAX47))),XK47)</f>
        <v>1270</v>
      </c>
      <c r="XM47" s="20" t="n">
        <f aca="false">IF(AND(H_Direct=1,CM47&gt;0),MAX(0,XL47-(MIN(CM47*TZ47,(XL47+AAY47))-MIN(MIN(CM47*TZ47,(XL47+AAY47)),AAY47))),XL47)</f>
        <v>1270</v>
      </c>
      <c r="XN47" s="20" t="n">
        <f aca="false">IF(AND(H_Direct=1,CN47&gt;0),MAX(0,XM47-(MIN(CN47*UA47,(XM47+AAZ47))-MIN(MIN(CN47*UA47,(XM47+AAZ47)),AAZ47))),XM47)</f>
        <v>1270</v>
      </c>
      <c r="XO47" s="20" t="n">
        <f aca="false">IF(AND(H_Direct=1,CO47&gt;0),MAX(0,XN47-(MIN(CO47*UB47,(XN47+ABA47))-MIN(MIN(CO47*UB47,(XN47+ABA47)),ABA47))),XN47)</f>
        <v>1270</v>
      </c>
      <c r="XP47" s="20" t="n">
        <f aca="false">IF(AND(H_Direct=1,CP47&gt;0),MAX(0,XO47-(MIN(CP47*UC47,(XO47+ABB47))-MIN(MIN(CP47*UC47,(XO47+ABB47)),ABB47))),XO47)</f>
        <v>1270</v>
      </c>
      <c r="XQ47" s="20" t="n">
        <f aca="false">IF(AND(H_Direct=1,CQ47&gt;0),MAX(0,XP47-(MIN(CQ47*UD47,(XP47+ABC47))-MIN(MIN(CQ47*UD47,(XP47+ABC47)),ABC47))),XP47)</f>
        <v>1270</v>
      </c>
      <c r="XR47" s="20" t="n">
        <f aca="false">IF(AND(H_Direct=1,CR47&gt;0),MAX(0,XQ47-(MIN(CR47*UE47,(XQ47+ABD47))-MIN(MIN(CR47*UE47,(XQ47+ABD47)),ABD47))),XQ47)</f>
        <v>1270</v>
      </c>
      <c r="XS47" s="20" t="n">
        <f aca="false">IF(AND(H_Direct=1,CS47&gt;0),MAX(0,XR47-(MIN(CS47*UF47,(XR47+ABE47))-MIN(MIN(CS47*UF47,(XR47+ABE47)),ABE47))),XR47)</f>
        <v>1270</v>
      </c>
      <c r="XT47" s="20" t="n">
        <f aca="false">IF(AND(H_Direct=1,CT47&gt;0),MAX(0,XS47-(MIN(CT47*UG47,(XS47+ABF47))-MIN(MIN(CT47*UG47,(XS47+ABF47)),ABF47))),XS47)</f>
        <v>1270</v>
      </c>
      <c r="XU47" s="20" t="n">
        <f aca="false">IF(AND(H_Direct=1,CU47&gt;0),MAX(0,XT47-(MIN(CU47*UH47,(XT47+ABG47))-MIN(MIN(CU47*UH47,(XT47+ABG47)),ABG47))),XT47)</f>
        <v>1270</v>
      </c>
      <c r="XV47" s="20" t="n">
        <f aca="false">IF(AND(H_Direct=1,CV47&gt;0),MAX(0,XU47-(MIN(CV47*UI47,(XU47+ABH47))-MIN(MIN(CV47*UI47,(XU47+ABH47)),ABH47))),XU47)</f>
        <v>1270</v>
      </c>
      <c r="XW47" s="20" t="n">
        <f aca="false">IF(AND(H_Direct=1,CW47&gt;0),MAX(0,XV47-(MIN(CW47*UJ47,(XV47+ABI47))-MIN(MIN(CW47*UJ47,(XV47+ABI47)),ABI47))),XV47)</f>
        <v>1270</v>
      </c>
      <c r="XX47" s="20" t="n">
        <f aca="false">IF(AND(H_Direct=1,CX47&gt;0),MAX(0,XW47-(MIN(CX47*UK47,(XW47+ABJ47))-MIN(MIN(CX47*UK47,(XW47+ABJ47)),ABJ47))),XW47)</f>
        <v>1270</v>
      </c>
      <c r="XY47" s="20" t="n">
        <f aca="false">IF(AND(H_Direct=1,CY47&gt;0),MAX(0,XX47-(MIN(CY47*UL47,(XX47+ABK47))-MIN(MIN(CY47*UL47,(XX47+ABK47)),ABK47))),XX47)</f>
        <v>1270</v>
      </c>
      <c r="XZ47" s="20" t="n">
        <f aca="false">IF(AND(H_Direct=1,CZ47&gt;0),MAX(0,XY47-(MIN(CZ47*UM47,(XY47+ABL47))-MIN(MIN(CZ47*UM47,(XY47+ABL47)),ABL47))),XY47)</f>
        <v>1270</v>
      </c>
      <c r="YA47" s="20" t="n">
        <f aca="false">IF(AND(H_Direct=1,DA47&gt;0),MAX(0,XZ47-(MIN(DA47*UN47,(XZ47+ABM47))-MIN(MIN(DA47*UN47,(XZ47+ABM47)),ABM47))),XZ47)</f>
        <v>1270</v>
      </c>
      <c r="YB47" s="20" t="n">
        <f aca="false">IF(AND(H_Direct=1,DB47&gt;0),MAX(0,YA47-(MIN(DB47*UO47,(YA47+ABN47))-MIN(MIN(DB47*UO47,(YA47+ABN47)),ABN47))),YA47)</f>
        <v>1270</v>
      </c>
      <c r="YC47" s="20" t="n">
        <f aca="false">IF(AND(H_Direct=1,DC47&gt;0),MAX(0,YB47-(MIN(DC47*UP47,(YB47+ABO47))-MIN(MIN(DC47*UP47,(YB47+ABO47)),ABO47))),YB47)</f>
        <v>1270</v>
      </c>
      <c r="YD47" s="20" t="n">
        <f aca="false">IF(AND(H_Direct=1,DD47&gt;0),MAX(0,YC47-(MIN(DD47*UQ47,(YC47+ABP47))-MIN(MIN(DD47*UQ47,(YC47+ABP47)),ABP47))),YC47)</f>
        <v>1270</v>
      </c>
      <c r="YE47" s="20" t="n">
        <f aca="false">IF(AND(H_Direct=1,DE47&gt;0),MAX(0,YD47-(MIN(DE47*UR47,(YD47+ABQ47))-MIN(MIN(DE47*UR47,(YD47+ABQ47)),ABQ47))),YD47)</f>
        <v>1270</v>
      </c>
      <c r="YF47" s="20" t="n">
        <f aca="false">IF(AND(H_Direct=1,DF47&gt;0),MAX(0,YE47-(MIN(DF47*US47,(YE47+ABR47))-MIN(MIN(DF47*US47,(YE47+ABR47)),ABR47))),YE47)</f>
        <v>1270</v>
      </c>
      <c r="YG47" s="20" t="n">
        <f aca="false">YF47</f>
        <v>1270</v>
      </c>
      <c r="YH47" s="20" t="n">
        <f aca="false">YG47</f>
        <v>1270</v>
      </c>
      <c r="YI47" s="20" t="n">
        <f aca="false">YH47</f>
        <v>1270</v>
      </c>
      <c r="YJ47" s="20" t="n">
        <f aca="false">YI47</f>
        <v>1270</v>
      </c>
      <c r="YK47" s="20" t="n">
        <f aca="false">YJ47</f>
        <v>1270</v>
      </c>
      <c r="YL47" s="20" t="n">
        <f aca="false">YK47</f>
        <v>1270</v>
      </c>
      <c r="YM47" s="20" t="n">
        <f aca="false">YL47</f>
        <v>1270</v>
      </c>
      <c r="YN47" s="20" t="n">
        <f aca="false">YM47</f>
        <v>1270</v>
      </c>
      <c r="YO47" s="20" t="n">
        <f aca="false">YN47</f>
        <v>1270</v>
      </c>
      <c r="YP47" s="20" t="n">
        <f aca="false">YO47</f>
        <v>1270</v>
      </c>
      <c r="YQ47" s="20" t="n">
        <f aca="false">YP47</f>
        <v>1270</v>
      </c>
      <c r="YR47" s="20" t="n">
        <f aca="false">YQ47</f>
        <v>1270</v>
      </c>
      <c r="YS47" s="20" t="n">
        <f aca="false">YR47</f>
        <v>1270</v>
      </c>
      <c r="YT47" s="20" t="n">
        <f aca="false">YS47</f>
        <v>1270</v>
      </c>
      <c r="YU47" s="20" t="n">
        <f aca="false">YT47</f>
        <v>1270</v>
      </c>
      <c r="YV47" s="20" t="n">
        <f aca="false">YU47</f>
        <v>1270</v>
      </c>
      <c r="YW47" s="20" t="n">
        <f aca="false">YV47</f>
        <v>1270</v>
      </c>
      <c r="YX47" s="20" t="n">
        <f aca="false">YW47</f>
        <v>1270</v>
      </c>
      <c r="YY47" s="20" t="n">
        <f aca="false">YX47</f>
        <v>1270</v>
      </c>
      <c r="YZ47" s="20" t="n">
        <f aca="false">YY47</f>
        <v>1270</v>
      </c>
      <c r="ZA47" s="20" t="n">
        <f aca="false">YZ47</f>
        <v>1270</v>
      </c>
      <c r="ZB47" s="20" t="n">
        <f aca="false">ZA47</f>
        <v>1270</v>
      </c>
      <c r="ZC47" s="20" t="n">
        <f aca="false">ZB47</f>
        <v>1270</v>
      </c>
      <c r="ZD47" s="20" t="n">
        <f aca="false">ZC47</f>
        <v>1270</v>
      </c>
      <c r="ZE47" s="20" t="n">
        <f aca="false">ZD47</f>
        <v>1270</v>
      </c>
      <c r="ZF47" s="20" t="n">
        <f aca="false">ZE47</f>
        <v>1270</v>
      </c>
      <c r="ZG47" s="20" t="n">
        <f aca="false">ZF47</f>
        <v>1270</v>
      </c>
      <c r="ZH47" s="20" t="n">
        <f aca="false">ZG47</f>
        <v>1270</v>
      </c>
      <c r="ZI47" s="20" t="n">
        <f aca="false">ZH47</f>
        <v>1270</v>
      </c>
      <c r="ZJ47" s="20" t="n">
        <f aca="false">ZI47</f>
        <v>1270</v>
      </c>
      <c r="ZK47" s="20" t="n">
        <f aca="false">ZJ47</f>
        <v>1270</v>
      </c>
      <c r="ZL47" s="20" t="n">
        <f aca="false">ZK47</f>
        <v>1270</v>
      </c>
      <c r="ZM47" s="20" t="n">
        <f aca="false">ZL47</f>
        <v>1270</v>
      </c>
      <c r="ZN47" s="20" t="n">
        <f aca="false">ZM47</f>
        <v>1270</v>
      </c>
      <c r="ZO47" s="20" t="n">
        <f aca="false">ZN47</f>
        <v>1270</v>
      </c>
      <c r="ZP47" s="20" t="n">
        <f aca="false">ZO47</f>
        <v>1270</v>
      </c>
      <c r="ZQ47" s="20" t="n">
        <f aca="false">ZP47</f>
        <v>1270</v>
      </c>
      <c r="ZR47" s="20" t="n">
        <f aca="false">ZQ47</f>
        <v>1270</v>
      </c>
      <c r="ZS47" s="20" t="n">
        <f aca="false">ZR47</f>
        <v>1270</v>
      </c>
      <c r="ZT47" s="20" t="n">
        <f aca="false">ZS47</f>
        <v>1270</v>
      </c>
      <c r="ZU47" s="20" t="n">
        <f aca="false">ZT47</f>
        <v>1270</v>
      </c>
      <c r="ZV47" s="20" t="n">
        <f aca="false">ZU47</f>
        <v>1270</v>
      </c>
      <c r="ZW47" s="20" t="n">
        <f aca="false">ZV47</f>
        <v>1270</v>
      </c>
      <c r="ZX47" s="20" t="n">
        <f aca="false">ZW47</f>
        <v>1270</v>
      </c>
      <c r="ZY47" s="20" t="n">
        <f aca="false">ZX47</f>
        <v>1270</v>
      </c>
      <c r="ZZ47" s="20" t="n">
        <f aca="false">ZY47</f>
        <v>1270</v>
      </c>
      <c r="AAA47" s="20" t="n">
        <f aca="false">ZZ47</f>
        <v>1270</v>
      </c>
      <c r="AAB47" s="20" t="n">
        <f aca="false">AAA47</f>
        <v>1270</v>
      </c>
      <c r="AAC47" s="20" t="n">
        <f aca="false">AAB47</f>
        <v>1270</v>
      </c>
      <c r="AAD47" s="20" t="n">
        <f aca="false">AAC47</f>
        <v>1270</v>
      </c>
      <c r="AAE47" s="20" t="n">
        <f aca="false">IF(H_Direct=1,IF(BR47&lt;=0,I47-BR47*TE47,I47-MIN(MIN(BR47*TE47,(H47+I47)),I47)),I47)</f>
        <v>0</v>
      </c>
      <c r="AAF47" s="20" t="n">
        <f aca="false">IF(H_Direct=1,IF(BS47&lt;=0,AAE47-BS47*TF47,AAE47-MIN(MIN(BS47*TF47,(WR47+AAE47)),AAE47)),AAE47)</f>
        <v>0</v>
      </c>
      <c r="AAG47" s="20" t="n">
        <f aca="false">IF(H_Direct=1,IF(BT47&lt;=0,AAF47-BT47*TG47,AAF47-MIN(MIN(BT47*TG47,(WS47+AAF47)),AAF47)),AAF47)</f>
        <v>0</v>
      </c>
      <c r="AAH47" s="20" t="n">
        <f aca="false">IF(H_Direct=1,IF(BU47&lt;=0,AAG47-BU47*TH47,AAG47-MIN(MIN(BU47*TH47,(WT47+AAG47)),AAG47)),AAG47)</f>
        <v>0</v>
      </c>
      <c r="AAI47" s="20" t="n">
        <f aca="false">IF(H_Direct=1,IF(BV47&lt;=0,AAH47-BV47*TI47,AAH47-MIN(MIN(BV47*TI47,(WU47+AAH47)),AAH47)),AAH47)</f>
        <v>0</v>
      </c>
      <c r="AAJ47" s="20" t="n">
        <f aca="false">IF(H_Direct=1,IF(BW47&lt;=0,AAI47-BW47*TJ47,AAI47-MIN(MIN(BW47*TJ47,(WV47+AAI47)),AAI47)),AAI47)</f>
        <v>0</v>
      </c>
      <c r="AAK47" s="20" t="n">
        <f aca="false">IF(H_Direct=1,IF(BX47&lt;=0,AAJ47-BX47*TK47,AAJ47-MIN(MIN(BX47*TK47,(WW47+AAJ47)),AAJ47)),AAJ47)</f>
        <v>0</v>
      </c>
      <c r="AAL47" s="20" t="n">
        <f aca="false">IF(H_Direct=1,IF(BY47&lt;=0,AAK47-BY47*TL47,AAK47-MIN(MIN(BY47*TL47,(WX47+AAK47)),AAK47)),AAK47)</f>
        <v>0</v>
      </c>
      <c r="AAM47" s="20" t="n">
        <f aca="false">IF(H_Direct=1,IF(BZ47&lt;=0,AAL47-BZ47*TM47,AAL47-MIN(MIN(BZ47*TM47,(WY47+AAL47)),AAL47)),AAL47)</f>
        <v>0</v>
      </c>
      <c r="AAN47" s="20" t="n">
        <f aca="false">IF(H_Direct=1,IF(CA47&lt;=0,AAM47-CA47*TN47,AAM47-MIN(MIN(CA47*TN47,(WZ47+AAM47)),AAM47)),AAM47)</f>
        <v>0</v>
      </c>
      <c r="AAO47" s="20" t="n">
        <f aca="false">IF(H_Direct=1,IF(CB47&lt;=0,AAN47-CB47*TO47,AAN47-MIN(MIN(CB47*TO47,(XA47+AAN47)),AAN47)),AAN47)</f>
        <v>0</v>
      </c>
      <c r="AAP47" s="20" t="n">
        <f aca="false">IF(H_Direct=1,IF(CC47&lt;=0,AAO47-CC47*TP47,AAO47-MIN(MIN(CC47*TP47,(XB47+AAO47)),AAO47)),AAO47)</f>
        <v>0</v>
      </c>
      <c r="AAQ47" s="20" t="n">
        <f aca="false">IF(H_Direct=1,IF(CD47&lt;=0,AAP47-CD47*TQ47,AAP47-MIN(MIN(CD47*TQ47,(XC47+AAP47)),AAP47)),AAP47)</f>
        <v>0</v>
      </c>
      <c r="AAR47" s="20" t="n">
        <f aca="false">IF(H_Direct=1,IF(CE47&lt;=0,AAQ47-CE47*TR47,AAQ47-MIN(MIN(CE47*TR47,(XD47+AAQ47)),AAQ47)),AAQ47)</f>
        <v>0</v>
      </c>
      <c r="AAS47" s="20" t="n">
        <f aca="false">IF(H_Direct=1,IF(CF47&lt;=0,AAR47-CF47*TS47,AAR47-MIN(MIN(CF47*TS47,(XE47+AAR47)),AAR47)),AAR47)</f>
        <v>0</v>
      </c>
      <c r="AAT47" s="20" t="n">
        <f aca="false">IF(H_Direct=1,IF(CG47&lt;=0,AAS47-CG47*TT47,AAS47-MIN(MIN(CG47*TT47,(XF47+AAS47)),AAS47)),AAS47)</f>
        <v>0</v>
      </c>
      <c r="AAU47" s="20" t="n">
        <f aca="false">IF(H_Direct=1,IF(CH47&lt;=0,AAT47-CH47*TU47,AAT47-MIN(MIN(CH47*TU47,(XG47+AAT47)),AAT47)),AAT47)</f>
        <v>0</v>
      </c>
      <c r="AAV47" s="20" t="n">
        <f aca="false">IF(H_Direct=1,IF(CI47&lt;=0,AAU47-CI47*TV47,AAU47-MIN(MIN(CI47*TV47,(XH47+AAU47)),AAU47)),AAU47)</f>
        <v>0</v>
      </c>
      <c r="AAW47" s="20" t="n">
        <f aca="false">IF(H_Direct=1,IF(CJ47&lt;=0,AAV47-CJ47*TW47,AAV47-MIN(MIN(CJ47*TW47,(XI47+AAV47)),AAV47)),AAV47)</f>
        <v>0</v>
      </c>
      <c r="AAX47" s="20" t="n">
        <f aca="false">IF(H_Direct=1,IF(CK47&lt;=0,AAW47-CK47*TX47,AAW47-MIN(MIN(CK47*TX47,(XJ47+AAW47)),AAW47)),AAW47)</f>
        <v>0</v>
      </c>
      <c r="AAY47" s="20" t="n">
        <f aca="false">IF(H_Direct=1,IF(CL47&lt;=0,AAX47-CL47*TY47,AAX47-MIN(MIN(CL47*TY47,(XK47+AAX47)),AAX47)),AAX47)</f>
        <v>0</v>
      </c>
      <c r="AAZ47" s="20" t="n">
        <f aca="false">IF(H_Direct=1,IF(CM47&lt;=0,AAY47-CM47*TZ47,AAY47-MIN(MIN(CM47*TZ47,(XL47+AAY47)),AAY47)),AAY47)</f>
        <v>0</v>
      </c>
      <c r="ABA47" s="20" t="n">
        <f aca="false">IF(H_Direct=1,IF(CN47&lt;=0,AAZ47-CN47*UA47,AAZ47-MIN(MIN(CN47*UA47,(XM47+AAZ47)),AAZ47)),AAZ47)</f>
        <v>0</v>
      </c>
      <c r="ABB47" s="20" t="n">
        <f aca="false">IF(H_Direct=1,IF(CO47&lt;=0,ABA47-CO47*UB47,ABA47-MIN(MIN(CO47*UB47,(XN47+ABA47)),ABA47)),ABA47)</f>
        <v>0</v>
      </c>
      <c r="ABC47" s="20" t="n">
        <f aca="false">IF(H_Direct=1,IF(CP47&lt;=0,ABB47-CP47*UC47,ABB47-MIN(MIN(CP47*UC47,(XO47+ABB47)),ABB47)),ABB47)</f>
        <v>0</v>
      </c>
      <c r="ABD47" s="20" t="n">
        <f aca="false">IF(H_Direct=1,IF(CQ47&lt;=0,ABC47-CQ47*UD47,ABC47-MIN(MIN(CQ47*UD47,(XP47+ABC47)),ABC47)),ABC47)</f>
        <v>0</v>
      </c>
      <c r="ABE47" s="20" t="n">
        <f aca="false">IF(H_Direct=1,IF(CR47&lt;=0,ABD47-CR47*UE47,ABD47-MIN(MIN(CR47*UE47,(XQ47+ABD47)),ABD47)),ABD47)</f>
        <v>0</v>
      </c>
      <c r="ABF47" s="20" t="n">
        <f aca="false">IF(H_Direct=1,IF(CS47&lt;=0,ABE47-CS47*UF47,ABE47-MIN(MIN(CS47*UF47,(XR47+ABE47)),ABE47)),ABE47)</f>
        <v>0</v>
      </c>
      <c r="ABG47" s="20" t="n">
        <f aca="false">IF(H_Direct=1,IF(CT47&lt;=0,ABF47-CT47*UG47,ABF47-MIN(MIN(CT47*UG47,(XS47+ABF47)),ABF47)),ABF47)</f>
        <v>0</v>
      </c>
      <c r="ABH47" s="20" t="n">
        <f aca="false">IF(H_Direct=1,IF(CU47&lt;=0,ABG47-CU47*UH47,ABG47-MIN(MIN(CU47*UH47,(XT47+ABG47)),ABG47)),ABG47)</f>
        <v>0</v>
      </c>
      <c r="ABI47" s="20" t="n">
        <f aca="false">IF(H_Direct=1,IF(CV47&lt;=0,ABH47-CV47*UI47,ABH47-MIN(MIN(CV47*UI47,(XU47+ABH47)),ABH47)),ABH47)</f>
        <v>0</v>
      </c>
      <c r="ABJ47" s="20" t="n">
        <f aca="false">IF(H_Direct=1,IF(CW47&lt;=0,ABI47-CW47*UJ47,ABI47-MIN(MIN(CW47*UJ47,(XV47+ABI47)),ABI47)),ABI47)</f>
        <v>0</v>
      </c>
      <c r="ABK47" s="20" t="n">
        <f aca="false">IF(H_Direct=1,IF(CX47&lt;=0,ABJ47-CX47*UK47,ABJ47-MIN(MIN(CX47*UK47,(XW47+ABJ47)),ABJ47)),ABJ47)</f>
        <v>0</v>
      </c>
      <c r="ABL47" s="20" t="n">
        <f aca="false">IF(H_Direct=1,IF(CY47&lt;=0,ABK47-CY47*UL47,ABK47-MIN(MIN(CY47*UL47,(XX47+ABK47)),ABK47)),ABK47)</f>
        <v>0</v>
      </c>
      <c r="ABM47" s="20" t="n">
        <f aca="false">IF(H_Direct=1,IF(CZ47&lt;=0,ABL47-CZ47*UM47,ABL47-MIN(MIN(CZ47*UM47,(XY47+ABL47)),ABL47)),ABL47)</f>
        <v>0</v>
      </c>
      <c r="ABN47" s="20" t="n">
        <f aca="false">IF(H_Direct=1,IF(DA47&lt;=0,ABM47-DA47*UN47,ABM47-MIN(MIN(DA47*UN47,(XZ47+ABM47)),ABM47)),ABM47)</f>
        <v>0</v>
      </c>
      <c r="ABO47" s="20" t="n">
        <f aca="false">IF(H_Direct=1,IF(DB47&lt;=0,ABN47-DB47*UO47,ABN47-MIN(MIN(DB47*UO47,(YA47+ABN47)),ABN47)),ABN47)</f>
        <v>0</v>
      </c>
      <c r="ABP47" s="20" t="n">
        <f aca="false">IF(H_Direct=1,IF(DC47&lt;=0,ABO47-DC47*UP47,ABO47-MIN(MIN(DC47*UP47,(YB47+ABO47)),ABO47)),ABO47)</f>
        <v>0</v>
      </c>
      <c r="ABQ47" s="20" t="n">
        <f aca="false">IF(H_Direct=1,IF(DD47&lt;=0,ABP47-DD47*UQ47,ABP47-MIN(MIN(DD47*UQ47,(YC47+ABP47)),ABP47)),ABP47)</f>
        <v>0</v>
      </c>
      <c r="ABR47" s="20" t="n">
        <f aca="false">IF(H_Direct=1,IF(DE47&lt;=0,ABQ47-DE47*UR47,ABQ47-MIN(MIN(DE47*UR47,(YD47+ABQ47)),ABQ47)),ABQ47)</f>
        <v>0</v>
      </c>
      <c r="ABS47" s="20" t="n">
        <f aca="false">IF(H_Direct=1,IF(DF47&lt;=0,ABR47-DF47*US47,ABR47-MIN(MIN(DF47*US47,(YE47+ABR47)),ABR47)),ABR47)</f>
        <v>0</v>
      </c>
      <c r="ABT47" s="20" t="n">
        <f aca="false">ABS47</f>
        <v>0</v>
      </c>
      <c r="ABU47" s="20" t="n">
        <f aca="false">ABT47</f>
        <v>0</v>
      </c>
      <c r="ABV47" s="20" t="n">
        <f aca="false">ABU47</f>
        <v>0</v>
      </c>
      <c r="ABW47" s="20" t="n">
        <f aca="false">ABV47</f>
        <v>0</v>
      </c>
      <c r="ABX47" s="20" t="n">
        <f aca="false">ABW47</f>
        <v>0</v>
      </c>
      <c r="ABY47" s="20" t="n">
        <f aca="false">ABX47</f>
        <v>0</v>
      </c>
      <c r="ABZ47" s="20" t="n">
        <f aca="false">ABY47</f>
        <v>0</v>
      </c>
      <c r="ACA47" s="20" t="n">
        <f aca="false">ABZ47</f>
        <v>0</v>
      </c>
      <c r="ACB47" s="20" t="n">
        <f aca="false">ACA47</f>
        <v>0</v>
      </c>
      <c r="ACC47" s="20" t="n">
        <f aca="false">ACB47</f>
        <v>0</v>
      </c>
      <c r="ACD47" s="20" t="n">
        <f aca="false">ACC47</f>
        <v>0</v>
      </c>
      <c r="ACE47" s="20" t="n">
        <f aca="false">ACD47</f>
        <v>0</v>
      </c>
      <c r="ACF47" s="20" t="n">
        <f aca="false">ACE47</f>
        <v>0</v>
      </c>
      <c r="ACG47" s="20" t="n">
        <f aca="false">ACF47</f>
        <v>0</v>
      </c>
      <c r="ACH47" s="20" t="n">
        <f aca="false">ACG47</f>
        <v>0</v>
      </c>
      <c r="ACI47" s="20" t="n">
        <f aca="false">ACH47</f>
        <v>0</v>
      </c>
      <c r="ACJ47" s="20" t="n">
        <f aca="false">ACI47</f>
        <v>0</v>
      </c>
      <c r="ACK47" s="20" t="n">
        <f aca="false">ACJ47</f>
        <v>0</v>
      </c>
      <c r="ACL47" s="20" t="n">
        <f aca="false">ACK47</f>
        <v>0</v>
      </c>
      <c r="ACM47" s="20" t="n">
        <f aca="false">ACL47</f>
        <v>0</v>
      </c>
      <c r="ACN47" s="20" t="n">
        <f aca="false">ACM47</f>
        <v>0</v>
      </c>
      <c r="ACO47" s="20" t="n">
        <f aca="false">ACN47</f>
        <v>0</v>
      </c>
      <c r="ACP47" s="20" t="n">
        <f aca="false">ACO47</f>
        <v>0</v>
      </c>
      <c r="ACQ47" s="20" t="n">
        <f aca="false">ACP47</f>
        <v>0</v>
      </c>
      <c r="ACR47" s="20" t="n">
        <f aca="false">ACQ47</f>
        <v>0</v>
      </c>
      <c r="ACS47" s="20" t="n">
        <f aca="false">ACR47</f>
        <v>0</v>
      </c>
      <c r="ACT47" s="20" t="n">
        <f aca="false">ACS47</f>
        <v>0</v>
      </c>
      <c r="ACU47" s="20" t="n">
        <f aca="false">ACT47</f>
        <v>0</v>
      </c>
      <c r="ACV47" s="20" t="n">
        <f aca="false">ACU47</f>
        <v>0</v>
      </c>
      <c r="ACW47" s="20" t="n">
        <f aca="false">ACV47</f>
        <v>0</v>
      </c>
      <c r="ACX47" s="20" t="n">
        <f aca="false">ACW47</f>
        <v>0</v>
      </c>
      <c r="ACY47" s="20" t="n">
        <f aca="false">ACX47</f>
        <v>0</v>
      </c>
      <c r="ACZ47" s="20" t="n">
        <f aca="false">ACY47</f>
        <v>0</v>
      </c>
      <c r="ADA47" s="20" t="n">
        <f aca="false">ACZ47</f>
        <v>0</v>
      </c>
      <c r="ADB47" s="20" t="n">
        <f aca="false">ADA47</f>
        <v>0</v>
      </c>
      <c r="ADC47" s="20" t="n">
        <f aca="false">ADB47</f>
        <v>0</v>
      </c>
      <c r="ADD47" s="20" t="n">
        <f aca="false">ADC47</f>
        <v>0</v>
      </c>
      <c r="ADE47" s="20" t="n">
        <f aca="false">ADD47</f>
        <v>0</v>
      </c>
      <c r="ADF47" s="20" t="n">
        <f aca="false">ADE47</f>
        <v>0</v>
      </c>
      <c r="ADG47" s="20" t="n">
        <f aca="false">ADF47</f>
        <v>0</v>
      </c>
      <c r="ADH47" s="20" t="n">
        <f aca="false">ADG47</f>
        <v>0</v>
      </c>
      <c r="ADI47" s="20" t="n">
        <f aca="false">ADH47</f>
        <v>0</v>
      </c>
      <c r="ADJ47" s="20" t="n">
        <f aca="false">ADI47</f>
        <v>0</v>
      </c>
      <c r="ADK47" s="20" t="n">
        <f aca="false">ADJ47</f>
        <v>0</v>
      </c>
      <c r="ADL47" s="20" t="n">
        <f aca="false">ADK47</f>
        <v>0</v>
      </c>
      <c r="ADM47" s="20" t="n">
        <f aca="false">ADL47</f>
        <v>0</v>
      </c>
      <c r="ADN47" s="20" t="n">
        <f aca="false">ADM47</f>
        <v>0</v>
      </c>
      <c r="ADO47" s="20" t="n">
        <f aca="false">ADN47</f>
        <v>0</v>
      </c>
      <c r="ADP47" s="20" t="n">
        <f aca="false">ADO47</f>
        <v>0</v>
      </c>
      <c r="ADQ47" s="20" t="n">
        <f aca="false">ADP47</f>
        <v>0</v>
      </c>
      <c r="ADR47" s="20" t="n">
        <f aca="false">(AKR46-TE47+0)*(1+BQ47)</f>
        <v>0</v>
      </c>
      <c r="ADS47" s="20" t="n">
        <f aca="false">(AKS46-TF47+0)*(1+BQ47)</f>
        <v>0</v>
      </c>
      <c r="ADT47" s="20" t="n">
        <f aca="false">(AKT46-TG47+0)*(1+BQ47)</f>
        <v>0</v>
      </c>
      <c r="ADU47" s="20" t="n">
        <f aca="false">(AKU46-TH47+0)*(1+BQ47)</f>
        <v>0</v>
      </c>
      <c r="ADV47" s="20" t="n">
        <f aca="false">(AKV46-TI47+0)*(1+BQ47)</f>
        <v>0</v>
      </c>
      <c r="ADW47" s="20" t="n">
        <f aca="false">(AKW46-TJ47+0)*(1+BQ47)</f>
        <v>0</v>
      </c>
      <c r="ADX47" s="20" t="n">
        <f aca="false">(AKX46-TK47+0)*(1+BQ47)</f>
        <v>0</v>
      </c>
      <c r="ADY47" s="20" t="n">
        <f aca="false">(AKY46-TL47+0)*(1+BQ47)</f>
        <v>0</v>
      </c>
      <c r="ADZ47" s="20" t="n">
        <f aca="false">(AKZ46-TM47+0)*(1+BQ47)</f>
        <v>0</v>
      </c>
      <c r="AEA47" s="20" t="n">
        <f aca="false">(ALA46-TN47+0)*(1+BQ47)</f>
        <v>0</v>
      </c>
      <c r="AEB47" s="20" t="n">
        <f aca="false">(ALB46-TO47+0)*(1+BQ47)</f>
        <v>0</v>
      </c>
      <c r="AEC47" s="20" t="n">
        <f aca="false">(ALC46-TP47+0)*(1+BQ47)</f>
        <v>0</v>
      </c>
      <c r="AED47" s="20" t="n">
        <f aca="false">(ALD46-TQ47+0)*(1+BQ47)</f>
        <v>0</v>
      </c>
      <c r="AEE47" s="20" t="n">
        <f aca="false">(ALE46-TR47+0)*(1+BQ47)</f>
        <v>0</v>
      </c>
      <c r="AEF47" s="20" t="n">
        <f aca="false">(ALF46-TS47+0)*(1+BQ47)</f>
        <v>0</v>
      </c>
      <c r="AEG47" s="20" t="n">
        <f aca="false">(ALG46-TT47+0)*(1+BQ47)</f>
        <v>0</v>
      </c>
      <c r="AEH47" s="20" t="n">
        <f aca="false">(ALH46-TU47+0)*(1+BQ47)</f>
        <v>0</v>
      </c>
      <c r="AEI47" s="20" t="n">
        <f aca="false">(ALI46-TV47+0)*(1+BQ47)</f>
        <v>0</v>
      </c>
      <c r="AEJ47" s="20" t="n">
        <f aca="false">(ALJ46-TW47+0)*(1+BQ47)</f>
        <v>0</v>
      </c>
      <c r="AEK47" s="20" t="n">
        <f aca="false">(ALK46-TX47+0)*(1+BQ47)</f>
        <v>0</v>
      </c>
      <c r="AEL47" s="20" t="n">
        <f aca="false">(ALL46-TY47+0)*(1+BQ47)</f>
        <v>0</v>
      </c>
      <c r="AEM47" s="20" t="n">
        <f aca="false">(ALM46-TZ47+0)*(1+BQ47)</f>
        <v>0</v>
      </c>
      <c r="AEN47" s="20" t="n">
        <f aca="false">(ALN46-UA47+0)*(1+BQ47)</f>
        <v>0</v>
      </c>
      <c r="AEO47" s="20" t="n">
        <f aca="false">(ALO46-UB47+0)*(1+BQ47)</f>
        <v>0</v>
      </c>
      <c r="AEP47" s="20" t="n">
        <f aca="false">(ALP46-UC47+0)*(1+BQ47)</f>
        <v>0</v>
      </c>
      <c r="AEQ47" s="20" t="n">
        <f aca="false">(ALQ46-UD47+0)*(1+BQ47)</f>
        <v>0</v>
      </c>
      <c r="AER47" s="20" t="n">
        <f aca="false">(ALR46-UE47+0)*(1+BQ47)</f>
        <v>0</v>
      </c>
      <c r="AES47" s="20" t="n">
        <f aca="false">(ALS46-UF47+0)*(1+BQ47)</f>
        <v>0</v>
      </c>
      <c r="AET47" s="20" t="n">
        <f aca="false">(ALT46-UG47+0)*(1+BQ47)</f>
        <v>0</v>
      </c>
      <c r="AEU47" s="20" t="n">
        <f aca="false">(ALU46-UH47+0)*(1+BQ47)</f>
        <v>0</v>
      </c>
      <c r="AEV47" s="20" t="n">
        <f aca="false">(ALV46-UI47+0)*(1+BQ47)</f>
        <v>0</v>
      </c>
      <c r="AEW47" s="20" t="n">
        <f aca="false">(ALW46-UJ47+0)*(1+BQ47)</f>
        <v>0</v>
      </c>
      <c r="AEX47" s="20" t="n">
        <f aca="false">(ALX46-UK47+0)*(1+BQ47)</f>
        <v>0</v>
      </c>
      <c r="AEY47" s="20" t="n">
        <f aca="false">(ALY46-UL47+0)*(1+BQ47)</f>
        <v>0</v>
      </c>
      <c r="AEZ47" s="20" t="n">
        <f aca="false">(ALZ46-UM47+0)*(1+BQ47)</f>
        <v>0</v>
      </c>
      <c r="AFA47" s="20" t="n">
        <f aca="false">(AMA46-UN47+0)*(1+BQ47)</f>
        <v>0</v>
      </c>
      <c r="AFB47" s="20" t="n">
        <f aca="false">(AMB46-UO47+0)*(1+BQ47)</f>
        <v>0</v>
      </c>
      <c r="AFC47" s="20" t="n">
        <f aca="false">(AMC46-UP47+0)*(1+BQ47)</f>
        <v>0</v>
      </c>
      <c r="AFD47" s="20" t="n">
        <f aca="false">(AMD46-UQ47+0)*(1+BQ47)</f>
        <v>0</v>
      </c>
      <c r="AFE47" s="20" t="n">
        <f aca="false">(AME46-UR47+0)*(1+BQ47)</f>
        <v>0</v>
      </c>
      <c r="AFF47" s="20" t="n">
        <f aca="false">((P47+S47)-US47+BE47)*(1+BQ47)</f>
        <v>0</v>
      </c>
      <c r="AFG47" s="20" t="n">
        <v>0</v>
      </c>
      <c r="AFH47" s="20" t="n">
        <v>0</v>
      </c>
      <c r="AFI47" s="20" t="n">
        <v>0</v>
      </c>
      <c r="AFJ47" s="20" t="n">
        <v>0</v>
      </c>
      <c r="AFK47" s="20" t="n">
        <v>0</v>
      </c>
      <c r="AFL47" s="20" t="n">
        <v>0</v>
      </c>
      <c r="AFM47" s="20" t="n">
        <v>0</v>
      </c>
      <c r="AFN47" s="20" t="n">
        <v>0</v>
      </c>
      <c r="AFO47" s="20" t="n">
        <v>0</v>
      </c>
      <c r="AFP47" s="20" t="n">
        <v>0</v>
      </c>
      <c r="AFQ47" s="20" t="n">
        <v>0</v>
      </c>
      <c r="AFR47" s="20" t="n">
        <v>0</v>
      </c>
      <c r="AFS47" s="20" t="n">
        <v>0</v>
      </c>
      <c r="AFT47" s="20" t="n">
        <v>0</v>
      </c>
      <c r="AFU47" s="20" t="n">
        <v>0</v>
      </c>
      <c r="AFV47" s="20" t="n">
        <v>0</v>
      </c>
      <c r="AFW47" s="20" t="n">
        <v>0</v>
      </c>
      <c r="AFX47" s="20" t="n">
        <v>0</v>
      </c>
      <c r="AFY47" s="20" t="n">
        <v>0</v>
      </c>
      <c r="AFZ47" s="20" t="n">
        <v>0</v>
      </c>
      <c r="AGA47" s="20" t="n">
        <v>0</v>
      </c>
      <c r="AGB47" s="20" t="n">
        <v>0</v>
      </c>
      <c r="AGC47" s="20" t="n">
        <v>0</v>
      </c>
      <c r="AGD47" s="20" t="n">
        <v>0</v>
      </c>
      <c r="AGE47" s="20" t="n">
        <v>0</v>
      </c>
      <c r="AGF47" s="20" t="n">
        <v>0</v>
      </c>
      <c r="AGG47" s="20" t="n">
        <v>0</v>
      </c>
      <c r="AGH47" s="20" t="n">
        <v>0</v>
      </c>
      <c r="AGI47" s="20" t="n">
        <v>0</v>
      </c>
      <c r="AGJ47" s="20" t="n">
        <v>0</v>
      </c>
      <c r="AGK47" s="20" t="n">
        <v>0</v>
      </c>
      <c r="AGL47" s="20" t="n">
        <v>0</v>
      </c>
      <c r="AGM47" s="20" t="n">
        <v>0</v>
      </c>
      <c r="AGN47" s="20" t="n">
        <v>0</v>
      </c>
      <c r="AGO47" s="20" t="n">
        <v>0</v>
      </c>
      <c r="AGP47" s="20" t="n">
        <v>0</v>
      </c>
      <c r="AGQ47" s="20" t="n">
        <v>0</v>
      </c>
      <c r="AGR47" s="20" t="n">
        <v>0</v>
      </c>
      <c r="AGS47" s="20" t="n">
        <v>0</v>
      </c>
      <c r="AGT47" s="20" t="n">
        <v>0</v>
      </c>
      <c r="AGU47" s="20" t="n">
        <v>0</v>
      </c>
      <c r="AGV47" s="20" t="n">
        <v>0</v>
      </c>
      <c r="AGW47" s="20" t="n">
        <v>0</v>
      </c>
      <c r="AGX47" s="20" t="n">
        <v>0</v>
      </c>
      <c r="AGY47" s="20" t="n">
        <v>0</v>
      </c>
      <c r="AGZ47" s="20" t="n">
        <v>0</v>
      </c>
      <c r="AHA47" s="20" t="n">
        <v>0</v>
      </c>
      <c r="AHB47" s="20" t="n">
        <v>0</v>
      </c>
      <c r="AHC47" s="20" t="n">
        <v>0</v>
      </c>
      <c r="AHD47" s="20" t="n">
        <v>0</v>
      </c>
      <c r="AHE47" s="20" t="n">
        <f aca="false">IF(AKR46&gt;0,AOE46-AOE46*TE47/AKR46,0)+0</f>
        <v>0</v>
      </c>
      <c r="AHF47" s="20" t="n">
        <f aca="false">IF(AKS46&gt;0,AOF46-AOF46*TF47/AKS46,0)+0</f>
        <v>0</v>
      </c>
      <c r="AHG47" s="20" t="n">
        <f aca="false">IF(AKT46&gt;0,AOG46-AOG46*TG47/AKT46,0)+0</f>
        <v>0</v>
      </c>
      <c r="AHH47" s="20" t="n">
        <f aca="false">IF(AKU46&gt;0,AOH46-AOH46*TH47/AKU46,0)+0</f>
        <v>0</v>
      </c>
      <c r="AHI47" s="20" t="n">
        <f aca="false">IF(AKV46&gt;0,AOI46-AOI46*TI47/AKV46,0)+0</f>
        <v>0</v>
      </c>
      <c r="AHJ47" s="20" t="n">
        <f aca="false">IF(AKW46&gt;0,AOJ46-AOJ46*TJ47/AKW46,0)+0</f>
        <v>0</v>
      </c>
      <c r="AHK47" s="20" t="n">
        <f aca="false">IF(AKX46&gt;0,AOK46-AOK46*TK47/AKX46,0)+0</f>
        <v>0</v>
      </c>
      <c r="AHL47" s="20" t="n">
        <f aca="false">IF(AKY46&gt;0,AOL46-AOL46*TL47/AKY46,0)+0</f>
        <v>0</v>
      </c>
      <c r="AHM47" s="20" t="n">
        <f aca="false">IF(AKZ46&gt;0,AOM46-AOM46*TM47/AKZ46,0)+0</f>
        <v>0</v>
      </c>
      <c r="AHN47" s="20" t="n">
        <f aca="false">IF(ALA46&gt;0,AON46-AON46*TN47/ALA46,0)+0</f>
        <v>0</v>
      </c>
      <c r="AHO47" s="20" t="n">
        <f aca="false">IF(ALB46&gt;0,AOO46-AOO46*TO47/ALB46,0)+0</f>
        <v>0</v>
      </c>
      <c r="AHP47" s="20" t="n">
        <f aca="false">IF(ALC46&gt;0,AOP46-AOP46*TP47/ALC46,0)+0</f>
        <v>0</v>
      </c>
      <c r="AHQ47" s="20" t="n">
        <f aca="false">IF(ALD46&gt;0,AOQ46-AOQ46*TQ47/ALD46,0)+0</f>
        <v>0</v>
      </c>
      <c r="AHR47" s="20" t="n">
        <f aca="false">IF(ALE46&gt;0,AOR46-AOR46*TR47/ALE46,0)+0</f>
        <v>0</v>
      </c>
      <c r="AHS47" s="20" t="n">
        <f aca="false">IF(ALF46&gt;0,AOS46-AOS46*TS47/ALF46,0)+0</f>
        <v>0</v>
      </c>
      <c r="AHT47" s="20" t="n">
        <f aca="false">IF(ALG46&gt;0,AOT46-AOT46*TT47/ALG46,0)+0</f>
        <v>0</v>
      </c>
      <c r="AHU47" s="20" t="n">
        <f aca="false">IF(ALH46&gt;0,AOU46-AOU46*TU47/ALH46,0)+0</f>
        <v>0</v>
      </c>
      <c r="AHV47" s="20" t="n">
        <f aca="false">IF(ALI46&gt;0,AOV46-AOV46*TV47/ALI46,0)+0</f>
        <v>0</v>
      </c>
      <c r="AHW47" s="20" t="n">
        <f aca="false">IF(ALJ46&gt;0,AOW46-AOW46*TW47/ALJ46,0)+0</f>
        <v>0</v>
      </c>
      <c r="AHX47" s="20" t="n">
        <f aca="false">IF(ALK46&gt;0,AOX46-AOX46*TX47/ALK46,0)+0</f>
        <v>0</v>
      </c>
      <c r="AHY47" s="20" t="n">
        <f aca="false">IF(ALL46&gt;0,AOY46-AOY46*TY47/ALL46,0)+0</f>
        <v>0</v>
      </c>
      <c r="AHZ47" s="20" t="n">
        <f aca="false">IF(ALM46&gt;0,AOZ46-AOZ46*TZ47/ALM46,0)+0</f>
        <v>0</v>
      </c>
      <c r="AIA47" s="20" t="n">
        <f aca="false">IF(ALN46&gt;0,APA46-APA46*UA47/ALN46,0)+0</f>
        <v>0</v>
      </c>
      <c r="AIB47" s="20" t="n">
        <f aca="false">IF(ALO46&gt;0,APB46-APB46*UB47/ALO46,0)+0</f>
        <v>0</v>
      </c>
      <c r="AIC47" s="20" t="n">
        <f aca="false">IF(ALP46&gt;0,APC46-APC46*UC47/ALP46,0)+0</f>
        <v>0</v>
      </c>
      <c r="AID47" s="20" t="n">
        <f aca="false">IF(ALQ46&gt;0,APD46-APD46*UD47/ALQ46,0)+0</f>
        <v>0</v>
      </c>
      <c r="AIE47" s="20" t="n">
        <f aca="false">IF(ALR46&gt;0,APE46-APE46*UE47/ALR46,0)+0</f>
        <v>0</v>
      </c>
      <c r="AIF47" s="20" t="n">
        <f aca="false">IF(ALS46&gt;0,APF46-APF46*UF47/ALS46,0)+0</f>
        <v>0</v>
      </c>
      <c r="AIG47" s="20" t="n">
        <f aca="false">IF(ALT46&gt;0,APG46-APG46*UG47/ALT46,0)+0</f>
        <v>0</v>
      </c>
      <c r="AIH47" s="20" t="n">
        <f aca="false">IF(ALU46&gt;0,APH46-APH46*UH47/ALU46,0)+0</f>
        <v>0</v>
      </c>
      <c r="AII47" s="20" t="n">
        <f aca="false">IF(ALV46&gt;0,API46-API46*UI47/ALV46,0)+0</f>
        <v>0</v>
      </c>
      <c r="AIJ47" s="20" t="n">
        <f aca="false">IF(ALW46&gt;0,APJ46-APJ46*UJ47/ALW46,0)+0</f>
        <v>0</v>
      </c>
      <c r="AIK47" s="20" t="n">
        <f aca="false">IF(ALX46&gt;0,APK46-APK46*UK47/ALX46,0)+0</f>
        <v>0</v>
      </c>
      <c r="AIL47" s="20" t="n">
        <f aca="false">IF(ALY46&gt;0,APL46-APL46*UL47/ALY46,0)+0</f>
        <v>0</v>
      </c>
      <c r="AIM47" s="20" t="n">
        <f aca="false">IF(ALZ46&gt;0,APM46-APM46*UM47/ALZ46,0)+0</f>
        <v>0</v>
      </c>
      <c r="AIN47" s="20" t="n">
        <f aca="false">IF(AMA46&gt;0,APN46-APN46*UN47/AMA46,0)+0</f>
        <v>0</v>
      </c>
      <c r="AIO47" s="20" t="n">
        <f aca="false">IF(AMB46&gt;0,APO46-APO46*UO47/AMB46,0)+0</f>
        <v>0</v>
      </c>
      <c r="AIP47" s="20" t="n">
        <f aca="false">IF(AMC46&gt;0,APP46-APP46*UP47/AMC46,0)+0</f>
        <v>0</v>
      </c>
      <c r="AIQ47" s="20" t="n">
        <f aca="false">IF(AMD46&gt;0,APQ46-APQ46*UQ47/AMD46,0)+0</f>
        <v>0</v>
      </c>
      <c r="AIR47" s="20" t="n">
        <f aca="false">IF(AME46&gt;0,APR46-APR46*UR47/AME46,0)+0</f>
        <v>0</v>
      </c>
      <c r="AIS47" s="20" t="n">
        <f aca="false">IF((P47+S47)&gt;0,(P47+S47)-(P47+S47)*US47/(P47+S47),0)+BE47</f>
        <v>0</v>
      </c>
      <c r="AIT47" s="20" t="n">
        <v>0</v>
      </c>
      <c r="AIU47" s="20" t="n">
        <v>0</v>
      </c>
      <c r="AIV47" s="20" t="n">
        <v>0</v>
      </c>
      <c r="AIW47" s="20" t="n">
        <v>0</v>
      </c>
      <c r="AIX47" s="20" t="n">
        <v>0</v>
      </c>
      <c r="AIY47" s="20" t="n">
        <v>0</v>
      </c>
      <c r="AIZ47" s="20" t="n">
        <v>0</v>
      </c>
      <c r="AJA47" s="20" t="n">
        <v>0</v>
      </c>
      <c r="AJB47" s="20" t="n">
        <v>0</v>
      </c>
      <c r="AJC47" s="20" t="n">
        <v>0</v>
      </c>
      <c r="AJD47" s="20" t="n">
        <v>0</v>
      </c>
      <c r="AJE47" s="20" t="n">
        <v>0</v>
      </c>
      <c r="AJF47" s="20" t="n">
        <v>0</v>
      </c>
      <c r="AJG47" s="20" t="n">
        <v>0</v>
      </c>
      <c r="AJH47" s="20" t="n">
        <v>0</v>
      </c>
      <c r="AJI47" s="20" t="n">
        <v>0</v>
      </c>
      <c r="AJJ47" s="20" t="n">
        <v>0</v>
      </c>
      <c r="AJK47" s="20" t="n">
        <v>0</v>
      </c>
      <c r="AJL47" s="20" t="n">
        <v>0</v>
      </c>
      <c r="AJM47" s="20" t="n">
        <v>0</v>
      </c>
      <c r="AJN47" s="20" t="n">
        <v>0</v>
      </c>
      <c r="AJO47" s="20" t="n">
        <v>0</v>
      </c>
      <c r="AJP47" s="20" t="n">
        <v>0</v>
      </c>
      <c r="AJQ47" s="20" t="n">
        <v>0</v>
      </c>
      <c r="AJR47" s="20" t="n">
        <v>0</v>
      </c>
      <c r="AJS47" s="20" t="n">
        <v>0</v>
      </c>
      <c r="AJT47" s="20" t="n">
        <v>0</v>
      </c>
      <c r="AJU47" s="20" t="n">
        <v>0</v>
      </c>
      <c r="AJV47" s="20" t="n">
        <v>0</v>
      </c>
      <c r="AJW47" s="20" t="n">
        <v>0</v>
      </c>
      <c r="AJX47" s="20" t="n">
        <v>0</v>
      </c>
      <c r="AJY47" s="20" t="n">
        <v>0</v>
      </c>
      <c r="AJZ47" s="20" t="n">
        <v>0</v>
      </c>
      <c r="AKA47" s="20" t="n">
        <v>0</v>
      </c>
      <c r="AKB47" s="20" t="n">
        <v>0</v>
      </c>
      <c r="AKC47" s="20" t="n">
        <v>0</v>
      </c>
      <c r="AKD47" s="20" t="n">
        <v>0</v>
      </c>
      <c r="AKE47" s="20" t="n">
        <v>0</v>
      </c>
      <c r="AKF47" s="20" t="n">
        <v>0</v>
      </c>
      <c r="AKG47" s="20" t="n">
        <v>0</v>
      </c>
      <c r="AKH47" s="20" t="n">
        <v>0</v>
      </c>
      <c r="AKI47" s="20" t="n">
        <v>0</v>
      </c>
      <c r="AKJ47" s="20" t="n">
        <v>0</v>
      </c>
      <c r="AKK47" s="20" t="n">
        <v>0</v>
      </c>
      <c r="AKL47" s="20" t="n">
        <v>0</v>
      </c>
      <c r="AKM47" s="20" t="n">
        <v>0</v>
      </c>
      <c r="AKN47" s="20" t="n">
        <v>0</v>
      </c>
      <c r="AKO47" s="20" t="n">
        <v>0</v>
      </c>
      <c r="AKP47" s="20" t="n">
        <v>0</v>
      </c>
      <c r="AKQ47" s="20" t="n">
        <v>0</v>
      </c>
      <c r="AKR47" s="20" t="n">
        <f aca="false">ADR47-AVE47</f>
        <v>0</v>
      </c>
      <c r="AKS47" s="20" t="n">
        <f aca="false">ADS47-AVF47</f>
        <v>0</v>
      </c>
      <c r="AKT47" s="20" t="n">
        <f aca="false">ADT47-AVG47</f>
        <v>0</v>
      </c>
      <c r="AKU47" s="20" t="n">
        <f aca="false">ADU47-AVH47</f>
        <v>0</v>
      </c>
      <c r="AKV47" s="20" t="n">
        <f aca="false">ADV47-AVI47</f>
        <v>0</v>
      </c>
      <c r="AKW47" s="20" t="n">
        <f aca="false">ADW47-AVJ47</f>
        <v>0</v>
      </c>
      <c r="AKX47" s="20" t="n">
        <f aca="false">ADX47-AVK47</f>
        <v>0</v>
      </c>
      <c r="AKY47" s="20" t="n">
        <f aca="false">ADY47-AVL47</f>
        <v>0</v>
      </c>
      <c r="AKZ47" s="20" t="n">
        <f aca="false">ADZ47-AVM47</f>
        <v>0</v>
      </c>
      <c r="ALA47" s="20" t="n">
        <f aca="false">AEA47-AVN47</f>
        <v>0</v>
      </c>
      <c r="ALB47" s="20" t="n">
        <f aca="false">AEB47-AVO47</f>
        <v>0</v>
      </c>
      <c r="ALC47" s="20" t="n">
        <f aca="false">AEC47-AVP47</f>
        <v>0</v>
      </c>
      <c r="ALD47" s="20" t="n">
        <f aca="false">AED47-AVQ47</f>
        <v>0</v>
      </c>
      <c r="ALE47" s="20" t="n">
        <f aca="false">AEE47-AVR47</f>
        <v>0</v>
      </c>
      <c r="ALF47" s="20" t="n">
        <f aca="false">AEF47-AVS47</f>
        <v>0</v>
      </c>
      <c r="ALG47" s="20" t="n">
        <f aca="false">AEG47-AVT47</f>
        <v>0</v>
      </c>
      <c r="ALH47" s="20" t="n">
        <f aca="false">AEH47-AVU47</f>
        <v>0</v>
      </c>
      <c r="ALI47" s="20" t="n">
        <f aca="false">AEI47-AVV47</f>
        <v>0</v>
      </c>
      <c r="ALJ47" s="20" t="n">
        <f aca="false">AEJ47-AVW47</f>
        <v>0</v>
      </c>
      <c r="ALK47" s="20" t="n">
        <f aca="false">AEK47-AVX47</f>
        <v>0</v>
      </c>
      <c r="ALL47" s="20" t="n">
        <f aca="false">AEL47-AVY47</f>
        <v>0</v>
      </c>
      <c r="ALM47" s="20" t="n">
        <f aca="false">AEM47-AVZ47</f>
        <v>0</v>
      </c>
      <c r="ALN47" s="20" t="n">
        <f aca="false">AEN47-AWA47</f>
        <v>0</v>
      </c>
      <c r="ALO47" s="20" t="n">
        <f aca="false">AEO47-AWB47</f>
        <v>0</v>
      </c>
      <c r="ALP47" s="20" t="n">
        <f aca="false">AEP47-AWC47</f>
        <v>0</v>
      </c>
      <c r="ALQ47" s="20" t="n">
        <f aca="false">AEQ47-AWD47</f>
        <v>0</v>
      </c>
      <c r="ALR47" s="20" t="n">
        <f aca="false">AER47-AWE47</f>
        <v>0</v>
      </c>
      <c r="ALS47" s="20" t="n">
        <f aca="false">AES47-AWF47</f>
        <v>0</v>
      </c>
      <c r="ALT47" s="20" t="n">
        <f aca="false">AET47-AWG47</f>
        <v>0</v>
      </c>
      <c r="ALU47" s="20" t="n">
        <f aca="false">AEU47-AWH47</f>
        <v>0</v>
      </c>
      <c r="ALV47" s="20" t="n">
        <f aca="false">AEV47-AWI47</f>
        <v>0</v>
      </c>
      <c r="ALW47" s="20" t="n">
        <f aca="false">AEW47-AWJ47</f>
        <v>0</v>
      </c>
      <c r="ALX47" s="20" t="n">
        <f aca="false">AEX47-AWK47</f>
        <v>0</v>
      </c>
      <c r="ALY47" s="20" t="n">
        <f aca="false">AEY47-AWL47</f>
        <v>0</v>
      </c>
      <c r="ALZ47" s="20" t="n">
        <f aca="false">AEZ47-AWM47</f>
        <v>0</v>
      </c>
      <c r="AMA47" s="20" t="n">
        <f aca="false">AFA47-AWN47</f>
        <v>0</v>
      </c>
      <c r="AMB47" s="20" t="n">
        <f aca="false">AFB47-AWO47</f>
        <v>0</v>
      </c>
      <c r="AMC47" s="20" t="n">
        <f aca="false">AFC47-AWP47</f>
        <v>0</v>
      </c>
      <c r="AMD47" s="20" t="n">
        <f aca="false">AFD47-AWQ47</f>
        <v>0</v>
      </c>
      <c r="AME47" s="20" t="n">
        <f aca="false">AFE47-AWR47</f>
        <v>0</v>
      </c>
      <c r="AMF47" s="20" t="n">
        <f aca="false">AFF47-AWS47</f>
        <v>0</v>
      </c>
      <c r="AMG47" s="20" t="n">
        <v>0</v>
      </c>
      <c r="AMH47" s="20" t="n">
        <v>0</v>
      </c>
      <c r="AMI47" s="20" t="n">
        <v>0</v>
      </c>
      <c r="AMJ47" s="20" t="n">
        <v>0</v>
      </c>
      <c r="AMK47" s="20" t="n">
        <v>0</v>
      </c>
      <c r="AML47" s="20" t="n">
        <v>0</v>
      </c>
      <c r="AMM47" s="20" t="n">
        <v>0</v>
      </c>
      <c r="AMN47" s="20" t="n">
        <v>0</v>
      </c>
      <c r="AMO47" s="20" t="n">
        <v>0</v>
      </c>
      <c r="AMP47" s="20" t="n">
        <v>0</v>
      </c>
      <c r="AMQ47" s="20" t="n">
        <v>0</v>
      </c>
      <c r="AMR47" s="20" t="n">
        <v>0</v>
      </c>
      <c r="AMS47" s="20" t="n">
        <v>0</v>
      </c>
      <c r="AMT47" s="20" t="n">
        <v>0</v>
      </c>
      <c r="AMU47" s="20" t="n">
        <v>0</v>
      </c>
      <c r="AMV47" s="20" t="n">
        <v>0</v>
      </c>
      <c r="AMW47" s="20" t="n">
        <v>0</v>
      </c>
      <c r="AMX47" s="20" t="n">
        <v>0</v>
      </c>
      <c r="AMY47" s="20" t="n">
        <v>0</v>
      </c>
      <c r="AMZ47" s="20" t="n">
        <v>0</v>
      </c>
      <c r="ANA47" s="20" t="n">
        <v>0</v>
      </c>
      <c r="ANB47" s="20" t="n">
        <v>0</v>
      </c>
      <c r="ANC47" s="20" t="n">
        <v>0</v>
      </c>
      <c r="AND47" s="20" t="n">
        <v>0</v>
      </c>
      <c r="ANE47" s="20" t="n">
        <v>0</v>
      </c>
      <c r="ANF47" s="20" t="n">
        <v>0</v>
      </c>
      <c r="ANG47" s="20" t="n">
        <v>0</v>
      </c>
      <c r="ANH47" s="20" t="n">
        <v>0</v>
      </c>
      <c r="ANI47" s="20" t="n">
        <v>0</v>
      </c>
      <c r="ANJ47" s="20" t="n">
        <v>0</v>
      </c>
      <c r="ANK47" s="20" t="n">
        <v>0</v>
      </c>
      <c r="ANL47" s="20" t="n">
        <v>0</v>
      </c>
      <c r="ANM47" s="20" t="n">
        <v>0</v>
      </c>
      <c r="ANN47" s="20" t="n">
        <v>0</v>
      </c>
      <c r="ANO47" s="20" t="n">
        <v>0</v>
      </c>
      <c r="ANP47" s="20" t="n">
        <v>0</v>
      </c>
      <c r="ANQ47" s="20" t="n">
        <v>0</v>
      </c>
      <c r="ANR47" s="20" t="n">
        <v>0</v>
      </c>
      <c r="ANS47" s="20" t="n">
        <v>0</v>
      </c>
      <c r="ANT47" s="20" t="n">
        <v>0</v>
      </c>
      <c r="ANU47" s="20" t="n">
        <v>0</v>
      </c>
      <c r="ANV47" s="20" t="n">
        <v>0</v>
      </c>
      <c r="ANW47" s="20" t="n">
        <v>0</v>
      </c>
      <c r="ANX47" s="20" t="n">
        <v>0</v>
      </c>
      <c r="ANY47" s="20" t="n">
        <v>0</v>
      </c>
      <c r="ANZ47" s="20" t="n">
        <v>0</v>
      </c>
      <c r="AOA47" s="20" t="n">
        <v>0</v>
      </c>
      <c r="AOB47" s="20" t="n">
        <v>0</v>
      </c>
      <c r="AOC47" s="20" t="n">
        <v>0</v>
      </c>
      <c r="AOD47" s="20" t="n">
        <v>0</v>
      </c>
      <c r="AOE47" s="20" t="n">
        <f aca="false">IF(AND(H_Direct=0,H_TaxEvt=1,ARR46+1&gt;=H_Deemed),AKR47,AHE47)</f>
        <v>0</v>
      </c>
      <c r="AOF47" s="20" t="n">
        <f aca="false">IF(AND(H_Direct=0,H_TaxEvt=1,ARS46+1&gt;=H_Deemed),AKS47,AHF47)</f>
        <v>0</v>
      </c>
      <c r="AOG47" s="20" t="n">
        <f aca="false">IF(AND(H_Direct=0,H_TaxEvt=1,ART46+1&gt;=H_Deemed),AKT47,AHG47)</f>
        <v>0</v>
      </c>
      <c r="AOH47" s="20" t="n">
        <f aca="false">IF(AND(H_Direct=0,H_TaxEvt=1,ARU46+1&gt;=H_Deemed),AKU47,AHH47)</f>
        <v>0</v>
      </c>
      <c r="AOI47" s="20" t="n">
        <f aca="false">IF(AND(H_Direct=0,H_TaxEvt=1,ARV46+1&gt;=H_Deemed),AKV47,AHI47)</f>
        <v>0</v>
      </c>
      <c r="AOJ47" s="20" t="n">
        <f aca="false">IF(AND(H_Direct=0,H_TaxEvt=1,ARW46+1&gt;=H_Deemed),AKW47,AHJ47)</f>
        <v>0</v>
      </c>
      <c r="AOK47" s="20" t="n">
        <f aca="false">IF(AND(H_Direct=0,H_TaxEvt=1,ARX46+1&gt;=H_Deemed),AKX47,AHK47)</f>
        <v>0</v>
      </c>
      <c r="AOL47" s="20" t="n">
        <f aca="false">IF(AND(H_Direct=0,H_TaxEvt=1,ARY46+1&gt;=H_Deemed),AKY47,AHL47)</f>
        <v>0</v>
      </c>
      <c r="AOM47" s="20" t="n">
        <f aca="false">IF(AND(H_Direct=0,H_TaxEvt=1,ARZ46+1&gt;=H_Deemed),AKZ47,AHM47)</f>
        <v>0</v>
      </c>
      <c r="AON47" s="20" t="n">
        <f aca="false">IF(AND(H_Direct=0,H_TaxEvt=1,ASA46+1&gt;=H_Deemed),ALA47,AHN47)</f>
        <v>0</v>
      </c>
      <c r="AOO47" s="20" t="n">
        <f aca="false">IF(AND(H_Direct=0,H_TaxEvt=1,ASB46+1&gt;=H_Deemed),ALB47,AHO47)</f>
        <v>0</v>
      </c>
      <c r="AOP47" s="20" t="n">
        <f aca="false">IF(AND(H_Direct=0,H_TaxEvt=1,ASC46+1&gt;=H_Deemed),ALC47,AHP47)</f>
        <v>0</v>
      </c>
      <c r="AOQ47" s="20" t="n">
        <f aca="false">IF(AND(H_Direct=0,H_TaxEvt=1,ASD46+1&gt;=H_Deemed),ALD47,AHQ47)</f>
        <v>0</v>
      </c>
      <c r="AOR47" s="20" t="n">
        <f aca="false">IF(AND(H_Direct=0,H_TaxEvt=1,ASE46+1&gt;=H_Deemed),ALE47,AHR47)</f>
        <v>0</v>
      </c>
      <c r="AOS47" s="20" t="n">
        <f aca="false">IF(AND(H_Direct=0,H_TaxEvt=1,ASF46+1&gt;=H_Deemed),ALF47,AHS47)</f>
        <v>0</v>
      </c>
      <c r="AOT47" s="20" t="n">
        <f aca="false">IF(AND(H_Direct=0,H_TaxEvt=1,ASG46+1&gt;=H_Deemed),ALG47,AHT47)</f>
        <v>0</v>
      </c>
      <c r="AOU47" s="20" t="n">
        <f aca="false">IF(AND(H_Direct=0,H_TaxEvt=1,ASH46+1&gt;=H_Deemed),ALH47,AHU47)</f>
        <v>0</v>
      </c>
      <c r="AOV47" s="20" t="n">
        <f aca="false">IF(AND(H_Direct=0,H_TaxEvt=1,ASI46+1&gt;=H_Deemed),ALI47,AHV47)</f>
        <v>0</v>
      </c>
      <c r="AOW47" s="20" t="n">
        <f aca="false">IF(AND(H_Direct=0,H_TaxEvt=1,ASJ46+1&gt;=H_Deemed),ALJ47,AHW47)</f>
        <v>0</v>
      </c>
      <c r="AOX47" s="20" t="n">
        <f aca="false">IF(AND(H_Direct=0,H_TaxEvt=1,ASK46+1&gt;=H_Deemed),ALK47,AHX47)</f>
        <v>0</v>
      </c>
      <c r="AOY47" s="20" t="n">
        <f aca="false">IF(AND(H_Direct=0,H_TaxEvt=1,ASL46+1&gt;=H_Deemed),ALL47,AHY47)</f>
        <v>0</v>
      </c>
      <c r="AOZ47" s="20" t="n">
        <f aca="false">IF(AND(H_Direct=0,H_TaxEvt=1,ASM46+1&gt;=H_Deemed),ALM47,AHZ47)</f>
        <v>0</v>
      </c>
      <c r="APA47" s="20" t="n">
        <f aca="false">IF(AND(H_Direct=0,H_TaxEvt=1,ASN46+1&gt;=H_Deemed),ALN47,AIA47)</f>
        <v>0</v>
      </c>
      <c r="APB47" s="20" t="n">
        <f aca="false">IF(AND(H_Direct=0,H_TaxEvt=1,ASO46+1&gt;=H_Deemed),ALO47,AIB47)</f>
        <v>0</v>
      </c>
      <c r="APC47" s="20" t="n">
        <f aca="false">IF(AND(H_Direct=0,H_TaxEvt=1,ASP46+1&gt;=H_Deemed),ALP47,AIC47)</f>
        <v>0</v>
      </c>
      <c r="APD47" s="20" t="n">
        <f aca="false">IF(AND(H_Direct=0,H_TaxEvt=1,ASQ46+1&gt;=H_Deemed),ALQ47,AID47)</f>
        <v>0</v>
      </c>
      <c r="APE47" s="20" t="n">
        <f aca="false">IF(AND(H_Direct=0,H_TaxEvt=1,ASR46+1&gt;=H_Deemed),ALR47,AIE47)</f>
        <v>0</v>
      </c>
      <c r="APF47" s="20" t="n">
        <f aca="false">IF(AND(H_Direct=0,H_TaxEvt=1,ASS46+1&gt;=H_Deemed),ALS47,AIF47)</f>
        <v>0</v>
      </c>
      <c r="APG47" s="20" t="n">
        <f aca="false">IF(AND(H_Direct=0,H_TaxEvt=1,AST46+1&gt;=H_Deemed),ALT47,AIG47)</f>
        <v>0</v>
      </c>
      <c r="APH47" s="20" t="n">
        <f aca="false">IF(AND(H_Direct=0,H_TaxEvt=1,ASU46+1&gt;=H_Deemed),ALU47,AIH47)</f>
        <v>0</v>
      </c>
      <c r="API47" s="20" t="n">
        <f aca="false">IF(AND(H_Direct=0,H_TaxEvt=1,ASV46+1&gt;=H_Deemed),ALV47,AII47)</f>
        <v>0</v>
      </c>
      <c r="APJ47" s="20" t="n">
        <f aca="false">IF(AND(H_Direct=0,H_TaxEvt=1,ASW46+1&gt;=H_Deemed),ALW47,AIJ47)</f>
        <v>0</v>
      </c>
      <c r="APK47" s="20" t="n">
        <f aca="false">IF(AND(H_Direct=0,H_TaxEvt=1,ASX46+1&gt;=H_Deemed),ALX47,AIK47)</f>
        <v>0</v>
      </c>
      <c r="APL47" s="20" t="n">
        <f aca="false">IF(AND(H_Direct=0,H_TaxEvt=1,ASY46+1&gt;=H_Deemed),ALY47,AIL47)</f>
        <v>0</v>
      </c>
      <c r="APM47" s="20" t="n">
        <f aca="false">IF(AND(H_Direct=0,H_TaxEvt=1,ASZ46+1&gt;=H_Deemed),ALZ47,AIM47)</f>
        <v>0</v>
      </c>
      <c r="APN47" s="20" t="n">
        <f aca="false">IF(AND(H_Direct=0,H_TaxEvt=1,ATA46+1&gt;=H_Deemed),AMA47,AIN47)</f>
        <v>0</v>
      </c>
      <c r="APO47" s="20" t="n">
        <f aca="false">IF(AND(H_Direct=0,H_TaxEvt=1,ATB46+1&gt;=H_Deemed),AMB47,AIO47)</f>
        <v>0</v>
      </c>
      <c r="APP47" s="20" t="n">
        <f aca="false">IF(AND(H_Direct=0,H_TaxEvt=1,ATC46+1&gt;=H_Deemed),AMC47,AIP47)</f>
        <v>0</v>
      </c>
      <c r="APQ47" s="20" t="n">
        <f aca="false">IF(AND(H_Direct=0,H_TaxEvt=1,ATD46+1&gt;=H_Deemed),AMD47,AIQ47)</f>
        <v>0</v>
      </c>
      <c r="APR47" s="20" t="n">
        <f aca="false">IF(AND(H_Direct=0,H_TaxEvt=1,ATE46+1&gt;=H_Deemed),AME47,AIR47)</f>
        <v>0</v>
      </c>
      <c r="APS47" s="20" t="n">
        <f aca="false">IF(AND(H_Direct=0,H_TaxEvt=1,0+1&gt;=H_Deemed),AMF47,AIS47)</f>
        <v>0</v>
      </c>
      <c r="APT47" s="20" t="n">
        <v>0</v>
      </c>
      <c r="APU47" s="20" t="n">
        <v>0</v>
      </c>
      <c r="APV47" s="20" t="n">
        <v>0</v>
      </c>
      <c r="APW47" s="20" t="n">
        <v>0</v>
      </c>
      <c r="APX47" s="20" t="n">
        <v>0</v>
      </c>
      <c r="APY47" s="20" t="n">
        <v>0</v>
      </c>
      <c r="APZ47" s="20" t="n">
        <v>0</v>
      </c>
      <c r="AQA47" s="20" t="n">
        <v>0</v>
      </c>
      <c r="AQB47" s="20" t="n">
        <v>0</v>
      </c>
      <c r="AQC47" s="20" t="n">
        <v>0</v>
      </c>
      <c r="AQD47" s="20" t="n">
        <v>0</v>
      </c>
      <c r="AQE47" s="20" t="n">
        <v>0</v>
      </c>
      <c r="AQF47" s="20" t="n">
        <v>0</v>
      </c>
      <c r="AQG47" s="20" t="n">
        <v>0</v>
      </c>
      <c r="AQH47" s="20" t="n">
        <v>0</v>
      </c>
      <c r="AQI47" s="20" t="n">
        <v>0</v>
      </c>
      <c r="AQJ47" s="20" t="n">
        <v>0</v>
      </c>
      <c r="AQK47" s="20" t="n">
        <v>0</v>
      </c>
      <c r="AQL47" s="20" t="n">
        <v>0</v>
      </c>
      <c r="AQM47" s="20" t="n">
        <v>0</v>
      </c>
      <c r="AQN47" s="20" t="n">
        <v>0</v>
      </c>
      <c r="AQO47" s="20" t="n">
        <v>0</v>
      </c>
      <c r="AQP47" s="20" t="n">
        <v>0</v>
      </c>
      <c r="AQQ47" s="20" t="n">
        <v>0</v>
      </c>
      <c r="AQR47" s="20" t="n">
        <v>0</v>
      </c>
      <c r="AQS47" s="20" t="n">
        <v>0</v>
      </c>
      <c r="AQT47" s="20" t="n">
        <v>0</v>
      </c>
      <c r="AQU47" s="20" t="n">
        <v>0</v>
      </c>
      <c r="AQV47" s="20" t="n">
        <v>0</v>
      </c>
      <c r="AQW47" s="20" t="n">
        <v>0</v>
      </c>
      <c r="AQX47" s="20" t="n">
        <v>0</v>
      </c>
      <c r="AQY47" s="20" t="n">
        <v>0</v>
      </c>
      <c r="AQZ47" s="20" t="n">
        <v>0</v>
      </c>
      <c r="ARA47" s="20" t="n">
        <v>0</v>
      </c>
      <c r="ARB47" s="20" t="n">
        <v>0</v>
      </c>
      <c r="ARC47" s="20" t="n">
        <v>0</v>
      </c>
      <c r="ARD47" s="20" t="n">
        <v>0</v>
      </c>
      <c r="ARE47" s="20" t="n">
        <v>0</v>
      </c>
      <c r="ARF47" s="20" t="n">
        <v>0</v>
      </c>
      <c r="ARG47" s="20" t="n">
        <v>0</v>
      </c>
      <c r="ARH47" s="20" t="n">
        <v>0</v>
      </c>
      <c r="ARI47" s="20" t="n">
        <v>0</v>
      </c>
      <c r="ARJ47" s="20" t="n">
        <v>0</v>
      </c>
      <c r="ARK47" s="20" t="n">
        <v>0</v>
      </c>
      <c r="ARL47" s="20" t="n">
        <v>0</v>
      </c>
      <c r="ARM47" s="20" t="n">
        <v>0</v>
      </c>
      <c r="ARN47" s="20" t="n">
        <v>0</v>
      </c>
      <c r="ARO47" s="20" t="n">
        <v>0</v>
      </c>
      <c r="ARP47" s="20" t="n">
        <v>0</v>
      </c>
      <c r="ARQ47" s="20" t="n">
        <v>0</v>
      </c>
      <c r="ARR47" s="20" t="n">
        <f aca="false">IF(AND(H_Direct=0,H_TaxEvt=1),IF(ARR46+1&gt;=H_Deemed,0,ARR46+1),ARR46)</f>
        <v>0</v>
      </c>
      <c r="ARS47" s="20" t="n">
        <f aca="false">IF(AND(H_Direct=0,H_TaxEvt=1),IF(ARS46+1&gt;=H_Deemed,0,ARS46+1),ARS46)</f>
        <v>0</v>
      </c>
      <c r="ART47" s="20" t="n">
        <f aca="false">IF(AND(H_Direct=0,H_TaxEvt=1),IF(ART46+1&gt;=H_Deemed,0,ART46+1),ART46)</f>
        <v>7</v>
      </c>
      <c r="ARU47" s="20" t="n">
        <f aca="false">IF(AND(H_Direct=0,H_TaxEvt=1),IF(ARU46+1&gt;=H_Deemed,0,ARU46+1),ARU46)</f>
        <v>6</v>
      </c>
      <c r="ARV47" s="20" t="n">
        <f aca="false">IF(AND(H_Direct=0,H_TaxEvt=1),IF(ARV46+1&gt;=H_Deemed,0,ARV46+1),ARV46)</f>
        <v>5</v>
      </c>
      <c r="ARW47" s="20" t="n">
        <f aca="false">IF(AND(H_Direct=0,H_TaxEvt=1),IF(ARW46+1&gt;=H_Deemed,0,ARW46+1),ARW46)</f>
        <v>4</v>
      </c>
      <c r="ARX47" s="20" t="n">
        <f aca="false">IF(AND(H_Direct=0,H_TaxEvt=1),IF(ARX46+1&gt;=H_Deemed,0,ARX46+1),ARX46)</f>
        <v>3</v>
      </c>
      <c r="ARY47" s="20" t="n">
        <f aca="false">IF(AND(H_Direct=0,H_TaxEvt=1),IF(ARY46+1&gt;=H_Deemed,0,ARY46+1),ARY46)</f>
        <v>2</v>
      </c>
      <c r="ARZ47" s="20" t="n">
        <f aca="false">IF(AND(H_Direct=0,H_TaxEvt=1),IF(ARZ46+1&gt;=H_Deemed,0,ARZ46+1),ARZ46)</f>
        <v>1</v>
      </c>
      <c r="ASA47" s="20" t="n">
        <f aca="false">IF(AND(H_Direct=0,H_TaxEvt=1),IF(ASA46+1&gt;=H_Deemed,0,ASA46+1),ASA46)</f>
        <v>0</v>
      </c>
      <c r="ASB47" s="20" t="n">
        <f aca="false">IF(AND(H_Direct=0,H_TaxEvt=1),IF(ASB46+1&gt;=H_Deemed,0,ASB46+1),ASB46)</f>
        <v>7</v>
      </c>
      <c r="ASC47" s="20" t="n">
        <f aca="false">IF(AND(H_Direct=0,H_TaxEvt=1),IF(ASC46+1&gt;=H_Deemed,0,ASC46+1),ASC46)</f>
        <v>6</v>
      </c>
      <c r="ASD47" s="20" t="n">
        <f aca="false">IF(AND(H_Direct=0,H_TaxEvt=1),IF(ASD46+1&gt;=H_Deemed,0,ASD46+1),ASD46)</f>
        <v>5</v>
      </c>
      <c r="ASE47" s="20" t="n">
        <f aca="false">IF(AND(H_Direct=0,H_TaxEvt=1),IF(ASE46+1&gt;=H_Deemed,0,ASE46+1),ASE46)</f>
        <v>4</v>
      </c>
      <c r="ASF47" s="20" t="n">
        <f aca="false">IF(AND(H_Direct=0,H_TaxEvt=1),IF(ASF46+1&gt;=H_Deemed,0,ASF46+1),ASF46)</f>
        <v>3</v>
      </c>
      <c r="ASG47" s="20" t="n">
        <f aca="false">IF(AND(H_Direct=0,H_TaxEvt=1),IF(ASG46+1&gt;=H_Deemed,0,ASG46+1),ASG46)</f>
        <v>2</v>
      </c>
      <c r="ASH47" s="20" t="n">
        <f aca="false">IF(AND(H_Direct=0,H_TaxEvt=1),IF(ASH46+1&gt;=H_Deemed,0,ASH46+1),ASH46)</f>
        <v>1</v>
      </c>
      <c r="ASI47" s="20" t="n">
        <f aca="false">IF(AND(H_Direct=0,H_TaxEvt=1),IF(ASI46+1&gt;=H_Deemed,0,ASI46+1),ASI46)</f>
        <v>0</v>
      </c>
      <c r="ASJ47" s="20" t="n">
        <f aca="false">IF(AND(H_Direct=0,H_TaxEvt=1),IF(ASJ46+1&gt;=H_Deemed,0,ASJ46+1),ASJ46)</f>
        <v>7</v>
      </c>
      <c r="ASK47" s="20" t="n">
        <f aca="false">IF(AND(H_Direct=0,H_TaxEvt=1),IF(ASK46+1&gt;=H_Deemed,0,ASK46+1),ASK46)</f>
        <v>6</v>
      </c>
      <c r="ASL47" s="20" t="n">
        <f aca="false">IF(AND(H_Direct=0,H_TaxEvt=1),IF(ASL46+1&gt;=H_Deemed,0,ASL46+1),ASL46)</f>
        <v>5</v>
      </c>
      <c r="ASM47" s="20" t="n">
        <f aca="false">IF(AND(H_Direct=0,H_TaxEvt=1),IF(ASM46+1&gt;=H_Deemed,0,ASM46+1),ASM46)</f>
        <v>4</v>
      </c>
      <c r="ASN47" s="20" t="n">
        <f aca="false">IF(AND(H_Direct=0,H_TaxEvt=1),IF(ASN46+1&gt;=H_Deemed,0,ASN46+1),ASN46)</f>
        <v>3</v>
      </c>
      <c r="ASO47" s="20" t="n">
        <f aca="false">IF(AND(H_Direct=0,H_TaxEvt=1),IF(ASO46+1&gt;=H_Deemed,0,ASO46+1),ASO46)</f>
        <v>2</v>
      </c>
      <c r="ASP47" s="20" t="n">
        <f aca="false">IF(AND(H_Direct=0,H_TaxEvt=1),IF(ASP46+1&gt;=H_Deemed,0,ASP46+1),ASP46)</f>
        <v>1</v>
      </c>
      <c r="ASQ47" s="20" t="n">
        <f aca="false">IF(AND(H_Direct=0,H_TaxEvt=1),IF(ASQ46+1&gt;=H_Deemed,0,ASQ46+1),ASQ46)</f>
        <v>0</v>
      </c>
      <c r="ASR47" s="20" t="n">
        <f aca="false">IF(AND(H_Direct=0,H_TaxEvt=1),IF(ASR46+1&gt;=H_Deemed,0,ASR46+1),ASR46)</f>
        <v>7</v>
      </c>
      <c r="ASS47" s="20" t="n">
        <f aca="false">IF(AND(H_Direct=0,H_TaxEvt=1),IF(ASS46+1&gt;=H_Deemed,0,ASS46+1),ASS46)</f>
        <v>6</v>
      </c>
      <c r="AST47" s="20" t="n">
        <f aca="false">IF(AND(H_Direct=0,H_TaxEvt=1),IF(AST46+1&gt;=H_Deemed,0,AST46+1),AST46)</f>
        <v>5</v>
      </c>
      <c r="ASU47" s="20" t="n">
        <f aca="false">IF(AND(H_Direct=0,H_TaxEvt=1),IF(ASU46+1&gt;=H_Deemed,0,ASU46+1),ASU46)</f>
        <v>4</v>
      </c>
      <c r="ASV47" s="20" t="n">
        <f aca="false">IF(AND(H_Direct=0,H_TaxEvt=1),IF(ASV46+1&gt;=H_Deemed,0,ASV46+1),ASV46)</f>
        <v>3</v>
      </c>
      <c r="ASW47" s="20" t="n">
        <f aca="false">IF(AND(H_Direct=0,H_TaxEvt=1),IF(ASW46+1&gt;=H_Deemed,0,ASW46+1),ASW46)</f>
        <v>2</v>
      </c>
      <c r="ASX47" s="20" t="n">
        <f aca="false">IF(AND(H_Direct=0,H_TaxEvt=1),IF(ASX46+1&gt;=H_Deemed,0,ASX46+1),ASX46)</f>
        <v>1</v>
      </c>
      <c r="ASY47" s="20" t="n">
        <f aca="false">IF(AND(H_Direct=0,H_TaxEvt=1),IF(ASY46+1&gt;=H_Deemed,0,ASY46+1),ASY46)</f>
        <v>0</v>
      </c>
      <c r="ASZ47" s="20" t="n">
        <f aca="false">IF(AND(H_Direct=0,H_TaxEvt=1),IF(ASZ46+1&gt;=H_Deemed,0,ASZ46+1),ASZ46)</f>
        <v>7</v>
      </c>
      <c r="ATA47" s="20" t="n">
        <f aca="false">IF(AND(H_Direct=0,H_TaxEvt=1),IF(ATA46+1&gt;=H_Deemed,0,ATA46+1),ATA46)</f>
        <v>6</v>
      </c>
      <c r="ATB47" s="20" t="n">
        <f aca="false">IF(AND(H_Direct=0,H_TaxEvt=1),IF(ATB46+1&gt;=H_Deemed,0,ATB46+1),ATB46)</f>
        <v>5</v>
      </c>
      <c r="ATC47" s="20" t="n">
        <f aca="false">IF(AND(H_Direct=0,H_TaxEvt=1),IF(ATC46+1&gt;=H_Deemed,0,ATC46+1),ATC46)</f>
        <v>4</v>
      </c>
      <c r="ATD47" s="20" t="n">
        <f aca="false">IF(AND(H_Direct=0,H_TaxEvt=1),IF(ATD46+1&gt;=H_Deemed,0,ATD46+1),ATD46)</f>
        <v>3</v>
      </c>
      <c r="ATE47" s="20" t="n">
        <f aca="false">IF(AND(H_Direct=0,H_TaxEvt=1),IF(ATE46+1&gt;=H_Deemed,0,ATE46+1),ATE46)</f>
        <v>2</v>
      </c>
      <c r="ATF47" s="20" t="n">
        <f aca="false">IF(AND(H_Direct=0,H_TaxEvt=1),IF(0+1&gt;=H_Deemed,0,0+1),0)</f>
        <v>1</v>
      </c>
      <c r="ATG47" s="20" t="n">
        <v>0</v>
      </c>
      <c r="ATH47" s="20" t="n">
        <v>0</v>
      </c>
      <c r="ATI47" s="20" t="n">
        <v>0</v>
      </c>
      <c r="ATJ47" s="20" t="n">
        <v>0</v>
      </c>
      <c r="ATK47" s="20" t="n">
        <v>0</v>
      </c>
      <c r="ATL47" s="20" t="n">
        <v>0</v>
      </c>
      <c r="ATM47" s="20" t="n">
        <v>0</v>
      </c>
      <c r="ATN47" s="20" t="n">
        <v>0</v>
      </c>
      <c r="ATO47" s="20" t="n">
        <v>0</v>
      </c>
      <c r="ATP47" s="20" t="n">
        <v>0</v>
      </c>
      <c r="ATQ47" s="20" t="n">
        <v>0</v>
      </c>
      <c r="ATR47" s="20" t="n">
        <v>0</v>
      </c>
      <c r="ATS47" s="20" t="n">
        <v>0</v>
      </c>
      <c r="ATT47" s="20" t="n">
        <v>0</v>
      </c>
      <c r="ATU47" s="20" t="n">
        <v>0</v>
      </c>
      <c r="ATV47" s="20" t="n">
        <v>0</v>
      </c>
      <c r="ATW47" s="20" t="n">
        <v>0</v>
      </c>
      <c r="ATX47" s="20" t="n">
        <v>0</v>
      </c>
      <c r="ATY47" s="20" t="n">
        <v>0</v>
      </c>
      <c r="ATZ47" s="20" t="n">
        <v>0</v>
      </c>
      <c r="AUA47" s="20" t="n">
        <v>0</v>
      </c>
      <c r="AUB47" s="20" t="n">
        <v>0</v>
      </c>
      <c r="AUC47" s="20" t="n">
        <v>0</v>
      </c>
      <c r="AUD47" s="20" t="n">
        <v>0</v>
      </c>
      <c r="AUE47" s="20" t="n">
        <v>0</v>
      </c>
      <c r="AUF47" s="20" t="n">
        <v>0</v>
      </c>
      <c r="AUG47" s="20" t="n">
        <v>0</v>
      </c>
      <c r="AUH47" s="20" t="n">
        <v>0</v>
      </c>
      <c r="AUI47" s="20" t="n">
        <v>0</v>
      </c>
      <c r="AUJ47" s="20" t="n">
        <v>0</v>
      </c>
      <c r="AUK47" s="20" t="n">
        <v>0</v>
      </c>
      <c r="AUL47" s="20" t="n">
        <v>0</v>
      </c>
      <c r="AUM47" s="20" t="n">
        <v>0</v>
      </c>
      <c r="AUN47" s="20" t="n">
        <v>0</v>
      </c>
      <c r="AUO47" s="20" t="n">
        <v>0</v>
      </c>
      <c r="AUP47" s="20" t="n">
        <v>0</v>
      </c>
      <c r="AUQ47" s="20" t="n">
        <v>0</v>
      </c>
      <c r="AUR47" s="20" t="n">
        <v>0</v>
      </c>
      <c r="AUS47" s="20" t="n">
        <v>0</v>
      </c>
      <c r="AUT47" s="20" t="n">
        <v>0</v>
      </c>
      <c r="AUU47" s="20" t="n">
        <v>0</v>
      </c>
      <c r="AUV47" s="20" t="n">
        <v>0</v>
      </c>
      <c r="AUW47" s="20" t="n">
        <v>0</v>
      </c>
      <c r="AUX47" s="20" t="n">
        <v>0</v>
      </c>
      <c r="AUY47" s="20" t="n">
        <v>0</v>
      </c>
      <c r="AUZ47" s="20" t="n">
        <v>0</v>
      </c>
      <c r="AVA47" s="20" t="n">
        <v>0</v>
      </c>
      <c r="AVB47" s="20" t="n">
        <v>0</v>
      </c>
      <c r="AVC47" s="20" t="n">
        <v>0</v>
      </c>
      <c r="AVD47" s="20" t="n">
        <v>0</v>
      </c>
      <c r="AVE47" s="20" t="n">
        <f aca="false">IF(AND(H_Direct=0,H_TaxEvt=1,ARR46+1&gt;=H_Deemed),MAX(0,ADR47-AHE47)*H_Exit,0)</f>
        <v>0</v>
      </c>
      <c r="AVF47" s="20" t="n">
        <f aca="false">IF(AND(H_Direct=0,H_TaxEvt=1,ARS46+1&gt;=H_Deemed),MAX(0,ADS47-AHF47)*H_Exit,0)</f>
        <v>0</v>
      </c>
      <c r="AVG47" s="20" t="n">
        <f aca="false">IF(AND(H_Direct=0,H_TaxEvt=1,ART46+1&gt;=H_Deemed),MAX(0,ADT47-AHG47)*H_Exit,0)</f>
        <v>0</v>
      </c>
      <c r="AVH47" s="20" t="n">
        <f aca="false">IF(AND(H_Direct=0,H_TaxEvt=1,ARU46+1&gt;=H_Deemed),MAX(0,ADU47-AHH47)*H_Exit,0)</f>
        <v>0</v>
      </c>
      <c r="AVI47" s="20" t="n">
        <f aca="false">IF(AND(H_Direct=0,H_TaxEvt=1,ARV46+1&gt;=H_Deemed),MAX(0,ADV47-AHI47)*H_Exit,0)</f>
        <v>0</v>
      </c>
      <c r="AVJ47" s="20" t="n">
        <f aca="false">IF(AND(H_Direct=0,H_TaxEvt=1,ARW46+1&gt;=H_Deemed),MAX(0,ADW47-AHJ47)*H_Exit,0)</f>
        <v>0</v>
      </c>
      <c r="AVK47" s="20" t="n">
        <f aca="false">IF(AND(H_Direct=0,H_TaxEvt=1,ARX46+1&gt;=H_Deemed),MAX(0,ADX47-AHK47)*H_Exit,0)</f>
        <v>0</v>
      </c>
      <c r="AVL47" s="20" t="n">
        <f aca="false">IF(AND(H_Direct=0,H_TaxEvt=1,ARY46+1&gt;=H_Deemed),MAX(0,ADY47-AHL47)*H_Exit,0)</f>
        <v>0</v>
      </c>
      <c r="AVM47" s="20" t="n">
        <f aca="false">IF(AND(H_Direct=0,H_TaxEvt=1,ARZ46+1&gt;=H_Deemed),MAX(0,ADZ47-AHM47)*H_Exit,0)</f>
        <v>0</v>
      </c>
      <c r="AVN47" s="20" t="n">
        <f aca="false">IF(AND(H_Direct=0,H_TaxEvt=1,ASA46+1&gt;=H_Deemed),MAX(0,AEA47-AHN47)*H_Exit,0)</f>
        <v>0</v>
      </c>
      <c r="AVO47" s="20" t="n">
        <f aca="false">IF(AND(H_Direct=0,H_TaxEvt=1,ASB46+1&gt;=H_Deemed),MAX(0,AEB47-AHO47)*H_Exit,0)</f>
        <v>0</v>
      </c>
      <c r="AVP47" s="20" t="n">
        <f aca="false">IF(AND(H_Direct=0,H_TaxEvt=1,ASC46+1&gt;=H_Deemed),MAX(0,AEC47-AHP47)*H_Exit,0)</f>
        <v>0</v>
      </c>
      <c r="AVQ47" s="20" t="n">
        <f aca="false">IF(AND(H_Direct=0,H_TaxEvt=1,ASD46+1&gt;=H_Deemed),MAX(0,AED47-AHQ47)*H_Exit,0)</f>
        <v>0</v>
      </c>
      <c r="AVR47" s="20" t="n">
        <f aca="false">IF(AND(H_Direct=0,H_TaxEvt=1,ASE46+1&gt;=H_Deemed),MAX(0,AEE47-AHR47)*H_Exit,0)</f>
        <v>0</v>
      </c>
      <c r="AVS47" s="20" t="n">
        <f aca="false">IF(AND(H_Direct=0,H_TaxEvt=1,ASF46+1&gt;=H_Deemed),MAX(0,AEF47-AHS47)*H_Exit,0)</f>
        <v>0</v>
      </c>
      <c r="AVT47" s="20" t="n">
        <f aca="false">IF(AND(H_Direct=0,H_TaxEvt=1,ASG46+1&gt;=H_Deemed),MAX(0,AEG47-AHT47)*H_Exit,0)</f>
        <v>0</v>
      </c>
      <c r="AVU47" s="20" t="n">
        <f aca="false">IF(AND(H_Direct=0,H_TaxEvt=1,ASH46+1&gt;=H_Deemed),MAX(0,AEH47-AHU47)*H_Exit,0)</f>
        <v>0</v>
      </c>
      <c r="AVV47" s="20" t="n">
        <f aca="false">IF(AND(H_Direct=0,H_TaxEvt=1,ASI46+1&gt;=H_Deemed),MAX(0,AEI47-AHV47)*H_Exit,0)</f>
        <v>0</v>
      </c>
      <c r="AVW47" s="20" t="n">
        <f aca="false">IF(AND(H_Direct=0,H_TaxEvt=1,ASJ46+1&gt;=H_Deemed),MAX(0,AEJ47-AHW47)*H_Exit,0)</f>
        <v>0</v>
      </c>
      <c r="AVX47" s="20" t="n">
        <f aca="false">IF(AND(H_Direct=0,H_TaxEvt=1,ASK46+1&gt;=H_Deemed),MAX(0,AEK47-AHX47)*H_Exit,0)</f>
        <v>0</v>
      </c>
      <c r="AVY47" s="20" t="n">
        <f aca="false">IF(AND(H_Direct=0,H_TaxEvt=1,ASL46+1&gt;=H_Deemed),MAX(0,AEL47-AHY47)*H_Exit,0)</f>
        <v>0</v>
      </c>
      <c r="AVZ47" s="20" t="n">
        <f aca="false">IF(AND(H_Direct=0,H_TaxEvt=1,ASM46+1&gt;=H_Deemed),MAX(0,AEM47-AHZ47)*H_Exit,0)</f>
        <v>0</v>
      </c>
      <c r="AWA47" s="20" t="n">
        <f aca="false">IF(AND(H_Direct=0,H_TaxEvt=1,ASN46+1&gt;=H_Deemed),MAX(0,AEN47-AIA47)*H_Exit,0)</f>
        <v>0</v>
      </c>
      <c r="AWB47" s="20" t="n">
        <f aca="false">IF(AND(H_Direct=0,H_TaxEvt=1,ASO46+1&gt;=H_Deemed),MAX(0,AEO47-AIB47)*H_Exit,0)</f>
        <v>0</v>
      </c>
      <c r="AWC47" s="20" t="n">
        <f aca="false">IF(AND(H_Direct=0,H_TaxEvt=1,ASP46+1&gt;=H_Deemed),MAX(0,AEP47-AIC47)*H_Exit,0)</f>
        <v>0</v>
      </c>
      <c r="AWD47" s="20" t="n">
        <f aca="false">IF(AND(H_Direct=0,H_TaxEvt=1,ASQ46+1&gt;=H_Deemed),MAX(0,AEQ47-AID47)*H_Exit,0)</f>
        <v>0</v>
      </c>
      <c r="AWE47" s="20" t="n">
        <f aca="false">IF(AND(H_Direct=0,H_TaxEvt=1,ASR46+1&gt;=H_Deemed),MAX(0,AER47-AIE47)*H_Exit,0)</f>
        <v>0</v>
      </c>
      <c r="AWF47" s="20" t="n">
        <f aca="false">IF(AND(H_Direct=0,H_TaxEvt=1,ASS46+1&gt;=H_Deemed),MAX(0,AES47-AIF47)*H_Exit,0)</f>
        <v>0</v>
      </c>
      <c r="AWG47" s="20" t="n">
        <f aca="false">IF(AND(H_Direct=0,H_TaxEvt=1,AST46+1&gt;=H_Deemed),MAX(0,AET47-AIG47)*H_Exit,0)</f>
        <v>0</v>
      </c>
      <c r="AWH47" s="20" t="n">
        <f aca="false">IF(AND(H_Direct=0,H_TaxEvt=1,ASU46+1&gt;=H_Deemed),MAX(0,AEU47-AIH47)*H_Exit,0)</f>
        <v>0</v>
      </c>
      <c r="AWI47" s="20" t="n">
        <f aca="false">IF(AND(H_Direct=0,H_TaxEvt=1,ASV46+1&gt;=H_Deemed),MAX(0,AEV47-AII47)*H_Exit,0)</f>
        <v>0</v>
      </c>
      <c r="AWJ47" s="20" t="n">
        <f aca="false">IF(AND(H_Direct=0,H_TaxEvt=1,ASW46+1&gt;=H_Deemed),MAX(0,AEW47-AIJ47)*H_Exit,0)</f>
        <v>0</v>
      </c>
      <c r="AWK47" s="20" t="n">
        <f aca="false">IF(AND(H_Direct=0,H_TaxEvt=1,ASX46+1&gt;=H_Deemed),MAX(0,AEX47-AIK47)*H_Exit,0)</f>
        <v>0</v>
      </c>
      <c r="AWL47" s="20" t="n">
        <f aca="false">IF(AND(H_Direct=0,H_TaxEvt=1,ASY46+1&gt;=H_Deemed),MAX(0,AEY47-AIL47)*H_Exit,0)</f>
        <v>0</v>
      </c>
      <c r="AWM47" s="20" t="n">
        <f aca="false">IF(AND(H_Direct=0,H_TaxEvt=1,ASZ46+1&gt;=H_Deemed),MAX(0,AEZ47-AIM47)*H_Exit,0)</f>
        <v>0</v>
      </c>
      <c r="AWN47" s="20" t="n">
        <f aca="false">IF(AND(H_Direct=0,H_TaxEvt=1,ATA46+1&gt;=H_Deemed),MAX(0,AFA47-AIN47)*H_Exit,0)</f>
        <v>0</v>
      </c>
      <c r="AWO47" s="20" t="n">
        <f aca="false">IF(AND(H_Direct=0,H_TaxEvt=1,ATB46+1&gt;=H_Deemed),MAX(0,AFB47-AIO47)*H_Exit,0)</f>
        <v>0</v>
      </c>
      <c r="AWP47" s="20" t="n">
        <f aca="false">IF(AND(H_Direct=0,H_TaxEvt=1,ATC46+1&gt;=H_Deemed),MAX(0,AFC47-AIP47)*H_Exit,0)</f>
        <v>0</v>
      </c>
      <c r="AWQ47" s="20" t="n">
        <f aca="false">IF(AND(H_Direct=0,H_TaxEvt=1,ATD46+1&gt;=H_Deemed),MAX(0,AFD47-AIQ47)*H_Exit,0)</f>
        <v>0</v>
      </c>
      <c r="AWR47" s="20" t="n">
        <f aca="false">IF(AND(H_Direct=0,H_TaxEvt=1,ATE46+1&gt;=H_Deemed),MAX(0,AFE47-AIR47)*H_Exit,0)</f>
        <v>0</v>
      </c>
      <c r="AWS47" s="20" t="n">
        <f aca="false">IF(AND(H_Direct=0,H_TaxEvt=1,0+1&gt;=H_Deemed),MAX(0,AFF47-AIS47)*H_Exit,0)</f>
        <v>0</v>
      </c>
      <c r="AWT47" s="20" t="n">
        <v>0</v>
      </c>
      <c r="AWU47" s="20" t="n">
        <v>0</v>
      </c>
      <c r="AWV47" s="20" t="n">
        <v>0</v>
      </c>
      <c r="AWW47" s="20" t="n">
        <v>0</v>
      </c>
      <c r="AWX47" s="20" t="n">
        <v>0</v>
      </c>
      <c r="AWY47" s="20" t="n">
        <v>0</v>
      </c>
      <c r="AWZ47" s="20" t="n">
        <v>0</v>
      </c>
      <c r="AXA47" s="20" t="n">
        <v>0</v>
      </c>
      <c r="AXB47" s="20" t="n">
        <v>0</v>
      </c>
      <c r="AXC47" s="20" t="n">
        <v>0</v>
      </c>
      <c r="AXD47" s="20" t="n">
        <v>0</v>
      </c>
      <c r="AXE47" s="20" t="n">
        <v>0</v>
      </c>
      <c r="AXF47" s="20" t="n">
        <v>0</v>
      </c>
      <c r="AXG47" s="20" t="n">
        <v>0</v>
      </c>
      <c r="AXH47" s="20" t="n">
        <v>0</v>
      </c>
      <c r="AXI47" s="20" t="n">
        <v>0</v>
      </c>
      <c r="AXJ47" s="20" t="n">
        <v>0</v>
      </c>
      <c r="AXK47" s="20" t="n">
        <v>0</v>
      </c>
      <c r="AXL47" s="20" t="n">
        <v>0</v>
      </c>
      <c r="AXM47" s="20" t="n">
        <v>0</v>
      </c>
      <c r="AXN47" s="20" t="n">
        <v>0</v>
      </c>
      <c r="AXO47" s="20" t="n">
        <v>0</v>
      </c>
      <c r="AXP47" s="20" t="n">
        <v>0</v>
      </c>
      <c r="AXQ47" s="20" t="n">
        <v>0</v>
      </c>
      <c r="AXR47" s="20" t="n">
        <v>0</v>
      </c>
      <c r="AXS47" s="20" t="n">
        <v>0</v>
      </c>
      <c r="AXT47" s="20" t="n">
        <v>0</v>
      </c>
      <c r="AXU47" s="20" t="n">
        <v>0</v>
      </c>
      <c r="AXV47" s="20" t="n">
        <v>0</v>
      </c>
      <c r="AXW47" s="20" t="n">
        <v>0</v>
      </c>
      <c r="AXX47" s="20" t="n">
        <v>0</v>
      </c>
      <c r="AXY47" s="20" t="n">
        <v>0</v>
      </c>
      <c r="AXZ47" s="20" t="n">
        <v>0</v>
      </c>
      <c r="AYA47" s="20" t="n">
        <v>0</v>
      </c>
      <c r="AYB47" s="20" t="n">
        <v>0</v>
      </c>
      <c r="AYC47" s="20" t="n">
        <v>0</v>
      </c>
      <c r="AYD47" s="20" t="n">
        <v>0</v>
      </c>
      <c r="AYE47" s="20" t="n">
        <v>0</v>
      </c>
      <c r="AYF47" s="20" t="n">
        <v>0</v>
      </c>
      <c r="AYG47" s="20" t="n">
        <v>0</v>
      </c>
      <c r="AYH47" s="20" t="n">
        <v>0</v>
      </c>
      <c r="AYI47" s="20" t="n">
        <v>0</v>
      </c>
      <c r="AYJ47" s="20" t="n">
        <v>0</v>
      </c>
      <c r="AYK47" s="20" t="n">
        <v>0</v>
      </c>
      <c r="AYL47" s="20" t="n">
        <v>0</v>
      </c>
      <c r="AYM47" s="20" t="n">
        <v>0</v>
      </c>
      <c r="AYN47" s="20" t="n">
        <v>0</v>
      </c>
      <c r="AYO47" s="20" t="n">
        <v>0</v>
      </c>
      <c r="AYP47" s="20" t="n">
        <v>0</v>
      </c>
      <c r="AYQ47" s="20" t="n">
        <v>0</v>
      </c>
    </row>
    <row r="48" customFormat="false" ht="15" hidden="false" customHeight="false" outlineLevel="0" collapsed="false">
      <c r="B48" s="20" t="n">
        <v>40</v>
      </c>
      <c r="C48" s="20" t="n">
        <f aca="false">'Plan cashflow'!C48</f>
        <v>1</v>
      </c>
      <c r="D48" s="20" t="n">
        <f aca="false">'Plan cashflow'!D48</f>
        <v>78</v>
      </c>
      <c r="E48" s="20" t="n">
        <f aca="false">AS_Year0+40</f>
        <v>2066</v>
      </c>
      <c r="F48" s="50" t="n">
        <f aca="false">'Plan cashflow'!F48</f>
        <v>2.20803966361485</v>
      </c>
      <c r="G48" s="59" t="n">
        <f aca="true">IF(MAX(TODAY(),DATE(E48,1,1))&gt;=H_CGTfrom,H_CGT1,H_CGT0)</f>
        <v>0.31</v>
      </c>
      <c r="H48" s="20" t="n">
        <f aca="false">H_Exempt*H_Persons</f>
        <v>1270</v>
      </c>
      <c r="I48" s="20" t="n">
        <f aca="false">AX47</f>
        <v>0</v>
      </c>
      <c r="J48" s="60" t="n">
        <f aca="false">BF47</f>
        <v>0</v>
      </c>
      <c r="K48" s="60" t="n">
        <f aca="false">BG47</f>
        <v>0</v>
      </c>
      <c r="L48" s="20" t="n">
        <f aca="false">IF(AND(In_polLump&gt;0,In_polLumpAge&gt;0,D48=In_polLumpAge),In_polLump,0)</f>
        <v>0</v>
      </c>
      <c r="M48" s="20" t="n">
        <f aca="false">IF(AND(In_homeUse="Yes, I'd downsize",In_downAge&gt;0,D48=In_downAge,OR(In_home="Own outright",In_home="Own with mortgage"),In_homeValue&gt;0),MAX(0,MAX(0,In_homeValue-In_downValue)*F48*0.9-'Plan cashflow'!HR47),0)</f>
        <v>0</v>
      </c>
      <c r="N48" s="20" t="n">
        <f aca="false">'Plan pay &amp; tax'!Y274</f>
        <v>0</v>
      </c>
      <c r="O48" s="20" t="n">
        <f aca="false">L48+M48+(1-H_Sh)*N48</f>
        <v>0</v>
      </c>
      <c r="P48" s="20" t="n">
        <f aca="false">H_Sh*N48</f>
        <v>0</v>
      </c>
      <c r="Q48" s="20" t="n">
        <f aca="false">'Plan cashflow'!UL48</f>
        <v>0</v>
      </c>
      <c r="R48" s="20" t="n">
        <f aca="false">(1-H_Sh)*Q48</f>
        <v>0</v>
      </c>
      <c r="S48" s="20" t="n">
        <f aca="false">H_Sh*Q48</f>
        <v>0</v>
      </c>
      <c r="T48" s="20" t="n">
        <f aca="false">J48+K48+O48</f>
        <v>0</v>
      </c>
      <c r="U48" s="20" t="n">
        <f aca="false">T48+R48</f>
        <v>0</v>
      </c>
      <c r="V48" s="60" t="n">
        <f aca="false">SUM(FE48:IQ48)</f>
        <v>0</v>
      </c>
      <c r="W48" s="60" t="n">
        <f aca="false">IF(AJ48&lt;=0,0,IF(AL48&lt;=0,AJ48,AJ48-G48*MAX(0,AL48*AJ48-(AY48+AZ48))))</f>
        <v>0</v>
      </c>
      <c r="X48" s="60" t="n">
        <f aca="false">IF(AR48&lt;=0,0,IF(AT48&lt;=0,AR48,AR48-G48*MAX(0,AT48*AR48-(BA48+BB48))))</f>
        <v>0</v>
      </c>
      <c r="Y48" s="60" t="n">
        <f aca="false">T48+V48-S48+W48+X48</f>
        <v>0</v>
      </c>
      <c r="Z48" s="60" t="n">
        <f aca="false">'Plan cashflow'!UK48</f>
        <v>0</v>
      </c>
      <c r="AA48" s="20" t="n">
        <f aca="false">MIN(Z48,U48)</f>
        <v>0</v>
      </c>
      <c r="AB48" s="20" t="n">
        <f aca="false">Z48-AA48</f>
        <v>0</v>
      </c>
      <c r="AC48" s="20" t="n">
        <f aca="false">MIN(AA48,J48+O48+R48)</f>
        <v>0</v>
      </c>
      <c r="AD48" s="20" t="n">
        <f aca="false">AA48-AC48</f>
        <v>0</v>
      </c>
      <c r="AE48" s="20" t="n">
        <f aca="false">J48+O48+R48-AC48</f>
        <v>0</v>
      </c>
      <c r="AF48" s="20" t="n">
        <f aca="false">K48-AD48</f>
        <v>0</v>
      </c>
      <c r="AG48" s="20" t="n">
        <f aca="false">SUM(PR48:TD48)</f>
        <v>0</v>
      </c>
      <c r="AH48" s="20" t="n">
        <f aca="false">SUM(TE48:WQ48)</f>
        <v>0</v>
      </c>
      <c r="AI48" s="20" t="n">
        <f aca="false">MAX(0,AB48-AG48)</f>
        <v>0</v>
      </c>
      <c r="AJ48" s="57" t="n">
        <f aca="false">BI47</f>
        <v>0</v>
      </c>
      <c r="AK48" s="20" t="n">
        <f aca="false">BJ47</f>
        <v>0</v>
      </c>
      <c r="AL48" s="20" t="n">
        <f aca="false">IF(AJ48&gt;0,(AJ48-AK48)/AJ48,0)</f>
        <v>0</v>
      </c>
      <c r="AM48" s="20" t="n">
        <f aca="false">IF(AJ48&lt;=0,0,IF(AL48&lt;=0,MIN(AI48,AJ48),MIN(AI48,AJ48-G48*MAX(0,AL48*AJ48-(AAD48+ADQ48)))))</f>
        <v>0</v>
      </c>
      <c r="AN48" s="20" t="n">
        <f aca="false">IF(AJ48&lt;=0,0,IF(AL48&lt;=0,AM48,IF(AM48&lt;=(AAD48+ADQ48)/AL48,AM48,(AM48-G48*(AAD48+ADQ48))/(1-G48*AL48))))</f>
        <v>0</v>
      </c>
      <c r="AO48" s="20" t="n">
        <f aca="false">IF(AL48&gt;0,MAX(0,AAD48-(MIN(AL48*AN48,(AAD48+ADQ48))-MIN(MIN(AL48*AN48,(AAD48+ADQ48)),ADQ48))),AAD48)</f>
        <v>1270</v>
      </c>
      <c r="AP48" s="20" t="n">
        <f aca="false">IF(AL48&lt;=0,ADQ48-AL48*AN48,ADQ48-MIN(MIN(AL48*AN48,(AAD48+ADQ48)),ADQ48))</f>
        <v>0</v>
      </c>
      <c r="AQ48" s="20" t="n">
        <f aca="false">MAX(0,AI48-AM48)</f>
        <v>0</v>
      </c>
      <c r="AR48" s="57" t="n">
        <f aca="false">BK47</f>
        <v>0</v>
      </c>
      <c r="AS48" s="20" t="n">
        <f aca="false">BL47</f>
        <v>0</v>
      </c>
      <c r="AT48" s="20" t="n">
        <f aca="false">IF(AR48&gt;0,(AR48-AS48)/AR48,0)</f>
        <v>0</v>
      </c>
      <c r="AU48" s="20" t="n">
        <f aca="false">IF(AR48&lt;=0,0,IF(AT48&lt;=0,MIN(AQ48,AR48),MIN(AQ48,AR48-G48*MAX(0,AT48*AR48-(AO48+AP48)))))</f>
        <v>0</v>
      </c>
      <c r="AV48" s="20" t="n">
        <f aca="false">IF(AR48&lt;=0,0,IF(AT48&lt;=0,AU48,IF(AU48&lt;=(AO48+AP48)/AT48,AU48,(AU48-G48*(AO48+AP48))/(1-G48*AT48))))</f>
        <v>0</v>
      </c>
      <c r="AW48" s="20" t="n">
        <f aca="false">IF(AT48&gt;0,MAX(0,AO48-(MIN(AT48*AV48,(AO48+AP48))-MIN(MIN(AT48*AV48,(AO48+AP48)),AP48))),AO48)</f>
        <v>1270</v>
      </c>
      <c r="AX48" s="20" t="n">
        <f aca="false">IF(AT48&lt;=0,AP48-AT48*AV48,AP48-MIN(MIN(AT48*AV48,(AO48+AP48)),AP48))</f>
        <v>0</v>
      </c>
      <c r="AY48" s="20" t="n">
        <f aca="false">MD48</f>
        <v>1270</v>
      </c>
      <c r="AZ48" s="20" t="n">
        <f aca="false">PQ48</f>
        <v>0</v>
      </c>
      <c r="BA48" s="20" t="n">
        <f aca="false">IF(AL48&gt;0,MAX(0,AY48-(MIN(AL48*AJ48,AY48+AZ48)-MIN(MIN(AL48*AJ48,AY48+AZ48),AZ48))),AY48)</f>
        <v>1270</v>
      </c>
      <c r="BB48" s="20" t="n">
        <f aca="false">IF(AL48&lt;=0,AZ48-AL48*AJ48,AZ48-MIN(MIN(AL48*AJ48,AY48+AZ48),AZ48))</f>
        <v>0</v>
      </c>
      <c r="BC48" s="20" t="n">
        <f aca="false">'Plan cashflow'!UM48</f>
        <v>0</v>
      </c>
      <c r="BD48" s="20" t="n">
        <f aca="false">(1-H_Sh)*BC48</f>
        <v>0</v>
      </c>
      <c r="BE48" s="20" t="n">
        <f aca="false">H_Sh*BC48</f>
        <v>0</v>
      </c>
      <c r="BF48" s="60" t="n">
        <f aca="false">(AE48+BD48)*(1+AS_Cash)</f>
        <v>0</v>
      </c>
      <c r="BG48" s="60" t="n">
        <f aca="false">AF48*(1+AS_Cash)</f>
        <v>0</v>
      </c>
      <c r="BH48" s="60" t="n">
        <f aca="false">SUM(AKR48:AOD48)</f>
        <v>0</v>
      </c>
      <c r="BI48" s="60" t="n">
        <f aca="false">(AJ48-AN48)*(1+AS_Infl)</f>
        <v>0</v>
      </c>
      <c r="BJ48" s="20" t="n">
        <f aca="false">IF(AJ48&gt;0,AK48-AK48*AN48/AJ48,0)</f>
        <v>0</v>
      </c>
      <c r="BK48" s="60" t="n">
        <f aca="false">(AR48-AV48)*(1+BQ48)</f>
        <v>0</v>
      </c>
      <c r="BL48" s="20" t="n">
        <f aca="false">IF(AR48&gt;0,AS48-AS48*AV48/AR48,0)</f>
        <v>0</v>
      </c>
      <c r="BM48" s="60" t="n">
        <f aca="false">BF48+BG48+BH48+BI48+BK48</f>
        <v>0</v>
      </c>
      <c r="BN48" s="60" t="n">
        <f aca="false">(AH48-AG48)+(AN48-AM48)+(AV48-AU48)</f>
        <v>0</v>
      </c>
      <c r="BO48" s="20" t="n">
        <f aca="false">(AE48+BD48+AF48+MAX(0,'Plan cashflow'!QH48)+IF(Slot1_Rate=AS_Cash,'Plan cashflow'!QM48/(1+AS_Cash),0)+IF(Slot2_Rate=AS_Cash,'Plan cashflow'!QQ48/(1+AS_Cash),0)+IF(Slot3_Rate=AS_Cash,'Plan cashflow'!QU48/(1+AS_Cash),0)+IF(Slot4_Rate=AS_Cash,'Plan cashflow'!QY48/(1+AS_Cash),0)+IF(Slot5_Rate=AS_Cash,'Plan cashflow'!RC48/(1+AS_Cash),0)+IF(Slot6_Rate=AS_Cash,'Plan cashflow'!RG48/(1+AS_Cash),0)+IF(Slot7_Rate=AS_Cash,'Plan cashflow'!RK48/(1+AS_Cash),0)+IF(Slot8_Rate=AS_Cash,'Plan cashflow'!RO48/(1+AS_Cash),0)+IF(Slot9_Rate=AS_Cash,'Plan cashflow'!RS48/(1+AS_Cash),0)+IF(Slot10_Rate=AS_Cash,'Plan cashflow'!RW48/(1+AS_Cash),0)+IF(Slot11_Rate=AS_Cash,'Plan cashflow'!SA48/(1+AS_Cash),0)+IF(Slot12_Rate=AS_Cash,'Plan cashflow'!SE48/(1+AS_Cash),0)+IF(Slot13_Rate=AS_Cash,'Plan cashflow'!SI48/(1+AS_Cash),0)+IF(Slot14_Rate=AS_Cash,'Plan cashflow'!SM48/(1+AS_Cash),0)+IF(Slot15_Rate=AS_Cash,'Plan cashflow'!SQ48/(1+AS_Cash),0)+IF(Slot16_Rate=AS_Cash,'Plan cashflow'!SU48/(1+AS_Cash),0)+IF(Slot17_Rate=AS_Cash,'Plan cashflow'!SY48/(1+AS_Cash),0)+IF(Slot18_Rate=AS_Cash,'Plan cashflow'!TC48/(1+AS_Cash),0)+IF(Slot19_Rate=AS_Cash,'Plan cashflow'!TG48/(1+AS_Cash),0)+IF(Slot20_Rate=AS_Cash,'Plan cashflow'!TK48/(1+AS_Cash),0))*AS_Cash*H_DIRT/(1-H_DIRT)</f>
        <v>0</v>
      </c>
      <c r="BP48" s="60" t="n">
        <f aca="false">SUM(AVE48:AYQ48)</f>
        <v>0</v>
      </c>
      <c r="BQ48" s="54" t="n">
        <f aca="false">IF(H_TaxEvt=1,H_InvG,AS_Inv)</f>
        <v>0.04</v>
      </c>
      <c r="BR48" s="20" t="n">
        <f aca="false">IF(AKR47&gt;0,(AKR47-AOE47)/AKR47,0)</f>
        <v>0</v>
      </c>
      <c r="BS48" s="20" t="n">
        <f aca="false">IF(AKS47&gt;0,(AKS47-AOF47)/AKS47,0)</f>
        <v>0</v>
      </c>
      <c r="BT48" s="20" t="n">
        <f aca="false">IF(AKT47&gt;0,(AKT47-AOG47)/AKT47,0)</f>
        <v>0</v>
      </c>
      <c r="BU48" s="20" t="n">
        <f aca="false">IF(AKU47&gt;0,(AKU47-AOH47)/AKU47,0)</f>
        <v>0</v>
      </c>
      <c r="BV48" s="20" t="n">
        <f aca="false">IF(AKV47&gt;0,(AKV47-AOI47)/AKV47,0)</f>
        <v>0</v>
      </c>
      <c r="BW48" s="20" t="n">
        <f aca="false">IF(AKW47&gt;0,(AKW47-AOJ47)/AKW47,0)</f>
        <v>0</v>
      </c>
      <c r="BX48" s="20" t="n">
        <f aca="false">IF(AKX47&gt;0,(AKX47-AOK47)/AKX47,0)</f>
        <v>0</v>
      </c>
      <c r="BY48" s="20" t="n">
        <f aca="false">IF(AKY47&gt;0,(AKY47-AOL47)/AKY47,0)</f>
        <v>0</v>
      </c>
      <c r="BZ48" s="20" t="n">
        <f aca="false">IF(AKZ47&gt;0,(AKZ47-AOM47)/AKZ47,0)</f>
        <v>0</v>
      </c>
      <c r="CA48" s="20" t="n">
        <f aca="false">IF(ALA47&gt;0,(ALA47-AON47)/ALA47,0)</f>
        <v>0</v>
      </c>
      <c r="CB48" s="20" t="n">
        <f aca="false">IF(ALB47&gt;0,(ALB47-AOO47)/ALB47,0)</f>
        <v>0</v>
      </c>
      <c r="CC48" s="20" t="n">
        <f aca="false">IF(ALC47&gt;0,(ALC47-AOP47)/ALC47,0)</f>
        <v>0</v>
      </c>
      <c r="CD48" s="20" t="n">
        <f aca="false">IF(ALD47&gt;0,(ALD47-AOQ47)/ALD47,0)</f>
        <v>0</v>
      </c>
      <c r="CE48" s="20" t="n">
        <f aca="false">IF(ALE47&gt;0,(ALE47-AOR47)/ALE47,0)</f>
        <v>0</v>
      </c>
      <c r="CF48" s="20" t="n">
        <f aca="false">IF(ALF47&gt;0,(ALF47-AOS47)/ALF47,0)</f>
        <v>0</v>
      </c>
      <c r="CG48" s="20" t="n">
        <f aca="false">IF(ALG47&gt;0,(ALG47-AOT47)/ALG47,0)</f>
        <v>0</v>
      </c>
      <c r="CH48" s="20" t="n">
        <f aca="false">IF(ALH47&gt;0,(ALH47-AOU47)/ALH47,0)</f>
        <v>0</v>
      </c>
      <c r="CI48" s="20" t="n">
        <f aca="false">IF(ALI47&gt;0,(ALI47-AOV47)/ALI47,0)</f>
        <v>0</v>
      </c>
      <c r="CJ48" s="20" t="n">
        <f aca="false">IF(ALJ47&gt;0,(ALJ47-AOW47)/ALJ47,0)</f>
        <v>0</v>
      </c>
      <c r="CK48" s="20" t="n">
        <f aca="false">IF(ALK47&gt;0,(ALK47-AOX47)/ALK47,0)</f>
        <v>0</v>
      </c>
      <c r="CL48" s="20" t="n">
        <f aca="false">IF(ALL47&gt;0,(ALL47-AOY47)/ALL47,0)</f>
        <v>0</v>
      </c>
      <c r="CM48" s="20" t="n">
        <f aca="false">IF(ALM47&gt;0,(ALM47-AOZ47)/ALM47,0)</f>
        <v>0</v>
      </c>
      <c r="CN48" s="20" t="n">
        <f aca="false">IF(ALN47&gt;0,(ALN47-APA47)/ALN47,0)</f>
        <v>0</v>
      </c>
      <c r="CO48" s="20" t="n">
        <f aca="false">IF(ALO47&gt;0,(ALO47-APB47)/ALO47,0)</f>
        <v>0</v>
      </c>
      <c r="CP48" s="20" t="n">
        <f aca="false">IF(ALP47&gt;0,(ALP47-APC47)/ALP47,0)</f>
        <v>0</v>
      </c>
      <c r="CQ48" s="20" t="n">
        <f aca="false">IF(ALQ47&gt;0,(ALQ47-APD47)/ALQ47,0)</f>
        <v>0</v>
      </c>
      <c r="CR48" s="20" t="n">
        <f aca="false">IF(ALR47&gt;0,(ALR47-APE47)/ALR47,0)</f>
        <v>0</v>
      </c>
      <c r="CS48" s="20" t="n">
        <f aca="false">IF(ALS47&gt;0,(ALS47-APF47)/ALS47,0)</f>
        <v>0</v>
      </c>
      <c r="CT48" s="20" t="n">
        <f aca="false">IF(ALT47&gt;0,(ALT47-APG47)/ALT47,0)</f>
        <v>0</v>
      </c>
      <c r="CU48" s="20" t="n">
        <f aca="false">IF(ALU47&gt;0,(ALU47-APH47)/ALU47,0)</f>
        <v>0</v>
      </c>
      <c r="CV48" s="20" t="n">
        <f aca="false">IF(ALV47&gt;0,(ALV47-API47)/ALV47,0)</f>
        <v>0</v>
      </c>
      <c r="CW48" s="20" t="n">
        <f aca="false">IF(ALW47&gt;0,(ALW47-APJ47)/ALW47,0)</f>
        <v>0</v>
      </c>
      <c r="CX48" s="20" t="n">
        <f aca="false">IF(ALX47&gt;0,(ALX47-APK47)/ALX47,0)</f>
        <v>0</v>
      </c>
      <c r="CY48" s="20" t="n">
        <f aca="false">IF(ALY47&gt;0,(ALY47-APL47)/ALY47,0)</f>
        <v>0</v>
      </c>
      <c r="CZ48" s="20" t="n">
        <f aca="false">IF(ALZ47&gt;0,(ALZ47-APM47)/ALZ47,0)</f>
        <v>0</v>
      </c>
      <c r="DA48" s="20" t="n">
        <f aca="false">IF(AMA47&gt;0,(AMA47-APN47)/AMA47,0)</f>
        <v>0</v>
      </c>
      <c r="DB48" s="20" t="n">
        <f aca="false">IF(AMB47&gt;0,(AMB47-APO47)/AMB47,0)</f>
        <v>0</v>
      </c>
      <c r="DC48" s="20" t="n">
        <f aca="false">IF(AMC47&gt;0,(AMC47-APP47)/AMC47,0)</f>
        <v>0</v>
      </c>
      <c r="DD48" s="20" t="n">
        <f aca="false">IF(AMD47&gt;0,(AMD47-APQ47)/AMD47,0)</f>
        <v>0</v>
      </c>
      <c r="DE48" s="20" t="n">
        <f aca="false">IF(AME47&gt;0,(AME47-APR47)/AME47,0)</f>
        <v>0</v>
      </c>
      <c r="DF48" s="20" t="n">
        <f aca="false">IF(AMF47&gt;0,(AMF47-APS47)/AMF47,0)</f>
        <v>0</v>
      </c>
      <c r="DG48" s="20" t="n">
        <f aca="false">IF((P48+S48)&gt;0,((P48+S48)-(P48+S48))/(P48+S48),0)</f>
        <v>0</v>
      </c>
      <c r="DH48" s="20" t="n">
        <v>0</v>
      </c>
      <c r="DI48" s="20" t="n">
        <v>0</v>
      </c>
      <c r="DJ48" s="20" t="n">
        <v>0</v>
      </c>
      <c r="DK48" s="20" t="n">
        <v>0</v>
      </c>
      <c r="DL48" s="20" t="n">
        <v>0</v>
      </c>
      <c r="DM48" s="20" t="n">
        <v>0</v>
      </c>
      <c r="DN48" s="20" t="n">
        <v>0</v>
      </c>
      <c r="DO48" s="20" t="n">
        <v>0</v>
      </c>
      <c r="DP48" s="20" t="n">
        <v>0</v>
      </c>
      <c r="DQ48" s="20" t="n">
        <v>0</v>
      </c>
      <c r="DR48" s="20" t="n">
        <v>0</v>
      </c>
      <c r="DS48" s="20" t="n">
        <v>0</v>
      </c>
      <c r="DT48" s="20" t="n">
        <v>0</v>
      </c>
      <c r="DU48" s="20" t="n">
        <v>0</v>
      </c>
      <c r="DV48" s="20" t="n">
        <v>0</v>
      </c>
      <c r="DW48" s="20" t="n">
        <v>0</v>
      </c>
      <c r="DX48" s="20" t="n">
        <v>0</v>
      </c>
      <c r="DY48" s="20" t="n">
        <v>0</v>
      </c>
      <c r="DZ48" s="20" t="n">
        <v>0</v>
      </c>
      <c r="EA48" s="20" t="n">
        <v>0</v>
      </c>
      <c r="EB48" s="20" t="n">
        <v>0</v>
      </c>
      <c r="EC48" s="20" t="n">
        <v>0</v>
      </c>
      <c r="ED48" s="20" t="n">
        <v>0</v>
      </c>
      <c r="EE48" s="20" t="n">
        <v>0</v>
      </c>
      <c r="EF48" s="20" t="n">
        <v>0</v>
      </c>
      <c r="EG48" s="20" t="n">
        <v>0</v>
      </c>
      <c r="EH48" s="20" t="n">
        <v>0</v>
      </c>
      <c r="EI48" s="20" t="n">
        <v>0</v>
      </c>
      <c r="EJ48" s="20" t="n">
        <v>0</v>
      </c>
      <c r="EK48" s="20" t="n">
        <v>0</v>
      </c>
      <c r="EL48" s="20" t="n">
        <v>0</v>
      </c>
      <c r="EM48" s="20" t="n">
        <v>0</v>
      </c>
      <c r="EN48" s="20" t="n">
        <v>0</v>
      </c>
      <c r="EO48" s="20" t="n">
        <v>0</v>
      </c>
      <c r="EP48" s="20" t="n">
        <v>0</v>
      </c>
      <c r="EQ48" s="20" t="n">
        <v>0</v>
      </c>
      <c r="ER48" s="20" t="n">
        <v>0</v>
      </c>
      <c r="ES48" s="20" t="n">
        <v>0</v>
      </c>
      <c r="ET48" s="20" t="n">
        <v>0</v>
      </c>
      <c r="EU48" s="20" t="n">
        <v>0</v>
      </c>
      <c r="EV48" s="20" t="n">
        <v>0</v>
      </c>
      <c r="EW48" s="20" t="n">
        <v>0</v>
      </c>
      <c r="EX48" s="20" t="n">
        <v>0</v>
      </c>
      <c r="EY48" s="20" t="n">
        <v>0</v>
      </c>
      <c r="EZ48" s="20" t="n">
        <v>0</v>
      </c>
      <c r="FA48" s="20" t="n">
        <v>0</v>
      </c>
      <c r="FB48" s="20" t="n">
        <v>0</v>
      </c>
      <c r="FC48" s="20" t="n">
        <v>0</v>
      </c>
      <c r="FD48" s="20" t="n">
        <v>0</v>
      </c>
      <c r="FE48" s="20" t="n">
        <f aca="false">IF(H_Direct=1,IF(AKR47&lt;=0,0,IF(BR48&lt;=0,AKR47,AKR47-G48*MAX(0,BR48*AKR47-(H48+I48)))),AKR47*(1-MAX(0,BR48)*H_Exit))</f>
        <v>0</v>
      </c>
      <c r="FF48" s="20" t="n">
        <f aca="false">IF(H_Direct=1,IF(AKS47&lt;=0,0,IF(BS48&lt;=0,AKS47,AKS47-G48*MAX(0,BS48*AKS47-(IR48+ME48)))),AKS47*(1-MAX(0,BS48)*H_Exit))</f>
        <v>0</v>
      </c>
      <c r="FG48" s="20" t="n">
        <f aca="false">IF(H_Direct=1,IF(AKT47&lt;=0,0,IF(BT48&lt;=0,AKT47,AKT47-G48*MAX(0,BT48*AKT47-(IS48+MF48)))),AKT47*(1-MAX(0,BT48)*H_Exit))</f>
        <v>0</v>
      </c>
      <c r="FH48" s="20" t="n">
        <f aca="false">IF(H_Direct=1,IF(AKU47&lt;=0,0,IF(BU48&lt;=0,AKU47,AKU47-G48*MAX(0,BU48*AKU47-(IT48+MG48)))),AKU47*(1-MAX(0,BU48)*H_Exit))</f>
        <v>0</v>
      </c>
      <c r="FI48" s="20" t="n">
        <f aca="false">IF(H_Direct=1,IF(AKV47&lt;=0,0,IF(BV48&lt;=0,AKV47,AKV47-G48*MAX(0,BV48*AKV47-(IU48+MH48)))),AKV47*(1-MAX(0,BV48)*H_Exit))</f>
        <v>0</v>
      </c>
      <c r="FJ48" s="20" t="n">
        <f aca="false">IF(H_Direct=1,IF(AKW47&lt;=0,0,IF(BW48&lt;=0,AKW47,AKW47-G48*MAX(0,BW48*AKW47-(IV48+MI48)))),AKW47*(1-MAX(0,BW48)*H_Exit))</f>
        <v>0</v>
      </c>
      <c r="FK48" s="20" t="n">
        <f aca="false">IF(H_Direct=1,IF(AKX47&lt;=0,0,IF(BX48&lt;=0,AKX47,AKX47-G48*MAX(0,BX48*AKX47-(IW48+MJ48)))),AKX47*(1-MAX(0,BX48)*H_Exit))</f>
        <v>0</v>
      </c>
      <c r="FL48" s="20" t="n">
        <f aca="false">IF(H_Direct=1,IF(AKY47&lt;=0,0,IF(BY48&lt;=0,AKY47,AKY47-G48*MAX(0,BY48*AKY47-(IX48+MK48)))),AKY47*(1-MAX(0,BY48)*H_Exit))</f>
        <v>0</v>
      </c>
      <c r="FM48" s="20" t="n">
        <f aca="false">IF(H_Direct=1,IF(AKZ47&lt;=0,0,IF(BZ48&lt;=0,AKZ47,AKZ47-G48*MAX(0,BZ48*AKZ47-(IY48+ML48)))),AKZ47*(1-MAX(0,BZ48)*H_Exit))</f>
        <v>0</v>
      </c>
      <c r="FN48" s="20" t="n">
        <f aca="false">IF(H_Direct=1,IF(ALA47&lt;=0,0,IF(CA48&lt;=0,ALA47,ALA47-G48*MAX(0,CA48*ALA47-(IZ48+MM48)))),ALA47*(1-MAX(0,CA48)*H_Exit))</f>
        <v>0</v>
      </c>
      <c r="FO48" s="20" t="n">
        <f aca="false">IF(H_Direct=1,IF(ALB47&lt;=0,0,IF(CB48&lt;=0,ALB47,ALB47-G48*MAX(0,CB48*ALB47-(JA48+MN48)))),ALB47*(1-MAX(0,CB48)*H_Exit))</f>
        <v>0</v>
      </c>
      <c r="FP48" s="20" t="n">
        <f aca="false">IF(H_Direct=1,IF(ALC47&lt;=0,0,IF(CC48&lt;=0,ALC47,ALC47-G48*MAX(0,CC48*ALC47-(JB48+MO48)))),ALC47*(1-MAX(0,CC48)*H_Exit))</f>
        <v>0</v>
      </c>
      <c r="FQ48" s="20" t="n">
        <f aca="false">IF(H_Direct=1,IF(ALD47&lt;=0,0,IF(CD48&lt;=0,ALD47,ALD47-G48*MAX(0,CD48*ALD47-(JC48+MP48)))),ALD47*(1-MAX(0,CD48)*H_Exit))</f>
        <v>0</v>
      </c>
      <c r="FR48" s="20" t="n">
        <f aca="false">IF(H_Direct=1,IF(ALE47&lt;=0,0,IF(CE48&lt;=0,ALE47,ALE47-G48*MAX(0,CE48*ALE47-(JD48+MQ48)))),ALE47*(1-MAX(0,CE48)*H_Exit))</f>
        <v>0</v>
      </c>
      <c r="FS48" s="20" t="n">
        <f aca="false">IF(H_Direct=1,IF(ALF47&lt;=0,0,IF(CF48&lt;=0,ALF47,ALF47-G48*MAX(0,CF48*ALF47-(JE48+MR48)))),ALF47*(1-MAX(0,CF48)*H_Exit))</f>
        <v>0</v>
      </c>
      <c r="FT48" s="20" t="n">
        <f aca="false">IF(H_Direct=1,IF(ALG47&lt;=0,0,IF(CG48&lt;=0,ALG47,ALG47-G48*MAX(0,CG48*ALG47-(JF48+MS48)))),ALG47*(1-MAX(0,CG48)*H_Exit))</f>
        <v>0</v>
      </c>
      <c r="FU48" s="20" t="n">
        <f aca="false">IF(H_Direct=1,IF(ALH47&lt;=0,0,IF(CH48&lt;=0,ALH47,ALH47-G48*MAX(0,CH48*ALH47-(JG48+MT48)))),ALH47*(1-MAX(0,CH48)*H_Exit))</f>
        <v>0</v>
      </c>
      <c r="FV48" s="20" t="n">
        <f aca="false">IF(H_Direct=1,IF(ALI47&lt;=0,0,IF(CI48&lt;=0,ALI47,ALI47-G48*MAX(0,CI48*ALI47-(JH48+MU48)))),ALI47*(1-MAX(0,CI48)*H_Exit))</f>
        <v>0</v>
      </c>
      <c r="FW48" s="20" t="n">
        <f aca="false">IF(H_Direct=1,IF(ALJ47&lt;=0,0,IF(CJ48&lt;=0,ALJ47,ALJ47-G48*MAX(0,CJ48*ALJ47-(JI48+MV48)))),ALJ47*(1-MAX(0,CJ48)*H_Exit))</f>
        <v>0</v>
      </c>
      <c r="FX48" s="20" t="n">
        <f aca="false">IF(H_Direct=1,IF(ALK47&lt;=0,0,IF(CK48&lt;=0,ALK47,ALK47-G48*MAX(0,CK48*ALK47-(JJ48+MW48)))),ALK47*(1-MAX(0,CK48)*H_Exit))</f>
        <v>0</v>
      </c>
      <c r="FY48" s="20" t="n">
        <f aca="false">IF(H_Direct=1,IF(ALL47&lt;=0,0,IF(CL48&lt;=0,ALL47,ALL47-G48*MAX(0,CL48*ALL47-(JK48+MX48)))),ALL47*(1-MAX(0,CL48)*H_Exit))</f>
        <v>0</v>
      </c>
      <c r="FZ48" s="20" t="n">
        <f aca="false">IF(H_Direct=1,IF(ALM47&lt;=0,0,IF(CM48&lt;=0,ALM47,ALM47-G48*MAX(0,CM48*ALM47-(JL48+MY48)))),ALM47*(1-MAX(0,CM48)*H_Exit))</f>
        <v>0</v>
      </c>
      <c r="GA48" s="20" t="n">
        <f aca="false">IF(H_Direct=1,IF(ALN47&lt;=0,0,IF(CN48&lt;=0,ALN47,ALN47-G48*MAX(0,CN48*ALN47-(JM48+MZ48)))),ALN47*(1-MAX(0,CN48)*H_Exit))</f>
        <v>0</v>
      </c>
      <c r="GB48" s="20" t="n">
        <f aca="false">IF(H_Direct=1,IF(ALO47&lt;=0,0,IF(CO48&lt;=0,ALO47,ALO47-G48*MAX(0,CO48*ALO47-(JN48+NA48)))),ALO47*(1-MAX(0,CO48)*H_Exit))</f>
        <v>0</v>
      </c>
      <c r="GC48" s="20" t="n">
        <f aca="false">IF(H_Direct=1,IF(ALP47&lt;=0,0,IF(CP48&lt;=0,ALP47,ALP47-G48*MAX(0,CP48*ALP47-(JO48+NB48)))),ALP47*(1-MAX(0,CP48)*H_Exit))</f>
        <v>0</v>
      </c>
      <c r="GD48" s="20" t="n">
        <f aca="false">IF(H_Direct=1,IF(ALQ47&lt;=0,0,IF(CQ48&lt;=0,ALQ47,ALQ47-G48*MAX(0,CQ48*ALQ47-(JP48+NC48)))),ALQ47*(1-MAX(0,CQ48)*H_Exit))</f>
        <v>0</v>
      </c>
      <c r="GE48" s="20" t="n">
        <f aca="false">IF(H_Direct=1,IF(ALR47&lt;=0,0,IF(CR48&lt;=0,ALR47,ALR47-G48*MAX(0,CR48*ALR47-(JQ48+ND48)))),ALR47*(1-MAX(0,CR48)*H_Exit))</f>
        <v>0</v>
      </c>
      <c r="GF48" s="20" t="n">
        <f aca="false">IF(H_Direct=1,IF(ALS47&lt;=0,0,IF(CS48&lt;=0,ALS47,ALS47-G48*MAX(0,CS48*ALS47-(JR48+NE48)))),ALS47*(1-MAX(0,CS48)*H_Exit))</f>
        <v>0</v>
      </c>
      <c r="GG48" s="20" t="n">
        <f aca="false">IF(H_Direct=1,IF(ALT47&lt;=0,0,IF(CT48&lt;=0,ALT47,ALT47-G48*MAX(0,CT48*ALT47-(JS48+NF48)))),ALT47*(1-MAX(0,CT48)*H_Exit))</f>
        <v>0</v>
      </c>
      <c r="GH48" s="20" t="n">
        <f aca="false">IF(H_Direct=1,IF(ALU47&lt;=0,0,IF(CU48&lt;=0,ALU47,ALU47-G48*MAX(0,CU48*ALU47-(JT48+NG48)))),ALU47*(1-MAX(0,CU48)*H_Exit))</f>
        <v>0</v>
      </c>
      <c r="GI48" s="20" t="n">
        <f aca="false">IF(H_Direct=1,IF(ALV47&lt;=0,0,IF(CV48&lt;=0,ALV47,ALV47-G48*MAX(0,CV48*ALV47-(JU48+NH48)))),ALV47*(1-MAX(0,CV48)*H_Exit))</f>
        <v>0</v>
      </c>
      <c r="GJ48" s="20" t="n">
        <f aca="false">IF(H_Direct=1,IF(ALW47&lt;=0,0,IF(CW48&lt;=0,ALW47,ALW47-G48*MAX(0,CW48*ALW47-(JV48+NI48)))),ALW47*(1-MAX(0,CW48)*H_Exit))</f>
        <v>0</v>
      </c>
      <c r="GK48" s="20" t="n">
        <f aca="false">IF(H_Direct=1,IF(ALX47&lt;=0,0,IF(CX48&lt;=0,ALX47,ALX47-G48*MAX(0,CX48*ALX47-(JW48+NJ48)))),ALX47*(1-MAX(0,CX48)*H_Exit))</f>
        <v>0</v>
      </c>
      <c r="GL48" s="20" t="n">
        <f aca="false">IF(H_Direct=1,IF(ALY47&lt;=0,0,IF(CY48&lt;=0,ALY47,ALY47-G48*MAX(0,CY48*ALY47-(JX48+NK48)))),ALY47*(1-MAX(0,CY48)*H_Exit))</f>
        <v>0</v>
      </c>
      <c r="GM48" s="20" t="n">
        <f aca="false">IF(H_Direct=1,IF(ALZ47&lt;=0,0,IF(CZ48&lt;=0,ALZ47,ALZ47-G48*MAX(0,CZ48*ALZ47-(JY48+NL48)))),ALZ47*(1-MAX(0,CZ48)*H_Exit))</f>
        <v>0</v>
      </c>
      <c r="GN48" s="20" t="n">
        <f aca="false">IF(H_Direct=1,IF(AMA47&lt;=0,0,IF(DA48&lt;=0,AMA47,AMA47-G48*MAX(0,DA48*AMA47-(JZ48+NM48)))),AMA47*(1-MAX(0,DA48)*H_Exit))</f>
        <v>0</v>
      </c>
      <c r="GO48" s="20" t="n">
        <f aca="false">IF(H_Direct=1,IF(AMB47&lt;=0,0,IF(DB48&lt;=0,AMB47,AMB47-G48*MAX(0,DB48*AMB47-(KA48+NN48)))),AMB47*(1-MAX(0,DB48)*H_Exit))</f>
        <v>0</v>
      </c>
      <c r="GP48" s="20" t="n">
        <f aca="false">IF(H_Direct=1,IF(AMC47&lt;=0,0,IF(DC48&lt;=0,AMC47,AMC47-G48*MAX(0,DC48*AMC47-(KB48+NO48)))),AMC47*(1-MAX(0,DC48)*H_Exit))</f>
        <v>0</v>
      </c>
      <c r="GQ48" s="20" t="n">
        <f aca="false">IF(H_Direct=1,IF(AMD47&lt;=0,0,IF(DD48&lt;=0,AMD47,AMD47-G48*MAX(0,DD48*AMD47-(KC48+NP48)))),AMD47*(1-MAX(0,DD48)*H_Exit))</f>
        <v>0</v>
      </c>
      <c r="GR48" s="20" t="n">
        <f aca="false">IF(H_Direct=1,IF(AME47&lt;=0,0,IF(DE48&lt;=0,AME47,AME47-G48*MAX(0,DE48*AME47-(KD48+NQ48)))),AME47*(1-MAX(0,DE48)*H_Exit))</f>
        <v>0</v>
      </c>
      <c r="GS48" s="20" t="n">
        <f aca="false">IF(H_Direct=1,IF(AMF47&lt;=0,0,IF(DF48&lt;=0,AMF47,AMF47-G48*MAX(0,DF48*AMF47-(KE48+NR48)))),AMF47*(1-MAX(0,DF48)*H_Exit))</f>
        <v>0</v>
      </c>
      <c r="GT48" s="20" t="n">
        <f aca="false">IF(H_Direct=1,IF((P48+S48)&lt;=0,0,IF(DG48&lt;=0,(P48+S48),(P48+S48)-G48*MAX(0,DG48*(P48+S48)-(KF48+NS48)))),(P48+S48)*(1-MAX(0,DG48)*H_Exit))</f>
        <v>0</v>
      </c>
      <c r="GU48" s="20" t="n">
        <v>0</v>
      </c>
      <c r="GV48" s="20" t="n">
        <v>0</v>
      </c>
      <c r="GW48" s="20" t="n">
        <v>0</v>
      </c>
      <c r="GX48" s="20" t="n">
        <v>0</v>
      </c>
      <c r="GY48" s="20" t="n">
        <v>0</v>
      </c>
      <c r="GZ48" s="20" t="n">
        <v>0</v>
      </c>
      <c r="HA48" s="20" t="n">
        <v>0</v>
      </c>
      <c r="HB48" s="20" t="n">
        <v>0</v>
      </c>
      <c r="HC48" s="20" t="n">
        <v>0</v>
      </c>
      <c r="HD48" s="20" t="n">
        <v>0</v>
      </c>
      <c r="HE48" s="20" t="n">
        <v>0</v>
      </c>
      <c r="HF48" s="20" t="n">
        <v>0</v>
      </c>
      <c r="HG48" s="20" t="n">
        <v>0</v>
      </c>
      <c r="HH48" s="20" t="n">
        <v>0</v>
      </c>
      <c r="HI48" s="20" t="n">
        <v>0</v>
      </c>
      <c r="HJ48" s="20" t="n">
        <v>0</v>
      </c>
      <c r="HK48" s="20" t="n">
        <v>0</v>
      </c>
      <c r="HL48" s="20" t="n">
        <v>0</v>
      </c>
      <c r="HM48" s="20" t="n">
        <v>0</v>
      </c>
      <c r="HN48" s="20" t="n">
        <v>0</v>
      </c>
      <c r="HO48" s="20" t="n">
        <v>0</v>
      </c>
      <c r="HP48" s="20" t="n">
        <v>0</v>
      </c>
      <c r="HQ48" s="20" t="n">
        <v>0</v>
      </c>
      <c r="HR48" s="20" t="n">
        <v>0</v>
      </c>
      <c r="HS48" s="20" t="n">
        <v>0</v>
      </c>
      <c r="HT48" s="20" t="n">
        <v>0</v>
      </c>
      <c r="HU48" s="20" t="n">
        <v>0</v>
      </c>
      <c r="HV48" s="20" t="n">
        <v>0</v>
      </c>
      <c r="HW48" s="20" t="n">
        <v>0</v>
      </c>
      <c r="HX48" s="20" t="n">
        <v>0</v>
      </c>
      <c r="HY48" s="20" t="n">
        <v>0</v>
      </c>
      <c r="HZ48" s="20" t="n">
        <v>0</v>
      </c>
      <c r="IA48" s="20" t="n">
        <v>0</v>
      </c>
      <c r="IB48" s="20" t="n">
        <v>0</v>
      </c>
      <c r="IC48" s="20" t="n">
        <v>0</v>
      </c>
      <c r="ID48" s="20" t="n">
        <v>0</v>
      </c>
      <c r="IE48" s="20" t="n">
        <v>0</v>
      </c>
      <c r="IF48" s="20" t="n">
        <v>0</v>
      </c>
      <c r="IG48" s="20" t="n">
        <v>0</v>
      </c>
      <c r="IH48" s="20" t="n">
        <v>0</v>
      </c>
      <c r="II48" s="20" t="n">
        <v>0</v>
      </c>
      <c r="IJ48" s="20" t="n">
        <v>0</v>
      </c>
      <c r="IK48" s="20" t="n">
        <v>0</v>
      </c>
      <c r="IL48" s="20" t="n">
        <v>0</v>
      </c>
      <c r="IM48" s="20" t="n">
        <v>0</v>
      </c>
      <c r="IN48" s="20" t="n">
        <v>0</v>
      </c>
      <c r="IO48" s="20" t="n">
        <v>0</v>
      </c>
      <c r="IP48" s="20" t="n">
        <v>0</v>
      </c>
      <c r="IQ48" s="20" t="n">
        <v>0</v>
      </c>
      <c r="IR48" s="20" t="n">
        <f aca="false">IF(AND(H_Direct=1,BR48&gt;0),MAX(0,H48-(MIN(BR48*AKR47,H48+I48)-MIN(MIN(BR48*AKR47,H48+I48),I48))),H48)</f>
        <v>1270</v>
      </c>
      <c r="IS48" s="20" t="n">
        <f aca="false">IF(AND(H_Direct=1,BS48&gt;0),MAX(0,IR48-(MIN(BS48*AKS47,IR48+ME48)-MIN(MIN(BS48*AKS47,IR48+ME48),ME48))),IR48)</f>
        <v>1270</v>
      </c>
      <c r="IT48" s="20" t="n">
        <f aca="false">IF(AND(H_Direct=1,BT48&gt;0),MAX(0,IS48-(MIN(BT48*AKT47,IS48+MF48)-MIN(MIN(BT48*AKT47,IS48+MF48),MF48))),IS48)</f>
        <v>1270</v>
      </c>
      <c r="IU48" s="20" t="n">
        <f aca="false">IF(AND(H_Direct=1,BU48&gt;0),MAX(0,IT48-(MIN(BU48*AKU47,IT48+MG48)-MIN(MIN(BU48*AKU47,IT48+MG48),MG48))),IT48)</f>
        <v>1270</v>
      </c>
      <c r="IV48" s="20" t="n">
        <f aca="false">IF(AND(H_Direct=1,BV48&gt;0),MAX(0,IU48-(MIN(BV48*AKV47,IU48+MH48)-MIN(MIN(BV48*AKV47,IU48+MH48),MH48))),IU48)</f>
        <v>1270</v>
      </c>
      <c r="IW48" s="20" t="n">
        <f aca="false">IF(AND(H_Direct=1,BW48&gt;0),MAX(0,IV48-(MIN(BW48*AKW47,IV48+MI48)-MIN(MIN(BW48*AKW47,IV48+MI48),MI48))),IV48)</f>
        <v>1270</v>
      </c>
      <c r="IX48" s="20" t="n">
        <f aca="false">IF(AND(H_Direct=1,BX48&gt;0),MAX(0,IW48-(MIN(BX48*AKX47,IW48+MJ48)-MIN(MIN(BX48*AKX47,IW48+MJ48),MJ48))),IW48)</f>
        <v>1270</v>
      </c>
      <c r="IY48" s="20" t="n">
        <f aca="false">IF(AND(H_Direct=1,BY48&gt;0),MAX(0,IX48-(MIN(BY48*AKY47,IX48+MK48)-MIN(MIN(BY48*AKY47,IX48+MK48),MK48))),IX48)</f>
        <v>1270</v>
      </c>
      <c r="IZ48" s="20" t="n">
        <f aca="false">IF(AND(H_Direct=1,BZ48&gt;0),MAX(0,IY48-(MIN(BZ48*AKZ47,IY48+ML48)-MIN(MIN(BZ48*AKZ47,IY48+ML48),ML48))),IY48)</f>
        <v>1270</v>
      </c>
      <c r="JA48" s="20" t="n">
        <f aca="false">IF(AND(H_Direct=1,CA48&gt;0),MAX(0,IZ48-(MIN(CA48*ALA47,IZ48+MM48)-MIN(MIN(CA48*ALA47,IZ48+MM48),MM48))),IZ48)</f>
        <v>1270</v>
      </c>
      <c r="JB48" s="20" t="n">
        <f aca="false">IF(AND(H_Direct=1,CB48&gt;0),MAX(0,JA48-(MIN(CB48*ALB47,JA48+MN48)-MIN(MIN(CB48*ALB47,JA48+MN48),MN48))),JA48)</f>
        <v>1270</v>
      </c>
      <c r="JC48" s="20" t="n">
        <f aca="false">IF(AND(H_Direct=1,CC48&gt;0),MAX(0,JB48-(MIN(CC48*ALC47,JB48+MO48)-MIN(MIN(CC48*ALC47,JB48+MO48),MO48))),JB48)</f>
        <v>1270</v>
      </c>
      <c r="JD48" s="20" t="n">
        <f aca="false">IF(AND(H_Direct=1,CD48&gt;0),MAX(0,JC48-(MIN(CD48*ALD47,JC48+MP48)-MIN(MIN(CD48*ALD47,JC48+MP48),MP48))),JC48)</f>
        <v>1270</v>
      </c>
      <c r="JE48" s="20" t="n">
        <f aca="false">IF(AND(H_Direct=1,CE48&gt;0),MAX(0,JD48-(MIN(CE48*ALE47,JD48+MQ48)-MIN(MIN(CE48*ALE47,JD48+MQ48),MQ48))),JD48)</f>
        <v>1270</v>
      </c>
      <c r="JF48" s="20" t="n">
        <f aca="false">IF(AND(H_Direct=1,CF48&gt;0),MAX(0,JE48-(MIN(CF48*ALF47,JE48+MR48)-MIN(MIN(CF48*ALF47,JE48+MR48),MR48))),JE48)</f>
        <v>1270</v>
      </c>
      <c r="JG48" s="20" t="n">
        <f aca="false">IF(AND(H_Direct=1,CG48&gt;0),MAX(0,JF48-(MIN(CG48*ALG47,JF48+MS48)-MIN(MIN(CG48*ALG47,JF48+MS48),MS48))),JF48)</f>
        <v>1270</v>
      </c>
      <c r="JH48" s="20" t="n">
        <f aca="false">IF(AND(H_Direct=1,CH48&gt;0),MAX(0,JG48-(MIN(CH48*ALH47,JG48+MT48)-MIN(MIN(CH48*ALH47,JG48+MT48),MT48))),JG48)</f>
        <v>1270</v>
      </c>
      <c r="JI48" s="20" t="n">
        <f aca="false">IF(AND(H_Direct=1,CI48&gt;0),MAX(0,JH48-(MIN(CI48*ALI47,JH48+MU48)-MIN(MIN(CI48*ALI47,JH48+MU48),MU48))),JH48)</f>
        <v>1270</v>
      </c>
      <c r="JJ48" s="20" t="n">
        <f aca="false">IF(AND(H_Direct=1,CJ48&gt;0),MAX(0,JI48-(MIN(CJ48*ALJ47,JI48+MV48)-MIN(MIN(CJ48*ALJ47,JI48+MV48),MV48))),JI48)</f>
        <v>1270</v>
      </c>
      <c r="JK48" s="20" t="n">
        <f aca="false">IF(AND(H_Direct=1,CK48&gt;0),MAX(0,JJ48-(MIN(CK48*ALK47,JJ48+MW48)-MIN(MIN(CK48*ALK47,JJ48+MW48),MW48))),JJ48)</f>
        <v>1270</v>
      </c>
      <c r="JL48" s="20" t="n">
        <f aca="false">IF(AND(H_Direct=1,CL48&gt;0),MAX(0,JK48-(MIN(CL48*ALL47,JK48+MX48)-MIN(MIN(CL48*ALL47,JK48+MX48),MX48))),JK48)</f>
        <v>1270</v>
      </c>
      <c r="JM48" s="20" t="n">
        <f aca="false">IF(AND(H_Direct=1,CM48&gt;0),MAX(0,JL48-(MIN(CM48*ALM47,JL48+MY48)-MIN(MIN(CM48*ALM47,JL48+MY48),MY48))),JL48)</f>
        <v>1270</v>
      </c>
      <c r="JN48" s="20" t="n">
        <f aca="false">IF(AND(H_Direct=1,CN48&gt;0),MAX(0,JM48-(MIN(CN48*ALN47,JM48+MZ48)-MIN(MIN(CN48*ALN47,JM48+MZ48),MZ48))),JM48)</f>
        <v>1270</v>
      </c>
      <c r="JO48" s="20" t="n">
        <f aca="false">IF(AND(H_Direct=1,CO48&gt;0),MAX(0,JN48-(MIN(CO48*ALO47,JN48+NA48)-MIN(MIN(CO48*ALO47,JN48+NA48),NA48))),JN48)</f>
        <v>1270</v>
      </c>
      <c r="JP48" s="20" t="n">
        <f aca="false">IF(AND(H_Direct=1,CP48&gt;0),MAX(0,JO48-(MIN(CP48*ALP47,JO48+NB48)-MIN(MIN(CP48*ALP47,JO48+NB48),NB48))),JO48)</f>
        <v>1270</v>
      </c>
      <c r="JQ48" s="20" t="n">
        <f aca="false">IF(AND(H_Direct=1,CQ48&gt;0),MAX(0,JP48-(MIN(CQ48*ALQ47,JP48+NC48)-MIN(MIN(CQ48*ALQ47,JP48+NC48),NC48))),JP48)</f>
        <v>1270</v>
      </c>
      <c r="JR48" s="20" t="n">
        <f aca="false">IF(AND(H_Direct=1,CR48&gt;0),MAX(0,JQ48-(MIN(CR48*ALR47,JQ48+ND48)-MIN(MIN(CR48*ALR47,JQ48+ND48),ND48))),JQ48)</f>
        <v>1270</v>
      </c>
      <c r="JS48" s="20" t="n">
        <f aca="false">IF(AND(H_Direct=1,CS48&gt;0),MAX(0,JR48-(MIN(CS48*ALS47,JR48+NE48)-MIN(MIN(CS48*ALS47,JR48+NE48),NE48))),JR48)</f>
        <v>1270</v>
      </c>
      <c r="JT48" s="20" t="n">
        <f aca="false">IF(AND(H_Direct=1,CT48&gt;0),MAX(0,JS48-(MIN(CT48*ALT47,JS48+NF48)-MIN(MIN(CT48*ALT47,JS48+NF48),NF48))),JS48)</f>
        <v>1270</v>
      </c>
      <c r="JU48" s="20" t="n">
        <f aca="false">IF(AND(H_Direct=1,CU48&gt;0),MAX(0,JT48-(MIN(CU48*ALU47,JT48+NG48)-MIN(MIN(CU48*ALU47,JT48+NG48),NG48))),JT48)</f>
        <v>1270</v>
      </c>
      <c r="JV48" s="20" t="n">
        <f aca="false">IF(AND(H_Direct=1,CV48&gt;0),MAX(0,JU48-(MIN(CV48*ALV47,JU48+NH48)-MIN(MIN(CV48*ALV47,JU48+NH48),NH48))),JU48)</f>
        <v>1270</v>
      </c>
      <c r="JW48" s="20" t="n">
        <f aca="false">IF(AND(H_Direct=1,CW48&gt;0),MAX(0,JV48-(MIN(CW48*ALW47,JV48+NI48)-MIN(MIN(CW48*ALW47,JV48+NI48),NI48))),JV48)</f>
        <v>1270</v>
      </c>
      <c r="JX48" s="20" t="n">
        <f aca="false">IF(AND(H_Direct=1,CX48&gt;0),MAX(0,JW48-(MIN(CX48*ALX47,JW48+NJ48)-MIN(MIN(CX48*ALX47,JW48+NJ48),NJ48))),JW48)</f>
        <v>1270</v>
      </c>
      <c r="JY48" s="20" t="n">
        <f aca="false">IF(AND(H_Direct=1,CY48&gt;0),MAX(0,JX48-(MIN(CY48*ALY47,JX48+NK48)-MIN(MIN(CY48*ALY47,JX48+NK48),NK48))),JX48)</f>
        <v>1270</v>
      </c>
      <c r="JZ48" s="20" t="n">
        <f aca="false">IF(AND(H_Direct=1,CZ48&gt;0),MAX(0,JY48-(MIN(CZ48*ALZ47,JY48+NL48)-MIN(MIN(CZ48*ALZ47,JY48+NL48),NL48))),JY48)</f>
        <v>1270</v>
      </c>
      <c r="KA48" s="20" t="n">
        <f aca="false">IF(AND(H_Direct=1,DA48&gt;0),MAX(0,JZ48-(MIN(DA48*AMA47,JZ48+NM48)-MIN(MIN(DA48*AMA47,JZ48+NM48),NM48))),JZ48)</f>
        <v>1270</v>
      </c>
      <c r="KB48" s="20" t="n">
        <f aca="false">IF(AND(H_Direct=1,DB48&gt;0),MAX(0,KA48-(MIN(DB48*AMB47,KA48+NN48)-MIN(MIN(DB48*AMB47,KA48+NN48),NN48))),KA48)</f>
        <v>1270</v>
      </c>
      <c r="KC48" s="20" t="n">
        <f aca="false">IF(AND(H_Direct=1,DC48&gt;0),MAX(0,KB48-(MIN(DC48*AMC47,KB48+NO48)-MIN(MIN(DC48*AMC47,KB48+NO48),NO48))),KB48)</f>
        <v>1270</v>
      </c>
      <c r="KD48" s="20" t="n">
        <f aca="false">IF(AND(H_Direct=1,DD48&gt;0),MAX(0,KC48-(MIN(DD48*AMD47,KC48+NP48)-MIN(MIN(DD48*AMD47,KC48+NP48),NP48))),KC48)</f>
        <v>1270</v>
      </c>
      <c r="KE48" s="20" t="n">
        <f aca="false">IF(AND(H_Direct=1,DE48&gt;0),MAX(0,KD48-(MIN(DE48*AME47,KD48+NQ48)-MIN(MIN(DE48*AME47,KD48+NQ48),NQ48))),KD48)</f>
        <v>1270</v>
      </c>
      <c r="KF48" s="20" t="n">
        <f aca="false">IF(AND(H_Direct=1,DF48&gt;0),MAX(0,KE48-(MIN(DF48*AMF47,KE48+NR48)-MIN(MIN(DF48*AMF47,KE48+NR48),NR48))),KE48)</f>
        <v>1270</v>
      </c>
      <c r="KG48" s="20" t="n">
        <f aca="false">IF(AND(H_Direct=1,DG48&gt;0),MAX(0,KF48-(MIN(DG48*(P48+S48),KF48+NS48)-MIN(MIN(DG48*(P48+S48),KF48+NS48),NS48))),KF48)</f>
        <v>1270</v>
      </c>
      <c r="KH48" s="20" t="n">
        <f aca="false">KG48</f>
        <v>1270</v>
      </c>
      <c r="KI48" s="20" t="n">
        <f aca="false">KH48</f>
        <v>1270</v>
      </c>
      <c r="KJ48" s="20" t="n">
        <f aca="false">KI48</f>
        <v>1270</v>
      </c>
      <c r="KK48" s="20" t="n">
        <f aca="false">KJ48</f>
        <v>1270</v>
      </c>
      <c r="KL48" s="20" t="n">
        <f aca="false">KK48</f>
        <v>1270</v>
      </c>
      <c r="KM48" s="20" t="n">
        <f aca="false">KL48</f>
        <v>1270</v>
      </c>
      <c r="KN48" s="20" t="n">
        <f aca="false">KM48</f>
        <v>1270</v>
      </c>
      <c r="KO48" s="20" t="n">
        <f aca="false">KN48</f>
        <v>1270</v>
      </c>
      <c r="KP48" s="20" t="n">
        <f aca="false">KO48</f>
        <v>1270</v>
      </c>
      <c r="KQ48" s="20" t="n">
        <f aca="false">KP48</f>
        <v>1270</v>
      </c>
      <c r="KR48" s="20" t="n">
        <f aca="false">KQ48</f>
        <v>1270</v>
      </c>
      <c r="KS48" s="20" t="n">
        <f aca="false">KR48</f>
        <v>1270</v>
      </c>
      <c r="KT48" s="20" t="n">
        <f aca="false">KS48</f>
        <v>1270</v>
      </c>
      <c r="KU48" s="20" t="n">
        <f aca="false">KT48</f>
        <v>1270</v>
      </c>
      <c r="KV48" s="20" t="n">
        <f aca="false">KU48</f>
        <v>1270</v>
      </c>
      <c r="KW48" s="20" t="n">
        <f aca="false">KV48</f>
        <v>1270</v>
      </c>
      <c r="KX48" s="20" t="n">
        <f aca="false">KW48</f>
        <v>1270</v>
      </c>
      <c r="KY48" s="20" t="n">
        <f aca="false">KX48</f>
        <v>1270</v>
      </c>
      <c r="KZ48" s="20" t="n">
        <f aca="false">KY48</f>
        <v>1270</v>
      </c>
      <c r="LA48" s="20" t="n">
        <f aca="false">KZ48</f>
        <v>1270</v>
      </c>
      <c r="LB48" s="20" t="n">
        <f aca="false">LA48</f>
        <v>1270</v>
      </c>
      <c r="LC48" s="20" t="n">
        <f aca="false">LB48</f>
        <v>1270</v>
      </c>
      <c r="LD48" s="20" t="n">
        <f aca="false">LC48</f>
        <v>1270</v>
      </c>
      <c r="LE48" s="20" t="n">
        <f aca="false">LD48</f>
        <v>1270</v>
      </c>
      <c r="LF48" s="20" t="n">
        <f aca="false">LE48</f>
        <v>1270</v>
      </c>
      <c r="LG48" s="20" t="n">
        <f aca="false">LF48</f>
        <v>1270</v>
      </c>
      <c r="LH48" s="20" t="n">
        <f aca="false">LG48</f>
        <v>1270</v>
      </c>
      <c r="LI48" s="20" t="n">
        <f aca="false">LH48</f>
        <v>1270</v>
      </c>
      <c r="LJ48" s="20" t="n">
        <f aca="false">LI48</f>
        <v>1270</v>
      </c>
      <c r="LK48" s="20" t="n">
        <f aca="false">LJ48</f>
        <v>1270</v>
      </c>
      <c r="LL48" s="20" t="n">
        <f aca="false">LK48</f>
        <v>1270</v>
      </c>
      <c r="LM48" s="20" t="n">
        <f aca="false">LL48</f>
        <v>1270</v>
      </c>
      <c r="LN48" s="20" t="n">
        <f aca="false">LM48</f>
        <v>1270</v>
      </c>
      <c r="LO48" s="20" t="n">
        <f aca="false">LN48</f>
        <v>1270</v>
      </c>
      <c r="LP48" s="20" t="n">
        <f aca="false">LO48</f>
        <v>1270</v>
      </c>
      <c r="LQ48" s="20" t="n">
        <f aca="false">LP48</f>
        <v>1270</v>
      </c>
      <c r="LR48" s="20" t="n">
        <f aca="false">LQ48</f>
        <v>1270</v>
      </c>
      <c r="LS48" s="20" t="n">
        <f aca="false">LR48</f>
        <v>1270</v>
      </c>
      <c r="LT48" s="20" t="n">
        <f aca="false">LS48</f>
        <v>1270</v>
      </c>
      <c r="LU48" s="20" t="n">
        <f aca="false">LT48</f>
        <v>1270</v>
      </c>
      <c r="LV48" s="20" t="n">
        <f aca="false">LU48</f>
        <v>1270</v>
      </c>
      <c r="LW48" s="20" t="n">
        <f aca="false">LV48</f>
        <v>1270</v>
      </c>
      <c r="LX48" s="20" t="n">
        <f aca="false">LW48</f>
        <v>1270</v>
      </c>
      <c r="LY48" s="20" t="n">
        <f aca="false">LX48</f>
        <v>1270</v>
      </c>
      <c r="LZ48" s="20" t="n">
        <f aca="false">LY48</f>
        <v>1270</v>
      </c>
      <c r="MA48" s="20" t="n">
        <f aca="false">LZ48</f>
        <v>1270</v>
      </c>
      <c r="MB48" s="20" t="n">
        <f aca="false">MA48</f>
        <v>1270</v>
      </c>
      <c r="MC48" s="20" t="n">
        <f aca="false">MB48</f>
        <v>1270</v>
      </c>
      <c r="MD48" s="20" t="n">
        <f aca="false">MC48</f>
        <v>1270</v>
      </c>
      <c r="ME48" s="20" t="n">
        <f aca="false">IF(H_Direct=1,IF(BR48&lt;=0,I48-BR48*AKR47,I48-MIN(MIN(BR48*AKR47,H48+I48),I48)),I48)</f>
        <v>0</v>
      </c>
      <c r="MF48" s="20" t="n">
        <f aca="false">IF(H_Direct=1,IF(BS48&lt;=0,ME48-BS48*AKS47,ME48-MIN(MIN(BS48*AKS47,IR48+ME48),ME48)),ME48)</f>
        <v>0</v>
      </c>
      <c r="MG48" s="20" t="n">
        <f aca="false">IF(H_Direct=1,IF(BT48&lt;=0,MF48-BT48*AKT47,MF48-MIN(MIN(BT48*AKT47,IS48+MF48),MF48)),MF48)</f>
        <v>0</v>
      </c>
      <c r="MH48" s="20" t="n">
        <f aca="false">IF(H_Direct=1,IF(BU48&lt;=0,MG48-BU48*AKU47,MG48-MIN(MIN(BU48*AKU47,IT48+MG48),MG48)),MG48)</f>
        <v>0</v>
      </c>
      <c r="MI48" s="20" t="n">
        <f aca="false">IF(H_Direct=1,IF(BV48&lt;=0,MH48-BV48*AKV47,MH48-MIN(MIN(BV48*AKV47,IU48+MH48),MH48)),MH48)</f>
        <v>0</v>
      </c>
      <c r="MJ48" s="20" t="n">
        <f aca="false">IF(H_Direct=1,IF(BW48&lt;=0,MI48-BW48*AKW47,MI48-MIN(MIN(BW48*AKW47,IV48+MI48),MI48)),MI48)</f>
        <v>0</v>
      </c>
      <c r="MK48" s="20" t="n">
        <f aca="false">IF(H_Direct=1,IF(BX48&lt;=0,MJ48-BX48*AKX47,MJ48-MIN(MIN(BX48*AKX47,IW48+MJ48),MJ48)),MJ48)</f>
        <v>0</v>
      </c>
      <c r="ML48" s="20" t="n">
        <f aca="false">IF(H_Direct=1,IF(BY48&lt;=0,MK48-BY48*AKY47,MK48-MIN(MIN(BY48*AKY47,IX48+MK48),MK48)),MK48)</f>
        <v>0</v>
      </c>
      <c r="MM48" s="20" t="n">
        <f aca="false">IF(H_Direct=1,IF(BZ48&lt;=0,ML48-BZ48*AKZ47,ML48-MIN(MIN(BZ48*AKZ47,IY48+ML48),ML48)),ML48)</f>
        <v>0</v>
      </c>
      <c r="MN48" s="20" t="n">
        <f aca="false">IF(H_Direct=1,IF(CA48&lt;=0,MM48-CA48*ALA47,MM48-MIN(MIN(CA48*ALA47,IZ48+MM48),MM48)),MM48)</f>
        <v>0</v>
      </c>
      <c r="MO48" s="20" t="n">
        <f aca="false">IF(H_Direct=1,IF(CB48&lt;=0,MN48-CB48*ALB47,MN48-MIN(MIN(CB48*ALB47,JA48+MN48),MN48)),MN48)</f>
        <v>0</v>
      </c>
      <c r="MP48" s="20" t="n">
        <f aca="false">IF(H_Direct=1,IF(CC48&lt;=0,MO48-CC48*ALC47,MO48-MIN(MIN(CC48*ALC47,JB48+MO48),MO48)),MO48)</f>
        <v>0</v>
      </c>
      <c r="MQ48" s="20" t="n">
        <f aca="false">IF(H_Direct=1,IF(CD48&lt;=0,MP48-CD48*ALD47,MP48-MIN(MIN(CD48*ALD47,JC48+MP48),MP48)),MP48)</f>
        <v>0</v>
      </c>
      <c r="MR48" s="20" t="n">
        <f aca="false">IF(H_Direct=1,IF(CE48&lt;=0,MQ48-CE48*ALE47,MQ48-MIN(MIN(CE48*ALE47,JD48+MQ48),MQ48)),MQ48)</f>
        <v>0</v>
      </c>
      <c r="MS48" s="20" t="n">
        <f aca="false">IF(H_Direct=1,IF(CF48&lt;=0,MR48-CF48*ALF47,MR48-MIN(MIN(CF48*ALF47,JE48+MR48),MR48)),MR48)</f>
        <v>0</v>
      </c>
      <c r="MT48" s="20" t="n">
        <f aca="false">IF(H_Direct=1,IF(CG48&lt;=0,MS48-CG48*ALG47,MS48-MIN(MIN(CG48*ALG47,JF48+MS48),MS48)),MS48)</f>
        <v>0</v>
      </c>
      <c r="MU48" s="20" t="n">
        <f aca="false">IF(H_Direct=1,IF(CH48&lt;=0,MT48-CH48*ALH47,MT48-MIN(MIN(CH48*ALH47,JG48+MT48),MT48)),MT48)</f>
        <v>0</v>
      </c>
      <c r="MV48" s="20" t="n">
        <f aca="false">IF(H_Direct=1,IF(CI48&lt;=0,MU48-CI48*ALI47,MU48-MIN(MIN(CI48*ALI47,JH48+MU48),MU48)),MU48)</f>
        <v>0</v>
      </c>
      <c r="MW48" s="20" t="n">
        <f aca="false">IF(H_Direct=1,IF(CJ48&lt;=0,MV48-CJ48*ALJ47,MV48-MIN(MIN(CJ48*ALJ47,JI48+MV48),MV48)),MV48)</f>
        <v>0</v>
      </c>
      <c r="MX48" s="20" t="n">
        <f aca="false">IF(H_Direct=1,IF(CK48&lt;=0,MW48-CK48*ALK47,MW48-MIN(MIN(CK48*ALK47,JJ48+MW48),MW48)),MW48)</f>
        <v>0</v>
      </c>
      <c r="MY48" s="20" t="n">
        <f aca="false">IF(H_Direct=1,IF(CL48&lt;=0,MX48-CL48*ALL47,MX48-MIN(MIN(CL48*ALL47,JK48+MX48),MX48)),MX48)</f>
        <v>0</v>
      </c>
      <c r="MZ48" s="20" t="n">
        <f aca="false">IF(H_Direct=1,IF(CM48&lt;=0,MY48-CM48*ALM47,MY48-MIN(MIN(CM48*ALM47,JL48+MY48),MY48)),MY48)</f>
        <v>0</v>
      </c>
      <c r="NA48" s="20" t="n">
        <f aca="false">IF(H_Direct=1,IF(CN48&lt;=0,MZ48-CN48*ALN47,MZ48-MIN(MIN(CN48*ALN47,JM48+MZ48),MZ48)),MZ48)</f>
        <v>0</v>
      </c>
      <c r="NB48" s="20" t="n">
        <f aca="false">IF(H_Direct=1,IF(CO48&lt;=0,NA48-CO48*ALO47,NA48-MIN(MIN(CO48*ALO47,JN48+NA48),NA48)),NA48)</f>
        <v>0</v>
      </c>
      <c r="NC48" s="20" t="n">
        <f aca="false">IF(H_Direct=1,IF(CP48&lt;=0,NB48-CP48*ALP47,NB48-MIN(MIN(CP48*ALP47,JO48+NB48),NB48)),NB48)</f>
        <v>0</v>
      </c>
      <c r="ND48" s="20" t="n">
        <f aca="false">IF(H_Direct=1,IF(CQ48&lt;=0,NC48-CQ48*ALQ47,NC48-MIN(MIN(CQ48*ALQ47,JP48+NC48),NC48)),NC48)</f>
        <v>0</v>
      </c>
      <c r="NE48" s="20" t="n">
        <f aca="false">IF(H_Direct=1,IF(CR48&lt;=0,ND48-CR48*ALR47,ND48-MIN(MIN(CR48*ALR47,JQ48+ND48),ND48)),ND48)</f>
        <v>0</v>
      </c>
      <c r="NF48" s="20" t="n">
        <f aca="false">IF(H_Direct=1,IF(CS48&lt;=0,NE48-CS48*ALS47,NE48-MIN(MIN(CS48*ALS47,JR48+NE48),NE48)),NE48)</f>
        <v>0</v>
      </c>
      <c r="NG48" s="20" t="n">
        <f aca="false">IF(H_Direct=1,IF(CT48&lt;=0,NF48-CT48*ALT47,NF48-MIN(MIN(CT48*ALT47,JS48+NF48),NF48)),NF48)</f>
        <v>0</v>
      </c>
      <c r="NH48" s="20" t="n">
        <f aca="false">IF(H_Direct=1,IF(CU48&lt;=0,NG48-CU48*ALU47,NG48-MIN(MIN(CU48*ALU47,JT48+NG48),NG48)),NG48)</f>
        <v>0</v>
      </c>
      <c r="NI48" s="20" t="n">
        <f aca="false">IF(H_Direct=1,IF(CV48&lt;=0,NH48-CV48*ALV47,NH48-MIN(MIN(CV48*ALV47,JU48+NH48),NH48)),NH48)</f>
        <v>0</v>
      </c>
      <c r="NJ48" s="20" t="n">
        <f aca="false">IF(H_Direct=1,IF(CW48&lt;=0,NI48-CW48*ALW47,NI48-MIN(MIN(CW48*ALW47,JV48+NI48),NI48)),NI48)</f>
        <v>0</v>
      </c>
      <c r="NK48" s="20" t="n">
        <f aca="false">IF(H_Direct=1,IF(CX48&lt;=0,NJ48-CX48*ALX47,NJ48-MIN(MIN(CX48*ALX47,JW48+NJ48),NJ48)),NJ48)</f>
        <v>0</v>
      </c>
      <c r="NL48" s="20" t="n">
        <f aca="false">IF(H_Direct=1,IF(CY48&lt;=0,NK48-CY48*ALY47,NK48-MIN(MIN(CY48*ALY47,JX48+NK48),NK48)),NK48)</f>
        <v>0</v>
      </c>
      <c r="NM48" s="20" t="n">
        <f aca="false">IF(H_Direct=1,IF(CZ48&lt;=0,NL48-CZ48*ALZ47,NL48-MIN(MIN(CZ48*ALZ47,JY48+NL48),NL48)),NL48)</f>
        <v>0</v>
      </c>
      <c r="NN48" s="20" t="n">
        <f aca="false">IF(H_Direct=1,IF(DA48&lt;=0,NM48-DA48*AMA47,NM48-MIN(MIN(DA48*AMA47,JZ48+NM48),NM48)),NM48)</f>
        <v>0</v>
      </c>
      <c r="NO48" s="20" t="n">
        <f aca="false">IF(H_Direct=1,IF(DB48&lt;=0,NN48-DB48*AMB47,NN48-MIN(MIN(DB48*AMB47,KA48+NN48),NN48)),NN48)</f>
        <v>0</v>
      </c>
      <c r="NP48" s="20" t="n">
        <f aca="false">IF(H_Direct=1,IF(DC48&lt;=0,NO48-DC48*AMC47,NO48-MIN(MIN(DC48*AMC47,KB48+NO48),NO48)),NO48)</f>
        <v>0</v>
      </c>
      <c r="NQ48" s="20" t="n">
        <f aca="false">IF(H_Direct=1,IF(DD48&lt;=0,NP48-DD48*AMD47,NP48-MIN(MIN(DD48*AMD47,KC48+NP48),NP48)),NP48)</f>
        <v>0</v>
      </c>
      <c r="NR48" s="20" t="n">
        <f aca="false">IF(H_Direct=1,IF(DE48&lt;=0,NQ48-DE48*AME47,NQ48-MIN(MIN(DE48*AME47,KD48+NQ48),NQ48)),NQ48)</f>
        <v>0</v>
      </c>
      <c r="NS48" s="20" t="n">
        <f aca="false">IF(H_Direct=1,IF(DF48&lt;=0,NR48-DF48*AMF47,NR48-MIN(MIN(DF48*AMF47,KE48+NR48),NR48)),NR48)</f>
        <v>0</v>
      </c>
      <c r="NT48" s="20" t="n">
        <f aca="false">IF(H_Direct=1,IF(DG48&lt;=0,NS48-DG48*(P48+S48),NS48-MIN(MIN(DG48*(P48+S48),KF48+NS48),NS48)),NS48)</f>
        <v>0</v>
      </c>
      <c r="NU48" s="20" t="n">
        <f aca="false">NT48</f>
        <v>0</v>
      </c>
      <c r="NV48" s="20" t="n">
        <f aca="false">NU48</f>
        <v>0</v>
      </c>
      <c r="NW48" s="20" t="n">
        <f aca="false">NV48</f>
        <v>0</v>
      </c>
      <c r="NX48" s="20" t="n">
        <f aca="false">NW48</f>
        <v>0</v>
      </c>
      <c r="NY48" s="20" t="n">
        <f aca="false">NX48</f>
        <v>0</v>
      </c>
      <c r="NZ48" s="20" t="n">
        <f aca="false">NY48</f>
        <v>0</v>
      </c>
      <c r="OA48" s="20" t="n">
        <f aca="false">NZ48</f>
        <v>0</v>
      </c>
      <c r="OB48" s="20" t="n">
        <f aca="false">OA48</f>
        <v>0</v>
      </c>
      <c r="OC48" s="20" t="n">
        <f aca="false">OB48</f>
        <v>0</v>
      </c>
      <c r="OD48" s="20" t="n">
        <f aca="false">OC48</f>
        <v>0</v>
      </c>
      <c r="OE48" s="20" t="n">
        <f aca="false">OD48</f>
        <v>0</v>
      </c>
      <c r="OF48" s="20" t="n">
        <f aca="false">OE48</f>
        <v>0</v>
      </c>
      <c r="OG48" s="20" t="n">
        <f aca="false">OF48</f>
        <v>0</v>
      </c>
      <c r="OH48" s="20" t="n">
        <f aca="false">OG48</f>
        <v>0</v>
      </c>
      <c r="OI48" s="20" t="n">
        <f aca="false">OH48</f>
        <v>0</v>
      </c>
      <c r="OJ48" s="20" t="n">
        <f aca="false">OI48</f>
        <v>0</v>
      </c>
      <c r="OK48" s="20" t="n">
        <f aca="false">OJ48</f>
        <v>0</v>
      </c>
      <c r="OL48" s="20" t="n">
        <f aca="false">OK48</f>
        <v>0</v>
      </c>
      <c r="OM48" s="20" t="n">
        <f aca="false">OL48</f>
        <v>0</v>
      </c>
      <c r="ON48" s="20" t="n">
        <f aca="false">OM48</f>
        <v>0</v>
      </c>
      <c r="OO48" s="20" t="n">
        <f aca="false">ON48</f>
        <v>0</v>
      </c>
      <c r="OP48" s="20" t="n">
        <f aca="false">OO48</f>
        <v>0</v>
      </c>
      <c r="OQ48" s="20" t="n">
        <f aca="false">OP48</f>
        <v>0</v>
      </c>
      <c r="OR48" s="20" t="n">
        <f aca="false">OQ48</f>
        <v>0</v>
      </c>
      <c r="OS48" s="20" t="n">
        <f aca="false">OR48</f>
        <v>0</v>
      </c>
      <c r="OT48" s="20" t="n">
        <f aca="false">OS48</f>
        <v>0</v>
      </c>
      <c r="OU48" s="20" t="n">
        <f aca="false">OT48</f>
        <v>0</v>
      </c>
      <c r="OV48" s="20" t="n">
        <f aca="false">OU48</f>
        <v>0</v>
      </c>
      <c r="OW48" s="20" t="n">
        <f aca="false">OV48</f>
        <v>0</v>
      </c>
      <c r="OX48" s="20" t="n">
        <f aca="false">OW48</f>
        <v>0</v>
      </c>
      <c r="OY48" s="20" t="n">
        <f aca="false">OX48</f>
        <v>0</v>
      </c>
      <c r="OZ48" s="20" t="n">
        <f aca="false">OY48</f>
        <v>0</v>
      </c>
      <c r="PA48" s="20" t="n">
        <f aca="false">OZ48</f>
        <v>0</v>
      </c>
      <c r="PB48" s="20" t="n">
        <f aca="false">PA48</f>
        <v>0</v>
      </c>
      <c r="PC48" s="20" t="n">
        <f aca="false">PB48</f>
        <v>0</v>
      </c>
      <c r="PD48" s="20" t="n">
        <f aca="false">PC48</f>
        <v>0</v>
      </c>
      <c r="PE48" s="20" t="n">
        <f aca="false">PD48</f>
        <v>0</v>
      </c>
      <c r="PF48" s="20" t="n">
        <f aca="false">PE48</f>
        <v>0</v>
      </c>
      <c r="PG48" s="20" t="n">
        <f aca="false">PF48</f>
        <v>0</v>
      </c>
      <c r="PH48" s="20" t="n">
        <f aca="false">PG48</f>
        <v>0</v>
      </c>
      <c r="PI48" s="20" t="n">
        <f aca="false">PH48</f>
        <v>0</v>
      </c>
      <c r="PJ48" s="20" t="n">
        <f aca="false">PI48</f>
        <v>0</v>
      </c>
      <c r="PK48" s="20" t="n">
        <f aca="false">PJ48</f>
        <v>0</v>
      </c>
      <c r="PL48" s="20" t="n">
        <f aca="false">PK48</f>
        <v>0</v>
      </c>
      <c r="PM48" s="20" t="n">
        <f aca="false">PL48</f>
        <v>0</v>
      </c>
      <c r="PN48" s="20" t="n">
        <f aca="false">PM48</f>
        <v>0</v>
      </c>
      <c r="PO48" s="20" t="n">
        <f aca="false">PN48</f>
        <v>0</v>
      </c>
      <c r="PP48" s="20" t="n">
        <f aca="false">PO48</f>
        <v>0</v>
      </c>
      <c r="PQ48" s="20" t="n">
        <f aca="false">PP48</f>
        <v>0</v>
      </c>
      <c r="PR48" s="20" t="n">
        <f aca="false">IF(H_Direct=1,IF(AKR47&lt;=0,0,IF(BR48&lt;=0,MIN(MAX(0,AB48),AKR47),MIN(MAX(0,AB48),AKR47-G48*MAX(0,BR48*AKR47-(H48+I48))))),MIN(FE48,MAX(0,AB48)))</f>
        <v>0</v>
      </c>
      <c r="PS48" s="20" t="n">
        <f aca="false">IF(H_Direct=1,IF(AKS47&lt;=0,0,IF(BS48&lt;=0,MIN(MAX(0,AB48-SUM(PR48:PR48)),AKS47),MIN(MAX(0,AB48-SUM(PR48:PR48)),AKS47-G48*MAX(0,BS48*AKS47-(WR48+AAE48))))),MIN(FF48,MAX(0,AB48-SUM(PR48:PR48))))</f>
        <v>0</v>
      </c>
      <c r="PT48" s="20" t="n">
        <f aca="false">IF(H_Direct=1,IF(AKT47&lt;=0,0,IF(BT48&lt;=0,MIN(MAX(0,AB48-SUM(PR48:PS48)),AKT47),MIN(MAX(0,AB48-SUM(PR48:PS48)),AKT47-G48*MAX(0,BT48*AKT47-(WS48+AAF48))))),MIN(FG48,MAX(0,AB48-SUM(PR48:PS48))))</f>
        <v>0</v>
      </c>
      <c r="PU48" s="20" t="n">
        <f aca="false">IF(H_Direct=1,IF(AKU47&lt;=0,0,IF(BU48&lt;=0,MIN(MAX(0,AB48-SUM(PR48:PT48)),AKU47),MIN(MAX(0,AB48-SUM(PR48:PT48)),AKU47-G48*MAX(0,BU48*AKU47-(WT48+AAG48))))),MIN(FH48,MAX(0,AB48-SUM(PR48:PT48))))</f>
        <v>0</v>
      </c>
      <c r="PV48" s="20" t="n">
        <f aca="false">IF(H_Direct=1,IF(AKV47&lt;=0,0,IF(BV48&lt;=0,MIN(MAX(0,AB48-SUM(PR48:PU48)),AKV47),MIN(MAX(0,AB48-SUM(PR48:PU48)),AKV47-G48*MAX(0,BV48*AKV47-(WU48+AAH48))))),MIN(FI48,MAX(0,AB48-SUM(PR48:PU48))))</f>
        <v>0</v>
      </c>
      <c r="PW48" s="20" t="n">
        <f aca="false">IF(H_Direct=1,IF(AKW47&lt;=0,0,IF(BW48&lt;=0,MIN(MAX(0,AB48-SUM(PR48:PV48)),AKW47),MIN(MAX(0,AB48-SUM(PR48:PV48)),AKW47-G48*MAX(0,BW48*AKW47-(WV48+AAI48))))),MIN(FJ48,MAX(0,AB48-SUM(PR48:PV48))))</f>
        <v>0</v>
      </c>
      <c r="PX48" s="20" t="n">
        <f aca="false">IF(H_Direct=1,IF(AKX47&lt;=0,0,IF(BX48&lt;=0,MIN(MAX(0,AB48-SUM(PR48:PW48)),AKX47),MIN(MAX(0,AB48-SUM(PR48:PW48)),AKX47-G48*MAX(0,BX48*AKX47-(WW48+AAJ48))))),MIN(FK48,MAX(0,AB48-SUM(PR48:PW48))))</f>
        <v>0</v>
      </c>
      <c r="PY48" s="20" t="n">
        <f aca="false">IF(H_Direct=1,IF(AKY47&lt;=0,0,IF(BY48&lt;=0,MIN(MAX(0,AB48-SUM(PR48:PX48)),AKY47),MIN(MAX(0,AB48-SUM(PR48:PX48)),AKY47-G48*MAX(0,BY48*AKY47-(WX48+AAK48))))),MIN(FL48,MAX(0,AB48-SUM(PR48:PX48))))</f>
        <v>0</v>
      </c>
      <c r="PZ48" s="20" t="n">
        <f aca="false">IF(H_Direct=1,IF(AKZ47&lt;=0,0,IF(BZ48&lt;=0,MIN(MAX(0,AB48-SUM(PR48:PY48)),AKZ47),MIN(MAX(0,AB48-SUM(PR48:PY48)),AKZ47-G48*MAX(0,BZ48*AKZ47-(WY48+AAL48))))),MIN(FM48,MAX(0,AB48-SUM(PR48:PY48))))</f>
        <v>0</v>
      </c>
      <c r="QA48" s="20" t="n">
        <f aca="false">IF(H_Direct=1,IF(ALA47&lt;=0,0,IF(CA48&lt;=0,MIN(MAX(0,AB48-SUM(PR48:PZ48)),ALA47),MIN(MAX(0,AB48-SUM(PR48:PZ48)),ALA47-G48*MAX(0,CA48*ALA47-(WZ48+AAM48))))),MIN(FN48,MAX(0,AB48-SUM(PR48:PZ48))))</f>
        <v>0</v>
      </c>
      <c r="QB48" s="20" t="n">
        <f aca="false">IF(H_Direct=1,IF(ALB47&lt;=0,0,IF(CB48&lt;=0,MIN(MAX(0,AB48-SUM(PR48:QA48)),ALB47),MIN(MAX(0,AB48-SUM(PR48:QA48)),ALB47-G48*MAX(0,CB48*ALB47-(XA48+AAN48))))),MIN(FO48,MAX(0,AB48-SUM(PR48:QA48))))</f>
        <v>0</v>
      </c>
      <c r="QC48" s="20" t="n">
        <f aca="false">IF(H_Direct=1,IF(ALC47&lt;=0,0,IF(CC48&lt;=0,MIN(MAX(0,AB48-SUM(PR48:QB48)),ALC47),MIN(MAX(0,AB48-SUM(PR48:QB48)),ALC47-G48*MAX(0,CC48*ALC47-(XB48+AAO48))))),MIN(FP48,MAX(0,AB48-SUM(PR48:QB48))))</f>
        <v>0</v>
      </c>
      <c r="QD48" s="20" t="n">
        <f aca="false">IF(H_Direct=1,IF(ALD47&lt;=0,0,IF(CD48&lt;=0,MIN(MAX(0,AB48-SUM(PR48:QC48)),ALD47),MIN(MAX(0,AB48-SUM(PR48:QC48)),ALD47-G48*MAX(0,CD48*ALD47-(XC48+AAP48))))),MIN(FQ48,MAX(0,AB48-SUM(PR48:QC48))))</f>
        <v>0</v>
      </c>
      <c r="QE48" s="20" t="n">
        <f aca="false">IF(H_Direct=1,IF(ALE47&lt;=0,0,IF(CE48&lt;=0,MIN(MAX(0,AB48-SUM(PR48:QD48)),ALE47),MIN(MAX(0,AB48-SUM(PR48:QD48)),ALE47-G48*MAX(0,CE48*ALE47-(XD48+AAQ48))))),MIN(FR48,MAX(0,AB48-SUM(PR48:QD48))))</f>
        <v>0</v>
      </c>
      <c r="QF48" s="20" t="n">
        <f aca="false">IF(H_Direct=1,IF(ALF47&lt;=0,0,IF(CF48&lt;=0,MIN(MAX(0,AB48-SUM(PR48:QE48)),ALF47),MIN(MAX(0,AB48-SUM(PR48:QE48)),ALF47-G48*MAX(0,CF48*ALF47-(XE48+AAR48))))),MIN(FS48,MAX(0,AB48-SUM(PR48:QE48))))</f>
        <v>0</v>
      </c>
      <c r="QG48" s="20" t="n">
        <f aca="false">IF(H_Direct=1,IF(ALG47&lt;=0,0,IF(CG48&lt;=0,MIN(MAX(0,AB48-SUM(PR48:QF48)),ALG47),MIN(MAX(0,AB48-SUM(PR48:QF48)),ALG47-G48*MAX(0,CG48*ALG47-(XF48+AAS48))))),MIN(FT48,MAX(0,AB48-SUM(PR48:QF48))))</f>
        <v>0</v>
      </c>
      <c r="QH48" s="20" t="n">
        <f aca="false">IF(H_Direct=1,IF(ALH47&lt;=0,0,IF(CH48&lt;=0,MIN(MAX(0,AB48-SUM(PR48:QG48)),ALH47),MIN(MAX(0,AB48-SUM(PR48:QG48)),ALH47-G48*MAX(0,CH48*ALH47-(XG48+AAT48))))),MIN(FU48,MAX(0,AB48-SUM(PR48:QG48))))</f>
        <v>0</v>
      </c>
      <c r="QI48" s="20" t="n">
        <f aca="false">IF(H_Direct=1,IF(ALI47&lt;=0,0,IF(CI48&lt;=0,MIN(MAX(0,AB48-SUM(PR48:QH48)),ALI47),MIN(MAX(0,AB48-SUM(PR48:QH48)),ALI47-G48*MAX(0,CI48*ALI47-(XH48+AAU48))))),MIN(FV48,MAX(0,AB48-SUM(PR48:QH48))))</f>
        <v>0</v>
      </c>
      <c r="QJ48" s="20" t="n">
        <f aca="false">IF(H_Direct=1,IF(ALJ47&lt;=0,0,IF(CJ48&lt;=0,MIN(MAX(0,AB48-SUM(PR48:QI48)),ALJ47),MIN(MAX(0,AB48-SUM(PR48:QI48)),ALJ47-G48*MAX(0,CJ48*ALJ47-(XI48+AAV48))))),MIN(FW48,MAX(0,AB48-SUM(PR48:QI48))))</f>
        <v>0</v>
      </c>
      <c r="QK48" s="20" t="n">
        <f aca="false">IF(H_Direct=1,IF(ALK47&lt;=0,0,IF(CK48&lt;=0,MIN(MAX(0,AB48-SUM(PR48:QJ48)),ALK47),MIN(MAX(0,AB48-SUM(PR48:QJ48)),ALK47-G48*MAX(0,CK48*ALK47-(XJ48+AAW48))))),MIN(FX48,MAX(0,AB48-SUM(PR48:QJ48))))</f>
        <v>0</v>
      </c>
      <c r="QL48" s="20" t="n">
        <f aca="false">IF(H_Direct=1,IF(ALL47&lt;=0,0,IF(CL48&lt;=0,MIN(MAX(0,AB48-SUM(PR48:QK48)),ALL47),MIN(MAX(0,AB48-SUM(PR48:QK48)),ALL47-G48*MAX(0,CL48*ALL47-(XK48+AAX48))))),MIN(FY48,MAX(0,AB48-SUM(PR48:QK48))))</f>
        <v>0</v>
      </c>
      <c r="QM48" s="20" t="n">
        <f aca="false">IF(H_Direct=1,IF(ALM47&lt;=0,0,IF(CM48&lt;=0,MIN(MAX(0,AB48-SUM(PR48:QL48)),ALM47),MIN(MAX(0,AB48-SUM(PR48:QL48)),ALM47-G48*MAX(0,CM48*ALM47-(XL48+AAY48))))),MIN(FZ48,MAX(0,AB48-SUM(PR48:QL48))))</f>
        <v>0</v>
      </c>
      <c r="QN48" s="20" t="n">
        <f aca="false">IF(H_Direct=1,IF(ALN47&lt;=0,0,IF(CN48&lt;=0,MIN(MAX(0,AB48-SUM(PR48:QM48)),ALN47),MIN(MAX(0,AB48-SUM(PR48:QM48)),ALN47-G48*MAX(0,CN48*ALN47-(XM48+AAZ48))))),MIN(GA48,MAX(0,AB48-SUM(PR48:QM48))))</f>
        <v>0</v>
      </c>
      <c r="QO48" s="20" t="n">
        <f aca="false">IF(H_Direct=1,IF(ALO47&lt;=0,0,IF(CO48&lt;=0,MIN(MAX(0,AB48-SUM(PR48:QN48)),ALO47),MIN(MAX(0,AB48-SUM(PR48:QN48)),ALO47-G48*MAX(0,CO48*ALO47-(XN48+ABA48))))),MIN(GB48,MAX(0,AB48-SUM(PR48:QN48))))</f>
        <v>0</v>
      </c>
      <c r="QP48" s="20" t="n">
        <f aca="false">IF(H_Direct=1,IF(ALP47&lt;=0,0,IF(CP48&lt;=0,MIN(MAX(0,AB48-SUM(PR48:QO48)),ALP47),MIN(MAX(0,AB48-SUM(PR48:QO48)),ALP47-G48*MAX(0,CP48*ALP47-(XO48+ABB48))))),MIN(GC48,MAX(0,AB48-SUM(PR48:QO48))))</f>
        <v>0</v>
      </c>
      <c r="QQ48" s="20" t="n">
        <f aca="false">IF(H_Direct=1,IF(ALQ47&lt;=0,0,IF(CQ48&lt;=0,MIN(MAX(0,AB48-SUM(PR48:QP48)),ALQ47),MIN(MAX(0,AB48-SUM(PR48:QP48)),ALQ47-G48*MAX(0,CQ48*ALQ47-(XP48+ABC48))))),MIN(GD48,MAX(0,AB48-SUM(PR48:QP48))))</f>
        <v>0</v>
      </c>
      <c r="QR48" s="20" t="n">
        <f aca="false">IF(H_Direct=1,IF(ALR47&lt;=0,0,IF(CR48&lt;=0,MIN(MAX(0,AB48-SUM(PR48:QQ48)),ALR47),MIN(MAX(0,AB48-SUM(PR48:QQ48)),ALR47-G48*MAX(0,CR48*ALR47-(XQ48+ABD48))))),MIN(GE48,MAX(0,AB48-SUM(PR48:QQ48))))</f>
        <v>0</v>
      </c>
      <c r="QS48" s="20" t="n">
        <f aca="false">IF(H_Direct=1,IF(ALS47&lt;=0,0,IF(CS48&lt;=0,MIN(MAX(0,AB48-SUM(PR48:QR48)),ALS47),MIN(MAX(0,AB48-SUM(PR48:QR48)),ALS47-G48*MAX(0,CS48*ALS47-(XR48+ABE48))))),MIN(GF48,MAX(0,AB48-SUM(PR48:QR48))))</f>
        <v>0</v>
      </c>
      <c r="QT48" s="20" t="n">
        <f aca="false">IF(H_Direct=1,IF(ALT47&lt;=0,0,IF(CT48&lt;=0,MIN(MAX(0,AB48-SUM(PR48:QS48)),ALT47),MIN(MAX(0,AB48-SUM(PR48:QS48)),ALT47-G48*MAX(0,CT48*ALT47-(XS48+ABF48))))),MIN(GG48,MAX(0,AB48-SUM(PR48:QS48))))</f>
        <v>0</v>
      </c>
      <c r="QU48" s="20" t="n">
        <f aca="false">IF(H_Direct=1,IF(ALU47&lt;=0,0,IF(CU48&lt;=0,MIN(MAX(0,AB48-SUM(PR48:QT48)),ALU47),MIN(MAX(0,AB48-SUM(PR48:QT48)),ALU47-G48*MAX(0,CU48*ALU47-(XT48+ABG48))))),MIN(GH48,MAX(0,AB48-SUM(PR48:QT48))))</f>
        <v>0</v>
      </c>
      <c r="QV48" s="20" t="n">
        <f aca="false">IF(H_Direct=1,IF(ALV47&lt;=0,0,IF(CV48&lt;=0,MIN(MAX(0,AB48-SUM(PR48:QU48)),ALV47),MIN(MAX(0,AB48-SUM(PR48:QU48)),ALV47-G48*MAX(0,CV48*ALV47-(XU48+ABH48))))),MIN(GI48,MAX(0,AB48-SUM(PR48:QU48))))</f>
        <v>0</v>
      </c>
      <c r="QW48" s="20" t="n">
        <f aca="false">IF(H_Direct=1,IF(ALW47&lt;=0,0,IF(CW48&lt;=0,MIN(MAX(0,AB48-SUM(PR48:QV48)),ALW47),MIN(MAX(0,AB48-SUM(PR48:QV48)),ALW47-G48*MAX(0,CW48*ALW47-(XV48+ABI48))))),MIN(GJ48,MAX(0,AB48-SUM(PR48:QV48))))</f>
        <v>0</v>
      </c>
      <c r="QX48" s="20" t="n">
        <f aca="false">IF(H_Direct=1,IF(ALX47&lt;=0,0,IF(CX48&lt;=0,MIN(MAX(0,AB48-SUM(PR48:QW48)),ALX47),MIN(MAX(0,AB48-SUM(PR48:QW48)),ALX47-G48*MAX(0,CX48*ALX47-(XW48+ABJ48))))),MIN(GK48,MAX(0,AB48-SUM(PR48:QW48))))</f>
        <v>0</v>
      </c>
      <c r="QY48" s="20" t="n">
        <f aca="false">IF(H_Direct=1,IF(ALY47&lt;=0,0,IF(CY48&lt;=0,MIN(MAX(0,AB48-SUM(PR48:QX48)),ALY47),MIN(MAX(0,AB48-SUM(PR48:QX48)),ALY47-G48*MAX(0,CY48*ALY47-(XX48+ABK48))))),MIN(GL48,MAX(0,AB48-SUM(PR48:QX48))))</f>
        <v>0</v>
      </c>
      <c r="QZ48" s="20" t="n">
        <f aca="false">IF(H_Direct=1,IF(ALZ47&lt;=0,0,IF(CZ48&lt;=0,MIN(MAX(0,AB48-SUM(PR48:QY48)),ALZ47),MIN(MAX(0,AB48-SUM(PR48:QY48)),ALZ47-G48*MAX(0,CZ48*ALZ47-(XY48+ABL48))))),MIN(GM48,MAX(0,AB48-SUM(PR48:QY48))))</f>
        <v>0</v>
      </c>
      <c r="RA48" s="20" t="n">
        <f aca="false">IF(H_Direct=1,IF(AMA47&lt;=0,0,IF(DA48&lt;=0,MIN(MAX(0,AB48-SUM(PR48:QZ48)),AMA47),MIN(MAX(0,AB48-SUM(PR48:QZ48)),AMA47-G48*MAX(0,DA48*AMA47-(XZ48+ABM48))))),MIN(GN48,MAX(0,AB48-SUM(PR48:QZ48))))</f>
        <v>0</v>
      </c>
      <c r="RB48" s="20" t="n">
        <f aca="false">IF(H_Direct=1,IF(AMB47&lt;=0,0,IF(DB48&lt;=0,MIN(MAX(0,AB48-SUM(PR48:RA48)),AMB47),MIN(MAX(0,AB48-SUM(PR48:RA48)),AMB47-G48*MAX(0,DB48*AMB47-(YA48+ABN48))))),MIN(GO48,MAX(0,AB48-SUM(PR48:RA48))))</f>
        <v>0</v>
      </c>
      <c r="RC48" s="20" t="n">
        <f aca="false">IF(H_Direct=1,IF(AMC47&lt;=0,0,IF(DC48&lt;=0,MIN(MAX(0,AB48-SUM(PR48:RB48)),AMC47),MIN(MAX(0,AB48-SUM(PR48:RB48)),AMC47-G48*MAX(0,DC48*AMC47-(YB48+ABO48))))),MIN(GP48,MAX(0,AB48-SUM(PR48:RB48))))</f>
        <v>0</v>
      </c>
      <c r="RD48" s="20" t="n">
        <f aca="false">IF(H_Direct=1,IF(AMD47&lt;=0,0,IF(DD48&lt;=0,MIN(MAX(0,AB48-SUM(PR48:RC48)),AMD47),MIN(MAX(0,AB48-SUM(PR48:RC48)),AMD47-G48*MAX(0,DD48*AMD47-(YC48+ABP48))))),MIN(GQ48,MAX(0,AB48-SUM(PR48:RC48))))</f>
        <v>0</v>
      </c>
      <c r="RE48" s="20" t="n">
        <f aca="false">IF(H_Direct=1,IF(AME47&lt;=0,0,IF(DE48&lt;=0,MIN(MAX(0,AB48-SUM(PR48:RD48)),AME47),MIN(MAX(0,AB48-SUM(PR48:RD48)),AME47-G48*MAX(0,DE48*AME47-(YD48+ABQ48))))),MIN(GR48,MAX(0,AB48-SUM(PR48:RD48))))</f>
        <v>0</v>
      </c>
      <c r="RF48" s="20" t="n">
        <f aca="false">IF(H_Direct=1,IF(AMF47&lt;=0,0,IF(DF48&lt;=0,MIN(MAX(0,AB48-SUM(PR48:RE48)),AMF47),MIN(MAX(0,AB48-SUM(PR48:RE48)),AMF47-G48*MAX(0,DF48*AMF47-(YE48+ABR48))))),MIN(GS48,MAX(0,AB48-SUM(PR48:RE48))))</f>
        <v>0</v>
      </c>
      <c r="RG48" s="20" t="n">
        <f aca="false">IF(H_Direct=1,IF((P48+S48)&lt;=0,0,IF(DG48&lt;=0,MIN(MAX(0,AB48-SUM(PR48:RF48)),(P48+S48)),MIN(MAX(0,AB48-SUM(PR48:RF48)),(P48+S48)-G48*MAX(0,DG48*(P48+S48)-(YF48+ABS48))))),MIN(GT48,MAX(0,AB48-SUM(PR48:RF48))))</f>
        <v>0</v>
      </c>
      <c r="RH48" s="20" t="n">
        <v>0</v>
      </c>
      <c r="RI48" s="20" t="n">
        <v>0</v>
      </c>
      <c r="RJ48" s="20" t="n">
        <v>0</v>
      </c>
      <c r="RK48" s="20" t="n">
        <v>0</v>
      </c>
      <c r="RL48" s="20" t="n">
        <v>0</v>
      </c>
      <c r="RM48" s="20" t="n">
        <v>0</v>
      </c>
      <c r="RN48" s="20" t="n">
        <v>0</v>
      </c>
      <c r="RO48" s="20" t="n">
        <v>0</v>
      </c>
      <c r="RP48" s="20" t="n">
        <v>0</v>
      </c>
      <c r="RQ48" s="20" t="n">
        <v>0</v>
      </c>
      <c r="RR48" s="20" t="n">
        <v>0</v>
      </c>
      <c r="RS48" s="20" t="n">
        <v>0</v>
      </c>
      <c r="RT48" s="20" t="n">
        <v>0</v>
      </c>
      <c r="RU48" s="20" t="n">
        <v>0</v>
      </c>
      <c r="RV48" s="20" t="n">
        <v>0</v>
      </c>
      <c r="RW48" s="20" t="n">
        <v>0</v>
      </c>
      <c r="RX48" s="20" t="n">
        <v>0</v>
      </c>
      <c r="RY48" s="20" t="n">
        <v>0</v>
      </c>
      <c r="RZ48" s="20" t="n">
        <v>0</v>
      </c>
      <c r="SA48" s="20" t="n">
        <v>0</v>
      </c>
      <c r="SB48" s="20" t="n">
        <v>0</v>
      </c>
      <c r="SC48" s="20" t="n">
        <v>0</v>
      </c>
      <c r="SD48" s="20" t="n">
        <v>0</v>
      </c>
      <c r="SE48" s="20" t="n">
        <v>0</v>
      </c>
      <c r="SF48" s="20" t="n">
        <v>0</v>
      </c>
      <c r="SG48" s="20" t="n">
        <v>0</v>
      </c>
      <c r="SH48" s="20" t="n">
        <v>0</v>
      </c>
      <c r="SI48" s="20" t="n">
        <v>0</v>
      </c>
      <c r="SJ48" s="20" t="n">
        <v>0</v>
      </c>
      <c r="SK48" s="20" t="n">
        <v>0</v>
      </c>
      <c r="SL48" s="20" t="n">
        <v>0</v>
      </c>
      <c r="SM48" s="20" t="n">
        <v>0</v>
      </c>
      <c r="SN48" s="20" t="n">
        <v>0</v>
      </c>
      <c r="SO48" s="20" t="n">
        <v>0</v>
      </c>
      <c r="SP48" s="20" t="n">
        <v>0</v>
      </c>
      <c r="SQ48" s="20" t="n">
        <v>0</v>
      </c>
      <c r="SR48" s="20" t="n">
        <v>0</v>
      </c>
      <c r="SS48" s="20" t="n">
        <v>0</v>
      </c>
      <c r="ST48" s="20" t="n">
        <v>0</v>
      </c>
      <c r="SU48" s="20" t="n">
        <v>0</v>
      </c>
      <c r="SV48" s="20" t="n">
        <v>0</v>
      </c>
      <c r="SW48" s="20" t="n">
        <v>0</v>
      </c>
      <c r="SX48" s="20" t="n">
        <v>0</v>
      </c>
      <c r="SY48" s="20" t="n">
        <v>0</v>
      </c>
      <c r="SZ48" s="20" t="n">
        <v>0</v>
      </c>
      <c r="TA48" s="20" t="n">
        <v>0</v>
      </c>
      <c r="TB48" s="20" t="n">
        <v>0</v>
      </c>
      <c r="TC48" s="20" t="n">
        <v>0</v>
      </c>
      <c r="TD48" s="20" t="n">
        <v>0</v>
      </c>
      <c r="TE48" s="20" t="n">
        <f aca="false">IF(AKR47&lt;=0,0,IF(H_Direct=1,IF(BR48&lt;=0,PR48,IF(PR48&lt;=(H48+I48)/BR48,PR48,(PR48-G48*(H48+I48))/(1-G48*BR48))),PR48/(1-MAX(0,BR48)*H_Exit)))</f>
        <v>0</v>
      </c>
      <c r="TF48" s="20" t="n">
        <f aca="false">IF(AKS47&lt;=0,0,IF(H_Direct=1,IF(BS48&lt;=0,PS48,IF(PS48&lt;=(WR48+AAE48)/BS48,PS48,(PS48-G48*(WR48+AAE48))/(1-G48*BS48))),PS48/(1-MAX(0,BS48)*H_Exit)))</f>
        <v>0</v>
      </c>
      <c r="TG48" s="20" t="n">
        <f aca="false">IF(AKT47&lt;=0,0,IF(H_Direct=1,IF(BT48&lt;=0,PT48,IF(PT48&lt;=(WS48+AAF48)/BT48,PT48,(PT48-G48*(WS48+AAF48))/(1-G48*BT48))),PT48/(1-MAX(0,BT48)*H_Exit)))</f>
        <v>0</v>
      </c>
      <c r="TH48" s="20" t="n">
        <f aca="false">IF(AKU47&lt;=0,0,IF(H_Direct=1,IF(BU48&lt;=0,PU48,IF(PU48&lt;=(WT48+AAG48)/BU48,PU48,(PU48-G48*(WT48+AAG48))/(1-G48*BU48))),PU48/(1-MAX(0,BU48)*H_Exit)))</f>
        <v>0</v>
      </c>
      <c r="TI48" s="20" t="n">
        <f aca="false">IF(AKV47&lt;=0,0,IF(H_Direct=1,IF(BV48&lt;=0,PV48,IF(PV48&lt;=(WU48+AAH48)/BV48,PV48,(PV48-G48*(WU48+AAH48))/(1-G48*BV48))),PV48/(1-MAX(0,BV48)*H_Exit)))</f>
        <v>0</v>
      </c>
      <c r="TJ48" s="20" t="n">
        <f aca="false">IF(AKW47&lt;=0,0,IF(H_Direct=1,IF(BW48&lt;=0,PW48,IF(PW48&lt;=(WV48+AAI48)/BW48,PW48,(PW48-G48*(WV48+AAI48))/(1-G48*BW48))),PW48/(1-MAX(0,BW48)*H_Exit)))</f>
        <v>0</v>
      </c>
      <c r="TK48" s="20" t="n">
        <f aca="false">IF(AKX47&lt;=0,0,IF(H_Direct=1,IF(BX48&lt;=0,PX48,IF(PX48&lt;=(WW48+AAJ48)/BX48,PX48,(PX48-G48*(WW48+AAJ48))/(1-G48*BX48))),PX48/(1-MAX(0,BX48)*H_Exit)))</f>
        <v>0</v>
      </c>
      <c r="TL48" s="20" t="n">
        <f aca="false">IF(AKY47&lt;=0,0,IF(H_Direct=1,IF(BY48&lt;=0,PY48,IF(PY48&lt;=(WX48+AAK48)/BY48,PY48,(PY48-G48*(WX48+AAK48))/(1-G48*BY48))),PY48/(1-MAX(0,BY48)*H_Exit)))</f>
        <v>0</v>
      </c>
      <c r="TM48" s="20" t="n">
        <f aca="false">IF(AKZ47&lt;=0,0,IF(H_Direct=1,IF(BZ48&lt;=0,PZ48,IF(PZ48&lt;=(WY48+AAL48)/BZ48,PZ48,(PZ48-G48*(WY48+AAL48))/(1-G48*BZ48))),PZ48/(1-MAX(0,BZ48)*H_Exit)))</f>
        <v>0</v>
      </c>
      <c r="TN48" s="20" t="n">
        <f aca="false">IF(ALA47&lt;=0,0,IF(H_Direct=1,IF(CA48&lt;=0,QA48,IF(QA48&lt;=(WZ48+AAM48)/CA48,QA48,(QA48-G48*(WZ48+AAM48))/(1-G48*CA48))),QA48/(1-MAX(0,CA48)*H_Exit)))</f>
        <v>0</v>
      </c>
      <c r="TO48" s="20" t="n">
        <f aca="false">IF(ALB47&lt;=0,0,IF(H_Direct=1,IF(CB48&lt;=0,QB48,IF(QB48&lt;=(XA48+AAN48)/CB48,QB48,(QB48-G48*(XA48+AAN48))/(1-G48*CB48))),QB48/(1-MAX(0,CB48)*H_Exit)))</f>
        <v>0</v>
      </c>
      <c r="TP48" s="20" t="n">
        <f aca="false">IF(ALC47&lt;=0,0,IF(H_Direct=1,IF(CC48&lt;=0,QC48,IF(QC48&lt;=(XB48+AAO48)/CC48,QC48,(QC48-G48*(XB48+AAO48))/(1-G48*CC48))),QC48/(1-MAX(0,CC48)*H_Exit)))</f>
        <v>0</v>
      </c>
      <c r="TQ48" s="20" t="n">
        <f aca="false">IF(ALD47&lt;=0,0,IF(H_Direct=1,IF(CD48&lt;=0,QD48,IF(QD48&lt;=(XC48+AAP48)/CD48,QD48,(QD48-G48*(XC48+AAP48))/(1-G48*CD48))),QD48/(1-MAX(0,CD48)*H_Exit)))</f>
        <v>0</v>
      </c>
      <c r="TR48" s="20" t="n">
        <f aca="false">IF(ALE47&lt;=0,0,IF(H_Direct=1,IF(CE48&lt;=0,QE48,IF(QE48&lt;=(XD48+AAQ48)/CE48,QE48,(QE48-G48*(XD48+AAQ48))/(1-G48*CE48))),QE48/(1-MAX(0,CE48)*H_Exit)))</f>
        <v>0</v>
      </c>
      <c r="TS48" s="20" t="n">
        <f aca="false">IF(ALF47&lt;=0,0,IF(H_Direct=1,IF(CF48&lt;=0,QF48,IF(QF48&lt;=(XE48+AAR48)/CF48,QF48,(QF48-G48*(XE48+AAR48))/(1-G48*CF48))),QF48/(1-MAX(0,CF48)*H_Exit)))</f>
        <v>0</v>
      </c>
      <c r="TT48" s="20" t="n">
        <f aca="false">IF(ALG47&lt;=0,0,IF(H_Direct=1,IF(CG48&lt;=0,QG48,IF(QG48&lt;=(XF48+AAS48)/CG48,QG48,(QG48-G48*(XF48+AAS48))/(1-G48*CG48))),QG48/(1-MAX(0,CG48)*H_Exit)))</f>
        <v>0</v>
      </c>
      <c r="TU48" s="20" t="n">
        <f aca="false">IF(ALH47&lt;=0,0,IF(H_Direct=1,IF(CH48&lt;=0,QH48,IF(QH48&lt;=(XG48+AAT48)/CH48,QH48,(QH48-G48*(XG48+AAT48))/(1-G48*CH48))),QH48/(1-MAX(0,CH48)*H_Exit)))</f>
        <v>0</v>
      </c>
      <c r="TV48" s="20" t="n">
        <f aca="false">IF(ALI47&lt;=0,0,IF(H_Direct=1,IF(CI48&lt;=0,QI48,IF(QI48&lt;=(XH48+AAU48)/CI48,QI48,(QI48-G48*(XH48+AAU48))/(1-G48*CI48))),QI48/(1-MAX(0,CI48)*H_Exit)))</f>
        <v>0</v>
      </c>
      <c r="TW48" s="20" t="n">
        <f aca="false">IF(ALJ47&lt;=0,0,IF(H_Direct=1,IF(CJ48&lt;=0,QJ48,IF(QJ48&lt;=(XI48+AAV48)/CJ48,QJ48,(QJ48-G48*(XI48+AAV48))/(1-G48*CJ48))),QJ48/(1-MAX(0,CJ48)*H_Exit)))</f>
        <v>0</v>
      </c>
      <c r="TX48" s="20" t="n">
        <f aca="false">IF(ALK47&lt;=0,0,IF(H_Direct=1,IF(CK48&lt;=0,QK48,IF(QK48&lt;=(XJ48+AAW48)/CK48,QK48,(QK48-G48*(XJ48+AAW48))/(1-G48*CK48))),QK48/(1-MAX(0,CK48)*H_Exit)))</f>
        <v>0</v>
      </c>
      <c r="TY48" s="20" t="n">
        <f aca="false">IF(ALL47&lt;=0,0,IF(H_Direct=1,IF(CL48&lt;=0,QL48,IF(QL48&lt;=(XK48+AAX48)/CL48,QL48,(QL48-G48*(XK48+AAX48))/(1-G48*CL48))),QL48/(1-MAX(0,CL48)*H_Exit)))</f>
        <v>0</v>
      </c>
      <c r="TZ48" s="20" t="n">
        <f aca="false">IF(ALM47&lt;=0,0,IF(H_Direct=1,IF(CM48&lt;=0,QM48,IF(QM48&lt;=(XL48+AAY48)/CM48,QM48,(QM48-G48*(XL48+AAY48))/(1-G48*CM48))),QM48/(1-MAX(0,CM48)*H_Exit)))</f>
        <v>0</v>
      </c>
      <c r="UA48" s="20" t="n">
        <f aca="false">IF(ALN47&lt;=0,0,IF(H_Direct=1,IF(CN48&lt;=0,QN48,IF(QN48&lt;=(XM48+AAZ48)/CN48,QN48,(QN48-G48*(XM48+AAZ48))/(1-G48*CN48))),QN48/(1-MAX(0,CN48)*H_Exit)))</f>
        <v>0</v>
      </c>
      <c r="UB48" s="20" t="n">
        <f aca="false">IF(ALO47&lt;=0,0,IF(H_Direct=1,IF(CO48&lt;=0,QO48,IF(QO48&lt;=(XN48+ABA48)/CO48,QO48,(QO48-G48*(XN48+ABA48))/(1-G48*CO48))),QO48/(1-MAX(0,CO48)*H_Exit)))</f>
        <v>0</v>
      </c>
      <c r="UC48" s="20" t="n">
        <f aca="false">IF(ALP47&lt;=0,0,IF(H_Direct=1,IF(CP48&lt;=0,QP48,IF(QP48&lt;=(XO48+ABB48)/CP48,QP48,(QP48-G48*(XO48+ABB48))/(1-G48*CP48))),QP48/(1-MAX(0,CP48)*H_Exit)))</f>
        <v>0</v>
      </c>
      <c r="UD48" s="20" t="n">
        <f aca="false">IF(ALQ47&lt;=0,0,IF(H_Direct=1,IF(CQ48&lt;=0,QQ48,IF(QQ48&lt;=(XP48+ABC48)/CQ48,QQ48,(QQ48-G48*(XP48+ABC48))/(1-G48*CQ48))),QQ48/(1-MAX(0,CQ48)*H_Exit)))</f>
        <v>0</v>
      </c>
      <c r="UE48" s="20" t="n">
        <f aca="false">IF(ALR47&lt;=0,0,IF(H_Direct=1,IF(CR48&lt;=0,QR48,IF(QR48&lt;=(XQ48+ABD48)/CR48,QR48,(QR48-G48*(XQ48+ABD48))/(1-G48*CR48))),QR48/(1-MAX(0,CR48)*H_Exit)))</f>
        <v>0</v>
      </c>
      <c r="UF48" s="20" t="n">
        <f aca="false">IF(ALS47&lt;=0,0,IF(H_Direct=1,IF(CS48&lt;=0,QS48,IF(QS48&lt;=(XR48+ABE48)/CS48,QS48,(QS48-G48*(XR48+ABE48))/(1-G48*CS48))),QS48/(1-MAX(0,CS48)*H_Exit)))</f>
        <v>0</v>
      </c>
      <c r="UG48" s="20" t="n">
        <f aca="false">IF(ALT47&lt;=0,0,IF(H_Direct=1,IF(CT48&lt;=0,QT48,IF(QT48&lt;=(XS48+ABF48)/CT48,QT48,(QT48-G48*(XS48+ABF48))/(1-G48*CT48))),QT48/(1-MAX(0,CT48)*H_Exit)))</f>
        <v>0</v>
      </c>
      <c r="UH48" s="20" t="n">
        <f aca="false">IF(ALU47&lt;=0,0,IF(H_Direct=1,IF(CU48&lt;=0,QU48,IF(QU48&lt;=(XT48+ABG48)/CU48,QU48,(QU48-G48*(XT48+ABG48))/(1-G48*CU48))),QU48/(1-MAX(0,CU48)*H_Exit)))</f>
        <v>0</v>
      </c>
      <c r="UI48" s="20" t="n">
        <f aca="false">IF(ALV47&lt;=0,0,IF(H_Direct=1,IF(CV48&lt;=0,QV48,IF(QV48&lt;=(XU48+ABH48)/CV48,QV48,(QV48-G48*(XU48+ABH48))/(1-G48*CV48))),QV48/(1-MAX(0,CV48)*H_Exit)))</f>
        <v>0</v>
      </c>
      <c r="UJ48" s="20" t="n">
        <f aca="false">IF(ALW47&lt;=0,0,IF(H_Direct=1,IF(CW48&lt;=0,QW48,IF(QW48&lt;=(XV48+ABI48)/CW48,QW48,(QW48-G48*(XV48+ABI48))/(1-G48*CW48))),QW48/(1-MAX(0,CW48)*H_Exit)))</f>
        <v>0</v>
      </c>
      <c r="UK48" s="20" t="n">
        <f aca="false">IF(ALX47&lt;=0,0,IF(H_Direct=1,IF(CX48&lt;=0,QX48,IF(QX48&lt;=(XW48+ABJ48)/CX48,QX48,(QX48-G48*(XW48+ABJ48))/(1-G48*CX48))),QX48/(1-MAX(0,CX48)*H_Exit)))</f>
        <v>0</v>
      </c>
      <c r="UL48" s="20" t="n">
        <f aca="false">IF(ALY47&lt;=0,0,IF(H_Direct=1,IF(CY48&lt;=0,QY48,IF(QY48&lt;=(XX48+ABK48)/CY48,QY48,(QY48-G48*(XX48+ABK48))/(1-G48*CY48))),QY48/(1-MAX(0,CY48)*H_Exit)))</f>
        <v>0</v>
      </c>
      <c r="UM48" s="20" t="n">
        <f aca="false">IF(ALZ47&lt;=0,0,IF(H_Direct=1,IF(CZ48&lt;=0,QZ48,IF(QZ48&lt;=(XY48+ABL48)/CZ48,QZ48,(QZ48-G48*(XY48+ABL48))/(1-G48*CZ48))),QZ48/(1-MAX(0,CZ48)*H_Exit)))</f>
        <v>0</v>
      </c>
      <c r="UN48" s="20" t="n">
        <f aca="false">IF(AMA47&lt;=0,0,IF(H_Direct=1,IF(DA48&lt;=0,RA48,IF(RA48&lt;=(XZ48+ABM48)/DA48,RA48,(RA48-G48*(XZ48+ABM48))/(1-G48*DA48))),RA48/(1-MAX(0,DA48)*H_Exit)))</f>
        <v>0</v>
      </c>
      <c r="UO48" s="20" t="n">
        <f aca="false">IF(AMB47&lt;=0,0,IF(H_Direct=1,IF(DB48&lt;=0,RB48,IF(RB48&lt;=(YA48+ABN48)/DB48,RB48,(RB48-G48*(YA48+ABN48))/(1-G48*DB48))),RB48/(1-MAX(0,DB48)*H_Exit)))</f>
        <v>0</v>
      </c>
      <c r="UP48" s="20" t="n">
        <f aca="false">IF(AMC47&lt;=0,0,IF(H_Direct=1,IF(DC48&lt;=0,RC48,IF(RC48&lt;=(YB48+ABO48)/DC48,RC48,(RC48-G48*(YB48+ABO48))/(1-G48*DC48))),RC48/(1-MAX(0,DC48)*H_Exit)))</f>
        <v>0</v>
      </c>
      <c r="UQ48" s="20" t="n">
        <f aca="false">IF(AMD47&lt;=0,0,IF(H_Direct=1,IF(DD48&lt;=0,RD48,IF(RD48&lt;=(YC48+ABP48)/DD48,RD48,(RD48-G48*(YC48+ABP48))/(1-G48*DD48))),RD48/(1-MAX(0,DD48)*H_Exit)))</f>
        <v>0</v>
      </c>
      <c r="UR48" s="20" t="n">
        <f aca="false">IF(AME47&lt;=0,0,IF(H_Direct=1,IF(DE48&lt;=0,RE48,IF(RE48&lt;=(YD48+ABQ48)/DE48,RE48,(RE48-G48*(YD48+ABQ48))/(1-G48*DE48))),RE48/(1-MAX(0,DE48)*H_Exit)))</f>
        <v>0</v>
      </c>
      <c r="US48" s="20" t="n">
        <f aca="false">IF(AMF47&lt;=0,0,IF(H_Direct=1,IF(DF48&lt;=0,RF48,IF(RF48&lt;=(YE48+ABR48)/DF48,RF48,(RF48-G48*(YE48+ABR48))/(1-G48*DF48))),RF48/(1-MAX(0,DF48)*H_Exit)))</f>
        <v>0</v>
      </c>
      <c r="UT48" s="20" t="n">
        <f aca="false">IF((P48+S48)&lt;=0,0,IF(H_Direct=1,IF(DG48&lt;=0,RG48,IF(RG48&lt;=(YF48+ABS48)/DG48,RG48,(RG48-G48*(YF48+ABS48))/(1-G48*DG48))),RG48/(1-MAX(0,DG48)*H_Exit)))</f>
        <v>0</v>
      </c>
      <c r="UU48" s="20" t="n">
        <v>0</v>
      </c>
      <c r="UV48" s="20" t="n">
        <v>0</v>
      </c>
      <c r="UW48" s="20" t="n">
        <v>0</v>
      </c>
      <c r="UX48" s="20" t="n">
        <v>0</v>
      </c>
      <c r="UY48" s="20" t="n">
        <v>0</v>
      </c>
      <c r="UZ48" s="20" t="n">
        <v>0</v>
      </c>
      <c r="VA48" s="20" t="n">
        <v>0</v>
      </c>
      <c r="VB48" s="20" t="n">
        <v>0</v>
      </c>
      <c r="VC48" s="20" t="n">
        <v>0</v>
      </c>
      <c r="VD48" s="20" t="n">
        <v>0</v>
      </c>
      <c r="VE48" s="20" t="n">
        <v>0</v>
      </c>
      <c r="VF48" s="20" t="n">
        <v>0</v>
      </c>
      <c r="VG48" s="20" t="n">
        <v>0</v>
      </c>
      <c r="VH48" s="20" t="n">
        <v>0</v>
      </c>
      <c r="VI48" s="20" t="n">
        <v>0</v>
      </c>
      <c r="VJ48" s="20" t="n">
        <v>0</v>
      </c>
      <c r="VK48" s="20" t="n">
        <v>0</v>
      </c>
      <c r="VL48" s="20" t="n">
        <v>0</v>
      </c>
      <c r="VM48" s="20" t="n">
        <v>0</v>
      </c>
      <c r="VN48" s="20" t="n">
        <v>0</v>
      </c>
      <c r="VO48" s="20" t="n">
        <v>0</v>
      </c>
      <c r="VP48" s="20" t="n">
        <v>0</v>
      </c>
      <c r="VQ48" s="20" t="n">
        <v>0</v>
      </c>
      <c r="VR48" s="20" t="n">
        <v>0</v>
      </c>
      <c r="VS48" s="20" t="n">
        <v>0</v>
      </c>
      <c r="VT48" s="20" t="n">
        <v>0</v>
      </c>
      <c r="VU48" s="20" t="n">
        <v>0</v>
      </c>
      <c r="VV48" s="20" t="n">
        <v>0</v>
      </c>
      <c r="VW48" s="20" t="n">
        <v>0</v>
      </c>
      <c r="VX48" s="20" t="n">
        <v>0</v>
      </c>
      <c r="VY48" s="20" t="n">
        <v>0</v>
      </c>
      <c r="VZ48" s="20" t="n">
        <v>0</v>
      </c>
      <c r="WA48" s="20" t="n">
        <v>0</v>
      </c>
      <c r="WB48" s="20" t="n">
        <v>0</v>
      </c>
      <c r="WC48" s="20" t="n">
        <v>0</v>
      </c>
      <c r="WD48" s="20" t="n">
        <v>0</v>
      </c>
      <c r="WE48" s="20" t="n">
        <v>0</v>
      </c>
      <c r="WF48" s="20" t="n">
        <v>0</v>
      </c>
      <c r="WG48" s="20" t="n">
        <v>0</v>
      </c>
      <c r="WH48" s="20" t="n">
        <v>0</v>
      </c>
      <c r="WI48" s="20" t="n">
        <v>0</v>
      </c>
      <c r="WJ48" s="20" t="n">
        <v>0</v>
      </c>
      <c r="WK48" s="20" t="n">
        <v>0</v>
      </c>
      <c r="WL48" s="20" t="n">
        <v>0</v>
      </c>
      <c r="WM48" s="20" t="n">
        <v>0</v>
      </c>
      <c r="WN48" s="20" t="n">
        <v>0</v>
      </c>
      <c r="WO48" s="20" t="n">
        <v>0</v>
      </c>
      <c r="WP48" s="20" t="n">
        <v>0</v>
      </c>
      <c r="WQ48" s="20" t="n">
        <v>0</v>
      </c>
      <c r="WR48" s="20" t="n">
        <f aca="false">IF(AND(H_Direct=1,BR48&gt;0),MAX(0,H48-(MIN(BR48*TE48,(H48+I48))-MIN(MIN(BR48*TE48,(H48+I48)),I48))),H48)</f>
        <v>1270</v>
      </c>
      <c r="WS48" s="20" t="n">
        <f aca="false">IF(AND(H_Direct=1,BS48&gt;0),MAX(0,WR48-(MIN(BS48*TF48,(WR48+AAE48))-MIN(MIN(BS48*TF48,(WR48+AAE48)),AAE48))),WR48)</f>
        <v>1270</v>
      </c>
      <c r="WT48" s="20" t="n">
        <f aca="false">IF(AND(H_Direct=1,BT48&gt;0),MAX(0,WS48-(MIN(BT48*TG48,(WS48+AAF48))-MIN(MIN(BT48*TG48,(WS48+AAF48)),AAF48))),WS48)</f>
        <v>1270</v>
      </c>
      <c r="WU48" s="20" t="n">
        <f aca="false">IF(AND(H_Direct=1,BU48&gt;0),MAX(0,WT48-(MIN(BU48*TH48,(WT48+AAG48))-MIN(MIN(BU48*TH48,(WT48+AAG48)),AAG48))),WT48)</f>
        <v>1270</v>
      </c>
      <c r="WV48" s="20" t="n">
        <f aca="false">IF(AND(H_Direct=1,BV48&gt;0),MAX(0,WU48-(MIN(BV48*TI48,(WU48+AAH48))-MIN(MIN(BV48*TI48,(WU48+AAH48)),AAH48))),WU48)</f>
        <v>1270</v>
      </c>
      <c r="WW48" s="20" t="n">
        <f aca="false">IF(AND(H_Direct=1,BW48&gt;0),MAX(0,WV48-(MIN(BW48*TJ48,(WV48+AAI48))-MIN(MIN(BW48*TJ48,(WV48+AAI48)),AAI48))),WV48)</f>
        <v>1270</v>
      </c>
      <c r="WX48" s="20" t="n">
        <f aca="false">IF(AND(H_Direct=1,BX48&gt;0),MAX(0,WW48-(MIN(BX48*TK48,(WW48+AAJ48))-MIN(MIN(BX48*TK48,(WW48+AAJ48)),AAJ48))),WW48)</f>
        <v>1270</v>
      </c>
      <c r="WY48" s="20" t="n">
        <f aca="false">IF(AND(H_Direct=1,BY48&gt;0),MAX(0,WX48-(MIN(BY48*TL48,(WX48+AAK48))-MIN(MIN(BY48*TL48,(WX48+AAK48)),AAK48))),WX48)</f>
        <v>1270</v>
      </c>
      <c r="WZ48" s="20" t="n">
        <f aca="false">IF(AND(H_Direct=1,BZ48&gt;0),MAX(0,WY48-(MIN(BZ48*TM48,(WY48+AAL48))-MIN(MIN(BZ48*TM48,(WY48+AAL48)),AAL48))),WY48)</f>
        <v>1270</v>
      </c>
      <c r="XA48" s="20" t="n">
        <f aca="false">IF(AND(H_Direct=1,CA48&gt;0),MAX(0,WZ48-(MIN(CA48*TN48,(WZ48+AAM48))-MIN(MIN(CA48*TN48,(WZ48+AAM48)),AAM48))),WZ48)</f>
        <v>1270</v>
      </c>
      <c r="XB48" s="20" t="n">
        <f aca="false">IF(AND(H_Direct=1,CB48&gt;0),MAX(0,XA48-(MIN(CB48*TO48,(XA48+AAN48))-MIN(MIN(CB48*TO48,(XA48+AAN48)),AAN48))),XA48)</f>
        <v>1270</v>
      </c>
      <c r="XC48" s="20" t="n">
        <f aca="false">IF(AND(H_Direct=1,CC48&gt;0),MAX(0,XB48-(MIN(CC48*TP48,(XB48+AAO48))-MIN(MIN(CC48*TP48,(XB48+AAO48)),AAO48))),XB48)</f>
        <v>1270</v>
      </c>
      <c r="XD48" s="20" t="n">
        <f aca="false">IF(AND(H_Direct=1,CD48&gt;0),MAX(0,XC48-(MIN(CD48*TQ48,(XC48+AAP48))-MIN(MIN(CD48*TQ48,(XC48+AAP48)),AAP48))),XC48)</f>
        <v>1270</v>
      </c>
      <c r="XE48" s="20" t="n">
        <f aca="false">IF(AND(H_Direct=1,CE48&gt;0),MAX(0,XD48-(MIN(CE48*TR48,(XD48+AAQ48))-MIN(MIN(CE48*TR48,(XD48+AAQ48)),AAQ48))),XD48)</f>
        <v>1270</v>
      </c>
      <c r="XF48" s="20" t="n">
        <f aca="false">IF(AND(H_Direct=1,CF48&gt;0),MAX(0,XE48-(MIN(CF48*TS48,(XE48+AAR48))-MIN(MIN(CF48*TS48,(XE48+AAR48)),AAR48))),XE48)</f>
        <v>1270</v>
      </c>
      <c r="XG48" s="20" t="n">
        <f aca="false">IF(AND(H_Direct=1,CG48&gt;0),MAX(0,XF48-(MIN(CG48*TT48,(XF48+AAS48))-MIN(MIN(CG48*TT48,(XF48+AAS48)),AAS48))),XF48)</f>
        <v>1270</v>
      </c>
      <c r="XH48" s="20" t="n">
        <f aca="false">IF(AND(H_Direct=1,CH48&gt;0),MAX(0,XG48-(MIN(CH48*TU48,(XG48+AAT48))-MIN(MIN(CH48*TU48,(XG48+AAT48)),AAT48))),XG48)</f>
        <v>1270</v>
      </c>
      <c r="XI48" s="20" t="n">
        <f aca="false">IF(AND(H_Direct=1,CI48&gt;0),MAX(0,XH48-(MIN(CI48*TV48,(XH48+AAU48))-MIN(MIN(CI48*TV48,(XH48+AAU48)),AAU48))),XH48)</f>
        <v>1270</v>
      </c>
      <c r="XJ48" s="20" t="n">
        <f aca="false">IF(AND(H_Direct=1,CJ48&gt;0),MAX(0,XI48-(MIN(CJ48*TW48,(XI48+AAV48))-MIN(MIN(CJ48*TW48,(XI48+AAV48)),AAV48))),XI48)</f>
        <v>1270</v>
      </c>
      <c r="XK48" s="20" t="n">
        <f aca="false">IF(AND(H_Direct=1,CK48&gt;0),MAX(0,XJ48-(MIN(CK48*TX48,(XJ48+AAW48))-MIN(MIN(CK48*TX48,(XJ48+AAW48)),AAW48))),XJ48)</f>
        <v>1270</v>
      </c>
      <c r="XL48" s="20" t="n">
        <f aca="false">IF(AND(H_Direct=1,CL48&gt;0),MAX(0,XK48-(MIN(CL48*TY48,(XK48+AAX48))-MIN(MIN(CL48*TY48,(XK48+AAX48)),AAX48))),XK48)</f>
        <v>1270</v>
      </c>
      <c r="XM48" s="20" t="n">
        <f aca="false">IF(AND(H_Direct=1,CM48&gt;0),MAX(0,XL48-(MIN(CM48*TZ48,(XL48+AAY48))-MIN(MIN(CM48*TZ48,(XL48+AAY48)),AAY48))),XL48)</f>
        <v>1270</v>
      </c>
      <c r="XN48" s="20" t="n">
        <f aca="false">IF(AND(H_Direct=1,CN48&gt;0),MAX(0,XM48-(MIN(CN48*UA48,(XM48+AAZ48))-MIN(MIN(CN48*UA48,(XM48+AAZ48)),AAZ48))),XM48)</f>
        <v>1270</v>
      </c>
      <c r="XO48" s="20" t="n">
        <f aca="false">IF(AND(H_Direct=1,CO48&gt;0),MAX(0,XN48-(MIN(CO48*UB48,(XN48+ABA48))-MIN(MIN(CO48*UB48,(XN48+ABA48)),ABA48))),XN48)</f>
        <v>1270</v>
      </c>
      <c r="XP48" s="20" t="n">
        <f aca="false">IF(AND(H_Direct=1,CP48&gt;0),MAX(0,XO48-(MIN(CP48*UC48,(XO48+ABB48))-MIN(MIN(CP48*UC48,(XO48+ABB48)),ABB48))),XO48)</f>
        <v>1270</v>
      </c>
      <c r="XQ48" s="20" t="n">
        <f aca="false">IF(AND(H_Direct=1,CQ48&gt;0),MAX(0,XP48-(MIN(CQ48*UD48,(XP48+ABC48))-MIN(MIN(CQ48*UD48,(XP48+ABC48)),ABC48))),XP48)</f>
        <v>1270</v>
      </c>
      <c r="XR48" s="20" t="n">
        <f aca="false">IF(AND(H_Direct=1,CR48&gt;0),MAX(0,XQ48-(MIN(CR48*UE48,(XQ48+ABD48))-MIN(MIN(CR48*UE48,(XQ48+ABD48)),ABD48))),XQ48)</f>
        <v>1270</v>
      </c>
      <c r="XS48" s="20" t="n">
        <f aca="false">IF(AND(H_Direct=1,CS48&gt;0),MAX(0,XR48-(MIN(CS48*UF48,(XR48+ABE48))-MIN(MIN(CS48*UF48,(XR48+ABE48)),ABE48))),XR48)</f>
        <v>1270</v>
      </c>
      <c r="XT48" s="20" t="n">
        <f aca="false">IF(AND(H_Direct=1,CT48&gt;0),MAX(0,XS48-(MIN(CT48*UG48,(XS48+ABF48))-MIN(MIN(CT48*UG48,(XS48+ABF48)),ABF48))),XS48)</f>
        <v>1270</v>
      </c>
      <c r="XU48" s="20" t="n">
        <f aca="false">IF(AND(H_Direct=1,CU48&gt;0),MAX(0,XT48-(MIN(CU48*UH48,(XT48+ABG48))-MIN(MIN(CU48*UH48,(XT48+ABG48)),ABG48))),XT48)</f>
        <v>1270</v>
      </c>
      <c r="XV48" s="20" t="n">
        <f aca="false">IF(AND(H_Direct=1,CV48&gt;0),MAX(0,XU48-(MIN(CV48*UI48,(XU48+ABH48))-MIN(MIN(CV48*UI48,(XU48+ABH48)),ABH48))),XU48)</f>
        <v>1270</v>
      </c>
      <c r="XW48" s="20" t="n">
        <f aca="false">IF(AND(H_Direct=1,CW48&gt;0),MAX(0,XV48-(MIN(CW48*UJ48,(XV48+ABI48))-MIN(MIN(CW48*UJ48,(XV48+ABI48)),ABI48))),XV48)</f>
        <v>1270</v>
      </c>
      <c r="XX48" s="20" t="n">
        <f aca="false">IF(AND(H_Direct=1,CX48&gt;0),MAX(0,XW48-(MIN(CX48*UK48,(XW48+ABJ48))-MIN(MIN(CX48*UK48,(XW48+ABJ48)),ABJ48))),XW48)</f>
        <v>1270</v>
      </c>
      <c r="XY48" s="20" t="n">
        <f aca="false">IF(AND(H_Direct=1,CY48&gt;0),MAX(0,XX48-(MIN(CY48*UL48,(XX48+ABK48))-MIN(MIN(CY48*UL48,(XX48+ABK48)),ABK48))),XX48)</f>
        <v>1270</v>
      </c>
      <c r="XZ48" s="20" t="n">
        <f aca="false">IF(AND(H_Direct=1,CZ48&gt;0),MAX(0,XY48-(MIN(CZ48*UM48,(XY48+ABL48))-MIN(MIN(CZ48*UM48,(XY48+ABL48)),ABL48))),XY48)</f>
        <v>1270</v>
      </c>
      <c r="YA48" s="20" t="n">
        <f aca="false">IF(AND(H_Direct=1,DA48&gt;0),MAX(0,XZ48-(MIN(DA48*UN48,(XZ48+ABM48))-MIN(MIN(DA48*UN48,(XZ48+ABM48)),ABM48))),XZ48)</f>
        <v>1270</v>
      </c>
      <c r="YB48" s="20" t="n">
        <f aca="false">IF(AND(H_Direct=1,DB48&gt;0),MAX(0,YA48-(MIN(DB48*UO48,(YA48+ABN48))-MIN(MIN(DB48*UO48,(YA48+ABN48)),ABN48))),YA48)</f>
        <v>1270</v>
      </c>
      <c r="YC48" s="20" t="n">
        <f aca="false">IF(AND(H_Direct=1,DC48&gt;0),MAX(0,YB48-(MIN(DC48*UP48,(YB48+ABO48))-MIN(MIN(DC48*UP48,(YB48+ABO48)),ABO48))),YB48)</f>
        <v>1270</v>
      </c>
      <c r="YD48" s="20" t="n">
        <f aca="false">IF(AND(H_Direct=1,DD48&gt;0),MAX(0,YC48-(MIN(DD48*UQ48,(YC48+ABP48))-MIN(MIN(DD48*UQ48,(YC48+ABP48)),ABP48))),YC48)</f>
        <v>1270</v>
      </c>
      <c r="YE48" s="20" t="n">
        <f aca="false">IF(AND(H_Direct=1,DE48&gt;0),MAX(0,YD48-(MIN(DE48*UR48,(YD48+ABQ48))-MIN(MIN(DE48*UR48,(YD48+ABQ48)),ABQ48))),YD48)</f>
        <v>1270</v>
      </c>
      <c r="YF48" s="20" t="n">
        <f aca="false">IF(AND(H_Direct=1,DF48&gt;0),MAX(0,YE48-(MIN(DF48*US48,(YE48+ABR48))-MIN(MIN(DF48*US48,(YE48+ABR48)),ABR48))),YE48)</f>
        <v>1270</v>
      </c>
      <c r="YG48" s="20" t="n">
        <f aca="false">IF(AND(H_Direct=1,DG48&gt;0),MAX(0,YF48-(MIN(DG48*UT48,(YF48+ABS48))-MIN(MIN(DG48*UT48,(YF48+ABS48)),ABS48))),YF48)</f>
        <v>1270</v>
      </c>
      <c r="YH48" s="20" t="n">
        <f aca="false">YG48</f>
        <v>1270</v>
      </c>
      <c r="YI48" s="20" t="n">
        <f aca="false">YH48</f>
        <v>1270</v>
      </c>
      <c r="YJ48" s="20" t="n">
        <f aca="false">YI48</f>
        <v>1270</v>
      </c>
      <c r="YK48" s="20" t="n">
        <f aca="false">YJ48</f>
        <v>1270</v>
      </c>
      <c r="YL48" s="20" t="n">
        <f aca="false">YK48</f>
        <v>1270</v>
      </c>
      <c r="YM48" s="20" t="n">
        <f aca="false">YL48</f>
        <v>1270</v>
      </c>
      <c r="YN48" s="20" t="n">
        <f aca="false">YM48</f>
        <v>1270</v>
      </c>
      <c r="YO48" s="20" t="n">
        <f aca="false">YN48</f>
        <v>1270</v>
      </c>
      <c r="YP48" s="20" t="n">
        <f aca="false">YO48</f>
        <v>1270</v>
      </c>
      <c r="YQ48" s="20" t="n">
        <f aca="false">YP48</f>
        <v>1270</v>
      </c>
      <c r="YR48" s="20" t="n">
        <f aca="false">YQ48</f>
        <v>1270</v>
      </c>
      <c r="YS48" s="20" t="n">
        <f aca="false">YR48</f>
        <v>1270</v>
      </c>
      <c r="YT48" s="20" t="n">
        <f aca="false">YS48</f>
        <v>1270</v>
      </c>
      <c r="YU48" s="20" t="n">
        <f aca="false">YT48</f>
        <v>1270</v>
      </c>
      <c r="YV48" s="20" t="n">
        <f aca="false">YU48</f>
        <v>1270</v>
      </c>
      <c r="YW48" s="20" t="n">
        <f aca="false">YV48</f>
        <v>1270</v>
      </c>
      <c r="YX48" s="20" t="n">
        <f aca="false">YW48</f>
        <v>1270</v>
      </c>
      <c r="YY48" s="20" t="n">
        <f aca="false">YX48</f>
        <v>1270</v>
      </c>
      <c r="YZ48" s="20" t="n">
        <f aca="false">YY48</f>
        <v>1270</v>
      </c>
      <c r="ZA48" s="20" t="n">
        <f aca="false">YZ48</f>
        <v>1270</v>
      </c>
      <c r="ZB48" s="20" t="n">
        <f aca="false">ZA48</f>
        <v>1270</v>
      </c>
      <c r="ZC48" s="20" t="n">
        <f aca="false">ZB48</f>
        <v>1270</v>
      </c>
      <c r="ZD48" s="20" t="n">
        <f aca="false">ZC48</f>
        <v>1270</v>
      </c>
      <c r="ZE48" s="20" t="n">
        <f aca="false">ZD48</f>
        <v>1270</v>
      </c>
      <c r="ZF48" s="20" t="n">
        <f aca="false">ZE48</f>
        <v>1270</v>
      </c>
      <c r="ZG48" s="20" t="n">
        <f aca="false">ZF48</f>
        <v>1270</v>
      </c>
      <c r="ZH48" s="20" t="n">
        <f aca="false">ZG48</f>
        <v>1270</v>
      </c>
      <c r="ZI48" s="20" t="n">
        <f aca="false">ZH48</f>
        <v>1270</v>
      </c>
      <c r="ZJ48" s="20" t="n">
        <f aca="false">ZI48</f>
        <v>1270</v>
      </c>
      <c r="ZK48" s="20" t="n">
        <f aca="false">ZJ48</f>
        <v>1270</v>
      </c>
      <c r="ZL48" s="20" t="n">
        <f aca="false">ZK48</f>
        <v>1270</v>
      </c>
      <c r="ZM48" s="20" t="n">
        <f aca="false">ZL48</f>
        <v>1270</v>
      </c>
      <c r="ZN48" s="20" t="n">
        <f aca="false">ZM48</f>
        <v>1270</v>
      </c>
      <c r="ZO48" s="20" t="n">
        <f aca="false">ZN48</f>
        <v>1270</v>
      </c>
      <c r="ZP48" s="20" t="n">
        <f aca="false">ZO48</f>
        <v>1270</v>
      </c>
      <c r="ZQ48" s="20" t="n">
        <f aca="false">ZP48</f>
        <v>1270</v>
      </c>
      <c r="ZR48" s="20" t="n">
        <f aca="false">ZQ48</f>
        <v>1270</v>
      </c>
      <c r="ZS48" s="20" t="n">
        <f aca="false">ZR48</f>
        <v>1270</v>
      </c>
      <c r="ZT48" s="20" t="n">
        <f aca="false">ZS48</f>
        <v>1270</v>
      </c>
      <c r="ZU48" s="20" t="n">
        <f aca="false">ZT48</f>
        <v>1270</v>
      </c>
      <c r="ZV48" s="20" t="n">
        <f aca="false">ZU48</f>
        <v>1270</v>
      </c>
      <c r="ZW48" s="20" t="n">
        <f aca="false">ZV48</f>
        <v>1270</v>
      </c>
      <c r="ZX48" s="20" t="n">
        <f aca="false">ZW48</f>
        <v>1270</v>
      </c>
      <c r="ZY48" s="20" t="n">
        <f aca="false">ZX48</f>
        <v>1270</v>
      </c>
      <c r="ZZ48" s="20" t="n">
        <f aca="false">ZY48</f>
        <v>1270</v>
      </c>
      <c r="AAA48" s="20" t="n">
        <f aca="false">ZZ48</f>
        <v>1270</v>
      </c>
      <c r="AAB48" s="20" t="n">
        <f aca="false">AAA48</f>
        <v>1270</v>
      </c>
      <c r="AAC48" s="20" t="n">
        <f aca="false">AAB48</f>
        <v>1270</v>
      </c>
      <c r="AAD48" s="20" t="n">
        <f aca="false">AAC48</f>
        <v>1270</v>
      </c>
      <c r="AAE48" s="20" t="n">
        <f aca="false">IF(H_Direct=1,IF(BR48&lt;=0,I48-BR48*TE48,I48-MIN(MIN(BR48*TE48,(H48+I48)),I48)),I48)</f>
        <v>0</v>
      </c>
      <c r="AAF48" s="20" t="n">
        <f aca="false">IF(H_Direct=1,IF(BS48&lt;=0,AAE48-BS48*TF48,AAE48-MIN(MIN(BS48*TF48,(WR48+AAE48)),AAE48)),AAE48)</f>
        <v>0</v>
      </c>
      <c r="AAG48" s="20" t="n">
        <f aca="false">IF(H_Direct=1,IF(BT48&lt;=0,AAF48-BT48*TG48,AAF48-MIN(MIN(BT48*TG48,(WS48+AAF48)),AAF48)),AAF48)</f>
        <v>0</v>
      </c>
      <c r="AAH48" s="20" t="n">
        <f aca="false">IF(H_Direct=1,IF(BU48&lt;=0,AAG48-BU48*TH48,AAG48-MIN(MIN(BU48*TH48,(WT48+AAG48)),AAG48)),AAG48)</f>
        <v>0</v>
      </c>
      <c r="AAI48" s="20" t="n">
        <f aca="false">IF(H_Direct=1,IF(BV48&lt;=0,AAH48-BV48*TI48,AAH48-MIN(MIN(BV48*TI48,(WU48+AAH48)),AAH48)),AAH48)</f>
        <v>0</v>
      </c>
      <c r="AAJ48" s="20" t="n">
        <f aca="false">IF(H_Direct=1,IF(BW48&lt;=0,AAI48-BW48*TJ48,AAI48-MIN(MIN(BW48*TJ48,(WV48+AAI48)),AAI48)),AAI48)</f>
        <v>0</v>
      </c>
      <c r="AAK48" s="20" t="n">
        <f aca="false">IF(H_Direct=1,IF(BX48&lt;=0,AAJ48-BX48*TK48,AAJ48-MIN(MIN(BX48*TK48,(WW48+AAJ48)),AAJ48)),AAJ48)</f>
        <v>0</v>
      </c>
      <c r="AAL48" s="20" t="n">
        <f aca="false">IF(H_Direct=1,IF(BY48&lt;=0,AAK48-BY48*TL48,AAK48-MIN(MIN(BY48*TL48,(WX48+AAK48)),AAK48)),AAK48)</f>
        <v>0</v>
      </c>
      <c r="AAM48" s="20" t="n">
        <f aca="false">IF(H_Direct=1,IF(BZ48&lt;=0,AAL48-BZ48*TM48,AAL48-MIN(MIN(BZ48*TM48,(WY48+AAL48)),AAL48)),AAL48)</f>
        <v>0</v>
      </c>
      <c r="AAN48" s="20" t="n">
        <f aca="false">IF(H_Direct=1,IF(CA48&lt;=0,AAM48-CA48*TN48,AAM48-MIN(MIN(CA48*TN48,(WZ48+AAM48)),AAM48)),AAM48)</f>
        <v>0</v>
      </c>
      <c r="AAO48" s="20" t="n">
        <f aca="false">IF(H_Direct=1,IF(CB48&lt;=0,AAN48-CB48*TO48,AAN48-MIN(MIN(CB48*TO48,(XA48+AAN48)),AAN48)),AAN48)</f>
        <v>0</v>
      </c>
      <c r="AAP48" s="20" t="n">
        <f aca="false">IF(H_Direct=1,IF(CC48&lt;=0,AAO48-CC48*TP48,AAO48-MIN(MIN(CC48*TP48,(XB48+AAO48)),AAO48)),AAO48)</f>
        <v>0</v>
      </c>
      <c r="AAQ48" s="20" t="n">
        <f aca="false">IF(H_Direct=1,IF(CD48&lt;=0,AAP48-CD48*TQ48,AAP48-MIN(MIN(CD48*TQ48,(XC48+AAP48)),AAP48)),AAP48)</f>
        <v>0</v>
      </c>
      <c r="AAR48" s="20" t="n">
        <f aca="false">IF(H_Direct=1,IF(CE48&lt;=0,AAQ48-CE48*TR48,AAQ48-MIN(MIN(CE48*TR48,(XD48+AAQ48)),AAQ48)),AAQ48)</f>
        <v>0</v>
      </c>
      <c r="AAS48" s="20" t="n">
        <f aca="false">IF(H_Direct=1,IF(CF48&lt;=0,AAR48-CF48*TS48,AAR48-MIN(MIN(CF48*TS48,(XE48+AAR48)),AAR48)),AAR48)</f>
        <v>0</v>
      </c>
      <c r="AAT48" s="20" t="n">
        <f aca="false">IF(H_Direct=1,IF(CG48&lt;=0,AAS48-CG48*TT48,AAS48-MIN(MIN(CG48*TT48,(XF48+AAS48)),AAS48)),AAS48)</f>
        <v>0</v>
      </c>
      <c r="AAU48" s="20" t="n">
        <f aca="false">IF(H_Direct=1,IF(CH48&lt;=0,AAT48-CH48*TU48,AAT48-MIN(MIN(CH48*TU48,(XG48+AAT48)),AAT48)),AAT48)</f>
        <v>0</v>
      </c>
      <c r="AAV48" s="20" t="n">
        <f aca="false">IF(H_Direct=1,IF(CI48&lt;=0,AAU48-CI48*TV48,AAU48-MIN(MIN(CI48*TV48,(XH48+AAU48)),AAU48)),AAU48)</f>
        <v>0</v>
      </c>
      <c r="AAW48" s="20" t="n">
        <f aca="false">IF(H_Direct=1,IF(CJ48&lt;=0,AAV48-CJ48*TW48,AAV48-MIN(MIN(CJ48*TW48,(XI48+AAV48)),AAV48)),AAV48)</f>
        <v>0</v>
      </c>
      <c r="AAX48" s="20" t="n">
        <f aca="false">IF(H_Direct=1,IF(CK48&lt;=0,AAW48-CK48*TX48,AAW48-MIN(MIN(CK48*TX48,(XJ48+AAW48)),AAW48)),AAW48)</f>
        <v>0</v>
      </c>
      <c r="AAY48" s="20" t="n">
        <f aca="false">IF(H_Direct=1,IF(CL48&lt;=0,AAX48-CL48*TY48,AAX48-MIN(MIN(CL48*TY48,(XK48+AAX48)),AAX48)),AAX48)</f>
        <v>0</v>
      </c>
      <c r="AAZ48" s="20" t="n">
        <f aca="false">IF(H_Direct=1,IF(CM48&lt;=0,AAY48-CM48*TZ48,AAY48-MIN(MIN(CM48*TZ48,(XL48+AAY48)),AAY48)),AAY48)</f>
        <v>0</v>
      </c>
      <c r="ABA48" s="20" t="n">
        <f aca="false">IF(H_Direct=1,IF(CN48&lt;=0,AAZ48-CN48*UA48,AAZ48-MIN(MIN(CN48*UA48,(XM48+AAZ48)),AAZ48)),AAZ48)</f>
        <v>0</v>
      </c>
      <c r="ABB48" s="20" t="n">
        <f aca="false">IF(H_Direct=1,IF(CO48&lt;=0,ABA48-CO48*UB48,ABA48-MIN(MIN(CO48*UB48,(XN48+ABA48)),ABA48)),ABA48)</f>
        <v>0</v>
      </c>
      <c r="ABC48" s="20" t="n">
        <f aca="false">IF(H_Direct=1,IF(CP48&lt;=0,ABB48-CP48*UC48,ABB48-MIN(MIN(CP48*UC48,(XO48+ABB48)),ABB48)),ABB48)</f>
        <v>0</v>
      </c>
      <c r="ABD48" s="20" t="n">
        <f aca="false">IF(H_Direct=1,IF(CQ48&lt;=0,ABC48-CQ48*UD48,ABC48-MIN(MIN(CQ48*UD48,(XP48+ABC48)),ABC48)),ABC48)</f>
        <v>0</v>
      </c>
      <c r="ABE48" s="20" t="n">
        <f aca="false">IF(H_Direct=1,IF(CR48&lt;=0,ABD48-CR48*UE48,ABD48-MIN(MIN(CR48*UE48,(XQ48+ABD48)),ABD48)),ABD48)</f>
        <v>0</v>
      </c>
      <c r="ABF48" s="20" t="n">
        <f aca="false">IF(H_Direct=1,IF(CS48&lt;=0,ABE48-CS48*UF48,ABE48-MIN(MIN(CS48*UF48,(XR48+ABE48)),ABE48)),ABE48)</f>
        <v>0</v>
      </c>
      <c r="ABG48" s="20" t="n">
        <f aca="false">IF(H_Direct=1,IF(CT48&lt;=0,ABF48-CT48*UG48,ABF48-MIN(MIN(CT48*UG48,(XS48+ABF48)),ABF48)),ABF48)</f>
        <v>0</v>
      </c>
      <c r="ABH48" s="20" t="n">
        <f aca="false">IF(H_Direct=1,IF(CU48&lt;=0,ABG48-CU48*UH48,ABG48-MIN(MIN(CU48*UH48,(XT48+ABG48)),ABG48)),ABG48)</f>
        <v>0</v>
      </c>
      <c r="ABI48" s="20" t="n">
        <f aca="false">IF(H_Direct=1,IF(CV48&lt;=0,ABH48-CV48*UI48,ABH48-MIN(MIN(CV48*UI48,(XU48+ABH48)),ABH48)),ABH48)</f>
        <v>0</v>
      </c>
      <c r="ABJ48" s="20" t="n">
        <f aca="false">IF(H_Direct=1,IF(CW48&lt;=0,ABI48-CW48*UJ48,ABI48-MIN(MIN(CW48*UJ48,(XV48+ABI48)),ABI48)),ABI48)</f>
        <v>0</v>
      </c>
      <c r="ABK48" s="20" t="n">
        <f aca="false">IF(H_Direct=1,IF(CX48&lt;=0,ABJ48-CX48*UK48,ABJ48-MIN(MIN(CX48*UK48,(XW48+ABJ48)),ABJ48)),ABJ48)</f>
        <v>0</v>
      </c>
      <c r="ABL48" s="20" t="n">
        <f aca="false">IF(H_Direct=1,IF(CY48&lt;=0,ABK48-CY48*UL48,ABK48-MIN(MIN(CY48*UL48,(XX48+ABK48)),ABK48)),ABK48)</f>
        <v>0</v>
      </c>
      <c r="ABM48" s="20" t="n">
        <f aca="false">IF(H_Direct=1,IF(CZ48&lt;=0,ABL48-CZ48*UM48,ABL48-MIN(MIN(CZ48*UM48,(XY48+ABL48)),ABL48)),ABL48)</f>
        <v>0</v>
      </c>
      <c r="ABN48" s="20" t="n">
        <f aca="false">IF(H_Direct=1,IF(DA48&lt;=0,ABM48-DA48*UN48,ABM48-MIN(MIN(DA48*UN48,(XZ48+ABM48)),ABM48)),ABM48)</f>
        <v>0</v>
      </c>
      <c r="ABO48" s="20" t="n">
        <f aca="false">IF(H_Direct=1,IF(DB48&lt;=0,ABN48-DB48*UO48,ABN48-MIN(MIN(DB48*UO48,(YA48+ABN48)),ABN48)),ABN48)</f>
        <v>0</v>
      </c>
      <c r="ABP48" s="20" t="n">
        <f aca="false">IF(H_Direct=1,IF(DC48&lt;=0,ABO48-DC48*UP48,ABO48-MIN(MIN(DC48*UP48,(YB48+ABO48)),ABO48)),ABO48)</f>
        <v>0</v>
      </c>
      <c r="ABQ48" s="20" t="n">
        <f aca="false">IF(H_Direct=1,IF(DD48&lt;=0,ABP48-DD48*UQ48,ABP48-MIN(MIN(DD48*UQ48,(YC48+ABP48)),ABP48)),ABP48)</f>
        <v>0</v>
      </c>
      <c r="ABR48" s="20" t="n">
        <f aca="false">IF(H_Direct=1,IF(DE48&lt;=0,ABQ48-DE48*UR48,ABQ48-MIN(MIN(DE48*UR48,(YD48+ABQ48)),ABQ48)),ABQ48)</f>
        <v>0</v>
      </c>
      <c r="ABS48" s="20" t="n">
        <f aca="false">IF(H_Direct=1,IF(DF48&lt;=0,ABR48-DF48*US48,ABR48-MIN(MIN(DF48*US48,(YE48+ABR48)),ABR48)),ABR48)</f>
        <v>0</v>
      </c>
      <c r="ABT48" s="20" t="n">
        <f aca="false">IF(H_Direct=1,IF(DG48&lt;=0,ABS48-DG48*UT48,ABS48-MIN(MIN(DG48*UT48,(YF48+ABS48)),ABS48)),ABS48)</f>
        <v>0</v>
      </c>
      <c r="ABU48" s="20" t="n">
        <f aca="false">ABT48</f>
        <v>0</v>
      </c>
      <c r="ABV48" s="20" t="n">
        <f aca="false">ABU48</f>
        <v>0</v>
      </c>
      <c r="ABW48" s="20" t="n">
        <f aca="false">ABV48</f>
        <v>0</v>
      </c>
      <c r="ABX48" s="20" t="n">
        <f aca="false">ABW48</f>
        <v>0</v>
      </c>
      <c r="ABY48" s="20" t="n">
        <f aca="false">ABX48</f>
        <v>0</v>
      </c>
      <c r="ABZ48" s="20" t="n">
        <f aca="false">ABY48</f>
        <v>0</v>
      </c>
      <c r="ACA48" s="20" t="n">
        <f aca="false">ABZ48</f>
        <v>0</v>
      </c>
      <c r="ACB48" s="20" t="n">
        <f aca="false">ACA48</f>
        <v>0</v>
      </c>
      <c r="ACC48" s="20" t="n">
        <f aca="false">ACB48</f>
        <v>0</v>
      </c>
      <c r="ACD48" s="20" t="n">
        <f aca="false">ACC48</f>
        <v>0</v>
      </c>
      <c r="ACE48" s="20" t="n">
        <f aca="false">ACD48</f>
        <v>0</v>
      </c>
      <c r="ACF48" s="20" t="n">
        <f aca="false">ACE48</f>
        <v>0</v>
      </c>
      <c r="ACG48" s="20" t="n">
        <f aca="false">ACF48</f>
        <v>0</v>
      </c>
      <c r="ACH48" s="20" t="n">
        <f aca="false">ACG48</f>
        <v>0</v>
      </c>
      <c r="ACI48" s="20" t="n">
        <f aca="false">ACH48</f>
        <v>0</v>
      </c>
      <c r="ACJ48" s="20" t="n">
        <f aca="false">ACI48</f>
        <v>0</v>
      </c>
      <c r="ACK48" s="20" t="n">
        <f aca="false">ACJ48</f>
        <v>0</v>
      </c>
      <c r="ACL48" s="20" t="n">
        <f aca="false">ACK48</f>
        <v>0</v>
      </c>
      <c r="ACM48" s="20" t="n">
        <f aca="false">ACL48</f>
        <v>0</v>
      </c>
      <c r="ACN48" s="20" t="n">
        <f aca="false">ACM48</f>
        <v>0</v>
      </c>
      <c r="ACO48" s="20" t="n">
        <f aca="false">ACN48</f>
        <v>0</v>
      </c>
      <c r="ACP48" s="20" t="n">
        <f aca="false">ACO48</f>
        <v>0</v>
      </c>
      <c r="ACQ48" s="20" t="n">
        <f aca="false">ACP48</f>
        <v>0</v>
      </c>
      <c r="ACR48" s="20" t="n">
        <f aca="false">ACQ48</f>
        <v>0</v>
      </c>
      <c r="ACS48" s="20" t="n">
        <f aca="false">ACR48</f>
        <v>0</v>
      </c>
      <c r="ACT48" s="20" t="n">
        <f aca="false">ACS48</f>
        <v>0</v>
      </c>
      <c r="ACU48" s="20" t="n">
        <f aca="false">ACT48</f>
        <v>0</v>
      </c>
      <c r="ACV48" s="20" t="n">
        <f aca="false">ACU48</f>
        <v>0</v>
      </c>
      <c r="ACW48" s="20" t="n">
        <f aca="false">ACV48</f>
        <v>0</v>
      </c>
      <c r="ACX48" s="20" t="n">
        <f aca="false">ACW48</f>
        <v>0</v>
      </c>
      <c r="ACY48" s="20" t="n">
        <f aca="false">ACX48</f>
        <v>0</v>
      </c>
      <c r="ACZ48" s="20" t="n">
        <f aca="false">ACY48</f>
        <v>0</v>
      </c>
      <c r="ADA48" s="20" t="n">
        <f aca="false">ACZ48</f>
        <v>0</v>
      </c>
      <c r="ADB48" s="20" t="n">
        <f aca="false">ADA48</f>
        <v>0</v>
      </c>
      <c r="ADC48" s="20" t="n">
        <f aca="false">ADB48</f>
        <v>0</v>
      </c>
      <c r="ADD48" s="20" t="n">
        <f aca="false">ADC48</f>
        <v>0</v>
      </c>
      <c r="ADE48" s="20" t="n">
        <f aca="false">ADD48</f>
        <v>0</v>
      </c>
      <c r="ADF48" s="20" t="n">
        <f aca="false">ADE48</f>
        <v>0</v>
      </c>
      <c r="ADG48" s="20" t="n">
        <f aca="false">ADF48</f>
        <v>0</v>
      </c>
      <c r="ADH48" s="20" t="n">
        <f aca="false">ADG48</f>
        <v>0</v>
      </c>
      <c r="ADI48" s="20" t="n">
        <f aca="false">ADH48</f>
        <v>0</v>
      </c>
      <c r="ADJ48" s="20" t="n">
        <f aca="false">ADI48</f>
        <v>0</v>
      </c>
      <c r="ADK48" s="20" t="n">
        <f aca="false">ADJ48</f>
        <v>0</v>
      </c>
      <c r="ADL48" s="20" t="n">
        <f aca="false">ADK48</f>
        <v>0</v>
      </c>
      <c r="ADM48" s="20" t="n">
        <f aca="false">ADL48</f>
        <v>0</v>
      </c>
      <c r="ADN48" s="20" t="n">
        <f aca="false">ADM48</f>
        <v>0</v>
      </c>
      <c r="ADO48" s="20" t="n">
        <f aca="false">ADN48</f>
        <v>0</v>
      </c>
      <c r="ADP48" s="20" t="n">
        <f aca="false">ADO48</f>
        <v>0</v>
      </c>
      <c r="ADQ48" s="20" t="n">
        <f aca="false">ADP48</f>
        <v>0</v>
      </c>
      <c r="ADR48" s="20" t="n">
        <f aca="false">(AKR47-TE48+0)*(1+BQ48)</f>
        <v>0</v>
      </c>
      <c r="ADS48" s="20" t="n">
        <f aca="false">(AKS47-TF48+0)*(1+BQ48)</f>
        <v>0</v>
      </c>
      <c r="ADT48" s="20" t="n">
        <f aca="false">(AKT47-TG48+0)*(1+BQ48)</f>
        <v>0</v>
      </c>
      <c r="ADU48" s="20" t="n">
        <f aca="false">(AKU47-TH48+0)*(1+BQ48)</f>
        <v>0</v>
      </c>
      <c r="ADV48" s="20" t="n">
        <f aca="false">(AKV47-TI48+0)*(1+BQ48)</f>
        <v>0</v>
      </c>
      <c r="ADW48" s="20" t="n">
        <f aca="false">(AKW47-TJ48+0)*(1+BQ48)</f>
        <v>0</v>
      </c>
      <c r="ADX48" s="20" t="n">
        <f aca="false">(AKX47-TK48+0)*(1+BQ48)</f>
        <v>0</v>
      </c>
      <c r="ADY48" s="20" t="n">
        <f aca="false">(AKY47-TL48+0)*(1+BQ48)</f>
        <v>0</v>
      </c>
      <c r="ADZ48" s="20" t="n">
        <f aca="false">(AKZ47-TM48+0)*(1+BQ48)</f>
        <v>0</v>
      </c>
      <c r="AEA48" s="20" t="n">
        <f aca="false">(ALA47-TN48+0)*(1+BQ48)</f>
        <v>0</v>
      </c>
      <c r="AEB48" s="20" t="n">
        <f aca="false">(ALB47-TO48+0)*(1+BQ48)</f>
        <v>0</v>
      </c>
      <c r="AEC48" s="20" t="n">
        <f aca="false">(ALC47-TP48+0)*(1+BQ48)</f>
        <v>0</v>
      </c>
      <c r="AED48" s="20" t="n">
        <f aca="false">(ALD47-TQ48+0)*(1+BQ48)</f>
        <v>0</v>
      </c>
      <c r="AEE48" s="20" t="n">
        <f aca="false">(ALE47-TR48+0)*(1+BQ48)</f>
        <v>0</v>
      </c>
      <c r="AEF48" s="20" t="n">
        <f aca="false">(ALF47-TS48+0)*(1+BQ48)</f>
        <v>0</v>
      </c>
      <c r="AEG48" s="20" t="n">
        <f aca="false">(ALG47-TT48+0)*(1+BQ48)</f>
        <v>0</v>
      </c>
      <c r="AEH48" s="20" t="n">
        <f aca="false">(ALH47-TU48+0)*(1+BQ48)</f>
        <v>0</v>
      </c>
      <c r="AEI48" s="20" t="n">
        <f aca="false">(ALI47-TV48+0)*(1+BQ48)</f>
        <v>0</v>
      </c>
      <c r="AEJ48" s="20" t="n">
        <f aca="false">(ALJ47-TW48+0)*(1+BQ48)</f>
        <v>0</v>
      </c>
      <c r="AEK48" s="20" t="n">
        <f aca="false">(ALK47-TX48+0)*(1+BQ48)</f>
        <v>0</v>
      </c>
      <c r="AEL48" s="20" t="n">
        <f aca="false">(ALL47-TY48+0)*(1+BQ48)</f>
        <v>0</v>
      </c>
      <c r="AEM48" s="20" t="n">
        <f aca="false">(ALM47-TZ48+0)*(1+BQ48)</f>
        <v>0</v>
      </c>
      <c r="AEN48" s="20" t="n">
        <f aca="false">(ALN47-UA48+0)*(1+BQ48)</f>
        <v>0</v>
      </c>
      <c r="AEO48" s="20" t="n">
        <f aca="false">(ALO47-UB48+0)*(1+BQ48)</f>
        <v>0</v>
      </c>
      <c r="AEP48" s="20" t="n">
        <f aca="false">(ALP47-UC48+0)*(1+BQ48)</f>
        <v>0</v>
      </c>
      <c r="AEQ48" s="20" t="n">
        <f aca="false">(ALQ47-UD48+0)*(1+BQ48)</f>
        <v>0</v>
      </c>
      <c r="AER48" s="20" t="n">
        <f aca="false">(ALR47-UE48+0)*(1+BQ48)</f>
        <v>0</v>
      </c>
      <c r="AES48" s="20" t="n">
        <f aca="false">(ALS47-UF48+0)*(1+BQ48)</f>
        <v>0</v>
      </c>
      <c r="AET48" s="20" t="n">
        <f aca="false">(ALT47-UG48+0)*(1+BQ48)</f>
        <v>0</v>
      </c>
      <c r="AEU48" s="20" t="n">
        <f aca="false">(ALU47-UH48+0)*(1+BQ48)</f>
        <v>0</v>
      </c>
      <c r="AEV48" s="20" t="n">
        <f aca="false">(ALV47-UI48+0)*(1+BQ48)</f>
        <v>0</v>
      </c>
      <c r="AEW48" s="20" t="n">
        <f aca="false">(ALW47-UJ48+0)*(1+BQ48)</f>
        <v>0</v>
      </c>
      <c r="AEX48" s="20" t="n">
        <f aca="false">(ALX47-UK48+0)*(1+BQ48)</f>
        <v>0</v>
      </c>
      <c r="AEY48" s="20" t="n">
        <f aca="false">(ALY47-UL48+0)*(1+BQ48)</f>
        <v>0</v>
      </c>
      <c r="AEZ48" s="20" t="n">
        <f aca="false">(ALZ47-UM48+0)*(1+BQ48)</f>
        <v>0</v>
      </c>
      <c r="AFA48" s="20" t="n">
        <f aca="false">(AMA47-UN48+0)*(1+BQ48)</f>
        <v>0</v>
      </c>
      <c r="AFB48" s="20" t="n">
        <f aca="false">(AMB47-UO48+0)*(1+BQ48)</f>
        <v>0</v>
      </c>
      <c r="AFC48" s="20" t="n">
        <f aca="false">(AMC47-UP48+0)*(1+BQ48)</f>
        <v>0</v>
      </c>
      <c r="AFD48" s="20" t="n">
        <f aca="false">(AMD47-UQ48+0)*(1+BQ48)</f>
        <v>0</v>
      </c>
      <c r="AFE48" s="20" t="n">
        <f aca="false">(AME47-UR48+0)*(1+BQ48)</f>
        <v>0</v>
      </c>
      <c r="AFF48" s="20" t="n">
        <f aca="false">(AMF47-US48+0)*(1+BQ48)</f>
        <v>0</v>
      </c>
      <c r="AFG48" s="20" t="n">
        <f aca="false">((P48+S48)-UT48+BE48)*(1+BQ48)</f>
        <v>0</v>
      </c>
      <c r="AFH48" s="20" t="n">
        <v>0</v>
      </c>
      <c r="AFI48" s="20" t="n">
        <v>0</v>
      </c>
      <c r="AFJ48" s="20" t="n">
        <v>0</v>
      </c>
      <c r="AFK48" s="20" t="n">
        <v>0</v>
      </c>
      <c r="AFL48" s="20" t="n">
        <v>0</v>
      </c>
      <c r="AFM48" s="20" t="n">
        <v>0</v>
      </c>
      <c r="AFN48" s="20" t="n">
        <v>0</v>
      </c>
      <c r="AFO48" s="20" t="n">
        <v>0</v>
      </c>
      <c r="AFP48" s="20" t="n">
        <v>0</v>
      </c>
      <c r="AFQ48" s="20" t="n">
        <v>0</v>
      </c>
      <c r="AFR48" s="20" t="n">
        <v>0</v>
      </c>
      <c r="AFS48" s="20" t="n">
        <v>0</v>
      </c>
      <c r="AFT48" s="20" t="n">
        <v>0</v>
      </c>
      <c r="AFU48" s="20" t="n">
        <v>0</v>
      </c>
      <c r="AFV48" s="20" t="n">
        <v>0</v>
      </c>
      <c r="AFW48" s="20" t="n">
        <v>0</v>
      </c>
      <c r="AFX48" s="20" t="n">
        <v>0</v>
      </c>
      <c r="AFY48" s="20" t="n">
        <v>0</v>
      </c>
      <c r="AFZ48" s="20" t="n">
        <v>0</v>
      </c>
      <c r="AGA48" s="20" t="n">
        <v>0</v>
      </c>
      <c r="AGB48" s="20" t="n">
        <v>0</v>
      </c>
      <c r="AGC48" s="20" t="n">
        <v>0</v>
      </c>
      <c r="AGD48" s="20" t="n">
        <v>0</v>
      </c>
      <c r="AGE48" s="20" t="n">
        <v>0</v>
      </c>
      <c r="AGF48" s="20" t="n">
        <v>0</v>
      </c>
      <c r="AGG48" s="20" t="n">
        <v>0</v>
      </c>
      <c r="AGH48" s="20" t="n">
        <v>0</v>
      </c>
      <c r="AGI48" s="20" t="n">
        <v>0</v>
      </c>
      <c r="AGJ48" s="20" t="n">
        <v>0</v>
      </c>
      <c r="AGK48" s="20" t="n">
        <v>0</v>
      </c>
      <c r="AGL48" s="20" t="n">
        <v>0</v>
      </c>
      <c r="AGM48" s="20" t="n">
        <v>0</v>
      </c>
      <c r="AGN48" s="20" t="n">
        <v>0</v>
      </c>
      <c r="AGO48" s="20" t="n">
        <v>0</v>
      </c>
      <c r="AGP48" s="20" t="n">
        <v>0</v>
      </c>
      <c r="AGQ48" s="20" t="n">
        <v>0</v>
      </c>
      <c r="AGR48" s="20" t="n">
        <v>0</v>
      </c>
      <c r="AGS48" s="20" t="n">
        <v>0</v>
      </c>
      <c r="AGT48" s="20" t="n">
        <v>0</v>
      </c>
      <c r="AGU48" s="20" t="n">
        <v>0</v>
      </c>
      <c r="AGV48" s="20" t="n">
        <v>0</v>
      </c>
      <c r="AGW48" s="20" t="n">
        <v>0</v>
      </c>
      <c r="AGX48" s="20" t="n">
        <v>0</v>
      </c>
      <c r="AGY48" s="20" t="n">
        <v>0</v>
      </c>
      <c r="AGZ48" s="20" t="n">
        <v>0</v>
      </c>
      <c r="AHA48" s="20" t="n">
        <v>0</v>
      </c>
      <c r="AHB48" s="20" t="n">
        <v>0</v>
      </c>
      <c r="AHC48" s="20" t="n">
        <v>0</v>
      </c>
      <c r="AHD48" s="20" t="n">
        <v>0</v>
      </c>
      <c r="AHE48" s="20" t="n">
        <f aca="false">IF(AKR47&gt;0,AOE47-AOE47*TE48/AKR47,0)+0</f>
        <v>0</v>
      </c>
      <c r="AHF48" s="20" t="n">
        <f aca="false">IF(AKS47&gt;0,AOF47-AOF47*TF48/AKS47,0)+0</f>
        <v>0</v>
      </c>
      <c r="AHG48" s="20" t="n">
        <f aca="false">IF(AKT47&gt;0,AOG47-AOG47*TG48/AKT47,0)+0</f>
        <v>0</v>
      </c>
      <c r="AHH48" s="20" t="n">
        <f aca="false">IF(AKU47&gt;0,AOH47-AOH47*TH48/AKU47,0)+0</f>
        <v>0</v>
      </c>
      <c r="AHI48" s="20" t="n">
        <f aca="false">IF(AKV47&gt;0,AOI47-AOI47*TI48/AKV47,0)+0</f>
        <v>0</v>
      </c>
      <c r="AHJ48" s="20" t="n">
        <f aca="false">IF(AKW47&gt;0,AOJ47-AOJ47*TJ48/AKW47,0)+0</f>
        <v>0</v>
      </c>
      <c r="AHK48" s="20" t="n">
        <f aca="false">IF(AKX47&gt;0,AOK47-AOK47*TK48/AKX47,0)+0</f>
        <v>0</v>
      </c>
      <c r="AHL48" s="20" t="n">
        <f aca="false">IF(AKY47&gt;0,AOL47-AOL47*TL48/AKY47,0)+0</f>
        <v>0</v>
      </c>
      <c r="AHM48" s="20" t="n">
        <f aca="false">IF(AKZ47&gt;0,AOM47-AOM47*TM48/AKZ47,0)+0</f>
        <v>0</v>
      </c>
      <c r="AHN48" s="20" t="n">
        <f aca="false">IF(ALA47&gt;0,AON47-AON47*TN48/ALA47,0)+0</f>
        <v>0</v>
      </c>
      <c r="AHO48" s="20" t="n">
        <f aca="false">IF(ALB47&gt;0,AOO47-AOO47*TO48/ALB47,0)+0</f>
        <v>0</v>
      </c>
      <c r="AHP48" s="20" t="n">
        <f aca="false">IF(ALC47&gt;0,AOP47-AOP47*TP48/ALC47,0)+0</f>
        <v>0</v>
      </c>
      <c r="AHQ48" s="20" t="n">
        <f aca="false">IF(ALD47&gt;0,AOQ47-AOQ47*TQ48/ALD47,0)+0</f>
        <v>0</v>
      </c>
      <c r="AHR48" s="20" t="n">
        <f aca="false">IF(ALE47&gt;0,AOR47-AOR47*TR48/ALE47,0)+0</f>
        <v>0</v>
      </c>
      <c r="AHS48" s="20" t="n">
        <f aca="false">IF(ALF47&gt;0,AOS47-AOS47*TS48/ALF47,0)+0</f>
        <v>0</v>
      </c>
      <c r="AHT48" s="20" t="n">
        <f aca="false">IF(ALG47&gt;0,AOT47-AOT47*TT48/ALG47,0)+0</f>
        <v>0</v>
      </c>
      <c r="AHU48" s="20" t="n">
        <f aca="false">IF(ALH47&gt;0,AOU47-AOU47*TU48/ALH47,0)+0</f>
        <v>0</v>
      </c>
      <c r="AHV48" s="20" t="n">
        <f aca="false">IF(ALI47&gt;0,AOV47-AOV47*TV48/ALI47,0)+0</f>
        <v>0</v>
      </c>
      <c r="AHW48" s="20" t="n">
        <f aca="false">IF(ALJ47&gt;0,AOW47-AOW47*TW48/ALJ47,0)+0</f>
        <v>0</v>
      </c>
      <c r="AHX48" s="20" t="n">
        <f aca="false">IF(ALK47&gt;0,AOX47-AOX47*TX48/ALK47,0)+0</f>
        <v>0</v>
      </c>
      <c r="AHY48" s="20" t="n">
        <f aca="false">IF(ALL47&gt;0,AOY47-AOY47*TY48/ALL47,0)+0</f>
        <v>0</v>
      </c>
      <c r="AHZ48" s="20" t="n">
        <f aca="false">IF(ALM47&gt;0,AOZ47-AOZ47*TZ48/ALM47,0)+0</f>
        <v>0</v>
      </c>
      <c r="AIA48" s="20" t="n">
        <f aca="false">IF(ALN47&gt;0,APA47-APA47*UA48/ALN47,0)+0</f>
        <v>0</v>
      </c>
      <c r="AIB48" s="20" t="n">
        <f aca="false">IF(ALO47&gt;0,APB47-APB47*UB48/ALO47,0)+0</f>
        <v>0</v>
      </c>
      <c r="AIC48" s="20" t="n">
        <f aca="false">IF(ALP47&gt;0,APC47-APC47*UC48/ALP47,0)+0</f>
        <v>0</v>
      </c>
      <c r="AID48" s="20" t="n">
        <f aca="false">IF(ALQ47&gt;0,APD47-APD47*UD48/ALQ47,0)+0</f>
        <v>0</v>
      </c>
      <c r="AIE48" s="20" t="n">
        <f aca="false">IF(ALR47&gt;0,APE47-APE47*UE48/ALR47,0)+0</f>
        <v>0</v>
      </c>
      <c r="AIF48" s="20" t="n">
        <f aca="false">IF(ALS47&gt;0,APF47-APF47*UF48/ALS47,0)+0</f>
        <v>0</v>
      </c>
      <c r="AIG48" s="20" t="n">
        <f aca="false">IF(ALT47&gt;0,APG47-APG47*UG48/ALT47,0)+0</f>
        <v>0</v>
      </c>
      <c r="AIH48" s="20" t="n">
        <f aca="false">IF(ALU47&gt;0,APH47-APH47*UH48/ALU47,0)+0</f>
        <v>0</v>
      </c>
      <c r="AII48" s="20" t="n">
        <f aca="false">IF(ALV47&gt;0,API47-API47*UI48/ALV47,0)+0</f>
        <v>0</v>
      </c>
      <c r="AIJ48" s="20" t="n">
        <f aca="false">IF(ALW47&gt;0,APJ47-APJ47*UJ48/ALW47,0)+0</f>
        <v>0</v>
      </c>
      <c r="AIK48" s="20" t="n">
        <f aca="false">IF(ALX47&gt;0,APK47-APK47*UK48/ALX47,0)+0</f>
        <v>0</v>
      </c>
      <c r="AIL48" s="20" t="n">
        <f aca="false">IF(ALY47&gt;0,APL47-APL47*UL48/ALY47,0)+0</f>
        <v>0</v>
      </c>
      <c r="AIM48" s="20" t="n">
        <f aca="false">IF(ALZ47&gt;0,APM47-APM47*UM48/ALZ47,0)+0</f>
        <v>0</v>
      </c>
      <c r="AIN48" s="20" t="n">
        <f aca="false">IF(AMA47&gt;0,APN47-APN47*UN48/AMA47,0)+0</f>
        <v>0</v>
      </c>
      <c r="AIO48" s="20" t="n">
        <f aca="false">IF(AMB47&gt;0,APO47-APO47*UO48/AMB47,0)+0</f>
        <v>0</v>
      </c>
      <c r="AIP48" s="20" t="n">
        <f aca="false">IF(AMC47&gt;0,APP47-APP47*UP48/AMC47,0)+0</f>
        <v>0</v>
      </c>
      <c r="AIQ48" s="20" t="n">
        <f aca="false">IF(AMD47&gt;0,APQ47-APQ47*UQ48/AMD47,0)+0</f>
        <v>0</v>
      </c>
      <c r="AIR48" s="20" t="n">
        <f aca="false">IF(AME47&gt;0,APR47-APR47*UR48/AME47,0)+0</f>
        <v>0</v>
      </c>
      <c r="AIS48" s="20" t="n">
        <f aca="false">IF(AMF47&gt;0,APS47-APS47*US48/AMF47,0)+0</f>
        <v>0</v>
      </c>
      <c r="AIT48" s="20" t="n">
        <f aca="false">IF((P48+S48)&gt;0,(P48+S48)-(P48+S48)*UT48/(P48+S48),0)+BE48</f>
        <v>0</v>
      </c>
      <c r="AIU48" s="20" t="n">
        <v>0</v>
      </c>
      <c r="AIV48" s="20" t="n">
        <v>0</v>
      </c>
      <c r="AIW48" s="20" t="n">
        <v>0</v>
      </c>
      <c r="AIX48" s="20" t="n">
        <v>0</v>
      </c>
      <c r="AIY48" s="20" t="n">
        <v>0</v>
      </c>
      <c r="AIZ48" s="20" t="n">
        <v>0</v>
      </c>
      <c r="AJA48" s="20" t="n">
        <v>0</v>
      </c>
      <c r="AJB48" s="20" t="n">
        <v>0</v>
      </c>
      <c r="AJC48" s="20" t="n">
        <v>0</v>
      </c>
      <c r="AJD48" s="20" t="n">
        <v>0</v>
      </c>
      <c r="AJE48" s="20" t="n">
        <v>0</v>
      </c>
      <c r="AJF48" s="20" t="n">
        <v>0</v>
      </c>
      <c r="AJG48" s="20" t="n">
        <v>0</v>
      </c>
      <c r="AJH48" s="20" t="n">
        <v>0</v>
      </c>
      <c r="AJI48" s="20" t="n">
        <v>0</v>
      </c>
      <c r="AJJ48" s="20" t="n">
        <v>0</v>
      </c>
      <c r="AJK48" s="20" t="n">
        <v>0</v>
      </c>
      <c r="AJL48" s="20" t="n">
        <v>0</v>
      </c>
      <c r="AJM48" s="20" t="n">
        <v>0</v>
      </c>
      <c r="AJN48" s="20" t="n">
        <v>0</v>
      </c>
      <c r="AJO48" s="20" t="n">
        <v>0</v>
      </c>
      <c r="AJP48" s="20" t="n">
        <v>0</v>
      </c>
      <c r="AJQ48" s="20" t="n">
        <v>0</v>
      </c>
      <c r="AJR48" s="20" t="n">
        <v>0</v>
      </c>
      <c r="AJS48" s="20" t="n">
        <v>0</v>
      </c>
      <c r="AJT48" s="20" t="n">
        <v>0</v>
      </c>
      <c r="AJU48" s="20" t="n">
        <v>0</v>
      </c>
      <c r="AJV48" s="20" t="n">
        <v>0</v>
      </c>
      <c r="AJW48" s="20" t="n">
        <v>0</v>
      </c>
      <c r="AJX48" s="20" t="n">
        <v>0</v>
      </c>
      <c r="AJY48" s="20" t="n">
        <v>0</v>
      </c>
      <c r="AJZ48" s="20" t="n">
        <v>0</v>
      </c>
      <c r="AKA48" s="20" t="n">
        <v>0</v>
      </c>
      <c r="AKB48" s="20" t="n">
        <v>0</v>
      </c>
      <c r="AKC48" s="20" t="n">
        <v>0</v>
      </c>
      <c r="AKD48" s="20" t="n">
        <v>0</v>
      </c>
      <c r="AKE48" s="20" t="n">
        <v>0</v>
      </c>
      <c r="AKF48" s="20" t="n">
        <v>0</v>
      </c>
      <c r="AKG48" s="20" t="n">
        <v>0</v>
      </c>
      <c r="AKH48" s="20" t="n">
        <v>0</v>
      </c>
      <c r="AKI48" s="20" t="n">
        <v>0</v>
      </c>
      <c r="AKJ48" s="20" t="n">
        <v>0</v>
      </c>
      <c r="AKK48" s="20" t="n">
        <v>0</v>
      </c>
      <c r="AKL48" s="20" t="n">
        <v>0</v>
      </c>
      <c r="AKM48" s="20" t="n">
        <v>0</v>
      </c>
      <c r="AKN48" s="20" t="n">
        <v>0</v>
      </c>
      <c r="AKO48" s="20" t="n">
        <v>0</v>
      </c>
      <c r="AKP48" s="20" t="n">
        <v>0</v>
      </c>
      <c r="AKQ48" s="20" t="n">
        <v>0</v>
      </c>
      <c r="AKR48" s="20" t="n">
        <f aca="false">ADR48-AVE48</f>
        <v>0</v>
      </c>
      <c r="AKS48" s="20" t="n">
        <f aca="false">ADS48-AVF48</f>
        <v>0</v>
      </c>
      <c r="AKT48" s="20" t="n">
        <f aca="false">ADT48-AVG48</f>
        <v>0</v>
      </c>
      <c r="AKU48" s="20" t="n">
        <f aca="false">ADU48-AVH48</f>
        <v>0</v>
      </c>
      <c r="AKV48" s="20" t="n">
        <f aca="false">ADV48-AVI48</f>
        <v>0</v>
      </c>
      <c r="AKW48" s="20" t="n">
        <f aca="false">ADW48-AVJ48</f>
        <v>0</v>
      </c>
      <c r="AKX48" s="20" t="n">
        <f aca="false">ADX48-AVK48</f>
        <v>0</v>
      </c>
      <c r="AKY48" s="20" t="n">
        <f aca="false">ADY48-AVL48</f>
        <v>0</v>
      </c>
      <c r="AKZ48" s="20" t="n">
        <f aca="false">ADZ48-AVM48</f>
        <v>0</v>
      </c>
      <c r="ALA48" s="20" t="n">
        <f aca="false">AEA48-AVN48</f>
        <v>0</v>
      </c>
      <c r="ALB48" s="20" t="n">
        <f aca="false">AEB48-AVO48</f>
        <v>0</v>
      </c>
      <c r="ALC48" s="20" t="n">
        <f aca="false">AEC48-AVP48</f>
        <v>0</v>
      </c>
      <c r="ALD48" s="20" t="n">
        <f aca="false">AED48-AVQ48</f>
        <v>0</v>
      </c>
      <c r="ALE48" s="20" t="n">
        <f aca="false">AEE48-AVR48</f>
        <v>0</v>
      </c>
      <c r="ALF48" s="20" t="n">
        <f aca="false">AEF48-AVS48</f>
        <v>0</v>
      </c>
      <c r="ALG48" s="20" t="n">
        <f aca="false">AEG48-AVT48</f>
        <v>0</v>
      </c>
      <c r="ALH48" s="20" t="n">
        <f aca="false">AEH48-AVU48</f>
        <v>0</v>
      </c>
      <c r="ALI48" s="20" t="n">
        <f aca="false">AEI48-AVV48</f>
        <v>0</v>
      </c>
      <c r="ALJ48" s="20" t="n">
        <f aca="false">AEJ48-AVW48</f>
        <v>0</v>
      </c>
      <c r="ALK48" s="20" t="n">
        <f aca="false">AEK48-AVX48</f>
        <v>0</v>
      </c>
      <c r="ALL48" s="20" t="n">
        <f aca="false">AEL48-AVY48</f>
        <v>0</v>
      </c>
      <c r="ALM48" s="20" t="n">
        <f aca="false">AEM48-AVZ48</f>
        <v>0</v>
      </c>
      <c r="ALN48" s="20" t="n">
        <f aca="false">AEN48-AWA48</f>
        <v>0</v>
      </c>
      <c r="ALO48" s="20" t="n">
        <f aca="false">AEO48-AWB48</f>
        <v>0</v>
      </c>
      <c r="ALP48" s="20" t="n">
        <f aca="false">AEP48-AWC48</f>
        <v>0</v>
      </c>
      <c r="ALQ48" s="20" t="n">
        <f aca="false">AEQ48-AWD48</f>
        <v>0</v>
      </c>
      <c r="ALR48" s="20" t="n">
        <f aca="false">AER48-AWE48</f>
        <v>0</v>
      </c>
      <c r="ALS48" s="20" t="n">
        <f aca="false">AES48-AWF48</f>
        <v>0</v>
      </c>
      <c r="ALT48" s="20" t="n">
        <f aca="false">AET48-AWG48</f>
        <v>0</v>
      </c>
      <c r="ALU48" s="20" t="n">
        <f aca="false">AEU48-AWH48</f>
        <v>0</v>
      </c>
      <c r="ALV48" s="20" t="n">
        <f aca="false">AEV48-AWI48</f>
        <v>0</v>
      </c>
      <c r="ALW48" s="20" t="n">
        <f aca="false">AEW48-AWJ48</f>
        <v>0</v>
      </c>
      <c r="ALX48" s="20" t="n">
        <f aca="false">AEX48-AWK48</f>
        <v>0</v>
      </c>
      <c r="ALY48" s="20" t="n">
        <f aca="false">AEY48-AWL48</f>
        <v>0</v>
      </c>
      <c r="ALZ48" s="20" t="n">
        <f aca="false">AEZ48-AWM48</f>
        <v>0</v>
      </c>
      <c r="AMA48" s="20" t="n">
        <f aca="false">AFA48-AWN48</f>
        <v>0</v>
      </c>
      <c r="AMB48" s="20" t="n">
        <f aca="false">AFB48-AWO48</f>
        <v>0</v>
      </c>
      <c r="AMC48" s="20" t="n">
        <f aca="false">AFC48-AWP48</f>
        <v>0</v>
      </c>
      <c r="AMD48" s="20" t="n">
        <f aca="false">AFD48-AWQ48</f>
        <v>0</v>
      </c>
      <c r="AME48" s="20" t="n">
        <f aca="false">AFE48-AWR48</f>
        <v>0</v>
      </c>
      <c r="AMF48" s="20" t="n">
        <f aca="false">AFF48-AWS48</f>
        <v>0</v>
      </c>
      <c r="AMG48" s="20" t="n">
        <f aca="false">AFG48-AWT48</f>
        <v>0</v>
      </c>
      <c r="AMH48" s="20" t="n">
        <v>0</v>
      </c>
      <c r="AMI48" s="20" t="n">
        <v>0</v>
      </c>
      <c r="AMJ48" s="20" t="n">
        <v>0</v>
      </c>
      <c r="AMK48" s="20" t="n">
        <v>0</v>
      </c>
      <c r="AML48" s="20" t="n">
        <v>0</v>
      </c>
      <c r="AMM48" s="20" t="n">
        <v>0</v>
      </c>
      <c r="AMN48" s="20" t="n">
        <v>0</v>
      </c>
      <c r="AMO48" s="20" t="n">
        <v>0</v>
      </c>
      <c r="AMP48" s="20" t="n">
        <v>0</v>
      </c>
      <c r="AMQ48" s="20" t="n">
        <v>0</v>
      </c>
      <c r="AMR48" s="20" t="n">
        <v>0</v>
      </c>
      <c r="AMS48" s="20" t="n">
        <v>0</v>
      </c>
      <c r="AMT48" s="20" t="n">
        <v>0</v>
      </c>
      <c r="AMU48" s="20" t="n">
        <v>0</v>
      </c>
      <c r="AMV48" s="20" t="n">
        <v>0</v>
      </c>
      <c r="AMW48" s="20" t="n">
        <v>0</v>
      </c>
      <c r="AMX48" s="20" t="n">
        <v>0</v>
      </c>
      <c r="AMY48" s="20" t="n">
        <v>0</v>
      </c>
      <c r="AMZ48" s="20" t="n">
        <v>0</v>
      </c>
      <c r="ANA48" s="20" t="n">
        <v>0</v>
      </c>
      <c r="ANB48" s="20" t="n">
        <v>0</v>
      </c>
      <c r="ANC48" s="20" t="n">
        <v>0</v>
      </c>
      <c r="AND48" s="20" t="n">
        <v>0</v>
      </c>
      <c r="ANE48" s="20" t="n">
        <v>0</v>
      </c>
      <c r="ANF48" s="20" t="n">
        <v>0</v>
      </c>
      <c r="ANG48" s="20" t="n">
        <v>0</v>
      </c>
      <c r="ANH48" s="20" t="n">
        <v>0</v>
      </c>
      <c r="ANI48" s="20" t="n">
        <v>0</v>
      </c>
      <c r="ANJ48" s="20" t="n">
        <v>0</v>
      </c>
      <c r="ANK48" s="20" t="n">
        <v>0</v>
      </c>
      <c r="ANL48" s="20" t="n">
        <v>0</v>
      </c>
      <c r="ANM48" s="20" t="n">
        <v>0</v>
      </c>
      <c r="ANN48" s="20" t="n">
        <v>0</v>
      </c>
      <c r="ANO48" s="20" t="n">
        <v>0</v>
      </c>
      <c r="ANP48" s="20" t="n">
        <v>0</v>
      </c>
      <c r="ANQ48" s="20" t="n">
        <v>0</v>
      </c>
      <c r="ANR48" s="20" t="n">
        <v>0</v>
      </c>
      <c r="ANS48" s="20" t="n">
        <v>0</v>
      </c>
      <c r="ANT48" s="20" t="n">
        <v>0</v>
      </c>
      <c r="ANU48" s="20" t="n">
        <v>0</v>
      </c>
      <c r="ANV48" s="20" t="n">
        <v>0</v>
      </c>
      <c r="ANW48" s="20" t="n">
        <v>0</v>
      </c>
      <c r="ANX48" s="20" t="n">
        <v>0</v>
      </c>
      <c r="ANY48" s="20" t="n">
        <v>0</v>
      </c>
      <c r="ANZ48" s="20" t="n">
        <v>0</v>
      </c>
      <c r="AOA48" s="20" t="n">
        <v>0</v>
      </c>
      <c r="AOB48" s="20" t="n">
        <v>0</v>
      </c>
      <c r="AOC48" s="20" t="n">
        <v>0</v>
      </c>
      <c r="AOD48" s="20" t="n">
        <v>0</v>
      </c>
      <c r="AOE48" s="20" t="n">
        <f aca="false">IF(AND(H_Direct=0,H_TaxEvt=1,ARR47+1&gt;=H_Deemed),AKR48,AHE48)</f>
        <v>0</v>
      </c>
      <c r="AOF48" s="20" t="n">
        <f aca="false">IF(AND(H_Direct=0,H_TaxEvt=1,ARS47+1&gt;=H_Deemed),AKS48,AHF48)</f>
        <v>0</v>
      </c>
      <c r="AOG48" s="20" t="n">
        <f aca="false">IF(AND(H_Direct=0,H_TaxEvt=1,ART47+1&gt;=H_Deemed),AKT48,AHG48)</f>
        <v>0</v>
      </c>
      <c r="AOH48" s="20" t="n">
        <f aca="false">IF(AND(H_Direct=0,H_TaxEvt=1,ARU47+1&gt;=H_Deemed),AKU48,AHH48)</f>
        <v>0</v>
      </c>
      <c r="AOI48" s="20" t="n">
        <f aca="false">IF(AND(H_Direct=0,H_TaxEvt=1,ARV47+1&gt;=H_Deemed),AKV48,AHI48)</f>
        <v>0</v>
      </c>
      <c r="AOJ48" s="20" t="n">
        <f aca="false">IF(AND(H_Direct=0,H_TaxEvt=1,ARW47+1&gt;=H_Deemed),AKW48,AHJ48)</f>
        <v>0</v>
      </c>
      <c r="AOK48" s="20" t="n">
        <f aca="false">IF(AND(H_Direct=0,H_TaxEvt=1,ARX47+1&gt;=H_Deemed),AKX48,AHK48)</f>
        <v>0</v>
      </c>
      <c r="AOL48" s="20" t="n">
        <f aca="false">IF(AND(H_Direct=0,H_TaxEvt=1,ARY47+1&gt;=H_Deemed),AKY48,AHL48)</f>
        <v>0</v>
      </c>
      <c r="AOM48" s="20" t="n">
        <f aca="false">IF(AND(H_Direct=0,H_TaxEvt=1,ARZ47+1&gt;=H_Deemed),AKZ48,AHM48)</f>
        <v>0</v>
      </c>
      <c r="AON48" s="20" t="n">
        <f aca="false">IF(AND(H_Direct=0,H_TaxEvt=1,ASA47+1&gt;=H_Deemed),ALA48,AHN48)</f>
        <v>0</v>
      </c>
      <c r="AOO48" s="20" t="n">
        <f aca="false">IF(AND(H_Direct=0,H_TaxEvt=1,ASB47+1&gt;=H_Deemed),ALB48,AHO48)</f>
        <v>0</v>
      </c>
      <c r="AOP48" s="20" t="n">
        <f aca="false">IF(AND(H_Direct=0,H_TaxEvt=1,ASC47+1&gt;=H_Deemed),ALC48,AHP48)</f>
        <v>0</v>
      </c>
      <c r="AOQ48" s="20" t="n">
        <f aca="false">IF(AND(H_Direct=0,H_TaxEvt=1,ASD47+1&gt;=H_Deemed),ALD48,AHQ48)</f>
        <v>0</v>
      </c>
      <c r="AOR48" s="20" t="n">
        <f aca="false">IF(AND(H_Direct=0,H_TaxEvt=1,ASE47+1&gt;=H_Deemed),ALE48,AHR48)</f>
        <v>0</v>
      </c>
      <c r="AOS48" s="20" t="n">
        <f aca="false">IF(AND(H_Direct=0,H_TaxEvt=1,ASF47+1&gt;=H_Deemed),ALF48,AHS48)</f>
        <v>0</v>
      </c>
      <c r="AOT48" s="20" t="n">
        <f aca="false">IF(AND(H_Direct=0,H_TaxEvt=1,ASG47+1&gt;=H_Deemed),ALG48,AHT48)</f>
        <v>0</v>
      </c>
      <c r="AOU48" s="20" t="n">
        <f aca="false">IF(AND(H_Direct=0,H_TaxEvt=1,ASH47+1&gt;=H_Deemed),ALH48,AHU48)</f>
        <v>0</v>
      </c>
      <c r="AOV48" s="20" t="n">
        <f aca="false">IF(AND(H_Direct=0,H_TaxEvt=1,ASI47+1&gt;=H_Deemed),ALI48,AHV48)</f>
        <v>0</v>
      </c>
      <c r="AOW48" s="20" t="n">
        <f aca="false">IF(AND(H_Direct=0,H_TaxEvt=1,ASJ47+1&gt;=H_Deemed),ALJ48,AHW48)</f>
        <v>0</v>
      </c>
      <c r="AOX48" s="20" t="n">
        <f aca="false">IF(AND(H_Direct=0,H_TaxEvt=1,ASK47+1&gt;=H_Deemed),ALK48,AHX48)</f>
        <v>0</v>
      </c>
      <c r="AOY48" s="20" t="n">
        <f aca="false">IF(AND(H_Direct=0,H_TaxEvt=1,ASL47+1&gt;=H_Deemed),ALL48,AHY48)</f>
        <v>0</v>
      </c>
      <c r="AOZ48" s="20" t="n">
        <f aca="false">IF(AND(H_Direct=0,H_TaxEvt=1,ASM47+1&gt;=H_Deemed),ALM48,AHZ48)</f>
        <v>0</v>
      </c>
      <c r="APA48" s="20" t="n">
        <f aca="false">IF(AND(H_Direct=0,H_TaxEvt=1,ASN47+1&gt;=H_Deemed),ALN48,AIA48)</f>
        <v>0</v>
      </c>
      <c r="APB48" s="20" t="n">
        <f aca="false">IF(AND(H_Direct=0,H_TaxEvt=1,ASO47+1&gt;=H_Deemed),ALO48,AIB48)</f>
        <v>0</v>
      </c>
      <c r="APC48" s="20" t="n">
        <f aca="false">IF(AND(H_Direct=0,H_TaxEvt=1,ASP47+1&gt;=H_Deemed),ALP48,AIC48)</f>
        <v>0</v>
      </c>
      <c r="APD48" s="20" t="n">
        <f aca="false">IF(AND(H_Direct=0,H_TaxEvt=1,ASQ47+1&gt;=H_Deemed),ALQ48,AID48)</f>
        <v>0</v>
      </c>
      <c r="APE48" s="20" t="n">
        <f aca="false">IF(AND(H_Direct=0,H_TaxEvt=1,ASR47+1&gt;=H_Deemed),ALR48,AIE48)</f>
        <v>0</v>
      </c>
      <c r="APF48" s="20" t="n">
        <f aca="false">IF(AND(H_Direct=0,H_TaxEvt=1,ASS47+1&gt;=H_Deemed),ALS48,AIF48)</f>
        <v>0</v>
      </c>
      <c r="APG48" s="20" t="n">
        <f aca="false">IF(AND(H_Direct=0,H_TaxEvt=1,AST47+1&gt;=H_Deemed),ALT48,AIG48)</f>
        <v>0</v>
      </c>
      <c r="APH48" s="20" t="n">
        <f aca="false">IF(AND(H_Direct=0,H_TaxEvt=1,ASU47+1&gt;=H_Deemed),ALU48,AIH48)</f>
        <v>0</v>
      </c>
      <c r="API48" s="20" t="n">
        <f aca="false">IF(AND(H_Direct=0,H_TaxEvt=1,ASV47+1&gt;=H_Deemed),ALV48,AII48)</f>
        <v>0</v>
      </c>
      <c r="APJ48" s="20" t="n">
        <f aca="false">IF(AND(H_Direct=0,H_TaxEvt=1,ASW47+1&gt;=H_Deemed),ALW48,AIJ48)</f>
        <v>0</v>
      </c>
      <c r="APK48" s="20" t="n">
        <f aca="false">IF(AND(H_Direct=0,H_TaxEvt=1,ASX47+1&gt;=H_Deemed),ALX48,AIK48)</f>
        <v>0</v>
      </c>
      <c r="APL48" s="20" t="n">
        <f aca="false">IF(AND(H_Direct=0,H_TaxEvt=1,ASY47+1&gt;=H_Deemed),ALY48,AIL48)</f>
        <v>0</v>
      </c>
      <c r="APM48" s="20" t="n">
        <f aca="false">IF(AND(H_Direct=0,H_TaxEvt=1,ASZ47+1&gt;=H_Deemed),ALZ48,AIM48)</f>
        <v>0</v>
      </c>
      <c r="APN48" s="20" t="n">
        <f aca="false">IF(AND(H_Direct=0,H_TaxEvt=1,ATA47+1&gt;=H_Deemed),AMA48,AIN48)</f>
        <v>0</v>
      </c>
      <c r="APO48" s="20" t="n">
        <f aca="false">IF(AND(H_Direct=0,H_TaxEvt=1,ATB47+1&gt;=H_Deemed),AMB48,AIO48)</f>
        <v>0</v>
      </c>
      <c r="APP48" s="20" t="n">
        <f aca="false">IF(AND(H_Direct=0,H_TaxEvt=1,ATC47+1&gt;=H_Deemed),AMC48,AIP48)</f>
        <v>0</v>
      </c>
      <c r="APQ48" s="20" t="n">
        <f aca="false">IF(AND(H_Direct=0,H_TaxEvt=1,ATD47+1&gt;=H_Deemed),AMD48,AIQ48)</f>
        <v>0</v>
      </c>
      <c r="APR48" s="20" t="n">
        <f aca="false">IF(AND(H_Direct=0,H_TaxEvt=1,ATE47+1&gt;=H_Deemed),AME48,AIR48)</f>
        <v>0</v>
      </c>
      <c r="APS48" s="20" t="n">
        <f aca="false">IF(AND(H_Direct=0,H_TaxEvt=1,ATF47+1&gt;=H_Deemed),AMF48,AIS48)</f>
        <v>0</v>
      </c>
      <c r="APT48" s="20" t="n">
        <f aca="false">IF(AND(H_Direct=0,H_TaxEvt=1,0+1&gt;=H_Deemed),AMG48,AIT48)</f>
        <v>0</v>
      </c>
      <c r="APU48" s="20" t="n">
        <v>0</v>
      </c>
      <c r="APV48" s="20" t="n">
        <v>0</v>
      </c>
      <c r="APW48" s="20" t="n">
        <v>0</v>
      </c>
      <c r="APX48" s="20" t="n">
        <v>0</v>
      </c>
      <c r="APY48" s="20" t="n">
        <v>0</v>
      </c>
      <c r="APZ48" s="20" t="n">
        <v>0</v>
      </c>
      <c r="AQA48" s="20" t="n">
        <v>0</v>
      </c>
      <c r="AQB48" s="20" t="n">
        <v>0</v>
      </c>
      <c r="AQC48" s="20" t="n">
        <v>0</v>
      </c>
      <c r="AQD48" s="20" t="n">
        <v>0</v>
      </c>
      <c r="AQE48" s="20" t="n">
        <v>0</v>
      </c>
      <c r="AQF48" s="20" t="n">
        <v>0</v>
      </c>
      <c r="AQG48" s="20" t="n">
        <v>0</v>
      </c>
      <c r="AQH48" s="20" t="n">
        <v>0</v>
      </c>
      <c r="AQI48" s="20" t="n">
        <v>0</v>
      </c>
      <c r="AQJ48" s="20" t="n">
        <v>0</v>
      </c>
      <c r="AQK48" s="20" t="n">
        <v>0</v>
      </c>
      <c r="AQL48" s="20" t="n">
        <v>0</v>
      </c>
      <c r="AQM48" s="20" t="n">
        <v>0</v>
      </c>
      <c r="AQN48" s="20" t="n">
        <v>0</v>
      </c>
      <c r="AQO48" s="20" t="n">
        <v>0</v>
      </c>
      <c r="AQP48" s="20" t="n">
        <v>0</v>
      </c>
      <c r="AQQ48" s="20" t="n">
        <v>0</v>
      </c>
      <c r="AQR48" s="20" t="n">
        <v>0</v>
      </c>
      <c r="AQS48" s="20" t="n">
        <v>0</v>
      </c>
      <c r="AQT48" s="20" t="n">
        <v>0</v>
      </c>
      <c r="AQU48" s="20" t="n">
        <v>0</v>
      </c>
      <c r="AQV48" s="20" t="n">
        <v>0</v>
      </c>
      <c r="AQW48" s="20" t="n">
        <v>0</v>
      </c>
      <c r="AQX48" s="20" t="n">
        <v>0</v>
      </c>
      <c r="AQY48" s="20" t="n">
        <v>0</v>
      </c>
      <c r="AQZ48" s="20" t="n">
        <v>0</v>
      </c>
      <c r="ARA48" s="20" t="n">
        <v>0</v>
      </c>
      <c r="ARB48" s="20" t="n">
        <v>0</v>
      </c>
      <c r="ARC48" s="20" t="n">
        <v>0</v>
      </c>
      <c r="ARD48" s="20" t="n">
        <v>0</v>
      </c>
      <c r="ARE48" s="20" t="n">
        <v>0</v>
      </c>
      <c r="ARF48" s="20" t="n">
        <v>0</v>
      </c>
      <c r="ARG48" s="20" t="n">
        <v>0</v>
      </c>
      <c r="ARH48" s="20" t="n">
        <v>0</v>
      </c>
      <c r="ARI48" s="20" t="n">
        <v>0</v>
      </c>
      <c r="ARJ48" s="20" t="n">
        <v>0</v>
      </c>
      <c r="ARK48" s="20" t="n">
        <v>0</v>
      </c>
      <c r="ARL48" s="20" t="n">
        <v>0</v>
      </c>
      <c r="ARM48" s="20" t="n">
        <v>0</v>
      </c>
      <c r="ARN48" s="20" t="n">
        <v>0</v>
      </c>
      <c r="ARO48" s="20" t="n">
        <v>0</v>
      </c>
      <c r="ARP48" s="20" t="n">
        <v>0</v>
      </c>
      <c r="ARQ48" s="20" t="n">
        <v>0</v>
      </c>
      <c r="ARR48" s="20" t="n">
        <f aca="false">IF(AND(H_Direct=0,H_TaxEvt=1),IF(ARR47+1&gt;=H_Deemed,0,ARR47+1),ARR47)</f>
        <v>1</v>
      </c>
      <c r="ARS48" s="20" t="n">
        <f aca="false">IF(AND(H_Direct=0,H_TaxEvt=1),IF(ARS47+1&gt;=H_Deemed,0,ARS47+1),ARS47)</f>
        <v>1</v>
      </c>
      <c r="ART48" s="20" t="n">
        <f aca="false">IF(AND(H_Direct=0,H_TaxEvt=1),IF(ART47+1&gt;=H_Deemed,0,ART47+1),ART47)</f>
        <v>0</v>
      </c>
      <c r="ARU48" s="20" t="n">
        <f aca="false">IF(AND(H_Direct=0,H_TaxEvt=1),IF(ARU47+1&gt;=H_Deemed,0,ARU47+1),ARU47)</f>
        <v>7</v>
      </c>
      <c r="ARV48" s="20" t="n">
        <f aca="false">IF(AND(H_Direct=0,H_TaxEvt=1),IF(ARV47+1&gt;=H_Deemed,0,ARV47+1),ARV47)</f>
        <v>6</v>
      </c>
      <c r="ARW48" s="20" t="n">
        <f aca="false">IF(AND(H_Direct=0,H_TaxEvt=1),IF(ARW47+1&gt;=H_Deemed,0,ARW47+1),ARW47)</f>
        <v>5</v>
      </c>
      <c r="ARX48" s="20" t="n">
        <f aca="false">IF(AND(H_Direct=0,H_TaxEvt=1),IF(ARX47+1&gt;=H_Deemed,0,ARX47+1),ARX47)</f>
        <v>4</v>
      </c>
      <c r="ARY48" s="20" t="n">
        <f aca="false">IF(AND(H_Direct=0,H_TaxEvt=1),IF(ARY47+1&gt;=H_Deemed,0,ARY47+1),ARY47)</f>
        <v>3</v>
      </c>
      <c r="ARZ48" s="20" t="n">
        <f aca="false">IF(AND(H_Direct=0,H_TaxEvt=1),IF(ARZ47+1&gt;=H_Deemed,0,ARZ47+1),ARZ47)</f>
        <v>2</v>
      </c>
      <c r="ASA48" s="20" t="n">
        <f aca="false">IF(AND(H_Direct=0,H_TaxEvt=1),IF(ASA47+1&gt;=H_Deemed,0,ASA47+1),ASA47)</f>
        <v>1</v>
      </c>
      <c r="ASB48" s="20" t="n">
        <f aca="false">IF(AND(H_Direct=0,H_TaxEvt=1),IF(ASB47+1&gt;=H_Deemed,0,ASB47+1),ASB47)</f>
        <v>0</v>
      </c>
      <c r="ASC48" s="20" t="n">
        <f aca="false">IF(AND(H_Direct=0,H_TaxEvt=1),IF(ASC47+1&gt;=H_Deemed,0,ASC47+1),ASC47)</f>
        <v>7</v>
      </c>
      <c r="ASD48" s="20" t="n">
        <f aca="false">IF(AND(H_Direct=0,H_TaxEvt=1),IF(ASD47+1&gt;=H_Deemed,0,ASD47+1),ASD47)</f>
        <v>6</v>
      </c>
      <c r="ASE48" s="20" t="n">
        <f aca="false">IF(AND(H_Direct=0,H_TaxEvt=1),IF(ASE47+1&gt;=H_Deemed,0,ASE47+1),ASE47)</f>
        <v>5</v>
      </c>
      <c r="ASF48" s="20" t="n">
        <f aca="false">IF(AND(H_Direct=0,H_TaxEvt=1),IF(ASF47+1&gt;=H_Deemed,0,ASF47+1),ASF47)</f>
        <v>4</v>
      </c>
      <c r="ASG48" s="20" t="n">
        <f aca="false">IF(AND(H_Direct=0,H_TaxEvt=1),IF(ASG47+1&gt;=H_Deemed,0,ASG47+1),ASG47)</f>
        <v>3</v>
      </c>
      <c r="ASH48" s="20" t="n">
        <f aca="false">IF(AND(H_Direct=0,H_TaxEvt=1),IF(ASH47+1&gt;=H_Deemed,0,ASH47+1),ASH47)</f>
        <v>2</v>
      </c>
      <c r="ASI48" s="20" t="n">
        <f aca="false">IF(AND(H_Direct=0,H_TaxEvt=1),IF(ASI47+1&gt;=H_Deemed,0,ASI47+1),ASI47)</f>
        <v>1</v>
      </c>
      <c r="ASJ48" s="20" t="n">
        <f aca="false">IF(AND(H_Direct=0,H_TaxEvt=1),IF(ASJ47+1&gt;=H_Deemed,0,ASJ47+1),ASJ47)</f>
        <v>0</v>
      </c>
      <c r="ASK48" s="20" t="n">
        <f aca="false">IF(AND(H_Direct=0,H_TaxEvt=1),IF(ASK47+1&gt;=H_Deemed,0,ASK47+1),ASK47)</f>
        <v>7</v>
      </c>
      <c r="ASL48" s="20" t="n">
        <f aca="false">IF(AND(H_Direct=0,H_TaxEvt=1),IF(ASL47+1&gt;=H_Deemed,0,ASL47+1),ASL47)</f>
        <v>6</v>
      </c>
      <c r="ASM48" s="20" t="n">
        <f aca="false">IF(AND(H_Direct=0,H_TaxEvt=1),IF(ASM47+1&gt;=H_Deemed,0,ASM47+1),ASM47)</f>
        <v>5</v>
      </c>
      <c r="ASN48" s="20" t="n">
        <f aca="false">IF(AND(H_Direct=0,H_TaxEvt=1),IF(ASN47+1&gt;=H_Deemed,0,ASN47+1),ASN47)</f>
        <v>4</v>
      </c>
      <c r="ASO48" s="20" t="n">
        <f aca="false">IF(AND(H_Direct=0,H_TaxEvt=1),IF(ASO47+1&gt;=H_Deemed,0,ASO47+1),ASO47)</f>
        <v>3</v>
      </c>
      <c r="ASP48" s="20" t="n">
        <f aca="false">IF(AND(H_Direct=0,H_TaxEvt=1),IF(ASP47+1&gt;=H_Deemed,0,ASP47+1),ASP47)</f>
        <v>2</v>
      </c>
      <c r="ASQ48" s="20" t="n">
        <f aca="false">IF(AND(H_Direct=0,H_TaxEvt=1),IF(ASQ47+1&gt;=H_Deemed,0,ASQ47+1),ASQ47)</f>
        <v>1</v>
      </c>
      <c r="ASR48" s="20" t="n">
        <f aca="false">IF(AND(H_Direct=0,H_TaxEvt=1),IF(ASR47+1&gt;=H_Deemed,0,ASR47+1),ASR47)</f>
        <v>0</v>
      </c>
      <c r="ASS48" s="20" t="n">
        <f aca="false">IF(AND(H_Direct=0,H_TaxEvt=1),IF(ASS47+1&gt;=H_Deemed,0,ASS47+1),ASS47)</f>
        <v>7</v>
      </c>
      <c r="AST48" s="20" t="n">
        <f aca="false">IF(AND(H_Direct=0,H_TaxEvt=1),IF(AST47+1&gt;=H_Deemed,0,AST47+1),AST47)</f>
        <v>6</v>
      </c>
      <c r="ASU48" s="20" t="n">
        <f aca="false">IF(AND(H_Direct=0,H_TaxEvt=1),IF(ASU47+1&gt;=H_Deemed,0,ASU47+1),ASU47)</f>
        <v>5</v>
      </c>
      <c r="ASV48" s="20" t="n">
        <f aca="false">IF(AND(H_Direct=0,H_TaxEvt=1),IF(ASV47+1&gt;=H_Deemed,0,ASV47+1),ASV47)</f>
        <v>4</v>
      </c>
      <c r="ASW48" s="20" t="n">
        <f aca="false">IF(AND(H_Direct=0,H_TaxEvt=1),IF(ASW47+1&gt;=H_Deemed,0,ASW47+1),ASW47)</f>
        <v>3</v>
      </c>
      <c r="ASX48" s="20" t="n">
        <f aca="false">IF(AND(H_Direct=0,H_TaxEvt=1),IF(ASX47+1&gt;=H_Deemed,0,ASX47+1),ASX47)</f>
        <v>2</v>
      </c>
      <c r="ASY48" s="20" t="n">
        <f aca="false">IF(AND(H_Direct=0,H_TaxEvt=1),IF(ASY47+1&gt;=H_Deemed,0,ASY47+1),ASY47)</f>
        <v>1</v>
      </c>
      <c r="ASZ48" s="20" t="n">
        <f aca="false">IF(AND(H_Direct=0,H_TaxEvt=1),IF(ASZ47+1&gt;=H_Deemed,0,ASZ47+1),ASZ47)</f>
        <v>0</v>
      </c>
      <c r="ATA48" s="20" t="n">
        <f aca="false">IF(AND(H_Direct=0,H_TaxEvt=1),IF(ATA47+1&gt;=H_Deemed,0,ATA47+1),ATA47)</f>
        <v>7</v>
      </c>
      <c r="ATB48" s="20" t="n">
        <f aca="false">IF(AND(H_Direct=0,H_TaxEvt=1),IF(ATB47+1&gt;=H_Deemed,0,ATB47+1),ATB47)</f>
        <v>6</v>
      </c>
      <c r="ATC48" s="20" t="n">
        <f aca="false">IF(AND(H_Direct=0,H_TaxEvt=1),IF(ATC47+1&gt;=H_Deemed,0,ATC47+1),ATC47)</f>
        <v>5</v>
      </c>
      <c r="ATD48" s="20" t="n">
        <f aca="false">IF(AND(H_Direct=0,H_TaxEvt=1),IF(ATD47+1&gt;=H_Deemed,0,ATD47+1),ATD47)</f>
        <v>4</v>
      </c>
      <c r="ATE48" s="20" t="n">
        <f aca="false">IF(AND(H_Direct=0,H_TaxEvt=1),IF(ATE47+1&gt;=H_Deemed,0,ATE47+1),ATE47)</f>
        <v>3</v>
      </c>
      <c r="ATF48" s="20" t="n">
        <f aca="false">IF(AND(H_Direct=0,H_TaxEvt=1),IF(ATF47+1&gt;=H_Deemed,0,ATF47+1),ATF47)</f>
        <v>2</v>
      </c>
      <c r="ATG48" s="20" t="n">
        <f aca="false">IF(AND(H_Direct=0,H_TaxEvt=1),IF(0+1&gt;=H_Deemed,0,0+1),0)</f>
        <v>1</v>
      </c>
      <c r="ATH48" s="20" t="n">
        <v>0</v>
      </c>
      <c r="ATI48" s="20" t="n">
        <v>0</v>
      </c>
      <c r="ATJ48" s="20" t="n">
        <v>0</v>
      </c>
      <c r="ATK48" s="20" t="n">
        <v>0</v>
      </c>
      <c r="ATL48" s="20" t="n">
        <v>0</v>
      </c>
      <c r="ATM48" s="20" t="n">
        <v>0</v>
      </c>
      <c r="ATN48" s="20" t="n">
        <v>0</v>
      </c>
      <c r="ATO48" s="20" t="n">
        <v>0</v>
      </c>
      <c r="ATP48" s="20" t="n">
        <v>0</v>
      </c>
      <c r="ATQ48" s="20" t="n">
        <v>0</v>
      </c>
      <c r="ATR48" s="20" t="n">
        <v>0</v>
      </c>
      <c r="ATS48" s="20" t="n">
        <v>0</v>
      </c>
      <c r="ATT48" s="20" t="n">
        <v>0</v>
      </c>
      <c r="ATU48" s="20" t="n">
        <v>0</v>
      </c>
      <c r="ATV48" s="20" t="n">
        <v>0</v>
      </c>
      <c r="ATW48" s="20" t="n">
        <v>0</v>
      </c>
      <c r="ATX48" s="20" t="n">
        <v>0</v>
      </c>
      <c r="ATY48" s="20" t="n">
        <v>0</v>
      </c>
      <c r="ATZ48" s="20" t="n">
        <v>0</v>
      </c>
      <c r="AUA48" s="20" t="n">
        <v>0</v>
      </c>
      <c r="AUB48" s="20" t="n">
        <v>0</v>
      </c>
      <c r="AUC48" s="20" t="n">
        <v>0</v>
      </c>
      <c r="AUD48" s="20" t="n">
        <v>0</v>
      </c>
      <c r="AUE48" s="20" t="n">
        <v>0</v>
      </c>
      <c r="AUF48" s="20" t="n">
        <v>0</v>
      </c>
      <c r="AUG48" s="20" t="n">
        <v>0</v>
      </c>
      <c r="AUH48" s="20" t="n">
        <v>0</v>
      </c>
      <c r="AUI48" s="20" t="n">
        <v>0</v>
      </c>
      <c r="AUJ48" s="20" t="n">
        <v>0</v>
      </c>
      <c r="AUK48" s="20" t="n">
        <v>0</v>
      </c>
      <c r="AUL48" s="20" t="n">
        <v>0</v>
      </c>
      <c r="AUM48" s="20" t="n">
        <v>0</v>
      </c>
      <c r="AUN48" s="20" t="n">
        <v>0</v>
      </c>
      <c r="AUO48" s="20" t="n">
        <v>0</v>
      </c>
      <c r="AUP48" s="20" t="n">
        <v>0</v>
      </c>
      <c r="AUQ48" s="20" t="n">
        <v>0</v>
      </c>
      <c r="AUR48" s="20" t="n">
        <v>0</v>
      </c>
      <c r="AUS48" s="20" t="n">
        <v>0</v>
      </c>
      <c r="AUT48" s="20" t="n">
        <v>0</v>
      </c>
      <c r="AUU48" s="20" t="n">
        <v>0</v>
      </c>
      <c r="AUV48" s="20" t="n">
        <v>0</v>
      </c>
      <c r="AUW48" s="20" t="n">
        <v>0</v>
      </c>
      <c r="AUX48" s="20" t="n">
        <v>0</v>
      </c>
      <c r="AUY48" s="20" t="n">
        <v>0</v>
      </c>
      <c r="AUZ48" s="20" t="n">
        <v>0</v>
      </c>
      <c r="AVA48" s="20" t="n">
        <v>0</v>
      </c>
      <c r="AVB48" s="20" t="n">
        <v>0</v>
      </c>
      <c r="AVC48" s="20" t="n">
        <v>0</v>
      </c>
      <c r="AVD48" s="20" t="n">
        <v>0</v>
      </c>
      <c r="AVE48" s="20" t="n">
        <f aca="false">IF(AND(H_Direct=0,H_TaxEvt=1,ARR47+1&gt;=H_Deemed),MAX(0,ADR48-AHE48)*H_Exit,0)</f>
        <v>0</v>
      </c>
      <c r="AVF48" s="20" t="n">
        <f aca="false">IF(AND(H_Direct=0,H_TaxEvt=1,ARS47+1&gt;=H_Deemed),MAX(0,ADS48-AHF48)*H_Exit,0)</f>
        <v>0</v>
      </c>
      <c r="AVG48" s="20" t="n">
        <f aca="false">IF(AND(H_Direct=0,H_TaxEvt=1,ART47+1&gt;=H_Deemed),MAX(0,ADT48-AHG48)*H_Exit,0)</f>
        <v>0</v>
      </c>
      <c r="AVH48" s="20" t="n">
        <f aca="false">IF(AND(H_Direct=0,H_TaxEvt=1,ARU47+1&gt;=H_Deemed),MAX(0,ADU48-AHH48)*H_Exit,0)</f>
        <v>0</v>
      </c>
      <c r="AVI48" s="20" t="n">
        <f aca="false">IF(AND(H_Direct=0,H_TaxEvt=1,ARV47+1&gt;=H_Deemed),MAX(0,ADV48-AHI48)*H_Exit,0)</f>
        <v>0</v>
      </c>
      <c r="AVJ48" s="20" t="n">
        <f aca="false">IF(AND(H_Direct=0,H_TaxEvt=1,ARW47+1&gt;=H_Deemed),MAX(0,ADW48-AHJ48)*H_Exit,0)</f>
        <v>0</v>
      </c>
      <c r="AVK48" s="20" t="n">
        <f aca="false">IF(AND(H_Direct=0,H_TaxEvt=1,ARX47+1&gt;=H_Deemed),MAX(0,ADX48-AHK48)*H_Exit,0)</f>
        <v>0</v>
      </c>
      <c r="AVL48" s="20" t="n">
        <f aca="false">IF(AND(H_Direct=0,H_TaxEvt=1,ARY47+1&gt;=H_Deemed),MAX(0,ADY48-AHL48)*H_Exit,0)</f>
        <v>0</v>
      </c>
      <c r="AVM48" s="20" t="n">
        <f aca="false">IF(AND(H_Direct=0,H_TaxEvt=1,ARZ47+1&gt;=H_Deemed),MAX(0,ADZ48-AHM48)*H_Exit,0)</f>
        <v>0</v>
      </c>
      <c r="AVN48" s="20" t="n">
        <f aca="false">IF(AND(H_Direct=0,H_TaxEvt=1,ASA47+1&gt;=H_Deemed),MAX(0,AEA48-AHN48)*H_Exit,0)</f>
        <v>0</v>
      </c>
      <c r="AVO48" s="20" t="n">
        <f aca="false">IF(AND(H_Direct=0,H_TaxEvt=1,ASB47+1&gt;=H_Deemed),MAX(0,AEB48-AHO48)*H_Exit,0)</f>
        <v>0</v>
      </c>
      <c r="AVP48" s="20" t="n">
        <f aca="false">IF(AND(H_Direct=0,H_TaxEvt=1,ASC47+1&gt;=H_Deemed),MAX(0,AEC48-AHP48)*H_Exit,0)</f>
        <v>0</v>
      </c>
      <c r="AVQ48" s="20" t="n">
        <f aca="false">IF(AND(H_Direct=0,H_TaxEvt=1,ASD47+1&gt;=H_Deemed),MAX(0,AED48-AHQ48)*H_Exit,0)</f>
        <v>0</v>
      </c>
      <c r="AVR48" s="20" t="n">
        <f aca="false">IF(AND(H_Direct=0,H_TaxEvt=1,ASE47+1&gt;=H_Deemed),MAX(0,AEE48-AHR48)*H_Exit,0)</f>
        <v>0</v>
      </c>
      <c r="AVS48" s="20" t="n">
        <f aca="false">IF(AND(H_Direct=0,H_TaxEvt=1,ASF47+1&gt;=H_Deemed),MAX(0,AEF48-AHS48)*H_Exit,0)</f>
        <v>0</v>
      </c>
      <c r="AVT48" s="20" t="n">
        <f aca="false">IF(AND(H_Direct=0,H_TaxEvt=1,ASG47+1&gt;=H_Deemed),MAX(0,AEG48-AHT48)*H_Exit,0)</f>
        <v>0</v>
      </c>
      <c r="AVU48" s="20" t="n">
        <f aca="false">IF(AND(H_Direct=0,H_TaxEvt=1,ASH47+1&gt;=H_Deemed),MAX(0,AEH48-AHU48)*H_Exit,0)</f>
        <v>0</v>
      </c>
      <c r="AVV48" s="20" t="n">
        <f aca="false">IF(AND(H_Direct=0,H_TaxEvt=1,ASI47+1&gt;=H_Deemed),MAX(0,AEI48-AHV48)*H_Exit,0)</f>
        <v>0</v>
      </c>
      <c r="AVW48" s="20" t="n">
        <f aca="false">IF(AND(H_Direct=0,H_TaxEvt=1,ASJ47+1&gt;=H_Deemed),MAX(0,AEJ48-AHW48)*H_Exit,0)</f>
        <v>0</v>
      </c>
      <c r="AVX48" s="20" t="n">
        <f aca="false">IF(AND(H_Direct=0,H_TaxEvt=1,ASK47+1&gt;=H_Deemed),MAX(0,AEK48-AHX48)*H_Exit,0)</f>
        <v>0</v>
      </c>
      <c r="AVY48" s="20" t="n">
        <f aca="false">IF(AND(H_Direct=0,H_TaxEvt=1,ASL47+1&gt;=H_Deemed),MAX(0,AEL48-AHY48)*H_Exit,0)</f>
        <v>0</v>
      </c>
      <c r="AVZ48" s="20" t="n">
        <f aca="false">IF(AND(H_Direct=0,H_TaxEvt=1,ASM47+1&gt;=H_Deemed),MAX(0,AEM48-AHZ48)*H_Exit,0)</f>
        <v>0</v>
      </c>
      <c r="AWA48" s="20" t="n">
        <f aca="false">IF(AND(H_Direct=0,H_TaxEvt=1,ASN47+1&gt;=H_Deemed),MAX(0,AEN48-AIA48)*H_Exit,0)</f>
        <v>0</v>
      </c>
      <c r="AWB48" s="20" t="n">
        <f aca="false">IF(AND(H_Direct=0,H_TaxEvt=1,ASO47+1&gt;=H_Deemed),MAX(0,AEO48-AIB48)*H_Exit,0)</f>
        <v>0</v>
      </c>
      <c r="AWC48" s="20" t="n">
        <f aca="false">IF(AND(H_Direct=0,H_TaxEvt=1,ASP47+1&gt;=H_Deemed),MAX(0,AEP48-AIC48)*H_Exit,0)</f>
        <v>0</v>
      </c>
      <c r="AWD48" s="20" t="n">
        <f aca="false">IF(AND(H_Direct=0,H_TaxEvt=1,ASQ47+1&gt;=H_Deemed),MAX(0,AEQ48-AID48)*H_Exit,0)</f>
        <v>0</v>
      </c>
      <c r="AWE48" s="20" t="n">
        <f aca="false">IF(AND(H_Direct=0,H_TaxEvt=1,ASR47+1&gt;=H_Deemed),MAX(0,AER48-AIE48)*H_Exit,0)</f>
        <v>0</v>
      </c>
      <c r="AWF48" s="20" t="n">
        <f aca="false">IF(AND(H_Direct=0,H_TaxEvt=1,ASS47+1&gt;=H_Deemed),MAX(0,AES48-AIF48)*H_Exit,0)</f>
        <v>0</v>
      </c>
      <c r="AWG48" s="20" t="n">
        <f aca="false">IF(AND(H_Direct=0,H_TaxEvt=1,AST47+1&gt;=H_Deemed),MAX(0,AET48-AIG48)*H_Exit,0)</f>
        <v>0</v>
      </c>
      <c r="AWH48" s="20" t="n">
        <f aca="false">IF(AND(H_Direct=0,H_TaxEvt=1,ASU47+1&gt;=H_Deemed),MAX(0,AEU48-AIH48)*H_Exit,0)</f>
        <v>0</v>
      </c>
      <c r="AWI48" s="20" t="n">
        <f aca="false">IF(AND(H_Direct=0,H_TaxEvt=1,ASV47+1&gt;=H_Deemed),MAX(0,AEV48-AII48)*H_Exit,0)</f>
        <v>0</v>
      </c>
      <c r="AWJ48" s="20" t="n">
        <f aca="false">IF(AND(H_Direct=0,H_TaxEvt=1,ASW47+1&gt;=H_Deemed),MAX(0,AEW48-AIJ48)*H_Exit,0)</f>
        <v>0</v>
      </c>
      <c r="AWK48" s="20" t="n">
        <f aca="false">IF(AND(H_Direct=0,H_TaxEvt=1,ASX47+1&gt;=H_Deemed),MAX(0,AEX48-AIK48)*H_Exit,0)</f>
        <v>0</v>
      </c>
      <c r="AWL48" s="20" t="n">
        <f aca="false">IF(AND(H_Direct=0,H_TaxEvt=1,ASY47+1&gt;=H_Deemed),MAX(0,AEY48-AIL48)*H_Exit,0)</f>
        <v>0</v>
      </c>
      <c r="AWM48" s="20" t="n">
        <f aca="false">IF(AND(H_Direct=0,H_TaxEvt=1,ASZ47+1&gt;=H_Deemed),MAX(0,AEZ48-AIM48)*H_Exit,0)</f>
        <v>0</v>
      </c>
      <c r="AWN48" s="20" t="n">
        <f aca="false">IF(AND(H_Direct=0,H_TaxEvt=1,ATA47+1&gt;=H_Deemed),MAX(0,AFA48-AIN48)*H_Exit,0)</f>
        <v>0</v>
      </c>
      <c r="AWO48" s="20" t="n">
        <f aca="false">IF(AND(H_Direct=0,H_TaxEvt=1,ATB47+1&gt;=H_Deemed),MAX(0,AFB48-AIO48)*H_Exit,0)</f>
        <v>0</v>
      </c>
      <c r="AWP48" s="20" t="n">
        <f aca="false">IF(AND(H_Direct=0,H_TaxEvt=1,ATC47+1&gt;=H_Deemed),MAX(0,AFC48-AIP48)*H_Exit,0)</f>
        <v>0</v>
      </c>
      <c r="AWQ48" s="20" t="n">
        <f aca="false">IF(AND(H_Direct=0,H_TaxEvt=1,ATD47+1&gt;=H_Deemed),MAX(0,AFD48-AIQ48)*H_Exit,0)</f>
        <v>0</v>
      </c>
      <c r="AWR48" s="20" t="n">
        <f aca="false">IF(AND(H_Direct=0,H_TaxEvt=1,ATE47+1&gt;=H_Deemed),MAX(0,AFE48-AIR48)*H_Exit,0)</f>
        <v>0</v>
      </c>
      <c r="AWS48" s="20" t="n">
        <f aca="false">IF(AND(H_Direct=0,H_TaxEvt=1,ATF47+1&gt;=H_Deemed),MAX(0,AFF48-AIS48)*H_Exit,0)</f>
        <v>0</v>
      </c>
      <c r="AWT48" s="20" t="n">
        <f aca="false">IF(AND(H_Direct=0,H_TaxEvt=1,0+1&gt;=H_Deemed),MAX(0,AFG48-AIT48)*H_Exit,0)</f>
        <v>0</v>
      </c>
      <c r="AWU48" s="20" t="n">
        <v>0</v>
      </c>
      <c r="AWV48" s="20" t="n">
        <v>0</v>
      </c>
      <c r="AWW48" s="20" t="n">
        <v>0</v>
      </c>
      <c r="AWX48" s="20" t="n">
        <v>0</v>
      </c>
      <c r="AWY48" s="20" t="n">
        <v>0</v>
      </c>
      <c r="AWZ48" s="20" t="n">
        <v>0</v>
      </c>
      <c r="AXA48" s="20" t="n">
        <v>0</v>
      </c>
      <c r="AXB48" s="20" t="n">
        <v>0</v>
      </c>
      <c r="AXC48" s="20" t="n">
        <v>0</v>
      </c>
      <c r="AXD48" s="20" t="n">
        <v>0</v>
      </c>
      <c r="AXE48" s="20" t="n">
        <v>0</v>
      </c>
      <c r="AXF48" s="20" t="n">
        <v>0</v>
      </c>
      <c r="AXG48" s="20" t="n">
        <v>0</v>
      </c>
      <c r="AXH48" s="20" t="n">
        <v>0</v>
      </c>
      <c r="AXI48" s="20" t="n">
        <v>0</v>
      </c>
      <c r="AXJ48" s="20" t="n">
        <v>0</v>
      </c>
      <c r="AXK48" s="20" t="n">
        <v>0</v>
      </c>
      <c r="AXL48" s="20" t="n">
        <v>0</v>
      </c>
      <c r="AXM48" s="20" t="n">
        <v>0</v>
      </c>
      <c r="AXN48" s="20" t="n">
        <v>0</v>
      </c>
      <c r="AXO48" s="20" t="n">
        <v>0</v>
      </c>
      <c r="AXP48" s="20" t="n">
        <v>0</v>
      </c>
      <c r="AXQ48" s="20" t="n">
        <v>0</v>
      </c>
      <c r="AXR48" s="20" t="n">
        <v>0</v>
      </c>
      <c r="AXS48" s="20" t="n">
        <v>0</v>
      </c>
      <c r="AXT48" s="20" t="n">
        <v>0</v>
      </c>
      <c r="AXU48" s="20" t="n">
        <v>0</v>
      </c>
      <c r="AXV48" s="20" t="n">
        <v>0</v>
      </c>
      <c r="AXW48" s="20" t="n">
        <v>0</v>
      </c>
      <c r="AXX48" s="20" t="n">
        <v>0</v>
      </c>
      <c r="AXY48" s="20" t="n">
        <v>0</v>
      </c>
      <c r="AXZ48" s="20" t="n">
        <v>0</v>
      </c>
      <c r="AYA48" s="20" t="n">
        <v>0</v>
      </c>
      <c r="AYB48" s="20" t="n">
        <v>0</v>
      </c>
      <c r="AYC48" s="20" t="n">
        <v>0</v>
      </c>
      <c r="AYD48" s="20" t="n">
        <v>0</v>
      </c>
      <c r="AYE48" s="20" t="n">
        <v>0</v>
      </c>
      <c r="AYF48" s="20" t="n">
        <v>0</v>
      </c>
      <c r="AYG48" s="20" t="n">
        <v>0</v>
      </c>
      <c r="AYH48" s="20" t="n">
        <v>0</v>
      </c>
      <c r="AYI48" s="20" t="n">
        <v>0</v>
      </c>
      <c r="AYJ48" s="20" t="n">
        <v>0</v>
      </c>
      <c r="AYK48" s="20" t="n">
        <v>0</v>
      </c>
      <c r="AYL48" s="20" t="n">
        <v>0</v>
      </c>
      <c r="AYM48" s="20" t="n">
        <v>0</v>
      </c>
      <c r="AYN48" s="20" t="n">
        <v>0</v>
      </c>
      <c r="AYO48" s="20" t="n">
        <v>0</v>
      </c>
      <c r="AYP48" s="20" t="n">
        <v>0</v>
      </c>
      <c r="AYQ48" s="20" t="n">
        <v>0</v>
      </c>
    </row>
    <row r="49" customFormat="false" ht="15" hidden="false" customHeight="false" outlineLevel="0" collapsed="false">
      <c r="B49" s="20" t="n">
        <v>41</v>
      </c>
      <c r="C49" s="20" t="n">
        <f aca="false">'Plan cashflow'!C49</f>
        <v>1</v>
      </c>
      <c r="D49" s="20" t="n">
        <f aca="false">'Plan cashflow'!D49</f>
        <v>79</v>
      </c>
      <c r="E49" s="20" t="n">
        <f aca="false">AS_Year0+41</f>
        <v>2067</v>
      </c>
      <c r="F49" s="50" t="n">
        <f aca="false">'Plan cashflow'!F49</f>
        <v>2.25220045688715</v>
      </c>
      <c r="G49" s="59" t="n">
        <f aca="true">IF(MAX(TODAY(),DATE(E49,1,1))&gt;=H_CGTfrom,H_CGT1,H_CGT0)</f>
        <v>0.31</v>
      </c>
      <c r="H49" s="20" t="n">
        <f aca="false">H_Exempt*H_Persons</f>
        <v>1270</v>
      </c>
      <c r="I49" s="20" t="n">
        <f aca="false">AX48</f>
        <v>0</v>
      </c>
      <c r="J49" s="60" t="n">
        <f aca="false">BF48</f>
        <v>0</v>
      </c>
      <c r="K49" s="60" t="n">
        <f aca="false">BG48</f>
        <v>0</v>
      </c>
      <c r="L49" s="20" t="n">
        <f aca="false">IF(AND(In_polLump&gt;0,In_polLumpAge&gt;0,D49=In_polLumpAge),In_polLump,0)</f>
        <v>0</v>
      </c>
      <c r="M49" s="20" t="n">
        <f aca="false">IF(AND(In_homeUse="Yes, I'd downsize",In_downAge&gt;0,D49=In_downAge,OR(In_home="Own outright",In_home="Own with mortgage"),In_homeValue&gt;0),MAX(0,MAX(0,In_homeValue-In_downValue)*F49*0.9-'Plan cashflow'!HR48),0)</f>
        <v>0</v>
      </c>
      <c r="N49" s="20" t="n">
        <f aca="false">'Plan pay &amp; tax'!Y275</f>
        <v>0</v>
      </c>
      <c r="O49" s="20" t="n">
        <f aca="false">L49+M49+(1-H_Sh)*N49</f>
        <v>0</v>
      </c>
      <c r="P49" s="20" t="n">
        <f aca="false">H_Sh*N49</f>
        <v>0</v>
      </c>
      <c r="Q49" s="20" t="n">
        <f aca="false">'Plan cashflow'!UL49</f>
        <v>0</v>
      </c>
      <c r="R49" s="20" t="n">
        <f aca="false">(1-H_Sh)*Q49</f>
        <v>0</v>
      </c>
      <c r="S49" s="20" t="n">
        <f aca="false">H_Sh*Q49</f>
        <v>0</v>
      </c>
      <c r="T49" s="20" t="n">
        <f aca="false">J49+K49+O49</f>
        <v>0</v>
      </c>
      <c r="U49" s="20" t="n">
        <f aca="false">T49+R49</f>
        <v>0</v>
      </c>
      <c r="V49" s="60" t="n">
        <f aca="false">SUM(FE49:IQ49)</f>
        <v>0</v>
      </c>
      <c r="W49" s="60" t="n">
        <f aca="false">IF(AJ49&lt;=0,0,IF(AL49&lt;=0,AJ49,AJ49-G49*MAX(0,AL49*AJ49-(AY49+AZ49))))</f>
        <v>0</v>
      </c>
      <c r="X49" s="60" t="n">
        <f aca="false">IF(AR49&lt;=0,0,IF(AT49&lt;=0,AR49,AR49-G49*MAX(0,AT49*AR49-(BA49+BB49))))</f>
        <v>0</v>
      </c>
      <c r="Y49" s="60" t="n">
        <f aca="false">T49+V49-S49+W49+X49</f>
        <v>0</v>
      </c>
      <c r="Z49" s="60" t="n">
        <f aca="false">'Plan cashflow'!UK49</f>
        <v>0</v>
      </c>
      <c r="AA49" s="20" t="n">
        <f aca="false">MIN(Z49,U49)</f>
        <v>0</v>
      </c>
      <c r="AB49" s="20" t="n">
        <f aca="false">Z49-AA49</f>
        <v>0</v>
      </c>
      <c r="AC49" s="20" t="n">
        <f aca="false">MIN(AA49,J49+O49+R49)</f>
        <v>0</v>
      </c>
      <c r="AD49" s="20" t="n">
        <f aca="false">AA49-AC49</f>
        <v>0</v>
      </c>
      <c r="AE49" s="20" t="n">
        <f aca="false">J49+O49+R49-AC49</f>
        <v>0</v>
      </c>
      <c r="AF49" s="20" t="n">
        <f aca="false">K49-AD49</f>
        <v>0</v>
      </c>
      <c r="AG49" s="20" t="n">
        <f aca="false">SUM(PR49:TD49)</f>
        <v>0</v>
      </c>
      <c r="AH49" s="20" t="n">
        <f aca="false">SUM(TE49:WQ49)</f>
        <v>0</v>
      </c>
      <c r="AI49" s="20" t="n">
        <f aca="false">MAX(0,AB49-AG49)</f>
        <v>0</v>
      </c>
      <c r="AJ49" s="57" t="n">
        <f aca="false">BI48</f>
        <v>0</v>
      </c>
      <c r="AK49" s="20" t="n">
        <f aca="false">BJ48</f>
        <v>0</v>
      </c>
      <c r="AL49" s="20" t="n">
        <f aca="false">IF(AJ49&gt;0,(AJ49-AK49)/AJ49,0)</f>
        <v>0</v>
      </c>
      <c r="AM49" s="20" t="n">
        <f aca="false">IF(AJ49&lt;=0,0,IF(AL49&lt;=0,MIN(AI49,AJ49),MIN(AI49,AJ49-G49*MAX(0,AL49*AJ49-(AAD49+ADQ49)))))</f>
        <v>0</v>
      </c>
      <c r="AN49" s="20" t="n">
        <f aca="false">IF(AJ49&lt;=0,0,IF(AL49&lt;=0,AM49,IF(AM49&lt;=(AAD49+ADQ49)/AL49,AM49,(AM49-G49*(AAD49+ADQ49))/(1-G49*AL49))))</f>
        <v>0</v>
      </c>
      <c r="AO49" s="20" t="n">
        <f aca="false">IF(AL49&gt;0,MAX(0,AAD49-(MIN(AL49*AN49,(AAD49+ADQ49))-MIN(MIN(AL49*AN49,(AAD49+ADQ49)),ADQ49))),AAD49)</f>
        <v>1270</v>
      </c>
      <c r="AP49" s="20" t="n">
        <f aca="false">IF(AL49&lt;=0,ADQ49-AL49*AN49,ADQ49-MIN(MIN(AL49*AN49,(AAD49+ADQ49)),ADQ49))</f>
        <v>0</v>
      </c>
      <c r="AQ49" s="20" t="n">
        <f aca="false">MAX(0,AI49-AM49)</f>
        <v>0</v>
      </c>
      <c r="AR49" s="57" t="n">
        <f aca="false">BK48</f>
        <v>0</v>
      </c>
      <c r="AS49" s="20" t="n">
        <f aca="false">BL48</f>
        <v>0</v>
      </c>
      <c r="AT49" s="20" t="n">
        <f aca="false">IF(AR49&gt;0,(AR49-AS49)/AR49,0)</f>
        <v>0</v>
      </c>
      <c r="AU49" s="20" t="n">
        <f aca="false">IF(AR49&lt;=0,0,IF(AT49&lt;=0,MIN(AQ49,AR49),MIN(AQ49,AR49-G49*MAX(0,AT49*AR49-(AO49+AP49)))))</f>
        <v>0</v>
      </c>
      <c r="AV49" s="20" t="n">
        <f aca="false">IF(AR49&lt;=0,0,IF(AT49&lt;=0,AU49,IF(AU49&lt;=(AO49+AP49)/AT49,AU49,(AU49-G49*(AO49+AP49))/(1-G49*AT49))))</f>
        <v>0</v>
      </c>
      <c r="AW49" s="20" t="n">
        <f aca="false">IF(AT49&gt;0,MAX(0,AO49-(MIN(AT49*AV49,(AO49+AP49))-MIN(MIN(AT49*AV49,(AO49+AP49)),AP49))),AO49)</f>
        <v>1270</v>
      </c>
      <c r="AX49" s="20" t="n">
        <f aca="false">IF(AT49&lt;=0,AP49-AT49*AV49,AP49-MIN(MIN(AT49*AV49,(AO49+AP49)),AP49))</f>
        <v>0</v>
      </c>
      <c r="AY49" s="20" t="n">
        <f aca="false">MD49</f>
        <v>1270</v>
      </c>
      <c r="AZ49" s="20" t="n">
        <f aca="false">PQ49</f>
        <v>0</v>
      </c>
      <c r="BA49" s="20" t="n">
        <f aca="false">IF(AL49&gt;0,MAX(0,AY49-(MIN(AL49*AJ49,AY49+AZ49)-MIN(MIN(AL49*AJ49,AY49+AZ49),AZ49))),AY49)</f>
        <v>1270</v>
      </c>
      <c r="BB49" s="20" t="n">
        <f aca="false">IF(AL49&lt;=0,AZ49-AL49*AJ49,AZ49-MIN(MIN(AL49*AJ49,AY49+AZ49),AZ49))</f>
        <v>0</v>
      </c>
      <c r="BC49" s="20" t="n">
        <f aca="false">'Plan cashflow'!UM49</f>
        <v>0</v>
      </c>
      <c r="BD49" s="20" t="n">
        <f aca="false">(1-H_Sh)*BC49</f>
        <v>0</v>
      </c>
      <c r="BE49" s="20" t="n">
        <f aca="false">H_Sh*BC49</f>
        <v>0</v>
      </c>
      <c r="BF49" s="60" t="n">
        <f aca="false">(AE49+BD49)*(1+AS_Cash)</f>
        <v>0</v>
      </c>
      <c r="BG49" s="60" t="n">
        <f aca="false">AF49*(1+AS_Cash)</f>
        <v>0</v>
      </c>
      <c r="BH49" s="60" t="n">
        <f aca="false">SUM(AKR49:AOD49)</f>
        <v>0</v>
      </c>
      <c r="BI49" s="60" t="n">
        <f aca="false">(AJ49-AN49)*(1+AS_Infl)</f>
        <v>0</v>
      </c>
      <c r="BJ49" s="20" t="n">
        <f aca="false">IF(AJ49&gt;0,AK49-AK49*AN49/AJ49,0)</f>
        <v>0</v>
      </c>
      <c r="BK49" s="60" t="n">
        <f aca="false">(AR49-AV49)*(1+BQ49)</f>
        <v>0</v>
      </c>
      <c r="BL49" s="20" t="n">
        <f aca="false">IF(AR49&gt;0,AS49-AS49*AV49/AR49,0)</f>
        <v>0</v>
      </c>
      <c r="BM49" s="60" t="n">
        <f aca="false">BF49+BG49+BH49+BI49+BK49</f>
        <v>0</v>
      </c>
      <c r="BN49" s="60" t="n">
        <f aca="false">(AH49-AG49)+(AN49-AM49)+(AV49-AU49)</f>
        <v>0</v>
      </c>
      <c r="BO49" s="20" t="n">
        <f aca="false">(AE49+BD49+AF49+MAX(0,'Plan cashflow'!QH49)+IF(Slot1_Rate=AS_Cash,'Plan cashflow'!QM49/(1+AS_Cash),0)+IF(Slot2_Rate=AS_Cash,'Plan cashflow'!QQ49/(1+AS_Cash),0)+IF(Slot3_Rate=AS_Cash,'Plan cashflow'!QU49/(1+AS_Cash),0)+IF(Slot4_Rate=AS_Cash,'Plan cashflow'!QY49/(1+AS_Cash),0)+IF(Slot5_Rate=AS_Cash,'Plan cashflow'!RC49/(1+AS_Cash),0)+IF(Slot6_Rate=AS_Cash,'Plan cashflow'!RG49/(1+AS_Cash),0)+IF(Slot7_Rate=AS_Cash,'Plan cashflow'!RK49/(1+AS_Cash),0)+IF(Slot8_Rate=AS_Cash,'Plan cashflow'!RO49/(1+AS_Cash),0)+IF(Slot9_Rate=AS_Cash,'Plan cashflow'!RS49/(1+AS_Cash),0)+IF(Slot10_Rate=AS_Cash,'Plan cashflow'!RW49/(1+AS_Cash),0)+IF(Slot11_Rate=AS_Cash,'Plan cashflow'!SA49/(1+AS_Cash),0)+IF(Slot12_Rate=AS_Cash,'Plan cashflow'!SE49/(1+AS_Cash),0)+IF(Slot13_Rate=AS_Cash,'Plan cashflow'!SI49/(1+AS_Cash),0)+IF(Slot14_Rate=AS_Cash,'Plan cashflow'!SM49/(1+AS_Cash),0)+IF(Slot15_Rate=AS_Cash,'Plan cashflow'!SQ49/(1+AS_Cash),0)+IF(Slot16_Rate=AS_Cash,'Plan cashflow'!SU49/(1+AS_Cash),0)+IF(Slot17_Rate=AS_Cash,'Plan cashflow'!SY49/(1+AS_Cash),0)+IF(Slot18_Rate=AS_Cash,'Plan cashflow'!TC49/(1+AS_Cash),0)+IF(Slot19_Rate=AS_Cash,'Plan cashflow'!TG49/(1+AS_Cash),0)+IF(Slot20_Rate=AS_Cash,'Plan cashflow'!TK49/(1+AS_Cash),0))*AS_Cash*H_DIRT/(1-H_DIRT)</f>
        <v>0</v>
      </c>
      <c r="BP49" s="60" t="n">
        <f aca="false">SUM(AVE49:AYQ49)</f>
        <v>0</v>
      </c>
      <c r="BQ49" s="54" t="n">
        <f aca="false">IF(H_TaxEvt=1,H_InvG,AS_Inv)</f>
        <v>0.04</v>
      </c>
      <c r="BR49" s="20" t="n">
        <f aca="false">IF(AKR48&gt;0,(AKR48-AOE48)/AKR48,0)</f>
        <v>0</v>
      </c>
      <c r="BS49" s="20" t="n">
        <f aca="false">IF(AKS48&gt;0,(AKS48-AOF48)/AKS48,0)</f>
        <v>0</v>
      </c>
      <c r="BT49" s="20" t="n">
        <f aca="false">IF(AKT48&gt;0,(AKT48-AOG48)/AKT48,0)</f>
        <v>0</v>
      </c>
      <c r="BU49" s="20" t="n">
        <f aca="false">IF(AKU48&gt;0,(AKU48-AOH48)/AKU48,0)</f>
        <v>0</v>
      </c>
      <c r="BV49" s="20" t="n">
        <f aca="false">IF(AKV48&gt;0,(AKV48-AOI48)/AKV48,0)</f>
        <v>0</v>
      </c>
      <c r="BW49" s="20" t="n">
        <f aca="false">IF(AKW48&gt;0,(AKW48-AOJ48)/AKW48,0)</f>
        <v>0</v>
      </c>
      <c r="BX49" s="20" t="n">
        <f aca="false">IF(AKX48&gt;0,(AKX48-AOK48)/AKX48,0)</f>
        <v>0</v>
      </c>
      <c r="BY49" s="20" t="n">
        <f aca="false">IF(AKY48&gt;0,(AKY48-AOL48)/AKY48,0)</f>
        <v>0</v>
      </c>
      <c r="BZ49" s="20" t="n">
        <f aca="false">IF(AKZ48&gt;0,(AKZ48-AOM48)/AKZ48,0)</f>
        <v>0</v>
      </c>
      <c r="CA49" s="20" t="n">
        <f aca="false">IF(ALA48&gt;0,(ALA48-AON48)/ALA48,0)</f>
        <v>0</v>
      </c>
      <c r="CB49" s="20" t="n">
        <f aca="false">IF(ALB48&gt;0,(ALB48-AOO48)/ALB48,0)</f>
        <v>0</v>
      </c>
      <c r="CC49" s="20" t="n">
        <f aca="false">IF(ALC48&gt;0,(ALC48-AOP48)/ALC48,0)</f>
        <v>0</v>
      </c>
      <c r="CD49" s="20" t="n">
        <f aca="false">IF(ALD48&gt;0,(ALD48-AOQ48)/ALD48,0)</f>
        <v>0</v>
      </c>
      <c r="CE49" s="20" t="n">
        <f aca="false">IF(ALE48&gt;0,(ALE48-AOR48)/ALE48,0)</f>
        <v>0</v>
      </c>
      <c r="CF49" s="20" t="n">
        <f aca="false">IF(ALF48&gt;0,(ALF48-AOS48)/ALF48,0)</f>
        <v>0</v>
      </c>
      <c r="CG49" s="20" t="n">
        <f aca="false">IF(ALG48&gt;0,(ALG48-AOT48)/ALG48,0)</f>
        <v>0</v>
      </c>
      <c r="CH49" s="20" t="n">
        <f aca="false">IF(ALH48&gt;0,(ALH48-AOU48)/ALH48,0)</f>
        <v>0</v>
      </c>
      <c r="CI49" s="20" t="n">
        <f aca="false">IF(ALI48&gt;0,(ALI48-AOV48)/ALI48,0)</f>
        <v>0</v>
      </c>
      <c r="CJ49" s="20" t="n">
        <f aca="false">IF(ALJ48&gt;0,(ALJ48-AOW48)/ALJ48,0)</f>
        <v>0</v>
      </c>
      <c r="CK49" s="20" t="n">
        <f aca="false">IF(ALK48&gt;0,(ALK48-AOX48)/ALK48,0)</f>
        <v>0</v>
      </c>
      <c r="CL49" s="20" t="n">
        <f aca="false">IF(ALL48&gt;0,(ALL48-AOY48)/ALL48,0)</f>
        <v>0</v>
      </c>
      <c r="CM49" s="20" t="n">
        <f aca="false">IF(ALM48&gt;0,(ALM48-AOZ48)/ALM48,0)</f>
        <v>0</v>
      </c>
      <c r="CN49" s="20" t="n">
        <f aca="false">IF(ALN48&gt;0,(ALN48-APA48)/ALN48,0)</f>
        <v>0</v>
      </c>
      <c r="CO49" s="20" t="n">
        <f aca="false">IF(ALO48&gt;0,(ALO48-APB48)/ALO48,0)</f>
        <v>0</v>
      </c>
      <c r="CP49" s="20" t="n">
        <f aca="false">IF(ALP48&gt;0,(ALP48-APC48)/ALP48,0)</f>
        <v>0</v>
      </c>
      <c r="CQ49" s="20" t="n">
        <f aca="false">IF(ALQ48&gt;0,(ALQ48-APD48)/ALQ48,0)</f>
        <v>0</v>
      </c>
      <c r="CR49" s="20" t="n">
        <f aca="false">IF(ALR48&gt;0,(ALR48-APE48)/ALR48,0)</f>
        <v>0</v>
      </c>
      <c r="CS49" s="20" t="n">
        <f aca="false">IF(ALS48&gt;0,(ALS48-APF48)/ALS48,0)</f>
        <v>0</v>
      </c>
      <c r="CT49" s="20" t="n">
        <f aca="false">IF(ALT48&gt;0,(ALT48-APG48)/ALT48,0)</f>
        <v>0</v>
      </c>
      <c r="CU49" s="20" t="n">
        <f aca="false">IF(ALU48&gt;0,(ALU48-APH48)/ALU48,0)</f>
        <v>0</v>
      </c>
      <c r="CV49" s="20" t="n">
        <f aca="false">IF(ALV48&gt;0,(ALV48-API48)/ALV48,0)</f>
        <v>0</v>
      </c>
      <c r="CW49" s="20" t="n">
        <f aca="false">IF(ALW48&gt;0,(ALW48-APJ48)/ALW48,0)</f>
        <v>0</v>
      </c>
      <c r="CX49" s="20" t="n">
        <f aca="false">IF(ALX48&gt;0,(ALX48-APK48)/ALX48,0)</f>
        <v>0</v>
      </c>
      <c r="CY49" s="20" t="n">
        <f aca="false">IF(ALY48&gt;0,(ALY48-APL48)/ALY48,0)</f>
        <v>0</v>
      </c>
      <c r="CZ49" s="20" t="n">
        <f aca="false">IF(ALZ48&gt;0,(ALZ48-APM48)/ALZ48,0)</f>
        <v>0</v>
      </c>
      <c r="DA49" s="20" t="n">
        <f aca="false">IF(AMA48&gt;0,(AMA48-APN48)/AMA48,0)</f>
        <v>0</v>
      </c>
      <c r="DB49" s="20" t="n">
        <f aca="false">IF(AMB48&gt;0,(AMB48-APO48)/AMB48,0)</f>
        <v>0</v>
      </c>
      <c r="DC49" s="20" t="n">
        <f aca="false">IF(AMC48&gt;0,(AMC48-APP48)/AMC48,0)</f>
        <v>0</v>
      </c>
      <c r="DD49" s="20" t="n">
        <f aca="false">IF(AMD48&gt;0,(AMD48-APQ48)/AMD48,0)</f>
        <v>0</v>
      </c>
      <c r="DE49" s="20" t="n">
        <f aca="false">IF(AME48&gt;0,(AME48-APR48)/AME48,0)</f>
        <v>0</v>
      </c>
      <c r="DF49" s="20" t="n">
        <f aca="false">IF(AMF48&gt;0,(AMF48-APS48)/AMF48,0)</f>
        <v>0</v>
      </c>
      <c r="DG49" s="20" t="n">
        <f aca="false">IF(AMG48&gt;0,(AMG48-APT48)/AMG48,0)</f>
        <v>0</v>
      </c>
      <c r="DH49" s="20" t="n">
        <f aca="false">IF((P49+S49)&gt;0,((P49+S49)-(P49+S49))/(P49+S49),0)</f>
        <v>0</v>
      </c>
      <c r="DI49" s="20" t="n">
        <v>0</v>
      </c>
      <c r="DJ49" s="20" t="n">
        <v>0</v>
      </c>
      <c r="DK49" s="20" t="n">
        <v>0</v>
      </c>
      <c r="DL49" s="20" t="n">
        <v>0</v>
      </c>
      <c r="DM49" s="20" t="n">
        <v>0</v>
      </c>
      <c r="DN49" s="20" t="n">
        <v>0</v>
      </c>
      <c r="DO49" s="20" t="n">
        <v>0</v>
      </c>
      <c r="DP49" s="20" t="n">
        <v>0</v>
      </c>
      <c r="DQ49" s="20" t="n">
        <v>0</v>
      </c>
      <c r="DR49" s="20" t="n">
        <v>0</v>
      </c>
      <c r="DS49" s="20" t="n">
        <v>0</v>
      </c>
      <c r="DT49" s="20" t="n">
        <v>0</v>
      </c>
      <c r="DU49" s="20" t="n">
        <v>0</v>
      </c>
      <c r="DV49" s="20" t="n">
        <v>0</v>
      </c>
      <c r="DW49" s="20" t="n">
        <v>0</v>
      </c>
      <c r="DX49" s="20" t="n">
        <v>0</v>
      </c>
      <c r="DY49" s="20" t="n">
        <v>0</v>
      </c>
      <c r="DZ49" s="20" t="n">
        <v>0</v>
      </c>
      <c r="EA49" s="20" t="n">
        <v>0</v>
      </c>
      <c r="EB49" s="20" t="n">
        <v>0</v>
      </c>
      <c r="EC49" s="20" t="n">
        <v>0</v>
      </c>
      <c r="ED49" s="20" t="n">
        <v>0</v>
      </c>
      <c r="EE49" s="20" t="n">
        <v>0</v>
      </c>
      <c r="EF49" s="20" t="n">
        <v>0</v>
      </c>
      <c r="EG49" s="20" t="n">
        <v>0</v>
      </c>
      <c r="EH49" s="20" t="n">
        <v>0</v>
      </c>
      <c r="EI49" s="20" t="n">
        <v>0</v>
      </c>
      <c r="EJ49" s="20" t="n">
        <v>0</v>
      </c>
      <c r="EK49" s="20" t="n">
        <v>0</v>
      </c>
      <c r="EL49" s="20" t="n">
        <v>0</v>
      </c>
      <c r="EM49" s="20" t="n">
        <v>0</v>
      </c>
      <c r="EN49" s="20" t="n">
        <v>0</v>
      </c>
      <c r="EO49" s="20" t="n">
        <v>0</v>
      </c>
      <c r="EP49" s="20" t="n">
        <v>0</v>
      </c>
      <c r="EQ49" s="20" t="n">
        <v>0</v>
      </c>
      <c r="ER49" s="20" t="n">
        <v>0</v>
      </c>
      <c r="ES49" s="20" t="n">
        <v>0</v>
      </c>
      <c r="ET49" s="20" t="n">
        <v>0</v>
      </c>
      <c r="EU49" s="20" t="n">
        <v>0</v>
      </c>
      <c r="EV49" s="20" t="n">
        <v>0</v>
      </c>
      <c r="EW49" s="20" t="n">
        <v>0</v>
      </c>
      <c r="EX49" s="20" t="n">
        <v>0</v>
      </c>
      <c r="EY49" s="20" t="n">
        <v>0</v>
      </c>
      <c r="EZ49" s="20" t="n">
        <v>0</v>
      </c>
      <c r="FA49" s="20" t="n">
        <v>0</v>
      </c>
      <c r="FB49" s="20" t="n">
        <v>0</v>
      </c>
      <c r="FC49" s="20" t="n">
        <v>0</v>
      </c>
      <c r="FD49" s="20" t="n">
        <v>0</v>
      </c>
      <c r="FE49" s="20" t="n">
        <f aca="false">IF(H_Direct=1,IF(AKR48&lt;=0,0,IF(BR49&lt;=0,AKR48,AKR48-G49*MAX(0,BR49*AKR48-(H49+I49)))),AKR48*(1-MAX(0,BR49)*H_Exit))</f>
        <v>0</v>
      </c>
      <c r="FF49" s="20" t="n">
        <f aca="false">IF(H_Direct=1,IF(AKS48&lt;=0,0,IF(BS49&lt;=0,AKS48,AKS48-G49*MAX(0,BS49*AKS48-(IR49+ME49)))),AKS48*(1-MAX(0,BS49)*H_Exit))</f>
        <v>0</v>
      </c>
      <c r="FG49" s="20" t="n">
        <f aca="false">IF(H_Direct=1,IF(AKT48&lt;=0,0,IF(BT49&lt;=0,AKT48,AKT48-G49*MAX(0,BT49*AKT48-(IS49+MF49)))),AKT48*(1-MAX(0,BT49)*H_Exit))</f>
        <v>0</v>
      </c>
      <c r="FH49" s="20" t="n">
        <f aca="false">IF(H_Direct=1,IF(AKU48&lt;=0,0,IF(BU49&lt;=0,AKU48,AKU48-G49*MAX(0,BU49*AKU48-(IT49+MG49)))),AKU48*(1-MAX(0,BU49)*H_Exit))</f>
        <v>0</v>
      </c>
      <c r="FI49" s="20" t="n">
        <f aca="false">IF(H_Direct=1,IF(AKV48&lt;=0,0,IF(BV49&lt;=0,AKV48,AKV48-G49*MAX(0,BV49*AKV48-(IU49+MH49)))),AKV48*(1-MAX(0,BV49)*H_Exit))</f>
        <v>0</v>
      </c>
      <c r="FJ49" s="20" t="n">
        <f aca="false">IF(H_Direct=1,IF(AKW48&lt;=0,0,IF(BW49&lt;=0,AKW48,AKW48-G49*MAX(0,BW49*AKW48-(IV49+MI49)))),AKW48*(1-MAX(0,BW49)*H_Exit))</f>
        <v>0</v>
      </c>
      <c r="FK49" s="20" t="n">
        <f aca="false">IF(H_Direct=1,IF(AKX48&lt;=0,0,IF(BX49&lt;=0,AKX48,AKX48-G49*MAX(0,BX49*AKX48-(IW49+MJ49)))),AKX48*(1-MAX(0,BX49)*H_Exit))</f>
        <v>0</v>
      </c>
      <c r="FL49" s="20" t="n">
        <f aca="false">IF(H_Direct=1,IF(AKY48&lt;=0,0,IF(BY49&lt;=0,AKY48,AKY48-G49*MAX(0,BY49*AKY48-(IX49+MK49)))),AKY48*(1-MAX(0,BY49)*H_Exit))</f>
        <v>0</v>
      </c>
      <c r="FM49" s="20" t="n">
        <f aca="false">IF(H_Direct=1,IF(AKZ48&lt;=0,0,IF(BZ49&lt;=0,AKZ48,AKZ48-G49*MAX(0,BZ49*AKZ48-(IY49+ML49)))),AKZ48*(1-MAX(0,BZ49)*H_Exit))</f>
        <v>0</v>
      </c>
      <c r="FN49" s="20" t="n">
        <f aca="false">IF(H_Direct=1,IF(ALA48&lt;=0,0,IF(CA49&lt;=0,ALA48,ALA48-G49*MAX(0,CA49*ALA48-(IZ49+MM49)))),ALA48*(1-MAX(0,CA49)*H_Exit))</f>
        <v>0</v>
      </c>
      <c r="FO49" s="20" t="n">
        <f aca="false">IF(H_Direct=1,IF(ALB48&lt;=0,0,IF(CB49&lt;=0,ALB48,ALB48-G49*MAX(0,CB49*ALB48-(JA49+MN49)))),ALB48*(1-MAX(0,CB49)*H_Exit))</f>
        <v>0</v>
      </c>
      <c r="FP49" s="20" t="n">
        <f aca="false">IF(H_Direct=1,IF(ALC48&lt;=0,0,IF(CC49&lt;=0,ALC48,ALC48-G49*MAX(0,CC49*ALC48-(JB49+MO49)))),ALC48*(1-MAX(0,CC49)*H_Exit))</f>
        <v>0</v>
      </c>
      <c r="FQ49" s="20" t="n">
        <f aca="false">IF(H_Direct=1,IF(ALD48&lt;=0,0,IF(CD49&lt;=0,ALD48,ALD48-G49*MAX(0,CD49*ALD48-(JC49+MP49)))),ALD48*(1-MAX(0,CD49)*H_Exit))</f>
        <v>0</v>
      </c>
      <c r="FR49" s="20" t="n">
        <f aca="false">IF(H_Direct=1,IF(ALE48&lt;=0,0,IF(CE49&lt;=0,ALE48,ALE48-G49*MAX(0,CE49*ALE48-(JD49+MQ49)))),ALE48*(1-MAX(0,CE49)*H_Exit))</f>
        <v>0</v>
      </c>
      <c r="FS49" s="20" t="n">
        <f aca="false">IF(H_Direct=1,IF(ALF48&lt;=0,0,IF(CF49&lt;=0,ALF48,ALF48-G49*MAX(0,CF49*ALF48-(JE49+MR49)))),ALF48*(1-MAX(0,CF49)*H_Exit))</f>
        <v>0</v>
      </c>
      <c r="FT49" s="20" t="n">
        <f aca="false">IF(H_Direct=1,IF(ALG48&lt;=0,0,IF(CG49&lt;=0,ALG48,ALG48-G49*MAX(0,CG49*ALG48-(JF49+MS49)))),ALG48*(1-MAX(0,CG49)*H_Exit))</f>
        <v>0</v>
      </c>
      <c r="FU49" s="20" t="n">
        <f aca="false">IF(H_Direct=1,IF(ALH48&lt;=0,0,IF(CH49&lt;=0,ALH48,ALH48-G49*MAX(0,CH49*ALH48-(JG49+MT49)))),ALH48*(1-MAX(0,CH49)*H_Exit))</f>
        <v>0</v>
      </c>
      <c r="FV49" s="20" t="n">
        <f aca="false">IF(H_Direct=1,IF(ALI48&lt;=0,0,IF(CI49&lt;=0,ALI48,ALI48-G49*MAX(0,CI49*ALI48-(JH49+MU49)))),ALI48*(1-MAX(0,CI49)*H_Exit))</f>
        <v>0</v>
      </c>
      <c r="FW49" s="20" t="n">
        <f aca="false">IF(H_Direct=1,IF(ALJ48&lt;=0,0,IF(CJ49&lt;=0,ALJ48,ALJ48-G49*MAX(0,CJ49*ALJ48-(JI49+MV49)))),ALJ48*(1-MAX(0,CJ49)*H_Exit))</f>
        <v>0</v>
      </c>
      <c r="FX49" s="20" t="n">
        <f aca="false">IF(H_Direct=1,IF(ALK48&lt;=0,0,IF(CK49&lt;=0,ALK48,ALK48-G49*MAX(0,CK49*ALK48-(JJ49+MW49)))),ALK48*(1-MAX(0,CK49)*H_Exit))</f>
        <v>0</v>
      </c>
      <c r="FY49" s="20" t="n">
        <f aca="false">IF(H_Direct=1,IF(ALL48&lt;=0,0,IF(CL49&lt;=0,ALL48,ALL48-G49*MAX(0,CL49*ALL48-(JK49+MX49)))),ALL48*(1-MAX(0,CL49)*H_Exit))</f>
        <v>0</v>
      </c>
      <c r="FZ49" s="20" t="n">
        <f aca="false">IF(H_Direct=1,IF(ALM48&lt;=0,0,IF(CM49&lt;=0,ALM48,ALM48-G49*MAX(0,CM49*ALM48-(JL49+MY49)))),ALM48*(1-MAX(0,CM49)*H_Exit))</f>
        <v>0</v>
      </c>
      <c r="GA49" s="20" t="n">
        <f aca="false">IF(H_Direct=1,IF(ALN48&lt;=0,0,IF(CN49&lt;=0,ALN48,ALN48-G49*MAX(0,CN49*ALN48-(JM49+MZ49)))),ALN48*(1-MAX(0,CN49)*H_Exit))</f>
        <v>0</v>
      </c>
      <c r="GB49" s="20" t="n">
        <f aca="false">IF(H_Direct=1,IF(ALO48&lt;=0,0,IF(CO49&lt;=0,ALO48,ALO48-G49*MAX(0,CO49*ALO48-(JN49+NA49)))),ALO48*(1-MAX(0,CO49)*H_Exit))</f>
        <v>0</v>
      </c>
      <c r="GC49" s="20" t="n">
        <f aca="false">IF(H_Direct=1,IF(ALP48&lt;=0,0,IF(CP49&lt;=0,ALP48,ALP48-G49*MAX(0,CP49*ALP48-(JO49+NB49)))),ALP48*(1-MAX(0,CP49)*H_Exit))</f>
        <v>0</v>
      </c>
      <c r="GD49" s="20" t="n">
        <f aca="false">IF(H_Direct=1,IF(ALQ48&lt;=0,0,IF(CQ49&lt;=0,ALQ48,ALQ48-G49*MAX(0,CQ49*ALQ48-(JP49+NC49)))),ALQ48*(1-MAX(0,CQ49)*H_Exit))</f>
        <v>0</v>
      </c>
      <c r="GE49" s="20" t="n">
        <f aca="false">IF(H_Direct=1,IF(ALR48&lt;=0,0,IF(CR49&lt;=0,ALR48,ALR48-G49*MAX(0,CR49*ALR48-(JQ49+ND49)))),ALR48*(1-MAX(0,CR49)*H_Exit))</f>
        <v>0</v>
      </c>
      <c r="GF49" s="20" t="n">
        <f aca="false">IF(H_Direct=1,IF(ALS48&lt;=0,0,IF(CS49&lt;=0,ALS48,ALS48-G49*MAX(0,CS49*ALS48-(JR49+NE49)))),ALS48*(1-MAX(0,CS49)*H_Exit))</f>
        <v>0</v>
      </c>
      <c r="GG49" s="20" t="n">
        <f aca="false">IF(H_Direct=1,IF(ALT48&lt;=0,0,IF(CT49&lt;=0,ALT48,ALT48-G49*MAX(0,CT49*ALT48-(JS49+NF49)))),ALT48*(1-MAX(0,CT49)*H_Exit))</f>
        <v>0</v>
      </c>
      <c r="GH49" s="20" t="n">
        <f aca="false">IF(H_Direct=1,IF(ALU48&lt;=0,0,IF(CU49&lt;=0,ALU48,ALU48-G49*MAX(0,CU49*ALU48-(JT49+NG49)))),ALU48*(1-MAX(0,CU49)*H_Exit))</f>
        <v>0</v>
      </c>
      <c r="GI49" s="20" t="n">
        <f aca="false">IF(H_Direct=1,IF(ALV48&lt;=0,0,IF(CV49&lt;=0,ALV48,ALV48-G49*MAX(0,CV49*ALV48-(JU49+NH49)))),ALV48*(1-MAX(0,CV49)*H_Exit))</f>
        <v>0</v>
      </c>
      <c r="GJ49" s="20" t="n">
        <f aca="false">IF(H_Direct=1,IF(ALW48&lt;=0,0,IF(CW49&lt;=0,ALW48,ALW48-G49*MAX(0,CW49*ALW48-(JV49+NI49)))),ALW48*(1-MAX(0,CW49)*H_Exit))</f>
        <v>0</v>
      </c>
      <c r="GK49" s="20" t="n">
        <f aca="false">IF(H_Direct=1,IF(ALX48&lt;=0,0,IF(CX49&lt;=0,ALX48,ALX48-G49*MAX(0,CX49*ALX48-(JW49+NJ49)))),ALX48*(1-MAX(0,CX49)*H_Exit))</f>
        <v>0</v>
      </c>
      <c r="GL49" s="20" t="n">
        <f aca="false">IF(H_Direct=1,IF(ALY48&lt;=0,0,IF(CY49&lt;=0,ALY48,ALY48-G49*MAX(0,CY49*ALY48-(JX49+NK49)))),ALY48*(1-MAX(0,CY49)*H_Exit))</f>
        <v>0</v>
      </c>
      <c r="GM49" s="20" t="n">
        <f aca="false">IF(H_Direct=1,IF(ALZ48&lt;=0,0,IF(CZ49&lt;=0,ALZ48,ALZ48-G49*MAX(0,CZ49*ALZ48-(JY49+NL49)))),ALZ48*(1-MAX(0,CZ49)*H_Exit))</f>
        <v>0</v>
      </c>
      <c r="GN49" s="20" t="n">
        <f aca="false">IF(H_Direct=1,IF(AMA48&lt;=0,0,IF(DA49&lt;=0,AMA48,AMA48-G49*MAX(0,DA49*AMA48-(JZ49+NM49)))),AMA48*(1-MAX(0,DA49)*H_Exit))</f>
        <v>0</v>
      </c>
      <c r="GO49" s="20" t="n">
        <f aca="false">IF(H_Direct=1,IF(AMB48&lt;=0,0,IF(DB49&lt;=0,AMB48,AMB48-G49*MAX(0,DB49*AMB48-(KA49+NN49)))),AMB48*(1-MAX(0,DB49)*H_Exit))</f>
        <v>0</v>
      </c>
      <c r="GP49" s="20" t="n">
        <f aca="false">IF(H_Direct=1,IF(AMC48&lt;=0,0,IF(DC49&lt;=0,AMC48,AMC48-G49*MAX(0,DC49*AMC48-(KB49+NO49)))),AMC48*(1-MAX(0,DC49)*H_Exit))</f>
        <v>0</v>
      </c>
      <c r="GQ49" s="20" t="n">
        <f aca="false">IF(H_Direct=1,IF(AMD48&lt;=0,0,IF(DD49&lt;=0,AMD48,AMD48-G49*MAX(0,DD49*AMD48-(KC49+NP49)))),AMD48*(1-MAX(0,DD49)*H_Exit))</f>
        <v>0</v>
      </c>
      <c r="GR49" s="20" t="n">
        <f aca="false">IF(H_Direct=1,IF(AME48&lt;=0,0,IF(DE49&lt;=0,AME48,AME48-G49*MAX(0,DE49*AME48-(KD49+NQ49)))),AME48*(1-MAX(0,DE49)*H_Exit))</f>
        <v>0</v>
      </c>
      <c r="GS49" s="20" t="n">
        <f aca="false">IF(H_Direct=1,IF(AMF48&lt;=0,0,IF(DF49&lt;=0,AMF48,AMF48-G49*MAX(0,DF49*AMF48-(KE49+NR49)))),AMF48*(1-MAX(0,DF49)*H_Exit))</f>
        <v>0</v>
      </c>
      <c r="GT49" s="20" t="n">
        <f aca="false">IF(H_Direct=1,IF(AMG48&lt;=0,0,IF(DG49&lt;=0,AMG48,AMG48-G49*MAX(0,DG49*AMG48-(KF49+NS49)))),AMG48*(1-MAX(0,DG49)*H_Exit))</f>
        <v>0</v>
      </c>
      <c r="GU49" s="20" t="n">
        <f aca="false">IF(H_Direct=1,IF((P49+S49)&lt;=0,0,IF(DH49&lt;=0,(P49+S49),(P49+S49)-G49*MAX(0,DH49*(P49+S49)-(KG49+NT49)))),(P49+S49)*(1-MAX(0,DH49)*H_Exit))</f>
        <v>0</v>
      </c>
      <c r="GV49" s="20" t="n">
        <v>0</v>
      </c>
      <c r="GW49" s="20" t="n">
        <v>0</v>
      </c>
      <c r="GX49" s="20" t="n">
        <v>0</v>
      </c>
      <c r="GY49" s="20" t="n">
        <v>0</v>
      </c>
      <c r="GZ49" s="20" t="n">
        <v>0</v>
      </c>
      <c r="HA49" s="20" t="n">
        <v>0</v>
      </c>
      <c r="HB49" s="20" t="n">
        <v>0</v>
      </c>
      <c r="HC49" s="20" t="n">
        <v>0</v>
      </c>
      <c r="HD49" s="20" t="n">
        <v>0</v>
      </c>
      <c r="HE49" s="20" t="n">
        <v>0</v>
      </c>
      <c r="HF49" s="20" t="n">
        <v>0</v>
      </c>
      <c r="HG49" s="20" t="n">
        <v>0</v>
      </c>
      <c r="HH49" s="20" t="n">
        <v>0</v>
      </c>
      <c r="HI49" s="20" t="n">
        <v>0</v>
      </c>
      <c r="HJ49" s="20" t="n">
        <v>0</v>
      </c>
      <c r="HK49" s="20" t="n">
        <v>0</v>
      </c>
      <c r="HL49" s="20" t="n">
        <v>0</v>
      </c>
      <c r="HM49" s="20" t="n">
        <v>0</v>
      </c>
      <c r="HN49" s="20" t="n">
        <v>0</v>
      </c>
      <c r="HO49" s="20" t="n">
        <v>0</v>
      </c>
      <c r="HP49" s="20" t="n">
        <v>0</v>
      </c>
      <c r="HQ49" s="20" t="n">
        <v>0</v>
      </c>
      <c r="HR49" s="20" t="n">
        <v>0</v>
      </c>
      <c r="HS49" s="20" t="n">
        <v>0</v>
      </c>
      <c r="HT49" s="20" t="n">
        <v>0</v>
      </c>
      <c r="HU49" s="20" t="n">
        <v>0</v>
      </c>
      <c r="HV49" s="20" t="n">
        <v>0</v>
      </c>
      <c r="HW49" s="20" t="n">
        <v>0</v>
      </c>
      <c r="HX49" s="20" t="n">
        <v>0</v>
      </c>
      <c r="HY49" s="20" t="n">
        <v>0</v>
      </c>
      <c r="HZ49" s="20" t="n">
        <v>0</v>
      </c>
      <c r="IA49" s="20" t="n">
        <v>0</v>
      </c>
      <c r="IB49" s="20" t="n">
        <v>0</v>
      </c>
      <c r="IC49" s="20" t="n">
        <v>0</v>
      </c>
      <c r="ID49" s="20" t="n">
        <v>0</v>
      </c>
      <c r="IE49" s="20" t="n">
        <v>0</v>
      </c>
      <c r="IF49" s="20" t="n">
        <v>0</v>
      </c>
      <c r="IG49" s="20" t="n">
        <v>0</v>
      </c>
      <c r="IH49" s="20" t="n">
        <v>0</v>
      </c>
      <c r="II49" s="20" t="n">
        <v>0</v>
      </c>
      <c r="IJ49" s="20" t="n">
        <v>0</v>
      </c>
      <c r="IK49" s="20" t="n">
        <v>0</v>
      </c>
      <c r="IL49" s="20" t="n">
        <v>0</v>
      </c>
      <c r="IM49" s="20" t="n">
        <v>0</v>
      </c>
      <c r="IN49" s="20" t="n">
        <v>0</v>
      </c>
      <c r="IO49" s="20" t="n">
        <v>0</v>
      </c>
      <c r="IP49" s="20" t="n">
        <v>0</v>
      </c>
      <c r="IQ49" s="20" t="n">
        <v>0</v>
      </c>
      <c r="IR49" s="20" t="n">
        <f aca="false">IF(AND(H_Direct=1,BR49&gt;0),MAX(0,H49-(MIN(BR49*AKR48,H49+I49)-MIN(MIN(BR49*AKR48,H49+I49),I49))),H49)</f>
        <v>1270</v>
      </c>
      <c r="IS49" s="20" t="n">
        <f aca="false">IF(AND(H_Direct=1,BS49&gt;0),MAX(0,IR49-(MIN(BS49*AKS48,IR49+ME49)-MIN(MIN(BS49*AKS48,IR49+ME49),ME49))),IR49)</f>
        <v>1270</v>
      </c>
      <c r="IT49" s="20" t="n">
        <f aca="false">IF(AND(H_Direct=1,BT49&gt;0),MAX(0,IS49-(MIN(BT49*AKT48,IS49+MF49)-MIN(MIN(BT49*AKT48,IS49+MF49),MF49))),IS49)</f>
        <v>1270</v>
      </c>
      <c r="IU49" s="20" t="n">
        <f aca="false">IF(AND(H_Direct=1,BU49&gt;0),MAX(0,IT49-(MIN(BU49*AKU48,IT49+MG49)-MIN(MIN(BU49*AKU48,IT49+MG49),MG49))),IT49)</f>
        <v>1270</v>
      </c>
      <c r="IV49" s="20" t="n">
        <f aca="false">IF(AND(H_Direct=1,BV49&gt;0),MAX(0,IU49-(MIN(BV49*AKV48,IU49+MH49)-MIN(MIN(BV49*AKV48,IU49+MH49),MH49))),IU49)</f>
        <v>1270</v>
      </c>
      <c r="IW49" s="20" t="n">
        <f aca="false">IF(AND(H_Direct=1,BW49&gt;0),MAX(0,IV49-(MIN(BW49*AKW48,IV49+MI49)-MIN(MIN(BW49*AKW48,IV49+MI49),MI49))),IV49)</f>
        <v>1270</v>
      </c>
      <c r="IX49" s="20" t="n">
        <f aca="false">IF(AND(H_Direct=1,BX49&gt;0),MAX(0,IW49-(MIN(BX49*AKX48,IW49+MJ49)-MIN(MIN(BX49*AKX48,IW49+MJ49),MJ49))),IW49)</f>
        <v>1270</v>
      </c>
      <c r="IY49" s="20" t="n">
        <f aca="false">IF(AND(H_Direct=1,BY49&gt;0),MAX(0,IX49-(MIN(BY49*AKY48,IX49+MK49)-MIN(MIN(BY49*AKY48,IX49+MK49),MK49))),IX49)</f>
        <v>1270</v>
      </c>
      <c r="IZ49" s="20" t="n">
        <f aca="false">IF(AND(H_Direct=1,BZ49&gt;0),MAX(0,IY49-(MIN(BZ49*AKZ48,IY49+ML49)-MIN(MIN(BZ49*AKZ48,IY49+ML49),ML49))),IY49)</f>
        <v>1270</v>
      </c>
      <c r="JA49" s="20" t="n">
        <f aca="false">IF(AND(H_Direct=1,CA49&gt;0),MAX(0,IZ49-(MIN(CA49*ALA48,IZ49+MM49)-MIN(MIN(CA49*ALA48,IZ49+MM49),MM49))),IZ49)</f>
        <v>1270</v>
      </c>
      <c r="JB49" s="20" t="n">
        <f aca="false">IF(AND(H_Direct=1,CB49&gt;0),MAX(0,JA49-(MIN(CB49*ALB48,JA49+MN49)-MIN(MIN(CB49*ALB48,JA49+MN49),MN49))),JA49)</f>
        <v>1270</v>
      </c>
      <c r="JC49" s="20" t="n">
        <f aca="false">IF(AND(H_Direct=1,CC49&gt;0),MAX(0,JB49-(MIN(CC49*ALC48,JB49+MO49)-MIN(MIN(CC49*ALC48,JB49+MO49),MO49))),JB49)</f>
        <v>1270</v>
      </c>
      <c r="JD49" s="20" t="n">
        <f aca="false">IF(AND(H_Direct=1,CD49&gt;0),MAX(0,JC49-(MIN(CD49*ALD48,JC49+MP49)-MIN(MIN(CD49*ALD48,JC49+MP49),MP49))),JC49)</f>
        <v>1270</v>
      </c>
      <c r="JE49" s="20" t="n">
        <f aca="false">IF(AND(H_Direct=1,CE49&gt;0),MAX(0,JD49-(MIN(CE49*ALE48,JD49+MQ49)-MIN(MIN(CE49*ALE48,JD49+MQ49),MQ49))),JD49)</f>
        <v>1270</v>
      </c>
      <c r="JF49" s="20" t="n">
        <f aca="false">IF(AND(H_Direct=1,CF49&gt;0),MAX(0,JE49-(MIN(CF49*ALF48,JE49+MR49)-MIN(MIN(CF49*ALF48,JE49+MR49),MR49))),JE49)</f>
        <v>1270</v>
      </c>
      <c r="JG49" s="20" t="n">
        <f aca="false">IF(AND(H_Direct=1,CG49&gt;0),MAX(0,JF49-(MIN(CG49*ALG48,JF49+MS49)-MIN(MIN(CG49*ALG48,JF49+MS49),MS49))),JF49)</f>
        <v>1270</v>
      </c>
      <c r="JH49" s="20" t="n">
        <f aca="false">IF(AND(H_Direct=1,CH49&gt;0),MAX(0,JG49-(MIN(CH49*ALH48,JG49+MT49)-MIN(MIN(CH49*ALH48,JG49+MT49),MT49))),JG49)</f>
        <v>1270</v>
      </c>
      <c r="JI49" s="20" t="n">
        <f aca="false">IF(AND(H_Direct=1,CI49&gt;0),MAX(0,JH49-(MIN(CI49*ALI48,JH49+MU49)-MIN(MIN(CI49*ALI48,JH49+MU49),MU49))),JH49)</f>
        <v>1270</v>
      </c>
      <c r="JJ49" s="20" t="n">
        <f aca="false">IF(AND(H_Direct=1,CJ49&gt;0),MAX(0,JI49-(MIN(CJ49*ALJ48,JI49+MV49)-MIN(MIN(CJ49*ALJ48,JI49+MV49),MV49))),JI49)</f>
        <v>1270</v>
      </c>
      <c r="JK49" s="20" t="n">
        <f aca="false">IF(AND(H_Direct=1,CK49&gt;0),MAX(0,JJ49-(MIN(CK49*ALK48,JJ49+MW49)-MIN(MIN(CK49*ALK48,JJ49+MW49),MW49))),JJ49)</f>
        <v>1270</v>
      </c>
      <c r="JL49" s="20" t="n">
        <f aca="false">IF(AND(H_Direct=1,CL49&gt;0),MAX(0,JK49-(MIN(CL49*ALL48,JK49+MX49)-MIN(MIN(CL49*ALL48,JK49+MX49),MX49))),JK49)</f>
        <v>1270</v>
      </c>
      <c r="JM49" s="20" t="n">
        <f aca="false">IF(AND(H_Direct=1,CM49&gt;0),MAX(0,JL49-(MIN(CM49*ALM48,JL49+MY49)-MIN(MIN(CM49*ALM48,JL49+MY49),MY49))),JL49)</f>
        <v>1270</v>
      </c>
      <c r="JN49" s="20" t="n">
        <f aca="false">IF(AND(H_Direct=1,CN49&gt;0),MAX(0,JM49-(MIN(CN49*ALN48,JM49+MZ49)-MIN(MIN(CN49*ALN48,JM49+MZ49),MZ49))),JM49)</f>
        <v>1270</v>
      </c>
      <c r="JO49" s="20" t="n">
        <f aca="false">IF(AND(H_Direct=1,CO49&gt;0),MAX(0,JN49-(MIN(CO49*ALO48,JN49+NA49)-MIN(MIN(CO49*ALO48,JN49+NA49),NA49))),JN49)</f>
        <v>1270</v>
      </c>
      <c r="JP49" s="20" t="n">
        <f aca="false">IF(AND(H_Direct=1,CP49&gt;0),MAX(0,JO49-(MIN(CP49*ALP48,JO49+NB49)-MIN(MIN(CP49*ALP48,JO49+NB49),NB49))),JO49)</f>
        <v>1270</v>
      </c>
      <c r="JQ49" s="20" t="n">
        <f aca="false">IF(AND(H_Direct=1,CQ49&gt;0),MAX(0,JP49-(MIN(CQ49*ALQ48,JP49+NC49)-MIN(MIN(CQ49*ALQ48,JP49+NC49),NC49))),JP49)</f>
        <v>1270</v>
      </c>
      <c r="JR49" s="20" t="n">
        <f aca="false">IF(AND(H_Direct=1,CR49&gt;0),MAX(0,JQ49-(MIN(CR49*ALR48,JQ49+ND49)-MIN(MIN(CR49*ALR48,JQ49+ND49),ND49))),JQ49)</f>
        <v>1270</v>
      </c>
      <c r="JS49" s="20" t="n">
        <f aca="false">IF(AND(H_Direct=1,CS49&gt;0),MAX(0,JR49-(MIN(CS49*ALS48,JR49+NE49)-MIN(MIN(CS49*ALS48,JR49+NE49),NE49))),JR49)</f>
        <v>1270</v>
      </c>
      <c r="JT49" s="20" t="n">
        <f aca="false">IF(AND(H_Direct=1,CT49&gt;0),MAX(0,JS49-(MIN(CT49*ALT48,JS49+NF49)-MIN(MIN(CT49*ALT48,JS49+NF49),NF49))),JS49)</f>
        <v>1270</v>
      </c>
      <c r="JU49" s="20" t="n">
        <f aca="false">IF(AND(H_Direct=1,CU49&gt;0),MAX(0,JT49-(MIN(CU49*ALU48,JT49+NG49)-MIN(MIN(CU49*ALU48,JT49+NG49),NG49))),JT49)</f>
        <v>1270</v>
      </c>
      <c r="JV49" s="20" t="n">
        <f aca="false">IF(AND(H_Direct=1,CV49&gt;0),MAX(0,JU49-(MIN(CV49*ALV48,JU49+NH49)-MIN(MIN(CV49*ALV48,JU49+NH49),NH49))),JU49)</f>
        <v>1270</v>
      </c>
      <c r="JW49" s="20" t="n">
        <f aca="false">IF(AND(H_Direct=1,CW49&gt;0),MAX(0,JV49-(MIN(CW49*ALW48,JV49+NI49)-MIN(MIN(CW49*ALW48,JV49+NI49),NI49))),JV49)</f>
        <v>1270</v>
      </c>
      <c r="JX49" s="20" t="n">
        <f aca="false">IF(AND(H_Direct=1,CX49&gt;0),MAX(0,JW49-(MIN(CX49*ALX48,JW49+NJ49)-MIN(MIN(CX49*ALX48,JW49+NJ49),NJ49))),JW49)</f>
        <v>1270</v>
      </c>
      <c r="JY49" s="20" t="n">
        <f aca="false">IF(AND(H_Direct=1,CY49&gt;0),MAX(0,JX49-(MIN(CY49*ALY48,JX49+NK49)-MIN(MIN(CY49*ALY48,JX49+NK49),NK49))),JX49)</f>
        <v>1270</v>
      </c>
      <c r="JZ49" s="20" t="n">
        <f aca="false">IF(AND(H_Direct=1,CZ49&gt;0),MAX(0,JY49-(MIN(CZ49*ALZ48,JY49+NL49)-MIN(MIN(CZ49*ALZ48,JY49+NL49),NL49))),JY49)</f>
        <v>1270</v>
      </c>
      <c r="KA49" s="20" t="n">
        <f aca="false">IF(AND(H_Direct=1,DA49&gt;0),MAX(0,JZ49-(MIN(DA49*AMA48,JZ49+NM49)-MIN(MIN(DA49*AMA48,JZ49+NM49),NM49))),JZ49)</f>
        <v>1270</v>
      </c>
      <c r="KB49" s="20" t="n">
        <f aca="false">IF(AND(H_Direct=1,DB49&gt;0),MAX(0,KA49-(MIN(DB49*AMB48,KA49+NN49)-MIN(MIN(DB49*AMB48,KA49+NN49),NN49))),KA49)</f>
        <v>1270</v>
      </c>
      <c r="KC49" s="20" t="n">
        <f aca="false">IF(AND(H_Direct=1,DC49&gt;0),MAX(0,KB49-(MIN(DC49*AMC48,KB49+NO49)-MIN(MIN(DC49*AMC48,KB49+NO49),NO49))),KB49)</f>
        <v>1270</v>
      </c>
      <c r="KD49" s="20" t="n">
        <f aca="false">IF(AND(H_Direct=1,DD49&gt;0),MAX(0,KC49-(MIN(DD49*AMD48,KC49+NP49)-MIN(MIN(DD49*AMD48,KC49+NP49),NP49))),KC49)</f>
        <v>1270</v>
      </c>
      <c r="KE49" s="20" t="n">
        <f aca="false">IF(AND(H_Direct=1,DE49&gt;0),MAX(0,KD49-(MIN(DE49*AME48,KD49+NQ49)-MIN(MIN(DE49*AME48,KD49+NQ49),NQ49))),KD49)</f>
        <v>1270</v>
      </c>
      <c r="KF49" s="20" t="n">
        <f aca="false">IF(AND(H_Direct=1,DF49&gt;0),MAX(0,KE49-(MIN(DF49*AMF48,KE49+NR49)-MIN(MIN(DF49*AMF48,KE49+NR49),NR49))),KE49)</f>
        <v>1270</v>
      </c>
      <c r="KG49" s="20" t="n">
        <f aca="false">IF(AND(H_Direct=1,DG49&gt;0),MAX(0,KF49-(MIN(DG49*AMG48,KF49+NS49)-MIN(MIN(DG49*AMG48,KF49+NS49),NS49))),KF49)</f>
        <v>1270</v>
      </c>
      <c r="KH49" s="20" t="n">
        <f aca="false">IF(AND(H_Direct=1,DH49&gt;0),MAX(0,KG49-(MIN(DH49*(P49+S49),KG49+NT49)-MIN(MIN(DH49*(P49+S49),KG49+NT49),NT49))),KG49)</f>
        <v>1270</v>
      </c>
      <c r="KI49" s="20" t="n">
        <f aca="false">KH49</f>
        <v>1270</v>
      </c>
      <c r="KJ49" s="20" t="n">
        <f aca="false">KI49</f>
        <v>1270</v>
      </c>
      <c r="KK49" s="20" t="n">
        <f aca="false">KJ49</f>
        <v>1270</v>
      </c>
      <c r="KL49" s="20" t="n">
        <f aca="false">KK49</f>
        <v>1270</v>
      </c>
      <c r="KM49" s="20" t="n">
        <f aca="false">KL49</f>
        <v>1270</v>
      </c>
      <c r="KN49" s="20" t="n">
        <f aca="false">KM49</f>
        <v>1270</v>
      </c>
      <c r="KO49" s="20" t="n">
        <f aca="false">KN49</f>
        <v>1270</v>
      </c>
      <c r="KP49" s="20" t="n">
        <f aca="false">KO49</f>
        <v>1270</v>
      </c>
      <c r="KQ49" s="20" t="n">
        <f aca="false">KP49</f>
        <v>1270</v>
      </c>
      <c r="KR49" s="20" t="n">
        <f aca="false">KQ49</f>
        <v>1270</v>
      </c>
      <c r="KS49" s="20" t="n">
        <f aca="false">KR49</f>
        <v>1270</v>
      </c>
      <c r="KT49" s="20" t="n">
        <f aca="false">KS49</f>
        <v>1270</v>
      </c>
      <c r="KU49" s="20" t="n">
        <f aca="false">KT49</f>
        <v>1270</v>
      </c>
      <c r="KV49" s="20" t="n">
        <f aca="false">KU49</f>
        <v>1270</v>
      </c>
      <c r="KW49" s="20" t="n">
        <f aca="false">KV49</f>
        <v>1270</v>
      </c>
      <c r="KX49" s="20" t="n">
        <f aca="false">KW49</f>
        <v>1270</v>
      </c>
      <c r="KY49" s="20" t="n">
        <f aca="false">KX49</f>
        <v>1270</v>
      </c>
      <c r="KZ49" s="20" t="n">
        <f aca="false">KY49</f>
        <v>1270</v>
      </c>
      <c r="LA49" s="20" t="n">
        <f aca="false">KZ49</f>
        <v>1270</v>
      </c>
      <c r="LB49" s="20" t="n">
        <f aca="false">LA49</f>
        <v>1270</v>
      </c>
      <c r="LC49" s="20" t="n">
        <f aca="false">LB49</f>
        <v>1270</v>
      </c>
      <c r="LD49" s="20" t="n">
        <f aca="false">LC49</f>
        <v>1270</v>
      </c>
      <c r="LE49" s="20" t="n">
        <f aca="false">LD49</f>
        <v>1270</v>
      </c>
      <c r="LF49" s="20" t="n">
        <f aca="false">LE49</f>
        <v>1270</v>
      </c>
      <c r="LG49" s="20" t="n">
        <f aca="false">LF49</f>
        <v>1270</v>
      </c>
      <c r="LH49" s="20" t="n">
        <f aca="false">LG49</f>
        <v>1270</v>
      </c>
      <c r="LI49" s="20" t="n">
        <f aca="false">LH49</f>
        <v>1270</v>
      </c>
      <c r="LJ49" s="20" t="n">
        <f aca="false">LI49</f>
        <v>1270</v>
      </c>
      <c r="LK49" s="20" t="n">
        <f aca="false">LJ49</f>
        <v>1270</v>
      </c>
      <c r="LL49" s="20" t="n">
        <f aca="false">LK49</f>
        <v>1270</v>
      </c>
      <c r="LM49" s="20" t="n">
        <f aca="false">LL49</f>
        <v>1270</v>
      </c>
      <c r="LN49" s="20" t="n">
        <f aca="false">LM49</f>
        <v>1270</v>
      </c>
      <c r="LO49" s="20" t="n">
        <f aca="false">LN49</f>
        <v>1270</v>
      </c>
      <c r="LP49" s="20" t="n">
        <f aca="false">LO49</f>
        <v>1270</v>
      </c>
      <c r="LQ49" s="20" t="n">
        <f aca="false">LP49</f>
        <v>1270</v>
      </c>
      <c r="LR49" s="20" t="n">
        <f aca="false">LQ49</f>
        <v>1270</v>
      </c>
      <c r="LS49" s="20" t="n">
        <f aca="false">LR49</f>
        <v>1270</v>
      </c>
      <c r="LT49" s="20" t="n">
        <f aca="false">LS49</f>
        <v>1270</v>
      </c>
      <c r="LU49" s="20" t="n">
        <f aca="false">LT49</f>
        <v>1270</v>
      </c>
      <c r="LV49" s="20" t="n">
        <f aca="false">LU49</f>
        <v>1270</v>
      </c>
      <c r="LW49" s="20" t="n">
        <f aca="false">LV49</f>
        <v>1270</v>
      </c>
      <c r="LX49" s="20" t="n">
        <f aca="false">LW49</f>
        <v>1270</v>
      </c>
      <c r="LY49" s="20" t="n">
        <f aca="false">LX49</f>
        <v>1270</v>
      </c>
      <c r="LZ49" s="20" t="n">
        <f aca="false">LY49</f>
        <v>1270</v>
      </c>
      <c r="MA49" s="20" t="n">
        <f aca="false">LZ49</f>
        <v>1270</v>
      </c>
      <c r="MB49" s="20" t="n">
        <f aca="false">MA49</f>
        <v>1270</v>
      </c>
      <c r="MC49" s="20" t="n">
        <f aca="false">MB49</f>
        <v>1270</v>
      </c>
      <c r="MD49" s="20" t="n">
        <f aca="false">MC49</f>
        <v>1270</v>
      </c>
      <c r="ME49" s="20" t="n">
        <f aca="false">IF(H_Direct=1,IF(BR49&lt;=0,I49-BR49*AKR48,I49-MIN(MIN(BR49*AKR48,H49+I49),I49)),I49)</f>
        <v>0</v>
      </c>
      <c r="MF49" s="20" t="n">
        <f aca="false">IF(H_Direct=1,IF(BS49&lt;=0,ME49-BS49*AKS48,ME49-MIN(MIN(BS49*AKS48,IR49+ME49),ME49)),ME49)</f>
        <v>0</v>
      </c>
      <c r="MG49" s="20" t="n">
        <f aca="false">IF(H_Direct=1,IF(BT49&lt;=0,MF49-BT49*AKT48,MF49-MIN(MIN(BT49*AKT48,IS49+MF49),MF49)),MF49)</f>
        <v>0</v>
      </c>
      <c r="MH49" s="20" t="n">
        <f aca="false">IF(H_Direct=1,IF(BU49&lt;=0,MG49-BU49*AKU48,MG49-MIN(MIN(BU49*AKU48,IT49+MG49),MG49)),MG49)</f>
        <v>0</v>
      </c>
      <c r="MI49" s="20" t="n">
        <f aca="false">IF(H_Direct=1,IF(BV49&lt;=0,MH49-BV49*AKV48,MH49-MIN(MIN(BV49*AKV48,IU49+MH49),MH49)),MH49)</f>
        <v>0</v>
      </c>
      <c r="MJ49" s="20" t="n">
        <f aca="false">IF(H_Direct=1,IF(BW49&lt;=0,MI49-BW49*AKW48,MI49-MIN(MIN(BW49*AKW48,IV49+MI49),MI49)),MI49)</f>
        <v>0</v>
      </c>
      <c r="MK49" s="20" t="n">
        <f aca="false">IF(H_Direct=1,IF(BX49&lt;=0,MJ49-BX49*AKX48,MJ49-MIN(MIN(BX49*AKX48,IW49+MJ49),MJ49)),MJ49)</f>
        <v>0</v>
      </c>
      <c r="ML49" s="20" t="n">
        <f aca="false">IF(H_Direct=1,IF(BY49&lt;=0,MK49-BY49*AKY48,MK49-MIN(MIN(BY49*AKY48,IX49+MK49),MK49)),MK49)</f>
        <v>0</v>
      </c>
      <c r="MM49" s="20" t="n">
        <f aca="false">IF(H_Direct=1,IF(BZ49&lt;=0,ML49-BZ49*AKZ48,ML49-MIN(MIN(BZ49*AKZ48,IY49+ML49),ML49)),ML49)</f>
        <v>0</v>
      </c>
      <c r="MN49" s="20" t="n">
        <f aca="false">IF(H_Direct=1,IF(CA49&lt;=0,MM49-CA49*ALA48,MM49-MIN(MIN(CA49*ALA48,IZ49+MM49),MM49)),MM49)</f>
        <v>0</v>
      </c>
      <c r="MO49" s="20" t="n">
        <f aca="false">IF(H_Direct=1,IF(CB49&lt;=0,MN49-CB49*ALB48,MN49-MIN(MIN(CB49*ALB48,JA49+MN49),MN49)),MN49)</f>
        <v>0</v>
      </c>
      <c r="MP49" s="20" t="n">
        <f aca="false">IF(H_Direct=1,IF(CC49&lt;=0,MO49-CC49*ALC48,MO49-MIN(MIN(CC49*ALC48,JB49+MO49),MO49)),MO49)</f>
        <v>0</v>
      </c>
      <c r="MQ49" s="20" t="n">
        <f aca="false">IF(H_Direct=1,IF(CD49&lt;=0,MP49-CD49*ALD48,MP49-MIN(MIN(CD49*ALD48,JC49+MP49),MP49)),MP49)</f>
        <v>0</v>
      </c>
      <c r="MR49" s="20" t="n">
        <f aca="false">IF(H_Direct=1,IF(CE49&lt;=0,MQ49-CE49*ALE48,MQ49-MIN(MIN(CE49*ALE48,JD49+MQ49),MQ49)),MQ49)</f>
        <v>0</v>
      </c>
      <c r="MS49" s="20" t="n">
        <f aca="false">IF(H_Direct=1,IF(CF49&lt;=0,MR49-CF49*ALF48,MR49-MIN(MIN(CF49*ALF48,JE49+MR49),MR49)),MR49)</f>
        <v>0</v>
      </c>
      <c r="MT49" s="20" t="n">
        <f aca="false">IF(H_Direct=1,IF(CG49&lt;=0,MS49-CG49*ALG48,MS49-MIN(MIN(CG49*ALG48,JF49+MS49),MS49)),MS49)</f>
        <v>0</v>
      </c>
      <c r="MU49" s="20" t="n">
        <f aca="false">IF(H_Direct=1,IF(CH49&lt;=0,MT49-CH49*ALH48,MT49-MIN(MIN(CH49*ALH48,JG49+MT49),MT49)),MT49)</f>
        <v>0</v>
      </c>
      <c r="MV49" s="20" t="n">
        <f aca="false">IF(H_Direct=1,IF(CI49&lt;=0,MU49-CI49*ALI48,MU49-MIN(MIN(CI49*ALI48,JH49+MU49),MU49)),MU49)</f>
        <v>0</v>
      </c>
      <c r="MW49" s="20" t="n">
        <f aca="false">IF(H_Direct=1,IF(CJ49&lt;=0,MV49-CJ49*ALJ48,MV49-MIN(MIN(CJ49*ALJ48,JI49+MV49),MV49)),MV49)</f>
        <v>0</v>
      </c>
      <c r="MX49" s="20" t="n">
        <f aca="false">IF(H_Direct=1,IF(CK49&lt;=0,MW49-CK49*ALK48,MW49-MIN(MIN(CK49*ALK48,JJ49+MW49),MW49)),MW49)</f>
        <v>0</v>
      </c>
      <c r="MY49" s="20" t="n">
        <f aca="false">IF(H_Direct=1,IF(CL49&lt;=0,MX49-CL49*ALL48,MX49-MIN(MIN(CL49*ALL48,JK49+MX49),MX49)),MX49)</f>
        <v>0</v>
      </c>
      <c r="MZ49" s="20" t="n">
        <f aca="false">IF(H_Direct=1,IF(CM49&lt;=0,MY49-CM49*ALM48,MY49-MIN(MIN(CM49*ALM48,JL49+MY49),MY49)),MY49)</f>
        <v>0</v>
      </c>
      <c r="NA49" s="20" t="n">
        <f aca="false">IF(H_Direct=1,IF(CN49&lt;=0,MZ49-CN49*ALN48,MZ49-MIN(MIN(CN49*ALN48,JM49+MZ49),MZ49)),MZ49)</f>
        <v>0</v>
      </c>
      <c r="NB49" s="20" t="n">
        <f aca="false">IF(H_Direct=1,IF(CO49&lt;=0,NA49-CO49*ALO48,NA49-MIN(MIN(CO49*ALO48,JN49+NA49),NA49)),NA49)</f>
        <v>0</v>
      </c>
      <c r="NC49" s="20" t="n">
        <f aca="false">IF(H_Direct=1,IF(CP49&lt;=0,NB49-CP49*ALP48,NB49-MIN(MIN(CP49*ALP48,JO49+NB49),NB49)),NB49)</f>
        <v>0</v>
      </c>
      <c r="ND49" s="20" t="n">
        <f aca="false">IF(H_Direct=1,IF(CQ49&lt;=0,NC49-CQ49*ALQ48,NC49-MIN(MIN(CQ49*ALQ48,JP49+NC49),NC49)),NC49)</f>
        <v>0</v>
      </c>
      <c r="NE49" s="20" t="n">
        <f aca="false">IF(H_Direct=1,IF(CR49&lt;=0,ND49-CR49*ALR48,ND49-MIN(MIN(CR49*ALR48,JQ49+ND49),ND49)),ND49)</f>
        <v>0</v>
      </c>
      <c r="NF49" s="20" t="n">
        <f aca="false">IF(H_Direct=1,IF(CS49&lt;=0,NE49-CS49*ALS48,NE49-MIN(MIN(CS49*ALS48,JR49+NE49),NE49)),NE49)</f>
        <v>0</v>
      </c>
      <c r="NG49" s="20" t="n">
        <f aca="false">IF(H_Direct=1,IF(CT49&lt;=0,NF49-CT49*ALT48,NF49-MIN(MIN(CT49*ALT48,JS49+NF49),NF49)),NF49)</f>
        <v>0</v>
      </c>
      <c r="NH49" s="20" t="n">
        <f aca="false">IF(H_Direct=1,IF(CU49&lt;=0,NG49-CU49*ALU48,NG49-MIN(MIN(CU49*ALU48,JT49+NG49),NG49)),NG49)</f>
        <v>0</v>
      </c>
      <c r="NI49" s="20" t="n">
        <f aca="false">IF(H_Direct=1,IF(CV49&lt;=0,NH49-CV49*ALV48,NH49-MIN(MIN(CV49*ALV48,JU49+NH49),NH49)),NH49)</f>
        <v>0</v>
      </c>
      <c r="NJ49" s="20" t="n">
        <f aca="false">IF(H_Direct=1,IF(CW49&lt;=0,NI49-CW49*ALW48,NI49-MIN(MIN(CW49*ALW48,JV49+NI49),NI49)),NI49)</f>
        <v>0</v>
      </c>
      <c r="NK49" s="20" t="n">
        <f aca="false">IF(H_Direct=1,IF(CX49&lt;=0,NJ49-CX49*ALX48,NJ49-MIN(MIN(CX49*ALX48,JW49+NJ49),NJ49)),NJ49)</f>
        <v>0</v>
      </c>
      <c r="NL49" s="20" t="n">
        <f aca="false">IF(H_Direct=1,IF(CY49&lt;=0,NK49-CY49*ALY48,NK49-MIN(MIN(CY49*ALY48,JX49+NK49),NK49)),NK49)</f>
        <v>0</v>
      </c>
      <c r="NM49" s="20" t="n">
        <f aca="false">IF(H_Direct=1,IF(CZ49&lt;=0,NL49-CZ49*ALZ48,NL49-MIN(MIN(CZ49*ALZ48,JY49+NL49),NL49)),NL49)</f>
        <v>0</v>
      </c>
      <c r="NN49" s="20" t="n">
        <f aca="false">IF(H_Direct=1,IF(DA49&lt;=0,NM49-DA49*AMA48,NM49-MIN(MIN(DA49*AMA48,JZ49+NM49),NM49)),NM49)</f>
        <v>0</v>
      </c>
      <c r="NO49" s="20" t="n">
        <f aca="false">IF(H_Direct=1,IF(DB49&lt;=0,NN49-DB49*AMB48,NN49-MIN(MIN(DB49*AMB48,KA49+NN49),NN49)),NN49)</f>
        <v>0</v>
      </c>
      <c r="NP49" s="20" t="n">
        <f aca="false">IF(H_Direct=1,IF(DC49&lt;=0,NO49-DC49*AMC48,NO49-MIN(MIN(DC49*AMC48,KB49+NO49),NO49)),NO49)</f>
        <v>0</v>
      </c>
      <c r="NQ49" s="20" t="n">
        <f aca="false">IF(H_Direct=1,IF(DD49&lt;=0,NP49-DD49*AMD48,NP49-MIN(MIN(DD49*AMD48,KC49+NP49),NP49)),NP49)</f>
        <v>0</v>
      </c>
      <c r="NR49" s="20" t="n">
        <f aca="false">IF(H_Direct=1,IF(DE49&lt;=0,NQ49-DE49*AME48,NQ49-MIN(MIN(DE49*AME48,KD49+NQ49),NQ49)),NQ49)</f>
        <v>0</v>
      </c>
      <c r="NS49" s="20" t="n">
        <f aca="false">IF(H_Direct=1,IF(DF49&lt;=0,NR49-DF49*AMF48,NR49-MIN(MIN(DF49*AMF48,KE49+NR49),NR49)),NR49)</f>
        <v>0</v>
      </c>
      <c r="NT49" s="20" t="n">
        <f aca="false">IF(H_Direct=1,IF(DG49&lt;=0,NS49-DG49*AMG48,NS49-MIN(MIN(DG49*AMG48,KF49+NS49),NS49)),NS49)</f>
        <v>0</v>
      </c>
      <c r="NU49" s="20" t="n">
        <f aca="false">IF(H_Direct=1,IF(DH49&lt;=0,NT49-DH49*(P49+S49),NT49-MIN(MIN(DH49*(P49+S49),KG49+NT49),NT49)),NT49)</f>
        <v>0</v>
      </c>
      <c r="NV49" s="20" t="n">
        <f aca="false">NU49</f>
        <v>0</v>
      </c>
      <c r="NW49" s="20" t="n">
        <f aca="false">NV49</f>
        <v>0</v>
      </c>
      <c r="NX49" s="20" t="n">
        <f aca="false">NW49</f>
        <v>0</v>
      </c>
      <c r="NY49" s="20" t="n">
        <f aca="false">NX49</f>
        <v>0</v>
      </c>
      <c r="NZ49" s="20" t="n">
        <f aca="false">NY49</f>
        <v>0</v>
      </c>
      <c r="OA49" s="20" t="n">
        <f aca="false">NZ49</f>
        <v>0</v>
      </c>
      <c r="OB49" s="20" t="n">
        <f aca="false">OA49</f>
        <v>0</v>
      </c>
      <c r="OC49" s="20" t="n">
        <f aca="false">OB49</f>
        <v>0</v>
      </c>
      <c r="OD49" s="20" t="n">
        <f aca="false">OC49</f>
        <v>0</v>
      </c>
      <c r="OE49" s="20" t="n">
        <f aca="false">OD49</f>
        <v>0</v>
      </c>
      <c r="OF49" s="20" t="n">
        <f aca="false">OE49</f>
        <v>0</v>
      </c>
      <c r="OG49" s="20" t="n">
        <f aca="false">OF49</f>
        <v>0</v>
      </c>
      <c r="OH49" s="20" t="n">
        <f aca="false">OG49</f>
        <v>0</v>
      </c>
      <c r="OI49" s="20" t="n">
        <f aca="false">OH49</f>
        <v>0</v>
      </c>
      <c r="OJ49" s="20" t="n">
        <f aca="false">OI49</f>
        <v>0</v>
      </c>
      <c r="OK49" s="20" t="n">
        <f aca="false">OJ49</f>
        <v>0</v>
      </c>
      <c r="OL49" s="20" t="n">
        <f aca="false">OK49</f>
        <v>0</v>
      </c>
      <c r="OM49" s="20" t="n">
        <f aca="false">OL49</f>
        <v>0</v>
      </c>
      <c r="ON49" s="20" t="n">
        <f aca="false">OM49</f>
        <v>0</v>
      </c>
      <c r="OO49" s="20" t="n">
        <f aca="false">ON49</f>
        <v>0</v>
      </c>
      <c r="OP49" s="20" t="n">
        <f aca="false">OO49</f>
        <v>0</v>
      </c>
      <c r="OQ49" s="20" t="n">
        <f aca="false">OP49</f>
        <v>0</v>
      </c>
      <c r="OR49" s="20" t="n">
        <f aca="false">OQ49</f>
        <v>0</v>
      </c>
      <c r="OS49" s="20" t="n">
        <f aca="false">OR49</f>
        <v>0</v>
      </c>
      <c r="OT49" s="20" t="n">
        <f aca="false">OS49</f>
        <v>0</v>
      </c>
      <c r="OU49" s="20" t="n">
        <f aca="false">OT49</f>
        <v>0</v>
      </c>
      <c r="OV49" s="20" t="n">
        <f aca="false">OU49</f>
        <v>0</v>
      </c>
      <c r="OW49" s="20" t="n">
        <f aca="false">OV49</f>
        <v>0</v>
      </c>
      <c r="OX49" s="20" t="n">
        <f aca="false">OW49</f>
        <v>0</v>
      </c>
      <c r="OY49" s="20" t="n">
        <f aca="false">OX49</f>
        <v>0</v>
      </c>
      <c r="OZ49" s="20" t="n">
        <f aca="false">OY49</f>
        <v>0</v>
      </c>
      <c r="PA49" s="20" t="n">
        <f aca="false">OZ49</f>
        <v>0</v>
      </c>
      <c r="PB49" s="20" t="n">
        <f aca="false">PA49</f>
        <v>0</v>
      </c>
      <c r="PC49" s="20" t="n">
        <f aca="false">PB49</f>
        <v>0</v>
      </c>
      <c r="PD49" s="20" t="n">
        <f aca="false">PC49</f>
        <v>0</v>
      </c>
      <c r="PE49" s="20" t="n">
        <f aca="false">PD49</f>
        <v>0</v>
      </c>
      <c r="PF49" s="20" t="n">
        <f aca="false">PE49</f>
        <v>0</v>
      </c>
      <c r="PG49" s="20" t="n">
        <f aca="false">PF49</f>
        <v>0</v>
      </c>
      <c r="PH49" s="20" t="n">
        <f aca="false">PG49</f>
        <v>0</v>
      </c>
      <c r="PI49" s="20" t="n">
        <f aca="false">PH49</f>
        <v>0</v>
      </c>
      <c r="PJ49" s="20" t="n">
        <f aca="false">PI49</f>
        <v>0</v>
      </c>
      <c r="PK49" s="20" t="n">
        <f aca="false">PJ49</f>
        <v>0</v>
      </c>
      <c r="PL49" s="20" t="n">
        <f aca="false">PK49</f>
        <v>0</v>
      </c>
      <c r="PM49" s="20" t="n">
        <f aca="false">PL49</f>
        <v>0</v>
      </c>
      <c r="PN49" s="20" t="n">
        <f aca="false">PM49</f>
        <v>0</v>
      </c>
      <c r="PO49" s="20" t="n">
        <f aca="false">PN49</f>
        <v>0</v>
      </c>
      <c r="PP49" s="20" t="n">
        <f aca="false">PO49</f>
        <v>0</v>
      </c>
      <c r="PQ49" s="20" t="n">
        <f aca="false">PP49</f>
        <v>0</v>
      </c>
      <c r="PR49" s="20" t="n">
        <f aca="false">IF(H_Direct=1,IF(AKR48&lt;=0,0,IF(BR49&lt;=0,MIN(MAX(0,AB49),AKR48),MIN(MAX(0,AB49),AKR48-G49*MAX(0,BR49*AKR48-(H49+I49))))),MIN(FE49,MAX(0,AB49)))</f>
        <v>0</v>
      </c>
      <c r="PS49" s="20" t="n">
        <f aca="false">IF(H_Direct=1,IF(AKS48&lt;=0,0,IF(BS49&lt;=0,MIN(MAX(0,AB49-SUM(PR49:PR49)),AKS48),MIN(MAX(0,AB49-SUM(PR49:PR49)),AKS48-G49*MAX(0,BS49*AKS48-(WR49+AAE49))))),MIN(FF49,MAX(0,AB49-SUM(PR49:PR49))))</f>
        <v>0</v>
      </c>
      <c r="PT49" s="20" t="n">
        <f aca="false">IF(H_Direct=1,IF(AKT48&lt;=0,0,IF(BT49&lt;=0,MIN(MAX(0,AB49-SUM(PR49:PS49)),AKT48),MIN(MAX(0,AB49-SUM(PR49:PS49)),AKT48-G49*MAX(0,BT49*AKT48-(WS49+AAF49))))),MIN(FG49,MAX(0,AB49-SUM(PR49:PS49))))</f>
        <v>0</v>
      </c>
      <c r="PU49" s="20" t="n">
        <f aca="false">IF(H_Direct=1,IF(AKU48&lt;=0,0,IF(BU49&lt;=0,MIN(MAX(0,AB49-SUM(PR49:PT49)),AKU48),MIN(MAX(0,AB49-SUM(PR49:PT49)),AKU48-G49*MAX(0,BU49*AKU48-(WT49+AAG49))))),MIN(FH49,MAX(0,AB49-SUM(PR49:PT49))))</f>
        <v>0</v>
      </c>
      <c r="PV49" s="20" t="n">
        <f aca="false">IF(H_Direct=1,IF(AKV48&lt;=0,0,IF(BV49&lt;=0,MIN(MAX(0,AB49-SUM(PR49:PU49)),AKV48),MIN(MAX(0,AB49-SUM(PR49:PU49)),AKV48-G49*MAX(0,BV49*AKV48-(WU49+AAH49))))),MIN(FI49,MAX(0,AB49-SUM(PR49:PU49))))</f>
        <v>0</v>
      </c>
      <c r="PW49" s="20" t="n">
        <f aca="false">IF(H_Direct=1,IF(AKW48&lt;=0,0,IF(BW49&lt;=0,MIN(MAX(0,AB49-SUM(PR49:PV49)),AKW48),MIN(MAX(0,AB49-SUM(PR49:PV49)),AKW48-G49*MAX(0,BW49*AKW48-(WV49+AAI49))))),MIN(FJ49,MAX(0,AB49-SUM(PR49:PV49))))</f>
        <v>0</v>
      </c>
      <c r="PX49" s="20" t="n">
        <f aca="false">IF(H_Direct=1,IF(AKX48&lt;=0,0,IF(BX49&lt;=0,MIN(MAX(0,AB49-SUM(PR49:PW49)),AKX48),MIN(MAX(0,AB49-SUM(PR49:PW49)),AKX48-G49*MAX(0,BX49*AKX48-(WW49+AAJ49))))),MIN(FK49,MAX(0,AB49-SUM(PR49:PW49))))</f>
        <v>0</v>
      </c>
      <c r="PY49" s="20" t="n">
        <f aca="false">IF(H_Direct=1,IF(AKY48&lt;=0,0,IF(BY49&lt;=0,MIN(MAX(0,AB49-SUM(PR49:PX49)),AKY48),MIN(MAX(0,AB49-SUM(PR49:PX49)),AKY48-G49*MAX(0,BY49*AKY48-(WX49+AAK49))))),MIN(FL49,MAX(0,AB49-SUM(PR49:PX49))))</f>
        <v>0</v>
      </c>
      <c r="PZ49" s="20" t="n">
        <f aca="false">IF(H_Direct=1,IF(AKZ48&lt;=0,0,IF(BZ49&lt;=0,MIN(MAX(0,AB49-SUM(PR49:PY49)),AKZ48),MIN(MAX(0,AB49-SUM(PR49:PY49)),AKZ48-G49*MAX(0,BZ49*AKZ48-(WY49+AAL49))))),MIN(FM49,MAX(0,AB49-SUM(PR49:PY49))))</f>
        <v>0</v>
      </c>
      <c r="QA49" s="20" t="n">
        <f aca="false">IF(H_Direct=1,IF(ALA48&lt;=0,0,IF(CA49&lt;=0,MIN(MAX(0,AB49-SUM(PR49:PZ49)),ALA48),MIN(MAX(0,AB49-SUM(PR49:PZ49)),ALA48-G49*MAX(0,CA49*ALA48-(WZ49+AAM49))))),MIN(FN49,MAX(0,AB49-SUM(PR49:PZ49))))</f>
        <v>0</v>
      </c>
      <c r="QB49" s="20" t="n">
        <f aca="false">IF(H_Direct=1,IF(ALB48&lt;=0,0,IF(CB49&lt;=0,MIN(MAX(0,AB49-SUM(PR49:QA49)),ALB48),MIN(MAX(0,AB49-SUM(PR49:QA49)),ALB48-G49*MAX(0,CB49*ALB48-(XA49+AAN49))))),MIN(FO49,MAX(0,AB49-SUM(PR49:QA49))))</f>
        <v>0</v>
      </c>
      <c r="QC49" s="20" t="n">
        <f aca="false">IF(H_Direct=1,IF(ALC48&lt;=0,0,IF(CC49&lt;=0,MIN(MAX(0,AB49-SUM(PR49:QB49)),ALC48),MIN(MAX(0,AB49-SUM(PR49:QB49)),ALC48-G49*MAX(0,CC49*ALC48-(XB49+AAO49))))),MIN(FP49,MAX(0,AB49-SUM(PR49:QB49))))</f>
        <v>0</v>
      </c>
      <c r="QD49" s="20" t="n">
        <f aca="false">IF(H_Direct=1,IF(ALD48&lt;=0,0,IF(CD49&lt;=0,MIN(MAX(0,AB49-SUM(PR49:QC49)),ALD48),MIN(MAX(0,AB49-SUM(PR49:QC49)),ALD48-G49*MAX(0,CD49*ALD48-(XC49+AAP49))))),MIN(FQ49,MAX(0,AB49-SUM(PR49:QC49))))</f>
        <v>0</v>
      </c>
      <c r="QE49" s="20" t="n">
        <f aca="false">IF(H_Direct=1,IF(ALE48&lt;=0,0,IF(CE49&lt;=0,MIN(MAX(0,AB49-SUM(PR49:QD49)),ALE48),MIN(MAX(0,AB49-SUM(PR49:QD49)),ALE48-G49*MAX(0,CE49*ALE48-(XD49+AAQ49))))),MIN(FR49,MAX(0,AB49-SUM(PR49:QD49))))</f>
        <v>0</v>
      </c>
      <c r="QF49" s="20" t="n">
        <f aca="false">IF(H_Direct=1,IF(ALF48&lt;=0,0,IF(CF49&lt;=0,MIN(MAX(0,AB49-SUM(PR49:QE49)),ALF48),MIN(MAX(0,AB49-SUM(PR49:QE49)),ALF48-G49*MAX(0,CF49*ALF48-(XE49+AAR49))))),MIN(FS49,MAX(0,AB49-SUM(PR49:QE49))))</f>
        <v>0</v>
      </c>
      <c r="QG49" s="20" t="n">
        <f aca="false">IF(H_Direct=1,IF(ALG48&lt;=0,0,IF(CG49&lt;=0,MIN(MAX(0,AB49-SUM(PR49:QF49)),ALG48),MIN(MAX(0,AB49-SUM(PR49:QF49)),ALG48-G49*MAX(0,CG49*ALG48-(XF49+AAS49))))),MIN(FT49,MAX(0,AB49-SUM(PR49:QF49))))</f>
        <v>0</v>
      </c>
      <c r="QH49" s="20" t="n">
        <f aca="false">IF(H_Direct=1,IF(ALH48&lt;=0,0,IF(CH49&lt;=0,MIN(MAX(0,AB49-SUM(PR49:QG49)),ALH48),MIN(MAX(0,AB49-SUM(PR49:QG49)),ALH48-G49*MAX(0,CH49*ALH48-(XG49+AAT49))))),MIN(FU49,MAX(0,AB49-SUM(PR49:QG49))))</f>
        <v>0</v>
      </c>
      <c r="QI49" s="20" t="n">
        <f aca="false">IF(H_Direct=1,IF(ALI48&lt;=0,0,IF(CI49&lt;=0,MIN(MAX(0,AB49-SUM(PR49:QH49)),ALI48),MIN(MAX(0,AB49-SUM(PR49:QH49)),ALI48-G49*MAX(0,CI49*ALI48-(XH49+AAU49))))),MIN(FV49,MAX(0,AB49-SUM(PR49:QH49))))</f>
        <v>0</v>
      </c>
      <c r="QJ49" s="20" t="n">
        <f aca="false">IF(H_Direct=1,IF(ALJ48&lt;=0,0,IF(CJ49&lt;=0,MIN(MAX(0,AB49-SUM(PR49:QI49)),ALJ48),MIN(MAX(0,AB49-SUM(PR49:QI49)),ALJ48-G49*MAX(0,CJ49*ALJ48-(XI49+AAV49))))),MIN(FW49,MAX(0,AB49-SUM(PR49:QI49))))</f>
        <v>0</v>
      </c>
      <c r="QK49" s="20" t="n">
        <f aca="false">IF(H_Direct=1,IF(ALK48&lt;=0,0,IF(CK49&lt;=0,MIN(MAX(0,AB49-SUM(PR49:QJ49)),ALK48),MIN(MAX(0,AB49-SUM(PR49:QJ49)),ALK48-G49*MAX(0,CK49*ALK48-(XJ49+AAW49))))),MIN(FX49,MAX(0,AB49-SUM(PR49:QJ49))))</f>
        <v>0</v>
      </c>
      <c r="QL49" s="20" t="n">
        <f aca="false">IF(H_Direct=1,IF(ALL48&lt;=0,0,IF(CL49&lt;=0,MIN(MAX(0,AB49-SUM(PR49:QK49)),ALL48),MIN(MAX(0,AB49-SUM(PR49:QK49)),ALL48-G49*MAX(0,CL49*ALL48-(XK49+AAX49))))),MIN(FY49,MAX(0,AB49-SUM(PR49:QK49))))</f>
        <v>0</v>
      </c>
      <c r="QM49" s="20" t="n">
        <f aca="false">IF(H_Direct=1,IF(ALM48&lt;=0,0,IF(CM49&lt;=0,MIN(MAX(0,AB49-SUM(PR49:QL49)),ALM48),MIN(MAX(0,AB49-SUM(PR49:QL49)),ALM48-G49*MAX(0,CM49*ALM48-(XL49+AAY49))))),MIN(FZ49,MAX(0,AB49-SUM(PR49:QL49))))</f>
        <v>0</v>
      </c>
      <c r="QN49" s="20" t="n">
        <f aca="false">IF(H_Direct=1,IF(ALN48&lt;=0,0,IF(CN49&lt;=0,MIN(MAX(0,AB49-SUM(PR49:QM49)),ALN48),MIN(MAX(0,AB49-SUM(PR49:QM49)),ALN48-G49*MAX(0,CN49*ALN48-(XM49+AAZ49))))),MIN(GA49,MAX(0,AB49-SUM(PR49:QM49))))</f>
        <v>0</v>
      </c>
      <c r="QO49" s="20" t="n">
        <f aca="false">IF(H_Direct=1,IF(ALO48&lt;=0,0,IF(CO49&lt;=0,MIN(MAX(0,AB49-SUM(PR49:QN49)),ALO48),MIN(MAX(0,AB49-SUM(PR49:QN49)),ALO48-G49*MAX(0,CO49*ALO48-(XN49+ABA49))))),MIN(GB49,MAX(0,AB49-SUM(PR49:QN49))))</f>
        <v>0</v>
      </c>
      <c r="QP49" s="20" t="n">
        <f aca="false">IF(H_Direct=1,IF(ALP48&lt;=0,0,IF(CP49&lt;=0,MIN(MAX(0,AB49-SUM(PR49:QO49)),ALP48),MIN(MAX(0,AB49-SUM(PR49:QO49)),ALP48-G49*MAX(0,CP49*ALP48-(XO49+ABB49))))),MIN(GC49,MAX(0,AB49-SUM(PR49:QO49))))</f>
        <v>0</v>
      </c>
      <c r="QQ49" s="20" t="n">
        <f aca="false">IF(H_Direct=1,IF(ALQ48&lt;=0,0,IF(CQ49&lt;=0,MIN(MAX(0,AB49-SUM(PR49:QP49)),ALQ48),MIN(MAX(0,AB49-SUM(PR49:QP49)),ALQ48-G49*MAX(0,CQ49*ALQ48-(XP49+ABC49))))),MIN(GD49,MAX(0,AB49-SUM(PR49:QP49))))</f>
        <v>0</v>
      </c>
      <c r="QR49" s="20" t="n">
        <f aca="false">IF(H_Direct=1,IF(ALR48&lt;=0,0,IF(CR49&lt;=0,MIN(MAX(0,AB49-SUM(PR49:QQ49)),ALR48),MIN(MAX(0,AB49-SUM(PR49:QQ49)),ALR48-G49*MAX(0,CR49*ALR48-(XQ49+ABD49))))),MIN(GE49,MAX(0,AB49-SUM(PR49:QQ49))))</f>
        <v>0</v>
      </c>
      <c r="QS49" s="20" t="n">
        <f aca="false">IF(H_Direct=1,IF(ALS48&lt;=0,0,IF(CS49&lt;=0,MIN(MAX(0,AB49-SUM(PR49:QR49)),ALS48),MIN(MAX(0,AB49-SUM(PR49:QR49)),ALS48-G49*MAX(0,CS49*ALS48-(XR49+ABE49))))),MIN(GF49,MAX(0,AB49-SUM(PR49:QR49))))</f>
        <v>0</v>
      </c>
      <c r="QT49" s="20" t="n">
        <f aca="false">IF(H_Direct=1,IF(ALT48&lt;=0,0,IF(CT49&lt;=0,MIN(MAX(0,AB49-SUM(PR49:QS49)),ALT48),MIN(MAX(0,AB49-SUM(PR49:QS49)),ALT48-G49*MAX(0,CT49*ALT48-(XS49+ABF49))))),MIN(GG49,MAX(0,AB49-SUM(PR49:QS49))))</f>
        <v>0</v>
      </c>
      <c r="QU49" s="20" t="n">
        <f aca="false">IF(H_Direct=1,IF(ALU48&lt;=0,0,IF(CU49&lt;=0,MIN(MAX(0,AB49-SUM(PR49:QT49)),ALU48),MIN(MAX(0,AB49-SUM(PR49:QT49)),ALU48-G49*MAX(0,CU49*ALU48-(XT49+ABG49))))),MIN(GH49,MAX(0,AB49-SUM(PR49:QT49))))</f>
        <v>0</v>
      </c>
      <c r="QV49" s="20" t="n">
        <f aca="false">IF(H_Direct=1,IF(ALV48&lt;=0,0,IF(CV49&lt;=0,MIN(MAX(0,AB49-SUM(PR49:QU49)),ALV48),MIN(MAX(0,AB49-SUM(PR49:QU49)),ALV48-G49*MAX(0,CV49*ALV48-(XU49+ABH49))))),MIN(GI49,MAX(0,AB49-SUM(PR49:QU49))))</f>
        <v>0</v>
      </c>
      <c r="QW49" s="20" t="n">
        <f aca="false">IF(H_Direct=1,IF(ALW48&lt;=0,0,IF(CW49&lt;=0,MIN(MAX(0,AB49-SUM(PR49:QV49)),ALW48),MIN(MAX(0,AB49-SUM(PR49:QV49)),ALW48-G49*MAX(0,CW49*ALW48-(XV49+ABI49))))),MIN(GJ49,MAX(0,AB49-SUM(PR49:QV49))))</f>
        <v>0</v>
      </c>
      <c r="QX49" s="20" t="n">
        <f aca="false">IF(H_Direct=1,IF(ALX48&lt;=0,0,IF(CX49&lt;=0,MIN(MAX(0,AB49-SUM(PR49:QW49)),ALX48),MIN(MAX(0,AB49-SUM(PR49:QW49)),ALX48-G49*MAX(0,CX49*ALX48-(XW49+ABJ49))))),MIN(GK49,MAX(0,AB49-SUM(PR49:QW49))))</f>
        <v>0</v>
      </c>
      <c r="QY49" s="20" t="n">
        <f aca="false">IF(H_Direct=1,IF(ALY48&lt;=0,0,IF(CY49&lt;=0,MIN(MAX(0,AB49-SUM(PR49:QX49)),ALY48),MIN(MAX(0,AB49-SUM(PR49:QX49)),ALY48-G49*MAX(0,CY49*ALY48-(XX49+ABK49))))),MIN(GL49,MAX(0,AB49-SUM(PR49:QX49))))</f>
        <v>0</v>
      </c>
      <c r="QZ49" s="20" t="n">
        <f aca="false">IF(H_Direct=1,IF(ALZ48&lt;=0,0,IF(CZ49&lt;=0,MIN(MAX(0,AB49-SUM(PR49:QY49)),ALZ48),MIN(MAX(0,AB49-SUM(PR49:QY49)),ALZ48-G49*MAX(0,CZ49*ALZ48-(XY49+ABL49))))),MIN(GM49,MAX(0,AB49-SUM(PR49:QY49))))</f>
        <v>0</v>
      </c>
      <c r="RA49" s="20" t="n">
        <f aca="false">IF(H_Direct=1,IF(AMA48&lt;=0,0,IF(DA49&lt;=0,MIN(MAX(0,AB49-SUM(PR49:QZ49)),AMA48),MIN(MAX(0,AB49-SUM(PR49:QZ49)),AMA48-G49*MAX(0,DA49*AMA48-(XZ49+ABM49))))),MIN(GN49,MAX(0,AB49-SUM(PR49:QZ49))))</f>
        <v>0</v>
      </c>
      <c r="RB49" s="20" t="n">
        <f aca="false">IF(H_Direct=1,IF(AMB48&lt;=0,0,IF(DB49&lt;=0,MIN(MAX(0,AB49-SUM(PR49:RA49)),AMB48),MIN(MAX(0,AB49-SUM(PR49:RA49)),AMB48-G49*MAX(0,DB49*AMB48-(YA49+ABN49))))),MIN(GO49,MAX(0,AB49-SUM(PR49:RA49))))</f>
        <v>0</v>
      </c>
      <c r="RC49" s="20" t="n">
        <f aca="false">IF(H_Direct=1,IF(AMC48&lt;=0,0,IF(DC49&lt;=0,MIN(MAX(0,AB49-SUM(PR49:RB49)),AMC48),MIN(MAX(0,AB49-SUM(PR49:RB49)),AMC48-G49*MAX(0,DC49*AMC48-(YB49+ABO49))))),MIN(GP49,MAX(0,AB49-SUM(PR49:RB49))))</f>
        <v>0</v>
      </c>
      <c r="RD49" s="20" t="n">
        <f aca="false">IF(H_Direct=1,IF(AMD48&lt;=0,0,IF(DD49&lt;=0,MIN(MAX(0,AB49-SUM(PR49:RC49)),AMD48),MIN(MAX(0,AB49-SUM(PR49:RC49)),AMD48-G49*MAX(0,DD49*AMD48-(YC49+ABP49))))),MIN(GQ49,MAX(0,AB49-SUM(PR49:RC49))))</f>
        <v>0</v>
      </c>
      <c r="RE49" s="20" t="n">
        <f aca="false">IF(H_Direct=1,IF(AME48&lt;=0,0,IF(DE49&lt;=0,MIN(MAX(0,AB49-SUM(PR49:RD49)),AME48),MIN(MAX(0,AB49-SUM(PR49:RD49)),AME48-G49*MAX(0,DE49*AME48-(YD49+ABQ49))))),MIN(GR49,MAX(0,AB49-SUM(PR49:RD49))))</f>
        <v>0</v>
      </c>
      <c r="RF49" s="20" t="n">
        <f aca="false">IF(H_Direct=1,IF(AMF48&lt;=0,0,IF(DF49&lt;=0,MIN(MAX(0,AB49-SUM(PR49:RE49)),AMF48),MIN(MAX(0,AB49-SUM(PR49:RE49)),AMF48-G49*MAX(0,DF49*AMF48-(YE49+ABR49))))),MIN(GS49,MAX(0,AB49-SUM(PR49:RE49))))</f>
        <v>0</v>
      </c>
      <c r="RG49" s="20" t="n">
        <f aca="false">IF(H_Direct=1,IF(AMG48&lt;=0,0,IF(DG49&lt;=0,MIN(MAX(0,AB49-SUM(PR49:RF49)),AMG48),MIN(MAX(0,AB49-SUM(PR49:RF49)),AMG48-G49*MAX(0,DG49*AMG48-(YF49+ABS49))))),MIN(GT49,MAX(0,AB49-SUM(PR49:RF49))))</f>
        <v>0</v>
      </c>
      <c r="RH49" s="20" t="n">
        <f aca="false">IF(H_Direct=1,IF((P49+S49)&lt;=0,0,IF(DH49&lt;=0,MIN(MAX(0,AB49-SUM(PR49:RG49)),(P49+S49)),MIN(MAX(0,AB49-SUM(PR49:RG49)),(P49+S49)-G49*MAX(0,DH49*(P49+S49)-(YG49+ABT49))))),MIN(GU49,MAX(0,AB49-SUM(PR49:RG49))))</f>
        <v>0</v>
      </c>
      <c r="RI49" s="20" t="n">
        <v>0</v>
      </c>
      <c r="RJ49" s="20" t="n">
        <v>0</v>
      </c>
      <c r="RK49" s="20" t="n">
        <v>0</v>
      </c>
      <c r="RL49" s="20" t="n">
        <v>0</v>
      </c>
      <c r="RM49" s="20" t="n">
        <v>0</v>
      </c>
      <c r="RN49" s="20" t="n">
        <v>0</v>
      </c>
      <c r="RO49" s="20" t="n">
        <v>0</v>
      </c>
      <c r="RP49" s="20" t="n">
        <v>0</v>
      </c>
      <c r="RQ49" s="20" t="n">
        <v>0</v>
      </c>
      <c r="RR49" s="20" t="n">
        <v>0</v>
      </c>
      <c r="RS49" s="20" t="n">
        <v>0</v>
      </c>
      <c r="RT49" s="20" t="n">
        <v>0</v>
      </c>
      <c r="RU49" s="20" t="n">
        <v>0</v>
      </c>
      <c r="RV49" s="20" t="n">
        <v>0</v>
      </c>
      <c r="RW49" s="20" t="n">
        <v>0</v>
      </c>
      <c r="RX49" s="20" t="n">
        <v>0</v>
      </c>
      <c r="RY49" s="20" t="n">
        <v>0</v>
      </c>
      <c r="RZ49" s="20" t="n">
        <v>0</v>
      </c>
      <c r="SA49" s="20" t="n">
        <v>0</v>
      </c>
      <c r="SB49" s="20" t="n">
        <v>0</v>
      </c>
      <c r="SC49" s="20" t="n">
        <v>0</v>
      </c>
      <c r="SD49" s="20" t="n">
        <v>0</v>
      </c>
      <c r="SE49" s="20" t="n">
        <v>0</v>
      </c>
      <c r="SF49" s="20" t="n">
        <v>0</v>
      </c>
      <c r="SG49" s="20" t="n">
        <v>0</v>
      </c>
      <c r="SH49" s="20" t="n">
        <v>0</v>
      </c>
      <c r="SI49" s="20" t="n">
        <v>0</v>
      </c>
      <c r="SJ49" s="20" t="n">
        <v>0</v>
      </c>
      <c r="SK49" s="20" t="n">
        <v>0</v>
      </c>
      <c r="SL49" s="20" t="n">
        <v>0</v>
      </c>
      <c r="SM49" s="20" t="n">
        <v>0</v>
      </c>
      <c r="SN49" s="20" t="n">
        <v>0</v>
      </c>
      <c r="SO49" s="20" t="n">
        <v>0</v>
      </c>
      <c r="SP49" s="20" t="n">
        <v>0</v>
      </c>
      <c r="SQ49" s="20" t="n">
        <v>0</v>
      </c>
      <c r="SR49" s="20" t="n">
        <v>0</v>
      </c>
      <c r="SS49" s="20" t="n">
        <v>0</v>
      </c>
      <c r="ST49" s="20" t="n">
        <v>0</v>
      </c>
      <c r="SU49" s="20" t="n">
        <v>0</v>
      </c>
      <c r="SV49" s="20" t="n">
        <v>0</v>
      </c>
      <c r="SW49" s="20" t="n">
        <v>0</v>
      </c>
      <c r="SX49" s="20" t="n">
        <v>0</v>
      </c>
      <c r="SY49" s="20" t="n">
        <v>0</v>
      </c>
      <c r="SZ49" s="20" t="n">
        <v>0</v>
      </c>
      <c r="TA49" s="20" t="n">
        <v>0</v>
      </c>
      <c r="TB49" s="20" t="n">
        <v>0</v>
      </c>
      <c r="TC49" s="20" t="n">
        <v>0</v>
      </c>
      <c r="TD49" s="20" t="n">
        <v>0</v>
      </c>
      <c r="TE49" s="20" t="n">
        <f aca="false">IF(AKR48&lt;=0,0,IF(H_Direct=1,IF(BR49&lt;=0,PR49,IF(PR49&lt;=(H49+I49)/BR49,PR49,(PR49-G49*(H49+I49))/(1-G49*BR49))),PR49/(1-MAX(0,BR49)*H_Exit)))</f>
        <v>0</v>
      </c>
      <c r="TF49" s="20" t="n">
        <f aca="false">IF(AKS48&lt;=0,0,IF(H_Direct=1,IF(BS49&lt;=0,PS49,IF(PS49&lt;=(WR49+AAE49)/BS49,PS49,(PS49-G49*(WR49+AAE49))/(1-G49*BS49))),PS49/(1-MAX(0,BS49)*H_Exit)))</f>
        <v>0</v>
      </c>
      <c r="TG49" s="20" t="n">
        <f aca="false">IF(AKT48&lt;=0,0,IF(H_Direct=1,IF(BT49&lt;=0,PT49,IF(PT49&lt;=(WS49+AAF49)/BT49,PT49,(PT49-G49*(WS49+AAF49))/(1-G49*BT49))),PT49/(1-MAX(0,BT49)*H_Exit)))</f>
        <v>0</v>
      </c>
      <c r="TH49" s="20" t="n">
        <f aca="false">IF(AKU48&lt;=0,0,IF(H_Direct=1,IF(BU49&lt;=0,PU49,IF(PU49&lt;=(WT49+AAG49)/BU49,PU49,(PU49-G49*(WT49+AAG49))/(1-G49*BU49))),PU49/(1-MAX(0,BU49)*H_Exit)))</f>
        <v>0</v>
      </c>
      <c r="TI49" s="20" t="n">
        <f aca="false">IF(AKV48&lt;=0,0,IF(H_Direct=1,IF(BV49&lt;=0,PV49,IF(PV49&lt;=(WU49+AAH49)/BV49,PV49,(PV49-G49*(WU49+AAH49))/(1-G49*BV49))),PV49/(1-MAX(0,BV49)*H_Exit)))</f>
        <v>0</v>
      </c>
      <c r="TJ49" s="20" t="n">
        <f aca="false">IF(AKW48&lt;=0,0,IF(H_Direct=1,IF(BW49&lt;=0,PW49,IF(PW49&lt;=(WV49+AAI49)/BW49,PW49,(PW49-G49*(WV49+AAI49))/(1-G49*BW49))),PW49/(1-MAX(0,BW49)*H_Exit)))</f>
        <v>0</v>
      </c>
      <c r="TK49" s="20" t="n">
        <f aca="false">IF(AKX48&lt;=0,0,IF(H_Direct=1,IF(BX49&lt;=0,PX49,IF(PX49&lt;=(WW49+AAJ49)/BX49,PX49,(PX49-G49*(WW49+AAJ49))/(1-G49*BX49))),PX49/(1-MAX(0,BX49)*H_Exit)))</f>
        <v>0</v>
      </c>
      <c r="TL49" s="20" t="n">
        <f aca="false">IF(AKY48&lt;=0,0,IF(H_Direct=1,IF(BY49&lt;=0,PY49,IF(PY49&lt;=(WX49+AAK49)/BY49,PY49,(PY49-G49*(WX49+AAK49))/(1-G49*BY49))),PY49/(1-MAX(0,BY49)*H_Exit)))</f>
        <v>0</v>
      </c>
      <c r="TM49" s="20" t="n">
        <f aca="false">IF(AKZ48&lt;=0,0,IF(H_Direct=1,IF(BZ49&lt;=0,PZ49,IF(PZ49&lt;=(WY49+AAL49)/BZ49,PZ49,(PZ49-G49*(WY49+AAL49))/(1-G49*BZ49))),PZ49/(1-MAX(0,BZ49)*H_Exit)))</f>
        <v>0</v>
      </c>
      <c r="TN49" s="20" t="n">
        <f aca="false">IF(ALA48&lt;=0,0,IF(H_Direct=1,IF(CA49&lt;=0,QA49,IF(QA49&lt;=(WZ49+AAM49)/CA49,QA49,(QA49-G49*(WZ49+AAM49))/(1-G49*CA49))),QA49/(1-MAX(0,CA49)*H_Exit)))</f>
        <v>0</v>
      </c>
      <c r="TO49" s="20" t="n">
        <f aca="false">IF(ALB48&lt;=0,0,IF(H_Direct=1,IF(CB49&lt;=0,QB49,IF(QB49&lt;=(XA49+AAN49)/CB49,QB49,(QB49-G49*(XA49+AAN49))/(1-G49*CB49))),QB49/(1-MAX(0,CB49)*H_Exit)))</f>
        <v>0</v>
      </c>
      <c r="TP49" s="20" t="n">
        <f aca="false">IF(ALC48&lt;=0,0,IF(H_Direct=1,IF(CC49&lt;=0,QC49,IF(QC49&lt;=(XB49+AAO49)/CC49,QC49,(QC49-G49*(XB49+AAO49))/(1-G49*CC49))),QC49/(1-MAX(0,CC49)*H_Exit)))</f>
        <v>0</v>
      </c>
      <c r="TQ49" s="20" t="n">
        <f aca="false">IF(ALD48&lt;=0,0,IF(H_Direct=1,IF(CD49&lt;=0,QD49,IF(QD49&lt;=(XC49+AAP49)/CD49,QD49,(QD49-G49*(XC49+AAP49))/(1-G49*CD49))),QD49/(1-MAX(0,CD49)*H_Exit)))</f>
        <v>0</v>
      </c>
      <c r="TR49" s="20" t="n">
        <f aca="false">IF(ALE48&lt;=0,0,IF(H_Direct=1,IF(CE49&lt;=0,QE49,IF(QE49&lt;=(XD49+AAQ49)/CE49,QE49,(QE49-G49*(XD49+AAQ49))/(1-G49*CE49))),QE49/(1-MAX(0,CE49)*H_Exit)))</f>
        <v>0</v>
      </c>
      <c r="TS49" s="20" t="n">
        <f aca="false">IF(ALF48&lt;=0,0,IF(H_Direct=1,IF(CF49&lt;=0,QF49,IF(QF49&lt;=(XE49+AAR49)/CF49,QF49,(QF49-G49*(XE49+AAR49))/(1-G49*CF49))),QF49/(1-MAX(0,CF49)*H_Exit)))</f>
        <v>0</v>
      </c>
      <c r="TT49" s="20" t="n">
        <f aca="false">IF(ALG48&lt;=0,0,IF(H_Direct=1,IF(CG49&lt;=0,QG49,IF(QG49&lt;=(XF49+AAS49)/CG49,QG49,(QG49-G49*(XF49+AAS49))/(1-G49*CG49))),QG49/(1-MAX(0,CG49)*H_Exit)))</f>
        <v>0</v>
      </c>
      <c r="TU49" s="20" t="n">
        <f aca="false">IF(ALH48&lt;=0,0,IF(H_Direct=1,IF(CH49&lt;=0,QH49,IF(QH49&lt;=(XG49+AAT49)/CH49,QH49,(QH49-G49*(XG49+AAT49))/(1-G49*CH49))),QH49/(1-MAX(0,CH49)*H_Exit)))</f>
        <v>0</v>
      </c>
      <c r="TV49" s="20" t="n">
        <f aca="false">IF(ALI48&lt;=0,0,IF(H_Direct=1,IF(CI49&lt;=0,QI49,IF(QI49&lt;=(XH49+AAU49)/CI49,QI49,(QI49-G49*(XH49+AAU49))/(1-G49*CI49))),QI49/(1-MAX(0,CI49)*H_Exit)))</f>
        <v>0</v>
      </c>
      <c r="TW49" s="20" t="n">
        <f aca="false">IF(ALJ48&lt;=0,0,IF(H_Direct=1,IF(CJ49&lt;=0,QJ49,IF(QJ49&lt;=(XI49+AAV49)/CJ49,QJ49,(QJ49-G49*(XI49+AAV49))/(1-G49*CJ49))),QJ49/(1-MAX(0,CJ49)*H_Exit)))</f>
        <v>0</v>
      </c>
      <c r="TX49" s="20" t="n">
        <f aca="false">IF(ALK48&lt;=0,0,IF(H_Direct=1,IF(CK49&lt;=0,QK49,IF(QK49&lt;=(XJ49+AAW49)/CK49,QK49,(QK49-G49*(XJ49+AAW49))/(1-G49*CK49))),QK49/(1-MAX(0,CK49)*H_Exit)))</f>
        <v>0</v>
      </c>
      <c r="TY49" s="20" t="n">
        <f aca="false">IF(ALL48&lt;=0,0,IF(H_Direct=1,IF(CL49&lt;=0,QL49,IF(QL49&lt;=(XK49+AAX49)/CL49,QL49,(QL49-G49*(XK49+AAX49))/(1-G49*CL49))),QL49/(1-MAX(0,CL49)*H_Exit)))</f>
        <v>0</v>
      </c>
      <c r="TZ49" s="20" t="n">
        <f aca="false">IF(ALM48&lt;=0,0,IF(H_Direct=1,IF(CM49&lt;=0,QM49,IF(QM49&lt;=(XL49+AAY49)/CM49,QM49,(QM49-G49*(XL49+AAY49))/(1-G49*CM49))),QM49/(1-MAX(0,CM49)*H_Exit)))</f>
        <v>0</v>
      </c>
      <c r="UA49" s="20" t="n">
        <f aca="false">IF(ALN48&lt;=0,0,IF(H_Direct=1,IF(CN49&lt;=0,QN49,IF(QN49&lt;=(XM49+AAZ49)/CN49,QN49,(QN49-G49*(XM49+AAZ49))/(1-G49*CN49))),QN49/(1-MAX(0,CN49)*H_Exit)))</f>
        <v>0</v>
      </c>
      <c r="UB49" s="20" t="n">
        <f aca="false">IF(ALO48&lt;=0,0,IF(H_Direct=1,IF(CO49&lt;=0,QO49,IF(QO49&lt;=(XN49+ABA49)/CO49,QO49,(QO49-G49*(XN49+ABA49))/(1-G49*CO49))),QO49/(1-MAX(0,CO49)*H_Exit)))</f>
        <v>0</v>
      </c>
      <c r="UC49" s="20" t="n">
        <f aca="false">IF(ALP48&lt;=0,0,IF(H_Direct=1,IF(CP49&lt;=0,QP49,IF(QP49&lt;=(XO49+ABB49)/CP49,QP49,(QP49-G49*(XO49+ABB49))/(1-G49*CP49))),QP49/(1-MAX(0,CP49)*H_Exit)))</f>
        <v>0</v>
      </c>
      <c r="UD49" s="20" t="n">
        <f aca="false">IF(ALQ48&lt;=0,0,IF(H_Direct=1,IF(CQ49&lt;=0,QQ49,IF(QQ49&lt;=(XP49+ABC49)/CQ49,QQ49,(QQ49-G49*(XP49+ABC49))/(1-G49*CQ49))),QQ49/(1-MAX(0,CQ49)*H_Exit)))</f>
        <v>0</v>
      </c>
      <c r="UE49" s="20" t="n">
        <f aca="false">IF(ALR48&lt;=0,0,IF(H_Direct=1,IF(CR49&lt;=0,QR49,IF(QR49&lt;=(XQ49+ABD49)/CR49,QR49,(QR49-G49*(XQ49+ABD49))/(1-G49*CR49))),QR49/(1-MAX(0,CR49)*H_Exit)))</f>
        <v>0</v>
      </c>
      <c r="UF49" s="20" t="n">
        <f aca="false">IF(ALS48&lt;=0,0,IF(H_Direct=1,IF(CS49&lt;=0,QS49,IF(QS49&lt;=(XR49+ABE49)/CS49,QS49,(QS49-G49*(XR49+ABE49))/(1-G49*CS49))),QS49/(1-MAX(0,CS49)*H_Exit)))</f>
        <v>0</v>
      </c>
      <c r="UG49" s="20" t="n">
        <f aca="false">IF(ALT48&lt;=0,0,IF(H_Direct=1,IF(CT49&lt;=0,QT49,IF(QT49&lt;=(XS49+ABF49)/CT49,QT49,(QT49-G49*(XS49+ABF49))/(1-G49*CT49))),QT49/(1-MAX(0,CT49)*H_Exit)))</f>
        <v>0</v>
      </c>
      <c r="UH49" s="20" t="n">
        <f aca="false">IF(ALU48&lt;=0,0,IF(H_Direct=1,IF(CU49&lt;=0,QU49,IF(QU49&lt;=(XT49+ABG49)/CU49,QU49,(QU49-G49*(XT49+ABG49))/(1-G49*CU49))),QU49/(1-MAX(0,CU49)*H_Exit)))</f>
        <v>0</v>
      </c>
      <c r="UI49" s="20" t="n">
        <f aca="false">IF(ALV48&lt;=0,0,IF(H_Direct=1,IF(CV49&lt;=0,QV49,IF(QV49&lt;=(XU49+ABH49)/CV49,QV49,(QV49-G49*(XU49+ABH49))/(1-G49*CV49))),QV49/(1-MAX(0,CV49)*H_Exit)))</f>
        <v>0</v>
      </c>
      <c r="UJ49" s="20" t="n">
        <f aca="false">IF(ALW48&lt;=0,0,IF(H_Direct=1,IF(CW49&lt;=0,QW49,IF(QW49&lt;=(XV49+ABI49)/CW49,QW49,(QW49-G49*(XV49+ABI49))/(1-G49*CW49))),QW49/(1-MAX(0,CW49)*H_Exit)))</f>
        <v>0</v>
      </c>
      <c r="UK49" s="20" t="n">
        <f aca="false">IF(ALX48&lt;=0,0,IF(H_Direct=1,IF(CX49&lt;=0,QX49,IF(QX49&lt;=(XW49+ABJ49)/CX49,QX49,(QX49-G49*(XW49+ABJ49))/(1-G49*CX49))),QX49/(1-MAX(0,CX49)*H_Exit)))</f>
        <v>0</v>
      </c>
      <c r="UL49" s="20" t="n">
        <f aca="false">IF(ALY48&lt;=0,0,IF(H_Direct=1,IF(CY49&lt;=0,QY49,IF(QY49&lt;=(XX49+ABK49)/CY49,QY49,(QY49-G49*(XX49+ABK49))/(1-G49*CY49))),QY49/(1-MAX(0,CY49)*H_Exit)))</f>
        <v>0</v>
      </c>
      <c r="UM49" s="20" t="n">
        <f aca="false">IF(ALZ48&lt;=0,0,IF(H_Direct=1,IF(CZ49&lt;=0,QZ49,IF(QZ49&lt;=(XY49+ABL49)/CZ49,QZ49,(QZ49-G49*(XY49+ABL49))/(1-G49*CZ49))),QZ49/(1-MAX(0,CZ49)*H_Exit)))</f>
        <v>0</v>
      </c>
      <c r="UN49" s="20" t="n">
        <f aca="false">IF(AMA48&lt;=0,0,IF(H_Direct=1,IF(DA49&lt;=0,RA49,IF(RA49&lt;=(XZ49+ABM49)/DA49,RA49,(RA49-G49*(XZ49+ABM49))/(1-G49*DA49))),RA49/(1-MAX(0,DA49)*H_Exit)))</f>
        <v>0</v>
      </c>
      <c r="UO49" s="20" t="n">
        <f aca="false">IF(AMB48&lt;=0,0,IF(H_Direct=1,IF(DB49&lt;=0,RB49,IF(RB49&lt;=(YA49+ABN49)/DB49,RB49,(RB49-G49*(YA49+ABN49))/(1-G49*DB49))),RB49/(1-MAX(0,DB49)*H_Exit)))</f>
        <v>0</v>
      </c>
      <c r="UP49" s="20" t="n">
        <f aca="false">IF(AMC48&lt;=0,0,IF(H_Direct=1,IF(DC49&lt;=0,RC49,IF(RC49&lt;=(YB49+ABO49)/DC49,RC49,(RC49-G49*(YB49+ABO49))/(1-G49*DC49))),RC49/(1-MAX(0,DC49)*H_Exit)))</f>
        <v>0</v>
      </c>
      <c r="UQ49" s="20" t="n">
        <f aca="false">IF(AMD48&lt;=0,0,IF(H_Direct=1,IF(DD49&lt;=0,RD49,IF(RD49&lt;=(YC49+ABP49)/DD49,RD49,(RD49-G49*(YC49+ABP49))/(1-G49*DD49))),RD49/(1-MAX(0,DD49)*H_Exit)))</f>
        <v>0</v>
      </c>
      <c r="UR49" s="20" t="n">
        <f aca="false">IF(AME48&lt;=0,0,IF(H_Direct=1,IF(DE49&lt;=0,RE49,IF(RE49&lt;=(YD49+ABQ49)/DE49,RE49,(RE49-G49*(YD49+ABQ49))/(1-G49*DE49))),RE49/(1-MAX(0,DE49)*H_Exit)))</f>
        <v>0</v>
      </c>
      <c r="US49" s="20" t="n">
        <f aca="false">IF(AMF48&lt;=0,0,IF(H_Direct=1,IF(DF49&lt;=0,RF49,IF(RF49&lt;=(YE49+ABR49)/DF49,RF49,(RF49-G49*(YE49+ABR49))/(1-G49*DF49))),RF49/(1-MAX(0,DF49)*H_Exit)))</f>
        <v>0</v>
      </c>
      <c r="UT49" s="20" t="n">
        <f aca="false">IF(AMG48&lt;=0,0,IF(H_Direct=1,IF(DG49&lt;=0,RG49,IF(RG49&lt;=(YF49+ABS49)/DG49,RG49,(RG49-G49*(YF49+ABS49))/(1-G49*DG49))),RG49/(1-MAX(0,DG49)*H_Exit)))</f>
        <v>0</v>
      </c>
      <c r="UU49" s="20" t="n">
        <f aca="false">IF((P49+S49)&lt;=0,0,IF(H_Direct=1,IF(DH49&lt;=0,RH49,IF(RH49&lt;=(YG49+ABT49)/DH49,RH49,(RH49-G49*(YG49+ABT49))/(1-G49*DH49))),RH49/(1-MAX(0,DH49)*H_Exit)))</f>
        <v>0</v>
      </c>
      <c r="UV49" s="20" t="n">
        <v>0</v>
      </c>
      <c r="UW49" s="20" t="n">
        <v>0</v>
      </c>
      <c r="UX49" s="20" t="n">
        <v>0</v>
      </c>
      <c r="UY49" s="20" t="n">
        <v>0</v>
      </c>
      <c r="UZ49" s="20" t="n">
        <v>0</v>
      </c>
      <c r="VA49" s="20" t="n">
        <v>0</v>
      </c>
      <c r="VB49" s="20" t="n">
        <v>0</v>
      </c>
      <c r="VC49" s="20" t="n">
        <v>0</v>
      </c>
      <c r="VD49" s="20" t="n">
        <v>0</v>
      </c>
      <c r="VE49" s="20" t="n">
        <v>0</v>
      </c>
      <c r="VF49" s="20" t="n">
        <v>0</v>
      </c>
      <c r="VG49" s="20" t="n">
        <v>0</v>
      </c>
      <c r="VH49" s="20" t="n">
        <v>0</v>
      </c>
      <c r="VI49" s="20" t="n">
        <v>0</v>
      </c>
      <c r="VJ49" s="20" t="n">
        <v>0</v>
      </c>
      <c r="VK49" s="20" t="n">
        <v>0</v>
      </c>
      <c r="VL49" s="20" t="n">
        <v>0</v>
      </c>
      <c r="VM49" s="20" t="n">
        <v>0</v>
      </c>
      <c r="VN49" s="20" t="n">
        <v>0</v>
      </c>
      <c r="VO49" s="20" t="n">
        <v>0</v>
      </c>
      <c r="VP49" s="20" t="n">
        <v>0</v>
      </c>
      <c r="VQ49" s="20" t="n">
        <v>0</v>
      </c>
      <c r="VR49" s="20" t="n">
        <v>0</v>
      </c>
      <c r="VS49" s="20" t="n">
        <v>0</v>
      </c>
      <c r="VT49" s="20" t="n">
        <v>0</v>
      </c>
      <c r="VU49" s="20" t="n">
        <v>0</v>
      </c>
      <c r="VV49" s="20" t="n">
        <v>0</v>
      </c>
      <c r="VW49" s="20" t="n">
        <v>0</v>
      </c>
      <c r="VX49" s="20" t="n">
        <v>0</v>
      </c>
      <c r="VY49" s="20" t="n">
        <v>0</v>
      </c>
      <c r="VZ49" s="20" t="n">
        <v>0</v>
      </c>
      <c r="WA49" s="20" t="n">
        <v>0</v>
      </c>
      <c r="WB49" s="20" t="n">
        <v>0</v>
      </c>
      <c r="WC49" s="20" t="n">
        <v>0</v>
      </c>
      <c r="WD49" s="20" t="n">
        <v>0</v>
      </c>
      <c r="WE49" s="20" t="n">
        <v>0</v>
      </c>
      <c r="WF49" s="20" t="n">
        <v>0</v>
      </c>
      <c r="WG49" s="20" t="n">
        <v>0</v>
      </c>
      <c r="WH49" s="20" t="n">
        <v>0</v>
      </c>
      <c r="WI49" s="20" t="n">
        <v>0</v>
      </c>
      <c r="WJ49" s="20" t="n">
        <v>0</v>
      </c>
      <c r="WK49" s="20" t="n">
        <v>0</v>
      </c>
      <c r="WL49" s="20" t="n">
        <v>0</v>
      </c>
      <c r="WM49" s="20" t="n">
        <v>0</v>
      </c>
      <c r="WN49" s="20" t="n">
        <v>0</v>
      </c>
      <c r="WO49" s="20" t="n">
        <v>0</v>
      </c>
      <c r="WP49" s="20" t="n">
        <v>0</v>
      </c>
      <c r="WQ49" s="20" t="n">
        <v>0</v>
      </c>
      <c r="WR49" s="20" t="n">
        <f aca="false">IF(AND(H_Direct=1,BR49&gt;0),MAX(0,H49-(MIN(BR49*TE49,(H49+I49))-MIN(MIN(BR49*TE49,(H49+I49)),I49))),H49)</f>
        <v>1270</v>
      </c>
      <c r="WS49" s="20" t="n">
        <f aca="false">IF(AND(H_Direct=1,BS49&gt;0),MAX(0,WR49-(MIN(BS49*TF49,(WR49+AAE49))-MIN(MIN(BS49*TF49,(WR49+AAE49)),AAE49))),WR49)</f>
        <v>1270</v>
      </c>
      <c r="WT49" s="20" t="n">
        <f aca="false">IF(AND(H_Direct=1,BT49&gt;0),MAX(0,WS49-(MIN(BT49*TG49,(WS49+AAF49))-MIN(MIN(BT49*TG49,(WS49+AAF49)),AAF49))),WS49)</f>
        <v>1270</v>
      </c>
      <c r="WU49" s="20" t="n">
        <f aca="false">IF(AND(H_Direct=1,BU49&gt;0),MAX(0,WT49-(MIN(BU49*TH49,(WT49+AAG49))-MIN(MIN(BU49*TH49,(WT49+AAG49)),AAG49))),WT49)</f>
        <v>1270</v>
      </c>
      <c r="WV49" s="20" t="n">
        <f aca="false">IF(AND(H_Direct=1,BV49&gt;0),MAX(0,WU49-(MIN(BV49*TI49,(WU49+AAH49))-MIN(MIN(BV49*TI49,(WU49+AAH49)),AAH49))),WU49)</f>
        <v>1270</v>
      </c>
      <c r="WW49" s="20" t="n">
        <f aca="false">IF(AND(H_Direct=1,BW49&gt;0),MAX(0,WV49-(MIN(BW49*TJ49,(WV49+AAI49))-MIN(MIN(BW49*TJ49,(WV49+AAI49)),AAI49))),WV49)</f>
        <v>1270</v>
      </c>
      <c r="WX49" s="20" t="n">
        <f aca="false">IF(AND(H_Direct=1,BX49&gt;0),MAX(0,WW49-(MIN(BX49*TK49,(WW49+AAJ49))-MIN(MIN(BX49*TK49,(WW49+AAJ49)),AAJ49))),WW49)</f>
        <v>1270</v>
      </c>
      <c r="WY49" s="20" t="n">
        <f aca="false">IF(AND(H_Direct=1,BY49&gt;0),MAX(0,WX49-(MIN(BY49*TL49,(WX49+AAK49))-MIN(MIN(BY49*TL49,(WX49+AAK49)),AAK49))),WX49)</f>
        <v>1270</v>
      </c>
      <c r="WZ49" s="20" t="n">
        <f aca="false">IF(AND(H_Direct=1,BZ49&gt;0),MAX(0,WY49-(MIN(BZ49*TM49,(WY49+AAL49))-MIN(MIN(BZ49*TM49,(WY49+AAL49)),AAL49))),WY49)</f>
        <v>1270</v>
      </c>
      <c r="XA49" s="20" t="n">
        <f aca="false">IF(AND(H_Direct=1,CA49&gt;0),MAX(0,WZ49-(MIN(CA49*TN49,(WZ49+AAM49))-MIN(MIN(CA49*TN49,(WZ49+AAM49)),AAM49))),WZ49)</f>
        <v>1270</v>
      </c>
      <c r="XB49" s="20" t="n">
        <f aca="false">IF(AND(H_Direct=1,CB49&gt;0),MAX(0,XA49-(MIN(CB49*TO49,(XA49+AAN49))-MIN(MIN(CB49*TO49,(XA49+AAN49)),AAN49))),XA49)</f>
        <v>1270</v>
      </c>
      <c r="XC49" s="20" t="n">
        <f aca="false">IF(AND(H_Direct=1,CC49&gt;0),MAX(0,XB49-(MIN(CC49*TP49,(XB49+AAO49))-MIN(MIN(CC49*TP49,(XB49+AAO49)),AAO49))),XB49)</f>
        <v>1270</v>
      </c>
      <c r="XD49" s="20" t="n">
        <f aca="false">IF(AND(H_Direct=1,CD49&gt;0),MAX(0,XC49-(MIN(CD49*TQ49,(XC49+AAP49))-MIN(MIN(CD49*TQ49,(XC49+AAP49)),AAP49))),XC49)</f>
        <v>1270</v>
      </c>
      <c r="XE49" s="20" t="n">
        <f aca="false">IF(AND(H_Direct=1,CE49&gt;0),MAX(0,XD49-(MIN(CE49*TR49,(XD49+AAQ49))-MIN(MIN(CE49*TR49,(XD49+AAQ49)),AAQ49))),XD49)</f>
        <v>1270</v>
      </c>
      <c r="XF49" s="20" t="n">
        <f aca="false">IF(AND(H_Direct=1,CF49&gt;0),MAX(0,XE49-(MIN(CF49*TS49,(XE49+AAR49))-MIN(MIN(CF49*TS49,(XE49+AAR49)),AAR49))),XE49)</f>
        <v>1270</v>
      </c>
      <c r="XG49" s="20" t="n">
        <f aca="false">IF(AND(H_Direct=1,CG49&gt;0),MAX(0,XF49-(MIN(CG49*TT49,(XF49+AAS49))-MIN(MIN(CG49*TT49,(XF49+AAS49)),AAS49))),XF49)</f>
        <v>1270</v>
      </c>
      <c r="XH49" s="20" t="n">
        <f aca="false">IF(AND(H_Direct=1,CH49&gt;0),MAX(0,XG49-(MIN(CH49*TU49,(XG49+AAT49))-MIN(MIN(CH49*TU49,(XG49+AAT49)),AAT49))),XG49)</f>
        <v>1270</v>
      </c>
      <c r="XI49" s="20" t="n">
        <f aca="false">IF(AND(H_Direct=1,CI49&gt;0),MAX(0,XH49-(MIN(CI49*TV49,(XH49+AAU49))-MIN(MIN(CI49*TV49,(XH49+AAU49)),AAU49))),XH49)</f>
        <v>1270</v>
      </c>
      <c r="XJ49" s="20" t="n">
        <f aca="false">IF(AND(H_Direct=1,CJ49&gt;0),MAX(0,XI49-(MIN(CJ49*TW49,(XI49+AAV49))-MIN(MIN(CJ49*TW49,(XI49+AAV49)),AAV49))),XI49)</f>
        <v>1270</v>
      </c>
      <c r="XK49" s="20" t="n">
        <f aca="false">IF(AND(H_Direct=1,CK49&gt;0),MAX(0,XJ49-(MIN(CK49*TX49,(XJ49+AAW49))-MIN(MIN(CK49*TX49,(XJ49+AAW49)),AAW49))),XJ49)</f>
        <v>1270</v>
      </c>
      <c r="XL49" s="20" t="n">
        <f aca="false">IF(AND(H_Direct=1,CL49&gt;0),MAX(0,XK49-(MIN(CL49*TY49,(XK49+AAX49))-MIN(MIN(CL49*TY49,(XK49+AAX49)),AAX49))),XK49)</f>
        <v>1270</v>
      </c>
      <c r="XM49" s="20" t="n">
        <f aca="false">IF(AND(H_Direct=1,CM49&gt;0),MAX(0,XL49-(MIN(CM49*TZ49,(XL49+AAY49))-MIN(MIN(CM49*TZ49,(XL49+AAY49)),AAY49))),XL49)</f>
        <v>1270</v>
      </c>
      <c r="XN49" s="20" t="n">
        <f aca="false">IF(AND(H_Direct=1,CN49&gt;0),MAX(0,XM49-(MIN(CN49*UA49,(XM49+AAZ49))-MIN(MIN(CN49*UA49,(XM49+AAZ49)),AAZ49))),XM49)</f>
        <v>1270</v>
      </c>
      <c r="XO49" s="20" t="n">
        <f aca="false">IF(AND(H_Direct=1,CO49&gt;0),MAX(0,XN49-(MIN(CO49*UB49,(XN49+ABA49))-MIN(MIN(CO49*UB49,(XN49+ABA49)),ABA49))),XN49)</f>
        <v>1270</v>
      </c>
      <c r="XP49" s="20" t="n">
        <f aca="false">IF(AND(H_Direct=1,CP49&gt;0),MAX(0,XO49-(MIN(CP49*UC49,(XO49+ABB49))-MIN(MIN(CP49*UC49,(XO49+ABB49)),ABB49))),XO49)</f>
        <v>1270</v>
      </c>
      <c r="XQ49" s="20" t="n">
        <f aca="false">IF(AND(H_Direct=1,CQ49&gt;0),MAX(0,XP49-(MIN(CQ49*UD49,(XP49+ABC49))-MIN(MIN(CQ49*UD49,(XP49+ABC49)),ABC49))),XP49)</f>
        <v>1270</v>
      </c>
      <c r="XR49" s="20" t="n">
        <f aca="false">IF(AND(H_Direct=1,CR49&gt;0),MAX(0,XQ49-(MIN(CR49*UE49,(XQ49+ABD49))-MIN(MIN(CR49*UE49,(XQ49+ABD49)),ABD49))),XQ49)</f>
        <v>1270</v>
      </c>
      <c r="XS49" s="20" t="n">
        <f aca="false">IF(AND(H_Direct=1,CS49&gt;0),MAX(0,XR49-(MIN(CS49*UF49,(XR49+ABE49))-MIN(MIN(CS49*UF49,(XR49+ABE49)),ABE49))),XR49)</f>
        <v>1270</v>
      </c>
      <c r="XT49" s="20" t="n">
        <f aca="false">IF(AND(H_Direct=1,CT49&gt;0),MAX(0,XS49-(MIN(CT49*UG49,(XS49+ABF49))-MIN(MIN(CT49*UG49,(XS49+ABF49)),ABF49))),XS49)</f>
        <v>1270</v>
      </c>
      <c r="XU49" s="20" t="n">
        <f aca="false">IF(AND(H_Direct=1,CU49&gt;0),MAX(0,XT49-(MIN(CU49*UH49,(XT49+ABG49))-MIN(MIN(CU49*UH49,(XT49+ABG49)),ABG49))),XT49)</f>
        <v>1270</v>
      </c>
      <c r="XV49" s="20" t="n">
        <f aca="false">IF(AND(H_Direct=1,CV49&gt;0),MAX(0,XU49-(MIN(CV49*UI49,(XU49+ABH49))-MIN(MIN(CV49*UI49,(XU49+ABH49)),ABH49))),XU49)</f>
        <v>1270</v>
      </c>
      <c r="XW49" s="20" t="n">
        <f aca="false">IF(AND(H_Direct=1,CW49&gt;0),MAX(0,XV49-(MIN(CW49*UJ49,(XV49+ABI49))-MIN(MIN(CW49*UJ49,(XV49+ABI49)),ABI49))),XV49)</f>
        <v>1270</v>
      </c>
      <c r="XX49" s="20" t="n">
        <f aca="false">IF(AND(H_Direct=1,CX49&gt;0),MAX(0,XW49-(MIN(CX49*UK49,(XW49+ABJ49))-MIN(MIN(CX49*UK49,(XW49+ABJ49)),ABJ49))),XW49)</f>
        <v>1270</v>
      </c>
      <c r="XY49" s="20" t="n">
        <f aca="false">IF(AND(H_Direct=1,CY49&gt;0),MAX(0,XX49-(MIN(CY49*UL49,(XX49+ABK49))-MIN(MIN(CY49*UL49,(XX49+ABK49)),ABK49))),XX49)</f>
        <v>1270</v>
      </c>
      <c r="XZ49" s="20" t="n">
        <f aca="false">IF(AND(H_Direct=1,CZ49&gt;0),MAX(0,XY49-(MIN(CZ49*UM49,(XY49+ABL49))-MIN(MIN(CZ49*UM49,(XY49+ABL49)),ABL49))),XY49)</f>
        <v>1270</v>
      </c>
      <c r="YA49" s="20" t="n">
        <f aca="false">IF(AND(H_Direct=1,DA49&gt;0),MAX(0,XZ49-(MIN(DA49*UN49,(XZ49+ABM49))-MIN(MIN(DA49*UN49,(XZ49+ABM49)),ABM49))),XZ49)</f>
        <v>1270</v>
      </c>
      <c r="YB49" s="20" t="n">
        <f aca="false">IF(AND(H_Direct=1,DB49&gt;0),MAX(0,YA49-(MIN(DB49*UO49,(YA49+ABN49))-MIN(MIN(DB49*UO49,(YA49+ABN49)),ABN49))),YA49)</f>
        <v>1270</v>
      </c>
      <c r="YC49" s="20" t="n">
        <f aca="false">IF(AND(H_Direct=1,DC49&gt;0),MAX(0,YB49-(MIN(DC49*UP49,(YB49+ABO49))-MIN(MIN(DC49*UP49,(YB49+ABO49)),ABO49))),YB49)</f>
        <v>1270</v>
      </c>
      <c r="YD49" s="20" t="n">
        <f aca="false">IF(AND(H_Direct=1,DD49&gt;0),MAX(0,YC49-(MIN(DD49*UQ49,(YC49+ABP49))-MIN(MIN(DD49*UQ49,(YC49+ABP49)),ABP49))),YC49)</f>
        <v>1270</v>
      </c>
      <c r="YE49" s="20" t="n">
        <f aca="false">IF(AND(H_Direct=1,DE49&gt;0),MAX(0,YD49-(MIN(DE49*UR49,(YD49+ABQ49))-MIN(MIN(DE49*UR49,(YD49+ABQ49)),ABQ49))),YD49)</f>
        <v>1270</v>
      </c>
      <c r="YF49" s="20" t="n">
        <f aca="false">IF(AND(H_Direct=1,DF49&gt;0),MAX(0,YE49-(MIN(DF49*US49,(YE49+ABR49))-MIN(MIN(DF49*US49,(YE49+ABR49)),ABR49))),YE49)</f>
        <v>1270</v>
      </c>
      <c r="YG49" s="20" t="n">
        <f aca="false">IF(AND(H_Direct=1,DG49&gt;0),MAX(0,YF49-(MIN(DG49*UT49,(YF49+ABS49))-MIN(MIN(DG49*UT49,(YF49+ABS49)),ABS49))),YF49)</f>
        <v>1270</v>
      </c>
      <c r="YH49" s="20" t="n">
        <f aca="false">IF(AND(H_Direct=1,DH49&gt;0),MAX(0,YG49-(MIN(DH49*UU49,(YG49+ABT49))-MIN(MIN(DH49*UU49,(YG49+ABT49)),ABT49))),YG49)</f>
        <v>1270</v>
      </c>
      <c r="YI49" s="20" t="n">
        <f aca="false">YH49</f>
        <v>1270</v>
      </c>
      <c r="YJ49" s="20" t="n">
        <f aca="false">YI49</f>
        <v>1270</v>
      </c>
      <c r="YK49" s="20" t="n">
        <f aca="false">YJ49</f>
        <v>1270</v>
      </c>
      <c r="YL49" s="20" t="n">
        <f aca="false">YK49</f>
        <v>1270</v>
      </c>
      <c r="YM49" s="20" t="n">
        <f aca="false">YL49</f>
        <v>1270</v>
      </c>
      <c r="YN49" s="20" t="n">
        <f aca="false">YM49</f>
        <v>1270</v>
      </c>
      <c r="YO49" s="20" t="n">
        <f aca="false">YN49</f>
        <v>1270</v>
      </c>
      <c r="YP49" s="20" t="n">
        <f aca="false">YO49</f>
        <v>1270</v>
      </c>
      <c r="YQ49" s="20" t="n">
        <f aca="false">YP49</f>
        <v>1270</v>
      </c>
      <c r="YR49" s="20" t="n">
        <f aca="false">YQ49</f>
        <v>1270</v>
      </c>
      <c r="YS49" s="20" t="n">
        <f aca="false">YR49</f>
        <v>1270</v>
      </c>
      <c r="YT49" s="20" t="n">
        <f aca="false">YS49</f>
        <v>1270</v>
      </c>
      <c r="YU49" s="20" t="n">
        <f aca="false">YT49</f>
        <v>1270</v>
      </c>
      <c r="YV49" s="20" t="n">
        <f aca="false">YU49</f>
        <v>1270</v>
      </c>
      <c r="YW49" s="20" t="n">
        <f aca="false">YV49</f>
        <v>1270</v>
      </c>
      <c r="YX49" s="20" t="n">
        <f aca="false">YW49</f>
        <v>1270</v>
      </c>
      <c r="YY49" s="20" t="n">
        <f aca="false">YX49</f>
        <v>1270</v>
      </c>
      <c r="YZ49" s="20" t="n">
        <f aca="false">YY49</f>
        <v>1270</v>
      </c>
      <c r="ZA49" s="20" t="n">
        <f aca="false">YZ49</f>
        <v>1270</v>
      </c>
      <c r="ZB49" s="20" t="n">
        <f aca="false">ZA49</f>
        <v>1270</v>
      </c>
      <c r="ZC49" s="20" t="n">
        <f aca="false">ZB49</f>
        <v>1270</v>
      </c>
      <c r="ZD49" s="20" t="n">
        <f aca="false">ZC49</f>
        <v>1270</v>
      </c>
      <c r="ZE49" s="20" t="n">
        <f aca="false">ZD49</f>
        <v>1270</v>
      </c>
      <c r="ZF49" s="20" t="n">
        <f aca="false">ZE49</f>
        <v>1270</v>
      </c>
      <c r="ZG49" s="20" t="n">
        <f aca="false">ZF49</f>
        <v>1270</v>
      </c>
      <c r="ZH49" s="20" t="n">
        <f aca="false">ZG49</f>
        <v>1270</v>
      </c>
      <c r="ZI49" s="20" t="n">
        <f aca="false">ZH49</f>
        <v>1270</v>
      </c>
      <c r="ZJ49" s="20" t="n">
        <f aca="false">ZI49</f>
        <v>1270</v>
      </c>
      <c r="ZK49" s="20" t="n">
        <f aca="false">ZJ49</f>
        <v>1270</v>
      </c>
      <c r="ZL49" s="20" t="n">
        <f aca="false">ZK49</f>
        <v>1270</v>
      </c>
      <c r="ZM49" s="20" t="n">
        <f aca="false">ZL49</f>
        <v>1270</v>
      </c>
      <c r="ZN49" s="20" t="n">
        <f aca="false">ZM49</f>
        <v>1270</v>
      </c>
      <c r="ZO49" s="20" t="n">
        <f aca="false">ZN49</f>
        <v>1270</v>
      </c>
      <c r="ZP49" s="20" t="n">
        <f aca="false">ZO49</f>
        <v>1270</v>
      </c>
      <c r="ZQ49" s="20" t="n">
        <f aca="false">ZP49</f>
        <v>1270</v>
      </c>
      <c r="ZR49" s="20" t="n">
        <f aca="false">ZQ49</f>
        <v>1270</v>
      </c>
      <c r="ZS49" s="20" t="n">
        <f aca="false">ZR49</f>
        <v>1270</v>
      </c>
      <c r="ZT49" s="20" t="n">
        <f aca="false">ZS49</f>
        <v>1270</v>
      </c>
      <c r="ZU49" s="20" t="n">
        <f aca="false">ZT49</f>
        <v>1270</v>
      </c>
      <c r="ZV49" s="20" t="n">
        <f aca="false">ZU49</f>
        <v>1270</v>
      </c>
      <c r="ZW49" s="20" t="n">
        <f aca="false">ZV49</f>
        <v>1270</v>
      </c>
      <c r="ZX49" s="20" t="n">
        <f aca="false">ZW49</f>
        <v>1270</v>
      </c>
      <c r="ZY49" s="20" t="n">
        <f aca="false">ZX49</f>
        <v>1270</v>
      </c>
      <c r="ZZ49" s="20" t="n">
        <f aca="false">ZY49</f>
        <v>1270</v>
      </c>
      <c r="AAA49" s="20" t="n">
        <f aca="false">ZZ49</f>
        <v>1270</v>
      </c>
      <c r="AAB49" s="20" t="n">
        <f aca="false">AAA49</f>
        <v>1270</v>
      </c>
      <c r="AAC49" s="20" t="n">
        <f aca="false">AAB49</f>
        <v>1270</v>
      </c>
      <c r="AAD49" s="20" t="n">
        <f aca="false">AAC49</f>
        <v>1270</v>
      </c>
      <c r="AAE49" s="20" t="n">
        <f aca="false">IF(H_Direct=1,IF(BR49&lt;=0,I49-BR49*TE49,I49-MIN(MIN(BR49*TE49,(H49+I49)),I49)),I49)</f>
        <v>0</v>
      </c>
      <c r="AAF49" s="20" t="n">
        <f aca="false">IF(H_Direct=1,IF(BS49&lt;=0,AAE49-BS49*TF49,AAE49-MIN(MIN(BS49*TF49,(WR49+AAE49)),AAE49)),AAE49)</f>
        <v>0</v>
      </c>
      <c r="AAG49" s="20" t="n">
        <f aca="false">IF(H_Direct=1,IF(BT49&lt;=0,AAF49-BT49*TG49,AAF49-MIN(MIN(BT49*TG49,(WS49+AAF49)),AAF49)),AAF49)</f>
        <v>0</v>
      </c>
      <c r="AAH49" s="20" t="n">
        <f aca="false">IF(H_Direct=1,IF(BU49&lt;=0,AAG49-BU49*TH49,AAG49-MIN(MIN(BU49*TH49,(WT49+AAG49)),AAG49)),AAG49)</f>
        <v>0</v>
      </c>
      <c r="AAI49" s="20" t="n">
        <f aca="false">IF(H_Direct=1,IF(BV49&lt;=0,AAH49-BV49*TI49,AAH49-MIN(MIN(BV49*TI49,(WU49+AAH49)),AAH49)),AAH49)</f>
        <v>0</v>
      </c>
      <c r="AAJ49" s="20" t="n">
        <f aca="false">IF(H_Direct=1,IF(BW49&lt;=0,AAI49-BW49*TJ49,AAI49-MIN(MIN(BW49*TJ49,(WV49+AAI49)),AAI49)),AAI49)</f>
        <v>0</v>
      </c>
      <c r="AAK49" s="20" t="n">
        <f aca="false">IF(H_Direct=1,IF(BX49&lt;=0,AAJ49-BX49*TK49,AAJ49-MIN(MIN(BX49*TK49,(WW49+AAJ49)),AAJ49)),AAJ49)</f>
        <v>0</v>
      </c>
      <c r="AAL49" s="20" t="n">
        <f aca="false">IF(H_Direct=1,IF(BY49&lt;=0,AAK49-BY49*TL49,AAK49-MIN(MIN(BY49*TL49,(WX49+AAK49)),AAK49)),AAK49)</f>
        <v>0</v>
      </c>
      <c r="AAM49" s="20" t="n">
        <f aca="false">IF(H_Direct=1,IF(BZ49&lt;=0,AAL49-BZ49*TM49,AAL49-MIN(MIN(BZ49*TM49,(WY49+AAL49)),AAL49)),AAL49)</f>
        <v>0</v>
      </c>
      <c r="AAN49" s="20" t="n">
        <f aca="false">IF(H_Direct=1,IF(CA49&lt;=0,AAM49-CA49*TN49,AAM49-MIN(MIN(CA49*TN49,(WZ49+AAM49)),AAM49)),AAM49)</f>
        <v>0</v>
      </c>
      <c r="AAO49" s="20" t="n">
        <f aca="false">IF(H_Direct=1,IF(CB49&lt;=0,AAN49-CB49*TO49,AAN49-MIN(MIN(CB49*TO49,(XA49+AAN49)),AAN49)),AAN49)</f>
        <v>0</v>
      </c>
      <c r="AAP49" s="20" t="n">
        <f aca="false">IF(H_Direct=1,IF(CC49&lt;=0,AAO49-CC49*TP49,AAO49-MIN(MIN(CC49*TP49,(XB49+AAO49)),AAO49)),AAO49)</f>
        <v>0</v>
      </c>
      <c r="AAQ49" s="20" t="n">
        <f aca="false">IF(H_Direct=1,IF(CD49&lt;=0,AAP49-CD49*TQ49,AAP49-MIN(MIN(CD49*TQ49,(XC49+AAP49)),AAP49)),AAP49)</f>
        <v>0</v>
      </c>
      <c r="AAR49" s="20" t="n">
        <f aca="false">IF(H_Direct=1,IF(CE49&lt;=0,AAQ49-CE49*TR49,AAQ49-MIN(MIN(CE49*TR49,(XD49+AAQ49)),AAQ49)),AAQ49)</f>
        <v>0</v>
      </c>
      <c r="AAS49" s="20" t="n">
        <f aca="false">IF(H_Direct=1,IF(CF49&lt;=0,AAR49-CF49*TS49,AAR49-MIN(MIN(CF49*TS49,(XE49+AAR49)),AAR49)),AAR49)</f>
        <v>0</v>
      </c>
      <c r="AAT49" s="20" t="n">
        <f aca="false">IF(H_Direct=1,IF(CG49&lt;=0,AAS49-CG49*TT49,AAS49-MIN(MIN(CG49*TT49,(XF49+AAS49)),AAS49)),AAS49)</f>
        <v>0</v>
      </c>
      <c r="AAU49" s="20" t="n">
        <f aca="false">IF(H_Direct=1,IF(CH49&lt;=0,AAT49-CH49*TU49,AAT49-MIN(MIN(CH49*TU49,(XG49+AAT49)),AAT49)),AAT49)</f>
        <v>0</v>
      </c>
      <c r="AAV49" s="20" t="n">
        <f aca="false">IF(H_Direct=1,IF(CI49&lt;=0,AAU49-CI49*TV49,AAU49-MIN(MIN(CI49*TV49,(XH49+AAU49)),AAU49)),AAU49)</f>
        <v>0</v>
      </c>
      <c r="AAW49" s="20" t="n">
        <f aca="false">IF(H_Direct=1,IF(CJ49&lt;=0,AAV49-CJ49*TW49,AAV49-MIN(MIN(CJ49*TW49,(XI49+AAV49)),AAV49)),AAV49)</f>
        <v>0</v>
      </c>
      <c r="AAX49" s="20" t="n">
        <f aca="false">IF(H_Direct=1,IF(CK49&lt;=0,AAW49-CK49*TX49,AAW49-MIN(MIN(CK49*TX49,(XJ49+AAW49)),AAW49)),AAW49)</f>
        <v>0</v>
      </c>
      <c r="AAY49" s="20" t="n">
        <f aca="false">IF(H_Direct=1,IF(CL49&lt;=0,AAX49-CL49*TY49,AAX49-MIN(MIN(CL49*TY49,(XK49+AAX49)),AAX49)),AAX49)</f>
        <v>0</v>
      </c>
      <c r="AAZ49" s="20" t="n">
        <f aca="false">IF(H_Direct=1,IF(CM49&lt;=0,AAY49-CM49*TZ49,AAY49-MIN(MIN(CM49*TZ49,(XL49+AAY49)),AAY49)),AAY49)</f>
        <v>0</v>
      </c>
      <c r="ABA49" s="20" t="n">
        <f aca="false">IF(H_Direct=1,IF(CN49&lt;=0,AAZ49-CN49*UA49,AAZ49-MIN(MIN(CN49*UA49,(XM49+AAZ49)),AAZ49)),AAZ49)</f>
        <v>0</v>
      </c>
      <c r="ABB49" s="20" t="n">
        <f aca="false">IF(H_Direct=1,IF(CO49&lt;=0,ABA49-CO49*UB49,ABA49-MIN(MIN(CO49*UB49,(XN49+ABA49)),ABA49)),ABA49)</f>
        <v>0</v>
      </c>
      <c r="ABC49" s="20" t="n">
        <f aca="false">IF(H_Direct=1,IF(CP49&lt;=0,ABB49-CP49*UC49,ABB49-MIN(MIN(CP49*UC49,(XO49+ABB49)),ABB49)),ABB49)</f>
        <v>0</v>
      </c>
      <c r="ABD49" s="20" t="n">
        <f aca="false">IF(H_Direct=1,IF(CQ49&lt;=0,ABC49-CQ49*UD49,ABC49-MIN(MIN(CQ49*UD49,(XP49+ABC49)),ABC49)),ABC49)</f>
        <v>0</v>
      </c>
      <c r="ABE49" s="20" t="n">
        <f aca="false">IF(H_Direct=1,IF(CR49&lt;=0,ABD49-CR49*UE49,ABD49-MIN(MIN(CR49*UE49,(XQ49+ABD49)),ABD49)),ABD49)</f>
        <v>0</v>
      </c>
      <c r="ABF49" s="20" t="n">
        <f aca="false">IF(H_Direct=1,IF(CS49&lt;=0,ABE49-CS49*UF49,ABE49-MIN(MIN(CS49*UF49,(XR49+ABE49)),ABE49)),ABE49)</f>
        <v>0</v>
      </c>
      <c r="ABG49" s="20" t="n">
        <f aca="false">IF(H_Direct=1,IF(CT49&lt;=0,ABF49-CT49*UG49,ABF49-MIN(MIN(CT49*UG49,(XS49+ABF49)),ABF49)),ABF49)</f>
        <v>0</v>
      </c>
      <c r="ABH49" s="20" t="n">
        <f aca="false">IF(H_Direct=1,IF(CU49&lt;=0,ABG49-CU49*UH49,ABG49-MIN(MIN(CU49*UH49,(XT49+ABG49)),ABG49)),ABG49)</f>
        <v>0</v>
      </c>
      <c r="ABI49" s="20" t="n">
        <f aca="false">IF(H_Direct=1,IF(CV49&lt;=0,ABH49-CV49*UI49,ABH49-MIN(MIN(CV49*UI49,(XU49+ABH49)),ABH49)),ABH49)</f>
        <v>0</v>
      </c>
      <c r="ABJ49" s="20" t="n">
        <f aca="false">IF(H_Direct=1,IF(CW49&lt;=0,ABI49-CW49*UJ49,ABI49-MIN(MIN(CW49*UJ49,(XV49+ABI49)),ABI49)),ABI49)</f>
        <v>0</v>
      </c>
      <c r="ABK49" s="20" t="n">
        <f aca="false">IF(H_Direct=1,IF(CX49&lt;=0,ABJ49-CX49*UK49,ABJ49-MIN(MIN(CX49*UK49,(XW49+ABJ49)),ABJ49)),ABJ49)</f>
        <v>0</v>
      </c>
      <c r="ABL49" s="20" t="n">
        <f aca="false">IF(H_Direct=1,IF(CY49&lt;=0,ABK49-CY49*UL49,ABK49-MIN(MIN(CY49*UL49,(XX49+ABK49)),ABK49)),ABK49)</f>
        <v>0</v>
      </c>
      <c r="ABM49" s="20" t="n">
        <f aca="false">IF(H_Direct=1,IF(CZ49&lt;=0,ABL49-CZ49*UM49,ABL49-MIN(MIN(CZ49*UM49,(XY49+ABL49)),ABL49)),ABL49)</f>
        <v>0</v>
      </c>
      <c r="ABN49" s="20" t="n">
        <f aca="false">IF(H_Direct=1,IF(DA49&lt;=0,ABM49-DA49*UN49,ABM49-MIN(MIN(DA49*UN49,(XZ49+ABM49)),ABM49)),ABM49)</f>
        <v>0</v>
      </c>
      <c r="ABO49" s="20" t="n">
        <f aca="false">IF(H_Direct=1,IF(DB49&lt;=0,ABN49-DB49*UO49,ABN49-MIN(MIN(DB49*UO49,(YA49+ABN49)),ABN49)),ABN49)</f>
        <v>0</v>
      </c>
      <c r="ABP49" s="20" t="n">
        <f aca="false">IF(H_Direct=1,IF(DC49&lt;=0,ABO49-DC49*UP49,ABO49-MIN(MIN(DC49*UP49,(YB49+ABO49)),ABO49)),ABO49)</f>
        <v>0</v>
      </c>
      <c r="ABQ49" s="20" t="n">
        <f aca="false">IF(H_Direct=1,IF(DD49&lt;=0,ABP49-DD49*UQ49,ABP49-MIN(MIN(DD49*UQ49,(YC49+ABP49)),ABP49)),ABP49)</f>
        <v>0</v>
      </c>
      <c r="ABR49" s="20" t="n">
        <f aca="false">IF(H_Direct=1,IF(DE49&lt;=0,ABQ49-DE49*UR49,ABQ49-MIN(MIN(DE49*UR49,(YD49+ABQ49)),ABQ49)),ABQ49)</f>
        <v>0</v>
      </c>
      <c r="ABS49" s="20" t="n">
        <f aca="false">IF(H_Direct=1,IF(DF49&lt;=0,ABR49-DF49*US49,ABR49-MIN(MIN(DF49*US49,(YE49+ABR49)),ABR49)),ABR49)</f>
        <v>0</v>
      </c>
      <c r="ABT49" s="20" t="n">
        <f aca="false">IF(H_Direct=1,IF(DG49&lt;=0,ABS49-DG49*UT49,ABS49-MIN(MIN(DG49*UT49,(YF49+ABS49)),ABS49)),ABS49)</f>
        <v>0</v>
      </c>
      <c r="ABU49" s="20" t="n">
        <f aca="false">IF(H_Direct=1,IF(DH49&lt;=0,ABT49-DH49*UU49,ABT49-MIN(MIN(DH49*UU49,(YG49+ABT49)),ABT49)),ABT49)</f>
        <v>0</v>
      </c>
      <c r="ABV49" s="20" t="n">
        <f aca="false">ABU49</f>
        <v>0</v>
      </c>
      <c r="ABW49" s="20" t="n">
        <f aca="false">ABV49</f>
        <v>0</v>
      </c>
      <c r="ABX49" s="20" t="n">
        <f aca="false">ABW49</f>
        <v>0</v>
      </c>
      <c r="ABY49" s="20" t="n">
        <f aca="false">ABX49</f>
        <v>0</v>
      </c>
      <c r="ABZ49" s="20" t="n">
        <f aca="false">ABY49</f>
        <v>0</v>
      </c>
      <c r="ACA49" s="20" t="n">
        <f aca="false">ABZ49</f>
        <v>0</v>
      </c>
      <c r="ACB49" s="20" t="n">
        <f aca="false">ACA49</f>
        <v>0</v>
      </c>
      <c r="ACC49" s="20" t="n">
        <f aca="false">ACB49</f>
        <v>0</v>
      </c>
      <c r="ACD49" s="20" t="n">
        <f aca="false">ACC49</f>
        <v>0</v>
      </c>
      <c r="ACE49" s="20" t="n">
        <f aca="false">ACD49</f>
        <v>0</v>
      </c>
      <c r="ACF49" s="20" t="n">
        <f aca="false">ACE49</f>
        <v>0</v>
      </c>
      <c r="ACG49" s="20" t="n">
        <f aca="false">ACF49</f>
        <v>0</v>
      </c>
      <c r="ACH49" s="20" t="n">
        <f aca="false">ACG49</f>
        <v>0</v>
      </c>
      <c r="ACI49" s="20" t="n">
        <f aca="false">ACH49</f>
        <v>0</v>
      </c>
      <c r="ACJ49" s="20" t="n">
        <f aca="false">ACI49</f>
        <v>0</v>
      </c>
      <c r="ACK49" s="20" t="n">
        <f aca="false">ACJ49</f>
        <v>0</v>
      </c>
      <c r="ACL49" s="20" t="n">
        <f aca="false">ACK49</f>
        <v>0</v>
      </c>
      <c r="ACM49" s="20" t="n">
        <f aca="false">ACL49</f>
        <v>0</v>
      </c>
      <c r="ACN49" s="20" t="n">
        <f aca="false">ACM49</f>
        <v>0</v>
      </c>
      <c r="ACO49" s="20" t="n">
        <f aca="false">ACN49</f>
        <v>0</v>
      </c>
      <c r="ACP49" s="20" t="n">
        <f aca="false">ACO49</f>
        <v>0</v>
      </c>
      <c r="ACQ49" s="20" t="n">
        <f aca="false">ACP49</f>
        <v>0</v>
      </c>
      <c r="ACR49" s="20" t="n">
        <f aca="false">ACQ49</f>
        <v>0</v>
      </c>
      <c r="ACS49" s="20" t="n">
        <f aca="false">ACR49</f>
        <v>0</v>
      </c>
      <c r="ACT49" s="20" t="n">
        <f aca="false">ACS49</f>
        <v>0</v>
      </c>
      <c r="ACU49" s="20" t="n">
        <f aca="false">ACT49</f>
        <v>0</v>
      </c>
      <c r="ACV49" s="20" t="n">
        <f aca="false">ACU49</f>
        <v>0</v>
      </c>
      <c r="ACW49" s="20" t="n">
        <f aca="false">ACV49</f>
        <v>0</v>
      </c>
      <c r="ACX49" s="20" t="n">
        <f aca="false">ACW49</f>
        <v>0</v>
      </c>
      <c r="ACY49" s="20" t="n">
        <f aca="false">ACX49</f>
        <v>0</v>
      </c>
      <c r="ACZ49" s="20" t="n">
        <f aca="false">ACY49</f>
        <v>0</v>
      </c>
      <c r="ADA49" s="20" t="n">
        <f aca="false">ACZ49</f>
        <v>0</v>
      </c>
      <c r="ADB49" s="20" t="n">
        <f aca="false">ADA49</f>
        <v>0</v>
      </c>
      <c r="ADC49" s="20" t="n">
        <f aca="false">ADB49</f>
        <v>0</v>
      </c>
      <c r="ADD49" s="20" t="n">
        <f aca="false">ADC49</f>
        <v>0</v>
      </c>
      <c r="ADE49" s="20" t="n">
        <f aca="false">ADD49</f>
        <v>0</v>
      </c>
      <c r="ADF49" s="20" t="n">
        <f aca="false">ADE49</f>
        <v>0</v>
      </c>
      <c r="ADG49" s="20" t="n">
        <f aca="false">ADF49</f>
        <v>0</v>
      </c>
      <c r="ADH49" s="20" t="n">
        <f aca="false">ADG49</f>
        <v>0</v>
      </c>
      <c r="ADI49" s="20" t="n">
        <f aca="false">ADH49</f>
        <v>0</v>
      </c>
      <c r="ADJ49" s="20" t="n">
        <f aca="false">ADI49</f>
        <v>0</v>
      </c>
      <c r="ADK49" s="20" t="n">
        <f aca="false">ADJ49</f>
        <v>0</v>
      </c>
      <c r="ADL49" s="20" t="n">
        <f aca="false">ADK49</f>
        <v>0</v>
      </c>
      <c r="ADM49" s="20" t="n">
        <f aca="false">ADL49</f>
        <v>0</v>
      </c>
      <c r="ADN49" s="20" t="n">
        <f aca="false">ADM49</f>
        <v>0</v>
      </c>
      <c r="ADO49" s="20" t="n">
        <f aca="false">ADN49</f>
        <v>0</v>
      </c>
      <c r="ADP49" s="20" t="n">
        <f aca="false">ADO49</f>
        <v>0</v>
      </c>
      <c r="ADQ49" s="20" t="n">
        <f aca="false">ADP49</f>
        <v>0</v>
      </c>
      <c r="ADR49" s="20" t="n">
        <f aca="false">(AKR48-TE49+0)*(1+BQ49)</f>
        <v>0</v>
      </c>
      <c r="ADS49" s="20" t="n">
        <f aca="false">(AKS48-TF49+0)*(1+BQ49)</f>
        <v>0</v>
      </c>
      <c r="ADT49" s="20" t="n">
        <f aca="false">(AKT48-TG49+0)*(1+BQ49)</f>
        <v>0</v>
      </c>
      <c r="ADU49" s="20" t="n">
        <f aca="false">(AKU48-TH49+0)*(1+BQ49)</f>
        <v>0</v>
      </c>
      <c r="ADV49" s="20" t="n">
        <f aca="false">(AKV48-TI49+0)*(1+BQ49)</f>
        <v>0</v>
      </c>
      <c r="ADW49" s="20" t="n">
        <f aca="false">(AKW48-TJ49+0)*(1+BQ49)</f>
        <v>0</v>
      </c>
      <c r="ADX49" s="20" t="n">
        <f aca="false">(AKX48-TK49+0)*(1+BQ49)</f>
        <v>0</v>
      </c>
      <c r="ADY49" s="20" t="n">
        <f aca="false">(AKY48-TL49+0)*(1+BQ49)</f>
        <v>0</v>
      </c>
      <c r="ADZ49" s="20" t="n">
        <f aca="false">(AKZ48-TM49+0)*(1+BQ49)</f>
        <v>0</v>
      </c>
      <c r="AEA49" s="20" t="n">
        <f aca="false">(ALA48-TN49+0)*(1+BQ49)</f>
        <v>0</v>
      </c>
      <c r="AEB49" s="20" t="n">
        <f aca="false">(ALB48-TO49+0)*(1+BQ49)</f>
        <v>0</v>
      </c>
      <c r="AEC49" s="20" t="n">
        <f aca="false">(ALC48-TP49+0)*(1+BQ49)</f>
        <v>0</v>
      </c>
      <c r="AED49" s="20" t="n">
        <f aca="false">(ALD48-TQ49+0)*(1+BQ49)</f>
        <v>0</v>
      </c>
      <c r="AEE49" s="20" t="n">
        <f aca="false">(ALE48-TR49+0)*(1+BQ49)</f>
        <v>0</v>
      </c>
      <c r="AEF49" s="20" t="n">
        <f aca="false">(ALF48-TS49+0)*(1+BQ49)</f>
        <v>0</v>
      </c>
      <c r="AEG49" s="20" t="n">
        <f aca="false">(ALG48-TT49+0)*(1+BQ49)</f>
        <v>0</v>
      </c>
      <c r="AEH49" s="20" t="n">
        <f aca="false">(ALH48-TU49+0)*(1+BQ49)</f>
        <v>0</v>
      </c>
      <c r="AEI49" s="20" t="n">
        <f aca="false">(ALI48-TV49+0)*(1+BQ49)</f>
        <v>0</v>
      </c>
      <c r="AEJ49" s="20" t="n">
        <f aca="false">(ALJ48-TW49+0)*(1+BQ49)</f>
        <v>0</v>
      </c>
      <c r="AEK49" s="20" t="n">
        <f aca="false">(ALK48-TX49+0)*(1+BQ49)</f>
        <v>0</v>
      </c>
      <c r="AEL49" s="20" t="n">
        <f aca="false">(ALL48-TY49+0)*(1+BQ49)</f>
        <v>0</v>
      </c>
      <c r="AEM49" s="20" t="n">
        <f aca="false">(ALM48-TZ49+0)*(1+BQ49)</f>
        <v>0</v>
      </c>
      <c r="AEN49" s="20" t="n">
        <f aca="false">(ALN48-UA49+0)*(1+BQ49)</f>
        <v>0</v>
      </c>
      <c r="AEO49" s="20" t="n">
        <f aca="false">(ALO48-UB49+0)*(1+BQ49)</f>
        <v>0</v>
      </c>
      <c r="AEP49" s="20" t="n">
        <f aca="false">(ALP48-UC49+0)*(1+BQ49)</f>
        <v>0</v>
      </c>
      <c r="AEQ49" s="20" t="n">
        <f aca="false">(ALQ48-UD49+0)*(1+BQ49)</f>
        <v>0</v>
      </c>
      <c r="AER49" s="20" t="n">
        <f aca="false">(ALR48-UE49+0)*(1+BQ49)</f>
        <v>0</v>
      </c>
      <c r="AES49" s="20" t="n">
        <f aca="false">(ALS48-UF49+0)*(1+BQ49)</f>
        <v>0</v>
      </c>
      <c r="AET49" s="20" t="n">
        <f aca="false">(ALT48-UG49+0)*(1+BQ49)</f>
        <v>0</v>
      </c>
      <c r="AEU49" s="20" t="n">
        <f aca="false">(ALU48-UH49+0)*(1+BQ49)</f>
        <v>0</v>
      </c>
      <c r="AEV49" s="20" t="n">
        <f aca="false">(ALV48-UI49+0)*(1+BQ49)</f>
        <v>0</v>
      </c>
      <c r="AEW49" s="20" t="n">
        <f aca="false">(ALW48-UJ49+0)*(1+BQ49)</f>
        <v>0</v>
      </c>
      <c r="AEX49" s="20" t="n">
        <f aca="false">(ALX48-UK49+0)*(1+BQ49)</f>
        <v>0</v>
      </c>
      <c r="AEY49" s="20" t="n">
        <f aca="false">(ALY48-UL49+0)*(1+BQ49)</f>
        <v>0</v>
      </c>
      <c r="AEZ49" s="20" t="n">
        <f aca="false">(ALZ48-UM49+0)*(1+BQ49)</f>
        <v>0</v>
      </c>
      <c r="AFA49" s="20" t="n">
        <f aca="false">(AMA48-UN49+0)*(1+BQ49)</f>
        <v>0</v>
      </c>
      <c r="AFB49" s="20" t="n">
        <f aca="false">(AMB48-UO49+0)*(1+BQ49)</f>
        <v>0</v>
      </c>
      <c r="AFC49" s="20" t="n">
        <f aca="false">(AMC48-UP49+0)*(1+BQ49)</f>
        <v>0</v>
      </c>
      <c r="AFD49" s="20" t="n">
        <f aca="false">(AMD48-UQ49+0)*(1+BQ49)</f>
        <v>0</v>
      </c>
      <c r="AFE49" s="20" t="n">
        <f aca="false">(AME48-UR49+0)*(1+BQ49)</f>
        <v>0</v>
      </c>
      <c r="AFF49" s="20" t="n">
        <f aca="false">(AMF48-US49+0)*(1+BQ49)</f>
        <v>0</v>
      </c>
      <c r="AFG49" s="20" t="n">
        <f aca="false">(AMG48-UT49+0)*(1+BQ49)</f>
        <v>0</v>
      </c>
      <c r="AFH49" s="20" t="n">
        <f aca="false">((P49+S49)-UU49+BE49)*(1+BQ49)</f>
        <v>0</v>
      </c>
      <c r="AFI49" s="20" t="n">
        <v>0</v>
      </c>
      <c r="AFJ49" s="20" t="n">
        <v>0</v>
      </c>
      <c r="AFK49" s="20" t="n">
        <v>0</v>
      </c>
      <c r="AFL49" s="20" t="n">
        <v>0</v>
      </c>
      <c r="AFM49" s="20" t="n">
        <v>0</v>
      </c>
      <c r="AFN49" s="20" t="n">
        <v>0</v>
      </c>
      <c r="AFO49" s="20" t="n">
        <v>0</v>
      </c>
      <c r="AFP49" s="20" t="n">
        <v>0</v>
      </c>
      <c r="AFQ49" s="20" t="n">
        <v>0</v>
      </c>
      <c r="AFR49" s="20" t="n">
        <v>0</v>
      </c>
      <c r="AFS49" s="20" t="n">
        <v>0</v>
      </c>
      <c r="AFT49" s="20" t="n">
        <v>0</v>
      </c>
      <c r="AFU49" s="20" t="n">
        <v>0</v>
      </c>
      <c r="AFV49" s="20" t="n">
        <v>0</v>
      </c>
      <c r="AFW49" s="20" t="n">
        <v>0</v>
      </c>
      <c r="AFX49" s="20" t="n">
        <v>0</v>
      </c>
      <c r="AFY49" s="20" t="n">
        <v>0</v>
      </c>
      <c r="AFZ49" s="20" t="n">
        <v>0</v>
      </c>
      <c r="AGA49" s="20" t="n">
        <v>0</v>
      </c>
      <c r="AGB49" s="20" t="n">
        <v>0</v>
      </c>
      <c r="AGC49" s="20" t="n">
        <v>0</v>
      </c>
      <c r="AGD49" s="20" t="n">
        <v>0</v>
      </c>
      <c r="AGE49" s="20" t="n">
        <v>0</v>
      </c>
      <c r="AGF49" s="20" t="n">
        <v>0</v>
      </c>
      <c r="AGG49" s="20" t="n">
        <v>0</v>
      </c>
      <c r="AGH49" s="20" t="n">
        <v>0</v>
      </c>
      <c r="AGI49" s="20" t="n">
        <v>0</v>
      </c>
      <c r="AGJ49" s="20" t="n">
        <v>0</v>
      </c>
      <c r="AGK49" s="20" t="n">
        <v>0</v>
      </c>
      <c r="AGL49" s="20" t="n">
        <v>0</v>
      </c>
      <c r="AGM49" s="20" t="n">
        <v>0</v>
      </c>
      <c r="AGN49" s="20" t="n">
        <v>0</v>
      </c>
      <c r="AGO49" s="20" t="n">
        <v>0</v>
      </c>
      <c r="AGP49" s="20" t="n">
        <v>0</v>
      </c>
      <c r="AGQ49" s="20" t="n">
        <v>0</v>
      </c>
      <c r="AGR49" s="20" t="n">
        <v>0</v>
      </c>
      <c r="AGS49" s="20" t="n">
        <v>0</v>
      </c>
      <c r="AGT49" s="20" t="n">
        <v>0</v>
      </c>
      <c r="AGU49" s="20" t="n">
        <v>0</v>
      </c>
      <c r="AGV49" s="20" t="n">
        <v>0</v>
      </c>
      <c r="AGW49" s="20" t="n">
        <v>0</v>
      </c>
      <c r="AGX49" s="20" t="n">
        <v>0</v>
      </c>
      <c r="AGY49" s="20" t="n">
        <v>0</v>
      </c>
      <c r="AGZ49" s="20" t="n">
        <v>0</v>
      </c>
      <c r="AHA49" s="20" t="n">
        <v>0</v>
      </c>
      <c r="AHB49" s="20" t="n">
        <v>0</v>
      </c>
      <c r="AHC49" s="20" t="n">
        <v>0</v>
      </c>
      <c r="AHD49" s="20" t="n">
        <v>0</v>
      </c>
      <c r="AHE49" s="20" t="n">
        <f aca="false">IF(AKR48&gt;0,AOE48-AOE48*TE49/AKR48,0)+0</f>
        <v>0</v>
      </c>
      <c r="AHF49" s="20" t="n">
        <f aca="false">IF(AKS48&gt;0,AOF48-AOF48*TF49/AKS48,0)+0</f>
        <v>0</v>
      </c>
      <c r="AHG49" s="20" t="n">
        <f aca="false">IF(AKT48&gt;0,AOG48-AOG48*TG49/AKT48,0)+0</f>
        <v>0</v>
      </c>
      <c r="AHH49" s="20" t="n">
        <f aca="false">IF(AKU48&gt;0,AOH48-AOH48*TH49/AKU48,0)+0</f>
        <v>0</v>
      </c>
      <c r="AHI49" s="20" t="n">
        <f aca="false">IF(AKV48&gt;0,AOI48-AOI48*TI49/AKV48,0)+0</f>
        <v>0</v>
      </c>
      <c r="AHJ49" s="20" t="n">
        <f aca="false">IF(AKW48&gt;0,AOJ48-AOJ48*TJ49/AKW48,0)+0</f>
        <v>0</v>
      </c>
      <c r="AHK49" s="20" t="n">
        <f aca="false">IF(AKX48&gt;0,AOK48-AOK48*TK49/AKX48,0)+0</f>
        <v>0</v>
      </c>
      <c r="AHL49" s="20" t="n">
        <f aca="false">IF(AKY48&gt;0,AOL48-AOL48*TL49/AKY48,0)+0</f>
        <v>0</v>
      </c>
      <c r="AHM49" s="20" t="n">
        <f aca="false">IF(AKZ48&gt;0,AOM48-AOM48*TM49/AKZ48,0)+0</f>
        <v>0</v>
      </c>
      <c r="AHN49" s="20" t="n">
        <f aca="false">IF(ALA48&gt;0,AON48-AON48*TN49/ALA48,0)+0</f>
        <v>0</v>
      </c>
      <c r="AHO49" s="20" t="n">
        <f aca="false">IF(ALB48&gt;0,AOO48-AOO48*TO49/ALB48,0)+0</f>
        <v>0</v>
      </c>
      <c r="AHP49" s="20" t="n">
        <f aca="false">IF(ALC48&gt;0,AOP48-AOP48*TP49/ALC48,0)+0</f>
        <v>0</v>
      </c>
      <c r="AHQ49" s="20" t="n">
        <f aca="false">IF(ALD48&gt;0,AOQ48-AOQ48*TQ49/ALD48,0)+0</f>
        <v>0</v>
      </c>
      <c r="AHR49" s="20" t="n">
        <f aca="false">IF(ALE48&gt;0,AOR48-AOR48*TR49/ALE48,0)+0</f>
        <v>0</v>
      </c>
      <c r="AHS49" s="20" t="n">
        <f aca="false">IF(ALF48&gt;0,AOS48-AOS48*TS49/ALF48,0)+0</f>
        <v>0</v>
      </c>
      <c r="AHT49" s="20" t="n">
        <f aca="false">IF(ALG48&gt;0,AOT48-AOT48*TT49/ALG48,0)+0</f>
        <v>0</v>
      </c>
      <c r="AHU49" s="20" t="n">
        <f aca="false">IF(ALH48&gt;0,AOU48-AOU48*TU49/ALH48,0)+0</f>
        <v>0</v>
      </c>
      <c r="AHV49" s="20" t="n">
        <f aca="false">IF(ALI48&gt;0,AOV48-AOV48*TV49/ALI48,0)+0</f>
        <v>0</v>
      </c>
      <c r="AHW49" s="20" t="n">
        <f aca="false">IF(ALJ48&gt;0,AOW48-AOW48*TW49/ALJ48,0)+0</f>
        <v>0</v>
      </c>
      <c r="AHX49" s="20" t="n">
        <f aca="false">IF(ALK48&gt;0,AOX48-AOX48*TX49/ALK48,0)+0</f>
        <v>0</v>
      </c>
      <c r="AHY49" s="20" t="n">
        <f aca="false">IF(ALL48&gt;0,AOY48-AOY48*TY49/ALL48,0)+0</f>
        <v>0</v>
      </c>
      <c r="AHZ49" s="20" t="n">
        <f aca="false">IF(ALM48&gt;0,AOZ48-AOZ48*TZ49/ALM48,0)+0</f>
        <v>0</v>
      </c>
      <c r="AIA49" s="20" t="n">
        <f aca="false">IF(ALN48&gt;0,APA48-APA48*UA49/ALN48,0)+0</f>
        <v>0</v>
      </c>
      <c r="AIB49" s="20" t="n">
        <f aca="false">IF(ALO48&gt;0,APB48-APB48*UB49/ALO48,0)+0</f>
        <v>0</v>
      </c>
      <c r="AIC49" s="20" t="n">
        <f aca="false">IF(ALP48&gt;0,APC48-APC48*UC49/ALP48,0)+0</f>
        <v>0</v>
      </c>
      <c r="AID49" s="20" t="n">
        <f aca="false">IF(ALQ48&gt;0,APD48-APD48*UD49/ALQ48,0)+0</f>
        <v>0</v>
      </c>
      <c r="AIE49" s="20" t="n">
        <f aca="false">IF(ALR48&gt;0,APE48-APE48*UE49/ALR48,0)+0</f>
        <v>0</v>
      </c>
      <c r="AIF49" s="20" t="n">
        <f aca="false">IF(ALS48&gt;0,APF48-APF48*UF49/ALS48,0)+0</f>
        <v>0</v>
      </c>
      <c r="AIG49" s="20" t="n">
        <f aca="false">IF(ALT48&gt;0,APG48-APG48*UG49/ALT48,0)+0</f>
        <v>0</v>
      </c>
      <c r="AIH49" s="20" t="n">
        <f aca="false">IF(ALU48&gt;0,APH48-APH48*UH49/ALU48,0)+0</f>
        <v>0</v>
      </c>
      <c r="AII49" s="20" t="n">
        <f aca="false">IF(ALV48&gt;0,API48-API48*UI49/ALV48,0)+0</f>
        <v>0</v>
      </c>
      <c r="AIJ49" s="20" t="n">
        <f aca="false">IF(ALW48&gt;0,APJ48-APJ48*UJ49/ALW48,0)+0</f>
        <v>0</v>
      </c>
      <c r="AIK49" s="20" t="n">
        <f aca="false">IF(ALX48&gt;0,APK48-APK48*UK49/ALX48,0)+0</f>
        <v>0</v>
      </c>
      <c r="AIL49" s="20" t="n">
        <f aca="false">IF(ALY48&gt;0,APL48-APL48*UL49/ALY48,0)+0</f>
        <v>0</v>
      </c>
      <c r="AIM49" s="20" t="n">
        <f aca="false">IF(ALZ48&gt;0,APM48-APM48*UM49/ALZ48,0)+0</f>
        <v>0</v>
      </c>
      <c r="AIN49" s="20" t="n">
        <f aca="false">IF(AMA48&gt;0,APN48-APN48*UN49/AMA48,0)+0</f>
        <v>0</v>
      </c>
      <c r="AIO49" s="20" t="n">
        <f aca="false">IF(AMB48&gt;0,APO48-APO48*UO49/AMB48,0)+0</f>
        <v>0</v>
      </c>
      <c r="AIP49" s="20" t="n">
        <f aca="false">IF(AMC48&gt;0,APP48-APP48*UP49/AMC48,0)+0</f>
        <v>0</v>
      </c>
      <c r="AIQ49" s="20" t="n">
        <f aca="false">IF(AMD48&gt;0,APQ48-APQ48*UQ49/AMD48,0)+0</f>
        <v>0</v>
      </c>
      <c r="AIR49" s="20" t="n">
        <f aca="false">IF(AME48&gt;0,APR48-APR48*UR49/AME48,0)+0</f>
        <v>0</v>
      </c>
      <c r="AIS49" s="20" t="n">
        <f aca="false">IF(AMF48&gt;0,APS48-APS48*US49/AMF48,0)+0</f>
        <v>0</v>
      </c>
      <c r="AIT49" s="20" t="n">
        <f aca="false">IF(AMG48&gt;0,APT48-APT48*UT49/AMG48,0)+0</f>
        <v>0</v>
      </c>
      <c r="AIU49" s="20" t="n">
        <f aca="false">IF((P49+S49)&gt;0,(P49+S49)-(P49+S49)*UU49/(P49+S49),0)+BE49</f>
        <v>0</v>
      </c>
      <c r="AIV49" s="20" t="n">
        <v>0</v>
      </c>
      <c r="AIW49" s="20" t="n">
        <v>0</v>
      </c>
      <c r="AIX49" s="20" t="n">
        <v>0</v>
      </c>
      <c r="AIY49" s="20" t="n">
        <v>0</v>
      </c>
      <c r="AIZ49" s="20" t="n">
        <v>0</v>
      </c>
      <c r="AJA49" s="20" t="n">
        <v>0</v>
      </c>
      <c r="AJB49" s="20" t="n">
        <v>0</v>
      </c>
      <c r="AJC49" s="20" t="n">
        <v>0</v>
      </c>
      <c r="AJD49" s="20" t="n">
        <v>0</v>
      </c>
      <c r="AJE49" s="20" t="n">
        <v>0</v>
      </c>
      <c r="AJF49" s="20" t="n">
        <v>0</v>
      </c>
      <c r="AJG49" s="20" t="n">
        <v>0</v>
      </c>
      <c r="AJH49" s="20" t="n">
        <v>0</v>
      </c>
      <c r="AJI49" s="20" t="n">
        <v>0</v>
      </c>
      <c r="AJJ49" s="20" t="n">
        <v>0</v>
      </c>
      <c r="AJK49" s="20" t="n">
        <v>0</v>
      </c>
      <c r="AJL49" s="20" t="n">
        <v>0</v>
      </c>
      <c r="AJM49" s="20" t="n">
        <v>0</v>
      </c>
      <c r="AJN49" s="20" t="n">
        <v>0</v>
      </c>
      <c r="AJO49" s="20" t="n">
        <v>0</v>
      </c>
      <c r="AJP49" s="20" t="n">
        <v>0</v>
      </c>
      <c r="AJQ49" s="20" t="n">
        <v>0</v>
      </c>
      <c r="AJR49" s="20" t="n">
        <v>0</v>
      </c>
      <c r="AJS49" s="20" t="n">
        <v>0</v>
      </c>
      <c r="AJT49" s="20" t="n">
        <v>0</v>
      </c>
      <c r="AJU49" s="20" t="n">
        <v>0</v>
      </c>
      <c r="AJV49" s="20" t="n">
        <v>0</v>
      </c>
      <c r="AJW49" s="20" t="n">
        <v>0</v>
      </c>
      <c r="AJX49" s="20" t="n">
        <v>0</v>
      </c>
      <c r="AJY49" s="20" t="n">
        <v>0</v>
      </c>
      <c r="AJZ49" s="20" t="n">
        <v>0</v>
      </c>
      <c r="AKA49" s="20" t="n">
        <v>0</v>
      </c>
      <c r="AKB49" s="20" t="n">
        <v>0</v>
      </c>
      <c r="AKC49" s="20" t="n">
        <v>0</v>
      </c>
      <c r="AKD49" s="20" t="n">
        <v>0</v>
      </c>
      <c r="AKE49" s="20" t="n">
        <v>0</v>
      </c>
      <c r="AKF49" s="20" t="n">
        <v>0</v>
      </c>
      <c r="AKG49" s="20" t="n">
        <v>0</v>
      </c>
      <c r="AKH49" s="20" t="n">
        <v>0</v>
      </c>
      <c r="AKI49" s="20" t="n">
        <v>0</v>
      </c>
      <c r="AKJ49" s="20" t="n">
        <v>0</v>
      </c>
      <c r="AKK49" s="20" t="n">
        <v>0</v>
      </c>
      <c r="AKL49" s="20" t="n">
        <v>0</v>
      </c>
      <c r="AKM49" s="20" t="n">
        <v>0</v>
      </c>
      <c r="AKN49" s="20" t="n">
        <v>0</v>
      </c>
      <c r="AKO49" s="20" t="n">
        <v>0</v>
      </c>
      <c r="AKP49" s="20" t="n">
        <v>0</v>
      </c>
      <c r="AKQ49" s="20" t="n">
        <v>0</v>
      </c>
      <c r="AKR49" s="20" t="n">
        <f aca="false">ADR49-AVE49</f>
        <v>0</v>
      </c>
      <c r="AKS49" s="20" t="n">
        <f aca="false">ADS49-AVF49</f>
        <v>0</v>
      </c>
      <c r="AKT49" s="20" t="n">
        <f aca="false">ADT49-AVG49</f>
        <v>0</v>
      </c>
      <c r="AKU49" s="20" t="n">
        <f aca="false">ADU49-AVH49</f>
        <v>0</v>
      </c>
      <c r="AKV49" s="20" t="n">
        <f aca="false">ADV49-AVI49</f>
        <v>0</v>
      </c>
      <c r="AKW49" s="20" t="n">
        <f aca="false">ADW49-AVJ49</f>
        <v>0</v>
      </c>
      <c r="AKX49" s="20" t="n">
        <f aca="false">ADX49-AVK49</f>
        <v>0</v>
      </c>
      <c r="AKY49" s="20" t="n">
        <f aca="false">ADY49-AVL49</f>
        <v>0</v>
      </c>
      <c r="AKZ49" s="20" t="n">
        <f aca="false">ADZ49-AVM49</f>
        <v>0</v>
      </c>
      <c r="ALA49" s="20" t="n">
        <f aca="false">AEA49-AVN49</f>
        <v>0</v>
      </c>
      <c r="ALB49" s="20" t="n">
        <f aca="false">AEB49-AVO49</f>
        <v>0</v>
      </c>
      <c r="ALC49" s="20" t="n">
        <f aca="false">AEC49-AVP49</f>
        <v>0</v>
      </c>
      <c r="ALD49" s="20" t="n">
        <f aca="false">AED49-AVQ49</f>
        <v>0</v>
      </c>
      <c r="ALE49" s="20" t="n">
        <f aca="false">AEE49-AVR49</f>
        <v>0</v>
      </c>
      <c r="ALF49" s="20" t="n">
        <f aca="false">AEF49-AVS49</f>
        <v>0</v>
      </c>
      <c r="ALG49" s="20" t="n">
        <f aca="false">AEG49-AVT49</f>
        <v>0</v>
      </c>
      <c r="ALH49" s="20" t="n">
        <f aca="false">AEH49-AVU49</f>
        <v>0</v>
      </c>
      <c r="ALI49" s="20" t="n">
        <f aca="false">AEI49-AVV49</f>
        <v>0</v>
      </c>
      <c r="ALJ49" s="20" t="n">
        <f aca="false">AEJ49-AVW49</f>
        <v>0</v>
      </c>
      <c r="ALK49" s="20" t="n">
        <f aca="false">AEK49-AVX49</f>
        <v>0</v>
      </c>
      <c r="ALL49" s="20" t="n">
        <f aca="false">AEL49-AVY49</f>
        <v>0</v>
      </c>
      <c r="ALM49" s="20" t="n">
        <f aca="false">AEM49-AVZ49</f>
        <v>0</v>
      </c>
      <c r="ALN49" s="20" t="n">
        <f aca="false">AEN49-AWA49</f>
        <v>0</v>
      </c>
      <c r="ALO49" s="20" t="n">
        <f aca="false">AEO49-AWB49</f>
        <v>0</v>
      </c>
      <c r="ALP49" s="20" t="n">
        <f aca="false">AEP49-AWC49</f>
        <v>0</v>
      </c>
      <c r="ALQ49" s="20" t="n">
        <f aca="false">AEQ49-AWD49</f>
        <v>0</v>
      </c>
      <c r="ALR49" s="20" t="n">
        <f aca="false">AER49-AWE49</f>
        <v>0</v>
      </c>
      <c r="ALS49" s="20" t="n">
        <f aca="false">AES49-AWF49</f>
        <v>0</v>
      </c>
      <c r="ALT49" s="20" t="n">
        <f aca="false">AET49-AWG49</f>
        <v>0</v>
      </c>
      <c r="ALU49" s="20" t="n">
        <f aca="false">AEU49-AWH49</f>
        <v>0</v>
      </c>
      <c r="ALV49" s="20" t="n">
        <f aca="false">AEV49-AWI49</f>
        <v>0</v>
      </c>
      <c r="ALW49" s="20" t="n">
        <f aca="false">AEW49-AWJ49</f>
        <v>0</v>
      </c>
      <c r="ALX49" s="20" t="n">
        <f aca="false">AEX49-AWK49</f>
        <v>0</v>
      </c>
      <c r="ALY49" s="20" t="n">
        <f aca="false">AEY49-AWL49</f>
        <v>0</v>
      </c>
      <c r="ALZ49" s="20" t="n">
        <f aca="false">AEZ49-AWM49</f>
        <v>0</v>
      </c>
      <c r="AMA49" s="20" t="n">
        <f aca="false">AFA49-AWN49</f>
        <v>0</v>
      </c>
      <c r="AMB49" s="20" t="n">
        <f aca="false">AFB49-AWO49</f>
        <v>0</v>
      </c>
      <c r="AMC49" s="20" t="n">
        <f aca="false">AFC49-AWP49</f>
        <v>0</v>
      </c>
      <c r="AMD49" s="20" t="n">
        <f aca="false">AFD49-AWQ49</f>
        <v>0</v>
      </c>
      <c r="AME49" s="20" t="n">
        <f aca="false">AFE49-AWR49</f>
        <v>0</v>
      </c>
      <c r="AMF49" s="20" t="n">
        <f aca="false">AFF49-AWS49</f>
        <v>0</v>
      </c>
      <c r="AMG49" s="20" t="n">
        <f aca="false">AFG49-AWT49</f>
        <v>0</v>
      </c>
      <c r="AMH49" s="20" t="n">
        <f aca="false">AFH49-AWU49</f>
        <v>0</v>
      </c>
      <c r="AMI49" s="20" t="n">
        <v>0</v>
      </c>
      <c r="AMJ49" s="20" t="n">
        <v>0</v>
      </c>
      <c r="AMK49" s="20" t="n">
        <v>0</v>
      </c>
      <c r="AML49" s="20" t="n">
        <v>0</v>
      </c>
      <c r="AMM49" s="20" t="n">
        <v>0</v>
      </c>
      <c r="AMN49" s="20" t="n">
        <v>0</v>
      </c>
      <c r="AMO49" s="20" t="n">
        <v>0</v>
      </c>
      <c r="AMP49" s="20" t="n">
        <v>0</v>
      </c>
      <c r="AMQ49" s="20" t="n">
        <v>0</v>
      </c>
      <c r="AMR49" s="20" t="n">
        <v>0</v>
      </c>
      <c r="AMS49" s="20" t="n">
        <v>0</v>
      </c>
      <c r="AMT49" s="20" t="n">
        <v>0</v>
      </c>
      <c r="AMU49" s="20" t="n">
        <v>0</v>
      </c>
      <c r="AMV49" s="20" t="n">
        <v>0</v>
      </c>
      <c r="AMW49" s="20" t="n">
        <v>0</v>
      </c>
      <c r="AMX49" s="20" t="n">
        <v>0</v>
      </c>
      <c r="AMY49" s="20" t="n">
        <v>0</v>
      </c>
      <c r="AMZ49" s="20" t="n">
        <v>0</v>
      </c>
      <c r="ANA49" s="20" t="n">
        <v>0</v>
      </c>
      <c r="ANB49" s="20" t="n">
        <v>0</v>
      </c>
      <c r="ANC49" s="20" t="n">
        <v>0</v>
      </c>
      <c r="AND49" s="20" t="n">
        <v>0</v>
      </c>
      <c r="ANE49" s="20" t="n">
        <v>0</v>
      </c>
      <c r="ANF49" s="20" t="n">
        <v>0</v>
      </c>
      <c r="ANG49" s="20" t="n">
        <v>0</v>
      </c>
      <c r="ANH49" s="20" t="n">
        <v>0</v>
      </c>
      <c r="ANI49" s="20" t="n">
        <v>0</v>
      </c>
      <c r="ANJ49" s="20" t="n">
        <v>0</v>
      </c>
      <c r="ANK49" s="20" t="n">
        <v>0</v>
      </c>
      <c r="ANL49" s="20" t="n">
        <v>0</v>
      </c>
      <c r="ANM49" s="20" t="n">
        <v>0</v>
      </c>
      <c r="ANN49" s="20" t="n">
        <v>0</v>
      </c>
      <c r="ANO49" s="20" t="n">
        <v>0</v>
      </c>
      <c r="ANP49" s="20" t="n">
        <v>0</v>
      </c>
      <c r="ANQ49" s="20" t="n">
        <v>0</v>
      </c>
      <c r="ANR49" s="20" t="n">
        <v>0</v>
      </c>
      <c r="ANS49" s="20" t="n">
        <v>0</v>
      </c>
      <c r="ANT49" s="20" t="n">
        <v>0</v>
      </c>
      <c r="ANU49" s="20" t="n">
        <v>0</v>
      </c>
      <c r="ANV49" s="20" t="n">
        <v>0</v>
      </c>
      <c r="ANW49" s="20" t="n">
        <v>0</v>
      </c>
      <c r="ANX49" s="20" t="n">
        <v>0</v>
      </c>
      <c r="ANY49" s="20" t="n">
        <v>0</v>
      </c>
      <c r="ANZ49" s="20" t="n">
        <v>0</v>
      </c>
      <c r="AOA49" s="20" t="n">
        <v>0</v>
      </c>
      <c r="AOB49" s="20" t="n">
        <v>0</v>
      </c>
      <c r="AOC49" s="20" t="n">
        <v>0</v>
      </c>
      <c r="AOD49" s="20" t="n">
        <v>0</v>
      </c>
      <c r="AOE49" s="20" t="n">
        <f aca="false">IF(AND(H_Direct=0,H_TaxEvt=1,ARR48+1&gt;=H_Deemed),AKR49,AHE49)</f>
        <v>0</v>
      </c>
      <c r="AOF49" s="20" t="n">
        <f aca="false">IF(AND(H_Direct=0,H_TaxEvt=1,ARS48+1&gt;=H_Deemed),AKS49,AHF49)</f>
        <v>0</v>
      </c>
      <c r="AOG49" s="20" t="n">
        <f aca="false">IF(AND(H_Direct=0,H_TaxEvt=1,ART48+1&gt;=H_Deemed),AKT49,AHG49)</f>
        <v>0</v>
      </c>
      <c r="AOH49" s="20" t="n">
        <f aca="false">IF(AND(H_Direct=0,H_TaxEvt=1,ARU48+1&gt;=H_Deemed),AKU49,AHH49)</f>
        <v>0</v>
      </c>
      <c r="AOI49" s="20" t="n">
        <f aca="false">IF(AND(H_Direct=0,H_TaxEvt=1,ARV48+1&gt;=H_Deemed),AKV49,AHI49)</f>
        <v>0</v>
      </c>
      <c r="AOJ49" s="20" t="n">
        <f aca="false">IF(AND(H_Direct=0,H_TaxEvt=1,ARW48+1&gt;=H_Deemed),AKW49,AHJ49)</f>
        <v>0</v>
      </c>
      <c r="AOK49" s="20" t="n">
        <f aca="false">IF(AND(H_Direct=0,H_TaxEvt=1,ARX48+1&gt;=H_Deemed),AKX49,AHK49)</f>
        <v>0</v>
      </c>
      <c r="AOL49" s="20" t="n">
        <f aca="false">IF(AND(H_Direct=0,H_TaxEvt=1,ARY48+1&gt;=H_Deemed),AKY49,AHL49)</f>
        <v>0</v>
      </c>
      <c r="AOM49" s="20" t="n">
        <f aca="false">IF(AND(H_Direct=0,H_TaxEvt=1,ARZ48+1&gt;=H_Deemed),AKZ49,AHM49)</f>
        <v>0</v>
      </c>
      <c r="AON49" s="20" t="n">
        <f aca="false">IF(AND(H_Direct=0,H_TaxEvt=1,ASA48+1&gt;=H_Deemed),ALA49,AHN49)</f>
        <v>0</v>
      </c>
      <c r="AOO49" s="20" t="n">
        <f aca="false">IF(AND(H_Direct=0,H_TaxEvt=1,ASB48+1&gt;=H_Deemed),ALB49,AHO49)</f>
        <v>0</v>
      </c>
      <c r="AOP49" s="20" t="n">
        <f aca="false">IF(AND(H_Direct=0,H_TaxEvt=1,ASC48+1&gt;=H_Deemed),ALC49,AHP49)</f>
        <v>0</v>
      </c>
      <c r="AOQ49" s="20" t="n">
        <f aca="false">IF(AND(H_Direct=0,H_TaxEvt=1,ASD48+1&gt;=H_Deemed),ALD49,AHQ49)</f>
        <v>0</v>
      </c>
      <c r="AOR49" s="20" t="n">
        <f aca="false">IF(AND(H_Direct=0,H_TaxEvt=1,ASE48+1&gt;=H_Deemed),ALE49,AHR49)</f>
        <v>0</v>
      </c>
      <c r="AOS49" s="20" t="n">
        <f aca="false">IF(AND(H_Direct=0,H_TaxEvt=1,ASF48+1&gt;=H_Deemed),ALF49,AHS49)</f>
        <v>0</v>
      </c>
      <c r="AOT49" s="20" t="n">
        <f aca="false">IF(AND(H_Direct=0,H_TaxEvt=1,ASG48+1&gt;=H_Deemed),ALG49,AHT49)</f>
        <v>0</v>
      </c>
      <c r="AOU49" s="20" t="n">
        <f aca="false">IF(AND(H_Direct=0,H_TaxEvt=1,ASH48+1&gt;=H_Deemed),ALH49,AHU49)</f>
        <v>0</v>
      </c>
      <c r="AOV49" s="20" t="n">
        <f aca="false">IF(AND(H_Direct=0,H_TaxEvt=1,ASI48+1&gt;=H_Deemed),ALI49,AHV49)</f>
        <v>0</v>
      </c>
      <c r="AOW49" s="20" t="n">
        <f aca="false">IF(AND(H_Direct=0,H_TaxEvt=1,ASJ48+1&gt;=H_Deemed),ALJ49,AHW49)</f>
        <v>0</v>
      </c>
      <c r="AOX49" s="20" t="n">
        <f aca="false">IF(AND(H_Direct=0,H_TaxEvt=1,ASK48+1&gt;=H_Deemed),ALK49,AHX49)</f>
        <v>0</v>
      </c>
      <c r="AOY49" s="20" t="n">
        <f aca="false">IF(AND(H_Direct=0,H_TaxEvt=1,ASL48+1&gt;=H_Deemed),ALL49,AHY49)</f>
        <v>0</v>
      </c>
      <c r="AOZ49" s="20" t="n">
        <f aca="false">IF(AND(H_Direct=0,H_TaxEvt=1,ASM48+1&gt;=H_Deemed),ALM49,AHZ49)</f>
        <v>0</v>
      </c>
      <c r="APA49" s="20" t="n">
        <f aca="false">IF(AND(H_Direct=0,H_TaxEvt=1,ASN48+1&gt;=H_Deemed),ALN49,AIA49)</f>
        <v>0</v>
      </c>
      <c r="APB49" s="20" t="n">
        <f aca="false">IF(AND(H_Direct=0,H_TaxEvt=1,ASO48+1&gt;=H_Deemed),ALO49,AIB49)</f>
        <v>0</v>
      </c>
      <c r="APC49" s="20" t="n">
        <f aca="false">IF(AND(H_Direct=0,H_TaxEvt=1,ASP48+1&gt;=H_Deemed),ALP49,AIC49)</f>
        <v>0</v>
      </c>
      <c r="APD49" s="20" t="n">
        <f aca="false">IF(AND(H_Direct=0,H_TaxEvt=1,ASQ48+1&gt;=H_Deemed),ALQ49,AID49)</f>
        <v>0</v>
      </c>
      <c r="APE49" s="20" t="n">
        <f aca="false">IF(AND(H_Direct=0,H_TaxEvt=1,ASR48+1&gt;=H_Deemed),ALR49,AIE49)</f>
        <v>0</v>
      </c>
      <c r="APF49" s="20" t="n">
        <f aca="false">IF(AND(H_Direct=0,H_TaxEvt=1,ASS48+1&gt;=H_Deemed),ALS49,AIF49)</f>
        <v>0</v>
      </c>
      <c r="APG49" s="20" t="n">
        <f aca="false">IF(AND(H_Direct=0,H_TaxEvt=1,AST48+1&gt;=H_Deemed),ALT49,AIG49)</f>
        <v>0</v>
      </c>
      <c r="APH49" s="20" t="n">
        <f aca="false">IF(AND(H_Direct=0,H_TaxEvt=1,ASU48+1&gt;=H_Deemed),ALU49,AIH49)</f>
        <v>0</v>
      </c>
      <c r="API49" s="20" t="n">
        <f aca="false">IF(AND(H_Direct=0,H_TaxEvt=1,ASV48+1&gt;=H_Deemed),ALV49,AII49)</f>
        <v>0</v>
      </c>
      <c r="APJ49" s="20" t="n">
        <f aca="false">IF(AND(H_Direct=0,H_TaxEvt=1,ASW48+1&gt;=H_Deemed),ALW49,AIJ49)</f>
        <v>0</v>
      </c>
      <c r="APK49" s="20" t="n">
        <f aca="false">IF(AND(H_Direct=0,H_TaxEvt=1,ASX48+1&gt;=H_Deemed),ALX49,AIK49)</f>
        <v>0</v>
      </c>
      <c r="APL49" s="20" t="n">
        <f aca="false">IF(AND(H_Direct=0,H_TaxEvt=1,ASY48+1&gt;=H_Deemed),ALY49,AIL49)</f>
        <v>0</v>
      </c>
      <c r="APM49" s="20" t="n">
        <f aca="false">IF(AND(H_Direct=0,H_TaxEvt=1,ASZ48+1&gt;=H_Deemed),ALZ49,AIM49)</f>
        <v>0</v>
      </c>
      <c r="APN49" s="20" t="n">
        <f aca="false">IF(AND(H_Direct=0,H_TaxEvt=1,ATA48+1&gt;=H_Deemed),AMA49,AIN49)</f>
        <v>0</v>
      </c>
      <c r="APO49" s="20" t="n">
        <f aca="false">IF(AND(H_Direct=0,H_TaxEvt=1,ATB48+1&gt;=H_Deemed),AMB49,AIO49)</f>
        <v>0</v>
      </c>
      <c r="APP49" s="20" t="n">
        <f aca="false">IF(AND(H_Direct=0,H_TaxEvt=1,ATC48+1&gt;=H_Deemed),AMC49,AIP49)</f>
        <v>0</v>
      </c>
      <c r="APQ49" s="20" t="n">
        <f aca="false">IF(AND(H_Direct=0,H_TaxEvt=1,ATD48+1&gt;=H_Deemed),AMD49,AIQ49)</f>
        <v>0</v>
      </c>
      <c r="APR49" s="20" t="n">
        <f aca="false">IF(AND(H_Direct=0,H_TaxEvt=1,ATE48+1&gt;=H_Deemed),AME49,AIR49)</f>
        <v>0</v>
      </c>
      <c r="APS49" s="20" t="n">
        <f aca="false">IF(AND(H_Direct=0,H_TaxEvt=1,ATF48+1&gt;=H_Deemed),AMF49,AIS49)</f>
        <v>0</v>
      </c>
      <c r="APT49" s="20" t="n">
        <f aca="false">IF(AND(H_Direct=0,H_TaxEvt=1,ATG48+1&gt;=H_Deemed),AMG49,AIT49)</f>
        <v>0</v>
      </c>
      <c r="APU49" s="20" t="n">
        <f aca="false">IF(AND(H_Direct=0,H_TaxEvt=1,0+1&gt;=H_Deemed),AMH49,AIU49)</f>
        <v>0</v>
      </c>
      <c r="APV49" s="20" t="n">
        <v>0</v>
      </c>
      <c r="APW49" s="20" t="n">
        <v>0</v>
      </c>
      <c r="APX49" s="20" t="n">
        <v>0</v>
      </c>
      <c r="APY49" s="20" t="n">
        <v>0</v>
      </c>
      <c r="APZ49" s="20" t="n">
        <v>0</v>
      </c>
      <c r="AQA49" s="20" t="n">
        <v>0</v>
      </c>
      <c r="AQB49" s="20" t="n">
        <v>0</v>
      </c>
      <c r="AQC49" s="20" t="n">
        <v>0</v>
      </c>
      <c r="AQD49" s="20" t="n">
        <v>0</v>
      </c>
      <c r="AQE49" s="20" t="n">
        <v>0</v>
      </c>
      <c r="AQF49" s="20" t="n">
        <v>0</v>
      </c>
      <c r="AQG49" s="20" t="n">
        <v>0</v>
      </c>
      <c r="AQH49" s="20" t="n">
        <v>0</v>
      </c>
      <c r="AQI49" s="20" t="n">
        <v>0</v>
      </c>
      <c r="AQJ49" s="20" t="n">
        <v>0</v>
      </c>
      <c r="AQK49" s="20" t="n">
        <v>0</v>
      </c>
      <c r="AQL49" s="20" t="n">
        <v>0</v>
      </c>
      <c r="AQM49" s="20" t="n">
        <v>0</v>
      </c>
      <c r="AQN49" s="20" t="n">
        <v>0</v>
      </c>
      <c r="AQO49" s="20" t="n">
        <v>0</v>
      </c>
      <c r="AQP49" s="20" t="n">
        <v>0</v>
      </c>
      <c r="AQQ49" s="20" t="n">
        <v>0</v>
      </c>
      <c r="AQR49" s="20" t="n">
        <v>0</v>
      </c>
      <c r="AQS49" s="20" t="n">
        <v>0</v>
      </c>
      <c r="AQT49" s="20" t="n">
        <v>0</v>
      </c>
      <c r="AQU49" s="20" t="n">
        <v>0</v>
      </c>
      <c r="AQV49" s="20" t="n">
        <v>0</v>
      </c>
      <c r="AQW49" s="20" t="n">
        <v>0</v>
      </c>
      <c r="AQX49" s="20" t="n">
        <v>0</v>
      </c>
      <c r="AQY49" s="20" t="n">
        <v>0</v>
      </c>
      <c r="AQZ49" s="20" t="n">
        <v>0</v>
      </c>
      <c r="ARA49" s="20" t="n">
        <v>0</v>
      </c>
      <c r="ARB49" s="20" t="n">
        <v>0</v>
      </c>
      <c r="ARC49" s="20" t="n">
        <v>0</v>
      </c>
      <c r="ARD49" s="20" t="n">
        <v>0</v>
      </c>
      <c r="ARE49" s="20" t="n">
        <v>0</v>
      </c>
      <c r="ARF49" s="20" t="n">
        <v>0</v>
      </c>
      <c r="ARG49" s="20" t="n">
        <v>0</v>
      </c>
      <c r="ARH49" s="20" t="n">
        <v>0</v>
      </c>
      <c r="ARI49" s="20" t="n">
        <v>0</v>
      </c>
      <c r="ARJ49" s="20" t="n">
        <v>0</v>
      </c>
      <c r="ARK49" s="20" t="n">
        <v>0</v>
      </c>
      <c r="ARL49" s="20" t="n">
        <v>0</v>
      </c>
      <c r="ARM49" s="20" t="n">
        <v>0</v>
      </c>
      <c r="ARN49" s="20" t="n">
        <v>0</v>
      </c>
      <c r="ARO49" s="20" t="n">
        <v>0</v>
      </c>
      <c r="ARP49" s="20" t="n">
        <v>0</v>
      </c>
      <c r="ARQ49" s="20" t="n">
        <v>0</v>
      </c>
      <c r="ARR49" s="20" t="n">
        <f aca="false">IF(AND(H_Direct=0,H_TaxEvt=1),IF(ARR48+1&gt;=H_Deemed,0,ARR48+1),ARR48)</f>
        <v>2</v>
      </c>
      <c r="ARS49" s="20" t="n">
        <f aca="false">IF(AND(H_Direct=0,H_TaxEvt=1),IF(ARS48+1&gt;=H_Deemed,0,ARS48+1),ARS48)</f>
        <v>2</v>
      </c>
      <c r="ART49" s="20" t="n">
        <f aca="false">IF(AND(H_Direct=0,H_TaxEvt=1),IF(ART48+1&gt;=H_Deemed,0,ART48+1),ART48)</f>
        <v>1</v>
      </c>
      <c r="ARU49" s="20" t="n">
        <f aca="false">IF(AND(H_Direct=0,H_TaxEvt=1),IF(ARU48+1&gt;=H_Deemed,0,ARU48+1),ARU48)</f>
        <v>0</v>
      </c>
      <c r="ARV49" s="20" t="n">
        <f aca="false">IF(AND(H_Direct=0,H_TaxEvt=1),IF(ARV48+1&gt;=H_Deemed,0,ARV48+1),ARV48)</f>
        <v>7</v>
      </c>
      <c r="ARW49" s="20" t="n">
        <f aca="false">IF(AND(H_Direct=0,H_TaxEvt=1),IF(ARW48+1&gt;=H_Deemed,0,ARW48+1),ARW48)</f>
        <v>6</v>
      </c>
      <c r="ARX49" s="20" t="n">
        <f aca="false">IF(AND(H_Direct=0,H_TaxEvt=1),IF(ARX48+1&gt;=H_Deemed,0,ARX48+1),ARX48)</f>
        <v>5</v>
      </c>
      <c r="ARY49" s="20" t="n">
        <f aca="false">IF(AND(H_Direct=0,H_TaxEvt=1),IF(ARY48+1&gt;=H_Deemed,0,ARY48+1),ARY48)</f>
        <v>4</v>
      </c>
      <c r="ARZ49" s="20" t="n">
        <f aca="false">IF(AND(H_Direct=0,H_TaxEvt=1),IF(ARZ48+1&gt;=H_Deemed,0,ARZ48+1),ARZ48)</f>
        <v>3</v>
      </c>
      <c r="ASA49" s="20" t="n">
        <f aca="false">IF(AND(H_Direct=0,H_TaxEvt=1),IF(ASA48+1&gt;=H_Deemed,0,ASA48+1),ASA48)</f>
        <v>2</v>
      </c>
      <c r="ASB49" s="20" t="n">
        <f aca="false">IF(AND(H_Direct=0,H_TaxEvt=1),IF(ASB48+1&gt;=H_Deemed,0,ASB48+1),ASB48)</f>
        <v>1</v>
      </c>
      <c r="ASC49" s="20" t="n">
        <f aca="false">IF(AND(H_Direct=0,H_TaxEvt=1),IF(ASC48+1&gt;=H_Deemed,0,ASC48+1),ASC48)</f>
        <v>0</v>
      </c>
      <c r="ASD49" s="20" t="n">
        <f aca="false">IF(AND(H_Direct=0,H_TaxEvt=1),IF(ASD48+1&gt;=H_Deemed,0,ASD48+1),ASD48)</f>
        <v>7</v>
      </c>
      <c r="ASE49" s="20" t="n">
        <f aca="false">IF(AND(H_Direct=0,H_TaxEvt=1),IF(ASE48+1&gt;=H_Deemed,0,ASE48+1),ASE48)</f>
        <v>6</v>
      </c>
      <c r="ASF49" s="20" t="n">
        <f aca="false">IF(AND(H_Direct=0,H_TaxEvt=1),IF(ASF48+1&gt;=H_Deemed,0,ASF48+1),ASF48)</f>
        <v>5</v>
      </c>
      <c r="ASG49" s="20" t="n">
        <f aca="false">IF(AND(H_Direct=0,H_TaxEvt=1),IF(ASG48+1&gt;=H_Deemed,0,ASG48+1),ASG48)</f>
        <v>4</v>
      </c>
      <c r="ASH49" s="20" t="n">
        <f aca="false">IF(AND(H_Direct=0,H_TaxEvt=1),IF(ASH48+1&gt;=H_Deemed,0,ASH48+1),ASH48)</f>
        <v>3</v>
      </c>
      <c r="ASI49" s="20" t="n">
        <f aca="false">IF(AND(H_Direct=0,H_TaxEvt=1),IF(ASI48+1&gt;=H_Deemed,0,ASI48+1),ASI48)</f>
        <v>2</v>
      </c>
      <c r="ASJ49" s="20" t="n">
        <f aca="false">IF(AND(H_Direct=0,H_TaxEvt=1),IF(ASJ48+1&gt;=H_Deemed,0,ASJ48+1),ASJ48)</f>
        <v>1</v>
      </c>
      <c r="ASK49" s="20" t="n">
        <f aca="false">IF(AND(H_Direct=0,H_TaxEvt=1),IF(ASK48+1&gt;=H_Deemed,0,ASK48+1),ASK48)</f>
        <v>0</v>
      </c>
      <c r="ASL49" s="20" t="n">
        <f aca="false">IF(AND(H_Direct=0,H_TaxEvt=1),IF(ASL48+1&gt;=H_Deemed,0,ASL48+1),ASL48)</f>
        <v>7</v>
      </c>
      <c r="ASM49" s="20" t="n">
        <f aca="false">IF(AND(H_Direct=0,H_TaxEvt=1),IF(ASM48+1&gt;=H_Deemed,0,ASM48+1),ASM48)</f>
        <v>6</v>
      </c>
      <c r="ASN49" s="20" t="n">
        <f aca="false">IF(AND(H_Direct=0,H_TaxEvt=1),IF(ASN48+1&gt;=H_Deemed,0,ASN48+1),ASN48)</f>
        <v>5</v>
      </c>
      <c r="ASO49" s="20" t="n">
        <f aca="false">IF(AND(H_Direct=0,H_TaxEvt=1),IF(ASO48+1&gt;=H_Deemed,0,ASO48+1),ASO48)</f>
        <v>4</v>
      </c>
      <c r="ASP49" s="20" t="n">
        <f aca="false">IF(AND(H_Direct=0,H_TaxEvt=1),IF(ASP48+1&gt;=H_Deemed,0,ASP48+1),ASP48)</f>
        <v>3</v>
      </c>
      <c r="ASQ49" s="20" t="n">
        <f aca="false">IF(AND(H_Direct=0,H_TaxEvt=1),IF(ASQ48+1&gt;=H_Deemed,0,ASQ48+1),ASQ48)</f>
        <v>2</v>
      </c>
      <c r="ASR49" s="20" t="n">
        <f aca="false">IF(AND(H_Direct=0,H_TaxEvt=1),IF(ASR48+1&gt;=H_Deemed,0,ASR48+1),ASR48)</f>
        <v>1</v>
      </c>
      <c r="ASS49" s="20" t="n">
        <f aca="false">IF(AND(H_Direct=0,H_TaxEvt=1),IF(ASS48+1&gt;=H_Deemed,0,ASS48+1),ASS48)</f>
        <v>0</v>
      </c>
      <c r="AST49" s="20" t="n">
        <f aca="false">IF(AND(H_Direct=0,H_TaxEvt=1),IF(AST48+1&gt;=H_Deemed,0,AST48+1),AST48)</f>
        <v>7</v>
      </c>
      <c r="ASU49" s="20" t="n">
        <f aca="false">IF(AND(H_Direct=0,H_TaxEvt=1),IF(ASU48+1&gt;=H_Deemed,0,ASU48+1),ASU48)</f>
        <v>6</v>
      </c>
      <c r="ASV49" s="20" t="n">
        <f aca="false">IF(AND(H_Direct=0,H_TaxEvt=1),IF(ASV48+1&gt;=H_Deemed,0,ASV48+1),ASV48)</f>
        <v>5</v>
      </c>
      <c r="ASW49" s="20" t="n">
        <f aca="false">IF(AND(H_Direct=0,H_TaxEvt=1),IF(ASW48+1&gt;=H_Deemed,0,ASW48+1),ASW48)</f>
        <v>4</v>
      </c>
      <c r="ASX49" s="20" t="n">
        <f aca="false">IF(AND(H_Direct=0,H_TaxEvt=1),IF(ASX48+1&gt;=H_Deemed,0,ASX48+1),ASX48)</f>
        <v>3</v>
      </c>
      <c r="ASY49" s="20" t="n">
        <f aca="false">IF(AND(H_Direct=0,H_TaxEvt=1),IF(ASY48+1&gt;=H_Deemed,0,ASY48+1),ASY48)</f>
        <v>2</v>
      </c>
      <c r="ASZ49" s="20" t="n">
        <f aca="false">IF(AND(H_Direct=0,H_TaxEvt=1),IF(ASZ48+1&gt;=H_Deemed,0,ASZ48+1),ASZ48)</f>
        <v>1</v>
      </c>
      <c r="ATA49" s="20" t="n">
        <f aca="false">IF(AND(H_Direct=0,H_TaxEvt=1),IF(ATA48+1&gt;=H_Deemed,0,ATA48+1),ATA48)</f>
        <v>0</v>
      </c>
      <c r="ATB49" s="20" t="n">
        <f aca="false">IF(AND(H_Direct=0,H_TaxEvt=1),IF(ATB48+1&gt;=H_Deemed,0,ATB48+1),ATB48)</f>
        <v>7</v>
      </c>
      <c r="ATC49" s="20" t="n">
        <f aca="false">IF(AND(H_Direct=0,H_TaxEvt=1),IF(ATC48+1&gt;=H_Deemed,0,ATC48+1),ATC48)</f>
        <v>6</v>
      </c>
      <c r="ATD49" s="20" t="n">
        <f aca="false">IF(AND(H_Direct=0,H_TaxEvt=1),IF(ATD48+1&gt;=H_Deemed,0,ATD48+1),ATD48)</f>
        <v>5</v>
      </c>
      <c r="ATE49" s="20" t="n">
        <f aca="false">IF(AND(H_Direct=0,H_TaxEvt=1),IF(ATE48+1&gt;=H_Deemed,0,ATE48+1),ATE48)</f>
        <v>4</v>
      </c>
      <c r="ATF49" s="20" t="n">
        <f aca="false">IF(AND(H_Direct=0,H_TaxEvt=1),IF(ATF48+1&gt;=H_Deemed,0,ATF48+1),ATF48)</f>
        <v>3</v>
      </c>
      <c r="ATG49" s="20" t="n">
        <f aca="false">IF(AND(H_Direct=0,H_TaxEvt=1),IF(ATG48+1&gt;=H_Deemed,0,ATG48+1),ATG48)</f>
        <v>2</v>
      </c>
      <c r="ATH49" s="20" t="n">
        <f aca="false">IF(AND(H_Direct=0,H_TaxEvt=1),IF(0+1&gt;=H_Deemed,0,0+1),0)</f>
        <v>1</v>
      </c>
      <c r="ATI49" s="20" t="n">
        <v>0</v>
      </c>
      <c r="ATJ49" s="20" t="n">
        <v>0</v>
      </c>
      <c r="ATK49" s="20" t="n">
        <v>0</v>
      </c>
      <c r="ATL49" s="20" t="n">
        <v>0</v>
      </c>
      <c r="ATM49" s="20" t="n">
        <v>0</v>
      </c>
      <c r="ATN49" s="20" t="n">
        <v>0</v>
      </c>
      <c r="ATO49" s="20" t="n">
        <v>0</v>
      </c>
      <c r="ATP49" s="20" t="n">
        <v>0</v>
      </c>
      <c r="ATQ49" s="20" t="n">
        <v>0</v>
      </c>
      <c r="ATR49" s="20" t="n">
        <v>0</v>
      </c>
      <c r="ATS49" s="20" t="n">
        <v>0</v>
      </c>
      <c r="ATT49" s="20" t="n">
        <v>0</v>
      </c>
      <c r="ATU49" s="20" t="n">
        <v>0</v>
      </c>
      <c r="ATV49" s="20" t="n">
        <v>0</v>
      </c>
      <c r="ATW49" s="20" t="n">
        <v>0</v>
      </c>
      <c r="ATX49" s="20" t="n">
        <v>0</v>
      </c>
      <c r="ATY49" s="20" t="n">
        <v>0</v>
      </c>
      <c r="ATZ49" s="20" t="n">
        <v>0</v>
      </c>
      <c r="AUA49" s="20" t="n">
        <v>0</v>
      </c>
      <c r="AUB49" s="20" t="n">
        <v>0</v>
      </c>
      <c r="AUC49" s="20" t="n">
        <v>0</v>
      </c>
      <c r="AUD49" s="20" t="n">
        <v>0</v>
      </c>
      <c r="AUE49" s="20" t="n">
        <v>0</v>
      </c>
      <c r="AUF49" s="20" t="n">
        <v>0</v>
      </c>
      <c r="AUG49" s="20" t="n">
        <v>0</v>
      </c>
      <c r="AUH49" s="20" t="n">
        <v>0</v>
      </c>
      <c r="AUI49" s="20" t="n">
        <v>0</v>
      </c>
      <c r="AUJ49" s="20" t="n">
        <v>0</v>
      </c>
      <c r="AUK49" s="20" t="n">
        <v>0</v>
      </c>
      <c r="AUL49" s="20" t="n">
        <v>0</v>
      </c>
      <c r="AUM49" s="20" t="n">
        <v>0</v>
      </c>
      <c r="AUN49" s="20" t="n">
        <v>0</v>
      </c>
      <c r="AUO49" s="20" t="n">
        <v>0</v>
      </c>
      <c r="AUP49" s="20" t="n">
        <v>0</v>
      </c>
      <c r="AUQ49" s="20" t="n">
        <v>0</v>
      </c>
      <c r="AUR49" s="20" t="n">
        <v>0</v>
      </c>
      <c r="AUS49" s="20" t="n">
        <v>0</v>
      </c>
      <c r="AUT49" s="20" t="n">
        <v>0</v>
      </c>
      <c r="AUU49" s="20" t="n">
        <v>0</v>
      </c>
      <c r="AUV49" s="20" t="n">
        <v>0</v>
      </c>
      <c r="AUW49" s="20" t="n">
        <v>0</v>
      </c>
      <c r="AUX49" s="20" t="n">
        <v>0</v>
      </c>
      <c r="AUY49" s="20" t="n">
        <v>0</v>
      </c>
      <c r="AUZ49" s="20" t="n">
        <v>0</v>
      </c>
      <c r="AVA49" s="20" t="n">
        <v>0</v>
      </c>
      <c r="AVB49" s="20" t="n">
        <v>0</v>
      </c>
      <c r="AVC49" s="20" t="n">
        <v>0</v>
      </c>
      <c r="AVD49" s="20" t="n">
        <v>0</v>
      </c>
      <c r="AVE49" s="20" t="n">
        <f aca="false">IF(AND(H_Direct=0,H_TaxEvt=1,ARR48+1&gt;=H_Deemed),MAX(0,ADR49-AHE49)*H_Exit,0)</f>
        <v>0</v>
      </c>
      <c r="AVF49" s="20" t="n">
        <f aca="false">IF(AND(H_Direct=0,H_TaxEvt=1,ARS48+1&gt;=H_Deemed),MAX(0,ADS49-AHF49)*H_Exit,0)</f>
        <v>0</v>
      </c>
      <c r="AVG49" s="20" t="n">
        <f aca="false">IF(AND(H_Direct=0,H_TaxEvt=1,ART48+1&gt;=H_Deemed),MAX(0,ADT49-AHG49)*H_Exit,0)</f>
        <v>0</v>
      </c>
      <c r="AVH49" s="20" t="n">
        <f aca="false">IF(AND(H_Direct=0,H_TaxEvt=1,ARU48+1&gt;=H_Deemed),MAX(0,ADU49-AHH49)*H_Exit,0)</f>
        <v>0</v>
      </c>
      <c r="AVI49" s="20" t="n">
        <f aca="false">IF(AND(H_Direct=0,H_TaxEvt=1,ARV48+1&gt;=H_Deemed),MAX(0,ADV49-AHI49)*H_Exit,0)</f>
        <v>0</v>
      </c>
      <c r="AVJ49" s="20" t="n">
        <f aca="false">IF(AND(H_Direct=0,H_TaxEvt=1,ARW48+1&gt;=H_Deemed),MAX(0,ADW49-AHJ49)*H_Exit,0)</f>
        <v>0</v>
      </c>
      <c r="AVK49" s="20" t="n">
        <f aca="false">IF(AND(H_Direct=0,H_TaxEvt=1,ARX48+1&gt;=H_Deemed),MAX(0,ADX49-AHK49)*H_Exit,0)</f>
        <v>0</v>
      </c>
      <c r="AVL49" s="20" t="n">
        <f aca="false">IF(AND(H_Direct=0,H_TaxEvt=1,ARY48+1&gt;=H_Deemed),MAX(0,ADY49-AHL49)*H_Exit,0)</f>
        <v>0</v>
      </c>
      <c r="AVM49" s="20" t="n">
        <f aca="false">IF(AND(H_Direct=0,H_TaxEvt=1,ARZ48+1&gt;=H_Deemed),MAX(0,ADZ49-AHM49)*H_Exit,0)</f>
        <v>0</v>
      </c>
      <c r="AVN49" s="20" t="n">
        <f aca="false">IF(AND(H_Direct=0,H_TaxEvt=1,ASA48+1&gt;=H_Deemed),MAX(0,AEA49-AHN49)*H_Exit,0)</f>
        <v>0</v>
      </c>
      <c r="AVO49" s="20" t="n">
        <f aca="false">IF(AND(H_Direct=0,H_TaxEvt=1,ASB48+1&gt;=H_Deemed),MAX(0,AEB49-AHO49)*H_Exit,0)</f>
        <v>0</v>
      </c>
      <c r="AVP49" s="20" t="n">
        <f aca="false">IF(AND(H_Direct=0,H_TaxEvt=1,ASC48+1&gt;=H_Deemed),MAX(0,AEC49-AHP49)*H_Exit,0)</f>
        <v>0</v>
      </c>
      <c r="AVQ49" s="20" t="n">
        <f aca="false">IF(AND(H_Direct=0,H_TaxEvt=1,ASD48+1&gt;=H_Deemed),MAX(0,AED49-AHQ49)*H_Exit,0)</f>
        <v>0</v>
      </c>
      <c r="AVR49" s="20" t="n">
        <f aca="false">IF(AND(H_Direct=0,H_TaxEvt=1,ASE48+1&gt;=H_Deemed),MAX(0,AEE49-AHR49)*H_Exit,0)</f>
        <v>0</v>
      </c>
      <c r="AVS49" s="20" t="n">
        <f aca="false">IF(AND(H_Direct=0,H_TaxEvt=1,ASF48+1&gt;=H_Deemed),MAX(0,AEF49-AHS49)*H_Exit,0)</f>
        <v>0</v>
      </c>
      <c r="AVT49" s="20" t="n">
        <f aca="false">IF(AND(H_Direct=0,H_TaxEvt=1,ASG48+1&gt;=H_Deemed),MAX(0,AEG49-AHT49)*H_Exit,0)</f>
        <v>0</v>
      </c>
      <c r="AVU49" s="20" t="n">
        <f aca="false">IF(AND(H_Direct=0,H_TaxEvt=1,ASH48+1&gt;=H_Deemed),MAX(0,AEH49-AHU49)*H_Exit,0)</f>
        <v>0</v>
      </c>
      <c r="AVV49" s="20" t="n">
        <f aca="false">IF(AND(H_Direct=0,H_TaxEvt=1,ASI48+1&gt;=H_Deemed),MAX(0,AEI49-AHV49)*H_Exit,0)</f>
        <v>0</v>
      </c>
      <c r="AVW49" s="20" t="n">
        <f aca="false">IF(AND(H_Direct=0,H_TaxEvt=1,ASJ48+1&gt;=H_Deemed),MAX(0,AEJ49-AHW49)*H_Exit,0)</f>
        <v>0</v>
      </c>
      <c r="AVX49" s="20" t="n">
        <f aca="false">IF(AND(H_Direct=0,H_TaxEvt=1,ASK48+1&gt;=H_Deemed),MAX(0,AEK49-AHX49)*H_Exit,0)</f>
        <v>0</v>
      </c>
      <c r="AVY49" s="20" t="n">
        <f aca="false">IF(AND(H_Direct=0,H_TaxEvt=1,ASL48+1&gt;=H_Deemed),MAX(0,AEL49-AHY49)*H_Exit,0)</f>
        <v>0</v>
      </c>
      <c r="AVZ49" s="20" t="n">
        <f aca="false">IF(AND(H_Direct=0,H_TaxEvt=1,ASM48+1&gt;=H_Deemed),MAX(0,AEM49-AHZ49)*H_Exit,0)</f>
        <v>0</v>
      </c>
      <c r="AWA49" s="20" t="n">
        <f aca="false">IF(AND(H_Direct=0,H_TaxEvt=1,ASN48+1&gt;=H_Deemed),MAX(0,AEN49-AIA49)*H_Exit,0)</f>
        <v>0</v>
      </c>
      <c r="AWB49" s="20" t="n">
        <f aca="false">IF(AND(H_Direct=0,H_TaxEvt=1,ASO48+1&gt;=H_Deemed),MAX(0,AEO49-AIB49)*H_Exit,0)</f>
        <v>0</v>
      </c>
      <c r="AWC49" s="20" t="n">
        <f aca="false">IF(AND(H_Direct=0,H_TaxEvt=1,ASP48+1&gt;=H_Deemed),MAX(0,AEP49-AIC49)*H_Exit,0)</f>
        <v>0</v>
      </c>
      <c r="AWD49" s="20" t="n">
        <f aca="false">IF(AND(H_Direct=0,H_TaxEvt=1,ASQ48+1&gt;=H_Deemed),MAX(0,AEQ49-AID49)*H_Exit,0)</f>
        <v>0</v>
      </c>
      <c r="AWE49" s="20" t="n">
        <f aca="false">IF(AND(H_Direct=0,H_TaxEvt=1,ASR48+1&gt;=H_Deemed),MAX(0,AER49-AIE49)*H_Exit,0)</f>
        <v>0</v>
      </c>
      <c r="AWF49" s="20" t="n">
        <f aca="false">IF(AND(H_Direct=0,H_TaxEvt=1,ASS48+1&gt;=H_Deemed),MAX(0,AES49-AIF49)*H_Exit,0)</f>
        <v>0</v>
      </c>
      <c r="AWG49" s="20" t="n">
        <f aca="false">IF(AND(H_Direct=0,H_TaxEvt=1,AST48+1&gt;=H_Deemed),MAX(0,AET49-AIG49)*H_Exit,0)</f>
        <v>0</v>
      </c>
      <c r="AWH49" s="20" t="n">
        <f aca="false">IF(AND(H_Direct=0,H_TaxEvt=1,ASU48+1&gt;=H_Deemed),MAX(0,AEU49-AIH49)*H_Exit,0)</f>
        <v>0</v>
      </c>
      <c r="AWI49" s="20" t="n">
        <f aca="false">IF(AND(H_Direct=0,H_TaxEvt=1,ASV48+1&gt;=H_Deemed),MAX(0,AEV49-AII49)*H_Exit,0)</f>
        <v>0</v>
      </c>
      <c r="AWJ49" s="20" t="n">
        <f aca="false">IF(AND(H_Direct=0,H_TaxEvt=1,ASW48+1&gt;=H_Deemed),MAX(0,AEW49-AIJ49)*H_Exit,0)</f>
        <v>0</v>
      </c>
      <c r="AWK49" s="20" t="n">
        <f aca="false">IF(AND(H_Direct=0,H_TaxEvt=1,ASX48+1&gt;=H_Deemed),MAX(0,AEX49-AIK49)*H_Exit,0)</f>
        <v>0</v>
      </c>
      <c r="AWL49" s="20" t="n">
        <f aca="false">IF(AND(H_Direct=0,H_TaxEvt=1,ASY48+1&gt;=H_Deemed),MAX(0,AEY49-AIL49)*H_Exit,0)</f>
        <v>0</v>
      </c>
      <c r="AWM49" s="20" t="n">
        <f aca="false">IF(AND(H_Direct=0,H_TaxEvt=1,ASZ48+1&gt;=H_Deemed),MAX(0,AEZ49-AIM49)*H_Exit,0)</f>
        <v>0</v>
      </c>
      <c r="AWN49" s="20" t="n">
        <f aca="false">IF(AND(H_Direct=0,H_TaxEvt=1,ATA48+1&gt;=H_Deemed),MAX(0,AFA49-AIN49)*H_Exit,0)</f>
        <v>0</v>
      </c>
      <c r="AWO49" s="20" t="n">
        <f aca="false">IF(AND(H_Direct=0,H_TaxEvt=1,ATB48+1&gt;=H_Deemed),MAX(0,AFB49-AIO49)*H_Exit,0)</f>
        <v>0</v>
      </c>
      <c r="AWP49" s="20" t="n">
        <f aca="false">IF(AND(H_Direct=0,H_TaxEvt=1,ATC48+1&gt;=H_Deemed),MAX(0,AFC49-AIP49)*H_Exit,0)</f>
        <v>0</v>
      </c>
      <c r="AWQ49" s="20" t="n">
        <f aca="false">IF(AND(H_Direct=0,H_TaxEvt=1,ATD48+1&gt;=H_Deemed),MAX(0,AFD49-AIQ49)*H_Exit,0)</f>
        <v>0</v>
      </c>
      <c r="AWR49" s="20" t="n">
        <f aca="false">IF(AND(H_Direct=0,H_TaxEvt=1,ATE48+1&gt;=H_Deemed),MAX(0,AFE49-AIR49)*H_Exit,0)</f>
        <v>0</v>
      </c>
      <c r="AWS49" s="20" t="n">
        <f aca="false">IF(AND(H_Direct=0,H_TaxEvt=1,ATF48+1&gt;=H_Deemed),MAX(0,AFF49-AIS49)*H_Exit,0)</f>
        <v>0</v>
      </c>
      <c r="AWT49" s="20" t="n">
        <f aca="false">IF(AND(H_Direct=0,H_TaxEvt=1,ATG48+1&gt;=H_Deemed),MAX(0,AFG49-AIT49)*H_Exit,0)</f>
        <v>0</v>
      </c>
      <c r="AWU49" s="20" t="n">
        <f aca="false">IF(AND(H_Direct=0,H_TaxEvt=1,0+1&gt;=H_Deemed),MAX(0,AFH49-AIU49)*H_Exit,0)</f>
        <v>0</v>
      </c>
      <c r="AWV49" s="20" t="n">
        <v>0</v>
      </c>
      <c r="AWW49" s="20" t="n">
        <v>0</v>
      </c>
      <c r="AWX49" s="20" t="n">
        <v>0</v>
      </c>
      <c r="AWY49" s="20" t="n">
        <v>0</v>
      </c>
      <c r="AWZ49" s="20" t="n">
        <v>0</v>
      </c>
      <c r="AXA49" s="20" t="n">
        <v>0</v>
      </c>
      <c r="AXB49" s="20" t="n">
        <v>0</v>
      </c>
      <c r="AXC49" s="20" t="n">
        <v>0</v>
      </c>
      <c r="AXD49" s="20" t="n">
        <v>0</v>
      </c>
      <c r="AXE49" s="20" t="n">
        <v>0</v>
      </c>
      <c r="AXF49" s="20" t="n">
        <v>0</v>
      </c>
      <c r="AXG49" s="20" t="n">
        <v>0</v>
      </c>
      <c r="AXH49" s="20" t="n">
        <v>0</v>
      </c>
      <c r="AXI49" s="20" t="n">
        <v>0</v>
      </c>
      <c r="AXJ49" s="20" t="n">
        <v>0</v>
      </c>
      <c r="AXK49" s="20" t="n">
        <v>0</v>
      </c>
      <c r="AXL49" s="20" t="n">
        <v>0</v>
      </c>
      <c r="AXM49" s="20" t="n">
        <v>0</v>
      </c>
      <c r="AXN49" s="20" t="n">
        <v>0</v>
      </c>
      <c r="AXO49" s="20" t="n">
        <v>0</v>
      </c>
      <c r="AXP49" s="20" t="n">
        <v>0</v>
      </c>
      <c r="AXQ49" s="20" t="n">
        <v>0</v>
      </c>
      <c r="AXR49" s="20" t="n">
        <v>0</v>
      </c>
      <c r="AXS49" s="20" t="n">
        <v>0</v>
      </c>
      <c r="AXT49" s="20" t="n">
        <v>0</v>
      </c>
      <c r="AXU49" s="20" t="n">
        <v>0</v>
      </c>
      <c r="AXV49" s="20" t="n">
        <v>0</v>
      </c>
      <c r="AXW49" s="20" t="n">
        <v>0</v>
      </c>
      <c r="AXX49" s="20" t="n">
        <v>0</v>
      </c>
      <c r="AXY49" s="20" t="n">
        <v>0</v>
      </c>
      <c r="AXZ49" s="20" t="n">
        <v>0</v>
      </c>
      <c r="AYA49" s="20" t="n">
        <v>0</v>
      </c>
      <c r="AYB49" s="20" t="n">
        <v>0</v>
      </c>
      <c r="AYC49" s="20" t="n">
        <v>0</v>
      </c>
      <c r="AYD49" s="20" t="n">
        <v>0</v>
      </c>
      <c r="AYE49" s="20" t="n">
        <v>0</v>
      </c>
      <c r="AYF49" s="20" t="n">
        <v>0</v>
      </c>
      <c r="AYG49" s="20" t="n">
        <v>0</v>
      </c>
      <c r="AYH49" s="20" t="n">
        <v>0</v>
      </c>
      <c r="AYI49" s="20" t="n">
        <v>0</v>
      </c>
      <c r="AYJ49" s="20" t="n">
        <v>0</v>
      </c>
      <c r="AYK49" s="20" t="n">
        <v>0</v>
      </c>
      <c r="AYL49" s="20" t="n">
        <v>0</v>
      </c>
      <c r="AYM49" s="20" t="n">
        <v>0</v>
      </c>
      <c r="AYN49" s="20" t="n">
        <v>0</v>
      </c>
      <c r="AYO49" s="20" t="n">
        <v>0</v>
      </c>
      <c r="AYP49" s="20" t="n">
        <v>0</v>
      </c>
      <c r="AYQ49" s="20" t="n">
        <v>0</v>
      </c>
    </row>
    <row r="50" customFormat="false" ht="15" hidden="false" customHeight="false" outlineLevel="0" collapsed="false">
      <c r="B50" s="20" t="n">
        <v>42</v>
      </c>
      <c r="C50" s="20" t="n">
        <f aca="false">'Plan cashflow'!C50</f>
        <v>1</v>
      </c>
      <c r="D50" s="20" t="n">
        <f aca="false">'Plan cashflow'!D50</f>
        <v>80</v>
      </c>
      <c r="E50" s="20" t="n">
        <f aca="false">AS_Year0+42</f>
        <v>2068</v>
      </c>
      <c r="F50" s="50" t="n">
        <f aca="false">'Plan cashflow'!F50</f>
        <v>2.29724446602489</v>
      </c>
      <c r="G50" s="59" t="n">
        <f aca="true">IF(MAX(TODAY(),DATE(E50,1,1))&gt;=H_CGTfrom,H_CGT1,H_CGT0)</f>
        <v>0.31</v>
      </c>
      <c r="H50" s="20" t="n">
        <f aca="false">H_Exempt*H_Persons</f>
        <v>1270</v>
      </c>
      <c r="I50" s="20" t="n">
        <f aca="false">AX49</f>
        <v>0</v>
      </c>
      <c r="J50" s="60" t="n">
        <f aca="false">BF49</f>
        <v>0</v>
      </c>
      <c r="K50" s="60" t="n">
        <f aca="false">BG49</f>
        <v>0</v>
      </c>
      <c r="L50" s="20" t="n">
        <f aca="false">IF(AND(In_polLump&gt;0,In_polLumpAge&gt;0,D50=In_polLumpAge),In_polLump,0)</f>
        <v>0</v>
      </c>
      <c r="M50" s="20" t="n">
        <f aca="false">IF(AND(In_homeUse="Yes, I'd downsize",In_downAge&gt;0,D50=In_downAge,OR(In_home="Own outright",In_home="Own with mortgage"),In_homeValue&gt;0),MAX(0,MAX(0,In_homeValue-In_downValue)*F50*0.9-'Plan cashflow'!HR49),0)</f>
        <v>0</v>
      </c>
      <c r="N50" s="20" t="n">
        <f aca="false">'Plan pay &amp; tax'!Y276</f>
        <v>0</v>
      </c>
      <c r="O50" s="20" t="n">
        <f aca="false">L50+M50+(1-H_Sh)*N50</f>
        <v>0</v>
      </c>
      <c r="P50" s="20" t="n">
        <f aca="false">H_Sh*N50</f>
        <v>0</v>
      </c>
      <c r="Q50" s="20" t="n">
        <f aca="false">'Plan cashflow'!UL50</f>
        <v>0</v>
      </c>
      <c r="R50" s="20" t="n">
        <f aca="false">(1-H_Sh)*Q50</f>
        <v>0</v>
      </c>
      <c r="S50" s="20" t="n">
        <f aca="false">H_Sh*Q50</f>
        <v>0</v>
      </c>
      <c r="T50" s="20" t="n">
        <f aca="false">J50+K50+O50</f>
        <v>0</v>
      </c>
      <c r="U50" s="20" t="n">
        <f aca="false">T50+R50</f>
        <v>0</v>
      </c>
      <c r="V50" s="60" t="n">
        <f aca="false">SUM(FE50:IQ50)</f>
        <v>0</v>
      </c>
      <c r="W50" s="60" t="n">
        <f aca="false">IF(AJ50&lt;=0,0,IF(AL50&lt;=0,AJ50,AJ50-G50*MAX(0,AL50*AJ50-(AY50+AZ50))))</f>
        <v>0</v>
      </c>
      <c r="X50" s="60" t="n">
        <f aca="false">IF(AR50&lt;=0,0,IF(AT50&lt;=0,AR50,AR50-G50*MAX(0,AT50*AR50-(BA50+BB50))))</f>
        <v>0</v>
      </c>
      <c r="Y50" s="60" t="n">
        <f aca="false">T50+V50-S50+W50+X50</f>
        <v>0</v>
      </c>
      <c r="Z50" s="60" t="n">
        <f aca="false">'Plan cashflow'!UK50</f>
        <v>0</v>
      </c>
      <c r="AA50" s="20" t="n">
        <f aca="false">MIN(Z50,U50)</f>
        <v>0</v>
      </c>
      <c r="AB50" s="20" t="n">
        <f aca="false">Z50-AA50</f>
        <v>0</v>
      </c>
      <c r="AC50" s="20" t="n">
        <f aca="false">MIN(AA50,J50+O50+R50)</f>
        <v>0</v>
      </c>
      <c r="AD50" s="20" t="n">
        <f aca="false">AA50-AC50</f>
        <v>0</v>
      </c>
      <c r="AE50" s="20" t="n">
        <f aca="false">J50+O50+R50-AC50</f>
        <v>0</v>
      </c>
      <c r="AF50" s="20" t="n">
        <f aca="false">K50-AD50</f>
        <v>0</v>
      </c>
      <c r="AG50" s="20" t="n">
        <f aca="false">SUM(PR50:TD50)</f>
        <v>0</v>
      </c>
      <c r="AH50" s="20" t="n">
        <f aca="false">SUM(TE50:WQ50)</f>
        <v>0</v>
      </c>
      <c r="AI50" s="20" t="n">
        <f aca="false">MAX(0,AB50-AG50)</f>
        <v>0</v>
      </c>
      <c r="AJ50" s="57" t="n">
        <f aca="false">BI49</f>
        <v>0</v>
      </c>
      <c r="AK50" s="20" t="n">
        <f aca="false">BJ49</f>
        <v>0</v>
      </c>
      <c r="AL50" s="20" t="n">
        <f aca="false">IF(AJ50&gt;0,(AJ50-AK50)/AJ50,0)</f>
        <v>0</v>
      </c>
      <c r="AM50" s="20" t="n">
        <f aca="false">IF(AJ50&lt;=0,0,IF(AL50&lt;=0,MIN(AI50,AJ50),MIN(AI50,AJ50-G50*MAX(0,AL50*AJ50-(AAD50+ADQ50)))))</f>
        <v>0</v>
      </c>
      <c r="AN50" s="20" t="n">
        <f aca="false">IF(AJ50&lt;=0,0,IF(AL50&lt;=0,AM50,IF(AM50&lt;=(AAD50+ADQ50)/AL50,AM50,(AM50-G50*(AAD50+ADQ50))/(1-G50*AL50))))</f>
        <v>0</v>
      </c>
      <c r="AO50" s="20" t="n">
        <f aca="false">IF(AL50&gt;0,MAX(0,AAD50-(MIN(AL50*AN50,(AAD50+ADQ50))-MIN(MIN(AL50*AN50,(AAD50+ADQ50)),ADQ50))),AAD50)</f>
        <v>1270</v>
      </c>
      <c r="AP50" s="20" t="n">
        <f aca="false">IF(AL50&lt;=0,ADQ50-AL50*AN50,ADQ50-MIN(MIN(AL50*AN50,(AAD50+ADQ50)),ADQ50))</f>
        <v>0</v>
      </c>
      <c r="AQ50" s="20" t="n">
        <f aca="false">MAX(0,AI50-AM50)</f>
        <v>0</v>
      </c>
      <c r="AR50" s="57" t="n">
        <f aca="false">BK49</f>
        <v>0</v>
      </c>
      <c r="AS50" s="20" t="n">
        <f aca="false">BL49</f>
        <v>0</v>
      </c>
      <c r="AT50" s="20" t="n">
        <f aca="false">IF(AR50&gt;0,(AR50-AS50)/AR50,0)</f>
        <v>0</v>
      </c>
      <c r="AU50" s="20" t="n">
        <f aca="false">IF(AR50&lt;=0,0,IF(AT50&lt;=0,MIN(AQ50,AR50),MIN(AQ50,AR50-G50*MAX(0,AT50*AR50-(AO50+AP50)))))</f>
        <v>0</v>
      </c>
      <c r="AV50" s="20" t="n">
        <f aca="false">IF(AR50&lt;=0,0,IF(AT50&lt;=0,AU50,IF(AU50&lt;=(AO50+AP50)/AT50,AU50,(AU50-G50*(AO50+AP50))/(1-G50*AT50))))</f>
        <v>0</v>
      </c>
      <c r="AW50" s="20" t="n">
        <f aca="false">IF(AT50&gt;0,MAX(0,AO50-(MIN(AT50*AV50,(AO50+AP50))-MIN(MIN(AT50*AV50,(AO50+AP50)),AP50))),AO50)</f>
        <v>1270</v>
      </c>
      <c r="AX50" s="20" t="n">
        <f aca="false">IF(AT50&lt;=0,AP50-AT50*AV50,AP50-MIN(MIN(AT50*AV50,(AO50+AP50)),AP50))</f>
        <v>0</v>
      </c>
      <c r="AY50" s="20" t="n">
        <f aca="false">MD50</f>
        <v>1270</v>
      </c>
      <c r="AZ50" s="20" t="n">
        <f aca="false">PQ50</f>
        <v>0</v>
      </c>
      <c r="BA50" s="20" t="n">
        <f aca="false">IF(AL50&gt;0,MAX(0,AY50-(MIN(AL50*AJ50,AY50+AZ50)-MIN(MIN(AL50*AJ50,AY50+AZ50),AZ50))),AY50)</f>
        <v>1270</v>
      </c>
      <c r="BB50" s="20" t="n">
        <f aca="false">IF(AL50&lt;=0,AZ50-AL50*AJ50,AZ50-MIN(MIN(AL50*AJ50,AY50+AZ50),AZ50))</f>
        <v>0</v>
      </c>
      <c r="BC50" s="20" t="n">
        <f aca="false">'Plan cashflow'!UM50</f>
        <v>0</v>
      </c>
      <c r="BD50" s="20" t="n">
        <f aca="false">(1-H_Sh)*BC50</f>
        <v>0</v>
      </c>
      <c r="BE50" s="20" t="n">
        <f aca="false">H_Sh*BC50</f>
        <v>0</v>
      </c>
      <c r="BF50" s="60" t="n">
        <f aca="false">(AE50+BD50)*(1+AS_Cash)</f>
        <v>0</v>
      </c>
      <c r="BG50" s="60" t="n">
        <f aca="false">AF50*(1+AS_Cash)</f>
        <v>0</v>
      </c>
      <c r="BH50" s="60" t="n">
        <f aca="false">SUM(AKR50:AOD50)</f>
        <v>0</v>
      </c>
      <c r="BI50" s="60" t="n">
        <f aca="false">(AJ50-AN50)*(1+AS_Infl)</f>
        <v>0</v>
      </c>
      <c r="BJ50" s="20" t="n">
        <f aca="false">IF(AJ50&gt;0,AK50-AK50*AN50/AJ50,0)</f>
        <v>0</v>
      </c>
      <c r="BK50" s="60" t="n">
        <f aca="false">(AR50-AV50)*(1+BQ50)</f>
        <v>0</v>
      </c>
      <c r="BL50" s="20" t="n">
        <f aca="false">IF(AR50&gt;0,AS50-AS50*AV50/AR50,0)</f>
        <v>0</v>
      </c>
      <c r="BM50" s="60" t="n">
        <f aca="false">BF50+BG50+BH50+BI50+BK50</f>
        <v>0</v>
      </c>
      <c r="BN50" s="60" t="n">
        <f aca="false">(AH50-AG50)+(AN50-AM50)+(AV50-AU50)</f>
        <v>0</v>
      </c>
      <c r="BO50" s="20" t="n">
        <f aca="false">(AE50+BD50+AF50+MAX(0,'Plan cashflow'!QH50)+IF(Slot1_Rate=AS_Cash,'Plan cashflow'!QM50/(1+AS_Cash),0)+IF(Slot2_Rate=AS_Cash,'Plan cashflow'!QQ50/(1+AS_Cash),0)+IF(Slot3_Rate=AS_Cash,'Plan cashflow'!QU50/(1+AS_Cash),0)+IF(Slot4_Rate=AS_Cash,'Plan cashflow'!QY50/(1+AS_Cash),0)+IF(Slot5_Rate=AS_Cash,'Plan cashflow'!RC50/(1+AS_Cash),0)+IF(Slot6_Rate=AS_Cash,'Plan cashflow'!RG50/(1+AS_Cash),0)+IF(Slot7_Rate=AS_Cash,'Plan cashflow'!RK50/(1+AS_Cash),0)+IF(Slot8_Rate=AS_Cash,'Plan cashflow'!RO50/(1+AS_Cash),0)+IF(Slot9_Rate=AS_Cash,'Plan cashflow'!RS50/(1+AS_Cash),0)+IF(Slot10_Rate=AS_Cash,'Plan cashflow'!RW50/(1+AS_Cash),0)+IF(Slot11_Rate=AS_Cash,'Plan cashflow'!SA50/(1+AS_Cash),0)+IF(Slot12_Rate=AS_Cash,'Plan cashflow'!SE50/(1+AS_Cash),0)+IF(Slot13_Rate=AS_Cash,'Plan cashflow'!SI50/(1+AS_Cash),0)+IF(Slot14_Rate=AS_Cash,'Plan cashflow'!SM50/(1+AS_Cash),0)+IF(Slot15_Rate=AS_Cash,'Plan cashflow'!SQ50/(1+AS_Cash),0)+IF(Slot16_Rate=AS_Cash,'Plan cashflow'!SU50/(1+AS_Cash),0)+IF(Slot17_Rate=AS_Cash,'Plan cashflow'!SY50/(1+AS_Cash),0)+IF(Slot18_Rate=AS_Cash,'Plan cashflow'!TC50/(1+AS_Cash),0)+IF(Slot19_Rate=AS_Cash,'Plan cashflow'!TG50/(1+AS_Cash),0)+IF(Slot20_Rate=AS_Cash,'Plan cashflow'!TK50/(1+AS_Cash),0))*AS_Cash*H_DIRT/(1-H_DIRT)</f>
        <v>0</v>
      </c>
      <c r="BP50" s="60" t="n">
        <f aca="false">SUM(AVE50:AYQ50)</f>
        <v>0</v>
      </c>
      <c r="BQ50" s="54" t="n">
        <f aca="false">IF(H_TaxEvt=1,H_InvG,AS_Inv)</f>
        <v>0.04</v>
      </c>
      <c r="BR50" s="20" t="n">
        <f aca="false">IF(AKR49&gt;0,(AKR49-AOE49)/AKR49,0)</f>
        <v>0</v>
      </c>
      <c r="BS50" s="20" t="n">
        <f aca="false">IF(AKS49&gt;0,(AKS49-AOF49)/AKS49,0)</f>
        <v>0</v>
      </c>
      <c r="BT50" s="20" t="n">
        <f aca="false">IF(AKT49&gt;0,(AKT49-AOG49)/AKT49,0)</f>
        <v>0</v>
      </c>
      <c r="BU50" s="20" t="n">
        <f aca="false">IF(AKU49&gt;0,(AKU49-AOH49)/AKU49,0)</f>
        <v>0</v>
      </c>
      <c r="BV50" s="20" t="n">
        <f aca="false">IF(AKV49&gt;0,(AKV49-AOI49)/AKV49,0)</f>
        <v>0</v>
      </c>
      <c r="BW50" s="20" t="n">
        <f aca="false">IF(AKW49&gt;0,(AKW49-AOJ49)/AKW49,0)</f>
        <v>0</v>
      </c>
      <c r="BX50" s="20" t="n">
        <f aca="false">IF(AKX49&gt;0,(AKX49-AOK49)/AKX49,0)</f>
        <v>0</v>
      </c>
      <c r="BY50" s="20" t="n">
        <f aca="false">IF(AKY49&gt;0,(AKY49-AOL49)/AKY49,0)</f>
        <v>0</v>
      </c>
      <c r="BZ50" s="20" t="n">
        <f aca="false">IF(AKZ49&gt;0,(AKZ49-AOM49)/AKZ49,0)</f>
        <v>0</v>
      </c>
      <c r="CA50" s="20" t="n">
        <f aca="false">IF(ALA49&gt;0,(ALA49-AON49)/ALA49,0)</f>
        <v>0</v>
      </c>
      <c r="CB50" s="20" t="n">
        <f aca="false">IF(ALB49&gt;0,(ALB49-AOO49)/ALB49,0)</f>
        <v>0</v>
      </c>
      <c r="CC50" s="20" t="n">
        <f aca="false">IF(ALC49&gt;0,(ALC49-AOP49)/ALC49,0)</f>
        <v>0</v>
      </c>
      <c r="CD50" s="20" t="n">
        <f aca="false">IF(ALD49&gt;0,(ALD49-AOQ49)/ALD49,0)</f>
        <v>0</v>
      </c>
      <c r="CE50" s="20" t="n">
        <f aca="false">IF(ALE49&gt;0,(ALE49-AOR49)/ALE49,0)</f>
        <v>0</v>
      </c>
      <c r="CF50" s="20" t="n">
        <f aca="false">IF(ALF49&gt;0,(ALF49-AOS49)/ALF49,0)</f>
        <v>0</v>
      </c>
      <c r="CG50" s="20" t="n">
        <f aca="false">IF(ALG49&gt;0,(ALG49-AOT49)/ALG49,0)</f>
        <v>0</v>
      </c>
      <c r="CH50" s="20" t="n">
        <f aca="false">IF(ALH49&gt;0,(ALH49-AOU49)/ALH49,0)</f>
        <v>0</v>
      </c>
      <c r="CI50" s="20" t="n">
        <f aca="false">IF(ALI49&gt;0,(ALI49-AOV49)/ALI49,0)</f>
        <v>0</v>
      </c>
      <c r="CJ50" s="20" t="n">
        <f aca="false">IF(ALJ49&gt;0,(ALJ49-AOW49)/ALJ49,0)</f>
        <v>0</v>
      </c>
      <c r="CK50" s="20" t="n">
        <f aca="false">IF(ALK49&gt;0,(ALK49-AOX49)/ALK49,0)</f>
        <v>0</v>
      </c>
      <c r="CL50" s="20" t="n">
        <f aca="false">IF(ALL49&gt;0,(ALL49-AOY49)/ALL49,0)</f>
        <v>0</v>
      </c>
      <c r="CM50" s="20" t="n">
        <f aca="false">IF(ALM49&gt;0,(ALM49-AOZ49)/ALM49,0)</f>
        <v>0</v>
      </c>
      <c r="CN50" s="20" t="n">
        <f aca="false">IF(ALN49&gt;0,(ALN49-APA49)/ALN49,0)</f>
        <v>0</v>
      </c>
      <c r="CO50" s="20" t="n">
        <f aca="false">IF(ALO49&gt;0,(ALO49-APB49)/ALO49,0)</f>
        <v>0</v>
      </c>
      <c r="CP50" s="20" t="n">
        <f aca="false">IF(ALP49&gt;0,(ALP49-APC49)/ALP49,0)</f>
        <v>0</v>
      </c>
      <c r="CQ50" s="20" t="n">
        <f aca="false">IF(ALQ49&gt;0,(ALQ49-APD49)/ALQ49,0)</f>
        <v>0</v>
      </c>
      <c r="CR50" s="20" t="n">
        <f aca="false">IF(ALR49&gt;0,(ALR49-APE49)/ALR49,0)</f>
        <v>0</v>
      </c>
      <c r="CS50" s="20" t="n">
        <f aca="false">IF(ALS49&gt;0,(ALS49-APF49)/ALS49,0)</f>
        <v>0</v>
      </c>
      <c r="CT50" s="20" t="n">
        <f aca="false">IF(ALT49&gt;0,(ALT49-APG49)/ALT49,0)</f>
        <v>0</v>
      </c>
      <c r="CU50" s="20" t="n">
        <f aca="false">IF(ALU49&gt;0,(ALU49-APH49)/ALU49,0)</f>
        <v>0</v>
      </c>
      <c r="CV50" s="20" t="n">
        <f aca="false">IF(ALV49&gt;0,(ALV49-API49)/ALV49,0)</f>
        <v>0</v>
      </c>
      <c r="CW50" s="20" t="n">
        <f aca="false">IF(ALW49&gt;0,(ALW49-APJ49)/ALW49,0)</f>
        <v>0</v>
      </c>
      <c r="CX50" s="20" t="n">
        <f aca="false">IF(ALX49&gt;0,(ALX49-APK49)/ALX49,0)</f>
        <v>0</v>
      </c>
      <c r="CY50" s="20" t="n">
        <f aca="false">IF(ALY49&gt;0,(ALY49-APL49)/ALY49,0)</f>
        <v>0</v>
      </c>
      <c r="CZ50" s="20" t="n">
        <f aca="false">IF(ALZ49&gt;0,(ALZ49-APM49)/ALZ49,0)</f>
        <v>0</v>
      </c>
      <c r="DA50" s="20" t="n">
        <f aca="false">IF(AMA49&gt;0,(AMA49-APN49)/AMA49,0)</f>
        <v>0</v>
      </c>
      <c r="DB50" s="20" t="n">
        <f aca="false">IF(AMB49&gt;0,(AMB49-APO49)/AMB49,0)</f>
        <v>0</v>
      </c>
      <c r="DC50" s="20" t="n">
        <f aca="false">IF(AMC49&gt;0,(AMC49-APP49)/AMC49,0)</f>
        <v>0</v>
      </c>
      <c r="DD50" s="20" t="n">
        <f aca="false">IF(AMD49&gt;0,(AMD49-APQ49)/AMD49,0)</f>
        <v>0</v>
      </c>
      <c r="DE50" s="20" t="n">
        <f aca="false">IF(AME49&gt;0,(AME49-APR49)/AME49,0)</f>
        <v>0</v>
      </c>
      <c r="DF50" s="20" t="n">
        <f aca="false">IF(AMF49&gt;0,(AMF49-APS49)/AMF49,0)</f>
        <v>0</v>
      </c>
      <c r="DG50" s="20" t="n">
        <f aca="false">IF(AMG49&gt;0,(AMG49-APT49)/AMG49,0)</f>
        <v>0</v>
      </c>
      <c r="DH50" s="20" t="n">
        <f aca="false">IF(AMH49&gt;0,(AMH49-APU49)/AMH49,0)</f>
        <v>0</v>
      </c>
      <c r="DI50" s="20" t="n">
        <f aca="false">IF((P50+S50)&gt;0,((P50+S50)-(P50+S50))/(P50+S50),0)</f>
        <v>0</v>
      </c>
      <c r="DJ50" s="20" t="n">
        <v>0</v>
      </c>
      <c r="DK50" s="20" t="n">
        <v>0</v>
      </c>
      <c r="DL50" s="20" t="n">
        <v>0</v>
      </c>
      <c r="DM50" s="20" t="n">
        <v>0</v>
      </c>
      <c r="DN50" s="20" t="n">
        <v>0</v>
      </c>
      <c r="DO50" s="20" t="n">
        <v>0</v>
      </c>
      <c r="DP50" s="20" t="n">
        <v>0</v>
      </c>
      <c r="DQ50" s="20" t="n">
        <v>0</v>
      </c>
      <c r="DR50" s="20" t="n">
        <v>0</v>
      </c>
      <c r="DS50" s="20" t="n">
        <v>0</v>
      </c>
      <c r="DT50" s="20" t="n">
        <v>0</v>
      </c>
      <c r="DU50" s="20" t="n">
        <v>0</v>
      </c>
      <c r="DV50" s="20" t="n">
        <v>0</v>
      </c>
      <c r="DW50" s="20" t="n">
        <v>0</v>
      </c>
      <c r="DX50" s="20" t="n">
        <v>0</v>
      </c>
      <c r="DY50" s="20" t="n">
        <v>0</v>
      </c>
      <c r="DZ50" s="20" t="n">
        <v>0</v>
      </c>
      <c r="EA50" s="20" t="n">
        <v>0</v>
      </c>
      <c r="EB50" s="20" t="n">
        <v>0</v>
      </c>
      <c r="EC50" s="20" t="n">
        <v>0</v>
      </c>
      <c r="ED50" s="20" t="n">
        <v>0</v>
      </c>
      <c r="EE50" s="20" t="n">
        <v>0</v>
      </c>
      <c r="EF50" s="20" t="n">
        <v>0</v>
      </c>
      <c r="EG50" s="20" t="n">
        <v>0</v>
      </c>
      <c r="EH50" s="20" t="n">
        <v>0</v>
      </c>
      <c r="EI50" s="20" t="n">
        <v>0</v>
      </c>
      <c r="EJ50" s="20" t="n">
        <v>0</v>
      </c>
      <c r="EK50" s="20" t="n">
        <v>0</v>
      </c>
      <c r="EL50" s="20" t="n">
        <v>0</v>
      </c>
      <c r="EM50" s="20" t="n">
        <v>0</v>
      </c>
      <c r="EN50" s="20" t="n">
        <v>0</v>
      </c>
      <c r="EO50" s="20" t="n">
        <v>0</v>
      </c>
      <c r="EP50" s="20" t="n">
        <v>0</v>
      </c>
      <c r="EQ50" s="20" t="n">
        <v>0</v>
      </c>
      <c r="ER50" s="20" t="n">
        <v>0</v>
      </c>
      <c r="ES50" s="20" t="n">
        <v>0</v>
      </c>
      <c r="ET50" s="20" t="n">
        <v>0</v>
      </c>
      <c r="EU50" s="20" t="n">
        <v>0</v>
      </c>
      <c r="EV50" s="20" t="n">
        <v>0</v>
      </c>
      <c r="EW50" s="20" t="n">
        <v>0</v>
      </c>
      <c r="EX50" s="20" t="n">
        <v>0</v>
      </c>
      <c r="EY50" s="20" t="n">
        <v>0</v>
      </c>
      <c r="EZ50" s="20" t="n">
        <v>0</v>
      </c>
      <c r="FA50" s="20" t="n">
        <v>0</v>
      </c>
      <c r="FB50" s="20" t="n">
        <v>0</v>
      </c>
      <c r="FC50" s="20" t="n">
        <v>0</v>
      </c>
      <c r="FD50" s="20" t="n">
        <v>0</v>
      </c>
      <c r="FE50" s="20" t="n">
        <f aca="false">IF(H_Direct=1,IF(AKR49&lt;=0,0,IF(BR50&lt;=0,AKR49,AKR49-G50*MAX(0,BR50*AKR49-(H50+I50)))),AKR49*(1-MAX(0,BR50)*H_Exit))</f>
        <v>0</v>
      </c>
      <c r="FF50" s="20" t="n">
        <f aca="false">IF(H_Direct=1,IF(AKS49&lt;=0,0,IF(BS50&lt;=0,AKS49,AKS49-G50*MAX(0,BS50*AKS49-(IR50+ME50)))),AKS49*(1-MAX(0,BS50)*H_Exit))</f>
        <v>0</v>
      </c>
      <c r="FG50" s="20" t="n">
        <f aca="false">IF(H_Direct=1,IF(AKT49&lt;=0,0,IF(BT50&lt;=0,AKT49,AKT49-G50*MAX(0,BT50*AKT49-(IS50+MF50)))),AKT49*(1-MAX(0,BT50)*H_Exit))</f>
        <v>0</v>
      </c>
      <c r="FH50" s="20" t="n">
        <f aca="false">IF(H_Direct=1,IF(AKU49&lt;=0,0,IF(BU50&lt;=0,AKU49,AKU49-G50*MAX(0,BU50*AKU49-(IT50+MG50)))),AKU49*(1-MAX(0,BU50)*H_Exit))</f>
        <v>0</v>
      </c>
      <c r="FI50" s="20" t="n">
        <f aca="false">IF(H_Direct=1,IF(AKV49&lt;=0,0,IF(BV50&lt;=0,AKV49,AKV49-G50*MAX(0,BV50*AKV49-(IU50+MH50)))),AKV49*(1-MAX(0,BV50)*H_Exit))</f>
        <v>0</v>
      </c>
      <c r="FJ50" s="20" t="n">
        <f aca="false">IF(H_Direct=1,IF(AKW49&lt;=0,0,IF(BW50&lt;=0,AKW49,AKW49-G50*MAX(0,BW50*AKW49-(IV50+MI50)))),AKW49*(1-MAX(0,BW50)*H_Exit))</f>
        <v>0</v>
      </c>
      <c r="FK50" s="20" t="n">
        <f aca="false">IF(H_Direct=1,IF(AKX49&lt;=0,0,IF(BX50&lt;=0,AKX49,AKX49-G50*MAX(0,BX50*AKX49-(IW50+MJ50)))),AKX49*(1-MAX(0,BX50)*H_Exit))</f>
        <v>0</v>
      </c>
      <c r="FL50" s="20" t="n">
        <f aca="false">IF(H_Direct=1,IF(AKY49&lt;=0,0,IF(BY50&lt;=0,AKY49,AKY49-G50*MAX(0,BY50*AKY49-(IX50+MK50)))),AKY49*(1-MAX(0,BY50)*H_Exit))</f>
        <v>0</v>
      </c>
      <c r="FM50" s="20" t="n">
        <f aca="false">IF(H_Direct=1,IF(AKZ49&lt;=0,0,IF(BZ50&lt;=0,AKZ49,AKZ49-G50*MAX(0,BZ50*AKZ49-(IY50+ML50)))),AKZ49*(1-MAX(0,BZ50)*H_Exit))</f>
        <v>0</v>
      </c>
      <c r="FN50" s="20" t="n">
        <f aca="false">IF(H_Direct=1,IF(ALA49&lt;=0,0,IF(CA50&lt;=0,ALA49,ALA49-G50*MAX(0,CA50*ALA49-(IZ50+MM50)))),ALA49*(1-MAX(0,CA50)*H_Exit))</f>
        <v>0</v>
      </c>
      <c r="FO50" s="20" t="n">
        <f aca="false">IF(H_Direct=1,IF(ALB49&lt;=0,0,IF(CB50&lt;=0,ALB49,ALB49-G50*MAX(0,CB50*ALB49-(JA50+MN50)))),ALB49*(1-MAX(0,CB50)*H_Exit))</f>
        <v>0</v>
      </c>
      <c r="FP50" s="20" t="n">
        <f aca="false">IF(H_Direct=1,IF(ALC49&lt;=0,0,IF(CC50&lt;=0,ALC49,ALC49-G50*MAX(0,CC50*ALC49-(JB50+MO50)))),ALC49*(1-MAX(0,CC50)*H_Exit))</f>
        <v>0</v>
      </c>
      <c r="FQ50" s="20" t="n">
        <f aca="false">IF(H_Direct=1,IF(ALD49&lt;=0,0,IF(CD50&lt;=0,ALD49,ALD49-G50*MAX(0,CD50*ALD49-(JC50+MP50)))),ALD49*(1-MAX(0,CD50)*H_Exit))</f>
        <v>0</v>
      </c>
      <c r="FR50" s="20" t="n">
        <f aca="false">IF(H_Direct=1,IF(ALE49&lt;=0,0,IF(CE50&lt;=0,ALE49,ALE49-G50*MAX(0,CE50*ALE49-(JD50+MQ50)))),ALE49*(1-MAX(0,CE50)*H_Exit))</f>
        <v>0</v>
      </c>
      <c r="FS50" s="20" t="n">
        <f aca="false">IF(H_Direct=1,IF(ALF49&lt;=0,0,IF(CF50&lt;=0,ALF49,ALF49-G50*MAX(0,CF50*ALF49-(JE50+MR50)))),ALF49*(1-MAX(0,CF50)*H_Exit))</f>
        <v>0</v>
      </c>
      <c r="FT50" s="20" t="n">
        <f aca="false">IF(H_Direct=1,IF(ALG49&lt;=0,0,IF(CG50&lt;=0,ALG49,ALG49-G50*MAX(0,CG50*ALG49-(JF50+MS50)))),ALG49*(1-MAX(0,CG50)*H_Exit))</f>
        <v>0</v>
      </c>
      <c r="FU50" s="20" t="n">
        <f aca="false">IF(H_Direct=1,IF(ALH49&lt;=0,0,IF(CH50&lt;=0,ALH49,ALH49-G50*MAX(0,CH50*ALH49-(JG50+MT50)))),ALH49*(1-MAX(0,CH50)*H_Exit))</f>
        <v>0</v>
      </c>
      <c r="FV50" s="20" t="n">
        <f aca="false">IF(H_Direct=1,IF(ALI49&lt;=0,0,IF(CI50&lt;=0,ALI49,ALI49-G50*MAX(0,CI50*ALI49-(JH50+MU50)))),ALI49*(1-MAX(0,CI50)*H_Exit))</f>
        <v>0</v>
      </c>
      <c r="FW50" s="20" t="n">
        <f aca="false">IF(H_Direct=1,IF(ALJ49&lt;=0,0,IF(CJ50&lt;=0,ALJ49,ALJ49-G50*MAX(0,CJ50*ALJ49-(JI50+MV50)))),ALJ49*(1-MAX(0,CJ50)*H_Exit))</f>
        <v>0</v>
      </c>
      <c r="FX50" s="20" t="n">
        <f aca="false">IF(H_Direct=1,IF(ALK49&lt;=0,0,IF(CK50&lt;=0,ALK49,ALK49-G50*MAX(0,CK50*ALK49-(JJ50+MW50)))),ALK49*(1-MAX(0,CK50)*H_Exit))</f>
        <v>0</v>
      </c>
      <c r="FY50" s="20" t="n">
        <f aca="false">IF(H_Direct=1,IF(ALL49&lt;=0,0,IF(CL50&lt;=0,ALL49,ALL49-G50*MAX(0,CL50*ALL49-(JK50+MX50)))),ALL49*(1-MAX(0,CL50)*H_Exit))</f>
        <v>0</v>
      </c>
      <c r="FZ50" s="20" t="n">
        <f aca="false">IF(H_Direct=1,IF(ALM49&lt;=0,0,IF(CM50&lt;=0,ALM49,ALM49-G50*MAX(0,CM50*ALM49-(JL50+MY50)))),ALM49*(1-MAX(0,CM50)*H_Exit))</f>
        <v>0</v>
      </c>
      <c r="GA50" s="20" t="n">
        <f aca="false">IF(H_Direct=1,IF(ALN49&lt;=0,0,IF(CN50&lt;=0,ALN49,ALN49-G50*MAX(0,CN50*ALN49-(JM50+MZ50)))),ALN49*(1-MAX(0,CN50)*H_Exit))</f>
        <v>0</v>
      </c>
      <c r="GB50" s="20" t="n">
        <f aca="false">IF(H_Direct=1,IF(ALO49&lt;=0,0,IF(CO50&lt;=0,ALO49,ALO49-G50*MAX(0,CO50*ALO49-(JN50+NA50)))),ALO49*(1-MAX(0,CO50)*H_Exit))</f>
        <v>0</v>
      </c>
      <c r="GC50" s="20" t="n">
        <f aca="false">IF(H_Direct=1,IF(ALP49&lt;=0,0,IF(CP50&lt;=0,ALP49,ALP49-G50*MAX(0,CP50*ALP49-(JO50+NB50)))),ALP49*(1-MAX(0,CP50)*H_Exit))</f>
        <v>0</v>
      </c>
      <c r="GD50" s="20" t="n">
        <f aca="false">IF(H_Direct=1,IF(ALQ49&lt;=0,0,IF(CQ50&lt;=0,ALQ49,ALQ49-G50*MAX(0,CQ50*ALQ49-(JP50+NC50)))),ALQ49*(1-MAX(0,CQ50)*H_Exit))</f>
        <v>0</v>
      </c>
      <c r="GE50" s="20" t="n">
        <f aca="false">IF(H_Direct=1,IF(ALR49&lt;=0,0,IF(CR50&lt;=0,ALR49,ALR49-G50*MAX(0,CR50*ALR49-(JQ50+ND50)))),ALR49*(1-MAX(0,CR50)*H_Exit))</f>
        <v>0</v>
      </c>
      <c r="GF50" s="20" t="n">
        <f aca="false">IF(H_Direct=1,IF(ALS49&lt;=0,0,IF(CS50&lt;=0,ALS49,ALS49-G50*MAX(0,CS50*ALS49-(JR50+NE50)))),ALS49*(1-MAX(0,CS50)*H_Exit))</f>
        <v>0</v>
      </c>
      <c r="GG50" s="20" t="n">
        <f aca="false">IF(H_Direct=1,IF(ALT49&lt;=0,0,IF(CT50&lt;=0,ALT49,ALT49-G50*MAX(0,CT50*ALT49-(JS50+NF50)))),ALT49*(1-MAX(0,CT50)*H_Exit))</f>
        <v>0</v>
      </c>
      <c r="GH50" s="20" t="n">
        <f aca="false">IF(H_Direct=1,IF(ALU49&lt;=0,0,IF(CU50&lt;=0,ALU49,ALU49-G50*MAX(0,CU50*ALU49-(JT50+NG50)))),ALU49*(1-MAX(0,CU50)*H_Exit))</f>
        <v>0</v>
      </c>
      <c r="GI50" s="20" t="n">
        <f aca="false">IF(H_Direct=1,IF(ALV49&lt;=0,0,IF(CV50&lt;=0,ALV49,ALV49-G50*MAX(0,CV50*ALV49-(JU50+NH50)))),ALV49*(1-MAX(0,CV50)*H_Exit))</f>
        <v>0</v>
      </c>
      <c r="GJ50" s="20" t="n">
        <f aca="false">IF(H_Direct=1,IF(ALW49&lt;=0,0,IF(CW50&lt;=0,ALW49,ALW49-G50*MAX(0,CW50*ALW49-(JV50+NI50)))),ALW49*(1-MAX(0,CW50)*H_Exit))</f>
        <v>0</v>
      </c>
      <c r="GK50" s="20" t="n">
        <f aca="false">IF(H_Direct=1,IF(ALX49&lt;=0,0,IF(CX50&lt;=0,ALX49,ALX49-G50*MAX(0,CX50*ALX49-(JW50+NJ50)))),ALX49*(1-MAX(0,CX50)*H_Exit))</f>
        <v>0</v>
      </c>
      <c r="GL50" s="20" t="n">
        <f aca="false">IF(H_Direct=1,IF(ALY49&lt;=0,0,IF(CY50&lt;=0,ALY49,ALY49-G50*MAX(0,CY50*ALY49-(JX50+NK50)))),ALY49*(1-MAX(0,CY50)*H_Exit))</f>
        <v>0</v>
      </c>
      <c r="GM50" s="20" t="n">
        <f aca="false">IF(H_Direct=1,IF(ALZ49&lt;=0,0,IF(CZ50&lt;=0,ALZ49,ALZ49-G50*MAX(0,CZ50*ALZ49-(JY50+NL50)))),ALZ49*(1-MAX(0,CZ50)*H_Exit))</f>
        <v>0</v>
      </c>
      <c r="GN50" s="20" t="n">
        <f aca="false">IF(H_Direct=1,IF(AMA49&lt;=0,0,IF(DA50&lt;=0,AMA49,AMA49-G50*MAX(0,DA50*AMA49-(JZ50+NM50)))),AMA49*(1-MAX(0,DA50)*H_Exit))</f>
        <v>0</v>
      </c>
      <c r="GO50" s="20" t="n">
        <f aca="false">IF(H_Direct=1,IF(AMB49&lt;=0,0,IF(DB50&lt;=0,AMB49,AMB49-G50*MAX(0,DB50*AMB49-(KA50+NN50)))),AMB49*(1-MAX(0,DB50)*H_Exit))</f>
        <v>0</v>
      </c>
      <c r="GP50" s="20" t="n">
        <f aca="false">IF(H_Direct=1,IF(AMC49&lt;=0,0,IF(DC50&lt;=0,AMC49,AMC49-G50*MAX(0,DC50*AMC49-(KB50+NO50)))),AMC49*(1-MAX(0,DC50)*H_Exit))</f>
        <v>0</v>
      </c>
      <c r="GQ50" s="20" t="n">
        <f aca="false">IF(H_Direct=1,IF(AMD49&lt;=0,0,IF(DD50&lt;=0,AMD49,AMD49-G50*MAX(0,DD50*AMD49-(KC50+NP50)))),AMD49*(1-MAX(0,DD50)*H_Exit))</f>
        <v>0</v>
      </c>
      <c r="GR50" s="20" t="n">
        <f aca="false">IF(H_Direct=1,IF(AME49&lt;=0,0,IF(DE50&lt;=0,AME49,AME49-G50*MAX(0,DE50*AME49-(KD50+NQ50)))),AME49*(1-MAX(0,DE50)*H_Exit))</f>
        <v>0</v>
      </c>
      <c r="GS50" s="20" t="n">
        <f aca="false">IF(H_Direct=1,IF(AMF49&lt;=0,0,IF(DF50&lt;=0,AMF49,AMF49-G50*MAX(0,DF50*AMF49-(KE50+NR50)))),AMF49*(1-MAX(0,DF50)*H_Exit))</f>
        <v>0</v>
      </c>
      <c r="GT50" s="20" t="n">
        <f aca="false">IF(H_Direct=1,IF(AMG49&lt;=0,0,IF(DG50&lt;=0,AMG49,AMG49-G50*MAX(0,DG50*AMG49-(KF50+NS50)))),AMG49*(1-MAX(0,DG50)*H_Exit))</f>
        <v>0</v>
      </c>
      <c r="GU50" s="20" t="n">
        <f aca="false">IF(H_Direct=1,IF(AMH49&lt;=0,0,IF(DH50&lt;=0,AMH49,AMH49-G50*MAX(0,DH50*AMH49-(KG50+NT50)))),AMH49*(1-MAX(0,DH50)*H_Exit))</f>
        <v>0</v>
      </c>
      <c r="GV50" s="20" t="n">
        <f aca="false">IF(H_Direct=1,IF((P50+S50)&lt;=0,0,IF(DI50&lt;=0,(P50+S50),(P50+S50)-G50*MAX(0,DI50*(P50+S50)-(KH50+NU50)))),(P50+S50)*(1-MAX(0,DI50)*H_Exit))</f>
        <v>0</v>
      </c>
      <c r="GW50" s="20" t="n">
        <v>0</v>
      </c>
      <c r="GX50" s="20" t="n">
        <v>0</v>
      </c>
      <c r="GY50" s="20" t="n">
        <v>0</v>
      </c>
      <c r="GZ50" s="20" t="n">
        <v>0</v>
      </c>
      <c r="HA50" s="20" t="n">
        <v>0</v>
      </c>
      <c r="HB50" s="20" t="n">
        <v>0</v>
      </c>
      <c r="HC50" s="20" t="n">
        <v>0</v>
      </c>
      <c r="HD50" s="20" t="n">
        <v>0</v>
      </c>
      <c r="HE50" s="20" t="n">
        <v>0</v>
      </c>
      <c r="HF50" s="20" t="n">
        <v>0</v>
      </c>
      <c r="HG50" s="20" t="n">
        <v>0</v>
      </c>
      <c r="HH50" s="20" t="n">
        <v>0</v>
      </c>
      <c r="HI50" s="20" t="n">
        <v>0</v>
      </c>
      <c r="HJ50" s="20" t="n">
        <v>0</v>
      </c>
      <c r="HK50" s="20" t="n">
        <v>0</v>
      </c>
      <c r="HL50" s="20" t="n">
        <v>0</v>
      </c>
      <c r="HM50" s="20" t="n">
        <v>0</v>
      </c>
      <c r="HN50" s="20" t="n">
        <v>0</v>
      </c>
      <c r="HO50" s="20" t="n">
        <v>0</v>
      </c>
      <c r="HP50" s="20" t="n">
        <v>0</v>
      </c>
      <c r="HQ50" s="20" t="n">
        <v>0</v>
      </c>
      <c r="HR50" s="20" t="n">
        <v>0</v>
      </c>
      <c r="HS50" s="20" t="n">
        <v>0</v>
      </c>
      <c r="HT50" s="20" t="n">
        <v>0</v>
      </c>
      <c r="HU50" s="20" t="n">
        <v>0</v>
      </c>
      <c r="HV50" s="20" t="n">
        <v>0</v>
      </c>
      <c r="HW50" s="20" t="n">
        <v>0</v>
      </c>
      <c r="HX50" s="20" t="n">
        <v>0</v>
      </c>
      <c r="HY50" s="20" t="n">
        <v>0</v>
      </c>
      <c r="HZ50" s="20" t="n">
        <v>0</v>
      </c>
      <c r="IA50" s="20" t="n">
        <v>0</v>
      </c>
      <c r="IB50" s="20" t="n">
        <v>0</v>
      </c>
      <c r="IC50" s="20" t="n">
        <v>0</v>
      </c>
      <c r="ID50" s="20" t="n">
        <v>0</v>
      </c>
      <c r="IE50" s="20" t="n">
        <v>0</v>
      </c>
      <c r="IF50" s="20" t="n">
        <v>0</v>
      </c>
      <c r="IG50" s="20" t="n">
        <v>0</v>
      </c>
      <c r="IH50" s="20" t="n">
        <v>0</v>
      </c>
      <c r="II50" s="20" t="n">
        <v>0</v>
      </c>
      <c r="IJ50" s="20" t="n">
        <v>0</v>
      </c>
      <c r="IK50" s="20" t="n">
        <v>0</v>
      </c>
      <c r="IL50" s="20" t="n">
        <v>0</v>
      </c>
      <c r="IM50" s="20" t="n">
        <v>0</v>
      </c>
      <c r="IN50" s="20" t="n">
        <v>0</v>
      </c>
      <c r="IO50" s="20" t="n">
        <v>0</v>
      </c>
      <c r="IP50" s="20" t="n">
        <v>0</v>
      </c>
      <c r="IQ50" s="20" t="n">
        <v>0</v>
      </c>
      <c r="IR50" s="20" t="n">
        <f aca="false">IF(AND(H_Direct=1,BR50&gt;0),MAX(0,H50-(MIN(BR50*AKR49,H50+I50)-MIN(MIN(BR50*AKR49,H50+I50),I50))),H50)</f>
        <v>1270</v>
      </c>
      <c r="IS50" s="20" t="n">
        <f aca="false">IF(AND(H_Direct=1,BS50&gt;0),MAX(0,IR50-(MIN(BS50*AKS49,IR50+ME50)-MIN(MIN(BS50*AKS49,IR50+ME50),ME50))),IR50)</f>
        <v>1270</v>
      </c>
      <c r="IT50" s="20" t="n">
        <f aca="false">IF(AND(H_Direct=1,BT50&gt;0),MAX(0,IS50-(MIN(BT50*AKT49,IS50+MF50)-MIN(MIN(BT50*AKT49,IS50+MF50),MF50))),IS50)</f>
        <v>1270</v>
      </c>
      <c r="IU50" s="20" t="n">
        <f aca="false">IF(AND(H_Direct=1,BU50&gt;0),MAX(0,IT50-(MIN(BU50*AKU49,IT50+MG50)-MIN(MIN(BU50*AKU49,IT50+MG50),MG50))),IT50)</f>
        <v>1270</v>
      </c>
      <c r="IV50" s="20" t="n">
        <f aca="false">IF(AND(H_Direct=1,BV50&gt;0),MAX(0,IU50-(MIN(BV50*AKV49,IU50+MH50)-MIN(MIN(BV50*AKV49,IU50+MH50),MH50))),IU50)</f>
        <v>1270</v>
      </c>
      <c r="IW50" s="20" t="n">
        <f aca="false">IF(AND(H_Direct=1,BW50&gt;0),MAX(0,IV50-(MIN(BW50*AKW49,IV50+MI50)-MIN(MIN(BW50*AKW49,IV50+MI50),MI50))),IV50)</f>
        <v>1270</v>
      </c>
      <c r="IX50" s="20" t="n">
        <f aca="false">IF(AND(H_Direct=1,BX50&gt;0),MAX(0,IW50-(MIN(BX50*AKX49,IW50+MJ50)-MIN(MIN(BX50*AKX49,IW50+MJ50),MJ50))),IW50)</f>
        <v>1270</v>
      </c>
      <c r="IY50" s="20" t="n">
        <f aca="false">IF(AND(H_Direct=1,BY50&gt;0),MAX(0,IX50-(MIN(BY50*AKY49,IX50+MK50)-MIN(MIN(BY50*AKY49,IX50+MK50),MK50))),IX50)</f>
        <v>1270</v>
      </c>
      <c r="IZ50" s="20" t="n">
        <f aca="false">IF(AND(H_Direct=1,BZ50&gt;0),MAX(0,IY50-(MIN(BZ50*AKZ49,IY50+ML50)-MIN(MIN(BZ50*AKZ49,IY50+ML50),ML50))),IY50)</f>
        <v>1270</v>
      </c>
      <c r="JA50" s="20" t="n">
        <f aca="false">IF(AND(H_Direct=1,CA50&gt;0),MAX(0,IZ50-(MIN(CA50*ALA49,IZ50+MM50)-MIN(MIN(CA50*ALA49,IZ50+MM50),MM50))),IZ50)</f>
        <v>1270</v>
      </c>
      <c r="JB50" s="20" t="n">
        <f aca="false">IF(AND(H_Direct=1,CB50&gt;0),MAX(0,JA50-(MIN(CB50*ALB49,JA50+MN50)-MIN(MIN(CB50*ALB49,JA50+MN50),MN50))),JA50)</f>
        <v>1270</v>
      </c>
      <c r="JC50" s="20" t="n">
        <f aca="false">IF(AND(H_Direct=1,CC50&gt;0),MAX(0,JB50-(MIN(CC50*ALC49,JB50+MO50)-MIN(MIN(CC50*ALC49,JB50+MO50),MO50))),JB50)</f>
        <v>1270</v>
      </c>
      <c r="JD50" s="20" t="n">
        <f aca="false">IF(AND(H_Direct=1,CD50&gt;0),MAX(0,JC50-(MIN(CD50*ALD49,JC50+MP50)-MIN(MIN(CD50*ALD49,JC50+MP50),MP50))),JC50)</f>
        <v>1270</v>
      </c>
      <c r="JE50" s="20" t="n">
        <f aca="false">IF(AND(H_Direct=1,CE50&gt;0),MAX(0,JD50-(MIN(CE50*ALE49,JD50+MQ50)-MIN(MIN(CE50*ALE49,JD50+MQ50),MQ50))),JD50)</f>
        <v>1270</v>
      </c>
      <c r="JF50" s="20" t="n">
        <f aca="false">IF(AND(H_Direct=1,CF50&gt;0),MAX(0,JE50-(MIN(CF50*ALF49,JE50+MR50)-MIN(MIN(CF50*ALF49,JE50+MR50),MR50))),JE50)</f>
        <v>1270</v>
      </c>
      <c r="JG50" s="20" t="n">
        <f aca="false">IF(AND(H_Direct=1,CG50&gt;0),MAX(0,JF50-(MIN(CG50*ALG49,JF50+MS50)-MIN(MIN(CG50*ALG49,JF50+MS50),MS50))),JF50)</f>
        <v>1270</v>
      </c>
      <c r="JH50" s="20" t="n">
        <f aca="false">IF(AND(H_Direct=1,CH50&gt;0),MAX(0,JG50-(MIN(CH50*ALH49,JG50+MT50)-MIN(MIN(CH50*ALH49,JG50+MT50),MT50))),JG50)</f>
        <v>1270</v>
      </c>
      <c r="JI50" s="20" t="n">
        <f aca="false">IF(AND(H_Direct=1,CI50&gt;0),MAX(0,JH50-(MIN(CI50*ALI49,JH50+MU50)-MIN(MIN(CI50*ALI49,JH50+MU50),MU50))),JH50)</f>
        <v>1270</v>
      </c>
      <c r="JJ50" s="20" t="n">
        <f aca="false">IF(AND(H_Direct=1,CJ50&gt;0),MAX(0,JI50-(MIN(CJ50*ALJ49,JI50+MV50)-MIN(MIN(CJ50*ALJ49,JI50+MV50),MV50))),JI50)</f>
        <v>1270</v>
      </c>
      <c r="JK50" s="20" t="n">
        <f aca="false">IF(AND(H_Direct=1,CK50&gt;0),MAX(0,JJ50-(MIN(CK50*ALK49,JJ50+MW50)-MIN(MIN(CK50*ALK49,JJ50+MW50),MW50))),JJ50)</f>
        <v>1270</v>
      </c>
      <c r="JL50" s="20" t="n">
        <f aca="false">IF(AND(H_Direct=1,CL50&gt;0),MAX(0,JK50-(MIN(CL50*ALL49,JK50+MX50)-MIN(MIN(CL50*ALL49,JK50+MX50),MX50))),JK50)</f>
        <v>1270</v>
      </c>
      <c r="JM50" s="20" t="n">
        <f aca="false">IF(AND(H_Direct=1,CM50&gt;0),MAX(0,JL50-(MIN(CM50*ALM49,JL50+MY50)-MIN(MIN(CM50*ALM49,JL50+MY50),MY50))),JL50)</f>
        <v>1270</v>
      </c>
      <c r="JN50" s="20" t="n">
        <f aca="false">IF(AND(H_Direct=1,CN50&gt;0),MAX(0,JM50-(MIN(CN50*ALN49,JM50+MZ50)-MIN(MIN(CN50*ALN49,JM50+MZ50),MZ50))),JM50)</f>
        <v>1270</v>
      </c>
      <c r="JO50" s="20" t="n">
        <f aca="false">IF(AND(H_Direct=1,CO50&gt;0),MAX(0,JN50-(MIN(CO50*ALO49,JN50+NA50)-MIN(MIN(CO50*ALO49,JN50+NA50),NA50))),JN50)</f>
        <v>1270</v>
      </c>
      <c r="JP50" s="20" t="n">
        <f aca="false">IF(AND(H_Direct=1,CP50&gt;0),MAX(0,JO50-(MIN(CP50*ALP49,JO50+NB50)-MIN(MIN(CP50*ALP49,JO50+NB50),NB50))),JO50)</f>
        <v>1270</v>
      </c>
      <c r="JQ50" s="20" t="n">
        <f aca="false">IF(AND(H_Direct=1,CQ50&gt;0),MAX(0,JP50-(MIN(CQ50*ALQ49,JP50+NC50)-MIN(MIN(CQ50*ALQ49,JP50+NC50),NC50))),JP50)</f>
        <v>1270</v>
      </c>
      <c r="JR50" s="20" t="n">
        <f aca="false">IF(AND(H_Direct=1,CR50&gt;0),MAX(0,JQ50-(MIN(CR50*ALR49,JQ50+ND50)-MIN(MIN(CR50*ALR49,JQ50+ND50),ND50))),JQ50)</f>
        <v>1270</v>
      </c>
      <c r="JS50" s="20" t="n">
        <f aca="false">IF(AND(H_Direct=1,CS50&gt;0),MAX(0,JR50-(MIN(CS50*ALS49,JR50+NE50)-MIN(MIN(CS50*ALS49,JR50+NE50),NE50))),JR50)</f>
        <v>1270</v>
      </c>
      <c r="JT50" s="20" t="n">
        <f aca="false">IF(AND(H_Direct=1,CT50&gt;0),MAX(0,JS50-(MIN(CT50*ALT49,JS50+NF50)-MIN(MIN(CT50*ALT49,JS50+NF50),NF50))),JS50)</f>
        <v>1270</v>
      </c>
      <c r="JU50" s="20" t="n">
        <f aca="false">IF(AND(H_Direct=1,CU50&gt;0),MAX(0,JT50-(MIN(CU50*ALU49,JT50+NG50)-MIN(MIN(CU50*ALU49,JT50+NG50),NG50))),JT50)</f>
        <v>1270</v>
      </c>
      <c r="JV50" s="20" t="n">
        <f aca="false">IF(AND(H_Direct=1,CV50&gt;0),MAX(0,JU50-(MIN(CV50*ALV49,JU50+NH50)-MIN(MIN(CV50*ALV49,JU50+NH50),NH50))),JU50)</f>
        <v>1270</v>
      </c>
      <c r="JW50" s="20" t="n">
        <f aca="false">IF(AND(H_Direct=1,CW50&gt;0),MAX(0,JV50-(MIN(CW50*ALW49,JV50+NI50)-MIN(MIN(CW50*ALW49,JV50+NI50),NI50))),JV50)</f>
        <v>1270</v>
      </c>
      <c r="JX50" s="20" t="n">
        <f aca="false">IF(AND(H_Direct=1,CX50&gt;0),MAX(0,JW50-(MIN(CX50*ALX49,JW50+NJ50)-MIN(MIN(CX50*ALX49,JW50+NJ50),NJ50))),JW50)</f>
        <v>1270</v>
      </c>
      <c r="JY50" s="20" t="n">
        <f aca="false">IF(AND(H_Direct=1,CY50&gt;0),MAX(0,JX50-(MIN(CY50*ALY49,JX50+NK50)-MIN(MIN(CY50*ALY49,JX50+NK50),NK50))),JX50)</f>
        <v>1270</v>
      </c>
      <c r="JZ50" s="20" t="n">
        <f aca="false">IF(AND(H_Direct=1,CZ50&gt;0),MAX(0,JY50-(MIN(CZ50*ALZ49,JY50+NL50)-MIN(MIN(CZ50*ALZ49,JY50+NL50),NL50))),JY50)</f>
        <v>1270</v>
      </c>
      <c r="KA50" s="20" t="n">
        <f aca="false">IF(AND(H_Direct=1,DA50&gt;0),MAX(0,JZ50-(MIN(DA50*AMA49,JZ50+NM50)-MIN(MIN(DA50*AMA49,JZ50+NM50),NM50))),JZ50)</f>
        <v>1270</v>
      </c>
      <c r="KB50" s="20" t="n">
        <f aca="false">IF(AND(H_Direct=1,DB50&gt;0),MAX(0,KA50-(MIN(DB50*AMB49,KA50+NN50)-MIN(MIN(DB50*AMB49,KA50+NN50),NN50))),KA50)</f>
        <v>1270</v>
      </c>
      <c r="KC50" s="20" t="n">
        <f aca="false">IF(AND(H_Direct=1,DC50&gt;0),MAX(0,KB50-(MIN(DC50*AMC49,KB50+NO50)-MIN(MIN(DC50*AMC49,KB50+NO50),NO50))),KB50)</f>
        <v>1270</v>
      </c>
      <c r="KD50" s="20" t="n">
        <f aca="false">IF(AND(H_Direct=1,DD50&gt;0),MAX(0,KC50-(MIN(DD50*AMD49,KC50+NP50)-MIN(MIN(DD50*AMD49,KC50+NP50),NP50))),KC50)</f>
        <v>1270</v>
      </c>
      <c r="KE50" s="20" t="n">
        <f aca="false">IF(AND(H_Direct=1,DE50&gt;0),MAX(0,KD50-(MIN(DE50*AME49,KD50+NQ50)-MIN(MIN(DE50*AME49,KD50+NQ50),NQ50))),KD50)</f>
        <v>1270</v>
      </c>
      <c r="KF50" s="20" t="n">
        <f aca="false">IF(AND(H_Direct=1,DF50&gt;0),MAX(0,KE50-(MIN(DF50*AMF49,KE50+NR50)-MIN(MIN(DF50*AMF49,KE50+NR50),NR50))),KE50)</f>
        <v>1270</v>
      </c>
      <c r="KG50" s="20" t="n">
        <f aca="false">IF(AND(H_Direct=1,DG50&gt;0),MAX(0,KF50-(MIN(DG50*AMG49,KF50+NS50)-MIN(MIN(DG50*AMG49,KF50+NS50),NS50))),KF50)</f>
        <v>1270</v>
      </c>
      <c r="KH50" s="20" t="n">
        <f aca="false">IF(AND(H_Direct=1,DH50&gt;0),MAX(0,KG50-(MIN(DH50*AMH49,KG50+NT50)-MIN(MIN(DH50*AMH49,KG50+NT50),NT50))),KG50)</f>
        <v>1270</v>
      </c>
      <c r="KI50" s="20" t="n">
        <f aca="false">IF(AND(H_Direct=1,DI50&gt;0),MAX(0,KH50-(MIN(DI50*(P50+S50),KH50+NU50)-MIN(MIN(DI50*(P50+S50),KH50+NU50),NU50))),KH50)</f>
        <v>1270</v>
      </c>
      <c r="KJ50" s="20" t="n">
        <f aca="false">KI50</f>
        <v>1270</v>
      </c>
      <c r="KK50" s="20" t="n">
        <f aca="false">KJ50</f>
        <v>1270</v>
      </c>
      <c r="KL50" s="20" t="n">
        <f aca="false">KK50</f>
        <v>1270</v>
      </c>
      <c r="KM50" s="20" t="n">
        <f aca="false">KL50</f>
        <v>1270</v>
      </c>
      <c r="KN50" s="20" t="n">
        <f aca="false">KM50</f>
        <v>1270</v>
      </c>
      <c r="KO50" s="20" t="n">
        <f aca="false">KN50</f>
        <v>1270</v>
      </c>
      <c r="KP50" s="20" t="n">
        <f aca="false">KO50</f>
        <v>1270</v>
      </c>
      <c r="KQ50" s="20" t="n">
        <f aca="false">KP50</f>
        <v>1270</v>
      </c>
      <c r="KR50" s="20" t="n">
        <f aca="false">KQ50</f>
        <v>1270</v>
      </c>
      <c r="KS50" s="20" t="n">
        <f aca="false">KR50</f>
        <v>1270</v>
      </c>
      <c r="KT50" s="20" t="n">
        <f aca="false">KS50</f>
        <v>1270</v>
      </c>
      <c r="KU50" s="20" t="n">
        <f aca="false">KT50</f>
        <v>1270</v>
      </c>
      <c r="KV50" s="20" t="n">
        <f aca="false">KU50</f>
        <v>1270</v>
      </c>
      <c r="KW50" s="20" t="n">
        <f aca="false">KV50</f>
        <v>1270</v>
      </c>
      <c r="KX50" s="20" t="n">
        <f aca="false">KW50</f>
        <v>1270</v>
      </c>
      <c r="KY50" s="20" t="n">
        <f aca="false">KX50</f>
        <v>1270</v>
      </c>
      <c r="KZ50" s="20" t="n">
        <f aca="false">KY50</f>
        <v>1270</v>
      </c>
      <c r="LA50" s="20" t="n">
        <f aca="false">KZ50</f>
        <v>1270</v>
      </c>
      <c r="LB50" s="20" t="n">
        <f aca="false">LA50</f>
        <v>1270</v>
      </c>
      <c r="LC50" s="20" t="n">
        <f aca="false">LB50</f>
        <v>1270</v>
      </c>
      <c r="LD50" s="20" t="n">
        <f aca="false">LC50</f>
        <v>1270</v>
      </c>
      <c r="LE50" s="20" t="n">
        <f aca="false">LD50</f>
        <v>1270</v>
      </c>
      <c r="LF50" s="20" t="n">
        <f aca="false">LE50</f>
        <v>1270</v>
      </c>
      <c r="LG50" s="20" t="n">
        <f aca="false">LF50</f>
        <v>1270</v>
      </c>
      <c r="LH50" s="20" t="n">
        <f aca="false">LG50</f>
        <v>1270</v>
      </c>
      <c r="LI50" s="20" t="n">
        <f aca="false">LH50</f>
        <v>1270</v>
      </c>
      <c r="LJ50" s="20" t="n">
        <f aca="false">LI50</f>
        <v>1270</v>
      </c>
      <c r="LK50" s="20" t="n">
        <f aca="false">LJ50</f>
        <v>1270</v>
      </c>
      <c r="LL50" s="20" t="n">
        <f aca="false">LK50</f>
        <v>1270</v>
      </c>
      <c r="LM50" s="20" t="n">
        <f aca="false">LL50</f>
        <v>1270</v>
      </c>
      <c r="LN50" s="20" t="n">
        <f aca="false">LM50</f>
        <v>1270</v>
      </c>
      <c r="LO50" s="20" t="n">
        <f aca="false">LN50</f>
        <v>1270</v>
      </c>
      <c r="LP50" s="20" t="n">
        <f aca="false">LO50</f>
        <v>1270</v>
      </c>
      <c r="LQ50" s="20" t="n">
        <f aca="false">LP50</f>
        <v>1270</v>
      </c>
      <c r="LR50" s="20" t="n">
        <f aca="false">LQ50</f>
        <v>1270</v>
      </c>
      <c r="LS50" s="20" t="n">
        <f aca="false">LR50</f>
        <v>1270</v>
      </c>
      <c r="LT50" s="20" t="n">
        <f aca="false">LS50</f>
        <v>1270</v>
      </c>
      <c r="LU50" s="20" t="n">
        <f aca="false">LT50</f>
        <v>1270</v>
      </c>
      <c r="LV50" s="20" t="n">
        <f aca="false">LU50</f>
        <v>1270</v>
      </c>
      <c r="LW50" s="20" t="n">
        <f aca="false">LV50</f>
        <v>1270</v>
      </c>
      <c r="LX50" s="20" t="n">
        <f aca="false">LW50</f>
        <v>1270</v>
      </c>
      <c r="LY50" s="20" t="n">
        <f aca="false">LX50</f>
        <v>1270</v>
      </c>
      <c r="LZ50" s="20" t="n">
        <f aca="false">LY50</f>
        <v>1270</v>
      </c>
      <c r="MA50" s="20" t="n">
        <f aca="false">LZ50</f>
        <v>1270</v>
      </c>
      <c r="MB50" s="20" t="n">
        <f aca="false">MA50</f>
        <v>1270</v>
      </c>
      <c r="MC50" s="20" t="n">
        <f aca="false">MB50</f>
        <v>1270</v>
      </c>
      <c r="MD50" s="20" t="n">
        <f aca="false">MC50</f>
        <v>1270</v>
      </c>
      <c r="ME50" s="20" t="n">
        <f aca="false">IF(H_Direct=1,IF(BR50&lt;=0,I50-BR50*AKR49,I50-MIN(MIN(BR50*AKR49,H50+I50),I50)),I50)</f>
        <v>0</v>
      </c>
      <c r="MF50" s="20" t="n">
        <f aca="false">IF(H_Direct=1,IF(BS50&lt;=0,ME50-BS50*AKS49,ME50-MIN(MIN(BS50*AKS49,IR50+ME50),ME50)),ME50)</f>
        <v>0</v>
      </c>
      <c r="MG50" s="20" t="n">
        <f aca="false">IF(H_Direct=1,IF(BT50&lt;=0,MF50-BT50*AKT49,MF50-MIN(MIN(BT50*AKT49,IS50+MF50),MF50)),MF50)</f>
        <v>0</v>
      </c>
      <c r="MH50" s="20" t="n">
        <f aca="false">IF(H_Direct=1,IF(BU50&lt;=0,MG50-BU50*AKU49,MG50-MIN(MIN(BU50*AKU49,IT50+MG50),MG50)),MG50)</f>
        <v>0</v>
      </c>
      <c r="MI50" s="20" t="n">
        <f aca="false">IF(H_Direct=1,IF(BV50&lt;=0,MH50-BV50*AKV49,MH50-MIN(MIN(BV50*AKV49,IU50+MH50),MH50)),MH50)</f>
        <v>0</v>
      </c>
      <c r="MJ50" s="20" t="n">
        <f aca="false">IF(H_Direct=1,IF(BW50&lt;=0,MI50-BW50*AKW49,MI50-MIN(MIN(BW50*AKW49,IV50+MI50),MI50)),MI50)</f>
        <v>0</v>
      </c>
      <c r="MK50" s="20" t="n">
        <f aca="false">IF(H_Direct=1,IF(BX50&lt;=0,MJ50-BX50*AKX49,MJ50-MIN(MIN(BX50*AKX49,IW50+MJ50),MJ50)),MJ50)</f>
        <v>0</v>
      </c>
      <c r="ML50" s="20" t="n">
        <f aca="false">IF(H_Direct=1,IF(BY50&lt;=0,MK50-BY50*AKY49,MK50-MIN(MIN(BY50*AKY49,IX50+MK50),MK50)),MK50)</f>
        <v>0</v>
      </c>
      <c r="MM50" s="20" t="n">
        <f aca="false">IF(H_Direct=1,IF(BZ50&lt;=0,ML50-BZ50*AKZ49,ML50-MIN(MIN(BZ50*AKZ49,IY50+ML50),ML50)),ML50)</f>
        <v>0</v>
      </c>
      <c r="MN50" s="20" t="n">
        <f aca="false">IF(H_Direct=1,IF(CA50&lt;=0,MM50-CA50*ALA49,MM50-MIN(MIN(CA50*ALA49,IZ50+MM50),MM50)),MM50)</f>
        <v>0</v>
      </c>
      <c r="MO50" s="20" t="n">
        <f aca="false">IF(H_Direct=1,IF(CB50&lt;=0,MN50-CB50*ALB49,MN50-MIN(MIN(CB50*ALB49,JA50+MN50),MN50)),MN50)</f>
        <v>0</v>
      </c>
      <c r="MP50" s="20" t="n">
        <f aca="false">IF(H_Direct=1,IF(CC50&lt;=0,MO50-CC50*ALC49,MO50-MIN(MIN(CC50*ALC49,JB50+MO50),MO50)),MO50)</f>
        <v>0</v>
      </c>
      <c r="MQ50" s="20" t="n">
        <f aca="false">IF(H_Direct=1,IF(CD50&lt;=0,MP50-CD50*ALD49,MP50-MIN(MIN(CD50*ALD49,JC50+MP50),MP50)),MP50)</f>
        <v>0</v>
      </c>
      <c r="MR50" s="20" t="n">
        <f aca="false">IF(H_Direct=1,IF(CE50&lt;=0,MQ50-CE50*ALE49,MQ50-MIN(MIN(CE50*ALE49,JD50+MQ50),MQ50)),MQ50)</f>
        <v>0</v>
      </c>
      <c r="MS50" s="20" t="n">
        <f aca="false">IF(H_Direct=1,IF(CF50&lt;=0,MR50-CF50*ALF49,MR50-MIN(MIN(CF50*ALF49,JE50+MR50),MR50)),MR50)</f>
        <v>0</v>
      </c>
      <c r="MT50" s="20" t="n">
        <f aca="false">IF(H_Direct=1,IF(CG50&lt;=0,MS50-CG50*ALG49,MS50-MIN(MIN(CG50*ALG49,JF50+MS50),MS50)),MS50)</f>
        <v>0</v>
      </c>
      <c r="MU50" s="20" t="n">
        <f aca="false">IF(H_Direct=1,IF(CH50&lt;=0,MT50-CH50*ALH49,MT50-MIN(MIN(CH50*ALH49,JG50+MT50),MT50)),MT50)</f>
        <v>0</v>
      </c>
      <c r="MV50" s="20" t="n">
        <f aca="false">IF(H_Direct=1,IF(CI50&lt;=0,MU50-CI50*ALI49,MU50-MIN(MIN(CI50*ALI49,JH50+MU50),MU50)),MU50)</f>
        <v>0</v>
      </c>
      <c r="MW50" s="20" t="n">
        <f aca="false">IF(H_Direct=1,IF(CJ50&lt;=0,MV50-CJ50*ALJ49,MV50-MIN(MIN(CJ50*ALJ49,JI50+MV50),MV50)),MV50)</f>
        <v>0</v>
      </c>
      <c r="MX50" s="20" t="n">
        <f aca="false">IF(H_Direct=1,IF(CK50&lt;=0,MW50-CK50*ALK49,MW50-MIN(MIN(CK50*ALK49,JJ50+MW50),MW50)),MW50)</f>
        <v>0</v>
      </c>
      <c r="MY50" s="20" t="n">
        <f aca="false">IF(H_Direct=1,IF(CL50&lt;=0,MX50-CL50*ALL49,MX50-MIN(MIN(CL50*ALL49,JK50+MX50),MX50)),MX50)</f>
        <v>0</v>
      </c>
      <c r="MZ50" s="20" t="n">
        <f aca="false">IF(H_Direct=1,IF(CM50&lt;=0,MY50-CM50*ALM49,MY50-MIN(MIN(CM50*ALM49,JL50+MY50),MY50)),MY50)</f>
        <v>0</v>
      </c>
      <c r="NA50" s="20" t="n">
        <f aca="false">IF(H_Direct=1,IF(CN50&lt;=0,MZ50-CN50*ALN49,MZ50-MIN(MIN(CN50*ALN49,JM50+MZ50),MZ50)),MZ50)</f>
        <v>0</v>
      </c>
      <c r="NB50" s="20" t="n">
        <f aca="false">IF(H_Direct=1,IF(CO50&lt;=0,NA50-CO50*ALO49,NA50-MIN(MIN(CO50*ALO49,JN50+NA50),NA50)),NA50)</f>
        <v>0</v>
      </c>
      <c r="NC50" s="20" t="n">
        <f aca="false">IF(H_Direct=1,IF(CP50&lt;=0,NB50-CP50*ALP49,NB50-MIN(MIN(CP50*ALP49,JO50+NB50),NB50)),NB50)</f>
        <v>0</v>
      </c>
      <c r="ND50" s="20" t="n">
        <f aca="false">IF(H_Direct=1,IF(CQ50&lt;=0,NC50-CQ50*ALQ49,NC50-MIN(MIN(CQ50*ALQ49,JP50+NC50),NC50)),NC50)</f>
        <v>0</v>
      </c>
      <c r="NE50" s="20" t="n">
        <f aca="false">IF(H_Direct=1,IF(CR50&lt;=0,ND50-CR50*ALR49,ND50-MIN(MIN(CR50*ALR49,JQ50+ND50),ND50)),ND50)</f>
        <v>0</v>
      </c>
      <c r="NF50" s="20" t="n">
        <f aca="false">IF(H_Direct=1,IF(CS50&lt;=0,NE50-CS50*ALS49,NE50-MIN(MIN(CS50*ALS49,JR50+NE50),NE50)),NE50)</f>
        <v>0</v>
      </c>
      <c r="NG50" s="20" t="n">
        <f aca="false">IF(H_Direct=1,IF(CT50&lt;=0,NF50-CT50*ALT49,NF50-MIN(MIN(CT50*ALT49,JS50+NF50),NF50)),NF50)</f>
        <v>0</v>
      </c>
      <c r="NH50" s="20" t="n">
        <f aca="false">IF(H_Direct=1,IF(CU50&lt;=0,NG50-CU50*ALU49,NG50-MIN(MIN(CU50*ALU49,JT50+NG50),NG50)),NG50)</f>
        <v>0</v>
      </c>
      <c r="NI50" s="20" t="n">
        <f aca="false">IF(H_Direct=1,IF(CV50&lt;=0,NH50-CV50*ALV49,NH50-MIN(MIN(CV50*ALV49,JU50+NH50),NH50)),NH50)</f>
        <v>0</v>
      </c>
      <c r="NJ50" s="20" t="n">
        <f aca="false">IF(H_Direct=1,IF(CW50&lt;=0,NI50-CW50*ALW49,NI50-MIN(MIN(CW50*ALW49,JV50+NI50),NI50)),NI50)</f>
        <v>0</v>
      </c>
      <c r="NK50" s="20" t="n">
        <f aca="false">IF(H_Direct=1,IF(CX50&lt;=0,NJ50-CX50*ALX49,NJ50-MIN(MIN(CX50*ALX49,JW50+NJ50),NJ50)),NJ50)</f>
        <v>0</v>
      </c>
      <c r="NL50" s="20" t="n">
        <f aca="false">IF(H_Direct=1,IF(CY50&lt;=0,NK50-CY50*ALY49,NK50-MIN(MIN(CY50*ALY49,JX50+NK50),NK50)),NK50)</f>
        <v>0</v>
      </c>
      <c r="NM50" s="20" t="n">
        <f aca="false">IF(H_Direct=1,IF(CZ50&lt;=0,NL50-CZ50*ALZ49,NL50-MIN(MIN(CZ50*ALZ49,JY50+NL50),NL50)),NL50)</f>
        <v>0</v>
      </c>
      <c r="NN50" s="20" t="n">
        <f aca="false">IF(H_Direct=1,IF(DA50&lt;=0,NM50-DA50*AMA49,NM50-MIN(MIN(DA50*AMA49,JZ50+NM50),NM50)),NM50)</f>
        <v>0</v>
      </c>
      <c r="NO50" s="20" t="n">
        <f aca="false">IF(H_Direct=1,IF(DB50&lt;=0,NN50-DB50*AMB49,NN50-MIN(MIN(DB50*AMB49,KA50+NN50),NN50)),NN50)</f>
        <v>0</v>
      </c>
      <c r="NP50" s="20" t="n">
        <f aca="false">IF(H_Direct=1,IF(DC50&lt;=0,NO50-DC50*AMC49,NO50-MIN(MIN(DC50*AMC49,KB50+NO50),NO50)),NO50)</f>
        <v>0</v>
      </c>
      <c r="NQ50" s="20" t="n">
        <f aca="false">IF(H_Direct=1,IF(DD50&lt;=0,NP50-DD50*AMD49,NP50-MIN(MIN(DD50*AMD49,KC50+NP50),NP50)),NP50)</f>
        <v>0</v>
      </c>
      <c r="NR50" s="20" t="n">
        <f aca="false">IF(H_Direct=1,IF(DE50&lt;=0,NQ50-DE50*AME49,NQ50-MIN(MIN(DE50*AME49,KD50+NQ50),NQ50)),NQ50)</f>
        <v>0</v>
      </c>
      <c r="NS50" s="20" t="n">
        <f aca="false">IF(H_Direct=1,IF(DF50&lt;=0,NR50-DF50*AMF49,NR50-MIN(MIN(DF50*AMF49,KE50+NR50),NR50)),NR50)</f>
        <v>0</v>
      </c>
      <c r="NT50" s="20" t="n">
        <f aca="false">IF(H_Direct=1,IF(DG50&lt;=0,NS50-DG50*AMG49,NS50-MIN(MIN(DG50*AMG49,KF50+NS50),NS50)),NS50)</f>
        <v>0</v>
      </c>
      <c r="NU50" s="20" t="n">
        <f aca="false">IF(H_Direct=1,IF(DH50&lt;=0,NT50-DH50*AMH49,NT50-MIN(MIN(DH50*AMH49,KG50+NT50),NT50)),NT50)</f>
        <v>0</v>
      </c>
      <c r="NV50" s="20" t="n">
        <f aca="false">IF(H_Direct=1,IF(DI50&lt;=0,NU50-DI50*(P50+S50),NU50-MIN(MIN(DI50*(P50+S50),KH50+NU50),NU50)),NU50)</f>
        <v>0</v>
      </c>
      <c r="NW50" s="20" t="n">
        <f aca="false">NV50</f>
        <v>0</v>
      </c>
      <c r="NX50" s="20" t="n">
        <f aca="false">NW50</f>
        <v>0</v>
      </c>
      <c r="NY50" s="20" t="n">
        <f aca="false">NX50</f>
        <v>0</v>
      </c>
      <c r="NZ50" s="20" t="n">
        <f aca="false">NY50</f>
        <v>0</v>
      </c>
      <c r="OA50" s="20" t="n">
        <f aca="false">NZ50</f>
        <v>0</v>
      </c>
      <c r="OB50" s="20" t="n">
        <f aca="false">OA50</f>
        <v>0</v>
      </c>
      <c r="OC50" s="20" t="n">
        <f aca="false">OB50</f>
        <v>0</v>
      </c>
      <c r="OD50" s="20" t="n">
        <f aca="false">OC50</f>
        <v>0</v>
      </c>
      <c r="OE50" s="20" t="n">
        <f aca="false">OD50</f>
        <v>0</v>
      </c>
      <c r="OF50" s="20" t="n">
        <f aca="false">OE50</f>
        <v>0</v>
      </c>
      <c r="OG50" s="20" t="n">
        <f aca="false">OF50</f>
        <v>0</v>
      </c>
      <c r="OH50" s="20" t="n">
        <f aca="false">OG50</f>
        <v>0</v>
      </c>
      <c r="OI50" s="20" t="n">
        <f aca="false">OH50</f>
        <v>0</v>
      </c>
      <c r="OJ50" s="20" t="n">
        <f aca="false">OI50</f>
        <v>0</v>
      </c>
      <c r="OK50" s="20" t="n">
        <f aca="false">OJ50</f>
        <v>0</v>
      </c>
      <c r="OL50" s="20" t="n">
        <f aca="false">OK50</f>
        <v>0</v>
      </c>
      <c r="OM50" s="20" t="n">
        <f aca="false">OL50</f>
        <v>0</v>
      </c>
      <c r="ON50" s="20" t="n">
        <f aca="false">OM50</f>
        <v>0</v>
      </c>
      <c r="OO50" s="20" t="n">
        <f aca="false">ON50</f>
        <v>0</v>
      </c>
      <c r="OP50" s="20" t="n">
        <f aca="false">OO50</f>
        <v>0</v>
      </c>
      <c r="OQ50" s="20" t="n">
        <f aca="false">OP50</f>
        <v>0</v>
      </c>
      <c r="OR50" s="20" t="n">
        <f aca="false">OQ50</f>
        <v>0</v>
      </c>
      <c r="OS50" s="20" t="n">
        <f aca="false">OR50</f>
        <v>0</v>
      </c>
      <c r="OT50" s="20" t="n">
        <f aca="false">OS50</f>
        <v>0</v>
      </c>
      <c r="OU50" s="20" t="n">
        <f aca="false">OT50</f>
        <v>0</v>
      </c>
      <c r="OV50" s="20" t="n">
        <f aca="false">OU50</f>
        <v>0</v>
      </c>
      <c r="OW50" s="20" t="n">
        <f aca="false">OV50</f>
        <v>0</v>
      </c>
      <c r="OX50" s="20" t="n">
        <f aca="false">OW50</f>
        <v>0</v>
      </c>
      <c r="OY50" s="20" t="n">
        <f aca="false">OX50</f>
        <v>0</v>
      </c>
      <c r="OZ50" s="20" t="n">
        <f aca="false">OY50</f>
        <v>0</v>
      </c>
      <c r="PA50" s="20" t="n">
        <f aca="false">OZ50</f>
        <v>0</v>
      </c>
      <c r="PB50" s="20" t="n">
        <f aca="false">PA50</f>
        <v>0</v>
      </c>
      <c r="PC50" s="20" t="n">
        <f aca="false">PB50</f>
        <v>0</v>
      </c>
      <c r="PD50" s="20" t="n">
        <f aca="false">PC50</f>
        <v>0</v>
      </c>
      <c r="PE50" s="20" t="n">
        <f aca="false">PD50</f>
        <v>0</v>
      </c>
      <c r="PF50" s="20" t="n">
        <f aca="false">PE50</f>
        <v>0</v>
      </c>
      <c r="PG50" s="20" t="n">
        <f aca="false">PF50</f>
        <v>0</v>
      </c>
      <c r="PH50" s="20" t="n">
        <f aca="false">PG50</f>
        <v>0</v>
      </c>
      <c r="PI50" s="20" t="n">
        <f aca="false">PH50</f>
        <v>0</v>
      </c>
      <c r="PJ50" s="20" t="n">
        <f aca="false">PI50</f>
        <v>0</v>
      </c>
      <c r="PK50" s="20" t="n">
        <f aca="false">PJ50</f>
        <v>0</v>
      </c>
      <c r="PL50" s="20" t="n">
        <f aca="false">PK50</f>
        <v>0</v>
      </c>
      <c r="PM50" s="20" t="n">
        <f aca="false">PL50</f>
        <v>0</v>
      </c>
      <c r="PN50" s="20" t="n">
        <f aca="false">PM50</f>
        <v>0</v>
      </c>
      <c r="PO50" s="20" t="n">
        <f aca="false">PN50</f>
        <v>0</v>
      </c>
      <c r="PP50" s="20" t="n">
        <f aca="false">PO50</f>
        <v>0</v>
      </c>
      <c r="PQ50" s="20" t="n">
        <f aca="false">PP50</f>
        <v>0</v>
      </c>
      <c r="PR50" s="20" t="n">
        <f aca="false">IF(H_Direct=1,IF(AKR49&lt;=0,0,IF(BR50&lt;=0,MIN(MAX(0,AB50),AKR49),MIN(MAX(0,AB50),AKR49-G50*MAX(0,BR50*AKR49-(H50+I50))))),MIN(FE50,MAX(0,AB50)))</f>
        <v>0</v>
      </c>
      <c r="PS50" s="20" t="n">
        <f aca="false">IF(H_Direct=1,IF(AKS49&lt;=0,0,IF(BS50&lt;=0,MIN(MAX(0,AB50-SUM(PR50:PR50)),AKS49),MIN(MAX(0,AB50-SUM(PR50:PR50)),AKS49-G50*MAX(0,BS50*AKS49-(WR50+AAE50))))),MIN(FF50,MAX(0,AB50-SUM(PR50:PR50))))</f>
        <v>0</v>
      </c>
      <c r="PT50" s="20" t="n">
        <f aca="false">IF(H_Direct=1,IF(AKT49&lt;=0,0,IF(BT50&lt;=0,MIN(MAX(0,AB50-SUM(PR50:PS50)),AKT49),MIN(MAX(0,AB50-SUM(PR50:PS50)),AKT49-G50*MAX(0,BT50*AKT49-(WS50+AAF50))))),MIN(FG50,MAX(0,AB50-SUM(PR50:PS50))))</f>
        <v>0</v>
      </c>
      <c r="PU50" s="20" t="n">
        <f aca="false">IF(H_Direct=1,IF(AKU49&lt;=0,0,IF(BU50&lt;=0,MIN(MAX(0,AB50-SUM(PR50:PT50)),AKU49),MIN(MAX(0,AB50-SUM(PR50:PT50)),AKU49-G50*MAX(0,BU50*AKU49-(WT50+AAG50))))),MIN(FH50,MAX(0,AB50-SUM(PR50:PT50))))</f>
        <v>0</v>
      </c>
      <c r="PV50" s="20" t="n">
        <f aca="false">IF(H_Direct=1,IF(AKV49&lt;=0,0,IF(BV50&lt;=0,MIN(MAX(0,AB50-SUM(PR50:PU50)),AKV49),MIN(MAX(0,AB50-SUM(PR50:PU50)),AKV49-G50*MAX(0,BV50*AKV49-(WU50+AAH50))))),MIN(FI50,MAX(0,AB50-SUM(PR50:PU50))))</f>
        <v>0</v>
      </c>
      <c r="PW50" s="20" t="n">
        <f aca="false">IF(H_Direct=1,IF(AKW49&lt;=0,0,IF(BW50&lt;=0,MIN(MAX(0,AB50-SUM(PR50:PV50)),AKW49),MIN(MAX(0,AB50-SUM(PR50:PV50)),AKW49-G50*MAX(0,BW50*AKW49-(WV50+AAI50))))),MIN(FJ50,MAX(0,AB50-SUM(PR50:PV50))))</f>
        <v>0</v>
      </c>
      <c r="PX50" s="20" t="n">
        <f aca="false">IF(H_Direct=1,IF(AKX49&lt;=0,0,IF(BX50&lt;=0,MIN(MAX(0,AB50-SUM(PR50:PW50)),AKX49),MIN(MAX(0,AB50-SUM(PR50:PW50)),AKX49-G50*MAX(0,BX50*AKX49-(WW50+AAJ50))))),MIN(FK50,MAX(0,AB50-SUM(PR50:PW50))))</f>
        <v>0</v>
      </c>
      <c r="PY50" s="20" t="n">
        <f aca="false">IF(H_Direct=1,IF(AKY49&lt;=0,0,IF(BY50&lt;=0,MIN(MAX(0,AB50-SUM(PR50:PX50)),AKY49),MIN(MAX(0,AB50-SUM(PR50:PX50)),AKY49-G50*MAX(0,BY50*AKY49-(WX50+AAK50))))),MIN(FL50,MAX(0,AB50-SUM(PR50:PX50))))</f>
        <v>0</v>
      </c>
      <c r="PZ50" s="20" t="n">
        <f aca="false">IF(H_Direct=1,IF(AKZ49&lt;=0,0,IF(BZ50&lt;=0,MIN(MAX(0,AB50-SUM(PR50:PY50)),AKZ49),MIN(MAX(0,AB50-SUM(PR50:PY50)),AKZ49-G50*MAX(0,BZ50*AKZ49-(WY50+AAL50))))),MIN(FM50,MAX(0,AB50-SUM(PR50:PY50))))</f>
        <v>0</v>
      </c>
      <c r="QA50" s="20" t="n">
        <f aca="false">IF(H_Direct=1,IF(ALA49&lt;=0,0,IF(CA50&lt;=0,MIN(MAX(0,AB50-SUM(PR50:PZ50)),ALA49),MIN(MAX(0,AB50-SUM(PR50:PZ50)),ALA49-G50*MAX(0,CA50*ALA49-(WZ50+AAM50))))),MIN(FN50,MAX(0,AB50-SUM(PR50:PZ50))))</f>
        <v>0</v>
      </c>
      <c r="QB50" s="20" t="n">
        <f aca="false">IF(H_Direct=1,IF(ALB49&lt;=0,0,IF(CB50&lt;=0,MIN(MAX(0,AB50-SUM(PR50:QA50)),ALB49),MIN(MAX(0,AB50-SUM(PR50:QA50)),ALB49-G50*MAX(0,CB50*ALB49-(XA50+AAN50))))),MIN(FO50,MAX(0,AB50-SUM(PR50:QA50))))</f>
        <v>0</v>
      </c>
      <c r="QC50" s="20" t="n">
        <f aca="false">IF(H_Direct=1,IF(ALC49&lt;=0,0,IF(CC50&lt;=0,MIN(MAX(0,AB50-SUM(PR50:QB50)),ALC49),MIN(MAX(0,AB50-SUM(PR50:QB50)),ALC49-G50*MAX(0,CC50*ALC49-(XB50+AAO50))))),MIN(FP50,MAX(0,AB50-SUM(PR50:QB50))))</f>
        <v>0</v>
      </c>
      <c r="QD50" s="20" t="n">
        <f aca="false">IF(H_Direct=1,IF(ALD49&lt;=0,0,IF(CD50&lt;=0,MIN(MAX(0,AB50-SUM(PR50:QC50)),ALD49),MIN(MAX(0,AB50-SUM(PR50:QC50)),ALD49-G50*MAX(0,CD50*ALD49-(XC50+AAP50))))),MIN(FQ50,MAX(0,AB50-SUM(PR50:QC50))))</f>
        <v>0</v>
      </c>
      <c r="QE50" s="20" t="n">
        <f aca="false">IF(H_Direct=1,IF(ALE49&lt;=0,0,IF(CE50&lt;=0,MIN(MAX(0,AB50-SUM(PR50:QD50)),ALE49),MIN(MAX(0,AB50-SUM(PR50:QD50)),ALE49-G50*MAX(0,CE50*ALE49-(XD50+AAQ50))))),MIN(FR50,MAX(0,AB50-SUM(PR50:QD50))))</f>
        <v>0</v>
      </c>
      <c r="QF50" s="20" t="n">
        <f aca="false">IF(H_Direct=1,IF(ALF49&lt;=0,0,IF(CF50&lt;=0,MIN(MAX(0,AB50-SUM(PR50:QE50)),ALF49),MIN(MAX(0,AB50-SUM(PR50:QE50)),ALF49-G50*MAX(0,CF50*ALF49-(XE50+AAR50))))),MIN(FS50,MAX(0,AB50-SUM(PR50:QE50))))</f>
        <v>0</v>
      </c>
      <c r="QG50" s="20" t="n">
        <f aca="false">IF(H_Direct=1,IF(ALG49&lt;=0,0,IF(CG50&lt;=0,MIN(MAX(0,AB50-SUM(PR50:QF50)),ALG49),MIN(MAX(0,AB50-SUM(PR50:QF50)),ALG49-G50*MAX(0,CG50*ALG49-(XF50+AAS50))))),MIN(FT50,MAX(0,AB50-SUM(PR50:QF50))))</f>
        <v>0</v>
      </c>
      <c r="QH50" s="20" t="n">
        <f aca="false">IF(H_Direct=1,IF(ALH49&lt;=0,0,IF(CH50&lt;=0,MIN(MAX(0,AB50-SUM(PR50:QG50)),ALH49),MIN(MAX(0,AB50-SUM(PR50:QG50)),ALH49-G50*MAX(0,CH50*ALH49-(XG50+AAT50))))),MIN(FU50,MAX(0,AB50-SUM(PR50:QG50))))</f>
        <v>0</v>
      </c>
      <c r="QI50" s="20" t="n">
        <f aca="false">IF(H_Direct=1,IF(ALI49&lt;=0,0,IF(CI50&lt;=0,MIN(MAX(0,AB50-SUM(PR50:QH50)),ALI49),MIN(MAX(0,AB50-SUM(PR50:QH50)),ALI49-G50*MAX(0,CI50*ALI49-(XH50+AAU50))))),MIN(FV50,MAX(0,AB50-SUM(PR50:QH50))))</f>
        <v>0</v>
      </c>
      <c r="QJ50" s="20" t="n">
        <f aca="false">IF(H_Direct=1,IF(ALJ49&lt;=0,0,IF(CJ50&lt;=0,MIN(MAX(0,AB50-SUM(PR50:QI50)),ALJ49),MIN(MAX(0,AB50-SUM(PR50:QI50)),ALJ49-G50*MAX(0,CJ50*ALJ49-(XI50+AAV50))))),MIN(FW50,MAX(0,AB50-SUM(PR50:QI50))))</f>
        <v>0</v>
      </c>
      <c r="QK50" s="20" t="n">
        <f aca="false">IF(H_Direct=1,IF(ALK49&lt;=0,0,IF(CK50&lt;=0,MIN(MAX(0,AB50-SUM(PR50:QJ50)),ALK49),MIN(MAX(0,AB50-SUM(PR50:QJ50)),ALK49-G50*MAX(0,CK50*ALK49-(XJ50+AAW50))))),MIN(FX50,MAX(0,AB50-SUM(PR50:QJ50))))</f>
        <v>0</v>
      </c>
      <c r="QL50" s="20" t="n">
        <f aca="false">IF(H_Direct=1,IF(ALL49&lt;=0,0,IF(CL50&lt;=0,MIN(MAX(0,AB50-SUM(PR50:QK50)),ALL49),MIN(MAX(0,AB50-SUM(PR50:QK50)),ALL49-G50*MAX(0,CL50*ALL49-(XK50+AAX50))))),MIN(FY50,MAX(0,AB50-SUM(PR50:QK50))))</f>
        <v>0</v>
      </c>
      <c r="QM50" s="20" t="n">
        <f aca="false">IF(H_Direct=1,IF(ALM49&lt;=0,0,IF(CM50&lt;=0,MIN(MAX(0,AB50-SUM(PR50:QL50)),ALM49),MIN(MAX(0,AB50-SUM(PR50:QL50)),ALM49-G50*MAX(0,CM50*ALM49-(XL50+AAY50))))),MIN(FZ50,MAX(0,AB50-SUM(PR50:QL50))))</f>
        <v>0</v>
      </c>
      <c r="QN50" s="20" t="n">
        <f aca="false">IF(H_Direct=1,IF(ALN49&lt;=0,0,IF(CN50&lt;=0,MIN(MAX(0,AB50-SUM(PR50:QM50)),ALN49),MIN(MAX(0,AB50-SUM(PR50:QM50)),ALN49-G50*MAX(0,CN50*ALN49-(XM50+AAZ50))))),MIN(GA50,MAX(0,AB50-SUM(PR50:QM50))))</f>
        <v>0</v>
      </c>
      <c r="QO50" s="20" t="n">
        <f aca="false">IF(H_Direct=1,IF(ALO49&lt;=0,0,IF(CO50&lt;=0,MIN(MAX(0,AB50-SUM(PR50:QN50)),ALO49),MIN(MAX(0,AB50-SUM(PR50:QN50)),ALO49-G50*MAX(0,CO50*ALO49-(XN50+ABA50))))),MIN(GB50,MAX(0,AB50-SUM(PR50:QN50))))</f>
        <v>0</v>
      </c>
      <c r="QP50" s="20" t="n">
        <f aca="false">IF(H_Direct=1,IF(ALP49&lt;=0,0,IF(CP50&lt;=0,MIN(MAX(0,AB50-SUM(PR50:QO50)),ALP49),MIN(MAX(0,AB50-SUM(PR50:QO50)),ALP49-G50*MAX(0,CP50*ALP49-(XO50+ABB50))))),MIN(GC50,MAX(0,AB50-SUM(PR50:QO50))))</f>
        <v>0</v>
      </c>
      <c r="QQ50" s="20" t="n">
        <f aca="false">IF(H_Direct=1,IF(ALQ49&lt;=0,0,IF(CQ50&lt;=0,MIN(MAX(0,AB50-SUM(PR50:QP50)),ALQ49),MIN(MAX(0,AB50-SUM(PR50:QP50)),ALQ49-G50*MAX(0,CQ50*ALQ49-(XP50+ABC50))))),MIN(GD50,MAX(0,AB50-SUM(PR50:QP50))))</f>
        <v>0</v>
      </c>
      <c r="QR50" s="20" t="n">
        <f aca="false">IF(H_Direct=1,IF(ALR49&lt;=0,0,IF(CR50&lt;=0,MIN(MAX(0,AB50-SUM(PR50:QQ50)),ALR49),MIN(MAX(0,AB50-SUM(PR50:QQ50)),ALR49-G50*MAX(0,CR50*ALR49-(XQ50+ABD50))))),MIN(GE50,MAX(0,AB50-SUM(PR50:QQ50))))</f>
        <v>0</v>
      </c>
      <c r="QS50" s="20" t="n">
        <f aca="false">IF(H_Direct=1,IF(ALS49&lt;=0,0,IF(CS50&lt;=0,MIN(MAX(0,AB50-SUM(PR50:QR50)),ALS49),MIN(MAX(0,AB50-SUM(PR50:QR50)),ALS49-G50*MAX(0,CS50*ALS49-(XR50+ABE50))))),MIN(GF50,MAX(0,AB50-SUM(PR50:QR50))))</f>
        <v>0</v>
      </c>
      <c r="QT50" s="20" t="n">
        <f aca="false">IF(H_Direct=1,IF(ALT49&lt;=0,0,IF(CT50&lt;=0,MIN(MAX(0,AB50-SUM(PR50:QS50)),ALT49),MIN(MAX(0,AB50-SUM(PR50:QS50)),ALT49-G50*MAX(0,CT50*ALT49-(XS50+ABF50))))),MIN(GG50,MAX(0,AB50-SUM(PR50:QS50))))</f>
        <v>0</v>
      </c>
      <c r="QU50" s="20" t="n">
        <f aca="false">IF(H_Direct=1,IF(ALU49&lt;=0,0,IF(CU50&lt;=0,MIN(MAX(0,AB50-SUM(PR50:QT50)),ALU49),MIN(MAX(0,AB50-SUM(PR50:QT50)),ALU49-G50*MAX(0,CU50*ALU49-(XT50+ABG50))))),MIN(GH50,MAX(0,AB50-SUM(PR50:QT50))))</f>
        <v>0</v>
      </c>
      <c r="QV50" s="20" t="n">
        <f aca="false">IF(H_Direct=1,IF(ALV49&lt;=0,0,IF(CV50&lt;=0,MIN(MAX(0,AB50-SUM(PR50:QU50)),ALV49),MIN(MAX(0,AB50-SUM(PR50:QU50)),ALV49-G50*MAX(0,CV50*ALV49-(XU50+ABH50))))),MIN(GI50,MAX(0,AB50-SUM(PR50:QU50))))</f>
        <v>0</v>
      </c>
      <c r="QW50" s="20" t="n">
        <f aca="false">IF(H_Direct=1,IF(ALW49&lt;=0,0,IF(CW50&lt;=0,MIN(MAX(0,AB50-SUM(PR50:QV50)),ALW49),MIN(MAX(0,AB50-SUM(PR50:QV50)),ALW49-G50*MAX(0,CW50*ALW49-(XV50+ABI50))))),MIN(GJ50,MAX(0,AB50-SUM(PR50:QV50))))</f>
        <v>0</v>
      </c>
      <c r="QX50" s="20" t="n">
        <f aca="false">IF(H_Direct=1,IF(ALX49&lt;=0,0,IF(CX50&lt;=0,MIN(MAX(0,AB50-SUM(PR50:QW50)),ALX49),MIN(MAX(0,AB50-SUM(PR50:QW50)),ALX49-G50*MAX(0,CX50*ALX49-(XW50+ABJ50))))),MIN(GK50,MAX(0,AB50-SUM(PR50:QW50))))</f>
        <v>0</v>
      </c>
      <c r="QY50" s="20" t="n">
        <f aca="false">IF(H_Direct=1,IF(ALY49&lt;=0,0,IF(CY50&lt;=0,MIN(MAX(0,AB50-SUM(PR50:QX50)),ALY49),MIN(MAX(0,AB50-SUM(PR50:QX50)),ALY49-G50*MAX(0,CY50*ALY49-(XX50+ABK50))))),MIN(GL50,MAX(0,AB50-SUM(PR50:QX50))))</f>
        <v>0</v>
      </c>
      <c r="QZ50" s="20" t="n">
        <f aca="false">IF(H_Direct=1,IF(ALZ49&lt;=0,0,IF(CZ50&lt;=0,MIN(MAX(0,AB50-SUM(PR50:QY50)),ALZ49),MIN(MAX(0,AB50-SUM(PR50:QY50)),ALZ49-G50*MAX(0,CZ50*ALZ49-(XY50+ABL50))))),MIN(GM50,MAX(0,AB50-SUM(PR50:QY50))))</f>
        <v>0</v>
      </c>
      <c r="RA50" s="20" t="n">
        <f aca="false">IF(H_Direct=1,IF(AMA49&lt;=0,0,IF(DA50&lt;=0,MIN(MAX(0,AB50-SUM(PR50:QZ50)),AMA49),MIN(MAX(0,AB50-SUM(PR50:QZ50)),AMA49-G50*MAX(0,DA50*AMA49-(XZ50+ABM50))))),MIN(GN50,MAX(0,AB50-SUM(PR50:QZ50))))</f>
        <v>0</v>
      </c>
      <c r="RB50" s="20" t="n">
        <f aca="false">IF(H_Direct=1,IF(AMB49&lt;=0,0,IF(DB50&lt;=0,MIN(MAX(0,AB50-SUM(PR50:RA50)),AMB49),MIN(MAX(0,AB50-SUM(PR50:RA50)),AMB49-G50*MAX(0,DB50*AMB49-(YA50+ABN50))))),MIN(GO50,MAX(0,AB50-SUM(PR50:RA50))))</f>
        <v>0</v>
      </c>
      <c r="RC50" s="20" t="n">
        <f aca="false">IF(H_Direct=1,IF(AMC49&lt;=0,0,IF(DC50&lt;=0,MIN(MAX(0,AB50-SUM(PR50:RB50)),AMC49),MIN(MAX(0,AB50-SUM(PR50:RB50)),AMC49-G50*MAX(0,DC50*AMC49-(YB50+ABO50))))),MIN(GP50,MAX(0,AB50-SUM(PR50:RB50))))</f>
        <v>0</v>
      </c>
      <c r="RD50" s="20" t="n">
        <f aca="false">IF(H_Direct=1,IF(AMD49&lt;=0,0,IF(DD50&lt;=0,MIN(MAX(0,AB50-SUM(PR50:RC50)),AMD49),MIN(MAX(0,AB50-SUM(PR50:RC50)),AMD49-G50*MAX(0,DD50*AMD49-(YC50+ABP50))))),MIN(GQ50,MAX(0,AB50-SUM(PR50:RC50))))</f>
        <v>0</v>
      </c>
      <c r="RE50" s="20" t="n">
        <f aca="false">IF(H_Direct=1,IF(AME49&lt;=0,0,IF(DE50&lt;=0,MIN(MAX(0,AB50-SUM(PR50:RD50)),AME49),MIN(MAX(0,AB50-SUM(PR50:RD50)),AME49-G50*MAX(0,DE50*AME49-(YD50+ABQ50))))),MIN(GR50,MAX(0,AB50-SUM(PR50:RD50))))</f>
        <v>0</v>
      </c>
      <c r="RF50" s="20" t="n">
        <f aca="false">IF(H_Direct=1,IF(AMF49&lt;=0,0,IF(DF50&lt;=0,MIN(MAX(0,AB50-SUM(PR50:RE50)),AMF49),MIN(MAX(0,AB50-SUM(PR50:RE50)),AMF49-G50*MAX(0,DF50*AMF49-(YE50+ABR50))))),MIN(GS50,MAX(0,AB50-SUM(PR50:RE50))))</f>
        <v>0</v>
      </c>
      <c r="RG50" s="20" t="n">
        <f aca="false">IF(H_Direct=1,IF(AMG49&lt;=0,0,IF(DG50&lt;=0,MIN(MAX(0,AB50-SUM(PR50:RF50)),AMG49),MIN(MAX(0,AB50-SUM(PR50:RF50)),AMG49-G50*MAX(0,DG50*AMG49-(YF50+ABS50))))),MIN(GT50,MAX(0,AB50-SUM(PR50:RF50))))</f>
        <v>0</v>
      </c>
      <c r="RH50" s="20" t="n">
        <f aca="false">IF(H_Direct=1,IF(AMH49&lt;=0,0,IF(DH50&lt;=0,MIN(MAX(0,AB50-SUM(PR50:RG50)),AMH49),MIN(MAX(0,AB50-SUM(PR50:RG50)),AMH49-G50*MAX(0,DH50*AMH49-(YG50+ABT50))))),MIN(GU50,MAX(0,AB50-SUM(PR50:RG50))))</f>
        <v>0</v>
      </c>
      <c r="RI50" s="20" t="n">
        <f aca="false">IF(H_Direct=1,IF((P50+S50)&lt;=0,0,IF(DI50&lt;=0,MIN(MAX(0,AB50-SUM(PR50:RH50)),(P50+S50)),MIN(MAX(0,AB50-SUM(PR50:RH50)),(P50+S50)-G50*MAX(0,DI50*(P50+S50)-(YH50+ABU50))))),MIN(GV50,MAX(0,AB50-SUM(PR50:RH50))))</f>
        <v>0</v>
      </c>
      <c r="RJ50" s="20" t="n">
        <v>0</v>
      </c>
      <c r="RK50" s="20" t="n">
        <v>0</v>
      </c>
      <c r="RL50" s="20" t="n">
        <v>0</v>
      </c>
      <c r="RM50" s="20" t="n">
        <v>0</v>
      </c>
      <c r="RN50" s="20" t="n">
        <v>0</v>
      </c>
      <c r="RO50" s="20" t="n">
        <v>0</v>
      </c>
      <c r="RP50" s="20" t="n">
        <v>0</v>
      </c>
      <c r="RQ50" s="20" t="n">
        <v>0</v>
      </c>
      <c r="RR50" s="20" t="n">
        <v>0</v>
      </c>
      <c r="RS50" s="20" t="n">
        <v>0</v>
      </c>
      <c r="RT50" s="20" t="n">
        <v>0</v>
      </c>
      <c r="RU50" s="20" t="n">
        <v>0</v>
      </c>
      <c r="RV50" s="20" t="n">
        <v>0</v>
      </c>
      <c r="RW50" s="20" t="n">
        <v>0</v>
      </c>
      <c r="RX50" s="20" t="n">
        <v>0</v>
      </c>
      <c r="RY50" s="20" t="n">
        <v>0</v>
      </c>
      <c r="RZ50" s="20" t="n">
        <v>0</v>
      </c>
      <c r="SA50" s="20" t="n">
        <v>0</v>
      </c>
      <c r="SB50" s="20" t="n">
        <v>0</v>
      </c>
      <c r="SC50" s="20" t="n">
        <v>0</v>
      </c>
      <c r="SD50" s="20" t="n">
        <v>0</v>
      </c>
      <c r="SE50" s="20" t="n">
        <v>0</v>
      </c>
      <c r="SF50" s="20" t="n">
        <v>0</v>
      </c>
      <c r="SG50" s="20" t="n">
        <v>0</v>
      </c>
      <c r="SH50" s="20" t="n">
        <v>0</v>
      </c>
      <c r="SI50" s="20" t="n">
        <v>0</v>
      </c>
      <c r="SJ50" s="20" t="n">
        <v>0</v>
      </c>
      <c r="SK50" s="20" t="n">
        <v>0</v>
      </c>
      <c r="SL50" s="20" t="n">
        <v>0</v>
      </c>
      <c r="SM50" s="20" t="n">
        <v>0</v>
      </c>
      <c r="SN50" s="20" t="n">
        <v>0</v>
      </c>
      <c r="SO50" s="20" t="n">
        <v>0</v>
      </c>
      <c r="SP50" s="20" t="n">
        <v>0</v>
      </c>
      <c r="SQ50" s="20" t="n">
        <v>0</v>
      </c>
      <c r="SR50" s="20" t="n">
        <v>0</v>
      </c>
      <c r="SS50" s="20" t="n">
        <v>0</v>
      </c>
      <c r="ST50" s="20" t="n">
        <v>0</v>
      </c>
      <c r="SU50" s="20" t="n">
        <v>0</v>
      </c>
      <c r="SV50" s="20" t="n">
        <v>0</v>
      </c>
      <c r="SW50" s="20" t="n">
        <v>0</v>
      </c>
      <c r="SX50" s="20" t="n">
        <v>0</v>
      </c>
      <c r="SY50" s="20" t="n">
        <v>0</v>
      </c>
      <c r="SZ50" s="20" t="n">
        <v>0</v>
      </c>
      <c r="TA50" s="20" t="n">
        <v>0</v>
      </c>
      <c r="TB50" s="20" t="n">
        <v>0</v>
      </c>
      <c r="TC50" s="20" t="n">
        <v>0</v>
      </c>
      <c r="TD50" s="20" t="n">
        <v>0</v>
      </c>
      <c r="TE50" s="20" t="n">
        <f aca="false">IF(AKR49&lt;=0,0,IF(H_Direct=1,IF(BR50&lt;=0,PR50,IF(PR50&lt;=(H50+I50)/BR50,PR50,(PR50-G50*(H50+I50))/(1-G50*BR50))),PR50/(1-MAX(0,BR50)*H_Exit)))</f>
        <v>0</v>
      </c>
      <c r="TF50" s="20" t="n">
        <f aca="false">IF(AKS49&lt;=0,0,IF(H_Direct=1,IF(BS50&lt;=0,PS50,IF(PS50&lt;=(WR50+AAE50)/BS50,PS50,(PS50-G50*(WR50+AAE50))/(1-G50*BS50))),PS50/(1-MAX(0,BS50)*H_Exit)))</f>
        <v>0</v>
      </c>
      <c r="TG50" s="20" t="n">
        <f aca="false">IF(AKT49&lt;=0,0,IF(H_Direct=1,IF(BT50&lt;=0,PT50,IF(PT50&lt;=(WS50+AAF50)/BT50,PT50,(PT50-G50*(WS50+AAF50))/(1-G50*BT50))),PT50/(1-MAX(0,BT50)*H_Exit)))</f>
        <v>0</v>
      </c>
      <c r="TH50" s="20" t="n">
        <f aca="false">IF(AKU49&lt;=0,0,IF(H_Direct=1,IF(BU50&lt;=0,PU50,IF(PU50&lt;=(WT50+AAG50)/BU50,PU50,(PU50-G50*(WT50+AAG50))/(1-G50*BU50))),PU50/(1-MAX(0,BU50)*H_Exit)))</f>
        <v>0</v>
      </c>
      <c r="TI50" s="20" t="n">
        <f aca="false">IF(AKV49&lt;=0,0,IF(H_Direct=1,IF(BV50&lt;=0,PV50,IF(PV50&lt;=(WU50+AAH50)/BV50,PV50,(PV50-G50*(WU50+AAH50))/(1-G50*BV50))),PV50/(1-MAX(0,BV50)*H_Exit)))</f>
        <v>0</v>
      </c>
      <c r="TJ50" s="20" t="n">
        <f aca="false">IF(AKW49&lt;=0,0,IF(H_Direct=1,IF(BW50&lt;=0,PW50,IF(PW50&lt;=(WV50+AAI50)/BW50,PW50,(PW50-G50*(WV50+AAI50))/(1-G50*BW50))),PW50/(1-MAX(0,BW50)*H_Exit)))</f>
        <v>0</v>
      </c>
      <c r="TK50" s="20" t="n">
        <f aca="false">IF(AKX49&lt;=0,0,IF(H_Direct=1,IF(BX50&lt;=0,PX50,IF(PX50&lt;=(WW50+AAJ50)/BX50,PX50,(PX50-G50*(WW50+AAJ50))/(1-G50*BX50))),PX50/(1-MAX(0,BX50)*H_Exit)))</f>
        <v>0</v>
      </c>
      <c r="TL50" s="20" t="n">
        <f aca="false">IF(AKY49&lt;=0,0,IF(H_Direct=1,IF(BY50&lt;=0,PY50,IF(PY50&lt;=(WX50+AAK50)/BY50,PY50,(PY50-G50*(WX50+AAK50))/(1-G50*BY50))),PY50/(1-MAX(0,BY50)*H_Exit)))</f>
        <v>0</v>
      </c>
      <c r="TM50" s="20" t="n">
        <f aca="false">IF(AKZ49&lt;=0,0,IF(H_Direct=1,IF(BZ50&lt;=0,PZ50,IF(PZ50&lt;=(WY50+AAL50)/BZ50,PZ50,(PZ50-G50*(WY50+AAL50))/(1-G50*BZ50))),PZ50/(1-MAX(0,BZ50)*H_Exit)))</f>
        <v>0</v>
      </c>
      <c r="TN50" s="20" t="n">
        <f aca="false">IF(ALA49&lt;=0,0,IF(H_Direct=1,IF(CA50&lt;=0,QA50,IF(QA50&lt;=(WZ50+AAM50)/CA50,QA50,(QA50-G50*(WZ50+AAM50))/(1-G50*CA50))),QA50/(1-MAX(0,CA50)*H_Exit)))</f>
        <v>0</v>
      </c>
      <c r="TO50" s="20" t="n">
        <f aca="false">IF(ALB49&lt;=0,0,IF(H_Direct=1,IF(CB50&lt;=0,QB50,IF(QB50&lt;=(XA50+AAN50)/CB50,QB50,(QB50-G50*(XA50+AAN50))/(1-G50*CB50))),QB50/(1-MAX(0,CB50)*H_Exit)))</f>
        <v>0</v>
      </c>
      <c r="TP50" s="20" t="n">
        <f aca="false">IF(ALC49&lt;=0,0,IF(H_Direct=1,IF(CC50&lt;=0,QC50,IF(QC50&lt;=(XB50+AAO50)/CC50,QC50,(QC50-G50*(XB50+AAO50))/(1-G50*CC50))),QC50/(1-MAX(0,CC50)*H_Exit)))</f>
        <v>0</v>
      </c>
      <c r="TQ50" s="20" t="n">
        <f aca="false">IF(ALD49&lt;=0,0,IF(H_Direct=1,IF(CD50&lt;=0,QD50,IF(QD50&lt;=(XC50+AAP50)/CD50,QD50,(QD50-G50*(XC50+AAP50))/(1-G50*CD50))),QD50/(1-MAX(0,CD50)*H_Exit)))</f>
        <v>0</v>
      </c>
      <c r="TR50" s="20" t="n">
        <f aca="false">IF(ALE49&lt;=0,0,IF(H_Direct=1,IF(CE50&lt;=0,QE50,IF(QE50&lt;=(XD50+AAQ50)/CE50,QE50,(QE50-G50*(XD50+AAQ50))/(1-G50*CE50))),QE50/(1-MAX(0,CE50)*H_Exit)))</f>
        <v>0</v>
      </c>
      <c r="TS50" s="20" t="n">
        <f aca="false">IF(ALF49&lt;=0,0,IF(H_Direct=1,IF(CF50&lt;=0,QF50,IF(QF50&lt;=(XE50+AAR50)/CF50,QF50,(QF50-G50*(XE50+AAR50))/(1-G50*CF50))),QF50/(1-MAX(0,CF50)*H_Exit)))</f>
        <v>0</v>
      </c>
      <c r="TT50" s="20" t="n">
        <f aca="false">IF(ALG49&lt;=0,0,IF(H_Direct=1,IF(CG50&lt;=0,QG50,IF(QG50&lt;=(XF50+AAS50)/CG50,QG50,(QG50-G50*(XF50+AAS50))/(1-G50*CG50))),QG50/(1-MAX(0,CG50)*H_Exit)))</f>
        <v>0</v>
      </c>
      <c r="TU50" s="20" t="n">
        <f aca="false">IF(ALH49&lt;=0,0,IF(H_Direct=1,IF(CH50&lt;=0,QH50,IF(QH50&lt;=(XG50+AAT50)/CH50,QH50,(QH50-G50*(XG50+AAT50))/(1-G50*CH50))),QH50/(1-MAX(0,CH50)*H_Exit)))</f>
        <v>0</v>
      </c>
      <c r="TV50" s="20" t="n">
        <f aca="false">IF(ALI49&lt;=0,0,IF(H_Direct=1,IF(CI50&lt;=0,QI50,IF(QI50&lt;=(XH50+AAU50)/CI50,QI50,(QI50-G50*(XH50+AAU50))/(1-G50*CI50))),QI50/(1-MAX(0,CI50)*H_Exit)))</f>
        <v>0</v>
      </c>
      <c r="TW50" s="20" t="n">
        <f aca="false">IF(ALJ49&lt;=0,0,IF(H_Direct=1,IF(CJ50&lt;=0,QJ50,IF(QJ50&lt;=(XI50+AAV50)/CJ50,QJ50,(QJ50-G50*(XI50+AAV50))/(1-G50*CJ50))),QJ50/(1-MAX(0,CJ50)*H_Exit)))</f>
        <v>0</v>
      </c>
      <c r="TX50" s="20" t="n">
        <f aca="false">IF(ALK49&lt;=0,0,IF(H_Direct=1,IF(CK50&lt;=0,QK50,IF(QK50&lt;=(XJ50+AAW50)/CK50,QK50,(QK50-G50*(XJ50+AAW50))/(1-G50*CK50))),QK50/(1-MAX(0,CK50)*H_Exit)))</f>
        <v>0</v>
      </c>
      <c r="TY50" s="20" t="n">
        <f aca="false">IF(ALL49&lt;=0,0,IF(H_Direct=1,IF(CL50&lt;=0,QL50,IF(QL50&lt;=(XK50+AAX50)/CL50,QL50,(QL50-G50*(XK50+AAX50))/(1-G50*CL50))),QL50/(1-MAX(0,CL50)*H_Exit)))</f>
        <v>0</v>
      </c>
      <c r="TZ50" s="20" t="n">
        <f aca="false">IF(ALM49&lt;=0,0,IF(H_Direct=1,IF(CM50&lt;=0,QM50,IF(QM50&lt;=(XL50+AAY50)/CM50,QM50,(QM50-G50*(XL50+AAY50))/(1-G50*CM50))),QM50/(1-MAX(0,CM50)*H_Exit)))</f>
        <v>0</v>
      </c>
      <c r="UA50" s="20" t="n">
        <f aca="false">IF(ALN49&lt;=0,0,IF(H_Direct=1,IF(CN50&lt;=0,QN50,IF(QN50&lt;=(XM50+AAZ50)/CN50,QN50,(QN50-G50*(XM50+AAZ50))/(1-G50*CN50))),QN50/(1-MAX(0,CN50)*H_Exit)))</f>
        <v>0</v>
      </c>
      <c r="UB50" s="20" t="n">
        <f aca="false">IF(ALO49&lt;=0,0,IF(H_Direct=1,IF(CO50&lt;=0,QO50,IF(QO50&lt;=(XN50+ABA50)/CO50,QO50,(QO50-G50*(XN50+ABA50))/(1-G50*CO50))),QO50/(1-MAX(0,CO50)*H_Exit)))</f>
        <v>0</v>
      </c>
      <c r="UC50" s="20" t="n">
        <f aca="false">IF(ALP49&lt;=0,0,IF(H_Direct=1,IF(CP50&lt;=0,QP50,IF(QP50&lt;=(XO50+ABB50)/CP50,QP50,(QP50-G50*(XO50+ABB50))/(1-G50*CP50))),QP50/(1-MAX(0,CP50)*H_Exit)))</f>
        <v>0</v>
      </c>
      <c r="UD50" s="20" t="n">
        <f aca="false">IF(ALQ49&lt;=0,0,IF(H_Direct=1,IF(CQ50&lt;=0,QQ50,IF(QQ50&lt;=(XP50+ABC50)/CQ50,QQ50,(QQ50-G50*(XP50+ABC50))/(1-G50*CQ50))),QQ50/(1-MAX(0,CQ50)*H_Exit)))</f>
        <v>0</v>
      </c>
      <c r="UE50" s="20" t="n">
        <f aca="false">IF(ALR49&lt;=0,0,IF(H_Direct=1,IF(CR50&lt;=0,QR50,IF(QR50&lt;=(XQ50+ABD50)/CR50,QR50,(QR50-G50*(XQ50+ABD50))/(1-G50*CR50))),QR50/(1-MAX(0,CR50)*H_Exit)))</f>
        <v>0</v>
      </c>
      <c r="UF50" s="20" t="n">
        <f aca="false">IF(ALS49&lt;=0,0,IF(H_Direct=1,IF(CS50&lt;=0,QS50,IF(QS50&lt;=(XR50+ABE50)/CS50,QS50,(QS50-G50*(XR50+ABE50))/(1-G50*CS50))),QS50/(1-MAX(0,CS50)*H_Exit)))</f>
        <v>0</v>
      </c>
      <c r="UG50" s="20" t="n">
        <f aca="false">IF(ALT49&lt;=0,0,IF(H_Direct=1,IF(CT50&lt;=0,QT50,IF(QT50&lt;=(XS50+ABF50)/CT50,QT50,(QT50-G50*(XS50+ABF50))/(1-G50*CT50))),QT50/(1-MAX(0,CT50)*H_Exit)))</f>
        <v>0</v>
      </c>
      <c r="UH50" s="20" t="n">
        <f aca="false">IF(ALU49&lt;=0,0,IF(H_Direct=1,IF(CU50&lt;=0,QU50,IF(QU50&lt;=(XT50+ABG50)/CU50,QU50,(QU50-G50*(XT50+ABG50))/(1-G50*CU50))),QU50/(1-MAX(0,CU50)*H_Exit)))</f>
        <v>0</v>
      </c>
      <c r="UI50" s="20" t="n">
        <f aca="false">IF(ALV49&lt;=0,0,IF(H_Direct=1,IF(CV50&lt;=0,QV50,IF(QV50&lt;=(XU50+ABH50)/CV50,QV50,(QV50-G50*(XU50+ABH50))/(1-G50*CV50))),QV50/(1-MAX(0,CV50)*H_Exit)))</f>
        <v>0</v>
      </c>
      <c r="UJ50" s="20" t="n">
        <f aca="false">IF(ALW49&lt;=0,0,IF(H_Direct=1,IF(CW50&lt;=0,QW50,IF(QW50&lt;=(XV50+ABI50)/CW50,QW50,(QW50-G50*(XV50+ABI50))/(1-G50*CW50))),QW50/(1-MAX(0,CW50)*H_Exit)))</f>
        <v>0</v>
      </c>
      <c r="UK50" s="20" t="n">
        <f aca="false">IF(ALX49&lt;=0,0,IF(H_Direct=1,IF(CX50&lt;=0,QX50,IF(QX50&lt;=(XW50+ABJ50)/CX50,QX50,(QX50-G50*(XW50+ABJ50))/(1-G50*CX50))),QX50/(1-MAX(0,CX50)*H_Exit)))</f>
        <v>0</v>
      </c>
      <c r="UL50" s="20" t="n">
        <f aca="false">IF(ALY49&lt;=0,0,IF(H_Direct=1,IF(CY50&lt;=0,QY50,IF(QY50&lt;=(XX50+ABK50)/CY50,QY50,(QY50-G50*(XX50+ABK50))/(1-G50*CY50))),QY50/(1-MAX(0,CY50)*H_Exit)))</f>
        <v>0</v>
      </c>
      <c r="UM50" s="20" t="n">
        <f aca="false">IF(ALZ49&lt;=0,0,IF(H_Direct=1,IF(CZ50&lt;=0,QZ50,IF(QZ50&lt;=(XY50+ABL50)/CZ50,QZ50,(QZ50-G50*(XY50+ABL50))/(1-G50*CZ50))),QZ50/(1-MAX(0,CZ50)*H_Exit)))</f>
        <v>0</v>
      </c>
      <c r="UN50" s="20" t="n">
        <f aca="false">IF(AMA49&lt;=0,0,IF(H_Direct=1,IF(DA50&lt;=0,RA50,IF(RA50&lt;=(XZ50+ABM50)/DA50,RA50,(RA50-G50*(XZ50+ABM50))/(1-G50*DA50))),RA50/(1-MAX(0,DA50)*H_Exit)))</f>
        <v>0</v>
      </c>
      <c r="UO50" s="20" t="n">
        <f aca="false">IF(AMB49&lt;=0,0,IF(H_Direct=1,IF(DB50&lt;=0,RB50,IF(RB50&lt;=(YA50+ABN50)/DB50,RB50,(RB50-G50*(YA50+ABN50))/(1-G50*DB50))),RB50/(1-MAX(0,DB50)*H_Exit)))</f>
        <v>0</v>
      </c>
      <c r="UP50" s="20" t="n">
        <f aca="false">IF(AMC49&lt;=0,0,IF(H_Direct=1,IF(DC50&lt;=0,RC50,IF(RC50&lt;=(YB50+ABO50)/DC50,RC50,(RC50-G50*(YB50+ABO50))/(1-G50*DC50))),RC50/(1-MAX(0,DC50)*H_Exit)))</f>
        <v>0</v>
      </c>
      <c r="UQ50" s="20" t="n">
        <f aca="false">IF(AMD49&lt;=0,0,IF(H_Direct=1,IF(DD50&lt;=0,RD50,IF(RD50&lt;=(YC50+ABP50)/DD50,RD50,(RD50-G50*(YC50+ABP50))/(1-G50*DD50))),RD50/(1-MAX(0,DD50)*H_Exit)))</f>
        <v>0</v>
      </c>
      <c r="UR50" s="20" t="n">
        <f aca="false">IF(AME49&lt;=0,0,IF(H_Direct=1,IF(DE50&lt;=0,RE50,IF(RE50&lt;=(YD50+ABQ50)/DE50,RE50,(RE50-G50*(YD50+ABQ50))/(1-G50*DE50))),RE50/(1-MAX(0,DE50)*H_Exit)))</f>
        <v>0</v>
      </c>
      <c r="US50" s="20" t="n">
        <f aca="false">IF(AMF49&lt;=0,0,IF(H_Direct=1,IF(DF50&lt;=0,RF50,IF(RF50&lt;=(YE50+ABR50)/DF50,RF50,(RF50-G50*(YE50+ABR50))/(1-G50*DF50))),RF50/(1-MAX(0,DF50)*H_Exit)))</f>
        <v>0</v>
      </c>
      <c r="UT50" s="20" t="n">
        <f aca="false">IF(AMG49&lt;=0,0,IF(H_Direct=1,IF(DG50&lt;=0,RG50,IF(RG50&lt;=(YF50+ABS50)/DG50,RG50,(RG50-G50*(YF50+ABS50))/(1-G50*DG50))),RG50/(1-MAX(0,DG50)*H_Exit)))</f>
        <v>0</v>
      </c>
      <c r="UU50" s="20" t="n">
        <f aca="false">IF(AMH49&lt;=0,0,IF(H_Direct=1,IF(DH50&lt;=0,RH50,IF(RH50&lt;=(YG50+ABT50)/DH50,RH50,(RH50-G50*(YG50+ABT50))/(1-G50*DH50))),RH50/(1-MAX(0,DH50)*H_Exit)))</f>
        <v>0</v>
      </c>
      <c r="UV50" s="20" t="n">
        <f aca="false">IF((P50+S50)&lt;=0,0,IF(H_Direct=1,IF(DI50&lt;=0,RI50,IF(RI50&lt;=(YH50+ABU50)/DI50,RI50,(RI50-G50*(YH50+ABU50))/(1-G50*DI50))),RI50/(1-MAX(0,DI50)*H_Exit)))</f>
        <v>0</v>
      </c>
      <c r="UW50" s="20" t="n">
        <v>0</v>
      </c>
      <c r="UX50" s="20" t="n">
        <v>0</v>
      </c>
      <c r="UY50" s="20" t="n">
        <v>0</v>
      </c>
      <c r="UZ50" s="20" t="n">
        <v>0</v>
      </c>
      <c r="VA50" s="20" t="n">
        <v>0</v>
      </c>
      <c r="VB50" s="20" t="n">
        <v>0</v>
      </c>
      <c r="VC50" s="20" t="n">
        <v>0</v>
      </c>
      <c r="VD50" s="20" t="n">
        <v>0</v>
      </c>
      <c r="VE50" s="20" t="n">
        <v>0</v>
      </c>
      <c r="VF50" s="20" t="n">
        <v>0</v>
      </c>
      <c r="VG50" s="20" t="n">
        <v>0</v>
      </c>
      <c r="VH50" s="20" t="n">
        <v>0</v>
      </c>
      <c r="VI50" s="20" t="n">
        <v>0</v>
      </c>
      <c r="VJ50" s="20" t="n">
        <v>0</v>
      </c>
      <c r="VK50" s="20" t="n">
        <v>0</v>
      </c>
      <c r="VL50" s="20" t="n">
        <v>0</v>
      </c>
      <c r="VM50" s="20" t="n">
        <v>0</v>
      </c>
      <c r="VN50" s="20" t="n">
        <v>0</v>
      </c>
      <c r="VO50" s="20" t="n">
        <v>0</v>
      </c>
      <c r="VP50" s="20" t="n">
        <v>0</v>
      </c>
      <c r="VQ50" s="20" t="n">
        <v>0</v>
      </c>
      <c r="VR50" s="20" t="n">
        <v>0</v>
      </c>
      <c r="VS50" s="20" t="n">
        <v>0</v>
      </c>
      <c r="VT50" s="20" t="n">
        <v>0</v>
      </c>
      <c r="VU50" s="20" t="n">
        <v>0</v>
      </c>
      <c r="VV50" s="20" t="n">
        <v>0</v>
      </c>
      <c r="VW50" s="20" t="n">
        <v>0</v>
      </c>
      <c r="VX50" s="20" t="n">
        <v>0</v>
      </c>
      <c r="VY50" s="20" t="n">
        <v>0</v>
      </c>
      <c r="VZ50" s="20" t="n">
        <v>0</v>
      </c>
      <c r="WA50" s="20" t="n">
        <v>0</v>
      </c>
      <c r="WB50" s="20" t="n">
        <v>0</v>
      </c>
      <c r="WC50" s="20" t="n">
        <v>0</v>
      </c>
      <c r="WD50" s="20" t="n">
        <v>0</v>
      </c>
      <c r="WE50" s="20" t="n">
        <v>0</v>
      </c>
      <c r="WF50" s="20" t="n">
        <v>0</v>
      </c>
      <c r="WG50" s="20" t="n">
        <v>0</v>
      </c>
      <c r="WH50" s="20" t="n">
        <v>0</v>
      </c>
      <c r="WI50" s="20" t="n">
        <v>0</v>
      </c>
      <c r="WJ50" s="20" t="n">
        <v>0</v>
      </c>
      <c r="WK50" s="20" t="n">
        <v>0</v>
      </c>
      <c r="WL50" s="20" t="n">
        <v>0</v>
      </c>
      <c r="WM50" s="20" t="n">
        <v>0</v>
      </c>
      <c r="WN50" s="20" t="n">
        <v>0</v>
      </c>
      <c r="WO50" s="20" t="n">
        <v>0</v>
      </c>
      <c r="WP50" s="20" t="n">
        <v>0</v>
      </c>
      <c r="WQ50" s="20" t="n">
        <v>0</v>
      </c>
      <c r="WR50" s="20" t="n">
        <f aca="false">IF(AND(H_Direct=1,BR50&gt;0),MAX(0,H50-(MIN(BR50*TE50,(H50+I50))-MIN(MIN(BR50*TE50,(H50+I50)),I50))),H50)</f>
        <v>1270</v>
      </c>
      <c r="WS50" s="20" t="n">
        <f aca="false">IF(AND(H_Direct=1,BS50&gt;0),MAX(0,WR50-(MIN(BS50*TF50,(WR50+AAE50))-MIN(MIN(BS50*TF50,(WR50+AAE50)),AAE50))),WR50)</f>
        <v>1270</v>
      </c>
      <c r="WT50" s="20" t="n">
        <f aca="false">IF(AND(H_Direct=1,BT50&gt;0),MAX(0,WS50-(MIN(BT50*TG50,(WS50+AAF50))-MIN(MIN(BT50*TG50,(WS50+AAF50)),AAF50))),WS50)</f>
        <v>1270</v>
      </c>
      <c r="WU50" s="20" t="n">
        <f aca="false">IF(AND(H_Direct=1,BU50&gt;0),MAX(0,WT50-(MIN(BU50*TH50,(WT50+AAG50))-MIN(MIN(BU50*TH50,(WT50+AAG50)),AAG50))),WT50)</f>
        <v>1270</v>
      </c>
      <c r="WV50" s="20" t="n">
        <f aca="false">IF(AND(H_Direct=1,BV50&gt;0),MAX(0,WU50-(MIN(BV50*TI50,(WU50+AAH50))-MIN(MIN(BV50*TI50,(WU50+AAH50)),AAH50))),WU50)</f>
        <v>1270</v>
      </c>
      <c r="WW50" s="20" t="n">
        <f aca="false">IF(AND(H_Direct=1,BW50&gt;0),MAX(0,WV50-(MIN(BW50*TJ50,(WV50+AAI50))-MIN(MIN(BW50*TJ50,(WV50+AAI50)),AAI50))),WV50)</f>
        <v>1270</v>
      </c>
      <c r="WX50" s="20" t="n">
        <f aca="false">IF(AND(H_Direct=1,BX50&gt;0),MAX(0,WW50-(MIN(BX50*TK50,(WW50+AAJ50))-MIN(MIN(BX50*TK50,(WW50+AAJ50)),AAJ50))),WW50)</f>
        <v>1270</v>
      </c>
      <c r="WY50" s="20" t="n">
        <f aca="false">IF(AND(H_Direct=1,BY50&gt;0),MAX(0,WX50-(MIN(BY50*TL50,(WX50+AAK50))-MIN(MIN(BY50*TL50,(WX50+AAK50)),AAK50))),WX50)</f>
        <v>1270</v>
      </c>
      <c r="WZ50" s="20" t="n">
        <f aca="false">IF(AND(H_Direct=1,BZ50&gt;0),MAX(0,WY50-(MIN(BZ50*TM50,(WY50+AAL50))-MIN(MIN(BZ50*TM50,(WY50+AAL50)),AAL50))),WY50)</f>
        <v>1270</v>
      </c>
      <c r="XA50" s="20" t="n">
        <f aca="false">IF(AND(H_Direct=1,CA50&gt;0),MAX(0,WZ50-(MIN(CA50*TN50,(WZ50+AAM50))-MIN(MIN(CA50*TN50,(WZ50+AAM50)),AAM50))),WZ50)</f>
        <v>1270</v>
      </c>
      <c r="XB50" s="20" t="n">
        <f aca="false">IF(AND(H_Direct=1,CB50&gt;0),MAX(0,XA50-(MIN(CB50*TO50,(XA50+AAN50))-MIN(MIN(CB50*TO50,(XA50+AAN50)),AAN50))),XA50)</f>
        <v>1270</v>
      </c>
      <c r="XC50" s="20" t="n">
        <f aca="false">IF(AND(H_Direct=1,CC50&gt;0),MAX(0,XB50-(MIN(CC50*TP50,(XB50+AAO50))-MIN(MIN(CC50*TP50,(XB50+AAO50)),AAO50))),XB50)</f>
        <v>1270</v>
      </c>
      <c r="XD50" s="20" t="n">
        <f aca="false">IF(AND(H_Direct=1,CD50&gt;0),MAX(0,XC50-(MIN(CD50*TQ50,(XC50+AAP50))-MIN(MIN(CD50*TQ50,(XC50+AAP50)),AAP50))),XC50)</f>
        <v>1270</v>
      </c>
      <c r="XE50" s="20" t="n">
        <f aca="false">IF(AND(H_Direct=1,CE50&gt;0),MAX(0,XD50-(MIN(CE50*TR50,(XD50+AAQ50))-MIN(MIN(CE50*TR50,(XD50+AAQ50)),AAQ50))),XD50)</f>
        <v>1270</v>
      </c>
      <c r="XF50" s="20" t="n">
        <f aca="false">IF(AND(H_Direct=1,CF50&gt;0),MAX(0,XE50-(MIN(CF50*TS50,(XE50+AAR50))-MIN(MIN(CF50*TS50,(XE50+AAR50)),AAR50))),XE50)</f>
        <v>1270</v>
      </c>
      <c r="XG50" s="20" t="n">
        <f aca="false">IF(AND(H_Direct=1,CG50&gt;0),MAX(0,XF50-(MIN(CG50*TT50,(XF50+AAS50))-MIN(MIN(CG50*TT50,(XF50+AAS50)),AAS50))),XF50)</f>
        <v>1270</v>
      </c>
      <c r="XH50" s="20" t="n">
        <f aca="false">IF(AND(H_Direct=1,CH50&gt;0),MAX(0,XG50-(MIN(CH50*TU50,(XG50+AAT50))-MIN(MIN(CH50*TU50,(XG50+AAT50)),AAT50))),XG50)</f>
        <v>1270</v>
      </c>
      <c r="XI50" s="20" t="n">
        <f aca="false">IF(AND(H_Direct=1,CI50&gt;0),MAX(0,XH50-(MIN(CI50*TV50,(XH50+AAU50))-MIN(MIN(CI50*TV50,(XH50+AAU50)),AAU50))),XH50)</f>
        <v>1270</v>
      </c>
      <c r="XJ50" s="20" t="n">
        <f aca="false">IF(AND(H_Direct=1,CJ50&gt;0),MAX(0,XI50-(MIN(CJ50*TW50,(XI50+AAV50))-MIN(MIN(CJ50*TW50,(XI50+AAV50)),AAV50))),XI50)</f>
        <v>1270</v>
      </c>
      <c r="XK50" s="20" t="n">
        <f aca="false">IF(AND(H_Direct=1,CK50&gt;0),MAX(0,XJ50-(MIN(CK50*TX50,(XJ50+AAW50))-MIN(MIN(CK50*TX50,(XJ50+AAW50)),AAW50))),XJ50)</f>
        <v>1270</v>
      </c>
      <c r="XL50" s="20" t="n">
        <f aca="false">IF(AND(H_Direct=1,CL50&gt;0),MAX(0,XK50-(MIN(CL50*TY50,(XK50+AAX50))-MIN(MIN(CL50*TY50,(XK50+AAX50)),AAX50))),XK50)</f>
        <v>1270</v>
      </c>
      <c r="XM50" s="20" t="n">
        <f aca="false">IF(AND(H_Direct=1,CM50&gt;0),MAX(0,XL50-(MIN(CM50*TZ50,(XL50+AAY50))-MIN(MIN(CM50*TZ50,(XL50+AAY50)),AAY50))),XL50)</f>
        <v>1270</v>
      </c>
      <c r="XN50" s="20" t="n">
        <f aca="false">IF(AND(H_Direct=1,CN50&gt;0),MAX(0,XM50-(MIN(CN50*UA50,(XM50+AAZ50))-MIN(MIN(CN50*UA50,(XM50+AAZ50)),AAZ50))),XM50)</f>
        <v>1270</v>
      </c>
      <c r="XO50" s="20" t="n">
        <f aca="false">IF(AND(H_Direct=1,CO50&gt;0),MAX(0,XN50-(MIN(CO50*UB50,(XN50+ABA50))-MIN(MIN(CO50*UB50,(XN50+ABA50)),ABA50))),XN50)</f>
        <v>1270</v>
      </c>
      <c r="XP50" s="20" t="n">
        <f aca="false">IF(AND(H_Direct=1,CP50&gt;0),MAX(0,XO50-(MIN(CP50*UC50,(XO50+ABB50))-MIN(MIN(CP50*UC50,(XO50+ABB50)),ABB50))),XO50)</f>
        <v>1270</v>
      </c>
      <c r="XQ50" s="20" t="n">
        <f aca="false">IF(AND(H_Direct=1,CQ50&gt;0),MAX(0,XP50-(MIN(CQ50*UD50,(XP50+ABC50))-MIN(MIN(CQ50*UD50,(XP50+ABC50)),ABC50))),XP50)</f>
        <v>1270</v>
      </c>
      <c r="XR50" s="20" t="n">
        <f aca="false">IF(AND(H_Direct=1,CR50&gt;0),MAX(0,XQ50-(MIN(CR50*UE50,(XQ50+ABD50))-MIN(MIN(CR50*UE50,(XQ50+ABD50)),ABD50))),XQ50)</f>
        <v>1270</v>
      </c>
      <c r="XS50" s="20" t="n">
        <f aca="false">IF(AND(H_Direct=1,CS50&gt;0),MAX(0,XR50-(MIN(CS50*UF50,(XR50+ABE50))-MIN(MIN(CS50*UF50,(XR50+ABE50)),ABE50))),XR50)</f>
        <v>1270</v>
      </c>
      <c r="XT50" s="20" t="n">
        <f aca="false">IF(AND(H_Direct=1,CT50&gt;0),MAX(0,XS50-(MIN(CT50*UG50,(XS50+ABF50))-MIN(MIN(CT50*UG50,(XS50+ABF50)),ABF50))),XS50)</f>
        <v>1270</v>
      </c>
      <c r="XU50" s="20" t="n">
        <f aca="false">IF(AND(H_Direct=1,CU50&gt;0),MAX(0,XT50-(MIN(CU50*UH50,(XT50+ABG50))-MIN(MIN(CU50*UH50,(XT50+ABG50)),ABG50))),XT50)</f>
        <v>1270</v>
      </c>
      <c r="XV50" s="20" t="n">
        <f aca="false">IF(AND(H_Direct=1,CV50&gt;0),MAX(0,XU50-(MIN(CV50*UI50,(XU50+ABH50))-MIN(MIN(CV50*UI50,(XU50+ABH50)),ABH50))),XU50)</f>
        <v>1270</v>
      </c>
      <c r="XW50" s="20" t="n">
        <f aca="false">IF(AND(H_Direct=1,CW50&gt;0),MAX(0,XV50-(MIN(CW50*UJ50,(XV50+ABI50))-MIN(MIN(CW50*UJ50,(XV50+ABI50)),ABI50))),XV50)</f>
        <v>1270</v>
      </c>
      <c r="XX50" s="20" t="n">
        <f aca="false">IF(AND(H_Direct=1,CX50&gt;0),MAX(0,XW50-(MIN(CX50*UK50,(XW50+ABJ50))-MIN(MIN(CX50*UK50,(XW50+ABJ50)),ABJ50))),XW50)</f>
        <v>1270</v>
      </c>
      <c r="XY50" s="20" t="n">
        <f aca="false">IF(AND(H_Direct=1,CY50&gt;0),MAX(0,XX50-(MIN(CY50*UL50,(XX50+ABK50))-MIN(MIN(CY50*UL50,(XX50+ABK50)),ABK50))),XX50)</f>
        <v>1270</v>
      </c>
      <c r="XZ50" s="20" t="n">
        <f aca="false">IF(AND(H_Direct=1,CZ50&gt;0),MAX(0,XY50-(MIN(CZ50*UM50,(XY50+ABL50))-MIN(MIN(CZ50*UM50,(XY50+ABL50)),ABL50))),XY50)</f>
        <v>1270</v>
      </c>
      <c r="YA50" s="20" t="n">
        <f aca="false">IF(AND(H_Direct=1,DA50&gt;0),MAX(0,XZ50-(MIN(DA50*UN50,(XZ50+ABM50))-MIN(MIN(DA50*UN50,(XZ50+ABM50)),ABM50))),XZ50)</f>
        <v>1270</v>
      </c>
      <c r="YB50" s="20" t="n">
        <f aca="false">IF(AND(H_Direct=1,DB50&gt;0),MAX(0,YA50-(MIN(DB50*UO50,(YA50+ABN50))-MIN(MIN(DB50*UO50,(YA50+ABN50)),ABN50))),YA50)</f>
        <v>1270</v>
      </c>
      <c r="YC50" s="20" t="n">
        <f aca="false">IF(AND(H_Direct=1,DC50&gt;0),MAX(0,YB50-(MIN(DC50*UP50,(YB50+ABO50))-MIN(MIN(DC50*UP50,(YB50+ABO50)),ABO50))),YB50)</f>
        <v>1270</v>
      </c>
      <c r="YD50" s="20" t="n">
        <f aca="false">IF(AND(H_Direct=1,DD50&gt;0),MAX(0,YC50-(MIN(DD50*UQ50,(YC50+ABP50))-MIN(MIN(DD50*UQ50,(YC50+ABP50)),ABP50))),YC50)</f>
        <v>1270</v>
      </c>
      <c r="YE50" s="20" t="n">
        <f aca="false">IF(AND(H_Direct=1,DE50&gt;0),MAX(0,YD50-(MIN(DE50*UR50,(YD50+ABQ50))-MIN(MIN(DE50*UR50,(YD50+ABQ50)),ABQ50))),YD50)</f>
        <v>1270</v>
      </c>
      <c r="YF50" s="20" t="n">
        <f aca="false">IF(AND(H_Direct=1,DF50&gt;0),MAX(0,YE50-(MIN(DF50*US50,(YE50+ABR50))-MIN(MIN(DF50*US50,(YE50+ABR50)),ABR50))),YE50)</f>
        <v>1270</v>
      </c>
      <c r="YG50" s="20" t="n">
        <f aca="false">IF(AND(H_Direct=1,DG50&gt;0),MAX(0,YF50-(MIN(DG50*UT50,(YF50+ABS50))-MIN(MIN(DG50*UT50,(YF50+ABS50)),ABS50))),YF50)</f>
        <v>1270</v>
      </c>
      <c r="YH50" s="20" t="n">
        <f aca="false">IF(AND(H_Direct=1,DH50&gt;0),MAX(0,YG50-(MIN(DH50*UU50,(YG50+ABT50))-MIN(MIN(DH50*UU50,(YG50+ABT50)),ABT50))),YG50)</f>
        <v>1270</v>
      </c>
      <c r="YI50" s="20" t="n">
        <f aca="false">IF(AND(H_Direct=1,DI50&gt;0),MAX(0,YH50-(MIN(DI50*UV50,(YH50+ABU50))-MIN(MIN(DI50*UV50,(YH50+ABU50)),ABU50))),YH50)</f>
        <v>1270</v>
      </c>
      <c r="YJ50" s="20" t="n">
        <f aca="false">YI50</f>
        <v>1270</v>
      </c>
      <c r="YK50" s="20" t="n">
        <f aca="false">YJ50</f>
        <v>1270</v>
      </c>
      <c r="YL50" s="20" t="n">
        <f aca="false">YK50</f>
        <v>1270</v>
      </c>
      <c r="YM50" s="20" t="n">
        <f aca="false">YL50</f>
        <v>1270</v>
      </c>
      <c r="YN50" s="20" t="n">
        <f aca="false">YM50</f>
        <v>1270</v>
      </c>
      <c r="YO50" s="20" t="n">
        <f aca="false">YN50</f>
        <v>1270</v>
      </c>
      <c r="YP50" s="20" t="n">
        <f aca="false">YO50</f>
        <v>1270</v>
      </c>
      <c r="YQ50" s="20" t="n">
        <f aca="false">YP50</f>
        <v>1270</v>
      </c>
      <c r="YR50" s="20" t="n">
        <f aca="false">YQ50</f>
        <v>1270</v>
      </c>
      <c r="YS50" s="20" t="n">
        <f aca="false">YR50</f>
        <v>1270</v>
      </c>
      <c r="YT50" s="20" t="n">
        <f aca="false">YS50</f>
        <v>1270</v>
      </c>
      <c r="YU50" s="20" t="n">
        <f aca="false">YT50</f>
        <v>1270</v>
      </c>
      <c r="YV50" s="20" t="n">
        <f aca="false">YU50</f>
        <v>1270</v>
      </c>
      <c r="YW50" s="20" t="n">
        <f aca="false">YV50</f>
        <v>1270</v>
      </c>
      <c r="YX50" s="20" t="n">
        <f aca="false">YW50</f>
        <v>1270</v>
      </c>
      <c r="YY50" s="20" t="n">
        <f aca="false">YX50</f>
        <v>1270</v>
      </c>
      <c r="YZ50" s="20" t="n">
        <f aca="false">YY50</f>
        <v>1270</v>
      </c>
      <c r="ZA50" s="20" t="n">
        <f aca="false">YZ50</f>
        <v>1270</v>
      </c>
      <c r="ZB50" s="20" t="n">
        <f aca="false">ZA50</f>
        <v>1270</v>
      </c>
      <c r="ZC50" s="20" t="n">
        <f aca="false">ZB50</f>
        <v>1270</v>
      </c>
      <c r="ZD50" s="20" t="n">
        <f aca="false">ZC50</f>
        <v>1270</v>
      </c>
      <c r="ZE50" s="20" t="n">
        <f aca="false">ZD50</f>
        <v>1270</v>
      </c>
      <c r="ZF50" s="20" t="n">
        <f aca="false">ZE50</f>
        <v>1270</v>
      </c>
      <c r="ZG50" s="20" t="n">
        <f aca="false">ZF50</f>
        <v>1270</v>
      </c>
      <c r="ZH50" s="20" t="n">
        <f aca="false">ZG50</f>
        <v>1270</v>
      </c>
      <c r="ZI50" s="20" t="n">
        <f aca="false">ZH50</f>
        <v>1270</v>
      </c>
      <c r="ZJ50" s="20" t="n">
        <f aca="false">ZI50</f>
        <v>1270</v>
      </c>
      <c r="ZK50" s="20" t="n">
        <f aca="false">ZJ50</f>
        <v>1270</v>
      </c>
      <c r="ZL50" s="20" t="n">
        <f aca="false">ZK50</f>
        <v>1270</v>
      </c>
      <c r="ZM50" s="20" t="n">
        <f aca="false">ZL50</f>
        <v>1270</v>
      </c>
      <c r="ZN50" s="20" t="n">
        <f aca="false">ZM50</f>
        <v>1270</v>
      </c>
      <c r="ZO50" s="20" t="n">
        <f aca="false">ZN50</f>
        <v>1270</v>
      </c>
      <c r="ZP50" s="20" t="n">
        <f aca="false">ZO50</f>
        <v>1270</v>
      </c>
      <c r="ZQ50" s="20" t="n">
        <f aca="false">ZP50</f>
        <v>1270</v>
      </c>
      <c r="ZR50" s="20" t="n">
        <f aca="false">ZQ50</f>
        <v>1270</v>
      </c>
      <c r="ZS50" s="20" t="n">
        <f aca="false">ZR50</f>
        <v>1270</v>
      </c>
      <c r="ZT50" s="20" t="n">
        <f aca="false">ZS50</f>
        <v>1270</v>
      </c>
      <c r="ZU50" s="20" t="n">
        <f aca="false">ZT50</f>
        <v>1270</v>
      </c>
      <c r="ZV50" s="20" t="n">
        <f aca="false">ZU50</f>
        <v>1270</v>
      </c>
      <c r="ZW50" s="20" t="n">
        <f aca="false">ZV50</f>
        <v>1270</v>
      </c>
      <c r="ZX50" s="20" t="n">
        <f aca="false">ZW50</f>
        <v>1270</v>
      </c>
      <c r="ZY50" s="20" t="n">
        <f aca="false">ZX50</f>
        <v>1270</v>
      </c>
      <c r="ZZ50" s="20" t="n">
        <f aca="false">ZY50</f>
        <v>1270</v>
      </c>
      <c r="AAA50" s="20" t="n">
        <f aca="false">ZZ50</f>
        <v>1270</v>
      </c>
      <c r="AAB50" s="20" t="n">
        <f aca="false">AAA50</f>
        <v>1270</v>
      </c>
      <c r="AAC50" s="20" t="n">
        <f aca="false">AAB50</f>
        <v>1270</v>
      </c>
      <c r="AAD50" s="20" t="n">
        <f aca="false">AAC50</f>
        <v>1270</v>
      </c>
      <c r="AAE50" s="20" t="n">
        <f aca="false">IF(H_Direct=1,IF(BR50&lt;=0,I50-BR50*TE50,I50-MIN(MIN(BR50*TE50,(H50+I50)),I50)),I50)</f>
        <v>0</v>
      </c>
      <c r="AAF50" s="20" t="n">
        <f aca="false">IF(H_Direct=1,IF(BS50&lt;=0,AAE50-BS50*TF50,AAE50-MIN(MIN(BS50*TF50,(WR50+AAE50)),AAE50)),AAE50)</f>
        <v>0</v>
      </c>
      <c r="AAG50" s="20" t="n">
        <f aca="false">IF(H_Direct=1,IF(BT50&lt;=0,AAF50-BT50*TG50,AAF50-MIN(MIN(BT50*TG50,(WS50+AAF50)),AAF50)),AAF50)</f>
        <v>0</v>
      </c>
      <c r="AAH50" s="20" t="n">
        <f aca="false">IF(H_Direct=1,IF(BU50&lt;=0,AAG50-BU50*TH50,AAG50-MIN(MIN(BU50*TH50,(WT50+AAG50)),AAG50)),AAG50)</f>
        <v>0</v>
      </c>
      <c r="AAI50" s="20" t="n">
        <f aca="false">IF(H_Direct=1,IF(BV50&lt;=0,AAH50-BV50*TI50,AAH50-MIN(MIN(BV50*TI50,(WU50+AAH50)),AAH50)),AAH50)</f>
        <v>0</v>
      </c>
      <c r="AAJ50" s="20" t="n">
        <f aca="false">IF(H_Direct=1,IF(BW50&lt;=0,AAI50-BW50*TJ50,AAI50-MIN(MIN(BW50*TJ50,(WV50+AAI50)),AAI50)),AAI50)</f>
        <v>0</v>
      </c>
      <c r="AAK50" s="20" t="n">
        <f aca="false">IF(H_Direct=1,IF(BX50&lt;=0,AAJ50-BX50*TK50,AAJ50-MIN(MIN(BX50*TK50,(WW50+AAJ50)),AAJ50)),AAJ50)</f>
        <v>0</v>
      </c>
      <c r="AAL50" s="20" t="n">
        <f aca="false">IF(H_Direct=1,IF(BY50&lt;=0,AAK50-BY50*TL50,AAK50-MIN(MIN(BY50*TL50,(WX50+AAK50)),AAK50)),AAK50)</f>
        <v>0</v>
      </c>
      <c r="AAM50" s="20" t="n">
        <f aca="false">IF(H_Direct=1,IF(BZ50&lt;=0,AAL50-BZ50*TM50,AAL50-MIN(MIN(BZ50*TM50,(WY50+AAL50)),AAL50)),AAL50)</f>
        <v>0</v>
      </c>
      <c r="AAN50" s="20" t="n">
        <f aca="false">IF(H_Direct=1,IF(CA50&lt;=0,AAM50-CA50*TN50,AAM50-MIN(MIN(CA50*TN50,(WZ50+AAM50)),AAM50)),AAM50)</f>
        <v>0</v>
      </c>
      <c r="AAO50" s="20" t="n">
        <f aca="false">IF(H_Direct=1,IF(CB50&lt;=0,AAN50-CB50*TO50,AAN50-MIN(MIN(CB50*TO50,(XA50+AAN50)),AAN50)),AAN50)</f>
        <v>0</v>
      </c>
      <c r="AAP50" s="20" t="n">
        <f aca="false">IF(H_Direct=1,IF(CC50&lt;=0,AAO50-CC50*TP50,AAO50-MIN(MIN(CC50*TP50,(XB50+AAO50)),AAO50)),AAO50)</f>
        <v>0</v>
      </c>
      <c r="AAQ50" s="20" t="n">
        <f aca="false">IF(H_Direct=1,IF(CD50&lt;=0,AAP50-CD50*TQ50,AAP50-MIN(MIN(CD50*TQ50,(XC50+AAP50)),AAP50)),AAP50)</f>
        <v>0</v>
      </c>
      <c r="AAR50" s="20" t="n">
        <f aca="false">IF(H_Direct=1,IF(CE50&lt;=0,AAQ50-CE50*TR50,AAQ50-MIN(MIN(CE50*TR50,(XD50+AAQ50)),AAQ50)),AAQ50)</f>
        <v>0</v>
      </c>
      <c r="AAS50" s="20" t="n">
        <f aca="false">IF(H_Direct=1,IF(CF50&lt;=0,AAR50-CF50*TS50,AAR50-MIN(MIN(CF50*TS50,(XE50+AAR50)),AAR50)),AAR50)</f>
        <v>0</v>
      </c>
      <c r="AAT50" s="20" t="n">
        <f aca="false">IF(H_Direct=1,IF(CG50&lt;=0,AAS50-CG50*TT50,AAS50-MIN(MIN(CG50*TT50,(XF50+AAS50)),AAS50)),AAS50)</f>
        <v>0</v>
      </c>
      <c r="AAU50" s="20" t="n">
        <f aca="false">IF(H_Direct=1,IF(CH50&lt;=0,AAT50-CH50*TU50,AAT50-MIN(MIN(CH50*TU50,(XG50+AAT50)),AAT50)),AAT50)</f>
        <v>0</v>
      </c>
      <c r="AAV50" s="20" t="n">
        <f aca="false">IF(H_Direct=1,IF(CI50&lt;=0,AAU50-CI50*TV50,AAU50-MIN(MIN(CI50*TV50,(XH50+AAU50)),AAU50)),AAU50)</f>
        <v>0</v>
      </c>
      <c r="AAW50" s="20" t="n">
        <f aca="false">IF(H_Direct=1,IF(CJ50&lt;=0,AAV50-CJ50*TW50,AAV50-MIN(MIN(CJ50*TW50,(XI50+AAV50)),AAV50)),AAV50)</f>
        <v>0</v>
      </c>
      <c r="AAX50" s="20" t="n">
        <f aca="false">IF(H_Direct=1,IF(CK50&lt;=0,AAW50-CK50*TX50,AAW50-MIN(MIN(CK50*TX50,(XJ50+AAW50)),AAW50)),AAW50)</f>
        <v>0</v>
      </c>
      <c r="AAY50" s="20" t="n">
        <f aca="false">IF(H_Direct=1,IF(CL50&lt;=0,AAX50-CL50*TY50,AAX50-MIN(MIN(CL50*TY50,(XK50+AAX50)),AAX50)),AAX50)</f>
        <v>0</v>
      </c>
      <c r="AAZ50" s="20" t="n">
        <f aca="false">IF(H_Direct=1,IF(CM50&lt;=0,AAY50-CM50*TZ50,AAY50-MIN(MIN(CM50*TZ50,(XL50+AAY50)),AAY50)),AAY50)</f>
        <v>0</v>
      </c>
      <c r="ABA50" s="20" t="n">
        <f aca="false">IF(H_Direct=1,IF(CN50&lt;=0,AAZ50-CN50*UA50,AAZ50-MIN(MIN(CN50*UA50,(XM50+AAZ50)),AAZ50)),AAZ50)</f>
        <v>0</v>
      </c>
      <c r="ABB50" s="20" t="n">
        <f aca="false">IF(H_Direct=1,IF(CO50&lt;=0,ABA50-CO50*UB50,ABA50-MIN(MIN(CO50*UB50,(XN50+ABA50)),ABA50)),ABA50)</f>
        <v>0</v>
      </c>
      <c r="ABC50" s="20" t="n">
        <f aca="false">IF(H_Direct=1,IF(CP50&lt;=0,ABB50-CP50*UC50,ABB50-MIN(MIN(CP50*UC50,(XO50+ABB50)),ABB50)),ABB50)</f>
        <v>0</v>
      </c>
      <c r="ABD50" s="20" t="n">
        <f aca="false">IF(H_Direct=1,IF(CQ50&lt;=0,ABC50-CQ50*UD50,ABC50-MIN(MIN(CQ50*UD50,(XP50+ABC50)),ABC50)),ABC50)</f>
        <v>0</v>
      </c>
      <c r="ABE50" s="20" t="n">
        <f aca="false">IF(H_Direct=1,IF(CR50&lt;=0,ABD50-CR50*UE50,ABD50-MIN(MIN(CR50*UE50,(XQ50+ABD50)),ABD50)),ABD50)</f>
        <v>0</v>
      </c>
      <c r="ABF50" s="20" t="n">
        <f aca="false">IF(H_Direct=1,IF(CS50&lt;=0,ABE50-CS50*UF50,ABE50-MIN(MIN(CS50*UF50,(XR50+ABE50)),ABE50)),ABE50)</f>
        <v>0</v>
      </c>
      <c r="ABG50" s="20" t="n">
        <f aca="false">IF(H_Direct=1,IF(CT50&lt;=0,ABF50-CT50*UG50,ABF50-MIN(MIN(CT50*UG50,(XS50+ABF50)),ABF50)),ABF50)</f>
        <v>0</v>
      </c>
      <c r="ABH50" s="20" t="n">
        <f aca="false">IF(H_Direct=1,IF(CU50&lt;=0,ABG50-CU50*UH50,ABG50-MIN(MIN(CU50*UH50,(XT50+ABG50)),ABG50)),ABG50)</f>
        <v>0</v>
      </c>
      <c r="ABI50" s="20" t="n">
        <f aca="false">IF(H_Direct=1,IF(CV50&lt;=0,ABH50-CV50*UI50,ABH50-MIN(MIN(CV50*UI50,(XU50+ABH50)),ABH50)),ABH50)</f>
        <v>0</v>
      </c>
      <c r="ABJ50" s="20" t="n">
        <f aca="false">IF(H_Direct=1,IF(CW50&lt;=0,ABI50-CW50*UJ50,ABI50-MIN(MIN(CW50*UJ50,(XV50+ABI50)),ABI50)),ABI50)</f>
        <v>0</v>
      </c>
      <c r="ABK50" s="20" t="n">
        <f aca="false">IF(H_Direct=1,IF(CX50&lt;=0,ABJ50-CX50*UK50,ABJ50-MIN(MIN(CX50*UK50,(XW50+ABJ50)),ABJ50)),ABJ50)</f>
        <v>0</v>
      </c>
      <c r="ABL50" s="20" t="n">
        <f aca="false">IF(H_Direct=1,IF(CY50&lt;=0,ABK50-CY50*UL50,ABK50-MIN(MIN(CY50*UL50,(XX50+ABK50)),ABK50)),ABK50)</f>
        <v>0</v>
      </c>
      <c r="ABM50" s="20" t="n">
        <f aca="false">IF(H_Direct=1,IF(CZ50&lt;=0,ABL50-CZ50*UM50,ABL50-MIN(MIN(CZ50*UM50,(XY50+ABL50)),ABL50)),ABL50)</f>
        <v>0</v>
      </c>
      <c r="ABN50" s="20" t="n">
        <f aca="false">IF(H_Direct=1,IF(DA50&lt;=0,ABM50-DA50*UN50,ABM50-MIN(MIN(DA50*UN50,(XZ50+ABM50)),ABM50)),ABM50)</f>
        <v>0</v>
      </c>
      <c r="ABO50" s="20" t="n">
        <f aca="false">IF(H_Direct=1,IF(DB50&lt;=0,ABN50-DB50*UO50,ABN50-MIN(MIN(DB50*UO50,(YA50+ABN50)),ABN50)),ABN50)</f>
        <v>0</v>
      </c>
      <c r="ABP50" s="20" t="n">
        <f aca="false">IF(H_Direct=1,IF(DC50&lt;=0,ABO50-DC50*UP50,ABO50-MIN(MIN(DC50*UP50,(YB50+ABO50)),ABO50)),ABO50)</f>
        <v>0</v>
      </c>
      <c r="ABQ50" s="20" t="n">
        <f aca="false">IF(H_Direct=1,IF(DD50&lt;=0,ABP50-DD50*UQ50,ABP50-MIN(MIN(DD50*UQ50,(YC50+ABP50)),ABP50)),ABP50)</f>
        <v>0</v>
      </c>
      <c r="ABR50" s="20" t="n">
        <f aca="false">IF(H_Direct=1,IF(DE50&lt;=0,ABQ50-DE50*UR50,ABQ50-MIN(MIN(DE50*UR50,(YD50+ABQ50)),ABQ50)),ABQ50)</f>
        <v>0</v>
      </c>
      <c r="ABS50" s="20" t="n">
        <f aca="false">IF(H_Direct=1,IF(DF50&lt;=0,ABR50-DF50*US50,ABR50-MIN(MIN(DF50*US50,(YE50+ABR50)),ABR50)),ABR50)</f>
        <v>0</v>
      </c>
      <c r="ABT50" s="20" t="n">
        <f aca="false">IF(H_Direct=1,IF(DG50&lt;=0,ABS50-DG50*UT50,ABS50-MIN(MIN(DG50*UT50,(YF50+ABS50)),ABS50)),ABS50)</f>
        <v>0</v>
      </c>
      <c r="ABU50" s="20" t="n">
        <f aca="false">IF(H_Direct=1,IF(DH50&lt;=0,ABT50-DH50*UU50,ABT50-MIN(MIN(DH50*UU50,(YG50+ABT50)),ABT50)),ABT50)</f>
        <v>0</v>
      </c>
      <c r="ABV50" s="20" t="n">
        <f aca="false">IF(H_Direct=1,IF(DI50&lt;=0,ABU50-DI50*UV50,ABU50-MIN(MIN(DI50*UV50,(YH50+ABU50)),ABU50)),ABU50)</f>
        <v>0</v>
      </c>
      <c r="ABW50" s="20" t="n">
        <f aca="false">ABV50</f>
        <v>0</v>
      </c>
      <c r="ABX50" s="20" t="n">
        <f aca="false">ABW50</f>
        <v>0</v>
      </c>
      <c r="ABY50" s="20" t="n">
        <f aca="false">ABX50</f>
        <v>0</v>
      </c>
      <c r="ABZ50" s="20" t="n">
        <f aca="false">ABY50</f>
        <v>0</v>
      </c>
      <c r="ACA50" s="20" t="n">
        <f aca="false">ABZ50</f>
        <v>0</v>
      </c>
      <c r="ACB50" s="20" t="n">
        <f aca="false">ACA50</f>
        <v>0</v>
      </c>
      <c r="ACC50" s="20" t="n">
        <f aca="false">ACB50</f>
        <v>0</v>
      </c>
      <c r="ACD50" s="20" t="n">
        <f aca="false">ACC50</f>
        <v>0</v>
      </c>
      <c r="ACE50" s="20" t="n">
        <f aca="false">ACD50</f>
        <v>0</v>
      </c>
      <c r="ACF50" s="20" t="n">
        <f aca="false">ACE50</f>
        <v>0</v>
      </c>
      <c r="ACG50" s="20" t="n">
        <f aca="false">ACF50</f>
        <v>0</v>
      </c>
      <c r="ACH50" s="20" t="n">
        <f aca="false">ACG50</f>
        <v>0</v>
      </c>
      <c r="ACI50" s="20" t="n">
        <f aca="false">ACH50</f>
        <v>0</v>
      </c>
      <c r="ACJ50" s="20" t="n">
        <f aca="false">ACI50</f>
        <v>0</v>
      </c>
      <c r="ACK50" s="20" t="n">
        <f aca="false">ACJ50</f>
        <v>0</v>
      </c>
      <c r="ACL50" s="20" t="n">
        <f aca="false">ACK50</f>
        <v>0</v>
      </c>
      <c r="ACM50" s="20" t="n">
        <f aca="false">ACL50</f>
        <v>0</v>
      </c>
      <c r="ACN50" s="20" t="n">
        <f aca="false">ACM50</f>
        <v>0</v>
      </c>
      <c r="ACO50" s="20" t="n">
        <f aca="false">ACN50</f>
        <v>0</v>
      </c>
      <c r="ACP50" s="20" t="n">
        <f aca="false">ACO50</f>
        <v>0</v>
      </c>
      <c r="ACQ50" s="20" t="n">
        <f aca="false">ACP50</f>
        <v>0</v>
      </c>
      <c r="ACR50" s="20" t="n">
        <f aca="false">ACQ50</f>
        <v>0</v>
      </c>
      <c r="ACS50" s="20" t="n">
        <f aca="false">ACR50</f>
        <v>0</v>
      </c>
      <c r="ACT50" s="20" t="n">
        <f aca="false">ACS50</f>
        <v>0</v>
      </c>
      <c r="ACU50" s="20" t="n">
        <f aca="false">ACT50</f>
        <v>0</v>
      </c>
      <c r="ACV50" s="20" t="n">
        <f aca="false">ACU50</f>
        <v>0</v>
      </c>
      <c r="ACW50" s="20" t="n">
        <f aca="false">ACV50</f>
        <v>0</v>
      </c>
      <c r="ACX50" s="20" t="n">
        <f aca="false">ACW50</f>
        <v>0</v>
      </c>
      <c r="ACY50" s="20" t="n">
        <f aca="false">ACX50</f>
        <v>0</v>
      </c>
      <c r="ACZ50" s="20" t="n">
        <f aca="false">ACY50</f>
        <v>0</v>
      </c>
      <c r="ADA50" s="20" t="n">
        <f aca="false">ACZ50</f>
        <v>0</v>
      </c>
      <c r="ADB50" s="20" t="n">
        <f aca="false">ADA50</f>
        <v>0</v>
      </c>
      <c r="ADC50" s="20" t="n">
        <f aca="false">ADB50</f>
        <v>0</v>
      </c>
      <c r="ADD50" s="20" t="n">
        <f aca="false">ADC50</f>
        <v>0</v>
      </c>
      <c r="ADE50" s="20" t="n">
        <f aca="false">ADD50</f>
        <v>0</v>
      </c>
      <c r="ADF50" s="20" t="n">
        <f aca="false">ADE50</f>
        <v>0</v>
      </c>
      <c r="ADG50" s="20" t="n">
        <f aca="false">ADF50</f>
        <v>0</v>
      </c>
      <c r="ADH50" s="20" t="n">
        <f aca="false">ADG50</f>
        <v>0</v>
      </c>
      <c r="ADI50" s="20" t="n">
        <f aca="false">ADH50</f>
        <v>0</v>
      </c>
      <c r="ADJ50" s="20" t="n">
        <f aca="false">ADI50</f>
        <v>0</v>
      </c>
      <c r="ADK50" s="20" t="n">
        <f aca="false">ADJ50</f>
        <v>0</v>
      </c>
      <c r="ADL50" s="20" t="n">
        <f aca="false">ADK50</f>
        <v>0</v>
      </c>
      <c r="ADM50" s="20" t="n">
        <f aca="false">ADL50</f>
        <v>0</v>
      </c>
      <c r="ADN50" s="20" t="n">
        <f aca="false">ADM50</f>
        <v>0</v>
      </c>
      <c r="ADO50" s="20" t="n">
        <f aca="false">ADN50</f>
        <v>0</v>
      </c>
      <c r="ADP50" s="20" t="n">
        <f aca="false">ADO50</f>
        <v>0</v>
      </c>
      <c r="ADQ50" s="20" t="n">
        <f aca="false">ADP50</f>
        <v>0</v>
      </c>
      <c r="ADR50" s="20" t="n">
        <f aca="false">(AKR49-TE50+0)*(1+BQ50)</f>
        <v>0</v>
      </c>
      <c r="ADS50" s="20" t="n">
        <f aca="false">(AKS49-TF50+0)*(1+BQ50)</f>
        <v>0</v>
      </c>
      <c r="ADT50" s="20" t="n">
        <f aca="false">(AKT49-TG50+0)*(1+BQ50)</f>
        <v>0</v>
      </c>
      <c r="ADU50" s="20" t="n">
        <f aca="false">(AKU49-TH50+0)*(1+BQ50)</f>
        <v>0</v>
      </c>
      <c r="ADV50" s="20" t="n">
        <f aca="false">(AKV49-TI50+0)*(1+BQ50)</f>
        <v>0</v>
      </c>
      <c r="ADW50" s="20" t="n">
        <f aca="false">(AKW49-TJ50+0)*(1+BQ50)</f>
        <v>0</v>
      </c>
      <c r="ADX50" s="20" t="n">
        <f aca="false">(AKX49-TK50+0)*(1+BQ50)</f>
        <v>0</v>
      </c>
      <c r="ADY50" s="20" t="n">
        <f aca="false">(AKY49-TL50+0)*(1+BQ50)</f>
        <v>0</v>
      </c>
      <c r="ADZ50" s="20" t="n">
        <f aca="false">(AKZ49-TM50+0)*(1+BQ50)</f>
        <v>0</v>
      </c>
      <c r="AEA50" s="20" t="n">
        <f aca="false">(ALA49-TN50+0)*(1+BQ50)</f>
        <v>0</v>
      </c>
      <c r="AEB50" s="20" t="n">
        <f aca="false">(ALB49-TO50+0)*(1+BQ50)</f>
        <v>0</v>
      </c>
      <c r="AEC50" s="20" t="n">
        <f aca="false">(ALC49-TP50+0)*(1+BQ50)</f>
        <v>0</v>
      </c>
      <c r="AED50" s="20" t="n">
        <f aca="false">(ALD49-TQ50+0)*(1+BQ50)</f>
        <v>0</v>
      </c>
      <c r="AEE50" s="20" t="n">
        <f aca="false">(ALE49-TR50+0)*(1+BQ50)</f>
        <v>0</v>
      </c>
      <c r="AEF50" s="20" t="n">
        <f aca="false">(ALF49-TS50+0)*(1+BQ50)</f>
        <v>0</v>
      </c>
      <c r="AEG50" s="20" t="n">
        <f aca="false">(ALG49-TT50+0)*(1+BQ50)</f>
        <v>0</v>
      </c>
      <c r="AEH50" s="20" t="n">
        <f aca="false">(ALH49-TU50+0)*(1+BQ50)</f>
        <v>0</v>
      </c>
      <c r="AEI50" s="20" t="n">
        <f aca="false">(ALI49-TV50+0)*(1+BQ50)</f>
        <v>0</v>
      </c>
      <c r="AEJ50" s="20" t="n">
        <f aca="false">(ALJ49-TW50+0)*(1+BQ50)</f>
        <v>0</v>
      </c>
      <c r="AEK50" s="20" t="n">
        <f aca="false">(ALK49-TX50+0)*(1+BQ50)</f>
        <v>0</v>
      </c>
      <c r="AEL50" s="20" t="n">
        <f aca="false">(ALL49-TY50+0)*(1+BQ50)</f>
        <v>0</v>
      </c>
      <c r="AEM50" s="20" t="n">
        <f aca="false">(ALM49-TZ50+0)*(1+BQ50)</f>
        <v>0</v>
      </c>
      <c r="AEN50" s="20" t="n">
        <f aca="false">(ALN49-UA50+0)*(1+BQ50)</f>
        <v>0</v>
      </c>
      <c r="AEO50" s="20" t="n">
        <f aca="false">(ALO49-UB50+0)*(1+BQ50)</f>
        <v>0</v>
      </c>
      <c r="AEP50" s="20" t="n">
        <f aca="false">(ALP49-UC50+0)*(1+BQ50)</f>
        <v>0</v>
      </c>
      <c r="AEQ50" s="20" t="n">
        <f aca="false">(ALQ49-UD50+0)*(1+BQ50)</f>
        <v>0</v>
      </c>
      <c r="AER50" s="20" t="n">
        <f aca="false">(ALR49-UE50+0)*(1+BQ50)</f>
        <v>0</v>
      </c>
      <c r="AES50" s="20" t="n">
        <f aca="false">(ALS49-UF50+0)*(1+BQ50)</f>
        <v>0</v>
      </c>
      <c r="AET50" s="20" t="n">
        <f aca="false">(ALT49-UG50+0)*(1+BQ50)</f>
        <v>0</v>
      </c>
      <c r="AEU50" s="20" t="n">
        <f aca="false">(ALU49-UH50+0)*(1+BQ50)</f>
        <v>0</v>
      </c>
      <c r="AEV50" s="20" t="n">
        <f aca="false">(ALV49-UI50+0)*(1+BQ50)</f>
        <v>0</v>
      </c>
      <c r="AEW50" s="20" t="n">
        <f aca="false">(ALW49-UJ50+0)*(1+BQ50)</f>
        <v>0</v>
      </c>
      <c r="AEX50" s="20" t="n">
        <f aca="false">(ALX49-UK50+0)*(1+BQ50)</f>
        <v>0</v>
      </c>
      <c r="AEY50" s="20" t="n">
        <f aca="false">(ALY49-UL50+0)*(1+BQ50)</f>
        <v>0</v>
      </c>
      <c r="AEZ50" s="20" t="n">
        <f aca="false">(ALZ49-UM50+0)*(1+BQ50)</f>
        <v>0</v>
      </c>
      <c r="AFA50" s="20" t="n">
        <f aca="false">(AMA49-UN50+0)*(1+BQ50)</f>
        <v>0</v>
      </c>
      <c r="AFB50" s="20" t="n">
        <f aca="false">(AMB49-UO50+0)*(1+BQ50)</f>
        <v>0</v>
      </c>
      <c r="AFC50" s="20" t="n">
        <f aca="false">(AMC49-UP50+0)*(1+BQ50)</f>
        <v>0</v>
      </c>
      <c r="AFD50" s="20" t="n">
        <f aca="false">(AMD49-UQ50+0)*(1+BQ50)</f>
        <v>0</v>
      </c>
      <c r="AFE50" s="20" t="n">
        <f aca="false">(AME49-UR50+0)*(1+BQ50)</f>
        <v>0</v>
      </c>
      <c r="AFF50" s="20" t="n">
        <f aca="false">(AMF49-US50+0)*(1+BQ50)</f>
        <v>0</v>
      </c>
      <c r="AFG50" s="20" t="n">
        <f aca="false">(AMG49-UT50+0)*(1+BQ50)</f>
        <v>0</v>
      </c>
      <c r="AFH50" s="20" t="n">
        <f aca="false">(AMH49-UU50+0)*(1+BQ50)</f>
        <v>0</v>
      </c>
      <c r="AFI50" s="20" t="n">
        <f aca="false">((P50+S50)-UV50+BE50)*(1+BQ50)</f>
        <v>0</v>
      </c>
      <c r="AFJ50" s="20" t="n">
        <v>0</v>
      </c>
      <c r="AFK50" s="20" t="n">
        <v>0</v>
      </c>
      <c r="AFL50" s="20" t="n">
        <v>0</v>
      </c>
      <c r="AFM50" s="20" t="n">
        <v>0</v>
      </c>
      <c r="AFN50" s="20" t="n">
        <v>0</v>
      </c>
      <c r="AFO50" s="20" t="n">
        <v>0</v>
      </c>
      <c r="AFP50" s="20" t="n">
        <v>0</v>
      </c>
      <c r="AFQ50" s="20" t="n">
        <v>0</v>
      </c>
      <c r="AFR50" s="20" t="n">
        <v>0</v>
      </c>
      <c r="AFS50" s="20" t="n">
        <v>0</v>
      </c>
      <c r="AFT50" s="20" t="n">
        <v>0</v>
      </c>
      <c r="AFU50" s="20" t="n">
        <v>0</v>
      </c>
      <c r="AFV50" s="20" t="n">
        <v>0</v>
      </c>
      <c r="AFW50" s="20" t="n">
        <v>0</v>
      </c>
      <c r="AFX50" s="20" t="n">
        <v>0</v>
      </c>
      <c r="AFY50" s="20" t="n">
        <v>0</v>
      </c>
      <c r="AFZ50" s="20" t="n">
        <v>0</v>
      </c>
      <c r="AGA50" s="20" t="n">
        <v>0</v>
      </c>
      <c r="AGB50" s="20" t="n">
        <v>0</v>
      </c>
      <c r="AGC50" s="20" t="n">
        <v>0</v>
      </c>
      <c r="AGD50" s="20" t="n">
        <v>0</v>
      </c>
      <c r="AGE50" s="20" t="n">
        <v>0</v>
      </c>
      <c r="AGF50" s="20" t="n">
        <v>0</v>
      </c>
      <c r="AGG50" s="20" t="n">
        <v>0</v>
      </c>
      <c r="AGH50" s="20" t="n">
        <v>0</v>
      </c>
      <c r="AGI50" s="20" t="n">
        <v>0</v>
      </c>
      <c r="AGJ50" s="20" t="n">
        <v>0</v>
      </c>
      <c r="AGK50" s="20" t="n">
        <v>0</v>
      </c>
      <c r="AGL50" s="20" t="n">
        <v>0</v>
      </c>
      <c r="AGM50" s="20" t="n">
        <v>0</v>
      </c>
      <c r="AGN50" s="20" t="n">
        <v>0</v>
      </c>
      <c r="AGO50" s="20" t="n">
        <v>0</v>
      </c>
      <c r="AGP50" s="20" t="n">
        <v>0</v>
      </c>
      <c r="AGQ50" s="20" t="n">
        <v>0</v>
      </c>
      <c r="AGR50" s="20" t="n">
        <v>0</v>
      </c>
      <c r="AGS50" s="20" t="n">
        <v>0</v>
      </c>
      <c r="AGT50" s="20" t="n">
        <v>0</v>
      </c>
      <c r="AGU50" s="20" t="n">
        <v>0</v>
      </c>
      <c r="AGV50" s="20" t="n">
        <v>0</v>
      </c>
      <c r="AGW50" s="20" t="n">
        <v>0</v>
      </c>
      <c r="AGX50" s="20" t="n">
        <v>0</v>
      </c>
      <c r="AGY50" s="20" t="n">
        <v>0</v>
      </c>
      <c r="AGZ50" s="20" t="n">
        <v>0</v>
      </c>
      <c r="AHA50" s="20" t="n">
        <v>0</v>
      </c>
      <c r="AHB50" s="20" t="n">
        <v>0</v>
      </c>
      <c r="AHC50" s="20" t="n">
        <v>0</v>
      </c>
      <c r="AHD50" s="20" t="n">
        <v>0</v>
      </c>
      <c r="AHE50" s="20" t="n">
        <f aca="false">IF(AKR49&gt;0,AOE49-AOE49*TE50/AKR49,0)+0</f>
        <v>0</v>
      </c>
      <c r="AHF50" s="20" t="n">
        <f aca="false">IF(AKS49&gt;0,AOF49-AOF49*TF50/AKS49,0)+0</f>
        <v>0</v>
      </c>
      <c r="AHG50" s="20" t="n">
        <f aca="false">IF(AKT49&gt;0,AOG49-AOG49*TG50/AKT49,0)+0</f>
        <v>0</v>
      </c>
      <c r="AHH50" s="20" t="n">
        <f aca="false">IF(AKU49&gt;0,AOH49-AOH49*TH50/AKU49,0)+0</f>
        <v>0</v>
      </c>
      <c r="AHI50" s="20" t="n">
        <f aca="false">IF(AKV49&gt;0,AOI49-AOI49*TI50/AKV49,0)+0</f>
        <v>0</v>
      </c>
      <c r="AHJ50" s="20" t="n">
        <f aca="false">IF(AKW49&gt;0,AOJ49-AOJ49*TJ50/AKW49,0)+0</f>
        <v>0</v>
      </c>
      <c r="AHK50" s="20" t="n">
        <f aca="false">IF(AKX49&gt;0,AOK49-AOK49*TK50/AKX49,0)+0</f>
        <v>0</v>
      </c>
      <c r="AHL50" s="20" t="n">
        <f aca="false">IF(AKY49&gt;0,AOL49-AOL49*TL50/AKY49,0)+0</f>
        <v>0</v>
      </c>
      <c r="AHM50" s="20" t="n">
        <f aca="false">IF(AKZ49&gt;0,AOM49-AOM49*TM50/AKZ49,0)+0</f>
        <v>0</v>
      </c>
      <c r="AHN50" s="20" t="n">
        <f aca="false">IF(ALA49&gt;0,AON49-AON49*TN50/ALA49,0)+0</f>
        <v>0</v>
      </c>
      <c r="AHO50" s="20" t="n">
        <f aca="false">IF(ALB49&gt;0,AOO49-AOO49*TO50/ALB49,0)+0</f>
        <v>0</v>
      </c>
      <c r="AHP50" s="20" t="n">
        <f aca="false">IF(ALC49&gt;0,AOP49-AOP49*TP50/ALC49,0)+0</f>
        <v>0</v>
      </c>
      <c r="AHQ50" s="20" t="n">
        <f aca="false">IF(ALD49&gt;0,AOQ49-AOQ49*TQ50/ALD49,0)+0</f>
        <v>0</v>
      </c>
      <c r="AHR50" s="20" t="n">
        <f aca="false">IF(ALE49&gt;0,AOR49-AOR49*TR50/ALE49,0)+0</f>
        <v>0</v>
      </c>
      <c r="AHS50" s="20" t="n">
        <f aca="false">IF(ALF49&gt;0,AOS49-AOS49*TS50/ALF49,0)+0</f>
        <v>0</v>
      </c>
      <c r="AHT50" s="20" t="n">
        <f aca="false">IF(ALG49&gt;0,AOT49-AOT49*TT50/ALG49,0)+0</f>
        <v>0</v>
      </c>
      <c r="AHU50" s="20" t="n">
        <f aca="false">IF(ALH49&gt;0,AOU49-AOU49*TU50/ALH49,0)+0</f>
        <v>0</v>
      </c>
      <c r="AHV50" s="20" t="n">
        <f aca="false">IF(ALI49&gt;0,AOV49-AOV49*TV50/ALI49,0)+0</f>
        <v>0</v>
      </c>
      <c r="AHW50" s="20" t="n">
        <f aca="false">IF(ALJ49&gt;0,AOW49-AOW49*TW50/ALJ49,0)+0</f>
        <v>0</v>
      </c>
      <c r="AHX50" s="20" t="n">
        <f aca="false">IF(ALK49&gt;0,AOX49-AOX49*TX50/ALK49,0)+0</f>
        <v>0</v>
      </c>
      <c r="AHY50" s="20" t="n">
        <f aca="false">IF(ALL49&gt;0,AOY49-AOY49*TY50/ALL49,0)+0</f>
        <v>0</v>
      </c>
      <c r="AHZ50" s="20" t="n">
        <f aca="false">IF(ALM49&gt;0,AOZ49-AOZ49*TZ50/ALM49,0)+0</f>
        <v>0</v>
      </c>
      <c r="AIA50" s="20" t="n">
        <f aca="false">IF(ALN49&gt;0,APA49-APA49*UA50/ALN49,0)+0</f>
        <v>0</v>
      </c>
      <c r="AIB50" s="20" t="n">
        <f aca="false">IF(ALO49&gt;0,APB49-APB49*UB50/ALO49,0)+0</f>
        <v>0</v>
      </c>
      <c r="AIC50" s="20" t="n">
        <f aca="false">IF(ALP49&gt;0,APC49-APC49*UC50/ALP49,0)+0</f>
        <v>0</v>
      </c>
      <c r="AID50" s="20" t="n">
        <f aca="false">IF(ALQ49&gt;0,APD49-APD49*UD50/ALQ49,0)+0</f>
        <v>0</v>
      </c>
      <c r="AIE50" s="20" t="n">
        <f aca="false">IF(ALR49&gt;0,APE49-APE49*UE50/ALR49,0)+0</f>
        <v>0</v>
      </c>
      <c r="AIF50" s="20" t="n">
        <f aca="false">IF(ALS49&gt;0,APF49-APF49*UF50/ALS49,0)+0</f>
        <v>0</v>
      </c>
      <c r="AIG50" s="20" t="n">
        <f aca="false">IF(ALT49&gt;0,APG49-APG49*UG50/ALT49,0)+0</f>
        <v>0</v>
      </c>
      <c r="AIH50" s="20" t="n">
        <f aca="false">IF(ALU49&gt;0,APH49-APH49*UH50/ALU49,0)+0</f>
        <v>0</v>
      </c>
      <c r="AII50" s="20" t="n">
        <f aca="false">IF(ALV49&gt;0,API49-API49*UI50/ALV49,0)+0</f>
        <v>0</v>
      </c>
      <c r="AIJ50" s="20" t="n">
        <f aca="false">IF(ALW49&gt;0,APJ49-APJ49*UJ50/ALW49,0)+0</f>
        <v>0</v>
      </c>
      <c r="AIK50" s="20" t="n">
        <f aca="false">IF(ALX49&gt;0,APK49-APK49*UK50/ALX49,0)+0</f>
        <v>0</v>
      </c>
      <c r="AIL50" s="20" t="n">
        <f aca="false">IF(ALY49&gt;0,APL49-APL49*UL50/ALY49,0)+0</f>
        <v>0</v>
      </c>
      <c r="AIM50" s="20" t="n">
        <f aca="false">IF(ALZ49&gt;0,APM49-APM49*UM50/ALZ49,0)+0</f>
        <v>0</v>
      </c>
      <c r="AIN50" s="20" t="n">
        <f aca="false">IF(AMA49&gt;0,APN49-APN49*UN50/AMA49,0)+0</f>
        <v>0</v>
      </c>
      <c r="AIO50" s="20" t="n">
        <f aca="false">IF(AMB49&gt;0,APO49-APO49*UO50/AMB49,0)+0</f>
        <v>0</v>
      </c>
      <c r="AIP50" s="20" t="n">
        <f aca="false">IF(AMC49&gt;0,APP49-APP49*UP50/AMC49,0)+0</f>
        <v>0</v>
      </c>
      <c r="AIQ50" s="20" t="n">
        <f aca="false">IF(AMD49&gt;0,APQ49-APQ49*UQ50/AMD49,0)+0</f>
        <v>0</v>
      </c>
      <c r="AIR50" s="20" t="n">
        <f aca="false">IF(AME49&gt;0,APR49-APR49*UR50/AME49,0)+0</f>
        <v>0</v>
      </c>
      <c r="AIS50" s="20" t="n">
        <f aca="false">IF(AMF49&gt;0,APS49-APS49*US50/AMF49,0)+0</f>
        <v>0</v>
      </c>
      <c r="AIT50" s="20" t="n">
        <f aca="false">IF(AMG49&gt;0,APT49-APT49*UT50/AMG49,0)+0</f>
        <v>0</v>
      </c>
      <c r="AIU50" s="20" t="n">
        <f aca="false">IF(AMH49&gt;0,APU49-APU49*UU50/AMH49,0)+0</f>
        <v>0</v>
      </c>
      <c r="AIV50" s="20" t="n">
        <f aca="false">IF((P50+S50)&gt;0,(P50+S50)-(P50+S50)*UV50/(P50+S50),0)+BE50</f>
        <v>0</v>
      </c>
      <c r="AIW50" s="20" t="n">
        <v>0</v>
      </c>
      <c r="AIX50" s="20" t="n">
        <v>0</v>
      </c>
      <c r="AIY50" s="20" t="n">
        <v>0</v>
      </c>
      <c r="AIZ50" s="20" t="n">
        <v>0</v>
      </c>
      <c r="AJA50" s="20" t="n">
        <v>0</v>
      </c>
      <c r="AJB50" s="20" t="n">
        <v>0</v>
      </c>
      <c r="AJC50" s="20" t="n">
        <v>0</v>
      </c>
      <c r="AJD50" s="20" t="n">
        <v>0</v>
      </c>
      <c r="AJE50" s="20" t="n">
        <v>0</v>
      </c>
      <c r="AJF50" s="20" t="n">
        <v>0</v>
      </c>
      <c r="AJG50" s="20" t="n">
        <v>0</v>
      </c>
      <c r="AJH50" s="20" t="n">
        <v>0</v>
      </c>
      <c r="AJI50" s="20" t="n">
        <v>0</v>
      </c>
      <c r="AJJ50" s="20" t="n">
        <v>0</v>
      </c>
      <c r="AJK50" s="20" t="n">
        <v>0</v>
      </c>
      <c r="AJL50" s="20" t="n">
        <v>0</v>
      </c>
      <c r="AJM50" s="20" t="n">
        <v>0</v>
      </c>
      <c r="AJN50" s="20" t="n">
        <v>0</v>
      </c>
      <c r="AJO50" s="20" t="n">
        <v>0</v>
      </c>
      <c r="AJP50" s="20" t="n">
        <v>0</v>
      </c>
      <c r="AJQ50" s="20" t="n">
        <v>0</v>
      </c>
      <c r="AJR50" s="20" t="n">
        <v>0</v>
      </c>
      <c r="AJS50" s="20" t="n">
        <v>0</v>
      </c>
      <c r="AJT50" s="20" t="n">
        <v>0</v>
      </c>
      <c r="AJU50" s="20" t="n">
        <v>0</v>
      </c>
      <c r="AJV50" s="20" t="n">
        <v>0</v>
      </c>
      <c r="AJW50" s="20" t="n">
        <v>0</v>
      </c>
      <c r="AJX50" s="20" t="n">
        <v>0</v>
      </c>
      <c r="AJY50" s="20" t="n">
        <v>0</v>
      </c>
      <c r="AJZ50" s="20" t="n">
        <v>0</v>
      </c>
      <c r="AKA50" s="20" t="n">
        <v>0</v>
      </c>
      <c r="AKB50" s="20" t="n">
        <v>0</v>
      </c>
      <c r="AKC50" s="20" t="n">
        <v>0</v>
      </c>
      <c r="AKD50" s="20" t="n">
        <v>0</v>
      </c>
      <c r="AKE50" s="20" t="n">
        <v>0</v>
      </c>
      <c r="AKF50" s="20" t="n">
        <v>0</v>
      </c>
      <c r="AKG50" s="20" t="n">
        <v>0</v>
      </c>
      <c r="AKH50" s="20" t="n">
        <v>0</v>
      </c>
      <c r="AKI50" s="20" t="n">
        <v>0</v>
      </c>
      <c r="AKJ50" s="20" t="n">
        <v>0</v>
      </c>
      <c r="AKK50" s="20" t="n">
        <v>0</v>
      </c>
      <c r="AKL50" s="20" t="n">
        <v>0</v>
      </c>
      <c r="AKM50" s="20" t="n">
        <v>0</v>
      </c>
      <c r="AKN50" s="20" t="n">
        <v>0</v>
      </c>
      <c r="AKO50" s="20" t="n">
        <v>0</v>
      </c>
      <c r="AKP50" s="20" t="n">
        <v>0</v>
      </c>
      <c r="AKQ50" s="20" t="n">
        <v>0</v>
      </c>
      <c r="AKR50" s="20" t="n">
        <f aca="false">ADR50-AVE50</f>
        <v>0</v>
      </c>
      <c r="AKS50" s="20" t="n">
        <f aca="false">ADS50-AVF50</f>
        <v>0</v>
      </c>
      <c r="AKT50" s="20" t="n">
        <f aca="false">ADT50-AVG50</f>
        <v>0</v>
      </c>
      <c r="AKU50" s="20" t="n">
        <f aca="false">ADU50-AVH50</f>
        <v>0</v>
      </c>
      <c r="AKV50" s="20" t="n">
        <f aca="false">ADV50-AVI50</f>
        <v>0</v>
      </c>
      <c r="AKW50" s="20" t="n">
        <f aca="false">ADW50-AVJ50</f>
        <v>0</v>
      </c>
      <c r="AKX50" s="20" t="n">
        <f aca="false">ADX50-AVK50</f>
        <v>0</v>
      </c>
      <c r="AKY50" s="20" t="n">
        <f aca="false">ADY50-AVL50</f>
        <v>0</v>
      </c>
      <c r="AKZ50" s="20" t="n">
        <f aca="false">ADZ50-AVM50</f>
        <v>0</v>
      </c>
      <c r="ALA50" s="20" t="n">
        <f aca="false">AEA50-AVN50</f>
        <v>0</v>
      </c>
      <c r="ALB50" s="20" t="n">
        <f aca="false">AEB50-AVO50</f>
        <v>0</v>
      </c>
      <c r="ALC50" s="20" t="n">
        <f aca="false">AEC50-AVP50</f>
        <v>0</v>
      </c>
      <c r="ALD50" s="20" t="n">
        <f aca="false">AED50-AVQ50</f>
        <v>0</v>
      </c>
      <c r="ALE50" s="20" t="n">
        <f aca="false">AEE50-AVR50</f>
        <v>0</v>
      </c>
      <c r="ALF50" s="20" t="n">
        <f aca="false">AEF50-AVS50</f>
        <v>0</v>
      </c>
      <c r="ALG50" s="20" t="n">
        <f aca="false">AEG50-AVT50</f>
        <v>0</v>
      </c>
      <c r="ALH50" s="20" t="n">
        <f aca="false">AEH50-AVU50</f>
        <v>0</v>
      </c>
      <c r="ALI50" s="20" t="n">
        <f aca="false">AEI50-AVV50</f>
        <v>0</v>
      </c>
      <c r="ALJ50" s="20" t="n">
        <f aca="false">AEJ50-AVW50</f>
        <v>0</v>
      </c>
      <c r="ALK50" s="20" t="n">
        <f aca="false">AEK50-AVX50</f>
        <v>0</v>
      </c>
      <c r="ALL50" s="20" t="n">
        <f aca="false">AEL50-AVY50</f>
        <v>0</v>
      </c>
      <c r="ALM50" s="20" t="n">
        <f aca="false">AEM50-AVZ50</f>
        <v>0</v>
      </c>
      <c r="ALN50" s="20" t="n">
        <f aca="false">AEN50-AWA50</f>
        <v>0</v>
      </c>
      <c r="ALO50" s="20" t="n">
        <f aca="false">AEO50-AWB50</f>
        <v>0</v>
      </c>
      <c r="ALP50" s="20" t="n">
        <f aca="false">AEP50-AWC50</f>
        <v>0</v>
      </c>
      <c r="ALQ50" s="20" t="n">
        <f aca="false">AEQ50-AWD50</f>
        <v>0</v>
      </c>
      <c r="ALR50" s="20" t="n">
        <f aca="false">AER50-AWE50</f>
        <v>0</v>
      </c>
      <c r="ALS50" s="20" t="n">
        <f aca="false">AES50-AWF50</f>
        <v>0</v>
      </c>
      <c r="ALT50" s="20" t="n">
        <f aca="false">AET50-AWG50</f>
        <v>0</v>
      </c>
      <c r="ALU50" s="20" t="n">
        <f aca="false">AEU50-AWH50</f>
        <v>0</v>
      </c>
      <c r="ALV50" s="20" t="n">
        <f aca="false">AEV50-AWI50</f>
        <v>0</v>
      </c>
      <c r="ALW50" s="20" t="n">
        <f aca="false">AEW50-AWJ50</f>
        <v>0</v>
      </c>
      <c r="ALX50" s="20" t="n">
        <f aca="false">AEX50-AWK50</f>
        <v>0</v>
      </c>
      <c r="ALY50" s="20" t="n">
        <f aca="false">AEY50-AWL50</f>
        <v>0</v>
      </c>
      <c r="ALZ50" s="20" t="n">
        <f aca="false">AEZ50-AWM50</f>
        <v>0</v>
      </c>
      <c r="AMA50" s="20" t="n">
        <f aca="false">AFA50-AWN50</f>
        <v>0</v>
      </c>
      <c r="AMB50" s="20" t="n">
        <f aca="false">AFB50-AWO50</f>
        <v>0</v>
      </c>
      <c r="AMC50" s="20" t="n">
        <f aca="false">AFC50-AWP50</f>
        <v>0</v>
      </c>
      <c r="AMD50" s="20" t="n">
        <f aca="false">AFD50-AWQ50</f>
        <v>0</v>
      </c>
      <c r="AME50" s="20" t="n">
        <f aca="false">AFE50-AWR50</f>
        <v>0</v>
      </c>
      <c r="AMF50" s="20" t="n">
        <f aca="false">AFF50-AWS50</f>
        <v>0</v>
      </c>
      <c r="AMG50" s="20" t="n">
        <f aca="false">AFG50-AWT50</f>
        <v>0</v>
      </c>
      <c r="AMH50" s="20" t="n">
        <f aca="false">AFH50-AWU50</f>
        <v>0</v>
      </c>
      <c r="AMI50" s="20" t="n">
        <f aca="false">AFI50-AWV50</f>
        <v>0</v>
      </c>
      <c r="AMJ50" s="20" t="n">
        <v>0</v>
      </c>
      <c r="AMK50" s="20" t="n">
        <v>0</v>
      </c>
      <c r="AML50" s="20" t="n">
        <v>0</v>
      </c>
      <c r="AMM50" s="20" t="n">
        <v>0</v>
      </c>
      <c r="AMN50" s="20" t="n">
        <v>0</v>
      </c>
      <c r="AMO50" s="20" t="n">
        <v>0</v>
      </c>
      <c r="AMP50" s="20" t="n">
        <v>0</v>
      </c>
      <c r="AMQ50" s="20" t="n">
        <v>0</v>
      </c>
      <c r="AMR50" s="20" t="n">
        <v>0</v>
      </c>
      <c r="AMS50" s="20" t="n">
        <v>0</v>
      </c>
      <c r="AMT50" s="20" t="n">
        <v>0</v>
      </c>
      <c r="AMU50" s="20" t="n">
        <v>0</v>
      </c>
      <c r="AMV50" s="20" t="n">
        <v>0</v>
      </c>
      <c r="AMW50" s="20" t="n">
        <v>0</v>
      </c>
      <c r="AMX50" s="20" t="n">
        <v>0</v>
      </c>
      <c r="AMY50" s="20" t="n">
        <v>0</v>
      </c>
      <c r="AMZ50" s="20" t="n">
        <v>0</v>
      </c>
      <c r="ANA50" s="20" t="n">
        <v>0</v>
      </c>
      <c r="ANB50" s="20" t="n">
        <v>0</v>
      </c>
      <c r="ANC50" s="20" t="n">
        <v>0</v>
      </c>
      <c r="AND50" s="20" t="n">
        <v>0</v>
      </c>
      <c r="ANE50" s="20" t="n">
        <v>0</v>
      </c>
      <c r="ANF50" s="20" t="n">
        <v>0</v>
      </c>
      <c r="ANG50" s="20" t="n">
        <v>0</v>
      </c>
      <c r="ANH50" s="20" t="n">
        <v>0</v>
      </c>
      <c r="ANI50" s="20" t="n">
        <v>0</v>
      </c>
      <c r="ANJ50" s="20" t="n">
        <v>0</v>
      </c>
      <c r="ANK50" s="20" t="n">
        <v>0</v>
      </c>
      <c r="ANL50" s="20" t="n">
        <v>0</v>
      </c>
      <c r="ANM50" s="20" t="n">
        <v>0</v>
      </c>
      <c r="ANN50" s="20" t="n">
        <v>0</v>
      </c>
      <c r="ANO50" s="20" t="n">
        <v>0</v>
      </c>
      <c r="ANP50" s="20" t="n">
        <v>0</v>
      </c>
      <c r="ANQ50" s="20" t="n">
        <v>0</v>
      </c>
      <c r="ANR50" s="20" t="n">
        <v>0</v>
      </c>
      <c r="ANS50" s="20" t="n">
        <v>0</v>
      </c>
      <c r="ANT50" s="20" t="n">
        <v>0</v>
      </c>
      <c r="ANU50" s="20" t="n">
        <v>0</v>
      </c>
      <c r="ANV50" s="20" t="n">
        <v>0</v>
      </c>
      <c r="ANW50" s="20" t="n">
        <v>0</v>
      </c>
      <c r="ANX50" s="20" t="n">
        <v>0</v>
      </c>
      <c r="ANY50" s="20" t="n">
        <v>0</v>
      </c>
      <c r="ANZ50" s="20" t="n">
        <v>0</v>
      </c>
      <c r="AOA50" s="20" t="n">
        <v>0</v>
      </c>
      <c r="AOB50" s="20" t="n">
        <v>0</v>
      </c>
      <c r="AOC50" s="20" t="n">
        <v>0</v>
      </c>
      <c r="AOD50" s="20" t="n">
        <v>0</v>
      </c>
      <c r="AOE50" s="20" t="n">
        <f aca="false">IF(AND(H_Direct=0,H_TaxEvt=1,ARR49+1&gt;=H_Deemed),AKR50,AHE50)</f>
        <v>0</v>
      </c>
      <c r="AOF50" s="20" t="n">
        <f aca="false">IF(AND(H_Direct=0,H_TaxEvt=1,ARS49+1&gt;=H_Deemed),AKS50,AHF50)</f>
        <v>0</v>
      </c>
      <c r="AOG50" s="20" t="n">
        <f aca="false">IF(AND(H_Direct=0,H_TaxEvt=1,ART49+1&gt;=H_Deemed),AKT50,AHG50)</f>
        <v>0</v>
      </c>
      <c r="AOH50" s="20" t="n">
        <f aca="false">IF(AND(H_Direct=0,H_TaxEvt=1,ARU49+1&gt;=H_Deemed),AKU50,AHH50)</f>
        <v>0</v>
      </c>
      <c r="AOI50" s="20" t="n">
        <f aca="false">IF(AND(H_Direct=0,H_TaxEvt=1,ARV49+1&gt;=H_Deemed),AKV50,AHI50)</f>
        <v>0</v>
      </c>
      <c r="AOJ50" s="20" t="n">
        <f aca="false">IF(AND(H_Direct=0,H_TaxEvt=1,ARW49+1&gt;=H_Deemed),AKW50,AHJ50)</f>
        <v>0</v>
      </c>
      <c r="AOK50" s="20" t="n">
        <f aca="false">IF(AND(H_Direct=0,H_TaxEvt=1,ARX49+1&gt;=H_Deemed),AKX50,AHK50)</f>
        <v>0</v>
      </c>
      <c r="AOL50" s="20" t="n">
        <f aca="false">IF(AND(H_Direct=0,H_TaxEvt=1,ARY49+1&gt;=H_Deemed),AKY50,AHL50)</f>
        <v>0</v>
      </c>
      <c r="AOM50" s="20" t="n">
        <f aca="false">IF(AND(H_Direct=0,H_TaxEvt=1,ARZ49+1&gt;=H_Deemed),AKZ50,AHM50)</f>
        <v>0</v>
      </c>
      <c r="AON50" s="20" t="n">
        <f aca="false">IF(AND(H_Direct=0,H_TaxEvt=1,ASA49+1&gt;=H_Deemed),ALA50,AHN50)</f>
        <v>0</v>
      </c>
      <c r="AOO50" s="20" t="n">
        <f aca="false">IF(AND(H_Direct=0,H_TaxEvt=1,ASB49+1&gt;=H_Deemed),ALB50,AHO50)</f>
        <v>0</v>
      </c>
      <c r="AOP50" s="20" t="n">
        <f aca="false">IF(AND(H_Direct=0,H_TaxEvt=1,ASC49+1&gt;=H_Deemed),ALC50,AHP50)</f>
        <v>0</v>
      </c>
      <c r="AOQ50" s="20" t="n">
        <f aca="false">IF(AND(H_Direct=0,H_TaxEvt=1,ASD49+1&gt;=H_Deemed),ALD50,AHQ50)</f>
        <v>0</v>
      </c>
      <c r="AOR50" s="20" t="n">
        <f aca="false">IF(AND(H_Direct=0,H_TaxEvt=1,ASE49+1&gt;=H_Deemed),ALE50,AHR50)</f>
        <v>0</v>
      </c>
      <c r="AOS50" s="20" t="n">
        <f aca="false">IF(AND(H_Direct=0,H_TaxEvt=1,ASF49+1&gt;=H_Deemed),ALF50,AHS50)</f>
        <v>0</v>
      </c>
      <c r="AOT50" s="20" t="n">
        <f aca="false">IF(AND(H_Direct=0,H_TaxEvt=1,ASG49+1&gt;=H_Deemed),ALG50,AHT50)</f>
        <v>0</v>
      </c>
      <c r="AOU50" s="20" t="n">
        <f aca="false">IF(AND(H_Direct=0,H_TaxEvt=1,ASH49+1&gt;=H_Deemed),ALH50,AHU50)</f>
        <v>0</v>
      </c>
      <c r="AOV50" s="20" t="n">
        <f aca="false">IF(AND(H_Direct=0,H_TaxEvt=1,ASI49+1&gt;=H_Deemed),ALI50,AHV50)</f>
        <v>0</v>
      </c>
      <c r="AOW50" s="20" t="n">
        <f aca="false">IF(AND(H_Direct=0,H_TaxEvt=1,ASJ49+1&gt;=H_Deemed),ALJ50,AHW50)</f>
        <v>0</v>
      </c>
      <c r="AOX50" s="20" t="n">
        <f aca="false">IF(AND(H_Direct=0,H_TaxEvt=1,ASK49+1&gt;=H_Deemed),ALK50,AHX50)</f>
        <v>0</v>
      </c>
      <c r="AOY50" s="20" t="n">
        <f aca="false">IF(AND(H_Direct=0,H_TaxEvt=1,ASL49+1&gt;=H_Deemed),ALL50,AHY50)</f>
        <v>0</v>
      </c>
      <c r="AOZ50" s="20" t="n">
        <f aca="false">IF(AND(H_Direct=0,H_TaxEvt=1,ASM49+1&gt;=H_Deemed),ALM50,AHZ50)</f>
        <v>0</v>
      </c>
      <c r="APA50" s="20" t="n">
        <f aca="false">IF(AND(H_Direct=0,H_TaxEvt=1,ASN49+1&gt;=H_Deemed),ALN50,AIA50)</f>
        <v>0</v>
      </c>
      <c r="APB50" s="20" t="n">
        <f aca="false">IF(AND(H_Direct=0,H_TaxEvt=1,ASO49+1&gt;=H_Deemed),ALO50,AIB50)</f>
        <v>0</v>
      </c>
      <c r="APC50" s="20" t="n">
        <f aca="false">IF(AND(H_Direct=0,H_TaxEvt=1,ASP49+1&gt;=H_Deemed),ALP50,AIC50)</f>
        <v>0</v>
      </c>
      <c r="APD50" s="20" t="n">
        <f aca="false">IF(AND(H_Direct=0,H_TaxEvt=1,ASQ49+1&gt;=H_Deemed),ALQ50,AID50)</f>
        <v>0</v>
      </c>
      <c r="APE50" s="20" t="n">
        <f aca="false">IF(AND(H_Direct=0,H_TaxEvt=1,ASR49+1&gt;=H_Deemed),ALR50,AIE50)</f>
        <v>0</v>
      </c>
      <c r="APF50" s="20" t="n">
        <f aca="false">IF(AND(H_Direct=0,H_TaxEvt=1,ASS49+1&gt;=H_Deemed),ALS50,AIF50)</f>
        <v>0</v>
      </c>
      <c r="APG50" s="20" t="n">
        <f aca="false">IF(AND(H_Direct=0,H_TaxEvt=1,AST49+1&gt;=H_Deemed),ALT50,AIG50)</f>
        <v>0</v>
      </c>
      <c r="APH50" s="20" t="n">
        <f aca="false">IF(AND(H_Direct=0,H_TaxEvt=1,ASU49+1&gt;=H_Deemed),ALU50,AIH50)</f>
        <v>0</v>
      </c>
      <c r="API50" s="20" t="n">
        <f aca="false">IF(AND(H_Direct=0,H_TaxEvt=1,ASV49+1&gt;=H_Deemed),ALV50,AII50)</f>
        <v>0</v>
      </c>
      <c r="APJ50" s="20" t="n">
        <f aca="false">IF(AND(H_Direct=0,H_TaxEvt=1,ASW49+1&gt;=H_Deemed),ALW50,AIJ50)</f>
        <v>0</v>
      </c>
      <c r="APK50" s="20" t="n">
        <f aca="false">IF(AND(H_Direct=0,H_TaxEvt=1,ASX49+1&gt;=H_Deemed),ALX50,AIK50)</f>
        <v>0</v>
      </c>
      <c r="APL50" s="20" t="n">
        <f aca="false">IF(AND(H_Direct=0,H_TaxEvt=1,ASY49+1&gt;=H_Deemed),ALY50,AIL50)</f>
        <v>0</v>
      </c>
      <c r="APM50" s="20" t="n">
        <f aca="false">IF(AND(H_Direct=0,H_TaxEvt=1,ASZ49+1&gt;=H_Deemed),ALZ50,AIM50)</f>
        <v>0</v>
      </c>
      <c r="APN50" s="20" t="n">
        <f aca="false">IF(AND(H_Direct=0,H_TaxEvt=1,ATA49+1&gt;=H_Deemed),AMA50,AIN50)</f>
        <v>0</v>
      </c>
      <c r="APO50" s="20" t="n">
        <f aca="false">IF(AND(H_Direct=0,H_TaxEvt=1,ATB49+1&gt;=H_Deemed),AMB50,AIO50)</f>
        <v>0</v>
      </c>
      <c r="APP50" s="20" t="n">
        <f aca="false">IF(AND(H_Direct=0,H_TaxEvt=1,ATC49+1&gt;=H_Deemed),AMC50,AIP50)</f>
        <v>0</v>
      </c>
      <c r="APQ50" s="20" t="n">
        <f aca="false">IF(AND(H_Direct=0,H_TaxEvt=1,ATD49+1&gt;=H_Deemed),AMD50,AIQ50)</f>
        <v>0</v>
      </c>
      <c r="APR50" s="20" t="n">
        <f aca="false">IF(AND(H_Direct=0,H_TaxEvt=1,ATE49+1&gt;=H_Deemed),AME50,AIR50)</f>
        <v>0</v>
      </c>
      <c r="APS50" s="20" t="n">
        <f aca="false">IF(AND(H_Direct=0,H_TaxEvt=1,ATF49+1&gt;=H_Deemed),AMF50,AIS50)</f>
        <v>0</v>
      </c>
      <c r="APT50" s="20" t="n">
        <f aca="false">IF(AND(H_Direct=0,H_TaxEvt=1,ATG49+1&gt;=H_Deemed),AMG50,AIT50)</f>
        <v>0</v>
      </c>
      <c r="APU50" s="20" t="n">
        <f aca="false">IF(AND(H_Direct=0,H_TaxEvt=1,ATH49+1&gt;=H_Deemed),AMH50,AIU50)</f>
        <v>0</v>
      </c>
      <c r="APV50" s="20" t="n">
        <f aca="false">IF(AND(H_Direct=0,H_TaxEvt=1,0+1&gt;=H_Deemed),AMI50,AIV50)</f>
        <v>0</v>
      </c>
      <c r="APW50" s="20" t="n">
        <v>0</v>
      </c>
      <c r="APX50" s="20" t="n">
        <v>0</v>
      </c>
      <c r="APY50" s="20" t="n">
        <v>0</v>
      </c>
      <c r="APZ50" s="20" t="n">
        <v>0</v>
      </c>
      <c r="AQA50" s="20" t="n">
        <v>0</v>
      </c>
      <c r="AQB50" s="20" t="n">
        <v>0</v>
      </c>
      <c r="AQC50" s="20" t="n">
        <v>0</v>
      </c>
      <c r="AQD50" s="20" t="n">
        <v>0</v>
      </c>
      <c r="AQE50" s="20" t="n">
        <v>0</v>
      </c>
      <c r="AQF50" s="20" t="n">
        <v>0</v>
      </c>
      <c r="AQG50" s="20" t="n">
        <v>0</v>
      </c>
      <c r="AQH50" s="20" t="n">
        <v>0</v>
      </c>
      <c r="AQI50" s="20" t="n">
        <v>0</v>
      </c>
      <c r="AQJ50" s="20" t="n">
        <v>0</v>
      </c>
      <c r="AQK50" s="20" t="n">
        <v>0</v>
      </c>
      <c r="AQL50" s="20" t="n">
        <v>0</v>
      </c>
      <c r="AQM50" s="20" t="n">
        <v>0</v>
      </c>
      <c r="AQN50" s="20" t="n">
        <v>0</v>
      </c>
      <c r="AQO50" s="20" t="n">
        <v>0</v>
      </c>
      <c r="AQP50" s="20" t="n">
        <v>0</v>
      </c>
      <c r="AQQ50" s="20" t="n">
        <v>0</v>
      </c>
      <c r="AQR50" s="20" t="n">
        <v>0</v>
      </c>
      <c r="AQS50" s="20" t="n">
        <v>0</v>
      </c>
      <c r="AQT50" s="20" t="n">
        <v>0</v>
      </c>
      <c r="AQU50" s="20" t="n">
        <v>0</v>
      </c>
      <c r="AQV50" s="20" t="n">
        <v>0</v>
      </c>
      <c r="AQW50" s="20" t="n">
        <v>0</v>
      </c>
      <c r="AQX50" s="20" t="n">
        <v>0</v>
      </c>
      <c r="AQY50" s="20" t="n">
        <v>0</v>
      </c>
      <c r="AQZ50" s="20" t="n">
        <v>0</v>
      </c>
      <c r="ARA50" s="20" t="n">
        <v>0</v>
      </c>
      <c r="ARB50" s="20" t="n">
        <v>0</v>
      </c>
      <c r="ARC50" s="20" t="n">
        <v>0</v>
      </c>
      <c r="ARD50" s="20" t="n">
        <v>0</v>
      </c>
      <c r="ARE50" s="20" t="n">
        <v>0</v>
      </c>
      <c r="ARF50" s="20" t="n">
        <v>0</v>
      </c>
      <c r="ARG50" s="20" t="n">
        <v>0</v>
      </c>
      <c r="ARH50" s="20" t="n">
        <v>0</v>
      </c>
      <c r="ARI50" s="20" t="n">
        <v>0</v>
      </c>
      <c r="ARJ50" s="20" t="n">
        <v>0</v>
      </c>
      <c r="ARK50" s="20" t="n">
        <v>0</v>
      </c>
      <c r="ARL50" s="20" t="n">
        <v>0</v>
      </c>
      <c r="ARM50" s="20" t="n">
        <v>0</v>
      </c>
      <c r="ARN50" s="20" t="n">
        <v>0</v>
      </c>
      <c r="ARO50" s="20" t="n">
        <v>0</v>
      </c>
      <c r="ARP50" s="20" t="n">
        <v>0</v>
      </c>
      <c r="ARQ50" s="20" t="n">
        <v>0</v>
      </c>
      <c r="ARR50" s="20" t="n">
        <f aca="false">IF(AND(H_Direct=0,H_TaxEvt=1),IF(ARR49+1&gt;=H_Deemed,0,ARR49+1),ARR49)</f>
        <v>3</v>
      </c>
      <c r="ARS50" s="20" t="n">
        <f aca="false">IF(AND(H_Direct=0,H_TaxEvt=1),IF(ARS49+1&gt;=H_Deemed,0,ARS49+1),ARS49)</f>
        <v>3</v>
      </c>
      <c r="ART50" s="20" t="n">
        <f aca="false">IF(AND(H_Direct=0,H_TaxEvt=1),IF(ART49+1&gt;=H_Deemed,0,ART49+1),ART49)</f>
        <v>2</v>
      </c>
      <c r="ARU50" s="20" t="n">
        <f aca="false">IF(AND(H_Direct=0,H_TaxEvt=1),IF(ARU49+1&gt;=H_Deemed,0,ARU49+1),ARU49)</f>
        <v>1</v>
      </c>
      <c r="ARV50" s="20" t="n">
        <f aca="false">IF(AND(H_Direct=0,H_TaxEvt=1),IF(ARV49+1&gt;=H_Deemed,0,ARV49+1),ARV49)</f>
        <v>0</v>
      </c>
      <c r="ARW50" s="20" t="n">
        <f aca="false">IF(AND(H_Direct=0,H_TaxEvt=1),IF(ARW49+1&gt;=H_Deemed,0,ARW49+1),ARW49)</f>
        <v>7</v>
      </c>
      <c r="ARX50" s="20" t="n">
        <f aca="false">IF(AND(H_Direct=0,H_TaxEvt=1),IF(ARX49+1&gt;=H_Deemed,0,ARX49+1),ARX49)</f>
        <v>6</v>
      </c>
      <c r="ARY50" s="20" t="n">
        <f aca="false">IF(AND(H_Direct=0,H_TaxEvt=1),IF(ARY49+1&gt;=H_Deemed,0,ARY49+1),ARY49)</f>
        <v>5</v>
      </c>
      <c r="ARZ50" s="20" t="n">
        <f aca="false">IF(AND(H_Direct=0,H_TaxEvt=1),IF(ARZ49+1&gt;=H_Deemed,0,ARZ49+1),ARZ49)</f>
        <v>4</v>
      </c>
      <c r="ASA50" s="20" t="n">
        <f aca="false">IF(AND(H_Direct=0,H_TaxEvt=1),IF(ASA49+1&gt;=H_Deemed,0,ASA49+1),ASA49)</f>
        <v>3</v>
      </c>
      <c r="ASB50" s="20" t="n">
        <f aca="false">IF(AND(H_Direct=0,H_TaxEvt=1),IF(ASB49+1&gt;=H_Deemed,0,ASB49+1),ASB49)</f>
        <v>2</v>
      </c>
      <c r="ASC50" s="20" t="n">
        <f aca="false">IF(AND(H_Direct=0,H_TaxEvt=1),IF(ASC49+1&gt;=H_Deemed,0,ASC49+1),ASC49)</f>
        <v>1</v>
      </c>
      <c r="ASD50" s="20" t="n">
        <f aca="false">IF(AND(H_Direct=0,H_TaxEvt=1),IF(ASD49+1&gt;=H_Deemed,0,ASD49+1),ASD49)</f>
        <v>0</v>
      </c>
      <c r="ASE50" s="20" t="n">
        <f aca="false">IF(AND(H_Direct=0,H_TaxEvt=1),IF(ASE49+1&gt;=H_Deemed,0,ASE49+1),ASE49)</f>
        <v>7</v>
      </c>
      <c r="ASF50" s="20" t="n">
        <f aca="false">IF(AND(H_Direct=0,H_TaxEvt=1),IF(ASF49+1&gt;=H_Deemed,0,ASF49+1),ASF49)</f>
        <v>6</v>
      </c>
      <c r="ASG50" s="20" t="n">
        <f aca="false">IF(AND(H_Direct=0,H_TaxEvt=1),IF(ASG49+1&gt;=H_Deemed,0,ASG49+1),ASG49)</f>
        <v>5</v>
      </c>
      <c r="ASH50" s="20" t="n">
        <f aca="false">IF(AND(H_Direct=0,H_TaxEvt=1),IF(ASH49+1&gt;=H_Deemed,0,ASH49+1),ASH49)</f>
        <v>4</v>
      </c>
      <c r="ASI50" s="20" t="n">
        <f aca="false">IF(AND(H_Direct=0,H_TaxEvt=1),IF(ASI49+1&gt;=H_Deemed,0,ASI49+1),ASI49)</f>
        <v>3</v>
      </c>
      <c r="ASJ50" s="20" t="n">
        <f aca="false">IF(AND(H_Direct=0,H_TaxEvt=1),IF(ASJ49+1&gt;=H_Deemed,0,ASJ49+1),ASJ49)</f>
        <v>2</v>
      </c>
      <c r="ASK50" s="20" t="n">
        <f aca="false">IF(AND(H_Direct=0,H_TaxEvt=1),IF(ASK49+1&gt;=H_Deemed,0,ASK49+1),ASK49)</f>
        <v>1</v>
      </c>
      <c r="ASL50" s="20" t="n">
        <f aca="false">IF(AND(H_Direct=0,H_TaxEvt=1),IF(ASL49+1&gt;=H_Deemed,0,ASL49+1),ASL49)</f>
        <v>0</v>
      </c>
      <c r="ASM50" s="20" t="n">
        <f aca="false">IF(AND(H_Direct=0,H_TaxEvt=1),IF(ASM49+1&gt;=H_Deemed,0,ASM49+1),ASM49)</f>
        <v>7</v>
      </c>
      <c r="ASN50" s="20" t="n">
        <f aca="false">IF(AND(H_Direct=0,H_TaxEvt=1),IF(ASN49+1&gt;=H_Deemed,0,ASN49+1),ASN49)</f>
        <v>6</v>
      </c>
      <c r="ASO50" s="20" t="n">
        <f aca="false">IF(AND(H_Direct=0,H_TaxEvt=1),IF(ASO49+1&gt;=H_Deemed,0,ASO49+1),ASO49)</f>
        <v>5</v>
      </c>
      <c r="ASP50" s="20" t="n">
        <f aca="false">IF(AND(H_Direct=0,H_TaxEvt=1),IF(ASP49+1&gt;=H_Deemed,0,ASP49+1),ASP49)</f>
        <v>4</v>
      </c>
      <c r="ASQ50" s="20" t="n">
        <f aca="false">IF(AND(H_Direct=0,H_TaxEvt=1),IF(ASQ49+1&gt;=H_Deemed,0,ASQ49+1),ASQ49)</f>
        <v>3</v>
      </c>
      <c r="ASR50" s="20" t="n">
        <f aca="false">IF(AND(H_Direct=0,H_TaxEvt=1),IF(ASR49+1&gt;=H_Deemed,0,ASR49+1),ASR49)</f>
        <v>2</v>
      </c>
      <c r="ASS50" s="20" t="n">
        <f aca="false">IF(AND(H_Direct=0,H_TaxEvt=1),IF(ASS49+1&gt;=H_Deemed,0,ASS49+1),ASS49)</f>
        <v>1</v>
      </c>
      <c r="AST50" s="20" t="n">
        <f aca="false">IF(AND(H_Direct=0,H_TaxEvt=1),IF(AST49+1&gt;=H_Deemed,0,AST49+1),AST49)</f>
        <v>0</v>
      </c>
      <c r="ASU50" s="20" t="n">
        <f aca="false">IF(AND(H_Direct=0,H_TaxEvt=1),IF(ASU49+1&gt;=H_Deemed,0,ASU49+1),ASU49)</f>
        <v>7</v>
      </c>
      <c r="ASV50" s="20" t="n">
        <f aca="false">IF(AND(H_Direct=0,H_TaxEvt=1),IF(ASV49+1&gt;=H_Deemed,0,ASV49+1),ASV49)</f>
        <v>6</v>
      </c>
      <c r="ASW50" s="20" t="n">
        <f aca="false">IF(AND(H_Direct=0,H_TaxEvt=1),IF(ASW49+1&gt;=H_Deemed,0,ASW49+1),ASW49)</f>
        <v>5</v>
      </c>
      <c r="ASX50" s="20" t="n">
        <f aca="false">IF(AND(H_Direct=0,H_TaxEvt=1),IF(ASX49+1&gt;=H_Deemed,0,ASX49+1),ASX49)</f>
        <v>4</v>
      </c>
      <c r="ASY50" s="20" t="n">
        <f aca="false">IF(AND(H_Direct=0,H_TaxEvt=1),IF(ASY49+1&gt;=H_Deemed,0,ASY49+1),ASY49)</f>
        <v>3</v>
      </c>
      <c r="ASZ50" s="20" t="n">
        <f aca="false">IF(AND(H_Direct=0,H_TaxEvt=1),IF(ASZ49+1&gt;=H_Deemed,0,ASZ49+1),ASZ49)</f>
        <v>2</v>
      </c>
      <c r="ATA50" s="20" t="n">
        <f aca="false">IF(AND(H_Direct=0,H_TaxEvt=1),IF(ATA49+1&gt;=H_Deemed,0,ATA49+1),ATA49)</f>
        <v>1</v>
      </c>
      <c r="ATB50" s="20" t="n">
        <f aca="false">IF(AND(H_Direct=0,H_TaxEvt=1),IF(ATB49+1&gt;=H_Deemed,0,ATB49+1),ATB49)</f>
        <v>0</v>
      </c>
      <c r="ATC50" s="20" t="n">
        <f aca="false">IF(AND(H_Direct=0,H_TaxEvt=1),IF(ATC49+1&gt;=H_Deemed,0,ATC49+1),ATC49)</f>
        <v>7</v>
      </c>
      <c r="ATD50" s="20" t="n">
        <f aca="false">IF(AND(H_Direct=0,H_TaxEvt=1),IF(ATD49+1&gt;=H_Deemed,0,ATD49+1),ATD49)</f>
        <v>6</v>
      </c>
      <c r="ATE50" s="20" t="n">
        <f aca="false">IF(AND(H_Direct=0,H_TaxEvt=1),IF(ATE49+1&gt;=H_Deemed,0,ATE49+1),ATE49)</f>
        <v>5</v>
      </c>
      <c r="ATF50" s="20" t="n">
        <f aca="false">IF(AND(H_Direct=0,H_TaxEvt=1),IF(ATF49+1&gt;=H_Deemed,0,ATF49+1),ATF49)</f>
        <v>4</v>
      </c>
      <c r="ATG50" s="20" t="n">
        <f aca="false">IF(AND(H_Direct=0,H_TaxEvt=1),IF(ATG49+1&gt;=H_Deemed,0,ATG49+1),ATG49)</f>
        <v>3</v>
      </c>
      <c r="ATH50" s="20" t="n">
        <f aca="false">IF(AND(H_Direct=0,H_TaxEvt=1),IF(ATH49+1&gt;=H_Deemed,0,ATH49+1),ATH49)</f>
        <v>2</v>
      </c>
      <c r="ATI50" s="20" t="n">
        <f aca="false">IF(AND(H_Direct=0,H_TaxEvt=1),IF(0+1&gt;=H_Deemed,0,0+1),0)</f>
        <v>1</v>
      </c>
      <c r="ATJ50" s="20" t="n">
        <v>0</v>
      </c>
      <c r="ATK50" s="20" t="n">
        <v>0</v>
      </c>
      <c r="ATL50" s="20" t="n">
        <v>0</v>
      </c>
      <c r="ATM50" s="20" t="n">
        <v>0</v>
      </c>
      <c r="ATN50" s="20" t="n">
        <v>0</v>
      </c>
      <c r="ATO50" s="20" t="n">
        <v>0</v>
      </c>
      <c r="ATP50" s="20" t="n">
        <v>0</v>
      </c>
      <c r="ATQ50" s="20" t="n">
        <v>0</v>
      </c>
      <c r="ATR50" s="20" t="n">
        <v>0</v>
      </c>
      <c r="ATS50" s="20" t="n">
        <v>0</v>
      </c>
      <c r="ATT50" s="20" t="n">
        <v>0</v>
      </c>
      <c r="ATU50" s="20" t="n">
        <v>0</v>
      </c>
      <c r="ATV50" s="20" t="n">
        <v>0</v>
      </c>
      <c r="ATW50" s="20" t="n">
        <v>0</v>
      </c>
      <c r="ATX50" s="20" t="n">
        <v>0</v>
      </c>
      <c r="ATY50" s="20" t="n">
        <v>0</v>
      </c>
      <c r="ATZ50" s="20" t="n">
        <v>0</v>
      </c>
      <c r="AUA50" s="20" t="n">
        <v>0</v>
      </c>
      <c r="AUB50" s="20" t="n">
        <v>0</v>
      </c>
      <c r="AUC50" s="20" t="n">
        <v>0</v>
      </c>
      <c r="AUD50" s="20" t="n">
        <v>0</v>
      </c>
      <c r="AUE50" s="20" t="n">
        <v>0</v>
      </c>
      <c r="AUF50" s="20" t="n">
        <v>0</v>
      </c>
      <c r="AUG50" s="20" t="n">
        <v>0</v>
      </c>
      <c r="AUH50" s="20" t="n">
        <v>0</v>
      </c>
      <c r="AUI50" s="20" t="n">
        <v>0</v>
      </c>
      <c r="AUJ50" s="20" t="n">
        <v>0</v>
      </c>
      <c r="AUK50" s="20" t="n">
        <v>0</v>
      </c>
      <c r="AUL50" s="20" t="n">
        <v>0</v>
      </c>
      <c r="AUM50" s="20" t="n">
        <v>0</v>
      </c>
      <c r="AUN50" s="20" t="n">
        <v>0</v>
      </c>
      <c r="AUO50" s="20" t="n">
        <v>0</v>
      </c>
      <c r="AUP50" s="20" t="n">
        <v>0</v>
      </c>
      <c r="AUQ50" s="20" t="n">
        <v>0</v>
      </c>
      <c r="AUR50" s="20" t="n">
        <v>0</v>
      </c>
      <c r="AUS50" s="20" t="n">
        <v>0</v>
      </c>
      <c r="AUT50" s="20" t="n">
        <v>0</v>
      </c>
      <c r="AUU50" s="20" t="n">
        <v>0</v>
      </c>
      <c r="AUV50" s="20" t="n">
        <v>0</v>
      </c>
      <c r="AUW50" s="20" t="n">
        <v>0</v>
      </c>
      <c r="AUX50" s="20" t="n">
        <v>0</v>
      </c>
      <c r="AUY50" s="20" t="n">
        <v>0</v>
      </c>
      <c r="AUZ50" s="20" t="n">
        <v>0</v>
      </c>
      <c r="AVA50" s="20" t="n">
        <v>0</v>
      </c>
      <c r="AVB50" s="20" t="n">
        <v>0</v>
      </c>
      <c r="AVC50" s="20" t="n">
        <v>0</v>
      </c>
      <c r="AVD50" s="20" t="n">
        <v>0</v>
      </c>
      <c r="AVE50" s="20" t="n">
        <f aca="false">IF(AND(H_Direct=0,H_TaxEvt=1,ARR49+1&gt;=H_Deemed),MAX(0,ADR50-AHE50)*H_Exit,0)</f>
        <v>0</v>
      </c>
      <c r="AVF50" s="20" t="n">
        <f aca="false">IF(AND(H_Direct=0,H_TaxEvt=1,ARS49+1&gt;=H_Deemed),MAX(0,ADS50-AHF50)*H_Exit,0)</f>
        <v>0</v>
      </c>
      <c r="AVG50" s="20" t="n">
        <f aca="false">IF(AND(H_Direct=0,H_TaxEvt=1,ART49+1&gt;=H_Deemed),MAX(0,ADT50-AHG50)*H_Exit,0)</f>
        <v>0</v>
      </c>
      <c r="AVH50" s="20" t="n">
        <f aca="false">IF(AND(H_Direct=0,H_TaxEvt=1,ARU49+1&gt;=H_Deemed),MAX(0,ADU50-AHH50)*H_Exit,0)</f>
        <v>0</v>
      </c>
      <c r="AVI50" s="20" t="n">
        <f aca="false">IF(AND(H_Direct=0,H_TaxEvt=1,ARV49+1&gt;=H_Deemed),MAX(0,ADV50-AHI50)*H_Exit,0)</f>
        <v>0</v>
      </c>
      <c r="AVJ50" s="20" t="n">
        <f aca="false">IF(AND(H_Direct=0,H_TaxEvt=1,ARW49+1&gt;=H_Deemed),MAX(0,ADW50-AHJ50)*H_Exit,0)</f>
        <v>0</v>
      </c>
      <c r="AVK50" s="20" t="n">
        <f aca="false">IF(AND(H_Direct=0,H_TaxEvt=1,ARX49+1&gt;=H_Deemed),MAX(0,ADX50-AHK50)*H_Exit,0)</f>
        <v>0</v>
      </c>
      <c r="AVL50" s="20" t="n">
        <f aca="false">IF(AND(H_Direct=0,H_TaxEvt=1,ARY49+1&gt;=H_Deemed),MAX(0,ADY50-AHL50)*H_Exit,0)</f>
        <v>0</v>
      </c>
      <c r="AVM50" s="20" t="n">
        <f aca="false">IF(AND(H_Direct=0,H_TaxEvt=1,ARZ49+1&gt;=H_Deemed),MAX(0,ADZ50-AHM50)*H_Exit,0)</f>
        <v>0</v>
      </c>
      <c r="AVN50" s="20" t="n">
        <f aca="false">IF(AND(H_Direct=0,H_TaxEvt=1,ASA49+1&gt;=H_Deemed),MAX(0,AEA50-AHN50)*H_Exit,0)</f>
        <v>0</v>
      </c>
      <c r="AVO50" s="20" t="n">
        <f aca="false">IF(AND(H_Direct=0,H_TaxEvt=1,ASB49+1&gt;=H_Deemed),MAX(0,AEB50-AHO50)*H_Exit,0)</f>
        <v>0</v>
      </c>
      <c r="AVP50" s="20" t="n">
        <f aca="false">IF(AND(H_Direct=0,H_TaxEvt=1,ASC49+1&gt;=H_Deemed),MAX(0,AEC50-AHP50)*H_Exit,0)</f>
        <v>0</v>
      </c>
      <c r="AVQ50" s="20" t="n">
        <f aca="false">IF(AND(H_Direct=0,H_TaxEvt=1,ASD49+1&gt;=H_Deemed),MAX(0,AED50-AHQ50)*H_Exit,0)</f>
        <v>0</v>
      </c>
      <c r="AVR50" s="20" t="n">
        <f aca="false">IF(AND(H_Direct=0,H_TaxEvt=1,ASE49+1&gt;=H_Deemed),MAX(0,AEE50-AHR50)*H_Exit,0)</f>
        <v>0</v>
      </c>
      <c r="AVS50" s="20" t="n">
        <f aca="false">IF(AND(H_Direct=0,H_TaxEvt=1,ASF49+1&gt;=H_Deemed),MAX(0,AEF50-AHS50)*H_Exit,0)</f>
        <v>0</v>
      </c>
      <c r="AVT50" s="20" t="n">
        <f aca="false">IF(AND(H_Direct=0,H_TaxEvt=1,ASG49+1&gt;=H_Deemed),MAX(0,AEG50-AHT50)*H_Exit,0)</f>
        <v>0</v>
      </c>
      <c r="AVU50" s="20" t="n">
        <f aca="false">IF(AND(H_Direct=0,H_TaxEvt=1,ASH49+1&gt;=H_Deemed),MAX(0,AEH50-AHU50)*H_Exit,0)</f>
        <v>0</v>
      </c>
      <c r="AVV50" s="20" t="n">
        <f aca="false">IF(AND(H_Direct=0,H_TaxEvt=1,ASI49+1&gt;=H_Deemed),MAX(0,AEI50-AHV50)*H_Exit,0)</f>
        <v>0</v>
      </c>
      <c r="AVW50" s="20" t="n">
        <f aca="false">IF(AND(H_Direct=0,H_TaxEvt=1,ASJ49+1&gt;=H_Deemed),MAX(0,AEJ50-AHW50)*H_Exit,0)</f>
        <v>0</v>
      </c>
      <c r="AVX50" s="20" t="n">
        <f aca="false">IF(AND(H_Direct=0,H_TaxEvt=1,ASK49+1&gt;=H_Deemed),MAX(0,AEK50-AHX50)*H_Exit,0)</f>
        <v>0</v>
      </c>
      <c r="AVY50" s="20" t="n">
        <f aca="false">IF(AND(H_Direct=0,H_TaxEvt=1,ASL49+1&gt;=H_Deemed),MAX(0,AEL50-AHY50)*H_Exit,0)</f>
        <v>0</v>
      </c>
      <c r="AVZ50" s="20" t="n">
        <f aca="false">IF(AND(H_Direct=0,H_TaxEvt=1,ASM49+1&gt;=H_Deemed),MAX(0,AEM50-AHZ50)*H_Exit,0)</f>
        <v>0</v>
      </c>
      <c r="AWA50" s="20" t="n">
        <f aca="false">IF(AND(H_Direct=0,H_TaxEvt=1,ASN49+1&gt;=H_Deemed),MAX(0,AEN50-AIA50)*H_Exit,0)</f>
        <v>0</v>
      </c>
      <c r="AWB50" s="20" t="n">
        <f aca="false">IF(AND(H_Direct=0,H_TaxEvt=1,ASO49+1&gt;=H_Deemed),MAX(0,AEO50-AIB50)*H_Exit,0)</f>
        <v>0</v>
      </c>
      <c r="AWC50" s="20" t="n">
        <f aca="false">IF(AND(H_Direct=0,H_TaxEvt=1,ASP49+1&gt;=H_Deemed),MAX(0,AEP50-AIC50)*H_Exit,0)</f>
        <v>0</v>
      </c>
      <c r="AWD50" s="20" t="n">
        <f aca="false">IF(AND(H_Direct=0,H_TaxEvt=1,ASQ49+1&gt;=H_Deemed),MAX(0,AEQ50-AID50)*H_Exit,0)</f>
        <v>0</v>
      </c>
      <c r="AWE50" s="20" t="n">
        <f aca="false">IF(AND(H_Direct=0,H_TaxEvt=1,ASR49+1&gt;=H_Deemed),MAX(0,AER50-AIE50)*H_Exit,0)</f>
        <v>0</v>
      </c>
      <c r="AWF50" s="20" t="n">
        <f aca="false">IF(AND(H_Direct=0,H_TaxEvt=1,ASS49+1&gt;=H_Deemed),MAX(0,AES50-AIF50)*H_Exit,0)</f>
        <v>0</v>
      </c>
      <c r="AWG50" s="20" t="n">
        <f aca="false">IF(AND(H_Direct=0,H_TaxEvt=1,AST49+1&gt;=H_Deemed),MAX(0,AET50-AIG50)*H_Exit,0)</f>
        <v>0</v>
      </c>
      <c r="AWH50" s="20" t="n">
        <f aca="false">IF(AND(H_Direct=0,H_TaxEvt=1,ASU49+1&gt;=H_Deemed),MAX(0,AEU50-AIH50)*H_Exit,0)</f>
        <v>0</v>
      </c>
      <c r="AWI50" s="20" t="n">
        <f aca="false">IF(AND(H_Direct=0,H_TaxEvt=1,ASV49+1&gt;=H_Deemed),MAX(0,AEV50-AII50)*H_Exit,0)</f>
        <v>0</v>
      </c>
      <c r="AWJ50" s="20" t="n">
        <f aca="false">IF(AND(H_Direct=0,H_TaxEvt=1,ASW49+1&gt;=H_Deemed),MAX(0,AEW50-AIJ50)*H_Exit,0)</f>
        <v>0</v>
      </c>
      <c r="AWK50" s="20" t="n">
        <f aca="false">IF(AND(H_Direct=0,H_TaxEvt=1,ASX49+1&gt;=H_Deemed),MAX(0,AEX50-AIK50)*H_Exit,0)</f>
        <v>0</v>
      </c>
      <c r="AWL50" s="20" t="n">
        <f aca="false">IF(AND(H_Direct=0,H_TaxEvt=1,ASY49+1&gt;=H_Deemed),MAX(0,AEY50-AIL50)*H_Exit,0)</f>
        <v>0</v>
      </c>
      <c r="AWM50" s="20" t="n">
        <f aca="false">IF(AND(H_Direct=0,H_TaxEvt=1,ASZ49+1&gt;=H_Deemed),MAX(0,AEZ50-AIM50)*H_Exit,0)</f>
        <v>0</v>
      </c>
      <c r="AWN50" s="20" t="n">
        <f aca="false">IF(AND(H_Direct=0,H_TaxEvt=1,ATA49+1&gt;=H_Deemed),MAX(0,AFA50-AIN50)*H_Exit,0)</f>
        <v>0</v>
      </c>
      <c r="AWO50" s="20" t="n">
        <f aca="false">IF(AND(H_Direct=0,H_TaxEvt=1,ATB49+1&gt;=H_Deemed),MAX(0,AFB50-AIO50)*H_Exit,0)</f>
        <v>0</v>
      </c>
      <c r="AWP50" s="20" t="n">
        <f aca="false">IF(AND(H_Direct=0,H_TaxEvt=1,ATC49+1&gt;=H_Deemed),MAX(0,AFC50-AIP50)*H_Exit,0)</f>
        <v>0</v>
      </c>
      <c r="AWQ50" s="20" t="n">
        <f aca="false">IF(AND(H_Direct=0,H_TaxEvt=1,ATD49+1&gt;=H_Deemed),MAX(0,AFD50-AIQ50)*H_Exit,0)</f>
        <v>0</v>
      </c>
      <c r="AWR50" s="20" t="n">
        <f aca="false">IF(AND(H_Direct=0,H_TaxEvt=1,ATE49+1&gt;=H_Deemed),MAX(0,AFE50-AIR50)*H_Exit,0)</f>
        <v>0</v>
      </c>
      <c r="AWS50" s="20" t="n">
        <f aca="false">IF(AND(H_Direct=0,H_TaxEvt=1,ATF49+1&gt;=H_Deemed),MAX(0,AFF50-AIS50)*H_Exit,0)</f>
        <v>0</v>
      </c>
      <c r="AWT50" s="20" t="n">
        <f aca="false">IF(AND(H_Direct=0,H_TaxEvt=1,ATG49+1&gt;=H_Deemed),MAX(0,AFG50-AIT50)*H_Exit,0)</f>
        <v>0</v>
      </c>
      <c r="AWU50" s="20" t="n">
        <f aca="false">IF(AND(H_Direct=0,H_TaxEvt=1,ATH49+1&gt;=H_Deemed),MAX(0,AFH50-AIU50)*H_Exit,0)</f>
        <v>0</v>
      </c>
      <c r="AWV50" s="20" t="n">
        <f aca="false">IF(AND(H_Direct=0,H_TaxEvt=1,0+1&gt;=H_Deemed),MAX(0,AFI50-AIV50)*H_Exit,0)</f>
        <v>0</v>
      </c>
      <c r="AWW50" s="20" t="n">
        <v>0</v>
      </c>
      <c r="AWX50" s="20" t="n">
        <v>0</v>
      </c>
      <c r="AWY50" s="20" t="n">
        <v>0</v>
      </c>
      <c r="AWZ50" s="20" t="n">
        <v>0</v>
      </c>
      <c r="AXA50" s="20" t="n">
        <v>0</v>
      </c>
      <c r="AXB50" s="20" t="n">
        <v>0</v>
      </c>
      <c r="AXC50" s="20" t="n">
        <v>0</v>
      </c>
      <c r="AXD50" s="20" t="n">
        <v>0</v>
      </c>
      <c r="AXE50" s="20" t="n">
        <v>0</v>
      </c>
      <c r="AXF50" s="20" t="n">
        <v>0</v>
      </c>
      <c r="AXG50" s="20" t="n">
        <v>0</v>
      </c>
      <c r="AXH50" s="20" t="n">
        <v>0</v>
      </c>
      <c r="AXI50" s="20" t="n">
        <v>0</v>
      </c>
      <c r="AXJ50" s="20" t="n">
        <v>0</v>
      </c>
      <c r="AXK50" s="20" t="n">
        <v>0</v>
      </c>
      <c r="AXL50" s="20" t="n">
        <v>0</v>
      </c>
      <c r="AXM50" s="20" t="n">
        <v>0</v>
      </c>
      <c r="AXN50" s="20" t="n">
        <v>0</v>
      </c>
      <c r="AXO50" s="20" t="n">
        <v>0</v>
      </c>
      <c r="AXP50" s="20" t="n">
        <v>0</v>
      </c>
      <c r="AXQ50" s="20" t="n">
        <v>0</v>
      </c>
      <c r="AXR50" s="20" t="n">
        <v>0</v>
      </c>
      <c r="AXS50" s="20" t="n">
        <v>0</v>
      </c>
      <c r="AXT50" s="20" t="n">
        <v>0</v>
      </c>
      <c r="AXU50" s="20" t="n">
        <v>0</v>
      </c>
      <c r="AXV50" s="20" t="n">
        <v>0</v>
      </c>
      <c r="AXW50" s="20" t="n">
        <v>0</v>
      </c>
      <c r="AXX50" s="20" t="n">
        <v>0</v>
      </c>
      <c r="AXY50" s="20" t="n">
        <v>0</v>
      </c>
      <c r="AXZ50" s="20" t="n">
        <v>0</v>
      </c>
      <c r="AYA50" s="20" t="n">
        <v>0</v>
      </c>
      <c r="AYB50" s="20" t="n">
        <v>0</v>
      </c>
      <c r="AYC50" s="20" t="n">
        <v>0</v>
      </c>
      <c r="AYD50" s="20" t="n">
        <v>0</v>
      </c>
      <c r="AYE50" s="20" t="n">
        <v>0</v>
      </c>
      <c r="AYF50" s="20" t="n">
        <v>0</v>
      </c>
      <c r="AYG50" s="20" t="n">
        <v>0</v>
      </c>
      <c r="AYH50" s="20" t="n">
        <v>0</v>
      </c>
      <c r="AYI50" s="20" t="n">
        <v>0</v>
      </c>
      <c r="AYJ50" s="20" t="n">
        <v>0</v>
      </c>
      <c r="AYK50" s="20" t="n">
        <v>0</v>
      </c>
      <c r="AYL50" s="20" t="n">
        <v>0</v>
      </c>
      <c r="AYM50" s="20" t="n">
        <v>0</v>
      </c>
      <c r="AYN50" s="20" t="n">
        <v>0</v>
      </c>
      <c r="AYO50" s="20" t="n">
        <v>0</v>
      </c>
      <c r="AYP50" s="20" t="n">
        <v>0</v>
      </c>
      <c r="AYQ50" s="20" t="n">
        <v>0</v>
      </c>
    </row>
    <row r="51" customFormat="false" ht="15" hidden="false" customHeight="false" outlineLevel="0" collapsed="false">
      <c r="B51" s="20" t="n">
        <v>43</v>
      </c>
      <c r="C51" s="20" t="n">
        <f aca="false">'Plan cashflow'!C51</f>
        <v>1</v>
      </c>
      <c r="D51" s="20" t="n">
        <f aca="false">'Plan cashflow'!D51</f>
        <v>81</v>
      </c>
      <c r="E51" s="20" t="n">
        <f aca="false">AS_Year0+43</f>
        <v>2069</v>
      </c>
      <c r="F51" s="50" t="n">
        <f aca="false">'Plan cashflow'!F51</f>
        <v>2.34318935534539</v>
      </c>
      <c r="G51" s="59" t="n">
        <f aca="true">IF(MAX(TODAY(),DATE(E51,1,1))&gt;=H_CGTfrom,H_CGT1,H_CGT0)</f>
        <v>0.31</v>
      </c>
      <c r="H51" s="20" t="n">
        <f aca="false">H_Exempt*H_Persons</f>
        <v>1270</v>
      </c>
      <c r="I51" s="20" t="n">
        <f aca="false">AX50</f>
        <v>0</v>
      </c>
      <c r="J51" s="60" t="n">
        <f aca="false">BF50</f>
        <v>0</v>
      </c>
      <c r="K51" s="60" t="n">
        <f aca="false">BG50</f>
        <v>0</v>
      </c>
      <c r="L51" s="20" t="n">
        <f aca="false">IF(AND(In_polLump&gt;0,In_polLumpAge&gt;0,D51=In_polLumpAge),In_polLump,0)</f>
        <v>0</v>
      </c>
      <c r="M51" s="20" t="n">
        <f aca="false">IF(AND(In_homeUse="Yes, I'd downsize",In_downAge&gt;0,D51=In_downAge,OR(In_home="Own outright",In_home="Own with mortgage"),In_homeValue&gt;0),MAX(0,MAX(0,In_homeValue-In_downValue)*F51*0.9-'Plan cashflow'!HR50),0)</f>
        <v>0</v>
      </c>
      <c r="N51" s="20" t="n">
        <f aca="false">'Plan pay &amp; tax'!Y277</f>
        <v>0</v>
      </c>
      <c r="O51" s="20" t="n">
        <f aca="false">L51+M51+(1-H_Sh)*N51</f>
        <v>0</v>
      </c>
      <c r="P51" s="20" t="n">
        <f aca="false">H_Sh*N51</f>
        <v>0</v>
      </c>
      <c r="Q51" s="20" t="n">
        <f aca="false">'Plan cashflow'!UL51</f>
        <v>0</v>
      </c>
      <c r="R51" s="20" t="n">
        <f aca="false">(1-H_Sh)*Q51</f>
        <v>0</v>
      </c>
      <c r="S51" s="20" t="n">
        <f aca="false">H_Sh*Q51</f>
        <v>0</v>
      </c>
      <c r="T51" s="20" t="n">
        <f aca="false">J51+K51+O51</f>
        <v>0</v>
      </c>
      <c r="U51" s="20" t="n">
        <f aca="false">T51+R51</f>
        <v>0</v>
      </c>
      <c r="V51" s="60" t="n">
        <f aca="false">SUM(FE51:IQ51)</f>
        <v>0</v>
      </c>
      <c r="W51" s="60" t="n">
        <f aca="false">IF(AJ51&lt;=0,0,IF(AL51&lt;=0,AJ51,AJ51-G51*MAX(0,AL51*AJ51-(AY51+AZ51))))</f>
        <v>0</v>
      </c>
      <c r="X51" s="60" t="n">
        <f aca="false">IF(AR51&lt;=0,0,IF(AT51&lt;=0,AR51,AR51-G51*MAX(0,AT51*AR51-(BA51+BB51))))</f>
        <v>0</v>
      </c>
      <c r="Y51" s="60" t="n">
        <f aca="false">T51+V51-S51+W51+X51</f>
        <v>0</v>
      </c>
      <c r="Z51" s="60" t="n">
        <f aca="false">'Plan cashflow'!UK51</f>
        <v>0</v>
      </c>
      <c r="AA51" s="20" t="n">
        <f aca="false">MIN(Z51,U51)</f>
        <v>0</v>
      </c>
      <c r="AB51" s="20" t="n">
        <f aca="false">Z51-AA51</f>
        <v>0</v>
      </c>
      <c r="AC51" s="20" t="n">
        <f aca="false">MIN(AA51,J51+O51+R51)</f>
        <v>0</v>
      </c>
      <c r="AD51" s="20" t="n">
        <f aca="false">AA51-AC51</f>
        <v>0</v>
      </c>
      <c r="AE51" s="20" t="n">
        <f aca="false">J51+O51+R51-AC51</f>
        <v>0</v>
      </c>
      <c r="AF51" s="20" t="n">
        <f aca="false">K51-AD51</f>
        <v>0</v>
      </c>
      <c r="AG51" s="20" t="n">
        <f aca="false">SUM(PR51:TD51)</f>
        <v>0</v>
      </c>
      <c r="AH51" s="20" t="n">
        <f aca="false">SUM(TE51:WQ51)</f>
        <v>0</v>
      </c>
      <c r="AI51" s="20" t="n">
        <f aca="false">MAX(0,AB51-AG51)</f>
        <v>0</v>
      </c>
      <c r="AJ51" s="57" t="n">
        <f aca="false">BI50</f>
        <v>0</v>
      </c>
      <c r="AK51" s="20" t="n">
        <f aca="false">BJ50</f>
        <v>0</v>
      </c>
      <c r="AL51" s="20" t="n">
        <f aca="false">IF(AJ51&gt;0,(AJ51-AK51)/AJ51,0)</f>
        <v>0</v>
      </c>
      <c r="AM51" s="20" t="n">
        <f aca="false">IF(AJ51&lt;=0,0,IF(AL51&lt;=0,MIN(AI51,AJ51),MIN(AI51,AJ51-G51*MAX(0,AL51*AJ51-(AAD51+ADQ51)))))</f>
        <v>0</v>
      </c>
      <c r="AN51" s="20" t="n">
        <f aca="false">IF(AJ51&lt;=0,0,IF(AL51&lt;=0,AM51,IF(AM51&lt;=(AAD51+ADQ51)/AL51,AM51,(AM51-G51*(AAD51+ADQ51))/(1-G51*AL51))))</f>
        <v>0</v>
      </c>
      <c r="AO51" s="20" t="n">
        <f aca="false">IF(AL51&gt;0,MAX(0,AAD51-(MIN(AL51*AN51,(AAD51+ADQ51))-MIN(MIN(AL51*AN51,(AAD51+ADQ51)),ADQ51))),AAD51)</f>
        <v>1270</v>
      </c>
      <c r="AP51" s="20" t="n">
        <f aca="false">IF(AL51&lt;=0,ADQ51-AL51*AN51,ADQ51-MIN(MIN(AL51*AN51,(AAD51+ADQ51)),ADQ51))</f>
        <v>0</v>
      </c>
      <c r="AQ51" s="20" t="n">
        <f aca="false">MAX(0,AI51-AM51)</f>
        <v>0</v>
      </c>
      <c r="AR51" s="57" t="n">
        <f aca="false">BK50</f>
        <v>0</v>
      </c>
      <c r="AS51" s="20" t="n">
        <f aca="false">BL50</f>
        <v>0</v>
      </c>
      <c r="AT51" s="20" t="n">
        <f aca="false">IF(AR51&gt;0,(AR51-AS51)/AR51,0)</f>
        <v>0</v>
      </c>
      <c r="AU51" s="20" t="n">
        <f aca="false">IF(AR51&lt;=0,0,IF(AT51&lt;=0,MIN(AQ51,AR51),MIN(AQ51,AR51-G51*MAX(0,AT51*AR51-(AO51+AP51)))))</f>
        <v>0</v>
      </c>
      <c r="AV51" s="20" t="n">
        <f aca="false">IF(AR51&lt;=0,0,IF(AT51&lt;=0,AU51,IF(AU51&lt;=(AO51+AP51)/AT51,AU51,(AU51-G51*(AO51+AP51))/(1-G51*AT51))))</f>
        <v>0</v>
      </c>
      <c r="AW51" s="20" t="n">
        <f aca="false">IF(AT51&gt;0,MAX(0,AO51-(MIN(AT51*AV51,(AO51+AP51))-MIN(MIN(AT51*AV51,(AO51+AP51)),AP51))),AO51)</f>
        <v>1270</v>
      </c>
      <c r="AX51" s="20" t="n">
        <f aca="false">IF(AT51&lt;=0,AP51-AT51*AV51,AP51-MIN(MIN(AT51*AV51,(AO51+AP51)),AP51))</f>
        <v>0</v>
      </c>
      <c r="AY51" s="20" t="n">
        <f aca="false">MD51</f>
        <v>1270</v>
      </c>
      <c r="AZ51" s="20" t="n">
        <f aca="false">PQ51</f>
        <v>0</v>
      </c>
      <c r="BA51" s="20" t="n">
        <f aca="false">IF(AL51&gt;0,MAX(0,AY51-(MIN(AL51*AJ51,AY51+AZ51)-MIN(MIN(AL51*AJ51,AY51+AZ51),AZ51))),AY51)</f>
        <v>1270</v>
      </c>
      <c r="BB51" s="20" t="n">
        <f aca="false">IF(AL51&lt;=0,AZ51-AL51*AJ51,AZ51-MIN(MIN(AL51*AJ51,AY51+AZ51),AZ51))</f>
        <v>0</v>
      </c>
      <c r="BC51" s="20" t="n">
        <f aca="false">'Plan cashflow'!UM51</f>
        <v>0</v>
      </c>
      <c r="BD51" s="20" t="n">
        <f aca="false">(1-H_Sh)*BC51</f>
        <v>0</v>
      </c>
      <c r="BE51" s="20" t="n">
        <f aca="false">H_Sh*BC51</f>
        <v>0</v>
      </c>
      <c r="BF51" s="60" t="n">
        <f aca="false">(AE51+BD51)*(1+AS_Cash)</f>
        <v>0</v>
      </c>
      <c r="BG51" s="60" t="n">
        <f aca="false">AF51*(1+AS_Cash)</f>
        <v>0</v>
      </c>
      <c r="BH51" s="60" t="n">
        <f aca="false">SUM(AKR51:AOD51)</f>
        <v>0</v>
      </c>
      <c r="BI51" s="60" t="n">
        <f aca="false">(AJ51-AN51)*(1+AS_Infl)</f>
        <v>0</v>
      </c>
      <c r="BJ51" s="20" t="n">
        <f aca="false">IF(AJ51&gt;0,AK51-AK51*AN51/AJ51,0)</f>
        <v>0</v>
      </c>
      <c r="BK51" s="60" t="n">
        <f aca="false">(AR51-AV51)*(1+BQ51)</f>
        <v>0</v>
      </c>
      <c r="BL51" s="20" t="n">
        <f aca="false">IF(AR51&gt;0,AS51-AS51*AV51/AR51,0)</f>
        <v>0</v>
      </c>
      <c r="BM51" s="60" t="n">
        <f aca="false">BF51+BG51+BH51+BI51+BK51</f>
        <v>0</v>
      </c>
      <c r="BN51" s="60" t="n">
        <f aca="false">(AH51-AG51)+(AN51-AM51)+(AV51-AU51)</f>
        <v>0</v>
      </c>
      <c r="BO51" s="20" t="n">
        <f aca="false">(AE51+BD51+AF51+MAX(0,'Plan cashflow'!QH51)+IF(Slot1_Rate=AS_Cash,'Plan cashflow'!QM51/(1+AS_Cash),0)+IF(Slot2_Rate=AS_Cash,'Plan cashflow'!QQ51/(1+AS_Cash),0)+IF(Slot3_Rate=AS_Cash,'Plan cashflow'!QU51/(1+AS_Cash),0)+IF(Slot4_Rate=AS_Cash,'Plan cashflow'!QY51/(1+AS_Cash),0)+IF(Slot5_Rate=AS_Cash,'Plan cashflow'!RC51/(1+AS_Cash),0)+IF(Slot6_Rate=AS_Cash,'Plan cashflow'!RG51/(1+AS_Cash),0)+IF(Slot7_Rate=AS_Cash,'Plan cashflow'!RK51/(1+AS_Cash),0)+IF(Slot8_Rate=AS_Cash,'Plan cashflow'!RO51/(1+AS_Cash),0)+IF(Slot9_Rate=AS_Cash,'Plan cashflow'!RS51/(1+AS_Cash),0)+IF(Slot10_Rate=AS_Cash,'Plan cashflow'!RW51/(1+AS_Cash),0)+IF(Slot11_Rate=AS_Cash,'Plan cashflow'!SA51/(1+AS_Cash),0)+IF(Slot12_Rate=AS_Cash,'Plan cashflow'!SE51/(1+AS_Cash),0)+IF(Slot13_Rate=AS_Cash,'Plan cashflow'!SI51/(1+AS_Cash),0)+IF(Slot14_Rate=AS_Cash,'Plan cashflow'!SM51/(1+AS_Cash),0)+IF(Slot15_Rate=AS_Cash,'Plan cashflow'!SQ51/(1+AS_Cash),0)+IF(Slot16_Rate=AS_Cash,'Plan cashflow'!SU51/(1+AS_Cash),0)+IF(Slot17_Rate=AS_Cash,'Plan cashflow'!SY51/(1+AS_Cash),0)+IF(Slot18_Rate=AS_Cash,'Plan cashflow'!TC51/(1+AS_Cash),0)+IF(Slot19_Rate=AS_Cash,'Plan cashflow'!TG51/(1+AS_Cash),0)+IF(Slot20_Rate=AS_Cash,'Plan cashflow'!TK51/(1+AS_Cash),0))*AS_Cash*H_DIRT/(1-H_DIRT)</f>
        <v>0</v>
      </c>
      <c r="BP51" s="60" t="n">
        <f aca="false">SUM(AVE51:AYQ51)</f>
        <v>0</v>
      </c>
      <c r="BQ51" s="54" t="n">
        <f aca="false">IF(H_TaxEvt=1,H_InvG,AS_Inv)</f>
        <v>0.04</v>
      </c>
      <c r="BR51" s="20" t="n">
        <f aca="false">IF(AKR50&gt;0,(AKR50-AOE50)/AKR50,0)</f>
        <v>0</v>
      </c>
      <c r="BS51" s="20" t="n">
        <f aca="false">IF(AKS50&gt;0,(AKS50-AOF50)/AKS50,0)</f>
        <v>0</v>
      </c>
      <c r="BT51" s="20" t="n">
        <f aca="false">IF(AKT50&gt;0,(AKT50-AOG50)/AKT50,0)</f>
        <v>0</v>
      </c>
      <c r="BU51" s="20" t="n">
        <f aca="false">IF(AKU50&gt;0,(AKU50-AOH50)/AKU50,0)</f>
        <v>0</v>
      </c>
      <c r="BV51" s="20" t="n">
        <f aca="false">IF(AKV50&gt;0,(AKV50-AOI50)/AKV50,0)</f>
        <v>0</v>
      </c>
      <c r="BW51" s="20" t="n">
        <f aca="false">IF(AKW50&gt;0,(AKW50-AOJ50)/AKW50,0)</f>
        <v>0</v>
      </c>
      <c r="BX51" s="20" t="n">
        <f aca="false">IF(AKX50&gt;0,(AKX50-AOK50)/AKX50,0)</f>
        <v>0</v>
      </c>
      <c r="BY51" s="20" t="n">
        <f aca="false">IF(AKY50&gt;0,(AKY50-AOL50)/AKY50,0)</f>
        <v>0</v>
      </c>
      <c r="BZ51" s="20" t="n">
        <f aca="false">IF(AKZ50&gt;0,(AKZ50-AOM50)/AKZ50,0)</f>
        <v>0</v>
      </c>
      <c r="CA51" s="20" t="n">
        <f aca="false">IF(ALA50&gt;0,(ALA50-AON50)/ALA50,0)</f>
        <v>0</v>
      </c>
      <c r="CB51" s="20" t="n">
        <f aca="false">IF(ALB50&gt;0,(ALB50-AOO50)/ALB50,0)</f>
        <v>0</v>
      </c>
      <c r="CC51" s="20" t="n">
        <f aca="false">IF(ALC50&gt;0,(ALC50-AOP50)/ALC50,0)</f>
        <v>0</v>
      </c>
      <c r="CD51" s="20" t="n">
        <f aca="false">IF(ALD50&gt;0,(ALD50-AOQ50)/ALD50,0)</f>
        <v>0</v>
      </c>
      <c r="CE51" s="20" t="n">
        <f aca="false">IF(ALE50&gt;0,(ALE50-AOR50)/ALE50,0)</f>
        <v>0</v>
      </c>
      <c r="CF51" s="20" t="n">
        <f aca="false">IF(ALF50&gt;0,(ALF50-AOS50)/ALF50,0)</f>
        <v>0</v>
      </c>
      <c r="CG51" s="20" t="n">
        <f aca="false">IF(ALG50&gt;0,(ALG50-AOT50)/ALG50,0)</f>
        <v>0</v>
      </c>
      <c r="CH51" s="20" t="n">
        <f aca="false">IF(ALH50&gt;0,(ALH50-AOU50)/ALH50,0)</f>
        <v>0</v>
      </c>
      <c r="CI51" s="20" t="n">
        <f aca="false">IF(ALI50&gt;0,(ALI50-AOV50)/ALI50,0)</f>
        <v>0</v>
      </c>
      <c r="CJ51" s="20" t="n">
        <f aca="false">IF(ALJ50&gt;0,(ALJ50-AOW50)/ALJ50,0)</f>
        <v>0</v>
      </c>
      <c r="CK51" s="20" t="n">
        <f aca="false">IF(ALK50&gt;0,(ALK50-AOX50)/ALK50,0)</f>
        <v>0</v>
      </c>
      <c r="CL51" s="20" t="n">
        <f aca="false">IF(ALL50&gt;0,(ALL50-AOY50)/ALL50,0)</f>
        <v>0</v>
      </c>
      <c r="CM51" s="20" t="n">
        <f aca="false">IF(ALM50&gt;0,(ALM50-AOZ50)/ALM50,0)</f>
        <v>0</v>
      </c>
      <c r="CN51" s="20" t="n">
        <f aca="false">IF(ALN50&gt;0,(ALN50-APA50)/ALN50,0)</f>
        <v>0</v>
      </c>
      <c r="CO51" s="20" t="n">
        <f aca="false">IF(ALO50&gt;0,(ALO50-APB50)/ALO50,0)</f>
        <v>0</v>
      </c>
      <c r="CP51" s="20" t="n">
        <f aca="false">IF(ALP50&gt;0,(ALP50-APC50)/ALP50,0)</f>
        <v>0</v>
      </c>
      <c r="CQ51" s="20" t="n">
        <f aca="false">IF(ALQ50&gt;0,(ALQ50-APD50)/ALQ50,0)</f>
        <v>0</v>
      </c>
      <c r="CR51" s="20" t="n">
        <f aca="false">IF(ALR50&gt;0,(ALR50-APE50)/ALR50,0)</f>
        <v>0</v>
      </c>
      <c r="CS51" s="20" t="n">
        <f aca="false">IF(ALS50&gt;0,(ALS50-APF50)/ALS50,0)</f>
        <v>0</v>
      </c>
      <c r="CT51" s="20" t="n">
        <f aca="false">IF(ALT50&gt;0,(ALT50-APG50)/ALT50,0)</f>
        <v>0</v>
      </c>
      <c r="CU51" s="20" t="n">
        <f aca="false">IF(ALU50&gt;0,(ALU50-APH50)/ALU50,0)</f>
        <v>0</v>
      </c>
      <c r="CV51" s="20" t="n">
        <f aca="false">IF(ALV50&gt;0,(ALV50-API50)/ALV50,0)</f>
        <v>0</v>
      </c>
      <c r="CW51" s="20" t="n">
        <f aca="false">IF(ALW50&gt;0,(ALW50-APJ50)/ALW50,0)</f>
        <v>0</v>
      </c>
      <c r="CX51" s="20" t="n">
        <f aca="false">IF(ALX50&gt;0,(ALX50-APK50)/ALX50,0)</f>
        <v>0</v>
      </c>
      <c r="CY51" s="20" t="n">
        <f aca="false">IF(ALY50&gt;0,(ALY50-APL50)/ALY50,0)</f>
        <v>0</v>
      </c>
      <c r="CZ51" s="20" t="n">
        <f aca="false">IF(ALZ50&gt;0,(ALZ50-APM50)/ALZ50,0)</f>
        <v>0</v>
      </c>
      <c r="DA51" s="20" t="n">
        <f aca="false">IF(AMA50&gt;0,(AMA50-APN50)/AMA50,0)</f>
        <v>0</v>
      </c>
      <c r="DB51" s="20" t="n">
        <f aca="false">IF(AMB50&gt;0,(AMB50-APO50)/AMB50,0)</f>
        <v>0</v>
      </c>
      <c r="DC51" s="20" t="n">
        <f aca="false">IF(AMC50&gt;0,(AMC50-APP50)/AMC50,0)</f>
        <v>0</v>
      </c>
      <c r="DD51" s="20" t="n">
        <f aca="false">IF(AMD50&gt;0,(AMD50-APQ50)/AMD50,0)</f>
        <v>0</v>
      </c>
      <c r="DE51" s="20" t="n">
        <f aca="false">IF(AME50&gt;0,(AME50-APR50)/AME50,0)</f>
        <v>0</v>
      </c>
      <c r="DF51" s="20" t="n">
        <f aca="false">IF(AMF50&gt;0,(AMF50-APS50)/AMF50,0)</f>
        <v>0</v>
      </c>
      <c r="DG51" s="20" t="n">
        <f aca="false">IF(AMG50&gt;0,(AMG50-APT50)/AMG50,0)</f>
        <v>0</v>
      </c>
      <c r="DH51" s="20" t="n">
        <f aca="false">IF(AMH50&gt;0,(AMH50-APU50)/AMH50,0)</f>
        <v>0</v>
      </c>
      <c r="DI51" s="20" t="n">
        <f aca="false">IF(AMI50&gt;0,(AMI50-APV50)/AMI50,0)</f>
        <v>0</v>
      </c>
      <c r="DJ51" s="20" t="n">
        <f aca="false">IF((P51+S51)&gt;0,((P51+S51)-(P51+S51))/(P51+S51),0)</f>
        <v>0</v>
      </c>
      <c r="DK51" s="20" t="n">
        <v>0</v>
      </c>
      <c r="DL51" s="20" t="n">
        <v>0</v>
      </c>
      <c r="DM51" s="20" t="n">
        <v>0</v>
      </c>
      <c r="DN51" s="20" t="n">
        <v>0</v>
      </c>
      <c r="DO51" s="20" t="n">
        <v>0</v>
      </c>
      <c r="DP51" s="20" t="n">
        <v>0</v>
      </c>
      <c r="DQ51" s="20" t="n">
        <v>0</v>
      </c>
      <c r="DR51" s="20" t="n">
        <v>0</v>
      </c>
      <c r="DS51" s="20" t="n">
        <v>0</v>
      </c>
      <c r="DT51" s="20" t="n">
        <v>0</v>
      </c>
      <c r="DU51" s="20" t="n">
        <v>0</v>
      </c>
      <c r="DV51" s="20" t="n">
        <v>0</v>
      </c>
      <c r="DW51" s="20" t="n">
        <v>0</v>
      </c>
      <c r="DX51" s="20" t="n">
        <v>0</v>
      </c>
      <c r="DY51" s="20" t="n">
        <v>0</v>
      </c>
      <c r="DZ51" s="20" t="n">
        <v>0</v>
      </c>
      <c r="EA51" s="20" t="n">
        <v>0</v>
      </c>
      <c r="EB51" s="20" t="n">
        <v>0</v>
      </c>
      <c r="EC51" s="20" t="n">
        <v>0</v>
      </c>
      <c r="ED51" s="20" t="n">
        <v>0</v>
      </c>
      <c r="EE51" s="20" t="n">
        <v>0</v>
      </c>
      <c r="EF51" s="20" t="n">
        <v>0</v>
      </c>
      <c r="EG51" s="20" t="n">
        <v>0</v>
      </c>
      <c r="EH51" s="20" t="n">
        <v>0</v>
      </c>
      <c r="EI51" s="20" t="n">
        <v>0</v>
      </c>
      <c r="EJ51" s="20" t="n">
        <v>0</v>
      </c>
      <c r="EK51" s="20" t="n">
        <v>0</v>
      </c>
      <c r="EL51" s="20" t="n">
        <v>0</v>
      </c>
      <c r="EM51" s="20" t="n">
        <v>0</v>
      </c>
      <c r="EN51" s="20" t="n">
        <v>0</v>
      </c>
      <c r="EO51" s="20" t="n">
        <v>0</v>
      </c>
      <c r="EP51" s="20" t="n">
        <v>0</v>
      </c>
      <c r="EQ51" s="20" t="n">
        <v>0</v>
      </c>
      <c r="ER51" s="20" t="n">
        <v>0</v>
      </c>
      <c r="ES51" s="20" t="n">
        <v>0</v>
      </c>
      <c r="ET51" s="20" t="n">
        <v>0</v>
      </c>
      <c r="EU51" s="20" t="n">
        <v>0</v>
      </c>
      <c r="EV51" s="20" t="n">
        <v>0</v>
      </c>
      <c r="EW51" s="20" t="n">
        <v>0</v>
      </c>
      <c r="EX51" s="20" t="n">
        <v>0</v>
      </c>
      <c r="EY51" s="20" t="n">
        <v>0</v>
      </c>
      <c r="EZ51" s="20" t="n">
        <v>0</v>
      </c>
      <c r="FA51" s="20" t="n">
        <v>0</v>
      </c>
      <c r="FB51" s="20" t="n">
        <v>0</v>
      </c>
      <c r="FC51" s="20" t="n">
        <v>0</v>
      </c>
      <c r="FD51" s="20" t="n">
        <v>0</v>
      </c>
      <c r="FE51" s="20" t="n">
        <f aca="false">IF(H_Direct=1,IF(AKR50&lt;=0,0,IF(BR51&lt;=0,AKR50,AKR50-G51*MAX(0,BR51*AKR50-(H51+I51)))),AKR50*(1-MAX(0,BR51)*H_Exit))</f>
        <v>0</v>
      </c>
      <c r="FF51" s="20" t="n">
        <f aca="false">IF(H_Direct=1,IF(AKS50&lt;=0,0,IF(BS51&lt;=0,AKS50,AKS50-G51*MAX(0,BS51*AKS50-(IR51+ME51)))),AKS50*(1-MAX(0,BS51)*H_Exit))</f>
        <v>0</v>
      </c>
      <c r="FG51" s="20" t="n">
        <f aca="false">IF(H_Direct=1,IF(AKT50&lt;=0,0,IF(BT51&lt;=0,AKT50,AKT50-G51*MAX(0,BT51*AKT50-(IS51+MF51)))),AKT50*(1-MAX(0,BT51)*H_Exit))</f>
        <v>0</v>
      </c>
      <c r="FH51" s="20" t="n">
        <f aca="false">IF(H_Direct=1,IF(AKU50&lt;=0,0,IF(BU51&lt;=0,AKU50,AKU50-G51*MAX(0,BU51*AKU50-(IT51+MG51)))),AKU50*(1-MAX(0,BU51)*H_Exit))</f>
        <v>0</v>
      </c>
      <c r="FI51" s="20" t="n">
        <f aca="false">IF(H_Direct=1,IF(AKV50&lt;=0,0,IF(BV51&lt;=0,AKV50,AKV50-G51*MAX(0,BV51*AKV50-(IU51+MH51)))),AKV50*(1-MAX(0,BV51)*H_Exit))</f>
        <v>0</v>
      </c>
      <c r="FJ51" s="20" t="n">
        <f aca="false">IF(H_Direct=1,IF(AKW50&lt;=0,0,IF(BW51&lt;=0,AKW50,AKW50-G51*MAX(0,BW51*AKW50-(IV51+MI51)))),AKW50*(1-MAX(0,BW51)*H_Exit))</f>
        <v>0</v>
      </c>
      <c r="FK51" s="20" t="n">
        <f aca="false">IF(H_Direct=1,IF(AKX50&lt;=0,0,IF(BX51&lt;=0,AKX50,AKX50-G51*MAX(0,BX51*AKX50-(IW51+MJ51)))),AKX50*(1-MAX(0,BX51)*H_Exit))</f>
        <v>0</v>
      </c>
      <c r="FL51" s="20" t="n">
        <f aca="false">IF(H_Direct=1,IF(AKY50&lt;=0,0,IF(BY51&lt;=0,AKY50,AKY50-G51*MAX(0,BY51*AKY50-(IX51+MK51)))),AKY50*(1-MAX(0,BY51)*H_Exit))</f>
        <v>0</v>
      </c>
      <c r="FM51" s="20" t="n">
        <f aca="false">IF(H_Direct=1,IF(AKZ50&lt;=0,0,IF(BZ51&lt;=0,AKZ50,AKZ50-G51*MAX(0,BZ51*AKZ50-(IY51+ML51)))),AKZ50*(1-MAX(0,BZ51)*H_Exit))</f>
        <v>0</v>
      </c>
      <c r="FN51" s="20" t="n">
        <f aca="false">IF(H_Direct=1,IF(ALA50&lt;=0,0,IF(CA51&lt;=0,ALA50,ALA50-G51*MAX(0,CA51*ALA50-(IZ51+MM51)))),ALA50*(1-MAX(0,CA51)*H_Exit))</f>
        <v>0</v>
      </c>
      <c r="FO51" s="20" t="n">
        <f aca="false">IF(H_Direct=1,IF(ALB50&lt;=0,0,IF(CB51&lt;=0,ALB50,ALB50-G51*MAX(0,CB51*ALB50-(JA51+MN51)))),ALB50*(1-MAX(0,CB51)*H_Exit))</f>
        <v>0</v>
      </c>
      <c r="FP51" s="20" t="n">
        <f aca="false">IF(H_Direct=1,IF(ALC50&lt;=0,0,IF(CC51&lt;=0,ALC50,ALC50-G51*MAX(0,CC51*ALC50-(JB51+MO51)))),ALC50*(1-MAX(0,CC51)*H_Exit))</f>
        <v>0</v>
      </c>
      <c r="FQ51" s="20" t="n">
        <f aca="false">IF(H_Direct=1,IF(ALD50&lt;=0,0,IF(CD51&lt;=0,ALD50,ALD50-G51*MAX(0,CD51*ALD50-(JC51+MP51)))),ALD50*(1-MAX(0,CD51)*H_Exit))</f>
        <v>0</v>
      </c>
      <c r="FR51" s="20" t="n">
        <f aca="false">IF(H_Direct=1,IF(ALE50&lt;=0,0,IF(CE51&lt;=0,ALE50,ALE50-G51*MAX(0,CE51*ALE50-(JD51+MQ51)))),ALE50*(1-MAX(0,CE51)*H_Exit))</f>
        <v>0</v>
      </c>
      <c r="FS51" s="20" t="n">
        <f aca="false">IF(H_Direct=1,IF(ALF50&lt;=0,0,IF(CF51&lt;=0,ALF50,ALF50-G51*MAX(0,CF51*ALF50-(JE51+MR51)))),ALF50*(1-MAX(0,CF51)*H_Exit))</f>
        <v>0</v>
      </c>
      <c r="FT51" s="20" t="n">
        <f aca="false">IF(H_Direct=1,IF(ALG50&lt;=0,0,IF(CG51&lt;=0,ALG50,ALG50-G51*MAX(0,CG51*ALG50-(JF51+MS51)))),ALG50*(1-MAX(0,CG51)*H_Exit))</f>
        <v>0</v>
      </c>
      <c r="FU51" s="20" t="n">
        <f aca="false">IF(H_Direct=1,IF(ALH50&lt;=0,0,IF(CH51&lt;=0,ALH50,ALH50-G51*MAX(0,CH51*ALH50-(JG51+MT51)))),ALH50*(1-MAX(0,CH51)*H_Exit))</f>
        <v>0</v>
      </c>
      <c r="FV51" s="20" t="n">
        <f aca="false">IF(H_Direct=1,IF(ALI50&lt;=0,0,IF(CI51&lt;=0,ALI50,ALI50-G51*MAX(0,CI51*ALI50-(JH51+MU51)))),ALI50*(1-MAX(0,CI51)*H_Exit))</f>
        <v>0</v>
      </c>
      <c r="FW51" s="20" t="n">
        <f aca="false">IF(H_Direct=1,IF(ALJ50&lt;=0,0,IF(CJ51&lt;=0,ALJ50,ALJ50-G51*MAX(0,CJ51*ALJ50-(JI51+MV51)))),ALJ50*(1-MAX(0,CJ51)*H_Exit))</f>
        <v>0</v>
      </c>
      <c r="FX51" s="20" t="n">
        <f aca="false">IF(H_Direct=1,IF(ALK50&lt;=0,0,IF(CK51&lt;=0,ALK50,ALK50-G51*MAX(0,CK51*ALK50-(JJ51+MW51)))),ALK50*(1-MAX(0,CK51)*H_Exit))</f>
        <v>0</v>
      </c>
      <c r="FY51" s="20" t="n">
        <f aca="false">IF(H_Direct=1,IF(ALL50&lt;=0,0,IF(CL51&lt;=0,ALL50,ALL50-G51*MAX(0,CL51*ALL50-(JK51+MX51)))),ALL50*(1-MAX(0,CL51)*H_Exit))</f>
        <v>0</v>
      </c>
      <c r="FZ51" s="20" t="n">
        <f aca="false">IF(H_Direct=1,IF(ALM50&lt;=0,0,IF(CM51&lt;=0,ALM50,ALM50-G51*MAX(0,CM51*ALM50-(JL51+MY51)))),ALM50*(1-MAX(0,CM51)*H_Exit))</f>
        <v>0</v>
      </c>
      <c r="GA51" s="20" t="n">
        <f aca="false">IF(H_Direct=1,IF(ALN50&lt;=0,0,IF(CN51&lt;=0,ALN50,ALN50-G51*MAX(0,CN51*ALN50-(JM51+MZ51)))),ALN50*(1-MAX(0,CN51)*H_Exit))</f>
        <v>0</v>
      </c>
      <c r="GB51" s="20" t="n">
        <f aca="false">IF(H_Direct=1,IF(ALO50&lt;=0,0,IF(CO51&lt;=0,ALO50,ALO50-G51*MAX(0,CO51*ALO50-(JN51+NA51)))),ALO50*(1-MAX(0,CO51)*H_Exit))</f>
        <v>0</v>
      </c>
      <c r="GC51" s="20" t="n">
        <f aca="false">IF(H_Direct=1,IF(ALP50&lt;=0,0,IF(CP51&lt;=0,ALP50,ALP50-G51*MAX(0,CP51*ALP50-(JO51+NB51)))),ALP50*(1-MAX(0,CP51)*H_Exit))</f>
        <v>0</v>
      </c>
      <c r="GD51" s="20" t="n">
        <f aca="false">IF(H_Direct=1,IF(ALQ50&lt;=0,0,IF(CQ51&lt;=0,ALQ50,ALQ50-G51*MAX(0,CQ51*ALQ50-(JP51+NC51)))),ALQ50*(1-MAX(0,CQ51)*H_Exit))</f>
        <v>0</v>
      </c>
      <c r="GE51" s="20" t="n">
        <f aca="false">IF(H_Direct=1,IF(ALR50&lt;=0,0,IF(CR51&lt;=0,ALR50,ALR50-G51*MAX(0,CR51*ALR50-(JQ51+ND51)))),ALR50*(1-MAX(0,CR51)*H_Exit))</f>
        <v>0</v>
      </c>
      <c r="GF51" s="20" t="n">
        <f aca="false">IF(H_Direct=1,IF(ALS50&lt;=0,0,IF(CS51&lt;=0,ALS50,ALS50-G51*MAX(0,CS51*ALS50-(JR51+NE51)))),ALS50*(1-MAX(0,CS51)*H_Exit))</f>
        <v>0</v>
      </c>
      <c r="GG51" s="20" t="n">
        <f aca="false">IF(H_Direct=1,IF(ALT50&lt;=0,0,IF(CT51&lt;=0,ALT50,ALT50-G51*MAX(0,CT51*ALT50-(JS51+NF51)))),ALT50*(1-MAX(0,CT51)*H_Exit))</f>
        <v>0</v>
      </c>
      <c r="GH51" s="20" t="n">
        <f aca="false">IF(H_Direct=1,IF(ALU50&lt;=0,0,IF(CU51&lt;=0,ALU50,ALU50-G51*MAX(0,CU51*ALU50-(JT51+NG51)))),ALU50*(1-MAX(0,CU51)*H_Exit))</f>
        <v>0</v>
      </c>
      <c r="GI51" s="20" t="n">
        <f aca="false">IF(H_Direct=1,IF(ALV50&lt;=0,0,IF(CV51&lt;=0,ALV50,ALV50-G51*MAX(0,CV51*ALV50-(JU51+NH51)))),ALV50*(1-MAX(0,CV51)*H_Exit))</f>
        <v>0</v>
      </c>
      <c r="GJ51" s="20" t="n">
        <f aca="false">IF(H_Direct=1,IF(ALW50&lt;=0,0,IF(CW51&lt;=0,ALW50,ALW50-G51*MAX(0,CW51*ALW50-(JV51+NI51)))),ALW50*(1-MAX(0,CW51)*H_Exit))</f>
        <v>0</v>
      </c>
      <c r="GK51" s="20" t="n">
        <f aca="false">IF(H_Direct=1,IF(ALX50&lt;=0,0,IF(CX51&lt;=0,ALX50,ALX50-G51*MAX(0,CX51*ALX50-(JW51+NJ51)))),ALX50*(1-MAX(0,CX51)*H_Exit))</f>
        <v>0</v>
      </c>
      <c r="GL51" s="20" t="n">
        <f aca="false">IF(H_Direct=1,IF(ALY50&lt;=0,0,IF(CY51&lt;=0,ALY50,ALY50-G51*MAX(0,CY51*ALY50-(JX51+NK51)))),ALY50*(1-MAX(0,CY51)*H_Exit))</f>
        <v>0</v>
      </c>
      <c r="GM51" s="20" t="n">
        <f aca="false">IF(H_Direct=1,IF(ALZ50&lt;=0,0,IF(CZ51&lt;=0,ALZ50,ALZ50-G51*MAX(0,CZ51*ALZ50-(JY51+NL51)))),ALZ50*(1-MAX(0,CZ51)*H_Exit))</f>
        <v>0</v>
      </c>
      <c r="GN51" s="20" t="n">
        <f aca="false">IF(H_Direct=1,IF(AMA50&lt;=0,0,IF(DA51&lt;=0,AMA50,AMA50-G51*MAX(0,DA51*AMA50-(JZ51+NM51)))),AMA50*(1-MAX(0,DA51)*H_Exit))</f>
        <v>0</v>
      </c>
      <c r="GO51" s="20" t="n">
        <f aca="false">IF(H_Direct=1,IF(AMB50&lt;=0,0,IF(DB51&lt;=0,AMB50,AMB50-G51*MAX(0,DB51*AMB50-(KA51+NN51)))),AMB50*(1-MAX(0,DB51)*H_Exit))</f>
        <v>0</v>
      </c>
      <c r="GP51" s="20" t="n">
        <f aca="false">IF(H_Direct=1,IF(AMC50&lt;=0,0,IF(DC51&lt;=0,AMC50,AMC50-G51*MAX(0,DC51*AMC50-(KB51+NO51)))),AMC50*(1-MAX(0,DC51)*H_Exit))</f>
        <v>0</v>
      </c>
      <c r="GQ51" s="20" t="n">
        <f aca="false">IF(H_Direct=1,IF(AMD50&lt;=0,0,IF(DD51&lt;=0,AMD50,AMD50-G51*MAX(0,DD51*AMD50-(KC51+NP51)))),AMD50*(1-MAX(0,DD51)*H_Exit))</f>
        <v>0</v>
      </c>
      <c r="GR51" s="20" t="n">
        <f aca="false">IF(H_Direct=1,IF(AME50&lt;=0,0,IF(DE51&lt;=0,AME50,AME50-G51*MAX(0,DE51*AME50-(KD51+NQ51)))),AME50*(1-MAX(0,DE51)*H_Exit))</f>
        <v>0</v>
      </c>
      <c r="GS51" s="20" t="n">
        <f aca="false">IF(H_Direct=1,IF(AMF50&lt;=0,0,IF(DF51&lt;=0,AMF50,AMF50-G51*MAX(0,DF51*AMF50-(KE51+NR51)))),AMF50*(1-MAX(0,DF51)*H_Exit))</f>
        <v>0</v>
      </c>
      <c r="GT51" s="20" t="n">
        <f aca="false">IF(H_Direct=1,IF(AMG50&lt;=0,0,IF(DG51&lt;=0,AMG50,AMG50-G51*MAX(0,DG51*AMG50-(KF51+NS51)))),AMG50*(1-MAX(0,DG51)*H_Exit))</f>
        <v>0</v>
      </c>
      <c r="GU51" s="20" t="n">
        <f aca="false">IF(H_Direct=1,IF(AMH50&lt;=0,0,IF(DH51&lt;=0,AMH50,AMH50-G51*MAX(0,DH51*AMH50-(KG51+NT51)))),AMH50*(1-MAX(0,DH51)*H_Exit))</f>
        <v>0</v>
      </c>
      <c r="GV51" s="20" t="n">
        <f aca="false">IF(H_Direct=1,IF(AMI50&lt;=0,0,IF(DI51&lt;=0,AMI50,AMI50-G51*MAX(0,DI51*AMI50-(KH51+NU51)))),AMI50*(1-MAX(0,DI51)*H_Exit))</f>
        <v>0</v>
      </c>
      <c r="GW51" s="20" t="n">
        <f aca="false">IF(H_Direct=1,IF((P51+S51)&lt;=0,0,IF(DJ51&lt;=0,(P51+S51),(P51+S51)-G51*MAX(0,DJ51*(P51+S51)-(KI51+NV51)))),(P51+S51)*(1-MAX(0,DJ51)*H_Exit))</f>
        <v>0</v>
      </c>
      <c r="GX51" s="20" t="n">
        <v>0</v>
      </c>
      <c r="GY51" s="20" t="n">
        <v>0</v>
      </c>
      <c r="GZ51" s="20" t="n">
        <v>0</v>
      </c>
      <c r="HA51" s="20" t="n">
        <v>0</v>
      </c>
      <c r="HB51" s="20" t="n">
        <v>0</v>
      </c>
      <c r="HC51" s="20" t="n">
        <v>0</v>
      </c>
      <c r="HD51" s="20" t="n">
        <v>0</v>
      </c>
      <c r="HE51" s="20" t="n">
        <v>0</v>
      </c>
      <c r="HF51" s="20" t="n">
        <v>0</v>
      </c>
      <c r="HG51" s="20" t="n">
        <v>0</v>
      </c>
      <c r="HH51" s="20" t="n">
        <v>0</v>
      </c>
      <c r="HI51" s="20" t="n">
        <v>0</v>
      </c>
      <c r="HJ51" s="20" t="n">
        <v>0</v>
      </c>
      <c r="HK51" s="20" t="n">
        <v>0</v>
      </c>
      <c r="HL51" s="20" t="n">
        <v>0</v>
      </c>
      <c r="HM51" s="20" t="n">
        <v>0</v>
      </c>
      <c r="HN51" s="20" t="n">
        <v>0</v>
      </c>
      <c r="HO51" s="20" t="n">
        <v>0</v>
      </c>
      <c r="HP51" s="20" t="n">
        <v>0</v>
      </c>
      <c r="HQ51" s="20" t="n">
        <v>0</v>
      </c>
      <c r="HR51" s="20" t="n">
        <v>0</v>
      </c>
      <c r="HS51" s="20" t="n">
        <v>0</v>
      </c>
      <c r="HT51" s="20" t="n">
        <v>0</v>
      </c>
      <c r="HU51" s="20" t="n">
        <v>0</v>
      </c>
      <c r="HV51" s="20" t="n">
        <v>0</v>
      </c>
      <c r="HW51" s="20" t="n">
        <v>0</v>
      </c>
      <c r="HX51" s="20" t="n">
        <v>0</v>
      </c>
      <c r="HY51" s="20" t="n">
        <v>0</v>
      </c>
      <c r="HZ51" s="20" t="n">
        <v>0</v>
      </c>
      <c r="IA51" s="20" t="n">
        <v>0</v>
      </c>
      <c r="IB51" s="20" t="n">
        <v>0</v>
      </c>
      <c r="IC51" s="20" t="n">
        <v>0</v>
      </c>
      <c r="ID51" s="20" t="n">
        <v>0</v>
      </c>
      <c r="IE51" s="20" t="n">
        <v>0</v>
      </c>
      <c r="IF51" s="20" t="n">
        <v>0</v>
      </c>
      <c r="IG51" s="20" t="n">
        <v>0</v>
      </c>
      <c r="IH51" s="20" t="n">
        <v>0</v>
      </c>
      <c r="II51" s="20" t="n">
        <v>0</v>
      </c>
      <c r="IJ51" s="20" t="n">
        <v>0</v>
      </c>
      <c r="IK51" s="20" t="n">
        <v>0</v>
      </c>
      <c r="IL51" s="20" t="n">
        <v>0</v>
      </c>
      <c r="IM51" s="20" t="n">
        <v>0</v>
      </c>
      <c r="IN51" s="20" t="n">
        <v>0</v>
      </c>
      <c r="IO51" s="20" t="n">
        <v>0</v>
      </c>
      <c r="IP51" s="20" t="n">
        <v>0</v>
      </c>
      <c r="IQ51" s="20" t="n">
        <v>0</v>
      </c>
      <c r="IR51" s="20" t="n">
        <f aca="false">IF(AND(H_Direct=1,BR51&gt;0),MAX(0,H51-(MIN(BR51*AKR50,H51+I51)-MIN(MIN(BR51*AKR50,H51+I51),I51))),H51)</f>
        <v>1270</v>
      </c>
      <c r="IS51" s="20" t="n">
        <f aca="false">IF(AND(H_Direct=1,BS51&gt;0),MAX(0,IR51-(MIN(BS51*AKS50,IR51+ME51)-MIN(MIN(BS51*AKS50,IR51+ME51),ME51))),IR51)</f>
        <v>1270</v>
      </c>
      <c r="IT51" s="20" t="n">
        <f aca="false">IF(AND(H_Direct=1,BT51&gt;0),MAX(0,IS51-(MIN(BT51*AKT50,IS51+MF51)-MIN(MIN(BT51*AKT50,IS51+MF51),MF51))),IS51)</f>
        <v>1270</v>
      </c>
      <c r="IU51" s="20" t="n">
        <f aca="false">IF(AND(H_Direct=1,BU51&gt;0),MAX(0,IT51-(MIN(BU51*AKU50,IT51+MG51)-MIN(MIN(BU51*AKU50,IT51+MG51),MG51))),IT51)</f>
        <v>1270</v>
      </c>
      <c r="IV51" s="20" t="n">
        <f aca="false">IF(AND(H_Direct=1,BV51&gt;0),MAX(0,IU51-(MIN(BV51*AKV50,IU51+MH51)-MIN(MIN(BV51*AKV50,IU51+MH51),MH51))),IU51)</f>
        <v>1270</v>
      </c>
      <c r="IW51" s="20" t="n">
        <f aca="false">IF(AND(H_Direct=1,BW51&gt;0),MAX(0,IV51-(MIN(BW51*AKW50,IV51+MI51)-MIN(MIN(BW51*AKW50,IV51+MI51),MI51))),IV51)</f>
        <v>1270</v>
      </c>
      <c r="IX51" s="20" t="n">
        <f aca="false">IF(AND(H_Direct=1,BX51&gt;0),MAX(0,IW51-(MIN(BX51*AKX50,IW51+MJ51)-MIN(MIN(BX51*AKX50,IW51+MJ51),MJ51))),IW51)</f>
        <v>1270</v>
      </c>
      <c r="IY51" s="20" t="n">
        <f aca="false">IF(AND(H_Direct=1,BY51&gt;0),MAX(0,IX51-(MIN(BY51*AKY50,IX51+MK51)-MIN(MIN(BY51*AKY50,IX51+MK51),MK51))),IX51)</f>
        <v>1270</v>
      </c>
      <c r="IZ51" s="20" t="n">
        <f aca="false">IF(AND(H_Direct=1,BZ51&gt;0),MAX(0,IY51-(MIN(BZ51*AKZ50,IY51+ML51)-MIN(MIN(BZ51*AKZ50,IY51+ML51),ML51))),IY51)</f>
        <v>1270</v>
      </c>
      <c r="JA51" s="20" t="n">
        <f aca="false">IF(AND(H_Direct=1,CA51&gt;0),MAX(0,IZ51-(MIN(CA51*ALA50,IZ51+MM51)-MIN(MIN(CA51*ALA50,IZ51+MM51),MM51))),IZ51)</f>
        <v>1270</v>
      </c>
      <c r="JB51" s="20" t="n">
        <f aca="false">IF(AND(H_Direct=1,CB51&gt;0),MAX(0,JA51-(MIN(CB51*ALB50,JA51+MN51)-MIN(MIN(CB51*ALB50,JA51+MN51),MN51))),JA51)</f>
        <v>1270</v>
      </c>
      <c r="JC51" s="20" t="n">
        <f aca="false">IF(AND(H_Direct=1,CC51&gt;0),MAX(0,JB51-(MIN(CC51*ALC50,JB51+MO51)-MIN(MIN(CC51*ALC50,JB51+MO51),MO51))),JB51)</f>
        <v>1270</v>
      </c>
      <c r="JD51" s="20" t="n">
        <f aca="false">IF(AND(H_Direct=1,CD51&gt;0),MAX(0,JC51-(MIN(CD51*ALD50,JC51+MP51)-MIN(MIN(CD51*ALD50,JC51+MP51),MP51))),JC51)</f>
        <v>1270</v>
      </c>
      <c r="JE51" s="20" t="n">
        <f aca="false">IF(AND(H_Direct=1,CE51&gt;0),MAX(0,JD51-(MIN(CE51*ALE50,JD51+MQ51)-MIN(MIN(CE51*ALE50,JD51+MQ51),MQ51))),JD51)</f>
        <v>1270</v>
      </c>
      <c r="JF51" s="20" t="n">
        <f aca="false">IF(AND(H_Direct=1,CF51&gt;0),MAX(0,JE51-(MIN(CF51*ALF50,JE51+MR51)-MIN(MIN(CF51*ALF50,JE51+MR51),MR51))),JE51)</f>
        <v>1270</v>
      </c>
      <c r="JG51" s="20" t="n">
        <f aca="false">IF(AND(H_Direct=1,CG51&gt;0),MAX(0,JF51-(MIN(CG51*ALG50,JF51+MS51)-MIN(MIN(CG51*ALG50,JF51+MS51),MS51))),JF51)</f>
        <v>1270</v>
      </c>
      <c r="JH51" s="20" t="n">
        <f aca="false">IF(AND(H_Direct=1,CH51&gt;0),MAX(0,JG51-(MIN(CH51*ALH50,JG51+MT51)-MIN(MIN(CH51*ALH50,JG51+MT51),MT51))),JG51)</f>
        <v>1270</v>
      </c>
      <c r="JI51" s="20" t="n">
        <f aca="false">IF(AND(H_Direct=1,CI51&gt;0),MAX(0,JH51-(MIN(CI51*ALI50,JH51+MU51)-MIN(MIN(CI51*ALI50,JH51+MU51),MU51))),JH51)</f>
        <v>1270</v>
      </c>
      <c r="JJ51" s="20" t="n">
        <f aca="false">IF(AND(H_Direct=1,CJ51&gt;0),MAX(0,JI51-(MIN(CJ51*ALJ50,JI51+MV51)-MIN(MIN(CJ51*ALJ50,JI51+MV51),MV51))),JI51)</f>
        <v>1270</v>
      </c>
      <c r="JK51" s="20" t="n">
        <f aca="false">IF(AND(H_Direct=1,CK51&gt;0),MAX(0,JJ51-(MIN(CK51*ALK50,JJ51+MW51)-MIN(MIN(CK51*ALK50,JJ51+MW51),MW51))),JJ51)</f>
        <v>1270</v>
      </c>
      <c r="JL51" s="20" t="n">
        <f aca="false">IF(AND(H_Direct=1,CL51&gt;0),MAX(0,JK51-(MIN(CL51*ALL50,JK51+MX51)-MIN(MIN(CL51*ALL50,JK51+MX51),MX51))),JK51)</f>
        <v>1270</v>
      </c>
      <c r="JM51" s="20" t="n">
        <f aca="false">IF(AND(H_Direct=1,CM51&gt;0),MAX(0,JL51-(MIN(CM51*ALM50,JL51+MY51)-MIN(MIN(CM51*ALM50,JL51+MY51),MY51))),JL51)</f>
        <v>1270</v>
      </c>
      <c r="JN51" s="20" t="n">
        <f aca="false">IF(AND(H_Direct=1,CN51&gt;0),MAX(0,JM51-(MIN(CN51*ALN50,JM51+MZ51)-MIN(MIN(CN51*ALN50,JM51+MZ51),MZ51))),JM51)</f>
        <v>1270</v>
      </c>
      <c r="JO51" s="20" t="n">
        <f aca="false">IF(AND(H_Direct=1,CO51&gt;0),MAX(0,JN51-(MIN(CO51*ALO50,JN51+NA51)-MIN(MIN(CO51*ALO50,JN51+NA51),NA51))),JN51)</f>
        <v>1270</v>
      </c>
      <c r="JP51" s="20" t="n">
        <f aca="false">IF(AND(H_Direct=1,CP51&gt;0),MAX(0,JO51-(MIN(CP51*ALP50,JO51+NB51)-MIN(MIN(CP51*ALP50,JO51+NB51),NB51))),JO51)</f>
        <v>1270</v>
      </c>
      <c r="JQ51" s="20" t="n">
        <f aca="false">IF(AND(H_Direct=1,CQ51&gt;0),MAX(0,JP51-(MIN(CQ51*ALQ50,JP51+NC51)-MIN(MIN(CQ51*ALQ50,JP51+NC51),NC51))),JP51)</f>
        <v>1270</v>
      </c>
      <c r="JR51" s="20" t="n">
        <f aca="false">IF(AND(H_Direct=1,CR51&gt;0),MAX(0,JQ51-(MIN(CR51*ALR50,JQ51+ND51)-MIN(MIN(CR51*ALR50,JQ51+ND51),ND51))),JQ51)</f>
        <v>1270</v>
      </c>
      <c r="JS51" s="20" t="n">
        <f aca="false">IF(AND(H_Direct=1,CS51&gt;0),MAX(0,JR51-(MIN(CS51*ALS50,JR51+NE51)-MIN(MIN(CS51*ALS50,JR51+NE51),NE51))),JR51)</f>
        <v>1270</v>
      </c>
      <c r="JT51" s="20" t="n">
        <f aca="false">IF(AND(H_Direct=1,CT51&gt;0),MAX(0,JS51-(MIN(CT51*ALT50,JS51+NF51)-MIN(MIN(CT51*ALT50,JS51+NF51),NF51))),JS51)</f>
        <v>1270</v>
      </c>
      <c r="JU51" s="20" t="n">
        <f aca="false">IF(AND(H_Direct=1,CU51&gt;0),MAX(0,JT51-(MIN(CU51*ALU50,JT51+NG51)-MIN(MIN(CU51*ALU50,JT51+NG51),NG51))),JT51)</f>
        <v>1270</v>
      </c>
      <c r="JV51" s="20" t="n">
        <f aca="false">IF(AND(H_Direct=1,CV51&gt;0),MAX(0,JU51-(MIN(CV51*ALV50,JU51+NH51)-MIN(MIN(CV51*ALV50,JU51+NH51),NH51))),JU51)</f>
        <v>1270</v>
      </c>
      <c r="JW51" s="20" t="n">
        <f aca="false">IF(AND(H_Direct=1,CW51&gt;0),MAX(0,JV51-(MIN(CW51*ALW50,JV51+NI51)-MIN(MIN(CW51*ALW50,JV51+NI51),NI51))),JV51)</f>
        <v>1270</v>
      </c>
      <c r="JX51" s="20" t="n">
        <f aca="false">IF(AND(H_Direct=1,CX51&gt;0),MAX(0,JW51-(MIN(CX51*ALX50,JW51+NJ51)-MIN(MIN(CX51*ALX50,JW51+NJ51),NJ51))),JW51)</f>
        <v>1270</v>
      </c>
      <c r="JY51" s="20" t="n">
        <f aca="false">IF(AND(H_Direct=1,CY51&gt;0),MAX(0,JX51-(MIN(CY51*ALY50,JX51+NK51)-MIN(MIN(CY51*ALY50,JX51+NK51),NK51))),JX51)</f>
        <v>1270</v>
      </c>
      <c r="JZ51" s="20" t="n">
        <f aca="false">IF(AND(H_Direct=1,CZ51&gt;0),MAX(0,JY51-(MIN(CZ51*ALZ50,JY51+NL51)-MIN(MIN(CZ51*ALZ50,JY51+NL51),NL51))),JY51)</f>
        <v>1270</v>
      </c>
      <c r="KA51" s="20" t="n">
        <f aca="false">IF(AND(H_Direct=1,DA51&gt;0),MAX(0,JZ51-(MIN(DA51*AMA50,JZ51+NM51)-MIN(MIN(DA51*AMA50,JZ51+NM51),NM51))),JZ51)</f>
        <v>1270</v>
      </c>
      <c r="KB51" s="20" t="n">
        <f aca="false">IF(AND(H_Direct=1,DB51&gt;0),MAX(0,KA51-(MIN(DB51*AMB50,KA51+NN51)-MIN(MIN(DB51*AMB50,KA51+NN51),NN51))),KA51)</f>
        <v>1270</v>
      </c>
      <c r="KC51" s="20" t="n">
        <f aca="false">IF(AND(H_Direct=1,DC51&gt;0),MAX(0,KB51-(MIN(DC51*AMC50,KB51+NO51)-MIN(MIN(DC51*AMC50,KB51+NO51),NO51))),KB51)</f>
        <v>1270</v>
      </c>
      <c r="KD51" s="20" t="n">
        <f aca="false">IF(AND(H_Direct=1,DD51&gt;0),MAX(0,KC51-(MIN(DD51*AMD50,KC51+NP51)-MIN(MIN(DD51*AMD50,KC51+NP51),NP51))),KC51)</f>
        <v>1270</v>
      </c>
      <c r="KE51" s="20" t="n">
        <f aca="false">IF(AND(H_Direct=1,DE51&gt;0),MAX(0,KD51-(MIN(DE51*AME50,KD51+NQ51)-MIN(MIN(DE51*AME50,KD51+NQ51),NQ51))),KD51)</f>
        <v>1270</v>
      </c>
      <c r="KF51" s="20" t="n">
        <f aca="false">IF(AND(H_Direct=1,DF51&gt;0),MAX(0,KE51-(MIN(DF51*AMF50,KE51+NR51)-MIN(MIN(DF51*AMF50,KE51+NR51),NR51))),KE51)</f>
        <v>1270</v>
      </c>
      <c r="KG51" s="20" t="n">
        <f aca="false">IF(AND(H_Direct=1,DG51&gt;0),MAX(0,KF51-(MIN(DG51*AMG50,KF51+NS51)-MIN(MIN(DG51*AMG50,KF51+NS51),NS51))),KF51)</f>
        <v>1270</v>
      </c>
      <c r="KH51" s="20" t="n">
        <f aca="false">IF(AND(H_Direct=1,DH51&gt;0),MAX(0,KG51-(MIN(DH51*AMH50,KG51+NT51)-MIN(MIN(DH51*AMH50,KG51+NT51),NT51))),KG51)</f>
        <v>1270</v>
      </c>
      <c r="KI51" s="20" t="n">
        <f aca="false">IF(AND(H_Direct=1,DI51&gt;0),MAX(0,KH51-(MIN(DI51*AMI50,KH51+NU51)-MIN(MIN(DI51*AMI50,KH51+NU51),NU51))),KH51)</f>
        <v>1270</v>
      </c>
      <c r="KJ51" s="20" t="n">
        <f aca="false">IF(AND(H_Direct=1,DJ51&gt;0),MAX(0,KI51-(MIN(DJ51*(P51+S51),KI51+NV51)-MIN(MIN(DJ51*(P51+S51),KI51+NV51),NV51))),KI51)</f>
        <v>1270</v>
      </c>
      <c r="KK51" s="20" t="n">
        <f aca="false">KJ51</f>
        <v>1270</v>
      </c>
      <c r="KL51" s="20" t="n">
        <f aca="false">KK51</f>
        <v>1270</v>
      </c>
      <c r="KM51" s="20" t="n">
        <f aca="false">KL51</f>
        <v>1270</v>
      </c>
      <c r="KN51" s="20" t="n">
        <f aca="false">KM51</f>
        <v>1270</v>
      </c>
      <c r="KO51" s="20" t="n">
        <f aca="false">KN51</f>
        <v>1270</v>
      </c>
      <c r="KP51" s="20" t="n">
        <f aca="false">KO51</f>
        <v>1270</v>
      </c>
      <c r="KQ51" s="20" t="n">
        <f aca="false">KP51</f>
        <v>1270</v>
      </c>
      <c r="KR51" s="20" t="n">
        <f aca="false">KQ51</f>
        <v>1270</v>
      </c>
      <c r="KS51" s="20" t="n">
        <f aca="false">KR51</f>
        <v>1270</v>
      </c>
      <c r="KT51" s="20" t="n">
        <f aca="false">KS51</f>
        <v>1270</v>
      </c>
      <c r="KU51" s="20" t="n">
        <f aca="false">KT51</f>
        <v>1270</v>
      </c>
      <c r="KV51" s="20" t="n">
        <f aca="false">KU51</f>
        <v>1270</v>
      </c>
      <c r="KW51" s="20" t="n">
        <f aca="false">KV51</f>
        <v>1270</v>
      </c>
      <c r="KX51" s="20" t="n">
        <f aca="false">KW51</f>
        <v>1270</v>
      </c>
      <c r="KY51" s="20" t="n">
        <f aca="false">KX51</f>
        <v>1270</v>
      </c>
      <c r="KZ51" s="20" t="n">
        <f aca="false">KY51</f>
        <v>1270</v>
      </c>
      <c r="LA51" s="20" t="n">
        <f aca="false">KZ51</f>
        <v>1270</v>
      </c>
      <c r="LB51" s="20" t="n">
        <f aca="false">LA51</f>
        <v>1270</v>
      </c>
      <c r="LC51" s="20" t="n">
        <f aca="false">LB51</f>
        <v>1270</v>
      </c>
      <c r="LD51" s="20" t="n">
        <f aca="false">LC51</f>
        <v>1270</v>
      </c>
      <c r="LE51" s="20" t="n">
        <f aca="false">LD51</f>
        <v>1270</v>
      </c>
      <c r="LF51" s="20" t="n">
        <f aca="false">LE51</f>
        <v>1270</v>
      </c>
      <c r="LG51" s="20" t="n">
        <f aca="false">LF51</f>
        <v>1270</v>
      </c>
      <c r="LH51" s="20" t="n">
        <f aca="false">LG51</f>
        <v>1270</v>
      </c>
      <c r="LI51" s="20" t="n">
        <f aca="false">LH51</f>
        <v>1270</v>
      </c>
      <c r="LJ51" s="20" t="n">
        <f aca="false">LI51</f>
        <v>1270</v>
      </c>
      <c r="LK51" s="20" t="n">
        <f aca="false">LJ51</f>
        <v>1270</v>
      </c>
      <c r="LL51" s="20" t="n">
        <f aca="false">LK51</f>
        <v>1270</v>
      </c>
      <c r="LM51" s="20" t="n">
        <f aca="false">LL51</f>
        <v>1270</v>
      </c>
      <c r="LN51" s="20" t="n">
        <f aca="false">LM51</f>
        <v>1270</v>
      </c>
      <c r="LO51" s="20" t="n">
        <f aca="false">LN51</f>
        <v>1270</v>
      </c>
      <c r="LP51" s="20" t="n">
        <f aca="false">LO51</f>
        <v>1270</v>
      </c>
      <c r="LQ51" s="20" t="n">
        <f aca="false">LP51</f>
        <v>1270</v>
      </c>
      <c r="LR51" s="20" t="n">
        <f aca="false">LQ51</f>
        <v>1270</v>
      </c>
      <c r="LS51" s="20" t="n">
        <f aca="false">LR51</f>
        <v>1270</v>
      </c>
      <c r="LT51" s="20" t="n">
        <f aca="false">LS51</f>
        <v>1270</v>
      </c>
      <c r="LU51" s="20" t="n">
        <f aca="false">LT51</f>
        <v>1270</v>
      </c>
      <c r="LV51" s="20" t="n">
        <f aca="false">LU51</f>
        <v>1270</v>
      </c>
      <c r="LW51" s="20" t="n">
        <f aca="false">LV51</f>
        <v>1270</v>
      </c>
      <c r="LX51" s="20" t="n">
        <f aca="false">LW51</f>
        <v>1270</v>
      </c>
      <c r="LY51" s="20" t="n">
        <f aca="false">LX51</f>
        <v>1270</v>
      </c>
      <c r="LZ51" s="20" t="n">
        <f aca="false">LY51</f>
        <v>1270</v>
      </c>
      <c r="MA51" s="20" t="n">
        <f aca="false">LZ51</f>
        <v>1270</v>
      </c>
      <c r="MB51" s="20" t="n">
        <f aca="false">MA51</f>
        <v>1270</v>
      </c>
      <c r="MC51" s="20" t="n">
        <f aca="false">MB51</f>
        <v>1270</v>
      </c>
      <c r="MD51" s="20" t="n">
        <f aca="false">MC51</f>
        <v>1270</v>
      </c>
      <c r="ME51" s="20" t="n">
        <f aca="false">IF(H_Direct=1,IF(BR51&lt;=0,I51-BR51*AKR50,I51-MIN(MIN(BR51*AKR50,H51+I51),I51)),I51)</f>
        <v>0</v>
      </c>
      <c r="MF51" s="20" t="n">
        <f aca="false">IF(H_Direct=1,IF(BS51&lt;=0,ME51-BS51*AKS50,ME51-MIN(MIN(BS51*AKS50,IR51+ME51),ME51)),ME51)</f>
        <v>0</v>
      </c>
      <c r="MG51" s="20" t="n">
        <f aca="false">IF(H_Direct=1,IF(BT51&lt;=0,MF51-BT51*AKT50,MF51-MIN(MIN(BT51*AKT50,IS51+MF51),MF51)),MF51)</f>
        <v>0</v>
      </c>
      <c r="MH51" s="20" t="n">
        <f aca="false">IF(H_Direct=1,IF(BU51&lt;=0,MG51-BU51*AKU50,MG51-MIN(MIN(BU51*AKU50,IT51+MG51),MG51)),MG51)</f>
        <v>0</v>
      </c>
      <c r="MI51" s="20" t="n">
        <f aca="false">IF(H_Direct=1,IF(BV51&lt;=0,MH51-BV51*AKV50,MH51-MIN(MIN(BV51*AKV50,IU51+MH51),MH51)),MH51)</f>
        <v>0</v>
      </c>
      <c r="MJ51" s="20" t="n">
        <f aca="false">IF(H_Direct=1,IF(BW51&lt;=0,MI51-BW51*AKW50,MI51-MIN(MIN(BW51*AKW50,IV51+MI51),MI51)),MI51)</f>
        <v>0</v>
      </c>
      <c r="MK51" s="20" t="n">
        <f aca="false">IF(H_Direct=1,IF(BX51&lt;=0,MJ51-BX51*AKX50,MJ51-MIN(MIN(BX51*AKX50,IW51+MJ51),MJ51)),MJ51)</f>
        <v>0</v>
      </c>
      <c r="ML51" s="20" t="n">
        <f aca="false">IF(H_Direct=1,IF(BY51&lt;=0,MK51-BY51*AKY50,MK51-MIN(MIN(BY51*AKY50,IX51+MK51),MK51)),MK51)</f>
        <v>0</v>
      </c>
      <c r="MM51" s="20" t="n">
        <f aca="false">IF(H_Direct=1,IF(BZ51&lt;=0,ML51-BZ51*AKZ50,ML51-MIN(MIN(BZ51*AKZ50,IY51+ML51),ML51)),ML51)</f>
        <v>0</v>
      </c>
      <c r="MN51" s="20" t="n">
        <f aca="false">IF(H_Direct=1,IF(CA51&lt;=0,MM51-CA51*ALA50,MM51-MIN(MIN(CA51*ALA50,IZ51+MM51),MM51)),MM51)</f>
        <v>0</v>
      </c>
      <c r="MO51" s="20" t="n">
        <f aca="false">IF(H_Direct=1,IF(CB51&lt;=0,MN51-CB51*ALB50,MN51-MIN(MIN(CB51*ALB50,JA51+MN51),MN51)),MN51)</f>
        <v>0</v>
      </c>
      <c r="MP51" s="20" t="n">
        <f aca="false">IF(H_Direct=1,IF(CC51&lt;=0,MO51-CC51*ALC50,MO51-MIN(MIN(CC51*ALC50,JB51+MO51),MO51)),MO51)</f>
        <v>0</v>
      </c>
      <c r="MQ51" s="20" t="n">
        <f aca="false">IF(H_Direct=1,IF(CD51&lt;=0,MP51-CD51*ALD50,MP51-MIN(MIN(CD51*ALD50,JC51+MP51),MP51)),MP51)</f>
        <v>0</v>
      </c>
      <c r="MR51" s="20" t="n">
        <f aca="false">IF(H_Direct=1,IF(CE51&lt;=0,MQ51-CE51*ALE50,MQ51-MIN(MIN(CE51*ALE50,JD51+MQ51),MQ51)),MQ51)</f>
        <v>0</v>
      </c>
      <c r="MS51" s="20" t="n">
        <f aca="false">IF(H_Direct=1,IF(CF51&lt;=0,MR51-CF51*ALF50,MR51-MIN(MIN(CF51*ALF50,JE51+MR51),MR51)),MR51)</f>
        <v>0</v>
      </c>
      <c r="MT51" s="20" t="n">
        <f aca="false">IF(H_Direct=1,IF(CG51&lt;=0,MS51-CG51*ALG50,MS51-MIN(MIN(CG51*ALG50,JF51+MS51),MS51)),MS51)</f>
        <v>0</v>
      </c>
      <c r="MU51" s="20" t="n">
        <f aca="false">IF(H_Direct=1,IF(CH51&lt;=0,MT51-CH51*ALH50,MT51-MIN(MIN(CH51*ALH50,JG51+MT51),MT51)),MT51)</f>
        <v>0</v>
      </c>
      <c r="MV51" s="20" t="n">
        <f aca="false">IF(H_Direct=1,IF(CI51&lt;=0,MU51-CI51*ALI50,MU51-MIN(MIN(CI51*ALI50,JH51+MU51),MU51)),MU51)</f>
        <v>0</v>
      </c>
      <c r="MW51" s="20" t="n">
        <f aca="false">IF(H_Direct=1,IF(CJ51&lt;=0,MV51-CJ51*ALJ50,MV51-MIN(MIN(CJ51*ALJ50,JI51+MV51),MV51)),MV51)</f>
        <v>0</v>
      </c>
      <c r="MX51" s="20" t="n">
        <f aca="false">IF(H_Direct=1,IF(CK51&lt;=0,MW51-CK51*ALK50,MW51-MIN(MIN(CK51*ALK50,JJ51+MW51),MW51)),MW51)</f>
        <v>0</v>
      </c>
      <c r="MY51" s="20" t="n">
        <f aca="false">IF(H_Direct=1,IF(CL51&lt;=0,MX51-CL51*ALL50,MX51-MIN(MIN(CL51*ALL50,JK51+MX51),MX51)),MX51)</f>
        <v>0</v>
      </c>
      <c r="MZ51" s="20" t="n">
        <f aca="false">IF(H_Direct=1,IF(CM51&lt;=0,MY51-CM51*ALM50,MY51-MIN(MIN(CM51*ALM50,JL51+MY51),MY51)),MY51)</f>
        <v>0</v>
      </c>
      <c r="NA51" s="20" t="n">
        <f aca="false">IF(H_Direct=1,IF(CN51&lt;=0,MZ51-CN51*ALN50,MZ51-MIN(MIN(CN51*ALN50,JM51+MZ51),MZ51)),MZ51)</f>
        <v>0</v>
      </c>
      <c r="NB51" s="20" t="n">
        <f aca="false">IF(H_Direct=1,IF(CO51&lt;=0,NA51-CO51*ALO50,NA51-MIN(MIN(CO51*ALO50,JN51+NA51),NA51)),NA51)</f>
        <v>0</v>
      </c>
      <c r="NC51" s="20" t="n">
        <f aca="false">IF(H_Direct=1,IF(CP51&lt;=0,NB51-CP51*ALP50,NB51-MIN(MIN(CP51*ALP50,JO51+NB51),NB51)),NB51)</f>
        <v>0</v>
      </c>
      <c r="ND51" s="20" t="n">
        <f aca="false">IF(H_Direct=1,IF(CQ51&lt;=0,NC51-CQ51*ALQ50,NC51-MIN(MIN(CQ51*ALQ50,JP51+NC51),NC51)),NC51)</f>
        <v>0</v>
      </c>
      <c r="NE51" s="20" t="n">
        <f aca="false">IF(H_Direct=1,IF(CR51&lt;=0,ND51-CR51*ALR50,ND51-MIN(MIN(CR51*ALR50,JQ51+ND51),ND51)),ND51)</f>
        <v>0</v>
      </c>
      <c r="NF51" s="20" t="n">
        <f aca="false">IF(H_Direct=1,IF(CS51&lt;=0,NE51-CS51*ALS50,NE51-MIN(MIN(CS51*ALS50,JR51+NE51),NE51)),NE51)</f>
        <v>0</v>
      </c>
      <c r="NG51" s="20" t="n">
        <f aca="false">IF(H_Direct=1,IF(CT51&lt;=0,NF51-CT51*ALT50,NF51-MIN(MIN(CT51*ALT50,JS51+NF51),NF51)),NF51)</f>
        <v>0</v>
      </c>
      <c r="NH51" s="20" t="n">
        <f aca="false">IF(H_Direct=1,IF(CU51&lt;=0,NG51-CU51*ALU50,NG51-MIN(MIN(CU51*ALU50,JT51+NG51),NG51)),NG51)</f>
        <v>0</v>
      </c>
      <c r="NI51" s="20" t="n">
        <f aca="false">IF(H_Direct=1,IF(CV51&lt;=0,NH51-CV51*ALV50,NH51-MIN(MIN(CV51*ALV50,JU51+NH51),NH51)),NH51)</f>
        <v>0</v>
      </c>
      <c r="NJ51" s="20" t="n">
        <f aca="false">IF(H_Direct=1,IF(CW51&lt;=0,NI51-CW51*ALW50,NI51-MIN(MIN(CW51*ALW50,JV51+NI51),NI51)),NI51)</f>
        <v>0</v>
      </c>
      <c r="NK51" s="20" t="n">
        <f aca="false">IF(H_Direct=1,IF(CX51&lt;=0,NJ51-CX51*ALX50,NJ51-MIN(MIN(CX51*ALX50,JW51+NJ51),NJ51)),NJ51)</f>
        <v>0</v>
      </c>
      <c r="NL51" s="20" t="n">
        <f aca="false">IF(H_Direct=1,IF(CY51&lt;=0,NK51-CY51*ALY50,NK51-MIN(MIN(CY51*ALY50,JX51+NK51),NK51)),NK51)</f>
        <v>0</v>
      </c>
      <c r="NM51" s="20" t="n">
        <f aca="false">IF(H_Direct=1,IF(CZ51&lt;=0,NL51-CZ51*ALZ50,NL51-MIN(MIN(CZ51*ALZ50,JY51+NL51),NL51)),NL51)</f>
        <v>0</v>
      </c>
      <c r="NN51" s="20" t="n">
        <f aca="false">IF(H_Direct=1,IF(DA51&lt;=0,NM51-DA51*AMA50,NM51-MIN(MIN(DA51*AMA50,JZ51+NM51),NM51)),NM51)</f>
        <v>0</v>
      </c>
      <c r="NO51" s="20" t="n">
        <f aca="false">IF(H_Direct=1,IF(DB51&lt;=0,NN51-DB51*AMB50,NN51-MIN(MIN(DB51*AMB50,KA51+NN51),NN51)),NN51)</f>
        <v>0</v>
      </c>
      <c r="NP51" s="20" t="n">
        <f aca="false">IF(H_Direct=1,IF(DC51&lt;=0,NO51-DC51*AMC50,NO51-MIN(MIN(DC51*AMC50,KB51+NO51),NO51)),NO51)</f>
        <v>0</v>
      </c>
      <c r="NQ51" s="20" t="n">
        <f aca="false">IF(H_Direct=1,IF(DD51&lt;=0,NP51-DD51*AMD50,NP51-MIN(MIN(DD51*AMD50,KC51+NP51),NP51)),NP51)</f>
        <v>0</v>
      </c>
      <c r="NR51" s="20" t="n">
        <f aca="false">IF(H_Direct=1,IF(DE51&lt;=0,NQ51-DE51*AME50,NQ51-MIN(MIN(DE51*AME50,KD51+NQ51),NQ51)),NQ51)</f>
        <v>0</v>
      </c>
      <c r="NS51" s="20" t="n">
        <f aca="false">IF(H_Direct=1,IF(DF51&lt;=0,NR51-DF51*AMF50,NR51-MIN(MIN(DF51*AMF50,KE51+NR51),NR51)),NR51)</f>
        <v>0</v>
      </c>
      <c r="NT51" s="20" t="n">
        <f aca="false">IF(H_Direct=1,IF(DG51&lt;=0,NS51-DG51*AMG50,NS51-MIN(MIN(DG51*AMG50,KF51+NS51),NS51)),NS51)</f>
        <v>0</v>
      </c>
      <c r="NU51" s="20" t="n">
        <f aca="false">IF(H_Direct=1,IF(DH51&lt;=0,NT51-DH51*AMH50,NT51-MIN(MIN(DH51*AMH50,KG51+NT51),NT51)),NT51)</f>
        <v>0</v>
      </c>
      <c r="NV51" s="20" t="n">
        <f aca="false">IF(H_Direct=1,IF(DI51&lt;=0,NU51-DI51*AMI50,NU51-MIN(MIN(DI51*AMI50,KH51+NU51),NU51)),NU51)</f>
        <v>0</v>
      </c>
      <c r="NW51" s="20" t="n">
        <f aca="false">IF(H_Direct=1,IF(DJ51&lt;=0,NV51-DJ51*(P51+S51),NV51-MIN(MIN(DJ51*(P51+S51),KI51+NV51),NV51)),NV51)</f>
        <v>0</v>
      </c>
      <c r="NX51" s="20" t="n">
        <f aca="false">NW51</f>
        <v>0</v>
      </c>
      <c r="NY51" s="20" t="n">
        <f aca="false">NX51</f>
        <v>0</v>
      </c>
      <c r="NZ51" s="20" t="n">
        <f aca="false">NY51</f>
        <v>0</v>
      </c>
      <c r="OA51" s="20" t="n">
        <f aca="false">NZ51</f>
        <v>0</v>
      </c>
      <c r="OB51" s="20" t="n">
        <f aca="false">OA51</f>
        <v>0</v>
      </c>
      <c r="OC51" s="20" t="n">
        <f aca="false">OB51</f>
        <v>0</v>
      </c>
      <c r="OD51" s="20" t="n">
        <f aca="false">OC51</f>
        <v>0</v>
      </c>
      <c r="OE51" s="20" t="n">
        <f aca="false">OD51</f>
        <v>0</v>
      </c>
      <c r="OF51" s="20" t="n">
        <f aca="false">OE51</f>
        <v>0</v>
      </c>
      <c r="OG51" s="20" t="n">
        <f aca="false">OF51</f>
        <v>0</v>
      </c>
      <c r="OH51" s="20" t="n">
        <f aca="false">OG51</f>
        <v>0</v>
      </c>
      <c r="OI51" s="20" t="n">
        <f aca="false">OH51</f>
        <v>0</v>
      </c>
      <c r="OJ51" s="20" t="n">
        <f aca="false">OI51</f>
        <v>0</v>
      </c>
      <c r="OK51" s="20" t="n">
        <f aca="false">OJ51</f>
        <v>0</v>
      </c>
      <c r="OL51" s="20" t="n">
        <f aca="false">OK51</f>
        <v>0</v>
      </c>
      <c r="OM51" s="20" t="n">
        <f aca="false">OL51</f>
        <v>0</v>
      </c>
      <c r="ON51" s="20" t="n">
        <f aca="false">OM51</f>
        <v>0</v>
      </c>
      <c r="OO51" s="20" t="n">
        <f aca="false">ON51</f>
        <v>0</v>
      </c>
      <c r="OP51" s="20" t="n">
        <f aca="false">OO51</f>
        <v>0</v>
      </c>
      <c r="OQ51" s="20" t="n">
        <f aca="false">OP51</f>
        <v>0</v>
      </c>
      <c r="OR51" s="20" t="n">
        <f aca="false">OQ51</f>
        <v>0</v>
      </c>
      <c r="OS51" s="20" t="n">
        <f aca="false">OR51</f>
        <v>0</v>
      </c>
      <c r="OT51" s="20" t="n">
        <f aca="false">OS51</f>
        <v>0</v>
      </c>
      <c r="OU51" s="20" t="n">
        <f aca="false">OT51</f>
        <v>0</v>
      </c>
      <c r="OV51" s="20" t="n">
        <f aca="false">OU51</f>
        <v>0</v>
      </c>
      <c r="OW51" s="20" t="n">
        <f aca="false">OV51</f>
        <v>0</v>
      </c>
      <c r="OX51" s="20" t="n">
        <f aca="false">OW51</f>
        <v>0</v>
      </c>
      <c r="OY51" s="20" t="n">
        <f aca="false">OX51</f>
        <v>0</v>
      </c>
      <c r="OZ51" s="20" t="n">
        <f aca="false">OY51</f>
        <v>0</v>
      </c>
      <c r="PA51" s="20" t="n">
        <f aca="false">OZ51</f>
        <v>0</v>
      </c>
      <c r="PB51" s="20" t="n">
        <f aca="false">PA51</f>
        <v>0</v>
      </c>
      <c r="PC51" s="20" t="n">
        <f aca="false">PB51</f>
        <v>0</v>
      </c>
      <c r="PD51" s="20" t="n">
        <f aca="false">PC51</f>
        <v>0</v>
      </c>
      <c r="PE51" s="20" t="n">
        <f aca="false">PD51</f>
        <v>0</v>
      </c>
      <c r="PF51" s="20" t="n">
        <f aca="false">PE51</f>
        <v>0</v>
      </c>
      <c r="PG51" s="20" t="n">
        <f aca="false">PF51</f>
        <v>0</v>
      </c>
      <c r="PH51" s="20" t="n">
        <f aca="false">PG51</f>
        <v>0</v>
      </c>
      <c r="PI51" s="20" t="n">
        <f aca="false">PH51</f>
        <v>0</v>
      </c>
      <c r="PJ51" s="20" t="n">
        <f aca="false">PI51</f>
        <v>0</v>
      </c>
      <c r="PK51" s="20" t="n">
        <f aca="false">PJ51</f>
        <v>0</v>
      </c>
      <c r="PL51" s="20" t="n">
        <f aca="false">PK51</f>
        <v>0</v>
      </c>
      <c r="PM51" s="20" t="n">
        <f aca="false">PL51</f>
        <v>0</v>
      </c>
      <c r="PN51" s="20" t="n">
        <f aca="false">PM51</f>
        <v>0</v>
      </c>
      <c r="PO51" s="20" t="n">
        <f aca="false">PN51</f>
        <v>0</v>
      </c>
      <c r="PP51" s="20" t="n">
        <f aca="false">PO51</f>
        <v>0</v>
      </c>
      <c r="PQ51" s="20" t="n">
        <f aca="false">PP51</f>
        <v>0</v>
      </c>
      <c r="PR51" s="20" t="n">
        <f aca="false">IF(H_Direct=1,IF(AKR50&lt;=0,0,IF(BR51&lt;=0,MIN(MAX(0,AB51),AKR50),MIN(MAX(0,AB51),AKR50-G51*MAX(0,BR51*AKR50-(H51+I51))))),MIN(FE51,MAX(0,AB51)))</f>
        <v>0</v>
      </c>
      <c r="PS51" s="20" t="n">
        <f aca="false">IF(H_Direct=1,IF(AKS50&lt;=0,0,IF(BS51&lt;=0,MIN(MAX(0,AB51-SUM(PR51:PR51)),AKS50),MIN(MAX(0,AB51-SUM(PR51:PR51)),AKS50-G51*MAX(0,BS51*AKS50-(WR51+AAE51))))),MIN(FF51,MAX(0,AB51-SUM(PR51:PR51))))</f>
        <v>0</v>
      </c>
      <c r="PT51" s="20" t="n">
        <f aca="false">IF(H_Direct=1,IF(AKT50&lt;=0,0,IF(BT51&lt;=0,MIN(MAX(0,AB51-SUM(PR51:PS51)),AKT50),MIN(MAX(0,AB51-SUM(PR51:PS51)),AKT50-G51*MAX(0,BT51*AKT50-(WS51+AAF51))))),MIN(FG51,MAX(0,AB51-SUM(PR51:PS51))))</f>
        <v>0</v>
      </c>
      <c r="PU51" s="20" t="n">
        <f aca="false">IF(H_Direct=1,IF(AKU50&lt;=0,0,IF(BU51&lt;=0,MIN(MAX(0,AB51-SUM(PR51:PT51)),AKU50),MIN(MAX(0,AB51-SUM(PR51:PT51)),AKU50-G51*MAX(0,BU51*AKU50-(WT51+AAG51))))),MIN(FH51,MAX(0,AB51-SUM(PR51:PT51))))</f>
        <v>0</v>
      </c>
      <c r="PV51" s="20" t="n">
        <f aca="false">IF(H_Direct=1,IF(AKV50&lt;=0,0,IF(BV51&lt;=0,MIN(MAX(0,AB51-SUM(PR51:PU51)),AKV50),MIN(MAX(0,AB51-SUM(PR51:PU51)),AKV50-G51*MAX(0,BV51*AKV50-(WU51+AAH51))))),MIN(FI51,MAX(0,AB51-SUM(PR51:PU51))))</f>
        <v>0</v>
      </c>
      <c r="PW51" s="20" t="n">
        <f aca="false">IF(H_Direct=1,IF(AKW50&lt;=0,0,IF(BW51&lt;=0,MIN(MAX(0,AB51-SUM(PR51:PV51)),AKW50),MIN(MAX(0,AB51-SUM(PR51:PV51)),AKW50-G51*MAX(0,BW51*AKW50-(WV51+AAI51))))),MIN(FJ51,MAX(0,AB51-SUM(PR51:PV51))))</f>
        <v>0</v>
      </c>
      <c r="PX51" s="20" t="n">
        <f aca="false">IF(H_Direct=1,IF(AKX50&lt;=0,0,IF(BX51&lt;=0,MIN(MAX(0,AB51-SUM(PR51:PW51)),AKX50),MIN(MAX(0,AB51-SUM(PR51:PW51)),AKX50-G51*MAX(0,BX51*AKX50-(WW51+AAJ51))))),MIN(FK51,MAX(0,AB51-SUM(PR51:PW51))))</f>
        <v>0</v>
      </c>
      <c r="PY51" s="20" t="n">
        <f aca="false">IF(H_Direct=1,IF(AKY50&lt;=0,0,IF(BY51&lt;=0,MIN(MAX(0,AB51-SUM(PR51:PX51)),AKY50),MIN(MAX(0,AB51-SUM(PR51:PX51)),AKY50-G51*MAX(0,BY51*AKY50-(WX51+AAK51))))),MIN(FL51,MAX(0,AB51-SUM(PR51:PX51))))</f>
        <v>0</v>
      </c>
      <c r="PZ51" s="20" t="n">
        <f aca="false">IF(H_Direct=1,IF(AKZ50&lt;=0,0,IF(BZ51&lt;=0,MIN(MAX(0,AB51-SUM(PR51:PY51)),AKZ50),MIN(MAX(0,AB51-SUM(PR51:PY51)),AKZ50-G51*MAX(0,BZ51*AKZ50-(WY51+AAL51))))),MIN(FM51,MAX(0,AB51-SUM(PR51:PY51))))</f>
        <v>0</v>
      </c>
      <c r="QA51" s="20" t="n">
        <f aca="false">IF(H_Direct=1,IF(ALA50&lt;=0,0,IF(CA51&lt;=0,MIN(MAX(0,AB51-SUM(PR51:PZ51)),ALA50),MIN(MAX(0,AB51-SUM(PR51:PZ51)),ALA50-G51*MAX(0,CA51*ALA50-(WZ51+AAM51))))),MIN(FN51,MAX(0,AB51-SUM(PR51:PZ51))))</f>
        <v>0</v>
      </c>
      <c r="QB51" s="20" t="n">
        <f aca="false">IF(H_Direct=1,IF(ALB50&lt;=0,0,IF(CB51&lt;=0,MIN(MAX(0,AB51-SUM(PR51:QA51)),ALB50),MIN(MAX(0,AB51-SUM(PR51:QA51)),ALB50-G51*MAX(0,CB51*ALB50-(XA51+AAN51))))),MIN(FO51,MAX(0,AB51-SUM(PR51:QA51))))</f>
        <v>0</v>
      </c>
      <c r="QC51" s="20" t="n">
        <f aca="false">IF(H_Direct=1,IF(ALC50&lt;=0,0,IF(CC51&lt;=0,MIN(MAX(0,AB51-SUM(PR51:QB51)),ALC50),MIN(MAX(0,AB51-SUM(PR51:QB51)),ALC50-G51*MAX(0,CC51*ALC50-(XB51+AAO51))))),MIN(FP51,MAX(0,AB51-SUM(PR51:QB51))))</f>
        <v>0</v>
      </c>
      <c r="QD51" s="20" t="n">
        <f aca="false">IF(H_Direct=1,IF(ALD50&lt;=0,0,IF(CD51&lt;=0,MIN(MAX(0,AB51-SUM(PR51:QC51)),ALD50),MIN(MAX(0,AB51-SUM(PR51:QC51)),ALD50-G51*MAX(0,CD51*ALD50-(XC51+AAP51))))),MIN(FQ51,MAX(0,AB51-SUM(PR51:QC51))))</f>
        <v>0</v>
      </c>
      <c r="QE51" s="20" t="n">
        <f aca="false">IF(H_Direct=1,IF(ALE50&lt;=0,0,IF(CE51&lt;=0,MIN(MAX(0,AB51-SUM(PR51:QD51)),ALE50),MIN(MAX(0,AB51-SUM(PR51:QD51)),ALE50-G51*MAX(0,CE51*ALE50-(XD51+AAQ51))))),MIN(FR51,MAX(0,AB51-SUM(PR51:QD51))))</f>
        <v>0</v>
      </c>
      <c r="QF51" s="20" t="n">
        <f aca="false">IF(H_Direct=1,IF(ALF50&lt;=0,0,IF(CF51&lt;=0,MIN(MAX(0,AB51-SUM(PR51:QE51)),ALF50),MIN(MAX(0,AB51-SUM(PR51:QE51)),ALF50-G51*MAX(0,CF51*ALF50-(XE51+AAR51))))),MIN(FS51,MAX(0,AB51-SUM(PR51:QE51))))</f>
        <v>0</v>
      </c>
      <c r="QG51" s="20" t="n">
        <f aca="false">IF(H_Direct=1,IF(ALG50&lt;=0,0,IF(CG51&lt;=0,MIN(MAX(0,AB51-SUM(PR51:QF51)),ALG50),MIN(MAX(0,AB51-SUM(PR51:QF51)),ALG50-G51*MAX(0,CG51*ALG50-(XF51+AAS51))))),MIN(FT51,MAX(0,AB51-SUM(PR51:QF51))))</f>
        <v>0</v>
      </c>
      <c r="QH51" s="20" t="n">
        <f aca="false">IF(H_Direct=1,IF(ALH50&lt;=0,0,IF(CH51&lt;=0,MIN(MAX(0,AB51-SUM(PR51:QG51)),ALH50),MIN(MAX(0,AB51-SUM(PR51:QG51)),ALH50-G51*MAX(0,CH51*ALH50-(XG51+AAT51))))),MIN(FU51,MAX(0,AB51-SUM(PR51:QG51))))</f>
        <v>0</v>
      </c>
      <c r="QI51" s="20" t="n">
        <f aca="false">IF(H_Direct=1,IF(ALI50&lt;=0,0,IF(CI51&lt;=0,MIN(MAX(0,AB51-SUM(PR51:QH51)),ALI50),MIN(MAX(0,AB51-SUM(PR51:QH51)),ALI50-G51*MAX(0,CI51*ALI50-(XH51+AAU51))))),MIN(FV51,MAX(0,AB51-SUM(PR51:QH51))))</f>
        <v>0</v>
      </c>
      <c r="QJ51" s="20" t="n">
        <f aca="false">IF(H_Direct=1,IF(ALJ50&lt;=0,0,IF(CJ51&lt;=0,MIN(MAX(0,AB51-SUM(PR51:QI51)),ALJ50),MIN(MAX(0,AB51-SUM(PR51:QI51)),ALJ50-G51*MAX(0,CJ51*ALJ50-(XI51+AAV51))))),MIN(FW51,MAX(0,AB51-SUM(PR51:QI51))))</f>
        <v>0</v>
      </c>
      <c r="QK51" s="20" t="n">
        <f aca="false">IF(H_Direct=1,IF(ALK50&lt;=0,0,IF(CK51&lt;=0,MIN(MAX(0,AB51-SUM(PR51:QJ51)),ALK50),MIN(MAX(0,AB51-SUM(PR51:QJ51)),ALK50-G51*MAX(0,CK51*ALK50-(XJ51+AAW51))))),MIN(FX51,MAX(0,AB51-SUM(PR51:QJ51))))</f>
        <v>0</v>
      </c>
      <c r="QL51" s="20" t="n">
        <f aca="false">IF(H_Direct=1,IF(ALL50&lt;=0,0,IF(CL51&lt;=0,MIN(MAX(0,AB51-SUM(PR51:QK51)),ALL50),MIN(MAX(0,AB51-SUM(PR51:QK51)),ALL50-G51*MAX(0,CL51*ALL50-(XK51+AAX51))))),MIN(FY51,MAX(0,AB51-SUM(PR51:QK51))))</f>
        <v>0</v>
      </c>
      <c r="QM51" s="20" t="n">
        <f aca="false">IF(H_Direct=1,IF(ALM50&lt;=0,0,IF(CM51&lt;=0,MIN(MAX(0,AB51-SUM(PR51:QL51)),ALM50),MIN(MAX(0,AB51-SUM(PR51:QL51)),ALM50-G51*MAX(0,CM51*ALM50-(XL51+AAY51))))),MIN(FZ51,MAX(0,AB51-SUM(PR51:QL51))))</f>
        <v>0</v>
      </c>
      <c r="QN51" s="20" t="n">
        <f aca="false">IF(H_Direct=1,IF(ALN50&lt;=0,0,IF(CN51&lt;=0,MIN(MAX(0,AB51-SUM(PR51:QM51)),ALN50),MIN(MAX(0,AB51-SUM(PR51:QM51)),ALN50-G51*MAX(0,CN51*ALN50-(XM51+AAZ51))))),MIN(GA51,MAX(0,AB51-SUM(PR51:QM51))))</f>
        <v>0</v>
      </c>
      <c r="QO51" s="20" t="n">
        <f aca="false">IF(H_Direct=1,IF(ALO50&lt;=0,0,IF(CO51&lt;=0,MIN(MAX(0,AB51-SUM(PR51:QN51)),ALO50),MIN(MAX(0,AB51-SUM(PR51:QN51)),ALO50-G51*MAX(0,CO51*ALO50-(XN51+ABA51))))),MIN(GB51,MAX(0,AB51-SUM(PR51:QN51))))</f>
        <v>0</v>
      </c>
      <c r="QP51" s="20" t="n">
        <f aca="false">IF(H_Direct=1,IF(ALP50&lt;=0,0,IF(CP51&lt;=0,MIN(MAX(0,AB51-SUM(PR51:QO51)),ALP50),MIN(MAX(0,AB51-SUM(PR51:QO51)),ALP50-G51*MAX(0,CP51*ALP50-(XO51+ABB51))))),MIN(GC51,MAX(0,AB51-SUM(PR51:QO51))))</f>
        <v>0</v>
      </c>
      <c r="QQ51" s="20" t="n">
        <f aca="false">IF(H_Direct=1,IF(ALQ50&lt;=0,0,IF(CQ51&lt;=0,MIN(MAX(0,AB51-SUM(PR51:QP51)),ALQ50),MIN(MAX(0,AB51-SUM(PR51:QP51)),ALQ50-G51*MAX(0,CQ51*ALQ50-(XP51+ABC51))))),MIN(GD51,MAX(0,AB51-SUM(PR51:QP51))))</f>
        <v>0</v>
      </c>
      <c r="QR51" s="20" t="n">
        <f aca="false">IF(H_Direct=1,IF(ALR50&lt;=0,0,IF(CR51&lt;=0,MIN(MAX(0,AB51-SUM(PR51:QQ51)),ALR50),MIN(MAX(0,AB51-SUM(PR51:QQ51)),ALR50-G51*MAX(0,CR51*ALR50-(XQ51+ABD51))))),MIN(GE51,MAX(0,AB51-SUM(PR51:QQ51))))</f>
        <v>0</v>
      </c>
      <c r="QS51" s="20" t="n">
        <f aca="false">IF(H_Direct=1,IF(ALS50&lt;=0,0,IF(CS51&lt;=0,MIN(MAX(0,AB51-SUM(PR51:QR51)),ALS50),MIN(MAX(0,AB51-SUM(PR51:QR51)),ALS50-G51*MAX(0,CS51*ALS50-(XR51+ABE51))))),MIN(GF51,MAX(0,AB51-SUM(PR51:QR51))))</f>
        <v>0</v>
      </c>
      <c r="QT51" s="20" t="n">
        <f aca="false">IF(H_Direct=1,IF(ALT50&lt;=0,0,IF(CT51&lt;=0,MIN(MAX(0,AB51-SUM(PR51:QS51)),ALT50),MIN(MAX(0,AB51-SUM(PR51:QS51)),ALT50-G51*MAX(0,CT51*ALT50-(XS51+ABF51))))),MIN(GG51,MAX(0,AB51-SUM(PR51:QS51))))</f>
        <v>0</v>
      </c>
      <c r="QU51" s="20" t="n">
        <f aca="false">IF(H_Direct=1,IF(ALU50&lt;=0,0,IF(CU51&lt;=0,MIN(MAX(0,AB51-SUM(PR51:QT51)),ALU50),MIN(MAX(0,AB51-SUM(PR51:QT51)),ALU50-G51*MAX(0,CU51*ALU50-(XT51+ABG51))))),MIN(GH51,MAX(0,AB51-SUM(PR51:QT51))))</f>
        <v>0</v>
      </c>
      <c r="QV51" s="20" t="n">
        <f aca="false">IF(H_Direct=1,IF(ALV50&lt;=0,0,IF(CV51&lt;=0,MIN(MAX(0,AB51-SUM(PR51:QU51)),ALV50),MIN(MAX(0,AB51-SUM(PR51:QU51)),ALV50-G51*MAX(0,CV51*ALV50-(XU51+ABH51))))),MIN(GI51,MAX(0,AB51-SUM(PR51:QU51))))</f>
        <v>0</v>
      </c>
      <c r="QW51" s="20" t="n">
        <f aca="false">IF(H_Direct=1,IF(ALW50&lt;=0,0,IF(CW51&lt;=0,MIN(MAX(0,AB51-SUM(PR51:QV51)),ALW50),MIN(MAX(0,AB51-SUM(PR51:QV51)),ALW50-G51*MAX(0,CW51*ALW50-(XV51+ABI51))))),MIN(GJ51,MAX(0,AB51-SUM(PR51:QV51))))</f>
        <v>0</v>
      </c>
      <c r="QX51" s="20" t="n">
        <f aca="false">IF(H_Direct=1,IF(ALX50&lt;=0,0,IF(CX51&lt;=0,MIN(MAX(0,AB51-SUM(PR51:QW51)),ALX50),MIN(MAX(0,AB51-SUM(PR51:QW51)),ALX50-G51*MAX(0,CX51*ALX50-(XW51+ABJ51))))),MIN(GK51,MAX(0,AB51-SUM(PR51:QW51))))</f>
        <v>0</v>
      </c>
      <c r="QY51" s="20" t="n">
        <f aca="false">IF(H_Direct=1,IF(ALY50&lt;=0,0,IF(CY51&lt;=0,MIN(MAX(0,AB51-SUM(PR51:QX51)),ALY50),MIN(MAX(0,AB51-SUM(PR51:QX51)),ALY50-G51*MAX(0,CY51*ALY50-(XX51+ABK51))))),MIN(GL51,MAX(0,AB51-SUM(PR51:QX51))))</f>
        <v>0</v>
      </c>
      <c r="QZ51" s="20" t="n">
        <f aca="false">IF(H_Direct=1,IF(ALZ50&lt;=0,0,IF(CZ51&lt;=0,MIN(MAX(0,AB51-SUM(PR51:QY51)),ALZ50),MIN(MAX(0,AB51-SUM(PR51:QY51)),ALZ50-G51*MAX(0,CZ51*ALZ50-(XY51+ABL51))))),MIN(GM51,MAX(0,AB51-SUM(PR51:QY51))))</f>
        <v>0</v>
      </c>
      <c r="RA51" s="20" t="n">
        <f aca="false">IF(H_Direct=1,IF(AMA50&lt;=0,0,IF(DA51&lt;=0,MIN(MAX(0,AB51-SUM(PR51:QZ51)),AMA50),MIN(MAX(0,AB51-SUM(PR51:QZ51)),AMA50-G51*MAX(0,DA51*AMA50-(XZ51+ABM51))))),MIN(GN51,MAX(0,AB51-SUM(PR51:QZ51))))</f>
        <v>0</v>
      </c>
      <c r="RB51" s="20" t="n">
        <f aca="false">IF(H_Direct=1,IF(AMB50&lt;=0,0,IF(DB51&lt;=0,MIN(MAX(0,AB51-SUM(PR51:RA51)),AMB50),MIN(MAX(0,AB51-SUM(PR51:RA51)),AMB50-G51*MAX(0,DB51*AMB50-(YA51+ABN51))))),MIN(GO51,MAX(0,AB51-SUM(PR51:RA51))))</f>
        <v>0</v>
      </c>
      <c r="RC51" s="20" t="n">
        <f aca="false">IF(H_Direct=1,IF(AMC50&lt;=0,0,IF(DC51&lt;=0,MIN(MAX(0,AB51-SUM(PR51:RB51)),AMC50),MIN(MAX(0,AB51-SUM(PR51:RB51)),AMC50-G51*MAX(0,DC51*AMC50-(YB51+ABO51))))),MIN(GP51,MAX(0,AB51-SUM(PR51:RB51))))</f>
        <v>0</v>
      </c>
      <c r="RD51" s="20" t="n">
        <f aca="false">IF(H_Direct=1,IF(AMD50&lt;=0,0,IF(DD51&lt;=0,MIN(MAX(0,AB51-SUM(PR51:RC51)),AMD50),MIN(MAX(0,AB51-SUM(PR51:RC51)),AMD50-G51*MAX(0,DD51*AMD50-(YC51+ABP51))))),MIN(GQ51,MAX(0,AB51-SUM(PR51:RC51))))</f>
        <v>0</v>
      </c>
      <c r="RE51" s="20" t="n">
        <f aca="false">IF(H_Direct=1,IF(AME50&lt;=0,0,IF(DE51&lt;=0,MIN(MAX(0,AB51-SUM(PR51:RD51)),AME50),MIN(MAX(0,AB51-SUM(PR51:RD51)),AME50-G51*MAX(0,DE51*AME50-(YD51+ABQ51))))),MIN(GR51,MAX(0,AB51-SUM(PR51:RD51))))</f>
        <v>0</v>
      </c>
      <c r="RF51" s="20" t="n">
        <f aca="false">IF(H_Direct=1,IF(AMF50&lt;=0,0,IF(DF51&lt;=0,MIN(MAX(0,AB51-SUM(PR51:RE51)),AMF50),MIN(MAX(0,AB51-SUM(PR51:RE51)),AMF50-G51*MAX(0,DF51*AMF50-(YE51+ABR51))))),MIN(GS51,MAX(0,AB51-SUM(PR51:RE51))))</f>
        <v>0</v>
      </c>
      <c r="RG51" s="20" t="n">
        <f aca="false">IF(H_Direct=1,IF(AMG50&lt;=0,0,IF(DG51&lt;=0,MIN(MAX(0,AB51-SUM(PR51:RF51)),AMG50),MIN(MAX(0,AB51-SUM(PR51:RF51)),AMG50-G51*MAX(0,DG51*AMG50-(YF51+ABS51))))),MIN(GT51,MAX(0,AB51-SUM(PR51:RF51))))</f>
        <v>0</v>
      </c>
      <c r="RH51" s="20" t="n">
        <f aca="false">IF(H_Direct=1,IF(AMH50&lt;=0,0,IF(DH51&lt;=0,MIN(MAX(0,AB51-SUM(PR51:RG51)),AMH50),MIN(MAX(0,AB51-SUM(PR51:RG51)),AMH50-G51*MAX(0,DH51*AMH50-(YG51+ABT51))))),MIN(GU51,MAX(0,AB51-SUM(PR51:RG51))))</f>
        <v>0</v>
      </c>
      <c r="RI51" s="20" t="n">
        <f aca="false">IF(H_Direct=1,IF(AMI50&lt;=0,0,IF(DI51&lt;=0,MIN(MAX(0,AB51-SUM(PR51:RH51)),AMI50),MIN(MAX(0,AB51-SUM(PR51:RH51)),AMI50-G51*MAX(0,DI51*AMI50-(YH51+ABU51))))),MIN(GV51,MAX(0,AB51-SUM(PR51:RH51))))</f>
        <v>0</v>
      </c>
      <c r="RJ51" s="20" t="n">
        <f aca="false">IF(H_Direct=1,IF((P51+S51)&lt;=0,0,IF(DJ51&lt;=0,MIN(MAX(0,AB51-SUM(PR51:RI51)),(P51+S51)),MIN(MAX(0,AB51-SUM(PR51:RI51)),(P51+S51)-G51*MAX(0,DJ51*(P51+S51)-(YI51+ABV51))))),MIN(GW51,MAX(0,AB51-SUM(PR51:RI51))))</f>
        <v>0</v>
      </c>
      <c r="RK51" s="20" t="n">
        <v>0</v>
      </c>
      <c r="RL51" s="20" t="n">
        <v>0</v>
      </c>
      <c r="RM51" s="20" t="n">
        <v>0</v>
      </c>
      <c r="RN51" s="20" t="n">
        <v>0</v>
      </c>
      <c r="RO51" s="20" t="n">
        <v>0</v>
      </c>
      <c r="RP51" s="20" t="n">
        <v>0</v>
      </c>
      <c r="RQ51" s="20" t="n">
        <v>0</v>
      </c>
      <c r="RR51" s="20" t="n">
        <v>0</v>
      </c>
      <c r="RS51" s="20" t="n">
        <v>0</v>
      </c>
      <c r="RT51" s="20" t="n">
        <v>0</v>
      </c>
      <c r="RU51" s="20" t="n">
        <v>0</v>
      </c>
      <c r="RV51" s="20" t="n">
        <v>0</v>
      </c>
      <c r="RW51" s="20" t="n">
        <v>0</v>
      </c>
      <c r="RX51" s="20" t="n">
        <v>0</v>
      </c>
      <c r="RY51" s="20" t="n">
        <v>0</v>
      </c>
      <c r="RZ51" s="20" t="n">
        <v>0</v>
      </c>
      <c r="SA51" s="20" t="n">
        <v>0</v>
      </c>
      <c r="SB51" s="20" t="n">
        <v>0</v>
      </c>
      <c r="SC51" s="20" t="n">
        <v>0</v>
      </c>
      <c r="SD51" s="20" t="n">
        <v>0</v>
      </c>
      <c r="SE51" s="20" t="n">
        <v>0</v>
      </c>
      <c r="SF51" s="20" t="n">
        <v>0</v>
      </c>
      <c r="SG51" s="20" t="n">
        <v>0</v>
      </c>
      <c r="SH51" s="20" t="n">
        <v>0</v>
      </c>
      <c r="SI51" s="20" t="n">
        <v>0</v>
      </c>
      <c r="SJ51" s="20" t="n">
        <v>0</v>
      </c>
      <c r="SK51" s="20" t="n">
        <v>0</v>
      </c>
      <c r="SL51" s="20" t="n">
        <v>0</v>
      </c>
      <c r="SM51" s="20" t="n">
        <v>0</v>
      </c>
      <c r="SN51" s="20" t="n">
        <v>0</v>
      </c>
      <c r="SO51" s="20" t="n">
        <v>0</v>
      </c>
      <c r="SP51" s="20" t="n">
        <v>0</v>
      </c>
      <c r="SQ51" s="20" t="n">
        <v>0</v>
      </c>
      <c r="SR51" s="20" t="n">
        <v>0</v>
      </c>
      <c r="SS51" s="20" t="n">
        <v>0</v>
      </c>
      <c r="ST51" s="20" t="n">
        <v>0</v>
      </c>
      <c r="SU51" s="20" t="n">
        <v>0</v>
      </c>
      <c r="SV51" s="20" t="n">
        <v>0</v>
      </c>
      <c r="SW51" s="20" t="n">
        <v>0</v>
      </c>
      <c r="SX51" s="20" t="n">
        <v>0</v>
      </c>
      <c r="SY51" s="20" t="n">
        <v>0</v>
      </c>
      <c r="SZ51" s="20" t="n">
        <v>0</v>
      </c>
      <c r="TA51" s="20" t="n">
        <v>0</v>
      </c>
      <c r="TB51" s="20" t="n">
        <v>0</v>
      </c>
      <c r="TC51" s="20" t="n">
        <v>0</v>
      </c>
      <c r="TD51" s="20" t="n">
        <v>0</v>
      </c>
      <c r="TE51" s="20" t="n">
        <f aca="false">IF(AKR50&lt;=0,0,IF(H_Direct=1,IF(BR51&lt;=0,PR51,IF(PR51&lt;=(H51+I51)/BR51,PR51,(PR51-G51*(H51+I51))/(1-G51*BR51))),PR51/(1-MAX(0,BR51)*H_Exit)))</f>
        <v>0</v>
      </c>
      <c r="TF51" s="20" t="n">
        <f aca="false">IF(AKS50&lt;=0,0,IF(H_Direct=1,IF(BS51&lt;=0,PS51,IF(PS51&lt;=(WR51+AAE51)/BS51,PS51,(PS51-G51*(WR51+AAE51))/(1-G51*BS51))),PS51/(1-MAX(0,BS51)*H_Exit)))</f>
        <v>0</v>
      </c>
      <c r="TG51" s="20" t="n">
        <f aca="false">IF(AKT50&lt;=0,0,IF(H_Direct=1,IF(BT51&lt;=0,PT51,IF(PT51&lt;=(WS51+AAF51)/BT51,PT51,(PT51-G51*(WS51+AAF51))/(1-G51*BT51))),PT51/(1-MAX(0,BT51)*H_Exit)))</f>
        <v>0</v>
      </c>
      <c r="TH51" s="20" t="n">
        <f aca="false">IF(AKU50&lt;=0,0,IF(H_Direct=1,IF(BU51&lt;=0,PU51,IF(PU51&lt;=(WT51+AAG51)/BU51,PU51,(PU51-G51*(WT51+AAG51))/(1-G51*BU51))),PU51/(1-MAX(0,BU51)*H_Exit)))</f>
        <v>0</v>
      </c>
      <c r="TI51" s="20" t="n">
        <f aca="false">IF(AKV50&lt;=0,0,IF(H_Direct=1,IF(BV51&lt;=0,PV51,IF(PV51&lt;=(WU51+AAH51)/BV51,PV51,(PV51-G51*(WU51+AAH51))/(1-G51*BV51))),PV51/(1-MAX(0,BV51)*H_Exit)))</f>
        <v>0</v>
      </c>
      <c r="TJ51" s="20" t="n">
        <f aca="false">IF(AKW50&lt;=0,0,IF(H_Direct=1,IF(BW51&lt;=0,PW51,IF(PW51&lt;=(WV51+AAI51)/BW51,PW51,(PW51-G51*(WV51+AAI51))/(1-G51*BW51))),PW51/(1-MAX(0,BW51)*H_Exit)))</f>
        <v>0</v>
      </c>
      <c r="TK51" s="20" t="n">
        <f aca="false">IF(AKX50&lt;=0,0,IF(H_Direct=1,IF(BX51&lt;=0,PX51,IF(PX51&lt;=(WW51+AAJ51)/BX51,PX51,(PX51-G51*(WW51+AAJ51))/(1-G51*BX51))),PX51/(1-MAX(0,BX51)*H_Exit)))</f>
        <v>0</v>
      </c>
      <c r="TL51" s="20" t="n">
        <f aca="false">IF(AKY50&lt;=0,0,IF(H_Direct=1,IF(BY51&lt;=0,PY51,IF(PY51&lt;=(WX51+AAK51)/BY51,PY51,(PY51-G51*(WX51+AAK51))/(1-G51*BY51))),PY51/(1-MAX(0,BY51)*H_Exit)))</f>
        <v>0</v>
      </c>
      <c r="TM51" s="20" t="n">
        <f aca="false">IF(AKZ50&lt;=0,0,IF(H_Direct=1,IF(BZ51&lt;=0,PZ51,IF(PZ51&lt;=(WY51+AAL51)/BZ51,PZ51,(PZ51-G51*(WY51+AAL51))/(1-G51*BZ51))),PZ51/(1-MAX(0,BZ51)*H_Exit)))</f>
        <v>0</v>
      </c>
      <c r="TN51" s="20" t="n">
        <f aca="false">IF(ALA50&lt;=0,0,IF(H_Direct=1,IF(CA51&lt;=0,QA51,IF(QA51&lt;=(WZ51+AAM51)/CA51,QA51,(QA51-G51*(WZ51+AAM51))/(1-G51*CA51))),QA51/(1-MAX(0,CA51)*H_Exit)))</f>
        <v>0</v>
      </c>
      <c r="TO51" s="20" t="n">
        <f aca="false">IF(ALB50&lt;=0,0,IF(H_Direct=1,IF(CB51&lt;=0,QB51,IF(QB51&lt;=(XA51+AAN51)/CB51,QB51,(QB51-G51*(XA51+AAN51))/(1-G51*CB51))),QB51/(1-MAX(0,CB51)*H_Exit)))</f>
        <v>0</v>
      </c>
      <c r="TP51" s="20" t="n">
        <f aca="false">IF(ALC50&lt;=0,0,IF(H_Direct=1,IF(CC51&lt;=0,QC51,IF(QC51&lt;=(XB51+AAO51)/CC51,QC51,(QC51-G51*(XB51+AAO51))/(1-G51*CC51))),QC51/(1-MAX(0,CC51)*H_Exit)))</f>
        <v>0</v>
      </c>
      <c r="TQ51" s="20" t="n">
        <f aca="false">IF(ALD50&lt;=0,0,IF(H_Direct=1,IF(CD51&lt;=0,QD51,IF(QD51&lt;=(XC51+AAP51)/CD51,QD51,(QD51-G51*(XC51+AAP51))/(1-G51*CD51))),QD51/(1-MAX(0,CD51)*H_Exit)))</f>
        <v>0</v>
      </c>
      <c r="TR51" s="20" t="n">
        <f aca="false">IF(ALE50&lt;=0,0,IF(H_Direct=1,IF(CE51&lt;=0,QE51,IF(QE51&lt;=(XD51+AAQ51)/CE51,QE51,(QE51-G51*(XD51+AAQ51))/(1-G51*CE51))),QE51/(1-MAX(0,CE51)*H_Exit)))</f>
        <v>0</v>
      </c>
      <c r="TS51" s="20" t="n">
        <f aca="false">IF(ALF50&lt;=0,0,IF(H_Direct=1,IF(CF51&lt;=0,QF51,IF(QF51&lt;=(XE51+AAR51)/CF51,QF51,(QF51-G51*(XE51+AAR51))/(1-G51*CF51))),QF51/(1-MAX(0,CF51)*H_Exit)))</f>
        <v>0</v>
      </c>
      <c r="TT51" s="20" t="n">
        <f aca="false">IF(ALG50&lt;=0,0,IF(H_Direct=1,IF(CG51&lt;=0,QG51,IF(QG51&lt;=(XF51+AAS51)/CG51,QG51,(QG51-G51*(XF51+AAS51))/(1-G51*CG51))),QG51/(1-MAX(0,CG51)*H_Exit)))</f>
        <v>0</v>
      </c>
      <c r="TU51" s="20" t="n">
        <f aca="false">IF(ALH50&lt;=0,0,IF(H_Direct=1,IF(CH51&lt;=0,QH51,IF(QH51&lt;=(XG51+AAT51)/CH51,QH51,(QH51-G51*(XG51+AAT51))/(1-G51*CH51))),QH51/(1-MAX(0,CH51)*H_Exit)))</f>
        <v>0</v>
      </c>
      <c r="TV51" s="20" t="n">
        <f aca="false">IF(ALI50&lt;=0,0,IF(H_Direct=1,IF(CI51&lt;=0,QI51,IF(QI51&lt;=(XH51+AAU51)/CI51,QI51,(QI51-G51*(XH51+AAU51))/(1-G51*CI51))),QI51/(1-MAX(0,CI51)*H_Exit)))</f>
        <v>0</v>
      </c>
      <c r="TW51" s="20" t="n">
        <f aca="false">IF(ALJ50&lt;=0,0,IF(H_Direct=1,IF(CJ51&lt;=0,QJ51,IF(QJ51&lt;=(XI51+AAV51)/CJ51,QJ51,(QJ51-G51*(XI51+AAV51))/(1-G51*CJ51))),QJ51/(1-MAX(0,CJ51)*H_Exit)))</f>
        <v>0</v>
      </c>
      <c r="TX51" s="20" t="n">
        <f aca="false">IF(ALK50&lt;=0,0,IF(H_Direct=1,IF(CK51&lt;=0,QK51,IF(QK51&lt;=(XJ51+AAW51)/CK51,QK51,(QK51-G51*(XJ51+AAW51))/(1-G51*CK51))),QK51/(1-MAX(0,CK51)*H_Exit)))</f>
        <v>0</v>
      </c>
      <c r="TY51" s="20" t="n">
        <f aca="false">IF(ALL50&lt;=0,0,IF(H_Direct=1,IF(CL51&lt;=0,QL51,IF(QL51&lt;=(XK51+AAX51)/CL51,QL51,(QL51-G51*(XK51+AAX51))/(1-G51*CL51))),QL51/(1-MAX(0,CL51)*H_Exit)))</f>
        <v>0</v>
      </c>
      <c r="TZ51" s="20" t="n">
        <f aca="false">IF(ALM50&lt;=0,0,IF(H_Direct=1,IF(CM51&lt;=0,QM51,IF(QM51&lt;=(XL51+AAY51)/CM51,QM51,(QM51-G51*(XL51+AAY51))/(1-G51*CM51))),QM51/(1-MAX(0,CM51)*H_Exit)))</f>
        <v>0</v>
      </c>
      <c r="UA51" s="20" t="n">
        <f aca="false">IF(ALN50&lt;=0,0,IF(H_Direct=1,IF(CN51&lt;=0,QN51,IF(QN51&lt;=(XM51+AAZ51)/CN51,QN51,(QN51-G51*(XM51+AAZ51))/(1-G51*CN51))),QN51/(1-MAX(0,CN51)*H_Exit)))</f>
        <v>0</v>
      </c>
      <c r="UB51" s="20" t="n">
        <f aca="false">IF(ALO50&lt;=0,0,IF(H_Direct=1,IF(CO51&lt;=0,QO51,IF(QO51&lt;=(XN51+ABA51)/CO51,QO51,(QO51-G51*(XN51+ABA51))/(1-G51*CO51))),QO51/(1-MAX(0,CO51)*H_Exit)))</f>
        <v>0</v>
      </c>
      <c r="UC51" s="20" t="n">
        <f aca="false">IF(ALP50&lt;=0,0,IF(H_Direct=1,IF(CP51&lt;=0,QP51,IF(QP51&lt;=(XO51+ABB51)/CP51,QP51,(QP51-G51*(XO51+ABB51))/(1-G51*CP51))),QP51/(1-MAX(0,CP51)*H_Exit)))</f>
        <v>0</v>
      </c>
      <c r="UD51" s="20" t="n">
        <f aca="false">IF(ALQ50&lt;=0,0,IF(H_Direct=1,IF(CQ51&lt;=0,QQ51,IF(QQ51&lt;=(XP51+ABC51)/CQ51,QQ51,(QQ51-G51*(XP51+ABC51))/(1-G51*CQ51))),QQ51/(1-MAX(0,CQ51)*H_Exit)))</f>
        <v>0</v>
      </c>
      <c r="UE51" s="20" t="n">
        <f aca="false">IF(ALR50&lt;=0,0,IF(H_Direct=1,IF(CR51&lt;=0,QR51,IF(QR51&lt;=(XQ51+ABD51)/CR51,QR51,(QR51-G51*(XQ51+ABD51))/(1-G51*CR51))),QR51/(1-MAX(0,CR51)*H_Exit)))</f>
        <v>0</v>
      </c>
      <c r="UF51" s="20" t="n">
        <f aca="false">IF(ALS50&lt;=0,0,IF(H_Direct=1,IF(CS51&lt;=0,QS51,IF(QS51&lt;=(XR51+ABE51)/CS51,QS51,(QS51-G51*(XR51+ABE51))/(1-G51*CS51))),QS51/(1-MAX(0,CS51)*H_Exit)))</f>
        <v>0</v>
      </c>
      <c r="UG51" s="20" t="n">
        <f aca="false">IF(ALT50&lt;=0,0,IF(H_Direct=1,IF(CT51&lt;=0,QT51,IF(QT51&lt;=(XS51+ABF51)/CT51,QT51,(QT51-G51*(XS51+ABF51))/(1-G51*CT51))),QT51/(1-MAX(0,CT51)*H_Exit)))</f>
        <v>0</v>
      </c>
      <c r="UH51" s="20" t="n">
        <f aca="false">IF(ALU50&lt;=0,0,IF(H_Direct=1,IF(CU51&lt;=0,QU51,IF(QU51&lt;=(XT51+ABG51)/CU51,QU51,(QU51-G51*(XT51+ABG51))/(1-G51*CU51))),QU51/(1-MAX(0,CU51)*H_Exit)))</f>
        <v>0</v>
      </c>
      <c r="UI51" s="20" t="n">
        <f aca="false">IF(ALV50&lt;=0,0,IF(H_Direct=1,IF(CV51&lt;=0,QV51,IF(QV51&lt;=(XU51+ABH51)/CV51,QV51,(QV51-G51*(XU51+ABH51))/(1-G51*CV51))),QV51/(1-MAX(0,CV51)*H_Exit)))</f>
        <v>0</v>
      </c>
      <c r="UJ51" s="20" t="n">
        <f aca="false">IF(ALW50&lt;=0,0,IF(H_Direct=1,IF(CW51&lt;=0,QW51,IF(QW51&lt;=(XV51+ABI51)/CW51,QW51,(QW51-G51*(XV51+ABI51))/(1-G51*CW51))),QW51/(1-MAX(0,CW51)*H_Exit)))</f>
        <v>0</v>
      </c>
      <c r="UK51" s="20" t="n">
        <f aca="false">IF(ALX50&lt;=0,0,IF(H_Direct=1,IF(CX51&lt;=0,QX51,IF(QX51&lt;=(XW51+ABJ51)/CX51,QX51,(QX51-G51*(XW51+ABJ51))/(1-G51*CX51))),QX51/(1-MAX(0,CX51)*H_Exit)))</f>
        <v>0</v>
      </c>
      <c r="UL51" s="20" t="n">
        <f aca="false">IF(ALY50&lt;=0,0,IF(H_Direct=1,IF(CY51&lt;=0,QY51,IF(QY51&lt;=(XX51+ABK51)/CY51,QY51,(QY51-G51*(XX51+ABK51))/(1-G51*CY51))),QY51/(1-MAX(0,CY51)*H_Exit)))</f>
        <v>0</v>
      </c>
      <c r="UM51" s="20" t="n">
        <f aca="false">IF(ALZ50&lt;=0,0,IF(H_Direct=1,IF(CZ51&lt;=0,QZ51,IF(QZ51&lt;=(XY51+ABL51)/CZ51,QZ51,(QZ51-G51*(XY51+ABL51))/(1-G51*CZ51))),QZ51/(1-MAX(0,CZ51)*H_Exit)))</f>
        <v>0</v>
      </c>
      <c r="UN51" s="20" t="n">
        <f aca="false">IF(AMA50&lt;=0,0,IF(H_Direct=1,IF(DA51&lt;=0,RA51,IF(RA51&lt;=(XZ51+ABM51)/DA51,RA51,(RA51-G51*(XZ51+ABM51))/(1-G51*DA51))),RA51/(1-MAX(0,DA51)*H_Exit)))</f>
        <v>0</v>
      </c>
      <c r="UO51" s="20" t="n">
        <f aca="false">IF(AMB50&lt;=0,0,IF(H_Direct=1,IF(DB51&lt;=0,RB51,IF(RB51&lt;=(YA51+ABN51)/DB51,RB51,(RB51-G51*(YA51+ABN51))/(1-G51*DB51))),RB51/(1-MAX(0,DB51)*H_Exit)))</f>
        <v>0</v>
      </c>
      <c r="UP51" s="20" t="n">
        <f aca="false">IF(AMC50&lt;=0,0,IF(H_Direct=1,IF(DC51&lt;=0,RC51,IF(RC51&lt;=(YB51+ABO51)/DC51,RC51,(RC51-G51*(YB51+ABO51))/(1-G51*DC51))),RC51/(1-MAX(0,DC51)*H_Exit)))</f>
        <v>0</v>
      </c>
      <c r="UQ51" s="20" t="n">
        <f aca="false">IF(AMD50&lt;=0,0,IF(H_Direct=1,IF(DD51&lt;=0,RD51,IF(RD51&lt;=(YC51+ABP51)/DD51,RD51,(RD51-G51*(YC51+ABP51))/(1-G51*DD51))),RD51/(1-MAX(0,DD51)*H_Exit)))</f>
        <v>0</v>
      </c>
      <c r="UR51" s="20" t="n">
        <f aca="false">IF(AME50&lt;=0,0,IF(H_Direct=1,IF(DE51&lt;=0,RE51,IF(RE51&lt;=(YD51+ABQ51)/DE51,RE51,(RE51-G51*(YD51+ABQ51))/(1-G51*DE51))),RE51/(1-MAX(0,DE51)*H_Exit)))</f>
        <v>0</v>
      </c>
      <c r="US51" s="20" t="n">
        <f aca="false">IF(AMF50&lt;=0,0,IF(H_Direct=1,IF(DF51&lt;=0,RF51,IF(RF51&lt;=(YE51+ABR51)/DF51,RF51,(RF51-G51*(YE51+ABR51))/(1-G51*DF51))),RF51/(1-MAX(0,DF51)*H_Exit)))</f>
        <v>0</v>
      </c>
      <c r="UT51" s="20" t="n">
        <f aca="false">IF(AMG50&lt;=0,0,IF(H_Direct=1,IF(DG51&lt;=0,RG51,IF(RG51&lt;=(YF51+ABS51)/DG51,RG51,(RG51-G51*(YF51+ABS51))/(1-G51*DG51))),RG51/(1-MAX(0,DG51)*H_Exit)))</f>
        <v>0</v>
      </c>
      <c r="UU51" s="20" t="n">
        <f aca="false">IF(AMH50&lt;=0,0,IF(H_Direct=1,IF(DH51&lt;=0,RH51,IF(RH51&lt;=(YG51+ABT51)/DH51,RH51,(RH51-G51*(YG51+ABT51))/(1-G51*DH51))),RH51/(1-MAX(0,DH51)*H_Exit)))</f>
        <v>0</v>
      </c>
      <c r="UV51" s="20" t="n">
        <f aca="false">IF(AMI50&lt;=0,0,IF(H_Direct=1,IF(DI51&lt;=0,RI51,IF(RI51&lt;=(YH51+ABU51)/DI51,RI51,(RI51-G51*(YH51+ABU51))/(1-G51*DI51))),RI51/(1-MAX(0,DI51)*H_Exit)))</f>
        <v>0</v>
      </c>
      <c r="UW51" s="20" t="n">
        <f aca="false">IF((P51+S51)&lt;=0,0,IF(H_Direct=1,IF(DJ51&lt;=0,RJ51,IF(RJ51&lt;=(YI51+ABV51)/DJ51,RJ51,(RJ51-G51*(YI51+ABV51))/(1-G51*DJ51))),RJ51/(1-MAX(0,DJ51)*H_Exit)))</f>
        <v>0</v>
      </c>
      <c r="UX51" s="20" t="n">
        <v>0</v>
      </c>
      <c r="UY51" s="20" t="n">
        <v>0</v>
      </c>
      <c r="UZ51" s="20" t="n">
        <v>0</v>
      </c>
      <c r="VA51" s="20" t="n">
        <v>0</v>
      </c>
      <c r="VB51" s="20" t="n">
        <v>0</v>
      </c>
      <c r="VC51" s="20" t="n">
        <v>0</v>
      </c>
      <c r="VD51" s="20" t="n">
        <v>0</v>
      </c>
      <c r="VE51" s="20" t="n">
        <v>0</v>
      </c>
      <c r="VF51" s="20" t="n">
        <v>0</v>
      </c>
      <c r="VG51" s="20" t="n">
        <v>0</v>
      </c>
      <c r="VH51" s="20" t="n">
        <v>0</v>
      </c>
      <c r="VI51" s="20" t="n">
        <v>0</v>
      </c>
      <c r="VJ51" s="20" t="n">
        <v>0</v>
      </c>
      <c r="VK51" s="20" t="n">
        <v>0</v>
      </c>
      <c r="VL51" s="20" t="n">
        <v>0</v>
      </c>
      <c r="VM51" s="20" t="n">
        <v>0</v>
      </c>
      <c r="VN51" s="20" t="n">
        <v>0</v>
      </c>
      <c r="VO51" s="20" t="n">
        <v>0</v>
      </c>
      <c r="VP51" s="20" t="n">
        <v>0</v>
      </c>
      <c r="VQ51" s="20" t="n">
        <v>0</v>
      </c>
      <c r="VR51" s="20" t="n">
        <v>0</v>
      </c>
      <c r="VS51" s="20" t="n">
        <v>0</v>
      </c>
      <c r="VT51" s="20" t="n">
        <v>0</v>
      </c>
      <c r="VU51" s="20" t="n">
        <v>0</v>
      </c>
      <c r="VV51" s="20" t="n">
        <v>0</v>
      </c>
      <c r="VW51" s="20" t="n">
        <v>0</v>
      </c>
      <c r="VX51" s="20" t="n">
        <v>0</v>
      </c>
      <c r="VY51" s="20" t="n">
        <v>0</v>
      </c>
      <c r="VZ51" s="20" t="n">
        <v>0</v>
      </c>
      <c r="WA51" s="20" t="n">
        <v>0</v>
      </c>
      <c r="WB51" s="20" t="n">
        <v>0</v>
      </c>
      <c r="WC51" s="20" t="n">
        <v>0</v>
      </c>
      <c r="WD51" s="20" t="n">
        <v>0</v>
      </c>
      <c r="WE51" s="20" t="n">
        <v>0</v>
      </c>
      <c r="WF51" s="20" t="n">
        <v>0</v>
      </c>
      <c r="WG51" s="20" t="n">
        <v>0</v>
      </c>
      <c r="WH51" s="20" t="n">
        <v>0</v>
      </c>
      <c r="WI51" s="20" t="n">
        <v>0</v>
      </c>
      <c r="WJ51" s="20" t="n">
        <v>0</v>
      </c>
      <c r="WK51" s="20" t="n">
        <v>0</v>
      </c>
      <c r="WL51" s="20" t="n">
        <v>0</v>
      </c>
      <c r="WM51" s="20" t="n">
        <v>0</v>
      </c>
      <c r="WN51" s="20" t="n">
        <v>0</v>
      </c>
      <c r="WO51" s="20" t="n">
        <v>0</v>
      </c>
      <c r="WP51" s="20" t="n">
        <v>0</v>
      </c>
      <c r="WQ51" s="20" t="n">
        <v>0</v>
      </c>
      <c r="WR51" s="20" t="n">
        <f aca="false">IF(AND(H_Direct=1,BR51&gt;0),MAX(0,H51-(MIN(BR51*TE51,(H51+I51))-MIN(MIN(BR51*TE51,(H51+I51)),I51))),H51)</f>
        <v>1270</v>
      </c>
      <c r="WS51" s="20" t="n">
        <f aca="false">IF(AND(H_Direct=1,BS51&gt;0),MAX(0,WR51-(MIN(BS51*TF51,(WR51+AAE51))-MIN(MIN(BS51*TF51,(WR51+AAE51)),AAE51))),WR51)</f>
        <v>1270</v>
      </c>
      <c r="WT51" s="20" t="n">
        <f aca="false">IF(AND(H_Direct=1,BT51&gt;0),MAX(0,WS51-(MIN(BT51*TG51,(WS51+AAF51))-MIN(MIN(BT51*TG51,(WS51+AAF51)),AAF51))),WS51)</f>
        <v>1270</v>
      </c>
      <c r="WU51" s="20" t="n">
        <f aca="false">IF(AND(H_Direct=1,BU51&gt;0),MAX(0,WT51-(MIN(BU51*TH51,(WT51+AAG51))-MIN(MIN(BU51*TH51,(WT51+AAG51)),AAG51))),WT51)</f>
        <v>1270</v>
      </c>
      <c r="WV51" s="20" t="n">
        <f aca="false">IF(AND(H_Direct=1,BV51&gt;0),MAX(0,WU51-(MIN(BV51*TI51,(WU51+AAH51))-MIN(MIN(BV51*TI51,(WU51+AAH51)),AAH51))),WU51)</f>
        <v>1270</v>
      </c>
      <c r="WW51" s="20" t="n">
        <f aca="false">IF(AND(H_Direct=1,BW51&gt;0),MAX(0,WV51-(MIN(BW51*TJ51,(WV51+AAI51))-MIN(MIN(BW51*TJ51,(WV51+AAI51)),AAI51))),WV51)</f>
        <v>1270</v>
      </c>
      <c r="WX51" s="20" t="n">
        <f aca="false">IF(AND(H_Direct=1,BX51&gt;0),MAX(0,WW51-(MIN(BX51*TK51,(WW51+AAJ51))-MIN(MIN(BX51*TK51,(WW51+AAJ51)),AAJ51))),WW51)</f>
        <v>1270</v>
      </c>
      <c r="WY51" s="20" t="n">
        <f aca="false">IF(AND(H_Direct=1,BY51&gt;0),MAX(0,WX51-(MIN(BY51*TL51,(WX51+AAK51))-MIN(MIN(BY51*TL51,(WX51+AAK51)),AAK51))),WX51)</f>
        <v>1270</v>
      </c>
      <c r="WZ51" s="20" t="n">
        <f aca="false">IF(AND(H_Direct=1,BZ51&gt;0),MAX(0,WY51-(MIN(BZ51*TM51,(WY51+AAL51))-MIN(MIN(BZ51*TM51,(WY51+AAL51)),AAL51))),WY51)</f>
        <v>1270</v>
      </c>
      <c r="XA51" s="20" t="n">
        <f aca="false">IF(AND(H_Direct=1,CA51&gt;0),MAX(0,WZ51-(MIN(CA51*TN51,(WZ51+AAM51))-MIN(MIN(CA51*TN51,(WZ51+AAM51)),AAM51))),WZ51)</f>
        <v>1270</v>
      </c>
      <c r="XB51" s="20" t="n">
        <f aca="false">IF(AND(H_Direct=1,CB51&gt;0),MAX(0,XA51-(MIN(CB51*TO51,(XA51+AAN51))-MIN(MIN(CB51*TO51,(XA51+AAN51)),AAN51))),XA51)</f>
        <v>1270</v>
      </c>
      <c r="XC51" s="20" t="n">
        <f aca="false">IF(AND(H_Direct=1,CC51&gt;0),MAX(0,XB51-(MIN(CC51*TP51,(XB51+AAO51))-MIN(MIN(CC51*TP51,(XB51+AAO51)),AAO51))),XB51)</f>
        <v>1270</v>
      </c>
      <c r="XD51" s="20" t="n">
        <f aca="false">IF(AND(H_Direct=1,CD51&gt;0),MAX(0,XC51-(MIN(CD51*TQ51,(XC51+AAP51))-MIN(MIN(CD51*TQ51,(XC51+AAP51)),AAP51))),XC51)</f>
        <v>1270</v>
      </c>
      <c r="XE51" s="20" t="n">
        <f aca="false">IF(AND(H_Direct=1,CE51&gt;0),MAX(0,XD51-(MIN(CE51*TR51,(XD51+AAQ51))-MIN(MIN(CE51*TR51,(XD51+AAQ51)),AAQ51))),XD51)</f>
        <v>1270</v>
      </c>
      <c r="XF51" s="20" t="n">
        <f aca="false">IF(AND(H_Direct=1,CF51&gt;0),MAX(0,XE51-(MIN(CF51*TS51,(XE51+AAR51))-MIN(MIN(CF51*TS51,(XE51+AAR51)),AAR51))),XE51)</f>
        <v>1270</v>
      </c>
      <c r="XG51" s="20" t="n">
        <f aca="false">IF(AND(H_Direct=1,CG51&gt;0),MAX(0,XF51-(MIN(CG51*TT51,(XF51+AAS51))-MIN(MIN(CG51*TT51,(XF51+AAS51)),AAS51))),XF51)</f>
        <v>1270</v>
      </c>
      <c r="XH51" s="20" t="n">
        <f aca="false">IF(AND(H_Direct=1,CH51&gt;0),MAX(0,XG51-(MIN(CH51*TU51,(XG51+AAT51))-MIN(MIN(CH51*TU51,(XG51+AAT51)),AAT51))),XG51)</f>
        <v>1270</v>
      </c>
      <c r="XI51" s="20" t="n">
        <f aca="false">IF(AND(H_Direct=1,CI51&gt;0),MAX(0,XH51-(MIN(CI51*TV51,(XH51+AAU51))-MIN(MIN(CI51*TV51,(XH51+AAU51)),AAU51))),XH51)</f>
        <v>1270</v>
      </c>
      <c r="XJ51" s="20" t="n">
        <f aca="false">IF(AND(H_Direct=1,CJ51&gt;0),MAX(0,XI51-(MIN(CJ51*TW51,(XI51+AAV51))-MIN(MIN(CJ51*TW51,(XI51+AAV51)),AAV51))),XI51)</f>
        <v>1270</v>
      </c>
      <c r="XK51" s="20" t="n">
        <f aca="false">IF(AND(H_Direct=1,CK51&gt;0),MAX(0,XJ51-(MIN(CK51*TX51,(XJ51+AAW51))-MIN(MIN(CK51*TX51,(XJ51+AAW51)),AAW51))),XJ51)</f>
        <v>1270</v>
      </c>
      <c r="XL51" s="20" t="n">
        <f aca="false">IF(AND(H_Direct=1,CL51&gt;0),MAX(0,XK51-(MIN(CL51*TY51,(XK51+AAX51))-MIN(MIN(CL51*TY51,(XK51+AAX51)),AAX51))),XK51)</f>
        <v>1270</v>
      </c>
      <c r="XM51" s="20" t="n">
        <f aca="false">IF(AND(H_Direct=1,CM51&gt;0),MAX(0,XL51-(MIN(CM51*TZ51,(XL51+AAY51))-MIN(MIN(CM51*TZ51,(XL51+AAY51)),AAY51))),XL51)</f>
        <v>1270</v>
      </c>
      <c r="XN51" s="20" t="n">
        <f aca="false">IF(AND(H_Direct=1,CN51&gt;0),MAX(0,XM51-(MIN(CN51*UA51,(XM51+AAZ51))-MIN(MIN(CN51*UA51,(XM51+AAZ51)),AAZ51))),XM51)</f>
        <v>1270</v>
      </c>
      <c r="XO51" s="20" t="n">
        <f aca="false">IF(AND(H_Direct=1,CO51&gt;0),MAX(0,XN51-(MIN(CO51*UB51,(XN51+ABA51))-MIN(MIN(CO51*UB51,(XN51+ABA51)),ABA51))),XN51)</f>
        <v>1270</v>
      </c>
      <c r="XP51" s="20" t="n">
        <f aca="false">IF(AND(H_Direct=1,CP51&gt;0),MAX(0,XO51-(MIN(CP51*UC51,(XO51+ABB51))-MIN(MIN(CP51*UC51,(XO51+ABB51)),ABB51))),XO51)</f>
        <v>1270</v>
      </c>
      <c r="XQ51" s="20" t="n">
        <f aca="false">IF(AND(H_Direct=1,CQ51&gt;0),MAX(0,XP51-(MIN(CQ51*UD51,(XP51+ABC51))-MIN(MIN(CQ51*UD51,(XP51+ABC51)),ABC51))),XP51)</f>
        <v>1270</v>
      </c>
      <c r="XR51" s="20" t="n">
        <f aca="false">IF(AND(H_Direct=1,CR51&gt;0),MAX(0,XQ51-(MIN(CR51*UE51,(XQ51+ABD51))-MIN(MIN(CR51*UE51,(XQ51+ABD51)),ABD51))),XQ51)</f>
        <v>1270</v>
      </c>
      <c r="XS51" s="20" t="n">
        <f aca="false">IF(AND(H_Direct=1,CS51&gt;0),MAX(0,XR51-(MIN(CS51*UF51,(XR51+ABE51))-MIN(MIN(CS51*UF51,(XR51+ABE51)),ABE51))),XR51)</f>
        <v>1270</v>
      </c>
      <c r="XT51" s="20" t="n">
        <f aca="false">IF(AND(H_Direct=1,CT51&gt;0),MAX(0,XS51-(MIN(CT51*UG51,(XS51+ABF51))-MIN(MIN(CT51*UG51,(XS51+ABF51)),ABF51))),XS51)</f>
        <v>1270</v>
      </c>
      <c r="XU51" s="20" t="n">
        <f aca="false">IF(AND(H_Direct=1,CU51&gt;0),MAX(0,XT51-(MIN(CU51*UH51,(XT51+ABG51))-MIN(MIN(CU51*UH51,(XT51+ABG51)),ABG51))),XT51)</f>
        <v>1270</v>
      </c>
      <c r="XV51" s="20" t="n">
        <f aca="false">IF(AND(H_Direct=1,CV51&gt;0),MAX(0,XU51-(MIN(CV51*UI51,(XU51+ABH51))-MIN(MIN(CV51*UI51,(XU51+ABH51)),ABH51))),XU51)</f>
        <v>1270</v>
      </c>
      <c r="XW51" s="20" t="n">
        <f aca="false">IF(AND(H_Direct=1,CW51&gt;0),MAX(0,XV51-(MIN(CW51*UJ51,(XV51+ABI51))-MIN(MIN(CW51*UJ51,(XV51+ABI51)),ABI51))),XV51)</f>
        <v>1270</v>
      </c>
      <c r="XX51" s="20" t="n">
        <f aca="false">IF(AND(H_Direct=1,CX51&gt;0),MAX(0,XW51-(MIN(CX51*UK51,(XW51+ABJ51))-MIN(MIN(CX51*UK51,(XW51+ABJ51)),ABJ51))),XW51)</f>
        <v>1270</v>
      </c>
      <c r="XY51" s="20" t="n">
        <f aca="false">IF(AND(H_Direct=1,CY51&gt;0),MAX(0,XX51-(MIN(CY51*UL51,(XX51+ABK51))-MIN(MIN(CY51*UL51,(XX51+ABK51)),ABK51))),XX51)</f>
        <v>1270</v>
      </c>
      <c r="XZ51" s="20" t="n">
        <f aca="false">IF(AND(H_Direct=1,CZ51&gt;0),MAX(0,XY51-(MIN(CZ51*UM51,(XY51+ABL51))-MIN(MIN(CZ51*UM51,(XY51+ABL51)),ABL51))),XY51)</f>
        <v>1270</v>
      </c>
      <c r="YA51" s="20" t="n">
        <f aca="false">IF(AND(H_Direct=1,DA51&gt;0),MAX(0,XZ51-(MIN(DA51*UN51,(XZ51+ABM51))-MIN(MIN(DA51*UN51,(XZ51+ABM51)),ABM51))),XZ51)</f>
        <v>1270</v>
      </c>
      <c r="YB51" s="20" t="n">
        <f aca="false">IF(AND(H_Direct=1,DB51&gt;0),MAX(0,YA51-(MIN(DB51*UO51,(YA51+ABN51))-MIN(MIN(DB51*UO51,(YA51+ABN51)),ABN51))),YA51)</f>
        <v>1270</v>
      </c>
      <c r="YC51" s="20" t="n">
        <f aca="false">IF(AND(H_Direct=1,DC51&gt;0),MAX(0,YB51-(MIN(DC51*UP51,(YB51+ABO51))-MIN(MIN(DC51*UP51,(YB51+ABO51)),ABO51))),YB51)</f>
        <v>1270</v>
      </c>
      <c r="YD51" s="20" t="n">
        <f aca="false">IF(AND(H_Direct=1,DD51&gt;0),MAX(0,YC51-(MIN(DD51*UQ51,(YC51+ABP51))-MIN(MIN(DD51*UQ51,(YC51+ABP51)),ABP51))),YC51)</f>
        <v>1270</v>
      </c>
      <c r="YE51" s="20" t="n">
        <f aca="false">IF(AND(H_Direct=1,DE51&gt;0),MAX(0,YD51-(MIN(DE51*UR51,(YD51+ABQ51))-MIN(MIN(DE51*UR51,(YD51+ABQ51)),ABQ51))),YD51)</f>
        <v>1270</v>
      </c>
      <c r="YF51" s="20" t="n">
        <f aca="false">IF(AND(H_Direct=1,DF51&gt;0),MAX(0,YE51-(MIN(DF51*US51,(YE51+ABR51))-MIN(MIN(DF51*US51,(YE51+ABR51)),ABR51))),YE51)</f>
        <v>1270</v>
      </c>
      <c r="YG51" s="20" t="n">
        <f aca="false">IF(AND(H_Direct=1,DG51&gt;0),MAX(0,YF51-(MIN(DG51*UT51,(YF51+ABS51))-MIN(MIN(DG51*UT51,(YF51+ABS51)),ABS51))),YF51)</f>
        <v>1270</v>
      </c>
      <c r="YH51" s="20" t="n">
        <f aca="false">IF(AND(H_Direct=1,DH51&gt;0),MAX(0,YG51-(MIN(DH51*UU51,(YG51+ABT51))-MIN(MIN(DH51*UU51,(YG51+ABT51)),ABT51))),YG51)</f>
        <v>1270</v>
      </c>
      <c r="YI51" s="20" t="n">
        <f aca="false">IF(AND(H_Direct=1,DI51&gt;0),MAX(0,YH51-(MIN(DI51*UV51,(YH51+ABU51))-MIN(MIN(DI51*UV51,(YH51+ABU51)),ABU51))),YH51)</f>
        <v>1270</v>
      </c>
      <c r="YJ51" s="20" t="n">
        <f aca="false">IF(AND(H_Direct=1,DJ51&gt;0),MAX(0,YI51-(MIN(DJ51*UW51,(YI51+ABV51))-MIN(MIN(DJ51*UW51,(YI51+ABV51)),ABV51))),YI51)</f>
        <v>1270</v>
      </c>
      <c r="YK51" s="20" t="n">
        <f aca="false">YJ51</f>
        <v>1270</v>
      </c>
      <c r="YL51" s="20" t="n">
        <f aca="false">YK51</f>
        <v>1270</v>
      </c>
      <c r="YM51" s="20" t="n">
        <f aca="false">YL51</f>
        <v>1270</v>
      </c>
      <c r="YN51" s="20" t="n">
        <f aca="false">YM51</f>
        <v>1270</v>
      </c>
      <c r="YO51" s="20" t="n">
        <f aca="false">YN51</f>
        <v>1270</v>
      </c>
      <c r="YP51" s="20" t="n">
        <f aca="false">YO51</f>
        <v>1270</v>
      </c>
      <c r="YQ51" s="20" t="n">
        <f aca="false">YP51</f>
        <v>1270</v>
      </c>
      <c r="YR51" s="20" t="n">
        <f aca="false">YQ51</f>
        <v>1270</v>
      </c>
      <c r="YS51" s="20" t="n">
        <f aca="false">YR51</f>
        <v>1270</v>
      </c>
      <c r="YT51" s="20" t="n">
        <f aca="false">YS51</f>
        <v>1270</v>
      </c>
      <c r="YU51" s="20" t="n">
        <f aca="false">YT51</f>
        <v>1270</v>
      </c>
      <c r="YV51" s="20" t="n">
        <f aca="false">YU51</f>
        <v>1270</v>
      </c>
      <c r="YW51" s="20" t="n">
        <f aca="false">YV51</f>
        <v>1270</v>
      </c>
      <c r="YX51" s="20" t="n">
        <f aca="false">YW51</f>
        <v>1270</v>
      </c>
      <c r="YY51" s="20" t="n">
        <f aca="false">YX51</f>
        <v>1270</v>
      </c>
      <c r="YZ51" s="20" t="n">
        <f aca="false">YY51</f>
        <v>1270</v>
      </c>
      <c r="ZA51" s="20" t="n">
        <f aca="false">YZ51</f>
        <v>1270</v>
      </c>
      <c r="ZB51" s="20" t="n">
        <f aca="false">ZA51</f>
        <v>1270</v>
      </c>
      <c r="ZC51" s="20" t="n">
        <f aca="false">ZB51</f>
        <v>1270</v>
      </c>
      <c r="ZD51" s="20" t="n">
        <f aca="false">ZC51</f>
        <v>1270</v>
      </c>
      <c r="ZE51" s="20" t="n">
        <f aca="false">ZD51</f>
        <v>1270</v>
      </c>
      <c r="ZF51" s="20" t="n">
        <f aca="false">ZE51</f>
        <v>1270</v>
      </c>
      <c r="ZG51" s="20" t="n">
        <f aca="false">ZF51</f>
        <v>1270</v>
      </c>
      <c r="ZH51" s="20" t="n">
        <f aca="false">ZG51</f>
        <v>1270</v>
      </c>
      <c r="ZI51" s="20" t="n">
        <f aca="false">ZH51</f>
        <v>1270</v>
      </c>
      <c r="ZJ51" s="20" t="n">
        <f aca="false">ZI51</f>
        <v>1270</v>
      </c>
      <c r="ZK51" s="20" t="n">
        <f aca="false">ZJ51</f>
        <v>1270</v>
      </c>
      <c r="ZL51" s="20" t="n">
        <f aca="false">ZK51</f>
        <v>1270</v>
      </c>
      <c r="ZM51" s="20" t="n">
        <f aca="false">ZL51</f>
        <v>1270</v>
      </c>
      <c r="ZN51" s="20" t="n">
        <f aca="false">ZM51</f>
        <v>1270</v>
      </c>
      <c r="ZO51" s="20" t="n">
        <f aca="false">ZN51</f>
        <v>1270</v>
      </c>
      <c r="ZP51" s="20" t="n">
        <f aca="false">ZO51</f>
        <v>1270</v>
      </c>
      <c r="ZQ51" s="20" t="n">
        <f aca="false">ZP51</f>
        <v>1270</v>
      </c>
      <c r="ZR51" s="20" t="n">
        <f aca="false">ZQ51</f>
        <v>1270</v>
      </c>
      <c r="ZS51" s="20" t="n">
        <f aca="false">ZR51</f>
        <v>1270</v>
      </c>
      <c r="ZT51" s="20" t="n">
        <f aca="false">ZS51</f>
        <v>1270</v>
      </c>
      <c r="ZU51" s="20" t="n">
        <f aca="false">ZT51</f>
        <v>1270</v>
      </c>
      <c r="ZV51" s="20" t="n">
        <f aca="false">ZU51</f>
        <v>1270</v>
      </c>
      <c r="ZW51" s="20" t="n">
        <f aca="false">ZV51</f>
        <v>1270</v>
      </c>
      <c r="ZX51" s="20" t="n">
        <f aca="false">ZW51</f>
        <v>1270</v>
      </c>
      <c r="ZY51" s="20" t="n">
        <f aca="false">ZX51</f>
        <v>1270</v>
      </c>
      <c r="ZZ51" s="20" t="n">
        <f aca="false">ZY51</f>
        <v>1270</v>
      </c>
      <c r="AAA51" s="20" t="n">
        <f aca="false">ZZ51</f>
        <v>1270</v>
      </c>
      <c r="AAB51" s="20" t="n">
        <f aca="false">AAA51</f>
        <v>1270</v>
      </c>
      <c r="AAC51" s="20" t="n">
        <f aca="false">AAB51</f>
        <v>1270</v>
      </c>
      <c r="AAD51" s="20" t="n">
        <f aca="false">AAC51</f>
        <v>1270</v>
      </c>
      <c r="AAE51" s="20" t="n">
        <f aca="false">IF(H_Direct=1,IF(BR51&lt;=0,I51-BR51*TE51,I51-MIN(MIN(BR51*TE51,(H51+I51)),I51)),I51)</f>
        <v>0</v>
      </c>
      <c r="AAF51" s="20" t="n">
        <f aca="false">IF(H_Direct=1,IF(BS51&lt;=0,AAE51-BS51*TF51,AAE51-MIN(MIN(BS51*TF51,(WR51+AAE51)),AAE51)),AAE51)</f>
        <v>0</v>
      </c>
      <c r="AAG51" s="20" t="n">
        <f aca="false">IF(H_Direct=1,IF(BT51&lt;=0,AAF51-BT51*TG51,AAF51-MIN(MIN(BT51*TG51,(WS51+AAF51)),AAF51)),AAF51)</f>
        <v>0</v>
      </c>
      <c r="AAH51" s="20" t="n">
        <f aca="false">IF(H_Direct=1,IF(BU51&lt;=0,AAG51-BU51*TH51,AAG51-MIN(MIN(BU51*TH51,(WT51+AAG51)),AAG51)),AAG51)</f>
        <v>0</v>
      </c>
      <c r="AAI51" s="20" t="n">
        <f aca="false">IF(H_Direct=1,IF(BV51&lt;=0,AAH51-BV51*TI51,AAH51-MIN(MIN(BV51*TI51,(WU51+AAH51)),AAH51)),AAH51)</f>
        <v>0</v>
      </c>
      <c r="AAJ51" s="20" t="n">
        <f aca="false">IF(H_Direct=1,IF(BW51&lt;=0,AAI51-BW51*TJ51,AAI51-MIN(MIN(BW51*TJ51,(WV51+AAI51)),AAI51)),AAI51)</f>
        <v>0</v>
      </c>
      <c r="AAK51" s="20" t="n">
        <f aca="false">IF(H_Direct=1,IF(BX51&lt;=0,AAJ51-BX51*TK51,AAJ51-MIN(MIN(BX51*TK51,(WW51+AAJ51)),AAJ51)),AAJ51)</f>
        <v>0</v>
      </c>
      <c r="AAL51" s="20" t="n">
        <f aca="false">IF(H_Direct=1,IF(BY51&lt;=0,AAK51-BY51*TL51,AAK51-MIN(MIN(BY51*TL51,(WX51+AAK51)),AAK51)),AAK51)</f>
        <v>0</v>
      </c>
      <c r="AAM51" s="20" t="n">
        <f aca="false">IF(H_Direct=1,IF(BZ51&lt;=0,AAL51-BZ51*TM51,AAL51-MIN(MIN(BZ51*TM51,(WY51+AAL51)),AAL51)),AAL51)</f>
        <v>0</v>
      </c>
      <c r="AAN51" s="20" t="n">
        <f aca="false">IF(H_Direct=1,IF(CA51&lt;=0,AAM51-CA51*TN51,AAM51-MIN(MIN(CA51*TN51,(WZ51+AAM51)),AAM51)),AAM51)</f>
        <v>0</v>
      </c>
      <c r="AAO51" s="20" t="n">
        <f aca="false">IF(H_Direct=1,IF(CB51&lt;=0,AAN51-CB51*TO51,AAN51-MIN(MIN(CB51*TO51,(XA51+AAN51)),AAN51)),AAN51)</f>
        <v>0</v>
      </c>
      <c r="AAP51" s="20" t="n">
        <f aca="false">IF(H_Direct=1,IF(CC51&lt;=0,AAO51-CC51*TP51,AAO51-MIN(MIN(CC51*TP51,(XB51+AAO51)),AAO51)),AAO51)</f>
        <v>0</v>
      </c>
      <c r="AAQ51" s="20" t="n">
        <f aca="false">IF(H_Direct=1,IF(CD51&lt;=0,AAP51-CD51*TQ51,AAP51-MIN(MIN(CD51*TQ51,(XC51+AAP51)),AAP51)),AAP51)</f>
        <v>0</v>
      </c>
      <c r="AAR51" s="20" t="n">
        <f aca="false">IF(H_Direct=1,IF(CE51&lt;=0,AAQ51-CE51*TR51,AAQ51-MIN(MIN(CE51*TR51,(XD51+AAQ51)),AAQ51)),AAQ51)</f>
        <v>0</v>
      </c>
      <c r="AAS51" s="20" t="n">
        <f aca="false">IF(H_Direct=1,IF(CF51&lt;=0,AAR51-CF51*TS51,AAR51-MIN(MIN(CF51*TS51,(XE51+AAR51)),AAR51)),AAR51)</f>
        <v>0</v>
      </c>
      <c r="AAT51" s="20" t="n">
        <f aca="false">IF(H_Direct=1,IF(CG51&lt;=0,AAS51-CG51*TT51,AAS51-MIN(MIN(CG51*TT51,(XF51+AAS51)),AAS51)),AAS51)</f>
        <v>0</v>
      </c>
      <c r="AAU51" s="20" t="n">
        <f aca="false">IF(H_Direct=1,IF(CH51&lt;=0,AAT51-CH51*TU51,AAT51-MIN(MIN(CH51*TU51,(XG51+AAT51)),AAT51)),AAT51)</f>
        <v>0</v>
      </c>
      <c r="AAV51" s="20" t="n">
        <f aca="false">IF(H_Direct=1,IF(CI51&lt;=0,AAU51-CI51*TV51,AAU51-MIN(MIN(CI51*TV51,(XH51+AAU51)),AAU51)),AAU51)</f>
        <v>0</v>
      </c>
      <c r="AAW51" s="20" t="n">
        <f aca="false">IF(H_Direct=1,IF(CJ51&lt;=0,AAV51-CJ51*TW51,AAV51-MIN(MIN(CJ51*TW51,(XI51+AAV51)),AAV51)),AAV51)</f>
        <v>0</v>
      </c>
      <c r="AAX51" s="20" t="n">
        <f aca="false">IF(H_Direct=1,IF(CK51&lt;=0,AAW51-CK51*TX51,AAW51-MIN(MIN(CK51*TX51,(XJ51+AAW51)),AAW51)),AAW51)</f>
        <v>0</v>
      </c>
      <c r="AAY51" s="20" t="n">
        <f aca="false">IF(H_Direct=1,IF(CL51&lt;=0,AAX51-CL51*TY51,AAX51-MIN(MIN(CL51*TY51,(XK51+AAX51)),AAX51)),AAX51)</f>
        <v>0</v>
      </c>
      <c r="AAZ51" s="20" t="n">
        <f aca="false">IF(H_Direct=1,IF(CM51&lt;=0,AAY51-CM51*TZ51,AAY51-MIN(MIN(CM51*TZ51,(XL51+AAY51)),AAY51)),AAY51)</f>
        <v>0</v>
      </c>
      <c r="ABA51" s="20" t="n">
        <f aca="false">IF(H_Direct=1,IF(CN51&lt;=0,AAZ51-CN51*UA51,AAZ51-MIN(MIN(CN51*UA51,(XM51+AAZ51)),AAZ51)),AAZ51)</f>
        <v>0</v>
      </c>
      <c r="ABB51" s="20" t="n">
        <f aca="false">IF(H_Direct=1,IF(CO51&lt;=0,ABA51-CO51*UB51,ABA51-MIN(MIN(CO51*UB51,(XN51+ABA51)),ABA51)),ABA51)</f>
        <v>0</v>
      </c>
      <c r="ABC51" s="20" t="n">
        <f aca="false">IF(H_Direct=1,IF(CP51&lt;=0,ABB51-CP51*UC51,ABB51-MIN(MIN(CP51*UC51,(XO51+ABB51)),ABB51)),ABB51)</f>
        <v>0</v>
      </c>
      <c r="ABD51" s="20" t="n">
        <f aca="false">IF(H_Direct=1,IF(CQ51&lt;=0,ABC51-CQ51*UD51,ABC51-MIN(MIN(CQ51*UD51,(XP51+ABC51)),ABC51)),ABC51)</f>
        <v>0</v>
      </c>
      <c r="ABE51" s="20" t="n">
        <f aca="false">IF(H_Direct=1,IF(CR51&lt;=0,ABD51-CR51*UE51,ABD51-MIN(MIN(CR51*UE51,(XQ51+ABD51)),ABD51)),ABD51)</f>
        <v>0</v>
      </c>
      <c r="ABF51" s="20" t="n">
        <f aca="false">IF(H_Direct=1,IF(CS51&lt;=0,ABE51-CS51*UF51,ABE51-MIN(MIN(CS51*UF51,(XR51+ABE51)),ABE51)),ABE51)</f>
        <v>0</v>
      </c>
      <c r="ABG51" s="20" t="n">
        <f aca="false">IF(H_Direct=1,IF(CT51&lt;=0,ABF51-CT51*UG51,ABF51-MIN(MIN(CT51*UG51,(XS51+ABF51)),ABF51)),ABF51)</f>
        <v>0</v>
      </c>
      <c r="ABH51" s="20" t="n">
        <f aca="false">IF(H_Direct=1,IF(CU51&lt;=0,ABG51-CU51*UH51,ABG51-MIN(MIN(CU51*UH51,(XT51+ABG51)),ABG51)),ABG51)</f>
        <v>0</v>
      </c>
      <c r="ABI51" s="20" t="n">
        <f aca="false">IF(H_Direct=1,IF(CV51&lt;=0,ABH51-CV51*UI51,ABH51-MIN(MIN(CV51*UI51,(XU51+ABH51)),ABH51)),ABH51)</f>
        <v>0</v>
      </c>
      <c r="ABJ51" s="20" t="n">
        <f aca="false">IF(H_Direct=1,IF(CW51&lt;=0,ABI51-CW51*UJ51,ABI51-MIN(MIN(CW51*UJ51,(XV51+ABI51)),ABI51)),ABI51)</f>
        <v>0</v>
      </c>
      <c r="ABK51" s="20" t="n">
        <f aca="false">IF(H_Direct=1,IF(CX51&lt;=0,ABJ51-CX51*UK51,ABJ51-MIN(MIN(CX51*UK51,(XW51+ABJ51)),ABJ51)),ABJ51)</f>
        <v>0</v>
      </c>
      <c r="ABL51" s="20" t="n">
        <f aca="false">IF(H_Direct=1,IF(CY51&lt;=0,ABK51-CY51*UL51,ABK51-MIN(MIN(CY51*UL51,(XX51+ABK51)),ABK51)),ABK51)</f>
        <v>0</v>
      </c>
      <c r="ABM51" s="20" t="n">
        <f aca="false">IF(H_Direct=1,IF(CZ51&lt;=0,ABL51-CZ51*UM51,ABL51-MIN(MIN(CZ51*UM51,(XY51+ABL51)),ABL51)),ABL51)</f>
        <v>0</v>
      </c>
      <c r="ABN51" s="20" t="n">
        <f aca="false">IF(H_Direct=1,IF(DA51&lt;=0,ABM51-DA51*UN51,ABM51-MIN(MIN(DA51*UN51,(XZ51+ABM51)),ABM51)),ABM51)</f>
        <v>0</v>
      </c>
      <c r="ABO51" s="20" t="n">
        <f aca="false">IF(H_Direct=1,IF(DB51&lt;=0,ABN51-DB51*UO51,ABN51-MIN(MIN(DB51*UO51,(YA51+ABN51)),ABN51)),ABN51)</f>
        <v>0</v>
      </c>
      <c r="ABP51" s="20" t="n">
        <f aca="false">IF(H_Direct=1,IF(DC51&lt;=0,ABO51-DC51*UP51,ABO51-MIN(MIN(DC51*UP51,(YB51+ABO51)),ABO51)),ABO51)</f>
        <v>0</v>
      </c>
      <c r="ABQ51" s="20" t="n">
        <f aca="false">IF(H_Direct=1,IF(DD51&lt;=0,ABP51-DD51*UQ51,ABP51-MIN(MIN(DD51*UQ51,(YC51+ABP51)),ABP51)),ABP51)</f>
        <v>0</v>
      </c>
      <c r="ABR51" s="20" t="n">
        <f aca="false">IF(H_Direct=1,IF(DE51&lt;=0,ABQ51-DE51*UR51,ABQ51-MIN(MIN(DE51*UR51,(YD51+ABQ51)),ABQ51)),ABQ51)</f>
        <v>0</v>
      </c>
      <c r="ABS51" s="20" t="n">
        <f aca="false">IF(H_Direct=1,IF(DF51&lt;=0,ABR51-DF51*US51,ABR51-MIN(MIN(DF51*US51,(YE51+ABR51)),ABR51)),ABR51)</f>
        <v>0</v>
      </c>
      <c r="ABT51" s="20" t="n">
        <f aca="false">IF(H_Direct=1,IF(DG51&lt;=0,ABS51-DG51*UT51,ABS51-MIN(MIN(DG51*UT51,(YF51+ABS51)),ABS51)),ABS51)</f>
        <v>0</v>
      </c>
      <c r="ABU51" s="20" t="n">
        <f aca="false">IF(H_Direct=1,IF(DH51&lt;=0,ABT51-DH51*UU51,ABT51-MIN(MIN(DH51*UU51,(YG51+ABT51)),ABT51)),ABT51)</f>
        <v>0</v>
      </c>
      <c r="ABV51" s="20" t="n">
        <f aca="false">IF(H_Direct=1,IF(DI51&lt;=0,ABU51-DI51*UV51,ABU51-MIN(MIN(DI51*UV51,(YH51+ABU51)),ABU51)),ABU51)</f>
        <v>0</v>
      </c>
      <c r="ABW51" s="20" t="n">
        <f aca="false">IF(H_Direct=1,IF(DJ51&lt;=0,ABV51-DJ51*UW51,ABV51-MIN(MIN(DJ51*UW51,(YI51+ABV51)),ABV51)),ABV51)</f>
        <v>0</v>
      </c>
      <c r="ABX51" s="20" t="n">
        <f aca="false">ABW51</f>
        <v>0</v>
      </c>
      <c r="ABY51" s="20" t="n">
        <f aca="false">ABX51</f>
        <v>0</v>
      </c>
      <c r="ABZ51" s="20" t="n">
        <f aca="false">ABY51</f>
        <v>0</v>
      </c>
      <c r="ACA51" s="20" t="n">
        <f aca="false">ABZ51</f>
        <v>0</v>
      </c>
      <c r="ACB51" s="20" t="n">
        <f aca="false">ACA51</f>
        <v>0</v>
      </c>
      <c r="ACC51" s="20" t="n">
        <f aca="false">ACB51</f>
        <v>0</v>
      </c>
      <c r="ACD51" s="20" t="n">
        <f aca="false">ACC51</f>
        <v>0</v>
      </c>
      <c r="ACE51" s="20" t="n">
        <f aca="false">ACD51</f>
        <v>0</v>
      </c>
      <c r="ACF51" s="20" t="n">
        <f aca="false">ACE51</f>
        <v>0</v>
      </c>
      <c r="ACG51" s="20" t="n">
        <f aca="false">ACF51</f>
        <v>0</v>
      </c>
      <c r="ACH51" s="20" t="n">
        <f aca="false">ACG51</f>
        <v>0</v>
      </c>
      <c r="ACI51" s="20" t="n">
        <f aca="false">ACH51</f>
        <v>0</v>
      </c>
      <c r="ACJ51" s="20" t="n">
        <f aca="false">ACI51</f>
        <v>0</v>
      </c>
      <c r="ACK51" s="20" t="n">
        <f aca="false">ACJ51</f>
        <v>0</v>
      </c>
      <c r="ACL51" s="20" t="n">
        <f aca="false">ACK51</f>
        <v>0</v>
      </c>
      <c r="ACM51" s="20" t="n">
        <f aca="false">ACL51</f>
        <v>0</v>
      </c>
      <c r="ACN51" s="20" t="n">
        <f aca="false">ACM51</f>
        <v>0</v>
      </c>
      <c r="ACO51" s="20" t="n">
        <f aca="false">ACN51</f>
        <v>0</v>
      </c>
      <c r="ACP51" s="20" t="n">
        <f aca="false">ACO51</f>
        <v>0</v>
      </c>
      <c r="ACQ51" s="20" t="n">
        <f aca="false">ACP51</f>
        <v>0</v>
      </c>
      <c r="ACR51" s="20" t="n">
        <f aca="false">ACQ51</f>
        <v>0</v>
      </c>
      <c r="ACS51" s="20" t="n">
        <f aca="false">ACR51</f>
        <v>0</v>
      </c>
      <c r="ACT51" s="20" t="n">
        <f aca="false">ACS51</f>
        <v>0</v>
      </c>
      <c r="ACU51" s="20" t="n">
        <f aca="false">ACT51</f>
        <v>0</v>
      </c>
      <c r="ACV51" s="20" t="n">
        <f aca="false">ACU51</f>
        <v>0</v>
      </c>
      <c r="ACW51" s="20" t="n">
        <f aca="false">ACV51</f>
        <v>0</v>
      </c>
      <c r="ACX51" s="20" t="n">
        <f aca="false">ACW51</f>
        <v>0</v>
      </c>
      <c r="ACY51" s="20" t="n">
        <f aca="false">ACX51</f>
        <v>0</v>
      </c>
      <c r="ACZ51" s="20" t="n">
        <f aca="false">ACY51</f>
        <v>0</v>
      </c>
      <c r="ADA51" s="20" t="n">
        <f aca="false">ACZ51</f>
        <v>0</v>
      </c>
      <c r="ADB51" s="20" t="n">
        <f aca="false">ADA51</f>
        <v>0</v>
      </c>
      <c r="ADC51" s="20" t="n">
        <f aca="false">ADB51</f>
        <v>0</v>
      </c>
      <c r="ADD51" s="20" t="n">
        <f aca="false">ADC51</f>
        <v>0</v>
      </c>
      <c r="ADE51" s="20" t="n">
        <f aca="false">ADD51</f>
        <v>0</v>
      </c>
      <c r="ADF51" s="20" t="n">
        <f aca="false">ADE51</f>
        <v>0</v>
      </c>
      <c r="ADG51" s="20" t="n">
        <f aca="false">ADF51</f>
        <v>0</v>
      </c>
      <c r="ADH51" s="20" t="n">
        <f aca="false">ADG51</f>
        <v>0</v>
      </c>
      <c r="ADI51" s="20" t="n">
        <f aca="false">ADH51</f>
        <v>0</v>
      </c>
      <c r="ADJ51" s="20" t="n">
        <f aca="false">ADI51</f>
        <v>0</v>
      </c>
      <c r="ADK51" s="20" t="n">
        <f aca="false">ADJ51</f>
        <v>0</v>
      </c>
      <c r="ADL51" s="20" t="n">
        <f aca="false">ADK51</f>
        <v>0</v>
      </c>
      <c r="ADM51" s="20" t="n">
        <f aca="false">ADL51</f>
        <v>0</v>
      </c>
      <c r="ADN51" s="20" t="n">
        <f aca="false">ADM51</f>
        <v>0</v>
      </c>
      <c r="ADO51" s="20" t="n">
        <f aca="false">ADN51</f>
        <v>0</v>
      </c>
      <c r="ADP51" s="20" t="n">
        <f aca="false">ADO51</f>
        <v>0</v>
      </c>
      <c r="ADQ51" s="20" t="n">
        <f aca="false">ADP51</f>
        <v>0</v>
      </c>
      <c r="ADR51" s="20" t="n">
        <f aca="false">(AKR50-TE51+0)*(1+BQ51)</f>
        <v>0</v>
      </c>
      <c r="ADS51" s="20" t="n">
        <f aca="false">(AKS50-TF51+0)*(1+BQ51)</f>
        <v>0</v>
      </c>
      <c r="ADT51" s="20" t="n">
        <f aca="false">(AKT50-TG51+0)*(1+BQ51)</f>
        <v>0</v>
      </c>
      <c r="ADU51" s="20" t="n">
        <f aca="false">(AKU50-TH51+0)*(1+BQ51)</f>
        <v>0</v>
      </c>
      <c r="ADV51" s="20" t="n">
        <f aca="false">(AKV50-TI51+0)*(1+BQ51)</f>
        <v>0</v>
      </c>
      <c r="ADW51" s="20" t="n">
        <f aca="false">(AKW50-TJ51+0)*(1+BQ51)</f>
        <v>0</v>
      </c>
      <c r="ADX51" s="20" t="n">
        <f aca="false">(AKX50-TK51+0)*(1+BQ51)</f>
        <v>0</v>
      </c>
      <c r="ADY51" s="20" t="n">
        <f aca="false">(AKY50-TL51+0)*(1+BQ51)</f>
        <v>0</v>
      </c>
      <c r="ADZ51" s="20" t="n">
        <f aca="false">(AKZ50-TM51+0)*(1+BQ51)</f>
        <v>0</v>
      </c>
      <c r="AEA51" s="20" t="n">
        <f aca="false">(ALA50-TN51+0)*(1+BQ51)</f>
        <v>0</v>
      </c>
      <c r="AEB51" s="20" t="n">
        <f aca="false">(ALB50-TO51+0)*(1+BQ51)</f>
        <v>0</v>
      </c>
      <c r="AEC51" s="20" t="n">
        <f aca="false">(ALC50-TP51+0)*(1+BQ51)</f>
        <v>0</v>
      </c>
      <c r="AED51" s="20" t="n">
        <f aca="false">(ALD50-TQ51+0)*(1+BQ51)</f>
        <v>0</v>
      </c>
      <c r="AEE51" s="20" t="n">
        <f aca="false">(ALE50-TR51+0)*(1+BQ51)</f>
        <v>0</v>
      </c>
      <c r="AEF51" s="20" t="n">
        <f aca="false">(ALF50-TS51+0)*(1+BQ51)</f>
        <v>0</v>
      </c>
      <c r="AEG51" s="20" t="n">
        <f aca="false">(ALG50-TT51+0)*(1+BQ51)</f>
        <v>0</v>
      </c>
      <c r="AEH51" s="20" t="n">
        <f aca="false">(ALH50-TU51+0)*(1+BQ51)</f>
        <v>0</v>
      </c>
      <c r="AEI51" s="20" t="n">
        <f aca="false">(ALI50-TV51+0)*(1+BQ51)</f>
        <v>0</v>
      </c>
      <c r="AEJ51" s="20" t="n">
        <f aca="false">(ALJ50-TW51+0)*(1+BQ51)</f>
        <v>0</v>
      </c>
      <c r="AEK51" s="20" t="n">
        <f aca="false">(ALK50-TX51+0)*(1+BQ51)</f>
        <v>0</v>
      </c>
      <c r="AEL51" s="20" t="n">
        <f aca="false">(ALL50-TY51+0)*(1+BQ51)</f>
        <v>0</v>
      </c>
      <c r="AEM51" s="20" t="n">
        <f aca="false">(ALM50-TZ51+0)*(1+BQ51)</f>
        <v>0</v>
      </c>
      <c r="AEN51" s="20" t="n">
        <f aca="false">(ALN50-UA51+0)*(1+BQ51)</f>
        <v>0</v>
      </c>
      <c r="AEO51" s="20" t="n">
        <f aca="false">(ALO50-UB51+0)*(1+BQ51)</f>
        <v>0</v>
      </c>
      <c r="AEP51" s="20" t="n">
        <f aca="false">(ALP50-UC51+0)*(1+BQ51)</f>
        <v>0</v>
      </c>
      <c r="AEQ51" s="20" t="n">
        <f aca="false">(ALQ50-UD51+0)*(1+BQ51)</f>
        <v>0</v>
      </c>
      <c r="AER51" s="20" t="n">
        <f aca="false">(ALR50-UE51+0)*(1+BQ51)</f>
        <v>0</v>
      </c>
      <c r="AES51" s="20" t="n">
        <f aca="false">(ALS50-UF51+0)*(1+BQ51)</f>
        <v>0</v>
      </c>
      <c r="AET51" s="20" t="n">
        <f aca="false">(ALT50-UG51+0)*(1+BQ51)</f>
        <v>0</v>
      </c>
      <c r="AEU51" s="20" t="n">
        <f aca="false">(ALU50-UH51+0)*(1+BQ51)</f>
        <v>0</v>
      </c>
      <c r="AEV51" s="20" t="n">
        <f aca="false">(ALV50-UI51+0)*(1+BQ51)</f>
        <v>0</v>
      </c>
      <c r="AEW51" s="20" t="n">
        <f aca="false">(ALW50-UJ51+0)*(1+BQ51)</f>
        <v>0</v>
      </c>
      <c r="AEX51" s="20" t="n">
        <f aca="false">(ALX50-UK51+0)*(1+BQ51)</f>
        <v>0</v>
      </c>
      <c r="AEY51" s="20" t="n">
        <f aca="false">(ALY50-UL51+0)*(1+BQ51)</f>
        <v>0</v>
      </c>
      <c r="AEZ51" s="20" t="n">
        <f aca="false">(ALZ50-UM51+0)*(1+BQ51)</f>
        <v>0</v>
      </c>
      <c r="AFA51" s="20" t="n">
        <f aca="false">(AMA50-UN51+0)*(1+BQ51)</f>
        <v>0</v>
      </c>
      <c r="AFB51" s="20" t="n">
        <f aca="false">(AMB50-UO51+0)*(1+BQ51)</f>
        <v>0</v>
      </c>
      <c r="AFC51" s="20" t="n">
        <f aca="false">(AMC50-UP51+0)*(1+BQ51)</f>
        <v>0</v>
      </c>
      <c r="AFD51" s="20" t="n">
        <f aca="false">(AMD50-UQ51+0)*(1+BQ51)</f>
        <v>0</v>
      </c>
      <c r="AFE51" s="20" t="n">
        <f aca="false">(AME50-UR51+0)*(1+BQ51)</f>
        <v>0</v>
      </c>
      <c r="AFF51" s="20" t="n">
        <f aca="false">(AMF50-US51+0)*(1+BQ51)</f>
        <v>0</v>
      </c>
      <c r="AFG51" s="20" t="n">
        <f aca="false">(AMG50-UT51+0)*(1+BQ51)</f>
        <v>0</v>
      </c>
      <c r="AFH51" s="20" t="n">
        <f aca="false">(AMH50-UU51+0)*(1+BQ51)</f>
        <v>0</v>
      </c>
      <c r="AFI51" s="20" t="n">
        <f aca="false">(AMI50-UV51+0)*(1+BQ51)</f>
        <v>0</v>
      </c>
      <c r="AFJ51" s="20" t="n">
        <f aca="false">((P51+S51)-UW51+BE51)*(1+BQ51)</f>
        <v>0</v>
      </c>
      <c r="AFK51" s="20" t="n">
        <v>0</v>
      </c>
      <c r="AFL51" s="20" t="n">
        <v>0</v>
      </c>
      <c r="AFM51" s="20" t="n">
        <v>0</v>
      </c>
      <c r="AFN51" s="20" t="n">
        <v>0</v>
      </c>
      <c r="AFO51" s="20" t="n">
        <v>0</v>
      </c>
      <c r="AFP51" s="20" t="n">
        <v>0</v>
      </c>
      <c r="AFQ51" s="20" t="n">
        <v>0</v>
      </c>
      <c r="AFR51" s="20" t="n">
        <v>0</v>
      </c>
      <c r="AFS51" s="20" t="n">
        <v>0</v>
      </c>
      <c r="AFT51" s="20" t="n">
        <v>0</v>
      </c>
      <c r="AFU51" s="20" t="n">
        <v>0</v>
      </c>
      <c r="AFV51" s="20" t="n">
        <v>0</v>
      </c>
      <c r="AFW51" s="20" t="n">
        <v>0</v>
      </c>
      <c r="AFX51" s="20" t="n">
        <v>0</v>
      </c>
      <c r="AFY51" s="20" t="n">
        <v>0</v>
      </c>
      <c r="AFZ51" s="20" t="n">
        <v>0</v>
      </c>
      <c r="AGA51" s="20" t="n">
        <v>0</v>
      </c>
      <c r="AGB51" s="20" t="n">
        <v>0</v>
      </c>
      <c r="AGC51" s="20" t="n">
        <v>0</v>
      </c>
      <c r="AGD51" s="20" t="n">
        <v>0</v>
      </c>
      <c r="AGE51" s="20" t="n">
        <v>0</v>
      </c>
      <c r="AGF51" s="20" t="n">
        <v>0</v>
      </c>
      <c r="AGG51" s="20" t="n">
        <v>0</v>
      </c>
      <c r="AGH51" s="20" t="n">
        <v>0</v>
      </c>
      <c r="AGI51" s="20" t="n">
        <v>0</v>
      </c>
      <c r="AGJ51" s="20" t="n">
        <v>0</v>
      </c>
      <c r="AGK51" s="20" t="n">
        <v>0</v>
      </c>
      <c r="AGL51" s="20" t="n">
        <v>0</v>
      </c>
      <c r="AGM51" s="20" t="n">
        <v>0</v>
      </c>
      <c r="AGN51" s="20" t="n">
        <v>0</v>
      </c>
      <c r="AGO51" s="20" t="n">
        <v>0</v>
      </c>
      <c r="AGP51" s="20" t="n">
        <v>0</v>
      </c>
      <c r="AGQ51" s="20" t="n">
        <v>0</v>
      </c>
      <c r="AGR51" s="20" t="n">
        <v>0</v>
      </c>
      <c r="AGS51" s="20" t="n">
        <v>0</v>
      </c>
      <c r="AGT51" s="20" t="n">
        <v>0</v>
      </c>
      <c r="AGU51" s="20" t="n">
        <v>0</v>
      </c>
      <c r="AGV51" s="20" t="n">
        <v>0</v>
      </c>
      <c r="AGW51" s="20" t="n">
        <v>0</v>
      </c>
      <c r="AGX51" s="20" t="n">
        <v>0</v>
      </c>
      <c r="AGY51" s="20" t="n">
        <v>0</v>
      </c>
      <c r="AGZ51" s="20" t="n">
        <v>0</v>
      </c>
      <c r="AHA51" s="20" t="n">
        <v>0</v>
      </c>
      <c r="AHB51" s="20" t="n">
        <v>0</v>
      </c>
      <c r="AHC51" s="20" t="n">
        <v>0</v>
      </c>
      <c r="AHD51" s="20" t="n">
        <v>0</v>
      </c>
      <c r="AHE51" s="20" t="n">
        <f aca="false">IF(AKR50&gt;0,AOE50-AOE50*TE51/AKR50,0)+0</f>
        <v>0</v>
      </c>
      <c r="AHF51" s="20" t="n">
        <f aca="false">IF(AKS50&gt;0,AOF50-AOF50*TF51/AKS50,0)+0</f>
        <v>0</v>
      </c>
      <c r="AHG51" s="20" t="n">
        <f aca="false">IF(AKT50&gt;0,AOG50-AOG50*TG51/AKT50,0)+0</f>
        <v>0</v>
      </c>
      <c r="AHH51" s="20" t="n">
        <f aca="false">IF(AKU50&gt;0,AOH50-AOH50*TH51/AKU50,0)+0</f>
        <v>0</v>
      </c>
      <c r="AHI51" s="20" t="n">
        <f aca="false">IF(AKV50&gt;0,AOI50-AOI50*TI51/AKV50,0)+0</f>
        <v>0</v>
      </c>
      <c r="AHJ51" s="20" t="n">
        <f aca="false">IF(AKW50&gt;0,AOJ50-AOJ50*TJ51/AKW50,0)+0</f>
        <v>0</v>
      </c>
      <c r="AHK51" s="20" t="n">
        <f aca="false">IF(AKX50&gt;0,AOK50-AOK50*TK51/AKX50,0)+0</f>
        <v>0</v>
      </c>
      <c r="AHL51" s="20" t="n">
        <f aca="false">IF(AKY50&gt;0,AOL50-AOL50*TL51/AKY50,0)+0</f>
        <v>0</v>
      </c>
      <c r="AHM51" s="20" t="n">
        <f aca="false">IF(AKZ50&gt;0,AOM50-AOM50*TM51/AKZ50,0)+0</f>
        <v>0</v>
      </c>
      <c r="AHN51" s="20" t="n">
        <f aca="false">IF(ALA50&gt;0,AON50-AON50*TN51/ALA50,0)+0</f>
        <v>0</v>
      </c>
      <c r="AHO51" s="20" t="n">
        <f aca="false">IF(ALB50&gt;0,AOO50-AOO50*TO51/ALB50,0)+0</f>
        <v>0</v>
      </c>
      <c r="AHP51" s="20" t="n">
        <f aca="false">IF(ALC50&gt;0,AOP50-AOP50*TP51/ALC50,0)+0</f>
        <v>0</v>
      </c>
      <c r="AHQ51" s="20" t="n">
        <f aca="false">IF(ALD50&gt;0,AOQ50-AOQ50*TQ51/ALD50,0)+0</f>
        <v>0</v>
      </c>
      <c r="AHR51" s="20" t="n">
        <f aca="false">IF(ALE50&gt;0,AOR50-AOR50*TR51/ALE50,0)+0</f>
        <v>0</v>
      </c>
      <c r="AHS51" s="20" t="n">
        <f aca="false">IF(ALF50&gt;0,AOS50-AOS50*TS51/ALF50,0)+0</f>
        <v>0</v>
      </c>
      <c r="AHT51" s="20" t="n">
        <f aca="false">IF(ALG50&gt;0,AOT50-AOT50*TT51/ALG50,0)+0</f>
        <v>0</v>
      </c>
      <c r="AHU51" s="20" t="n">
        <f aca="false">IF(ALH50&gt;0,AOU50-AOU50*TU51/ALH50,0)+0</f>
        <v>0</v>
      </c>
      <c r="AHV51" s="20" t="n">
        <f aca="false">IF(ALI50&gt;0,AOV50-AOV50*TV51/ALI50,0)+0</f>
        <v>0</v>
      </c>
      <c r="AHW51" s="20" t="n">
        <f aca="false">IF(ALJ50&gt;0,AOW50-AOW50*TW51/ALJ50,0)+0</f>
        <v>0</v>
      </c>
      <c r="AHX51" s="20" t="n">
        <f aca="false">IF(ALK50&gt;0,AOX50-AOX50*TX51/ALK50,0)+0</f>
        <v>0</v>
      </c>
      <c r="AHY51" s="20" t="n">
        <f aca="false">IF(ALL50&gt;0,AOY50-AOY50*TY51/ALL50,0)+0</f>
        <v>0</v>
      </c>
      <c r="AHZ51" s="20" t="n">
        <f aca="false">IF(ALM50&gt;0,AOZ50-AOZ50*TZ51/ALM50,0)+0</f>
        <v>0</v>
      </c>
      <c r="AIA51" s="20" t="n">
        <f aca="false">IF(ALN50&gt;0,APA50-APA50*UA51/ALN50,0)+0</f>
        <v>0</v>
      </c>
      <c r="AIB51" s="20" t="n">
        <f aca="false">IF(ALO50&gt;0,APB50-APB50*UB51/ALO50,0)+0</f>
        <v>0</v>
      </c>
      <c r="AIC51" s="20" t="n">
        <f aca="false">IF(ALP50&gt;0,APC50-APC50*UC51/ALP50,0)+0</f>
        <v>0</v>
      </c>
      <c r="AID51" s="20" t="n">
        <f aca="false">IF(ALQ50&gt;0,APD50-APD50*UD51/ALQ50,0)+0</f>
        <v>0</v>
      </c>
      <c r="AIE51" s="20" t="n">
        <f aca="false">IF(ALR50&gt;0,APE50-APE50*UE51/ALR50,0)+0</f>
        <v>0</v>
      </c>
      <c r="AIF51" s="20" t="n">
        <f aca="false">IF(ALS50&gt;0,APF50-APF50*UF51/ALS50,0)+0</f>
        <v>0</v>
      </c>
      <c r="AIG51" s="20" t="n">
        <f aca="false">IF(ALT50&gt;0,APG50-APG50*UG51/ALT50,0)+0</f>
        <v>0</v>
      </c>
      <c r="AIH51" s="20" t="n">
        <f aca="false">IF(ALU50&gt;0,APH50-APH50*UH51/ALU50,0)+0</f>
        <v>0</v>
      </c>
      <c r="AII51" s="20" t="n">
        <f aca="false">IF(ALV50&gt;0,API50-API50*UI51/ALV50,0)+0</f>
        <v>0</v>
      </c>
      <c r="AIJ51" s="20" t="n">
        <f aca="false">IF(ALW50&gt;0,APJ50-APJ50*UJ51/ALW50,0)+0</f>
        <v>0</v>
      </c>
      <c r="AIK51" s="20" t="n">
        <f aca="false">IF(ALX50&gt;0,APK50-APK50*UK51/ALX50,0)+0</f>
        <v>0</v>
      </c>
      <c r="AIL51" s="20" t="n">
        <f aca="false">IF(ALY50&gt;0,APL50-APL50*UL51/ALY50,0)+0</f>
        <v>0</v>
      </c>
      <c r="AIM51" s="20" t="n">
        <f aca="false">IF(ALZ50&gt;0,APM50-APM50*UM51/ALZ50,0)+0</f>
        <v>0</v>
      </c>
      <c r="AIN51" s="20" t="n">
        <f aca="false">IF(AMA50&gt;0,APN50-APN50*UN51/AMA50,0)+0</f>
        <v>0</v>
      </c>
      <c r="AIO51" s="20" t="n">
        <f aca="false">IF(AMB50&gt;0,APO50-APO50*UO51/AMB50,0)+0</f>
        <v>0</v>
      </c>
      <c r="AIP51" s="20" t="n">
        <f aca="false">IF(AMC50&gt;0,APP50-APP50*UP51/AMC50,0)+0</f>
        <v>0</v>
      </c>
      <c r="AIQ51" s="20" t="n">
        <f aca="false">IF(AMD50&gt;0,APQ50-APQ50*UQ51/AMD50,0)+0</f>
        <v>0</v>
      </c>
      <c r="AIR51" s="20" t="n">
        <f aca="false">IF(AME50&gt;0,APR50-APR50*UR51/AME50,0)+0</f>
        <v>0</v>
      </c>
      <c r="AIS51" s="20" t="n">
        <f aca="false">IF(AMF50&gt;0,APS50-APS50*US51/AMF50,0)+0</f>
        <v>0</v>
      </c>
      <c r="AIT51" s="20" t="n">
        <f aca="false">IF(AMG50&gt;0,APT50-APT50*UT51/AMG50,0)+0</f>
        <v>0</v>
      </c>
      <c r="AIU51" s="20" t="n">
        <f aca="false">IF(AMH50&gt;0,APU50-APU50*UU51/AMH50,0)+0</f>
        <v>0</v>
      </c>
      <c r="AIV51" s="20" t="n">
        <f aca="false">IF(AMI50&gt;0,APV50-APV50*UV51/AMI50,0)+0</f>
        <v>0</v>
      </c>
      <c r="AIW51" s="20" t="n">
        <f aca="false">IF((P51+S51)&gt;0,(P51+S51)-(P51+S51)*UW51/(P51+S51),0)+BE51</f>
        <v>0</v>
      </c>
      <c r="AIX51" s="20" t="n">
        <v>0</v>
      </c>
      <c r="AIY51" s="20" t="n">
        <v>0</v>
      </c>
      <c r="AIZ51" s="20" t="n">
        <v>0</v>
      </c>
      <c r="AJA51" s="20" t="n">
        <v>0</v>
      </c>
      <c r="AJB51" s="20" t="n">
        <v>0</v>
      </c>
      <c r="AJC51" s="20" t="n">
        <v>0</v>
      </c>
      <c r="AJD51" s="20" t="n">
        <v>0</v>
      </c>
      <c r="AJE51" s="20" t="n">
        <v>0</v>
      </c>
      <c r="AJF51" s="20" t="n">
        <v>0</v>
      </c>
      <c r="AJG51" s="20" t="n">
        <v>0</v>
      </c>
      <c r="AJH51" s="20" t="n">
        <v>0</v>
      </c>
      <c r="AJI51" s="20" t="n">
        <v>0</v>
      </c>
      <c r="AJJ51" s="20" t="n">
        <v>0</v>
      </c>
      <c r="AJK51" s="20" t="n">
        <v>0</v>
      </c>
      <c r="AJL51" s="20" t="n">
        <v>0</v>
      </c>
      <c r="AJM51" s="20" t="n">
        <v>0</v>
      </c>
      <c r="AJN51" s="20" t="n">
        <v>0</v>
      </c>
      <c r="AJO51" s="20" t="n">
        <v>0</v>
      </c>
      <c r="AJP51" s="20" t="n">
        <v>0</v>
      </c>
      <c r="AJQ51" s="20" t="n">
        <v>0</v>
      </c>
      <c r="AJR51" s="20" t="n">
        <v>0</v>
      </c>
      <c r="AJS51" s="20" t="n">
        <v>0</v>
      </c>
      <c r="AJT51" s="20" t="n">
        <v>0</v>
      </c>
      <c r="AJU51" s="20" t="n">
        <v>0</v>
      </c>
      <c r="AJV51" s="20" t="n">
        <v>0</v>
      </c>
      <c r="AJW51" s="20" t="n">
        <v>0</v>
      </c>
      <c r="AJX51" s="20" t="n">
        <v>0</v>
      </c>
      <c r="AJY51" s="20" t="n">
        <v>0</v>
      </c>
      <c r="AJZ51" s="20" t="n">
        <v>0</v>
      </c>
      <c r="AKA51" s="20" t="n">
        <v>0</v>
      </c>
      <c r="AKB51" s="20" t="n">
        <v>0</v>
      </c>
      <c r="AKC51" s="20" t="n">
        <v>0</v>
      </c>
      <c r="AKD51" s="20" t="n">
        <v>0</v>
      </c>
      <c r="AKE51" s="20" t="n">
        <v>0</v>
      </c>
      <c r="AKF51" s="20" t="n">
        <v>0</v>
      </c>
      <c r="AKG51" s="20" t="n">
        <v>0</v>
      </c>
      <c r="AKH51" s="20" t="n">
        <v>0</v>
      </c>
      <c r="AKI51" s="20" t="n">
        <v>0</v>
      </c>
      <c r="AKJ51" s="20" t="n">
        <v>0</v>
      </c>
      <c r="AKK51" s="20" t="n">
        <v>0</v>
      </c>
      <c r="AKL51" s="20" t="n">
        <v>0</v>
      </c>
      <c r="AKM51" s="20" t="n">
        <v>0</v>
      </c>
      <c r="AKN51" s="20" t="n">
        <v>0</v>
      </c>
      <c r="AKO51" s="20" t="n">
        <v>0</v>
      </c>
      <c r="AKP51" s="20" t="n">
        <v>0</v>
      </c>
      <c r="AKQ51" s="20" t="n">
        <v>0</v>
      </c>
      <c r="AKR51" s="20" t="n">
        <f aca="false">ADR51-AVE51</f>
        <v>0</v>
      </c>
      <c r="AKS51" s="20" t="n">
        <f aca="false">ADS51-AVF51</f>
        <v>0</v>
      </c>
      <c r="AKT51" s="20" t="n">
        <f aca="false">ADT51-AVG51</f>
        <v>0</v>
      </c>
      <c r="AKU51" s="20" t="n">
        <f aca="false">ADU51-AVH51</f>
        <v>0</v>
      </c>
      <c r="AKV51" s="20" t="n">
        <f aca="false">ADV51-AVI51</f>
        <v>0</v>
      </c>
      <c r="AKW51" s="20" t="n">
        <f aca="false">ADW51-AVJ51</f>
        <v>0</v>
      </c>
      <c r="AKX51" s="20" t="n">
        <f aca="false">ADX51-AVK51</f>
        <v>0</v>
      </c>
      <c r="AKY51" s="20" t="n">
        <f aca="false">ADY51-AVL51</f>
        <v>0</v>
      </c>
      <c r="AKZ51" s="20" t="n">
        <f aca="false">ADZ51-AVM51</f>
        <v>0</v>
      </c>
      <c r="ALA51" s="20" t="n">
        <f aca="false">AEA51-AVN51</f>
        <v>0</v>
      </c>
      <c r="ALB51" s="20" t="n">
        <f aca="false">AEB51-AVO51</f>
        <v>0</v>
      </c>
      <c r="ALC51" s="20" t="n">
        <f aca="false">AEC51-AVP51</f>
        <v>0</v>
      </c>
      <c r="ALD51" s="20" t="n">
        <f aca="false">AED51-AVQ51</f>
        <v>0</v>
      </c>
      <c r="ALE51" s="20" t="n">
        <f aca="false">AEE51-AVR51</f>
        <v>0</v>
      </c>
      <c r="ALF51" s="20" t="n">
        <f aca="false">AEF51-AVS51</f>
        <v>0</v>
      </c>
      <c r="ALG51" s="20" t="n">
        <f aca="false">AEG51-AVT51</f>
        <v>0</v>
      </c>
      <c r="ALH51" s="20" t="n">
        <f aca="false">AEH51-AVU51</f>
        <v>0</v>
      </c>
      <c r="ALI51" s="20" t="n">
        <f aca="false">AEI51-AVV51</f>
        <v>0</v>
      </c>
      <c r="ALJ51" s="20" t="n">
        <f aca="false">AEJ51-AVW51</f>
        <v>0</v>
      </c>
      <c r="ALK51" s="20" t="n">
        <f aca="false">AEK51-AVX51</f>
        <v>0</v>
      </c>
      <c r="ALL51" s="20" t="n">
        <f aca="false">AEL51-AVY51</f>
        <v>0</v>
      </c>
      <c r="ALM51" s="20" t="n">
        <f aca="false">AEM51-AVZ51</f>
        <v>0</v>
      </c>
      <c r="ALN51" s="20" t="n">
        <f aca="false">AEN51-AWA51</f>
        <v>0</v>
      </c>
      <c r="ALO51" s="20" t="n">
        <f aca="false">AEO51-AWB51</f>
        <v>0</v>
      </c>
      <c r="ALP51" s="20" t="n">
        <f aca="false">AEP51-AWC51</f>
        <v>0</v>
      </c>
      <c r="ALQ51" s="20" t="n">
        <f aca="false">AEQ51-AWD51</f>
        <v>0</v>
      </c>
      <c r="ALR51" s="20" t="n">
        <f aca="false">AER51-AWE51</f>
        <v>0</v>
      </c>
      <c r="ALS51" s="20" t="n">
        <f aca="false">AES51-AWF51</f>
        <v>0</v>
      </c>
      <c r="ALT51" s="20" t="n">
        <f aca="false">AET51-AWG51</f>
        <v>0</v>
      </c>
      <c r="ALU51" s="20" t="n">
        <f aca="false">AEU51-AWH51</f>
        <v>0</v>
      </c>
      <c r="ALV51" s="20" t="n">
        <f aca="false">AEV51-AWI51</f>
        <v>0</v>
      </c>
      <c r="ALW51" s="20" t="n">
        <f aca="false">AEW51-AWJ51</f>
        <v>0</v>
      </c>
      <c r="ALX51" s="20" t="n">
        <f aca="false">AEX51-AWK51</f>
        <v>0</v>
      </c>
      <c r="ALY51" s="20" t="n">
        <f aca="false">AEY51-AWL51</f>
        <v>0</v>
      </c>
      <c r="ALZ51" s="20" t="n">
        <f aca="false">AEZ51-AWM51</f>
        <v>0</v>
      </c>
      <c r="AMA51" s="20" t="n">
        <f aca="false">AFA51-AWN51</f>
        <v>0</v>
      </c>
      <c r="AMB51" s="20" t="n">
        <f aca="false">AFB51-AWO51</f>
        <v>0</v>
      </c>
      <c r="AMC51" s="20" t="n">
        <f aca="false">AFC51-AWP51</f>
        <v>0</v>
      </c>
      <c r="AMD51" s="20" t="n">
        <f aca="false">AFD51-AWQ51</f>
        <v>0</v>
      </c>
      <c r="AME51" s="20" t="n">
        <f aca="false">AFE51-AWR51</f>
        <v>0</v>
      </c>
      <c r="AMF51" s="20" t="n">
        <f aca="false">AFF51-AWS51</f>
        <v>0</v>
      </c>
      <c r="AMG51" s="20" t="n">
        <f aca="false">AFG51-AWT51</f>
        <v>0</v>
      </c>
      <c r="AMH51" s="20" t="n">
        <f aca="false">AFH51-AWU51</f>
        <v>0</v>
      </c>
      <c r="AMI51" s="20" t="n">
        <f aca="false">AFI51-AWV51</f>
        <v>0</v>
      </c>
      <c r="AMJ51" s="20" t="n">
        <f aca="false">AFJ51-AWW51</f>
        <v>0</v>
      </c>
      <c r="AMK51" s="20" t="n">
        <v>0</v>
      </c>
      <c r="AML51" s="20" t="n">
        <v>0</v>
      </c>
      <c r="AMM51" s="20" t="n">
        <v>0</v>
      </c>
      <c r="AMN51" s="20" t="n">
        <v>0</v>
      </c>
      <c r="AMO51" s="20" t="n">
        <v>0</v>
      </c>
      <c r="AMP51" s="20" t="n">
        <v>0</v>
      </c>
      <c r="AMQ51" s="20" t="n">
        <v>0</v>
      </c>
      <c r="AMR51" s="20" t="n">
        <v>0</v>
      </c>
      <c r="AMS51" s="20" t="n">
        <v>0</v>
      </c>
      <c r="AMT51" s="20" t="n">
        <v>0</v>
      </c>
      <c r="AMU51" s="20" t="n">
        <v>0</v>
      </c>
      <c r="AMV51" s="20" t="n">
        <v>0</v>
      </c>
      <c r="AMW51" s="20" t="n">
        <v>0</v>
      </c>
      <c r="AMX51" s="20" t="n">
        <v>0</v>
      </c>
      <c r="AMY51" s="20" t="n">
        <v>0</v>
      </c>
      <c r="AMZ51" s="20" t="n">
        <v>0</v>
      </c>
      <c r="ANA51" s="20" t="n">
        <v>0</v>
      </c>
      <c r="ANB51" s="20" t="n">
        <v>0</v>
      </c>
      <c r="ANC51" s="20" t="n">
        <v>0</v>
      </c>
      <c r="AND51" s="20" t="n">
        <v>0</v>
      </c>
      <c r="ANE51" s="20" t="n">
        <v>0</v>
      </c>
      <c r="ANF51" s="20" t="n">
        <v>0</v>
      </c>
      <c r="ANG51" s="20" t="n">
        <v>0</v>
      </c>
      <c r="ANH51" s="20" t="n">
        <v>0</v>
      </c>
      <c r="ANI51" s="20" t="n">
        <v>0</v>
      </c>
      <c r="ANJ51" s="20" t="n">
        <v>0</v>
      </c>
      <c r="ANK51" s="20" t="n">
        <v>0</v>
      </c>
      <c r="ANL51" s="20" t="n">
        <v>0</v>
      </c>
      <c r="ANM51" s="20" t="n">
        <v>0</v>
      </c>
      <c r="ANN51" s="20" t="n">
        <v>0</v>
      </c>
      <c r="ANO51" s="20" t="n">
        <v>0</v>
      </c>
      <c r="ANP51" s="20" t="n">
        <v>0</v>
      </c>
      <c r="ANQ51" s="20" t="n">
        <v>0</v>
      </c>
      <c r="ANR51" s="20" t="n">
        <v>0</v>
      </c>
      <c r="ANS51" s="20" t="n">
        <v>0</v>
      </c>
      <c r="ANT51" s="20" t="n">
        <v>0</v>
      </c>
      <c r="ANU51" s="20" t="n">
        <v>0</v>
      </c>
      <c r="ANV51" s="20" t="n">
        <v>0</v>
      </c>
      <c r="ANW51" s="20" t="n">
        <v>0</v>
      </c>
      <c r="ANX51" s="20" t="n">
        <v>0</v>
      </c>
      <c r="ANY51" s="20" t="n">
        <v>0</v>
      </c>
      <c r="ANZ51" s="20" t="n">
        <v>0</v>
      </c>
      <c r="AOA51" s="20" t="n">
        <v>0</v>
      </c>
      <c r="AOB51" s="20" t="n">
        <v>0</v>
      </c>
      <c r="AOC51" s="20" t="n">
        <v>0</v>
      </c>
      <c r="AOD51" s="20" t="n">
        <v>0</v>
      </c>
      <c r="AOE51" s="20" t="n">
        <f aca="false">IF(AND(H_Direct=0,H_TaxEvt=1,ARR50+1&gt;=H_Deemed),AKR51,AHE51)</f>
        <v>0</v>
      </c>
      <c r="AOF51" s="20" t="n">
        <f aca="false">IF(AND(H_Direct=0,H_TaxEvt=1,ARS50+1&gt;=H_Deemed),AKS51,AHF51)</f>
        <v>0</v>
      </c>
      <c r="AOG51" s="20" t="n">
        <f aca="false">IF(AND(H_Direct=0,H_TaxEvt=1,ART50+1&gt;=H_Deemed),AKT51,AHG51)</f>
        <v>0</v>
      </c>
      <c r="AOH51" s="20" t="n">
        <f aca="false">IF(AND(H_Direct=0,H_TaxEvt=1,ARU50+1&gt;=H_Deemed),AKU51,AHH51)</f>
        <v>0</v>
      </c>
      <c r="AOI51" s="20" t="n">
        <f aca="false">IF(AND(H_Direct=0,H_TaxEvt=1,ARV50+1&gt;=H_Deemed),AKV51,AHI51)</f>
        <v>0</v>
      </c>
      <c r="AOJ51" s="20" t="n">
        <f aca="false">IF(AND(H_Direct=0,H_TaxEvt=1,ARW50+1&gt;=H_Deemed),AKW51,AHJ51)</f>
        <v>0</v>
      </c>
      <c r="AOK51" s="20" t="n">
        <f aca="false">IF(AND(H_Direct=0,H_TaxEvt=1,ARX50+1&gt;=H_Deemed),AKX51,AHK51)</f>
        <v>0</v>
      </c>
      <c r="AOL51" s="20" t="n">
        <f aca="false">IF(AND(H_Direct=0,H_TaxEvt=1,ARY50+1&gt;=H_Deemed),AKY51,AHL51)</f>
        <v>0</v>
      </c>
      <c r="AOM51" s="20" t="n">
        <f aca="false">IF(AND(H_Direct=0,H_TaxEvt=1,ARZ50+1&gt;=H_Deemed),AKZ51,AHM51)</f>
        <v>0</v>
      </c>
      <c r="AON51" s="20" t="n">
        <f aca="false">IF(AND(H_Direct=0,H_TaxEvt=1,ASA50+1&gt;=H_Deemed),ALA51,AHN51)</f>
        <v>0</v>
      </c>
      <c r="AOO51" s="20" t="n">
        <f aca="false">IF(AND(H_Direct=0,H_TaxEvt=1,ASB50+1&gt;=H_Deemed),ALB51,AHO51)</f>
        <v>0</v>
      </c>
      <c r="AOP51" s="20" t="n">
        <f aca="false">IF(AND(H_Direct=0,H_TaxEvt=1,ASC50+1&gt;=H_Deemed),ALC51,AHP51)</f>
        <v>0</v>
      </c>
      <c r="AOQ51" s="20" t="n">
        <f aca="false">IF(AND(H_Direct=0,H_TaxEvt=1,ASD50+1&gt;=H_Deemed),ALD51,AHQ51)</f>
        <v>0</v>
      </c>
      <c r="AOR51" s="20" t="n">
        <f aca="false">IF(AND(H_Direct=0,H_TaxEvt=1,ASE50+1&gt;=H_Deemed),ALE51,AHR51)</f>
        <v>0</v>
      </c>
      <c r="AOS51" s="20" t="n">
        <f aca="false">IF(AND(H_Direct=0,H_TaxEvt=1,ASF50+1&gt;=H_Deemed),ALF51,AHS51)</f>
        <v>0</v>
      </c>
      <c r="AOT51" s="20" t="n">
        <f aca="false">IF(AND(H_Direct=0,H_TaxEvt=1,ASG50+1&gt;=H_Deemed),ALG51,AHT51)</f>
        <v>0</v>
      </c>
      <c r="AOU51" s="20" t="n">
        <f aca="false">IF(AND(H_Direct=0,H_TaxEvt=1,ASH50+1&gt;=H_Deemed),ALH51,AHU51)</f>
        <v>0</v>
      </c>
      <c r="AOV51" s="20" t="n">
        <f aca="false">IF(AND(H_Direct=0,H_TaxEvt=1,ASI50+1&gt;=H_Deemed),ALI51,AHV51)</f>
        <v>0</v>
      </c>
      <c r="AOW51" s="20" t="n">
        <f aca="false">IF(AND(H_Direct=0,H_TaxEvt=1,ASJ50+1&gt;=H_Deemed),ALJ51,AHW51)</f>
        <v>0</v>
      </c>
      <c r="AOX51" s="20" t="n">
        <f aca="false">IF(AND(H_Direct=0,H_TaxEvt=1,ASK50+1&gt;=H_Deemed),ALK51,AHX51)</f>
        <v>0</v>
      </c>
      <c r="AOY51" s="20" t="n">
        <f aca="false">IF(AND(H_Direct=0,H_TaxEvt=1,ASL50+1&gt;=H_Deemed),ALL51,AHY51)</f>
        <v>0</v>
      </c>
      <c r="AOZ51" s="20" t="n">
        <f aca="false">IF(AND(H_Direct=0,H_TaxEvt=1,ASM50+1&gt;=H_Deemed),ALM51,AHZ51)</f>
        <v>0</v>
      </c>
      <c r="APA51" s="20" t="n">
        <f aca="false">IF(AND(H_Direct=0,H_TaxEvt=1,ASN50+1&gt;=H_Deemed),ALN51,AIA51)</f>
        <v>0</v>
      </c>
      <c r="APB51" s="20" t="n">
        <f aca="false">IF(AND(H_Direct=0,H_TaxEvt=1,ASO50+1&gt;=H_Deemed),ALO51,AIB51)</f>
        <v>0</v>
      </c>
      <c r="APC51" s="20" t="n">
        <f aca="false">IF(AND(H_Direct=0,H_TaxEvt=1,ASP50+1&gt;=H_Deemed),ALP51,AIC51)</f>
        <v>0</v>
      </c>
      <c r="APD51" s="20" t="n">
        <f aca="false">IF(AND(H_Direct=0,H_TaxEvt=1,ASQ50+1&gt;=H_Deemed),ALQ51,AID51)</f>
        <v>0</v>
      </c>
      <c r="APE51" s="20" t="n">
        <f aca="false">IF(AND(H_Direct=0,H_TaxEvt=1,ASR50+1&gt;=H_Deemed),ALR51,AIE51)</f>
        <v>0</v>
      </c>
      <c r="APF51" s="20" t="n">
        <f aca="false">IF(AND(H_Direct=0,H_TaxEvt=1,ASS50+1&gt;=H_Deemed),ALS51,AIF51)</f>
        <v>0</v>
      </c>
      <c r="APG51" s="20" t="n">
        <f aca="false">IF(AND(H_Direct=0,H_TaxEvt=1,AST50+1&gt;=H_Deemed),ALT51,AIG51)</f>
        <v>0</v>
      </c>
      <c r="APH51" s="20" t="n">
        <f aca="false">IF(AND(H_Direct=0,H_TaxEvt=1,ASU50+1&gt;=H_Deemed),ALU51,AIH51)</f>
        <v>0</v>
      </c>
      <c r="API51" s="20" t="n">
        <f aca="false">IF(AND(H_Direct=0,H_TaxEvt=1,ASV50+1&gt;=H_Deemed),ALV51,AII51)</f>
        <v>0</v>
      </c>
      <c r="APJ51" s="20" t="n">
        <f aca="false">IF(AND(H_Direct=0,H_TaxEvt=1,ASW50+1&gt;=H_Deemed),ALW51,AIJ51)</f>
        <v>0</v>
      </c>
      <c r="APK51" s="20" t="n">
        <f aca="false">IF(AND(H_Direct=0,H_TaxEvt=1,ASX50+1&gt;=H_Deemed),ALX51,AIK51)</f>
        <v>0</v>
      </c>
      <c r="APL51" s="20" t="n">
        <f aca="false">IF(AND(H_Direct=0,H_TaxEvt=1,ASY50+1&gt;=H_Deemed),ALY51,AIL51)</f>
        <v>0</v>
      </c>
      <c r="APM51" s="20" t="n">
        <f aca="false">IF(AND(H_Direct=0,H_TaxEvt=1,ASZ50+1&gt;=H_Deemed),ALZ51,AIM51)</f>
        <v>0</v>
      </c>
      <c r="APN51" s="20" t="n">
        <f aca="false">IF(AND(H_Direct=0,H_TaxEvt=1,ATA50+1&gt;=H_Deemed),AMA51,AIN51)</f>
        <v>0</v>
      </c>
      <c r="APO51" s="20" t="n">
        <f aca="false">IF(AND(H_Direct=0,H_TaxEvt=1,ATB50+1&gt;=H_Deemed),AMB51,AIO51)</f>
        <v>0</v>
      </c>
      <c r="APP51" s="20" t="n">
        <f aca="false">IF(AND(H_Direct=0,H_TaxEvt=1,ATC50+1&gt;=H_Deemed),AMC51,AIP51)</f>
        <v>0</v>
      </c>
      <c r="APQ51" s="20" t="n">
        <f aca="false">IF(AND(H_Direct=0,H_TaxEvt=1,ATD50+1&gt;=H_Deemed),AMD51,AIQ51)</f>
        <v>0</v>
      </c>
      <c r="APR51" s="20" t="n">
        <f aca="false">IF(AND(H_Direct=0,H_TaxEvt=1,ATE50+1&gt;=H_Deemed),AME51,AIR51)</f>
        <v>0</v>
      </c>
      <c r="APS51" s="20" t="n">
        <f aca="false">IF(AND(H_Direct=0,H_TaxEvt=1,ATF50+1&gt;=H_Deemed),AMF51,AIS51)</f>
        <v>0</v>
      </c>
      <c r="APT51" s="20" t="n">
        <f aca="false">IF(AND(H_Direct=0,H_TaxEvt=1,ATG50+1&gt;=H_Deemed),AMG51,AIT51)</f>
        <v>0</v>
      </c>
      <c r="APU51" s="20" t="n">
        <f aca="false">IF(AND(H_Direct=0,H_TaxEvt=1,ATH50+1&gt;=H_Deemed),AMH51,AIU51)</f>
        <v>0</v>
      </c>
      <c r="APV51" s="20" t="n">
        <f aca="false">IF(AND(H_Direct=0,H_TaxEvt=1,ATI50+1&gt;=H_Deemed),AMI51,AIV51)</f>
        <v>0</v>
      </c>
      <c r="APW51" s="20" t="n">
        <f aca="false">IF(AND(H_Direct=0,H_TaxEvt=1,0+1&gt;=H_Deemed),AMJ51,AIW51)</f>
        <v>0</v>
      </c>
      <c r="APX51" s="20" t="n">
        <v>0</v>
      </c>
      <c r="APY51" s="20" t="n">
        <v>0</v>
      </c>
      <c r="APZ51" s="20" t="n">
        <v>0</v>
      </c>
      <c r="AQA51" s="20" t="n">
        <v>0</v>
      </c>
      <c r="AQB51" s="20" t="n">
        <v>0</v>
      </c>
      <c r="AQC51" s="20" t="n">
        <v>0</v>
      </c>
      <c r="AQD51" s="20" t="n">
        <v>0</v>
      </c>
      <c r="AQE51" s="20" t="n">
        <v>0</v>
      </c>
      <c r="AQF51" s="20" t="n">
        <v>0</v>
      </c>
      <c r="AQG51" s="20" t="n">
        <v>0</v>
      </c>
      <c r="AQH51" s="20" t="n">
        <v>0</v>
      </c>
      <c r="AQI51" s="20" t="n">
        <v>0</v>
      </c>
      <c r="AQJ51" s="20" t="n">
        <v>0</v>
      </c>
      <c r="AQK51" s="20" t="n">
        <v>0</v>
      </c>
      <c r="AQL51" s="20" t="n">
        <v>0</v>
      </c>
      <c r="AQM51" s="20" t="n">
        <v>0</v>
      </c>
      <c r="AQN51" s="20" t="n">
        <v>0</v>
      </c>
      <c r="AQO51" s="20" t="n">
        <v>0</v>
      </c>
      <c r="AQP51" s="20" t="n">
        <v>0</v>
      </c>
      <c r="AQQ51" s="20" t="n">
        <v>0</v>
      </c>
      <c r="AQR51" s="20" t="n">
        <v>0</v>
      </c>
      <c r="AQS51" s="20" t="n">
        <v>0</v>
      </c>
      <c r="AQT51" s="20" t="n">
        <v>0</v>
      </c>
      <c r="AQU51" s="20" t="n">
        <v>0</v>
      </c>
      <c r="AQV51" s="20" t="n">
        <v>0</v>
      </c>
      <c r="AQW51" s="20" t="n">
        <v>0</v>
      </c>
      <c r="AQX51" s="20" t="n">
        <v>0</v>
      </c>
      <c r="AQY51" s="20" t="n">
        <v>0</v>
      </c>
      <c r="AQZ51" s="20" t="n">
        <v>0</v>
      </c>
      <c r="ARA51" s="20" t="n">
        <v>0</v>
      </c>
      <c r="ARB51" s="20" t="n">
        <v>0</v>
      </c>
      <c r="ARC51" s="20" t="n">
        <v>0</v>
      </c>
      <c r="ARD51" s="20" t="n">
        <v>0</v>
      </c>
      <c r="ARE51" s="20" t="n">
        <v>0</v>
      </c>
      <c r="ARF51" s="20" t="n">
        <v>0</v>
      </c>
      <c r="ARG51" s="20" t="n">
        <v>0</v>
      </c>
      <c r="ARH51" s="20" t="n">
        <v>0</v>
      </c>
      <c r="ARI51" s="20" t="n">
        <v>0</v>
      </c>
      <c r="ARJ51" s="20" t="n">
        <v>0</v>
      </c>
      <c r="ARK51" s="20" t="n">
        <v>0</v>
      </c>
      <c r="ARL51" s="20" t="n">
        <v>0</v>
      </c>
      <c r="ARM51" s="20" t="n">
        <v>0</v>
      </c>
      <c r="ARN51" s="20" t="n">
        <v>0</v>
      </c>
      <c r="ARO51" s="20" t="n">
        <v>0</v>
      </c>
      <c r="ARP51" s="20" t="n">
        <v>0</v>
      </c>
      <c r="ARQ51" s="20" t="n">
        <v>0</v>
      </c>
      <c r="ARR51" s="20" t="n">
        <f aca="false">IF(AND(H_Direct=0,H_TaxEvt=1),IF(ARR50+1&gt;=H_Deemed,0,ARR50+1),ARR50)</f>
        <v>4</v>
      </c>
      <c r="ARS51" s="20" t="n">
        <f aca="false">IF(AND(H_Direct=0,H_TaxEvt=1),IF(ARS50+1&gt;=H_Deemed,0,ARS50+1),ARS50)</f>
        <v>4</v>
      </c>
      <c r="ART51" s="20" t="n">
        <f aca="false">IF(AND(H_Direct=0,H_TaxEvt=1),IF(ART50+1&gt;=H_Deemed,0,ART50+1),ART50)</f>
        <v>3</v>
      </c>
      <c r="ARU51" s="20" t="n">
        <f aca="false">IF(AND(H_Direct=0,H_TaxEvt=1),IF(ARU50+1&gt;=H_Deemed,0,ARU50+1),ARU50)</f>
        <v>2</v>
      </c>
      <c r="ARV51" s="20" t="n">
        <f aca="false">IF(AND(H_Direct=0,H_TaxEvt=1),IF(ARV50+1&gt;=H_Deemed,0,ARV50+1),ARV50)</f>
        <v>1</v>
      </c>
      <c r="ARW51" s="20" t="n">
        <f aca="false">IF(AND(H_Direct=0,H_TaxEvt=1),IF(ARW50+1&gt;=H_Deemed,0,ARW50+1),ARW50)</f>
        <v>0</v>
      </c>
      <c r="ARX51" s="20" t="n">
        <f aca="false">IF(AND(H_Direct=0,H_TaxEvt=1),IF(ARX50+1&gt;=H_Deemed,0,ARX50+1),ARX50)</f>
        <v>7</v>
      </c>
      <c r="ARY51" s="20" t="n">
        <f aca="false">IF(AND(H_Direct=0,H_TaxEvt=1),IF(ARY50+1&gt;=H_Deemed,0,ARY50+1),ARY50)</f>
        <v>6</v>
      </c>
      <c r="ARZ51" s="20" t="n">
        <f aca="false">IF(AND(H_Direct=0,H_TaxEvt=1),IF(ARZ50+1&gt;=H_Deemed,0,ARZ50+1),ARZ50)</f>
        <v>5</v>
      </c>
      <c r="ASA51" s="20" t="n">
        <f aca="false">IF(AND(H_Direct=0,H_TaxEvt=1),IF(ASA50+1&gt;=H_Deemed,0,ASA50+1),ASA50)</f>
        <v>4</v>
      </c>
      <c r="ASB51" s="20" t="n">
        <f aca="false">IF(AND(H_Direct=0,H_TaxEvt=1),IF(ASB50+1&gt;=H_Deemed,0,ASB50+1),ASB50)</f>
        <v>3</v>
      </c>
      <c r="ASC51" s="20" t="n">
        <f aca="false">IF(AND(H_Direct=0,H_TaxEvt=1),IF(ASC50+1&gt;=H_Deemed,0,ASC50+1),ASC50)</f>
        <v>2</v>
      </c>
      <c r="ASD51" s="20" t="n">
        <f aca="false">IF(AND(H_Direct=0,H_TaxEvt=1),IF(ASD50+1&gt;=H_Deemed,0,ASD50+1),ASD50)</f>
        <v>1</v>
      </c>
      <c r="ASE51" s="20" t="n">
        <f aca="false">IF(AND(H_Direct=0,H_TaxEvt=1),IF(ASE50+1&gt;=H_Deemed,0,ASE50+1),ASE50)</f>
        <v>0</v>
      </c>
      <c r="ASF51" s="20" t="n">
        <f aca="false">IF(AND(H_Direct=0,H_TaxEvt=1),IF(ASF50+1&gt;=H_Deemed,0,ASF50+1),ASF50)</f>
        <v>7</v>
      </c>
      <c r="ASG51" s="20" t="n">
        <f aca="false">IF(AND(H_Direct=0,H_TaxEvt=1),IF(ASG50+1&gt;=H_Deemed,0,ASG50+1),ASG50)</f>
        <v>6</v>
      </c>
      <c r="ASH51" s="20" t="n">
        <f aca="false">IF(AND(H_Direct=0,H_TaxEvt=1),IF(ASH50+1&gt;=H_Deemed,0,ASH50+1),ASH50)</f>
        <v>5</v>
      </c>
      <c r="ASI51" s="20" t="n">
        <f aca="false">IF(AND(H_Direct=0,H_TaxEvt=1),IF(ASI50+1&gt;=H_Deemed,0,ASI50+1),ASI50)</f>
        <v>4</v>
      </c>
      <c r="ASJ51" s="20" t="n">
        <f aca="false">IF(AND(H_Direct=0,H_TaxEvt=1),IF(ASJ50+1&gt;=H_Deemed,0,ASJ50+1),ASJ50)</f>
        <v>3</v>
      </c>
      <c r="ASK51" s="20" t="n">
        <f aca="false">IF(AND(H_Direct=0,H_TaxEvt=1),IF(ASK50+1&gt;=H_Deemed,0,ASK50+1),ASK50)</f>
        <v>2</v>
      </c>
      <c r="ASL51" s="20" t="n">
        <f aca="false">IF(AND(H_Direct=0,H_TaxEvt=1),IF(ASL50+1&gt;=H_Deemed,0,ASL50+1),ASL50)</f>
        <v>1</v>
      </c>
      <c r="ASM51" s="20" t="n">
        <f aca="false">IF(AND(H_Direct=0,H_TaxEvt=1),IF(ASM50+1&gt;=H_Deemed,0,ASM50+1),ASM50)</f>
        <v>0</v>
      </c>
      <c r="ASN51" s="20" t="n">
        <f aca="false">IF(AND(H_Direct=0,H_TaxEvt=1),IF(ASN50+1&gt;=H_Deemed,0,ASN50+1),ASN50)</f>
        <v>7</v>
      </c>
      <c r="ASO51" s="20" t="n">
        <f aca="false">IF(AND(H_Direct=0,H_TaxEvt=1),IF(ASO50+1&gt;=H_Deemed,0,ASO50+1),ASO50)</f>
        <v>6</v>
      </c>
      <c r="ASP51" s="20" t="n">
        <f aca="false">IF(AND(H_Direct=0,H_TaxEvt=1),IF(ASP50+1&gt;=H_Deemed,0,ASP50+1),ASP50)</f>
        <v>5</v>
      </c>
      <c r="ASQ51" s="20" t="n">
        <f aca="false">IF(AND(H_Direct=0,H_TaxEvt=1),IF(ASQ50+1&gt;=H_Deemed,0,ASQ50+1),ASQ50)</f>
        <v>4</v>
      </c>
      <c r="ASR51" s="20" t="n">
        <f aca="false">IF(AND(H_Direct=0,H_TaxEvt=1),IF(ASR50+1&gt;=H_Deemed,0,ASR50+1),ASR50)</f>
        <v>3</v>
      </c>
      <c r="ASS51" s="20" t="n">
        <f aca="false">IF(AND(H_Direct=0,H_TaxEvt=1),IF(ASS50+1&gt;=H_Deemed,0,ASS50+1),ASS50)</f>
        <v>2</v>
      </c>
      <c r="AST51" s="20" t="n">
        <f aca="false">IF(AND(H_Direct=0,H_TaxEvt=1),IF(AST50+1&gt;=H_Deemed,0,AST50+1),AST50)</f>
        <v>1</v>
      </c>
      <c r="ASU51" s="20" t="n">
        <f aca="false">IF(AND(H_Direct=0,H_TaxEvt=1),IF(ASU50+1&gt;=H_Deemed,0,ASU50+1),ASU50)</f>
        <v>0</v>
      </c>
      <c r="ASV51" s="20" t="n">
        <f aca="false">IF(AND(H_Direct=0,H_TaxEvt=1),IF(ASV50+1&gt;=H_Deemed,0,ASV50+1),ASV50)</f>
        <v>7</v>
      </c>
      <c r="ASW51" s="20" t="n">
        <f aca="false">IF(AND(H_Direct=0,H_TaxEvt=1),IF(ASW50+1&gt;=H_Deemed,0,ASW50+1),ASW50)</f>
        <v>6</v>
      </c>
      <c r="ASX51" s="20" t="n">
        <f aca="false">IF(AND(H_Direct=0,H_TaxEvt=1),IF(ASX50+1&gt;=H_Deemed,0,ASX50+1),ASX50)</f>
        <v>5</v>
      </c>
      <c r="ASY51" s="20" t="n">
        <f aca="false">IF(AND(H_Direct=0,H_TaxEvt=1),IF(ASY50+1&gt;=H_Deemed,0,ASY50+1),ASY50)</f>
        <v>4</v>
      </c>
      <c r="ASZ51" s="20" t="n">
        <f aca="false">IF(AND(H_Direct=0,H_TaxEvt=1),IF(ASZ50+1&gt;=H_Deemed,0,ASZ50+1),ASZ50)</f>
        <v>3</v>
      </c>
      <c r="ATA51" s="20" t="n">
        <f aca="false">IF(AND(H_Direct=0,H_TaxEvt=1),IF(ATA50+1&gt;=H_Deemed,0,ATA50+1),ATA50)</f>
        <v>2</v>
      </c>
      <c r="ATB51" s="20" t="n">
        <f aca="false">IF(AND(H_Direct=0,H_TaxEvt=1),IF(ATB50+1&gt;=H_Deemed,0,ATB50+1),ATB50)</f>
        <v>1</v>
      </c>
      <c r="ATC51" s="20" t="n">
        <f aca="false">IF(AND(H_Direct=0,H_TaxEvt=1),IF(ATC50+1&gt;=H_Deemed,0,ATC50+1),ATC50)</f>
        <v>0</v>
      </c>
      <c r="ATD51" s="20" t="n">
        <f aca="false">IF(AND(H_Direct=0,H_TaxEvt=1),IF(ATD50+1&gt;=H_Deemed,0,ATD50+1),ATD50)</f>
        <v>7</v>
      </c>
      <c r="ATE51" s="20" t="n">
        <f aca="false">IF(AND(H_Direct=0,H_TaxEvt=1),IF(ATE50+1&gt;=H_Deemed,0,ATE50+1),ATE50)</f>
        <v>6</v>
      </c>
      <c r="ATF51" s="20" t="n">
        <f aca="false">IF(AND(H_Direct=0,H_TaxEvt=1),IF(ATF50+1&gt;=H_Deemed,0,ATF50+1),ATF50)</f>
        <v>5</v>
      </c>
      <c r="ATG51" s="20" t="n">
        <f aca="false">IF(AND(H_Direct=0,H_TaxEvt=1),IF(ATG50+1&gt;=H_Deemed,0,ATG50+1),ATG50)</f>
        <v>4</v>
      </c>
      <c r="ATH51" s="20" t="n">
        <f aca="false">IF(AND(H_Direct=0,H_TaxEvt=1),IF(ATH50+1&gt;=H_Deemed,0,ATH50+1),ATH50)</f>
        <v>3</v>
      </c>
      <c r="ATI51" s="20" t="n">
        <f aca="false">IF(AND(H_Direct=0,H_TaxEvt=1),IF(ATI50+1&gt;=H_Deemed,0,ATI50+1),ATI50)</f>
        <v>2</v>
      </c>
      <c r="ATJ51" s="20" t="n">
        <f aca="false">IF(AND(H_Direct=0,H_TaxEvt=1),IF(0+1&gt;=H_Deemed,0,0+1),0)</f>
        <v>1</v>
      </c>
      <c r="ATK51" s="20" t="n">
        <v>0</v>
      </c>
      <c r="ATL51" s="20" t="n">
        <v>0</v>
      </c>
      <c r="ATM51" s="20" t="n">
        <v>0</v>
      </c>
      <c r="ATN51" s="20" t="n">
        <v>0</v>
      </c>
      <c r="ATO51" s="20" t="n">
        <v>0</v>
      </c>
      <c r="ATP51" s="20" t="n">
        <v>0</v>
      </c>
      <c r="ATQ51" s="20" t="n">
        <v>0</v>
      </c>
      <c r="ATR51" s="20" t="n">
        <v>0</v>
      </c>
      <c r="ATS51" s="20" t="n">
        <v>0</v>
      </c>
      <c r="ATT51" s="20" t="n">
        <v>0</v>
      </c>
      <c r="ATU51" s="20" t="n">
        <v>0</v>
      </c>
      <c r="ATV51" s="20" t="n">
        <v>0</v>
      </c>
      <c r="ATW51" s="20" t="n">
        <v>0</v>
      </c>
      <c r="ATX51" s="20" t="n">
        <v>0</v>
      </c>
      <c r="ATY51" s="20" t="n">
        <v>0</v>
      </c>
      <c r="ATZ51" s="20" t="n">
        <v>0</v>
      </c>
      <c r="AUA51" s="20" t="n">
        <v>0</v>
      </c>
      <c r="AUB51" s="20" t="n">
        <v>0</v>
      </c>
      <c r="AUC51" s="20" t="n">
        <v>0</v>
      </c>
      <c r="AUD51" s="20" t="n">
        <v>0</v>
      </c>
      <c r="AUE51" s="20" t="n">
        <v>0</v>
      </c>
      <c r="AUF51" s="20" t="n">
        <v>0</v>
      </c>
      <c r="AUG51" s="20" t="n">
        <v>0</v>
      </c>
      <c r="AUH51" s="20" t="n">
        <v>0</v>
      </c>
      <c r="AUI51" s="20" t="n">
        <v>0</v>
      </c>
      <c r="AUJ51" s="20" t="n">
        <v>0</v>
      </c>
      <c r="AUK51" s="20" t="n">
        <v>0</v>
      </c>
      <c r="AUL51" s="20" t="n">
        <v>0</v>
      </c>
      <c r="AUM51" s="20" t="n">
        <v>0</v>
      </c>
      <c r="AUN51" s="20" t="n">
        <v>0</v>
      </c>
      <c r="AUO51" s="20" t="n">
        <v>0</v>
      </c>
      <c r="AUP51" s="20" t="n">
        <v>0</v>
      </c>
      <c r="AUQ51" s="20" t="n">
        <v>0</v>
      </c>
      <c r="AUR51" s="20" t="n">
        <v>0</v>
      </c>
      <c r="AUS51" s="20" t="n">
        <v>0</v>
      </c>
      <c r="AUT51" s="20" t="n">
        <v>0</v>
      </c>
      <c r="AUU51" s="20" t="n">
        <v>0</v>
      </c>
      <c r="AUV51" s="20" t="n">
        <v>0</v>
      </c>
      <c r="AUW51" s="20" t="n">
        <v>0</v>
      </c>
      <c r="AUX51" s="20" t="n">
        <v>0</v>
      </c>
      <c r="AUY51" s="20" t="n">
        <v>0</v>
      </c>
      <c r="AUZ51" s="20" t="n">
        <v>0</v>
      </c>
      <c r="AVA51" s="20" t="n">
        <v>0</v>
      </c>
      <c r="AVB51" s="20" t="n">
        <v>0</v>
      </c>
      <c r="AVC51" s="20" t="n">
        <v>0</v>
      </c>
      <c r="AVD51" s="20" t="n">
        <v>0</v>
      </c>
      <c r="AVE51" s="20" t="n">
        <f aca="false">IF(AND(H_Direct=0,H_TaxEvt=1,ARR50+1&gt;=H_Deemed),MAX(0,ADR51-AHE51)*H_Exit,0)</f>
        <v>0</v>
      </c>
      <c r="AVF51" s="20" t="n">
        <f aca="false">IF(AND(H_Direct=0,H_TaxEvt=1,ARS50+1&gt;=H_Deemed),MAX(0,ADS51-AHF51)*H_Exit,0)</f>
        <v>0</v>
      </c>
      <c r="AVG51" s="20" t="n">
        <f aca="false">IF(AND(H_Direct=0,H_TaxEvt=1,ART50+1&gt;=H_Deemed),MAX(0,ADT51-AHG51)*H_Exit,0)</f>
        <v>0</v>
      </c>
      <c r="AVH51" s="20" t="n">
        <f aca="false">IF(AND(H_Direct=0,H_TaxEvt=1,ARU50+1&gt;=H_Deemed),MAX(0,ADU51-AHH51)*H_Exit,0)</f>
        <v>0</v>
      </c>
      <c r="AVI51" s="20" t="n">
        <f aca="false">IF(AND(H_Direct=0,H_TaxEvt=1,ARV50+1&gt;=H_Deemed),MAX(0,ADV51-AHI51)*H_Exit,0)</f>
        <v>0</v>
      </c>
      <c r="AVJ51" s="20" t="n">
        <f aca="false">IF(AND(H_Direct=0,H_TaxEvt=1,ARW50+1&gt;=H_Deemed),MAX(0,ADW51-AHJ51)*H_Exit,0)</f>
        <v>0</v>
      </c>
      <c r="AVK51" s="20" t="n">
        <f aca="false">IF(AND(H_Direct=0,H_TaxEvt=1,ARX50+1&gt;=H_Deemed),MAX(0,ADX51-AHK51)*H_Exit,0)</f>
        <v>0</v>
      </c>
      <c r="AVL51" s="20" t="n">
        <f aca="false">IF(AND(H_Direct=0,H_TaxEvt=1,ARY50+1&gt;=H_Deemed),MAX(0,ADY51-AHL51)*H_Exit,0)</f>
        <v>0</v>
      </c>
      <c r="AVM51" s="20" t="n">
        <f aca="false">IF(AND(H_Direct=0,H_TaxEvt=1,ARZ50+1&gt;=H_Deemed),MAX(0,ADZ51-AHM51)*H_Exit,0)</f>
        <v>0</v>
      </c>
      <c r="AVN51" s="20" t="n">
        <f aca="false">IF(AND(H_Direct=0,H_TaxEvt=1,ASA50+1&gt;=H_Deemed),MAX(0,AEA51-AHN51)*H_Exit,0)</f>
        <v>0</v>
      </c>
      <c r="AVO51" s="20" t="n">
        <f aca="false">IF(AND(H_Direct=0,H_TaxEvt=1,ASB50+1&gt;=H_Deemed),MAX(0,AEB51-AHO51)*H_Exit,0)</f>
        <v>0</v>
      </c>
      <c r="AVP51" s="20" t="n">
        <f aca="false">IF(AND(H_Direct=0,H_TaxEvt=1,ASC50+1&gt;=H_Deemed),MAX(0,AEC51-AHP51)*H_Exit,0)</f>
        <v>0</v>
      </c>
      <c r="AVQ51" s="20" t="n">
        <f aca="false">IF(AND(H_Direct=0,H_TaxEvt=1,ASD50+1&gt;=H_Deemed),MAX(0,AED51-AHQ51)*H_Exit,0)</f>
        <v>0</v>
      </c>
      <c r="AVR51" s="20" t="n">
        <f aca="false">IF(AND(H_Direct=0,H_TaxEvt=1,ASE50+1&gt;=H_Deemed),MAX(0,AEE51-AHR51)*H_Exit,0)</f>
        <v>0</v>
      </c>
      <c r="AVS51" s="20" t="n">
        <f aca="false">IF(AND(H_Direct=0,H_TaxEvt=1,ASF50+1&gt;=H_Deemed),MAX(0,AEF51-AHS51)*H_Exit,0)</f>
        <v>0</v>
      </c>
      <c r="AVT51" s="20" t="n">
        <f aca="false">IF(AND(H_Direct=0,H_TaxEvt=1,ASG50+1&gt;=H_Deemed),MAX(0,AEG51-AHT51)*H_Exit,0)</f>
        <v>0</v>
      </c>
      <c r="AVU51" s="20" t="n">
        <f aca="false">IF(AND(H_Direct=0,H_TaxEvt=1,ASH50+1&gt;=H_Deemed),MAX(0,AEH51-AHU51)*H_Exit,0)</f>
        <v>0</v>
      </c>
      <c r="AVV51" s="20" t="n">
        <f aca="false">IF(AND(H_Direct=0,H_TaxEvt=1,ASI50+1&gt;=H_Deemed),MAX(0,AEI51-AHV51)*H_Exit,0)</f>
        <v>0</v>
      </c>
      <c r="AVW51" s="20" t="n">
        <f aca="false">IF(AND(H_Direct=0,H_TaxEvt=1,ASJ50+1&gt;=H_Deemed),MAX(0,AEJ51-AHW51)*H_Exit,0)</f>
        <v>0</v>
      </c>
      <c r="AVX51" s="20" t="n">
        <f aca="false">IF(AND(H_Direct=0,H_TaxEvt=1,ASK50+1&gt;=H_Deemed),MAX(0,AEK51-AHX51)*H_Exit,0)</f>
        <v>0</v>
      </c>
      <c r="AVY51" s="20" t="n">
        <f aca="false">IF(AND(H_Direct=0,H_TaxEvt=1,ASL50+1&gt;=H_Deemed),MAX(0,AEL51-AHY51)*H_Exit,0)</f>
        <v>0</v>
      </c>
      <c r="AVZ51" s="20" t="n">
        <f aca="false">IF(AND(H_Direct=0,H_TaxEvt=1,ASM50+1&gt;=H_Deemed),MAX(0,AEM51-AHZ51)*H_Exit,0)</f>
        <v>0</v>
      </c>
      <c r="AWA51" s="20" t="n">
        <f aca="false">IF(AND(H_Direct=0,H_TaxEvt=1,ASN50+1&gt;=H_Deemed),MAX(0,AEN51-AIA51)*H_Exit,0)</f>
        <v>0</v>
      </c>
      <c r="AWB51" s="20" t="n">
        <f aca="false">IF(AND(H_Direct=0,H_TaxEvt=1,ASO50+1&gt;=H_Deemed),MAX(0,AEO51-AIB51)*H_Exit,0)</f>
        <v>0</v>
      </c>
      <c r="AWC51" s="20" t="n">
        <f aca="false">IF(AND(H_Direct=0,H_TaxEvt=1,ASP50+1&gt;=H_Deemed),MAX(0,AEP51-AIC51)*H_Exit,0)</f>
        <v>0</v>
      </c>
      <c r="AWD51" s="20" t="n">
        <f aca="false">IF(AND(H_Direct=0,H_TaxEvt=1,ASQ50+1&gt;=H_Deemed),MAX(0,AEQ51-AID51)*H_Exit,0)</f>
        <v>0</v>
      </c>
      <c r="AWE51" s="20" t="n">
        <f aca="false">IF(AND(H_Direct=0,H_TaxEvt=1,ASR50+1&gt;=H_Deemed),MAX(0,AER51-AIE51)*H_Exit,0)</f>
        <v>0</v>
      </c>
      <c r="AWF51" s="20" t="n">
        <f aca="false">IF(AND(H_Direct=0,H_TaxEvt=1,ASS50+1&gt;=H_Deemed),MAX(0,AES51-AIF51)*H_Exit,0)</f>
        <v>0</v>
      </c>
      <c r="AWG51" s="20" t="n">
        <f aca="false">IF(AND(H_Direct=0,H_TaxEvt=1,AST50+1&gt;=H_Deemed),MAX(0,AET51-AIG51)*H_Exit,0)</f>
        <v>0</v>
      </c>
      <c r="AWH51" s="20" t="n">
        <f aca="false">IF(AND(H_Direct=0,H_TaxEvt=1,ASU50+1&gt;=H_Deemed),MAX(0,AEU51-AIH51)*H_Exit,0)</f>
        <v>0</v>
      </c>
      <c r="AWI51" s="20" t="n">
        <f aca="false">IF(AND(H_Direct=0,H_TaxEvt=1,ASV50+1&gt;=H_Deemed),MAX(0,AEV51-AII51)*H_Exit,0)</f>
        <v>0</v>
      </c>
      <c r="AWJ51" s="20" t="n">
        <f aca="false">IF(AND(H_Direct=0,H_TaxEvt=1,ASW50+1&gt;=H_Deemed),MAX(0,AEW51-AIJ51)*H_Exit,0)</f>
        <v>0</v>
      </c>
      <c r="AWK51" s="20" t="n">
        <f aca="false">IF(AND(H_Direct=0,H_TaxEvt=1,ASX50+1&gt;=H_Deemed),MAX(0,AEX51-AIK51)*H_Exit,0)</f>
        <v>0</v>
      </c>
      <c r="AWL51" s="20" t="n">
        <f aca="false">IF(AND(H_Direct=0,H_TaxEvt=1,ASY50+1&gt;=H_Deemed),MAX(0,AEY51-AIL51)*H_Exit,0)</f>
        <v>0</v>
      </c>
      <c r="AWM51" s="20" t="n">
        <f aca="false">IF(AND(H_Direct=0,H_TaxEvt=1,ASZ50+1&gt;=H_Deemed),MAX(0,AEZ51-AIM51)*H_Exit,0)</f>
        <v>0</v>
      </c>
      <c r="AWN51" s="20" t="n">
        <f aca="false">IF(AND(H_Direct=0,H_TaxEvt=1,ATA50+1&gt;=H_Deemed),MAX(0,AFA51-AIN51)*H_Exit,0)</f>
        <v>0</v>
      </c>
      <c r="AWO51" s="20" t="n">
        <f aca="false">IF(AND(H_Direct=0,H_TaxEvt=1,ATB50+1&gt;=H_Deemed),MAX(0,AFB51-AIO51)*H_Exit,0)</f>
        <v>0</v>
      </c>
      <c r="AWP51" s="20" t="n">
        <f aca="false">IF(AND(H_Direct=0,H_TaxEvt=1,ATC50+1&gt;=H_Deemed),MAX(0,AFC51-AIP51)*H_Exit,0)</f>
        <v>0</v>
      </c>
      <c r="AWQ51" s="20" t="n">
        <f aca="false">IF(AND(H_Direct=0,H_TaxEvt=1,ATD50+1&gt;=H_Deemed),MAX(0,AFD51-AIQ51)*H_Exit,0)</f>
        <v>0</v>
      </c>
      <c r="AWR51" s="20" t="n">
        <f aca="false">IF(AND(H_Direct=0,H_TaxEvt=1,ATE50+1&gt;=H_Deemed),MAX(0,AFE51-AIR51)*H_Exit,0)</f>
        <v>0</v>
      </c>
      <c r="AWS51" s="20" t="n">
        <f aca="false">IF(AND(H_Direct=0,H_TaxEvt=1,ATF50+1&gt;=H_Deemed),MAX(0,AFF51-AIS51)*H_Exit,0)</f>
        <v>0</v>
      </c>
      <c r="AWT51" s="20" t="n">
        <f aca="false">IF(AND(H_Direct=0,H_TaxEvt=1,ATG50+1&gt;=H_Deemed),MAX(0,AFG51-AIT51)*H_Exit,0)</f>
        <v>0</v>
      </c>
      <c r="AWU51" s="20" t="n">
        <f aca="false">IF(AND(H_Direct=0,H_TaxEvt=1,ATH50+1&gt;=H_Deemed),MAX(0,AFH51-AIU51)*H_Exit,0)</f>
        <v>0</v>
      </c>
      <c r="AWV51" s="20" t="n">
        <f aca="false">IF(AND(H_Direct=0,H_TaxEvt=1,ATI50+1&gt;=H_Deemed),MAX(0,AFI51-AIV51)*H_Exit,0)</f>
        <v>0</v>
      </c>
      <c r="AWW51" s="20" t="n">
        <f aca="false">IF(AND(H_Direct=0,H_TaxEvt=1,0+1&gt;=H_Deemed),MAX(0,AFJ51-AIW51)*H_Exit,0)</f>
        <v>0</v>
      </c>
      <c r="AWX51" s="20" t="n">
        <v>0</v>
      </c>
      <c r="AWY51" s="20" t="n">
        <v>0</v>
      </c>
      <c r="AWZ51" s="20" t="n">
        <v>0</v>
      </c>
      <c r="AXA51" s="20" t="n">
        <v>0</v>
      </c>
      <c r="AXB51" s="20" t="n">
        <v>0</v>
      </c>
      <c r="AXC51" s="20" t="n">
        <v>0</v>
      </c>
      <c r="AXD51" s="20" t="n">
        <v>0</v>
      </c>
      <c r="AXE51" s="20" t="n">
        <v>0</v>
      </c>
      <c r="AXF51" s="20" t="n">
        <v>0</v>
      </c>
      <c r="AXG51" s="20" t="n">
        <v>0</v>
      </c>
      <c r="AXH51" s="20" t="n">
        <v>0</v>
      </c>
      <c r="AXI51" s="20" t="n">
        <v>0</v>
      </c>
      <c r="AXJ51" s="20" t="n">
        <v>0</v>
      </c>
      <c r="AXK51" s="20" t="n">
        <v>0</v>
      </c>
      <c r="AXL51" s="20" t="n">
        <v>0</v>
      </c>
      <c r="AXM51" s="20" t="n">
        <v>0</v>
      </c>
      <c r="AXN51" s="20" t="n">
        <v>0</v>
      </c>
      <c r="AXO51" s="20" t="n">
        <v>0</v>
      </c>
      <c r="AXP51" s="20" t="n">
        <v>0</v>
      </c>
      <c r="AXQ51" s="20" t="n">
        <v>0</v>
      </c>
      <c r="AXR51" s="20" t="n">
        <v>0</v>
      </c>
      <c r="AXS51" s="20" t="n">
        <v>0</v>
      </c>
      <c r="AXT51" s="20" t="n">
        <v>0</v>
      </c>
      <c r="AXU51" s="20" t="n">
        <v>0</v>
      </c>
      <c r="AXV51" s="20" t="n">
        <v>0</v>
      </c>
      <c r="AXW51" s="20" t="n">
        <v>0</v>
      </c>
      <c r="AXX51" s="20" t="n">
        <v>0</v>
      </c>
      <c r="AXY51" s="20" t="n">
        <v>0</v>
      </c>
      <c r="AXZ51" s="20" t="n">
        <v>0</v>
      </c>
      <c r="AYA51" s="20" t="n">
        <v>0</v>
      </c>
      <c r="AYB51" s="20" t="n">
        <v>0</v>
      </c>
      <c r="AYC51" s="20" t="n">
        <v>0</v>
      </c>
      <c r="AYD51" s="20" t="n">
        <v>0</v>
      </c>
      <c r="AYE51" s="20" t="n">
        <v>0</v>
      </c>
      <c r="AYF51" s="20" t="n">
        <v>0</v>
      </c>
      <c r="AYG51" s="20" t="n">
        <v>0</v>
      </c>
      <c r="AYH51" s="20" t="n">
        <v>0</v>
      </c>
      <c r="AYI51" s="20" t="n">
        <v>0</v>
      </c>
      <c r="AYJ51" s="20" t="n">
        <v>0</v>
      </c>
      <c r="AYK51" s="20" t="n">
        <v>0</v>
      </c>
      <c r="AYL51" s="20" t="n">
        <v>0</v>
      </c>
      <c r="AYM51" s="20" t="n">
        <v>0</v>
      </c>
      <c r="AYN51" s="20" t="n">
        <v>0</v>
      </c>
      <c r="AYO51" s="20" t="n">
        <v>0</v>
      </c>
      <c r="AYP51" s="20" t="n">
        <v>0</v>
      </c>
      <c r="AYQ51" s="20" t="n">
        <v>0</v>
      </c>
    </row>
    <row r="52" customFormat="false" ht="15" hidden="false" customHeight="false" outlineLevel="0" collapsed="false">
      <c r="B52" s="20" t="n">
        <v>44</v>
      </c>
      <c r="C52" s="20" t="n">
        <f aca="false">'Plan cashflow'!C52</f>
        <v>1</v>
      </c>
      <c r="D52" s="20" t="n">
        <f aca="false">'Plan cashflow'!D52</f>
        <v>82</v>
      </c>
      <c r="E52" s="20" t="n">
        <f aca="false">AS_Year0+44</f>
        <v>2070</v>
      </c>
      <c r="F52" s="50" t="n">
        <f aca="false">'Plan cashflow'!F52</f>
        <v>2.3900531424523</v>
      </c>
      <c r="G52" s="59" t="n">
        <f aca="true">IF(MAX(TODAY(),DATE(E52,1,1))&gt;=H_CGTfrom,H_CGT1,H_CGT0)</f>
        <v>0.31</v>
      </c>
      <c r="H52" s="20" t="n">
        <f aca="false">H_Exempt*H_Persons</f>
        <v>1270</v>
      </c>
      <c r="I52" s="20" t="n">
        <f aca="false">AX51</f>
        <v>0</v>
      </c>
      <c r="J52" s="60" t="n">
        <f aca="false">BF51</f>
        <v>0</v>
      </c>
      <c r="K52" s="60" t="n">
        <f aca="false">BG51</f>
        <v>0</v>
      </c>
      <c r="L52" s="20" t="n">
        <f aca="false">IF(AND(In_polLump&gt;0,In_polLumpAge&gt;0,D52=In_polLumpAge),In_polLump,0)</f>
        <v>0</v>
      </c>
      <c r="M52" s="20" t="n">
        <f aca="false">IF(AND(In_homeUse="Yes, I'd downsize",In_downAge&gt;0,D52=In_downAge,OR(In_home="Own outright",In_home="Own with mortgage"),In_homeValue&gt;0),MAX(0,MAX(0,In_homeValue-In_downValue)*F52*0.9-'Plan cashflow'!HR51),0)</f>
        <v>0</v>
      </c>
      <c r="N52" s="20" t="n">
        <f aca="false">'Plan pay &amp; tax'!Y278</f>
        <v>0</v>
      </c>
      <c r="O52" s="20" t="n">
        <f aca="false">L52+M52+(1-H_Sh)*N52</f>
        <v>0</v>
      </c>
      <c r="P52" s="20" t="n">
        <f aca="false">H_Sh*N52</f>
        <v>0</v>
      </c>
      <c r="Q52" s="20" t="n">
        <f aca="false">'Plan cashflow'!UL52</f>
        <v>0</v>
      </c>
      <c r="R52" s="20" t="n">
        <f aca="false">(1-H_Sh)*Q52</f>
        <v>0</v>
      </c>
      <c r="S52" s="20" t="n">
        <f aca="false">H_Sh*Q52</f>
        <v>0</v>
      </c>
      <c r="T52" s="20" t="n">
        <f aca="false">J52+K52+O52</f>
        <v>0</v>
      </c>
      <c r="U52" s="20" t="n">
        <f aca="false">T52+R52</f>
        <v>0</v>
      </c>
      <c r="V52" s="60" t="n">
        <f aca="false">SUM(FE52:IQ52)</f>
        <v>0</v>
      </c>
      <c r="W52" s="60" t="n">
        <f aca="false">IF(AJ52&lt;=0,0,IF(AL52&lt;=0,AJ52,AJ52-G52*MAX(0,AL52*AJ52-(AY52+AZ52))))</f>
        <v>0</v>
      </c>
      <c r="X52" s="60" t="n">
        <f aca="false">IF(AR52&lt;=0,0,IF(AT52&lt;=0,AR52,AR52-G52*MAX(0,AT52*AR52-(BA52+BB52))))</f>
        <v>0</v>
      </c>
      <c r="Y52" s="60" t="n">
        <f aca="false">T52+V52-S52+W52+X52</f>
        <v>0</v>
      </c>
      <c r="Z52" s="60" t="n">
        <f aca="false">'Plan cashflow'!UK52</f>
        <v>0</v>
      </c>
      <c r="AA52" s="20" t="n">
        <f aca="false">MIN(Z52,U52)</f>
        <v>0</v>
      </c>
      <c r="AB52" s="20" t="n">
        <f aca="false">Z52-AA52</f>
        <v>0</v>
      </c>
      <c r="AC52" s="20" t="n">
        <f aca="false">MIN(AA52,J52+O52+R52)</f>
        <v>0</v>
      </c>
      <c r="AD52" s="20" t="n">
        <f aca="false">AA52-AC52</f>
        <v>0</v>
      </c>
      <c r="AE52" s="20" t="n">
        <f aca="false">J52+O52+R52-AC52</f>
        <v>0</v>
      </c>
      <c r="AF52" s="20" t="n">
        <f aca="false">K52-AD52</f>
        <v>0</v>
      </c>
      <c r="AG52" s="20" t="n">
        <f aca="false">SUM(PR52:TD52)</f>
        <v>0</v>
      </c>
      <c r="AH52" s="20" t="n">
        <f aca="false">SUM(TE52:WQ52)</f>
        <v>0</v>
      </c>
      <c r="AI52" s="20" t="n">
        <f aca="false">MAX(0,AB52-AG52)</f>
        <v>0</v>
      </c>
      <c r="AJ52" s="57" t="n">
        <f aca="false">BI51</f>
        <v>0</v>
      </c>
      <c r="AK52" s="20" t="n">
        <f aca="false">BJ51</f>
        <v>0</v>
      </c>
      <c r="AL52" s="20" t="n">
        <f aca="false">IF(AJ52&gt;0,(AJ52-AK52)/AJ52,0)</f>
        <v>0</v>
      </c>
      <c r="AM52" s="20" t="n">
        <f aca="false">IF(AJ52&lt;=0,0,IF(AL52&lt;=0,MIN(AI52,AJ52),MIN(AI52,AJ52-G52*MAX(0,AL52*AJ52-(AAD52+ADQ52)))))</f>
        <v>0</v>
      </c>
      <c r="AN52" s="20" t="n">
        <f aca="false">IF(AJ52&lt;=0,0,IF(AL52&lt;=0,AM52,IF(AM52&lt;=(AAD52+ADQ52)/AL52,AM52,(AM52-G52*(AAD52+ADQ52))/(1-G52*AL52))))</f>
        <v>0</v>
      </c>
      <c r="AO52" s="20" t="n">
        <f aca="false">IF(AL52&gt;0,MAX(0,AAD52-(MIN(AL52*AN52,(AAD52+ADQ52))-MIN(MIN(AL52*AN52,(AAD52+ADQ52)),ADQ52))),AAD52)</f>
        <v>1270</v>
      </c>
      <c r="AP52" s="20" t="n">
        <f aca="false">IF(AL52&lt;=0,ADQ52-AL52*AN52,ADQ52-MIN(MIN(AL52*AN52,(AAD52+ADQ52)),ADQ52))</f>
        <v>0</v>
      </c>
      <c r="AQ52" s="20" t="n">
        <f aca="false">MAX(0,AI52-AM52)</f>
        <v>0</v>
      </c>
      <c r="AR52" s="57" t="n">
        <f aca="false">BK51</f>
        <v>0</v>
      </c>
      <c r="AS52" s="20" t="n">
        <f aca="false">BL51</f>
        <v>0</v>
      </c>
      <c r="AT52" s="20" t="n">
        <f aca="false">IF(AR52&gt;0,(AR52-AS52)/AR52,0)</f>
        <v>0</v>
      </c>
      <c r="AU52" s="20" t="n">
        <f aca="false">IF(AR52&lt;=0,0,IF(AT52&lt;=0,MIN(AQ52,AR52),MIN(AQ52,AR52-G52*MAX(0,AT52*AR52-(AO52+AP52)))))</f>
        <v>0</v>
      </c>
      <c r="AV52" s="20" t="n">
        <f aca="false">IF(AR52&lt;=0,0,IF(AT52&lt;=0,AU52,IF(AU52&lt;=(AO52+AP52)/AT52,AU52,(AU52-G52*(AO52+AP52))/(1-G52*AT52))))</f>
        <v>0</v>
      </c>
      <c r="AW52" s="20" t="n">
        <f aca="false">IF(AT52&gt;0,MAX(0,AO52-(MIN(AT52*AV52,(AO52+AP52))-MIN(MIN(AT52*AV52,(AO52+AP52)),AP52))),AO52)</f>
        <v>1270</v>
      </c>
      <c r="AX52" s="20" t="n">
        <f aca="false">IF(AT52&lt;=0,AP52-AT52*AV52,AP52-MIN(MIN(AT52*AV52,(AO52+AP52)),AP52))</f>
        <v>0</v>
      </c>
      <c r="AY52" s="20" t="n">
        <f aca="false">MD52</f>
        <v>1270</v>
      </c>
      <c r="AZ52" s="20" t="n">
        <f aca="false">PQ52</f>
        <v>0</v>
      </c>
      <c r="BA52" s="20" t="n">
        <f aca="false">IF(AL52&gt;0,MAX(0,AY52-(MIN(AL52*AJ52,AY52+AZ52)-MIN(MIN(AL52*AJ52,AY52+AZ52),AZ52))),AY52)</f>
        <v>1270</v>
      </c>
      <c r="BB52" s="20" t="n">
        <f aca="false">IF(AL52&lt;=0,AZ52-AL52*AJ52,AZ52-MIN(MIN(AL52*AJ52,AY52+AZ52),AZ52))</f>
        <v>0</v>
      </c>
      <c r="BC52" s="20" t="n">
        <f aca="false">'Plan cashflow'!UM52</f>
        <v>0</v>
      </c>
      <c r="BD52" s="20" t="n">
        <f aca="false">(1-H_Sh)*BC52</f>
        <v>0</v>
      </c>
      <c r="BE52" s="20" t="n">
        <f aca="false">H_Sh*BC52</f>
        <v>0</v>
      </c>
      <c r="BF52" s="60" t="n">
        <f aca="false">(AE52+BD52)*(1+AS_Cash)</f>
        <v>0</v>
      </c>
      <c r="BG52" s="60" t="n">
        <f aca="false">AF52*(1+AS_Cash)</f>
        <v>0</v>
      </c>
      <c r="BH52" s="60" t="n">
        <f aca="false">SUM(AKR52:AOD52)</f>
        <v>0</v>
      </c>
      <c r="BI52" s="60" t="n">
        <f aca="false">(AJ52-AN52)*(1+AS_Infl)</f>
        <v>0</v>
      </c>
      <c r="BJ52" s="20" t="n">
        <f aca="false">IF(AJ52&gt;0,AK52-AK52*AN52/AJ52,0)</f>
        <v>0</v>
      </c>
      <c r="BK52" s="60" t="n">
        <f aca="false">(AR52-AV52)*(1+BQ52)</f>
        <v>0</v>
      </c>
      <c r="BL52" s="20" t="n">
        <f aca="false">IF(AR52&gt;0,AS52-AS52*AV52/AR52,0)</f>
        <v>0</v>
      </c>
      <c r="BM52" s="60" t="n">
        <f aca="false">BF52+BG52+BH52+BI52+BK52</f>
        <v>0</v>
      </c>
      <c r="BN52" s="60" t="n">
        <f aca="false">(AH52-AG52)+(AN52-AM52)+(AV52-AU52)</f>
        <v>0</v>
      </c>
      <c r="BO52" s="20" t="n">
        <f aca="false">(AE52+BD52+AF52+MAX(0,'Plan cashflow'!QH52)+IF(Slot1_Rate=AS_Cash,'Plan cashflow'!QM52/(1+AS_Cash),0)+IF(Slot2_Rate=AS_Cash,'Plan cashflow'!QQ52/(1+AS_Cash),0)+IF(Slot3_Rate=AS_Cash,'Plan cashflow'!QU52/(1+AS_Cash),0)+IF(Slot4_Rate=AS_Cash,'Plan cashflow'!QY52/(1+AS_Cash),0)+IF(Slot5_Rate=AS_Cash,'Plan cashflow'!RC52/(1+AS_Cash),0)+IF(Slot6_Rate=AS_Cash,'Plan cashflow'!RG52/(1+AS_Cash),0)+IF(Slot7_Rate=AS_Cash,'Plan cashflow'!RK52/(1+AS_Cash),0)+IF(Slot8_Rate=AS_Cash,'Plan cashflow'!RO52/(1+AS_Cash),0)+IF(Slot9_Rate=AS_Cash,'Plan cashflow'!RS52/(1+AS_Cash),0)+IF(Slot10_Rate=AS_Cash,'Plan cashflow'!RW52/(1+AS_Cash),0)+IF(Slot11_Rate=AS_Cash,'Plan cashflow'!SA52/(1+AS_Cash),0)+IF(Slot12_Rate=AS_Cash,'Plan cashflow'!SE52/(1+AS_Cash),0)+IF(Slot13_Rate=AS_Cash,'Plan cashflow'!SI52/(1+AS_Cash),0)+IF(Slot14_Rate=AS_Cash,'Plan cashflow'!SM52/(1+AS_Cash),0)+IF(Slot15_Rate=AS_Cash,'Plan cashflow'!SQ52/(1+AS_Cash),0)+IF(Slot16_Rate=AS_Cash,'Plan cashflow'!SU52/(1+AS_Cash),0)+IF(Slot17_Rate=AS_Cash,'Plan cashflow'!SY52/(1+AS_Cash),0)+IF(Slot18_Rate=AS_Cash,'Plan cashflow'!TC52/(1+AS_Cash),0)+IF(Slot19_Rate=AS_Cash,'Plan cashflow'!TG52/(1+AS_Cash),0)+IF(Slot20_Rate=AS_Cash,'Plan cashflow'!TK52/(1+AS_Cash),0))*AS_Cash*H_DIRT/(1-H_DIRT)</f>
        <v>0</v>
      </c>
      <c r="BP52" s="60" t="n">
        <f aca="false">SUM(AVE52:AYQ52)</f>
        <v>0</v>
      </c>
      <c r="BQ52" s="54" t="n">
        <f aca="false">IF(H_TaxEvt=1,H_InvG,AS_Inv)</f>
        <v>0.04</v>
      </c>
      <c r="BR52" s="20" t="n">
        <f aca="false">IF(AKR51&gt;0,(AKR51-AOE51)/AKR51,0)</f>
        <v>0</v>
      </c>
      <c r="BS52" s="20" t="n">
        <f aca="false">IF(AKS51&gt;0,(AKS51-AOF51)/AKS51,0)</f>
        <v>0</v>
      </c>
      <c r="BT52" s="20" t="n">
        <f aca="false">IF(AKT51&gt;0,(AKT51-AOG51)/AKT51,0)</f>
        <v>0</v>
      </c>
      <c r="BU52" s="20" t="n">
        <f aca="false">IF(AKU51&gt;0,(AKU51-AOH51)/AKU51,0)</f>
        <v>0</v>
      </c>
      <c r="BV52" s="20" t="n">
        <f aca="false">IF(AKV51&gt;0,(AKV51-AOI51)/AKV51,0)</f>
        <v>0</v>
      </c>
      <c r="BW52" s="20" t="n">
        <f aca="false">IF(AKW51&gt;0,(AKW51-AOJ51)/AKW51,0)</f>
        <v>0</v>
      </c>
      <c r="BX52" s="20" t="n">
        <f aca="false">IF(AKX51&gt;0,(AKX51-AOK51)/AKX51,0)</f>
        <v>0</v>
      </c>
      <c r="BY52" s="20" t="n">
        <f aca="false">IF(AKY51&gt;0,(AKY51-AOL51)/AKY51,0)</f>
        <v>0</v>
      </c>
      <c r="BZ52" s="20" t="n">
        <f aca="false">IF(AKZ51&gt;0,(AKZ51-AOM51)/AKZ51,0)</f>
        <v>0</v>
      </c>
      <c r="CA52" s="20" t="n">
        <f aca="false">IF(ALA51&gt;0,(ALA51-AON51)/ALA51,0)</f>
        <v>0</v>
      </c>
      <c r="CB52" s="20" t="n">
        <f aca="false">IF(ALB51&gt;0,(ALB51-AOO51)/ALB51,0)</f>
        <v>0</v>
      </c>
      <c r="CC52" s="20" t="n">
        <f aca="false">IF(ALC51&gt;0,(ALC51-AOP51)/ALC51,0)</f>
        <v>0</v>
      </c>
      <c r="CD52" s="20" t="n">
        <f aca="false">IF(ALD51&gt;0,(ALD51-AOQ51)/ALD51,0)</f>
        <v>0</v>
      </c>
      <c r="CE52" s="20" t="n">
        <f aca="false">IF(ALE51&gt;0,(ALE51-AOR51)/ALE51,0)</f>
        <v>0</v>
      </c>
      <c r="CF52" s="20" t="n">
        <f aca="false">IF(ALF51&gt;0,(ALF51-AOS51)/ALF51,0)</f>
        <v>0</v>
      </c>
      <c r="CG52" s="20" t="n">
        <f aca="false">IF(ALG51&gt;0,(ALG51-AOT51)/ALG51,0)</f>
        <v>0</v>
      </c>
      <c r="CH52" s="20" t="n">
        <f aca="false">IF(ALH51&gt;0,(ALH51-AOU51)/ALH51,0)</f>
        <v>0</v>
      </c>
      <c r="CI52" s="20" t="n">
        <f aca="false">IF(ALI51&gt;0,(ALI51-AOV51)/ALI51,0)</f>
        <v>0</v>
      </c>
      <c r="CJ52" s="20" t="n">
        <f aca="false">IF(ALJ51&gt;0,(ALJ51-AOW51)/ALJ51,0)</f>
        <v>0</v>
      </c>
      <c r="CK52" s="20" t="n">
        <f aca="false">IF(ALK51&gt;0,(ALK51-AOX51)/ALK51,0)</f>
        <v>0</v>
      </c>
      <c r="CL52" s="20" t="n">
        <f aca="false">IF(ALL51&gt;0,(ALL51-AOY51)/ALL51,0)</f>
        <v>0</v>
      </c>
      <c r="CM52" s="20" t="n">
        <f aca="false">IF(ALM51&gt;0,(ALM51-AOZ51)/ALM51,0)</f>
        <v>0</v>
      </c>
      <c r="CN52" s="20" t="n">
        <f aca="false">IF(ALN51&gt;0,(ALN51-APA51)/ALN51,0)</f>
        <v>0</v>
      </c>
      <c r="CO52" s="20" t="n">
        <f aca="false">IF(ALO51&gt;0,(ALO51-APB51)/ALO51,0)</f>
        <v>0</v>
      </c>
      <c r="CP52" s="20" t="n">
        <f aca="false">IF(ALP51&gt;0,(ALP51-APC51)/ALP51,0)</f>
        <v>0</v>
      </c>
      <c r="CQ52" s="20" t="n">
        <f aca="false">IF(ALQ51&gt;0,(ALQ51-APD51)/ALQ51,0)</f>
        <v>0</v>
      </c>
      <c r="CR52" s="20" t="n">
        <f aca="false">IF(ALR51&gt;0,(ALR51-APE51)/ALR51,0)</f>
        <v>0</v>
      </c>
      <c r="CS52" s="20" t="n">
        <f aca="false">IF(ALS51&gt;0,(ALS51-APF51)/ALS51,0)</f>
        <v>0</v>
      </c>
      <c r="CT52" s="20" t="n">
        <f aca="false">IF(ALT51&gt;0,(ALT51-APG51)/ALT51,0)</f>
        <v>0</v>
      </c>
      <c r="CU52" s="20" t="n">
        <f aca="false">IF(ALU51&gt;0,(ALU51-APH51)/ALU51,0)</f>
        <v>0</v>
      </c>
      <c r="CV52" s="20" t="n">
        <f aca="false">IF(ALV51&gt;0,(ALV51-API51)/ALV51,0)</f>
        <v>0</v>
      </c>
      <c r="CW52" s="20" t="n">
        <f aca="false">IF(ALW51&gt;0,(ALW51-APJ51)/ALW51,0)</f>
        <v>0</v>
      </c>
      <c r="CX52" s="20" t="n">
        <f aca="false">IF(ALX51&gt;0,(ALX51-APK51)/ALX51,0)</f>
        <v>0</v>
      </c>
      <c r="CY52" s="20" t="n">
        <f aca="false">IF(ALY51&gt;0,(ALY51-APL51)/ALY51,0)</f>
        <v>0</v>
      </c>
      <c r="CZ52" s="20" t="n">
        <f aca="false">IF(ALZ51&gt;0,(ALZ51-APM51)/ALZ51,0)</f>
        <v>0</v>
      </c>
      <c r="DA52" s="20" t="n">
        <f aca="false">IF(AMA51&gt;0,(AMA51-APN51)/AMA51,0)</f>
        <v>0</v>
      </c>
      <c r="DB52" s="20" t="n">
        <f aca="false">IF(AMB51&gt;0,(AMB51-APO51)/AMB51,0)</f>
        <v>0</v>
      </c>
      <c r="DC52" s="20" t="n">
        <f aca="false">IF(AMC51&gt;0,(AMC51-APP51)/AMC51,0)</f>
        <v>0</v>
      </c>
      <c r="DD52" s="20" t="n">
        <f aca="false">IF(AMD51&gt;0,(AMD51-APQ51)/AMD51,0)</f>
        <v>0</v>
      </c>
      <c r="DE52" s="20" t="n">
        <f aca="false">IF(AME51&gt;0,(AME51-APR51)/AME51,0)</f>
        <v>0</v>
      </c>
      <c r="DF52" s="20" t="n">
        <f aca="false">IF(AMF51&gt;0,(AMF51-APS51)/AMF51,0)</f>
        <v>0</v>
      </c>
      <c r="DG52" s="20" t="n">
        <f aca="false">IF(AMG51&gt;0,(AMG51-APT51)/AMG51,0)</f>
        <v>0</v>
      </c>
      <c r="DH52" s="20" t="n">
        <f aca="false">IF(AMH51&gt;0,(AMH51-APU51)/AMH51,0)</f>
        <v>0</v>
      </c>
      <c r="DI52" s="20" t="n">
        <f aca="false">IF(AMI51&gt;0,(AMI51-APV51)/AMI51,0)</f>
        <v>0</v>
      </c>
      <c r="DJ52" s="20" t="n">
        <f aca="false">IF(AMJ51&gt;0,(AMJ51-APW51)/AMJ51,0)</f>
        <v>0</v>
      </c>
      <c r="DK52" s="20" t="n">
        <f aca="false">IF((P52+S52)&gt;0,((P52+S52)-(P52+S52))/(P52+S52),0)</f>
        <v>0</v>
      </c>
      <c r="DL52" s="20" t="n">
        <v>0</v>
      </c>
      <c r="DM52" s="20" t="n">
        <v>0</v>
      </c>
      <c r="DN52" s="20" t="n">
        <v>0</v>
      </c>
      <c r="DO52" s="20" t="n">
        <v>0</v>
      </c>
      <c r="DP52" s="20" t="n">
        <v>0</v>
      </c>
      <c r="DQ52" s="20" t="n">
        <v>0</v>
      </c>
      <c r="DR52" s="20" t="n">
        <v>0</v>
      </c>
      <c r="DS52" s="20" t="n">
        <v>0</v>
      </c>
      <c r="DT52" s="20" t="n">
        <v>0</v>
      </c>
      <c r="DU52" s="20" t="n">
        <v>0</v>
      </c>
      <c r="DV52" s="20" t="n">
        <v>0</v>
      </c>
      <c r="DW52" s="20" t="n">
        <v>0</v>
      </c>
      <c r="DX52" s="20" t="n">
        <v>0</v>
      </c>
      <c r="DY52" s="20" t="n">
        <v>0</v>
      </c>
      <c r="DZ52" s="20" t="n">
        <v>0</v>
      </c>
      <c r="EA52" s="20" t="n">
        <v>0</v>
      </c>
      <c r="EB52" s="20" t="n">
        <v>0</v>
      </c>
      <c r="EC52" s="20" t="n">
        <v>0</v>
      </c>
      <c r="ED52" s="20" t="n">
        <v>0</v>
      </c>
      <c r="EE52" s="20" t="n">
        <v>0</v>
      </c>
      <c r="EF52" s="20" t="n">
        <v>0</v>
      </c>
      <c r="EG52" s="20" t="n">
        <v>0</v>
      </c>
      <c r="EH52" s="20" t="n">
        <v>0</v>
      </c>
      <c r="EI52" s="20" t="n">
        <v>0</v>
      </c>
      <c r="EJ52" s="20" t="n">
        <v>0</v>
      </c>
      <c r="EK52" s="20" t="n">
        <v>0</v>
      </c>
      <c r="EL52" s="20" t="n">
        <v>0</v>
      </c>
      <c r="EM52" s="20" t="n">
        <v>0</v>
      </c>
      <c r="EN52" s="20" t="n">
        <v>0</v>
      </c>
      <c r="EO52" s="20" t="n">
        <v>0</v>
      </c>
      <c r="EP52" s="20" t="n">
        <v>0</v>
      </c>
      <c r="EQ52" s="20" t="n">
        <v>0</v>
      </c>
      <c r="ER52" s="20" t="n">
        <v>0</v>
      </c>
      <c r="ES52" s="20" t="n">
        <v>0</v>
      </c>
      <c r="ET52" s="20" t="n">
        <v>0</v>
      </c>
      <c r="EU52" s="20" t="n">
        <v>0</v>
      </c>
      <c r="EV52" s="20" t="n">
        <v>0</v>
      </c>
      <c r="EW52" s="20" t="n">
        <v>0</v>
      </c>
      <c r="EX52" s="20" t="n">
        <v>0</v>
      </c>
      <c r="EY52" s="20" t="n">
        <v>0</v>
      </c>
      <c r="EZ52" s="20" t="n">
        <v>0</v>
      </c>
      <c r="FA52" s="20" t="n">
        <v>0</v>
      </c>
      <c r="FB52" s="20" t="n">
        <v>0</v>
      </c>
      <c r="FC52" s="20" t="n">
        <v>0</v>
      </c>
      <c r="FD52" s="20" t="n">
        <v>0</v>
      </c>
      <c r="FE52" s="20" t="n">
        <f aca="false">IF(H_Direct=1,IF(AKR51&lt;=0,0,IF(BR52&lt;=0,AKR51,AKR51-G52*MAX(0,BR52*AKR51-(H52+I52)))),AKR51*(1-MAX(0,BR52)*H_Exit))</f>
        <v>0</v>
      </c>
      <c r="FF52" s="20" t="n">
        <f aca="false">IF(H_Direct=1,IF(AKS51&lt;=0,0,IF(BS52&lt;=0,AKS51,AKS51-G52*MAX(0,BS52*AKS51-(IR52+ME52)))),AKS51*(1-MAX(0,BS52)*H_Exit))</f>
        <v>0</v>
      </c>
      <c r="FG52" s="20" t="n">
        <f aca="false">IF(H_Direct=1,IF(AKT51&lt;=0,0,IF(BT52&lt;=0,AKT51,AKT51-G52*MAX(0,BT52*AKT51-(IS52+MF52)))),AKT51*(1-MAX(0,BT52)*H_Exit))</f>
        <v>0</v>
      </c>
      <c r="FH52" s="20" t="n">
        <f aca="false">IF(H_Direct=1,IF(AKU51&lt;=0,0,IF(BU52&lt;=0,AKU51,AKU51-G52*MAX(0,BU52*AKU51-(IT52+MG52)))),AKU51*(1-MAX(0,BU52)*H_Exit))</f>
        <v>0</v>
      </c>
      <c r="FI52" s="20" t="n">
        <f aca="false">IF(H_Direct=1,IF(AKV51&lt;=0,0,IF(BV52&lt;=0,AKV51,AKV51-G52*MAX(0,BV52*AKV51-(IU52+MH52)))),AKV51*(1-MAX(0,BV52)*H_Exit))</f>
        <v>0</v>
      </c>
      <c r="FJ52" s="20" t="n">
        <f aca="false">IF(H_Direct=1,IF(AKW51&lt;=0,0,IF(BW52&lt;=0,AKW51,AKW51-G52*MAX(0,BW52*AKW51-(IV52+MI52)))),AKW51*(1-MAX(0,BW52)*H_Exit))</f>
        <v>0</v>
      </c>
      <c r="FK52" s="20" t="n">
        <f aca="false">IF(H_Direct=1,IF(AKX51&lt;=0,0,IF(BX52&lt;=0,AKX51,AKX51-G52*MAX(0,BX52*AKX51-(IW52+MJ52)))),AKX51*(1-MAX(0,BX52)*H_Exit))</f>
        <v>0</v>
      </c>
      <c r="FL52" s="20" t="n">
        <f aca="false">IF(H_Direct=1,IF(AKY51&lt;=0,0,IF(BY52&lt;=0,AKY51,AKY51-G52*MAX(0,BY52*AKY51-(IX52+MK52)))),AKY51*(1-MAX(0,BY52)*H_Exit))</f>
        <v>0</v>
      </c>
      <c r="FM52" s="20" t="n">
        <f aca="false">IF(H_Direct=1,IF(AKZ51&lt;=0,0,IF(BZ52&lt;=0,AKZ51,AKZ51-G52*MAX(0,BZ52*AKZ51-(IY52+ML52)))),AKZ51*(1-MAX(0,BZ52)*H_Exit))</f>
        <v>0</v>
      </c>
      <c r="FN52" s="20" t="n">
        <f aca="false">IF(H_Direct=1,IF(ALA51&lt;=0,0,IF(CA52&lt;=0,ALA51,ALA51-G52*MAX(0,CA52*ALA51-(IZ52+MM52)))),ALA51*(1-MAX(0,CA52)*H_Exit))</f>
        <v>0</v>
      </c>
      <c r="FO52" s="20" t="n">
        <f aca="false">IF(H_Direct=1,IF(ALB51&lt;=0,0,IF(CB52&lt;=0,ALB51,ALB51-G52*MAX(0,CB52*ALB51-(JA52+MN52)))),ALB51*(1-MAX(0,CB52)*H_Exit))</f>
        <v>0</v>
      </c>
      <c r="FP52" s="20" t="n">
        <f aca="false">IF(H_Direct=1,IF(ALC51&lt;=0,0,IF(CC52&lt;=0,ALC51,ALC51-G52*MAX(0,CC52*ALC51-(JB52+MO52)))),ALC51*(1-MAX(0,CC52)*H_Exit))</f>
        <v>0</v>
      </c>
      <c r="FQ52" s="20" t="n">
        <f aca="false">IF(H_Direct=1,IF(ALD51&lt;=0,0,IF(CD52&lt;=0,ALD51,ALD51-G52*MAX(0,CD52*ALD51-(JC52+MP52)))),ALD51*(1-MAX(0,CD52)*H_Exit))</f>
        <v>0</v>
      </c>
      <c r="FR52" s="20" t="n">
        <f aca="false">IF(H_Direct=1,IF(ALE51&lt;=0,0,IF(CE52&lt;=0,ALE51,ALE51-G52*MAX(0,CE52*ALE51-(JD52+MQ52)))),ALE51*(1-MAX(0,CE52)*H_Exit))</f>
        <v>0</v>
      </c>
      <c r="FS52" s="20" t="n">
        <f aca="false">IF(H_Direct=1,IF(ALF51&lt;=0,0,IF(CF52&lt;=0,ALF51,ALF51-G52*MAX(0,CF52*ALF51-(JE52+MR52)))),ALF51*(1-MAX(0,CF52)*H_Exit))</f>
        <v>0</v>
      </c>
      <c r="FT52" s="20" t="n">
        <f aca="false">IF(H_Direct=1,IF(ALG51&lt;=0,0,IF(CG52&lt;=0,ALG51,ALG51-G52*MAX(0,CG52*ALG51-(JF52+MS52)))),ALG51*(1-MAX(0,CG52)*H_Exit))</f>
        <v>0</v>
      </c>
      <c r="FU52" s="20" t="n">
        <f aca="false">IF(H_Direct=1,IF(ALH51&lt;=0,0,IF(CH52&lt;=0,ALH51,ALH51-G52*MAX(0,CH52*ALH51-(JG52+MT52)))),ALH51*(1-MAX(0,CH52)*H_Exit))</f>
        <v>0</v>
      </c>
      <c r="FV52" s="20" t="n">
        <f aca="false">IF(H_Direct=1,IF(ALI51&lt;=0,0,IF(CI52&lt;=0,ALI51,ALI51-G52*MAX(0,CI52*ALI51-(JH52+MU52)))),ALI51*(1-MAX(0,CI52)*H_Exit))</f>
        <v>0</v>
      </c>
      <c r="FW52" s="20" t="n">
        <f aca="false">IF(H_Direct=1,IF(ALJ51&lt;=0,0,IF(CJ52&lt;=0,ALJ51,ALJ51-G52*MAX(0,CJ52*ALJ51-(JI52+MV52)))),ALJ51*(1-MAX(0,CJ52)*H_Exit))</f>
        <v>0</v>
      </c>
      <c r="FX52" s="20" t="n">
        <f aca="false">IF(H_Direct=1,IF(ALK51&lt;=0,0,IF(CK52&lt;=0,ALK51,ALK51-G52*MAX(0,CK52*ALK51-(JJ52+MW52)))),ALK51*(1-MAX(0,CK52)*H_Exit))</f>
        <v>0</v>
      </c>
      <c r="FY52" s="20" t="n">
        <f aca="false">IF(H_Direct=1,IF(ALL51&lt;=0,0,IF(CL52&lt;=0,ALL51,ALL51-G52*MAX(0,CL52*ALL51-(JK52+MX52)))),ALL51*(1-MAX(0,CL52)*H_Exit))</f>
        <v>0</v>
      </c>
      <c r="FZ52" s="20" t="n">
        <f aca="false">IF(H_Direct=1,IF(ALM51&lt;=0,0,IF(CM52&lt;=0,ALM51,ALM51-G52*MAX(0,CM52*ALM51-(JL52+MY52)))),ALM51*(1-MAX(0,CM52)*H_Exit))</f>
        <v>0</v>
      </c>
      <c r="GA52" s="20" t="n">
        <f aca="false">IF(H_Direct=1,IF(ALN51&lt;=0,0,IF(CN52&lt;=0,ALN51,ALN51-G52*MAX(0,CN52*ALN51-(JM52+MZ52)))),ALN51*(1-MAX(0,CN52)*H_Exit))</f>
        <v>0</v>
      </c>
      <c r="GB52" s="20" t="n">
        <f aca="false">IF(H_Direct=1,IF(ALO51&lt;=0,0,IF(CO52&lt;=0,ALO51,ALO51-G52*MAX(0,CO52*ALO51-(JN52+NA52)))),ALO51*(1-MAX(0,CO52)*H_Exit))</f>
        <v>0</v>
      </c>
      <c r="GC52" s="20" t="n">
        <f aca="false">IF(H_Direct=1,IF(ALP51&lt;=0,0,IF(CP52&lt;=0,ALP51,ALP51-G52*MAX(0,CP52*ALP51-(JO52+NB52)))),ALP51*(1-MAX(0,CP52)*H_Exit))</f>
        <v>0</v>
      </c>
      <c r="GD52" s="20" t="n">
        <f aca="false">IF(H_Direct=1,IF(ALQ51&lt;=0,0,IF(CQ52&lt;=0,ALQ51,ALQ51-G52*MAX(0,CQ52*ALQ51-(JP52+NC52)))),ALQ51*(1-MAX(0,CQ52)*H_Exit))</f>
        <v>0</v>
      </c>
      <c r="GE52" s="20" t="n">
        <f aca="false">IF(H_Direct=1,IF(ALR51&lt;=0,0,IF(CR52&lt;=0,ALR51,ALR51-G52*MAX(0,CR52*ALR51-(JQ52+ND52)))),ALR51*(1-MAX(0,CR52)*H_Exit))</f>
        <v>0</v>
      </c>
      <c r="GF52" s="20" t="n">
        <f aca="false">IF(H_Direct=1,IF(ALS51&lt;=0,0,IF(CS52&lt;=0,ALS51,ALS51-G52*MAX(0,CS52*ALS51-(JR52+NE52)))),ALS51*(1-MAX(0,CS52)*H_Exit))</f>
        <v>0</v>
      </c>
      <c r="GG52" s="20" t="n">
        <f aca="false">IF(H_Direct=1,IF(ALT51&lt;=0,0,IF(CT52&lt;=0,ALT51,ALT51-G52*MAX(0,CT52*ALT51-(JS52+NF52)))),ALT51*(1-MAX(0,CT52)*H_Exit))</f>
        <v>0</v>
      </c>
      <c r="GH52" s="20" t="n">
        <f aca="false">IF(H_Direct=1,IF(ALU51&lt;=0,0,IF(CU52&lt;=0,ALU51,ALU51-G52*MAX(0,CU52*ALU51-(JT52+NG52)))),ALU51*(1-MAX(0,CU52)*H_Exit))</f>
        <v>0</v>
      </c>
      <c r="GI52" s="20" t="n">
        <f aca="false">IF(H_Direct=1,IF(ALV51&lt;=0,0,IF(CV52&lt;=0,ALV51,ALV51-G52*MAX(0,CV52*ALV51-(JU52+NH52)))),ALV51*(1-MAX(0,CV52)*H_Exit))</f>
        <v>0</v>
      </c>
      <c r="GJ52" s="20" t="n">
        <f aca="false">IF(H_Direct=1,IF(ALW51&lt;=0,0,IF(CW52&lt;=0,ALW51,ALW51-G52*MAX(0,CW52*ALW51-(JV52+NI52)))),ALW51*(1-MAX(0,CW52)*H_Exit))</f>
        <v>0</v>
      </c>
      <c r="GK52" s="20" t="n">
        <f aca="false">IF(H_Direct=1,IF(ALX51&lt;=0,0,IF(CX52&lt;=0,ALX51,ALX51-G52*MAX(0,CX52*ALX51-(JW52+NJ52)))),ALX51*(1-MAX(0,CX52)*H_Exit))</f>
        <v>0</v>
      </c>
      <c r="GL52" s="20" t="n">
        <f aca="false">IF(H_Direct=1,IF(ALY51&lt;=0,0,IF(CY52&lt;=0,ALY51,ALY51-G52*MAX(0,CY52*ALY51-(JX52+NK52)))),ALY51*(1-MAX(0,CY52)*H_Exit))</f>
        <v>0</v>
      </c>
      <c r="GM52" s="20" t="n">
        <f aca="false">IF(H_Direct=1,IF(ALZ51&lt;=0,0,IF(CZ52&lt;=0,ALZ51,ALZ51-G52*MAX(0,CZ52*ALZ51-(JY52+NL52)))),ALZ51*(1-MAX(0,CZ52)*H_Exit))</f>
        <v>0</v>
      </c>
      <c r="GN52" s="20" t="n">
        <f aca="false">IF(H_Direct=1,IF(AMA51&lt;=0,0,IF(DA52&lt;=0,AMA51,AMA51-G52*MAX(0,DA52*AMA51-(JZ52+NM52)))),AMA51*(1-MAX(0,DA52)*H_Exit))</f>
        <v>0</v>
      </c>
      <c r="GO52" s="20" t="n">
        <f aca="false">IF(H_Direct=1,IF(AMB51&lt;=0,0,IF(DB52&lt;=0,AMB51,AMB51-G52*MAX(0,DB52*AMB51-(KA52+NN52)))),AMB51*(1-MAX(0,DB52)*H_Exit))</f>
        <v>0</v>
      </c>
      <c r="GP52" s="20" t="n">
        <f aca="false">IF(H_Direct=1,IF(AMC51&lt;=0,0,IF(DC52&lt;=0,AMC51,AMC51-G52*MAX(0,DC52*AMC51-(KB52+NO52)))),AMC51*(1-MAX(0,DC52)*H_Exit))</f>
        <v>0</v>
      </c>
      <c r="GQ52" s="20" t="n">
        <f aca="false">IF(H_Direct=1,IF(AMD51&lt;=0,0,IF(DD52&lt;=0,AMD51,AMD51-G52*MAX(0,DD52*AMD51-(KC52+NP52)))),AMD51*(1-MAX(0,DD52)*H_Exit))</f>
        <v>0</v>
      </c>
      <c r="GR52" s="20" t="n">
        <f aca="false">IF(H_Direct=1,IF(AME51&lt;=0,0,IF(DE52&lt;=0,AME51,AME51-G52*MAX(0,DE52*AME51-(KD52+NQ52)))),AME51*(1-MAX(0,DE52)*H_Exit))</f>
        <v>0</v>
      </c>
      <c r="GS52" s="20" t="n">
        <f aca="false">IF(H_Direct=1,IF(AMF51&lt;=0,0,IF(DF52&lt;=0,AMF51,AMF51-G52*MAX(0,DF52*AMF51-(KE52+NR52)))),AMF51*(1-MAX(0,DF52)*H_Exit))</f>
        <v>0</v>
      </c>
      <c r="GT52" s="20" t="n">
        <f aca="false">IF(H_Direct=1,IF(AMG51&lt;=0,0,IF(DG52&lt;=0,AMG51,AMG51-G52*MAX(0,DG52*AMG51-(KF52+NS52)))),AMG51*(1-MAX(0,DG52)*H_Exit))</f>
        <v>0</v>
      </c>
      <c r="GU52" s="20" t="n">
        <f aca="false">IF(H_Direct=1,IF(AMH51&lt;=0,0,IF(DH52&lt;=0,AMH51,AMH51-G52*MAX(0,DH52*AMH51-(KG52+NT52)))),AMH51*(1-MAX(0,DH52)*H_Exit))</f>
        <v>0</v>
      </c>
      <c r="GV52" s="20" t="n">
        <f aca="false">IF(H_Direct=1,IF(AMI51&lt;=0,0,IF(DI52&lt;=0,AMI51,AMI51-G52*MAX(0,DI52*AMI51-(KH52+NU52)))),AMI51*(1-MAX(0,DI52)*H_Exit))</f>
        <v>0</v>
      </c>
      <c r="GW52" s="20" t="n">
        <f aca="false">IF(H_Direct=1,IF(AMJ51&lt;=0,0,IF(DJ52&lt;=0,AMJ51,AMJ51-G52*MAX(0,DJ52*AMJ51-(KI52+NV52)))),AMJ51*(1-MAX(0,DJ52)*H_Exit))</f>
        <v>0</v>
      </c>
      <c r="GX52" s="20" t="n">
        <f aca="false">IF(H_Direct=1,IF((P52+S52)&lt;=0,0,IF(DK52&lt;=0,(P52+S52),(P52+S52)-G52*MAX(0,DK52*(P52+S52)-(KJ52+NW52)))),(P52+S52)*(1-MAX(0,DK52)*H_Exit))</f>
        <v>0</v>
      </c>
      <c r="GY52" s="20" t="n">
        <v>0</v>
      </c>
      <c r="GZ52" s="20" t="n">
        <v>0</v>
      </c>
      <c r="HA52" s="20" t="n">
        <v>0</v>
      </c>
      <c r="HB52" s="20" t="n">
        <v>0</v>
      </c>
      <c r="HC52" s="20" t="n">
        <v>0</v>
      </c>
      <c r="HD52" s="20" t="n">
        <v>0</v>
      </c>
      <c r="HE52" s="20" t="n">
        <v>0</v>
      </c>
      <c r="HF52" s="20" t="n">
        <v>0</v>
      </c>
      <c r="HG52" s="20" t="n">
        <v>0</v>
      </c>
      <c r="HH52" s="20" t="n">
        <v>0</v>
      </c>
      <c r="HI52" s="20" t="n">
        <v>0</v>
      </c>
      <c r="HJ52" s="20" t="n">
        <v>0</v>
      </c>
      <c r="HK52" s="20" t="n">
        <v>0</v>
      </c>
      <c r="HL52" s="20" t="n">
        <v>0</v>
      </c>
      <c r="HM52" s="20" t="n">
        <v>0</v>
      </c>
      <c r="HN52" s="20" t="n">
        <v>0</v>
      </c>
      <c r="HO52" s="20" t="n">
        <v>0</v>
      </c>
      <c r="HP52" s="20" t="n">
        <v>0</v>
      </c>
      <c r="HQ52" s="20" t="n">
        <v>0</v>
      </c>
      <c r="HR52" s="20" t="n">
        <v>0</v>
      </c>
      <c r="HS52" s="20" t="n">
        <v>0</v>
      </c>
      <c r="HT52" s="20" t="n">
        <v>0</v>
      </c>
      <c r="HU52" s="20" t="n">
        <v>0</v>
      </c>
      <c r="HV52" s="20" t="n">
        <v>0</v>
      </c>
      <c r="HW52" s="20" t="n">
        <v>0</v>
      </c>
      <c r="HX52" s="20" t="n">
        <v>0</v>
      </c>
      <c r="HY52" s="20" t="n">
        <v>0</v>
      </c>
      <c r="HZ52" s="20" t="n">
        <v>0</v>
      </c>
      <c r="IA52" s="20" t="n">
        <v>0</v>
      </c>
      <c r="IB52" s="20" t="n">
        <v>0</v>
      </c>
      <c r="IC52" s="20" t="n">
        <v>0</v>
      </c>
      <c r="ID52" s="20" t="n">
        <v>0</v>
      </c>
      <c r="IE52" s="20" t="n">
        <v>0</v>
      </c>
      <c r="IF52" s="20" t="n">
        <v>0</v>
      </c>
      <c r="IG52" s="20" t="n">
        <v>0</v>
      </c>
      <c r="IH52" s="20" t="n">
        <v>0</v>
      </c>
      <c r="II52" s="20" t="n">
        <v>0</v>
      </c>
      <c r="IJ52" s="20" t="n">
        <v>0</v>
      </c>
      <c r="IK52" s="20" t="n">
        <v>0</v>
      </c>
      <c r="IL52" s="20" t="n">
        <v>0</v>
      </c>
      <c r="IM52" s="20" t="n">
        <v>0</v>
      </c>
      <c r="IN52" s="20" t="n">
        <v>0</v>
      </c>
      <c r="IO52" s="20" t="n">
        <v>0</v>
      </c>
      <c r="IP52" s="20" t="n">
        <v>0</v>
      </c>
      <c r="IQ52" s="20" t="n">
        <v>0</v>
      </c>
      <c r="IR52" s="20" t="n">
        <f aca="false">IF(AND(H_Direct=1,BR52&gt;0),MAX(0,H52-(MIN(BR52*AKR51,H52+I52)-MIN(MIN(BR52*AKR51,H52+I52),I52))),H52)</f>
        <v>1270</v>
      </c>
      <c r="IS52" s="20" t="n">
        <f aca="false">IF(AND(H_Direct=1,BS52&gt;0),MAX(0,IR52-(MIN(BS52*AKS51,IR52+ME52)-MIN(MIN(BS52*AKS51,IR52+ME52),ME52))),IR52)</f>
        <v>1270</v>
      </c>
      <c r="IT52" s="20" t="n">
        <f aca="false">IF(AND(H_Direct=1,BT52&gt;0),MAX(0,IS52-(MIN(BT52*AKT51,IS52+MF52)-MIN(MIN(BT52*AKT51,IS52+MF52),MF52))),IS52)</f>
        <v>1270</v>
      </c>
      <c r="IU52" s="20" t="n">
        <f aca="false">IF(AND(H_Direct=1,BU52&gt;0),MAX(0,IT52-(MIN(BU52*AKU51,IT52+MG52)-MIN(MIN(BU52*AKU51,IT52+MG52),MG52))),IT52)</f>
        <v>1270</v>
      </c>
      <c r="IV52" s="20" t="n">
        <f aca="false">IF(AND(H_Direct=1,BV52&gt;0),MAX(0,IU52-(MIN(BV52*AKV51,IU52+MH52)-MIN(MIN(BV52*AKV51,IU52+MH52),MH52))),IU52)</f>
        <v>1270</v>
      </c>
      <c r="IW52" s="20" t="n">
        <f aca="false">IF(AND(H_Direct=1,BW52&gt;0),MAX(0,IV52-(MIN(BW52*AKW51,IV52+MI52)-MIN(MIN(BW52*AKW51,IV52+MI52),MI52))),IV52)</f>
        <v>1270</v>
      </c>
      <c r="IX52" s="20" t="n">
        <f aca="false">IF(AND(H_Direct=1,BX52&gt;0),MAX(0,IW52-(MIN(BX52*AKX51,IW52+MJ52)-MIN(MIN(BX52*AKX51,IW52+MJ52),MJ52))),IW52)</f>
        <v>1270</v>
      </c>
      <c r="IY52" s="20" t="n">
        <f aca="false">IF(AND(H_Direct=1,BY52&gt;0),MAX(0,IX52-(MIN(BY52*AKY51,IX52+MK52)-MIN(MIN(BY52*AKY51,IX52+MK52),MK52))),IX52)</f>
        <v>1270</v>
      </c>
      <c r="IZ52" s="20" t="n">
        <f aca="false">IF(AND(H_Direct=1,BZ52&gt;0),MAX(0,IY52-(MIN(BZ52*AKZ51,IY52+ML52)-MIN(MIN(BZ52*AKZ51,IY52+ML52),ML52))),IY52)</f>
        <v>1270</v>
      </c>
      <c r="JA52" s="20" t="n">
        <f aca="false">IF(AND(H_Direct=1,CA52&gt;0),MAX(0,IZ52-(MIN(CA52*ALA51,IZ52+MM52)-MIN(MIN(CA52*ALA51,IZ52+MM52),MM52))),IZ52)</f>
        <v>1270</v>
      </c>
      <c r="JB52" s="20" t="n">
        <f aca="false">IF(AND(H_Direct=1,CB52&gt;0),MAX(0,JA52-(MIN(CB52*ALB51,JA52+MN52)-MIN(MIN(CB52*ALB51,JA52+MN52),MN52))),JA52)</f>
        <v>1270</v>
      </c>
      <c r="JC52" s="20" t="n">
        <f aca="false">IF(AND(H_Direct=1,CC52&gt;0),MAX(0,JB52-(MIN(CC52*ALC51,JB52+MO52)-MIN(MIN(CC52*ALC51,JB52+MO52),MO52))),JB52)</f>
        <v>1270</v>
      </c>
      <c r="JD52" s="20" t="n">
        <f aca="false">IF(AND(H_Direct=1,CD52&gt;0),MAX(0,JC52-(MIN(CD52*ALD51,JC52+MP52)-MIN(MIN(CD52*ALD51,JC52+MP52),MP52))),JC52)</f>
        <v>1270</v>
      </c>
      <c r="JE52" s="20" t="n">
        <f aca="false">IF(AND(H_Direct=1,CE52&gt;0),MAX(0,JD52-(MIN(CE52*ALE51,JD52+MQ52)-MIN(MIN(CE52*ALE51,JD52+MQ52),MQ52))),JD52)</f>
        <v>1270</v>
      </c>
      <c r="JF52" s="20" t="n">
        <f aca="false">IF(AND(H_Direct=1,CF52&gt;0),MAX(0,JE52-(MIN(CF52*ALF51,JE52+MR52)-MIN(MIN(CF52*ALF51,JE52+MR52),MR52))),JE52)</f>
        <v>1270</v>
      </c>
      <c r="JG52" s="20" t="n">
        <f aca="false">IF(AND(H_Direct=1,CG52&gt;0),MAX(0,JF52-(MIN(CG52*ALG51,JF52+MS52)-MIN(MIN(CG52*ALG51,JF52+MS52),MS52))),JF52)</f>
        <v>1270</v>
      </c>
      <c r="JH52" s="20" t="n">
        <f aca="false">IF(AND(H_Direct=1,CH52&gt;0),MAX(0,JG52-(MIN(CH52*ALH51,JG52+MT52)-MIN(MIN(CH52*ALH51,JG52+MT52),MT52))),JG52)</f>
        <v>1270</v>
      </c>
      <c r="JI52" s="20" t="n">
        <f aca="false">IF(AND(H_Direct=1,CI52&gt;0),MAX(0,JH52-(MIN(CI52*ALI51,JH52+MU52)-MIN(MIN(CI52*ALI51,JH52+MU52),MU52))),JH52)</f>
        <v>1270</v>
      </c>
      <c r="JJ52" s="20" t="n">
        <f aca="false">IF(AND(H_Direct=1,CJ52&gt;0),MAX(0,JI52-(MIN(CJ52*ALJ51,JI52+MV52)-MIN(MIN(CJ52*ALJ51,JI52+MV52),MV52))),JI52)</f>
        <v>1270</v>
      </c>
      <c r="JK52" s="20" t="n">
        <f aca="false">IF(AND(H_Direct=1,CK52&gt;0),MAX(0,JJ52-(MIN(CK52*ALK51,JJ52+MW52)-MIN(MIN(CK52*ALK51,JJ52+MW52),MW52))),JJ52)</f>
        <v>1270</v>
      </c>
      <c r="JL52" s="20" t="n">
        <f aca="false">IF(AND(H_Direct=1,CL52&gt;0),MAX(0,JK52-(MIN(CL52*ALL51,JK52+MX52)-MIN(MIN(CL52*ALL51,JK52+MX52),MX52))),JK52)</f>
        <v>1270</v>
      </c>
      <c r="JM52" s="20" t="n">
        <f aca="false">IF(AND(H_Direct=1,CM52&gt;0),MAX(0,JL52-(MIN(CM52*ALM51,JL52+MY52)-MIN(MIN(CM52*ALM51,JL52+MY52),MY52))),JL52)</f>
        <v>1270</v>
      </c>
      <c r="JN52" s="20" t="n">
        <f aca="false">IF(AND(H_Direct=1,CN52&gt;0),MAX(0,JM52-(MIN(CN52*ALN51,JM52+MZ52)-MIN(MIN(CN52*ALN51,JM52+MZ52),MZ52))),JM52)</f>
        <v>1270</v>
      </c>
      <c r="JO52" s="20" t="n">
        <f aca="false">IF(AND(H_Direct=1,CO52&gt;0),MAX(0,JN52-(MIN(CO52*ALO51,JN52+NA52)-MIN(MIN(CO52*ALO51,JN52+NA52),NA52))),JN52)</f>
        <v>1270</v>
      </c>
      <c r="JP52" s="20" t="n">
        <f aca="false">IF(AND(H_Direct=1,CP52&gt;0),MAX(0,JO52-(MIN(CP52*ALP51,JO52+NB52)-MIN(MIN(CP52*ALP51,JO52+NB52),NB52))),JO52)</f>
        <v>1270</v>
      </c>
      <c r="JQ52" s="20" t="n">
        <f aca="false">IF(AND(H_Direct=1,CQ52&gt;0),MAX(0,JP52-(MIN(CQ52*ALQ51,JP52+NC52)-MIN(MIN(CQ52*ALQ51,JP52+NC52),NC52))),JP52)</f>
        <v>1270</v>
      </c>
      <c r="JR52" s="20" t="n">
        <f aca="false">IF(AND(H_Direct=1,CR52&gt;0),MAX(0,JQ52-(MIN(CR52*ALR51,JQ52+ND52)-MIN(MIN(CR52*ALR51,JQ52+ND52),ND52))),JQ52)</f>
        <v>1270</v>
      </c>
      <c r="JS52" s="20" t="n">
        <f aca="false">IF(AND(H_Direct=1,CS52&gt;0),MAX(0,JR52-(MIN(CS52*ALS51,JR52+NE52)-MIN(MIN(CS52*ALS51,JR52+NE52),NE52))),JR52)</f>
        <v>1270</v>
      </c>
      <c r="JT52" s="20" t="n">
        <f aca="false">IF(AND(H_Direct=1,CT52&gt;0),MAX(0,JS52-(MIN(CT52*ALT51,JS52+NF52)-MIN(MIN(CT52*ALT51,JS52+NF52),NF52))),JS52)</f>
        <v>1270</v>
      </c>
      <c r="JU52" s="20" t="n">
        <f aca="false">IF(AND(H_Direct=1,CU52&gt;0),MAX(0,JT52-(MIN(CU52*ALU51,JT52+NG52)-MIN(MIN(CU52*ALU51,JT52+NG52),NG52))),JT52)</f>
        <v>1270</v>
      </c>
      <c r="JV52" s="20" t="n">
        <f aca="false">IF(AND(H_Direct=1,CV52&gt;0),MAX(0,JU52-(MIN(CV52*ALV51,JU52+NH52)-MIN(MIN(CV52*ALV51,JU52+NH52),NH52))),JU52)</f>
        <v>1270</v>
      </c>
      <c r="JW52" s="20" t="n">
        <f aca="false">IF(AND(H_Direct=1,CW52&gt;0),MAX(0,JV52-(MIN(CW52*ALW51,JV52+NI52)-MIN(MIN(CW52*ALW51,JV52+NI52),NI52))),JV52)</f>
        <v>1270</v>
      </c>
      <c r="JX52" s="20" t="n">
        <f aca="false">IF(AND(H_Direct=1,CX52&gt;0),MAX(0,JW52-(MIN(CX52*ALX51,JW52+NJ52)-MIN(MIN(CX52*ALX51,JW52+NJ52),NJ52))),JW52)</f>
        <v>1270</v>
      </c>
      <c r="JY52" s="20" t="n">
        <f aca="false">IF(AND(H_Direct=1,CY52&gt;0),MAX(0,JX52-(MIN(CY52*ALY51,JX52+NK52)-MIN(MIN(CY52*ALY51,JX52+NK52),NK52))),JX52)</f>
        <v>1270</v>
      </c>
      <c r="JZ52" s="20" t="n">
        <f aca="false">IF(AND(H_Direct=1,CZ52&gt;0),MAX(0,JY52-(MIN(CZ52*ALZ51,JY52+NL52)-MIN(MIN(CZ52*ALZ51,JY52+NL52),NL52))),JY52)</f>
        <v>1270</v>
      </c>
      <c r="KA52" s="20" t="n">
        <f aca="false">IF(AND(H_Direct=1,DA52&gt;0),MAX(0,JZ52-(MIN(DA52*AMA51,JZ52+NM52)-MIN(MIN(DA52*AMA51,JZ52+NM52),NM52))),JZ52)</f>
        <v>1270</v>
      </c>
      <c r="KB52" s="20" t="n">
        <f aca="false">IF(AND(H_Direct=1,DB52&gt;0),MAX(0,KA52-(MIN(DB52*AMB51,KA52+NN52)-MIN(MIN(DB52*AMB51,KA52+NN52),NN52))),KA52)</f>
        <v>1270</v>
      </c>
      <c r="KC52" s="20" t="n">
        <f aca="false">IF(AND(H_Direct=1,DC52&gt;0),MAX(0,KB52-(MIN(DC52*AMC51,KB52+NO52)-MIN(MIN(DC52*AMC51,KB52+NO52),NO52))),KB52)</f>
        <v>1270</v>
      </c>
      <c r="KD52" s="20" t="n">
        <f aca="false">IF(AND(H_Direct=1,DD52&gt;0),MAX(0,KC52-(MIN(DD52*AMD51,KC52+NP52)-MIN(MIN(DD52*AMD51,KC52+NP52),NP52))),KC52)</f>
        <v>1270</v>
      </c>
      <c r="KE52" s="20" t="n">
        <f aca="false">IF(AND(H_Direct=1,DE52&gt;0),MAX(0,KD52-(MIN(DE52*AME51,KD52+NQ52)-MIN(MIN(DE52*AME51,KD52+NQ52),NQ52))),KD52)</f>
        <v>1270</v>
      </c>
      <c r="KF52" s="20" t="n">
        <f aca="false">IF(AND(H_Direct=1,DF52&gt;0),MAX(0,KE52-(MIN(DF52*AMF51,KE52+NR52)-MIN(MIN(DF52*AMF51,KE52+NR52),NR52))),KE52)</f>
        <v>1270</v>
      </c>
      <c r="KG52" s="20" t="n">
        <f aca="false">IF(AND(H_Direct=1,DG52&gt;0),MAX(0,KF52-(MIN(DG52*AMG51,KF52+NS52)-MIN(MIN(DG52*AMG51,KF52+NS52),NS52))),KF52)</f>
        <v>1270</v>
      </c>
      <c r="KH52" s="20" t="n">
        <f aca="false">IF(AND(H_Direct=1,DH52&gt;0),MAX(0,KG52-(MIN(DH52*AMH51,KG52+NT52)-MIN(MIN(DH52*AMH51,KG52+NT52),NT52))),KG52)</f>
        <v>1270</v>
      </c>
      <c r="KI52" s="20" t="n">
        <f aca="false">IF(AND(H_Direct=1,DI52&gt;0),MAX(0,KH52-(MIN(DI52*AMI51,KH52+NU52)-MIN(MIN(DI52*AMI51,KH52+NU52),NU52))),KH52)</f>
        <v>1270</v>
      </c>
      <c r="KJ52" s="20" t="n">
        <f aca="false">IF(AND(H_Direct=1,DJ52&gt;0),MAX(0,KI52-(MIN(DJ52*AMJ51,KI52+NV52)-MIN(MIN(DJ52*AMJ51,KI52+NV52),NV52))),KI52)</f>
        <v>1270</v>
      </c>
      <c r="KK52" s="20" t="n">
        <f aca="false">IF(AND(H_Direct=1,DK52&gt;0),MAX(0,KJ52-(MIN(DK52*(P52+S52),KJ52+NW52)-MIN(MIN(DK52*(P52+S52),KJ52+NW52),NW52))),KJ52)</f>
        <v>1270</v>
      </c>
      <c r="KL52" s="20" t="n">
        <f aca="false">KK52</f>
        <v>1270</v>
      </c>
      <c r="KM52" s="20" t="n">
        <f aca="false">KL52</f>
        <v>1270</v>
      </c>
      <c r="KN52" s="20" t="n">
        <f aca="false">KM52</f>
        <v>1270</v>
      </c>
      <c r="KO52" s="20" t="n">
        <f aca="false">KN52</f>
        <v>1270</v>
      </c>
      <c r="KP52" s="20" t="n">
        <f aca="false">KO52</f>
        <v>1270</v>
      </c>
      <c r="KQ52" s="20" t="n">
        <f aca="false">KP52</f>
        <v>1270</v>
      </c>
      <c r="KR52" s="20" t="n">
        <f aca="false">KQ52</f>
        <v>1270</v>
      </c>
      <c r="KS52" s="20" t="n">
        <f aca="false">KR52</f>
        <v>1270</v>
      </c>
      <c r="KT52" s="20" t="n">
        <f aca="false">KS52</f>
        <v>1270</v>
      </c>
      <c r="KU52" s="20" t="n">
        <f aca="false">KT52</f>
        <v>1270</v>
      </c>
      <c r="KV52" s="20" t="n">
        <f aca="false">KU52</f>
        <v>1270</v>
      </c>
      <c r="KW52" s="20" t="n">
        <f aca="false">KV52</f>
        <v>1270</v>
      </c>
      <c r="KX52" s="20" t="n">
        <f aca="false">KW52</f>
        <v>1270</v>
      </c>
      <c r="KY52" s="20" t="n">
        <f aca="false">KX52</f>
        <v>1270</v>
      </c>
      <c r="KZ52" s="20" t="n">
        <f aca="false">KY52</f>
        <v>1270</v>
      </c>
      <c r="LA52" s="20" t="n">
        <f aca="false">KZ52</f>
        <v>1270</v>
      </c>
      <c r="LB52" s="20" t="n">
        <f aca="false">LA52</f>
        <v>1270</v>
      </c>
      <c r="LC52" s="20" t="n">
        <f aca="false">LB52</f>
        <v>1270</v>
      </c>
      <c r="LD52" s="20" t="n">
        <f aca="false">LC52</f>
        <v>1270</v>
      </c>
      <c r="LE52" s="20" t="n">
        <f aca="false">LD52</f>
        <v>1270</v>
      </c>
      <c r="LF52" s="20" t="n">
        <f aca="false">LE52</f>
        <v>1270</v>
      </c>
      <c r="LG52" s="20" t="n">
        <f aca="false">LF52</f>
        <v>1270</v>
      </c>
      <c r="LH52" s="20" t="n">
        <f aca="false">LG52</f>
        <v>1270</v>
      </c>
      <c r="LI52" s="20" t="n">
        <f aca="false">LH52</f>
        <v>1270</v>
      </c>
      <c r="LJ52" s="20" t="n">
        <f aca="false">LI52</f>
        <v>1270</v>
      </c>
      <c r="LK52" s="20" t="n">
        <f aca="false">LJ52</f>
        <v>1270</v>
      </c>
      <c r="LL52" s="20" t="n">
        <f aca="false">LK52</f>
        <v>1270</v>
      </c>
      <c r="LM52" s="20" t="n">
        <f aca="false">LL52</f>
        <v>1270</v>
      </c>
      <c r="LN52" s="20" t="n">
        <f aca="false">LM52</f>
        <v>1270</v>
      </c>
      <c r="LO52" s="20" t="n">
        <f aca="false">LN52</f>
        <v>1270</v>
      </c>
      <c r="LP52" s="20" t="n">
        <f aca="false">LO52</f>
        <v>1270</v>
      </c>
      <c r="LQ52" s="20" t="n">
        <f aca="false">LP52</f>
        <v>1270</v>
      </c>
      <c r="LR52" s="20" t="n">
        <f aca="false">LQ52</f>
        <v>1270</v>
      </c>
      <c r="LS52" s="20" t="n">
        <f aca="false">LR52</f>
        <v>1270</v>
      </c>
      <c r="LT52" s="20" t="n">
        <f aca="false">LS52</f>
        <v>1270</v>
      </c>
      <c r="LU52" s="20" t="n">
        <f aca="false">LT52</f>
        <v>1270</v>
      </c>
      <c r="LV52" s="20" t="n">
        <f aca="false">LU52</f>
        <v>1270</v>
      </c>
      <c r="LW52" s="20" t="n">
        <f aca="false">LV52</f>
        <v>1270</v>
      </c>
      <c r="LX52" s="20" t="n">
        <f aca="false">LW52</f>
        <v>1270</v>
      </c>
      <c r="LY52" s="20" t="n">
        <f aca="false">LX52</f>
        <v>1270</v>
      </c>
      <c r="LZ52" s="20" t="n">
        <f aca="false">LY52</f>
        <v>1270</v>
      </c>
      <c r="MA52" s="20" t="n">
        <f aca="false">LZ52</f>
        <v>1270</v>
      </c>
      <c r="MB52" s="20" t="n">
        <f aca="false">MA52</f>
        <v>1270</v>
      </c>
      <c r="MC52" s="20" t="n">
        <f aca="false">MB52</f>
        <v>1270</v>
      </c>
      <c r="MD52" s="20" t="n">
        <f aca="false">MC52</f>
        <v>1270</v>
      </c>
      <c r="ME52" s="20" t="n">
        <f aca="false">IF(H_Direct=1,IF(BR52&lt;=0,I52-BR52*AKR51,I52-MIN(MIN(BR52*AKR51,H52+I52),I52)),I52)</f>
        <v>0</v>
      </c>
      <c r="MF52" s="20" t="n">
        <f aca="false">IF(H_Direct=1,IF(BS52&lt;=0,ME52-BS52*AKS51,ME52-MIN(MIN(BS52*AKS51,IR52+ME52),ME52)),ME52)</f>
        <v>0</v>
      </c>
      <c r="MG52" s="20" t="n">
        <f aca="false">IF(H_Direct=1,IF(BT52&lt;=0,MF52-BT52*AKT51,MF52-MIN(MIN(BT52*AKT51,IS52+MF52),MF52)),MF52)</f>
        <v>0</v>
      </c>
      <c r="MH52" s="20" t="n">
        <f aca="false">IF(H_Direct=1,IF(BU52&lt;=0,MG52-BU52*AKU51,MG52-MIN(MIN(BU52*AKU51,IT52+MG52),MG52)),MG52)</f>
        <v>0</v>
      </c>
      <c r="MI52" s="20" t="n">
        <f aca="false">IF(H_Direct=1,IF(BV52&lt;=0,MH52-BV52*AKV51,MH52-MIN(MIN(BV52*AKV51,IU52+MH52),MH52)),MH52)</f>
        <v>0</v>
      </c>
      <c r="MJ52" s="20" t="n">
        <f aca="false">IF(H_Direct=1,IF(BW52&lt;=0,MI52-BW52*AKW51,MI52-MIN(MIN(BW52*AKW51,IV52+MI52),MI52)),MI52)</f>
        <v>0</v>
      </c>
      <c r="MK52" s="20" t="n">
        <f aca="false">IF(H_Direct=1,IF(BX52&lt;=0,MJ52-BX52*AKX51,MJ52-MIN(MIN(BX52*AKX51,IW52+MJ52),MJ52)),MJ52)</f>
        <v>0</v>
      </c>
      <c r="ML52" s="20" t="n">
        <f aca="false">IF(H_Direct=1,IF(BY52&lt;=0,MK52-BY52*AKY51,MK52-MIN(MIN(BY52*AKY51,IX52+MK52),MK52)),MK52)</f>
        <v>0</v>
      </c>
      <c r="MM52" s="20" t="n">
        <f aca="false">IF(H_Direct=1,IF(BZ52&lt;=0,ML52-BZ52*AKZ51,ML52-MIN(MIN(BZ52*AKZ51,IY52+ML52),ML52)),ML52)</f>
        <v>0</v>
      </c>
      <c r="MN52" s="20" t="n">
        <f aca="false">IF(H_Direct=1,IF(CA52&lt;=0,MM52-CA52*ALA51,MM52-MIN(MIN(CA52*ALA51,IZ52+MM52),MM52)),MM52)</f>
        <v>0</v>
      </c>
      <c r="MO52" s="20" t="n">
        <f aca="false">IF(H_Direct=1,IF(CB52&lt;=0,MN52-CB52*ALB51,MN52-MIN(MIN(CB52*ALB51,JA52+MN52),MN52)),MN52)</f>
        <v>0</v>
      </c>
      <c r="MP52" s="20" t="n">
        <f aca="false">IF(H_Direct=1,IF(CC52&lt;=0,MO52-CC52*ALC51,MO52-MIN(MIN(CC52*ALC51,JB52+MO52),MO52)),MO52)</f>
        <v>0</v>
      </c>
      <c r="MQ52" s="20" t="n">
        <f aca="false">IF(H_Direct=1,IF(CD52&lt;=0,MP52-CD52*ALD51,MP52-MIN(MIN(CD52*ALD51,JC52+MP52),MP52)),MP52)</f>
        <v>0</v>
      </c>
      <c r="MR52" s="20" t="n">
        <f aca="false">IF(H_Direct=1,IF(CE52&lt;=0,MQ52-CE52*ALE51,MQ52-MIN(MIN(CE52*ALE51,JD52+MQ52),MQ52)),MQ52)</f>
        <v>0</v>
      </c>
      <c r="MS52" s="20" t="n">
        <f aca="false">IF(H_Direct=1,IF(CF52&lt;=0,MR52-CF52*ALF51,MR52-MIN(MIN(CF52*ALF51,JE52+MR52),MR52)),MR52)</f>
        <v>0</v>
      </c>
      <c r="MT52" s="20" t="n">
        <f aca="false">IF(H_Direct=1,IF(CG52&lt;=0,MS52-CG52*ALG51,MS52-MIN(MIN(CG52*ALG51,JF52+MS52),MS52)),MS52)</f>
        <v>0</v>
      </c>
      <c r="MU52" s="20" t="n">
        <f aca="false">IF(H_Direct=1,IF(CH52&lt;=0,MT52-CH52*ALH51,MT52-MIN(MIN(CH52*ALH51,JG52+MT52),MT52)),MT52)</f>
        <v>0</v>
      </c>
      <c r="MV52" s="20" t="n">
        <f aca="false">IF(H_Direct=1,IF(CI52&lt;=0,MU52-CI52*ALI51,MU52-MIN(MIN(CI52*ALI51,JH52+MU52),MU52)),MU52)</f>
        <v>0</v>
      </c>
      <c r="MW52" s="20" t="n">
        <f aca="false">IF(H_Direct=1,IF(CJ52&lt;=0,MV52-CJ52*ALJ51,MV52-MIN(MIN(CJ52*ALJ51,JI52+MV52),MV52)),MV52)</f>
        <v>0</v>
      </c>
      <c r="MX52" s="20" t="n">
        <f aca="false">IF(H_Direct=1,IF(CK52&lt;=0,MW52-CK52*ALK51,MW52-MIN(MIN(CK52*ALK51,JJ52+MW52),MW52)),MW52)</f>
        <v>0</v>
      </c>
      <c r="MY52" s="20" t="n">
        <f aca="false">IF(H_Direct=1,IF(CL52&lt;=0,MX52-CL52*ALL51,MX52-MIN(MIN(CL52*ALL51,JK52+MX52),MX52)),MX52)</f>
        <v>0</v>
      </c>
      <c r="MZ52" s="20" t="n">
        <f aca="false">IF(H_Direct=1,IF(CM52&lt;=0,MY52-CM52*ALM51,MY52-MIN(MIN(CM52*ALM51,JL52+MY52),MY52)),MY52)</f>
        <v>0</v>
      </c>
      <c r="NA52" s="20" t="n">
        <f aca="false">IF(H_Direct=1,IF(CN52&lt;=0,MZ52-CN52*ALN51,MZ52-MIN(MIN(CN52*ALN51,JM52+MZ52),MZ52)),MZ52)</f>
        <v>0</v>
      </c>
      <c r="NB52" s="20" t="n">
        <f aca="false">IF(H_Direct=1,IF(CO52&lt;=0,NA52-CO52*ALO51,NA52-MIN(MIN(CO52*ALO51,JN52+NA52),NA52)),NA52)</f>
        <v>0</v>
      </c>
      <c r="NC52" s="20" t="n">
        <f aca="false">IF(H_Direct=1,IF(CP52&lt;=0,NB52-CP52*ALP51,NB52-MIN(MIN(CP52*ALP51,JO52+NB52),NB52)),NB52)</f>
        <v>0</v>
      </c>
      <c r="ND52" s="20" t="n">
        <f aca="false">IF(H_Direct=1,IF(CQ52&lt;=0,NC52-CQ52*ALQ51,NC52-MIN(MIN(CQ52*ALQ51,JP52+NC52),NC52)),NC52)</f>
        <v>0</v>
      </c>
      <c r="NE52" s="20" t="n">
        <f aca="false">IF(H_Direct=1,IF(CR52&lt;=0,ND52-CR52*ALR51,ND52-MIN(MIN(CR52*ALR51,JQ52+ND52),ND52)),ND52)</f>
        <v>0</v>
      </c>
      <c r="NF52" s="20" t="n">
        <f aca="false">IF(H_Direct=1,IF(CS52&lt;=0,NE52-CS52*ALS51,NE52-MIN(MIN(CS52*ALS51,JR52+NE52),NE52)),NE52)</f>
        <v>0</v>
      </c>
      <c r="NG52" s="20" t="n">
        <f aca="false">IF(H_Direct=1,IF(CT52&lt;=0,NF52-CT52*ALT51,NF52-MIN(MIN(CT52*ALT51,JS52+NF52),NF52)),NF52)</f>
        <v>0</v>
      </c>
      <c r="NH52" s="20" t="n">
        <f aca="false">IF(H_Direct=1,IF(CU52&lt;=0,NG52-CU52*ALU51,NG52-MIN(MIN(CU52*ALU51,JT52+NG52),NG52)),NG52)</f>
        <v>0</v>
      </c>
      <c r="NI52" s="20" t="n">
        <f aca="false">IF(H_Direct=1,IF(CV52&lt;=0,NH52-CV52*ALV51,NH52-MIN(MIN(CV52*ALV51,JU52+NH52),NH52)),NH52)</f>
        <v>0</v>
      </c>
      <c r="NJ52" s="20" t="n">
        <f aca="false">IF(H_Direct=1,IF(CW52&lt;=0,NI52-CW52*ALW51,NI52-MIN(MIN(CW52*ALW51,JV52+NI52),NI52)),NI52)</f>
        <v>0</v>
      </c>
      <c r="NK52" s="20" t="n">
        <f aca="false">IF(H_Direct=1,IF(CX52&lt;=0,NJ52-CX52*ALX51,NJ52-MIN(MIN(CX52*ALX51,JW52+NJ52),NJ52)),NJ52)</f>
        <v>0</v>
      </c>
      <c r="NL52" s="20" t="n">
        <f aca="false">IF(H_Direct=1,IF(CY52&lt;=0,NK52-CY52*ALY51,NK52-MIN(MIN(CY52*ALY51,JX52+NK52),NK52)),NK52)</f>
        <v>0</v>
      </c>
      <c r="NM52" s="20" t="n">
        <f aca="false">IF(H_Direct=1,IF(CZ52&lt;=0,NL52-CZ52*ALZ51,NL52-MIN(MIN(CZ52*ALZ51,JY52+NL52),NL52)),NL52)</f>
        <v>0</v>
      </c>
      <c r="NN52" s="20" t="n">
        <f aca="false">IF(H_Direct=1,IF(DA52&lt;=0,NM52-DA52*AMA51,NM52-MIN(MIN(DA52*AMA51,JZ52+NM52),NM52)),NM52)</f>
        <v>0</v>
      </c>
      <c r="NO52" s="20" t="n">
        <f aca="false">IF(H_Direct=1,IF(DB52&lt;=0,NN52-DB52*AMB51,NN52-MIN(MIN(DB52*AMB51,KA52+NN52),NN52)),NN52)</f>
        <v>0</v>
      </c>
      <c r="NP52" s="20" t="n">
        <f aca="false">IF(H_Direct=1,IF(DC52&lt;=0,NO52-DC52*AMC51,NO52-MIN(MIN(DC52*AMC51,KB52+NO52),NO52)),NO52)</f>
        <v>0</v>
      </c>
      <c r="NQ52" s="20" t="n">
        <f aca="false">IF(H_Direct=1,IF(DD52&lt;=0,NP52-DD52*AMD51,NP52-MIN(MIN(DD52*AMD51,KC52+NP52),NP52)),NP52)</f>
        <v>0</v>
      </c>
      <c r="NR52" s="20" t="n">
        <f aca="false">IF(H_Direct=1,IF(DE52&lt;=0,NQ52-DE52*AME51,NQ52-MIN(MIN(DE52*AME51,KD52+NQ52),NQ52)),NQ52)</f>
        <v>0</v>
      </c>
      <c r="NS52" s="20" t="n">
        <f aca="false">IF(H_Direct=1,IF(DF52&lt;=0,NR52-DF52*AMF51,NR52-MIN(MIN(DF52*AMF51,KE52+NR52),NR52)),NR52)</f>
        <v>0</v>
      </c>
      <c r="NT52" s="20" t="n">
        <f aca="false">IF(H_Direct=1,IF(DG52&lt;=0,NS52-DG52*AMG51,NS52-MIN(MIN(DG52*AMG51,KF52+NS52),NS52)),NS52)</f>
        <v>0</v>
      </c>
      <c r="NU52" s="20" t="n">
        <f aca="false">IF(H_Direct=1,IF(DH52&lt;=0,NT52-DH52*AMH51,NT52-MIN(MIN(DH52*AMH51,KG52+NT52),NT52)),NT52)</f>
        <v>0</v>
      </c>
      <c r="NV52" s="20" t="n">
        <f aca="false">IF(H_Direct=1,IF(DI52&lt;=0,NU52-DI52*AMI51,NU52-MIN(MIN(DI52*AMI51,KH52+NU52),NU52)),NU52)</f>
        <v>0</v>
      </c>
      <c r="NW52" s="20" t="n">
        <f aca="false">IF(H_Direct=1,IF(DJ52&lt;=0,NV52-DJ52*AMJ51,NV52-MIN(MIN(DJ52*AMJ51,KI52+NV52),NV52)),NV52)</f>
        <v>0</v>
      </c>
      <c r="NX52" s="20" t="n">
        <f aca="false">IF(H_Direct=1,IF(DK52&lt;=0,NW52-DK52*(P52+S52),NW52-MIN(MIN(DK52*(P52+S52),KJ52+NW52),NW52)),NW52)</f>
        <v>0</v>
      </c>
      <c r="NY52" s="20" t="n">
        <f aca="false">NX52</f>
        <v>0</v>
      </c>
      <c r="NZ52" s="20" t="n">
        <f aca="false">NY52</f>
        <v>0</v>
      </c>
      <c r="OA52" s="20" t="n">
        <f aca="false">NZ52</f>
        <v>0</v>
      </c>
      <c r="OB52" s="20" t="n">
        <f aca="false">OA52</f>
        <v>0</v>
      </c>
      <c r="OC52" s="20" t="n">
        <f aca="false">OB52</f>
        <v>0</v>
      </c>
      <c r="OD52" s="20" t="n">
        <f aca="false">OC52</f>
        <v>0</v>
      </c>
      <c r="OE52" s="20" t="n">
        <f aca="false">OD52</f>
        <v>0</v>
      </c>
      <c r="OF52" s="20" t="n">
        <f aca="false">OE52</f>
        <v>0</v>
      </c>
      <c r="OG52" s="20" t="n">
        <f aca="false">OF52</f>
        <v>0</v>
      </c>
      <c r="OH52" s="20" t="n">
        <f aca="false">OG52</f>
        <v>0</v>
      </c>
      <c r="OI52" s="20" t="n">
        <f aca="false">OH52</f>
        <v>0</v>
      </c>
      <c r="OJ52" s="20" t="n">
        <f aca="false">OI52</f>
        <v>0</v>
      </c>
      <c r="OK52" s="20" t="n">
        <f aca="false">OJ52</f>
        <v>0</v>
      </c>
      <c r="OL52" s="20" t="n">
        <f aca="false">OK52</f>
        <v>0</v>
      </c>
      <c r="OM52" s="20" t="n">
        <f aca="false">OL52</f>
        <v>0</v>
      </c>
      <c r="ON52" s="20" t="n">
        <f aca="false">OM52</f>
        <v>0</v>
      </c>
      <c r="OO52" s="20" t="n">
        <f aca="false">ON52</f>
        <v>0</v>
      </c>
      <c r="OP52" s="20" t="n">
        <f aca="false">OO52</f>
        <v>0</v>
      </c>
      <c r="OQ52" s="20" t="n">
        <f aca="false">OP52</f>
        <v>0</v>
      </c>
      <c r="OR52" s="20" t="n">
        <f aca="false">OQ52</f>
        <v>0</v>
      </c>
      <c r="OS52" s="20" t="n">
        <f aca="false">OR52</f>
        <v>0</v>
      </c>
      <c r="OT52" s="20" t="n">
        <f aca="false">OS52</f>
        <v>0</v>
      </c>
      <c r="OU52" s="20" t="n">
        <f aca="false">OT52</f>
        <v>0</v>
      </c>
      <c r="OV52" s="20" t="n">
        <f aca="false">OU52</f>
        <v>0</v>
      </c>
      <c r="OW52" s="20" t="n">
        <f aca="false">OV52</f>
        <v>0</v>
      </c>
      <c r="OX52" s="20" t="n">
        <f aca="false">OW52</f>
        <v>0</v>
      </c>
      <c r="OY52" s="20" t="n">
        <f aca="false">OX52</f>
        <v>0</v>
      </c>
      <c r="OZ52" s="20" t="n">
        <f aca="false">OY52</f>
        <v>0</v>
      </c>
      <c r="PA52" s="20" t="n">
        <f aca="false">OZ52</f>
        <v>0</v>
      </c>
      <c r="PB52" s="20" t="n">
        <f aca="false">PA52</f>
        <v>0</v>
      </c>
      <c r="PC52" s="20" t="n">
        <f aca="false">PB52</f>
        <v>0</v>
      </c>
      <c r="PD52" s="20" t="n">
        <f aca="false">PC52</f>
        <v>0</v>
      </c>
      <c r="PE52" s="20" t="n">
        <f aca="false">PD52</f>
        <v>0</v>
      </c>
      <c r="PF52" s="20" t="n">
        <f aca="false">PE52</f>
        <v>0</v>
      </c>
      <c r="PG52" s="20" t="n">
        <f aca="false">PF52</f>
        <v>0</v>
      </c>
      <c r="PH52" s="20" t="n">
        <f aca="false">PG52</f>
        <v>0</v>
      </c>
      <c r="PI52" s="20" t="n">
        <f aca="false">PH52</f>
        <v>0</v>
      </c>
      <c r="PJ52" s="20" t="n">
        <f aca="false">PI52</f>
        <v>0</v>
      </c>
      <c r="PK52" s="20" t="n">
        <f aca="false">PJ52</f>
        <v>0</v>
      </c>
      <c r="PL52" s="20" t="n">
        <f aca="false">PK52</f>
        <v>0</v>
      </c>
      <c r="PM52" s="20" t="n">
        <f aca="false">PL52</f>
        <v>0</v>
      </c>
      <c r="PN52" s="20" t="n">
        <f aca="false">PM52</f>
        <v>0</v>
      </c>
      <c r="PO52" s="20" t="n">
        <f aca="false">PN52</f>
        <v>0</v>
      </c>
      <c r="PP52" s="20" t="n">
        <f aca="false">PO52</f>
        <v>0</v>
      </c>
      <c r="PQ52" s="20" t="n">
        <f aca="false">PP52</f>
        <v>0</v>
      </c>
      <c r="PR52" s="20" t="n">
        <f aca="false">IF(H_Direct=1,IF(AKR51&lt;=0,0,IF(BR52&lt;=0,MIN(MAX(0,AB52),AKR51),MIN(MAX(0,AB52),AKR51-G52*MAX(0,BR52*AKR51-(H52+I52))))),MIN(FE52,MAX(0,AB52)))</f>
        <v>0</v>
      </c>
      <c r="PS52" s="20" t="n">
        <f aca="false">IF(H_Direct=1,IF(AKS51&lt;=0,0,IF(BS52&lt;=0,MIN(MAX(0,AB52-SUM(PR52:PR52)),AKS51),MIN(MAX(0,AB52-SUM(PR52:PR52)),AKS51-G52*MAX(0,BS52*AKS51-(WR52+AAE52))))),MIN(FF52,MAX(0,AB52-SUM(PR52:PR52))))</f>
        <v>0</v>
      </c>
      <c r="PT52" s="20" t="n">
        <f aca="false">IF(H_Direct=1,IF(AKT51&lt;=0,0,IF(BT52&lt;=0,MIN(MAX(0,AB52-SUM(PR52:PS52)),AKT51),MIN(MAX(0,AB52-SUM(PR52:PS52)),AKT51-G52*MAX(0,BT52*AKT51-(WS52+AAF52))))),MIN(FG52,MAX(0,AB52-SUM(PR52:PS52))))</f>
        <v>0</v>
      </c>
      <c r="PU52" s="20" t="n">
        <f aca="false">IF(H_Direct=1,IF(AKU51&lt;=0,0,IF(BU52&lt;=0,MIN(MAX(0,AB52-SUM(PR52:PT52)),AKU51),MIN(MAX(0,AB52-SUM(PR52:PT52)),AKU51-G52*MAX(0,BU52*AKU51-(WT52+AAG52))))),MIN(FH52,MAX(0,AB52-SUM(PR52:PT52))))</f>
        <v>0</v>
      </c>
      <c r="PV52" s="20" t="n">
        <f aca="false">IF(H_Direct=1,IF(AKV51&lt;=0,0,IF(BV52&lt;=0,MIN(MAX(0,AB52-SUM(PR52:PU52)),AKV51),MIN(MAX(0,AB52-SUM(PR52:PU52)),AKV51-G52*MAX(0,BV52*AKV51-(WU52+AAH52))))),MIN(FI52,MAX(0,AB52-SUM(PR52:PU52))))</f>
        <v>0</v>
      </c>
      <c r="PW52" s="20" t="n">
        <f aca="false">IF(H_Direct=1,IF(AKW51&lt;=0,0,IF(BW52&lt;=0,MIN(MAX(0,AB52-SUM(PR52:PV52)),AKW51),MIN(MAX(0,AB52-SUM(PR52:PV52)),AKW51-G52*MAX(0,BW52*AKW51-(WV52+AAI52))))),MIN(FJ52,MAX(0,AB52-SUM(PR52:PV52))))</f>
        <v>0</v>
      </c>
      <c r="PX52" s="20" t="n">
        <f aca="false">IF(H_Direct=1,IF(AKX51&lt;=0,0,IF(BX52&lt;=0,MIN(MAX(0,AB52-SUM(PR52:PW52)),AKX51),MIN(MAX(0,AB52-SUM(PR52:PW52)),AKX51-G52*MAX(0,BX52*AKX51-(WW52+AAJ52))))),MIN(FK52,MAX(0,AB52-SUM(PR52:PW52))))</f>
        <v>0</v>
      </c>
      <c r="PY52" s="20" t="n">
        <f aca="false">IF(H_Direct=1,IF(AKY51&lt;=0,0,IF(BY52&lt;=0,MIN(MAX(0,AB52-SUM(PR52:PX52)),AKY51),MIN(MAX(0,AB52-SUM(PR52:PX52)),AKY51-G52*MAX(0,BY52*AKY51-(WX52+AAK52))))),MIN(FL52,MAX(0,AB52-SUM(PR52:PX52))))</f>
        <v>0</v>
      </c>
      <c r="PZ52" s="20" t="n">
        <f aca="false">IF(H_Direct=1,IF(AKZ51&lt;=0,0,IF(BZ52&lt;=0,MIN(MAX(0,AB52-SUM(PR52:PY52)),AKZ51),MIN(MAX(0,AB52-SUM(PR52:PY52)),AKZ51-G52*MAX(0,BZ52*AKZ51-(WY52+AAL52))))),MIN(FM52,MAX(0,AB52-SUM(PR52:PY52))))</f>
        <v>0</v>
      </c>
      <c r="QA52" s="20" t="n">
        <f aca="false">IF(H_Direct=1,IF(ALA51&lt;=0,0,IF(CA52&lt;=0,MIN(MAX(0,AB52-SUM(PR52:PZ52)),ALA51),MIN(MAX(0,AB52-SUM(PR52:PZ52)),ALA51-G52*MAX(0,CA52*ALA51-(WZ52+AAM52))))),MIN(FN52,MAX(0,AB52-SUM(PR52:PZ52))))</f>
        <v>0</v>
      </c>
      <c r="QB52" s="20" t="n">
        <f aca="false">IF(H_Direct=1,IF(ALB51&lt;=0,0,IF(CB52&lt;=0,MIN(MAX(0,AB52-SUM(PR52:QA52)),ALB51),MIN(MAX(0,AB52-SUM(PR52:QA52)),ALB51-G52*MAX(0,CB52*ALB51-(XA52+AAN52))))),MIN(FO52,MAX(0,AB52-SUM(PR52:QA52))))</f>
        <v>0</v>
      </c>
      <c r="QC52" s="20" t="n">
        <f aca="false">IF(H_Direct=1,IF(ALC51&lt;=0,0,IF(CC52&lt;=0,MIN(MAX(0,AB52-SUM(PR52:QB52)),ALC51),MIN(MAX(0,AB52-SUM(PR52:QB52)),ALC51-G52*MAX(0,CC52*ALC51-(XB52+AAO52))))),MIN(FP52,MAX(0,AB52-SUM(PR52:QB52))))</f>
        <v>0</v>
      </c>
      <c r="QD52" s="20" t="n">
        <f aca="false">IF(H_Direct=1,IF(ALD51&lt;=0,0,IF(CD52&lt;=0,MIN(MAX(0,AB52-SUM(PR52:QC52)),ALD51),MIN(MAX(0,AB52-SUM(PR52:QC52)),ALD51-G52*MAX(0,CD52*ALD51-(XC52+AAP52))))),MIN(FQ52,MAX(0,AB52-SUM(PR52:QC52))))</f>
        <v>0</v>
      </c>
      <c r="QE52" s="20" t="n">
        <f aca="false">IF(H_Direct=1,IF(ALE51&lt;=0,0,IF(CE52&lt;=0,MIN(MAX(0,AB52-SUM(PR52:QD52)),ALE51),MIN(MAX(0,AB52-SUM(PR52:QD52)),ALE51-G52*MAX(0,CE52*ALE51-(XD52+AAQ52))))),MIN(FR52,MAX(0,AB52-SUM(PR52:QD52))))</f>
        <v>0</v>
      </c>
      <c r="QF52" s="20" t="n">
        <f aca="false">IF(H_Direct=1,IF(ALF51&lt;=0,0,IF(CF52&lt;=0,MIN(MAX(0,AB52-SUM(PR52:QE52)),ALF51),MIN(MAX(0,AB52-SUM(PR52:QE52)),ALF51-G52*MAX(0,CF52*ALF51-(XE52+AAR52))))),MIN(FS52,MAX(0,AB52-SUM(PR52:QE52))))</f>
        <v>0</v>
      </c>
      <c r="QG52" s="20" t="n">
        <f aca="false">IF(H_Direct=1,IF(ALG51&lt;=0,0,IF(CG52&lt;=0,MIN(MAX(0,AB52-SUM(PR52:QF52)),ALG51),MIN(MAX(0,AB52-SUM(PR52:QF52)),ALG51-G52*MAX(0,CG52*ALG51-(XF52+AAS52))))),MIN(FT52,MAX(0,AB52-SUM(PR52:QF52))))</f>
        <v>0</v>
      </c>
      <c r="QH52" s="20" t="n">
        <f aca="false">IF(H_Direct=1,IF(ALH51&lt;=0,0,IF(CH52&lt;=0,MIN(MAX(0,AB52-SUM(PR52:QG52)),ALH51),MIN(MAX(0,AB52-SUM(PR52:QG52)),ALH51-G52*MAX(0,CH52*ALH51-(XG52+AAT52))))),MIN(FU52,MAX(0,AB52-SUM(PR52:QG52))))</f>
        <v>0</v>
      </c>
      <c r="QI52" s="20" t="n">
        <f aca="false">IF(H_Direct=1,IF(ALI51&lt;=0,0,IF(CI52&lt;=0,MIN(MAX(0,AB52-SUM(PR52:QH52)),ALI51),MIN(MAX(0,AB52-SUM(PR52:QH52)),ALI51-G52*MAX(0,CI52*ALI51-(XH52+AAU52))))),MIN(FV52,MAX(0,AB52-SUM(PR52:QH52))))</f>
        <v>0</v>
      </c>
      <c r="QJ52" s="20" t="n">
        <f aca="false">IF(H_Direct=1,IF(ALJ51&lt;=0,0,IF(CJ52&lt;=0,MIN(MAX(0,AB52-SUM(PR52:QI52)),ALJ51),MIN(MAX(0,AB52-SUM(PR52:QI52)),ALJ51-G52*MAX(0,CJ52*ALJ51-(XI52+AAV52))))),MIN(FW52,MAX(0,AB52-SUM(PR52:QI52))))</f>
        <v>0</v>
      </c>
      <c r="QK52" s="20" t="n">
        <f aca="false">IF(H_Direct=1,IF(ALK51&lt;=0,0,IF(CK52&lt;=0,MIN(MAX(0,AB52-SUM(PR52:QJ52)),ALK51),MIN(MAX(0,AB52-SUM(PR52:QJ52)),ALK51-G52*MAX(0,CK52*ALK51-(XJ52+AAW52))))),MIN(FX52,MAX(0,AB52-SUM(PR52:QJ52))))</f>
        <v>0</v>
      </c>
      <c r="QL52" s="20" t="n">
        <f aca="false">IF(H_Direct=1,IF(ALL51&lt;=0,0,IF(CL52&lt;=0,MIN(MAX(0,AB52-SUM(PR52:QK52)),ALL51),MIN(MAX(0,AB52-SUM(PR52:QK52)),ALL51-G52*MAX(0,CL52*ALL51-(XK52+AAX52))))),MIN(FY52,MAX(0,AB52-SUM(PR52:QK52))))</f>
        <v>0</v>
      </c>
      <c r="QM52" s="20" t="n">
        <f aca="false">IF(H_Direct=1,IF(ALM51&lt;=0,0,IF(CM52&lt;=0,MIN(MAX(0,AB52-SUM(PR52:QL52)),ALM51),MIN(MAX(0,AB52-SUM(PR52:QL52)),ALM51-G52*MAX(0,CM52*ALM51-(XL52+AAY52))))),MIN(FZ52,MAX(0,AB52-SUM(PR52:QL52))))</f>
        <v>0</v>
      </c>
      <c r="QN52" s="20" t="n">
        <f aca="false">IF(H_Direct=1,IF(ALN51&lt;=0,0,IF(CN52&lt;=0,MIN(MAX(0,AB52-SUM(PR52:QM52)),ALN51),MIN(MAX(0,AB52-SUM(PR52:QM52)),ALN51-G52*MAX(0,CN52*ALN51-(XM52+AAZ52))))),MIN(GA52,MAX(0,AB52-SUM(PR52:QM52))))</f>
        <v>0</v>
      </c>
      <c r="QO52" s="20" t="n">
        <f aca="false">IF(H_Direct=1,IF(ALO51&lt;=0,0,IF(CO52&lt;=0,MIN(MAX(0,AB52-SUM(PR52:QN52)),ALO51),MIN(MAX(0,AB52-SUM(PR52:QN52)),ALO51-G52*MAX(0,CO52*ALO51-(XN52+ABA52))))),MIN(GB52,MAX(0,AB52-SUM(PR52:QN52))))</f>
        <v>0</v>
      </c>
      <c r="QP52" s="20" t="n">
        <f aca="false">IF(H_Direct=1,IF(ALP51&lt;=0,0,IF(CP52&lt;=0,MIN(MAX(0,AB52-SUM(PR52:QO52)),ALP51),MIN(MAX(0,AB52-SUM(PR52:QO52)),ALP51-G52*MAX(0,CP52*ALP51-(XO52+ABB52))))),MIN(GC52,MAX(0,AB52-SUM(PR52:QO52))))</f>
        <v>0</v>
      </c>
      <c r="QQ52" s="20" t="n">
        <f aca="false">IF(H_Direct=1,IF(ALQ51&lt;=0,0,IF(CQ52&lt;=0,MIN(MAX(0,AB52-SUM(PR52:QP52)),ALQ51),MIN(MAX(0,AB52-SUM(PR52:QP52)),ALQ51-G52*MAX(0,CQ52*ALQ51-(XP52+ABC52))))),MIN(GD52,MAX(0,AB52-SUM(PR52:QP52))))</f>
        <v>0</v>
      </c>
      <c r="QR52" s="20" t="n">
        <f aca="false">IF(H_Direct=1,IF(ALR51&lt;=0,0,IF(CR52&lt;=0,MIN(MAX(0,AB52-SUM(PR52:QQ52)),ALR51),MIN(MAX(0,AB52-SUM(PR52:QQ52)),ALR51-G52*MAX(0,CR52*ALR51-(XQ52+ABD52))))),MIN(GE52,MAX(0,AB52-SUM(PR52:QQ52))))</f>
        <v>0</v>
      </c>
      <c r="QS52" s="20" t="n">
        <f aca="false">IF(H_Direct=1,IF(ALS51&lt;=0,0,IF(CS52&lt;=0,MIN(MAX(0,AB52-SUM(PR52:QR52)),ALS51),MIN(MAX(0,AB52-SUM(PR52:QR52)),ALS51-G52*MAX(0,CS52*ALS51-(XR52+ABE52))))),MIN(GF52,MAX(0,AB52-SUM(PR52:QR52))))</f>
        <v>0</v>
      </c>
      <c r="QT52" s="20" t="n">
        <f aca="false">IF(H_Direct=1,IF(ALT51&lt;=0,0,IF(CT52&lt;=0,MIN(MAX(0,AB52-SUM(PR52:QS52)),ALT51),MIN(MAX(0,AB52-SUM(PR52:QS52)),ALT51-G52*MAX(0,CT52*ALT51-(XS52+ABF52))))),MIN(GG52,MAX(0,AB52-SUM(PR52:QS52))))</f>
        <v>0</v>
      </c>
      <c r="QU52" s="20" t="n">
        <f aca="false">IF(H_Direct=1,IF(ALU51&lt;=0,0,IF(CU52&lt;=0,MIN(MAX(0,AB52-SUM(PR52:QT52)),ALU51),MIN(MAX(0,AB52-SUM(PR52:QT52)),ALU51-G52*MAX(0,CU52*ALU51-(XT52+ABG52))))),MIN(GH52,MAX(0,AB52-SUM(PR52:QT52))))</f>
        <v>0</v>
      </c>
      <c r="QV52" s="20" t="n">
        <f aca="false">IF(H_Direct=1,IF(ALV51&lt;=0,0,IF(CV52&lt;=0,MIN(MAX(0,AB52-SUM(PR52:QU52)),ALV51),MIN(MAX(0,AB52-SUM(PR52:QU52)),ALV51-G52*MAX(0,CV52*ALV51-(XU52+ABH52))))),MIN(GI52,MAX(0,AB52-SUM(PR52:QU52))))</f>
        <v>0</v>
      </c>
      <c r="QW52" s="20" t="n">
        <f aca="false">IF(H_Direct=1,IF(ALW51&lt;=0,0,IF(CW52&lt;=0,MIN(MAX(0,AB52-SUM(PR52:QV52)),ALW51),MIN(MAX(0,AB52-SUM(PR52:QV52)),ALW51-G52*MAX(0,CW52*ALW51-(XV52+ABI52))))),MIN(GJ52,MAX(0,AB52-SUM(PR52:QV52))))</f>
        <v>0</v>
      </c>
      <c r="QX52" s="20" t="n">
        <f aca="false">IF(H_Direct=1,IF(ALX51&lt;=0,0,IF(CX52&lt;=0,MIN(MAX(0,AB52-SUM(PR52:QW52)),ALX51),MIN(MAX(0,AB52-SUM(PR52:QW52)),ALX51-G52*MAX(0,CX52*ALX51-(XW52+ABJ52))))),MIN(GK52,MAX(0,AB52-SUM(PR52:QW52))))</f>
        <v>0</v>
      </c>
      <c r="QY52" s="20" t="n">
        <f aca="false">IF(H_Direct=1,IF(ALY51&lt;=0,0,IF(CY52&lt;=0,MIN(MAX(0,AB52-SUM(PR52:QX52)),ALY51),MIN(MAX(0,AB52-SUM(PR52:QX52)),ALY51-G52*MAX(0,CY52*ALY51-(XX52+ABK52))))),MIN(GL52,MAX(0,AB52-SUM(PR52:QX52))))</f>
        <v>0</v>
      </c>
      <c r="QZ52" s="20" t="n">
        <f aca="false">IF(H_Direct=1,IF(ALZ51&lt;=0,0,IF(CZ52&lt;=0,MIN(MAX(0,AB52-SUM(PR52:QY52)),ALZ51),MIN(MAX(0,AB52-SUM(PR52:QY52)),ALZ51-G52*MAX(0,CZ52*ALZ51-(XY52+ABL52))))),MIN(GM52,MAX(0,AB52-SUM(PR52:QY52))))</f>
        <v>0</v>
      </c>
      <c r="RA52" s="20" t="n">
        <f aca="false">IF(H_Direct=1,IF(AMA51&lt;=0,0,IF(DA52&lt;=0,MIN(MAX(0,AB52-SUM(PR52:QZ52)),AMA51),MIN(MAX(0,AB52-SUM(PR52:QZ52)),AMA51-G52*MAX(0,DA52*AMA51-(XZ52+ABM52))))),MIN(GN52,MAX(0,AB52-SUM(PR52:QZ52))))</f>
        <v>0</v>
      </c>
      <c r="RB52" s="20" t="n">
        <f aca="false">IF(H_Direct=1,IF(AMB51&lt;=0,0,IF(DB52&lt;=0,MIN(MAX(0,AB52-SUM(PR52:RA52)),AMB51),MIN(MAX(0,AB52-SUM(PR52:RA52)),AMB51-G52*MAX(0,DB52*AMB51-(YA52+ABN52))))),MIN(GO52,MAX(0,AB52-SUM(PR52:RA52))))</f>
        <v>0</v>
      </c>
      <c r="RC52" s="20" t="n">
        <f aca="false">IF(H_Direct=1,IF(AMC51&lt;=0,0,IF(DC52&lt;=0,MIN(MAX(0,AB52-SUM(PR52:RB52)),AMC51),MIN(MAX(0,AB52-SUM(PR52:RB52)),AMC51-G52*MAX(0,DC52*AMC51-(YB52+ABO52))))),MIN(GP52,MAX(0,AB52-SUM(PR52:RB52))))</f>
        <v>0</v>
      </c>
      <c r="RD52" s="20" t="n">
        <f aca="false">IF(H_Direct=1,IF(AMD51&lt;=0,0,IF(DD52&lt;=0,MIN(MAX(0,AB52-SUM(PR52:RC52)),AMD51),MIN(MAX(0,AB52-SUM(PR52:RC52)),AMD51-G52*MAX(0,DD52*AMD51-(YC52+ABP52))))),MIN(GQ52,MAX(0,AB52-SUM(PR52:RC52))))</f>
        <v>0</v>
      </c>
      <c r="RE52" s="20" t="n">
        <f aca="false">IF(H_Direct=1,IF(AME51&lt;=0,0,IF(DE52&lt;=0,MIN(MAX(0,AB52-SUM(PR52:RD52)),AME51),MIN(MAX(0,AB52-SUM(PR52:RD52)),AME51-G52*MAX(0,DE52*AME51-(YD52+ABQ52))))),MIN(GR52,MAX(0,AB52-SUM(PR52:RD52))))</f>
        <v>0</v>
      </c>
      <c r="RF52" s="20" t="n">
        <f aca="false">IF(H_Direct=1,IF(AMF51&lt;=0,0,IF(DF52&lt;=0,MIN(MAX(0,AB52-SUM(PR52:RE52)),AMF51),MIN(MAX(0,AB52-SUM(PR52:RE52)),AMF51-G52*MAX(0,DF52*AMF51-(YE52+ABR52))))),MIN(GS52,MAX(0,AB52-SUM(PR52:RE52))))</f>
        <v>0</v>
      </c>
      <c r="RG52" s="20" t="n">
        <f aca="false">IF(H_Direct=1,IF(AMG51&lt;=0,0,IF(DG52&lt;=0,MIN(MAX(0,AB52-SUM(PR52:RF52)),AMG51),MIN(MAX(0,AB52-SUM(PR52:RF52)),AMG51-G52*MAX(0,DG52*AMG51-(YF52+ABS52))))),MIN(GT52,MAX(0,AB52-SUM(PR52:RF52))))</f>
        <v>0</v>
      </c>
      <c r="RH52" s="20" t="n">
        <f aca="false">IF(H_Direct=1,IF(AMH51&lt;=0,0,IF(DH52&lt;=0,MIN(MAX(0,AB52-SUM(PR52:RG52)),AMH51),MIN(MAX(0,AB52-SUM(PR52:RG52)),AMH51-G52*MAX(0,DH52*AMH51-(YG52+ABT52))))),MIN(GU52,MAX(0,AB52-SUM(PR52:RG52))))</f>
        <v>0</v>
      </c>
      <c r="RI52" s="20" t="n">
        <f aca="false">IF(H_Direct=1,IF(AMI51&lt;=0,0,IF(DI52&lt;=0,MIN(MAX(0,AB52-SUM(PR52:RH52)),AMI51),MIN(MAX(0,AB52-SUM(PR52:RH52)),AMI51-G52*MAX(0,DI52*AMI51-(YH52+ABU52))))),MIN(GV52,MAX(0,AB52-SUM(PR52:RH52))))</f>
        <v>0</v>
      </c>
      <c r="RJ52" s="20" t="n">
        <f aca="false">IF(H_Direct=1,IF(AMJ51&lt;=0,0,IF(DJ52&lt;=0,MIN(MAX(0,AB52-SUM(PR52:RI52)),AMJ51),MIN(MAX(0,AB52-SUM(PR52:RI52)),AMJ51-G52*MAX(0,DJ52*AMJ51-(YI52+ABV52))))),MIN(GW52,MAX(0,AB52-SUM(PR52:RI52))))</f>
        <v>0</v>
      </c>
      <c r="RK52" s="20" t="n">
        <f aca="false">IF(H_Direct=1,IF((P52+S52)&lt;=0,0,IF(DK52&lt;=0,MIN(MAX(0,AB52-SUM(PR52:RJ52)),(P52+S52)),MIN(MAX(0,AB52-SUM(PR52:RJ52)),(P52+S52)-G52*MAX(0,DK52*(P52+S52)-(YJ52+ABW52))))),MIN(GX52,MAX(0,AB52-SUM(PR52:RJ52))))</f>
        <v>0</v>
      </c>
      <c r="RL52" s="20" t="n">
        <v>0</v>
      </c>
      <c r="RM52" s="20" t="n">
        <v>0</v>
      </c>
      <c r="RN52" s="20" t="n">
        <v>0</v>
      </c>
      <c r="RO52" s="20" t="n">
        <v>0</v>
      </c>
      <c r="RP52" s="20" t="n">
        <v>0</v>
      </c>
      <c r="RQ52" s="20" t="n">
        <v>0</v>
      </c>
      <c r="RR52" s="20" t="n">
        <v>0</v>
      </c>
      <c r="RS52" s="20" t="n">
        <v>0</v>
      </c>
      <c r="RT52" s="20" t="n">
        <v>0</v>
      </c>
      <c r="RU52" s="20" t="n">
        <v>0</v>
      </c>
      <c r="RV52" s="20" t="n">
        <v>0</v>
      </c>
      <c r="RW52" s="20" t="n">
        <v>0</v>
      </c>
      <c r="RX52" s="20" t="n">
        <v>0</v>
      </c>
      <c r="RY52" s="20" t="n">
        <v>0</v>
      </c>
      <c r="RZ52" s="20" t="n">
        <v>0</v>
      </c>
      <c r="SA52" s="20" t="n">
        <v>0</v>
      </c>
      <c r="SB52" s="20" t="n">
        <v>0</v>
      </c>
      <c r="SC52" s="20" t="n">
        <v>0</v>
      </c>
      <c r="SD52" s="20" t="n">
        <v>0</v>
      </c>
      <c r="SE52" s="20" t="n">
        <v>0</v>
      </c>
      <c r="SF52" s="20" t="n">
        <v>0</v>
      </c>
      <c r="SG52" s="20" t="n">
        <v>0</v>
      </c>
      <c r="SH52" s="20" t="n">
        <v>0</v>
      </c>
      <c r="SI52" s="20" t="n">
        <v>0</v>
      </c>
      <c r="SJ52" s="20" t="n">
        <v>0</v>
      </c>
      <c r="SK52" s="20" t="n">
        <v>0</v>
      </c>
      <c r="SL52" s="20" t="n">
        <v>0</v>
      </c>
      <c r="SM52" s="20" t="n">
        <v>0</v>
      </c>
      <c r="SN52" s="20" t="n">
        <v>0</v>
      </c>
      <c r="SO52" s="20" t="n">
        <v>0</v>
      </c>
      <c r="SP52" s="20" t="n">
        <v>0</v>
      </c>
      <c r="SQ52" s="20" t="n">
        <v>0</v>
      </c>
      <c r="SR52" s="20" t="n">
        <v>0</v>
      </c>
      <c r="SS52" s="20" t="n">
        <v>0</v>
      </c>
      <c r="ST52" s="20" t="n">
        <v>0</v>
      </c>
      <c r="SU52" s="20" t="n">
        <v>0</v>
      </c>
      <c r="SV52" s="20" t="n">
        <v>0</v>
      </c>
      <c r="SW52" s="20" t="n">
        <v>0</v>
      </c>
      <c r="SX52" s="20" t="n">
        <v>0</v>
      </c>
      <c r="SY52" s="20" t="n">
        <v>0</v>
      </c>
      <c r="SZ52" s="20" t="n">
        <v>0</v>
      </c>
      <c r="TA52" s="20" t="n">
        <v>0</v>
      </c>
      <c r="TB52" s="20" t="n">
        <v>0</v>
      </c>
      <c r="TC52" s="20" t="n">
        <v>0</v>
      </c>
      <c r="TD52" s="20" t="n">
        <v>0</v>
      </c>
      <c r="TE52" s="20" t="n">
        <f aca="false">IF(AKR51&lt;=0,0,IF(H_Direct=1,IF(BR52&lt;=0,PR52,IF(PR52&lt;=(H52+I52)/BR52,PR52,(PR52-G52*(H52+I52))/(1-G52*BR52))),PR52/(1-MAX(0,BR52)*H_Exit)))</f>
        <v>0</v>
      </c>
      <c r="TF52" s="20" t="n">
        <f aca="false">IF(AKS51&lt;=0,0,IF(H_Direct=1,IF(BS52&lt;=0,PS52,IF(PS52&lt;=(WR52+AAE52)/BS52,PS52,(PS52-G52*(WR52+AAE52))/(1-G52*BS52))),PS52/(1-MAX(0,BS52)*H_Exit)))</f>
        <v>0</v>
      </c>
      <c r="TG52" s="20" t="n">
        <f aca="false">IF(AKT51&lt;=0,0,IF(H_Direct=1,IF(BT52&lt;=0,PT52,IF(PT52&lt;=(WS52+AAF52)/BT52,PT52,(PT52-G52*(WS52+AAF52))/(1-G52*BT52))),PT52/(1-MAX(0,BT52)*H_Exit)))</f>
        <v>0</v>
      </c>
      <c r="TH52" s="20" t="n">
        <f aca="false">IF(AKU51&lt;=0,0,IF(H_Direct=1,IF(BU52&lt;=0,PU52,IF(PU52&lt;=(WT52+AAG52)/BU52,PU52,(PU52-G52*(WT52+AAG52))/(1-G52*BU52))),PU52/(1-MAX(0,BU52)*H_Exit)))</f>
        <v>0</v>
      </c>
      <c r="TI52" s="20" t="n">
        <f aca="false">IF(AKV51&lt;=0,0,IF(H_Direct=1,IF(BV52&lt;=0,PV52,IF(PV52&lt;=(WU52+AAH52)/BV52,PV52,(PV52-G52*(WU52+AAH52))/(1-G52*BV52))),PV52/(1-MAX(0,BV52)*H_Exit)))</f>
        <v>0</v>
      </c>
      <c r="TJ52" s="20" t="n">
        <f aca="false">IF(AKW51&lt;=0,0,IF(H_Direct=1,IF(BW52&lt;=0,PW52,IF(PW52&lt;=(WV52+AAI52)/BW52,PW52,(PW52-G52*(WV52+AAI52))/(1-G52*BW52))),PW52/(1-MAX(0,BW52)*H_Exit)))</f>
        <v>0</v>
      </c>
      <c r="TK52" s="20" t="n">
        <f aca="false">IF(AKX51&lt;=0,0,IF(H_Direct=1,IF(BX52&lt;=0,PX52,IF(PX52&lt;=(WW52+AAJ52)/BX52,PX52,(PX52-G52*(WW52+AAJ52))/(1-G52*BX52))),PX52/(1-MAX(0,BX52)*H_Exit)))</f>
        <v>0</v>
      </c>
      <c r="TL52" s="20" t="n">
        <f aca="false">IF(AKY51&lt;=0,0,IF(H_Direct=1,IF(BY52&lt;=0,PY52,IF(PY52&lt;=(WX52+AAK52)/BY52,PY52,(PY52-G52*(WX52+AAK52))/(1-G52*BY52))),PY52/(1-MAX(0,BY52)*H_Exit)))</f>
        <v>0</v>
      </c>
      <c r="TM52" s="20" t="n">
        <f aca="false">IF(AKZ51&lt;=0,0,IF(H_Direct=1,IF(BZ52&lt;=0,PZ52,IF(PZ52&lt;=(WY52+AAL52)/BZ52,PZ52,(PZ52-G52*(WY52+AAL52))/(1-G52*BZ52))),PZ52/(1-MAX(0,BZ52)*H_Exit)))</f>
        <v>0</v>
      </c>
      <c r="TN52" s="20" t="n">
        <f aca="false">IF(ALA51&lt;=0,0,IF(H_Direct=1,IF(CA52&lt;=0,QA52,IF(QA52&lt;=(WZ52+AAM52)/CA52,QA52,(QA52-G52*(WZ52+AAM52))/(1-G52*CA52))),QA52/(1-MAX(0,CA52)*H_Exit)))</f>
        <v>0</v>
      </c>
      <c r="TO52" s="20" t="n">
        <f aca="false">IF(ALB51&lt;=0,0,IF(H_Direct=1,IF(CB52&lt;=0,QB52,IF(QB52&lt;=(XA52+AAN52)/CB52,QB52,(QB52-G52*(XA52+AAN52))/(1-G52*CB52))),QB52/(1-MAX(0,CB52)*H_Exit)))</f>
        <v>0</v>
      </c>
      <c r="TP52" s="20" t="n">
        <f aca="false">IF(ALC51&lt;=0,0,IF(H_Direct=1,IF(CC52&lt;=0,QC52,IF(QC52&lt;=(XB52+AAO52)/CC52,QC52,(QC52-G52*(XB52+AAO52))/(1-G52*CC52))),QC52/(1-MAX(0,CC52)*H_Exit)))</f>
        <v>0</v>
      </c>
      <c r="TQ52" s="20" t="n">
        <f aca="false">IF(ALD51&lt;=0,0,IF(H_Direct=1,IF(CD52&lt;=0,QD52,IF(QD52&lt;=(XC52+AAP52)/CD52,QD52,(QD52-G52*(XC52+AAP52))/(1-G52*CD52))),QD52/(1-MAX(0,CD52)*H_Exit)))</f>
        <v>0</v>
      </c>
      <c r="TR52" s="20" t="n">
        <f aca="false">IF(ALE51&lt;=0,0,IF(H_Direct=1,IF(CE52&lt;=0,QE52,IF(QE52&lt;=(XD52+AAQ52)/CE52,QE52,(QE52-G52*(XD52+AAQ52))/(1-G52*CE52))),QE52/(1-MAX(0,CE52)*H_Exit)))</f>
        <v>0</v>
      </c>
      <c r="TS52" s="20" t="n">
        <f aca="false">IF(ALF51&lt;=0,0,IF(H_Direct=1,IF(CF52&lt;=0,QF52,IF(QF52&lt;=(XE52+AAR52)/CF52,QF52,(QF52-G52*(XE52+AAR52))/(1-G52*CF52))),QF52/(1-MAX(0,CF52)*H_Exit)))</f>
        <v>0</v>
      </c>
      <c r="TT52" s="20" t="n">
        <f aca="false">IF(ALG51&lt;=0,0,IF(H_Direct=1,IF(CG52&lt;=0,QG52,IF(QG52&lt;=(XF52+AAS52)/CG52,QG52,(QG52-G52*(XF52+AAS52))/(1-G52*CG52))),QG52/(1-MAX(0,CG52)*H_Exit)))</f>
        <v>0</v>
      </c>
      <c r="TU52" s="20" t="n">
        <f aca="false">IF(ALH51&lt;=0,0,IF(H_Direct=1,IF(CH52&lt;=0,QH52,IF(QH52&lt;=(XG52+AAT52)/CH52,QH52,(QH52-G52*(XG52+AAT52))/(1-G52*CH52))),QH52/(1-MAX(0,CH52)*H_Exit)))</f>
        <v>0</v>
      </c>
      <c r="TV52" s="20" t="n">
        <f aca="false">IF(ALI51&lt;=0,0,IF(H_Direct=1,IF(CI52&lt;=0,QI52,IF(QI52&lt;=(XH52+AAU52)/CI52,QI52,(QI52-G52*(XH52+AAU52))/(1-G52*CI52))),QI52/(1-MAX(0,CI52)*H_Exit)))</f>
        <v>0</v>
      </c>
      <c r="TW52" s="20" t="n">
        <f aca="false">IF(ALJ51&lt;=0,0,IF(H_Direct=1,IF(CJ52&lt;=0,QJ52,IF(QJ52&lt;=(XI52+AAV52)/CJ52,QJ52,(QJ52-G52*(XI52+AAV52))/(1-G52*CJ52))),QJ52/(1-MAX(0,CJ52)*H_Exit)))</f>
        <v>0</v>
      </c>
      <c r="TX52" s="20" t="n">
        <f aca="false">IF(ALK51&lt;=0,0,IF(H_Direct=1,IF(CK52&lt;=0,QK52,IF(QK52&lt;=(XJ52+AAW52)/CK52,QK52,(QK52-G52*(XJ52+AAW52))/(1-G52*CK52))),QK52/(1-MAX(0,CK52)*H_Exit)))</f>
        <v>0</v>
      </c>
      <c r="TY52" s="20" t="n">
        <f aca="false">IF(ALL51&lt;=0,0,IF(H_Direct=1,IF(CL52&lt;=0,QL52,IF(QL52&lt;=(XK52+AAX52)/CL52,QL52,(QL52-G52*(XK52+AAX52))/(1-G52*CL52))),QL52/(1-MAX(0,CL52)*H_Exit)))</f>
        <v>0</v>
      </c>
      <c r="TZ52" s="20" t="n">
        <f aca="false">IF(ALM51&lt;=0,0,IF(H_Direct=1,IF(CM52&lt;=0,QM52,IF(QM52&lt;=(XL52+AAY52)/CM52,QM52,(QM52-G52*(XL52+AAY52))/(1-G52*CM52))),QM52/(1-MAX(0,CM52)*H_Exit)))</f>
        <v>0</v>
      </c>
      <c r="UA52" s="20" t="n">
        <f aca="false">IF(ALN51&lt;=0,0,IF(H_Direct=1,IF(CN52&lt;=0,QN52,IF(QN52&lt;=(XM52+AAZ52)/CN52,QN52,(QN52-G52*(XM52+AAZ52))/(1-G52*CN52))),QN52/(1-MAX(0,CN52)*H_Exit)))</f>
        <v>0</v>
      </c>
      <c r="UB52" s="20" t="n">
        <f aca="false">IF(ALO51&lt;=0,0,IF(H_Direct=1,IF(CO52&lt;=0,QO52,IF(QO52&lt;=(XN52+ABA52)/CO52,QO52,(QO52-G52*(XN52+ABA52))/(1-G52*CO52))),QO52/(1-MAX(0,CO52)*H_Exit)))</f>
        <v>0</v>
      </c>
      <c r="UC52" s="20" t="n">
        <f aca="false">IF(ALP51&lt;=0,0,IF(H_Direct=1,IF(CP52&lt;=0,QP52,IF(QP52&lt;=(XO52+ABB52)/CP52,QP52,(QP52-G52*(XO52+ABB52))/(1-G52*CP52))),QP52/(1-MAX(0,CP52)*H_Exit)))</f>
        <v>0</v>
      </c>
      <c r="UD52" s="20" t="n">
        <f aca="false">IF(ALQ51&lt;=0,0,IF(H_Direct=1,IF(CQ52&lt;=0,QQ52,IF(QQ52&lt;=(XP52+ABC52)/CQ52,QQ52,(QQ52-G52*(XP52+ABC52))/(1-G52*CQ52))),QQ52/(1-MAX(0,CQ52)*H_Exit)))</f>
        <v>0</v>
      </c>
      <c r="UE52" s="20" t="n">
        <f aca="false">IF(ALR51&lt;=0,0,IF(H_Direct=1,IF(CR52&lt;=0,QR52,IF(QR52&lt;=(XQ52+ABD52)/CR52,QR52,(QR52-G52*(XQ52+ABD52))/(1-G52*CR52))),QR52/(1-MAX(0,CR52)*H_Exit)))</f>
        <v>0</v>
      </c>
      <c r="UF52" s="20" t="n">
        <f aca="false">IF(ALS51&lt;=0,0,IF(H_Direct=1,IF(CS52&lt;=0,QS52,IF(QS52&lt;=(XR52+ABE52)/CS52,QS52,(QS52-G52*(XR52+ABE52))/(1-G52*CS52))),QS52/(1-MAX(0,CS52)*H_Exit)))</f>
        <v>0</v>
      </c>
      <c r="UG52" s="20" t="n">
        <f aca="false">IF(ALT51&lt;=0,0,IF(H_Direct=1,IF(CT52&lt;=0,QT52,IF(QT52&lt;=(XS52+ABF52)/CT52,QT52,(QT52-G52*(XS52+ABF52))/(1-G52*CT52))),QT52/(1-MAX(0,CT52)*H_Exit)))</f>
        <v>0</v>
      </c>
      <c r="UH52" s="20" t="n">
        <f aca="false">IF(ALU51&lt;=0,0,IF(H_Direct=1,IF(CU52&lt;=0,QU52,IF(QU52&lt;=(XT52+ABG52)/CU52,QU52,(QU52-G52*(XT52+ABG52))/(1-G52*CU52))),QU52/(1-MAX(0,CU52)*H_Exit)))</f>
        <v>0</v>
      </c>
      <c r="UI52" s="20" t="n">
        <f aca="false">IF(ALV51&lt;=0,0,IF(H_Direct=1,IF(CV52&lt;=0,QV52,IF(QV52&lt;=(XU52+ABH52)/CV52,QV52,(QV52-G52*(XU52+ABH52))/(1-G52*CV52))),QV52/(1-MAX(0,CV52)*H_Exit)))</f>
        <v>0</v>
      </c>
      <c r="UJ52" s="20" t="n">
        <f aca="false">IF(ALW51&lt;=0,0,IF(H_Direct=1,IF(CW52&lt;=0,QW52,IF(QW52&lt;=(XV52+ABI52)/CW52,QW52,(QW52-G52*(XV52+ABI52))/(1-G52*CW52))),QW52/(1-MAX(0,CW52)*H_Exit)))</f>
        <v>0</v>
      </c>
      <c r="UK52" s="20" t="n">
        <f aca="false">IF(ALX51&lt;=0,0,IF(H_Direct=1,IF(CX52&lt;=0,QX52,IF(QX52&lt;=(XW52+ABJ52)/CX52,QX52,(QX52-G52*(XW52+ABJ52))/(1-G52*CX52))),QX52/(1-MAX(0,CX52)*H_Exit)))</f>
        <v>0</v>
      </c>
      <c r="UL52" s="20" t="n">
        <f aca="false">IF(ALY51&lt;=0,0,IF(H_Direct=1,IF(CY52&lt;=0,QY52,IF(QY52&lt;=(XX52+ABK52)/CY52,QY52,(QY52-G52*(XX52+ABK52))/(1-G52*CY52))),QY52/(1-MAX(0,CY52)*H_Exit)))</f>
        <v>0</v>
      </c>
      <c r="UM52" s="20" t="n">
        <f aca="false">IF(ALZ51&lt;=0,0,IF(H_Direct=1,IF(CZ52&lt;=0,QZ52,IF(QZ52&lt;=(XY52+ABL52)/CZ52,QZ52,(QZ52-G52*(XY52+ABL52))/(1-G52*CZ52))),QZ52/(1-MAX(0,CZ52)*H_Exit)))</f>
        <v>0</v>
      </c>
      <c r="UN52" s="20" t="n">
        <f aca="false">IF(AMA51&lt;=0,0,IF(H_Direct=1,IF(DA52&lt;=0,RA52,IF(RA52&lt;=(XZ52+ABM52)/DA52,RA52,(RA52-G52*(XZ52+ABM52))/(1-G52*DA52))),RA52/(1-MAX(0,DA52)*H_Exit)))</f>
        <v>0</v>
      </c>
      <c r="UO52" s="20" t="n">
        <f aca="false">IF(AMB51&lt;=0,0,IF(H_Direct=1,IF(DB52&lt;=0,RB52,IF(RB52&lt;=(YA52+ABN52)/DB52,RB52,(RB52-G52*(YA52+ABN52))/(1-G52*DB52))),RB52/(1-MAX(0,DB52)*H_Exit)))</f>
        <v>0</v>
      </c>
      <c r="UP52" s="20" t="n">
        <f aca="false">IF(AMC51&lt;=0,0,IF(H_Direct=1,IF(DC52&lt;=0,RC52,IF(RC52&lt;=(YB52+ABO52)/DC52,RC52,(RC52-G52*(YB52+ABO52))/(1-G52*DC52))),RC52/(1-MAX(0,DC52)*H_Exit)))</f>
        <v>0</v>
      </c>
      <c r="UQ52" s="20" t="n">
        <f aca="false">IF(AMD51&lt;=0,0,IF(H_Direct=1,IF(DD52&lt;=0,RD52,IF(RD52&lt;=(YC52+ABP52)/DD52,RD52,(RD52-G52*(YC52+ABP52))/(1-G52*DD52))),RD52/(1-MAX(0,DD52)*H_Exit)))</f>
        <v>0</v>
      </c>
      <c r="UR52" s="20" t="n">
        <f aca="false">IF(AME51&lt;=0,0,IF(H_Direct=1,IF(DE52&lt;=0,RE52,IF(RE52&lt;=(YD52+ABQ52)/DE52,RE52,(RE52-G52*(YD52+ABQ52))/(1-G52*DE52))),RE52/(1-MAX(0,DE52)*H_Exit)))</f>
        <v>0</v>
      </c>
      <c r="US52" s="20" t="n">
        <f aca="false">IF(AMF51&lt;=0,0,IF(H_Direct=1,IF(DF52&lt;=0,RF52,IF(RF52&lt;=(YE52+ABR52)/DF52,RF52,(RF52-G52*(YE52+ABR52))/(1-G52*DF52))),RF52/(1-MAX(0,DF52)*H_Exit)))</f>
        <v>0</v>
      </c>
      <c r="UT52" s="20" t="n">
        <f aca="false">IF(AMG51&lt;=0,0,IF(H_Direct=1,IF(DG52&lt;=0,RG52,IF(RG52&lt;=(YF52+ABS52)/DG52,RG52,(RG52-G52*(YF52+ABS52))/(1-G52*DG52))),RG52/(1-MAX(0,DG52)*H_Exit)))</f>
        <v>0</v>
      </c>
      <c r="UU52" s="20" t="n">
        <f aca="false">IF(AMH51&lt;=0,0,IF(H_Direct=1,IF(DH52&lt;=0,RH52,IF(RH52&lt;=(YG52+ABT52)/DH52,RH52,(RH52-G52*(YG52+ABT52))/(1-G52*DH52))),RH52/(1-MAX(0,DH52)*H_Exit)))</f>
        <v>0</v>
      </c>
      <c r="UV52" s="20" t="n">
        <f aca="false">IF(AMI51&lt;=0,0,IF(H_Direct=1,IF(DI52&lt;=0,RI52,IF(RI52&lt;=(YH52+ABU52)/DI52,RI52,(RI52-G52*(YH52+ABU52))/(1-G52*DI52))),RI52/(1-MAX(0,DI52)*H_Exit)))</f>
        <v>0</v>
      </c>
      <c r="UW52" s="20" t="n">
        <f aca="false">IF(AMJ51&lt;=0,0,IF(H_Direct=1,IF(DJ52&lt;=0,RJ52,IF(RJ52&lt;=(YI52+ABV52)/DJ52,RJ52,(RJ52-G52*(YI52+ABV52))/(1-G52*DJ52))),RJ52/(1-MAX(0,DJ52)*H_Exit)))</f>
        <v>0</v>
      </c>
      <c r="UX52" s="20" t="n">
        <f aca="false">IF((P52+S52)&lt;=0,0,IF(H_Direct=1,IF(DK52&lt;=0,RK52,IF(RK52&lt;=(YJ52+ABW52)/DK52,RK52,(RK52-G52*(YJ52+ABW52))/(1-G52*DK52))),RK52/(1-MAX(0,DK52)*H_Exit)))</f>
        <v>0</v>
      </c>
      <c r="UY52" s="20" t="n">
        <v>0</v>
      </c>
      <c r="UZ52" s="20" t="n">
        <v>0</v>
      </c>
      <c r="VA52" s="20" t="n">
        <v>0</v>
      </c>
      <c r="VB52" s="20" t="n">
        <v>0</v>
      </c>
      <c r="VC52" s="20" t="n">
        <v>0</v>
      </c>
      <c r="VD52" s="20" t="n">
        <v>0</v>
      </c>
      <c r="VE52" s="20" t="n">
        <v>0</v>
      </c>
      <c r="VF52" s="20" t="n">
        <v>0</v>
      </c>
      <c r="VG52" s="20" t="n">
        <v>0</v>
      </c>
      <c r="VH52" s="20" t="n">
        <v>0</v>
      </c>
      <c r="VI52" s="20" t="n">
        <v>0</v>
      </c>
      <c r="VJ52" s="20" t="n">
        <v>0</v>
      </c>
      <c r="VK52" s="20" t="n">
        <v>0</v>
      </c>
      <c r="VL52" s="20" t="n">
        <v>0</v>
      </c>
      <c r="VM52" s="20" t="n">
        <v>0</v>
      </c>
      <c r="VN52" s="20" t="n">
        <v>0</v>
      </c>
      <c r="VO52" s="20" t="n">
        <v>0</v>
      </c>
      <c r="VP52" s="20" t="n">
        <v>0</v>
      </c>
      <c r="VQ52" s="20" t="n">
        <v>0</v>
      </c>
      <c r="VR52" s="20" t="n">
        <v>0</v>
      </c>
      <c r="VS52" s="20" t="n">
        <v>0</v>
      </c>
      <c r="VT52" s="20" t="n">
        <v>0</v>
      </c>
      <c r="VU52" s="20" t="n">
        <v>0</v>
      </c>
      <c r="VV52" s="20" t="n">
        <v>0</v>
      </c>
      <c r="VW52" s="20" t="n">
        <v>0</v>
      </c>
      <c r="VX52" s="20" t="n">
        <v>0</v>
      </c>
      <c r="VY52" s="20" t="n">
        <v>0</v>
      </c>
      <c r="VZ52" s="20" t="n">
        <v>0</v>
      </c>
      <c r="WA52" s="20" t="n">
        <v>0</v>
      </c>
      <c r="WB52" s="20" t="n">
        <v>0</v>
      </c>
      <c r="WC52" s="20" t="n">
        <v>0</v>
      </c>
      <c r="WD52" s="20" t="n">
        <v>0</v>
      </c>
      <c r="WE52" s="20" t="n">
        <v>0</v>
      </c>
      <c r="WF52" s="20" t="n">
        <v>0</v>
      </c>
      <c r="WG52" s="20" t="n">
        <v>0</v>
      </c>
      <c r="WH52" s="20" t="n">
        <v>0</v>
      </c>
      <c r="WI52" s="20" t="n">
        <v>0</v>
      </c>
      <c r="WJ52" s="20" t="n">
        <v>0</v>
      </c>
      <c r="WK52" s="20" t="n">
        <v>0</v>
      </c>
      <c r="WL52" s="20" t="n">
        <v>0</v>
      </c>
      <c r="WM52" s="20" t="n">
        <v>0</v>
      </c>
      <c r="WN52" s="20" t="n">
        <v>0</v>
      </c>
      <c r="WO52" s="20" t="n">
        <v>0</v>
      </c>
      <c r="WP52" s="20" t="n">
        <v>0</v>
      </c>
      <c r="WQ52" s="20" t="n">
        <v>0</v>
      </c>
      <c r="WR52" s="20" t="n">
        <f aca="false">IF(AND(H_Direct=1,BR52&gt;0),MAX(0,H52-(MIN(BR52*TE52,(H52+I52))-MIN(MIN(BR52*TE52,(H52+I52)),I52))),H52)</f>
        <v>1270</v>
      </c>
      <c r="WS52" s="20" t="n">
        <f aca="false">IF(AND(H_Direct=1,BS52&gt;0),MAX(0,WR52-(MIN(BS52*TF52,(WR52+AAE52))-MIN(MIN(BS52*TF52,(WR52+AAE52)),AAE52))),WR52)</f>
        <v>1270</v>
      </c>
      <c r="WT52" s="20" t="n">
        <f aca="false">IF(AND(H_Direct=1,BT52&gt;0),MAX(0,WS52-(MIN(BT52*TG52,(WS52+AAF52))-MIN(MIN(BT52*TG52,(WS52+AAF52)),AAF52))),WS52)</f>
        <v>1270</v>
      </c>
      <c r="WU52" s="20" t="n">
        <f aca="false">IF(AND(H_Direct=1,BU52&gt;0),MAX(0,WT52-(MIN(BU52*TH52,(WT52+AAG52))-MIN(MIN(BU52*TH52,(WT52+AAG52)),AAG52))),WT52)</f>
        <v>1270</v>
      </c>
      <c r="WV52" s="20" t="n">
        <f aca="false">IF(AND(H_Direct=1,BV52&gt;0),MAX(0,WU52-(MIN(BV52*TI52,(WU52+AAH52))-MIN(MIN(BV52*TI52,(WU52+AAH52)),AAH52))),WU52)</f>
        <v>1270</v>
      </c>
      <c r="WW52" s="20" t="n">
        <f aca="false">IF(AND(H_Direct=1,BW52&gt;0),MAX(0,WV52-(MIN(BW52*TJ52,(WV52+AAI52))-MIN(MIN(BW52*TJ52,(WV52+AAI52)),AAI52))),WV52)</f>
        <v>1270</v>
      </c>
      <c r="WX52" s="20" t="n">
        <f aca="false">IF(AND(H_Direct=1,BX52&gt;0),MAX(0,WW52-(MIN(BX52*TK52,(WW52+AAJ52))-MIN(MIN(BX52*TK52,(WW52+AAJ52)),AAJ52))),WW52)</f>
        <v>1270</v>
      </c>
      <c r="WY52" s="20" t="n">
        <f aca="false">IF(AND(H_Direct=1,BY52&gt;0),MAX(0,WX52-(MIN(BY52*TL52,(WX52+AAK52))-MIN(MIN(BY52*TL52,(WX52+AAK52)),AAK52))),WX52)</f>
        <v>1270</v>
      </c>
      <c r="WZ52" s="20" t="n">
        <f aca="false">IF(AND(H_Direct=1,BZ52&gt;0),MAX(0,WY52-(MIN(BZ52*TM52,(WY52+AAL52))-MIN(MIN(BZ52*TM52,(WY52+AAL52)),AAL52))),WY52)</f>
        <v>1270</v>
      </c>
      <c r="XA52" s="20" t="n">
        <f aca="false">IF(AND(H_Direct=1,CA52&gt;0),MAX(0,WZ52-(MIN(CA52*TN52,(WZ52+AAM52))-MIN(MIN(CA52*TN52,(WZ52+AAM52)),AAM52))),WZ52)</f>
        <v>1270</v>
      </c>
      <c r="XB52" s="20" t="n">
        <f aca="false">IF(AND(H_Direct=1,CB52&gt;0),MAX(0,XA52-(MIN(CB52*TO52,(XA52+AAN52))-MIN(MIN(CB52*TO52,(XA52+AAN52)),AAN52))),XA52)</f>
        <v>1270</v>
      </c>
      <c r="XC52" s="20" t="n">
        <f aca="false">IF(AND(H_Direct=1,CC52&gt;0),MAX(0,XB52-(MIN(CC52*TP52,(XB52+AAO52))-MIN(MIN(CC52*TP52,(XB52+AAO52)),AAO52))),XB52)</f>
        <v>1270</v>
      </c>
      <c r="XD52" s="20" t="n">
        <f aca="false">IF(AND(H_Direct=1,CD52&gt;0),MAX(0,XC52-(MIN(CD52*TQ52,(XC52+AAP52))-MIN(MIN(CD52*TQ52,(XC52+AAP52)),AAP52))),XC52)</f>
        <v>1270</v>
      </c>
      <c r="XE52" s="20" t="n">
        <f aca="false">IF(AND(H_Direct=1,CE52&gt;0),MAX(0,XD52-(MIN(CE52*TR52,(XD52+AAQ52))-MIN(MIN(CE52*TR52,(XD52+AAQ52)),AAQ52))),XD52)</f>
        <v>1270</v>
      </c>
      <c r="XF52" s="20" t="n">
        <f aca="false">IF(AND(H_Direct=1,CF52&gt;0),MAX(0,XE52-(MIN(CF52*TS52,(XE52+AAR52))-MIN(MIN(CF52*TS52,(XE52+AAR52)),AAR52))),XE52)</f>
        <v>1270</v>
      </c>
      <c r="XG52" s="20" t="n">
        <f aca="false">IF(AND(H_Direct=1,CG52&gt;0),MAX(0,XF52-(MIN(CG52*TT52,(XF52+AAS52))-MIN(MIN(CG52*TT52,(XF52+AAS52)),AAS52))),XF52)</f>
        <v>1270</v>
      </c>
      <c r="XH52" s="20" t="n">
        <f aca="false">IF(AND(H_Direct=1,CH52&gt;0),MAX(0,XG52-(MIN(CH52*TU52,(XG52+AAT52))-MIN(MIN(CH52*TU52,(XG52+AAT52)),AAT52))),XG52)</f>
        <v>1270</v>
      </c>
      <c r="XI52" s="20" t="n">
        <f aca="false">IF(AND(H_Direct=1,CI52&gt;0),MAX(0,XH52-(MIN(CI52*TV52,(XH52+AAU52))-MIN(MIN(CI52*TV52,(XH52+AAU52)),AAU52))),XH52)</f>
        <v>1270</v>
      </c>
      <c r="XJ52" s="20" t="n">
        <f aca="false">IF(AND(H_Direct=1,CJ52&gt;0),MAX(0,XI52-(MIN(CJ52*TW52,(XI52+AAV52))-MIN(MIN(CJ52*TW52,(XI52+AAV52)),AAV52))),XI52)</f>
        <v>1270</v>
      </c>
      <c r="XK52" s="20" t="n">
        <f aca="false">IF(AND(H_Direct=1,CK52&gt;0),MAX(0,XJ52-(MIN(CK52*TX52,(XJ52+AAW52))-MIN(MIN(CK52*TX52,(XJ52+AAW52)),AAW52))),XJ52)</f>
        <v>1270</v>
      </c>
      <c r="XL52" s="20" t="n">
        <f aca="false">IF(AND(H_Direct=1,CL52&gt;0),MAX(0,XK52-(MIN(CL52*TY52,(XK52+AAX52))-MIN(MIN(CL52*TY52,(XK52+AAX52)),AAX52))),XK52)</f>
        <v>1270</v>
      </c>
      <c r="XM52" s="20" t="n">
        <f aca="false">IF(AND(H_Direct=1,CM52&gt;0),MAX(0,XL52-(MIN(CM52*TZ52,(XL52+AAY52))-MIN(MIN(CM52*TZ52,(XL52+AAY52)),AAY52))),XL52)</f>
        <v>1270</v>
      </c>
      <c r="XN52" s="20" t="n">
        <f aca="false">IF(AND(H_Direct=1,CN52&gt;0),MAX(0,XM52-(MIN(CN52*UA52,(XM52+AAZ52))-MIN(MIN(CN52*UA52,(XM52+AAZ52)),AAZ52))),XM52)</f>
        <v>1270</v>
      </c>
      <c r="XO52" s="20" t="n">
        <f aca="false">IF(AND(H_Direct=1,CO52&gt;0),MAX(0,XN52-(MIN(CO52*UB52,(XN52+ABA52))-MIN(MIN(CO52*UB52,(XN52+ABA52)),ABA52))),XN52)</f>
        <v>1270</v>
      </c>
      <c r="XP52" s="20" t="n">
        <f aca="false">IF(AND(H_Direct=1,CP52&gt;0),MAX(0,XO52-(MIN(CP52*UC52,(XO52+ABB52))-MIN(MIN(CP52*UC52,(XO52+ABB52)),ABB52))),XO52)</f>
        <v>1270</v>
      </c>
      <c r="XQ52" s="20" t="n">
        <f aca="false">IF(AND(H_Direct=1,CQ52&gt;0),MAX(0,XP52-(MIN(CQ52*UD52,(XP52+ABC52))-MIN(MIN(CQ52*UD52,(XP52+ABC52)),ABC52))),XP52)</f>
        <v>1270</v>
      </c>
      <c r="XR52" s="20" t="n">
        <f aca="false">IF(AND(H_Direct=1,CR52&gt;0),MAX(0,XQ52-(MIN(CR52*UE52,(XQ52+ABD52))-MIN(MIN(CR52*UE52,(XQ52+ABD52)),ABD52))),XQ52)</f>
        <v>1270</v>
      </c>
      <c r="XS52" s="20" t="n">
        <f aca="false">IF(AND(H_Direct=1,CS52&gt;0),MAX(0,XR52-(MIN(CS52*UF52,(XR52+ABE52))-MIN(MIN(CS52*UF52,(XR52+ABE52)),ABE52))),XR52)</f>
        <v>1270</v>
      </c>
      <c r="XT52" s="20" t="n">
        <f aca="false">IF(AND(H_Direct=1,CT52&gt;0),MAX(0,XS52-(MIN(CT52*UG52,(XS52+ABF52))-MIN(MIN(CT52*UG52,(XS52+ABF52)),ABF52))),XS52)</f>
        <v>1270</v>
      </c>
      <c r="XU52" s="20" t="n">
        <f aca="false">IF(AND(H_Direct=1,CU52&gt;0),MAX(0,XT52-(MIN(CU52*UH52,(XT52+ABG52))-MIN(MIN(CU52*UH52,(XT52+ABG52)),ABG52))),XT52)</f>
        <v>1270</v>
      </c>
      <c r="XV52" s="20" t="n">
        <f aca="false">IF(AND(H_Direct=1,CV52&gt;0),MAX(0,XU52-(MIN(CV52*UI52,(XU52+ABH52))-MIN(MIN(CV52*UI52,(XU52+ABH52)),ABH52))),XU52)</f>
        <v>1270</v>
      </c>
      <c r="XW52" s="20" t="n">
        <f aca="false">IF(AND(H_Direct=1,CW52&gt;0),MAX(0,XV52-(MIN(CW52*UJ52,(XV52+ABI52))-MIN(MIN(CW52*UJ52,(XV52+ABI52)),ABI52))),XV52)</f>
        <v>1270</v>
      </c>
      <c r="XX52" s="20" t="n">
        <f aca="false">IF(AND(H_Direct=1,CX52&gt;0),MAX(0,XW52-(MIN(CX52*UK52,(XW52+ABJ52))-MIN(MIN(CX52*UK52,(XW52+ABJ52)),ABJ52))),XW52)</f>
        <v>1270</v>
      </c>
      <c r="XY52" s="20" t="n">
        <f aca="false">IF(AND(H_Direct=1,CY52&gt;0),MAX(0,XX52-(MIN(CY52*UL52,(XX52+ABK52))-MIN(MIN(CY52*UL52,(XX52+ABK52)),ABK52))),XX52)</f>
        <v>1270</v>
      </c>
      <c r="XZ52" s="20" t="n">
        <f aca="false">IF(AND(H_Direct=1,CZ52&gt;0),MAX(0,XY52-(MIN(CZ52*UM52,(XY52+ABL52))-MIN(MIN(CZ52*UM52,(XY52+ABL52)),ABL52))),XY52)</f>
        <v>1270</v>
      </c>
      <c r="YA52" s="20" t="n">
        <f aca="false">IF(AND(H_Direct=1,DA52&gt;0),MAX(0,XZ52-(MIN(DA52*UN52,(XZ52+ABM52))-MIN(MIN(DA52*UN52,(XZ52+ABM52)),ABM52))),XZ52)</f>
        <v>1270</v>
      </c>
      <c r="YB52" s="20" t="n">
        <f aca="false">IF(AND(H_Direct=1,DB52&gt;0),MAX(0,YA52-(MIN(DB52*UO52,(YA52+ABN52))-MIN(MIN(DB52*UO52,(YA52+ABN52)),ABN52))),YA52)</f>
        <v>1270</v>
      </c>
      <c r="YC52" s="20" t="n">
        <f aca="false">IF(AND(H_Direct=1,DC52&gt;0),MAX(0,YB52-(MIN(DC52*UP52,(YB52+ABO52))-MIN(MIN(DC52*UP52,(YB52+ABO52)),ABO52))),YB52)</f>
        <v>1270</v>
      </c>
      <c r="YD52" s="20" t="n">
        <f aca="false">IF(AND(H_Direct=1,DD52&gt;0),MAX(0,YC52-(MIN(DD52*UQ52,(YC52+ABP52))-MIN(MIN(DD52*UQ52,(YC52+ABP52)),ABP52))),YC52)</f>
        <v>1270</v>
      </c>
      <c r="YE52" s="20" t="n">
        <f aca="false">IF(AND(H_Direct=1,DE52&gt;0),MAX(0,YD52-(MIN(DE52*UR52,(YD52+ABQ52))-MIN(MIN(DE52*UR52,(YD52+ABQ52)),ABQ52))),YD52)</f>
        <v>1270</v>
      </c>
      <c r="YF52" s="20" t="n">
        <f aca="false">IF(AND(H_Direct=1,DF52&gt;0),MAX(0,YE52-(MIN(DF52*US52,(YE52+ABR52))-MIN(MIN(DF52*US52,(YE52+ABR52)),ABR52))),YE52)</f>
        <v>1270</v>
      </c>
      <c r="YG52" s="20" t="n">
        <f aca="false">IF(AND(H_Direct=1,DG52&gt;0),MAX(0,YF52-(MIN(DG52*UT52,(YF52+ABS52))-MIN(MIN(DG52*UT52,(YF52+ABS52)),ABS52))),YF52)</f>
        <v>1270</v>
      </c>
      <c r="YH52" s="20" t="n">
        <f aca="false">IF(AND(H_Direct=1,DH52&gt;0),MAX(0,YG52-(MIN(DH52*UU52,(YG52+ABT52))-MIN(MIN(DH52*UU52,(YG52+ABT52)),ABT52))),YG52)</f>
        <v>1270</v>
      </c>
      <c r="YI52" s="20" t="n">
        <f aca="false">IF(AND(H_Direct=1,DI52&gt;0),MAX(0,YH52-(MIN(DI52*UV52,(YH52+ABU52))-MIN(MIN(DI52*UV52,(YH52+ABU52)),ABU52))),YH52)</f>
        <v>1270</v>
      </c>
      <c r="YJ52" s="20" t="n">
        <f aca="false">IF(AND(H_Direct=1,DJ52&gt;0),MAX(0,YI52-(MIN(DJ52*UW52,(YI52+ABV52))-MIN(MIN(DJ52*UW52,(YI52+ABV52)),ABV52))),YI52)</f>
        <v>1270</v>
      </c>
      <c r="YK52" s="20" t="n">
        <f aca="false">IF(AND(H_Direct=1,DK52&gt;0),MAX(0,YJ52-(MIN(DK52*UX52,(YJ52+ABW52))-MIN(MIN(DK52*UX52,(YJ52+ABW52)),ABW52))),YJ52)</f>
        <v>1270</v>
      </c>
      <c r="YL52" s="20" t="n">
        <f aca="false">YK52</f>
        <v>1270</v>
      </c>
      <c r="YM52" s="20" t="n">
        <f aca="false">YL52</f>
        <v>1270</v>
      </c>
      <c r="YN52" s="20" t="n">
        <f aca="false">YM52</f>
        <v>1270</v>
      </c>
      <c r="YO52" s="20" t="n">
        <f aca="false">YN52</f>
        <v>1270</v>
      </c>
      <c r="YP52" s="20" t="n">
        <f aca="false">YO52</f>
        <v>1270</v>
      </c>
      <c r="YQ52" s="20" t="n">
        <f aca="false">YP52</f>
        <v>1270</v>
      </c>
      <c r="YR52" s="20" t="n">
        <f aca="false">YQ52</f>
        <v>1270</v>
      </c>
      <c r="YS52" s="20" t="n">
        <f aca="false">YR52</f>
        <v>1270</v>
      </c>
      <c r="YT52" s="20" t="n">
        <f aca="false">YS52</f>
        <v>1270</v>
      </c>
      <c r="YU52" s="20" t="n">
        <f aca="false">YT52</f>
        <v>1270</v>
      </c>
      <c r="YV52" s="20" t="n">
        <f aca="false">YU52</f>
        <v>1270</v>
      </c>
      <c r="YW52" s="20" t="n">
        <f aca="false">YV52</f>
        <v>1270</v>
      </c>
      <c r="YX52" s="20" t="n">
        <f aca="false">YW52</f>
        <v>1270</v>
      </c>
      <c r="YY52" s="20" t="n">
        <f aca="false">YX52</f>
        <v>1270</v>
      </c>
      <c r="YZ52" s="20" t="n">
        <f aca="false">YY52</f>
        <v>1270</v>
      </c>
      <c r="ZA52" s="20" t="n">
        <f aca="false">YZ52</f>
        <v>1270</v>
      </c>
      <c r="ZB52" s="20" t="n">
        <f aca="false">ZA52</f>
        <v>1270</v>
      </c>
      <c r="ZC52" s="20" t="n">
        <f aca="false">ZB52</f>
        <v>1270</v>
      </c>
      <c r="ZD52" s="20" t="n">
        <f aca="false">ZC52</f>
        <v>1270</v>
      </c>
      <c r="ZE52" s="20" t="n">
        <f aca="false">ZD52</f>
        <v>1270</v>
      </c>
      <c r="ZF52" s="20" t="n">
        <f aca="false">ZE52</f>
        <v>1270</v>
      </c>
      <c r="ZG52" s="20" t="n">
        <f aca="false">ZF52</f>
        <v>1270</v>
      </c>
      <c r="ZH52" s="20" t="n">
        <f aca="false">ZG52</f>
        <v>1270</v>
      </c>
      <c r="ZI52" s="20" t="n">
        <f aca="false">ZH52</f>
        <v>1270</v>
      </c>
      <c r="ZJ52" s="20" t="n">
        <f aca="false">ZI52</f>
        <v>1270</v>
      </c>
      <c r="ZK52" s="20" t="n">
        <f aca="false">ZJ52</f>
        <v>1270</v>
      </c>
      <c r="ZL52" s="20" t="n">
        <f aca="false">ZK52</f>
        <v>1270</v>
      </c>
      <c r="ZM52" s="20" t="n">
        <f aca="false">ZL52</f>
        <v>1270</v>
      </c>
      <c r="ZN52" s="20" t="n">
        <f aca="false">ZM52</f>
        <v>1270</v>
      </c>
      <c r="ZO52" s="20" t="n">
        <f aca="false">ZN52</f>
        <v>1270</v>
      </c>
      <c r="ZP52" s="20" t="n">
        <f aca="false">ZO52</f>
        <v>1270</v>
      </c>
      <c r="ZQ52" s="20" t="n">
        <f aca="false">ZP52</f>
        <v>1270</v>
      </c>
      <c r="ZR52" s="20" t="n">
        <f aca="false">ZQ52</f>
        <v>1270</v>
      </c>
      <c r="ZS52" s="20" t="n">
        <f aca="false">ZR52</f>
        <v>1270</v>
      </c>
      <c r="ZT52" s="20" t="n">
        <f aca="false">ZS52</f>
        <v>1270</v>
      </c>
      <c r="ZU52" s="20" t="n">
        <f aca="false">ZT52</f>
        <v>1270</v>
      </c>
      <c r="ZV52" s="20" t="n">
        <f aca="false">ZU52</f>
        <v>1270</v>
      </c>
      <c r="ZW52" s="20" t="n">
        <f aca="false">ZV52</f>
        <v>1270</v>
      </c>
      <c r="ZX52" s="20" t="n">
        <f aca="false">ZW52</f>
        <v>1270</v>
      </c>
      <c r="ZY52" s="20" t="n">
        <f aca="false">ZX52</f>
        <v>1270</v>
      </c>
      <c r="ZZ52" s="20" t="n">
        <f aca="false">ZY52</f>
        <v>1270</v>
      </c>
      <c r="AAA52" s="20" t="n">
        <f aca="false">ZZ52</f>
        <v>1270</v>
      </c>
      <c r="AAB52" s="20" t="n">
        <f aca="false">AAA52</f>
        <v>1270</v>
      </c>
      <c r="AAC52" s="20" t="n">
        <f aca="false">AAB52</f>
        <v>1270</v>
      </c>
      <c r="AAD52" s="20" t="n">
        <f aca="false">AAC52</f>
        <v>1270</v>
      </c>
      <c r="AAE52" s="20" t="n">
        <f aca="false">IF(H_Direct=1,IF(BR52&lt;=0,I52-BR52*TE52,I52-MIN(MIN(BR52*TE52,(H52+I52)),I52)),I52)</f>
        <v>0</v>
      </c>
      <c r="AAF52" s="20" t="n">
        <f aca="false">IF(H_Direct=1,IF(BS52&lt;=0,AAE52-BS52*TF52,AAE52-MIN(MIN(BS52*TF52,(WR52+AAE52)),AAE52)),AAE52)</f>
        <v>0</v>
      </c>
      <c r="AAG52" s="20" t="n">
        <f aca="false">IF(H_Direct=1,IF(BT52&lt;=0,AAF52-BT52*TG52,AAF52-MIN(MIN(BT52*TG52,(WS52+AAF52)),AAF52)),AAF52)</f>
        <v>0</v>
      </c>
      <c r="AAH52" s="20" t="n">
        <f aca="false">IF(H_Direct=1,IF(BU52&lt;=0,AAG52-BU52*TH52,AAG52-MIN(MIN(BU52*TH52,(WT52+AAG52)),AAG52)),AAG52)</f>
        <v>0</v>
      </c>
      <c r="AAI52" s="20" t="n">
        <f aca="false">IF(H_Direct=1,IF(BV52&lt;=0,AAH52-BV52*TI52,AAH52-MIN(MIN(BV52*TI52,(WU52+AAH52)),AAH52)),AAH52)</f>
        <v>0</v>
      </c>
      <c r="AAJ52" s="20" t="n">
        <f aca="false">IF(H_Direct=1,IF(BW52&lt;=0,AAI52-BW52*TJ52,AAI52-MIN(MIN(BW52*TJ52,(WV52+AAI52)),AAI52)),AAI52)</f>
        <v>0</v>
      </c>
      <c r="AAK52" s="20" t="n">
        <f aca="false">IF(H_Direct=1,IF(BX52&lt;=0,AAJ52-BX52*TK52,AAJ52-MIN(MIN(BX52*TK52,(WW52+AAJ52)),AAJ52)),AAJ52)</f>
        <v>0</v>
      </c>
      <c r="AAL52" s="20" t="n">
        <f aca="false">IF(H_Direct=1,IF(BY52&lt;=0,AAK52-BY52*TL52,AAK52-MIN(MIN(BY52*TL52,(WX52+AAK52)),AAK52)),AAK52)</f>
        <v>0</v>
      </c>
      <c r="AAM52" s="20" t="n">
        <f aca="false">IF(H_Direct=1,IF(BZ52&lt;=0,AAL52-BZ52*TM52,AAL52-MIN(MIN(BZ52*TM52,(WY52+AAL52)),AAL52)),AAL52)</f>
        <v>0</v>
      </c>
      <c r="AAN52" s="20" t="n">
        <f aca="false">IF(H_Direct=1,IF(CA52&lt;=0,AAM52-CA52*TN52,AAM52-MIN(MIN(CA52*TN52,(WZ52+AAM52)),AAM52)),AAM52)</f>
        <v>0</v>
      </c>
      <c r="AAO52" s="20" t="n">
        <f aca="false">IF(H_Direct=1,IF(CB52&lt;=0,AAN52-CB52*TO52,AAN52-MIN(MIN(CB52*TO52,(XA52+AAN52)),AAN52)),AAN52)</f>
        <v>0</v>
      </c>
      <c r="AAP52" s="20" t="n">
        <f aca="false">IF(H_Direct=1,IF(CC52&lt;=0,AAO52-CC52*TP52,AAO52-MIN(MIN(CC52*TP52,(XB52+AAO52)),AAO52)),AAO52)</f>
        <v>0</v>
      </c>
      <c r="AAQ52" s="20" t="n">
        <f aca="false">IF(H_Direct=1,IF(CD52&lt;=0,AAP52-CD52*TQ52,AAP52-MIN(MIN(CD52*TQ52,(XC52+AAP52)),AAP52)),AAP52)</f>
        <v>0</v>
      </c>
      <c r="AAR52" s="20" t="n">
        <f aca="false">IF(H_Direct=1,IF(CE52&lt;=0,AAQ52-CE52*TR52,AAQ52-MIN(MIN(CE52*TR52,(XD52+AAQ52)),AAQ52)),AAQ52)</f>
        <v>0</v>
      </c>
      <c r="AAS52" s="20" t="n">
        <f aca="false">IF(H_Direct=1,IF(CF52&lt;=0,AAR52-CF52*TS52,AAR52-MIN(MIN(CF52*TS52,(XE52+AAR52)),AAR52)),AAR52)</f>
        <v>0</v>
      </c>
      <c r="AAT52" s="20" t="n">
        <f aca="false">IF(H_Direct=1,IF(CG52&lt;=0,AAS52-CG52*TT52,AAS52-MIN(MIN(CG52*TT52,(XF52+AAS52)),AAS52)),AAS52)</f>
        <v>0</v>
      </c>
      <c r="AAU52" s="20" t="n">
        <f aca="false">IF(H_Direct=1,IF(CH52&lt;=0,AAT52-CH52*TU52,AAT52-MIN(MIN(CH52*TU52,(XG52+AAT52)),AAT52)),AAT52)</f>
        <v>0</v>
      </c>
      <c r="AAV52" s="20" t="n">
        <f aca="false">IF(H_Direct=1,IF(CI52&lt;=0,AAU52-CI52*TV52,AAU52-MIN(MIN(CI52*TV52,(XH52+AAU52)),AAU52)),AAU52)</f>
        <v>0</v>
      </c>
      <c r="AAW52" s="20" t="n">
        <f aca="false">IF(H_Direct=1,IF(CJ52&lt;=0,AAV52-CJ52*TW52,AAV52-MIN(MIN(CJ52*TW52,(XI52+AAV52)),AAV52)),AAV52)</f>
        <v>0</v>
      </c>
      <c r="AAX52" s="20" t="n">
        <f aca="false">IF(H_Direct=1,IF(CK52&lt;=0,AAW52-CK52*TX52,AAW52-MIN(MIN(CK52*TX52,(XJ52+AAW52)),AAW52)),AAW52)</f>
        <v>0</v>
      </c>
      <c r="AAY52" s="20" t="n">
        <f aca="false">IF(H_Direct=1,IF(CL52&lt;=0,AAX52-CL52*TY52,AAX52-MIN(MIN(CL52*TY52,(XK52+AAX52)),AAX52)),AAX52)</f>
        <v>0</v>
      </c>
      <c r="AAZ52" s="20" t="n">
        <f aca="false">IF(H_Direct=1,IF(CM52&lt;=0,AAY52-CM52*TZ52,AAY52-MIN(MIN(CM52*TZ52,(XL52+AAY52)),AAY52)),AAY52)</f>
        <v>0</v>
      </c>
      <c r="ABA52" s="20" t="n">
        <f aca="false">IF(H_Direct=1,IF(CN52&lt;=0,AAZ52-CN52*UA52,AAZ52-MIN(MIN(CN52*UA52,(XM52+AAZ52)),AAZ52)),AAZ52)</f>
        <v>0</v>
      </c>
      <c r="ABB52" s="20" t="n">
        <f aca="false">IF(H_Direct=1,IF(CO52&lt;=0,ABA52-CO52*UB52,ABA52-MIN(MIN(CO52*UB52,(XN52+ABA52)),ABA52)),ABA52)</f>
        <v>0</v>
      </c>
      <c r="ABC52" s="20" t="n">
        <f aca="false">IF(H_Direct=1,IF(CP52&lt;=0,ABB52-CP52*UC52,ABB52-MIN(MIN(CP52*UC52,(XO52+ABB52)),ABB52)),ABB52)</f>
        <v>0</v>
      </c>
      <c r="ABD52" s="20" t="n">
        <f aca="false">IF(H_Direct=1,IF(CQ52&lt;=0,ABC52-CQ52*UD52,ABC52-MIN(MIN(CQ52*UD52,(XP52+ABC52)),ABC52)),ABC52)</f>
        <v>0</v>
      </c>
      <c r="ABE52" s="20" t="n">
        <f aca="false">IF(H_Direct=1,IF(CR52&lt;=0,ABD52-CR52*UE52,ABD52-MIN(MIN(CR52*UE52,(XQ52+ABD52)),ABD52)),ABD52)</f>
        <v>0</v>
      </c>
      <c r="ABF52" s="20" t="n">
        <f aca="false">IF(H_Direct=1,IF(CS52&lt;=0,ABE52-CS52*UF52,ABE52-MIN(MIN(CS52*UF52,(XR52+ABE52)),ABE52)),ABE52)</f>
        <v>0</v>
      </c>
      <c r="ABG52" s="20" t="n">
        <f aca="false">IF(H_Direct=1,IF(CT52&lt;=0,ABF52-CT52*UG52,ABF52-MIN(MIN(CT52*UG52,(XS52+ABF52)),ABF52)),ABF52)</f>
        <v>0</v>
      </c>
      <c r="ABH52" s="20" t="n">
        <f aca="false">IF(H_Direct=1,IF(CU52&lt;=0,ABG52-CU52*UH52,ABG52-MIN(MIN(CU52*UH52,(XT52+ABG52)),ABG52)),ABG52)</f>
        <v>0</v>
      </c>
      <c r="ABI52" s="20" t="n">
        <f aca="false">IF(H_Direct=1,IF(CV52&lt;=0,ABH52-CV52*UI52,ABH52-MIN(MIN(CV52*UI52,(XU52+ABH52)),ABH52)),ABH52)</f>
        <v>0</v>
      </c>
      <c r="ABJ52" s="20" t="n">
        <f aca="false">IF(H_Direct=1,IF(CW52&lt;=0,ABI52-CW52*UJ52,ABI52-MIN(MIN(CW52*UJ52,(XV52+ABI52)),ABI52)),ABI52)</f>
        <v>0</v>
      </c>
      <c r="ABK52" s="20" t="n">
        <f aca="false">IF(H_Direct=1,IF(CX52&lt;=0,ABJ52-CX52*UK52,ABJ52-MIN(MIN(CX52*UK52,(XW52+ABJ52)),ABJ52)),ABJ52)</f>
        <v>0</v>
      </c>
      <c r="ABL52" s="20" t="n">
        <f aca="false">IF(H_Direct=1,IF(CY52&lt;=0,ABK52-CY52*UL52,ABK52-MIN(MIN(CY52*UL52,(XX52+ABK52)),ABK52)),ABK52)</f>
        <v>0</v>
      </c>
      <c r="ABM52" s="20" t="n">
        <f aca="false">IF(H_Direct=1,IF(CZ52&lt;=0,ABL52-CZ52*UM52,ABL52-MIN(MIN(CZ52*UM52,(XY52+ABL52)),ABL52)),ABL52)</f>
        <v>0</v>
      </c>
      <c r="ABN52" s="20" t="n">
        <f aca="false">IF(H_Direct=1,IF(DA52&lt;=0,ABM52-DA52*UN52,ABM52-MIN(MIN(DA52*UN52,(XZ52+ABM52)),ABM52)),ABM52)</f>
        <v>0</v>
      </c>
      <c r="ABO52" s="20" t="n">
        <f aca="false">IF(H_Direct=1,IF(DB52&lt;=0,ABN52-DB52*UO52,ABN52-MIN(MIN(DB52*UO52,(YA52+ABN52)),ABN52)),ABN52)</f>
        <v>0</v>
      </c>
      <c r="ABP52" s="20" t="n">
        <f aca="false">IF(H_Direct=1,IF(DC52&lt;=0,ABO52-DC52*UP52,ABO52-MIN(MIN(DC52*UP52,(YB52+ABO52)),ABO52)),ABO52)</f>
        <v>0</v>
      </c>
      <c r="ABQ52" s="20" t="n">
        <f aca="false">IF(H_Direct=1,IF(DD52&lt;=0,ABP52-DD52*UQ52,ABP52-MIN(MIN(DD52*UQ52,(YC52+ABP52)),ABP52)),ABP52)</f>
        <v>0</v>
      </c>
      <c r="ABR52" s="20" t="n">
        <f aca="false">IF(H_Direct=1,IF(DE52&lt;=0,ABQ52-DE52*UR52,ABQ52-MIN(MIN(DE52*UR52,(YD52+ABQ52)),ABQ52)),ABQ52)</f>
        <v>0</v>
      </c>
      <c r="ABS52" s="20" t="n">
        <f aca="false">IF(H_Direct=1,IF(DF52&lt;=0,ABR52-DF52*US52,ABR52-MIN(MIN(DF52*US52,(YE52+ABR52)),ABR52)),ABR52)</f>
        <v>0</v>
      </c>
      <c r="ABT52" s="20" t="n">
        <f aca="false">IF(H_Direct=1,IF(DG52&lt;=0,ABS52-DG52*UT52,ABS52-MIN(MIN(DG52*UT52,(YF52+ABS52)),ABS52)),ABS52)</f>
        <v>0</v>
      </c>
      <c r="ABU52" s="20" t="n">
        <f aca="false">IF(H_Direct=1,IF(DH52&lt;=0,ABT52-DH52*UU52,ABT52-MIN(MIN(DH52*UU52,(YG52+ABT52)),ABT52)),ABT52)</f>
        <v>0</v>
      </c>
      <c r="ABV52" s="20" t="n">
        <f aca="false">IF(H_Direct=1,IF(DI52&lt;=0,ABU52-DI52*UV52,ABU52-MIN(MIN(DI52*UV52,(YH52+ABU52)),ABU52)),ABU52)</f>
        <v>0</v>
      </c>
      <c r="ABW52" s="20" t="n">
        <f aca="false">IF(H_Direct=1,IF(DJ52&lt;=0,ABV52-DJ52*UW52,ABV52-MIN(MIN(DJ52*UW52,(YI52+ABV52)),ABV52)),ABV52)</f>
        <v>0</v>
      </c>
      <c r="ABX52" s="20" t="n">
        <f aca="false">IF(H_Direct=1,IF(DK52&lt;=0,ABW52-DK52*UX52,ABW52-MIN(MIN(DK52*UX52,(YJ52+ABW52)),ABW52)),ABW52)</f>
        <v>0</v>
      </c>
      <c r="ABY52" s="20" t="n">
        <f aca="false">ABX52</f>
        <v>0</v>
      </c>
      <c r="ABZ52" s="20" t="n">
        <f aca="false">ABY52</f>
        <v>0</v>
      </c>
      <c r="ACA52" s="20" t="n">
        <f aca="false">ABZ52</f>
        <v>0</v>
      </c>
      <c r="ACB52" s="20" t="n">
        <f aca="false">ACA52</f>
        <v>0</v>
      </c>
      <c r="ACC52" s="20" t="n">
        <f aca="false">ACB52</f>
        <v>0</v>
      </c>
      <c r="ACD52" s="20" t="n">
        <f aca="false">ACC52</f>
        <v>0</v>
      </c>
      <c r="ACE52" s="20" t="n">
        <f aca="false">ACD52</f>
        <v>0</v>
      </c>
      <c r="ACF52" s="20" t="n">
        <f aca="false">ACE52</f>
        <v>0</v>
      </c>
      <c r="ACG52" s="20" t="n">
        <f aca="false">ACF52</f>
        <v>0</v>
      </c>
      <c r="ACH52" s="20" t="n">
        <f aca="false">ACG52</f>
        <v>0</v>
      </c>
      <c r="ACI52" s="20" t="n">
        <f aca="false">ACH52</f>
        <v>0</v>
      </c>
      <c r="ACJ52" s="20" t="n">
        <f aca="false">ACI52</f>
        <v>0</v>
      </c>
      <c r="ACK52" s="20" t="n">
        <f aca="false">ACJ52</f>
        <v>0</v>
      </c>
      <c r="ACL52" s="20" t="n">
        <f aca="false">ACK52</f>
        <v>0</v>
      </c>
      <c r="ACM52" s="20" t="n">
        <f aca="false">ACL52</f>
        <v>0</v>
      </c>
      <c r="ACN52" s="20" t="n">
        <f aca="false">ACM52</f>
        <v>0</v>
      </c>
      <c r="ACO52" s="20" t="n">
        <f aca="false">ACN52</f>
        <v>0</v>
      </c>
      <c r="ACP52" s="20" t="n">
        <f aca="false">ACO52</f>
        <v>0</v>
      </c>
      <c r="ACQ52" s="20" t="n">
        <f aca="false">ACP52</f>
        <v>0</v>
      </c>
      <c r="ACR52" s="20" t="n">
        <f aca="false">ACQ52</f>
        <v>0</v>
      </c>
      <c r="ACS52" s="20" t="n">
        <f aca="false">ACR52</f>
        <v>0</v>
      </c>
      <c r="ACT52" s="20" t="n">
        <f aca="false">ACS52</f>
        <v>0</v>
      </c>
      <c r="ACU52" s="20" t="n">
        <f aca="false">ACT52</f>
        <v>0</v>
      </c>
      <c r="ACV52" s="20" t="n">
        <f aca="false">ACU52</f>
        <v>0</v>
      </c>
      <c r="ACW52" s="20" t="n">
        <f aca="false">ACV52</f>
        <v>0</v>
      </c>
      <c r="ACX52" s="20" t="n">
        <f aca="false">ACW52</f>
        <v>0</v>
      </c>
      <c r="ACY52" s="20" t="n">
        <f aca="false">ACX52</f>
        <v>0</v>
      </c>
      <c r="ACZ52" s="20" t="n">
        <f aca="false">ACY52</f>
        <v>0</v>
      </c>
      <c r="ADA52" s="20" t="n">
        <f aca="false">ACZ52</f>
        <v>0</v>
      </c>
      <c r="ADB52" s="20" t="n">
        <f aca="false">ADA52</f>
        <v>0</v>
      </c>
      <c r="ADC52" s="20" t="n">
        <f aca="false">ADB52</f>
        <v>0</v>
      </c>
      <c r="ADD52" s="20" t="n">
        <f aca="false">ADC52</f>
        <v>0</v>
      </c>
      <c r="ADE52" s="20" t="n">
        <f aca="false">ADD52</f>
        <v>0</v>
      </c>
      <c r="ADF52" s="20" t="n">
        <f aca="false">ADE52</f>
        <v>0</v>
      </c>
      <c r="ADG52" s="20" t="n">
        <f aca="false">ADF52</f>
        <v>0</v>
      </c>
      <c r="ADH52" s="20" t="n">
        <f aca="false">ADG52</f>
        <v>0</v>
      </c>
      <c r="ADI52" s="20" t="n">
        <f aca="false">ADH52</f>
        <v>0</v>
      </c>
      <c r="ADJ52" s="20" t="n">
        <f aca="false">ADI52</f>
        <v>0</v>
      </c>
      <c r="ADK52" s="20" t="n">
        <f aca="false">ADJ52</f>
        <v>0</v>
      </c>
      <c r="ADL52" s="20" t="n">
        <f aca="false">ADK52</f>
        <v>0</v>
      </c>
      <c r="ADM52" s="20" t="n">
        <f aca="false">ADL52</f>
        <v>0</v>
      </c>
      <c r="ADN52" s="20" t="n">
        <f aca="false">ADM52</f>
        <v>0</v>
      </c>
      <c r="ADO52" s="20" t="n">
        <f aca="false">ADN52</f>
        <v>0</v>
      </c>
      <c r="ADP52" s="20" t="n">
        <f aca="false">ADO52</f>
        <v>0</v>
      </c>
      <c r="ADQ52" s="20" t="n">
        <f aca="false">ADP52</f>
        <v>0</v>
      </c>
      <c r="ADR52" s="20" t="n">
        <f aca="false">(AKR51-TE52+0)*(1+BQ52)</f>
        <v>0</v>
      </c>
      <c r="ADS52" s="20" t="n">
        <f aca="false">(AKS51-TF52+0)*(1+BQ52)</f>
        <v>0</v>
      </c>
      <c r="ADT52" s="20" t="n">
        <f aca="false">(AKT51-TG52+0)*(1+BQ52)</f>
        <v>0</v>
      </c>
      <c r="ADU52" s="20" t="n">
        <f aca="false">(AKU51-TH52+0)*(1+BQ52)</f>
        <v>0</v>
      </c>
      <c r="ADV52" s="20" t="n">
        <f aca="false">(AKV51-TI52+0)*(1+BQ52)</f>
        <v>0</v>
      </c>
      <c r="ADW52" s="20" t="n">
        <f aca="false">(AKW51-TJ52+0)*(1+BQ52)</f>
        <v>0</v>
      </c>
      <c r="ADX52" s="20" t="n">
        <f aca="false">(AKX51-TK52+0)*(1+BQ52)</f>
        <v>0</v>
      </c>
      <c r="ADY52" s="20" t="n">
        <f aca="false">(AKY51-TL52+0)*(1+BQ52)</f>
        <v>0</v>
      </c>
      <c r="ADZ52" s="20" t="n">
        <f aca="false">(AKZ51-TM52+0)*(1+BQ52)</f>
        <v>0</v>
      </c>
      <c r="AEA52" s="20" t="n">
        <f aca="false">(ALA51-TN52+0)*(1+BQ52)</f>
        <v>0</v>
      </c>
      <c r="AEB52" s="20" t="n">
        <f aca="false">(ALB51-TO52+0)*(1+BQ52)</f>
        <v>0</v>
      </c>
      <c r="AEC52" s="20" t="n">
        <f aca="false">(ALC51-TP52+0)*(1+BQ52)</f>
        <v>0</v>
      </c>
      <c r="AED52" s="20" t="n">
        <f aca="false">(ALD51-TQ52+0)*(1+BQ52)</f>
        <v>0</v>
      </c>
      <c r="AEE52" s="20" t="n">
        <f aca="false">(ALE51-TR52+0)*(1+BQ52)</f>
        <v>0</v>
      </c>
      <c r="AEF52" s="20" t="n">
        <f aca="false">(ALF51-TS52+0)*(1+BQ52)</f>
        <v>0</v>
      </c>
      <c r="AEG52" s="20" t="n">
        <f aca="false">(ALG51-TT52+0)*(1+BQ52)</f>
        <v>0</v>
      </c>
      <c r="AEH52" s="20" t="n">
        <f aca="false">(ALH51-TU52+0)*(1+BQ52)</f>
        <v>0</v>
      </c>
      <c r="AEI52" s="20" t="n">
        <f aca="false">(ALI51-TV52+0)*(1+BQ52)</f>
        <v>0</v>
      </c>
      <c r="AEJ52" s="20" t="n">
        <f aca="false">(ALJ51-TW52+0)*(1+BQ52)</f>
        <v>0</v>
      </c>
      <c r="AEK52" s="20" t="n">
        <f aca="false">(ALK51-TX52+0)*(1+BQ52)</f>
        <v>0</v>
      </c>
      <c r="AEL52" s="20" t="n">
        <f aca="false">(ALL51-TY52+0)*(1+BQ52)</f>
        <v>0</v>
      </c>
      <c r="AEM52" s="20" t="n">
        <f aca="false">(ALM51-TZ52+0)*(1+BQ52)</f>
        <v>0</v>
      </c>
      <c r="AEN52" s="20" t="n">
        <f aca="false">(ALN51-UA52+0)*(1+BQ52)</f>
        <v>0</v>
      </c>
      <c r="AEO52" s="20" t="n">
        <f aca="false">(ALO51-UB52+0)*(1+BQ52)</f>
        <v>0</v>
      </c>
      <c r="AEP52" s="20" t="n">
        <f aca="false">(ALP51-UC52+0)*(1+BQ52)</f>
        <v>0</v>
      </c>
      <c r="AEQ52" s="20" t="n">
        <f aca="false">(ALQ51-UD52+0)*(1+BQ52)</f>
        <v>0</v>
      </c>
      <c r="AER52" s="20" t="n">
        <f aca="false">(ALR51-UE52+0)*(1+BQ52)</f>
        <v>0</v>
      </c>
      <c r="AES52" s="20" t="n">
        <f aca="false">(ALS51-UF52+0)*(1+BQ52)</f>
        <v>0</v>
      </c>
      <c r="AET52" s="20" t="n">
        <f aca="false">(ALT51-UG52+0)*(1+BQ52)</f>
        <v>0</v>
      </c>
      <c r="AEU52" s="20" t="n">
        <f aca="false">(ALU51-UH52+0)*(1+BQ52)</f>
        <v>0</v>
      </c>
      <c r="AEV52" s="20" t="n">
        <f aca="false">(ALV51-UI52+0)*(1+BQ52)</f>
        <v>0</v>
      </c>
      <c r="AEW52" s="20" t="n">
        <f aca="false">(ALW51-UJ52+0)*(1+BQ52)</f>
        <v>0</v>
      </c>
      <c r="AEX52" s="20" t="n">
        <f aca="false">(ALX51-UK52+0)*(1+BQ52)</f>
        <v>0</v>
      </c>
      <c r="AEY52" s="20" t="n">
        <f aca="false">(ALY51-UL52+0)*(1+BQ52)</f>
        <v>0</v>
      </c>
      <c r="AEZ52" s="20" t="n">
        <f aca="false">(ALZ51-UM52+0)*(1+BQ52)</f>
        <v>0</v>
      </c>
      <c r="AFA52" s="20" t="n">
        <f aca="false">(AMA51-UN52+0)*(1+BQ52)</f>
        <v>0</v>
      </c>
      <c r="AFB52" s="20" t="n">
        <f aca="false">(AMB51-UO52+0)*(1+BQ52)</f>
        <v>0</v>
      </c>
      <c r="AFC52" s="20" t="n">
        <f aca="false">(AMC51-UP52+0)*(1+BQ52)</f>
        <v>0</v>
      </c>
      <c r="AFD52" s="20" t="n">
        <f aca="false">(AMD51-UQ52+0)*(1+BQ52)</f>
        <v>0</v>
      </c>
      <c r="AFE52" s="20" t="n">
        <f aca="false">(AME51-UR52+0)*(1+BQ52)</f>
        <v>0</v>
      </c>
      <c r="AFF52" s="20" t="n">
        <f aca="false">(AMF51-US52+0)*(1+BQ52)</f>
        <v>0</v>
      </c>
      <c r="AFG52" s="20" t="n">
        <f aca="false">(AMG51-UT52+0)*(1+BQ52)</f>
        <v>0</v>
      </c>
      <c r="AFH52" s="20" t="n">
        <f aca="false">(AMH51-UU52+0)*(1+BQ52)</f>
        <v>0</v>
      </c>
      <c r="AFI52" s="20" t="n">
        <f aca="false">(AMI51-UV52+0)*(1+BQ52)</f>
        <v>0</v>
      </c>
      <c r="AFJ52" s="20" t="n">
        <f aca="false">(AMJ51-UW52+0)*(1+BQ52)</f>
        <v>0</v>
      </c>
      <c r="AFK52" s="20" t="n">
        <f aca="false">((P52+S52)-UX52+BE52)*(1+BQ52)</f>
        <v>0</v>
      </c>
      <c r="AFL52" s="20" t="n">
        <v>0</v>
      </c>
      <c r="AFM52" s="20" t="n">
        <v>0</v>
      </c>
      <c r="AFN52" s="20" t="n">
        <v>0</v>
      </c>
      <c r="AFO52" s="20" t="n">
        <v>0</v>
      </c>
      <c r="AFP52" s="20" t="n">
        <v>0</v>
      </c>
      <c r="AFQ52" s="20" t="n">
        <v>0</v>
      </c>
      <c r="AFR52" s="20" t="n">
        <v>0</v>
      </c>
      <c r="AFS52" s="20" t="n">
        <v>0</v>
      </c>
      <c r="AFT52" s="20" t="n">
        <v>0</v>
      </c>
      <c r="AFU52" s="20" t="n">
        <v>0</v>
      </c>
      <c r="AFV52" s="20" t="n">
        <v>0</v>
      </c>
      <c r="AFW52" s="20" t="n">
        <v>0</v>
      </c>
      <c r="AFX52" s="20" t="n">
        <v>0</v>
      </c>
      <c r="AFY52" s="20" t="n">
        <v>0</v>
      </c>
      <c r="AFZ52" s="20" t="n">
        <v>0</v>
      </c>
      <c r="AGA52" s="20" t="n">
        <v>0</v>
      </c>
      <c r="AGB52" s="20" t="n">
        <v>0</v>
      </c>
      <c r="AGC52" s="20" t="n">
        <v>0</v>
      </c>
      <c r="AGD52" s="20" t="n">
        <v>0</v>
      </c>
      <c r="AGE52" s="20" t="n">
        <v>0</v>
      </c>
      <c r="AGF52" s="20" t="n">
        <v>0</v>
      </c>
      <c r="AGG52" s="20" t="n">
        <v>0</v>
      </c>
      <c r="AGH52" s="20" t="n">
        <v>0</v>
      </c>
      <c r="AGI52" s="20" t="n">
        <v>0</v>
      </c>
      <c r="AGJ52" s="20" t="n">
        <v>0</v>
      </c>
      <c r="AGK52" s="20" t="n">
        <v>0</v>
      </c>
      <c r="AGL52" s="20" t="n">
        <v>0</v>
      </c>
      <c r="AGM52" s="20" t="n">
        <v>0</v>
      </c>
      <c r="AGN52" s="20" t="n">
        <v>0</v>
      </c>
      <c r="AGO52" s="20" t="n">
        <v>0</v>
      </c>
      <c r="AGP52" s="20" t="n">
        <v>0</v>
      </c>
      <c r="AGQ52" s="20" t="n">
        <v>0</v>
      </c>
      <c r="AGR52" s="20" t="n">
        <v>0</v>
      </c>
      <c r="AGS52" s="20" t="n">
        <v>0</v>
      </c>
      <c r="AGT52" s="20" t="n">
        <v>0</v>
      </c>
      <c r="AGU52" s="20" t="n">
        <v>0</v>
      </c>
      <c r="AGV52" s="20" t="n">
        <v>0</v>
      </c>
      <c r="AGW52" s="20" t="n">
        <v>0</v>
      </c>
      <c r="AGX52" s="20" t="n">
        <v>0</v>
      </c>
      <c r="AGY52" s="20" t="n">
        <v>0</v>
      </c>
      <c r="AGZ52" s="20" t="n">
        <v>0</v>
      </c>
      <c r="AHA52" s="20" t="n">
        <v>0</v>
      </c>
      <c r="AHB52" s="20" t="n">
        <v>0</v>
      </c>
      <c r="AHC52" s="20" t="n">
        <v>0</v>
      </c>
      <c r="AHD52" s="20" t="n">
        <v>0</v>
      </c>
      <c r="AHE52" s="20" t="n">
        <f aca="false">IF(AKR51&gt;0,AOE51-AOE51*TE52/AKR51,0)+0</f>
        <v>0</v>
      </c>
      <c r="AHF52" s="20" t="n">
        <f aca="false">IF(AKS51&gt;0,AOF51-AOF51*TF52/AKS51,0)+0</f>
        <v>0</v>
      </c>
      <c r="AHG52" s="20" t="n">
        <f aca="false">IF(AKT51&gt;0,AOG51-AOG51*TG52/AKT51,0)+0</f>
        <v>0</v>
      </c>
      <c r="AHH52" s="20" t="n">
        <f aca="false">IF(AKU51&gt;0,AOH51-AOH51*TH52/AKU51,0)+0</f>
        <v>0</v>
      </c>
      <c r="AHI52" s="20" t="n">
        <f aca="false">IF(AKV51&gt;0,AOI51-AOI51*TI52/AKV51,0)+0</f>
        <v>0</v>
      </c>
      <c r="AHJ52" s="20" t="n">
        <f aca="false">IF(AKW51&gt;0,AOJ51-AOJ51*TJ52/AKW51,0)+0</f>
        <v>0</v>
      </c>
      <c r="AHK52" s="20" t="n">
        <f aca="false">IF(AKX51&gt;0,AOK51-AOK51*TK52/AKX51,0)+0</f>
        <v>0</v>
      </c>
      <c r="AHL52" s="20" t="n">
        <f aca="false">IF(AKY51&gt;0,AOL51-AOL51*TL52/AKY51,0)+0</f>
        <v>0</v>
      </c>
      <c r="AHM52" s="20" t="n">
        <f aca="false">IF(AKZ51&gt;0,AOM51-AOM51*TM52/AKZ51,0)+0</f>
        <v>0</v>
      </c>
      <c r="AHN52" s="20" t="n">
        <f aca="false">IF(ALA51&gt;0,AON51-AON51*TN52/ALA51,0)+0</f>
        <v>0</v>
      </c>
      <c r="AHO52" s="20" t="n">
        <f aca="false">IF(ALB51&gt;0,AOO51-AOO51*TO52/ALB51,0)+0</f>
        <v>0</v>
      </c>
      <c r="AHP52" s="20" t="n">
        <f aca="false">IF(ALC51&gt;0,AOP51-AOP51*TP52/ALC51,0)+0</f>
        <v>0</v>
      </c>
      <c r="AHQ52" s="20" t="n">
        <f aca="false">IF(ALD51&gt;0,AOQ51-AOQ51*TQ52/ALD51,0)+0</f>
        <v>0</v>
      </c>
      <c r="AHR52" s="20" t="n">
        <f aca="false">IF(ALE51&gt;0,AOR51-AOR51*TR52/ALE51,0)+0</f>
        <v>0</v>
      </c>
      <c r="AHS52" s="20" t="n">
        <f aca="false">IF(ALF51&gt;0,AOS51-AOS51*TS52/ALF51,0)+0</f>
        <v>0</v>
      </c>
      <c r="AHT52" s="20" t="n">
        <f aca="false">IF(ALG51&gt;0,AOT51-AOT51*TT52/ALG51,0)+0</f>
        <v>0</v>
      </c>
      <c r="AHU52" s="20" t="n">
        <f aca="false">IF(ALH51&gt;0,AOU51-AOU51*TU52/ALH51,0)+0</f>
        <v>0</v>
      </c>
      <c r="AHV52" s="20" t="n">
        <f aca="false">IF(ALI51&gt;0,AOV51-AOV51*TV52/ALI51,0)+0</f>
        <v>0</v>
      </c>
      <c r="AHW52" s="20" t="n">
        <f aca="false">IF(ALJ51&gt;0,AOW51-AOW51*TW52/ALJ51,0)+0</f>
        <v>0</v>
      </c>
      <c r="AHX52" s="20" t="n">
        <f aca="false">IF(ALK51&gt;0,AOX51-AOX51*TX52/ALK51,0)+0</f>
        <v>0</v>
      </c>
      <c r="AHY52" s="20" t="n">
        <f aca="false">IF(ALL51&gt;0,AOY51-AOY51*TY52/ALL51,0)+0</f>
        <v>0</v>
      </c>
      <c r="AHZ52" s="20" t="n">
        <f aca="false">IF(ALM51&gt;0,AOZ51-AOZ51*TZ52/ALM51,0)+0</f>
        <v>0</v>
      </c>
      <c r="AIA52" s="20" t="n">
        <f aca="false">IF(ALN51&gt;0,APA51-APA51*UA52/ALN51,0)+0</f>
        <v>0</v>
      </c>
      <c r="AIB52" s="20" t="n">
        <f aca="false">IF(ALO51&gt;0,APB51-APB51*UB52/ALO51,0)+0</f>
        <v>0</v>
      </c>
      <c r="AIC52" s="20" t="n">
        <f aca="false">IF(ALP51&gt;0,APC51-APC51*UC52/ALP51,0)+0</f>
        <v>0</v>
      </c>
      <c r="AID52" s="20" t="n">
        <f aca="false">IF(ALQ51&gt;0,APD51-APD51*UD52/ALQ51,0)+0</f>
        <v>0</v>
      </c>
      <c r="AIE52" s="20" t="n">
        <f aca="false">IF(ALR51&gt;0,APE51-APE51*UE52/ALR51,0)+0</f>
        <v>0</v>
      </c>
      <c r="AIF52" s="20" t="n">
        <f aca="false">IF(ALS51&gt;0,APF51-APF51*UF52/ALS51,0)+0</f>
        <v>0</v>
      </c>
      <c r="AIG52" s="20" t="n">
        <f aca="false">IF(ALT51&gt;0,APG51-APG51*UG52/ALT51,0)+0</f>
        <v>0</v>
      </c>
      <c r="AIH52" s="20" t="n">
        <f aca="false">IF(ALU51&gt;0,APH51-APH51*UH52/ALU51,0)+0</f>
        <v>0</v>
      </c>
      <c r="AII52" s="20" t="n">
        <f aca="false">IF(ALV51&gt;0,API51-API51*UI52/ALV51,0)+0</f>
        <v>0</v>
      </c>
      <c r="AIJ52" s="20" t="n">
        <f aca="false">IF(ALW51&gt;0,APJ51-APJ51*UJ52/ALW51,0)+0</f>
        <v>0</v>
      </c>
      <c r="AIK52" s="20" t="n">
        <f aca="false">IF(ALX51&gt;0,APK51-APK51*UK52/ALX51,0)+0</f>
        <v>0</v>
      </c>
      <c r="AIL52" s="20" t="n">
        <f aca="false">IF(ALY51&gt;0,APL51-APL51*UL52/ALY51,0)+0</f>
        <v>0</v>
      </c>
      <c r="AIM52" s="20" t="n">
        <f aca="false">IF(ALZ51&gt;0,APM51-APM51*UM52/ALZ51,0)+0</f>
        <v>0</v>
      </c>
      <c r="AIN52" s="20" t="n">
        <f aca="false">IF(AMA51&gt;0,APN51-APN51*UN52/AMA51,0)+0</f>
        <v>0</v>
      </c>
      <c r="AIO52" s="20" t="n">
        <f aca="false">IF(AMB51&gt;0,APO51-APO51*UO52/AMB51,0)+0</f>
        <v>0</v>
      </c>
      <c r="AIP52" s="20" t="n">
        <f aca="false">IF(AMC51&gt;0,APP51-APP51*UP52/AMC51,0)+0</f>
        <v>0</v>
      </c>
      <c r="AIQ52" s="20" t="n">
        <f aca="false">IF(AMD51&gt;0,APQ51-APQ51*UQ52/AMD51,0)+0</f>
        <v>0</v>
      </c>
      <c r="AIR52" s="20" t="n">
        <f aca="false">IF(AME51&gt;0,APR51-APR51*UR52/AME51,0)+0</f>
        <v>0</v>
      </c>
      <c r="AIS52" s="20" t="n">
        <f aca="false">IF(AMF51&gt;0,APS51-APS51*US52/AMF51,0)+0</f>
        <v>0</v>
      </c>
      <c r="AIT52" s="20" t="n">
        <f aca="false">IF(AMG51&gt;0,APT51-APT51*UT52/AMG51,0)+0</f>
        <v>0</v>
      </c>
      <c r="AIU52" s="20" t="n">
        <f aca="false">IF(AMH51&gt;0,APU51-APU51*UU52/AMH51,0)+0</f>
        <v>0</v>
      </c>
      <c r="AIV52" s="20" t="n">
        <f aca="false">IF(AMI51&gt;0,APV51-APV51*UV52/AMI51,0)+0</f>
        <v>0</v>
      </c>
      <c r="AIW52" s="20" t="n">
        <f aca="false">IF(AMJ51&gt;0,APW51-APW51*UW52/AMJ51,0)+0</f>
        <v>0</v>
      </c>
      <c r="AIX52" s="20" t="n">
        <f aca="false">IF((P52+S52)&gt;0,(P52+S52)-(P52+S52)*UX52/(P52+S52),0)+BE52</f>
        <v>0</v>
      </c>
      <c r="AIY52" s="20" t="n">
        <v>0</v>
      </c>
      <c r="AIZ52" s="20" t="n">
        <v>0</v>
      </c>
      <c r="AJA52" s="20" t="n">
        <v>0</v>
      </c>
      <c r="AJB52" s="20" t="n">
        <v>0</v>
      </c>
      <c r="AJC52" s="20" t="n">
        <v>0</v>
      </c>
      <c r="AJD52" s="20" t="n">
        <v>0</v>
      </c>
      <c r="AJE52" s="20" t="n">
        <v>0</v>
      </c>
      <c r="AJF52" s="20" t="n">
        <v>0</v>
      </c>
      <c r="AJG52" s="20" t="n">
        <v>0</v>
      </c>
      <c r="AJH52" s="20" t="n">
        <v>0</v>
      </c>
      <c r="AJI52" s="20" t="n">
        <v>0</v>
      </c>
      <c r="AJJ52" s="20" t="n">
        <v>0</v>
      </c>
      <c r="AJK52" s="20" t="n">
        <v>0</v>
      </c>
      <c r="AJL52" s="20" t="n">
        <v>0</v>
      </c>
      <c r="AJM52" s="20" t="n">
        <v>0</v>
      </c>
      <c r="AJN52" s="20" t="n">
        <v>0</v>
      </c>
      <c r="AJO52" s="20" t="n">
        <v>0</v>
      </c>
      <c r="AJP52" s="20" t="n">
        <v>0</v>
      </c>
      <c r="AJQ52" s="20" t="n">
        <v>0</v>
      </c>
      <c r="AJR52" s="20" t="n">
        <v>0</v>
      </c>
      <c r="AJS52" s="20" t="n">
        <v>0</v>
      </c>
      <c r="AJT52" s="20" t="n">
        <v>0</v>
      </c>
      <c r="AJU52" s="20" t="n">
        <v>0</v>
      </c>
      <c r="AJV52" s="20" t="n">
        <v>0</v>
      </c>
      <c r="AJW52" s="20" t="n">
        <v>0</v>
      </c>
      <c r="AJX52" s="20" t="n">
        <v>0</v>
      </c>
      <c r="AJY52" s="20" t="n">
        <v>0</v>
      </c>
      <c r="AJZ52" s="20" t="n">
        <v>0</v>
      </c>
      <c r="AKA52" s="20" t="n">
        <v>0</v>
      </c>
      <c r="AKB52" s="20" t="n">
        <v>0</v>
      </c>
      <c r="AKC52" s="20" t="n">
        <v>0</v>
      </c>
      <c r="AKD52" s="20" t="n">
        <v>0</v>
      </c>
      <c r="AKE52" s="20" t="n">
        <v>0</v>
      </c>
      <c r="AKF52" s="20" t="n">
        <v>0</v>
      </c>
      <c r="AKG52" s="20" t="n">
        <v>0</v>
      </c>
      <c r="AKH52" s="20" t="n">
        <v>0</v>
      </c>
      <c r="AKI52" s="20" t="n">
        <v>0</v>
      </c>
      <c r="AKJ52" s="20" t="n">
        <v>0</v>
      </c>
      <c r="AKK52" s="20" t="n">
        <v>0</v>
      </c>
      <c r="AKL52" s="20" t="n">
        <v>0</v>
      </c>
      <c r="AKM52" s="20" t="n">
        <v>0</v>
      </c>
      <c r="AKN52" s="20" t="n">
        <v>0</v>
      </c>
      <c r="AKO52" s="20" t="n">
        <v>0</v>
      </c>
      <c r="AKP52" s="20" t="n">
        <v>0</v>
      </c>
      <c r="AKQ52" s="20" t="n">
        <v>0</v>
      </c>
      <c r="AKR52" s="20" t="n">
        <f aca="false">ADR52-AVE52</f>
        <v>0</v>
      </c>
      <c r="AKS52" s="20" t="n">
        <f aca="false">ADS52-AVF52</f>
        <v>0</v>
      </c>
      <c r="AKT52" s="20" t="n">
        <f aca="false">ADT52-AVG52</f>
        <v>0</v>
      </c>
      <c r="AKU52" s="20" t="n">
        <f aca="false">ADU52-AVH52</f>
        <v>0</v>
      </c>
      <c r="AKV52" s="20" t="n">
        <f aca="false">ADV52-AVI52</f>
        <v>0</v>
      </c>
      <c r="AKW52" s="20" t="n">
        <f aca="false">ADW52-AVJ52</f>
        <v>0</v>
      </c>
      <c r="AKX52" s="20" t="n">
        <f aca="false">ADX52-AVK52</f>
        <v>0</v>
      </c>
      <c r="AKY52" s="20" t="n">
        <f aca="false">ADY52-AVL52</f>
        <v>0</v>
      </c>
      <c r="AKZ52" s="20" t="n">
        <f aca="false">ADZ52-AVM52</f>
        <v>0</v>
      </c>
      <c r="ALA52" s="20" t="n">
        <f aca="false">AEA52-AVN52</f>
        <v>0</v>
      </c>
      <c r="ALB52" s="20" t="n">
        <f aca="false">AEB52-AVO52</f>
        <v>0</v>
      </c>
      <c r="ALC52" s="20" t="n">
        <f aca="false">AEC52-AVP52</f>
        <v>0</v>
      </c>
      <c r="ALD52" s="20" t="n">
        <f aca="false">AED52-AVQ52</f>
        <v>0</v>
      </c>
      <c r="ALE52" s="20" t="n">
        <f aca="false">AEE52-AVR52</f>
        <v>0</v>
      </c>
      <c r="ALF52" s="20" t="n">
        <f aca="false">AEF52-AVS52</f>
        <v>0</v>
      </c>
      <c r="ALG52" s="20" t="n">
        <f aca="false">AEG52-AVT52</f>
        <v>0</v>
      </c>
      <c r="ALH52" s="20" t="n">
        <f aca="false">AEH52-AVU52</f>
        <v>0</v>
      </c>
      <c r="ALI52" s="20" t="n">
        <f aca="false">AEI52-AVV52</f>
        <v>0</v>
      </c>
      <c r="ALJ52" s="20" t="n">
        <f aca="false">AEJ52-AVW52</f>
        <v>0</v>
      </c>
      <c r="ALK52" s="20" t="n">
        <f aca="false">AEK52-AVX52</f>
        <v>0</v>
      </c>
      <c r="ALL52" s="20" t="n">
        <f aca="false">AEL52-AVY52</f>
        <v>0</v>
      </c>
      <c r="ALM52" s="20" t="n">
        <f aca="false">AEM52-AVZ52</f>
        <v>0</v>
      </c>
      <c r="ALN52" s="20" t="n">
        <f aca="false">AEN52-AWA52</f>
        <v>0</v>
      </c>
      <c r="ALO52" s="20" t="n">
        <f aca="false">AEO52-AWB52</f>
        <v>0</v>
      </c>
      <c r="ALP52" s="20" t="n">
        <f aca="false">AEP52-AWC52</f>
        <v>0</v>
      </c>
      <c r="ALQ52" s="20" t="n">
        <f aca="false">AEQ52-AWD52</f>
        <v>0</v>
      </c>
      <c r="ALR52" s="20" t="n">
        <f aca="false">AER52-AWE52</f>
        <v>0</v>
      </c>
      <c r="ALS52" s="20" t="n">
        <f aca="false">AES52-AWF52</f>
        <v>0</v>
      </c>
      <c r="ALT52" s="20" t="n">
        <f aca="false">AET52-AWG52</f>
        <v>0</v>
      </c>
      <c r="ALU52" s="20" t="n">
        <f aca="false">AEU52-AWH52</f>
        <v>0</v>
      </c>
      <c r="ALV52" s="20" t="n">
        <f aca="false">AEV52-AWI52</f>
        <v>0</v>
      </c>
      <c r="ALW52" s="20" t="n">
        <f aca="false">AEW52-AWJ52</f>
        <v>0</v>
      </c>
      <c r="ALX52" s="20" t="n">
        <f aca="false">AEX52-AWK52</f>
        <v>0</v>
      </c>
      <c r="ALY52" s="20" t="n">
        <f aca="false">AEY52-AWL52</f>
        <v>0</v>
      </c>
      <c r="ALZ52" s="20" t="n">
        <f aca="false">AEZ52-AWM52</f>
        <v>0</v>
      </c>
      <c r="AMA52" s="20" t="n">
        <f aca="false">AFA52-AWN52</f>
        <v>0</v>
      </c>
      <c r="AMB52" s="20" t="n">
        <f aca="false">AFB52-AWO52</f>
        <v>0</v>
      </c>
      <c r="AMC52" s="20" t="n">
        <f aca="false">AFC52-AWP52</f>
        <v>0</v>
      </c>
      <c r="AMD52" s="20" t="n">
        <f aca="false">AFD52-AWQ52</f>
        <v>0</v>
      </c>
      <c r="AME52" s="20" t="n">
        <f aca="false">AFE52-AWR52</f>
        <v>0</v>
      </c>
      <c r="AMF52" s="20" t="n">
        <f aca="false">AFF52-AWS52</f>
        <v>0</v>
      </c>
      <c r="AMG52" s="20" t="n">
        <f aca="false">AFG52-AWT52</f>
        <v>0</v>
      </c>
      <c r="AMH52" s="20" t="n">
        <f aca="false">AFH52-AWU52</f>
        <v>0</v>
      </c>
      <c r="AMI52" s="20" t="n">
        <f aca="false">AFI52-AWV52</f>
        <v>0</v>
      </c>
      <c r="AMJ52" s="20" t="n">
        <f aca="false">AFJ52-AWW52</f>
        <v>0</v>
      </c>
      <c r="AMK52" s="20" t="n">
        <f aca="false">AFK52-AWX52</f>
        <v>0</v>
      </c>
      <c r="AML52" s="20" t="n">
        <v>0</v>
      </c>
      <c r="AMM52" s="20" t="n">
        <v>0</v>
      </c>
      <c r="AMN52" s="20" t="n">
        <v>0</v>
      </c>
      <c r="AMO52" s="20" t="n">
        <v>0</v>
      </c>
      <c r="AMP52" s="20" t="n">
        <v>0</v>
      </c>
      <c r="AMQ52" s="20" t="n">
        <v>0</v>
      </c>
      <c r="AMR52" s="20" t="n">
        <v>0</v>
      </c>
      <c r="AMS52" s="20" t="n">
        <v>0</v>
      </c>
      <c r="AMT52" s="20" t="n">
        <v>0</v>
      </c>
      <c r="AMU52" s="20" t="n">
        <v>0</v>
      </c>
      <c r="AMV52" s="20" t="n">
        <v>0</v>
      </c>
      <c r="AMW52" s="20" t="n">
        <v>0</v>
      </c>
      <c r="AMX52" s="20" t="n">
        <v>0</v>
      </c>
      <c r="AMY52" s="20" t="n">
        <v>0</v>
      </c>
      <c r="AMZ52" s="20" t="n">
        <v>0</v>
      </c>
      <c r="ANA52" s="20" t="n">
        <v>0</v>
      </c>
      <c r="ANB52" s="20" t="n">
        <v>0</v>
      </c>
      <c r="ANC52" s="20" t="n">
        <v>0</v>
      </c>
      <c r="AND52" s="20" t="n">
        <v>0</v>
      </c>
      <c r="ANE52" s="20" t="n">
        <v>0</v>
      </c>
      <c r="ANF52" s="20" t="n">
        <v>0</v>
      </c>
      <c r="ANG52" s="20" t="n">
        <v>0</v>
      </c>
      <c r="ANH52" s="20" t="n">
        <v>0</v>
      </c>
      <c r="ANI52" s="20" t="n">
        <v>0</v>
      </c>
      <c r="ANJ52" s="20" t="n">
        <v>0</v>
      </c>
      <c r="ANK52" s="20" t="n">
        <v>0</v>
      </c>
      <c r="ANL52" s="20" t="n">
        <v>0</v>
      </c>
      <c r="ANM52" s="20" t="n">
        <v>0</v>
      </c>
      <c r="ANN52" s="20" t="n">
        <v>0</v>
      </c>
      <c r="ANO52" s="20" t="n">
        <v>0</v>
      </c>
      <c r="ANP52" s="20" t="n">
        <v>0</v>
      </c>
      <c r="ANQ52" s="20" t="n">
        <v>0</v>
      </c>
      <c r="ANR52" s="20" t="n">
        <v>0</v>
      </c>
      <c r="ANS52" s="20" t="n">
        <v>0</v>
      </c>
      <c r="ANT52" s="20" t="n">
        <v>0</v>
      </c>
      <c r="ANU52" s="20" t="n">
        <v>0</v>
      </c>
      <c r="ANV52" s="20" t="n">
        <v>0</v>
      </c>
      <c r="ANW52" s="20" t="n">
        <v>0</v>
      </c>
      <c r="ANX52" s="20" t="n">
        <v>0</v>
      </c>
      <c r="ANY52" s="20" t="n">
        <v>0</v>
      </c>
      <c r="ANZ52" s="20" t="n">
        <v>0</v>
      </c>
      <c r="AOA52" s="20" t="n">
        <v>0</v>
      </c>
      <c r="AOB52" s="20" t="n">
        <v>0</v>
      </c>
      <c r="AOC52" s="20" t="n">
        <v>0</v>
      </c>
      <c r="AOD52" s="20" t="n">
        <v>0</v>
      </c>
      <c r="AOE52" s="20" t="n">
        <f aca="false">IF(AND(H_Direct=0,H_TaxEvt=1,ARR51+1&gt;=H_Deemed),AKR52,AHE52)</f>
        <v>0</v>
      </c>
      <c r="AOF52" s="20" t="n">
        <f aca="false">IF(AND(H_Direct=0,H_TaxEvt=1,ARS51+1&gt;=H_Deemed),AKS52,AHF52)</f>
        <v>0</v>
      </c>
      <c r="AOG52" s="20" t="n">
        <f aca="false">IF(AND(H_Direct=0,H_TaxEvt=1,ART51+1&gt;=H_Deemed),AKT52,AHG52)</f>
        <v>0</v>
      </c>
      <c r="AOH52" s="20" t="n">
        <f aca="false">IF(AND(H_Direct=0,H_TaxEvt=1,ARU51+1&gt;=H_Deemed),AKU52,AHH52)</f>
        <v>0</v>
      </c>
      <c r="AOI52" s="20" t="n">
        <f aca="false">IF(AND(H_Direct=0,H_TaxEvt=1,ARV51+1&gt;=H_Deemed),AKV52,AHI52)</f>
        <v>0</v>
      </c>
      <c r="AOJ52" s="20" t="n">
        <f aca="false">IF(AND(H_Direct=0,H_TaxEvt=1,ARW51+1&gt;=H_Deemed),AKW52,AHJ52)</f>
        <v>0</v>
      </c>
      <c r="AOK52" s="20" t="n">
        <f aca="false">IF(AND(H_Direct=0,H_TaxEvt=1,ARX51+1&gt;=H_Deemed),AKX52,AHK52)</f>
        <v>0</v>
      </c>
      <c r="AOL52" s="20" t="n">
        <f aca="false">IF(AND(H_Direct=0,H_TaxEvt=1,ARY51+1&gt;=H_Deemed),AKY52,AHL52)</f>
        <v>0</v>
      </c>
      <c r="AOM52" s="20" t="n">
        <f aca="false">IF(AND(H_Direct=0,H_TaxEvt=1,ARZ51+1&gt;=H_Deemed),AKZ52,AHM52)</f>
        <v>0</v>
      </c>
      <c r="AON52" s="20" t="n">
        <f aca="false">IF(AND(H_Direct=0,H_TaxEvt=1,ASA51+1&gt;=H_Deemed),ALA52,AHN52)</f>
        <v>0</v>
      </c>
      <c r="AOO52" s="20" t="n">
        <f aca="false">IF(AND(H_Direct=0,H_TaxEvt=1,ASB51+1&gt;=H_Deemed),ALB52,AHO52)</f>
        <v>0</v>
      </c>
      <c r="AOP52" s="20" t="n">
        <f aca="false">IF(AND(H_Direct=0,H_TaxEvt=1,ASC51+1&gt;=H_Deemed),ALC52,AHP52)</f>
        <v>0</v>
      </c>
      <c r="AOQ52" s="20" t="n">
        <f aca="false">IF(AND(H_Direct=0,H_TaxEvt=1,ASD51+1&gt;=H_Deemed),ALD52,AHQ52)</f>
        <v>0</v>
      </c>
      <c r="AOR52" s="20" t="n">
        <f aca="false">IF(AND(H_Direct=0,H_TaxEvt=1,ASE51+1&gt;=H_Deemed),ALE52,AHR52)</f>
        <v>0</v>
      </c>
      <c r="AOS52" s="20" t="n">
        <f aca="false">IF(AND(H_Direct=0,H_TaxEvt=1,ASF51+1&gt;=H_Deemed),ALF52,AHS52)</f>
        <v>0</v>
      </c>
      <c r="AOT52" s="20" t="n">
        <f aca="false">IF(AND(H_Direct=0,H_TaxEvt=1,ASG51+1&gt;=H_Deemed),ALG52,AHT52)</f>
        <v>0</v>
      </c>
      <c r="AOU52" s="20" t="n">
        <f aca="false">IF(AND(H_Direct=0,H_TaxEvt=1,ASH51+1&gt;=H_Deemed),ALH52,AHU52)</f>
        <v>0</v>
      </c>
      <c r="AOV52" s="20" t="n">
        <f aca="false">IF(AND(H_Direct=0,H_TaxEvt=1,ASI51+1&gt;=H_Deemed),ALI52,AHV52)</f>
        <v>0</v>
      </c>
      <c r="AOW52" s="20" t="n">
        <f aca="false">IF(AND(H_Direct=0,H_TaxEvt=1,ASJ51+1&gt;=H_Deemed),ALJ52,AHW52)</f>
        <v>0</v>
      </c>
      <c r="AOX52" s="20" t="n">
        <f aca="false">IF(AND(H_Direct=0,H_TaxEvt=1,ASK51+1&gt;=H_Deemed),ALK52,AHX52)</f>
        <v>0</v>
      </c>
      <c r="AOY52" s="20" t="n">
        <f aca="false">IF(AND(H_Direct=0,H_TaxEvt=1,ASL51+1&gt;=H_Deemed),ALL52,AHY52)</f>
        <v>0</v>
      </c>
      <c r="AOZ52" s="20" t="n">
        <f aca="false">IF(AND(H_Direct=0,H_TaxEvt=1,ASM51+1&gt;=H_Deemed),ALM52,AHZ52)</f>
        <v>0</v>
      </c>
      <c r="APA52" s="20" t="n">
        <f aca="false">IF(AND(H_Direct=0,H_TaxEvt=1,ASN51+1&gt;=H_Deemed),ALN52,AIA52)</f>
        <v>0</v>
      </c>
      <c r="APB52" s="20" t="n">
        <f aca="false">IF(AND(H_Direct=0,H_TaxEvt=1,ASO51+1&gt;=H_Deemed),ALO52,AIB52)</f>
        <v>0</v>
      </c>
      <c r="APC52" s="20" t="n">
        <f aca="false">IF(AND(H_Direct=0,H_TaxEvt=1,ASP51+1&gt;=H_Deemed),ALP52,AIC52)</f>
        <v>0</v>
      </c>
      <c r="APD52" s="20" t="n">
        <f aca="false">IF(AND(H_Direct=0,H_TaxEvt=1,ASQ51+1&gt;=H_Deemed),ALQ52,AID52)</f>
        <v>0</v>
      </c>
      <c r="APE52" s="20" t="n">
        <f aca="false">IF(AND(H_Direct=0,H_TaxEvt=1,ASR51+1&gt;=H_Deemed),ALR52,AIE52)</f>
        <v>0</v>
      </c>
      <c r="APF52" s="20" t="n">
        <f aca="false">IF(AND(H_Direct=0,H_TaxEvt=1,ASS51+1&gt;=H_Deemed),ALS52,AIF52)</f>
        <v>0</v>
      </c>
      <c r="APG52" s="20" t="n">
        <f aca="false">IF(AND(H_Direct=0,H_TaxEvt=1,AST51+1&gt;=H_Deemed),ALT52,AIG52)</f>
        <v>0</v>
      </c>
      <c r="APH52" s="20" t="n">
        <f aca="false">IF(AND(H_Direct=0,H_TaxEvt=1,ASU51+1&gt;=H_Deemed),ALU52,AIH52)</f>
        <v>0</v>
      </c>
      <c r="API52" s="20" t="n">
        <f aca="false">IF(AND(H_Direct=0,H_TaxEvt=1,ASV51+1&gt;=H_Deemed),ALV52,AII52)</f>
        <v>0</v>
      </c>
      <c r="APJ52" s="20" t="n">
        <f aca="false">IF(AND(H_Direct=0,H_TaxEvt=1,ASW51+1&gt;=H_Deemed),ALW52,AIJ52)</f>
        <v>0</v>
      </c>
      <c r="APK52" s="20" t="n">
        <f aca="false">IF(AND(H_Direct=0,H_TaxEvt=1,ASX51+1&gt;=H_Deemed),ALX52,AIK52)</f>
        <v>0</v>
      </c>
      <c r="APL52" s="20" t="n">
        <f aca="false">IF(AND(H_Direct=0,H_TaxEvt=1,ASY51+1&gt;=H_Deemed),ALY52,AIL52)</f>
        <v>0</v>
      </c>
      <c r="APM52" s="20" t="n">
        <f aca="false">IF(AND(H_Direct=0,H_TaxEvt=1,ASZ51+1&gt;=H_Deemed),ALZ52,AIM52)</f>
        <v>0</v>
      </c>
      <c r="APN52" s="20" t="n">
        <f aca="false">IF(AND(H_Direct=0,H_TaxEvt=1,ATA51+1&gt;=H_Deemed),AMA52,AIN52)</f>
        <v>0</v>
      </c>
      <c r="APO52" s="20" t="n">
        <f aca="false">IF(AND(H_Direct=0,H_TaxEvt=1,ATB51+1&gt;=H_Deemed),AMB52,AIO52)</f>
        <v>0</v>
      </c>
      <c r="APP52" s="20" t="n">
        <f aca="false">IF(AND(H_Direct=0,H_TaxEvt=1,ATC51+1&gt;=H_Deemed),AMC52,AIP52)</f>
        <v>0</v>
      </c>
      <c r="APQ52" s="20" t="n">
        <f aca="false">IF(AND(H_Direct=0,H_TaxEvt=1,ATD51+1&gt;=H_Deemed),AMD52,AIQ52)</f>
        <v>0</v>
      </c>
      <c r="APR52" s="20" t="n">
        <f aca="false">IF(AND(H_Direct=0,H_TaxEvt=1,ATE51+1&gt;=H_Deemed),AME52,AIR52)</f>
        <v>0</v>
      </c>
      <c r="APS52" s="20" t="n">
        <f aca="false">IF(AND(H_Direct=0,H_TaxEvt=1,ATF51+1&gt;=H_Deemed),AMF52,AIS52)</f>
        <v>0</v>
      </c>
      <c r="APT52" s="20" t="n">
        <f aca="false">IF(AND(H_Direct=0,H_TaxEvt=1,ATG51+1&gt;=H_Deemed),AMG52,AIT52)</f>
        <v>0</v>
      </c>
      <c r="APU52" s="20" t="n">
        <f aca="false">IF(AND(H_Direct=0,H_TaxEvt=1,ATH51+1&gt;=H_Deemed),AMH52,AIU52)</f>
        <v>0</v>
      </c>
      <c r="APV52" s="20" t="n">
        <f aca="false">IF(AND(H_Direct=0,H_TaxEvt=1,ATI51+1&gt;=H_Deemed),AMI52,AIV52)</f>
        <v>0</v>
      </c>
      <c r="APW52" s="20" t="n">
        <f aca="false">IF(AND(H_Direct=0,H_TaxEvt=1,ATJ51+1&gt;=H_Deemed),AMJ52,AIW52)</f>
        <v>0</v>
      </c>
      <c r="APX52" s="20" t="n">
        <f aca="false">IF(AND(H_Direct=0,H_TaxEvt=1,0+1&gt;=H_Deemed),AMK52,AIX52)</f>
        <v>0</v>
      </c>
      <c r="APY52" s="20" t="n">
        <v>0</v>
      </c>
      <c r="APZ52" s="20" t="n">
        <v>0</v>
      </c>
      <c r="AQA52" s="20" t="n">
        <v>0</v>
      </c>
      <c r="AQB52" s="20" t="n">
        <v>0</v>
      </c>
      <c r="AQC52" s="20" t="n">
        <v>0</v>
      </c>
      <c r="AQD52" s="20" t="n">
        <v>0</v>
      </c>
      <c r="AQE52" s="20" t="n">
        <v>0</v>
      </c>
      <c r="AQF52" s="20" t="n">
        <v>0</v>
      </c>
      <c r="AQG52" s="20" t="n">
        <v>0</v>
      </c>
      <c r="AQH52" s="20" t="n">
        <v>0</v>
      </c>
      <c r="AQI52" s="20" t="n">
        <v>0</v>
      </c>
      <c r="AQJ52" s="20" t="n">
        <v>0</v>
      </c>
      <c r="AQK52" s="20" t="n">
        <v>0</v>
      </c>
      <c r="AQL52" s="20" t="n">
        <v>0</v>
      </c>
      <c r="AQM52" s="20" t="n">
        <v>0</v>
      </c>
      <c r="AQN52" s="20" t="n">
        <v>0</v>
      </c>
      <c r="AQO52" s="20" t="n">
        <v>0</v>
      </c>
      <c r="AQP52" s="20" t="n">
        <v>0</v>
      </c>
      <c r="AQQ52" s="20" t="n">
        <v>0</v>
      </c>
      <c r="AQR52" s="20" t="n">
        <v>0</v>
      </c>
      <c r="AQS52" s="20" t="n">
        <v>0</v>
      </c>
      <c r="AQT52" s="20" t="n">
        <v>0</v>
      </c>
      <c r="AQU52" s="20" t="n">
        <v>0</v>
      </c>
      <c r="AQV52" s="20" t="n">
        <v>0</v>
      </c>
      <c r="AQW52" s="20" t="n">
        <v>0</v>
      </c>
      <c r="AQX52" s="20" t="n">
        <v>0</v>
      </c>
      <c r="AQY52" s="20" t="n">
        <v>0</v>
      </c>
      <c r="AQZ52" s="20" t="n">
        <v>0</v>
      </c>
      <c r="ARA52" s="20" t="n">
        <v>0</v>
      </c>
      <c r="ARB52" s="20" t="n">
        <v>0</v>
      </c>
      <c r="ARC52" s="20" t="n">
        <v>0</v>
      </c>
      <c r="ARD52" s="20" t="n">
        <v>0</v>
      </c>
      <c r="ARE52" s="20" t="n">
        <v>0</v>
      </c>
      <c r="ARF52" s="20" t="n">
        <v>0</v>
      </c>
      <c r="ARG52" s="20" t="n">
        <v>0</v>
      </c>
      <c r="ARH52" s="20" t="n">
        <v>0</v>
      </c>
      <c r="ARI52" s="20" t="n">
        <v>0</v>
      </c>
      <c r="ARJ52" s="20" t="n">
        <v>0</v>
      </c>
      <c r="ARK52" s="20" t="n">
        <v>0</v>
      </c>
      <c r="ARL52" s="20" t="n">
        <v>0</v>
      </c>
      <c r="ARM52" s="20" t="n">
        <v>0</v>
      </c>
      <c r="ARN52" s="20" t="n">
        <v>0</v>
      </c>
      <c r="ARO52" s="20" t="n">
        <v>0</v>
      </c>
      <c r="ARP52" s="20" t="n">
        <v>0</v>
      </c>
      <c r="ARQ52" s="20" t="n">
        <v>0</v>
      </c>
      <c r="ARR52" s="20" t="n">
        <f aca="false">IF(AND(H_Direct=0,H_TaxEvt=1),IF(ARR51+1&gt;=H_Deemed,0,ARR51+1),ARR51)</f>
        <v>5</v>
      </c>
      <c r="ARS52" s="20" t="n">
        <f aca="false">IF(AND(H_Direct=0,H_TaxEvt=1),IF(ARS51+1&gt;=H_Deemed,0,ARS51+1),ARS51)</f>
        <v>5</v>
      </c>
      <c r="ART52" s="20" t="n">
        <f aca="false">IF(AND(H_Direct=0,H_TaxEvt=1),IF(ART51+1&gt;=H_Deemed,0,ART51+1),ART51)</f>
        <v>4</v>
      </c>
      <c r="ARU52" s="20" t="n">
        <f aca="false">IF(AND(H_Direct=0,H_TaxEvt=1),IF(ARU51+1&gt;=H_Deemed,0,ARU51+1),ARU51)</f>
        <v>3</v>
      </c>
      <c r="ARV52" s="20" t="n">
        <f aca="false">IF(AND(H_Direct=0,H_TaxEvt=1),IF(ARV51+1&gt;=H_Deemed,0,ARV51+1),ARV51)</f>
        <v>2</v>
      </c>
      <c r="ARW52" s="20" t="n">
        <f aca="false">IF(AND(H_Direct=0,H_TaxEvt=1),IF(ARW51+1&gt;=H_Deemed,0,ARW51+1),ARW51)</f>
        <v>1</v>
      </c>
      <c r="ARX52" s="20" t="n">
        <f aca="false">IF(AND(H_Direct=0,H_TaxEvt=1),IF(ARX51+1&gt;=H_Deemed,0,ARX51+1),ARX51)</f>
        <v>0</v>
      </c>
      <c r="ARY52" s="20" t="n">
        <f aca="false">IF(AND(H_Direct=0,H_TaxEvt=1),IF(ARY51+1&gt;=H_Deemed,0,ARY51+1),ARY51)</f>
        <v>7</v>
      </c>
      <c r="ARZ52" s="20" t="n">
        <f aca="false">IF(AND(H_Direct=0,H_TaxEvt=1),IF(ARZ51+1&gt;=H_Deemed,0,ARZ51+1),ARZ51)</f>
        <v>6</v>
      </c>
      <c r="ASA52" s="20" t="n">
        <f aca="false">IF(AND(H_Direct=0,H_TaxEvt=1),IF(ASA51+1&gt;=H_Deemed,0,ASA51+1),ASA51)</f>
        <v>5</v>
      </c>
      <c r="ASB52" s="20" t="n">
        <f aca="false">IF(AND(H_Direct=0,H_TaxEvt=1),IF(ASB51+1&gt;=H_Deemed,0,ASB51+1),ASB51)</f>
        <v>4</v>
      </c>
      <c r="ASC52" s="20" t="n">
        <f aca="false">IF(AND(H_Direct=0,H_TaxEvt=1),IF(ASC51+1&gt;=H_Deemed,0,ASC51+1),ASC51)</f>
        <v>3</v>
      </c>
      <c r="ASD52" s="20" t="n">
        <f aca="false">IF(AND(H_Direct=0,H_TaxEvt=1),IF(ASD51+1&gt;=H_Deemed,0,ASD51+1),ASD51)</f>
        <v>2</v>
      </c>
      <c r="ASE52" s="20" t="n">
        <f aca="false">IF(AND(H_Direct=0,H_TaxEvt=1),IF(ASE51+1&gt;=H_Deemed,0,ASE51+1),ASE51)</f>
        <v>1</v>
      </c>
      <c r="ASF52" s="20" t="n">
        <f aca="false">IF(AND(H_Direct=0,H_TaxEvt=1),IF(ASF51+1&gt;=H_Deemed,0,ASF51+1),ASF51)</f>
        <v>0</v>
      </c>
      <c r="ASG52" s="20" t="n">
        <f aca="false">IF(AND(H_Direct=0,H_TaxEvt=1),IF(ASG51+1&gt;=H_Deemed,0,ASG51+1),ASG51)</f>
        <v>7</v>
      </c>
      <c r="ASH52" s="20" t="n">
        <f aca="false">IF(AND(H_Direct=0,H_TaxEvt=1),IF(ASH51+1&gt;=H_Deemed,0,ASH51+1),ASH51)</f>
        <v>6</v>
      </c>
      <c r="ASI52" s="20" t="n">
        <f aca="false">IF(AND(H_Direct=0,H_TaxEvt=1),IF(ASI51+1&gt;=H_Deemed,0,ASI51+1),ASI51)</f>
        <v>5</v>
      </c>
      <c r="ASJ52" s="20" t="n">
        <f aca="false">IF(AND(H_Direct=0,H_TaxEvt=1),IF(ASJ51+1&gt;=H_Deemed,0,ASJ51+1),ASJ51)</f>
        <v>4</v>
      </c>
      <c r="ASK52" s="20" t="n">
        <f aca="false">IF(AND(H_Direct=0,H_TaxEvt=1),IF(ASK51+1&gt;=H_Deemed,0,ASK51+1),ASK51)</f>
        <v>3</v>
      </c>
      <c r="ASL52" s="20" t="n">
        <f aca="false">IF(AND(H_Direct=0,H_TaxEvt=1),IF(ASL51+1&gt;=H_Deemed,0,ASL51+1),ASL51)</f>
        <v>2</v>
      </c>
      <c r="ASM52" s="20" t="n">
        <f aca="false">IF(AND(H_Direct=0,H_TaxEvt=1),IF(ASM51+1&gt;=H_Deemed,0,ASM51+1),ASM51)</f>
        <v>1</v>
      </c>
      <c r="ASN52" s="20" t="n">
        <f aca="false">IF(AND(H_Direct=0,H_TaxEvt=1),IF(ASN51+1&gt;=H_Deemed,0,ASN51+1),ASN51)</f>
        <v>0</v>
      </c>
      <c r="ASO52" s="20" t="n">
        <f aca="false">IF(AND(H_Direct=0,H_TaxEvt=1),IF(ASO51+1&gt;=H_Deemed,0,ASO51+1),ASO51)</f>
        <v>7</v>
      </c>
      <c r="ASP52" s="20" t="n">
        <f aca="false">IF(AND(H_Direct=0,H_TaxEvt=1),IF(ASP51+1&gt;=H_Deemed,0,ASP51+1),ASP51)</f>
        <v>6</v>
      </c>
      <c r="ASQ52" s="20" t="n">
        <f aca="false">IF(AND(H_Direct=0,H_TaxEvt=1),IF(ASQ51+1&gt;=H_Deemed,0,ASQ51+1),ASQ51)</f>
        <v>5</v>
      </c>
      <c r="ASR52" s="20" t="n">
        <f aca="false">IF(AND(H_Direct=0,H_TaxEvt=1),IF(ASR51+1&gt;=H_Deemed,0,ASR51+1),ASR51)</f>
        <v>4</v>
      </c>
      <c r="ASS52" s="20" t="n">
        <f aca="false">IF(AND(H_Direct=0,H_TaxEvt=1),IF(ASS51+1&gt;=H_Deemed,0,ASS51+1),ASS51)</f>
        <v>3</v>
      </c>
      <c r="AST52" s="20" t="n">
        <f aca="false">IF(AND(H_Direct=0,H_TaxEvt=1),IF(AST51+1&gt;=H_Deemed,0,AST51+1),AST51)</f>
        <v>2</v>
      </c>
      <c r="ASU52" s="20" t="n">
        <f aca="false">IF(AND(H_Direct=0,H_TaxEvt=1),IF(ASU51+1&gt;=H_Deemed,0,ASU51+1),ASU51)</f>
        <v>1</v>
      </c>
      <c r="ASV52" s="20" t="n">
        <f aca="false">IF(AND(H_Direct=0,H_TaxEvt=1),IF(ASV51+1&gt;=H_Deemed,0,ASV51+1),ASV51)</f>
        <v>0</v>
      </c>
      <c r="ASW52" s="20" t="n">
        <f aca="false">IF(AND(H_Direct=0,H_TaxEvt=1),IF(ASW51+1&gt;=H_Deemed,0,ASW51+1),ASW51)</f>
        <v>7</v>
      </c>
      <c r="ASX52" s="20" t="n">
        <f aca="false">IF(AND(H_Direct=0,H_TaxEvt=1),IF(ASX51+1&gt;=H_Deemed,0,ASX51+1),ASX51)</f>
        <v>6</v>
      </c>
      <c r="ASY52" s="20" t="n">
        <f aca="false">IF(AND(H_Direct=0,H_TaxEvt=1),IF(ASY51+1&gt;=H_Deemed,0,ASY51+1),ASY51)</f>
        <v>5</v>
      </c>
      <c r="ASZ52" s="20" t="n">
        <f aca="false">IF(AND(H_Direct=0,H_TaxEvt=1),IF(ASZ51+1&gt;=H_Deemed,0,ASZ51+1),ASZ51)</f>
        <v>4</v>
      </c>
      <c r="ATA52" s="20" t="n">
        <f aca="false">IF(AND(H_Direct=0,H_TaxEvt=1),IF(ATA51+1&gt;=H_Deemed,0,ATA51+1),ATA51)</f>
        <v>3</v>
      </c>
      <c r="ATB52" s="20" t="n">
        <f aca="false">IF(AND(H_Direct=0,H_TaxEvt=1),IF(ATB51+1&gt;=H_Deemed,0,ATB51+1),ATB51)</f>
        <v>2</v>
      </c>
      <c r="ATC52" s="20" t="n">
        <f aca="false">IF(AND(H_Direct=0,H_TaxEvt=1),IF(ATC51+1&gt;=H_Deemed,0,ATC51+1),ATC51)</f>
        <v>1</v>
      </c>
      <c r="ATD52" s="20" t="n">
        <f aca="false">IF(AND(H_Direct=0,H_TaxEvt=1),IF(ATD51+1&gt;=H_Deemed,0,ATD51+1),ATD51)</f>
        <v>0</v>
      </c>
      <c r="ATE52" s="20" t="n">
        <f aca="false">IF(AND(H_Direct=0,H_TaxEvt=1),IF(ATE51+1&gt;=H_Deemed,0,ATE51+1),ATE51)</f>
        <v>7</v>
      </c>
      <c r="ATF52" s="20" t="n">
        <f aca="false">IF(AND(H_Direct=0,H_TaxEvt=1),IF(ATF51+1&gt;=H_Deemed,0,ATF51+1),ATF51)</f>
        <v>6</v>
      </c>
      <c r="ATG52" s="20" t="n">
        <f aca="false">IF(AND(H_Direct=0,H_TaxEvt=1),IF(ATG51+1&gt;=H_Deemed,0,ATG51+1),ATG51)</f>
        <v>5</v>
      </c>
      <c r="ATH52" s="20" t="n">
        <f aca="false">IF(AND(H_Direct=0,H_TaxEvt=1),IF(ATH51+1&gt;=H_Deemed,0,ATH51+1),ATH51)</f>
        <v>4</v>
      </c>
      <c r="ATI52" s="20" t="n">
        <f aca="false">IF(AND(H_Direct=0,H_TaxEvt=1),IF(ATI51+1&gt;=H_Deemed,0,ATI51+1),ATI51)</f>
        <v>3</v>
      </c>
      <c r="ATJ52" s="20" t="n">
        <f aca="false">IF(AND(H_Direct=0,H_TaxEvt=1),IF(ATJ51+1&gt;=H_Deemed,0,ATJ51+1),ATJ51)</f>
        <v>2</v>
      </c>
      <c r="ATK52" s="20" t="n">
        <f aca="false">IF(AND(H_Direct=0,H_TaxEvt=1),IF(0+1&gt;=H_Deemed,0,0+1),0)</f>
        <v>1</v>
      </c>
      <c r="ATL52" s="20" t="n">
        <v>0</v>
      </c>
      <c r="ATM52" s="20" t="n">
        <v>0</v>
      </c>
      <c r="ATN52" s="20" t="n">
        <v>0</v>
      </c>
      <c r="ATO52" s="20" t="n">
        <v>0</v>
      </c>
      <c r="ATP52" s="20" t="n">
        <v>0</v>
      </c>
      <c r="ATQ52" s="20" t="n">
        <v>0</v>
      </c>
      <c r="ATR52" s="20" t="n">
        <v>0</v>
      </c>
      <c r="ATS52" s="20" t="n">
        <v>0</v>
      </c>
      <c r="ATT52" s="20" t="n">
        <v>0</v>
      </c>
      <c r="ATU52" s="20" t="n">
        <v>0</v>
      </c>
      <c r="ATV52" s="20" t="n">
        <v>0</v>
      </c>
      <c r="ATW52" s="20" t="n">
        <v>0</v>
      </c>
      <c r="ATX52" s="20" t="n">
        <v>0</v>
      </c>
      <c r="ATY52" s="20" t="n">
        <v>0</v>
      </c>
      <c r="ATZ52" s="20" t="n">
        <v>0</v>
      </c>
      <c r="AUA52" s="20" t="n">
        <v>0</v>
      </c>
      <c r="AUB52" s="20" t="n">
        <v>0</v>
      </c>
      <c r="AUC52" s="20" t="n">
        <v>0</v>
      </c>
      <c r="AUD52" s="20" t="n">
        <v>0</v>
      </c>
      <c r="AUE52" s="20" t="n">
        <v>0</v>
      </c>
      <c r="AUF52" s="20" t="n">
        <v>0</v>
      </c>
      <c r="AUG52" s="20" t="n">
        <v>0</v>
      </c>
      <c r="AUH52" s="20" t="n">
        <v>0</v>
      </c>
      <c r="AUI52" s="20" t="n">
        <v>0</v>
      </c>
      <c r="AUJ52" s="20" t="n">
        <v>0</v>
      </c>
      <c r="AUK52" s="20" t="n">
        <v>0</v>
      </c>
      <c r="AUL52" s="20" t="n">
        <v>0</v>
      </c>
      <c r="AUM52" s="20" t="n">
        <v>0</v>
      </c>
      <c r="AUN52" s="20" t="n">
        <v>0</v>
      </c>
      <c r="AUO52" s="20" t="n">
        <v>0</v>
      </c>
      <c r="AUP52" s="20" t="n">
        <v>0</v>
      </c>
      <c r="AUQ52" s="20" t="n">
        <v>0</v>
      </c>
      <c r="AUR52" s="20" t="n">
        <v>0</v>
      </c>
      <c r="AUS52" s="20" t="n">
        <v>0</v>
      </c>
      <c r="AUT52" s="20" t="n">
        <v>0</v>
      </c>
      <c r="AUU52" s="20" t="n">
        <v>0</v>
      </c>
      <c r="AUV52" s="20" t="n">
        <v>0</v>
      </c>
      <c r="AUW52" s="20" t="n">
        <v>0</v>
      </c>
      <c r="AUX52" s="20" t="n">
        <v>0</v>
      </c>
      <c r="AUY52" s="20" t="n">
        <v>0</v>
      </c>
      <c r="AUZ52" s="20" t="n">
        <v>0</v>
      </c>
      <c r="AVA52" s="20" t="n">
        <v>0</v>
      </c>
      <c r="AVB52" s="20" t="n">
        <v>0</v>
      </c>
      <c r="AVC52" s="20" t="n">
        <v>0</v>
      </c>
      <c r="AVD52" s="20" t="n">
        <v>0</v>
      </c>
      <c r="AVE52" s="20" t="n">
        <f aca="false">IF(AND(H_Direct=0,H_TaxEvt=1,ARR51+1&gt;=H_Deemed),MAX(0,ADR52-AHE52)*H_Exit,0)</f>
        <v>0</v>
      </c>
      <c r="AVF52" s="20" t="n">
        <f aca="false">IF(AND(H_Direct=0,H_TaxEvt=1,ARS51+1&gt;=H_Deemed),MAX(0,ADS52-AHF52)*H_Exit,0)</f>
        <v>0</v>
      </c>
      <c r="AVG52" s="20" t="n">
        <f aca="false">IF(AND(H_Direct=0,H_TaxEvt=1,ART51+1&gt;=H_Deemed),MAX(0,ADT52-AHG52)*H_Exit,0)</f>
        <v>0</v>
      </c>
      <c r="AVH52" s="20" t="n">
        <f aca="false">IF(AND(H_Direct=0,H_TaxEvt=1,ARU51+1&gt;=H_Deemed),MAX(0,ADU52-AHH52)*H_Exit,0)</f>
        <v>0</v>
      </c>
      <c r="AVI52" s="20" t="n">
        <f aca="false">IF(AND(H_Direct=0,H_TaxEvt=1,ARV51+1&gt;=H_Deemed),MAX(0,ADV52-AHI52)*H_Exit,0)</f>
        <v>0</v>
      </c>
      <c r="AVJ52" s="20" t="n">
        <f aca="false">IF(AND(H_Direct=0,H_TaxEvt=1,ARW51+1&gt;=H_Deemed),MAX(0,ADW52-AHJ52)*H_Exit,0)</f>
        <v>0</v>
      </c>
      <c r="AVK52" s="20" t="n">
        <f aca="false">IF(AND(H_Direct=0,H_TaxEvt=1,ARX51+1&gt;=H_Deemed),MAX(0,ADX52-AHK52)*H_Exit,0)</f>
        <v>0</v>
      </c>
      <c r="AVL52" s="20" t="n">
        <f aca="false">IF(AND(H_Direct=0,H_TaxEvt=1,ARY51+1&gt;=H_Deemed),MAX(0,ADY52-AHL52)*H_Exit,0)</f>
        <v>0</v>
      </c>
      <c r="AVM52" s="20" t="n">
        <f aca="false">IF(AND(H_Direct=0,H_TaxEvt=1,ARZ51+1&gt;=H_Deemed),MAX(0,ADZ52-AHM52)*H_Exit,0)</f>
        <v>0</v>
      </c>
      <c r="AVN52" s="20" t="n">
        <f aca="false">IF(AND(H_Direct=0,H_TaxEvt=1,ASA51+1&gt;=H_Deemed),MAX(0,AEA52-AHN52)*H_Exit,0)</f>
        <v>0</v>
      </c>
      <c r="AVO52" s="20" t="n">
        <f aca="false">IF(AND(H_Direct=0,H_TaxEvt=1,ASB51+1&gt;=H_Deemed),MAX(0,AEB52-AHO52)*H_Exit,0)</f>
        <v>0</v>
      </c>
      <c r="AVP52" s="20" t="n">
        <f aca="false">IF(AND(H_Direct=0,H_TaxEvt=1,ASC51+1&gt;=H_Deemed),MAX(0,AEC52-AHP52)*H_Exit,0)</f>
        <v>0</v>
      </c>
      <c r="AVQ52" s="20" t="n">
        <f aca="false">IF(AND(H_Direct=0,H_TaxEvt=1,ASD51+1&gt;=H_Deemed),MAX(0,AED52-AHQ52)*H_Exit,0)</f>
        <v>0</v>
      </c>
      <c r="AVR52" s="20" t="n">
        <f aca="false">IF(AND(H_Direct=0,H_TaxEvt=1,ASE51+1&gt;=H_Deemed),MAX(0,AEE52-AHR52)*H_Exit,0)</f>
        <v>0</v>
      </c>
      <c r="AVS52" s="20" t="n">
        <f aca="false">IF(AND(H_Direct=0,H_TaxEvt=1,ASF51+1&gt;=H_Deemed),MAX(0,AEF52-AHS52)*H_Exit,0)</f>
        <v>0</v>
      </c>
      <c r="AVT52" s="20" t="n">
        <f aca="false">IF(AND(H_Direct=0,H_TaxEvt=1,ASG51+1&gt;=H_Deemed),MAX(0,AEG52-AHT52)*H_Exit,0)</f>
        <v>0</v>
      </c>
      <c r="AVU52" s="20" t="n">
        <f aca="false">IF(AND(H_Direct=0,H_TaxEvt=1,ASH51+1&gt;=H_Deemed),MAX(0,AEH52-AHU52)*H_Exit,0)</f>
        <v>0</v>
      </c>
      <c r="AVV52" s="20" t="n">
        <f aca="false">IF(AND(H_Direct=0,H_TaxEvt=1,ASI51+1&gt;=H_Deemed),MAX(0,AEI52-AHV52)*H_Exit,0)</f>
        <v>0</v>
      </c>
      <c r="AVW52" s="20" t="n">
        <f aca="false">IF(AND(H_Direct=0,H_TaxEvt=1,ASJ51+1&gt;=H_Deemed),MAX(0,AEJ52-AHW52)*H_Exit,0)</f>
        <v>0</v>
      </c>
      <c r="AVX52" s="20" t="n">
        <f aca="false">IF(AND(H_Direct=0,H_TaxEvt=1,ASK51+1&gt;=H_Deemed),MAX(0,AEK52-AHX52)*H_Exit,0)</f>
        <v>0</v>
      </c>
      <c r="AVY52" s="20" t="n">
        <f aca="false">IF(AND(H_Direct=0,H_TaxEvt=1,ASL51+1&gt;=H_Deemed),MAX(0,AEL52-AHY52)*H_Exit,0)</f>
        <v>0</v>
      </c>
      <c r="AVZ52" s="20" t="n">
        <f aca="false">IF(AND(H_Direct=0,H_TaxEvt=1,ASM51+1&gt;=H_Deemed),MAX(0,AEM52-AHZ52)*H_Exit,0)</f>
        <v>0</v>
      </c>
      <c r="AWA52" s="20" t="n">
        <f aca="false">IF(AND(H_Direct=0,H_TaxEvt=1,ASN51+1&gt;=H_Deemed),MAX(0,AEN52-AIA52)*H_Exit,0)</f>
        <v>0</v>
      </c>
      <c r="AWB52" s="20" t="n">
        <f aca="false">IF(AND(H_Direct=0,H_TaxEvt=1,ASO51+1&gt;=H_Deemed),MAX(0,AEO52-AIB52)*H_Exit,0)</f>
        <v>0</v>
      </c>
      <c r="AWC52" s="20" t="n">
        <f aca="false">IF(AND(H_Direct=0,H_TaxEvt=1,ASP51+1&gt;=H_Deemed),MAX(0,AEP52-AIC52)*H_Exit,0)</f>
        <v>0</v>
      </c>
      <c r="AWD52" s="20" t="n">
        <f aca="false">IF(AND(H_Direct=0,H_TaxEvt=1,ASQ51+1&gt;=H_Deemed),MAX(0,AEQ52-AID52)*H_Exit,0)</f>
        <v>0</v>
      </c>
      <c r="AWE52" s="20" t="n">
        <f aca="false">IF(AND(H_Direct=0,H_TaxEvt=1,ASR51+1&gt;=H_Deemed),MAX(0,AER52-AIE52)*H_Exit,0)</f>
        <v>0</v>
      </c>
      <c r="AWF52" s="20" t="n">
        <f aca="false">IF(AND(H_Direct=0,H_TaxEvt=1,ASS51+1&gt;=H_Deemed),MAX(0,AES52-AIF52)*H_Exit,0)</f>
        <v>0</v>
      </c>
      <c r="AWG52" s="20" t="n">
        <f aca="false">IF(AND(H_Direct=0,H_TaxEvt=1,AST51+1&gt;=H_Deemed),MAX(0,AET52-AIG52)*H_Exit,0)</f>
        <v>0</v>
      </c>
      <c r="AWH52" s="20" t="n">
        <f aca="false">IF(AND(H_Direct=0,H_TaxEvt=1,ASU51+1&gt;=H_Deemed),MAX(0,AEU52-AIH52)*H_Exit,0)</f>
        <v>0</v>
      </c>
      <c r="AWI52" s="20" t="n">
        <f aca="false">IF(AND(H_Direct=0,H_TaxEvt=1,ASV51+1&gt;=H_Deemed),MAX(0,AEV52-AII52)*H_Exit,0)</f>
        <v>0</v>
      </c>
      <c r="AWJ52" s="20" t="n">
        <f aca="false">IF(AND(H_Direct=0,H_TaxEvt=1,ASW51+1&gt;=H_Deemed),MAX(0,AEW52-AIJ52)*H_Exit,0)</f>
        <v>0</v>
      </c>
      <c r="AWK52" s="20" t="n">
        <f aca="false">IF(AND(H_Direct=0,H_TaxEvt=1,ASX51+1&gt;=H_Deemed),MAX(0,AEX52-AIK52)*H_Exit,0)</f>
        <v>0</v>
      </c>
      <c r="AWL52" s="20" t="n">
        <f aca="false">IF(AND(H_Direct=0,H_TaxEvt=1,ASY51+1&gt;=H_Deemed),MAX(0,AEY52-AIL52)*H_Exit,0)</f>
        <v>0</v>
      </c>
      <c r="AWM52" s="20" t="n">
        <f aca="false">IF(AND(H_Direct=0,H_TaxEvt=1,ASZ51+1&gt;=H_Deemed),MAX(0,AEZ52-AIM52)*H_Exit,0)</f>
        <v>0</v>
      </c>
      <c r="AWN52" s="20" t="n">
        <f aca="false">IF(AND(H_Direct=0,H_TaxEvt=1,ATA51+1&gt;=H_Deemed),MAX(0,AFA52-AIN52)*H_Exit,0)</f>
        <v>0</v>
      </c>
      <c r="AWO52" s="20" t="n">
        <f aca="false">IF(AND(H_Direct=0,H_TaxEvt=1,ATB51+1&gt;=H_Deemed),MAX(0,AFB52-AIO52)*H_Exit,0)</f>
        <v>0</v>
      </c>
      <c r="AWP52" s="20" t="n">
        <f aca="false">IF(AND(H_Direct=0,H_TaxEvt=1,ATC51+1&gt;=H_Deemed),MAX(0,AFC52-AIP52)*H_Exit,0)</f>
        <v>0</v>
      </c>
      <c r="AWQ52" s="20" t="n">
        <f aca="false">IF(AND(H_Direct=0,H_TaxEvt=1,ATD51+1&gt;=H_Deemed),MAX(0,AFD52-AIQ52)*H_Exit,0)</f>
        <v>0</v>
      </c>
      <c r="AWR52" s="20" t="n">
        <f aca="false">IF(AND(H_Direct=0,H_TaxEvt=1,ATE51+1&gt;=H_Deemed),MAX(0,AFE52-AIR52)*H_Exit,0)</f>
        <v>0</v>
      </c>
      <c r="AWS52" s="20" t="n">
        <f aca="false">IF(AND(H_Direct=0,H_TaxEvt=1,ATF51+1&gt;=H_Deemed),MAX(0,AFF52-AIS52)*H_Exit,0)</f>
        <v>0</v>
      </c>
      <c r="AWT52" s="20" t="n">
        <f aca="false">IF(AND(H_Direct=0,H_TaxEvt=1,ATG51+1&gt;=H_Deemed),MAX(0,AFG52-AIT52)*H_Exit,0)</f>
        <v>0</v>
      </c>
      <c r="AWU52" s="20" t="n">
        <f aca="false">IF(AND(H_Direct=0,H_TaxEvt=1,ATH51+1&gt;=H_Deemed),MAX(0,AFH52-AIU52)*H_Exit,0)</f>
        <v>0</v>
      </c>
      <c r="AWV52" s="20" t="n">
        <f aca="false">IF(AND(H_Direct=0,H_TaxEvt=1,ATI51+1&gt;=H_Deemed),MAX(0,AFI52-AIV52)*H_Exit,0)</f>
        <v>0</v>
      </c>
      <c r="AWW52" s="20" t="n">
        <f aca="false">IF(AND(H_Direct=0,H_TaxEvt=1,ATJ51+1&gt;=H_Deemed),MAX(0,AFJ52-AIW52)*H_Exit,0)</f>
        <v>0</v>
      </c>
      <c r="AWX52" s="20" t="n">
        <f aca="false">IF(AND(H_Direct=0,H_TaxEvt=1,0+1&gt;=H_Deemed),MAX(0,AFK52-AIX52)*H_Exit,0)</f>
        <v>0</v>
      </c>
      <c r="AWY52" s="20" t="n">
        <v>0</v>
      </c>
      <c r="AWZ52" s="20" t="n">
        <v>0</v>
      </c>
      <c r="AXA52" s="20" t="n">
        <v>0</v>
      </c>
      <c r="AXB52" s="20" t="n">
        <v>0</v>
      </c>
      <c r="AXC52" s="20" t="n">
        <v>0</v>
      </c>
      <c r="AXD52" s="20" t="n">
        <v>0</v>
      </c>
      <c r="AXE52" s="20" t="n">
        <v>0</v>
      </c>
      <c r="AXF52" s="20" t="n">
        <v>0</v>
      </c>
      <c r="AXG52" s="20" t="n">
        <v>0</v>
      </c>
      <c r="AXH52" s="20" t="n">
        <v>0</v>
      </c>
      <c r="AXI52" s="20" t="n">
        <v>0</v>
      </c>
      <c r="AXJ52" s="20" t="n">
        <v>0</v>
      </c>
      <c r="AXK52" s="20" t="n">
        <v>0</v>
      </c>
      <c r="AXL52" s="20" t="n">
        <v>0</v>
      </c>
      <c r="AXM52" s="20" t="n">
        <v>0</v>
      </c>
      <c r="AXN52" s="20" t="n">
        <v>0</v>
      </c>
      <c r="AXO52" s="20" t="n">
        <v>0</v>
      </c>
      <c r="AXP52" s="20" t="n">
        <v>0</v>
      </c>
      <c r="AXQ52" s="20" t="n">
        <v>0</v>
      </c>
      <c r="AXR52" s="20" t="n">
        <v>0</v>
      </c>
      <c r="AXS52" s="20" t="n">
        <v>0</v>
      </c>
      <c r="AXT52" s="20" t="n">
        <v>0</v>
      </c>
      <c r="AXU52" s="20" t="n">
        <v>0</v>
      </c>
      <c r="AXV52" s="20" t="n">
        <v>0</v>
      </c>
      <c r="AXW52" s="20" t="n">
        <v>0</v>
      </c>
      <c r="AXX52" s="20" t="n">
        <v>0</v>
      </c>
      <c r="AXY52" s="20" t="n">
        <v>0</v>
      </c>
      <c r="AXZ52" s="20" t="n">
        <v>0</v>
      </c>
      <c r="AYA52" s="20" t="n">
        <v>0</v>
      </c>
      <c r="AYB52" s="20" t="n">
        <v>0</v>
      </c>
      <c r="AYC52" s="20" t="n">
        <v>0</v>
      </c>
      <c r="AYD52" s="20" t="n">
        <v>0</v>
      </c>
      <c r="AYE52" s="20" t="n">
        <v>0</v>
      </c>
      <c r="AYF52" s="20" t="n">
        <v>0</v>
      </c>
      <c r="AYG52" s="20" t="n">
        <v>0</v>
      </c>
      <c r="AYH52" s="20" t="n">
        <v>0</v>
      </c>
      <c r="AYI52" s="20" t="n">
        <v>0</v>
      </c>
      <c r="AYJ52" s="20" t="n">
        <v>0</v>
      </c>
      <c r="AYK52" s="20" t="n">
        <v>0</v>
      </c>
      <c r="AYL52" s="20" t="n">
        <v>0</v>
      </c>
      <c r="AYM52" s="20" t="n">
        <v>0</v>
      </c>
      <c r="AYN52" s="20" t="n">
        <v>0</v>
      </c>
      <c r="AYO52" s="20" t="n">
        <v>0</v>
      </c>
      <c r="AYP52" s="20" t="n">
        <v>0</v>
      </c>
      <c r="AYQ52" s="20" t="n">
        <v>0</v>
      </c>
    </row>
    <row r="53" customFormat="false" ht="15" hidden="false" customHeight="false" outlineLevel="0" collapsed="false">
      <c r="B53" s="20" t="n">
        <v>45</v>
      </c>
      <c r="C53" s="20" t="n">
        <f aca="false">'Plan cashflow'!C53</f>
        <v>1</v>
      </c>
      <c r="D53" s="20" t="n">
        <f aca="false">'Plan cashflow'!D53</f>
        <v>83</v>
      </c>
      <c r="E53" s="20" t="n">
        <f aca="false">AS_Year0+45</f>
        <v>2071</v>
      </c>
      <c r="F53" s="50" t="n">
        <f aca="false">'Plan cashflow'!F53</f>
        <v>2.43785420530135</v>
      </c>
      <c r="G53" s="59" t="n">
        <f aca="true">IF(MAX(TODAY(),DATE(E53,1,1))&gt;=H_CGTfrom,H_CGT1,H_CGT0)</f>
        <v>0.31</v>
      </c>
      <c r="H53" s="20" t="n">
        <f aca="false">H_Exempt*H_Persons</f>
        <v>1270</v>
      </c>
      <c r="I53" s="20" t="n">
        <f aca="false">AX52</f>
        <v>0</v>
      </c>
      <c r="J53" s="60" t="n">
        <f aca="false">BF52</f>
        <v>0</v>
      </c>
      <c r="K53" s="60" t="n">
        <f aca="false">BG52</f>
        <v>0</v>
      </c>
      <c r="L53" s="20" t="n">
        <f aca="false">IF(AND(In_polLump&gt;0,In_polLumpAge&gt;0,D53=In_polLumpAge),In_polLump,0)</f>
        <v>0</v>
      </c>
      <c r="M53" s="20" t="n">
        <f aca="false">IF(AND(In_homeUse="Yes, I'd downsize",In_downAge&gt;0,D53=In_downAge,OR(In_home="Own outright",In_home="Own with mortgage"),In_homeValue&gt;0),MAX(0,MAX(0,In_homeValue-In_downValue)*F53*0.9-'Plan cashflow'!HR52),0)</f>
        <v>0</v>
      </c>
      <c r="N53" s="20" t="n">
        <f aca="false">'Plan pay &amp; tax'!Y279</f>
        <v>0</v>
      </c>
      <c r="O53" s="20" t="n">
        <f aca="false">L53+M53+(1-H_Sh)*N53</f>
        <v>0</v>
      </c>
      <c r="P53" s="20" t="n">
        <f aca="false">H_Sh*N53</f>
        <v>0</v>
      </c>
      <c r="Q53" s="20" t="n">
        <f aca="false">'Plan cashflow'!UL53</f>
        <v>0</v>
      </c>
      <c r="R53" s="20" t="n">
        <f aca="false">(1-H_Sh)*Q53</f>
        <v>0</v>
      </c>
      <c r="S53" s="20" t="n">
        <f aca="false">H_Sh*Q53</f>
        <v>0</v>
      </c>
      <c r="T53" s="20" t="n">
        <f aca="false">J53+K53+O53</f>
        <v>0</v>
      </c>
      <c r="U53" s="20" t="n">
        <f aca="false">T53+R53</f>
        <v>0</v>
      </c>
      <c r="V53" s="60" t="n">
        <f aca="false">SUM(FE53:IQ53)</f>
        <v>0</v>
      </c>
      <c r="W53" s="60" t="n">
        <f aca="false">IF(AJ53&lt;=0,0,IF(AL53&lt;=0,AJ53,AJ53-G53*MAX(0,AL53*AJ53-(AY53+AZ53))))</f>
        <v>0</v>
      </c>
      <c r="X53" s="60" t="n">
        <f aca="false">IF(AR53&lt;=0,0,IF(AT53&lt;=0,AR53,AR53-G53*MAX(0,AT53*AR53-(BA53+BB53))))</f>
        <v>0</v>
      </c>
      <c r="Y53" s="60" t="n">
        <f aca="false">T53+V53-S53+W53+X53</f>
        <v>0</v>
      </c>
      <c r="Z53" s="60" t="n">
        <f aca="false">'Plan cashflow'!UK53</f>
        <v>0</v>
      </c>
      <c r="AA53" s="20" t="n">
        <f aca="false">MIN(Z53,U53)</f>
        <v>0</v>
      </c>
      <c r="AB53" s="20" t="n">
        <f aca="false">Z53-AA53</f>
        <v>0</v>
      </c>
      <c r="AC53" s="20" t="n">
        <f aca="false">MIN(AA53,J53+O53+R53)</f>
        <v>0</v>
      </c>
      <c r="AD53" s="20" t="n">
        <f aca="false">AA53-AC53</f>
        <v>0</v>
      </c>
      <c r="AE53" s="20" t="n">
        <f aca="false">J53+O53+R53-AC53</f>
        <v>0</v>
      </c>
      <c r="AF53" s="20" t="n">
        <f aca="false">K53-AD53</f>
        <v>0</v>
      </c>
      <c r="AG53" s="20" t="n">
        <f aca="false">SUM(PR53:TD53)</f>
        <v>0</v>
      </c>
      <c r="AH53" s="20" t="n">
        <f aca="false">SUM(TE53:WQ53)</f>
        <v>0</v>
      </c>
      <c r="AI53" s="20" t="n">
        <f aca="false">MAX(0,AB53-AG53)</f>
        <v>0</v>
      </c>
      <c r="AJ53" s="57" t="n">
        <f aca="false">BI52</f>
        <v>0</v>
      </c>
      <c r="AK53" s="20" t="n">
        <f aca="false">BJ52</f>
        <v>0</v>
      </c>
      <c r="AL53" s="20" t="n">
        <f aca="false">IF(AJ53&gt;0,(AJ53-AK53)/AJ53,0)</f>
        <v>0</v>
      </c>
      <c r="AM53" s="20" t="n">
        <f aca="false">IF(AJ53&lt;=0,0,IF(AL53&lt;=0,MIN(AI53,AJ53),MIN(AI53,AJ53-G53*MAX(0,AL53*AJ53-(AAD53+ADQ53)))))</f>
        <v>0</v>
      </c>
      <c r="AN53" s="20" t="n">
        <f aca="false">IF(AJ53&lt;=0,0,IF(AL53&lt;=0,AM53,IF(AM53&lt;=(AAD53+ADQ53)/AL53,AM53,(AM53-G53*(AAD53+ADQ53))/(1-G53*AL53))))</f>
        <v>0</v>
      </c>
      <c r="AO53" s="20" t="n">
        <f aca="false">IF(AL53&gt;0,MAX(0,AAD53-(MIN(AL53*AN53,(AAD53+ADQ53))-MIN(MIN(AL53*AN53,(AAD53+ADQ53)),ADQ53))),AAD53)</f>
        <v>1270</v>
      </c>
      <c r="AP53" s="20" t="n">
        <f aca="false">IF(AL53&lt;=0,ADQ53-AL53*AN53,ADQ53-MIN(MIN(AL53*AN53,(AAD53+ADQ53)),ADQ53))</f>
        <v>0</v>
      </c>
      <c r="AQ53" s="20" t="n">
        <f aca="false">MAX(0,AI53-AM53)</f>
        <v>0</v>
      </c>
      <c r="AR53" s="57" t="n">
        <f aca="false">BK52</f>
        <v>0</v>
      </c>
      <c r="AS53" s="20" t="n">
        <f aca="false">BL52</f>
        <v>0</v>
      </c>
      <c r="AT53" s="20" t="n">
        <f aca="false">IF(AR53&gt;0,(AR53-AS53)/AR53,0)</f>
        <v>0</v>
      </c>
      <c r="AU53" s="20" t="n">
        <f aca="false">IF(AR53&lt;=0,0,IF(AT53&lt;=0,MIN(AQ53,AR53),MIN(AQ53,AR53-G53*MAX(0,AT53*AR53-(AO53+AP53)))))</f>
        <v>0</v>
      </c>
      <c r="AV53" s="20" t="n">
        <f aca="false">IF(AR53&lt;=0,0,IF(AT53&lt;=0,AU53,IF(AU53&lt;=(AO53+AP53)/AT53,AU53,(AU53-G53*(AO53+AP53))/(1-G53*AT53))))</f>
        <v>0</v>
      </c>
      <c r="AW53" s="20" t="n">
        <f aca="false">IF(AT53&gt;0,MAX(0,AO53-(MIN(AT53*AV53,(AO53+AP53))-MIN(MIN(AT53*AV53,(AO53+AP53)),AP53))),AO53)</f>
        <v>1270</v>
      </c>
      <c r="AX53" s="20" t="n">
        <f aca="false">IF(AT53&lt;=0,AP53-AT53*AV53,AP53-MIN(MIN(AT53*AV53,(AO53+AP53)),AP53))</f>
        <v>0</v>
      </c>
      <c r="AY53" s="20" t="n">
        <f aca="false">MD53</f>
        <v>1270</v>
      </c>
      <c r="AZ53" s="20" t="n">
        <f aca="false">PQ53</f>
        <v>0</v>
      </c>
      <c r="BA53" s="20" t="n">
        <f aca="false">IF(AL53&gt;0,MAX(0,AY53-(MIN(AL53*AJ53,AY53+AZ53)-MIN(MIN(AL53*AJ53,AY53+AZ53),AZ53))),AY53)</f>
        <v>1270</v>
      </c>
      <c r="BB53" s="20" t="n">
        <f aca="false">IF(AL53&lt;=0,AZ53-AL53*AJ53,AZ53-MIN(MIN(AL53*AJ53,AY53+AZ53),AZ53))</f>
        <v>0</v>
      </c>
      <c r="BC53" s="20" t="n">
        <f aca="false">'Plan cashflow'!UM53</f>
        <v>0</v>
      </c>
      <c r="BD53" s="20" t="n">
        <f aca="false">(1-H_Sh)*BC53</f>
        <v>0</v>
      </c>
      <c r="BE53" s="20" t="n">
        <f aca="false">H_Sh*BC53</f>
        <v>0</v>
      </c>
      <c r="BF53" s="60" t="n">
        <f aca="false">(AE53+BD53)*(1+AS_Cash)</f>
        <v>0</v>
      </c>
      <c r="BG53" s="60" t="n">
        <f aca="false">AF53*(1+AS_Cash)</f>
        <v>0</v>
      </c>
      <c r="BH53" s="60" t="n">
        <f aca="false">SUM(AKR53:AOD53)</f>
        <v>0</v>
      </c>
      <c r="BI53" s="60" t="n">
        <f aca="false">(AJ53-AN53)*(1+AS_Infl)</f>
        <v>0</v>
      </c>
      <c r="BJ53" s="20" t="n">
        <f aca="false">IF(AJ53&gt;0,AK53-AK53*AN53/AJ53,0)</f>
        <v>0</v>
      </c>
      <c r="BK53" s="60" t="n">
        <f aca="false">(AR53-AV53)*(1+BQ53)</f>
        <v>0</v>
      </c>
      <c r="BL53" s="20" t="n">
        <f aca="false">IF(AR53&gt;0,AS53-AS53*AV53/AR53,0)</f>
        <v>0</v>
      </c>
      <c r="BM53" s="60" t="n">
        <f aca="false">BF53+BG53+BH53+BI53+BK53</f>
        <v>0</v>
      </c>
      <c r="BN53" s="60" t="n">
        <f aca="false">(AH53-AG53)+(AN53-AM53)+(AV53-AU53)</f>
        <v>0</v>
      </c>
      <c r="BO53" s="20" t="n">
        <f aca="false">(AE53+BD53+AF53+MAX(0,'Plan cashflow'!QH53)+IF(Slot1_Rate=AS_Cash,'Plan cashflow'!QM53/(1+AS_Cash),0)+IF(Slot2_Rate=AS_Cash,'Plan cashflow'!QQ53/(1+AS_Cash),0)+IF(Slot3_Rate=AS_Cash,'Plan cashflow'!QU53/(1+AS_Cash),0)+IF(Slot4_Rate=AS_Cash,'Plan cashflow'!QY53/(1+AS_Cash),0)+IF(Slot5_Rate=AS_Cash,'Plan cashflow'!RC53/(1+AS_Cash),0)+IF(Slot6_Rate=AS_Cash,'Plan cashflow'!RG53/(1+AS_Cash),0)+IF(Slot7_Rate=AS_Cash,'Plan cashflow'!RK53/(1+AS_Cash),0)+IF(Slot8_Rate=AS_Cash,'Plan cashflow'!RO53/(1+AS_Cash),0)+IF(Slot9_Rate=AS_Cash,'Plan cashflow'!RS53/(1+AS_Cash),0)+IF(Slot10_Rate=AS_Cash,'Plan cashflow'!RW53/(1+AS_Cash),0)+IF(Slot11_Rate=AS_Cash,'Plan cashflow'!SA53/(1+AS_Cash),0)+IF(Slot12_Rate=AS_Cash,'Plan cashflow'!SE53/(1+AS_Cash),0)+IF(Slot13_Rate=AS_Cash,'Plan cashflow'!SI53/(1+AS_Cash),0)+IF(Slot14_Rate=AS_Cash,'Plan cashflow'!SM53/(1+AS_Cash),0)+IF(Slot15_Rate=AS_Cash,'Plan cashflow'!SQ53/(1+AS_Cash),0)+IF(Slot16_Rate=AS_Cash,'Plan cashflow'!SU53/(1+AS_Cash),0)+IF(Slot17_Rate=AS_Cash,'Plan cashflow'!SY53/(1+AS_Cash),0)+IF(Slot18_Rate=AS_Cash,'Plan cashflow'!TC53/(1+AS_Cash),0)+IF(Slot19_Rate=AS_Cash,'Plan cashflow'!TG53/(1+AS_Cash),0)+IF(Slot20_Rate=AS_Cash,'Plan cashflow'!TK53/(1+AS_Cash),0))*AS_Cash*H_DIRT/(1-H_DIRT)</f>
        <v>0</v>
      </c>
      <c r="BP53" s="60" t="n">
        <f aca="false">SUM(AVE53:AYQ53)</f>
        <v>0</v>
      </c>
      <c r="BQ53" s="54" t="n">
        <f aca="false">IF(H_TaxEvt=1,H_InvG,AS_Inv)</f>
        <v>0.04</v>
      </c>
      <c r="BR53" s="20" t="n">
        <f aca="false">IF(AKR52&gt;0,(AKR52-AOE52)/AKR52,0)</f>
        <v>0</v>
      </c>
      <c r="BS53" s="20" t="n">
        <f aca="false">IF(AKS52&gt;0,(AKS52-AOF52)/AKS52,0)</f>
        <v>0</v>
      </c>
      <c r="BT53" s="20" t="n">
        <f aca="false">IF(AKT52&gt;0,(AKT52-AOG52)/AKT52,0)</f>
        <v>0</v>
      </c>
      <c r="BU53" s="20" t="n">
        <f aca="false">IF(AKU52&gt;0,(AKU52-AOH52)/AKU52,0)</f>
        <v>0</v>
      </c>
      <c r="BV53" s="20" t="n">
        <f aca="false">IF(AKV52&gt;0,(AKV52-AOI52)/AKV52,0)</f>
        <v>0</v>
      </c>
      <c r="BW53" s="20" t="n">
        <f aca="false">IF(AKW52&gt;0,(AKW52-AOJ52)/AKW52,0)</f>
        <v>0</v>
      </c>
      <c r="BX53" s="20" t="n">
        <f aca="false">IF(AKX52&gt;0,(AKX52-AOK52)/AKX52,0)</f>
        <v>0</v>
      </c>
      <c r="BY53" s="20" t="n">
        <f aca="false">IF(AKY52&gt;0,(AKY52-AOL52)/AKY52,0)</f>
        <v>0</v>
      </c>
      <c r="BZ53" s="20" t="n">
        <f aca="false">IF(AKZ52&gt;0,(AKZ52-AOM52)/AKZ52,0)</f>
        <v>0</v>
      </c>
      <c r="CA53" s="20" t="n">
        <f aca="false">IF(ALA52&gt;0,(ALA52-AON52)/ALA52,0)</f>
        <v>0</v>
      </c>
      <c r="CB53" s="20" t="n">
        <f aca="false">IF(ALB52&gt;0,(ALB52-AOO52)/ALB52,0)</f>
        <v>0</v>
      </c>
      <c r="CC53" s="20" t="n">
        <f aca="false">IF(ALC52&gt;0,(ALC52-AOP52)/ALC52,0)</f>
        <v>0</v>
      </c>
      <c r="CD53" s="20" t="n">
        <f aca="false">IF(ALD52&gt;0,(ALD52-AOQ52)/ALD52,0)</f>
        <v>0</v>
      </c>
      <c r="CE53" s="20" t="n">
        <f aca="false">IF(ALE52&gt;0,(ALE52-AOR52)/ALE52,0)</f>
        <v>0</v>
      </c>
      <c r="CF53" s="20" t="n">
        <f aca="false">IF(ALF52&gt;0,(ALF52-AOS52)/ALF52,0)</f>
        <v>0</v>
      </c>
      <c r="CG53" s="20" t="n">
        <f aca="false">IF(ALG52&gt;0,(ALG52-AOT52)/ALG52,0)</f>
        <v>0</v>
      </c>
      <c r="CH53" s="20" t="n">
        <f aca="false">IF(ALH52&gt;0,(ALH52-AOU52)/ALH52,0)</f>
        <v>0</v>
      </c>
      <c r="CI53" s="20" t="n">
        <f aca="false">IF(ALI52&gt;0,(ALI52-AOV52)/ALI52,0)</f>
        <v>0</v>
      </c>
      <c r="CJ53" s="20" t="n">
        <f aca="false">IF(ALJ52&gt;0,(ALJ52-AOW52)/ALJ52,0)</f>
        <v>0</v>
      </c>
      <c r="CK53" s="20" t="n">
        <f aca="false">IF(ALK52&gt;0,(ALK52-AOX52)/ALK52,0)</f>
        <v>0</v>
      </c>
      <c r="CL53" s="20" t="n">
        <f aca="false">IF(ALL52&gt;0,(ALL52-AOY52)/ALL52,0)</f>
        <v>0</v>
      </c>
      <c r="CM53" s="20" t="n">
        <f aca="false">IF(ALM52&gt;0,(ALM52-AOZ52)/ALM52,0)</f>
        <v>0</v>
      </c>
      <c r="CN53" s="20" t="n">
        <f aca="false">IF(ALN52&gt;0,(ALN52-APA52)/ALN52,0)</f>
        <v>0</v>
      </c>
      <c r="CO53" s="20" t="n">
        <f aca="false">IF(ALO52&gt;0,(ALO52-APB52)/ALO52,0)</f>
        <v>0</v>
      </c>
      <c r="CP53" s="20" t="n">
        <f aca="false">IF(ALP52&gt;0,(ALP52-APC52)/ALP52,0)</f>
        <v>0</v>
      </c>
      <c r="CQ53" s="20" t="n">
        <f aca="false">IF(ALQ52&gt;0,(ALQ52-APD52)/ALQ52,0)</f>
        <v>0</v>
      </c>
      <c r="CR53" s="20" t="n">
        <f aca="false">IF(ALR52&gt;0,(ALR52-APE52)/ALR52,0)</f>
        <v>0</v>
      </c>
      <c r="CS53" s="20" t="n">
        <f aca="false">IF(ALS52&gt;0,(ALS52-APF52)/ALS52,0)</f>
        <v>0</v>
      </c>
      <c r="CT53" s="20" t="n">
        <f aca="false">IF(ALT52&gt;0,(ALT52-APG52)/ALT52,0)</f>
        <v>0</v>
      </c>
      <c r="CU53" s="20" t="n">
        <f aca="false">IF(ALU52&gt;0,(ALU52-APH52)/ALU52,0)</f>
        <v>0</v>
      </c>
      <c r="CV53" s="20" t="n">
        <f aca="false">IF(ALV52&gt;0,(ALV52-API52)/ALV52,0)</f>
        <v>0</v>
      </c>
      <c r="CW53" s="20" t="n">
        <f aca="false">IF(ALW52&gt;0,(ALW52-APJ52)/ALW52,0)</f>
        <v>0</v>
      </c>
      <c r="CX53" s="20" t="n">
        <f aca="false">IF(ALX52&gt;0,(ALX52-APK52)/ALX52,0)</f>
        <v>0</v>
      </c>
      <c r="CY53" s="20" t="n">
        <f aca="false">IF(ALY52&gt;0,(ALY52-APL52)/ALY52,0)</f>
        <v>0</v>
      </c>
      <c r="CZ53" s="20" t="n">
        <f aca="false">IF(ALZ52&gt;0,(ALZ52-APM52)/ALZ52,0)</f>
        <v>0</v>
      </c>
      <c r="DA53" s="20" t="n">
        <f aca="false">IF(AMA52&gt;0,(AMA52-APN52)/AMA52,0)</f>
        <v>0</v>
      </c>
      <c r="DB53" s="20" t="n">
        <f aca="false">IF(AMB52&gt;0,(AMB52-APO52)/AMB52,0)</f>
        <v>0</v>
      </c>
      <c r="DC53" s="20" t="n">
        <f aca="false">IF(AMC52&gt;0,(AMC52-APP52)/AMC52,0)</f>
        <v>0</v>
      </c>
      <c r="DD53" s="20" t="n">
        <f aca="false">IF(AMD52&gt;0,(AMD52-APQ52)/AMD52,0)</f>
        <v>0</v>
      </c>
      <c r="DE53" s="20" t="n">
        <f aca="false">IF(AME52&gt;0,(AME52-APR52)/AME52,0)</f>
        <v>0</v>
      </c>
      <c r="DF53" s="20" t="n">
        <f aca="false">IF(AMF52&gt;0,(AMF52-APS52)/AMF52,0)</f>
        <v>0</v>
      </c>
      <c r="DG53" s="20" t="n">
        <f aca="false">IF(AMG52&gt;0,(AMG52-APT52)/AMG52,0)</f>
        <v>0</v>
      </c>
      <c r="DH53" s="20" t="n">
        <f aca="false">IF(AMH52&gt;0,(AMH52-APU52)/AMH52,0)</f>
        <v>0</v>
      </c>
      <c r="DI53" s="20" t="n">
        <f aca="false">IF(AMI52&gt;0,(AMI52-APV52)/AMI52,0)</f>
        <v>0</v>
      </c>
      <c r="DJ53" s="20" t="n">
        <f aca="false">IF(AMJ52&gt;0,(AMJ52-APW52)/AMJ52,0)</f>
        <v>0</v>
      </c>
      <c r="DK53" s="20" t="n">
        <f aca="false">IF(AMK52&gt;0,(AMK52-APX52)/AMK52,0)</f>
        <v>0</v>
      </c>
      <c r="DL53" s="20" t="n">
        <f aca="false">IF((P53+S53)&gt;0,((P53+S53)-(P53+S53))/(P53+S53),0)</f>
        <v>0</v>
      </c>
      <c r="DM53" s="20" t="n">
        <v>0</v>
      </c>
      <c r="DN53" s="20" t="n">
        <v>0</v>
      </c>
      <c r="DO53" s="20" t="n">
        <v>0</v>
      </c>
      <c r="DP53" s="20" t="n">
        <v>0</v>
      </c>
      <c r="DQ53" s="20" t="n">
        <v>0</v>
      </c>
      <c r="DR53" s="20" t="n">
        <v>0</v>
      </c>
      <c r="DS53" s="20" t="n">
        <v>0</v>
      </c>
      <c r="DT53" s="20" t="n">
        <v>0</v>
      </c>
      <c r="DU53" s="20" t="n">
        <v>0</v>
      </c>
      <c r="DV53" s="20" t="n">
        <v>0</v>
      </c>
      <c r="DW53" s="20" t="n">
        <v>0</v>
      </c>
      <c r="DX53" s="20" t="n">
        <v>0</v>
      </c>
      <c r="DY53" s="20" t="n">
        <v>0</v>
      </c>
      <c r="DZ53" s="20" t="n">
        <v>0</v>
      </c>
      <c r="EA53" s="20" t="n">
        <v>0</v>
      </c>
      <c r="EB53" s="20" t="n">
        <v>0</v>
      </c>
      <c r="EC53" s="20" t="n">
        <v>0</v>
      </c>
      <c r="ED53" s="20" t="n">
        <v>0</v>
      </c>
      <c r="EE53" s="20" t="n">
        <v>0</v>
      </c>
      <c r="EF53" s="20" t="n">
        <v>0</v>
      </c>
      <c r="EG53" s="20" t="n">
        <v>0</v>
      </c>
      <c r="EH53" s="20" t="n">
        <v>0</v>
      </c>
      <c r="EI53" s="20" t="n">
        <v>0</v>
      </c>
      <c r="EJ53" s="20" t="n">
        <v>0</v>
      </c>
      <c r="EK53" s="20" t="n">
        <v>0</v>
      </c>
      <c r="EL53" s="20" t="n">
        <v>0</v>
      </c>
      <c r="EM53" s="20" t="n">
        <v>0</v>
      </c>
      <c r="EN53" s="20" t="n">
        <v>0</v>
      </c>
      <c r="EO53" s="20" t="n">
        <v>0</v>
      </c>
      <c r="EP53" s="20" t="n">
        <v>0</v>
      </c>
      <c r="EQ53" s="20" t="n">
        <v>0</v>
      </c>
      <c r="ER53" s="20" t="n">
        <v>0</v>
      </c>
      <c r="ES53" s="20" t="n">
        <v>0</v>
      </c>
      <c r="ET53" s="20" t="n">
        <v>0</v>
      </c>
      <c r="EU53" s="20" t="n">
        <v>0</v>
      </c>
      <c r="EV53" s="20" t="n">
        <v>0</v>
      </c>
      <c r="EW53" s="20" t="n">
        <v>0</v>
      </c>
      <c r="EX53" s="20" t="n">
        <v>0</v>
      </c>
      <c r="EY53" s="20" t="n">
        <v>0</v>
      </c>
      <c r="EZ53" s="20" t="n">
        <v>0</v>
      </c>
      <c r="FA53" s="20" t="n">
        <v>0</v>
      </c>
      <c r="FB53" s="20" t="n">
        <v>0</v>
      </c>
      <c r="FC53" s="20" t="n">
        <v>0</v>
      </c>
      <c r="FD53" s="20" t="n">
        <v>0</v>
      </c>
      <c r="FE53" s="20" t="n">
        <f aca="false">IF(H_Direct=1,IF(AKR52&lt;=0,0,IF(BR53&lt;=0,AKR52,AKR52-G53*MAX(0,BR53*AKR52-(H53+I53)))),AKR52*(1-MAX(0,BR53)*H_Exit))</f>
        <v>0</v>
      </c>
      <c r="FF53" s="20" t="n">
        <f aca="false">IF(H_Direct=1,IF(AKS52&lt;=0,0,IF(BS53&lt;=0,AKS52,AKS52-G53*MAX(0,BS53*AKS52-(IR53+ME53)))),AKS52*(1-MAX(0,BS53)*H_Exit))</f>
        <v>0</v>
      </c>
      <c r="FG53" s="20" t="n">
        <f aca="false">IF(H_Direct=1,IF(AKT52&lt;=0,0,IF(BT53&lt;=0,AKT52,AKT52-G53*MAX(0,BT53*AKT52-(IS53+MF53)))),AKT52*(1-MAX(0,BT53)*H_Exit))</f>
        <v>0</v>
      </c>
      <c r="FH53" s="20" t="n">
        <f aca="false">IF(H_Direct=1,IF(AKU52&lt;=0,0,IF(BU53&lt;=0,AKU52,AKU52-G53*MAX(0,BU53*AKU52-(IT53+MG53)))),AKU52*(1-MAX(0,BU53)*H_Exit))</f>
        <v>0</v>
      </c>
      <c r="FI53" s="20" t="n">
        <f aca="false">IF(H_Direct=1,IF(AKV52&lt;=0,0,IF(BV53&lt;=0,AKV52,AKV52-G53*MAX(0,BV53*AKV52-(IU53+MH53)))),AKV52*(1-MAX(0,BV53)*H_Exit))</f>
        <v>0</v>
      </c>
      <c r="FJ53" s="20" t="n">
        <f aca="false">IF(H_Direct=1,IF(AKW52&lt;=0,0,IF(BW53&lt;=0,AKW52,AKW52-G53*MAX(0,BW53*AKW52-(IV53+MI53)))),AKW52*(1-MAX(0,BW53)*H_Exit))</f>
        <v>0</v>
      </c>
      <c r="FK53" s="20" t="n">
        <f aca="false">IF(H_Direct=1,IF(AKX52&lt;=0,0,IF(BX53&lt;=0,AKX52,AKX52-G53*MAX(0,BX53*AKX52-(IW53+MJ53)))),AKX52*(1-MAX(0,BX53)*H_Exit))</f>
        <v>0</v>
      </c>
      <c r="FL53" s="20" t="n">
        <f aca="false">IF(H_Direct=1,IF(AKY52&lt;=0,0,IF(BY53&lt;=0,AKY52,AKY52-G53*MAX(0,BY53*AKY52-(IX53+MK53)))),AKY52*(1-MAX(0,BY53)*H_Exit))</f>
        <v>0</v>
      </c>
      <c r="FM53" s="20" t="n">
        <f aca="false">IF(H_Direct=1,IF(AKZ52&lt;=0,0,IF(BZ53&lt;=0,AKZ52,AKZ52-G53*MAX(0,BZ53*AKZ52-(IY53+ML53)))),AKZ52*(1-MAX(0,BZ53)*H_Exit))</f>
        <v>0</v>
      </c>
      <c r="FN53" s="20" t="n">
        <f aca="false">IF(H_Direct=1,IF(ALA52&lt;=0,0,IF(CA53&lt;=0,ALA52,ALA52-G53*MAX(0,CA53*ALA52-(IZ53+MM53)))),ALA52*(1-MAX(0,CA53)*H_Exit))</f>
        <v>0</v>
      </c>
      <c r="FO53" s="20" t="n">
        <f aca="false">IF(H_Direct=1,IF(ALB52&lt;=0,0,IF(CB53&lt;=0,ALB52,ALB52-G53*MAX(0,CB53*ALB52-(JA53+MN53)))),ALB52*(1-MAX(0,CB53)*H_Exit))</f>
        <v>0</v>
      </c>
      <c r="FP53" s="20" t="n">
        <f aca="false">IF(H_Direct=1,IF(ALC52&lt;=0,0,IF(CC53&lt;=0,ALC52,ALC52-G53*MAX(0,CC53*ALC52-(JB53+MO53)))),ALC52*(1-MAX(0,CC53)*H_Exit))</f>
        <v>0</v>
      </c>
      <c r="FQ53" s="20" t="n">
        <f aca="false">IF(H_Direct=1,IF(ALD52&lt;=0,0,IF(CD53&lt;=0,ALD52,ALD52-G53*MAX(0,CD53*ALD52-(JC53+MP53)))),ALD52*(1-MAX(0,CD53)*H_Exit))</f>
        <v>0</v>
      </c>
      <c r="FR53" s="20" t="n">
        <f aca="false">IF(H_Direct=1,IF(ALE52&lt;=0,0,IF(CE53&lt;=0,ALE52,ALE52-G53*MAX(0,CE53*ALE52-(JD53+MQ53)))),ALE52*(1-MAX(0,CE53)*H_Exit))</f>
        <v>0</v>
      </c>
      <c r="FS53" s="20" t="n">
        <f aca="false">IF(H_Direct=1,IF(ALF52&lt;=0,0,IF(CF53&lt;=0,ALF52,ALF52-G53*MAX(0,CF53*ALF52-(JE53+MR53)))),ALF52*(1-MAX(0,CF53)*H_Exit))</f>
        <v>0</v>
      </c>
      <c r="FT53" s="20" t="n">
        <f aca="false">IF(H_Direct=1,IF(ALG52&lt;=0,0,IF(CG53&lt;=0,ALG52,ALG52-G53*MAX(0,CG53*ALG52-(JF53+MS53)))),ALG52*(1-MAX(0,CG53)*H_Exit))</f>
        <v>0</v>
      </c>
      <c r="FU53" s="20" t="n">
        <f aca="false">IF(H_Direct=1,IF(ALH52&lt;=0,0,IF(CH53&lt;=0,ALH52,ALH52-G53*MAX(0,CH53*ALH52-(JG53+MT53)))),ALH52*(1-MAX(0,CH53)*H_Exit))</f>
        <v>0</v>
      </c>
      <c r="FV53" s="20" t="n">
        <f aca="false">IF(H_Direct=1,IF(ALI52&lt;=0,0,IF(CI53&lt;=0,ALI52,ALI52-G53*MAX(0,CI53*ALI52-(JH53+MU53)))),ALI52*(1-MAX(0,CI53)*H_Exit))</f>
        <v>0</v>
      </c>
      <c r="FW53" s="20" t="n">
        <f aca="false">IF(H_Direct=1,IF(ALJ52&lt;=0,0,IF(CJ53&lt;=0,ALJ52,ALJ52-G53*MAX(0,CJ53*ALJ52-(JI53+MV53)))),ALJ52*(1-MAX(0,CJ53)*H_Exit))</f>
        <v>0</v>
      </c>
      <c r="FX53" s="20" t="n">
        <f aca="false">IF(H_Direct=1,IF(ALK52&lt;=0,0,IF(CK53&lt;=0,ALK52,ALK52-G53*MAX(0,CK53*ALK52-(JJ53+MW53)))),ALK52*(1-MAX(0,CK53)*H_Exit))</f>
        <v>0</v>
      </c>
      <c r="FY53" s="20" t="n">
        <f aca="false">IF(H_Direct=1,IF(ALL52&lt;=0,0,IF(CL53&lt;=0,ALL52,ALL52-G53*MAX(0,CL53*ALL52-(JK53+MX53)))),ALL52*(1-MAX(0,CL53)*H_Exit))</f>
        <v>0</v>
      </c>
      <c r="FZ53" s="20" t="n">
        <f aca="false">IF(H_Direct=1,IF(ALM52&lt;=0,0,IF(CM53&lt;=0,ALM52,ALM52-G53*MAX(0,CM53*ALM52-(JL53+MY53)))),ALM52*(1-MAX(0,CM53)*H_Exit))</f>
        <v>0</v>
      </c>
      <c r="GA53" s="20" t="n">
        <f aca="false">IF(H_Direct=1,IF(ALN52&lt;=0,0,IF(CN53&lt;=0,ALN52,ALN52-G53*MAX(0,CN53*ALN52-(JM53+MZ53)))),ALN52*(1-MAX(0,CN53)*H_Exit))</f>
        <v>0</v>
      </c>
      <c r="GB53" s="20" t="n">
        <f aca="false">IF(H_Direct=1,IF(ALO52&lt;=0,0,IF(CO53&lt;=0,ALO52,ALO52-G53*MAX(0,CO53*ALO52-(JN53+NA53)))),ALO52*(1-MAX(0,CO53)*H_Exit))</f>
        <v>0</v>
      </c>
      <c r="GC53" s="20" t="n">
        <f aca="false">IF(H_Direct=1,IF(ALP52&lt;=0,0,IF(CP53&lt;=0,ALP52,ALP52-G53*MAX(0,CP53*ALP52-(JO53+NB53)))),ALP52*(1-MAX(0,CP53)*H_Exit))</f>
        <v>0</v>
      </c>
      <c r="GD53" s="20" t="n">
        <f aca="false">IF(H_Direct=1,IF(ALQ52&lt;=0,0,IF(CQ53&lt;=0,ALQ52,ALQ52-G53*MAX(0,CQ53*ALQ52-(JP53+NC53)))),ALQ52*(1-MAX(0,CQ53)*H_Exit))</f>
        <v>0</v>
      </c>
      <c r="GE53" s="20" t="n">
        <f aca="false">IF(H_Direct=1,IF(ALR52&lt;=0,0,IF(CR53&lt;=0,ALR52,ALR52-G53*MAX(0,CR53*ALR52-(JQ53+ND53)))),ALR52*(1-MAX(0,CR53)*H_Exit))</f>
        <v>0</v>
      </c>
      <c r="GF53" s="20" t="n">
        <f aca="false">IF(H_Direct=1,IF(ALS52&lt;=0,0,IF(CS53&lt;=0,ALS52,ALS52-G53*MAX(0,CS53*ALS52-(JR53+NE53)))),ALS52*(1-MAX(0,CS53)*H_Exit))</f>
        <v>0</v>
      </c>
      <c r="GG53" s="20" t="n">
        <f aca="false">IF(H_Direct=1,IF(ALT52&lt;=0,0,IF(CT53&lt;=0,ALT52,ALT52-G53*MAX(0,CT53*ALT52-(JS53+NF53)))),ALT52*(1-MAX(0,CT53)*H_Exit))</f>
        <v>0</v>
      </c>
      <c r="GH53" s="20" t="n">
        <f aca="false">IF(H_Direct=1,IF(ALU52&lt;=0,0,IF(CU53&lt;=0,ALU52,ALU52-G53*MAX(0,CU53*ALU52-(JT53+NG53)))),ALU52*(1-MAX(0,CU53)*H_Exit))</f>
        <v>0</v>
      </c>
      <c r="GI53" s="20" t="n">
        <f aca="false">IF(H_Direct=1,IF(ALV52&lt;=0,0,IF(CV53&lt;=0,ALV52,ALV52-G53*MAX(0,CV53*ALV52-(JU53+NH53)))),ALV52*(1-MAX(0,CV53)*H_Exit))</f>
        <v>0</v>
      </c>
      <c r="GJ53" s="20" t="n">
        <f aca="false">IF(H_Direct=1,IF(ALW52&lt;=0,0,IF(CW53&lt;=0,ALW52,ALW52-G53*MAX(0,CW53*ALW52-(JV53+NI53)))),ALW52*(1-MAX(0,CW53)*H_Exit))</f>
        <v>0</v>
      </c>
      <c r="GK53" s="20" t="n">
        <f aca="false">IF(H_Direct=1,IF(ALX52&lt;=0,0,IF(CX53&lt;=0,ALX52,ALX52-G53*MAX(0,CX53*ALX52-(JW53+NJ53)))),ALX52*(1-MAX(0,CX53)*H_Exit))</f>
        <v>0</v>
      </c>
      <c r="GL53" s="20" t="n">
        <f aca="false">IF(H_Direct=1,IF(ALY52&lt;=0,0,IF(CY53&lt;=0,ALY52,ALY52-G53*MAX(0,CY53*ALY52-(JX53+NK53)))),ALY52*(1-MAX(0,CY53)*H_Exit))</f>
        <v>0</v>
      </c>
      <c r="GM53" s="20" t="n">
        <f aca="false">IF(H_Direct=1,IF(ALZ52&lt;=0,0,IF(CZ53&lt;=0,ALZ52,ALZ52-G53*MAX(0,CZ53*ALZ52-(JY53+NL53)))),ALZ52*(1-MAX(0,CZ53)*H_Exit))</f>
        <v>0</v>
      </c>
      <c r="GN53" s="20" t="n">
        <f aca="false">IF(H_Direct=1,IF(AMA52&lt;=0,0,IF(DA53&lt;=0,AMA52,AMA52-G53*MAX(0,DA53*AMA52-(JZ53+NM53)))),AMA52*(1-MAX(0,DA53)*H_Exit))</f>
        <v>0</v>
      </c>
      <c r="GO53" s="20" t="n">
        <f aca="false">IF(H_Direct=1,IF(AMB52&lt;=0,0,IF(DB53&lt;=0,AMB52,AMB52-G53*MAX(0,DB53*AMB52-(KA53+NN53)))),AMB52*(1-MAX(0,DB53)*H_Exit))</f>
        <v>0</v>
      </c>
      <c r="GP53" s="20" t="n">
        <f aca="false">IF(H_Direct=1,IF(AMC52&lt;=0,0,IF(DC53&lt;=0,AMC52,AMC52-G53*MAX(0,DC53*AMC52-(KB53+NO53)))),AMC52*(1-MAX(0,DC53)*H_Exit))</f>
        <v>0</v>
      </c>
      <c r="GQ53" s="20" t="n">
        <f aca="false">IF(H_Direct=1,IF(AMD52&lt;=0,0,IF(DD53&lt;=0,AMD52,AMD52-G53*MAX(0,DD53*AMD52-(KC53+NP53)))),AMD52*(1-MAX(0,DD53)*H_Exit))</f>
        <v>0</v>
      </c>
      <c r="GR53" s="20" t="n">
        <f aca="false">IF(H_Direct=1,IF(AME52&lt;=0,0,IF(DE53&lt;=0,AME52,AME52-G53*MAX(0,DE53*AME52-(KD53+NQ53)))),AME52*(1-MAX(0,DE53)*H_Exit))</f>
        <v>0</v>
      </c>
      <c r="GS53" s="20" t="n">
        <f aca="false">IF(H_Direct=1,IF(AMF52&lt;=0,0,IF(DF53&lt;=0,AMF52,AMF52-G53*MAX(0,DF53*AMF52-(KE53+NR53)))),AMF52*(1-MAX(0,DF53)*H_Exit))</f>
        <v>0</v>
      </c>
      <c r="GT53" s="20" t="n">
        <f aca="false">IF(H_Direct=1,IF(AMG52&lt;=0,0,IF(DG53&lt;=0,AMG52,AMG52-G53*MAX(0,DG53*AMG52-(KF53+NS53)))),AMG52*(1-MAX(0,DG53)*H_Exit))</f>
        <v>0</v>
      </c>
      <c r="GU53" s="20" t="n">
        <f aca="false">IF(H_Direct=1,IF(AMH52&lt;=0,0,IF(DH53&lt;=0,AMH52,AMH52-G53*MAX(0,DH53*AMH52-(KG53+NT53)))),AMH52*(1-MAX(0,DH53)*H_Exit))</f>
        <v>0</v>
      </c>
      <c r="GV53" s="20" t="n">
        <f aca="false">IF(H_Direct=1,IF(AMI52&lt;=0,0,IF(DI53&lt;=0,AMI52,AMI52-G53*MAX(0,DI53*AMI52-(KH53+NU53)))),AMI52*(1-MAX(0,DI53)*H_Exit))</f>
        <v>0</v>
      </c>
      <c r="GW53" s="20" t="n">
        <f aca="false">IF(H_Direct=1,IF(AMJ52&lt;=0,0,IF(DJ53&lt;=0,AMJ52,AMJ52-G53*MAX(0,DJ53*AMJ52-(KI53+NV53)))),AMJ52*(1-MAX(0,DJ53)*H_Exit))</f>
        <v>0</v>
      </c>
      <c r="GX53" s="20" t="n">
        <f aca="false">IF(H_Direct=1,IF(AMK52&lt;=0,0,IF(DK53&lt;=0,AMK52,AMK52-G53*MAX(0,DK53*AMK52-(KJ53+NW53)))),AMK52*(1-MAX(0,DK53)*H_Exit))</f>
        <v>0</v>
      </c>
      <c r="GY53" s="20" t="n">
        <f aca="false">IF(H_Direct=1,IF((P53+S53)&lt;=0,0,IF(DL53&lt;=0,(P53+S53),(P53+S53)-G53*MAX(0,DL53*(P53+S53)-(KK53+NX53)))),(P53+S53)*(1-MAX(0,DL53)*H_Exit))</f>
        <v>0</v>
      </c>
      <c r="GZ53" s="20" t="n">
        <v>0</v>
      </c>
      <c r="HA53" s="20" t="n">
        <v>0</v>
      </c>
      <c r="HB53" s="20" t="n">
        <v>0</v>
      </c>
      <c r="HC53" s="20" t="n">
        <v>0</v>
      </c>
      <c r="HD53" s="20" t="n">
        <v>0</v>
      </c>
      <c r="HE53" s="20" t="n">
        <v>0</v>
      </c>
      <c r="HF53" s="20" t="n">
        <v>0</v>
      </c>
      <c r="HG53" s="20" t="n">
        <v>0</v>
      </c>
      <c r="HH53" s="20" t="n">
        <v>0</v>
      </c>
      <c r="HI53" s="20" t="n">
        <v>0</v>
      </c>
      <c r="HJ53" s="20" t="n">
        <v>0</v>
      </c>
      <c r="HK53" s="20" t="n">
        <v>0</v>
      </c>
      <c r="HL53" s="20" t="n">
        <v>0</v>
      </c>
      <c r="HM53" s="20" t="n">
        <v>0</v>
      </c>
      <c r="HN53" s="20" t="n">
        <v>0</v>
      </c>
      <c r="HO53" s="20" t="n">
        <v>0</v>
      </c>
      <c r="HP53" s="20" t="n">
        <v>0</v>
      </c>
      <c r="HQ53" s="20" t="n">
        <v>0</v>
      </c>
      <c r="HR53" s="20" t="n">
        <v>0</v>
      </c>
      <c r="HS53" s="20" t="n">
        <v>0</v>
      </c>
      <c r="HT53" s="20" t="n">
        <v>0</v>
      </c>
      <c r="HU53" s="20" t="n">
        <v>0</v>
      </c>
      <c r="HV53" s="20" t="n">
        <v>0</v>
      </c>
      <c r="HW53" s="20" t="n">
        <v>0</v>
      </c>
      <c r="HX53" s="20" t="n">
        <v>0</v>
      </c>
      <c r="HY53" s="20" t="n">
        <v>0</v>
      </c>
      <c r="HZ53" s="20" t="n">
        <v>0</v>
      </c>
      <c r="IA53" s="20" t="n">
        <v>0</v>
      </c>
      <c r="IB53" s="20" t="n">
        <v>0</v>
      </c>
      <c r="IC53" s="20" t="n">
        <v>0</v>
      </c>
      <c r="ID53" s="20" t="n">
        <v>0</v>
      </c>
      <c r="IE53" s="20" t="n">
        <v>0</v>
      </c>
      <c r="IF53" s="20" t="n">
        <v>0</v>
      </c>
      <c r="IG53" s="20" t="n">
        <v>0</v>
      </c>
      <c r="IH53" s="20" t="n">
        <v>0</v>
      </c>
      <c r="II53" s="20" t="n">
        <v>0</v>
      </c>
      <c r="IJ53" s="20" t="n">
        <v>0</v>
      </c>
      <c r="IK53" s="20" t="n">
        <v>0</v>
      </c>
      <c r="IL53" s="20" t="n">
        <v>0</v>
      </c>
      <c r="IM53" s="20" t="n">
        <v>0</v>
      </c>
      <c r="IN53" s="20" t="n">
        <v>0</v>
      </c>
      <c r="IO53" s="20" t="n">
        <v>0</v>
      </c>
      <c r="IP53" s="20" t="n">
        <v>0</v>
      </c>
      <c r="IQ53" s="20" t="n">
        <v>0</v>
      </c>
      <c r="IR53" s="20" t="n">
        <f aca="false">IF(AND(H_Direct=1,BR53&gt;0),MAX(0,H53-(MIN(BR53*AKR52,H53+I53)-MIN(MIN(BR53*AKR52,H53+I53),I53))),H53)</f>
        <v>1270</v>
      </c>
      <c r="IS53" s="20" t="n">
        <f aca="false">IF(AND(H_Direct=1,BS53&gt;0),MAX(0,IR53-(MIN(BS53*AKS52,IR53+ME53)-MIN(MIN(BS53*AKS52,IR53+ME53),ME53))),IR53)</f>
        <v>1270</v>
      </c>
      <c r="IT53" s="20" t="n">
        <f aca="false">IF(AND(H_Direct=1,BT53&gt;0),MAX(0,IS53-(MIN(BT53*AKT52,IS53+MF53)-MIN(MIN(BT53*AKT52,IS53+MF53),MF53))),IS53)</f>
        <v>1270</v>
      </c>
      <c r="IU53" s="20" t="n">
        <f aca="false">IF(AND(H_Direct=1,BU53&gt;0),MAX(0,IT53-(MIN(BU53*AKU52,IT53+MG53)-MIN(MIN(BU53*AKU52,IT53+MG53),MG53))),IT53)</f>
        <v>1270</v>
      </c>
      <c r="IV53" s="20" t="n">
        <f aca="false">IF(AND(H_Direct=1,BV53&gt;0),MAX(0,IU53-(MIN(BV53*AKV52,IU53+MH53)-MIN(MIN(BV53*AKV52,IU53+MH53),MH53))),IU53)</f>
        <v>1270</v>
      </c>
      <c r="IW53" s="20" t="n">
        <f aca="false">IF(AND(H_Direct=1,BW53&gt;0),MAX(0,IV53-(MIN(BW53*AKW52,IV53+MI53)-MIN(MIN(BW53*AKW52,IV53+MI53),MI53))),IV53)</f>
        <v>1270</v>
      </c>
      <c r="IX53" s="20" t="n">
        <f aca="false">IF(AND(H_Direct=1,BX53&gt;0),MAX(0,IW53-(MIN(BX53*AKX52,IW53+MJ53)-MIN(MIN(BX53*AKX52,IW53+MJ53),MJ53))),IW53)</f>
        <v>1270</v>
      </c>
      <c r="IY53" s="20" t="n">
        <f aca="false">IF(AND(H_Direct=1,BY53&gt;0),MAX(0,IX53-(MIN(BY53*AKY52,IX53+MK53)-MIN(MIN(BY53*AKY52,IX53+MK53),MK53))),IX53)</f>
        <v>1270</v>
      </c>
      <c r="IZ53" s="20" t="n">
        <f aca="false">IF(AND(H_Direct=1,BZ53&gt;0),MAX(0,IY53-(MIN(BZ53*AKZ52,IY53+ML53)-MIN(MIN(BZ53*AKZ52,IY53+ML53),ML53))),IY53)</f>
        <v>1270</v>
      </c>
      <c r="JA53" s="20" t="n">
        <f aca="false">IF(AND(H_Direct=1,CA53&gt;0),MAX(0,IZ53-(MIN(CA53*ALA52,IZ53+MM53)-MIN(MIN(CA53*ALA52,IZ53+MM53),MM53))),IZ53)</f>
        <v>1270</v>
      </c>
      <c r="JB53" s="20" t="n">
        <f aca="false">IF(AND(H_Direct=1,CB53&gt;0),MAX(0,JA53-(MIN(CB53*ALB52,JA53+MN53)-MIN(MIN(CB53*ALB52,JA53+MN53),MN53))),JA53)</f>
        <v>1270</v>
      </c>
      <c r="JC53" s="20" t="n">
        <f aca="false">IF(AND(H_Direct=1,CC53&gt;0),MAX(0,JB53-(MIN(CC53*ALC52,JB53+MO53)-MIN(MIN(CC53*ALC52,JB53+MO53),MO53))),JB53)</f>
        <v>1270</v>
      </c>
      <c r="JD53" s="20" t="n">
        <f aca="false">IF(AND(H_Direct=1,CD53&gt;0),MAX(0,JC53-(MIN(CD53*ALD52,JC53+MP53)-MIN(MIN(CD53*ALD52,JC53+MP53),MP53))),JC53)</f>
        <v>1270</v>
      </c>
      <c r="JE53" s="20" t="n">
        <f aca="false">IF(AND(H_Direct=1,CE53&gt;0),MAX(0,JD53-(MIN(CE53*ALE52,JD53+MQ53)-MIN(MIN(CE53*ALE52,JD53+MQ53),MQ53))),JD53)</f>
        <v>1270</v>
      </c>
      <c r="JF53" s="20" t="n">
        <f aca="false">IF(AND(H_Direct=1,CF53&gt;0),MAX(0,JE53-(MIN(CF53*ALF52,JE53+MR53)-MIN(MIN(CF53*ALF52,JE53+MR53),MR53))),JE53)</f>
        <v>1270</v>
      </c>
      <c r="JG53" s="20" t="n">
        <f aca="false">IF(AND(H_Direct=1,CG53&gt;0),MAX(0,JF53-(MIN(CG53*ALG52,JF53+MS53)-MIN(MIN(CG53*ALG52,JF53+MS53),MS53))),JF53)</f>
        <v>1270</v>
      </c>
      <c r="JH53" s="20" t="n">
        <f aca="false">IF(AND(H_Direct=1,CH53&gt;0),MAX(0,JG53-(MIN(CH53*ALH52,JG53+MT53)-MIN(MIN(CH53*ALH52,JG53+MT53),MT53))),JG53)</f>
        <v>1270</v>
      </c>
      <c r="JI53" s="20" t="n">
        <f aca="false">IF(AND(H_Direct=1,CI53&gt;0),MAX(0,JH53-(MIN(CI53*ALI52,JH53+MU53)-MIN(MIN(CI53*ALI52,JH53+MU53),MU53))),JH53)</f>
        <v>1270</v>
      </c>
      <c r="JJ53" s="20" t="n">
        <f aca="false">IF(AND(H_Direct=1,CJ53&gt;0),MAX(0,JI53-(MIN(CJ53*ALJ52,JI53+MV53)-MIN(MIN(CJ53*ALJ52,JI53+MV53),MV53))),JI53)</f>
        <v>1270</v>
      </c>
      <c r="JK53" s="20" t="n">
        <f aca="false">IF(AND(H_Direct=1,CK53&gt;0),MAX(0,JJ53-(MIN(CK53*ALK52,JJ53+MW53)-MIN(MIN(CK53*ALK52,JJ53+MW53),MW53))),JJ53)</f>
        <v>1270</v>
      </c>
      <c r="JL53" s="20" t="n">
        <f aca="false">IF(AND(H_Direct=1,CL53&gt;0),MAX(0,JK53-(MIN(CL53*ALL52,JK53+MX53)-MIN(MIN(CL53*ALL52,JK53+MX53),MX53))),JK53)</f>
        <v>1270</v>
      </c>
      <c r="JM53" s="20" t="n">
        <f aca="false">IF(AND(H_Direct=1,CM53&gt;0),MAX(0,JL53-(MIN(CM53*ALM52,JL53+MY53)-MIN(MIN(CM53*ALM52,JL53+MY53),MY53))),JL53)</f>
        <v>1270</v>
      </c>
      <c r="JN53" s="20" t="n">
        <f aca="false">IF(AND(H_Direct=1,CN53&gt;0),MAX(0,JM53-(MIN(CN53*ALN52,JM53+MZ53)-MIN(MIN(CN53*ALN52,JM53+MZ53),MZ53))),JM53)</f>
        <v>1270</v>
      </c>
      <c r="JO53" s="20" t="n">
        <f aca="false">IF(AND(H_Direct=1,CO53&gt;0),MAX(0,JN53-(MIN(CO53*ALO52,JN53+NA53)-MIN(MIN(CO53*ALO52,JN53+NA53),NA53))),JN53)</f>
        <v>1270</v>
      </c>
      <c r="JP53" s="20" t="n">
        <f aca="false">IF(AND(H_Direct=1,CP53&gt;0),MAX(0,JO53-(MIN(CP53*ALP52,JO53+NB53)-MIN(MIN(CP53*ALP52,JO53+NB53),NB53))),JO53)</f>
        <v>1270</v>
      </c>
      <c r="JQ53" s="20" t="n">
        <f aca="false">IF(AND(H_Direct=1,CQ53&gt;0),MAX(0,JP53-(MIN(CQ53*ALQ52,JP53+NC53)-MIN(MIN(CQ53*ALQ52,JP53+NC53),NC53))),JP53)</f>
        <v>1270</v>
      </c>
      <c r="JR53" s="20" t="n">
        <f aca="false">IF(AND(H_Direct=1,CR53&gt;0),MAX(0,JQ53-(MIN(CR53*ALR52,JQ53+ND53)-MIN(MIN(CR53*ALR52,JQ53+ND53),ND53))),JQ53)</f>
        <v>1270</v>
      </c>
      <c r="JS53" s="20" t="n">
        <f aca="false">IF(AND(H_Direct=1,CS53&gt;0),MAX(0,JR53-(MIN(CS53*ALS52,JR53+NE53)-MIN(MIN(CS53*ALS52,JR53+NE53),NE53))),JR53)</f>
        <v>1270</v>
      </c>
      <c r="JT53" s="20" t="n">
        <f aca="false">IF(AND(H_Direct=1,CT53&gt;0),MAX(0,JS53-(MIN(CT53*ALT52,JS53+NF53)-MIN(MIN(CT53*ALT52,JS53+NF53),NF53))),JS53)</f>
        <v>1270</v>
      </c>
      <c r="JU53" s="20" t="n">
        <f aca="false">IF(AND(H_Direct=1,CU53&gt;0),MAX(0,JT53-(MIN(CU53*ALU52,JT53+NG53)-MIN(MIN(CU53*ALU52,JT53+NG53),NG53))),JT53)</f>
        <v>1270</v>
      </c>
      <c r="JV53" s="20" t="n">
        <f aca="false">IF(AND(H_Direct=1,CV53&gt;0),MAX(0,JU53-(MIN(CV53*ALV52,JU53+NH53)-MIN(MIN(CV53*ALV52,JU53+NH53),NH53))),JU53)</f>
        <v>1270</v>
      </c>
      <c r="JW53" s="20" t="n">
        <f aca="false">IF(AND(H_Direct=1,CW53&gt;0),MAX(0,JV53-(MIN(CW53*ALW52,JV53+NI53)-MIN(MIN(CW53*ALW52,JV53+NI53),NI53))),JV53)</f>
        <v>1270</v>
      </c>
      <c r="JX53" s="20" t="n">
        <f aca="false">IF(AND(H_Direct=1,CX53&gt;0),MAX(0,JW53-(MIN(CX53*ALX52,JW53+NJ53)-MIN(MIN(CX53*ALX52,JW53+NJ53),NJ53))),JW53)</f>
        <v>1270</v>
      </c>
      <c r="JY53" s="20" t="n">
        <f aca="false">IF(AND(H_Direct=1,CY53&gt;0),MAX(0,JX53-(MIN(CY53*ALY52,JX53+NK53)-MIN(MIN(CY53*ALY52,JX53+NK53),NK53))),JX53)</f>
        <v>1270</v>
      </c>
      <c r="JZ53" s="20" t="n">
        <f aca="false">IF(AND(H_Direct=1,CZ53&gt;0),MAX(0,JY53-(MIN(CZ53*ALZ52,JY53+NL53)-MIN(MIN(CZ53*ALZ52,JY53+NL53),NL53))),JY53)</f>
        <v>1270</v>
      </c>
      <c r="KA53" s="20" t="n">
        <f aca="false">IF(AND(H_Direct=1,DA53&gt;0),MAX(0,JZ53-(MIN(DA53*AMA52,JZ53+NM53)-MIN(MIN(DA53*AMA52,JZ53+NM53),NM53))),JZ53)</f>
        <v>1270</v>
      </c>
      <c r="KB53" s="20" t="n">
        <f aca="false">IF(AND(H_Direct=1,DB53&gt;0),MAX(0,KA53-(MIN(DB53*AMB52,KA53+NN53)-MIN(MIN(DB53*AMB52,KA53+NN53),NN53))),KA53)</f>
        <v>1270</v>
      </c>
      <c r="KC53" s="20" t="n">
        <f aca="false">IF(AND(H_Direct=1,DC53&gt;0),MAX(0,KB53-(MIN(DC53*AMC52,KB53+NO53)-MIN(MIN(DC53*AMC52,KB53+NO53),NO53))),KB53)</f>
        <v>1270</v>
      </c>
      <c r="KD53" s="20" t="n">
        <f aca="false">IF(AND(H_Direct=1,DD53&gt;0),MAX(0,KC53-(MIN(DD53*AMD52,KC53+NP53)-MIN(MIN(DD53*AMD52,KC53+NP53),NP53))),KC53)</f>
        <v>1270</v>
      </c>
      <c r="KE53" s="20" t="n">
        <f aca="false">IF(AND(H_Direct=1,DE53&gt;0),MAX(0,KD53-(MIN(DE53*AME52,KD53+NQ53)-MIN(MIN(DE53*AME52,KD53+NQ53),NQ53))),KD53)</f>
        <v>1270</v>
      </c>
      <c r="KF53" s="20" t="n">
        <f aca="false">IF(AND(H_Direct=1,DF53&gt;0),MAX(0,KE53-(MIN(DF53*AMF52,KE53+NR53)-MIN(MIN(DF53*AMF52,KE53+NR53),NR53))),KE53)</f>
        <v>1270</v>
      </c>
      <c r="KG53" s="20" t="n">
        <f aca="false">IF(AND(H_Direct=1,DG53&gt;0),MAX(0,KF53-(MIN(DG53*AMG52,KF53+NS53)-MIN(MIN(DG53*AMG52,KF53+NS53),NS53))),KF53)</f>
        <v>1270</v>
      </c>
      <c r="KH53" s="20" t="n">
        <f aca="false">IF(AND(H_Direct=1,DH53&gt;0),MAX(0,KG53-(MIN(DH53*AMH52,KG53+NT53)-MIN(MIN(DH53*AMH52,KG53+NT53),NT53))),KG53)</f>
        <v>1270</v>
      </c>
      <c r="KI53" s="20" t="n">
        <f aca="false">IF(AND(H_Direct=1,DI53&gt;0),MAX(0,KH53-(MIN(DI53*AMI52,KH53+NU53)-MIN(MIN(DI53*AMI52,KH53+NU53),NU53))),KH53)</f>
        <v>1270</v>
      </c>
      <c r="KJ53" s="20" t="n">
        <f aca="false">IF(AND(H_Direct=1,DJ53&gt;0),MAX(0,KI53-(MIN(DJ53*AMJ52,KI53+NV53)-MIN(MIN(DJ53*AMJ52,KI53+NV53),NV53))),KI53)</f>
        <v>1270</v>
      </c>
      <c r="KK53" s="20" t="n">
        <f aca="false">IF(AND(H_Direct=1,DK53&gt;0),MAX(0,KJ53-(MIN(DK53*AMK52,KJ53+NW53)-MIN(MIN(DK53*AMK52,KJ53+NW53),NW53))),KJ53)</f>
        <v>1270</v>
      </c>
      <c r="KL53" s="20" t="n">
        <f aca="false">IF(AND(H_Direct=1,DL53&gt;0),MAX(0,KK53-(MIN(DL53*(P53+S53),KK53+NX53)-MIN(MIN(DL53*(P53+S53),KK53+NX53),NX53))),KK53)</f>
        <v>1270</v>
      </c>
      <c r="KM53" s="20" t="n">
        <f aca="false">KL53</f>
        <v>1270</v>
      </c>
      <c r="KN53" s="20" t="n">
        <f aca="false">KM53</f>
        <v>1270</v>
      </c>
      <c r="KO53" s="20" t="n">
        <f aca="false">KN53</f>
        <v>1270</v>
      </c>
      <c r="KP53" s="20" t="n">
        <f aca="false">KO53</f>
        <v>1270</v>
      </c>
      <c r="KQ53" s="20" t="n">
        <f aca="false">KP53</f>
        <v>1270</v>
      </c>
      <c r="KR53" s="20" t="n">
        <f aca="false">KQ53</f>
        <v>1270</v>
      </c>
      <c r="KS53" s="20" t="n">
        <f aca="false">KR53</f>
        <v>1270</v>
      </c>
      <c r="KT53" s="20" t="n">
        <f aca="false">KS53</f>
        <v>1270</v>
      </c>
      <c r="KU53" s="20" t="n">
        <f aca="false">KT53</f>
        <v>1270</v>
      </c>
      <c r="KV53" s="20" t="n">
        <f aca="false">KU53</f>
        <v>1270</v>
      </c>
      <c r="KW53" s="20" t="n">
        <f aca="false">KV53</f>
        <v>1270</v>
      </c>
      <c r="KX53" s="20" t="n">
        <f aca="false">KW53</f>
        <v>1270</v>
      </c>
      <c r="KY53" s="20" t="n">
        <f aca="false">KX53</f>
        <v>1270</v>
      </c>
      <c r="KZ53" s="20" t="n">
        <f aca="false">KY53</f>
        <v>1270</v>
      </c>
      <c r="LA53" s="20" t="n">
        <f aca="false">KZ53</f>
        <v>1270</v>
      </c>
      <c r="LB53" s="20" t="n">
        <f aca="false">LA53</f>
        <v>1270</v>
      </c>
      <c r="LC53" s="20" t="n">
        <f aca="false">LB53</f>
        <v>1270</v>
      </c>
      <c r="LD53" s="20" t="n">
        <f aca="false">LC53</f>
        <v>1270</v>
      </c>
      <c r="LE53" s="20" t="n">
        <f aca="false">LD53</f>
        <v>1270</v>
      </c>
      <c r="LF53" s="20" t="n">
        <f aca="false">LE53</f>
        <v>1270</v>
      </c>
      <c r="LG53" s="20" t="n">
        <f aca="false">LF53</f>
        <v>1270</v>
      </c>
      <c r="LH53" s="20" t="n">
        <f aca="false">LG53</f>
        <v>1270</v>
      </c>
      <c r="LI53" s="20" t="n">
        <f aca="false">LH53</f>
        <v>1270</v>
      </c>
      <c r="LJ53" s="20" t="n">
        <f aca="false">LI53</f>
        <v>1270</v>
      </c>
      <c r="LK53" s="20" t="n">
        <f aca="false">LJ53</f>
        <v>1270</v>
      </c>
      <c r="LL53" s="20" t="n">
        <f aca="false">LK53</f>
        <v>1270</v>
      </c>
      <c r="LM53" s="20" t="n">
        <f aca="false">LL53</f>
        <v>1270</v>
      </c>
      <c r="LN53" s="20" t="n">
        <f aca="false">LM53</f>
        <v>1270</v>
      </c>
      <c r="LO53" s="20" t="n">
        <f aca="false">LN53</f>
        <v>1270</v>
      </c>
      <c r="LP53" s="20" t="n">
        <f aca="false">LO53</f>
        <v>1270</v>
      </c>
      <c r="LQ53" s="20" t="n">
        <f aca="false">LP53</f>
        <v>1270</v>
      </c>
      <c r="LR53" s="20" t="n">
        <f aca="false">LQ53</f>
        <v>1270</v>
      </c>
      <c r="LS53" s="20" t="n">
        <f aca="false">LR53</f>
        <v>1270</v>
      </c>
      <c r="LT53" s="20" t="n">
        <f aca="false">LS53</f>
        <v>1270</v>
      </c>
      <c r="LU53" s="20" t="n">
        <f aca="false">LT53</f>
        <v>1270</v>
      </c>
      <c r="LV53" s="20" t="n">
        <f aca="false">LU53</f>
        <v>1270</v>
      </c>
      <c r="LW53" s="20" t="n">
        <f aca="false">LV53</f>
        <v>1270</v>
      </c>
      <c r="LX53" s="20" t="n">
        <f aca="false">LW53</f>
        <v>1270</v>
      </c>
      <c r="LY53" s="20" t="n">
        <f aca="false">LX53</f>
        <v>1270</v>
      </c>
      <c r="LZ53" s="20" t="n">
        <f aca="false">LY53</f>
        <v>1270</v>
      </c>
      <c r="MA53" s="20" t="n">
        <f aca="false">LZ53</f>
        <v>1270</v>
      </c>
      <c r="MB53" s="20" t="n">
        <f aca="false">MA53</f>
        <v>1270</v>
      </c>
      <c r="MC53" s="20" t="n">
        <f aca="false">MB53</f>
        <v>1270</v>
      </c>
      <c r="MD53" s="20" t="n">
        <f aca="false">MC53</f>
        <v>1270</v>
      </c>
      <c r="ME53" s="20" t="n">
        <f aca="false">IF(H_Direct=1,IF(BR53&lt;=0,I53-BR53*AKR52,I53-MIN(MIN(BR53*AKR52,H53+I53),I53)),I53)</f>
        <v>0</v>
      </c>
      <c r="MF53" s="20" t="n">
        <f aca="false">IF(H_Direct=1,IF(BS53&lt;=0,ME53-BS53*AKS52,ME53-MIN(MIN(BS53*AKS52,IR53+ME53),ME53)),ME53)</f>
        <v>0</v>
      </c>
      <c r="MG53" s="20" t="n">
        <f aca="false">IF(H_Direct=1,IF(BT53&lt;=0,MF53-BT53*AKT52,MF53-MIN(MIN(BT53*AKT52,IS53+MF53),MF53)),MF53)</f>
        <v>0</v>
      </c>
      <c r="MH53" s="20" t="n">
        <f aca="false">IF(H_Direct=1,IF(BU53&lt;=0,MG53-BU53*AKU52,MG53-MIN(MIN(BU53*AKU52,IT53+MG53),MG53)),MG53)</f>
        <v>0</v>
      </c>
      <c r="MI53" s="20" t="n">
        <f aca="false">IF(H_Direct=1,IF(BV53&lt;=0,MH53-BV53*AKV52,MH53-MIN(MIN(BV53*AKV52,IU53+MH53),MH53)),MH53)</f>
        <v>0</v>
      </c>
      <c r="MJ53" s="20" t="n">
        <f aca="false">IF(H_Direct=1,IF(BW53&lt;=0,MI53-BW53*AKW52,MI53-MIN(MIN(BW53*AKW52,IV53+MI53),MI53)),MI53)</f>
        <v>0</v>
      </c>
      <c r="MK53" s="20" t="n">
        <f aca="false">IF(H_Direct=1,IF(BX53&lt;=0,MJ53-BX53*AKX52,MJ53-MIN(MIN(BX53*AKX52,IW53+MJ53),MJ53)),MJ53)</f>
        <v>0</v>
      </c>
      <c r="ML53" s="20" t="n">
        <f aca="false">IF(H_Direct=1,IF(BY53&lt;=0,MK53-BY53*AKY52,MK53-MIN(MIN(BY53*AKY52,IX53+MK53),MK53)),MK53)</f>
        <v>0</v>
      </c>
      <c r="MM53" s="20" t="n">
        <f aca="false">IF(H_Direct=1,IF(BZ53&lt;=0,ML53-BZ53*AKZ52,ML53-MIN(MIN(BZ53*AKZ52,IY53+ML53),ML53)),ML53)</f>
        <v>0</v>
      </c>
      <c r="MN53" s="20" t="n">
        <f aca="false">IF(H_Direct=1,IF(CA53&lt;=0,MM53-CA53*ALA52,MM53-MIN(MIN(CA53*ALA52,IZ53+MM53),MM53)),MM53)</f>
        <v>0</v>
      </c>
      <c r="MO53" s="20" t="n">
        <f aca="false">IF(H_Direct=1,IF(CB53&lt;=0,MN53-CB53*ALB52,MN53-MIN(MIN(CB53*ALB52,JA53+MN53),MN53)),MN53)</f>
        <v>0</v>
      </c>
      <c r="MP53" s="20" t="n">
        <f aca="false">IF(H_Direct=1,IF(CC53&lt;=0,MO53-CC53*ALC52,MO53-MIN(MIN(CC53*ALC52,JB53+MO53),MO53)),MO53)</f>
        <v>0</v>
      </c>
      <c r="MQ53" s="20" t="n">
        <f aca="false">IF(H_Direct=1,IF(CD53&lt;=0,MP53-CD53*ALD52,MP53-MIN(MIN(CD53*ALD52,JC53+MP53),MP53)),MP53)</f>
        <v>0</v>
      </c>
      <c r="MR53" s="20" t="n">
        <f aca="false">IF(H_Direct=1,IF(CE53&lt;=0,MQ53-CE53*ALE52,MQ53-MIN(MIN(CE53*ALE52,JD53+MQ53),MQ53)),MQ53)</f>
        <v>0</v>
      </c>
      <c r="MS53" s="20" t="n">
        <f aca="false">IF(H_Direct=1,IF(CF53&lt;=0,MR53-CF53*ALF52,MR53-MIN(MIN(CF53*ALF52,JE53+MR53),MR53)),MR53)</f>
        <v>0</v>
      </c>
      <c r="MT53" s="20" t="n">
        <f aca="false">IF(H_Direct=1,IF(CG53&lt;=0,MS53-CG53*ALG52,MS53-MIN(MIN(CG53*ALG52,JF53+MS53),MS53)),MS53)</f>
        <v>0</v>
      </c>
      <c r="MU53" s="20" t="n">
        <f aca="false">IF(H_Direct=1,IF(CH53&lt;=0,MT53-CH53*ALH52,MT53-MIN(MIN(CH53*ALH52,JG53+MT53),MT53)),MT53)</f>
        <v>0</v>
      </c>
      <c r="MV53" s="20" t="n">
        <f aca="false">IF(H_Direct=1,IF(CI53&lt;=0,MU53-CI53*ALI52,MU53-MIN(MIN(CI53*ALI52,JH53+MU53),MU53)),MU53)</f>
        <v>0</v>
      </c>
      <c r="MW53" s="20" t="n">
        <f aca="false">IF(H_Direct=1,IF(CJ53&lt;=0,MV53-CJ53*ALJ52,MV53-MIN(MIN(CJ53*ALJ52,JI53+MV53),MV53)),MV53)</f>
        <v>0</v>
      </c>
      <c r="MX53" s="20" t="n">
        <f aca="false">IF(H_Direct=1,IF(CK53&lt;=0,MW53-CK53*ALK52,MW53-MIN(MIN(CK53*ALK52,JJ53+MW53),MW53)),MW53)</f>
        <v>0</v>
      </c>
      <c r="MY53" s="20" t="n">
        <f aca="false">IF(H_Direct=1,IF(CL53&lt;=0,MX53-CL53*ALL52,MX53-MIN(MIN(CL53*ALL52,JK53+MX53),MX53)),MX53)</f>
        <v>0</v>
      </c>
      <c r="MZ53" s="20" t="n">
        <f aca="false">IF(H_Direct=1,IF(CM53&lt;=0,MY53-CM53*ALM52,MY53-MIN(MIN(CM53*ALM52,JL53+MY53),MY53)),MY53)</f>
        <v>0</v>
      </c>
      <c r="NA53" s="20" t="n">
        <f aca="false">IF(H_Direct=1,IF(CN53&lt;=0,MZ53-CN53*ALN52,MZ53-MIN(MIN(CN53*ALN52,JM53+MZ53),MZ53)),MZ53)</f>
        <v>0</v>
      </c>
      <c r="NB53" s="20" t="n">
        <f aca="false">IF(H_Direct=1,IF(CO53&lt;=0,NA53-CO53*ALO52,NA53-MIN(MIN(CO53*ALO52,JN53+NA53),NA53)),NA53)</f>
        <v>0</v>
      </c>
      <c r="NC53" s="20" t="n">
        <f aca="false">IF(H_Direct=1,IF(CP53&lt;=0,NB53-CP53*ALP52,NB53-MIN(MIN(CP53*ALP52,JO53+NB53),NB53)),NB53)</f>
        <v>0</v>
      </c>
      <c r="ND53" s="20" t="n">
        <f aca="false">IF(H_Direct=1,IF(CQ53&lt;=0,NC53-CQ53*ALQ52,NC53-MIN(MIN(CQ53*ALQ52,JP53+NC53),NC53)),NC53)</f>
        <v>0</v>
      </c>
      <c r="NE53" s="20" t="n">
        <f aca="false">IF(H_Direct=1,IF(CR53&lt;=0,ND53-CR53*ALR52,ND53-MIN(MIN(CR53*ALR52,JQ53+ND53),ND53)),ND53)</f>
        <v>0</v>
      </c>
      <c r="NF53" s="20" t="n">
        <f aca="false">IF(H_Direct=1,IF(CS53&lt;=0,NE53-CS53*ALS52,NE53-MIN(MIN(CS53*ALS52,JR53+NE53),NE53)),NE53)</f>
        <v>0</v>
      </c>
      <c r="NG53" s="20" t="n">
        <f aca="false">IF(H_Direct=1,IF(CT53&lt;=0,NF53-CT53*ALT52,NF53-MIN(MIN(CT53*ALT52,JS53+NF53),NF53)),NF53)</f>
        <v>0</v>
      </c>
      <c r="NH53" s="20" t="n">
        <f aca="false">IF(H_Direct=1,IF(CU53&lt;=0,NG53-CU53*ALU52,NG53-MIN(MIN(CU53*ALU52,JT53+NG53),NG53)),NG53)</f>
        <v>0</v>
      </c>
      <c r="NI53" s="20" t="n">
        <f aca="false">IF(H_Direct=1,IF(CV53&lt;=0,NH53-CV53*ALV52,NH53-MIN(MIN(CV53*ALV52,JU53+NH53),NH53)),NH53)</f>
        <v>0</v>
      </c>
      <c r="NJ53" s="20" t="n">
        <f aca="false">IF(H_Direct=1,IF(CW53&lt;=0,NI53-CW53*ALW52,NI53-MIN(MIN(CW53*ALW52,JV53+NI53),NI53)),NI53)</f>
        <v>0</v>
      </c>
      <c r="NK53" s="20" t="n">
        <f aca="false">IF(H_Direct=1,IF(CX53&lt;=0,NJ53-CX53*ALX52,NJ53-MIN(MIN(CX53*ALX52,JW53+NJ53),NJ53)),NJ53)</f>
        <v>0</v>
      </c>
      <c r="NL53" s="20" t="n">
        <f aca="false">IF(H_Direct=1,IF(CY53&lt;=0,NK53-CY53*ALY52,NK53-MIN(MIN(CY53*ALY52,JX53+NK53),NK53)),NK53)</f>
        <v>0</v>
      </c>
      <c r="NM53" s="20" t="n">
        <f aca="false">IF(H_Direct=1,IF(CZ53&lt;=0,NL53-CZ53*ALZ52,NL53-MIN(MIN(CZ53*ALZ52,JY53+NL53),NL53)),NL53)</f>
        <v>0</v>
      </c>
      <c r="NN53" s="20" t="n">
        <f aca="false">IF(H_Direct=1,IF(DA53&lt;=0,NM53-DA53*AMA52,NM53-MIN(MIN(DA53*AMA52,JZ53+NM53),NM53)),NM53)</f>
        <v>0</v>
      </c>
      <c r="NO53" s="20" t="n">
        <f aca="false">IF(H_Direct=1,IF(DB53&lt;=0,NN53-DB53*AMB52,NN53-MIN(MIN(DB53*AMB52,KA53+NN53),NN53)),NN53)</f>
        <v>0</v>
      </c>
      <c r="NP53" s="20" t="n">
        <f aca="false">IF(H_Direct=1,IF(DC53&lt;=0,NO53-DC53*AMC52,NO53-MIN(MIN(DC53*AMC52,KB53+NO53),NO53)),NO53)</f>
        <v>0</v>
      </c>
      <c r="NQ53" s="20" t="n">
        <f aca="false">IF(H_Direct=1,IF(DD53&lt;=0,NP53-DD53*AMD52,NP53-MIN(MIN(DD53*AMD52,KC53+NP53),NP53)),NP53)</f>
        <v>0</v>
      </c>
      <c r="NR53" s="20" t="n">
        <f aca="false">IF(H_Direct=1,IF(DE53&lt;=0,NQ53-DE53*AME52,NQ53-MIN(MIN(DE53*AME52,KD53+NQ53),NQ53)),NQ53)</f>
        <v>0</v>
      </c>
      <c r="NS53" s="20" t="n">
        <f aca="false">IF(H_Direct=1,IF(DF53&lt;=0,NR53-DF53*AMF52,NR53-MIN(MIN(DF53*AMF52,KE53+NR53),NR53)),NR53)</f>
        <v>0</v>
      </c>
      <c r="NT53" s="20" t="n">
        <f aca="false">IF(H_Direct=1,IF(DG53&lt;=0,NS53-DG53*AMG52,NS53-MIN(MIN(DG53*AMG52,KF53+NS53),NS53)),NS53)</f>
        <v>0</v>
      </c>
      <c r="NU53" s="20" t="n">
        <f aca="false">IF(H_Direct=1,IF(DH53&lt;=0,NT53-DH53*AMH52,NT53-MIN(MIN(DH53*AMH52,KG53+NT53),NT53)),NT53)</f>
        <v>0</v>
      </c>
      <c r="NV53" s="20" t="n">
        <f aca="false">IF(H_Direct=1,IF(DI53&lt;=0,NU53-DI53*AMI52,NU53-MIN(MIN(DI53*AMI52,KH53+NU53),NU53)),NU53)</f>
        <v>0</v>
      </c>
      <c r="NW53" s="20" t="n">
        <f aca="false">IF(H_Direct=1,IF(DJ53&lt;=0,NV53-DJ53*AMJ52,NV53-MIN(MIN(DJ53*AMJ52,KI53+NV53),NV53)),NV53)</f>
        <v>0</v>
      </c>
      <c r="NX53" s="20" t="n">
        <f aca="false">IF(H_Direct=1,IF(DK53&lt;=0,NW53-DK53*AMK52,NW53-MIN(MIN(DK53*AMK52,KJ53+NW53),NW53)),NW53)</f>
        <v>0</v>
      </c>
      <c r="NY53" s="20" t="n">
        <f aca="false">IF(H_Direct=1,IF(DL53&lt;=0,NX53-DL53*(P53+S53),NX53-MIN(MIN(DL53*(P53+S53),KK53+NX53),NX53)),NX53)</f>
        <v>0</v>
      </c>
      <c r="NZ53" s="20" t="n">
        <f aca="false">NY53</f>
        <v>0</v>
      </c>
      <c r="OA53" s="20" t="n">
        <f aca="false">NZ53</f>
        <v>0</v>
      </c>
      <c r="OB53" s="20" t="n">
        <f aca="false">OA53</f>
        <v>0</v>
      </c>
      <c r="OC53" s="20" t="n">
        <f aca="false">OB53</f>
        <v>0</v>
      </c>
      <c r="OD53" s="20" t="n">
        <f aca="false">OC53</f>
        <v>0</v>
      </c>
      <c r="OE53" s="20" t="n">
        <f aca="false">OD53</f>
        <v>0</v>
      </c>
      <c r="OF53" s="20" t="n">
        <f aca="false">OE53</f>
        <v>0</v>
      </c>
      <c r="OG53" s="20" t="n">
        <f aca="false">OF53</f>
        <v>0</v>
      </c>
      <c r="OH53" s="20" t="n">
        <f aca="false">OG53</f>
        <v>0</v>
      </c>
      <c r="OI53" s="20" t="n">
        <f aca="false">OH53</f>
        <v>0</v>
      </c>
      <c r="OJ53" s="20" t="n">
        <f aca="false">OI53</f>
        <v>0</v>
      </c>
      <c r="OK53" s="20" t="n">
        <f aca="false">OJ53</f>
        <v>0</v>
      </c>
      <c r="OL53" s="20" t="n">
        <f aca="false">OK53</f>
        <v>0</v>
      </c>
      <c r="OM53" s="20" t="n">
        <f aca="false">OL53</f>
        <v>0</v>
      </c>
      <c r="ON53" s="20" t="n">
        <f aca="false">OM53</f>
        <v>0</v>
      </c>
      <c r="OO53" s="20" t="n">
        <f aca="false">ON53</f>
        <v>0</v>
      </c>
      <c r="OP53" s="20" t="n">
        <f aca="false">OO53</f>
        <v>0</v>
      </c>
      <c r="OQ53" s="20" t="n">
        <f aca="false">OP53</f>
        <v>0</v>
      </c>
      <c r="OR53" s="20" t="n">
        <f aca="false">OQ53</f>
        <v>0</v>
      </c>
      <c r="OS53" s="20" t="n">
        <f aca="false">OR53</f>
        <v>0</v>
      </c>
      <c r="OT53" s="20" t="n">
        <f aca="false">OS53</f>
        <v>0</v>
      </c>
      <c r="OU53" s="20" t="n">
        <f aca="false">OT53</f>
        <v>0</v>
      </c>
      <c r="OV53" s="20" t="n">
        <f aca="false">OU53</f>
        <v>0</v>
      </c>
      <c r="OW53" s="20" t="n">
        <f aca="false">OV53</f>
        <v>0</v>
      </c>
      <c r="OX53" s="20" t="n">
        <f aca="false">OW53</f>
        <v>0</v>
      </c>
      <c r="OY53" s="20" t="n">
        <f aca="false">OX53</f>
        <v>0</v>
      </c>
      <c r="OZ53" s="20" t="n">
        <f aca="false">OY53</f>
        <v>0</v>
      </c>
      <c r="PA53" s="20" t="n">
        <f aca="false">OZ53</f>
        <v>0</v>
      </c>
      <c r="PB53" s="20" t="n">
        <f aca="false">PA53</f>
        <v>0</v>
      </c>
      <c r="PC53" s="20" t="n">
        <f aca="false">PB53</f>
        <v>0</v>
      </c>
      <c r="PD53" s="20" t="n">
        <f aca="false">PC53</f>
        <v>0</v>
      </c>
      <c r="PE53" s="20" t="n">
        <f aca="false">PD53</f>
        <v>0</v>
      </c>
      <c r="PF53" s="20" t="n">
        <f aca="false">PE53</f>
        <v>0</v>
      </c>
      <c r="PG53" s="20" t="n">
        <f aca="false">PF53</f>
        <v>0</v>
      </c>
      <c r="PH53" s="20" t="n">
        <f aca="false">PG53</f>
        <v>0</v>
      </c>
      <c r="PI53" s="20" t="n">
        <f aca="false">PH53</f>
        <v>0</v>
      </c>
      <c r="PJ53" s="20" t="n">
        <f aca="false">PI53</f>
        <v>0</v>
      </c>
      <c r="PK53" s="20" t="n">
        <f aca="false">PJ53</f>
        <v>0</v>
      </c>
      <c r="PL53" s="20" t="n">
        <f aca="false">PK53</f>
        <v>0</v>
      </c>
      <c r="PM53" s="20" t="n">
        <f aca="false">PL53</f>
        <v>0</v>
      </c>
      <c r="PN53" s="20" t="n">
        <f aca="false">PM53</f>
        <v>0</v>
      </c>
      <c r="PO53" s="20" t="n">
        <f aca="false">PN53</f>
        <v>0</v>
      </c>
      <c r="PP53" s="20" t="n">
        <f aca="false">PO53</f>
        <v>0</v>
      </c>
      <c r="PQ53" s="20" t="n">
        <f aca="false">PP53</f>
        <v>0</v>
      </c>
      <c r="PR53" s="20" t="n">
        <f aca="false">IF(H_Direct=1,IF(AKR52&lt;=0,0,IF(BR53&lt;=0,MIN(MAX(0,AB53),AKR52),MIN(MAX(0,AB53),AKR52-G53*MAX(0,BR53*AKR52-(H53+I53))))),MIN(FE53,MAX(0,AB53)))</f>
        <v>0</v>
      </c>
      <c r="PS53" s="20" t="n">
        <f aca="false">IF(H_Direct=1,IF(AKS52&lt;=0,0,IF(BS53&lt;=0,MIN(MAX(0,AB53-SUM(PR53:PR53)),AKS52),MIN(MAX(0,AB53-SUM(PR53:PR53)),AKS52-G53*MAX(0,BS53*AKS52-(WR53+AAE53))))),MIN(FF53,MAX(0,AB53-SUM(PR53:PR53))))</f>
        <v>0</v>
      </c>
      <c r="PT53" s="20" t="n">
        <f aca="false">IF(H_Direct=1,IF(AKT52&lt;=0,0,IF(BT53&lt;=0,MIN(MAX(0,AB53-SUM(PR53:PS53)),AKT52),MIN(MAX(0,AB53-SUM(PR53:PS53)),AKT52-G53*MAX(0,BT53*AKT52-(WS53+AAF53))))),MIN(FG53,MAX(0,AB53-SUM(PR53:PS53))))</f>
        <v>0</v>
      </c>
      <c r="PU53" s="20" t="n">
        <f aca="false">IF(H_Direct=1,IF(AKU52&lt;=0,0,IF(BU53&lt;=0,MIN(MAX(0,AB53-SUM(PR53:PT53)),AKU52),MIN(MAX(0,AB53-SUM(PR53:PT53)),AKU52-G53*MAX(0,BU53*AKU52-(WT53+AAG53))))),MIN(FH53,MAX(0,AB53-SUM(PR53:PT53))))</f>
        <v>0</v>
      </c>
      <c r="PV53" s="20" t="n">
        <f aca="false">IF(H_Direct=1,IF(AKV52&lt;=0,0,IF(BV53&lt;=0,MIN(MAX(0,AB53-SUM(PR53:PU53)),AKV52),MIN(MAX(0,AB53-SUM(PR53:PU53)),AKV52-G53*MAX(0,BV53*AKV52-(WU53+AAH53))))),MIN(FI53,MAX(0,AB53-SUM(PR53:PU53))))</f>
        <v>0</v>
      </c>
      <c r="PW53" s="20" t="n">
        <f aca="false">IF(H_Direct=1,IF(AKW52&lt;=0,0,IF(BW53&lt;=0,MIN(MAX(0,AB53-SUM(PR53:PV53)),AKW52),MIN(MAX(0,AB53-SUM(PR53:PV53)),AKW52-G53*MAX(0,BW53*AKW52-(WV53+AAI53))))),MIN(FJ53,MAX(0,AB53-SUM(PR53:PV53))))</f>
        <v>0</v>
      </c>
      <c r="PX53" s="20" t="n">
        <f aca="false">IF(H_Direct=1,IF(AKX52&lt;=0,0,IF(BX53&lt;=0,MIN(MAX(0,AB53-SUM(PR53:PW53)),AKX52),MIN(MAX(0,AB53-SUM(PR53:PW53)),AKX52-G53*MAX(0,BX53*AKX52-(WW53+AAJ53))))),MIN(FK53,MAX(0,AB53-SUM(PR53:PW53))))</f>
        <v>0</v>
      </c>
      <c r="PY53" s="20" t="n">
        <f aca="false">IF(H_Direct=1,IF(AKY52&lt;=0,0,IF(BY53&lt;=0,MIN(MAX(0,AB53-SUM(PR53:PX53)),AKY52),MIN(MAX(0,AB53-SUM(PR53:PX53)),AKY52-G53*MAX(0,BY53*AKY52-(WX53+AAK53))))),MIN(FL53,MAX(0,AB53-SUM(PR53:PX53))))</f>
        <v>0</v>
      </c>
      <c r="PZ53" s="20" t="n">
        <f aca="false">IF(H_Direct=1,IF(AKZ52&lt;=0,0,IF(BZ53&lt;=0,MIN(MAX(0,AB53-SUM(PR53:PY53)),AKZ52),MIN(MAX(0,AB53-SUM(PR53:PY53)),AKZ52-G53*MAX(0,BZ53*AKZ52-(WY53+AAL53))))),MIN(FM53,MAX(0,AB53-SUM(PR53:PY53))))</f>
        <v>0</v>
      </c>
      <c r="QA53" s="20" t="n">
        <f aca="false">IF(H_Direct=1,IF(ALA52&lt;=0,0,IF(CA53&lt;=0,MIN(MAX(0,AB53-SUM(PR53:PZ53)),ALA52),MIN(MAX(0,AB53-SUM(PR53:PZ53)),ALA52-G53*MAX(0,CA53*ALA52-(WZ53+AAM53))))),MIN(FN53,MAX(0,AB53-SUM(PR53:PZ53))))</f>
        <v>0</v>
      </c>
      <c r="QB53" s="20" t="n">
        <f aca="false">IF(H_Direct=1,IF(ALB52&lt;=0,0,IF(CB53&lt;=0,MIN(MAX(0,AB53-SUM(PR53:QA53)),ALB52),MIN(MAX(0,AB53-SUM(PR53:QA53)),ALB52-G53*MAX(0,CB53*ALB52-(XA53+AAN53))))),MIN(FO53,MAX(0,AB53-SUM(PR53:QA53))))</f>
        <v>0</v>
      </c>
      <c r="QC53" s="20" t="n">
        <f aca="false">IF(H_Direct=1,IF(ALC52&lt;=0,0,IF(CC53&lt;=0,MIN(MAX(0,AB53-SUM(PR53:QB53)),ALC52),MIN(MAX(0,AB53-SUM(PR53:QB53)),ALC52-G53*MAX(0,CC53*ALC52-(XB53+AAO53))))),MIN(FP53,MAX(0,AB53-SUM(PR53:QB53))))</f>
        <v>0</v>
      </c>
      <c r="QD53" s="20" t="n">
        <f aca="false">IF(H_Direct=1,IF(ALD52&lt;=0,0,IF(CD53&lt;=0,MIN(MAX(0,AB53-SUM(PR53:QC53)),ALD52),MIN(MAX(0,AB53-SUM(PR53:QC53)),ALD52-G53*MAX(0,CD53*ALD52-(XC53+AAP53))))),MIN(FQ53,MAX(0,AB53-SUM(PR53:QC53))))</f>
        <v>0</v>
      </c>
      <c r="QE53" s="20" t="n">
        <f aca="false">IF(H_Direct=1,IF(ALE52&lt;=0,0,IF(CE53&lt;=0,MIN(MAX(0,AB53-SUM(PR53:QD53)),ALE52),MIN(MAX(0,AB53-SUM(PR53:QD53)),ALE52-G53*MAX(0,CE53*ALE52-(XD53+AAQ53))))),MIN(FR53,MAX(0,AB53-SUM(PR53:QD53))))</f>
        <v>0</v>
      </c>
      <c r="QF53" s="20" t="n">
        <f aca="false">IF(H_Direct=1,IF(ALF52&lt;=0,0,IF(CF53&lt;=0,MIN(MAX(0,AB53-SUM(PR53:QE53)),ALF52),MIN(MAX(0,AB53-SUM(PR53:QE53)),ALF52-G53*MAX(0,CF53*ALF52-(XE53+AAR53))))),MIN(FS53,MAX(0,AB53-SUM(PR53:QE53))))</f>
        <v>0</v>
      </c>
      <c r="QG53" s="20" t="n">
        <f aca="false">IF(H_Direct=1,IF(ALG52&lt;=0,0,IF(CG53&lt;=0,MIN(MAX(0,AB53-SUM(PR53:QF53)),ALG52),MIN(MAX(0,AB53-SUM(PR53:QF53)),ALG52-G53*MAX(0,CG53*ALG52-(XF53+AAS53))))),MIN(FT53,MAX(0,AB53-SUM(PR53:QF53))))</f>
        <v>0</v>
      </c>
      <c r="QH53" s="20" t="n">
        <f aca="false">IF(H_Direct=1,IF(ALH52&lt;=0,0,IF(CH53&lt;=0,MIN(MAX(0,AB53-SUM(PR53:QG53)),ALH52),MIN(MAX(0,AB53-SUM(PR53:QG53)),ALH52-G53*MAX(0,CH53*ALH52-(XG53+AAT53))))),MIN(FU53,MAX(0,AB53-SUM(PR53:QG53))))</f>
        <v>0</v>
      </c>
      <c r="QI53" s="20" t="n">
        <f aca="false">IF(H_Direct=1,IF(ALI52&lt;=0,0,IF(CI53&lt;=0,MIN(MAX(0,AB53-SUM(PR53:QH53)),ALI52),MIN(MAX(0,AB53-SUM(PR53:QH53)),ALI52-G53*MAX(0,CI53*ALI52-(XH53+AAU53))))),MIN(FV53,MAX(0,AB53-SUM(PR53:QH53))))</f>
        <v>0</v>
      </c>
      <c r="QJ53" s="20" t="n">
        <f aca="false">IF(H_Direct=1,IF(ALJ52&lt;=0,0,IF(CJ53&lt;=0,MIN(MAX(0,AB53-SUM(PR53:QI53)),ALJ52),MIN(MAX(0,AB53-SUM(PR53:QI53)),ALJ52-G53*MAX(0,CJ53*ALJ52-(XI53+AAV53))))),MIN(FW53,MAX(0,AB53-SUM(PR53:QI53))))</f>
        <v>0</v>
      </c>
      <c r="QK53" s="20" t="n">
        <f aca="false">IF(H_Direct=1,IF(ALK52&lt;=0,0,IF(CK53&lt;=0,MIN(MAX(0,AB53-SUM(PR53:QJ53)),ALK52),MIN(MAX(0,AB53-SUM(PR53:QJ53)),ALK52-G53*MAX(0,CK53*ALK52-(XJ53+AAW53))))),MIN(FX53,MAX(0,AB53-SUM(PR53:QJ53))))</f>
        <v>0</v>
      </c>
      <c r="QL53" s="20" t="n">
        <f aca="false">IF(H_Direct=1,IF(ALL52&lt;=0,0,IF(CL53&lt;=0,MIN(MAX(0,AB53-SUM(PR53:QK53)),ALL52),MIN(MAX(0,AB53-SUM(PR53:QK53)),ALL52-G53*MAX(0,CL53*ALL52-(XK53+AAX53))))),MIN(FY53,MAX(0,AB53-SUM(PR53:QK53))))</f>
        <v>0</v>
      </c>
      <c r="QM53" s="20" t="n">
        <f aca="false">IF(H_Direct=1,IF(ALM52&lt;=0,0,IF(CM53&lt;=0,MIN(MAX(0,AB53-SUM(PR53:QL53)),ALM52),MIN(MAX(0,AB53-SUM(PR53:QL53)),ALM52-G53*MAX(0,CM53*ALM52-(XL53+AAY53))))),MIN(FZ53,MAX(0,AB53-SUM(PR53:QL53))))</f>
        <v>0</v>
      </c>
      <c r="QN53" s="20" t="n">
        <f aca="false">IF(H_Direct=1,IF(ALN52&lt;=0,0,IF(CN53&lt;=0,MIN(MAX(0,AB53-SUM(PR53:QM53)),ALN52),MIN(MAX(0,AB53-SUM(PR53:QM53)),ALN52-G53*MAX(0,CN53*ALN52-(XM53+AAZ53))))),MIN(GA53,MAX(0,AB53-SUM(PR53:QM53))))</f>
        <v>0</v>
      </c>
      <c r="QO53" s="20" t="n">
        <f aca="false">IF(H_Direct=1,IF(ALO52&lt;=0,0,IF(CO53&lt;=0,MIN(MAX(0,AB53-SUM(PR53:QN53)),ALO52),MIN(MAX(0,AB53-SUM(PR53:QN53)),ALO52-G53*MAX(0,CO53*ALO52-(XN53+ABA53))))),MIN(GB53,MAX(0,AB53-SUM(PR53:QN53))))</f>
        <v>0</v>
      </c>
      <c r="QP53" s="20" t="n">
        <f aca="false">IF(H_Direct=1,IF(ALP52&lt;=0,0,IF(CP53&lt;=0,MIN(MAX(0,AB53-SUM(PR53:QO53)),ALP52),MIN(MAX(0,AB53-SUM(PR53:QO53)),ALP52-G53*MAX(0,CP53*ALP52-(XO53+ABB53))))),MIN(GC53,MAX(0,AB53-SUM(PR53:QO53))))</f>
        <v>0</v>
      </c>
      <c r="QQ53" s="20" t="n">
        <f aca="false">IF(H_Direct=1,IF(ALQ52&lt;=0,0,IF(CQ53&lt;=0,MIN(MAX(0,AB53-SUM(PR53:QP53)),ALQ52),MIN(MAX(0,AB53-SUM(PR53:QP53)),ALQ52-G53*MAX(0,CQ53*ALQ52-(XP53+ABC53))))),MIN(GD53,MAX(0,AB53-SUM(PR53:QP53))))</f>
        <v>0</v>
      </c>
      <c r="QR53" s="20" t="n">
        <f aca="false">IF(H_Direct=1,IF(ALR52&lt;=0,0,IF(CR53&lt;=0,MIN(MAX(0,AB53-SUM(PR53:QQ53)),ALR52),MIN(MAX(0,AB53-SUM(PR53:QQ53)),ALR52-G53*MAX(0,CR53*ALR52-(XQ53+ABD53))))),MIN(GE53,MAX(0,AB53-SUM(PR53:QQ53))))</f>
        <v>0</v>
      </c>
      <c r="QS53" s="20" t="n">
        <f aca="false">IF(H_Direct=1,IF(ALS52&lt;=0,0,IF(CS53&lt;=0,MIN(MAX(0,AB53-SUM(PR53:QR53)),ALS52),MIN(MAX(0,AB53-SUM(PR53:QR53)),ALS52-G53*MAX(0,CS53*ALS52-(XR53+ABE53))))),MIN(GF53,MAX(0,AB53-SUM(PR53:QR53))))</f>
        <v>0</v>
      </c>
      <c r="QT53" s="20" t="n">
        <f aca="false">IF(H_Direct=1,IF(ALT52&lt;=0,0,IF(CT53&lt;=0,MIN(MAX(0,AB53-SUM(PR53:QS53)),ALT52),MIN(MAX(0,AB53-SUM(PR53:QS53)),ALT52-G53*MAX(0,CT53*ALT52-(XS53+ABF53))))),MIN(GG53,MAX(0,AB53-SUM(PR53:QS53))))</f>
        <v>0</v>
      </c>
      <c r="QU53" s="20" t="n">
        <f aca="false">IF(H_Direct=1,IF(ALU52&lt;=0,0,IF(CU53&lt;=0,MIN(MAX(0,AB53-SUM(PR53:QT53)),ALU52),MIN(MAX(0,AB53-SUM(PR53:QT53)),ALU52-G53*MAX(0,CU53*ALU52-(XT53+ABG53))))),MIN(GH53,MAX(0,AB53-SUM(PR53:QT53))))</f>
        <v>0</v>
      </c>
      <c r="QV53" s="20" t="n">
        <f aca="false">IF(H_Direct=1,IF(ALV52&lt;=0,0,IF(CV53&lt;=0,MIN(MAX(0,AB53-SUM(PR53:QU53)),ALV52),MIN(MAX(0,AB53-SUM(PR53:QU53)),ALV52-G53*MAX(0,CV53*ALV52-(XU53+ABH53))))),MIN(GI53,MAX(0,AB53-SUM(PR53:QU53))))</f>
        <v>0</v>
      </c>
      <c r="QW53" s="20" t="n">
        <f aca="false">IF(H_Direct=1,IF(ALW52&lt;=0,0,IF(CW53&lt;=0,MIN(MAX(0,AB53-SUM(PR53:QV53)),ALW52),MIN(MAX(0,AB53-SUM(PR53:QV53)),ALW52-G53*MAX(0,CW53*ALW52-(XV53+ABI53))))),MIN(GJ53,MAX(0,AB53-SUM(PR53:QV53))))</f>
        <v>0</v>
      </c>
      <c r="QX53" s="20" t="n">
        <f aca="false">IF(H_Direct=1,IF(ALX52&lt;=0,0,IF(CX53&lt;=0,MIN(MAX(0,AB53-SUM(PR53:QW53)),ALX52),MIN(MAX(0,AB53-SUM(PR53:QW53)),ALX52-G53*MAX(0,CX53*ALX52-(XW53+ABJ53))))),MIN(GK53,MAX(0,AB53-SUM(PR53:QW53))))</f>
        <v>0</v>
      </c>
      <c r="QY53" s="20" t="n">
        <f aca="false">IF(H_Direct=1,IF(ALY52&lt;=0,0,IF(CY53&lt;=0,MIN(MAX(0,AB53-SUM(PR53:QX53)),ALY52),MIN(MAX(0,AB53-SUM(PR53:QX53)),ALY52-G53*MAX(0,CY53*ALY52-(XX53+ABK53))))),MIN(GL53,MAX(0,AB53-SUM(PR53:QX53))))</f>
        <v>0</v>
      </c>
      <c r="QZ53" s="20" t="n">
        <f aca="false">IF(H_Direct=1,IF(ALZ52&lt;=0,0,IF(CZ53&lt;=0,MIN(MAX(0,AB53-SUM(PR53:QY53)),ALZ52),MIN(MAX(0,AB53-SUM(PR53:QY53)),ALZ52-G53*MAX(0,CZ53*ALZ52-(XY53+ABL53))))),MIN(GM53,MAX(0,AB53-SUM(PR53:QY53))))</f>
        <v>0</v>
      </c>
      <c r="RA53" s="20" t="n">
        <f aca="false">IF(H_Direct=1,IF(AMA52&lt;=0,0,IF(DA53&lt;=0,MIN(MAX(0,AB53-SUM(PR53:QZ53)),AMA52),MIN(MAX(0,AB53-SUM(PR53:QZ53)),AMA52-G53*MAX(0,DA53*AMA52-(XZ53+ABM53))))),MIN(GN53,MAX(0,AB53-SUM(PR53:QZ53))))</f>
        <v>0</v>
      </c>
      <c r="RB53" s="20" t="n">
        <f aca="false">IF(H_Direct=1,IF(AMB52&lt;=0,0,IF(DB53&lt;=0,MIN(MAX(0,AB53-SUM(PR53:RA53)),AMB52),MIN(MAX(0,AB53-SUM(PR53:RA53)),AMB52-G53*MAX(0,DB53*AMB52-(YA53+ABN53))))),MIN(GO53,MAX(0,AB53-SUM(PR53:RA53))))</f>
        <v>0</v>
      </c>
      <c r="RC53" s="20" t="n">
        <f aca="false">IF(H_Direct=1,IF(AMC52&lt;=0,0,IF(DC53&lt;=0,MIN(MAX(0,AB53-SUM(PR53:RB53)),AMC52),MIN(MAX(0,AB53-SUM(PR53:RB53)),AMC52-G53*MAX(0,DC53*AMC52-(YB53+ABO53))))),MIN(GP53,MAX(0,AB53-SUM(PR53:RB53))))</f>
        <v>0</v>
      </c>
      <c r="RD53" s="20" t="n">
        <f aca="false">IF(H_Direct=1,IF(AMD52&lt;=0,0,IF(DD53&lt;=0,MIN(MAX(0,AB53-SUM(PR53:RC53)),AMD52),MIN(MAX(0,AB53-SUM(PR53:RC53)),AMD52-G53*MAX(0,DD53*AMD52-(YC53+ABP53))))),MIN(GQ53,MAX(0,AB53-SUM(PR53:RC53))))</f>
        <v>0</v>
      </c>
      <c r="RE53" s="20" t="n">
        <f aca="false">IF(H_Direct=1,IF(AME52&lt;=0,0,IF(DE53&lt;=0,MIN(MAX(0,AB53-SUM(PR53:RD53)),AME52),MIN(MAX(0,AB53-SUM(PR53:RD53)),AME52-G53*MAX(0,DE53*AME52-(YD53+ABQ53))))),MIN(GR53,MAX(0,AB53-SUM(PR53:RD53))))</f>
        <v>0</v>
      </c>
      <c r="RF53" s="20" t="n">
        <f aca="false">IF(H_Direct=1,IF(AMF52&lt;=0,0,IF(DF53&lt;=0,MIN(MAX(0,AB53-SUM(PR53:RE53)),AMF52),MIN(MAX(0,AB53-SUM(PR53:RE53)),AMF52-G53*MAX(0,DF53*AMF52-(YE53+ABR53))))),MIN(GS53,MAX(0,AB53-SUM(PR53:RE53))))</f>
        <v>0</v>
      </c>
      <c r="RG53" s="20" t="n">
        <f aca="false">IF(H_Direct=1,IF(AMG52&lt;=0,0,IF(DG53&lt;=0,MIN(MAX(0,AB53-SUM(PR53:RF53)),AMG52),MIN(MAX(0,AB53-SUM(PR53:RF53)),AMG52-G53*MAX(0,DG53*AMG52-(YF53+ABS53))))),MIN(GT53,MAX(0,AB53-SUM(PR53:RF53))))</f>
        <v>0</v>
      </c>
      <c r="RH53" s="20" t="n">
        <f aca="false">IF(H_Direct=1,IF(AMH52&lt;=0,0,IF(DH53&lt;=0,MIN(MAX(0,AB53-SUM(PR53:RG53)),AMH52),MIN(MAX(0,AB53-SUM(PR53:RG53)),AMH52-G53*MAX(0,DH53*AMH52-(YG53+ABT53))))),MIN(GU53,MAX(0,AB53-SUM(PR53:RG53))))</f>
        <v>0</v>
      </c>
      <c r="RI53" s="20" t="n">
        <f aca="false">IF(H_Direct=1,IF(AMI52&lt;=0,0,IF(DI53&lt;=0,MIN(MAX(0,AB53-SUM(PR53:RH53)),AMI52),MIN(MAX(0,AB53-SUM(PR53:RH53)),AMI52-G53*MAX(0,DI53*AMI52-(YH53+ABU53))))),MIN(GV53,MAX(0,AB53-SUM(PR53:RH53))))</f>
        <v>0</v>
      </c>
      <c r="RJ53" s="20" t="n">
        <f aca="false">IF(H_Direct=1,IF(AMJ52&lt;=0,0,IF(DJ53&lt;=0,MIN(MAX(0,AB53-SUM(PR53:RI53)),AMJ52),MIN(MAX(0,AB53-SUM(PR53:RI53)),AMJ52-G53*MAX(0,DJ53*AMJ52-(YI53+ABV53))))),MIN(GW53,MAX(0,AB53-SUM(PR53:RI53))))</f>
        <v>0</v>
      </c>
      <c r="RK53" s="20" t="n">
        <f aca="false">IF(H_Direct=1,IF(AMK52&lt;=0,0,IF(DK53&lt;=0,MIN(MAX(0,AB53-SUM(PR53:RJ53)),AMK52),MIN(MAX(0,AB53-SUM(PR53:RJ53)),AMK52-G53*MAX(0,DK53*AMK52-(YJ53+ABW53))))),MIN(GX53,MAX(0,AB53-SUM(PR53:RJ53))))</f>
        <v>0</v>
      </c>
      <c r="RL53" s="20" t="n">
        <f aca="false">IF(H_Direct=1,IF((P53+S53)&lt;=0,0,IF(DL53&lt;=0,MIN(MAX(0,AB53-SUM(PR53:RK53)),(P53+S53)),MIN(MAX(0,AB53-SUM(PR53:RK53)),(P53+S53)-G53*MAX(0,DL53*(P53+S53)-(YK53+ABX53))))),MIN(GY53,MAX(0,AB53-SUM(PR53:RK53))))</f>
        <v>0</v>
      </c>
      <c r="RM53" s="20" t="n">
        <v>0</v>
      </c>
      <c r="RN53" s="20" t="n">
        <v>0</v>
      </c>
      <c r="RO53" s="20" t="n">
        <v>0</v>
      </c>
      <c r="RP53" s="20" t="n">
        <v>0</v>
      </c>
      <c r="RQ53" s="20" t="n">
        <v>0</v>
      </c>
      <c r="RR53" s="20" t="n">
        <v>0</v>
      </c>
      <c r="RS53" s="20" t="n">
        <v>0</v>
      </c>
      <c r="RT53" s="20" t="n">
        <v>0</v>
      </c>
      <c r="RU53" s="20" t="n">
        <v>0</v>
      </c>
      <c r="RV53" s="20" t="n">
        <v>0</v>
      </c>
      <c r="RW53" s="20" t="n">
        <v>0</v>
      </c>
      <c r="RX53" s="20" t="n">
        <v>0</v>
      </c>
      <c r="RY53" s="20" t="n">
        <v>0</v>
      </c>
      <c r="RZ53" s="20" t="n">
        <v>0</v>
      </c>
      <c r="SA53" s="20" t="n">
        <v>0</v>
      </c>
      <c r="SB53" s="20" t="n">
        <v>0</v>
      </c>
      <c r="SC53" s="20" t="n">
        <v>0</v>
      </c>
      <c r="SD53" s="20" t="n">
        <v>0</v>
      </c>
      <c r="SE53" s="20" t="n">
        <v>0</v>
      </c>
      <c r="SF53" s="20" t="n">
        <v>0</v>
      </c>
      <c r="SG53" s="20" t="n">
        <v>0</v>
      </c>
      <c r="SH53" s="20" t="n">
        <v>0</v>
      </c>
      <c r="SI53" s="20" t="n">
        <v>0</v>
      </c>
      <c r="SJ53" s="20" t="n">
        <v>0</v>
      </c>
      <c r="SK53" s="20" t="n">
        <v>0</v>
      </c>
      <c r="SL53" s="20" t="n">
        <v>0</v>
      </c>
      <c r="SM53" s="20" t="n">
        <v>0</v>
      </c>
      <c r="SN53" s="20" t="n">
        <v>0</v>
      </c>
      <c r="SO53" s="20" t="n">
        <v>0</v>
      </c>
      <c r="SP53" s="20" t="n">
        <v>0</v>
      </c>
      <c r="SQ53" s="20" t="n">
        <v>0</v>
      </c>
      <c r="SR53" s="20" t="n">
        <v>0</v>
      </c>
      <c r="SS53" s="20" t="n">
        <v>0</v>
      </c>
      <c r="ST53" s="20" t="n">
        <v>0</v>
      </c>
      <c r="SU53" s="20" t="n">
        <v>0</v>
      </c>
      <c r="SV53" s="20" t="n">
        <v>0</v>
      </c>
      <c r="SW53" s="20" t="n">
        <v>0</v>
      </c>
      <c r="SX53" s="20" t="n">
        <v>0</v>
      </c>
      <c r="SY53" s="20" t="n">
        <v>0</v>
      </c>
      <c r="SZ53" s="20" t="n">
        <v>0</v>
      </c>
      <c r="TA53" s="20" t="n">
        <v>0</v>
      </c>
      <c r="TB53" s="20" t="n">
        <v>0</v>
      </c>
      <c r="TC53" s="20" t="n">
        <v>0</v>
      </c>
      <c r="TD53" s="20" t="n">
        <v>0</v>
      </c>
      <c r="TE53" s="20" t="n">
        <f aca="false">IF(AKR52&lt;=0,0,IF(H_Direct=1,IF(BR53&lt;=0,PR53,IF(PR53&lt;=(H53+I53)/BR53,PR53,(PR53-G53*(H53+I53))/(1-G53*BR53))),PR53/(1-MAX(0,BR53)*H_Exit)))</f>
        <v>0</v>
      </c>
      <c r="TF53" s="20" t="n">
        <f aca="false">IF(AKS52&lt;=0,0,IF(H_Direct=1,IF(BS53&lt;=0,PS53,IF(PS53&lt;=(WR53+AAE53)/BS53,PS53,(PS53-G53*(WR53+AAE53))/(1-G53*BS53))),PS53/(1-MAX(0,BS53)*H_Exit)))</f>
        <v>0</v>
      </c>
      <c r="TG53" s="20" t="n">
        <f aca="false">IF(AKT52&lt;=0,0,IF(H_Direct=1,IF(BT53&lt;=0,PT53,IF(PT53&lt;=(WS53+AAF53)/BT53,PT53,(PT53-G53*(WS53+AAF53))/(1-G53*BT53))),PT53/(1-MAX(0,BT53)*H_Exit)))</f>
        <v>0</v>
      </c>
      <c r="TH53" s="20" t="n">
        <f aca="false">IF(AKU52&lt;=0,0,IF(H_Direct=1,IF(BU53&lt;=0,PU53,IF(PU53&lt;=(WT53+AAG53)/BU53,PU53,(PU53-G53*(WT53+AAG53))/(1-G53*BU53))),PU53/(1-MAX(0,BU53)*H_Exit)))</f>
        <v>0</v>
      </c>
      <c r="TI53" s="20" t="n">
        <f aca="false">IF(AKV52&lt;=0,0,IF(H_Direct=1,IF(BV53&lt;=0,PV53,IF(PV53&lt;=(WU53+AAH53)/BV53,PV53,(PV53-G53*(WU53+AAH53))/(1-G53*BV53))),PV53/(1-MAX(0,BV53)*H_Exit)))</f>
        <v>0</v>
      </c>
      <c r="TJ53" s="20" t="n">
        <f aca="false">IF(AKW52&lt;=0,0,IF(H_Direct=1,IF(BW53&lt;=0,PW53,IF(PW53&lt;=(WV53+AAI53)/BW53,PW53,(PW53-G53*(WV53+AAI53))/(1-G53*BW53))),PW53/(1-MAX(0,BW53)*H_Exit)))</f>
        <v>0</v>
      </c>
      <c r="TK53" s="20" t="n">
        <f aca="false">IF(AKX52&lt;=0,0,IF(H_Direct=1,IF(BX53&lt;=0,PX53,IF(PX53&lt;=(WW53+AAJ53)/BX53,PX53,(PX53-G53*(WW53+AAJ53))/(1-G53*BX53))),PX53/(1-MAX(0,BX53)*H_Exit)))</f>
        <v>0</v>
      </c>
      <c r="TL53" s="20" t="n">
        <f aca="false">IF(AKY52&lt;=0,0,IF(H_Direct=1,IF(BY53&lt;=0,PY53,IF(PY53&lt;=(WX53+AAK53)/BY53,PY53,(PY53-G53*(WX53+AAK53))/(1-G53*BY53))),PY53/(1-MAX(0,BY53)*H_Exit)))</f>
        <v>0</v>
      </c>
      <c r="TM53" s="20" t="n">
        <f aca="false">IF(AKZ52&lt;=0,0,IF(H_Direct=1,IF(BZ53&lt;=0,PZ53,IF(PZ53&lt;=(WY53+AAL53)/BZ53,PZ53,(PZ53-G53*(WY53+AAL53))/(1-G53*BZ53))),PZ53/(1-MAX(0,BZ53)*H_Exit)))</f>
        <v>0</v>
      </c>
      <c r="TN53" s="20" t="n">
        <f aca="false">IF(ALA52&lt;=0,0,IF(H_Direct=1,IF(CA53&lt;=0,QA53,IF(QA53&lt;=(WZ53+AAM53)/CA53,QA53,(QA53-G53*(WZ53+AAM53))/(1-G53*CA53))),QA53/(1-MAX(0,CA53)*H_Exit)))</f>
        <v>0</v>
      </c>
      <c r="TO53" s="20" t="n">
        <f aca="false">IF(ALB52&lt;=0,0,IF(H_Direct=1,IF(CB53&lt;=0,QB53,IF(QB53&lt;=(XA53+AAN53)/CB53,QB53,(QB53-G53*(XA53+AAN53))/(1-G53*CB53))),QB53/(1-MAX(0,CB53)*H_Exit)))</f>
        <v>0</v>
      </c>
      <c r="TP53" s="20" t="n">
        <f aca="false">IF(ALC52&lt;=0,0,IF(H_Direct=1,IF(CC53&lt;=0,QC53,IF(QC53&lt;=(XB53+AAO53)/CC53,QC53,(QC53-G53*(XB53+AAO53))/(1-G53*CC53))),QC53/(1-MAX(0,CC53)*H_Exit)))</f>
        <v>0</v>
      </c>
      <c r="TQ53" s="20" t="n">
        <f aca="false">IF(ALD52&lt;=0,0,IF(H_Direct=1,IF(CD53&lt;=0,QD53,IF(QD53&lt;=(XC53+AAP53)/CD53,QD53,(QD53-G53*(XC53+AAP53))/(1-G53*CD53))),QD53/(1-MAX(0,CD53)*H_Exit)))</f>
        <v>0</v>
      </c>
      <c r="TR53" s="20" t="n">
        <f aca="false">IF(ALE52&lt;=0,0,IF(H_Direct=1,IF(CE53&lt;=0,QE53,IF(QE53&lt;=(XD53+AAQ53)/CE53,QE53,(QE53-G53*(XD53+AAQ53))/(1-G53*CE53))),QE53/(1-MAX(0,CE53)*H_Exit)))</f>
        <v>0</v>
      </c>
      <c r="TS53" s="20" t="n">
        <f aca="false">IF(ALF52&lt;=0,0,IF(H_Direct=1,IF(CF53&lt;=0,QF53,IF(QF53&lt;=(XE53+AAR53)/CF53,QF53,(QF53-G53*(XE53+AAR53))/(1-G53*CF53))),QF53/(1-MAX(0,CF53)*H_Exit)))</f>
        <v>0</v>
      </c>
      <c r="TT53" s="20" t="n">
        <f aca="false">IF(ALG52&lt;=0,0,IF(H_Direct=1,IF(CG53&lt;=0,QG53,IF(QG53&lt;=(XF53+AAS53)/CG53,QG53,(QG53-G53*(XF53+AAS53))/(1-G53*CG53))),QG53/(1-MAX(0,CG53)*H_Exit)))</f>
        <v>0</v>
      </c>
      <c r="TU53" s="20" t="n">
        <f aca="false">IF(ALH52&lt;=0,0,IF(H_Direct=1,IF(CH53&lt;=0,QH53,IF(QH53&lt;=(XG53+AAT53)/CH53,QH53,(QH53-G53*(XG53+AAT53))/(1-G53*CH53))),QH53/(1-MAX(0,CH53)*H_Exit)))</f>
        <v>0</v>
      </c>
      <c r="TV53" s="20" t="n">
        <f aca="false">IF(ALI52&lt;=0,0,IF(H_Direct=1,IF(CI53&lt;=0,QI53,IF(QI53&lt;=(XH53+AAU53)/CI53,QI53,(QI53-G53*(XH53+AAU53))/(1-G53*CI53))),QI53/(1-MAX(0,CI53)*H_Exit)))</f>
        <v>0</v>
      </c>
      <c r="TW53" s="20" t="n">
        <f aca="false">IF(ALJ52&lt;=0,0,IF(H_Direct=1,IF(CJ53&lt;=0,QJ53,IF(QJ53&lt;=(XI53+AAV53)/CJ53,QJ53,(QJ53-G53*(XI53+AAV53))/(1-G53*CJ53))),QJ53/(1-MAX(0,CJ53)*H_Exit)))</f>
        <v>0</v>
      </c>
      <c r="TX53" s="20" t="n">
        <f aca="false">IF(ALK52&lt;=0,0,IF(H_Direct=1,IF(CK53&lt;=0,QK53,IF(QK53&lt;=(XJ53+AAW53)/CK53,QK53,(QK53-G53*(XJ53+AAW53))/(1-G53*CK53))),QK53/(1-MAX(0,CK53)*H_Exit)))</f>
        <v>0</v>
      </c>
      <c r="TY53" s="20" t="n">
        <f aca="false">IF(ALL52&lt;=0,0,IF(H_Direct=1,IF(CL53&lt;=0,QL53,IF(QL53&lt;=(XK53+AAX53)/CL53,QL53,(QL53-G53*(XK53+AAX53))/(1-G53*CL53))),QL53/(1-MAX(0,CL53)*H_Exit)))</f>
        <v>0</v>
      </c>
      <c r="TZ53" s="20" t="n">
        <f aca="false">IF(ALM52&lt;=0,0,IF(H_Direct=1,IF(CM53&lt;=0,QM53,IF(QM53&lt;=(XL53+AAY53)/CM53,QM53,(QM53-G53*(XL53+AAY53))/(1-G53*CM53))),QM53/(1-MAX(0,CM53)*H_Exit)))</f>
        <v>0</v>
      </c>
      <c r="UA53" s="20" t="n">
        <f aca="false">IF(ALN52&lt;=0,0,IF(H_Direct=1,IF(CN53&lt;=0,QN53,IF(QN53&lt;=(XM53+AAZ53)/CN53,QN53,(QN53-G53*(XM53+AAZ53))/(1-G53*CN53))),QN53/(1-MAX(0,CN53)*H_Exit)))</f>
        <v>0</v>
      </c>
      <c r="UB53" s="20" t="n">
        <f aca="false">IF(ALO52&lt;=0,0,IF(H_Direct=1,IF(CO53&lt;=0,QO53,IF(QO53&lt;=(XN53+ABA53)/CO53,QO53,(QO53-G53*(XN53+ABA53))/(1-G53*CO53))),QO53/(1-MAX(0,CO53)*H_Exit)))</f>
        <v>0</v>
      </c>
      <c r="UC53" s="20" t="n">
        <f aca="false">IF(ALP52&lt;=0,0,IF(H_Direct=1,IF(CP53&lt;=0,QP53,IF(QP53&lt;=(XO53+ABB53)/CP53,QP53,(QP53-G53*(XO53+ABB53))/(1-G53*CP53))),QP53/(1-MAX(0,CP53)*H_Exit)))</f>
        <v>0</v>
      </c>
      <c r="UD53" s="20" t="n">
        <f aca="false">IF(ALQ52&lt;=0,0,IF(H_Direct=1,IF(CQ53&lt;=0,QQ53,IF(QQ53&lt;=(XP53+ABC53)/CQ53,QQ53,(QQ53-G53*(XP53+ABC53))/(1-G53*CQ53))),QQ53/(1-MAX(0,CQ53)*H_Exit)))</f>
        <v>0</v>
      </c>
      <c r="UE53" s="20" t="n">
        <f aca="false">IF(ALR52&lt;=0,0,IF(H_Direct=1,IF(CR53&lt;=0,QR53,IF(QR53&lt;=(XQ53+ABD53)/CR53,QR53,(QR53-G53*(XQ53+ABD53))/(1-G53*CR53))),QR53/(1-MAX(0,CR53)*H_Exit)))</f>
        <v>0</v>
      </c>
      <c r="UF53" s="20" t="n">
        <f aca="false">IF(ALS52&lt;=0,0,IF(H_Direct=1,IF(CS53&lt;=0,QS53,IF(QS53&lt;=(XR53+ABE53)/CS53,QS53,(QS53-G53*(XR53+ABE53))/(1-G53*CS53))),QS53/(1-MAX(0,CS53)*H_Exit)))</f>
        <v>0</v>
      </c>
      <c r="UG53" s="20" t="n">
        <f aca="false">IF(ALT52&lt;=0,0,IF(H_Direct=1,IF(CT53&lt;=0,QT53,IF(QT53&lt;=(XS53+ABF53)/CT53,QT53,(QT53-G53*(XS53+ABF53))/(1-G53*CT53))),QT53/(1-MAX(0,CT53)*H_Exit)))</f>
        <v>0</v>
      </c>
      <c r="UH53" s="20" t="n">
        <f aca="false">IF(ALU52&lt;=0,0,IF(H_Direct=1,IF(CU53&lt;=0,QU53,IF(QU53&lt;=(XT53+ABG53)/CU53,QU53,(QU53-G53*(XT53+ABG53))/(1-G53*CU53))),QU53/(1-MAX(0,CU53)*H_Exit)))</f>
        <v>0</v>
      </c>
      <c r="UI53" s="20" t="n">
        <f aca="false">IF(ALV52&lt;=0,0,IF(H_Direct=1,IF(CV53&lt;=0,QV53,IF(QV53&lt;=(XU53+ABH53)/CV53,QV53,(QV53-G53*(XU53+ABH53))/(1-G53*CV53))),QV53/(1-MAX(0,CV53)*H_Exit)))</f>
        <v>0</v>
      </c>
      <c r="UJ53" s="20" t="n">
        <f aca="false">IF(ALW52&lt;=0,0,IF(H_Direct=1,IF(CW53&lt;=0,QW53,IF(QW53&lt;=(XV53+ABI53)/CW53,QW53,(QW53-G53*(XV53+ABI53))/(1-G53*CW53))),QW53/(1-MAX(0,CW53)*H_Exit)))</f>
        <v>0</v>
      </c>
      <c r="UK53" s="20" t="n">
        <f aca="false">IF(ALX52&lt;=0,0,IF(H_Direct=1,IF(CX53&lt;=0,QX53,IF(QX53&lt;=(XW53+ABJ53)/CX53,QX53,(QX53-G53*(XW53+ABJ53))/(1-G53*CX53))),QX53/(1-MAX(0,CX53)*H_Exit)))</f>
        <v>0</v>
      </c>
      <c r="UL53" s="20" t="n">
        <f aca="false">IF(ALY52&lt;=0,0,IF(H_Direct=1,IF(CY53&lt;=0,QY53,IF(QY53&lt;=(XX53+ABK53)/CY53,QY53,(QY53-G53*(XX53+ABK53))/(1-G53*CY53))),QY53/(1-MAX(0,CY53)*H_Exit)))</f>
        <v>0</v>
      </c>
      <c r="UM53" s="20" t="n">
        <f aca="false">IF(ALZ52&lt;=0,0,IF(H_Direct=1,IF(CZ53&lt;=0,QZ53,IF(QZ53&lt;=(XY53+ABL53)/CZ53,QZ53,(QZ53-G53*(XY53+ABL53))/(1-G53*CZ53))),QZ53/(1-MAX(0,CZ53)*H_Exit)))</f>
        <v>0</v>
      </c>
      <c r="UN53" s="20" t="n">
        <f aca="false">IF(AMA52&lt;=0,0,IF(H_Direct=1,IF(DA53&lt;=0,RA53,IF(RA53&lt;=(XZ53+ABM53)/DA53,RA53,(RA53-G53*(XZ53+ABM53))/(1-G53*DA53))),RA53/(1-MAX(0,DA53)*H_Exit)))</f>
        <v>0</v>
      </c>
      <c r="UO53" s="20" t="n">
        <f aca="false">IF(AMB52&lt;=0,0,IF(H_Direct=1,IF(DB53&lt;=0,RB53,IF(RB53&lt;=(YA53+ABN53)/DB53,RB53,(RB53-G53*(YA53+ABN53))/(1-G53*DB53))),RB53/(1-MAX(0,DB53)*H_Exit)))</f>
        <v>0</v>
      </c>
      <c r="UP53" s="20" t="n">
        <f aca="false">IF(AMC52&lt;=0,0,IF(H_Direct=1,IF(DC53&lt;=0,RC53,IF(RC53&lt;=(YB53+ABO53)/DC53,RC53,(RC53-G53*(YB53+ABO53))/(1-G53*DC53))),RC53/(1-MAX(0,DC53)*H_Exit)))</f>
        <v>0</v>
      </c>
      <c r="UQ53" s="20" t="n">
        <f aca="false">IF(AMD52&lt;=0,0,IF(H_Direct=1,IF(DD53&lt;=0,RD53,IF(RD53&lt;=(YC53+ABP53)/DD53,RD53,(RD53-G53*(YC53+ABP53))/(1-G53*DD53))),RD53/(1-MAX(0,DD53)*H_Exit)))</f>
        <v>0</v>
      </c>
      <c r="UR53" s="20" t="n">
        <f aca="false">IF(AME52&lt;=0,0,IF(H_Direct=1,IF(DE53&lt;=0,RE53,IF(RE53&lt;=(YD53+ABQ53)/DE53,RE53,(RE53-G53*(YD53+ABQ53))/(1-G53*DE53))),RE53/(1-MAX(0,DE53)*H_Exit)))</f>
        <v>0</v>
      </c>
      <c r="US53" s="20" t="n">
        <f aca="false">IF(AMF52&lt;=0,0,IF(H_Direct=1,IF(DF53&lt;=0,RF53,IF(RF53&lt;=(YE53+ABR53)/DF53,RF53,(RF53-G53*(YE53+ABR53))/(1-G53*DF53))),RF53/(1-MAX(0,DF53)*H_Exit)))</f>
        <v>0</v>
      </c>
      <c r="UT53" s="20" t="n">
        <f aca="false">IF(AMG52&lt;=0,0,IF(H_Direct=1,IF(DG53&lt;=0,RG53,IF(RG53&lt;=(YF53+ABS53)/DG53,RG53,(RG53-G53*(YF53+ABS53))/(1-G53*DG53))),RG53/(1-MAX(0,DG53)*H_Exit)))</f>
        <v>0</v>
      </c>
      <c r="UU53" s="20" t="n">
        <f aca="false">IF(AMH52&lt;=0,0,IF(H_Direct=1,IF(DH53&lt;=0,RH53,IF(RH53&lt;=(YG53+ABT53)/DH53,RH53,(RH53-G53*(YG53+ABT53))/(1-G53*DH53))),RH53/(1-MAX(0,DH53)*H_Exit)))</f>
        <v>0</v>
      </c>
      <c r="UV53" s="20" t="n">
        <f aca="false">IF(AMI52&lt;=0,0,IF(H_Direct=1,IF(DI53&lt;=0,RI53,IF(RI53&lt;=(YH53+ABU53)/DI53,RI53,(RI53-G53*(YH53+ABU53))/(1-G53*DI53))),RI53/(1-MAX(0,DI53)*H_Exit)))</f>
        <v>0</v>
      </c>
      <c r="UW53" s="20" t="n">
        <f aca="false">IF(AMJ52&lt;=0,0,IF(H_Direct=1,IF(DJ53&lt;=0,RJ53,IF(RJ53&lt;=(YI53+ABV53)/DJ53,RJ53,(RJ53-G53*(YI53+ABV53))/(1-G53*DJ53))),RJ53/(1-MAX(0,DJ53)*H_Exit)))</f>
        <v>0</v>
      </c>
      <c r="UX53" s="20" t="n">
        <f aca="false">IF(AMK52&lt;=0,0,IF(H_Direct=1,IF(DK53&lt;=0,RK53,IF(RK53&lt;=(YJ53+ABW53)/DK53,RK53,(RK53-G53*(YJ53+ABW53))/(1-G53*DK53))),RK53/(1-MAX(0,DK53)*H_Exit)))</f>
        <v>0</v>
      </c>
      <c r="UY53" s="20" t="n">
        <f aca="false">IF((P53+S53)&lt;=0,0,IF(H_Direct=1,IF(DL53&lt;=0,RL53,IF(RL53&lt;=(YK53+ABX53)/DL53,RL53,(RL53-G53*(YK53+ABX53))/(1-G53*DL53))),RL53/(1-MAX(0,DL53)*H_Exit)))</f>
        <v>0</v>
      </c>
      <c r="UZ53" s="20" t="n">
        <v>0</v>
      </c>
      <c r="VA53" s="20" t="n">
        <v>0</v>
      </c>
      <c r="VB53" s="20" t="n">
        <v>0</v>
      </c>
      <c r="VC53" s="20" t="n">
        <v>0</v>
      </c>
      <c r="VD53" s="20" t="n">
        <v>0</v>
      </c>
      <c r="VE53" s="20" t="n">
        <v>0</v>
      </c>
      <c r="VF53" s="20" t="n">
        <v>0</v>
      </c>
      <c r="VG53" s="20" t="n">
        <v>0</v>
      </c>
      <c r="VH53" s="20" t="n">
        <v>0</v>
      </c>
      <c r="VI53" s="20" t="n">
        <v>0</v>
      </c>
      <c r="VJ53" s="20" t="n">
        <v>0</v>
      </c>
      <c r="VK53" s="20" t="n">
        <v>0</v>
      </c>
      <c r="VL53" s="20" t="n">
        <v>0</v>
      </c>
      <c r="VM53" s="20" t="n">
        <v>0</v>
      </c>
      <c r="VN53" s="20" t="n">
        <v>0</v>
      </c>
      <c r="VO53" s="20" t="n">
        <v>0</v>
      </c>
      <c r="VP53" s="20" t="n">
        <v>0</v>
      </c>
      <c r="VQ53" s="20" t="n">
        <v>0</v>
      </c>
      <c r="VR53" s="20" t="n">
        <v>0</v>
      </c>
      <c r="VS53" s="20" t="n">
        <v>0</v>
      </c>
      <c r="VT53" s="20" t="n">
        <v>0</v>
      </c>
      <c r="VU53" s="20" t="n">
        <v>0</v>
      </c>
      <c r="VV53" s="20" t="n">
        <v>0</v>
      </c>
      <c r="VW53" s="20" t="n">
        <v>0</v>
      </c>
      <c r="VX53" s="20" t="n">
        <v>0</v>
      </c>
      <c r="VY53" s="20" t="n">
        <v>0</v>
      </c>
      <c r="VZ53" s="20" t="n">
        <v>0</v>
      </c>
      <c r="WA53" s="20" t="n">
        <v>0</v>
      </c>
      <c r="WB53" s="20" t="n">
        <v>0</v>
      </c>
      <c r="WC53" s="20" t="n">
        <v>0</v>
      </c>
      <c r="WD53" s="20" t="n">
        <v>0</v>
      </c>
      <c r="WE53" s="20" t="n">
        <v>0</v>
      </c>
      <c r="WF53" s="20" t="n">
        <v>0</v>
      </c>
      <c r="WG53" s="20" t="n">
        <v>0</v>
      </c>
      <c r="WH53" s="20" t="n">
        <v>0</v>
      </c>
      <c r="WI53" s="20" t="n">
        <v>0</v>
      </c>
      <c r="WJ53" s="20" t="n">
        <v>0</v>
      </c>
      <c r="WK53" s="20" t="n">
        <v>0</v>
      </c>
      <c r="WL53" s="20" t="n">
        <v>0</v>
      </c>
      <c r="WM53" s="20" t="n">
        <v>0</v>
      </c>
      <c r="WN53" s="20" t="n">
        <v>0</v>
      </c>
      <c r="WO53" s="20" t="n">
        <v>0</v>
      </c>
      <c r="WP53" s="20" t="n">
        <v>0</v>
      </c>
      <c r="WQ53" s="20" t="n">
        <v>0</v>
      </c>
      <c r="WR53" s="20" t="n">
        <f aca="false">IF(AND(H_Direct=1,BR53&gt;0),MAX(0,H53-(MIN(BR53*TE53,(H53+I53))-MIN(MIN(BR53*TE53,(H53+I53)),I53))),H53)</f>
        <v>1270</v>
      </c>
      <c r="WS53" s="20" t="n">
        <f aca="false">IF(AND(H_Direct=1,BS53&gt;0),MAX(0,WR53-(MIN(BS53*TF53,(WR53+AAE53))-MIN(MIN(BS53*TF53,(WR53+AAE53)),AAE53))),WR53)</f>
        <v>1270</v>
      </c>
      <c r="WT53" s="20" t="n">
        <f aca="false">IF(AND(H_Direct=1,BT53&gt;0),MAX(0,WS53-(MIN(BT53*TG53,(WS53+AAF53))-MIN(MIN(BT53*TG53,(WS53+AAF53)),AAF53))),WS53)</f>
        <v>1270</v>
      </c>
      <c r="WU53" s="20" t="n">
        <f aca="false">IF(AND(H_Direct=1,BU53&gt;0),MAX(0,WT53-(MIN(BU53*TH53,(WT53+AAG53))-MIN(MIN(BU53*TH53,(WT53+AAG53)),AAG53))),WT53)</f>
        <v>1270</v>
      </c>
      <c r="WV53" s="20" t="n">
        <f aca="false">IF(AND(H_Direct=1,BV53&gt;0),MAX(0,WU53-(MIN(BV53*TI53,(WU53+AAH53))-MIN(MIN(BV53*TI53,(WU53+AAH53)),AAH53))),WU53)</f>
        <v>1270</v>
      </c>
      <c r="WW53" s="20" t="n">
        <f aca="false">IF(AND(H_Direct=1,BW53&gt;0),MAX(0,WV53-(MIN(BW53*TJ53,(WV53+AAI53))-MIN(MIN(BW53*TJ53,(WV53+AAI53)),AAI53))),WV53)</f>
        <v>1270</v>
      </c>
      <c r="WX53" s="20" t="n">
        <f aca="false">IF(AND(H_Direct=1,BX53&gt;0),MAX(0,WW53-(MIN(BX53*TK53,(WW53+AAJ53))-MIN(MIN(BX53*TK53,(WW53+AAJ53)),AAJ53))),WW53)</f>
        <v>1270</v>
      </c>
      <c r="WY53" s="20" t="n">
        <f aca="false">IF(AND(H_Direct=1,BY53&gt;0),MAX(0,WX53-(MIN(BY53*TL53,(WX53+AAK53))-MIN(MIN(BY53*TL53,(WX53+AAK53)),AAK53))),WX53)</f>
        <v>1270</v>
      </c>
      <c r="WZ53" s="20" t="n">
        <f aca="false">IF(AND(H_Direct=1,BZ53&gt;0),MAX(0,WY53-(MIN(BZ53*TM53,(WY53+AAL53))-MIN(MIN(BZ53*TM53,(WY53+AAL53)),AAL53))),WY53)</f>
        <v>1270</v>
      </c>
      <c r="XA53" s="20" t="n">
        <f aca="false">IF(AND(H_Direct=1,CA53&gt;0),MAX(0,WZ53-(MIN(CA53*TN53,(WZ53+AAM53))-MIN(MIN(CA53*TN53,(WZ53+AAM53)),AAM53))),WZ53)</f>
        <v>1270</v>
      </c>
      <c r="XB53" s="20" t="n">
        <f aca="false">IF(AND(H_Direct=1,CB53&gt;0),MAX(0,XA53-(MIN(CB53*TO53,(XA53+AAN53))-MIN(MIN(CB53*TO53,(XA53+AAN53)),AAN53))),XA53)</f>
        <v>1270</v>
      </c>
      <c r="XC53" s="20" t="n">
        <f aca="false">IF(AND(H_Direct=1,CC53&gt;0),MAX(0,XB53-(MIN(CC53*TP53,(XB53+AAO53))-MIN(MIN(CC53*TP53,(XB53+AAO53)),AAO53))),XB53)</f>
        <v>1270</v>
      </c>
      <c r="XD53" s="20" t="n">
        <f aca="false">IF(AND(H_Direct=1,CD53&gt;0),MAX(0,XC53-(MIN(CD53*TQ53,(XC53+AAP53))-MIN(MIN(CD53*TQ53,(XC53+AAP53)),AAP53))),XC53)</f>
        <v>1270</v>
      </c>
      <c r="XE53" s="20" t="n">
        <f aca="false">IF(AND(H_Direct=1,CE53&gt;0),MAX(0,XD53-(MIN(CE53*TR53,(XD53+AAQ53))-MIN(MIN(CE53*TR53,(XD53+AAQ53)),AAQ53))),XD53)</f>
        <v>1270</v>
      </c>
      <c r="XF53" s="20" t="n">
        <f aca="false">IF(AND(H_Direct=1,CF53&gt;0),MAX(0,XE53-(MIN(CF53*TS53,(XE53+AAR53))-MIN(MIN(CF53*TS53,(XE53+AAR53)),AAR53))),XE53)</f>
        <v>1270</v>
      </c>
      <c r="XG53" s="20" t="n">
        <f aca="false">IF(AND(H_Direct=1,CG53&gt;0),MAX(0,XF53-(MIN(CG53*TT53,(XF53+AAS53))-MIN(MIN(CG53*TT53,(XF53+AAS53)),AAS53))),XF53)</f>
        <v>1270</v>
      </c>
      <c r="XH53" s="20" t="n">
        <f aca="false">IF(AND(H_Direct=1,CH53&gt;0),MAX(0,XG53-(MIN(CH53*TU53,(XG53+AAT53))-MIN(MIN(CH53*TU53,(XG53+AAT53)),AAT53))),XG53)</f>
        <v>1270</v>
      </c>
      <c r="XI53" s="20" t="n">
        <f aca="false">IF(AND(H_Direct=1,CI53&gt;0),MAX(0,XH53-(MIN(CI53*TV53,(XH53+AAU53))-MIN(MIN(CI53*TV53,(XH53+AAU53)),AAU53))),XH53)</f>
        <v>1270</v>
      </c>
      <c r="XJ53" s="20" t="n">
        <f aca="false">IF(AND(H_Direct=1,CJ53&gt;0),MAX(0,XI53-(MIN(CJ53*TW53,(XI53+AAV53))-MIN(MIN(CJ53*TW53,(XI53+AAV53)),AAV53))),XI53)</f>
        <v>1270</v>
      </c>
      <c r="XK53" s="20" t="n">
        <f aca="false">IF(AND(H_Direct=1,CK53&gt;0),MAX(0,XJ53-(MIN(CK53*TX53,(XJ53+AAW53))-MIN(MIN(CK53*TX53,(XJ53+AAW53)),AAW53))),XJ53)</f>
        <v>1270</v>
      </c>
      <c r="XL53" s="20" t="n">
        <f aca="false">IF(AND(H_Direct=1,CL53&gt;0),MAX(0,XK53-(MIN(CL53*TY53,(XK53+AAX53))-MIN(MIN(CL53*TY53,(XK53+AAX53)),AAX53))),XK53)</f>
        <v>1270</v>
      </c>
      <c r="XM53" s="20" t="n">
        <f aca="false">IF(AND(H_Direct=1,CM53&gt;0),MAX(0,XL53-(MIN(CM53*TZ53,(XL53+AAY53))-MIN(MIN(CM53*TZ53,(XL53+AAY53)),AAY53))),XL53)</f>
        <v>1270</v>
      </c>
      <c r="XN53" s="20" t="n">
        <f aca="false">IF(AND(H_Direct=1,CN53&gt;0),MAX(0,XM53-(MIN(CN53*UA53,(XM53+AAZ53))-MIN(MIN(CN53*UA53,(XM53+AAZ53)),AAZ53))),XM53)</f>
        <v>1270</v>
      </c>
      <c r="XO53" s="20" t="n">
        <f aca="false">IF(AND(H_Direct=1,CO53&gt;0),MAX(0,XN53-(MIN(CO53*UB53,(XN53+ABA53))-MIN(MIN(CO53*UB53,(XN53+ABA53)),ABA53))),XN53)</f>
        <v>1270</v>
      </c>
      <c r="XP53" s="20" t="n">
        <f aca="false">IF(AND(H_Direct=1,CP53&gt;0),MAX(0,XO53-(MIN(CP53*UC53,(XO53+ABB53))-MIN(MIN(CP53*UC53,(XO53+ABB53)),ABB53))),XO53)</f>
        <v>1270</v>
      </c>
      <c r="XQ53" s="20" t="n">
        <f aca="false">IF(AND(H_Direct=1,CQ53&gt;0),MAX(0,XP53-(MIN(CQ53*UD53,(XP53+ABC53))-MIN(MIN(CQ53*UD53,(XP53+ABC53)),ABC53))),XP53)</f>
        <v>1270</v>
      </c>
      <c r="XR53" s="20" t="n">
        <f aca="false">IF(AND(H_Direct=1,CR53&gt;0),MAX(0,XQ53-(MIN(CR53*UE53,(XQ53+ABD53))-MIN(MIN(CR53*UE53,(XQ53+ABD53)),ABD53))),XQ53)</f>
        <v>1270</v>
      </c>
      <c r="XS53" s="20" t="n">
        <f aca="false">IF(AND(H_Direct=1,CS53&gt;0),MAX(0,XR53-(MIN(CS53*UF53,(XR53+ABE53))-MIN(MIN(CS53*UF53,(XR53+ABE53)),ABE53))),XR53)</f>
        <v>1270</v>
      </c>
      <c r="XT53" s="20" t="n">
        <f aca="false">IF(AND(H_Direct=1,CT53&gt;0),MAX(0,XS53-(MIN(CT53*UG53,(XS53+ABF53))-MIN(MIN(CT53*UG53,(XS53+ABF53)),ABF53))),XS53)</f>
        <v>1270</v>
      </c>
      <c r="XU53" s="20" t="n">
        <f aca="false">IF(AND(H_Direct=1,CU53&gt;0),MAX(0,XT53-(MIN(CU53*UH53,(XT53+ABG53))-MIN(MIN(CU53*UH53,(XT53+ABG53)),ABG53))),XT53)</f>
        <v>1270</v>
      </c>
      <c r="XV53" s="20" t="n">
        <f aca="false">IF(AND(H_Direct=1,CV53&gt;0),MAX(0,XU53-(MIN(CV53*UI53,(XU53+ABH53))-MIN(MIN(CV53*UI53,(XU53+ABH53)),ABH53))),XU53)</f>
        <v>1270</v>
      </c>
      <c r="XW53" s="20" t="n">
        <f aca="false">IF(AND(H_Direct=1,CW53&gt;0),MAX(0,XV53-(MIN(CW53*UJ53,(XV53+ABI53))-MIN(MIN(CW53*UJ53,(XV53+ABI53)),ABI53))),XV53)</f>
        <v>1270</v>
      </c>
      <c r="XX53" s="20" t="n">
        <f aca="false">IF(AND(H_Direct=1,CX53&gt;0),MAX(0,XW53-(MIN(CX53*UK53,(XW53+ABJ53))-MIN(MIN(CX53*UK53,(XW53+ABJ53)),ABJ53))),XW53)</f>
        <v>1270</v>
      </c>
      <c r="XY53" s="20" t="n">
        <f aca="false">IF(AND(H_Direct=1,CY53&gt;0),MAX(0,XX53-(MIN(CY53*UL53,(XX53+ABK53))-MIN(MIN(CY53*UL53,(XX53+ABK53)),ABK53))),XX53)</f>
        <v>1270</v>
      </c>
      <c r="XZ53" s="20" t="n">
        <f aca="false">IF(AND(H_Direct=1,CZ53&gt;0),MAX(0,XY53-(MIN(CZ53*UM53,(XY53+ABL53))-MIN(MIN(CZ53*UM53,(XY53+ABL53)),ABL53))),XY53)</f>
        <v>1270</v>
      </c>
      <c r="YA53" s="20" t="n">
        <f aca="false">IF(AND(H_Direct=1,DA53&gt;0),MAX(0,XZ53-(MIN(DA53*UN53,(XZ53+ABM53))-MIN(MIN(DA53*UN53,(XZ53+ABM53)),ABM53))),XZ53)</f>
        <v>1270</v>
      </c>
      <c r="YB53" s="20" t="n">
        <f aca="false">IF(AND(H_Direct=1,DB53&gt;0),MAX(0,YA53-(MIN(DB53*UO53,(YA53+ABN53))-MIN(MIN(DB53*UO53,(YA53+ABN53)),ABN53))),YA53)</f>
        <v>1270</v>
      </c>
      <c r="YC53" s="20" t="n">
        <f aca="false">IF(AND(H_Direct=1,DC53&gt;0),MAX(0,YB53-(MIN(DC53*UP53,(YB53+ABO53))-MIN(MIN(DC53*UP53,(YB53+ABO53)),ABO53))),YB53)</f>
        <v>1270</v>
      </c>
      <c r="YD53" s="20" t="n">
        <f aca="false">IF(AND(H_Direct=1,DD53&gt;0),MAX(0,YC53-(MIN(DD53*UQ53,(YC53+ABP53))-MIN(MIN(DD53*UQ53,(YC53+ABP53)),ABP53))),YC53)</f>
        <v>1270</v>
      </c>
      <c r="YE53" s="20" t="n">
        <f aca="false">IF(AND(H_Direct=1,DE53&gt;0),MAX(0,YD53-(MIN(DE53*UR53,(YD53+ABQ53))-MIN(MIN(DE53*UR53,(YD53+ABQ53)),ABQ53))),YD53)</f>
        <v>1270</v>
      </c>
      <c r="YF53" s="20" t="n">
        <f aca="false">IF(AND(H_Direct=1,DF53&gt;0),MAX(0,YE53-(MIN(DF53*US53,(YE53+ABR53))-MIN(MIN(DF53*US53,(YE53+ABR53)),ABR53))),YE53)</f>
        <v>1270</v>
      </c>
      <c r="YG53" s="20" t="n">
        <f aca="false">IF(AND(H_Direct=1,DG53&gt;0),MAX(0,YF53-(MIN(DG53*UT53,(YF53+ABS53))-MIN(MIN(DG53*UT53,(YF53+ABS53)),ABS53))),YF53)</f>
        <v>1270</v>
      </c>
      <c r="YH53" s="20" t="n">
        <f aca="false">IF(AND(H_Direct=1,DH53&gt;0),MAX(0,YG53-(MIN(DH53*UU53,(YG53+ABT53))-MIN(MIN(DH53*UU53,(YG53+ABT53)),ABT53))),YG53)</f>
        <v>1270</v>
      </c>
      <c r="YI53" s="20" t="n">
        <f aca="false">IF(AND(H_Direct=1,DI53&gt;0),MAX(0,YH53-(MIN(DI53*UV53,(YH53+ABU53))-MIN(MIN(DI53*UV53,(YH53+ABU53)),ABU53))),YH53)</f>
        <v>1270</v>
      </c>
      <c r="YJ53" s="20" t="n">
        <f aca="false">IF(AND(H_Direct=1,DJ53&gt;0),MAX(0,YI53-(MIN(DJ53*UW53,(YI53+ABV53))-MIN(MIN(DJ53*UW53,(YI53+ABV53)),ABV53))),YI53)</f>
        <v>1270</v>
      </c>
      <c r="YK53" s="20" t="n">
        <f aca="false">IF(AND(H_Direct=1,DK53&gt;0),MAX(0,YJ53-(MIN(DK53*UX53,(YJ53+ABW53))-MIN(MIN(DK53*UX53,(YJ53+ABW53)),ABW53))),YJ53)</f>
        <v>1270</v>
      </c>
      <c r="YL53" s="20" t="n">
        <f aca="false">IF(AND(H_Direct=1,DL53&gt;0),MAX(0,YK53-(MIN(DL53*UY53,(YK53+ABX53))-MIN(MIN(DL53*UY53,(YK53+ABX53)),ABX53))),YK53)</f>
        <v>1270</v>
      </c>
      <c r="YM53" s="20" t="n">
        <f aca="false">YL53</f>
        <v>1270</v>
      </c>
      <c r="YN53" s="20" t="n">
        <f aca="false">YM53</f>
        <v>1270</v>
      </c>
      <c r="YO53" s="20" t="n">
        <f aca="false">YN53</f>
        <v>1270</v>
      </c>
      <c r="YP53" s="20" t="n">
        <f aca="false">YO53</f>
        <v>1270</v>
      </c>
      <c r="YQ53" s="20" t="n">
        <f aca="false">YP53</f>
        <v>1270</v>
      </c>
      <c r="YR53" s="20" t="n">
        <f aca="false">YQ53</f>
        <v>1270</v>
      </c>
      <c r="YS53" s="20" t="n">
        <f aca="false">YR53</f>
        <v>1270</v>
      </c>
      <c r="YT53" s="20" t="n">
        <f aca="false">YS53</f>
        <v>1270</v>
      </c>
      <c r="YU53" s="20" t="n">
        <f aca="false">YT53</f>
        <v>1270</v>
      </c>
      <c r="YV53" s="20" t="n">
        <f aca="false">YU53</f>
        <v>1270</v>
      </c>
      <c r="YW53" s="20" t="n">
        <f aca="false">YV53</f>
        <v>1270</v>
      </c>
      <c r="YX53" s="20" t="n">
        <f aca="false">YW53</f>
        <v>1270</v>
      </c>
      <c r="YY53" s="20" t="n">
        <f aca="false">YX53</f>
        <v>1270</v>
      </c>
      <c r="YZ53" s="20" t="n">
        <f aca="false">YY53</f>
        <v>1270</v>
      </c>
      <c r="ZA53" s="20" t="n">
        <f aca="false">YZ53</f>
        <v>1270</v>
      </c>
      <c r="ZB53" s="20" t="n">
        <f aca="false">ZA53</f>
        <v>1270</v>
      </c>
      <c r="ZC53" s="20" t="n">
        <f aca="false">ZB53</f>
        <v>1270</v>
      </c>
      <c r="ZD53" s="20" t="n">
        <f aca="false">ZC53</f>
        <v>1270</v>
      </c>
      <c r="ZE53" s="20" t="n">
        <f aca="false">ZD53</f>
        <v>1270</v>
      </c>
      <c r="ZF53" s="20" t="n">
        <f aca="false">ZE53</f>
        <v>1270</v>
      </c>
      <c r="ZG53" s="20" t="n">
        <f aca="false">ZF53</f>
        <v>1270</v>
      </c>
      <c r="ZH53" s="20" t="n">
        <f aca="false">ZG53</f>
        <v>1270</v>
      </c>
      <c r="ZI53" s="20" t="n">
        <f aca="false">ZH53</f>
        <v>1270</v>
      </c>
      <c r="ZJ53" s="20" t="n">
        <f aca="false">ZI53</f>
        <v>1270</v>
      </c>
      <c r="ZK53" s="20" t="n">
        <f aca="false">ZJ53</f>
        <v>1270</v>
      </c>
      <c r="ZL53" s="20" t="n">
        <f aca="false">ZK53</f>
        <v>1270</v>
      </c>
      <c r="ZM53" s="20" t="n">
        <f aca="false">ZL53</f>
        <v>1270</v>
      </c>
      <c r="ZN53" s="20" t="n">
        <f aca="false">ZM53</f>
        <v>1270</v>
      </c>
      <c r="ZO53" s="20" t="n">
        <f aca="false">ZN53</f>
        <v>1270</v>
      </c>
      <c r="ZP53" s="20" t="n">
        <f aca="false">ZO53</f>
        <v>1270</v>
      </c>
      <c r="ZQ53" s="20" t="n">
        <f aca="false">ZP53</f>
        <v>1270</v>
      </c>
      <c r="ZR53" s="20" t="n">
        <f aca="false">ZQ53</f>
        <v>1270</v>
      </c>
      <c r="ZS53" s="20" t="n">
        <f aca="false">ZR53</f>
        <v>1270</v>
      </c>
      <c r="ZT53" s="20" t="n">
        <f aca="false">ZS53</f>
        <v>1270</v>
      </c>
      <c r="ZU53" s="20" t="n">
        <f aca="false">ZT53</f>
        <v>1270</v>
      </c>
      <c r="ZV53" s="20" t="n">
        <f aca="false">ZU53</f>
        <v>1270</v>
      </c>
      <c r="ZW53" s="20" t="n">
        <f aca="false">ZV53</f>
        <v>1270</v>
      </c>
      <c r="ZX53" s="20" t="n">
        <f aca="false">ZW53</f>
        <v>1270</v>
      </c>
      <c r="ZY53" s="20" t="n">
        <f aca="false">ZX53</f>
        <v>1270</v>
      </c>
      <c r="ZZ53" s="20" t="n">
        <f aca="false">ZY53</f>
        <v>1270</v>
      </c>
      <c r="AAA53" s="20" t="n">
        <f aca="false">ZZ53</f>
        <v>1270</v>
      </c>
      <c r="AAB53" s="20" t="n">
        <f aca="false">AAA53</f>
        <v>1270</v>
      </c>
      <c r="AAC53" s="20" t="n">
        <f aca="false">AAB53</f>
        <v>1270</v>
      </c>
      <c r="AAD53" s="20" t="n">
        <f aca="false">AAC53</f>
        <v>1270</v>
      </c>
      <c r="AAE53" s="20" t="n">
        <f aca="false">IF(H_Direct=1,IF(BR53&lt;=0,I53-BR53*TE53,I53-MIN(MIN(BR53*TE53,(H53+I53)),I53)),I53)</f>
        <v>0</v>
      </c>
      <c r="AAF53" s="20" t="n">
        <f aca="false">IF(H_Direct=1,IF(BS53&lt;=0,AAE53-BS53*TF53,AAE53-MIN(MIN(BS53*TF53,(WR53+AAE53)),AAE53)),AAE53)</f>
        <v>0</v>
      </c>
      <c r="AAG53" s="20" t="n">
        <f aca="false">IF(H_Direct=1,IF(BT53&lt;=0,AAF53-BT53*TG53,AAF53-MIN(MIN(BT53*TG53,(WS53+AAF53)),AAF53)),AAF53)</f>
        <v>0</v>
      </c>
      <c r="AAH53" s="20" t="n">
        <f aca="false">IF(H_Direct=1,IF(BU53&lt;=0,AAG53-BU53*TH53,AAG53-MIN(MIN(BU53*TH53,(WT53+AAG53)),AAG53)),AAG53)</f>
        <v>0</v>
      </c>
      <c r="AAI53" s="20" t="n">
        <f aca="false">IF(H_Direct=1,IF(BV53&lt;=0,AAH53-BV53*TI53,AAH53-MIN(MIN(BV53*TI53,(WU53+AAH53)),AAH53)),AAH53)</f>
        <v>0</v>
      </c>
      <c r="AAJ53" s="20" t="n">
        <f aca="false">IF(H_Direct=1,IF(BW53&lt;=0,AAI53-BW53*TJ53,AAI53-MIN(MIN(BW53*TJ53,(WV53+AAI53)),AAI53)),AAI53)</f>
        <v>0</v>
      </c>
      <c r="AAK53" s="20" t="n">
        <f aca="false">IF(H_Direct=1,IF(BX53&lt;=0,AAJ53-BX53*TK53,AAJ53-MIN(MIN(BX53*TK53,(WW53+AAJ53)),AAJ53)),AAJ53)</f>
        <v>0</v>
      </c>
      <c r="AAL53" s="20" t="n">
        <f aca="false">IF(H_Direct=1,IF(BY53&lt;=0,AAK53-BY53*TL53,AAK53-MIN(MIN(BY53*TL53,(WX53+AAK53)),AAK53)),AAK53)</f>
        <v>0</v>
      </c>
      <c r="AAM53" s="20" t="n">
        <f aca="false">IF(H_Direct=1,IF(BZ53&lt;=0,AAL53-BZ53*TM53,AAL53-MIN(MIN(BZ53*TM53,(WY53+AAL53)),AAL53)),AAL53)</f>
        <v>0</v>
      </c>
      <c r="AAN53" s="20" t="n">
        <f aca="false">IF(H_Direct=1,IF(CA53&lt;=0,AAM53-CA53*TN53,AAM53-MIN(MIN(CA53*TN53,(WZ53+AAM53)),AAM53)),AAM53)</f>
        <v>0</v>
      </c>
      <c r="AAO53" s="20" t="n">
        <f aca="false">IF(H_Direct=1,IF(CB53&lt;=0,AAN53-CB53*TO53,AAN53-MIN(MIN(CB53*TO53,(XA53+AAN53)),AAN53)),AAN53)</f>
        <v>0</v>
      </c>
      <c r="AAP53" s="20" t="n">
        <f aca="false">IF(H_Direct=1,IF(CC53&lt;=0,AAO53-CC53*TP53,AAO53-MIN(MIN(CC53*TP53,(XB53+AAO53)),AAO53)),AAO53)</f>
        <v>0</v>
      </c>
      <c r="AAQ53" s="20" t="n">
        <f aca="false">IF(H_Direct=1,IF(CD53&lt;=0,AAP53-CD53*TQ53,AAP53-MIN(MIN(CD53*TQ53,(XC53+AAP53)),AAP53)),AAP53)</f>
        <v>0</v>
      </c>
      <c r="AAR53" s="20" t="n">
        <f aca="false">IF(H_Direct=1,IF(CE53&lt;=0,AAQ53-CE53*TR53,AAQ53-MIN(MIN(CE53*TR53,(XD53+AAQ53)),AAQ53)),AAQ53)</f>
        <v>0</v>
      </c>
      <c r="AAS53" s="20" t="n">
        <f aca="false">IF(H_Direct=1,IF(CF53&lt;=0,AAR53-CF53*TS53,AAR53-MIN(MIN(CF53*TS53,(XE53+AAR53)),AAR53)),AAR53)</f>
        <v>0</v>
      </c>
      <c r="AAT53" s="20" t="n">
        <f aca="false">IF(H_Direct=1,IF(CG53&lt;=0,AAS53-CG53*TT53,AAS53-MIN(MIN(CG53*TT53,(XF53+AAS53)),AAS53)),AAS53)</f>
        <v>0</v>
      </c>
      <c r="AAU53" s="20" t="n">
        <f aca="false">IF(H_Direct=1,IF(CH53&lt;=0,AAT53-CH53*TU53,AAT53-MIN(MIN(CH53*TU53,(XG53+AAT53)),AAT53)),AAT53)</f>
        <v>0</v>
      </c>
      <c r="AAV53" s="20" t="n">
        <f aca="false">IF(H_Direct=1,IF(CI53&lt;=0,AAU53-CI53*TV53,AAU53-MIN(MIN(CI53*TV53,(XH53+AAU53)),AAU53)),AAU53)</f>
        <v>0</v>
      </c>
      <c r="AAW53" s="20" t="n">
        <f aca="false">IF(H_Direct=1,IF(CJ53&lt;=0,AAV53-CJ53*TW53,AAV53-MIN(MIN(CJ53*TW53,(XI53+AAV53)),AAV53)),AAV53)</f>
        <v>0</v>
      </c>
      <c r="AAX53" s="20" t="n">
        <f aca="false">IF(H_Direct=1,IF(CK53&lt;=0,AAW53-CK53*TX53,AAW53-MIN(MIN(CK53*TX53,(XJ53+AAW53)),AAW53)),AAW53)</f>
        <v>0</v>
      </c>
      <c r="AAY53" s="20" t="n">
        <f aca="false">IF(H_Direct=1,IF(CL53&lt;=0,AAX53-CL53*TY53,AAX53-MIN(MIN(CL53*TY53,(XK53+AAX53)),AAX53)),AAX53)</f>
        <v>0</v>
      </c>
      <c r="AAZ53" s="20" t="n">
        <f aca="false">IF(H_Direct=1,IF(CM53&lt;=0,AAY53-CM53*TZ53,AAY53-MIN(MIN(CM53*TZ53,(XL53+AAY53)),AAY53)),AAY53)</f>
        <v>0</v>
      </c>
      <c r="ABA53" s="20" t="n">
        <f aca="false">IF(H_Direct=1,IF(CN53&lt;=0,AAZ53-CN53*UA53,AAZ53-MIN(MIN(CN53*UA53,(XM53+AAZ53)),AAZ53)),AAZ53)</f>
        <v>0</v>
      </c>
      <c r="ABB53" s="20" t="n">
        <f aca="false">IF(H_Direct=1,IF(CO53&lt;=0,ABA53-CO53*UB53,ABA53-MIN(MIN(CO53*UB53,(XN53+ABA53)),ABA53)),ABA53)</f>
        <v>0</v>
      </c>
      <c r="ABC53" s="20" t="n">
        <f aca="false">IF(H_Direct=1,IF(CP53&lt;=0,ABB53-CP53*UC53,ABB53-MIN(MIN(CP53*UC53,(XO53+ABB53)),ABB53)),ABB53)</f>
        <v>0</v>
      </c>
      <c r="ABD53" s="20" t="n">
        <f aca="false">IF(H_Direct=1,IF(CQ53&lt;=0,ABC53-CQ53*UD53,ABC53-MIN(MIN(CQ53*UD53,(XP53+ABC53)),ABC53)),ABC53)</f>
        <v>0</v>
      </c>
      <c r="ABE53" s="20" t="n">
        <f aca="false">IF(H_Direct=1,IF(CR53&lt;=0,ABD53-CR53*UE53,ABD53-MIN(MIN(CR53*UE53,(XQ53+ABD53)),ABD53)),ABD53)</f>
        <v>0</v>
      </c>
      <c r="ABF53" s="20" t="n">
        <f aca="false">IF(H_Direct=1,IF(CS53&lt;=0,ABE53-CS53*UF53,ABE53-MIN(MIN(CS53*UF53,(XR53+ABE53)),ABE53)),ABE53)</f>
        <v>0</v>
      </c>
      <c r="ABG53" s="20" t="n">
        <f aca="false">IF(H_Direct=1,IF(CT53&lt;=0,ABF53-CT53*UG53,ABF53-MIN(MIN(CT53*UG53,(XS53+ABF53)),ABF53)),ABF53)</f>
        <v>0</v>
      </c>
      <c r="ABH53" s="20" t="n">
        <f aca="false">IF(H_Direct=1,IF(CU53&lt;=0,ABG53-CU53*UH53,ABG53-MIN(MIN(CU53*UH53,(XT53+ABG53)),ABG53)),ABG53)</f>
        <v>0</v>
      </c>
      <c r="ABI53" s="20" t="n">
        <f aca="false">IF(H_Direct=1,IF(CV53&lt;=0,ABH53-CV53*UI53,ABH53-MIN(MIN(CV53*UI53,(XU53+ABH53)),ABH53)),ABH53)</f>
        <v>0</v>
      </c>
      <c r="ABJ53" s="20" t="n">
        <f aca="false">IF(H_Direct=1,IF(CW53&lt;=0,ABI53-CW53*UJ53,ABI53-MIN(MIN(CW53*UJ53,(XV53+ABI53)),ABI53)),ABI53)</f>
        <v>0</v>
      </c>
      <c r="ABK53" s="20" t="n">
        <f aca="false">IF(H_Direct=1,IF(CX53&lt;=0,ABJ53-CX53*UK53,ABJ53-MIN(MIN(CX53*UK53,(XW53+ABJ53)),ABJ53)),ABJ53)</f>
        <v>0</v>
      </c>
      <c r="ABL53" s="20" t="n">
        <f aca="false">IF(H_Direct=1,IF(CY53&lt;=0,ABK53-CY53*UL53,ABK53-MIN(MIN(CY53*UL53,(XX53+ABK53)),ABK53)),ABK53)</f>
        <v>0</v>
      </c>
      <c r="ABM53" s="20" t="n">
        <f aca="false">IF(H_Direct=1,IF(CZ53&lt;=0,ABL53-CZ53*UM53,ABL53-MIN(MIN(CZ53*UM53,(XY53+ABL53)),ABL53)),ABL53)</f>
        <v>0</v>
      </c>
      <c r="ABN53" s="20" t="n">
        <f aca="false">IF(H_Direct=1,IF(DA53&lt;=0,ABM53-DA53*UN53,ABM53-MIN(MIN(DA53*UN53,(XZ53+ABM53)),ABM53)),ABM53)</f>
        <v>0</v>
      </c>
      <c r="ABO53" s="20" t="n">
        <f aca="false">IF(H_Direct=1,IF(DB53&lt;=0,ABN53-DB53*UO53,ABN53-MIN(MIN(DB53*UO53,(YA53+ABN53)),ABN53)),ABN53)</f>
        <v>0</v>
      </c>
      <c r="ABP53" s="20" t="n">
        <f aca="false">IF(H_Direct=1,IF(DC53&lt;=0,ABO53-DC53*UP53,ABO53-MIN(MIN(DC53*UP53,(YB53+ABO53)),ABO53)),ABO53)</f>
        <v>0</v>
      </c>
      <c r="ABQ53" s="20" t="n">
        <f aca="false">IF(H_Direct=1,IF(DD53&lt;=0,ABP53-DD53*UQ53,ABP53-MIN(MIN(DD53*UQ53,(YC53+ABP53)),ABP53)),ABP53)</f>
        <v>0</v>
      </c>
      <c r="ABR53" s="20" t="n">
        <f aca="false">IF(H_Direct=1,IF(DE53&lt;=0,ABQ53-DE53*UR53,ABQ53-MIN(MIN(DE53*UR53,(YD53+ABQ53)),ABQ53)),ABQ53)</f>
        <v>0</v>
      </c>
      <c r="ABS53" s="20" t="n">
        <f aca="false">IF(H_Direct=1,IF(DF53&lt;=0,ABR53-DF53*US53,ABR53-MIN(MIN(DF53*US53,(YE53+ABR53)),ABR53)),ABR53)</f>
        <v>0</v>
      </c>
      <c r="ABT53" s="20" t="n">
        <f aca="false">IF(H_Direct=1,IF(DG53&lt;=0,ABS53-DG53*UT53,ABS53-MIN(MIN(DG53*UT53,(YF53+ABS53)),ABS53)),ABS53)</f>
        <v>0</v>
      </c>
      <c r="ABU53" s="20" t="n">
        <f aca="false">IF(H_Direct=1,IF(DH53&lt;=0,ABT53-DH53*UU53,ABT53-MIN(MIN(DH53*UU53,(YG53+ABT53)),ABT53)),ABT53)</f>
        <v>0</v>
      </c>
      <c r="ABV53" s="20" t="n">
        <f aca="false">IF(H_Direct=1,IF(DI53&lt;=0,ABU53-DI53*UV53,ABU53-MIN(MIN(DI53*UV53,(YH53+ABU53)),ABU53)),ABU53)</f>
        <v>0</v>
      </c>
      <c r="ABW53" s="20" t="n">
        <f aca="false">IF(H_Direct=1,IF(DJ53&lt;=0,ABV53-DJ53*UW53,ABV53-MIN(MIN(DJ53*UW53,(YI53+ABV53)),ABV53)),ABV53)</f>
        <v>0</v>
      </c>
      <c r="ABX53" s="20" t="n">
        <f aca="false">IF(H_Direct=1,IF(DK53&lt;=0,ABW53-DK53*UX53,ABW53-MIN(MIN(DK53*UX53,(YJ53+ABW53)),ABW53)),ABW53)</f>
        <v>0</v>
      </c>
      <c r="ABY53" s="20" t="n">
        <f aca="false">IF(H_Direct=1,IF(DL53&lt;=0,ABX53-DL53*UY53,ABX53-MIN(MIN(DL53*UY53,(YK53+ABX53)),ABX53)),ABX53)</f>
        <v>0</v>
      </c>
      <c r="ABZ53" s="20" t="n">
        <f aca="false">ABY53</f>
        <v>0</v>
      </c>
      <c r="ACA53" s="20" t="n">
        <f aca="false">ABZ53</f>
        <v>0</v>
      </c>
      <c r="ACB53" s="20" t="n">
        <f aca="false">ACA53</f>
        <v>0</v>
      </c>
      <c r="ACC53" s="20" t="n">
        <f aca="false">ACB53</f>
        <v>0</v>
      </c>
      <c r="ACD53" s="20" t="n">
        <f aca="false">ACC53</f>
        <v>0</v>
      </c>
      <c r="ACE53" s="20" t="n">
        <f aca="false">ACD53</f>
        <v>0</v>
      </c>
      <c r="ACF53" s="20" t="n">
        <f aca="false">ACE53</f>
        <v>0</v>
      </c>
      <c r="ACG53" s="20" t="n">
        <f aca="false">ACF53</f>
        <v>0</v>
      </c>
      <c r="ACH53" s="20" t="n">
        <f aca="false">ACG53</f>
        <v>0</v>
      </c>
      <c r="ACI53" s="20" t="n">
        <f aca="false">ACH53</f>
        <v>0</v>
      </c>
      <c r="ACJ53" s="20" t="n">
        <f aca="false">ACI53</f>
        <v>0</v>
      </c>
      <c r="ACK53" s="20" t="n">
        <f aca="false">ACJ53</f>
        <v>0</v>
      </c>
      <c r="ACL53" s="20" t="n">
        <f aca="false">ACK53</f>
        <v>0</v>
      </c>
      <c r="ACM53" s="20" t="n">
        <f aca="false">ACL53</f>
        <v>0</v>
      </c>
      <c r="ACN53" s="20" t="n">
        <f aca="false">ACM53</f>
        <v>0</v>
      </c>
      <c r="ACO53" s="20" t="n">
        <f aca="false">ACN53</f>
        <v>0</v>
      </c>
      <c r="ACP53" s="20" t="n">
        <f aca="false">ACO53</f>
        <v>0</v>
      </c>
      <c r="ACQ53" s="20" t="n">
        <f aca="false">ACP53</f>
        <v>0</v>
      </c>
      <c r="ACR53" s="20" t="n">
        <f aca="false">ACQ53</f>
        <v>0</v>
      </c>
      <c r="ACS53" s="20" t="n">
        <f aca="false">ACR53</f>
        <v>0</v>
      </c>
      <c r="ACT53" s="20" t="n">
        <f aca="false">ACS53</f>
        <v>0</v>
      </c>
      <c r="ACU53" s="20" t="n">
        <f aca="false">ACT53</f>
        <v>0</v>
      </c>
      <c r="ACV53" s="20" t="n">
        <f aca="false">ACU53</f>
        <v>0</v>
      </c>
      <c r="ACW53" s="20" t="n">
        <f aca="false">ACV53</f>
        <v>0</v>
      </c>
      <c r="ACX53" s="20" t="n">
        <f aca="false">ACW53</f>
        <v>0</v>
      </c>
      <c r="ACY53" s="20" t="n">
        <f aca="false">ACX53</f>
        <v>0</v>
      </c>
      <c r="ACZ53" s="20" t="n">
        <f aca="false">ACY53</f>
        <v>0</v>
      </c>
      <c r="ADA53" s="20" t="n">
        <f aca="false">ACZ53</f>
        <v>0</v>
      </c>
      <c r="ADB53" s="20" t="n">
        <f aca="false">ADA53</f>
        <v>0</v>
      </c>
      <c r="ADC53" s="20" t="n">
        <f aca="false">ADB53</f>
        <v>0</v>
      </c>
      <c r="ADD53" s="20" t="n">
        <f aca="false">ADC53</f>
        <v>0</v>
      </c>
      <c r="ADE53" s="20" t="n">
        <f aca="false">ADD53</f>
        <v>0</v>
      </c>
      <c r="ADF53" s="20" t="n">
        <f aca="false">ADE53</f>
        <v>0</v>
      </c>
      <c r="ADG53" s="20" t="n">
        <f aca="false">ADF53</f>
        <v>0</v>
      </c>
      <c r="ADH53" s="20" t="n">
        <f aca="false">ADG53</f>
        <v>0</v>
      </c>
      <c r="ADI53" s="20" t="n">
        <f aca="false">ADH53</f>
        <v>0</v>
      </c>
      <c r="ADJ53" s="20" t="n">
        <f aca="false">ADI53</f>
        <v>0</v>
      </c>
      <c r="ADK53" s="20" t="n">
        <f aca="false">ADJ53</f>
        <v>0</v>
      </c>
      <c r="ADL53" s="20" t="n">
        <f aca="false">ADK53</f>
        <v>0</v>
      </c>
      <c r="ADM53" s="20" t="n">
        <f aca="false">ADL53</f>
        <v>0</v>
      </c>
      <c r="ADN53" s="20" t="n">
        <f aca="false">ADM53</f>
        <v>0</v>
      </c>
      <c r="ADO53" s="20" t="n">
        <f aca="false">ADN53</f>
        <v>0</v>
      </c>
      <c r="ADP53" s="20" t="n">
        <f aca="false">ADO53</f>
        <v>0</v>
      </c>
      <c r="ADQ53" s="20" t="n">
        <f aca="false">ADP53</f>
        <v>0</v>
      </c>
      <c r="ADR53" s="20" t="n">
        <f aca="false">(AKR52-TE53+0)*(1+BQ53)</f>
        <v>0</v>
      </c>
      <c r="ADS53" s="20" t="n">
        <f aca="false">(AKS52-TF53+0)*(1+BQ53)</f>
        <v>0</v>
      </c>
      <c r="ADT53" s="20" t="n">
        <f aca="false">(AKT52-TG53+0)*(1+BQ53)</f>
        <v>0</v>
      </c>
      <c r="ADU53" s="20" t="n">
        <f aca="false">(AKU52-TH53+0)*(1+BQ53)</f>
        <v>0</v>
      </c>
      <c r="ADV53" s="20" t="n">
        <f aca="false">(AKV52-TI53+0)*(1+BQ53)</f>
        <v>0</v>
      </c>
      <c r="ADW53" s="20" t="n">
        <f aca="false">(AKW52-TJ53+0)*(1+BQ53)</f>
        <v>0</v>
      </c>
      <c r="ADX53" s="20" t="n">
        <f aca="false">(AKX52-TK53+0)*(1+BQ53)</f>
        <v>0</v>
      </c>
      <c r="ADY53" s="20" t="n">
        <f aca="false">(AKY52-TL53+0)*(1+BQ53)</f>
        <v>0</v>
      </c>
      <c r="ADZ53" s="20" t="n">
        <f aca="false">(AKZ52-TM53+0)*(1+BQ53)</f>
        <v>0</v>
      </c>
      <c r="AEA53" s="20" t="n">
        <f aca="false">(ALA52-TN53+0)*(1+BQ53)</f>
        <v>0</v>
      </c>
      <c r="AEB53" s="20" t="n">
        <f aca="false">(ALB52-TO53+0)*(1+BQ53)</f>
        <v>0</v>
      </c>
      <c r="AEC53" s="20" t="n">
        <f aca="false">(ALC52-TP53+0)*(1+BQ53)</f>
        <v>0</v>
      </c>
      <c r="AED53" s="20" t="n">
        <f aca="false">(ALD52-TQ53+0)*(1+BQ53)</f>
        <v>0</v>
      </c>
      <c r="AEE53" s="20" t="n">
        <f aca="false">(ALE52-TR53+0)*(1+BQ53)</f>
        <v>0</v>
      </c>
      <c r="AEF53" s="20" t="n">
        <f aca="false">(ALF52-TS53+0)*(1+BQ53)</f>
        <v>0</v>
      </c>
      <c r="AEG53" s="20" t="n">
        <f aca="false">(ALG52-TT53+0)*(1+BQ53)</f>
        <v>0</v>
      </c>
      <c r="AEH53" s="20" t="n">
        <f aca="false">(ALH52-TU53+0)*(1+BQ53)</f>
        <v>0</v>
      </c>
      <c r="AEI53" s="20" t="n">
        <f aca="false">(ALI52-TV53+0)*(1+BQ53)</f>
        <v>0</v>
      </c>
      <c r="AEJ53" s="20" t="n">
        <f aca="false">(ALJ52-TW53+0)*(1+BQ53)</f>
        <v>0</v>
      </c>
      <c r="AEK53" s="20" t="n">
        <f aca="false">(ALK52-TX53+0)*(1+BQ53)</f>
        <v>0</v>
      </c>
      <c r="AEL53" s="20" t="n">
        <f aca="false">(ALL52-TY53+0)*(1+BQ53)</f>
        <v>0</v>
      </c>
      <c r="AEM53" s="20" t="n">
        <f aca="false">(ALM52-TZ53+0)*(1+BQ53)</f>
        <v>0</v>
      </c>
      <c r="AEN53" s="20" t="n">
        <f aca="false">(ALN52-UA53+0)*(1+BQ53)</f>
        <v>0</v>
      </c>
      <c r="AEO53" s="20" t="n">
        <f aca="false">(ALO52-UB53+0)*(1+BQ53)</f>
        <v>0</v>
      </c>
      <c r="AEP53" s="20" t="n">
        <f aca="false">(ALP52-UC53+0)*(1+BQ53)</f>
        <v>0</v>
      </c>
      <c r="AEQ53" s="20" t="n">
        <f aca="false">(ALQ52-UD53+0)*(1+BQ53)</f>
        <v>0</v>
      </c>
      <c r="AER53" s="20" t="n">
        <f aca="false">(ALR52-UE53+0)*(1+BQ53)</f>
        <v>0</v>
      </c>
      <c r="AES53" s="20" t="n">
        <f aca="false">(ALS52-UF53+0)*(1+BQ53)</f>
        <v>0</v>
      </c>
      <c r="AET53" s="20" t="n">
        <f aca="false">(ALT52-UG53+0)*(1+BQ53)</f>
        <v>0</v>
      </c>
      <c r="AEU53" s="20" t="n">
        <f aca="false">(ALU52-UH53+0)*(1+BQ53)</f>
        <v>0</v>
      </c>
      <c r="AEV53" s="20" t="n">
        <f aca="false">(ALV52-UI53+0)*(1+BQ53)</f>
        <v>0</v>
      </c>
      <c r="AEW53" s="20" t="n">
        <f aca="false">(ALW52-UJ53+0)*(1+BQ53)</f>
        <v>0</v>
      </c>
      <c r="AEX53" s="20" t="n">
        <f aca="false">(ALX52-UK53+0)*(1+BQ53)</f>
        <v>0</v>
      </c>
      <c r="AEY53" s="20" t="n">
        <f aca="false">(ALY52-UL53+0)*(1+BQ53)</f>
        <v>0</v>
      </c>
      <c r="AEZ53" s="20" t="n">
        <f aca="false">(ALZ52-UM53+0)*(1+BQ53)</f>
        <v>0</v>
      </c>
      <c r="AFA53" s="20" t="n">
        <f aca="false">(AMA52-UN53+0)*(1+BQ53)</f>
        <v>0</v>
      </c>
      <c r="AFB53" s="20" t="n">
        <f aca="false">(AMB52-UO53+0)*(1+BQ53)</f>
        <v>0</v>
      </c>
      <c r="AFC53" s="20" t="n">
        <f aca="false">(AMC52-UP53+0)*(1+BQ53)</f>
        <v>0</v>
      </c>
      <c r="AFD53" s="20" t="n">
        <f aca="false">(AMD52-UQ53+0)*(1+BQ53)</f>
        <v>0</v>
      </c>
      <c r="AFE53" s="20" t="n">
        <f aca="false">(AME52-UR53+0)*(1+BQ53)</f>
        <v>0</v>
      </c>
      <c r="AFF53" s="20" t="n">
        <f aca="false">(AMF52-US53+0)*(1+BQ53)</f>
        <v>0</v>
      </c>
      <c r="AFG53" s="20" t="n">
        <f aca="false">(AMG52-UT53+0)*(1+BQ53)</f>
        <v>0</v>
      </c>
      <c r="AFH53" s="20" t="n">
        <f aca="false">(AMH52-UU53+0)*(1+BQ53)</f>
        <v>0</v>
      </c>
      <c r="AFI53" s="20" t="n">
        <f aca="false">(AMI52-UV53+0)*(1+BQ53)</f>
        <v>0</v>
      </c>
      <c r="AFJ53" s="20" t="n">
        <f aca="false">(AMJ52-UW53+0)*(1+BQ53)</f>
        <v>0</v>
      </c>
      <c r="AFK53" s="20" t="n">
        <f aca="false">(AMK52-UX53+0)*(1+BQ53)</f>
        <v>0</v>
      </c>
      <c r="AFL53" s="20" t="n">
        <f aca="false">((P53+S53)-UY53+BE53)*(1+BQ53)</f>
        <v>0</v>
      </c>
      <c r="AFM53" s="20" t="n">
        <v>0</v>
      </c>
      <c r="AFN53" s="20" t="n">
        <v>0</v>
      </c>
      <c r="AFO53" s="20" t="n">
        <v>0</v>
      </c>
      <c r="AFP53" s="20" t="n">
        <v>0</v>
      </c>
      <c r="AFQ53" s="20" t="n">
        <v>0</v>
      </c>
      <c r="AFR53" s="20" t="n">
        <v>0</v>
      </c>
      <c r="AFS53" s="20" t="n">
        <v>0</v>
      </c>
      <c r="AFT53" s="20" t="n">
        <v>0</v>
      </c>
      <c r="AFU53" s="20" t="n">
        <v>0</v>
      </c>
      <c r="AFV53" s="20" t="n">
        <v>0</v>
      </c>
      <c r="AFW53" s="20" t="n">
        <v>0</v>
      </c>
      <c r="AFX53" s="20" t="n">
        <v>0</v>
      </c>
      <c r="AFY53" s="20" t="n">
        <v>0</v>
      </c>
      <c r="AFZ53" s="20" t="n">
        <v>0</v>
      </c>
      <c r="AGA53" s="20" t="n">
        <v>0</v>
      </c>
      <c r="AGB53" s="20" t="n">
        <v>0</v>
      </c>
      <c r="AGC53" s="20" t="n">
        <v>0</v>
      </c>
      <c r="AGD53" s="20" t="n">
        <v>0</v>
      </c>
      <c r="AGE53" s="20" t="n">
        <v>0</v>
      </c>
      <c r="AGF53" s="20" t="n">
        <v>0</v>
      </c>
      <c r="AGG53" s="20" t="n">
        <v>0</v>
      </c>
      <c r="AGH53" s="20" t="n">
        <v>0</v>
      </c>
      <c r="AGI53" s="20" t="n">
        <v>0</v>
      </c>
      <c r="AGJ53" s="20" t="n">
        <v>0</v>
      </c>
      <c r="AGK53" s="20" t="n">
        <v>0</v>
      </c>
      <c r="AGL53" s="20" t="n">
        <v>0</v>
      </c>
      <c r="AGM53" s="20" t="n">
        <v>0</v>
      </c>
      <c r="AGN53" s="20" t="n">
        <v>0</v>
      </c>
      <c r="AGO53" s="20" t="n">
        <v>0</v>
      </c>
      <c r="AGP53" s="20" t="n">
        <v>0</v>
      </c>
      <c r="AGQ53" s="20" t="n">
        <v>0</v>
      </c>
      <c r="AGR53" s="20" t="n">
        <v>0</v>
      </c>
      <c r="AGS53" s="20" t="n">
        <v>0</v>
      </c>
      <c r="AGT53" s="20" t="n">
        <v>0</v>
      </c>
      <c r="AGU53" s="20" t="n">
        <v>0</v>
      </c>
      <c r="AGV53" s="20" t="n">
        <v>0</v>
      </c>
      <c r="AGW53" s="20" t="n">
        <v>0</v>
      </c>
      <c r="AGX53" s="20" t="n">
        <v>0</v>
      </c>
      <c r="AGY53" s="20" t="n">
        <v>0</v>
      </c>
      <c r="AGZ53" s="20" t="n">
        <v>0</v>
      </c>
      <c r="AHA53" s="20" t="n">
        <v>0</v>
      </c>
      <c r="AHB53" s="20" t="n">
        <v>0</v>
      </c>
      <c r="AHC53" s="20" t="n">
        <v>0</v>
      </c>
      <c r="AHD53" s="20" t="n">
        <v>0</v>
      </c>
      <c r="AHE53" s="20" t="n">
        <f aca="false">IF(AKR52&gt;0,AOE52-AOE52*TE53/AKR52,0)+0</f>
        <v>0</v>
      </c>
      <c r="AHF53" s="20" t="n">
        <f aca="false">IF(AKS52&gt;0,AOF52-AOF52*TF53/AKS52,0)+0</f>
        <v>0</v>
      </c>
      <c r="AHG53" s="20" t="n">
        <f aca="false">IF(AKT52&gt;0,AOG52-AOG52*TG53/AKT52,0)+0</f>
        <v>0</v>
      </c>
      <c r="AHH53" s="20" t="n">
        <f aca="false">IF(AKU52&gt;0,AOH52-AOH52*TH53/AKU52,0)+0</f>
        <v>0</v>
      </c>
      <c r="AHI53" s="20" t="n">
        <f aca="false">IF(AKV52&gt;0,AOI52-AOI52*TI53/AKV52,0)+0</f>
        <v>0</v>
      </c>
      <c r="AHJ53" s="20" t="n">
        <f aca="false">IF(AKW52&gt;0,AOJ52-AOJ52*TJ53/AKW52,0)+0</f>
        <v>0</v>
      </c>
      <c r="AHK53" s="20" t="n">
        <f aca="false">IF(AKX52&gt;0,AOK52-AOK52*TK53/AKX52,0)+0</f>
        <v>0</v>
      </c>
      <c r="AHL53" s="20" t="n">
        <f aca="false">IF(AKY52&gt;0,AOL52-AOL52*TL53/AKY52,0)+0</f>
        <v>0</v>
      </c>
      <c r="AHM53" s="20" t="n">
        <f aca="false">IF(AKZ52&gt;0,AOM52-AOM52*TM53/AKZ52,0)+0</f>
        <v>0</v>
      </c>
      <c r="AHN53" s="20" t="n">
        <f aca="false">IF(ALA52&gt;0,AON52-AON52*TN53/ALA52,0)+0</f>
        <v>0</v>
      </c>
      <c r="AHO53" s="20" t="n">
        <f aca="false">IF(ALB52&gt;0,AOO52-AOO52*TO53/ALB52,0)+0</f>
        <v>0</v>
      </c>
      <c r="AHP53" s="20" t="n">
        <f aca="false">IF(ALC52&gt;0,AOP52-AOP52*TP53/ALC52,0)+0</f>
        <v>0</v>
      </c>
      <c r="AHQ53" s="20" t="n">
        <f aca="false">IF(ALD52&gt;0,AOQ52-AOQ52*TQ53/ALD52,0)+0</f>
        <v>0</v>
      </c>
      <c r="AHR53" s="20" t="n">
        <f aca="false">IF(ALE52&gt;0,AOR52-AOR52*TR53/ALE52,0)+0</f>
        <v>0</v>
      </c>
      <c r="AHS53" s="20" t="n">
        <f aca="false">IF(ALF52&gt;0,AOS52-AOS52*TS53/ALF52,0)+0</f>
        <v>0</v>
      </c>
      <c r="AHT53" s="20" t="n">
        <f aca="false">IF(ALG52&gt;0,AOT52-AOT52*TT53/ALG52,0)+0</f>
        <v>0</v>
      </c>
      <c r="AHU53" s="20" t="n">
        <f aca="false">IF(ALH52&gt;0,AOU52-AOU52*TU53/ALH52,0)+0</f>
        <v>0</v>
      </c>
      <c r="AHV53" s="20" t="n">
        <f aca="false">IF(ALI52&gt;0,AOV52-AOV52*TV53/ALI52,0)+0</f>
        <v>0</v>
      </c>
      <c r="AHW53" s="20" t="n">
        <f aca="false">IF(ALJ52&gt;0,AOW52-AOW52*TW53/ALJ52,0)+0</f>
        <v>0</v>
      </c>
      <c r="AHX53" s="20" t="n">
        <f aca="false">IF(ALK52&gt;0,AOX52-AOX52*TX53/ALK52,0)+0</f>
        <v>0</v>
      </c>
      <c r="AHY53" s="20" t="n">
        <f aca="false">IF(ALL52&gt;0,AOY52-AOY52*TY53/ALL52,0)+0</f>
        <v>0</v>
      </c>
      <c r="AHZ53" s="20" t="n">
        <f aca="false">IF(ALM52&gt;0,AOZ52-AOZ52*TZ53/ALM52,0)+0</f>
        <v>0</v>
      </c>
      <c r="AIA53" s="20" t="n">
        <f aca="false">IF(ALN52&gt;0,APA52-APA52*UA53/ALN52,0)+0</f>
        <v>0</v>
      </c>
      <c r="AIB53" s="20" t="n">
        <f aca="false">IF(ALO52&gt;0,APB52-APB52*UB53/ALO52,0)+0</f>
        <v>0</v>
      </c>
      <c r="AIC53" s="20" t="n">
        <f aca="false">IF(ALP52&gt;0,APC52-APC52*UC53/ALP52,0)+0</f>
        <v>0</v>
      </c>
      <c r="AID53" s="20" t="n">
        <f aca="false">IF(ALQ52&gt;0,APD52-APD52*UD53/ALQ52,0)+0</f>
        <v>0</v>
      </c>
      <c r="AIE53" s="20" t="n">
        <f aca="false">IF(ALR52&gt;0,APE52-APE52*UE53/ALR52,0)+0</f>
        <v>0</v>
      </c>
      <c r="AIF53" s="20" t="n">
        <f aca="false">IF(ALS52&gt;0,APF52-APF52*UF53/ALS52,0)+0</f>
        <v>0</v>
      </c>
      <c r="AIG53" s="20" t="n">
        <f aca="false">IF(ALT52&gt;0,APG52-APG52*UG53/ALT52,0)+0</f>
        <v>0</v>
      </c>
      <c r="AIH53" s="20" t="n">
        <f aca="false">IF(ALU52&gt;0,APH52-APH52*UH53/ALU52,0)+0</f>
        <v>0</v>
      </c>
      <c r="AII53" s="20" t="n">
        <f aca="false">IF(ALV52&gt;0,API52-API52*UI53/ALV52,0)+0</f>
        <v>0</v>
      </c>
      <c r="AIJ53" s="20" t="n">
        <f aca="false">IF(ALW52&gt;0,APJ52-APJ52*UJ53/ALW52,0)+0</f>
        <v>0</v>
      </c>
      <c r="AIK53" s="20" t="n">
        <f aca="false">IF(ALX52&gt;0,APK52-APK52*UK53/ALX52,0)+0</f>
        <v>0</v>
      </c>
      <c r="AIL53" s="20" t="n">
        <f aca="false">IF(ALY52&gt;0,APL52-APL52*UL53/ALY52,0)+0</f>
        <v>0</v>
      </c>
      <c r="AIM53" s="20" t="n">
        <f aca="false">IF(ALZ52&gt;0,APM52-APM52*UM53/ALZ52,0)+0</f>
        <v>0</v>
      </c>
      <c r="AIN53" s="20" t="n">
        <f aca="false">IF(AMA52&gt;0,APN52-APN52*UN53/AMA52,0)+0</f>
        <v>0</v>
      </c>
      <c r="AIO53" s="20" t="n">
        <f aca="false">IF(AMB52&gt;0,APO52-APO52*UO53/AMB52,0)+0</f>
        <v>0</v>
      </c>
      <c r="AIP53" s="20" t="n">
        <f aca="false">IF(AMC52&gt;0,APP52-APP52*UP53/AMC52,0)+0</f>
        <v>0</v>
      </c>
      <c r="AIQ53" s="20" t="n">
        <f aca="false">IF(AMD52&gt;0,APQ52-APQ52*UQ53/AMD52,0)+0</f>
        <v>0</v>
      </c>
      <c r="AIR53" s="20" t="n">
        <f aca="false">IF(AME52&gt;0,APR52-APR52*UR53/AME52,0)+0</f>
        <v>0</v>
      </c>
      <c r="AIS53" s="20" t="n">
        <f aca="false">IF(AMF52&gt;0,APS52-APS52*US53/AMF52,0)+0</f>
        <v>0</v>
      </c>
      <c r="AIT53" s="20" t="n">
        <f aca="false">IF(AMG52&gt;0,APT52-APT52*UT53/AMG52,0)+0</f>
        <v>0</v>
      </c>
      <c r="AIU53" s="20" t="n">
        <f aca="false">IF(AMH52&gt;0,APU52-APU52*UU53/AMH52,0)+0</f>
        <v>0</v>
      </c>
      <c r="AIV53" s="20" t="n">
        <f aca="false">IF(AMI52&gt;0,APV52-APV52*UV53/AMI52,0)+0</f>
        <v>0</v>
      </c>
      <c r="AIW53" s="20" t="n">
        <f aca="false">IF(AMJ52&gt;0,APW52-APW52*UW53/AMJ52,0)+0</f>
        <v>0</v>
      </c>
      <c r="AIX53" s="20" t="n">
        <f aca="false">IF(AMK52&gt;0,APX52-APX52*UX53/AMK52,0)+0</f>
        <v>0</v>
      </c>
      <c r="AIY53" s="20" t="n">
        <f aca="false">IF((P53+S53)&gt;0,(P53+S53)-(P53+S53)*UY53/(P53+S53),0)+BE53</f>
        <v>0</v>
      </c>
      <c r="AIZ53" s="20" t="n">
        <v>0</v>
      </c>
      <c r="AJA53" s="20" t="n">
        <v>0</v>
      </c>
      <c r="AJB53" s="20" t="n">
        <v>0</v>
      </c>
      <c r="AJC53" s="20" t="n">
        <v>0</v>
      </c>
      <c r="AJD53" s="20" t="n">
        <v>0</v>
      </c>
      <c r="AJE53" s="20" t="n">
        <v>0</v>
      </c>
      <c r="AJF53" s="20" t="n">
        <v>0</v>
      </c>
      <c r="AJG53" s="20" t="n">
        <v>0</v>
      </c>
      <c r="AJH53" s="20" t="n">
        <v>0</v>
      </c>
      <c r="AJI53" s="20" t="n">
        <v>0</v>
      </c>
      <c r="AJJ53" s="20" t="n">
        <v>0</v>
      </c>
      <c r="AJK53" s="20" t="n">
        <v>0</v>
      </c>
      <c r="AJL53" s="20" t="n">
        <v>0</v>
      </c>
      <c r="AJM53" s="20" t="n">
        <v>0</v>
      </c>
      <c r="AJN53" s="20" t="n">
        <v>0</v>
      </c>
      <c r="AJO53" s="20" t="n">
        <v>0</v>
      </c>
      <c r="AJP53" s="20" t="n">
        <v>0</v>
      </c>
      <c r="AJQ53" s="20" t="n">
        <v>0</v>
      </c>
      <c r="AJR53" s="20" t="n">
        <v>0</v>
      </c>
      <c r="AJS53" s="20" t="n">
        <v>0</v>
      </c>
      <c r="AJT53" s="20" t="n">
        <v>0</v>
      </c>
      <c r="AJU53" s="20" t="n">
        <v>0</v>
      </c>
      <c r="AJV53" s="20" t="n">
        <v>0</v>
      </c>
      <c r="AJW53" s="20" t="n">
        <v>0</v>
      </c>
      <c r="AJX53" s="20" t="n">
        <v>0</v>
      </c>
      <c r="AJY53" s="20" t="n">
        <v>0</v>
      </c>
      <c r="AJZ53" s="20" t="n">
        <v>0</v>
      </c>
      <c r="AKA53" s="20" t="n">
        <v>0</v>
      </c>
      <c r="AKB53" s="20" t="n">
        <v>0</v>
      </c>
      <c r="AKC53" s="20" t="n">
        <v>0</v>
      </c>
      <c r="AKD53" s="20" t="n">
        <v>0</v>
      </c>
      <c r="AKE53" s="20" t="n">
        <v>0</v>
      </c>
      <c r="AKF53" s="20" t="n">
        <v>0</v>
      </c>
      <c r="AKG53" s="20" t="n">
        <v>0</v>
      </c>
      <c r="AKH53" s="20" t="n">
        <v>0</v>
      </c>
      <c r="AKI53" s="20" t="n">
        <v>0</v>
      </c>
      <c r="AKJ53" s="20" t="n">
        <v>0</v>
      </c>
      <c r="AKK53" s="20" t="n">
        <v>0</v>
      </c>
      <c r="AKL53" s="20" t="n">
        <v>0</v>
      </c>
      <c r="AKM53" s="20" t="n">
        <v>0</v>
      </c>
      <c r="AKN53" s="20" t="n">
        <v>0</v>
      </c>
      <c r="AKO53" s="20" t="n">
        <v>0</v>
      </c>
      <c r="AKP53" s="20" t="n">
        <v>0</v>
      </c>
      <c r="AKQ53" s="20" t="n">
        <v>0</v>
      </c>
      <c r="AKR53" s="20" t="n">
        <f aca="false">ADR53-AVE53</f>
        <v>0</v>
      </c>
      <c r="AKS53" s="20" t="n">
        <f aca="false">ADS53-AVF53</f>
        <v>0</v>
      </c>
      <c r="AKT53" s="20" t="n">
        <f aca="false">ADT53-AVG53</f>
        <v>0</v>
      </c>
      <c r="AKU53" s="20" t="n">
        <f aca="false">ADU53-AVH53</f>
        <v>0</v>
      </c>
      <c r="AKV53" s="20" t="n">
        <f aca="false">ADV53-AVI53</f>
        <v>0</v>
      </c>
      <c r="AKW53" s="20" t="n">
        <f aca="false">ADW53-AVJ53</f>
        <v>0</v>
      </c>
      <c r="AKX53" s="20" t="n">
        <f aca="false">ADX53-AVK53</f>
        <v>0</v>
      </c>
      <c r="AKY53" s="20" t="n">
        <f aca="false">ADY53-AVL53</f>
        <v>0</v>
      </c>
      <c r="AKZ53" s="20" t="n">
        <f aca="false">ADZ53-AVM53</f>
        <v>0</v>
      </c>
      <c r="ALA53" s="20" t="n">
        <f aca="false">AEA53-AVN53</f>
        <v>0</v>
      </c>
      <c r="ALB53" s="20" t="n">
        <f aca="false">AEB53-AVO53</f>
        <v>0</v>
      </c>
      <c r="ALC53" s="20" t="n">
        <f aca="false">AEC53-AVP53</f>
        <v>0</v>
      </c>
      <c r="ALD53" s="20" t="n">
        <f aca="false">AED53-AVQ53</f>
        <v>0</v>
      </c>
      <c r="ALE53" s="20" t="n">
        <f aca="false">AEE53-AVR53</f>
        <v>0</v>
      </c>
      <c r="ALF53" s="20" t="n">
        <f aca="false">AEF53-AVS53</f>
        <v>0</v>
      </c>
      <c r="ALG53" s="20" t="n">
        <f aca="false">AEG53-AVT53</f>
        <v>0</v>
      </c>
      <c r="ALH53" s="20" t="n">
        <f aca="false">AEH53-AVU53</f>
        <v>0</v>
      </c>
      <c r="ALI53" s="20" t="n">
        <f aca="false">AEI53-AVV53</f>
        <v>0</v>
      </c>
      <c r="ALJ53" s="20" t="n">
        <f aca="false">AEJ53-AVW53</f>
        <v>0</v>
      </c>
      <c r="ALK53" s="20" t="n">
        <f aca="false">AEK53-AVX53</f>
        <v>0</v>
      </c>
      <c r="ALL53" s="20" t="n">
        <f aca="false">AEL53-AVY53</f>
        <v>0</v>
      </c>
      <c r="ALM53" s="20" t="n">
        <f aca="false">AEM53-AVZ53</f>
        <v>0</v>
      </c>
      <c r="ALN53" s="20" t="n">
        <f aca="false">AEN53-AWA53</f>
        <v>0</v>
      </c>
      <c r="ALO53" s="20" t="n">
        <f aca="false">AEO53-AWB53</f>
        <v>0</v>
      </c>
      <c r="ALP53" s="20" t="n">
        <f aca="false">AEP53-AWC53</f>
        <v>0</v>
      </c>
      <c r="ALQ53" s="20" t="n">
        <f aca="false">AEQ53-AWD53</f>
        <v>0</v>
      </c>
      <c r="ALR53" s="20" t="n">
        <f aca="false">AER53-AWE53</f>
        <v>0</v>
      </c>
      <c r="ALS53" s="20" t="n">
        <f aca="false">AES53-AWF53</f>
        <v>0</v>
      </c>
      <c r="ALT53" s="20" t="n">
        <f aca="false">AET53-AWG53</f>
        <v>0</v>
      </c>
      <c r="ALU53" s="20" t="n">
        <f aca="false">AEU53-AWH53</f>
        <v>0</v>
      </c>
      <c r="ALV53" s="20" t="n">
        <f aca="false">AEV53-AWI53</f>
        <v>0</v>
      </c>
      <c r="ALW53" s="20" t="n">
        <f aca="false">AEW53-AWJ53</f>
        <v>0</v>
      </c>
      <c r="ALX53" s="20" t="n">
        <f aca="false">AEX53-AWK53</f>
        <v>0</v>
      </c>
      <c r="ALY53" s="20" t="n">
        <f aca="false">AEY53-AWL53</f>
        <v>0</v>
      </c>
      <c r="ALZ53" s="20" t="n">
        <f aca="false">AEZ53-AWM53</f>
        <v>0</v>
      </c>
      <c r="AMA53" s="20" t="n">
        <f aca="false">AFA53-AWN53</f>
        <v>0</v>
      </c>
      <c r="AMB53" s="20" t="n">
        <f aca="false">AFB53-AWO53</f>
        <v>0</v>
      </c>
      <c r="AMC53" s="20" t="n">
        <f aca="false">AFC53-AWP53</f>
        <v>0</v>
      </c>
      <c r="AMD53" s="20" t="n">
        <f aca="false">AFD53-AWQ53</f>
        <v>0</v>
      </c>
      <c r="AME53" s="20" t="n">
        <f aca="false">AFE53-AWR53</f>
        <v>0</v>
      </c>
      <c r="AMF53" s="20" t="n">
        <f aca="false">AFF53-AWS53</f>
        <v>0</v>
      </c>
      <c r="AMG53" s="20" t="n">
        <f aca="false">AFG53-AWT53</f>
        <v>0</v>
      </c>
      <c r="AMH53" s="20" t="n">
        <f aca="false">AFH53-AWU53</f>
        <v>0</v>
      </c>
      <c r="AMI53" s="20" t="n">
        <f aca="false">AFI53-AWV53</f>
        <v>0</v>
      </c>
      <c r="AMJ53" s="20" t="n">
        <f aca="false">AFJ53-AWW53</f>
        <v>0</v>
      </c>
      <c r="AMK53" s="20" t="n">
        <f aca="false">AFK53-AWX53</f>
        <v>0</v>
      </c>
      <c r="AML53" s="20" t="n">
        <f aca="false">AFL53-AWY53</f>
        <v>0</v>
      </c>
      <c r="AMM53" s="20" t="n">
        <v>0</v>
      </c>
      <c r="AMN53" s="20" t="n">
        <v>0</v>
      </c>
      <c r="AMO53" s="20" t="n">
        <v>0</v>
      </c>
      <c r="AMP53" s="20" t="n">
        <v>0</v>
      </c>
      <c r="AMQ53" s="20" t="n">
        <v>0</v>
      </c>
      <c r="AMR53" s="20" t="n">
        <v>0</v>
      </c>
      <c r="AMS53" s="20" t="n">
        <v>0</v>
      </c>
      <c r="AMT53" s="20" t="n">
        <v>0</v>
      </c>
      <c r="AMU53" s="20" t="n">
        <v>0</v>
      </c>
      <c r="AMV53" s="20" t="n">
        <v>0</v>
      </c>
      <c r="AMW53" s="20" t="n">
        <v>0</v>
      </c>
      <c r="AMX53" s="20" t="n">
        <v>0</v>
      </c>
      <c r="AMY53" s="20" t="n">
        <v>0</v>
      </c>
      <c r="AMZ53" s="20" t="n">
        <v>0</v>
      </c>
      <c r="ANA53" s="20" t="n">
        <v>0</v>
      </c>
      <c r="ANB53" s="20" t="n">
        <v>0</v>
      </c>
      <c r="ANC53" s="20" t="n">
        <v>0</v>
      </c>
      <c r="AND53" s="20" t="n">
        <v>0</v>
      </c>
      <c r="ANE53" s="20" t="n">
        <v>0</v>
      </c>
      <c r="ANF53" s="20" t="n">
        <v>0</v>
      </c>
      <c r="ANG53" s="20" t="n">
        <v>0</v>
      </c>
      <c r="ANH53" s="20" t="n">
        <v>0</v>
      </c>
      <c r="ANI53" s="20" t="n">
        <v>0</v>
      </c>
      <c r="ANJ53" s="20" t="n">
        <v>0</v>
      </c>
      <c r="ANK53" s="20" t="n">
        <v>0</v>
      </c>
      <c r="ANL53" s="20" t="n">
        <v>0</v>
      </c>
      <c r="ANM53" s="20" t="n">
        <v>0</v>
      </c>
      <c r="ANN53" s="20" t="n">
        <v>0</v>
      </c>
      <c r="ANO53" s="20" t="n">
        <v>0</v>
      </c>
      <c r="ANP53" s="20" t="n">
        <v>0</v>
      </c>
      <c r="ANQ53" s="20" t="n">
        <v>0</v>
      </c>
      <c r="ANR53" s="20" t="n">
        <v>0</v>
      </c>
      <c r="ANS53" s="20" t="n">
        <v>0</v>
      </c>
      <c r="ANT53" s="20" t="n">
        <v>0</v>
      </c>
      <c r="ANU53" s="20" t="n">
        <v>0</v>
      </c>
      <c r="ANV53" s="20" t="n">
        <v>0</v>
      </c>
      <c r="ANW53" s="20" t="n">
        <v>0</v>
      </c>
      <c r="ANX53" s="20" t="n">
        <v>0</v>
      </c>
      <c r="ANY53" s="20" t="n">
        <v>0</v>
      </c>
      <c r="ANZ53" s="20" t="n">
        <v>0</v>
      </c>
      <c r="AOA53" s="20" t="n">
        <v>0</v>
      </c>
      <c r="AOB53" s="20" t="n">
        <v>0</v>
      </c>
      <c r="AOC53" s="20" t="n">
        <v>0</v>
      </c>
      <c r="AOD53" s="20" t="n">
        <v>0</v>
      </c>
      <c r="AOE53" s="20" t="n">
        <f aca="false">IF(AND(H_Direct=0,H_TaxEvt=1,ARR52+1&gt;=H_Deemed),AKR53,AHE53)</f>
        <v>0</v>
      </c>
      <c r="AOF53" s="20" t="n">
        <f aca="false">IF(AND(H_Direct=0,H_TaxEvt=1,ARS52+1&gt;=H_Deemed),AKS53,AHF53)</f>
        <v>0</v>
      </c>
      <c r="AOG53" s="20" t="n">
        <f aca="false">IF(AND(H_Direct=0,H_TaxEvt=1,ART52+1&gt;=H_Deemed),AKT53,AHG53)</f>
        <v>0</v>
      </c>
      <c r="AOH53" s="20" t="n">
        <f aca="false">IF(AND(H_Direct=0,H_TaxEvt=1,ARU52+1&gt;=H_Deemed),AKU53,AHH53)</f>
        <v>0</v>
      </c>
      <c r="AOI53" s="20" t="n">
        <f aca="false">IF(AND(H_Direct=0,H_TaxEvt=1,ARV52+1&gt;=H_Deemed),AKV53,AHI53)</f>
        <v>0</v>
      </c>
      <c r="AOJ53" s="20" t="n">
        <f aca="false">IF(AND(H_Direct=0,H_TaxEvt=1,ARW52+1&gt;=H_Deemed),AKW53,AHJ53)</f>
        <v>0</v>
      </c>
      <c r="AOK53" s="20" t="n">
        <f aca="false">IF(AND(H_Direct=0,H_TaxEvt=1,ARX52+1&gt;=H_Deemed),AKX53,AHK53)</f>
        <v>0</v>
      </c>
      <c r="AOL53" s="20" t="n">
        <f aca="false">IF(AND(H_Direct=0,H_TaxEvt=1,ARY52+1&gt;=H_Deemed),AKY53,AHL53)</f>
        <v>0</v>
      </c>
      <c r="AOM53" s="20" t="n">
        <f aca="false">IF(AND(H_Direct=0,H_TaxEvt=1,ARZ52+1&gt;=H_Deemed),AKZ53,AHM53)</f>
        <v>0</v>
      </c>
      <c r="AON53" s="20" t="n">
        <f aca="false">IF(AND(H_Direct=0,H_TaxEvt=1,ASA52+1&gt;=H_Deemed),ALA53,AHN53)</f>
        <v>0</v>
      </c>
      <c r="AOO53" s="20" t="n">
        <f aca="false">IF(AND(H_Direct=0,H_TaxEvt=1,ASB52+1&gt;=H_Deemed),ALB53,AHO53)</f>
        <v>0</v>
      </c>
      <c r="AOP53" s="20" t="n">
        <f aca="false">IF(AND(H_Direct=0,H_TaxEvt=1,ASC52+1&gt;=H_Deemed),ALC53,AHP53)</f>
        <v>0</v>
      </c>
      <c r="AOQ53" s="20" t="n">
        <f aca="false">IF(AND(H_Direct=0,H_TaxEvt=1,ASD52+1&gt;=H_Deemed),ALD53,AHQ53)</f>
        <v>0</v>
      </c>
      <c r="AOR53" s="20" t="n">
        <f aca="false">IF(AND(H_Direct=0,H_TaxEvt=1,ASE52+1&gt;=H_Deemed),ALE53,AHR53)</f>
        <v>0</v>
      </c>
      <c r="AOS53" s="20" t="n">
        <f aca="false">IF(AND(H_Direct=0,H_TaxEvt=1,ASF52+1&gt;=H_Deemed),ALF53,AHS53)</f>
        <v>0</v>
      </c>
      <c r="AOT53" s="20" t="n">
        <f aca="false">IF(AND(H_Direct=0,H_TaxEvt=1,ASG52+1&gt;=H_Deemed),ALG53,AHT53)</f>
        <v>0</v>
      </c>
      <c r="AOU53" s="20" t="n">
        <f aca="false">IF(AND(H_Direct=0,H_TaxEvt=1,ASH52+1&gt;=H_Deemed),ALH53,AHU53)</f>
        <v>0</v>
      </c>
      <c r="AOV53" s="20" t="n">
        <f aca="false">IF(AND(H_Direct=0,H_TaxEvt=1,ASI52+1&gt;=H_Deemed),ALI53,AHV53)</f>
        <v>0</v>
      </c>
      <c r="AOW53" s="20" t="n">
        <f aca="false">IF(AND(H_Direct=0,H_TaxEvt=1,ASJ52+1&gt;=H_Deemed),ALJ53,AHW53)</f>
        <v>0</v>
      </c>
      <c r="AOX53" s="20" t="n">
        <f aca="false">IF(AND(H_Direct=0,H_TaxEvt=1,ASK52+1&gt;=H_Deemed),ALK53,AHX53)</f>
        <v>0</v>
      </c>
      <c r="AOY53" s="20" t="n">
        <f aca="false">IF(AND(H_Direct=0,H_TaxEvt=1,ASL52+1&gt;=H_Deemed),ALL53,AHY53)</f>
        <v>0</v>
      </c>
      <c r="AOZ53" s="20" t="n">
        <f aca="false">IF(AND(H_Direct=0,H_TaxEvt=1,ASM52+1&gt;=H_Deemed),ALM53,AHZ53)</f>
        <v>0</v>
      </c>
      <c r="APA53" s="20" t="n">
        <f aca="false">IF(AND(H_Direct=0,H_TaxEvt=1,ASN52+1&gt;=H_Deemed),ALN53,AIA53)</f>
        <v>0</v>
      </c>
      <c r="APB53" s="20" t="n">
        <f aca="false">IF(AND(H_Direct=0,H_TaxEvt=1,ASO52+1&gt;=H_Deemed),ALO53,AIB53)</f>
        <v>0</v>
      </c>
      <c r="APC53" s="20" t="n">
        <f aca="false">IF(AND(H_Direct=0,H_TaxEvt=1,ASP52+1&gt;=H_Deemed),ALP53,AIC53)</f>
        <v>0</v>
      </c>
      <c r="APD53" s="20" t="n">
        <f aca="false">IF(AND(H_Direct=0,H_TaxEvt=1,ASQ52+1&gt;=H_Deemed),ALQ53,AID53)</f>
        <v>0</v>
      </c>
      <c r="APE53" s="20" t="n">
        <f aca="false">IF(AND(H_Direct=0,H_TaxEvt=1,ASR52+1&gt;=H_Deemed),ALR53,AIE53)</f>
        <v>0</v>
      </c>
      <c r="APF53" s="20" t="n">
        <f aca="false">IF(AND(H_Direct=0,H_TaxEvt=1,ASS52+1&gt;=H_Deemed),ALS53,AIF53)</f>
        <v>0</v>
      </c>
      <c r="APG53" s="20" t="n">
        <f aca="false">IF(AND(H_Direct=0,H_TaxEvt=1,AST52+1&gt;=H_Deemed),ALT53,AIG53)</f>
        <v>0</v>
      </c>
      <c r="APH53" s="20" t="n">
        <f aca="false">IF(AND(H_Direct=0,H_TaxEvt=1,ASU52+1&gt;=H_Deemed),ALU53,AIH53)</f>
        <v>0</v>
      </c>
      <c r="API53" s="20" t="n">
        <f aca="false">IF(AND(H_Direct=0,H_TaxEvt=1,ASV52+1&gt;=H_Deemed),ALV53,AII53)</f>
        <v>0</v>
      </c>
      <c r="APJ53" s="20" t="n">
        <f aca="false">IF(AND(H_Direct=0,H_TaxEvt=1,ASW52+1&gt;=H_Deemed),ALW53,AIJ53)</f>
        <v>0</v>
      </c>
      <c r="APK53" s="20" t="n">
        <f aca="false">IF(AND(H_Direct=0,H_TaxEvt=1,ASX52+1&gt;=H_Deemed),ALX53,AIK53)</f>
        <v>0</v>
      </c>
      <c r="APL53" s="20" t="n">
        <f aca="false">IF(AND(H_Direct=0,H_TaxEvt=1,ASY52+1&gt;=H_Deemed),ALY53,AIL53)</f>
        <v>0</v>
      </c>
      <c r="APM53" s="20" t="n">
        <f aca="false">IF(AND(H_Direct=0,H_TaxEvt=1,ASZ52+1&gt;=H_Deemed),ALZ53,AIM53)</f>
        <v>0</v>
      </c>
      <c r="APN53" s="20" t="n">
        <f aca="false">IF(AND(H_Direct=0,H_TaxEvt=1,ATA52+1&gt;=H_Deemed),AMA53,AIN53)</f>
        <v>0</v>
      </c>
      <c r="APO53" s="20" t="n">
        <f aca="false">IF(AND(H_Direct=0,H_TaxEvt=1,ATB52+1&gt;=H_Deemed),AMB53,AIO53)</f>
        <v>0</v>
      </c>
      <c r="APP53" s="20" t="n">
        <f aca="false">IF(AND(H_Direct=0,H_TaxEvt=1,ATC52+1&gt;=H_Deemed),AMC53,AIP53)</f>
        <v>0</v>
      </c>
      <c r="APQ53" s="20" t="n">
        <f aca="false">IF(AND(H_Direct=0,H_TaxEvt=1,ATD52+1&gt;=H_Deemed),AMD53,AIQ53)</f>
        <v>0</v>
      </c>
      <c r="APR53" s="20" t="n">
        <f aca="false">IF(AND(H_Direct=0,H_TaxEvt=1,ATE52+1&gt;=H_Deemed),AME53,AIR53)</f>
        <v>0</v>
      </c>
      <c r="APS53" s="20" t="n">
        <f aca="false">IF(AND(H_Direct=0,H_TaxEvt=1,ATF52+1&gt;=H_Deemed),AMF53,AIS53)</f>
        <v>0</v>
      </c>
      <c r="APT53" s="20" t="n">
        <f aca="false">IF(AND(H_Direct=0,H_TaxEvt=1,ATG52+1&gt;=H_Deemed),AMG53,AIT53)</f>
        <v>0</v>
      </c>
      <c r="APU53" s="20" t="n">
        <f aca="false">IF(AND(H_Direct=0,H_TaxEvt=1,ATH52+1&gt;=H_Deemed),AMH53,AIU53)</f>
        <v>0</v>
      </c>
      <c r="APV53" s="20" t="n">
        <f aca="false">IF(AND(H_Direct=0,H_TaxEvt=1,ATI52+1&gt;=H_Deemed),AMI53,AIV53)</f>
        <v>0</v>
      </c>
      <c r="APW53" s="20" t="n">
        <f aca="false">IF(AND(H_Direct=0,H_TaxEvt=1,ATJ52+1&gt;=H_Deemed),AMJ53,AIW53)</f>
        <v>0</v>
      </c>
      <c r="APX53" s="20" t="n">
        <f aca="false">IF(AND(H_Direct=0,H_TaxEvt=1,ATK52+1&gt;=H_Deemed),AMK53,AIX53)</f>
        <v>0</v>
      </c>
      <c r="APY53" s="20" t="n">
        <f aca="false">IF(AND(H_Direct=0,H_TaxEvt=1,0+1&gt;=H_Deemed),AML53,AIY53)</f>
        <v>0</v>
      </c>
      <c r="APZ53" s="20" t="n">
        <v>0</v>
      </c>
      <c r="AQA53" s="20" t="n">
        <v>0</v>
      </c>
      <c r="AQB53" s="20" t="n">
        <v>0</v>
      </c>
      <c r="AQC53" s="20" t="n">
        <v>0</v>
      </c>
      <c r="AQD53" s="20" t="n">
        <v>0</v>
      </c>
      <c r="AQE53" s="20" t="n">
        <v>0</v>
      </c>
      <c r="AQF53" s="20" t="n">
        <v>0</v>
      </c>
      <c r="AQG53" s="20" t="n">
        <v>0</v>
      </c>
      <c r="AQH53" s="20" t="n">
        <v>0</v>
      </c>
      <c r="AQI53" s="20" t="n">
        <v>0</v>
      </c>
      <c r="AQJ53" s="20" t="n">
        <v>0</v>
      </c>
      <c r="AQK53" s="20" t="n">
        <v>0</v>
      </c>
      <c r="AQL53" s="20" t="n">
        <v>0</v>
      </c>
      <c r="AQM53" s="20" t="n">
        <v>0</v>
      </c>
      <c r="AQN53" s="20" t="n">
        <v>0</v>
      </c>
      <c r="AQO53" s="20" t="n">
        <v>0</v>
      </c>
      <c r="AQP53" s="20" t="n">
        <v>0</v>
      </c>
      <c r="AQQ53" s="20" t="n">
        <v>0</v>
      </c>
      <c r="AQR53" s="20" t="n">
        <v>0</v>
      </c>
      <c r="AQS53" s="20" t="n">
        <v>0</v>
      </c>
      <c r="AQT53" s="20" t="n">
        <v>0</v>
      </c>
      <c r="AQU53" s="20" t="n">
        <v>0</v>
      </c>
      <c r="AQV53" s="20" t="n">
        <v>0</v>
      </c>
      <c r="AQW53" s="20" t="n">
        <v>0</v>
      </c>
      <c r="AQX53" s="20" t="n">
        <v>0</v>
      </c>
      <c r="AQY53" s="20" t="n">
        <v>0</v>
      </c>
      <c r="AQZ53" s="20" t="n">
        <v>0</v>
      </c>
      <c r="ARA53" s="20" t="n">
        <v>0</v>
      </c>
      <c r="ARB53" s="20" t="n">
        <v>0</v>
      </c>
      <c r="ARC53" s="20" t="n">
        <v>0</v>
      </c>
      <c r="ARD53" s="20" t="n">
        <v>0</v>
      </c>
      <c r="ARE53" s="20" t="n">
        <v>0</v>
      </c>
      <c r="ARF53" s="20" t="n">
        <v>0</v>
      </c>
      <c r="ARG53" s="20" t="n">
        <v>0</v>
      </c>
      <c r="ARH53" s="20" t="n">
        <v>0</v>
      </c>
      <c r="ARI53" s="20" t="n">
        <v>0</v>
      </c>
      <c r="ARJ53" s="20" t="n">
        <v>0</v>
      </c>
      <c r="ARK53" s="20" t="n">
        <v>0</v>
      </c>
      <c r="ARL53" s="20" t="n">
        <v>0</v>
      </c>
      <c r="ARM53" s="20" t="n">
        <v>0</v>
      </c>
      <c r="ARN53" s="20" t="n">
        <v>0</v>
      </c>
      <c r="ARO53" s="20" t="n">
        <v>0</v>
      </c>
      <c r="ARP53" s="20" t="n">
        <v>0</v>
      </c>
      <c r="ARQ53" s="20" t="n">
        <v>0</v>
      </c>
      <c r="ARR53" s="20" t="n">
        <f aca="false">IF(AND(H_Direct=0,H_TaxEvt=1),IF(ARR52+1&gt;=H_Deemed,0,ARR52+1),ARR52)</f>
        <v>6</v>
      </c>
      <c r="ARS53" s="20" t="n">
        <f aca="false">IF(AND(H_Direct=0,H_TaxEvt=1),IF(ARS52+1&gt;=H_Deemed,0,ARS52+1),ARS52)</f>
        <v>6</v>
      </c>
      <c r="ART53" s="20" t="n">
        <f aca="false">IF(AND(H_Direct=0,H_TaxEvt=1),IF(ART52+1&gt;=H_Deemed,0,ART52+1),ART52)</f>
        <v>5</v>
      </c>
      <c r="ARU53" s="20" t="n">
        <f aca="false">IF(AND(H_Direct=0,H_TaxEvt=1),IF(ARU52+1&gt;=H_Deemed,0,ARU52+1),ARU52)</f>
        <v>4</v>
      </c>
      <c r="ARV53" s="20" t="n">
        <f aca="false">IF(AND(H_Direct=0,H_TaxEvt=1),IF(ARV52+1&gt;=H_Deemed,0,ARV52+1),ARV52)</f>
        <v>3</v>
      </c>
      <c r="ARW53" s="20" t="n">
        <f aca="false">IF(AND(H_Direct=0,H_TaxEvt=1),IF(ARW52+1&gt;=H_Deemed,0,ARW52+1),ARW52)</f>
        <v>2</v>
      </c>
      <c r="ARX53" s="20" t="n">
        <f aca="false">IF(AND(H_Direct=0,H_TaxEvt=1),IF(ARX52+1&gt;=H_Deemed,0,ARX52+1),ARX52)</f>
        <v>1</v>
      </c>
      <c r="ARY53" s="20" t="n">
        <f aca="false">IF(AND(H_Direct=0,H_TaxEvt=1),IF(ARY52+1&gt;=H_Deemed,0,ARY52+1),ARY52)</f>
        <v>0</v>
      </c>
      <c r="ARZ53" s="20" t="n">
        <f aca="false">IF(AND(H_Direct=0,H_TaxEvt=1),IF(ARZ52+1&gt;=H_Deemed,0,ARZ52+1),ARZ52)</f>
        <v>7</v>
      </c>
      <c r="ASA53" s="20" t="n">
        <f aca="false">IF(AND(H_Direct=0,H_TaxEvt=1),IF(ASA52+1&gt;=H_Deemed,0,ASA52+1),ASA52)</f>
        <v>6</v>
      </c>
      <c r="ASB53" s="20" t="n">
        <f aca="false">IF(AND(H_Direct=0,H_TaxEvt=1),IF(ASB52+1&gt;=H_Deemed,0,ASB52+1),ASB52)</f>
        <v>5</v>
      </c>
      <c r="ASC53" s="20" t="n">
        <f aca="false">IF(AND(H_Direct=0,H_TaxEvt=1),IF(ASC52+1&gt;=H_Deemed,0,ASC52+1),ASC52)</f>
        <v>4</v>
      </c>
      <c r="ASD53" s="20" t="n">
        <f aca="false">IF(AND(H_Direct=0,H_TaxEvt=1),IF(ASD52+1&gt;=H_Deemed,0,ASD52+1),ASD52)</f>
        <v>3</v>
      </c>
      <c r="ASE53" s="20" t="n">
        <f aca="false">IF(AND(H_Direct=0,H_TaxEvt=1),IF(ASE52+1&gt;=H_Deemed,0,ASE52+1),ASE52)</f>
        <v>2</v>
      </c>
      <c r="ASF53" s="20" t="n">
        <f aca="false">IF(AND(H_Direct=0,H_TaxEvt=1),IF(ASF52+1&gt;=H_Deemed,0,ASF52+1),ASF52)</f>
        <v>1</v>
      </c>
      <c r="ASG53" s="20" t="n">
        <f aca="false">IF(AND(H_Direct=0,H_TaxEvt=1),IF(ASG52+1&gt;=H_Deemed,0,ASG52+1),ASG52)</f>
        <v>0</v>
      </c>
      <c r="ASH53" s="20" t="n">
        <f aca="false">IF(AND(H_Direct=0,H_TaxEvt=1),IF(ASH52+1&gt;=H_Deemed,0,ASH52+1),ASH52)</f>
        <v>7</v>
      </c>
      <c r="ASI53" s="20" t="n">
        <f aca="false">IF(AND(H_Direct=0,H_TaxEvt=1),IF(ASI52+1&gt;=H_Deemed,0,ASI52+1),ASI52)</f>
        <v>6</v>
      </c>
      <c r="ASJ53" s="20" t="n">
        <f aca="false">IF(AND(H_Direct=0,H_TaxEvt=1),IF(ASJ52+1&gt;=H_Deemed,0,ASJ52+1),ASJ52)</f>
        <v>5</v>
      </c>
      <c r="ASK53" s="20" t="n">
        <f aca="false">IF(AND(H_Direct=0,H_TaxEvt=1),IF(ASK52+1&gt;=H_Deemed,0,ASK52+1),ASK52)</f>
        <v>4</v>
      </c>
      <c r="ASL53" s="20" t="n">
        <f aca="false">IF(AND(H_Direct=0,H_TaxEvt=1),IF(ASL52+1&gt;=H_Deemed,0,ASL52+1),ASL52)</f>
        <v>3</v>
      </c>
      <c r="ASM53" s="20" t="n">
        <f aca="false">IF(AND(H_Direct=0,H_TaxEvt=1),IF(ASM52+1&gt;=H_Deemed,0,ASM52+1),ASM52)</f>
        <v>2</v>
      </c>
      <c r="ASN53" s="20" t="n">
        <f aca="false">IF(AND(H_Direct=0,H_TaxEvt=1),IF(ASN52+1&gt;=H_Deemed,0,ASN52+1),ASN52)</f>
        <v>1</v>
      </c>
      <c r="ASO53" s="20" t="n">
        <f aca="false">IF(AND(H_Direct=0,H_TaxEvt=1),IF(ASO52+1&gt;=H_Deemed,0,ASO52+1),ASO52)</f>
        <v>0</v>
      </c>
      <c r="ASP53" s="20" t="n">
        <f aca="false">IF(AND(H_Direct=0,H_TaxEvt=1),IF(ASP52+1&gt;=H_Deemed,0,ASP52+1),ASP52)</f>
        <v>7</v>
      </c>
      <c r="ASQ53" s="20" t="n">
        <f aca="false">IF(AND(H_Direct=0,H_TaxEvt=1),IF(ASQ52+1&gt;=H_Deemed,0,ASQ52+1),ASQ52)</f>
        <v>6</v>
      </c>
      <c r="ASR53" s="20" t="n">
        <f aca="false">IF(AND(H_Direct=0,H_TaxEvt=1),IF(ASR52+1&gt;=H_Deemed,0,ASR52+1),ASR52)</f>
        <v>5</v>
      </c>
      <c r="ASS53" s="20" t="n">
        <f aca="false">IF(AND(H_Direct=0,H_TaxEvt=1),IF(ASS52+1&gt;=H_Deemed,0,ASS52+1),ASS52)</f>
        <v>4</v>
      </c>
      <c r="AST53" s="20" t="n">
        <f aca="false">IF(AND(H_Direct=0,H_TaxEvt=1),IF(AST52+1&gt;=H_Deemed,0,AST52+1),AST52)</f>
        <v>3</v>
      </c>
      <c r="ASU53" s="20" t="n">
        <f aca="false">IF(AND(H_Direct=0,H_TaxEvt=1),IF(ASU52+1&gt;=H_Deemed,0,ASU52+1),ASU52)</f>
        <v>2</v>
      </c>
      <c r="ASV53" s="20" t="n">
        <f aca="false">IF(AND(H_Direct=0,H_TaxEvt=1),IF(ASV52+1&gt;=H_Deemed,0,ASV52+1),ASV52)</f>
        <v>1</v>
      </c>
      <c r="ASW53" s="20" t="n">
        <f aca="false">IF(AND(H_Direct=0,H_TaxEvt=1),IF(ASW52+1&gt;=H_Deemed,0,ASW52+1),ASW52)</f>
        <v>0</v>
      </c>
      <c r="ASX53" s="20" t="n">
        <f aca="false">IF(AND(H_Direct=0,H_TaxEvt=1),IF(ASX52+1&gt;=H_Deemed,0,ASX52+1),ASX52)</f>
        <v>7</v>
      </c>
      <c r="ASY53" s="20" t="n">
        <f aca="false">IF(AND(H_Direct=0,H_TaxEvt=1),IF(ASY52+1&gt;=H_Deemed,0,ASY52+1),ASY52)</f>
        <v>6</v>
      </c>
      <c r="ASZ53" s="20" t="n">
        <f aca="false">IF(AND(H_Direct=0,H_TaxEvt=1),IF(ASZ52+1&gt;=H_Deemed,0,ASZ52+1),ASZ52)</f>
        <v>5</v>
      </c>
      <c r="ATA53" s="20" t="n">
        <f aca="false">IF(AND(H_Direct=0,H_TaxEvt=1),IF(ATA52+1&gt;=H_Deemed,0,ATA52+1),ATA52)</f>
        <v>4</v>
      </c>
      <c r="ATB53" s="20" t="n">
        <f aca="false">IF(AND(H_Direct=0,H_TaxEvt=1),IF(ATB52+1&gt;=H_Deemed,0,ATB52+1),ATB52)</f>
        <v>3</v>
      </c>
      <c r="ATC53" s="20" t="n">
        <f aca="false">IF(AND(H_Direct=0,H_TaxEvt=1),IF(ATC52+1&gt;=H_Deemed,0,ATC52+1),ATC52)</f>
        <v>2</v>
      </c>
      <c r="ATD53" s="20" t="n">
        <f aca="false">IF(AND(H_Direct=0,H_TaxEvt=1),IF(ATD52+1&gt;=H_Deemed,0,ATD52+1),ATD52)</f>
        <v>1</v>
      </c>
      <c r="ATE53" s="20" t="n">
        <f aca="false">IF(AND(H_Direct=0,H_TaxEvt=1),IF(ATE52+1&gt;=H_Deemed,0,ATE52+1),ATE52)</f>
        <v>0</v>
      </c>
      <c r="ATF53" s="20" t="n">
        <f aca="false">IF(AND(H_Direct=0,H_TaxEvt=1),IF(ATF52+1&gt;=H_Deemed,0,ATF52+1),ATF52)</f>
        <v>7</v>
      </c>
      <c r="ATG53" s="20" t="n">
        <f aca="false">IF(AND(H_Direct=0,H_TaxEvt=1),IF(ATG52+1&gt;=H_Deemed,0,ATG52+1),ATG52)</f>
        <v>6</v>
      </c>
      <c r="ATH53" s="20" t="n">
        <f aca="false">IF(AND(H_Direct=0,H_TaxEvt=1),IF(ATH52+1&gt;=H_Deemed,0,ATH52+1),ATH52)</f>
        <v>5</v>
      </c>
      <c r="ATI53" s="20" t="n">
        <f aca="false">IF(AND(H_Direct=0,H_TaxEvt=1),IF(ATI52+1&gt;=H_Deemed,0,ATI52+1),ATI52)</f>
        <v>4</v>
      </c>
      <c r="ATJ53" s="20" t="n">
        <f aca="false">IF(AND(H_Direct=0,H_TaxEvt=1),IF(ATJ52+1&gt;=H_Deemed,0,ATJ52+1),ATJ52)</f>
        <v>3</v>
      </c>
      <c r="ATK53" s="20" t="n">
        <f aca="false">IF(AND(H_Direct=0,H_TaxEvt=1),IF(ATK52+1&gt;=H_Deemed,0,ATK52+1),ATK52)</f>
        <v>2</v>
      </c>
      <c r="ATL53" s="20" t="n">
        <f aca="false">IF(AND(H_Direct=0,H_TaxEvt=1),IF(0+1&gt;=H_Deemed,0,0+1),0)</f>
        <v>1</v>
      </c>
      <c r="ATM53" s="20" t="n">
        <v>0</v>
      </c>
      <c r="ATN53" s="20" t="n">
        <v>0</v>
      </c>
      <c r="ATO53" s="20" t="n">
        <v>0</v>
      </c>
      <c r="ATP53" s="20" t="n">
        <v>0</v>
      </c>
      <c r="ATQ53" s="20" t="n">
        <v>0</v>
      </c>
      <c r="ATR53" s="20" t="n">
        <v>0</v>
      </c>
      <c r="ATS53" s="20" t="n">
        <v>0</v>
      </c>
      <c r="ATT53" s="20" t="n">
        <v>0</v>
      </c>
      <c r="ATU53" s="20" t="n">
        <v>0</v>
      </c>
      <c r="ATV53" s="20" t="n">
        <v>0</v>
      </c>
      <c r="ATW53" s="20" t="n">
        <v>0</v>
      </c>
      <c r="ATX53" s="20" t="n">
        <v>0</v>
      </c>
      <c r="ATY53" s="20" t="n">
        <v>0</v>
      </c>
      <c r="ATZ53" s="20" t="n">
        <v>0</v>
      </c>
      <c r="AUA53" s="20" t="n">
        <v>0</v>
      </c>
      <c r="AUB53" s="20" t="n">
        <v>0</v>
      </c>
      <c r="AUC53" s="20" t="n">
        <v>0</v>
      </c>
      <c r="AUD53" s="20" t="n">
        <v>0</v>
      </c>
      <c r="AUE53" s="20" t="n">
        <v>0</v>
      </c>
      <c r="AUF53" s="20" t="n">
        <v>0</v>
      </c>
      <c r="AUG53" s="20" t="n">
        <v>0</v>
      </c>
      <c r="AUH53" s="20" t="n">
        <v>0</v>
      </c>
      <c r="AUI53" s="20" t="n">
        <v>0</v>
      </c>
      <c r="AUJ53" s="20" t="n">
        <v>0</v>
      </c>
      <c r="AUK53" s="20" t="n">
        <v>0</v>
      </c>
      <c r="AUL53" s="20" t="n">
        <v>0</v>
      </c>
      <c r="AUM53" s="20" t="n">
        <v>0</v>
      </c>
      <c r="AUN53" s="20" t="n">
        <v>0</v>
      </c>
      <c r="AUO53" s="20" t="n">
        <v>0</v>
      </c>
      <c r="AUP53" s="20" t="n">
        <v>0</v>
      </c>
      <c r="AUQ53" s="20" t="n">
        <v>0</v>
      </c>
      <c r="AUR53" s="20" t="n">
        <v>0</v>
      </c>
      <c r="AUS53" s="20" t="n">
        <v>0</v>
      </c>
      <c r="AUT53" s="20" t="n">
        <v>0</v>
      </c>
      <c r="AUU53" s="20" t="n">
        <v>0</v>
      </c>
      <c r="AUV53" s="20" t="n">
        <v>0</v>
      </c>
      <c r="AUW53" s="20" t="n">
        <v>0</v>
      </c>
      <c r="AUX53" s="20" t="n">
        <v>0</v>
      </c>
      <c r="AUY53" s="20" t="n">
        <v>0</v>
      </c>
      <c r="AUZ53" s="20" t="n">
        <v>0</v>
      </c>
      <c r="AVA53" s="20" t="n">
        <v>0</v>
      </c>
      <c r="AVB53" s="20" t="n">
        <v>0</v>
      </c>
      <c r="AVC53" s="20" t="n">
        <v>0</v>
      </c>
      <c r="AVD53" s="20" t="n">
        <v>0</v>
      </c>
      <c r="AVE53" s="20" t="n">
        <f aca="false">IF(AND(H_Direct=0,H_TaxEvt=1,ARR52+1&gt;=H_Deemed),MAX(0,ADR53-AHE53)*H_Exit,0)</f>
        <v>0</v>
      </c>
      <c r="AVF53" s="20" t="n">
        <f aca="false">IF(AND(H_Direct=0,H_TaxEvt=1,ARS52+1&gt;=H_Deemed),MAX(0,ADS53-AHF53)*H_Exit,0)</f>
        <v>0</v>
      </c>
      <c r="AVG53" s="20" t="n">
        <f aca="false">IF(AND(H_Direct=0,H_TaxEvt=1,ART52+1&gt;=H_Deemed),MAX(0,ADT53-AHG53)*H_Exit,0)</f>
        <v>0</v>
      </c>
      <c r="AVH53" s="20" t="n">
        <f aca="false">IF(AND(H_Direct=0,H_TaxEvt=1,ARU52+1&gt;=H_Deemed),MAX(0,ADU53-AHH53)*H_Exit,0)</f>
        <v>0</v>
      </c>
      <c r="AVI53" s="20" t="n">
        <f aca="false">IF(AND(H_Direct=0,H_TaxEvt=1,ARV52+1&gt;=H_Deemed),MAX(0,ADV53-AHI53)*H_Exit,0)</f>
        <v>0</v>
      </c>
      <c r="AVJ53" s="20" t="n">
        <f aca="false">IF(AND(H_Direct=0,H_TaxEvt=1,ARW52+1&gt;=H_Deemed),MAX(0,ADW53-AHJ53)*H_Exit,0)</f>
        <v>0</v>
      </c>
      <c r="AVK53" s="20" t="n">
        <f aca="false">IF(AND(H_Direct=0,H_TaxEvt=1,ARX52+1&gt;=H_Deemed),MAX(0,ADX53-AHK53)*H_Exit,0)</f>
        <v>0</v>
      </c>
      <c r="AVL53" s="20" t="n">
        <f aca="false">IF(AND(H_Direct=0,H_TaxEvt=1,ARY52+1&gt;=H_Deemed),MAX(0,ADY53-AHL53)*H_Exit,0)</f>
        <v>0</v>
      </c>
      <c r="AVM53" s="20" t="n">
        <f aca="false">IF(AND(H_Direct=0,H_TaxEvt=1,ARZ52+1&gt;=H_Deemed),MAX(0,ADZ53-AHM53)*H_Exit,0)</f>
        <v>0</v>
      </c>
      <c r="AVN53" s="20" t="n">
        <f aca="false">IF(AND(H_Direct=0,H_TaxEvt=1,ASA52+1&gt;=H_Deemed),MAX(0,AEA53-AHN53)*H_Exit,0)</f>
        <v>0</v>
      </c>
      <c r="AVO53" s="20" t="n">
        <f aca="false">IF(AND(H_Direct=0,H_TaxEvt=1,ASB52+1&gt;=H_Deemed),MAX(0,AEB53-AHO53)*H_Exit,0)</f>
        <v>0</v>
      </c>
      <c r="AVP53" s="20" t="n">
        <f aca="false">IF(AND(H_Direct=0,H_TaxEvt=1,ASC52+1&gt;=H_Deemed),MAX(0,AEC53-AHP53)*H_Exit,0)</f>
        <v>0</v>
      </c>
      <c r="AVQ53" s="20" t="n">
        <f aca="false">IF(AND(H_Direct=0,H_TaxEvt=1,ASD52+1&gt;=H_Deemed),MAX(0,AED53-AHQ53)*H_Exit,0)</f>
        <v>0</v>
      </c>
      <c r="AVR53" s="20" t="n">
        <f aca="false">IF(AND(H_Direct=0,H_TaxEvt=1,ASE52+1&gt;=H_Deemed),MAX(0,AEE53-AHR53)*H_Exit,0)</f>
        <v>0</v>
      </c>
      <c r="AVS53" s="20" t="n">
        <f aca="false">IF(AND(H_Direct=0,H_TaxEvt=1,ASF52+1&gt;=H_Deemed),MAX(0,AEF53-AHS53)*H_Exit,0)</f>
        <v>0</v>
      </c>
      <c r="AVT53" s="20" t="n">
        <f aca="false">IF(AND(H_Direct=0,H_TaxEvt=1,ASG52+1&gt;=H_Deemed),MAX(0,AEG53-AHT53)*H_Exit,0)</f>
        <v>0</v>
      </c>
      <c r="AVU53" s="20" t="n">
        <f aca="false">IF(AND(H_Direct=0,H_TaxEvt=1,ASH52+1&gt;=H_Deemed),MAX(0,AEH53-AHU53)*H_Exit,0)</f>
        <v>0</v>
      </c>
      <c r="AVV53" s="20" t="n">
        <f aca="false">IF(AND(H_Direct=0,H_TaxEvt=1,ASI52+1&gt;=H_Deemed),MAX(0,AEI53-AHV53)*H_Exit,0)</f>
        <v>0</v>
      </c>
      <c r="AVW53" s="20" t="n">
        <f aca="false">IF(AND(H_Direct=0,H_TaxEvt=1,ASJ52+1&gt;=H_Deemed),MAX(0,AEJ53-AHW53)*H_Exit,0)</f>
        <v>0</v>
      </c>
      <c r="AVX53" s="20" t="n">
        <f aca="false">IF(AND(H_Direct=0,H_TaxEvt=1,ASK52+1&gt;=H_Deemed),MAX(0,AEK53-AHX53)*H_Exit,0)</f>
        <v>0</v>
      </c>
      <c r="AVY53" s="20" t="n">
        <f aca="false">IF(AND(H_Direct=0,H_TaxEvt=1,ASL52+1&gt;=H_Deemed),MAX(0,AEL53-AHY53)*H_Exit,0)</f>
        <v>0</v>
      </c>
      <c r="AVZ53" s="20" t="n">
        <f aca="false">IF(AND(H_Direct=0,H_TaxEvt=1,ASM52+1&gt;=H_Deemed),MAX(0,AEM53-AHZ53)*H_Exit,0)</f>
        <v>0</v>
      </c>
      <c r="AWA53" s="20" t="n">
        <f aca="false">IF(AND(H_Direct=0,H_TaxEvt=1,ASN52+1&gt;=H_Deemed),MAX(0,AEN53-AIA53)*H_Exit,0)</f>
        <v>0</v>
      </c>
      <c r="AWB53" s="20" t="n">
        <f aca="false">IF(AND(H_Direct=0,H_TaxEvt=1,ASO52+1&gt;=H_Deemed),MAX(0,AEO53-AIB53)*H_Exit,0)</f>
        <v>0</v>
      </c>
      <c r="AWC53" s="20" t="n">
        <f aca="false">IF(AND(H_Direct=0,H_TaxEvt=1,ASP52+1&gt;=H_Deemed),MAX(0,AEP53-AIC53)*H_Exit,0)</f>
        <v>0</v>
      </c>
      <c r="AWD53" s="20" t="n">
        <f aca="false">IF(AND(H_Direct=0,H_TaxEvt=1,ASQ52+1&gt;=H_Deemed),MAX(0,AEQ53-AID53)*H_Exit,0)</f>
        <v>0</v>
      </c>
      <c r="AWE53" s="20" t="n">
        <f aca="false">IF(AND(H_Direct=0,H_TaxEvt=1,ASR52+1&gt;=H_Deemed),MAX(0,AER53-AIE53)*H_Exit,0)</f>
        <v>0</v>
      </c>
      <c r="AWF53" s="20" t="n">
        <f aca="false">IF(AND(H_Direct=0,H_TaxEvt=1,ASS52+1&gt;=H_Deemed),MAX(0,AES53-AIF53)*H_Exit,0)</f>
        <v>0</v>
      </c>
      <c r="AWG53" s="20" t="n">
        <f aca="false">IF(AND(H_Direct=0,H_TaxEvt=1,AST52+1&gt;=H_Deemed),MAX(0,AET53-AIG53)*H_Exit,0)</f>
        <v>0</v>
      </c>
      <c r="AWH53" s="20" t="n">
        <f aca="false">IF(AND(H_Direct=0,H_TaxEvt=1,ASU52+1&gt;=H_Deemed),MAX(0,AEU53-AIH53)*H_Exit,0)</f>
        <v>0</v>
      </c>
      <c r="AWI53" s="20" t="n">
        <f aca="false">IF(AND(H_Direct=0,H_TaxEvt=1,ASV52+1&gt;=H_Deemed),MAX(0,AEV53-AII53)*H_Exit,0)</f>
        <v>0</v>
      </c>
      <c r="AWJ53" s="20" t="n">
        <f aca="false">IF(AND(H_Direct=0,H_TaxEvt=1,ASW52+1&gt;=H_Deemed),MAX(0,AEW53-AIJ53)*H_Exit,0)</f>
        <v>0</v>
      </c>
      <c r="AWK53" s="20" t="n">
        <f aca="false">IF(AND(H_Direct=0,H_TaxEvt=1,ASX52+1&gt;=H_Deemed),MAX(0,AEX53-AIK53)*H_Exit,0)</f>
        <v>0</v>
      </c>
      <c r="AWL53" s="20" t="n">
        <f aca="false">IF(AND(H_Direct=0,H_TaxEvt=1,ASY52+1&gt;=H_Deemed),MAX(0,AEY53-AIL53)*H_Exit,0)</f>
        <v>0</v>
      </c>
      <c r="AWM53" s="20" t="n">
        <f aca="false">IF(AND(H_Direct=0,H_TaxEvt=1,ASZ52+1&gt;=H_Deemed),MAX(0,AEZ53-AIM53)*H_Exit,0)</f>
        <v>0</v>
      </c>
      <c r="AWN53" s="20" t="n">
        <f aca="false">IF(AND(H_Direct=0,H_TaxEvt=1,ATA52+1&gt;=H_Deemed),MAX(0,AFA53-AIN53)*H_Exit,0)</f>
        <v>0</v>
      </c>
      <c r="AWO53" s="20" t="n">
        <f aca="false">IF(AND(H_Direct=0,H_TaxEvt=1,ATB52+1&gt;=H_Deemed),MAX(0,AFB53-AIO53)*H_Exit,0)</f>
        <v>0</v>
      </c>
      <c r="AWP53" s="20" t="n">
        <f aca="false">IF(AND(H_Direct=0,H_TaxEvt=1,ATC52+1&gt;=H_Deemed),MAX(0,AFC53-AIP53)*H_Exit,0)</f>
        <v>0</v>
      </c>
      <c r="AWQ53" s="20" t="n">
        <f aca="false">IF(AND(H_Direct=0,H_TaxEvt=1,ATD52+1&gt;=H_Deemed),MAX(0,AFD53-AIQ53)*H_Exit,0)</f>
        <v>0</v>
      </c>
      <c r="AWR53" s="20" t="n">
        <f aca="false">IF(AND(H_Direct=0,H_TaxEvt=1,ATE52+1&gt;=H_Deemed),MAX(0,AFE53-AIR53)*H_Exit,0)</f>
        <v>0</v>
      </c>
      <c r="AWS53" s="20" t="n">
        <f aca="false">IF(AND(H_Direct=0,H_TaxEvt=1,ATF52+1&gt;=H_Deemed),MAX(0,AFF53-AIS53)*H_Exit,0)</f>
        <v>0</v>
      </c>
      <c r="AWT53" s="20" t="n">
        <f aca="false">IF(AND(H_Direct=0,H_TaxEvt=1,ATG52+1&gt;=H_Deemed),MAX(0,AFG53-AIT53)*H_Exit,0)</f>
        <v>0</v>
      </c>
      <c r="AWU53" s="20" t="n">
        <f aca="false">IF(AND(H_Direct=0,H_TaxEvt=1,ATH52+1&gt;=H_Deemed),MAX(0,AFH53-AIU53)*H_Exit,0)</f>
        <v>0</v>
      </c>
      <c r="AWV53" s="20" t="n">
        <f aca="false">IF(AND(H_Direct=0,H_TaxEvt=1,ATI52+1&gt;=H_Deemed),MAX(0,AFI53-AIV53)*H_Exit,0)</f>
        <v>0</v>
      </c>
      <c r="AWW53" s="20" t="n">
        <f aca="false">IF(AND(H_Direct=0,H_TaxEvt=1,ATJ52+1&gt;=H_Deemed),MAX(0,AFJ53-AIW53)*H_Exit,0)</f>
        <v>0</v>
      </c>
      <c r="AWX53" s="20" t="n">
        <f aca="false">IF(AND(H_Direct=0,H_TaxEvt=1,ATK52+1&gt;=H_Deemed),MAX(0,AFK53-AIX53)*H_Exit,0)</f>
        <v>0</v>
      </c>
      <c r="AWY53" s="20" t="n">
        <f aca="false">IF(AND(H_Direct=0,H_TaxEvt=1,0+1&gt;=H_Deemed),MAX(0,AFL53-AIY53)*H_Exit,0)</f>
        <v>0</v>
      </c>
      <c r="AWZ53" s="20" t="n">
        <v>0</v>
      </c>
      <c r="AXA53" s="20" t="n">
        <v>0</v>
      </c>
      <c r="AXB53" s="20" t="n">
        <v>0</v>
      </c>
      <c r="AXC53" s="20" t="n">
        <v>0</v>
      </c>
      <c r="AXD53" s="20" t="n">
        <v>0</v>
      </c>
      <c r="AXE53" s="20" t="n">
        <v>0</v>
      </c>
      <c r="AXF53" s="20" t="n">
        <v>0</v>
      </c>
      <c r="AXG53" s="20" t="n">
        <v>0</v>
      </c>
      <c r="AXH53" s="20" t="n">
        <v>0</v>
      </c>
      <c r="AXI53" s="20" t="n">
        <v>0</v>
      </c>
      <c r="AXJ53" s="20" t="n">
        <v>0</v>
      </c>
      <c r="AXK53" s="20" t="n">
        <v>0</v>
      </c>
      <c r="AXL53" s="20" t="n">
        <v>0</v>
      </c>
      <c r="AXM53" s="20" t="n">
        <v>0</v>
      </c>
      <c r="AXN53" s="20" t="n">
        <v>0</v>
      </c>
      <c r="AXO53" s="20" t="n">
        <v>0</v>
      </c>
      <c r="AXP53" s="20" t="n">
        <v>0</v>
      </c>
      <c r="AXQ53" s="20" t="n">
        <v>0</v>
      </c>
      <c r="AXR53" s="20" t="n">
        <v>0</v>
      </c>
      <c r="AXS53" s="20" t="n">
        <v>0</v>
      </c>
      <c r="AXT53" s="20" t="n">
        <v>0</v>
      </c>
      <c r="AXU53" s="20" t="n">
        <v>0</v>
      </c>
      <c r="AXV53" s="20" t="n">
        <v>0</v>
      </c>
      <c r="AXW53" s="20" t="n">
        <v>0</v>
      </c>
      <c r="AXX53" s="20" t="n">
        <v>0</v>
      </c>
      <c r="AXY53" s="20" t="n">
        <v>0</v>
      </c>
      <c r="AXZ53" s="20" t="n">
        <v>0</v>
      </c>
      <c r="AYA53" s="20" t="n">
        <v>0</v>
      </c>
      <c r="AYB53" s="20" t="n">
        <v>0</v>
      </c>
      <c r="AYC53" s="20" t="n">
        <v>0</v>
      </c>
      <c r="AYD53" s="20" t="n">
        <v>0</v>
      </c>
      <c r="AYE53" s="20" t="n">
        <v>0</v>
      </c>
      <c r="AYF53" s="20" t="n">
        <v>0</v>
      </c>
      <c r="AYG53" s="20" t="n">
        <v>0</v>
      </c>
      <c r="AYH53" s="20" t="n">
        <v>0</v>
      </c>
      <c r="AYI53" s="20" t="n">
        <v>0</v>
      </c>
      <c r="AYJ53" s="20" t="n">
        <v>0</v>
      </c>
      <c r="AYK53" s="20" t="n">
        <v>0</v>
      </c>
      <c r="AYL53" s="20" t="n">
        <v>0</v>
      </c>
      <c r="AYM53" s="20" t="n">
        <v>0</v>
      </c>
      <c r="AYN53" s="20" t="n">
        <v>0</v>
      </c>
      <c r="AYO53" s="20" t="n">
        <v>0</v>
      </c>
      <c r="AYP53" s="20" t="n">
        <v>0</v>
      </c>
      <c r="AYQ53" s="20" t="n">
        <v>0</v>
      </c>
    </row>
    <row r="54" customFormat="false" ht="15" hidden="false" customHeight="false" outlineLevel="0" collapsed="false">
      <c r="B54" s="20" t="n">
        <v>46</v>
      </c>
      <c r="C54" s="20" t="n">
        <f aca="false">'Plan cashflow'!C54</f>
        <v>1</v>
      </c>
      <c r="D54" s="20" t="n">
        <f aca="false">'Plan cashflow'!D54</f>
        <v>84</v>
      </c>
      <c r="E54" s="20" t="n">
        <f aca="false">AS_Year0+46</f>
        <v>2072</v>
      </c>
      <c r="F54" s="50" t="n">
        <f aca="false">'Plan cashflow'!F54</f>
        <v>2.48661128940737</v>
      </c>
      <c r="G54" s="59" t="n">
        <f aca="true">IF(MAX(TODAY(),DATE(E54,1,1))&gt;=H_CGTfrom,H_CGT1,H_CGT0)</f>
        <v>0.31</v>
      </c>
      <c r="H54" s="20" t="n">
        <f aca="false">H_Exempt*H_Persons</f>
        <v>1270</v>
      </c>
      <c r="I54" s="20" t="n">
        <f aca="false">AX53</f>
        <v>0</v>
      </c>
      <c r="J54" s="60" t="n">
        <f aca="false">BF53</f>
        <v>0</v>
      </c>
      <c r="K54" s="60" t="n">
        <f aca="false">BG53</f>
        <v>0</v>
      </c>
      <c r="L54" s="20" t="n">
        <f aca="false">IF(AND(In_polLump&gt;0,In_polLumpAge&gt;0,D54=In_polLumpAge),In_polLump,0)</f>
        <v>0</v>
      </c>
      <c r="M54" s="20" t="n">
        <f aca="false">IF(AND(In_homeUse="Yes, I'd downsize",In_downAge&gt;0,D54=In_downAge,OR(In_home="Own outright",In_home="Own with mortgage"),In_homeValue&gt;0),MAX(0,MAX(0,In_homeValue-In_downValue)*F54*0.9-'Plan cashflow'!HR53),0)</f>
        <v>0</v>
      </c>
      <c r="N54" s="20" t="n">
        <f aca="false">'Plan pay &amp; tax'!Y280</f>
        <v>0</v>
      </c>
      <c r="O54" s="20" t="n">
        <f aca="false">L54+M54+(1-H_Sh)*N54</f>
        <v>0</v>
      </c>
      <c r="P54" s="20" t="n">
        <f aca="false">H_Sh*N54</f>
        <v>0</v>
      </c>
      <c r="Q54" s="20" t="n">
        <f aca="false">'Plan cashflow'!UL54</f>
        <v>0</v>
      </c>
      <c r="R54" s="20" t="n">
        <f aca="false">(1-H_Sh)*Q54</f>
        <v>0</v>
      </c>
      <c r="S54" s="20" t="n">
        <f aca="false">H_Sh*Q54</f>
        <v>0</v>
      </c>
      <c r="T54" s="20" t="n">
        <f aca="false">J54+K54+O54</f>
        <v>0</v>
      </c>
      <c r="U54" s="20" t="n">
        <f aca="false">T54+R54</f>
        <v>0</v>
      </c>
      <c r="V54" s="60" t="n">
        <f aca="false">SUM(FE54:IQ54)</f>
        <v>0</v>
      </c>
      <c r="W54" s="60" t="n">
        <f aca="false">IF(AJ54&lt;=0,0,IF(AL54&lt;=0,AJ54,AJ54-G54*MAX(0,AL54*AJ54-(AY54+AZ54))))</f>
        <v>0</v>
      </c>
      <c r="X54" s="60" t="n">
        <f aca="false">IF(AR54&lt;=0,0,IF(AT54&lt;=0,AR54,AR54-G54*MAX(0,AT54*AR54-(BA54+BB54))))</f>
        <v>0</v>
      </c>
      <c r="Y54" s="60" t="n">
        <f aca="false">T54+V54-S54+W54+X54</f>
        <v>0</v>
      </c>
      <c r="Z54" s="60" t="n">
        <f aca="false">'Plan cashflow'!UK54</f>
        <v>0</v>
      </c>
      <c r="AA54" s="20" t="n">
        <f aca="false">MIN(Z54,U54)</f>
        <v>0</v>
      </c>
      <c r="AB54" s="20" t="n">
        <f aca="false">Z54-AA54</f>
        <v>0</v>
      </c>
      <c r="AC54" s="20" t="n">
        <f aca="false">MIN(AA54,J54+O54+R54)</f>
        <v>0</v>
      </c>
      <c r="AD54" s="20" t="n">
        <f aca="false">AA54-AC54</f>
        <v>0</v>
      </c>
      <c r="AE54" s="20" t="n">
        <f aca="false">J54+O54+R54-AC54</f>
        <v>0</v>
      </c>
      <c r="AF54" s="20" t="n">
        <f aca="false">K54-AD54</f>
        <v>0</v>
      </c>
      <c r="AG54" s="20" t="n">
        <f aca="false">SUM(PR54:TD54)</f>
        <v>0</v>
      </c>
      <c r="AH54" s="20" t="n">
        <f aca="false">SUM(TE54:WQ54)</f>
        <v>0</v>
      </c>
      <c r="AI54" s="20" t="n">
        <f aca="false">MAX(0,AB54-AG54)</f>
        <v>0</v>
      </c>
      <c r="AJ54" s="57" t="n">
        <f aca="false">BI53</f>
        <v>0</v>
      </c>
      <c r="AK54" s="20" t="n">
        <f aca="false">BJ53</f>
        <v>0</v>
      </c>
      <c r="AL54" s="20" t="n">
        <f aca="false">IF(AJ54&gt;0,(AJ54-AK54)/AJ54,0)</f>
        <v>0</v>
      </c>
      <c r="AM54" s="20" t="n">
        <f aca="false">IF(AJ54&lt;=0,0,IF(AL54&lt;=0,MIN(AI54,AJ54),MIN(AI54,AJ54-G54*MAX(0,AL54*AJ54-(AAD54+ADQ54)))))</f>
        <v>0</v>
      </c>
      <c r="AN54" s="20" t="n">
        <f aca="false">IF(AJ54&lt;=0,0,IF(AL54&lt;=0,AM54,IF(AM54&lt;=(AAD54+ADQ54)/AL54,AM54,(AM54-G54*(AAD54+ADQ54))/(1-G54*AL54))))</f>
        <v>0</v>
      </c>
      <c r="AO54" s="20" t="n">
        <f aca="false">IF(AL54&gt;0,MAX(0,AAD54-(MIN(AL54*AN54,(AAD54+ADQ54))-MIN(MIN(AL54*AN54,(AAD54+ADQ54)),ADQ54))),AAD54)</f>
        <v>1270</v>
      </c>
      <c r="AP54" s="20" t="n">
        <f aca="false">IF(AL54&lt;=0,ADQ54-AL54*AN54,ADQ54-MIN(MIN(AL54*AN54,(AAD54+ADQ54)),ADQ54))</f>
        <v>0</v>
      </c>
      <c r="AQ54" s="20" t="n">
        <f aca="false">MAX(0,AI54-AM54)</f>
        <v>0</v>
      </c>
      <c r="AR54" s="57" t="n">
        <f aca="false">BK53</f>
        <v>0</v>
      </c>
      <c r="AS54" s="20" t="n">
        <f aca="false">BL53</f>
        <v>0</v>
      </c>
      <c r="AT54" s="20" t="n">
        <f aca="false">IF(AR54&gt;0,(AR54-AS54)/AR54,0)</f>
        <v>0</v>
      </c>
      <c r="AU54" s="20" t="n">
        <f aca="false">IF(AR54&lt;=0,0,IF(AT54&lt;=0,MIN(AQ54,AR54),MIN(AQ54,AR54-G54*MAX(0,AT54*AR54-(AO54+AP54)))))</f>
        <v>0</v>
      </c>
      <c r="AV54" s="20" t="n">
        <f aca="false">IF(AR54&lt;=0,0,IF(AT54&lt;=0,AU54,IF(AU54&lt;=(AO54+AP54)/AT54,AU54,(AU54-G54*(AO54+AP54))/(1-G54*AT54))))</f>
        <v>0</v>
      </c>
      <c r="AW54" s="20" t="n">
        <f aca="false">IF(AT54&gt;0,MAX(0,AO54-(MIN(AT54*AV54,(AO54+AP54))-MIN(MIN(AT54*AV54,(AO54+AP54)),AP54))),AO54)</f>
        <v>1270</v>
      </c>
      <c r="AX54" s="20" t="n">
        <f aca="false">IF(AT54&lt;=0,AP54-AT54*AV54,AP54-MIN(MIN(AT54*AV54,(AO54+AP54)),AP54))</f>
        <v>0</v>
      </c>
      <c r="AY54" s="20" t="n">
        <f aca="false">MD54</f>
        <v>1270</v>
      </c>
      <c r="AZ54" s="20" t="n">
        <f aca="false">PQ54</f>
        <v>0</v>
      </c>
      <c r="BA54" s="20" t="n">
        <f aca="false">IF(AL54&gt;0,MAX(0,AY54-(MIN(AL54*AJ54,AY54+AZ54)-MIN(MIN(AL54*AJ54,AY54+AZ54),AZ54))),AY54)</f>
        <v>1270</v>
      </c>
      <c r="BB54" s="20" t="n">
        <f aca="false">IF(AL54&lt;=0,AZ54-AL54*AJ54,AZ54-MIN(MIN(AL54*AJ54,AY54+AZ54),AZ54))</f>
        <v>0</v>
      </c>
      <c r="BC54" s="20" t="n">
        <f aca="false">'Plan cashflow'!UM54</f>
        <v>0</v>
      </c>
      <c r="BD54" s="20" t="n">
        <f aca="false">(1-H_Sh)*BC54</f>
        <v>0</v>
      </c>
      <c r="BE54" s="20" t="n">
        <f aca="false">H_Sh*BC54</f>
        <v>0</v>
      </c>
      <c r="BF54" s="60" t="n">
        <f aca="false">(AE54+BD54)*(1+AS_Cash)</f>
        <v>0</v>
      </c>
      <c r="BG54" s="60" t="n">
        <f aca="false">AF54*(1+AS_Cash)</f>
        <v>0</v>
      </c>
      <c r="BH54" s="60" t="n">
        <f aca="false">SUM(AKR54:AOD54)</f>
        <v>0</v>
      </c>
      <c r="BI54" s="60" t="n">
        <f aca="false">(AJ54-AN54)*(1+AS_Infl)</f>
        <v>0</v>
      </c>
      <c r="BJ54" s="20" t="n">
        <f aca="false">IF(AJ54&gt;0,AK54-AK54*AN54/AJ54,0)</f>
        <v>0</v>
      </c>
      <c r="BK54" s="60" t="n">
        <f aca="false">(AR54-AV54)*(1+BQ54)</f>
        <v>0</v>
      </c>
      <c r="BL54" s="20" t="n">
        <f aca="false">IF(AR54&gt;0,AS54-AS54*AV54/AR54,0)</f>
        <v>0</v>
      </c>
      <c r="BM54" s="60" t="n">
        <f aca="false">BF54+BG54+BH54+BI54+BK54</f>
        <v>0</v>
      </c>
      <c r="BN54" s="60" t="n">
        <f aca="false">(AH54-AG54)+(AN54-AM54)+(AV54-AU54)</f>
        <v>0</v>
      </c>
      <c r="BO54" s="20" t="n">
        <f aca="false">(AE54+BD54+AF54+MAX(0,'Plan cashflow'!QH54)+IF(Slot1_Rate=AS_Cash,'Plan cashflow'!QM54/(1+AS_Cash),0)+IF(Slot2_Rate=AS_Cash,'Plan cashflow'!QQ54/(1+AS_Cash),0)+IF(Slot3_Rate=AS_Cash,'Plan cashflow'!QU54/(1+AS_Cash),0)+IF(Slot4_Rate=AS_Cash,'Plan cashflow'!QY54/(1+AS_Cash),0)+IF(Slot5_Rate=AS_Cash,'Plan cashflow'!RC54/(1+AS_Cash),0)+IF(Slot6_Rate=AS_Cash,'Plan cashflow'!RG54/(1+AS_Cash),0)+IF(Slot7_Rate=AS_Cash,'Plan cashflow'!RK54/(1+AS_Cash),0)+IF(Slot8_Rate=AS_Cash,'Plan cashflow'!RO54/(1+AS_Cash),0)+IF(Slot9_Rate=AS_Cash,'Plan cashflow'!RS54/(1+AS_Cash),0)+IF(Slot10_Rate=AS_Cash,'Plan cashflow'!RW54/(1+AS_Cash),0)+IF(Slot11_Rate=AS_Cash,'Plan cashflow'!SA54/(1+AS_Cash),0)+IF(Slot12_Rate=AS_Cash,'Plan cashflow'!SE54/(1+AS_Cash),0)+IF(Slot13_Rate=AS_Cash,'Plan cashflow'!SI54/(1+AS_Cash),0)+IF(Slot14_Rate=AS_Cash,'Plan cashflow'!SM54/(1+AS_Cash),0)+IF(Slot15_Rate=AS_Cash,'Plan cashflow'!SQ54/(1+AS_Cash),0)+IF(Slot16_Rate=AS_Cash,'Plan cashflow'!SU54/(1+AS_Cash),0)+IF(Slot17_Rate=AS_Cash,'Plan cashflow'!SY54/(1+AS_Cash),0)+IF(Slot18_Rate=AS_Cash,'Plan cashflow'!TC54/(1+AS_Cash),0)+IF(Slot19_Rate=AS_Cash,'Plan cashflow'!TG54/(1+AS_Cash),0)+IF(Slot20_Rate=AS_Cash,'Plan cashflow'!TK54/(1+AS_Cash),0))*AS_Cash*H_DIRT/(1-H_DIRT)</f>
        <v>0</v>
      </c>
      <c r="BP54" s="60" t="n">
        <f aca="false">SUM(AVE54:AYQ54)</f>
        <v>0</v>
      </c>
      <c r="BQ54" s="54" t="n">
        <f aca="false">IF(H_TaxEvt=1,H_InvG,AS_Inv)</f>
        <v>0.04</v>
      </c>
      <c r="BR54" s="20" t="n">
        <f aca="false">IF(AKR53&gt;0,(AKR53-AOE53)/AKR53,0)</f>
        <v>0</v>
      </c>
      <c r="BS54" s="20" t="n">
        <f aca="false">IF(AKS53&gt;0,(AKS53-AOF53)/AKS53,0)</f>
        <v>0</v>
      </c>
      <c r="BT54" s="20" t="n">
        <f aca="false">IF(AKT53&gt;0,(AKT53-AOG53)/AKT53,0)</f>
        <v>0</v>
      </c>
      <c r="BU54" s="20" t="n">
        <f aca="false">IF(AKU53&gt;0,(AKU53-AOH53)/AKU53,0)</f>
        <v>0</v>
      </c>
      <c r="BV54" s="20" t="n">
        <f aca="false">IF(AKV53&gt;0,(AKV53-AOI53)/AKV53,0)</f>
        <v>0</v>
      </c>
      <c r="BW54" s="20" t="n">
        <f aca="false">IF(AKW53&gt;0,(AKW53-AOJ53)/AKW53,0)</f>
        <v>0</v>
      </c>
      <c r="BX54" s="20" t="n">
        <f aca="false">IF(AKX53&gt;0,(AKX53-AOK53)/AKX53,0)</f>
        <v>0</v>
      </c>
      <c r="BY54" s="20" t="n">
        <f aca="false">IF(AKY53&gt;0,(AKY53-AOL53)/AKY53,0)</f>
        <v>0</v>
      </c>
      <c r="BZ54" s="20" t="n">
        <f aca="false">IF(AKZ53&gt;0,(AKZ53-AOM53)/AKZ53,0)</f>
        <v>0</v>
      </c>
      <c r="CA54" s="20" t="n">
        <f aca="false">IF(ALA53&gt;0,(ALA53-AON53)/ALA53,0)</f>
        <v>0</v>
      </c>
      <c r="CB54" s="20" t="n">
        <f aca="false">IF(ALB53&gt;0,(ALB53-AOO53)/ALB53,0)</f>
        <v>0</v>
      </c>
      <c r="CC54" s="20" t="n">
        <f aca="false">IF(ALC53&gt;0,(ALC53-AOP53)/ALC53,0)</f>
        <v>0</v>
      </c>
      <c r="CD54" s="20" t="n">
        <f aca="false">IF(ALD53&gt;0,(ALD53-AOQ53)/ALD53,0)</f>
        <v>0</v>
      </c>
      <c r="CE54" s="20" t="n">
        <f aca="false">IF(ALE53&gt;0,(ALE53-AOR53)/ALE53,0)</f>
        <v>0</v>
      </c>
      <c r="CF54" s="20" t="n">
        <f aca="false">IF(ALF53&gt;0,(ALF53-AOS53)/ALF53,0)</f>
        <v>0</v>
      </c>
      <c r="CG54" s="20" t="n">
        <f aca="false">IF(ALG53&gt;0,(ALG53-AOT53)/ALG53,0)</f>
        <v>0</v>
      </c>
      <c r="CH54" s="20" t="n">
        <f aca="false">IF(ALH53&gt;0,(ALH53-AOU53)/ALH53,0)</f>
        <v>0</v>
      </c>
      <c r="CI54" s="20" t="n">
        <f aca="false">IF(ALI53&gt;0,(ALI53-AOV53)/ALI53,0)</f>
        <v>0</v>
      </c>
      <c r="CJ54" s="20" t="n">
        <f aca="false">IF(ALJ53&gt;0,(ALJ53-AOW53)/ALJ53,0)</f>
        <v>0</v>
      </c>
      <c r="CK54" s="20" t="n">
        <f aca="false">IF(ALK53&gt;0,(ALK53-AOX53)/ALK53,0)</f>
        <v>0</v>
      </c>
      <c r="CL54" s="20" t="n">
        <f aca="false">IF(ALL53&gt;0,(ALL53-AOY53)/ALL53,0)</f>
        <v>0</v>
      </c>
      <c r="CM54" s="20" t="n">
        <f aca="false">IF(ALM53&gt;0,(ALM53-AOZ53)/ALM53,0)</f>
        <v>0</v>
      </c>
      <c r="CN54" s="20" t="n">
        <f aca="false">IF(ALN53&gt;0,(ALN53-APA53)/ALN53,0)</f>
        <v>0</v>
      </c>
      <c r="CO54" s="20" t="n">
        <f aca="false">IF(ALO53&gt;0,(ALO53-APB53)/ALO53,0)</f>
        <v>0</v>
      </c>
      <c r="CP54" s="20" t="n">
        <f aca="false">IF(ALP53&gt;0,(ALP53-APC53)/ALP53,0)</f>
        <v>0</v>
      </c>
      <c r="CQ54" s="20" t="n">
        <f aca="false">IF(ALQ53&gt;0,(ALQ53-APD53)/ALQ53,0)</f>
        <v>0</v>
      </c>
      <c r="CR54" s="20" t="n">
        <f aca="false">IF(ALR53&gt;0,(ALR53-APE53)/ALR53,0)</f>
        <v>0</v>
      </c>
      <c r="CS54" s="20" t="n">
        <f aca="false">IF(ALS53&gt;0,(ALS53-APF53)/ALS53,0)</f>
        <v>0</v>
      </c>
      <c r="CT54" s="20" t="n">
        <f aca="false">IF(ALT53&gt;0,(ALT53-APG53)/ALT53,0)</f>
        <v>0</v>
      </c>
      <c r="CU54" s="20" t="n">
        <f aca="false">IF(ALU53&gt;0,(ALU53-APH53)/ALU53,0)</f>
        <v>0</v>
      </c>
      <c r="CV54" s="20" t="n">
        <f aca="false">IF(ALV53&gt;0,(ALV53-API53)/ALV53,0)</f>
        <v>0</v>
      </c>
      <c r="CW54" s="20" t="n">
        <f aca="false">IF(ALW53&gt;0,(ALW53-APJ53)/ALW53,0)</f>
        <v>0</v>
      </c>
      <c r="CX54" s="20" t="n">
        <f aca="false">IF(ALX53&gt;0,(ALX53-APK53)/ALX53,0)</f>
        <v>0</v>
      </c>
      <c r="CY54" s="20" t="n">
        <f aca="false">IF(ALY53&gt;0,(ALY53-APL53)/ALY53,0)</f>
        <v>0</v>
      </c>
      <c r="CZ54" s="20" t="n">
        <f aca="false">IF(ALZ53&gt;0,(ALZ53-APM53)/ALZ53,0)</f>
        <v>0</v>
      </c>
      <c r="DA54" s="20" t="n">
        <f aca="false">IF(AMA53&gt;0,(AMA53-APN53)/AMA53,0)</f>
        <v>0</v>
      </c>
      <c r="DB54" s="20" t="n">
        <f aca="false">IF(AMB53&gt;0,(AMB53-APO53)/AMB53,0)</f>
        <v>0</v>
      </c>
      <c r="DC54" s="20" t="n">
        <f aca="false">IF(AMC53&gt;0,(AMC53-APP53)/AMC53,0)</f>
        <v>0</v>
      </c>
      <c r="DD54" s="20" t="n">
        <f aca="false">IF(AMD53&gt;0,(AMD53-APQ53)/AMD53,0)</f>
        <v>0</v>
      </c>
      <c r="DE54" s="20" t="n">
        <f aca="false">IF(AME53&gt;0,(AME53-APR53)/AME53,0)</f>
        <v>0</v>
      </c>
      <c r="DF54" s="20" t="n">
        <f aca="false">IF(AMF53&gt;0,(AMF53-APS53)/AMF53,0)</f>
        <v>0</v>
      </c>
      <c r="DG54" s="20" t="n">
        <f aca="false">IF(AMG53&gt;0,(AMG53-APT53)/AMG53,0)</f>
        <v>0</v>
      </c>
      <c r="DH54" s="20" t="n">
        <f aca="false">IF(AMH53&gt;0,(AMH53-APU53)/AMH53,0)</f>
        <v>0</v>
      </c>
      <c r="DI54" s="20" t="n">
        <f aca="false">IF(AMI53&gt;0,(AMI53-APV53)/AMI53,0)</f>
        <v>0</v>
      </c>
      <c r="DJ54" s="20" t="n">
        <f aca="false">IF(AMJ53&gt;0,(AMJ53-APW53)/AMJ53,0)</f>
        <v>0</v>
      </c>
      <c r="DK54" s="20" t="n">
        <f aca="false">IF(AMK53&gt;0,(AMK53-APX53)/AMK53,0)</f>
        <v>0</v>
      </c>
      <c r="DL54" s="20" t="n">
        <f aca="false">IF(AML53&gt;0,(AML53-APY53)/AML53,0)</f>
        <v>0</v>
      </c>
      <c r="DM54" s="20" t="n">
        <f aca="false">IF((P54+S54)&gt;0,((P54+S54)-(P54+S54))/(P54+S54),0)</f>
        <v>0</v>
      </c>
      <c r="DN54" s="20" t="n">
        <v>0</v>
      </c>
      <c r="DO54" s="20" t="n">
        <v>0</v>
      </c>
      <c r="DP54" s="20" t="n">
        <v>0</v>
      </c>
      <c r="DQ54" s="20" t="n">
        <v>0</v>
      </c>
      <c r="DR54" s="20" t="n">
        <v>0</v>
      </c>
      <c r="DS54" s="20" t="n">
        <v>0</v>
      </c>
      <c r="DT54" s="20" t="n">
        <v>0</v>
      </c>
      <c r="DU54" s="20" t="n">
        <v>0</v>
      </c>
      <c r="DV54" s="20" t="n">
        <v>0</v>
      </c>
      <c r="DW54" s="20" t="n">
        <v>0</v>
      </c>
      <c r="DX54" s="20" t="n">
        <v>0</v>
      </c>
      <c r="DY54" s="20" t="n">
        <v>0</v>
      </c>
      <c r="DZ54" s="20" t="n">
        <v>0</v>
      </c>
      <c r="EA54" s="20" t="n">
        <v>0</v>
      </c>
      <c r="EB54" s="20" t="n">
        <v>0</v>
      </c>
      <c r="EC54" s="20" t="n">
        <v>0</v>
      </c>
      <c r="ED54" s="20" t="n">
        <v>0</v>
      </c>
      <c r="EE54" s="20" t="n">
        <v>0</v>
      </c>
      <c r="EF54" s="20" t="n">
        <v>0</v>
      </c>
      <c r="EG54" s="20" t="n">
        <v>0</v>
      </c>
      <c r="EH54" s="20" t="n">
        <v>0</v>
      </c>
      <c r="EI54" s="20" t="n">
        <v>0</v>
      </c>
      <c r="EJ54" s="20" t="n">
        <v>0</v>
      </c>
      <c r="EK54" s="20" t="n">
        <v>0</v>
      </c>
      <c r="EL54" s="20" t="n">
        <v>0</v>
      </c>
      <c r="EM54" s="20" t="n">
        <v>0</v>
      </c>
      <c r="EN54" s="20" t="n">
        <v>0</v>
      </c>
      <c r="EO54" s="20" t="n">
        <v>0</v>
      </c>
      <c r="EP54" s="20" t="n">
        <v>0</v>
      </c>
      <c r="EQ54" s="20" t="n">
        <v>0</v>
      </c>
      <c r="ER54" s="20" t="n">
        <v>0</v>
      </c>
      <c r="ES54" s="20" t="n">
        <v>0</v>
      </c>
      <c r="ET54" s="20" t="n">
        <v>0</v>
      </c>
      <c r="EU54" s="20" t="n">
        <v>0</v>
      </c>
      <c r="EV54" s="20" t="n">
        <v>0</v>
      </c>
      <c r="EW54" s="20" t="n">
        <v>0</v>
      </c>
      <c r="EX54" s="20" t="n">
        <v>0</v>
      </c>
      <c r="EY54" s="20" t="n">
        <v>0</v>
      </c>
      <c r="EZ54" s="20" t="n">
        <v>0</v>
      </c>
      <c r="FA54" s="20" t="n">
        <v>0</v>
      </c>
      <c r="FB54" s="20" t="n">
        <v>0</v>
      </c>
      <c r="FC54" s="20" t="n">
        <v>0</v>
      </c>
      <c r="FD54" s="20" t="n">
        <v>0</v>
      </c>
      <c r="FE54" s="20" t="n">
        <f aca="false">IF(H_Direct=1,IF(AKR53&lt;=0,0,IF(BR54&lt;=0,AKR53,AKR53-G54*MAX(0,BR54*AKR53-(H54+I54)))),AKR53*(1-MAX(0,BR54)*H_Exit))</f>
        <v>0</v>
      </c>
      <c r="FF54" s="20" t="n">
        <f aca="false">IF(H_Direct=1,IF(AKS53&lt;=0,0,IF(BS54&lt;=0,AKS53,AKS53-G54*MAX(0,BS54*AKS53-(IR54+ME54)))),AKS53*(1-MAX(0,BS54)*H_Exit))</f>
        <v>0</v>
      </c>
      <c r="FG54" s="20" t="n">
        <f aca="false">IF(H_Direct=1,IF(AKT53&lt;=0,0,IF(BT54&lt;=0,AKT53,AKT53-G54*MAX(0,BT54*AKT53-(IS54+MF54)))),AKT53*(1-MAX(0,BT54)*H_Exit))</f>
        <v>0</v>
      </c>
      <c r="FH54" s="20" t="n">
        <f aca="false">IF(H_Direct=1,IF(AKU53&lt;=0,0,IF(BU54&lt;=0,AKU53,AKU53-G54*MAX(0,BU54*AKU53-(IT54+MG54)))),AKU53*(1-MAX(0,BU54)*H_Exit))</f>
        <v>0</v>
      </c>
      <c r="FI54" s="20" t="n">
        <f aca="false">IF(H_Direct=1,IF(AKV53&lt;=0,0,IF(BV54&lt;=0,AKV53,AKV53-G54*MAX(0,BV54*AKV53-(IU54+MH54)))),AKV53*(1-MAX(0,BV54)*H_Exit))</f>
        <v>0</v>
      </c>
      <c r="FJ54" s="20" t="n">
        <f aca="false">IF(H_Direct=1,IF(AKW53&lt;=0,0,IF(BW54&lt;=0,AKW53,AKW53-G54*MAX(0,BW54*AKW53-(IV54+MI54)))),AKW53*(1-MAX(0,BW54)*H_Exit))</f>
        <v>0</v>
      </c>
      <c r="FK54" s="20" t="n">
        <f aca="false">IF(H_Direct=1,IF(AKX53&lt;=0,0,IF(BX54&lt;=0,AKX53,AKX53-G54*MAX(0,BX54*AKX53-(IW54+MJ54)))),AKX53*(1-MAX(0,BX54)*H_Exit))</f>
        <v>0</v>
      </c>
      <c r="FL54" s="20" t="n">
        <f aca="false">IF(H_Direct=1,IF(AKY53&lt;=0,0,IF(BY54&lt;=0,AKY53,AKY53-G54*MAX(0,BY54*AKY53-(IX54+MK54)))),AKY53*(1-MAX(0,BY54)*H_Exit))</f>
        <v>0</v>
      </c>
      <c r="FM54" s="20" t="n">
        <f aca="false">IF(H_Direct=1,IF(AKZ53&lt;=0,0,IF(BZ54&lt;=0,AKZ53,AKZ53-G54*MAX(0,BZ54*AKZ53-(IY54+ML54)))),AKZ53*(1-MAX(0,BZ54)*H_Exit))</f>
        <v>0</v>
      </c>
      <c r="FN54" s="20" t="n">
        <f aca="false">IF(H_Direct=1,IF(ALA53&lt;=0,0,IF(CA54&lt;=0,ALA53,ALA53-G54*MAX(0,CA54*ALA53-(IZ54+MM54)))),ALA53*(1-MAX(0,CA54)*H_Exit))</f>
        <v>0</v>
      </c>
      <c r="FO54" s="20" t="n">
        <f aca="false">IF(H_Direct=1,IF(ALB53&lt;=0,0,IF(CB54&lt;=0,ALB53,ALB53-G54*MAX(0,CB54*ALB53-(JA54+MN54)))),ALB53*(1-MAX(0,CB54)*H_Exit))</f>
        <v>0</v>
      </c>
      <c r="FP54" s="20" t="n">
        <f aca="false">IF(H_Direct=1,IF(ALC53&lt;=0,0,IF(CC54&lt;=0,ALC53,ALC53-G54*MAX(0,CC54*ALC53-(JB54+MO54)))),ALC53*(1-MAX(0,CC54)*H_Exit))</f>
        <v>0</v>
      </c>
      <c r="FQ54" s="20" t="n">
        <f aca="false">IF(H_Direct=1,IF(ALD53&lt;=0,0,IF(CD54&lt;=0,ALD53,ALD53-G54*MAX(0,CD54*ALD53-(JC54+MP54)))),ALD53*(1-MAX(0,CD54)*H_Exit))</f>
        <v>0</v>
      </c>
      <c r="FR54" s="20" t="n">
        <f aca="false">IF(H_Direct=1,IF(ALE53&lt;=0,0,IF(CE54&lt;=0,ALE53,ALE53-G54*MAX(0,CE54*ALE53-(JD54+MQ54)))),ALE53*(1-MAX(0,CE54)*H_Exit))</f>
        <v>0</v>
      </c>
      <c r="FS54" s="20" t="n">
        <f aca="false">IF(H_Direct=1,IF(ALF53&lt;=0,0,IF(CF54&lt;=0,ALF53,ALF53-G54*MAX(0,CF54*ALF53-(JE54+MR54)))),ALF53*(1-MAX(0,CF54)*H_Exit))</f>
        <v>0</v>
      </c>
      <c r="FT54" s="20" t="n">
        <f aca="false">IF(H_Direct=1,IF(ALG53&lt;=0,0,IF(CG54&lt;=0,ALG53,ALG53-G54*MAX(0,CG54*ALG53-(JF54+MS54)))),ALG53*(1-MAX(0,CG54)*H_Exit))</f>
        <v>0</v>
      </c>
      <c r="FU54" s="20" t="n">
        <f aca="false">IF(H_Direct=1,IF(ALH53&lt;=0,0,IF(CH54&lt;=0,ALH53,ALH53-G54*MAX(0,CH54*ALH53-(JG54+MT54)))),ALH53*(1-MAX(0,CH54)*H_Exit))</f>
        <v>0</v>
      </c>
      <c r="FV54" s="20" t="n">
        <f aca="false">IF(H_Direct=1,IF(ALI53&lt;=0,0,IF(CI54&lt;=0,ALI53,ALI53-G54*MAX(0,CI54*ALI53-(JH54+MU54)))),ALI53*(1-MAX(0,CI54)*H_Exit))</f>
        <v>0</v>
      </c>
      <c r="FW54" s="20" t="n">
        <f aca="false">IF(H_Direct=1,IF(ALJ53&lt;=0,0,IF(CJ54&lt;=0,ALJ53,ALJ53-G54*MAX(0,CJ54*ALJ53-(JI54+MV54)))),ALJ53*(1-MAX(0,CJ54)*H_Exit))</f>
        <v>0</v>
      </c>
      <c r="FX54" s="20" t="n">
        <f aca="false">IF(H_Direct=1,IF(ALK53&lt;=0,0,IF(CK54&lt;=0,ALK53,ALK53-G54*MAX(0,CK54*ALK53-(JJ54+MW54)))),ALK53*(1-MAX(0,CK54)*H_Exit))</f>
        <v>0</v>
      </c>
      <c r="FY54" s="20" t="n">
        <f aca="false">IF(H_Direct=1,IF(ALL53&lt;=0,0,IF(CL54&lt;=0,ALL53,ALL53-G54*MAX(0,CL54*ALL53-(JK54+MX54)))),ALL53*(1-MAX(0,CL54)*H_Exit))</f>
        <v>0</v>
      </c>
      <c r="FZ54" s="20" t="n">
        <f aca="false">IF(H_Direct=1,IF(ALM53&lt;=0,0,IF(CM54&lt;=0,ALM53,ALM53-G54*MAX(0,CM54*ALM53-(JL54+MY54)))),ALM53*(1-MAX(0,CM54)*H_Exit))</f>
        <v>0</v>
      </c>
      <c r="GA54" s="20" t="n">
        <f aca="false">IF(H_Direct=1,IF(ALN53&lt;=0,0,IF(CN54&lt;=0,ALN53,ALN53-G54*MAX(0,CN54*ALN53-(JM54+MZ54)))),ALN53*(1-MAX(0,CN54)*H_Exit))</f>
        <v>0</v>
      </c>
      <c r="GB54" s="20" t="n">
        <f aca="false">IF(H_Direct=1,IF(ALO53&lt;=0,0,IF(CO54&lt;=0,ALO53,ALO53-G54*MAX(0,CO54*ALO53-(JN54+NA54)))),ALO53*(1-MAX(0,CO54)*H_Exit))</f>
        <v>0</v>
      </c>
      <c r="GC54" s="20" t="n">
        <f aca="false">IF(H_Direct=1,IF(ALP53&lt;=0,0,IF(CP54&lt;=0,ALP53,ALP53-G54*MAX(0,CP54*ALP53-(JO54+NB54)))),ALP53*(1-MAX(0,CP54)*H_Exit))</f>
        <v>0</v>
      </c>
      <c r="GD54" s="20" t="n">
        <f aca="false">IF(H_Direct=1,IF(ALQ53&lt;=0,0,IF(CQ54&lt;=0,ALQ53,ALQ53-G54*MAX(0,CQ54*ALQ53-(JP54+NC54)))),ALQ53*(1-MAX(0,CQ54)*H_Exit))</f>
        <v>0</v>
      </c>
      <c r="GE54" s="20" t="n">
        <f aca="false">IF(H_Direct=1,IF(ALR53&lt;=0,0,IF(CR54&lt;=0,ALR53,ALR53-G54*MAX(0,CR54*ALR53-(JQ54+ND54)))),ALR53*(1-MAX(0,CR54)*H_Exit))</f>
        <v>0</v>
      </c>
      <c r="GF54" s="20" t="n">
        <f aca="false">IF(H_Direct=1,IF(ALS53&lt;=0,0,IF(CS54&lt;=0,ALS53,ALS53-G54*MAX(0,CS54*ALS53-(JR54+NE54)))),ALS53*(1-MAX(0,CS54)*H_Exit))</f>
        <v>0</v>
      </c>
      <c r="GG54" s="20" t="n">
        <f aca="false">IF(H_Direct=1,IF(ALT53&lt;=0,0,IF(CT54&lt;=0,ALT53,ALT53-G54*MAX(0,CT54*ALT53-(JS54+NF54)))),ALT53*(1-MAX(0,CT54)*H_Exit))</f>
        <v>0</v>
      </c>
      <c r="GH54" s="20" t="n">
        <f aca="false">IF(H_Direct=1,IF(ALU53&lt;=0,0,IF(CU54&lt;=0,ALU53,ALU53-G54*MAX(0,CU54*ALU53-(JT54+NG54)))),ALU53*(1-MAX(0,CU54)*H_Exit))</f>
        <v>0</v>
      </c>
      <c r="GI54" s="20" t="n">
        <f aca="false">IF(H_Direct=1,IF(ALV53&lt;=0,0,IF(CV54&lt;=0,ALV53,ALV53-G54*MAX(0,CV54*ALV53-(JU54+NH54)))),ALV53*(1-MAX(0,CV54)*H_Exit))</f>
        <v>0</v>
      </c>
      <c r="GJ54" s="20" t="n">
        <f aca="false">IF(H_Direct=1,IF(ALW53&lt;=0,0,IF(CW54&lt;=0,ALW53,ALW53-G54*MAX(0,CW54*ALW53-(JV54+NI54)))),ALW53*(1-MAX(0,CW54)*H_Exit))</f>
        <v>0</v>
      </c>
      <c r="GK54" s="20" t="n">
        <f aca="false">IF(H_Direct=1,IF(ALX53&lt;=0,0,IF(CX54&lt;=0,ALX53,ALX53-G54*MAX(0,CX54*ALX53-(JW54+NJ54)))),ALX53*(1-MAX(0,CX54)*H_Exit))</f>
        <v>0</v>
      </c>
      <c r="GL54" s="20" t="n">
        <f aca="false">IF(H_Direct=1,IF(ALY53&lt;=0,0,IF(CY54&lt;=0,ALY53,ALY53-G54*MAX(0,CY54*ALY53-(JX54+NK54)))),ALY53*(1-MAX(0,CY54)*H_Exit))</f>
        <v>0</v>
      </c>
      <c r="GM54" s="20" t="n">
        <f aca="false">IF(H_Direct=1,IF(ALZ53&lt;=0,0,IF(CZ54&lt;=0,ALZ53,ALZ53-G54*MAX(0,CZ54*ALZ53-(JY54+NL54)))),ALZ53*(1-MAX(0,CZ54)*H_Exit))</f>
        <v>0</v>
      </c>
      <c r="GN54" s="20" t="n">
        <f aca="false">IF(H_Direct=1,IF(AMA53&lt;=0,0,IF(DA54&lt;=0,AMA53,AMA53-G54*MAX(0,DA54*AMA53-(JZ54+NM54)))),AMA53*(1-MAX(0,DA54)*H_Exit))</f>
        <v>0</v>
      </c>
      <c r="GO54" s="20" t="n">
        <f aca="false">IF(H_Direct=1,IF(AMB53&lt;=0,0,IF(DB54&lt;=0,AMB53,AMB53-G54*MAX(0,DB54*AMB53-(KA54+NN54)))),AMB53*(1-MAX(0,DB54)*H_Exit))</f>
        <v>0</v>
      </c>
      <c r="GP54" s="20" t="n">
        <f aca="false">IF(H_Direct=1,IF(AMC53&lt;=0,0,IF(DC54&lt;=0,AMC53,AMC53-G54*MAX(0,DC54*AMC53-(KB54+NO54)))),AMC53*(1-MAX(0,DC54)*H_Exit))</f>
        <v>0</v>
      </c>
      <c r="GQ54" s="20" t="n">
        <f aca="false">IF(H_Direct=1,IF(AMD53&lt;=0,0,IF(DD54&lt;=0,AMD53,AMD53-G54*MAX(0,DD54*AMD53-(KC54+NP54)))),AMD53*(1-MAX(0,DD54)*H_Exit))</f>
        <v>0</v>
      </c>
      <c r="GR54" s="20" t="n">
        <f aca="false">IF(H_Direct=1,IF(AME53&lt;=0,0,IF(DE54&lt;=0,AME53,AME53-G54*MAX(0,DE54*AME53-(KD54+NQ54)))),AME53*(1-MAX(0,DE54)*H_Exit))</f>
        <v>0</v>
      </c>
      <c r="GS54" s="20" t="n">
        <f aca="false">IF(H_Direct=1,IF(AMF53&lt;=0,0,IF(DF54&lt;=0,AMF53,AMF53-G54*MAX(0,DF54*AMF53-(KE54+NR54)))),AMF53*(1-MAX(0,DF54)*H_Exit))</f>
        <v>0</v>
      </c>
      <c r="GT54" s="20" t="n">
        <f aca="false">IF(H_Direct=1,IF(AMG53&lt;=0,0,IF(DG54&lt;=0,AMG53,AMG53-G54*MAX(0,DG54*AMG53-(KF54+NS54)))),AMG53*(1-MAX(0,DG54)*H_Exit))</f>
        <v>0</v>
      </c>
      <c r="GU54" s="20" t="n">
        <f aca="false">IF(H_Direct=1,IF(AMH53&lt;=0,0,IF(DH54&lt;=0,AMH53,AMH53-G54*MAX(0,DH54*AMH53-(KG54+NT54)))),AMH53*(1-MAX(0,DH54)*H_Exit))</f>
        <v>0</v>
      </c>
      <c r="GV54" s="20" t="n">
        <f aca="false">IF(H_Direct=1,IF(AMI53&lt;=0,0,IF(DI54&lt;=0,AMI53,AMI53-G54*MAX(0,DI54*AMI53-(KH54+NU54)))),AMI53*(1-MAX(0,DI54)*H_Exit))</f>
        <v>0</v>
      </c>
      <c r="GW54" s="20" t="n">
        <f aca="false">IF(H_Direct=1,IF(AMJ53&lt;=0,0,IF(DJ54&lt;=0,AMJ53,AMJ53-G54*MAX(0,DJ54*AMJ53-(KI54+NV54)))),AMJ53*(1-MAX(0,DJ54)*H_Exit))</f>
        <v>0</v>
      </c>
      <c r="GX54" s="20" t="n">
        <f aca="false">IF(H_Direct=1,IF(AMK53&lt;=0,0,IF(DK54&lt;=0,AMK53,AMK53-G54*MAX(0,DK54*AMK53-(KJ54+NW54)))),AMK53*(1-MAX(0,DK54)*H_Exit))</f>
        <v>0</v>
      </c>
      <c r="GY54" s="20" t="n">
        <f aca="false">IF(H_Direct=1,IF(AML53&lt;=0,0,IF(DL54&lt;=0,AML53,AML53-G54*MAX(0,DL54*AML53-(KK54+NX54)))),AML53*(1-MAX(0,DL54)*H_Exit))</f>
        <v>0</v>
      </c>
      <c r="GZ54" s="20" t="n">
        <f aca="false">IF(H_Direct=1,IF((P54+S54)&lt;=0,0,IF(DM54&lt;=0,(P54+S54),(P54+S54)-G54*MAX(0,DM54*(P54+S54)-(KL54+NY54)))),(P54+S54)*(1-MAX(0,DM54)*H_Exit))</f>
        <v>0</v>
      </c>
      <c r="HA54" s="20" t="n">
        <v>0</v>
      </c>
      <c r="HB54" s="20" t="n">
        <v>0</v>
      </c>
      <c r="HC54" s="20" t="n">
        <v>0</v>
      </c>
      <c r="HD54" s="20" t="n">
        <v>0</v>
      </c>
      <c r="HE54" s="20" t="n">
        <v>0</v>
      </c>
      <c r="HF54" s="20" t="n">
        <v>0</v>
      </c>
      <c r="HG54" s="20" t="n">
        <v>0</v>
      </c>
      <c r="HH54" s="20" t="n">
        <v>0</v>
      </c>
      <c r="HI54" s="20" t="n">
        <v>0</v>
      </c>
      <c r="HJ54" s="20" t="n">
        <v>0</v>
      </c>
      <c r="HK54" s="20" t="n">
        <v>0</v>
      </c>
      <c r="HL54" s="20" t="n">
        <v>0</v>
      </c>
      <c r="HM54" s="20" t="n">
        <v>0</v>
      </c>
      <c r="HN54" s="20" t="n">
        <v>0</v>
      </c>
      <c r="HO54" s="20" t="n">
        <v>0</v>
      </c>
      <c r="HP54" s="20" t="n">
        <v>0</v>
      </c>
      <c r="HQ54" s="20" t="n">
        <v>0</v>
      </c>
      <c r="HR54" s="20" t="n">
        <v>0</v>
      </c>
      <c r="HS54" s="20" t="n">
        <v>0</v>
      </c>
      <c r="HT54" s="20" t="n">
        <v>0</v>
      </c>
      <c r="HU54" s="20" t="n">
        <v>0</v>
      </c>
      <c r="HV54" s="20" t="n">
        <v>0</v>
      </c>
      <c r="HW54" s="20" t="n">
        <v>0</v>
      </c>
      <c r="HX54" s="20" t="n">
        <v>0</v>
      </c>
      <c r="HY54" s="20" t="n">
        <v>0</v>
      </c>
      <c r="HZ54" s="20" t="n">
        <v>0</v>
      </c>
      <c r="IA54" s="20" t="n">
        <v>0</v>
      </c>
      <c r="IB54" s="20" t="n">
        <v>0</v>
      </c>
      <c r="IC54" s="20" t="n">
        <v>0</v>
      </c>
      <c r="ID54" s="20" t="n">
        <v>0</v>
      </c>
      <c r="IE54" s="20" t="n">
        <v>0</v>
      </c>
      <c r="IF54" s="20" t="n">
        <v>0</v>
      </c>
      <c r="IG54" s="20" t="n">
        <v>0</v>
      </c>
      <c r="IH54" s="20" t="n">
        <v>0</v>
      </c>
      <c r="II54" s="20" t="n">
        <v>0</v>
      </c>
      <c r="IJ54" s="20" t="n">
        <v>0</v>
      </c>
      <c r="IK54" s="20" t="n">
        <v>0</v>
      </c>
      <c r="IL54" s="20" t="n">
        <v>0</v>
      </c>
      <c r="IM54" s="20" t="n">
        <v>0</v>
      </c>
      <c r="IN54" s="20" t="n">
        <v>0</v>
      </c>
      <c r="IO54" s="20" t="n">
        <v>0</v>
      </c>
      <c r="IP54" s="20" t="n">
        <v>0</v>
      </c>
      <c r="IQ54" s="20" t="n">
        <v>0</v>
      </c>
      <c r="IR54" s="20" t="n">
        <f aca="false">IF(AND(H_Direct=1,BR54&gt;0),MAX(0,H54-(MIN(BR54*AKR53,H54+I54)-MIN(MIN(BR54*AKR53,H54+I54),I54))),H54)</f>
        <v>1270</v>
      </c>
      <c r="IS54" s="20" t="n">
        <f aca="false">IF(AND(H_Direct=1,BS54&gt;0),MAX(0,IR54-(MIN(BS54*AKS53,IR54+ME54)-MIN(MIN(BS54*AKS53,IR54+ME54),ME54))),IR54)</f>
        <v>1270</v>
      </c>
      <c r="IT54" s="20" t="n">
        <f aca="false">IF(AND(H_Direct=1,BT54&gt;0),MAX(0,IS54-(MIN(BT54*AKT53,IS54+MF54)-MIN(MIN(BT54*AKT53,IS54+MF54),MF54))),IS54)</f>
        <v>1270</v>
      </c>
      <c r="IU54" s="20" t="n">
        <f aca="false">IF(AND(H_Direct=1,BU54&gt;0),MAX(0,IT54-(MIN(BU54*AKU53,IT54+MG54)-MIN(MIN(BU54*AKU53,IT54+MG54),MG54))),IT54)</f>
        <v>1270</v>
      </c>
      <c r="IV54" s="20" t="n">
        <f aca="false">IF(AND(H_Direct=1,BV54&gt;0),MAX(0,IU54-(MIN(BV54*AKV53,IU54+MH54)-MIN(MIN(BV54*AKV53,IU54+MH54),MH54))),IU54)</f>
        <v>1270</v>
      </c>
      <c r="IW54" s="20" t="n">
        <f aca="false">IF(AND(H_Direct=1,BW54&gt;0),MAX(0,IV54-(MIN(BW54*AKW53,IV54+MI54)-MIN(MIN(BW54*AKW53,IV54+MI54),MI54))),IV54)</f>
        <v>1270</v>
      </c>
      <c r="IX54" s="20" t="n">
        <f aca="false">IF(AND(H_Direct=1,BX54&gt;0),MAX(0,IW54-(MIN(BX54*AKX53,IW54+MJ54)-MIN(MIN(BX54*AKX53,IW54+MJ54),MJ54))),IW54)</f>
        <v>1270</v>
      </c>
      <c r="IY54" s="20" t="n">
        <f aca="false">IF(AND(H_Direct=1,BY54&gt;0),MAX(0,IX54-(MIN(BY54*AKY53,IX54+MK54)-MIN(MIN(BY54*AKY53,IX54+MK54),MK54))),IX54)</f>
        <v>1270</v>
      </c>
      <c r="IZ54" s="20" t="n">
        <f aca="false">IF(AND(H_Direct=1,BZ54&gt;0),MAX(0,IY54-(MIN(BZ54*AKZ53,IY54+ML54)-MIN(MIN(BZ54*AKZ53,IY54+ML54),ML54))),IY54)</f>
        <v>1270</v>
      </c>
      <c r="JA54" s="20" t="n">
        <f aca="false">IF(AND(H_Direct=1,CA54&gt;0),MAX(0,IZ54-(MIN(CA54*ALA53,IZ54+MM54)-MIN(MIN(CA54*ALA53,IZ54+MM54),MM54))),IZ54)</f>
        <v>1270</v>
      </c>
      <c r="JB54" s="20" t="n">
        <f aca="false">IF(AND(H_Direct=1,CB54&gt;0),MAX(0,JA54-(MIN(CB54*ALB53,JA54+MN54)-MIN(MIN(CB54*ALB53,JA54+MN54),MN54))),JA54)</f>
        <v>1270</v>
      </c>
      <c r="JC54" s="20" t="n">
        <f aca="false">IF(AND(H_Direct=1,CC54&gt;0),MAX(0,JB54-(MIN(CC54*ALC53,JB54+MO54)-MIN(MIN(CC54*ALC53,JB54+MO54),MO54))),JB54)</f>
        <v>1270</v>
      </c>
      <c r="JD54" s="20" t="n">
        <f aca="false">IF(AND(H_Direct=1,CD54&gt;0),MAX(0,JC54-(MIN(CD54*ALD53,JC54+MP54)-MIN(MIN(CD54*ALD53,JC54+MP54),MP54))),JC54)</f>
        <v>1270</v>
      </c>
      <c r="JE54" s="20" t="n">
        <f aca="false">IF(AND(H_Direct=1,CE54&gt;0),MAX(0,JD54-(MIN(CE54*ALE53,JD54+MQ54)-MIN(MIN(CE54*ALE53,JD54+MQ54),MQ54))),JD54)</f>
        <v>1270</v>
      </c>
      <c r="JF54" s="20" t="n">
        <f aca="false">IF(AND(H_Direct=1,CF54&gt;0),MAX(0,JE54-(MIN(CF54*ALF53,JE54+MR54)-MIN(MIN(CF54*ALF53,JE54+MR54),MR54))),JE54)</f>
        <v>1270</v>
      </c>
      <c r="JG54" s="20" t="n">
        <f aca="false">IF(AND(H_Direct=1,CG54&gt;0),MAX(0,JF54-(MIN(CG54*ALG53,JF54+MS54)-MIN(MIN(CG54*ALG53,JF54+MS54),MS54))),JF54)</f>
        <v>1270</v>
      </c>
      <c r="JH54" s="20" t="n">
        <f aca="false">IF(AND(H_Direct=1,CH54&gt;0),MAX(0,JG54-(MIN(CH54*ALH53,JG54+MT54)-MIN(MIN(CH54*ALH53,JG54+MT54),MT54))),JG54)</f>
        <v>1270</v>
      </c>
      <c r="JI54" s="20" t="n">
        <f aca="false">IF(AND(H_Direct=1,CI54&gt;0),MAX(0,JH54-(MIN(CI54*ALI53,JH54+MU54)-MIN(MIN(CI54*ALI53,JH54+MU54),MU54))),JH54)</f>
        <v>1270</v>
      </c>
      <c r="JJ54" s="20" t="n">
        <f aca="false">IF(AND(H_Direct=1,CJ54&gt;0),MAX(0,JI54-(MIN(CJ54*ALJ53,JI54+MV54)-MIN(MIN(CJ54*ALJ53,JI54+MV54),MV54))),JI54)</f>
        <v>1270</v>
      </c>
      <c r="JK54" s="20" t="n">
        <f aca="false">IF(AND(H_Direct=1,CK54&gt;0),MAX(0,JJ54-(MIN(CK54*ALK53,JJ54+MW54)-MIN(MIN(CK54*ALK53,JJ54+MW54),MW54))),JJ54)</f>
        <v>1270</v>
      </c>
      <c r="JL54" s="20" t="n">
        <f aca="false">IF(AND(H_Direct=1,CL54&gt;0),MAX(0,JK54-(MIN(CL54*ALL53,JK54+MX54)-MIN(MIN(CL54*ALL53,JK54+MX54),MX54))),JK54)</f>
        <v>1270</v>
      </c>
      <c r="JM54" s="20" t="n">
        <f aca="false">IF(AND(H_Direct=1,CM54&gt;0),MAX(0,JL54-(MIN(CM54*ALM53,JL54+MY54)-MIN(MIN(CM54*ALM53,JL54+MY54),MY54))),JL54)</f>
        <v>1270</v>
      </c>
      <c r="JN54" s="20" t="n">
        <f aca="false">IF(AND(H_Direct=1,CN54&gt;0),MAX(0,JM54-(MIN(CN54*ALN53,JM54+MZ54)-MIN(MIN(CN54*ALN53,JM54+MZ54),MZ54))),JM54)</f>
        <v>1270</v>
      </c>
      <c r="JO54" s="20" t="n">
        <f aca="false">IF(AND(H_Direct=1,CO54&gt;0),MAX(0,JN54-(MIN(CO54*ALO53,JN54+NA54)-MIN(MIN(CO54*ALO53,JN54+NA54),NA54))),JN54)</f>
        <v>1270</v>
      </c>
      <c r="JP54" s="20" t="n">
        <f aca="false">IF(AND(H_Direct=1,CP54&gt;0),MAX(0,JO54-(MIN(CP54*ALP53,JO54+NB54)-MIN(MIN(CP54*ALP53,JO54+NB54),NB54))),JO54)</f>
        <v>1270</v>
      </c>
      <c r="JQ54" s="20" t="n">
        <f aca="false">IF(AND(H_Direct=1,CQ54&gt;0),MAX(0,JP54-(MIN(CQ54*ALQ53,JP54+NC54)-MIN(MIN(CQ54*ALQ53,JP54+NC54),NC54))),JP54)</f>
        <v>1270</v>
      </c>
      <c r="JR54" s="20" t="n">
        <f aca="false">IF(AND(H_Direct=1,CR54&gt;0),MAX(0,JQ54-(MIN(CR54*ALR53,JQ54+ND54)-MIN(MIN(CR54*ALR53,JQ54+ND54),ND54))),JQ54)</f>
        <v>1270</v>
      </c>
      <c r="JS54" s="20" t="n">
        <f aca="false">IF(AND(H_Direct=1,CS54&gt;0),MAX(0,JR54-(MIN(CS54*ALS53,JR54+NE54)-MIN(MIN(CS54*ALS53,JR54+NE54),NE54))),JR54)</f>
        <v>1270</v>
      </c>
      <c r="JT54" s="20" t="n">
        <f aca="false">IF(AND(H_Direct=1,CT54&gt;0),MAX(0,JS54-(MIN(CT54*ALT53,JS54+NF54)-MIN(MIN(CT54*ALT53,JS54+NF54),NF54))),JS54)</f>
        <v>1270</v>
      </c>
      <c r="JU54" s="20" t="n">
        <f aca="false">IF(AND(H_Direct=1,CU54&gt;0),MAX(0,JT54-(MIN(CU54*ALU53,JT54+NG54)-MIN(MIN(CU54*ALU53,JT54+NG54),NG54))),JT54)</f>
        <v>1270</v>
      </c>
      <c r="JV54" s="20" t="n">
        <f aca="false">IF(AND(H_Direct=1,CV54&gt;0),MAX(0,JU54-(MIN(CV54*ALV53,JU54+NH54)-MIN(MIN(CV54*ALV53,JU54+NH54),NH54))),JU54)</f>
        <v>1270</v>
      </c>
      <c r="JW54" s="20" t="n">
        <f aca="false">IF(AND(H_Direct=1,CW54&gt;0),MAX(0,JV54-(MIN(CW54*ALW53,JV54+NI54)-MIN(MIN(CW54*ALW53,JV54+NI54),NI54))),JV54)</f>
        <v>1270</v>
      </c>
      <c r="JX54" s="20" t="n">
        <f aca="false">IF(AND(H_Direct=1,CX54&gt;0),MAX(0,JW54-(MIN(CX54*ALX53,JW54+NJ54)-MIN(MIN(CX54*ALX53,JW54+NJ54),NJ54))),JW54)</f>
        <v>1270</v>
      </c>
      <c r="JY54" s="20" t="n">
        <f aca="false">IF(AND(H_Direct=1,CY54&gt;0),MAX(0,JX54-(MIN(CY54*ALY53,JX54+NK54)-MIN(MIN(CY54*ALY53,JX54+NK54),NK54))),JX54)</f>
        <v>1270</v>
      </c>
      <c r="JZ54" s="20" t="n">
        <f aca="false">IF(AND(H_Direct=1,CZ54&gt;0),MAX(0,JY54-(MIN(CZ54*ALZ53,JY54+NL54)-MIN(MIN(CZ54*ALZ53,JY54+NL54),NL54))),JY54)</f>
        <v>1270</v>
      </c>
      <c r="KA54" s="20" t="n">
        <f aca="false">IF(AND(H_Direct=1,DA54&gt;0),MAX(0,JZ54-(MIN(DA54*AMA53,JZ54+NM54)-MIN(MIN(DA54*AMA53,JZ54+NM54),NM54))),JZ54)</f>
        <v>1270</v>
      </c>
      <c r="KB54" s="20" t="n">
        <f aca="false">IF(AND(H_Direct=1,DB54&gt;0),MAX(0,KA54-(MIN(DB54*AMB53,KA54+NN54)-MIN(MIN(DB54*AMB53,KA54+NN54),NN54))),KA54)</f>
        <v>1270</v>
      </c>
      <c r="KC54" s="20" t="n">
        <f aca="false">IF(AND(H_Direct=1,DC54&gt;0),MAX(0,KB54-(MIN(DC54*AMC53,KB54+NO54)-MIN(MIN(DC54*AMC53,KB54+NO54),NO54))),KB54)</f>
        <v>1270</v>
      </c>
      <c r="KD54" s="20" t="n">
        <f aca="false">IF(AND(H_Direct=1,DD54&gt;0),MAX(0,KC54-(MIN(DD54*AMD53,KC54+NP54)-MIN(MIN(DD54*AMD53,KC54+NP54),NP54))),KC54)</f>
        <v>1270</v>
      </c>
      <c r="KE54" s="20" t="n">
        <f aca="false">IF(AND(H_Direct=1,DE54&gt;0),MAX(0,KD54-(MIN(DE54*AME53,KD54+NQ54)-MIN(MIN(DE54*AME53,KD54+NQ54),NQ54))),KD54)</f>
        <v>1270</v>
      </c>
      <c r="KF54" s="20" t="n">
        <f aca="false">IF(AND(H_Direct=1,DF54&gt;0),MAX(0,KE54-(MIN(DF54*AMF53,KE54+NR54)-MIN(MIN(DF54*AMF53,KE54+NR54),NR54))),KE54)</f>
        <v>1270</v>
      </c>
      <c r="KG54" s="20" t="n">
        <f aca="false">IF(AND(H_Direct=1,DG54&gt;0),MAX(0,KF54-(MIN(DG54*AMG53,KF54+NS54)-MIN(MIN(DG54*AMG53,KF54+NS54),NS54))),KF54)</f>
        <v>1270</v>
      </c>
      <c r="KH54" s="20" t="n">
        <f aca="false">IF(AND(H_Direct=1,DH54&gt;0),MAX(0,KG54-(MIN(DH54*AMH53,KG54+NT54)-MIN(MIN(DH54*AMH53,KG54+NT54),NT54))),KG54)</f>
        <v>1270</v>
      </c>
      <c r="KI54" s="20" t="n">
        <f aca="false">IF(AND(H_Direct=1,DI54&gt;0),MAX(0,KH54-(MIN(DI54*AMI53,KH54+NU54)-MIN(MIN(DI54*AMI53,KH54+NU54),NU54))),KH54)</f>
        <v>1270</v>
      </c>
      <c r="KJ54" s="20" t="n">
        <f aca="false">IF(AND(H_Direct=1,DJ54&gt;0),MAX(0,KI54-(MIN(DJ54*AMJ53,KI54+NV54)-MIN(MIN(DJ54*AMJ53,KI54+NV54),NV54))),KI54)</f>
        <v>1270</v>
      </c>
      <c r="KK54" s="20" t="n">
        <f aca="false">IF(AND(H_Direct=1,DK54&gt;0),MAX(0,KJ54-(MIN(DK54*AMK53,KJ54+NW54)-MIN(MIN(DK54*AMK53,KJ54+NW54),NW54))),KJ54)</f>
        <v>1270</v>
      </c>
      <c r="KL54" s="20" t="n">
        <f aca="false">IF(AND(H_Direct=1,DL54&gt;0),MAX(0,KK54-(MIN(DL54*AML53,KK54+NX54)-MIN(MIN(DL54*AML53,KK54+NX54),NX54))),KK54)</f>
        <v>1270</v>
      </c>
      <c r="KM54" s="20" t="n">
        <f aca="false">IF(AND(H_Direct=1,DM54&gt;0),MAX(0,KL54-(MIN(DM54*(P54+S54),KL54+NY54)-MIN(MIN(DM54*(P54+S54),KL54+NY54),NY54))),KL54)</f>
        <v>1270</v>
      </c>
      <c r="KN54" s="20" t="n">
        <f aca="false">KM54</f>
        <v>1270</v>
      </c>
      <c r="KO54" s="20" t="n">
        <f aca="false">KN54</f>
        <v>1270</v>
      </c>
      <c r="KP54" s="20" t="n">
        <f aca="false">KO54</f>
        <v>1270</v>
      </c>
      <c r="KQ54" s="20" t="n">
        <f aca="false">KP54</f>
        <v>1270</v>
      </c>
      <c r="KR54" s="20" t="n">
        <f aca="false">KQ54</f>
        <v>1270</v>
      </c>
      <c r="KS54" s="20" t="n">
        <f aca="false">KR54</f>
        <v>1270</v>
      </c>
      <c r="KT54" s="20" t="n">
        <f aca="false">KS54</f>
        <v>1270</v>
      </c>
      <c r="KU54" s="20" t="n">
        <f aca="false">KT54</f>
        <v>1270</v>
      </c>
      <c r="KV54" s="20" t="n">
        <f aca="false">KU54</f>
        <v>1270</v>
      </c>
      <c r="KW54" s="20" t="n">
        <f aca="false">KV54</f>
        <v>1270</v>
      </c>
      <c r="KX54" s="20" t="n">
        <f aca="false">KW54</f>
        <v>1270</v>
      </c>
      <c r="KY54" s="20" t="n">
        <f aca="false">KX54</f>
        <v>1270</v>
      </c>
      <c r="KZ54" s="20" t="n">
        <f aca="false">KY54</f>
        <v>1270</v>
      </c>
      <c r="LA54" s="20" t="n">
        <f aca="false">KZ54</f>
        <v>1270</v>
      </c>
      <c r="LB54" s="20" t="n">
        <f aca="false">LA54</f>
        <v>1270</v>
      </c>
      <c r="LC54" s="20" t="n">
        <f aca="false">LB54</f>
        <v>1270</v>
      </c>
      <c r="LD54" s="20" t="n">
        <f aca="false">LC54</f>
        <v>1270</v>
      </c>
      <c r="LE54" s="20" t="n">
        <f aca="false">LD54</f>
        <v>1270</v>
      </c>
      <c r="LF54" s="20" t="n">
        <f aca="false">LE54</f>
        <v>1270</v>
      </c>
      <c r="LG54" s="20" t="n">
        <f aca="false">LF54</f>
        <v>1270</v>
      </c>
      <c r="LH54" s="20" t="n">
        <f aca="false">LG54</f>
        <v>1270</v>
      </c>
      <c r="LI54" s="20" t="n">
        <f aca="false">LH54</f>
        <v>1270</v>
      </c>
      <c r="LJ54" s="20" t="n">
        <f aca="false">LI54</f>
        <v>1270</v>
      </c>
      <c r="LK54" s="20" t="n">
        <f aca="false">LJ54</f>
        <v>1270</v>
      </c>
      <c r="LL54" s="20" t="n">
        <f aca="false">LK54</f>
        <v>1270</v>
      </c>
      <c r="LM54" s="20" t="n">
        <f aca="false">LL54</f>
        <v>1270</v>
      </c>
      <c r="LN54" s="20" t="n">
        <f aca="false">LM54</f>
        <v>1270</v>
      </c>
      <c r="LO54" s="20" t="n">
        <f aca="false">LN54</f>
        <v>1270</v>
      </c>
      <c r="LP54" s="20" t="n">
        <f aca="false">LO54</f>
        <v>1270</v>
      </c>
      <c r="LQ54" s="20" t="n">
        <f aca="false">LP54</f>
        <v>1270</v>
      </c>
      <c r="LR54" s="20" t="n">
        <f aca="false">LQ54</f>
        <v>1270</v>
      </c>
      <c r="LS54" s="20" t="n">
        <f aca="false">LR54</f>
        <v>1270</v>
      </c>
      <c r="LT54" s="20" t="n">
        <f aca="false">LS54</f>
        <v>1270</v>
      </c>
      <c r="LU54" s="20" t="n">
        <f aca="false">LT54</f>
        <v>1270</v>
      </c>
      <c r="LV54" s="20" t="n">
        <f aca="false">LU54</f>
        <v>1270</v>
      </c>
      <c r="LW54" s="20" t="n">
        <f aca="false">LV54</f>
        <v>1270</v>
      </c>
      <c r="LX54" s="20" t="n">
        <f aca="false">LW54</f>
        <v>1270</v>
      </c>
      <c r="LY54" s="20" t="n">
        <f aca="false">LX54</f>
        <v>1270</v>
      </c>
      <c r="LZ54" s="20" t="n">
        <f aca="false">LY54</f>
        <v>1270</v>
      </c>
      <c r="MA54" s="20" t="n">
        <f aca="false">LZ54</f>
        <v>1270</v>
      </c>
      <c r="MB54" s="20" t="n">
        <f aca="false">MA54</f>
        <v>1270</v>
      </c>
      <c r="MC54" s="20" t="n">
        <f aca="false">MB54</f>
        <v>1270</v>
      </c>
      <c r="MD54" s="20" t="n">
        <f aca="false">MC54</f>
        <v>1270</v>
      </c>
      <c r="ME54" s="20" t="n">
        <f aca="false">IF(H_Direct=1,IF(BR54&lt;=0,I54-BR54*AKR53,I54-MIN(MIN(BR54*AKR53,H54+I54),I54)),I54)</f>
        <v>0</v>
      </c>
      <c r="MF54" s="20" t="n">
        <f aca="false">IF(H_Direct=1,IF(BS54&lt;=0,ME54-BS54*AKS53,ME54-MIN(MIN(BS54*AKS53,IR54+ME54),ME54)),ME54)</f>
        <v>0</v>
      </c>
      <c r="MG54" s="20" t="n">
        <f aca="false">IF(H_Direct=1,IF(BT54&lt;=0,MF54-BT54*AKT53,MF54-MIN(MIN(BT54*AKT53,IS54+MF54),MF54)),MF54)</f>
        <v>0</v>
      </c>
      <c r="MH54" s="20" t="n">
        <f aca="false">IF(H_Direct=1,IF(BU54&lt;=0,MG54-BU54*AKU53,MG54-MIN(MIN(BU54*AKU53,IT54+MG54),MG54)),MG54)</f>
        <v>0</v>
      </c>
      <c r="MI54" s="20" t="n">
        <f aca="false">IF(H_Direct=1,IF(BV54&lt;=0,MH54-BV54*AKV53,MH54-MIN(MIN(BV54*AKV53,IU54+MH54),MH54)),MH54)</f>
        <v>0</v>
      </c>
      <c r="MJ54" s="20" t="n">
        <f aca="false">IF(H_Direct=1,IF(BW54&lt;=0,MI54-BW54*AKW53,MI54-MIN(MIN(BW54*AKW53,IV54+MI54),MI54)),MI54)</f>
        <v>0</v>
      </c>
      <c r="MK54" s="20" t="n">
        <f aca="false">IF(H_Direct=1,IF(BX54&lt;=0,MJ54-BX54*AKX53,MJ54-MIN(MIN(BX54*AKX53,IW54+MJ54),MJ54)),MJ54)</f>
        <v>0</v>
      </c>
      <c r="ML54" s="20" t="n">
        <f aca="false">IF(H_Direct=1,IF(BY54&lt;=0,MK54-BY54*AKY53,MK54-MIN(MIN(BY54*AKY53,IX54+MK54),MK54)),MK54)</f>
        <v>0</v>
      </c>
      <c r="MM54" s="20" t="n">
        <f aca="false">IF(H_Direct=1,IF(BZ54&lt;=0,ML54-BZ54*AKZ53,ML54-MIN(MIN(BZ54*AKZ53,IY54+ML54),ML54)),ML54)</f>
        <v>0</v>
      </c>
      <c r="MN54" s="20" t="n">
        <f aca="false">IF(H_Direct=1,IF(CA54&lt;=0,MM54-CA54*ALA53,MM54-MIN(MIN(CA54*ALA53,IZ54+MM54),MM54)),MM54)</f>
        <v>0</v>
      </c>
      <c r="MO54" s="20" t="n">
        <f aca="false">IF(H_Direct=1,IF(CB54&lt;=0,MN54-CB54*ALB53,MN54-MIN(MIN(CB54*ALB53,JA54+MN54),MN54)),MN54)</f>
        <v>0</v>
      </c>
      <c r="MP54" s="20" t="n">
        <f aca="false">IF(H_Direct=1,IF(CC54&lt;=0,MO54-CC54*ALC53,MO54-MIN(MIN(CC54*ALC53,JB54+MO54),MO54)),MO54)</f>
        <v>0</v>
      </c>
      <c r="MQ54" s="20" t="n">
        <f aca="false">IF(H_Direct=1,IF(CD54&lt;=0,MP54-CD54*ALD53,MP54-MIN(MIN(CD54*ALD53,JC54+MP54),MP54)),MP54)</f>
        <v>0</v>
      </c>
      <c r="MR54" s="20" t="n">
        <f aca="false">IF(H_Direct=1,IF(CE54&lt;=0,MQ54-CE54*ALE53,MQ54-MIN(MIN(CE54*ALE53,JD54+MQ54),MQ54)),MQ54)</f>
        <v>0</v>
      </c>
      <c r="MS54" s="20" t="n">
        <f aca="false">IF(H_Direct=1,IF(CF54&lt;=0,MR54-CF54*ALF53,MR54-MIN(MIN(CF54*ALF53,JE54+MR54),MR54)),MR54)</f>
        <v>0</v>
      </c>
      <c r="MT54" s="20" t="n">
        <f aca="false">IF(H_Direct=1,IF(CG54&lt;=0,MS54-CG54*ALG53,MS54-MIN(MIN(CG54*ALG53,JF54+MS54),MS54)),MS54)</f>
        <v>0</v>
      </c>
      <c r="MU54" s="20" t="n">
        <f aca="false">IF(H_Direct=1,IF(CH54&lt;=0,MT54-CH54*ALH53,MT54-MIN(MIN(CH54*ALH53,JG54+MT54),MT54)),MT54)</f>
        <v>0</v>
      </c>
      <c r="MV54" s="20" t="n">
        <f aca="false">IF(H_Direct=1,IF(CI54&lt;=0,MU54-CI54*ALI53,MU54-MIN(MIN(CI54*ALI53,JH54+MU54),MU54)),MU54)</f>
        <v>0</v>
      </c>
      <c r="MW54" s="20" t="n">
        <f aca="false">IF(H_Direct=1,IF(CJ54&lt;=0,MV54-CJ54*ALJ53,MV54-MIN(MIN(CJ54*ALJ53,JI54+MV54),MV54)),MV54)</f>
        <v>0</v>
      </c>
      <c r="MX54" s="20" t="n">
        <f aca="false">IF(H_Direct=1,IF(CK54&lt;=0,MW54-CK54*ALK53,MW54-MIN(MIN(CK54*ALK53,JJ54+MW54),MW54)),MW54)</f>
        <v>0</v>
      </c>
      <c r="MY54" s="20" t="n">
        <f aca="false">IF(H_Direct=1,IF(CL54&lt;=0,MX54-CL54*ALL53,MX54-MIN(MIN(CL54*ALL53,JK54+MX54),MX54)),MX54)</f>
        <v>0</v>
      </c>
      <c r="MZ54" s="20" t="n">
        <f aca="false">IF(H_Direct=1,IF(CM54&lt;=0,MY54-CM54*ALM53,MY54-MIN(MIN(CM54*ALM53,JL54+MY54),MY54)),MY54)</f>
        <v>0</v>
      </c>
      <c r="NA54" s="20" t="n">
        <f aca="false">IF(H_Direct=1,IF(CN54&lt;=0,MZ54-CN54*ALN53,MZ54-MIN(MIN(CN54*ALN53,JM54+MZ54),MZ54)),MZ54)</f>
        <v>0</v>
      </c>
      <c r="NB54" s="20" t="n">
        <f aca="false">IF(H_Direct=1,IF(CO54&lt;=0,NA54-CO54*ALO53,NA54-MIN(MIN(CO54*ALO53,JN54+NA54),NA54)),NA54)</f>
        <v>0</v>
      </c>
      <c r="NC54" s="20" t="n">
        <f aca="false">IF(H_Direct=1,IF(CP54&lt;=0,NB54-CP54*ALP53,NB54-MIN(MIN(CP54*ALP53,JO54+NB54),NB54)),NB54)</f>
        <v>0</v>
      </c>
      <c r="ND54" s="20" t="n">
        <f aca="false">IF(H_Direct=1,IF(CQ54&lt;=0,NC54-CQ54*ALQ53,NC54-MIN(MIN(CQ54*ALQ53,JP54+NC54),NC54)),NC54)</f>
        <v>0</v>
      </c>
      <c r="NE54" s="20" t="n">
        <f aca="false">IF(H_Direct=1,IF(CR54&lt;=0,ND54-CR54*ALR53,ND54-MIN(MIN(CR54*ALR53,JQ54+ND54),ND54)),ND54)</f>
        <v>0</v>
      </c>
      <c r="NF54" s="20" t="n">
        <f aca="false">IF(H_Direct=1,IF(CS54&lt;=0,NE54-CS54*ALS53,NE54-MIN(MIN(CS54*ALS53,JR54+NE54),NE54)),NE54)</f>
        <v>0</v>
      </c>
      <c r="NG54" s="20" t="n">
        <f aca="false">IF(H_Direct=1,IF(CT54&lt;=0,NF54-CT54*ALT53,NF54-MIN(MIN(CT54*ALT53,JS54+NF54),NF54)),NF54)</f>
        <v>0</v>
      </c>
      <c r="NH54" s="20" t="n">
        <f aca="false">IF(H_Direct=1,IF(CU54&lt;=0,NG54-CU54*ALU53,NG54-MIN(MIN(CU54*ALU53,JT54+NG54),NG54)),NG54)</f>
        <v>0</v>
      </c>
      <c r="NI54" s="20" t="n">
        <f aca="false">IF(H_Direct=1,IF(CV54&lt;=0,NH54-CV54*ALV53,NH54-MIN(MIN(CV54*ALV53,JU54+NH54),NH54)),NH54)</f>
        <v>0</v>
      </c>
      <c r="NJ54" s="20" t="n">
        <f aca="false">IF(H_Direct=1,IF(CW54&lt;=0,NI54-CW54*ALW53,NI54-MIN(MIN(CW54*ALW53,JV54+NI54),NI54)),NI54)</f>
        <v>0</v>
      </c>
      <c r="NK54" s="20" t="n">
        <f aca="false">IF(H_Direct=1,IF(CX54&lt;=0,NJ54-CX54*ALX53,NJ54-MIN(MIN(CX54*ALX53,JW54+NJ54),NJ54)),NJ54)</f>
        <v>0</v>
      </c>
      <c r="NL54" s="20" t="n">
        <f aca="false">IF(H_Direct=1,IF(CY54&lt;=0,NK54-CY54*ALY53,NK54-MIN(MIN(CY54*ALY53,JX54+NK54),NK54)),NK54)</f>
        <v>0</v>
      </c>
      <c r="NM54" s="20" t="n">
        <f aca="false">IF(H_Direct=1,IF(CZ54&lt;=0,NL54-CZ54*ALZ53,NL54-MIN(MIN(CZ54*ALZ53,JY54+NL54),NL54)),NL54)</f>
        <v>0</v>
      </c>
      <c r="NN54" s="20" t="n">
        <f aca="false">IF(H_Direct=1,IF(DA54&lt;=0,NM54-DA54*AMA53,NM54-MIN(MIN(DA54*AMA53,JZ54+NM54),NM54)),NM54)</f>
        <v>0</v>
      </c>
      <c r="NO54" s="20" t="n">
        <f aca="false">IF(H_Direct=1,IF(DB54&lt;=0,NN54-DB54*AMB53,NN54-MIN(MIN(DB54*AMB53,KA54+NN54),NN54)),NN54)</f>
        <v>0</v>
      </c>
      <c r="NP54" s="20" t="n">
        <f aca="false">IF(H_Direct=1,IF(DC54&lt;=0,NO54-DC54*AMC53,NO54-MIN(MIN(DC54*AMC53,KB54+NO54),NO54)),NO54)</f>
        <v>0</v>
      </c>
      <c r="NQ54" s="20" t="n">
        <f aca="false">IF(H_Direct=1,IF(DD54&lt;=0,NP54-DD54*AMD53,NP54-MIN(MIN(DD54*AMD53,KC54+NP54),NP54)),NP54)</f>
        <v>0</v>
      </c>
      <c r="NR54" s="20" t="n">
        <f aca="false">IF(H_Direct=1,IF(DE54&lt;=0,NQ54-DE54*AME53,NQ54-MIN(MIN(DE54*AME53,KD54+NQ54),NQ54)),NQ54)</f>
        <v>0</v>
      </c>
      <c r="NS54" s="20" t="n">
        <f aca="false">IF(H_Direct=1,IF(DF54&lt;=0,NR54-DF54*AMF53,NR54-MIN(MIN(DF54*AMF53,KE54+NR54),NR54)),NR54)</f>
        <v>0</v>
      </c>
      <c r="NT54" s="20" t="n">
        <f aca="false">IF(H_Direct=1,IF(DG54&lt;=0,NS54-DG54*AMG53,NS54-MIN(MIN(DG54*AMG53,KF54+NS54),NS54)),NS54)</f>
        <v>0</v>
      </c>
      <c r="NU54" s="20" t="n">
        <f aca="false">IF(H_Direct=1,IF(DH54&lt;=0,NT54-DH54*AMH53,NT54-MIN(MIN(DH54*AMH53,KG54+NT54),NT54)),NT54)</f>
        <v>0</v>
      </c>
      <c r="NV54" s="20" t="n">
        <f aca="false">IF(H_Direct=1,IF(DI54&lt;=0,NU54-DI54*AMI53,NU54-MIN(MIN(DI54*AMI53,KH54+NU54),NU54)),NU54)</f>
        <v>0</v>
      </c>
      <c r="NW54" s="20" t="n">
        <f aca="false">IF(H_Direct=1,IF(DJ54&lt;=0,NV54-DJ54*AMJ53,NV54-MIN(MIN(DJ54*AMJ53,KI54+NV54),NV54)),NV54)</f>
        <v>0</v>
      </c>
      <c r="NX54" s="20" t="n">
        <f aca="false">IF(H_Direct=1,IF(DK54&lt;=0,NW54-DK54*AMK53,NW54-MIN(MIN(DK54*AMK53,KJ54+NW54),NW54)),NW54)</f>
        <v>0</v>
      </c>
      <c r="NY54" s="20" t="n">
        <f aca="false">IF(H_Direct=1,IF(DL54&lt;=0,NX54-DL54*AML53,NX54-MIN(MIN(DL54*AML53,KK54+NX54),NX54)),NX54)</f>
        <v>0</v>
      </c>
      <c r="NZ54" s="20" t="n">
        <f aca="false">IF(H_Direct=1,IF(DM54&lt;=0,NY54-DM54*(P54+S54),NY54-MIN(MIN(DM54*(P54+S54),KL54+NY54),NY54)),NY54)</f>
        <v>0</v>
      </c>
      <c r="OA54" s="20" t="n">
        <f aca="false">NZ54</f>
        <v>0</v>
      </c>
      <c r="OB54" s="20" t="n">
        <f aca="false">OA54</f>
        <v>0</v>
      </c>
      <c r="OC54" s="20" t="n">
        <f aca="false">OB54</f>
        <v>0</v>
      </c>
      <c r="OD54" s="20" t="n">
        <f aca="false">OC54</f>
        <v>0</v>
      </c>
      <c r="OE54" s="20" t="n">
        <f aca="false">OD54</f>
        <v>0</v>
      </c>
      <c r="OF54" s="20" t="n">
        <f aca="false">OE54</f>
        <v>0</v>
      </c>
      <c r="OG54" s="20" t="n">
        <f aca="false">OF54</f>
        <v>0</v>
      </c>
      <c r="OH54" s="20" t="n">
        <f aca="false">OG54</f>
        <v>0</v>
      </c>
      <c r="OI54" s="20" t="n">
        <f aca="false">OH54</f>
        <v>0</v>
      </c>
      <c r="OJ54" s="20" t="n">
        <f aca="false">OI54</f>
        <v>0</v>
      </c>
      <c r="OK54" s="20" t="n">
        <f aca="false">OJ54</f>
        <v>0</v>
      </c>
      <c r="OL54" s="20" t="n">
        <f aca="false">OK54</f>
        <v>0</v>
      </c>
      <c r="OM54" s="20" t="n">
        <f aca="false">OL54</f>
        <v>0</v>
      </c>
      <c r="ON54" s="20" t="n">
        <f aca="false">OM54</f>
        <v>0</v>
      </c>
      <c r="OO54" s="20" t="n">
        <f aca="false">ON54</f>
        <v>0</v>
      </c>
      <c r="OP54" s="20" t="n">
        <f aca="false">OO54</f>
        <v>0</v>
      </c>
      <c r="OQ54" s="20" t="n">
        <f aca="false">OP54</f>
        <v>0</v>
      </c>
      <c r="OR54" s="20" t="n">
        <f aca="false">OQ54</f>
        <v>0</v>
      </c>
      <c r="OS54" s="20" t="n">
        <f aca="false">OR54</f>
        <v>0</v>
      </c>
      <c r="OT54" s="20" t="n">
        <f aca="false">OS54</f>
        <v>0</v>
      </c>
      <c r="OU54" s="20" t="n">
        <f aca="false">OT54</f>
        <v>0</v>
      </c>
      <c r="OV54" s="20" t="n">
        <f aca="false">OU54</f>
        <v>0</v>
      </c>
      <c r="OW54" s="20" t="n">
        <f aca="false">OV54</f>
        <v>0</v>
      </c>
      <c r="OX54" s="20" t="n">
        <f aca="false">OW54</f>
        <v>0</v>
      </c>
      <c r="OY54" s="20" t="n">
        <f aca="false">OX54</f>
        <v>0</v>
      </c>
      <c r="OZ54" s="20" t="n">
        <f aca="false">OY54</f>
        <v>0</v>
      </c>
      <c r="PA54" s="20" t="n">
        <f aca="false">OZ54</f>
        <v>0</v>
      </c>
      <c r="PB54" s="20" t="n">
        <f aca="false">PA54</f>
        <v>0</v>
      </c>
      <c r="PC54" s="20" t="n">
        <f aca="false">PB54</f>
        <v>0</v>
      </c>
      <c r="PD54" s="20" t="n">
        <f aca="false">PC54</f>
        <v>0</v>
      </c>
      <c r="PE54" s="20" t="n">
        <f aca="false">PD54</f>
        <v>0</v>
      </c>
      <c r="PF54" s="20" t="n">
        <f aca="false">PE54</f>
        <v>0</v>
      </c>
      <c r="PG54" s="20" t="n">
        <f aca="false">PF54</f>
        <v>0</v>
      </c>
      <c r="PH54" s="20" t="n">
        <f aca="false">PG54</f>
        <v>0</v>
      </c>
      <c r="PI54" s="20" t="n">
        <f aca="false">PH54</f>
        <v>0</v>
      </c>
      <c r="PJ54" s="20" t="n">
        <f aca="false">PI54</f>
        <v>0</v>
      </c>
      <c r="PK54" s="20" t="n">
        <f aca="false">PJ54</f>
        <v>0</v>
      </c>
      <c r="PL54" s="20" t="n">
        <f aca="false">PK54</f>
        <v>0</v>
      </c>
      <c r="PM54" s="20" t="n">
        <f aca="false">PL54</f>
        <v>0</v>
      </c>
      <c r="PN54" s="20" t="n">
        <f aca="false">PM54</f>
        <v>0</v>
      </c>
      <c r="PO54" s="20" t="n">
        <f aca="false">PN54</f>
        <v>0</v>
      </c>
      <c r="PP54" s="20" t="n">
        <f aca="false">PO54</f>
        <v>0</v>
      </c>
      <c r="PQ54" s="20" t="n">
        <f aca="false">PP54</f>
        <v>0</v>
      </c>
      <c r="PR54" s="20" t="n">
        <f aca="false">IF(H_Direct=1,IF(AKR53&lt;=0,0,IF(BR54&lt;=0,MIN(MAX(0,AB54),AKR53),MIN(MAX(0,AB54),AKR53-G54*MAX(0,BR54*AKR53-(H54+I54))))),MIN(FE54,MAX(0,AB54)))</f>
        <v>0</v>
      </c>
      <c r="PS54" s="20" t="n">
        <f aca="false">IF(H_Direct=1,IF(AKS53&lt;=0,0,IF(BS54&lt;=0,MIN(MAX(0,AB54-SUM(PR54:PR54)),AKS53),MIN(MAX(0,AB54-SUM(PR54:PR54)),AKS53-G54*MAX(0,BS54*AKS53-(WR54+AAE54))))),MIN(FF54,MAX(0,AB54-SUM(PR54:PR54))))</f>
        <v>0</v>
      </c>
      <c r="PT54" s="20" t="n">
        <f aca="false">IF(H_Direct=1,IF(AKT53&lt;=0,0,IF(BT54&lt;=0,MIN(MAX(0,AB54-SUM(PR54:PS54)),AKT53),MIN(MAX(0,AB54-SUM(PR54:PS54)),AKT53-G54*MAX(0,BT54*AKT53-(WS54+AAF54))))),MIN(FG54,MAX(0,AB54-SUM(PR54:PS54))))</f>
        <v>0</v>
      </c>
      <c r="PU54" s="20" t="n">
        <f aca="false">IF(H_Direct=1,IF(AKU53&lt;=0,0,IF(BU54&lt;=0,MIN(MAX(0,AB54-SUM(PR54:PT54)),AKU53),MIN(MAX(0,AB54-SUM(PR54:PT54)),AKU53-G54*MAX(0,BU54*AKU53-(WT54+AAG54))))),MIN(FH54,MAX(0,AB54-SUM(PR54:PT54))))</f>
        <v>0</v>
      </c>
      <c r="PV54" s="20" t="n">
        <f aca="false">IF(H_Direct=1,IF(AKV53&lt;=0,0,IF(BV54&lt;=0,MIN(MAX(0,AB54-SUM(PR54:PU54)),AKV53),MIN(MAX(0,AB54-SUM(PR54:PU54)),AKV53-G54*MAX(0,BV54*AKV53-(WU54+AAH54))))),MIN(FI54,MAX(0,AB54-SUM(PR54:PU54))))</f>
        <v>0</v>
      </c>
      <c r="PW54" s="20" t="n">
        <f aca="false">IF(H_Direct=1,IF(AKW53&lt;=0,0,IF(BW54&lt;=0,MIN(MAX(0,AB54-SUM(PR54:PV54)),AKW53),MIN(MAX(0,AB54-SUM(PR54:PV54)),AKW53-G54*MAX(0,BW54*AKW53-(WV54+AAI54))))),MIN(FJ54,MAX(0,AB54-SUM(PR54:PV54))))</f>
        <v>0</v>
      </c>
      <c r="PX54" s="20" t="n">
        <f aca="false">IF(H_Direct=1,IF(AKX53&lt;=0,0,IF(BX54&lt;=0,MIN(MAX(0,AB54-SUM(PR54:PW54)),AKX53),MIN(MAX(0,AB54-SUM(PR54:PW54)),AKX53-G54*MAX(0,BX54*AKX53-(WW54+AAJ54))))),MIN(FK54,MAX(0,AB54-SUM(PR54:PW54))))</f>
        <v>0</v>
      </c>
      <c r="PY54" s="20" t="n">
        <f aca="false">IF(H_Direct=1,IF(AKY53&lt;=0,0,IF(BY54&lt;=0,MIN(MAX(0,AB54-SUM(PR54:PX54)),AKY53),MIN(MAX(0,AB54-SUM(PR54:PX54)),AKY53-G54*MAX(0,BY54*AKY53-(WX54+AAK54))))),MIN(FL54,MAX(0,AB54-SUM(PR54:PX54))))</f>
        <v>0</v>
      </c>
      <c r="PZ54" s="20" t="n">
        <f aca="false">IF(H_Direct=1,IF(AKZ53&lt;=0,0,IF(BZ54&lt;=0,MIN(MAX(0,AB54-SUM(PR54:PY54)),AKZ53),MIN(MAX(0,AB54-SUM(PR54:PY54)),AKZ53-G54*MAX(0,BZ54*AKZ53-(WY54+AAL54))))),MIN(FM54,MAX(0,AB54-SUM(PR54:PY54))))</f>
        <v>0</v>
      </c>
      <c r="QA54" s="20" t="n">
        <f aca="false">IF(H_Direct=1,IF(ALA53&lt;=0,0,IF(CA54&lt;=0,MIN(MAX(0,AB54-SUM(PR54:PZ54)),ALA53),MIN(MAX(0,AB54-SUM(PR54:PZ54)),ALA53-G54*MAX(0,CA54*ALA53-(WZ54+AAM54))))),MIN(FN54,MAX(0,AB54-SUM(PR54:PZ54))))</f>
        <v>0</v>
      </c>
      <c r="QB54" s="20" t="n">
        <f aca="false">IF(H_Direct=1,IF(ALB53&lt;=0,0,IF(CB54&lt;=0,MIN(MAX(0,AB54-SUM(PR54:QA54)),ALB53),MIN(MAX(0,AB54-SUM(PR54:QA54)),ALB53-G54*MAX(0,CB54*ALB53-(XA54+AAN54))))),MIN(FO54,MAX(0,AB54-SUM(PR54:QA54))))</f>
        <v>0</v>
      </c>
      <c r="QC54" s="20" t="n">
        <f aca="false">IF(H_Direct=1,IF(ALC53&lt;=0,0,IF(CC54&lt;=0,MIN(MAX(0,AB54-SUM(PR54:QB54)),ALC53),MIN(MAX(0,AB54-SUM(PR54:QB54)),ALC53-G54*MAX(0,CC54*ALC53-(XB54+AAO54))))),MIN(FP54,MAX(0,AB54-SUM(PR54:QB54))))</f>
        <v>0</v>
      </c>
      <c r="QD54" s="20" t="n">
        <f aca="false">IF(H_Direct=1,IF(ALD53&lt;=0,0,IF(CD54&lt;=0,MIN(MAX(0,AB54-SUM(PR54:QC54)),ALD53),MIN(MAX(0,AB54-SUM(PR54:QC54)),ALD53-G54*MAX(0,CD54*ALD53-(XC54+AAP54))))),MIN(FQ54,MAX(0,AB54-SUM(PR54:QC54))))</f>
        <v>0</v>
      </c>
      <c r="QE54" s="20" t="n">
        <f aca="false">IF(H_Direct=1,IF(ALE53&lt;=0,0,IF(CE54&lt;=0,MIN(MAX(0,AB54-SUM(PR54:QD54)),ALE53),MIN(MAX(0,AB54-SUM(PR54:QD54)),ALE53-G54*MAX(0,CE54*ALE53-(XD54+AAQ54))))),MIN(FR54,MAX(0,AB54-SUM(PR54:QD54))))</f>
        <v>0</v>
      </c>
      <c r="QF54" s="20" t="n">
        <f aca="false">IF(H_Direct=1,IF(ALF53&lt;=0,0,IF(CF54&lt;=0,MIN(MAX(0,AB54-SUM(PR54:QE54)),ALF53),MIN(MAX(0,AB54-SUM(PR54:QE54)),ALF53-G54*MAX(0,CF54*ALF53-(XE54+AAR54))))),MIN(FS54,MAX(0,AB54-SUM(PR54:QE54))))</f>
        <v>0</v>
      </c>
      <c r="QG54" s="20" t="n">
        <f aca="false">IF(H_Direct=1,IF(ALG53&lt;=0,0,IF(CG54&lt;=0,MIN(MAX(0,AB54-SUM(PR54:QF54)),ALG53),MIN(MAX(0,AB54-SUM(PR54:QF54)),ALG53-G54*MAX(0,CG54*ALG53-(XF54+AAS54))))),MIN(FT54,MAX(0,AB54-SUM(PR54:QF54))))</f>
        <v>0</v>
      </c>
      <c r="QH54" s="20" t="n">
        <f aca="false">IF(H_Direct=1,IF(ALH53&lt;=0,0,IF(CH54&lt;=0,MIN(MAX(0,AB54-SUM(PR54:QG54)),ALH53),MIN(MAX(0,AB54-SUM(PR54:QG54)),ALH53-G54*MAX(0,CH54*ALH53-(XG54+AAT54))))),MIN(FU54,MAX(0,AB54-SUM(PR54:QG54))))</f>
        <v>0</v>
      </c>
      <c r="QI54" s="20" t="n">
        <f aca="false">IF(H_Direct=1,IF(ALI53&lt;=0,0,IF(CI54&lt;=0,MIN(MAX(0,AB54-SUM(PR54:QH54)),ALI53),MIN(MAX(0,AB54-SUM(PR54:QH54)),ALI53-G54*MAX(0,CI54*ALI53-(XH54+AAU54))))),MIN(FV54,MAX(0,AB54-SUM(PR54:QH54))))</f>
        <v>0</v>
      </c>
      <c r="QJ54" s="20" t="n">
        <f aca="false">IF(H_Direct=1,IF(ALJ53&lt;=0,0,IF(CJ54&lt;=0,MIN(MAX(0,AB54-SUM(PR54:QI54)),ALJ53),MIN(MAX(0,AB54-SUM(PR54:QI54)),ALJ53-G54*MAX(0,CJ54*ALJ53-(XI54+AAV54))))),MIN(FW54,MAX(0,AB54-SUM(PR54:QI54))))</f>
        <v>0</v>
      </c>
      <c r="QK54" s="20" t="n">
        <f aca="false">IF(H_Direct=1,IF(ALK53&lt;=0,0,IF(CK54&lt;=0,MIN(MAX(0,AB54-SUM(PR54:QJ54)),ALK53),MIN(MAX(0,AB54-SUM(PR54:QJ54)),ALK53-G54*MAX(0,CK54*ALK53-(XJ54+AAW54))))),MIN(FX54,MAX(0,AB54-SUM(PR54:QJ54))))</f>
        <v>0</v>
      </c>
      <c r="QL54" s="20" t="n">
        <f aca="false">IF(H_Direct=1,IF(ALL53&lt;=0,0,IF(CL54&lt;=0,MIN(MAX(0,AB54-SUM(PR54:QK54)),ALL53),MIN(MAX(0,AB54-SUM(PR54:QK54)),ALL53-G54*MAX(0,CL54*ALL53-(XK54+AAX54))))),MIN(FY54,MAX(0,AB54-SUM(PR54:QK54))))</f>
        <v>0</v>
      </c>
      <c r="QM54" s="20" t="n">
        <f aca="false">IF(H_Direct=1,IF(ALM53&lt;=0,0,IF(CM54&lt;=0,MIN(MAX(0,AB54-SUM(PR54:QL54)),ALM53),MIN(MAX(0,AB54-SUM(PR54:QL54)),ALM53-G54*MAX(0,CM54*ALM53-(XL54+AAY54))))),MIN(FZ54,MAX(0,AB54-SUM(PR54:QL54))))</f>
        <v>0</v>
      </c>
      <c r="QN54" s="20" t="n">
        <f aca="false">IF(H_Direct=1,IF(ALN53&lt;=0,0,IF(CN54&lt;=0,MIN(MAX(0,AB54-SUM(PR54:QM54)),ALN53),MIN(MAX(0,AB54-SUM(PR54:QM54)),ALN53-G54*MAX(0,CN54*ALN53-(XM54+AAZ54))))),MIN(GA54,MAX(0,AB54-SUM(PR54:QM54))))</f>
        <v>0</v>
      </c>
      <c r="QO54" s="20" t="n">
        <f aca="false">IF(H_Direct=1,IF(ALO53&lt;=0,0,IF(CO54&lt;=0,MIN(MAX(0,AB54-SUM(PR54:QN54)),ALO53),MIN(MAX(0,AB54-SUM(PR54:QN54)),ALO53-G54*MAX(0,CO54*ALO53-(XN54+ABA54))))),MIN(GB54,MAX(0,AB54-SUM(PR54:QN54))))</f>
        <v>0</v>
      </c>
      <c r="QP54" s="20" t="n">
        <f aca="false">IF(H_Direct=1,IF(ALP53&lt;=0,0,IF(CP54&lt;=0,MIN(MAX(0,AB54-SUM(PR54:QO54)),ALP53),MIN(MAX(0,AB54-SUM(PR54:QO54)),ALP53-G54*MAX(0,CP54*ALP53-(XO54+ABB54))))),MIN(GC54,MAX(0,AB54-SUM(PR54:QO54))))</f>
        <v>0</v>
      </c>
      <c r="QQ54" s="20" t="n">
        <f aca="false">IF(H_Direct=1,IF(ALQ53&lt;=0,0,IF(CQ54&lt;=0,MIN(MAX(0,AB54-SUM(PR54:QP54)),ALQ53),MIN(MAX(0,AB54-SUM(PR54:QP54)),ALQ53-G54*MAX(0,CQ54*ALQ53-(XP54+ABC54))))),MIN(GD54,MAX(0,AB54-SUM(PR54:QP54))))</f>
        <v>0</v>
      </c>
      <c r="QR54" s="20" t="n">
        <f aca="false">IF(H_Direct=1,IF(ALR53&lt;=0,0,IF(CR54&lt;=0,MIN(MAX(0,AB54-SUM(PR54:QQ54)),ALR53),MIN(MAX(0,AB54-SUM(PR54:QQ54)),ALR53-G54*MAX(0,CR54*ALR53-(XQ54+ABD54))))),MIN(GE54,MAX(0,AB54-SUM(PR54:QQ54))))</f>
        <v>0</v>
      </c>
      <c r="QS54" s="20" t="n">
        <f aca="false">IF(H_Direct=1,IF(ALS53&lt;=0,0,IF(CS54&lt;=0,MIN(MAX(0,AB54-SUM(PR54:QR54)),ALS53),MIN(MAX(0,AB54-SUM(PR54:QR54)),ALS53-G54*MAX(0,CS54*ALS53-(XR54+ABE54))))),MIN(GF54,MAX(0,AB54-SUM(PR54:QR54))))</f>
        <v>0</v>
      </c>
      <c r="QT54" s="20" t="n">
        <f aca="false">IF(H_Direct=1,IF(ALT53&lt;=0,0,IF(CT54&lt;=0,MIN(MAX(0,AB54-SUM(PR54:QS54)),ALT53),MIN(MAX(0,AB54-SUM(PR54:QS54)),ALT53-G54*MAX(0,CT54*ALT53-(XS54+ABF54))))),MIN(GG54,MAX(0,AB54-SUM(PR54:QS54))))</f>
        <v>0</v>
      </c>
      <c r="QU54" s="20" t="n">
        <f aca="false">IF(H_Direct=1,IF(ALU53&lt;=0,0,IF(CU54&lt;=0,MIN(MAX(0,AB54-SUM(PR54:QT54)),ALU53),MIN(MAX(0,AB54-SUM(PR54:QT54)),ALU53-G54*MAX(0,CU54*ALU53-(XT54+ABG54))))),MIN(GH54,MAX(0,AB54-SUM(PR54:QT54))))</f>
        <v>0</v>
      </c>
      <c r="QV54" s="20" t="n">
        <f aca="false">IF(H_Direct=1,IF(ALV53&lt;=0,0,IF(CV54&lt;=0,MIN(MAX(0,AB54-SUM(PR54:QU54)),ALV53),MIN(MAX(0,AB54-SUM(PR54:QU54)),ALV53-G54*MAX(0,CV54*ALV53-(XU54+ABH54))))),MIN(GI54,MAX(0,AB54-SUM(PR54:QU54))))</f>
        <v>0</v>
      </c>
      <c r="QW54" s="20" t="n">
        <f aca="false">IF(H_Direct=1,IF(ALW53&lt;=0,0,IF(CW54&lt;=0,MIN(MAX(0,AB54-SUM(PR54:QV54)),ALW53),MIN(MAX(0,AB54-SUM(PR54:QV54)),ALW53-G54*MAX(0,CW54*ALW53-(XV54+ABI54))))),MIN(GJ54,MAX(0,AB54-SUM(PR54:QV54))))</f>
        <v>0</v>
      </c>
      <c r="QX54" s="20" t="n">
        <f aca="false">IF(H_Direct=1,IF(ALX53&lt;=0,0,IF(CX54&lt;=0,MIN(MAX(0,AB54-SUM(PR54:QW54)),ALX53),MIN(MAX(0,AB54-SUM(PR54:QW54)),ALX53-G54*MAX(0,CX54*ALX53-(XW54+ABJ54))))),MIN(GK54,MAX(0,AB54-SUM(PR54:QW54))))</f>
        <v>0</v>
      </c>
      <c r="QY54" s="20" t="n">
        <f aca="false">IF(H_Direct=1,IF(ALY53&lt;=0,0,IF(CY54&lt;=0,MIN(MAX(0,AB54-SUM(PR54:QX54)),ALY53),MIN(MAX(0,AB54-SUM(PR54:QX54)),ALY53-G54*MAX(0,CY54*ALY53-(XX54+ABK54))))),MIN(GL54,MAX(0,AB54-SUM(PR54:QX54))))</f>
        <v>0</v>
      </c>
      <c r="QZ54" s="20" t="n">
        <f aca="false">IF(H_Direct=1,IF(ALZ53&lt;=0,0,IF(CZ54&lt;=0,MIN(MAX(0,AB54-SUM(PR54:QY54)),ALZ53),MIN(MAX(0,AB54-SUM(PR54:QY54)),ALZ53-G54*MAX(0,CZ54*ALZ53-(XY54+ABL54))))),MIN(GM54,MAX(0,AB54-SUM(PR54:QY54))))</f>
        <v>0</v>
      </c>
      <c r="RA54" s="20" t="n">
        <f aca="false">IF(H_Direct=1,IF(AMA53&lt;=0,0,IF(DA54&lt;=0,MIN(MAX(0,AB54-SUM(PR54:QZ54)),AMA53),MIN(MAX(0,AB54-SUM(PR54:QZ54)),AMA53-G54*MAX(0,DA54*AMA53-(XZ54+ABM54))))),MIN(GN54,MAX(0,AB54-SUM(PR54:QZ54))))</f>
        <v>0</v>
      </c>
      <c r="RB54" s="20" t="n">
        <f aca="false">IF(H_Direct=1,IF(AMB53&lt;=0,0,IF(DB54&lt;=0,MIN(MAX(0,AB54-SUM(PR54:RA54)),AMB53),MIN(MAX(0,AB54-SUM(PR54:RA54)),AMB53-G54*MAX(0,DB54*AMB53-(YA54+ABN54))))),MIN(GO54,MAX(0,AB54-SUM(PR54:RA54))))</f>
        <v>0</v>
      </c>
      <c r="RC54" s="20" t="n">
        <f aca="false">IF(H_Direct=1,IF(AMC53&lt;=0,0,IF(DC54&lt;=0,MIN(MAX(0,AB54-SUM(PR54:RB54)),AMC53),MIN(MAX(0,AB54-SUM(PR54:RB54)),AMC53-G54*MAX(0,DC54*AMC53-(YB54+ABO54))))),MIN(GP54,MAX(0,AB54-SUM(PR54:RB54))))</f>
        <v>0</v>
      </c>
      <c r="RD54" s="20" t="n">
        <f aca="false">IF(H_Direct=1,IF(AMD53&lt;=0,0,IF(DD54&lt;=0,MIN(MAX(0,AB54-SUM(PR54:RC54)),AMD53),MIN(MAX(0,AB54-SUM(PR54:RC54)),AMD53-G54*MAX(0,DD54*AMD53-(YC54+ABP54))))),MIN(GQ54,MAX(0,AB54-SUM(PR54:RC54))))</f>
        <v>0</v>
      </c>
      <c r="RE54" s="20" t="n">
        <f aca="false">IF(H_Direct=1,IF(AME53&lt;=0,0,IF(DE54&lt;=0,MIN(MAX(0,AB54-SUM(PR54:RD54)),AME53),MIN(MAX(0,AB54-SUM(PR54:RD54)),AME53-G54*MAX(0,DE54*AME53-(YD54+ABQ54))))),MIN(GR54,MAX(0,AB54-SUM(PR54:RD54))))</f>
        <v>0</v>
      </c>
      <c r="RF54" s="20" t="n">
        <f aca="false">IF(H_Direct=1,IF(AMF53&lt;=0,0,IF(DF54&lt;=0,MIN(MAX(0,AB54-SUM(PR54:RE54)),AMF53),MIN(MAX(0,AB54-SUM(PR54:RE54)),AMF53-G54*MAX(0,DF54*AMF53-(YE54+ABR54))))),MIN(GS54,MAX(0,AB54-SUM(PR54:RE54))))</f>
        <v>0</v>
      </c>
      <c r="RG54" s="20" t="n">
        <f aca="false">IF(H_Direct=1,IF(AMG53&lt;=0,0,IF(DG54&lt;=0,MIN(MAX(0,AB54-SUM(PR54:RF54)),AMG53),MIN(MAX(0,AB54-SUM(PR54:RF54)),AMG53-G54*MAX(0,DG54*AMG53-(YF54+ABS54))))),MIN(GT54,MAX(0,AB54-SUM(PR54:RF54))))</f>
        <v>0</v>
      </c>
      <c r="RH54" s="20" t="n">
        <f aca="false">IF(H_Direct=1,IF(AMH53&lt;=0,0,IF(DH54&lt;=0,MIN(MAX(0,AB54-SUM(PR54:RG54)),AMH53),MIN(MAX(0,AB54-SUM(PR54:RG54)),AMH53-G54*MAX(0,DH54*AMH53-(YG54+ABT54))))),MIN(GU54,MAX(0,AB54-SUM(PR54:RG54))))</f>
        <v>0</v>
      </c>
      <c r="RI54" s="20" t="n">
        <f aca="false">IF(H_Direct=1,IF(AMI53&lt;=0,0,IF(DI54&lt;=0,MIN(MAX(0,AB54-SUM(PR54:RH54)),AMI53),MIN(MAX(0,AB54-SUM(PR54:RH54)),AMI53-G54*MAX(0,DI54*AMI53-(YH54+ABU54))))),MIN(GV54,MAX(0,AB54-SUM(PR54:RH54))))</f>
        <v>0</v>
      </c>
      <c r="RJ54" s="20" t="n">
        <f aca="false">IF(H_Direct=1,IF(AMJ53&lt;=0,0,IF(DJ54&lt;=0,MIN(MAX(0,AB54-SUM(PR54:RI54)),AMJ53),MIN(MAX(0,AB54-SUM(PR54:RI54)),AMJ53-G54*MAX(0,DJ54*AMJ53-(YI54+ABV54))))),MIN(GW54,MAX(0,AB54-SUM(PR54:RI54))))</f>
        <v>0</v>
      </c>
      <c r="RK54" s="20" t="n">
        <f aca="false">IF(H_Direct=1,IF(AMK53&lt;=0,0,IF(DK54&lt;=0,MIN(MAX(0,AB54-SUM(PR54:RJ54)),AMK53),MIN(MAX(0,AB54-SUM(PR54:RJ54)),AMK53-G54*MAX(0,DK54*AMK53-(YJ54+ABW54))))),MIN(GX54,MAX(0,AB54-SUM(PR54:RJ54))))</f>
        <v>0</v>
      </c>
      <c r="RL54" s="20" t="n">
        <f aca="false">IF(H_Direct=1,IF(AML53&lt;=0,0,IF(DL54&lt;=0,MIN(MAX(0,AB54-SUM(PR54:RK54)),AML53),MIN(MAX(0,AB54-SUM(PR54:RK54)),AML53-G54*MAX(0,DL54*AML53-(YK54+ABX54))))),MIN(GY54,MAX(0,AB54-SUM(PR54:RK54))))</f>
        <v>0</v>
      </c>
      <c r="RM54" s="20" t="n">
        <f aca="false">IF(H_Direct=1,IF((P54+S54)&lt;=0,0,IF(DM54&lt;=0,MIN(MAX(0,AB54-SUM(PR54:RL54)),(P54+S54)),MIN(MAX(0,AB54-SUM(PR54:RL54)),(P54+S54)-G54*MAX(0,DM54*(P54+S54)-(YL54+ABY54))))),MIN(GZ54,MAX(0,AB54-SUM(PR54:RL54))))</f>
        <v>0</v>
      </c>
      <c r="RN54" s="20" t="n">
        <v>0</v>
      </c>
      <c r="RO54" s="20" t="n">
        <v>0</v>
      </c>
      <c r="RP54" s="20" t="n">
        <v>0</v>
      </c>
      <c r="RQ54" s="20" t="n">
        <v>0</v>
      </c>
      <c r="RR54" s="20" t="n">
        <v>0</v>
      </c>
      <c r="RS54" s="20" t="n">
        <v>0</v>
      </c>
      <c r="RT54" s="20" t="n">
        <v>0</v>
      </c>
      <c r="RU54" s="20" t="n">
        <v>0</v>
      </c>
      <c r="RV54" s="20" t="n">
        <v>0</v>
      </c>
      <c r="RW54" s="20" t="n">
        <v>0</v>
      </c>
      <c r="RX54" s="20" t="n">
        <v>0</v>
      </c>
      <c r="RY54" s="20" t="n">
        <v>0</v>
      </c>
      <c r="RZ54" s="20" t="n">
        <v>0</v>
      </c>
      <c r="SA54" s="20" t="n">
        <v>0</v>
      </c>
      <c r="SB54" s="20" t="n">
        <v>0</v>
      </c>
      <c r="SC54" s="20" t="n">
        <v>0</v>
      </c>
      <c r="SD54" s="20" t="n">
        <v>0</v>
      </c>
      <c r="SE54" s="20" t="n">
        <v>0</v>
      </c>
      <c r="SF54" s="20" t="n">
        <v>0</v>
      </c>
      <c r="SG54" s="20" t="n">
        <v>0</v>
      </c>
      <c r="SH54" s="20" t="n">
        <v>0</v>
      </c>
      <c r="SI54" s="20" t="n">
        <v>0</v>
      </c>
      <c r="SJ54" s="20" t="n">
        <v>0</v>
      </c>
      <c r="SK54" s="20" t="n">
        <v>0</v>
      </c>
      <c r="SL54" s="20" t="n">
        <v>0</v>
      </c>
      <c r="SM54" s="20" t="n">
        <v>0</v>
      </c>
      <c r="SN54" s="20" t="n">
        <v>0</v>
      </c>
      <c r="SO54" s="20" t="n">
        <v>0</v>
      </c>
      <c r="SP54" s="20" t="n">
        <v>0</v>
      </c>
      <c r="SQ54" s="20" t="n">
        <v>0</v>
      </c>
      <c r="SR54" s="20" t="n">
        <v>0</v>
      </c>
      <c r="SS54" s="20" t="n">
        <v>0</v>
      </c>
      <c r="ST54" s="20" t="n">
        <v>0</v>
      </c>
      <c r="SU54" s="20" t="n">
        <v>0</v>
      </c>
      <c r="SV54" s="20" t="n">
        <v>0</v>
      </c>
      <c r="SW54" s="20" t="n">
        <v>0</v>
      </c>
      <c r="SX54" s="20" t="n">
        <v>0</v>
      </c>
      <c r="SY54" s="20" t="n">
        <v>0</v>
      </c>
      <c r="SZ54" s="20" t="n">
        <v>0</v>
      </c>
      <c r="TA54" s="20" t="n">
        <v>0</v>
      </c>
      <c r="TB54" s="20" t="n">
        <v>0</v>
      </c>
      <c r="TC54" s="20" t="n">
        <v>0</v>
      </c>
      <c r="TD54" s="20" t="n">
        <v>0</v>
      </c>
      <c r="TE54" s="20" t="n">
        <f aca="false">IF(AKR53&lt;=0,0,IF(H_Direct=1,IF(BR54&lt;=0,PR54,IF(PR54&lt;=(H54+I54)/BR54,PR54,(PR54-G54*(H54+I54))/(1-G54*BR54))),PR54/(1-MAX(0,BR54)*H_Exit)))</f>
        <v>0</v>
      </c>
      <c r="TF54" s="20" t="n">
        <f aca="false">IF(AKS53&lt;=0,0,IF(H_Direct=1,IF(BS54&lt;=0,PS54,IF(PS54&lt;=(WR54+AAE54)/BS54,PS54,(PS54-G54*(WR54+AAE54))/(1-G54*BS54))),PS54/(1-MAX(0,BS54)*H_Exit)))</f>
        <v>0</v>
      </c>
      <c r="TG54" s="20" t="n">
        <f aca="false">IF(AKT53&lt;=0,0,IF(H_Direct=1,IF(BT54&lt;=0,PT54,IF(PT54&lt;=(WS54+AAF54)/BT54,PT54,(PT54-G54*(WS54+AAF54))/(1-G54*BT54))),PT54/(1-MAX(0,BT54)*H_Exit)))</f>
        <v>0</v>
      </c>
      <c r="TH54" s="20" t="n">
        <f aca="false">IF(AKU53&lt;=0,0,IF(H_Direct=1,IF(BU54&lt;=0,PU54,IF(PU54&lt;=(WT54+AAG54)/BU54,PU54,(PU54-G54*(WT54+AAG54))/(1-G54*BU54))),PU54/(1-MAX(0,BU54)*H_Exit)))</f>
        <v>0</v>
      </c>
      <c r="TI54" s="20" t="n">
        <f aca="false">IF(AKV53&lt;=0,0,IF(H_Direct=1,IF(BV54&lt;=0,PV54,IF(PV54&lt;=(WU54+AAH54)/BV54,PV54,(PV54-G54*(WU54+AAH54))/(1-G54*BV54))),PV54/(1-MAX(0,BV54)*H_Exit)))</f>
        <v>0</v>
      </c>
      <c r="TJ54" s="20" t="n">
        <f aca="false">IF(AKW53&lt;=0,0,IF(H_Direct=1,IF(BW54&lt;=0,PW54,IF(PW54&lt;=(WV54+AAI54)/BW54,PW54,(PW54-G54*(WV54+AAI54))/(1-G54*BW54))),PW54/(1-MAX(0,BW54)*H_Exit)))</f>
        <v>0</v>
      </c>
      <c r="TK54" s="20" t="n">
        <f aca="false">IF(AKX53&lt;=0,0,IF(H_Direct=1,IF(BX54&lt;=0,PX54,IF(PX54&lt;=(WW54+AAJ54)/BX54,PX54,(PX54-G54*(WW54+AAJ54))/(1-G54*BX54))),PX54/(1-MAX(0,BX54)*H_Exit)))</f>
        <v>0</v>
      </c>
      <c r="TL54" s="20" t="n">
        <f aca="false">IF(AKY53&lt;=0,0,IF(H_Direct=1,IF(BY54&lt;=0,PY54,IF(PY54&lt;=(WX54+AAK54)/BY54,PY54,(PY54-G54*(WX54+AAK54))/(1-G54*BY54))),PY54/(1-MAX(0,BY54)*H_Exit)))</f>
        <v>0</v>
      </c>
      <c r="TM54" s="20" t="n">
        <f aca="false">IF(AKZ53&lt;=0,0,IF(H_Direct=1,IF(BZ54&lt;=0,PZ54,IF(PZ54&lt;=(WY54+AAL54)/BZ54,PZ54,(PZ54-G54*(WY54+AAL54))/(1-G54*BZ54))),PZ54/(1-MAX(0,BZ54)*H_Exit)))</f>
        <v>0</v>
      </c>
      <c r="TN54" s="20" t="n">
        <f aca="false">IF(ALA53&lt;=0,0,IF(H_Direct=1,IF(CA54&lt;=0,QA54,IF(QA54&lt;=(WZ54+AAM54)/CA54,QA54,(QA54-G54*(WZ54+AAM54))/(1-G54*CA54))),QA54/(1-MAX(0,CA54)*H_Exit)))</f>
        <v>0</v>
      </c>
      <c r="TO54" s="20" t="n">
        <f aca="false">IF(ALB53&lt;=0,0,IF(H_Direct=1,IF(CB54&lt;=0,QB54,IF(QB54&lt;=(XA54+AAN54)/CB54,QB54,(QB54-G54*(XA54+AAN54))/(1-G54*CB54))),QB54/(1-MAX(0,CB54)*H_Exit)))</f>
        <v>0</v>
      </c>
      <c r="TP54" s="20" t="n">
        <f aca="false">IF(ALC53&lt;=0,0,IF(H_Direct=1,IF(CC54&lt;=0,QC54,IF(QC54&lt;=(XB54+AAO54)/CC54,QC54,(QC54-G54*(XB54+AAO54))/(1-G54*CC54))),QC54/(1-MAX(0,CC54)*H_Exit)))</f>
        <v>0</v>
      </c>
      <c r="TQ54" s="20" t="n">
        <f aca="false">IF(ALD53&lt;=0,0,IF(H_Direct=1,IF(CD54&lt;=0,QD54,IF(QD54&lt;=(XC54+AAP54)/CD54,QD54,(QD54-G54*(XC54+AAP54))/(1-G54*CD54))),QD54/(1-MAX(0,CD54)*H_Exit)))</f>
        <v>0</v>
      </c>
      <c r="TR54" s="20" t="n">
        <f aca="false">IF(ALE53&lt;=0,0,IF(H_Direct=1,IF(CE54&lt;=0,QE54,IF(QE54&lt;=(XD54+AAQ54)/CE54,QE54,(QE54-G54*(XD54+AAQ54))/(1-G54*CE54))),QE54/(1-MAX(0,CE54)*H_Exit)))</f>
        <v>0</v>
      </c>
      <c r="TS54" s="20" t="n">
        <f aca="false">IF(ALF53&lt;=0,0,IF(H_Direct=1,IF(CF54&lt;=0,QF54,IF(QF54&lt;=(XE54+AAR54)/CF54,QF54,(QF54-G54*(XE54+AAR54))/(1-G54*CF54))),QF54/(1-MAX(0,CF54)*H_Exit)))</f>
        <v>0</v>
      </c>
      <c r="TT54" s="20" t="n">
        <f aca="false">IF(ALG53&lt;=0,0,IF(H_Direct=1,IF(CG54&lt;=0,QG54,IF(QG54&lt;=(XF54+AAS54)/CG54,QG54,(QG54-G54*(XF54+AAS54))/(1-G54*CG54))),QG54/(1-MAX(0,CG54)*H_Exit)))</f>
        <v>0</v>
      </c>
      <c r="TU54" s="20" t="n">
        <f aca="false">IF(ALH53&lt;=0,0,IF(H_Direct=1,IF(CH54&lt;=0,QH54,IF(QH54&lt;=(XG54+AAT54)/CH54,QH54,(QH54-G54*(XG54+AAT54))/(1-G54*CH54))),QH54/(1-MAX(0,CH54)*H_Exit)))</f>
        <v>0</v>
      </c>
      <c r="TV54" s="20" t="n">
        <f aca="false">IF(ALI53&lt;=0,0,IF(H_Direct=1,IF(CI54&lt;=0,QI54,IF(QI54&lt;=(XH54+AAU54)/CI54,QI54,(QI54-G54*(XH54+AAU54))/(1-G54*CI54))),QI54/(1-MAX(0,CI54)*H_Exit)))</f>
        <v>0</v>
      </c>
      <c r="TW54" s="20" t="n">
        <f aca="false">IF(ALJ53&lt;=0,0,IF(H_Direct=1,IF(CJ54&lt;=0,QJ54,IF(QJ54&lt;=(XI54+AAV54)/CJ54,QJ54,(QJ54-G54*(XI54+AAV54))/(1-G54*CJ54))),QJ54/(1-MAX(0,CJ54)*H_Exit)))</f>
        <v>0</v>
      </c>
      <c r="TX54" s="20" t="n">
        <f aca="false">IF(ALK53&lt;=0,0,IF(H_Direct=1,IF(CK54&lt;=0,QK54,IF(QK54&lt;=(XJ54+AAW54)/CK54,QK54,(QK54-G54*(XJ54+AAW54))/(1-G54*CK54))),QK54/(1-MAX(0,CK54)*H_Exit)))</f>
        <v>0</v>
      </c>
      <c r="TY54" s="20" t="n">
        <f aca="false">IF(ALL53&lt;=0,0,IF(H_Direct=1,IF(CL54&lt;=0,QL54,IF(QL54&lt;=(XK54+AAX54)/CL54,QL54,(QL54-G54*(XK54+AAX54))/(1-G54*CL54))),QL54/(1-MAX(0,CL54)*H_Exit)))</f>
        <v>0</v>
      </c>
      <c r="TZ54" s="20" t="n">
        <f aca="false">IF(ALM53&lt;=0,0,IF(H_Direct=1,IF(CM54&lt;=0,QM54,IF(QM54&lt;=(XL54+AAY54)/CM54,QM54,(QM54-G54*(XL54+AAY54))/(1-G54*CM54))),QM54/(1-MAX(0,CM54)*H_Exit)))</f>
        <v>0</v>
      </c>
      <c r="UA54" s="20" t="n">
        <f aca="false">IF(ALN53&lt;=0,0,IF(H_Direct=1,IF(CN54&lt;=0,QN54,IF(QN54&lt;=(XM54+AAZ54)/CN54,QN54,(QN54-G54*(XM54+AAZ54))/(1-G54*CN54))),QN54/(1-MAX(0,CN54)*H_Exit)))</f>
        <v>0</v>
      </c>
      <c r="UB54" s="20" t="n">
        <f aca="false">IF(ALO53&lt;=0,0,IF(H_Direct=1,IF(CO54&lt;=0,QO54,IF(QO54&lt;=(XN54+ABA54)/CO54,QO54,(QO54-G54*(XN54+ABA54))/(1-G54*CO54))),QO54/(1-MAX(0,CO54)*H_Exit)))</f>
        <v>0</v>
      </c>
      <c r="UC54" s="20" t="n">
        <f aca="false">IF(ALP53&lt;=0,0,IF(H_Direct=1,IF(CP54&lt;=0,QP54,IF(QP54&lt;=(XO54+ABB54)/CP54,QP54,(QP54-G54*(XO54+ABB54))/(1-G54*CP54))),QP54/(1-MAX(0,CP54)*H_Exit)))</f>
        <v>0</v>
      </c>
      <c r="UD54" s="20" t="n">
        <f aca="false">IF(ALQ53&lt;=0,0,IF(H_Direct=1,IF(CQ54&lt;=0,QQ54,IF(QQ54&lt;=(XP54+ABC54)/CQ54,QQ54,(QQ54-G54*(XP54+ABC54))/(1-G54*CQ54))),QQ54/(1-MAX(0,CQ54)*H_Exit)))</f>
        <v>0</v>
      </c>
      <c r="UE54" s="20" t="n">
        <f aca="false">IF(ALR53&lt;=0,0,IF(H_Direct=1,IF(CR54&lt;=0,QR54,IF(QR54&lt;=(XQ54+ABD54)/CR54,QR54,(QR54-G54*(XQ54+ABD54))/(1-G54*CR54))),QR54/(1-MAX(0,CR54)*H_Exit)))</f>
        <v>0</v>
      </c>
      <c r="UF54" s="20" t="n">
        <f aca="false">IF(ALS53&lt;=0,0,IF(H_Direct=1,IF(CS54&lt;=0,QS54,IF(QS54&lt;=(XR54+ABE54)/CS54,QS54,(QS54-G54*(XR54+ABE54))/(1-G54*CS54))),QS54/(1-MAX(0,CS54)*H_Exit)))</f>
        <v>0</v>
      </c>
      <c r="UG54" s="20" t="n">
        <f aca="false">IF(ALT53&lt;=0,0,IF(H_Direct=1,IF(CT54&lt;=0,QT54,IF(QT54&lt;=(XS54+ABF54)/CT54,QT54,(QT54-G54*(XS54+ABF54))/(1-G54*CT54))),QT54/(1-MAX(0,CT54)*H_Exit)))</f>
        <v>0</v>
      </c>
      <c r="UH54" s="20" t="n">
        <f aca="false">IF(ALU53&lt;=0,0,IF(H_Direct=1,IF(CU54&lt;=0,QU54,IF(QU54&lt;=(XT54+ABG54)/CU54,QU54,(QU54-G54*(XT54+ABG54))/(1-G54*CU54))),QU54/(1-MAX(0,CU54)*H_Exit)))</f>
        <v>0</v>
      </c>
      <c r="UI54" s="20" t="n">
        <f aca="false">IF(ALV53&lt;=0,0,IF(H_Direct=1,IF(CV54&lt;=0,QV54,IF(QV54&lt;=(XU54+ABH54)/CV54,QV54,(QV54-G54*(XU54+ABH54))/(1-G54*CV54))),QV54/(1-MAX(0,CV54)*H_Exit)))</f>
        <v>0</v>
      </c>
      <c r="UJ54" s="20" t="n">
        <f aca="false">IF(ALW53&lt;=0,0,IF(H_Direct=1,IF(CW54&lt;=0,QW54,IF(QW54&lt;=(XV54+ABI54)/CW54,QW54,(QW54-G54*(XV54+ABI54))/(1-G54*CW54))),QW54/(1-MAX(0,CW54)*H_Exit)))</f>
        <v>0</v>
      </c>
      <c r="UK54" s="20" t="n">
        <f aca="false">IF(ALX53&lt;=0,0,IF(H_Direct=1,IF(CX54&lt;=0,QX54,IF(QX54&lt;=(XW54+ABJ54)/CX54,QX54,(QX54-G54*(XW54+ABJ54))/(1-G54*CX54))),QX54/(1-MAX(0,CX54)*H_Exit)))</f>
        <v>0</v>
      </c>
      <c r="UL54" s="20" t="n">
        <f aca="false">IF(ALY53&lt;=0,0,IF(H_Direct=1,IF(CY54&lt;=0,QY54,IF(QY54&lt;=(XX54+ABK54)/CY54,QY54,(QY54-G54*(XX54+ABK54))/(1-G54*CY54))),QY54/(1-MAX(0,CY54)*H_Exit)))</f>
        <v>0</v>
      </c>
      <c r="UM54" s="20" t="n">
        <f aca="false">IF(ALZ53&lt;=0,0,IF(H_Direct=1,IF(CZ54&lt;=0,QZ54,IF(QZ54&lt;=(XY54+ABL54)/CZ54,QZ54,(QZ54-G54*(XY54+ABL54))/(1-G54*CZ54))),QZ54/(1-MAX(0,CZ54)*H_Exit)))</f>
        <v>0</v>
      </c>
      <c r="UN54" s="20" t="n">
        <f aca="false">IF(AMA53&lt;=0,0,IF(H_Direct=1,IF(DA54&lt;=0,RA54,IF(RA54&lt;=(XZ54+ABM54)/DA54,RA54,(RA54-G54*(XZ54+ABM54))/(1-G54*DA54))),RA54/(1-MAX(0,DA54)*H_Exit)))</f>
        <v>0</v>
      </c>
      <c r="UO54" s="20" t="n">
        <f aca="false">IF(AMB53&lt;=0,0,IF(H_Direct=1,IF(DB54&lt;=0,RB54,IF(RB54&lt;=(YA54+ABN54)/DB54,RB54,(RB54-G54*(YA54+ABN54))/(1-G54*DB54))),RB54/(1-MAX(0,DB54)*H_Exit)))</f>
        <v>0</v>
      </c>
      <c r="UP54" s="20" t="n">
        <f aca="false">IF(AMC53&lt;=0,0,IF(H_Direct=1,IF(DC54&lt;=0,RC54,IF(RC54&lt;=(YB54+ABO54)/DC54,RC54,(RC54-G54*(YB54+ABO54))/(1-G54*DC54))),RC54/(1-MAX(0,DC54)*H_Exit)))</f>
        <v>0</v>
      </c>
      <c r="UQ54" s="20" t="n">
        <f aca="false">IF(AMD53&lt;=0,0,IF(H_Direct=1,IF(DD54&lt;=0,RD54,IF(RD54&lt;=(YC54+ABP54)/DD54,RD54,(RD54-G54*(YC54+ABP54))/(1-G54*DD54))),RD54/(1-MAX(0,DD54)*H_Exit)))</f>
        <v>0</v>
      </c>
      <c r="UR54" s="20" t="n">
        <f aca="false">IF(AME53&lt;=0,0,IF(H_Direct=1,IF(DE54&lt;=0,RE54,IF(RE54&lt;=(YD54+ABQ54)/DE54,RE54,(RE54-G54*(YD54+ABQ54))/(1-G54*DE54))),RE54/(1-MAX(0,DE54)*H_Exit)))</f>
        <v>0</v>
      </c>
      <c r="US54" s="20" t="n">
        <f aca="false">IF(AMF53&lt;=0,0,IF(H_Direct=1,IF(DF54&lt;=0,RF54,IF(RF54&lt;=(YE54+ABR54)/DF54,RF54,(RF54-G54*(YE54+ABR54))/(1-G54*DF54))),RF54/(1-MAX(0,DF54)*H_Exit)))</f>
        <v>0</v>
      </c>
      <c r="UT54" s="20" t="n">
        <f aca="false">IF(AMG53&lt;=0,0,IF(H_Direct=1,IF(DG54&lt;=0,RG54,IF(RG54&lt;=(YF54+ABS54)/DG54,RG54,(RG54-G54*(YF54+ABS54))/(1-G54*DG54))),RG54/(1-MAX(0,DG54)*H_Exit)))</f>
        <v>0</v>
      </c>
      <c r="UU54" s="20" t="n">
        <f aca="false">IF(AMH53&lt;=0,0,IF(H_Direct=1,IF(DH54&lt;=0,RH54,IF(RH54&lt;=(YG54+ABT54)/DH54,RH54,(RH54-G54*(YG54+ABT54))/(1-G54*DH54))),RH54/(1-MAX(0,DH54)*H_Exit)))</f>
        <v>0</v>
      </c>
      <c r="UV54" s="20" t="n">
        <f aca="false">IF(AMI53&lt;=0,0,IF(H_Direct=1,IF(DI54&lt;=0,RI54,IF(RI54&lt;=(YH54+ABU54)/DI54,RI54,(RI54-G54*(YH54+ABU54))/(1-G54*DI54))),RI54/(1-MAX(0,DI54)*H_Exit)))</f>
        <v>0</v>
      </c>
      <c r="UW54" s="20" t="n">
        <f aca="false">IF(AMJ53&lt;=0,0,IF(H_Direct=1,IF(DJ54&lt;=0,RJ54,IF(RJ54&lt;=(YI54+ABV54)/DJ54,RJ54,(RJ54-G54*(YI54+ABV54))/(1-G54*DJ54))),RJ54/(1-MAX(0,DJ54)*H_Exit)))</f>
        <v>0</v>
      </c>
      <c r="UX54" s="20" t="n">
        <f aca="false">IF(AMK53&lt;=0,0,IF(H_Direct=1,IF(DK54&lt;=0,RK54,IF(RK54&lt;=(YJ54+ABW54)/DK54,RK54,(RK54-G54*(YJ54+ABW54))/(1-G54*DK54))),RK54/(1-MAX(0,DK54)*H_Exit)))</f>
        <v>0</v>
      </c>
      <c r="UY54" s="20" t="n">
        <f aca="false">IF(AML53&lt;=0,0,IF(H_Direct=1,IF(DL54&lt;=0,RL54,IF(RL54&lt;=(YK54+ABX54)/DL54,RL54,(RL54-G54*(YK54+ABX54))/(1-G54*DL54))),RL54/(1-MAX(0,DL54)*H_Exit)))</f>
        <v>0</v>
      </c>
      <c r="UZ54" s="20" t="n">
        <f aca="false">IF((P54+S54)&lt;=0,0,IF(H_Direct=1,IF(DM54&lt;=0,RM54,IF(RM54&lt;=(YL54+ABY54)/DM54,RM54,(RM54-G54*(YL54+ABY54))/(1-G54*DM54))),RM54/(1-MAX(0,DM54)*H_Exit)))</f>
        <v>0</v>
      </c>
      <c r="VA54" s="20" t="n">
        <v>0</v>
      </c>
      <c r="VB54" s="20" t="n">
        <v>0</v>
      </c>
      <c r="VC54" s="20" t="n">
        <v>0</v>
      </c>
      <c r="VD54" s="20" t="n">
        <v>0</v>
      </c>
      <c r="VE54" s="20" t="n">
        <v>0</v>
      </c>
      <c r="VF54" s="20" t="n">
        <v>0</v>
      </c>
      <c r="VG54" s="20" t="n">
        <v>0</v>
      </c>
      <c r="VH54" s="20" t="n">
        <v>0</v>
      </c>
      <c r="VI54" s="20" t="n">
        <v>0</v>
      </c>
      <c r="VJ54" s="20" t="n">
        <v>0</v>
      </c>
      <c r="VK54" s="20" t="n">
        <v>0</v>
      </c>
      <c r="VL54" s="20" t="n">
        <v>0</v>
      </c>
      <c r="VM54" s="20" t="n">
        <v>0</v>
      </c>
      <c r="VN54" s="20" t="n">
        <v>0</v>
      </c>
      <c r="VO54" s="20" t="n">
        <v>0</v>
      </c>
      <c r="VP54" s="20" t="n">
        <v>0</v>
      </c>
      <c r="VQ54" s="20" t="n">
        <v>0</v>
      </c>
      <c r="VR54" s="20" t="n">
        <v>0</v>
      </c>
      <c r="VS54" s="20" t="n">
        <v>0</v>
      </c>
      <c r="VT54" s="20" t="n">
        <v>0</v>
      </c>
      <c r="VU54" s="20" t="n">
        <v>0</v>
      </c>
      <c r="VV54" s="20" t="n">
        <v>0</v>
      </c>
      <c r="VW54" s="20" t="n">
        <v>0</v>
      </c>
      <c r="VX54" s="20" t="n">
        <v>0</v>
      </c>
      <c r="VY54" s="20" t="n">
        <v>0</v>
      </c>
      <c r="VZ54" s="20" t="n">
        <v>0</v>
      </c>
      <c r="WA54" s="20" t="n">
        <v>0</v>
      </c>
      <c r="WB54" s="20" t="n">
        <v>0</v>
      </c>
      <c r="WC54" s="20" t="n">
        <v>0</v>
      </c>
      <c r="WD54" s="20" t="n">
        <v>0</v>
      </c>
      <c r="WE54" s="20" t="n">
        <v>0</v>
      </c>
      <c r="WF54" s="20" t="n">
        <v>0</v>
      </c>
      <c r="WG54" s="20" t="n">
        <v>0</v>
      </c>
      <c r="WH54" s="20" t="n">
        <v>0</v>
      </c>
      <c r="WI54" s="20" t="n">
        <v>0</v>
      </c>
      <c r="WJ54" s="20" t="n">
        <v>0</v>
      </c>
      <c r="WK54" s="20" t="n">
        <v>0</v>
      </c>
      <c r="WL54" s="20" t="n">
        <v>0</v>
      </c>
      <c r="WM54" s="20" t="n">
        <v>0</v>
      </c>
      <c r="WN54" s="20" t="n">
        <v>0</v>
      </c>
      <c r="WO54" s="20" t="n">
        <v>0</v>
      </c>
      <c r="WP54" s="20" t="n">
        <v>0</v>
      </c>
      <c r="WQ54" s="20" t="n">
        <v>0</v>
      </c>
      <c r="WR54" s="20" t="n">
        <f aca="false">IF(AND(H_Direct=1,BR54&gt;0),MAX(0,H54-(MIN(BR54*TE54,(H54+I54))-MIN(MIN(BR54*TE54,(H54+I54)),I54))),H54)</f>
        <v>1270</v>
      </c>
      <c r="WS54" s="20" t="n">
        <f aca="false">IF(AND(H_Direct=1,BS54&gt;0),MAX(0,WR54-(MIN(BS54*TF54,(WR54+AAE54))-MIN(MIN(BS54*TF54,(WR54+AAE54)),AAE54))),WR54)</f>
        <v>1270</v>
      </c>
      <c r="WT54" s="20" t="n">
        <f aca="false">IF(AND(H_Direct=1,BT54&gt;0),MAX(0,WS54-(MIN(BT54*TG54,(WS54+AAF54))-MIN(MIN(BT54*TG54,(WS54+AAF54)),AAF54))),WS54)</f>
        <v>1270</v>
      </c>
      <c r="WU54" s="20" t="n">
        <f aca="false">IF(AND(H_Direct=1,BU54&gt;0),MAX(0,WT54-(MIN(BU54*TH54,(WT54+AAG54))-MIN(MIN(BU54*TH54,(WT54+AAG54)),AAG54))),WT54)</f>
        <v>1270</v>
      </c>
      <c r="WV54" s="20" t="n">
        <f aca="false">IF(AND(H_Direct=1,BV54&gt;0),MAX(0,WU54-(MIN(BV54*TI54,(WU54+AAH54))-MIN(MIN(BV54*TI54,(WU54+AAH54)),AAH54))),WU54)</f>
        <v>1270</v>
      </c>
      <c r="WW54" s="20" t="n">
        <f aca="false">IF(AND(H_Direct=1,BW54&gt;0),MAX(0,WV54-(MIN(BW54*TJ54,(WV54+AAI54))-MIN(MIN(BW54*TJ54,(WV54+AAI54)),AAI54))),WV54)</f>
        <v>1270</v>
      </c>
      <c r="WX54" s="20" t="n">
        <f aca="false">IF(AND(H_Direct=1,BX54&gt;0),MAX(0,WW54-(MIN(BX54*TK54,(WW54+AAJ54))-MIN(MIN(BX54*TK54,(WW54+AAJ54)),AAJ54))),WW54)</f>
        <v>1270</v>
      </c>
      <c r="WY54" s="20" t="n">
        <f aca="false">IF(AND(H_Direct=1,BY54&gt;0),MAX(0,WX54-(MIN(BY54*TL54,(WX54+AAK54))-MIN(MIN(BY54*TL54,(WX54+AAK54)),AAK54))),WX54)</f>
        <v>1270</v>
      </c>
      <c r="WZ54" s="20" t="n">
        <f aca="false">IF(AND(H_Direct=1,BZ54&gt;0),MAX(0,WY54-(MIN(BZ54*TM54,(WY54+AAL54))-MIN(MIN(BZ54*TM54,(WY54+AAL54)),AAL54))),WY54)</f>
        <v>1270</v>
      </c>
      <c r="XA54" s="20" t="n">
        <f aca="false">IF(AND(H_Direct=1,CA54&gt;0),MAX(0,WZ54-(MIN(CA54*TN54,(WZ54+AAM54))-MIN(MIN(CA54*TN54,(WZ54+AAM54)),AAM54))),WZ54)</f>
        <v>1270</v>
      </c>
      <c r="XB54" s="20" t="n">
        <f aca="false">IF(AND(H_Direct=1,CB54&gt;0),MAX(0,XA54-(MIN(CB54*TO54,(XA54+AAN54))-MIN(MIN(CB54*TO54,(XA54+AAN54)),AAN54))),XA54)</f>
        <v>1270</v>
      </c>
      <c r="XC54" s="20" t="n">
        <f aca="false">IF(AND(H_Direct=1,CC54&gt;0),MAX(0,XB54-(MIN(CC54*TP54,(XB54+AAO54))-MIN(MIN(CC54*TP54,(XB54+AAO54)),AAO54))),XB54)</f>
        <v>1270</v>
      </c>
      <c r="XD54" s="20" t="n">
        <f aca="false">IF(AND(H_Direct=1,CD54&gt;0),MAX(0,XC54-(MIN(CD54*TQ54,(XC54+AAP54))-MIN(MIN(CD54*TQ54,(XC54+AAP54)),AAP54))),XC54)</f>
        <v>1270</v>
      </c>
      <c r="XE54" s="20" t="n">
        <f aca="false">IF(AND(H_Direct=1,CE54&gt;0),MAX(0,XD54-(MIN(CE54*TR54,(XD54+AAQ54))-MIN(MIN(CE54*TR54,(XD54+AAQ54)),AAQ54))),XD54)</f>
        <v>1270</v>
      </c>
      <c r="XF54" s="20" t="n">
        <f aca="false">IF(AND(H_Direct=1,CF54&gt;0),MAX(0,XE54-(MIN(CF54*TS54,(XE54+AAR54))-MIN(MIN(CF54*TS54,(XE54+AAR54)),AAR54))),XE54)</f>
        <v>1270</v>
      </c>
      <c r="XG54" s="20" t="n">
        <f aca="false">IF(AND(H_Direct=1,CG54&gt;0),MAX(0,XF54-(MIN(CG54*TT54,(XF54+AAS54))-MIN(MIN(CG54*TT54,(XF54+AAS54)),AAS54))),XF54)</f>
        <v>1270</v>
      </c>
      <c r="XH54" s="20" t="n">
        <f aca="false">IF(AND(H_Direct=1,CH54&gt;0),MAX(0,XG54-(MIN(CH54*TU54,(XG54+AAT54))-MIN(MIN(CH54*TU54,(XG54+AAT54)),AAT54))),XG54)</f>
        <v>1270</v>
      </c>
      <c r="XI54" s="20" t="n">
        <f aca="false">IF(AND(H_Direct=1,CI54&gt;0),MAX(0,XH54-(MIN(CI54*TV54,(XH54+AAU54))-MIN(MIN(CI54*TV54,(XH54+AAU54)),AAU54))),XH54)</f>
        <v>1270</v>
      </c>
      <c r="XJ54" s="20" t="n">
        <f aca="false">IF(AND(H_Direct=1,CJ54&gt;0),MAX(0,XI54-(MIN(CJ54*TW54,(XI54+AAV54))-MIN(MIN(CJ54*TW54,(XI54+AAV54)),AAV54))),XI54)</f>
        <v>1270</v>
      </c>
      <c r="XK54" s="20" t="n">
        <f aca="false">IF(AND(H_Direct=1,CK54&gt;0),MAX(0,XJ54-(MIN(CK54*TX54,(XJ54+AAW54))-MIN(MIN(CK54*TX54,(XJ54+AAW54)),AAW54))),XJ54)</f>
        <v>1270</v>
      </c>
      <c r="XL54" s="20" t="n">
        <f aca="false">IF(AND(H_Direct=1,CL54&gt;0),MAX(0,XK54-(MIN(CL54*TY54,(XK54+AAX54))-MIN(MIN(CL54*TY54,(XK54+AAX54)),AAX54))),XK54)</f>
        <v>1270</v>
      </c>
      <c r="XM54" s="20" t="n">
        <f aca="false">IF(AND(H_Direct=1,CM54&gt;0),MAX(0,XL54-(MIN(CM54*TZ54,(XL54+AAY54))-MIN(MIN(CM54*TZ54,(XL54+AAY54)),AAY54))),XL54)</f>
        <v>1270</v>
      </c>
      <c r="XN54" s="20" t="n">
        <f aca="false">IF(AND(H_Direct=1,CN54&gt;0),MAX(0,XM54-(MIN(CN54*UA54,(XM54+AAZ54))-MIN(MIN(CN54*UA54,(XM54+AAZ54)),AAZ54))),XM54)</f>
        <v>1270</v>
      </c>
      <c r="XO54" s="20" t="n">
        <f aca="false">IF(AND(H_Direct=1,CO54&gt;0),MAX(0,XN54-(MIN(CO54*UB54,(XN54+ABA54))-MIN(MIN(CO54*UB54,(XN54+ABA54)),ABA54))),XN54)</f>
        <v>1270</v>
      </c>
      <c r="XP54" s="20" t="n">
        <f aca="false">IF(AND(H_Direct=1,CP54&gt;0),MAX(0,XO54-(MIN(CP54*UC54,(XO54+ABB54))-MIN(MIN(CP54*UC54,(XO54+ABB54)),ABB54))),XO54)</f>
        <v>1270</v>
      </c>
      <c r="XQ54" s="20" t="n">
        <f aca="false">IF(AND(H_Direct=1,CQ54&gt;0),MAX(0,XP54-(MIN(CQ54*UD54,(XP54+ABC54))-MIN(MIN(CQ54*UD54,(XP54+ABC54)),ABC54))),XP54)</f>
        <v>1270</v>
      </c>
      <c r="XR54" s="20" t="n">
        <f aca="false">IF(AND(H_Direct=1,CR54&gt;0),MAX(0,XQ54-(MIN(CR54*UE54,(XQ54+ABD54))-MIN(MIN(CR54*UE54,(XQ54+ABD54)),ABD54))),XQ54)</f>
        <v>1270</v>
      </c>
      <c r="XS54" s="20" t="n">
        <f aca="false">IF(AND(H_Direct=1,CS54&gt;0),MAX(0,XR54-(MIN(CS54*UF54,(XR54+ABE54))-MIN(MIN(CS54*UF54,(XR54+ABE54)),ABE54))),XR54)</f>
        <v>1270</v>
      </c>
      <c r="XT54" s="20" t="n">
        <f aca="false">IF(AND(H_Direct=1,CT54&gt;0),MAX(0,XS54-(MIN(CT54*UG54,(XS54+ABF54))-MIN(MIN(CT54*UG54,(XS54+ABF54)),ABF54))),XS54)</f>
        <v>1270</v>
      </c>
      <c r="XU54" s="20" t="n">
        <f aca="false">IF(AND(H_Direct=1,CU54&gt;0),MAX(0,XT54-(MIN(CU54*UH54,(XT54+ABG54))-MIN(MIN(CU54*UH54,(XT54+ABG54)),ABG54))),XT54)</f>
        <v>1270</v>
      </c>
      <c r="XV54" s="20" t="n">
        <f aca="false">IF(AND(H_Direct=1,CV54&gt;0),MAX(0,XU54-(MIN(CV54*UI54,(XU54+ABH54))-MIN(MIN(CV54*UI54,(XU54+ABH54)),ABH54))),XU54)</f>
        <v>1270</v>
      </c>
      <c r="XW54" s="20" t="n">
        <f aca="false">IF(AND(H_Direct=1,CW54&gt;0),MAX(0,XV54-(MIN(CW54*UJ54,(XV54+ABI54))-MIN(MIN(CW54*UJ54,(XV54+ABI54)),ABI54))),XV54)</f>
        <v>1270</v>
      </c>
      <c r="XX54" s="20" t="n">
        <f aca="false">IF(AND(H_Direct=1,CX54&gt;0),MAX(0,XW54-(MIN(CX54*UK54,(XW54+ABJ54))-MIN(MIN(CX54*UK54,(XW54+ABJ54)),ABJ54))),XW54)</f>
        <v>1270</v>
      </c>
      <c r="XY54" s="20" t="n">
        <f aca="false">IF(AND(H_Direct=1,CY54&gt;0),MAX(0,XX54-(MIN(CY54*UL54,(XX54+ABK54))-MIN(MIN(CY54*UL54,(XX54+ABK54)),ABK54))),XX54)</f>
        <v>1270</v>
      </c>
      <c r="XZ54" s="20" t="n">
        <f aca="false">IF(AND(H_Direct=1,CZ54&gt;0),MAX(0,XY54-(MIN(CZ54*UM54,(XY54+ABL54))-MIN(MIN(CZ54*UM54,(XY54+ABL54)),ABL54))),XY54)</f>
        <v>1270</v>
      </c>
      <c r="YA54" s="20" t="n">
        <f aca="false">IF(AND(H_Direct=1,DA54&gt;0),MAX(0,XZ54-(MIN(DA54*UN54,(XZ54+ABM54))-MIN(MIN(DA54*UN54,(XZ54+ABM54)),ABM54))),XZ54)</f>
        <v>1270</v>
      </c>
      <c r="YB54" s="20" t="n">
        <f aca="false">IF(AND(H_Direct=1,DB54&gt;0),MAX(0,YA54-(MIN(DB54*UO54,(YA54+ABN54))-MIN(MIN(DB54*UO54,(YA54+ABN54)),ABN54))),YA54)</f>
        <v>1270</v>
      </c>
      <c r="YC54" s="20" t="n">
        <f aca="false">IF(AND(H_Direct=1,DC54&gt;0),MAX(0,YB54-(MIN(DC54*UP54,(YB54+ABO54))-MIN(MIN(DC54*UP54,(YB54+ABO54)),ABO54))),YB54)</f>
        <v>1270</v>
      </c>
      <c r="YD54" s="20" t="n">
        <f aca="false">IF(AND(H_Direct=1,DD54&gt;0),MAX(0,YC54-(MIN(DD54*UQ54,(YC54+ABP54))-MIN(MIN(DD54*UQ54,(YC54+ABP54)),ABP54))),YC54)</f>
        <v>1270</v>
      </c>
      <c r="YE54" s="20" t="n">
        <f aca="false">IF(AND(H_Direct=1,DE54&gt;0),MAX(0,YD54-(MIN(DE54*UR54,(YD54+ABQ54))-MIN(MIN(DE54*UR54,(YD54+ABQ54)),ABQ54))),YD54)</f>
        <v>1270</v>
      </c>
      <c r="YF54" s="20" t="n">
        <f aca="false">IF(AND(H_Direct=1,DF54&gt;0),MAX(0,YE54-(MIN(DF54*US54,(YE54+ABR54))-MIN(MIN(DF54*US54,(YE54+ABR54)),ABR54))),YE54)</f>
        <v>1270</v>
      </c>
      <c r="YG54" s="20" t="n">
        <f aca="false">IF(AND(H_Direct=1,DG54&gt;0),MAX(0,YF54-(MIN(DG54*UT54,(YF54+ABS54))-MIN(MIN(DG54*UT54,(YF54+ABS54)),ABS54))),YF54)</f>
        <v>1270</v>
      </c>
      <c r="YH54" s="20" t="n">
        <f aca="false">IF(AND(H_Direct=1,DH54&gt;0),MAX(0,YG54-(MIN(DH54*UU54,(YG54+ABT54))-MIN(MIN(DH54*UU54,(YG54+ABT54)),ABT54))),YG54)</f>
        <v>1270</v>
      </c>
      <c r="YI54" s="20" t="n">
        <f aca="false">IF(AND(H_Direct=1,DI54&gt;0),MAX(0,YH54-(MIN(DI54*UV54,(YH54+ABU54))-MIN(MIN(DI54*UV54,(YH54+ABU54)),ABU54))),YH54)</f>
        <v>1270</v>
      </c>
      <c r="YJ54" s="20" t="n">
        <f aca="false">IF(AND(H_Direct=1,DJ54&gt;0),MAX(0,YI54-(MIN(DJ54*UW54,(YI54+ABV54))-MIN(MIN(DJ54*UW54,(YI54+ABV54)),ABV54))),YI54)</f>
        <v>1270</v>
      </c>
      <c r="YK54" s="20" t="n">
        <f aca="false">IF(AND(H_Direct=1,DK54&gt;0),MAX(0,YJ54-(MIN(DK54*UX54,(YJ54+ABW54))-MIN(MIN(DK54*UX54,(YJ54+ABW54)),ABW54))),YJ54)</f>
        <v>1270</v>
      </c>
      <c r="YL54" s="20" t="n">
        <f aca="false">IF(AND(H_Direct=1,DL54&gt;0),MAX(0,YK54-(MIN(DL54*UY54,(YK54+ABX54))-MIN(MIN(DL54*UY54,(YK54+ABX54)),ABX54))),YK54)</f>
        <v>1270</v>
      </c>
      <c r="YM54" s="20" t="n">
        <f aca="false">IF(AND(H_Direct=1,DM54&gt;0),MAX(0,YL54-(MIN(DM54*UZ54,(YL54+ABY54))-MIN(MIN(DM54*UZ54,(YL54+ABY54)),ABY54))),YL54)</f>
        <v>1270</v>
      </c>
      <c r="YN54" s="20" t="n">
        <f aca="false">YM54</f>
        <v>1270</v>
      </c>
      <c r="YO54" s="20" t="n">
        <f aca="false">YN54</f>
        <v>1270</v>
      </c>
      <c r="YP54" s="20" t="n">
        <f aca="false">YO54</f>
        <v>1270</v>
      </c>
      <c r="YQ54" s="20" t="n">
        <f aca="false">YP54</f>
        <v>1270</v>
      </c>
      <c r="YR54" s="20" t="n">
        <f aca="false">YQ54</f>
        <v>1270</v>
      </c>
      <c r="YS54" s="20" t="n">
        <f aca="false">YR54</f>
        <v>1270</v>
      </c>
      <c r="YT54" s="20" t="n">
        <f aca="false">YS54</f>
        <v>1270</v>
      </c>
      <c r="YU54" s="20" t="n">
        <f aca="false">YT54</f>
        <v>1270</v>
      </c>
      <c r="YV54" s="20" t="n">
        <f aca="false">YU54</f>
        <v>1270</v>
      </c>
      <c r="YW54" s="20" t="n">
        <f aca="false">YV54</f>
        <v>1270</v>
      </c>
      <c r="YX54" s="20" t="n">
        <f aca="false">YW54</f>
        <v>1270</v>
      </c>
      <c r="YY54" s="20" t="n">
        <f aca="false">YX54</f>
        <v>1270</v>
      </c>
      <c r="YZ54" s="20" t="n">
        <f aca="false">YY54</f>
        <v>1270</v>
      </c>
      <c r="ZA54" s="20" t="n">
        <f aca="false">YZ54</f>
        <v>1270</v>
      </c>
      <c r="ZB54" s="20" t="n">
        <f aca="false">ZA54</f>
        <v>1270</v>
      </c>
      <c r="ZC54" s="20" t="n">
        <f aca="false">ZB54</f>
        <v>1270</v>
      </c>
      <c r="ZD54" s="20" t="n">
        <f aca="false">ZC54</f>
        <v>1270</v>
      </c>
      <c r="ZE54" s="20" t="n">
        <f aca="false">ZD54</f>
        <v>1270</v>
      </c>
      <c r="ZF54" s="20" t="n">
        <f aca="false">ZE54</f>
        <v>1270</v>
      </c>
      <c r="ZG54" s="20" t="n">
        <f aca="false">ZF54</f>
        <v>1270</v>
      </c>
      <c r="ZH54" s="20" t="n">
        <f aca="false">ZG54</f>
        <v>1270</v>
      </c>
      <c r="ZI54" s="20" t="n">
        <f aca="false">ZH54</f>
        <v>1270</v>
      </c>
      <c r="ZJ54" s="20" t="n">
        <f aca="false">ZI54</f>
        <v>1270</v>
      </c>
      <c r="ZK54" s="20" t="n">
        <f aca="false">ZJ54</f>
        <v>1270</v>
      </c>
      <c r="ZL54" s="20" t="n">
        <f aca="false">ZK54</f>
        <v>1270</v>
      </c>
      <c r="ZM54" s="20" t="n">
        <f aca="false">ZL54</f>
        <v>1270</v>
      </c>
      <c r="ZN54" s="20" t="n">
        <f aca="false">ZM54</f>
        <v>1270</v>
      </c>
      <c r="ZO54" s="20" t="n">
        <f aca="false">ZN54</f>
        <v>1270</v>
      </c>
      <c r="ZP54" s="20" t="n">
        <f aca="false">ZO54</f>
        <v>1270</v>
      </c>
      <c r="ZQ54" s="20" t="n">
        <f aca="false">ZP54</f>
        <v>1270</v>
      </c>
      <c r="ZR54" s="20" t="n">
        <f aca="false">ZQ54</f>
        <v>1270</v>
      </c>
      <c r="ZS54" s="20" t="n">
        <f aca="false">ZR54</f>
        <v>1270</v>
      </c>
      <c r="ZT54" s="20" t="n">
        <f aca="false">ZS54</f>
        <v>1270</v>
      </c>
      <c r="ZU54" s="20" t="n">
        <f aca="false">ZT54</f>
        <v>1270</v>
      </c>
      <c r="ZV54" s="20" t="n">
        <f aca="false">ZU54</f>
        <v>1270</v>
      </c>
      <c r="ZW54" s="20" t="n">
        <f aca="false">ZV54</f>
        <v>1270</v>
      </c>
      <c r="ZX54" s="20" t="n">
        <f aca="false">ZW54</f>
        <v>1270</v>
      </c>
      <c r="ZY54" s="20" t="n">
        <f aca="false">ZX54</f>
        <v>1270</v>
      </c>
      <c r="ZZ54" s="20" t="n">
        <f aca="false">ZY54</f>
        <v>1270</v>
      </c>
      <c r="AAA54" s="20" t="n">
        <f aca="false">ZZ54</f>
        <v>1270</v>
      </c>
      <c r="AAB54" s="20" t="n">
        <f aca="false">AAA54</f>
        <v>1270</v>
      </c>
      <c r="AAC54" s="20" t="n">
        <f aca="false">AAB54</f>
        <v>1270</v>
      </c>
      <c r="AAD54" s="20" t="n">
        <f aca="false">AAC54</f>
        <v>1270</v>
      </c>
      <c r="AAE54" s="20" t="n">
        <f aca="false">IF(H_Direct=1,IF(BR54&lt;=0,I54-BR54*TE54,I54-MIN(MIN(BR54*TE54,(H54+I54)),I54)),I54)</f>
        <v>0</v>
      </c>
      <c r="AAF54" s="20" t="n">
        <f aca="false">IF(H_Direct=1,IF(BS54&lt;=0,AAE54-BS54*TF54,AAE54-MIN(MIN(BS54*TF54,(WR54+AAE54)),AAE54)),AAE54)</f>
        <v>0</v>
      </c>
      <c r="AAG54" s="20" t="n">
        <f aca="false">IF(H_Direct=1,IF(BT54&lt;=0,AAF54-BT54*TG54,AAF54-MIN(MIN(BT54*TG54,(WS54+AAF54)),AAF54)),AAF54)</f>
        <v>0</v>
      </c>
      <c r="AAH54" s="20" t="n">
        <f aca="false">IF(H_Direct=1,IF(BU54&lt;=0,AAG54-BU54*TH54,AAG54-MIN(MIN(BU54*TH54,(WT54+AAG54)),AAG54)),AAG54)</f>
        <v>0</v>
      </c>
      <c r="AAI54" s="20" t="n">
        <f aca="false">IF(H_Direct=1,IF(BV54&lt;=0,AAH54-BV54*TI54,AAH54-MIN(MIN(BV54*TI54,(WU54+AAH54)),AAH54)),AAH54)</f>
        <v>0</v>
      </c>
      <c r="AAJ54" s="20" t="n">
        <f aca="false">IF(H_Direct=1,IF(BW54&lt;=0,AAI54-BW54*TJ54,AAI54-MIN(MIN(BW54*TJ54,(WV54+AAI54)),AAI54)),AAI54)</f>
        <v>0</v>
      </c>
      <c r="AAK54" s="20" t="n">
        <f aca="false">IF(H_Direct=1,IF(BX54&lt;=0,AAJ54-BX54*TK54,AAJ54-MIN(MIN(BX54*TK54,(WW54+AAJ54)),AAJ54)),AAJ54)</f>
        <v>0</v>
      </c>
      <c r="AAL54" s="20" t="n">
        <f aca="false">IF(H_Direct=1,IF(BY54&lt;=0,AAK54-BY54*TL54,AAK54-MIN(MIN(BY54*TL54,(WX54+AAK54)),AAK54)),AAK54)</f>
        <v>0</v>
      </c>
      <c r="AAM54" s="20" t="n">
        <f aca="false">IF(H_Direct=1,IF(BZ54&lt;=0,AAL54-BZ54*TM54,AAL54-MIN(MIN(BZ54*TM54,(WY54+AAL54)),AAL54)),AAL54)</f>
        <v>0</v>
      </c>
      <c r="AAN54" s="20" t="n">
        <f aca="false">IF(H_Direct=1,IF(CA54&lt;=0,AAM54-CA54*TN54,AAM54-MIN(MIN(CA54*TN54,(WZ54+AAM54)),AAM54)),AAM54)</f>
        <v>0</v>
      </c>
      <c r="AAO54" s="20" t="n">
        <f aca="false">IF(H_Direct=1,IF(CB54&lt;=0,AAN54-CB54*TO54,AAN54-MIN(MIN(CB54*TO54,(XA54+AAN54)),AAN54)),AAN54)</f>
        <v>0</v>
      </c>
      <c r="AAP54" s="20" t="n">
        <f aca="false">IF(H_Direct=1,IF(CC54&lt;=0,AAO54-CC54*TP54,AAO54-MIN(MIN(CC54*TP54,(XB54+AAO54)),AAO54)),AAO54)</f>
        <v>0</v>
      </c>
      <c r="AAQ54" s="20" t="n">
        <f aca="false">IF(H_Direct=1,IF(CD54&lt;=0,AAP54-CD54*TQ54,AAP54-MIN(MIN(CD54*TQ54,(XC54+AAP54)),AAP54)),AAP54)</f>
        <v>0</v>
      </c>
      <c r="AAR54" s="20" t="n">
        <f aca="false">IF(H_Direct=1,IF(CE54&lt;=0,AAQ54-CE54*TR54,AAQ54-MIN(MIN(CE54*TR54,(XD54+AAQ54)),AAQ54)),AAQ54)</f>
        <v>0</v>
      </c>
      <c r="AAS54" s="20" t="n">
        <f aca="false">IF(H_Direct=1,IF(CF54&lt;=0,AAR54-CF54*TS54,AAR54-MIN(MIN(CF54*TS54,(XE54+AAR54)),AAR54)),AAR54)</f>
        <v>0</v>
      </c>
      <c r="AAT54" s="20" t="n">
        <f aca="false">IF(H_Direct=1,IF(CG54&lt;=0,AAS54-CG54*TT54,AAS54-MIN(MIN(CG54*TT54,(XF54+AAS54)),AAS54)),AAS54)</f>
        <v>0</v>
      </c>
      <c r="AAU54" s="20" t="n">
        <f aca="false">IF(H_Direct=1,IF(CH54&lt;=0,AAT54-CH54*TU54,AAT54-MIN(MIN(CH54*TU54,(XG54+AAT54)),AAT54)),AAT54)</f>
        <v>0</v>
      </c>
      <c r="AAV54" s="20" t="n">
        <f aca="false">IF(H_Direct=1,IF(CI54&lt;=0,AAU54-CI54*TV54,AAU54-MIN(MIN(CI54*TV54,(XH54+AAU54)),AAU54)),AAU54)</f>
        <v>0</v>
      </c>
      <c r="AAW54" s="20" t="n">
        <f aca="false">IF(H_Direct=1,IF(CJ54&lt;=0,AAV54-CJ54*TW54,AAV54-MIN(MIN(CJ54*TW54,(XI54+AAV54)),AAV54)),AAV54)</f>
        <v>0</v>
      </c>
      <c r="AAX54" s="20" t="n">
        <f aca="false">IF(H_Direct=1,IF(CK54&lt;=0,AAW54-CK54*TX54,AAW54-MIN(MIN(CK54*TX54,(XJ54+AAW54)),AAW54)),AAW54)</f>
        <v>0</v>
      </c>
      <c r="AAY54" s="20" t="n">
        <f aca="false">IF(H_Direct=1,IF(CL54&lt;=0,AAX54-CL54*TY54,AAX54-MIN(MIN(CL54*TY54,(XK54+AAX54)),AAX54)),AAX54)</f>
        <v>0</v>
      </c>
      <c r="AAZ54" s="20" t="n">
        <f aca="false">IF(H_Direct=1,IF(CM54&lt;=0,AAY54-CM54*TZ54,AAY54-MIN(MIN(CM54*TZ54,(XL54+AAY54)),AAY54)),AAY54)</f>
        <v>0</v>
      </c>
      <c r="ABA54" s="20" t="n">
        <f aca="false">IF(H_Direct=1,IF(CN54&lt;=0,AAZ54-CN54*UA54,AAZ54-MIN(MIN(CN54*UA54,(XM54+AAZ54)),AAZ54)),AAZ54)</f>
        <v>0</v>
      </c>
      <c r="ABB54" s="20" t="n">
        <f aca="false">IF(H_Direct=1,IF(CO54&lt;=0,ABA54-CO54*UB54,ABA54-MIN(MIN(CO54*UB54,(XN54+ABA54)),ABA54)),ABA54)</f>
        <v>0</v>
      </c>
      <c r="ABC54" s="20" t="n">
        <f aca="false">IF(H_Direct=1,IF(CP54&lt;=0,ABB54-CP54*UC54,ABB54-MIN(MIN(CP54*UC54,(XO54+ABB54)),ABB54)),ABB54)</f>
        <v>0</v>
      </c>
      <c r="ABD54" s="20" t="n">
        <f aca="false">IF(H_Direct=1,IF(CQ54&lt;=0,ABC54-CQ54*UD54,ABC54-MIN(MIN(CQ54*UD54,(XP54+ABC54)),ABC54)),ABC54)</f>
        <v>0</v>
      </c>
      <c r="ABE54" s="20" t="n">
        <f aca="false">IF(H_Direct=1,IF(CR54&lt;=0,ABD54-CR54*UE54,ABD54-MIN(MIN(CR54*UE54,(XQ54+ABD54)),ABD54)),ABD54)</f>
        <v>0</v>
      </c>
      <c r="ABF54" s="20" t="n">
        <f aca="false">IF(H_Direct=1,IF(CS54&lt;=0,ABE54-CS54*UF54,ABE54-MIN(MIN(CS54*UF54,(XR54+ABE54)),ABE54)),ABE54)</f>
        <v>0</v>
      </c>
      <c r="ABG54" s="20" t="n">
        <f aca="false">IF(H_Direct=1,IF(CT54&lt;=0,ABF54-CT54*UG54,ABF54-MIN(MIN(CT54*UG54,(XS54+ABF54)),ABF54)),ABF54)</f>
        <v>0</v>
      </c>
      <c r="ABH54" s="20" t="n">
        <f aca="false">IF(H_Direct=1,IF(CU54&lt;=0,ABG54-CU54*UH54,ABG54-MIN(MIN(CU54*UH54,(XT54+ABG54)),ABG54)),ABG54)</f>
        <v>0</v>
      </c>
      <c r="ABI54" s="20" t="n">
        <f aca="false">IF(H_Direct=1,IF(CV54&lt;=0,ABH54-CV54*UI54,ABH54-MIN(MIN(CV54*UI54,(XU54+ABH54)),ABH54)),ABH54)</f>
        <v>0</v>
      </c>
      <c r="ABJ54" s="20" t="n">
        <f aca="false">IF(H_Direct=1,IF(CW54&lt;=0,ABI54-CW54*UJ54,ABI54-MIN(MIN(CW54*UJ54,(XV54+ABI54)),ABI54)),ABI54)</f>
        <v>0</v>
      </c>
      <c r="ABK54" s="20" t="n">
        <f aca="false">IF(H_Direct=1,IF(CX54&lt;=0,ABJ54-CX54*UK54,ABJ54-MIN(MIN(CX54*UK54,(XW54+ABJ54)),ABJ54)),ABJ54)</f>
        <v>0</v>
      </c>
      <c r="ABL54" s="20" t="n">
        <f aca="false">IF(H_Direct=1,IF(CY54&lt;=0,ABK54-CY54*UL54,ABK54-MIN(MIN(CY54*UL54,(XX54+ABK54)),ABK54)),ABK54)</f>
        <v>0</v>
      </c>
      <c r="ABM54" s="20" t="n">
        <f aca="false">IF(H_Direct=1,IF(CZ54&lt;=0,ABL54-CZ54*UM54,ABL54-MIN(MIN(CZ54*UM54,(XY54+ABL54)),ABL54)),ABL54)</f>
        <v>0</v>
      </c>
      <c r="ABN54" s="20" t="n">
        <f aca="false">IF(H_Direct=1,IF(DA54&lt;=0,ABM54-DA54*UN54,ABM54-MIN(MIN(DA54*UN54,(XZ54+ABM54)),ABM54)),ABM54)</f>
        <v>0</v>
      </c>
      <c r="ABO54" s="20" t="n">
        <f aca="false">IF(H_Direct=1,IF(DB54&lt;=0,ABN54-DB54*UO54,ABN54-MIN(MIN(DB54*UO54,(YA54+ABN54)),ABN54)),ABN54)</f>
        <v>0</v>
      </c>
      <c r="ABP54" s="20" t="n">
        <f aca="false">IF(H_Direct=1,IF(DC54&lt;=0,ABO54-DC54*UP54,ABO54-MIN(MIN(DC54*UP54,(YB54+ABO54)),ABO54)),ABO54)</f>
        <v>0</v>
      </c>
      <c r="ABQ54" s="20" t="n">
        <f aca="false">IF(H_Direct=1,IF(DD54&lt;=0,ABP54-DD54*UQ54,ABP54-MIN(MIN(DD54*UQ54,(YC54+ABP54)),ABP54)),ABP54)</f>
        <v>0</v>
      </c>
      <c r="ABR54" s="20" t="n">
        <f aca="false">IF(H_Direct=1,IF(DE54&lt;=0,ABQ54-DE54*UR54,ABQ54-MIN(MIN(DE54*UR54,(YD54+ABQ54)),ABQ54)),ABQ54)</f>
        <v>0</v>
      </c>
      <c r="ABS54" s="20" t="n">
        <f aca="false">IF(H_Direct=1,IF(DF54&lt;=0,ABR54-DF54*US54,ABR54-MIN(MIN(DF54*US54,(YE54+ABR54)),ABR54)),ABR54)</f>
        <v>0</v>
      </c>
      <c r="ABT54" s="20" t="n">
        <f aca="false">IF(H_Direct=1,IF(DG54&lt;=0,ABS54-DG54*UT54,ABS54-MIN(MIN(DG54*UT54,(YF54+ABS54)),ABS54)),ABS54)</f>
        <v>0</v>
      </c>
      <c r="ABU54" s="20" t="n">
        <f aca="false">IF(H_Direct=1,IF(DH54&lt;=0,ABT54-DH54*UU54,ABT54-MIN(MIN(DH54*UU54,(YG54+ABT54)),ABT54)),ABT54)</f>
        <v>0</v>
      </c>
      <c r="ABV54" s="20" t="n">
        <f aca="false">IF(H_Direct=1,IF(DI54&lt;=0,ABU54-DI54*UV54,ABU54-MIN(MIN(DI54*UV54,(YH54+ABU54)),ABU54)),ABU54)</f>
        <v>0</v>
      </c>
      <c r="ABW54" s="20" t="n">
        <f aca="false">IF(H_Direct=1,IF(DJ54&lt;=0,ABV54-DJ54*UW54,ABV54-MIN(MIN(DJ54*UW54,(YI54+ABV54)),ABV54)),ABV54)</f>
        <v>0</v>
      </c>
      <c r="ABX54" s="20" t="n">
        <f aca="false">IF(H_Direct=1,IF(DK54&lt;=0,ABW54-DK54*UX54,ABW54-MIN(MIN(DK54*UX54,(YJ54+ABW54)),ABW54)),ABW54)</f>
        <v>0</v>
      </c>
      <c r="ABY54" s="20" t="n">
        <f aca="false">IF(H_Direct=1,IF(DL54&lt;=0,ABX54-DL54*UY54,ABX54-MIN(MIN(DL54*UY54,(YK54+ABX54)),ABX54)),ABX54)</f>
        <v>0</v>
      </c>
      <c r="ABZ54" s="20" t="n">
        <f aca="false">IF(H_Direct=1,IF(DM54&lt;=0,ABY54-DM54*UZ54,ABY54-MIN(MIN(DM54*UZ54,(YL54+ABY54)),ABY54)),ABY54)</f>
        <v>0</v>
      </c>
      <c r="ACA54" s="20" t="n">
        <f aca="false">ABZ54</f>
        <v>0</v>
      </c>
      <c r="ACB54" s="20" t="n">
        <f aca="false">ACA54</f>
        <v>0</v>
      </c>
      <c r="ACC54" s="20" t="n">
        <f aca="false">ACB54</f>
        <v>0</v>
      </c>
      <c r="ACD54" s="20" t="n">
        <f aca="false">ACC54</f>
        <v>0</v>
      </c>
      <c r="ACE54" s="20" t="n">
        <f aca="false">ACD54</f>
        <v>0</v>
      </c>
      <c r="ACF54" s="20" t="n">
        <f aca="false">ACE54</f>
        <v>0</v>
      </c>
      <c r="ACG54" s="20" t="n">
        <f aca="false">ACF54</f>
        <v>0</v>
      </c>
      <c r="ACH54" s="20" t="n">
        <f aca="false">ACG54</f>
        <v>0</v>
      </c>
      <c r="ACI54" s="20" t="n">
        <f aca="false">ACH54</f>
        <v>0</v>
      </c>
      <c r="ACJ54" s="20" t="n">
        <f aca="false">ACI54</f>
        <v>0</v>
      </c>
      <c r="ACK54" s="20" t="n">
        <f aca="false">ACJ54</f>
        <v>0</v>
      </c>
      <c r="ACL54" s="20" t="n">
        <f aca="false">ACK54</f>
        <v>0</v>
      </c>
      <c r="ACM54" s="20" t="n">
        <f aca="false">ACL54</f>
        <v>0</v>
      </c>
      <c r="ACN54" s="20" t="n">
        <f aca="false">ACM54</f>
        <v>0</v>
      </c>
      <c r="ACO54" s="20" t="n">
        <f aca="false">ACN54</f>
        <v>0</v>
      </c>
      <c r="ACP54" s="20" t="n">
        <f aca="false">ACO54</f>
        <v>0</v>
      </c>
      <c r="ACQ54" s="20" t="n">
        <f aca="false">ACP54</f>
        <v>0</v>
      </c>
      <c r="ACR54" s="20" t="n">
        <f aca="false">ACQ54</f>
        <v>0</v>
      </c>
      <c r="ACS54" s="20" t="n">
        <f aca="false">ACR54</f>
        <v>0</v>
      </c>
      <c r="ACT54" s="20" t="n">
        <f aca="false">ACS54</f>
        <v>0</v>
      </c>
      <c r="ACU54" s="20" t="n">
        <f aca="false">ACT54</f>
        <v>0</v>
      </c>
      <c r="ACV54" s="20" t="n">
        <f aca="false">ACU54</f>
        <v>0</v>
      </c>
      <c r="ACW54" s="20" t="n">
        <f aca="false">ACV54</f>
        <v>0</v>
      </c>
      <c r="ACX54" s="20" t="n">
        <f aca="false">ACW54</f>
        <v>0</v>
      </c>
      <c r="ACY54" s="20" t="n">
        <f aca="false">ACX54</f>
        <v>0</v>
      </c>
      <c r="ACZ54" s="20" t="n">
        <f aca="false">ACY54</f>
        <v>0</v>
      </c>
      <c r="ADA54" s="20" t="n">
        <f aca="false">ACZ54</f>
        <v>0</v>
      </c>
      <c r="ADB54" s="20" t="n">
        <f aca="false">ADA54</f>
        <v>0</v>
      </c>
      <c r="ADC54" s="20" t="n">
        <f aca="false">ADB54</f>
        <v>0</v>
      </c>
      <c r="ADD54" s="20" t="n">
        <f aca="false">ADC54</f>
        <v>0</v>
      </c>
      <c r="ADE54" s="20" t="n">
        <f aca="false">ADD54</f>
        <v>0</v>
      </c>
      <c r="ADF54" s="20" t="n">
        <f aca="false">ADE54</f>
        <v>0</v>
      </c>
      <c r="ADG54" s="20" t="n">
        <f aca="false">ADF54</f>
        <v>0</v>
      </c>
      <c r="ADH54" s="20" t="n">
        <f aca="false">ADG54</f>
        <v>0</v>
      </c>
      <c r="ADI54" s="20" t="n">
        <f aca="false">ADH54</f>
        <v>0</v>
      </c>
      <c r="ADJ54" s="20" t="n">
        <f aca="false">ADI54</f>
        <v>0</v>
      </c>
      <c r="ADK54" s="20" t="n">
        <f aca="false">ADJ54</f>
        <v>0</v>
      </c>
      <c r="ADL54" s="20" t="n">
        <f aca="false">ADK54</f>
        <v>0</v>
      </c>
      <c r="ADM54" s="20" t="n">
        <f aca="false">ADL54</f>
        <v>0</v>
      </c>
      <c r="ADN54" s="20" t="n">
        <f aca="false">ADM54</f>
        <v>0</v>
      </c>
      <c r="ADO54" s="20" t="n">
        <f aca="false">ADN54</f>
        <v>0</v>
      </c>
      <c r="ADP54" s="20" t="n">
        <f aca="false">ADO54</f>
        <v>0</v>
      </c>
      <c r="ADQ54" s="20" t="n">
        <f aca="false">ADP54</f>
        <v>0</v>
      </c>
      <c r="ADR54" s="20" t="n">
        <f aca="false">(AKR53-TE54+0)*(1+BQ54)</f>
        <v>0</v>
      </c>
      <c r="ADS54" s="20" t="n">
        <f aca="false">(AKS53-TF54+0)*(1+BQ54)</f>
        <v>0</v>
      </c>
      <c r="ADT54" s="20" t="n">
        <f aca="false">(AKT53-TG54+0)*(1+BQ54)</f>
        <v>0</v>
      </c>
      <c r="ADU54" s="20" t="n">
        <f aca="false">(AKU53-TH54+0)*(1+BQ54)</f>
        <v>0</v>
      </c>
      <c r="ADV54" s="20" t="n">
        <f aca="false">(AKV53-TI54+0)*(1+BQ54)</f>
        <v>0</v>
      </c>
      <c r="ADW54" s="20" t="n">
        <f aca="false">(AKW53-TJ54+0)*(1+BQ54)</f>
        <v>0</v>
      </c>
      <c r="ADX54" s="20" t="n">
        <f aca="false">(AKX53-TK54+0)*(1+BQ54)</f>
        <v>0</v>
      </c>
      <c r="ADY54" s="20" t="n">
        <f aca="false">(AKY53-TL54+0)*(1+BQ54)</f>
        <v>0</v>
      </c>
      <c r="ADZ54" s="20" t="n">
        <f aca="false">(AKZ53-TM54+0)*(1+BQ54)</f>
        <v>0</v>
      </c>
      <c r="AEA54" s="20" t="n">
        <f aca="false">(ALA53-TN54+0)*(1+BQ54)</f>
        <v>0</v>
      </c>
      <c r="AEB54" s="20" t="n">
        <f aca="false">(ALB53-TO54+0)*(1+BQ54)</f>
        <v>0</v>
      </c>
      <c r="AEC54" s="20" t="n">
        <f aca="false">(ALC53-TP54+0)*(1+BQ54)</f>
        <v>0</v>
      </c>
      <c r="AED54" s="20" t="n">
        <f aca="false">(ALD53-TQ54+0)*(1+BQ54)</f>
        <v>0</v>
      </c>
      <c r="AEE54" s="20" t="n">
        <f aca="false">(ALE53-TR54+0)*(1+BQ54)</f>
        <v>0</v>
      </c>
      <c r="AEF54" s="20" t="n">
        <f aca="false">(ALF53-TS54+0)*(1+BQ54)</f>
        <v>0</v>
      </c>
      <c r="AEG54" s="20" t="n">
        <f aca="false">(ALG53-TT54+0)*(1+BQ54)</f>
        <v>0</v>
      </c>
      <c r="AEH54" s="20" t="n">
        <f aca="false">(ALH53-TU54+0)*(1+BQ54)</f>
        <v>0</v>
      </c>
      <c r="AEI54" s="20" t="n">
        <f aca="false">(ALI53-TV54+0)*(1+BQ54)</f>
        <v>0</v>
      </c>
      <c r="AEJ54" s="20" t="n">
        <f aca="false">(ALJ53-TW54+0)*(1+BQ54)</f>
        <v>0</v>
      </c>
      <c r="AEK54" s="20" t="n">
        <f aca="false">(ALK53-TX54+0)*(1+BQ54)</f>
        <v>0</v>
      </c>
      <c r="AEL54" s="20" t="n">
        <f aca="false">(ALL53-TY54+0)*(1+BQ54)</f>
        <v>0</v>
      </c>
      <c r="AEM54" s="20" t="n">
        <f aca="false">(ALM53-TZ54+0)*(1+BQ54)</f>
        <v>0</v>
      </c>
      <c r="AEN54" s="20" t="n">
        <f aca="false">(ALN53-UA54+0)*(1+BQ54)</f>
        <v>0</v>
      </c>
      <c r="AEO54" s="20" t="n">
        <f aca="false">(ALO53-UB54+0)*(1+BQ54)</f>
        <v>0</v>
      </c>
      <c r="AEP54" s="20" t="n">
        <f aca="false">(ALP53-UC54+0)*(1+BQ54)</f>
        <v>0</v>
      </c>
      <c r="AEQ54" s="20" t="n">
        <f aca="false">(ALQ53-UD54+0)*(1+BQ54)</f>
        <v>0</v>
      </c>
      <c r="AER54" s="20" t="n">
        <f aca="false">(ALR53-UE54+0)*(1+BQ54)</f>
        <v>0</v>
      </c>
      <c r="AES54" s="20" t="n">
        <f aca="false">(ALS53-UF54+0)*(1+BQ54)</f>
        <v>0</v>
      </c>
      <c r="AET54" s="20" t="n">
        <f aca="false">(ALT53-UG54+0)*(1+BQ54)</f>
        <v>0</v>
      </c>
      <c r="AEU54" s="20" t="n">
        <f aca="false">(ALU53-UH54+0)*(1+BQ54)</f>
        <v>0</v>
      </c>
      <c r="AEV54" s="20" t="n">
        <f aca="false">(ALV53-UI54+0)*(1+BQ54)</f>
        <v>0</v>
      </c>
      <c r="AEW54" s="20" t="n">
        <f aca="false">(ALW53-UJ54+0)*(1+BQ54)</f>
        <v>0</v>
      </c>
      <c r="AEX54" s="20" t="n">
        <f aca="false">(ALX53-UK54+0)*(1+BQ54)</f>
        <v>0</v>
      </c>
      <c r="AEY54" s="20" t="n">
        <f aca="false">(ALY53-UL54+0)*(1+BQ54)</f>
        <v>0</v>
      </c>
      <c r="AEZ54" s="20" t="n">
        <f aca="false">(ALZ53-UM54+0)*(1+BQ54)</f>
        <v>0</v>
      </c>
      <c r="AFA54" s="20" t="n">
        <f aca="false">(AMA53-UN54+0)*(1+BQ54)</f>
        <v>0</v>
      </c>
      <c r="AFB54" s="20" t="n">
        <f aca="false">(AMB53-UO54+0)*(1+BQ54)</f>
        <v>0</v>
      </c>
      <c r="AFC54" s="20" t="n">
        <f aca="false">(AMC53-UP54+0)*(1+BQ54)</f>
        <v>0</v>
      </c>
      <c r="AFD54" s="20" t="n">
        <f aca="false">(AMD53-UQ54+0)*(1+BQ54)</f>
        <v>0</v>
      </c>
      <c r="AFE54" s="20" t="n">
        <f aca="false">(AME53-UR54+0)*(1+BQ54)</f>
        <v>0</v>
      </c>
      <c r="AFF54" s="20" t="n">
        <f aca="false">(AMF53-US54+0)*(1+BQ54)</f>
        <v>0</v>
      </c>
      <c r="AFG54" s="20" t="n">
        <f aca="false">(AMG53-UT54+0)*(1+BQ54)</f>
        <v>0</v>
      </c>
      <c r="AFH54" s="20" t="n">
        <f aca="false">(AMH53-UU54+0)*(1+BQ54)</f>
        <v>0</v>
      </c>
      <c r="AFI54" s="20" t="n">
        <f aca="false">(AMI53-UV54+0)*(1+BQ54)</f>
        <v>0</v>
      </c>
      <c r="AFJ54" s="20" t="n">
        <f aca="false">(AMJ53-UW54+0)*(1+BQ54)</f>
        <v>0</v>
      </c>
      <c r="AFK54" s="20" t="n">
        <f aca="false">(AMK53-UX54+0)*(1+BQ54)</f>
        <v>0</v>
      </c>
      <c r="AFL54" s="20" t="n">
        <f aca="false">(AML53-UY54+0)*(1+BQ54)</f>
        <v>0</v>
      </c>
      <c r="AFM54" s="20" t="n">
        <f aca="false">((P54+S54)-UZ54+BE54)*(1+BQ54)</f>
        <v>0</v>
      </c>
      <c r="AFN54" s="20" t="n">
        <v>0</v>
      </c>
      <c r="AFO54" s="20" t="n">
        <v>0</v>
      </c>
      <c r="AFP54" s="20" t="n">
        <v>0</v>
      </c>
      <c r="AFQ54" s="20" t="n">
        <v>0</v>
      </c>
      <c r="AFR54" s="20" t="n">
        <v>0</v>
      </c>
      <c r="AFS54" s="20" t="n">
        <v>0</v>
      </c>
      <c r="AFT54" s="20" t="n">
        <v>0</v>
      </c>
      <c r="AFU54" s="20" t="n">
        <v>0</v>
      </c>
      <c r="AFV54" s="20" t="n">
        <v>0</v>
      </c>
      <c r="AFW54" s="20" t="n">
        <v>0</v>
      </c>
      <c r="AFX54" s="20" t="n">
        <v>0</v>
      </c>
      <c r="AFY54" s="20" t="n">
        <v>0</v>
      </c>
      <c r="AFZ54" s="20" t="n">
        <v>0</v>
      </c>
      <c r="AGA54" s="20" t="n">
        <v>0</v>
      </c>
      <c r="AGB54" s="20" t="n">
        <v>0</v>
      </c>
      <c r="AGC54" s="20" t="n">
        <v>0</v>
      </c>
      <c r="AGD54" s="20" t="n">
        <v>0</v>
      </c>
      <c r="AGE54" s="20" t="n">
        <v>0</v>
      </c>
      <c r="AGF54" s="20" t="n">
        <v>0</v>
      </c>
      <c r="AGG54" s="20" t="n">
        <v>0</v>
      </c>
      <c r="AGH54" s="20" t="n">
        <v>0</v>
      </c>
      <c r="AGI54" s="20" t="n">
        <v>0</v>
      </c>
      <c r="AGJ54" s="20" t="n">
        <v>0</v>
      </c>
      <c r="AGK54" s="20" t="n">
        <v>0</v>
      </c>
      <c r="AGL54" s="20" t="n">
        <v>0</v>
      </c>
      <c r="AGM54" s="20" t="n">
        <v>0</v>
      </c>
      <c r="AGN54" s="20" t="n">
        <v>0</v>
      </c>
      <c r="AGO54" s="20" t="n">
        <v>0</v>
      </c>
      <c r="AGP54" s="20" t="n">
        <v>0</v>
      </c>
      <c r="AGQ54" s="20" t="n">
        <v>0</v>
      </c>
      <c r="AGR54" s="20" t="n">
        <v>0</v>
      </c>
      <c r="AGS54" s="20" t="n">
        <v>0</v>
      </c>
      <c r="AGT54" s="20" t="n">
        <v>0</v>
      </c>
      <c r="AGU54" s="20" t="n">
        <v>0</v>
      </c>
      <c r="AGV54" s="20" t="n">
        <v>0</v>
      </c>
      <c r="AGW54" s="20" t="n">
        <v>0</v>
      </c>
      <c r="AGX54" s="20" t="n">
        <v>0</v>
      </c>
      <c r="AGY54" s="20" t="n">
        <v>0</v>
      </c>
      <c r="AGZ54" s="20" t="n">
        <v>0</v>
      </c>
      <c r="AHA54" s="20" t="n">
        <v>0</v>
      </c>
      <c r="AHB54" s="20" t="n">
        <v>0</v>
      </c>
      <c r="AHC54" s="20" t="n">
        <v>0</v>
      </c>
      <c r="AHD54" s="20" t="n">
        <v>0</v>
      </c>
      <c r="AHE54" s="20" t="n">
        <f aca="false">IF(AKR53&gt;0,AOE53-AOE53*TE54/AKR53,0)+0</f>
        <v>0</v>
      </c>
      <c r="AHF54" s="20" t="n">
        <f aca="false">IF(AKS53&gt;0,AOF53-AOF53*TF54/AKS53,0)+0</f>
        <v>0</v>
      </c>
      <c r="AHG54" s="20" t="n">
        <f aca="false">IF(AKT53&gt;0,AOG53-AOG53*TG54/AKT53,0)+0</f>
        <v>0</v>
      </c>
      <c r="AHH54" s="20" t="n">
        <f aca="false">IF(AKU53&gt;0,AOH53-AOH53*TH54/AKU53,0)+0</f>
        <v>0</v>
      </c>
      <c r="AHI54" s="20" t="n">
        <f aca="false">IF(AKV53&gt;0,AOI53-AOI53*TI54/AKV53,0)+0</f>
        <v>0</v>
      </c>
      <c r="AHJ54" s="20" t="n">
        <f aca="false">IF(AKW53&gt;0,AOJ53-AOJ53*TJ54/AKW53,0)+0</f>
        <v>0</v>
      </c>
      <c r="AHK54" s="20" t="n">
        <f aca="false">IF(AKX53&gt;0,AOK53-AOK53*TK54/AKX53,0)+0</f>
        <v>0</v>
      </c>
      <c r="AHL54" s="20" t="n">
        <f aca="false">IF(AKY53&gt;0,AOL53-AOL53*TL54/AKY53,0)+0</f>
        <v>0</v>
      </c>
      <c r="AHM54" s="20" t="n">
        <f aca="false">IF(AKZ53&gt;0,AOM53-AOM53*TM54/AKZ53,0)+0</f>
        <v>0</v>
      </c>
      <c r="AHN54" s="20" t="n">
        <f aca="false">IF(ALA53&gt;0,AON53-AON53*TN54/ALA53,0)+0</f>
        <v>0</v>
      </c>
      <c r="AHO54" s="20" t="n">
        <f aca="false">IF(ALB53&gt;0,AOO53-AOO53*TO54/ALB53,0)+0</f>
        <v>0</v>
      </c>
      <c r="AHP54" s="20" t="n">
        <f aca="false">IF(ALC53&gt;0,AOP53-AOP53*TP54/ALC53,0)+0</f>
        <v>0</v>
      </c>
      <c r="AHQ54" s="20" t="n">
        <f aca="false">IF(ALD53&gt;0,AOQ53-AOQ53*TQ54/ALD53,0)+0</f>
        <v>0</v>
      </c>
      <c r="AHR54" s="20" t="n">
        <f aca="false">IF(ALE53&gt;0,AOR53-AOR53*TR54/ALE53,0)+0</f>
        <v>0</v>
      </c>
      <c r="AHS54" s="20" t="n">
        <f aca="false">IF(ALF53&gt;0,AOS53-AOS53*TS54/ALF53,0)+0</f>
        <v>0</v>
      </c>
      <c r="AHT54" s="20" t="n">
        <f aca="false">IF(ALG53&gt;0,AOT53-AOT53*TT54/ALG53,0)+0</f>
        <v>0</v>
      </c>
      <c r="AHU54" s="20" t="n">
        <f aca="false">IF(ALH53&gt;0,AOU53-AOU53*TU54/ALH53,0)+0</f>
        <v>0</v>
      </c>
      <c r="AHV54" s="20" t="n">
        <f aca="false">IF(ALI53&gt;0,AOV53-AOV53*TV54/ALI53,0)+0</f>
        <v>0</v>
      </c>
      <c r="AHW54" s="20" t="n">
        <f aca="false">IF(ALJ53&gt;0,AOW53-AOW53*TW54/ALJ53,0)+0</f>
        <v>0</v>
      </c>
      <c r="AHX54" s="20" t="n">
        <f aca="false">IF(ALK53&gt;0,AOX53-AOX53*TX54/ALK53,0)+0</f>
        <v>0</v>
      </c>
      <c r="AHY54" s="20" t="n">
        <f aca="false">IF(ALL53&gt;0,AOY53-AOY53*TY54/ALL53,0)+0</f>
        <v>0</v>
      </c>
      <c r="AHZ54" s="20" t="n">
        <f aca="false">IF(ALM53&gt;0,AOZ53-AOZ53*TZ54/ALM53,0)+0</f>
        <v>0</v>
      </c>
      <c r="AIA54" s="20" t="n">
        <f aca="false">IF(ALN53&gt;0,APA53-APA53*UA54/ALN53,0)+0</f>
        <v>0</v>
      </c>
      <c r="AIB54" s="20" t="n">
        <f aca="false">IF(ALO53&gt;0,APB53-APB53*UB54/ALO53,0)+0</f>
        <v>0</v>
      </c>
      <c r="AIC54" s="20" t="n">
        <f aca="false">IF(ALP53&gt;0,APC53-APC53*UC54/ALP53,0)+0</f>
        <v>0</v>
      </c>
      <c r="AID54" s="20" t="n">
        <f aca="false">IF(ALQ53&gt;0,APD53-APD53*UD54/ALQ53,0)+0</f>
        <v>0</v>
      </c>
      <c r="AIE54" s="20" t="n">
        <f aca="false">IF(ALR53&gt;0,APE53-APE53*UE54/ALR53,0)+0</f>
        <v>0</v>
      </c>
      <c r="AIF54" s="20" t="n">
        <f aca="false">IF(ALS53&gt;0,APF53-APF53*UF54/ALS53,0)+0</f>
        <v>0</v>
      </c>
      <c r="AIG54" s="20" t="n">
        <f aca="false">IF(ALT53&gt;0,APG53-APG53*UG54/ALT53,0)+0</f>
        <v>0</v>
      </c>
      <c r="AIH54" s="20" t="n">
        <f aca="false">IF(ALU53&gt;0,APH53-APH53*UH54/ALU53,0)+0</f>
        <v>0</v>
      </c>
      <c r="AII54" s="20" t="n">
        <f aca="false">IF(ALV53&gt;0,API53-API53*UI54/ALV53,0)+0</f>
        <v>0</v>
      </c>
      <c r="AIJ54" s="20" t="n">
        <f aca="false">IF(ALW53&gt;0,APJ53-APJ53*UJ54/ALW53,0)+0</f>
        <v>0</v>
      </c>
      <c r="AIK54" s="20" t="n">
        <f aca="false">IF(ALX53&gt;0,APK53-APK53*UK54/ALX53,0)+0</f>
        <v>0</v>
      </c>
      <c r="AIL54" s="20" t="n">
        <f aca="false">IF(ALY53&gt;0,APL53-APL53*UL54/ALY53,0)+0</f>
        <v>0</v>
      </c>
      <c r="AIM54" s="20" t="n">
        <f aca="false">IF(ALZ53&gt;0,APM53-APM53*UM54/ALZ53,0)+0</f>
        <v>0</v>
      </c>
      <c r="AIN54" s="20" t="n">
        <f aca="false">IF(AMA53&gt;0,APN53-APN53*UN54/AMA53,0)+0</f>
        <v>0</v>
      </c>
      <c r="AIO54" s="20" t="n">
        <f aca="false">IF(AMB53&gt;0,APO53-APO53*UO54/AMB53,0)+0</f>
        <v>0</v>
      </c>
      <c r="AIP54" s="20" t="n">
        <f aca="false">IF(AMC53&gt;0,APP53-APP53*UP54/AMC53,0)+0</f>
        <v>0</v>
      </c>
      <c r="AIQ54" s="20" t="n">
        <f aca="false">IF(AMD53&gt;0,APQ53-APQ53*UQ54/AMD53,0)+0</f>
        <v>0</v>
      </c>
      <c r="AIR54" s="20" t="n">
        <f aca="false">IF(AME53&gt;0,APR53-APR53*UR54/AME53,0)+0</f>
        <v>0</v>
      </c>
      <c r="AIS54" s="20" t="n">
        <f aca="false">IF(AMF53&gt;0,APS53-APS53*US54/AMF53,0)+0</f>
        <v>0</v>
      </c>
      <c r="AIT54" s="20" t="n">
        <f aca="false">IF(AMG53&gt;0,APT53-APT53*UT54/AMG53,0)+0</f>
        <v>0</v>
      </c>
      <c r="AIU54" s="20" t="n">
        <f aca="false">IF(AMH53&gt;0,APU53-APU53*UU54/AMH53,0)+0</f>
        <v>0</v>
      </c>
      <c r="AIV54" s="20" t="n">
        <f aca="false">IF(AMI53&gt;0,APV53-APV53*UV54/AMI53,0)+0</f>
        <v>0</v>
      </c>
      <c r="AIW54" s="20" t="n">
        <f aca="false">IF(AMJ53&gt;0,APW53-APW53*UW54/AMJ53,0)+0</f>
        <v>0</v>
      </c>
      <c r="AIX54" s="20" t="n">
        <f aca="false">IF(AMK53&gt;0,APX53-APX53*UX54/AMK53,0)+0</f>
        <v>0</v>
      </c>
      <c r="AIY54" s="20" t="n">
        <f aca="false">IF(AML53&gt;0,APY53-APY53*UY54/AML53,0)+0</f>
        <v>0</v>
      </c>
      <c r="AIZ54" s="20" t="n">
        <f aca="false">IF((P54+S54)&gt;0,(P54+S54)-(P54+S54)*UZ54/(P54+S54),0)+BE54</f>
        <v>0</v>
      </c>
      <c r="AJA54" s="20" t="n">
        <v>0</v>
      </c>
      <c r="AJB54" s="20" t="n">
        <v>0</v>
      </c>
      <c r="AJC54" s="20" t="n">
        <v>0</v>
      </c>
      <c r="AJD54" s="20" t="n">
        <v>0</v>
      </c>
      <c r="AJE54" s="20" t="n">
        <v>0</v>
      </c>
      <c r="AJF54" s="20" t="n">
        <v>0</v>
      </c>
      <c r="AJG54" s="20" t="n">
        <v>0</v>
      </c>
      <c r="AJH54" s="20" t="n">
        <v>0</v>
      </c>
      <c r="AJI54" s="20" t="n">
        <v>0</v>
      </c>
      <c r="AJJ54" s="20" t="n">
        <v>0</v>
      </c>
      <c r="AJK54" s="20" t="n">
        <v>0</v>
      </c>
      <c r="AJL54" s="20" t="n">
        <v>0</v>
      </c>
      <c r="AJM54" s="20" t="n">
        <v>0</v>
      </c>
      <c r="AJN54" s="20" t="n">
        <v>0</v>
      </c>
      <c r="AJO54" s="20" t="n">
        <v>0</v>
      </c>
      <c r="AJP54" s="20" t="n">
        <v>0</v>
      </c>
      <c r="AJQ54" s="20" t="n">
        <v>0</v>
      </c>
      <c r="AJR54" s="20" t="n">
        <v>0</v>
      </c>
      <c r="AJS54" s="20" t="n">
        <v>0</v>
      </c>
      <c r="AJT54" s="20" t="n">
        <v>0</v>
      </c>
      <c r="AJU54" s="20" t="n">
        <v>0</v>
      </c>
      <c r="AJV54" s="20" t="n">
        <v>0</v>
      </c>
      <c r="AJW54" s="20" t="n">
        <v>0</v>
      </c>
      <c r="AJX54" s="20" t="n">
        <v>0</v>
      </c>
      <c r="AJY54" s="20" t="n">
        <v>0</v>
      </c>
      <c r="AJZ54" s="20" t="n">
        <v>0</v>
      </c>
      <c r="AKA54" s="20" t="n">
        <v>0</v>
      </c>
      <c r="AKB54" s="20" t="n">
        <v>0</v>
      </c>
      <c r="AKC54" s="20" t="n">
        <v>0</v>
      </c>
      <c r="AKD54" s="20" t="n">
        <v>0</v>
      </c>
      <c r="AKE54" s="20" t="n">
        <v>0</v>
      </c>
      <c r="AKF54" s="20" t="n">
        <v>0</v>
      </c>
      <c r="AKG54" s="20" t="n">
        <v>0</v>
      </c>
      <c r="AKH54" s="20" t="n">
        <v>0</v>
      </c>
      <c r="AKI54" s="20" t="n">
        <v>0</v>
      </c>
      <c r="AKJ54" s="20" t="n">
        <v>0</v>
      </c>
      <c r="AKK54" s="20" t="n">
        <v>0</v>
      </c>
      <c r="AKL54" s="20" t="n">
        <v>0</v>
      </c>
      <c r="AKM54" s="20" t="n">
        <v>0</v>
      </c>
      <c r="AKN54" s="20" t="n">
        <v>0</v>
      </c>
      <c r="AKO54" s="20" t="n">
        <v>0</v>
      </c>
      <c r="AKP54" s="20" t="n">
        <v>0</v>
      </c>
      <c r="AKQ54" s="20" t="n">
        <v>0</v>
      </c>
      <c r="AKR54" s="20" t="n">
        <f aca="false">ADR54-AVE54</f>
        <v>0</v>
      </c>
      <c r="AKS54" s="20" t="n">
        <f aca="false">ADS54-AVF54</f>
        <v>0</v>
      </c>
      <c r="AKT54" s="20" t="n">
        <f aca="false">ADT54-AVG54</f>
        <v>0</v>
      </c>
      <c r="AKU54" s="20" t="n">
        <f aca="false">ADU54-AVH54</f>
        <v>0</v>
      </c>
      <c r="AKV54" s="20" t="n">
        <f aca="false">ADV54-AVI54</f>
        <v>0</v>
      </c>
      <c r="AKW54" s="20" t="n">
        <f aca="false">ADW54-AVJ54</f>
        <v>0</v>
      </c>
      <c r="AKX54" s="20" t="n">
        <f aca="false">ADX54-AVK54</f>
        <v>0</v>
      </c>
      <c r="AKY54" s="20" t="n">
        <f aca="false">ADY54-AVL54</f>
        <v>0</v>
      </c>
      <c r="AKZ54" s="20" t="n">
        <f aca="false">ADZ54-AVM54</f>
        <v>0</v>
      </c>
      <c r="ALA54" s="20" t="n">
        <f aca="false">AEA54-AVN54</f>
        <v>0</v>
      </c>
      <c r="ALB54" s="20" t="n">
        <f aca="false">AEB54-AVO54</f>
        <v>0</v>
      </c>
      <c r="ALC54" s="20" t="n">
        <f aca="false">AEC54-AVP54</f>
        <v>0</v>
      </c>
      <c r="ALD54" s="20" t="n">
        <f aca="false">AED54-AVQ54</f>
        <v>0</v>
      </c>
      <c r="ALE54" s="20" t="n">
        <f aca="false">AEE54-AVR54</f>
        <v>0</v>
      </c>
      <c r="ALF54" s="20" t="n">
        <f aca="false">AEF54-AVS54</f>
        <v>0</v>
      </c>
      <c r="ALG54" s="20" t="n">
        <f aca="false">AEG54-AVT54</f>
        <v>0</v>
      </c>
      <c r="ALH54" s="20" t="n">
        <f aca="false">AEH54-AVU54</f>
        <v>0</v>
      </c>
      <c r="ALI54" s="20" t="n">
        <f aca="false">AEI54-AVV54</f>
        <v>0</v>
      </c>
      <c r="ALJ54" s="20" t="n">
        <f aca="false">AEJ54-AVW54</f>
        <v>0</v>
      </c>
      <c r="ALK54" s="20" t="n">
        <f aca="false">AEK54-AVX54</f>
        <v>0</v>
      </c>
      <c r="ALL54" s="20" t="n">
        <f aca="false">AEL54-AVY54</f>
        <v>0</v>
      </c>
      <c r="ALM54" s="20" t="n">
        <f aca="false">AEM54-AVZ54</f>
        <v>0</v>
      </c>
      <c r="ALN54" s="20" t="n">
        <f aca="false">AEN54-AWA54</f>
        <v>0</v>
      </c>
      <c r="ALO54" s="20" t="n">
        <f aca="false">AEO54-AWB54</f>
        <v>0</v>
      </c>
      <c r="ALP54" s="20" t="n">
        <f aca="false">AEP54-AWC54</f>
        <v>0</v>
      </c>
      <c r="ALQ54" s="20" t="n">
        <f aca="false">AEQ54-AWD54</f>
        <v>0</v>
      </c>
      <c r="ALR54" s="20" t="n">
        <f aca="false">AER54-AWE54</f>
        <v>0</v>
      </c>
      <c r="ALS54" s="20" t="n">
        <f aca="false">AES54-AWF54</f>
        <v>0</v>
      </c>
      <c r="ALT54" s="20" t="n">
        <f aca="false">AET54-AWG54</f>
        <v>0</v>
      </c>
      <c r="ALU54" s="20" t="n">
        <f aca="false">AEU54-AWH54</f>
        <v>0</v>
      </c>
      <c r="ALV54" s="20" t="n">
        <f aca="false">AEV54-AWI54</f>
        <v>0</v>
      </c>
      <c r="ALW54" s="20" t="n">
        <f aca="false">AEW54-AWJ54</f>
        <v>0</v>
      </c>
      <c r="ALX54" s="20" t="n">
        <f aca="false">AEX54-AWK54</f>
        <v>0</v>
      </c>
      <c r="ALY54" s="20" t="n">
        <f aca="false">AEY54-AWL54</f>
        <v>0</v>
      </c>
      <c r="ALZ54" s="20" t="n">
        <f aca="false">AEZ54-AWM54</f>
        <v>0</v>
      </c>
      <c r="AMA54" s="20" t="n">
        <f aca="false">AFA54-AWN54</f>
        <v>0</v>
      </c>
      <c r="AMB54" s="20" t="n">
        <f aca="false">AFB54-AWO54</f>
        <v>0</v>
      </c>
      <c r="AMC54" s="20" t="n">
        <f aca="false">AFC54-AWP54</f>
        <v>0</v>
      </c>
      <c r="AMD54" s="20" t="n">
        <f aca="false">AFD54-AWQ54</f>
        <v>0</v>
      </c>
      <c r="AME54" s="20" t="n">
        <f aca="false">AFE54-AWR54</f>
        <v>0</v>
      </c>
      <c r="AMF54" s="20" t="n">
        <f aca="false">AFF54-AWS54</f>
        <v>0</v>
      </c>
      <c r="AMG54" s="20" t="n">
        <f aca="false">AFG54-AWT54</f>
        <v>0</v>
      </c>
      <c r="AMH54" s="20" t="n">
        <f aca="false">AFH54-AWU54</f>
        <v>0</v>
      </c>
      <c r="AMI54" s="20" t="n">
        <f aca="false">AFI54-AWV54</f>
        <v>0</v>
      </c>
      <c r="AMJ54" s="20" t="n">
        <f aca="false">AFJ54-AWW54</f>
        <v>0</v>
      </c>
      <c r="AMK54" s="20" t="n">
        <f aca="false">AFK54-AWX54</f>
        <v>0</v>
      </c>
      <c r="AML54" s="20" t="n">
        <f aca="false">AFL54-AWY54</f>
        <v>0</v>
      </c>
      <c r="AMM54" s="20" t="n">
        <f aca="false">AFM54-AWZ54</f>
        <v>0</v>
      </c>
      <c r="AMN54" s="20" t="n">
        <v>0</v>
      </c>
      <c r="AMO54" s="20" t="n">
        <v>0</v>
      </c>
      <c r="AMP54" s="20" t="n">
        <v>0</v>
      </c>
      <c r="AMQ54" s="20" t="n">
        <v>0</v>
      </c>
      <c r="AMR54" s="20" t="n">
        <v>0</v>
      </c>
      <c r="AMS54" s="20" t="n">
        <v>0</v>
      </c>
      <c r="AMT54" s="20" t="n">
        <v>0</v>
      </c>
      <c r="AMU54" s="20" t="n">
        <v>0</v>
      </c>
      <c r="AMV54" s="20" t="n">
        <v>0</v>
      </c>
      <c r="AMW54" s="20" t="n">
        <v>0</v>
      </c>
      <c r="AMX54" s="20" t="n">
        <v>0</v>
      </c>
      <c r="AMY54" s="20" t="n">
        <v>0</v>
      </c>
      <c r="AMZ54" s="20" t="n">
        <v>0</v>
      </c>
      <c r="ANA54" s="20" t="n">
        <v>0</v>
      </c>
      <c r="ANB54" s="20" t="n">
        <v>0</v>
      </c>
      <c r="ANC54" s="20" t="n">
        <v>0</v>
      </c>
      <c r="AND54" s="20" t="n">
        <v>0</v>
      </c>
      <c r="ANE54" s="20" t="n">
        <v>0</v>
      </c>
      <c r="ANF54" s="20" t="n">
        <v>0</v>
      </c>
      <c r="ANG54" s="20" t="n">
        <v>0</v>
      </c>
      <c r="ANH54" s="20" t="n">
        <v>0</v>
      </c>
      <c r="ANI54" s="20" t="n">
        <v>0</v>
      </c>
      <c r="ANJ54" s="20" t="n">
        <v>0</v>
      </c>
      <c r="ANK54" s="20" t="n">
        <v>0</v>
      </c>
      <c r="ANL54" s="20" t="n">
        <v>0</v>
      </c>
      <c r="ANM54" s="20" t="n">
        <v>0</v>
      </c>
      <c r="ANN54" s="20" t="n">
        <v>0</v>
      </c>
      <c r="ANO54" s="20" t="n">
        <v>0</v>
      </c>
      <c r="ANP54" s="20" t="n">
        <v>0</v>
      </c>
      <c r="ANQ54" s="20" t="n">
        <v>0</v>
      </c>
      <c r="ANR54" s="20" t="n">
        <v>0</v>
      </c>
      <c r="ANS54" s="20" t="n">
        <v>0</v>
      </c>
      <c r="ANT54" s="20" t="n">
        <v>0</v>
      </c>
      <c r="ANU54" s="20" t="n">
        <v>0</v>
      </c>
      <c r="ANV54" s="20" t="n">
        <v>0</v>
      </c>
      <c r="ANW54" s="20" t="n">
        <v>0</v>
      </c>
      <c r="ANX54" s="20" t="n">
        <v>0</v>
      </c>
      <c r="ANY54" s="20" t="n">
        <v>0</v>
      </c>
      <c r="ANZ54" s="20" t="n">
        <v>0</v>
      </c>
      <c r="AOA54" s="20" t="n">
        <v>0</v>
      </c>
      <c r="AOB54" s="20" t="n">
        <v>0</v>
      </c>
      <c r="AOC54" s="20" t="n">
        <v>0</v>
      </c>
      <c r="AOD54" s="20" t="n">
        <v>0</v>
      </c>
      <c r="AOE54" s="20" t="n">
        <f aca="false">IF(AND(H_Direct=0,H_TaxEvt=1,ARR53+1&gt;=H_Deemed),AKR54,AHE54)</f>
        <v>0</v>
      </c>
      <c r="AOF54" s="20" t="n">
        <f aca="false">IF(AND(H_Direct=0,H_TaxEvt=1,ARS53+1&gt;=H_Deemed),AKS54,AHF54)</f>
        <v>0</v>
      </c>
      <c r="AOG54" s="20" t="n">
        <f aca="false">IF(AND(H_Direct=0,H_TaxEvt=1,ART53+1&gt;=H_Deemed),AKT54,AHG54)</f>
        <v>0</v>
      </c>
      <c r="AOH54" s="20" t="n">
        <f aca="false">IF(AND(H_Direct=0,H_TaxEvt=1,ARU53+1&gt;=H_Deemed),AKU54,AHH54)</f>
        <v>0</v>
      </c>
      <c r="AOI54" s="20" t="n">
        <f aca="false">IF(AND(H_Direct=0,H_TaxEvt=1,ARV53+1&gt;=H_Deemed),AKV54,AHI54)</f>
        <v>0</v>
      </c>
      <c r="AOJ54" s="20" t="n">
        <f aca="false">IF(AND(H_Direct=0,H_TaxEvt=1,ARW53+1&gt;=H_Deemed),AKW54,AHJ54)</f>
        <v>0</v>
      </c>
      <c r="AOK54" s="20" t="n">
        <f aca="false">IF(AND(H_Direct=0,H_TaxEvt=1,ARX53+1&gt;=H_Deemed),AKX54,AHK54)</f>
        <v>0</v>
      </c>
      <c r="AOL54" s="20" t="n">
        <f aca="false">IF(AND(H_Direct=0,H_TaxEvt=1,ARY53+1&gt;=H_Deemed),AKY54,AHL54)</f>
        <v>0</v>
      </c>
      <c r="AOM54" s="20" t="n">
        <f aca="false">IF(AND(H_Direct=0,H_TaxEvt=1,ARZ53+1&gt;=H_Deemed),AKZ54,AHM54)</f>
        <v>0</v>
      </c>
      <c r="AON54" s="20" t="n">
        <f aca="false">IF(AND(H_Direct=0,H_TaxEvt=1,ASA53+1&gt;=H_Deemed),ALA54,AHN54)</f>
        <v>0</v>
      </c>
      <c r="AOO54" s="20" t="n">
        <f aca="false">IF(AND(H_Direct=0,H_TaxEvt=1,ASB53+1&gt;=H_Deemed),ALB54,AHO54)</f>
        <v>0</v>
      </c>
      <c r="AOP54" s="20" t="n">
        <f aca="false">IF(AND(H_Direct=0,H_TaxEvt=1,ASC53+1&gt;=H_Deemed),ALC54,AHP54)</f>
        <v>0</v>
      </c>
      <c r="AOQ54" s="20" t="n">
        <f aca="false">IF(AND(H_Direct=0,H_TaxEvt=1,ASD53+1&gt;=H_Deemed),ALD54,AHQ54)</f>
        <v>0</v>
      </c>
      <c r="AOR54" s="20" t="n">
        <f aca="false">IF(AND(H_Direct=0,H_TaxEvt=1,ASE53+1&gt;=H_Deemed),ALE54,AHR54)</f>
        <v>0</v>
      </c>
      <c r="AOS54" s="20" t="n">
        <f aca="false">IF(AND(H_Direct=0,H_TaxEvt=1,ASF53+1&gt;=H_Deemed),ALF54,AHS54)</f>
        <v>0</v>
      </c>
      <c r="AOT54" s="20" t="n">
        <f aca="false">IF(AND(H_Direct=0,H_TaxEvt=1,ASG53+1&gt;=H_Deemed),ALG54,AHT54)</f>
        <v>0</v>
      </c>
      <c r="AOU54" s="20" t="n">
        <f aca="false">IF(AND(H_Direct=0,H_TaxEvt=1,ASH53+1&gt;=H_Deemed),ALH54,AHU54)</f>
        <v>0</v>
      </c>
      <c r="AOV54" s="20" t="n">
        <f aca="false">IF(AND(H_Direct=0,H_TaxEvt=1,ASI53+1&gt;=H_Deemed),ALI54,AHV54)</f>
        <v>0</v>
      </c>
      <c r="AOW54" s="20" t="n">
        <f aca="false">IF(AND(H_Direct=0,H_TaxEvt=1,ASJ53+1&gt;=H_Deemed),ALJ54,AHW54)</f>
        <v>0</v>
      </c>
      <c r="AOX54" s="20" t="n">
        <f aca="false">IF(AND(H_Direct=0,H_TaxEvt=1,ASK53+1&gt;=H_Deemed),ALK54,AHX54)</f>
        <v>0</v>
      </c>
      <c r="AOY54" s="20" t="n">
        <f aca="false">IF(AND(H_Direct=0,H_TaxEvt=1,ASL53+1&gt;=H_Deemed),ALL54,AHY54)</f>
        <v>0</v>
      </c>
      <c r="AOZ54" s="20" t="n">
        <f aca="false">IF(AND(H_Direct=0,H_TaxEvt=1,ASM53+1&gt;=H_Deemed),ALM54,AHZ54)</f>
        <v>0</v>
      </c>
      <c r="APA54" s="20" t="n">
        <f aca="false">IF(AND(H_Direct=0,H_TaxEvt=1,ASN53+1&gt;=H_Deemed),ALN54,AIA54)</f>
        <v>0</v>
      </c>
      <c r="APB54" s="20" t="n">
        <f aca="false">IF(AND(H_Direct=0,H_TaxEvt=1,ASO53+1&gt;=H_Deemed),ALO54,AIB54)</f>
        <v>0</v>
      </c>
      <c r="APC54" s="20" t="n">
        <f aca="false">IF(AND(H_Direct=0,H_TaxEvt=1,ASP53+1&gt;=H_Deemed),ALP54,AIC54)</f>
        <v>0</v>
      </c>
      <c r="APD54" s="20" t="n">
        <f aca="false">IF(AND(H_Direct=0,H_TaxEvt=1,ASQ53+1&gt;=H_Deemed),ALQ54,AID54)</f>
        <v>0</v>
      </c>
      <c r="APE54" s="20" t="n">
        <f aca="false">IF(AND(H_Direct=0,H_TaxEvt=1,ASR53+1&gt;=H_Deemed),ALR54,AIE54)</f>
        <v>0</v>
      </c>
      <c r="APF54" s="20" t="n">
        <f aca="false">IF(AND(H_Direct=0,H_TaxEvt=1,ASS53+1&gt;=H_Deemed),ALS54,AIF54)</f>
        <v>0</v>
      </c>
      <c r="APG54" s="20" t="n">
        <f aca="false">IF(AND(H_Direct=0,H_TaxEvt=1,AST53+1&gt;=H_Deemed),ALT54,AIG54)</f>
        <v>0</v>
      </c>
      <c r="APH54" s="20" t="n">
        <f aca="false">IF(AND(H_Direct=0,H_TaxEvt=1,ASU53+1&gt;=H_Deemed),ALU54,AIH54)</f>
        <v>0</v>
      </c>
      <c r="API54" s="20" t="n">
        <f aca="false">IF(AND(H_Direct=0,H_TaxEvt=1,ASV53+1&gt;=H_Deemed),ALV54,AII54)</f>
        <v>0</v>
      </c>
      <c r="APJ54" s="20" t="n">
        <f aca="false">IF(AND(H_Direct=0,H_TaxEvt=1,ASW53+1&gt;=H_Deemed),ALW54,AIJ54)</f>
        <v>0</v>
      </c>
      <c r="APK54" s="20" t="n">
        <f aca="false">IF(AND(H_Direct=0,H_TaxEvt=1,ASX53+1&gt;=H_Deemed),ALX54,AIK54)</f>
        <v>0</v>
      </c>
      <c r="APL54" s="20" t="n">
        <f aca="false">IF(AND(H_Direct=0,H_TaxEvt=1,ASY53+1&gt;=H_Deemed),ALY54,AIL54)</f>
        <v>0</v>
      </c>
      <c r="APM54" s="20" t="n">
        <f aca="false">IF(AND(H_Direct=0,H_TaxEvt=1,ASZ53+1&gt;=H_Deemed),ALZ54,AIM54)</f>
        <v>0</v>
      </c>
      <c r="APN54" s="20" t="n">
        <f aca="false">IF(AND(H_Direct=0,H_TaxEvt=1,ATA53+1&gt;=H_Deemed),AMA54,AIN54)</f>
        <v>0</v>
      </c>
      <c r="APO54" s="20" t="n">
        <f aca="false">IF(AND(H_Direct=0,H_TaxEvt=1,ATB53+1&gt;=H_Deemed),AMB54,AIO54)</f>
        <v>0</v>
      </c>
      <c r="APP54" s="20" t="n">
        <f aca="false">IF(AND(H_Direct=0,H_TaxEvt=1,ATC53+1&gt;=H_Deemed),AMC54,AIP54)</f>
        <v>0</v>
      </c>
      <c r="APQ54" s="20" t="n">
        <f aca="false">IF(AND(H_Direct=0,H_TaxEvt=1,ATD53+1&gt;=H_Deemed),AMD54,AIQ54)</f>
        <v>0</v>
      </c>
      <c r="APR54" s="20" t="n">
        <f aca="false">IF(AND(H_Direct=0,H_TaxEvt=1,ATE53+1&gt;=H_Deemed),AME54,AIR54)</f>
        <v>0</v>
      </c>
      <c r="APS54" s="20" t="n">
        <f aca="false">IF(AND(H_Direct=0,H_TaxEvt=1,ATF53+1&gt;=H_Deemed),AMF54,AIS54)</f>
        <v>0</v>
      </c>
      <c r="APT54" s="20" t="n">
        <f aca="false">IF(AND(H_Direct=0,H_TaxEvt=1,ATG53+1&gt;=H_Deemed),AMG54,AIT54)</f>
        <v>0</v>
      </c>
      <c r="APU54" s="20" t="n">
        <f aca="false">IF(AND(H_Direct=0,H_TaxEvt=1,ATH53+1&gt;=H_Deemed),AMH54,AIU54)</f>
        <v>0</v>
      </c>
      <c r="APV54" s="20" t="n">
        <f aca="false">IF(AND(H_Direct=0,H_TaxEvt=1,ATI53+1&gt;=H_Deemed),AMI54,AIV54)</f>
        <v>0</v>
      </c>
      <c r="APW54" s="20" t="n">
        <f aca="false">IF(AND(H_Direct=0,H_TaxEvt=1,ATJ53+1&gt;=H_Deemed),AMJ54,AIW54)</f>
        <v>0</v>
      </c>
      <c r="APX54" s="20" t="n">
        <f aca="false">IF(AND(H_Direct=0,H_TaxEvt=1,ATK53+1&gt;=H_Deemed),AMK54,AIX54)</f>
        <v>0</v>
      </c>
      <c r="APY54" s="20" t="n">
        <f aca="false">IF(AND(H_Direct=0,H_TaxEvt=1,ATL53+1&gt;=H_Deemed),AML54,AIY54)</f>
        <v>0</v>
      </c>
      <c r="APZ54" s="20" t="n">
        <f aca="false">IF(AND(H_Direct=0,H_TaxEvt=1,0+1&gt;=H_Deemed),AMM54,AIZ54)</f>
        <v>0</v>
      </c>
      <c r="AQA54" s="20" t="n">
        <v>0</v>
      </c>
      <c r="AQB54" s="20" t="n">
        <v>0</v>
      </c>
      <c r="AQC54" s="20" t="n">
        <v>0</v>
      </c>
      <c r="AQD54" s="20" t="n">
        <v>0</v>
      </c>
      <c r="AQE54" s="20" t="n">
        <v>0</v>
      </c>
      <c r="AQF54" s="20" t="n">
        <v>0</v>
      </c>
      <c r="AQG54" s="20" t="n">
        <v>0</v>
      </c>
      <c r="AQH54" s="20" t="n">
        <v>0</v>
      </c>
      <c r="AQI54" s="20" t="n">
        <v>0</v>
      </c>
      <c r="AQJ54" s="20" t="n">
        <v>0</v>
      </c>
      <c r="AQK54" s="20" t="n">
        <v>0</v>
      </c>
      <c r="AQL54" s="20" t="n">
        <v>0</v>
      </c>
      <c r="AQM54" s="20" t="n">
        <v>0</v>
      </c>
      <c r="AQN54" s="20" t="n">
        <v>0</v>
      </c>
      <c r="AQO54" s="20" t="n">
        <v>0</v>
      </c>
      <c r="AQP54" s="20" t="n">
        <v>0</v>
      </c>
      <c r="AQQ54" s="20" t="n">
        <v>0</v>
      </c>
      <c r="AQR54" s="20" t="n">
        <v>0</v>
      </c>
      <c r="AQS54" s="20" t="n">
        <v>0</v>
      </c>
      <c r="AQT54" s="20" t="n">
        <v>0</v>
      </c>
      <c r="AQU54" s="20" t="n">
        <v>0</v>
      </c>
      <c r="AQV54" s="20" t="n">
        <v>0</v>
      </c>
      <c r="AQW54" s="20" t="n">
        <v>0</v>
      </c>
      <c r="AQX54" s="20" t="n">
        <v>0</v>
      </c>
      <c r="AQY54" s="20" t="n">
        <v>0</v>
      </c>
      <c r="AQZ54" s="20" t="n">
        <v>0</v>
      </c>
      <c r="ARA54" s="20" t="n">
        <v>0</v>
      </c>
      <c r="ARB54" s="20" t="n">
        <v>0</v>
      </c>
      <c r="ARC54" s="20" t="n">
        <v>0</v>
      </c>
      <c r="ARD54" s="20" t="n">
        <v>0</v>
      </c>
      <c r="ARE54" s="20" t="n">
        <v>0</v>
      </c>
      <c r="ARF54" s="20" t="n">
        <v>0</v>
      </c>
      <c r="ARG54" s="20" t="n">
        <v>0</v>
      </c>
      <c r="ARH54" s="20" t="n">
        <v>0</v>
      </c>
      <c r="ARI54" s="20" t="n">
        <v>0</v>
      </c>
      <c r="ARJ54" s="20" t="n">
        <v>0</v>
      </c>
      <c r="ARK54" s="20" t="n">
        <v>0</v>
      </c>
      <c r="ARL54" s="20" t="n">
        <v>0</v>
      </c>
      <c r="ARM54" s="20" t="n">
        <v>0</v>
      </c>
      <c r="ARN54" s="20" t="n">
        <v>0</v>
      </c>
      <c r="ARO54" s="20" t="n">
        <v>0</v>
      </c>
      <c r="ARP54" s="20" t="n">
        <v>0</v>
      </c>
      <c r="ARQ54" s="20" t="n">
        <v>0</v>
      </c>
      <c r="ARR54" s="20" t="n">
        <f aca="false">IF(AND(H_Direct=0,H_TaxEvt=1),IF(ARR53+1&gt;=H_Deemed,0,ARR53+1),ARR53)</f>
        <v>7</v>
      </c>
      <c r="ARS54" s="20" t="n">
        <f aca="false">IF(AND(H_Direct=0,H_TaxEvt=1),IF(ARS53+1&gt;=H_Deemed,0,ARS53+1),ARS53)</f>
        <v>7</v>
      </c>
      <c r="ART54" s="20" t="n">
        <f aca="false">IF(AND(H_Direct=0,H_TaxEvt=1),IF(ART53+1&gt;=H_Deemed,0,ART53+1),ART53)</f>
        <v>6</v>
      </c>
      <c r="ARU54" s="20" t="n">
        <f aca="false">IF(AND(H_Direct=0,H_TaxEvt=1),IF(ARU53+1&gt;=H_Deemed,0,ARU53+1),ARU53)</f>
        <v>5</v>
      </c>
      <c r="ARV54" s="20" t="n">
        <f aca="false">IF(AND(H_Direct=0,H_TaxEvt=1),IF(ARV53+1&gt;=H_Deemed,0,ARV53+1),ARV53)</f>
        <v>4</v>
      </c>
      <c r="ARW54" s="20" t="n">
        <f aca="false">IF(AND(H_Direct=0,H_TaxEvt=1),IF(ARW53+1&gt;=H_Deemed,0,ARW53+1),ARW53)</f>
        <v>3</v>
      </c>
      <c r="ARX54" s="20" t="n">
        <f aca="false">IF(AND(H_Direct=0,H_TaxEvt=1),IF(ARX53+1&gt;=H_Deemed,0,ARX53+1),ARX53)</f>
        <v>2</v>
      </c>
      <c r="ARY54" s="20" t="n">
        <f aca="false">IF(AND(H_Direct=0,H_TaxEvt=1),IF(ARY53+1&gt;=H_Deemed,0,ARY53+1),ARY53)</f>
        <v>1</v>
      </c>
      <c r="ARZ54" s="20" t="n">
        <f aca="false">IF(AND(H_Direct=0,H_TaxEvt=1),IF(ARZ53+1&gt;=H_Deemed,0,ARZ53+1),ARZ53)</f>
        <v>0</v>
      </c>
      <c r="ASA54" s="20" t="n">
        <f aca="false">IF(AND(H_Direct=0,H_TaxEvt=1),IF(ASA53+1&gt;=H_Deemed,0,ASA53+1),ASA53)</f>
        <v>7</v>
      </c>
      <c r="ASB54" s="20" t="n">
        <f aca="false">IF(AND(H_Direct=0,H_TaxEvt=1),IF(ASB53+1&gt;=H_Deemed,0,ASB53+1),ASB53)</f>
        <v>6</v>
      </c>
      <c r="ASC54" s="20" t="n">
        <f aca="false">IF(AND(H_Direct=0,H_TaxEvt=1),IF(ASC53+1&gt;=H_Deemed,0,ASC53+1),ASC53)</f>
        <v>5</v>
      </c>
      <c r="ASD54" s="20" t="n">
        <f aca="false">IF(AND(H_Direct=0,H_TaxEvt=1),IF(ASD53+1&gt;=H_Deemed,0,ASD53+1),ASD53)</f>
        <v>4</v>
      </c>
      <c r="ASE54" s="20" t="n">
        <f aca="false">IF(AND(H_Direct=0,H_TaxEvt=1),IF(ASE53+1&gt;=H_Deemed,0,ASE53+1),ASE53)</f>
        <v>3</v>
      </c>
      <c r="ASF54" s="20" t="n">
        <f aca="false">IF(AND(H_Direct=0,H_TaxEvt=1),IF(ASF53+1&gt;=H_Deemed,0,ASF53+1),ASF53)</f>
        <v>2</v>
      </c>
      <c r="ASG54" s="20" t="n">
        <f aca="false">IF(AND(H_Direct=0,H_TaxEvt=1),IF(ASG53+1&gt;=H_Deemed,0,ASG53+1),ASG53)</f>
        <v>1</v>
      </c>
      <c r="ASH54" s="20" t="n">
        <f aca="false">IF(AND(H_Direct=0,H_TaxEvt=1),IF(ASH53+1&gt;=H_Deemed,0,ASH53+1),ASH53)</f>
        <v>0</v>
      </c>
      <c r="ASI54" s="20" t="n">
        <f aca="false">IF(AND(H_Direct=0,H_TaxEvt=1),IF(ASI53+1&gt;=H_Deemed,0,ASI53+1),ASI53)</f>
        <v>7</v>
      </c>
      <c r="ASJ54" s="20" t="n">
        <f aca="false">IF(AND(H_Direct=0,H_TaxEvt=1),IF(ASJ53+1&gt;=H_Deemed,0,ASJ53+1),ASJ53)</f>
        <v>6</v>
      </c>
      <c r="ASK54" s="20" t="n">
        <f aca="false">IF(AND(H_Direct=0,H_TaxEvt=1),IF(ASK53+1&gt;=H_Deemed,0,ASK53+1),ASK53)</f>
        <v>5</v>
      </c>
      <c r="ASL54" s="20" t="n">
        <f aca="false">IF(AND(H_Direct=0,H_TaxEvt=1),IF(ASL53+1&gt;=H_Deemed,0,ASL53+1),ASL53)</f>
        <v>4</v>
      </c>
      <c r="ASM54" s="20" t="n">
        <f aca="false">IF(AND(H_Direct=0,H_TaxEvt=1),IF(ASM53+1&gt;=H_Deemed,0,ASM53+1),ASM53)</f>
        <v>3</v>
      </c>
      <c r="ASN54" s="20" t="n">
        <f aca="false">IF(AND(H_Direct=0,H_TaxEvt=1),IF(ASN53+1&gt;=H_Deemed,0,ASN53+1),ASN53)</f>
        <v>2</v>
      </c>
      <c r="ASO54" s="20" t="n">
        <f aca="false">IF(AND(H_Direct=0,H_TaxEvt=1),IF(ASO53+1&gt;=H_Deemed,0,ASO53+1),ASO53)</f>
        <v>1</v>
      </c>
      <c r="ASP54" s="20" t="n">
        <f aca="false">IF(AND(H_Direct=0,H_TaxEvt=1),IF(ASP53+1&gt;=H_Deemed,0,ASP53+1),ASP53)</f>
        <v>0</v>
      </c>
      <c r="ASQ54" s="20" t="n">
        <f aca="false">IF(AND(H_Direct=0,H_TaxEvt=1),IF(ASQ53+1&gt;=H_Deemed,0,ASQ53+1),ASQ53)</f>
        <v>7</v>
      </c>
      <c r="ASR54" s="20" t="n">
        <f aca="false">IF(AND(H_Direct=0,H_TaxEvt=1),IF(ASR53+1&gt;=H_Deemed,0,ASR53+1),ASR53)</f>
        <v>6</v>
      </c>
      <c r="ASS54" s="20" t="n">
        <f aca="false">IF(AND(H_Direct=0,H_TaxEvt=1),IF(ASS53+1&gt;=H_Deemed,0,ASS53+1),ASS53)</f>
        <v>5</v>
      </c>
      <c r="AST54" s="20" t="n">
        <f aca="false">IF(AND(H_Direct=0,H_TaxEvt=1),IF(AST53+1&gt;=H_Deemed,0,AST53+1),AST53)</f>
        <v>4</v>
      </c>
      <c r="ASU54" s="20" t="n">
        <f aca="false">IF(AND(H_Direct=0,H_TaxEvt=1),IF(ASU53+1&gt;=H_Deemed,0,ASU53+1),ASU53)</f>
        <v>3</v>
      </c>
      <c r="ASV54" s="20" t="n">
        <f aca="false">IF(AND(H_Direct=0,H_TaxEvt=1),IF(ASV53+1&gt;=H_Deemed,0,ASV53+1),ASV53)</f>
        <v>2</v>
      </c>
      <c r="ASW54" s="20" t="n">
        <f aca="false">IF(AND(H_Direct=0,H_TaxEvt=1),IF(ASW53+1&gt;=H_Deemed,0,ASW53+1),ASW53)</f>
        <v>1</v>
      </c>
      <c r="ASX54" s="20" t="n">
        <f aca="false">IF(AND(H_Direct=0,H_TaxEvt=1),IF(ASX53+1&gt;=H_Deemed,0,ASX53+1),ASX53)</f>
        <v>0</v>
      </c>
      <c r="ASY54" s="20" t="n">
        <f aca="false">IF(AND(H_Direct=0,H_TaxEvt=1),IF(ASY53+1&gt;=H_Deemed,0,ASY53+1),ASY53)</f>
        <v>7</v>
      </c>
      <c r="ASZ54" s="20" t="n">
        <f aca="false">IF(AND(H_Direct=0,H_TaxEvt=1),IF(ASZ53+1&gt;=H_Deemed,0,ASZ53+1),ASZ53)</f>
        <v>6</v>
      </c>
      <c r="ATA54" s="20" t="n">
        <f aca="false">IF(AND(H_Direct=0,H_TaxEvt=1),IF(ATA53+1&gt;=H_Deemed,0,ATA53+1),ATA53)</f>
        <v>5</v>
      </c>
      <c r="ATB54" s="20" t="n">
        <f aca="false">IF(AND(H_Direct=0,H_TaxEvt=1),IF(ATB53+1&gt;=H_Deemed,0,ATB53+1),ATB53)</f>
        <v>4</v>
      </c>
      <c r="ATC54" s="20" t="n">
        <f aca="false">IF(AND(H_Direct=0,H_TaxEvt=1),IF(ATC53+1&gt;=H_Deemed,0,ATC53+1),ATC53)</f>
        <v>3</v>
      </c>
      <c r="ATD54" s="20" t="n">
        <f aca="false">IF(AND(H_Direct=0,H_TaxEvt=1),IF(ATD53+1&gt;=H_Deemed,0,ATD53+1),ATD53)</f>
        <v>2</v>
      </c>
      <c r="ATE54" s="20" t="n">
        <f aca="false">IF(AND(H_Direct=0,H_TaxEvt=1),IF(ATE53+1&gt;=H_Deemed,0,ATE53+1),ATE53)</f>
        <v>1</v>
      </c>
      <c r="ATF54" s="20" t="n">
        <f aca="false">IF(AND(H_Direct=0,H_TaxEvt=1),IF(ATF53+1&gt;=H_Deemed,0,ATF53+1),ATF53)</f>
        <v>0</v>
      </c>
      <c r="ATG54" s="20" t="n">
        <f aca="false">IF(AND(H_Direct=0,H_TaxEvt=1),IF(ATG53+1&gt;=H_Deemed,0,ATG53+1),ATG53)</f>
        <v>7</v>
      </c>
      <c r="ATH54" s="20" t="n">
        <f aca="false">IF(AND(H_Direct=0,H_TaxEvt=1),IF(ATH53+1&gt;=H_Deemed,0,ATH53+1),ATH53)</f>
        <v>6</v>
      </c>
      <c r="ATI54" s="20" t="n">
        <f aca="false">IF(AND(H_Direct=0,H_TaxEvt=1),IF(ATI53+1&gt;=H_Deemed,0,ATI53+1),ATI53)</f>
        <v>5</v>
      </c>
      <c r="ATJ54" s="20" t="n">
        <f aca="false">IF(AND(H_Direct=0,H_TaxEvt=1),IF(ATJ53+1&gt;=H_Deemed,0,ATJ53+1),ATJ53)</f>
        <v>4</v>
      </c>
      <c r="ATK54" s="20" t="n">
        <f aca="false">IF(AND(H_Direct=0,H_TaxEvt=1),IF(ATK53+1&gt;=H_Deemed,0,ATK53+1),ATK53)</f>
        <v>3</v>
      </c>
      <c r="ATL54" s="20" t="n">
        <f aca="false">IF(AND(H_Direct=0,H_TaxEvt=1),IF(ATL53+1&gt;=H_Deemed,0,ATL53+1),ATL53)</f>
        <v>2</v>
      </c>
      <c r="ATM54" s="20" t="n">
        <f aca="false">IF(AND(H_Direct=0,H_TaxEvt=1),IF(0+1&gt;=H_Deemed,0,0+1),0)</f>
        <v>1</v>
      </c>
      <c r="ATN54" s="20" t="n">
        <v>0</v>
      </c>
      <c r="ATO54" s="20" t="n">
        <v>0</v>
      </c>
      <c r="ATP54" s="20" t="n">
        <v>0</v>
      </c>
      <c r="ATQ54" s="20" t="n">
        <v>0</v>
      </c>
      <c r="ATR54" s="20" t="n">
        <v>0</v>
      </c>
      <c r="ATS54" s="20" t="n">
        <v>0</v>
      </c>
      <c r="ATT54" s="20" t="n">
        <v>0</v>
      </c>
      <c r="ATU54" s="20" t="n">
        <v>0</v>
      </c>
      <c r="ATV54" s="20" t="n">
        <v>0</v>
      </c>
      <c r="ATW54" s="20" t="n">
        <v>0</v>
      </c>
      <c r="ATX54" s="20" t="n">
        <v>0</v>
      </c>
      <c r="ATY54" s="20" t="n">
        <v>0</v>
      </c>
      <c r="ATZ54" s="20" t="n">
        <v>0</v>
      </c>
      <c r="AUA54" s="20" t="n">
        <v>0</v>
      </c>
      <c r="AUB54" s="20" t="n">
        <v>0</v>
      </c>
      <c r="AUC54" s="20" t="n">
        <v>0</v>
      </c>
      <c r="AUD54" s="20" t="n">
        <v>0</v>
      </c>
      <c r="AUE54" s="20" t="n">
        <v>0</v>
      </c>
      <c r="AUF54" s="20" t="n">
        <v>0</v>
      </c>
      <c r="AUG54" s="20" t="n">
        <v>0</v>
      </c>
      <c r="AUH54" s="20" t="n">
        <v>0</v>
      </c>
      <c r="AUI54" s="20" t="n">
        <v>0</v>
      </c>
      <c r="AUJ54" s="20" t="n">
        <v>0</v>
      </c>
      <c r="AUK54" s="20" t="n">
        <v>0</v>
      </c>
      <c r="AUL54" s="20" t="n">
        <v>0</v>
      </c>
      <c r="AUM54" s="20" t="n">
        <v>0</v>
      </c>
      <c r="AUN54" s="20" t="n">
        <v>0</v>
      </c>
      <c r="AUO54" s="20" t="n">
        <v>0</v>
      </c>
      <c r="AUP54" s="20" t="n">
        <v>0</v>
      </c>
      <c r="AUQ54" s="20" t="n">
        <v>0</v>
      </c>
      <c r="AUR54" s="20" t="n">
        <v>0</v>
      </c>
      <c r="AUS54" s="20" t="n">
        <v>0</v>
      </c>
      <c r="AUT54" s="20" t="n">
        <v>0</v>
      </c>
      <c r="AUU54" s="20" t="n">
        <v>0</v>
      </c>
      <c r="AUV54" s="20" t="n">
        <v>0</v>
      </c>
      <c r="AUW54" s="20" t="n">
        <v>0</v>
      </c>
      <c r="AUX54" s="20" t="n">
        <v>0</v>
      </c>
      <c r="AUY54" s="20" t="n">
        <v>0</v>
      </c>
      <c r="AUZ54" s="20" t="n">
        <v>0</v>
      </c>
      <c r="AVA54" s="20" t="n">
        <v>0</v>
      </c>
      <c r="AVB54" s="20" t="n">
        <v>0</v>
      </c>
      <c r="AVC54" s="20" t="n">
        <v>0</v>
      </c>
      <c r="AVD54" s="20" t="n">
        <v>0</v>
      </c>
      <c r="AVE54" s="20" t="n">
        <f aca="false">IF(AND(H_Direct=0,H_TaxEvt=1,ARR53+1&gt;=H_Deemed),MAX(0,ADR54-AHE54)*H_Exit,0)</f>
        <v>0</v>
      </c>
      <c r="AVF54" s="20" t="n">
        <f aca="false">IF(AND(H_Direct=0,H_TaxEvt=1,ARS53+1&gt;=H_Deemed),MAX(0,ADS54-AHF54)*H_Exit,0)</f>
        <v>0</v>
      </c>
      <c r="AVG54" s="20" t="n">
        <f aca="false">IF(AND(H_Direct=0,H_TaxEvt=1,ART53+1&gt;=H_Deemed),MAX(0,ADT54-AHG54)*H_Exit,0)</f>
        <v>0</v>
      </c>
      <c r="AVH54" s="20" t="n">
        <f aca="false">IF(AND(H_Direct=0,H_TaxEvt=1,ARU53+1&gt;=H_Deemed),MAX(0,ADU54-AHH54)*H_Exit,0)</f>
        <v>0</v>
      </c>
      <c r="AVI54" s="20" t="n">
        <f aca="false">IF(AND(H_Direct=0,H_TaxEvt=1,ARV53+1&gt;=H_Deemed),MAX(0,ADV54-AHI54)*H_Exit,0)</f>
        <v>0</v>
      </c>
      <c r="AVJ54" s="20" t="n">
        <f aca="false">IF(AND(H_Direct=0,H_TaxEvt=1,ARW53+1&gt;=H_Deemed),MAX(0,ADW54-AHJ54)*H_Exit,0)</f>
        <v>0</v>
      </c>
      <c r="AVK54" s="20" t="n">
        <f aca="false">IF(AND(H_Direct=0,H_TaxEvt=1,ARX53+1&gt;=H_Deemed),MAX(0,ADX54-AHK54)*H_Exit,0)</f>
        <v>0</v>
      </c>
      <c r="AVL54" s="20" t="n">
        <f aca="false">IF(AND(H_Direct=0,H_TaxEvt=1,ARY53+1&gt;=H_Deemed),MAX(0,ADY54-AHL54)*H_Exit,0)</f>
        <v>0</v>
      </c>
      <c r="AVM54" s="20" t="n">
        <f aca="false">IF(AND(H_Direct=0,H_TaxEvt=1,ARZ53+1&gt;=H_Deemed),MAX(0,ADZ54-AHM54)*H_Exit,0)</f>
        <v>0</v>
      </c>
      <c r="AVN54" s="20" t="n">
        <f aca="false">IF(AND(H_Direct=0,H_TaxEvt=1,ASA53+1&gt;=H_Deemed),MAX(0,AEA54-AHN54)*H_Exit,0)</f>
        <v>0</v>
      </c>
      <c r="AVO54" s="20" t="n">
        <f aca="false">IF(AND(H_Direct=0,H_TaxEvt=1,ASB53+1&gt;=H_Deemed),MAX(0,AEB54-AHO54)*H_Exit,0)</f>
        <v>0</v>
      </c>
      <c r="AVP54" s="20" t="n">
        <f aca="false">IF(AND(H_Direct=0,H_TaxEvt=1,ASC53+1&gt;=H_Deemed),MAX(0,AEC54-AHP54)*H_Exit,0)</f>
        <v>0</v>
      </c>
      <c r="AVQ54" s="20" t="n">
        <f aca="false">IF(AND(H_Direct=0,H_TaxEvt=1,ASD53+1&gt;=H_Deemed),MAX(0,AED54-AHQ54)*H_Exit,0)</f>
        <v>0</v>
      </c>
      <c r="AVR54" s="20" t="n">
        <f aca="false">IF(AND(H_Direct=0,H_TaxEvt=1,ASE53+1&gt;=H_Deemed),MAX(0,AEE54-AHR54)*H_Exit,0)</f>
        <v>0</v>
      </c>
      <c r="AVS54" s="20" t="n">
        <f aca="false">IF(AND(H_Direct=0,H_TaxEvt=1,ASF53+1&gt;=H_Deemed),MAX(0,AEF54-AHS54)*H_Exit,0)</f>
        <v>0</v>
      </c>
      <c r="AVT54" s="20" t="n">
        <f aca="false">IF(AND(H_Direct=0,H_TaxEvt=1,ASG53+1&gt;=H_Deemed),MAX(0,AEG54-AHT54)*H_Exit,0)</f>
        <v>0</v>
      </c>
      <c r="AVU54" s="20" t="n">
        <f aca="false">IF(AND(H_Direct=0,H_TaxEvt=1,ASH53+1&gt;=H_Deemed),MAX(0,AEH54-AHU54)*H_Exit,0)</f>
        <v>0</v>
      </c>
      <c r="AVV54" s="20" t="n">
        <f aca="false">IF(AND(H_Direct=0,H_TaxEvt=1,ASI53+1&gt;=H_Deemed),MAX(0,AEI54-AHV54)*H_Exit,0)</f>
        <v>0</v>
      </c>
      <c r="AVW54" s="20" t="n">
        <f aca="false">IF(AND(H_Direct=0,H_TaxEvt=1,ASJ53+1&gt;=H_Deemed),MAX(0,AEJ54-AHW54)*H_Exit,0)</f>
        <v>0</v>
      </c>
      <c r="AVX54" s="20" t="n">
        <f aca="false">IF(AND(H_Direct=0,H_TaxEvt=1,ASK53+1&gt;=H_Deemed),MAX(0,AEK54-AHX54)*H_Exit,0)</f>
        <v>0</v>
      </c>
      <c r="AVY54" s="20" t="n">
        <f aca="false">IF(AND(H_Direct=0,H_TaxEvt=1,ASL53+1&gt;=H_Deemed),MAX(0,AEL54-AHY54)*H_Exit,0)</f>
        <v>0</v>
      </c>
      <c r="AVZ54" s="20" t="n">
        <f aca="false">IF(AND(H_Direct=0,H_TaxEvt=1,ASM53+1&gt;=H_Deemed),MAX(0,AEM54-AHZ54)*H_Exit,0)</f>
        <v>0</v>
      </c>
      <c r="AWA54" s="20" t="n">
        <f aca="false">IF(AND(H_Direct=0,H_TaxEvt=1,ASN53+1&gt;=H_Deemed),MAX(0,AEN54-AIA54)*H_Exit,0)</f>
        <v>0</v>
      </c>
      <c r="AWB54" s="20" t="n">
        <f aca="false">IF(AND(H_Direct=0,H_TaxEvt=1,ASO53+1&gt;=H_Deemed),MAX(0,AEO54-AIB54)*H_Exit,0)</f>
        <v>0</v>
      </c>
      <c r="AWC54" s="20" t="n">
        <f aca="false">IF(AND(H_Direct=0,H_TaxEvt=1,ASP53+1&gt;=H_Deemed),MAX(0,AEP54-AIC54)*H_Exit,0)</f>
        <v>0</v>
      </c>
      <c r="AWD54" s="20" t="n">
        <f aca="false">IF(AND(H_Direct=0,H_TaxEvt=1,ASQ53+1&gt;=H_Deemed),MAX(0,AEQ54-AID54)*H_Exit,0)</f>
        <v>0</v>
      </c>
      <c r="AWE54" s="20" t="n">
        <f aca="false">IF(AND(H_Direct=0,H_TaxEvt=1,ASR53+1&gt;=H_Deemed),MAX(0,AER54-AIE54)*H_Exit,0)</f>
        <v>0</v>
      </c>
      <c r="AWF54" s="20" t="n">
        <f aca="false">IF(AND(H_Direct=0,H_TaxEvt=1,ASS53+1&gt;=H_Deemed),MAX(0,AES54-AIF54)*H_Exit,0)</f>
        <v>0</v>
      </c>
      <c r="AWG54" s="20" t="n">
        <f aca="false">IF(AND(H_Direct=0,H_TaxEvt=1,AST53+1&gt;=H_Deemed),MAX(0,AET54-AIG54)*H_Exit,0)</f>
        <v>0</v>
      </c>
      <c r="AWH54" s="20" t="n">
        <f aca="false">IF(AND(H_Direct=0,H_TaxEvt=1,ASU53+1&gt;=H_Deemed),MAX(0,AEU54-AIH54)*H_Exit,0)</f>
        <v>0</v>
      </c>
      <c r="AWI54" s="20" t="n">
        <f aca="false">IF(AND(H_Direct=0,H_TaxEvt=1,ASV53+1&gt;=H_Deemed),MAX(0,AEV54-AII54)*H_Exit,0)</f>
        <v>0</v>
      </c>
      <c r="AWJ54" s="20" t="n">
        <f aca="false">IF(AND(H_Direct=0,H_TaxEvt=1,ASW53+1&gt;=H_Deemed),MAX(0,AEW54-AIJ54)*H_Exit,0)</f>
        <v>0</v>
      </c>
      <c r="AWK54" s="20" t="n">
        <f aca="false">IF(AND(H_Direct=0,H_TaxEvt=1,ASX53+1&gt;=H_Deemed),MAX(0,AEX54-AIK54)*H_Exit,0)</f>
        <v>0</v>
      </c>
      <c r="AWL54" s="20" t="n">
        <f aca="false">IF(AND(H_Direct=0,H_TaxEvt=1,ASY53+1&gt;=H_Deemed),MAX(0,AEY54-AIL54)*H_Exit,0)</f>
        <v>0</v>
      </c>
      <c r="AWM54" s="20" t="n">
        <f aca="false">IF(AND(H_Direct=0,H_TaxEvt=1,ASZ53+1&gt;=H_Deemed),MAX(0,AEZ54-AIM54)*H_Exit,0)</f>
        <v>0</v>
      </c>
      <c r="AWN54" s="20" t="n">
        <f aca="false">IF(AND(H_Direct=0,H_TaxEvt=1,ATA53+1&gt;=H_Deemed),MAX(0,AFA54-AIN54)*H_Exit,0)</f>
        <v>0</v>
      </c>
      <c r="AWO54" s="20" t="n">
        <f aca="false">IF(AND(H_Direct=0,H_TaxEvt=1,ATB53+1&gt;=H_Deemed),MAX(0,AFB54-AIO54)*H_Exit,0)</f>
        <v>0</v>
      </c>
      <c r="AWP54" s="20" t="n">
        <f aca="false">IF(AND(H_Direct=0,H_TaxEvt=1,ATC53+1&gt;=H_Deemed),MAX(0,AFC54-AIP54)*H_Exit,0)</f>
        <v>0</v>
      </c>
      <c r="AWQ54" s="20" t="n">
        <f aca="false">IF(AND(H_Direct=0,H_TaxEvt=1,ATD53+1&gt;=H_Deemed),MAX(0,AFD54-AIQ54)*H_Exit,0)</f>
        <v>0</v>
      </c>
      <c r="AWR54" s="20" t="n">
        <f aca="false">IF(AND(H_Direct=0,H_TaxEvt=1,ATE53+1&gt;=H_Deemed),MAX(0,AFE54-AIR54)*H_Exit,0)</f>
        <v>0</v>
      </c>
      <c r="AWS54" s="20" t="n">
        <f aca="false">IF(AND(H_Direct=0,H_TaxEvt=1,ATF53+1&gt;=H_Deemed),MAX(0,AFF54-AIS54)*H_Exit,0)</f>
        <v>0</v>
      </c>
      <c r="AWT54" s="20" t="n">
        <f aca="false">IF(AND(H_Direct=0,H_TaxEvt=1,ATG53+1&gt;=H_Deemed),MAX(0,AFG54-AIT54)*H_Exit,0)</f>
        <v>0</v>
      </c>
      <c r="AWU54" s="20" t="n">
        <f aca="false">IF(AND(H_Direct=0,H_TaxEvt=1,ATH53+1&gt;=H_Deemed),MAX(0,AFH54-AIU54)*H_Exit,0)</f>
        <v>0</v>
      </c>
      <c r="AWV54" s="20" t="n">
        <f aca="false">IF(AND(H_Direct=0,H_TaxEvt=1,ATI53+1&gt;=H_Deemed),MAX(0,AFI54-AIV54)*H_Exit,0)</f>
        <v>0</v>
      </c>
      <c r="AWW54" s="20" t="n">
        <f aca="false">IF(AND(H_Direct=0,H_TaxEvt=1,ATJ53+1&gt;=H_Deemed),MAX(0,AFJ54-AIW54)*H_Exit,0)</f>
        <v>0</v>
      </c>
      <c r="AWX54" s="20" t="n">
        <f aca="false">IF(AND(H_Direct=0,H_TaxEvt=1,ATK53+1&gt;=H_Deemed),MAX(0,AFK54-AIX54)*H_Exit,0)</f>
        <v>0</v>
      </c>
      <c r="AWY54" s="20" t="n">
        <f aca="false">IF(AND(H_Direct=0,H_TaxEvt=1,ATL53+1&gt;=H_Deemed),MAX(0,AFL54-AIY54)*H_Exit,0)</f>
        <v>0</v>
      </c>
      <c r="AWZ54" s="20" t="n">
        <f aca="false">IF(AND(H_Direct=0,H_TaxEvt=1,0+1&gt;=H_Deemed),MAX(0,AFM54-AIZ54)*H_Exit,0)</f>
        <v>0</v>
      </c>
      <c r="AXA54" s="20" t="n">
        <v>0</v>
      </c>
      <c r="AXB54" s="20" t="n">
        <v>0</v>
      </c>
      <c r="AXC54" s="20" t="n">
        <v>0</v>
      </c>
      <c r="AXD54" s="20" t="n">
        <v>0</v>
      </c>
      <c r="AXE54" s="20" t="n">
        <v>0</v>
      </c>
      <c r="AXF54" s="20" t="n">
        <v>0</v>
      </c>
      <c r="AXG54" s="20" t="n">
        <v>0</v>
      </c>
      <c r="AXH54" s="20" t="n">
        <v>0</v>
      </c>
      <c r="AXI54" s="20" t="n">
        <v>0</v>
      </c>
      <c r="AXJ54" s="20" t="n">
        <v>0</v>
      </c>
      <c r="AXK54" s="20" t="n">
        <v>0</v>
      </c>
      <c r="AXL54" s="20" t="n">
        <v>0</v>
      </c>
      <c r="AXM54" s="20" t="n">
        <v>0</v>
      </c>
      <c r="AXN54" s="20" t="n">
        <v>0</v>
      </c>
      <c r="AXO54" s="20" t="n">
        <v>0</v>
      </c>
      <c r="AXP54" s="20" t="n">
        <v>0</v>
      </c>
      <c r="AXQ54" s="20" t="n">
        <v>0</v>
      </c>
      <c r="AXR54" s="20" t="n">
        <v>0</v>
      </c>
      <c r="AXS54" s="20" t="n">
        <v>0</v>
      </c>
      <c r="AXT54" s="20" t="n">
        <v>0</v>
      </c>
      <c r="AXU54" s="20" t="n">
        <v>0</v>
      </c>
      <c r="AXV54" s="20" t="n">
        <v>0</v>
      </c>
      <c r="AXW54" s="20" t="n">
        <v>0</v>
      </c>
      <c r="AXX54" s="20" t="n">
        <v>0</v>
      </c>
      <c r="AXY54" s="20" t="n">
        <v>0</v>
      </c>
      <c r="AXZ54" s="20" t="n">
        <v>0</v>
      </c>
      <c r="AYA54" s="20" t="n">
        <v>0</v>
      </c>
      <c r="AYB54" s="20" t="n">
        <v>0</v>
      </c>
      <c r="AYC54" s="20" t="n">
        <v>0</v>
      </c>
      <c r="AYD54" s="20" t="n">
        <v>0</v>
      </c>
      <c r="AYE54" s="20" t="n">
        <v>0</v>
      </c>
      <c r="AYF54" s="20" t="n">
        <v>0</v>
      </c>
      <c r="AYG54" s="20" t="n">
        <v>0</v>
      </c>
      <c r="AYH54" s="20" t="n">
        <v>0</v>
      </c>
      <c r="AYI54" s="20" t="n">
        <v>0</v>
      </c>
      <c r="AYJ54" s="20" t="n">
        <v>0</v>
      </c>
      <c r="AYK54" s="20" t="n">
        <v>0</v>
      </c>
      <c r="AYL54" s="20" t="n">
        <v>0</v>
      </c>
      <c r="AYM54" s="20" t="n">
        <v>0</v>
      </c>
      <c r="AYN54" s="20" t="n">
        <v>0</v>
      </c>
      <c r="AYO54" s="20" t="n">
        <v>0</v>
      </c>
      <c r="AYP54" s="20" t="n">
        <v>0</v>
      </c>
      <c r="AYQ54" s="20" t="n">
        <v>0</v>
      </c>
    </row>
    <row r="55" customFormat="false" ht="15" hidden="false" customHeight="false" outlineLevel="0" collapsed="false">
      <c r="B55" s="20" t="n">
        <v>47</v>
      </c>
      <c r="C55" s="20" t="n">
        <f aca="false">'Plan cashflow'!C55</f>
        <v>1</v>
      </c>
      <c r="D55" s="20" t="n">
        <f aca="false">'Plan cashflow'!D55</f>
        <v>85</v>
      </c>
      <c r="E55" s="20" t="n">
        <f aca="false">AS_Year0+47</f>
        <v>2073</v>
      </c>
      <c r="F55" s="50" t="n">
        <f aca="false">'Plan cashflow'!F55</f>
        <v>2.53634351519552</v>
      </c>
      <c r="G55" s="59" t="n">
        <f aca="true">IF(MAX(TODAY(),DATE(E55,1,1))&gt;=H_CGTfrom,H_CGT1,H_CGT0)</f>
        <v>0.31</v>
      </c>
      <c r="H55" s="20" t="n">
        <f aca="false">H_Exempt*H_Persons</f>
        <v>1270</v>
      </c>
      <c r="I55" s="20" t="n">
        <f aca="false">AX54</f>
        <v>0</v>
      </c>
      <c r="J55" s="60" t="n">
        <f aca="false">BF54</f>
        <v>0</v>
      </c>
      <c r="K55" s="60" t="n">
        <f aca="false">BG54</f>
        <v>0</v>
      </c>
      <c r="L55" s="20" t="n">
        <f aca="false">IF(AND(In_polLump&gt;0,In_polLumpAge&gt;0,D55=In_polLumpAge),In_polLump,0)</f>
        <v>0</v>
      </c>
      <c r="M55" s="20" t="n">
        <f aca="false">IF(AND(In_homeUse="Yes, I'd downsize",In_downAge&gt;0,D55=In_downAge,OR(In_home="Own outright",In_home="Own with mortgage"),In_homeValue&gt;0),MAX(0,MAX(0,In_homeValue-In_downValue)*F55*0.9-'Plan cashflow'!HR54),0)</f>
        <v>0</v>
      </c>
      <c r="N55" s="20" t="n">
        <f aca="false">'Plan pay &amp; tax'!Y281</f>
        <v>0</v>
      </c>
      <c r="O55" s="20" t="n">
        <f aca="false">L55+M55+(1-H_Sh)*N55</f>
        <v>0</v>
      </c>
      <c r="P55" s="20" t="n">
        <f aca="false">H_Sh*N55</f>
        <v>0</v>
      </c>
      <c r="Q55" s="20" t="n">
        <f aca="false">'Plan cashflow'!UL55</f>
        <v>0</v>
      </c>
      <c r="R55" s="20" t="n">
        <f aca="false">(1-H_Sh)*Q55</f>
        <v>0</v>
      </c>
      <c r="S55" s="20" t="n">
        <f aca="false">H_Sh*Q55</f>
        <v>0</v>
      </c>
      <c r="T55" s="20" t="n">
        <f aca="false">J55+K55+O55</f>
        <v>0</v>
      </c>
      <c r="U55" s="20" t="n">
        <f aca="false">T55+R55</f>
        <v>0</v>
      </c>
      <c r="V55" s="60" t="n">
        <f aca="false">SUM(FE55:IQ55)</f>
        <v>0</v>
      </c>
      <c r="W55" s="60" t="n">
        <f aca="false">IF(AJ55&lt;=0,0,IF(AL55&lt;=0,AJ55,AJ55-G55*MAX(0,AL55*AJ55-(AY55+AZ55))))</f>
        <v>0</v>
      </c>
      <c r="X55" s="60" t="n">
        <f aca="false">IF(AR55&lt;=0,0,IF(AT55&lt;=0,AR55,AR55-G55*MAX(0,AT55*AR55-(BA55+BB55))))</f>
        <v>0</v>
      </c>
      <c r="Y55" s="60" t="n">
        <f aca="false">T55+V55-S55+W55+X55</f>
        <v>0</v>
      </c>
      <c r="Z55" s="60" t="n">
        <f aca="false">'Plan cashflow'!UK55</f>
        <v>0</v>
      </c>
      <c r="AA55" s="20" t="n">
        <f aca="false">MIN(Z55,U55)</f>
        <v>0</v>
      </c>
      <c r="AB55" s="20" t="n">
        <f aca="false">Z55-AA55</f>
        <v>0</v>
      </c>
      <c r="AC55" s="20" t="n">
        <f aca="false">MIN(AA55,J55+O55+R55)</f>
        <v>0</v>
      </c>
      <c r="AD55" s="20" t="n">
        <f aca="false">AA55-AC55</f>
        <v>0</v>
      </c>
      <c r="AE55" s="20" t="n">
        <f aca="false">J55+O55+R55-AC55</f>
        <v>0</v>
      </c>
      <c r="AF55" s="20" t="n">
        <f aca="false">K55-AD55</f>
        <v>0</v>
      </c>
      <c r="AG55" s="20" t="n">
        <f aca="false">SUM(PR55:TD55)</f>
        <v>0</v>
      </c>
      <c r="AH55" s="20" t="n">
        <f aca="false">SUM(TE55:WQ55)</f>
        <v>0</v>
      </c>
      <c r="AI55" s="20" t="n">
        <f aca="false">MAX(0,AB55-AG55)</f>
        <v>0</v>
      </c>
      <c r="AJ55" s="57" t="n">
        <f aca="false">BI54</f>
        <v>0</v>
      </c>
      <c r="AK55" s="20" t="n">
        <f aca="false">BJ54</f>
        <v>0</v>
      </c>
      <c r="AL55" s="20" t="n">
        <f aca="false">IF(AJ55&gt;0,(AJ55-AK55)/AJ55,0)</f>
        <v>0</v>
      </c>
      <c r="AM55" s="20" t="n">
        <f aca="false">IF(AJ55&lt;=0,0,IF(AL55&lt;=0,MIN(AI55,AJ55),MIN(AI55,AJ55-G55*MAX(0,AL55*AJ55-(AAD55+ADQ55)))))</f>
        <v>0</v>
      </c>
      <c r="AN55" s="20" t="n">
        <f aca="false">IF(AJ55&lt;=0,0,IF(AL55&lt;=0,AM55,IF(AM55&lt;=(AAD55+ADQ55)/AL55,AM55,(AM55-G55*(AAD55+ADQ55))/(1-G55*AL55))))</f>
        <v>0</v>
      </c>
      <c r="AO55" s="20" t="n">
        <f aca="false">IF(AL55&gt;0,MAX(0,AAD55-(MIN(AL55*AN55,(AAD55+ADQ55))-MIN(MIN(AL55*AN55,(AAD55+ADQ55)),ADQ55))),AAD55)</f>
        <v>1270</v>
      </c>
      <c r="AP55" s="20" t="n">
        <f aca="false">IF(AL55&lt;=0,ADQ55-AL55*AN55,ADQ55-MIN(MIN(AL55*AN55,(AAD55+ADQ55)),ADQ55))</f>
        <v>0</v>
      </c>
      <c r="AQ55" s="20" t="n">
        <f aca="false">MAX(0,AI55-AM55)</f>
        <v>0</v>
      </c>
      <c r="AR55" s="57" t="n">
        <f aca="false">BK54</f>
        <v>0</v>
      </c>
      <c r="AS55" s="20" t="n">
        <f aca="false">BL54</f>
        <v>0</v>
      </c>
      <c r="AT55" s="20" t="n">
        <f aca="false">IF(AR55&gt;0,(AR55-AS55)/AR55,0)</f>
        <v>0</v>
      </c>
      <c r="AU55" s="20" t="n">
        <f aca="false">IF(AR55&lt;=0,0,IF(AT55&lt;=0,MIN(AQ55,AR55),MIN(AQ55,AR55-G55*MAX(0,AT55*AR55-(AO55+AP55)))))</f>
        <v>0</v>
      </c>
      <c r="AV55" s="20" t="n">
        <f aca="false">IF(AR55&lt;=0,0,IF(AT55&lt;=0,AU55,IF(AU55&lt;=(AO55+AP55)/AT55,AU55,(AU55-G55*(AO55+AP55))/(1-G55*AT55))))</f>
        <v>0</v>
      </c>
      <c r="AW55" s="20" t="n">
        <f aca="false">IF(AT55&gt;0,MAX(0,AO55-(MIN(AT55*AV55,(AO55+AP55))-MIN(MIN(AT55*AV55,(AO55+AP55)),AP55))),AO55)</f>
        <v>1270</v>
      </c>
      <c r="AX55" s="20" t="n">
        <f aca="false">IF(AT55&lt;=0,AP55-AT55*AV55,AP55-MIN(MIN(AT55*AV55,(AO55+AP55)),AP55))</f>
        <v>0</v>
      </c>
      <c r="AY55" s="20" t="n">
        <f aca="false">MD55</f>
        <v>1270</v>
      </c>
      <c r="AZ55" s="20" t="n">
        <f aca="false">PQ55</f>
        <v>0</v>
      </c>
      <c r="BA55" s="20" t="n">
        <f aca="false">IF(AL55&gt;0,MAX(0,AY55-(MIN(AL55*AJ55,AY55+AZ55)-MIN(MIN(AL55*AJ55,AY55+AZ55),AZ55))),AY55)</f>
        <v>1270</v>
      </c>
      <c r="BB55" s="20" t="n">
        <f aca="false">IF(AL55&lt;=0,AZ55-AL55*AJ55,AZ55-MIN(MIN(AL55*AJ55,AY55+AZ55),AZ55))</f>
        <v>0</v>
      </c>
      <c r="BC55" s="20" t="n">
        <f aca="false">'Plan cashflow'!UM55</f>
        <v>0</v>
      </c>
      <c r="BD55" s="20" t="n">
        <f aca="false">(1-H_Sh)*BC55</f>
        <v>0</v>
      </c>
      <c r="BE55" s="20" t="n">
        <f aca="false">H_Sh*BC55</f>
        <v>0</v>
      </c>
      <c r="BF55" s="60" t="n">
        <f aca="false">(AE55+BD55)*(1+AS_Cash)</f>
        <v>0</v>
      </c>
      <c r="BG55" s="60" t="n">
        <f aca="false">AF55*(1+AS_Cash)</f>
        <v>0</v>
      </c>
      <c r="BH55" s="60" t="n">
        <f aca="false">SUM(AKR55:AOD55)</f>
        <v>0</v>
      </c>
      <c r="BI55" s="60" t="n">
        <f aca="false">(AJ55-AN55)*(1+AS_Infl)</f>
        <v>0</v>
      </c>
      <c r="BJ55" s="20" t="n">
        <f aca="false">IF(AJ55&gt;0,AK55-AK55*AN55/AJ55,0)</f>
        <v>0</v>
      </c>
      <c r="BK55" s="60" t="n">
        <f aca="false">(AR55-AV55)*(1+BQ55)</f>
        <v>0</v>
      </c>
      <c r="BL55" s="20" t="n">
        <f aca="false">IF(AR55&gt;0,AS55-AS55*AV55/AR55,0)</f>
        <v>0</v>
      </c>
      <c r="BM55" s="60" t="n">
        <f aca="false">BF55+BG55+BH55+BI55+BK55</f>
        <v>0</v>
      </c>
      <c r="BN55" s="60" t="n">
        <f aca="false">(AH55-AG55)+(AN55-AM55)+(AV55-AU55)</f>
        <v>0</v>
      </c>
      <c r="BO55" s="20" t="n">
        <f aca="false">(AE55+BD55+AF55+MAX(0,'Plan cashflow'!QH55)+IF(Slot1_Rate=AS_Cash,'Plan cashflow'!QM55/(1+AS_Cash),0)+IF(Slot2_Rate=AS_Cash,'Plan cashflow'!QQ55/(1+AS_Cash),0)+IF(Slot3_Rate=AS_Cash,'Plan cashflow'!QU55/(1+AS_Cash),0)+IF(Slot4_Rate=AS_Cash,'Plan cashflow'!QY55/(1+AS_Cash),0)+IF(Slot5_Rate=AS_Cash,'Plan cashflow'!RC55/(1+AS_Cash),0)+IF(Slot6_Rate=AS_Cash,'Plan cashflow'!RG55/(1+AS_Cash),0)+IF(Slot7_Rate=AS_Cash,'Plan cashflow'!RK55/(1+AS_Cash),0)+IF(Slot8_Rate=AS_Cash,'Plan cashflow'!RO55/(1+AS_Cash),0)+IF(Slot9_Rate=AS_Cash,'Plan cashflow'!RS55/(1+AS_Cash),0)+IF(Slot10_Rate=AS_Cash,'Plan cashflow'!RW55/(1+AS_Cash),0)+IF(Slot11_Rate=AS_Cash,'Plan cashflow'!SA55/(1+AS_Cash),0)+IF(Slot12_Rate=AS_Cash,'Plan cashflow'!SE55/(1+AS_Cash),0)+IF(Slot13_Rate=AS_Cash,'Plan cashflow'!SI55/(1+AS_Cash),0)+IF(Slot14_Rate=AS_Cash,'Plan cashflow'!SM55/(1+AS_Cash),0)+IF(Slot15_Rate=AS_Cash,'Plan cashflow'!SQ55/(1+AS_Cash),0)+IF(Slot16_Rate=AS_Cash,'Plan cashflow'!SU55/(1+AS_Cash),0)+IF(Slot17_Rate=AS_Cash,'Plan cashflow'!SY55/(1+AS_Cash),0)+IF(Slot18_Rate=AS_Cash,'Plan cashflow'!TC55/(1+AS_Cash),0)+IF(Slot19_Rate=AS_Cash,'Plan cashflow'!TG55/(1+AS_Cash),0)+IF(Slot20_Rate=AS_Cash,'Plan cashflow'!TK55/(1+AS_Cash),0))*AS_Cash*H_DIRT/(1-H_DIRT)</f>
        <v>0</v>
      </c>
      <c r="BP55" s="60" t="n">
        <f aca="false">SUM(AVE55:AYQ55)</f>
        <v>0</v>
      </c>
      <c r="BQ55" s="54" t="n">
        <f aca="false">IF(H_TaxEvt=1,H_InvG,AS_Inv)</f>
        <v>0.04</v>
      </c>
      <c r="BR55" s="20" t="n">
        <f aca="false">IF(AKR54&gt;0,(AKR54-AOE54)/AKR54,0)</f>
        <v>0</v>
      </c>
      <c r="BS55" s="20" t="n">
        <f aca="false">IF(AKS54&gt;0,(AKS54-AOF54)/AKS54,0)</f>
        <v>0</v>
      </c>
      <c r="BT55" s="20" t="n">
        <f aca="false">IF(AKT54&gt;0,(AKT54-AOG54)/AKT54,0)</f>
        <v>0</v>
      </c>
      <c r="BU55" s="20" t="n">
        <f aca="false">IF(AKU54&gt;0,(AKU54-AOH54)/AKU54,0)</f>
        <v>0</v>
      </c>
      <c r="BV55" s="20" t="n">
        <f aca="false">IF(AKV54&gt;0,(AKV54-AOI54)/AKV54,0)</f>
        <v>0</v>
      </c>
      <c r="BW55" s="20" t="n">
        <f aca="false">IF(AKW54&gt;0,(AKW54-AOJ54)/AKW54,0)</f>
        <v>0</v>
      </c>
      <c r="BX55" s="20" t="n">
        <f aca="false">IF(AKX54&gt;0,(AKX54-AOK54)/AKX54,0)</f>
        <v>0</v>
      </c>
      <c r="BY55" s="20" t="n">
        <f aca="false">IF(AKY54&gt;0,(AKY54-AOL54)/AKY54,0)</f>
        <v>0</v>
      </c>
      <c r="BZ55" s="20" t="n">
        <f aca="false">IF(AKZ54&gt;0,(AKZ54-AOM54)/AKZ54,0)</f>
        <v>0</v>
      </c>
      <c r="CA55" s="20" t="n">
        <f aca="false">IF(ALA54&gt;0,(ALA54-AON54)/ALA54,0)</f>
        <v>0</v>
      </c>
      <c r="CB55" s="20" t="n">
        <f aca="false">IF(ALB54&gt;0,(ALB54-AOO54)/ALB54,0)</f>
        <v>0</v>
      </c>
      <c r="CC55" s="20" t="n">
        <f aca="false">IF(ALC54&gt;0,(ALC54-AOP54)/ALC54,0)</f>
        <v>0</v>
      </c>
      <c r="CD55" s="20" t="n">
        <f aca="false">IF(ALD54&gt;0,(ALD54-AOQ54)/ALD54,0)</f>
        <v>0</v>
      </c>
      <c r="CE55" s="20" t="n">
        <f aca="false">IF(ALE54&gt;0,(ALE54-AOR54)/ALE54,0)</f>
        <v>0</v>
      </c>
      <c r="CF55" s="20" t="n">
        <f aca="false">IF(ALF54&gt;0,(ALF54-AOS54)/ALF54,0)</f>
        <v>0</v>
      </c>
      <c r="CG55" s="20" t="n">
        <f aca="false">IF(ALG54&gt;0,(ALG54-AOT54)/ALG54,0)</f>
        <v>0</v>
      </c>
      <c r="CH55" s="20" t="n">
        <f aca="false">IF(ALH54&gt;0,(ALH54-AOU54)/ALH54,0)</f>
        <v>0</v>
      </c>
      <c r="CI55" s="20" t="n">
        <f aca="false">IF(ALI54&gt;0,(ALI54-AOV54)/ALI54,0)</f>
        <v>0</v>
      </c>
      <c r="CJ55" s="20" t="n">
        <f aca="false">IF(ALJ54&gt;0,(ALJ54-AOW54)/ALJ54,0)</f>
        <v>0</v>
      </c>
      <c r="CK55" s="20" t="n">
        <f aca="false">IF(ALK54&gt;0,(ALK54-AOX54)/ALK54,0)</f>
        <v>0</v>
      </c>
      <c r="CL55" s="20" t="n">
        <f aca="false">IF(ALL54&gt;0,(ALL54-AOY54)/ALL54,0)</f>
        <v>0</v>
      </c>
      <c r="CM55" s="20" t="n">
        <f aca="false">IF(ALM54&gt;0,(ALM54-AOZ54)/ALM54,0)</f>
        <v>0</v>
      </c>
      <c r="CN55" s="20" t="n">
        <f aca="false">IF(ALN54&gt;0,(ALN54-APA54)/ALN54,0)</f>
        <v>0</v>
      </c>
      <c r="CO55" s="20" t="n">
        <f aca="false">IF(ALO54&gt;0,(ALO54-APB54)/ALO54,0)</f>
        <v>0</v>
      </c>
      <c r="CP55" s="20" t="n">
        <f aca="false">IF(ALP54&gt;0,(ALP54-APC54)/ALP54,0)</f>
        <v>0</v>
      </c>
      <c r="CQ55" s="20" t="n">
        <f aca="false">IF(ALQ54&gt;0,(ALQ54-APD54)/ALQ54,0)</f>
        <v>0</v>
      </c>
      <c r="CR55" s="20" t="n">
        <f aca="false">IF(ALR54&gt;0,(ALR54-APE54)/ALR54,0)</f>
        <v>0</v>
      </c>
      <c r="CS55" s="20" t="n">
        <f aca="false">IF(ALS54&gt;0,(ALS54-APF54)/ALS54,0)</f>
        <v>0</v>
      </c>
      <c r="CT55" s="20" t="n">
        <f aca="false">IF(ALT54&gt;0,(ALT54-APG54)/ALT54,0)</f>
        <v>0</v>
      </c>
      <c r="CU55" s="20" t="n">
        <f aca="false">IF(ALU54&gt;0,(ALU54-APH54)/ALU54,0)</f>
        <v>0</v>
      </c>
      <c r="CV55" s="20" t="n">
        <f aca="false">IF(ALV54&gt;0,(ALV54-API54)/ALV54,0)</f>
        <v>0</v>
      </c>
      <c r="CW55" s="20" t="n">
        <f aca="false">IF(ALW54&gt;0,(ALW54-APJ54)/ALW54,0)</f>
        <v>0</v>
      </c>
      <c r="CX55" s="20" t="n">
        <f aca="false">IF(ALX54&gt;0,(ALX54-APK54)/ALX54,0)</f>
        <v>0</v>
      </c>
      <c r="CY55" s="20" t="n">
        <f aca="false">IF(ALY54&gt;0,(ALY54-APL54)/ALY54,0)</f>
        <v>0</v>
      </c>
      <c r="CZ55" s="20" t="n">
        <f aca="false">IF(ALZ54&gt;0,(ALZ54-APM54)/ALZ54,0)</f>
        <v>0</v>
      </c>
      <c r="DA55" s="20" t="n">
        <f aca="false">IF(AMA54&gt;0,(AMA54-APN54)/AMA54,0)</f>
        <v>0</v>
      </c>
      <c r="DB55" s="20" t="n">
        <f aca="false">IF(AMB54&gt;0,(AMB54-APO54)/AMB54,0)</f>
        <v>0</v>
      </c>
      <c r="DC55" s="20" t="n">
        <f aca="false">IF(AMC54&gt;0,(AMC54-APP54)/AMC54,0)</f>
        <v>0</v>
      </c>
      <c r="DD55" s="20" t="n">
        <f aca="false">IF(AMD54&gt;0,(AMD54-APQ54)/AMD54,0)</f>
        <v>0</v>
      </c>
      <c r="DE55" s="20" t="n">
        <f aca="false">IF(AME54&gt;0,(AME54-APR54)/AME54,0)</f>
        <v>0</v>
      </c>
      <c r="DF55" s="20" t="n">
        <f aca="false">IF(AMF54&gt;0,(AMF54-APS54)/AMF54,0)</f>
        <v>0</v>
      </c>
      <c r="DG55" s="20" t="n">
        <f aca="false">IF(AMG54&gt;0,(AMG54-APT54)/AMG54,0)</f>
        <v>0</v>
      </c>
      <c r="DH55" s="20" t="n">
        <f aca="false">IF(AMH54&gt;0,(AMH54-APU54)/AMH54,0)</f>
        <v>0</v>
      </c>
      <c r="DI55" s="20" t="n">
        <f aca="false">IF(AMI54&gt;0,(AMI54-APV54)/AMI54,0)</f>
        <v>0</v>
      </c>
      <c r="DJ55" s="20" t="n">
        <f aca="false">IF(AMJ54&gt;0,(AMJ54-APW54)/AMJ54,0)</f>
        <v>0</v>
      </c>
      <c r="DK55" s="20" t="n">
        <f aca="false">IF(AMK54&gt;0,(AMK54-APX54)/AMK54,0)</f>
        <v>0</v>
      </c>
      <c r="DL55" s="20" t="n">
        <f aca="false">IF(AML54&gt;0,(AML54-APY54)/AML54,0)</f>
        <v>0</v>
      </c>
      <c r="DM55" s="20" t="n">
        <f aca="false">IF(AMM54&gt;0,(AMM54-APZ54)/AMM54,0)</f>
        <v>0</v>
      </c>
      <c r="DN55" s="20" t="n">
        <f aca="false">IF((P55+S55)&gt;0,((P55+S55)-(P55+S55))/(P55+S55),0)</f>
        <v>0</v>
      </c>
      <c r="DO55" s="20" t="n">
        <v>0</v>
      </c>
      <c r="DP55" s="20" t="n">
        <v>0</v>
      </c>
      <c r="DQ55" s="20" t="n">
        <v>0</v>
      </c>
      <c r="DR55" s="20" t="n">
        <v>0</v>
      </c>
      <c r="DS55" s="20" t="n">
        <v>0</v>
      </c>
      <c r="DT55" s="20" t="n">
        <v>0</v>
      </c>
      <c r="DU55" s="20" t="n">
        <v>0</v>
      </c>
      <c r="DV55" s="20" t="n">
        <v>0</v>
      </c>
      <c r="DW55" s="20" t="n">
        <v>0</v>
      </c>
      <c r="DX55" s="20" t="n">
        <v>0</v>
      </c>
      <c r="DY55" s="20" t="n">
        <v>0</v>
      </c>
      <c r="DZ55" s="20" t="n">
        <v>0</v>
      </c>
      <c r="EA55" s="20" t="n">
        <v>0</v>
      </c>
      <c r="EB55" s="20" t="n">
        <v>0</v>
      </c>
      <c r="EC55" s="20" t="n">
        <v>0</v>
      </c>
      <c r="ED55" s="20" t="n">
        <v>0</v>
      </c>
      <c r="EE55" s="20" t="n">
        <v>0</v>
      </c>
      <c r="EF55" s="20" t="n">
        <v>0</v>
      </c>
      <c r="EG55" s="20" t="n">
        <v>0</v>
      </c>
      <c r="EH55" s="20" t="n">
        <v>0</v>
      </c>
      <c r="EI55" s="20" t="n">
        <v>0</v>
      </c>
      <c r="EJ55" s="20" t="n">
        <v>0</v>
      </c>
      <c r="EK55" s="20" t="n">
        <v>0</v>
      </c>
      <c r="EL55" s="20" t="n">
        <v>0</v>
      </c>
      <c r="EM55" s="20" t="n">
        <v>0</v>
      </c>
      <c r="EN55" s="20" t="n">
        <v>0</v>
      </c>
      <c r="EO55" s="20" t="n">
        <v>0</v>
      </c>
      <c r="EP55" s="20" t="n">
        <v>0</v>
      </c>
      <c r="EQ55" s="20" t="n">
        <v>0</v>
      </c>
      <c r="ER55" s="20" t="n">
        <v>0</v>
      </c>
      <c r="ES55" s="20" t="n">
        <v>0</v>
      </c>
      <c r="ET55" s="20" t="n">
        <v>0</v>
      </c>
      <c r="EU55" s="20" t="n">
        <v>0</v>
      </c>
      <c r="EV55" s="20" t="n">
        <v>0</v>
      </c>
      <c r="EW55" s="20" t="n">
        <v>0</v>
      </c>
      <c r="EX55" s="20" t="n">
        <v>0</v>
      </c>
      <c r="EY55" s="20" t="n">
        <v>0</v>
      </c>
      <c r="EZ55" s="20" t="n">
        <v>0</v>
      </c>
      <c r="FA55" s="20" t="n">
        <v>0</v>
      </c>
      <c r="FB55" s="20" t="n">
        <v>0</v>
      </c>
      <c r="FC55" s="20" t="n">
        <v>0</v>
      </c>
      <c r="FD55" s="20" t="n">
        <v>0</v>
      </c>
      <c r="FE55" s="20" t="n">
        <f aca="false">IF(H_Direct=1,IF(AKR54&lt;=0,0,IF(BR55&lt;=0,AKR54,AKR54-G55*MAX(0,BR55*AKR54-(H55+I55)))),AKR54*(1-MAX(0,BR55)*H_Exit))</f>
        <v>0</v>
      </c>
      <c r="FF55" s="20" t="n">
        <f aca="false">IF(H_Direct=1,IF(AKS54&lt;=0,0,IF(BS55&lt;=0,AKS54,AKS54-G55*MAX(0,BS55*AKS54-(IR55+ME55)))),AKS54*(1-MAX(0,BS55)*H_Exit))</f>
        <v>0</v>
      </c>
      <c r="FG55" s="20" t="n">
        <f aca="false">IF(H_Direct=1,IF(AKT54&lt;=0,0,IF(BT55&lt;=0,AKT54,AKT54-G55*MAX(0,BT55*AKT54-(IS55+MF55)))),AKT54*(1-MAX(0,BT55)*H_Exit))</f>
        <v>0</v>
      </c>
      <c r="FH55" s="20" t="n">
        <f aca="false">IF(H_Direct=1,IF(AKU54&lt;=0,0,IF(BU55&lt;=0,AKU54,AKU54-G55*MAX(0,BU55*AKU54-(IT55+MG55)))),AKU54*(1-MAX(0,BU55)*H_Exit))</f>
        <v>0</v>
      </c>
      <c r="FI55" s="20" t="n">
        <f aca="false">IF(H_Direct=1,IF(AKV54&lt;=0,0,IF(BV55&lt;=0,AKV54,AKV54-G55*MAX(0,BV55*AKV54-(IU55+MH55)))),AKV54*(1-MAX(0,BV55)*H_Exit))</f>
        <v>0</v>
      </c>
      <c r="FJ55" s="20" t="n">
        <f aca="false">IF(H_Direct=1,IF(AKW54&lt;=0,0,IF(BW55&lt;=0,AKW54,AKW54-G55*MAX(0,BW55*AKW54-(IV55+MI55)))),AKW54*(1-MAX(0,BW55)*H_Exit))</f>
        <v>0</v>
      </c>
      <c r="FK55" s="20" t="n">
        <f aca="false">IF(H_Direct=1,IF(AKX54&lt;=0,0,IF(BX55&lt;=0,AKX54,AKX54-G55*MAX(0,BX55*AKX54-(IW55+MJ55)))),AKX54*(1-MAX(0,BX55)*H_Exit))</f>
        <v>0</v>
      </c>
      <c r="FL55" s="20" t="n">
        <f aca="false">IF(H_Direct=1,IF(AKY54&lt;=0,0,IF(BY55&lt;=0,AKY54,AKY54-G55*MAX(0,BY55*AKY54-(IX55+MK55)))),AKY54*(1-MAX(0,BY55)*H_Exit))</f>
        <v>0</v>
      </c>
      <c r="FM55" s="20" t="n">
        <f aca="false">IF(H_Direct=1,IF(AKZ54&lt;=0,0,IF(BZ55&lt;=0,AKZ54,AKZ54-G55*MAX(0,BZ55*AKZ54-(IY55+ML55)))),AKZ54*(1-MAX(0,BZ55)*H_Exit))</f>
        <v>0</v>
      </c>
      <c r="FN55" s="20" t="n">
        <f aca="false">IF(H_Direct=1,IF(ALA54&lt;=0,0,IF(CA55&lt;=0,ALA54,ALA54-G55*MAX(0,CA55*ALA54-(IZ55+MM55)))),ALA54*(1-MAX(0,CA55)*H_Exit))</f>
        <v>0</v>
      </c>
      <c r="FO55" s="20" t="n">
        <f aca="false">IF(H_Direct=1,IF(ALB54&lt;=0,0,IF(CB55&lt;=0,ALB54,ALB54-G55*MAX(0,CB55*ALB54-(JA55+MN55)))),ALB54*(1-MAX(0,CB55)*H_Exit))</f>
        <v>0</v>
      </c>
      <c r="FP55" s="20" t="n">
        <f aca="false">IF(H_Direct=1,IF(ALC54&lt;=0,0,IF(CC55&lt;=0,ALC54,ALC54-G55*MAX(0,CC55*ALC54-(JB55+MO55)))),ALC54*(1-MAX(0,CC55)*H_Exit))</f>
        <v>0</v>
      </c>
      <c r="FQ55" s="20" t="n">
        <f aca="false">IF(H_Direct=1,IF(ALD54&lt;=0,0,IF(CD55&lt;=0,ALD54,ALD54-G55*MAX(0,CD55*ALD54-(JC55+MP55)))),ALD54*(1-MAX(0,CD55)*H_Exit))</f>
        <v>0</v>
      </c>
      <c r="FR55" s="20" t="n">
        <f aca="false">IF(H_Direct=1,IF(ALE54&lt;=0,0,IF(CE55&lt;=0,ALE54,ALE54-G55*MAX(0,CE55*ALE54-(JD55+MQ55)))),ALE54*(1-MAX(0,CE55)*H_Exit))</f>
        <v>0</v>
      </c>
      <c r="FS55" s="20" t="n">
        <f aca="false">IF(H_Direct=1,IF(ALF54&lt;=0,0,IF(CF55&lt;=0,ALF54,ALF54-G55*MAX(0,CF55*ALF54-(JE55+MR55)))),ALF54*(1-MAX(0,CF55)*H_Exit))</f>
        <v>0</v>
      </c>
      <c r="FT55" s="20" t="n">
        <f aca="false">IF(H_Direct=1,IF(ALG54&lt;=0,0,IF(CG55&lt;=0,ALG54,ALG54-G55*MAX(0,CG55*ALG54-(JF55+MS55)))),ALG54*(1-MAX(0,CG55)*H_Exit))</f>
        <v>0</v>
      </c>
      <c r="FU55" s="20" t="n">
        <f aca="false">IF(H_Direct=1,IF(ALH54&lt;=0,0,IF(CH55&lt;=0,ALH54,ALH54-G55*MAX(0,CH55*ALH54-(JG55+MT55)))),ALH54*(1-MAX(0,CH55)*H_Exit))</f>
        <v>0</v>
      </c>
      <c r="FV55" s="20" t="n">
        <f aca="false">IF(H_Direct=1,IF(ALI54&lt;=0,0,IF(CI55&lt;=0,ALI54,ALI54-G55*MAX(0,CI55*ALI54-(JH55+MU55)))),ALI54*(1-MAX(0,CI55)*H_Exit))</f>
        <v>0</v>
      </c>
      <c r="FW55" s="20" t="n">
        <f aca="false">IF(H_Direct=1,IF(ALJ54&lt;=0,0,IF(CJ55&lt;=0,ALJ54,ALJ54-G55*MAX(0,CJ55*ALJ54-(JI55+MV55)))),ALJ54*(1-MAX(0,CJ55)*H_Exit))</f>
        <v>0</v>
      </c>
      <c r="FX55" s="20" t="n">
        <f aca="false">IF(H_Direct=1,IF(ALK54&lt;=0,0,IF(CK55&lt;=0,ALK54,ALK54-G55*MAX(0,CK55*ALK54-(JJ55+MW55)))),ALK54*(1-MAX(0,CK55)*H_Exit))</f>
        <v>0</v>
      </c>
      <c r="FY55" s="20" t="n">
        <f aca="false">IF(H_Direct=1,IF(ALL54&lt;=0,0,IF(CL55&lt;=0,ALL54,ALL54-G55*MAX(0,CL55*ALL54-(JK55+MX55)))),ALL54*(1-MAX(0,CL55)*H_Exit))</f>
        <v>0</v>
      </c>
      <c r="FZ55" s="20" t="n">
        <f aca="false">IF(H_Direct=1,IF(ALM54&lt;=0,0,IF(CM55&lt;=0,ALM54,ALM54-G55*MAX(0,CM55*ALM54-(JL55+MY55)))),ALM54*(1-MAX(0,CM55)*H_Exit))</f>
        <v>0</v>
      </c>
      <c r="GA55" s="20" t="n">
        <f aca="false">IF(H_Direct=1,IF(ALN54&lt;=0,0,IF(CN55&lt;=0,ALN54,ALN54-G55*MAX(0,CN55*ALN54-(JM55+MZ55)))),ALN54*(1-MAX(0,CN55)*H_Exit))</f>
        <v>0</v>
      </c>
      <c r="GB55" s="20" t="n">
        <f aca="false">IF(H_Direct=1,IF(ALO54&lt;=0,0,IF(CO55&lt;=0,ALO54,ALO54-G55*MAX(0,CO55*ALO54-(JN55+NA55)))),ALO54*(1-MAX(0,CO55)*H_Exit))</f>
        <v>0</v>
      </c>
      <c r="GC55" s="20" t="n">
        <f aca="false">IF(H_Direct=1,IF(ALP54&lt;=0,0,IF(CP55&lt;=0,ALP54,ALP54-G55*MAX(0,CP55*ALP54-(JO55+NB55)))),ALP54*(1-MAX(0,CP55)*H_Exit))</f>
        <v>0</v>
      </c>
      <c r="GD55" s="20" t="n">
        <f aca="false">IF(H_Direct=1,IF(ALQ54&lt;=0,0,IF(CQ55&lt;=0,ALQ54,ALQ54-G55*MAX(0,CQ55*ALQ54-(JP55+NC55)))),ALQ54*(1-MAX(0,CQ55)*H_Exit))</f>
        <v>0</v>
      </c>
      <c r="GE55" s="20" t="n">
        <f aca="false">IF(H_Direct=1,IF(ALR54&lt;=0,0,IF(CR55&lt;=0,ALR54,ALR54-G55*MAX(0,CR55*ALR54-(JQ55+ND55)))),ALR54*(1-MAX(0,CR55)*H_Exit))</f>
        <v>0</v>
      </c>
      <c r="GF55" s="20" t="n">
        <f aca="false">IF(H_Direct=1,IF(ALS54&lt;=0,0,IF(CS55&lt;=0,ALS54,ALS54-G55*MAX(0,CS55*ALS54-(JR55+NE55)))),ALS54*(1-MAX(0,CS55)*H_Exit))</f>
        <v>0</v>
      </c>
      <c r="GG55" s="20" t="n">
        <f aca="false">IF(H_Direct=1,IF(ALT54&lt;=0,0,IF(CT55&lt;=0,ALT54,ALT54-G55*MAX(0,CT55*ALT54-(JS55+NF55)))),ALT54*(1-MAX(0,CT55)*H_Exit))</f>
        <v>0</v>
      </c>
      <c r="GH55" s="20" t="n">
        <f aca="false">IF(H_Direct=1,IF(ALU54&lt;=0,0,IF(CU55&lt;=0,ALU54,ALU54-G55*MAX(0,CU55*ALU54-(JT55+NG55)))),ALU54*(1-MAX(0,CU55)*H_Exit))</f>
        <v>0</v>
      </c>
      <c r="GI55" s="20" t="n">
        <f aca="false">IF(H_Direct=1,IF(ALV54&lt;=0,0,IF(CV55&lt;=0,ALV54,ALV54-G55*MAX(0,CV55*ALV54-(JU55+NH55)))),ALV54*(1-MAX(0,CV55)*H_Exit))</f>
        <v>0</v>
      </c>
      <c r="GJ55" s="20" t="n">
        <f aca="false">IF(H_Direct=1,IF(ALW54&lt;=0,0,IF(CW55&lt;=0,ALW54,ALW54-G55*MAX(0,CW55*ALW54-(JV55+NI55)))),ALW54*(1-MAX(0,CW55)*H_Exit))</f>
        <v>0</v>
      </c>
      <c r="GK55" s="20" t="n">
        <f aca="false">IF(H_Direct=1,IF(ALX54&lt;=0,0,IF(CX55&lt;=0,ALX54,ALX54-G55*MAX(0,CX55*ALX54-(JW55+NJ55)))),ALX54*(1-MAX(0,CX55)*H_Exit))</f>
        <v>0</v>
      </c>
      <c r="GL55" s="20" t="n">
        <f aca="false">IF(H_Direct=1,IF(ALY54&lt;=0,0,IF(CY55&lt;=0,ALY54,ALY54-G55*MAX(0,CY55*ALY54-(JX55+NK55)))),ALY54*(1-MAX(0,CY55)*H_Exit))</f>
        <v>0</v>
      </c>
      <c r="GM55" s="20" t="n">
        <f aca="false">IF(H_Direct=1,IF(ALZ54&lt;=0,0,IF(CZ55&lt;=0,ALZ54,ALZ54-G55*MAX(0,CZ55*ALZ54-(JY55+NL55)))),ALZ54*(1-MAX(0,CZ55)*H_Exit))</f>
        <v>0</v>
      </c>
      <c r="GN55" s="20" t="n">
        <f aca="false">IF(H_Direct=1,IF(AMA54&lt;=0,0,IF(DA55&lt;=0,AMA54,AMA54-G55*MAX(0,DA55*AMA54-(JZ55+NM55)))),AMA54*(1-MAX(0,DA55)*H_Exit))</f>
        <v>0</v>
      </c>
      <c r="GO55" s="20" t="n">
        <f aca="false">IF(H_Direct=1,IF(AMB54&lt;=0,0,IF(DB55&lt;=0,AMB54,AMB54-G55*MAX(0,DB55*AMB54-(KA55+NN55)))),AMB54*(1-MAX(0,DB55)*H_Exit))</f>
        <v>0</v>
      </c>
      <c r="GP55" s="20" t="n">
        <f aca="false">IF(H_Direct=1,IF(AMC54&lt;=0,0,IF(DC55&lt;=0,AMC54,AMC54-G55*MAX(0,DC55*AMC54-(KB55+NO55)))),AMC54*(1-MAX(0,DC55)*H_Exit))</f>
        <v>0</v>
      </c>
      <c r="GQ55" s="20" t="n">
        <f aca="false">IF(H_Direct=1,IF(AMD54&lt;=0,0,IF(DD55&lt;=0,AMD54,AMD54-G55*MAX(0,DD55*AMD54-(KC55+NP55)))),AMD54*(1-MAX(0,DD55)*H_Exit))</f>
        <v>0</v>
      </c>
      <c r="GR55" s="20" t="n">
        <f aca="false">IF(H_Direct=1,IF(AME54&lt;=0,0,IF(DE55&lt;=0,AME54,AME54-G55*MAX(0,DE55*AME54-(KD55+NQ55)))),AME54*(1-MAX(0,DE55)*H_Exit))</f>
        <v>0</v>
      </c>
      <c r="GS55" s="20" t="n">
        <f aca="false">IF(H_Direct=1,IF(AMF54&lt;=0,0,IF(DF55&lt;=0,AMF54,AMF54-G55*MAX(0,DF55*AMF54-(KE55+NR55)))),AMF54*(1-MAX(0,DF55)*H_Exit))</f>
        <v>0</v>
      </c>
      <c r="GT55" s="20" t="n">
        <f aca="false">IF(H_Direct=1,IF(AMG54&lt;=0,0,IF(DG55&lt;=0,AMG54,AMG54-G55*MAX(0,DG55*AMG54-(KF55+NS55)))),AMG54*(1-MAX(0,DG55)*H_Exit))</f>
        <v>0</v>
      </c>
      <c r="GU55" s="20" t="n">
        <f aca="false">IF(H_Direct=1,IF(AMH54&lt;=0,0,IF(DH55&lt;=0,AMH54,AMH54-G55*MAX(0,DH55*AMH54-(KG55+NT55)))),AMH54*(1-MAX(0,DH55)*H_Exit))</f>
        <v>0</v>
      </c>
      <c r="GV55" s="20" t="n">
        <f aca="false">IF(H_Direct=1,IF(AMI54&lt;=0,0,IF(DI55&lt;=0,AMI54,AMI54-G55*MAX(0,DI55*AMI54-(KH55+NU55)))),AMI54*(1-MAX(0,DI55)*H_Exit))</f>
        <v>0</v>
      </c>
      <c r="GW55" s="20" t="n">
        <f aca="false">IF(H_Direct=1,IF(AMJ54&lt;=0,0,IF(DJ55&lt;=0,AMJ54,AMJ54-G55*MAX(0,DJ55*AMJ54-(KI55+NV55)))),AMJ54*(1-MAX(0,DJ55)*H_Exit))</f>
        <v>0</v>
      </c>
      <c r="GX55" s="20" t="n">
        <f aca="false">IF(H_Direct=1,IF(AMK54&lt;=0,0,IF(DK55&lt;=0,AMK54,AMK54-G55*MAX(0,DK55*AMK54-(KJ55+NW55)))),AMK54*(1-MAX(0,DK55)*H_Exit))</f>
        <v>0</v>
      </c>
      <c r="GY55" s="20" t="n">
        <f aca="false">IF(H_Direct=1,IF(AML54&lt;=0,0,IF(DL55&lt;=0,AML54,AML54-G55*MAX(0,DL55*AML54-(KK55+NX55)))),AML54*(1-MAX(0,DL55)*H_Exit))</f>
        <v>0</v>
      </c>
      <c r="GZ55" s="20" t="n">
        <f aca="false">IF(H_Direct=1,IF(AMM54&lt;=0,0,IF(DM55&lt;=0,AMM54,AMM54-G55*MAX(0,DM55*AMM54-(KL55+NY55)))),AMM54*(1-MAX(0,DM55)*H_Exit))</f>
        <v>0</v>
      </c>
      <c r="HA55" s="20" t="n">
        <f aca="false">IF(H_Direct=1,IF((P55+S55)&lt;=0,0,IF(DN55&lt;=0,(P55+S55),(P55+S55)-G55*MAX(0,DN55*(P55+S55)-(KM55+NZ55)))),(P55+S55)*(1-MAX(0,DN55)*H_Exit))</f>
        <v>0</v>
      </c>
      <c r="HB55" s="20" t="n">
        <v>0</v>
      </c>
      <c r="HC55" s="20" t="n">
        <v>0</v>
      </c>
      <c r="HD55" s="20" t="n">
        <v>0</v>
      </c>
      <c r="HE55" s="20" t="n">
        <v>0</v>
      </c>
      <c r="HF55" s="20" t="n">
        <v>0</v>
      </c>
      <c r="HG55" s="20" t="n">
        <v>0</v>
      </c>
      <c r="HH55" s="20" t="n">
        <v>0</v>
      </c>
      <c r="HI55" s="20" t="n">
        <v>0</v>
      </c>
      <c r="HJ55" s="20" t="n">
        <v>0</v>
      </c>
      <c r="HK55" s="20" t="n">
        <v>0</v>
      </c>
      <c r="HL55" s="20" t="n">
        <v>0</v>
      </c>
      <c r="HM55" s="20" t="n">
        <v>0</v>
      </c>
      <c r="HN55" s="20" t="n">
        <v>0</v>
      </c>
      <c r="HO55" s="20" t="n">
        <v>0</v>
      </c>
      <c r="HP55" s="20" t="n">
        <v>0</v>
      </c>
      <c r="HQ55" s="20" t="n">
        <v>0</v>
      </c>
      <c r="HR55" s="20" t="n">
        <v>0</v>
      </c>
      <c r="HS55" s="20" t="n">
        <v>0</v>
      </c>
      <c r="HT55" s="20" t="n">
        <v>0</v>
      </c>
      <c r="HU55" s="20" t="n">
        <v>0</v>
      </c>
      <c r="HV55" s="20" t="n">
        <v>0</v>
      </c>
      <c r="HW55" s="20" t="n">
        <v>0</v>
      </c>
      <c r="HX55" s="20" t="n">
        <v>0</v>
      </c>
      <c r="HY55" s="20" t="n">
        <v>0</v>
      </c>
      <c r="HZ55" s="20" t="n">
        <v>0</v>
      </c>
      <c r="IA55" s="20" t="n">
        <v>0</v>
      </c>
      <c r="IB55" s="20" t="n">
        <v>0</v>
      </c>
      <c r="IC55" s="20" t="n">
        <v>0</v>
      </c>
      <c r="ID55" s="20" t="n">
        <v>0</v>
      </c>
      <c r="IE55" s="20" t="n">
        <v>0</v>
      </c>
      <c r="IF55" s="20" t="n">
        <v>0</v>
      </c>
      <c r="IG55" s="20" t="n">
        <v>0</v>
      </c>
      <c r="IH55" s="20" t="n">
        <v>0</v>
      </c>
      <c r="II55" s="20" t="n">
        <v>0</v>
      </c>
      <c r="IJ55" s="20" t="n">
        <v>0</v>
      </c>
      <c r="IK55" s="20" t="n">
        <v>0</v>
      </c>
      <c r="IL55" s="20" t="n">
        <v>0</v>
      </c>
      <c r="IM55" s="20" t="n">
        <v>0</v>
      </c>
      <c r="IN55" s="20" t="n">
        <v>0</v>
      </c>
      <c r="IO55" s="20" t="n">
        <v>0</v>
      </c>
      <c r="IP55" s="20" t="n">
        <v>0</v>
      </c>
      <c r="IQ55" s="20" t="n">
        <v>0</v>
      </c>
      <c r="IR55" s="20" t="n">
        <f aca="false">IF(AND(H_Direct=1,BR55&gt;0),MAX(0,H55-(MIN(BR55*AKR54,H55+I55)-MIN(MIN(BR55*AKR54,H55+I55),I55))),H55)</f>
        <v>1270</v>
      </c>
      <c r="IS55" s="20" t="n">
        <f aca="false">IF(AND(H_Direct=1,BS55&gt;0),MAX(0,IR55-(MIN(BS55*AKS54,IR55+ME55)-MIN(MIN(BS55*AKS54,IR55+ME55),ME55))),IR55)</f>
        <v>1270</v>
      </c>
      <c r="IT55" s="20" t="n">
        <f aca="false">IF(AND(H_Direct=1,BT55&gt;0),MAX(0,IS55-(MIN(BT55*AKT54,IS55+MF55)-MIN(MIN(BT55*AKT54,IS55+MF55),MF55))),IS55)</f>
        <v>1270</v>
      </c>
      <c r="IU55" s="20" t="n">
        <f aca="false">IF(AND(H_Direct=1,BU55&gt;0),MAX(0,IT55-(MIN(BU55*AKU54,IT55+MG55)-MIN(MIN(BU55*AKU54,IT55+MG55),MG55))),IT55)</f>
        <v>1270</v>
      </c>
      <c r="IV55" s="20" t="n">
        <f aca="false">IF(AND(H_Direct=1,BV55&gt;0),MAX(0,IU55-(MIN(BV55*AKV54,IU55+MH55)-MIN(MIN(BV55*AKV54,IU55+MH55),MH55))),IU55)</f>
        <v>1270</v>
      </c>
      <c r="IW55" s="20" t="n">
        <f aca="false">IF(AND(H_Direct=1,BW55&gt;0),MAX(0,IV55-(MIN(BW55*AKW54,IV55+MI55)-MIN(MIN(BW55*AKW54,IV55+MI55),MI55))),IV55)</f>
        <v>1270</v>
      </c>
      <c r="IX55" s="20" t="n">
        <f aca="false">IF(AND(H_Direct=1,BX55&gt;0),MAX(0,IW55-(MIN(BX55*AKX54,IW55+MJ55)-MIN(MIN(BX55*AKX54,IW55+MJ55),MJ55))),IW55)</f>
        <v>1270</v>
      </c>
      <c r="IY55" s="20" t="n">
        <f aca="false">IF(AND(H_Direct=1,BY55&gt;0),MAX(0,IX55-(MIN(BY55*AKY54,IX55+MK55)-MIN(MIN(BY55*AKY54,IX55+MK55),MK55))),IX55)</f>
        <v>1270</v>
      </c>
      <c r="IZ55" s="20" t="n">
        <f aca="false">IF(AND(H_Direct=1,BZ55&gt;0),MAX(0,IY55-(MIN(BZ55*AKZ54,IY55+ML55)-MIN(MIN(BZ55*AKZ54,IY55+ML55),ML55))),IY55)</f>
        <v>1270</v>
      </c>
      <c r="JA55" s="20" t="n">
        <f aca="false">IF(AND(H_Direct=1,CA55&gt;0),MAX(0,IZ55-(MIN(CA55*ALA54,IZ55+MM55)-MIN(MIN(CA55*ALA54,IZ55+MM55),MM55))),IZ55)</f>
        <v>1270</v>
      </c>
      <c r="JB55" s="20" t="n">
        <f aca="false">IF(AND(H_Direct=1,CB55&gt;0),MAX(0,JA55-(MIN(CB55*ALB54,JA55+MN55)-MIN(MIN(CB55*ALB54,JA55+MN55),MN55))),JA55)</f>
        <v>1270</v>
      </c>
      <c r="JC55" s="20" t="n">
        <f aca="false">IF(AND(H_Direct=1,CC55&gt;0),MAX(0,JB55-(MIN(CC55*ALC54,JB55+MO55)-MIN(MIN(CC55*ALC54,JB55+MO55),MO55))),JB55)</f>
        <v>1270</v>
      </c>
      <c r="JD55" s="20" t="n">
        <f aca="false">IF(AND(H_Direct=1,CD55&gt;0),MAX(0,JC55-(MIN(CD55*ALD54,JC55+MP55)-MIN(MIN(CD55*ALD54,JC55+MP55),MP55))),JC55)</f>
        <v>1270</v>
      </c>
      <c r="JE55" s="20" t="n">
        <f aca="false">IF(AND(H_Direct=1,CE55&gt;0),MAX(0,JD55-(MIN(CE55*ALE54,JD55+MQ55)-MIN(MIN(CE55*ALE54,JD55+MQ55),MQ55))),JD55)</f>
        <v>1270</v>
      </c>
      <c r="JF55" s="20" t="n">
        <f aca="false">IF(AND(H_Direct=1,CF55&gt;0),MAX(0,JE55-(MIN(CF55*ALF54,JE55+MR55)-MIN(MIN(CF55*ALF54,JE55+MR55),MR55))),JE55)</f>
        <v>1270</v>
      </c>
      <c r="JG55" s="20" t="n">
        <f aca="false">IF(AND(H_Direct=1,CG55&gt;0),MAX(0,JF55-(MIN(CG55*ALG54,JF55+MS55)-MIN(MIN(CG55*ALG54,JF55+MS55),MS55))),JF55)</f>
        <v>1270</v>
      </c>
      <c r="JH55" s="20" t="n">
        <f aca="false">IF(AND(H_Direct=1,CH55&gt;0),MAX(0,JG55-(MIN(CH55*ALH54,JG55+MT55)-MIN(MIN(CH55*ALH54,JG55+MT55),MT55))),JG55)</f>
        <v>1270</v>
      </c>
      <c r="JI55" s="20" t="n">
        <f aca="false">IF(AND(H_Direct=1,CI55&gt;0),MAX(0,JH55-(MIN(CI55*ALI54,JH55+MU55)-MIN(MIN(CI55*ALI54,JH55+MU55),MU55))),JH55)</f>
        <v>1270</v>
      </c>
      <c r="JJ55" s="20" t="n">
        <f aca="false">IF(AND(H_Direct=1,CJ55&gt;0),MAX(0,JI55-(MIN(CJ55*ALJ54,JI55+MV55)-MIN(MIN(CJ55*ALJ54,JI55+MV55),MV55))),JI55)</f>
        <v>1270</v>
      </c>
      <c r="JK55" s="20" t="n">
        <f aca="false">IF(AND(H_Direct=1,CK55&gt;0),MAX(0,JJ55-(MIN(CK55*ALK54,JJ55+MW55)-MIN(MIN(CK55*ALK54,JJ55+MW55),MW55))),JJ55)</f>
        <v>1270</v>
      </c>
      <c r="JL55" s="20" t="n">
        <f aca="false">IF(AND(H_Direct=1,CL55&gt;0),MAX(0,JK55-(MIN(CL55*ALL54,JK55+MX55)-MIN(MIN(CL55*ALL54,JK55+MX55),MX55))),JK55)</f>
        <v>1270</v>
      </c>
      <c r="JM55" s="20" t="n">
        <f aca="false">IF(AND(H_Direct=1,CM55&gt;0),MAX(0,JL55-(MIN(CM55*ALM54,JL55+MY55)-MIN(MIN(CM55*ALM54,JL55+MY55),MY55))),JL55)</f>
        <v>1270</v>
      </c>
      <c r="JN55" s="20" t="n">
        <f aca="false">IF(AND(H_Direct=1,CN55&gt;0),MAX(0,JM55-(MIN(CN55*ALN54,JM55+MZ55)-MIN(MIN(CN55*ALN54,JM55+MZ55),MZ55))),JM55)</f>
        <v>1270</v>
      </c>
      <c r="JO55" s="20" t="n">
        <f aca="false">IF(AND(H_Direct=1,CO55&gt;0),MAX(0,JN55-(MIN(CO55*ALO54,JN55+NA55)-MIN(MIN(CO55*ALO54,JN55+NA55),NA55))),JN55)</f>
        <v>1270</v>
      </c>
      <c r="JP55" s="20" t="n">
        <f aca="false">IF(AND(H_Direct=1,CP55&gt;0),MAX(0,JO55-(MIN(CP55*ALP54,JO55+NB55)-MIN(MIN(CP55*ALP54,JO55+NB55),NB55))),JO55)</f>
        <v>1270</v>
      </c>
      <c r="JQ55" s="20" t="n">
        <f aca="false">IF(AND(H_Direct=1,CQ55&gt;0),MAX(0,JP55-(MIN(CQ55*ALQ54,JP55+NC55)-MIN(MIN(CQ55*ALQ54,JP55+NC55),NC55))),JP55)</f>
        <v>1270</v>
      </c>
      <c r="JR55" s="20" t="n">
        <f aca="false">IF(AND(H_Direct=1,CR55&gt;0),MAX(0,JQ55-(MIN(CR55*ALR54,JQ55+ND55)-MIN(MIN(CR55*ALR54,JQ55+ND55),ND55))),JQ55)</f>
        <v>1270</v>
      </c>
      <c r="JS55" s="20" t="n">
        <f aca="false">IF(AND(H_Direct=1,CS55&gt;0),MAX(0,JR55-(MIN(CS55*ALS54,JR55+NE55)-MIN(MIN(CS55*ALS54,JR55+NE55),NE55))),JR55)</f>
        <v>1270</v>
      </c>
      <c r="JT55" s="20" t="n">
        <f aca="false">IF(AND(H_Direct=1,CT55&gt;0),MAX(0,JS55-(MIN(CT55*ALT54,JS55+NF55)-MIN(MIN(CT55*ALT54,JS55+NF55),NF55))),JS55)</f>
        <v>1270</v>
      </c>
      <c r="JU55" s="20" t="n">
        <f aca="false">IF(AND(H_Direct=1,CU55&gt;0),MAX(0,JT55-(MIN(CU55*ALU54,JT55+NG55)-MIN(MIN(CU55*ALU54,JT55+NG55),NG55))),JT55)</f>
        <v>1270</v>
      </c>
      <c r="JV55" s="20" t="n">
        <f aca="false">IF(AND(H_Direct=1,CV55&gt;0),MAX(0,JU55-(MIN(CV55*ALV54,JU55+NH55)-MIN(MIN(CV55*ALV54,JU55+NH55),NH55))),JU55)</f>
        <v>1270</v>
      </c>
      <c r="JW55" s="20" t="n">
        <f aca="false">IF(AND(H_Direct=1,CW55&gt;0),MAX(0,JV55-(MIN(CW55*ALW54,JV55+NI55)-MIN(MIN(CW55*ALW54,JV55+NI55),NI55))),JV55)</f>
        <v>1270</v>
      </c>
      <c r="JX55" s="20" t="n">
        <f aca="false">IF(AND(H_Direct=1,CX55&gt;0),MAX(0,JW55-(MIN(CX55*ALX54,JW55+NJ55)-MIN(MIN(CX55*ALX54,JW55+NJ55),NJ55))),JW55)</f>
        <v>1270</v>
      </c>
      <c r="JY55" s="20" t="n">
        <f aca="false">IF(AND(H_Direct=1,CY55&gt;0),MAX(0,JX55-(MIN(CY55*ALY54,JX55+NK55)-MIN(MIN(CY55*ALY54,JX55+NK55),NK55))),JX55)</f>
        <v>1270</v>
      </c>
      <c r="JZ55" s="20" t="n">
        <f aca="false">IF(AND(H_Direct=1,CZ55&gt;0),MAX(0,JY55-(MIN(CZ55*ALZ54,JY55+NL55)-MIN(MIN(CZ55*ALZ54,JY55+NL55),NL55))),JY55)</f>
        <v>1270</v>
      </c>
      <c r="KA55" s="20" t="n">
        <f aca="false">IF(AND(H_Direct=1,DA55&gt;0),MAX(0,JZ55-(MIN(DA55*AMA54,JZ55+NM55)-MIN(MIN(DA55*AMA54,JZ55+NM55),NM55))),JZ55)</f>
        <v>1270</v>
      </c>
      <c r="KB55" s="20" t="n">
        <f aca="false">IF(AND(H_Direct=1,DB55&gt;0),MAX(0,KA55-(MIN(DB55*AMB54,KA55+NN55)-MIN(MIN(DB55*AMB54,KA55+NN55),NN55))),KA55)</f>
        <v>1270</v>
      </c>
      <c r="KC55" s="20" t="n">
        <f aca="false">IF(AND(H_Direct=1,DC55&gt;0),MAX(0,KB55-(MIN(DC55*AMC54,KB55+NO55)-MIN(MIN(DC55*AMC54,KB55+NO55),NO55))),KB55)</f>
        <v>1270</v>
      </c>
      <c r="KD55" s="20" t="n">
        <f aca="false">IF(AND(H_Direct=1,DD55&gt;0),MAX(0,KC55-(MIN(DD55*AMD54,KC55+NP55)-MIN(MIN(DD55*AMD54,KC55+NP55),NP55))),KC55)</f>
        <v>1270</v>
      </c>
      <c r="KE55" s="20" t="n">
        <f aca="false">IF(AND(H_Direct=1,DE55&gt;0),MAX(0,KD55-(MIN(DE55*AME54,KD55+NQ55)-MIN(MIN(DE55*AME54,KD55+NQ55),NQ55))),KD55)</f>
        <v>1270</v>
      </c>
      <c r="KF55" s="20" t="n">
        <f aca="false">IF(AND(H_Direct=1,DF55&gt;0),MAX(0,KE55-(MIN(DF55*AMF54,KE55+NR55)-MIN(MIN(DF55*AMF54,KE55+NR55),NR55))),KE55)</f>
        <v>1270</v>
      </c>
      <c r="KG55" s="20" t="n">
        <f aca="false">IF(AND(H_Direct=1,DG55&gt;0),MAX(0,KF55-(MIN(DG55*AMG54,KF55+NS55)-MIN(MIN(DG55*AMG54,KF55+NS55),NS55))),KF55)</f>
        <v>1270</v>
      </c>
      <c r="KH55" s="20" t="n">
        <f aca="false">IF(AND(H_Direct=1,DH55&gt;0),MAX(0,KG55-(MIN(DH55*AMH54,KG55+NT55)-MIN(MIN(DH55*AMH54,KG55+NT55),NT55))),KG55)</f>
        <v>1270</v>
      </c>
      <c r="KI55" s="20" t="n">
        <f aca="false">IF(AND(H_Direct=1,DI55&gt;0),MAX(0,KH55-(MIN(DI55*AMI54,KH55+NU55)-MIN(MIN(DI55*AMI54,KH55+NU55),NU55))),KH55)</f>
        <v>1270</v>
      </c>
      <c r="KJ55" s="20" t="n">
        <f aca="false">IF(AND(H_Direct=1,DJ55&gt;0),MAX(0,KI55-(MIN(DJ55*AMJ54,KI55+NV55)-MIN(MIN(DJ55*AMJ54,KI55+NV55),NV55))),KI55)</f>
        <v>1270</v>
      </c>
      <c r="KK55" s="20" t="n">
        <f aca="false">IF(AND(H_Direct=1,DK55&gt;0),MAX(0,KJ55-(MIN(DK55*AMK54,KJ55+NW55)-MIN(MIN(DK55*AMK54,KJ55+NW55),NW55))),KJ55)</f>
        <v>1270</v>
      </c>
      <c r="KL55" s="20" t="n">
        <f aca="false">IF(AND(H_Direct=1,DL55&gt;0),MAX(0,KK55-(MIN(DL55*AML54,KK55+NX55)-MIN(MIN(DL55*AML54,KK55+NX55),NX55))),KK55)</f>
        <v>1270</v>
      </c>
      <c r="KM55" s="20" t="n">
        <f aca="false">IF(AND(H_Direct=1,DM55&gt;0),MAX(0,KL55-(MIN(DM55*AMM54,KL55+NY55)-MIN(MIN(DM55*AMM54,KL55+NY55),NY55))),KL55)</f>
        <v>1270</v>
      </c>
      <c r="KN55" s="20" t="n">
        <f aca="false">IF(AND(H_Direct=1,DN55&gt;0),MAX(0,KM55-(MIN(DN55*(P55+S55),KM55+NZ55)-MIN(MIN(DN55*(P55+S55),KM55+NZ55),NZ55))),KM55)</f>
        <v>1270</v>
      </c>
      <c r="KO55" s="20" t="n">
        <f aca="false">KN55</f>
        <v>1270</v>
      </c>
      <c r="KP55" s="20" t="n">
        <f aca="false">KO55</f>
        <v>1270</v>
      </c>
      <c r="KQ55" s="20" t="n">
        <f aca="false">KP55</f>
        <v>1270</v>
      </c>
      <c r="KR55" s="20" t="n">
        <f aca="false">KQ55</f>
        <v>1270</v>
      </c>
      <c r="KS55" s="20" t="n">
        <f aca="false">KR55</f>
        <v>1270</v>
      </c>
      <c r="KT55" s="20" t="n">
        <f aca="false">KS55</f>
        <v>1270</v>
      </c>
      <c r="KU55" s="20" t="n">
        <f aca="false">KT55</f>
        <v>1270</v>
      </c>
      <c r="KV55" s="20" t="n">
        <f aca="false">KU55</f>
        <v>1270</v>
      </c>
      <c r="KW55" s="20" t="n">
        <f aca="false">KV55</f>
        <v>1270</v>
      </c>
      <c r="KX55" s="20" t="n">
        <f aca="false">KW55</f>
        <v>1270</v>
      </c>
      <c r="KY55" s="20" t="n">
        <f aca="false">KX55</f>
        <v>1270</v>
      </c>
      <c r="KZ55" s="20" t="n">
        <f aca="false">KY55</f>
        <v>1270</v>
      </c>
      <c r="LA55" s="20" t="n">
        <f aca="false">KZ55</f>
        <v>1270</v>
      </c>
      <c r="LB55" s="20" t="n">
        <f aca="false">LA55</f>
        <v>1270</v>
      </c>
      <c r="LC55" s="20" t="n">
        <f aca="false">LB55</f>
        <v>1270</v>
      </c>
      <c r="LD55" s="20" t="n">
        <f aca="false">LC55</f>
        <v>1270</v>
      </c>
      <c r="LE55" s="20" t="n">
        <f aca="false">LD55</f>
        <v>1270</v>
      </c>
      <c r="LF55" s="20" t="n">
        <f aca="false">LE55</f>
        <v>1270</v>
      </c>
      <c r="LG55" s="20" t="n">
        <f aca="false">LF55</f>
        <v>1270</v>
      </c>
      <c r="LH55" s="20" t="n">
        <f aca="false">LG55</f>
        <v>1270</v>
      </c>
      <c r="LI55" s="20" t="n">
        <f aca="false">LH55</f>
        <v>1270</v>
      </c>
      <c r="LJ55" s="20" t="n">
        <f aca="false">LI55</f>
        <v>1270</v>
      </c>
      <c r="LK55" s="20" t="n">
        <f aca="false">LJ55</f>
        <v>1270</v>
      </c>
      <c r="LL55" s="20" t="n">
        <f aca="false">LK55</f>
        <v>1270</v>
      </c>
      <c r="LM55" s="20" t="n">
        <f aca="false">LL55</f>
        <v>1270</v>
      </c>
      <c r="LN55" s="20" t="n">
        <f aca="false">LM55</f>
        <v>1270</v>
      </c>
      <c r="LO55" s="20" t="n">
        <f aca="false">LN55</f>
        <v>1270</v>
      </c>
      <c r="LP55" s="20" t="n">
        <f aca="false">LO55</f>
        <v>1270</v>
      </c>
      <c r="LQ55" s="20" t="n">
        <f aca="false">LP55</f>
        <v>1270</v>
      </c>
      <c r="LR55" s="20" t="n">
        <f aca="false">LQ55</f>
        <v>1270</v>
      </c>
      <c r="LS55" s="20" t="n">
        <f aca="false">LR55</f>
        <v>1270</v>
      </c>
      <c r="LT55" s="20" t="n">
        <f aca="false">LS55</f>
        <v>1270</v>
      </c>
      <c r="LU55" s="20" t="n">
        <f aca="false">LT55</f>
        <v>1270</v>
      </c>
      <c r="LV55" s="20" t="n">
        <f aca="false">LU55</f>
        <v>1270</v>
      </c>
      <c r="LW55" s="20" t="n">
        <f aca="false">LV55</f>
        <v>1270</v>
      </c>
      <c r="LX55" s="20" t="n">
        <f aca="false">LW55</f>
        <v>1270</v>
      </c>
      <c r="LY55" s="20" t="n">
        <f aca="false">LX55</f>
        <v>1270</v>
      </c>
      <c r="LZ55" s="20" t="n">
        <f aca="false">LY55</f>
        <v>1270</v>
      </c>
      <c r="MA55" s="20" t="n">
        <f aca="false">LZ55</f>
        <v>1270</v>
      </c>
      <c r="MB55" s="20" t="n">
        <f aca="false">MA55</f>
        <v>1270</v>
      </c>
      <c r="MC55" s="20" t="n">
        <f aca="false">MB55</f>
        <v>1270</v>
      </c>
      <c r="MD55" s="20" t="n">
        <f aca="false">MC55</f>
        <v>1270</v>
      </c>
      <c r="ME55" s="20" t="n">
        <f aca="false">IF(H_Direct=1,IF(BR55&lt;=0,I55-BR55*AKR54,I55-MIN(MIN(BR55*AKR54,H55+I55),I55)),I55)</f>
        <v>0</v>
      </c>
      <c r="MF55" s="20" t="n">
        <f aca="false">IF(H_Direct=1,IF(BS55&lt;=0,ME55-BS55*AKS54,ME55-MIN(MIN(BS55*AKS54,IR55+ME55),ME55)),ME55)</f>
        <v>0</v>
      </c>
      <c r="MG55" s="20" t="n">
        <f aca="false">IF(H_Direct=1,IF(BT55&lt;=0,MF55-BT55*AKT54,MF55-MIN(MIN(BT55*AKT54,IS55+MF55),MF55)),MF55)</f>
        <v>0</v>
      </c>
      <c r="MH55" s="20" t="n">
        <f aca="false">IF(H_Direct=1,IF(BU55&lt;=0,MG55-BU55*AKU54,MG55-MIN(MIN(BU55*AKU54,IT55+MG55),MG55)),MG55)</f>
        <v>0</v>
      </c>
      <c r="MI55" s="20" t="n">
        <f aca="false">IF(H_Direct=1,IF(BV55&lt;=0,MH55-BV55*AKV54,MH55-MIN(MIN(BV55*AKV54,IU55+MH55),MH55)),MH55)</f>
        <v>0</v>
      </c>
      <c r="MJ55" s="20" t="n">
        <f aca="false">IF(H_Direct=1,IF(BW55&lt;=0,MI55-BW55*AKW54,MI55-MIN(MIN(BW55*AKW54,IV55+MI55),MI55)),MI55)</f>
        <v>0</v>
      </c>
      <c r="MK55" s="20" t="n">
        <f aca="false">IF(H_Direct=1,IF(BX55&lt;=0,MJ55-BX55*AKX54,MJ55-MIN(MIN(BX55*AKX54,IW55+MJ55),MJ55)),MJ55)</f>
        <v>0</v>
      </c>
      <c r="ML55" s="20" t="n">
        <f aca="false">IF(H_Direct=1,IF(BY55&lt;=0,MK55-BY55*AKY54,MK55-MIN(MIN(BY55*AKY54,IX55+MK55),MK55)),MK55)</f>
        <v>0</v>
      </c>
      <c r="MM55" s="20" t="n">
        <f aca="false">IF(H_Direct=1,IF(BZ55&lt;=0,ML55-BZ55*AKZ54,ML55-MIN(MIN(BZ55*AKZ54,IY55+ML55),ML55)),ML55)</f>
        <v>0</v>
      </c>
      <c r="MN55" s="20" t="n">
        <f aca="false">IF(H_Direct=1,IF(CA55&lt;=0,MM55-CA55*ALA54,MM55-MIN(MIN(CA55*ALA54,IZ55+MM55),MM55)),MM55)</f>
        <v>0</v>
      </c>
      <c r="MO55" s="20" t="n">
        <f aca="false">IF(H_Direct=1,IF(CB55&lt;=0,MN55-CB55*ALB54,MN55-MIN(MIN(CB55*ALB54,JA55+MN55),MN55)),MN55)</f>
        <v>0</v>
      </c>
      <c r="MP55" s="20" t="n">
        <f aca="false">IF(H_Direct=1,IF(CC55&lt;=0,MO55-CC55*ALC54,MO55-MIN(MIN(CC55*ALC54,JB55+MO55),MO55)),MO55)</f>
        <v>0</v>
      </c>
      <c r="MQ55" s="20" t="n">
        <f aca="false">IF(H_Direct=1,IF(CD55&lt;=0,MP55-CD55*ALD54,MP55-MIN(MIN(CD55*ALD54,JC55+MP55),MP55)),MP55)</f>
        <v>0</v>
      </c>
      <c r="MR55" s="20" t="n">
        <f aca="false">IF(H_Direct=1,IF(CE55&lt;=0,MQ55-CE55*ALE54,MQ55-MIN(MIN(CE55*ALE54,JD55+MQ55),MQ55)),MQ55)</f>
        <v>0</v>
      </c>
      <c r="MS55" s="20" t="n">
        <f aca="false">IF(H_Direct=1,IF(CF55&lt;=0,MR55-CF55*ALF54,MR55-MIN(MIN(CF55*ALF54,JE55+MR55),MR55)),MR55)</f>
        <v>0</v>
      </c>
      <c r="MT55" s="20" t="n">
        <f aca="false">IF(H_Direct=1,IF(CG55&lt;=0,MS55-CG55*ALG54,MS55-MIN(MIN(CG55*ALG54,JF55+MS55),MS55)),MS55)</f>
        <v>0</v>
      </c>
      <c r="MU55" s="20" t="n">
        <f aca="false">IF(H_Direct=1,IF(CH55&lt;=0,MT55-CH55*ALH54,MT55-MIN(MIN(CH55*ALH54,JG55+MT55),MT55)),MT55)</f>
        <v>0</v>
      </c>
      <c r="MV55" s="20" t="n">
        <f aca="false">IF(H_Direct=1,IF(CI55&lt;=0,MU55-CI55*ALI54,MU55-MIN(MIN(CI55*ALI54,JH55+MU55),MU55)),MU55)</f>
        <v>0</v>
      </c>
      <c r="MW55" s="20" t="n">
        <f aca="false">IF(H_Direct=1,IF(CJ55&lt;=0,MV55-CJ55*ALJ54,MV55-MIN(MIN(CJ55*ALJ54,JI55+MV55),MV55)),MV55)</f>
        <v>0</v>
      </c>
      <c r="MX55" s="20" t="n">
        <f aca="false">IF(H_Direct=1,IF(CK55&lt;=0,MW55-CK55*ALK54,MW55-MIN(MIN(CK55*ALK54,JJ55+MW55),MW55)),MW55)</f>
        <v>0</v>
      </c>
      <c r="MY55" s="20" t="n">
        <f aca="false">IF(H_Direct=1,IF(CL55&lt;=0,MX55-CL55*ALL54,MX55-MIN(MIN(CL55*ALL54,JK55+MX55),MX55)),MX55)</f>
        <v>0</v>
      </c>
      <c r="MZ55" s="20" t="n">
        <f aca="false">IF(H_Direct=1,IF(CM55&lt;=0,MY55-CM55*ALM54,MY55-MIN(MIN(CM55*ALM54,JL55+MY55),MY55)),MY55)</f>
        <v>0</v>
      </c>
      <c r="NA55" s="20" t="n">
        <f aca="false">IF(H_Direct=1,IF(CN55&lt;=0,MZ55-CN55*ALN54,MZ55-MIN(MIN(CN55*ALN54,JM55+MZ55),MZ55)),MZ55)</f>
        <v>0</v>
      </c>
      <c r="NB55" s="20" t="n">
        <f aca="false">IF(H_Direct=1,IF(CO55&lt;=0,NA55-CO55*ALO54,NA55-MIN(MIN(CO55*ALO54,JN55+NA55),NA55)),NA55)</f>
        <v>0</v>
      </c>
      <c r="NC55" s="20" t="n">
        <f aca="false">IF(H_Direct=1,IF(CP55&lt;=0,NB55-CP55*ALP54,NB55-MIN(MIN(CP55*ALP54,JO55+NB55),NB55)),NB55)</f>
        <v>0</v>
      </c>
      <c r="ND55" s="20" t="n">
        <f aca="false">IF(H_Direct=1,IF(CQ55&lt;=0,NC55-CQ55*ALQ54,NC55-MIN(MIN(CQ55*ALQ54,JP55+NC55),NC55)),NC55)</f>
        <v>0</v>
      </c>
      <c r="NE55" s="20" t="n">
        <f aca="false">IF(H_Direct=1,IF(CR55&lt;=0,ND55-CR55*ALR54,ND55-MIN(MIN(CR55*ALR54,JQ55+ND55),ND55)),ND55)</f>
        <v>0</v>
      </c>
      <c r="NF55" s="20" t="n">
        <f aca="false">IF(H_Direct=1,IF(CS55&lt;=0,NE55-CS55*ALS54,NE55-MIN(MIN(CS55*ALS54,JR55+NE55),NE55)),NE55)</f>
        <v>0</v>
      </c>
      <c r="NG55" s="20" t="n">
        <f aca="false">IF(H_Direct=1,IF(CT55&lt;=0,NF55-CT55*ALT54,NF55-MIN(MIN(CT55*ALT54,JS55+NF55),NF55)),NF55)</f>
        <v>0</v>
      </c>
      <c r="NH55" s="20" t="n">
        <f aca="false">IF(H_Direct=1,IF(CU55&lt;=0,NG55-CU55*ALU54,NG55-MIN(MIN(CU55*ALU54,JT55+NG55),NG55)),NG55)</f>
        <v>0</v>
      </c>
      <c r="NI55" s="20" t="n">
        <f aca="false">IF(H_Direct=1,IF(CV55&lt;=0,NH55-CV55*ALV54,NH55-MIN(MIN(CV55*ALV54,JU55+NH55),NH55)),NH55)</f>
        <v>0</v>
      </c>
      <c r="NJ55" s="20" t="n">
        <f aca="false">IF(H_Direct=1,IF(CW55&lt;=0,NI55-CW55*ALW54,NI55-MIN(MIN(CW55*ALW54,JV55+NI55),NI55)),NI55)</f>
        <v>0</v>
      </c>
      <c r="NK55" s="20" t="n">
        <f aca="false">IF(H_Direct=1,IF(CX55&lt;=0,NJ55-CX55*ALX54,NJ55-MIN(MIN(CX55*ALX54,JW55+NJ55),NJ55)),NJ55)</f>
        <v>0</v>
      </c>
      <c r="NL55" s="20" t="n">
        <f aca="false">IF(H_Direct=1,IF(CY55&lt;=0,NK55-CY55*ALY54,NK55-MIN(MIN(CY55*ALY54,JX55+NK55),NK55)),NK55)</f>
        <v>0</v>
      </c>
      <c r="NM55" s="20" t="n">
        <f aca="false">IF(H_Direct=1,IF(CZ55&lt;=0,NL55-CZ55*ALZ54,NL55-MIN(MIN(CZ55*ALZ54,JY55+NL55),NL55)),NL55)</f>
        <v>0</v>
      </c>
      <c r="NN55" s="20" t="n">
        <f aca="false">IF(H_Direct=1,IF(DA55&lt;=0,NM55-DA55*AMA54,NM55-MIN(MIN(DA55*AMA54,JZ55+NM55),NM55)),NM55)</f>
        <v>0</v>
      </c>
      <c r="NO55" s="20" t="n">
        <f aca="false">IF(H_Direct=1,IF(DB55&lt;=0,NN55-DB55*AMB54,NN55-MIN(MIN(DB55*AMB54,KA55+NN55),NN55)),NN55)</f>
        <v>0</v>
      </c>
      <c r="NP55" s="20" t="n">
        <f aca="false">IF(H_Direct=1,IF(DC55&lt;=0,NO55-DC55*AMC54,NO55-MIN(MIN(DC55*AMC54,KB55+NO55),NO55)),NO55)</f>
        <v>0</v>
      </c>
      <c r="NQ55" s="20" t="n">
        <f aca="false">IF(H_Direct=1,IF(DD55&lt;=0,NP55-DD55*AMD54,NP55-MIN(MIN(DD55*AMD54,KC55+NP55),NP55)),NP55)</f>
        <v>0</v>
      </c>
      <c r="NR55" s="20" t="n">
        <f aca="false">IF(H_Direct=1,IF(DE55&lt;=0,NQ55-DE55*AME54,NQ55-MIN(MIN(DE55*AME54,KD55+NQ55),NQ55)),NQ55)</f>
        <v>0</v>
      </c>
      <c r="NS55" s="20" t="n">
        <f aca="false">IF(H_Direct=1,IF(DF55&lt;=0,NR55-DF55*AMF54,NR55-MIN(MIN(DF55*AMF54,KE55+NR55),NR55)),NR55)</f>
        <v>0</v>
      </c>
      <c r="NT55" s="20" t="n">
        <f aca="false">IF(H_Direct=1,IF(DG55&lt;=0,NS55-DG55*AMG54,NS55-MIN(MIN(DG55*AMG54,KF55+NS55),NS55)),NS55)</f>
        <v>0</v>
      </c>
      <c r="NU55" s="20" t="n">
        <f aca="false">IF(H_Direct=1,IF(DH55&lt;=0,NT55-DH55*AMH54,NT55-MIN(MIN(DH55*AMH54,KG55+NT55),NT55)),NT55)</f>
        <v>0</v>
      </c>
      <c r="NV55" s="20" t="n">
        <f aca="false">IF(H_Direct=1,IF(DI55&lt;=0,NU55-DI55*AMI54,NU55-MIN(MIN(DI55*AMI54,KH55+NU55),NU55)),NU55)</f>
        <v>0</v>
      </c>
      <c r="NW55" s="20" t="n">
        <f aca="false">IF(H_Direct=1,IF(DJ55&lt;=0,NV55-DJ55*AMJ54,NV55-MIN(MIN(DJ55*AMJ54,KI55+NV55),NV55)),NV55)</f>
        <v>0</v>
      </c>
      <c r="NX55" s="20" t="n">
        <f aca="false">IF(H_Direct=1,IF(DK55&lt;=0,NW55-DK55*AMK54,NW55-MIN(MIN(DK55*AMK54,KJ55+NW55),NW55)),NW55)</f>
        <v>0</v>
      </c>
      <c r="NY55" s="20" t="n">
        <f aca="false">IF(H_Direct=1,IF(DL55&lt;=0,NX55-DL55*AML54,NX55-MIN(MIN(DL55*AML54,KK55+NX55),NX55)),NX55)</f>
        <v>0</v>
      </c>
      <c r="NZ55" s="20" t="n">
        <f aca="false">IF(H_Direct=1,IF(DM55&lt;=0,NY55-DM55*AMM54,NY55-MIN(MIN(DM55*AMM54,KL55+NY55),NY55)),NY55)</f>
        <v>0</v>
      </c>
      <c r="OA55" s="20" t="n">
        <f aca="false">IF(H_Direct=1,IF(DN55&lt;=0,NZ55-DN55*(P55+S55),NZ55-MIN(MIN(DN55*(P55+S55),KM55+NZ55),NZ55)),NZ55)</f>
        <v>0</v>
      </c>
      <c r="OB55" s="20" t="n">
        <f aca="false">OA55</f>
        <v>0</v>
      </c>
      <c r="OC55" s="20" t="n">
        <f aca="false">OB55</f>
        <v>0</v>
      </c>
      <c r="OD55" s="20" t="n">
        <f aca="false">OC55</f>
        <v>0</v>
      </c>
      <c r="OE55" s="20" t="n">
        <f aca="false">OD55</f>
        <v>0</v>
      </c>
      <c r="OF55" s="20" t="n">
        <f aca="false">OE55</f>
        <v>0</v>
      </c>
      <c r="OG55" s="20" t="n">
        <f aca="false">OF55</f>
        <v>0</v>
      </c>
      <c r="OH55" s="20" t="n">
        <f aca="false">OG55</f>
        <v>0</v>
      </c>
      <c r="OI55" s="20" t="n">
        <f aca="false">OH55</f>
        <v>0</v>
      </c>
      <c r="OJ55" s="20" t="n">
        <f aca="false">OI55</f>
        <v>0</v>
      </c>
      <c r="OK55" s="20" t="n">
        <f aca="false">OJ55</f>
        <v>0</v>
      </c>
      <c r="OL55" s="20" t="n">
        <f aca="false">OK55</f>
        <v>0</v>
      </c>
      <c r="OM55" s="20" t="n">
        <f aca="false">OL55</f>
        <v>0</v>
      </c>
      <c r="ON55" s="20" t="n">
        <f aca="false">OM55</f>
        <v>0</v>
      </c>
      <c r="OO55" s="20" t="n">
        <f aca="false">ON55</f>
        <v>0</v>
      </c>
      <c r="OP55" s="20" t="n">
        <f aca="false">OO55</f>
        <v>0</v>
      </c>
      <c r="OQ55" s="20" t="n">
        <f aca="false">OP55</f>
        <v>0</v>
      </c>
      <c r="OR55" s="20" t="n">
        <f aca="false">OQ55</f>
        <v>0</v>
      </c>
      <c r="OS55" s="20" t="n">
        <f aca="false">OR55</f>
        <v>0</v>
      </c>
      <c r="OT55" s="20" t="n">
        <f aca="false">OS55</f>
        <v>0</v>
      </c>
      <c r="OU55" s="20" t="n">
        <f aca="false">OT55</f>
        <v>0</v>
      </c>
      <c r="OV55" s="20" t="n">
        <f aca="false">OU55</f>
        <v>0</v>
      </c>
      <c r="OW55" s="20" t="n">
        <f aca="false">OV55</f>
        <v>0</v>
      </c>
      <c r="OX55" s="20" t="n">
        <f aca="false">OW55</f>
        <v>0</v>
      </c>
      <c r="OY55" s="20" t="n">
        <f aca="false">OX55</f>
        <v>0</v>
      </c>
      <c r="OZ55" s="20" t="n">
        <f aca="false">OY55</f>
        <v>0</v>
      </c>
      <c r="PA55" s="20" t="n">
        <f aca="false">OZ55</f>
        <v>0</v>
      </c>
      <c r="PB55" s="20" t="n">
        <f aca="false">PA55</f>
        <v>0</v>
      </c>
      <c r="PC55" s="20" t="n">
        <f aca="false">PB55</f>
        <v>0</v>
      </c>
      <c r="PD55" s="20" t="n">
        <f aca="false">PC55</f>
        <v>0</v>
      </c>
      <c r="PE55" s="20" t="n">
        <f aca="false">PD55</f>
        <v>0</v>
      </c>
      <c r="PF55" s="20" t="n">
        <f aca="false">PE55</f>
        <v>0</v>
      </c>
      <c r="PG55" s="20" t="n">
        <f aca="false">PF55</f>
        <v>0</v>
      </c>
      <c r="PH55" s="20" t="n">
        <f aca="false">PG55</f>
        <v>0</v>
      </c>
      <c r="PI55" s="20" t="n">
        <f aca="false">PH55</f>
        <v>0</v>
      </c>
      <c r="PJ55" s="20" t="n">
        <f aca="false">PI55</f>
        <v>0</v>
      </c>
      <c r="PK55" s="20" t="n">
        <f aca="false">PJ55</f>
        <v>0</v>
      </c>
      <c r="PL55" s="20" t="n">
        <f aca="false">PK55</f>
        <v>0</v>
      </c>
      <c r="PM55" s="20" t="n">
        <f aca="false">PL55</f>
        <v>0</v>
      </c>
      <c r="PN55" s="20" t="n">
        <f aca="false">PM55</f>
        <v>0</v>
      </c>
      <c r="PO55" s="20" t="n">
        <f aca="false">PN55</f>
        <v>0</v>
      </c>
      <c r="PP55" s="20" t="n">
        <f aca="false">PO55</f>
        <v>0</v>
      </c>
      <c r="PQ55" s="20" t="n">
        <f aca="false">PP55</f>
        <v>0</v>
      </c>
      <c r="PR55" s="20" t="n">
        <f aca="false">IF(H_Direct=1,IF(AKR54&lt;=0,0,IF(BR55&lt;=0,MIN(MAX(0,AB55),AKR54),MIN(MAX(0,AB55),AKR54-G55*MAX(0,BR55*AKR54-(H55+I55))))),MIN(FE55,MAX(0,AB55)))</f>
        <v>0</v>
      </c>
      <c r="PS55" s="20" t="n">
        <f aca="false">IF(H_Direct=1,IF(AKS54&lt;=0,0,IF(BS55&lt;=0,MIN(MAX(0,AB55-SUM(PR55:PR55)),AKS54),MIN(MAX(0,AB55-SUM(PR55:PR55)),AKS54-G55*MAX(0,BS55*AKS54-(WR55+AAE55))))),MIN(FF55,MAX(0,AB55-SUM(PR55:PR55))))</f>
        <v>0</v>
      </c>
      <c r="PT55" s="20" t="n">
        <f aca="false">IF(H_Direct=1,IF(AKT54&lt;=0,0,IF(BT55&lt;=0,MIN(MAX(0,AB55-SUM(PR55:PS55)),AKT54),MIN(MAX(0,AB55-SUM(PR55:PS55)),AKT54-G55*MAX(0,BT55*AKT54-(WS55+AAF55))))),MIN(FG55,MAX(0,AB55-SUM(PR55:PS55))))</f>
        <v>0</v>
      </c>
      <c r="PU55" s="20" t="n">
        <f aca="false">IF(H_Direct=1,IF(AKU54&lt;=0,0,IF(BU55&lt;=0,MIN(MAX(0,AB55-SUM(PR55:PT55)),AKU54),MIN(MAX(0,AB55-SUM(PR55:PT55)),AKU54-G55*MAX(0,BU55*AKU54-(WT55+AAG55))))),MIN(FH55,MAX(0,AB55-SUM(PR55:PT55))))</f>
        <v>0</v>
      </c>
      <c r="PV55" s="20" t="n">
        <f aca="false">IF(H_Direct=1,IF(AKV54&lt;=0,0,IF(BV55&lt;=0,MIN(MAX(0,AB55-SUM(PR55:PU55)),AKV54),MIN(MAX(0,AB55-SUM(PR55:PU55)),AKV54-G55*MAX(0,BV55*AKV54-(WU55+AAH55))))),MIN(FI55,MAX(0,AB55-SUM(PR55:PU55))))</f>
        <v>0</v>
      </c>
      <c r="PW55" s="20" t="n">
        <f aca="false">IF(H_Direct=1,IF(AKW54&lt;=0,0,IF(BW55&lt;=0,MIN(MAX(0,AB55-SUM(PR55:PV55)),AKW54),MIN(MAX(0,AB55-SUM(PR55:PV55)),AKW54-G55*MAX(0,BW55*AKW54-(WV55+AAI55))))),MIN(FJ55,MAX(0,AB55-SUM(PR55:PV55))))</f>
        <v>0</v>
      </c>
      <c r="PX55" s="20" t="n">
        <f aca="false">IF(H_Direct=1,IF(AKX54&lt;=0,0,IF(BX55&lt;=0,MIN(MAX(0,AB55-SUM(PR55:PW55)),AKX54),MIN(MAX(0,AB55-SUM(PR55:PW55)),AKX54-G55*MAX(0,BX55*AKX54-(WW55+AAJ55))))),MIN(FK55,MAX(0,AB55-SUM(PR55:PW55))))</f>
        <v>0</v>
      </c>
      <c r="PY55" s="20" t="n">
        <f aca="false">IF(H_Direct=1,IF(AKY54&lt;=0,0,IF(BY55&lt;=0,MIN(MAX(0,AB55-SUM(PR55:PX55)),AKY54),MIN(MAX(0,AB55-SUM(PR55:PX55)),AKY54-G55*MAX(0,BY55*AKY54-(WX55+AAK55))))),MIN(FL55,MAX(0,AB55-SUM(PR55:PX55))))</f>
        <v>0</v>
      </c>
      <c r="PZ55" s="20" t="n">
        <f aca="false">IF(H_Direct=1,IF(AKZ54&lt;=0,0,IF(BZ55&lt;=0,MIN(MAX(0,AB55-SUM(PR55:PY55)),AKZ54),MIN(MAX(0,AB55-SUM(PR55:PY55)),AKZ54-G55*MAX(0,BZ55*AKZ54-(WY55+AAL55))))),MIN(FM55,MAX(0,AB55-SUM(PR55:PY55))))</f>
        <v>0</v>
      </c>
      <c r="QA55" s="20" t="n">
        <f aca="false">IF(H_Direct=1,IF(ALA54&lt;=0,0,IF(CA55&lt;=0,MIN(MAX(0,AB55-SUM(PR55:PZ55)),ALA54),MIN(MAX(0,AB55-SUM(PR55:PZ55)),ALA54-G55*MAX(0,CA55*ALA54-(WZ55+AAM55))))),MIN(FN55,MAX(0,AB55-SUM(PR55:PZ55))))</f>
        <v>0</v>
      </c>
      <c r="QB55" s="20" t="n">
        <f aca="false">IF(H_Direct=1,IF(ALB54&lt;=0,0,IF(CB55&lt;=0,MIN(MAX(0,AB55-SUM(PR55:QA55)),ALB54),MIN(MAX(0,AB55-SUM(PR55:QA55)),ALB54-G55*MAX(0,CB55*ALB54-(XA55+AAN55))))),MIN(FO55,MAX(0,AB55-SUM(PR55:QA55))))</f>
        <v>0</v>
      </c>
      <c r="QC55" s="20" t="n">
        <f aca="false">IF(H_Direct=1,IF(ALC54&lt;=0,0,IF(CC55&lt;=0,MIN(MAX(0,AB55-SUM(PR55:QB55)),ALC54),MIN(MAX(0,AB55-SUM(PR55:QB55)),ALC54-G55*MAX(0,CC55*ALC54-(XB55+AAO55))))),MIN(FP55,MAX(0,AB55-SUM(PR55:QB55))))</f>
        <v>0</v>
      </c>
      <c r="QD55" s="20" t="n">
        <f aca="false">IF(H_Direct=1,IF(ALD54&lt;=0,0,IF(CD55&lt;=0,MIN(MAX(0,AB55-SUM(PR55:QC55)),ALD54),MIN(MAX(0,AB55-SUM(PR55:QC55)),ALD54-G55*MAX(0,CD55*ALD54-(XC55+AAP55))))),MIN(FQ55,MAX(0,AB55-SUM(PR55:QC55))))</f>
        <v>0</v>
      </c>
      <c r="QE55" s="20" t="n">
        <f aca="false">IF(H_Direct=1,IF(ALE54&lt;=0,0,IF(CE55&lt;=0,MIN(MAX(0,AB55-SUM(PR55:QD55)),ALE54),MIN(MAX(0,AB55-SUM(PR55:QD55)),ALE54-G55*MAX(0,CE55*ALE54-(XD55+AAQ55))))),MIN(FR55,MAX(0,AB55-SUM(PR55:QD55))))</f>
        <v>0</v>
      </c>
      <c r="QF55" s="20" t="n">
        <f aca="false">IF(H_Direct=1,IF(ALF54&lt;=0,0,IF(CF55&lt;=0,MIN(MAX(0,AB55-SUM(PR55:QE55)),ALF54),MIN(MAX(0,AB55-SUM(PR55:QE55)),ALF54-G55*MAX(0,CF55*ALF54-(XE55+AAR55))))),MIN(FS55,MAX(0,AB55-SUM(PR55:QE55))))</f>
        <v>0</v>
      </c>
      <c r="QG55" s="20" t="n">
        <f aca="false">IF(H_Direct=1,IF(ALG54&lt;=0,0,IF(CG55&lt;=0,MIN(MAX(0,AB55-SUM(PR55:QF55)),ALG54),MIN(MAX(0,AB55-SUM(PR55:QF55)),ALG54-G55*MAX(0,CG55*ALG54-(XF55+AAS55))))),MIN(FT55,MAX(0,AB55-SUM(PR55:QF55))))</f>
        <v>0</v>
      </c>
      <c r="QH55" s="20" t="n">
        <f aca="false">IF(H_Direct=1,IF(ALH54&lt;=0,0,IF(CH55&lt;=0,MIN(MAX(0,AB55-SUM(PR55:QG55)),ALH54),MIN(MAX(0,AB55-SUM(PR55:QG55)),ALH54-G55*MAX(0,CH55*ALH54-(XG55+AAT55))))),MIN(FU55,MAX(0,AB55-SUM(PR55:QG55))))</f>
        <v>0</v>
      </c>
      <c r="QI55" s="20" t="n">
        <f aca="false">IF(H_Direct=1,IF(ALI54&lt;=0,0,IF(CI55&lt;=0,MIN(MAX(0,AB55-SUM(PR55:QH55)),ALI54),MIN(MAX(0,AB55-SUM(PR55:QH55)),ALI54-G55*MAX(0,CI55*ALI54-(XH55+AAU55))))),MIN(FV55,MAX(0,AB55-SUM(PR55:QH55))))</f>
        <v>0</v>
      </c>
      <c r="QJ55" s="20" t="n">
        <f aca="false">IF(H_Direct=1,IF(ALJ54&lt;=0,0,IF(CJ55&lt;=0,MIN(MAX(0,AB55-SUM(PR55:QI55)),ALJ54),MIN(MAX(0,AB55-SUM(PR55:QI55)),ALJ54-G55*MAX(0,CJ55*ALJ54-(XI55+AAV55))))),MIN(FW55,MAX(0,AB55-SUM(PR55:QI55))))</f>
        <v>0</v>
      </c>
      <c r="QK55" s="20" t="n">
        <f aca="false">IF(H_Direct=1,IF(ALK54&lt;=0,0,IF(CK55&lt;=0,MIN(MAX(0,AB55-SUM(PR55:QJ55)),ALK54),MIN(MAX(0,AB55-SUM(PR55:QJ55)),ALK54-G55*MAX(0,CK55*ALK54-(XJ55+AAW55))))),MIN(FX55,MAX(0,AB55-SUM(PR55:QJ55))))</f>
        <v>0</v>
      </c>
      <c r="QL55" s="20" t="n">
        <f aca="false">IF(H_Direct=1,IF(ALL54&lt;=0,0,IF(CL55&lt;=0,MIN(MAX(0,AB55-SUM(PR55:QK55)),ALL54),MIN(MAX(0,AB55-SUM(PR55:QK55)),ALL54-G55*MAX(0,CL55*ALL54-(XK55+AAX55))))),MIN(FY55,MAX(0,AB55-SUM(PR55:QK55))))</f>
        <v>0</v>
      </c>
      <c r="QM55" s="20" t="n">
        <f aca="false">IF(H_Direct=1,IF(ALM54&lt;=0,0,IF(CM55&lt;=0,MIN(MAX(0,AB55-SUM(PR55:QL55)),ALM54),MIN(MAX(0,AB55-SUM(PR55:QL55)),ALM54-G55*MAX(0,CM55*ALM54-(XL55+AAY55))))),MIN(FZ55,MAX(0,AB55-SUM(PR55:QL55))))</f>
        <v>0</v>
      </c>
      <c r="QN55" s="20" t="n">
        <f aca="false">IF(H_Direct=1,IF(ALN54&lt;=0,0,IF(CN55&lt;=0,MIN(MAX(0,AB55-SUM(PR55:QM55)),ALN54),MIN(MAX(0,AB55-SUM(PR55:QM55)),ALN54-G55*MAX(0,CN55*ALN54-(XM55+AAZ55))))),MIN(GA55,MAX(0,AB55-SUM(PR55:QM55))))</f>
        <v>0</v>
      </c>
      <c r="QO55" s="20" t="n">
        <f aca="false">IF(H_Direct=1,IF(ALO54&lt;=0,0,IF(CO55&lt;=0,MIN(MAX(0,AB55-SUM(PR55:QN55)),ALO54),MIN(MAX(0,AB55-SUM(PR55:QN55)),ALO54-G55*MAX(0,CO55*ALO54-(XN55+ABA55))))),MIN(GB55,MAX(0,AB55-SUM(PR55:QN55))))</f>
        <v>0</v>
      </c>
      <c r="QP55" s="20" t="n">
        <f aca="false">IF(H_Direct=1,IF(ALP54&lt;=0,0,IF(CP55&lt;=0,MIN(MAX(0,AB55-SUM(PR55:QO55)),ALP54),MIN(MAX(0,AB55-SUM(PR55:QO55)),ALP54-G55*MAX(0,CP55*ALP54-(XO55+ABB55))))),MIN(GC55,MAX(0,AB55-SUM(PR55:QO55))))</f>
        <v>0</v>
      </c>
      <c r="QQ55" s="20" t="n">
        <f aca="false">IF(H_Direct=1,IF(ALQ54&lt;=0,0,IF(CQ55&lt;=0,MIN(MAX(0,AB55-SUM(PR55:QP55)),ALQ54),MIN(MAX(0,AB55-SUM(PR55:QP55)),ALQ54-G55*MAX(0,CQ55*ALQ54-(XP55+ABC55))))),MIN(GD55,MAX(0,AB55-SUM(PR55:QP55))))</f>
        <v>0</v>
      </c>
      <c r="QR55" s="20" t="n">
        <f aca="false">IF(H_Direct=1,IF(ALR54&lt;=0,0,IF(CR55&lt;=0,MIN(MAX(0,AB55-SUM(PR55:QQ55)),ALR54),MIN(MAX(0,AB55-SUM(PR55:QQ55)),ALR54-G55*MAX(0,CR55*ALR54-(XQ55+ABD55))))),MIN(GE55,MAX(0,AB55-SUM(PR55:QQ55))))</f>
        <v>0</v>
      </c>
      <c r="QS55" s="20" t="n">
        <f aca="false">IF(H_Direct=1,IF(ALS54&lt;=0,0,IF(CS55&lt;=0,MIN(MAX(0,AB55-SUM(PR55:QR55)),ALS54),MIN(MAX(0,AB55-SUM(PR55:QR55)),ALS54-G55*MAX(0,CS55*ALS54-(XR55+ABE55))))),MIN(GF55,MAX(0,AB55-SUM(PR55:QR55))))</f>
        <v>0</v>
      </c>
      <c r="QT55" s="20" t="n">
        <f aca="false">IF(H_Direct=1,IF(ALT54&lt;=0,0,IF(CT55&lt;=0,MIN(MAX(0,AB55-SUM(PR55:QS55)),ALT54),MIN(MAX(0,AB55-SUM(PR55:QS55)),ALT54-G55*MAX(0,CT55*ALT54-(XS55+ABF55))))),MIN(GG55,MAX(0,AB55-SUM(PR55:QS55))))</f>
        <v>0</v>
      </c>
      <c r="QU55" s="20" t="n">
        <f aca="false">IF(H_Direct=1,IF(ALU54&lt;=0,0,IF(CU55&lt;=0,MIN(MAX(0,AB55-SUM(PR55:QT55)),ALU54),MIN(MAX(0,AB55-SUM(PR55:QT55)),ALU54-G55*MAX(0,CU55*ALU54-(XT55+ABG55))))),MIN(GH55,MAX(0,AB55-SUM(PR55:QT55))))</f>
        <v>0</v>
      </c>
      <c r="QV55" s="20" t="n">
        <f aca="false">IF(H_Direct=1,IF(ALV54&lt;=0,0,IF(CV55&lt;=0,MIN(MAX(0,AB55-SUM(PR55:QU55)),ALV54),MIN(MAX(0,AB55-SUM(PR55:QU55)),ALV54-G55*MAX(0,CV55*ALV54-(XU55+ABH55))))),MIN(GI55,MAX(0,AB55-SUM(PR55:QU55))))</f>
        <v>0</v>
      </c>
      <c r="QW55" s="20" t="n">
        <f aca="false">IF(H_Direct=1,IF(ALW54&lt;=0,0,IF(CW55&lt;=0,MIN(MAX(0,AB55-SUM(PR55:QV55)),ALW54),MIN(MAX(0,AB55-SUM(PR55:QV55)),ALW54-G55*MAX(0,CW55*ALW54-(XV55+ABI55))))),MIN(GJ55,MAX(0,AB55-SUM(PR55:QV55))))</f>
        <v>0</v>
      </c>
      <c r="QX55" s="20" t="n">
        <f aca="false">IF(H_Direct=1,IF(ALX54&lt;=0,0,IF(CX55&lt;=0,MIN(MAX(0,AB55-SUM(PR55:QW55)),ALX54),MIN(MAX(0,AB55-SUM(PR55:QW55)),ALX54-G55*MAX(0,CX55*ALX54-(XW55+ABJ55))))),MIN(GK55,MAX(0,AB55-SUM(PR55:QW55))))</f>
        <v>0</v>
      </c>
      <c r="QY55" s="20" t="n">
        <f aca="false">IF(H_Direct=1,IF(ALY54&lt;=0,0,IF(CY55&lt;=0,MIN(MAX(0,AB55-SUM(PR55:QX55)),ALY54),MIN(MAX(0,AB55-SUM(PR55:QX55)),ALY54-G55*MAX(0,CY55*ALY54-(XX55+ABK55))))),MIN(GL55,MAX(0,AB55-SUM(PR55:QX55))))</f>
        <v>0</v>
      </c>
      <c r="QZ55" s="20" t="n">
        <f aca="false">IF(H_Direct=1,IF(ALZ54&lt;=0,0,IF(CZ55&lt;=0,MIN(MAX(0,AB55-SUM(PR55:QY55)),ALZ54),MIN(MAX(0,AB55-SUM(PR55:QY55)),ALZ54-G55*MAX(0,CZ55*ALZ54-(XY55+ABL55))))),MIN(GM55,MAX(0,AB55-SUM(PR55:QY55))))</f>
        <v>0</v>
      </c>
      <c r="RA55" s="20" t="n">
        <f aca="false">IF(H_Direct=1,IF(AMA54&lt;=0,0,IF(DA55&lt;=0,MIN(MAX(0,AB55-SUM(PR55:QZ55)),AMA54),MIN(MAX(0,AB55-SUM(PR55:QZ55)),AMA54-G55*MAX(0,DA55*AMA54-(XZ55+ABM55))))),MIN(GN55,MAX(0,AB55-SUM(PR55:QZ55))))</f>
        <v>0</v>
      </c>
      <c r="RB55" s="20" t="n">
        <f aca="false">IF(H_Direct=1,IF(AMB54&lt;=0,0,IF(DB55&lt;=0,MIN(MAX(0,AB55-SUM(PR55:RA55)),AMB54),MIN(MAX(0,AB55-SUM(PR55:RA55)),AMB54-G55*MAX(0,DB55*AMB54-(YA55+ABN55))))),MIN(GO55,MAX(0,AB55-SUM(PR55:RA55))))</f>
        <v>0</v>
      </c>
      <c r="RC55" s="20" t="n">
        <f aca="false">IF(H_Direct=1,IF(AMC54&lt;=0,0,IF(DC55&lt;=0,MIN(MAX(0,AB55-SUM(PR55:RB55)),AMC54),MIN(MAX(0,AB55-SUM(PR55:RB55)),AMC54-G55*MAX(0,DC55*AMC54-(YB55+ABO55))))),MIN(GP55,MAX(0,AB55-SUM(PR55:RB55))))</f>
        <v>0</v>
      </c>
      <c r="RD55" s="20" t="n">
        <f aca="false">IF(H_Direct=1,IF(AMD54&lt;=0,0,IF(DD55&lt;=0,MIN(MAX(0,AB55-SUM(PR55:RC55)),AMD54),MIN(MAX(0,AB55-SUM(PR55:RC55)),AMD54-G55*MAX(0,DD55*AMD54-(YC55+ABP55))))),MIN(GQ55,MAX(0,AB55-SUM(PR55:RC55))))</f>
        <v>0</v>
      </c>
      <c r="RE55" s="20" t="n">
        <f aca="false">IF(H_Direct=1,IF(AME54&lt;=0,0,IF(DE55&lt;=0,MIN(MAX(0,AB55-SUM(PR55:RD55)),AME54),MIN(MAX(0,AB55-SUM(PR55:RD55)),AME54-G55*MAX(0,DE55*AME54-(YD55+ABQ55))))),MIN(GR55,MAX(0,AB55-SUM(PR55:RD55))))</f>
        <v>0</v>
      </c>
      <c r="RF55" s="20" t="n">
        <f aca="false">IF(H_Direct=1,IF(AMF54&lt;=0,0,IF(DF55&lt;=0,MIN(MAX(0,AB55-SUM(PR55:RE55)),AMF54),MIN(MAX(0,AB55-SUM(PR55:RE55)),AMF54-G55*MAX(0,DF55*AMF54-(YE55+ABR55))))),MIN(GS55,MAX(0,AB55-SUM(PR55:RE55))))</f>
        <v>0</v>
      </c>
      <c r="RG55" s="20" t="n">
        <f aca="false">IF(H_Direct=1,IF(AMG54&lt;=0,0,IF(DG55&lt;=0,MIN(MAX(0,AB55-SUM(PR55:RF55)),AMG54),MIN(MAX(0,AB55-SUM(PR55:RF55)),AMG54-G55*MAX(0,DG55*AMG54-(YF55+ABS55))))),MIN(GT55,MAX(0,AB55-SUM(PR55:RF55))))</f>
        <v>0</v>
      </c>
      <c r="RH55" s="20" t="n">
        <f aca="false">IF(H_Direct=1,IF(AMH54&lt;=0,0,IF(DH55&lt;=0,MIN(MAX(0,AB55-SUM(PR55:RG55)),AMH54),MIN(MAX(0,AB55-SUM(PR55:RG55)),AMH54-G55*MAX(0,DH55*AMH54-(YG55+ABT55))))),MIN(GU55,MAX(0,AB55-SUM(PR55:RG55))))</f>
        <v>0</v>
      </c>
      <c r="RI55" s="20" t="n">
        <f aca="false">IF(H_Direct=1,IF(AMI54&lt;=0,0,IF(DI55&lt;=0,MIN(MAX(0,AB55-SUM(PR55:RH55)),AMI54),MIN(MAX(0,AB55-SUM(PR55:RH55)),AMI54-G55*MAX(0,DI55*AMI54-(YH55+ABU55))))),MIN(GV55,MAX(0,AB55-SUM(PR55:RH55))))</f>
        <v>0</v>
      </c>
      <c r="RJ55" s="20" t="n">
        <f aca="false">IF(H_Direct=1,IF(AMJ54&lt;=0,0,IF(DJ55&lt;=0,MIN(MAX(0,AB55-SUM(PR55:RI55)),AMJ54),MIN(MAX(0,AB55-SUM(PR55:RI55)),AMJ54-G55*MAX(0,DJ55*AMJ54-(YI55+ABV55))))),MIN(GW55,MAX(0,AB55-SUM(PR55:RI55))))</f>
        <v>0</v>
      </c>
      <c r="RK55" s="20" t="n">
        <f aca="false">IF(H_Direct=1,IF(AMK54&lt;=0,0,IF(DK55&lt;=0,MIN(MAX(0,AB55-SUM(PR55:RJ55)),AMK54),MIN(MAX(0,AB55-SUM(PR55:RJ55)),AMK54-G55*MAX(0,DK55*AMK54-(YJ55+ABW55))))),MIN(GX55,MAX(0,AB55-SUM(PR55:RJ55))))</f>
        <v>0</v>
      </c>
      <c r="RL55" s="20" t="n">
        <f aca="false">IF(H_Direct=1,IF(AML54&lt;=0,0,IF(DL55&lt;=0,MIN(MAX(0,AB55-SUM(PR55:RK55)),AML54),MIN(MAX(0,AB55-SUM(PR55:RK55)),AML54-G55*MAX(0,DL55*AML54-(YK55+ABX55))))),MIN(GY55,MAX(0,AB55-SUM(PR55:RK55))))</f>
        <v>0</v>
      </c>
      <c r="RM55" s="20" t="n">
        <f aca="false">IF(H_Direct=1,IF(AMM54&lt;=0,0,IF(DM55&lt;=0,MIN(MAX(0,AB55-SUM(PR55:RL55)),AMM54),MIN(MAX(0,AB55-SUM(PR55:RL55)),AMM54-G55*MAX(0,DM55*AMM54-(YL55+ABY55))))),MIN(GZ55,MAX(0,AB55-SUM(PR55:RL55))))</f>
        <v>0</v>
      </c>
      <c r="RN55" s="20" t="n">
        <f aca="false">IF(H_Direct=1,IF((P55+S55)&lt;=0,0,IF(DN55&lt;=0,MIN(MAX(0,AB55-SUM(PR55:RM55)),(P55+S55)),MIN(MAX(0,AB55-SUM(PR55:RM55)),(P55+S55)-G55*MAX(0,DN55*(P55+S55)-(YM55+ABZ55))))),MIN(HA55,MAX(0,AB55-SUM(PR55:RM55))))</f>
        <v>0</v>
      </c>
      <c r="RO55" s="20" t="n">
        <v>0</v>
      </c>
      <c r="RP55" s="20" t="n">
        <v>0</v>
      </c>
      <c r="RQ55" s="20" t="n">
        <v>0</v>
      </c>
      <c r="RR55" s="20" t="n">
        <v>0</v>
      </c>
      <c r="RS55" s="20" t="n">
        <v>0</v>
      </c>
      <c r="RT55" s="20" t="n">
        <v>0</v>
      </c>
      <c r="RU55" s="20" t="n">
        <v>0</v>
      </c>
      <c r="RV55" s="20" t="n">
        <v>0</v>
      </c>
      <c r="RW55" s="20" t="n">
        <v>0</v>
      </c>
      <c r="RX55" s="20" t="n">
        <v>0</v>
      </c>
      <c r="RY55" s="20" t="n">
        <v>0</v>
      </c>
      <c r="RZ55" s="20" t="n">
        <v>0</v>
      </c>
      <c r="SA55" s="20" t="n">
        <v>0</v>
      </c>
      <c r="SB55" s="20" t="n">
        <v>0</v>
      </c>
      <c r="SC55" s="20" t="n">
        <v>0</v>
      </c>
      <c r="SD55" s="20" t="n">
        <v>0</v>
      </c>
      <c r="SE55" s="20" t="n">
        <v>0</v>
      </c>
      <c r="SF55" s="20" t="n">
        <v>0</v>
      </c>
      <c r="SG55" s="20" t="n">
        <v>0</v>
      </c>
      <c r="SH55" s="20" t="n">
        <v>0</v>
      </c>
      <c r="SI55" s="20" t="n">
        <v>0</v>
      </c>
      <c r="SJ55" s="20" t="n">
        <v>0</v>
      </c>
      <c r="SK55" s="20" t="n">
        <v>0</v>
      </c>
      <c r="SL55" s="20" t="n">
        <v>0</v>
      </c>
      <c r="SM55" s="20" t="n">
        <v>0</v>
      </c>
      <c r="SN55" s="20" t="n">
        <v>0</v>
      </c>
      <c r="SO55" s="20" t="n">
        <v>0</v>
      </c>
      <c r="SP55" s="20" t="n">
        <v>0</v>
      </c>
      <c r="SQ55" s="20" t="n">
        <v>0</v>
      </c>
      <c r="SR55" s="20" t="n">
        <v>0</v>
      </c>
      <c r="SS55" s="20" t="n">
        <v>0</v>
      </c>
      <c r="ST55" s="20" t="n">
        <v>0</v>
      </c>
      <c r="SU55" s="20" t="n">
        <v>0</v>
      </c>
      <c r="SV55" s="20" t="n">
        <v>0</v>
      </c>
      <c r="SW55" s="20" t="n">
        <v>0</v>
      </c>
      <c r="SX55" s="20" t="n">
        <v>0</v>
      </c>
      <c r="SY55" s="20" t="n">
        <v>0</v>
      </c>
      <c r="SZ55" s="20" t="n">
        <v>0</v>
      </c>
      <c r="TA55" s="20" t="n">
        <v>0</v>
      </c>
      <c r="TB55" s="20" t="n">
        <v>0</v>
      </c>
      <c r="TC55" s="20" t="n">
        <v>0</v>
      </c>
      <c r="TD55" s="20" t="n">
        <v>0</v>
      </c>
      <c r="TE55" s="20" t="n">
        <f aca="false">IF(AKR54&lt;=0,0,IF(H_Direct=1,IF(BR55&lt;=0,PR55,IF(PR55&lt;=(H55+I55)/BR55,PR55,(PR55-G55*(H55+I55))/(1-G55*BR55))),PR55/(1-MAX(0,BR55)*H_Exit)))</f>
        <v>0</v>
      </c>
      <c r="TF55" s="20" t="n">
        <f aca="false">IF(AKS54&lt;=0,0,IF(H_Direct=1,IF(BS55&lt;=0,PS55,IF(PS55&lt;=(WR55+AAE55)/BS55,PS55,(PS55-G55*(WR55+AAE55))/(1-G55*BS55))),PS55/(1-MAX(0,BS55)*H_Exit)))</f>
        <v>0</v>
      </c>
      <c r="TG55" s="20" t="n">
        <f aca="false">IF(AKT54&lt;=0,0,IF(H_Direct=1,IF(BT55&lt;=0,PT55,IF(PT55&lt;=(WS55+AAF55)/BT55,PT55,(PT55-G55*(WS55+AAF55))/(1-G55*BT55))),PT55/(1-MAX(0,BT55)*H_Exit)))</f>
        <v>0</v>
      </c>
      <c r="TH55" s="20" t="n">
        <f aca="false">IF(AKU54&lt;=0,0,IF(H_Direct=1,IF(BU55&lt;=0,PU55,IF(PU55&lt;=(WT55+AAG55)/BU55,PU55,(PU55-G55*(WT55+AAG55))/(1-G55*BU55))),PU55/(1-MAX(0,BU55)*H_Exit)))</f>
        <v>0</v>
      </c>
      <c r="TI55" s="20" t="n">
        <f aca="false">IF(AKV54&lt;=0,0,IF(H_Direct=1,IF(BV55&lt;=0,PV55,IF(PV55&lt;=(WU55+AAH55)/BV55,PV55,(PV55-G55*(WU55+AAH55))/(1-G55*BV55))),PV55/(1-MAX(0,BV55)*H_Exit)))</f>
        <v>0</v>
      </c>
      <c r="TJ55" s="20" t="n">
        <f aca="false">IF(AKW54&lt;=0,0,IF(H_Direct=1,IF(BW55&lt;=0,PW55,IF(PW55&lt;=(WV55+AAI55)/BW55,PW55,(PW55-G55*(WV55+AAI55))/(1-G55*BW55))),PW55/(1-MAX(0,BW55)*H_Exit)))</f>
        <v>0</v>
      </c>
      <c r="TK55" s="20" t="n">
        <f aca="false">IF(AKX54&lt;=0,0,IF(H_Direct=1,IF(BX55&lt;=0,PX55,IF(PX55&lt;=(WW55+AAJ55)/BX55,PX55,(PX55-G55*(WW55+AAJ55))/(1-G55*BX55))),PX55/(1-MAX(0,BX55)*H_Exit)))</f>
        <v>0</v>
      </c>
      <c r="TL55" s="20" t="n">
        <f aca="false">IF(AKY54&lt;=0,0,IF(H_Direct=1,IF(BY55&lt;=0,PY55,IF(PY55&lt;=(WX55+AAK55)/BY55,PY55,(PY55-G55*(WX55+AAK55))/(1-G55*BY55))),PY55/(1-MAX(0,BY55)*H_Exit)))</f>
        <v>0</v>
      </c>
      <c r="TM55" s="20" t="n">
        <f aca="false">IF(AKZ54&lt;=0,0,IF(H_Direct=1,IF(BZ55&lt;=0,PZ55,IF(PZ55&lt;=(WY55+AAL55)/BZ55,PZ55,(PZ55-G55*(WY55+AAL55))/(1-G55*BZ55))),PZ55/(1-MAX(0,BZ55)*H_Exit)))</f>
        <v>0</v>
      </c>
      <c r="TN55" s="20" t="n">
        <f aca="false">IF(ALA54&lt;=0,0,IF(H_Direct=1,IF(CA55&lt;=0,QA55,IF(QA55&lt;=(WZ55+AAM55)/CA55,QA55,(QA55-G55*(WZ55+AAM55))/(1-G55*CA55))),QA55/(1-MAX(0,CA55)*H_Exit)))</f>
        <v>0</v>
      </c>
      <c r="TO55" s="20" t="n">
        <f aca="false">IF(ALB54&lt;=0,0,IF(H_Direct=1,IF(CB55&lt;=0,QB55,IF(QB55&lt;=(XA55+AAN55)/CB55,QB55,(QB55-G55*(XA55+AAN55))/(1-G55*CB55))),QB55/(1-MAX(0,CB55)*H_Exit)))</f>
        <v>0</v>
      </c>
      <c r="TP55" s="20" t="n">
        <f aca="false">IF(ALC54&lt;=0,0,IF(H_Direct=1,IF(CC55&lt;=0,QC55,IF(QC55&lt;=(XB55+AAO55)/CC55,QC55,(QC55-G55*(XB55+AAO55))/(1-G55*CC55))),QC55/(1-MAX(0,CC55)*H_Exit)))</f>
        <v>0</v>
      </c>
      <c r="TQ55" s="20" t="n">
        <f aca="false">IF(ALD54&lt;=0,0,IF(H_Direct=1,IF(CD55&lt;=0,QD55,IF(QD55&lt;=(XC55+AAP55)/CD55,QD55,(QD55-G55*(XC55+AAP55))/(1-G55*CD55))),QD55/(1-MAX(0,CD55)*H_Exit)))</f>
        <v>0</v>
      </c>
      <c r="TR55" s="20" t="n">
        <f aca="false">IF(ALE54&lt;=0,0,IF(H_Direct=1,IF(CE55&lt;=0,QE55,IF(QE55&lt;=(XD55+AAQ55)/CE55,QE55,(QE55-G55*(XD55+AAQ55))/(1-G55*CE55))),QE55/(1-MAX(0,CE55)*H_Exit)))</f>
        <v>0</v>
      </c>
      <c r="TS55" s="20" t="n">
        <f aca="false">IF(ALF54&lt;=0,0,IF(H_Direct=1,IF(CF55&lt;=0,QF55,IF(QF55&lt;=(XE55+AAR55)/CF55,QF55,(QF55-G55*(XE55+AAR55))/(1-G55*CF55))),QF55/(1-MAX(0,CF55)*H_Exit)))</f>
        <v>0</v>
      </c>
      <c r="TT55" s="20" t="n">
        <f aca="false">IF(ALG54&lt;=0,0,IF(H_Direct=1,IF(CG55&lt;=0,QG55,IF(QG55&lt;=(XF55+AAS55)/CG55,QG55,(QG55-G55*(XF55+AAS55))/(1-G55*CG55))),QG55/(1-MAX(0,CG55)*H_Exit)))</f>
        <v>0</v>
      </c>
      <c r="TU55" s="20" t="n">
        <f aca="false">IF(ALH54&lt;=0,0,IF(H_Direct=1,IF(CH55&lt;=0,QH55,IF(QH55&lt;=(XG55+AAT55)/CH55,QH55,(QH55-G55*(XG55+AAT55))/(1-G55*CH55))),QH55/(1-MAX(0,CH55)*H_Exit)))</f>
        <v>0</v>
      </c>
      <c r="TV55" s="20" t="n">
        <f aca="false">IF(ALI54&lt;=0,0,IF(H_Direct=1,IF(CI55&lt;=0,QI55,IF(QI55&lt;=(XH55+AAU55)/CI55,QI55,(QI55-G55*(XH55+AAU55))/(1-G55*CI55))),QI55/(1-MAX(0,CI55)*H_Exit)))</f>
        <v>0</v>
      </c>
      <c r="TW55" s="20" t="n">
        <f aca="false">IF(ALJ54&lt;=0,0,IF(H_Direct=1,IF(CJ55&lt;=0,QJ55,IF(QJ55&lt;=(XI55+AAV55)/CJ55,QJ55,(QJ55-G55*(XI55+AAV55))/(1-G55*CJ55))),QJ55/(1-MAX(0,CJ55)*H_Exit)))</f>
        <v>0</v>
      </c>
      <c r="TX55" s="20" t="n">
        <f aca="false">IF(ALK54&lt;=0,0,IF(H_Direct=1,IF(CK55&lt;=0,QK55,IF(QK55&lt;=(XJ55+AAW55)/CK55,QK55,(QK55-G55*(XJ55+AAW55))/(1-G55*CK55))),QK55/(1-MAX(0,CK55)*H_Exit)))</f>
        <v>0</v>
      </c>
      <c r="TY55" s="20" t="n">
        <f aca="false">IF(ALL54&lt;=0,0,IF(H_Direct=1,IF(CL55&lt;=0,QL55,IF(QL55&lt;=(XK55+AAX55)/CL55,QL55,(QL55-G55*(XK55+AAX55))/(1-G55*CL55))),QL55/(1-MAX(0,CL55)*H_Exit)))</f>
        <v>0</v>
      </c>
      <c r="TZ55" s="20" t="n">
        <f aca="false">IF(ALM54&lt;=0,0,IF(H_Direct=1,IF(CM55&lt;=0,QM55,IF(QM55&lt;=(XL55+AAY55)/CM55,QM55,(QM55-G55*(XL55+AAY55))/(1-G55*CM55))),QM55/(1-MAX(0,CM55)*H_Exit)))</f>
        <v>0</v>
      </c>
      <c r="UA55" s="20" t="n">
        <f aca="false">IF(ALN54&lt;=0,0,IF(H_Direct=1,IF(CN55&lt;=0,QN55,IF(QN55&lt;=(XM55+AAZ55)/CN55,QN55,(QN55-G55*(XM55+AAZ55))/(1-G55*CN55))),QN55/(1-MAX(0,CN55)*H_Exit)))</f>
        <v>0</v>
      </c>
      <c r="UB55" s="20" t="n">
        <f aca="false">IF(ALO54&lt;=0,0,IF(H_Direct=1,IF(CO55&lt;=0,QO55,IF(QO55&lt;=(XN55+ABA55)/CO55,QO55,(QO55-G55*(XN55+ABA55))/(1-G55*CO55))),QO55/(1-MAX(0,CO55)*H_Exit)))</f>
        <v>0</v>
      </c>
      <c r="UC55" s="20" t="n">
        <f aca="false">IF(ALP54&lt;=0,0,IF(H_Direct=1,IF(CP55&lt;=0,QP55,IF(QP55&lt;=(XO55+ABB55)/CP55,QP55,(QP55-G55*(XO55+ABB55))/(1-G55*CP55))),QP55/(1-MAX(0,CP55)*H_Exit)))</f>
        <v>0</v>
      </c>
      <c r="UD55" s="20" t="n">
        <f aca="false">IF(ALQ54&lt;=0,0,IF(H_Direct=1,IF(CQ55&lt;=0,QQ55,IF(QQ55&lt;=(XP55+ABC55)/CQ55,QQ55,(QQ55-G55*(XP55+ABC55))/(1-G55*CQ55))),QQ55/(1-MAX(0,CQ55)*H_Exit)))</f>
        <v>0</v>
      </c>
      <c r="UE55" s="20" t="n">
        <f aca="false">IF(ALR54&lt;=0,0,IF(H_Direct=1,IF(CR55&lt;=0,QR55,IF(QR55&lt;=(XQ55+ABD55)/CR55,QR55,(QR55-G55*(XQ55+ABD55))/(1-G55*CR55))),QR55/(1-MAX(0,CR55)*H_Exit)))</f>
        <v>0</v>
      </c>
      <c r="UF55" s="20" t="n">
        <f aca="false">IF(ALS54&lt;=0,0,IF(H_Direct=1,IF(CS55&lt;=0,QS55,IF(QS55&lt;=(XR55+ABE55)/CS55,QS55,(QS55-G55*(XR55+ABE55))/(1-G55*CS55))),QS55/(1-MAX(0,CS55)*H_Exit)))</f>
        <v>0</v>
      </c>
      <c r="UG55" s="20" t="n">
        <f aca="false">IF(ALT54&lt;=0,0,IF(H_Direct=1,IF(CT55&lt;=0,QT55,IF(QT55&lt;=(XS55+ABF55)/CT55,QT55,(QT55-G55*(XS55+ABF55))/(1-G55*CT55))),QT55/(1-MAX(0,CT55)*H_Exit)))</f>
        <v>0</v>
      </c>
      <c r="UH55" s="20" t="n">
        <f aca="false">IF(ALU54&lt;=0,0,IF(H_Direct=1,IF(CU55&lt;=0,QU55,IF(QU55&lt;=(XT55+ABG55)/CU55,QU55,(QU55-G55*(XT55+ABG55))/(1-G55*CU55))),QU55/(1-MAX(0,CU55)*H_Exit)))</f>
        <v>0</v>
      </c>
      <c r="UI55" s="20" t="n">
        <f aca="false">IF(ALV54&lt;=0,0,IF(H_Direct=1,IF(CV55&lt;=0,QV55,IF(QV55&lt;=(XU55+ABH55)/CV55,QV55,(QV55-G55*(XU55+ABH55))/(1-G55*CV55))),QV55/(1-MAX(0,CV55)*H_Exit)))</f>
        <v>0</v>
      </c>
      <c r="UJ55" s="20" t="n">
        <f aca="false">IF(ALW54&lt;=0,0,IF(H_Direct=1,IF(CW55&lt;=0,QW55,IF(QW55&lt;=(XV55+ABI55)/CW55,QW55,(QW55-G55*(XV55+ABI55))/(1-G55*CW55))),QW55/(1-MAX(0,CW55)*H_Exit)))</f>
        <v>0</v>
      </c>
      <c r="UK55" s="20" t="n">
        <f aca="false">IF(ALX54&lt;=0,0,IF(H_Direct=1,IF(CX55&lt;=0,QX55,IF(QX55&lt;=(XW55+ABJ55)/CX55,QX55,(QX55-G55*(XW55+ABJ55))/(1-G55*CX55))),QX55/(1-MAX(0,CX55)*H_Exit)))</f>
        <v>0</v>
      </c>
      <c r="UL55" s="20" t="n">
        <f aca="false">IF(ALY54&lt;=0,0,IF(H_Direct=1,IF(CY55&lt;=0,QY55,IF(QY55&lt;=(XX55+ABK55)/CY55,QY55,(QY55-G55*(XX55+ABK55))/(1-G55*CY55))),QY55/(1-MAX(0,CY55)*H_Exit)))</f>
        <v>0</v>
      </c>
      <c r="UM55" s="20" t="n">
        <f aca="false">IF(ALZ54&lt;=0,0,IF(H_Direct=1,IF(CZ55&lt;=0,QZ55,IF(QZ55&lt;=(XY55+ABL55)/CZ55,QZ55,(QZ55-G55*(XY55+ABL55))/(1-G55*CZ55))),QZ55/(1-MAX(0,CZ55)*H_Exit)))</f>
        <v>0</v>
      </c>
      <c r="UN55" s="20" t="n">
        <f aca="false">IF(AMA54&lt;=0,0,IF(H_Direct=1,IF(DA55&lt;=0,RA55,IF(RA55&lt;=(XZ55+ABM55)/DA55,RA55,(RA55-G55*(XZ55+ABM55))/(1-G55*DA55))),RA55/(1-MAX(0,DA55)*H_Exit)))</f>
        <v>0</v>
      </c>
      <c r="UO55" s="20" t="n">
        <f aca="false">IF(AMB54&lt;=0,0,IF(H_Direct=1,IF(DB55&lt;=0,RB55,IF(RB55&lt;=(YA55+ABN55)/DB55,RB55,(RB55-G55*(YA55+ABN55))/(1-G55*DB55))),RB55/(1-MAX(0,DB55)*H_Exit)))</f>
        <v>0</v>
      </c>
      <c r="UP55" s="20" t="n">
        <f aca="false">IF(AMC54&lt;=0,0,IF(H_Direct=1,IF(DC55&lt;=0,RC55,IF(RC55&lt;=(YB55+ABO55)/DC55,RC55,(RC55-G55*(YB55+ABO55))/(1-G55*DC55))),RC55/(1-MAX(0,DC55)*H_Exit)))</f>
        <v>0</v>
      </c>
      <c r="UQ55" s="20" t="n">
        <f aca="false">IF(AMD54&lt;=0,0,IF(H_Direct=1,IF(DD55&lt;=0,RD55,IF(RD55&lt;=(YC55+ABP55)/DD55,RD55,(RD55-G55*(YC55+ABP55))/(1-G55*DD55))),RD55/(1-MAX(0,DD55)*H_Exit)))</f>
        <v>0</v>
      </c>
      <c r="UR55" s="20" t="n">
        <f aca="false">IF(AME54&lt;=0,0,IF(H_Direct=1,IF(DE55&lt;=0,RE55,IF(RE55&lt;=(YD55+ABQ55)/DE55,RE55,(RE55-G55*(YD55+ABQ55))/(1-G55*DE55))),RE55/(1-MAX(0,DE55)*H_Exit)))</f>
        <v>0</v>
      </c>
      <c r="US55" s="20" t="n">
        <f aca="false">IF(AMF54&lt;=0,0,IF(H_Direct=1,IF(DF55&lt;=0,RF55,IF(RF55&lt;=(YE55+ABR55)/DF55,RF55,(RF55-G55*(YE55+ABR55))/(1-G55*DF55))),RF55/(1-MAX(0,DF55)*H_Exit)))</f>
        <v>0</v>
      </c>
      <c r="UT55" s="20" t="n">
        <f aca="false">IF(AMG54&lt;=0,0,IF(H_Direct=1,IF(DG55&lt;=0,RG55,IF(RG55&lt;=(YF55+ABS55)/DG55,RG55,(RG55-G55*(YF55+ABS55))/(1-G55*DG55))),RG55/(1-MAX(0,DG55)*H_Exit)))</f>
        <v>0</v>
      </c>
      <c r="UU55" s="20" t="n">
        <f aca="false">IF(AMH54&lt;=0,0,IF(H_Direct=1,IF(DH55&lt;=0,RH55,IF(RH55&lt;=(YG55+ABT55)/DH55,RH55,(RH55-G55*(YG55+ABT55))/(1-G55*DH55))),RH55/(1-MAX(0,DH55)*H_Exit)))</f>
        <v>0</v>
      </c>
      <c r="UV55" s="20" t="n">
        <f aca="false">IF(AMI54&lt;=0,0,IF(H_Direct=1,IF(DI55&lt;=0,RI55,IF(RI55&lt;=(YH55+ABU55)/DI55,RI55,(RI55-G55*(YH55+ABU55))/(1-G55*DI55))),RI55/(1-MAX(0,DI55)*H_Exit)))</f>
        <v>0</v>
      </c>
      <c r="UW55" s="20" t="n">
        <f aca="false">IF(AMJ54&lt;=0,0,IF(H_Direct=1,IF(DJ55&lt;=0,RJ55,IF(RJ55&lt;=(YI55+ABV55)/DJ55,RJ55,(RJ55-G55*(YI55+ABV55))/(1-G55*DJ55))),RJ55/(1-MAX(0,DJ55)*H_Exit)))</f>
        <v>0</v>
      </c>
      <c r="UX55" s="20" t="n">
        <f aca="false">IF(AMK54&lt;=0,0,IF(H_Direct=1,IF(DK55&lt;=0,RK55,IF(RK55&lt;=(YJ55+ABW55)/DK55,RK55,(RK55-G55*(YJ55+ABW55))/(1-G55*DK55))),RK55/(1-MAX(0,DK55)*H_Exit)))</f>
        <v>0</v>
      </c>
      <c r="UY55" s="20" t="n">
        <f aca="false">IF(AML54&lt;=0,0,IF(H_Direct=1,IF(DL55&lt;=0,RL55,IF(RL55&lt;=(YK55+ABX55)/DL55,RL55,(RL55-G55*(YK55+ABX55))/(1-G55*DL55))),RL55/(1-MAX(0,DL55)*H_Exit)))</f>
        <v>0</v>
      </c>
      <c r="UZ55" s="20" t="n">
        <f aca="false">IF(AMM54&lt;=0,0,IF(H_Direct=1,IF(DM55&lt;=0,RM55,IF(RM55&lt;=(YL55+ABY55)/DM55,RM55,(RM55-G55*(YL55+ABY55))/(1-G55*DM55))),RM55/(1-MAX(0,DM55)*H_Exit)))</f>
        <v>0</v>
      </c>
      <c r="VA55" s="20" t="n">
        <f aca="false">IF((P55+S55)&lt;=0,0,IF(H_Direct=1,IF(DN55&lt;=0,RN55,IF(RN55&lt;=(YM55+ABZ55)/DN55,RN55,(RN55-G55*(YM55+ABZ55))/(1-G55*DN55))),RN55/(1-MAX(0,DN55)*H_Exit)))</f>
        <v>0</v>
      </c>
      <c r="VB55" s="20" t="n">
        <v>0</v>
      </c>
      <c r="VC55" s="20" t="n">
        <v>0</v>
      </c>
      <c r="VD55" s="20" t="n">
        <v>0</v>
      </c>
      <c r="VE55" s="20" t="n">
        <v>0</v>
      </c>
      <c r="VF55" s="20" t="n">
        <v>0</v>
      </c>
      <c r="VG55" s="20" t="n">
        <v>0</v>
      </c>
      <c r="VH55" s="20" t="n">
        <v>0</v>
      </c>
      <c r="VI55" s="20" t="n">
        <v>0</v>
      </c>
      <c r="VJ55" s="20" t="n">
        <v>0</v>
      </c>
      <c r="VK55" s="20" t="n">
        <v>0</v>
      </c>
      <c r="VL55" s="20" t="n">
        <v>0</v>
      </c>
      <c r="VM55" s="20" t="n">
        <v>0</v>
      </c>
      <c r="VN55" s="20" t="n">
        <v>0</v>
      </c>
      <c r="VO55" s="20" t="n">
        <v>0</v>
      </c>
      <c r="VP55" s="20" t="n">
        <v>0</v>
      </c>
      <c r="VQ55" s="20" t="n">
        <v>0</v>
      </c>
      <c r="VR55" s="20" t="n">
        <v>0</v>
      </c>
      <c r="VS55" s="20" t="n">
        <v>0</v>
      </c>
      <c r="VT55" s="20" t="n">
        <v>0</v>
      </c>
      <c r="VU55" s="20" t="n">
        <v>0</v>
      </c>
      <c r="VV55" s="20" t="n">
        <v>0</v>
      </c>
      <c r="VW55" s="20" t="n">
        <v>0</v>
      </c>
      <c r="VX55" s="20" t="n">
        <v>0</v>
      </c>
      <c r="VY55" s="20" t="n">
        <v>0</v>
      </c>
      <c r="VZ55" s="20" t="n">
        <v>0</v>
      </c>
      <c r="WA55" s="20" t="n">
        <v>0</v>
      </c>
      <c r="WB55" s="20" t="n">
        <v>0</v>
      </c>
      <c r="WC55" s="20" t="n">
        <v>0</v>
      </c>
      <c r="WD55" s="20" t="n">
        <v>0</v>
      </c>
      <c r="WE55" s="20" t="n">
        <v>0</v>
      </c>
      <c r="WF55" s="20" t="n">
        <v>0</v>
      </c>
      <c r="WG55" s="20" t="n">
        <v>0</v>
      </c>
      <c r="WH55" s="20" t="n">
        <v>0</v>
      </c>
      <c r="WI55" s="20" t="n">
        <v>0</v>
      </c>
      <c r="WJ55" s="20" t="n">
        <v>0</v>
      </c>
      <c r="WK55" s="20" t="n">
        <v>0</v>
      </c>
      <c r="WL55" s="20" t="n">
        <v>0</v>
      </c>
      <c r="WM55" s="20" t="n">
        <v>0</v>
      </c>
      <c r="WN55" s="20" t="n">
        <v>0</v>
      </c>
      <c r="WO55" s="20" t="n">
        <v>0</v>
      </c>
      <c r="WP55" s="20" t="n">
        <v>0</v>
      </c>
      <c r="WQ55" s="20" t="n">
        <v>0</v>
      </c>
      <c r="WR55" s="20" t="n">
        <f aca="false">IF(AND(H_Direct=1,BR55&gt;0),MAX(0,H55-(MIN(BR55*TE55,(H55+I55))-MIN(MIN(BR55*TE55,(H55+I55)),I55))),H55)</f>
        <v>1270</v>
      </c>
      <c r="WS55" s="20" t="n">
        <f aca="false">IF(AND(H_Direct=1,BS55&gt;0),MAX(0,WR55-(MIN(BS55*TF55,(WR55+AAE55))-MIN(MIN(BS55*TF55,(WR55+AAE55)),AAE55))),WR55)</f>
        <v>1270</v>
      </c>
      <c r="WT55" s="20" t="n">
        <f aca="false">IF(AND(H_Direct=1,BT55&gt;0),MAX(0,WS55-(MIN(BT55*TG55,(WS55+AAF55))-MIN(MIN(BT55*TG55,(WS55+AAF55)),AAF55))),WS55)</f>
        <v>1270</v>
      </c>
      <c r="WU55" s="20" t="n">
        <f aca="false">IF(AND(H_Direct=1,BU55&gt;0),MAX(0,WT55-(MIN(BU55*TH55,(WT55+AAG55))-MIN(MIN(BU55*TH55,(WT55+AAG55)),AAG55))),WT55)</f>
        <v>1270</v>
      </c>
      <c r="WV55" s="20" t="n">
        <f aca="false">IF(AND(H_Direct=1,BV55&gt;0),MAX(0,WU55-(MIN(BV55*TI55,(WU55+AAH55))-MIN(MIN(BV55*TI55,(WU55+AAH55)),AAH55))),WU55)</f>
        <v>1270</v>
      </c>
      <c r="WW55" s="20" t="n">
        <f aca="false">IF(AND(H_Direct=1,BW55&gt;0),MAX(0,WV55-(MIN(BW55*TJ55,(WV55+AAI55))-MIN(MIN(BW55*TJ55,(WV55+AAI55)),AAI55))),WV55)</f>
        <v>1270</v>
      </c>
      <c r="WX55" s="20" t="n">
        <f aca="false">IF(AND(H_Direct=1,BX55&gt;0),MAX(0,WW55-(MIN(BX55*TK55,(WW55+AAJ55))-MIN(MIN(BX55*TK55,(WW55+AAJ55)),AAJ55))),WW55)</f>
        <v>1270</v>
      </c>
      <c r="WY55" s="20" t="n">
        <f aca="false">IF(AND(H_Direct=1,BY55&gt;0),MAX(0,WX55-(MIN(BY55*TL55,(WX55+AAK55))-MIN(MIN(BY55*TL55,(WX55+AAK55)),AAK55))),WX55)</f>
        <v>1270</v>
      </c>
      <c r="WZ55" s="20" t="n">
        <f aca="false">IF(AND(H_Direct=1,BZ55&gt;0),MAX(0,WY55-(MIN(BZ55*TM55,(WY55+AAL55))-MIN(MIN(BZ55*TM55,(WY55+AAL55)),AAL55))),WY55)</f>
        <v>1270</v>
      </c>
      <c r="XA55" s="20" t="n">
        <f aca="false">IF(AND(H_Direct=1,CA55&gt;0),MAX(0,WZ55-(MIN(CA55*TN55,(WZ55+AAM55))-MIN(MIN(CA55*TN55,(WZ55+AAM55)),AAM55))),WZ55)</f>
        <v>1270</v>
      </c>
      <c r="XB55" s="20" t="n">
        <f aca="false">IF(AND(H_Direct=1,CB55&gt;0),MAX(0,XA55-(MIN(CB55*TO55,(XA55+AAN55))-MIN(MIN(CB55*TO55,(XA55+AAN55)),AAN55))),XA55)</f>
        <v>1270</v>
      </c>
      <c r="XC55" s="20" t="n">
        <f aca="false">IF(AND(H_Direct=1,CC55&gt;0),MAX(0,XB55-(MIN(CC55*TP55,(XB55+AAO55))-MIN(MIN(CC55*TP55,(XB55+AAO55)),AAO55))),XB55)</f>
        <v>1270</v>
      </c>
      <c r="XD55" s="20" t="n">
        <f aca="false">IF(AND(H_Direct=1,CD55&gt;0),MAX(0,XC55-(MIN(CD55*TQ55,(XC55+AAP55))-MIN(MIN(CD55*TQ55,(XC55+AAP55)),AAP55))),XC55)</f>
        <v>1270</v>
      </c>
      <c r="XE55" s="20" t="n">
        <f aca="false">IF(AND(H_Direct=1,CE55&gt;0),MAX(0,XD55-(MIN(CE55*TR55,(XD55+AAQ55))-MIN(MIN(CE55*TR55,(XD55+AAQ55)),AAQ55))),XD55)</f>
        <v>1270</v>
      </c>
      <c r="XF55" s="20" t="n">
        <f aca="false">IF(AND(H_Direct=1,CF55&gt;0),MAX(0,XE55-(MIN(CF55*TS55,(XE55+AAR55))-MIN(MIN(CF55*TS55,(XE55+AAR55)),AAR55))),XE55)</f>
        <v>1270</v>
      </c>
      <c r="XG55" s="20" t="n">
        <f aca="false">IF(AND(H_Direct=1,CG55&gt;0),MAX(0,XF55-(MIN(CG55*TT55,(XF55+AAS55))-MIN(MIN(CG55*TT55,(XF55+AAS55)),AAS55))),XF55)</f>
        <v>1270</v>
      </c>
      <c r="XH55" s="20" t="n">
        <f aca="false">IF(AND(H_Direct=1,CH55&gt;0),MAX(0,XG55-(MIN(CH55*TU55,(XG55+AAT55))-MIN(MIN(CH55*TU55,(XG55+AAT55)),AAT55))),XG55)</f>
        <v>1270</v>
      </c>
      <c r="XI55" s="20" t="n">
        <f aca="false">IF(AND(H_Direct=1,CI55&gt;0),MAX(0,XH55-(MIN(CI55*TV55,(XH55+AAU55))-MIN(MIN(CI55*TV55,(XH55+AAU55)),AAU55))),XH55)</f>
        <v>1270</v>
      </c>
      <c r="XJ55" s="20" t="n">
        <f aca="false">IF(AND(H_Direct=1,CJ55&gt;0),MAX(0,XI55-(MIN(CJ55*TW55,(XI55+AAV55))-MIN(MIN(CJ55*TW55,(XI55+AAV55)),AAV55))),XI55)</f>
        <v>1270</v>
      </c>
      <c r="XK55" s="20" t="n">
        <f aca="false">IF(AND(H_Direct=1,CK55&gt;0),MAX(0,XJ55-(MIN(CK55*TX55,(XJ55+AAW55))-MIN(MIN(CK55*TX55,(XJ55+AAW55)),AAW55))),XJ55)</f>
        <v>1270</v>
      </c>
      <c r="XL55" s="20" t="n">
        <f aca="false">IF(AND(H_Direct=1,CL55&gt;0),MAX(0,XK55-(MIN(CL55*TY55,(XK55+AAX55))-MIN(MIN(CL55*TY55,(XK55+AAX55)),AAX55))),XK55)</f>
        <v>1270</v>
      </c>
      <c r="XM55" s="20" t="n">
        <f aca="false">IF(AND(H_Direct=1,CM55&gt;0),MAX(0,XL55-(MIN(CM55*TZ55,(XL55+AAY55))-MIN(MIN(CM55*TZ55,(XL55+AAY55)),AAY55))),XL55)</f>
        <v>1270</v>
      </c>
      <c r="XN55" s="20" t="n">
        <f aca="false">IF(AND(H_Direct=1,CN55&gt;0),MAX(0,XM55-(MIN(CN55*UA55,(XM55+AAZ55))-MIN(MIN(CN55*UA55,(XM55+AAZ55)),AAZ55))),XM55)</f>
        <v>1270</v>
      </c>
      <c r="XO55" s="20" t="n">
        <f aca="false">IF(AND(H_Direct=1,CO55&gt;0),MAX(0,XN55-(MIN(CO55*UB55,(XN55+ABA55))-MIN(MIN(CO55*UB55,(XN55+ABA55)),ABA55))),XN55)</f>
        <v>1270</v>
      </c>
      <c r="XP55" s="20" t="n">
        <f aca="false">IF(AND(H_Direct=1,CP55&gt;0),MAX(0,XO55-(MIN(CP55*UC55,(XO55+ABB55))-MIN(MIN(CP55*UC55,(XO55+ABB55)),ABB55))),XO55)</f>
        <v>1270</v>
      </c>
      <c r="XQ55" s="20" t="n">
        <f aca="false">IF(AND(H_Direct=1,CQ55&gt;0),MAX(0,XP55-(MIN(CQ55*UD55,(XP55+ABC55))-MIN(MIN(CQ55*UD55,(XP55+ABC55)),ABC55))),XP55)</f>
        <v>1270</v>
      </c>
      <c r="XR55" s="20" t="n">
        <f aca="false">IF(AND(H_Direct=1,CR55&gt;0),MAX(0,XQ55-(MIN(CR55*UE55,(XQ55+ABD55))-MIN(MIN(CR55*UE55,(XQ55+ABD55)),ABD55))),XQ55)</f>
        <v>1270</v>
      </c>
      <c r="XS55" s="20" t="n">
        <f aca="false">IF(AND(H_Direct=1,CS55&gt;0),MAX(0,XR55-(MIN(CS55*UF55,(XR55+ABE55))-MIN(MIN(CS55*UF55,(XR55+ABE55)),ABE55))),XR55)</f>
        <v>1270</v>
      </c>
      <c r="XT55" s="20" t="n">
        <f aca="false">IF(AND(H_Direct=1,CT55&gt;0),MAX(0,XS55-(MIN(CT55*UG55,(XS55+ABF55))-MIN(MIN(CT55*UG55,(XS55+ABF55)),ABF55))),XS55)</f>
        <v>1270</v>
      </c>
      <c r="XU55" s="20" t="n">
        <f aca="false">IF(AND(H_Direct=1,CU55&gt;0),MAX(0,XT55-(MIN(CU55*UH55,(XT55+ABG55))-MIN(MIN(CU55*UH55,(XT55+ABG55)),ABG55))),XT55)</f>
        <v>1270</v>
      </c>
      <c r="XV55" s="20" t="n">
        <f aca="false">IF(AND(H_Direct=1,CV55&gt;0),MAX(0,XU55-(MIN(CV55*UI55,(XU55+ABH55))-MIN(MIN(CV55*UI55,(XU55+ABH55)),ABH55))),XU55)</f>
        <v>1270</v>
      </c>
      <c r="XW55" s="20" t="n">
        <f aca="false">IF(AND(H_Direct=1,CW55&gt;0),MAX(0,XV55-(MIN(CW55*UJ55,(XV55+ABI55))-MIN(MIN(CW55*UJ55,(XV55+ABI55)),ABI55))),XV55)</f>
        <v>1270</v>
      </c>
      <c r="XX55" s="20" t="n">
        <f aca="false">IF(AND(H_Direct=1,CX55&gt;0),MAX(0,XW55-(MIN(CX55*UK55,(XW55+ABJ55))-MIN(MIN(CX55*UK55,(XW55+ABJ55)),ABJ55))),XW55)</f>
        <v>1270</v>
      </c>
      <c r="XY55" s="20" t="n">
        <f aca="false">IF(AND(H_Direct=1,CY55&gt;0),MAX(0,XX55-(MIN(CY55*UL55,(XX55+ABK55))-MIN(MIN(CY55*UL55,(XX55+ABK55)),ABK55))),XX55)</f>
        <v>1270</v>
      </c>
      <c r="XZ55" s="20" t="n">
        <f aca="false">IF(AND(H_Direct=1,CZ55&gt;0),MAX(0,XY55-(MIN(CZ55*UM55,(XY55+ABL55))-MIN(MIN(CZ55*UM55,(XY55+ABL55)),ABL55))),XY55)</f>
        <v>1270</v>
      </c>
      <c r="YA55" s="20" t="n">
        <f aca="false">IF(AND(H_Direct=1,DA55&gt;0),MAX(0,XZ55-(MIN(DA55*UN55,(XZ55+ABM55))-MIN(MIN(DA55*UN55,(XZ55+ABM55)),ABM55))),XZ55)</f>
        <v>1270</v>
      </c>
      <c r="YB55" s="20" t="n">
        <f aca="false">IF(AND(H_Direct=1,DB55&gt;0),MAX(0,YA55-(MIN(DB55*UO55,(YA55+ABN55))-MIN(MIN(DB55*UO55,(YA55+ABN55)),ABN55))),YA55)</f>
        <v>1270</v>
      </c>
      <c r="YC55" s="20" t="n">
        <f aca="false">IF(AND(H_Direct=1,DC55&gt;0),MAX(0,YB55-(MIN(DC55*UP55,(YB55+ABO55))-MIN(MIN(DC55*UP55,(YB55+ABO55)),ABO55))),YB55)</f>
        <v>1270</v>
      </c>
      <c r="YD55" s="20" t="n">
        <f aca="false">IF(AND(H_Direct=1,DD55&gt;0),MAX(0,YC55-(MIN(DD55*UQ55,(YC55+ABP55))-MIN(MIN(DD55*UQ55,(YC55+ABP55)),ABP55))),YC55)</f>
        <v>1270</v>
      </c>
      <c r="YE55" s="20" t="n">
        <f aca="false">IF(AND(H_Direct=1,DE55&gt;0),MAX(0,YD55-(MIN(DE55*UR55,(YD55+ABQ55))-MIN(MIN(DE55*UR55,(YD55+ABQ55)),ABQ55))),YD55)</f>
        <v>1270</v>
      </c>
      <c r="YF55" s="20" t="n">
        <f aca="false">IF(AND(H_Direct=1,DF55&gt;0),MAX(0,YE55-(MIN(DF55*US55,(YE55+ABR55))-MIN(MIN(DF55*US55,(YE55+ABR55)),ABR55))),YE55)</f>
        <v>1270</v>
      </c>
      <c r="YG55" s="20" t="n">
        <f aca="false">IF(AND(H_Direct=1,DG55&gt;0),MAX(0,YF55-(MIN(DG55*UT55,(YF55+ABS55))-MIN(MIN(DG55*UT55,(YF55+ABS55)),ABS55))),YF55)</f>
        <v>1270</v>
      </c>
      <c r="YH55" s="20" t="n">
        <f aca="false">IF(AND(H_Direct=1,DH55&gt;0),MAX(0,YG55-(MIN(DH55*UU55,(YG55+ABT55))-MIN(MIN(DH55*UU55,(YG55+ABT55)),ABT55))),YG55)</f>
        <v>1270</v>
      </c>
      <c r="YI55" s="20" t="n">
        <f aca="false">IF(AND(H_Direct=1,DI55&gt;0),MAX(0,YH55-(MIN(DI55*UV55,(YH55+ABU55))-MIN(MIN(DI55*UV55,(YH55+ABU55)),ABU55))),YH55)</f>
        <v>1270</v>
      </c>
      <c r="YJ55" s="20" t="n">
        <f aca="false">IF(AND(H_Direct=1,DJ55&gt;0),MAX(0,YI55-(MIN(DJ55*UW55,(YI55+ABV55))-MIN(MIN(DJ55*UW55,(YI55+ABV55)),ABV55))),YI55)</f>
        <v>1270</v>
      </c>
      <c r="YK55" s="20" t="n">
        <f aca="false">IF(AND(H_Direct=1,DK55&gt;0),MAX(0,YJ55-(MIN(DK55*UX55,(YJ55+ABW55))-MIN(MIN(DK55*UX55,(YJ55+ABW55)),ABW55))),YJ55)</f>
        <v>1270</v>
      </c>
      <c r="YL55" s="20" t="n">
        <f aca="false">IF(AND(H_Direct=1,DL55&gt;0),MAX(0,YK55-(MIN(DL55*UY55,(YK55+ABX55))-MIN(MIN(DL55*UY55,(YK55+ABX55)),ABX55))),YK55)</f>
        <v>1270</v>
      </c>
      <c r="YM55" s="20" t="n">
        <f aca="false">IF(AND(H_Direct=1,DM55&gt;0),MAX(0,YL55-(MIN(DM55*UZ55,(YL55+ABY55))-MIN(MIN(DM55*UZ55,(YL55+ABY55)),ABY55))),YL55)</f>
        <v>1270</v>
      </c>
      <c r="YN55" s="20" t="n">
        <f aca="false">IF(AND(H_Direct=1,DN55&gt;0),MAX(0,YM55-(MIN(DN55*VA55,(YM55+ABZ55))-MIN(MIN(DN55*VA55,(YM55+ABZ55)),ABZ55))),YM55)</f>
        <v>1270</v>
      </c>
      <c r="YO55" s="20" t="n">
        <f aca="false">YN55</f>
        <v>1270</v>
      </c>
      <c r="YP55" s="20" t="n">
        <f aca="false">YO55</f>
        <v>1270</v>
      </c>
      <c r="YQ55" s="20" t="n">
        <f aca="false">YP55</f>
        <v>1270</v>
      </c>
      <c r="YR55" s="20" t="n">
        <f aca="false">YQ55</f>
        <v>1270</v>
      </c>
      <c r="YS55" s="20" t="n">
        <f aca="false">YR55</f>
        <v>1270</v>
      </c>
      <c r="YT55" s="20" t="n">
        <f aca="false">YS55</f>
        <v>1270</v>
      </c>
      <c r="YU55" s="20" t="n">
        <f aca="false">YT55</f>
        <v>1270</v>
      </c>
      <c r="YV55" s="20" t="n">
        <f aca="false">YU55</f>
        <v>1270</v>
      </c>
      <c r="YW55" s="20" t="n">
        <f aca="false">YV55</f>
        <v>1270</v>
      </c>
      <c r="YX55" s="20" t="n">
        <f aca="false">YW55</f>
        <v>1270</v>
      </c>
      <c r="YY55" s="20" t="n">
        <f aca="false">YX55</f>
        <v>1270</v>
      </c>
      <c r="YZ55" s="20" t="n">
        <f aca="false">YY55</f>
        <v>1270</v>
      </c>
      <c r="ZA55" s="20" t="n">
        <f aca="false">YZ55</f>
        <v>1270</v>
      </c>
      <c r="ZB55" s="20" t="n">
        <f aca="false">ZA55</f>
        <v>1270</v>
      </c>
      <c r="ZC55" s="20" t="n">
        <f aca="false">ZB55</f>
        <v>1270</v>
      </c>
      <c r="ZD55" s="20" t="n">
        <f aca="false">ZC55</f>
        <v>1270</v>
      </c>
      <c r="ZE55" s="20" t="n">
        <f aca="false">ZD55</f>
        <v>1270</v>
      </c>
      <c r="ZF55" s="20" t="n">
        <f aca="false">ZE55</f>
        <v>1270</v>
      </c>
      <c r="ZG55" s="20" t="n">
        <f aca="false">ZF55</f>
        <v>1270</v>
      </c>
      <c r="ZH55" s="20" t="n">
        <f aca="false">ZG55</f>
        <v>1270</v>
      </c>
      <c r="ZI55" s="20" t="n">
        <f aca="false">ZH55</f>
        <v>1270</v>
      </c>
      <c r="ZJ55" s="20" t="n">
        <f aca="false">ZI55</f>
        <v>1270</v>
      </c>
      <c r="ZK55" s="20" t="n">
        <f aca="false">ZJ55</f>
        <v>1270</v>
      </c>
      <c r="ZL55" s="20" t="n">
        <f aca="false">ZK55</f>
        <v>1270</v>
      </c>
      <c r="ZM55" s="20" t="n">
        <f aca="false">ZL55</f>
        <v>1270</v>
      </c>
      <c r="ZN55" s="20" t="n">
        <f aca="false">ZM55</f>
        <v>1270</v>
      </c>
      <c r="ZO55" s="20" t="n">
        <f aca="false">ZN55</f>
        <v>1270</v>
      </c>
      <c r="ZP55" s="20" t="n">
        <f aca="false">ZO55</f>
        <v>1270</v>
      </c>
      <c r="ZQ55" s="20" t="n">
        <f aca="false">ZP55</f>
        <v>1270</v>
      </c>
      <c r="ZR55" s="20" t="n">
        <f aca="false">ZQ55</f>
        <v>1270</v>
      </c>
      <c r="ZS55" s="20" t="n">
        <f aca="false">ZR55</f>
        <v>1270</v>
      </c>
      <c r="ZT55" s="20" t="n">
        <f aca="false">ZS55</f>
        <v>1270</v>
      </c>
      <c r="ZU55" s="20" t="n">
        <f aca="false">ZT55</f>
        <v>1270</v>
      </c>
      <c r="ZV55" s="20" t="n">
        <f aca="false">ZU55</f>
        <v>1270</v>
      </c>
      <c r="ZW55" s="20" t="n">
        <f aca="false">ZV55</f>
        <v>1270</v>
      </c>
      <c r="ZX55" s="20" t="n">
        <f aca="false">ZW55</f>
        <v>1270</v>
      </c>
      <c r="ZY55" s="20" t="n">
        <f aca="false">ZX55</f>
        <v>1270</v>
      </c>
      <c r="ZZ55" s="20" t="n">
        <f aca="false">ZY55</f>
        <v>1270</v>
      </c>
      <c r="AAA55" s="20" t="n">
        <f aca="false">ZZ55</f>
        <v>1270</v>
      </c>
      <c r="AAB55" s="20" t="n">
        <f aca="false">AAA55</f>
        <v>1270</v>
      </c>
      <c r="AAC55" s="20" t="n">
        <f aca="false">AAB55</f>
        <v>1270</v>
      </c>
      <c r="AAD55" s="20" t="n">
        <f aca="false">AAC55</f>
        <v>1270</v>
      </c>
      <c r="AAE55" s="20" t="n">
        <f aca="false">IF(H_Direct=1,IF(BR55&lt;=0,I55-BR55*TE55,I55-MIN(MIN(BR55*TE55,(H55+I55)),I55)),I55)</f>
        <v>0</v>
      </c>
      <c r="AAF55" s="20" t="n">
        <f aca="false">IF(H_Direct=1,IF(BS55&lt;=0,AAE55-BS55*TF55,AAE55-MIN(MIN(BS55*TF55,(WR55+AAE55)),AAE55)),AAE55)</f>
        <v>0</v>
      </c>
      <c r="AAG55" s="20" t="n">
        <f aca="false">IF(H_Direct=1,IF(BT55&lt;=0,AAF55-BT55*TG55,AAF55-MIN(MIN(BT55*TG55,(WS55+AAF55)),AAF55)),AAF55)</f>
        <v>0</v>
      </c>
      <c r="AAH55" s="20" t="n">
        <f aca="false">IF(H_Direct=1,IF(BU55&lt;=0,AAG55-BU55*TH55,AAG55-MIN(MIN(BU55*TH55,(WT55+AAG55)),AAG55)),AAG55)</f>
        <v>0</v>
      </c>
      <c r="AAI55" s="20" t="n">
        <f aca="false">IF(H_Direct=1,IF(BV55&lt;=0,AAH55-BV55*TI55,AAH55-MIN(MIN(BV55*TI55,(WU55+AAH55)),AAH55)),AAH55)</f>
        <v>0</v>
      </c>
      <c r="AAJ55" s="20" t="n">
        <f aca="false">IF(H_Direct=1,IF(BW55&lt;=0,AAI55-BW55*TJ55,AAI55-MIN(MIN(BW55*TJ55,(WV55+AAI55)),AAI55)),AAI55)</f>
        <v>0</v>
      </c>
      <c r="AAK55" s="20" t="n">
        <f aca="false">IF(H_Direct=1,IF(BX55&lt;=0,AAJ55-BX55*TK55,AAJ55-MIN(MIN(BX55*TK55,(WW55+AAJ55)),AAJ55)),AAJ55)</f>
        <v>0</v>
      </c>
      <c r="AAL55" s="20" t="n">
        <f aca="false">IF(H_Direct=1,IF(BY55&lt;=0,AAK55-BY55*TL55,AAK55-MIN(MIN(BY55*TL55,(WX55+AAK55)),AAK55)),AAK55)</f>
        <v>0</v>
      </c>
      <c r="AAM55" s="20" t="n">
        <f aca="false">IF(H_Direct=1,IF(BZ55&lt;=0,AAL55-BZ55*TM55,AAL55-MIN(MIN(BZ55*TM55,(WY55+AAL55)),AAL55)),AAL55)</f>
        <v>0</v>
      </c>
      <c r="AAN55" s="20" t="n">
        <f aca="false">IF(H_Direct=1,IF(CA55&lt;=0,AAM55-CA55*TN55,AAM55-MIN(MIN(CA55*TN55,(WZ55+AAM55)),AAM55)),AAM55)</f>
        <v>0</v>
      </c>
      <c r="AAO55" s="20" t="n">
        <f aca="false">IF(H_Direct=1,IF(CB55&lt;=0,AAN55-CB55*TO55,AAN55-MIN(MIN(CB55*TO55,(XA55+AAN55)),AAN55)),AAN55)</f>
        <v>0</v>
      </c>
      <c r="AAP55" s="20" t="n">
        <f aca="false">IF(H_Direct=1,IF(CC55&lt;=0,AAO55-CC55*TP55,AAO55-MIN(MIN(CC55*TP55,(XB55+AAO55)),AAO55)),AAO55)</f>
        <v>0</v>
      </c>
      <c r="AAQ55" s="20" t="n">
        <f aca="false">IF(H_Direct=1,IF(CD55&lt;=0,AAP55-CD55*TQ55,AAP55-MIN(MIN(CD55*TQ55,(XC55+AAP55)),AAP55)),AAP55)</f>
        <v>0</v>
      </c>
      <c r="AAR55" s="20" t="n">
        <f aca="false">IF(H_Direct=1,IF(CE55&lt;=0,AAQ55-CE55*TR55,AAQ55-MIN(MIN(CE55*TR55,(XD55+AAQ55)),AAQ55)),AAQ55)</f>
        <v>0</v>
      </c>
      <c r="AAS55" s="20" t="n">
        <f aca="false">IF(H_Direct=1,IF(CF55&lt;=0,AAR55-CF55*TS55,AAR55-MIN(MIN(CF55*TS55,(XE55+AAR55)),AAR55)),AAR55)</f>
        <v>0</v>
      </c>
      <c r="AAT55" s="20" t="n">
        <f aca="false">IF(H_Direct=1,IF(CG55&lt;=0,AAS55-CG55*TT55,AAS55-MIN(MIN(CG55*TT55,(XF55+AAS55)),AAS55)),AAS55)</f>
        <v>0</v>
      </c>
      <c r="AAU55" s="20" t="n">
        <f aca="false">IF(H_Direct=1,IF(CH55&lt;=0,AAT55-CH55*TU55,AAT55-MIN(MIN(CH55*TU55,(XG55+AAT55)),AAT55)),AAT55)</f>
        <v>0</v>
      </c>
      <c r="AAV55" s="20" t="n">
        <f aca="false">IF(H_Direct=1,IF(CI55&lt;=0,AAU55-CI55*TV55,AAU55-MIN(MIN(CI55*TV55,(XH55+AAU55)),AAU55)),AAU55)</f>
        <v>0</v>
      </c>
      <c r="AAW55" s="20" t="n">
        <f aca="false">IF(H_Direct=1,IF(CJ55&lt;=0,AAV55-CJ55*TW55,AAV55-MIN(MIN(CJ55*TW55,(XI55+AAV55)),AAV55)),AAV55)</f>
        <v>0</v>
      </c>
      <c r="AAX55" s="20" t="n">
        <f aca="false">IF(H_Direct=1,IF(CK55&lt;=0,AAW55-CK55*TX55,AAW55-MIN(MIN(CK55*TX55,(XJ55+AAW55)),AAW55)),AAW55)</f>
        <v>0</v>
      </c>
      <c r="AAY55" s="20" t="n">
        <f aca="false">IF(H_Direct=1,IF(CL55&lt;=0,AAX55-CL55*TY55,AAX55-MIN(MIN(CL55*TY55,(XK55+AAX55)),AAX55)),AAX55)</f>
        <v>0</v>
      </c>
      <c r="AAZ55" s="20" t="n">
        <f aca="false">IF(H_Direct=1,IF(CM55&lt;=0,AAY55-CM55*TZ55,AAY55-MIN(MIN(CM55*TZ55,(XL55+AAY55)),AAY55)),AAY55)</f>
        <v>0</v>
      </c>
      <c r="ABA55" s="20" t="n">
        <f aca="false">IF(H_Direct=1,IF(CN55&lt;=0,AAZ55-CN55*UA55,AAZ55-MIN(MIN(CN55*UA55,(XM55+AAZ55)),AAZ55)),AAZ55)</f>
        <v>0</v>
      </c>
      <c r="ABB55" s="20" t="n">
        <f aca="false">IF(H_Direct=1,IF(CO55&lt;=0,ABA55-CO55*UB55,ABA55-MIN(MIN(CO55*UB55,(XN55+ABA55)),ABA55)),ABA55)</f>
        <v>0</v>
      </c>
      <c r="ABC55" s="20" t="n">
        <f aca="false">IF(H_Direct=1,IF(CP55&lt;=0,ABB55-CP55*UC55,ABB55-MIN(MIN(CP55*UC55,(XO55+ABB55)),ABB55)),ABB55)</f>
        <v>0</v>
      </c>
      <c r="ABD55" s="20" t="n">
        <f aca="false">IF(H_Direct=1,IF(CQ55&lt;=0,ABC55-CQ55*UD55,ABC55-MIN(MIN(CQ55*UD55,(XP55+ABC55)),ABC55)),ABC55)</f>
        <v>0</v>
      </c>
      <c r="ABE55" s="20" t="n">
        <f aca="false">IF(H_Direct=1,IF(CR55&lt;=0,ABD55-CR55*UE55,ABD55-MIN(MIN(CR55*UE55,(XQ55+ABD55)),ABD55)),ABD55)</f>
        <v>0</v>
      </c>
      <c r="ABF55" s="20" t="n">
        <f aca="false">IF(H_Direct=1,IF(CS55&lt;=0,ABE55-CS55*UF55,ABE55-MIN(MIN(CS55*UF55,(XR55+ABE55)),ABE55)),ABE55)</f>
        <v>0</v>
      </c>
      <c r="ABG55" s="20" t="n">
        <f aca="false">IF(H_Direct=1,IF(CT55&lt;=0,ABF55-CT55*UG55,ABF55-MIN(MIN(CT55*UG55,(XS55+ABF55)),ABF55)),ABF55)</f>
        <v>0</v>
      </c>
      <c r="ABH55" s="20" t="n">
        <f aca="false">IF(H_Direct=1,IF(CU55&lt;=0,ABG55-CU55*UH55,ABG55-MIN(MIN(CU55*UH55,(XT55+ABG55)),ABG55)),ABG55)</f>
        <v>0</v>
      </c>
      <c r="ABI55" s="20" t="n">
        <f aca="false">IF(H_Direct=1,IF(CV55&lt;=0,ABH55-CV55*UI55,ABH55-MIN(MIN(CV55*UI55,(XU55+ABH55)),ABH55)),ABH55)</f>
        <v>0</v>
      </c>
      <c r="ABJ55" s="20" t="n">
        <f aca="false">IF(H_Direct=1,IF(CW55&lt;=0,ABI55-CW55*UJ55,ABI55-MIN(MIN(CW55*UJ55,(XV55+ABI55)),ABI55)),ABI55)</f>
        <v>0</v>
      </c>
      <c r="ABK55" s="20" t="n">
        <f aca="false">IF(H_Direct=1,IF(CX55&lt;=0,ABJ55-CX55*UK55,ABJ55-MIN(MIN(CX55*UK55,(XW55+ABJ55)),ABJ55)),ABJ55)</f>
        <v>0</v>
      </c>
      <c r="ABL55" s="20" t="n">
        <f aca="false">IF(H_Direct=1,IF(CY55&lt;=0,ABK55-CY55*UL55,ABK55-MIN(MIN(CY55*UL55,(XX55+ABK55)),ABK55)),ABK55)</f>
        <v>0</v>
      </c>
      <c r="ABM55" s="20" t="n">
        <f aca="false">IF(H_Direct=1,IF(CZ55&lt;=0,ABL55-CZ55*UM55,ABL55-MIN(MIN(CZ55*UM55,(XY55+ABL55)),ABL55)),ABL55)</f>
        <v>0</v>
      </c>
      <c r="ABN55" s="20" t="n">
        <f aca="false">IF(H_Direct=1,IF(DA55&lt;=0,ABM55-DA55*UN55,ABM55-MIN(MIN(DA55*UN55,(XZ55+ABM55)),ABM55)),ABM55)</f>
        <v>0</v>
      </c>
      <c r="ABO55" s="20" t="n">
        <f aca="false">IF(H_Direct=1,IF(DB55&lt;=0,ABN55-DB55*UO55,ABN55-MIN(MIN(DB55*UO55,(YA55+ABN55)),ABN55)),ABN55)</f>
        <v>0</v>
      </c>
      <c r="ABP55" s="20" t="n">
        <f aca="false">IF(H_Direct=1,IF(DC55&lt;=0,ABO55-DC55*UP55,ABO55-MIN(MIN(DC55*UP55,(YB55+ABO55)),ABO55)),ABO55)</f>
        <v>0</v>
      </c>
      <c r="ABQ55" s="20" t="n">
        <f aca="false">IF(H_Direct=1,IF(DD55&lt;=0,ABP55-DD55*UQ55,ABP55-MIN(MIN(DD55*UQ55,(YC55+ABP55)),ABP55)),ABP55)</f>
        <v>0</v>
      </c>
      <c r="ABR55" s="20" t="n">
        <f aca="false">IF(H_Direct=1,IF(DE55&lt;=0,ABQ55-DE55*UR55,ABQ55-MIN(MIN(DE55*UR55,(YD55+ABQ55)),ABQ55)),ABQ55)</f>
        <v>0</v>
      </c>
      <c r="ABS55" s="20" t="n">
        <f aca="false">IF(H_Direct=1,IF(DF55&lt;=0,ABR55-DF55*US55,ABR55-MIN(MIN(DF55*US55,(YE55+ABR55)),ABR55)),ABR55)</f>
        <v>0</v>
      </c>
      <c r="ABT55" s="20" t="n">
        <f aca="false">IF(H_Direct=1,IF(DG55&lt;=0,ABS55-DG55*UT55,ABS55-MIN(MIN(DG55*UT55,(YF55+ABS55)),ABS55)),ABS55)</f>
        <v>0</v>
      </c>
      <c r="ABU55" s="20" t="n">
        <f aca="false">IF(H_Direct=1,IF(DH55&lt;=0,ABT55-DH55*UU55,ABT55-MIN(MIN(DH55*UU55,(YG55+ABT55)),ABT55)),ABT55)</f>
        <v>0</v>
      </c>
      <c r="ABV55" s="20" t="n">
        <f aca="false">IF(H_Direct=1,IF(DI55&lt;=0,ABU55-DI55*UV55,ABU55-MIN(MIN(DI55*UV55,(YH55+ABU55)),ABU55)),ABU55)</f>
        <v>0</v>
      </c>
      <c r="ABW55" s="20" t="n">
        <f aca="false">IF(H_Direct=1,IF(DJ55&lt;=0,ABV55-DJ55*UW55,ABV55-MIN(MIN(DJ55*UW55,(YI55+ABV55)),ABV55)),ABV55)</f>
        <v>0</v>
      </c>
      <c r="ABX55" s="20" t="n">
        <f aca="false">IF(H_Direct=1,IF(DK55&lt;=0,ABW55-DK55*UX55,ABW55-MIN(MIN(DK55*UX55,(YJ55+ABW55)),ABW55)),ABW55)</f>
        <v>0</v>
      </c>
      <c r="ABY55" s="20" t="n">
        <f aca="false">IF(H_Direct=1,IF(DL55&lt;=0,ABX55-DL55*UY55,ABX55-MIN(MIN(DL55*UY55,(YK55+ABX55)),ABX55)),ABX55)</f>
        <v>0</v>
      </c>
      <c r="ABZ55" s="20" t="n">
        <f aca="false">IF(H_Direct=1,IF(DM55&lt;=0,ABY55-DM55*UZ55,ABY55-MIN(MIN(DM55*UZ55,(YL55+ABY55)),ABY55)),ABY55)</f>
        <v>0</v>
      </c>
      <c r="ACA55" s="20" t="n">
        <f aca="false">IF(H_Direct=1,IF(DN55&lt;=0,ABZ55-DN55*VA55,ABZ55-MIN(MIN(DN55*VA55,(YM55+ABZ55)),ABZ55)),ABZ55)</f>
        <v>0</v>
      </c>
      <c r="ACB55" s="20" t="n">
        <f aca="false">ACA55</f>
        <v>0</v>
      </c>
      <c r="ACC55" s="20" t="n">
        <f aca="false">ACB55</f>
        <v>0</v>
      </c>
      <c r="ACD55" s="20" t="n">
        <f aca="false">ACC55</f>
        <v>0</v>
      </c>
      <c r="ACE55" s="20" t="n">
        <f aca="false">ACD55</f>
        <v>0</v>
      </c>
      <c r="ACF55" s="20" t="n">
        <f aca="false">ACE55</f>
        <v>0</v>
      </c>
      <c r="ACG55" s="20" t="n">
        <f aca="false">ACF55</f>
        <v>0</v>
      </c>
      <c r="ACH55" s="20" t="n">
        <f aca="false">ACG55</f>
        <v>0</v>
      </c>
      <c r="ACI55" s="20" t="n">
        <f aca="false">ACH55</f>
        <v>0</v>
      </c>
      <c r="ACJ55" s="20" t="n">
        <f aca="false">ACI55</f>
        <v>0</v>
      </c>
      <c r="ACK55" s="20" t="n">
        <f aca="false">ACJ55</f>
        <v>0</v>
      </c>
      <c r="ACL55" s="20" t="n">
        <f aca="false">ACK55</f>
        <v>0</v>
      </c>
      <c r="ACM55" s="20" t="n">
        <f aca="false">ACL55</f>
        <v>0</v>
      </c>
      <c r="ACN55" s="20" t="n">
        <f aca="false">ACM55</f>
        <v>0</v>
      </c>
      <c r="ACO55" s="20" t="n">
        <f aca="false">ACN55</f>
        <v>0</v>
      </c>
      <c r="ACP55" s="20" t="n">
        <f aca="false">ACO55</f>
        <v>0</v>
      </c>
      <c r="ACQ55" s="20" t="n">
        <f aca="false">ACP55</f>
        <v>0</v>
      </c>
      <c r="ACR55" s="20" t="n">
        <f aca="false">ACQ55</f>
        <v>0</v>
      </c>
      <c r="ACS55" s="20" t="n">
        <f aca="false">ACR55</f>
        <v>0</v>
      </c>
      <c r="ACT55" s="20" t="n">
        <f aca="false">ACS55</f>
        <v>0</v>
      </c>
      <c r="ACU55" s="20" t="n">
        <f aca="false">ACT55</f>
        <v>0</v>
      </c>
      <c r="ACV55" s="20" t="n">
        <f aca="false">ACU55</f>
        <v>0</v>
      </c>
      <c r="ACW55" s="20" t="n">
        <f aca="false">ACV55</f>
        <v>0</v>
      </c>
      <c r="ACX55" s="20" t="n">
        <f aca="false">ACW55</f>
        <v>0</v>
      </c>
      <c r="ACY55" s="20" t="n">
        <f aca="false">ACX55</f>
        <v>0</v>
      </c>
      <c r="ACZ55" s="20" t="n">
        <f aca="false">ACY55</f>
        <v>0</v>
      </c>
      <c r="ADA55" s="20" t="n">
        <f aca="false">ACZ55</f>
        <v>0</v>
      </c>
      <c r="ADB55" s="20" t="n">
        <f aca="false">ADA55</f>
        <v>0</v>
      </c>
      <c r="ADC55" s="20" t="n">
        <f aca="false">ADB55</f>
        <v>0</v>
      </c>
      <c r="ADD55" s="20" t="n">
        <f aca="false">ADC55</f>
        <v>0</v>
      </c>
      <c r="ADE55" s="20" t="n">
        <f aca="false">ADD55</f>
        <v>0</v>
      </c>
      <c r="ADF55" s="20" t="n">
        <f aca="false">ADE55</f>
        <v>0</v>
      </c>
      <c r="ADG55" s="20" t="n">
        <f aca="false">ADF55</f>
        <v>0</v>
      </c>
      <c r="ADH55" s="20" t="n">
        <f aca="false">ADG55</f>
        <v>0</v>
      </c>
      <c r="ADI55" s="20" t="n">
        <f aca="false">ADH55</f>
        <v>0</v>
      </c>
      <c r="ADJ55" s="20" t="n">
        <f aca="false">ADI55</f>
        <v>0</v>
      </c>
      <c r="ADK55" s="20" t="n">
        <f aca="false">ADJ55</f>
        <v>0</v>
      </c>
      <c r="ADL55" s="20" t="n">
        <f aca="false">ADK55</f>
        <v>0</v>
      </c>
      <c r="ADM55" s="20" t="n">
        <f aca="false">ADL55</f>
        <v>0</v>
      </c>
      <c r="ADN55" s="20" t="n">
        <f aca="false">ADM55</f>
        <v>0</v>
      </c>
      <c r="ADO55" s="20" t="n">
        <f aca="false">ADN55</f>
        <v>0</v>
      </c>
      <c r="ADP55" s="20" t="n">
        <f aca="false">ADO55</f>
        <v>0</v>
      </c>
      <c r="ADQ55" s="20" t="n">
        <f aca="false">ADP55</f>
        <v>0</v>
      </c>
      <c r="ADR55" s="20" t="n">
        <f aca="false">(AKR54-TE55+0)*(1+BQ55)</f>
        <v>0</v>
      </c>
      <c r="ADS55" s="20" t="n">
        <f aca="false">(AKS54-TF55+0)*(1+BQ55)</f>
        <v>0</v>
      </c>
      <c r="ADT55" s="20" t="n">
        <f aca="false">(AKT54-TG55+0)*(1+BQ55)</f>
        <v>0</v>
      </c>
      <c r="ADU55" s="20" t="n">
        <f aca="false">(AKU54-TH55+0)*(1+BQ55)</f>
        <v>0</v>
      </c>
      <c r="ADV55" s="20" t="n">
        <f aca="false">(AKV54-TI55+0)*(1+BQ55)</f>
        <v>0</v>
      </c>
      <c r="ADW55" s="20" t="n">
        <f aca="false">(AKW54-TJ55+0)*(1+BQ55)</f>
        <v>0</v>
      </c>
      <c r="ADX55" s="20" t="n">
        <f aca="false">(AKX54-TK55+0)*(1+BQ55)</f>
        <v>0</v>
      </c>
      <c r="ADY55" s="20" t="n">
        <f aca="false">(AKY54-TL55+0)*(1+BQ55)</f>
        <v>0</v>
      </c>
      <c r="ADZ55" s="20" t="n">
        <f aca="false">(AKZ54-TM55+0)*(1+BQ55)</f>
        <v>0</v>
      </c>
      <c r="AEA55" s="20" t="n">
        <f aca="false">(ALA54-TN55+0)*(1+BQ55)</f>
        <v>0</v>
      </c>
      <c r="AEB55" s="20" t="n">
        <f aca="false">(ALB54-TO55+0)*(1+BQ55)</f>
        <v>0</v>
      </c>
      <c r="AEC55" s="20" t="n">
        <f aca="false">(ALC54-TP55+0)*(1+BQ55)</f>
        <v>0</v>
      </c>
      <c r="AED55" s="20" t="n">
        <f aca="false">(ALD54-TQ55+0)*(1+BQ55)</f>
        <v>0</v>
      </c>
      <c r="AEE55" s="20" t="n">
        <f aca="false">(ALE54-TR55+0)*(1+BQ55)</f>
        <v>0</v>
      </c>
      <c r="AEF55" s="20" t="n">
        <f aca="false">(ALF54-TS55+0)*(1+BQ55)</f>
        <v>0</v>
      </c>
      <c r="AEG55" s="20" t="n">
        <f aca="false">(ALG54-TT55+0)*(1+BQ55)</f>
        <v>0</v>
      </c>
      <c r="AEH55" s="20" t="n">
        <f aca="false">(ALH54-TU55+0)*(1+BQ55)</f>
        <v>0</v>
      </c>
      <c r="AEI55" s="20" t="n">
        <f aca="false">(ALI54-TV55+0)*(1+BQ55)</f>
        <v>0</v>
      </c>
      <c r="AEJ55" s="20" t="n">
        <f aca="false">(ALJ54-TW55+0)*(1+BQ55)</f>
        <v>0</v>
      </c>
      <c r="AEK55" s="20" t="n">
        <f aca="false">(ALK54-TX55+0)*(1+BQ55)</f>
        <v>0</v>
      </c>
      <c r="AEL55" s="20" t="n">
        <f aca="false">(ALL54-TY55+0)*(1+BQ55)</f>
        <v>0</v>
      </c>
      <c r="AEM55" s="20" t="n">
        <f aca="false">(ALM54-TZ55+0)*(1+BQ55)</f>
        <v>0</v>
      </c>
      <c r="AEN55" s="20" t="n">
        <f aca="false">(ALN54-UA55+0)*(1+BQ55)</f>
        <v>0</v>
      </c>
      <c r="AEO55" s="20" t="n">
        <f aca="false">(ALO54-UB55+0)*(1+BQ55)</f>
        <v>0</v>
      </c>
      <c r="AEP55" s="20" t="n">
        <f aca="false">(ALP54-UC55+0)*(1+BQ55)</f>
        <v>0</v>
      </c>
      <c r="AEQ55" s="20" t="n">
        <f aca="false">(ALQ54-UD55+0)*(1+BQ55)</f>
        <v>0</v>
      </c>
      <c r="AER55" s="20" t="n">
        <f aca="false">(ALR54-UE55+0)*(1+BQ55)</f>
        <v>0</v>
      </c>
      <c r="AES55" s="20" t="n">
        <f aca="false">(ALS54-UF55+0)*(1+BQ55)</f>
        <v>0</v>
      </c>
      <c r="AET55" s="20" t="n">
        <f aca="false">(ALT54-UG55+0)*(1+BQ55)</f>
        <v>0</v>
      </c>
      <c r="AEU55" s="20" t="n">
        <f aca="false">(ALU54-UH55+0)*(1+BQ55)</f>
        <v>0</v>
      </c>
      <c r="AEV55" s="20" t="n">
        <f aca="false">(ALV54-UI55+0)*(1+BQ55)</f>
        <v>0</v>
      </c>
      <c r="AEW55" s="20" t="n">
        <f aca="false">(ALW54-UJ55+0)*(1+BQ55)</f>
        <v>0</v>
      </c>
      <c r="AEX55" s="20" t="n">
        <f aca="false">(ALX54-UK55+0)*(1+BQ55)</f>
        <v>0</v>
      </c>
      <c r="AEY55" s="20" t="n">
        <f aca="false">(ALY54-UL55+0)*(1+BQ55)</f>
        <v>0</v>
      </c>
      <c r="AEZ55" s="20" t="n">
        <f aca="false">(ALZ54-UM55+0)*(1+BQ55)</f>
        <v>0</v>
      </c>
      <c r="AFA55" s="20" t="n">
        <f aca="false">(AMA54-UN55+0)*(1+BQ55)</f>
        <v>0</v>
      </c>
      <c r="AFB55" s="20" t="n">
        <f aca="false">(AMB54-UO55+0)*(1+BQ55)</f>
        <v>0</v>
      </c>
      <c r="AFC55" s="20" t="n">
        <f aca="false">(AMC54-UP55+0)*(1+BQ55)</f>
        <v>0</v>
      </c>
      <c r="AFD55" s="20" t="n">
        <f aca="false">(AMD54-UQ55+0)*(1+BQ55)</f>
        <v>0</v>
      </c>
      <c r="AFE55" s="20" t="n">
        <f aca="false">(AME54-UR55+0)*(1+BQ55)</f>
        <v>0</v>
      </c>
      <c r="AFF55" s="20" t="n">
        <f aca="false">(AMF54-US55+0)*(1+BQ55)</f>
        <v>0</v>
      </c>
      <c r="AFG55" s="20" t="n">
        <f aca="false">(AMG54-UT55+0)*(1+BQ55)</f>
        <v>0</v>
      </c>
      <c r="AFH55" s="20" t="n">
        <f aca="false">(AMH54-UU55+0)*(1+BQ55)</f>
        <v>0</v>
      </c>
      <c r="AFI55" s="20" t="n">
        <f aca="false">(AMI54-UV55+0)*(1+BQ55)</f>
        <v>0</v>
      </c>
      <c r="AFJ55" s="20" t="n">
        <f aca="false">(AMJ54-UW55+0)*(1+BQ55)</f>
        <v>0</v>
      </c>
      <c r="AFK55" s="20" t="n">
        <f aca="false">(AMK54-UX55+0)*(1+BQ55)</f>
        <v>0</v>
      </c>
      <c r="AFL55" s="20" t="n">
        <f aca="false">(AML54-UY55+0)*(1+BQ55)</f>
        <v>0</v>
      </c>
      <c r="AFM55" s="20" t="n">
        <f aca="false">(AMM54-UZ55+0)*(1+BQ55)</f>
        <v>0</v>
      </c>
      <c r="AFN55" s="20" t="n">
        <f aca="false">((P55+S55)-VA55+BE55)*(1+BQ55)</f>
        <v>0</v>
      </c>
      <c r="AFO55" s="20" t="n">
        <v>0</v>
      </c>
      <c r="AFP55" s="20" t="n">
        <v>0</v>
      </c>
      <c r="AFQ55" s="20" t="n">
        <v>0</v>
      </c>
      <c r="AFR55" s="20" t="n">
        <v>0</v>
      </c>
      <c r="AFS55" s="20" t="n">
        <v>0</v>
      </c>
      <c r="AFT55" s="20" t="n">
        <v>0</v>
      </c>
      <c r="AFU55" s="20" t="n">
        <v>0</v>
      </c>
      <c r="AFV55" s="20" t="n">
        <v>0</v>
      </c>
      <c r="AFW55" s="20" t="n">
        <v>0</v>
      </c>
      <c r="AFX55" s="20" t="n">
        <v>0</v>
      </c>
      <c r="AFY55" s="20" t="n">
        <v>0</v>
      </c>
      <c r="AFZ55" s="20" t="n">
        <v>0</v>
      </c>
      <c r="AGA55" s="20" t="n">
        <v>0</v>
      </c>
      <c r="AGB55" s="20" t="n">
        <v>0</v>
      </c>
      <c r="AGC55" s="20" t="n">
        <v>0</v>
      </c>
      <c r="AGD55" s="20" t="n">
        <v>0</v>
      </c>
      <c r="AGE55" s="20" t="n">
        <v>0</v>
      </c>
      <c r="AGF55" s="20" t="n">
        <v>0</v>
      </c>
      <c r="AGG55" s="20" t="n">
        <v>0</v>
      </c>
      <c r="AGH55" s="20" t="n">
        <v>0</v>
      </c>
      <c r="AGI55" s="20" t="n">
        <v>0</v>
      </c>
      <c r="AGJ55" s="20" t="n">
        <v>0</v>
      </c>
      <c r="AGK55" s="20" t="n">
        <v>0</v>
      </c>
      <c r="AGL55" s="20" t="n">
        <v>0</v>
      </c>
      <c r="AGM55" s="20" t="n">
        <v>0</v>
      </c>
      <c r="AGN55" s="20" t="n">
        <v>0</v>
      </c>
      <c r="AGO55" s="20" t="n">
        <v>0</v>
      </c>
      <c r="AGP55" s="20" t="n">
        <v>0</v>
      </c>
      <c r="AGQ55" s="20" t="n">
        <v>0</v>
      </c>
      <c r="AGR55" s="20" t="n">
        <v>0</v>
      </c>
      <c r="AGS55" s="20" t="n">
        <v>0</v>
      </c>
      <c r="AGT55" s="20" t="n">
        <v>0</v>
      </c>
      <c r="AGU55" s="20" t="n">
        <v>0</v>
      </c>
      <c r="AGV55" s="20" t="n">
        <v>0</v>
      </c>
      <c r="AGW55" s="20" t="n">
        <v>0</v>
      </c>
      <c r="AGX55" s="20" t="n">
        <v>0</v>
      </c>
      <c r="AGY55" s="20" t="n">
        <v>0</v>
      </c>
      <c r="AGZ55" s="20" t="n">
        <v>0</v>
      </c>
      <c r="AHA55" s="20" t="n">
        <v>0</v>
      </c>
      <c r="AHB55" s="20" t="n">
        <v>0</v>
      </c>
      <c r="AHC55" s="20" t="n">
        <v>0</v>
      </c>
      <c r="AHD55" s="20" t="n">
        <v>0</v>
      </c>
      <c r="AHE55" s="20" t="n">
        <f aca="false">IF(AKR54&gt;0,AOE54-AOE54*TE55/AKR54,0)+0</f>
        <v>0</v>
      </c>
      <c r="AHF55" s="20" t="n">
        <f aca="false">IF(AKS54&gt;0,AOF54-AOF54*TF55/AKS54,0)+0</f>
        <v>0</v>
      </c>
      <c r="AHG55" s="20" t="n">
        <f aca="false">IF(AKT54&gt;0,AOG54-AOG54*TG55/AKT54,0)+0</f>
        <v>0</v>
      </c>
      <c r="AHH55" s="20" t="n">
        <f aca="false">IF(AKU54&gt;0,AOH54-AOH54*TH55/AKU54,0)+0</f>
        <v>0</v>
      </c>
      <c r="AHI55" s="20" t="n">
        <f aca="false">IF(AKV54&gt;0,AOI54-AOI54*TI55/AKV54,0)+0</f>
        <v>0</v>
      </c>
      <c r="AHJ55" s="20" t="n">
        <f aca="false">IF(AKW54&gt;0,AOJ54-AOJ54*TJ55/AKW54,0)+0</f>
        <v>0</v>
      </c>
      <c r="AHK55" s="20" t="n">
        <f aca="false">IF(AKX54&gt;0,AOK54-AOK54*TK55/AKX54,0)+0</f>
        <v>0</v>
      </c>
      <c r="AHL55" s="20" t="n">
        <f aca="false">IF(AKY54&gt;0,AOL54-AOL54*TL55/AKY54,0)+0</f>
        <v>0</v>
      </c>
      <c r="AHM55" s="20" t="n">
        <f aca="false">IF(AKZ54&gt;0,AOM54-AOM54*TM55/AKZ54,0)+0</f>
        <v>0</v>
      </c>
      <c r="AHN55" s="20" t="n">
        <f aca="false">IF(ALA54&gt;0,AON54-AON54*TN55/ALA54,0)+0</f>
        <v>0</v>
      </c>
      <c r="AHO55" s="20" t="n">
        <f aca="false">IF(ALB54&gt;0,AOO54-AOO54*TO55/ALB54,0)+0</f>
        <v>0</v>
      </c>
      <c r="AHP55" s="20" t="n">
        <f aca="false">IF(ALC54&gt;0,AOP54-AOP54*TP55/ALC54,0)+0</f>
        <v>0</v>
      </c>
      <c r="AHQ55" s="20" t="n">
        <f aca="false">IF(ALD54&gt;0,AOQ54-AOQ54*TQ55/ALD54,0)+0</f>
        <v>0</v>
      </c>
      <c r="AHR55" s="20" t="n">
        <f aca="false">IF(ALE54&gt;0,AOR54-AOR54*TR55/ALE54,0)+0</f>
        <v>0</v>
      </c>
      <c r="AHS55" s="20" t="n">
        <f aca="false">IF(ALF54&gt;0,AOS54-AOS54*TS55/ALF54,0)+0</f>
        <v>0</v>
      </c>
      <c r="AHT55" s="20" t="n">
        <f aca="false">IF(ALG54&gt;0,AOT54-AOT54*TT55/ALG54,0)+0</f>
        <v>0</v>
      </c>
      <c r="AHU55" s="20" t="n">
        <f aca="false">IF(ALH54&gt;0,AOU54-AOU54*TU55/ALH54,0)+0</f>
        <v>0</v>
      </c>
      <c r="AHV55" s="20" t="n">
        <f aca="false">IF(ALI54&gt;0,AOV54-AOV54*TV55/ALI54,0)+0</f>
        <v>0</v>
      </c>
      <c r="AHW55" s="20" t="n">
        <f aca="false">IF(ALJ54&gt;0,AOW54-AOW54*TW55/ALJ54,0)+0</f>
        <v>0</v>
      </c>
      <c r="AHX55" s="20" t="n">
        <f aca="false">IF(ALK54&gt;0,AOX54-AOX54*TX55/ALK54,0)+0</f>
        <v>0</v>
      </c>
      <c r="AHY55" s="20" t="n">
        <f aca="false">IF(ALL54&gt;0,AOY54-AOY54*TY55/ALL54,0)+0</f>
        <v>0</v>
      </c>
      <c r="AHZ55" s="20" t="n">
        <f aca="false">IF(ALM54&gt;0,AOZ54-AOZ54*TZ55/ALM54,0)+0</f>
        <v>0</v>
      </c>
      <c r="AIA55" s="20" t="n">
        <f aca="false">IF(ALN54&gt;0,APA54-APA54*UA55/ALN54,0)+0</f>
        <v>0</v>
      </c>
      <c r="AIB55" s="20" t="n">
        <f aca="false">IF(ALO54&gt;0,APB54-APB54*UB55/ALO54,0)+0</f>
        <v>0</v>
      </c>
      <c r="AIC55" s="20" t="n">
        <f aca="false">IF(ALP54&gt;0,APC54-APC54*UC55/ALP54,0)+0</f>
        <v>0</v>
      </c>
      <c r="AID55" s="20" t="n">
        <f aca="false">IF(ALQ54&gt;0,APD54-APD54*UD55/ALQ54,0)+0</f>
        <v>0</v>
      </c>
      <c r="AIE55" s="20" t="n">
        <f aca="false">IF(ALR54&gt;0,APE54-APE54*UE55/ALR54,0)+0</f>
        <v>0</v>
      </c>
      <c r="AIF55" s="20" t="n">
        <f aca="false">IF(ALS54&gt;0,APF54-APF54*UF55/ALS54,0)+0</f>
        <v>0</v>
      </c>
      <c r="AIG55" s="20" t="n">
        <f aca="false">IF(ALT54&gt;0,APG54-APG54*UG55/ALT54,0)+0</f>
        <v>0</v>
      </c>
      <c r="AIH55" s="20" t="n">
        <f aca="false">IF(ALU54&gt;0,APH54-APH54*UH55/ALU54,0)+0</f>
        <v>0</v>
      </c>
      <c r="AII55" s="20" t="n">
        <f aca="false">IF(ALV54&gt;0,API54-API54*UI55/ALV54,0)+0</f>
        <v>0</v>
      </c>
      <c r="AIJ55" s="20" t="n">
        <f aca="false">IF(ALW54&gt;0,APJ54-APJ54*UJ55/ALW54,0)+0</f>
        <v>0</v>
      </c>
      <c r="AIK55" s="20" t="n">
        <f aca="false">IF(ALX54&gt;0,APK54-APK54*UK55/ALX54,0)+0</f>
        <v>0</v>
      </c>
      <c r="AIL55" s="20" t="n">
        <f aca="false">IF(ALY54&gt;0,APL54-APL54*UL55/ALY54,0)+0</f>
        <v>0</v>
      </c>
      <c r="AIM55" s="20" t="n">
        <f aca="false">IF(ALZ54&gt;0,APM54-APM54*UM55/ALZ54,0)+0</f>
        <v>0</v>
      </c>
      <c r="AIN55" s="20" t="n">
        <f aca="false">IF(AMA54&gt;0,APN54-APN54*UN55/AMA54,0)+0</f>
        <v>0</v>
      </c>
      <c r="AIO55" s="20" t="n">
        <f aca="false">IF(AMB54&gt;0,APO54-APO54*UO55/AMB54,0)+0</f>
        <v>0</v>
      </c>
      <c r="AIP55" s="20" t="n">
        <f aca="false">IF(AMC54&gt;0,APP54-APP54*UP55/AMC54,0)+0</f>
        <v>0</v>
      </c>
      <c r="AIQ55" s="20" t="n">
        <f aca="false">IF(AMD54&gt;0,APQ54-APQ54*UQ55/AMD54,0)+0</f>
        <v>0</v>
      </c>
      <c r="AIR55" s="20" t="n">
        <f aca="false">IF(AME54&gt;0,APR54-APR54*UR55/AME54,0)+0</f>
        <v>0</v>
      </c>
      <c r="AIS55" s="20" t="n">
        <f aca="false">IF(AMF54&gt;0,APS54-APS54*US55/AMF54,0)+0</f>
        <v>0</v>
      </c>
      <c r="AIT55" s="20" t="n">
        <f aca="false">IF(AMG54&gt;0,APT54-APT54*UT55/AMG54,0)+0</f>
        <v>0</v>
      </c>
      <c r="AIU55" s="20" t="n">
        <f aca="false">IF(AMH54&gt;0,APU54-APU54*UU55/AMH54,0)+0</f>
        <v>0</v>
      </c>
      <c r="AIV55" s="20" t="n">
        <f aca="false">IF(AMI54&gt;0,APV54-APV54*UV55/AMI54,0)+0</f>
        <v>0</v>
      </c>
      <c r="AIW55" s="20" t="n">
        <f aca="false">IF(AMJ54&gt;0,APW54-APW54*UW55/AMJ54,0)+0</f>
        <v>0</v>
      </c>
      <c r="AIX55" s="20" t="n">
        <f aca="false">IF(AMK54&gt;0,APX54-APX54*UX55/AMK54,0)+0</f>
        <v>0</v>
      </c>
      <c r="AIY55" s="20" t="n">
        <f aca="false">IF(AML54&gt;0,APY54-APY54*UY55/AML54,0)+0</f>
        <v>0</v>
      </c>
      <c r="AIZ55" s="20" t="n">
        <f aca="false">IF(AMM54&gt;0,APZ54-APZ54*UZ55/AMM54,0)+0</f>
        <v>0</v>
      </c>
      <c r="AJA55" s="20" t="n">
        <f aca="false">IF((P55+S55)&gt;0,(P55+S55)-(P55+S55)*VA55/(P55+S55),0)+BE55</f>
        <v>0</v>
      </c>
      <c r="AJB55" s="20" t="n">
        <v>0</v>
      </c>
      <c r="AJC55" s="20" t="n">
        <v>0</v>
      </c>
      <c r="AJD55" s="20" t="n">
        <v>0</v>
      </c>
      <c r="AJE55" s="20" t="n">
        <v>0</v>
      </c>
      <c r="AJF55" s="20" t="n">
        <v>0</v>
      </c>
      <c r="AJG55" s="20" t="n">
        <v>0</v>
      </c>
      <c r="AJH55" s="20" t="n">
        <v>0</v>
      </c>
      <c r="AJI55" s="20" t="n">
        <v>0</v>
      </c>
      <c r="AJJ55" s="20" t="n">
        <v>0</v>
      </c>
      <c r="AJK55" s="20" t="n">
        <v>0</v>
      </c>
      <c r="AJL55" s="20" t="n">
        <v>0</v>
      </c>
      <c r="AJM55" s="20" t="n">
        <v>0</v>
      </c>
      <c r="AJN55" s="20" t="n">
        <v>0</v>
      </c>
      <c r="AJO55" s="20" t="n">
        <v>0</v>
      </c>
      <c r="AJP55" s="20" t="n">
        <v>0</v>
      </c>
      <c r="AJQ55" s="20" t="n">
        <v>0</v>
      </c>
      <c r="AJR55" s="20" t="n">
        <v>0</v>
      </c>
      <c r="AJS55" s="20" t="n">
        <v>0</v>
      </c>
      <c r="AJT55" s="20" t="n">
        <v>0</v>
      </c>
      <c r="AJU55" s="20" t="n">
        <v>0</v>
      </c>
      <c r="AJV55" s="20" t="n">
        <v>0</v>
      </c>
      <c r="AJW55" s="20" t="n">
        <v>0</v>
      </c>
      <c r="AJX55" s="20" t="n">
        <v>0</v>
      </c>
      <c r="AJY55" s="20" t="n">
        <v>0</v>
      </c>
      <c r="AJZ55" s="20" t="n">
        <v>0</v>
      </c>
      <c r="AKA55" s="20" t="n">
        <v>0</v>
      </c>
      <c r="AKB55" s="20" t="n">
        <v>0</v>
      </c>
      <c r="AKC55" s="20" t="n">
        <v>0</v>
      </c>
      <c r="AKD55" s="20" t="n">
        <v>0</v>
      </c>
      <c r="AKE55" s="20" t="n">
        <v>0</v>
      </c>
      <c r="AKF55" s="20" t="n">
        <v>0</v>
      </c>
      <c r="AKG55" s="20" t="n">
        <v>0</v>
      </c>
      <c r="AKH55" s="20" t="n">
        <v>0</v>
      </c>
      <c r="AKI55" s="20" t="n">
        <v>0</v>
      </c>
      <c r="AKJ55" s="20" t="n">
        <v>0</v>
      </c>
      <c r="AKK55" s="20" t="n">
        <v>0</v>
      </c>
      <c r="AKL55" s="20" t="n">
        <v>0</v>
      </c>
      <c r="AKM55" s="20" t="n">
        <v>0</v>
      </c>
      <c r="AKN55" s="20" t="n">
        <v>0</v>
      </c>
      <c r="AKO55" s="20" t="n">
        <v>0</v>
      </c>
      <c r="AKP55" s="20" t="n">
        <v>0</v>
      </c>
      <c r="AKQ55" s="20" t="n">
        <v>0</v>
      </c>
      <c r="AKR55" s="20" t="n">
        <f aca="false">ADR55-AVE55</f>
        <v>0</v>
      </c>
      <c r="AKS55" s="20" t="n">
        <f aca="false">ADS55-AVF55</f>
        <v>0</v>
      </c>
      <c r="AKT55" s="20" t="n">
        <f aca="false">ADT55-AVG55</f>
        <v>0</v>
      </c>
      <c r="AKU55" s="20" t="n">
        <f aca="false">ADU55-AVH55</f>
        <v>0</v>
      </c>
      <c r="AKV55" s="20" t="n">
        <f aca="false">ADV55-AVI55</f>
        <v>0</v>
      </c>
      <c r="AKW55" s="20" t="n">
        <f aca="false">ADW55-AVJ55</f>
        <v>0</v>
      </c>
      <c r="AKX55" s="20" t="n">
        <f aca="false">ADX55-AVK55</f>
        <v>0</v>
      </c>
      <c r="AKY55" s="20" t="n">
        <f aca="false">ADY55-AVL55</f>
        <v>0</v>
      </c>
      <c r="AKZ55" s="20" t="n">
        <f aca="false">ADZ55-AVM55</f>
        <v>0</v>
      </c>
      <c r="ALA55" s="20" t="n">
        <f aca="false">AEA55-AVN55</f>
        <v>0</v>
      </c>
      <c r="ALB55" s="20" t="n">
        <f aca="false">AEB55-AVO55</f>
        <v>0</v>
      </c>
      <c r="ALC55" s="20" t="n">
        <f aca="false">AEC55-AVP55</f>
        <v>0</v>
      </c>
      <c r="ALD55" s="20" t="n">
        <f aca="false">AED55-AVQ55</f>
        <v>0</v>
      </c>
      <c r="ALE55" s="20" t="n">
        <f aca="false">AEE55-AVR55</f>
        <v>0</v>
      </c>
      <c r="ALF55" s="20" t="n">
        <f aca="false">AEF55-AVS55</f>
        <v>0</v>
      </c>
      <c r="ALG55" s="20" t="n">
        <f aca="false">AEG55-AVT55</f>
        <v>0</v>
      </c>
      <c r="ALH55" s="20" t="n">
        <f aca="false">AEH55-AVU55</f>
        <v>0</v>
      </c>
      <c r="ALI55" s="20" t="n">
        <f aca="false">AEI55-AVV55</f>
        <v>0</v>
      </c>
      <c r="ALJ55" s="20" t="n">
        <f aca="false">AEJ55-AVW55</f>
        <v>0</v>
      </c>
      <c r="ALK55" s="20" t="n">
        <f aca="false">AEK55-AVX55</f>
        <v>0</v>
      </c>
      <c r="ALL55" s="20" t="n">
        <f aca="false">AEL55-AVY55</f>
        <v>0</v>
      </c>
      <c r="ALM55" s="20" t="n">
        <f aca="false">AEM55-AVZ55</f>
        <v>0</v>
      </c>
      <c r="ALN55" s="20" t="n">
        <f aca="false">AEN55-AWA55</f>
        <v>0</v>
      </c>
      <c r="ALO55" s="20" t="n">
        <f aca="false">AEO55-AWB55</f>
        <v>0</v>
      </c>
      <c r="ALP55" s="20" t="n">
        <f aca="false">AEP55-AWC55</f>
        <v>0</v>
      </c>
      <c r="ALQ55" s="20" t="n">
        <f aca="false">AEQ55-AWD55</f>
        <v>0</v>
      </c>
      <c r="ALR55" s="20" t="n">
        <f aca="false">AER55-AWE55</f>
        <v>0</v>
      </c>
      <c r="ALS55" s="20" t="n">
        <f aca="false">AES55-AWF55</f>
        <v>0</v>
      </c>
      <c r="ALT55" s="20" t="n">
        <f aca="false">AET55-AWG55</f>
        <v>0</v>
      </c>
      <c r="ALU55" s="20" t="n">
        <f aca="false">AEU55-AWH55</f>
        <v>0</v>
      </c>
      <c r="ALV55" s="20" t="n">
        <f aca="false">AEV55-AWI55</f>
        <v>0</v>
      </c>
      <c r="ALW55" s="20" t="n">
        <f aca="false">AEW55-AWJ55</f>
        <v>0</v>
      </c>
      <c r="ALX55" s="20" t="n">
        <f aca="false">AEX55-AWK55</f>
        <v>0</v>
      </c>
      <c r="ALY55" s="20" t="n">
        <f aca="false">AEY55-AWL55</f>
        <v>0</v>
      </c>
      <c r="ALZ55" s="20" t="n">
        <f aca="false">AEZ55-AWM55</f>
        <v>0</v>
      </c>
      <c r="AMA55" s="20" t="n">
        <f aca="false">AFA55-AWN55</f>
        <v>0</v>
      </c>
      <c r="AMB55" s="20" t="n">
        <f aca="false">AFB55-AWO55</f>
        <v>0</v>
      </c>
      <c r="AMC55" s="20" t="n">
        <f aca="false">AFC55-AWP55</f>
        <v>0</v>
      </c>
      <c r="AMD55" s="20" t="n">
        <f aca="false">AFD55-AWQ55</f>
        <v>0</v>
      </c>
      <c r="AME55" s="20" t="n">
        <f aca="false">AFE55-AWR55</f>
        <v>0</v>
      </c>
      <c r="AMF55" s="20" t="n">
        <f aca="false">AFF55-AWS55</f>
        <v>0</v>
      </c>
      <c r="AMG55" s="20" t="n">
        <f aca="false">AFG55-AWT55</f>
        <v>0</v>
      </c>
      <c r="AMH55" s="20" t="n">
        <f aca="false">AFH55-AWU55</f>
        <v>0</v>
      </c>
      <c r="AMI55" s="20" t="n">
        <f aca="false">AFI55-AWV55</f>
        <v>0</v>
      </c>
      <c r="AMJ55" s="20" t="n">
        <f aca="false">AFJ55-AWW55</f>
        <v>0</v>
      </c>
      <c r="AMK55" s="20" t="n">
        <f aca="false">AFK55-AWX55</f>
        <v>0</v>
      </c>
      <c r="AML55" s="20" t="n">
        <f aca="false">AFL55-AWY55</f>
        <v>0</v>
      </c>
      <c r="AMM55" s="20" t="n">
        <f aca="false">AFM55-AWZ55</f>
        <v>0</v>
      </c>
      <c r="AMN55" s="20" t="n">
        <f aca="false">AFN55-AXA55</f>
        <v>0</v>
      </c>
      <c r="AMO55" s="20" t="n">
        <v>0</v>
      </c>
      <c r="AMP55" s="20" t="n">
        <v>0</v>
      </c>
      <c r="AMQ55" s="20" t="n">
        <v>0</v>
      </c>
      <c r="AMR55" s="20" t="n">
        <v>0</v>
      </c>
      <c r="AMS55" s="20" t="n">
        <v>0</v>
      </c>
      <c r="AMT55" s="20" t="n">
        <v>0</v>
      </c>
      <c r="AMU55" s="20" t="n">
        <v>0</v>
      </c>
      <c r="AMV55" s="20" t="n">
        <v>0</v>
      </c>
      <c r="AMW55" s="20" t="n">
        <v>0</v>
      </c>
      <c r="AMX55" s="20" t="n">
        <v>0</v>
      </c>
      <c r="AMY55" s="20" t="n">
        <v>0</v>
      </c>
      <c r="AMZ55" s="20" t="n">
        <v>0</v>
      </c>
      <c r="ANA55" s="20" t="n">
        <v>0</v>
      </c>
      <c r="ANB55" s="20" t="n">
        <v>0</v>
      </c>
      <c r="ANC55" s="20" t="n">
        <v>0</v>
      </c>
      <c r="AND55" s="20" t="n">
        <v>0</v>
      </c>
      <c r="ANE55" s="20" t="n">
        <v>0</v>
      </c>
      <c r="ANF55" s="20" t="n">
        <v>0</v>
      </c>
      <c r="ANG55" s="20" t="n">
        <v>0</v>
      </c>
      <c r="ANH55" s="20" t="n">
        <v>0</v>
      </c>
      <c r="ANI55" s="20" t="n">
        <v>0</v>
      </c>
      <c r="ANJ55" s="20" t="n">
        <v>0</v>
      </c>
      <c r="ANK55" s="20" t="n">
        <v>0</v>
      </c>
      <c r="ANL55" s="20" t="n">
        <v>0</v>
      </c>
      <c r="ANM55" s="20" t="n">
        <v>0</v>
      </c>
      <c r="ANN55" s="20" t="n">
        <v>0</v>
      </c>
      <c r="ANO55" s="20" t="n">
        <v>0</v>
      </c>
      <c r="ANP55" s="20" t="n">
        <v>0</v>
      </c>
      <c r="ANQ55" s="20" t="n">
        <v>0</v>
      </c>
      <c r="ANR55" s="20" t="n">
        <v>0</v>
      </c>
      <c r="ANS55" s="20" t="n">
        <v>0</v>
      </c>
      <c r="ANT55" s="20" t="n">
        <v>0</v>
      </c>
      <c r="ANU55" s="20" t="n">
        <v>0</v>
      </c>
      <c r="ANV55" s="20" t="n">
        <v>0</v>
      </c>
      <c r="ANW55" s="20" t="n">
        <v>0</v>
      </c>
      <c r="ANX55" s="20" t="n">
        <v>0</v>
      </c>
      <c r="ANY55" s="20" t="n">
        <v>0</v>
      </c>
      <c r="ANZ55" s="20" t="n">
        <v>0</v>
      </c>
      <c r="AOA55" s="20" t="n">
        <v>0</v>
      </c>
      <c r="AOB55" s="20" t="n">
        <v>0</v>
      </c>
      <c r="AOC55" s="20" t="n">
        <v>0</v>
      </c>
      <c r="AOD55" s="20" t="n">
        <v>0</v>
      </c>
      <c r="AOE55" s="20" t="n">
        <f aca="false">IF(AND(H_Direct=0,H_TaxEvt=1,ARR54+1&gt;=H_Deemed),AKR55,AHE55)</f>
        <v>0</v>
      </c>
      <c r="AOF55" s="20" t="n">
        <f aca="false">IF(AND(H_Direct=0,H_TaxEvt=1,ARS54+1&gt;=H_Deemed),AKS55,AHF55)</f>
        <v>0</v>
      </c>
      <c r="AOG55" s="20" t="n">
        <f aca="false">IF(AND(H_Direct=0,H_TaxEvt=1,ART54+1&gt;=H_Deemed),AKT55,AHG55)</f>
        <v>0</v>
      </c>
      <c r="AOH55" s="20" t="n">
        <f aca="false">IF(AND(H_Direct=0,H_TaxEvt=1,ARU54+1&gt;=H_Deemed),AKU55,AHH55)</f>
        <v>0</v>
      </c>
      <c r="AOI55" s="20" t="n">
        <f aca="false">IF(AND(H_Direct=0,H_TaxEvt=1,ARV54+1&gt;=H_Deemed),AKV55,AHI55)</f>
        <v>0</v>
      </c>
      <c r="AOJ55" s="20" t="n">
        <f aca="false">IF(AND(H_Direct=0,H_TaxEvt=1,ARW54+1&gt;=H_Deemed),AKW55,AHJ55)</f>
        <v>0</v>
      </c>
      <c r="AOK55" s="20" t="n">
        <f aca="false">IF(AND(H_Direct=0,H_TaxEvt=1,ARX54+1&gt;=H_Deemed),AKX55,AHK55)</f>
        <v>0</v>
      </c>
      <c r="AOL55" s="20" t="n">
        <f aca="false">IF(AND(H_Direct=0,H_TaxEvt=1,ARY54+1&gt;=H_Deemed),AKY55,AHL55)</f>
        <v>0</v>
      </c>
      <c r="AOM55" s="20" t="n">
        <f aca="false">IF(AND(H_Direct=0,H_TaxEvt=1,ARZ54+1&gt;=H_Deemed),AKZ55,AHM55)</f>
        <v>0</v>
      </c>
      <c r="AON55" s="20" t="n">
        <f aca="false">IF(AND(H_Direct=0,H_TaxEvt=1,ASA54+1&gt;=H_Deemed),ALA55,AHN55)</f>
        <v>0</v>
      </c>
      <c r="AOO55" s="20" t="n">
        <f aca="false">IF(AND(H_Direct=0,H_TaxEvt=1,ASB54+1&gt;=H_Deemed),ALB55,AHO55)</f>
        <v>0</v>
      </c>
      <c r="AOP55" s="20" t="n">
        <f aca="false">IF(AND(H_Direct=0,H_TaxEvt=1,ASC54+1&gt;=H_Deemed),ALC55,AHP55)</f>
        <v>0</v>
      </c>
      <c r="AOQ55" s="20" t="n">
        <f aca="false">IF(AND(H_Direct=0,H_TaxEvt=1,ASD54+1&gt;=H_Deemed),ALD55,AHQ55)</f>
        <v>0</v>
      </c>
      <c r="AOR55" s="20" t="n">
        <f aca="false">IF(AND(H_Direct=0,H_TaxEvt=1,ASE54+1&gt;=H_Deemed),ALE55,AHR55)</f>
        <v>0</v>
      </c>
      <c r="AOS55" s="20" t="n">
        <f aca="false">IF(AND(H_Direct=0,H_TaxEvt=1,ASF54+1&gt;=H_Deemed),ALF55,AHS55)</f>
        <v>0</v>
      </c>
      <c r="AOT55" s="20" t="n">
        <f aca="false">IF(AND(H_Direct=0,H_TaxEvt=1,ASG54+1&gt;=H_Deemed),ALG55,AHT55)</f>
        <v>0</v>
      </c>
      <c r="AOU55" s="20" t="n">
        <f aca="false">IF(AND(H_Direct=0,H_TaxEvt=1,ASH54+1&gt;=H_Deemed),ALH55,AHU55)</f>
        <v>0</v>
      </c>
      <c r="AOV55" s="20" t="n">
        <f aca="false">IF(AND(H_Direct=0,H_TaxEvt=1,ASI54+1&gt;=H_Deemed),ALI55,AHV55)</f>
        <v>0</v>
      </c>
      <c r="AOW55" s="20" t="n">
        <f aca="false">IF(AND(H_Direct=0,H_TaxEvt=1,ASJ54+1&gt;=H_Deemed),ALJ55,AHW55)</f>
        <v>0</v>
      </c>
      <c r="AOX55" s="20" t="n">
        <f aca="false">IF(AND(H_Direct=0,H_TaxEvt=1,ASK54+1&gt;=H_Deemed),ALK55,AHX55)</f>
        <v>0</v>
      </c>
      <c r="AOY55" s="20" t="n">
        <f aca="false">IF(AND(H_Direct=0,H_TaxEvt=1,ASL54+1&gt;=H_Deemed),ALL55,AHY55)</f>
        <v>0</v>
      </c>
      <c r="AOZ55" s="20" t="n">
        <f aca="false">IF(AND(H_Direct=0,H_TaxEvt=1,ASM54+1&gt;=H_Deemed),ALM55,AHZ55)</f>
        <v>0</v>
      </c>
      <c r="APA55" s="20" t="n">
        <f aca="false">IF(AND(H_Direct=0,H_TaxEvt=1,ASN54+1&gt;=H_Deemed),ALN55,AIA55)</f>
        <v>0</v>
      </c>
      <c r="APB55" s="20" t="n">
        <f aca="false">IF(AND(H_Direct=0,H_TaxEvt=1,ASO54+1&gt;=H_Deemed),ALO55,AIB55)</f>
        <v>0</v>
      </c>
      <c r="APC55" s="20" t="n">
        <f aca="false">IF(AND(H_Direct=0,H_TaxEvt=1,ASP54+1&gt;=H_Deemed),ALP55,AIC55)</f>
        <v>0</v>
      </c>
      <c r="APD55" s="20" t="n">
        <f aca="false">IF(AND(H_Direct=0,H_TaxEvt=1,ASQ54+1&gt;=H_Deemed),ALQ55,AID55)</f>
        <v>0</v>
      </c>
      <c r="APE55" s="20" t="n">
        <f aca="false">IF(AND(H_Direct=0,H_TaxEvt=1,ASR54+1&gt;=H_Deemed),ALR55,AIE55)</f>
        <v>0</v>
      </c>
      <c r="APF55" s="20" t="n">
        <f aca="false">IF(AND(H_Direct=0,H_TaxEvt=1,ASS54+1&gt;=H_Deemed),ALS55,AIF55)</f>
        <v>0</v>
      </c>
      <c r="APG55" s="20" t="n">
        <f aca="false">IF(AND(H_Direct=0,H_TaxEvt=1,AST54+1&gt;=H_Deemed),ALT55,AIG55)</f>
        <v>0</v>
      </c>
      <c r="APH55" s="20" t="n">
        <f aca="false">IF(AND(H_Direct=0,H_TaxEvt=1,ASU54+1&gt;=H_Deemed),ALU55,AIH55)</f>
        <v>0</v>
      </c>
      <c r="API55" s="20" t="n">
        <f aca="false">IF(AND(H_Direct=0,H_TaxEvt=1,ASV54+1&gt;=H_Deemed),ALV55,AII55)</f>
        <v>0</v>
      </c>
      <c r="APJ55" s="20" t="n">
        <f aca="false">IF(AND(H_Direct=0,H_TaxEvt=1,ASW54+1&gt;=H_Deemed),ALW55,AIJ55)</f>
        <v>0</v>
      </c>
      <c r="APK55" s="20" t="n">
        <f aca="false">IF(AND(H_Direct=0,H_TaxEvt=1,ASX54+1&gt;=H_Deemed),ALX55,AIK55)</f>
        <v>0</v>
      </c>
      <c r="APL55" s="20" t="n">
        <f aca="false">IF(AND(H_Direct=0,H_TaxEvt=1,ASY54+1&gt;=H_Deemed),ALY55,AIL55)</f>
        <v>0</v>
      </c>
      <c r="APM55" s="20" t="n">
        <f aca="false">IF(AND(H_Direct=0,H_TaxEvt=1,ASZ54+1&gt;=H_Deemed),ALZ55,AIM55)</f>
        <v>0</v>
      </c>
      <c r="APN55" s="20" t="n">
        <f aca="false">IF(AND(H_Direct=0,H_TaxEvt=1,ATA54+1&gt;=H_Deemed),AMA55,AIN55)</f>
        <v>0</v>
      </c>
      <c r="APO55" s="20" t="n">
        <f aca="false">IF(AND(H_Direct=0,H_TaxEvt=1,ATB54+1&gt;=H_Deemed),AMB55,AIO55)</f>
        <v>0</v>
      </c>
      <c r="APP55" s="20" t="n">
        <f aca="false">IF(AND(H_Direct=0,H_TaxEvt=1,ATC54+1&gt;=H_Deemed),AMC55,AIP55)</f>
        <v>0</v>
      </c>
      <c r="APQ55" s="20" t="n">
        <f aca="false">IF(AND(H_Direct=0,H_TaxEvt=1,ATD54+1&gt;=H_Deemed),AMD55,AIQ55)</f>
        <v>0</v>
      </c>
      <c r="APR55" s="20" t="n">
        <f aca="false">IF(AND(H_Direct=0,H_TaxEvt=1,ATE54+1&gt;=H_Deemed),AME55,AIR55)</f>
        <v>0</v>
      </c>
      <c r="APS55" s="20" t="n">
        <f aca="false">IF(AND(H_Direct=0,H_TaxEvt=1,ATF54+1&gt;=H_Deemed),AMF55,AIS55)</f>
        <v>0</v>
      </c>
      <c r="APT55" s="20" t="n">
        <f aca="false">IF(AND(H_Direct=0,H_TaxEvt=1,ATG54+1&gt;=H_Deemed),AMG55,AIT55)</f>
        <v>0</v>
      </c>
      <c r="APU55" s="20" t="n">
        <f aca="false">IF(AND(H_Direct=0,H_TaxEvt=1,ATH54+1&gt;=H_Deemed),AMH55,AIU55)</f>
        <v>0</v>
      </c>
      <c r="APV55" s="20" t="n">
        <f aca="false">IF(AND(H_Direct=0,H_TaxEvt=1,ATI54+1&gt;=H_Deemed),AMI55,AIV55)</f>
        <v>0</v>
      </c>
      <c r="APW55" s="20" t="n">
        <f aca="false">IF(AND(H_Direct=0,H_TaxEvt=1,ATJ54+1&gt;=H_Deemed),AMJ55,AIW55)</f>
        <v>0</v>
      </c>
      <c r="APX55" s="20" t="n">
        <f aca="false">IF(AND(H_Direct=0,H_TaxEvt=1,ATK54+1&gt;=H_Deemed),AMK55,AIX55)</f>
        <v>0</v>
      </c>
      <c r="APY55" s="20" t="n">
        <f aca="false">IF(AND(H_Direct=0,H_TaxEvt=1,ATL54+1&gt;=H_Deemed),AML55,AIY55)</f>
        <v>0</v>
      </c>
      <c r="APZ55" s="20" t="n">
        <f aca="false">IF(AND(H_Direct=0,H_TaxEvt=1,ATM54+1&gt;=H_Deemed),AMM55,AIZ55)</f>
        <v>0</v>
      </c>
      <c r="AQA55" s="20" t="n">
        <f aca="false">IF(AND(H_Direct=0,H_TaxEvt=1,0+1&gt;=H_Deemed),AMN55,AJA55)</f>
        <v>0</v>
      </c>
      <c r="AQB55" s="20" t="n">
        <v>0</v>
      </c>
      <c r="AQC55" s="20" t="n">
        <v>0</v>
      </c>
      <c r="AQD55" s="20" t="n">
        <v>0</v>
      </c>
      <c r="AQE55" s="20" t="n">
        <v>0</v>
      </c>
      <c r="AQF55" s="20" t="n">
        <v>0</v>
      </c>
      <c r="AQG55" s="20" t="n">
        <v>0</v>
      </c>
      <c r="AQH55" s="20" t="n">
        <v>0</v>
      </c>
      <c r="AQI55" s="20" t="n">
        <v>0</v>
      </c>
      <c r="AQJ55" s="20" t="n">
        <v>0</v>
      </c>
      <c r="AQK55" s="20" t="n">
        <v>0</v>
      </c>
      <c r="AQL55" s="20" t="n">
        <v>0</v>
      </c>
      <c r="AQM55" s="20" t="n">
        <v>0</v>
      </c>
      <c r="AQN55" s="20" t="n">
        <v>0</v>
      </c>
      <c r="AQO55" s="20" t="n">
        <v>0</v>
      </c>
      <c r="AQP55" s="20" t="n">
        <v>0</v>
      </c>
      <c r="AQQ55" s="20" t="n">
        <v>0</v>
      </c>
      <c r="AQR55" s="20" t="n">
        <v>0</v>
      </c>
      <c r="AQS55" s="20" t="n">
        <v>0</v>
      </c>
      <c r="AQT55" s="20" t="n">
        <v>0</v>
      </c>
      <c r="AQU55" s="20" t="n">
        <v>0</v>
      </c>
      <c r="AQV55" s="20" t="n">
        <v>0</v>
      </c>
      <c r="AQW55" s="20" t="n">
        <v>0</v>
      </c>
      <c r="AQX55" s="20" t="n">
        <v>0</v>
      </c>
      <c r="AQY55" s="20" t="n">
        <v>0</v>
      </c>
      <c r="AQZ55" s="20" t="n">
        <v>0</v>
      </c>
      <c r="ARA55" s="20" t="n">
        <v>0</v>
      </c>
      <c r="ARB55" s="20" t="n">
        <v>0</v>
      </c>
      <c r="ARC55" s="20" t="n">
        <v>0</v>
      </c>
      <c r="ARD55" s="20" t="n">
        <v>0</v>
      </c>
      <c r="ARE55" s="20" t="n">
        <v>0</v>
      </c>
      <c r="ARF55" s="20" t="n">
        <v>0</v>
      </c>
      <c r="ARG55" s="20" t="n">
        <v>0</v>
      </c>
      <c r="ARH55" s="20" t="n">
        <v>0</v>
      </c>
      <c r="ARI55" s="20" t="n">
        <v>0</v>
      </c>
      <c r="ARJ55" s="20" t="n">
        <v>0</v>
      </c>
      <c r="ARK55" s="20" t="n">
        <v>0</v>
      </c>
      <c r="ARL55" s="20" t="n">
        <v>0</v>
      </c>
      <c r="ARM55" s="20" t="n">
        <v>0</v>
      </c>
      <c r="ARN55" s="20" t="n">
        <v>0</v>
      </c>
      <c r="ARO55" s="20" t="n">
        <v>0</v>
      </c>
      <c r="ARP55" s="20" t="n">
        <v>0</v>
      </c>
      <c r="ARQ55" s="20" t="n">
        <v>0</v>
      </c>
      <c r="ARR55" s="20" t="n">
        <f aca="false">IF(AND(H_Direct=0,H_TaxEvt=1),IF(ARR54+1&gt;=H_Deemed,0,ARR54+1),ARR54)</f>
        <v>0</v>
      </c>
      <c r="ARS55" s="20" t="n">
        <f aca="false">IF(AND(H_Direct=0,H_TaxEvt=1),IF(ARS54+1&gt;=H_Deemed,0,ARS54+1),ARS54)</f>
        <v>0</v>
      </c>
      <c r="ART55" s="20" t="n">
        <f aca="false">IF(AND(H_Direct=0,H_TaxEvt=1),IF(ART54+1&gt;=H_Deemed,0,ART54+1),ART54)</f>
        <v>7</v>
      </c>
      <c r="ARU55" s="20" t="n">
        <f aca="false">IF(AND(H_Direct=0,H_TaxEvt=1),IF(ARU54+1&gt;=H_Deemed,0,ARU54+1),ARU54)</f>
        <v>6</v>
      </c>
      <c r="ARV55" s="20" t="n">
        <f aca="false">IF(AND(H_Direct=0,H_TaxEvt=1),IF(ARV54+1&gt;=H_Deemed,0,ARV54+1),ARV54)</f>
        <v>5</v>
      </c>
      <c r="ARW55" s="20" t="n">
        <f aca="false">IF(AND(H_Direct=0,H_TaxEvt=1),IF(ARW54+1&gt;=H_Deemed,0,ARW54+1),ARW54)</f>
        <v>4</v>
      </c>
      <c r="ARX55" s="20" t="n">
        <f aca="false">IF(AND(H_Direct=0,H_TaxEvt=1),IF(ARX54+1&gt;=H_Deemed,0,ARX54+1),ARX54)</f>
        <v>3</v>
      </c>
      <c r="ARY55" s="20" t="n">
        <f aca="false">IF(AND(H_Direct=0,H_TaxEvt=1),IF(ARY54+1&gt;=H_Deemed,0,ARY54+1),ARY54)</f>
        <v>2</v>
      </c>
      <c r="ARZ55" s="20" t="n">
        <f aca="false">IF(AND(H_Direct=0,H_TaxEvt=1),IF(ARZ54+1&gt;=H_Deemed,0,ARZ54+1),ARZ54)</f>
        <v>1</v>
      </c>
      <c r="ASA55" s="20" t="n">
        <f aca="false">IF(AND(H_Direct=0,H_TaxEvt=1),IF(ASA54+1&gt;=H_Deemed,0,ASA54+1),ASA54)</f>
        <v>0</v>
      </c>
      <c r="ASB55" s="20" t="n">
        <f aca="false">IF(AND(H_Direct=0,H_TaxEvt=1),IF(ASB54+1&gt;=H_Deemed,0,ASB54+1),ASB54)</f>
        <v>7</v>
      </c>
      <c r="ASC55" s="20" t="n">
        <f aca="false">IF(AND(H_Direct=0,H_TaxEvt=1),IF(ASC54+1&gt;=H_Deemed,0,ASC54+1),ASC54)</f>
        <v>6</v>
      </c>
      <c r="ASD55" s="20" t="n">
        <f aca="false">IF(AND(H_Direct=0,H_TaxEvt=1),IF(ASD54+1&gt;=H_Deemed,0,ASD54+1),ASD54)</f>
        <v>5</v>
      </c>
      <c r="ASE55" s="20" t="n">
        <f aca="false">IF(AND(H_Direct=0,H_TaxEvt=1),IF(ASE54+1&gt;=H_Deemed,0,ASE54+1),ASE54)</f>
        <v>4</v>
      </c>
      <c r="ASF55" s="20" t="n">
        <f aca="false">IF(AND(H_Direct=0,H_TaxEvt=1),IF(ASF54+1&gt;=H_Deemed,0,ASF54+1),ASF54)</f>
        <v>3</v>
      </c>
      <c r="ASG55" s="20" t="n">
        <f aca="false">IF(AND(H_Direct=0,H_TaxEvt=1),IF(ASG54+1&gt;=H_Deemed,0,ASG54+1),ASG54)</f>
        <v>2</v>
      </c>
      <c r="ASH55" s="20" t="n">
        <f aca="false">IF(AND(H_Direct=0,H_TaxEvt=1),IF(ASH54+1&gt;=H_Deemed,0,ASH54+1),ASH54)</f>
        <v>1</v>
      </c>
      <c r="ASI55" s="20" t="n">
        <f aca="false">IF(AND(H_Direct=0,H_TaxEvt=1),IF(ASI54+1&gt;=H_Deemed,0,ASI54+1),ASI54)</f>
        <v>0</v>
      </c>
      <c r="ASJ55" s="20" t="n">
        <f aca="false">IF(AND(H_Direct=0,H_TaxEvt=1),IF(ASJ54+1&gt;=H_Deemed,0,ASJ54+1),ASJ54)</f>
        <v>7</v>
      </c>
      <c r="ASK55" s="20" t="n">
        <f aca="false">IF(AND(H_Direct=0,H_TaxEvt=1),IF(ASK54+1&gt;=H_Deemed,0,ASK54+1),ASK54)</f>
        <v>6</v>
      </c>
      <c r="ASL55" s="20" t="n">
        <f aca="false">IF(AND(H_Direct=0,H_TaxEvt=1),IF(ASL54+1&gt;=H_Deemed,0,ASL54+1),ASL54)</f>
        <v>5</v>
      </c>
      <c r="ASM55" s="20" t="n">
        <f aca="false">IF(AND(H_Direct=0,H_TaxEvt=1),IF(ASM54+1&gt;=H_Deemed,0,ASM54+1),ASM54)</f>
        <v>4</v>
      </c>
      <c r="ASN55" s="20" t="n">
        <f aca="false">IF(AND(H_Direct=0,H_TaxEvt=1),IF(ASN54+1&gt;=H_Deemed,0,ASN54+1),ASN54)</f>
        <v>3</v>
      </c>
      <c r="ASO55" s="20" t="n">
        <f aca="false">IF(AND(H_Direct=0,H_TaxEvt=1),IF(ASO54+1&gt;=H_Deemed,0,ASO54+1),ASO54)</f>
        <v>2</v>
      </c>
      <c r="ASP55" s="20" t="n">
        <f aca="false">IF(AND(H_Direct=0,H_TaxEvt=1),IF(ASP54+1&gt;=H_Deemed,0,ASP54+1),ASP54)</f>
        <v>1</v>
      </c>
      <c r="ASQ55" s="20" t="n">
        <f aca="false">IF(AND(H_Direct=0,H_TaxEvt=1),IF(ASQ54+1&gt;=H_Deemed,0,ASQ54+1),ASQ54)</f>
        <v>0</v>
      </c>
      <c r="ASR55" s="20" t="n">
        <f aca="false">IF(AND(H_Direct=0,H_TaxEvt=1),IF(ASR54+1&gt;=H_Deemed,0,ASR54+1),ASR54)</f>
        <v>7</v>
      </c>
      <c r="ASS55" s="20" t="n">
        <f aca="false">IF(AND(H_Direct=0,H_TaxEvt=1),IF(ASS54+1&gt;=H_Deemed,0,ASS54+1),ASS54)</f>
        <v>6</v>
      </c>
      <c r="AST55" s="20" t="n">
        <f aca="false">IF(AND(H_Direct=0,H_TaxEvt=1),IF(AST54+1&gt;=H_Deemed,0,AST54+1),AST54)</f>
        <v>5</v>
      </c>
      <c r="ASU55" s="20" t="n">
        <f aca="false">IF(AND(H_Direct=0,H_TaxEvt=1),IF(ASU54+1&gt;=H_Deemed,0,ASU54+1),ASU54)</f>
        <v>4</v>
      </c>
      <c r="ASV55" s="20" t="n">
        <f aca="false">IF(AND(H_Direct=0,H_TaxEvt=1),IF(ASV54+1&gt;=H_Deemed,0,ASV54+1),ASV54)</f>
        <v>3</v>
      </c>
      <c r="ASW55" s="20" t="n">
        <f aca="false">IF(AND(H_Direct=0,H_TaxEvt=1),IF(ASW54+1&gt;=H_Deemed,0,ASW54+1),ASW54)</f>
        <v>2</v>
      </c>
      <c r="ASX55" s="20" t="n">
        <f aca="false">IF(AND(H_Direct=0,H_TaxEvt=1),IF(ASX54+1&gt;=H_Deemed,0,ASX54+1),ASX54)</f>
        <v>1</v>
      </c>
      <c r="ASY55" s="20" t="n">
        <f aca="false">IF(AND(H_Direct=0,H_TaxEvt=1),IF(ASY54+1&gt;=H_Deemed,0,ASY54+1),ASY54)</f>
        <v>0</v>
      </c>
      <c r="ASZ55" s="20" t="n">
        <f aca="false">IF(AND(H_Direct=0,H_TaxEvt=1),IF(ASZ54+1&gt;=H_Deemed,0,ASZ54+1),ASZ54)</f>
        <v>7</v>
      </c>
      <c r="ATA55" s="20" t="n">
        <f aca="false">IF(AND(H_Direct=0,H_TaxEvt=1),IF(ATA54+1&gt;=H_Deemed,0,ATA54+1),ATA54)</f>
        <v>6</v>
      </c>
      <c r="ATB55" s="20" t="n">
        <f aca="false">IF(AND(H_Direct=0,H_TaxEvt=1),IF(ATB54+1&gt;=H_Deemed,0,ATB54+1),ATB54)</f>
        <v>5</v>
      </c>
      <c r="ATC55" s="20" t="n">
        <f aca="false">IF(AND(H_Direct=0,H_TaxEvt=1),IF(ATC54+1&gt;=H_Deemed,0,ATC54+1),ATC54)</f>
        <v>4</v>
      </c>
      <c r="ATD55" s="20" t="n">
        <f aca="false">IF(AND(H_Direct=0,H_TaxEvt=1),IF(ATD54+1&gt;=H_Deemed,0,ATD54+1),ATD54)</f>
        <v>3</v>
      </c>
      <c r="ATE55" s="20" t="n">
        <f aca="false">IF(AND(H_Direct=0,H_TaxEvt=1),IF(ATE54+1&gt;=H_Deemed,0,ATE54+1),ATE54)</f>
        <v>2</v>
      </c>
      <c r="ATF55" s="20" t="n">
        <f aca="false">IF(AND(H_Direct=0,H_TaxEvt=1),IF(ATF54+1&gt;=H_Deemed,0,ATF54+1),ATF54)</f>
        <v>1</v>
      </c>
      <c r="ATG55" s="20" t="n">
        <f aca="false">IF(AND(H_Direct=0,H_TaxEvt=1),IF(ATG54+1&gt;=H_Deemed,0,ATG54+1),ATG54)</f>
        <v>0</v>
      </c>
      <c r="ATH55" s="20" t="n">
        <f aca="false">IF(AND(H_Direct=0,H_TaxEvt=1),IF(ATH54+1&gt;=H_Deemed,0,ATH54+1),ATH54)</f>
        <v>7</v>
      </c>
      <c r="ATI55" s="20" t="n">
        <f aca="false">IF(AND(H_Direct=0,H_TaxEvt=1),IF(ATI54+1&gt;=H_Deemed,0,ATI54+1),ATI54)</f>
        <v>6</v>
      </c>
      <c r="ATJ55" s="20" t="n">
        <f aca="false">IF(AND(H_Direct=0,H_TaxEvt=1),IF(ATJ54+1&gt;=H_Deemed,0,ATJ54+1),ATJ54)</f>
        <v>5</v>
      </c>
      <c r="ATK55" s="20" t="n">
        <f aca="false">IF(AND(H_Direct=0,H_TaxEvt=1),IF(ATK54+1&gt;=H_Deemed,0,ATK54+1),ATK54)</f>
        <v>4</v>
      </c>
      <c r="ATL55" s="20" t="n">
        <f aca="false">IF(AND(H_Direct=0,H_TaxEvt=1),IF(ATL54+1&gt;=H_Deemed,0,ATL54+1),ATL54)</f>
        <v>3</v>
      </c>
      <c r="ATM55" s="20" t="n">
        <f aca="false">IF(AND(H_Direct=0,H_TaxEvt=1),IF(ATM54+1&gt;=H_Deemed,0,ATM54+1),ATM54)</f>
        <v>2</v>
      </c>
      <c r="ATN55" s="20" t="n">
        <f aca="false">IF(AND(H_Direct=0,H_TaxEvt=1),IF(0+1&gt;=H_Deemed,0,0+1),0)</f>
        <v>1</v>
      </c>
      <c r="ATO55" s="20" t="n">
        <v>0</v>
      </c>
      <c r="ATP55" s="20" t="n">
        <v>0</v>
      </c>
      <c r="ATQ55" s="20" t="n">
        <v>0</v>
      </c>
      <c r="ATR55" s="20" t="n">
        <v>0</v>
      </c>
      <c r="ATS55" s="20" t="n">
        <v>0</v>
      </c>
      <c r="ATT55" s="20" t="n">
        <v>0</v>
      </c>
      <c r="ATU55" s="20" t="n">
        <v>0</v>
      </c>
      <c r="ATV55" s="20" t="n">
        <v>0</v>
      </c>
      <c r="ATW55" s="20" t="n">
        <v>0</v>
      </c>
      <c r="ATX55" s="20" t="n">
        <v>0</v>
      </c>
      <c r="ATY55" s="20" t="n">
        <v>0</v>
      </c>
      <c r="ATZ55" s="20" t="n">
        <v>0</v>
      </c>
      <c r="AUA55" s="20" t="n">
        <v>0</v>
      </c>
      <c r="AUB55" s="20" t="n">
        <v>0</v>
      </c>
      <c r="AUC55" s="20" t="n">
        <v>0</v>
      </c>
      <c r="AUD55" s="20" t="n">
        <v>0</v>
      </c>
      <c r="AUE55" s="20" t="n">
        <v>0</v>
      </c>
      <c r="AUF55" s="20" t="n">
        <v>0</v>
      </c>
      <c r="AUG55" s="20" t="n">
        <v>0</v>
      </c>
      <c r="AUH55" s="20" t="n">
        <v>0</v>
      </c>
      <c r="AUI55" s="20" t="n">
        <v>0</v>
      </c>
      <c r="AUJ55" s="20" t="n">
        <v>0</v>
      </c>
      <c r="AUK55" s="20" t="n">
        <v>0</v>
      </c>
      <c r="AUL55" s="20" t="n">
        <v>0</v>
      </c>
      <c r="AUM55" s="20" t="n">
        <v>0</v>
      </c>
      <c r="AUN55" s="20" t="n">
        <v>0</v>
      </c>
      <c r="AUO55" s="20" t="n">
        <v>0</v>
      </c>
      <c r="AUP55" s="20" t="n">
        <v>0</v>
      </c>
      <c r="AUQ55" s="20" t="n">
        <v>0</v>
      </c>
      <c r="AUR55" s="20" t="n">
        <v>0</v>
      </c>
      <c r="AUS55" s="20" t="n">
        <v>0</v>
      </c>
      <c r="AUT55" s="20" t="n">
        <v>0</v>
      </c>
      <c r="AUU55" s="20" t="n">
        <v>0</v>
      </c>
      <c r="AUV55" s="20" t="n">
        <v>0</v>
      </c>
      <c r="AUW55" s="20" t="n">
        <v>0</v>
      </c>
      <c r="AUX55" s="20" t="n">
        <v>0</v>
      </c>
      <c r="AUY55" s="20" t="n">
        <v>0</v>
      </c>
      <c r="AUZ55" s="20" t="n">
        <v>0</v>
      </c>
      <c r="AVA55" s="20" t="n">
        <v>0</v>
      </c>
      <c r="AVB55" s="20" t="n">
        <v>0</v>
      </c>
      <c r="AVC55" s="20" t="n">
        <v>0</v>
      </c>
      <c r="AVD55" s="20" t="n">
        <v>0</v>
      </c>
      <c r="AVE55" s="20" t="n">
        <f aca="false">IF(AND(H_Direct=0,H_TaxEvt=1,ARR54+1&gt;=H_Deemed),MAX(0,ADR55-AHE55)*H_Exit,0)</f>
        <v>0</v>
      </c>
      <c r="AVF55" s="20" t="n">
        <f aca="false">IF(AND(H_Direct=0,H_TaxEvt=1,ARS54+1&gt;=H_Deemed),MAX(0,ADS55-AHF55)*H_Exit,0)</f>
        <v>0</v>
      </c>
      <c r="AVG55" s="20" t="n">
        <f aca="false">IF(AND(H_Direct=0,H_TaxEvt=1,ART54+1&gt;=H_Deemed),MAX(0,ADT55-AHG55)*H_Exit,0)</f>
        <v>0</v>
      </c>
      <c r="AVH55" s="20" t="n">
        <f aca="false">IF(AND(H_Direct=0,H_TaxEvt=1,ARU54+1&gt;=H_Deemed),MAX(0,ADU55-AHH55)*H_Exit,0)</f>
        <v>0</v>
      </c>
      <c r="AVI55" s="20" t="n">
        <f aca="false">IF(AND(H_Direct=0,H_TaxEvt=1,ARV54+1&gt;=H_Deemed),MAX(0,ADV55-AHI55)*H_Exit,0)</f>
        <v>0</v>
      </c>
      <c r="AVJ55" s="20" t="n">
        <f aca="false">IF(AND(H_Direct=0,H_TaxEvt=1,ARW54+1&gt;=H_Deemed),MAX(0,ADW55-AHJ55)*H_Exit,0)</f>
        <v>0</v>
      </c>
      <c r="AVK55" s="20" t="n">
        <f aca="false">IF(AND(H_Direct=0,H_TaxEvt=1,ARX54+1&gt;=H_Deemed),MAX(0,ADX55-AHK55)*H_Exit,0)</f>
        <v>0</v>
      </c>
      <c r="AVL55" s="20" t="n">
        <f aca="false">IF(AND(H_Direct=0,H_TaxEvt=1,ARY54+1&gt;=H_Deemed),MAX(0,ADY55-AHL55)*H_Exit,0)</f>
        <v>0</v>
      </c>
      <c r="AVM55" s="20" t="n">
        <f aca="false">IF(AND(H_Direct=0,H_TaxEvt=1,ARZ54+1&gt;=H_Deemed),MAX(0,ADZ55-AHM55)*H_Exit,0)</f>
        <v>0</v>
      </c>
      <c r="AVN55" s="20" t="n">
        <f aca="false">IF(AND(H_Direct=0,H_TaxEvt=1,ASA54+1&gt;=H_Deemed),MAX(0,AEA55-AHN55)*H_Exit,0)</f>
        <v>0</v>
      </c>
      <c r="AVO55" s="20" t="n">
        <f aca="false">IF(AND(H_Direct=0,H_TaxEvt=1,ASB54+1&gt;=H_Deemed),MAX(0,AEB55-AHO55)*H_Exit,0)</f>
        <v>0</v>
      </c>
      <c r="AVP55" s="20" t="n">
        <f aca="false">IF(AND(H_Direct=0,H_TaxEvt=1,ASC54+1&gt;=H_Deemed),MAX(0,AEC55-AHP55)*H_Exit,0)</f>
        <v>0</v>
      </c>
      <c r="AVQ55" s="20" t="n">
        <f aca="false">IF(AND(H_Direct=0,H_TaxEvt=1,ASD54+1&gt;=H_Deemed),MAX(0,AED55-AHQ55)*H_Exit,0)</f>
        <v>0</v>
      </c>
      <c r="AVR55" s="20" t="n">
        <f aca="false">IF(AND(H_Direct=0,H_TaxEvt=1,ASE54+1&gt;=H_Deemed),MAX(0,AEE55-AHR55)*H_Exit,0)</f>
        <v>0</v>
      </c>
      <c r="AVS55" s="20" t="n">
        <f aca="false">IF(AND(H_Direct=0,H_TaxEvt=1,ASF54+1&gt;=H_Deemed),MAX(0,AEF55-AHS55)*H_Exit,0)</f>
        <v>0</v>
      </c>
      <c r="AVT55" s="20" t="n">
        <f aca="false">IF(AND(H_Direct=0,H_TaxEvt=1,ASG54+1&gt;=H_Deemed),MAX(0,AEG55-AHT55)*H_Exit,0)</f>
        <v>0</v>
      </c>
      <c r="AVU55" s="20" t="n">
        <f aca="false">IF(AND(H_Direct=0,H_TaxEvt=1,ASH54+1&gt;=H_Deemed),MAX(0,AEH55-AHU55)*H_Exit,0)</f>
        <v>0</v>
      </c>
      <c r="AVV55" s="20" t="n">
        <f aca="false">IF(AND(H_Direct=0,H_TaxEvt=1,ASI54+1&gt;=H_Deemed),MAX(0,AEI55-AHV55)*H_Exit,0)</f>
        <v>0</v>
      </c>
      <c r="AVW55" s="20" t="n">
        <f aca="false">IF(AND(H_Direct=0,H_TaxEvt=1,ASJ54+1&gt;=H_Deemed),MAX(0,AEJ55-AHW55)*H_Exit,0)</f>
        <v>0</v>
      </c>
      <c r="AVX55" s="20" t="n">
        <f aca="false">IF(AND(H_Direct=0,H_TaxEvt=1,ASK54+1&gt;=H_Deemed),MAX(0,AEK55-AHX55)*H_Exit,0)</f>
        <v>0</v>
      </c>
      <c r="AVY55" s="20" t="n">
        <f aca="false">IF(AND(H_Direct=0,H_TaxEvt=1,ASL54+1&gt;=H_Deemed),MAX(0,AEL55-AHY55)*H_Exit,0)</f>
        <v>0</v>
      </c>
      <c r="AVZ55" s="20" t="n">
        <f aca="false">IF(AND(H_Direct=0,H_TaxEvt=1,ASM54+1&gt;=H_Deemed),MAX(0,AEM55-AHZ55)*H_Exit,0)</f>
        <v>0</v>
      </c>
      <c r="AWA55" s="20" t="n">
        <f aca="false">IF(AND(H_Direct=0,H_TaxEvt=1,ASN54+1&gt;=H_Deemed),MAX(0,AEN55-AIA55)*H_Exit,0)</f>
        <v>0</v>
      </c>
      <c r="AWB55" s="20" t="n">
        <f aca="false">IF(AND(H_Direct=0,H_TaxEvt=1,ASO54+1&gt;=H_Deemed),MAX(0,AEO55-AIB55)*H_Exit,0)</f>
        <v>0</v>
      </c>
      <c r="AWC55" s="20" t="n">
        <f aca="false">IF(AND(H_Direct=0,H_TaxEvt=1,ASP54+1&gt;=H_Deemed),MAX(0,AEP55-AIC55)*H_Exit,0)</f>
        <v>0</v>
      </c>
      <c r="AWD55" s="20" t="n">
        <f aca="false">IF(AND(H_Direct=0,H_TaxEvt=1,ASQ54+1&gt;=H_Deemed),MAX(0,AEQ55-AID55)*H_Exit,0)</f>
        <v>0</v>
      </c>
      <c r="AWE55" s="20" t="n">
        <f aca="false">IF(AND(H_Direct=0,H_TaxEvt=1,ASR54+1&gt;=H_Deemed),MAX(0,AER55-AIE55)*H_Exit,0)</f>
        <v>0</v>
      </c>
      <c r="AWF55" s="20" t="n">
        <f aca="false">IF(AND(H_Direct=0,H_TaxEvt=1,ASS54+1&gt;=H_Deemed),MAX(0,AES55-AIF55)*H_Exit,0)</f>
        <v>0</v>
      </c>
      <c r="AWG55" s="20" t="n">
        <f aca="false">IF(AND(H_Direct=0,H_TaxEvt=1,AST54+1&gt;=H_Deemed),MAX(0,AET55-AIG55)*H_Exit,0)</f>
        <v>0</v>
      </c>
      <c r="AWH55" s="20" t="n">
        <f aca="false">IF(AND(H_Direct=0,H_TaxEvt=1,ASU54+1&gt;=H_Deemed),MAX(0,AEU55-AIH55)*H_Exit,0)</f>
        <v>0</v>
      </c>
      <c r="AWI55" s="20" t="n">
        <f aca="false">IF(AND(H_Direct=0,H_TaxEvt=1,ASV54+1&gt;=H_Deemed),MAX(0,AEV55-AII55)*H_Exit,0)</f>
        <v>0</v>
      </c>
      <c r="AWJ55" s="20" t="n">
        <f aca="false">IF(AND(H_Direct=0,H_TaxEvt=1,ASW54+1&gt;=H_Deemed),MAX(0,AEW55-AIJ55)*H_Exit,0)</f>
        <v>0</v>
      </c>
      <c r="AWK55" s="20" t="n">
        <f aca="false">IF(AND(H_Direct=0,H_TaxEvt=1,ASX54+1&gt;=H_Deemed),MAX(0,AEX55-AIK55)*H_Exit,0)</f>
        <v>0</v>
      </c>
      <c r="AWL55" s="20" t="n">
        <f aca="false">IF(AND(H_Direct=0,H_TaxEvt=1,ASY54+1&gt;=H_Deemed),MAX(0,AEY55-AIL55)*H_Exit,0)</f>
        <v>0</v>
      </c>
      <c r="AWM55" s="20" t="n">
        <f aca="false">IF(AND(H_Direct=0,H_TaxEvt=1,ASZ54+1&gt;=H_Deemed),MAX(0,AEZ55-AIM55)*H_Exit,0)</f>
        <v>0</v>
      </c>
      <c r="AWN55" s="20" t="n">
        <f aca="false">IF(AND(H_Direct=0,H_TaxEvt=1,ATA54+1&gt;=H_Deemed),MAX(0,AFA55-AIN55)*H_Exit,0)</f>
        <v>0</v>
      </c>
      <c r="AWO55" s="20" t="n">
        <f aca="false">IF(AND(H_Direct=0,H_TaxEvt=1,ATB54+1&gt;=H_Deemed),MAX(0,AFB55-AIO55)*H_Exit,0)</f>
        <v>0</v>
      </c>
      <c r="AWP55" s="20" t="n">
        <f aca="false">IF(AND(H_Direct=0,H_TaxEvt=1,ATC54+1&gt;=H_Deemed),MAX(0,AFC55-AIP55)*H_Exit,0)</f>
        <v>0</v>
      </c>
      <c r="AWQ55" s="20" t="n">
        <f aca="false">IF(AND(H_Direct=0,H_TaxEvt=1,ATD54+1&gt;=H_Deemed),MAX(0,AFD55-AIQ55)*H_Exit,0)</f>
        <v>0</v>
      </c>
      <c r="AWR55" s="20" t="n">
        <f aca="false">IF(AND(H_Direct=0,H_TaxEvt=1,ATE54+1&gt;=H_Deemed),MAX(0,AFE55-AIR55)*H_Exit,0)</f>
        <v>0</v>
      </c>
      <c r="AWS55" s="20" t="n">
        <f aca="false">IF(AND(H_Direct=0,H_TaxEvt=1,ATF54+1&gt;=H_Deemed),MAX(0,AFF55-AIS55)*H_Exit,0)</f>
        <v>0</v>
      </c>
      <c r="AWT55" s="20" t="n">
        <f aca="false">IF(AND(H_Direct=0,H_TaxEvt=1,ATG54+1&gt;=H_Deemed),MAX(0,AFG55-AIT55)*H_Exit,0)</f>
        <v>0</v>
      </c>
      <c r="AWU55" s="20" t="n">
        <f aca="false">IF(AND(H_Direct=0,H_TaxEvt=1,ATH54+1&gt;=H_Deemed),MAX(0,AFH55-AIU55)*H_Exit,0)</f>
        <v>0</v>
      </c>
      <c r="AWV55" s="20" t="n">
        <f aca="false">IF(AND(H_Direct=0,H_TaxEvt=1,ATI54+1&gt;=H_Deemed),MAX(0,AFI55-AIV55)*H_Exit,0)</f>
        <v>0</v>
      </c>
      <c r="AWW55" s="20" t="n">
        <f aca="false">IF(AND(H_Direct=0,H_TaxEvt=1,ATJ54+1&gt;=H_Deemed),MAX(0,AFJ55-AIW55)*H_Exit,0)</f>
        <v>0</v>
      </c>
      <c r="AWX55" s="20" t="n">
        <f aca="false">IF(AND(H_Direct=0,H_TaxEvt=1,ATK54+1&gt;=H_Deemed),MAX(0,AFK55-AIX55)*H_Exit,0)</f>
        <v>0</v>
      </c>
      <c r="AWY55" s="20" t="n">
        <f aca="false">IF(AND(H_Direct=0,H_TaxEvt=1,ATL54+1&gt;=H_Deemed),MAX(0,AFL55-AIY55)*H_Exit,0)</f>
        <v>0</v>
      </c>
      <c r="AWZ55" s="20" t="n">
        <f aca="false">IF(AND(H_Direct=0,H_TaxEvt=1,ATM54+1&gt;=H_Deemed),MAX(0,AFM55-AIZ55)*H_Exit,0)</f>
        <v>0</v>
      </c>
      <c r="AXA55" s="20" t="n">
        <f aca="false">IF(AND(H_Direct=0,H_TaxEvt=1,0+1&gt;=H_Deemed),MAX(0,AFN55-AJA55)*H_Exit,0)</f>
        <v>0</v>
      </c>
      <c r="AXB55" s="20" t="n">
        <v>0</v>
      </c>
      <c r="AXC55" s="20" t="n">
        <v>0</v>
      </c>
      <c r="AXD55" s="20" t="n">
        <v>0</v>
      </c>
      <c r="AXE55" s="20" t="n">
        <v>0</v>
      </c>
      <c r="AXF55" s="20" t="n">
        <v>0</v>
      </c>
      <c r="AXG55" s="20" t="n">
        <v>0</v>
      </c>
      <c r="AXH55" s="20" t="n">
        <v>0</v>
      </c>
      <c r="AXI55" s="20" t="n">
        <v>0</v>
      </c>
      <c r="AXJ55" s="20" t="n">
        <v>0</v>
      </c>
      <c r="AXK55" s="20" t="n">
        <v>0</v>
      </c>
      <c r="AXL55" s="20" t="n">
        <v>0</v>
      </c>
      <c r="AXM55" s="20" t="n">
        <v>0</v>
      </c>
      <c r="AXN55" s="20" t="n">
        <v>0</v>
      </c>
      <c r="AXO55" s="20" t="n">
        <v>0</v>
      </c>
      <c r="AXP55" s="20" t="n">
        <v>0</v>
      </c>
      <c r="AXQ55" s="20" t="n">
        <v>0</v>
      </c>
      <c r="AXR55" s="20" t="n">
        <v>0</v>
      </c>
      <c r="AXS55" s="20" t="n">
        <v>0</v>
      </c>
      <c r="AXT55" s="20" t="n">
        <v>0</v>
      </c>
      <c r="AXU55" s="20" t="n">
        <v>0</v>
      </c>
      <c r="AXV55" s="20" t="n">
        <v>0</v>
      </c>
      <c r="AXW55" s="20" t="n">
        <v>0</v>
      </c>
      <c r="AXX55" s="20" t="n">
        <v>0</v>
      </c>
      <c r="AXY55" s="20" t="n">
        <v>0</v>
      </c>
      <c r="AXZ55" s="20" t="n">
        <v>0</v>
      </c>
      <c r="AYA55" s="20" t="n">
        <v>0</v>
      </c>
      <c r="AYB55" s="20" t="n">
        <v>0</v>
      </c>
      <c r="AYC55" s="20" t="n">
        <v>0</v>
      </c>
      <c r="AYD55" s="20" t="n">
        <v>0</v>
      </c>
      <c r="AYE55" s="20" t="n">
        <v>0</v>
      </c>
      <c r="AYF55" s="20" t="n">
        <v>0</v>
      </c>
      <c r="AYG55" s="20" t="n">
        <v>0</v>
      </c>
      <c r="AYH55" s="20" t="n">
        <v>0</v>
      </c>
      <c r="AYI55" s="20" t="n">
        <v>0</v>
      </c>
      <c r="AYJ55" s="20" t="n">
        <v>0</v>
      </c>
      <c r="AYK55" s="20" t="n">
        <v>0</v>
      </c>
      <c r="AYL55" s="20" t="n">
        <v>0</v>
      </c>
      <c r="AYM55" s="20" t="n">
        <v>0</v>
      </c>
      <c r="AYN55" s="20" t="n">
        <v>0</v>
      </c>
      <c r="AYO55" s="20" t="n">
        <v>0</v>
      </c>
      <c r="AYP55" s="20" t="n">
        <v>0</v>
      </c>
      <c r="AYQ55" s="20" t="n">
        <v>0</v>
      </c>
    </row>
    <row r="56" customFormat="false" ht="15" hidden="false" customHeight="false" outlineLevel="0" collapsed="false">
      <c r="B56" s="20" t="n">
        <v>48</v>
      </c>
      <c r="C56" s="20" t="n">
        <f aca="false">'Plan cashflow'!C56</f>
        <v>1</v>
      </c>
      <c r="D56" s="20" t="n">
        <f aca="false">'Plan cashflow'!D56</f>
        <v>86</v>
      </c>
      <c r="E56" s="20" t="n">
        <f aca="false">AS_Year0+48</f>
        <v>2074</v>
      </c>
      <c r="F56" s="50" t="n">
        <f aca="false">'Plan cashflow'!F56</f>
        <v>2.58707038549943</v>
      </c>
      <c r="G56" s="59" t="n">
        <f aca="true">IF(MAX(TODAY(),DATE(E56,1,1))&gt;=H_CGTfrom,H_CGT1,H_CGT0)</f>
        <v>0.31</v>
      </c>
      <c r="H56" s="20" t="n">
        <f aca="false">H_Exempt*H_Persons</f>
        <v>1270</v>
      </c>
      <c r="I56" s="20" t="n">
        <f aca="false">AX55</f>
        <v>0</v>
      </c>
      <c r="J56" s="60" t="n">
        <f aca="false">BF55</f>
        <v>0</v>
      </c>
      <c r="K56" s="60" t="n">
        <f aca="false">BG55</f>
        <v>0</v>
      </c>
      <c r="L56" s="20" t="n">
        <f aca="false">IF(AND(In_polLump&gt;0,In_polLumpAge&gt;0,D56=In_polLumpAge),In_polLump,0)</f>
        <v>0</v>
      </c>
      <c r="M56" s="20" t="n">
        <f aca="false">IF(AND(In_homeUse="Yes, I'd downsize",In_downAge&gt;0,D56=In_downAge,OR(In_home="Own outright",In_home="Own with mortgage"),In_homeValue&gt;0),MAX(0,MAX(0,In_homeValue-In_downValue)*F56*0.9-'Plan cashflow'!HR55),0)</f>
        <v>0</v>
      </c>
      <c r="N56" s="20" t="n">
        <f aca="false">'Plan pay &amp; tax'!Y282</f>
        <v>0</v>
      </c>
      <c r="O56" s="20" t="n">
        <f aca="false">L56+M56+(1-H_Sh)*N56</f>
        <v>0</v>
      </c>
      <c r="P56" s="20" t="n">
        <f aca="false">H_Sh*N56</f>
        <v>0</v>
      </c>
      <c r="Q56" s="20" t="n">
        <f aca="false">'Plan cashflow'!UL56</f>
        <v>0</v>
      </c>
      <c r="R56" s="20" t="n">
        <f aca="false">(1-H_Sh)*Q56</f>
        <v>0</v>
      </c>
      <c r="S56" s="20" t="n">
        <f aca="false">H_Sh*Q56</f>
        <v>0</v>
      </c>
      <c r="T56" s="20" t="n">
        <f aca="false">J56+K56+O56</f>
        <v>0</v>
      </c>
      <c r="U56" s="20" t="n">
        <f aca="false">T56+R56</f>
        <v>0</v>
      </c>
      <c r="V56" s="60" t="n">
        <f aca="false">SUM(FE56:IQ56)</f>
        <v>0</v>
      </c>
      <c r="W56" s="60" t="n">
        <f aca="false">IF(AJ56&lt;=0,0,IF(AL56&lt;=0,AJ56,AJ56-G56*MAX(0,AL56*AJ56-(AY56+AZ56))))</f>
        <v>0</v>
      </c>
      <c r="X56" s="60" t="n">
        <f aca="false">IF(AR56&lt;=0,0,IF(AT56&lt;=0,AR56,AR56-G56*MAX(0,AT56*AR56-(BA56+BB56))))</f>
        <v>0</v>
      </c>
      <c r="Y56" s="60" t="n">
        <f aca="false">T56+V56-S56+W56+X56</f>
        <v>0</v>
      </c>
      <c r="Z56" s="60" t="n">
        <f aca="false">'Plan cashflow'!UK56</f>
        <v>0</v>
      </c>
      <c r="AA56" s="20" t="n">
        <f aca="false">MIN(Z56,U56)</f>
        <v>0</v>
      </c>
      <c r="AB56" s="20" t="n">
        <f aca="false">Z56-AA56</f>
        <v>0</v>
      </c>
      <c r="AC56" s="20" t="n">
        <f aca="false">MIN(AA56,J56+O56+R56)</f>
        <v>0</v>
      </c>
      <c r="AD56" s="20" t="n">
        <f aca="false">AA56-AC56</f>
        <v>0</v>
      </c>
      <c r="AE56" s="20" t="n">
        <f aca="false">J56+O56+R56-AC56</f>
        <v>0</v>
      </c>
      <c r="AF56" s="20" t="n">
        <f aca="false">K56-AD56</f>
        <v>0</v>
      </c>
      <c r="AG56" s="20" t="n">
        <f aca="false">SUM(PR56:TD56)</f>
        <v>0</v>
      </c>
      <c r="AH56" s="20" t="n">
        <f aca="false">SUM(TE56:WQ56)</f>
        <v>0</v>
      </c>
      <c r="AI56" s="20" t="n">
        <f aca="false">MAX(0,AB56-AG56)</f>
        <v>0</v>
      </c>
      <c r="AJ56" s="57" t="n">
        <f aca="false">BI55</f>
        <v>0</v>
      </c>
      <c r="AK56" s="20" t="n">
        <f aca="false">BJ55</f>
        <v>0</v>
      </c>
      <c r="AL56" s="20" t="n">
        <f aca="false">IF(AJ56&gt;0,(AJ56-AK56)/AJ56,0)</f>
        <v>0</v>
      </c>
      <c r="AM56" s="20" t="n">
        <f aca="false">IF(AJ56&lt;=0,0,IF(AL56&lt;=0,MIN(AI56,AJ56),MIN(AI56,AJ56-G56*MAX(0,AL56*AJ56-(AAD56+ADQ56)))))</f>
        <v>0</v>
      </c>
      <c r="AN56" s="20" t="n">
        <f aca="false">IF(AJ56&lt;=0,0,IF(AL56&lt;=0,AM56,IF(AM56&lt;=(AAD56+ADQ56)/AL56,AM56,(AM56-G56*(AAD56+ADQ56))/(1-G56*AL56))))</f>
        <v>0</v>
      </c>
      <c r="AO56" s="20" t="n">
        <f aca="false">IF(AL56&gt;0,MAX(0,AAD56-(MIN(AL56*AN56,(AAD56+ADQ56))-MIN(MIN(AL56*AN56,(AAD56+ADQ56)),ADQ56))),AAD56)</f>
        <v>1270</v>
      </c>
      <c r="AP56" s="20" t="n">
        <f aca="false">IF(AL56&lt;=0,ADQ56-AL56*AN56,ADQ56-MIN(MIN(AL56*AN56,(AAD56+ADQ56)),ADQ56))</f>
        <v>0</v>
      </c>
      <c r="AQ56" s="20" t="n">
        <f aca="false">MAX(0,AI56-AM56)</f>
        <v>0</v>
      </c>
      <c r="AR56" s="57" t="n">
        <f aca="false">BK55</f>
        <v>0</v>
      </c>
      <c r="AS56" s="20" t="n">
        <f aca="false">BL55</f>
        <v>0</v>
      </c>
      <c r="AT56" s="20" t="n">
        <f aca="false">IF(AR56&gt;0,(AR56-AS56)/AR56,0)</f>
        <v>0</v>
      </c>
      <c r="AU56" s="20" t="n">
        <f aca="false">IF(AR56&lt;=0,0,IF(AT56&lt;=0,MIN(AQ56,AR56),MIN(AQ56,AR56-G56*MAX(0,AT56*AR56-(AO56+AP56)))))</f>
        <v>0</v>
      </c>
      <c r="AV56" s="20" t="n">
        <f aca="false">IF(AR56&lt;=0,0,IF(AT56&lt;=0,AU56,IF(AU56&lt;=(AO56+AP56)/AT56,AU56,(AU56-G56*(AO56+AP56))/(1-G56*AT56))))</f>
        <v>0</v>
      </c>
      <c r="AW56" s="20" t="n">
        <f aca="false">IF(AT56&gt;0,MAX(0,AO56-(MIN(AT56*AV56,(AO56+AP56))-MIN(MIN(AT56*AV56,(AO56+AP56)),AP56))),AO56)</f>
        <v>1270</v>
      </c>
      <c r="AX56" s="20" t="n">
        <f aca="false">IF(AT56&lt;=0,AP56-AT56*AV56,AP56-MIN(MIN(AT56*AV56,(AO56+AP56)),AP56))</f>
        <v>0</v>
      </c>
      <c r="AY56" s="20" t="n">
        <f aca="false">MD56</f>
        <v>1270</v>
      </c>
      <c r="AZ56" s="20" t="n">
        <f aca="false">PQ56</f>
        <v>0</v>
      </c>
      <c r="BA56" s="20" t="n">
        <f aca="false">IF(AL56&gt;0,MAX(0,AY56-(MIN(AL56*AJ56,AY56+AZ56)-MIN(MIN(AL56*AJ56,AY56+AZ56),AZ56))),AY56)</f>
        <v>1270</v>
      </c>
      <c r="BB56" s="20" t="n">
        <f aca="false">IF(AL56&lt;=0,AZ56-AL56*AJ56,AZ56-MIN(MIN(AL56*AJ56,AY56+AZ56),AZ56))</f>
        <v>0</v>
      </c>
      <c r="BC56" s="20" t="n">
        <f aca="false">'Plan cashflow'!UM56</f>
        <v>0</v>
      </c>
      <c r="BD56" s="20" t="n">
        <f aca="false">(1-H_Sh)*BC56</f>
        <v>0</v>
      </c>
      <c r="BE56" s="20" t="n">
        <f aca="false">H_Sh*BC56</f>
        <v>0</v>
      </c>
      <c r="BF56" s="60" t="n">
        <f aca="false">(AE56+BD56)*(1+AS_Cash)</f>
        <v>0</v>
      </c>
      <c r="BG56" s="60" t="n">
        <f aca="false">AF56*(1+AS_Cash)</f>
        <v>0</v>
      </c>
      <c r="BH56" s="60" t="n">
        <f aca="false">SUM(AKR56:AOD56)</f>
        <v>0</v>
      </c>
      <c r="BI56" s="60" t="n">
        <f aca="false">(AJ56-AN56)*(1+AS_Infl)</f>
        <v>0</v>
      </c>
      <c r="BJ56" s="20" t="n">
        <f aca="false">IF(AJ56&gt;0,AK56-AK56*AN56/AJ56,0)</f>
        <v>0</v>
      </c>
      <c r="BK56" s="60" t="n">
        <f aca="false">(AR56-AV56)*(1+BQ56)</f>
        <v>0</v>
      </c>
      <c r="BL56" s="20" t="n">
        <f aca="false">IF(AR56&gt;0,AS56-AS56*AV56/AR56,0)</f>
        <v>0</v>
      </c>
      <c r="BM56" s="60" t="n">
        <f aca="false">BF56+BG56+BH56+BI56+BK56</f>
        <v>0</v>
      </c>
      <c r="BN56" s="60" t="n">
        <f aca="false">(AH56-AG56)+(AN56-AM56)+(AV56-AU56)</f>
        <v>0</v>
      </c>
      <c r="BO56" s="20" t="n">
        <f aca="false">(AE56+BD56+AF56+MAX(0,'Plan cashflow'!QH56)+IF(Slot1_Rate=AS_Cash,'Plan cashflow'!QM56/(1+AS_Cash),0)+IF(Slot2_Rate=AS_Cash,'Plan cashflow'!QQ56/(1+AS_Cash),0)+IF(Slot3_Rate=AS_Cash,'Plan cashflow'!QU56/(1+AS_Cash),0)+IF(Slot4_Rate=AS_Cash,'Plan cashflow'!QY56/(1+AS_Cash),0)+IF(Slot5_Rate=AS_Cash,'Plan cashflow'!RC56/(1+AS_Cash),0)+IF(Slot6_Rate=AS_Cash,'Plan cashflow'!RG56/(1+AS_Cash),0)+IF(Slot7_Rate=AS_Cash,'Plan cashflow'!RK56/(1+AS_Cash),0)+IF(Slot8_Rate=AS_Cash,'Plan cashflow'!RO56/(1+AS_Cash),0)+IF(Slot9_Rate=AS_Cash,'Plan cashflow'!RS56/(1+AS_Cash),0)+IF(Slot10_Rate=AS_Cash,'Plan cashflow'!RW56/(1+AS_Cash),0)+IF(Slot11_Rate=AS_Cash,'Plan cashflow'!SA56/(1+AS_Cash),0)+IF(Slot12_Rate=AS_Cash,'Plan cashflow'!SE56/(1+AS_Cash),0)+IF(Slot13_Rate=AS_Cash,'Plan cashflow'!SI56/(1+AS_Cash),0)+IF(Slot14_Rate=AS_Cash,'Plan cashflow'!SM56/(1+AS_Cash),0)+IF(Slot15_Rate=AS_Cash,'Plan cashflow'!SQ56/(1+AS_Cash),0)+IF(Slot16_Rate=AS_Cash,'Plan cashflow'!SU56/(1+AS_Cash),0)+IF(Slot17_Rate=AS_Cash,'Plan cashflow'!SY56/(1+AS_Cash),0)+IF(Slot18_Rate=AS_Cash,'Plan cashflow'!TC56/(1+AS_Cash),0)+IF(Slot19_Rate=AS_Cash,'Plan cashflow'!TG56/(1+AS_Cash),0)+IF(Slot20_Rate=AS_Cash,'Plan cashflow'!TK56/(1+AS_Cash),0))*AS_Cash*H_DIRT/(1-H_DIRT)</f>
        <v>0</v>
      </c>
      <c r="BP56" s="60" t="n">
        <f aca="false">SUM(AVE56:AYQ56)</f>
        <v>0</v>
      </c>
      <c r="BQ56" s="54" t="n">
        <f aca="false">IF(H_TaxEvt=1,H_InvG,AS_Inv)</f>
        <v>0.04</v>
      </c>
      <c r="BR56" s="20" t="n">
        <f aca="false">IF(AKR55&gt;0,(AKR55-AOE55)/AKR55,0)</f>
        <v>0</v>
      </c>
      <c r="BS56" s="20" t="n">
        <f aca="false">IF(AKS55&gt;0,(AKS55-AOF55)/AKS55,0)</f>
        <v>0</v>
      </c>
      <c r="BT56" s="20" t="n">
        <f aca="false">IF(AKT55&gt;0,(AKT55-AOG55)/AKT55,0)</f>
        <v>0</v>
      </c>
      <c r="BU56" s="20" t="n">
        <f aca="false">IF(AKU55&gt;0,(AKU55-AOH55)/AKU55,0)</f>
        <v>0</v>
      </c>
      <c r="BV56" s="20" t="n">
        <f aca="false">IF(AKV55&gt;0,(AKV55-AOI55)/AKV55,0)</f>
        <v>0</v>
      </c>
      <c r="BW56" s="20" t="n">
        <f aca="false">IF(AKW55&gt;0,(AKW55-AOJ55)/AKW55,0)</f>
        <v>0</v>
      </c>
      <c r="BX56" s="20" t="n">
        <f aca="false">IF(AKX55&gt;0,(AKX55-AOK55)/AKX55,0)</f>
        <v>0</v>
      </c>
      <c r="BY56" s="20" t="n">
        <f aca="false">IF(AKY55&gt;0,(AKY55-AOL55)/AKY55,0)</f>
        <v>0</v>
      </c>
      <c r="BZ56" s="20" t="n">
        <f aca="false">IF(AKZ55&gt;0,(AKZ55-AOM55)/AKZ55,0)</f>
        <v>0</v>
      </c>
      <c r="CA56" s="20" t="n">
        <f aca="false">IF(ALA55&gt;0,(ALA55-AON55)/ALA55,0)</f>
        <v>0</v>
      </c>
      <c r="CB56" s="20" t="n">
        <f aca="false">IF(ALB55&gt;0,(ALB55-AOO55)/ALB55,0)</f>
        <v>0</v>
      </c>
      <c r="CC56" s="20" t="n">
        <f aca="false">IF(ALC55&gt;0,(ALC55-AOP55)/ALC55,0)</f>
        <v>0</v>
      </c>
      <c r="CD56" s="20" t="n">
        <f aca="false">IF(ALD55&gt;0,(ALD55-AOQ55)/ALD55,0)</f>
        <v>0</v>
      </c>
      <c r="CE56" s="20" t="n">
        <f aca="false">IF(ALE55&gt;0,(ALE55-AOR55)/ALE55,0)</f>
        <v>0</v>
      </c>
      <c r="CF56" s="20" t="n">
        <f aca="false">IF(ALF55&gt;0,(ALF55-AOS55)/ALF55,0)</f>
        <v>0</v>
      </c>
      <c r="CG56" s="20" t="n">
        <f aca="false">IF(ALG55&gt;0,(ALG55-AOT55)/ALG55,0)</f>
        <v>0</v>
      </c>
      <c r="CH56" s="20" t="n">
        <f aca="false">IF(ALH55&gt;0,(ALH55-AOU55)/ALH55,0)</f>
        <v>0</v>
      </c>
      <c r="CI56" s="20" t="n">
        <f aca="false">IF(ALI55&gt;0,(ALI55-AOV55)/ALI55,0)</f>
        <v>0</v>
      </c>
      <c r="CJ56" s="20" t="n">
        <f aca="false">IF(ALJ55&gt;0,(ALJ55-AOW55)/ALJ55,0)</f>
        <v>0</v>
      </c>
      <c r="CK56" s="20" t="n">
        <f aca="false">IF(ALK55&gt;0,(ALK55-AOX55)/ALK55,0)</f>
        <v>0</v>
      </c>
      <c r="CL56" s="20" t="n">
        <f aca="false">IF(ALL55&gt;0,(ALL55-AOY55)/ALL55,0)</f>
        <v>0</v>
      </c>
      <c r="CM56" s="20" t="n">
        <f aca="false">IF(ALM55&gt;0,(ALM55-AOZ55)/ALM55,0)</f>
        <v>0</v>
      </c>
      <c r="CN56" s="20" t="n">
        <f aca="false">IF(ALN55&gt;0,(ALN55-APA55)/ALN55,0)</f>
        <v>0</v>
      </c>
      <c r="CO56" s="20" t="n">
        <f aca="false">IF(ALO55&gt;0,(ALO55-APB55)/ALO55,0)</f>
        <v>0</v>
      </c>
      <c r="CP56" s="20" t="n">
        <f aca="false">IF(ALP55&gt;0,(ALP55-APC55)/ALP55,0)</f>
        <v>0</v>
      </c>
      <c r="CQ56" s="20" t="n">
        <f aca="false">IF(ALQ55&gt;0,(ALQ55-APD55)/ALQ55,0)</f>
        <v>0</v>
      </c>
      <c r="CR56" s="20" t="n">
        <f aca="false">IF(ALR55&gt;0,(ALR55-APE55)/ALR55,0)</f>
        <v>0</v>
      </c>
      <c r="CS56" s="20" t="n">
        <f aca="false">IF(ALS55&gt;0,(ALS55-APF55)/ALS55,0)</f>
        <v>0</v>
      </c>
      <c r="CT56" s="20" t="n">
        <f aca="false">IF(ALT55&gt;0,(ALT55-APG55)/ALT55,0)</f>
        <v>0</v>
      </c>
      <c r="CU56" s="20" t="n">
        <f aca="false">IF(ALU55&gt;0,(ALU55-APH55)/ALU55,0)</f>
        <v>0</v>
      </c>
      <c r="CV56" s="20" t="n">
        <f aca="false">IF(ALV55&gt;0,(ALV55-API55)/ALV55,0)</f>
        <v>0</v>
      </c>
      <c r="CW56" s="20" t="n">
        <f aca="false">IF(ALW55&gt;0,(ALW55-APJ55)/ALW55,0)</f>
        <v>0</v>
      </c>
      <c r="CX56" s="20" t="n">
        <f aca="false">IF(ALX55&gt;0,(ALX55-APK55)/ALX55,0)</f>
        <v>0</v>
      </c>
      <c r="CY56" s="20" t="n">
        <f aca="false">IF(ALY55&gt;0,(ALY55-APL55)/ALY55,0)</f>
        <v>0</v>
      </c>
      <c r="CZ56" s="20" t="n">
        <f aca="false">IF(ALZ55&gt;0,(ALZ55-APM55)/ALZ55,0)</f>
        <v>0</v>
      </c>
      <c r="DA56" s="20" t="n">
        <f aca="false">IF(AMA55&gt;0,(AMA55-APN55)/AMA55,0)</f>
        <v>0</v>
      </c>
      <c r="DB56" s="20" t="n">
        <f aca="false">IF(AMB55&gt;0,(AMB55-APO55)/AMB55,0)</f>
        <v>0</v>
      </c>
      <c r="DC56" s="20" t="n">
        <f aca="false">IF(AMC55&gt;0,(AMC55-APP55)/AMC55,0)</f>
        <v>0</v>
      </c>
      <c r="DD56" s="20" t="n">
        <f aca="false">IF(AMD55&gt;0,(AMD55-APQ55)/AMD55,0)</f>
        <v>0</v>
      </c>
      <c r="DE56" s="20" t="n">
        <f aca="false">IF(AME55&gt;0,(AME55-APR55)/AME55,0)</f>
        <v>0</v>
      </c>
      <c r="DF56" s="20" t="n">
        <f aca="false">IF(AMF55&gt;0,(AMF55-APS55)/AMF55,0)</f>
        <v>0</v>
      </c>
      <c r="DG56" s="20" t="n">
        <f aca="false">IF(AMG55&gt;0,(AMG55-APT55)/AMG55,0)</f>
        <v>0</v>
      </c>
      <c r="DH56" s="20" t="n">
        <f aca="false">IF(AMH55&gt;0,(AMH55-APU55)/AMH55,0)</f>
        <v>0</v>
      </c>
      <c r="DI56" s="20" t="n">
        <f aca="false">IF(AMI55&gt;0,(AMI55-APV55)/AMI55,0)</f>
        <v>0</v>
      </c>
      <c r="DJ56" s="20" t="n">
        <f aca="false">IF(AMJ55&gt;0,(AMJ55-APW55)/AMJ55,0)</f>
        <v>0</v>
      </c>
      <c r="DK56" s="20" t="n">
        <f aca="false">IF(AMK55&gt;0,(AMK55-APX55)/AMK55,0)</f>
        <v>0</v>
      </c>
      <c r="DL56" s="20" t="n">
        <f aca="false">IF(AML55&gt;0,(AML55-APY55)/AML55,0)</f>
        <v>0</v>
      </c>
      <c r="DM56" s="20" t="n">
        <f aca="false">IF(AMM55&gt;0,(AMM55-APZ55)/AMM55,0)</f>
        <v>0</v>
      </c>
      <c r="DN56" s="20" t="n">
        <f aca="false">IF(AMN55&gt;0,(AMN55-AQA55)/AMN55,0)</f>
        <v>0</v>
      </c>
      <c r="DO56" s="20" t="n">
        <f aca="false">IF((P56+S56)&gt;0,((P56+S56)-(P56+S56))/(P56+S56),0)</f>
        <v>0</v>
      </c>
      <c r="DP56" s="20" t="n">
        <v>0</v>
      </c>
      <c r="DQ56" s="20" t="n">
        <v>0</v>
      </c>
      <c r="DR56" s="20" t="n">
        <v>0</v>
      </c>
      <c r="DS56" s="20" t="n">
        <v>0</v>
      </c>
      <c r="DT56" s="20" t="n">
        <v>0</v>
      </c>
      <c r="DU56" s="20" t="n">
        <v>0</v>
      </c>
      <c r="DV56" s="20" t="n">
        <v>0</v>
      </c>
      <c r="DW56" s="20" t="n">
        <v>0</v>
      </c>
      <c r="DX56" s="20" t="n">
        <v>0</v>
      </c>
      <c r="DY56" s="20" t="n">
        <v>0</v>
      </c>
      <c r="DZ56" s="20" t="n">
        <v>0</v>
      </c>
      <c r="EA56" s="20" t="n">
        <v>0</v>
      </c>
      <c r="EB56" s="20" t="n">
        <v>0</v>
      </c>
      <c r="EC56" s="20" t="n">
        <v>0</v>
      </c>
      <c r="ED56" s="20" t="n">
        <v>0</v>
      </c>
      <c r="EE56" s="20" t="n">
        <v>0</v>
      </c>
      <c r="EF56" s="20" t="n">
        <v>0</v>
      </c>
      <c r="EG56" s="20" t="n">
        <v>0</v>
      </c>
      <c r="EH56" s="20" t="n">
        <v>0</v>
      </c>
      <c r="EI56" s="20" t="n">
        <v>0</v>
      </c>
      <c r="EJ56" s="20" t="n">
        <v>0</v>
      </c>
      <c r="EK56" s="20" t="n">
        <v>0</v>
      </c>
      <c r="EL56" s="20" t="n">
        <v>0</v>
      </c>
      <c r="EM56" s="20" t="n">
        <v>0</v>
      </c>
      <c r="EN56" s="20" t="n">
        <v>0</v>
      </c>
      <c r="EO56" s="20" t="n">
        <v>0</v>
      </c>
      <c r="EP56" s="20" t="n">
        <v>0</v>
      </c>
      <c r="EQ56" s="20" t="n">
        <v>0</v>
      </c>
      <c r="ER56" s="20" t="n">
        <v>0</v>
      </c>
      <c r="ES56" s="20" t="n">
        <v>0</v>
      </c>
      <c r="ET56" s="20" t="n">
        <v>0</v>
      </c>
      <c r="EU56" s="20" t="n">
        <v>0</v>
      </c>
      <c r="EV56" s="20" t="n">
        <v>0</v>
      </c>
      <c r="EW56" s="20" t="n">
        <v>0</v>
      </c>
      <c r="EX56" s="20" t="n">
        <v>0</v>
      </c>
      <c r="EY56" s="20" t="n">
        <v>0</v>
      </c>
      <c r="EZ56" s="20" t="n">
        <v>0</v>
      </c>
      <c r="FA56" s="20" t="n">
        <v>0</v>
      </c>
      <c r="FB56" s="20" t="n">
        <v>0</v>
      </c>
      <c r="FC56" s="20" t="n">
        <v>0</v>
      </c>
      <c r="FD56" s="20" t="n">
        <v>0</v>
      </c>
      <c r="FE56" s="20" t="n">
        <f aca="false">IF(H_Direct=1,IF(AKR55&lt;=0,0,IF(BR56&lt;=0,AKR55,AKR55-G56*MAX(0,BR56*AKR55-(H56+I56)))),AKR55*(1-MAX(0,BR56)*H_Exit))</f>
        <v>0</v>
      </c>
      <c r="FF56" s="20" t="n">
        <f aca="false">IF(H_Direct=1,IF(AKS55&lt;=0,0,IF(BS56&lt;=0,AKS55,AKS55-G56*MAX(0,BS56*AKS55-(IR56+ME56)))),AKS55*(1-MAX(0,BS56)*H_Exit))</f>
        <v>0</v>
      </c>
      <c r="FG56" s="20" t="n">
        <f aca="false">IF(H_Direct=1,IF(AKT55&lt;=0,0,IF(BT56&lt;=0,AKT55,AKT55-G56*MAX(0,BT56*AKT55-(IS56+MF56)))),AKT55*(1-MAX(0,BT56)*H_Exit))</f>
        <v>0</v>
      </c>
      <c r="FH56" s="20" t="n">
        <f aca="false">IF(H_Direct=1,IF(AKU55&lt;=0,0,IF(BU56&lt;=0,AKU55,AKU55-G56*MAX(0,BU56*AKU55-(IT56+MG56)))),AKU55*(1-MAX(0,BU56)*H_Exit))</f>
        <v>0</v>
      </c>
      <c r="FI56" s="20" t="n">
        <f aca="false">IF(H_Direct=1,IF(AKV55&lt;=0,0,IF(BV56&lt;=0,AKV55,AKV55-G56*MAX(0,BV56*AKV55-(IU56+MH56)))),AKV55*(1-MAX(0,BV56)*H_Exit))</f>
        <v>0</v>
      </c>
      <c r="FJ56" s="20" t="n">
        <f aca="false">IF(H_Direct=1,IF(AKW55&lt;=0,0,IF(BW56&lt;=0,AKW55,AKW55-G56*MAX(0,BW56*AKW55-(IV56+MI56)))),AKW55*(1-MAX(0,BW56)*H_Exit))</f>
        <v>0</v>
      </c>
      <c r="FK56" s="20" t="n">
        <f aca="false">IF(H_Direct=1,IF(AKX55&lt;=0,0,IF(BX56&lt;=0,AKX55,AKX55-G56*MAX(0,BX56*AKX55-(IW56+MJ56)))),AKX55*(1-MAX(0,BX56)*H_Exit))</f>
        <v>0</v>
      </c>
      <c r="FL56" s="20" t="n">
        <f aca="false">IF(H_Direct=1,IF(AKY55&lt;=0,0,IF(BY56&lt;=0,AKY55,AKY55-G56*MAX(0,BY56*AKY55-(IX56+MK56)))),AKY55*(1-MAX(0,BY56)*H_Exit))</f>
        <v>0</v>
      </c>
      <c r="FM56" s="20" t="n">
        <f aca="false">IF(H_Direct=1,IF(AKZ55&lt;=0,0,IF(BZ56&lt;=0,AKZ55,AKZ55-G56*MAX(0,BZ56*AKZ55-(IY56+ML56)))),AKZ55*(1-MAX(0,BZ56)*H_Exit))</f>
        <v>0</v>
      </c>
      <c r="FN56" s="20" t="n">
        <f aca="false">IF(H_Direct=1,IF(ALA55&lt;=0,0,IF(CA56&lt;=0,ALA55,ALA55-G56*MAX(0,CA56*ALA55-(IZ56+MM56)))),ALA55*(1-MAX(0,CA56)*H_Exit))</f>
        <v>0</v>
      </c>
      <c r="FO56" s="20" t="n">
        <f aca="false">IF(H_Direct=1,IF(ALB55&lt;=0,0,IF(CB56&lt;=0,ALB55,ALB55-G56*MAX(0,CB56*ALB55-(JA56+MN56)))),ALB55*(1-MAX(0,CB56)*H_Exit))</f>
        <v>0</v>
      </c>
      <c r="FP56" s="20" t="n">
        <f aca="false">IF(H_Direct=1,IF(ALC55&lt;=0,0,IF(CC56&lt;=0,ALC55,ALC55-G56*MAX(0,CC56*ALC55-(JB56+MO56)))),ALC55*(1-MAX(0,CC56)*H_Exit))</f>
        <v>0</v>
      </c>
      <c r="FQ56" s="20" t="n">
        <f aca="false">IF(H_Direct=1,IF(ALD55&lt;=0,0,IF(CD56&lt;=0,ALD55,ALD55-G56*MAX(0,CD56*ALD55-(JC56+MP56)))),ALD55*(1-MAX(0,CD56)*H_Exit))</f>
        <v>0</v>
      </c>
      <c r="FR56" s="20" t="n">
        <f aca="false">IF(H_Direct=1,IF(ALE55&lt;=0,0,IF(CE56&lt;=0,ALE55,ALE55-G56*MAX(0,CE56*ALE55-(JD56+MQ56)))),ALE55*(1-MAX(0,CE56)*H_Exit))</f>
        <v>0</v>
      </c>
      <c r="FS56" s="20" t="n">
        <f aca="false">IF(H_Direct=1,IF(ALF55&lt;=0,0,IF(CF56&lt;=0,ALF55,ALF55-G56*MAX(0,CF56*ALF55-(JE56+MR56)))),ALF55*(1-MAX(0,CF56)*H_Exit))</f>
        <v>0</v>
      </c>
      <c r="FT56" s="20" t="n">
        <f aca="false">IF(H_Direct=1,IF(ALG55&lt;=0,0,IF(CG56&lt;=0,ALG55,ALG55-G56*MAX(0,CG56*ALG55-(JF56+MS56)))),ALG55*(1-MAX(0,CG56)*H_Exit))</f>
        <v>0</v>
      </c>
      <c r="FU56" s="20" t="n">
        <f aca="false">IF(H_Direct=1,IF(ALH55&lt;=0,0,IF(CH56&lt;=0,ALH55,ALH55-G56*MAX(0,CH56*ALH55-(JG56+MT56)))),ALH55*(1-MAX(0,CH56)*H_Exit))</f>
        <v>0</v>
      </c>
      <c r="FV56" s="20" t="n">
        <f aca="false">IF(H_Direct=1,IF(ALI55&lt;=0,0,IF(CI56&lt;=0,ALI55,ALI55-G56*MAX(0,CI56*ALI55-(JH56+MU56)))),ALI55*(1-MAX(0,CI56)*H_Exit))</f>
        <v>0</v>
      </c>
      <c r="FW56" s="20" t="n">
        <f aca="false">IF(H_Direct=1,IF(ALJ55&lt;=0,0,IF(CJ56&lt;=0,ALJ55,ALJ55-G56*MAX(0,CJ56*ALJ55-(JI56+MV56)))),ALJ55*(1-MAX(0,CJ56)*H_Exit))</f>
        <v>0</v>
      </c>
      <c r="FX56" s="20" t="n">
        <f aca="false">IF(H_Direct=1,IF(ALK55&lt;=0,0,IF(CK56&lt;=0,ALK55,ALK55-G56*MAX(0,CK56*ALK55-(JJ56+MW56)))),ALK55*(1-MAX(0,CK56)*H_Exit))</f>
        <v>0</v>
      </c>
      <c r="FY56" s="20" t="n">
        <f aca="false">IF(H_Direct=1,IF(ALL55&lt;=0,0,IF(CL56&lt;=0,ALL55,ALL55-G56*MAX(0,CL56*ALL55-(JK56+MX56)))),ALL55*(1-MAX(0,CL56)*H_Exit))</f>
        <v>0</v>
      </c>
      <c r="FZ56" s="20" t="n">
        <f aca="false">IF(H_Direct=1,IF(ALM55&lt;=0,0,IF(CM56&lt;=0,ALM55,ALM55-G56*MAX(0,CM56*ALM55-(JL56+MY56)))),ALM55*(1-MAX(0,CM56)*H_Exit))</f>
        <v>0</v>
      </c>
      <c r="GA56" s="20" t="n">
        <f aca="false">IF(H_Direct=1,IF(ALN55&lt;=0,0,IF(CN56&lt;=0,ALN55,ALN55-G56*MAX(0,CN56*ALN55-(JM56+MZ56)))),ALN55*(1-MAX(0,CN56)*H_Exit))</f>
        <v>0</v>
      </c>
      <c r="GB56" s="20" t="n">
        <f aca="false">IF(H_Direct=1,IF(ALO55&lt;=0,0,IF(CO56&lt;=0,ALO55,ALO55-G56*MAX(0,CO56*ALO55-(JN56+NA56)))),ALO55*(1-MAX(0,CO56)*H_Exit))</f>
        <v>0</v>
      </c>
      <c r="GC56" s="20" t="n">
        <f aca="false">IF(H_Direct=1,IF(ALP55&lt;=0,0,IF(CP56&lt;=0,ALP55,ALP55-G56*MAX(0,CP56*ALP55-(JO56+NB56)))),ALP55*(1-MAX(0,CP56)*H_Exit))</f>
        <v>0</v>
      </c>
      <c r="GD56" s="20" t="n">
        <f aca="false">IF(H_Direct=1,IF(ALQ55&lt;=0,0,IF(CQ56&lt;=0,ALQ55,ALQ55-G56*MAX(0,CQ56*ALQ55-(JP56+NC56)))),ALQ55*(1-MAX(0,CQ56)*H_Exit))</f>
        <v>0</v>
      </c>
      <c r="GE56" s="20" t="n">
        <f aca="false">IF(H_Direct=1,IF(ALR55&lt;=0,0,IF(CR56&lt;=0,ALR55,ALR55-G56*MAX(0,CR56*ALR55-(JQ56+ND56)))),ALR55*(1-MAX(0,CR56)*H_Exit))</f>
        <v>0</v>
      </c>
      <c r="GF56" s="20" t="n">
        <f aca="false">IF(H_Direct=1,IF(ALS55&lt;=0,0,IF(CS56&lt;=0,ALS55,ALS55-G56*MAX(0,CS56*ALS55-(JR56+NE56)))),ALS55*(1-MAX(0,CS56)*H_Exit))</f>
        <v>0</v>
      </c>
      <c r="GG56" s="20" t="n">
        <f aca="false">IF(H_Direct=1,IF(ALT55&lt;=0,0,IF(CT56&lt;=0,ALT55,ALT55-G56*MAX(0,CT56*ALT55-(JS56+NF56)))),ALT55*(1-MAX(0,CT56)*H_Exit))</f>
        <v>0</v>
      </c>
      <c r="GH56" s="20" t="n">
        <f aca="false">IF(H_Direct=1,IF(ALU55&lt;=0,0,IF(CU56&lt;=0,ALU55,ALU55-G56*MAX(0,CU56*ALU55-(JT56+NG56)))),ALU55*(1-MAX(0,CU56)*H_Exit))</f>
        <v>0</v>
      </c>
      <c r="GI56" s="20" t="n">
        <f aca="false">IF(H_Direct=1,IF(ALV55&lt;=0,0,IF(CV56&lt;=0,ALV55,ALV55-G56*MAX(0,CV56*ALV55-(JU56+NH56)))),ALV55*(1-MAX(0,CV56)*H_Exit))</f>
        <v>0</v>
      </c>
      <c r="GJ56" s="20" t="n">
        <f aca="false">IF(H_Direct=1,IF(ALW55&lt;=0,0,IF(CW56&lt;=0,ALW55,ALW55-G56*MAX(0,CW56*ALW55-(JV56+NI56)))),ALW55*(1-MAX(0,CW56)*H_Exit))</f>
        <v>0</v>
      </c>
      <c r="GK56" s="20" t="n">
        <f aca="false">IF(H_Direct=1,IF(ALX55&lt;=0,0,IF(CX56&lt;=0,ALX55,ALX55-G56*MAX(0,CX56*ALX55-(JW56+NJ56)))),ALX55*(1-MAX(0,CX56)*H_Exit))</f>
        <v>0</v>
      </c>
      <c r="GL56" s="20" t="n">
        <f aca="false">IF(H_Direct=1,IF(ALY55&lt;=0,0,IF(CY56&lt;=0,ALY55,ALY55-G56*MAX(0,CY56*ALY55-(JX56+NK56)))),ALY55*(1-MAX(0,CY56)*H_Exit))</f>
        <v>0</v>
      </c>
      <c r="GM56" s="20" t="n">
        <f aca="false">IF(H_Direct=1,IF(ALZ55&lt;=0,0,IF(CZ56&lt;=0,ALZ55,ALZ55-G56*MAX(0,CZ56*ALZ55-(JY56+NL56)))),ALZ55*(1-MAX(0,CZ56)*H_Exit))</f>
        <v>0</v>
      </c>
      <c r="GN56" s="20" t="n">
        <f aca="false">IF(H_Direct=1,IF(AMA55&lt;=0,0,IF(DA56&lt;=0,AMA55,AMA55-G56*MAX(0,DA56*AMA55-(JZ56+NM56)))),AMA55*(1-MAX(0,DA56)*H_Exit))</f>
        <v>0</v>
      </c>
      <c r="GO56" s="20" t="n">
        <f aca="false">IF(H_Direct=1,IF(AMB55&lt;=0,0,IF(DB56&lt;=0,AMB55,AMB55-G56*MAX(0,DB56*AMB55-(KA56+NN56)))),AMB55*(1-MAX(0,DB56)*H_Exit))</f>
        <v>0</v>
      </c>
      <c r="GP56" s="20" t="n">
        <f aca="false">IF(H_Direct=1,IF(AMC55&lt;=0,0,IF(DC56&lt;=0,AMC55,AMC55-G56*MAX(0,DC56*AMC55-(KB56+NO56)))),AMC55*(1-MAX(0,DC56)*H_Exit))</f>
        <v>0</v>
      </c>
      <c r="GQ56" s="20" t="n">
        <f aca="false">IF(H_Direct=1,IF(AMD55&lt;=0,0,IF(DD56&lt;=0,AMD55,AMD55-G56*MAX(0,DD56*AMD55-(KC56+NP56)))),AMD55*(1-MAX(0,DD56)*H_Exit))</f>
        <v>0</v>
      </c>
      <c r="GR56" s="20" t="n">
        <f aca="false">IF(H_Direct=1,IF(AME55&lt;=0,0,IF(DE56&lt;=0,AME55,AME55-G56*MAX(0,DE56*AME55-(KD56+NQ56)))),AME55*(1-MAX(0,DE56)*H_Exit))</f>
        <v>0</v>
      </c>
      <c r="GS56" s="20" t="n">
        <f aca="false">IF(H_Direct=1,IF(AMF55&lt;=0,0,IF(DF56&lt;=0,AMF55,AMF55-G56*MAX(0,DF56*AMF55-(KE56+NR56)))),AMF55*(1-MAX(0,DF56)*H_Exit))</f>
        <v>0</v>
      </c>
      <c r="GT56" s="20" t="n">
        <f aca="false">IF(H_Direct=1,IF(AMG55&lt;=0,0,IF(DG56&lt;=0,AMG55,AMG55-G56*MAX(0,DG56*AMG55-(KF56+NS56)))),AMG55*(1-MAX(0,DG56)*H_Exit))</f>
        <v>0</v>
      </c>
      <c r="GU56" s="20" t="n">
        <f aca="false">IF(H_Direct=1,IF(AMH55&lt;=0,0,IF(DH56&lt;=0,AMH55,AMH55-G56*MAX(0,DH56*AMH55-(KG56+NT56)))),AMH55*(1-MAX(0,DH56)*H_Exit))</f>
        <v>0</v>
      </c>
      <c r="GV56" s="20" t="n">
        <f aca="false">IF(H_Direct=1,IF(AMI55&lt;=0,0,IF(DI56&lt;=0,AMI55,AMI55-G56*MAX(0,DI56*AMI55-(KH56+NU56)))),AMI55*(1-MAX(0,DI56)*H_Exit))</f>
        <v>0</v>
      </c>
      <c r="GW56" s="20" t="n">
        <f aca="false">IF(H_Direct=1,IF(AMJ55&lt;=0,0,IF(DJ56&lt;=0,AMJ55,AMJ55-G56*MAX(0,DJ56*AMJ55-(KI56+NV56)))),AMJ55*(1-MAX(0,DJ56)*H_Exit))</f>
        <v>0</v>
      </c>
      <c r="GX56" s="20" t="n">
        <f aca="false">IF(H_Direct=1,IF(AMK55&lt;=0,0,IF(DK56&lt;=0,AMK55,AMK55-G56*MAX(0,DK56*AMK55-(KJ56+NW56)))),AMK55*(1-MAX(0,DK56)*H_Exit))</f>
        <v>0</v>
      </c>
      <c r="GY56" s="20" t="n">
        <f aca="false">IF(H_Direct=1,IF(AML55&lt;=0,0,IF(DL56&lt;=0,AML55,AML55-G56*MAX(0,DL56*AML55-(KK56+NX56)))),AML55*(1-MAX(0,DL56)*H_Exit))</f>
        <v>0</v>
      </c>
      <c r="GZ56" s="20" t="n">
        <f aca="false">IF(H_Direct=1,IF(AMM55&lt;=0,0,IF(DM56&lt;=0,AMM55,AMM55-G56*MAX(0,DM56*AMM55-(KL56+NY56)))),AMM55*(1-MAX(0,DM56)*H_Exit))</f>
        <v>0</v>
      </c>
      <c r="HA56" s="20" t="n">
        <f aca="false">IF(H_Direct=1,IF(AMN55&lt;=0,0,IF(DN56&lt;=0,AMN55,AMN55-G56*MAX(0,DN56*AMN55-(KM56+NZ56)))),AMN55*(1-MAX(0,DN56)*H_Exit))</f>
        <v>0</v>
      </c>
      <c r="HB56" s="20" t="n">
        <f aca="false">IF(H_Direct=1,IF((P56+S56)&lt;=0,0,IF(DO56&lt;=0,(P56+S56),(P56+S56)-G56*MAX(0,DO56*(P56+S56)-(KN56+OA56)))),(P56+S56)*(1-MAX(0,DO56)*H_Exit))</f>
        <v>0</v>
      </c>
      <c r="HC56" s="20" t="n">
        <v>0</v>
      </c>
      <c r="HD56" s="20" t="n">
        <v>0</v>
      </c>
      <c r="HE56" s="20" t="n">
        <v>0</v>
      </c>
      <c r="HF56" s="20" t="n">
        <v>0</v>
      </c>
      <c r="HG56" s="20" t="n">
        <v>0</v>
      </c>
      <c r="HH56" s="20" t="n">
        <v>0</v>
      </c>
      <c r="HI56" s="20" t="n">
        <v>0</v>
      </c>
      <c r="HJ56" s="20" t="n">
        <v>0</v>
      </c>
      <c r="HK56" s="20" t="n">
        <v>0</v>
      </c>
      <c r="HL56" s="20" t="n">
        <v>0</v>
      </c>
      <c r="HM56" s="20" t="n">
        <v>0</v>
      </c>
      <c r="HN56" s="20" t="n">
        <v>0</v>
      </c>
      <c r="HO56" s="20" t="n">
        <v>0</v>
      </c>
      <c r="HP56" s="20" t="n">
        <v>0</v>
      </c>
      <c r="HQ56" s="20" t="n">
        <v>0</v>
      </c>
      <c r="HR56" s="20" t="n">
        <v>0</v>
      </c>
      <c r="HS56" s="20" t="n">
        <v>0</v>
      </c>
      <c r="HT56" s="20" t="n">
        <v>0</v>
      </c>
      <c r="HU56" s="20" t="n">
        <v>0</v>
      </c>
      <c r="HV56" s="20" t="n">
        <v>0</v>
      </c>
      <c r="HW56" s="20" t="n">
        <v>0</v>
      </c>
      <c r="HX56" s="20" t="n">
        <v>0</v>
      </c>
      <c r="HY56" s="20" t="n">
        <v>0</v>
      </c>
      <c r="HZ56" s="20" t="n">
        <v>0</v>
      </c>
      <c r="IA56" s="20" t="n">
        <v>0</v>
      </c>
      <c r="IB56" s="20" t="n">
        <v>0</v>
      </c>
      <c r="IC56" s="20" t="n">
        <v>0</v>
      </c>
      <c r="ID56" s="20" t="n">
        <v>0</v>
      </c>
      <c r="IE56" s="20" t="n">
        <v>0</v>
      </c>
      <c r="IF56" s="20" t="n">
        <v>0</v>
      </c>
      <c r="IG56" s="20" t="n">
        <v>0</v>
      </c>
      <c r="IH56" s="20" t="n">
        <v>0</v>
      </c>
      <c r="II56" s="20" t="n">
        <v>0</v>
      </c>
      <c r="IJ56" s="20" t="n">
        <v>0</v>
      </c>
      <c r="IK56" s="20" t="n">
        <v>0</v>
      </c>
      <c r="IL56" s="20" t="n">
        <v>0</v>
      </c>
      <c r="IM56" s="20" t="n">
        <v>0</v>
      </c>
      <c r="IN56" s="20" t="n">
        <v>0</v>
      </c>
      <c r="IO56" s="20" t="n">
        <v>0</v>
      </c>
      <c r="IP56" s="20" t="n">
        <v>0</v>
      </c>
      <c r="IQ56" s="20" t="n">
        <v>0</v>
      </c>
      <c r="IR56" s="20" t="n">
        <f aca="false">IF(AND(H_Direct=1,BR56&gt;0),MAX(0,H56-(MIN(BR56*AKR55,H56+I56)-MIN(MIN(BR56*AKR55,H56+I56),I56))),H56)</f>
        <v>1270</v>
      </c>
      <c r="IS56" s="20" t="n">
        <f aca="false">IF(AND(H_Direct=1,BS56&gt;0),MAX(0,IR56-(MIN(BS56*AKS55,IR56+ME56)-MIN(MIN(BS56*AKS55,IR56+ME56),ME56))),IR56)</f>
        <v>1270</v>
      </c>
      <c r="IT56" s="20" t="n">
        <f aca="false">IF(AND(H_Direct=1,BT56&gt;0),MAX(0,IS56-(MIN(BT56*AKT55,IS56+MF56)-MIN(MIN(BT56*AKT55,IS56+MF56),MF56))),IS56)</f>
        <v>1270</v>
      </c>
      <c r="IU56" s="20" t="n">
        <f aca="false">IF(AND(H_Direct=1,BU56&gt;0),MAX(0,IT56-(MIN(BU56*AKU55,IT56+MG56)-MIN(MIN(BU56*AKU55,IT56+MG56),MG56))),IT56)</f>
        <v>1270</v>
      </c>
      <c r="IV56" s="20" t="n">
        <f aca="false">IF(AND(H_Direct=1,BV56&gt;0),MAX(0,IU56-(MIN(BV56*AKV55,IU56+MH56)-MIN(MIN(BV56*AKV55,IU56+MH56),MH56))),IU56)</f>
        <v>1270</v>
      </c>
      <c r="IW56" s="20" t="n">
        <f aca="false">IF(AND(H_Direct=1,BW56&gt;0),MAX(0,IV56-(MIN(BW56*AKW55,IV56+MI56)-MIN(MIN(BW56*AKW55,IV56+MI56),MI56))),IV56)</f>
        <v>1270</v>
      </c>
      <c r="IX56" s="20" t="n">
        <f aca="false">IF(AND(H_Direct=1,BX56&gt;0),MAX(0,IW56-(MIN(BX56*AKX55,IW56+MJ56)-MIN(MIN(BX56*AKX55,IW56+MJ56),MJ56))),IW56)</f>
        <v>1270</v>
      </c>
      <c r="IY56" s="20" t="n">
        <f aca="false">IF(AND(H_Direct=1,BY56&gt;0),MAX(0,IX56-(MIN(BY56*AKY55,IX56+MK56)-MIN(MIN(BY56*AKY55,IX56+MK56),MK56))),IX56)</f>
        <v>1270</v>
      </c>
      <c r="IZ56" s="20" t="n">
        <f aca="false">IF(AND(H_Direct=1,BZ56&gt;0),MAX(0,IY56-(MIN(BZ56*AKZ55,IY56+ML56)-MIN(MIN(BZ56*AKZ55,IY56+ML56),ML56))),IY56)</f>
        <v>1270</v>
      </c>
      <c r="JA56" s="20" t="n">
        <f aca="false">IF(AND(H_Direct=1,CA56&gt;0),MAX(0,IZ56-(MIN(CA56*ALA55,IZ56+MM56)-MIN(MIN(CA56*ALA55,IZ56+MM56),MM56))),IZ56)</f>
        <v>1270</v>
      </c>
      <c r="JB56" s="20" t="n">
        <f aca="false">IF(AND(H_Direct=1,CB56&gt;0),MAX(0,JA56-(MIN(CB56*ALB55,JA56+MN56)-MIN(MIN(CB56*ALB55,JA56+MN56),MN56))),JA56)</f>
        <v>1270</v>
      </c>
      <c r="JC56" s="20" t="n">
        <f aca="false">IF(AND(H_Direct=1,CC56&gt;0),MAX(0,JB56-(MIN(CC56*ALC55,JB56+MO56)-MIN(MIN(CC56*ALC55,JB56+MO56),MO56))),JB56)</f>
        <v>1270</v>
      </c>
      <c r="JD56" s="20" t="n">
        <f aca="false">IF(AND(H_Direct=1,CD56&gt;0),MAX(0,JC56-(MIN(CD56*ALD55,JC56+MP56)-MIN(MIN(CD56*ALD55,JC56+MP56),MP56))),JC56)</f>
        <v>1270</v>
      </c>
      <c r="JE56" s="20" t="n">
        <f aca="false">IF(AND(H_Direct=1,CE56&gt;0),MAX(0,JD56-(MIN(CE56*ALE55,JD56+MQ56)-MIN(MIN(CE56*ALE55,JD56+MQ56),MQ56))),JD56)</f>
        <v>1270</v>
      </c>
      <c r="JF56" s="20" t="n">
        <f aca="false">IF(AND(H_Direct=1,CF56&gt;0),MAX(0,JE56-(MIN(CF56*ALF55,JE56+MR56)-MIN(MIN(CF56*ALF55,JE56+MR56),MR56))),JE56)</f>
        <v>1270</v>
      </c>
      <c r="JG56" s="20" t="n">
        <f aca="false">IF(AND(H_Direct=1,CG56&gt;0),MAX(0,JF56-(MIN(CG56*ALG55,JF56+MS56)-MIN(MIN(CG56*ALG55,JF56+MS56),MS56))),JF56)</f>
        <v>1270</v>
      </c>
      <c r="JH56" s="20" t="n">
        <f aca="false">IF(AND(H_Direct=1,CH56&gt;0),MAX(0,JG56-(MIN(CH56*ALH55,JG56+MT56)-MIN(MIN(CH56*ALH55,JG56+MT56),MT56))),JG56)</f>
        <v>1270</v>
      </c>
      <c r="JI56" s="20" t="n">
        <f aca="false">IF(AND(H_Direct=1,CI56&gt;0),MAX(0,JH56-(MIN(CI56*ALI55,JH56+MU56)-MIN(MIN(CI56*ALI55,JH56+MU56),MU56))),JH56)</f>
        <v>1270</v>
      </c>
      <c r="JJ56" s="20" t="n">
        <f aca="false">IF(AND(H_Direct=1,CJ56&gt;0),MAX(0,JI56-(MIN(CJ56*ALJ55,JI56+MV56)-MIN(MIN(CJ56*ALJ55,JI56+MV56),MV56))),JI56)</f>
        <v>1270</v>
      </c>
      <c r="JK56" s="20" t="n">
        <f aca="false">IF(AND(H_Direct=1,CK56&gt;0),MAX(0,JJ56-(MIN(CK56*ALK55,JJ56+MW56)-MIN(MIN(CK56*ALK55,JJ56+MW56),MW56))),JJ56)</f>
        <v>1270</v>
      </c>
      <c r="JL56" s="20" t="n">
        <f aca="false">IF(AND(H_Direct=1,CL56&gt;0),MAX(0,JK56-(MIN(CL56*ALL55,JK56+MX56)-MIN(MIN(CL56*ALL55,JK56+MX56),MX56))),JK56)</f>
        <v>1270</v>
      </c>
      <c r="JM56" s="20" t="n">
        <f aca="false">IF(AND(H_Direct=1,CM56&gt;0),MAX(0,JL56-(MIN(CM56*ALM55,JL56+MY56)-MIN(MIN(CM56*ALM55,JL56+MY56),MY56))),JL56)</f>
        <v>1270</v>
      </c>
      <c r="JN56" s="20" t="n">
        <f aca="false">IF(AND(H_Direct=1,CN56&gt;0),MAX(0,JM56-(MIN(CN56*ALN55,JM56+MZ56)-MIN(MIN(CN56*ALN55,JM56+MZ56),MZ56))),JM56)</f>
        <v>1270</v>
      </c>
      <c r="JO56" s="20" t="n">
        <f aca="false">IF(AND(H_Direct=1,CO56&gt;0),MAX(0,JN56-(MIN(CO56*ALO55,JN56+NA56)-MIN(MIN(CO56*ALO55,JN56+NA56),NA56))),JN56)</f>
        <v>1270</v>
      </c>
      <c r="JP56" s="20" t="n">
        <f aca="false">IF(AND(H_Direct=1,CP56&gt;0),MAX(0,JO56-(MIN(CP56*ALP55,JO56+NB56)-MIN(MIN(CP56*ALP55,JO56+NB56),NB56))),JO56)</f>
        <v>1270</v>
      </c>
      <c r="JQ56" s="20" t="n">
        <f aca="false">IF(AND(H_Direct=1,CQ56&gt;0),MAX(0,JP56-(MIN(CQ56*ALQ55,JP56+NC56)-MIN(MIN(CQ56*ALQ55,JP56+NC56),NC56))),JP56)</f>
        <v>1270</v>
      </c>
      <c r="JR56" s="20" t="n">
        <f aca="false">IF(AND(H_Direct=1,CR56&gt;0),MAX(0,JQ56-(MIN(CR56*ALR55,JQ56+ND56)-MIN(MIN(CR56*ALR55,JQ56+ND56),ND56))),JQ56)</f>
        <v>1270</v>
      </c>
      <c r="JS56" s="20" t="n">
        <f aca="false">IF(AND(H_Direct=1,CS56&gt;0),MAX(0,JR56-(MIN(CS56*ALS55,JR56+NE56)-MIN(MIN(CS56*ALS55,JR56+NE56),NE56))),JR56)</f>
        <v>1270</v>
      </c>
      <c r="JT56" s="20" t="n">
        <f aca="false">IF(AND(H_Direct=1,CT56&gt;0),MAX(0,JS56-(MIN(CT56*ALT55,JS56+NF56)-MIN(MIN(CT56*ALT55,JS56+NF56),NF56))),JS56)</f>
        <v>1270</v>
      </c>
      <c r="JU56" s="20" t="n">
        <f aca="false">IF(AND(H_Direct=1,CU56&gt;0),MAX(0,JT56-(MIN(CU56*ALU55,JT56+NG56)-MIN(MIN(CU56*ALU55,JT56+NG56),NG56))),JT56)</f>
        <v>1270</v>
      </c>
      <c r="JV56" s="20" t="n">
        <f aca="false">IF(AND(H_Direct=1,CV56&gt;0),MAX(0,JU56-(MIN(CV56*ALV55,JU56+NH56)-MIN(MIN(CV56*ALV55,JU56+NH56),NH56))),JU56)</f>
        <v>1270</v>
      </c>
      <c r="JW56" s="20" t="n">
        <f aca="false">IF(AND(H_Direct=1,CW56&gt;0),MAX(0,JV56-(MIN(CW56*ALW55,JV56+NI56)-MIN(MIN(CW56*ALW55,JV56+NI56),NI56))),JV56)</f>
        <v>1270</v>
      </c>
      <c r="JX56" s="20" t="n">
        <f aca="false">IF(AND(H_Direct=1,CX56&gt;0),MAX(0,JW56-(MIN(CX56*ALX55,JW56+NJ56)-MIN(MIN(CX56*ALX55,JW56+NJ56),NJ56))),JW56)</f>
        <v>1270</v>
      </c>
      <c r="JY56" s="20" t="n">
        <f aca="false">IF(AND(H_Direct=1,CY56&gt;0),MAX(0,JX56-(MIN(CY56*ALY55,JX56+NK56)-MIN(MIN(CY56*ALY55,JX56+NK56),NK56))),JX56)</f>
        <v>1270</v>
      </c>
      <c r="JZ56" s="20" t="n">
        <f aca="false">IF(AND(H_Direct=1,CZ56&gt;0),MAX(0,JY56-(MIN(CZ56*ALZ55,JY56+NL56)-MIN(MIN(CZ56*ALZ55,JY56+NL56),NL56))),JY56)</f>
        <v>1270</v>
      </c>
      <c r="KA56" s="20" t="n">
        <f aca="false">IF(AND(H_Direct=1,DA56&gt;0),MAX(0,JZ56-(MIN(DA56*AMA55,JZ56+NM56)-MIN(MIN(DA56*AMA55,JZ56+NM56),NM56))),JZ56)</f>
        <v>1270</v>
      </c>
      <c r="KB56" s="20" t="n">
        <f aca="false">IF(AND(H_Direct=1,DB56&gt;0),MAX(0,KA56-(MIN(DB56*AMB55,KA56+NN56)-MIN(MIN(DB56*AMB55,KA56+NN56),NN56))),KA56)</f>
        <v>1270</v>
      </c>
      <c r="KC56" s="20" t="n">
        <f aca="false">IF(AND(H_Direct=1,DC56&gt;0),MAX(0,KB56-(MIN(DC56*AMC55,KB56+NO56)-MIN(MIN(DC56*AMC55,KB56+NO56),NO56))),KB56)</f>
        <v>1270</v>
      </c>
      <c r="KD56" s="20" t="n">
        <f aca="false">IF(AND(H_Direct=1,DD56&gt;0),MAX(0,KC56-(MIN(DD56*AMD55,KC56+NP56)-MIN(MIN(DD56*AMD55,KC56+NP56),NP56))),KC56)</f>
        <v>1270</v>
      </c>
      <c r="KE56" s="20" t="n">
        <f aca="false">IF(AND(H_Direct=1,DE56&gt;0),MAX(0,KD56-(MIN(DE56*AME55,KD56+NQ56)-MIN(MIN(DE56*AME55,KD56+NQ56),NQ56))),KD56)</f>
        <v>1270</v>
      </c>
      <c r="KF56" s="20" t="n">
        <f aca="false">IF(AND(H_Direct=1,DF56&gt;0),MAX(0,KE56-(MIN(DF56*AMF55,KE56+NR56)-MIN(MIN(DF56*AMF55,KE56+NR56),NR56))),KE56)</f>
        <v>1270</v>
      </c>
      <c r="KG56" s="20" t="n">
        <f aca="false">IF(AND(H_Direct=1,DG56&gt;0),MAX(0,KF56-(MIN(DG56*AMG55,KF56+NS56)-MIN(MIN(DG56*AMG55,KF56+NS56),NS56))),KF56)</f>
        <v>1270</v>
      </c>
      <c r="KH56" s="20" t="n">
        <f aca="false">IF(AND(H_Direct=1,DH56&gt;0),MAX(0,KG56-(MIN(DH56*AMH55,KG56+NT56)-MIN(MIN(DH56*AMH55,KG56+NT56),NT56))),KG56)</f>
        <v>1270</v>
      </c>
      <c r="KI56" s="20" t="n">
        <f aca="false">IF(AND(H_Direct=1,DI56&gt;0),MAX(0,KH56-(MIN(DI56*AMI55,KH56+NU56)-MIN(MIN(DI56*AMI55,KH56+NU56),NU56))),KH56)</f>
        <v>1270</v>
      </c>
      <c r="KJ56" s="20" t="n">
        <f aca="false">IF(AND(H_Direct=1,DJ56&gt;0),MAX(0,KI56-(MIN(DJ56*AMJ55,KI56+NV56)-MIN(MIN(DJ56*AMJ55,KI56+NV56),NV56))),KI56)</f>
        <v>1270</v>
      </c>
      <c r="KK56" s="20" t="n">
        <f aca="false">IF(AND(H_Direct=1,DK56&gt;0),MAX(0,KJ56-(MIN(DK56*AMK55,KJ56+NW56)-MIN(MIN(DK56*AMK55,KJ56+NW56),NW56))),KJ56)</f>
        <v>1270</v>
      </c>
      <c r="KL56" s="20" t="n">
        <f aca="false">IF(AND(H_Direct=1,DL56&gt;0),MAX(0,KK56-(MIN(DL56*AML55,KK56+NX56)-MIN(MIN(DL56*AML55,KK56+NX56),NX56))),KK56)</f>
        <v>1270</v>
      </c>
      <c r="KM56" s="20" t="n">
        <f aca="false">IF(AND(H_Direct=1,DM56&gt;0),MAX(0,KL56-(MIN(DM56*AMM55,KL56+NY56)-MIN(MIN(DM56*AMM55,KL56+NY56),NY56))),KL56)</f>
        <v>1270</v>
      </c>
      <c r="KN56" s="20" t="n">
        <f aca="false">IF(AND(H_Direct=1,DN56&gt;0),MAX(0,KM56-(MIN(DN56*AMN55,KM56+NZ56)-MIN(MIN(DN56*AMN55,KM56+NZ56),NZ56))),KM56)</f>
        <v>1270</v>
      </c>
      <c r="KO56" s="20" t="n">
        <f aca="false">IF(AND(H_Direct=1,DO56&gt;0),MAX(0,KN56-(MIN(DO56*(P56+S56),KN56+OA56)-MIN(MIN(DO56*(P56+S56),KN56+OA56),OA56))),KN56)</f>
        <v>1270</v>
      </c>
      <c r="KP56" s="20" t="n">
        <f aca="false">KO56</f>
        <v>1270</v>
      </c>
      <c r="KQ56" s="20" t="n">
        <f aca="false">KP56</f>
        <v>1270</v>
      </c>
      <c r="KR56" s="20" t="n">
        <f aca="false">KQ56</f>
        <v>1270</v>
      </c>
      <c r="KS56" s="20" t="n">
        <f aca="false">KR56</f>
        <v>1270</v>
      </c>
      <c r="KT56" s="20" t="n">
        <f aca="false">KS56</f>
        <v>1270</v>
      </c>
      <c r="KU56" s="20" t="n">
        <f aca="false">KT56</f>
        <v>1270</v>
      </c>
      <c r="KV56" s="20" t="n">
        <f aca="false">KU56</f>
        <v>1270</v>
      </c>
      <c r="KW56" s="20" t="n">
        <f aca="false">KV56</f>
        <v>1270</v>
      </c>
      <c r="KX56" s="20" t="n">
        <f aca="false">KW56</f>
        <v>1270</v>
      </c>
      <c r="KY56" s="20" t="n">
        <f aca="false">KX56</f>
        <v>1270</v>
      </c>
      <c r="KZ56" s="20" t="n">
        <f aca="false">KY56</f>
        <v>1270</v>
      </c>
      <c r="LA56" s="20" t="n">
        <f aca="false">KZ56</f>
        <v>1270</v>
      </c>
      <c r="LB56" s="20" t="n">
        <f aca="false">LA56</f>
        <v>1270</v>
      </c>
      <c r="LC56" s="20" t="n">
        <f aca="false">LB56</f>
        <v>1270</v>
      </c>
      <c r="LD56" s="20" t="n">
        <f aca="false">LC56</f>
        <v>1270</v>
      </c>
      <c r="LE56" s="20" t="n">
        <f aca="false">LD56</f>
        <v>1270</v>
      </c>
      <c r="LF56" s="20" t="n">
        <f aca="false">LE56</f>
        <v>1270</v>
      </c>
      <c r="LG56" s="20" t="n">
        <f aca="false">LF56</f>
        <v>1270</v>
      </c>
      <c r="LH56" s="20" t="n">
        <f aca="false">LG56</f>
        <v>1270</v>
      </c>
      <c r="LI56" s="20" t="n">
        <f aca="false">LH56</f>
        <v>1270</v>
      </c>
      <c r="LJ56" s="20" t="n">
        <f aca="false">LI56</f>
        <v>1270</v>
      </c>
      <c r="LK56" s="20" t="n">
        <f aca="false">LJ56</f>
        <v>1270</v>
      </c>
      <c r="LL56" s="20" t="n">
        <f aca="false">LK56</f>
        <v>1270</v>
      </c>
      <c r="LM56" s="20" t="n">
        <f aca="false">LL56</f>
        <v>1270</v>
      </c>
      <c r="LN56" s="20" t="n">
        <f aca="false">LM56</f>
        <v>1270</v>
      </c>
      <c r="LO56" s="20" t="n">
        <f aca="false">LN56</f>
        <v>1270</v>
      </c>
      <c r="LP56" s="20" t="n">
        <f aca="false">LO56</f>
        <v>1270</v>
      </c>
      <c r="LQ56" s="20" t="n">
        <f aca="false">LP56</f>
        <v>1270</v>
      </c>
      <c r="LR56" s="20" t="n">
        <f aca="false">LQ56</f>
        <v>1270</v>
      </c>
      <c r="LS56" s="20" t="n">
        <f aca="false">LR56</f>
        <v>1270</v>
      </c>
      <c r="LT56" s="20" t="n">
        <f aca="false">LS56</f>
        <v>1270</v>
      </c>
      <c r="LU56" s="20" t="n">
        <f aca="false">LT56</f>
        <v>1270</v>
      </c>
      <c r="LV56" s="20" t="n">
        <f aca="false">LU56</f>
        <v>1270</v>
      </c>
      <c r="LW56" s="20" t="n">
        <f aca="false">LV56</f>
        <v>1270</v>
      </c>
      <c r="LX56" s="20" t="n">
        <f aca="false">LW56</f>
        <v>1270</v>
      </c>
      <c r="LY56" s="20" t="n">
        <f aca="false">LX56</f>
        <v>1270</v>
      </c>
      <c r="LZ56" s="20" t="n">
        <f aca="false">LY56</f>
        <v>1270</v>
      </c>
      <c r="MA56" s="20" t="n">
        <f aca="false">LZ56</f>
        <v>1270</v>
      </c>
      <c r="MB56" s="20" t="n">
        <f aca="false">MA56</f>
        <v>1270</v>
      </c>
      <c r="MC56" s="20" t="n">
        <f aca="false">MB56</f>
        <v>1270</v>
      </c>
      <c r="MD56" s="20" t="n">
        <f aca="false">MC56</f>
        <v>1270</v>
      </c>
      <c r="ME56" s="20" t="n">
        <f aca="false">IF(H_Direct=1,IF(BR56&lt;=0,I56-BR56*AKR55,I56-MIN(MIN(BR56*AKR55,H56+I56),I56)),I56)</f>
        <v>0</v>
      </c>
      <c r="MF56" s="20" t="n">
        <f aca="false">IF(H_Direct=1,IF(BS56&lt;=0,ME56-BS56*AKS55,ME56-MIN(MIN(BS56*AKS55,IR56+ME56),ME56)),ME56)</f>
        <v>0</v>
      </c>
      <c r="MG56" s="20" t="n">
        <f aca="false">IF(H_Direct=1,IF(BT56&lt;=0,MF56-BT56*AKT55,MF56-MIN(MIN(BT56*AKT55,IS56+MF56),MF56)),MF56)</f>
        <v>0</v>
      </c>
      <c r="MH56" s="20" t="n">
        <f aca="false">IF(H_Direct=1,IF(BU56&lt;=0,MG56-BU56*AKU55,MG56-MIN(MIN(BU56*AKU55,IT56+MG56),MG56)),MG56)</f>
        <v>0</v>
      </c>
      <c r="MI56" s="20" t="n">
        <f aca="false">IF(H_Direct=1,IF(BV56&lt;=0,MH56-BV56*AKV55,MH56-MIN(MIN(BV56*AKV55,IU56+MH56),MH56)),MH56)</f>
        <v>0</v>
      </c>
      <c r="MJ56" s="20" t="n">
        <f aca="false">IF(H_Direct=1,IF(BW56&lt;=0,MI56-BW56*AKW55,MI56-MIN(MIN(BW56*AKW55,IV56+MI56),MI56)),MI56)</f>
        <v>0</v>
      </c>
      <c r="MK56" s="20" t="n">
        <f aca="false">IF(H_Direct=1,IF(BX56&lt;=0,MJ56-BX56*AKX55,MJ56-MIN(MIN(BX56*AKX55,IW56+MJ56),MJ56)),MJ56)</f>
        <v>0</v>
      </c>
      <c r="ML56" s="20" t="n">
        <f aca="false">IF(H_Direct=1,IF(BY56&lt;=0,MK56-BY56*AKY55,MK56-MIN(MIN(BY56*AKY55,IX56+MK56),MK56)),MK56)</f>
        <v>0</v>
      </c>
      <c r="MM56" s="20" t="n">
        <f aca="false">IF(H_Direct=1,IF(BZ56&lt;=0,ML56-BZ56*AKZ55,ML56-MIN(MIN(BZ56*AKZ55,IY56+ML56),ML56)),ML56)</f>
        <v>0</v>
      </c>
      <c r="MN56" s="20" t="n">
        <f aca="false">IF(H_Direct=1,IF(CA56&lt;=0,MM56-CA56*ALA55,MM56-MIN(MIN(CA56*ALA55,IZ56+MM56),MM56)),MM56)</f>
        <v>0</v>
      </c>
      <c r="MO56" s="20" t="n">
        <f aca="false">IF(H_Direct=1,IF(CB56&lt;=0,MN56-CB56*ALB55,MN56-MIN(MIN(CB56*ALB55,JA56+MN56),MN56)),MN56)</f>
        <v>0</v>
      </c>
      <c r="MP56" s="20" t="n">
        <f aca="false">IF(H_Direct=1,IF(CC56&lt;=0,MO56-CC56*ALC55,MO56-MIN(MIN(CC56*ALC55,JB56+MO56),MO56)),MO56)</f>
        <v>0</v>
      </c>
      <c r="MQ56" s="20" t="n">
        <f aca="false">IF(H_Direct=1,IF(CD56&lt;=0,MP56-CD56*ALD55,MP56-MIN(MIN(CD56*ALD55,JC56+MP56),MP56)),MP56)</f>
        <v>0</v>
      </c>
      <c r="MR56" s="20" t="n">
        <f aca="false">IF(H_Direct=1,IF(CE56&lt;=0,MQ56-CE56*ALE55,MQ56-MIN(MIN(CE56*ALE55,JD56+MQ56),MQ56)),MQ56)</f>
        <v>0</v>
      </c>
      <c r="MS56" s="20" t="n">
        <f aca="false">IF(H_Direct=1,IF(CF56&lt;=0,MR56-CF56*ALF55,MR56-MIN(MIN(CF56*ALF55,JE56+MR56),MR56)),MR56)</f>
        <v>0</v>
      </c>
      <c r="MT56" s="20" t="n">
        <f aca="false">IF(H_Direct=1,IF(CG56&lt;=0,MS56-CG56*ALG55,MS56-MIN(MIN(CG56*ALG55,JF56+MS56),MS56)),MS56)</f>
        <v>0</v>
      </c>
      <c r="MU56" s="20" t="n">
        <f aca="false">IF(H_Direct=1,IF(CH56&lt;=0,MT56-CH56*ALH55,MT56-MIN(MIN(CH56*ALH55,JG56+MT56),MT56)),MT56)</f>
        <v>0</v>
      </c>
      <c r="MV56" s="20" t="n">
        <f aca="false">IF(H_Direct=1,IF(CI56&lt;=0,MU56-CI56*ALI55,MU56-MIN(MIN(CI56*ALI55,JH56+MU56),MU56)),MU56)</f>
        <v>0</v>
      </c>
      <c r="MW56" s="20" t="n">
        <f aca="false">IF(H_Direct=1,IF(CJ56&lt;=0,MV56-CJ56*ALJ55,MV56-MIN(MIN(CJ56*ALJ55,JI56+MV56),MV56)),MV56)</f>
        <v>0</v>
      </c>
      <c r="MX56" s="20" t="n">
        <f aca="false">IF(H_Direct=1,IF(CK56&lt;=0,MW56-CK56*ALK55,MW56-MIN(MIN(CK56*ALK55,JJ56+MW56),MW56)),MW56)</f>
        <v>0</v>
      </c>
      <c r="MY56" s="20" t="n">
        <f aca="false">IF(H_Direct=1,IF(CL56&lt;=0,MX56-CL56*ALL55,MX56-MIN(MIN(CL56*ALL55,JK56+MX56),MX56)),MX56)</f>
        <v>0</v>
      </c>
      <c r="MZ56" s="20" t="n">
        <f aca="false">IF(H_Direct=1,IF(CM56&lt;=0,MY56-CM56*ALM55,MY56-MIN(MIN(CM56*ALM55,JL56+MY56),MY56)),MY56)</f>
        <v>0</v>
      </c>
      <c r="NA56" s="20" t="n">
        <f aca="false">IF(H_Direct=1,IF(CN56&lt;=0,MZ56-CN56*ALN55,MZ56-MIN(MIN(CN56*ALN55,JM56+MZ56),MZ56)),MZ56)</f>
        <v>0</v>
      </c>
      <c r="NB56" s="20" t="n">
        <f aca="false">IF(H_Direct=1,IF(CO56&lt;=0,NA56-CO56*ALO55,NA56-MIN(MIN(CO56*ALO55,JN56+NA56),NA56)),NA56)</f>
        <v>0</v>
      </c>
      <c r="NC56" s="20" t="n">
        <f aca="false">IF(H_Direct=1,IF(CP56&lt;=0,NB56-CP56*ALP55,NB56-MIN(MIN(CP56*ALP55,JO56+NB56),NB56)),NB56)</f>
        <v>0</v>
      </c>
      <c r="ND56" s="20" t="n">
        <f aca="false">IF(H_Direct=1,IF(CQ56&lt;=0,NC56-CQ56*ALQ55,NC56-MIN(MIN(CQ56*ALQ55,JP56+NC56),NC56)),NC56)</f>
        <v>0</v>
      </c>
      <c r="NE56" s="20" t="n">
        <f aca="false">IF(H_Direct=1,IF(CR56&lt;=0,ND56-CR56*ALR55,ND56-MIN(MIN(CR56*ALR55,JQ56+ND56),ND56)),ND56)</f>
        <v>0</v>
      </c>
      <c r="NF56" s="20" t="n">
        <f aca="false">IF(H_Direct=1,IF(CS56&lt;=0,NE56-CS56*ALS55,NE56-MIN(MIN(CS56*ALS55,JR56+NE56),NE56)),NE56)</f>
        <v>0</v>
      </c>
      <c r="NG56" s="20" t="n">
        <f aca="false">IF(H_Direct=1,IF(CT56&lt;=0,NF56-CT56*ALT55,NF56-MIN(MIN(CT56*ALT55,JS56+NF56),NF56)),NF56)</f>
        <v>0</v>
      </c>
      <c r="NH56" s="20" t="n">
        <f aca="false">IF(H_Direct=1,IF(CU56&lt;=0,NG56-CU56*ALU55,NG56-MIN(MIN(CU56*ALU55,JT56+NG56),NG56)),NG56)</f>
        <v>0</v>
      </c>
      <c r="NI56" s="20" t="n">
        <f aca="false">IF(H_Direct=1,IF(CV56&lt;=0,NH56-CV56*ALV55,NH56-MIN(MIN(CV56*ALV55,JU56+NH56),NH56)),NH56)</f>
        <v>0</v>
      </c>
      <c r="NJ56" s="20" t="n">
        <f aca="false">IF(H_Direct=1,IF(CW56&lt;=0,NI56-CW56*ALW55,NI56-MIN(MIN(CW56*ALW55,JV56+NI56),NI56)),NI56)</f>
        <v>0</v>
      </c>
      <c r="NK56" s="20" t="n">
        <f aca="false">IF(H_Direct=1,IF(CX56&lt;=0,NJ56-CX56*ALX55,NJ56-MIN(MIN(CX56*ALX55,JW56+NJ56),NJ56)),NJ56)</f>
        <v>0</v>
      </c>
      <c r="NL56" s="20" t="n">
        <f aca="false">IF(H_Direct=1,IF(CY56&lt;=0,NK56-CY56*ALY55,NK56-MIN(MIN(CY56*ALY55,JX56+NK56),NK56)),NK56)</f>
        <v>0</v>
      </c>
      <c r="NM56" s="20" t="n">
        <f aca="false">IF(H_Direct=1,IF(CZ56&lt;=0,NL56-CZ56*ALZ55,NL56-MIN(MIN(CZ56*ALZ55,JY56+NL56),NL56)),NL56)</f>
        <v>0</v>
      </c>
      <c r="NN56" s="20" t="n">
        <f aca="false">IF(H_Direct=1,IF(DA56&lt;=0,NM56-DA56*AMA55,NM56-MIN(MIN(DA56*AMA55,JZ56+NM56),NM56)),NM56)</f>
        <v>0</v>
      </c>
      <c r="NO56" s="20" t="n">
        <f aca="false">IF(H_Direct=1,IF(DB56&lt;=0,NN56-DB56*AMB55,NN56-MIN(MIN(DB56*AMB55,KA56+NN56),NN56)),NN56)</f>
        <v>0</v>
      </c>
      <c r="NP56" s="20" t="n">
        <f aca="false">IF(H_Direct=1,IF(DC56&lt;=0,NO56-DC56*AMC55,NO56-MIN(MIN(DC56*AMC55,KB56+NO56),NO56)),NO56)</f>
        <v>0</v>
      </c>
      <c r="NQ56" s="20" t="n">
        <f aca="false">IF(H_Direct=1,IF(DD56&lt;=0,NP56-DD56*AMD55,NP56-MIN(MIN(DD56*AMD55,KC56+NP56),NP56)),NP56)</f>
        <v>0</v>
      </c>
      <c r="NR56" s="20" t="n">
        <f aca="false">IF(H_Direct=1,IF(DE56&lt;=0,NQ56-DE56*AME55,NQ56-MIN(MIN(DE56*AME55,KD56+NQ56),NQ56)),NQ56)</f>
        <v>0</v>
      </c>
      <c r="NS56" s="20" t="n">
        <f aca="false">IF(H_Direct=1,IF(DF56&lt;=0,NR56-DF56*AMF55,NR56-MIN(MIN(DF56*AMF55,KE56+NR56),NR56)),NR56)</f>
        <v>0</v>
      </c>
      <c r="NT56" s="20" t="n">
        <f aca="false">IF(H_Direct=1,IF(DG56&lt;=0,NS56-DG56*AMG55,NS56-MIN(MIN(DG56*AMG55,KF56+NS56),NS56)),NS56)</f>
        <v>0</v>
      </c>
      <c r="NU56" s="20" t="n">
        <f aca="false">IF(H_Direct=1,IF(DH56&lt;=0,NT56-DH56*AMH55,NT56-MIN(MIN(DH56*AMH55,KG56+NT56),NT56)),NT56)</f>
        <v>0</v>
      </c>
      <c r="NV56" s="20" t="n">
        <f aca="false">IF(H_Direct=1,IF(DI56&lt;=0,NU56-DI56*AMI55,NU56-MIN(MIN(DI56*AMI55,KH56+NU56),NU56)),NU56)</f>
        <v>0</v>
      </c>
      <c r="NW56" s="20" t="n">
        <f aca="false">IF(H_Direct=1,IF(DJ56&lt;=0,NV56-DJ56*AMJ55,NV56-MIN(MIN(DJ56*AMJ55,KI56+NV56),NV56)),NV56)</f>
        <v>0</v>
      </c>
      <c r="NX56" s="20" t="n">
        <f aca="false">IF(H_Direct=1,IF(DK56&lt;=0,NW56-DK56*AMK55,NW56-MIN(MIN(DK56*AMK55,KJ56+NW56),NW56)),NW56)</f>
        <v>0</v>
      </c>
      <c r="NY56" s="20" t="n">
        <f aca="false">IF(H_Direct=1,IF(DL56&lt;=0,NX56-DL56*AML55,NX56-MIN(MIN(DL56*AML55,KK56+NX56),NX56)),NX56)</f>
        <v>0</v>
      </c>
      <c r="NZ56" s="20" t="n">
        <f aca="false">IF(H_Direct=1,IF(DM56&lt;=0,NY56-DM56*AMM55,NY56-MIN(MIN(DM56*AMM55,KL56+NY56),NY56)),NY56)</f>
        <v>0</v>
      </c>
      <c r="OA56" s="20" t="n">
        <f aca="false">IF(H_Direct=1,IF(DN56&lt;=0,NZ56-DN56*AMN55,NZ56-MIN(MIN(DN56*AMN55,KM56+NZ56),NZ56)),NZ56)</f>
        <v>0</v>
      </c>
      <c r="OB56" s="20" t="n">
        <f aca="false">IF(H_Direct=1,IF(DO56&lt;=0,OA56-DO56*(P56+S56),OA56-MIN(MIN(DO56*(P56+S56),KN56+OA56),OA56)),OA56)</f>
        <v>0</v>
      </c>
      <c r="OC56" s="20" t="n">
        <f aca="false">OB56</f>
        <v>0</v>
      </c>
      <c r="OD56" s="20" t="n">
        <f aca="false">OC56</f>
        <v>0</v>
      </c>
      <c r="OE56" s="20" t="n">
        <f aca="false">OD56</f>
        <v>0</v>
      </c>
      <c r="OF56" s="20" t="n">
        <f aca="false">OE56</f>
        <v>0</v>
      </c>
      <c r="OG56" s="20" t="n">
        <f aca="false">OF56</f>
        <v>0</v>
      </c>
      <c r="OH56" s="20" t="n">
        <f aca="false">OG56</f>
        <v>0</v>
      </c>
      <c r="OI56" s="20" t="n">
        <f aca="false">OH56</f>
        <v>0</v>
      </c>
      <c r="OJ56" s="20" t="n">
        <f aca="false">OI56</f>
        <v>0</v>
      </c>
      <c r="OK56" s="20" t="n">
        <f aca="false">OJ56</f>
        <v>0</v>
      </c>
      <c r="OL56" s="20" t="n">
        <f aca="false">OK56</f>
        <v>0</v>
      </c>
      <c r="OM56" s="20" t="n">
        <f aca="false">OL56</f>
        <v>0</v>
      </c>
      <c r="ON56" s="20" t="n">
        <f aca="false">OM56</f>
        <v>0</v>
      </c>
      <c r="OO56" s="20" t="n">
        <f aca="false">ON56</f>
        <v>0</v>
      </c>
      <c r="OP56" s="20" t="n">
        <f aca="false">OO56</f>
        <v>0</v>
      </c>
      <c r="OQ56" s="20" t="n">
        <f aca="false">OP56</f>
        <v>0</v>
      </c>
      <c r="OR56" s="20" t="n">
        <f aca="false">OQ56</f>
        <v>0</v>
      </c>
      <c r="OS56" s="20" t="n">
        <f aca="false">OR56</f>
        <v>0</v>
      </c>
      <c r="OT56" s="20" t="n">
        <f aca="false">OS56</f>
        <v>0</v>
      </c>
      <c r="OU56" s="20" t="n">
        <f aca="false">OT56</f>
        <v>0</v>
      </c>
      <c r="OV56" s="20" t="n">
        <f aca="false">OU56</f>
        <v>0</v>
      </c>
      <c r="OW56" s="20" t="n">
        <f aca="false">OV56</f>
        <v>0</v>
      </c>
      <c r="OX56" s="20" t="n">
        <f aca="false">OW56</f>
        <v>0</v>
      </c>
      <c r="OY56" s="20" t="n">
        <f aca="false">OX56</f>
        <v>0</v>
      </c>
      <c r="OZ56" s="20" t="n">
        <f aca="false">OY56</f>
        <v>0</v>
      </c>
      <c r="PA56" s="20" t="n">
        <f aca="false">OZ56</f>
        <v>0</v>
      </c>
      <c r="PB56" s="20" t="n">
        <f aca="false">PA56</f>
        <v>0</v>
      </c>
      <c r="PC56" s="20" t="n">
        <f aca="false">PB56</f>
        <v>0</v>
      </c>
      <c r="PD56" s="20" t="n">
        <f aca="false">PC56</f>
        <v>0</v>
      </c>
      <c r="PE56" s="20" t="n">
        <f aca="false">PD56</f>
        <v>0</v>
      </c>
      <c r="PF56" s="20" t="n">
        <f aca="false">PE56</f>
        <v>0</v>
      </c>
      <c r="PG56" s="20" t="n">
        <f aca="false">PF56</f>
        <v>0</v>
      </c>
      <c r="PH56" s="20" t="n">
        <f aca="false">PG56</f>
        <v>0</v>
      </c>
      <c r="PI56" s="20" t="n">
        <f aca="false">PH56</f>
        <v>0</v>
      </c>
      <c r="PJ56" s="20" t="n">
        <f aca="false">PI56</f>
        <v>0</v>
      </c>
      <c r="PK56" s="20" t="n">
        <f aca="false">PJ56</f>
        <v>0</v>
      </c>
      <c r="PL56" s="20" t="n">
        <f aca="false">PK56</f>
        <v>0</v>
      </c>
      <c r="PM56" s="20" t="n">
        <f aca="false">PL56</f>
        <v>0</v>
      </c>
      <c r="PN56" s="20" t="n">
        <f aca="false">PM56</f>
        <v>0</v>
      </c>
      <c r="PO56" s="20" t="n">
        <f aca="false">PN56</f>
        <v>0</v>
      </c>
      <c r="PP56" s="20" t="n">
        <f aca="false">PO56</f>
        <v>0</v>
      </c>
      <c r="PQ56" s="20" t="n">
        <f aca="false">PP56</f>
        <v>0</v>
      </c>
      <c r="PR56" s="20" t="n">
        <f aca="false">IF(H_Direct=1,IF(AKR55&lt;=0,0,IF(BR56&lt;=0,MIN(MAX(0,AB56),AKR55),MIN(MAX(0,AB56),AKR55-G56*MAX(0,BR56*AKR55-(H56+I56))))),MIN(FE56,MAX(0,AB56)))</f>
        <v>0</v>
      </c>
      <c r="PS56" s="20" t="n">
        <f aca="false">IF(H_Direct=1,IF(AKS55&lt;=0,0,IF(BS56&lt;=0,MIN(MAX(0,AB56-SUM(PR56:PR56)),AKS55),MIN(MAX(0,AB56-SUM(PR56:PR56)),AKS55-G56*MAX(0,BS56*AKS55-(WR56+AAE56))))),MIN(FF56,MAX(0,AB56-SUM(PR56:PR56))))</f>
        <v>0</v>
      </c>
      <c r="PT56" s="20" t="n">
        <f aca="false">IF(H_Direct=1,IF(AKT55&lt;=0,0,IF(BT56&lt;=0,MIN(MAX(0,AB56-SUM(PR56:PS56)),AKT55),MIN(MAX(0,AB56-SUM(PR56:PS56)),AKT55-G56*MAX(0,BT56*AKT55-(WS56+AAF56))))),MIN(FG56,MAX(0,AB56-SUM(PR56:PS56))))</f>
        <v>0</v>
      </c>
      <c r="PU56" s="20" t="n">
        <f aca="false">IF(H_Direct=1,IF(AKU55&lt;=0,0,IF(BU56&lt;=0,MIN(MAX(0,AB56-SUM(PR56:PT56)),AKU55),MIN(MAX(0,AB56-SUM(PR56:PT56)),AKU55-G56*MAX(0,BU56*AKU55-(WT56+AAG56))))),MIN(FH56,MAX(0,AB56-SUM(PR56:PT56))))</f>
        <v>0</v>
      </c>
      <c r="PV56" s="20" t="n">
        <f aca="false">IF(H_Direct=1,IF(AKV55&lt;=0,0,IF(BV56&lt;=0,MIN(MAX(0,AB56-SUM(PR56:PU56)),AKV55),MIN(MAX(0,AB56-SUM(PR56:PU56)),AKV55-G56*MAX(0,BV56*AKV55-(WU56+AAH56))))),MIN(FI56,MAX(0,AB56-SUM(PR56:PU56))))</f>
        <v>0</v>
      </c>
      <c r="PW56" s="20" t="n">
        <f aca="false">IF(H_Direct=1,IF(AKW55&lt;=0,0,IF(BW56&lt;=0,MIN(MAX(0,AB56-SUM(PR56:PV56)),AKW55),MIN(MAX(0,AB56-SUM(PR56:PV56)),AKW55-G56*MAX(0,BW56*AKW55-(WV56+AAI56))))),MIN(FJ56,MAX(0,AB56-SUM(PR56:PV56))))</f>
        <v>0</v>
      </c>
      <c r="PX56" s="20" t="n">
        <f aca="false">IF(H_Direct=1,IF(AKX55&lt;=0,0,IF(BX56&lt;=0,MIN(MAX(0,AB56-SUM(PR56:PW56)),AKX55),MIN(MAX(0,AB56-SUM(PR56:PW56)),AKX55-G56*MAX(0,BX56*AKX55-(WW56+AAJ56))))),MIN(FK56,MAX(0,AB56-SUM(PR56:PW56))))</f>
        <v>0</v>
      </c>
      <c r="PY56" s="20" t="n">
        <f aca="false">IF(H_Direct=1,IF(AKY55&lt;=0,0,IF(BY56&lt;=0,MIN(MAX(0,AB56-SUM(PR56:PX56)),AKY55),MIN(MAX(0,AB56-SUM(PR56:PX56)),AKY55-G56*MAX(0,BY56*AKY55-(WX56+AAK56))))),MIN(FL56,MAX(0,AB56-SUM(PR56:PX56))))</f>
        <v>0</v>
      </c>
      <c r="PZ56" s="20" t="n">
        <f aca="false">IF(H_Direct=1,IF(AKZ55&lt;=0,0,IF(BZ56&lt;=0,MIN(MAX(0,AB56-SUM(PR56:PY56)),AKZ55),MIN(MAX(0,AB56-SUM(PR56:PY56)),AKZ55-G56*MAX(0,BZ56*AKZ55-(WY56+AAL56))))),MIN(FM56,MAX(0,AB56-SUM(PR56:PY56))))</f>
        <v>0</v>
      </c>
      <c r="QA56" s="20" t="n">
        <f aca="false">IF(H_Direct=1,IF(ALA55&lt;=0,0,IF(CA56&lt;=0,MIN(MAX(0,AB56-SUM(PR56:PZ56)),ALA55),MIN(MAX(0,AB56-SUM(PR56:PZ56)),ALA55-G56*MAX(0,CA56*ALA55-(WZ56+AAM56))))),MIN(FN56,MAX(0,AB56-SUM(PR56:PZ56))))</f>
        <v>0</v>
      </c>
      <c r="QB56" s="20" t="n">
        <f aca="false">IF(H_Direct=1,IF(ALB55&lt;=0,0,IF(CB56&lt;=0,MIN(MAX(0,AB56-SUM(PR56:QA56)),ALB55),MIN(MAX(0,AB56-SUM(PR56:QA56)),ALB55-G56*MAX(0,CB56*ALB55-(XA56+AAN56))))),MIN(FO56,MAX(0,AB56-SUM(PR56:QA56))))</f>
        <v>0</v>
      </c>
      <c r="QC56" s="20" t="n">
        <f aca="false">IF(H_Direct=1,IF(ALC55&lt;=0,0,IF(CC56&lt;=0,MIN(MAX(0,AB56-SUM(PR56:QB56)),ALC55),MIN(MAX(0,AB56-SUM(PR56:QB56)),ALC55-G56*MAX(0,CC56*ALC55-(XB56+AAO56))))),MIN(FP56,MAX(0,AB56-SUM(PR56:QB56))))</f>
        <v>0</v>
      </c>
      <c r="QD56" s="20" t="n">
        <f aca="false">IF(H_Direct=1,IF(ALD55&lt;=0,0,IF(CD56&lt;=0,MIN(MAX(0,AB56-SUM(PR56:QC56)),ALD55),MIN(MAX(0,AB56-SUM(PR56:QC56)),ALD55-G56*MAX(0,CD56*ALD55-(XC56+AAP56))))),MIN(FQ56,MAX(0,AB56-SUM(PR56:QC56))))</f>
        <v>0</v>
      </c>
      <c r="QE56" s="20" t="n">
        <f aca="false">IF(H_Direct=1,IF(ALE55&lt;=0,0,IF(CE56&lt;=0,MIN(MAX(0,AB56-SUM(PR56:QD56)),ALE55),MIN(MAX(0,AB56-SUM(PR56:QD56)),ALE55-G56*MAX(0,CE56*ALE55-(XD56+AAQ56))))),MIN(FR56,MAX(0,AB56-SUM(PR56:QD56))))</f>
        <v>0</v>
      </c>
      <c r="QF56" s="20" t="n">
        <f aca="false">IF(H_Direct=1,IF(ALF55&lt;=0,0,IF(CF56&lt;=0,MIN(MAX(0,AB56-SUM(PR56:QE56)),ALF55),MIN(MAX(0,AB56-SUM(PR56:QE56)),ALF55-G56*MAX(0,CF56*ALF55-(XE56+AAR56))))),MIN(FS56,MAX(0,AB56-SUM(PR56:QE56))))</f>
        <v>0</v>
      </c>
      <c r="QG56" s="20" t="n">
        <f aca="false">IF(H_Direct=1,IF(ALG55&lt;=0,0,IF(CG56&lt;=0,MIN(MAX(0,AB56-SUM(PR56:QF56)),ALG55),MIN(MAX(0,AB56-SUM(PR56:QF56)),ALG55-G56*MAX(0,CG56*ALG55-(XF56+AAS56))))),MIN(FT56,MAX(0,AB56-SUM(PR56:QF56))))</f>
        <v>0</v>
      </c>
      <c r="QH56" s="20" t="n">
        <f aca="false">IF(H_Direct=1,IF(ALH55&lt;=0,0,IF(CH56&lt;=0,MIN(MAX(0,AB56-SUM(PR56:QG56)),ALH55),MIN(MAX(0,AB56-SUM(PR56:QG56)),ALH55-G56*MAX(0,CH56*ALH55-(XG56+AAT56))))),MIN(FU56,MAX(0,AB56-SUM(PR56:QG56))))</f>
        <v>0</v>
      </c>
      <c r="QI56" s="20" t="n">
        <f aca="false">IF(H_Direct=1,IF(ALI55&lt;=0,0,IF(CI56&lt;=0,MIN(MAX(0,AB56-SUM(PR56:QH56)),ALI55),MIN(MAX(0,AB56-SUM(PR56:QH56)),ALI55-G56*MAX(0,CI56*ALI55-(XH56+AAU56))))),MIN(FV56,MAX(0,AB56-SUM(PR56:QH56))))</f>
        <v>0</v>
      </c>
      <c r="QJ56" s="20" t="n">
        <f aca="false">IF(H_Direct=1,IF(ALJ55&lt;=0,0,IF(CJ56&lt;=0,MIN(MAX(0,AB56-SUM(PR56:QI56)),ALJ55),MIN(MAX(0,AB56-SUM(PR56:QI56)),ALJ55-G56*MAX(0,CJ56*ALJ55-(XI56+AAV56))))),MIN(FW56,MAX(0,AB56-SUM(PR56:QI56))))</f>
        <v>0</v>
      </c>
      <c r="QK56" s="20" t="n">
        <f aca="false">IF(H_Direct=1,IF(ALK55&lt;=0,0,IF(CK56&lt;=0,MIN(MAX(0,AB56-SUM(PR56:QJ56)),ALK55),MIN(MAX(0,AB56-SUM(PR56:QJ56)),ALK55-G56*MAX(0,CK56*ALK55-(XJ56+AAW56))))),MIN(FX56,MAX(0,AB56-SUM(PR56:QJ56))))</f>
        <v>0</v>
      </c>
      <c r="QL56" s="20" t="n">
        <f aca="false">IF(H_Direct=1,IF(ALL55&lt;=0,0,IF(CL56&lt;=0,MIN(MAX(0,AB56-SUM(PR56:QK56)),ALL55),MIN(MAX(0,AB56-SUM(PR56:QK56)),ALL55-G56*MAX(0,CL56*ALL55-(XK56+AAX56))))),MIN(FY56,MAX(0,AB56-SUM(PR56:QK56))))</f>
        <v>0</v>
      </c>
      <c r="QM56" s="20" t="n">
        <f aca="false">IF(H_Direct=1,IF(ALM55&lt;=0,0,IF(CM56&lt;=0,MIN(MAX(0,AB56-SUM(PR56:QL56)),ALM55),MIN(MAX(0,AB56-SUM(PR56:QL56)),ALM55-G56*MAX(0,CM56*ALM55-(XL56+AAY56))))),MIN(FZ56,MAX(0,AB56-SUM(PR56:QL56))))</f>
        <v>0</v>
      </c>
      <c r="QN56" s="20" t="n">
        <f aca="false">IF(H_Direct=1,IF(ALN55&lt;=0,0,IF(CN56&lt;=0,MIN(MAX(0,AB56-SUM(PR56:QM56)),ALN55),MIN(MAX(0,AB56-SUM(PR56:QM56)),ALN55-G56*MAX(0,CN56*ALN55-(XM56+AAZ56))))),MIN(GA56,MAX(0,AB56-SUM(PR56:QM56))))</f>
        <v>0</v>
      </c>
      <c r="QO56" s="20" t="n">
        <f aca="false">IF(H_Direct=1,IF(ALO55&lt;=0,0,IF(CO56&lt;=0,MIN(MAX(0,AB56-SUM(PR56:QN56)),ALO55),MIN(MAX(0,AB56-SUM(PR56:QN56)),ALO55-G56*MAX(0,CO56*ALO55-(XN56+ABA56))))),MIN(GB56,MAX(0,AB56-SUM(PR56:QN56))))</f>
        <v>0</v>
      </c>
      <c r="QP56" s="20" t="n">
        <f aca="false">IF(H_Direct=1,IF(ALP55&lt;=0,0,IF(CP56&lt;=0,MIN(MAX(0,AB56-SUM(PR56:QO56)),ALP55),MIN(MAX(0,AB56-SUM(PR56:QO56)),ALP55-G56*MAX(0,CP56*ALP55-(XO56+ABB56))))),MIN(GC56,MAX(0,AB56-SUM(PR56:QO56))))</f>
        <v>0</v>
      </c>
      <c r="QQ56" s="20" t="n">
        <f aca="false">IF(H_Direct=1,IF(ALQ55&lt;=0,0,IF(CQ56&lt;=0,MIN(MAX(0,AB56-SUM(PR56:QP56)),ALQ55),MIN(MAX(0,AB56-SUM(PR56:QP56)),ALQ55-G56*MAX(0,CQ56*ALQ55-(XP56+ABC56))))),MIN(GD56,MAX(0,AB56-SUM(PR56:QP56))))</f>
        <v>0</v>
      </c>
      <c r="QR56" s="20" t="n">
        <f aca="false">IF(H_Direct=1,IF(ALR55&lt;=0,0,IF(CR56&lt;=0,MIN(MAX(0,AB56-SUM(PR56:QQ56)),ALR55),MIN(MAX(0,AB56-SUM(PR56:QQ56)),ALR55-G56*MAX(0,CR56*ALR55-(XQ56+ABD56))))),MIN(GE56,MAX(0,AB56-SUM(PR56:QQ56))))</f>
        <v>0</v>
      </c>
      <c r="QS56" s="20" t="n">
        <f aca="false">IF(H_Direct=1,IF(ALS55&lt;=0,0,IF(CS56&lt;=0,MIN(MAX(0,AB56-SUM(PR56:QR56)),ALS55),MIN(MAX(0,AB56-SUM(PR56:QR56)),ALS55-G56*MAX(0,CS56*ALS55-(XR56+ABE56))))),MIN(GF56,MAX(0,AB56-SUM(PR56:QR56))))</f>
        <v>0</v>
      </c>
      <c r="QT56" s="20" t="n">
        <f aca="false">IF(H_Direct=1,IF(ALT55&lt;=0,0,IF(CT56&lt;=0,MIN(MAX(0,AB56-SUM(PR56:QS56)),ALT55),MIN(MAX(0,AB56-SUM(PR56:QS56)),ALT55-G56*MAX(0,CT56*ALT55-(XS56+ABF56))))),MIN(GG56,MAX(0,AB56-SUM(PR56:QS56))))</f>
        <v>0</v>
      </c>
      <c r="QU56" s="20" t="n">
        <f aca="false">IF(H_Direct=1,IF(ALU55&lt;=0,0,IF(CU56&lt;=0,MIN(MAX(0,AB56-SUM(PR56:QT56)),ALU55),MIN(MAX(0,AB56-SUM(PR56:QT56)),ALU55-G56*MAX(0,CU56*ALU55-(XT56+ABG56))))),MIN(GH56,MAX(0,AB56-SUM(PR56:QT56))))</f>
        <v>0</v>
      </c>
      <c r="QV56" s="20" t="n">
        <f aca="false">IF(H_Direct=1,IF(ALV55&lt;=0,0,IF(CV56&lt;=0,MIN(MAX(0,AB56-SUM(PR56:QU56)),ALV55),MIN(MAX(0,AB56-SUM(PR56:QU56)),ALV55-G56*MAX(0,CV56*ALV55-(XU56+ABH56))))),MIN(GI56,MAX(0,AB56-SUM(PR56:QU56))))</f>
        <v>0</v>
      </c>
      <c r="QW56" s="20" t="n">
        <f aca="false">IF(H_Direct=1,IF(ALW55&lt;=0,0,IF(CW56&lt;=0,MIN(MAX(0,AB56-SUM(PR56:QV56)),ALW55),MIN(MAX(0,AB56-SUM(PR56:QV56)),ALW55-G56*MAX(0,CW56*ALW55-(XV56+ABI56))))),MIN(GJ56,MAX(0,AB56-SUM(PR56:QV56))))</f>
        <v>0</v>
      </c>
      <c r="QX56" s="20" t="n">
        <f aca="false">IF(H_Direct=1,IF(ALX55&lt;=0,0,IF(CX56&lt;=0,MIN(MAX(0,AB56-SUM(PR56:QW56)),ALX55),MIN(MAX(0,AB56-SUM(PR56:QW56)),ALX55-G56*MAX(0,CX56*ALX55-(XW56+ABJ56))))),MIN(GK56,MAX(0,AB56-SUM(PR56:QW56))))</f>
        <v>0</v>
      </c>
      <c r="QY56" s="20" t="n">
        <f aca="false">IF(H_Direct=1,IF(ALY55&lt;=0,0,IF(CY56&lt;=0,MIN(MAX(0,AB56-SUM(PR56:QX56)),ALY55),MIN(MAX(0,AB56-SUM(PR56:QX56)),ALY55-G56*MAX(0,CY56*ALY55-(XX56+ABK56))))),MIN(GL56,MAX(0,AB56-SUM(PR56:QX56))))</f>
        <v>0</v>
      </c>
      <c r="QZ56" s="20" t="n">
        <f aca="false">IF(H_Direct=1,IF(ALZ55&lt;=0,0,IF(CZ56&lt;=0,MIN(MAX(0,AB56-SUM(PR56:QY56)),ALZ55),MIN(MAX(0,AB56-SUM(PR56:QY56)),ALZ55-G56*MAX(0,CZ56*ALZ55-(XY56+ABL56))))),MIN(GM56,MAX(0,AB56-SUM(PR56:QY56))))</f>
        <v>0</v>
      </c>
      <c r="RA56" s="20" t="n">
        <f aca="false">IF(H_Direct=1,IF(AMA55&lt;=0,0,IF(DA56&lt;=0,MIN(MAX(0,AB56-SUM(PR56:QZ56)),AMA55),MIN(MAX(0,AB56-SUM(PR56:QZ56)),AMA55-G56*MAX(0,DA56*AMA55-(XZ56+ABM56))))),MIN(GN56,MAX(0,AB56-SUM(PR56:QZ56))))</f>
        <v>0</v>
      </c>
      <c r="RB56" s="20" t="n">
        <f aca="false">IF(H_Direct=1,IF(AMB55&lt;=0,0,IF(DB56&lt;=0,MIN(MAX(0,AB56-SUM(PR56:RA56)),AMB55),MIN(MAX(0,AB56-SUM(PR56:RA56)),AMB55-G56*MAX(0,DB56*AMB55-(YA56+ABN56))))),MIN(GO56,MAX(0,AB56-SUM(PR56:RA56))))</f>
        <v>0</v>
      </c>
      <c r="RC56" s="20" t="n">
        <f aca="false">IF(H_Direct=1,IF(AMC55&lt;=0,0,IF(DC56&lt;=0,MIN(MAX(0,AB56-SUM(PR56:RB56)),AMC55),MIN(MAX(0,AB56-SUM(PR56:RB56)),AMC55-G56*MAX(0,DC56*AMC55-(YB56+ABO56))))),MIN(GP56,MAX(0,AB56-SUM(PR56:RB56))))</f>
        <v>0</v>
      </c>
      <c r="RD56" s="20" t="n">
        <f aca="false">IF(H_Direct=1,IF(AMD55&lt;=0,0,IF(DD56&lt;=0,MIN(MAX(0,AB56-SUM(PR56:RC56)),AMD55),MIN(MAX(0,AB56-SUM(PR56:RC56)),AMD55-G56*MAX(0,DD56*AMD55-(YC56+ABP56))))),MIN(GQ56,MAX(0,AB56-SUM(PR56:RC56))))</f>
        <v>0</v>
      </c>
      <c r="RE56" s="20" t="n">
        <f aca="false">IF(H_Direct=1,IF(AME55&lt;=0,0,IF(DE56&lt;=0,MIN(MAX(0,AB56-SUM(PR56:RD56)),AME55),MIN(MAX(0,AB56-SUM(PR56:RD56)),AME55-G56*MAX(0,DE56*AME55-(YD56+ABQ56))))),MIN(GR56,MAX(0,AB56-SUM(PR56:RD56))))</f>
        <v>0</v>
      </c>
      <c r="RF56" s="20" t="n">
        <f aca="false">IF(H_Direct=1,IF(AMF55&lt;=0,0,IF(DF56&lt;=0,MIN(MAX(0,AB56-SUM(PR56:RE56)),AMF55),MIN(MAX(0,AB56-SUM(PR56:RE56)),AMF55-G56*MAX(0,DF56*AMF55-(YE56+ABR56))))),MIN(GS56,MAX(0,AB56-SUM(PR56:RE56))))</f>
        <v>0</v>
      </c>
      <c r="RG56" s="20" t="n">
        <f aca="false">IF(H_Direct=1,IF(AMG55&lt;=0,0,IF(DG56&lt;=0,MIN(MAX(0,AB56-SUM(PR56:RF56)),AMG55),MIN(MAX(0,AB56-SUM(PR56:RF56)),AMG55-G56*MAX(0,DG56*AMG55-(YF56+ABS56))))),MIN(GT56,MAX(0,AB56-SUM(PR56:RF56))))</f>
        <v>0</v>
      </c>
      <c r="RH56" s="20" t="n">
        <f aca="false">IF(H_Direct=1,IF(AMH55&lt;=0,0,IF(DH56&lt;=0,MIN(MAX(0,AB56-SUM(PR56:RG56)),AMH55),MIN(MAX(0,AB56-SUM(PR56:RG56)),AMH55-G56*MAX(0,DH56*AMH55-(YG56+ABT56))))),MIN(GU56,MAX(0,AB56-SUM(PR56:RG56))))</f>
        <v>0</v>
      </c>
      <c r="RI56" s="20" t="n">
        <f aca="false">IF(H_Direct=1,IF(AMI55&lt;=0,0,IF(DI56&lt;=0,MIN(MAX(0,AB56-SUM(PR56:RH56)),AMI55),MIN(MAX(0,AB56-SUM(PR56:RH56)),AMI55-G56*MAX(0,DI56*AMI55-(YH56+ABU56))))),MIN(GV56,MAX(0,AB56-SUM(PR56:RH56))))</f>
        <v>0</v>
      </c>
      <c r="RJ56" s="20" t="n">
        <f aca="false">IF(H_Direct=1,IF(AMJ55&lt;=0,0,IF(DJ56&lt;=0,MIN(MAX(0,AB56-SUM(PR56:RI56)),AMJ55),MIN(MAX(0,AB56-SUM(PR56:RI56)),AMJ55-G56*MAX(0,DJ56*AMJ55-(YI56+ABV56))))),MIN(GW56,MAX(0,AB56-SUM(PR56:RI56))))</f>
        <v>0</v>
      </c>
      <c r="RK56" s="20" t="n">
        <f aca="false">IF(H_Direct=1,IF(AMK55&lt;=0,0,IF(DK56&lt;=0,MIN(MAX(0,AB56-SUM(PR56:RJ56)),AMK55),MIN(MAX(0,AB56-SUM(PR56:RJ56)),AMK55-G56*MAX(0,DK56*AMK55-(YJ56+ABW56))))),MIN(GX56,MAX(0,AB56-SUM(PR56:RJ56))))</f>
        <v>0</v>
      </c>
      <c r="RL56" s="20" t="n">
        <f aca="false">IF(H_Direct=1,IF(AML55&lt;=0,0,IF(DL56&lt;=0,MIN(MAX(0,AB56-SUM(PR56:RK56)),AML55),MIN(MAX(0,AB56-SUM(PR56:RK56)),AML55-G56*MAX(0,DL56*AML55-(YK56+ABX56))))),MIN(GY56,MAX(0,AB56-SUM(PR56:RK56))))</f>
        <v>0</v>
      </c>
      <c r="RM56" s="20" t="n">
        <f aca="false">IF(H_Direct=1,IF(AMM55&lt;=0,0,IF(DM56&lt;=0,MIN(MAX(0,AB56-SUM(PR56:RL56)),AMM55),MIN(MAX(0,AB56-SUM(PR56:RL56)),AMM55-G56*MAX(0,DM56*AMM55-(YL56+ABY56))))),MIN(GZ56,MAX(0,AB56-SUM(PR56:RL56))))</f>
        <v>0</v>
      </c>
      <c r="RN56" s="20" t="n">
        <f aca="false">IF(H_Direct=1,IF(AMN55&lt;=0,0,IF(DN56&lt;=0,MIN(MAX(0,AB56-SUM(PR56:RM56)),AMN55),MIN(MAX(0,AB56-SUM(PR56:RM56)),AMN55-G56*MAX(0,DN56*AMN55-(YM56+ABZ56))))),MIN(HA56,MAX(0,AB56-SUM(PR56:RM56))))</f>
        <v>0</v>
      </c>
      <c r="RO56" s="20" t="n">
        <f aca="false">IF(H_Direct=1,IF((P56+S56)&lt;=0,0,IF(DO56&lt;=0,MIN(MAX(0,AB56-SUM(PR56:RN56)),(P56+S56)),MIN(MAX(0,AB56-SUM(PR56:RN56)),(P56+S56)-G56*MAX(0,DO56*(P56+S56)-(YN56+ACA56))))),MIN(HB56,MAX(0,AB56-SUM(PR56:RN56))))</f>
        <v>0</v>
      </c>
      <c r="RP56" s="20" t="n">
        <v>0</v>
      </c>
      <c r="RQ56" s="20" t="n">
        <v>0</v>
      </c>
      <c r="RR56" s="20" t="n">
        <v>0</v>
      </c>
      <c r="RS56" s="20" t="n">
        <v>0</v>
      </c>
      <c r="RT56" s="20" t="n">
        <v>0</v>
      </c>
      <c r="RU56" s="20" t="n">
        <v>0</v>
      </c>
      <c r="RV56" s="20" t="n">
        <v>0</v>
      </c>
      <c r="RW56" s="20" t="n">
        <v>0</v>
      </c>
      <c r="RX56" s="20" t="n">
        <v>0</v>
      </c>
      <c r="RY56" s="20" t="n">
        <v>0</v>
      </c>
      <c r="RZ56" s="20" t="n">
        <v>0</v>
      </c>
      <c r="SA56" s="20" t="n">
        <v>0</v>
      </c>
      <c r="SB56" s="20" t="n">
        <v>0</v>
      </c>
      <c r="SC56" s="20" t="n">
        <v>0</v>
      </c>
      <c r="SD56" s="20" t="n">
        <v>0</v>
      </c>
      <c r="SE56" s="20" t="n">
        <v>0</v>
      </c>
      <c r="SF56" s="20" t="n">
        <v>0</v>
      </c>
      <c r="SG56" s="20" t="n">
        <v>0</v>
      </c>
      <c r="SH56" s="20" t="n">
        <v>0</v>
      </c>
      <c r="SI56" s="20" t="n">
        <v>0</v>
      </c>
      <c r="SJ56" s="20" t="n">
        <v>0</v>
      </c>
      <c r="SK56" s="20" t="n">
        <v>0</v>
      </c>
      <c r="SL56" s="20" t="n">
        <v>0</v>
      </c>
      <c r="SM56" s="20" t="n">
        <v>0</v>
      </c>
      <c r="SN56" s="20" t="n">
        <v>0</v>
      </c>
      <c r="SO56" s="20" t="n">
        <v>0</v>
      </c>
      <c r="SP56" s="20" t="n">
        <v>0</v>
      </c>
      <c r="SQ56" s="20" t="n">
        <v>0</v>
      </c>
      <c r="SR56" s="20" t="n">
        <v>0</v>
      </c>
      <c r="SS56" s="20" t="n">
        <v>0</v>
      </c>
      <c r="ST56" s="20" t="n">
        <v>0</v>
      </c>
      <c r="SU56" s="20" t="n">
        <v>0</v>
      </c>
      <c r="SV56" s="20" t="n">
        <v>0</v>
      </c>
      <c r="SW56" s="20" t="n">
        <v>0</v>
      </c>
      <c r="SX56" s="20" t="n">
        <v>0</v>
      </c>
      <c r="SY56" s="20" t="n">
        <v>0</v>
      </c>
      <c r="SZ56" s="20" t="n">
        <v>0</v>
      </c>
      <c r="TA56" s="20" t="n">
        <v>0</v>
      </c>
      <c r="TB56" s="20" t="n">
        <v>0</v>
      </c>
      <c r="TC56" s="20" t="n">
        <v>0</v>
      </c>
      <c r="TD56" s="20" t="n">
        <v>0</v>
      </c>
      <c r="TE56" s="20" t="n">
        <f aca="false">IF(AKR55&lt;=0,0,IF(H_Direct=1,IF(BR56&lt;=0,PR56,IF(PR56&lt;=(H56+I56)/BR56,PR56,(PR56-G56*(H56+I56))/(1-G56*BR56))),PR56/(1-MAX(0,BR56)*H_Exit)))</f>
        <v>0</v>
      </c>
      <c r="TF56" s="20" t="n">
        <f aca="false">IF(AKS55&lt;=0,0,IF(H_Direct=1,IF(BS56&lt;=0,PS56,IF(PS56&lt;=(WR56+AAE56)/BS56,PS56,(PS56-G56*(WR56+AAE56))/(1-G56*BS56))),PS56/(1-MAX(0,BS56)*H_Exit)))</f>
        <v>0</v>
      </c>
      <c r="TG56" s="20" t="n">
        <f aca="false">IF(AKT55&lt;=0,0,IF(H_Direct=1,IF(BT56&lt;=0,PT56,IF(PT56&lt;=(WS56+AAF56)/BT56,PT56,(PT56-G56*(WS56+AAF56))/(1-G56*BT56))),PT56/(1-MAX(0,BT56)*H_Exit)))</f>
        <v>0</v>
      </c>
      <c r="TH56" s="20" t="n">
        <f aca="false">IF(AKU55&lt;=0,0,IF(H_Direct=1,IF(BU56&lt;=0,PU56,IF(PU56&lt;=(WT56+AAG56)/BU56,PU56,(PU56-G56*(WT56+AAG56))/(1-G56*BU56))),PU56/(1-MAX(0,BU56)*H_Exit)))</f>
        <v>0</v>
      </c>
      <c r="TI56" s="20" t="n">
        <f aca="false">IF(AKV55&lt;=0,0,IF(H_Direct=1,IF(BV56&lt;=0,PV56,IF(PV56&lt;=(WU56+AAH56)/BV56,PV56,(PV56-G56*(WU56+AAH56))/(1-G56*BV56))),PV56/(1-MAX(0,BV56)*H_Exit)))</f>
        <v>0</v>
      </c>
      <c r="TJ56" s="20" t="n">
        <f aca="false">IF(AKW55&lt;=0,0,IF(H_Direct=1,IF(BW56&lt;=0,PW56,IF(PW56&lt;=(WV56+AAI56)/BW56,PW56,(PW56-G56*(WV56+AAI56))/(1-G56*BW56))),PW56/(1-MAX(0,BW56)*H_Exit)))</f>
        <v>0</v>
      </c>
      <c r="TK56" s="20" t="n">
        <f aca="false">IF(AKX55&lt;=0,0,IF(H_Direct=1,IF(BX56&lt;=0,PX56,IF(PX56&lt;=(WW56+AAJ56)/BX56,PX56,(PX56-G56*(WW56+AAJ56))/(1-G56*BX56))),PX56/(1-MAX(0,BX56)*H_Exit)))</f>
        <v>0</v>
      </c>
      <c r="TL56" s="20" t="n">
        <f aca="false">IF(AKY55&lt;=0,0,IF(H_Direct=1,IF(BY56&lt;=0,PY56,IF(PY56&lt;=(WX56+AAK56)/BY56,PY56,(PY56-G56*(WX56+AAK56))/(1-G56*BY56))),PY56/(1-MAX(0,BY56)*H_Exit)))</f>
        <v>0</v>
      </c>
      <c r="TM56" s="20" t="n">
        <f aca="false">IF(AKZ55&lt;=0,0,IF(H_Direct=1,IF(BZ56&lt;=0,PZ56,IF(PZ56&lt;=(WY56+AAL56)/BZ56,PZ56,(PZ56-G56*(WY56+AAL56))/(1-G56*BZ56))),PZ56/(1-MAX(0,BZ56)*H_Exit)))</f>
        <v>0</v>
      </c>
      <c r="TN56" s="20" t="n">
        <f aca="false">IF(ALA55&lt;=0,0,IF(H_Direct=1,IF(CA56&lt;=0,QA56,IF(QA56&lt;=(WZ56+AAM56)/CA56,QA56,(QA56-G56*(WZ56+AAM56))/(1-G56*CA56))),QA56/(1-MAX(0,CA56)*H_Exit)))</f>
        <v>0</v>
      </c>
      <c r="TO56" s="20" t="n">
        <f aca="false">IF(ALB55&lt;=0,0,IF(H_Direct=1,IF(CB56&lt;=0,QB56,IF(QB56&lt;=(XA56+AAN56)/CB56,QB56,(QB56-G56*(XA56+AAN56))/(1-G56*CB56))),QB56/(1-MAX(0,CB56)*H_Exit)))</f>
        <v>0</v>
      </c>
      <c r="TP56" s="20" t="n">
        <f aca="false">IF(ALC55&lt;=0,0,IF(H_Direct=1,IF(CC56&lt;=0,QC56,IF(QC56&lt;=(XB56+AAO56)/CC56,QC56,(QC56-G56*(XB56+AAO56))/(1-G56*CC56))),QC56/(1-MAX(0,CC56)*H_Exit)))</f>
        <v>0</v>
      </c>
      <c r="TQ56" s="20" t="n">
        <f aca="false">IF(ALD55&lt;=0,0,IF(H_Direct=1,IF(CD56&lt;=0,QD56,IF(QD56&lt;=(XC56+AAP56)/CD56,QD56,(QD56-G56*(XC56+AAP56))/(1-G56*CD56))),QD56/(1-MAX(0,CD56)*H_Exit)))</f>
        <v>0</v>
      </c>
      <c r="TR56" s="20" t="n">
        <f aca="false">IF(ALE55&lt;=0,0,IF(H_Direct=1,IF(CE56&lt;=0,QE56,IF(QE56&lt;=(XD56+AAQ56)/CE56,QE56,(QE56-G56*(XD56+AAQ56))/(1-G56*CE56))),QE56/(1-MAX(0,CE56)*H_Exit)))</f>
        <v>0</v>
      </c>
      <c r="TS56" s="20" t="n">
        <f aca="false">IF(ALF55&lt;=0,0,IF(H_Direct=1,IF(CF56&lt;=0,QF56,IF(QF56&lt;=(XE56+AAR56)/CF56,QF56,(QF56-G56*(XE56+AAR56))/(1-G56*CF56))),QF56/(1-MAX(0,CF56)*H_Exit)))</f>
        <v>0</v>
      </c>
      <c r="TT56" s="20" t="n">
        <f aca="false">IF(ALG55&lt;=0,0,IF(H_Direct=1,IF(CG56&lt;=0,QG56,IF(QG56&lt;=(XF56+AAS56)/CG56,QG56,(QG56-G56*(XF56+AAS56))/(1-G56*CG56))),QG56/(1-MAX(0,CG56)*H_Exit)))</f>
        <v>0</v>
      </c>
      <c r="TU56" s="20" t="n">
        <f aca="false">IF(ALH55&lt;=0,0,IF(H_Direct=1,IF(CH56&lt;=0,QH56,IF(QH56&lt;=(XG56+AAT56)/CH56,QH56,(QH56-G56*(XG56+AAT56))/(1-G56*CH56))),QH56/(1-MAX(0,CH56)*H_Exit)))</f>
        <v>0</v>
      </c>
      <c r="TV56" s="20" t="n">
        <f aca="false">IF(ALI55&lt;=0,0,IF(H_Direct=1,IF(CI56&lt;=0,QI56,IF(QI56&lt;=(XH56+AAU56)/CI56,QI56,(QI56-G56*(XH56+AAU56))/(1-G56*CI56))),QI56/(1-MAX(0,CI56)*H_Exit)))</f>
        <v>0</v>
      </c>
      <c r="TW56" s="20" t="n">
        <f aca="false">IF(ALJ55&lt;=0,0,IF(H_Direct=1,IF(CJ56&lt;=0,QJ56,IF(QJ56&lt;=(XI56+AAV56)/CJ56,QJ56,(QJ56-G56*(XI56+AAV56))/(1-G56*CJ56))),QJ56/(1-MAX(0,CJ56)*H_Exit)))</f>
        <v>0</v>
      </c>
      <c r="TX56" s="20" t="n">
        <f aca="false">IF(ALK55&lt;=0,0,IF(H_Direct=1,IF(CK56&lt;=0,QK56,IF(QK56&lt;=(XJ56+AAW56)/CK56,QK56,(QK56-G56*(XJ56+AAW56))/(1-G56*CK56))),QK56/(1-MAX(0,CK56)*H_Exit)))</f>
        <v>0</v>
      </c>
      <c r="TY56" s="20" t="n">
        <f aca="false">IF(ALL55&lt;=0,0,IF(H_Direct=1,IF(CL56&lt;=0,QL56,IF(QL56&lt;=(XK56+AAX56)/CL56,QL56,(QL56-G56*(XK56+AAX56))/(1-G56*CL56))),QL56/(1-MAX(0,CL56)*H_Exit)))</f>
        <v>0</v>
      </c>
      <c r="TZ56" s="20" t="n">
        <f aca="false">IF(ALM55&lt;=0,0,IF(H_Direct=1,IF(CM56&lt;=0,QM56,IF(QM56&lt;=(XL56+AAY56)/CM56,QM56,(QM56-G56*(XL56+AAY56))/(1-G56*CM56))),QM56/(1-MAX(0,CM56)*H_Exit)))</f>
        <v>0</v>
      </c>
      <c r="UA56" s="20" t="n">
        <f aca="false">IF(ALN55&lt;=0,0,IF(H_Direct=1,IF(CN56&lt;=0,QN56,IF(QN56&lt;=(XM56+AAZ56)/CN56,QN56,(QN56-G56*(XM56+AAZ56))/(1-G56*CN56))),QN56/(1-MAX(0,CN56)*H_Exit)))</f>
        <v>0</v>
      </c>
      <c r="UB56" s="20" t="n">
        <f aca="false">IF(ALO55&lt;=0,0,IF(H_Direct=1,IF(CO56&lt;=0,QO56,IF(QO56&lt;=(XN56+ABA56)/CO56,QO56,(QO56-G56*(XN56+ABA56))/(1-G56*CO56))),QO56/(1-MAX(0,CO56)*H_Exit)))</f>
        <v>0</v>
      </c>
      <c r="UC56" s="20" t="n">
        <f aca="false">IF(ALP55&lt;=0,0,IF(H_Direct=1,IF(CP56&lt;=0,QP56,IF(QP56&lt;=(XO56+ABB56)/CP56,QP56,(QP56-G56*(XO56+ABB56))/(1-G56*CP56))),QP56/(1-MAX(0,CP56)*H_Exit)))</f>
        <v>0</v>
      </c>
      <c r="UD56" s="20" t="n">
        <f aca="false">IF(ALQ55&lt;=0,0,IF(H_Direct=1,IF(CQ56&lt;=0,QQ56,IF(QQ56&lt;=(XP56+ABC56)/CQ56,QQ56,(QQ56-G56*(XP56+ABC56))/(1-G56*CQ56))),QQ56/(1-MAX(0,CQ56)*H_Exit)))</f>
        <v>0</v>
      </c>
      <c r="UE56" s="20" t="n">
        <f aca="false">IF(ALR55&lt;=0,0,IF(H_Direct=1,IF(CR56&lt;=0,QR56,IF(QR56&lt;=(XQ56+ABD56)/CR56,QR56,(QR56-G56*(XQ56+ABD56))/(1-G56*CR56))),QR56/(1-MAX(0,CR56)*H_Exit)))</f>
        <v>0</v>
      </c>
      <c r="UF56" s="20" t="n">
        <f aca="false">IF(ALS55&lt;=0,0,IF(H_Direct=1,IF(CS56&lt;=0,QS56,IF(QS56&lt;=(XR56+ABE56)/CS56,QS56,(QS56-G56*(XR56+ABE56))/(1-G56*CS56))),QS56/(1-MAX(0,CS56)*H_Exit)))</f>
        <v>0</v>
      </c>
      <c r="UG56" s="20" t="n">
        <f aca="false">IF(ALT55&lt;=0,0,IF(H_Direct=1,IF(CT56&lt;=0,QT56,IF(QT56&lt;=(XS56+ABF56)/CT56,QT56,(QT56-G56*(XS56+ABF56))/(1-G56*CT56))),QT56/(1-MAX(0,CT56)*H_Exit)))</f>
        <v>0</v>
      </c>
      <c r="UH56" s="20" t="n">
        <f aca="false">IF(ALU55&lt;=0,0,IF(H_Direct=1,IF(CU56&lt;=0,QU56,IF(QU56&lt;=(XT56+ABG56)/CU56,QU56,(QU56-G56*(XT56+ABG56))/(1-G56*CU56))),QU56/(1-MAX(0,CU56)*H_Exit)))</f>
        <v>0</v>
      </c>
      <c r="UI56" s="20" t="n">
        <f aca="false">IF(ALV55&lt;=0,0,IF(H_Direct=1,IF(CV56&lt;=0,QV56,IF(QV56&lt;=(XU56+ABH56)/CV56,QV56,(QV56-G56*(XU56+ABH56))/(1-G56*CV56))),QV56/(1-MAX(0,CV56)*H_Exit)))</f>
        <v>0</v>
      </c>
      <c r="UJ56" s="20" t="n">
        <f aca="false">IF(ALW55&lt;=0,0,IF(H_Direct=1,IF(CW56&lt;=0,QW56,IF(QW56&lt;=(XV56+ABI56)/CW56,QW56,(QW56-G56*(XV56+ABI56))/(1-G56*CW56))),QW56/(1-MAX(0,CW56)*H_Exit)))</f>
        <v>0</v>
      </c>
      <c r="UK56" s="20" t="n">
        <f aca="false">IF(ALX55&lt;=0,0,IF(H_Direct=1,IF(CX56&lt;=0,QX56,IF(QX56&lt;=(XW56+ABJ56)/CX56,QX56,(QX56-G56*(XW56+ABJ56))/(1-G56*CX56))),QX56/(1-MAX(0,CX56)*H_Exit)))</f>
        <v>0</v>
      </c>
      <c r="UL56" s="20" t="n">
        <f aca="false">IF(ALY55&lt;=0,0,IF(H_Direct=1,IF(CY56&lt;=0,QY56,IF(QY56&lt;=(XX56+ABK56)/CY56,QY56,(QY56-G56*(XX56+ABK56))/(1-G56*CY56))),QY56/(1-MAX(0,CY56)*H_Exit)))</f>
        <v>0</v>
      </c>
      <c r="UM56" s="20" t="n">
        <f aca="false">IF(ALZ55&lt;=0,0,IF(H_Direct=1,IF(CZ56&lt;=0,QZ56,IF(QZ56&lt;=(XY56+ABL56)/CZ56,QZ56,(QZ56-G56*(XY56+ABL56))/(1-G56*CZ56))),QZ56/(1-MAX(0,CZ56)*H_Exit)))</f>
        <v>0</v>
      </c>
      <c r="UN56" s="20" t="n">
        <f aca="false">IF(AMA55&lt;=0,0,IF(H_Direct=1,IF(DA56&lt;=0,RA56,IF(RA56&lt;=(XZ56+ABM56)/DA56,RA56,(RA56-G56*(XZ56+ABM56))/(1-G56*DA56))),RA56/(1-MAX(0,DA56)*H_Exit)))</f>
        <v>0</v>
      </c>
      <c r="UO56" s="20" t="n">
        <f aca="false">IF(AMB55&lt;=0,0,IF(H_Direct=1,IF(DB56&lt;=0,RB56,IF(RB56&lt;=(YA56+ABN56)/DB56,RB56,(RB56-G56*(YA56+ABN56))/(1-G56*DB56))),RB56/(1-MAX(0,DB56)*H_Exit)))</f>
        <v>0</v>
      </c>
      <c r="UP56" s="20" t="n">
        <f aca="false">IF(AMC55&lt;=0,0,IF(H_Direct=1,IF(DC56&lt;=0,RC56,IF(RC56&lt;=(YB56+ABO56)/DC56,RC56,(RC56-G56*(YB56+ABO56))/(1-G56*DC56))),RC56/(1-MAX(0,DC56)*H_Exit)))</f>
        <v>0</v>
      </c>
      <c r="UQ56" s="20" t="n">
        <f aca="false">IF(AMD55&lt;=0,0,IF(H_Direct=1,IF(DD56&lt;=0,RD56,IF(RD56&lt;=(YC56+ABP56)/DD56,RD56,(RD56-G56*(YC56+ABP56))/(1-G56*DD56))),RD56/(1-MAX(0,DD56)*H_Exit)))</f>
        <v>0</v>
      </c>
      <c r="UR56" s="20" t="n">
        <f aca="false">IF(AME55&lt;=0,0,IF(H_Direct=1,IF(DE56&lt;=0,RE56,IF(RE56&lt;=(YD56+ABQ56)/DE56,RE56,(RE56-G56*(YD56+ABQ56))/(1-G56*DE56))),RE56/(1-MAX(0,DE56)*H_Exit)))</f>
        <v>0</v>
      </c>
      <c r="US56" s="20" t="n">
        <f aca="false">IF(AMF55&lt;=0,0,IF(H_Direct=1,IF(DF56&lt;=0,RF56,IF(RF56&lt;=(YE56+ABR56)/DF56,RF56,(RF56-G56*(YE56+ABR56))/(1-G56*DF56))),RF56/(1-MAX(0,DF56)*H_Exit)))</f>
        <v>0</v>
      </c>
      <c r="UT56" s="20" t="n">
        <f aca="false">IF(AMG55&lt;=0,0,IF(H_Direct=1,IF(DG56&lt;=0,RG56,IF(RG56&lt;=(YF56+ABS56)/DG56,RG56,(RG56-G56*(YF56+ABS56))/(1-G56*DG56))),RG56/(1-MAX(0,DG56)*H_Exit)))</f>
        <v>0</v>
      </c>
      <c r="UU56" s="20" t="n">
        <f aca="false">IF(AMH55&lt;=0,0,IF(H_Direct=1,IF(DH56&lt;=0,RH56,IF(RH56&lt;=(YG56+ABT56)/DH56,RH56,(RH56-G56*(YG56+ABT56))/(1-G56*DH56))),RH56/(1-MAX(0,DH56)*H_Exit)))</f>
        <v>0</v>
      </c>
      <c r="UV56" s="20" t="n">
        <f aca="false">IF(AMI55&lt;=0,0,IF(H_Direct=1,IF(DI56&lt;=0,RI56,IF(RI56&lt;=(YH56+ABU56)/DI56,RI56,(RI56-G56*(YH56+ABU56))/(1-G56*DI56))),RI56/(1-MAX(0,DI56)*H_Exit)))</f>
        <v>0</v>
      </c>
      <c r="UW56" s="20" t="n">
        <f aca="false">IF(AMJ55&lt;=0,0,IF(H_Direct=1,IF(DJ56&lt;=0,RJ56,IF(RJ56&lt;=(YI56+ABV56)/DJ56,RJ56,(RJ56-G56*(YI56+ABV56))/(1-G56*DJ56))),RJ56/(1-MAX(0,DJ56)*H_Exit)))</f>
        <v>0</v>
      </c>
      <c r="UX56" s="20" t="n">
        <f aca="false">IF(AMK55&lt;=0,0,IF(H_Direct=1,IF(DK56&lt;=0,RK56,IF(RK56&lt;=(YJ56+ABW56)/DK56,RK56,(RK56-G56*(YJ56+ABW56))/(1-G56*DK56))),RK56/(1-MAX(0,DK56)*H_Exit)))</f>
        <v>0</v>
      </c>
      <c r="UY56" s="20" t="n">
        <f aca="false">IF(AML55&lt;=0,0,IF(H_Direct=1,IF(DL56&lt;=0,RL56,IF(RL56&lt;=(YK56+ABX56)/DL56,RL56,(RL56-G56*(YK56+ABX56))/(1-G56*DL56))),RL56/(1-MAX(0,DL56)*H_Exit)))</f>
        <v>0</v>
      </c>
      <c r="UZ56" s="20" t="n">
        <f aca="false">IF(AMM55&lt;=0,0,IF(H_Direct=1,IF(DM56&lt;=0,RM56,IF(RM56&lt;=(YL56+ABY56)/DM56,RM56,(RM56-G56*(YL56+ABY56))/(1-G56*DM56))),RM56/(1-MAX(0,DM56)*H_Exit)))</f>
        <v>0</v>
      </c>
      <c r="VA56" s="20" t="n">
        <f aca="false">IF(AMN55&lt;=0,0,IF(H_Direct=1,IF(DN56&lt;=0,RN56,IF(RN56&lt;=(YM56+ABZ56)/DN56,RN56,(RN56-G56*(YM56+ABZ56))/(1-G56*DN56))),RN56/(1-MAX(0,DN56)*H_Exit)))</f>
        <v>0</v>
      </c>
      <c r="VB56" s="20" t="n">
        <f aca="false">IF((P56+S56)&lt;=0,0,IF(H_Direct=1,IF(DO56&lt;=0,RO56,IF(RO56&lt;=(YN56+ACA56)/DO56,RO56,(RO56-G56*(YN56+ACA56))/(1-G56*DO56))),RO56/(1-MAX(0,DO56)*H_Exit)))</f>
        <v>0</v>
      </c>
      <c r="VC56" s="20" t="n">
        <v>0</v>
      </c>
      <c r="VD56" s="20" t="n">
        <v>0</v>
      </c>
      <c r="VE56" s="20" t="n">
        <v>0</v>
      </c>
      <c r="VF56" s="20" t="n">
        <v>0</v>
      </c>
      <c r="VG56" s="20" t="n">
        <v>0</v>
      </c>
      <c r="VH56" s="20" t="n">
        <v>0</v>
      </c>
      <c r="VI56" s="20" t="n">
        <v>0</v>
      </c>
      <c r="VJ56" s="20" t="n">
        <v>0</v>
      </c>
      <c r="VK56" s="20" t="n">
        <v>0</v>
      </c>
      <c r="VL56" s="20" t="n">
        <v>0</v>
      </c>
      <c r="VM56" s="20" t="n">
        <v>0</v>
      </c>
      <c r="VN56" s="20" t="n">
        <v>0</v>
      </c>
      <c r="VO56" s="20" t="n">
        <v>0</v>
      </c>
      <c r="VP56" s="20" t="n">
        <v>0</v>
      </c>
      <c r="VQ56" s="20" t="n">
        <v>0</v>
      </c>
      <c r="VR56" s="20" t="n">
        <v>0</v>
      </c>
      <c r="VS56" s="20" t="n">
        <v>0</v>
      </c>
      <c r="VT56" s="20" t="n">
        <v>0</v>
      </c>
      <c r="VU56" s="20" t="n">
        <v>0</v>
      </c>
      <c r="VV56" s="20" t="n">
        <v>0</v>
      </c>
      <c r="VW56" s="20" t="n">
        <v>0</v>
      </c>
      <c r="VX56" s="20" t="n">
        <v>0</v>
      </c>
      <c r="VY56" s="20" t="n">
        <v>0</v>
      </c>
      <c r="VZ56" s="20" t="n">
        <v>0</v>
      </c>
      <c r="WA56" s="20" t="n">
        <v>0</v>
      </c>
      <c r="WB56" s="20" t="n">
        <v>0</v>
      </c>
      <c r="WC56" s="20" t="n">
        <v>0</v>
      </c>
      <c r="WD56" s="20" t="n">
        <v>0</v>
      </c>
      <c r="WE56" s="20" t="n">
        <v>0</v>
      </c>
      <c r="WF56" s="20" t="n">
        <v>0</v>
      </c>
      <c r="WG56" s="20" t="n">
        <v>0</v>
      </c>
      <c r="WH56" s="20" t="n">
        <v>0</v>
      </c>
      <c r="WI56" s="20" t="n">
        <v>0</v>
      </c>
      <c r="WJ56" s="20" t="n">
        <v>0</v>
      </c>
      <c r="WK56" s="20" t="n">
        <v>0</v>
      </c>
      <c r="WL56" s="20" t="n">
        <v>0</v>
      </c>
      <c r="WM56" s="20" t="n">
        <v>0</v>
      </c>
      <c r="WN56" s="20" t="n">
        <v>0</v>
      </c>
      <c r="WO56" s="20" t="n">
        <v>0</v>
      </c>
      <c r="WP56" s="20" t="n">
        <v>0</v>
      </c>
      <c r="WQ56" s="20" t="n">
        <v>0</v>
      </c>
      <c r="WR56" s="20" t="n">
        <f aca="false">IF(AND(H_Direct=1,BR56&gt;0),MAX(0,H56-(MIN(BR56*TE56,(H56+I56))-MIN(MIN(BR56*TE56,(H56+I56)),I56))),H56)</f>
        <v>1270</v>
      </c>
      <c r="WS56" s="20" t="n">
        <f aca="false">IF(AND(H_Direct=1,BS56&gt;0),MAX(0,WR56-(MIN(BS56*TF56,(WR56+AAE56))-MIN(MIN(BS56*TF56,(WR56+AAE56)),AAE56))),WR56)</f>
        <v>1270</v>
      </c>
      <c r="WT56" s="20" t="n">
        <f aca="false">IF(AND(H_Direct=1,BT56&gt;0),MAX(0,WS56-(MIN(BT56*TG56,(WS56+AAF56))-MIN(MIN(BT56*TG56,(WS56+AAF56)),AAF56))),WS56)</f>
        <v>1270</v>
      </c>
      <c r="WU56" s="20" t="n">
        <f aca="false">IF(AND(H_Direct=1,BU56&gt;0),MAX(0,WT56-(MIN(BU56*TH56,(WT56+AAG56))-MIN(MIN(BU56*TH56,(WT56+AAG56)),AAG56))),WT56)</f>
        <v>1270</v>
      </c>
      <c r="WV56" s="20" t="n">
        <f aca="false">IF(AND(H_Direct=1,BV56&gt;0),MAX(0,WU56-(MIN(BV56*TI56,(WU56+AAH56))-MIN(MIN(BV56*TI56,(WU56+AAH56)),AAH56))),WU56)</f>
        <v>1270</v>
      </c>
      <c r="WW56" s="20" t="n">
        <f aca="false">IF(AND(H_Direct=1,BW56&gt;0),MAX(0,WV56-(MIN(BW56*TJ56,(WV56+AAI56))-MIN(MIN(BW56*TJ56,(WV56+AAI56)),AAI56))),WV56)</f>
        <v>1270</v>
      </c>
      <c r="WX56" s="20" t="n">
        <f aca="false">IF(AND(H_Direct=1,BX56&gt;0),MAX(0,WW56-(MIN(BX56*TK56,(WW56+AAJ56))-MIN(MIN(BX56*TK56,(WW56+AAJ56)),AAJ56))),WW56)</f>
        <v>1270</v>
      </c>
      <c r="WY56" s="20" t="n">
        <f aca="false">IF(AND(H_Direct=1,BY56&gt;0),MAX(0,WX56-(MIN(BY56*TL56,(WX56+AAK56))-MIN(MIN(BY56*TL56,(WX56+AAK56)),AAK56))),WX56)</f>
        <v>1270</v>
      </c>
      <c r="WZ56" s="20" t="n">
        <f aca="false">IF(AND(H_Direct=1,BZ56&gt;0),MAX(0,WY56-(MIN(BZ56*TM56,(WY56+AAL56))-MIN(MIN(BZ56*TM56,(WY56+AAL56)),AAL56))),WY56)</f>
        <v>1270</v>
      </c>
      <c r="XA56" s="20" t="n">
        <f aca="false">IF(AND(H_Direct=1,CA56&gt;0),MAX(0,WZ56-(MIN(CA56*TN56,(WZ56+AAM56))-MIN(MIN(CA56*TN56,(WZ56+AAM56)),AAM56))),WZ56)</f>
        <v>1270</v>
      </c>
      <c r="XB56" s="20" t="n">
        <f aca="false">IF(AND(H_Direct=1,CB56&gt;0),MAX(0,XA56-(MIN(CB56*TO56,(XA56+AAN56))-MIN(MIN(CB56*TO56,(XA56+AAN56)),AAN56))),XA56)</f>
        <v>1270</v>
      </c>
      <c r="XC56" s="20" t="n">
        <f aca="false">IF(AND(H_Direct=1,CC56&gt;0),MAX(0,XB56-(MIN(CC56*TP56,(XB56+AAO56))-MIN(MIN(CC56*TP56,(XB56+AAO56)),AAO56))),XB56)</f>
        <v>1270</v>
      </c>
      <c r="XD56" s="20" t="n">
        <f aca="false">IF(AND(H_Direct=1,CD56&gt;0),MAX(0,XC56-(MIN(CD56*TQ56,(XC56+AAP56))-MIN(MIN(CD56*TQ56,(XC56+AAP56)),AAP56))),XC56)</f>
        <v>1270</v>
      </c>
      <c r="XE56" s="20" t="n">
        <f aca="false">IF(AND(H_Direct=1,CE56&gt;0),MAX(0,XD56-(MIN(CE56*TR56,(XD56+AAQ56))-MIN(MIN(CE56*TR56,(XD56+AAQ56)),AAQ56))),XD56)</f>
        <v>1270</v>
      </c>
      <c r="XF56" s="20" t="n">
        <f aca="false">IF(AND(H_Direct=1,CF56&gt;0),MAX(0,XE56-(MIN(CF56*TS56,(XE56+AAR56))-MIN(MIN(CF56*TS56,(XE56+AAR56)),AAR56))),XE56)</f>
        <v>1270</v>
      </c>
      <c r="XG56" s="20" t="n">
        <f aca="false">IF(AND(H_Direct=1,CG56&gt;0),MAX(0,XF56-(MIN(CG56*TT56,(XF56+AAS56))-MIN(MIN(CG56*TT56,(XF56+AAS56)),AAS56))),XF56)</f>
        <v>1270</v>
      </c>
      <c r="XH56" s="20" t="n">
        <f aca="false">IF(AND(H_Direct=1,CH56&gt;0),MAX(0,XG56-(MIN(CH56*TU56,(XG56+AAT56))-MIN(MIN(CH56*TU56,(XG56+AAT56)),AAT56))),XG56)</f>
        <v>1270</v>
      </c>
      <c r="XI56" s="20" t="n">
        <f aca="false">IF(AND(H_Direct=1,CI56&gt;0),MAX(0,XH56-(MIN(CI56*TV56,(XH56+AAU56))-MIN(MIN(CI56*TV56,(XH56+AAU56)),AAU56))),XH56)</f>
        <v>1270</v>
      </c>
      <c r="XJ56" s="20" t="n">
        <f aca="false">IF(AND(H_Direct=1,CJ56&gt;0),MAX(0,XI56-(MIN(CJ56*TW56,(XI56+AAV56))-MIN(MIN(CJ56*TW56,(XI56+AAV56)),AAV56))),XI56)</f>
        <v>1270</v>
      </c>
      <c r="XK56" s="20" t="n">
        <f aca="false">IF(AND(H_Direct=1,CK56&gt;0),MAX(0,XJ56-(MIN(CK56*TX56,(XJ56+AAW56))-MIN(MIN(CK56*TX56,(XJ56+AAW56)),AAW56))),XJ56)</f>
        <v>1270</v>
      </c>
      <c r="XL56" s="20" t="n">
        <f aca="false">IF(AND(H_Direct=1,CL56&gt;0),MAX(0,XK56-(MIN(CL56*TY56,(XK56+AAX56))-MIN(MIN(CL56*TY56,(XK56+AAX56)),AAX56))),XK56)</f>
        <v>1270</v>
      </c>
      <c r="XM56" s="20" t="n">
        <f aca="false">IF(AND(H_Direct=1,CM56&gt;0),MAX(0,XL56-(MIN(CM56*TZ56,(XL56+AAY56))-MIN(MIN(CM56*TZ56,(XL56+AAY56)),AAY56))),XL56)</f>
        <v>1270</v>
      </c>
      <c r="XN56" s="20" t="n">
        <f aca="false">IF(AND(H_Direct=1,CN56&gt;0),MAX(0,XM56-(MIN(CN56*UA56,(XM56+AAZ56))-MIN(MIN(CN56*UA56,(XM56+AAZ56)),AAZ56))),XM56)</f>
        <v>1270</v>
      </c>
      <c r="XO56" s="20" t="n">
        <f aca="false">IF(AND(H_Direct=1,CO56&gt;0),MAX(0,XN56-(MIN(CO56*UB56,(XN56+ABA56))-MIN(MIN(CO56*UB56,(XN56+ABA56)),ABA56))),XN56)</f>
        <v>1270</v>
      </c>
      <c r="XP56" s="20" t="n">
        <f aca="false">IF(AND(H_Direct=1,CP56&gt;0),MAX(0,XO56-(MIN(CP56*UC56,(XO56+ABB56))-MIN(MIN(CP56*UC56,(XO56+ABB56)),ABB56))),XO56)</f>
        <v>1270</v>
      </c>
      <c r="XQ56" s="20" t="n">
        <f aca="false">IF(AND(H_Direct=1,CQ56&gt;0),MAX(0,XP56-(MIN(CQ56*UD56,(XP56+ABC56))-MIN(MIN(CQ56*UD56,(XP56+ABC56)),ABC56))),XP56)</f>
        <v>1270</v>
      </c>
      <c r="XR56" s="20" t="n">
        <f aca="false">IF(AND(H_Direct=1,CR56&gt;0),MAX(0,XQ56-(MIN(CR56*UE56,(XQ56+ABD56))-MIN(MIN(CR56*UE56,(XQ56+ABD56)),ABD56))),XQ56)</f>
        <v>1270</v>
      </c>
      <c r="XS56" s="20" t="n">
        <f aca="false">IF(AND(H_Direct=1,CS56&gt;0),MAX(0,XR56-(MIN(CS56*UF56,(XR56+ABE56))-MIN(MIN(CS56*UF56,(XR56+ABE56)),ABE56))),XR56)</f>
        <v>1270</v>
      </c>
      <c r="XT56" s="20" t="n">
        <f aca="false">IF(AND(H_Direct=1,CT56&gt;0),MAX(0,XS56-(MIN(CT56*UG56,(XS56+ABF56))-MIN(MIN(CT56*UG56,(XS56+ABF56)),ABF56))),XS56)</f>
        <v>1270</v>
      </c>
      <c r="XU56" s="20" t="n">
        <f aca="false">IF(AND(H_Direct=1,CU56&gt;0),MAX(0,XT56-(MIN(CU56*UH56,(XT56+ABG56))-MIN(MIN(CU56*UH56,(XT56+ABG56)),ABG56))),XT56)</f>
        <v>1270</v>
      </c>
      <c r="XV56" s="20" t="n">
        <f aca="false">IF(AND(H_Direct=1,CV56&gt;0),MAX(0,XU56-(MIN(CV56*UI56,(XU56+ABH56))-MIN(MIN(CV56*UI56,(XU56+ABH56)),ABH56))),XU56)</f>
        <v>1270</v>
      </c>
      <c r="XW56" s="20" t="n">
        <f aca="false">IF(AND(H_Direct=1,CW56&gt;0),MAX(0,XV56-(MIN(CW56*UJ56,(XV56+ABI56))-MIN(MIN(CW56*UJ56,(XV56+ABI56)),ABI56))),XV56)</f>
        <v>1270</v>
      </c>
      <c r="XX56" s="20" t="n">
        <f aca="false">IF(AND(H_Direct=1,CX56&gt;0),MAX(0,XW56-(MIN(CX56*UK56,(XW56+ABJ56))-MIN(MIN(CX56*UK56,(XW56+ABJ56)),ABJ56))),XW56)</f>
        <v>1270</v>
      </c>
      <c r="XY56" s="20" t="n">
        <f aca="false">IF(AND(H_Direct=1,CY56&gt;0),MAX(0,XX56-(MIN(CY56*UL56,(XX56+ABK56))-MIN(MIN(CY56*UL56,(XX56+ABK56)),ABK56))),XX56)</f>
        <v>1270</v>
      </c>
      <c r="XZ56" s="20" t="n">
        <f aca="false">IF(AND(H_Direct=1,CZ56&gt;0),MAX(0,XY56-(MIN(CZ56*UM56,(XY56+ABL56))-MIN(MIN(CZ56*UM56,(XY56+ABL56)),ABL56))),XY56)</f>
        <v>1270</v>
      </c>
      <c r="YA56" s="20" t="n">
        <f aca="false">IF(AND(H_Direct=1,DA56&gt;0),MAX(0,XZ56-(MIN(DA56*UN56,(XZ56+ABM56))-MIN(MIN(DA56*UN56,(XZ56+ABM56)),ABM56))),XZ56)</f>
        <v>1270</v>
      </c>
      <c r="YB56" s="20" t="n">
        <f aca="false">IF(AND(H_Direct=1,DB56&gt;0),MAX(0,YA56-(MIN(DB56*UO56,(YA56+ABN56))-MIN(MIN(DB56*UO56,(YA56+ABN56)),ABN56))),YA56)</f>
        <v>1270</v>
      </c>
      <c r="YC56" s="20" t="n">
        <f aca="false">IF(AND(H_Direct=1,DC56&gt;0),MAX(0,YB56-(MIN(DC56*UP56,(YB56+ABO56))-MIN(MIN(DC56*UP56,(YB56+ABO56)),ABO56))),YB56)</f>
        <v>1270</v>
      </c>
      <c r="YD56" s="20" t="n">
        <f aca="false">IF(AND(H_Direct=1,DD56&gt;0),MAX(0,YC56-(MIN(DD56*UQ56,(YC56+ABP56))-MIN(MIN(DD56*UQ56,(YC56+ABP56)),ABP56))),YC56)</f>
        <v>1270</v>
      </c>
      <c r="YE56" s="20" t="n">
        <f aca="false">IF(AND(H_Direct=1,DE56&gt;0),MAX(0,YD56-(MIN(DE56*UR56,(YD56+ABQ56))-MIN(MIN(DE56*UR56,(YD56+ABQ56)),ABQ56))),YD56)</f>
        <v>1270</v>
      </c>
      <c r="YF56" s="20" t="n">
        <f aca="false">IF(AND(H_Direct=1,DF56&gt;0),MAX(0,YE56-(MIN(DF56*US56,(YE56+ABR56))-MIN(MIN(DF56*US56,(YE56+ABR56)),ABR56))),YE56)</f>
        <v>1270</v>
      </c>
      <c r="YG56" s="20" t="n">
        <f aca="false">IF(AND(H_Direct=1,DG56&gt;0),MAX(0,YF56-(MIN(DG56*UT56,(YF56+ABS56))-MIN(MIN(DG56*UT56,(YF56+ABS56)),ABS56))),YF56)</f>
        <v>1270</v>
      </c>
      <c r="YH56" s="20" t="n">
        <f aca="false">IF(AND(H_Direct=1,DH56&gt;0),MAX(0,YG56-(MIN(DH56*UU56,(YG56+ABT56))-MIN(MIN(DH56*UU56,(YG56+ABT56)),ABT56))),YG56)</f>
        <v>1270</v>
      </c>
      <c r="YI56" s="20" t="n">
        <f aca="false">IF(AND(H_Direct=1,DI56&gt;0),MAX(0,YH56-(MIN(DI56*UV56,(YH56+ABU56))-MIN(MIN(DI56*UV56,(YH56+ABU56)),ABU56))),YH56)</f>
        <v>1270</v>
      </c>
      <c r="YJ56" s="20" t="n">
        <f aca="false">IF(AND(H_Direct=1,DJ56&gt;0),MAX(0,YI56-(MIN(DJ56*UW56,(YI56+ABV56))-MIN(MIN(DJ56*UW56,(YI56+ABV56)),ABV56))),YI56)</f>
        <v>1270</v>
      </c>
      <c r="YK56" s="20" t="n">
        <f aca="false">IF(AND(H_Direct=1,DK56&gt;0),MAX(0,YJ56-(MIN(DK56*UX56,(YJ56+ABW56))-MIN(MIN(DK56*UX56,(YJ56+ABW56)),ABW56))),YJ56)</f>
        <v>1270</v>
      </c>
      <c r="YL56" s="20" t="n">
        <f aca="false">IF(AND(H_Direct=1,DL56&gt;0),MAX(0,YK56-(MIN(DL56*UY56,(YK56+ABX56))-MIN(MIN(DL56*UY56,(YK56+ABX56)),ABX56))),YK56)</f>
        <v>1270</v>
      </c>
      <c r="YM56" s="20" t="n">
        <f aca="false">IF(AND(H_Direct=1,DM56&gt;0),MAX(0,YL56-(MIN(DM56*UZ56,(YL56+ABY56))-MIN(MIN(DM56*UZ56,(YL56+ABY56)),ABY56))),YL56)</f>
        <v>1270</v>
      </c>
      <c r="YN56" s="20" t="n">
        <f aca="false">IF(AND(H_Direct=1,DN56&gt;0),MAX(0,YM56-(MIN(DN56*VA56,(YM56+ABZ56))-MIN(MIN(DN56*VA56,(YM56+ABZ56)),ABZ56))),YM56)</f>
        <v>1270</v>
      </c>
      <c r="YO56" s="20" t="n">
        <f aca="false">IF(AND(H_Direct=1,DO56&gt;0),MAX(0,YN56-(MIN(DO56*VB56,(YN56+ACA56))-MIN(MIN(DO56*VB56,(YN56+ACA56)),ACA56))),YN56)</f>
        <v>1270</v>
      </c>
      <c r="YP56" s="20" t="n">
        <f aca="false">YO56</f>
        <v>1270</v>
      </c>
      <c r="YQ56" s="20" t="n">
        <f aca="false">YP56</f>
        <v>1270</v>
      </c>
      <c r="YR56" s="20" t="n">
        <f aca="false">YQ56</f>
        <v>1270</v>
      </c>
      <c r="YS56" s="20" t="n">
        <f aca="false">YR56</f>
        <v>1270</v>
      </c>
      <c r="YT56" s="20" t="n">
        <f aca="false">YS56</f>
        <v>1270</v>
      </c>
      <c r="YU56" s="20" t="n">
        <f aca="false">YT56</f>
        <v>1270</v>
      </c>
      <c r="YV56" s="20" t="n">
        <f aca="false">YU56</f>
        <v>1270</v>
      </c>
      <c r="YW56" s="20" t="n">
        <f aca="false">YV56</f>
        <v>1270</v>
      </c>
      <c r="YX56" s="20" t="n">
        <f aca="false">YW56</f>
        <v>1270</v>
      </c>
      <c r="YY56" s="20" t="n">
        <f aca="false">YX56</f>
        <v>1270</v>
      </c>
      <c r="YZ56" s="20" t="n">
        <f aca="false">YY56</f>
        <v>1270</v>
      </c>
      <c r="ZA56" s="20" t="n">
        <f aca="false">YZ56</f>
        <v>1270</v>
      </c>
      <c r="ZB56" s="20" t="n">
        <f aca="false">ZA56</f>
        <v>1270</v>
      </c>
      <c r="ZC56" s="20" t="n">
        <f aca="false">ZB56</f>
        <v>1270</v>
      </c>
      <c r="ZD56" s="20" t="n">
        <f aca="false">ZC56</f>
        <v>1270</v>
      </c>
      <c r="ZE56" s="20" t="n">
        <f aca="false">ZD56</f>
        <v>1270</v>
      </c>
      <c r="ZF56" s="20" t="n">
        <f aca="false">ZE56</f>
        <v>1270</v>
      </c>
      <c r="ZG56" s="20" t="n">
        <f aca="false">ZF56</f>
        <v>1270</v>
      </c>
      <c r="ZH56" s="20" t="n">
        <f aca="false">ZG56</f>
        <v>1270</v>
      </c>
      <c r="ZI56" s="20" t="n">
        <f aca="false">ZH56</f>
        <v>1270</v>
      </c>
      <c r="ZJ56" s="20" t="n">
        <f aca="false">ZI56</f>
        <v>1270</v>
      </c>
      <c r="ZK56" s="20" t="n">
        <f aca="false">ZJ56</f>
        <v>1270</v>
      </c>
      <c r="ZL56" s="20" t="n">
        <f aca="false">ZK56</f>
        <v>1270</v>
      </c>
      <c r="ZM56" s="20" t="n">
        <f aca="false">ZL56</f>
        <v>1270</v>
      </c>
      <c r="ZN56" s="20" t="n">
        <f aca="false">ZM56</f>
        <v>1270</v>
      </c>
      <c r="ZO56" s="20" t="n">
        <f aca="false">ZN56</f>
        <v>1270</v>
      </c>
      <c r="ZP56" s="20" t="n">
        <f aca="false">ZO56</f>
        <v>1270</v>
      </c>
      <c r="ZQ56" s="20" t="n">
        <f aca="false">ZP56</f>
        <v>1270</v>
      </c>
      <c r="ZR56" s="20" t="n">
        <f aca="false">ZQ56</f>
        <v>1270</v>
      </c>
      <c r="ZS56" s="20" t="n">
        <f aca="false">ZR56</f>
        <v>1270</v>
      </c>
      <c r="ZT56" s="20" t="n">
        <f aca="false">ZS56</f>
        <v>1270</v>
      </c>
      <c r="ZU56" s="20" t="n">
        <f aca="false">ZT56</f>
        <v>1270</v>
      </c>
      <c r="ZV56" s="20" t="n">
        <f aca="false">ZU56</f>
        <v>1270</v>
      </c>
      <c r="ZW56" s="20" t="n">
        <f aca="false">ZV56</f>
        <v>1270</v>
      </c>
      <c r="ZX56" s="20" t="n">
        <f aca="false">ZW56</f>
        <v>1270</v>
      </c>
      <c r="ZY56" s="20" t="n">
        <f aca="false">ZX56</f>
        <v>1270</v>
      </c>
      <c r="ZZ56" s="20" t="n">
        <f aca="false">ZY56</f>
        <v>1270</v>
      </c>
      <c r="AAA56" s="20" t="n">
        <f aca="false">ZZ56</f>
        <v>1270</v>
      </c>
      <c r="AAB56" s="20" t="n">
        <f aca="false">AAA56</f>
        <v>1270</v>
      </c>
      <c r="AAC56" s="20" t="n">
        <f aca="false">AAB56</f>
        <v>1270</v>
      </c>
      <c r="AAD56" s="20" t="n">
        <f aca="false">AAC56</f>
        <v>1270</v>
      </c>
      <c r="AAE56" s="20" t="n">
        <f aca="false">IF(H_Direct=1,IF(BR56&lt;=0,I56-BR56*TE56,I56-MIN(MIN(BR56*TE56,(H56+I56)),I56)),I56)</f>
        <v>0</v>
      </c>
      <c r="AAF56" s="20" t="n">
        <f aca="false">IF(H_Direct=1,IF(BS56&lt;=0,AAE56-BS56*TF56,AAE56-MIN(MIN(BS56*TF56,(WR56+AAE56)),AAE56)),AAE56)</f>
        <v>0</v>
      </c>
      <c r="AAG56" s="20" t="n">
        <f aca="false">IF(H_Direct=1,IF(BT56&lt;=0,AAF56-BT56*TG56,AAF56-MIN(MIN(BT56*TG56,(WS56+AAF56)),AAF56)),AAF56)</f>
        <v>0</v>
      </c>
      <c r="AAH56" s="20" t="n">
        <f aca="false">IF(H_Direct=1,IF(BU56&lt;=0,AAG56-BU56*TH56,AAG56-MIN(MIN(BU56*TH56,(WT56+AAG56)),AAG56)),AAG56)</f>
        <v>0</v>
      </c>
      <c r="AAI56" s="20" t="n">
        <f aca="false">IF(H_Direct=1,IF(BV56&lt;=0,AAH56-BV56*TI56,AAH56-MIN(MIN(BV56*TI56,(WU56+AAH56)),AAH56)),AAH56)</f>
        <v>0</v>
      </c>
      <c r="AAJ56" s="20" t="n">
        <f aca="false">IF(H_Direct=1,IF(BW56&lt;=0,AAI56-BW56*TJ56,AAI56-MIN(MIN(BW56*TJ56,(WV56+AAI56)),AAI56)),AAI56)</f>
        <v>0</v>
      </c>
      <c r="AAK56" s="20" t="n">
        <f aca="false">IF(H_Direct=1,IF(BX56&lt;=0,AAJ56-BX56*TK56,AAJ56-MIN(MIN(BX56*TK56,(WW56+AAJ56)),AAJ56)),AAJ56)</f>
        <v>0</v>
      </c>
      <c r="AAL56" s="20" t="n">
        <f aca="false">IF(H_Direct=1,IF(BY56&lt;=0,AAK56-BY56*TL56,AAK56-MIN(MIN(BY56*TL56,(WX56+AAK56)),AAK56)),AAK56)</f>
        <v>0</v>
      </c>
      <c r="AAM56" s="20" t="n">
        <f aca="false">IF(H_Direct=1,IF(BZ56&lt;=0,AAL56-BZ56*TM56,AAL56-MIN(MIN(BZ56*TM56,(WY56+AAL56)),AAL56)),AAL56)</f>
        <v>0</v>
      </c>
      <c r="AAN56" s="20" t="n">
        <f aca="false">IF(H_Direct=1,IF(CA56&lt;=0,AAM56-CA56*TN56,AAM56-MIN(MIN(CA56*TN56,(WZ56+AAM56)),AAM56)),AAM56)</f>
        <v>0</v>
      </c>
      <c r="AAO56" s="20" t="n">
        <f aca="false">IF(H_Direct=1,IF(CB56&lt;=0,AAN56-CB56*TO56,AAN56-MIN(MIN(CB56*TO56,(XA56+AAN56)),AAN56)),AAN56)</f>
        <v>0</v>
      </c>
      <c r="AAP56" s="20" t="n">
        <f aca="false">IF(H_Direct=1,IF(CC56&lt;=0,AAO56-CC56*TP56,AAO56-MIN(MIN(CC56*TP56,(XB56+AAO56)),AAO56)),AAO56)</f>
        <v>0</v>
      </c>
      <c r="AAQ56" s="20" t="n">
        <f aca="false">IF(H_Direct=1,IF(CD56&lt;=0,AAP56-CD56*TQ56,AAP56-MIN(MIN(CD56*TQ56,(XC56+AAP56)),AAP56)),AAP56)</f>
        <v>0</v>
      </c>
      <c r="AAR56" s="20" t="n">
        <f aca="false">IF(H_Direct=1,IF(CE56&lt;=0,AAQ56-CE56*TR56,AAQ56-MIN(MIN(CE56*TR56,(XD56+AAQ56)),AAQ56)),AAQ56)</f>
        <v>0</v>
      </c>
      <c r="AAS56" s="20" t="n">
        <f aca="false">IF(H_Direct=1,IF(CF56&lt;=0,AAR56-CF56*TS56,AAR56-MIN(MIN(CF56*TS56,(XE56+AAR56)),AAR56)),AAR56)</f>
        <v>0</v>
      </c>
      <c r="AAT56" s="20" t="n">
        <f aca="false">IF(H_Direct=1,IF(CG56&lt;=0,AAS56-CG56*TT56,AAS56-MIN(MIN(CG56*TT56,(XF56+AAS56)),AAS56)),AAS56)</f>
        <v>0</v>
      </c>
      <c r="AAU56" s="20" t="n">
        <f aca="false">IF(H_Direct=1,IF(CH56&lt;=0,AAT56-CH56*TU56,AAT56-MIN(MIN(CH56*TU56,(XG56+AAT56)),AAT56)),AAT56)</f>
        <v>0</v>
      </c>
      <c r="AAV56" s="20" t="n">
        <f aca="false">IF(H_Direct=1,IF(CI56&lt;=0,AAU56-CI56*TV56,AAU56-MIN(MIN(CI56*TV56,(XH56+AAU56)),AAU56)),AAU56)</f>
        <v>0</v>
      </c>
      <c r="AAW56" s="20" t="n">
        <f aca="false">IF(H_Direct=1,IF(CJ56&lt;=0,AAV56-CJ56*TW56,AAV56-MIN(MIN(CJ56*TW56,(XI56+AAV56)),AAV56)),AAV56)</f>
        <v>0</v>
      </c>
      <c r="AAX56" s="20" t="n">
        <f aca="false">IF(H_Direct=1,IF(CK56&lt;=0,AAW56-CK56*TX56,AAW56-MIN(MIN(CK56*TX56,(XJ56+AAW56)),AAW56)),AAW56)</f>
        <v>0</v>
      </c>
      <c r="AAY56" s="20" t="n">
        <f aca="false">IF(H_Direct=1,IF(CL56&lt;=0,AAX56-CL56*TY56,AAX56-MIN(MIN(CL56*TY56,(XK56+AAX56)),AAX56)),AAX56)</f>
        <v>0</v>
      </c>
      <c r="AAZ56" s="20" t="n">
        <f aca="false">IF(H_Direct=1,IF(CM56&lt;=0,AAY56-CM56*TZ56,AAY56-MIN(MIN(CM56*TZ56,(XL56+AAY56)),AAY56)),AAY56)</f>
        <v>0</v>
      </c>
      <c r="ABA56" s="20" t="n">
        <f aca="false">IF(H_Direct=1,IF(CN56&lt;=0,AAZ56-CN56*UA56,AAZ56-MIN(MIN(CN56*UA56,(XM56+AAZ56)),AAZ56)),AAZ56)</f>
        <v>0</v>
      </c>
      <c r="ABB56" s="20" t="n">
        <f aca="false">IF(H_Direct=1,IF(CO56&lt;=0,ABA56-CO56*UB56,ABA56-MIN(MIN(CO56*UB56,(XN56+ABA56)),ABA56)),ABA56)</f>
        <v>0</v>
      </c>
      <c r="ABC56" s="20" t="n">
        <f aca="false">IF(H_Direct=1,IF(CP56&lt;=0,ABB56-CP56*UC56,ABB56-MIN(MIN(CP56*UC56,(XO56+ABB56)),ABB56)),ABB56)</f>
        <v>0</v>
      </c>
      <c r="ABD56" s="20" t="n">
        <f aca="false">IF(H_Direct=1,IF(CQ56&lt;=0,ABC56-CQ56*UD56,ABC56-MIN(MIN(CQ56*UD56,(XP56+ABC56)),ABC56)),ABC56)</f>
        <v>0</v>
      </c>
      <c r="ABE56" s="20" t="n">
        <f aca="false">IF(H_Direct=1,IF(CR56&lt;=0,ABD56-CR56*UE56,ABD56-MIN(MIN(CR56*UE56,(XQ56+ABD56)),ABD56)),ABD56)</f>
        <v>0</v>
      </c>
      <c r="ABF56" s="20" t="n">
        <f aca="false">IF(H_Direct=1,IF(CS56&lt;=0,ABE56-CS56*UF56,ABE56-MIN(MIN(CS56*UF56,(XR56+ABE56)),ABE56)),ABE56)</f>
        <v>0</v>
      </c>
      <c r="ABG56" s="20" t="n">
        <f aca="false">IF(H_Direct=1,IF(CT56&lt;=0,ABF56-CT56*UG56,ABF56-MIN(MIN(CT56*UG56,(XS56+ABF56)),ABF56)),ABF56)</f>
        <v>0</v>
      </c>
      <c r="ABH56" s="20" t="n">
        <f aca="false">IF(H_Direct=1,IF(CU56&lt;=0,ABG56-CU56*UH56,ABG56-MIN(MIN(CU56*UH56,(XT56+ABG56)),ABG56)),ABG56)</f>
        <v>0</v>
      </c>
      <c r="ABI56" s="20" t="n">
        <f aca="false">IF(H_Direct=1,IF(CV56&lt;=0,ABH56-CV56*UI56,ABH56-MIN(MIN(CV56*UI56,(XU56+ABH56)),ABH56)),ABH56)</f>
        <v>0</v>
      </c>
      <c r="ABJ56" s="20" t="n">
        <f aca="false">IF(H_Direct=1,IF(CW56&lt;=0,ABI56-CW56*UJ56,ABI56-MIN(MIN(CW56*UJ56,(XV56+ABI56)),ABI56)),ABI56)</f>
        <v>0</v>
      </c>
      <c r="ABK56" s="20" t="n">
        <f aca="false">IF(H_Direct=1,IF(CX56&lt;=0,ABJ56-CX56*UK56,ABJ56-MIN(MIN(CX56*UK56,(XW56+ABJ56)),ABJ56)),ABJ56)</f>
        <v>0</v>
      </c>
      <c r="ABL56" s="20" t="n">
        <f aca="false">IF(H_Direct=1,IF(CY56&lt;=0,ABK56-CY56*UL56,ABK56-MIN(MIN(CY56*UL56,(XX56+ABK56)),ABK56)),ABK56)</f>
        <v>0</v>
      </c>
      <c r="ABM56" s="20" t="n">
        <f aca="false">IF(H_Direct=1,IF(CZ56&lt;=0,ABL56-CZ56*UM56,ABL56-MIN(MIN(CZ56*UM56,(XY56+ABL56)),ABL56)),ABL56)</f>
        <v>0</v>
      </c>
      <c r="ABN56" s="20" t="n">
        <f aca="false">IF(H_Direct=1,IF(DA56&lt;=0,ABM56-DA56*UN56,ABM56-MIN(MIN(DA56*UN56,(XZ56+ABM56)),ABM56)),ABM56)</f>
        <v>0</v>
      </c>
      <c r="ABO56" s="20" t="n">
        <f aca="false">IF(H_Direct=1,IF(DB56&lt;=0,ABN56-DB56*UO56,ABN56-MIN(MIN(DB56*UO56,(YA56+ABN56)),ABN56)),ABN56)</f>
        <v>0</v>
      </c>
      <c r="ABP56" s="20" t="n">
        <f aca="false">IF(H_Direct=1,IF(DC56&lt;=0,ABO56-DC56*UP56,ABO56-MIN(MIN(DC56*UP56,(YB56+ABO56)),ABO56)),ABO56)</f>
        <v>0</v>
      </c>
      <c r="ABQ56" s="20" t="n">
        <f aca="false">IF(H_Direct=1,IF(DD56&lt;=0,ABP56-DD56*UQ56,ABP56-MIN(MIN(DD56*UQ56,(YC56+ABP56)),ABP56)),ABP56)</f>
        <v>0</v>
      </c>
      <c r="ABR56" s="20" t="n">
        <f aca="false">IF(H_Direct=1,IF(DE56&lt;=0,ABQ56-DE56*UR56,ABQ56-MIN(MIN(DE56*UR56,(YD56+ABQ56)),ABQ56)),ABQ56)</f>
        <v>0</v>
      </c>
      <c r="ABS56" s="20" t="n">
        <f aca="false">IF(H_Direct=1,IF(DF56&lt;=0,ABR56-DF56*US56,ABR56-MIN(MIN(DF56*US56,(YE56+ABR56)),ABR56)),ABR56)</f>
        <v>0</v>
      </c>
      <c r="ABT56" s="20" t="n">
        <f aca="false">IF(H_Direct=1,IF(DG56&lt;=0,ABS56-DG56*UT56,ABS56-MIN(MIN(DG56*UT56,(YF56+ABS56)),ABS56)),ABS56)</f>
        <v>0</v>
      </c>
      <c r="ABU56" s="20" t="n">
        <f aca="false">IF(H_Direct=1,IF(DH56&lt;=0,ABT56-DH56*UU56,ABT56-MIN(MIN(DH56*UU56,(YG56+ABT56)),ABT56)),ABT56)</f>
        <v>0</v>
      </c>
      <c r="ABV56" s="20" t="n">
        <f aca="false">IF(H_Direct=1,IF(DI56&lt;=0,ABU56-DI56*UV56,ABU56-MIN(MIN(DI56*UV56,(YH56+ABU56)),ABU56)),ABU56)</f>
        <v>0</v>
      </c>
      <c r="ABW56" s="20" t="n">
        <f aca="false">IF(H_Direct=1,IF(DJ56&lt;=0,ABV56-DJ56*UW56,ABV56-MIN(MIN(DJ56*UW56,(YI56+ABV56)),ABV56)),ABV56)</f>
        <v>0</v>
      </c>
      <c r="ABX56" s="20" t="n">
        <f aca="false">IF(H_Direct=1,IF(DK56&lt;=0,ABW56-DK56*UX56,ABW56-MIN(MIN(DK56*UX56,(YJ56+ABW56)),ABW56)),ABW56)</f>
        <v>0</v>
      </c>
      <c r="ABY56" s="20" t="n">
        <f aca="false">IF(H_Direct=1,IF(DL56&lt;=0,ABX56-DL56*UY56,ABX56-MIN(MIN(DL56*UY56,(YK56+ABX56)),ABX56)),ABX56)</f>
        <v>0</v>
      </c>
      <c r="ABZ56" s="20" t="n">
        <f aca="false">IF(H_Direct=1,IF(DM56&lt;=0,ABY56-DM56*UZ56,ABY56-MIN(MIN(DM56*UZ56,(YL56+ABY56)),ABY56)),ABY56)</f>
        <v>0</v>
      </c>
      <c r="ACA56" s="20" t="n">
        <f aca="false">IF(H_Direct=1,IF(DN56&lt;=0,ABZ56-DN56*VA56,ABZ56-MIN(MIN(DN56*VA56,(YM56+ABZ56)),ABZ56)),ABZ56)</f>
        <v>0</v>
      </c>
      <c r="ACB56" s="20" t="n">
        <f aca="false">IF(H_Direct=1,IF(DO56&lt;=0,ACA56-DO56*VB56,ACA56-MIN(MIN(DO56*VB56,(YN56+ACA56)),ACA56)),ACA56)</f>
        <v>0</v>
      </c>
      <c r="ACC56" s="20" t="n">
        <f aca="false">ACB56</f>
        <v>0</v>
      </c>
      <c r="ACD56" s="20" t="n">
        <f aca="false">ACC56</f>
        <v>0</v>
      </c>
      <c r="ACE56" s="20" t="n">
        <f aca="false">ACD56</f>
        <v>0</v>
      </c>
      <c r="ACF56" s="20" t="n">
        <f aca="false">ACE56</f>
        <v>0</v>
      </c>
      <c r="ACG56" s="20" t="n">
        <f aca="false">ACF56</f>
        <v>0</v>
      </c>
      <c r="ACH56" s="20" t="n">
        <f aca="false">ACG56</f>
        <v>0</v>
      </c>
      <c r="ACI56" s="20" t="n">
        <f aca="false">ACH56</f>
        <v>0</v>
      </c>
      <c r="ACJ56" s="20" t="n">
        <f aca="false">ACI56</f>
        <v>0</v>
      </c>
      <c r="ACK56" s="20" t="n">
        <f aca="false">ACJ56</f>
        <v>0</v>
      </c>
      <c r="ACL56" s="20" t="n">
        <f aca="false">ACK56</f>
        <v>0</v>
      </c>
      <c r="ACM56" s="20" t="n">
        <f aca="false">ACL56</f>
        <v>0</v>
      </c>
      <c r="ACN56" s="20" t="n">
        <f aca="false">ACM56</f>
        <v>0</v>
      </c>
      <c r="ACO56" s="20" t="n">
        <f aca="false">ACN56</f>
        <v>0</v>
      </c>
      <c r="ACP56" s="20" t="n">
        <f aca="false">ACO56</f>
        <v>0</v>
      </c>
      <c r="ACQ56" s="20" t="n">
        <f aca="false">ACP56</f>
        <v>0</v>
      </c>
      <c r="ACR56" s="20" t="n">
        <f aca="false">ACQ56</f>
        <v>0</v>
      </c>
      <c r="ACS56" s="20" t="n">
        <f aca="false">ACR56</f>
        <v>0</v>
      </c>
      <c r="ACT56" s="20" t="n">
        <f aca="false">ACS56</f>
        <v>0</v>
      </c>
      <c r="ACU56" s="20" t="n">
        <f aca="false">ACT56</f>
        <v>0</v>
      </c>
      <c r="ACV56" s="20" t="n">
        <f aca="false">ACU56</f>
        <v>0</v>
      </c>
      <c r="ACW56" s="20" t="n">
        <f aca="false">ACV56</f>
        <v>0</v>
      </c>
      <c r="ACX56" s="20" t="n">
        <f aca="false">ACW56</f>
        <v>0</v>
      </c>
      <c r="ACY56" s="20" t="n">
        <f aca="false">ACX56</f>
        <v>0</v>
      </c>
      <c r="ACZ56" s="20" t="n">
        <f aca="false">ACY56</f>
        <v>0</v>
      </c>
      <c r="ADA56" s="20" t="n">
        <f aca="false">ACZ56</f>
        <v>0</v>
      </c>
      <c r="ADB56" s="20" t="n">
        <f aca="false">ADA56</f>
        <v>0</v>
      </c>
      <c r="ADC56" s="20" t="n">
        <f aca="false">ADB56</f>
        <v>0</v>
      </c>
      <c r="ADD56" s="20" t="n">
        <f aca="false">ADC56</f>
        <v>0</v>
      </c>
      <c r="ADE56" s="20" t="n">
        <f aca="false">ADD56</f>
        <v>0</v>
      </c>
      <c r="ADF56" s="20" t="n">
        <f aca="false">ADE56</f>
        <v>0</v>
      </c>
      <c r="ADG56" s="20" t="n">
        <f aca="false">ADF56</f>
        <v>0</v>
      </c>
      <c r="ADH56" s="20" t="n">
        <f aca="false">ADG56</f>
        <v>0</v>
      </c>
      <c r="ADI56" s="20" t="n">
        <f aca="false">ADH56</f>
        <v>0</v>
      </c>
      <c r="ADJ56" s="20" t="n">
        <f aca="false">ADI56</f>
        <v>0</v>
      </c>
      <c r="ADK56" s="20" t="n">
        <f aca="false">ADJ56</f>
        <v>0</v>
      </c>
      <c r="ADL56" s="20" t="n">
        <f aca="false">ADK56</f>
        <v>0</v>
      </c>
      <c r="ADM56" s="20" t="n">
        <f aca="false">ADL56</f>
        <v>0</v>
      </c>
      <c r="ADN56" s="20" t="n">
        <f aca="false">ADM56</f>
        <v>0</v>
      </c>
      <c r="ADO56" s="20" t="n">
        <f aca="false">ADN56</f>
        <v>0</v>
      </c>
      <c r="ADP56" s="20" t="n">
        <f aca="false">ADO56</f>
        <v>0</v>
      </c>
      <c r="ADQ56" s="20" t="n">
        <f aca="false">ADP56</f>
        <v>0</v>
      </c>
      <c r="ADR56" s="20" t="n">
        <f aca="false">(AKR55-TE56+0)*(1+BQ56)</f>
        <v>0</v>
      </c>
      <c r="ADS56" s="20" t="n">
        <f aca="false">(AKS55-TF56+0)*(1+BQ56)</f>
        <v>0</v>
      </c>
      <c r="ADT56" s="20" t="n">
        <f aca="false">(AKT55-TG56+0)*(1+BQ56)</f>
        <v>0</v>
      </c>
      <c r="ADU56" s="20" t="n">
        <f aca="false">(AKU55-TH56+0)*(1+BQ56)</f>
        <v>0</v>
      </c>
      <c r="ADV56" s="20" t="n">
        <f aca="false">(AKV55-TI56+0)*(1+BQ56)</f>
        <v>0</v>
      </c>
      <c r="ADW56" s="20" t="n">
        <f aca="false">(AKW55-TJ56+0)*(1+BQ56)</f>
        <v>0</v>
      </c>
      <c r="ADX56" s="20" t="n">
        <f aca="false">(AKX55-TK56+0)*(1+BQ56)</f>
        <v>0</v>
      </c>
      <c r="ADY56" s="20" t="n">
        <f aca="false">(AKY55-TL56+0)*(1+BQ56)</f>
        <v>0</v>
      </c>
      <c r="ADZ56" s="20" t="n">
        <f aca="false">(AKZ55-TM56+0)*(1+BQ56)</f>
        <v>0</v>
      </c>
      <c r="AEA56" s="20" t="n">
        <f aca="false">(ALA55-TN56+0)*(1+BQ56)</f>
        <v>0</v>
      </c>
      <c r="AEB56" s="20" t="n">
        <f aca="false">(ALB55-TO56+0)*(1+BQ56)</f>
        <v>0</v>
      </c>
      <c r="AEC56" s="20" t="n">
        <f aca="false">(ALC55-TP56+0)*(1+BQ56)</f>
        <v>0</v>
      </c>
      <c r="AED56" s="20" t="n">
        <f aca="false">(ALD55-TQ56+0)*(1+BQ56)</f>
        <v>0</v>
      </c>
      <c r="AEE56" s="20" t="n">
        <f aca="false">(ALE55-TR56+0)*(1+BQ56)</f>
        <v>0</v>
      </c>
      <c r="AEF56" s="20" t="n">
        <f aca="false">(ALF55-TS56+0)*(1+BQ56)</f>
        <v>0</v>
      </c>
      <c r="AEG56" s="20" t="n">
        <f aca="false">(ALG55-TT56+0)*(1+BQ56)</f>
        <v>0</v>
      </c>
      <c r="AEH56" s="20" t="n">
        <f aca="false">(ALH55-TU56+0)*(1+BQ56)</f>
        <v>0</v>
      </c>
      <c r="AEI56" s="20" t="n">
        <f aca="false">(ALI55-TV56+0)*(1+BQ56)</f>
        <v>0</v>
      </c>
      <c r="AEJ56" s="20" t="n">
        <f aca="false">(ALJ55-TW56+0)*(1+BQ56)</f>
        <v>0</v>
      </c>
      <c r="AEK56" s="20" t="n">
        <f aca="false">(ALK55-TX56+0)*(1+BQ56)</f>
        <v>0</v>
      </c>
      <c r="AEL56" s="20" t="n">
        <f aca="false">(ALL55-TY56+0)*(1+BQ56)</f>
        <v>0</v>
      </c>
      <c r="AEM56" s="20" t="n">
        <f aca="false">(ALM55-TZ56+0)*(1+BQ56)</f>
        <v>0</v>
      </c>
      <c r="AEN56" s="20" t="n">
        <f aca="false">(ALN55-UA56+0)*(1+BQ56)</f>
        <v>0</v>
      </c>
      <c r="AEO56" s="20" t="n">
        <f aca="false">(ALO55-UB56+0)*(1+BQ56)</f>
        <v>0</v>
      </c>
      <c r="AEP56" s="20" t="n">
        <f aca="false">(ALP55-UC56+0)*(1+BQ56)</f>
        <v>0</v>
      </c>
      <c r="AEQ56" s="20" t="n">
        <f aca="false">(ALQ55-UD56+0)*(1+BQ56)</f>
        <v>0</v>
      </c>
      <c r="AER56" s="20" t="n">
        <f aca="false">(ALR55-UE56+0)*(1+BQ56)</f>
        <v>0</v>
      </c>
      <c r="AES56" s="20" t="n">
        <f aca="false">(ALS55-UF56+0)*(1+BQ56)</f>
        <v>0</v>
      </c>
      <c r="AET56" s="20" t="n">
        <f aca="false">(ALT55-UG56+0)*(1+BQ56)</f>
        <v>0</v>
      </c>
      <c r="AEU56" s="20" t="n">
        <f aca="false">(ALU55-UH56+0)*(1+BQ56)</f>
        <v>0</v>
      </c>
      <c r="AEV56" s="20" t="n">
        <f aca="false">(ALV55-UI56+0)*(1+BQ56)</f>
        <v>0</v>
      </c>
      <c r="AEW56" s="20" t="n">
        <f aca="false">(ALW55-UJ56+0)*(1+BQ56)</f>
        <v>0</v>
      </c>
      <c r="AEX56" s="20" t="n">
        <f aca="false">(ALX55-UK56+0)*(1+BQ56)</f>
        <v>0</v>
      </c>
      <c r="AEY56" s="20" t="n">
        <f aca="false">(ALY55-UL56+0)*(1+BQ56)</f>
        <v>0</v>
      </c>
      <c r="AEZ56" s="20" t="n">
        <f aca="false">(ALZ55-UM56+0)*(1+BQ56)</f>
        <v>0</v>
      </c>
      <c r="AFA56" s="20" t="n">
        <f aca="false">(AMA55-UN56+0)*(1+BQ56)</f>
        <v>0</v>
      </c>
      <c r="AFB56" s="20" t="n">
        <f aca="false">(AMB55-UO56+0)*(1+BQ56)</f>
        <v>0</v>
      </c>
      <c r="AFC56" s="20" t="n">
        <f aca="false">(AMC55-UP56+0)*(1+BQ56)</f>
        <v>0</v>
      </c>
      <c r="AFD56" s="20" t="n">
        <f aca="false">(AMD55-UQ56+0)*(1+BQ56)</f>
        <v>0</v>
      </c>
      <c r="AFE56" s="20" t="n">
        <f aca="false">(AME55-UR56+0)*(1+BQ56)</f>
        <v>0</v>
      </c>
      <c r="AFF56" s="20" t="n">
        <f aca="false">(AMF55-US56+0)*(1+BQ56)</f>
        <v>0</v>
      </c>
      <c r="AFG56" s="20" t="n">
        <f aca="false">(AMG55-UT56+0)*(1+BQ56)</f>
        <v>0</v>
      </c>
      <c r="AFH56" s="20" t="n">
        <f aca="false">(AMH55-UU56+0)*(1+BQ56)</f>
        <v>0</v>
      </c>
      <c r="AFI56" s="20" t="n">
        <f aca="false">(AMI55-UV56+0)*(1+BQ56)</f>
        <v>0</v>
      </c>
      <c r="AFJ56" s="20" t="n">
        <f aca="false">(AMJ55-UW56+0)*(1+BQ56)</f>
        <v>0</v>
      </c>
      <c r="AFK56" s="20" t="n">
        <f aca="false">(AMK55-UX56+0)*(1+BQ56)</f>
        <v>0</v>
      </c>
      <c r="AFL56" s="20" t="n">
        <f aca="false">(AML55-UY56+0)*(1+BQ56)</f>
        <v>0</v>
      </c>
      <c r="AFM56" s="20" t="n">
        <f aca="false">(AMM55-UZ56+0)*(1+BQ56)</f>
        <v>0</v>
      </c>
      <c r="AFN56" s="20" t="n">
        <f aca="false">(AMN55-VA56+0)*(1+BQ56)</f>
        <v>0</v>
      </c>
      <c r="AFO56" s="20" t="n">
        <f aca="false">((P56+S56)-VB56+BE56)*(1+BQ56)</f>
        <v>0</v>
      </c>
      <c r="AFP56" s="20" t="n">
        <v>0</v>
      </c>
      <c r="AFQ56" s="20" t="n">
        <v>0</v>
      </c>
      <c r="AFR56" s="20" t="n">
        <v>0</v>
      </c>
      <c r="AFS56" s="20" t="n">
        <v>0</v>
      </c>
      <c r="AFT56" s="20" t="n">
        <v>0</v>
      </c>
      <c r="AFU56" s="20" t="n">
        <v>0</v>
      </c>
      <c r="AFV56" s="20" t="n">
        <v>0</v>
      </c>
      <c r="AFW56" s="20" t="n">
        <v>0</v>
      </c>
      <c r="AFX56" s="20" t="n">
        <v>0</v>
      </c>
      <c r="AFY56" s="20" t="n">
        <v>0</v>
      </c>
      <c r="AFZ56" s="20" t="n">
        <v>0</v>
      </c>
      <c r="AGA56" s="20" t="n">
        <v>0</v>
      </c>
      <c r="AGB56" s="20" t="n">
        <v>0</v>
      </c>
      <c r="AGC56" s="20" t="n">
        <v>0</v>
      </c>
      <c r="AGD56" s="20" t="n">
        <v>0</v>
      </c>
      <c r="AGE56" s="20" t="n">
        <v>0</v>
      </c>
      <c r="AGF56" s="20" t="n">
        <v>0</v>
      </c>
      <c r="AGG56" s="20" t="n">
        <v>0</v>
      </c>
      <c r="AGH56" s="20" t="n">
        <v>0</v>
      </c>
      <c r="AGI56" s="20" t="n">
        <v>0</v>
      </c>
      <c r="AGJ56" s="20" t="n">
        <v>0</v>
      </c>
      <c r="AGK56" s="20" t="n">
        <v>0</v>
      </c>
      <c r="AGL56" s="20" t="n">
        <v>0</v>
      </c>
      <c r="AGM56" s="20" t="n">
        <v>0</v>
      </c>
      <c r="AGN56" s="20" t="n">
        <v>0</v>
      </c>
      <c r="AGO56" s="20" t="n">
        <v>0</v>
      </c>
      <c r="AGP56" s="20" t="n">
        <v>0</v>
      </c>
      <c r="AGQ56" s="20" t="n">
        <v>0</v>
      </c>
      <c r="AGR56" s="20" t="n">
        <v>0</v>
      </c>
      <c r="AGS56" s="20" t="n">
        <v>0</v>
      </c>
      <c r="AGT56" s="20" t="n">
        <v>0</v>
      </c>
      <c r="AGU56" s="20" t="n">
        <v>0</v>
      </c>
      <c r="AGV56" s="20" t="n">
        <v>0</v>
      </c>
      <c r="AGW56" s="20" t="n">
        <v>0</v>
      </c>
      <c r="AGX56" s="20" t="n">
        <v>0</v>
      </c>
      <c r="AGY56" s="20" t="n">
        <v>0</v>
      </c>
      <c r="AGZ56" s="20" t="n">
        <v>0</v>
      </c>
      <c r="AHA56" s="20" t="n">
        <v>0</v>
      </c>
      <c r="AHB56" s="20" t="n">
        <v>0</v>
      </c>
      <c r="AHC56" s="20" t="n">
        <v>0</v>
      </c>
      <c r="AHD56" s="20" t="n">
        <v>0</v>
      </c>
      <c r="AHE56" s="20" t="n">
        <f aca="false">IF(AKR55&gt;0,AOE55-AOE55*TE56/AKR55,0)+0</f>
        <v>0</v>
      </c>
      <c r="AHF56" s="20" t="n">
        <f aca="false">IF(AKS55&gt;0,AOF55-AOF55*TF56/AKS55,0)+0</f>
        <v>0</v>
      </c>
      <c r="AHG56" s="20" t="n">
        <f aca="false">IF(AKT55&gt;0,AOG55-AOG55*TG56/AKT55,0)+0</f>
        <v>0</v>
      </c>
      <c r="AHH56" s="20" t="n">
        <f aca="false">IF(AKU55&gt;0,AOH55-AOH55*TH56/AKU55,0)+0</f>
        <v>0</v>
      </c>
      <c r="AHI56" s="20" t="n">
        <f aca="false">IF(AKV55&gt;0,AOI55-AOI55*TI56/AKV55,0)+0</f>
        <v>0</v>
      </c>
      <c r="AHJ56" s="20" t="n">
        <f aca="false">IF(AKW55&gt;0,AOJ55-AOJ55*TJ56/AKW55,0)+0</f>
        <v>0</v>
      </c>
      <c r="AHK56" s="20" t="n">
        <f aca="false">IF(AKX55&gt;0,AOK55-AOK55*TK56/AKX55,0)+0</f>
        <v>0</v>
      </c>
      <c r="AHL56" s="20" t="n">
        <f aca="false">IF(AKY55&gt;0,AOL55-AOL55*TL56/AKY55,0)+0</f>
        <v>0</v>
      </c>
      <c r="AHM56" s="20" t="n">
        <f aca="false">IF(AKZ55&gt;0,AOM55-AOM55*TM56/AKZ55,0)+0</f>
        <v>0</v>
      </c>
      <c r="AHN56" s="20" t="n">
        <f aca="false">IF(ALA55&gt;0,AON55-AON55*TN56/ALA55,0)+0</f>
        <v>0</v>
      </c>
      <c r="AHO56" s="20" t="n">
        <f aca="false">IF(ALB55&gt;0,AOO55-AOO55*TO56/ALB55,0)+0</f>
        <v>0</v>
      </c>
      <c r="AHP56" s="20" t="n">
        <f aca="false">IF(ALC55&gt;0,AOP55-AOP55*TP56/ALC55,0)+0</f>
        <v>0</v>
      </c>
      <c r="AHQ56" s="20" t="n">
        <f aca="false">IF(ALD55&gt;0,AOQ55-AOQ55*TQ56/ALD55,0)+0</f>
        <v>0</v>
      </c>
      <c r="AHR56" s="20" t="n">
        <f aca="false">IF(ALE55&gt;0,AOR55-AOR55*TR56/ALE55,0)+0</f>
        <v>0</v>
      </c>
      <c r="AHS56" s="20" t="n">
        <f aca="false">IF(ALF55&gt;0,AOS55-AOS55*TS56/ALF55,0)+0</f>
        <v>0</v>
      </c>
      <c r="AHT56" s="20" t="n">
        <f aca="false">IF(ALG55&gt;0,AOT55-AOT55*TT56/ALG55,0)+0</f>
        <v>0</v>
      </c>
      <c r="AHU56" s="20" t="n">
        <f aca="false">IF(ALH55&gt;0,AOU55-AOU55*TU56/ALH55,0)+0</f>
        <v>0</v>
      </c>
      <c r="AHV56" s="20" t="n">
        <f aca="false">IF(ALI55&gt;0,AOV55-AOV55*TV56/ALI55,0)+0</f>
        <v>0</v>
      </c>
      <c r="AHW56" s="20" t="n">
        <f aca="false">IF(ALJ55&gt;0,AOW55-AOW55*TW56/ALJ55,0)+0</f>
        <v>0</v>
      </c>
      <c r="AHX56" s="20" t="n">
        <f aca="false">IF(ALK55&gt;0,AOX55-AOX55*TX56/ALK55,0)+0</f>
        <v>0</v>
      </c>
      <c r="AHY56" s="20" t="n">
        <f aca="false">IF(ALL55&gt;0,AOY55-AOY55*TY56/ALL55,0)+0</f>
        <v>0</v>
      </c>
      <c r="AHZ56" s="20" t="n">
        <f aca="false">IF(ALM55&gt;0,AOZ55-AOZ55*TZ56/ALM55,0)+0</f>
        <v>0</v>
      </c>
      <c r="AIA56" s="20" t="n">
        <f aca="false">IF(ALN55&gt;0,APA55-APA55*UA56/ALN55,0)+0</f>
        <v>0</v>
      </c>
      <c r="AIB56" s="20" t="n">
        <f aca="false">IF(ALO55&gt;0,APB55-APB55*UB56/ALO55,0)+0</f>
        <v>0</v>
      </c>
      <c r="AIC56" s="20" t="n">
        <f aca="false">IF(ALP55&gt;0,APC55-APC55*UC56/ALP55,0)+0</f>
        <v>0</v>
      </c>
      <c r="AID56" s="20" t="n">
        <f aca="false">IF(ALQ55&gt;0,APD55-APD55*UD56/ALQ55,0)+0</f>
        <v>0</v>
      </c>
      <c r="AIE56" s="20" t="n">
        <f aca="false">IF(ALR55&gt;0,APE55-APE55*UE56/ALR55,0)+0</f>
        <v>0</v>
      </c>
      <c r="AIF56" s="20" t="n">
        <f aca="false">IF(ALS55&gt;0,APF55-APF55*UF56/ALS55,0)+0</f>
        <v>0</v>
      </c>
      <c r="AIG56" s="20" t="n">
        <f aca="false">IF(ALT55&gt;0,APG55-APG55*UG56/ALT55,0)+0</f>
        <v>0</v>
      </c>
      <c r="AIH56" s="20" t="n">
        <f aca="false">IF(ALU55&gt;0,APH55-APH55*UH56/ALU55,0)+0</f>
        <v>0</v>
      </c>
      <c r="AII56" s="20" t="n">
        <f aca="false">IF(ALV55&gt;0,API55-API55*UI56/ALV55,0)+0</f>
        <v>0</v>
      </c>
      <c r="AIJ56" s="20" t="n">
        <f aca="false">IF(ALW55&gt;0,APJ55-APJ55*UJ56/ALW55,0)+0</f>
        <v>0</v>
      </c>
      <c r="AIK56" s="20" t="n">
        <f aca="false">IF(ALX55&gt;0,APK55-APK55*UK56/ALX55,0)+0</f>
        <v>0</v>
      </c>
      <c r="AIL56" s="20" t="n">
        <f aca="false">IF(ALY55&gt;0,APL55-APL55*UL56/ALY55,0)+0</f>
        <v>0</v>
      </c>
      <c r="AIM56" s="20" t="n">
        <f aca="false">IF(ALZ55&gt;0,APM55-APM55*UM56/ALZ55,0)+0</f>
        <v>0</v>
      </c>
      <c r="AIN56" s="20" t="n">
        <f aca="false">IF(AMA55&gt;0,APN55-APN55*UN56/AMA55,0)+0</f>
        <v>0</v>
      </c>
      <c r="AIO56" s="20" t="n">
        <f aca="false">IF(AMB55&gt;0,APO55-APO55*UO56/AMB55,0)+0</f>
        <v>0</v>
      </c>
      <c r="AIP56" s="20" t="n">
        <f aca="false">IF(AMC55&gt;0,APP55-APP55*UP56/AMC55,0)+0</f>
        <v>0</v>
      </c>
      <c r="AIQ56" s="20" t="n">
        <f aca="false">IF(AMD55&gt;0,APQ55-APQ55*UQ56/AMD55,0)+0</f>
        <v>0</v>
      </c>
      <c r="AIR56" s="20" t="n">
        <f aca="false">IF(AME55&gt;0,APR55-APR55*UR56/AME55,0)+0</f>
        <v>0</v>
      </c>
      <c r="AIS56" s="20" t="n">
        <f aca="false">IF(AMF55&gt;0,APS55-APS55*US56/AMF55,0)+0</f>
        <v>0</v>
      </c>
      <c r="AIT56" s="20" t="n">
        <f aca="false">IF(AMG55&gt;0,APT55-APT55*UT56/AMG55,0)+0</f>
        <v>0</v>
      </c>
      <c r="AIU56" s="20" t="n">
        <f aca="false">IF(AMH55&gt;0,APU55-APU55*UU56/AMH55,0)+0</f>
        <v>0</v>
      </c>
      <c r="AIV56" s="20" t="n">
        <f aca="false">IF(AMI55&gt;0,APV55-APV55*UV56/AMI55,0)+0</f>
        <v>0</v>
      </c>
      <c r="AIW56" s="20" t="n">
        <f aca="false">IF(AMJ55&gt;0,APW55-APW55*UW56/AMJ55,0)+0</f>
        <v>0</v>
      </c>
      <c r="AIX56" s="20" t="n">
        <f aca="false">IF(AMK55&gt;0,APX55-APX55*UX56/AMK55,0)+0</f>
        <v>0</v>
      </c>
      <c r="AIY56" s="20" t="n">
        <f aca="false">IF(AML55&gt;0,APY55-APY55*UY56/AML55,0)+0</f>
        <v>0</v>
      </c>
      <c r="AIZ56" s="20" t="n">
        <f aca="false">IF(AMM55&gt;0,APZ55-APZ55*UZ56/AMM55,0)+0</f>
        <v>0</v>
      </c>
      <c r="AJA56" s="20" t="n">
        <f aca="false">IF(AMN55&gt;0,AQA55-AQA55*VA56/AMN55,0)+0</f>
        <v>0</v>
      </c>
      <c r="AJB56" s="20" t="n">
        <f aca="false">IF((P56+S56)&gt;0,(P56+S56)-(P56+S56)*VB56/(P56+S56),0)+BE56</f>
        <v>0</v>
      </c>
      <c r="AJC56" s="20" t="n">
        <v>0</v>
      </c>
      <c r="AJD56" s="20" t="n">
        <v>0</v>
      </c>
      <c r="AJE56" s="20" t="n">
        <v>0</v>
      </c>
      <c r="AJF56" s="20" t="n">
        <v>0</v>
      </c>
      <c r="AJG56" s="20" t="n">
        <v>0</v>
      </c>
      <c r="AJH56" s="20" t="n">
        <v>0</v>
      </c>
      <c r="AJI56" s="20" t="n">
        <v>0</v>
      </c>
      <c r="AJJ56" s="20" t="n">
        <v>0</v>
      </c>
      <c r="AJK56" s="20" t="n">
        <v>0</v>
      </c>
      <c r="AJL56" s="20" t="n">
        <v>0</v>
      </c>
      <c r="AJM56" s="20" t="n">
        <v>0</v>
      </c>
      <c r="AJN56" s="20" t="n">
        <v>0</v>
      </c>
      <c r="AJO56" s="20" t="n">
        <v>0</v>
      </c>
      <c r="AJP56" s="20" t="n">
        <v>0</v>
      </c>
      <c r="AJQ56" s="20" t="n">
        <v>0</v>
      </c>
      <c r="AJR56" s="20" t="n">
        <v>0</v>
      </c>
      <c r="AJS56" s="20" t="n">
        <v>0</v>
      </c>
      <c r="AJT56" s="20" t="n">
        <v>0</v>
      </c>
      <c r="AJU56" s="20" t="n">
        <v>0</v>
      </c>
      <c r="AJV56" s="20" t="n">
        <v>0</v>
      </c>
      <c r="AJW56" s="20" t="n">
        <v>0</v>
      </c>
      <c r="AJX56" s="20" t="n">
        <v>0</v>
      </c>
      <c r="AJY56" s="20" t="n">
        <v>0</v>
      </c>
      <c r="AJZ56" s="20" t="n">
        <v>0</v>
      </c>
      <c r="AKA56" s="20" t="n">
        <v>0</v>
      </c>
      <c r="AKB56" s="20" t="n">
        <v>0</v>
      </c>
      <c r="AKC56" s="20" t="n">
        <v>0</v>
      </c>
      <c r="AKD56" s="20" t="n">
        <v>0</v>
      </c>
      <c r="AKE56" s="20" t="n">
        <v>0</v>
      </c>
      <c r="AKF56" s="20" t="n">
        <v>0</v>
      </c>
      <c r="AKG56" s="20" t="n">
        <v>0</v>
      </c>
      <c r="AKH56" s="20" t="n">
        <v>0</v>
      </c>
      <c r="AKI56" s="20" t="n">
        <v>0</v>
      </c>
      <c r="AKJ56" s="20" t="n">
        <v>0</v>
      </c>
      <c r="AKK56" s="20" t="n">
        <v>0</v>
      </c>
      <c r="AKL56" s="20" t="n">
        <v>0</v>
      </c>
      <c r="AKM56" s="20" t="n">
        <v>0</v>
      </c>
      <c r="AKN56" s="20" t="n">
        <v>0</v>
      </c>
      <c r="AKO56" s="20" t="n">
        <v>0</v>
      </c>
      <c r="AKP56" s="20" t="n">
        <v>0</v>
      </c>
      <c r="AKQ56" s="20" t="n">
        <v>0</v>
      </c>
      <c r="AKR56" s="20" t="n">
        <f aca="false">ADR56-AVE56</f>
        <v>0</v>
      </c>
      <c r="AKS56" s="20" t="n">
        <f aca="false">ADS56-AVF56</f>
        <v>0</v>
      </c>
      <c r="AKT56" s="20" t="n">
        <f aca="false">ADT56-AVG56</f>
        <v>0</v>
      </c>
      <c r="AKU56" s="20" t="n">
        <f aca="false">ADU56-AVH56</f>
        <v>0</v>
      </c>
      <c r="AKV56" s="20" t="n">
        <f aca="false">ADV56-AVI56</f>
        <v>0</v>
      </c>
      <c r="AKW56" s="20" t="n">
        <f aca="false">ADW56-AVJ56</f>
        <v>0</v>
      </c>
      <c r="AKX56" s="20" t="n">
        <f aca="false">ADX56-AVK56</f>
        <v>0</v>
      </c>
      <c r="AKY56" s="20" t="n">
        <f aca="false">ADY56-AVL56</f>
        <v>0</v>
      </c>
      <c r="AKZ56" s="20" t="n">
        <f aca="false">ADZ56-AVM56</f>
        <v>0</v>
      </c>
      <c r="ALA56" s="20" t="n">
        <f aca="false">AEA56-AVN56</f>
        <v>0</v>
      </c>
      <c r="ALB56" s="20" t="n">
        <f aca="false">AEB56-AVO56</f>
        <v>0</v>
      </c>
      <c r="ALC56" s="20" t="n">
        <f aca="false">AEC56-AVP56</f>
        <v>0</v>
      </c>
      <c r="ALD56" s="20" t="n">
        <f aca="false">AED56-AVQ56</f>
        <v>0</v>
      </c>
      <c r="ALE56" s="20" t="n">
        <f aca="false">AEE56-AVR56</f>
        <v>0</v>
      </c>
      <c r="ALF56" s="20" t="n">
        <f aca="false">AEF56-AVS56</f>
        <v>0</v>
      </c>
      <c r="ALG56" s="20" t="n">
        <f aca="false">AEG56-AVT56</f>
        <v>0</v>
      </c>
      <c r="ALH56" s="20" t="n">
        <f aca="false">AEH56-AVU56</f>
        <v>0</v>
      </c>
      <c r="ALI56" s="20" t="n">
        <f aca="false">AEI56-AVV56</f>
        <v>0</v>
      </c>
      <c r="ALJ56" s="20" t="n">
        <f aca="false">AEJ56-AVW56</f>
        <v>0</v>
      </c>
      <c r="ALK56" s="20" t="n">
        <f aca="false">AEK56-AVX56</f>
        <v>0</v>
      </c>
      <c r="ALL56" s="20" t="n">
        <f aca="false">AEL56-AVY56</f>
        <v>0</v>
      </c>
      <c r="ALM56" s="20" t="n">
        <f aca="false">AEM56-AVZ56</f>
        <v>0</v>
      </c>
      <c r="ALN56" s="20" t="n">
        <f aca="false">AEN56-AWA56</f>
        <v>0</v>
      </c>
      <c r="ALO56" s="20" t="n">
        <f aca="false">AEO56-AWB56</f>
        <v>0</v>
      </c>
      <c r="ALP56" s="20" t="n">
        <f aca="false">AEP56-AWC56</f>
        <v>0</v>
      </c>
      <c r="ALQ56" s="20" t="n">
        <f aca="false">AEQ56-AWD56</f>
        <v>0</v>
      </c>
      <c r="ALR56" s="20" t="n">
        <f aca="false">AER56-AWE56</f>
        <v>0</v>
      </c>
      <c r="ALS56" s="20" t="n">
        <f aca="false">AES56-AWF56</f>
        <v>0</v>
      </c>
      <c r="ALT56" s="20" t="n">
        <f aca="false">AET56-AWG56</f>
        <v>0</v>
      </c>
      <c r="ALU56" s="20" t="n">
        <f aca="false">AEU56-AWH56</f>
        <v>0</v>
      </c>
      <c r="ALV56" s="20" t="n">
        <f aca="false">AEV56-AWI56</f>
        <v>0</v>
      </c>
      <c r="ALW56" s="20" t="n">
        <f aca="false">AEW56-AWJ56</f>
        <v>0</v>
      </c>
      <c r="ALX56" s="20" t="n">
        <f aca="false">AEX56-AWK56</f>
        <v>0</v>
      </c>
      <c r="ALY56" s="20" t="n">
        <f aca="false">AEY56-AWL56</f>
        <v>0</v>
      </c>
      <c r="ALZ56" s="20" t="n">
        <f aca="false">AEZ56-AWM56</f>
        <v>0</v>
      </c>
      <c r="AMA56" s="20" t="n">
        <f aca="false">AFA56-AWN56</f>
        <v>0</v>
      </c>
      <c r="AMB56" s="20" t="n">
        <f aca="false">AFB56-AWO56</f>
        <v>0</v>
      </c>
      <c r="AMC56" s="20" t="n">
        <f aca="false">AFC56-AWP56</f>
        <v>0</v>
      </c>
      <c r="AMD56" s="20" t="n">
        <f aca="false">AFD56-AWQ56</f>
        <v>0</v>
      </c>
      <c r="AME56" s="20" t="n">
        <f aca="false">AFE56-AWR56</f>
        <v>0</v>
      </c>
      <c r="AMF56" s="20" t="n">
        <f aca="false">AFF56-AWS56</f>
        <v>0</v>
      </c>
      <c r="AMG56" s="20" t="n">
        <f aca="false">AFG56-AWT56</f>
        <v>0</v>
      </c>
      <c r="AMH56" s="20" t="n">
        <f aca="false">AFH56-AWU56</f>
        <v>0</v>
      </c>
      <c r="AMI56" s="20" t="n">
        <f aca="false">AFI56-AWV56</f>
        <v>0</v>
      </c>
      <c r="AMJ56" s="20" t="n">
        <f aca="false">AFJ56-AWW56</f>
        <v>0</v>
      </c>
      <c r="AMK56" s="20" t="n">
        <f aca="false">AFK56-AWX56</f>
        <v>0</v>
      </c>
      <c r="AML56" s="20" t="n">
        <f aca="false">AFL56-AWY56</f>
        <v>0</v>
      </c>
      <c r="AMM56" s="20" t="n">
        <f aca="false">AFM56-AWZ56</f>
        <v>0</v>
      </c>
      <c r="AMN56" s="20" t="n">
        <f aca="false">AFN56-AXA56</f>
        <v>0</v>
      </c>
      <c r="AMO56" s="20" t="n">
        <f aca="false">AFO56-AXB56</f>
        <v>0</v>
      </c>
      <c r="AMP56" s="20" t="n">
        <v>0</v>
      </c>
      <c r="AMQ56" s="20" t="n">
        <v>0</v>
      </c>
      <c r="AMR56" s="20" t="n">
        <v>0</v>
      </c>
      <c r="AMS56" s="20" t="n">
        <v>0</v>
      </c>
      <c r="AMT56" s="20" t="n">
        <v>0</v>
      </c>
      <c r="AMU56" s="20" t="n">
        <v>0</v>
      </c>
      <c r="AMV56" s="20" t="n">
        <v>0</v>
      </c>
      <c r="AMW56" s="20" t="n">
        <v>0</v>
      </c>
      <c r="AMX56" s="20" t="n">
        <v>0</v>
      </c>
      <c r="AMY56" s="20" t="n">
        <v>0</v>
      </c>
      <c r="AMZ56" s="20" t="n">
        <v>0</v>
      </c>
      <c r="ANA56" s="20" t="n">
        <v>0</v>
      </c>
      <c r="ANB56" s="20" t="n">
        <v>0</v>
      </c>
      <c r="ANC56" s="20" t="n">
        <v>0</v>
      </c>
      <c r="AND56" s="20" t="n">
        <v>0</v>
      </c>
      <c r="ANE56" s="20" t="n">
        <v>0</v>
      </c>
      <c r="ANF56" s="20" t="n">
        <v>0</v>
      </c>
      <c r="ANG56" s="20" t="n">
        <v>0</v>
      </c>
      <c r="ANH56" s="20" t="n">
        <v>0</v>
      </c>
      <c r="ANI56" s="20" t="n">
        <v>0</v>
      </c>
      <c r="ANJ56" s="20" t="n">
        <v>0</v>
      </c>
      <c r="ANK56" s="20" t="n">
        <v>0</v>
      </c>
      <c r="ANL56" s="20" t="n">
        <v>0</v>
      </c>
      <c r="ANM56" s="20" t="n">
        <v>0</v>
      </c>
      <c r="ANN56" s="20" t="n">
        <v>0</v>
      </c>
      <c r="ANO56" s="20" t="n">
        <v>0</v>
      </c>
      <c r="ANP56" s="20" t="n">
        <v>0</v>
      </c>
      <c r="ANQ56" s="20" t="n">
        <v>0</v>
      </c>
      <c r="ANR56" s="20" t="n">
        <v>0</v>
      </c>
      <c r="ANS56" s="20" t="n">
        <v>0</v>
      </c>
      <c r="ANT56" s="20" t="n">
        <v>0</v>
      </c>
      <c r="ANU56" s="20" t="n">
        <v>0</v>
      </c>
      <c r="ANV56" s="20" t="n">
        <v>0</v>
      </c>
      <c r="ANW56" s="20" t="n">
        <v>0</v>
      </c>
      <c r="ANX56" s="20" t="n">
        <v>0</v>
      </c>
      <c r="ANY56" s="20" t="n">
        <v>0</v>
      </c>
      <c r="ANZ56" s="20" t="n">
        <v>0</v>
      </c>
      <c r="AOA56" s="20" t="n">
        <v>0</v>
      </c>
      <c r="AOB56" s="20" t="n">
        <v>0</v>
      </c>
      <c r="AOC56" s="20" t="n">
        <v>0</v>
      </c>
      <c r="AOD56" s="20" t="n">
        <v>0</v>
      </c>
      <c r="AOE56" s="20" t="n">
        <f aca="false">IF(AND(H_Direct=0,H_TaxEvt=1,ARR55+1&gt;=H_Deemed),AKR56,AHE56)</f>
        <v>0</v>
      </c>
      <c r="AOF56" s="20" t="n">
        <f aca="false">IF(AND(H_Direct=0,H_TaxEvt=1,ARS55+1&gt;=H_Deemed),AKS56,AHF56)</f>
        <v>0</v>
      </c>
      <c r="AOG56" s="20" t="n">
        <f aca="false">IF(AND(H_Direct=0,H_TaxEvt=1,ART55+1&gt;=H_Deemed),AKT56,AHG56)</f>
        <v>0</v>
      </c>
      <c r="AOH56" s="20" t="n">
        <f aca="false">IF(AND(H_Direct=0,H_TaxEvt=1,ARU55+1&gt;=H_Deemed),AKU56,AHH56)</f>
        <v>0</v>
      </c>
      <c r="AOI56" s="20" t="n">
        <f aca="false">IF(AND(H_Direct=0,H_TaxEvt=1,ARV55+1&gt;=H_Deemed),AKV56,AHI56)</f>
        <v>0</v>
      </c>
      <c r="AOJ56" s="20" t="n">
        <f aca="false">IF(AND(H_Direct=0,H_TaxEvt=1,ARW55+1&gt;=H_Deemed),AKW56,AHJ56)</f>
        <v>0</v>
      </c>
      <c r="AOK56" s="20" t="n">
        <f aca="false">IF(AND(H_Direct=0,H_TaxEvt=1,ARX55+1&gt;=H_Deemed),AKX56,AHK56)</f>
        <v>0</v>
      </c>
      <c r="AOL56" s="20" t="n">
        <f aca="false">IF(AND(H_Direct=0,H_TaxEvt=1,ARY55+1&gt;=H_Deemed),AKY56,AHL56)</f>
        <v>0</v>
      </c>
      <c r="AOM56" s="20" t="n">
        <f aca="false">IF(AND(H_Direct=0,H_TaxEvt=1,ARZ55+1&gt;=H_Deemed),AKZ56,AHM56)</f>
        <v>0</v>
      </c>
      <c r="AON56" s="20" t="n">
        <f aca="false">IF(AND(H_Direct=0,H_TaxEvt=1,ASA55+1&gt;=H_Deemed),ALA56,AHN56)</f>
        <v>0</v>
      </c>
      <c r="AOO56" s="20" t="n">
        <f aca="false">IF(AND(H_Direct=0,H_TaxEvt=1,ASB55+1&gt;=H_Deemed),ALB56,AHO56)</f>
        <v>0</v>
      </c>
      <c r="AOP56" s="20" t="n">
        <f aca="false">IF(AND(H_Direct=0,H_TaxEvt=1,ASC55+1&gt;=H_Deemed),ALC56,AHP56)</f>
        <v>0</v>
      </c>
      <c r="AOQ56" s="20" t="n">
        <f aca="false">IF(AND(H_Direct=0,H_TaxEvt=1,ASD55+1&gt;=H_Deemed),ALD56,AHQ56)</f>
        <v>0</v>
      </c>
      <c r="AOR56" s="20" t="n">
        <f aca="false">IF(AND(H_Direct=0,H_TaxEvt=1,ASE55+1&gt;=H_Deemed),ALE56,AHR56)</f>
        <v>0</v>
      </c>
      <c r="AOS56" s="20" t="n">
        <f aca="false">IF(AND(H_Direct=0,H_TaxEvt=1,ASF55+1&gt;=H_Deemed),ALF56,AHS56)</f>
        <v>0</v>
      </c>
      <c r="AOT56" s="20" t="n">
        <f aca="false">IF(AND(H_Direct=0,H_TaxEvt=1,ASG55+1&gt;=H_Deemed),ALG56,AHT56)</f>
        <v>0</v>
      </c>
      <c r="AOU56" s="20" t="n">
        <f aca="false">IF(AND(H_Direct=0,H_TaxEvt=1,ASH55+1&gt;=H_Deemed),ALH56,AHU56)</f>
        <v>0</v>
      </c>
      <c r="AOV56" s="20" t="n">
        <f aca="false">IF(AND(H_Direct=0,H_TaxEvt=1,ASI55+1&gt;=H_Deemed),ALI56,AHV56)</f>
        <v>0</v>
      </c>
      <c r="AOW56" s="20" t="n">
        <f aca="false">IF(AND(H_Direct=0,H_TaxEvt=1,ASJ55+1&gt;=H_Deemed),ALJ56,AHW56)</f>
        <v>0</v>
      </c>
      <c r="AOX56" s="20" t="n">
        <f aca="false">IF(AND(H_Direct=0,H_TaxEvt=1,ASK55+1&gt;=H_Deemed),ALK56,AHX56)</f>
        <v>0</v>
      </c>
      <c r="AOY56" s="20" t="n">
        <f aca="false">IF(AND(H_Direct=0,H_TaxEvt=1,ASL55+1&gt;=H_Deemed),ALL56,AHY56)</f>
        <v>0</v>
      </c>
      <c r="AOZ56" s="20" t="n">
        <f aca="false">IF(AND(H_Direct=0,H_TaxEvt=1,ASM55+1&gt;=H_Deemed),ALM56,AHZ56)</f>
        <v>0</v>
      </c>
      <c r="APA56" s="20" t="n">
        <f aca="false">IF(AND(H_Direct=0,H_TaxEvt=1,ASN55+1&gt;=H_Deemed),ALN56,AIA56)</f>
        <v>0</v>
      </c>
      <c r="APB56" s="20" t="n">
        <f aca="false">IF(AND(H_Direct=0,H_TaxEvt=1,ASO55+1&gt;=H_Deemed),ALO56,AIB56)</f>
        <v>0</v>
      </c>
      <c r="APC56" s="20" t="n">
        <f aca="false">IF(AND(H_Direct=0,H_TaxEvt=1,ASP55+1&gt;=H_Deemed),ALP56,AIC56)</f>
        <v>0</v>
      </c>
      <c r="APD56" s="20" t="n">
        <f aca="false">IF(AND(H_Direct=0,H_TaxEvt=1,ASQ55+1&gt;=H_Deemed),ALQ56,AID56)</f>
        <v>0</v>
      </c>
      <c r="APE56" s="20" t="n">
        <f aca="false">IF(AND(H_Direct=0,H_TaxEvt=1,ASR55+1&gt;=H_Deemed),ALR56,AIE56)</f>
        <v>0</v>
      </c>
      <c r="APF56" s="20" t="n">
        <f aca="false">IF(AND(H_Direct=0,H_TaxEvt=1,ASS55+1&gt;=H_Deemed),ALS56,AIF56)</f>
        <v>0</v>
      </c>
      <c r="APG56" s="20" t="n">
        <f aca="false">IF(AND(H_Direct=0,H_TaxEvt=1,AST55+1&gt;=H_Deemed),ALT56,AIG56)</f>
        <v>0</v>
      </c>
      <c r="APH56" s="20" t="n">
        <f aca="false">IF(AND(H_Direct=0,H_TaxEvt=1,ASU55+1&gt;=H_Deemed),ALU56,AIH56)</f>
        <v>0</v>
      </c>
      <c r="API56" s="20" t="n">
        <f aca="false">IF(AND(H_Direct=0,H_TaxEvt=1,ASV55+1&gt;=H_Deemed),ALV56,AII56)</f>
        <v>0</v>
      </c>
      <c r="APJ56" s="20" t="n">
        <f aca="false">IF(AND(H_Direct=0,H_TaxEvt=1,ASW55+1&gt;=H_Deemed),ALW56,AIJ56)</f>
        <v>0</v>
      </c>
      <c r="APK56" s="20" t="n">
        <f aca="false">IF(AND(H_Direct=0,H_TaxEvt=1,ASX55+1&gt;=H_Deemed),ALX56,AIK56)</f>
        <v>0</v>
      </c>
      <c r="APL56" s="20" t="n">
        <f aca="false">IF(AND(H_Direct=0,H_TaxEvt=1,ASY55+1&gt;=H_Deemed),ALY56,AIL56)</f>
        <v>0</v>
      </c>
      <c r="APM56" s="20" t="n">
        <f aca="false">IF(AND(H_Direct=0,H_TaxEvt=1,ASZ55+1&gt;=H_Deemed),ALZ56,AIM56)</f>
        <v>0</v>
      </c>
      <c r="APN56" s="20" t="n">
        <f aca="false">IF(AND(H_Direct=0,H_TaxEvt=1,ATA55+1&gt;=H_Deemed),AMA56,AIN56)</f>
        <v>0</v>
      </c>
      <c r="APO56" s="20" t="n">
        <f aca="false">IF(AND(H_Direct=0,H_TaxEvt=1,ATB55+1&gt;=H_Deemed),AMB56,AIO56)</f>
        <v>0</v>
      </c>
      <c r="APP56" s="20" t="n">
        <f aca="false">IF(AND(H_Direct=0,H_TaxEvt=1,ATC55+1&gt;=H_Deemed),AMC56,AIP56)</f>
        <v>0</v>
      </c>
      <c r="APQ56" s="20" t="n">
        <f aca="false">IF(AND(H_Direct=0,H_TaxEvt=1,ATD55+1&gt;=H_Deemed),AMD56,AIQ56)</f>
        <v>0</v>
      </c>
      <c r="APR56" s="20" t="n">
        <f aca="false">IF(AND(H_Direct=0,H_TaxEvt=1,ATE55+1&gt;=H_Deemed),AME56,AIR56)</f>
        <v>0</v>
      </c>
      <c r="APS56" s="20" t="n">
        <f aca="false">IF(AND(H_Direct=0,H_TaxEvt=1,ATF55+1&gt;=H_Deemed),AMF56,AIS56)</f>
        <v>0</v>
      </c>
      <c r="APT56" s="20" t="n">
        <f aca="false">IF(AND(H_Direct=0,H_TaxEvt=1,ATG55+1&gt;=H_Deemed),AMG56,AIT56)</f>
        <v>0</v>
      </c>
      <c r="APU56" s="20" t="n">
        <f aca="false">IF(AND(H_Direct=0,H_TaxEvt=1,ATH55+1&gt;=H_Deemed),AMH56,AIU56)</f>
        <v>0</v>
      </c>
      <c r="APV56" s="20" t="n">
        <f aca="false">IF(AND(H_Direct=0,H_TaxEvt=1,ATI55+1&gt;=H_Deemed),AMI56,AIV56)</f>
        <v>0</v>
      </c>
      <c r="APW56" s="20" t="n">
        <f aca="false">IF(AND(H_Direct=0,H_TaxEvt=1,ATJ55+1&gt;=H_Deemed),AMJ56,AIW56)</f>
        <v>0</v>
      </c>
      <c r="APX56" s="20" t="n">
        <f aca="false">IF(AND(H_Direct=0,H_TaxEvt=1,ATK55+1&gt;=H_Deemed),AMK56,AIX56)</f>
        <v>0</v>
      </c>
      <c r="APY56" s="20" t="n">
        <f aca="false">IF(AND(H_Direct=0,H_TaxEvt=1,ATL55+1&gt;=H_Deemed),AML56,AIY56)</f>
        <v>0</v>
      </c>
      <c r="APZ56" s="20" t="n">
        <f aca="false">IF(AND(H_Direct=0,H_TaxEvt=1,ATM55+1&gt;=H_Deemed),AMM56,AIZ56)</f>
        <v>0</v>
      </c>
      <c r="AQA56" s="20" t="n">
        <f aca="false">IF(AND(H_Direct=0,H_TaxEvt=1,ATN55+1&gt;=H_Deemed),AMN56,AJA56)</f>
        <v>0</v>
      </c>
      <c r="AQB56" s="20" t="n">
        <f aca="false">IF(AND(H_Direct=0,H_TaxEvt=1,0+1&gt;=H_Deemed),AMO56,AJB56)</f>
        <v>0</v>
      </c>
      <c r="AQC56" s="20" t="n">
        <v>0</v>
      </c>
      <c r="AQD56" s="20" t="n">
        <v>0</v>
      </c>
      <c r="AQE56" s="20" t="n">
        <v>0</v>
      </c>
      <c r="AQF56" s="20" t="n">
        <v>0</v>
      </c>
      <c r="AQG56" s="20" t="n">
        <v>0</v>
      </c>
      <c r="AQH56" s="20" t="n">
        <v>0</v>
      </c>
      <c r="AQI56" s="20" t="n">
        <v>0</v>
      </c>
      <c r="AQJ56" s="20" t="n">
        <v>0</v>
      </c>
      <c r="AQK56" s="20" t="n">
        <v>0</v>
      </c>
      <c r="AQL56" s="20" t="n">
        <v>0</v>
      </c>
      <c r="AQM56" s="20" t="n">
        <v>0</v>
      </c>
      <c r="AQN56" s="20" t="n">
        <v>0</v>
      </c>
      <c r="AQO56" s="20" t="n">
        <v>0</v>
      </c>
      <c r="AQP56" s="20" t="n">
        <v>0</v>
      </c>
      <c r="AQQ56" s="20" t="n">
        <v>0</v>
      </c>
      <c r="AQR56" s="20" t="n">
        <v>0</v>
      </c>
      <c r="AQS56" s="20" t="n">
        <v>0</v>
      </c>
      <c r="AQT56" s="20" t="n">
        <v>0</v>
      </c>
      <c r="AQU56" s="20" t="n">
        <v>0</v>
      </c>
      <c r="AQV56" s="20" t="n">
        <v>0</v>
      </c>
      <c r="AQW56" s="20" t="n">
        <v>0</v>
      </c>
      <c r="AQX56" s="20" t="n">
        <v>0</v>
      </c>
      <c r="AQY56" s="20" t="n">
        <v>0</v>
      </c>
      <c r="AQZ56" s="20" t="n">
        <v>0</v>
      </c>
      <c r="ARA56" s="20" t="n">
        <v>0</v>
      </c>
      <c r="ARB56" s="20" t="n">
        <v>0</v>
      </c>
      <c r="ARC56" s="20" t="n">
        <v>0</v>
      </c>
      <c r="ARD56" s="20" t="n">
        <v>0</v>
      </c>
      <c r="ARE56" s="20" t="n">
        <v>0</v>
      </c>
      <c r="ARF56" s="20" t="n">
        <v>0</v>
      </c>
      <c r="ARG56" s="20" t="n">
        <v>0</v>
      </c>
      <c r="ARH56" s="20" t="n">
        <v>0</v>
      </c>
      <c r="ARI56" s="20" t="n">
        <v>0</v>
      </c>
      <c r="ARJ56" s="20" t="n">
        <v>0</v>
      </c>
      <c r="ARK56" s="20" t="n">
        <v>0</v>
      </c>
      <c r="ARL56" s="20" t="n">
        <v>0</v>
      </c>
      <c r="ARM56" s="20" t="n">
        <v>0</v>
      </c>
      <c r="ARN56" s="20" t="n">
        <v>0</v>
      </c>
      <c r="ARO56" s="20" t="n">
        <v>0</v>
      </c>
      <c r="ARP56" s="20" t="n">
        <v>0</v>
      </c>
      <c r="ARQ56" s="20" t="n">
        <v>0</v>
      </c>
      <c r="ARR56" s="20" t="n">
        <f aca="false">IF(AND(H_Direct=0,H_TaxEvt=1),IF(ARR55+1&gt;=H_Deemed,0,ARR55+1),ARR55)</f>
        <v>1</v>
      </c>
      <c r="ARS56" s="20" t="n">
        <f aca="false">IF(AND(H_Direct=0,H_TaxEvt=1),IF(ARS55+1&gt;=H_Deemed,0,ARS55+1),ARS55)</f>
        <v>1</v>
      </c>
      <c r="ART56" s="20" t="n">
        <f aca="false">IF(AND(H_Direct=0,H_TaxEvt=1),IF(ART55+1&gt;=H_Deemed,0,ART55+1),ART55)</f>
        <v>0</v>
      </c>
      <c r="ARU56" s="20" t="n">
        <f aca="false">IF(AND(H_Direct=0,H_TaxEvt=1),IF(ARU55+1&gt;=H_Deemed,0,ARU55+1),ARU55)</f>
        <v>7</v>
      </c>
      <c r="ARV56" s="20" t="n">
        <f aca="false">IF(AND(H_Direct=0,H_TaxEvt=1),IF(ARV55+1&gt;=H_Deemed,0,ARV55+1),ARV55)</f>
        <v>6</v>
      </c>
      <c r="ARW56" s="20" t="n">
        <f aca="false">IF(AND(H_Direct=0,H_TaxEvt=1),IF(ARW55+1&gt;=H_Deemed,0,ARW55+1),ARW55)</f>
        <v>5</v>
      </c>
      <c r="ARX56" s="20" t="n">
        <f aca="false">IF(AND(H_Direct=0,H_TaxEvt=1),IF(ARX55+1&gt;=H_Deemed,0,ARX55+1),ARX55)</f>
        <v>4</v>
      </c>
      <c r="ARY56" s="20" t="n">
        <f aca="false">IF(AND(H_Direct=0,H_TaxEvt=1),IF(ARY55+1&gt;=H_Deemed,0,ARY55+1),ARY55)</f>
        <v>3</v>
      </c>
      <c r="ARZ56" s="20" t="n">
        <f aca="false">IF(AND(H_Direct=0,H_TaxEvt=1),IF(ARZ55+1&gt;=H_Deemed,0,ARZ55+1),ARZ55)</f>
        <v>2</v>
      </c>
      <c r="ASA56" s="20" t="n">
        <f aca="false">IF(AND(H_Direct=0,H_TaxEvt=1),IF(ASA55+1&gt;=H_Deemed,0,ASA55+1),ASA55)</f>
        <v>1</v>
      </c>
      <c r="ASB56" s="20" t="n">
        <f aca="false">IF(AND(H_Direct=0,H_TaxEvt=1),IF(ASB55+1&gt;=H_Deemed,0,ASB55+1),ASB55)</f>
        <v>0</v>
      </c>
      <c r="ASC56" s="20" t="n">
        <f aca="false">IF(AND(H_Direct=0,H_TaxEvt=1),IF(ASC55+1&gt;=H_Deemed,0,ASC55+1),ASC55)</f>
        <v>7</v>
      </c>
      <c r="ASD56" s="20" t="n">
        <f aca="false">IF(AND(H_Direct=0,H_TaxEvt=1),IF(ASD55+1&gt;=H_Deemed,0,ASD55+1),ASD55)</f>
        <v>6</v>
      </c>
      <c r="ASE56" s="20" t="n">
        <f aca="false">IF(AND(H_Direct=0,H_TaxEvt=1),IF(ASE55+1&gt;=H_Deemed,0,ASE55+1),ASE55)</f>
        <v>5</v>
      </c>
      <c r="ASF56" s="20" t="n">
        <f aca="false">IF(AND(H_Direct=0,H_TaxEvt=1),IF(ASF55+1&gt;=H_Deemed,0,ASF55+1),ASF55)</f>
        <v>4</v>
      </c>
      <c r="ASG56" s="20" t="n">
        <f aca="false">IF(AND(H_Direct=0,H_TaxEvt=1),IF(ASG55+1&gt;=H_Deemed,0,ASG55+1),ASG55)</f>
        <v>3</v>
      </c>
      <c r="ASH56" s="20" t="n">
        <f aca="false">IF(AND(H_Direct=0,H_TaxEvt=1),IF(ASH55+1&gt;=H_Deemed,0,ASH55+1),ASH55)</f>
        <v>2</v>
      </c>
      <c r="ASI56" s="20" t="n">
        <f aca="false">IF(AND(H_Direct=0,H_TaxEvt=1),IF(ASI55+1&gt;=H_Deemed,0,ASI55+1),ASI55)</f>
        <v>1</v>
      </c>
      <c r="ASJ56" s="20" t="n">
        <f aca="false">IF(AND(H_Direct=0,H_TaxEvt=1),IF(ASJ55+1&gt;=H_Deemed,0,ASJ55+1),ASJ55)</f>
        <v>0</v>
      </c>
      <c r="ASK56" s="20" t="n">
        <f aca="false">IF(AND(H_Direct=0,H_TaxEvt=1),IF(ASK55+1&gt;=H_Deemed,0,ASK55+1),ASK55)</f>
        <v>7</v>
      </c>
      <c r="ASL56" s="20" t="n">
        <f aca="false">IF(AND(H_Direct=0,H_TaxEvt=1),IF(ASL55+1&gt;=H_Deemed,0,ASL55+1),ASL55)</f>
        <v>6</v>
      </c>
      <c r="ASM56" s="20" t="n">
        <f aca="false">IF(AND(H_Direct=0,H_TaxEvt=1),IF(ASM55+1&gt;=H_Deemed,0,ASM55+1),ASM55)</f>
        <v>5</v>
      </c>
      <c r="ASN56" s="20" t="n">
        <f aca="false">IF(AND(H_Direct=0,H_TaxEvt=1),IF(ASN55+1&gt;=H_Deemed,0,ASN55+1),ASN55)</f>
        <v>4</v>
      </c>
      <c r="ASO56" s="20" t="n">
        <f aca="false">IF(AND(H_Direct=0,H_TaxEvt=1),IF(ASO55+1&gt;=H_Deemed,0,ASO55+1),ASO55)</f>
        <v>3</v>
      </c>
      <c r="ASP56" s="20" t="n">
        <f aca="false">IF(AND(H_Direct=0,H_TaxEvt=1),IF(ASP55+1&gt;=H_Deemed,0,ASP55+1),ASP55)</f>
        <v>2</v>
      </c>
      <c r="ASQ56" s="20" t="n">
        <f aca="false">IF(AND(H_Direct=0,H_TaxEvt=1),IF(ASQ55+1&gt;=H_Deemed,0,ASQ55+1),ASQ55)</f>
        <v>1</v>
      </c>
      <c r="ASR56" s="20" t="n">
        <f aca="false">IF(AND(H_Direct=0,H_TaxEvt=1),IF(ASR55+1&gt;=H_Deemed,0,ASR55+1),ASR55)</f>
        <v>0</v>
      </c>
      <c r="ASS56" s="20" t="n">
        <f aca="false">IF(AND(H_Direct=0,H_TaxEvt=1),IF(ASS55+1&gt;=H_Deemed,0,ASS55+1),ASS55)</f>
        <v>7</v>
      </c>
      <c r="AST56" s="20" t="n">
        <f aca="false">IF(AND(H_Direct=0,H_TaxEvt=1),IF(AST55+1&gt;=H_Deemed,0,AST55+1),AST55)</f>
        <v>6</v>
      </c>
      <c r="ASU56" s="20" t="n">
        <f aca="false">IF(AND(H_Direct=0,H_TaxEvt=1),IF(ASU55+1&gt;=H_Deemed,0,ASU55+1),ASU55)</f>
        <v>5</v>
      </c>
      <c r="ASV56" s="20" t="n">
        <f aca="false">IF(AND(H_Direct=0,H_TaxEvt=1),IF(ASV55+1&gt;=H_Deemed,0,ASV55+1),ASV55)</f>
        <v>4</v>
      </c>
      <c r="ASW56" s="20" t="n">
        <f aca="false">IF(AND(H_Direct=0,H_TaxEvt=1),IF(ASW55+1&gt;=H_Deemed,0,ASW55+1),ASW55)</f>
        <v>3</v>
      </c>
      <c r="ASX56" s="20" t="n">
        <f aca="false">IF(AND(H_Direct=0,H_TaxEvt=1),IF(ASX55+1&gt;=H_Deemed,0,ASX55+1),ASX55)</f>
        <v>2</v>
      </c>
      <c r="ASY56" s="20" t="n">
        <f aca="false">IF(AND(H_Direct=0,H_TaxEvt=1),IF(ASY55+1&gt;=H_Deemed,0,ASY55+1),ASY55)</f>
        <v>1</v>
      </c>
      <c r="ASZ56" s="20" t="n">
        <f aca="false">IF(AND(H_Direct=0,H_TaxEvt=1),IF(ASZ55+1&gt;=H_Deemed,0,ASZ55+1),ASZ55)</f>
        <v>0</v>
      </c>
      <c r="ATA56" s="20" t="n">
        <f aca="false">IF(AND(H_Direct=0,H_TaxEvt=1),IF(ATA55+1&gt;=H_Deemed,0,ATA55+1),ATA55)</f>
        <v>7</v>
      </c>
      <c r="ATB56" s="20" t="n">
        <f aca="false">IF(AND(H_Direct=0,H_TaxEvt=1),IF(ATB55+1&gt;=H_Deemed,0,ATB55+1),ATB55)</f>
        <v>6</v>
      </c>
      <c r="ATC56" s="20" t="n">
        <f aca="false">IF(AND(H_Direct=0,H_TaxEvt=1),IF(ATC55+1&gt;=H_Deemed,0,ATC55+1),ATC55)</f>
        <v>5</v>
      </c>
      <c r="ATD56" s="20" t="n">
        <f aca="false">IF(AND(H_Direct=0,H_TaxEvt=1),IF(ATD55+1&gt;=H_Deemed,0,ATD55+1),ATD55)</f>
        <v>4</v>
      </c>
      <c r="ATE56" s="20" t="n">
        <f aca="false">IF(AND(H_Direct=0,H_TaxEvt=1),IF(ATE55+1&gt;=H_Deemed,0,ATE55+1),ATE55)</f>
        <v>3</v>
      </c>
      <c r="ATF56" s="20" t="n">
        <f aca="false">IF(AND(H_Direct=0,H_TaxEvt=1),IF(ATF55+1&gt;=H_Deemed,0,ATF55+1),ATF55)</f>
        <v>2</v>
      </c>
      <c r="ATG56" s="20" t="n">
        <f aca="false">IF(AND(H_Direct=0,H_TaxEvt=1),IF(ATG55+1&gt;=H_Deemed,0,ATG55+1),ATG55)</f>
        <v>1</v>
      </c>
      <c r="ATH56" s="20" t="n">
        <f aca="false">IF(AND(H_Direct=0,H_TaxEvt=1),IF(ATH55+1&gt;=H_Deemed,0,ATH55+1),ATH55)</f>
        <v>0</v>
      </c>
      <c r="ATI56" s="20" t="n">
        <f aca="false">IF(AND(H_Direct=0,H_TaxEvt=1),IF(ATI55+1&gt;=H_Deemed,0,ATI55+1),ATI55)</f>
        <v>7</v>
      </c>
      <c r="ATJ56" s="20" t="n">
        <f aca="false">IF(AND(H_Direct=0,H_TaxEvt=1),IF(ATJ55+1&gt;=H_Deemed,0,ATJ55+1),ATJ55)</f>
        <v>6</v>
      </c>
      <c r="ATK56" s="20" t="n">
        <f aca="false">IF(AND(H_Direct=0,H_TaxEvt=1),IF(ATK55+1&gt;=H_Deemed,0,ATK55+1),ATK55)</f>
        <v>5</v>
      </c>
      <c r="ATL56" s="20" t="n">
        <f aca="false">IF(AND(H_Direct=0,H_TaxEvt=1),IF(ATL55+1&gt;=H_Deemed,0,ATL55+1),ATL55)</f>
        <v>4</v>
      </c>
      <c r="ATM56" s="20" t="n">
        <f aca="false">IF(AND(H_Direct=0,H_TaxEvt=1),IF(ATM55+1&gt;=H_Deemed,0,ATM55+1),ATM55)</f>
        <v>3</v>
      </c>
      <c r="ATN56" s="20" t="n">
        <f aca="false">IF(AND(H_Direct=0,H_TaxEvt=1),IF(ATN55+1&gt;=H_Deemed,0,ATN55+1),ATN55)</f>
        <v>2</v>
      </c>
      <c r="ATO56" s="20" t="n">
        <f aca="false">IF(AND(H_Direct=0,H_TaxEvt=1),IF(0+1&gt;=H_Deemed,0,0+1),0)</f>
        <v>1</v>
      </c>
      <c r="ATP56" s="20" t="n">
        <v>0</v>
      </c>
      <c r="ATQ56" s="20" t="n">
        <v>0</v>
      </c>
      <c r="ATR56" s="20" t="n">
        <v>0</v>
      </c>
      <c r="ATS56" s="20" t="n">
        <v>0</v>
      </c>
      <c r="ATT56" s="20" t="n">
        <v>0</v>
      </c>
      <c r="ATU56" s="20" t="n">
        <v>0</v>
      </c>
      <c r="ATV56" s="20" t="n">
        <v>0</v>
      </c>
      <c r="ATW56" s="20" t="n">
        <v>0</v>
      </c>
      <c r="ATX56" s="20" t="n">
        <v>0</v>
      </c>
      <c r="ATY56" s="20" t="n">
        <v>0</v>
      </c>
      <c r="ATZ56" s="20" t="n">
        <v>0</v>
      </c>
      <c r="AUA56" s="20" t="n">
        <v>0</v>
      </c>
      <c r="AUB56" s="20" t="n">
        <v>0</v>
      </c>
      <c r="AUC56" s="20" t="n">
        <v>0</v>
      </c>
      <c r="AUD56" s="20" t="n">
        <v>0</v>
      </c>
      <c r="AUE56" s="20" t="n">
        <v>0</v>
      </c>
      <c r="AUF56" s="20" t="n">
        <v>0</v>
      </c>
      <c r="AUG56" s="20" t="n">
        <v>0</v>
      </c>
      <c r="AUH56" s="20" t="n">
        <v>0</v>
      </c>
      <c r="AUI56" s="20" t="n">
        <v>0</v>
      </c>
      <c r="AUJ56" s="20" t="n">
        <v>0</v>
      </c>
      <c r="AUK56" s="20" t="n">
        <v>0</v>
      </c>
      <c r="AUL56" s="20" t="n">
        <v>0</v>
      </c>
      <c r="AUM56" s="20" t="n">
        <v>0</v>
      </c>
      <c r="AUN56" s="20" t="n">
        <v>0</v>
      </c>
      <c r="AUO56" s="20" t="n">
        <v>0</v>
      </c>
      <c r="AUP56" s="20" t="n">
        <v>0</v>
      </c>
      <c r="AUQ56" s="20" t="n">
        <v>0</v>
      </c>
      <c r="AUR56" s="20" t="n">
        <v>0</v>
      </c>
      <c r="AUS56" s="20" t="n">
        <v>0</v>
      </c>
      <c r="AUT56" s="20" t="n">
        <v>0</v>
      </c>
      <c r="AUU56" s="20" t="n">
        <v>0</v>
      </c>
      <c r="AUV56" s="20" t="n">
        <v>0</v>
      </c>
      <c r="AUW56" s="20" t="n">
        <v>0</v>
      </c>
      <c r="AUX56" s="20" t="n">
        <v>0</v>
      </c>
      <c r="AUY56" s="20" t="n">
        <v>0</v>
      </c>
      <c r="AUZ56" s="20" t="n">
        <v>0</v>
      </c>
      <c r="AVA56" s="20" t="n">
        <v>0</v>
      </c>
      <c r="AVB56" s="20" t="n">
        <v>0</v>
      </c>
      <c r="AVC56" s="20" t="n">
        <v>0</v>
      </c>
      <c r="AVD56" s="20" t="n">
        <v>0</v>
      </c>
      <c r="AVE56" s="20" t="n">
        <f aca="false">IF(AND(H_Direct=0,H_TaxEvt=1,ARR55+1&gt;=H_Deemed),MAX(0,ADR56-AHE56)*H_Exit,0)</f>
        <v>0</v>
      </c>
      <c r="AVF56" s="20" t="n">
        <f aca="false">IF(AND(H_Direct=0,H_TaxEvt=1,ARS55+1&gt;=H_Deemed),MAX(0,ADS56-AHF56)*H_Exit,0)</f>
        <v>0</v>
      </c>
      <c r="AVG56" s="20" t="n">
        <f aca="false">IF(AND(H_Direct=0,H_TaxEvt=1,ART55+1&gt;=H_Deemed),MAX(0,ADT56-AHG56)*H_Exit,0)</f>
        <v>0</v>
      </c>
      <c r="AVH56" s="20" t="n">
        <f aca="false">IF(AND(H_Direct=0,H_TaxEvt=1,ARU55+1&gt;=H_Deemed),MAX(0,ADU56-AHH56)*H_Exit,0)</f>
        <v>0</v>
      </c>
      <c r="AVI56" s="20" t="n">
        <f aca="false">IF(AND(H_Direct=0,H_TaxEvt=1,ARV55+1&gt;=H_Deemed),MAX(0,ADV56-AHI56)*H_Exit,0)</f>
        <v>0</v>
      </c>
      <c r="AVJ56" s="20" t="n">
        <f aca="false">IF(AND(H_Direct=0,H_TaxEvt=1,ARW55+1&gt;=H_Deemed),MAX(0,ADW56-AHJ56)*H_Exit,0)</f>
        <v>0</v>
      </c>
      <c r="AVK56" s="20" t="n">
        <f aca="false">IF(AND(H_Direct=0,H_TaxEvt=1,ARX55+1&gt;=H_Deemed),MAX(0,ADX56-AHK56)*H_Exit,0)</f>
        <v>0</v>
      </c>
      <c r="AVL56" s="20" t="n">
        <f aca="false">IF(AND(H_Direct=0,H_TaxEvt=1,ARY55+1&gt;=H_Deemed),MAX(0,ADY56-AHL56)*H_Exit,0)</f>
        <v>0</v>
      </c>
      <c r="AVM56" s="20" t="n">
        <f aca="false">IF(AND(H_Direct=0,H_TaxEvt=1,ARZ55+1&gt;=H_Deemed),MAX(0,ADZ56-AHM56)*H_Exit,0)</f>
        <v>0</v>
      </c>
      <c r="AVN56" s="20" t="n">
        <f aca="false">IF(AND(H_Direct=0,H_TaxEvt=1,ASA55+1&gt;=H_Deemed),MAX(0,AEA56-AHN56)*H_Exit,0)</f>
        <v>0</v>
      </c>
      <c r="AVO56" s="20" t="n">
        <f aca="false">IF(AND(H_Direct=0,H_TaxEvt=1,ASB55+1&gt;=H_Deemed),MAX(0,AEB56-AHO56)*H_Exit,0)</f>
        <v>0</v>
      </c>
      <c r="AVP56" s="20" t="n">
        <f aca="false">IF(AND(H_Direct=0,H_TaxEvt=1,ASC55+1&gt;=H_Deemed),MAX(0,AEC56-AHP56)*H_Exit,0)</f>
        <v>0</v>
      </c>
      <c r="AVQ56" s="20" t="n">
        <f aca="false">IF(AND(H_Direct=0,H_TaxEvt=1,ASD55+1&gt;=H_Deemed),MAX(0,AED56-AHQ56)*H_Exit,0)</f>
        <v>0</v>
      </c>
      <c r="AVR56" s="20" t="n">
        <f aca="false">IF(AND(H_Direct=0,H_TaxEvt=1,ASE55+1&gt;=H_Deemed),MAX(0,AEE56-AHR56)*H_Exit,0)</f>
        <v>0</v>
      </c>
      <c r="AVS56" s="20" t="n">
        <f aca="false">IF(AND(H_Direct=0,H_TaxEvt=1,ASF55+1&gt;=H_Deemed),MAX(0,AEF56-AHS56)*H_Exit,0)</f>
        <v>0</v>
      </c>
      <c r="AVT56" s="20" t="n">
        <f aca="false">IF(AND(H_Direct=0,H_TaxEvt=1,ASG55+1&gt;=H_Deemed),MAX(0,AEG56-AHT56)*H_Exit,0)</f>
        <v>0</v>
      </c>
      <c r="AVU56" s="20" t="n">
        <f aca="false">IF(AND(H_Direct=0,H_TaxEvt=1,ASH55+1&gt;=H_Deemed),MAX(0,AEH56-AHU56)*H_Exit,0)</f>
        <v>0</v>
      </c>
      <c r="AVV56" s="20" t="n">
        <f aca="false">IF(AND(H_Direct=0,H_TaxEvt=1,ASI55+1&gt;=H_Deemed),MAX(0,AEI56-AHV56)*H_Exit,0)</f>
        <v>0</v>
      </c>
      <c r="AVW56" s="20" t="n">
        <f aca="false">IF(AND(H_Direct=0,H_TaxEvt=1,ASJ55+1&gt;=H_Deemed),MAX(0,AEJ56-AHW56)*H_Exit,0)</f>
        <v>0</v>
      </c>
      <c r="AVX56" s="20" t="n">
        <f aca="false">IF(AND(H_Direct=0,H_TaxEvt=1,ASK55+1&gt;=H_Deemed),MAX(0,AEK56-AHX56)*H_Exit,0)</f>
        <v>0</v>
      </c>
      <c r="AVY56" s="20" t="n">
        <f aca="false">IF(AND(H_Direct=0,H_TaxEvt=1,ASL55+1&gt;=H_Deemed),MAX(0,AEL56-AHY56)*H_Exit,0)</f>
        <v>0</v>
      </c>
      <c r="AVZ56" s="20" t="n">
        <f aca="false">IF(AND(H_Direct=0,H_TaxEvt=1,ASM55+1&gt;=H_Deemed),MAX(0,AEM56-AHZ56)*H_Exit,0)</f>
        <v>0</v>
      </c>
      <c r="AWA56" s="20" t="n">
        <f aca="false">IF(AND(H_Direct=0,H_TaxEvt=1,ASN55+1&gt;=H_Deemed),MAX(0,AEN56-AIA56)*H_Exit,0)</f>
        <v>0</v>
      </c>
      <c r="AWB56" s="20" t="n">
        <f aca="false">IF(AND(H_Direct=0,H_TaxEvt=1,ASO55+1&gt;=H_Deemed),MAX(0,AEO56-AIB56)*H_Exit,0)</f>
        <v>0</v>
      </c>
      <c r="AWC56" s="20" t="n">
        <f aca="false">IF(AND(H_Direct=0,H_TaxEvt=1,ASP55+1&gt;=H_Deemed),MAX(0,AEP56-AIC56)*H_Exit,0)</f>
        <v>0</v>
      </c>
      <c r="AWD56" s="20" t="n">
        <f aca="false">IF(AND(H_Direct=0,H_TaxEvt=1,ASQ55+1&gt;=H_Deemed),MAX(0,AEQ56-AID56)*H_Exit,0)</f>
        <v>0</v>
      </c>
      <c r="AWE56" s="20" t="n">
        <f aca="false">IF(AND(H_Direct=0,H_TaxEvt=1,ASR55+1&gt;=H_Deemed),MAX(0,AER56-AIE56)*H_Exit,0)</f>
        <v>0</v>
      </c>
      <c r="AWF56" s="20" t="n">
        <f aca="false">IF(AND(H_Direct=0,H_TaxEvt=1,ASS55+1&gt;=H_Deemed),MAX(0,AES56-AIF56)*H_Exit,0)</f>
        <v>0</v>
      </c>
      <c r="AWG56" s="20" t="n">
        <f aca="false">IF(AND(H_Direct=0,H_TaxEvt=1,AST55+1&gt;=H_Deemed),MAX(0,AET56-AIG56)*H_Exit,0)</f>
        <v>0</v>
      </c>
      <c r="AWH56" s="20" t="n">
        <f aca="false">IF(AND(H_Direct=0,H_TaxEvt=1,ASU55+1&gt;=H_Deemed),MAX(0,AEU56-AIH56)*H_Exit,0)</f>
        <v>0</v>
      </c>
      <c r="AWI56" s="20" t="n">
        <f aca="false">IF(AND(H_Direct=0,H_TaxEvt=1,ASV55+1&gt;=H_Deemed),MAX(0,AEV56-AII56)*H_Exit,0)</f>
        <v>0</v>
      </c>
      <c r="AWJ56" s="20" t="n">
        <f aca="false">IF(AND(H_Direct=0,H_TaxEvt=1,ASW55+1&gt;=H_Deemed),MAX(0,AEW56-AIJ56)*H_Exit,0)</f>
        <v>0</v>
      </c>
      <c r="AWK56" s="20" t="n">
        <f aca="false">IF(AND(H_Direct=0,H_TaxEvt=1,ASX55+1&gt;=H_Deemed),MAX(0,AEX56-AIK56)*H_Exit,0)</f>
        <v>0</v>
      </c>
      <c r="AWL56" s="20" t="n">
        <f aca="false">IF(AND(H_Direct=0,H_TaxEvt=1,ASY55+1&gt;=H_Deemed),MAX(0,AEY56-AIL56)*H_Exit,0)</f>
        <v>0</v>
      </c>
      <c r="AWM56" s="20" t="n">
        <f aca="false">IF(AND(H_Direct=0,H_TaxEvt=1,ASZ55+1&gt;=H_Deemed),MAX(0,AEZ56-AIM56)*H_Exit,0)</f>
        <v>0</v>
      </c>
      <c r="AWN56" s="20" t="n">
        <f aca="false">IF(AND(H_Direct=0,H_TaxEvt=1,ATA55+1&gt;=H_Deemed),MAX(0,AFA56-AIN56)*H_Exit,0)</f>
        <v>0</v>
      </c>
      <c r="AWO56" s="20" t="n">
        <f aca="false">IF(AND(H_Direct=0,H_TaxEvt=1,ATB55+1&gt;=H_Deemed),MAX(0,AFB56-AIO56)*H_Exit,0)</f>
        <v>0</v>
      </c>
      <c r="AWP56" s="20" t="n">
        <f aca="false">IF(AND(H_Direct=0,H_TaxEvt=1,ATC55+1&gt;=H_Deemed),MAX(0,AFC56-AIP56)*H_Exit,0)</f>
        <v>0</v>
      </c>
      <c r="AWQ56" s="20" t="n">
        <f aca="false">IF(AND(H_Direct=0,H_TaxEvt=1,ATD55+1&gt;=H_Deemed),MAX(0,AFD56-AIQ56)*H_Exit,0)</f>
        <v>0</v>
      </c>
      <c r="AWR56" s="20" t="n">
        <f aca="false">IF(AND(H_Direct=0,H_TaxEvt=1,ATE55+1&gt;=H_Deemed),MAX(0,AFE56-AIR56)*H_Exit,0)</f>
        <v>0</v>
      </c>
      <c r="AWS56" s="20" t="n">
        <f aca="false">IF(AND(H_Direct=0,H_TaxEvt=1,ATF55+1&gt;=H_Deemed),MAX(0,AFF56-AIS56)*H_Exit,0)</f>
        <v>0</v>
      </c>
      <c r="AWT56" s="20" t="n">
        <f aca="false">IF(AND(H_Direct=0,H_TaxEvt=1,ATG55+1&gt;=H_Deemed),MAX(0,AFG56-AIT56)*H_Exit,0)</f>
        <v>0</v>
      </c>
      <c r="AWU56" s="20" t="n">
        <f aca="false">IF(AND(H_Direct=0,H_TaxEvt=1,ATH55+1&gt;=H_Deemed),MAX(0,AFH56-AIU56)*H_Exit,0)</f>
        <v>0</v>
      </c>
      <c r="AWV56" s="20" t="n">
        <f aca="false">IF(AND(H_Direct=0,H_TaxEvt=1,ATI55+1&gt;=H_Deemed),MAX(0,AFI56-AIV56)*H_Exit,0)</f>
        <v>0</v>
      </c>
      <c r="AWW56" s="20" t="n">
        <f aca="false">IF(AND(H_Direct=0,H_TaxEvt=1,ATJ55+1&gt;=H_Deemed),MAX(0,AFJ56-AIW56)*H_Exit,0)</f>
        <v>0</v>
      </c>
      <c r="AWX56" s="20" t="n">
        <f aca="false">IF(AND(H_Direct=0,H_TaxEvt=1,ATK55+1&gt;=H_Deemed),MAX(0,AFK56-AIX56)*H_Exit,0)</f>
        <v>0</v>
      </c>
      <c r="AWY56" s="20" t="n">
        <f aca="false">IF(AND(H_Direct=0,H_TaxEvt=1,ATL55+1&gt;=H_Deemed),MAX(0,AFL56-AIY56)*H_Exit,0)</f>
        <v>0</v>
      </c>
      <c r="AWZ56" s="20" t="n">
        <f aca="false">IF(AND(H_Direct=0,H_TaxEvt=1,ATM55+1&gt;=H_Deemed),MAX(0,AFM56-AIZ56)*H_Exit,0)</f>
        <v>0</v>
      </c>
      <c r="AXA56" s="20" t="n">
        <f aca="false">IF(AND(H_Direct=0,H_TaxEvt=1,ATN55+1&gt;=H_Deemed),MAX(0,AFN56-AJA56)*H_Exit,0)</f>
        <v>0</v>
      </c>
      <c r="AXB56" s="20" t="n">
        <f aca="false">IF(AND(H_Direct=0,H_TaxEvt=1,0+1&gt;=H_Deemed),MAX(0,AFO56-AJB56)*H_Exit,0)</f>
        <v>0</v>
      </c>
      <c r="AXC56" s="20" t="n">
        <v>0</v>
      </c>
      <c r="AXD56" s="20" t="n">
        <v>0</v>
      </c>
      <c r="AXE56" s="20" t="n">
        <v>0</v>
      </c>
      <c r="AXF56" s="20" t="n">
        <v>0</v>
      </c>
      <c r="AXG56" s="20" t="n">
        <v>0</v>
      </c>
      <c r="AXH56" s="20" t="n">
        <v>0</v>
      </c>
      <c r="AXI56" s="20" t="n">
        <v>0</v>
      </c>
      <c r="AXJ56" s="20" t="n">
        <v>0</v>
      </c>
      <c r="AXK56" s="20" t="n">
        <v>0</v>
      </c>
      <c r="AXL56" s="20" t="n">
        <v>0</v>
      </c>
      <c r="AXM56" s="20" t="n">
        <v>0</v>
      </c>
      <c r="AXN56" s="20" t="n">
        <v>0</v>
      </c>
      <c r="AXO56" s="20" t="n">
        <v>0</v>
      </c>
      <c r="AXP56" s="20" t="n">
        <v>0</v>
      </c>
      <c r="AXQ56" s="20" t="n">
        <v>0</v>
      </c>
      <c r="AXR56" s="20" t="n">
        <v>0</v>
      </c>
      <c r="AXS56" s="20" t="n">
        <v>0</v>
      </c>
      <c r="AXT56" s="20" t="n">
        <v>0</v>
      </c>
      <c r="AXU56" s="20" t="n">
        <v>0</v>
      </c>
      <c r="AXV56" s="20" t="n">
        <v>0</v>
      </c>
      <c r="AXW56" s="20" t="n">
        <v>0</v>
      </c>
      <c r="AXX56" s="20" t="n">
        <v>0</v>
      </c>
      <c r="AXY56" s="20" t="n">
        <v>0</v>
      </c>
      <c r="AXZ56" s="20" t="n">
        <v>0</v>
      </c>
      <c r="AYA56" s="20" t="n">
        <v>0</v>
      </c>
      <c r="AYB56" s="20" t="n">
        <v>0</v>
      </c>
      <c r="AYC56" s="20" t="n">
        <v>0</v>
      </c>
      <c r="AYD56" s="20" t="n">
        <v>0</v>
      </c>
      <c r="AYE56" s="20" t="n">
        <v>0</v>
      </c>
      <c r="AYF56" s="20" t="n">
        <v>0</v>
      </c>
      <c r="AYG56" s="20" t="n">
        <v>0</v>
      </c>
      <c r="AYH56" s="20" t="n">
        <v>0</v>
      </c>
      <c r="AYI56" s="20" t="n">
        <v>0</v>
      </c>
      <c r="AYJ56" s="20" t="n">
        <v>0</v>
      </c>
      <c r="AYK56" s="20" t="n">
        <v>0</v>
      </c>
      <c r="AYL56" s="20" t="n">
        <v>0</v>
      </c>
      <c r="AYM56" s="20" t="n">
        <v>0</v>
      </c>
      <c r="AYN56" s="20" t="n">
        <v>0</v>
      </c>
      <c r="AYO56" s="20" t="n">
        <v>0</v>
      </c>
      <c r="AYP56" s="20" t="n">
        <v>0</v>
      </c>
      <c r="AYQ56" s="20" t="n">
        <v>0</v>
      </c>
    </row>
    <row r="57" customFormat="false" ht="15" hidden="false" customHeight="false" outlineLevel="0" collapsed="false">
      <c r="B57" s="20" t="n">
        <v>49</v>
      </c>
      <c r="C57" s="20" t="n">
        <f aca="false">'Plan cashflow'!C57</f>
        <v>1</v>
      </c>
      <c r="D57" s="20" t="n">
        <f aca="false">'Plan cashflow'!D57</f>
        <v>87</v>
      </c>
      <c r="E57" s="20" t="n">
        <f aca="false">AS_Year0+49</f>
        <v>2075</v>
      </c>
      <c r="F57" s="50" t="n">
        <f aca="false">'Plan cashflow'!F57</f>
        <v>2.63881179320942</v>
      </c>
      <c r="G57" s="59" t="n">
        <f aca="true">IF(MAX(TODAY(),DATE(E57,1,1))&gt;=H_CGTfrom,H_CGT1,H_CGT0)</f>
        <v>0.31</v>
      </c>
      <c r="H57" s="20" t="n">
        <f aca="false">H_Exempt*H_Persons</f>
        <v>1270</v>
      </c>
      <c r="I57" s="20" t="n">
        <f aca="false">AX56</f>
        <v>0</v>
      </c>
      <c r="J57" s="60" t="n">
        <f aca="false">BF56</f>
        <v>0</v>
      </c>
      <c r="K57" s="60" t="n">
        <f aca="false">BG56</f>
        <v>0</v>
      </c>
      <c r="L57" s="20" t="n">
        <f aca="false">IF(AND(In_polLump&gt;0,In_polLumpAge&gt;0,D57=In_polLumpAge),In_polLump,0)</f>
        <v>0</v>
      </c>
      <c r="M57" s="20" t="n">
        <f aca="false">IF(AND(In_homeUse="Yes, I'd downsize",In_downAge&gt;0,D57=In_downAge,OR(In_home="Own outright",In_home="Own with mortgage"),In_homeValue&gt;0),MAX(0,MAX(0,In_homeValue-In_downValue)*F57*0.9-'Plan cashflow'!HR56),0)</f>
        <v>0</v>
      </c>
      <c r="N57" s="20" t="n">
        <f aca="false">'Plan pay &amp; tax'!Y283</f>
        <v>0</v>
      </c>
      <c r="O57" s="20" t="n">
        <f aca="false">L57+M57+(1-H_Sh)*N57</f>
        <v>0</v>
      </c>
      <c r="P57" s="20" t="n">
        <f aca="false">H_Sh*N57</f>
        <v>0</v>
      </c>
      <c r="Q57" s="20" t="n">
        <f aca="false">'Plan cashflow'!UL57</f>
        <v>0</v>
      </c>
      <c r="R57" s="20" t="n">
        <f aca="false">(1-H_Sh)*Q57</f>
        <v>0</v>
      </c>
      <c r="S57" s="20" t="n">
        <f aca="false">H_Sh*Q57</f>
        <v>0</v>
      </c>
      <c r="T57" s="20" t="n">
        <f aca="false">J57+K57+O57</f>
        <v>0</v>
      </c>
      <c r="U57" s="20" t="n">
        <f aca="false">T57+R57</f>
        <v>0</v>
      </c>
      <c r="V57" s="60" t="n">
        <f aca="false">SUM(FE57:IQ57)</f>
        <v>0</v>
      </c>
      <c r="W57" s="60" t="n">
        <f aca="false">IF(AJ57&lt;=0,0,IF(AL57&lt;=0,AJ57,AJ57-G57*MAX(0,AL57*AJ57-(AY57+AZ57))))</f>
        <v>0</v>
      </c>
      <c r="X57" s="60" t="n">
        <f aca="false">IF(AR57&lt;=0,0,IF(AT57&lt;=0,AR57,AR57-G57*MAX(0,AT57*AR57-(BA57+BB57))))</f>
        <v>0</v>
      </c>
      <c r="Y57" s="60" t="n">
        <f aca="false">T57+V57-S57+W57+X57</f>
        <v>0</v>
      </c>
      <c r="Z57" s="60" t="n">
        <f aca="false">'Plan cashflow'!UK57</f>
        <v>0</v>
      </c>
      <c r="AA57" s="20" t="n">
        <f aca="false">MIN(Z57,U57)</f>
        <v>0</v>
      </c>
      <c r="AB57" s="20" t="n">
        <f aca="false">Z57-AA57</f>
        <v>0</v>
      </c>
      <c r="AC57" s="20" t="n">
        <f aca="false">MIN(AA57,J57+O57+R57)</f>
        <v>0</v>
      </c>
      <c r="AD57" s="20" t="n">
        <f aca="false">AA57-AC57</f>
        <v>0</v>
      </c>
      <c r="AE57" s="20" t="n">
        <f aca="false">J57+O57+R57-AC57</f>
        <v>0</v>
      </c>
      <c r="AF57" s="20" t="n">
        <f aca="false">K57-AD57</f>
        <v>0</v>
      </c>
      <c r="AG57" s="20" t="n">
        <f aca="false">SUM(PR57:TD57)</f>
        <v>0</v>
      </c>
      <c r="AH57" s="20" t="n">
        <f aca="false">SUM(TE57:WQ57)</f>
        <v>0</v>
      </c>
      <c r="AI57" s="20" t="n">
        <f aca="false">MAX(0,AB57-AG57)</f>
        <v>0</v>
      </c>
      <c r="AJ57" s="57" t="n">
        <f aca="false">BI56</f>
        <v>0</v>
      </c>
      <c r="AK57" s="20" t="n">
        <f aca="false">BJ56</f>
        <v>0</v>
      </c>
      <c r="AL57" s="20" t="n">
        <f aca="false">IF(AJ57&gt;0,(AJ57-AK57)/AJ57,0)</f>
        <v>0</v>
      </c>
      <c r="AM57" s="20" t="n">
        <f aca="false">IF(AJ57&lt;=0,0,IF(AL57&lt;=0,MIN(AI57,AJ57),MIN(AI57,AJ57-G57*MAX(0,AL57*AJ57-(AAD57+ADQ57)))))</f>
        <v>0</v>
      </c>
      <c r="AN57" s="20" t="n">
        <f aca="false">IF(AJ57&lt;=0,0,IF(AL57&lt;=0,AM57,IF(AM57&lt;=(AAD57+ADQ57)/AL57,AM57,(AM57-G57*(AAD57+ADQ57))/(1-G57*AL57))))</f>
        <v>0</v>
      </c>
      <c r="AO57" s="20" t="n">
        <f aca="false">IF(AL57&gt;0,MAX(0,AAD57-(MIN(AL57*AN57,(AAD57+ADQ57))-MIN(MIN(AL57*AN57,(AAD57+ADQ57)),ADQ57))),AAD57)</f>
        <v>1270</v>
      </c>
      <c r="AP57" s="20" t="n">
        <f aca="false">IF(AL57&lt;=0,ADQ57-AL57*AN57,ADQ57-MIN(MIN(AL57*AN57,(AAD57+ADQ57)),ADQ57))</f>
        <v>0</v>
      </c>
      <c r="AQ57" s="20" t="n">
        <f aca="false">MAX(0,AI57-AM57)</f>
        <v>0</v>
      </c>
      <c r="AR57" s="57" t="n">
        <f aca="false">BK56</f>
        <v>0</v>
      </c>
      <c r="AS57" s="20" t="n">
        <f aca="false">BL56</f>
        <v>0</v>
      </c>
      <c r="AT57" s="20" t="n">
        <f aca="false">IF(AR57&gt;0,(AR57-AS57)/AR57,0)</f>
        <v>0</v>
      </c>
      <c r="AU57" s="20" t="n">
        <f aca="false">IF(AR57&lt;=0,0,IF(AT57&lt;=0,MIN(AQ57,AR57),MIN(AQ57,AR57-G57*MAX(0,AT57*AR57-(AO57+AP57)))))</f>
        <v>0</v>
      </c>
      <c r="AV57" s="20" t="n">
        <f aca="false">IF(AR57&lt;=0,0,IF(AT57&lt;=0,AU57,IF(AU57&lt;=(AO57+AP57)/AT57,AU57,(AU57-G57*(AO57+AP57))/(1-G57*AT57))))</f>
        <v>0</v>
      </c>
      <c r="AW57" s="20" t="n">
        <f aca="false">IF(AT57&gt;0,MAX(0,AO57-(MIN(AT57*AV57,(AO57+AP57))-MIN(MIN(AT57*AV57,(AO57+AP57)),AP57))),AO57)</f>
        <v>1270</v>
      </c>
      <c r="AX57" s="20" t="n">
        <f aca="false">IF(AT57&lt;=0,AP57-AT57*AV57,AP57-MIN(MIN(AT57*AV57,(AO57+AP57)),AP57))</f>
        <v>0</v>
      </c>
      <c r="AY57" s="20" t="n">
        <f aca="false">MD57</f>
        <v>1270</v>
      </c>
      <c r="AZ57" s="20" t="n">
        <f aca="false">PQ57</f>
        <v>0</v>
      </c>
      <c r="BA57" s="20" t="n">
        <f aca="false">IF(AL57&gt;0,MAX(0,AY57-(MIN(AL57*AJ57,AY57+AZ57)-MIN(MIN(AL57*AJ57,AY57+AZ57),AZ57))),AY57)</f>
        <v>1270</v>
      </c>
      <c r="BB57" s="20" t="n">
        <f aca="false">IF(AL57&lt;=0,AZ57-AL57*AJ57,AZ57-MIN(MIN(AL57*AJ57,AY57+AZ57),AZ57))</f>
        <v>0</v>
      </c>
      <c r="BC57" s="20" t="n">
        <f aca="false">'Plan cashflow'!UM57</f>
        <v>0</v>
      </c>
      <c r="BD57" s="20" t="n">
        <f aca="false">(1-H_Sh)*BC57</f>
        <v>0</v>
      </c>
      <c r="BE57" s="20" t="n">
        <f aca="false">H_Sh*BC57</f>
        <v>0</v>
      </c>
      <c r="BF57" s="60" t="n">
        <f aca="false">(AE57+BD57)*(1+AS_Cash)</f>
        <v>0</v>
      </c>
      <c r="BG57" s="60" t="n">
        <f aca="false">AF57*(1+AS_Cash)</f>
        <v>0</v>
      </c>
      <c r="BH57" s="60" t="n">
        <f aca="false">SUM(AKR57:AOD57)</f>
        <v>0</v>
      </c>
      <c r="BI57" s="60" t="n">
        <f aca="false">(AJ57-AN57)*(1+AS_Infl)</f>
        <v>0</v>
      </c>
      <c r="BJ57" s="20" t="n">
        <f aca="false">IF(AJ57&gt;0,AK57-AK57*AN57/AJ57,0)</f>
        <v>0</v>
      </c>
      <c r="BK57" s="60" t="n">
        <f aca="false">(AR57-AV57)*(1+BQ57)</f>
        <v>0</v>
      </c>
      <c r="BL57" s="20" t="n">
        <f aca="false">IF(AR57&gt;0,AS57-AS57*AV57/AR57,0)</f>
        <v>0</v>
      </c>
      <c r="BM57" s="60" t="n">
        <f aca="false">BF57+BG57+BH57+BI57+BK57</f>
        <v>0</v>
      </c>
      <c r="BN57" s="60" t="n">
        <f aca="false">(AH57-AG57)+(AN57-AM57)+(AV57-AU57)</f>
        <v>0</v>
      </c>
      <c r="BO57" s="20" t="n">
        <f aca="false">(AE57+BD57+AF57+MAX(0,'Plan cashflow'!QH57)+IF(Slot1_Rate=AS_Cash,'Plan cashflow'!QM57/(1+AS_Cash),0)+IF(Slot2_Rate=AS_Cash,'Plan cashflow'!QQ57/(1+AS_Cash),0)+IF(Slot3_Rate=AS_Cash,'Plan cashflow'!QU57/(1+AS_Cash),0)+IF(Slot4_Rate=AS_Cash,'Plan cashflow'!QY57/(1+AS_Cash),0)+IF(Slot5_Rate=AS_Cash,'Plan cashflow'!RC57/(1+AS_Cash),0)+IF(Slot6_Rate=AS_Cash,'Plan cashflow'!RG57/(1+AS_Cash),0)+IF(Slot7_Rate=AS_Cash,'Plan cashflow'!RK57/(1+AS_Cash),0)+IF(Slot8_Rate=AS_Cash,'Plan cashflow'!RO57/(1+AS_Cash),0)+IF(Slot9_Rate=AS_Cash,'Plan cashflow'!RS57/(1+AS_Cash),0)+IF(Slot10_Rate=AS_Cash,'Plan cashflow'!RW57/(1+AS_Cash),0)+IF(Slot11_Rate=AS_Cash,'Plan cashflow'!SA57/(1+AS_Cash),0)+IF(Slot12_Rate=AS_Cash,'Plan cashflow'!SE57/(1+AS_Cash),0)+IF(Slot13_Rate=AS_Cash,'Plan cashflow'!SI57/(1+AS_Cash),0)+IF(Slot14_Rate=AS_Cash,'Plan cashflow'!SM57/(1+AS_Cash),0)+IF(Slot15_Rate=AS_Cash,'Plan cashflow'!SQ57/(1+AS_Cash),0)+IF(Slot16_Rate=AS_Cash,'Plan cashflow'!SU57/(1+AS_Cash),0)+IF(Slot17_Rate=AS_Cash,'Plan cashflow'!SY57/(1+AS_Cash),0)+IF(Slot18_Rate=AS_Cash,'Plan cashflow'!TC57/(1+AS_Cash),0)+IF(Slot19_Rate=AS_Cash,'Plan cashflow'!TG57/(1+AS_Cash),0)+IF(Slot20_Rate=AS_Cash,'Plan cashflow'!TK57/(1+AS_Cash),0))*AS_Cash*H_DIRT/(1-H_DIRT)</f>
        <v>0</v>
      </c>
      <c r="BP57" s="60" t="n">
        <f aca="false">SUM(AVE57:AYQ57)</f>
        <v>0</v>
      </c>
      <c r="BQ57" s="54" t="n">
        <f aca="false">IF(H_TaxEvt=1,H_InvG,AS_Inv)</f>
        <v>0.04</v>
      </c>
      <c r="BR57" s="20" t="n">
        <f aca="false">IF(AKR56&gt;0,(AKR56-AOE56)/AKR56,0)</f>
        <v>0</v>
      </c>
      <c r="BS57" s="20" t="n">
        <f aca="false">IF(AKS56&gt;0,(AKS56-AOF56)/AKS56,0)</f>
        <v>0</v>
      </c>
      <c r="BT57" s="20" t="n">
        <f aca="false">IF(AKT56&gt;0,(AKT56-AOG56)/AKT56,0)</f>
        <v>0</v>
      </c>
      <c r="BU57" s="20" t="n">
        <f aca="false">IF(AKU56&gt;0,(AKU56-AOH56)/AKU56,0)</f>
        <v>0</v>
      </c>
      <c r="BV57" s="20" t="n">
        <f aca="false">IF(AKV56&gt;0,(AKV56-AOI56)/AKV56,0)</f>
        <v>0</v>
      </c>
      <c r="BW57" s="20" t="n">
        <f aca="false">IF(AKW56&gt;0,(AKW56-AOJ56)/AKW56,0)</f>
        <v>0</v>
      </c>
      <c r="BX57" s="20" t="n">
        <f aca="false">IF(AKX56&gt;0,(AKX56-AOK56)/AKX56,0)</f>
        <v>0</v>
      </c>
      <c r="BY57" s="20" t="n">
        <f aca="false">IF(AKY56&gt;0,(AKY56-AOL56)/AKY56,0)</f>
        <v>0</v>
      </c>
      <c r="BZ57" s="20" t="n">
        <f aca="false">IF(AKZ56&gt;0,(AKZ56-AOM56)/AKZ56,0)</f>
        <v>0</v>
      </c>
      <c r="CA57" s="20" t="n">
        <f aca="false">IF(ALA56&gt;0,(ALA56-AON56)/ALA56,0)</f>
        <v>0</v>
      </c>
      <c r="CB57" s="20" t="n">
        <f aca="false">IF(ALB56&gt;0,(ALB56-AOO56)/ALB56,0)</f>
        <v>0</v>
      </c>
      <c r="CC57" s="20" t="n">
        <f aca="false">IF(ALC56&gt;0,(ALC56-AOP56)/ALC56,0)</f>
        <v>0</v>
      </c>
      <c r="CD57" s="20" t="n">
        <f aca="false">IF(ALD56&gt;0,(ALD56-AOQ56)/ALD56,0)</f>
        <v>0</v>
      </c>
      <c r="CE57" s="20" t="n">
        <f aca="false">IF(ALE56&gt;0,(ALE56-AOR56)/ALE56,0)</f>
        <v>0</v>
      </c>
      <c r="CF57" s="20" t="n">
        <f aca="false">IF(ALF56&gt;0,(ALF56-AOS56)/ALF56,0)</f>
        <v>0</v>
      </c>
      <c r="CG57" s="20" t="n">
        <f aca="false">IF(ALG56&gt;0,(ALG56-AOT56)/ALG56,0)</f>
        <v>0</v>
      </c>
      <c r="CH57" s="20" t="n">
        <f aca="false">IF(ALH56&gt;0,(ALH56-AOU56)/ALH56,0)</f>
        <v>0</v>
      </c>
      <c r="CI57" s="20" t="n">
        <f aca="false">IF(ALI56&gt;0,(ALI56-AOV56)/ALI56,0)</f>
        <v>0</v>
      </c>
      <c r="CJ57" s="20" t="n">
        <f aca="false">IF(ALJ56&gt;0,(ALJ56-AOW56)/ALJ56,0)</f>
        <v>0</v>
      </c>
      <c r="CK57" s="20" t="n">
        <f aca="false">IF(ALK56&gt;0,(ALK56-AOX56)/ALK56,0)</f>
        <v>0</v>
      </c>
      <c r="CL57" s="20" t="n">
        <f aca="false">IF(ALL56&gt;0,(ALL56-AOY56)/ALL56,0)</f>
        <v>0</v>
      </c>
      <c r="CM57" s="20" t="n">
        <f aca="false">IF(ALM56&gt;0,(ALM56-AOZ56)/ALM56,0)</f>
        <v>0</v>
      </c>
      <c r="CN57" s="20" t="n">
        <f aca="false">IF(ALN56&gt;0,(ALN56-APA56)/ALN56,0)</f>
        <v>0</v>
      </c>
      <c r="CO57" s="20" t="n">
        <f aca="false">IF(ALO56&gt;0,(ALO56-APB56)/ALO56,0)</f>
        <v>0</v>
      </c>
      <c r="CP57" s="20" t="n">
        <f aca="false">IF(ALP56&gt;0,(ALP56-APC56)/ALP56,0)</f>
        <v>0</v>
      </c>
      <c r="CQ57" s="20" t="n">
        <f aca="false">IF(ALQ56&gt;0,(ALQ56-APD56)/ALQ56,0)</f>
        <v>0</v>
      </c>
      <c r="CR57" s="20" t="n">
        <f aca="false">IF(ALR56&gt;0,(ALR56-APE56)/ALR56,0)</f>
        <v>0</v>
      </c>
      <c r="CS57" s="20" t="n">
        <f aca="false">IF(ALS56&gt;0,(ALS56-APF56)/ALS56,0)</f>
        <v>0</v>
      </c>
      <c r="CT57" s="20" t="n">
        <f aca="false">IF(ALT56&gt;0,(ALT56-APG56)/ALT56,0)</f>
        <v>0</v>
      </c>
      <c r="CU57" s="20" t="n">
        <f aca="false">IF(ALU56&gt;0,(ALU56-APH56)/ALU56,0)</f>
        <v>0</v>
      </c>
      <c r="CV57" s="20" t="n">
        <f aca="false">IF(ALV56&gt;0,(ALV56-API56)/ALV56,0)</f>
        <v>0</v>
      </c>
      <c r="CW57" s="20" t="n">
        <f aca="false">IF(ALW56&gt;0,(ALW56-APJ56)/ALW56,0)</f>
        <v>0</v>
      </c>
      <c r="CX57" s="20" t="n">
        <f aca="false">IF(ALX56&gt;0,(ALX56-APK56)/ALX56,0)</f>
        <v>0</v>
      </c>
      <c r="CY57" s="20" t="n">
        <f aca="false">IF(ALY56&gt;0,(ALY56-APL56)/ALY56,0)</f>
        <v>0</v>
      </c>
      <c r="CZ57" s="20" t="n">
        <f aca="false">IF(ALZ56&gt;0,(ALZ56-APM56)/ALZ56,0)</f>
        <v>0</v>
      </c>
      <c r="DA57" s="20" t="n">
        <f aca="false">IF(AMA56&gt;0,(AMA56-APN56)/AMA56,0)</f>
        <v>0</v>
      </c>
      <c r="DB57" s="20" t="n">
        <f aca="false">IF(AMB56&gt;0,(AMB56-APO56)/AMB56,0)</f>
        <v>0</v>
      </c>
      <c r="DC57" s="20" t="n">
        <f aca="false">IF(AMC56&gt;0,(AMC56-APP56)/AMC56,0)</f>
        <v>0</v>
      </c>
      <c r="DD57" s="20" t="n">
        <f aca="false">IF(AMD56&gt;0,(AMD56-APQ56)/AMD56,0)</f>
        <v>0</v>
      </c>
      <c r="DE57" s="20" t="n">
        <f aca="false">IF(AME56&gt;0,(AME56-APR56)/AME56,0)</f>
        <v>0</v>
      </c>
      <c r="DF57" s="20" t="n">
        <f aca="false">IF(AMF56&gt;0,(AMF56-APS56)/AMF56,0)</f>
        <v>0</v>
      </c>
      <c r="DG57" s="20" t="n">
        <f aca="false">IF(AMG56&gt;0,(AMG56-APT56)/AMG56,0)</f>
        <v>0</v>
      </c>
      <c r="DH57" s="20" t="n">
        <f aca="false">IF(AMH56&gt;0,(AMH56-APU56)/AMH56,0)</f>
        <v>0</v>
      </c>
      <c r="DI57" s="20" t="n">
        <f aca="false">IF(AMI56&gt;0,(AMI56-APV56)/AMI56,0)</f>
        <v>0</v>
      </c>
      <c r="DJ57" s="20" t="n">
        <f aca="false">IF(AMJ56&gt;0,(AMJ56-APW56)/AMJ56,0)</f>
        <v>0</v>
      </c>
      <c r="DK57" s="20" t="n">
        <f aca="false">IF(AMK56&gt;0,(AMK56-APX56)/AMK56,0)</f>
        <v>0</v>
      </c>
      <c r="DL57" s="20" t="n">
        <f aca="false">IF(AML56&gt;0,(AML56-APY56)/AML56,0)</f>
        <v>0</v>
      </c>
      <c r="DM57" s="20" t="n">
        <f aca="false">IF(AMM56&gt;0,(AMM56-APZ56)/AMM56,0)</f>
        <v>0</v>
      </c>
      <c r="DN57" s="20" t="n">
        <f aca="false">IF(AMN56&gt;0,(AMN56-AQA56)/AMN56,0)</f>
        <v>0</v>
      </c>
      <c r="DO57" s="20" t="n">
        <f aca="false">IF(AMO56&gt;0,(AMO56-AQB56)/AMO56,0)</f>
        <v>0</v>
      </c>
      <c r="DP57" s="20" t="n">
        <f aca="false">IF((P57+S57)&gt;0,((P57+S57)-(P57+S57))/(P57+S57),0)</f>
        <v>0</v>
      </c>
      <c r="DQ57" s="20" t="n">
        <v>0</v>
      </c>
      <c r="DR57" s="20" t="n">
        <v>0</v>
      </c>
      <c r="DS57" s="20" t="n">
        <v>0</v>
      </c>
      <c r="DT57" s="20" t="n">
        <v>0</v>
      </c>
      <c r="DU57" s="20" t="n">
        <v>0</v>
      </c>
      <c r="DV57" s="20" t="n">
        <v>0</v>
      </c>
      <c r="DW57" s="20" t="n">
        <v>0</v>
      </c>
      <c r="DX57" s="20" t="n">
        <v>0</v>
      </c>
      <c r="DY57" s="20" t="n">
        <v>0</v>
      </c>
      <c r="DZ57" s="20" t="n">
        <v>0</v>
      </c>
      <c r="EA57" s="20" t="n">
        <v>0</v>
      </c>
      <c r="EB57" s="20" t="n">
        <v>0</v>
      </c>
      <c r="EC57" s="20" t="n">
        <v>0</v>
      </c>
      <c r="ED57" s="20" t="n">
        <v>0</v>
      </c>
      <c r="EE57" s="20" t="n">
        <v>0</v>
      </c>
      <c r="EF57" s="20" t="n">
        <v>0</v>
      </c>
      <c r="EG57" s="20" t="n">
        <v>0</v>
      </c>
      <c r="EH57" s="20" t="n">
        <v>0</v>
      </c>
      <c r="EI57" s="20" t="n">
        <v>0</v>
      </c>
      <c r="EJ57" s="20" t="n">
        <v>0</v>
      </c>
      <c r="EK57" s="20" t="n">
        <v>0</v>
      </c>
      <c r="EL57" s="20" t="n">
        <v>0</v>
      </c>
      <c r="EM57" s="20" t="n">
        <v>0</v>
      </c>
      <c r="EN57" s="20" t="n">
        <v>0</v>
      </c>
      <c r="EO57" s="20" t="n">
        <v>0</v>
      </c>
      <c r="EP57" s="20" t="n">
        <v>0</v>
      </c>
      <c r="EQ57" s="20" t="n">
        <v>0</v>
      </c>
      <c r="ER57" s="20" t="n">
        <v>0</v>
      </c>
      <c r="ES57" s="20" t="n">
        <v>0</v>
      </c>
      <c r="ET57" s="20" t="n">
        <v>0</v>
      </c>
      <c r="EU57" s="20" t="n">
        <v>0</v>
      </c>
      <c r="EV57" s="20" t="n">
        <v>0</v>
      </c>
      <c r="EW57" s="20" t="n">
        <v>0</v>
      </c>
      <c r="EX57" s="20" t="n">
        <v>0</v>
      </c>
      <c r="EY57" s="20" t="n">
        <v>0</v>
      </c>
      <c r="EZ57" s="20" t="n">
        <v>0</v>
      </c>
      <c r="FA57" s="20" t="n">
        <v>0</v>
      </c>
      <c r="FB57" s="20" t="n">
        <v>0</v>
      </c>
      <c r="FC57" s="20" t="n">
        <v>0</v>
      </c>
      <c r="FD57" s="20" t="n">
        <v>0</v>
      </c>
      <c r="FE57" s="20" t="n">
        <f aca="false">IF(H_Direct=1,IF(AKR56&lt;=0,0,IF(BR57&lt;=0,AKR56,AKR56-G57*MAX(0,BR57*AKR56-(H57+I57)))),AKR56*(1-MAX(0,BR57)*H_Exit))</f>
        <v>0</v>
      </c>
      <c r="FF57" s="20" t="n">
        <f aca="false">IF(H_Direct=1,IF(AKS56&lt;=0,0,IF(BS57&lt;=0,AKS56,AKS56-G57*MAX(0,BS57*AKS56-(IR57+ME57)))),AKS56*(1-MAX(0,BS57)*H_Exit))</f>
        <v>0</v>
      </c>
      <c r="FG57" s="20" t="n">
        <f aca="false">IF(H_Direct=1,IF(AKT56&lt;=0,0,IF(BT57&lt;=0,AKT56,AKT56-G57*MAX(0,BT57*AKT56-(IS57+MF57)))),AKT56*(1-MAX(0,BT57)*H_Exit))</f>
        <v>0</v>
      </c>
      <c r="FH57" s="20" t="n">
        <f aca="false">IF(H_Direct=1,IF(AKU56&lt;=0,0,IF(BU57&lt;=0,AKU56,AKU56-G57*MAX(0,BU57*AKU56-(IT57+MG57)))),AKU56*(1-MAX(0,BU57)*H_Exit))</f>
        <v>0</v>
      </c>
      <c r="FI57" s="20" t="n">
        <f aca="false">IF(H_Direct=1,IF(AKV56&lt;=0,0,IF(BV57&lt;=0,AKV56,AKV56-G57*MAX(0,BV57*AKV56-(IU57+MH57)))),AKV56*(1-MAX(0,BV57)*H_Exit))</f>
        <v>0</v>
      </c>
      <c r="FJ57" s="20" t="n">
        <f aca="false">IF(H_Direct=1,IF(AKW56&lt;=0,0,IF(BW57&lt;=0,AKW56,AKW56-G57*MAX(0,BW57*AKW56-(IV57+MI57)))),AKW56*(1-MAX(0,BW57)*H_Exit))</f>
        <v>0</v>
      </c>
      <c r="FK57" s="20" t="n">
        <f aca="false">IF(H_Direct=1,IF(AKX56&lt;=0,0,IF(BX57&lt;=0,AKX56,AKX56-G57*MAX(0,BX57*AKX56-(IW57+MJ57)))),AKX56*(1-MAX(0,BX57)*H_Exit))</f>
        <v>0</v>
      </c>
      <c r="FL57" s="20" t="n">
        <f aca="false">IF(H_Direct=1,IF(AKY56&lt;=0,0,IF(BY57&lt;=0,AKY56,AKY56-G57*MAX(0,BY57*AKY56-(IX57+MK57)))),AKY56*(1-MAX(0,BY57)*H_Exit))</f>
        <v>0</v>
      </c>
      <c r="FM57" s="20" t="n">
        <f aca="false">IF(H_Direct=1,IF(AKZ56&lt;=0,0,IF(BZ57&lt;=0,AKZ56,AKZ56-G57*MAX(0,BZ57*AKZ56-(IY57+ML57)))),AKZ56*(1-MAX(0,BZ57)*H_Exit))</f>
        <v>0</v>
      </c>
      <c r="FN57" s="20" t="n">
        <f aca="false">IF(H_Direct=1,IF(ALA56&lt;=0,0,IF(CA57&lt;=0,ALA56,ALA56-G57*MAX(0,CA57*ALA56-(IZ57+MM57)))),ALA56*(1-MAX(0,CA57)*H_Exit))</f>
        <v>0</v>
      </c>
      <c r="FO57" s="20" t="n">
        <f aca="false">IF(H_Direct=1,IF(ALB56&lt;=0,0,IF(CB57&lt;=0,ALB56,ALB56-G57*MAX(0,CB57*ALB56-(JA57+MN57)))),ALB56*(1-MAX(0,CB57)*H_Exit))</f>
        <v>0</v>
      </c>
      <c r="FP57" s="20" t="n">
        <f aca="false">IF(H_Direct=1,IF(ALC56&lt;=0,0,IF(CC57&lt;=0,ALC56,ALC56-G57*MAX(0,CC57*ALC56-(JB57+MO57)))),ALC56*(1-MAX(0,CC57)*H_Exit))</f>
        <v>0</v>
      </c>
      <c r="FQ57" s="20" t="n">
        <f aca="false">IF(H_Direct=1,IF(ALD56&lt;=0,0,IF(CD57&lt;=0,ALD56,ALD56-G57*MAX(0,CD57*ALD56-(JC57+MP57)))),ALD56*(1-MAX(0,CD57)*H_Exit))</f>
        <v>0</v>
      </c>
      <c r="FR57" s="20" t="n">
        <f aca="false">IF(H_Direct=1,IF(ALE56&lt;=0,0,IF(CE57&lt;=0,ALE56,ALE56-G57*MAX(0,CE57*ALE56-(JD57+MQ57)))),ALE56*(1-MAX(0,CE57)*H_Exit))</f>
        <v>0</v>
      </c>
      <c r="FS57" s="20" t="n">
        <f aca="false">IF(H_Direct=1,IF(ALF56&lt;=0,0,IF(CF57&lt;=0,ALF56,ALF56-G57*MAX(0,CF57*ALF56-(JE57+MR57)))),ALF56*(1-MAX(0,CF57)*H_Exit))</f>
        <v>0</v>
      </c>
      <c r="FT57" s="20" t="n">
        <f aca="false">IF(H_Direct=1,IF(ALG56&lt;=0,0,IF(CG57&lt;=0,ALG56,ALG56-G57*MAX(0,CG57*ALG56-(JF57+MS57)))),ALG56*(1-MAX(0,CG57)*H_Exit))</f>
        <v>0</v>
      </c>
      <c r="FU57" s="20" t="n">
        <f aca="false">IF(H_Direct=1,IF(ALH56&lt;=0,0,IF(CH57&lt;=0,ALH56,ALH56-G57*MAX(0,CH57*ALH56-(JG57+MT57)))),ALH56*(1-MAX(0,CH57)*H_Exit))</f>
        <v>0</v>
      </c>
      <c r="FV57" s="20" t="n">
        <f aca="false">IF(H_Direct=1,IF(ALI56&lt;=0,0,IF(CI57&lt;=0,ALI56,ALI56-G57*MAX(0,CI57*ALI56-(JH57+MU57)))),ALI56*(1-MAX(0,CI57)*H_Exit))</f>
        <v>0</v>
      </c>
      <c r="FW57" s="20" t="n">
        <f aca="false">IF(H_Direct=1,IF(ALJ56&lt;=0,0,IF(CJ57&lt;=0,ALJ56,ALJ56-G57*MAX(0,CJ57*ALJ56-(JI57+MV57)))),ALJ56*(1-MAX(0,CJ57)*H_Exit))</f>
        <v>0</v>
      </c>
      <c r="FX57" s="20" t="n">
        <f aca="false">IF(H_Direct=1,IF(ALK56&lt;=0,0,IF(CK57&lt;=0,ALK56,ALK56-G57*MAX(0,CK57*ALK56-(JJ57+MW57)))),ALK56*(1-MAX(0,CK57)*H_Exit))</f>
        <v>0</v>
      </c>
      <c r="FY57" s="20" t="n">
        <f aca="false">IF(H_Direct=1,IF(ALL56&lt;=0,0,IF(CL57&lt;=0,ALL56,ALL56-G57*MAX(0,CL57*ALL56-(JK57+MX57)))),ALL56*(1-MAX(0,CL57)*H_Exit))</f>
        <v>0</v>
      </c>
      <c r="FZ57" s="20" t="n">
        <f aca="false">IF(H_Direct=1,IF(ALM56&lt;=0,0,IF(CM57&lt;=0,ALM56,ALM56-G57*MAX(0,CM57*ALM56-(JL57+MY57)))),ALM56*(1-MAX(0,CM57)*H_Exit))</f>
        <v>0</v>
      </c>
      <c r="GA57" s="20" t="n">
        <f aca="false">IF(H_Direct=1,IF(ALN56&lt;=0,0,IF(CN57&lt;=0,ALN56,ALN56-G57*MAX(0,CN57*ALN56-(JM57+MZ57)))),ALN56*(1-MAX(0,CN57)*H_Exit))</f>
        <v>0</v>
      </c>
      <c r="GB57" s="20" t="n">
        <f aca="false">IF(H_Direct=1,IF(ALO56&lt;=0,0,IF(CO57&lt;=0,ALO56,ALO56-G57*MAX(0,CO57*ALO56-(JN57+NA57)))),ALO56*(1-MAX(0,CO57)*H_Exit))</f>
        <v>0</v>
      </c>
      <c r="GC57" s="20" t="n">
        <f aca="false">IF(H_Direct=1,IF(ALP56&lt;=0,0,IF(CP57&lt;=0,ALP56,ALP56-G57*MAX(0,CP57*ALP56-(JO57+NB57)))),ALP56*(1-MAX(0,CP57)*H_Exit))</f>
        <v>0</v>
      </c>
      <c r="GD57" s="20" t="n">
        <f aca="false">IF(H_Direct=1,IF(ALQ56&lt;=0,0,IF(CQ57&lt;=0,ALQ56,ALQ56-G57*MAX(0,CQ57*ALQ56-(JP57+NC57)))),ALQ56*(1-MAX(0,CQ57)*H_Exit))</f>
        <v>0</v>
      </c>
      <c r="GE57" s="20" t="n">
        <f aca="false">IF(H_Direct=1,IF(ALR56&lt;=0,0,IF(CR57&lt;=0,ALR56,ALR56-G57*MAX(0,CR57*ALR56-(JQ57+ND57)))),ALR56*(1-MAX(0,CR57)*H_Exit))</f>
        <v>0</v>
      </c>
      <c r="GF57" s="20" t="n">
        <f aca="false">IF(H_Direct=1,IF(ALS56&lt;=0,0,IF(CS57&lt;=0,ALS56,ALS56-G57*MAX(0,CS57*ALS56-(JR57+NE57)))),ALS56*(1-MAX(0,CS57)*H_Exit))</f>
        <v>0</v>
      </c>
      <c r="GG57" s="20" t="n">
        <f aca="false">IF(H_Direct=1,IF(ALT56&lt;=0,0,IF(CT57&lt;=0,ALT56,ALT56-G57*MAX(0,CT57*ALT56-(JS57+NF57)))),ALT56*(1-MAX(0,CT57)*H_Exit))</f>
        <v>0</v>
      </c>
      <c r="GH57" s="20" t="n">
        <f aca="false">IF(H_Direct=1,IF(ALU56&lt;=0,0,IF(CU57&lt;=0,ALU56,ALU56-G57*MAX(0,CU57*ALU56-(JT57+NG57)))),ALU56*(1-MAX(0,CU57)*H_Exit))</f>
        <v>0</v>
      </c>
      <c r="GI57" s="20" t="n">
        <f aca="false">IF(H_Direct=1,IF(ALV56&lt;=0,0,IF(CV57&lt;=0,ALV56,ALV56-G57*MAX(0,CV57*ALV56-(JU57+NH57)))),ALV56*(1-MAX(0,CV57)*H_Exit))</f>
        <v>0</v>
      </c>
      <c r="GJ57" s="20" t="n">
        <f aca="false">IF(H_Direct=1,IF(ALW56&lt;=0,0,IF(CW57&lt;=0,ALW56,ALW56-G57*MAX(0,CW57*ALW56-(JV57+NI57)))),ALW56*(1-MAX(0,CW57)*H_Exit))</f>
        <v>0</v>
      </c>
      <c r="GK57" s="20" t="n">
        <f aca="false">IF(H_Direct=1,IF(ALX56&lt;=0,0,IF(CX57&lt;=0,ALX56,ALX56-G57*MAX(0,CX57*ALX56-(JW57+NJ57)))),ALX56*(1-MAX(0,CX57)*H_Exit))</f>
        <v>0</v>
      </c>
      <c r="GL57" s="20" t="n">
        <f aca="false">IF(H_Direct=1,IF(ALY56&lt;=0,0,IF(CY57&lt;=0,ALY56,ALY56-G57*MAX(0,CY57*ALY56-(JX57+NK57)))),ALY56*(1-MAX(0,CY57)*H_Exit))</f>
        <v>0</v>
      </c>
      <c r="GM57" s="20" t="n">
        <f aca="false">IF(H_Direct=1,IF(ALZ56&lt;=0,0,IF(CZ57&lt;=0,ALZ56,ALZ56-G57*MAX(0,CZ57*ALZ56-(JY57+NL57)))),ALZ56*(1-MAX(0,CZ57)*H_Exit))</f>
        <v>0</v>
      </c>
      <c r="GN57" s="20" t="n">
        <f aca="false">IF(H_Direct=1,IF(AMA56&lt;=0,0,IF(DA57&lt;=0,AMA56,AMA56-G57*MAX(0,DA57*AMA56-(JZ57+NM57)))),AMA56*(1-MAX(0,DA57)*H_Exit))</f>
        <v>0</v>
      </c>
      <c r="GO57" s="20" t="n">
        <f aca="false">IF(H_Direct=1,IF(AMB56&lt;=0,0,IF(DB57&lt;=0,AMB56,AMB56-G57*MAX(0,DB57*AMB56-(KA57+NN57)))),AMB56*(1-MAX(0,DB57)*H_Exit))</f>
        <v>0</v>
      </c>
      <c r="GP57" s="20" t="n">
        <f aca="false">IF(H_Direct=1,IF(AMC56&lt;=0,0,IF(DC57&lt;=0,AMC56,AMC56-G57*MAX(0,DC57*AMC56-(KB57+NO57)))),AMC56*(1-MAX(0,DC57)*H_Exit))</f>
        <v>0</v>
      </c>
      <c r="GQ57" s="20" t="n">
        <f aca="false">IF(H_Direct=1,IF(AMD56&lt;=0,0,IF(DD57&lt;=0,AMD56,AMD56-G57*MAX(0,DD57*AMD56-(KC57+NP57)))),AMD56*(1-MAX(0,DD57)*H_Exit))</f>
        <v>0</v>
      </c>
      <c r="GR57" s="20" t="n">
        <f aca="false">IF(H_Direct=1,IF(AME56&lt;=0,0,IF(DE57&lt;=0,AME56,AME56-G57*MAX(0,DE57*AME56-(KD57+NQ57)))),AME56*(1-MAX(0,DE57)*H_Exit))</f>
        <v>0</v>
      </c>
      <c r="GS57" s="20" t="n">
        <f aca="false">IF(H_Direct=1,IF(AMF56&lt;=0,0,IF(DF57&lt;=0,AMF56,AMF56-G57*MAX(0,DF57*AMF56-(KE57+NR57)))),AMF56*(1-MAX(0,DF57)*H_Exit))</f>
        <v>0</v>
      </c>
      <c r="GT57" s="20" t="n">
        <f aca="false">IF(H_Direct=1,IF(AMG56&lt;=0,0,IF(DG57&lt;=0,AMG56,AMG56-G57*MAX(0,DG57*AMG56-(KF57+NS57)))),AMG56*(1-MAX(0,DG57)*H_Exit))</f>
        <v>0</v>
      </c>
      <c r="GU57" s="20" t="n">
        <f aca="false">IF(H_Direct=1,IF(AMH56&lt;=0,0,IF(DH57&lt;=0,AMH56,AMH56-G57*MAX(0,DH57*AMH56-(KG57+NT57)))),AMH56*(1-MAX(0,DH57)*H_Exit))</f>
        <v>0</v>
      </c>
      <c r="GV57" s="20" t="n">
        <f aca="false">IF(H_Direct=1,IF(AMI56&lt;=0,0,IF(DI57&lt;=0,AMI56,AMI56-G57*MAX(0,DI57*AMI56-(KH57+NU57)))),AMI56*(1-MAX(0,DI57)*H_Exit))</f>
        <v>0</v>
      </c>
      <c r="GW57" s="20" t="n">
        <f aca="false">IF(H_Direct=1,IF(AMJ56&lt;=0,0,IF(DJ57&lt;=0,AMJ56,AMJ56-G57*MAX(0,DJ57*AMJ56-(KI57+NV57)))),AMJ56*(1-MAX(0,DJ57)*H_Exit))</f>
        <v>0</v>
      </c>
      <c r="GX57" s="20" t="n">
        <f aca="false">IF(H_Direct=1,IF(AMK56&lt;=0,0,IF(DK57&lt;=0,AMK56,AMK56-G57*MAX(0,DK57*AMK56-(KJ57+NW57)))),AMK56*(1-MAX(0,DK57)*H_Exit))</f>
        <v>0</v>
      </c>
      <c r="GY57" s="20" t="n">
        <f aca="false">IF(H_Direct=1,IF(AML56&lt;=0,0,IF(DL57&lt;=0,AML56,AML56-G57*MAX(0,DL57*AML56-(KK57+NX57)))),AML56*(1-MAX(0,DL57)*H_Exit))</f>
        <v>0</v>
      </c>
      <c r="GZ57" s="20" t="n">
        <f aca="false">IF(H_Direct=1,IF(AMM56&lt;=0,0,IF(DM57&lt;=0,AMM56,AMM56-G57*MAX(0,DM57*AMM56-(KL57+NY57)))),AMM56*(1-MAX(0,DM57)*H_Exit))</f>
        <v>0</v>
      </c>
      <c r="HA57" s="20" t="n">
        <f aca="false">IF(H_Direct=1,IF(AMN56&lt;=0,0,IF(DN57&lt;=0,AMN56,AMN56-G57*MAX(0,DN57*AMN56-(KM57+NZ57)))),AMN56*(1-MAX(0,DN57)*H_Exit))</f>
        <v>0</v>
      </c>
      <c r="HB57" s="20" t="n">
        <f aca="false">IF(H_Direct=1,IF(AMO56&lt;=0,0,IF(DO57&lt;=0,AMO56,AMO56-G57*MAX(0,DO57*AMO56-(KN57+OA57)))),AMO56*(1-MAX(0,DO57)*H_Exit))</f>
        <v>0</v>
      </c>
      <c r="HC57" s="20" t="n">
        <f aca="false">IF(H_Direct=1,IF((P57+S57)&lt;=0,0,IF(DP57&lt;=0,(P57+S57),(P57+S57)-G57*MAX(0,DP57*(P57+S57)-(KO57+OB57)))),(P57+S57)*(1-MAX(0,DP57)*H_Exit))</f>
        <v>0</v>
      </c>
      <c r="HD57" s="20" t="n">
        <v>0</v>
      </c>
      <c r="HE57" s="20" t="n">
        <v>0</v>
      </c>
      <c r="HF57" s="20" t="n">
        <v>0</v>
      </c>
      <c r="HG57" s="20" t="n">
        <v>0</v>
      </c>
      <c r="HH57" s="20" t="n">
        <v>0</v>
      </c>
      <c r="HI57" s="20" t="n">
        <v>0</v>
      </c>
      <c r="HJ57" s="20" t="n">
        <v>0</v>
      </c>
      <c r="HK57" s="20" t="n">
        <v>0</v>
      </c>
      <c r="HL57" s="20" t="n">
        <v>0</v>
      </c>
      <c r="HM57" s="20" t="n">
        <v>0</v>
      </c>
      <c r="HN57" s="20" t="n">
        <v>0</v>
      </c>
      <c r="HO57" s="20" t="n">
        <v>0</v>
      </c>
      <c r="HP57" s="20" t="n">
        <v>0</v>
      </c>
      <c r="HQ57" s="20" t="n">
        <v>0</v>
      </c>
      <c r="HR57" s="20" t="n">
        <v>0</v>
      </c>
      <c r="HS57" s="20" t="n">
        <v>0</v>
      </c>
      <c r="HT57" s="20" t="n">
        <v>0</v>
      </c>
      <c r="HU57" s="20" t="n">
        <v>0</v>
      </c>
      <c r="HV57" s="20" t="n">
        <v>0</v>
      </c>
      <c r="HW57" s="20" t="n">
        <v>0</v>
      </c>
      <c r="HX57" s="20" t="n">
        <v>0</v>
      </c>
      <c r="HY57" s="20" t="n">
        <v>0</v>
      </c>
      <c r="HZ57" s="20" t="n">
        <v>0</v>
      </c>
      <c r="IA57" s="20" t="n">
        <v>0</v>
      </c>
      <c r="IB57" s="20" t="n">
        <v>0</v>
      </c>
      <c r="IC57" s="20" t="n">
        <v>0</v>
      </c>
      <c r="ID57" s="20" t="n">
        <v>0</v>
      </c>
      <c r="IE57" s="20" t="n">
        <v>0</v>
      </c>
      <c r="IF57" s="20" t="n">
        <v>0</v>
      </c>
      <c r="IG57" s="20" t="n">
        <v>0</v>
      </c>
      <c r="IH57" s="20" t="n">
        <v>0</v>
      </c>
      <c r="II57" s="20" t="n">
        <v>0</v>
      </c>
      <c r="IJ57" s="20" t="n">
        <v>0</v>
      </c>
      <c r="IK57" s="20" t="n">
        <v>0</v>
      </c>
      <c r="IL57" s="20" t="n">
        <v>0</v>
      </c>
      <c r="IM57" s="20" t="n">
        <v>0</v>
      </c>
      <c r="IN57" s="20" t="n">
        <v>0</v>
      </c>
      <c r="IO57" s="20" t="n">
        <v>0</v>
      </c>
      <c r="IP57" s="20" t="n">
        <v>0</v>
      </c>
      <c r="IQ57" s="20" t="n">
        <v>0</v>
      </c>
      <c r="IR57" s="20" t="n">
        <f aca="false">IF(AND(H_Direct=1,BR57&gt;0),MAX(0,H57-(MIN(BR57*AKR56,H57+I57)-MIN(MIN(BR57*AKR56,H57+I57),I57))),H57)</f>
        <v>1270</v>
      </c>
      <c r="IS57" s="20" t="n">
        <f aca="false">IF(AND(H_Direct=1,BS57&gt;0),MAX(0,IR57-(MIN(BS57*AKS56,IR57+ME57)-MIN(MIN(BS57*AKS56,IR57+ME57),ME57))),IR57)</f>
        <v>1270</v>
      </c>
      <c r="IT57" s="20" t="n">
        <f aca="false">IF(AND(H_Direct=1,BT57&gt;0),MAX(0,IS57-(MIN(BT57*AKT56,IS57+MF57)-MIN(MIN(BT57*AKT56,IS57+MF57),MF57))),IS57)</f>
        <v>1270</v>
      </c>
      <c r="IU57" s="20" t="n">
        <f aca="false">IF(AND(H_Direct=1,BU57&gt;0),MAX(0,IT57-(MIN(BU57*AKU56,IT57+MG57)-MIN(MIN(BU57*AKU56,IT57+MG57),MG57))),IT57)</f>
        <v>1270</v>
      </c>
      <c r="IV57" s="20" t="n">
        <f aca="false">IF(AND(H_Direct=1,BV57&gt;0),MAX(0,IU57-(MIN(BV57*AKV56,IU57+MH57)-MIN(MIN(BV57*AKV56,IU57+MH57),MH57))),IU57)</f>
        <v>1270</v>
      </c>
      <c r="IW57" s="20" t="n">
        <f aca="false">IF(AND(H_Direct=1,BW57&gt;0),MAX(0,IV57-(MIN(BW57*AKW56,IV57+MI57)-MIN(MIN(BW57*AKW56,IV57+MI57),MI57))),IV57)</f>
        <v>1270</v>
      </c>
      <c r="IX57" s="20" t="n">
        <f aca="false">IF(AND(H_Direct=1,BX57&gt;0),MAX(0,IW57-(MIN(BX57*AKX56,IW57+MJ57)-MIN(MIN(BX57*AKX56,IW57+MJ57),MJ57))),IW57)</f>
        <v>1270</v>
      </c>
      <c r="IY57" s="20" t="n">
        <f aca="false">IF(AND(H_Direct=1,BY57&gt;0),MAX(0,IX57-(MIN(BY57*AKY56,IX57+MK57)-MIN(MIN(BY57*AKY56,IX57+MK57),MK57))),IX57)</f>
        <v>1270</v>
      </c>
      <c r="IZ57" s="20" t="n">
        <f aca="false">IF(AND(H_Direct=1,BZ57&gt;0),MAX(0,IY57-(MIN(BZ57*AKZ56,IY57+ML57)-MIN(MIN(BZ57*AKZ56,IY57+ML57),ML57))),IY57)</f>
        <v>1270</v>
      </c>
      <c r="JA57" s="20" t="n">
        <f aca="false">IF(AND(H_Direct=1,CA57&gt;0),MAX(0,IZ57-(MIN(CA57*ALA56,IZ57+MM57)-MIN(MIN(CA57*ALA56,IZ57+MM57),MM57))),IZ57)</f>
        <v>1270</v>
      </c>
      <c r="JB57" s="20" t="n">
        <f aca="false">IF(AND(H_Direct=1,CB57&gt;0),MAX(0,JA57-(MIN(CB57*ALB56,JA57+MN57)-MIN(MIN(CB57*ALB56,JA57+MN57),MN57))),JA57)</f>
        <v>1270</v>
      </c>
      <c r="JC57" s="20" t="n">
        <f aca="false">IF(AND(H_Direct=1,CC57&gt;0),MAX(0,JB57-(MIN(CC57*ALC56,JB57+MO57)-MIN(MIN(CC57*ALC56,JB57+MO57),MO57))),JB57)</f>
        <v>1270</v>
      </c>
      <c r="JD57" s="20" t="n">
        <f aca="false">IF(AND(H_Direct=1,CD57&gt;0),MAX(0,JC57-(MIN(CD57*ALD56,JC57+MP57)-MIN(MIN(CD57*ALD56,JC57+MP57),MP57))),JC57)</f>
        <v>1270</v>
      </c>
      <c r="JE57" s="20" t="n">
        <f aca="false">IF(AND(H_Direct=1,CE57&gt;0),MAX(0,JD57-(MIN(CE57*ALE56,JD57+MQ57)-MIN(MIN(CE57*ALE56,JD57+MQ57),MQ57))),JD57)</f>
        <v>1270</v>
      </c>
      <c r="JF57" s="20" t="n">
        <f aca="false">IF(AND(H_Direct=1,CF57&gt;0),MAX(0,JE57-(MIN(CF57*ALF56,JE57+MR57)-MIN(MIN(CF57*ALF56,JE57+MR57),MR57))),JE57)</f>
        <v>1270</v>
      </c>
      <c r="JG57" s="20" t="n">
        <f aca="false">IF(AND(H_Direct=1,CG57&gt;0),MAX(0,JF57-(MIN(CG57*ALG56,JF57+MS57)-MIN(MIN(CG57*ALG56,JF57+MS57),MS57))),JF57)</f>
        <v>1270</v>
      </c>
      <c r="JH57" s="20" t="n">
        <f aca="false">IF(AND(H_Direct=1,CH57&gt;0),MAX(0,JG57-(MIN(CH57*ALH56,JG57+MT57)-MIN(MIN(CH57*ALH56,JG57+MT57),MT57))),JG57)</f>
        <v>1270</v>
      </c>
      <c r="JI57" s="20" t="n">
        <f aca="false">IF(AND(H_Direct=1,CI57&gt;0),MAX(0,JH57-(MIN(CI57*ALI56,JH57+MU57)-MIN(MIN(CI57*ALI56,JH57+MU57),MU57))),JH57)</f>
        <v>1270</v>
      </c>
      <c r="JJ57" s="20" t="n">
        <f aca="false">IF(AND(H_Direct=1,CJ57&gt;0),MAX(0,JI57-(MIN(CJ57*ALJ56,JI57+MV57)-MIN(MIN(CJ57*ALJ56,JI57+MV57),MV57))),JI57)</f>
        <v>1270</v>
      </c>
      <c r="JK57" s="20" t="n">
        <f aca="false">IF(AND(H_Direct=1,CK57&gt;0),MAX(0,JJ57-(MIN(CK57*ALK56,JJ57+MW57)-MIN(MIN(CK57*ALK56,JJ57+MW57),MW57))),JJ57)</f>
        <v>1270</v>
      </c>
      <c r="JL57" s="20" t="n">
        <f aca="false">IF(AND(H_Direct=1,CL57&gt;0),MAX(0,JK57-(MIN(CL57*ALL56,JK57+MX57)-MIN(MIN(CL57*ALL56,JK57+MX57),MX57))),JK57)</f>
        <v>1270</v>
      </c>
      <c r="JM57" s="20" t="n">
        <f aca="false">IF(AND(H_Direct=1,CM57&gt;0),MAX(0,JL57-(MIN(CM57*ALM56,JL57+MY57)-MIN(MIN(CM57*ALM56,JL57+MY57),MY57))),JL57)</f>
        <v>1270</v>
      </c>
      <c r="JN57" s="20" t="n">
        <f aca="false">IF(AND(H_Direct=1,CN57&gt;0),MAX(0,JM57-(MIN(CN57*ALN56,JM57+MZ57)-MIN(MIN(CN57*ALN56,JM57+MZ57),MZ57))),JM57)</f>
        <v>1270</v>
      </c>
      <c r="JO57" s="20" t="n">
        <f aca="false">IF(AND(H_Direct=1,CO57&gt;0),MAX(0,JN57-(MIN(CO57*ALO56,JN57+NA57)-MIN(MIN(CO57*ALO56,JN57+NA57),NA57))),JN57)</f>
        <v>1270</v>
      </c>
      <c r="JP57" s="20" t="n">
        <f aca="false">IF(AND(H_Direct=1,CP57&gt;0),MAX(0,JO57-(MIN(CP57*ALP56,JO57+NB57)-MIN(MIN(CP57*ALP56,JO57+NB57),NB57))),JO57)</f>
        <v>1270</v>
      </c>
      <c r="JQ57" s="20" t="n">
        <f aca="false">IF(AND(H_Direct=1,CQ57&gt;0),MAX(0,JP57-(MIN(CQ57*ALQ56,JP57+NC57)-MIN(MIN(CQ57*ALQ56,JP57+NC57),NC57))),JP57)</f>
        <v>1270</v>
      </c>
      <c r="JR57" s="20" t="n">
        <f aca="false">IF(AND(H_Direct=1,CR57&gt;0),MAX(0,JQ57-(MIN(CR57*ALR56,JQ57+ND57)-MIN(MIN(CR57*ALR56,JQ57+ND57),ND57))),JQ57)</f>
        <v>1270</v>
      </c>
      <c r="JS57" s="20" t="n">
        <f aca="false">IF(AND(H_Direct=1,CS57&gt;0),MAX(0,JR57-(MIN(CS57*ALS56,JR57+NE57)-MIN(MIN(CS57*ALS56,JR57+NE57),NE57))),JR57)</f>
        <v>1270</v>
      </c>
      <c r="JT57" s="20" t="n">
        <f aca="false">IF(AND(H_Direct=1,CT57&gt;0),MAX(0,JS57-(MIN(CT57*ALT56,JS57+NF57)-MIN(MIN(CT57*ALT56,JS57+NF57),NF57))),JS57)</f>
        <v>1270</v>
      </c>
      <c r="JU57" s="20" t="n">
        <f aca="false">IF(AND(H_Direct=1,CU57&gt;0),MAX(0,JT57-(MIN(CU57*ALU56,JT57+NG57)-MIN(MIN(CU57*ALU56,JT57+NG57),NG57))),JT57)</f>
        <v>1270</v>
      </c>
      <c r="JV57" s="20" t="n">
        <f aca="false">IF(AND(H_Direct=1,CV57&gt;0),MAX(0,JU57-(MIN(CV57*ALV56,JU57+NH57)-MIN(MIN(CV57*ALV56,JU57+NH57),NH57))),JU57)</f>
        <v>1270</v>
      </c>
      <c r="JW57" s="20" t="n">
        <f aca="false">IF(AND(H_Direct=1,CW57&gt;0),MAX(0,JV57-(MIN(CW57*ALW56,JV57+NI57)-MIN(MIN(CW57*ALW56,JV57+NI57),NI57))),JV57)</f>
        <v>1270</v>
      </c>
      <c r="JX57" s="20" t="n">
        <f aca="false">IF(AND(H_Direct=1,CX57&gt;0),MAX(0,JW57-(MIN(CX57*ALX56,JW57+NJ57)-MIN(MIN(CX57*ALX56,JW57+NJ57),NJ57))),JW57)</f>
        <v>1270</v>
      </c>
      <c r="JY57" s="20" t="n">
        <f aca="false">IF(AND(H_Direct=1,CY57&gt;0),MAX(0,JX57-(MIN(CY57*ALY56,JX57+NK57)-MIN(MIN(CY57*ALY56,JX57+NK57),NK57))),JX57)</f>
        <v>1270</v>
      </c>
      <c r="JZ57" s="20" t="n">
        <f aca="false">IF(AND(H_Direct=1,CZ57&gt;0),MAX(0,JY57-(MIN(CZ57*ALZ56,JY57+NL57)-MIN(MIN(CZ57*ALZ56,JY57+NL57),NL57))),JY57)</f>
        <v>1270</v>
      </c>
      <c r="KA57" s="20" t="n">
        <f aca="false">IF(AND(H_Direct=1,DA57&gt;0),MAX(0,JZ57-(MIN(DA57*AMA56,JZ57+NM57)-MIN(MIN(DA57*AMA56,JZ57+NM57),NM57))),JZ57)</f>
        <v>1270</v>
      </c>
      <c r="KB57" s="20" t="n">
        <f aca="false">IF(AND(H_Direct=1,DB57&gt;0),MAX(0,KA57-(MIN(DB57*AMB56,KA57+NN57)-MIN(MIN(DB57*AMB56,KA57+NN57),NN57))),KA57)</f>
        <v>1270</v>
      </c>
      <c r="KC57" s="20" t="n">
        <f aca="false">IF(AND(H_Direct=1,DC57&gt;0),MAX(0,KB57-(MIN(DC57*AMC56,KB57+NO57)-MIN(MIN(DC57*AMC56,KB57+NO57),NO57))),KB57)</f>
        <v>1270</v>
      </c>
      <c r="KD57" s="20" t="n">
        <f aca="false">IF(AND(H_Direct=1,DD57&gt;0),MAX(0,KC57-(MIN(DD57*AMD56,KC57+NP57)-MIN(MIN(DD57*AMD56,KC57+NP57),NP57))),KC57)</f>
        <v>1270</v>
      </c>
      <c r="KE57" s="20" t="n">
        <f aca="false">IF(AND(H_Direct=1,DE57&gt;0),MAX(0,KD57-(MIN(DE57*AME56,KD57+NQ57)-MIN(MIN(DE57*AME56,KD57+NQ57),NQ57))),KD57)</f>
        <v>1270</v>
      </c>
      <c r="KF57" s="20" t="n">
        <f aca="false">IF(AND(H_Direct=1,DF57&gt;0),MAX(0,KE57-(MIN(DF57*AMF56,KE57+NR57)-MIN(MIN(DF57*AMF56,KE57+NR57),NR57))),KE57)</f>
        <v>1270</v>
      </c>
      <c r="KG57" s="20" t="n">
        <f aca="false">IF(AND(H_Direct=1,DG57&gt;0),MAX(0,KF57-(MIN(DG57*AMG56,KF57+NS57)-MIN(MIN(DG57*AMG56,KF57+NS57),NS57))),KF57)</f>
        <v>1270</v>
      </c>
      <c r="KH57" s="20" t="n">
        <f aca="false">IF(AND(H_Direct=1,DH57&gt;0),MAX(0,KG57-(MIN(DH57*AMH56,KG57+NT57)-MIN(MIN(DH57*AMH56,KG57+NT57),NT57))),KG57)</f>
        <v>1270</v>
      </c>
      <c r="KI57" s="20" t="n">
        <f aca="false">IF(AND(H_Direct=1,DI57&gt;0),MAX(0,KH57-(MIN(DI57*AMI56,KH57+NU57)-MIN(MIN(DI57*AMI56,KH57+NU57),NU57))),KH57)</f>
        <v>1270</v>
      </c>
      <c r="KJ57" s="20" t="n">
        <f aca="false">IF(AND(H_Direct=1,DJ57&gt;0),MAX(0,KI57-(MIN(DJ57*AMJ56,KI57+NV57)-MIN(MIN(DJ57*AMJ56,KI57+NV57),NV57))),KI57)</f>
        <v>1270</v>
      </c>
      <c r="KK57" s="20" t="n">
        <f aca="false">IF(AND(H_Direct=1,DK57&gt;0),MAX(0,KJ57-(MIN(DK57*AMK56,KJ57+NW57)-MIN(MIN(DK57*AMK56,KJ57+NW57),NW57))),KJ57)</f>
        <v>1270</v>
      </c>
      <c r="KL57" s="20" t="n">
        <f aca="false">IF(AND(H_Direct=1,DL57&gt;0),MAX(0,KK57-(MIN(DL57*AML56,KK57+NX57)-MIN(MIN(DL57*AML56,KK57+NX57),NX57))),KK57)</f>
        <v>1270</v>
      </c>
      <c r="KM57" s="20" t="n">
        <f aca="false">IF(AND(H_Direct=1,DM57&gt;0),MAX(0,KL57-(MIN(DM57*AMM56,KL57+NY57)-MIN(MIN(DM57*AMM56,KL57+NY57),NY57))),KL57)</f>
        <v>1270</v>
      </c>
      <c r="KN57" s="20" t="n">
        <f aca="false">IF(AND(H_Direct=1,DN57&gt;0),MAX(0,KM57-(MIN(DN57*AMN56,KM57+NZ57)-MIN(MIN(DN57*AMN56,KM57+NZ57),NZ57))),KM57)</f>
        <v>1270</v>
      </c>
      <c r="KO57" s="20" t="n">
        <f aca="false">IF(AND(H_Direct=1,DO57&gt;0),MAX(0,KN57-(MIN(DO57*AMO56,KN57+OA57)-MIN(MIN(DO57*AMO56,KN57+OA57),OA57))),KN57)</f>
        <v>1270</v>
      </c>
      <c r="KP57" s="20" t="n">
        <f aca="false">IF(AND(H_Direct=1,DP57&gt;0),MAX(0,KO57-(MIN(DP57*(P57+S57),KO57+OB57)-MIN(MIN(DP57*(P57+S57),KO57+OB57),OB57))),KO57)</f>
        <v>1270</v>
      </c>
      <c r="KQ57" s="20" t="n">
        <f aca="false">KP57</f>
        <v>1270</v>
      </c>
      <c r="KR57" s="20" t="n">
        <f aca="false">KQ57</f>
        <v>1270</v>
      </c>
      <c r="KS57" s="20" t="n">
        <f aca="false">KR57</f>
        <v>1270</v>
      </c>
      <c r="KT57" s="20" t="n">
        <f aca="false">KS57</f>
        <v>1270</v>
      </c>
      <c r="KU57" s="20" t="n">
        <f aca="false">KT57</f>
        <v>1270</v>
      </c>
      <c r="KV57" s="20" t="n">
        <f aca="false">KU57</f>
        <v>1270</v>
      </c>
      <c r="KW57" s="20" t="n">
        <f aca="false">KV57</f>
        <v>1270</v>
      </c>
      <c r="KX57" s="20" t="n">
        <f aca="false">KW57</f>
        <v>1270</v>
      </c>
      <c r="KY57" s="20" t="n">
        <f aca="false">KX57</f>
        <v>1270</v>
      </c>
      <c r="KZ57" s="20" t="n">
        <f aca="false">KY57</f>
        <v>1270</v>
      </c>
      <c r="LA57" s="20" t="n">
        <f aca="false">KZ57</f>
        <v>1270</v>
      </c>
      <c r="LB57" s="20" t="n">
        <f aca="false">LA57</f>
        <v>1270</v>
      </c>
      <c r="LC57" s="20" t="n">
        <f aca="false">LB57</f>
        <v>1270</v>
      </c>
      <c r="LD57" s="20" t="n">
        <f aca="false">LC57</f>
        <v>1270</v>
      </c>
      <c r="LE57" s="20" t="n">
        <f aca="false">LD57</f>
        <v>1270</v>
      </c>
      <c r="LF57" s="20" t="n">
        <f aca="false">LE57</f>
        <v>1270</v>
      </c>
      <c r="LG57" s="20" t="n">
        <f aca="false">LF57</f>
        <v>1270</v>
      </c>
      <c r="LH57" s="20" t="n">
        <f aca="false">LG57</f>
        <v>1270</v>
      </c>
      <c r="LI57" s="20" t="n">
        <f aca="false">LH57</f>
        <v>1270</v>
      </c>
      <c r="LJ57" s="20" t="n">
        <f aca="false">LI57</f>
        <v>1270</v>
      </c>
      <c r="LK57" s="20" t="n">
        <f aca="false">LJ57</f>
        <v>1270</v>
      </c>
      <c r="LL57" s="20" t="n">
        <f aca="false">LK57</f>
        <v>1270</v>
      </c>
      <c r="LM57" s="20" t="n">
        <f aca="false">LL57</f>
        <v>1270</v>
      </c>
      <c r="LN57" s="20" t="n">
        <f aca="false">LM57</f>
        <v>1270</v>
      </c>
      <c r="LO57" s="20" t="n">
        <f aca="false">LN57</f>
        <v>1270</v>
      </c>
      <c r="LP57" s="20" t="n">
        <f aca="false">LO57</f>
        <v>1270</v>
      </c>
      <c r="LQ57" s="20" t="n">
        <f aca="false">LP57</f>
        <v>1270</v>
      </c>
      <c r="LR57" s="20" t="n">
        <f aca="false">LQ57</f>
        <v>1270</v>
      </c>
      <c r="LS57" s="20" t="n">
        <f aca="false">LR57</f>
        <v>1270</v>
      </c>
      <c r="LT57" s="20" t="n">
        <f aca="false">LS57</f>
        <v>1270</v>
      </c>
      <c r="LU57" s="20" t="n">
        <f aca="false">LT57</f>
        <v>1270</v>
      </c>
      <c r="LV57" s="20" t="n">
        <f aca="false">LU57</f>
        <v>1270</v>
      </c>
      <c r="LW57" s="20" t="n">
        <f aca="false">LV57</f>
        <v>1270</v>
      </c>
      <c r="LX57" s="20" t="n">
        <f aca="false">LW57</f>
        <v>1270</v>
      </c>
      <c r="LY57" s="20" t="n">
        <f aca="false">LX57</f>
        <v>1270</v>
      </c>
      <c r="LZ57" s="20" t="n">
        <f aca="false">LY57</f>
        <v>1270</v>
      </c>
      <c r="MA57" s="20" t="n">
        <f aca="false">LZ57</f>
        <v>1270</v>
      </c>
      <c r="MB57" s="20" t="n">
        <f aca="false">MA57</f>
        <v>1270</v>
      </c>
      <c r="MC57" s="20" t="n">
        <f aca="false">MB57</f>
        <v>1270</v>
      </c>
      <c r="MD57" s="20" t="n">
        <f aca="false">MC57</f>
        <v>1270</v>
      </c>
      <c r="ME57" s="20" t="n">
        <f aca="false">IF(H_Direct=1,IF(BR57&lt;=0,I57-BR57*AKR56,I57-MIN(MIN(BR57*AKR56,H57+I57),I57)),I57)</f>
        <v>0</v>
      </c>
      <c r="MF57" s="20" t="n">
        <f aca="false">IF(H_Direct=1,IF(BS57&lt;=0,ME57-BS57*AKS56,ME57-MIN(MIN(BS57*AKS56,IR57+ME57),ME57)),ME57)</f>
        <v>0</v>
      </c>
      <c r="MG57" s="20" t="n">
        <f aca="false">IF(H_Direct=1,IF(BT57&lt;=0,MF57-BT57*AKT56,MF57-MIN(MIN(BT57*AKT56,IS57+MF57),MF57)),MF57)</f>
        <v>0</v>
      </c>
      <c r="MH57" s="20" t="n">
        <f aca="false">IF(H_Direct=1,IF(BU57&lt;=0,MG57-BU57*AKU56,MG57-MIN(MIN(BU57*AKU56,IT57+MG57),MG57)),MG57)</f>
        <v>0</v>
      </c>
      <c r="MI57" s="20" t="n">
        <f aca="false">IF(H_Direct=1,IF(BV57&lt;=0,MH57-BV57*AKV56,MH57-MIN(MIN(BV57*AKV56,IU57+MH57),MH57)),MH57)</f>
        <v>0</v>
      </c>
      <c r="MJ57" s="20" t="n">
        <f aca="false">IF(H_Direct=1,IF(BW57&lt;=0,MI57-BW57*AKW56,MI57-MIN(MIN(BW57*AKW56,IV57+MI57),MI57)),MI57)</f>
        <v>0</v>
      </c>
      <c r="MK57" s="20" t="n">
        <f aca="false">IF(H_Direct=1,IF(BX57&lt;=0,MJ57-BX57*AKX56,MJ57-MIN(MIN(BX57*AKX56,IW57+MJ57),MJ57)),MJ57)</f>
        <v>0</v>
      </c>
      <c r="ML57" s="20" t="n">
        <f aca="false">IF(H_Direct=1,IF(BY57&lt;=0,MK57-BY57*AKY56,MK57-MIN(MIN(BY57*AKY56,IX57+MK57),MK57)),MK57)</f>
        <v>0</v>
      </c>
      <c r="MM57" s="20" t="n">
        <f aca="false">IF(H_Direct=1,IF(BZ57&lt;=0,ML57-BZ57*AKZ56,ML57-MIN(MIN(BZ57*AKZ56,IY57+ML57),ML57)),ML57)</f>
        <v>0</v>
      </c>
      <c r="MN57" s="20" t="n">
        <f aca="false">IF(H_Direct=1,IF(CA57&lt;=0,MM57-CA57*ALA56,MM57-MIN(MIN(CA57*ALA56,IZ57+MM57),MM57)),MM57)</f>
        <v>0</v>
      </c>
      <c r="MO57" s="20" t="n">
        <f aca="false">IF(H_Direct=1,IF(CB57&lt;=0,MN57-CB57*ALB56,MN57-MIN(MIN(CB57*ALB56,JA57+MN57),MN57)),MN57)</f>
        <v>0</v>
      </c>
      <c r="MP57" s="20" t="n">
        <f aca="false">IF(H_Direct=1,IF(CC57&lt;=0,MO57-CC57*ALC56,MO57-MIN(MIN(CC57*ALC56,JB57+MO57),MO57)),MO57)</f>
        <v>0</v>
      </c>
      <c r="MQ57" s="20" t="n">
        <f aca="false">IF(H_Direct=1,IF(CD57&lt;=0,MP57-CD57*ALD56,MP57-MIN(MIN(CD57*ALD56,JC57+MP57),MP57)),MP57)</f>
        <v>0</v>
      </c>
      <c r="MR57" s="20" t="n">
        <f aca="false">IF(H_Direct=1,IF(CE57&lt;=0,MQ57-CE57*ALE56,MQ57-MIN(MIN(CE57*ALE56,JD57+MQ57),MQ57)),MQ57)</f>
        <v>0</v>
      </c>
      <c r="MS57" s="20" t="n">
        <f aca="false">IF(H_Direct=1,IF(CF57&lt;=0,MR57-CF57*ALF56,MR57-MIN(MIN(CF57*ALF56,JE57+MR57),MR57)),MR57)</f>
        <v>0</v>
      </c>
      <c r="MT57" s="20" t="n">
        <f aca="false">IF(H_Direct=1,IF(CG57&lt;=0,MS57-CG57*ALG56,MS57-MIN(MIN(CG57*ALG56,JF57+MS57),MS57)),MS57)</f>
        <v>0</v>
      </c>
      <c r="MU57" s="20" t="n">
        <f aca="false">IF(H_Direct=1,IF(CH57&lt;=0,MT57-CH57*ALH56,MT57-MIN(MIN(CH57*ALH56,JG57+MT57),MT57)),MT57)</f>
        <v>0</v>
      </c>
      <c r="MV57" s="20" t="n">
        <f aca="false">IF(H_Direct=1,IF(CI57&lt;=0,MU57-CI57*ALI56,MU57-MIN(MIN(CI57*ALI56,JH57+MU57),MU57)),MU57)</f>
        <v>0</v>
      </c>
      <c r="MW57" s="20" t="n">
        <f aca="false">IF(H_Direct=1,IF(CJ57&lt;=0,MV57-CJ57*ALJ56,MV57-MIN(MIN(CJ57*ALJ56,JI57+MV57),MV57)),MV57)</f>
        <v>0</v>
      </c>
      <c r="MX57" s="20" t="n">
        <f aca="false">IF(H_Direct=1,IF(CK57&lt;=0,MW57-CK57*ALK56,MW57-MIN(MIN(CK57*ALK56,JJ57+MW57),MW57)),MW57)</f>
        <v>0</v>
      </c>
      <c r="MY57" s="20" t="n">
        <f aca="false">IF(H_Direct=1,IF(CL57&lt;=0,MX57-CL57*ALL56,MX57-MIN(MIN(CL57*ALL56,JK57+MX57),MX57)),MX57)</f>
        <v>0</v>
      </c>
      <c r="MZ57" s="20" t="n">
        <f aca="false">IF(H_Direct=1,IF(CM57&lt;=0,MY57-CM57*ALM56,MY57-MIN(MIN(CM57*ALM56,JL57+MY57),MY57)),MY57)</f>
        <v>0</v>
      </c>
      <c r="NA57" s="20" t="n">
        <f aca="false">IF(H_Direct=1,IF(CN57&lt;=0,MZ57-CN57*ALN56,MZ57-MIN(MIN(CN57*ALN56,JM57+MZ57),MZ57)),MZ57)</f>
        <v>0</v>
      </c>
      <c r="NB57" s="20" t="n">
        <f aca="false">IF(H_Direct=1,IF(CO57&lt;=0,NA57-CO57*ALO56,NA57-MIN(MIN(CO57*ALO56,JN57+NA57),NA57)),NA57)</f>
        <v>0</v>
      </c>
      <c r="NC57" s="20" t="n">
        <f aca="false">IF(H_Direct=1,IF(CP57&lt;=0,NB57-CP57*ALP56,NB57-MIN(MIN(CP57*ALP56,JO57+NB57),NB57)),NB57)</f>
        <v>0</v>
      </c>
      <c r="ND57" s="20" t="n">
        <f aca="false">IF(H_Direct=1,IF(CQ57&lt;=0,NC57-CQ57*ALQ56,NC57-MIN(MIN(CQ57*ALQ56,JP57+NC57),NC57)),NC57)</f>
        <v>0</v>
      </c>
      <c r="NE57" s="20" t="n">
        <f aca="false">IF(H_Direct=1,IF(CR57&lt;=0,ND57-CR57*ALR56,ND57-MIN(MIN(CR57*ALR56,JQ57+ND57),ND57)),ND57)</f>
        <v>0</v>
      </c>
      <c r="NF57" s="20" t="n">
        <f aca="false">IF(H_Direct=1,IF(CS57&lt;=0,NE57-CS57*ALS56,NE57-MIN(MIN(CS57*ALS56,JR57+NE57),NE57)),NE57)</f>
        <v>0</v>
      </c>
      <c r="NG57" s="20" t="n">
        <f aca="false">IF(H_Direct=1,IF(CT57&lt;=0,NF57-CT57*ALT56,NF57-MIN(MIN(CT57*ALT56,JS57+NF57),NF57)),NF57)</f>
        <v>0</v>
      </c>
      <c r="NH57" s="20" t="n">
        <f aca="false">IF(H_Direct=1,IF(CU57&lt;=0,NG57-CU57*ALU56,NG57-MIN(MIN(CU57*ALU56,JT57+NG57),NG57)),NG57)</f>
        <v>0</v>
      </c>
      <c r="NI57" s="20" t="n">
        <f aca="false">IF(H_Direct=1,IF(CV57&lt;=0,NH57-CV57*ALV56,NH57-MIN(MIN(CV57*ALV56,JU57+NH57),NH57)),NH57)</f>
        <v>0</v>
      </c>
      <c r="NJ57" s="20" t="n">
        <f aca="false">IF(H_Direct=1,IF(CW57&lt;=0,NI57-CW57*ALW56,NI57-MIN(MIN(CW57*ALW56,JV57+NI57),NI57)),NI57)</f>
        <v>0</v>
      </c>
      <c r="NK57" s="20" t="n">
        <f aca="false">IF(H_Direct=1,IF(CX57&lt;=0,NJ57-CX57*ALX56,NJ57-MIN(MIN(CX57*ALX56,JW57+NJ57),NJ57)),NJ57)</f>
        <v>0</v>
      </c>
      <c r="NL57" s="20" t="n">
        <f aca="false">IF(H_Direct=1,IF(CY57&lt;=0,NK57-CY57*ALY56,NK57-MIN(MIN(CY57*ALY56,JX57+NK57),NK57)),NK57)</f>
        <v>0</v>
      </c>
      <c r="NM57" s="20" t="n">
        <f aca="false">IF(H_Direct=1,IF(CZ57&lt;=0,NL57-CZ57*ALZ56,NL57-MIN(MIN(CZ57*ALZ56,JY57+NL57),NL57)),NL57)</f>
        <v>0</v>
      </c>
      <c r="NN57" s="20" t="n">
        <f aca="false">IF(H_Direct=1,IF(DA57&lt;=0,NM57-DA57*AMA56,NM57-MIN(MIN(DA57*AMA56,JZ57+NM57),NM57)),NM57)</f>
        <v>0</v>
      </c>
      <c r="NO57" s="20" t="n">
        <f aca="false">IF(H_Direct=1,IF(DB57&lt;=0,NN57-DB57*AMB56,NN57-MIN(MIN(DB57*AMB56,KA57+NN57),NN57)),NN57)</f>
        <v>0</v>
      </c>
      <c r="NP57" s="20" t="n">
        <f aca="false">IF(H_Direct=1,IF(DC57&lt;=0,NO57-DC57*AMC56,NO57-MIN(MIN(DC57*AMC56,KB57+NO57),NO57)),NO57)</f>
        <v>0</v>
      </c>
      <c r="NQ57" s="20" t="n">
        <f aca="false">IF(H_Direct=1,IF(DD57&lt;=0,NP57-DD57*AMD56,NP57-MIN(MIN(DD57*AMD56,KC57+NP57),NP57)),NP57)</f>
        <v>0</v>
      </c>
      <c r="NR57" s="20" t="n">
        <f aca="false">IF(H_Direct=1,IF(DE57&lt;=0,NQ57-DE57*AME56,NQ57-MIN(MIN(DE57*AME56,KD57+NQ57),NQ57)),NQ57)</f>
        <v>0</v>
      </c>
      <c r="NS57" s="20" t="n">
        <f aca="false">IF(H_Direct=1,IF(DF57&lt;=0,NR57-DF57*AMF56,NR57-MIN(MIN(DF57*AMF56,KE57+NR57),NR57)),NR57)</f>
        <v>0</v>
      </c>
      <c r="NT57" s="20" t="n">
        <f aca="false">IF(H_Direct=1,IF(DG57&lt;=0,NS57-DG57*AMG56,NS57-MIN(MIN(DG57*AMG56,KF57+NS57),NS57)),NS57)</f>
        <v>0</v>
      </c>
      <c r="NU57" s="20" t="n">
        <f aca="false">IF(H_Direct=1,IF(DH57&lt;=0,NT57-DH57*AMH56,NT57-MIN(MIN(DH57*AMH56,KG57+NT57),NT57)),NT57)</f>
        <v>0</v>
      </c>
      <c r="NV57" s="20" t="n">
        <f aca="false">IF(H_Direct=1,IF(DI57&lt;=0,NU57-DI57*AMI56,NU57-MIN(MIN(DI57*AMI56,KH57+NU57),NU57)),NU57)</f>
        <v>0</v>
      </c>
      <c r="NW57" s="20" t="n">
        <f aca="false">IF(H_Direct=1,IF(DJ57&lt;=0,NV57-DJ57*AMJ56,NV57-MIN(MIN(DJ57*AMJ56,KI57+NV57),NV57)),NV57)</f>
        <v>0</v>
      </c>
      <c r="NX57" s="20" t="n">
        <f aca="false">IF(H_Direct=1,IF(DK57&lt;=0,NW57-DK57*AMK56,NW57-MIN(MIN(DK57*AMK56,KJ57+NW57),NW57)),NW57)</f>
        <v>0</v>
      </c>
      <c r="NY57" s="20" t="n">
        <f aca="false">IF(H_Direct=1,IF(DL57&lt;=0,NX57-DL57*AML56,NX57-MIN(MIN(DL57*AML56,KK57+NX57),NX57)),NX57)</f>
        <v>0</v>
      </c>
      <c r="NZ57" s="20" t="n">
        <f aca="false">IF(H_Direct=1,IF(DM57&lt;=0,NY57-DM57*AMM56,NY57-MIN(MIN(DM57*AMM56,KL57+NY57),NY57)),NY57)</f>
        <v>0</v>
      </c>
      <c r="OA57" s="20" t="n">
        <f aca="false">IF(H_Direct=1,IF(DN57&lt;=0,NZ57-DN57*AMN56,NZ57-MIN(MIN(DN57*AMN56,KM57+NZ57),NZ57)),NZ57)</f>
        <v>0</v>
      </c>
      <c r="OB57" s="20" t="n">
        <f aca="false">IF(H_Direct=1,IF(DO57&lt;=0,OA57-DO57*AMO56,OA57-MIN(MIN(DO57*AMO56,KN57+OA57),OA57)),OA57)</f>
        <v>0</v>
      </c>
      <c r="OC57" s="20" t="n">
        <f aca="false">IF(H_Direct=1,IF(DP57&lt;=0,OB57-DP57*(P57+S57),OB57-MIN(MIN(DP57*(P57+S57),KO57+OB57),OB57)),OB57)</f>
        <v>0</v>
      </c>
      <c r="OD57" s="20" t="n">
        <f aca="false">OC57</f>
        <v>0</v>
      </c>
      <c r="OE57" s="20" t="n">
        <f aca="false">OD57</f>
        <v>0</v>
      </c>
      <c r="OF57" s="20" t="n">
        <f aca="false">OE57</f>
        <v>0</v>
      </c>
      <c r="OG57" s="20" t="n">
        <f aca="false">OF57</f>
        <v>0</v>
      </c>
      <c r="OH57" s="20" t="n">
        <f aca="false">OG57</f>
        <v>0</v>
      </c>
      <c r="OI57" s="20" t="n">
        <f aca="false">OH57</f>
        <v>0</v>
      </c>
      <c r="OJ57" s="20" t="n">
        <f aca="false">OI57</f>
        <v>0</v>
      </c>
      <c r="OK57" s="20" t="n">
        <f aca="false">OJ57</f>
        <v>0</v>
      </c>
      <c r="OL57" s="20" t="n">
        <f aca="false">OK57</f>
        <v>0</v>
      </c>
      <c r="OM57" s="20" t="n">
        <f aca="false">OL57</f>
        <v>0</v>
      </c>
      <c r="ON57" s="20" t="n">
        <f aca="false">OM57</f>
        <v>0</v>
      </c>
      <c r="OO57" s="20" t="n">
        <f aca="false">ON57</f>
        <v>0</v>
      </c>
      <c r="OP57" s="20" t="n">
        <f aca="false">OO57</f>
        <v>0</v>
      </c>
      <c r="OQ57" s="20" t="n">
        <f aca="false">OP57</f>
        <v>0</v>
      </c>
      <c r="OR57" s="20" t="n">
        <f aca="false">OQ57</f>
        <v>0</v>
      </c>
      <c r="OS57" s="20" t="n">
        <f aca="false">OR57</f>
        <v>0</v>
      </c>
      <c r="OT57" s="20" t="n">
        <f aca="false">OS57</f>
        <v>0</v>
      </c>
      <c r="OU57" s="20" t="n">
        <f aca="false">OT57</f>
        <v>0</v>
      </c>
      <c r="OV57" s="20" t="n">
        <f aca="false">OU57</f>
        <v>0</v>
      </c>
      <c r="OW57" s="20" t="n">
        <f aca="false">OV57</f>
        <v>0</v>
      </c>
      <c r="OX57" s="20" t="n">
        <f aca="false">OW57</f>
        <v>0</v>
      </c>
      <c r="OY57" s="20" t="n">
        <f aca="false">OX57</f>
        <v>0</v>
      </c>
      <c r="OZ57" s="20" t="n">
        <f aca="false">OY57</f>
        <v>0</v>
      </c>
      <c r="PA57" s="20" t="n">
        <f aca="false">OZ57</f>
        <v>0</v>
      </c>
      <c r="PB57" s="20" t="n">
        <f aca="false">PA57</f>
        <v>0</v>
      </c>
      <c r="PC57" s="20" t="n">
        <f aca="false">PB57</f>
        <v>0</v>
      </c>
      <c r="PD57" s="20" t="n">
        <f aca="false">PC57</f>
        <v>0</v>
      </c>
      <c r="PE57" s="20" t="n">
        <f aca="false">PD57</f>
        <v>0</v>
      </c>
      <c r="PF57" s="20" t="n">
        <f aca="false">PE57</f>
        <v>0</v>
      </c>
      <c r="PG57" s="20" t="n">
        <f aca="false">PF57</f>
        <v>0</v>
      </c>
      <c r="PH57" s="20" t="n">
        <f aca="false">PG57</f>
        <v>0</v>
      </c>
      <c r="PI57" s="20" t="n">
        <f aca="false">PH57</f>
        <v>0</v>
      </c>
      <c r="PJ57" s="20" t="n">
        <f aca="false">PI57</f>
        <v>0</v>
      </c>
      <c r="PK57" s="20" t="n">
        <f aca="false">PJ57</f>
        <v>0</v>
      </c>
      <c r="PL57" s="20" t="n">
        <f aca="false">PK57</f>
        <v>0</v>
      </c>
      <c r="PM57" s="20" t="n">
        <f aca="false">PL57</f>
        <v>0</v>
      </c>
      <c r="PN57" s="20" t="n">
        <f aca="false">PM57</f>
        <v>0</v>
      </c>
      <c r="PO57" s="20" t="n">
        <f aca="false">PN57</f>
        <v>0</v>
      </c>
      <c r="PP57" s="20" t="n">
        <f aca="false">PO57</f>
        <v>0</v>
      </c>
      <c r="PQ57" s="20" t="n">
        <f aca="false">PP57</f>
        <v>0</v>
      </c>
      <c r="PR57" s="20" t="n">
        <f aca="false">IF(H_Direct=1,IF(AKR56&lt;=0,0,IF(BR57&lt;=0,MIN(MAX(0,AB57),AKR56),MIN(MAX(0,AB57),AKR56-G57*MAX(0,BR57*AKR56-(H57+I57))))),MIN(FE57,MAX(0,AB57)))</f>
        <v>0</v>
      </c>
      <c r="PS57" s="20" t="n">
        <f aca="false">IF(H_Direct=1,IF(AKS56&lt;=0,0,IF(BS57&lt;=0,MIN(MAX(0,AB57-SUM(PR57:PR57)),AKS56),MIN(MAX(0,AB57-SUM(PR57:PR57)),AKS56-G57*MAX(0,BS57*AKS56-(WR57+AAE57))))),MIN(FF57,MAX(0,AB57-SUM(PR57:PR57))))</f>
        <v>0</v>
      </c>
      <c r="PT57" s="20" t="n">
        <f aca="false">IF(H_Direct=1,IF(AKT56&lt;=0,0,IF(BT57&lt;=0,MIN(MAX(0,AB57-SUM(PR57:PS57)),AKT56),MIN(MAX(0,AB57-SUM(PR57:PS57)),AKT56-G57*MAX(0,BT57*AKT56-(WS57+AAF57))))),MIN(FG57,MAX(0,AB57-SUM(PR57:PS57))))</f>
        <v>0</v>
      </c>
      <c r="PU57" s="20" t="n">
        <f aca="false">IF(H_Direct=1,IF(AKU56&lt;=0,0,IF(BU57&lt;=0,MIN(MAX(0,AB57-SUM(PR57:PT57)),AKU56),MIN(MAX(0,AB57-SUM(PR57:PT57)),AKU56-G57*MAX(0,BU57*AKU56-(WT57+AAG57))))),MIN(FH57,MAX(0,AB57-SUM(PR57:PT57))))</f>
        <v>0</v>
      </c>
      <c r="PV57" s="20" t="n">
        <f aca="false">IF(H_Direct=1,IF(AKV56&lt;=0,0,IF(BV57&lt;=0,MIN(MAX(0,AB57-SUM(PR57:PU57)),AKV56),MIN(MAX(0,AB57-SUM(PR57:PU57)),AKV56-G57*MAX(0,BV57*AKV56-(WU57+AAH57))))),MIN(FI57,MAX(0,AB57-SUM(PR57:PU57))))</f>
        <v>0</v>
      </c>
      <c r="PW57" s="20" t="n">
        <f aca="false">IF(H_Direct=1,IF(AKW56&lt;=0,0,IF(BW57&lt;=0,MIN(MAX(0,AB57-SUM(PR57:PV57)),AKW56),MIN(MAX(0,AB57-SUM(PR57:PV57)),AKW56-G57*MAX(0,BW57*AKW56-(WV57+AAI57))))),MIN(FJ57,MAX(0,AB57-SUM(PR57:PV57))))</f>
        <v>0</v>
      </c>
      <c r="PX57" s="20" t="n">
        <f aca="false">IF(H_Direct=1,IF(AKX56&lt;=0,0,IF(BX57&lt;=0,MIN(MAX(0,AB57-SUM(PR57:PW57)),AKX56),MIN(MAX(0,AB57-SUM(PR57:PW57)),AKX56-G57*MAX(0,BX57*AKX56-(WW57+AAJ57))))),MIN(FK57,MAX(0,AB57-SUM(PR57:PW57))))</f>
        <v>0</v>
      </c>
      <c r="PY57" s="20" t="n">
        <f aca="false">IF(H_Direct=1,IF(AKY56&lt;=0,0,IF(BY57&lt;=0,MIN(MAX(0,AB57-SUM(PR57:PX57)),AKY56),MIN(MAX(0,AB57-SUM(PR57:PX57)),AKY56-G57*MAX(0,BY57*AKY56-(WX57+AAK57))))),MIN(FL57,MAX(0,AB57-SUM(PR57:PX57))))</f>
        <v>0</v>
      </c>
      <c r="PZ57" s="20" t="n">
        <f aca="false">IF(H_Direct=1,IF(AKZ56&lt;=0,0,IF(BZ57&lt;=0,MIN(MAX(0,AB57-SUM(PR57:PY57)),AKZ56),MIN(MAX(0,AB57-SUM(PR57:PY57)),AKZ56-G57*MAX(0,BZ57*AKZ56-(WY57+AAL57))))),MIN(FM57,MAX(0,AB57-SUM(PR57:PY57))))</f>
        <v>0</v>
      </c>
      <c r="QA57" s="20" t="n">
        <f aca="false">IF(H_Direct=1,IF(ALA56&lt;=0,0,IF(CA57&lt;=0,MIN(MAX(0,AB57-SUM(PR57:PZ57)),ALA56),MIN(MAX(0,AB57-SUM(PR57:PZ57)),ALA56-G57*MAX(0,CA57*ALA56-(WZ57+AAM57))))),MIN(FN57,MAX(0,AB57-SUM(PR57:PZ57))))</f>
        <v>0</v>
      </c>
      <c r="QB57" s="20" t="n">
        <f aca="false">IF(H_Direct=1,IF(ALB56&lt;=0,0,IF(CB57&lt;=0,MIN(MAX(0,AB57-SUM(PR57:QA57)),ALB56),MIN(MAX(0,AB57-SUM(PR57:QA57)),ALB56-G57*MAX(0,CB57*ALB56-(XA57+AAN57))))),MIN(FO57,MAX(0,AB57-SUM(PR57:QA57))))</f>
        <v>0</v>
      </c>
      <c r="QC57" s="20" t="n">
        <f aca="false">IF(H_Direct=1,IF(ALC56&lt;=0,0,IF(CC57&lt;=0,MIN(MAX(0,AB57-SUM(PR57:QB57)),ALC56),MIN(MAX(0,AB57-SUM(PR57:QB57)),ALC56-G57*MAX(0,CC57*ALC56-(XB57+AAO57))))),MIN(FP57,MAX(0,AB57-SUM(PR57:QB57))))</f>
        <v>0</v>
      </c>
      <c r="QD57" s="20" t="n">
        <f aca="false">IF(H_Direct=1,IF(ALD56&lt;=0,0,IF(CD57&lt;=0,MIN(MAX(0,AB57-SUM(PR57:QC57)),ALD56),MIN(MAX(0,AB57-SUM(PR57:QC57)),ALD56-G57*MAX(0,CD57*ALD56-(XC57+AAP57))))),MIN(FQ57,MAX(0,AB57-SUM(PR57:QC57))))</f>
        <v>0</v>
      </c>
      <c r="QE57" s="20" t="n">
        <f aca="false">IF(H_Direct=1,IF(ALE56&lt;=0,0,IF(CE57&lt;=0,MIN(MAX(0,AB57-SUM(PR57:QD57)),ALE56),MIN(MAX(0,AB57-SUM(PR57:QD57)),ALE56-G57*MAX(0,CE57*ALE56-(XD57+AAQ57))))),MIN(FR57,MAX(0,AB57-SUM(PR57:QD57))))</f>
        <v>0</v>
      </c>
      <c r="QF57" s="20" t="n">
        <f aca="false">IF(H_Direct=1,IF(ALF56&lt;=0,0,IF(CF57&lt;=0,MIN(MAX(0,AB57-SUM(PR57:QE57)),ALF56),MIN(MAX(0,AB57-SUM(PR57:QE57)),ALF56-G57*MAX(0,CF57*ALF56-(XE57+AAR57))))),MIN(FS57,MAX(0,AB57-SUM(PR57:QE57))))</f>
        <v>0</v>
      </c>
      <c r="QG57" s="20" t="n">
        <f aca="false">IF(H_Direct=1,IF(ALG56&lt;=0,0,IF(CG57&lt;=0,MIN(MAX(0,AB57-SUM(PR57:QF57)),ALG56),MIN(MAX(0,AB57-SUM(PR57:QF57)),ALG56-G57*MAX(0,CG57*ALG56-(XF57+AAS57))))),MIN(FT57,MAX(0,AB57-SUM(PR57:QF57))))</f>
        <v>0</v>
      </c>
      <c r="QH57" s="20" t="n">
        <f aca="false">IF(H_Direct=1,IF(ALH56&lt;=0,0,IF(CH57&lt;=0,MIN(MAX(0,AB57-SUM(PR57:QG57)),ALH56),MIN(MAX(0,AB57-SUM(PR57:QG57)),ALH56-G57*MAX(0,CH57*ALH56-(XG57+AAT57))))),MIN(FU57,MAX(0,AB57-SUM(PR57:QG57))))</f>
        <v>0</v>
      </c>
      <c r="QI57" s="20" t="n">
        <f aca="false">IF(H_Direct=1,IF(ALI56&lt;=0,0,IF(CI57&lt;=0,MIN(MAX(0,AB57-SUM(PR57:QH57)),ALI56),MIN(MAX(0,AB57-SUM(PR57:QH57)),ALI56-G57*MAX(0,CI57*ALI56-(XH57+AAU57))))),MIN(FV57,MAX(0,AB57-SUM(PR57:QH57))))</f>
        <v>0</v>
      </c>
      <c r="QJ57" s="20" t="n">
        <f aca="false">IF(H_Direct=1,IF(ALJ56&lt;=0,0,IF(CJ57&lt;=0,MIN(MAX(0,AB57-SUM(PR57:QI57)),ALJ56),MIN(MAX(0,AB57-SUM(PR57:QI57)),ALJ56-G57*MAX(0,CJ57*ALJ56-(XI57+AAV57))))),MIN(FW57,MAX(0,AB57-SUM(PR57:QI57))))</f>
        <v>0</v>
      </c>
      <c r="QK57" s="20" t="n">
        <f aca="false">IF(H_Direct=1,IF(ALK56&lt;=0,0,IF(CK57&lt;=0,MIN(MAX(0,AB57-SUM(PR57:QJ57)),ALK56),MIN(MAX(0,AB57-SUM(PR57:QJ57)),ALK56-G57*MAX(0,CK57*ALK56-(XJ57+AAW57))))),MIN(FX57,MAX(0,AB57-SUM(PR57:QJ57))))</f>
        <v>0</v>
      </c>
      <c r="QL57" s="20" t="n">
        <f aca="false">IF(H_Direct=1,IF(ALL56&lt;=0,0,IF(CL57&lt;=0,MIN(MAX(0,AB57-SUM(PR57:QK57)),ALL56),MIN(MAX(0,AB57-SUM(PR57:QK57)),ALL56-G57*MAX(0,CL57*ALL56-(XK57+AAX57))))),MIN(FY57,MAX(0,AB57-SUM(PR57:QK57))))</f>
        <v>0</v>
      </c>
      <c r="QM57" s="20" t="n">
        <f aca="false">IF(H_Direct=1,IF(ALM56&lt;=0,0,IF(CM57&lt;=0,MIN(MAX(0,AB57-SUM(PR57:QL57)),ALM56),MIN(MAX(0,AB57-SUM(PR57:QL57)),ALM56-G57*MAX(0,CM57*ALM56-(XL57+AAY57))))),MIN(FZ57,MAX(0,AB57-SUM(PR57:QL57))))</f>
        <v>0</v>
      </c>
      <c r="QN57" s="20" t="n">
        <f aca="false">IF(H_Direct=1,IF(ALN56&lt;=0,0,IF(CN57&lt;=0,MIN(MAX(0,AB57-SUM(PR57:QM57)),ALN56),MIN(MAX(0,AB57-SUM(PR57:QM57)),ALN56-G57*MAX(0,CN57*ALN56-(XM57+AAZ57))))),MIN(GA57,MAX(0,AB57-SUM(PR57:QM57))))</f>
        <v>0</v>
      </c>
      <c r="QO57" s="20" t="n">
        <f aca="false">IF(H_Direct=1,IF(ALO56&lt;=0,0,IF(CO57&lt;=0,MIN(MAX(0,AB57-SUM(PR57:QN57)),ALO56),MIN(MAX(0,AB57-SUM(PR57:QN57)),ALO56-G57*MAX(0,CO57*ALO56-(XN57+ABA57))))),MIN(GB57,MAX(0,AB57-SUM(PR57:QN57))))</f>
        <v>0</v>
      </c>
      <c r="QP57" s="20" t="n">
        <f aca="false">IF(H_Direct=1,IF(ALP56&lt;=0,0,IF(CP57&lt;=0,MIN(MAX(0,AB57-SUM(PR57:QO57)),ALP56),MIN(MAX(0,AB57-SUM(PR57:QO57)),ALP56-G57*MAX(0,CP57*ALP56-(XO57+ABB57))))),MIN(GC57,MAX(0,AB57-SUM(PR57:QO57))))</f>
        <v>0</v>
      </c>
      <c r="QQ57" s="20" t="n">
        <f aca="false">IF(H_Direct=1,IF(ALQ56&lt;=0,0,IF(CQ57&lt;=0,MIN(MAX(0,AB57-SUM(PR57:QP57)),ALQ56),MIN(MAX(0,AB57-SUM(PR57:QP57)),ALQ56-G57*MAX(0,CQ57*ALQ56-(XP57+ABC57))))),MIN(GD57,MAX(0,AB57-SUM(PR57:QP57))))</f>
        <v>0</v>
      </c>
      <c r="QR57" s="20" t="n">
        <f aca="false">IF(H_Direct=1,IF(ALR56&lt;=0,0,IF(CR57&lt;=0,MIN(MAX(0,AB57-SUM(PR57:QQ57)),ALR56),MIN(MAX(0,AB57-SUM(PR57:QQ57)),ALR56-G57*MAX(0,CR57*ALR56-(XQ57+ABD57))))),MIN(GE57,MAX(0,AB57-SUM(PR57:QQ57))))</f>
        <v>0</v>
      </c>
      <c r="QS57" s="20" t="n">
        <f aca="false">IF(H_Direct=1,IF(ALS56&lt;=0,0,IF(CS57&lt;=0,MIN(MAX(0,AB57-SUM(PR57:QR57)),ALS56),MIN(MAX(0,AB57-SUM(PR57:QR57)),ALS56-G57*MAX(0,CS57*ALS56-(XR57+ABE57))))),MIN(GF57,MAX(0,AB57-SUM(PR57:QR57))))</f>
        <v>0</v>
      </c>
      <c r="QT57" s="20" t="n">
        <f aca="false">IF(H_Direct=1,IF(ALT56&lt;=0,0,IF(CT57&lt;=0,MIN(MAX(0,AB57-SUM(PR57:QS57)),ALT56),MIN(MAX(0,AB57-SUM(PR57:QS57)),ALT56-G57*MAX(0,CT57*ALT56-(XS57+ABF57))))),MIN(GG57,MAX(0,AB57-SUM(PR57:QS57))))</f>
        <v>0</v>
      </c>
      <c r="QU57" s="20" t="n">
        <f aca="false">IF(H_Direct=1,IF(ALU56&lt;=0,0,IF(CU57&lt;=0,MIN(MAX(0,AB57-SUM(PR57:QT57)),ALU56),MIN(MAX(0,AB57-SUM(PR57:QT57)),ALU56-G57*MAX(0,CU57*ALU56-(XT57+ABG57))))),MIN(GH57,MAX(0,AB57-SUM(PR57:QT57))))</f>
        <v>0</v>
      </c>
      <c r="QV57" s="20" t="n">
        <f aca="false">IF(H_Direct=1,IF(ALV56&lt;=0,0,IF(CV57&lt;=0,MIN(MAX(0,AB57-SUM(PR57:QU57)),ALV56),MIN(MAX(0,AB57-SUM(PR57:QU57)),ALV56-G57*MAX(0,CV57*ALV56-(XU57+ABH57))))),MIN(GI57,MAX(0,AB57-SUM(PR57:QU57))))</f>
        <v>0</v>
      </c>
      <c r="QW57" s="20" t="n">
        <f aca="false">IF(H_Direct=1,IF(ALW56&lt;=0,0,IF(CW57&lt;=0,MIN(MAX(0,AB57-SUM(PR57:QV57)),ALW56),MIN(MAX(0,AB57-SUM(PR57:QV57)),ALW56-G57*MAX(0,CW57*ALW56-(XV57+ABI57))))),MIN(GJ57,MAX(0,AB57-SUM(PR57:QV57))))</f>
        <v>0</v>
      </c>
      <c r="QX57" s="20" t="n">
        <f aca="false">IF(H_Direct=1,IF(ALX56&lt;=0,0,IF(CX57&lt;=0,MIN(MAX(0,AB57-SUM(PR57:QW57)),ALX56),MIN(MAX(0,AB57-SUM(PR57:QW57)),ALX56-G57*MAX(0,CX57*ALX56-(XW57+ABJ57))))),MIN(GK57,MAX(0,AB57-SUM(PR57:QW57))))</f>
        <v>0</v>
      </c>
      <c r="QY57" s="20" t="n">
        <f aca="false">IF(H_Direct=1,IF(ALY56&lt;=0,0,IF(CY57&lt;=0,MIN(MAX(0,AB57-SUM(PR57:QX57)),ALY56),MIN(MAX(0,AB57-SUM(PR57:QX57)),ALY56-G57*MAX(0,CY57*ALY56-(XX57+ABK57))))),MIN(GL57,MAX(0,AB57-SUM(PR57:QX57))))</f>
        <v>0</v>
      </c>
      <c r="QZ57" s="20" t="n">
        <f aca="false">IF(H_Direct=1,IF(ALZ56&lt;=0,0,IF(CZ57&lt;=0,MIN(MAX(0,AB57-SUM(PR57:QY57)),ALZ56),MIN(MAX(0,AB57-SUM(PR57:QY57)),ALZ56-G57*MAX(0,CZ57*ALZ56-(XY57+ABL57))))),MIN(GM57,MAX(0,AB57-SUM(PR57:QY57))))</f>
        <v>0</v>
      </c>
      <c r="RA57" s="20" t="n">
        <f aca="false">IF(H_Direct=1,IF(AMA56&lt;=0,0,IF(DA57&lt;=0,MIN(MAX(0,AB57-SUM(PR57:QZ57)),AMA56),MIN(MAX(0,AB57-SUM(PR57:QZ57)),AMA56-G57*MAX(0,DA57*AMA56-(XZ57+ABM57))))),MIN(GN57,MAX(0,AB57-SUM(PR57:QZ57))))</f>
        <v>0</v>
      </c>
      <c r="RB57" s="20" t="n">
        <f aca="false">IF(H_Direct=1,IF(AMB56&lt;=0,0,IF(DB57&lt;=0,MIN(MAX(0,AB57-SUM(PR57:RA57)),AMB56),MIN(MAX(0,AB57-SUM(PR57:RA57)),AMB56-G57*MAX(0,DB57*AMB56-(YA57+ABN57))))),MIN(GO57,MAX(0,AB57-SUM(PR57:RA57))))</f>
        <v>0</v>
      </c>
      <c r="RC57" s="20" t="n">
        <f aca="false">IF(H_Direct=1,IF(AMC56&lt;=0,0,IF(DC57&lt;=0,MIN(MAX(0,AB57-SUM(PR57:RB57)),AMC56),MIN(MAX(0,AB57-SUM(PR57:RB57)),AMC56-G57*MAX(0,DC57*AMC56-(YB57+ABO57))))),MIN(GP57,MAX(0,AB57-SUM(PR57:RB57))))</f>
        <v>0</v>
      </c>
      <c r="RD57" s="20" t="n">
        <f aca="false">IF(H_Direct=1,IF(AMD56&lt;=0,0,IF(DD57&lt;=0,MIN(MAX(0,AB57-SUM(PR57:RC57)),AMD56),MIN(MAX(0,AB57-SUM(PR57:RC57)),AMD56-G57*MAX(0,DD57*AMD56-(YC57+ABP57))))),MIN(GQ57,MAX(0,AB57-SUM(PR57:RC57))))</f>
        <v>0</v>
      </c>
      <c r="RE57" s="20" t="n">
        <f aca="false">IF(H_Direct=1,IF(AME56&lt;=0,0,IF(DE57&lt;=0,MIN(MAX(0,AB57-SUM(PR57:RD57)),AME56),MIN(MAX(0,AB57-SUM(PR57:RD57)),AME56-G57*MAX(0,DE57*AME56-(YD57+ABQ57))))),MIN(GR57,MAX(0,AB57-SUM(PR57:RD57))))</f>
        <v>0</v>
      </c>
      <c r="RF57" s="20" t="n">
        <f aca="false">IF(H_Direct=1,IF(AMF56&lt;=0,0,IF(DF57&lt;=0,MIN(MAX(0,AB57-SUM(PR57:RE57)),AMF56),MIN(MAX(0,AB57-SUM(PR57:RE57)),AMF56-G57*MAX(0,DF57*AMF56-(YE57+ABR57))))),MIN(GS57,MAX(0,AB57-SUM(PR57:RE57))))</f>
        <v>0</v>
      </c>
      <c r="RG57" s="20" t="n">
        <f aca="false">IF(H_Direct=1,IF(AMG56&lt;=0,0,IF(DG57&lt;=0,MIN(MAX(0,AB57-SUM(PR57:RF57)),AMG56),MIN(MAX(0,AB57-SUM(PR57:RF57)),AMG56-G57*MAX(0,DG57*AMG56-(YF57+ABS57))))),MIN(GT57,MAX(0,AB57-SUM(PR57:RF57))))</f>
        <v>0</v>
      </c>
      <c r="RH57" s="20" t="n">
        <f aca="false">IF(H_Direct=1,IF(AMH56&lt;=0,0,IF(DH57&lt;=0,MIN(MAX(0,AB57-SUM(PR57:RG57)),AMH56),MIN(MAX(0,AB57-SUM(PR57:RG57)),AMH56-G57*MAX(0,DH57*AMH56-(YG57+ABT57))))),MIN(GU57,MAX(0,AB57-SUM(PR57:RG57))))</f>
        <v>0</v>
      </c>
      <c r="RI57" s="20" t="n">
        <f aca="false">IF(H_Direct=1,IF(AMI56&lt;=0,0,IF(DI57&lt;=0,MIN(MAX(0,AB57-SUM(PR57:RH57)),AMI56),MIN(MAX(0,AB57-SUM(PR57:RH57)),AMI56-G57*MAX(0,DI57*AMI56-(YH57+ABU57))))),MIN(GV57,MAX(0,AB57-SUM(PR57:RH57))))</f>
        <v>0</v>
      </c>
      <c r="RJ57" s="20" t="n">
        <f aca="false">IF(H_Direct=1,IF(AMJ56&lt;=0,0,IF(DJ57&lt;=0,MIN(MAX(0,AB57-SUM(PR57:RI57)),AMJ56),MIN(MAX(0,AB57-SUM(PR57:RI57)),AMJ56-G57*MAX(0,DJ57*AMJ56-(YI57+ABV57))))),MIN(GW57,MAX(0,AB57-SUM(PR57:RI57))))</f>
        <v>0</v>
      </c>
      <c r="RK57" s="20" t="n">
        <f aca="false">IF(H_Direct=1,IF(AMK56&lt;=0,0,IF(DK57&lt;=0,MIN(MAX(0,AB57-SUM(PR57:RJ57)),AMK56),MIN(MAX(0,AB57-SUM(PR57:RJ57)),AMK56-G57*MAX(0,DK57*AMK56-(YJ57+ABW57))))),MIN(GX57,MAX(0,AB57-SUM(PR57:RJ57))))</f>
        <v>0</v>
      </c>
      <c r="RL57" s="20" t="n">
        <f aca="false">IF(H_Direct=1,IF(AML56&lt;=0,0,IF(DL57&lt;=0,MIN(MAX(0,AB57-SUM(PR57:RK57)),AML56),MIN(MAX(0,AB57-SUM(PR57:RK57)),AML56-G57*MAX(0,DL57*AML56-(YK57+ABX57))))),MIN(GY57,MAX(0,AB57-SUM(PR57:RK57))))</f>
        <v>0</v>
      </c>
      <c r="RM57" s="20" t="n">
        <f aca="false">IF(H_Direct=1,IF(AMM56&lt;=0,0,IF(DM57&lt;=0,MIN(MAX(0,AB57-SUM(PR57:RL57)),AMM56),MIN(MAX(0,AB57-SUM(PR57:RL57)),AMM56-G57*MAX(0,DM57*AMM56-(YL57+ABY57))))),MIN(GZ57,MAX(0,AB57-SUM(PR57:RL57))))</f>
        <v>0</v>
      </c>
      <c r="RN57" s="20" t="n">
        <f aca="false">IF(H_Direct=1,IF(AMN56&lt;=0,0,IF(DN57&lt;=0,MIN(MAX(0,AB57-SUM(PR57:RM57)),AMN56),MIN(MAX(0,AB57-SUM(PR57:RM57)),AMN56-G57*MAX(0,DN57*AMN56-(YM57+ABZ57))))),MIN(HA57,MAX(0,AB57-SUM(PR57:RM57))))</f>
        <v>0</v>
      </c>
      <c r="RO57" s="20" t="n">
        <f aca="false">IF(H_Direct=1,IF(AMO56&lt;=0,0,IF(DO57&lt;=0,MIN(MAX(0,AB57-SUM(PR57:RN57)),AMO56),MIN(MAX(0,AB57-SUM(PR57:RN57)),AMO56-G57*MAX(0,DO57*AMO56-(YN57+ACA57))))),MIN(HB57,MAX(0,AB57-SUM(PR57:RN57))))</f>
        <v>0</v>
      </c>
      <c r="RP57" s="20" t="n">
        <f aca="false">IF(H_Direct=1,IF((P57+S57)&lt;=0,0,IF(DP57&lt;=0,MIN(MAX(0,AB57-SUM(PR57:RO57)),(P57+S57)),MIN(MAX(0,AB57-SUM(PR57:RO57)),(P57+S57)-G57*MAX(0,DP57*(P57+S57)-(YO57+ACB57))))),MIN(HC57,MAX(0,AB57-SUM(PR57:RO57))))</f>
        <v>0</v>
      </c>
      <c r="RQ57" s="20" t="n">
        <v>0</v>
      </c>
      <c r="RR57" s="20" t="n">
        <v>0</v>
      </c>
      <c r="RS57" s="20" t="n">
        <v>0</v>
      </c>
      <c r="RT57" s="20" t="n">
        <v>0</v>
      </c>
      <c r="RU57" s="20" t="n">
        <v>0</v>
      </c>
      <c r="RV57" s="20" t="n">
        <v>0</v>
      </c>
      <c r="RW57" s="20" t="n">
        <v>0</v>
      </c>
      <c r="RX57" s="20" t="n">
        <v>0</v>
      </c>
      <c r="RY57" s="20" t="n">
        <v>0</v>
      </c>
      <c r="RZ57" s="20" t="n">
        <v>0</v>
      </c>
      <c r="SA57" s="20" t="n">
        <v>0</v>
      </c>
      <c r="SB57" s="20" t="n">
        <v>0</v>
      </c>
      <c r="SC57" s="20" t="n">
        <v>0</v>
      </c>
      <c r="SD57" s="20" t="n">
        <v>0</v>
      </c>
      <c r="SE57" s="20" t="n">
        <v>0</v>
      </c>
      <c r="SF57" s="20" t="n">
        <v>0</v>
      </c>
      <c r="SG57" s="20" t="n">
        <v>0</v>
      </c>
      <c r="SH57" s="20" t="n">
        <v>0</v>
      </c>
      <c r="SI57" s="20" t="n">
        <v>0</v>
      </c>
      <c r="SJ57" s="20" t="n">
        <v>0</v>
      </c>
      <c r="SK57" s="20" t="n">
        <v>0</v>
      </c>
      <c r="SL57" s="20" t="n">
        <v>0</v>
      </c>
      <c r="SM57" s="20" t="n">
        <v>0</v>
      </c>
      <c r="SN57" s="20" t="n">
        <v>0</v>
      </c>
      <c r="SO57" s="20" t="n">
        <v>0</v>
      </c>
      <c r="SP57" s="20" t="n">
        <v>0</v>
      </c>
      <c r="SQ57" s="20" t="n">
        <v>0</v>
      </c>
      <c r="SR57" s="20" t="n">
        <v>0</v>
      </c>
      <c r="SS57" s="20" t="n">
        <v>0</v>
      </c>
      <c r="ST57" s="20" t="n">
        <v>0</v>
      </c>
      <c r="SU57" s="20" t="n">
        <v>0</v>
      </c>
      <c r="SV57" s="20" t="n">
        <v>0</v>
      </c>
      <c r="SW57" s="20" t="n">
        <v>0</v>
      </c>
      <c r="SX57" s="20" t="n">
        <v>0</v>
      </c>
      <c r="SY57" s="20" t="n">
        <v>0</v>
      </c>
      <c r="SZ57" s="20" t="n">
        <v>0</v>
      </c>
      <c r="TA57" s="20" t="n">
        <v>0</v>
      </c>
      <c r="TB57" s="20" t="n">
        <v>0</v>
      </c>
      <c r="TC57" s="20" t="n">
        <v>0</v>
      </c>
      <c r="TD57" s="20" t="n">
        <v>0</v>
      </c>
      <c r="TE57" s="20" t="n">
        <f aca="false">IF(AKR56&lt;=0,0,IF(H_Direct=1,IF(BR57&lt;=0,PR57,IF(PR57&lt;=(H57+I57)/BR57,PR57,(PR57-G57*(H57+I57))/(1-G57*BR57))),PR57/(1-MAX(0,BR57)*H_Exit)))</f>
        <v>0</v>
      </c>
      <c r="TF57" s="20" t="n">
        <f aca="false">IF(AKS56&lt;=0,0,IF(H_Direct=1,IF(BS57&lt;=0,PS57,IF(PS57&lt;=(WR57+AAE57)/BS57,PS57,(PS57-G57*(WR57+AAE57))/(1-G57*BS57))),PS57/(1-MAX(0,BS57)*H_Exit)))</f>
        <v>0</v>
      </c>
      <c r="TG57" s="20" t="n">
        <f aca="false">IF(AKT56&lt;=0,0,IF(H_Direct=1,IF(BT57&lt;=0,PT57,IF(PT57&lt;=(WS57+AAF57)/BT57,PT57,(PT57-G57*(WS57+AAF57))/(1-G57*BT57))),PT57/(1-MAX(0,BT57)*H_Exit)))</f>
        <v>0</v>
      </c>
      <c r="TH57" s="20" t="n">
        <f aca="false">IF(AKU56&lt;=0,0,IF(H_Direct=1,IF(BU57&lt;=0,PU57,IF(PU57&lt;=(WT57+AAG57)/BU57,PU57,(PU57-G57*(WT57+AAG57))/(1-G57*BU57))),PU57/(1-MAX(0,BU57)*H_Exit)))</f>
        <v>0</v>
      </c>
      <c r="TI57" s="20" t="n">
        <f aca="false">IF(AKV56&lt;=0,0,IF(H_Direct=1,IF(BV57&lt;=0,PV57,IF(PV57&lt;=(WU57+AAH57)/BV57,PV57,(PV57-G57*(WU57+AAH57))/(1-G57*BV57))),PV57/(1-MAX(0,BV57)*H_Exit)))</f>
        <v>0</v>
      </c>
      <c r="TJ57" s="20" t="n">
        <f aca="false">IF(AKW56&lt;=0,0,IF(H_Direct=1,IF(BW57&lt;=0,PW57,IF(PW57&lt;=(WV57+AAI57)/BW57,PW57,(PW57-G57*(WV57+AAI57))/(1-G57*BW57))),PW57/(1-MAX(0,BW57)*H_Exit)))</f>
        <v>0</v>
      </c>
      <c r="TK57" s="20" t="n">
        <f aca="false">IF(AKX56&lt;=0,0,IF(H_Direct=1,IF(BX57&lt;=0,PX57,IF(PX57&lt;=(WW57+AAJ57)/BX57,PX57,(PX57-G57*(WW57+AAJ57))/(1-G57*BX57))),PX57/(1-MAX(0,BX57)*H_Exit)))</f>
        <v>0</v>
      </c>
      <c r="TL57" s="20" t="n">
        <f aca="false">IF(AKY56&lt;=0,0,IF(H_Direct=1,IF(BY57&lt;=0,PY57,IF(PY57&lt;=(WX57+AAK57)/BY57,PY57,(PY57-G57*(WX57+AAK57))/(1-G57*BY57))),PY57/(1-MAX(0,BY57)*H_Exit)))</f>
        <v>0</v>
      </c>
      <c r="TM57" s="20" t="n">
        <f aca="false">IF(AKZ56&lt;=0,0,IF(H_Direct=1,IF(BZ57&lt;=0,PZ57,IF(PZ57&lt;=(WY57+AAL57)/BZ57,PZ57,(PZ57-G57*(WY57+AAL57))/(1-G57*BZ57))),PZ57/(1-MAX(0,BZ57)*H_Exit)))</f>
        <v>0</v>
      </c>
      <c r="TN57" s="20" t="n">
        <f aca="false">IF(ALA56&lt;=0,0,IF(H_Direct=1,IF(CA57&lt;=0,QA57,IF(QA57&lt;=(WZ57+AAM57)/CA57,QA57,(QA57-G57*(WZ57+AAM57))/(1-G57*CA57))),QA57/(1-MAX(0,CA57)*H_Exit)))</f>
        <v>0</v>
      </c>
      <c r="TO57" s="20" t="n">
        <f aca="false">IF(ALB56&lt;=0,0,IF(H_Direct=1,IF(CB57&lt;=0,QB57,IF(QB57&lt;=(XA57+AAN57)/CB57,QB57,(QB57-G57*(XA57+AAN57))/(1-G57*CB57))),QB57/(1-MAX(0,CB57)*H_Exit)))</f>
        <v>0</v>
      </c>
      <c r="TP57" s="20" t="n">
        <f aca="false">IF(ALC56&lt;=0,0,IF(H_Direct=1,IF(CC57&lt;=0,QC57,IF(QC57&lt;=(XB57+AAO57)/CC57,QC57,(QC57-G57*(XB57+AAO57))/(1-G57*CC57))),QC57/(1-MAX(0,CC57)*H_Exit)))</f>
        <v>0</v>
      </c>
      <c r="TQ57" s="20" t="n">
        <f aca="false">IF(ALD56&lt;=0,0,IF(H_Direct=1,IF(CD57&lt;=0,QD57,IF(QD57&lt;=(XC57+AAP57)/CD57,QD57,(QD57-G57*(XC57+AAP57))/(1-G57*CD57))),QD57/(1-MAX(0,CD57)*H_Exit)))</f>
        <v>0</v>
      </c>
      <c r="TR57" s="20" t="n">
        <f aca="false">IF(ALE56&lt;=0,0,IF(H_Direct=1,IF(CE57&lt;=0,QE57,IF(QE57&lt;=(XD57+AAQ57)/CE57,QE57,(QE57-G57*(XD57+AAQ57))/(1-G57*CE57))),QE57/(1-MAX(0,CE57)*H_Exit)))</f>
        <v>0</v>
      </c>
      <c r="TS57" s="20" t="n">
        <f aca="false">IF(ALF56&lt;=0,0,IF(H_Direct=1,IF(CF57&lt;=0,QF57,IF(QF57&lt;=(XE57+AAR57)/CF57,QF57,(QF57-G57*(XE57+AAR57))/(1-G57*CF57))),QF57/(1-MAX(0,CF57)*H_Exit)))</f>
        <v>0</v>
      </c>
      <c r="TT57" s="20" t="n">
        <f aca="false">IF(ALG56&lt;=0,0,IF(H_Direct=1,IF(CG57&lt;=0,QG57,IF(QG57&lt;=(XF57+AAS57)/CG57,QG57,(QG57-G57*(XF57+AAS57))/(1-G57*CG57))),QG57/(1-MAX(0,CG57)*H_Exit)))</f>
        <v>0</v>
      </c>
      <c r="TU57" s="20" t="n">
        <f aca="false">IF(ALH56&lt;=0,0,IF(H_Direct=1,IF(CH57&lt;=0,QH57,IF(QH57&lt;=(XG57+AAT57)/CH57,QH57,(QH57-G57*(XG57+AAT57))/(1-G57*CH57))),QH57/(1-MAX(0,CH57)*H_Exit)))</f>
        <v>0</v>
      </c>
      <c r="TV57" s="20" t="n">
        <f aca="false">IF(ALI56&lt;=0,0,IF(H_Direct=1,IF(CI57&lt;=0,QI57,IF(QI57&lt;=(XH57+AAU57)/CI57,QI57,(QI57-G57*(XH57+AAU57))/(1-G57*CI57))),QI57/(1-MAX(0,CI57)*H_Exit)))</f>
        <v>0</v>
      </c>
      <c r="TW57" s="20" t="n">
        <f aca="false">IF(ALJ56&lt;=0,0,IF(H_Direct=1,IF(CJ57&lt;=0,QJ57,IF(QJ57&lt;=(XI57+AAV57)/CJ57,QJ57,(QJ57-G57*(XI57+AAV57))/(1-G57*CJ57))),QJ57/(1-MAX(0,CJ57)*H_Exit)))</f>
        <v>0</v>
      </c>
      <c r="TX57" s="20" t="n">
        <f aca="false">IF(ALK56&lt;=0,0,IF(H_Direct=1,IF(CK57&lt;=0,QK57,IF(QK57&lt;=(XJ57+AAW57)/CK57,QK57,(QK57-G57*(XJ57+AAW57))/(1-G57*CK57))),QK57/(1-MAX(0,CK57)*H_Exit)))</f>
        <v>0</v>
      </c>
      <c r="TY57" s="20" t="n">
        <f aca="false">IF(ALL56&lt;=0,0,IF(H_Direct=1,IF(CL57&lt;=0,QL57,IF(QL57&lt;=(XK57+AAX57)/CL57,QL57,(QL57-G57*(XK57+AAX57))/(1-G57*CL57))),QL57/(1-MAX(0,CL57)*H_Exit)))</f>
        <v>0</v>
      </c>
      <c r="TZ57" s="20" t="n">
        <f aca="false">IF(ALM56&lt;=0,0,IF(H_Direct=1,IF(CM57&lt;=0,QM57,IF(QM57&lt;=(XL57+AAY57)/CM57,QM57,(QM57-G57*(XL57+AAY57))/(1-G57*CM57))),QM57/(1-MAX(0,CM57)*H_Exit)))</f>
        <v>0</v>
      </c>
      <c r="UA57" s="20" t="n">
        <f aca="false">IF(ALN56&lt;=0,0,IF(H_Direct=1,IF(CN57&lt;=0,QN57,IF(QN57&lt;=(XM57+AAZ57)/CN57,QN57,(QN57-G57*(XM57+AAZ57))/(1-G57*CN57))),QN57/(1-MAX(0,CN57)*H_Exit)))</f>
        <v>0</v>
      </c>
      <c r="UB57" s="20" t="n">
        <f aca="false">IF(ALO56&lt;=0,0,IF(H_Direct=1,IF(CO57&lt;=0,QO57,IF(QO57&lt;=(XN57+ABA57)/CO57,QO57,(QO57-G57*(XN57+ABA57))/(1-G57*CO57))),QO57/(1-MAX(0,CO57)*H_Exit)))</f>
        <v>0</v>
      </c>
      <c r="UC57" s="20" t="n">
        <f aca="false">IF(ALP56&lt;=0,0,IF(H_Direct=1,IF(CP57&lt;=0,QP57,IF(QP57&lt;=(XO57+ABB57)/CP57,QP57,(QP57-G57*(XO57+ABB57))/(1-G57*CP57))),QP57/(1-MAX(0,CP57)*H_Exit)))</f>
        <v>0</v>
      </c>
      <c r="UD57" s="20" t="n">
        <f aca="false">IF(ALQ56&lt;=0,0,IF(H_Direct=1,IF(CQ57&lt;=0,QQ57,IF(QQ57&lt;=(XP57+ABC57)/CQ57,QQ57,(QQ57-G57*(XP57+ABC57))/(1-G57*CQ57))),QQ57/(1-MAX(0,CQ57)*H_Exit)))</f>
        <v>0</v>
      </c>
      <c r="UE57" s="20" t="n">
        <f aca="false">IF(ALR56&lt;=0,0,IF(H_Direct=1,IF(CR57&lt;=0,QR57,IF(QR57&lt;=(XQ57+ABD57)/CR57,QR57,(QR57-G57*(XQ57+ABD57))/(1-G57*CR57))),QR57/(1-MAX(0,CR57)*H_Exit)))</f>
        <v>0</v>
      </c>
      <c r="UF57" s="20" t="n">
        <f aca="false">IF(ALS56&lt;=0,0,IF(H_Direct=1,IF(CS57&lt;=0,QS57,IF(QS57&lt;=(XR57+ABE57)/CS57,QS57,(QS57-G57*(XR57+ABE57))/(1-G57*CS57))),QS57/(1-MAX(0,CS57)*H_Exit)))</f>
        <v>0</v>
      </c>
      <c r="UG57" s="20" t="n">
        <f aca="false">IF(ALT56&lt;=0,0,IF(H_Direct=1,IF(CT57&lt;=0,QT57,IF(QT57&lt;=(XS57+ABF57)/CT57,QT57,(QT57-G57*(XS57+ABF57))/(1-G57*CT57))),QT57/(1-MAX(0,CT57)*H_Exit)))</f>
        <v>0</v>
      </c>
      <c r="UH57" s="20" t="n">
        <f aca="false">IF(ALU56&lt;=0,0,IF(H_Direct=1,IF(CU57&lt;=0,QU57,IF(QU57&lt;=(XT57+ABG57)/CU57,QU57,(QU57-G57*(XT57+ABG57))/(1-G57*CU57))),QU57/(1-MAX(0,CU57)*H_Exit)))</f>
        <v>0</v>
      </c>
      <c r="UI57" s="20" t="n">
        <f aca="false">IF(ALV56&lt;=0,0,IF(H_Direct=1,IF(CV57&lt;=0,QV57,IF(QV57&lt;=(XU57+ABH57)/CV57,QV57,(QV57-G57*(XU57+ABH57))/(1-G57*CV57))),QV57/(1-MAX(0,CV57)*H_Exit)))</f>
        <v>0</v>
      </c>
      <c r="UJ57" s="20" t="n">
        <f aca="false">IF(ALW56&lt;=0,0,IF(H_Direct=1,IF(CW57&lt;=0,QW57,IF(QW57&lt;=(XV57+ABI57)/CW57,QW57,(QW57-G57*(XV57+ABI57))/(1-G57*CW57))),QW57/(1-MAX(0,CW57)*H_Exit)))</f>
        <v>0</v>
      </c>
      <c r="UK57" s="20" t="n">
        <f aca="false">IF(ALX56&lt;=0,0,IF(H_Direct=1,IF(CX57&lt;=0,QX57,IF(QX57&lt;=(XW57+ABJ57)/CX57,QX57,(QX57-G57*(XW57+ABJ57))/(1-G57*CX57))),QX57/(1-MAX(0,CX57)*H_Exit)))</f>
        <v>0</v>
      </c>
      <c r="UL57" s="20" t="n">
        <f aca="false">IF(ALY56&lt;=0,0,IF(H_Direct=1,IF(CY57&lt;=0,QY57,IF(QY57&lt;=(XX57+ABK57)/CY57,QY57,(QY57-G57*(XX57+ABK57))/(1-G57*CY57))),QY57/(1-MAX(0,CY57)*H_Exit)))</f>
        <v>0</v>
      </c>
      <c r="UM57" s="20" t="n">
        <f aca="false">IF(ALZ56&lt;=0,0,IF(H_Direct=1,IF(CZ57&lt;=0,QZ57,IF(QZ57&lt;=(XY57+ABL57)/CZ57,QZ57,(QZ57-G57*(XY57+ABL57))/(1-G57*CZ57))),QZ57/(1-MAX(0,CZ57)*H_Exit)))</f>
        <v>0</v>
      </c>
      <c r="UN57" s="20" t="n">
        <f aca="false">IF(AMA56&lt;=0,0,IF(H_Direct=1,IF(DA57&lt;=0,RA57,IF(RA57&lt;=(XZ57+ABM57)/DA57,RA57,(RA57-G57*(XZ57+ABM57))/(1-G57*DA57))),RA57/(1-MAX(0,DA57)*H_Exit)))</f>
        <v>0</v>
      </c>
      <c r="UO57" s="20" t="n">
        <f aca="false">IF(AMB56&lt;=0,0,IF(H_Direct=1,IF(DB57&lt;=0,RB57,IF(RB57&lt;=(YA57+ABN57)/DB57,RB57,(RB57-G57*(YA57+ABN57))/(1-G57*DB57))),RB57/(1-MAX(0,DB57)*H_Exit)))</f>
        <v>0</v>
      </c>
      <c r="UP57" s="20" t="n">
        <f aca="false">IF(AMC56&lt;=0,0,IF(H_Direct=1,IF(DC57&lt;=0,RC57,IF(RC57&lt;=(YB57+ABO57)/DC57,RC57,(RC57-G57*(YB57+ABO57))/(1-G57*DC57))),RC57/(1-MAX(0,DC57)*H_Exit)))</f>
        <v>0</v>
      </c>
      <c r="UQ57" s="20" t="n">
        <f aca="false">IF(AMD56&lt;=0,0,IF(H_Direct=1,IF(DD57&lt;=0,RD57,IF(RD57&lt;=(YC57+ABP57)/DD57,RD57,(RD57-G57*(YC57+ABP57))/(1-G57*DD57))),RD57/(1-MAX(0,DD57)*H_Exit)))</f>
        <v>0</v>
      </c>
      <c r="UR57" s="20" t="n">
        <f aca="false">IF(AME56&lt;=0,0,IF(H_Direct=1,IF(DE57&lt;=0,RE57,IF(RE57&lt;=(YD57+ABQ57)/DE57,RE57,(RE57-G57*(YD57+ABQ57))/(1-G57*DE57))),RE57/(1-MAX(0,DE57)*H_Exit)))</f>
        <v>0</v>
      </c>
      <c r="US57" s="20" t="n">
        <f aca="false">IF(AMF56&lt;=0,0,IF(H_Direct=1,IF(DF57&lt;=0,RF57,IF(RF57&lt;=(YE57+ABR57)/DF57,RF57,(RF57-G57*(YE57+ABR57))/(1-G57*DF57))),RF57/(1-MAX(0,DF57)*H_Exit)))</f>
        <v>0</v>
      </c>
      <c r="UT57" s="20" t="n">
        <f aca="false">IF(AMG56&lt;=0,0,IF(H_Direct=1,IF(DG57&lt;=0,RG57,IF(RG57&lt;=(YF57+ABS57)/DG57,RG57,(RG57-G57*(YF57+ABS57))/(1-G57*DG57))),RG57/(1-MAX(0,DG57)*H_Exit)))</f>
        <v>0</v>
      </c>
      <c r="UU57" s="20" t="n">
        <f aca="false">IF(AMH56&lt;=0,0,IF(H_Direct=1,IF(DH57&lt;=0,RH57,IF(RH57&lt;=(YG57+ABT57)/DH57,RH57,(RH57-G57*(YG57+ABT57))/(1-G57*DH57))),RH57/(1-MAX(0,DH57)*H_Exit)))</f>
        <v>0</v>
      </c>
      <c r="UV57" s="20" t="n">
        <f aca="false">IF(AMI56&lt;=0,0,IF(H_Direct=1,IF(DI57&lt;=0,RI57,IF(RI57&lt;=(YH57+ABU57)/DI57,RI57,(RI57-G57*(YH57+ABU57))/(1-G57*DI57))),RI57/(1-MAX(0,DI57)*H_Exit)))</f>
        <v>0</v>
      </c>
      <c r="UW57" s="20" t="n">
        <f aca="false">IF(AMJ56&lt;=0,0,IF(H_Direct=1,IF(DJ57&lt;=0,RJ57,IF(RJ57&lt;=(YI57+ABV57)/DJ57,RJ57,(RJ57-G57*(YI57+ABV57))/(1-G57*DJ57))),RJ57/(1-MAX(0,DJ57)*H_Exit)))</f>
        <v>0</v>
      </c>
      <c r="UX57" s="20" t="n">
        <f aca="false">IF(AMK56&lt;=0,0,IF(H_Direct=1,IF(DK57&lt;=0,RK57,IF(RK57&lt;=(YJ57+ABW57)/DK57,RK57,(RK57-G57*(YJ57+ABW57))/(1-G57*DK57))),RK57/(1-MAX(0,DK57)*H_Exit)))</f>
        <v>0</v>
      </c>
      <c r="UY57" s="20" t="n">
        <f aca="false">IF(AML56&lt;=0,0,IF(H_Direct=1,IF(DL57&lt;=0,RL57,IF(RL57&lt;=(YK57+ABX57)/DL57,RL57,(RL57-G57*(YK57+ABX57))/(1-G57*DL57))),RL57/(1-MAX(0,DL57)*H_Exit)))</f>
        <v>0</v>
      </c>
      <c r="UZ57" s="20" t="n">
        <f aca="false">IF(AMM56&lt;=0,0,IF(H_Direct=1,IF(DM57&lt;=0,RM57,IF(RM57&lt;=(YL57+ABY57)/DM57,RM57,(RM57-G57*(YL57+ABY57))/(1-G57*DM57))),RM57/(1-MAX(0,DM57)*H_Exit)))</f>
        <v>0</v>
      </c>
      <c r="VA57" s="20" t="n">
        <f aca="false">IF(AMN56&lt;=0,0,IF(H_Direct=1,IF(DN57&lt;=0,RN57,IF(RN57&lt;=(YM57+ABZ57)/DN57,RN57,(RN57-G57*(YM57+ABZ57))/(1-G57*DN57))),RN57/(1-MAX(0,DN57)*H_Exit)))</f>
        <v>0</v>
      </c>
      <c r="VB57" s="20" t="n">
        <f aca="false">IF(AMO56&lt;=0,0,IF(H_Direct=1,IF(DO57&lt;=0,RO57,IF(RO57&lt;=(YN57+ACA57)/DO57,RO57,(RO57-G57*(YN57+ACA57))/(1-G57*DO57))),RO57/(1-MAX(0,DO57)*H_Exit)))</f>
        <v>0</v>
      </c>
      <c r="VC57" s="20" t="n">
        <f aca="false">IF((P57+S57)&lt;=0,0,IF(H_Direct=1,IF(DP57&lt;=0,RP57,IF(RP57&lt;=(YO57+ACB57)/DP57,RP57,(RP57-G57*(YO57+ACB57))/(1-G57*DP57))),RP57/(1-MAX(0,DP57)*H_Exit)))</f>
        <v>0</v>
      </c>
      <c r="VD57" s="20" t="n">
        <v>0</v>
      </c>
      <c r="VE57" s="20" t="n">
        <v>0</v>
      </c>
      <c r="VF57" s="20" t="n">
        <v>0</v>
      </c>
      <c r="VG57" s="20" t="n">
        <v>0</v>
      </c>
      <c r="VH57" s="20" t="n">
        <v>0</v>
      </c>
      <c r="VI57" s="20" t="n">
        <v>0</v>
      </c>
      <c r="VJ57" s="20" t="n">
        <v>0</v>
      </c>
      <c r="VK57" s="20" t="n">
        <v>0</v>
      </c>
      <c r="VL57" s="20" t="n">
        <v>0</v>
      </c>
      <c r="VM57" s="20" t="n">
        <v>0</v>
      </c>
      <c r="VN57" s="20" t="n">
        <v>0</v>
      </c>
      <c r="VO57" s="20" t="n">
        <v>0</v>
      </c>
      <c r="VP57" s="20" t="n">
        <v>0</v>
      </c>
      <c r="VQ57" s="20" t="n">
        <v>0</v>
      </c>
      <c r="VR57" s="20" t="n">
        <v>0</v>
      </c>
      <c r="VS57" s="20" t="n">
        <v>0</v>
      </c>
      <c r="VT57" s="20" t="n">
        <v>0</v>
      </c>
      <c r="VU57" s="20" t="n">
        <v>0</v>
      </c>
      <c r="VV57" s="20" t="n">
        <v>0</v>
      </c>
      <c r="VW57" s="20" t="n">
        <v>0</v>
      </c>
      <c r="VX57" s="20" t="n">
        <v>0</v>
      </c>
      <c r="VY57" s="20" t="n">
        <v>0</v>
      </c>
      <c r="VZ57" s="20" t="n">
        <v>0</v>
      </c>
      <c r="WA57" s="20" t="n">
        <v>0</v>
      </c>
      <c r="WB57" s="20" t="n">
        <v>0</v>
      </c>
      <c r="WC57" s="20" t="n">
        <v>0</v>
      </c>
      <c r="WD57" s="20" t="n">
        <v>0</v>
      </c>
      <c r="WE57" s="20" t="n">
        <v>0</v>
      </c>
      <c r="WF57" s="20" t="n">
        <v>0</v>
      </c>
      <c r="WG57" s="20" t="n">
        <v>0</v>
      </c>
      <c r="WH57" s="20" t="n">
        <v>0</v>
      </c>
      <c r="WI57" s="20" t="n">
        <v>0</v>
      </c>
      <c r="WJ57" s="20" t="n">
        <v>0</v>
      </c>
      <c r="WK57" s="20" t="n">
        <v>0</v>
      </c>
      <c r="WL57" s="20" t="n">
        <v>0</v>
      </c>
      <c r="WM57" s="20" t="n">
        <v>0</v>
      </c>
      <c r="WN57" s="20" t="n">
        <v>0</v>
      </c>
      <c r="WO57" s="20" t="n">
        <v>0</v>
      </c>
      <c r="WP57" s="20" t="n">
        <v>0</v>
      </c>
      <c r="WQ57" s="20" t="n">
        <v>0</v>
      </c>
      <c r="WR57" s="20" t="n">
        <f aca="false">IF(AND(H_Direct=1,BR57&gt;0),MAX(0,H57-(MIN(BR57*TE57,(H57+I57))-MIN(MIN(BR57*TE57,(H57+I57)),I57))),H57)</f>
        <v>1270</v>
      </c>
      <c r="WS57" s="20" t="n">
        <f aca="false">IF(AND(H_Direct=1,BS57&gt;0),MAX(0,WR57-(MIN(BS57*TF57,(WR57+AAE57))-MIN(MIN(BS57*TF57,(WR57+AAE57)),AAE57))),WR57)</f>
        <v>1270</v>
      </c>
      <c r="WT57" s="20" t="n">
        <f aca="false">IF(AND(H_Direct=1,BT57&gt;0),MAX(0,WS57-(MIN(BT57*TG57,(WS57+AAF57))-MIN(MIN(BT57*TG57,(WS57+AAF57)),AAF57))),WS57)</f>
        <v>1270</v>
      </c>
      <c r="WU57" s="20" t="n">
        <f aca="false">IF(AND(H_Direct=1,BU57&gt;0),MAX(0,WT57-(MIN(BU57*TH57,(WT57+AAG57))-MIN(MIN(BU57*TH57,(WT57+AAG57)),AAG57))),WT57)</f>
        <v>1270</v>
      </c>
      <c r="WV57" s="20" t="n">
        <f aca="false">IF(AND(H_Direct=1,BV57&gt;0),MAX(0,WU57-(MIN(BV57*TI57,(WU57+AAH57))-MIN(MIN(BV57*TI57,(WU57+AAH57)),AAH57))),WU57)</f>
        <v>1270</v>
      </c>
      <c r="WW57" s="20" t="n">
        <f aca="false">IF(AND(H_Direct=1,BW57&gt;0),MAX(0,WV57-(MIN(BW57*TJ57,(WV57+AAI57))-MIN(MIN(BW57*TJ57,(WV57+AAI57)),AAI57))),WV57)</f>
        <v>1270</v>
      </c>
      <c r="WX57" s="20" t="n">
        <f aca="false">IF(AND(H_Direct=1,BX57&gt;0),MAX(0,WW57-(MIN(BX57*TK57,(WW57+AAJ57))-MIN(MIN(BX57*TK57,(WW57+AAJ57)),AAJ57))),WW57)</f>
        <v>1270</v>
      </c>
      <c r="WY57" s="20" t="n">
        <f aca="false">IF(AND(H_Direct=1,BY57&gt;0),MAX(0,WX57-(MIN(BY57*TL57,(WX57+AAK57))-MIN(MIN(BY57*TL57,(WX57+AAK57)),AAK57))),WX57)</f>
        <v>1270</v>
      </c>
      <c r="WZ57" s="20" t="n">
        <f aca="false">IF(AND(H_Direct=1,BZ57&gt;0),MAX(0,WY57-(MIN(BZ57*TM57,(WY57+AAL57))-MIN(MIN(BZ57*TM57,(WY57+AAL57)),AAL57))),WY57)</f>
        <v>1270</v>
      </c>
      <c r="XA57" s="20" t="n">
        <f aca="false">IF(AND(H_Direct=1,CA57&gt;0),MAX(0,WZ57-(MIN(CA57*TN57,(WZ57+AAM57))-MIN(MIN(CA57*TN57,(WZ57+AAM57)),AAM57))),WZ57)</f>
        <v>1270</v>
      </c>
      <c r="XB57" s="20" t="n">
        <f aca="false">IF(AND(H_Direct=1,CB57&gt;0),MAX(0,XA57-(MIN(CB57*TO57,(XA57+AAN57))-MIN(MIN(CB57*TO57,(XA57+AAN57)),AAN57))),XA57)</f>
        <v>1270</v>
      </c>
      <c r="XC57" s="20" t="n">
        <f aca="false">IF(AND(H_Direct=1,CC57&gt;0),MAX(0,XB57-(MIN(CC57*TP57,(XB57+AAO57))-MIN(MIN(CC57*TP57,(XB57+AAO57)),AAO57))),XB57)</f>
        <v>1270</v>
      </c>
      <c r="XD57" s="20" t="n">
        <f aca="false">IF(AND(H_Direct=1,CD57&gt;0),MAX(0,XC57-(MIN(CD57*TQ57,(XC57+AAP57))-MIN(MIN(CD57*TQ57,(XC57+AAP57)),AAP57))),XC57)</f>
        <v>1270</v>
      </c>
      <c r="XE57" s="20" t="n">
        <f aca="false">IF(AND(H_Direct=1,CE57&gt;0),MAX(0,XD57-(MIN(CE57*TR57,(XD57+AAQ57))-MIN(MIN(CE57*TR57,(XD57+AAQ57)),AAQ57))),XD57)</f>
        <v>1270</v>
      </c>
      <c r="XF57" s="20" t="n">
        <f aca="false">IF(AND(H_Direct=1,CF57&gt;0),MAX(0,XE57-(MIN(CF57*TS57,(XE57+AAR57))-MIN(MIN(CF57*TS57,(XE57+AAR57)),AAR57))),XE57)</f>
        <v>1270</v>
      </c>
      <c r="XG57" s="20" t="n">
        <f aca="false">IF(AND(H_Direct=1,CG57&gt;0),MAX(0,XF57-(MIN(CG57*TT57,(XF57+AAS57))-MIN(MIN(CG57*TT57,(XF57+AAS57)),AAS57))),XF57)</f>
        <v>1270</v>
      </c>
      <c r="XH57" s="20" t="n">
        <f aca="false">IF(AND(H_Direct=1,CH57&gt;0),MAX(0,XG57-(MIN(CH57*TU57,(XG57+AAT57))-MIN(MIN(CH57*TU57,(XG57+AAT57)),AAT57))),XG57)</f>
        <v>1270</v>
      </c>
      <c r="XI57" s="20" t="n">
        <f aca="false">IF(AND(H_Direct=1,CI57&gt;0),MAX(0,XH57-(MIN(CI57*TV57,(XH57+AAU57))-MIN(MIN(CI57*TV57,(XH57+AAU57)),AAU57))),XH57)</f>
        <v>1270</v>
      </c>
      <c r="XJ57" s="20" t="n">
        <f aca="false">IF(AND(H_Direct=1,CJ57&gt;0),MAX(0,XI57-(MIN(CJ57*TW57,(XI57+AAV57))-MIN(MIN(CJ57*TW57,(XI57+AAV57)),AAV57))),XI57)</f>
        <v>1270</v>
      </c>
      <c r="XK57" s="20" t="n">
        <f aca="false">IF(AND(H_Direct=1,CK57&gt;0),MAX(0,XJ57-(MIN(CK57*TX57,(XJ57+AAW57))-MIN(MIN(CK57*TX57,(XJ57+AAW57)),AAW57))),XJ57)</f>
        <v>1270</v>
      </c>
      <c r="XL57" s="20" t="n">
        <f aca="false">IF(AND(H_Direct=1,CL57&gt;0),MAX(0,XK57-(MIN(CL57*TY57,(XK57+AAX57))-MIN(MIN(CL57*TY57,(XK57+AAX57)),AAX57))),XK57)</f>
        <v>1270</v>
      </c>
      <c r="XM57" s="20" t="n">
        <f aca="false">IF(AND(H_Direct=1,CM57&gt;0),MAX(0,XL57-(MIN(CM57*TZ57,(XL57+AAY57))-MIN(MIN(CM57*TZ57,(XL57+AAY57)),AAY57))),XL57)</f>
        <v>1270</v>
      </c>
      <c r="XN57" s="20" t="n">
        <f aca="false">IF(AND(H_Direct=1,CN57&gt;0),MAX(0,XM57-(MIN(CN57*UA57,(XM57+AAZ57))-MIN(MIN(CN57*UA57,(XM57+AAZ57)),AAZ57))),XM57)</f>
        <v>1270</v>
      </c>
      <c r="XO57" s="20" t="n">
        <f aca="false">IF(AND(H_Direct=1,CO57&gt;0),MAX(0,XN57-(MIN(CO57*UB57,(XN57+ABA57))-MIN(MIN(CO57*UB57,(XN57+ABA57)),ABA57))),XN57)</f>
        <v>1270</v>
      </c>
      <c r="XP57" s="20" t="n">
        <f aca="false">IF(AND(H_Direct=1,CP57&gt;0),MAX(0,XO57-(MIN(CP57*UC57,(XO57+ABB57))-MIN(MIN(CP57*UC57,(XO57+ABB57)),ABB57))),XO57)</f>
        <v>1270</v>
      </c>
      <c r="XQ57" s="20" t="n">
        <f aca="false">IF(AND(H_Direct=1,CQ57&gt;0),MAX(0,XP57-(MIN(CQ57*UD57,(XP57+ABC57))-MIN(MIN(CQ57*UD57,(XP57+ABC57)),ABC57))),XP57)</f>
        <v>1270</v>
      </c>
      <c r="XR57" s="20" t="n">
        <f aca="false">IF(AND(H_Direct=1,CR57&gt;0),MAX(0,XQ57-(MIN(CR57*UE57,(XQ57+ABD57))-MIN(MIN(CR57*UE57,(XQ57+ABD57)),ABD57))),XQ57)</f>
        <v>1270</v>
      </c>
      <c r="XS57" s="20" t="n">
        <f aca="false">IF(AND(H_Direct=1,CS57&gt;0),MAX(0,XR57-(MIN(CS57*UF57,(XR57+ABE57))-MIN(MIN(CS57*UF57,(XR57+ABE57)),ABE57))),XR57)</f>
        <v>1270</v>
      </c>
      <c r="XT57" s="20" t="n">
        <f aca="false">IF(AND(H_Direct=1,CT57&gt;0),MAX(0,XS57-(MIN(CT57*UG57,(XS57+ABF57))-MIN(MIN(CT57*UG57,(XS57+ABF57)),ABF57))),XS57)</f>
        <v>1270</v>
      </c>
      <c r="XU57" s="20" t="n">
        <f aca="false">IF(AND(H_Direct=1,CU57&gt;0),MAX(0,XT57-(MIN(CU57*UH57,(XT57+ABG57))-MIN(MIN(CU57*UH57,(XT57+ABG57)),ABG57))),XT57)</f>
        <v>1270</v>
      </c>
      <c r="XV57" s="20" t="n">
        <f aca="false">IF(AND(H_Direct=1,CV57&gt;0),MAX(0,XU57-(MIN(CV57*UI57,(XU57+ABH57))-MIN(MIN(CV57*UI57,(XU57+ABH57)),ABH57))),XU57)</f>
        <v>1270</v>
      </c>
      <c r="XW57" s="20" t="n">
        <f aca="false">IF(AND(H_Direct=1,CW57&gt;0),MAX(0,XV57-(MIN(CW57*UJ57,(XV57+ABI57))-MIN(MIN(CW57*UJ57,(XV57+ABI57)),ABI57))),XV57)</f>
        <v>1270</v>
      </c>
      <c r="XX57" s="20" t="n">
        <f aca="false">IF(AND(H_Direct=1,CX57&gt;0),MAX(0,XW57-(MIN(CX57*UK57,(XW57+ABJ57))-MIN(MIN(CX57*UK57,(XW57+ABJ57)),ABJ57))),XW57)</f>
        <v>1270</v>
      </c>
      <c r="XY57" s="20" t="n">
        <f aca="false">IF(AND(H_Direct=1,CY57&gt;0),MAX(0,XX57-(MIN(CY57*UL57,(XX57+ABK57))-MIN(MIN(CY57*UL57,(XX57+ABK57)),ABK57))),XX57)</f>
        <v>1270</v>
      </c>
      <c r="XZ57" s="20" t="n">
        <f aca="false">IF(AND(H_Direct=1,CZ57&gt;0),MAX(0,XY57-(MIN(CZ57*UM57,(XY57+ABL57))-MIN(MIN(CZ57*UM57,(XY57+ABL57)),ABL57))),XY57)</f>
        <v>1270</v>
      </c>
      <c r="YA57" s="20" t="n">
        <f aca="false">IF(AND(H_Direct=1,DA57&gt;0),MAX(0,XZ57-(MIN(DA57*UN57,(XZ57+ABM57))-MIN(MIN(DA57*UN57,(XZ57+ABM57)),ABM57))),XZ57)</f>
        <v>1270</v>
      </c>
      <c r="YB57" s="20" t="n">
        <f aca="false">IF(AND(H_Direct=1,DB57&gt;0),MAX(0,YA57-(MIN(DB57*UO57,(YA57+ABN57))-MIN(MIN(DB57*UO57,(YA57+ABN57)),ABN57))),YA57)</f>
        <v>1270</v>
      </c>
      <c r="YC57" s="20" t="n">
        <f aca="false">IF(AND(H_Direct=1,DC57&gt;0),MAX(0,YB57-(MIN(DC57*UP57,(YB57+ABO57))-MIN(MIN(DC57*UP57,(YB57+ABO57)),ABO57))),YB57)</f>
        <v>1270</v>
      </c>
      <c r="YD57" s="20" t="n">
        <f aca="false">IF(AND(H_Direct=1,DD57&gt;0),MAX(0,YC57-(MIN(DD57*UQ57,(YC57+ABP57))-MIN(MIN(DD57*UQ57,(YC57+ABP57)),ABP57))),YC57)</f>
        <v>1270</v>
      </c>
      <c r="YE57" s="20" t="n">
        <f aca="false">IF(AND(H_Direct=1,DE57&gt;0),MAX(0,YD57-(MIN(DE57*UR57,(YD57+ABQ57))-MIN(MIN(DE57*UR57,(YD57+ABQ57)),ABQ57))),YD57)</f>
        <v>1270</v>
      </c>
      <c r="YF57" s="20" t="n">
        <f aca="false">IF(AND(H_Direct=1,DF57&gt;0),MAX(0,YE57-(MIN(DF57*US57,(YE57+ABR57))-MIN(MIN(DF57*US57,(YE57+ABR57)),ABR57))),YE57)</f>
        <v>1270</v>
      </c>
      <c r="YG57" s="20" t="n">
        <f aca="false">IF(AND(H_Direct=1,DG57&gt;0),MAX(0,YF57-(MIN(DG57*UT57,(YF57+ABS57))-MIN(MIN(DG57*UT57,(YF57+ABS57)),ABS57))),YF57)</f>
        <v>1270</v>
      </c>
      <c r="YH57" s="20" t="n">
        <f aca="false">IF(AND(H_Direct=1,DH57&gt;0),MAX(0,YG57-(MIN(DH57*UU57,(YG57+ABT57))-MIN(MIN(DH57*UU57,(YG57+ABT57)),ABT57))),YG57)</f>
        <v>1270</v>
      </c>
      <c r="YI57" s="20" t="n">
        <f aca="false">IF(AND(H_Direct=1,DI57&gt;0),MAX(0,YH57-(MIN(DI57*UV57,(YH57+ABU57))-MIN(MIN(DI57*UV57,(YH57+ABU57)),ABU57))),YH57)</f>
        <v>1270</v>
      </c>
      <c r="YJ57" s="20" t="n">
        <f aca="false">IF(AND(H_Direct=1,DJ57&gt;0),MAX(0,YI57-(MIN(DJ57*UW57,(YI57+ABV57))-MIN(MIN(DJ57*UW57,(YI57+ABV57)),ABV57))),YI57)</f>
        <v>1270</v>
      </c>
      <c r="YK57" s="20" t="n">
        <f aca="false">IF(AND(H_Direct=1,DK57&gt;0),MAX(0,YJ57-(MIN(DK57*UX57,(YJ57+ABW57))-MIN(MIN(DK57*UX57,(YJ57+ABW57)),ABW57))),YJ57)</f>
        <v>1270</v>
      </c>
      <c r="YL57" s="20" t="n">
        <f aca="false">IF(AND(H_Direct=1,DL57&gt;0),MAX(0,YK57-(MIN(DL57*UY57,(YK57+ABX57))-MIN(MIN(DL57*UY57,(YK57+ABX57)),ABX57))),YK57)</f>
        <v>1270</v>
      </c>
      <c r="YM57" s="20" t="n">
        <f aca="false">IF(AND(H_Direct=1,DM57&gt;0),MAX(0,YL57-(MIN(DM57*UZ57,(YL57+ABY57))-MIN(MIN(DM57*UZ57,(YL57+ABY57)),ABY57))),YL57)</f>
        <v>1270</v>
      </c>
      <c r="YN57" s="20" t="n">
        <f aca="false">IF(AND(H_Direct=1,DN57&gt;0),MAX(0,YM57-(MIN(DN57*VA57,(YM57+ABZ57))-MIN(MIN(DN57*VA57,(YM57+ABZ57)),ABZ57))),YM57)</f>
        <v>1270</v>
      </c>
      <c r="YO57" s="20" t="n">
        <f aca="false">IF(AND(H_Direct=1,DO57&gt;0),MAX(0,YN57-(MIN(DO57*VB57,(YN57+ACA57))-MIN(MIN(DO57*VB57,(YN57+ACA57)),ACA57))),YN57)</f>
        <v>1270</v>
      </c>
      <c r="YP57" s="20" t="n">
        <f aca="false">IF(AND(H_Direct=1,DP57&gt;0),MAX(0,YO57-(MIN(DP57*VC57,(YO57+ACB57))-MIN(MIN(DP57*VC57,(YO57+ACB57)),ACB57))),YO57)</f>
        <v>1270</v>
      </c>
      <c r="YQ57" s="20" t="n">
        <f aca="false">YP57</f>
        <v>1270</v>
      </c>
      <c r="YR57" s="20" t="n">
        <f aca="false">YQ57</f>
        <v>1270</v>
      </c>
      <c r="YS57" s="20" t="n">
        <f aca="false">YR57</f>
        <v>1270</v>
      </c>
      <c r="YT57" s="20" t="n">
        <f aca="false">YS57</f>
        <v>1270</v>
      </c>
      <c r="YU57" s="20" t="n">
        <f aca="false">YT57</f>
        <v>1270</v>
      </c>
      <c r="YV57" s="20" t="n">
        <f aca="false">YU57</f>
        <v>1270</v>
      </c>
      <c r="YW57" s="20" t="n">
        <f aca="false">YV57</f>
        <v>1270</v>
      </c>
      <c r="YX57" s="20" t="n">
        <f aca="false">YW57</f>
        <v>1270</v>
      </c>
      <c r="YY57" s="20" t="n">
        <f aca="false">YX57</f>
        <v>1270</v>
      </c>
      <c r="YZ57" s="20" t="n">
        <f aca="false">YY57</f>
        <v>1270</v>
      </c>
      <c r="ZA57" s="20" t="n">
        <f aca="false">YZ57</f>
        <v>1270</v>
      </c>
      <c r="ZB57" s="20" t="n">
        <f aca="false">ZA57</f>
        <v>1270</v>
      </c>
      <c r="ZC57" s="20" t="n">
        <f aca="false">ZB57</f>
        <v>1270</v>
      </c>
      <c r="ZD57" s="20" t="n">
        <f aca="false">ZC57</f>
        <v>1270</v>
      </c>
      <c r="ZE57" s="20" t="n">
        <f aca="false">ZD57</f>
        <v>1270</v>
      </c>
      <c r="ZF57" s="20" t="n">
        <f aca="false">ZE57</f>
        <v>1270</v>
      </c>
      <c r="ZG57" s="20" t="n">
        <f aca="false">ZF57</f>
        <v>1270</v>
      </c>
      <c r="ZH57" s="20" t="n">
        <f aca="false">ZG57</f>
        <v>1270</v>
      </c>
      <c r="ZI57" s="20" t="n">
        <f aca="false">ZH57</f>
        <v>1270</v>
      </c>
      <c r="ZJ57" s="20" t="n">
        <f aca="false">ZI57</f>
        <v>1270</v>
      </c>
      <c r="ZK57" s="20" t="n">
        <f aca="false">ZJ57</f>
        <v>1270</v>
      </c>
      <c r="ZL57" s="20" t="n">
        <f aca="false">ZK57</f>
        <v>1270</v>
      </c>
      <c r="ZM57" s="20" t="n">
        <f aca="false">ZL57</f>
        <v>1270</v>
      </c>
      <c r="ZN57" s="20" t="n">
        <f aca="false">ZM57</f>
        <v>1270</v>
      </c>
      <c r="ZO57" s="20" t="n">
        <f aca="false">ZN57</f>
        <v>1270</v>
      </c>
      <c r="ZP57" s="20" t="n">
        <f aca="false">ZO57</f>
        <v>1270</v>
      </c>
      <c r="ZQ57" s="20" t="n">
        <f aca="false">ZP57</f>
        <v>1270</v>
      </c>
      <c r="ZR57" s="20" t="n">
        <f aca="false">ZQ57</f>
        <v>1270</v>
      </c>
      <c r="ZS57" s="20" t="n">
        <f aca="false">ZR57</f>
        <v>1270</v>
      </c>
      <c r="ZT57" s="20" t="n">
        <f aca="false">ZS57</f>
        <v>1270</v>
      </c>
      <c r="ZU57" s="20" t="n">
        <f aca="false">ZT57</f>
        <v>1270</v>
      </c>
      <c r="ZV57" s="20" t="n">
        <f aca="false">ZU57</f>
        <v>1270</v>
      </c>
      <c r="ZW57" s="20" t="n">
        <f aca="false">ZV57</f>
        <v>1270</v>
      </c>
      <c r="ZX57" s="20" t="n">
        <f aca="false">ZW57</f>
        <v>1270</v>
      </c>
      <c r="ZY57" s="20" t="n">
        <f aca="false">ZX57</f>
        <v>1270</v>
      </c>
      <c r="ZZ57" s="20" t="n">
        <f aca="false">ZY57</f>
        <v>1270</v>
      </c>
      <c r="AAA57" s="20" t="n">
        <f aca="false">ZZ57</f>
        <v>1270</v>
      </c>
      <c r="AAB57" s="20" t="n">
        <f aca="false">AAA57</f>
        <v>1270</v>
      </c>
      <c r="AAC57" s="20" t="n">
        <f aca="false">AAB57</f>
        <v>1270</v>
      </c>
      <c r="AAD57" s="20" t="n">
        <f aca="false">AAC57</f>
        <v>1270</v>
      </c>
      <c r="AAE57" s="20" t="n">
        <f aca="false">IF(H_Direct=1,IF(BR57&lt;=0,I57-BR57*TE57,I57-MIN(MIN(BR57*TE57,(H57+I57)),I57)),I57)</f>
        <v>0</v>
      </c>
      <c r="AAF57" s="20" t="n">
        <f aca="false">IF(H_Direct=1,IF(BS57&lt;=0,AAE57-BS57*TF57,AAE57-MIN(MIN(BS57*TF57,(WR57+AAE57)),AAE57)),AAE57)</f>
        <v>0</v>
      </c>
      <c r="AAG57" s="20" t="n">
        <f aca="false">IF(H_Direct=1,IF(BT57&lt;=0,AAF57-BT57*TG57,AAF57-MIN(MIN(BT57*TG57,(WS57+AAF57)),AAF57)),AAF57)</f>
        <v>0</v>
      </c>
      <c r="AAH57" s="20" t="n">
        <f aca="false">IF(H_Direct=1,IF(BU57&lt;=0,AAG57-BU57*TH57,AAG57-MIN(MIN(BU57*TH57,(WT57+AAG57)),AAG57)),AAG57)</f>
        <v>0</v>
      </c>
      <c r="AAI57" s="20" t="n">
        <f aca="false">IF(H_Direct=1,IF(BV57&lt;=0,AAH57-BV57*TI57,AAH57-MIN(MIN(BV57*TI57,(WU57+AAH57)),AAH57)),AAH57)</f>
        <v>0</v>
      </c>
      <c r="AAJ57" s="20" t="n">
        <f aca="false">IF(H_Direct=1,IF(BW57&lt;=0,AAI57-BW57*TJ57,AAI57-MIN(MIN(BW57*TJ57,(WV57+AAI57)),AAI57)),AAI57)</f>
        <v>0</v>
      </c>
      <c r="AAK57" s="20" t="n">
        <f aca="false">IF(H_Direct=1,IF(BX57&lt;=0,AAJ57-BX57*TK57,AAJ57-MIN(MIN(BX57*TK57,(WW57+AAJ57)),AAJ57)),AAJ57)</f>
        <v>0</v>
      </c>
      <c r="AAL57" s="20" t="n">
        <f aca="false">IF(H_Direct=1,IF(BY57&lt;=0,AAK57-BY57*TL57,AAK57-MIN(MIN(BY57*TL57,(WX57+AAK57)),AAK57)),AAK57)</f>
        <v>0</v>
      </c>
      <c r="AAM57" s="20" t="n">
        <f aca="false">IF(H_Direct=1,IF(BZ57&lt;=0,AAL57-BZ57*TM57,AAL57-MIN(MIN(BZ57*TM57,(WY57+AAL57)),AAL57)),AAL57)</f>
        <v>0</v>
      </c>
      <c r="AAN57" s="20" t="n">
        <f aca="false">IF(H_Direct=1,IF(CA57&lt;=0,AAM57-CA57*TN57,AAM57-MIN(MIN(CA57*TN57,(WZ57+AAM57)),AAM57)),AAM57)</f>
        <v>0</v>
      </c>
      <c r="AAO57" s="20" t="n">
        <f aca="false">IF(H_Direct=1,IF(CB57&lt;=0,AAN57-CB57*TO57,AAN57-MIN(MIN(CB57*TO57,(XA57+AAN57)),AAN57)),AAN57)</f>
        <v>0</v>
      </c>
      <c r="AAP57" s="20" t="n">
        <f aca="false">IF(H_Direct=1,IF(CC57&lt;=0,AAO57-CC57*TP57,AAO57-MIN(MIN(CC57*TP57,(XB57+AAO57)),AAO57)),AAO57)</f>
        <v>0</v>
      </c>
      <c r="AAQ57" s="20" t="n">
        <f aca="false">IF(H_Direct=1,IF(CD57&lt;=0,AAP57-CD57*TQ57,AAP57-MIN(MIN(CD57*TQ57,(XC57+AAP57)),AAP57)),AAP57)</f>
        <v>0</v>
      </c>
      <c r="AAR57" s="20" t="n">
        <f aca="false">IF(H_Direct=1,IF(CE57&lt;=0,AAQ57-CE57*TR57,AAQ57-MIN(MIN(CE57*TR57,(XD57+AAQ57)),AAQ57)),AAQ57)</f>
        <v>0</v>
      </c>
      <c r="AAS57" s="20" t="n">
        <f aca="false">IF(H_Direct=1,IF(CF57&lt;=0,AAR57-CF57*TS57,AAR57-MIN(MIN(CF57*TS57,(XE57+AAR57)),AAR57)),AAR57)</f>
        <v>0</v>
      </c>
      <c r="AAT57" s="20" t="n">
        <f aca="false">IF(H_Direct=1,IF(CG57&lt;=0,AAS57-CG57*TT57,AAS57-MIN(MIN(CG57*TT57,(XF57+AAS57)),AAS57)),AAS57)</f>
        <v>0</v>
      </c>
      <c r="AAU57" s="20" t="n">
        <f aca="false">IF(H_Direct=1,IF(CH57&lt;=0,AAT57-CH57*TU57,AAT57-MIN(MIN(CH57*TU57,(XG57+AAT57)),AAT57)),AAT57)</f>
        <v>0</v>
      </c>
      <c r="AAV57" s="20" t="n">
        <f aca="false">IF(H_Direct=1,IF(CI57&lt;=0,AAU57-CI57*TV57,AAU57-MIN(MIN(CI57*TV57,(XH57+AAU57)),AAU57)),AAU57)</f>
        <v>0</v>
      </c>
      <c r="AAW57" s="20" t="n">
        <f aca="false">IF(H_Direct=1,IF(CJ57&lt;=0,AAV57-CJ57*TW57,AAV57-MIN(MIN(CJ57*TW57,(XI57+AAV57)),AAV57)),AAV57)</f>
        <v>0</v>
      </c>
      <c r="AAX57" s="20" t="n">
        <f aca="false">IF(H_Direct=1,IF(CK57&lt;=0,AAW57-CK57*TX57,AAW57-MIN(MIN(CK57*TX57,(XJ57+AAW57)),AAW57)),AAW57)</f>
        <v>0</v>
      </c>
      <c r="AAY57" s="20" t="n">
        <f aca="false">IF(H_Direct=1,IF(CL57&lt;=0,AAX57-CL57*TY57,AAX57-MIN(MIN(CL57*TY57,(XK57+AAX57)),AAX57)),AAX57)</f>
        <v>0</v>
      </c>
      <c r="AAZ57" s="20" t="n">
        <f aca="false">IF(H_Direct=1,IF(CM57&lt;=0,AAY57-CM57*TZ57,AAY57-MIN(MIN(CM57*TZ57,(XL57+AAY57)),AAY57)),AAY57)</f>
        <v>0</v>
      </c>
      <c r="ABA57" s="20" t="n">
        <f aca="false">IF(H_Direct=1,IF(CN57&lt;=0,AAZ57-CN57*UA57,AAZ57-MIN(MIN(CN57*UA57,(XM57+AAZ57)),AAZ57)),AAZ57)</f>
        <v>0</v>
      </c>
      <c r="ABB57" s="20" t="n">
        <f aca="false">IF(H_Direct=1,IF(CO57&lt;=0,ABA57-CO57*UB57,ABA57-MIN(MIN(CO57*UB57,(XN57+ABA57)),ABA57)),ABA57)</f>
        <v>0</v>
      </c>
      <c r="ABC57" s="20" t="n">
        <f aca="false">IF(H_Direct=1,IF(CP57&lt;=0,ABB57-CP57*UC57,ABB57-MIN(MIN(CP57*UC57,(XO57+ABB57)),ABB57)),ABB57)</f>
        <v>0</v>
      </c>
      <c r="ABD57" s="20" t="n">
        <f aca="false">IF(H_Direct=1,IF(CQ57&lt;=0,ABC57-CQ57*UD57,ABC57-MIN(MIN(CQ57*UD57,(XP57+ABC57)),ABC57)),ABC57)</f>
        <v>0</v>
      </c>
      <c r="ABE57" s="20" t="n">
        <f aca="false">IF(H_Direct=1,IF(CR57&lt;=0,ABD57-CR57*UE57,ABD57-MIN(MIN(CR57*UE57,(XQ57+ABD57)),ABD57)),ABD57)</f>
        <v>0</v>
      </c>
      <c r="ABF57" s="20" t="n">
        <f aca="false">IF(H_Direct=1,IF(CS57&lt;=0,ABE57-CS57*UF57,ABE57-MIN(MIN(CS57*UF57,(XR57+ABE57)),ABE57)),ABE57)</f>
        <v>0</v>
      </c>
      <c r="ABG57" s="20" t="n">
        <f aca="false">IF(H_Direct=1,IF(CT57&lt;=0,ABF57-CT57*UG57,ABF57-MIN(MIN(CT57*UG57,(XS57+ABF57)),ABF57)),ABF57)</f>
        <v>0</v>
      </c>
      <c r="ABH57" s="20" t="n">
        <f aca="false">IF(H_Direct=1,IF(CU57&lt;=0,ABG57-CU57*UH57,ABG57-MIN(MIN(CU57*UH57,(XT57+ABG57)),ABG57)),ABG57)</f>
        <v>0</v>
      </c>
      <c r="ABI57" s="20" t="n">
        <f aca="false">IF(H_Direct=1,IF(CV57&lt;=0,ABH57-CV57*UI57,ABH57-MIN(MIN(CV57*UI57,(XU57+ABH57)),ABH57)),ABH57)</f>
        <v>0</v>
      </c>
      <c r="ABJ57" s="20" t="n">
        <f aca="false">IF(H_Direct=1,IF(CW57&lt;=0,ABI57-CW57*UJ57,ABI57-MIN(MIN(CW57*UJ57,(XV57+ABI57)),ABI57)),ABI57)</f>
        <v>0</v>
      </c>
      <c r="ABK57" s="20" t="n">
        <f aca="false">IF(H_Direct=1,IF(CX57&lt;=0,ABJ57-CX57*UK57,ABJ57-MIN(MIN(CX57*UK57,(XW57+ABJ57)),ABJ57)),ABJ57)</f>
        <v>0</v>
      </c>
      <c r="ABL57" s="20" t="n">
        <f aca="false">IF(H_Direct=1,IF(CY57&lt;=0,ABK57-CY57*UL57,ABK57-MIN(MIN(CY57*UL57,(XX57+ABK57)),ABK57)),ABK57)</f>
        <v>0</v>
      </c>
      <c r="ABM57" s="20" t="n">
        <f aca="false">IF(H_Direct=1,IF(CZ57&lt;=0,ABL57-CZ57*UM57,ABL57-MIN(MIN(CZ57*UM57,(XY57+ABL57)),ABL57)),ABL57)</f>
        <v>0</v>
      </c>
      <c r="ABN57" s="20" t="n">
        <f aca="false">IF(H_Direct=1,IF(DA57&lt;=0,ABM57-DA57*UN57,ABM57-MIN(MIN(DA57*UN57,(XZ57+ABM57)),ABM57)),ABM57)</f>
        <v>0</v>
      </c>
      <c r="ABO57" s="20" t="n">
        <f aca="false">IF(H_Direct=1,IF(DB57&lt;=0,ABN57-DB57*UO57,ABN57-MIN(MIN(DB57*UO57,(YA57+ABN57)),ABN57)),ABN57)</f>
        <v>0</v>
      </c>
      <c r="ABP57" s="20" t="n">
        <f aca="false">IF(H_Direct=1,IF(DC57&lt;=0,ABO57-DC57*UP57,ABO57-MIN(MIN(DC57*UP57,(YB57+ABO57)),ABO57)),ABO57)</f>
        <v>0</v>
      </c>
      <c r="ABQ57" s="20" t="n">
        <f aca="false">IF(H_Direct=1,IF(DD57&lt;=0,ABP57-DD57*UQ57,ABP57-MIN(MIN(DD57*UQ57,(YC57+ABP57)),ABP57)),ABP57)</f>
        <v>0</v>
      </c>
      <c r="ABR57" s="20" t="n">
        <f aca="false">IF(H_Direct=1,IF(DE57&lt;=0,ABQ57-DE57*UR57,ABQ57-MIN(MIN(DE57*UR57,(YD57+ABQ57)),ABQ57)),ABQ57)</f>
        <v>0</v>
      </c>
      <c r="ABS57" s="20" t="n">
        <f aca="false">IF(H_Direct=1,IF(DF57&lt;=0,ABR57-DF57*US57,ABR57-MIN(MIN(DF57*US57,(YE57+ABR57)),ABR57)),ABR57)</f>
        <v>0</v>
      </c>
      <c r="ABT57" s="20" t="n">
        <f aca="false">IF(H_Direct=1,IF(DG57&lt;=0,ABS57-DG57*UT57,ABS57-MIN(MIN(DG57*UT57,(YF57+ABS57)),ABS57)),ABS57)</f>
        <v>0</v>
      </c>
      <c r="ABU57" s="20" t="n">
        <f aca="false">IF(H_Direct=1,IF(DH57&lt;=0,ABT57-DH57*UU57,ABT57-MIN(MIN(DH57*UU57,(YG57+ABT57)),ABT57)),ABT57)</f>
        <v>0</v>
      </c>
      <c r="ABV57" s="20" t="n">
        <f aca="false">IF(H_Direct=1,IF(DI57&lt;=0,ABU57-DI57*UV57,ABU57-MIN(MIN(DI57*UV57,(YH57+ABU57)),ABU57)),ABU57)</f>
        <v>0</v>
      </c>
      <c r="ABW57" s="20" t="n">
        <f aca="false">IF(H_Direct=1,IF(DJ57&lt;=0,ABV57-DJ57*UW57,ABV57-MIN(MIN(DJ57*UW57,(YI57+ABV57)),ABV57)),ABV57)</f>
        <v>0</v>
      </c>
      <c r="ABX57" s="20" t="n">
        <f aca="false">IF(H_Direct=1,IF(DK57&lt;=0,ABW57-DK57*UX57,ABW57-MIN(MIN(DK57*UX57,(YJ57+ABW57)),ABW57)),ABW57)</f>
        <v>0</v>
      </c>
      <c r="ABY57" s="20" t="n">
        <f aca="false">IF(H_Direct=1,IF(DL57&lt;=0,ABX57-DL57*UY57,ABX57-MIN(MIN(DL57*UY57,(YK57+ABX57)),ABX57)),ABX57)</f>
        <v>0</v>
      </c>
      <c r="ABZ57" s="20" t="n">
        <f aca="false">IF(H_Direct=1,IF(DM57&lt;=0,ABY57-DM57*UZ57,ABY57-MIN(MIN(DM57*UZ57,(YL57+ABY57)),ABY57)),ABY57)</f>
        <v>0</v>
      </c>
      <c r="ACA57" s="20" t="n">
        <f aca="false">IF(H_Direct=1,IF(DN57&lt;=0,ABZ57-DN57*VA57,ABZ57-MIN(MIN(DN57*VA57,(YM57+ABZ57)),ABZ57)),ABZ57)</f>
        <v>0</v>
      </c>
      <c r="ACB57" s="20" t="n">
        <f aca="false">IF(H_Direct=1,IF(DO57&lt;=0,ACA57-DO57*VB57,ACA57-MIN(MIN(DO57*VB57,(YN57+ACA57)),ACA57)),ACA57)</f>
        <v>0</v>
      </c>
      <c r="ACC57" s="20" t="n">
        <f aca="false">IF(H_Direct=1,IF(DP57&lt;=0,ACB57-DP57*VC57,ACB57-MIN(MIN(DP57*VC57,(YO57+ACB57)),ACB57)),ACB57)</f>
        <v>0</v>
      </c>
      <c r="ACD57" s="20" t="n">
        <f aca="false">ACC57</f>
        <v>0</v>
      </c>
      <c r="ACE57" s="20" t="n">
        <f aca="false">ACD57</f>
        <v>0</v>
      </c>
      <c r="ACF57" s="20" t="n">
        <f aca="false">ACE57</f>
        <v>0</v>
      </c>
      <c r="ACG57" s="20" t="n">
        <f aca="false">ACF57</f>
        <v>0</v>
      </c>
      <c r="ACH57" s="20" t="n">
        <f aca="false">ACG57</f>
        <v>0</v>
      </c>
      <c r="ACI57" s="20" t="n">
        <f aca="false">ACH57</f>
        <v>0</v>
      </c>
      <c r="ACJ57" s="20" t="n">
        <f aca="false">ACI57</f>
        <v>0</v>
      </c>
      <c r="ACK57" s="20" t="n">
        <f aca="false">ACJ57</f>
        <v>0</v>
      </c>
      <c r="ACL57" s="20" t="n">
        <f aca="false">ACK57</f>
        <v>0</v>
      </c>
      <c r="ACM57" s="20" t="n">
        <f aca="false">ACL57</f>
        <v>0</v>
      </c>
      <c r="ACN57" s="20" t="n">
        <f aca="false">ACM57</f>
        <v>0</v>
      </c>
      <c r="ACO57" s="20" t="n">
        <f aca="false">ACN57</f>
        <v>0</v>
      </c>
      <c r="ACP57" s="20" t="n">
        <f aca="false">ACO57</f>
        <v>0</v>
      </c>
      <c r="ACQ57" s="20" t="n">
        <f aca="false">ACP57</f>
        <v>0</v>
      </c>
      <c r="ACR57" s="20" t="n">
        <f aca="false">ACQ57</f>
        <v>0</v>
      </c>
      <c r="ACS57" s="20" t="n">
        <f aca="false">ACR57</f>
        <v>0</v>
      </c>
      <c r="ACT57" s="20" t="n">
        <f aca="false">ACS57</f>
        <v>0</v>
      </c>
      <c r="ACU57" s="20" t="n">
        <f aca="false">ACT57</f>
        <v>0</v>
      </c>
      <c r="ACV57" s="20" t="n">
        <f aca="false">ACU57</f>
        <v>0</v>
      </c>
      <c r="ACW57" s="20" t="n">
        <f aca="false">ACV57</f>
        <v>0</v>
      </c>
      <c r="ACX57" s="20" t="n">
        <f aca="false">ACW57</f>
        <v>0</v>
      </c>
      <c r="ACY57" s="20" t="n">
        <f aca="false">ACX57</f>
        <v>0</v>
      </c>
      <c r="ACZ57" s="20" t="n">
        <f aca="false">ACY57</f>
        <v>0</v>
      </c>
      <c r="ADA57" s="20" t="n">
        <f aca="false">ACZ57</f>
        <v>0</v>
      </c>
      <c r="ADB57" s="20" t="n">
        <f aca="false">ADA57</f>
        <v>0</v>
      </c>
      <c r="ADC57" s="20" t="n">
        <f aca="false">ADB57</f>
        <v>0</v>
      </c>
      <c r="ADD57" s="20" t="n">
        <f aca="false">ADC57</f>
        <v>0</v>
      </c>
      <c r="ADE57" s="20" t="n">
        <f aca="false">ADD57</f>
        <v>0</v>
      </c>
      <c r="ADF57" s="20" t="n">
        <f aca="false">ADE57</f>
        <v>0</v>
      </c>
      <c r="ADG57" s="20" t="n">
        <f aca="false">ADF57</f>
        <v>0</v>
      </c>
      <c r="ADH57" s="20" t="n">
        <f aca="false">ADG57</f>
        <v>0</v>
      </c>
      <c r="ADI57" s="20" t="n">
        <f aca="false">ADH57</f>
        <v>0</v>
      </c>
      <c r="ADJ57" s="20" t="n">
        <f aca="false">ADI57</f>
        <v>0</v>
      </c>
      <c r="ADK57" s="20" t="n">
        <f aca="false">ADJ57</f>
        <v>0</v>
      </c>
      <c r="ADL57" s="20" t="n">
        <f aca="false">ADK57</f>
        <v>0</v>
      </c>
      <c r="ADM57" s="20" t="n">
        <f aca="false">ADL57</f>
        <v>0</v>
      </c>
      <c r="ADN57" s="20" t="n">
        <f aca="false">ADM57</f>
        <v>0</v>
      </c>
      <c r="ADO57" s="20" t="n">
        <f aca="false">ADN57</f>
        <v>0</v>
      </c>
      <c r="ADP57" s="20" t="n">
        <f aca="false">ADO57</f>
        <v>0</v>
      </c>
      <c r="ADQ57" s="20" t="n">
        <f aca="false">ADP57</f>
        <v>0</v>
      </c>
      <c r="ADR57" s="20" t="n">
        <f aca="false">(AKR56-TE57+0)*(1+BQ57)</f>
        <v>0</v>
      </c>
      <c r="ADS57" s="20" t="n">
        <f aca="false">(AKS56-TF57+0)*(1+BQ57)</f>
        <v>0</v>
      </c>
      <c r="ADT57" s="20" t="n">
        <f aca="false">(AKT56-TG57+0)*(1+BQ57)</f>
        <v>0</v>
      </c>
      <c r="ADU57" s="20" t="n">
        <f aca="false">(AKU56-TH57+0)*(1+BQ57)</f>
        <v>0</v>
      </c>
      <c r="ADV57" s="20" t="n">
        <f aca="false">(AKV56-TI57+0)*(1+BQ57)</f>
        <v>0</v>
      </c>
      <c r="ADW57" s="20" t="n">
        <f aca="false">(AKW56-TJ57+0)*(1+BQ57)</f>
        <v>0</v>
      </c>
      <c r="ADX57" s="20" t="n">
        <f aca="false">(AKX56-TK57+0)*(1+BQ57)</f>
        <v>0</v>
      </c>
      <c r="ADY57" s="20" t="n">
        <f aca="false">(AKY56-TL57+0)*(1+BQ57)</f>
        <v>0</v>
      </c>
      <c r="ADZ57" s="20" t="n">
        <f aca="false">(AKZ56-TM57+0)*(1+BQ57)</f>
        <v>0</v>
      </c>
      <c r="AEA57" s="20" t="n">
        <f aca="false">(ALA56-TN57+0)*(1+BQ57)</f>
        <v>0</v>
      </c>
      <c r="AEB57" s="20" t="n">
        <f aca="false">(ALB56-TO57+0)*(1+BQ57)</f>
        <v>0</v>
      </c>
      <c r="AEC57" s="20" t="n">
        <f aca="false">(ALC56-TP57+0)*(1+BQ57)</f>
        <v>0</v>
      </c>
      <c r="AED57" s="20" t="n">
        <f aca="false">(ALD56-TQ57+0)*(1+BQ57)</f>
        <v>0</v>
      </c>
      <c r="AEE57" s="20" t="n">
        <f aca="false">(ALE56-TR57+0)*(1+BQ57)</f>
        <v>0</v>
      </c>
      <c r="AEF57" s="20" t="n">
        <f aca="false">(ALF56-TS57+0)*(1+BQ57)</f>
        <v>0</v>
      </c>
      <c r="AEG57" s="20" t="n">
        <f aca="false">(ALG56-TT57+0)*(1+BQ57)</f>
        <v>0</v>
      </c>
      <c r="AEH57" s="20" t="n">
        <f aca="false">(ALH56-TU57+0)*(1+BQ57)</f>
        <v>0</v>
      </c>
      <c r="AEI57" s="20" t="n">
        <f aca="false">(ALI56-TV57+0)*(1+BQ57)</f>
        <v>0</v>
      </c>
      <c r="AEJ57" s="20" t="n">
        <f aca="false">(ALJ56-TW57+0)*(1+BQ57)</f>
        <v>0</v>
      </c>
      <c r="AEK57" s="20" t="n">
        <f aca="false">(ALK56-TX57+0)*(1+BQ57)</f>
        <v>0</v>
      </c>
      <c r="AEL57" s="20" t="n">
        <f aca="false">(ALL56-TY57+0)*(1+BQ57)</f>
        <v>0</v>
      </c>
      <c r="AEM57" s="20" t="n">
        <f aca="false">(ALM56-TZ57+0)*(1+BQ57)</f>
        <v>0</v>
      </c>
      <c r="AEN57" s="20" t="n">
        <f aca="false">(ALN56-UA57+0)*(1+BQ57)</f>
        <v>0</v>
      </c>
      <c r="AEO57" s="20" t="n">
        <f aca="false">(ALO56-UB57+0)*(1+BQ57)</f>
        <v>0</v>
      </c>
      <c r="AEP57" s="20" t="n">
        <f aca="false">(ALP56-UC57+0)*(1+BQ57)</f>
        <v>0</v>
      </c>
      <c r="AEQ57" s="20" t="n">
        <f aca="false">(ALQ56-UD57+0)*(1+BQ57)</f>
        <v>0</v>
      </c>
      <c r="AER57" s="20" t="n">
        <f aca="false">(ALR56-UE57+0)*(1+BQ57)</f>
        <v>0</v>
      </c>
      <c r="AES57" s="20" t="n">
        <f aca="false">(ALS56-UF57+0)*(1+BQ57)</f>
        <v>0</v>
      </c>
      <c r="AET57" s="20" t="n">
        <f aca="false">(ALT56-UG57+0)*(1+BQ57)</f>
        <v>0</v>
      </c>
      <c r="AEU57" s="20" t="n">
        <f aca="false">(ALU56-UH57+0)*(1+BQ57)</f>
        <v>0</v>
      </c>
      <c r="AEV57" s="20" t="n">
        <f aca="false">(ALV56-UI57+0)*(1+BQ57)</f>
        <v>0</v>
      </c>
      <c r="AEW57" s="20" t="n">
        <f aca="false">(ALW56-UJ57+0)*(1+BQ57)</f>
        <v>0</v>
      </c>
      <c r="AEX57" s="20" t="n">
        <f aca="false">(ALX56-UK57+0)*(1+BQ57)</f>
        <v>0</v>
      </c>
      <c r="AEY57" s="20" t="n">
        <f aca="false">(ALY56-UL57+0)*(1+BQ57)</f>
        <v>0</v>
      </c>
      <c r="AEZ57" s="20" t="n">
        <f aca="false">(ALZ56-UM57+0)*(1+BQ57)</f>
        <v>0</v>
      </c>
      <c r="AFA57" s="20" t="n">
        <f aca="false">(AMA56-UN57+0)*(1+BQ57)</f>
        <v>0</v>
      </c>
      <c r="AFB57" s="20" t="n">
        <f aca="false">(AMB56-UO57+0)*(1+BQ57)</f>
        <v>0</v>
      </c>
      <c r="AFC57" s="20" t="n">
        <f aca="false">(AMC56-UP57+0)*(1+BQ57)</f>
        <v>0</v>
      </c>
      <c r="AFD57" s="20" t="n">
        <f aca="false">(AMD56-UQ57+0)*(1+BQ57)</f>
        <v>0</v>
      </c>
      <c r="AFE57" s="20" t="n">
        <f aca="false">(AME56-UR57+0)*(1+BQ57)</f>
        <v>0</v>
      </c>
      <c r="AFF57" s="20" t="n">
        <f aca="false">(AMF56-US57+0)*(1+BQ57)</f>
        <v>0</v>
      </c>
      <c r="AFG57" s="20" t="n">
        <f aca="false">(AMG56-UT57+0)*(1+BQ57)</f>
        <v>0</v>
      </c>
      <c r="AFH57" s="20" t="n">
        <f aca="false">(AMH56-UU57+0)*(1+BQ57)</f>
        <v>0</v>
      </c>
      <c r="AFI57" s="20" t="n">
        <f aca="false">(AMI56-UV57+0)*(1+BQ57)</f>
        <v>0</v>
      </c>
      <c r="AFJ57" s="20" t="n">
        <f aca="false">(AMJ56-UW57+0)*(1+BQ57)</f>
        <v>0</v>
      </c>
      <c r="AFK57" s="20" t="n">
        <f aca="false">(AMK56-UX57+0)*(1+BQ57)</f>
        <v>0</v>
      </c>
      <c r="AFL57" s="20" t="n">
        <f aca="false">(AML56-UY57+0)*(1+BQ57)</f>
        <v>0</v>
      </c>
      <c r="AFM57" s="20" t="n">
        <f aca="false">(AMM56-UZ57+0)*(1+BQ57)</f>
        <v>0</v>
      </c>
      <c r="AFN57" s="20" t="n">
        <f aca="false">(AMN56-VA57+0)*(1+BQ57)</f>
        <v>0</v>
      </c>
      <c r="AFO57" s="20" t="n">
        <f aca="false">(AMO56-VB57+0)*(1+BQ57)</f>
        <v>0</v>
      </c>
      <c r="AFP57" s="20" t="n">
        <f aca="false">((P57+S57)-VC57+BE57)*(1+BQ57)</f>
        <v>0</v>
      </c>
      <c r="AFQ57" s="20" t="n">
        <v>0</v>
      </c>
      <c r="AFR57" s="20" t="n">
        <v>0</v>
      </c>
      <c r="AFS57" s="20" t="n">
        <v>0</v>
      </c>
      <c r="AFT57" s="20" t="n">
        <v>0</v>
      </c>
      <c r="AFU57" s="20" t="n">
        <v>0</v>
      </c>
      <c r="AFV57" s="20" t="n">
        <v>0</v>
      </c>
      <c r="AFW57" s="20" t="n">
        <v>0</v>
      </c>
      <c r="AFX57" s="20" t="n">
        <v>0</v>
      </c>
      <c r="AFY57" s="20" t="n">
        <v>0</v>
      </c>
      <c r="AFZ57" s="20" t="n">
        <v>0</v>
      </c>
      <c r="AGA57" s="20" t="n">
        <v>0</v>
      </c>
      <c r="AGB57" s="20" t="n">
        <v>0</v>
      </c>
      <c r="AGC57" s="20" t="n">
        <v>0</v>
      </c>
      <c r="AGD57" s="20" t="n">
        <v>0</v>
      </c>
      <c r="AGE57" s="20" t="n">
        <v>0</v>
      </c>
      <c r="AGF57" s="20" t="n">
        <v>0</v>
      </c>
      <c r="AGG57" s="20" t="n">
        <v>0</v>
      </c>
      <c r="AGH57" s="20" t="n">
        <v>0</v>
      </c>
      <c r="AGI57" s="20" t="n">
        <v>0</v>
      </c>
      <c r="AGJ57" s="20" t="n">
        <v>0</v>
      </c>
      <c r="AGK57" s="20" t="n">
        <v>0</v>
      </c>
      <c r="AGL57" s="20" t="n">
        <v>0</v>
      </c>
      <c r="AGM57" s="20" t="n">
        <v>0</v>
      </c>
      <c r="AGN57" s="20" t="n">
        <v>0</v>
      </c>
      <c r="AGO57" s="20" t="n">
        <v>0</v>
      </c>
      <c r="AGP57" s="20" t="n">
        <v>0</v>
      </c>
      <c r="AGQ57" s="20" t="n">
        <v>0</v>
      </c>
      <c r="AGR57" s="20" t="n">
        <v>0</v>
      </c>
      <c r="AGS57" s="20" t="n">
        <v>0</v>
      </c>
      <c r="AGT57" s="20" t="n">
        <v>0</v>
      </c>
      <c r="AGU57" s="20" t="n">
        <v>0</v>
      </c>
      <c r="AGV57" s="20" t="n">
        <v>0</v>
      </c>
      <c r="AGW57" s="20" t="n">
        <v>0</v>
      </c>
      <c r="AGX57" s="20" t="n">
        <v>0</v>
      </c>
      <c r="AGY57" s="20" t="n">
        <v>0</v>
      </c>
      <c r="AGZ57" s="20" t="n">
        <v>0</v>
      </c>
      <c r="AHA57" s="20" t="n">
        <v>0</v>
      </c>
      <c r="AHB57" s="20" t="n">
        <v>0</v>
      </c>
      <c r="AHC57" s="20" t="n">
        <v>0</v>
      </c>
      <c r="AHD57" s="20" t="n">
        <v>0</v>
      </c>
      <c r="AHE57" s="20" t="n">
        <f aca="false">IF(AKR56&gt;0,AOE56-AOE56*TE57/AKR56,0)+0</f>
        <v>0</v>
      </c>
      <c r="AHF57" s="20" t="n">
        <f aca="false">IF(AKS56&gt;0,AOF56-AOF56*TF57/AKS56,0)+0</f>
        <v>0</v>
      </c>
      <c r="AHG57" s="20" t="n">
        <f aca="false">IF(AKT56&gt;0,AOG56-AOG56*TG57/AKT56,0)+0</f>
        <v>0</v>
      </c>
      <c r="AHH57" s="20" t="n">
        <f aca="false">IF(AKU56&gt;0,AOH56-AOH56*TH57/AKU56,0)+0</f>
        <v>0</v>
      </c>
      <c r="AHI57" s="20" t="n">
        <f aca="false">IF(AKV56&gt;0,AOI56-AOI56*TI57/AKV56,0)+0</f>
        <v>0</v>
      </c>
      <c r="AHJ57" s="20" t="n">
        <f aca="false">IF(AKW56&gt;0,AOJ56-AOJ56*TJ57/AKW56,0)+0</f>
        <v>0</v>
      </c>
      <c r="AHK57" s="20" t="n">
        <f aca="false">IF(AKX56&gt;0,AOK56-AOK56*TK57/AKX56,0)+0</f>
        <v>0</v>
      </c>
      <c r="AHL57" s="20" t="n">
        <f aca="false">IF(AKY56&gt;0,AOL56-AOL56*TL57/AKY56,0)+0</f>
        <v>0</v>
      </c>
      <c r="AHM57" s="20" t="n">
        <f aca="false">IF(AKZ56&gt;0,AOM56-AOM56*TM57/AKZ56,0)+0</f>
        <v>0</v>
      </c>
      <c r="AHN57" s="20" t="n">
        <f aca="false">IF(ALA56&gt;0,AON56-AON56*TN57/ALA56,0)+0</f>
        <v>0</v>
      </c>
      <c r="AHO57" s="20" t="n">
        <f aca="false">IF(ALB56&gt;0,AOO56-AOO56*TO57/ALB56,0)+0</f>
        <v>0</v>
      </c>
      <c r="AHP57" s="20" t="n">
        <f aca="false">IF(ALC56&gt;0,AOP56-AOP56*TP57/ALC56,0)+0</f>
        <v>0</v>
      </c>
      <c r="AHQ57" s="20" t="n">
        <f aca="false">IF(ALD56&gt;0,AOQ56-AOQ56*TQ57/ALD56,0)+0</f>
        <v>0</v>
      </c>
      <c r="AHR57" s="20" t="n">
        <f aca="false">IF(ALE56&gt;0,AOR56-AOR56*TR57/ALE56,0)+0</f>
        <v>0</v>
      </c>
      <c r="AHS57" s="20" t="n">
        <f aca="false">IF(ALF56&gt;0,AOS56-AOS56*TS57/ALF56,0)+0</f>
        <v>0</v>
      </c>
      <c r="AHT57" s="20" t="n">
        <f aca="false">IF(ALG56&gt;0,AOT56-AOT56*TT57/ALG56,0)+0</f>
        <v>0</v>
      </c>
      <c r="AHU57" s="20" t="n">
        <f aca="false">IF(ALH56&gt;0,AOU56-AOU56*TU57/ALH56,0)+0</f>
        <v>0</v>
      </c>
      <c r="AHV57" s="20" t="n">
        <f aca="false">IF(ALI56&gt;0,AOV56-AOV56*TV57/ALI56,0)+0</f>
        <v>0</v>
      </c>
      <c r="AHW57" s="20" t="n">
        <f aca="false">IF(ALJ56&gt;0,AOW56-AOW56*TW57/ALJ56,0)+0</f>
        <v>0</v>
      </c>
      <c r="AHX57" s="20" t="n">
        <f aca="false">IF(ALK56&gt;0,AOX56-AOX56*TX57/ALK56,0)+0</f>
        <v>0</v>
      </c>
      <c r="AHY57" s="20" t="n">
        <f aca="false">IF(ALL56&gt;0,AOY56-AOY56*TY57/ALL56,0)+0</f>
        <v>0</v>
      </c>
      <c r="AHZ57" s="20" t="n">
        <f aca="false">IF(ALM56&gt;0,AOZ56-AOZ56*TZ57/ALM56,0)+0</f>
        <v>0</v>
      </c>
      <c r="AIA57" s="20" t="n">
        <f aca="false">IF(ALN56&gt;0,APA56-APA56*UA57/ALN56,0)+0</f>
        <v>0</v>
      </c>
      <c r="AIB57" s="20" t="n">
        <f aca="false">IF(ALO56&gt;0,APB56-APB56*UB57/ALO56,0)+0</f>
        <v>0</v>
      </c>
      <c r="AIC57" s="20" t="n">
        <f aca="false">IF(ALP56&gt;0,APC56-APC56*UC57/ALP56,0)+0</f>
        <v>0</v>
      </c>
      <c r="AID57" s="20" t="n">
        <f aca="false">IF(ALQ56&gt;0,APD56-APD56*UD57/ALQ56,0)+0</f>
        <v>0</v>
      </c>
      <c r="AIE57" s="20" t="n">
        <f aca="false">IF(ALR56&gt;0,APE56-APE56*UE57/ALR56,0)+0</f>
        <v>0</v>
      </c>
      <c r="AIF57" s="20" t="n">
        <f aca="false">IF(ALS56&gt;0,APF56-APF56*UF57/ALS56,0)+0</f>
        <v>0</v>
      </c>
      <c r="AIG57" s="20" t="n">
        <f aca="false">IF(ALT56&gt;0,APG56-APG56*UG57/ALT56,0)+0</f>
        <v>0</v>
      </c>
      <c r="AIH57" s="20" t="n">
        <f aca="false">IF(ALU56&gt;0,APH56-APH56*UH57/ALU56,0)+0</f>
        <v>0</v>
      </c>
      <c r="AII57" s="20" t="n">
        <f aca="false">IF(ALV56&gt;0,API56-API56*UI57/ALV56,0)+0</f>
        <v>0</v>
      </c>
      <c r="AIJ57" s="20" t="n">
        <f aca="false">IF(ALW56&gt;0,APJ56-APJ56*UJ57/ALW56,0)+0</f>
        <v>0</v>
      </c>
      <c r="AIK57" s="20" t="n">
        <f aca="false">IF(ALX56&gt;0,APK56-APK56*UK57/ALX56,0)+0</f>
        <v>0</v>
      </c>
      <c r="AIL57" s="20" t="n">
        <f aca="false">IF(ALY56&gt;0,APL56-APL56*UL57/ALY56,0)+0</f>
        <v>0</v>
      </c>
      <c r="AIM57" s="20" t="n">
        <f aca="false">IF(ALZ56&gt;0,APM56-APM56*UM57/ALZ56,0)+0</f>
        <v>0</v>
      </c>
      <c r="AIN57" s="20" t="n">
        <f aca="false">IF(AMA56&gt;0,APN56-APN56*UN57/AMA56,0)+0</f>
        <v>0</v>
      </c>
      <c r="AIO57" s="20" t="n">
        <f aca="false">IF(AMB56&gt;0,APO56-APO56*UO57/AMB56,0)+0</f>
        <v>0</v>
      </c>
      <c r="AIP57" s="20" t="n">
        <f aca="false">IF(AMC56&gt;0,APP56-APP56*UP57/AMC56,0)+0</f>
        <v>0</v>
      </c>
      <c r="AIQ57" s="20" t="n">
        <f aca="false">IF(AMD56&gt;0,APQ56-APQ56*UQ57/AMD56,0)+0</f>
        <v>0</v>
      </c>
      <c r="AIR57" s="20" t="n">
        <f aca="false">IF(AME56&gt;0,APR56-APR56*UR57/AME56,0)+0</f>
        <v>0</v>
      </c>
      <c r="AIS57" s="20" t="n">
        <f aca="false">IF(AMF56&gt;0,APS56-APS56*US57/AMF56,0)+0</f>
        <v>0</v>
      </c>
      <c r="AIT57" s="20" t="n">
        <f aca="false">IF(AMG56&gt;0,APT56-APT56*UT57/AMG56,0)+0</f>
        <v>0</v>
      </c>
      <c r="AIU57" s="20" t="n">
        <f aca="false">IF(AMH56&gt;0,APU56-APU56*UU57/AMH56,0)+0</f>
        <v>0</v>
      </c>
      <c r="AIV57" s="20" t="n">
        <f aca="false">IF(AMI56&gt;0,APV56-APV56*UV57/AMI56,0)+0</f>
        <v>0</v>
      </c>
      <c r="AIW57" s="20" t="n">
        <f aca="false">IF(AMJ56&gt;0,APW56-APW56*UW57/AMJ56,0)+0</f>
        <v>0</v>
      </c>
      <c r="AIX57" s="20" t="n">
        <f aca="false">IF(AMK56&gt;0,APX56-APX56*UX57/AMK56,0)+0</f>
        <v>0</v>
      </c>
      <c r="AIY57" s="20" t="n">
        <f aca="false">IF(AML56&gt;0,APY56-APY56*UY57/AML56,0)+0</f>
        <v>0</v>
      </c>
      <c r="AIZ57" s="20" t="n">
        <f aca="false">IF(AMM56&gt;0,APZ56-APZ56*UZ57/AMM56,0)+0</f>
        <v>0</v>
      </c>
      <c r="AJA57" s="20" t="n">
        <f aca="false">IF(AMN56&gt;0,AQA56-AQA56*VA57/AMN56,0)+0</f>
        <v>0</v>
      </c>
      <c r="AJB57" s="20" t="n">
        <f aca="false">IF(AMO56&gt;0,AQB56-AQB56*VB57/AMO56,0)+0</f>
        <v>0</v>
      </c>
      <c r="AJC57" s="20" t="n">
        <f aca="false">IF((P57+S57)&gt;0,(P57+S57)-(P57+S57)*VC57/(P57+S57),0)+BE57</f>
        <v>0</v>
      </c>
      <c r="AJD57" s="20" t="n">
        <v>0</v>
      </c>
      <c r="AJE57" s="20" t="n">
        <v>0</v>
      </c>
      <c r="AJF57" s="20" t="n">
        <v>0</v>
      </c>
      <c r="AJG57" s="20" t="n">
        <v>0</v>
      </c>
      <c r="AJH57" s="20" t="n">
        <v>0</v>
      </c>
      <c r="AJI57" s="20" t="n">
        <v>0</v>
      </c>
      <c r="AJJ57" s="20" t="n">
        <v>0</v>
      </c>
      <c r="AJK57" s="20" t="n">
        <v>0</v>
      </c>
      <c r="AJL57" s="20" t="n">
        <v>0</v>
      </c>
      <c r="AJM57" s="20" t="n">
        <v>0</v>
      </c>
      <c r="AJN57" s="20" t="n">
        <v>0</v>
      </c>
      <c r="AJO57" s="20" t="n">
        <v>0</v>
      </c>
      <c r="AJP57" s="20" t="n">
        <v>0</v>
      </c>
      <c r="AJQ57" s="20" t="n">
        <v>0</v>
      </c>
      <c r="AJR57" s="20" t="n">
        <v>0</v>
      </c>
      <c r="AJS57" s="20" t="n">
        <v>0</v>
      </c>
      <c r="AJT57" s="20" t="n">
        <v>0</v>
      </c>
      <c r="AJU57" s="20" t="n">
        <v>0</v>
      </c>
      <c r="AJV57" s="20" t="n">
        <v>0</v>
      </c>
      <c r="AJW57" s="20" t="n">
        <v>0</v>
      </c>
      <c r="AJX57" s="20" t="n">
        <v>0</v>
      </c>
      <c r="AJY57" s="20" t="n">
        <v>0</v>
      </c>
      <c r="AJZ57" s="20" t="n">
        <v>0</v>
      </c>
      <c r="AKA57" s="20" t="n">
        <v>0</v>
      </c>
      <c r="AKB57" s="20" t="n">
        <v>0</v>
      </c>
      <c r="AKC57" s="20" t="n">
        <v>0</v>
      </c>
      <c r="AKD57" s="20" t="n">
        <v>0</v>
      </c>
      <c r="AKE57" s="20" t="n">
        <v>0</v>
      </c>
      <c r="AKF57" s="20" t="n">
        <v>0</v>
      </c>
      <c r="AKG57" s="20" t="n">
        <v>0</v>
      </c>
      <c r="AKH57" s="20" t="n">
        <v>0</v>
      </c>
      <c r="AKI57" s="20" t="n">
        <v>0</v>
      </c>
      <c r="AKJ57" s="20" t="n">
        <v>0</v>
      </c>
      <c r="AKK57" s="20" t="n">
        <v>0</v>
      </c>
      <c r="AKL57" s="20" t="n">
        <v>0</v>
      </c>
      <c r="AKM57" s="20" t="n">
        <v>0</v>
      </c>
      <c r="AKN57" s="20" t="n">
        <v>0</v>
      </c>
      <c r="AKO57" s="20" t="n">
        <v>0</v>
      </c>
      <c r="AKP57" s="20" t="n">
        <v>0</v>
      </c>
      <c r="AKQ57" s="20" t="n">
        <v>0</v>
      </c>
      <c r="AKR57" s="20" t="n">
        <f aca="false">ADR57-AVE57</f>
        <v>0</v>
      </c>
      <c r="AKS57" s="20" t="n">
        <f aca="false">ADS57-AVF57</f>
        <v>0</v>
      </c>
      <c r="AKT57" s="20" t="n">
        <f aca="false">ADT57-AVG57</f>
        <v>0</v>
      </c>
      <c r="AKU57" s="20" t="n">
        <f aca="false">ADU57-AVH57</f>
        <v>0</v>
      </c>
      <c r="AKV57" s="20" t="n">
        <f aca="false">ADV57-AVI57</f>
        <v>0</v>
      </c>
      <c r="AKW57" s="20" t="n">
        <f aca="false">ADW57-AVJ57</f>
        <v>0</v>
      </c>
      <c r="AKX57" s="20" t="n">
        <f aca="false">ADX57-AVK57</f>
        <v>0</v>
      </c>
      <c r="AKY57" s="20" t="n">
        <f aca="false">ADY57-AVL57</f>
        <v>0</v>
      </c>
      <c r="AKZ57" s="20" t="n">
        <f aca="false">ADZ57-AVM57</f>
        <v>0</v>
      </c>
      <c r="ALA57" s="20" t="n">
        <f aca="false">AEA57-AVN57</f>
        <v>0</v>
      </c>
      <c r="ALB57" s="20" t="n">
        <f aca="false">AEB57-AVO57</f>
        <v>0</v>
      </c>
      <c r="ALC57" s="20" t="n">
        <f aca="false">AEC57-AVP57</f>
        <v>0</v>
      </c>
      <c r="ALD57" s="20" t="n">
        <f aca="false">AED57-AVQ57</f>
        <v>0</v>
      </c>
      <c r="ALE57" s="20" t="n">
        <f aca="false">AEE57-AVR57</f>
        <v>0</v>
      </c>
      <c r="ALF57" s="20" t="n">
        <f aca="false">AEF57-AVS57</f>
        <v>0</v>
      </c>
      <c r="ALG57" s="20" t="n">
        <f aca="false">AEG57-AVT57</f>
        <v>0</v>
      </c>
      <c r="ALH57" s="20" t="n">
        <f aca="false">AEH57-AVU57</f>
        <v>0</v>
      </c>
      <c r="ALI57" s="20" t="n">
        <f aca="false">AEI57-AVV57</f>
        <v>0</v>
      </c>
      <c r="ALJ57" s="20" t="n">
        <f aca="false">AEJ57-AVW57</f>
        <v>0</v>
      </c>
      <c r="ALK57" s="20" t="n">
        <f aca="false">AEK57-AVX57</f>
        <v>0</v>
      </c>
      <c r="ALL57" s="20" t="n">
        <f aca="false">AEL57-AVY57</f>
        <v>0</v>
      </c>
      <c r="ALM57" s="20" t="n">
        <f aca="false">AEM57-AVZ57</f>
        <v>0</v>
      </c>
      <c r="ALN57" s="20" t="n">
        <f aca="false">AEN57-AWA57</f>
        <v>0</v>
      </c>
      <c r="ALO57" s="20" t="n">
        <f aca="false">AEO57-AWB57</f>
        <v>0</v>
      </c>
      <c r="ALP57" s="20" t="n">
        <f aca="false">AEP57-AWC57</f>
        <v>0</v>
      </c>
      <c r="ALQ57" s="20" t="n">
        <f aca="false">AEQ57-AWD57</f>
        <v>0</v>
      </c>
      <c r="ALR57" s="20" t="n">
        <f aca="false">AER57-AWE57</f>
        <v>0</v>
      </c>
      <c r="ALS57" s="20" t="n">
        <f aca="false">AES57-AWF57</f>
        <v>0</v>
      </c>
      <c r="ALT57" s="20" t="n">
        <f aca="false">AET57-AWG57</f>
        <v>0</v>
      </c>
      <c r="ALU57" s="20" t="n">
        <f aca="false">AEU57-AWH57</f>
        <v>0</v>
      </c>
      <c r="ALV57" s="20" t="n">
        <f aca="false">AEV57-AWI57</f>
        <v>0</v>
      </c>
      <c r="ALW57" s="20" t="n">
        <f aca="false">AEW57-AWJ57</f>
        <v>0</v>
      </c>
      <c r="ALX57" s="20" t="n">
        <f aca="false">AEX57-AWK57</f>
        <v>0</v>
      </c>
      <c r="ALY57" s="20" t="n">
        <f aca="false">AEY57-AWL57</f>
        <v>0</v>
      </c>
      <c r="ALZ57" s="20" t="n">
        <f aca="false">AEZ57-AWM57</f>
        <v>0</v>
      </c>
      <c r="AMA57" s="20" t="n">
        <f aca="false">AFA57-AWN57</f>
        <v>0</v>
      </c>
      <c r="AMB57" s="20" t="n">
        <f aca="false">AFB57-AWO57</f>
        <v>0</v>
      </c>
      <c r="AMC57" s="20" t="n">
        <f aca="false">AFC57-AWP57</f>
        <v>0</v>
      </c>
      <c r="AMD57" s="20" t="n">
        <f aca="false">AFD57-AWQ57</f>
        <v>0</v>
      </c>
      <c r="AME57" s="20" t="n">
        <f aca="false">AFE57-AWR57</f>
        <v>0</v>
      </c>
      <c r="AMF57" s="20" t="n">
        <f aca="false">AFF57-AWS57</f>
        <v>0</v>
      </c>
      <c r="AMG57" s="20" t="n">
        <f aca="false">AFG57-AWT57</f>
        <v>0</v>
      </c>
      <c r="AMH57" s="20" t="n">
        <f aca="false">AFH57-AWU57</f>
        <v>0</v>
      </c>
      <c r="AMI57" s="20" t="n">
        <f aca="false">AFI57-AWV57</f>
        <v>0</v>
      </c>
      <c r="AMJ57" s="20" t="n">
        <f aca="false">AFJ57-AWW57</f>
        <v>0</v>
      </c>
      <c r="AMK57" s="20" t="n">
        <f aca="false">AFK57-AWX57</f>
        <v>0</v>
      </c>
      <c r="AML57" s="20" t="n">
        <f aca="false">AFL57-AWY57</f>
        <v>0</v>
      </c>
      <c r="AMM57" s="20" t="n">
        <f aca="false">AFM57-AWZ57</f>
        <v>0</v>
      </c>
      <c r="AMN57" s="20" t="n">
        <f aca="false">AFN57-AXA57</f>
        <v>0</v>
      </c>
      <c r="AMO57" s="20" t="n">
        <f aca="false">AFO57-AXB57</f>
        <v>0</v>
      </c>
      <c r="AMP57" s="20" t="n">
        <f aca="false">AFP57-AXC57</f>
        <v>0</v>
      </c>
      <c r="AMQ57" s="20" t="n">
        <v>0</v>
      </c>
      <c r="AMR57" s="20" t="n">
        <v>0</v>
      </c>
      <c r="AMS57" s="20" t="n">
        <v>0</v>
      </c>
      <c r="AMT57" s="20" t="n">
        <v>0</v>
      </c>
      <c r="AMU57" s="20" t="n">
        <v>0</v>
      </c>
      <c r="AMV57" s="20" t="n">
        <v>0</v>
      </c>
      <c r="AMW57" s="20" t="n">
        <v>0</v>
      </c>
      <c r="AMX57" s="20" t="n">
        <v>0</v>
      </c>
      <c r="AMY57" s="20" t="n">
        <v>0</v>
      </c>
      <c r="AMZ57" s="20" t="n">
        <v>0</v>
      </c>
      <c r="ANA57" s="20" t="n">
        <v>0</v>
      </c>
      <c r="ANB57" s="20" t="n">
        <v>0</v>
      </c>
      <c r="ANC57" s="20" t="n">
        <v>0</v>
      </c>
      <c r="AND57" s="20" t="n">
        <v>0</v>
      </c>
      <c r="ANE57" s="20" t="n">
        <v>0</v>
      </c>
      <c r="ANF57" s="20" t="n">
        <v>0</v>
      </c>
      <c r="ANG57" s="20" t="n">
        <v>0</v>
      </c>
      <c r="ANH57" s="20" t="n">
        <v>0</v>
      </c>
      <c r="ANI57" s="20" t="n">
        <v>0</v>
      </c>
      <c r="ANJ57" s="20" t="n">
        <v>0</v>
      </c>
      <c r="ANK57" s="20" t="n">
        <v>0</v>
      </c>
      <c r="ANL57" s="20" t="n">
        <v>0</v>
      </c>
      <c r="ANM57" s="20" t="n">
        <v>0</v>
      </c>
      <c r="ANN57" s="20" t="n">
        <v>0</v>
      </c>
      <c r="ANO57" s="20" t="n">
        <v>0</v>
      </c>
      <c r="ANP57" s="20" t="n">
        <v>0</v>
      </c>
      <c r="ANQ57" s="20" t="n">
        <v>0</v>
      </c>
      <c r="ANR57" s="20" t="n">
        <v>0</v>
      </c>
      <c r="ANS57" s="20" t="n">
        <v>0</v>
      </c>
      <c r="ANT57" s="20" t="n">
        <v>0</v>
      </c>
      <c r="ANU57" s="20" t="n">
        <v>0</v>
      </c>
      <c r="ANV57" s="20" t="n">
        <v>0</v>
      </c>
      <c r="ANW57" s="20" t="n">
        <v>0</v>
      </c>
      <c r="ANX57" s="20" t="n">
        <v>0</v>
      </c>
      <c r="ANY57" s="20" t="n">
        <v>0</v>
      </c>
      <c r="ANZ57" s="20" t="n">
        <v>0</v>
      </c>
      <c r="AOA57" s="20" t="n">
        <v>0</v>
      </c>
      <c r="AOB57" s="20" t="n">
        <v>0</v>
      </c>
      <c r="AOC57" s="20" t="n">
        <v>0</v>
      </c>
      <c r="AOD57" s="20" t="n">
        <v>0</v>
      </c>
      <c r="AOE57" s="20" t="n">
        <f aca="false">IF(AND(H_Direct=0,H_TaxEvt=1,ARR56+1&gt;=H_Deemed),AKR57,AHE57)</f>
        <v>0</v>
      </c>
      <c r="AOF57" s="20" t="n">
        <f aca="false">IF(AND(H_Direct=0,H_TaxEvt=1,ARS56+1&gt;=H_Deemed),AKS57,AHF57)</f>
        <v>0</v>
      </c>
      <c r="AOG57" s="20" t="n">
        <f aca="false">IF(AND(H_Direct=0,H_TaxEvt=1,ART56+1&gt;=H_Deemed),AKT57,AHG57)</f>
        <v>0</v>
      </c>
      <c r="AOH57" s="20" t="n">
        <f aca="false">IF(AND(H_Direct=0,H_TaxEvt=1,ARU56+1&gt;=H_Deemed),AKU57,AHH57)</f>
        <v>0</v>
      </c>
      <c r="AOI57" s="20" t="n">
        <f aca="false">IF(AND(H_Direct=0,H_TaxEvt=1,ARV56+1&gt;=H_Deemed),AKV57,AHI57)</f>
        <v>0</v>
      </c>
      <c r="AOJ57" s="20" t="n">
        <f aca="false">IF(AND(H_Direct=0,H_TaxEvt=1,ARW56+1&gt;=H_Deemed),AKW57,AHJ57)</f>
        <v>0</v>
      </c>
      <c r="AOK57" s="20" t="n">
        <f aca="false">IF(AND(H_Direct=0,H_TaxEvt=1,ARX56+1&gt;=H_Deemed),AKX57,AHK57)</f>
        <v>0</v>
      </c>
      <c r="AOL57" s="20" t="n">
        <f aca="false">IF(AND(H_Direct=0,H_TaxEvt=1,ARY56+1&gt;=H_Deemed),AKY57,AHL57)</f>
        <v>0</v>
      </c>
      <c r="AOM57" s="20" t="n">
        <f aca="false">IF(AND(H_Direct=0,H_TaxEvt=1,ARZ56+1&gt;=H_Deemed),AKZ57,AHM57)</f>
        <v>0</v>
      </c>
      <c r="AON57" s="20" t="n">
        <f aca="false">IF(AND(H_Direct=0,H_TaxEvt=1,ASA56+1&gt;=H_Deemed),ALA57,AHN57)</f>
        <v>0</v>
      </c>
      <c r="AOO57" s="20" t="n">
        <f aca="false">IF(AND(H_Direct=0,H_TaxEvt=1,ASB56+1&gt;=H_Deemed),ALB57,AHO57)</f>
        <v>0</v>
      </c>
      <c r="AOP57" s="20" t="n">
        <f aca="false">IF(AND(H_Direct=0,H_TaxEvt=1,ASC56+1&gt;=H_Deemed),ALC57,AHP57)</f>
        <v>0</v>
      </c>
      <c r="AOQ57" s="20" t="n">
        <f aca="false">IF(AND(H_Direct=0,H_TaxEvt=1,ASD56+1&gt;=H_Deemed),ALD57,AHQ57)</f>
        <v>0</v>
      </c>
      <c r="AOR57" s="20" t="n">
        <f aca="false">IF(AND(H_Direct=0,H_TaxEvt=1,ASE56+1&gt;=H_Deemed),ALE57,AHR57)</f>
        <v>0</v>
      </c>
      <c r="AOS57" s="20" t="n">
        <f aca="false">IF(AND(H_Direct=0,H_TaxEvt=1,ASF56+1&gt;=H_Deemed),ALF57,AHS57)</f>
        <v>0</v>
      </c>
      <c r="AOT57" s="20" t="n">
        <f aca="false">IF(AND(H_Direct=0,H_TaxEvt=1,ASG56+1&gt;=H_Deemed),ALG57,AHT57)</f>
        <v>0</v>
      </c>
      <c r="AOU57" s="20" t="n">
        <f aca="false">IF(AND(H_Direct=0,H_TaxEvt=1,ASH56+1&gt;=H_Deemed),ALH57,AHU57)</f>
        <v>0</v>
      </c>
      <c r="AOV57" s="20" t="n">
        <f aca="false">IF(AND(H_Direct=0,H_TaxEvt=1,ASI56+1&gt;=H_Deemed),ALI57,AHV57)</f>
        <v>0</v>
      </c>
      <c r="AOW57" s="20" t="n">
        <f aca="false">IF(AND(H_Direct=0,H_TaxEvt=1,ASJ56+1&gt;=H_Deemed),ALJ57,AHW57)</f>
        <v>0</v>
      </c>
      <c r="AOX57" s="20" t="n">
        <f aca="false">IF(AND(H_Direct=0,H_TaxEvt=1,ASK56+1&gt;=H_Deemed),ALK57,AHX57)</f>
        <v>0</v>
      </c>
      <c r="AOY57" s="20" t="n">
        <f aca="false">IF(AND(H_Direct=0,H_TaxEvt=1,ASL56+1&gt;=H_Deemed),ALL57,AHY57)</f>
        <v>0</v>
      </c>
      <c r="AOZ57" s="20" t="n">
        <f aca="false">IF(AND(H_Direct=0,H_TaxEvt=1,ASM56+1&gt;=H_Deemed),ALM57,AHZ57)</f>
        <v>0</v>
      </c>
      <c r="APA57" s="20" t="n">
        <f aca="false">IF(AND(H_Direct=0,H_TaxEvt=1,ASN56+1&gt;=H_Deemed),ALN57,AIA57)</f>
        <v>0</v>
      </c>
      <c r="APB57" s="20" t="n">
        <f aca="false">IF(AND(H_Direct=0,H_TaxEvt=1,ASO56+1&gt;=H_Deemed),ALO57,AIB57)</f>
        <v>0</v>
      </c>
      <c r="APC57" s="20" t="n">
        <f aca="false">IF(AND(H_Direct=0,H_TaxEvt=1,ASP56+1&gt;=H_Deemed),ALP57,AIC57)</f>
        <v>0</v>
      </c>
      <c r="APD57" s="20" t="n">
        <f aca="false">IF(AND(H_Direct=0,H_TaxEvt=1,ASQ56+1&gt;=H_Deemed),ALQ57,AID57)</f>
        <v>0</v>
      </c>
      <c r="APE57" s="20" t="n">
        <f aca="false">IF(AND(H_Direct=0,H_TaxEvt=1,ASR56+1&gt;=H_Deemed),ALR57,AIE57)</f>
        <v>0</v>
      </c>
      <c r="APF57" s="20" t="n">
        <f aca="false">IF(AND(H_Direct=0,H_TaxEvt=1,ASS56+1&gt;=H_Deemed),ALS57,AIF57)</f>
        <v>0</v>
      </c>
      <c r="APG57" s="20" t="n">
        <f aca="false">IF(AND(H_Direct=0,H_TaxEvt=1,AST56+1&gt;=H_Deemed),ALT57,AIG57)</f>
        <v>0</v>
      </c>
      <c r="APH57" s="20" t="n">
        <f aca="false">IF(AND(H_Direct=0,H_TaxEvt=1,ASU56+1&gt;=H_Deemed),ALU57,AIH57)</f>
        <v>0</v>
      </c>
      <c r="API57" s="20" t="n">
        <f aca="false">IF(AND(H_Direct=0,H_TaxEvt=1,ASV56+1&gt;=H_Deemed),ALV57,AII57)</f>
        <v>0</v>
      </c>
      <c r="APJ57" s="20" t="n">
        <f aca="false">IF(AND(H_Direct=0,H_TaxEvt=1,ASW56+1&gt;=H_Deemed),ALW57,AIJ57)</f>
        <v>0</v>
      </c>
      <c r="APK57" s="20" t="n">
        <f aca="false">IF(AND(H_Direct=0,H_TaxEvt=1,ASX56+1&gt;=H_Deemed),ALX57,AIK57)</f>
        <v>0</v>
      </c>
      <c r="APL57" s="20" t="n">
        <f aca="false">IF(AND(H_Direct=0,H_TaxEvt=1,ASY56+1&gt;=H_Deemed),ALY57,AIL57)</f>
        <v>0</v>
      </c>
      <c r="APM57" s="20" t="n">
        <f aca="false">IF(AND(H_Direct=0,H_TaxEvt=1,ASZ56+1&gt;=H_Deemed),ALZ57,AIM57)</f>
        <v>0</v>
      </c>
      <c r="APN57" s="20" t="n">
        <f aca="false">IF(AND(H_Direct=0,H_TaxEvt=1,ATA56+1&gt;=H_Deemed),AMA57,AIN57)</f>
        <v>0</v>
      </c>
      <c r="APO57" s="20" t="n">
        <f aca="false">IF(AND(H_Direct=0,H_TaxEvt=1,ATB56+1&gt;=H_Deemed),AMB57,AIO57)</f>
        <v>0</v>
      </c>
      <c r="APP57" s="20" t="n">
        <f aca="false">IF(AND(H_Direct=0,H_TaxEvt=1,ATC56+1&gt;=H_Deemed),AMC57,AIP57)</f>
        <v>0</v>
      </c>
      <c r="APQ57" s="20" t="n">
        <f aca="false">IF(AND(H_Direct=0,H_TaxEvt=1,ATD56+1&gt;=H_Deemed),AMD57,AIQ57)</f>
        <v>0</v>
      </c>
      <c r="APR57" s="20" t="n">
        <f aca="false">IF(AND(H_Direct=0,H_TaxEvt=1,ATE56+1&gt;=H_Deemed),AME57,AIR57)</f>
        <v>0</v>
      </c>
      <c r="APS57" s="20" t="n">
        <f aca="false">IF(AND(H_Direct=0,H_TaxEvt=1,ATF56+1&gt;=H_Deemed),AMF57,AIS57)</f>
        <v>0</v>
      </c>
      <c r="APT57" s="20" t="n">
        <f aca="false">IF(AND(H_Direct=0,H_TaxEvt=1,ATG56+1&gt;=H_Deemed),AMG57,AIT57)</f>
        <v>0</v>
      </c>
      <c r="APU57" s="20" t="n">
        <f aca="false">IF(AND(H_Direct=0,H_TaxEvt=1,ATH56+1&gt;=H_Deemed),AMH57,AIU57)</f>
        <v>0</v>
      </c>
      <c r="APV57" s="20" t="n">
        <f aca="false">IF(AND(H_Direct=0,H_TaxEvt=1,ATI56+1&gt;=H_Deemed),AMI57,AIV57)</f>
        <v>0</v>
      </c>
      <c r="APW57" s="20" t="n">
        <f aca="false">IF(AND(H_Direct=0,H_TaxEvt=1,ATJ56+1&gt;=H_Deemed),AMJ57,AIW57)</f>
        <v>0</v>
      </c>
      <c r="APX57" s="20" t="n">
        <f aca="false">IF(AND(H_Direct=0,H_TaxEvt=1,ATK56+1&gt;=H_Deemed),AMK57,AIX57)</f>
        <v>0</v>
      </c>
      <c r="APY57" s="20" t="n">
        <f aca="false">IF(AND(H_Direct=0,H_TaxEvt=1,ATL56+1&gt;=H_Deemed),AML57,AIY57)</f>
        <v>0</v>
      </c>
      <c r="APZ57" s="20" t="n">
        <f aca="false">IF(AND(H_Direct=0,H_TaxEvt=1,ATM56+1&gt;=H_Deemed),AMM57,AIZ57)</f>
        <v>0</v>
      </c>
      <c r="AQA57" s="20" t="n">
        <f aca="false">IF(AND(H_Direct=0,H_TaxEvt=1,ATN56+1&gt;=H_Deemed),AMN57,AJA57)</f>
        <v>0</v>
      </c>
      <c r="AQB57" s="20" t="n">
        <f aca="false">IF(AND(H_Direct=0,H_TaxEvt=1,ATO56+1&gt;=H_Deemed),AMO57,AJB57)</f>
        <v>0</v>
      </c>
      <c r="AQC57" s="20" t="n">
        <f aca="false">IF(AND(H_Direct=0,H_TaxEvt=1,0+1&gt;=H_Deemed),AMP57,AJC57)</f>
        <v>0</v>
      </c>
      <c r="AQD57" s="20" t="n">
        <v>0</v>
      </c>
      <c r="AQE57" s="20" t="n">
        <v>0</v>
      </c>
      <c r="AQF57" s="20" t="n">
        <v>0</v>
      </c>
      <c r="AQG57" s="20" t="n">
        <v>0</v>
      </c>
      <c r="AQH57" s="20" t="n">
        <v>0</v>
      </c>
      <c r="AQI57" s="20" t="n">
        <v>0</v>
      </c>
      <c r="AQJ57" s="20" t="n">
        <v>0</v>
      </c>
      <c r="AQK57" s="20" t="n">
        <v>0</v>
      </c>
      <c r="AQL57" s="20" t="n">
        <v>0</v>
      </c>
      <c r="AQM57" s="20" t="n">
        <v>0</v>
      </c>
      <c r="AQN57" s="20" t="n">
        <v>0</v>
      </c>
      <c r="AQO57" s="20" t="n">
        <v>0</v>
      </c>
      <c r="AQP57" s="20" t="n">
        <v>0</v>
      </c>
      <c r="AQQ57" s="20" t="n">
        <v>0</v>
      </c>
      <c r="AQR57" s="20" t="n">
        <v>0</v>
      </c>
      <c r="AQS57" s="20" t="n">
        <v>0</v>
      </c>
      <c r="AQT57" s="20" t="n">
        <v>0</v>
      </c>
      <c r="AQU57" s="20" t="n">
        <v>0</v>
      </c>
      <c r="AQV57" s="20" t="n">
        <v>0</v>
      </c>
      <c r="AQW57" s="20" t="n">
        <v>0</v>
      </c>
      <c r="AQX57" s="20" t="n">
        <v>0</v>
      </c>
      <c r="AQY57" s="20" t="n">
        <v>0</v>
      </c>
      <c r="AQZ57" s="20" t="n">
        <v>0</v>
      </c>
      <c r="ARA57" s="20" t="n">
        <v>0</v>
      </c>
      <c r="ARB57" s="20" t="n">
        <v>0</v>
      </c>
      <c r="ARC57" s="20" t="n">
        <v>0</v>
      </c>
      <c r="ARD57" s="20" t="n">
        <v>0</v>
      </c>
      <c r="ARE57" s="20" t="n">
        <v>0</v>
      </c>
      <c r="ARF57" s="20" t="n">
        <v>0</v>
      </c>
      <c r="ARG57" s="20" t="n">
        <v>0</v>
      </c>
      <c r="ARH57" s="20" t="n">
        <v>0</v>
      </c>
      <c r="ARI57" s="20" t="n">
        <v>0</v>
      </c>
      <c r="ARJ57" s="20" t="n">
        <v>0</v>
      </c>
      <c r="ARK57" s="20" t="n">
        <v>0</v>
      </c>
      <c r="ARL57" s="20" t="n">
        <v>0</v>
      </c>
      <c r="ARM57" s="20" t="n">
        <v>0</v>
      </c>
      <c r="ARN57" s="20" t="n">
        <v>0</v>
      </c>
      <c r="ARO57" s="20" t="n">
        <v>0</v>
      </c>
      <c r="ARP57" s="20" t="n">
        <v>0</v>
      </c>
      <c r="ARQ57" s="20" t="n">
        <v>0</v>
      </c>
      <c r="ARR57" s="20" t="n">
        <f aca="false">IF(AND(H_Direct=0,H_TaxEvt=1),IF(ARR56+1&gt;=H_Deemed,0,ARR56+1),ARR56)</f>
        <v>2</v>
      </c>
      <c r="ARS57" s="20" t="n">
        <f aca="false">IF(AND(H_Direct=0,H_TaxEvt=1),IF(ARS56+1&gt;=H_Deemed,0,ARS56+1),ARS56)</f>
        <v>2</v>
      </c>
      <c r="ART57" s="20" t="n">
        <f aca="false">IF(AND(H_Direct=0,H_TaxEvt=1),IF(ART56+1&gt;=H_Deemed,0,ART56+1),ART56)</f>
        <v>1</v>
      </c>
      <c r="ARU57" s="20" t="n">
        <f aca="false">IF(AND(H_Direct=0,H_TaxEvt=1),IF(ARU56+1&gt;=H_Deemed,0,ARU56+1),ARU56)</f>
        <v>0</v>
      </c>
      <c r="ARV57" s="20" t="n">
        <f aca="false">IF(AND(H_Direct=0,H_TaxEvt=1),IF(ARV56+1&gt;=H_Deemed,0,ARV56+1),ARV56)</f>
        <v>7</v>
      </c>
      <c r="ARW57" s="20" t="n">
        <f aca="false">IF(AND(H_Direct=0,H_TaxEvt=1),IF(ARW56+1&gt;=H_Deemed,0,ARW56+1),ARW56)</f>
        <v>6</v>
      </c>
      <c r="ARX57" s="20" t="n">
        <f aca="false">IF(AND(H_Direct=0,H_TaxEvt=1),IF(ARX56+1&gt;=H_Deemed,0,ARX56+1),ARX56)</f>
        <v>5</v>
      </c>
      <c r="ARY57" s="20" t="n">
        <f aca="false">IF(AND(H_Direct=0,H_TaxEvt=1),IF(ARY56+1&gt;=H_Deemed,0,ARY56+1),ARY56)</f>
        <v>4</v>
      </c>
      <c r="ARZ57" s="20" t="n">
        <f aca="false">IF(AND(H_Direct=0,H_TaxEvt=1),IF(ARZ56+1&gt;=H_Deemed,0,ARZ56+1),ARZ56)</f>
        <v>3</v>
      </c>
      <c r="ASA57" s="20" t="n">
        <f aca="false">IF(AND(H_Direct=0,H_TaxEvt=1),IF(ASA56+1&gt;=H_Deemed,0,ASA56+1),ASA56)</f>
        <v>2</v>
      </c>
      <c r="ASB57" s="20" t="n">
        <f aca="false">IF(AND(H_Direct=0,H_TaxEvt=1),IF(ASB56+1&gt;=H_Deemed,0,ASB56+1),ASB56)</f>
        <v>1</v>
      </c>
      <c r="ASC57" s="20" t="n">
        <f aca="false">IF(AND(H_Direct=0,H_TaxEvt=1),IF(ASC56+1&gt;=H_Deemed,0,ASC56+1),ASC56)</f>
        <v>0</v>
      </c>
      <c r="ASD57" s="20" t="n">
        <f aca="false">IF(AND(H_Direct=0,H_TaxEvt=1),IF(ASD56+1&gt;=H_Deemed,0,ASD56+1),ASD56)</f>
        <v>7</v>
      </c>
      <c r="ASE57" s="20" t="n">
        <f aca="false">IF(AND(H_Direct=0,H_TaxEvt=1),IF(ASE56+1&gt;=H_Deemed,0,ASE56+1),ASE56)</f>
        <v>6</v>
      </c>
      <c r="ASF57" s="20" t="n">
        <f aca="false">IF(AND(H_Direct=0,H_TaxEvt=1),IF(ASF56+1&gt;=H_Deemed,0,ASF56+1),ASF56)</f>
        <v>5</v>
      </c>
      <c r="ASG57" s="20" t="n">
        <f aca="false">IF(AND(H_Direct=0,H_TaxEvt=1),IF(ASG56+1&gt;=H_Deemed,0,ASG56+1),ASG56)</f>
        <v>4</v>
      </c>
      <c r="ASH57" s="20" t="n">
        <f aca="false">IF(AND(H_Direct=0,H_TaxEvt=1),IF(ASH56+1&gt;=H_Deemed,0,ASH56+1),ASH56)</f>
        <v>3</v>
      </c>
      <c r="ASI57" s="20" t="n">
        <f aca="false">IF(AND(H_Direct=0,H_TaxEvt=1),IF(ASI56+1&gt;=H_Deemed,0,ASI56+1),ASI56)</f>
        <v>2</v>
      </c>
      <c r="ASJ57" s="20" t="n">
        <f aca="false">IF(AND(H_Direct=0,H_TaxEvt=1),IF(ASJ56+1&gt;=H_Deemed,0,ASJ56+1),ASJ56)</f>
        <v>1</v>
      </c>
      <c r="ASK57" s="20" t="n">
        <f aca="false">IF(AND(H_Direct=0,H_TaxEvt=1),IF(ASK56+1&gt;=H_Deemed,0,ASK56+1),ASK56)</f>
        <v>0</v>
      </c>
      <c r="ASL57" s="20" t="n">
        <f aca="false">IF(AND(H_Direct=0,H_TaxEvt=1),IF(ASL56+1&gt;=H_Deemed,0,ASL56+1),ASL56)</f>
        <v>7</v>
      </c>
      <c r="ASM57" s="20" t="n">
        <f aca="false">IF(AND(H_Direct=0,H_TaxEvt=1),IF(ASM56+1&gt;=H_Deemed,0,ASM56+1),ASM56)</f>
        <v>6</v>
      </c>
      <c r="ASN57" s="20" t="n">
        <f aca="false">IF(AND(H_Direct=0,H_TaxEvt=1),IF(ASN56+1&gt;=H_Deemed,0,ASN56+1),ASN56)</f>
        <v>5</v>
      </c>
      <c r="ASO57" s="20" t="n">
        <f aca="false">IF(AND(H_Direct=0,H_TaxEvt=1),IF(ASO56+1&gt;=H_Deemed,0,ASO56+1),ASO56)</f>
        <v>4</v>
      </c>
      <c r="ASP57" s="20" t="n">
        <f aca="false">IF(AND(H_Direct=0,H_TaxEvt=1),IF(ASP56+1&gt;=H_Deemed,0,ASP56+1),ASP56)</f>
        <v>3</v>
      </c>
      <c r="ASQ57" s="20" t="n">
        <f aca="false">IF(AND(H_Direct=0,H_TaxEvt=1),IF(ASQ56+1&gt;=H_Deemed,0,ASQ56+1),ASQ56)</f>
        <v>2</v>
      </c>
      <c r="ASR57" s="20" t="n">
        <f aca="false">IF(AND(H_Direct=0,H_TaxEvt=1),IF(ASR56+1&gt;=H_Deemed,0,ASR56+1),ASR56)</f>
        <v>1</v>
      </c>
      <c r="ASS57" s="20" t="n">
        <f aca="false">IF(AND(H_Direct=0,H_TaxEvt=1),IF(ASS56+1&gt;=H_Deemed,0,ASS56+1),ASS56)</f>
        <v>0</v>
      </c>
      <c r="AST57" s="20" t="n">
        <f aca="false">IF(AND(H_Direct=0,H_TaxEvt=1),IF(AST56+1&gt;=H_Deemed,0,AST56+1),AST56)</f>
        <v>7</v>
      </c>
      <c r="ASU57" s="20" t="n">
        <f aca="false">IF(AND(H_Direct=0,H_TaxEvt=1),IF(ASU56+1&gt;=H_Deemed,0,ASU56+1),ASU56)</f>
        <v>6</v>
      </c>
      <c r="ASV57" s="20" t="n">
        <f aca="false">IF(AND(H_Direct=0,H_TaxEvt=1),IF(ASV56+1&gt;=H_Deemed,0,ASV56+1),ASV56)</f>
        <v>5</v>
      </c>
      <c r="ASW57" s="20" t="n">
        <f aca="false">IF(AND(H_Direct=0,H_TaxEvt=1),IF(ASW56+1&gt;=H_Deemed,0,ASW56+1),ASW56)</f>
        <v>4</v>
      </c>
      <c r="ASX57" s="20" t="n">
        <f aca="false">IF(AND(H_Direct=0,H_TaxEvt=1),IF(ASX56+1&gt;=H_Deemed,0,ASX56+1),ASX56)</f>
        <v>3</v>
      </c>
      <c r="ASY57" s="20" t="n">
        <f aca="false">IF(AND(H_Direct=0,H_TaxEvt=1),IF(ASY56+1&gt;=H_Deemed,0,ASY56+1),ASY56)</f>
        <v>2</v>
      </c>
      <c r="ASZ57" s="20" t="n">
        <f aca="false">IF(AND(H_Direct=0,H_TaxEvt=1),IF(ASZ56+1&gt;=H_Deemed,0,ASZ56+1),ASZ56)</f>
        <v>1</v>
      </c>
      <c r="ATA57" s="20" t="n">
        <f aca="false">IF(AND(H_Direct=0,H_TaxEvt=1),IF(ATA56+1&gt;=H_Deemed,0,ATA56+1),ATA56)</f>
        <v>0</v>
      </c>
      <c r="ATB57" s="20" t="n">
        <f aca="false">IF(AND(H_Direct=0,H_TaxEvt=1),IF(ATB56+1&gt;=H_Deemed,0,ATB56+1),ATB56)</f>
        <v>7</v>
      </c>
      <c r="ATC57" s="20" t="n">
        <f aca="false">IF(AND(H_Direct=0,H_TaxEvt=1),IF(ATC56+1&gt;=H_Deemed,0,ATC56+1),ATC56)</f>
        <v>6</v>
      </c>
      <c r="ATD57" s="20" t="n">
        <f aca="false">IF(AND(H_Direct=0,H_TaxEvt=1),IF(ATD56+1&gt;=H_Deemed,0,ATD56+1),ATD56)</f>
        <v>5</v>
      </c>
      <c r="ATE57" s="20" t="n">
        <f aca="false">IF(AND(H_Direct=0,H_TaxEvt=1),IF(ATE56+1&gt;=H_Deemed,0,ATE56+1),ATE56)</f>
        <v>4</v>
      </c>
      <c r="ATF57" s="20" t="n">
        <f aca="false">IF(AND(H_Direct=0,H_TaxEvt=1),IF(ATF56+1&gt;=H_Deemed,0,ATF56+1),ATF56)</f>
        <v>3</v>
      </c>
      <c r="ATG57" s="20" t="n">
        <f aca="false">IF(AND(H_Direct=0,H_TaxEvt=1),IF(ATG56+1&gt;=H_Deemed,0,ATG56+1),ATG56)</f>
        <v>2</v>
      </c>
      <c r="ATH57" s="20" t="n">
        <f aca="false">IF(AND(H_Direct=0,H_TaxEvt=1),IF(ATH56+1&gt;=H_Deemed,0,ATH56+1),ATH56)</f>
        <v>1</v>
      </c>
      <c r="ATI57" s="20" t="n">
        <f aca="false">IF(AND(H_Direct=0,H_TaxEvt=1),IF(ATI56+1&gt;=H_Deemed,0,ATI56+1),ATI56)</f>
        <v>0</v>
      </c>
      <c r="ATJ57" s="20" t="n">
        <f aca="false">IF(AND(H_Direct=0,H_TaxEvt=1),IF(ATJ56+1&gt;=H_Deemed,0,ATJ56+1),ATJ56)</f>
        <v>7</v>
      </c>
      <c r="ATK57" s="20" t="n">
        <f aca="false">IF(AND(H_Direct=0,H_TaxEvt=1),IF(ATK56+1&gt;=H_Deemed,0,ATK56+1),ATK56)</f>
        <v>6</v>
      </c>
      <c r="ATL57" s="20" t="n">
        <f aca="false">IF(AND(H_Direct=0,H_TaxEvt=1),IF(ATL56+1&gt;=H_Deemed,0,ATL56+1),ATL56)</f>
        <v>5</v>
      </c>
      <c r="ATM57" s="20" t="n">
        <f aca="false">IF(AND(H_Direct=0,H_TaxEvt=1),IF(ATM56+1&gt;=H_Deemed,0,ATM56+1),ATM56)</f>
        <v>4</v>
      </c>
      <c r="ATN57" s="20" t="n">
        <f aca="false">IF(AND(H_Direct=0,H_TaxEvt=1),IF(ATN56+1&gt;=H_Deemed,0,ATN56+1),ATN56)</f>
        <v>3</v>
      </c>
      <c r="ATO57" s="20" t="n">
        <f aca="false">IF(AND(H_Direct=0,H_TaxEvt=1),IF(ATO56+1&gt;=H_Deemed,0,ATO56+1),ATO56)</f>
        <v>2</v>
      </c>
      <c r="ATP57" s="20" t="n">
        <f aca="false">IF(AND(H_Direct=0,H_TaxEvt=1),IF(0+1&gt;=H_Deemed,0,0+1),0)</f>
        <v>1</v>
      </c>
      <c r="ATQ57" s="20" t="n">
        <v>0</v>
      </c>
      <c r="ATR57" s="20" t="n">
        <v>0</v>
      </c>
      <c r="ATS57" s="20" t="n">
        <v>0</v>
      </c>
      <c r="ATT57" s="20" t="n">
        <v>0</v>
      </c>
      <c r="ATU57" s="20" t="n">
        <v>0</v>
      </c>
      <c r="ATV57" s="20" t="n">
        <v>0</v>
      </c>
      <c r="ATW57" s="20" t="n">
        <v>0</v>
      </c>
      <c r="ATX57" s="20" t="n">
        <v>0</v>
      </c>
      <c r="ATY57" s="20" t="n">
        <v>0</v>
      </c>
      <c r="ATZ57" s="20" t="n">
        <v>0</v>
      </c>
      <c r="AUA57" s="20" t="n">
        <v>0</v>
      </c>
      <c r="AUB57" s="20" t="n">
        <v>0</v>
      </c>
      <c r="AUC57" s="20" t="n">
        <v>0</v>
      </c>
      <c r="AUD57" s="20" t="n">
        <v>0</v>
      </c>
      <c r="AUE57" s="20" t="n">
        <v>0</v>
      </c>
      <c r="AUF57" s="20" t="n">
        <v>0</v>
      </c>
      <c r="AUG57" s="20" t="n">
        <v>0</v>
      </c>
      <c r="AUH57" s="20" t="n">
        <v>0</v>
      </c>
      <c r="AUI57" s="20" t="n">
        <v>0</v>
      </c>
      <c r="AUJ57" s="20" t="n">
        <v>0</v>
      </c>
      <c r="AUK57" s="20" t="n">
        <v>0</v>
      </c>
      <c r="AUL57" s="20" t="n">
        <v>0</v>
      </c>
      <c r="AUM57" s="20" t="n">
        <v>0</v>
      </c>
      <c r="AUN57" s="20" t="n">
        <v>0</v>
      </c>
      <c r="AUO57" s="20" t="n">
        <v>0</v>
      </c>
      <c r="AUP57" s="20" t="n">
        <v>0</v>
      </c>
      <c r="AUQ57" s="20" t="n">
        <v>0</v>
      </c>
      <c r="AUR57" s="20" t="n">
        <v>0</v>
      </c>
      <c r="AUS57" s="20" t="n">
        <v>0</v>
      </c>
      <c r="AUT57" s="20" t="n">
        <v>0</v>
      </c>
      <c r="AUU57" s="20" t="n">
        <v>0</v>
      </c>
      <c r="AUV57" s="20" t="n">
        <v>0</v>
      </c>
      <c r="AUW57" s="20" t="n">
        <v>0</v>
      </c>
      <c r="AUX57" s="20" t="n">
        <v>0</v>
      </c>
      <c r="AUY57" s="20" t="n">
        <v>0</v>
      </c>
      <c r="AUZ57" s="20" t="n">
        <v>0</v>
      </c>
      <c r="AVA57" s="20" t="n">
        <v>0</v>
      </c>
      <c r="AVB57" s="20" t="n">
        <v>0</v>
      </c>
      <c r="AVC57" s="20" t="n">
        <v>0</v>
      </c>
      <c r="AVD57" s="20" t="n">
        <v>0</v>
      </c>
      <c r="AVE57" s="20" t="n">
        <f aca="false">IF(AND(H_Direct=0,H_TaxEvt=1,ARR56+1&gt;=H_Deemed),MAX(0,ADR57-AHE57)*H_Exit,0)</f>
        <v>0</v>
      </c>
      <c r="AVF57" s="20" t="n">
        <f aca="false">IF(AND(H_Direct=0,H_TaxEvt=1,ARS56+1&gt;=H_Deemed),MAX(0,ADS57-AHF57)*H_Exit,0)</f>
        <v>0</v>
      </c>
      <c r="AVG57" s="20" t="n">
        <f aca="false">IF(AND(H_Direct=0,H_TaxEvt=1,ART56+1&gt;=H_Deemed),MAX(0,ADT57-AHG57)*H_Exit,0)</f>
        <v>0</v>
      </c>
      <c r="AVH57" s="20" t="n">
        <f aca="false">IF(AND(H_Direct=0,H_TaxEvt=1,ARU56+1&gt;=H_Deemed),MAX(0,ADU57-AHH57)*H_Exit,0)</f>
        <v>0</v>
      </c>
      <c r="AVI57" s="20" t="n">
        <f aca="false">IF(AND(H_Direct=0,H_TaxEvt=1,ARV56+1&gt;=H_Deemed),MAX(0,ADV57-AHI57)*H_Exit,0)</f>
        <v>0</v>
      </c>
      <c r="AVJ57" s="20" t="n">
        <f aca="false">IF(AND(H_Direct=0,H_TaxEvt=1,ARW56+1&gt;=H_Deemed),MAX(0,ADW57-AHJ57)*H_Exit,0)</f>
        <v>0</v>
      </c>
      <c r="AVK57" s="20" t="n">
        <f aca="false">IF(AND(H_Direct=0,H_TaxEvt=1,ARX56+1&gt;=H_Deemed),MAX(0,ADX57-AHK57)*H_Exit,0)</f>
        <v>0</v>
      </c>
      <c r="AVL57" s="20" t="n">
        <f aca="false">IF(AND(H_Direct=0,H_TaxEvt=1,ARY56+1&gt;=H_Deemed),MAX(0,ADY57-AHL57)*H_Exit,0)</f>
        <v>0</v>
      </c>
      <c r="AVM57" s="20" t="n">
        <f aca="false">IF(AND(H_Direct=0,H_TaxEvt=1,ARZ56+1&gt;=H_Deemed),MAX(0,ADZ57-AHM57)*H_Exit,0)</f>
        <v>0</v>
      </c>
      <c r="AVN57" s="20" t="n">
        <f aca="false">IF(AND(H_Direct=0,H_TaxEvt=1,ASA56+1&gt;=H_Deemed),MAX(0,AEA57-AHN57)*H_Exit,0)</f>
        <v>0</v>
      </c>
      <c r="AVO57" s="20" t="n">
        <f aca="false">IF(AND(H_Direct=0,H_TaxEvt=1,ASB56+1&gt;=H_Deemed),MAX(0,AEB57-AHO57)*H_Exit,0)</f>
        <v>0</v>
      </c>
      <c r="AVP57" s="20" t="n">
        <f aca="false">IF(AND(H_Direct=0,H_TaxEvt=1,ASC56+1&gt;=H_Deemed),MAX(0,AEC57-AHP57)*H_Exit,0)</f>
        <v>0</v>
      </c>
      <c r="AVQ57" s="20" t="n">
        <f aca="false">IF(AND(H_Direct=0,H_TaxEvt=1,ASD56+1&gt;=H_Deemed),MAX(0,AED57-AHQ57)*H_Exit,0)</f>
        <v>0</v>
      </c>
      <c r="AVR57" s="20" t="n">
        <f aca="false">IF(AND(H_Direct=0,H_TaxEvt=1,ASE56+1&gt;=H_Deemed),MAX(0,AEE57-AHR57)*H_Exit,0)</f>
        <v>0</v>
      </c>
      <c r="AVS57" s="20" t="n">
        <f aca="false">IF(AND(H_Direct=0,H_TaxEvt=1,ASF56+1&gt;=H_Deemed),MAX(0,AEF57-AHS57)*H_Exit,0)</f>
        <v>0</v>
      </c>
      <c r="AVT57" s="20" t="n">
        <f aca="false">IF(AND(H_Direct=0,H_TaxEvt=1,ASG56+1&gt;=H_Deemed),MAX(0,AEG57-AHT57)*H_Exit,0)</f>
        <v>0</v>
      </c>
      <c r="AVU57" s="20" t="n">
        <f aca="false">IF(AND(H_Direct=0,H_TaxEvt=1,ASH56+1&gt;=H_Deemed),MAX(0,AEH57-AHU57)*H_Exit,0)</f>
        <v>0</v>
      </c>
      <c r="AVV57" s="20" t="n">
        <f aca="false">IF(AND(H_Direct=0,H_TaxEvt=1,ASI56+1&gt;=H_Deemed),MAX(0,AEI57-AHV57)*H_Exit,0)</f>
        <v>0</v>
      </c>
      <c r="AVW57" s="20" t="n">
        <f aca="false">IF(AND(H_Direct=0,H_TaxEvt=1,ASJ56+1&gt;=H_Deemed),MAX(0,AEJ57-AHW57)*H_Exit,0)</f>
        <v>0</v>
      </c>
      <c r="AVX57" s="20" t="n">
        <f aca="false">IF(AND(H_Direct=0,H_TaxEvt=1,ASK56+1&gt;=H_Deemed),MAX(0,AEK57-AHX57)*H_Exit,0)</f>
        <v>0</v>
      </c>
      <c r="AVY57" s="20" t="n">
        <f aca="false">IF(AND(H_Direct=0,H_TaxEvt=1,ASL56+1&gt;=H_Deemed),MAX(0,AEL57-AHY57)*H_Exit,0)</f>
        <v>0</v>
      </c>
      <c r="AVZ57" s="20" t="n">
        <f aca="false">IF(AND(H_Direct=0,H_TaxEvt=1,ASM56+1&gt;=H_Deemed),MAX(0,AEM57-AHZ57)*H_Exit,0)</f>
        <v>0</v>
      </c>
      <c r="AWA57" s="20" t="n">
        <f aca="false">IF(AND(H_Direct=0,H_TaxEvt=1,ASN56+1&gt;=H_Deemed),MAX(0,AEN57-AIA57)*H_Exit,0)</f>
        <v>0</v>
      </c>
      <c r="AWB57" s="20" t="n">
        <f aca="false">IF(AND(H_Direct=0,H_TaxEvt=1,ASO56+1&gt;=H_Deemed),MAX(0,AEO57-AIB57)*H_Exit,0)</f>
        <v>0</v>
      </c>
      <c r="AWC57" s="20" t="n">
        <f aca="false">IF(AND(H_Direct=0,H_TaxEvt=1,ASP56+1&gt;=H_Deemed),MAX(0,AEP57-AIC57)*H_Exit,0)</f>
        <v>0</v>
      </c>
      <c r="AWD57" s="20" t="n">
        <f aca="false">IF(AND(H_Direct=0,H_TaxEvt=1,ASQ56+1&gt;=H_Deemed),MAX(0,AEQ57-AID57)*H_Exit,0)</f>
        <v>0</v>
      </c>
      <c r="AWE57" s="20" t="n">
        <f aca="false">IF(AND(H_Direct=0,H_TaxEvt=1,ASR56+1&gt;=H_Deemed),MAX(0,AER57-AIE57)*H_Exit,0)</f>
        <v>0</v>
      </c>
      <c r="AWF57" s="20" t="n">
        <f aca="false">IF(AND(H_Direct=0,H_TaxEvt=1,ASS56+1&gt;=H_Deemed),MAX(0,AES57-AIF57)*H_Exit,0)</f>
        <v>0</v>
      </c>
      <c r="AWG57" s="20" t="n">
        <f aca="false">IF(AND(H_Direct=0,H_TaxEvt=1,AST56+1&gt;=H_Deemed),MAX(0,AET57-AIG57)*H_Exit,0)</f>
        <v>0</v>
      </c>
      <c r="AWH57" s="20" t="n">
        <f aca="false">IF(AND(H_Direct=0,H_TaxEvt=1,ASU56+1&gt;=H_Deemed),MAX(0,AEU57-AIH57)*H_Exit,0)</f>
        <v>0</v>
      </c>
      <c r="AWI57" s="20" t="n">
        <f aca="false">IF(AND(H_Direct=0,H_TaxEvt=1,ASV56+1&gt;=H_Deemed),MAX(0,AEV57-AII57)*H_Exit,0)</f>
        <v>0</v>
      </c>
      <c r="AWJ57" s="20" t="n">
        <f aca="false">IF(AND(H_Direct=0,H_TaxEvt=1,ASW56+1&gt;=H_Deemed),MAX(0,AEW57-AIJ57)*H_Exit,0)</f>
        <v>0</v>
      </c>
      <c r="AWK57" s="20" t="n">
        <f aca="false">IF(AND(H_Direct=0,H_TaxEvt=1,ASX56+1&gt;=H_Deemed),MAX(0,AEX57-AIK57)*H_Exit,0)</f>
        <v>0</v>
      </c>
      <c r="AWL57" s="20" t="n">
        <f aca="false">IF(AND(H_Direct=0,H_TaxEvt=1,ASY56+1&gt;=H_Deemed),MAX(0,AEY57-AIL57)*H_Exit,0)</f>
        <v>0</v>
      </c>
      <c r="AWM57" s="20" t="n">
        <f aca="false">IF(AND(H_Direct=0,H_TaxEvt=1,ASZ56+1&gt;=H_Deemed),MAX(0,AEZ57-AIM57)*H_Exit,0)</f>
        <v>0</v>
      </c>
      <c r="AWN57" s="20" t="n">
        <f aca="false">IF(AND(H_Direct=0,H_TaxEvt=1,ATA56+1&gt;=H_Deemed),MAX(0,AFA57-AIN57)*H_Exit,0)</f>
        <v>0</v>
      </c>
      <c r="AWO57" s="20" t="n">
        <f aca="false">IF(AND(H_Direct=0,H_TaxEvt=1,ATB56+1&gt;=H_Deemed),MAX(0,AFB57-AIO57)*H_Exit,0)</f>
        <v>0</v>
      </c>
      <c r="AWP57" s="20" t="n">
        <f aca="false">IF(AND(H_Direct=0,H_TaxEvt=1,ATC56+1&gt;=H_Deemed),MAX(0,AFC57-AIP57)*H_Exit,0)</f>
        <v>0</v>
      </c>
      <c r="AWQ57" s="20" t="n">
        <f aca="false">IF(AND(H_Direct=0,H_TaxEvt=1,ATD56+1&gt;=H_Deemed),MAX(0,AFD57-AIQ57)*H_Exit,0)</f>
        <v>0</v>
      </c>
      <c r="AWR57" s="20" t="n">
        <f aca="false">IF(AND(H_Direct=0,H_TaxEvt=1,ATE56+1&gt;=H_Deemed),MAX(0,AFE57-AIR57)*H_Exit,0)</f>
        <v>0</v>
      </c>
      <c r="AWS57" s="20" t="n">
        <f aca="false">IF(AND(H_Direct=0,H_TaxEvt=1,ATF56+1&gt;=H_Deemed),MAX(0,AFF57-AIS57)*H_Exit,0)</f>
        <v>0</v>
      </c>
      <c r="AWT57" s="20" t="n">
        <f aca="false">IF(AND(H_Direct=0,H_TaxEvt=1,ATG56+1&gt;=H_Deemed),MAX(0,AFG57-AIT57)*H_Exit,0)</f>
        <v>0</v>
      </c>
      <c r="AWU57" s="20" t="n">
        <f aca="false">IF(AND(H_Direct=0,H_TaxEvt=1,ATH56+1&gt;=H_Deemed),MAX(0,AFH57-AIU57)*H_Exit,0)</f>
        <v>0</v>
      </c>
      <c r="AWV57" s="20" t="n">
        <f aca="false">IF(AND(H_Direct=0,H_TaxEvt=1,ATI56+1&gt;=H_Deemed),MAX(0,AFI57-AIV57)*H_Exit,0)</f>
        <v>0</v>
      </c>
      <c r="AWW57" s="20" t="n">
        <f aca="false">IF(AND(H_Direct=0,H_TaxEvt=1,ATJ56+1&gt;=H_Deemed),MAX(0,AFJ57-AIW57)*H_Exit,0)</f>
        <v>0</v>
      </c>
      <c r="AWX57" s="20" t="n">
        <f aca="false">IF(AND(H_Direct=0,H_TaxEvt=1,ATK56+1&gt;=H_Deemed),MAX(0,AFK57-AIX57)*H_Exit,0)</f>
        <v>0</v>
      </c>
      <c r="AWY57" s="20" t="n">
        <f aca="false">IF(AND(H_Direct=0,H_TaxEvt=1,ATL56+1&gt;=H_Deemed),MAX(0,AFL57-AIY57)*H_Exit,0)</f>
        <v>0</v>
      </c>
      <c r="AWZ57" s="20" t="n">
        <f aca="false">IF(AND(H_Direct=0,H_TaxEvt=1,ATM56+1&gt;=H_Deemed),MAX(0,AFM57-AIZ57)*H_Exit,0)</f>
        <v>0</v>
      </c>
      <c r="AXA57" s="20" t="n">
        <f aca="false">IF(AND(H_Direct=0,H_TaxEvt=1,ATN56+1&gt;=H_Deemed),MAX(0,AFN57-AJA57)*H_Exit,0)</f>
        <v>0</v>
      </c>
      <c r="AXB57" s="20" t="n">
        <f aca="false">IF(AND(H_Direct=0,H_TaxEvt=1,ATO56+1&gt;=H_Deemed),MAX(0,AFO57-AJB57)*H_Exit,0)</f>
        <v>0</v>
      </c>
      <c r="AXC57" s="20" t="n">
        <f aca="false">IF(AND(H_Direct=0,H_TaxEvt=1,0+1&gt;=H_Deemed),MAX(0,AFP57-AJC57)*H_Exit,0)</f>
        <v>0</v>
      </c>
      <c r="AXD57" s="20" t="n">
        <v>0</v>
      </c>
      <c r="AXE57" s="20" t="n">
        <v>0</v>
      </c>
      <c r="AXF57" s="20" t="n">
        <v>0</v>
      </c>
      <c r="AXG57" s="20" t="n">
        <v>0</v>
      </c>
      <c r="AXH57" s="20" t="n">
        <v>0</v>
      </c>
      <c r="AXI57" s="20" t="n">
        <v>0</v>
      </c>
      <c r="AXJ57" s="20" t="n">
        <v>0</v>
      </c>
      <c r="AXK57" s="20" t="n">
        <v>0</v>
      </c>
      <c r="AXL57" s="20" t="n">
        <v>0</v>
      </c>
      <c r="AXM57" s="20" t="n">
        <v>0</v>
      </c>
      <c r="AXN57" s="20" t="n">
        <v>0</v>
      </c>
      <c r="AXO57" s="20" t="n">
        <v>0</v>
      </c>
      <c r="AXP57" s="20" t="n">
        <v>0</v>
      </c>
      <c r="AXQ57" s="20" t="n">
        <v>0</v>
      </c>
      <c r="AXR57" s="20" t="n">
        <v>0</v>
      </c>
      <c r="AXS57" s="20" t="n">
        <v>0</v>
      </c>
      <c r="AXT57" s="20" t="n">
        <v>0</v>
      </c>
      <c r="AXU57" s="20" t="n">
        <v>0</v>
      </c>
      <c r="AXV57" s="20" t="n">
        <v>0</v>
      </c>
      <c r="AXW57" s="20" t="n">
        <v>0</v>
      </c>
      <c r="AXX57" s="20" t="n">
        <v>0</v>
      </c>
      <c r="AXY57" s="20" t="n">
        <v>0</v>
      </c>
      <c r="AXZ57" s="20" t="n">
        <v>0</v>
      </c>
      <c r="AYA57" s="20" t="n">
        <v>0</v>
      </c>
      <c r="AYB57" s="20" t="n">
        <v>0</v>
      </c>
      <c r="AYC57" s="20" t="n">
        <v>0</v>
      </c>
      <c r="AYD57" s="20" t="n">
        <v>0</v>
      </c>
      <c r="AYE57" s="20" t="n">
        <v>0</v>
      </c>
      <c r="AYF57" s="20" t="n">
        <v>0</v>
      </c>
      <c r="AYG57" s="20" t="n">
        <v>0</v>
      </c>
      <c r="AYH57" s="20" t="n">
        <v>0</v>
      </c>
      <c r="AYI57" s="20" t="n">
        <v>0</v>
      </c>
      <c r="AYJ57" s="20" t="n">
        <v>0</v>
      </c>
      <c r="AYK57" s="20" t="n">
        <v>0</v>
      </c>
      <c r="AYL57" s="20" t="n">
        <v>0</v>
      </c>
      <c r="AYM57" s="20" t="n">
        <v>0</v>
      </c>
      <c r="AYN57" s="20" t="n">
        <v>0</v>
      </c>
      <c r="AYO57" s="20" t="n">
        <v>0</v>
      </c>
      <c r="AYP57" s="20" t="n">
        <v>0</v>
      </c>
      <c r="AYQ57" s="20" t="n">
        <v>0</v>
      </c>
    </row>
    <row r="58" customFormat="false" ht="15" hidden="false" customHeight="false" outlineLevel="0" collapsed="false">
      <c r="B58" s="20" t="n">
        <v>50</v>
      </c>
      <c r="C58" s="20" t="n">
        <f aca="false">'Plan cashflow'!C58</f>
        <v>1</v>
      </c>
      <c r="D58" s="20" t="n">
        <f aca="false">'Plan cashflow'!D58</f>
        <v>88</v>
      </c>
      <c r="E58" s="20" t="n">
        <f aca="false">AS_Year0+50</f>
        <v>2076</v>
      </c>
      <c r="F58" s="50" t="n">
        <f aca="false">'Plan cashflow'!F58</f>
        <v>2.69158802907361</v>
      </c>
      <c r="G58" s="59" t="n">
        <f aca="true">IF(MAX(TODAY(),DATE(E58,1,1))&gt;=H_CGTfrom,H_CGT1,H_CGT0)</f>
        <v>0.31</v>
      </c>
      <c r="H58" s="20" t="n">
        <f aca="false">H_Exempt*H_Persons</f>
        <v>1270</v>
      </c>
      <c r="I58" s="20" t="n">
        <f aca="false">AX57</f>
        <v>0</v>
      </c>
      <c r="J58" s="60" t="n">
        <f aca="false">BF57</f>
        <v>0</v>
      </c>
      <c r="K58" s="60" t="n">
        <f aca="false">BG57</f>
        <v>0</v>
      </c>
      <c r="L58" s="20" t="n">
        <f aca="false">IF(AND(In_polLump&gt;0,In_polLumpAge&gt;0,D58=In_polLumpAge),In_polLump,0)</f>
        <v>0</v>
      </c>
      <c r="M58" s="20" t="n">
        <f aca="false">IF(AND(In_homeUse="Yes, I'd downsize",In_downAge&gt;0,D58=In_downAge,OR(In_home="Own outright",In_home="Own with mortgage"),In_homeValue&gt;0),MAX(0,MAX(0,In_homeValue-In_downValue)*F58*0.9-'Plan cashflow'!HR57),0)</f>
        <v>0</v>
      </c>
      <c r="N58" s="20" t="n">
        <f aca="false">'Plan pay &amp; tax'!Y284</f>
        <v>0</v>
      </c>
      <c r="O58" s="20" t="n">
        <f aca="false">L58+M58+(1-H_Sh)*N58</f>
        <v>0</v>
      </c>
      <c r="P58" s="20" t="n">
        <f aca="false">H_Sh*N58</f>
        <v>0</v>
      </c>
      <c r="Q58" s="20" t="n">
        <f aca="false">'Plan cashflow'!UL58</f>
        <v>0</v>
      </c>
      <c r="R58" s="20" t="n">
        <f aca="false">(1-H_Sh)*Q58</f>
        <v>0</v>
      </c>
      <c r="S58" s="20" t="n">
        <f aca="false">H_Sh*Q58</f>
        <v>0</v>
      </c>
      <c r="T58" s="20" t="n">
        <f aca="false">J58+K58+O58</f>
        <v>0</v>
      </c>
      <c r="U58" s="20" t="n">
        <f aca="false">T58+R58</f>
        <v>0</v>
      </c>
      <c r="V58" s="60" t="n">
        <f aca="false">SUM(FE58:IQ58)</f>
        <v>0</v>
      </c>
      <c r="W58" s="60" t="n">
        <f aca="false">IF(AJ58&lt;=0,0,IF(AL58&lt;=0,AJ58,AJ58-G58*MAX(0,AL58*AJ58-(AY58+AZ58))))</f>
        <v>0</v>
      </c>
      <c r="X58" s="60" t="n">
        <f aca="false">IF(AR58&lt;=0,0,IF(AT58&lt;=0,AR58,AR58-G58*MAX(0,AT58*AR58-(BA58+BB58))))</f>
        <v>0</v>
      </c>
      <c r="Y58" s="60" t="n">
        <f aca="false">T58+V58-S58+W58+X58</f>
        <v>0</v>
      </c>
      <c r="Z58" s="60" t="n">
        <f aca="false">'Plan cashflow'!UK58</f>
        <v>0</v>
      </c>
      <c r="AA58" s="20" t="n">
        <f aca="false">MIN(Z58,U58)</f>
        <v>0</v>
      </c>
      <c r="AB58" s="20" t="n">
        <f aca="false">Z58-AA58</f>
        <v>0</v>
      </c>
      <c r="AC58" s="20" t="n">
        <f aca="false">MIN(AA58,J58+O58+R58)</f>
        <v>0</v>
      </c>
      <c r="AD58" s="20" t="n">
        <f aca="false">AA58-AC58</f>
        <v>0</v>
      </c>
      <c r="AE58" s="20" t="n">
        <f aca="false">J58+O58+R58-AC58</f>
        <v>0</v>
      </c>
      <c r="AF58" s="20" t="n">
        <f aca="false">K58-AD58</f>
        <v>0</v>
      </c>
      <c r="AG58" s="20" t="n">
        <f aca="false">SUM(PR58:TD58)</f>
        <v>0</v>
      </c>
      <c r="AH58" s="20" t="n">
        <f aca="false">SUM(TE58:WQ58)</f>
        <v>0</v>
      </c>
      <c r="AI58" s="20" t="n">
        <f aca="false">MAX(0,AB58-AG58)</f>
        <v>0</v>
      </c>
      <c r="AJ58" s="57" t="n">
        <f aca="false">BI57</f>
        <v>0</v>
      </c>
      <c r="AK58" s="20" t="n">
        <f aca="false">BJ57</f>
        <v>0</v>
      </c>
      <c r="AL58" s="20" t="n">
        <f aca="false">IF(AJ58&gt;0,(AJ58-AK58)/AJ58,0)</f>
        <v>0</v>
      </c>
      <c r="AM58" s="20" t="n">
        <f aca="false">IF(AJ58&lt;=0,0,IF(AL58&lt;=0,MIN(AI58,AJ58),MIN(AI58,AJ58-G58*MAX(0,AL58*AJ58-(AAD58+ADQ58)))))</f>
        <v>0</v>
      </c>
      <c r="AN58" s="20" t="n">
        <f aca="false">IF(AJ58&lt;=0,0,IF(AL58&lt;=0,AM58,IF(AM58&lt;=(AAD58+ADQ58)/AL58,AM58,(AM58-G58*(AAD58+ADQ58))/(1-G58*AL58))))</f>
        <v>0</v>
      </c>
      <c r="AO58" s="20" t="n">
        <f aca="false">IF(AL58&gt;0,MAX(0,AAD58-(MIN(AL58*AN58,(AAD58+ADQ58))-MIN(MIN(AL58*AN58,(AAD58+ADQ58)),ADQ58))),AAD58)</f>
        <v>1270</v>
      </c>
      <c r="AP58" s="20" t="n">
        <f aca="false">IF(AL58&lt;=0,ADQ58-AL58*AN58,ADQ58-MIN(MIN(AL58*AN58,(AAD58+ADQ58)),ADQ58))</f>
        <v>0</v>
      </c>
      <c r="AQ58" s="20" t="n">
        <f aca="false">MAX(0,AI58-AM58)</f>
        <v>0</v>
      </c>
      <c r="AR58" s="57" t="n">
        <f aca="false">BK57</f>
        <v>0</v>
      </c>
      <c r="AS58" s="20" t="n">
        <f aca="false">BL57</f>
        <v>0</v>
      </c>
      <c r="AT58" s="20" t="n">
        <f aca="false">IF(AR58&gt;0,(AR58-AS58)/AR58,0)</f>
        <v>0</v>
      </c>
      <c r="AU58" s="20" t="n">
        <f aca="false">IF(AR58&lt;=0,0,IF(AT58&lt;=0,MIN(AQ58,AR58),MIN(AQ58,AR58-G58*MAX(0,AT58*AR58-(AO58+AP58)))))</f>
        <v>0</v>
      </c>
      <c r="AV58" s="20" t="n">
        <f aca="false">IF(AR58&lt;=0,0,IF(AT58&lt;=0,AU58,IF(AU58&lt;=(AO58+AP58)/AT58,AU58,(AU58-G58*(AO58+AP58))/(1-G58*AT58))))</f>
        <v>0</v>
      </c>
      <c r="AW58" s="20" t="n">
        <f aca="false">IF(AT58&gt;0,MAX(0,AO58-(MIN(AT58*AV58,(AO58+AP58))-MIN(MIN(AT58*AV58,(AO58+AP58)),AP58))),AO58)</f>
        <v>1270</v>
      </c>
      <c r="AX58" s="20" t="n">
        <f aca="false">IF(AT58&lt;=0,AP58-AT58*AV58,AP58-MIN(MIN(AT58*AV58,(AO58+AP58)),AP58))</f>
        <v>0</v>
      </c>
      <c r="AY58" s="20" t="n">
        <f aca="false">MD58</f>
        <v>1270</v>
      </c>
      <c r="AZ58" s="20" t="n">
        <f aca="false">PQ58</f>
        <v>0</v>
      </c>
      <c r="BA58" s="20" t="n">
        <f aca="false">IF(AL58&gt;0,MAX(0,AY58-(MIN(AL58*AJ58,AY58+AZ58)-MIN(MIN(AL58*AJ58,AY58+AZ58),AZ58))),AY58)</f>
        <v>1270</v>
      </c>
      <c r="BB58" s="20" t="n">
        <f aca="false">IF(AL58&lt;=0,AZ58-AL58*AJ58,AZ58-MIN(MIN(AL58*AJ58,AY58+AZ58),AZ58))</f>
        <v>0</v>
      </c>
      <c r="BC58" s="20" t="n">
        <f aca="false">'Plan cashflow'!UM58</f>
        <v>0</v>
      </c>
      <c r="BD58" s="20" t="n">
        <f aca="false">(1-H_Sh)*BC58</f>
        <v>0</v>
      </c>
      <c r="BE58" s="20" t="n">
        <f aca="false">H_Sh*BC58</f>
        <v>0</v>
      </c>
      <c r="BF58" s="60" t="n">
        <f aca="false">(AE58+BD58)*(1+AS_Cash)</f>
        <v>0</v>
      </c>
      <c r="BG58" s="60" t="n">
        <f aca="false">AF58*(1+AS_Cash)</f>
        <v>0</v>
      </c>
      <c r="BH58" s="60" t="n">
        <f aca="false">SUM(AKR58:AOD58)</f>
        <v>0</v>
      </c>
      <c r="BI58" s="60" t="n">
        <f aca="false">(AJ58-AN58)*(1+AS_Infl)</f>
        <v>0</v>
      </c>
      <c r="BJ58" s="20" t="n">
        <f aca="false">IF(AJ58&gt;0,AK58-AK58*AN58/AJ58,0)</f>
        <v>0</v>
      </c>
      <c r="BK58" s="60" t="n">
        <f aca="false">(AR58-AV58)*(1+BQ58)</f>
        <v>0</v>
      </c>
      <c r="BL58" s="20" t="n">
        <f aca="false">IF(AR58&gt;0,AS58-AS58*AV58/AR58,0)</f>
        <v>0</v>
      </c>
      <c r="BM58" s="60" t="n">
        <f aca="false">BF58+BG58+BH58+BI58+BK58</f>
        <v>0</v>
      </c>
      <c r="BN58" s="60" t="n">
        <f aca="false">(AH58-AG58)+(AN58-AM58)+(AV58-AU58)</f>
        <v>0</v>
      </c>
      <c r="BO58" s="20" t="n">
        <f aca="false">(AE58+BD58+AF58+MAX(0,'Plan cashflow'!QH58)+IF(Slot1_Rate=AS_Cash,'Plan cashflow'!QM58/(1+AS_Cash),0)+IF(Slot2_Rate=AS_Cash,'Plan cashflow'!QQ58/(1+AS_Cash),0)+IF(Slot3_Rate=AS_Cash,'Plan cashflow'!QU58/(1+AS_Cash),0)+IF(Slot4_Rate=AS_Cash,'Plan cashflow'!QY58/(1+AS_Cash),0)+IF(Slot5_Rate=AS_Cash,'Plan cashflow'!RC58/(1+AS_Cash),0)+IF(Slot6_Rate=AS_Cash,'Plan cashflow'!RG58/(1+AS_Cash),0)+IF(Slot7_Rate=AS_Cash,'Plan cashflow'!RK58/(1+AS_Cash),0)+IF(Slot8_Rate=AS_Cash,'Plan cashflow'!RO58/(1+AS_Cash),0)+IF(Slot9_Rate=AS_Cash,'Plan cashflow'!RS58/(1+AS_Cash),0)+IF(Slot10_Rate=AS_Cash,'Plan cashflow'!RW58/(1+AS_Cash),0)+IF(Slot11_Rate=AS_Cash,'Plan cashflow'!SA58/(1+AS_Cash),0)+IF(Slot12_Rate=AS_Cash,'Plan cashflow'!SE58/(1+AS_Cash),0)+IF(Slot13_Rate=AS_Cash,'Plan cashflow'!SI58/(1+AS_Cash),0)+IF(Slot14_Rate=AS_Cash,'Plan cashflow'!SM58/(1+AS_Cash),0)+IF(Slot15_Rate=AS_Cash,'Plan cashflow'!SQ58/(1+AS_Cash),0)+IF(Slot16_Rate=AS_Cash,'Plan cashflow'!SU58/(1+AS_Cash),0)+IF(Slot17_Rate=AS_Cash,'Plan cashflow'!SY58/(1+AS_Cash),0)+IF(Slot18_Rate=AS_Cash,'Plan cashflow'!TC58/(1+AS_Cash),0)+IF(Slot19_Rate=AS_Cash,'Plan cashflow'!TG58/(1+AS_Cash),0)+IF(Slot20_Rate=AS_Cash,'Plan cashflow'!TK58/(1+AS_Cash),0))*AS_Cash*H_DIRT/(1-H_DIRT)</f>
        <v>0</v>
      </c>
      <c r="BP58" s="60" t="n">
        <f aca="false">SUM(AVE58:AYQ58)</f>
        <v>0</v>
      </c>
      <c r="BQ58" s="54" t="n">
        <f aca="false">IF(H_TaxEvt=1,H_InvG,AS_Inv)</f>
        <v>0.04</v>
      </c>
      <c r="BR58" s="20" t="n">
        <f aca="false">IF(AKR57&gt;0,(AKR57-AOE57)/AKR57,0)</f>
        <v>0</v>
      </c>
      <c r="BS58" s="20" t="n">
        <f aca="false">IF(AKS57&gt;0,(AKS57-AOF57)/AKS57,0)</f>
        <v>0</v>
      </c>
      <c r="BT58" s="20" t="n">
        <f aca="false">IF(AKT57&gt;0,(AKT57-AOG57)/AKT57,0)</f>
        <v>0</v>
      </c>
      <c r="BU58" s="20" t="n">
        <f aca="false">IF(AKU57&gt;0,(AKU57-AOH57)/AKU57,0)</f>
        <v>0</v>
      </c>
      <c r="BV58" s="20" t="n">
        <f aca="false">IF(AKV57&gt;0,(AKV57-AOI57)/AKV57,0)</f>
        <v>0</v>
      </c>
      <c r="BW58" s="20" t="n">
        <f aca="false">IF(AKW57&gt;0,(AKW57-AOJ57)/AKW57,0)</f>
        <v>0</v>
      </c>
      <c r="BX58" s="20" t="n">
        <f aca="false">IF(AKX57&gt;0,(AKX57-AOK57)/AKX57,0)</f>
        <v>0</v>
      </c>
      <c r="BY58" s="20" t="n">
        <f aca="false">IF(AKY57&gt;0,(AKY57-AOL57)/AKY57,0)</f>
        <v>0</v>
      </c>
      <c r="BZ58" s="20" t="n">
        <f aca="false">IF(AKZ57&gt;0,(AKZ57-AOM57)/AKZ57,0)</f>
        <v>0</v>
      </c>
      <c r="CA58" s="20" t="n">
        <f aca="false">IF(ALA57&gt;0,(ALA57-AON57)/ALA57,0)</f>
        <v>0</v>
      </c>
      <c r="CB58" s="20" t="n">
        <f aca="false">IF(ALB57&gt;0,(ALB57-AOO57)/ALB57,0)</f>
        <v>0</v>
      </c>
      <c r="CC58" s="20" t="n">
        <f aca="false">IF(ALC57&gt;0,(ALC57-AOP57)/ALC57,0)</f>
        <v>0</v>
      </c>
      <c r="CD58" s="20" t="n">
        <f aca="false">IF(ALD57&gt;0,(ALD57-AOQ57)/ALD57,0)</f>
        <v>0</v>
      </c>
      <c r="CE58" s="20" t="n">
        <f aca="false">IF(ALE57&gt;0,(ALE57-AOR57)/ALE57,0)</f>
        <v>0</v>
      </c>
      <c r="CF58" s="20" t="n">
        <f aca="false">IF(ALF57&gt;0,(ALF57-AOS57)/ALF57,0)</f>
        <v>0</v>
      </c>
      <c r="CG58" s="20" t="n">
        <f aca="false">IF(ALG57&gt;0,(ALG57-AOT57)/ALG57,0)</f>
        <v>0</v>
      </c>
      <c r="CH58" s="20" t="n">
        <f aca="false">IF(ALH57&gt;0,(ALH57-AOU57)/ALH57,0)</f>
        <v>0</v>
      </c>
      <c r="CI58" s="20" t="n">
        <f aca="false">IF(ALI57&gt;0,(ALI57-AOV57)/ALI57,0)</f>
        <v>0</v>
      </c>
      <c r="CJ58" s="20" t="n">
        <f aca="false">IF(ALJ57&gt;0,(ALJ57-AOW57)/ALJ57,0)</f>
        <v>0</v>
      </c>
      <c r="CK58" s="20" t="n">
        <f aca="false">IF(ALK57&gt;0,(ALK57-AOX57)/ALK57,0)</f>
        <v>0</v>
      </c>
      <c r="CL58" s="20" t="n">
        <f aca="false">IF(ALL57&gt;0,(ALL57-AOY57)/ALL57,0)</f>
        <v>0</v>
      </c>
      <c r="CM58" s="20" t="n">
        <f aca="false">IF(ALM57&gt;0,(ALM57-AOZ57)/ALM57,0)</f>
        <v>0</v>
      </c>
      <c r="CN58" s="20" t="n">
        <f aca="false">IF(ALN57&gt;0,(ALN57-APA57)/ALN57,0)</f>
        <v>0</v>
      </c>
      <c r="CO58" s="20" t="n">
        <f aca="false">IF(ALO57&gt;0,(ALO57-APB57)/ALO57,0)</f>
        <v>0</v>
      </c>
      <c r="CP58" s="20" t="n">
        <f aca="false">IF(ALP57&gt;0,(ALP57-APC57)/ALP57,0)</f>
        <v>0</v>
      </c>
      <c r="CQ58" s="20" t="n">
        <f aca="false">IF(ALQ57&gt;0,(ALQ57-APD57)/ALQ57,0)</f>
        <v>0</v>
      </c>
      <c r="CR58" s="20" t="n">
        <f aca="false">IF(ALR57&gt;0,(ALR57-APE57)/ALR57,0)</f>
        <v>0</v>
      </c>
      <c r="CS58" s="20" t="n">
        <f aca="false">IF(ALS57&gt;0,(ALS57-APF57)/ALS57,0)</f>
        <v>0</v>
      </c>
      <c r="CT58" s="20" t="n">
        <f aca="false">IF(ALT57&gt;0,(ALT57-APG57)/ALT57,0)</f>
        <v>0</v>
      </c>
      <c r="CU58" s="20" t="n">
        <f aca="false">IF(ALU57&gt;0,(ALU57-APH57)/ALU57,0)</f>
        <v>0</v>
      </c>
      <c r="CV58" s="20" t="n">
        <f aca="false">IF(ALV57&gt;0,(ALV57-API57)/ALV57,0)</f>
        <v>0</v>
      </c>
      <c r="CW58" s="20" t="n">
        <f aca="false">IF(ALW57&gt;0,(ALW57-APJ57)/ALW57,0)</f>
        <v>0</v>
      </c>
      <c r="CX58" s="20" t="n">
        <f aca="false">IF(ALX57&gt;0,(ALX57-APK57)/ALX57,0)</f>
        <v>0</v>
      </c>
      <c r="CY58" s="20" t="n">
        <f aca="false">IF(ALY57&gt;0,(ALY57-APL57)/ALY57,0)</f>
        <v>0</v>
      </c>
      <c r="CZ58" s="20" t="n">
        <f aca="false">IF(ALZ57&gt;0,(ALZ57-APM57)/ALZ57,0)</f>
        <v>0</v>
      </c>
      <c r="DA58" s="20" t="n">
        <f aca="false">IF(AMA57&gt;0,(AMA57-APN57)/AMA57,0)</f>
        <v>0</v>
      </c>
      <c r="DB58" s="20" t="n">
        <f aca="false">IF(AMB57&gt;0,(AMB57-APO57)/AMB57,0)</f>
        <v>0</v>
      </c>
      <c r="DC58" s="20" t="n">
        <f aca="false">IF(AMC57&gt;0,(AMC57-APP57)/AMC57,0)</f>
        <v>0</v>
      </c>
      <c r="DD58" s="20" t="n">
        <f aca="false">IF(AMD57&gt;0,(AMD57-APQ57)/AMD57,0)</f>
        <v>0</v>
      </c>
      <c r="DE58" s="20" t="n">
        <f aca="false">IF(AME57&gt;0,(AME57-APR57)/AME57,0)</f>
        <v>0</v>
      </c>
      <c r="DF58" s="20" t="n">
        <f aca="false">IF(AMF57&gt;0,(AMF57-APS57)/AMF57,0)</f>
        <v>0</v>
      </c>
      <c r="DG58" s="20" t="n">
        <f aca="false">IF(AMG57&gt;0,(AMG57-APT57)/AMG57,0)</f>
        <v>0</v>
      </c>
      <c r="DH58" s="20" t="n">
        <f aca="false">IF(AMH57&gt;0,(AMH57-APU57)/AMH57,0)</f>
        <v>0</v>
      </c>
      <c r="DI58" s="20" t="n">
        <f aca="false">IF(AMI57&gt;0,(AMI57-APV57)/AMI57,0)</f>
        <v>0</v>
      </c>
      <c r="DJ58" s="20" t="n">
        <f aca="false">IF(AMJ57&gt;0,(AMJ57-APW57)/AMJ57,0)</f>
        <v>0</v>
      </c>
      <c r="DK58" s="20" t="n">
        <f aca="false">IF(AMK57&gt;0,(AMK57-APX57)/AMK57,0)</f>
        <v>0</v>
      </c>
      <c r="DL58" s="20" t="n">
        <f aca="false">IF(AML57&gt;0,(AML57-APY57)/AML57,0)</f>
        <v>0</v>
      </c>
      <c r="DM58" s="20" t="n">
        <f aca="false">IF(AMM57&gt;0,(AMM57-APZ57)/AMM57,0)</f>
        <v>0</v>
      </c>
      <c r="DN58" s="20" t="n">
        <f aca="false">IF(AMN57&gt;0,(AMN57-AQA57)/AMN57,0)</f>
        <v>0</v>
      </c>
      <c r="DO58" s="20" t="n">
        <f aca="false">IF(AMO57&gt;0,(AMO57-AQB57)/AMO57,0)</f>
        <v>0</v>
      </c>
      <c r="DP58" s="20" t="n">
        <f aca="false">IF(AMP57&gt;0,(AMP57-AQC57)/AMP57,0)</f>
        <v>0</v>
      </c>
      <c r="DQ58" s="20" t="n">
        <f aca="false">IF((P58+S58)&gt;0,((P58+S58)-(P58+S58))/(P58+S58),0)</f>
        <v>0</v>
      </c>
      <c r="DR58" s="20" t="n">
        <v>0</v>
      </c>
      <c r="DS58" s="20" t="n">
        <v>0</v>
      </c>
      <c r="DT58" s="20" t="n">
        <v>0</v>
      </c>
      <c r="DU58" s="20" t="n">
        <v>0</v>
      </c>
      <c r="DV58" s="20" t="n">
        <v>0</v>
      </c>
      <c r="DW58" s="20" t="n">
        <v>0</v>
      </c>
      <c r="DX58" s="20" t="n">
        <v>0</v>
      </c>
      <c r="DY58" s="20" t="n">
        <v>0</v>
      </c>
      <c r="DZ58" s="20" t="n">
        <v>0</v>
      </c>
      <c r="EA58" s="20" t="n">
        <v>0</v>
      </c>
      <c r="EB58" s="20" t="n">
        <v>0</v>
      </c>
      <c r="EC58" s="20" t="n">
        <v>0</v>
      </c>
      <c r="ED58" s="20" t="n">
        <v>0</v>
      </c>
      <c r="EE58" s="20" t="n">
        <v>0</v>
      </c>
      <c r="EF58" s="20" t="n">
        <v>0</v>
      </c>
      <c r="EG58" s="20" t="n">
        <v>0</v>
      </c>
      <c r="EH58" s="20" t="n">
        <v>0</v>
      </c>
      <c r="EI58" s="20" t="n">
        <v>0</v>
      </c>
      <c r="EJ58" s="20" t="n">
        <v>0</v>
      </c>
      <c r="EK58" s="20" t="n">
        <v>0</v>
      </c>
      <c r="EL58" s="20" t="n">
        <v>0</v>
      </c>
      <c r="EM58" s="20" t="n">
        <v>0</v>
      </c>
      <c r="EN58" s="20" t="n">
        <v>0</v>
      </c>
      <c r="EO58" s="20" t="n">
        <v>0</v>
      </c>
      <c r="EP58" s="20" t="n">
        <v>0</v>
      </c>
      <c r="EQ58" s="20" t="n">
        <v>0</v>
      </c>
      <c r="ER58" s="20" t="n">
        <v>0</v>
      </c>
      <c r="ES58" s="20" t="n">
        <v>0</v>
      </c>
      <c r="ET58" s="20" t="n">
        <v>0</v>
      </c>
      <c r="EU58" s="20" t="n">
        <v>0</v>
      </c>
      <c r="EV58" s="20" t="n">
        <v>0</v>
      </c>
      <c r="EW58" s="20" t="n">
        <v>0</v>
      </c>
      <c r="EX58" s="20" t="n">
        <v>0</v>
      </c>
      <c r="EY58" s="20" t="n">
        <v>0</v>
      </c>
      <c r="EZ58" s="20" t="n">
        <v>0</v>
      </c>
      <c r="FA58" s="20" t="n">
        <v>0</v>
      </c>
      <c r="FB58" s="20" t="n">
        <v>0</v>
      </c>
      <c r="FC58" s="20" t="n">
        <v>0</v>
      </c>
      <c r="FD58" s="20" t="n">
        <v>0</v>
      </c>
      <c r="FE58" s="20" t="n">
        <f aca="false">IF(H_Direct=1,IF(AKR57&lt;=0,0,IF(BR58&lt;=0,AKR57,AKR57-G58*MAX(0,BR58*AKR57-(H58+I58)))),AKR57*(1-MAX(0,BR58)*H_Exit))</f>
        <v>0</v>
      </c>
      <c r="FF58" s="20" t="n">
        <f aca="false">IF(H_Direct=1,IF(AKS57&lt;=0,0,IF(BS58&lt;=0,AKS57,AKS57-G58*MAX(0,BS58*AKS57-(IR58+ME58)))),AKS57*(1-MAX(0,BS58)*H_Exit))</f>
        <v>0</v>
      </c>
      <c r="FG58" s="20" t="n">
        <f aca="false">IF(H_Direct=1,IF(AKT57&lt;=0,0,IF(BT58&lt;=0,AKT57,AKT57-G58*MAX(0,BT58*AKT57-(IS58+MF58)))),AKT57*(1-MAX(0,BT58)*H_Exit))</f>
        <v>0</v>
      </c>
      <c r="FH58" s="20" t="n">
        <f aca="false">IF(H_Direct=1,IF(AKU57&lt;=0,0,IF(BU58&lt;=0,AKU57,AKU57-G58*MAX(0,BU58*AKU57-(IT58+MG58)))),AKU57*(1-MAX(0,BU58)*H_Exit))</f>
        <v>0</v>
      </c>
      <c r="FI58" s="20" t="n">
        <f aca="false">IF(H_Direct=1,IF(AKV57&lt;=0,0,IF(BV58&lt;=0,AKV57,AKV57-G58*MAX(0,BV58*AKV57-(IU58+MH58)))),AKV57*(1-MAX(0,BV58)*H_Exit))</f>
        <v>0</v>
      </c>
      <c r="FJ58" s="20" t="n">
        <f aca="false">IF(H_Direct=1,IF(AKW57&lt;=0,0,IF(BW58&lt;=0,AKW57,AKW57-G58*MAX(0,BW58*AKW57-(IV58+MI58)))),AKW57*(1-MAX(0,BW58)*H_Exit))</f>
        <v>0</v>
      </c>
      <c r="FK58" s="20" t="n">
        <f aca="false">IF(H_Direct=1,IF(AKX57&lt;=0,0,IF(BX58&lt;=0,AKX57,AKX57-G58*MAX(0,BX58*AKX57-(IW58+MJ58)))),AKX57*(1-MAX(0,BX58)*H_Exit))</f>
        <v>0</v>
      </c>
      <c r="FL58" s="20" t="n">
        <f aca="false">IF(H_Direct=1,IF(AKY57&lt;=0,0,IF(BY58&lt;=0,AKY57,AKY57-G58*MAX(0,BY58*AKY57-(IX58+MK58)))),AKY57*(1-MAX(0,BY58)*H_Exit))</f>
        <v>0</v>
      </c>
      <c r="FM58" s="20" t="n">
        <f aca="false">IF(H_Direct=1,IF(AKZ57&lt;=0,0,IF(BZ58&lt;=0,AKZ57,AKZ57-G58*MAX(0,BZ58*AKZ57-(IY58+ML58)))),AKZ57*(1-MAX(0,BZ58)*H_Exit))</f>
        <v>0</v>
      </c>
      <c r="FN58" s="20" t="n">
        <f aca="false">IF(H_Direct=1,IF(ALA57&lt;=0,0,IF(CA58&lt;=0,ALA57,ALA57-G58*MAX(0,CA58*ALA57-(IZ58+MM58)))),ALA57*(1-MAX(0,CA58)*H_Exit))</f>
        <v>0</v>
      </c>
      <c r="FO58" s="20" t="n">
        <f aca="false">IF(H_Direct=1,IF(ALB57&lt;=0,0,IF(CB58&lt;=0,ALB57,ALB57-G58*MAX(0,CB58*ALB57-(JA58+MN58)))),ALB57*(1-MAX(0,CB58)*H_Exit))</f>
        <v>0</v>
      </c>
      <c r="FP58" s="20" t="n">
        <f aca="false">IF(H_Direct=1,IF(ALC57&lt;=0,0,IF(CC58&lt;=0,ALC57,ALC57-G58*MAX(0,CC58*ALC57-(JB58+MO58)))),ALC57*(1-MAX(0,CC58)*H_Exit))</f>
        <v>0</v>
      </c>
      <c r="FQ58" s="20" t="n">
        <f aca="false">IF(H_Direct=1,IF(ALD57&lt;=0,0,IF(CD58&lt;=0,ALD57,ALD57-G58*MAX(0,CD58*ALD57-(JC58+MP58)))),ALD57*(1-MAX(0,CD58)*H_Exit))</f>
        <v>0</v>
      </c>
      <c r="FR58" s="20" t="n">
        <f aca="false">IF(H_Direct=1,IF(ALE57&lt;=0,0,IF(CE58&lt;=0,ALE57,ALE57-G58*MAX(0,CE58*ALE57-(JD58+MQ58)))),ALE57*(1-MAX(0,CE58)*H_Exit))</f>
        <v>0</v>
      </c>
      <c r="FS58" s="20" t="n">
        <f aca="false">IF(H_Direct=1,IF(ALF57&lt;=0,0,IF(CF58&lt;=0,ALF57,ALF57-G58*MAX(0,CF58*ALF57-(JE58+MR58)))),ALF57*(1-MAX(0,CF58)*H_Exit))</f>
        <v>0</v>
      </c>
      <c r="FT58" s="20" t="n">
        <f aca="false">IF(H_Direct=1,IF(ALG57&lt;=0,0,IF(CG58&lt;=0,ALG57,ALG57-G58*MAX(0,CG58*ALG57-(JF58+MS58)))),ALG57*(1-MAX(0,CG58)*H_Exit))</f>
        <v>0</v>
      </c>
      <c r="FU58" s="20" t="n">
        <f aca="false">IF(H_Direct=1,IF(ALH57&lt;=0,0,IF(CH58&lt;=0,ALH57,ALH57-G58*MAX(0,CH58*ALH57-(JG58+MT58)))),ALH57*(1-MAX(0,CH58)*H_Exit))</f>
        <v>0</v>
      </c>
      <c r="FV58" s="20" t="n">
        <f aca="false">IF(H_Direct=1,IF(ALI57&lt;=0,0,IF(CI58&lt;=0,ALI57,ALI57-G58*MAX(0,CI58*ALI57-(JH58+MU58)))),ALI57*(1-MAX(0,CI58)*H_Exit))</f>
        <v>0</v>
      </c>
      <c r="FW58" s="20" t="n">
        <f aca="false">IF(H_Direct=1,IF(ALJ57&lt;=0,0,IF(CJ58&lt;=0,ALJ57,ALJ57-G58*MAX(0,CJ58*ALJ57-(JI58+MV58)))),ALJ57*(1-MAX(0,CJ58)*H_Exit))</f>
        <v>0</v>
      </c>
      <c r="FX58" s="20" t="n">
        <f aca="false">IF(H_Direct=1,IF(ALK57&lt;=0,0,IF(CK58&lt;=0,ALK57,ALK57-G58*MAX(0,CK58*ALK57-(JJ58+MW58)))),ALK57*(1-MAX(0,CK58)*H_Exit))</f>
        <v>0</v>
      </c>
      <c r="FY58" s="20" t="n">
        <f aca="false">IF(H_Direct=1,IF(ALL57&lt;=0,0,IF(CL58&lt;=0,ALL57,ALL57-G58*MAX(0,CL58*ALL57-(JK58+MX58)))),ALL57*(1-MAX(0,CL58)*H_Exit))</f>
        <v>0</v>
      </c>
      <c r="FZ58" s="20" t="n">
        <f aca="false">IF(H_Direct=1,IF(ALM57&lt;=0,0,IF(CM58&lt;=0,ALM57,ALM57-G58*MAX(0,CM58*ALM57-(JL58+MY58)))),ALM57*(1-MAX(0,CM58)*H_Exit))</f>
        <v>0</v>
      </c>
      <c r="GA58" s="20" t="n">
        <f aca="false">IF(H_Direct=1,IF(ALN57&lt;=0,0,IF(CN58&lt;=0,ALN57,ALN57-G58*MAX(0,CN58*ALN57-(JM58+MZ58)))),ALN57*(1-MAX(0,CN58)*H_Exit))</f>
        <v>0</v>
      </c>
      <c r="GB58" s="20" t="n">
        <f aca="false">IF(H_Direct=1,IF(ALO57&lt;=0,0,IF(CO58&lt;=0,ALO57,ALO57-G58*MAX(0,CO58*ALO57-(JN58+NA58)))),ALO57*(1-MAX(0,CO58)*H_Exit))</f>
        <v>0</v>
      </c>
      <c r="GC58" s="20" t="n">
        <f aca="false">IF(H_Direct=1,IF(ALP57&lt;=0,0,IF(CP58&lt;=0,ALP57,ALP57-G58*MAX(0,CP58*ALP57-(JO58+NB58)))),ALP57*(1-MAX(0,CP58)*H_Exit))</f>
        <v>0</v>
      </c>
      <c r="GD58" s="20" t="n">
        <f aca="false">IF(H_Direct=1,IF(ALQ57&lt;=0,0,IF(CQ58&lt;=0,ALQ57,ALQ57-G58*MAX(0,CQ58*ALQ57-(JP58+NC58)))),ALQ57*(1-MAX(0,CQ58)*H_Exit))</f>
        <v>0</v>
      </c>
      <c r="GE58" s="20" t="n">
        <f aca="false">IF(H_Direct=1,IF(ALR57&lt;=0,0,IF(CR58&lt;=0,ALR57,ALR57-G58*MAX(0,CR58*ALR57-(JQ58+ND58)))),ALR57*(1-MAX(0,CR58)*H_Exit))</f>
        <v>0</v>
      </c>
      <c r="GF58" s="20" t="n">
        <f aca="false">IF(H_Direct=1,IF(ALS57&lt;=0,0,IF(CS58&lt;=0,ALS57,ALS57-G58*MAX(0,CS58*ALS57-(JR58+NE58)))),ALS57*(1-MAX(0,CS58)*H_Exit))</f>
        <v>0</v>
      </c>
      <c r="GG58" s="20" t="n">
        <f aca="false">IF(H_Direct=1,IF(ALT57&lt;=0,0,IF(CT58&lt;=0,ALT57,ALT57-G58*MAX(0,CT58*ALT57-(JS58+NF58)))),ALT57*(1-MAX(0,CT58)*H_Exit))</f>
        <v>0</v>
      </c>
      <c r="GH58" s="20" t="n">
        <f aca="false">IF(H_Direct=1,IF(ALU57&lt;=0,0,IF(CU58&lt;=0,ALU57,ALU57-G58*MAX(0,CU58*ALU57-(JT58+NG58)))),ALU57*(1-MAX(0,CU58)*H_Exit))</f>
        <v>0</v>
      </c>
      <c r="GI58" s="20" t="n">
        <f aca="false">IF(H_Direct=1,IF(ALV57&lt;=0,0,IF(CV58&lt;=0,ALV57,ALV57-G58*MAX(0,CV58*ALV57-(JU58+NH58)))),ALV57*(1-MAX(0,CV58)*H_Exit))</f>
        <v>0</v>
      </c>
      <c r="GJ58" s="20" t="n">
        <f aca="false">IF(H_Direct=1,IF(ALW57&lt;=0,0,IF(CW58&lt;=0,ALW57,ALW57-G58*MAX(0,CW58*ALW57-(JV58+NI58)))),ALW57*(1-MAX(0,CW58)*H_Exit))</f>
        <v>0</v>
      </c>
      <c r="GK58" s="20" t="n">
        <f aca="false">IF(H_Direct=1,IF(ALX57&lt;=0,0,IF(CX58&lt;=0,ALX57,ALX57-G58*MAX(0,CX58*ALX57-(JW58+NJ58)))),ALX57*(1-MAX(0,CX58)*H_Exit))</f>
        <v>0</v>
      </c>
      <c r="GL58" s="20" t="n">
        <f aca="false">IF(H_Direct=1,IF(ALY57&lt;=0,0,IF(CY58&lt;=0,ALY57,ALY57-G58*MAX(0,CY58*ALY57-(JX58+NK58)))),ALY57*(1-MAX(0,CY58)*H_Exit))</f>
        <v>0</v>
      </c>
      <c r="GM58" s="20" t="n">
        <f aca="false">IF(H_Direct=1,IF(ALZ57&lt;=0,0,IF(CZ58&lt;=0,ALZ57,ALZ57-G58*MAX(0,CZ58*ALZ57-(JY58+NL58)))),ALZ57*(1-MAX(0,CZ58)*H_Exit))</f>
        <v>0</v>
      </c>
      <c r="GN58" s="20" t="n">
        <f aca="false">IF(H_Direct=1,IF(AMA57&lt;=0,0,IF(DA58&lt;=0,AMA57,AMA57-G58*MAX(0,DA58*AMA57-(JZ58+NM58)))),AMA57*(1-MAX(0,DA58)*H_Exit))</f>
        <v>0</v>
      </c>
      <c r="GO58" s="20" t="n">
        <f aca="false">IF(H_Direct=1,IF(AMB57&lt;=0,0,IF(DB58&lt;=0,AMB57,AMB57-G58*MAX(0,DB58*AMB57-(KA58+NN58)))),AMB57*(1-MAX(0,DB58)*H_Exit))</f>
        <v>0</v>
      </c>
      <c r="GP58" s="20" t="n">
        <f aca="false">IF(H_Direct=1,IF(AMC57&lt;=0,0,IF(DC58&lt;=0,AMC57,AMC57-G58*MAX(0,DC58*AMC57-(KB58+NO58)))),AMC57*(1-MAX(0,DC58)*H_Exit))</f>
        <v>0</v>
      </c>
      <c r="GQ58" s="20" t="n">
        <f aca="false">IF(H_Direct=1,IF(AMD57&lt;=0,0,IF(DD58&lt;=0,AMD57,AMD57-G58*MAX(0,DD58*AMD57-(KC58+NP58)))),AMD57*(1-MAX(0,DD58)*H_Exit))</f>
        <v>0</v>
      </c>
      <c r="GR58" s="20" t="n">
        <f aca="false">IF(H_Direct=1,IF(AME57&lt;=0,0,IF(DE58&lt;=0,AME57,AME57-G58*MAX(0,DE58*AME57-(KD58+NQ58)))),AME57*(1-MAX(0,DE58)*H_Exit))</f>
        <v>0</v>
      </c>
      <c r="GS58" s="20" t="n">
        <f aca="false">IF(H_Direct=1,IF(AMF57&lt;=0,0,IF(DF58&lt;=0,AMF57,AMF57-G58*MAX(0,DF58*AMF57-(KE58+NR58)))),AMF57*(1-MAX(0,DF58)*H_Exit))</f>
        <v>0</v>
      </c>
      <c r="GT58" s="20" t="n">
        <f aca="false">IF(H_Direct=1,IF(AMG57&lt;=0,0,IF(DG58&lt;=0,AMG57,AMG57-G58*MAX(0,DG58*AMG57-(KF58+NS58)))),AMG57*(1-MAX(0,DG58)*H_Exit))</f>
        <v>0</v>
      </c>
      <c r="GU58" s="20" t="n">
        <f aca="false">IF(H_Direct=1,IF(AMH57&lt;=0,0,IF(DH58&lt;=0,AMH57,AMH57-G58*MAX(0,DH58*AMH57-(KG58+NT58)))),AMH57*(1-MAX(0,DH58)*H_Exit))</f>
        <v>0</v>
      </c>
      <c r="GV58" s="20" t="n">
        <f aca="false">IF(H_Direct=1,IF(AMI57&lt;=0,0,IF(DI58&lt;=0,AMI57,AMI57-G58*MAX(0,DI58*AMI57-(KH58+NU58)))),AMI57*(1-MAX(0,DI58)*H_Exit))</f>
        <v>0</v>
      </c>
      <c r="GW58" s="20" t="n">
        <f aca="false">IF(H_Direct=1,IF(AMJ57&lt;=0,0,IF(DJ58&lt;=0,AMJ57,AMJ57-G58*MAX(0,DJ58*AMJ57-(KI58+NV58)))),AMJ57*(1-MAX(0,DJ58)*H_Exit))</f>
        <v>0</v>
      </c>
      <c r="GX58" s="20" t="n">
        <f aca="false">IF(H_Direct=1,IF(AMK57&lt;=0,0,IF(DK58&lt;=0,AMK57,AMK57-G58*MAX(0,DK58*AMK57-(KJ58+NW58)))),AMK57*(1-MAX(0,DK58)*H_Exit))</f>
        <v>0</v>
      </c>
      <c r="GY58" s="20" t="n">
        <f aca="false">IF(H_Direct=1,IF(AML57&lt;=0,0,IF(DL58&lt;=0,AML57,AML57-G58*MAX(0,DL58*AML57-(KK58+NX58)))),AML57*(1-MAX(0,DL58)*H_Exit))</f>
        <v>0</v>
      </c>
      <c r="GZ58" s="20" t="n">
        <f aca="false">IF(H_Direct=1,IF(AMM57&lt;=0,0,IF(DM58&lt;=0,AMM57,AMM57-G58*MAX(0,DM58*AMM57-(KL58+NY58)))),AMM57*(1-MAX(0,DM58)*H_Exit))</f>
        <v>0</v>
      </c>
      <c r="HA58" s="20" t="n">
        <f aca="false">IF(H_Direct=1,IF(AMN57&lt;=0,0,IF(DN58&lt;=0,AMN57,AMN57-G58*MAX(0,DN58*AMN57-(KM58+NZ58)))),AMN57*(1-MAX(0,DN58)*H_Exit))</f>
        <v>0</v>
      </c>
      <c r="HB58" s="20" t="n">
        <f aca="false">IF(H_Direct=1,IF(AMO57&lt;=0,0,IF(DO58&lt;=0,AMO57,AMO57-G58*MAX(0,DO58*AMO57-(KN58+OA58)))),AMO57*(1-MAX(0,DO58)*H_Exit))</f>
        <v>0</v>
      </c>
      <c r="HC58" s="20" t="n">
        <f aca="false">IF(H_Direct=1,IF(AMP57&lt;=0,0,IF(DP58&lt;=0,AMP57,AMP57-G58*MAX(0,DP58*AMP57-(KO58+OB58)))),AMP57*(1-MAX(0,DP58)*H_Exit))</f>
        <v>0</v>
      </c>
      <c r="HD58" s="20" t="n">
        <f aca="false">IF(H_Direct=1,IF((P58+S58)&lt;=0,0,IF(DQ58&lt;=0,(P58+S58),(P58+S58)-G58*MAX(0,DQ58*(P58+S58)-(KP58+OC58)))),(P58+S58)*(1-MAX(0,DQ58)*H_Exit))</f>
        <v>0</v>
      </c>
      <c r="HE58" s="20" t="n">
        <v>0</v>
      </c>
      <c r="HF58" s="20" t="n">
        <v>0</v>
      </c>
      <c r="HG58" s="20" t="n">
        <v>0</v>
      </c>
      <c r="HH58" s="20" t="n">
        <v>0</v>
      </c>
      <c r="HI58" s="20" t="n">
        <v>0</v>
      </c>
      <c r="HJ58" s="20" t="n">
        <v>0</v>
      </c>
      <c r="HK58" s="20" t="n">
        <v>0</v>
      </c>
      <c r="HL58" s="20" t="n">
        <v>0</v>
      </c>
      <c r="HM58" s="20" t="n">
        <v>0</v>
      </c>
      <c r="HN58" s="20" t="n">
        <v>0</v>
      </c>
      <c r="HO58" s="20" t="n">
        <v>0</v>
      </c>
      <c r="HP58" s="20" t="n">
        <v>0</v>
      </c>
      <c r="HQ58" s="20" t="n">
        <v>0</v>
      </c>
      <c r="HR58" s="20" t="n">
        <v>0</v>
      </c>
      <c r="HS58" s="20" t="n">
        <v>0</v>
      </c>
      <c r="HT58" s="20" t="n">
        <v>0</v>
      </c>
      <c r="HU58" s="20" t="n">
        <v>0</v>
      </c>
      <c r="HV58" s="20" t="n">
        <v>0</v>
      </c>
      <c r="HW58" s="20" t="n">
        <v>0</v>
      </c>
      <c r="HX58" s="20" t="n">
        <v>0</v>
      </c>
      <c r="HY58" s="20" t="n">
        <v>0</v>
      </c>
      <c r="HZ58" s="20" t="n">
        <v>0</v>
      </c>
      <c r="IA58" s="20" t="n">
        <v>0</v>
      </c>
      <c r="IB58" s="20" t="n">
        <v>0</v>
      </c>
      <c r="IC58" s="20" t="n">
        <v>0</v>
      </c>
      <c r="ID58" s="20" t="n">
        <v>0</v>
      </c>
      <c r="IE58" s="20" t="n">
        <v>0</v>
      </c>
      <c r="IF58" s="20" t="n">
        <v>0</v>
      </c>
      <c r="IG58" s="20" t="n">
        <v>0</v>
      </c>
      <c r="IH58" s="20" t="n">
        <v>0</v>
      </c>
      <c r="II58" s="20" t="n">
        <v>0</v>
      </c>
      <c r="IJ58" s="20" t="n">
        <v>0</v>
      </c>
      <c r="IK58" s="20" t="n">
        <v>0</v>
      </c>
      <c r="IL58" s="20" t="n">
        <v>0</v>
      </c>
      <c r="IM58" s="20" t="n">
        <v>0</v>
      </c>
      <c r="IN58" s="20" t="n">
        <v>0</v>
      </c>
      <c r="IO58" s="20" t="n">
        <v>0</v>
      </c>
      <c r="IP58" s="20" t="n">
        <v>0</v>
      </c>
      <c r="IQ58" s="20" t="n">
        <v>0</v>
      </c>
      <c r="IR58" s="20" t="n">
        <f aca="false">IF(AND(H_Direct=1,BR58&gt;0),MAX(0,H58-(MIN(BR58*AKR57,H58+I58)-MIN(MIN(BR58*AKR57,H58+I58),I58))),H58)</f>
        <v>1270</v>
      </c>
      <c r="IS58" s="20" t="n">
        <f aca="false">IF(AND(H_Direct=1,BS58&gt;0),MAX(0,IR58-(MIN(BS58*AKS57,IR58+ME58)-MIN(MIN(BS58*AKS57,IR58+ME58),ME58))),IR58)</f>
        <v>1270</v>
      </c>
      <c r="IT58" s="20" t="n">
        <f aca="false">IF(AND(H_Direct=1,BT58&gt;0),MAX(0,IS58-(MIN(BT58*AKT57,IS58+MF58)-MIN(MIN(BT58*AKT57,IS58+MF58),MF58))),IS58)</f>
        <v>1270</v>
      </c>
      <c r="IU58" s="20" t="n">
        <f aca="false">IF(AND(H_Direct=1,BU58&gt;0),MAX(0,IT58-(MIN(BU58*AKU57,IT58+MG58)-MIN(MIN(BU58*AKU57,IT58+MG58),MG58))),IT58)</f>
        <v>1270</v>
      </c>
      <c r="IV58" s="20" t="n">
        <f aca="false">IF(AND(H_Direct=1,BV58&gt;0),MAX(0,IU58-(MIN(BV58*AKV57,IU58+MH58)-MIN(MIN(BV58*AKV57,IU58+MH58),MH58))),IU58)</f>
        <v>1270</v>
      </c>
      <c r="IW58" s="20" t="n">
        <f aca="false">IF(AND(H_Direct=1,BW58&gt;0),MAX(0,IV58-(MIN(BW58*AKW57,IV58+MI58)-MIN(MIN(BW58*AKW57,IV58+MI58),MI58))),IV58)</f>
        <v>1270</v>
      </c>
      <c r="IX58" s="20" t="n">
        <f aca="false">IF(AND(H_Direct=1,BX58&gt;0),MAX(0,IW58-(MIN(BX58*AKX57,IW58+MJ58)-MIN(MIN(BX58*AKX57,IW58+MJ58),MJ58))),IW58)</f>
        <v>1270</v>
      </c>
      <c r="IY58" s="20" t="n">
        <f aca="false">IF(AND(H_Direct=1,BY58&gt;0),MAX(0,IX58-(MIN(BY58*AKY57,IX58+MK58)-MIN(MIN(BY58*AKY57,IX58+MK58),MK58))),IX58)</f>
        <v>1270</v>
      </c>
      <c r="IZ58" s="20" t="n">
        <f aca="false">IF(AND(H_Direct=1,BZ58&gt;0),MAX(0,IY58-(MIN(BZ58*AKZ57,IY58+ML58)-MIN(MIN(BZ58*AKZ57,IY58+ML58),ML58))),IY58)</f>
        <v>1270</v>
      </c>
      <c r="JA58" s="20" t="n">
        <f aca="false">IF(AND(H_Direct=1,CA58&gt;0),MAX(0,IZ58-(MIN(CA58*ALA57,IZ58+MM58)-MIN(MIN(CA58*ALA57,IZ58+MM58),MM58))),IZ58)</f>
        <v>1270</v>
      </c>
      <c r="JB58" s="20" t="n">
        <f aca="false">IF(AND(H_Direct=1,CB58&gt;0),MAX(0,JA58-(MIN(CB58*ALB57,JA58+MN58)-MIN(MIN(CB58*ALB57,JA58+MN58),MN58))),JA58)</f>
        <v>1270</v>
      </c>
      <c r="JC58" s="20" t="n">
        <f aca="false">IF(AND(H_Direct=1,CC58&gt;0),MAX(0,JB58-(MIN(CC58*ALC57,JB58+MO58)-MIN(MIN(CC58*ALC57,JB58+MO58),MO58))),JB58)</f>
        <v>1270</v>
      </c>
      <c r="JD58" s="20" t="n">
        <f aca="false">IF(AND(H_Direct=1,CD58&gt;0),MAX(0,JC58-(MIN(CD58*ALD57,JC58+MP58)-MIN(MIN(CD58*ALD57,JC58+MP58),MP58))),JC58)</f>
        <v>1270</v>
      </c>
      <c r="JE58" s="20" t="n">
        <f aca="false">IF(AND(H_Direct=1,CE58&gt;0),MAX(0,JD58-(MIN(CE58*ALE57,JD58+MQ58)-MIN(MIN(CE58*ALE57,JD58+MQ58),MQ58))),JD58)</f>
        <v>1270</v>
      </c>
      <c r="JF58" s="20" t="n">
        <f aca="false">IF(AND(H_Direct=1,CF58&gt;0),MAX(0,JE58-(MIN(CF58*ALF57,JE58+MR58)-MIN(MIN(CF58*ALF57,JE58+MR58),MR58))),JE58)</f>
        <v>1270</v>
      </c>
      <c r="JG58" s="20" t="n">
        <f aca="false">IF(AND(H_Direct=1,CG58&gt;0),MAX(0,JF58-(MIN(CG58*ALG57,JF58+MS58)-MIN(MIN(CG58*ALG57,JF58+MS58),MS58))),JF58)</f>
        <v>1270</v>
      </c>
      <c r="JH58" s="20" t="n">
        <f aca="false">IF(AND(H_Direct=1,CH58&gt;0),MAX(0,JG58-(MIN(CH58*ALH57,JG58+MT58)-MIN(MIN(CH58*ALH57,JG58+MT58),MT58))),JG58)</f>
        <v>1270</v>
      </c>
      <c r="JI58" s="20" t="n">
        <f aca="false">IF(AND(H_Direct=1,CI58&gt;0),MAX(0,JH58-(MIN(CI58*ALI57,JH58+MU58)-MIN(MIN(CI58*ALI57,JH58+MU58),MU58))),JH58)</f>
        <v>1270</v>
      </c>
      <c r="JJ58" s="20" t="n">
        <f aca="false">IF(AND(H_Direct=1,CJ58&gt;0),MAX(0,JI58-(MIN(CJ58*ALJ57,JI58+MV58)-MIN(MIN(CJ58*ALJ57,JI58+MV58),MV58))),JI58)</f>
        <v>1270</v>
      </c>
      <c r="JK58" s="20" t="n">
        <f aca="false">IF(AND(H_Direct=1,CK58&gt;0),MAX(0,JJ58-(MIN(CK58*ALK57,JJ58+MW58)-MIN(MIN(CK58*ALK57,JJ58+MW58),MW58))),JJ58)</f>
        <v>1270</v>
      </c>
      <c r="JL58" s="20" t="n">
        <f aca="false">IF(AND(H_Direct=1,CL58&gt;0),MAX(0,JK58-(MIN(CL58*ALL57,JK58+MX58)-MIN(MIN(CL58*ALL57,JK58+MX58),MX58))),JK58)</f>
        <v>1270</v>
      </c>
      <c r="JM58" s="20" t="n">
        <f aca="false">IF(AND(H_Direct=1,CM58&gt;0),MAX(0,JL58-(MIN(CM58*ALM57,JL58+MY58)-MIN(MIN(CM58*ALM57,JL58+MY58),MY58))),JL58)</f>
        <v>1270</v>
      </c>
      <c r="JN58" s="20" t="n">
        <f aca="false">IF(AND(H_Direct=1,CN58&gt;0),MAX(0,JM58-(MIN(CN58*ALN57,JM58+MZ58)-MIN(MIN(CN58*ALN57,JM58+MZ58),MZ58))),JM58)</f>
        <v>1270</v>
      </c>
      <c r="JO58" s="20" t="n">
        <f aca="false">IF(AND(H_Direct=1,CO58&gt;0),MAX(0,JN58-(MIN(CO58*ALO57,JN58+NA58)-MIN(MIN(CO58*ALO57,JN58+NA58),NA58))),JN58)</f>
        <v>1270</v>
      </c>
      <c r="JP58" s="20" t="n">
        <f aca="false">IF(AND(H_Direct=1,CP58&gt;0),MAX(0,JO58-(MIN(CP58*ALP57,JO58+NB58)-MIN(MIN(CP58*ALP57,JO58+NB58),NB58))),JO58)</f>
        <v>1270</v>
      </c>
      <c r="JQ58" s="20" t="n">
        <f aca="false">IF(AND(H_Direct=1,CQ58&gt;0),MAX(0,JP58-(MIN(CQ58*ALQ57,JP58+NC58)-MIN(MIN(CQ58*ALQ57,JP58+NC58),NC58))),JP58)</f>
        <v>1270</v>
      </c>
      <c r="JR58" s="20" t="n">
        <f aca="false">IF(AND(H_Direct=1,CR58&gt;0),MAX(0,JQ58-(MIN(CR58*ALR57,JQ58+ND58)-MIN(MIN(CR58*ALR57,JQ58+ND58),ND58))),JQ58)</f>
        <v>1270</v>
      </c>
      <c r="JS58" s="20" t="n">
        <f aca="false">IF(AND(H_Direct=1,CS58&gt;0),MAX(0,JR58-(MIN(CS58*ALS57,JR58+NE58)-MIN(MIN(CS58*ALS57,JR58+NE58),NE58))),JR58)</f>
        <v>1270</v>
      </c>
      <c r="JT58" s="20" t="n">
        <f aca="false">IF(AND(H_Direct=1,CT58&gt;0),MAX(0,JS58-(MIN(CT58*ALT57,JS58+NF58)-MIN(MIN(CT58*ALT57,JS58+NF58),NF58))),JS58)</f>
        <v>1270</v>
      </c>
      <c r="JU58" s="20" t="n">
        <f aca="false">IF(AND(H_Direct=1,CU58&gt;0),MAX(0,JT58-(MIN(CU58*ALU57,JT58+NG58)-MIN(MIN(CU58*ALU57,JT58+NG58),NG58))),JT58)</f>
        <v>1270</v>
      </c>
      <c r="JV58" s="20" t="n">
        <f aca="false">IF(AND(H_Direct=1,CV58&gt;0),MAX(0,JU58-(MIN(CV58*ALV57,JU58+NH58)-MIN(MIN(CV58*ALV57,JU58+NH58),NH58))),JU58)</f>
        <v>1270</v>
      </c>
      <c r="JW58" s="20" t="n">
        <f aca="false">IF(AND(H_Direct=1,CW58&gt;0),MAX(0,JV58-(MIN(CW58*ALW57,JV58+NI58)-MIN(MIN(CW58*ALW57,JV58+NI58),NI58))),JV58)</f>
        <v>1270</v>
      </c>
      <c r="JX58" s="20" t="n">
        <f aca="false">IF(AND(H_Direct=1,CX58&gt;0),MAX(0,JW58-(MIN(CX58*ALX57,JW58+NJ58)-MIN(MIN(CX58*ALX57,JW58+NJ58),NJ58))),JW58)</f>
        <v>1270</v>
      </c>
      <c r="JY58" s="20" t="n">
        <f aca="false">IF(AND(H_Direct=1,CY58&gt;0),MAX(0,JX58-(MIN(CY58*ALY57,JX58+NK58)-MIN(MIN(CY58*ALY57,JX58+NK58),NK58))),JX58)</f>
        <v>1270</v>
      </c>
      <c r="JZ58" s="20" t="n">
        <f aca="false">IF(AND(H_Direct=1,CZ58&gt;0),MAX(0,JY58-(MIN(CZ58*ALZ57,JY58+NL58)-MIN(MIN(CZ58*ALZ57,JY58+NL58),NL58))),JY58)</f>
        <v>1270</v>
      </c>
      <c r="KA58" s="20" t="n">
        <f aca="false">IF(AND(H_Direct=1,DA58&gt;0),MAX(0,JZ58-(MIN(DA58*AMA57,JZ58+NM58)-MIN(MIN(DA58*AMA57,JZ58+NM58),NM58))),JZ58)</f>
        <v>1270</v>
      </c>
      <c r="KB58" s="20" t="n">
        <f aca="false">IF(AND(H_Direct=1,DB58&gt;0),MAX(0,KA58-(MIN(DB58*AMB57,KA58+NN58)-MIN(MIN(DB58*AMB57,KA58+NN58),NN58))),KA58)</f>
        <v>1270</v>
      </c>
      <c r="KC58" s="20" t="n">
        <f aca="false">IF(AND(H_Direct=1,DC58&gt;0),MAX(0,KB58-(MIN(DC58*AMC57,KB58+NO58)-MIN(MIN(DC58*AMC57,KB58+NO58),NO58))),KB58)</f>
        <v>1270</v>
      </c>
      <c r="KD58" s="20" t="n">
        <f aca="false">IF(AND(H_Direct=1,DD58&gt;0),MAX(0,KC58-(MIN(DD58*AMD57,KC58+NP58)-MIN(MIN(DD58*AMD57,KC58+NP58),NP58))),KC58)</f>
        <v>1270</v>
      </c>
      <c r="KE58" s="20" t="n">
        <f aca="false">IF(AND(H_Direct=1,DE58&gt;0),MAX(0,KD58-(MIN(DE58*AME57,KD58+NQ58)-MIN(MIN(DE58*AME57,KD58+NQ58),NQ58))),KD58)</f>
        <v>1270</v>
      </c>
      <c r="KF58" s="20" t="n">
        <f aca="false">IF(AND(H_Direct=1,DF58&gt;0),MAX(0,KE58-(MIN(DF58*AMF57,KE58+NR58)-MIN(MIN(DF58*AMF57,KE58+NR58),NR58))),KE58)</f>
        <v>1270</v>
      </c>
      <c r="KG58" s="20" t="n">
        <f aca="false">IF(AND(H_Direct=1,DG58&gt;0),MAX(0,KF58-(MIN(DG58*AMG57,KF58+NS58)-MIN(MIN(DG58*AMG57,KF58+NS58),NS58))),KF58)</f>
        <v>1270</v>
      </c>
      <c r="KH58" s="20" t="n">
        <f aca="false">IF(AND(H_Direct=1,DH58&gt;0),MAX(0,KG58-(MIN(DH58*AMH57,KG58+NT58)-MIN(MIN(DH58*AMH57,KG58+NT58),NT58))),KG58)</f>
        <v>1270</v>
      </c>
      <c r="KI58" s="20" t="n">
        <f aca="false">IF(AND(H_Direct=1,DI58&gt;0),MAX(0,KH58-(MIN(DI58*AMI57,KH58+NU58)-MIN(MIN(DI58*AMI57,KH58+NU58),NU58))),KH58)</f>
        <v>1270</v>
      </c>
      <c r="KJ58" s="20" t="n">
        <f aca="false">IF(AND(H_Direct=1,DJ58&gt;0),MAX(0,KI58-(MIN(DJ58*AMJ57,KI58+NV58)-MIN(MIN(DJ58*AMJ57,KI58+NV58),NV58))),KI58)</f>
        <v>1270</v>
      </c>
      <c r="KK58" s="20" t="n">
        <f aca="false">IF(AND(H_Direct=1,DK58&gt;0),MAX(0,KJ58-(MIN(DK58*AMK57,KJ58+NW58)-MIN(MIN(DK58*AMK57,KJ58+NW58),NW58))),KJ58)</f>
        <v>1270</v>
      </c>
      <c r="KL58" s="20" t="n">
        <f aca="false">IF(AND(H_Direct=1,DL58&gt;0),MAX(0,KK58-(MIN(DL58*AML57,KK58+NX58)-MIN(MIN(DL58*AML57,KK58+NX58),NX58))),KK58)</f>
        <v>1270</v>
      </c>
      <c r="KM58" s="20" t="n">
        <f aca="false">IF(AND(H_Direct=1,DM58&gt;0),MAX(0,KL58-(MIN(DM58*AMM57,KL58+NY58)-MIN(MIN(DM58*AMM57,KL58+NY58),NY58))),KL58)</f>
        <v>1270</v>
      </c>
      <c r="KN58" s="20" t="n">
        <f aca="false">IF(AND(H_Direct=1,DN58&gt;0),MAX(0,KM58-(MIN(DN58*AMN57,KM58+NZ58)-MIN(MIN(DN58*AMN57,KM58+NZ58),NZ58))),KM58)</f>
        <v>1270</v>
      </c>
      <c r="KO58" s="20" t="n">
        <f aca="false">IF(AND(H_Direct=1,DO58&gt;0),MAX(0,KN58-(MIN(DO58*AMO57,KN58+OA58)-MIN(MIN(DO58*AMO57,KN58+OA58),OA58))),KN58)</f>
        <v>1270</v>
      </c>
      <c r="KP58" s="20" t="n">
        <f aca="false">IF(AND(H_Direct=1,DP58&gt;0),MAX(0,KO58-(MIN(DP58*AMP57,KO58+OB58)-MIN(MIN(DP58*AMP57,KO58+OB58),OB58))),KO58)</f>
        <v>1270</v>
      </c>
      <c r="KQ58" s="20" t="n">
        <f aca="false">IF(AND(H_Direct=1,DQ58&gt;0),MAX(0,KP58-(MIN(DQ58*(P58+S58),KP58+OC58)-MIN(MIN(DQ58*(P58+S58),KP58+OC58),OC58))),KP58)</f>
        <v>1270</v>
      </c>
      <c r="KR58" s="20" t="n">
        <f aca="false">KQ58</f>
        <v>1270</v>
      </c>
      <c r="KS58" s="20" t="n">
        <f aca="false">KR58</f>
        <v>1270</v>
      </c>
      <c r="KT58" s="20" t="n">
        <f aca="false">KS58</f>
        <v>1270</v>
      </c>
      <c r="KU58" s="20" t="n">
        <f aca="false">KT58</f>
        <v>1270</v>
      </c>
      <c r="KV58" s="20" t="n">
        <f aca="false">KU58</f>
        <v>1270</v>
      </c>
      <c r="KW58" s="20" t="n">
        <f aca="false">KV58</f>
        <v>1270</v>
      </c>
      <c r="KX58" s="20" t="n">
        <f aca="false">KW58</f>
        <v>1270</v>
      </c>
      <c r="KY58" s="20" t="n">
        <f aca="false">KX58</f>
        <v>1270</v>
      </c>
      <c r="KZ58" s="20" t="n">
        <f aca="false">KY58</f>
        <v>1270</v>
      </c>
      <c r="LA58" s="20" t="n">
        <f aca="false">KZ58</f>
        <v>1270</v>
      </c>
      <c r="LB58" s="20" t="n">
        <f aca="false">LA58</f>
        <v>1270</v>
      </c>
      <c r="LC58" s="20" t="n">
        <f aca="false">LB58</f>
        <v>1270</v>
      </c>
      <c r="LD58" s="20" t="n">
        <f aca="false">LC58</f>
        <v>1270</v>
      </c>
      <c r="LE58" s="20" t="n">
        <f aca="false">LD58</f>
        <v>1270</v>
      </c>
      <c r="LF58" s="20" t="n">
        <f aca="false">LE58</f>
        <v>1270</v>
      </c>
      <c r="LG58" s="20" t="n">
        <f aca="false">LF58</f>
        <v>1270</v>
      </c>
      <c r="LH58" s="20" t="n">
        <f aca="false">LG58</f>
        <v>1270</v>
      </c>
      <c r="LI58" s="20" t="n">
        <f aca="false">LH58</f>
        <v>1270</v>
      </c>
      <c r="LJ58" s="20" t="n">
        <f aca="false">LI58</f>
        <v>1270</v>
      </c>
      <c r="LK58" s="20" t="n">
        <f aca="false">LJ58</f>
        <v>1270</v>
      </c>
      <c r="LL58" s="20" t="n">
        <f aca="false">LK58</f>
        <v>1270</v>
      </c>
      <c r="LM58" s="20" t="n">
        <f aca="false">LL58</f>
        <v>1270</v>
      </c>
      <c r="LN58" s="20" t="n">
        <f aca="false">LM58</f>
        <v>1270</v>
      </c>
      <c r="LO58" s="20" t="n">
        <f aca="false">LN58</f>
        <v>1270</v>
      </c>
      <c r="LP58" s="20" t="n">
        <f aca="false">LO58</f>
        <v>1270</v>
      </c>
      <c r="LQ58" s="20" t="n">
        <f aca="false">LP58</f>
        <v>1270</v>
      </c>
      <c r="LR58" s="20" t="n">
        <f aca="false">LQ58</f>
        <v>1270</v>
      </c>
      <c r="LS58" s="20" t="n">
        <f aca="false">LR58</f>
        <v>1270</v>
      </c>
      <c r="LT58" s="20" t="n">
        <f aca="false">LS58</f>
        <v>1270</v>
      </c>
      <c r="LU58" s="20" t="n">
        <f aca="false">LT58</f>
        <v>1270</v>
      </c>
      <c r="LV58" s="20" t="n">
        <f aca="false">LU58</f>
        <v>1270</v>
      </c>
      <c r="LW58" s="20" t="n">
        <f aca="false">LV58</f>
        <v>1270</v>
      </c>
      <c r="LX58" s="20" t="n">
        <f aca="false">LW58</f>
        <v>1270</v>
      </c>
      <c r="LY58" s="20" t="n">
        <f aca="false">LX58</f>
        <v>1270</v>
      </c>
      <c r="LZ58" s="20" t="n">
        <f aca="false">LY58</f>
        <v>1270</v>
      </c>
      <c r="MA58" s="20" t="n">
        <f aca="false">LZ58</f>
        <v>1270</v>
      </c>
      <c r="MB58" s="20" t="n">
        <f aca="false">MA58</f>
        <v>1270</v>
      </c>
      <c r="MC58" s="20" t="n">
        <f aca="false">MB58</f>
        <v>1270</v>
      </c>
      <c r="MD58" s="20" t="n">
        <f aca="false">MC58</f>
        <v>1270</v>
      </c>
      <c r="ME58" s="20" t="n">
        <f aca="false">IF(H_Direct=1,IF(BR58&lt;=0,I58-BR58*AKR57,I58-MIN(MIN(BR58*AKR57,H58+I58),I58)),I58)</f>
        <v>0</v>
      </c>
      <c r="MF58" s="20" t="n">
        <f aca="false">IF(H_Direct=1,IF(BS58&lt;=0,ME58-BS58*AKS57,ME58-MIN(MIN(BS58*AKS57,IR58+ME58),ME58)),ME58)</f>
        <v>0</v>
      </c>
      <c r="MG58" s="20" t="n">
        <f aca="false">IF(H_Direct=1,IF(BT58&lt;=0,MF58-BT58*AKT57,MF58-MIN(MIN(BT58*AKT57,IS58+MF58),MF58)),MF58)</f>
        <v>0</v>
      </c>
      <c r="MH58" s="20" t="n">
        <f aca="false">IF(H_Direct=1,IF(BU58&lt;=0,MG58-BU58*AKU57,MG58-MIN(MIN(BU58*AKU57,IT58+MG58),MG58)),MG58)</f>
        <v>0</v>
      </c>
      <c r="MI58" s="20" t="n">
        <f aca="false">IF(H_Direct=1,IF(BV58&lt;=0,MH58-BV58*AKV57,MH58-MIN(MIN(BV58*AKV57,IU58+MH58),MH58)),MH58)</f>
        <v>0</v>
      </c>
      <c r="MJ58" s="20" t="n">
        <f aca="false">IF(H_Direct=1,IF(BW58&lt;=0,MI58-BW58*AKW57,MI58-MIN(MIN(BW58*AKW57,IV58+MI58),MI58)),MI58)</f>
        <v>0</v>
      </c>
      <c r="MK58" s="20" t="n">
        <f aca="false">IF(H_Direct=1,IF(BX58&lt;=0,MJ58-BX58*AKX57,MJ58-MIN(MIN(BX58*AKX57,IW58+MJ58),MJ58)),MJ58)</f>
        <v>0</v>
      </c>
      <c r="ML58" s="20" t="n">
        <f aca="false">IF(H_Direct=1,IF(BY58&lt;=0,MK58-BY58*AKY57,MK58-MIN(MIN(BY58*AKY57,IX58+MK58),MK58)),MK58)</f>
        <v>0</v>
      </c>
      <c r="MM58" s="20" t="n">
        <f aca="false">IF(H_Direct=1,IF(BZ58&lt;=0,ML58-BZ58*AKZ57,ML58-MIN(MIN(BZ58*AKZ57,IY58+ML58),ML58)),ML58)</f>
        <v>0</v>
      </c>
      <c r="MN58" s="20" t="n">
        <f aca="false">IF(H_Direct=1,IF(CA58&lt;=0,MM58-CA58*ALA57,MM58-MIN(MIN(CA58*ALA57,IZ58+MM58),MM58)),MM58)</f>
        <v>0</v>
      </c>
      <c r="MO58" s="20" t="n">
        <f aca="false">IF(H_Direct=1,IF(CB58&lt;=0,MN58-CB58*ALB57,MN58-MIN(MIN(CB58*ALB57,JA58+MN58),MN58)),MN58)</f>
        <v>0</v>
      </c>
      <c r="MP58" s="20" t="n">
        <f aca="false">IF(H_Direct=1,IF(CC58&lt;=0,MO58-CC58*ALC57,MO58-MIN(MIN(CC58*ALC57,JB58+MO58),MO58)),MO58)</f>
        <v>0</v>
      </c>
      <c r="MQ58" s="20" t="n">
        <f aca="false">IF(H_Direct=1,IF(CD58&lt;=0,MP58-CD58*ALD57,MP58-MIN(MIN(CD58*ALD57,JC58+MP58),MP58)),MP58)</f>
        <v>0</v>
      </c>
      <c r="MR58" s="20" t="n">
        <f aca="false">IF(H_Direct=1,IF(CE58&lt;=0,MQ58-CE58*ALE57,MQ58-MIN(MIN(CE58*ALE57,JD58+MQ58),MQ58)),MQ58)</f>
        <v>0</v>
      </c>
      <c r="MS58" s="20" t="n">
        <f aca="false">IF(H_Direct=1,IF(CF58&lt;=0,MR58-CF58*ALF57,MR58-MIN(MIN(CF58*ALF57,JE58+MR58),MR58)),MR58)</f>
        <v>0</v>
      </c>
      <c r="MT58" s="20" t="n">
        <f aca="false">IF(H_Direct=1,IF(CG58&lt;=0,MS58-CG58*ALG57,MS58-MIN(MIN(CG58*ALG57,JF58+MS58),MS58)),MS58)</f>
        <v>0</v>
      </c>
      <c r="MU58" s="20" t="n">
        <f aca="false">IF(H_Direct=1,IF(CH58&lt;=0,MT58-CH58*ALH57,MT58-MIN(MIN(CH58*ALH57,JG58+MT58),MT58)),MT58)</f>
        <v>0</v>
      </c>
      <c r="MV58" s="20" t="n">
        <f aca="false">IF(H_Direct=1,IF(CI58&lt;=0,MU58-CI58*ALI57,MU58-MIN(MIN(CI58*ALI57,JH58+MU58),MU58)),MU58)</f>
        <v>0</v>
      </c>
      <c r="MW58" s="20" t="n">
        <f aca="false">IF(H_Direct=1,IF(CJ58&lt;=0,MV58-CJ58*ALJ57,MV58-MIN(MIN(CJ58*ALJ57,JI58+MV58),MV58)),MV58)</f>
        <v>0</v>
      </c>
      <c r="MX58" s="20" t="n">
        <f aca="false">IF(H_Direct=1,IF(CK58&lt;=0,MW58-CK58*ALK57,MW58-MIN(MIN(CK58*ALK57,JJ58+MW58),MW58)),MW58)</f>
        <v>0</v>
      </c>
      <c r="MY58" s="20" t="n">
        <f aca="false">IF(H_Direct=1,IF(CL58&lt;=0,MX58-CL58*ALL57,MX58-MIN(MIN(CL58*ALL57,JK58+MX58),MX58)),MX58)</f>
        <v>0</v>
      </c>
      <c r="MZ58" s="20" t="n">
        <f aca="false">IF(H_Direct=1,IF(CM58&lt;=0,MY58-CM58*ALM57,MY58-MIN(MIN(CM58*ALM57,JL58+MY58),MY58)),MY58)</f>
        <v>0</v>
      </c>
      <c r="NA58" s="20" t="n">
        <f aca="false">IF(H_Direct=1,IF(CN58&lt;=0,MZ58-CN58*ALN57,MZ58-MIN(MIN(CN58*ALN57,JM58+MZ58),MZ58)),MZ58)</f>
        <v>0</v>
      </c>
      <c r="NB58" s="20" t="n">
        <f aca="false">IF(H_Direct=1,IF(CO58&lt;=0,NA58-CO58*ALO57,NA58-MIN(MIN(CO58*ALO57,JN58+NA58),NA58)),NA58)</f>
        <v>0</v>
      </c>
      <c r="NC58" s="20" t="n">
        <f aca="false">IF(H_Direct=1,IF(CP58&lt;=0,NB58-CP58*ALP57,NB58-MIN(MIN(CP58*ALP57,JO58+NB58),NB58)),NB58)</f>
        <v>0</v>
      </c>
      <c r="ND58" s="20" t="n">
        <f aca="false">IF(H_Direct=1,IF(CQ58&lt;=0,NC58-CQ58*ALQ57,NC58-MIN(MIN(CQ58*ALQ57,JP58+NC58),NC58)),NC58)</f>
        <v>0</v>
      </c>
      <c r="NE58" s="20" t="n">
        <f aca="false">IF(H_Direct=1,IF(CR58&lt;=0,ND58-CR58*ALR57,ND58-MIN(MIN(CR58*ALR57,JQ58+ND58),ND58)),ND58)</f>
        <v>0</v>
      </c>
      <c r="NF58" s="20" t="n">
        <f aca="false">IF(H_Direct=1,IF(CS58&lt;=0,NE58-CS58*ALS57,NE58-MIN(MIN(CS58*ALS57,JR58+NE58),NE58)),NE58)</f>
        <v>0</v>
      </c>
      <c r="NG58" s="20" t="n">
        <f aca="false">IF(H_Direct=1,IF(CT58&lt;=0,NF58-CT58*ALT57,NF58-MIN(MIN(CT58*ALT57,JS58+NF58),NF58)),NF58)</f>
        <v>0</v>
      </c>
      <c r="NH58" s="20" t="n">
        <f aca="false">IF(H_Direct=1,IF(CU58&lt;=0,NG58-CU58*ALU57,NG58-MIN(MIN(CU58*ALU57,JT58+NG58),NG58)),NG58)</f>
        <v>0</v>
      </c>
      <c r="NI58" s="20" t="n">
        <f aca="false">IF(H_Direct=1,IF(CV58&lt;=0,NH58-CV58*ALV57,NH58-MIN(MIN(CV58*ALV57,JU58+NH58),NH58)),NH58)</f>
        <v>0</v>
      </c>
      <c r="NJ58" s="20" t="n">
        <f aca="false">IF(H_Direct=1,IF(CW58&lt;=0,NI58-CW58*ALW57,NI58-MIN(MIN(CW58*ALW57,JV58+NI58),NI58)),NI58)</f>
        <v>0</v>
      </c>
      <c r="NK58" s="20" t="n">
        <f aca="false">IF(H_Direct=1,IF(CX58&lt;=0,NJ58-CX58*ALX57,NJ58-MIN(MIN(CX58*ALX57,JW58+NJ58),NJ58)),NJ58)</f>
        <v>0</v>
      </c>
      <c r="NL58" s="20" t="n">
        <f aca="false">IF(H_Direct=1,IF(CY58&lt;=0,NK58-CY58*ALY57,NK58-MIN(MIN(CY58*ALY57,JX58+NK58),NK58)),NK58)</f>
        <v>0</v>
      </c>
      <c r="NM58" s="20" t="n">
        <f aca="false">IF(H_Direct=1,IF(CZ58&lt;=0,NL58-CZ58*ALZ57,NL58-MIN(MIN(CZ58*ALZ57,JY58+NL58),NL58)),NL58)</f>
        <v>0</v>
      </c>
      <c r="NN58" s="20" t="n">
        <f aca="false">IF(H_Direct=1,IF(DA58&lt;=0,NM58-DA58*AMA57,NM58-MIN(MIN(DA58*AMA57,JZ58+NM58),NM58)),NM58)</f>
        <v>0</v>
      </c>
      <c r="NO58" s="20" t="n">
        <f aca="false">IF(H_Direct=1,IF(DB58&lt;=0,NN58-DB58*AMB57,NN58-MIN(MIN(DB58*AMB57,KA58+NN58),NN58)),NN58)</f>
        <v>0</v>
      </c>
      <c r="NP58" s="20" t="n">
        <f aca="false">IF(H_Direct=1,IF(DC58&lt;=0,NO58-DC58*AMC57,NO58-MIN(MIN(DC58*AMC57,KB58+NO58),NO58)),NO58)</f>
        <v>0</v>
      </c>
      <c r="NQ58" s="20" t="n">
        <f aca="false">IF(H_Direct=1,IF(DD58&lt;=0,NP58-DD58*AMD57,NP58-MIN(MIN(DD58*AMD57,KC58+NP58),NP58)),NP58)</f>
        <v>0</v>
      </c>
      <c r="NR58" s="20" t="n">
        <f aca="false">IF(H_Direct=1,IF(DE58&lt;=0,NQ58-DE58*AME57,NQ58-MIN(MIN(DE58*AME57,KD58+NQ58),NQ58)),NQ58)</f>
        <v>0</v>
      </c>
      <c r="NS58" s="20" t="n">
        <f aca="false">IF(H_Direct=1,IF(DF58&lt;=0,NR58-DF58*AMF57,NR58-MIN(MIN(DF58*AMF57,KE58+NR58),NR58)),NR58)</f>
        <v>0</v>
      </c>
      <c r="NT58" s="20" t="n">
        <f aca="false">IF(H_Direct=1,IF(DG58&lt;=0,NS58-DG58*AMG57,NS58-MIN(MIN(DG58*AMG57,KF58+NS58),NS58)),NS58)</f>
        <v>0</v>
      </c>
      <c r="NU58" s="20" t="n">
        <f aca="false">IF(H_Direct=1,IF(DH58&lt;=0,NT58-DH58*AMH57,NT58-MIN(MIN(DH58*AMH57,KG58+NT58),NT58)),NT58)</f>
        <v>0</v>
      </c>
      <c r="NV58" s="20" t="n">
        <f aca="false">IF(H_Direct=1,IF(DI58&lt;=0,NU58-DI58*AMI57,NU58-MIN(MIN(DI58*AMI57,KH58+NU58),NU58)),NU58)</f>
        <v>0</v>
      </c>
      <c r="NW58" s="20" t="n">
        <f aca="false">IF(H_Direct=1,IF(DJ58&lt;=0,NV58-DJ58*AMJ57,NV58-MIN(MIN(DJ58*AMJ57,KI58+NV58),NV58)),NV58)</f>
        <v>0</v>
      </c>
      <c r="NX58" s="20" t="n">
        <f aca="false">IF(H_Direct=1,IF(DK58&lt;=0,NW58-DK58*AMK57,NW58-MIN(MIN(DK58*AMK57,KJ58+NW58),NW58)),NW58)</f>
        <v>0</v>
      </c>
      <c r="NY58" s="20" t="n">
        <f aca="false">IF(H_Direct=1,IF(DL58&lt;=0,NX58-DL58*AML57,NX58-MIN(MIN(DL58*AML57,KK58+NX58),NX58)),NX58)</f>
        <v>0</v>
      </c>
      <c r="NZ58" s="20" t="n">
        <f aca="false">IF(H_Direct=1,IF(DM58&lt;=0,NY58-DM58*AMM57,NY58-MIN(MIN(DM58*AMM57,KL58+NY58),NY58)),NY58)</f>
        <v>0</v>
      </c>
      <c r="OA58" s="20" t="n">
        <f aca="false">IF(H_Direct=1,IF(DN58&lt;=0,NZ58-DN58*AMN57,NZ58-MIN(MIN(DN58*AMN57,KM58+NZ58),NZ58)),NZ58)</f>
        <v>0</v>
      </c>
      <c r="OB58" s="20" t="n">
        <f aca="false">IF(H_Direct=1,IF(DO58&lt;=0,OA58-DO58*AMO57,OA58-MIN(MIN(DO58*AMO57,KN58+OA58),OA58)),OA58)</f>
        <v>0</v>
      </c>
      <c r="OC58" s="20" t="n">
        <f aca="false">IF(H_Direct=1,IF(DP58&lt;=0,OB58-DP58*AMP57,OB58-MIN(MIN(DP58*AMP57,KO58+OB58),OB58)),OB58)</f>
        <v>0</v>
      </c>
      <c r="OD58" s="20" t="n">
        <f aca="false">IF(H_Direct=1,IF(DQ58&lt;=0,OC58-DQ58*(P58+S58),OC58-MIN(MIN(DQ58*(P58+S58),KP58+OC58),OC58)),OC58)</f>
        <v>0</v>
      </c>
      <c r="OE58" s="20" t="n">
        <f aca="false">OD58</f>
        <v>0</v>
      </c>
      <c r="OF58" s="20" t="n">
        <f aca="false">OE58</f>
        <v>0</v>
      </c>
      <c r="OG58" s="20" t="n">
        <f aca="false">OF58</f>
        <v>0</v>
      </c>
      <c r="OH58" s="20" t="n">
        <f aca="false">OG58</f>
        <v>0</v>
      </c>
      <c r="OI58" s="20" t="n">
        <f aca="false">OH58</f>
        <v>0</v>
      </c>
      <c r="OJ58" s="20" t="n">
        <f aca="false">OI58</f>
        <v>0</v>
      </c>
      <c r="OK58" s="20" t="n">
        <f aca="false">OJ58</f>
        <v>0</v>
      </c>
      <c r="OL58" s="20" t="n">
        <f aca="false">OK58</f>
        <v>0</v>
      </c>
      <c r="OM58" s="20" t="n">
        <f aca="false">OL58</f>
        <v>0</v>
      </c>
      <c r="ON58" s="20" t="n">
        <f aca="false">OM58</f>
        <v>0</v>
      </c>
      <c r="OO58" s="20" t="n">
        <f aca="false">ON58</f>
        <v>0</v>
      </c>
      <c r="OP58" s="20" t="n">
        <f aca="false">OO58</f>
        <v>0</v>
      </c>
      <c r="OQ58" s="20" t="n">
        <f aca="false">OP58</f>
        <v>0</v>
      </c>
      <c r="OR58" s="20" t="n">
        <f aca="false">OQ58</f>
        <v>0</v>
      </c>
      <c r="OS58" s="20" t="n">
        <f aca="false">OR58</f>
        <v>0</v>
      </c>
      <c r="OT58" s="20" t="n">
        <f aca="false">OS58</f>
        <v>0</v>
      </c>
      <c r="OU58" s="20" t="n">
        <f aca="false">OT58</f>
        <v>0</v>
      </c>
      <c r="OV58" s="20" t="n">
        <f aca="false">OU58</f>
        <v>0</v>
      </c>
      <c r="OW58" s="20" t="n">
        <f aca="false">OV58</f>
        <v>0</v>
      </c>
      <c r="OX58" s="20" t="n">
        <f aca="false">OW58</f>
        <v>0</v>
      </c>
      <c r="OY58" s="20" t="n">
        <f aca="false">OX58</f>
        <v>0</v>
      </c>
      <c r="OZ58" s="20" t="n">
        <f aca="false">OY58</f>
        <v>0</v>
      </c>
      <c r="PA58" s="20" t="n">
        <f aca="false">OZ58</f>
        <v>0</v>
      </c>
      <c r="PB58" s="20" t="n">
        <f aca="false">PA58</f>
        <v>0</v>
      </c>
      <c r="PC58" s="20" t="n">
        <f aca="false">PB58</f>
        <v>0</v>
      </c>
      <c r="PD58" s="20" t="n">
        <f aca="false">PC58</f>
        <v>0</v>
      </c>
      <c r="PE58" s="20" t="n">
        <f aca="false">PD58</f>
        <v>0</v>
      </c>
      <c r="PF58" s="20" t="n">
        <f aca="false">PE58</f>
        <v>0</v>
      </c>
      <c r="PG58" s="20" t="n">
        <f aca="false">PF58</f>
        <v>0</v>
      </c>
      <c r="PH58" s="20" t="n">
        <f aca="false">PG58</f>
        <v>0</v>
      </c>
      <c r="PI58" s="20" t="n">
        <f aca="false">PH58</f>
        <v>0</v>
      </c>
      <c r="PJ58" s="20" t="n">
        <f aca="false">PI58</f>
        <v>0</v>
      </c>
      <c r="PK58" s="20" t="n">
        <f aca="false">PJ58</f>
        <v>0</v>
      </c>
      <c r="PL58" s="20" t="n">
        <f aca="false">PK58</f>
        <v>0</v>
      </c>
      <c r="PM58" s="20" t="n">
        <f aca="false">PL58</f>
        <v>0</v>
      </c>
      <c r="PN58" s="20" t="n">
        <f aca="false">PM58</f>
        <v>0</v>
      </c>
      <c r="PO58" s="20" t="n">
        <f aca="false">PN58</f>
        <v>0</v>
      </c>
      <c r="PP58" s="20" t="n">
        <f aca="false">PO58</f>
        <v>0</v>
      </c>
      <c r="PQ58" s="20" t="n">
        <f aca="false">PP58</f>
        <v>0</v>
      </c>
      <c r="PR58" s="20" t="n">
        <f aca="false">IF(H_Direct=1,IF(AKR57&lt;=0,0,IF(BR58&lt;=0,MIN(MAX(0,AB58),AKR57),MIN(MAX(0,AB58),AKR57-G58*MAX(0,BR58*AKR57-(H58+I58))))),MIN(FE58,MAX(0,AB58)))</f>
        <v>0</v>
      </c>
      <c r="PS58" s="20" t="n">
        <f aca="false">IF(H_Direct=1,IF(AKS57&lt;=0,0,IF(BS58&lt;=0,MIN(MAX(0,AB58-SUM(PR58:PR58)),AKS57),MIN(MAX(0,AB58-SUM(PR58:PR58)),AKS57-G58*MAX(0,BS58*AKS57-(WR58+AAE58))))),MIN(FF58,MAX(0,AB58-SUM(PR58:PR58))))</f>
        <v>0</v>
      </c>
      <c r="PT58" s="20" t="n">
        <f aca="false">IF(H_Direct=1,IF(AKT57&lt;=0,0,IF(BT58&lt;=0,MIN(MAX(0,AB58-SUM(PR58:PS58)),AKT57),MIN(MAX(0,AB58-SUM(PR58:PS58)),AKT57-G58*MAX(0,BT58*AKT57-(WS58+AAF58))))),MIN(FG58,MAX(0,AB58-SUM(PR58:PS58))))</f>
        <v>0</v>
      </c>
      <c r="PU58" s="20" t="n">
        <f aca="false">IF(H_Direct=1,IF(AKU57&lt;=0,0,IF(BU58&lt;=0,MIN(MAX(0,AB58-SUM(PR58:PT58)),AKU57),MIN(MAX(0,AB58-SUM(PR58:PT58)),AKU57-G58*MAX(0,BU58*AKU57-(WT58+AAG58))))),MIN(FH58,MAX(0,AB58-SUM(PR58:PT58))))</f>
        <v>0</v>
      </c>
      <c r="PV58" s="20" t="n">
        <f aca="false">IF(H_Direct=1,IF(AKV57&lt;=0,0,IF(BV58&lt;=0,MIN(MAX(0,AB58-SUM(PR58:PU58)),AKV57),MIN(MAX(0,AB58-SUM(PR58:PU58)),AKV57-G58*MAX(0,BV58*AKV57-(WU58+AAH58))))),MIN(FI58,MAX(0,AB58-SUM(PR58:PU58))))</f>
        <v>0</v>
      </c>
      <c r="PW58" s="20" t="n">
        <f aca="false">IF(H_Direct=1,IF(AKW57&lt;=0,0,IF(BW58&lt;=0,MIN(MAX(0,AB58-SUM(PR58:PV58)),AKW57),MIN(MAX(0,AB58-SUM(PR58:PV58)),AKW57-G58*MAX(0,BW58*AKW57-(WV58+AAI58))))),MIN(FJ58,MAX(0,AB58-SUM(PR58:PV58))))</f>
        <v>0</v>
      </c>
      <c r="PX58" s="20" t="n">
        <f aca="false">IF(H_Direct=1,IF(AKX57&lt;=0,0,IF(BX58&lt;=0,MIN(MAX(0,AB58-SUM(PR58:PW58)),AKX57),MIN(MAX(0,AB58-SUM(PR58:PW58)),AKX57-G58*MAX(0,BX58*AKX57-(WW58+AAJ58))))),MIN(FK58,MAX(0,AB58-SUM(PR58:PW58))))</f>
        <v>0</v>
      </c>
      <c r="PY58" s="20" t="n">
        <f aca="false">IF(H_Direct=1,IF(AKY57&lt;=0,0,IF(BY58&lt;=0,MIN(MAX(0,AB58-SUM(PR58:PX58)),AKY57),MIN(MAX(0,AB58-SUM(PR58:PX58)),AKY57-G58*MAX(0,BY58*AKY57-(WX58+AAK58))))),MIN(FL58,MAX(0,AB58-SUM(PR58:PX58))))</f>
        <v>0</v>
      </c>
      <c r="PZ58" s="20" t="n">
        <f aca="false">IF(H_Direct=1,IF(AKZ57&lt;=0,0,IF(BZ58&lt;=0,MIN(MAX(0,AB58-SUM(PR58:PY58)),AKZ57),MIN(MAX(0,AB58-SUM(PR58:PY58)),AKZ57-G58*MAX(0,BZ58*AKZ57-(WY58+AAL58))))),MIN(FM58,MAX(0,AB58-SUM(PR58:PY58))))</f>
        <v>0</v>
      </c>
      <c r="QA58" s="20" t="n">
        <f aca="false">IF(H_Direct=1,IF(ALA57&lt;=0,0,IF(CA58&lt;=0,MIN(MAX(0,AB58-SUM(PR58:PZ58)),ALA57),MIN(MAX(0,AB58-SUM(PR58:PZ58)),ALA57-G58*MAX(0,CA58*ALA57-(WZ58+AAM58))))),MIN(FN58,MAX(0,AB58-SUM(PR58:PZ58))))</f>
        <v>0</v>
      </c>
      <c r="QB58" s="20" t="n">
        <f aca="false">IF(H_Direct=1,IF(ALB57&lt;=0,0,IF(CB58&lt;=0,MIN(MAX(0,AB58-SUM(PR58:QA58)),ALB57),MIN(MAX(0,AB58-SUM(PR58:QA58)),ALB57-G58*MAX(0,CB58*ALB57-(XA58+AAN58))))),MIN(FO58,MAX(0,AB58-SUM(PR58:QA58))))</f>
        <v>0</v>
      </c>
      <c r="QC58" s="20" t="n">
        <f aca="false">IF(H_Direct=1,IF(ALC57&lt;=0,0,IF(CC58&lt;=0,MIN(MAX(0,AB58-SUM(PR58:QB58)),ALC57),MIN(MAX(0,AB58-SUM(PR58:QB58)),ALC57-G58*MAX(0,CC58*ALC57-(XB58+AAO58))))),MIN(FP58,MAX(0,AB58-SUM(PR58:QB58))))</f>
        <v>0</v>
      </c>
      <c r="QD58" s="20" t="n">
        <f aca="false">IF(H_Direct=1,IF(ALD57&lt;=0,0,IF(CD58&lt;=0,MIN(MAX(0,AB58-SUM(PR58:QC58)),ALD57),MIN(MAX(0,AB58-SUM(PR58:QC58)),ALD57-G58*MAX(0,CD58*ALD57-(XC58+AAP58))))),MIN(FQ58,MAX(0,AB58-SUM(PR58:QC58))))</f>
        <v>0</v>
      </c>
      <c r="QE58" s="20" t="n">
        <f aca="false">IF(H_Direct=1,IF(ALE57&lt;=0,0,IF(CE58&lt;=0,MIN(MAX(0,AB58-SUM(PR58:QD58)),ALE57),MIN(MAX(0,AB58-SUM(PR58:QD58)),ALE57-G58*MAX(0,CE58*ALE57-(XD58+AAQ58))))),MIN(FR58,MAX(0,AB58-SUM(PR58:QD58))))</f>
        <v>0</v>
      </c>
      <c r="QF58" s="20" t="n">
        <f aca="false">IF(H_Direct=1,IF(ALF57&lt;=0,0,IF(CF58&lt;=0,MIN(MAX(0,AB58-SUM(PR58:QE58)),ALF57),MIN(MAX(0,AB58-SUM(PR58:QE58)),ALF57-G58*MAX(0,CF58*ALF57-(XE58+AAR58))))),MIN(FS58,MAX(0,AB58-SUM(PR58:QE58))))</f>
        <v>0</v>
      </c>
      <c r="QG58" s="20" t="n">
        <f aca="false">IF(H_Direct=1,IF(ALG57&lt;=0,0,IF(CG58&lt;=0,MIN(MAX(0,AB58-SUM(PR58:QF58)),ALG57),MIN(MAX(0,AB58-SUM(PR58:QF58)),ALG57-G58*MAX(0,CG58*ALG57-(XF58+AAS58))))),MIN(FT58,MAX(0,AB58-SUM(PR58:QF58))))</f>
        <v>0</v>
      </c>
      <c r="QH58" s="20" t="n">
        <f aca="false">IF(H_Direct=1,IF(ALH57&lt;=0,0,IF(CH58&lt;=0,MIN(MAX(0,AB58-SUM(PR58:QG58)),ALH57),MIN(MAX(0,AB58-SUM(PR58:QG58)),ALH57-G58*MAX(0,CH58*ALH57-(XG58+AAT58))))),MIN(FU58,MAX(0,AB58-SUM(PR58:QG58))))</f>
        <v>0</v>
      </c>
      <c r="QI58" s="20" t="n">
        <f aca="false">IF(H_Direct=1,IF(ALI57&lt;=0,0,IF(CI58&lt;=0,MIN(MAX(0,AB58-SUM(PR58:QH58)),ALI57),MIN(MAX(0,AB58-SUM(PR58:QH58)),ALI57-G58*MAX(0,CI58*ALI57-(XH58+AAU58))))),MIN(FV58,MAX(0,AB58-SUM(PR58:QH58))))</f>
        <v>0</v>
      </c>
      <c r="QJ58" s="20" t="n">
        <f aca="false">IF(H_Direct=1,IF(ALJ57&lt;=0,0,IF(CJ58&lt;=0,MIN(MAX(0,AB58-SUM(PR58:QI58)),ALJ57),MIN(MAX(0,AB58-SUM(PR58:QI58)),ALJ57-G58*MAX(0,CJ58*ALJ57-(XI58+AAV58))))),MIN(FW58,MAX(0,AB58-SUM(PR58:QI58))))</f>
        <v>0</v>
      </c>
      <c r="QK58" s="20" t="n">
        <f aca="false">IF(H_Direct=1,IF(ALK57&lt;=0,0,IF(CK58&lt;=0,MIN(MAX(0,AB58-SUM(PR58:QJ58)),ALK57),MIN(MAX(0,AB58-SUM(PR58:QJ58)),ALK57-G58*MAX(0,CK58*ALK57-(XJ58+AAW58))))),MIN(FX58,MAX(0,AB58-SUM(PR58:QJ58))))</f>
        <v>0</v>
      </c>
      <c r="QL58" s="20" t="n">
        <f aca="false">IF(H_Direct=1,IF(ALL57&lt;=0,0,IF(CL58&lt;=0,MIN(MAX(0,AB58-SUM(PR58:QK58)),ALL57),MIN(MAX(0,AB58-SUM(PR58:QK58)),ALL57-G58*MAX(0,CL58*ALL57-(XK58+AAX58))))),MIN(FY58,MAX(0,AB58-SUM(PR58:QK58))))</f>
        <v>0</v>
      </c>
      <c r="QM58" s="20" t="n">
        <f aca="false">IF(H_Direct=1,IF(ALM57&lt;=0,0,IF(CM58&lt;=0,MIN(MAX(0,AB58-SUM(PR58:QL58)),ALM57),MIN(MAX(0,AB58-SUM(PR58:QL58)),ALM57-G58*MAX(0,CM58*ALM57-(XL58+AAY58))))),MIN(FZ58,MAX(0,AB58-SUM(PR58:QL58))))</f>
        <v>0</v>
      </c>
      <c r="QN58" s="20" t="n">
        <f aca="false">IF(H_Direct=1,IF(ALN57&lt;=0,0,IF(CN58&lt;=0,MIN(MAX(0,AB58-SUM(PR58:QM58)),ALN57),MIN(MAX(0,AB58-SUM(PR58:QM58)),ALN57-G58*MAX(0,CN58*ALN57-(XM58+AAZ58))))),MIN(GA58,MAX(0,AB58-SUM(PR58:QM58))))</f>
        <v>0</v>
      </c>
      <c r="QO58" s="20" t="n">
        <f aca="false">IF(H_Direct=1,IF(ALO57&lt;=0,0,IF(CO58&lt;=0,MIN(MAX(0,AB58-SUM(PR58:QN58)),ALO57),MIN(MAX(0,AB58-SUM(PR58:QN58)),ALO57-G58*MAX(0,CO58*ALO57-(XN58+ABA58))))),MIN(GB58,MAX(0,AB58-SUM(PR58:QN58))))</f>
        <v>0</v>
      </c>
      <c r="QP58" s="20" t="n">
        <f aca="false">IF(H_Direct=1,IF(ALP57&lt;=0,0,IF(CP58&lt;=0,MIN(MAX(0,AB58-SUM(PR58:QO58)),ALP57),MIN(MAX(0,AB58-SUM(PR58:QO58)),ALP57-G58*MAX(0,CP58*ALP57-(XO58+ABB58))))),MIN(GC58,MAX(0,AB58-SUM(PR58:QO58))))</f>
        <v>0</v>
      </c>
      <c r="QQ58" s="20" t="n">
        <f aca="false">IF(H_Direct=1,IF(ALQ57&lt;=0,0,IF(CQ58&lt;=0,MIN(MAX(0,AB58-SUM(PR58:QP58)),ALQ57),MIN(MAX(0,AB58-SUM(PR58:QP58)),ALQ57-G58*MAX(0,CQ58*ALQ57-(XP58+ABC58))))),MIN(GD58,MAX(0,AB58-SUM(PR58:QP58))))</f>
        <v>0</v>
      </c>
      <c r="QR58" s="20" t="n">
        <f aca="false">IF(H_Direct=1,IF(ALR57&lt;=0,0,IF(CR58&lt;=0,MIN(MAX(0,AB58-SUM(PR58:QQ58)),ALR57),MIN(MAX(0,AB58-SUM(PR58:QQ58)),ALR57-G58*MAX(0,CR58*ALR57-(XQ58+ABD58))))),MIN(GE58,MAX(0,AB58-SUM(PR58:QQ58))))</f>
        <v>0</v>
      </c>
      <c r="QS58" s="20" t="n">
        <f aca="false">IF(H_Direct=1,IF(ALS57&lt;=0,0,IF(CS58&lt;=0,MIN(MAX(0,AB58-SUM(PR58:QR58)),ALS57),MIN(MAX(0,AB58-SUM(PR58:QR58)),ALS57-G58*MAX(0,CS58*ALS57-(XR58+ABE58))))),MIN(GF58,MAX(0,AB58-SUM(PR58:QR58))))</f>
        <v>0</v>
      </c>
      <c r="QT58" s="20" t="n">
        <f aca="false">IF(H_Direct=1,IF(ALT57&lt;=0,0,IF(CT58&lt;=0,MIN(MAX(0,AB58-SUM(PR58:QS58)),ALT57),MIN(MAX(0,AB58-SUM(PR58:QS58)),ALT57-G58*MAX(0,CT58*ALT57-(XS58+ABF58))))),MIN(GG58,MAX(0,AB58-SUM(PR58:QS58))))</f>
        <v>0</v>
      </c>
      <c r="QU58" s="20" t="n">
        <f aca="false">IF(H_Direct=1,IF(ALU57&lt;=0,0,IF(CU58&lt;=0,MIN(MAX(0,AB58-SUM(PR58:QT58)),ALU57),MIN(MAX(0,AB58-SUM(PR58:QT58)),ALU57-G58*MAX(0,CU58*ALU57-(XT58+ABG58))))),MIN(GH58,MAX(0,AB58-SUM(PR58:QT58))))</f>
        <v>0</v>
      </c>
      <c r="QV58" s="20" t="n">
        <f aca="false">IF(H_Direct=1,IF(ALV57&lt;=0,0,IF(CV58&lt;=0,MIN(MAX(0,AB58-SUM(PR58:QU58)),ALV57),MIN(MAX(0,AB58-SUM(PR58:QU58)),ALV57-G58*MAX(0,CV58*ALV57-(XU58+ABH58))))),MIN(GI58,MAX(0,AB58-SUM(PR58:QU58))))</f>
        <v>0</v>
      </c>
      <c r="QW58" s="20" t="n">
        <f aca="false">IF(H_Direct=1,IF(ALW57&lt;=0,0,IF(CW58&lt;=0,MIN(MAX(0,AB58-SUM(PR58:QV58)),ALW57),MIN(MAX(0,AB58-SUM(PR58:QV58)),ALW57-G58*MAX(0,CW58*ALW57-(XV58+ABI58))))),MIN(GJ58,MAX(0,AB58-SUM(PR58:QV58))))</f>
        <v>0</v>
      </c>
      <c r="QX58" s="20" t="n">
        <f aca="false">IF(H_Direct=1,IF(ALX57&lt;=0,0,IF(CX58&lt;=0,MIN(MAX(0,AB58-SUM(PR58:QW58)),ALX57),MIN(MAX(0,AB58-SUM(PR58:QW58)),ALX57-G58*MAX(0,CX58*ALX57-(XW58+ABJ58))))),MIN(GK58,MAX(0,AB58-SUM(PR58:QW58))))</f>
        <v>0</v>
      </c>
      <c r="QY58" s="20" t="n">
        <f aca="false">IF(H_Direct=1,IF(ALY57&lt;=0,0,IF(CY58&lt;=0,MIN(MAX(0,AB58-SUM(PR58:QX58)),ALY57),MIN(MAX(0,AB58-SUM(PR58:QX58)),ALY57-G58*MAX(0,CY58*ALY57-(XX58+ABK58))))),MIN(GL58,MAX(0,AB58-SUM(PR58:QX58))))</f>
        <v>0</v>
      </c>
      <c r="QZ58" s="20" t="n">
        <f aca="false">IF(H_Direct=1,IF(ALZ57&lt;=0,0,IF(CZ58&lt;=0,MIN(MAX(0,AB58-SUM(PR58:QY58)),ALZ57),MIN(MAX(0,AB58-SUM(PR58:QY58)),ALZ57-G58*MAX(0,CZ58*ALZ57-(XY58+ABL58))))),MIN(GM58,MAX(0,AB58-SUM(PR58:QY58))))</f>
        <v>0</v>
      </c>
      <c r="RA58" s="20" t="n">
        <f aca="false">IF(H_Direct=1,IF(AMA57&lt;=0,0,IF(DA58&lt;=0,MIN(MAX(0,AB58-SUM(PR58:QZ58)),AMA57),MIN(MAX(0,AB58-SUM(PR58:QZ58)),AMA57-G58*MAX(0,DA58*AMA57-(XZ58+ABM58))))),MIN(GN58,MAX(0,AB58-SUM(PR58:QZ58))))</f>
        <v>0</v>
      </c>
      <c r="RB58" s="20" t="n">
        <f aca="false">IF(H_Direct=1,IF(AMB57&lt;=0,0,IF(DB58&lt;=0,MIN(MAX(0,AB58-SUM(PR58:RA58)),AMB57),MIN(MAX(0,AB58-SUM(PR58:RA58)),AMB57-G58*MAX(0,DB58*AMB57-(YA58+ABN58))))),MIN(GO58,MAX(0,AB58-SUM(PR58:RA58))))</f>
        <v>0</v>
      </c>
      <c r="RC58" s="20" t="n">
        <f aca="false">IF(H_Direct=1,IF(AMC57&lt;=0,0,IF(DC58&lt;=0,MIN(MAX(0,AB58-SUM(PR58:RB58)),AMC57),MIN(MAX(0,AB58-SUM(PR58:RB58)),AMC57-G58*MAX(0,DC58*AMC57-(YB58+ABO58))))),MIN(GP58,MAX(0,AB58-SUM(PR58:RB58))))</f>
        <v>0</v>
      </c>
      <c r="RD58" s="20" t="n">
        <f aca="false">IF(H_Direct=1,IF(AMD57&lt;=0,0,IF(DD58&lt;=0,MIN(MAX(0,AB58-SUM(PR58:RC58)),AMD57),MIN(MAX(0,AB58-SUM(PR58:RC58)),AMD57-G58*MAX(0,DD58*AMD57-(YC58+ABP58))))),MIN(GQ58,MAX(0,AB58-SUM(PR58:RC58))))</f>
        <v>0</v>
      </c>
      <c r="RE58" s="20" t="n">
        <f aca="false">IF(H_Direct=1,IF(AME57&lt;=0,0,IF(DE58&lt;=0,MIN(MAX(0,AB58-SUM(PR58:RD58)),AME57),MIN(MAX(0,AB58-SUM(PR58:RD58)),AME57-G58*MAX(0,DE58*AME57-(YD58+ABQ58))))),MIN(GR58,MAX(0,AB58-SUM(PR58:RD58))))</f>
        <v>0</v>
      </c>
      <c r="RF58" s="20" t="n">
        <f aca="false">IF(H_Direct=1,IF(AMF57&lt;=0,0,IF(DF58&lt;=0,MIN(MAX(0,AB58-SUM(PR58:RE58)),AMF57),MIN(MAX(0,AB58-SUM(PR58:RE58)),AMF57-G58*MAX(0,DF58*AMF57-(YE58+ABR58))))),MIN(GS58,MAX(0,AB58-SUM(PR58:RE58))))</f>
        <v>0</v>
      </c>
      <c r="RG58" s="20" t="n">
        <f aca="false">IF(H_Direct=1,IF(AMG57&lt;=0,0,IF(DG58&lt;=0,MIN(MAX(0,AB58-SUM(PR58:RF58)),AMG57),MIN(MAX(0,AB58-SUM(PR58:RF58)),AMG57-G58*MAX(0,DG58*AMG57-(YF58+ABS58))))),MIN(GT58,MAX(0,AB58-SUM(PR58:RF58))))</f>
        <v>0</v>
      </c>
      <c r="RH58" s="20" t="n">
        <f aca="false">IF(H_Direct=1,IF(AMH57&lt;=0,0,IF(DH58&lt;=0,MIN(MAX(0,AB58-SUM(PR58:RG58)),AMH57),MIN(MAX(0,AB58-SUM(PR58:RG58)),AMH57-G58*MAX(0,DH58*AMH57-(YG58+ABT58))))),MIN(GU58,MAX(0,AB58-SUM(PR58:RG58))))</f>
        <v>0</v>
      </c>
      <c r="RI58" s="20" t="n">
        <f aca="false">IF(H_Direct=1,IF(AMI57&lt;=0,0,IF(DI58&lt;=0,MIN(MAX(0,AB58-SUM(PR58:RH58)),AMI57),MIN(MAX(0,AB58-SUM(PR58:RH58)),AMI57-G58*MAX(0,DI58*AMI57-(YH58+ABU58))))),MIN(GV58,MAX(0,AB58-SUM(PR58:RH58))))</f>
        <v>0</v>
      </c>
      <c r="RJ58" s="20" t="n">
        <f aca="false">IF(H_Direct=1,IF(AMJ57&lt;=0,0,IF(DJ58&lt;=0,MIN(MAX(0,AB58-SUM(PR58:RI58)),AMJ57),MIN(MAX(0,AB58-SUM(PR58:RI58)),AMJ57-G58*MAX(0,DJ58*AMJ57-(YI58+ABV58))))),MIN(GW58,MAX(0,AB58-SUM(PR58:RI58))))</f>
        <v>0</v>
      </c>
      <c r="RK58" s="20" t="n">
        <f aca="false">IF(H_Direct=1,IF(AMK57&lt;=0,0,IF(DK58&lt;=0,MIN(MAX(0,AB58-SUM(PR58:RJ58)),AMK57),MIN(MAX(0,AB58-SUM(PR58:RJ58)),AMK57-G58*MAX(0,DK58*AMK57-(YJ58+ABW58))))),MIN(GX58,MAX(0,AB58-SUM(PR58:RJ58))))</f>
        <v>0</v>
      </c>
      <c r="RL58" s="20" t="n">
        <f aca="false">IF(H_Direct=1,IF(AML57&lt;=0,0,IF(DL58&lt;=0,MIN(MAX(0,AB58-SUM(PR58:RK58)),AML57),MIN(MAX(0,AB58-SUM(PR58:RK58)),AML57-G58*MAX(0,DL58*AML57-(YK58+ABX58))))),MIN(GY58,MAX(0,AB58-SUM(PR58:RK58))))</f>
        <v>0</v>
      </c>
      <c r="RM58" s="20" t="n">
        <f aca="false">IF(H_Direct=1,IF(AMM57&lt;=0,0,IF(DM58&lt;=0,MIN(MAX(0,AB58-SUM(PR58:RL58)),AMM57),MIN(MAX(0,AB58-SUM(PR58:RL58)),AMM57-G58*MAX(0,DM58*AMM57-(YL58+ABY58))))),MIN(GZ58,MAX(0,AB58-SUM(PR58:RL58))))</f>
        <v>0</v>
      </c>
      <c r="RN58" s="20" t="n">
        <f aca="false">IF(H_Direct=1,IF(AMN57&lt;=0,0,IF(DN58&lt;=0,MIN(MAX(0,AB58-SUM(PR58:RM58)),AMN57),MIN(MAX(0,AB58-SUM(PR58:RM58)),AMN57-G58*MAX(0,DN58*AMN57-(YM58+ABZ58))))),MIN(HA58,MAX(0,AB58-SUM(PR58:RM58))))</f>
        <v>0</v>
      </c>
      <c r="RO58" s="20" t="n">
        <f aca="false">IF(H_Direct=1,IF(AMO57&lt;=0,0,IF(DO58&lt;=0,MIN(MAX(0,AB58-SUM(PR58:RN58)),AMO57),MIN(MAX(0,AB58-SUM(PR58:RN58)),AMO57-G58*MAX(0,DO58*AMO57-(YN58+ACA58))))),MIN(HB58,MAX(0,AB58-SUM(PR58:RN58))))</f>
        <v>0</v>
      </c>
      <c r="RP58" s="20" t="n">
        <f aca="false">IF(H_Direct=1,IF(AMP57&lt;=0,0,IF(DP58&lt;=0,MIN(MAX(0,AB58-SUM(PR58:RO58)),AMP57),MIN(MAX(0,AB58-SUM(PR58:RO58)),AMP57-G58*MAX(0,DP58*AMP57-(YO58+ACB58))))),MIN(HC58,MAX(0,AB58-SUM(PR58:RO58))))</f>
        <v>0</v>
      </c>
      <c r="RQ58" s="20" t="n">
        <f aca="false">IF(H_Direct=1,IF((P58+S58)&lt;=0,0,IF(DQ58&lt;=0,MIN(MAX(0,AB58-SUM(PR58:RP58)),(P58+S58)),MIN(MAX(0,AB58-SUM(PR58:RP58)),(P58+S58)-G58*MAX(0,DQ58*(P58+S58)-(YP58+ACC58))))),MIN(HD58,MAX(0,AB58-SUM(PR58:RP58))))</f>
        <v>0</v>
      </c>
      <c r="RR58" s="20" t="n">
        <v>0</v>
      </c>
      <c r="RS58" s="20" t="n">
        <v>0</v>
      </c>
      <c r="RT58" s="20" t="n">
        <v>0</v>
      </c>
      <c r="RU58" s="20" t="n">
        <v>0</v>
      </c>
      <c r="RV58" s="20" t="n">
        <v>0</v>
      </c>
      <c r="RW58" s="20" t="n">
        <v>0</v>
      </c>
      <c r="RX58" s="20" t="n">
        <v>0</v>
      </c>
      <c r="RY58" s="20" t="n">
        <v>0</v>
      </c>
      <c r="RZ58" s="20" t="n">
        <v>0</v>
      </c>
      <c r="SA58" s="20" t="n">
        <v>0</v>
      </c>
      <c r="SB58" s="20" t="n">
        <v>0</v>
      </c>
      <c r="SC58" s="20" t="n">
        <v>0</v>
      </c>
      <c r="SD58" s="20" t="n">
        <v>0</v>
      </c>
      <c r="SE58" s="20" t="n">
        <v>0</v>
      </c>
      <c r="SF58" s="20" t="n">
        <v>0</v>
      </c>
      <c r="SG58" s="20" t="n">
        <v>0</v>
      </c>
      <c r="SH58" s="20" t="n">
        <v>0</v>
      </c>
      <c r="SI58" s="20" t="n">
        <v>0</v>
      </c>
      <c r="SJ58" s="20" t="n">
        <v>0</v>
      </c>
      <c r="SK58" s="20" t="n">
        <v>0</v>
      </c>
      <c r="SL58" s="20" t="n">
        <v>0</v>
      </c>
      <c r="SM58" s="20" t="n">
        <v>0</v>
      </c>
      <c r="SN58" s="20" t="n">
        <v>0</v>
      </c>
      <c r="SO58" s="20" t="n">
        <v>0</v>
      </c>
      <c r="SP58" s="20" t="n">
        <v>0</v>
      </c>
      <c r="SQ58" s="20" t="n">
        <v>0</v>
      </c>
      <c r="SR58" s="20" t="n">
        <v>0</v>
      </c>
      <c r="SS58" s="20" t="n">
        <v>0</v>
      </c>
      <c r="ST58" s="20" t="n">
        <v>0</v>
      </c>
      <c r="SU58" s="20" t="n">
        <v>0</v>
      </c>
      <c r="SV58" s="20" t="n">
        <v>0</v>
      </c>
      <c r="SW58" s="20" t="n">
        <v>0</v>
      </c>
      <c r="SX58" s="20" t="n">
        <v>0</v>
      </c>
      <c r="SY58" s="20" t="n">
        <v>0</v>
      </c>
      <c r="SZ58" s="20" t="n">
        <v>0</v>
      </c>
      <c r="TA58" s="20" t="n">
        <v>0</v>
      </c>
      <c r="TB58" s="20" t="n">
        <v>0</v>
      </c>
      <c r="TC58" s="20" t="n">
        <v>0</v>
      </c>
      <c r="TD58" s="20" t="n">
        <v>0</v>
      </c>
      <c r="TE58" s="20" t="n">
        <f aca="false">IF(AKR57&lt;=0,0,IF(H_Direct=1,IF(BR58&lt;=0,PR58,IF(PR58&lt;=(H58+I58)/BR58,PR58,(PR58-G58*(H58+I58))/(1-G58*BR58))),PR58/(1-MAX(0,BR58)*H_Exit)))</f>
        <v>0</v>
      </c>
      <c r="TF58" s="20" t="n">
        <f aca="false">IF(AKS57&lt;=0,0,IF(H_Direct=1,IF(BS58&lt;=0,PS58,IF(PS58&lt;=(WR58+AAE58)/BS58,PS58,(PS58-G58*(WR58+AAE58))/(1-G58*BS58))),PS58/(1-MAX(0,BS58)*H_Exit)))</f>
        <v>0</v>
      </c>
      <c r="TG58" s="20" t="n">
        <f aca="false">IF(AKT57&lt;=0,0,IF(H_Direct=1,IF(BT58&lt;=0,PT58,IF(PT58&lt;=(WS58+AAF58)/BT58,PT58,(PT58-G58*(WS58+AAF58))/(1-G58*BT58))),PT58/(1-MAX(0,BT58)*H_Exit)))</f>
        <v>0</v>
      </c>
      <c r="TH58" s="20" t="n">
        <f aca="false">IF(AKU57&lt;=0,0,IF(H_Direct=1,IF(BU58&lt;=0,PU58,IF(PU58&lt;=(WT58+AAG58)/BU58,PU58,(PU58-G58*(WT58+AAG58))/(1-G58*BU58))),PU58/(1-MAX(0,BU58)*H_Exit)))</f>
        <v>0</v>
      </c>
      <c r="TI58" s="20" t="n">
        <f aca="false">IF(AKV57&lt;=0,0,IF(H_Direct=1,IF(BV58&lt;=0,PV58,IF(PV58&lt;=(WU58+AAH58)/BV58,PV58,(PV58-G58*(WU58+AAH58))/(1-G58*BV58))),PV58/(1-MAX(0,BV58)*H_Exit)))</f>
        <v>0</v>
      </c>
      <c r="TJ58" s="20" t="n">
        <f aca="false">IF(AKW57&lt;=0,0,IF(H_Direct=1,IF(BW58&lt;=0,PW58,IF(PW58&lt;=(WV58+AAI58)/BW58,PW58,(PW58-G58*(WV58+AAI58))/(1-G58*BW58))),PW58/(1-MAX(0,BW58)*H_Exit)))</f>
        <v>0</v>
      </c>
      <c r="TK58" s="20" t="n">
        <f aca="false">IF(AKX57&lt;=0,0,IF(H_Direct=1,IF(BX58&lt;=0,PX58,IF(PX58&lt;=(WW58+AAJ58)/BX58,PX58,(PX58-G58*(WW58+AAJ58))/(1-G58*BX58))),PX58/(1-MAX(0,BX58)*H_Exit)))</f>
        <v>0</v>
      </c>
      <c r="TL58" s="20" t="n">
        <f aca="false">IF(AKY57&lt;=0,0,IF(H_Direct=1,IF(BY58&lt;=0,PY58,IF(PY58&lt;=(WX58+AAK58)/BY58,PY58,(PY58-G58*(WX58+AAK58))/(1-G58*BY58))),PY58/(1-MAX(0,BY58)*H_Exit)))</f>
        <v>0</v>
      </c>
      <c r="TM58" s="20" t="n">
        <f aca="false">IF(AKZ57&lt;=0,0,IF(H_Direct=1,IF(BZ58&lt;=0,PZ58,IF(PZ58&lt;=(WY58+AAL58)/BZ58,PZ58,(PZ58-G58*(WY58+AAL58))/(1-G58*BZ58))),PZ58/(1-MAX(0,BZ58)*H_Exit)))</f>
        <v>0</v>
      </c>
      <c r="TN58" s="20" t="n">
        <f aca="false">IF(ALA57&lt;=0,0,IF(H_Direct=1,IF(CA58&lt;=0,QA58,IF(QA58&lt;=(WZ58+AAM58)/CA58,QA58,(QA58-G58*(WZ58+AAM58))/(1-G58*CA58))),QA58/(1-MAX(0,CA58)*H_Exit)))</f>
        <v>0</v>
      </c>
      <c r="TO58" s="20" t="n">
        <f aca="false">IF(ALB57&lt;=0,0,IF(H_Direct=1,IF(CB58&lt;=0,QB58,IF(QB58&lt;=(XA58+AAN58)/CB58,QB58,(QB58-G58*(XA58+AAN58))/(1-G58*CB58))),QB58/(1-MAX(0,CB58)*H_Exit)))</f>
        <v>0</v>
      </c>
      <c r="TP58" s="20" t="n">
        <f aca="false">IF(ALC57&lt;=0,0,IF(H_Direct=1,IF(CC58&lt;=0,QC58,IF(QC58&lt;=(XB58+AAO58)/CC58,QC58,(QC58-G58*(XB58+AAO58))/(1-G58*CC58))),QC58/(1-MAX(0,CC58)*H_Exit)))</f>
        <v>0</v>
      </c>
      <c r="TQ58" s="20" t="n">
        <f aca="false">IF(ALD57&lt;=0,0,IF(H_Direct=1,IF(CD58&lt;=0,QD58,IF(QD58&lt;=(XC58+AAP58)/CD58,QD58,(QD58-G58*(XC58+AAP58))/(1-G58*CD58))),QD58/(1-MAX(0,CD58)*H_Exit)))</f>
        <v>0</v>
      </c>
      <c r="TR58" s="20" t="n">
        <f aca="false">IF(ALE57&lt;=0,0,IF(H_Direct=1,IF(CE58&lt;=0,QE58,IF(QE58&lt;=(XD58+AAQ58)/CE58,QE58,(QE58-G58*(XD58+AAQ58))/(1-G58*CE58))),QE58/(1-MAX(0,CE58)*H_Exit)))</f>
        <v>0</v>
      </c>
      <c r="TS58" s="20" t="n">
        <f aca="false">IF(ALF57&lt;=0,0,IF(H_Direct=1,IF(CF58&lt;=0,QF58,IF(QF58&lt;=(XE58+AAR58)/CF58,QF58,(QF58-G58*(XE58+AAR58))/(1-G58*CF58))),QF58/(1-MAX(0,CF58)*H_Exit)))</f>
        <v>0</v>
      </c>
      <c r="TT58" s="20" t="n">
        <f aca="false">IF(ALG57&lt;=0,0,IF(H_Direct=1,IF(CG58&lt;=0,QG58,IF(QG58&lt;=(XF58+AAS58)/CG58,QG58,(QG58-G58*(XF58+AAS58))/(1-G58*CG58))),QG58/(1-MAX(0,CG58)*H_Exit)))</f>
        <v>0</v>
      </c>
      <c r="TU58" s="20" t="n">
        <f aca="false">IF(ALH57&lt;=0,0,IF(H_Direct=1,IF(CH58&lt;=0,QH58,IF(QH58&lt;=(XG58+AAT58)/CH58,QH58,(QH58-G58*(XG58+AAT58))/(1-G58*CH58))),QH58/(1-MAX(0,CH58)*H_Exit)))</f>
        <v>0</v>
      </c>
      <c r="TV58" s="20" t="n">
        <f aca="false">IF(ALI57&lt;=0,0,IF(H_Direct=1,IF(CI58&lt;=0,QI58,IF(QI58&lt;=(XH58+AAU58)/CI58,QI58,(QI58-G58*(XH58+AAU58))/(1-G58*CI58))),QI58/(1-MAX(0,CI58)*H_Exit)))</f>
        <v>0</v>
      </c>
      <c r="TW58" s="20" t="n">
        <f aca="false">IF(ALJ57&lt;=0,0,IF(H_Direct=1,IF(CJ58&lt;=0,QJ58,IF(QJ58&lt;=(XI58+AAV58)/CJ58,QJ58,(QJ58-G58*(XI58+AAV58))/(1-G58*CJ58))),QJ58/(1-MAX(0,CJ58)*H_Exit)))</f>
        <v>0</v>
      </c>
      <c r="TX58" s="20" t="n">
        <f aca="false">IF(ALK57&lt;=0,0,IF(H_Direct=1,IF(CK58&lt;=0,QK58,IF(QK58&lt;=(XJ58+AAW58)/CK58,QK58,(QK58-G58*(XJ58+AAW58))/(1-G58*CK58))),QK58/(1-MAX(0,CK58)*H_Exit)))</f>
        <v>0</v>
      </c>
      <c r="TY58" s="20" t="n">
        <f aca="false">IF(ALL57&lt;=0,0,IF(H_Direct=1,IF(CL58&lt;=0,QL58,IF(QL58&lt;=(XK58+AAX58)/CL58,QL58,(QL58-G58*(XK58+AAX58))/(1-G58*CL58))),QL58/(1-MAX(0,CL58)*H_Exit)))</f>
        <v>0</v>
      </c>
      <c r="TZ58" s="20" t="n">
        <f aca="false">IF(ALM57&lt;=0,0,IF(H_Direct=1,IF(CM58&lt;=0,QM58,IF(QM58&lt;=(XL58+AAY58)/CM58,QM58,(QM58-G58*(XL58+AAY58))/(1-G58*CM58))),QM58/(1-MAX(0,CM58)*H_Exit)))</f>
        <v>0</v>
      </c>
      <c r="UA58" s="20" t="n">
        <f aca="false">IF(ALN57&lt;=0,0,IF(H_Direct=1,IF(CN58&lt;=0,QN58,IF(QN58&lt;=(XM58+AAZ58)/CN58,QN58,(QN58-G58*(XM58+AAZ58))/(1-G58*CN58))),QN58/(1-MAX(0,CN58)*H_Exit)))</f>
        <v>0</v>
      </c>
      <c r="UB58" s="20" t="n">
        <f aca="false">IF(ALO57&lt;=0,0,IF(H_Direct=1,IF(CO58&lt;=0,QO58,IF(QO58&lt;=(XN58+ABA58)/CO58,QO58,(QO58-G58*(XN58+ABA58))/(1-G58*CO58))),QO58/(1-MAX(0,CO58)*H_Exit)))</f>
        <v>0</v>
      </c>
      <c r="UC58" s="20" t="n">
        <f aca="false">IF(ALP57&lt;=0,0,IF(H_Direct=1,IF(CP58&lt;=0,QP58,IF(QP58&lt;=(XO58+ABB58)/CP58,QP58,(QP58-G58*(XO58+ABB58))/(1-G58*CP58))),QP58/(1-MAX(0,CP58)*H_Exit)))</f>
        <v>0</v>
      </c>
      <c r="UD58" s="20" t="n">
        <f aca="false">IF(ALQ57&lt;=0,0,IF(H_Direct=1,IF(CQ58&lt;=0,QQ58,IF(QQ58&lt;=(XP58+ABC58)/CQ58,QQ58,(QQ58-G58*(XP58+ABC58))/(1-G58*CQ58))),QQ58/(1-MAX(0,CQ58)*H_Exit)))</f>
        <v>0</v>
      </c>
      <c r="UE58" s="20" t="n">
        <f aca="false">IF(ALR57&lt;=0,0,IF(H_Direct=1,IF(CR58&lt;=0,QR58,IF(QR58&lt;=(XQ58+ABD58)/CR58,QR58,(QR58-G58*(XQ58+ABD58))/(1-G58*CR58))),QR58/(1-MAX(0,CR58)*H_Exit)))</f>
        <v>0</v>
      </c>
      <c r="UF58" s="20" t="n">
        <f aca="false">IF(ALS57&lt;=0,0,IF(H_Direct=1,IF(CS58&lt;=0,QS58,IF(QS58&lt;=(XR58+ABE58)/CS58,QS58,(QS58-G58*(XR58+ABE58))/(1-G58*CS58))),QS58/(1-MAX(0,CS58)*H_Exit)))</f>
        <v>0</v>
      </c>
      <c r="UG58" s="20" t="n">
        <f aca="false">IF(ALT57&lt;=0,0,IF(H_Direct=1,IF(CT58&lt;=0,QT58,IF(QT58&lt;=(XS58+ABF58)/CT58,QT58,(QT58-G58*(XS58+ABF58))/(1-G58*CT58))),QT58/(1-MAX(0,CT58)*H_Exit)))</f>
        <v>0</v>
      </c>
      <c r="UH58" s="20" t="n">
        <f aca="false">IF(ALU57&lt;=0,0,IF(H_Direct=1,IF(CU58&lt;=0,QU58,IF(QU58&lt;=(XT58+ABG58)/CU58,QU58,(QU58-G58*(XT58+ABG58))/(1-G58*CU58))),QU58/(1-MAX(0,CU58)*H_Exit)))</f>
        <v>0</v>
      </c>
      <c r="UI58" s="20" t="n">
        <f aca="false">IF(ALV57&lt;=0,0,IF(H_Direct=1,IF(CV58&lt;=0,QV58,IF(QV58&lt;=(XU58+ABH58)/CV58,QV58,(QV58-G58*(XU58+ABH58))/(1-G58*CV58))),QV58/(1-MAX(0,CV58)*H_Exit)))</f>
        <v>0</v>
      </c>
      <c r="UJ58" s="20" t="n">
        <f aca="false">IF(ALW57&lt;=0,0,IF(H_Direct=1,IF(CW58&lt;=0,QW58,IF(QW58&lt;=(XV58+ABI58)/CW58,QW58,(QW58-G58*(XV58+ABI58))/(1-G58*CW58))),QW58/(1-MAX(0,CW58)*H_Exit)))</f>
        <v>0</v>
      </c>
      <c r="UK58" s="20" t="n">
        <f aca="false">IF(ALX57&lt;=0,0,IF(H_Direct=1,IF(CX58&lt;=0,QX58,IF(QX58&lt;=(XW58+ABJ58)/CX58,QX58,(QX58-G58*(XW58+ABJ58))/(1-G58*CX58))),QX58/(1-MAX(0,CX58)*H_Exit)))</f>
        <v>0</v>
      </c>
      <c r="UL58" s="20" t="n">
        <f aca="false">IF(ALY57&lt;=0,0,IF(H_Direct=1,IF(CY58&lt;=0,QY58,IF(QY58&lt;=(XX58+ABK58)/CY58,QY58,(QY58-G58*(XX58+ABK58))/(1-G58*CY58))),QY58/(1-MAX(0,CY58)*H_Exit)))</f>
        <v>0</v>
      </c>
      <c r="UM58" s="20" t="n">
        <f aca="false">IF(ALZ57&lt;=0,0,IF(H_Direct=1,IF(CZ58&lt;=0,QZ58,IF(QZ58&lt;=(XY58+ABL58)/CZ58,QZ58,(QZ58-G58*(XY58+ABL58))/(1-G58*CZ58))),QZ58/(1-MAX(0,CZ58)*H_Exit)))</f>
        <v>0</v>
      </c>
      <c r="UN58" s="20" t="n">
        <f aca="false">IF(AMA57&lt;=0,0,IF(H_Direct=1,IF(DA58&lt;=0,RA58,IF(RA58&lt;=(XZ58+ABM58)/DA58,RA58,(RA58-G58*(XZ58+ABM58))/(1-G58*DA58))),RA58/(1-MAX(0,DA58)*H_Exit)))</f>
        <v>0</v>
      </c>
      <c r="UO58" s="20" t="n">
        <f aca="false">IF(AMB57&lt;=0,0,IF(H_Direct=1,IF(DB58&lt;=0,RB58,IF(RB58&lt;=(YA58+ABN58)/DB58,RB58,(RB58-G58*(YA58+ABN58))/(1-G58*DB58))),RB58/(1-MAX(0,DB58)*H_Exit)))</f>
        <v>0</v>
      </c>
      <c r="UP58" s="20" t="n">
        <f aca="false">IF(AMC57&lt;=0,0,IF(H_Direct=1,IF(DC58&lt;=0,RC58,IF(RC58&lt;=(YB58+ABO58)/DC58,RC58,(RC58-G58*(YB58+ABO58))/(1-G58*DC58))),RC58/(1-MAX(0,DC58)*H_Exit)))</f>
        <v>0</v>
      </c>
      <c r="UQ58" s="20" t="n">
        <f aca="false">IF(AMD57&lt;=0,0,IF(H_Direct=1,IF(DD58&lt;=0,RD58,IF(RD58&lt;=(YC58+ABP58)/DD58,RD58,(RD58-G58*(YC58+ABP58))/(1-G58*DD58))),RD58/(1-MAX(0,DD58)*H_Exit)))</f>
        <v>0</v>
      </c>
      <c r="UR58" s="20" t="n">
        <f aca="false">IF(AME57&lt;=0,0,IF(H_Direct=1,IF(DE58&lt;=0,RE58,IF(RE58&lt;=(YD58+ABQ58)/DE58,RE58,(RE58-G58*(YD58+ABQ58))/(1-G58*DE58))),RE58/(1-MAX(0,DE58)*H_Exit)))</f>
        <v>0</v>
      </c>
      <c r="US58" s="20" t="n">
        <f aca="false">IF(AMF57&lt;=0,0,IF(H_Direct=1,IF(DF58&lt;=0,RF58,IF(RF58&lt;=(YE58+ABR58)/DF58,RF58,(RF58-G58*(YE58+ABR58))/(1-G58*DF58))),RF58/(1-MAX(0,DF58)*H_Exit)))</f>
        <v>0</v>
      </c>
      <c r="UT58" s="20" t="n">
        <f aca="false">IF(AMG57&lt;=0,0,IF(H_Direct=1,IF(DG58&lt;=0,RG58,IF(RG58&lt;=(YF58+ABS58)/DG58,RG58,(RG58-G58*(YF58+ABS58))/(1-G58*DG58))),RG58/(1-MAX(0,DG58)*H_Exit)))</f>
        <v>0</v>
      </c>
      <c r="UU58" s="20" t="n">
        <f aca="false">IF(AMH57&lt;=0,0,IF(H_Direct=1,IF(DH58&lt;=0,RH58,IF(RH58&lt;=(YG58+ABT58)/DH58,RH58,(RH58-G58*(YG58+ABT58))/(1-G58*DH58))),RH58/(1-MAX(0,DH58)*H_Exit)))</f>
        <v>0</v>
      </c>
      <c r="UV58" s="20" t="n">
        <f aca="false">IF(AMI57&lt;=0,0,IF(H_Direct=1,IF(DI58&lt;=0,RI58,IF(RI58&lt;=(YH58+ABU58)/DI58,RI58,(RI58-G58*(YH58+ABU58))/(1-G58*DI58))),RI58/(1-MAX(0,DI58)*H_Exit)))</f>
        <v>0</v>
      </c>
      <c r="UW58" s="20" t="n">
        <f aca="false">IF(AMJ57&lt;=0,0,IF(H_Direct=1,IF(DJ58&lt;=0,RJ58,IF(RJ58&lt;=(YI58+ABV58)/DJ58,RJ58,(RJ58-G58*(YI58+ABV58))/(1-G58*DJ58))),RJ58/(1-MAX(0,DJ58)*H_Exit)))</f>
        <v>0</v>
      </c>
      <c r="UX58" s="20" t="n">
        <f aca="false">IF(AMK57&lt;=0,0,IF(H_Direct=1,IF(DK58&lt;=0,RK58,IF(RK58&lt;=(YJ58+ABW58)/DK58,RK58,(RK58-G58*(YJ58+ABW58))/(1-G58*DK58))),RK58/(1-MAX(0,DK58)*H_Exit)))</f>
        <v>0</v>
      </c>
      <c r="UY58" s="20" t="n">
        <f aca="false">IF(AML57&lt;=0,0,IF(H_Direct=1,IF(DL58&lt;=0,RL58,IF(RL58&lt;=(YK58+ABX58)/DL58,RL58,(RL58-G58*(YK58+ABX58))/(1-G58*DL58))),RL58/(1-MAX(0,DL58)*H_Exit)))</f>
        <v>0</v>
      </c>
      <c r="UZ58" s="20" t="n">
        <f aca="false">IF(AMM57&lt;=0,0,IF(H_Direct=1,IF(DM58&lt;=0,RM58,IF(RM58&lt;=(YL58+ABY58)/DM58,RM58,(RM58-G58*(YL58+ABY58))/(1-G58*DM58))),RM58/(1-MAX(0,DM58)*H_Exit)))</f>
        <v>0</v>
      </c>
      <c r="VA58" s="20" t="n">
        <f aca="false">IF(AMN57&lt;=0,0,IF(H_Direct=1,IF(DN58&lt;=0,RN58,IF(RN58&lt;=(YM58+ABZ58)/DN58,RN58,(RN58-G58*(YM58+ABZ58))/(1-G58*DN58))),RN58/(1-MAX(0,DN58)*H_Exit)))</f>
        <v>0</v>
      </c>
      <c r="VB58" s="20" t="n">
        <f aca="false">IF(AMO57&lt;=0,0,IF(H_Direct=1,IF(DO58&lt;=0,RO58,IF(RO58&lt;=(YN58+ACA58)/DO58,RO58,(RO58-G58*(YN58+ACA58))/(1-G58*DO58))),RO58/(1-MAX(0,DO58)*H_Exit)))</f>
        <v>0</v>
      </c>
      <c r="VC58" s="20" t="n">
        <f aca="false">IF(AMP57&lt;=0,0,IF(H_Direct=1,IF(DP58&lt;=0,RP58,IF(RP58&lt;=(YO58+ACB58)/DP58,RP58,(RP58-G58*(YO58+ACB58))/(1-G58*DP58))),RP58/(1-MAX(0,DP58)*H_Exit)))</f>
        <v>0</v>
      </c>
      <c r="VD58" s="20" t="n">
        <f aca="false">IF((P58+S58)&lt;=0,0,IF(H_Direct=1,IF(DQ58&lt;=0,RQ58,IF(RQ58&lt;=(YP58+ACC58)/DQ58,RQ58,(RQ58-G58*(YP58+ACC58))/(1-G58*DQ58))),RQ58/(1-MAX(0,DQ58)*H_Exit)))</f>
        <v>0</v>
      </c>
      <c r="VE58" s="20" t="n">
        <v>0</v>
      </c>
      <c r="VF58" s="20" t="n">
        <v>0</v>
      </c>
      <c r="VG58" s="20" t="n">
        <v>0</v>
      </c>
      <c r="VH58" s="20" t="n">
        <v>0</v>
      </c>
      <c r="VI58" s="20" t="n">
        <v>0</v>
      </c>
      <c r="VJ58" s="20" t="n">
        <v>0</v>
      </c>
      <c r="VK58" s="20" t="n">
        <v>0</v>
      </c>
      <c r="VL58" s="20" t="n">
        <v>0</v>
      </c>
      <c r="VM58" s="20" t="n">
        <v>0</v>
      </c>
      <c r="VN58" s="20" t="n">
        <v>0</v>
      </c>
      <c r="VO58" s="20" t="n">
        <v>0</v>
      </c>
      <c r="VP58" s="20" t="n">
        <v>0</v>
      </c>
      <c r="VQ58" s="20" t="n">
        <v>0</v>
      </c>
      <c r="VR58" s="20" t="n">
        <v>0</v>
      </c>
      <c r="VS58" s="20" t="n">
        <v>0</v>
      </c>
      <c r="VT58" s="20" t="n">
        <v>0</v>
      </c>
      <c r="VU58" s="20" t="n">
        <v>0</v>
      </c>
      <c r="VV58" s="20" t="n">
        <v>0</v>
      </c>
      <c r="VW58" s="20" t="n">
        <v>0</v>
      </c>
      <c r="VX58" s="20" t="n">
        <v>0</v>
      </c>
      <c r="VY58" s="20" t="n">
        <v>0</v>
      </c>
      <c r="VZ58" s="20" t="n">
        <v>0</v>
      </c>
      <c r="WA58" s="20" t="n">
        <v>0</v>
      </c>
      <c r="WB58" s="20" t="n">
        <v>0</v>
      </c>
      <c r="WC58" s="20" t="n">
        <v>0</v>
      </c>
      <c r="WD58" s="20" t="n">
        <v>0</v>
      </c>
      <c r="WE58" s="20" t="n">
        <v>0</v>
      </c>
      <c r="WF58" s="20" t="n">
        <v>0</v>
      </c>
      <c r="WG58" s="20" t="n">
        <v>0</v>
      </c>
      <c r="WH58" s="20" t="n">
        <v>0</v>
      </c>
      <c r="WI58" s="20" t="n">
        <v>0</v>
      </c>
      <c r="WJ58" s="20" t="n">
        <v>0</v>
      </c>
      <c r="WK58" s="20" t="n">
        <v>0</v>
      </c>
      <c r="WL58" s="20" t="n">
        <v>0</v>
      </c>
      <c r="WM58" s="20" t="n">
        <v>0</v>
      </c>
      <c r="WN58" s="20" t="n">
        <v>0</v>
      </c>
      <c r="WO58" s="20" t="n">
        <v>0</v>
      </c>
      <c r="WP58" s="20" t="n">
        <v>0</v>
      </c>
      <c r="WQ58" s="20" t="n">
        <v>0</v>
      </c>
      <c r="WR58" s="20" t="n">
        <f aca="false">IF(AND(H_Direct=1,BR58&gt;0),MAX(0,H58-(MIN(BR58*TE58,(H58+I58))-MIN(MIN(BR58*TE58,(H58+I58)),I58))),H58)</f>
        <v>1270</v>
      </c>
      <c r="WS58" s="20" t="n">
        <f aca="false">IF(AND(H_Direct=1,BS58&gt;0),MAX(0,WR58-(MIN(BS58*TF58,(WR58+AAE58))-MIN(MIN(BS58*TF58,(WR58+AAE58)),AAE58))),WR58)</f>
        <v>1270</v>
      </c>
      <c r="WT58" s="20" t="n">
        <f aca="false">IF(AND(H_Direct=1,BT58&gt;0),MAX(0,WS58-(MIN(BT58*TG58,(WS58+AAF58))-MIN(MIN(BT58*TG58,(WS58+AAF58)),AAF58))),WS58)</f>
        <v>1270</v>
      </c>
      <c r="WU58" s="20" t="n">
        <f aca="false">IF(AND(H_Direct=1,BU58&gt;0),MAX(0,WT58-(MIN(BU58*TH58,(WT58+AAG58))-MIN(MIN(BU58*TH58,(WT58+AAG58)),AAG58))),WT58)</f>
        <v>1270</v>
      </c>
      <c r="WV58" s="20" t="n">
        <f aca="false">IF(AND(H_Direct=1,BV58&gt;0),MAX(0,WU58-(MIN(BV58*TI58,(WU58+AAH58))-MIN(MIN(BV58*TI58,(WU58+AAH58)),AAH58))),WU58)</f>
        <v>1270</v>
      </c>
      <c r="WW58" s="20" t="n">
        <f aca="false">IF(AND(H_Direct=1,BW58&gt;0),MAX(0,WV58-(MIN(BW58*TJ58,(WV58+AAI58))-MIN(MIN(BW58*TJ58,(WV58+AAI58)),AAI58))),WV58)</f>
        <v>1270</v>
      </c>
      <c r="WX58" s="20" t="n">
        <f aca="false">IF(AND(H_Direct=1,BX58&gt;0),MAX(0,WW58-(MIN(BX58*TK58,(WW58+AAJ58))-MIN(MIN(BX58*TK58,(WW58+AAJ58)),AAJ58))),WW58)</f>
        <v>1270</v>
      </c>
      <c r="WY58" s="20" t="n">
        <f aca="false">IF(AND(H_Direct=1,BY58&gt;0),MAX(0,WX58-(MIN(BY58*TL58,(WX58+AAK58))-MIN(MIN(BY58*TL58,(WX58+AAK58)),AAK58))),WX58)</f>
        <v>1270</v>
      </c>
      <c r="WZ58" s="20" t="n">
        <f aca="false">IF(AND(H_Direct=1,BZ58&gt;0),MAX(0,WY58-(MIN(BZ58*TM58,(WY58+AAL58))-MIN(MIN(BZ58*TM58,(WY58+AAL58)),AAL58))),WY58)</f>
        <v>1270</v>
      </c>
      <c r="XA58" s="20" t="n">
        <f aca="false">IF(AND(H_Direct=1,CA58&gt;0),MAX(0,WZ58-(MIN(CA58*TN58,(WZ58+AAM58))-MIN(MIN(CA58*TN58,(WZ58+AAM58)),AAM58))),WZ58)</f>
        <v>1270</v>
      </c>
      <c r="XB58" s="20" t="n">
        <f aca="false">IF(AND(H_Direct=1,CB58&gt;0),MAX(0,XA58-(MIN(CB58*TO58,(XA58+AAN58))-MIN(MIN(CB58*TO58,(XA58+AAN58)),AAN58))),XA58)</f>
        <v>1270</v>
      </c>
      <c r="XC58" s="20" t="n">
        <f aca="false">IF(AND(H_Direct=1,CC58&gt;0),MAX(0,XB58-(MIN(CC58*TP58,(XB58+AAO58))-MIN(MIN(CC58*TP58,(XB58+AAO58)),AAO58))),XB58)</f>
        <v>1270</v>
      </c>
      <c r="XD58" s="20" t="n">
        <f aca="false">IF(AND(H_Direct=1,CD58&gt;0),MAX(0,XC58-(MIN(CD58*TQ58,(XC58+AAP58))-MIN(MIN(CD58*TQ58,(XC58+AAP58)),AAP58))),XC58)</f>
        <v>1270</v>
      </c>
      <c r="XE58" s="20" t="n">
        <f aca="false">IF(AND(H_Direct=1,CE58&gt;0),MAX(0,XD58-(MIN(CE58*TR58,(XD58+AAQ58))-MIN(MIN(CE58*TR58,(XD58+AAQ58)),AAQ58))),XD58)</f>
        <v>1270</v>
      </c>
      <c r="XF58" s="20" t="n">
        <f aca="false">IF(AND(H_Direct=1,CF58&gt;0),MAX(0,XE58-(MIN(CF58*TS58,(XE58+AAR58))-MIN(MIN(CF58*TS58,(XE58+AAR58)),AAR58))),XE58)</f>
        <v>1270</v>
      </c>
      <c r="XG58" s="20" t="n">
        <f aca="false">IF(AND(H_Direct=1,CG58&gt;0),MAX(0,XF58-(MIN(CG58*TT58,(XF58+AAS58))-MIN(MIN(CG58*TT58,(XF58+AAS58)),AAS58))),XF58)</f>
        <v>1270</v>
      </c>
      <c r="XH58" s="20" t="n">
        <f aca="false">IF(AND(H_Direct=1,CH58&gt;0),MAX(0,XG58-(MIN(CH58*TU58,(XG58+AAT58))-MIN(MIN(CH58*TU58,(XG58+AAT58)),AAT58))),XG58)</f>
        <v>1270</v>
      </c>
      <c r="XI58" s="20" t="n">
        <f aca="false">IF(AND(H_Direct=1,CI58&gt;0),MAX(0,XH58-(MIN(CI58*TV58,(XH58+AAU58))-MIN(MIN(CI58*TV58,(XH58+AAU58)),AAU58))),XH58)</f>
        <v>1270</v>
      </c>
      <c r="XJ58" s="20" t="n">
        <f aca="false">IF(AND(H_Direct=1,CJ58&gt;0),MAX(0,XI58-(MIN(CJ58*TW58,(XI58+AAV58))-MIN(MIN(CJ58*TW58,(XI58+AAV58)),AAV58))),XI58)</f>
        <v>1270</v>
      </c>
      <c r="XK58" s="20" t="n">
        <f aca="false">IF(AND(H_Direct=1,CK58&gt;0),MAX(0,XJ58-(MIN(CK58*TX58,(XJ58+AAW58))-MIN(MIN(CK58*TX58,(XJ58+AAW58)),AAW58))),XJ58)</f>
        <v>1270</v>
      </c>
      <c r="XL58" s="20" t="n">
        <f aca="false">IF(AND(H_Direct=1,CL58&gt;0),MAX(0,XK58-(MIN(CL58*TY58,(XK58+AAX58))-MIN(MIN(CL58*TY58,(XK58+AAX58)),AAX58))),XK58)</f>
        <v>1270</v>
      </c>
      <c r="XM58" s="20" t="n">
        <f aca="false">IF(AND(H_Direct=1,CM58&gt;0),MAX(0,XL58-(MIN(CM58*TZ58,(XL58+AAY58))-MIN(MIN(CM58*TZ58,(XL58+AAY58)),AAY58))),XL58)</f>
        <v>1270</v>
      </c>
      <c r="XN58" s="20" t="n">
        <f aca="false">IF(AND(H_Direct=1,CN58&gt;0),MAX(0,XM58-(MIN(CN58*UA58,(XM58+AAZ58))-MIN(MIN(CN58*UA58,(XM58+AAZ58)),AAZ58))),XM58)</f>
        <v>1270</v>
      </c>
      <c r="XO58" s="20" t="n">
        <f aca="false">IF(AND(H_Direct=1,CO58&gt;0),MAX(0,XN58-(MIN(CO58*UB58,(XN58+ABA58))-MIN(MIN(CO58*UB58,(XN58+ABA58)),ABA58))),XN58)</f>
        <v>1270</v>
      </c>
      <c r="XP58" s="20" t="n">
        <f aca="false">IF(AND(H_Direct=1,CP58&gt;0),MAX(0,XO58-(MIN(CP58*UC58,(XO58+ABB58))-MIN(MIN(CP58*UC58,(XO58+ABB58)),ABB58))),XO58)</f>
        <v>1270</v>
      </c>
      <c r="XQ58" s="20" t="n">
        <f aca="false">IF(AND(H_Direct=1,CQ58&gt;0),MAX(0,XP58-(MIN(CQ58*UD58,(XP58+ABC58))-MIN(MIN(CQ58*UD58,(XP58+ABC58)),ABC58))),XP58)</f>
        <v>1270</v>
      </c>
      <c r="XR58" s="20" t="n">
        <f aca="false">IF(AND(H_Direct=1,CR58&gt;0),MAX(0,XQ58-(MIN(CR58*UE58,(XQ58+ABD58))-MIN(MIN(CR58*UE58,(XQ58+ABD58)),ABD58))),XQ58)</f>
        <v>1270</v>
      </c>
      <c r="XS58" s="20" t="n">
        <f aca="false">IF(AND(H_Direct=1,CS58&gt;0),MAX(0,XR58-(MIN(CS58*UF58,(XR58+ABE58))-MIN(MIN(CS58*UF58,(XR58+ABE58)),ABE58))),XR58)</f>
        <v>1270</v>
      </c>
      <c r="XT58" s="20" t="n">
        <f aca="false">IF(AND(H_Direct=1,CT58&gt;0),MAX(0,XS58-(MIN(CT58*UG58,(XS58+ABF58))-MIN(MIN(CT58*UG58,(XS58+ABF58)),ABF58))),XS58)</f>
        <v>1270</v>
      </c>
      <c r="XU58" s="20" t="n">
        <f aca="false">IF(AND(H_Direct=1,CU58&gt;0),MAX(0,XT58-(MIN(CU58*UH58,(XT58+ABG58))-MIN(MIN(CU58*UH58,(XT58+ABG58)),ABG58))),XT58)</f>
        <v>1270</v>
      </c>
      <c r="XV58" s="20" t="n">
        <f aca="false">IF(AND(H_Direct=1,CV58&gt;0),MAX(0,XU58-(MIN(CV58*UI58,(XU58+ABH58))-MIN(MIN(CV58*UI58,(XU58+ABH58)),ABH58))),XU58)</f>
        <v>1270</v>
      </c>
      <c r="XW58" s="20" t="n">
        <f aca="false">IF(AND(H_Direct=1,CW58&gt;0),MAX(0,XV58-(MIN(CW58*UJ58,(XV58+ABI58))-MIN(MIN(CW58*UJ58,(XV58+ABI58)),ABI58))),XV58)</f>
        <v>1270</v>
      </c>
      <c r="XX58" s="20" t="n">
        <f aca="false">IF(AND(H_Direct=1,CX58&gt;0),MAX(0,XW58-(MIN(CX58*UK58,(XW58+ABJ58))-MIN(MIN(CX58*UK58,(XW58+ABJ58)),ABJ58))),XW58)</f>
        <v>1270</v>
      </c>
      <c r="XY58" s="20" t="n">
        <f aca="false">IF(AND(H_Direct=1,CY58&gt;0),MAX(0,XX58-(MIN(CY58*UL58,(XX58+ABK58))-MIN(MIN(CY58*UL58,(XX58+ABK58)),ABK58))),XX58)</f>
        <v>1270</v>
      </c>
      <c r="XZ58" s="20" t="n">
        <f aca="false">IF(AND(H_Direct=1,CZ58&gt;0),MAX(0,XY58-(MIN(CZ58*UM58,(XY58+ABL58))-MIN(MIN(CZ58*UM58,(XY58+ABL58)),ABL58))),XY58)</f>
        <v>1270</v>
      </c>
      <c r="YA58" s="20" t="n">
        <f aca="false">IF(AND(H_Direct=1,DA58&gt;0),MAX(0,XZ58-(MIN(DA58*UN58,(XZ58+ABM58))-MIN(MIN(DA58*UN58,(XZ58+ABM58)),ABM58))),XZ58)</f>
        <v>1270</v>
      </c>
      <c r="YB58" s="20" t="n">
        <f aca="false">IF(AND(H_Direct=1,DB58&gt;0),MAX(0,YA58-(MIN(DB58*UO58,(YA58+ABN58))-MIN(MIN(DB58*UO58,(YA58+ABN58)),ABN58))),YA58)</f>
        <v>1270</v>
      </c>
      <c r="YC58" s="20" t="n">
        <f aca="false">IF(AND(H_Direct=1,DC58&gt;0),MAX(0,YB58-(MIN(DC58*UP58,(YB58+ABO58))-MIN(MIN(DC58*UP58,(YB58+ABO58)),ABO58))),YB58)</f>
        <v>1270</v>
      </c>
      <c r="YD58" s="20" t="n">
        <f aca="false">IF(AND(H_Direct=1,DD58&gt;0),MAX(0,YC58-(MIN(DD58*UQ58,(YC58+ABP58))-MIN(MIN(DD58*UQ58,(YC58+ABP58)),ABP58))),YC58)</f>
        <v>1270</v>
      </c>
      <c r="YE58" s="20" t="n">
        <f aca="false">IF(AND(H_Direct=1,DE58&gt;0),MAX(0,YD58-(MIN(DE58*UR58,(YD58+ABQ58))-MIN(MIN(DE58*UR58,(YD58+ABQ58)),ABQ58))),YD58)</f>
        <v>1270</v>
      </c>
      <c r="YF58" s="20" t="n">
        <f aca="false">IF(AND(H_Direct=1,DF58&gt;0),MAX(0,YE58-(MIN(DF58*US58,(YE58+ABR58))-MIN(MIN(DF58*US58,(YE58+ABR58)),ABR58))),YE58)</f>
        <v>1270</v>
      </c>
      <c r="YG58" s="20" t="n">
        <f aca="false">IF(AND(H_Direct=1,DG58&gt;0),MAX(0,YF58-(MIN(DG58*UT58,(YF58+ABS58))-MIN(MIN(DG58*UT58,(YF58+ABS58)),ABS58))),YF58)</f>
        <v>1270</v>
      </c>
      <c r="YH58" s="20" t="n">
        <f aca="false">IF(AND(H_Direct=1,DH58&gt;0),MAX(0,YG58-(MIN(DH58*UU58,(YG58+ABT58))-MIN(MIN(DH58*UU58,(YG58+ABT58)),ABT58))),YG58)</f>
        <v>1270</v>
      </c>
      <c r="YI58" s="20" t="n">
        <f aca="false">IF(AND(H_Direct=1,DI58&gt;0),MAX(0,YH58-(MIN(DI58*UV58,(YH58+ABU58))-MIN(MIN(DI58*UV58,(YH58+ABU58)),ABU58))),YH58)</f>
        <v>1270</v>
      </c>
      <c r="YJ58" s="20" t="n">
        <f aca="false">IF(AND(H_Direct=1,DJ58&gt;0),MAX(0,YI58-(MIN(DJ58*UW58,(YI58+ABV58))-MIN(MIN(DJ58*UW58,(YI58+ABV58)),ABV58))),YI58)</f>
        <v>1270</v>
      </c>
      <c r="YK58" s="20" t="n">
        <f aca="false">IF(AND(H_Direct=1,DK58&gt;0),MAX(0,YJ58-(MIN(DK58*UX58,(YJ58+ABW58))-MIN(MIN(DK58*UX58,(YJ58+ABW58)),ABW58))),YJ58)</f>
        <v>1270</v>
      </c>
      <c r="YL58" s="20" t="n">
        <f aca="false">IF(AND(H_Direct=1,DL58&gt;0),MAX(0,YK58-(MIN(DL58*UY58,(YK58+ABX58))-MIN(MIN(DL58*UY58,(YK58+ABX58)),ABX58))),YK58)</f>
        <v>1270</v>
      </c>
      <c r="YM58" s="20" t="n">
        <f aca="false">IF(AND(H_Direct=1,DM58&gt;0),MAX(0,YL58-(MIN(DM58*UZ58,(YL58+ABY58))-MIN(MIN(DM58*UZ58,(YL58+ABY58)),ABY58))),YL58)</f>
        <v>1270</v>
      </c>
      <c r="YN58" s="20" t="n">
        <f aca="false">IF(AND(H_Direct=1,DN58&gt;0),MAX(0,YM58-(MIN(DN58*VA58,(YM58+ABZ58))-MIN(MIN(DN58*VA58,(YM58+ABZ58)),ABZ58))),YM58)</f>
        <v>1270</v>
      </c>
      <c r="YO58" s="20" t="n">
        <f aca="false">IF(AND(H_Direct=1,DO58&gt;0),MAX(0,YN58-(MIN(DO58*VB58,(YN58+ACA58))-MIN(MIN(DO58*VB58,(YN58+ACA58)),ACA58))),YN58)</f>
        <v>1270</v>
      </c>
      <c r="YP58" s="20" t="n">
        <f aca="false">IF(AND(H_Direct=1,DP58&gt;0),MAX(0,YO58-(MIN(DP58*VC58,(YO58+ACB58))-MIN(MIN(DP58*VC58,(YO58+ACB58)),ACB58))),YO58)</f>
        <v>1270</v>
      </c>
      <c r="YQ58" s="20" t="n">
        <f aca="false">IF(AND(H_Direct=1,DQ58&gt;0),MAX(0,YP58-(MIN(DQ58*VD58,(YP58+ACC58))-MIN(MIN(DQ58*VD58,(YP58+ACC58)),ACC58))),YP58)</f>
        <v>1270</v>
      </c>
      <c r="YR58" s="20" t="n">
        <f aca="false">YQ58</f>
        <v>1270</v>
      </c>
      <c r="YS58" s="20" t="n">
        <f aca="false">YR58</f>
        <v>1270</v>
      </c>
      <c r="YT58" s="20" t="n">
        <f aca="false">YS58</f>
        <v>1270</v>
      </c>
      <c r="YU58" s="20" t="n">
        <f aca="false">YT58</f>
        <v>1270</v>
      </c>
      <c r="YV58" s="20" t="n">
        <f aca="false">YU58</f>
        <v>1270</v>
      </c>
      <c r="YW58" s="20" t="n">
        <f aca="false">YV58</f>
        <v>1270</v>
      </c>
      <c r="YX58" s="20" t="n">
        <f aca="false">YW58</f>
        <v>1270</v>
      </c>
      <c r="YY58" s="20" t="n">
        <f aca="false">YX58</f>
        <v>1270</v>
      </c>
      <c r="YZ58" s="20" t="n">
        <f aca="false">YY58</f>
        <v>1270</v>
      </c>
      <c r="ZA58" s="20" t="n">
        <f aca="false">YZ58</f>
        <v>1270</v>
      </c>
      <c r="ZB58" s="20" t="n">
        <f aca="false">ZA58</f>
        <v>1270</v>
      </c>
      <c r="ZC58" s="20" t="n">
        <f aca="false">ZB58</f>
        <v>1270</v>
      </c>
      <c r="ZD58" s="20" t="n">
        <f aca="false">ZC58</f>
        <v>1270</v>
      </c>
      <c r="ZE58" s="20" t="n">
        <f aca="false">ZD58</f>
        <v>1270</v>
      </c>
      <c r="ZF58" s="20" t="n">
        <f aca="false">ZE58</f>
        <v>1270</v>
      </c>
      <c r="ZG58" s="20" t="n">
        <f aca="false">ZF58</f>
        <v>1270</v>
      </c>
      <c r="ZH58" s="20" t="n">
        <f aca="false">ZG58</f>
        <v>1270</v>
      </c>
      <c r="ZI58" s="20" t="n">
        <f aca="false">ZH58</f>
        <v>1270</v>
      </c>
      <c r="ZJ58" s="20" t="n">
        <f aca="false">ZI58</f>
        <v>1270</v>
      </c>
      <c r="ZK58" s="20" t="n">
        <f aca="false">ZJ58</f>
        <v>1270</v>
      </c>
      <c r="ZL58" s="20" t="n">
        <f aca="false">ZK58</f>
        <v>1270</v>
      </c>
      <c r="ZM58" s="20" t="n">
        <f aca="false">ZL58</f>
        <v>1270</v>
      </c>
      <c r="ZN58" s="20" t="n">
        <f aca="false">ZM58</f>
        <v>1270</v>
      </c>
      <c r="ZO58" s="20" t="n">
        <f aca="false">ZN58</f>
        <v>1270</v>
      </c>
      <c r="ZP58" s="20" t="n">
        <f aca="false">ZO58</f>
        <v>1270</v>
      </c>
      <c r="ZQ58" s="20" t="n">
        <f aca="false">ZP58</f>
        <v>1270</v>
      </c>
      <c r="ZR58" s="20" t="n">
        <f aca="false">ZQ58</f>
        <v>1270</v>
      </c>
      <c r="ZS58" s="20" t="n">
        <f aca="false">ZR58</f>
        <v>1270</v>
      </c>
      <c r="ZT58" s="20" t="n">
        <f aca="false">ZS58</f>
        <v>1270</v>
      </c>
      <c r="ZU58" s="20" t="n">
        <f aca="false">ZT58</f>
        <v>1270</v>
      </c>
      <c r="ZV58" s="20" t="n">
        <f aca="false">ZU58</f>
        <v>1270</v>
      </c>
      <c r="ZW58" s="20" t="n">
        <f aca="false">ZV58</f>
        <v>1270</v>
      </c>
      <c r="ZX58" s="20" t="n">
        <f aca="false">ZW58</f>
        <v>1270</v>
      </c>
      <c r="ZY58" s="20" t="n">
        <f aca="false">ZX58</f>
        <v>1270</v>
      </c>
      <c r="ZZ58" s="20" t="n">
        <f aca="false">ZY58</f>
        <v>1270</v>
      </c>
      <c r="AAA58" s="20" t="n">
        <f aca="false">ZZ58</f>
        <v>1270</v>
      </c>
      <c r="AAB58" s="20" t="n">
        <f aca="false">AAA58</f>
        <v>1270</v>
      </c>
      <c r="AAC58" s="20" t="n">
        <f aca="false">AAB58</f>
        <v>1270</v>
      </c>
      <c r="AAD58" s="20" t="n">
        <f aca="false">AAC58</f>
        <v>1270</v>
      </c>
      <c r="AAE58" s="20" t="n">
        <f aca="false">IF(H_Direct=1,IF(BR58&lt;=0,I58-BR58*TE58,I58-MIN(MIN(BR58*TE58,(H58+I58)),I58)),I58)</f>
        <v>0</v>
      </c>
      <c r="AAF58" s="20" t="n">
        <f aca="false">IF(H_Direct=1,IF(BS58&lt;=0,AAE58-BS58*TF58,AAE58-MIN(MIN(BS58*TF58,(WR58+AAE58)),AAE58)),AAE58)</f>
        <v>0</v>
      </c>
      <c r="AAG58" s="20" t="n">
        <f aca="false">IF(H_Direct=1,IF(BT58&lt;=0,AAF58-BT58*TG58,AAF58-MIN(MIN(BT58*TG58,(WS58+AAF58)),AAF58)),AAF58)</f>
        <v>0</v>
      </c>
      <c r="AAH58" s="20" t="n">
        <f aca="false">IF(H_Direct=1,IF(BU58&lt;=0,AAG58-BU58*TH58,AAG58-MIN(MIN(BU58*TH58,(WT58+AAG58)),AAG58)),AAG58)</f>
        <v>0</v>
      </c>
      <c r="AAI58" s="20" t="n">
        <f aca="false">IF(H_Direct=1,IF(BV58&lt;=0,AAH58-BV58*TI58,AAH58-MIN(MIN(BV58*TI58,(WU58+AAH58)),AAH58)),AAH58)</f>
        <v>0</v>
      </c>
      <c r="AAJ58" s="20" t="n">
        <f aca="false">IF(H_Direct=1,IF(BW58&lt;=0,AAI58-BW58*TJ58,AAI58-MIN(MIN(BW58*TJ58,(WV58+AAI58)),AAI58)),AAI58)</f>
        <v>0</v>
      </c>
      <c r="AAK58" s="20" t="n">
        <f aca="false">IF(H_Direct=1,IF(BX58&lt;=0,AAJ58-BX58*TK58,AAJ58-MIN(MIN(BX58*TK58,(WW58+AAJ58)),AAJ58)),AAJ58)</f>
        <v>0</v>
      </c>
      <c r="AAL58" s="20" t="n">
        <f aca="false">IF(H_Direct=1,IF(BY58&lt;=0,AAK58-BY58*TL58,AAK58-MIN(MIN(BY58*TL58,(WX58+AAK58)),AAK58)),AAK58)</f>
        <v>0</v>
      </c>
      <c r="AAM58" s="20" t="n">
        <f aca="false">IF(H_Direct=1,IF(BZ58&lt;=0,AAL58-BZ58*TM58,AAL58-MIN(MIN(BZ58*TM58,(WY58+AAL58)),AAL58)),AAL58)</f>
        <v>0</v>
      </c>
      <c r="AAN58" s="20" t="n">
        <f aca="false">IF(H_Direct=1,IF(CA58&lt;=0,AAM58-CA58*TN58,AAM58-MIN(MIN(CA58*TN58,(WZ58+AAM58)),AAM58)),AAM58)</f>
        <v>0</v>
      </c>
      <c r="AAO58" s="20" t="n">
        <f aca="false">IF(H_Direct=1,IF(CB58&lt;=0,AAN58-CB58*TO58,AAN58-MIN(MIN(CB58*TO58,(XA58+AAN58)),AAN58)),AAN58)</f>
        <v>0</v>
      </c>
      <c r="AAP58" s="20" t="n">
        <f aca="false">IF(H_Direct=1,IF(CC58&lt;=0,AAO58-CC58*TP58,AAO58-MIN(MIN(CC58*TP58,(XB58+AAO58)),AAO58)),AAO58)</f>
        <v>0</v>
      </c>
      <c r="AAQ58" s="20" t="n">
        <f aca="false">IF(H_Direct=1,IF(CD58&lt;=0,AAP58-CD58*TQ58,AAP58-MIN(MIN(CD58*TQ58,(XC58+AAP58)),AAP58)),AAP58)</f>
        <v>0</v>
      </c>
      <c r="AAR58" s="20" t="n">
        <f aca="false">IF(H_Direct=1,IF(CE58&lt;=0,AAQ58-CE58*TR58,AAQ58-MIN(MIN(CE58*TR58,(XD58+AAQ58)),AAQ58)),AAQ58)</f>
        <v>0</v>
      </c>
      <c r="AAS58" s="20" t="n">
        <f aca="false">IF(H_Direct=1,IF(CF58&lt;=0,AAR58-CF58*TS58,AAR58-MIN(MIN(CF58*TS58,(XE58+AAR58)),AAR58)),AAR58)</f>
        <v>0</v>
      </c>
      <c r="AAT58" s="20" t="n">
        <f aca="false">IF(H_Direct=1,IF(CG58&lt;=0,AAS58-CG58*TT58,AAS58-MIN(MIN(CG58*TT58,(XF58+AAS58)),AAS58)),AAS58)</f>
        <v>0</v>
      </c>
      <c r="AAU58" s="20" t="n">
        <f aca="false">IF(H_Direct=1,IF(CH58&lt;=0,AAT58-CH58*TU58,AAT58-MIN(MIN(CH58*TU58,(XG58+AAT58)),AAT58)),AAT58)</f>
        <v>0</v>
      </c>
      <c r="AAV58" s="20" t="n">
        <f aca="false">IF(H_Direct=1,IF(CI58&lt;=0,AAU58-CI58*TV58,AAU58-MIN(MIN(CI58*TV58,(XH58+AAU58)),AAU58)),AAU58)</f>
        <v>0</v>
      </c>
      <c r="AAW58" s="20" t="n">
        <f aca="false">IF(H_Direct=1,IF(CJ58&lt;=0,AAV58-CJ58*TW58,AAV58-MIN(MIN(CJ58*TW58,(XI58+AAV58)),AAV58)),AAV58)</f>
        <v>0</v>
      </c>
      <c r="AAX58" s="20" t="n">
        <f aca="false">IF(H_Direct=1,IF(CK58&lt;=0,AAW58-CK58*TX58,AAW58-MIN(MIN(CK58*TX58,(XJ58+AAW58)),AAW58)),AAW58)</f>
        <v>0</v>
      </c>
      <c r="AAY58" s="20" t="n">
        <f aca="false">IF(H_Direct=1,IF(CL58&lt;=0,AAX58-CL58*TY58,AAX58-MIN(MIN(CL58*TY58,(XK58+AAX58)),AAX58)),AAX58)</f>
        <v>0</v>
      </c>
      <c r="AAZ58" s="20" t="n">
        <f aca="false">IF(H_Direct=1,IF(CM58&lt;=0,AAY58-CM58*TZ58,AAY58-MIN(MIN(CM58*TZ58,(XL58+AAY58)),AAY58)),AAY58)</f>
        <v>0</v>
      </c>
      <c r="ABA58" s="20" t="n">
        <f aca="false">IF(H_Direct=1,IF(CN58&lt;=0,AAZ58-CN58*UA58,AAZ58-MIN(MIN(CN58*UA58,(XM58+AAZ58)),AAZ58)),AAZ58)</f>
        <v>0</v>
      </c>
      <c r="ABB58" s="20" t="n">
        <f aca="false">IF(H_Direct=1,IF(CO58&lt;=0,ABA58-CO58*UB58,ABA58-MIN(MIN(CO58*UB58,(XN58+ABA58)),ABA58)),ABA58)</f>
        <v>0</v>
      </c>
      <c r="ABC58" s="20" t="n">
        <f aca="false">IF(H_Direct=1,IF(CP58&lt;=0,ABB58-CP58*UC58,ABB58-MIN(MIN(CP58*UC58,(XO58+ABB58)),ABB58)),ABB58)</f>
        <v>0</v>
      </c>
      <c r="ABD58" s="20" t="n">
        <f aca="false">IF(H_Direct=1,IF(CQ58&lt;=0,ABC58-CQ58*UD58,ABC58-MIN(MIN(CQ58*UD58,(XP58+ABC58)),ABC58)),ABC58)</f>
        <v>0</v>
      </c>
      <c r="ABE58" s="20" t="n">
        <f aca="false">IF(H_Direct=1,IF(CR58&lt;=0,ABD58-CR58*UE58,ABD58-MIN(MIN(CR58*UE58,(XQ58+ABD58)),ABD58)),ABD58)</f>
        <v>0</v>
      </c>
      <c r="ABF58" s="20" t="n">
        <f aca="false">IF(H_Direct=1,IF(CS58&lt;=0,ABE58-CS58*UF58,ABE58-MIN(MIN(CS58*UF58,(XR58+ABE58)),ABE58)),ABE58)</f>
        <v>0</v>
      </c>
      <c r="ABG58" s="20" t="n">
        <f aca="false">IF(H_Direct=1,IF(CT58&lt;=0,ABF58-CT58*UG58,ABF58-MIN(MIN(CT58*UG58,(XS58+ABF58)),ABF58)),ABF58)</f>
        <v>0</v>
      </c>
      <c r="ABH58" s="20" t="n">
        <f aca="false">IF(H_Direct=1,IF(CU58&lt;=0,ABG58-CU58*UH58,ABG58-MIN(MIN(CU58*UH58,(XT58+ABG58)),ABG58)),ABG58)</f>
        <v>0</v>
      </c>
      <c r="ABI58" s="20" t="n">
        <f aca="false">IF(H_Direct=1,IF(CV58&lt;=0,ABH58-CV58*UI58,ABH58-MIN(MIN(CV58*UI58,(XU58+ABH58)),ABH58)),ABH58)</f>
        <v>0</v>
      </c>
      <c r="ABJ58" s="20" t="n">
        <f aca="false">IF(H_Direct=1,IF(CW58&lt;=0,ABI58-CW58*UJ58,ABI58-MIN(MIN(CW58*UJ58,(XV58+ABI58)),ABI58)),ABI58)</f>
        <v>0</v>
      </c>
      <c r="ABK58" s="20" t="n">
        <f aca="false">IF(H_Direct=1,IF(CX58&lt;=0,ABJ58-CX58*UK58,ABJ58-MIN(MIN(CX58*UK58,(XW58+ABJ58)),ABJ58)),ABJ58)</f>
        <v>0</v>
      </c>
      <c r="ABL58" s="20" t="n">
        <f aca="false">IF(H_Direct=1,IF(CY58&lt;=0,ABK58-CY58*UL58,ABK58-MIN(MIN(CY58*UL58,(XX58+ABK58)),ABK58)),ABK58)</f>
        <v>0</v>
      </c>
      <c r="ABM58" s="20" t="n">
        <f aca="false">IF(H_Direct=1,IF(CZ58&lt;=0,ABL58-CZ58*UM58,ABL58-MIN(MIN(CZ58*UM58,(XY58+ABL58)),ABL58)),ABL58)</f>
        <v>0</v>
      </c>
      <c r="ABN58" s="20" t="n">
        <f aca="false">IF(H_Direct=1,IF(DA58&lt;=0,ABM58-DA58*UN58,ABM58-MIN(MIN(DA58*UN58,(XZ58+ABM58)),ABM58)),ABM58)</f>
        <v>0</v>
      </c>
      <c r="ABO58" s="20" t="n">
        <f aca="false">IF(H_Direct=1,IF(DB58&lt;=0,ABN58-DB58*UO58,ABN58-MIN(MIN(DB58*UO58,(YA58+ABN58)),ABN58)),ABN58)</f>
        <v>0</v>
      </c>
      <c r="ABP58" s="20" t="n">
        <f aca="false">IF(H_Direct=1,IF(DC58&lt;=0,ABO58-DC58*UP58,ABO58-MIN(MIN(DC58*UP58,(YB58+ABO58)),ABO58)),ABO58)</f>
        <v>0</v>
      </c>
      <c r="ABQ58" s="20" t="n">
        <f aca="false">IF(H_Direct=1,IF(DD58&lt;=0,ABP58-DD58*UQ58,ABP58-MIN(MIN(DD58*UQ58,(YC58+ABP58)),ABP58)),ABP58)</f>
        <v>0</v>
      </c>
      <c r="ABR58" s="20" t="n">
        <f aca="false">IF(H_Direct=1,IF(DE58&lt;=0,ABQ58-DE58*UR58,ABQ58-MIN(MIN(DE58*UR58,(YD58+ABQ58)),ABQ58)),ABQ58)</f>
        <v>0</v>
      </c>
      <c r="ABS58" s="20" t="n">
        <f aca="false">IF(H_Direct=1,IF(DF58&lt;=0,ABR58-DF58*US58,ABR58-MIN(MIN(DF58*US58,(YE58+ABR58)),ABR58)),ABR58)</f>
        <v>0</v>
      </c>
      <c r="ABT58" s="20" t="n">
        <f aca="false">IF(H_Direct=1,IF(DG58&lt;=0,ABS58-DG58*UT58,ABS58-MIN(MIN(DG58*UT58,(YF58+ABS58)),ABS58)),ABS58)</f>
        <v>0</v>
      </c>
      <c r="ABU58" s="20" t="n">
        <f aca="false">IF(H_Direct=1,IF(DH58&lt;=0,ABT58-DH58*UU58,ABT58-MIN(MIN(DH58*UU58,(YG58+ABT58)),ABT58)),ABT58)</f>
        <v>0</v>
      </c>
      <c r="ABV58" s="20" t="n">
        <f aca="false">IF(H_Direct=1,IF(DI58&lt;=0,ABU58-DI58*UV58,ABU58-MIN(MIN(DI58*UV58,(YH58+ABU58)),ABU58)),ABU58)</f>
        <v>0</v>
      </c>
      <c r="ABW58" s="20" t="n">
        <f aca="false">IF(H_Direct=1,IF(DJ58&lt;=0,ABV58-DJ58*UW58,ABV58-MIN(MIN(DJ58*UW58,(YI58+ABV58)),ABV58)),ABV58)</f>
        <v>0</v>
      </c>
      <c r="ABX58" s="20" t="n">
        <f aca="false">IF(H_Direct=1,IF(DK58&lt;=0,ABW58-DK58*UX58,ABW58-MIN(MIN(DK58*UX58,(YJ58+ABW58)),ABW58)),ABW58)</f>
        <v>0</v>
      </c>
      <c r="ABY58" s="20" t="n">
        <f aca="false">IF(H_Direct=1,IF(DL58&lt;=0,ABX58-DL58*UY58,ABX58-MIN(MIN(DL58*UY58,(YK58+ABX58)),ABX58)),ABX58)</f>
        <v>0</v>
      </c>
      <c r="ABZ58" s="20" t="n">
        <f aca="false">IF(H_Direct=1,IF(DM58&lt;=0,ABY58-DM58*UZ58,ABY58-MIN(MIN(DM58*UZ58,(YL58+ABY58)),ABY58)),ABY58)</f>
        <v>0</v>
      </c>
      <c r="ACA58" s="20" t="n">
        <f aca="false">IF(H_Direct=1,IF(DN58&lt;=0,ABZ58-DN58*VA58,ABZ58-MIN(MIN(DN58*VA58,(YM58+ABZ58)),ABZ58)),ABZ58)</f>
        <v>0</v>
      </c>
      <c r="ACB58" s="20" t="n">
        <f aca="false">IF(H_Direct=1,IF(DO58&lt;=0,ACA58-DO58*VB58,ACA58-MIN(MIN(DO58*VB58,(YN58+ACA58)),ACA58)),ACA58)</f>
        <v>0</v>
      </c>
      <c r="ACC58" s="20" t="n">
        <f aca="false">IF(H_Direct=1,IF(DP58&lt;=0,ACB58-DP58*VC58,ACB58-MIN(MIN(DP58*VC58,(YO58+ACB58)),ACB58)),ACB58)</f>
        <v>0</v>
      </c>
      <c r="ACD58" s="20" t="n">
        <f aca="false">IF(H_Direct=1,IF(DQ58&lt;=0,ACC58-DQ58*VD58,ACC58-MIN(MIN(DQ58*VD58,(YP58+ACC58)),ACC58)),ACC58)</f>
        <v>0</v>
      </c>
      <c r="ACE58" s="20" t="n">
        <f aca="false">ACD58</f>
        <v>0</v>
      </c>
      <c r="ACF58" s="20" t="n">
        <f aca="false">ACE58</f>
        <v>0</v>
      </c>
      <c r="ACG58" s="20" t="n">
        <f aca="false">ACF58</f>
        <v>0</v>
      </c>
      <c r="ACH58" s="20" t="n">
        <f aca="false">ACG58</f>
        <v>0</v>
      </c>
      <c r="ACI58" s="20" t="n">
        <f aca="false">ACH58</f>
        <v>0</v>
      </c>
      <c r="ACJ58" s="20" t="n">
        <f aca="false">ACI58</f>
        <v>0</v>
      </c>
      <c r="ACK58" s="20" t="n">
        <f aca="false">ACJ58</f>
        <v>0</v>
      </c>
      <c r="ACL58" s="20" t="n">
        <f aca="false">ACK58</f>
        <v>0</v>
      </c>
      <c r="ACM58" s="20" t="n">
        <f aca="false">ACL58</f>
        <v>0</v>
      </c>
      <c r="ACN58" s="20" t="n">
        <f aca="false">ACM58</f>
        <v>0</v>
      </c>
      <c r="ACO58" s="20" t="n">
        <f aca="false">ACN58</f>
        <v>0</v>
      </c>
      <c r="ACP58" s="20" t="n">
        <f aca="false">ACO58</f>
        <v>0</v>
      </c>
      <c r="ACQ58" s="20" t="n">
        <f aca="false">ACP58</f>
        <v>0</v>
      </c>
      <c r="ACR58" s="20" t="n">
        <f aca="false">ACQ58</f>
        <v>0</v>
      </c>
      <c r="ACS58" s="20" t="n">
        <f aca="false">ACR58</f>
        <v>0</v>
      </c>
      <c r="ACT58" s="20" t="n">
        <f aca="false">ACS58</f>
        <v>0</v>
      </c>
      <c r="ACU58" s="20" t="n">
        <f aca="false">ACT58</f>
        <v>0</v>
      </c>
      <c r="ACV58" s="20" t="n">
        <f aca="false">ACU58</f>
        <v>0</v>
      </c>
      <c r="ACW58" s="20" t="n">
        <f aca="false">ACV58</f>
        <v>0</v>
      </c>
      <c r="ACX58" s="20" t="n">
        <f aca="false">ACW58</f>
        <v>0</v>
      </c>
      <c r="ACY58" s="20" t="n">
        <f aca="false">ACX58</f>
        <v>0</v>
      </c>
      <c r="ACZ58" s="20" t="n">
        <f aca="false">ACY58</f>
        <v>0</v>
      </c>
      <c r="ADA58" s="20" t="n">
        <f aca="false">ACZ58</f>
        <v>0</v>
      </c>
      <c r="ADB58" s="20" t="n">
        <f aca="false">ADA58</f>
        <v>0</v>
      </c>
      <c r="ADC58" s="20" t="n">
        <f aca="false">ADB58</f>
        <v>0</v>
      </c>
      <c r="ADD58" s="20" t="n">
        <f aca="false">ADC58</f>
        <v>0</v>
      </c>
      <c r="ADE58" s="20" t="n">
        <f aca="false">ADD58</f>
        <v>0</v>
      </c>
      <c r="ADF58" s="20" t="n">
        <f aca="false">ADE58</f>
        <v>0</v>
      </c>
      <c r="ADG58" s="20" t="n">
        <f aca="false">ADF58</f>
        <v>0</v>
      </c>
      <c r="ADH58" s="20" t="n">
        <f aca="false">ADG58</f>
        <v>0</v>
      </c>
      <c r="ADI58" s="20" t="n">
        <f aca="false">ADH58</f>
        <v>0</v>
      </c>
      <c r="ADJ58" s="20" t="n">
        <f aca="false">ADI58</f>
        <v>0</v>
      </c>
      <c r="ADK58" s="20" t="n">
        <f aca="false">ADJ58</f>
        <v>0</v>
      </c>
      <c r="ADL58" s="20" t="n">
        <f aca="false">ADK58</f>
        <v>0</v>
      </c>
      <c r="ADM58" s="20" t="n">
        <f aca="false">ADL58</f>
        <v>0</v>
      </c>
      <c r="ADN58" s="20" t="n">
        <f aca="false">ADM58</f>
        <v>0</v>
      </c>
      <c r="ADO58" s="20" t="n">
        <f aca="false">ADN58</f>
        <v>0</v>
      </c>
      <c r="ADP58" s="20" t="n">
        <f aca="false">ADO58</f>
        <v>0</v>
      </c>
      <c r="ADQ58" s="20" t="n">
        <f aca="false">ADP58</f>
        <v>0</v>
      </c>
      <c r="ADR58" s="20" t="n">
        <f aca="false">(AKR57-TE58+0)*(1+BQ58)</f>
        <v>0</v>
      </c>
      <c r="ADS58" s="20" t="n">
        <f aca="false">(AKS57-TF58+0)*(1+BQ58)</f>
        <v>0</v>
      </c>
      <c r="ADT58" s="20" t="n">
        <f aca="false">(AKT57-TG58+0)*(1+BQ58)</f>
        <v>0</v>
      </c>
      <c r="ADU58" s="20" t="n">
        <f aca="false">(AKU57-TH58+0)*(1+BQ58)</f>
        <v>0</v>
      </c>
      <c r="ADV58" s="20" t="n">
        <f aca="false">(AKV57-TI58+0)*(1+BQ58)</f>
        <v>0</v>
      </c>
      <c r="ADW58" s="20" t="n">
        <f aca="false">(AKW57-TJ58+0)*(1+BQ58)</f>
        <v>0</v>
      </c>
      <c r="ADX58" s="20" t="n">
        <f aca="false">(AKX57-TK58+0)*(1+BQ58)</f>
        <v>0</v>
      </c>
      <c r="ADY58" s="20" t="n">
        <f aca="false">(AKY57-TL58+0)*(1+BQ58)</f>
        <v>0</v>
      </c>
      <c r="ADZ58" s="20" t="n">
        <f aca="false">(AKZ57-TM58+0)*(1+BQ58)</f>
        <v>0</v>
      </c>
      <c r="AEA58" s="20" t="n">
        <f aca="false">(ALA57-TN58+0)*(1+BQ58)</f>
        <v>0</v>
      </c>
      <c r="AEB58" s="20" t="n">
        <f aca="false">(ALB57-TO58+0)*(1+BQ58)</f>
        <v>0</v>
      </c>
      <c r="AEC58" s="20" t="n">
        <f aca="false">(ALC57-TP58+0)*(1+BQ58)</f>
        <v>0</v>
      </c>
      <c r="AED58" s="20" t="n">
        <f aca="false">(ALD57-TQ58+0)*(1+BQ58)</f>
        <v>0</v>
      </c>
      <c r="AEE58" s="20" t="n">
        <f aca="false">(ALE57-TR58+0)*(1+BQ58)</f>
        <v>0</v>
      </c>
      <c r="AEF58" s="20" t="n">
        <f aca="false">(ALF57-TS58+0)*(1+BQ58)</f>
        <v>0</v>
      </c>
      <c r="AEG58" s="20" t="n">
        <f aca="false">(ALG57-TT58+0)*(1+BQ58)</f>
        <v>0</v>
      </c>
      <c r="AEH58" s="20" t="n">
        <f aca="false">(ALH57-TU58+0)*(1+BQ58)</f>
        <v>0</v>
      </c>
      <c r="AEI58" s="20" t="n">
        <f aca="false">(ALI57-TV58+0)*(1+BQ58)</f>
        <v>0</v>
      </c>
      <c r="AEJ58" s="20" t="n">
        <f aca="false">(ALJ57-TW58+0)*(1+BQ58)</f>
        <v>0</v>
      </c>
      <c r="AEK58" s="20" t="n">
        <f aca="false">(ALK57-TX58+0)*(1+BQ58)</f>
        <v>0</v>
      </c>
      <c r="AEL58" s="20" t="n">
        <f aca="false">(ALL57-TY58+0)*(1+BQ58)</f>
        <v>0</v>
      </c>
      <c r="AEM58" s="20" t="n">
        <f aca="false">(ALM57-TZ58+0)*(1+BQ58)</f>
        <v>0</v>
      </c>
      <c r="AEN58" s="20" t="n">
        <f aca="false">(ALN57-UA58+0)*(1+BQ58)</f>
        <v>0</v>
      </c>
      <c r="AEO58" s="20" t="n">
        <f aca="false">(ALO57-UB58+0)*(1+BQ58)</f>
        <v>0</v>
      </c>
      <c r="AEP58" s="20" t="n">
        <f aca="false">(ALP57-UC58+0)*(1+BQ58)</f>
        <v>0</v>
      </c>
      <c r="AEQ58" s="20" t="n">
        <f aca="false">(ALQ57-UD58+0)*(1+BQ58)</f>
        <v>0</v>
      </c>
      <c r="AER58" s="20" t="n">
        <f aca="false">(ALR57-UE58+0)*(1+BQ58)</f>
        <v>0</v>
      </c>
      <c r="AES58" s="20" t="n">
        <f aca="false">(ALS57-UF58+0)*(1+BQ58)</f>
        <v>0</v>
      </c>
      <c r="AET58" s="20" t="n">
        <f aca="false">(ALT57-UG58+0)*(1+BQ58)</f>
        <v>0</v>
      </c>
      <c r="AEU58" s="20" t="n">
        <f aca="false">(ALU57-UH58+0)*(1+BQ58)</f>
        <v>0</v>
      </c>
      <c r="AEV58" s="20" t="n">
        <f aca="false">(ALV57-UI58+0)*(1+BQ58)</f>
        <v>0</v>
      </c>
      <c r="AEW58" s="20" t="n">
        <f aca="false">(ALW57-UJ58+0)*(1+BQ58)</f>
        <v>0</v>
      </c>
      <c r="AEX58" s="20" t="n">
        <f aca="false">(ALX57-UK58+0)*(1+BQ58)</f>
        <v>0</v>
      </c>
      <c r="AEY58" s="20" t="n">
        <f aca="false">(ALY57-UL58+0)*(1+BQ58)</f>
        <v>0</v>
      </c>
      <c r="AEZ58" s="20" t="n">
        <f aca="false">(ALZ57-UM58+0)*(1+BQ58)</f>
        <v>0</v>
      </c>
      <c r="AFA58" s="20" t="n">
        <f aca="false">(AMA57-UN58+0)*(1+BQ58)</f>
        <v>0</v>
      </c>
      <c r="AFB58" s="20" t="n">
        <f aca="false">(AMB57-UO58+0)*(1+BQ58)</f>
        <v>0</v>
      </c>
      <c r="AFC58" s="20" t="n">
        <f aca="false">(AMC57-UP58+0)*(1+BQ58)</f>
        <v>0</v>
      </c>
      <c r="AFD58" s="20" t="n">
        <f aca="false">(AMD57-UQ58+0)*(1+BQ58)</f>
        <v>0</v>
      </c>
      <c r="AFE58" s="20" t="n">
        <f aca="false">(AME57-UR58+0)*(1+BQ58)</f>
        <v>0</v>
      </c>
      <c r="AFF58" s="20" t="n">
        <f aca="false">(AMF57-US58+0)*(1+BQ58)</f>
        <v>0</v>
      </c>
      <c r="AFG58" s="20" t="n">
        <f aca="false">(AMG57-UT58+0)*(1+BQ58)</f>
        <v>0</v>
      </c>
      <c r="AFH58" s="20" t="n">
        <f aca="false">(AMH57-UU58+0)*(1+BQ58)</f>
        <v>0</v>
      </c>
      <c r="AFI58" s="20" t="n">
        <f aca="false">(AMI57-UV58+0)*(1+BQ58)</f>
        <v>0</v>
      </c>
      <c r="AFJ58" s="20" t="n">
        <f aca="false">(AMJ57-UW58+0)*(1+BQ58)</f>
        <v>0</v>
      </c>
      <c r="AFK58" s="20" t="n">
        <f aca="false">(AMK57-UX58+0)*(1+BQ58)</f>
        <v>0</v>
      </c>
      <c r="AFL58" s="20" t="n">
        <f aca="false">(AML57-UY58+0)*(1+BQ58)</f>
        <v>0</v>
      </c>
      <c r="AFM58" s="20" t="n">
        <f aca="false">(AMM57-UZ58+0)*(1+BQ58)</f>
        <v>0</v>
      </c>
      <c r="AFN58" s="20" t="n">
        <f aca="false">(AMN57-VA58+0)*(1+BQ58)</f>
        <v>0</v>
      </c>
      <c r="AFO58" s="20" t="n">
        <f aca="false">(AMO57-VB58+0)*(1+BQ58)</f>
        <v>0</v>
      </c>
      <c r="AFP58" s="20" t="n">
        <f aca="false">(AMP57-VC58+0)*(1+BQ58)</f>
        <v>0</v>
      </c>
      <c r="AFQ58" s="20" t="n">
        <f aca="false">((P58+S58)-VD58+BE58)*(1+BQ58)</f>
        <v>0</v>
      </c>
      <c r="AFR58" s="20" t="n">
        <v>0</v>
      </c>
      <c r="AFS58" s="20" t="n">
        <v>0</v>
      </c>
      <c r="AFT58" s="20" t="n">
        <v>0</v>
      </c>
      <c r="AFU58" s="20" t="n">
        <v>0</v>
      </c>
      <c r="AFV58" s="20" t="n">
        <v>0</v>
      </c>
      <c r="AFW58" s="20" t="n">
        <v>0</v>
      </c>
      <c r="AFX58" s="20" t="n">
        <v>0</v>
      </c>
      <c r="AFY58" s="20" t="n">
        <v>0</v>
      </c>
      <c r="AFZ58" s="20" t="n">
        <v>0</v>
      </c>
      <c r="AGA58" s="20" t="n">
        <v>0</v>
      </c>
      <c r="AGB58" s="20" t="n">
        <v>0</v>
      </c>
      <c r="AGC58" s="20" t="n">
        <v>0</v>
      </c>
      <c r="AGD58" s="20" t="n">
        <v>0</v>
      </c>
      <c r="AGE58" s="20" t="n">
        <v>0</v>
      </c>
      <c r="AGF58" s="20" t="n">
        <v>0</v>
      </c>
      <c r="AGG58" s="20" t="n">
        <v>0</v>
      </c>
      <c r="AGH58" s="20" t="n">
        <v>0</v>
      </c>
      <c r="AGI58" s="20" t="n">
        <v>0</v>
      </c>
      <c r="AGJ58" s="20" t="n">
        <v>0</v>
      </c>
      <c r="AGK58" s="20" t="n">
        <v>0</v>
      </c>
      <c r="AGL58" s="20" t="n">
        <v>0</v>
      </c>
      <c r="AGM58" s="20" t="n">
        <v>0</v>
      </c>
      <c r="AGN58" s="20" t="n">
        <v>0</v>
      </c>
      <c r="AGO58" s="20" t="n">
        <v>0</v>
      </c>
      <c r="AGP58" s="20" t="n">
        <v>0</v>
      </c>
      <c r="AGQ58" s="20" t="n">
        <v>0</v>
      </c>
      <c r="AGR58" s="20" t="n">
        <v>0</v>
      </c>
      <c r="AGS58" s="20" t="n">
        <v>0</v>
      </c>
      <c r="AGT58" s="20" t="n">
        <v>0</v>
      </c>
      <c r="AGU58" s="20" t="n">
        <v>0</v>
      </c>
      <c r="AGV58" s="20" t="n">
        <v>0</v>
      </c>
      <c r="AGW58" s="20" t="n">
        <v>0</v>
      </c>
      <c r="AGX58" s="20" t="n">
        <v>0</v>
      </c>
      <c r="AGY58" s="20" t="n">
        <v>0</v>
      </c>
      <c r="AGZ58" s="20" t="n">
        <v>0</v>
      </c>
      <c r="AHA58" s="20" t="n">
        <v>0</v>
      </c>
      <c r="AHB58" s="20" t="n">
        <v>0</v>
      </c>
      <c r="AHC58" s="20" t="n">
        <v>0</v>
      </c>
      <c r="AHD58" s="20" t="n">
        <v>0</v>
      </c>
      <c r="AHE58" s="20" t="n">
        <f aca="false">IF(AKR57&gt;0,AOE57-AOE57*TE58/AKR57,0)+0</f>
        <v>0</v>
      </c>
      <c r="AHF58" s="20" t="n">
        <f aca="false">IF(AKS57&gt;0,AOF57-AOF57*TF58/AKS57,0)+0</f>
        <v>0</v>
      </c>
      <c r="AHG58" s="20" t="n">
        <f aca="false">IF(AKT57&gt;0,AOG57-AOG57*TG58/AKT57,0)+0</f>
        <v>0</v>
      </c>
      <c r="AHH58" s="20" t="n">
        <f aca="false">IF(AKU57&gt;0,AOH57-AOH57*TH58/AKU57,0)+0</f>
        <v>0</v>
      </c>
      <c r="AHI58" s="20" t="n">
        <f aca="false">IF(AKV57&gt;0,AOI57-AOI57*TI58/AKV57,0)+0</f>
        <v>0</v>
      </c>
      <c r="AHJ58" s="20" t="n">
        <f aca="false">IF(AKW57&gt;0,AOJ57-AOJ57*TJ58/AKW57,0)+0</f>
        <v>0</v>
      </c>
      <c r="AHK58" s="20" t="n">
        <f aca="false">IF(AKX57&gt;0,AOK57-AOK57*TK58/AKX57,0)+0</f>
        <v>0</v>
      </c>
      <c r="AHL58" s="20" t="n">
        <f aca="false">IF(AKY57&gt;0,AOL57-AOL57*TL58/AKY57,0)+0</f>
        <v>0</v>
      </c>
      <c r="AHM58" s="20" t="n">
        <f aca="false">IF(AKZ57&gt;0,AOM57-AOM57*TM58/AKZ57,0)+0</f>
        <v>0</v>
      </c>
      <c r="AHN58" s="20" t="n">
        <f aca="false">IF(ALA57&gt;0,AON57-AON57*TN58/ALA57,0)+0</f>
        <v>0</v>
      </c>
      <c r="AHO58" s="20" t="n">
        <f aca="false">IF(ALB57&gt;0,AOO57-AOO57*TO58/ALB57,0)+0</f>
        <v>0</v>
      </c>
      <c r="AHP58" s="20" t="n">
        <f aca="false">IF(ALC57&gt;0,AOP57-AOP57*TP58/ALC57,0)+0</f>
        <v>0</v>
      </c>
      <c r="AHQ58" s="20" t="n">
        <f aca="false">IF(ALD57&gt;0,AOQ57-AOQ57*TQ58/ALD57,0)+0</f>
        <v>0</v>
      </c>
      <c r="AHR58" s="20" t="n">
        <f aca="false">IF(ALE57&gt;0,AOR57-AOR57*TR58/ALE57,0)+0</f>
        <v>0</v>
      </c>
      <c r="AHS58" s="20" t="n">
        <f aca="false">IF(ALF57&gt;0,AOS57-AOS57*TS58/ALF57,0)+0</f>
        <v>0</v>
      </c>
      <c r="AHT58" s="20" t="n">
        <f aca="false">IF(ALG57&gt;0,AOT57-AOT57*TT58/ALG57,0)+0</f>
        <v>0</v>
      </c>
      <c r="AHU58" s="20" t="n">
        <f aca="false">IF(ALH57&gt;0,AOU57-AOU57*TU58/ALH57,0)+0</f>
        <v>0</v>
      </c>
      <c r="AHV58" s="20" t="n">
        <f aca="false">IF(ALI57&gt;0,AOV57-AOV57*TV58/ALI57,0)+0</f>
        <v>0</v>
      </c>
      <c r="AHW58" s="20" t="n">
        <f aca="false">IF(ALJ57&gt;0,AOW57-AOW57*TW58/ALJ57,0)+0</f>
        <v>0</v>
      </c>
      <c r="AHX58" s="20" t="n">
        <f aca="false">IF(ALK57&gt;0,AOX57-AOX57*TX58/ALK57,0)+0</f>
        <v>0</v>
      </c>
      <c r="AHY58" s="20" t="n">
        <f aca="false">IF(ALL57&gt;0,AOY57-AOY57*TY58/ALL57,0)+0</f>
        <v>0</v>
      </c>
      <c r="AHZ58" s="20" t="n">
        <f aca="false">IF(ALM57&gt;0,AOZ57-AOZ57*TZ58/ALM57,0)+0</f>
        <v>0</v>
      </c>
      <c r="AIA58" s="20" t="n">
        <f aca="false">IF(ALN57&gt;0,APA57-APA57*UA58/ALN57,0)+0</f>
        <v>0</v>
      </c>
      <c r="AIB58" s="20" t="n">
        <f aca="false">IF(ALO57&gt;0,APB57-APB57*UB58/ALO57,0)+0</f>
        <v>0</v>
      </c>
      <c r="AIC58" s="20" t="n">
        <f aca="false">IF(ALP57&gt;0,APC57-APC57*UC58/ALP57,0)+0</f>
        <v>0</v>
      </c>
      <c r="AID58" s="20" t="n">
        <f aca="false">IF(ALQ57&gt;0,APD57-APD57*UD58/ALQ57,0)+0</f>
        <v>0</v>
      </c>
      <c r="AIE58" s="20" t="n">
        <f aca="false">IF(ALR57&gt;0,APE57-APE57*UE58/ALR57,0)+0</f>
        <v>0</v>
      </c>
      <c r="AIF58" s="20" t="n">
        <f aca="false">IF(ALS57&gt;0,APF57-APF57*UF58/ALS57,0)+0</f>
        <v>0</v>
      </c>
      <c r="AIG58" s="20" t="n">
        <f aca="false">IF(ALT57&gt;0,APG57-APG57*UG58/ALT57,0)+0</f>
        <v>0</v>
      </c>
      <c r="AIH58" s="20" t="n">
        <f aca="false">IF(ALU57&gt;0,APH57-APH57*UH58/ALU57,0)+0</f>
        <v>0</v>
      </c>
      <c r="AII58" s="20" t="n">
        <f aca="false">IF(ALV57&gt;0,API57-API57*UI58/ALV57,0)+0</f>
        <v>0</v>
      </c>
      <c r="AIJ58" s="20" t="n">
        <f aca="false">IF(ALW57&gt;0,APJ57-APJ57*UJ58/ALW57,0)+0</f>
        <v>0</v>
      </c>
      <c r="AIK58" s="20" t="n">
        <f aca="false">IF(ALX57&gt;0,APK57-APK57*UK58/ALX57,0)+0</f>
        <v>0</v>
      </c>
      <c r="AIL58" s="20" t="n">
        <f aca="false">IF(ALY57&gt;0,APL57-APL57*UL58/ALY57,0)+0</f>
        <v>0</v>
      </c>
      <c r="AIM58" s="20" t="n">
        <f aca="false">IF(ALZ57&gt;0,APM57-APM57*UM58/ALZ57,0)+0</f>
        <v>0</v>
      </c>
      <c r="AIN58" s="20" t="n">
        <f aca="false">IF(AMA57&gt;0,APN57-APN57*UN58/AMA57,0)+0</f>
        <v>0</v>
      </c>
      <c r="AIO58" s="20" t="n">
        <f aca="false">IF(AMB57&gt;0,APO57-APO57*UO58/AMB57,0)+0</f>
        <v>0</v>
      </c>
      <c r="AIP58" s="20" t="n">
        <f aca="false">IF(AMC57&gt;0,APP57-APP57*UP58/AMC57,0)+0</f>
        <v>0</v>
      </c>
      <c r="AIQ58" s="20" t="n">
        <f aca="false">IF(AMD57&gt;0,APQ57-APQ57*UQ58/AMD57,0)+0</f>
        <v>0</v>
      </c>
      <c r="AIR58" s="20" t="n">
        <f aca="false">IF(AME57&gt;0,APR57-APR57*UR58/AME57,0)+0</f>
        <v>0</v>
      </c>
      <c r="AIS58" s="20" t="n">
        <f aca="false">IF(AMF57&gt;0,APS57-APS57*US58/AMF57,0)+0</f>
        <v>0</v>
      </c>
      <c r="AIT58" s="20" t="n">
        <f aca="false">IF(AMG57&gt;0,APT57-APT57*UT58/AMG57,0)+0</f>
        <v>0</v>
      </c>
      <c r="AIU58" s="20" t="n">
        <f aca="false">IF(AMH57&gt;0,APU57-APU57*UU58/AMH57,0)+0</f>
        <v>0</v>
      </c>
      <c r="AIV58" s="20" t="n">
        <f aca="false">IF(AMI57&gt;0,APV57-APV57*UV58/AMI57,0)+0</f>
        <v>0</v>
      </c>
      <c r="AIW58" s="20" t="n">
        <f aca="false">IF(AMJ57&gt;0,APW57-APW57*UW58/AMJ57,0)+0</f>
        <v>0</v>
      </c>
      <c r="AIX58" s="20" t="n">
        <f aca="false">IF(AMK57&gt;0,APX57-APX57*UX58/AMK57,0)+0</f>
        <v>0</v>
      </c>
      <c r="AIY58" s="20" t="n">
        <f aca="false">IF(AML57&gt;0,APY57-APY57*UY58/AML57,0)+0</f>
        <v>0</v>
      </c>
      <c r="AIZ58" s="20" t="n">
        <f aca="false">IF(AMM57&gt;0,APZ57-APZ57*UZ58/AMM57,0)+0</f>
        <v>0</v>
      </c>
      <c r="AJA58" s="20" t="n">
        <f aca="false">IF(AMN57&gt;0,AQA57-AQA57*VA58/AMN57,0)+0</f>
        <v>0</v>
      </c>
      <c r="AJB58" s="20" t="n">
        <f aca="false">IF(AMO57&gt;0,AQB57-AQB57*VB58/AMO57,0)+0</f>
        <v>0</v>
      </c>
      <c r="AJC58" s="20" t="n">
        <f aca="false">IF(AMP57&gt;0,AQC57-AQC57*VC58/AMP57,0)+0</f>
        <v>0</v>
      </c>
      <c r="AJD58" s="20" t="n">
        <f aca="false">IF((P58+S58)&gt;0,(P58+S58)-(P58+S58)*VD58/(P58+S58),0)+BE58</f>
        <v>0</v>
      </c>
      <c r="AJE58" s="20" t="n">
        <v>0</v>
      </c>
      <c r="AJF58" s="20" t="n">
        <v>0</v>
      </c>
      <c r="AJG58" s="20" t="n">
        <v>0</v>
      </c>
      <c r="AJH58" s="20" t="n">
        <v>0</v>
      </c>
      <c r="AJI58" s="20" t="n">
        <v>0</v>
      </c>
      <c r="AJJ58" s="20" t="n">
        <v>0</v>
      </c>
      <c r="AJK58" s="20" t="n">
        <v>0</v>
      </c>
      <c r="AJL58" s="20" t="n">
        <v>0</v>
      </c>
      <c r="AJM58" s="20" t="n">
        <v>0</v>
      </c>
      <c r="AJN58" s="20" t="n">
        <v>0</v>
      </c>
      <c r="AJO58" s="20" t="n">
        <v>0</v>
      </c>
      <c r="AJP58" s="20" t="n">
        <v>0</v>
      </c>
      <c r="AJQ58" s="20" t="n">
        <v>0</v>
      </c>
      <c r="AJR58" s="20" t="n">
        <v>0</v>
      </c>
      <c r="AJS58" s="20" t="n">
        <v>0</v>
      </c>
      <c r="AJT58" s="20" t="n">
        <v>0</v>
      </c>
      <c r="AJU58" s="20" t="n">
        <v>0</v>
      </c>
      <c r="AJV58" s="20" t="n">
        <v>0</v>
      </c>
      <c r="AJW58" s="20" t="n">
        <v>0</v>
      </c>
      <c r="AJX58" s="20" t="n">
        <v>0</v>
      </c>
      <c r="AJY58" s="20" t="n">
        <v>0</v>
      </c>
      <c r="AJZ58" s="20" t="n">
        <v>0</v>
      </c>
      <c r="AKA58" s="20" t="n">
        <v>0</v>
      </c>
      <c r="AKB58" s="20" t="n">
        <v>0</v>
      </c>
      <c r="AKC58" s="20" t="n">
        <v>0</v>
      </c>
      <c r="AKD58" s="20" t="n">
        <v>0</v>
      </c>
      <c r="AKE58" s="20" t="n">
        <v>0</v>
      </c>
      <c r="AKF58" s="20" t="n">
        <v>0</v>
      </c>
      <c r="AKG58" s="20" t="n">
        <v>0</v>
      </c>
      <c r="AKH58" s="20" t="n">
        <v>0</v>
      </c>
      <c r="AKI58" s="20" t="n">
        <v>0</v>
      </c>
      <c r="AKJ58" s="20" t="n">
        <v>0</v>
      </c>
      <c r="AKK58" s="20" t="n">
        <v>0</v>
      </c>
      <c r="AKL58" s="20" t="n">
        <v>0</v>
      </c>
      <c r="AKM58" s="20" t="n">
        <v>0</v>
      </c>
      <c r="AKN58" s="20" t="n">
        <v>0</v>
      </c>
      <c r="AKO58" s="20" t="n">
        <v>0</v>
      </c>
      <c r="AKP58" s="20" t="n">
        <v>0</v>
      </c>
      <c r="AKQ58" s="20" t="n">
        <v>0</v>
      </c>
      <c r="AKR58" s="20" t="n">
        <f aca="false">ADR58-AVE58</f>
        <v>0</v>
      </c>
      <c r="AKS58" s="20" t="n">
        <f aca="false">ADS58-AVF58</f>
        <v>0</v>
      </c>
      <c r="AKT58" s="20" t="n">
        <f aca="false">ADT58-AVG58</f>
        <v>0</v>
      </c>
      <c r="AKU58" s="20" t="n">
        <f aca="false">ADU58-AVH58</f>
        <v>0</v>
      </c>
      <c r="AKV58" s="20" t="n">
        <f aca="false">ADV58-AVI58</f>
        <v>0</v>
      </c>
      <c r="AKW58" s="20" t="n">
        <f aca="false">ADW58-AVJ58</f>
        <v>0</v>
      </c>
      <c r="AKX58" s="20" t="n">
        <f aca="false">ADX58-AVK58</f>
        <v>0</v>
      </c>
      <c r="AKY58" s="20" t="n">
        <f aca="false">ADY58-AVL58</f>
        <v>0</v>
      </c>
      <c r="AKZ58" s="20" t="n">
        <f aca="false">ADZ58-AVM58</f>
        <v>0</v>
      </c>
      <c r="ALA58" s="20" t="n">
        <f aca="false">AEA58-AVN58</f>
        <v>0</v>
      </c>
      <c r="ALB58" s="20" t="n">
        <f aca="false">AEB58-AVO58</f>
        <v>0</v>
      </c>
      <c r="ALC58" s="20" t="n">
        <f aca="false">AEC58-AVP58</f>
        <v>0</v>
      </c>
      <c r="ALD58" s="20" t="n">
        <f aca="false">AED58-AVQ58</f>
        <v>0</v>
      </c>
      <c r="ALE58" s="20" t="n">
        <f aca="false">AEE58-AVR58</f>
        <v>0</v>
      </c>
      <c r="ALF58" s="20" t="n">
        <f aca="false">AEF58-AVS58</f>
        <v>0</v>
      </c>
      <c r="ALG58" s="20" t="n">
        <f aca="false">AEG58-AVT58</f>
        <v>0</v>
      </c>
      <c r="ALH58" s="20" t="n">
        <f aca="false">AEH58-AVU58</f>
        <v>0</v>
      </c>
      <c r="ALI58" s="20" t="n">
        <f aca="false">AEI58-AVV58</f>
        <v>0</v>
      </c>
      <c r="ALJ58" s="20" t="n">
        <f aca="false">AEJ58-AVW58</f>
        <v>0</v>
      </c>
      <c r="ALK58" s="20" t="n">
        <f aca="false">AEK58-AVX58</f>
        <v>0</v>
      </c>
      <c r="ALL58" s="20" t="n">
        <f aca="false">AEL58-AVY58</f>
        <v>0</v>
      </c>
      <c r="ALM58" s="20" t="n">
        <f aca="false">AEM58-AVZ58</f>
        <v>0</v>
      </c>
      <c r="ALN58" s="20" t="n">
        <f aca="false">AEN58-AWA58</f>
        <v>0</v>
      </c>
      <c r="ALO58" s="20" t="n">
        <f aca="false">AEO58-AWB58</f>
        <v>0</v>
      </c>
      <c r="ALP58" s="20" t="n">
        <f aca="false">AEP58-AWC58</f>
        <v>0</v>
      </c>
      <c r="ALQ58" s="20" t="n">
        <f aca="false">AEQ58-AWD58</f>
        <v>0</v>
      </c>
      <c r="ALR58" s="20" t="n">
        <f aca="false">AER58-AWE58</f>
        <v>0</v>
      </c>
      <c r="ALS58" s="20" t="n">
        <f aca="false">AES58-AWF58</f>
        <v>0</v>
      </c>
      <c r="ALT58" s="20" t="n">
        <f aca="false">AET58-AWG58</f>
        <v>0</v>
      </c>
      <c r="ALU58" s="20" t="n">
        <f aca="false">AEU58-AWH58</f>
        <v>0</v>
      </c>
      <c r="ALV58" s="20" t="n">
        <f aca="false">AEV58-AWI58</f>
        <v>0</v>
      </c>
      <c r="ALW58" s="20" t="n">
        <f aca="false">AEW58-AWJ58</f>
        <v>0</v>
      </c>
      <c r="ALX58" s="20" t="n">
        <f aca="false">AEX58-AWK58</f>
        <v>0</v>
      </c>
      <c r="ALY58" s="20" t="n">
        <f aca="false">AEY58-AWL58</f>
        <v>0</v>
      </c>
      <c r="ALZ58" s="20" t="n">
        <f aca="false">AEZ58-AWM58</f>
        <v>0</v>
      </c>
      <c r="AMA58" s="20" t="n">
        <f aca="false">AFA58-AWN58</f>
        <v>0</v>
      </c>
      <c r="AMB58" s="20" t="n">
        <f aca="false">AFB58-AWO58</f>
        <v>0</v>
      </c>
      <c r="AMC58" s="20" t="n">
        <f aca="false">AFC58-AWP58</f>
        <v>0</v>
      </c>
      <c r="AMD58" s="20" t="n">
        <f aca="false">AFD58-AWQ58</f>
        <v>0</v>
      </c>
      <c r="AME58" s="20" t="n">
        <f aca="false">AFE58-AWR58</f>
        <v>0</v>
      </c>
      <c r="AMF58" s="20" t="n">
        <f aca="false">AFF58-AWS58</f>
        <v>0</v>
      </c>
      <c r="AMG58" s="20" t="n">
        <f aca="false">AFG58-AWT58</f>
        <v>0</v>
      </c>
      <c r="AMH58" s="20" t="n">
        <f aca="false">AFH58-AWU58</f>
        <v>0</v>
      </c>
      <c r="AMI58" s="20" t="n">
        <f aca="false">AFI58-AWV58</f>
        <v>0</v>
      </c>
      <c r="AMJ58" s="20" t="n">
        <f aca="false">AFJ58-AWW58</f>
        <v>0</v>
      </c>
      <c r="AMK58" s="20" t="n">
        <f aca="false">AFK58-AWX58</f>
        <v>0</v>
      </c>
      <c r="AML58" s="20" t="n">
        <f aca="false">AFL58-AWY58</f>
        <v>0</v>
      </c>
      <c r="AMM58" s="20" t="n">
        <f aca="false">AFM58-AWZ58</f>
        <v>0</v>
      </c>
      <c r="AMN58" s="20" t="n">
        <f aca="false">AFN58-AXA58</f>
        <v>0</v>
      </c>
      <c r="AMO58" s="20" t="n">
        <f aca="false">AFO58-AXB58</f>
        <v>0</v>
      </c>
      <c r="AMP58" s="20" t="n">
        <f aca="false">AFP58-AXC58</f>
        <v>0</v>
      </c>
      <c r="AMQ58" s="20" t="n">
        <f aca="false">AFQ58-AXD58</f>
        <v>0</v>
      </c>
      <c r="AMR58" s="20" t="n">
        <v>0</v>
      </c>
      <c r="AMS58" s="20" t="n">
        <v>0</v>
      </c>
      <c r="AMT58" s="20" t="n">
        <v>0</v>
      </c>
      <c r="AMU58" s="20" t="n">
        <v>0</v>
      </c>
      <c r="AMV58" s="20" t="n">
        <v>0</v>
      </c>
      <c r="AMW58" s="20" t="n">
        <v>0</v>
      </c>
      <c r="AMX58" s="20" t="n">
        <v>0</v>
      </c>
      <c r="AMY58" s="20" t="n">
        <v>0</v>
      </c>
      <c r="AMZ58" s="20" t="n">
        <v>0</v>
      </c>
      <c r="ANA58" s="20" t="n">
        <v>0</v>
      </c>
      <c r="ANB58" s="20" t="n">
        <v>0</v>
      </c>
      <c r="ANC58" s="20" t="n">
        <v>0</v>
      </c>
      <c r="AND58" s="20" t="n">
        <v>0</v>
      </c>
      <c r="ANE58" s="20" t="n">
        <v>0</v>
      </c>
      <c r="ANF58" s="20" t="n">
        <v>0</v>
      </c>
      <c r="ANG58" s="20" t="n">
        <v>0</v>
      </c>
      <c r="ANH58" s="20" t="n">
        <v>0</v>
      </c>
      <c r="ANI58" s="20" t="n">
        <v>0</v>
      </c>
      <c r="ANJ58" s="20" t="n">
        <v>0</v>
      </c>
      <c r="ANK58" s="20" t="n">
        <v>0</v>
      </c>
      <c r="ANL58" s="20" t="n">
        <v>0</v>
      </c>
      <c r="ANM58" s="20" t="n">
        <v>0</v>
      </c>
      <c r="ANN58" s="20" t="n">
        <v>0</v>
      </c>
      <c r="ANO58" s="20" t="n">
        <v>0</v>
      </c>
      <c r="ANP58" s="20" t="n">
        <v>0</v>
      </c>
      <c r="ANQ58" s="20" t="n">
        <v>0</v>
      </c>
      <c r="ANR58" s="20" t="n">
        <v>0</v>
      </c>
      <c r="ANS58" s="20" t="n">
        <v>0</v>
      </c>
      <c r="ANT58" s="20" t="n">
        <v>0</v>
      </c>
      <c r="ANU58" s="20" t="n">
        <v>0</v>
      </c>
      <c r="ANV58" s="20" t="n">
        <v>0</v>
      </c>
      <c r="ANW58" s="20" t="n">
        <v>0</v>
      </c>
      <c r="ANX58" s="20" t="n">
        <v>0</v>
      </c>
      <c r="ANY58" s="20" t="n">
        <v>0</v>
      </c>
      <c r="ANZ58" s="20" t="n">
        <v>0</v>
      </c>
      <c r="AOA58" s="20" t="n">
        <v>0</v>
      </c>
      <c r="AOB58" s="20" t="n">
        <v>0</v>
      </c>
      <c r="AOC58" s="20" t="n">
        <v>0</v>
      </c>
      <c r="AOD58" s="20" t="n">
        <v>0</v>
      </c>
      <c r="AOE58" s="20" t="n">
        <f aca="false">IF(AND(H_Direct=0,H_TaxEvt=1,ARR57+1&gt;=H_Deemed),AKR58,AHE58)</f>
        <v>0</v>
      </c>
      <c r="AOF58" s="20" t="n">
        <f aca="false">IF(AND(H_Direct=0,H_TaxEvt=1,ARS57+1&gt;=H_Deemed),AKS58,AHF58)</f>
        <v>0</v>
      </c>
      <c r="AOG58" s="20" t="n">
        <f aca="false">IF(AND(H_Direct=0,H_TaxEvt=1,ART57+1&gt;=H_Deemed),AKT58,AHG58)</f>
        <v>0</v>
      </c>
      <c r="AOH58" s="20" t="n">
        <f aca="false">IF(AND(H_Direct=0,H_TaxEvt=1,ARU57+1&gt;=H_Deemed),AKU58,AHH58)</f>
        <v>0</v>
      </c>
      <c r="AOI58" s="20" t="n">
        <f aca="false">IF(AND(H_Direct=0,H_TaxEvt=1,ARV57+1&gt;=H_Deemed),AKV58,AHI58)</f>
        <v>0</v>
      </c>
      <c r="AOJ58" s="20" t="n">
        <f aca="false">IF(AND(H_Direct=0,H_TaxEvt=1,ARW57+1&gt;=H_Deemed),AKW58,AHJ58)</f>
        <v>0</v>
      </c>
      <c r="AOK58" s="20" t="n">
        <f aca="false">IF(AND(H_Direct=0,H_TaxEvt=1,ARX57+1&gt;=H_Deemed),AKX58,AHK58)</f>
        <v>0</v>
      </c>
      <c r="AOL58" s="20" t="n">
        <f aca="false">IF(AND(H_Direct=0,H_TaxEvt=1,ARY57+1&gt;=H_Deemed),AKY58,AHL58)</f>
        <v>0</v>
      </c>
      <c r="AOM58" s="20" t="n">
        <f aca="false">IF(AND(H_Direct=0,H_TaxEvt=1,ARZ57+1&gt;=H_Deemed),AKZ58,AHM58)</f>
        <v>0</v>
      </c>
      <c r="AON58" s="20" t="n">
        <f aca="false">IF(AND(H_Direct=0,H_TaxEvt=1,ASA57+1&gt;=H_Deemed),ALA58,AHN58)</f>
        <v>0</v>
      </c>
      <c r="AOO58" s="20" t="n">
        <f aca="false">IF(AND(H_Direct=0,H_TaxEvt=1,ASB57+1&gt;=H_Deemed),ALB58,AHO58)</f>
        <v>0</v>
      </c>
      <c r="AOP58" s="20" t="n">
        <f aca="false">IF(AND(H_Direct=0,H_TaxEvt=1,ASC57+1&gt;=H_Deemed),ALC58,AHP58)</f>
        <v>0</v>
      </c>
      <c r="AOQ58" s="20" t="n">
        <f aca="false">IF(AND(H_Direct=0,H_TaxEvt=1,ASD57+1&gt;=H_Deemed),ALD58,AHQ58)</f>
        <v>0</v>
      </c>
      <c r="AOR58" s="20" t="n">
        <f aca="false">IF(AND(H_Direct=0,H_TaxEvt=1,ASE57+1&gt;=H_Deemed),ALE58,AHR58)</f>
        <v>0</v>
      </c>
      <c r="AOS58" s="20" t="n">
        <f aca="false">IF(AND(H_Direct=0,H_TaxEvt=1,ASF57+1&gt;=H_Deemed),ALF58,AHS58)</f>
        <v>0</v>
      </c>
      <c r="AOT58" s="20" t="n">
        <f aca="false">IF(AND(H_Direct=0,H_TaxEvt=1,ASG57+1&gt;=H_Deemed),ALG58,AHT58)</f>
        <v>0</v>
      </c>
      <c r="AOU58" s="20" t="n">
        <f aca="false">IF(AND(H_Direct=0,H_TaxEvt=1,ASH57+1&gt;=H_Deemed),ALH58,AHU58)</f>
        <v>0</v>
      </c>
      <c r="AOV58" s="20" t="n">
        <f aca="false">IF(AND(H_Direct=0,H_TaxEvt=1,ASI57+1&gt;=H_Deemed),ALI58,AHV58)</f>
        <v>0</v>
      </c>
      <c r="AOW58" s="20" t="n">
        <f aca="false">IF(AND(H_Direct=0,H_TaxEvt=1,ASJ57+1&gt;=H_Deemed),ALJ58,AHW58)</f>
        <v>0</v>
      </c>
      <c r="AOX58" s="20" t="n">
        <f aca="false">IF(AND(H_Direct=0,H_TaxEvt=1,ASK57+1&gt;=H_Deemed),ALK58,AHX58)</f>
        <v>0</v>
      </c>
      <c r="AOY58" s="20" t="n">
        <f aca="false">IF(AND(H_Direct=0,H_TaxEvt=1,ASL57+1&gt;=H_Deemed),ALL58,AHY58)</f>
        <v>0</v>
      </c>
      <c r="AOZ58" s="20" t="n">
        <f aca="false">IF(AND(H_Direct=0,H_TaxEvt=1,ASM57+1&gt;=H_Deemed),ALM58,AHZ58)</f>
        <v>0</v>
      </c>
      <c r="APA58" s="20" t="n">
        <f aca="false">IF(AND(H_Direct=0,H_TaxEvt=1,ASN57+1&gt;=H_Deemed),ALN58,AIA58)</f>
        <v>0</v>
      </c>
      <c r="APB58" s="20" t="n">
        <f aca="false">IF(AND(H_Direct=0,H_TaxEvt=1,ASO57+1&gt;=H_Deemed),ALO58,AIB58)</f>
        <v>0</v>
      </c>
      <c r="APC58" s="20" t="n">
        <f aca="false">IF(AND(H_Direct=0,H_TaxEvt=1,ASP57+1&gt;=H_Deemed),ALP58,AIC58)</f>
        <v>0</v>
      </c>
      <c r="APD58" s="20" t="n">
        <f aca="false">IF(AND(H_Direct=0,H_TaxEvt=1,ASQ57+1&gt;=H_Deemed),ALQ58,AID58)</f>
        <v>0</v>
      </c>
      <c r="APE58" s="20" t="n">
        <f aca="false">IF(AND(H_Direct=0,H_TaxEvt=1,ASR57+1&gt;=H_Deemed),ALR58,AIE58)</f>
        <v>0</v>
      </c>
      <c r="APF58" s="20" t="n">
        <f aca="false">IF(AND(H_Direct=0,H_TaxEvt=1,ASS57+1&gt;=H_Deemed),ALS58,AIF58)</f>
        <v>0</v>
      </c>
      <c r="APG58" s="20" t="n">
        <f aca="false">IF(AND(H_Direct=0,H_TaxEvt=1,AST57+1&gt;=H_Deemed),ALT58,AIG58)</f>
        <v>0</v>
      </c>
      <c r="APH58" s="20" t="n">
        <f aca="false">IF(AND(H_Direct=0,H_TaxEvt=1,ASU57+1&gt;=H_Deemed),ALU58,AIH58)</f>
        <v>0</v>
      </c>
      <c r="API58" s="20" t="n">
        <f aca="false">IF(AND(H_Direct=0,H_TaxEvt=1,ASV57+1&gt;=H_Deemed),ALV58,AII58)</f>
        <v>0</v>
      </c>
      <c r="APJ58" s="20" t="n">
        <f aca="false">IF(AND(H_Direct=0,H_TaxEvt=1,ASW57+1&gt;=H_Deemed),ALW58,AIJ58)</f>
        <v>0</v>
      </c>
      <c r="APK58" s="20" t="n">
        <f aca="false">IF(AND(H_Direct=0,H_TaxEvt=1,ASX57+1&gt;=H_Deemed),ALX58,AIK58)</f>
        <v>0</v>
      </c>
      <c r="APL58" s="20" t="n">
        <f aca="false">IF(AND(H_Direct=0,H_TaxEvt=1,ASY57+1&gt;=H_Deemed),ALY58,AIL58)</f>
        <v>0</v>
      </c>
      <c r="APM58" s="20" t="n">
        <f aca="false">IF(AND(H_Direct=0,H_TaxEvt=1,ASZ57+1&gt;=H_Deemed),ALZ58,AIM58)</f>
        <v>0</v>
      </c>
      <c r="APN58" s="20" t="n">
        <f aca="false">IF(AND(H_Direct=0,H_TaxEvt=1,ATA57+1&gt;=H_Deemed),AMA58,AIN58)</f>
        <v>0</v>
      </c>
      <c r="APO58" s="20" t="n">
        <f aca="false">IF(AND(H_Direct=0,H_TaxEvt=1,ATB57+1&gt;=H_Deemed),AMB58,AIO58)</f>
        <v>0</v>
      </c>
      <c r="APP58" s="20" t="n">
        <f aca="false">IF(AND(H_Direct=0,H_TaxEvt=1,ATC57+1&gt;=H_Deemed),AMC58,AIP58)</f>
        <v>0</v>
      </c>
      <c r="APQ58" s="20" t="n">
        <f aca="false">IF(AND(H_Direct=0,H_TaxEvt=1,ATD57+1&gt;=H_Deemed),AMD58,AIQ58)</f>
        <v>0</v>
      </c>
      <c r="APR58" s="20" t="n">
        <f aca="false">IF(AND(H_Direct=0,H_TaxEvt=1,ATE57+1&gt;=H_Deemed),AME58,AIR58)</f>
        <v>0</v>
      </c>
      <c r="APS58" s="20" t="n">
        <f aca="false">IF(AND(H_Direct=0,H_TaxEvt=1,ATF57+1&gt;=H_Deemed),AMF58,AIS58)</f>
        <v>0</v>
      </c>
      <c r="APT58" s="20" t="n">
        <f aca="false">IF(AND(H_Direct=0,H_TaxEvt=1,ATG57+1&gt;=H_Deemed),AMG58,AIT58)</f>
        <v>0</v>
      </c>
      <c r="APU58" s="20" t="n">
        <f aca="false">IF(AND(H_Direct=0,H_TaxEvt=1,ATH57+1&gt;=H_Deemed),AMH58,AIU58)</f>
        <v>0</v>
      </c>
      <c r="APV58" s="20" t="n">
        <f aca="false">IF(AND(H_Direct=0,H_TaxEvt=1,ATI57+1&gt;=H_Deemed),AMI58,AIV58)</f>
        <v>0</v>
      </c>
      <c r="APW58" s="20" t="n">
        <f aca="false">IF(AND(H_Direct=0,H_TaxEvt=1,ATJ57+1&gt;=H_Deemed),AMJ58,AIW58)</f>
        <v>0</v>
      </c>
      <c r="APX58" s="20" t="n">
        <f aca="false">IF(AND(H_Direct=0,H_TaxEvt=1,ATK57+1&gt;=H_Deemed),AMK58,AIX58)</f>
        <v>0</v>
      </c>
      <c r="APY58" s="20" t="n">
        <f aca="false">IF(AND(H_Direct=0,H_TaxEvt=1,ATL57+1&gt;=H_Deemed),AML58,AIY58)</f>
        <v>0</v>
      </c>
      <c r="APZ58" s="20" t="n">
        <f aca="false">IF(AND(H_Direct=0,H_TaxEvt=1,ATM57+1&gt;=H_Deemed),AMM58,AIZ58)</f>
        <v>0</v>
      </c>
      <c r="AQA58" s="20" t="n">
        <f aca="false">IF(AND(H_Direct=0,H_TaxEvt=1,ATN57+1&gt;=H_Deemed),AMN58,AJA58)</f>
        <v>0</v>
      </c>
      <c r="AQB58" s="20" t="n">
        <f aca="false">IF(AND(H_Direct=0,H_TaxEvt=1,ATO57+1&gt;=H_Deemed),AMO58,AJB58)</f>
        <v>0</v>
      </c>
      <c r="AQC58" s="20" t="n">
        <f aca="false">IF(AND(H_Direct=0,H_TaxEvt=1,ATP57+1&gt;=H_Deemed),AMP58,AJC58)</f>
        <v>0</v>
      </c>
      <c r="AQD58" s="20" t="n">
        <f aca="false">IF(AND(H_Direct=0,H_TaxEvt=1,0+1&gt;=H_Deemed),AMQ58,AJD58)</f>
        <v>0</v>
      </c>
      <c r="AQE58" s="20" t="n">
        <v>0</v>
      </c>
      <c r="AQF58" s="20" t="n">
        <v>0</v>
      </c>
      <c r="AQG58" s="20" t="n">
        <v>0</v>
      </c>
      <c r="AQH58" s="20" t="n">
        <v>0</v>
      </c>
      <c r="AQI58" s="20" t="n">
        <v>0</v>
      </c>
      <c r="AQJ58" s="20" t="n">
        <v>0</v>
      </c>
      <c r="AQK58" s="20" t="n">
        <v>0</v>
      </c>
      <c r="AQL58" s="20" t="n">
        <v>0</v>
      </c>
      <c r="AQM58" s="20" t="n">
        <v>0</v>
      </c>
      <c r="AQN58" s="20" t="n">
        <v>0</v>
      </c>
      <c r="AQO58" s="20" t="n">
        <v>0</v>
      </c>
      <c r="AQP58" s="20" t="n">
        <v>0</v>
      </c>
      <c r="AQQ58" s="20" t="n">
        <v>0</v>
      </c>
      <c r="AQR58" s="20" t="n">
        <v>0</v>
      </c>
      <c r="AQS58" s="20" t="n">
        <v>0</v>
      </c>
      <c r="AQT58" s="20" t="n">
        <v>0</v>
      </c>
      <c r="AQU58" s="20" t="n">
        <v>0</v>
      </c>
      <c r="AQV58" s="20" t="n">
        <v>0</v>
      </c>
      <c r="AQW58" s="20" t="n">
        <v>0</v>
      </c>
      <c r="AQX58" s="20" t="n">
        <v>0</v>
      </c>
      <c r="AQY58" s="20" t="n">
        <v>0</v>
      </c>
      <c r="AQZ58" s="20" t="n">
        <v>0</v>
      </c>
      <c r="ARA58" s="20" t="n">
        <v>0</v>
      </c>
      <c r="ARB58" s="20" t="n">
        <v>0</v>
      </c>
      <c r="ARC58" s="20" t="n">
        <v>0</v>
      </c>
      <c r="ARD58" s="20" t="n">
        <v>0</v>
      </c>
      <c r="ARE58" s="20" t="n">
        <v>0</v>
      </c>
      <c r="ARF58" s="20" t="n">
        <v>0</v>
      </c>
      <c r="ARG58" s="20" t="n">
        <v>0</v>
      </c>
      <c r="ARH58" s="20" t="n">
        <v>0</v>
      </c>
      <c r="ARI58" s="20" t="n">
        <v>0</v>
      </c>
      <c r="ARJ58" s="20" t="n">
        <v>0</v>
      </c>
      <c r="ARK58" s="20" t="n">
        <v>0</v>
      </c>
      <c r="ARL58" s="20" t="n">
        <v>0</v>
      </c>
      <c r="ARM58" s="20" t="n">
        <v>0</v>
      </c>
      <c r="ARN58" s="20" t="n">
        <v>0</v>
      </c>
      <c r="ARO58" s="20" t="n">
        <v>0</v>
      </c>
      <c r="ARP58" s="20" t="n">
        <v>0</v>
      </c>
      <c r="ARQ58" s="20" t="n">
        <v>0</v>
      </c>
      <c r="ARR58" s="20" t="n">
        <f aca="false">IF(AND(H_Direct=0,H_TaxEvt=1),IF(ARR57+1&gt;=H_Deemed,0,ARR57+1),ARR57)</f>
        <v>3</v>
      </c>
      <c r="ARS58" s="20" t="n">
        <f aca="false">IF(AND(H_Direct=0,H_TaxEvt=1),IF(ARS57+1&gt;=H_Deemed,0,ARS57+1),ARS57)</f>
        <v>3</v>
      </c>
      <c r="ART58" s="20" t="n">
        <f aca="false">IF(AND(H_Direct=0,H_TaxEvt=1),IF(ART57+1&gt;=H_Deemed,0,ART57+1),ART57)</f>
        <v>2</v>
      </c>
      <c r="ARU58" s="20" t="n">
        <f aca="false">IF(AND(H_Direct=0,H_TaxEvt=1),IF(ARU57+1&gt;=H_Deemed,0,ARU57+1),ARU57)</f>
        <v>1</v>
      </c>
      <c r="ARV58" s="20" t="n">
        <f aca="false">IF(AND(H_Direct=0,H_TaxEvt=1),IF(ARV57+1&gt;=H_Deemed,0,ARV57+1),ARV57)</f>
        <v>0</v>
      </c>
      <c r="ARW58" s="20" t="n">
        <f aca="false">IF(AND(H_Direct=0,H_TaxEvt=1),IF(ARW57+1&gt;=H_Deemed,0,ARW57+1),ARW57)</f>
        <v>7</v>
      </c>
      <c r="ARX58" s="20" t="n">
        <f aca="false">IF(AND(H_Direct=0,H_TaxEvt=1),IF(ARX57+1&gt;=H_Deemed,0,ARX57+1),ARX57)</f>
        <v>6</v>
      </c>
      <c r="ARY58" s="20" t="n">
        <f aca="false">IF(AND(H_Direct=0,H_TaxEvt=1),IF(ARY57+1&gt;=H_Deemed,0,ARY57+1),ARY57)</f>
        <v>5</v>
      </c>
      <c r="ARZ58" s="20" t="n">
        <f aca="false">IF(AND(H_Direct=0,H_TaxEvt=1),IF(ARZ57+1&gt;=H_Deemed,0,ARZ57+1),ARZ57)</f>
        <v>4</v>
      </c>
      <c r="ASA58" s="20" t="n">
        <f aca="false">IF(AND(H_Direct=0,H_TaxEvt=1),IF(ASA57+1&gt;=H_Deemed,0,ASA57+1),ASA57)</f>
        <v>3</v>
      </c>
      <c r="ASB58" s="20" t="n">
        <f aca="false">IF(AND(H_Direct=0,H_TaxEvt=1),IF(ASB57+1&gt;=H_Deemed,0,ASB57+1),ASB57)</f>
        <v>2</v>
      </c>
      <c r="ASC58" s="20" t="n">
        <f aca="false">IF(AND(H_Direct=0,H_TaxEvt=1),IF(ASC57+1&gt;=H_Deemed,0,ASC57+1),ASC57)</f>
        <v>1</v>
      </c>
      <c r="ASD58" s="20" t="n">
        <f aca="false">IF(AND(H_Direct=0,H_TaxEvt=1),IF(ASD57+1&gt;=H_Deemed,0,ASD57+1),ASD57)</f>
        <v>0</v>
      </c>
      <c r="ASE58" s="20" t="n">
        <f aca="false">IF(AND(H_Direct=0,H_TaxEvt=1),IF(ASE57+1&gt;=H_Deemed,0,ASE57+1),ASE57)</f>
        <v>7</v>
      </c>
      <c r="ASF58" s="20" t="n">
        <f aca="false">IF(AND(H_Direct=0,H_TaxEvt=1),IF(ASF57+1&gt;=H_Deemed,0,ASF57+1),ASF57)</f>
        <v>6</v>
      </c>
      <c r="ASG58" s="20" t="n">
        <f aca="false">IF(AND(H_Direct=0,H_TaxEvt=1),IF(ASG57+1&gt;=H_Deemed,0,ASG57+1),ASG57)</f>
        <v>5</v>
      </c>
      <c r="ASH58" s="20" t="n">
        <f aca="false">IF(AND(H_Direct=0,H_TaxEvt=1),IF(ASH57+1&gt;=H_Deemed,0,ASH57+1),ASH57)</f>
        <v>4</v>
      </c>
      <c r="ASI58" s="20" t="n">
        <f aca="false">IF(AND(H_Direct=0,H_TaxEvt=1),IF(ASI57+1&gt;=H_Deemed,0,ASI57+1),ASI57)</f>
        <v>3</v>
      </c>
      <c r="ASJ58" s="20" t="n">
        <f aca="false">IF(AND(H_Direct=0,H_TaxEvt=1),IF(ASJ57+1&gt;=H_Deemed,0,ASJ57+1),ASJ57)</f>
        <v>2</v>
      </c>
      <c r="ASK58" s="20" t="n">
        <f aca="false">IF(AND(H_Direct=0,H_TaxEvt=1),IF(ASK57+1&gt;=H_Deemed,0,ASK57+1),ASK57)</f>
        <v>1</v>
      </c>
      <c r="ASL58" s="20" t="n">
        <f aca="false">IF(AND(H_Direct=0,H_TaxEvt=1),IF(ASL57+1&gt;=H_Deemed,0,ASL57+1),ASL57)</f>
        <v>0</v>
      </c>
      <c r="ASM58" s="20" t="n">
        <f aca="false">IF(AND(H_Direct=0,H_TaxEvt=1),IF(ASM57+1&gt;=H_Deemed,0,ASM57+1),ASM57)</f>
        <v>7</v>
      </c>
      <c r="ASN58" s="20" t="n">
        <f aca="false">IF(AND(H_Direct=0,H_TaxEvt=1),IF(ASN57+1&gt;=H_Deemed,0,ASN57+1),ASN57)</f>
        <v>6</v>
      </c>
      <c r="ASO58" s="20" t="n">
        <f aca="false">IF(AND(H_Direct=0,H_TaxEvt=1),IF(ASO57+1&gt;=H_Deemed,0,ASO57+1),ASO57)</f>
        <v>5</v>
      </c>
      <c r="ASP58" s="20" t="n">
        <f aca="false">IF(AND(H_Direct=0,H_TaxEvt=1),IF(ASP57+1&gt;=H_Deemed,0,ASP57+1),ASP57)</f>
        <v>4</v>
      </c>
      <c r="ASQ58" s="20" t="n">
        <f aca="false">IF(AND(H_Direct=0,H_TaxEvt=1),IF(ASQ57+1&gt;=H_Deemed,0,ASQ57+1),ASQ57)</f>
        <v>3</v>
      </c>
      <c r="ASR58" s="20" t="n">
        <f aca="false">IF(AND(H_Direct=0,H_TaxEvt=1),IF(ASR57+1&gt;=H_Deemed,0,ASR57+1),ASR57)</f>
        <v>2</v>
      </c>
      <c r="ASS58" s="20" t="n">
        <f aca="false">IF(AND(H_Direct=0,H_TaxEvt=1),IF(ASS57+1&gt;=H_Deemed,0,ASS57+1),ASS57)</f>
        <v>1</v>
      </c>
      <c r="AST58" s="20" t="n">
        <f aca="false">IF(AND(H_Direct=0,H_TaxEvt=1),IF(AST57+1&gt;=H_Deemed,0,AST57+1),AST57)</f>
        <v>0</v>
      </c>
      <c r="ASU58" s="20" t="n">
        <f aca="false">IF(AND(H_Direct=0,H_TaxEvt=1),IF(ASU57+1&gt;=H_Deemed,0,ASU57+1),ASU57)</f>
        <v>7</v>
      </c>
      <c r="ASV58" s="20" t="n">
        <f aca="false">IF(AND(H_Direct=0,H_TaxEvt=1),IF(ASV57+1&gt;=H_Deemed,0,ASV57+1),ASV57)</f>
        <v>6</v>
      </c>
      <c r="ASW58" s="20" t="n">
        <f aca="false">IF(AND(H_Direct=0,H_TaxEvt=1),IF(ASW57+1&gt;=H_Deemed,0,ASW57+1),ASW57)</f>
        <v>5</v>
      </c>
      <c r="ASX58" s="20" t="n">
        <f aca="false">IF(AND(H_Direct=0,H_TaxEvt=1),IF(ASX57+1&gt;=H_Deemed,0,ASX57+1),ASX57)</f>
        <v>4</v>
      </c>
      <c r="ASY58" s="20" t="n">
        <f aca="false">IF(AND(H_Direct=0,H_TaxEvt=1),IF(ASY57+1&gt;=H_Deemed,0,ASY57+1),ASY57)</f>
        <v>3</v>
      </c>
      <c r="ASZ58" s="20" t="n">
        <f aca="false">IF(AND(H_Direct=0,H_TaxEvt=1),IF(ASZ57+1&gt;=H_Deemed,0,ASZ57+1),ASZ57)</f>
        <v>2</v>
      </c>
      <c r="ATA58" s="20" t="n">
        <f aca="false">IF(AND(H_Direct=0,H_TaxEvt=1),IF(ATA57+1&gt;=H_Deemed,0,ATA57+1),ATA57)</f>
        <v>1</v>
      </c>
      <c r="ATB58" s="20" t="n">
        <f aca="false">IF(AND(H_Direct=0,H_TaxEvt=1),IF(ATB57+1&gt;=H_Deemed,0,ATB57+1),ATB57)</f>
        <v>0</v>
      </c>
      <c r="ATC58" s="20" t="n">
        <f aca="false">IF(AND(H_Direct=0,H_TaxEvt=1),IF(ATC57+1&gt;=H_Deemed,0,ATC57+1),ATC57)</f>
        <v>7</v>
      </c>
      <c r="ATD58" s="20" t="n">
        <f aca="false">IF(AND(H_Direct=0,H_TaxEvt=1),IF(ATD57+1&gt;=H_Deemed,0,ATD57+1),ATD57)</f>
        <v>6</v>
      </c>
      <c r="ATE58" s="20" t="n">
        <f aca="false">IF(AND(H_Direct=0,H_TaxEvt=1),IF(ATE57+1&gt;=H_Deemed,0,ATE57+1),ATE57)</f>
        <v>5</v>
      </c>
      <c r="ATF58" s="20" t="n">
        <f aca="false">IF(AND(H_Direct=0,H_TaxEvt=1),IF(ATF57+1&gt;=H_Deemed,0,ATF57+1),ATF57)</f>
        <v>4</v>
      </c>
      <c r="ATG58" s="20" t="n">
        <f aca="false">IF(AND(H_Direct=0,H_TaxEvt=1),IF(ATG57+1&gt;=H_Deemed,0,ATG57+1),ATG57)</f>
        <v>3</v>
      </c>
      <c r="ATH58" s="20" t="n">
        <f aca="false">IF(AND(H_Direct=0,H_TaxEvt=1),IF(ATH57+1&gt;=H_Deemed,0,ATH57+1),ATH57)</f>
        <v>2</v>
      </c>
      <c r="ATI58" s="20" t="n">
        <f aca="false">IF(AND(H_Direct=0,H_TaxEvt=1),IF(ATI57+1&gt;=H_Deemed,0,ATI57+1),ATI57)</f>
        <v>1</v>
      </c>
      <c r="ATJ58" s="20" t="n">
        <f aca="false">IF(AND(H_Direct=0,H_TaxEvt=1),IF(ATJ57+1&gt;=H_Deemed,0,ATJ57+1),ATJ57)</f>
        <v>0</v>
      </c>
      <c r="ATK58" s="20" t="n">
        <f aca="false">IF(AND(H_Direct=0,H_TaxEvt=1),IF(ATK57+1&gt;=H_Deemed,0,ATK57+1),ATK57)</f>
        <v>7</v>
      </c>
      <c r="ATL58" s="20" t="n">
        <f aca="false">IF(AND(H_Direct=0,H_TaxEvt=1),IF(ATL57+1&gt;=H_Deemed,0,ATL57+1),ATL57)</f>
        <v>6</v>
      </c>
      <c r="ATM58" s="20" t="n">
        <f aca="false">IF(AND(H_Direct=0,H_TaxEvt=1),IF(ATM57+1&gt;=H_Deemed,0,ATM57+1),ATM57)</f>
        <v>5</v>
      </c>
      <c r="ATN58" s="20" t="n">
        <f aca="false">IF(AND(H_Direct=0,H_TaxEvt=1),IF(ATN57+1&gt;=H_Deemed,0,ATN57+1),ATN57)</f>
        <v>4</v>
      </c>
      <c r="ATO58" s="20" t="n">
        <f aca="false">IF(AND(H_Direct=0,H_TaxEvt=1),IF(ATO57+1&gt;=H_Deemed,0,ATO57+1),ATO57)</f>
        <v>3</v>
      </c>
      <c r="ATP58" s="20" t="n">
        <f aca="false">IF(AND(H_Direct=0,H_TaxEvt=1),IF(ATP57+1&gt;=H_Deemed,0,ATP57+1),ATP57)</f>
        <v>2</v>
      </c>
      <c r="ATQ58" s="20" t="n">
        <f aca="false">IF(AND(H_Direct=0,H_TaxEvt=1),IF(0+1&gt;=H_Deemed,0,0+1),0)</f>
        <v>1</v>
      </c>
      <c r="ATR58" s="20" t="n">
        <v>0</v>
      </c>
      <c r="ATS58" s="20" t="n">
        <v>0</v>
      </c>
      <c r="ATT58" s="20" t="n">
        <v>0</v>
      </c>
      <c r="ATU58" s="20" t="n">
        <v>0</v>
      </c>
      <c r="ATV58" s="20" t="n">
        <v>0</v>
      </c>
      <c r="ATW58" s="20" t="n">
        <v>0</v>
      </c>
      <c r="ATX58" s="20" t="n">
        <v>0</v>
      </c>
      <c r="ATY58" s="20" t="n">
        <v>0</v>
      </c>
      <c r="ATZ58" s="20" t="n">
        <v>0</v>
      </c>
      <c r="AUA58" s="20" t="n">
        <v>0</v>
      </c>
      <c r="AUB58" s="20" t="n">
        <v>0</v>
      </c>
      <c r="AUC58" s="20" t="n">
        <v>0</v>
      </c>
      <c r="AUD58" s="20" t="n">
        <v>0</v>
      </c>
      <c r="AUE58" s="20" t="n">
        <v>0</v>
      </c>
      <c r="AUF58" s="20" t="n">
        <v>0</v>
      </c>
      <c r="AUG58" s="20" t="n">
        <v>0</v>
      </c>
      <c r="AUH58" s="20" t="n">
        <v>0</v>
      </c>
      <c r="AUI58" s="20" t="n">
        <v>0</v>
      </c>
      <c r="AUJ58" s="20" t="n">
        <v>0</v>
      </c>
      <c r="AUK58" s="20" t="n">
        <v>0</v>
      </c>
      <c r="AUL58" s="20" t="n">
        <v>0</v>
      </c>
      <c r="AUM58" s="20" t="n">
        <v>0</v>
      </c>
      <c r="AUN58" s="20" t="n">
        <v>0</v>
      </c>
      <c r="AUO58" s="20" t="n">
        <v>0</v>
      </c>
      <c r="AUP58" s="20" t="n">
        <v>0</v>
      </c>
      <c r="AUQ58" s="20" t="n">
        <v>0</v>
      </c>
      <c r="AUR58" s="20" t="n">
        <v>0</v>
      </c>
      <c r="AUS58" s="20" t="n">
        <v>0</v>
      </c>
      <c r="AUT58" s="20" t="n">
        <v>0</v>
      </c>
      <c r="AUU58" s="20" t="n">
        <v>0</v>
      </c>
      <c r="AUV58" s="20" t="n">
        <v>0</v>
      </c>
      <c r="AUW58" s="20" t="n">
        <v>0</v>
      </c>
      <c r="AUX58" s="20" t="n">
        <v>0</v>
      </c>
      <c r="AUY58" s="20" t="n">
        <v>0</v>
      </c>
      <c r="AUZ58" s="20" t="n">
        <v>0</v>
      </c>
      <c r="AVA58" s="20" t="n">
        <v>0</v>
      </c>
      <c r="AVB58" s="20" t="n">
        <v>0</v>
      </c>
      <c r="AVC58" s="20" t="n">
        <v>0</v>
      </c>
      <c r="AVD58" s="20" t="n">
        <v>0</v>
      </c>
      <c r="AVE58" s="20" t="n">
        <f aca="false">IF(AND(H_Direct=0,H_TaxEvt=1,ARR57+1&gt;=H_Deemed),MAX(0,ADR58-AHE58)*H_Exit,0)</f>
        <v>0</v>
      </c>
      <c r="AVF58" s="20" t="n">
        <f aca="false">IF(AND(H_Direct=0,H_TaxEvt=1,ARS57+1&gt;=H_Deemed),MAX(0,ADS58-AHF58)*H_Exit,0)</f>
        <v>0</v>
      </c>
      <c r="AVG58" s="20" t="n">
        <f aca="false">IF(AND(H_Direct=0,H_TaxEvt=1,ART57+1&gt;=H_Deemed),MAX(0,ADT58-AHG58)*H_Exit,0)</f>
        <v>0</v>
      </c>
      <c r="AVH58" s="20" t="n">
        <f aca="false">IF(AND(H_Direct=0,H_TaxEvt=1,ARU57+1&gt;=H_Deemed),MAX(0,ADU58-AHH58)*H_Exit,0)</f>
        <v>0</v>
      </c>
      <c r="AVI58" s="20" t="n">
        <f aca="false">IF(AND(H_Direct=0,H_TaxEvt=1,ARV57+1&gt;=H_Deemed),MAX(0,ADV58-AHI58)*H_Exit,0)</f>
        <v>0</v>
      </c>
      <c r="AVJ58" s="20" t="n">
        <f aca="false">IF(AND(H_Direct=0,H_TaxEvt=1,ARW57+1&gt;=H_Deemed),MAX(0,ADW58-AHJ58)*H_Exit,0)</f>
        <v>0</v>
      </c>
      <c r="AVK58" s="20" t="n">
        <f aca="false">IF(AND(H_Direct=0,H_TaxEvt=1,ARX57+1&gt;=H_Deemed),MAX(0,ADX58-AHK58)*H_Exit,0)</f>
        <v>0</v>
      </c>
      <c r="AVL58" s="20" t="n">
        <f aca="false">IF(AND(H_Direct=0,H_TaxEvt=1,ARY57+1&gt;=H_Deemed),MAX(0,ADY58-AHL58)*H_Exit,0)</f>
        <v>0</v>
      </c>
      <c r="AVM58" s="20" t="n">
        <f aca="false">IF(AND(H_Direct=0,H_TaxEvt=1,ARZ57+1&gt;=H_Deemed),MAX(0,ADZ58-AHM58)*H_Exit,0)</f>
        <v>0</v>
      </c>
      <c r="AVN58" s="20" t="n">
        <f aca="false">IF(AND(H_Direct=0,H_TaxEvt=1,ASA57+1&gt;=H_Deemed),MAX(0,AEA58-AHN58)*H_Exit,0)</f>
        <v>0</v>
      </c>
      <c r="AVO58" s="20" t="n">
        <f aca="false">IF(AND(H_Direct=0,H_TaxEvt=1,ASB57+1&gt;=H_Deemed),MAX(0,AEB58-AHO58)*H_Exit,0)</f>
        <v>0</v>
      </c>
      <c r="AVP58" s="20" t="n">
        <f aca="false">IF(AND(H_Direct=0,H_TaxEvt=1,ASC57+1&gt;=H_Deemed),MAX(0,AEC58-AHP58)*H_Exit,0)</f>
        <v>0</v>
      </c>
      <c r="AVQ58" s="20" t="n">
        <f aca="false">IF(AND(H_Direct=0,H_TaxEvt=1,ASD57+1&gt;=H_Deemed),MAX(0,AED58-AHQ58)*H_Exit,0)</f>
        <v>0</v>
      </c>
      <c r="AVR58" s="20" t="n">
        <f aca="false">IF(AND(H_Direct=0,H_TaxEvt=1,ASE57+1&gt;=H_Deemed),MAX(0,AEE58-AHR58)*H_Exit,0)</f>
        <v>0</v>
      </c>
      <c r="AVS58" s="20" t="n">
        <f aca="false">IF(AND(H_Direct=0,H_TaxEvt=1,ASF57+1&gt;=H_Deemed),MAX(0,AEF58-AHS58)*H_Exit,0)</f>
        <v>0</v>
      </c>
      <c r="AVT58" s="20" t="n">
        <f aca="false">IF(AND(H_Direct=0,H_TaxEvt=1,ASG57+1&gt;=H_Deemed),MAX(0,AEG58-AHT58)*H_Exit,0)</f>
        <v>0</v>
      </c>
      <c r="AVU58" s="20" t="n">
        <f aca="false">IF(AND(H_Direct=0,H_TaxEvt=1,ASH57+1&gt;=H_Deemed),MAX(0,AEH58-AHU58)*H_Exit,0)</f>
        <v>0</v>
      </c>
      <c r="AVV58" s="20" t="n">
        <f aca="false">IF(AND(H_Direct=0,H_TaxEvt=1,ASI57+1&gt;=H_Deemed),MAX(0,AEI58-AHV58)*H_Exit,0)</f>
        <v>0</v>
      </c>
      <c r="AVW58" s="20" t="n">
        <f aca="false">IF(AND(H_Direct=0,H_TaxEvt=1,ASJ57+1&gt;=H_Deemed),MAX(0,AEJ58-AHW58)*H_Exit,0)</f>
        <v>0</v>
      </c>
      <c r="AVX58" s="20" t="n">
        <f aca="false">IF(AND(H_Direct=0,H_TaxEvt=1,ASK57+1&gt;=H_Deemed),MAX(0,AEK58-AHX58)*H_Exit,0)</f>
        <v>0</v>
      </c>
      <c r="AVY58" s="20" t="n">
        <f aca="false">IF(AND(H_Direct=0,H_TaxEvt=1,ASL57+1&gt;=H_Deemed),MAX(0,AEL58-AHY58)*H_Exit,0)</f>
        <v>0</v>
      </c>
      <c r="AVZ58" s="20" t="n">
        <f aca="false">IF(AND(H_Direct=0,H_TaxEvt=1,ASM57+1&gt;=H_Deemed),MAX(0,AEM58-AHZ58)*H_Exit,0)</f>
        <v>0</v>
      </c>
      <c r="AWA58" s="20" t="n">
        <f aca="false">IF(AND(H_Direct=0,H_TaxEvt=1,ASN57+1&gt;=H_Deemed),MAX(0,AEN58-AIA58)*H_Exit,0)</f>
        <v>0</v>
      </c>
      <c r="AWB58" s="20" t="n">
        <f aca="false">IF(AND(H_Direct=0,H_TaxEvt=1,ASO57+1&gt;=H_Deemed),MAX(0,AEO58-AIB58)*H_Exit,0)</f>
        <v>0</v>
      </c>
      <c r="AWC58" s="20" t="n">
        <f aca="false">IF(AND(H_Direct=0,H_TaxEvt=1,ASP57+1&gt;=H_Deemed),MAX(0,AEP58-AIC58)*H_Exit,0)</f>
        <v>0</v>
      </c>
      <c r="AWD58" s="20" t="n">
        <f aca="false">IF(AND(H_Direct=0,H_TaxEvt=1,ASQ57+1&gt;=H_Deemed),MAX(0,AEQ58-AID58)*H_Exit,0)</f>
        <v>0</v>
      </c>
      <c r="AWE58" s="20" t="n">
        <f aca="false">IF(AND(H_Direct=0,H_TaxEvt=1,ASR57+1&gt;=H_Deemed),MAX(0,AER58-AIE58)*H_Exit,0)</f>
        <v>0</v>
      </c>
      <c r="AWF58" s="20" t="n">
        <f aca="false">IF(AND(H_Direct=0,H_TaxEvt=1,ASS57+1&gt;=H_Deemed),MAX(0,AES58-AIF58)*H_Exit,0)</f>
        <v>0</v>
      </c>
      <c r="AWG58" s="20" t="n">
        <f aca="false">IF(AND(H_Direct=0,H_TaxEvt=1,AST57+1&gt;=H_Deemed),MAX(0,AET58-AIG58)*H_Exit,0)</f>
        <v>0</v>
      </c>
      <c r="AWH58" s="20" t="n">
        <f aca="false">IF(AND(H_Direct=0,H_TaxEvt=1,ASU57+1&gt;=H_Deemed),MAX(0,AEU58-AIH58)*H_Exit,0)</f>
        <v>0</v>
      </c>
      <c r="AWI58" s="20" t="n">
        <f aca="false">IF(AND(H_Direct=0,H_TaxEvt=1,ASV57+1&gt;=H_Deemed),MAX(0,AEV58-AII58)*H_Exit,0)</f>
        <v>0</v>
      </c>
      <c r="AWJ58" s="20" t="n">
        <f aca="false">IF(AND(H_Direct=0,H_TaxEvt=1,ASW57+1&gt;=H_Deemed),MAX(0,AEW58-AIJ58)*H_Exit,0)</f>
        <v>0</v>
      </c>
      <c r="AWK58" s="20" t="n">
        <f aca="false">IF(AND(H_Direct=0,H_TaxEvt=1,ASX57+1&gt;=H_Deemed),MAX(0,AEX58-AIK58)*H_Exit,0)</f>
        <v>0</v>
      </c>
      <c r="AWL58" s="20" t="n">
        <f aca="false">IF(AND(H_Direct=0,H_TaxEvt=1,ASY57+1&gt;=H_Deemed),MAX(0,AEY58-AIL58)*H_Exit,0)</f>
        <v>0</v>
      </c>
      <c r="AWM58" s="20" t="n">
        <f aca="false">IF(AND(H_Direct=0,H_TaxEvt=1,ASZ57+1&gt;=H_Deemed),MAX(0,AEZ58-AIM58)*H_Exit,0)</f>
        <v>0</v>
      </c>
      <c r="AWN58" s="20" t="n">
        <f aca="false">IF(AND(H_Direct=0,H_TaxEvt=1,ATA57+1&gt;=H_Deemed),MAX(0,AFA58-AIN58)*H_Exit,0)</f>
        <v>0</v>
      </c>
      <c r="AWO58" s="20" t="n">
        <f aca="false">IF(AND(H_Direct=0,H_TaxEvt=1,ATB57+1&gt;=H_Deemed),MAX(0,AFB58-AIO58)*H_Exit,0)</f>
        <v>0</v>
      </c>
      <c r="AWP58" s="20" t="n">
        <f aca="false">IF(AND(H_Direct=0,H_TaxEvt=1,ATC57+1&gt;=H_Deemed),MAX(0,AFC58-AIP58)*H_Exit,0)</f>
        <v>0</v>
      </c>
      <c r="AWQ58" s="20" t="n">
        <f aca="false">IF(AND(H_Direct=0,H_TaxEvt=1,ATD57+1&gt;=H_Deemed),MAX(0,AFD58-AIQ58)*H_Exit,0)</f>
        <v>0</v>
      </c>
      <c r="AWR58" s="20" t="n">
        <f aca="false">IF(AND(H_Direct=0,H_TaxEvt=1,ATE57+1&gt;=H_Deemed),MAX(0,AFE58-AIR58)*H_Exit,0)</f>
        <v>0</v>
      </c>
      <c r="AWS58" s="20" t="n">
        <f aca="false">IF(AND(H_Direct=0,H_TaxEvt=1,ATF57+1&gt;=H_Deemed),MAX(0,AFF58-AIS58)*H_Exit,0)</f>
        <v>0</v>
      </c>
      <c r="AWT58" s="20" t="n">
        <f aca="false">IF(AND(H_Direct=0,H_TaxEvt=1,ATG57+1&gt;=H_Deemed),MAX(0,AFG58-AIT58)*H_Exit,0)</f>
        <v>0</v>
      </c>
      <c r="AWU58" s="20" t="n">
        <f aca="false">IF(AND(H_Direct=0,H_TaxEvt=1,ATH57+1&gt;=H_Deemed),MAX(0,AFH58-AIU58)*H_Exit,0)</f>
        <v>0</v>
      </c>
      <c r="AWV58" s="20" t="n">
        <f aca="false">IF(AND(H_Direct=0,H_TaxEvt=1,ATI57+1&gt;=H_Deemed),MAX(0,AFI58-AIV58)*H_Exit,0)</f>
        <v>0</v>
      </c>
      <c r="AWW58" s="20" t="n">
        <f aca="false">IF(AND(H_Direct=0,H_TaxEvt=1,ATJ57+1&gt;=H_Deemed),MAX(0,AFJ58-AIW58)*H_Exit,0)</f>
        <v>0</v>
      </c>
      <c r="AWX58" s="20" t="n">
        <f aca="false">IF(AND(H_Direct=0,H_TaxEvt=1,ATK57+1&gt;=H_Deemed),MAX(0,AFK58-AIX58)*H_Exit,0)</f>
        <v>0</v>
      </c>
      <c r="AWY58" s="20" t="n">
        <f aca="false">IF(AND(H_Direct=0,H_TaxEvt=1,ATL57+1&gt;=H_Deemed),MAX(0,AFL58-AIY58)*H_Exit,0)</f>
        <v>0</v>
      </c>
      <c r="AWZ58" s="20" t="n">
        <f aca="false">IF(AND(H_Direct=0,H_TaxEvt=1,ATM57+1&gt;=H_Deemed),MAX(0,AFM58-AIZ58)*H_Exit,0)</f>
        <v>0</v>
      </c>
      <c r="AXA58" s="20" t="n">
        <f aca="false">IF(AND(H_Direct=0,H_TaxEvt=1,ATN57+1&gt;=H_Deemed),MAX(0,AFN58-AJA58)*H_Exit,0)</f>
        <v>0</v>
      </c>
      <c r="AXB58" s="20" t="n">
        <f aca="false">IF(AND(H_Direct=0,H_TaxEvt=1,ATO57+1&gt;=H_Deemed),MAX(0,AFO58-AJB58)*H_Exit,0)</f>
        <v>0</v>
      </c>
      <c r="AXC58" s="20" t="n">
        <f aca="false">IF(AND(H_Direct=0,H_TaxEvt=1,ATP57+1&gt;=H_Deemed),MAX(0,AFP58-AJC58)*H_Exit,0)</f>
        <v>0</v>
      </c>
      <c r="AXD58" s="20" t="n">
        <f aca="false">IF(AND(H_Direct=0,H_TaxEvt=1,0+1&gt;=H_Deemed),MAX(0,AFQ58-AJD58)*H_Exit,0)</f>
        <v>0</v>
      </c>
      <c r="AXE58" s="20" t="n">
        <v>0</v>
      </c>
      <c r="AXF58" s="20" t="n">
        <v>0</v>
      </c>
      <c r="AXG58" s="20" t="n">
        <v>0</v>
      </c>
      <c r="AXH58" s="20" t="n">
        <v>0</v>
      </c>
      <c r="AXI58" s="20" t="n">
        <v>0</v>
      </c>
      <c r="AXJ58" s="20" t="n">
        <v>0</v>
      </c>
      <c r="AXK58" s="20" t="n">
        <v>0</v>
      </c>
      <c r="AXL58" s="20" t="n">
        <v>0</v>
      </c>
      <c r="AXM58" s="20" t="n">
        <v>0</v>
      </c>
      <c r="AXN58" s="20" t="n">
        <v>0</v>
      </c>
      <c r="AXO58" s="20" t="n">
        <v>0</v>
      </c>
      <c r="AXP58" s="20" t="n">
        <v>0</v>
      </c>
      <c r="AXQ58" s="20" t="n">
        <v>0</v>
      </c>
      <c r="AXR58" s="20" t="n">
        <v>0</v>
      </c>
      <c r="AXS58" s="20" t="n">
        <v>0</v>
      </c>
      <c r="AXT58" s="20" t="n">
        <v>0</v>
      </c>
      <c r="AXU58" s="20" t="n">
        <v>0</v>
      </c>
      <c r="AXV58" s="20" t="n">
        <v>0</v>
      </c>
      <c r="AXW58" s="20" t="n">
        <v>0</v>
      </c>
      <c r="AXX58" s="20" t="n">
        <v>0</v>
      </c>
      <c r="AXY58" s="20" t="n">
        <v>0</v>
      </c>
      <c r="AXZ58" s="20" t="n">
        <v>0</v>
      </c>
      <c r="AYA58" s="20" t="n">
        <v>0</v>
      </c>
      <c r="AYB58" s="20" t="n">
        <v>0</v>
      </c>
      <c r="AYC58" s="20" t="n">
        <v>0</v>
      </c>
      <c r="AYD58" s="20" t="n">
        <v>0</v>
      </c>
      <c r="AYE58" s="20" t="n">
        <v>0</v>
      </c>
      <c r="AYF58" s="20" t="n">
        <v>0</v>
      </c>
      <c r="AYG58" s="20" t="n">
        <v>0</v>
      </c>
      <c r="AYH58" s="20" t="n">
        <v>0</v>
      </c>
      <c r="AYI58" s="20" t="n">
        <v>0</v>
      </c>
      <c r="AYJ58" s="20" t="n">
        <v>0</v>
      </c>
      <c r="AYK58" s="20" t="n">
        <v>0</v>
      </c>
      <c r="AYL58" s="20" t="n">
        <v>0</v>
      </c>
      <c r="AYM58" s="20" t="n">
        <v>0</v>
      </c>
      <c r="AYN58" s="20" t="n">
        <v>0</v>
      </c>
      <c r="AYO58" s="20" t="n">
        <v>0</v>
      </c>
      <c r="AYP58" s="20" t="n">
        <v>0</v>
      </c>
      <c r="AYQ58" s="20" t="n">
        <v>0</v>
      </c>
    </row>
    <row r="59" customFormat="false" ht="15" hidden="false" customHeight="false" outlineLevel="0" collapsed="false">
      <c r="B59" s="20" t="n">
        <v>51</v>
      </c>
      <c r="C59" s="20" t="n">
        <f aca="false">'Plan cashflow'!C59</f>
        <v>1</v>
      </c>
      <c r="D59" s="20" t="n">
        <f aca="false">'Plan cashflow'!D59</f>
        <v>89</v>
      </c>
      <c r="E59" s="20" t="n">
        <f aca="false">AS_Year0+51</f>
        <v>2077</v>
      </c>
      <c r="F59" s="50" t="n">
        <f aca="false">'Plan cashflow'!F59</f>
        <v>2.74541978965508</v>
      </c>
      <c r="G59" s="59" t="n">
        <f aca="true">IF(MAX(TODAY(),DATE(E59,1,1))&gt;=H_CGTfrom,H_CGT1,H_CGT0)</f>
        <v>0.31</v>
      </c>
      <c r="H59" s="20" t="n">
        <f aca="false">H_Exempt*H_Persons</f>
        <v>1270</v>
      </c>
      <c r="I59" s="20" t="n">
        <f aca="false">AX58</f>
        <v>0</v>
      </c>
      <c r="J59" s="60" t="n">
        <f aca="false">BF58</f>
        <v>0</v>
      </c>
      <c r="K59" s="60" t="n">
        <f aca="false">BG58</f>
        <v>0</v>
      </c>
      <c r="L59" s="20" t="n">
        <f aca="false">IF(AND(In_polLump&gt;0,In_polLumpAge&gt;0,D59=In_polLumpAge),In_polLump,0)</f>
        <v>0</v>
      </c>
      <c r="M59" s="20" t="n">
        <f aca="false">IF(AND(In_homeUse="Yes, I'd downsize",In_downAge&gt;0,D59=In_downAge,OR(In_home="Own outright",In_home="Own with mortgage"),In_homeValue&gt;0),MAX(0,MAX(0,In_homeValue-In_downValue)*F59*0.9-'Plan cashflow'!HR58),0)</f>
        <v>0</v>
      </c>
      <c r="N59" s="20" t="n">
        <f aca="false">'Plan pay &amp; tax'!Y285</f>
        <v>0</v>
      </c>
      <c r="O59" s="20" t="n">
        <f aca="false">L59+M59+(1-H_Sh)*N59</f>
        <v>0</v>
      </c>
      <c r="P59" s="20" t="n">
        <f aca="false">H_Sh*N59</f>
        <v>0</v>
      </c>
      <c r="Q59" s="20" t="n">
        <f aca="false">'Plan cashflow'!UL59</f>
        <v>0</v>
      </c>
      <c r="R59" s="20" t="n">
        <f aca="false">(1-H_Sh)*Q59</f>
        <v>0</v>
      </c>
      <c r="S59" s="20" t="n">
        <f aca="false">H_Sh*Q59</f>
        <v>0</v>
      </c>
      <c r="T59" s="20" t="n">
        <f aca="false">J59+K59+O59</f>
        <v>0</v>
      </c>
      <c r="U59" s="20" t="n">
        <f aca="false">T59+R59</f>
        <v>0</v>
      </c>
      <c r="V59" s="60" t="n">
        <f aca="false">SUM(FE59:IQ59)</f>
        <v>0</v>
      </c>
      <c r="W59" s="60" t="n">
        <f aca="false">IF(AJ59&lt;=0,0,IF(AL59&lt;=0,AJ59,AJ59-G59*MAX(0,AL59*AJ59-(AY59+AZ59))))</f>
        <v>0</v>
      </c>
      <c r="X59" s="60" t="n">
        <f aca="false">IF(AR59&lt;=0,0,IF(AT59&lt;=0,AR59,AR59-G59*MAX(0,AT59*AR59-(BA59+BB59))))</f>
        <v>0</v>
      </c>
      <c r="Y59" s="60" t="n">
        <f aca="false">T59+V59-S59+W59+X59</f>
        <v>0</v>
      </c>
      <c r="Z59" s="60" t="n">
        <f aca="false">'Plan cashflow'!UK59</f>
        <v>0</v>
      </c>
      <c r="AA59" s="20" t="n">
        <f aca="false">MIN(Z59,U59)</f>
        <v>0</v>
      </c>
      <c r="AB59" s="20" t="n">
        <f aca="false">Z59-AA59</f>
        <v>0</v>
      </c>
      <c r="AC59" s="20" t="n">
        <f aca="false">MIN(AA59,J59+O59+R59)</f>
        <v>0</v>
      </c>
      <c r="AD59" s="20" t="n">
        <f aca="false">AA59-AC59</f>
        <v>0</v>
      </c>
      <c r="AE59" s="20" t="n">
        <f aca="false">J59+O59+R59-AC59</f>
        <v>0</v>
      </c>
      <c r="AF59" s="20" t="n">
        <f aca="false">K59-AD59</f>
        <v>0</v>
      </c>
      <c r="AG59" s="20" t="n">
        <f aca="false">SUM(PR59:TD59)</f>
        <v>0</v>
      </c>
      <c r="AH59" s="20" t="n">
        <f aca="false">SUM(TE59:WQ59)</f>
        <v>0</v>
      </c>
      <c r="AI59" s="20" t="n">
        <f aca="false">MAX(0,AB59-AG59)</f>
        <v>0</v>
      </c>
      <c r="AJ59" s="57" t="n">
        <f aca="false">BI58</f>
        <v>0</v>
      </c>
      <c r="AK59" s="20" t="n">
        <f aca="false">BJ58</f>
        <v>0</v>
      </c>
      <c r="AL59" s="20" t="n">
        <f aca="false">IF(AJ59&gt;0,(AJ59-AK59)/AJ59,0)</f>
        <v>0</v>
      </c>
      <c r="AM59" s="20" t="n">
        <f aca="false">IF(AJ59&lt;=0,0,IF(AL59&lt;=0,MIN(AI59,AJ59),MIN(AI59,AJ59-G59*MAX(0,AL59*AJ59-(AAD59+ADQ59)))))</f>
        <v>0</v>
      </c>
      <c r="AN59" s="20" t="n">
        <f aca="false">IF(AJ59&lt;=0,0,IF(AL59&lt;=0,AM59,IF(AM59&lt;=(AAD59+ADQ59)/AL59,AM59,(AM59-G59*(AAD59+ADQ59))/(1-G59*AL59))))</f>
        <v>0</v>
      </c>
      <c r="AO59" s="20" t="n">
        <f aca="false">IF(AL59&gt;0,MAX(0,AAD59-(MIN(AL59*AN59,(AAD59+ADQ59))-MIN(MIN(AL59*AN59,(AAD59+ADQ59)),ADQ59))),AAD59)</f>
        <v>1270</v>
      </c>
      <c r="AP59" s="20" t="n">
        <f aca="false">IF(AL59&lt;=0,ADQ59-AL59*AN59,ADQ59-MIN(MIN(AL59*AN59,(AAD59+ADQ59)),ADQ59))</f>
        <v>0</v>
      </c>
      <c r="AQ59" s="20" t="n">
        <f aca="false">MAX(0,AI59-AM59)</f>
        <v>0</v>
      </c>
      <c r="AR59" s="57" t="n">
        <f aca="false">BK58</f>
        <v>0</v>
      </c>
      <c r="AS59" s="20" t="n">
        <f aca="false">BL58</f>
        <v>0</v>
      </c>
      <c r="AT59" s="20" t="n">
        <f aca="false">IF(AR59&gt;0,(AR59-AS59)/AR59,0)</f>
        <v>0</v>
      </c>
      <c r="AU59" s="20" t="n">
        <f aca="false">IF(AR59&lt;=0,0,IF(AT59&lt;=0,MIN(AQ59,AR59),MIN(AQ59,AR59-G59*MAX(0,AT59*AR59-(AO59+AP59)))))</f>
        <v>0</v>
      </c>
      <c r="AV59" s="20" t="n">
        <f aca="false">IF(AR59&lt;=0,0,IF(AT59&lt;=0,AU59,IF(AU59&lt;=(AO59+AP59)/AT59,AU59,(AU59-G59*(AO59+AP59))/(1-G59*AT59))))</f>
        <v>0</v>
      </c>
      <c r="AW59" s="20" t="n">
        <f aca="false">IF(AT59&gt;0,MAX(0,AO59-(MIN(AT59*AV59,(AO59+AP59))-MIN(MIN(AT59*AV59,(AO59+AP59)),AP59))),AO59)</f>
        <v>1270</v>
      </c>
      <c r="AX59" s="20" t="n">
        <f aca="false">IF(AT59&lt;=0,AP59-AT59*AV59,AP59-MIN(MIN(AT59*AV59,(AO59+AP59)),AP59))</f>
        <v>0</v>
      </c>
      <c r="AY59" s="20" t="n">
        <f aca="false">MD59</f>
        <v>1270</v>
      </c>
      <c r="AZ59" s="20" t="n">
        <f aca="false">PQ59</f>
        <v>0</v>
      </c>
      <c r="BA59" s="20" t="n">
        <f aca="false">IF(AL59&gt;0,MAX(0,AY59-(MIN(AL59*AJ59,AY59+AZ59)-MIN(MIN(AL59*AJ59,AY59+AZ59),AZ59))),AY59)</f>
        <v>1270</v>
      </c>
      <c r="BB59" s="20" t="n">
        <f aca="false">IF(AL59&lt;=0,AZ59-AL59*AJ59,AZ59-MIN(MIN(AL59*AJ59,AY59+AZ59),AZ59))</f>
        <v>0</v>
      </c>
      <c r="BC59" s="20" t="n">
        <f aca="false">'Plan cashflow'!UM59</f>
        <v>0</v>
      </c>
      <c r="BD59" s="20" t="n">
        <f aca="false">(1-H_Sh)*BC59</f>
        <v>0</v>
      </c>
      <c r="BE59" s="20" t="n">
        <f aca="false">H_Sh*BC59</f>
        <v>0</v>
      </c>
      <c r="BF59" s="60" t="n">
        <f aca="false">(AE59+BD59)*(1+AS_Cash)</f>
        <v>0</v>
      </c>
      <c r="BG59" s="60" t="n">
        <f aca="false">AF59*(1+AS_Cash)</f>
        <v>0</v>
      </c>
      <c r="BH59" s="60" t="n">
        <f aca="false">SUM(AKR59:AOD59)</f>
        <v>0</v>
      </c>
      <c r="BI59" s="60" t="n">
        <f aca="false">(AJ59-AN59)*(1+AS_Infl)</f>
        <v>0</v>
      </c>
      <c r="BJ59" s="20" t="n">
        <f aca="false">IF(AJ59&gt;0,AK59-AK59*AN59/AJ59,0)</f>
        <v>0</v>
      </c>
      <c r="BK59" s="60" t="n">
        <f aca="false">(AR59-AV59)*(1+BQ59)</f>
        <v>0</v>
      </c>
      <c r="BL59" s="20" t="n">
        <f aca="false">IF(AR59&gt;0,AS59-AS59*AV59/AR59,0)</f>
        <v>0</v>
      </c>
      <c r="BM59" s="60" t="n">
        <f aca="false">BF59+BG59+BH59+BI59+BK59</f>
        <v>0</v>
      </c>
      <c r="BN59" s="60" t="n">
        <f aca="false">(AH59-AG59)+(AN59-AM59)+(AV59-AU59)</f>
        <v>0</v>
      </c>
      <c r="BO59" s="20" t="n">
        <f aca="false">(AE59+BD59+AF59+MAX(0,'Plan cashflow'!QH59)+IF(Slot1_Rate=AS_Cash,'Plan cashflow'!QM59/(1+AS_Cash),0)+IF(Slot2_Rate=AS_Cash,'Plan cashflow'!QQ59/(1+AS_Cash),0)+IF(Slot3_Rate=AS_Cash,'Plan cashflow'!QU59/(1+AS_Cash),0)+IF(Slot4_Rate=AS_Cash,'Plan cashflow'!QY59/(1+AS_Cash),0)+IF(Slot5_Rate=AS_Cash,'Plan cashflow'!RC59/(1+AS_Cash),0)+IF(Slot6_Rate=AS_Cash,'Plan cashflow'!RG59/(1+AS_Cash),0)+IF(Slot7_Rate=AS_Cash,'Plan cashflow'!RK59/(1+AS_Cash),0)+IF(Slot8_Rate=AS_Cash,'Plan cashflow'!RO59/(1+AS_Cash),0)+IF(Slot9_Rate=AS_Cash,'Plan cashflow'!RS59/(1+AS_Cash),0)+IF(Slot10_Rate=AS_Cash,'Plan cashflow'!RW59/(1+AS_Cash),0)+IF(Slot11_Rate=AS_Cash,'Plan cashflow'!SA59/(1+AS_Cash),0)+IF(Slot12_Rate=AS_Cash,'Plan cashflow'!SE59/(1+AS_Cash),0)+IF(Slot13_Rate=AS_Cash,'Plan cashflow'!SI59/(1+AS_Cash),0)+IF(Slot14_Rate=AS_Cash,'Plan cashflow'!SM59/(1+AS_Cash),0)+IF(Slot15_Rate=AS_Cash,'Plan cashflow'!SQ59/(1+AS_Cash),0)+IF(Slot16_Rate=AS_Cash,'Plan cashflow'!SU59/(1+AS_Cash),0)+IF(Slot17_Rate=AS_Cash,'Plan cashflow'!SY59/(1+AS_Cash),0)+IF(Slot18_Rate=AS_Cash,'Plan cashflow'!TC59/(1+AS_Cash),0)+IF(Slot19_Rate=AS_Cash,'Plan cashflow'!TG59/(1+AS_Cash),0)+IF(Slot20_Rate=AS_Cash,'Plan cashflow'!TK59/(1+AS_Cash),0))*AS_Cash*H_DIRT/(1-H_DIRT)</f>
        <v>0</v>
      </c>
      <c r="BP59" s="60" t="n">
        <f aca="false">SUM(AVE59:AYQ59)</f>
        <v>0</v>
      </c>
      <c r="BQ59" s="54" t="n">
        <f aca="false">IF(H_TaxEvt=1,H_InvG,AS_Inv)</f>
        <v>0.04</v>
      </c>
      <c r="BR59" s="20" t="n">
        <f aca="false">IF(AKR58&gt;0,(AKR58-AOE58)/AKR58,0)</f>
        <v>0</v>
      </c>
      <c r="BS59" s="20" t="n">
        <f aca="false">IF(AKS58&gt;0,(AKS58-AOF58)/AKS58,0)</f>
        <v>0</v>
      </c>
      <c r="BT59" s="20" t="n">
        <f aca="false">IF(AKT58&gt;0,(AKT58-AOG58)/AKT58,0)</f>
        <v>0</v>
      </c>
      <c r="BU59" s="20" t="n">
        <f aca="false">IF(AKU58&gt;0,(AKU58-AOH58)/AKU58,0)</f>
        <v>0</v>
      </c>
      <c r="BV59" s="20" t="n">
        <f aca="false">IF(AKV58&gt;0,(AKV58-AOI58)/AKV58,0)</f>
        <v>0</v>
      </c>
      <c r="BW59" s="20" t="n">
        <f aca="false">IF(AKW58&gt;0,(AKW58-AOJ58)/AKW58,0)</f>
        <v>0</v>
      </c>
      <c r="BX59" s="20" t="n">
        <f aca="false">IF(AKX58&gt;0,(AKX58-AOK58)/AKX58,0)</f>
        <v>0</v>
      </c>
      <c r="BY59" s="20" t="n">
        <f aca="false">IF(AKY58&gt;0,(AKY58-AOL58)/AKY58,0)</f>
        <v>0</v>
      </c>
      <c r="BZ59" s="20" t="n">
        <f aca="false">IF(AKZ58&gt;0,(AKZ58-AOM58)/AKZ58,0)</f>
        <v>0</v>
      </c>
      <c r="CA59" s="20" t="n">
        <f aca="false">IF(ALA58&gt;0,(ALA58-AON58)/ALA58,0)</f>
        <v>0</v>
      </c>
      <c r="CB59" s="20" t="n">
        <f aca="false">IF(ALB58&gt;0,(ALB58-AOO58)/ALB58,0)</f>
        <v>0</v>
      </c>
      <c r="CC59" s="20" t="n">
        <f aca="false">IF(ALC58&gt;0,(ALC58-AOP58)/ALC58,0)</f>
        <v>0</v>
      </c>
      <c r="CD59" s="20" t="n">
        <f aca="false">IF(ALD58&gt;0,(ALD58-AOQ58)/ALD58,0)</f>
        <v>0</v>
      </c>
      <c r="CE59" s="20" t="n">
        <f aca="false">IF(ALE58&gt;0,(ALE58-AOR58)/ALE58,0)</f>
        <v>0</v>
      </c>
      <c r="CF59" s="20" t="n">
        <f aca="false">IF(ALF58&gt;0,(ALF58-AOS58)/ALF58,0)</f>
        <v>0</v>
      </c>
      <c r="CG59" s="20" t="n">
        <f aca="false">IF(ALG58&gt;0,(ALG58-AOT58)/ALG58,0)</f>
        <v>0</v>
      </c>
      <c r="CH59" s="20" t="n">
        <f aca="false">IF(ALH58&gt;0,(ALH58-AOU58)/ALH58,0)</f>
        <v>0</v>
      </c>
      <c r="CI59" s="20" t="n">
        <f aca="false">IF(ALI58&gt;0,(ALI58-AOV58)/ALI58,0)</f>
        <v>0</v>
      </c>
      <c r="CJ59" s="20" t="n">
        <f aca="false">IF(ALJ58&gt;0,(ALJ58-AOW58)/ALJ58,0)</f>
        <v>0</v>
      </c>
      <c r="CK59" s="20" t="n">
        <f aca="false">IF(ALK58&gt;0,(ALK58-AOX58)/ALK58,0)</f>
        <v>0</v>
      </c>
      <c r="CL59" s="20" t="n">
        <f aca="false">IF(ALL58&gt;0,(ALL58-AOY58)/ALL58,0)</f>
        <v>0</v>
      </c>
      <c r="CM59" s="20" t="n">
        <f aca="false">IF(ALM58&gt;0,(ALM58-AOZ58)/ALM58,0)</f>
        <v>0</v>
      </c>
      <c r="CN59" s="20" t="n">
        <f aca="false">IF(ALN58&gt;0,(ALN58-APA58)/ALN58,0)</f>
        <v>0</v>
      </c>
      <c r="CO59" s="20" t="n">
        <f aca="false">IF(ALO58&gt;0,(ALO58-APB58)/ALO58,0)</f>
        <v>0</v>
      </c>
      <c r="CP59" s="20" t="n">
        <f aca="false">IF(ALP58&gt;0,(ALP58-APC58)/ALP58,0)</f>
        <v>0</v>
      </c>
      <c r="CQ59" s="20" t="n">
        <f aca="false">IF(ALQ58&gt;0,(ALQ58-APD58)/ALQ58,0)</f>
        <v>0</v>
      </c>
      <c r="CR59" s="20" t="n">
        <f aca="false">IF(ALR58&gt;0,(ALR58-APE58)/ALR58,0)</f>
        <v>0</v>
      </c>
      <c r="CS59" s="20" t="n">
        <f aca="false">IF(ALS58&gt;0,(ALS58-APF58)/ALS58,0)</f>
        <v>0</v>
      </c>
      <c r="CT59" s="20" t="n">
        <f aca="false">IF(ALT58&gt;0,(ALT58-APG58)/ALT58,0)</f>
        <v>0</v>
      </c>
      <c r="CU59" s="20" t="n">
        <f aca="false">IF(ALU58&gt;0,(ALU58-APH58)/ALU58,0)</f>
        <v>0</v>
      </c>
      <c r="CV59" s="20" t="n">
        <f aca="false">IF(ALV58&gt;0,(ALV58-API58)/ALV58,0)</f>
        <v>0</v>
      </c>
      <c r="CW59" s="20" t="n">
        <f aca="false">IF(ALW58&gt;0,(ALW58-APJ58)/ALW58,0)</f>
        <v>0</v>
      </c>
      <c r="CX59" s="20" t="n">
        <f aca="false">IF(ALX58&gt;0,(ALX58-APK58)/ALX58,0)</f>
        <v>0</v>
      </c>
      <c r="CY59" s="20" t="n">
        <f aca="false">IF(ALY58&gt;0,(ALY58-APL58)/ALY58,0)</f>
        <v>0</v>
      </c>
      <c r="CZ59" s="20" t="n">
        <f aca="false">IF(ALZ58&gt;0,(ALZ58-APM58)/ALZ58,0)</f>
        <v>0</v>
      </c>
      <c r="DA59" s="20" t="n">
        <f aca="false">IF(AMA58&gt;0,(AMA58-APN58)/AMA58,0)</f>
        <v>0</v>
      </c>
      <c r="DB59" s="20" t="n">
        <f aca="false">IF(AMB58&gt;0,(AMB58-APO58)/AMB58,0)</f>
        <v>0</v>
      </c>
      <c r="DC59" s="20" t="n">
        <f aca="false">IF(AMC58&gt;0,(AMC58-APP58)/AMC58,0)</f>
        <v>0</v>
      </c>
      <c r="DD59" s="20" t="n">
        <f aca="false">IF(AMD58&gt;0,(AMD58-APQ58)/AMD58,0)</f>
        <v>0</v>
      </c>
      <c r="DE59" s="20" t="n">
        <f aca="false">IF(AME58&gt;0,(AME58-APR58)/AME58,0)</f>
        <v>0</v>
      </c>
      <c r="DF59" s="20" t="n">
        <f aca="false">IF(AMF58&gt;0,(AMF58-APS58)/AMF58,0)</f>
        <v>0</v>
      </c>
      <c r="DG59" s="20" t="n">
        <f aca="false">IF(AMG58&gt;0,(AMG58-APT58)/AMG58,0)</f>
        <v>0</v>
      </c>
      <c r="DH59" s="20" t="n">
        <f aca="false">IF(AMH58&gt;0,(AMH58-APU58)/AMH58,0)</f>
        <v>0</v>
      </c>
      <c r="DI59" s="20" t="n">
        <f aca="false">IF(AMI58&gt;0,(AMI58-APV58)/AMI58,0)</f>
        <v>0</v>
      </c>
      <c r="DJ59" s="20" t="n">
        <f aca="false">IF(AMJ58&gt;0,(AMJ58-APW58)/AMJ58,0)</f>
        <v>0</v>
      </c>
      <c r="DK59" s="20" t="n">
        <f aca="false">IF(AMK58&gt;0,(AMK58-APX58)/AMK58,0)</f>
        <v>0</v>
      </c>
      <c r="DL59" s="20" t="n">
        <f aca="false">IF(AML58&gt;0,(AML58-APY58)/AML58,0)</f>
        <v>0</v>
      </c>
      <c r="DM59" s="20" t="n">
        <f aca="false">IF(AMM58&gt;0,(AMM58-APZ58)/AMM58,0)</f>
        <v>0</v>
      </c>
      <c r="DN59" s="20" t="n">
        <f aca="false">IF(AMN58&gt;0,(AMN58-AQA58)/AMN58,0)</f>
        <v>0</v>
      </c>
      <c r="DO59" s="20" t="n">
        <f aca="false">IF(AMO58&gt;0,(AMO58-AQB58)/AMO58,0)</f>
        <v>0</v>
      </c>
      <c r="DP59" s="20" t="n">
        <f aca="false">IF(AMP58&gt;0,(AMP58-AQC58)/AMP58,0)</f>
        <v>0</v>
      </c>
      <c r="DQ59" s="20" t="n">
        <f aca="false">IF(AMQ58&gt;0,(AMQ58-AQD58)/AMQ58,0)</f>
        <v>0</v>
      </c>
      <c r="DR59" s="20" t="n">
        <f aca="false">IF((P59+S59)&gt;0,((P59+S59)-(P59+S59))/(P59+S59),0)</f>
        <v>0</v>
      </c>
      <c r="DS59" s="20" t="n">
        <v>0</v>
      </c>
      <c r="DT59" s="20" t="n">
        <v>0</v>
      </c>
      <c r="DU59" s="20" t="n">
        <v>0</v>
      </c>
      <c r="DV59" s="20" t="n">
        <v>0</v>
      </c>
      <c r="DW59" s="20" t="n">
        <v>0</v>
      </c>
      <c r="DX59" s="20" t="n">
        <v>0</v>
      </c>
      <c r="DY59" s="20" t="n">
        <v>0</v>
      </c>
      <c r="DZ59" s="20" t="n">
        <v>0</v>
      </c>
      <c r="EA59" s="20" t="n">
        <v>0</v>
      </c>
      <c r="EB59" s="20" t="n">
        <v>0</v>
      </c>
      <c r="EC59" s="20" t="n">
        <v>0</v>
      </c>
      <c r="ED59" s="20" t="n">
        <v>0</v>
      </c>
      <c r="EE59" s="20" t="n">
        <v>0</v>
      </c>
      <c r="EF59" s="20" t="n">
        <v>0</v>
      </c>
      <c r="EG59" s="20" t="n">
        <v>0</v>
      </c>
      <c r="EH59" s="20" t="n">
        <v>0</v>
      </c>
      <c r="EI59" s="20" t="n">
        <v>0</v>
      </c>
      <c r="EJ59" s="20" t="n">
        <v>0</v>
      </c>
      <c r="EK59" s="20" t="n">
        <v>0</v>
      </c>
      <c r="EL59" s="20" t="n">
        <v>0</v>
      </c>
      <c r="EM59" s="20" t="n">
        <v>0</v>
      </c>
      <c r="EN59" s="20" t="n">
        <v>0</v>
      </c>
      <c r="EO59" s="20" t="n">
        <v>0</v>
      </c>
      <c r="EP59" s="20" t="n">
        <v>0</v>
      </c>
      <c r="EQ59" s="20" t="n">
        <v>0</v>
      </c>
      <c r="ER59" s="20" t="n">
        <v>0</v>
      </c>
      <c r="ES59" s="20" t="n">
        <v>0</v>
      </c>
      <c r="ET59" s="20" t="n">
        <v>0</v>
      </c>
      <c r="EU59" s="20" t="n">
        <v>0</v>
      </c>
      <c r="EV59" s="20" t="n">
        <v>0</v>
      </c>
      <c r="EW59" s="20" t="n">
        <v>0</v>
      </c>
      <c r="EX59" s="20" t="n">
        <v>0</v>
      </c>
      <c r="EY59" s="20" t="n">
        <v>0</v>
      </c>
      <c r="EZ59" s="20" t="n">
        <v>0</v>
      </c>
      <c r="FA59" s="20" t="n">
        <v>0</v>
      </c>
      <c r="FB59" s="20" t="n">
        <v>0</v>
      </c>
      <c r="FC59" s="20" t="n">
        <v>0</v>
      </c>
      <c r="FD59" s="20" t="n">
        <v>0</v>
      </c>
      <c r="FE59" s="20" t="n">
        <f aca="false">IF(H_Direct=1,IF(AKR58&lt;=0,0,IF(BR59&lt;=0,AKR58,AKR58-G59*MAX(0,BR59*AKR58-(H59+I59)))),AKR58*(1-MAX(0,BR59)*H_Exit))</f>
        <v>0</v>
      </c>
      <c r="FF59" s="20" t="n">
        <f aca="false">IF(H_Direct=1,IF(AKS58&lt;=0,0,IF(BS59&lt;=0,AKS58,AKS58-G59*MAX(0,BS59*AKS58-(IR59+ME59)))),AKS58*(1-MAX(0,BS59)*H_Exit))</f>
        <v>0</v>
      </c>
      <c r="FG59" s="20" t="n">
        <f aca="false">IF(H_Direct=1,IF(AKT58&lt;=0,0,IF(BT59&lt;=0,AKT58,AKT58-G59*MAX(0,BT59*AKT58-(IS59+MF59)))),AKT58*(1-MAX(0,BT59)*H_Exit))</f>
        <v>0</v>
      </c>
      <c r="FH59" s="20" t="n">
        <f aca="false">IF(H_Direct=1,IF(AKU58&lt;=0,0,IF(BU59&lt;=0,AKU58,AKU58-G59*MAX(0,BU59*AKU58-(IT59+MG59)))),AKU58*(1-MAX(0,BU59)*H_Exit))</f>
        <v>0</v>
      </c>
      <c r="FI59" s="20" t="n">
        <f aca="false">IF(H_Direct=1,IF(AKV58&lt;=0,0,IF(BV59&lt;=0,AKV58,AKV58-G59*MAX(0,BV59*AKV58-(IU59+MH59)))),AKV58*(1-MAX(0,BV59)*H_Exit))</f>
        <v>0</v>
      </c>
      <c r="FJ59" s="20" t="n">
        <f aca="false">IF(H_Direct=1,IF(AKW58&lt;=0,0,IF(BW59&lt;=0,AKW58,AKW58-G59*MAX(0,BW59*AKW58-(IV59+MI59)))),AKW58*(1-MAX(0,BW59)*H_Exit))</f>
        <v>0</v>
      </c>
      <c r="FK59" s="20" t="n">
        <f aca="false">IF(H_Direct=1,IF(AKX58&lt;=0,0,IF(BX59&lt;=0,AKX58,AKX58-G59*MAX(0,BX59*AKX58-(IW59+MJ59)))),AKX58*(1-MAX(0,BX59)*H_Exit))</f>
        <v>0</v>
      </c>
      <c r="FL59" s="20" t="n">
        <f aca="false">IF(H_Direct=1,IF(AKY58&lt;=0,0,IF(BY59&lt;=0,AKY58,AKY58-G59*MAX(0,BY59*AKY58-(IX59+MK59)))),AKY58*(1-MAX(0,BY59)*H_Exit))</f>
        <v>0</v>
      </c>
      <c r="FM59" s="20" t="n">
        <f aca="false">IF(H_Direct=1,IF(AKZ58&lt;=0,0,IF(BZ59&lt;=0,AKZ58,AKZ58-G59*MAX(0,BZ59*AKZ58-(IY59+ML59)))),AKZ58*(1-MAX(0,BZ59)*H_Exit))</f>
        <v>0</v>
      </c>
      <c r="FN59" s="20" t="n">
        <f aca="false">IF(H_Direct=1,IF(ALA58&lt;=0,0,IF(CA59&lt;=0,ALA58,ALA58-G59*MAX(0,CA59*ALA58-(IZ59+MM59)))),ALA58*(1-MAX(0,CA59)*H_Exit))</f>
        <v>0</v>
      </c>
      <c r="FO59" s="20" t="n">
        <f aca="false">IF(H_Direct=1,IF(ALB58&lt;=0,0,IF(CB59&lt;=0,ALB58,ALB58-G59*MAX(0,CB59*ALB58-(JA59+MN59)))),ALB58*(1-MAX(0,CB59)*H_Exit))</f>
        <v>0</v>
      </c>
      <c r="FP59" s="20" t="n">
        <f aca="false">IF(H_Direct=1,IF(ALC58&lt;=0,0,IF(CC59&lt;=0,ALC58,ALC58-G59*MAX(0,CC59*ALC58-(JB59+MO59)))),ALC58*(1-MAX(0,CC59)*H_Exit))</f>
        <v>0</v>
      </c>
      <c r="FQ59" s="20" t="n">
        <f aca="false">IF(H_Direct=1,IF(ALD58&lt;=0,0,IF(CD59&lt;=0,ALD58,ALD58-G59*MAX(0,CD59*ALD58-(JC59+MP59)))),ALD58*(1-MAX(0,CD59)*H_Exit))</f>
        <v>0</v>
      </c>
      <c r="FR59" s="20" t="n">
        <f aca="false">IF(H_Direct=1,IF(ALE58&lt;=0,0,IF(CE59&lt;=0,ALE58,ALE58-G59*MAX(0,CE59*ALE58-(JD59+MQ59)))),ALE58*(1-MAX(0,CE59)*H_Exit))</f>
        <v>0</v>
      </c>
      <c r="FS59" s="20" t="n">
        <f aca="false">IF(H_Direct=1,IF(ALF58&lt;=0,0,IF(CF59&lt;=0,ALF58,ALF58-G59*MAX(0,CF59*ALF58-(JE59+MR59)))),ALF58*(1-MAX(0,CF59)*H_Exit))</f>
        <v>0</v>
      </c>
      <c r="FT59" s="20" t="n">
        <f aca="false">IF(H_Direct=1,IF(ALG58&lt;=0,0,IF(CG59&lt;=0,ALG58,ALG58-G59*MAX(0,CG59*ALG58-(JF59+MS59)))),ALG58*(1-MAX(0,CG59)*H_Exit))</f>
        <v>0</v>
      </c>
      <c r="FU59" s="20" t="n">
        <f aca="false">IF(H_Direct=1,IF(ALH58&lt;=0,0,IF(CH59&lt;=0,ALH58,ALH58-G59*MAX(0,CH59*ALH58-(JG59+MT59)))),ALH58*(1-MAX(0,CH59)*H_Exit))</f>
        <v>0</v>
      </c>
      <c r="FV59" s="20" t="n">
        <f aca="false">IF(H_Direct=1,IF(ALI58&lt;=0,0,IF(CI59&lt;=0,ALI58,ALI58-G59*MAX(0,CI59*ALI58-(JH59+MU59)))),ALI58*(1-MAX(0,CI59)*H_Exit))</f>
        <v>0</v>
      </c>
      <c r="FW59" s="20" t="n">
        <f aca="false">IF(H_Direct=1,IF(ALJ58&lt;=0,0,IF(CJ59&lt;=0,ALJ58,ALJ58-G59*MAX(0,CJ59*ALJ58-(JI59+MV59)))),ALJ58*(1-MAX(0,CJ59)*H_Exit))</f>
        <v>0</v>
      </c>
      <c r="FX59" s="20" t="n">
        <f aca="false">IF(H_Direct=1,IF(ALK58&lt;=0,0,IF(CK59&lt;=0,ALK58,ALK58-G59*MAX(0,CK59*ALK58-(JJ59+MW59)))),ALK58*(1-MAX(0,CK59)*H_Exit))</f>
        <v>0</v>
      </c>
      <c r="FY59" s="20" t="n">
        <f aca="false">IF(H_Direct=1,IF(ALL58&lt;=0,0,IF(CL59&lt;=0,ALL58,ALL58-G59*MAX(0,CL59*ALL58-(JK59+MX59)))),ALL58*(1-MAX(0,CL59)*H_Exit))</f>
        <v>0</v>
      </c>
      <c r="FZ59" s="20" t="n">
        <f aca="false">IF(H_Direct=1,IF(ALM58&lt;=0,0,IF(CM59&lt;=0,ALM58,ALM58-G59*MAX(0,CM59*ALM58-(JL59+MY59)))),ALM58*(1-MAX(0,CM59)*H_Exit))</f>
        <v>0</v>
      </c>
      <c r="GA59" s="20" t="n">
        <f aca="false">IF(H_Direct=1,IF(ALN58&lt;=0,0,IF(CN59&lt;=0,ALN58,ALN58-G59*MAX(0,CN59*ALN58-(JM59+MZ59)))),ALN58*(1-MAX(0,CN59)*H_Exit))</f>
        <v>0</v>
      </c>
      <c r="GB59" s="20" t="n">
        <f aca="false">IF(H_Direct=1,IF(ALO58&lt;=0,0,IF(CO59&lt;=0,ALO58,ALO58-G59*MAX(0,CO59*ALO58-(JN59+NA59)))),ALO58*(1-MAX(0,CO59)*H_Exit))</f>
        <v>0</v>
      </c>
      <c r="GC59" s="20" t="n">
        <f aca="false">IF(H_Direct=1,IF(ALP58&lt;=0,0,IF(CP59&lt;=0,ALP58,ALP58-G59*MAX(0,CP59*ALP58-(JO59+NB59)))),ALP58*(1-MAX(0,CP59)*H_Exit))</f>
        <v>0</v>
      </c>
      <c r="GD59" s="20" t="n">
        <f aca="false">IF(H_Direct=1,IF(ALQ58&lt;=0,0,IF(CQ59&lt;=0,ALQ58,ALQ58-G59*MAX(0,CQ59*ALQ58-(JP59+NC59)))),ALQ58*(1-MAX(0,CQ59)*H_Exit))</f>
        <v>0</v>
      </c>
      <c r="GE59" s="20" t="n">
        <f aca="false">IF(H_Direct=1,IF(ALR58&lt;=0,0,IF(CR59&lt;=0,ALR58,ALR58-G59*MAX(0,CR59*ALR58-(JQ59+ND59)))),ALR58*(1-MAX(0,CR59)*H_Exit))</f>
        <v>0</v>
      </c>
      <c r="GF59" s="20" t="n">
        <f aca="false">IF(H_Direct=1,IF(ALS58&lt;=0,0,IF(CS59&lt;=0,ALS58,ALS58-G59*MAX(0,CS59*ALS58-(JR59+NE59)))),ALS58*(1-MAX(0,CS59)*H_Exit))</f>
        <v>0</v>
      </c>
      <c r="GG59" s="20" t="n">
        <f aca="false">IF(H_Direct=1,IF(ALT58&lt;=0,0,IF(CT59&lt;=0,ALT58,ALT58-G59*MAX(0,CT59*ALT58-(JS59+NF59)))),ALT58*(1-MAX(0,CT59)*H_Exit))</f>
        <v>0</v>
      </c>
      <c r="GH59" s="20" t="n">
        <f aca="false">IF(H_Direct=1,IF(ALU58&lt;=0,0,IF(CU59&lt;=0,ALU58,ALU58-G59*MAX(0,CU59*ALU58-(JT59+NG59)))),ALU58*(1-MAX(0,CU59)*H_Exit))</f>
        <v>0</v>
      </c>
      <c r="GI59" s="20" t="n">
        <f aca="false">IF(H_Direct=1,IF(ALV58&lt;=0,0,IF(CV59&lt;=0,ALV58,ALV58-G59*MAX(0,CV59*ALV58-(JU59+NH59)))),ALV58*(1-MAX(0,CV59)*H_Exit))</f>
        <v>0</v>
      </c>
      <c r="GJ59" s="20" t="n">
        <f aca="false">IF(H_Direct=1,IF(ALW58&lt;=0,0,IF(CW59&lt;=0,ALW58,ALW58-G59*MAX(0,CW59*ALW58-(JV59+NI59)))),ALW58*(1-MAX(0,CW59)*H_Exit))</f>
        <v>0</v>
      </c>
      <c r="GK59" s="20" t="n">
        <f aca="false">IF(H_Direct=1,IF(ALX58&lt;=0,0,IF(CX59&lt;=0,ALX58,ALX58-G59*MAX(0,CX59*ALX58-(JW59+NJ59)))),ALX58*(1-MAX(0,CX59)*H_Exit))</f>
        <v>0</v>
      </c>
      <c r="GL59" s="20" t="n">
        <f aca="false">IF(H_Direct=1,IF(ALY58&lt;=0,0,IF(CY59&lt;=0,ALY58,ALY58-G59*MAX(0,CY59*ALY58-(JX59+NK59)))),ALY58*(1-MAX(0,CY59)*H_Exit))</f>
        <v>0</v>
      </c>
      <c r="GM59" s="20" t="n">
        <f aca="false">IF(H_Direct=1,IF(ALZ58&lt;=0,0,IF(CZ59&lt;=0,ALZ58,ALZ58-G59*MAX(0,CZ59*ALZ58-(JY59+NL59)))),ALZ58*(1-MAX(0,CZ59)*H_Exit))</f>
        <v>0</v>
      </c>
      <c r="GN59" s="20" t="n">
        <f aca="false">IF(H_Direct=1,IF(AMA58&lt;=0,0,IF(DA59&lt;=0,AMA58,AMA58-G59*MAX(0,DA59*AMA58-(JZ59+NM59)))),AMA58*(1-MAX(0,DA59)*H_Exit))</f>
        <v>0</v>
      </c>
      <c r="GO59" s="20" t="n">
        <f aca="false">IF(H_Direct=1,IF(AMB58&lt;=0,0,IF(DB59&lt;=0,AMB58,AMB58-G59*MAX(0,DB59*AMB58-(KA59+NN59)))),AMB58*(1-MAX(0,DB59)*H_Exit))</f>
        <v>0</v>
      </c>
      <c r="GP59" s="20" t="n">
        <f aca="false">IF(H_Direct=1,IF(AMC58&lt;=0,0,IF(DC59&lt;=0,AMC58,AMC58-G59*MAX(0,DC59*AMC58-(KB59+NO59)))),AMC58*(1-MAX(0,DC59)*H_Exit))</f>
        <v>0</v>
      </c>
      <c r="GQ59" s="20" t="n">
        <f aca="false">IF(H_Direct=1,IF(AMD58&lt;=0,0,IF(DD59&lt;=0,AMD58,AMD58-G59*MAX(0,DD59*AMD58-(KC59+NP59)))),AMD58*(1-MAX(0,DD59)*H_Exit))</f>
        <v>0</v>
      </c>
      <c r="GR59" s="20" t="n">
        <f aca="false">IF(H_Direct=1,IF(AME58&lt;=0,0,IF(DE59&lt;=0,AME58,AME58-G59*MAX(0,DE59*AME58-(KD59+NQ59)))),AME58*(1-MAX(0,DE59)*H_Exit))</f>
        <v>0</v>
      </c>
      <c r="GS59" s="20" t="n">
        <f aca="false">IF(H_Direct=1,IF(AMF58&lt;=0,0,IF(DF59&lt;=0,AMF58,AMF58-G59*MAX(0,DF59*AMF58-(KE59+NR59)))),AMF58*(1-MAX(0,DF59)*H_Exit))</f>
        <v>0</v>
      </c>
      <c r="GT59" s="20" t="n">
        <f aca="false">IF(H_Direct=1,IF(AMG58&lt;=0,0,IF(DG59&lt;=0,AMG58,AMG58-G59*MAX(0,DG59*AMG58-(KF59+NS59)))),AMG58*(1-MAX(0,DG59)*H_Exit))</f>
        <v>0</v>
      </c>
      <c r="GU59" s="20" t="n">
        <f aca="false">IF(H_Direct=1,IF(AMH58&lt;=0,0,IF(DH59&lt;=0,AMH58,AMH58-G59*MAX(0,DH59*AMH58-(KG59+NT59)))),AMH58*(1-MAX(0,DH59)*H_Exit))</f>
        <v>0</v>
      </c>
      <c r="GV59" s="20" t="n">
        <f aca="false">IF(H_Direct=1,IF(AMI58&lt;=0,0,IF(DI59&lt;=0,AMI58,AMI58-G59*MAX(0,DI59*AMI58-(KH59+NU59)))),AMI58*(1-MAX(0,DI59)*H_Exit))</f>
        <v>0</v>
      </c>
      <c r="GW59" s="20" t="n">
        <f aca="false">IF(H_Direct=1,IF(AMJ58&lt;=0,0,IF(DJ59&lt;=0,AMJ58,AMJ58-G59*MAX(0,DJ59*AMJ58-(KI59+NV59)))),AMJ58*(1-MAX(0,DJ59)*H_Exit))</f>
        <v>0</v>
      </c>
      <c r="GX59" s="20" t="n">
        <f aca="false">IF(H_Direct=1,IF(AMK58&lt;=0,0,IF(DK59&lt;=0,AMK58,AMK58-G59*MAX(0,DK59*AMK58-(KJ59+NW59)))),AMK58*(1-MAX(0,DK59)*H_Exit))</f>
        <v>0</v>
      </c>
      <c r="GY59" s="20" t="n">
        <f aca="false">IF(H_Direct=1,IF(AML58&lt;=0,0,IF(DL59&lt;=0,AML58,AML58-G59*MAX(0,DL59*AML58-(KK59+NX59)))),AML58*(1-MAX(0,DL59)*H_Exit))</f>
        <v>0</v>
      </c>
      <c r="GZ59" s="20" t="n">
        <f aca="false">IF(H_Direct=1,IF(AMM58&lt;=0,0,IF(DM59&lt;=0,AMM58,AMM58-G59*MAX(0,DM59*AMM58-(KL59+NY59)))),AMM58*(1-MAX(0,DM59)*H_Exit))</f>
        <v>0</v>
      </c>
      <c r="HA59" s="20" t="n">
        <f aca="false">IF(H_Direct=1,IF(AMN58&lt;=0,0,IF(DN59&lt;=0,AMN58,AMN58-G59*MAX(0,DN59*AMN58-(KM59+NZ59)))),AMN58*(1-MAX(0,DN59)*H_Exit))</f>
        <v>0</v>
      </c>
      <c r="HB59" s="20" t="n">
        <f aca="false">IF(H_Direct=1,IF(AMO58&lt;=0,0,IF(DO59&lt;=0,AMO58,AMO58-G59*MAX(0,DO59*AMO58-(KN59+OA59)))),AMO58*(1-MAX(0,DO59)*H_Exit))</f>
        <v>0</v>
      </c>
      <c r="HC59" s="20" t="n">
        <f aca="false">IF(H_Direct=1,IF(AMP58&lt;=0,0,IF(DP59&lt;=0,AMP58,AMP58-G59*MAX(0,DP59*AMP58-(KO59+OB59)))),AMP58*(1-MAX(0,DP59)*H_Exit))</f>
        <v>0</v>
      </c>
      <c r="HD59" s="20" t="n">
        <f aca="false">IF(H_Direct=1,IF(AMQ58&lt;=0,0,IF(DQ59&lt;=0,AMQ58,AMQ58-G59*MAX(0,DQ59*AMQ58-(KP59+OC59)))),AMQ58*(1-MAX(0,DQ59)*H_Exit))</f>
        <v>0</v>
      </c>
      <c r="HE59" s="20" t="n">
        <f aca="false">IF(H_Direct=1,IF((P59+S59)&lt;=0,0,IF(DR59&lt;=0,(P59+S59),(P59+S59)-G59*MAX(0,DR59*(P59+S59)-(KQ59+OD59)))),(P59+S59)*(1-MAX(0,DR59)*H_Exit))</f>
        <v>0</v>
      </c>
      <c r="HF59" s="20" t="n">
        <v>0</v>
      </c>
      <c r="HG59" s="20" t="n">
        <v>0</v>
      </c>
      <c r="HH59" s="20" t="n">
        <v>0</v>
      </c>
      <c r="HI59" s="20" t="n">
        <v>0</v>
      </c>
      <c r="HJ59" s="20" t="n">
        <v>0</v>
      </c>
      <c r="HK59" s="20" t="n">
        <v>0</v>
      </c>
      <c r="HL59" s="20" t="n">
        <v>0</v>
      </c>
      <c r="HM59" s="20" t="n">
        <v>0</v>
      </c>
      <c r="HN59" s="20" t="n">
        <v>0</v>
      </c>
      <c r="HO59" s="20" t="n">
        <v>0</v>
      </c>
      <c r="HP59" s="20" t="n">
        <v>0</v>
      </c>
      <c r="HQ59" s="20" t="n">
        <v>0</v>
      </c>
      <c r="HR59" s="20" t="n">
        <v>0</v>
      </c>
      <c r="HS59" s="20" t="n">
        <v>0</v>
      </c>
      <c r="HT59" s="20" t="n">
        <v>0</v>
      </c>
      <c r="HU59" s="20" t="n">
        <v>0</v>
      </c>
      <c r="HV59" s="20" t="n">
        <v>0</v>
      </c>
      <c r="HW59" s="20" t="n">
        <v>0</v>
      </c>
      <c r="HX59" s="20" t="n">
        <v>0</v>
      </c>
      <c r="HY59" s="20" t="n">
        <v>0</v>
      </c>
      <c r="HZ59" s="20" t="n">
        <v>0</v>
      </c>
      <c r="IA59" s="20" t="n">
        <v>0</v>
      </c>
      <c r="IB59" s="20" t="n">
        <v>0</v>
      </c>
      <c r="IC59" s="20" t="n">
        <v>0</v>
      </c>
      <c r="ID59" s="20" t="n">
        <v>0</v>
      </c>
      <c r="IE59" s="20" t="n">
        <v>0</v>
      </c>
      <c r="IF59" s="20" t="n">
        <v>0</v>
      </c>
      <c r="IG59" s="20" t="n">
        <v>0</v>
      </c>
      <c r="IH59" s="20" t="n">
        <v>0</v>
      </c>
      <c r="II59" s="20" t="n">
        <v>0</v>
      </c>
      <c r="IJ59" s="20" t="n">
        <v>0</v>
      </c>
      <c r="IK59" s="20" t="n">
        <v>0</v>
      </c>
      <c r="IL59" s="20" t="n">
        <v>0</v>
      </c>
      <c r="IM59" s="20" t="n">
        <v>0</v>
      </c>
      <c r="IN59" s="20" t="n">
        <v>0</v>
      </c>
      <c r="IO59" s="20" t="n">
        <v>0</v>
      </c>
      <c r="IP59" s="20" t="n">
        <v>0</v>
      </c>
      <c r="IQ59" s="20" t="n">
        <v>0</v>
      </c>
      <c r="IR59" s="20" t="n">
        <f aca="false">IF(AND(H_Direct=1,BR59&gt;0),MAX(0,H59-(MIN(BR59*AKR58,H59+I59)-MIN(MIN(BR59*AKR58,H59+I59),I59))),H59)</f>
        <v>1270</v>
      </c>
      <c r="IS59" s="20" t="n">
        <f aca="false">IF(AND(H_Direct=1,BS59&gt;0),MAX(0,IR59-(MIN(BS59*AKS58,IR59+ME59)-MIN(MIN(BS59*AKS58,IR59+ME59),ME59))),IR59)</f>
        <v>1270</v>
      </c>
      <c r="IT59" s="20" t="n">
        <f aca="false">IF(AND(H_Direct=1,BT59&gt;0),MAX(0,IS59-(MIN(BT59*AKT58,IS59+MF59)-MIN(MIN(BT59*AKT58,IS59+MF59),MF59))),IS59)</f>
        <v>1270</v>
      </c>
      <c r="IU59" s="20" t="n">
        <f aca="false">IF(AND(H_Direct=1,BU59&gt;0),MAX(0,IT59-(MIN(BU59*AKU58,IT59+MG59)-MIN(MIN(BU59*AKU58,IT59+MG59),MG59))),IT59)</f>
        <v>1270</v>
      </c>
      <c r="IV59" s="20" t="n">
        <f aca="false">IF(AND(H_Direct=1,BV59&gt;0),MAX(0,IU59-(MIN(BV59*AKV58,IU59+MH59)-MIN(MIN(BV59*AKV58,IU59+MH59),MH59))),IU59)</f>
        <v>1270</v>
      </c>
      <c r="IW59" s="20" t="n">
        <f aca="false">IF(AND(H_Direct=1,BW59&gt;0),MAX(0,IV59-(MIN(BW59*AKW58,IV59+MI59)-MIN(MIN(BW59*AKW58,IV59+MI59),MI59))),IV59)</f>
        <v>1270</v>
      </c>
      <c r="IX59" s="20" t="n">
        <f aca="false">IF(AND(H_Direct=1,BX59&gt;0),MAX(0,IW59-(MIN(BX59*AKX58,IW59+MJ59)-MIN(MIN(BX59*AKX58,IW59+MJ59),MJ59))),IW59)</f>
        <v>1270</v>
      </c>
      <c r="IY59" s="20" t="n">
        <f aca="false">IF(AND(H_Direct=1,BY59&gt;0),MAX(0,IX59-(MIN(BY59*AKY58,IX59+MK59)-MIN(MIN(BY59*AKY58,IX59+MK59),MK59))),IX59)</f>
        <v>1270</v>
      </c>
      <c r="IZ59" s="20" t="n">
        <f aca="false">IF(AND(H_Direct=1,BZ59&gt;0),MAX(0,IY59-(MIN(BZ59*AKZ58,IY59+ML59)-MIN(MIN(BZ59*AKZ58,IY59+ML59),ML59))),IY59)</f>
        <v>1270</v>
      </c>
      <c r="JA59" s="20" t="n">
        <f aca="false">IF(AND(H_Direct=1,CA59&gt;0),MAX(0,IZ59-(MIN(CA59*ALA58,IZ59+MM59)-MIN(MIN(CA59*ALA58,IZ59+MM59),MM59))),IZ59)</f>
        <v>1270</v>
      </c>
      <c r="JB59" s="20" t="n">
        <f aca="false">IF(AND(H_Direct=1,CB59&gt;0),MAX(0,JA59-(MIN(CB59*ALB58,JA59+MN59)-MIN(MIN(CB59*ALB58,JA59+MN59),MN59))),JA59)</f>
        <v>1270</v>
      </c>
      <c r="JC59" s="20" t="n">
        <f aca="false">IF(AND(H_Direct=1,CC59&gt;0),MAX(0,JB59-(MIN(CC59*ALC58,JB59+MO59)-MIN(MIN(CC59*ALC58,JB59+MO59),MO59))),JB59)</f>
        <v>1270</v>
      </c>
      <c r="JD59" s="20" t="n">
        <f aca="false">IF(AND(H_Direct=1,CD59&gt;0),MAX(0,JC59-(MIN(CD59*ALD58,JC59+MP59)-MIN(MIN(CD59*ALD58,JC59+MP59),MP59))),JC59)</f>
        <v>1270</v>
      </c>
      <c r="JE59" s="20" t="n">
        <f aca="false">IF(AND(H_Direct=1,CE59&gt;0),MAX(0,JD59-(MIN(CE59*ALE58,JD59+MQ59)-MIN(MIN(CE59*ALE58,JD59+MQ59),MQ59))),JD59)</f>
        <v>1270</v>
      </c>
      <c r="JF59" s="20" t="n">
        <f aca="false">IF(AND(H_Direct=1,CF59&gt;0),MAX(0,JE59-(MIN(CF59*ALF58,JE59+MR59)-MIN(MIN(CF59*ALF58,JE59+MR59),MR59))),JE59)</f>
        <v>1270</v>
      </c>
      <c r="JG59" s="20" t="n">
        <f aca="false">IF(AND(H_Direct=1,CG59&gt;0),MAX(0,JF59-(MIN(CG59*ALG58,JF59+MS59)-MIN(MIN(CG59*ALG58,JF59+MS59),MS59))),JF59)</f>
        <v>1270</v>
      </c>
      <c r="JH59" s="20" t="n">
        <f aca="false">IF(AND(H_Direct=1,CH59&gt;0),MAX(0,JG59-(MIN(CH59*ALH58,JG59+MT59)-MIN(MIN(CH59*ALH58,JG59+MT59),MT59))),JG59)</f>
        <v>1270</v>
      </c>
      <c r="JI59" s="20" t="n">
        <f aca="false">IF(AND(H_Direct=1,CI59&gt;0),MAX(0,JH59-(MIN(CI59*ALI58,JH59+MU59)-MIN(MIN(CI59*ALI58,JH59+MU59),MU59))),JH59)</f>
        <v>1270</v>
      </c>
      <c r="JJ59" s="20" t="n">
        <f aca="false">IF(AND(H_Direct=1,CJ59&gt;0),MAX(0,JI59-(MIN(CJ59*ALJ58,JI59+MV59)-MIN(MIN(CJ59*ALJ58,JI59+MV59),MV59))),JI59)</f>
        <v>1270</v>
      </c>
      <c r="JK59" s="20" t="n">
        <f aca="false">IF(AND(H_Direct=1,CK59&gt;0),MAX(0,JJ59-(MIN(CK59*ALK58,JJ59+MW59)-MIN(MIN(CK59*ALK58,JJ59+MW59),MW59))),JJ59)</f>
        <v>1270</v>
      </c>
      <c r="JL59" s="20" t="n">
        <f aca="false">IF(AND(H_Direct=1,CL59&gt;0),MAX(0,JK59-(MIN(CL59*ALL58,JK59+MX59)-MIN(MIN(CL59*ALL58,JK59+MX59),MX59))),JK59)</f>
        <v>1270</v>
      </c>
      <c r="JM59" s="20" t="n">
        <f aca="false">IF(AND(H_Direct=1,CM59&gt;0),MAX(0,JL59-(MIN(CM59*ALM58,JL59+MY59)-MIN(MIN(CM59*ALM58,JL59+MY59),MY59))),JL59)</f>
        <v>1270</v>
      </c>
      <c r="JN59" s="20" t="n">
        <f aca="false">IF(AND(H_Direct=1,CN59&gt;0),MAX(0,JM59-(MIN(CN59*ALN58,JM59+MZ59)-MIN(MIN(CN59*ALN58,JM59+MZ59),MZ59))),JM59)</f>
        <v>1270</v>
      </c>
      <c r="JO59" s="20" t="n">
        <f aca="false">IF(AND(H_Direct=1,CO59&gt;0),MAX(0,JN59-(MIN(CO59*ALO58,JN59+NA59)-MIN(MIN(CO59*ALO58,JN59+NA59),NA59))),JN59)</f>
        <v>1270</v>
      </c>
      <c r="JP59" s="20" t="n">
        <f aca="false">IF(AND(H_Direct=1,CP59&gt;0),MAX(0,JO59-(MIN(CP59*ALP58,JO59+NB59)-MIN(MIN(CP59*ALP58,JO59+NB59),NB59))),JO59)</f>
        <v>1270</v>
      </c>
      <c r="JQ59" s="20" t="n">
        <f aca="false">IF(AND(H_Direct=1,CQ59&gt;0),MAX(0,JP59-(MIN(CQ59*ALQ58,JP59+NC59)-MIN(MIN(CQ59*ALQ58,JP59+NC59),NC59))),JP59)</f>
        <v>1270</v>
      </c>
      <c r="JR59" s="20" t="n">
        <f aca="false">IF(AND(H_Direct=1,CR59&gt;0),MAX(0,JQ59-(MIN(CR59*ALR58,JQ59+ND59)-MIN(MIN(CR59*ALR58,JQ59+ND59),ND59))),JQ59)</f>
        <v>1270</v>
      </c>
      <c r="JS59" s="20" t="n">
        <f aca="false">IF(AND(H_Direct=1,CS59&gt;0),MAX(0,JR59-(MIN(CS59*ALS58,JR59+NE59)-MIN(MIN(CS59*ALS58,JR59+NE59),NE59))),JR59)</f>
        <v>1270</v>
      </c>
      <c r="JT59" s="20" t="n">
        <f aca="false">IF(AND(H_Direct=1,CT59&gt;0),MAX(0,JS59-(MIN(CT59*ALT58,JS59+NF59)-MIN(MIN(CT59*ALT58,JS59+NF59),NF59))),JS59)</f>
        <v>1270</v>
      </c>
      <c r="JU59" s="20" t="n">
        <f aca="false">IF(AND(H_Direct=1,CU59&gt;0),MAX(0,JT59-(MIN(CU59*ALU58,JT59+NG59)-MIN(MIN(CU59*ALU58,JT59+NG59),NG59))),JT59)</f>
        <v>1270</v>
      </c>
      <c r="JV59" s="20" t="n">
        <f aca="false">IF(AND(H_Direct=1,CV59&gt;0),MAX(0,JU59-(MIN(CV59*ALV58,JU59+NH59)-MIN(MIN(CV59*ALV58,JU59+NH59),NH59))),JU59)</f>
        <v>1270</v>
      </c>
      <c r="JW59" s="20" t="n">
        <f aca="false">IF(AND(H_Direct=1,CW59&gt;0),MAX(0,JV59-(MIN(CW59*ALW58,JV59+NI59)-MIN(MIN(CW59*ALW58,JV59+NI59),NI59))),JV59)</f>
        <v>1270</v>
      </c>
      <c r="JX59" s="20" t="n">
        <f aca="false">IF(AND(H_Direct=1,CX59&gt;0),MAX(0,JW59-(MIN(CX59*ALX58,JW59+NJ59)-MIN(MIN(CX59*ALX58,JW59+NJ59),NJ59))),JW59)</f>
        <v>1270</v>
      </c>
      <c r="JY59" s="20" t="n">
        <f aca="false">IF(AND(H_Direct=1,CY59&gt;0),MAX(0,JX59-(MIN(CY59*ALY58,JX59+NK59)-MIN(MIN(CY59*ALY58,JX59+NK59),NK59))),JX59)</f>
        <v>1270</v>
      </c>
      <c r="JZ59" s="20" t="n">
        <f aca="false">IF(AND(H_Direct=1,CZ59&gt;0),MAX(0,JY59-(MIN(CZ59*ALZ58,JY59+NL59)-MIN(MIN(CZ59*ALZ58,JY59+NL59),NL59))),JY59)</f>
        <v>1270</v>
      </c>
      <c r="KA59" s="20" t="n">
        <f aca="false">IF(AND(H_Direct=1,DA59&gt;0),MAX(0,JZ59-(MIN(DA59*AMA58,JZ59+NM59)-MIN(MIN(DA59*AMA58,JZ59+NM59),NM59))),JZ59)</f>
        <v>1270</v>
      </c>
      <c r="KB59" s="20" t="n">
        <f aca="false">IF(AND(H_Direct=1,DB59&gt;0),MAX(0,KA59-(MIN(DB59*AMB58,KA59+NN59)-MIN(MIN(DB59*AMB58,KA59+NN59),NN59))),KA59)</f>
        <v>1270</v>
      </c>
      <c r="KC59" s="20" t="n">
        <f aca="false">IF(AND(H_Direct=1,DC59&gt;0),MAX(0,KB59-(MIN(DC59*AMC58,KB59+NO59)-MIN(MIN(DC59*AMC58,KB59+NO59),NO59))),KB59)</f>
        <v>1270</v>
      </c>
      <c r="KD59" s="20" t="n">
        <f aca="false">IF(AND(H_Direct=1,DD59&gt;0),MAX(0,KC59-(MIN(DD59*AMD58,KC59+NP59)-MIN(MIN(DD59*AMD58,KC59+NP59),NP59))),KC59)</f>
        <v>1270</v>
      </c>
      <c r="KE59" s="20" t="n">
        <f aca="false">IF(AND(H_Direct=1,DE59&gt;0),MAX(0,KD59-(MIN(DE59*AME58,KD59+NQ59)-MIN(MIN(DE59*AME58,KD59+NQ59),NQ59))),KD59)</f>
        <v>1270</v>
      </c>
      <c r="KF59" s="20" t="n">
        <f aca="false">IF(AND(H_Direct=1,DF59&gt;0),MAX(0,KE59-(MIN(DF59*AMF58,KE59+NR59)-MIN(MIN(DF59*AMF58,KE59+NR59),NR59))),KE59)</f>
        <v>1270</v>
      </c>
      <c r="KG59" s="20" t="n">
        <f aca="false">IF(AND(H_Direct=1,DG59&gt;0),MAX(0,KF59-(MIN(DG59*AMG58,KF59+NS59)-MIN(MIN(DG59*AMG58,KF59+NS59),NS59))),KF59)</f>
        <v>1270</v>
      </c>
      <c r="KH59" s="20" t="n">
        <f aca="false">IF(AND(H_Direct=1,DH59&gt;0),MAX(0,KG59-(MIN(DH59*AMH58,KG59+NT59)-MIN(MIN(DH59*AMH58,KG59+NT59),NT59))),KG59)</f>
        <v>1270</v>
      </c>
      <c r="KI59" s="20" t="n">
        <f aca="false">IF(AND(H_Direct=1,DI59&gt;0),MAX(0,KH59-(MIN(DI59*AMI58,KH59+NU59)-MIN(MIN(DI59*AMI58,KH59+NU59),NU59))),KH59)</f>
        <v>1270</v>
      </c>
      <c r="KJ59" s="20" t="n">
        <f aca="false">IF(AND(H_Direct=1,DJ59&gt;0),MAX(0,KI59-(MIN(DJ59*AMJ58,KI59+NV59)-MIN(MIN(DJ59*AMJ58,KI59+NV59),NV59))),KI59)</f>
        <v>1270</v>
      </c>
      <c r="KK59" s="20" t="n">
        <f aca="false">IF(AND(H_Direct=1,DK59&gt;0),MAX(0,KJ59-(MIN(DK59*AMK58,KJ59+NW59)-MIN(MIN(DK59*AMK58,KJ59+NW59),NW59))),KJ59)</f>
        <v>1270</v>
      </c>
      <c r="KL59" s="20" t="n">
        <f aca="false">IF(AND(H_Direct=1,DL59&gt;0),MAX(0,KK59-(MIN(DL59*AML58,KK59+NX59)-MIN(MIN(DL59*AML58,KK59+NX59),NX59))),KK59)</f>
        <v>1270</v>
      </c>
      <c r="KM59" s="20" t="n">
        <f aca="false">IF(AND(H_Direct=1,DM59&gt;0),MAX(0,KL59-(MIN(DM59*AMM58,KL59+NY59)-MIN(MIN(DM59*AMM58,KL59+NY59),NY59))),KL59)</f>
        <v>1270</v>
      </c>
      <c r="KN59" s="20" t="n">
        <f aca="false">IF(AND(H_Direct=1,DN59&gt;0),MAX(0,KM59-(MIN(DN59*AMN58,KM59+NZ59)-MIN(MIN(DN59*AMN58,KM59+NZ59),NZ59))),KM59)</f>
        <v>1270</v>
      </c>
      <c r="KO59" s="20" t="n">
        <f aca="false">IF(AND(H_Direct=1,DO59&gt;0),MAX(0,KN59-(MIN(DO59*AMO58,KN59+OA59)-MIN(MIN(DO59*AMO58,KN59+OA59),OA59))),KN59)</f>
        <v>1270</v>
      </c>
      <c r="KP59" s="20" t="n">
        <f aca="false">IF(AND(H_Direct=1,DP59&gt;0),MAX(0,KO59-(MIN(DP59*AMP58,KO59+OB59)-MIN(MIN(DP59*AMP58,KO59+OB59),OB59))),KO59)</f>
        <v>1270</v>
      </c>
      <c r="KQ59" s="20" t="n">
        <f aca="false">IF(AND(H_Direct=1,DQ59&gt;0),MAX(0,KP59-(MIN(DQ59*AMQ58,KP59+OC59)-MIN(MIN(DQ59*AMQ58,KP59+OC59),OC59))),KP59)</f>
        <v>1270</v>
      </c>
      <c r="KR59" s="20" t="n">
        <f aca="false">IF(AND(H_Direct=1,DR59&gt;0),MAX(0,KQ59-(MIN(DR59*(P59+S59),KQ59+OD59)-MIN(MIN(DR59*(P59+S59),KQ59+OD59),OD59))),KQ59)</f>
        <v>1270</v>
      </c>
      <c r="KS59" s="20" t="n">
        <f aca="false">KR59</f>
        <v>1270</v>
      </c>
      <c r="KT59" s="20" t="n">
        <f aca="false">KS59</f>
        <v>1270</v>
      </c>
      <c r="KU59" s="20" t="n">
        <f aca="false">KT59</f>
        <v>1270</v>
      </c>
      <c r="KV59" s="20" t="n">
        <f aca="false">KU59</f>
        <v>1270</v>
      </c>
      <c r="KW59" s="20" t="n">
        <f aca="false">KV59</f>
        <v>1270</v>
      </c>
      <c r="KX59" s="20" t="n">
        <f aca="false">KW59</f>
        <v>1270</v>
      </c>
      <c r="KY59" s="20" t="n">
        <f aca="false">KX59</f>
        <v>1270</v>
      </c>
      <c r="KZ59" s="20" t="n">
        <f aca="false">KY59</f>
        <v>1270</v>
      </c>
      <c r="LA59" s="20" t="n">
        <f aca="false">KZ59</f>
        <v>1270</v>
      </c>
      <c r="LB59" s="20" t="n">
        <f aca="false">LA59</f>
        <v>1270</v>
      </c>
      <c r="LC59" s="20" t="n">
        <f aca="false">LB59</f>
        <v>1270</v>
      </c>
      <c r="LD59" s="20" t="n">
        <f aca="false">LC59</f>
        <v>1270</v>
      </c>
      <c r="LE59" s="20" t="n">
        <f aca="false">LD59</f>
        <v>1270</v>
      </c>
      <c r="LF59" s="20" t="n">
        <f aca="false">LE59</f>
        <v>1270</v>
      </c>
      <c r="LG59" s="20" t="n">
        <f aca="false">LF59</f>
        <v>1270</v>
      </c>
      <c r="LH59" s="20" t="n">
        <f aca="false">LG59</f>
        <v>1270</v>
      </c>
      <c r="LI59" s="20" t="n">
        <f aca="false">LH59</f>
        <v>1270</v>
      </c>
      <c r="LJ59" s="20" t="n">
        <f aca="false">LI59</f>
        <v>1270</v>
      </c>
      <c r="LK59" s="20" t="n">
        <f aca="false">LJ59</f>
        <v>1270</v>
      </c>
      <c r="LL59" s="20" t="n">
        <f aca="false">LK59</f>
        <v>1270</v>
      </c>
      <c r="LM59" s="20" t="n">
        <f aca="false">LL59</f>
        <v>1270</v>
      </c>
      <c r="LN59" s="20" t="n">
        <f aca="false">LM59</f>
        <v>1270</v>
      </c>
      <c r="LO59" s="20" t="n">
        <f aca="false">LN59</f>
        <v>1270</v>
      </c>
      <c r="LP59" s="20" t="n">
        <f aca="false">LO59</f>
        <v>1270</v>
      </c>
      <c r="LQ59" s="20" t="n">
        <f aca="false">LP59</f>
        <v>1270</v>
      </c>
      <c r="LR59" s="20" t="n">
        <f aca="false">LQ59</f>
        <v>1270</v>
      </c>
      <c r="LS59" s="20" t="n">
        <f aca="false">LR59</f>
        <v>1270</v>
      </c>
      <c r="LT59" s="20" t="n">
        <f aca="false">LS59</f>
        <v>1270</v>
      </c>
      <c r="LU59" s="20" t="n">
        <f aca="false">LT59</f>
        <v>1270</v>
      </c>
      <c r="LV59" s="20" t="n">
        <f aca="false">LU59</f>
        <v>1270</v>
      </c>
      <c r="LW59" s="20" t="n">
        <f aca="false">LV59</f>
        <v>1270</v>
      </c>
      <c r="LX59" s="20" t="n">
        <f aca="false">LW59</f>
        <v>1270</v>
      </c>
      <c r="LY59" s="20" t="n">
        <f aca="false">LX59</f>
        <v>1270</v>
      </c>
      <c r="LZ59" s="20" t="n">
        <f aca="false">LY59</f>
        <v>1270</v>
      </c>
      <c r="MA59" s="20" t="n">
        <f aca="false">LZ59</f>
        <v>1270</v>
      </c>
      <c r="MB59" s="20" t="n">
        <f aca="false">MA59</f>
        <v>1270</v>
      </c>
      <c r="MC59" s="20" t="n">
        <f aca="false">MB59</f>
        <v>1270</v>
      </c>
      <c r="MD59" s="20" t="n">
        <f aca="false">MC59</f>
        <v>1270</v>
      </c>
      <c r="ME59" s="20" t="n">
        <f aca="false">IF(H_Direct=1,IF(BR59&lt;=0,I59-BR59*AKR58,I59-MIN(MIN(BR59*AKR58,H59+I59),I59)),I59)</f>
        <v>0</v>
      </c>
      <c r="MF59" s="20" t="n">
        <f aca="false">IF(H_Direct=1,IF(BS59&lt;=0,ME59-BS59*AKS58,ME59-MIN(MIN(BS59*AKS58,IR59+ME59),ME59)),ME59)</f>
        <v>0</v>
      </c>
      <c r="MG59" s="20" t="n">
        <f aca="false">IF(H_Direct=1,IF(BT59&lt;=0,MF59-BT59*AKT58,MF59-MIN(MIN(BT59*AKT58,IS59+MF59),MF59)),MF59)</f>
        <v>0</v>
      </c>
      <c r="MH59" s="20" t="n">
        <f aca="false">IF(H_Direct=1,IF(BU59&lt;=0,MG59-BU59*AKU58,MG59-MIN(MIN(BU59*AKU58,IT59+MG59),MG59)),MG59)</f>
        <v>0</v>
      </c>
      <c r="MI59" s="20" t="n">
        <f aca="false">IF(H_Direct=1,IF(BV59&lt;=0,MH59-BV59*AKV58,MH59-MIN(MIN(BV59*AKV58,IU59+MH59),MH59)),MH59)</f>
        <v>0</v>
      </c>
      <c r="MJ59" s="20" t="n">
        <f aca="false">IF(H_Direct=1,IF(BW59&lt;=0,MI59-BW59*AKW58,MI59-MIN(MIN(BW59*AKW58,IV59+MI59),MI59)),MI59)</f>
        <v>0</v>
      </c>
      <c r="MK59" s="20" t="n">
        <f aca="false">IF(H_Direct=1,IF(BX59&lt;=0,MJ59-BX59*AKX58,MJ59-MIN(MIN(BX59*AKX58,IW59+MJ59),MJ59)),MJ59)</f>
        <v>0</v>
      </c>
      <c r="ML59" s="20" t="n">
        <f aca="false">IF(H_Direct=1,IF(BY59&lt;=0,MK59-BY59*AKY58,MK59-MIN(MIN(BY59*AKY58,IX59+MK59),MK59)),MK59)</f>
        <v>0</v>
      </c>
      <c r="MM59" s="20" t="n">
        <f aca="false">IF(H_Direct=1,IF(BZ59&lt;=0,ML59-BZ59*AKZ58,ML59-MIN(MIN(BZ59*AKZ58,IY59+ML59),ML59)),ML59)</f>
        <v>0</v>
      </c>
      <c r="MN59" s="20" t="n">
        <f aca="false">IF(H_Direct=1,IF(CA59&lt;=0,MM59-CA59*ALA58,MM59-MIN(MIN(CA59*ALA58,IZ59+MM59),MM59)),MM59)</f>
        <v>0</v>
      </c>
      <c r="MO59" s="20" t="n">
        <f aca="false">IF(H_Direct=1,IF(CB59&lt;=0,MN59-CB59*ALB58,MN59-MIN(MIN(CB59*ALB58,JA59+MN59),MN59)),MN59)</f>
        <v>0</v>
      </c>
      <c r="MP59" s="20" t="n">
        <f aca="false">IF(H_Direct=1,IF(CC59&lt;=0,MO59-CC59*ALC58,MO59-MIN(MIN(CC59*ALC58,JB59+MO59),MO59)),MO59)</f>
        <v>0</v>
      </c>
      <c r="MQ59" s="20" t="n">
        <f aca="false">IF(H_Direct=1,IF(CD59&lt;=0,MP59-CD59*ALD58,MP59-MIN(MIN(CD59*ALD58,JC59+MP59),MP59)),MP59)</f>
        <v>0</v>
      </c>
      <c r="MR59" s="20" t="n">
        <f aca="false">IF(H_Direct=1,IF(CE59&lt;=0,MQ59-CE59*ALE58,MQ59-MIN(MIN(CE59*ALE58,JD59+MQ59),MQ59)),MQ59)</f>
        <v>0</v>
      </c>
      <c r="MS59" s="20" t="n">
        <f aca="false">IF(H_Direct=1,IF(CF59&lt;=0,MR59-CF59*ALF58,MR59-MIN(MIN(CF59*ALF58,JE59+MR59),MR59)),MR59)</f>
        <v>0</v>
      </c>
      <c r="MT59" s="20" t="n">
        <f aca="false">IF(H_Direct=1,IF(CG59&lt;=0,MS59-CG59*ALG58,MS59-MIN(MIN(CG59*ALG58,JF59+MS59),MS59)),MS59)</f>
        <v>0</v>
      </c>
      <c r="MU59" s="20" t="n">
        <f aca="false">IF(H_Direct=1,IF(CH59&lt;=0,MT59-CH59*ALH58,MT59-MIN(MIN(CH59*ALH58,JG59+MT59),MT59)),MT59)</f>
        <v>0</v>
      </c>
      <c r="MV59" s="20" t="n">
        <f aca="false">IF(H_Direct=1,IF(CI59&lt;=0,MU59-CI59*ALI58,MU59-MIN(MIN(CI59*ALI58,JH59+MU59),MU59)),MU59)</f>
        <v>0</v>
      </c>
      <c r="MW59" s="20" t="n">
        <f aca="false">IF(H_Direct=1,IF(CJ59&lt;=0,MV59-CJ59*ALJ58,MV59-MIN(MIN(CJ59*ALJ58,JI59+MV59),MV59)),MV59)</f>
        <v>0</v>
      </c>
      <c r="MX59" s="20" t="n">
        <f aca="false">IF(H_Direct=1,IF(CK59&lt;=0,MW59-CK59*ALK58,MW59-MIN(MIN(CK59*ALK58,JJ59+MW59),MW59)),MW59)</f>
        <v>0</v>
      </c>
      <c r="MY59" s="20" t="n">
        <f aca="false">IF(H_Direct=1,IF(CL59&lt;=0,MX59-CL59*ALL58,MX59-MIN(MIN(CL59*ALL58,JK59+MX59),MX59)),MX59)</f>
        <v>0</v>
      </c>
      <c r="MZ59" s="20" t="n">
        <f aca="false">IF(H_Direct=1,IF(CM59&lt;=0,MY59-CM59*ALM58,MY59-MIN(MIN(CM59*ALM58,JL59+MY59),MY59)),MY59)</f>
        <v>0</v>
      </c>
      <c r="NA59" s="20" t="n">
        <f aca="false">IF(H_Direct=1,IF(CN59&lt;=0,MZ59-CN59*ALN58,MZ59-MIN(MIN(CN59*ALN58,JM59+MZ59),MZ59)),MZ59)</f>
        <v>0</v>
      </c>
      <c r="NB59" s="20" t="n">
        <f aca="false">IF(H_Direct=1,IF(CO59&lt;=0,NA59-CO59*ALO58,NA59-MIN(MIN(CO59*ALO58,JN59+NA59),NA59)),NA59)</f>
        <v>0</v>
      </c>
      <c r="NC59" s="20" t="n">
        <f aca="false">IF(H_Direct=1,IF(CP59&lt;=0,NB59-CP59*ALP58,NB59-MIN(MIN(CP59*ALP58,JO59+NB59),NB59)),NB59)</f>
        <v>0</v>
      </c>
      <c r="ND59" s="20" t="n">
        <f aca="false">IF(H_Direct=1,IF(CQ59&lt;=0,NC59-CQ59*ALQ58,NC59-MIN(MIN(CQ59*ALQ58,JP59+NC59),NC59)),NC59)</f>
        <v>0</v>
      </c>
      <c r="NE59" s="20" t="n">
        <f aca="false">IF(H_Direct=1,IF(CR59&lt;=0,ND59-CR59*ALR58,ND59-MIN(MIN(CR59*ALR58,JQ59+ND59),ND59)),ND59)</f>
        <v>0</v>
      </c>
      <c r="NF59" s="20" t="n">
        <f aca="false">IF(H_Direct=1,IF(CS59&lt;=0,NE59-CS59*ALS58,NE59-MIN(MIN(CS59*ALS58,JR59+NE59),NE59)),NE59)</f>
        <v>0</v>
      </c>
      <c r="NG59" s="20" t="n">
        <f aca="false">IF(H_Direct=1,IF(CT59&lt;=0,NF59-CT59*ALT58,NF59-MIN(MIN(CT59*ALT58,JS59+NF59),NF59)),NF59)</f>
        <v>0</v>
      </c>
      <c r="NH59" s="20" t="n">
        <f aca="false">IF(H_Direct=1,IF(CU59&lt;=0,NG59-CU59*ALU58,NG59-MIN(MIN(CU59*ALU58,JT59+NG59),NG59)),NG59)</f>
        <v>0</v>
      </c>
      <c r="NI59" s="20" t="n">
        <f aca="false">IF(H_Direct=1,IF(CV59&lt;=0,NH59-CV59*ALV58,NH59-MIN(MIN(CV59*ALV58,JU59+NH59),NH59)),NH59)</f>
        <v>0</v>
      </c>
      <c r="NJ59" s="20" t="n">
        <f aca="false">IF(H_Direct=1,IF(CW59&lt;=0,NI59-CW59*ALW58,NI59-MIN(MIN(CW59*ALW58,JV59+NI59),NI59)),NI59)</f>
        <v>0</v>
      </c>
      <c r="NK59" s="20" t="n">
        <f aca="false">IF(H_Direct=1,IF(CX59&lt;=0,NJ59-CX59*ALX58,NJ59-MIN(MIN(CX59*ALX58,JW59+NJ59),NJ59)),NJ59)</f>
        <v>0</v>
      </c>
      <c r="NL59" s="20" t="n">
        <f aca="false">IF(H_Direct=1,IF(CY59&lt;=0,NK59-CY59*ALY58,NK59-MIN(MIN(CY59*ALY58,JX59+NK59),NK59)),NK59)</f>
        <v>0</v>
      </c>
      <c r="NM59" s="20" t="n">
        <f aca="false">IF(H_Direct=1,IF(CZ59&lt;=0,NL59-CZ59*ALZ58,NL59-MIN(MIN(CZ59*ALZ58,JY59+NL59),NL59)),NL59)</f>
        <v>0</v>
      </c>
      <c r="NN59" s="20" t="n">
        <f aca="false">IF(H_Direct=1,IF(DA59&lt;=0,NM59-DA59*AMA58,NM59-MIN(MIN(DA59*AMA58,JZ59+NM59),NM59)),NM59)</f>
        <v>0</v>
      </c>
      <c r="NO59" s="20" t="n">
        <f aca="false">IF(H_Direct=1,IF(DB59&lt;=0,NN59-DB59*AMB58,NN59-MIN(MIN(DB59*AMB58,KA59+NN59),NN59)),NN59)</f>
        <v>0</v>
      </c>
      <c r="NP59" s="20" t="n">
        <f aca="false">IF(H_Direct=1,IF(DC59&lt;=0,NO59-DC59*AMC58,NO59-MIN(MIN(DC59*AMC58,KB59+NO59),NO59)),NO59)</f>
        <v>0</v>
      </c>
      <c r="NQ59" s="20" t="n">
        <f aca="false">IF(H_Direct=1,IF(DD59&lt;=0,NP59-DD59*AMD58,NP59-MIN(MIN(DD59*AMD58,KC59+NP59),NP59)),NP59)</f>
        <v>0</v>
      </c>
      <c r="NR59" s="20" t="n">
        <f aca="false">IF(H_Direct=1,IF(DE59&lt;=0,NQ59-DE59*AME58,NQ59-MIN(MIN(DE59*AME58,KD59+NQ59),NQ59)),NQ59)</f>
        <v>0</v>
      </c>
      <c r="NS59" s="20" t="n">
        <f aca="false">IF(H_Direct=1,IF(DF59&lt;=0,NR59-DF59*AMF58,NR59-MIN(MIN(DF59*AMF58,KE59+NR59),NR59)),NR59)</f>
        <v>0</v>
      </c>
      <c r="NT59" s="20" t="n">
        <f aca="false">IF(H_Direct=1,IF(DG59&lt;=0,NS59-DG59*AMG58,NS59-MIN(MIN(DG59*AMG58,KF59+NS59),NS59)),NS59)</f>
        <v>0</v>
      </c>
      <c r="NU59" s="20" t="n">
        <f aca="false">IF(H_Direct=1,IF(DH59&lt;=0,NT59-DH59*AMH58,NT59-MIN(MIN(DH59*AMH58,KG59+NT59),NT59)),NT59)</f>
        <v>0</v>
      </c>
      <c r="NV59" s="20" t="n">
        <f aca="false">IF(H_Direct=1,IF(DI59&lt;=0,NU59-DI59*AMI58,NU59-MIN(MIN(DI59*AMI58,KH59+NU59),NU59)),NU59)</f>
        <v>0</v>
      </c>
      <c r="NW59" s="20" t="n">
        <f aca="false">IF(H_Direct=1,IF(DJ59&lt;=0,NV59-DJ59*AMJ58,NV59-MIN(MIN(DJ59*AMJ58,KI59+NV59),NV59)),NV59)</f>
        <v>0</v>
      </c>
      <c r="NX59" s="20" t="n">
        <f aca="false">IF(H_Direct=1,IF(DK59&lt;=0,NW59-DK59*AMK58,NW59-MIN(MIN(DK59*AMK58,KJ59+NW59),NW59)),NW59)</f>
        <v>0</v>
      </c>
      <c r="NY59" s="20" t="n">
        <f aca="false">IF(H_Direct=1,IF(DL59&lt;=0,NX59-DL59*AML58,NX59-MIN(MIN(DL59*AML58,KK59+NX59),NX59)),NX59)</f>
        <v>0</v>
      </c>
      <c r="NZ59" s="20" t="n">
        <f aca="false">IF(H_Direct=1,IF(DM59&lt;=0,NY59-DM59*AMM58,NY59-MIN(MIN(DM59*AMM58,KL59+NY59),NY59)),NY59)</f>
        <v>0</v>
      </c>
      <c r="OA59" s="20" t="n">
        <f aca="false">IF(H_Direct=1,IF(DN59&lt;=0,NZ59-DN59*AMN58,NZ59-MIN(MIN(DN59*AMN58,KM59+NZ59),NZ59)),NZ59)</f>
        <v>0</v>
      </c>
      <c r="OB59" s="20" t="n">
        <f aca="false">IF(H_Direct=1,IF(DO59&lt;=0,OA59-DO59*AMO58,OA59-MIN(MIN(DO59*AMO58,KN59+OA59),OA59)),OA59)</f>
        <v>0</v>
      </c>
      <c r="OC59" s="20" t="n">
        <f aca="false">IF(H_Direct=1,IF(DP59&lt;=0,OB59-DP59*AMP58,OB59-MIN(MIN(DP59*AMP58,KO59+OB59),OB59)),OB59)</f>
        <v>0</v>
      </c>
      <c r="OD59" s="20" t="n">
        <f aca="false">IF(H_Direct=1,IF(DQ59&lt;=0,OC59-DQ59*AMQ58,OC59-MIN(MIN(DQ59*AMQ58,KP59+OC59),OC59)),OC59)</f>
        <v>0</v>
      </c>
      <c r="OE59" s="20" t="n">
        <f aca="false">IF(H_Direct=1,IF(DR59&lt;=0,OD59-DR59*(P59+S59),OD59-MIN(MIN(DR59*(P59+S59),KQ59+OD59),OD59)),OD59)</f>
        <v>0</v>
      </c>
      <c r="OF59" s="20" t="n">
        <f aca="false">OE59</f>
        <v>0</v>
      </c>
      <c r="OG59" s="20" t="n">
        <f aca="false">OF59</f>
        <v>0</v>
      </c>
      <c r="OH59" s="20" t="n">
        <f aca="false">OG59</f>
        <v>0</v>
      </c>
      <c r="OI59" s="20" t="n">
        <f aca="false">OH59</f>
        <v>0</v>
      </c>
      <c r="OJ59" s="20" t="n">
        <f aca="false">OI59</f>
        <v>0</v>
      </c>
      <c r="OK59" s="20" t="n">
        <f aca="false">OJ59</f>
        <v>0</v>
      </c>
      <c r="OL59" s="20" t="n">
        <f aca="false">OK59</f>
        <v>0</v>
      </c>
      <c r="OM59" s="20" t="n">
        <f aca="false">OL59</f>
        <v>0</v>
      </c>
      <c r="ON59" s="20" t="n">
        <f aca="false">OM59</f>
        <v>0</v>
      </c>
      <c r="OO59" s="20" t="n">
        <f aca="false">ON59</f>
        <v>0</v>
      </c>
      <c r="OP59" s="20" t="n">
        <f aca="false">OO59</f>
        <v>0</v>
      </c>
      <c r="OQ59" s="20" t="n">
        <f aca="false">OP59</f>
        <v>0</v>
      </c>
      <c r="OR59" s="20" t="n">
        <f aca="false">OQ59</f>
        <v>0</v>
      </c>
      <c r="OS59" s="20" t="n">
        <f aca="false">OR59</f>
        <v>0</v>
      </c>
      <c r="OT59" s="20" t="n">
        <f aca="false">OS59</f>
        <v>0</v>
      </c>
      <c r="OU59" s="20" t="n">
        <f aca="false">OT59</f>
        <v>0</v>
      </c>
      <c r="OV59" s="20" t="n">
        <f aca="false">OU59</f>
        <v>0</v>
      </c>
      <c r="OW59" s="20" t="n">
        <f aca="false">OV59</f>
        <v>0</v>
      </c>
      <c r="OX59" s="20" t="n">
        <f aca="false">OW59</f>
        <v>0</v>
      </c>
      <c r="OY59" s="20" t="n">
        <f aca="false">OX59</f>
        <v>0</v>
      </c>
      <c r="OZ59" s="20" t="n">
        <f aca="false">OY59</f>
        <v>0</v>
      </c>
      <c r="PA59" s="20" t="n">
        <f aca="false">OZ59</f>
        <v>0</v>
      </c>
      <c r="PB59" s="20" t="n">
        <f aca="false">PA59</f>
        <v>0</v>
      </c>
      <c r="PC59" s="20" t="n">
        <f aca="false">PB59</f>
        <v>0</v>
      </c>
      <c r="PD59" s="20" t="n">
        <f aca="false">PC59</f>
        <v>0</v>
      </c>
      <c r="PE59" s="20" t="n">
        <f aca="false">PD59</f>
        <v>0</v>
      </c>
      <c r="PF59" s="20" t="n">
        <f aca="false">PE59</f>
        <v>0</v>
      </c>
      <c r="PG59" s="20" t="n">
        <f aca="false">PF59</f>
        <v>0</v>
      </c>
      <c r="PH59" s="20" t="n">
        <f aca="false">PG59</f>
        <v>0</v>
      </c>
      <c r="PI59" s="20" t="n">
        <f aca="false">PH59</f>
        <v>0</v>
      </c>
      <c r="PJ59" s="20" t="n">
        <f aca="false">PI59</f>
        <v>0</v>
      </c>
      <c r="PK59" s="20" t="n">
        <f aca="false">PJ59</f>
        <v>0</v>
      </c>
      <c r="PL59" s="20" t="n">
        <f aca="false">PK59</f>
        <v>0</v>
      </c>
      <c r="PM59" s="20" t="n">
        <f aca="false">PL59</f>
        <v>0</v>
      </c>
      <c r="PN59" s="20" t="n">
        <f aca="false">PM59</f>
        <v>0</v>
      </c>
      <c r="PO59" s="20" t="n">
        <f aca="false">PN59</f>
        <v>0</v>
      </c>
      <c r="PP59" s="20" t="n">
        <f aca="false">PO59</f>
        <v>0</v>
      </c>
      <c r="PQ59" s="20" t="n">
        <f aca="false">PP59</f>
        <v>0</v>
      </c>
      <c r="PR59" s="20" t="n">
        <f aca="false">IF(H_Direct=1,IF(AKR58&lt;=0,0,IF(BR59&lt;=0,MIN(MAX(0,AB59),AKR58),MIN(MAX(0,AB59),AKR58-G59*MAX(0,BR59*AKR58-(H59+I59))))),MIN(FE59,MAX(0,AB59)))</f>
        <v>0</v>
      </c>
      <c r="PS59" s="20" t="n">
        <f aca="false">IF(H_Direct=1,IF(AKS58&lt;=0,0,IF(BS59&lt;=0,MIN(MAX(0,AB59-SUM(PR59:PR59)),AKS58),MIN(MAX(0,AB59-SUM(PR59:PR59)),AKS58-G59*MAX(0,BS59*AKS58-(WR59+AAE59))))),MIN(FF59,MAX(0,AB59-SUM(PR59:PR59))))</f>
        <v>0</v>
      </c>
      <c r="PT59" s="20" t="n">
        <f aca="false">IF(H_Direct=1,IF(AKT58&lt;=0,0,IF(BT59&lt;=0,MIN(MAX(0,AB59-SUM(PR59:PS59)),AKT58),MIN(MAX(0,AB59-SUM(PR59:PS59)),AKT58-G59*MAX(0,BT59*AKT58-(WS59+AAF59))))),MIN(FG59,MAX(0,AB59-SUM(PR59:PS59))))</f>
        <v>0</v>
      </c>
      <c r="PU59" s="20" t="n">
        <f aca="false">IF(H_Direct=1,IF(AKU58&lt;=0,0,IF(BU59&lt;=0,MIN(MAX(0,AB59-SUM(PR59:PT59)),AKU58),MIN(MAX(0,AB59-SUM(PR59:PT59)),AKU58-G59*MAX(0,BU59*AKU58-(WT59+AAG59))))),MIN(FH59,MAX(0,AB59-SUM(PR59:PT59))))</f>
        <v>0</v>
      </c>
      <c r="PV59" s="20" t="n">
        <f aca="false">IF(H_Direct=1,IF(AKV58&lt;=0,0,IF(BV59&lt;=0,MIN(MAX(0,AB59-SUM(PR59:PU59)),AKV58),MIN(MAX(0,AB59-SUM(PR59:PU59)),AKV58-G59*MAX(0,BV59*AKV58-(WU59+AAH59))))),MIN(FI59,MAX(0,AB59-SUM(PR59:PU59))))</f>
        <v>0</v>
      </c>
      <c r="PW59" s="20" t="n">
        <f aca="false">IF(H_Direct=1,IF(AKW58&lt;=0,0,IF(BW59&lt;=0,MIN(MAX(0,AB59-SUM(PR59:PV59)),AKW58),MIN(MAX(0,AB59-SUM(PR59:PV59)),AKW58-G59*MAX(0,BW59*AKW58-(WV59+AAI59))))),MIN(FJ59,MAX(0,AB59-SUM(PR59:PV59))))</f>
        <v>0</v>
      </c>
      <c r="PX59" s="20" t="n">
        <f aca="false">IF(H_Direct=1,IF(AKX58&lt;=0,0,IF(BX59&lt;=0,MIN(MAX(0,AB59-SUM(PR59:PW59)),AKX58),MIN(MAX(0,AB59-SUM(PR59:PW59)),AKX58-G59*MAX(0,BX59*AKX58-(WW59+AAJ59))))),MIN(FK59,MAX(0,AB59-SUM(PR59:PW59))))</f>
        <v>0</v>
      </c>
      <c r="PY59" s="20" t="n">
        <f aca="false">IF(H_Direct=1,IF(AKY58&lt;=0,0,IF(BY59&lt;=0,MIN(MAX(0,AB59-SUM(PR59:PX59)),AKY58),MIN(MAX(0,AB59-SUM(PR59:PX59)),AKY58-G59*MAX(0,BY59*AKY58-(WX59+AAK59))))),MIN(FL59,MAX(0,AB59-SUM(PR59:PX59))))</f>
        <v>0</v>
      </c>
      <c r="PZ59" s="20" t="n">
        <f aca="false">IF(H_Direct=1,IF(AKZ58&lt;=0,0,IF(BZ59&lt;=0,MIN(MAX(0,AB59-SUM(PR59:PY59)),AKZ58),MIN(MAX(0,AB59-SUM(PR59:PY59)),AKZ58-G59*MAX(0,BZ59*AKZ58-(WY59+AAL59))))),MIN(FM59,MAX(0,AB59-SUM(PR59:PY59))))</f>
        <v>0</v>
      </c>
      <c r="QA59" s="20" t="n">
        <f aca="false">IF(H_Direct=1,IF(ALA58&lt;=0,0,IF(CA59&lt;=0,MIN(MAX(0,AB59-SUM(PR59:PZ59)),ALA58),MIN(MAX(0,AB59-SUM(PR59:PZ59)),ALA58-G59*MAX(0,CA59*ALA58-(WZ59+AAM59))))),MIN(FN59,MAX(0,AB59-SUM(PR59:PZ59))))</f>
        <v>0</v>
      </c>
      <c r="QB59" s="20" t="n">
        <f aca="false">IF(H_Direct=1,IF(ALB58&lt;=0,0,IF(CB59&lt;=0,MIN(MAX(0,AB59-SUM(PR59:QA59)),ALB58),MIN(MAX(0,AB59-SUM(PR59:QA59)),ALB58-G59*MAX(0,CB59*ALB58-(XA59+AAN59))))),MIN(FO59,MAX(0,AB59-SUM(PR59:QA59))))</f>
        <v>0</v>
      </c>
      <c r="QC59" s="20" t="n">
        <f aca="false">IF(H_Direct=1,IF(ALC58&lt;=0,0,IF(CC59&lt;=0,MIN(MAX(0,AB59-SUM(PR59:QB59)),ALC58),MIN(MAX(0,AB59-SUM(PR59:QB59)),ALC58-G59*MAX(0,CC59*ALC58-(XB59+AAO59))))),MIN(FP59,MAX(0,AB59-SUM(PR59:QB59))))</f>
        <v>0</v>
      </c>
      <c r="QD59" s="20" t="n">
        <f aca="false">IF(H_Direct=1,IF(ALD58&lt;=0,0,IF(CD59&lt;=0,MIN(MAX(0,AB59-SUM(PR59:QC59)),ALD58),MIN(MAX(0,AB59-SUM(PR59:QC59)),ALD58-G59*MAX(0,CD59*ALD58-(XC59+AAP59))))),MIN(FQ59,MAX(0,AB59-SUM(PR59:QC59))))</f>
        <v>0</v>
      </c>
      <c r="QE59" s="20" t="n">
        <f aca="false">IF(H_Direct=1,IF(ALE58&lt;=0,0,IF(CE59&lt;=0,MIN(MAX(0,AB59-SUM(PR59:QD59)),ALE58),MIN(MAX(0,AB59-SUM(PR59:QD59)),ALE58-G59*MAX(0,CE59*ALE58-(XD59+AAQ59))))),MIN(FR59,MAX(0,AB59-SUM(PR59:QD59))))</f>
        <v>0</v>
      </c>
      <c r="QF59" s="20" t="n">
        <f aca="false">IF(H_Direct=1,IF(ALF58&lt;=0,0,IF(CF59&lt;=0,MIN(MAX(0,AB59-SUM(PR59:QE59)),ALF58),MIN(MAX(0,AB59-SUM(PR59:QE59)),ALF58-G59*MAX(0,CF59*ALF58-(XE59+AAR59))))),MIN(FS59,MAX(0,AB59-SUM(PR59:QE59))))</f>
        <v>0</v>
      </c>
      <c r="QG59" s="20" t="n">
        <f aca="false">IF(H_Direct=1,IF(ALG58&lt;=0,0,IF(CG59&lt;=0,MIN(MAX(0,AB59-SUM(PR59:QF59)),ALG58),MIN(MAX(0,AB59-SUM(PR59:QF59)),ALG58-G59*MAX(0,CG59*ALG58-(XF59+AAS59))))),MIN(FT59,MAX(0,AB59-SUM(PR59:QF59))))</f>
        <v>0</v>
      </c>
      <c r="QH59" s="20" t="n">
        <f aca="false">IF(H_Direct=1,IF(ALH58&lt;=0,0,IF(CH59&lt;=0,MIN(MAX(0,AB59-SUM(PR59:QG59)),ALH58),MIN(MAX(0,AB59-SUM(PR59:QG59)),ALH58-G59*MAX(0,CH59*ALH58-(XG59+AAT59))))),MIN(FU59,MAX(0,AB59-SUM(PR59:QG59))))</f>
        <v>0</v>
      </c>
      <c r="QI59" s="20" t="n">
        <f aca="false">IF(H_Direct=1,IF(ALI58&lt;=0,0,IF(CI59&lt;=0,MIN(MAX(0,AB59-SUM(PR59:QH59)),ALI58),MIN(MAX(0,AB59-SUM(PR59:QH59)),ALI58-G59*MAX(0,CI59*ALI58-(XH59+AAU59))))),MIN(FV59,MAX(0,AB59-SUM(PR59:QH59))))</f>
        <v>0</v>
      </c>
      <c r="QJ59" s="20" t="n">
        <f aca="false">IF(H_Direct=1,IF(ALJ58&lt;=0,0,IF(CJ59&lt;=0,MIN(MAX(0,AB59-SUM(PR59:QI59)),ALJ58),MIN(MAX(0,AB59-SUM(PR59:QI59)),ALJ58-G59*MAX(0,CJ59*ALJ58-(XI59+AAV59))))),MIN(FW59,MAX(0,AB59-SUM(PR59:QI59))))</f>
        <v>0</v>
      </c>
      <c r="QK59" s="20" t="n">
        <f aca="false">IF(H_Direct=1,IF(ALK58&lt;=0,0,IF(CK59&lt;=0,MIN(MAX(0,AB59-SUM(PR59:QJ59)),ALK58),MIN(MAX(0,AB59-SUM(PR59:QJ59)),ALK58-G59*MAX(0,CK59*ALK58-(XJ59+AAW59))))),MIN(FX59,MAX(0,AB59-SUM(PR59:QJ59))))</f>
        <v>0</v>
      </c>
      <c r="QL59" s="20" t="n">
        <f aca="false">IF(H_Direct=1,IF(ALL58&lt;=0,0,IF(CL59&lt;=0,MIN(MAX(0,AB59-SUM(PR59:QK59)),ALL58),MIN(MAX(0,AB59-SUM(PR59:QK59)),ALL58-G59*MAX(0,CL59*ALL58-(XK59+AAX59))))),MIN(FY59,MAX(0,AB59-SUM(PR59:QK59))))</f>
        <v>0</v>
      </c>
      <c r="QM59" s="20" t="n">
        <f aca="false">IF(H_Direct=1,IF(ALM58&lt;=0,0,IF(CM59&lt;=0,MIN(MAX(0,AB59-SUM(PR59:QL59)),ALM58),MIN(MAX(0,AB59-SUM(PR59:QL59)),ALM58-G59*MAX(0,CM59*ALM58-(XL59+AAY59))))),MIN(FZ59,MAX(0,AB59-SUM(PR59:QL59))))</f>
        <v>0</v>
      </c>
      <c r="QN59" s="20" t="n">
        <f aca="false">IF(H_Direct=1,IF(ALN58&lt;=0,0,IF(CN59&lt;=0,MIN(MAX(0,AB59-SUM(PR59:QM59)),ALN58),MIN(MAX(0,AB59-SUM(PR59:QM59)),ALN58-G59*MAX(0,CN59*ALN58-(XM59+AAZ59))))),MIN(GA59,MAX(0,AB59-SUM(PR59:QM59))))</f>
        <v>0</v>
      </c>
      <c r="QO59" s="20" t="n">
        <f aca="false">IF(H_Direct=1,IF(ALO58&lt;=0,0,IF(CO59&lt;=0,MIN(MAX(0,AB59-SUM(PR59:QN59)),ALO58),MIN(MAX(0,AB59-SUM(PR59:QN59)),ALO58-G59*MAX(0,CO59*ALO58-(XN59+ABA59))))),MIN(GB59,MAX(0,AB59-SUM(PR59:QN59))))</f>
        <v>0</v>
      </c>
      <c r="QP59" s="20" t="n">
        <f aca="false">IF(H_Direct=1,IF(ALP58&lt;=0,0,IF(CP59&lt;=0,MIN(MAX(0,AB59-SUM(PR59:QO59)),ALP58),MIN(MAX(0,AB59-SUM(PR59:QO59)),ALP58-G59*MAX(0,CP59*ALP58-(XO59+ABB59))))),MIN(GC59,MAX(0,AB59-SUM(PR59:QO59))))</f>
        <v>0</v>
      </c>
      <c r="QQ59" s="20" t="n">
        <f aca="false">IF(H_Direct=1,IF(ALQ58&lt;=0,0,IF(CQ59&lt;=0,MIN(MAX(0,AB59-SUM(PR59:QP59)),ALQ58),MIN(MAX(0,AB59-SUM(PR59:QP59)),ALQ58-G59*MAX(0,CQ59*ALQ58-(XP59+ABC59))))),MIN(GD59,MAX(0,AB59-SUM(PR59:QP59))))</f>
        <v>0</v>
      </c>
      <c r="QR59" s="20" t="n">
        <f aca="false">IF(H_Direct=1,IF(ALR58&lt;=0,0,IF(CR59&lt;=0,MIN(MAX(0,AB59-SUM(PR59:QQ59)),ALR58),MIN(MAX(0,AB59-SUM(PR59:QQ59)),ALR58-G59*MAX(0,CR59*ALR58-(XQ59+ABD59))))),MIN(GE59,MAX(0,AB59-SUM(PR59:QQ59))))</f>
        <v>0</v>
      </c>
      <c r="QS59" s="20" t="n">
        <f aca="false">IF(H_Direct=1,IF(ALS58&lt;=0,0,IF(CS59&lt;=0,MIN(MAX(0,AB59-SUM(PR59:QR59)),ALS58),MIN(MAX(0,AB59-SUM(PR59:QR59)),ALS58-G59*MAX(0,CS59*ALS58-(XR59+ABE59))))),MIN(GF59,MAX(0,AB59-SUM(PR59:QR59))))</f>
        <v>0</v>
      </c>
      <c r="QT59" s="20" t="n">
        <f aca="false">IF(H_Direct=1,IF(ALT58&lt;=0,0,IF(CT59&lt;=0,MIN(MAX(0,AB59-SUM(PR59:QS59)),ALT58),MIN(MAX(0,AB59-SUM(PR59:QS59)),ALT58-G59*MAX(0,CT59*ALT58-(XS59+ABF59))))),MIN(GG59,MAX(0,AB59-SUM(PR59:QS59))))</f>
        <v>0</v>
      </c>
      <c r="QU59" s="20" t="n">
        <f aca="false">IF(H_Direct=1,IF(ALU58&lt;=0,0,IF(CU59&lt;=0,MIN(MAX(0,AB59-SUM(PR59:QT59)),ALU58),MIN(MAX(0,AB59-SUM(PR59:QT59)),ALU58-G59*MAX(0,CU59*ALU58-(XT59+ABG59))))),MIN(GH59,MAX(0,AB59-SUM(PR59:QT59))))</f>
        <v>0</v>
      </c>
      <c r="QV59" s="20" t="n">
        <f aca="false">IF(H_Direct=1,IF(ALV58&lt;=0,0,IF(CV59&lt;=0,MIN(MAX(0,AB59-SUM(PR59:QU59)),ALV58),MIN(MAX(0,AB59-SUM(PR59:QU59)),ALV58-G59*MAX(0,CV59*ALV58-(XU59+ABH59))))),MIN(GI59,MAX(0,AB59-SUM(PR59:QU59))))</f>
        <v>0</v>
      </c>
      <c r="QW59" s="20" t="n">
        <f aca="false">IF(H_Direct=1,IF(ALW58&lt;=0,0,IF(CW59&lt;=0,MIN(MAX(0,AB59-SUM(PR59:QV59)),ALW58),MIN(MAX(0,AB59-SUM(PR59:QV59)),ALW58-G59*MAX(0,CW59*ALW58-(XV59+ABI59))))),MIN(GJ59,MAX(0,AB59-SUM(PR59:QV59))))</f>
        <v>0</v>
      </c>
      <c r="QX59" s="20" t="n">
        <f aca="false">IF(H_Direct=1,IF(ALX58&lt;=0,0,IF(CX59&lt;=0,MIN(MAX(0,AB59-SUM(PR59:QW59)),ALX58),MIN(MAX(0,AB59-SUM(PR59:QW59)),ALX58-G59*MAX(0,CX59*ALX58-(XW59+ABJ59))))),MIN(GK59,MAX(0,AB59-SUM(PR59:QW59))))</f>
        <v>0</v>
      </c>
      <c r="QY59" s="20" t="n">
        <f aca="false">IF(H_Direct=1,IF(ALY58&lt;=0,0,IF(CY59&lt;=0,MIN(MAX(0,AB59-SUM(PR59:QX59)),ALY58),MIN(MAX(0,AB59-SUM(PR59:QX59)),ALY58-G59*MAX(0,CY59*ALY58-(XX59+ABK59))))),MIN(GL59,MAX(0,AB59-SUM(PR59:QX59))))</f>
        <v>0</v>
      </c>
      <c r="QZ59" s="20" t="n">
        <f aca="false">IF(H_Direct=1,IF(ALZ58&lt;=0,0,IF(CZ59&lt;=0,MIN(MAX(0,AB59-SUM(PR59:QY59)),ALZ58),MIN(MAX(0,AB59-SUM(PR59:QY59)),ALZ58-G59*MAX(0,CZ59*ALZ58-(XY59+ABL59))))),MIN(GM59,MAX(0,AB59-SUM(PR59:QY59))))</f>
        <v>0</v>
      </c>
      <c r="RA59" s="20" t="n">
        <f aca="false">IF(H_Direct=1,IF(AMA58&lt;=0,0,IF(DA59&lt;=0,MIN(MAX(0,AB59-SUM(PR59:QZ59)),AMA58),MIN(MAX(0,AB59-SUM(PR59:QZ59)),AMA58-G59*MAX(0,DA59*AMA58-(XZ59+ABM59))))),MIN(GN59,MAX(0,AB59-SUM(PR59:QZ59))))</f>
        <v>0</v>
      </c>
      <c r="RB59" s="20" t="n">
        <f aca="false">IF(H_Direct=1,IF(AMB58&lt;=0,0,IF(DB59&lt;=0,MIN(MAX(0,AB59-SUM(PR59:RA59)),AMB58),MIN(MAX(0,AB59-SUM(PR59:RA59)),AMB58-G59*MAX(0,DB59*AMB58-(YA59+ABN59))))),MIN(GO59,MAX(0,AB59-SUM(PR59:RA59))))</f>
        <v>0</v>
      </c>
      <c r="RC59" s="20" t="n">
        <f aca="false">IF(H_Direct=1,IF(AMC58&lt;=0,0,IF(DC59&lt;=0,MIN(MAX(0,AB59-SUM(PR59:RB59)),AMC58),MIN(MAX(0,AB59-SUM(PR59:RB59)),AMC58-G59*MAX(0,DC59*AMC58-(YB59+ABO59))))),MIN(GP59,MAX(0,AB59-SUM(PR59:RB59))))</f>
        <v>0</v>
      </c>
      <c r="RD59" s="20" t="n">
        <f aca="false">IF(H_Direct=1,IF(AMD58&lt;=0,0,IF(DD59&lt;=0,MIN(MAX(0,AB59-SUM(PR59:RC59)),AMD58),MIN(MAX(0,AB59-SUM(PR59:RC59)),AMD58-G59*MAX(0,DD59*AMD58-(YC59+ABP59))))),MIN(GQ59,MAX(0,AB59-SUM(PR59:RC59))))</f>
        <v>0</v>
      </c>
      <c r="RE59" s="20" t="n">
        <f aca="false">IF(H_Direct=1,IF(AME58&lt;=0,0,IF(DE59&lt;=0,MIN(MAX(0,AB59-SUM(PR59:RD59)),AME58),MIN(MAX(0,AB59-SUM(PR59:RD59)),AME58-G59*MAX(0,DE59*AME58-(YD59+ABQ59))))),MIN(GR59,MAX(0,AB59-SUM(PR59:RD59))))</f>
        <v>0</v>
      </c>
      <c r="RF59" s="20" t="n">
        <f aca="false">IF(H_Direct=1,IF(AMF58&lt;=0,0,IF(DF59&lt;=0,MIN(MAX(0,AB59-SUM(PR59:RE59)),AMF58),MIN(MAX(0,AB59-SUM(PR59:RE59)),AMF58-G59*MAX(0,DF59*AMF58-(YE59+ABR59))))),MIN(GS59,MAX(0,AB59-SUM(PR59:RE59))))</f>
        <v>0</v>
      </c>
      <c r="RG59" s="20" t="n">
        <f aca="false">IF(H_Direct=1,IF(AMG58&lt;=0,0,IF(DG59&lt;=0,MIN(MAX(0,AB59-SUM(PR59:RF59)),AMG58),MIN(MAX(0,AB59-SUM(PR59:RF59)),AMG58-G59*MAX(0,DG59*AMG58-(YF59+ABS59))))),MIN(GT59,MAX(0,AB59-SUM(PR59:RF59))))</f>
        <v>0</v>
      </c>
      <c r="RH59" s="20" t="n">
        <f aca="false">IF(H_Direct=1,IF(AMH58&lt;=0,0,IF(DH59&lt;=0,MIN(MAX(0,AB59-SUM(PR59:RG59)),AMH58),MIN(MAX(0,AB59-SUM(PR59:RG59)),AMH58-G59*MAX(0,DH59*AMH58-(YG59+ABT59))))),MIN(GU59,MAX(0,AB59-SUM(PR59:RG59))))</f>
        <v>0</v>
      </c>
      <c r="RI59" s="20" t="n">
        <f aca="false">IF(H_Direct=1,IF(AMI58&lt;=0,0,IF(DI59&lt;=0,MIN(MAX(0,AB59-SUM(PR59:RH59)),AMI58),MIN(MAX(0,AB59-SUM(PR59:RH59)),AMI58-G59*MAX(0,DI59*AMI58-(YH59+ABU59))))),MIN(GV59,MAX(0,AB59-SUM(PR59:RH59))))</f>
        <v>0</v>
      </c>
      <c r="RJ59" s="20" t="n">
        <f aca="false">IF(H_Direct=1,IF(AMJ58&lt;=0,0,IF(DJ59&lt;=0,MIN(MAX(0,AB59-SUM(PR59:RI59)),AMJ58),MIN(MAX(0,AB59-SUM(PR59:RI59)),AMJ58-G59*MAX(0,DJ59*AMJ58-(YI59+ABV59))))),MIN(GW59,MAX(0,AB59-SUM(PR59:RI59))))</f>
        <v>0</v>
      </c>
      <c r="RK59" s="20" t="n">
        <f aca="false">IF(H_Direct=1,IF(AMK58&lt;=0,0,IF(DK59&lt;=0,MIN(MAX(0,AB59-SUM(PR59:RJ59)),AMK58),MIN(MAX(0,AB59-SUM(PR59:RJ59)),AMK58-G59*MAX(0,DK59*AMK58-(YJ59+ABW59))))),MIN(GX59,MAX(0,AB59-SUM(PR59:RJ59))))</f>
        <v>0</v>
      </c>
      <c r="RL59" s="20" t="n">
        <f aca="false">IF(H_Direct=1,IF(AML58&lt;=0,0,IF(DL59&lt;=0,MIN(MAX(0,AB59-SUM(PR59:RK59)),AML58),MIN(MAX(0,AB59-SUM(PR59:RK59)),AML58-G59*MAX(0,DL59*AML58-(YK59+ABX59))))),MIN(GY59,MAX(0,AB59-SUM(PR59:RK59))))</f>
        <v>0</v>
      </c>
      <c r="RM59" s="20" t="n">
        <f aca="false">IF(H_Direct=1,IF(AMM58&lt;=0,0,IF(DM59&lt;=0,MIN(MAX(0,AB59-SUM(PR59:RL59)),AMM58),MIN(MAX(0,AB59-SUM(PR59:RL59)),AMM58-G59*MAX(0,DM59*AMM58-(YL59+ABY59))))),MIN(GZ59,MAX(0,AB59-SUM(PR59:RL59))))</f>
        <v>0</v>
      </c>
      <c r="RN59" s="20" t="n">
        <f aca="false">IF(H_Direct=1,IF(AMN58&lt;=0,0,IF(DN59&lt;=0,MIN(MAX(0,AB59-SUM(PR59:RM59)),AMN58),MIN(MAX(0,AB59-SUM(PR59:RM59)),AMN58-G59*MAX(0,DN59*AMN58-(YM59+ABZ59))))),MIN(HA59,MAX(0,AB59-SUM(PR59:RM59))))</f>
        <v>0</v>
      </c>
      <c r="RO59" s="20" t="n">
        <f aca="false">IF(H_Direct=1,IF(AMO58&lt;=0,0,IF(DO59&lt;=0,MIN(MAX(0,AB59-SUM(PR59:RN59)),AMO58),MIN(MAX(0,AB59-SUM(PR59:RN59)),AMO58-G59*MAX(0,DO59*AMO58-(YN59+ACA59))))),MIN(HB59,MAX(0,AB59-SUM(PR59:RN59))))</f>
        <v>0</v>
      </c>
      <c r="RP59" s="20" t="n">
        <f aca="false">IF(H_Direct=1,IF(AMP58&lt;=0,0,IF(DP59&lt;=0,MIN(MAX(0,AB59-SUM(PR59:RO59)),AMP58),MIN(MAX(0,AB59-SUM(PR59:RO59)),AMP58-G59*MAX(0,DP59*AMP58-(YO59+ACB59))))),MIN(HC59,MAX(0,AB59-SUM(PR59:RO59))))</f>
        <v>0</v>
      </c>
      <c r="RQ59" s="20" t="n">
        <f aca="false">IF(H_Direct=1,IF(AMQ58&lt;=0,0,IF(DQ59&lt;=0,MIN(MAX(0,AB59-SUM(PR59:RP59)),AMQ58),MIN(MAX(0,AB59-SUM(PR59:RP59)),AMQ58-G59*MAX(0,DQ59*AMQ58-(YP59+ACC59))))),MIN(HD59,MAX(0,AB59-SUM(PR59:RP59))))</f>
        <v>0</v>
      </c>
      <c r="RR59" s="20" t="n">
        <f aca="false">IF(H_Direct=1,IF((P59+S59)&lt;=0,0,IF(DR59&lt;=0,MIN(MAX(0,AB59-SUM(PR59:RQ59)),(P59+S59)),MIN(MAX(0,AB59-SUM(PR59:RQ59)),(P59+S59)-G59*MAX(0,DR59*(P59+S59)-(YQ59+ACD59))))),MIN(HE59,MAX(0,AB59-SUM(PR59:RQ59))))</f>
        <v>0</v>
      </c>
      <c r="RS59" s="20" t="n">
        <v>0</v>
      </c>
      <c r="RT59" s="20" t="n">
        <v>0</v>
      </c>
      <c r="RU59" s="20" t="n">
        <v>0</v>
      </c>
      <c r="RV59" s="20" t="n">
        <v>0</v>
      </c>
      <c r="RW59" s="20" t="n">
        <v>0</v>
      </c>
      <c r="RX59" s="20" t="n">
        <v>0</v>
      </c>
      <c r="RY59" s="20" t="n">
        <v>0</v>
      </c>
      <c r="RZ59" s="20" t="n">
        <v>0</v>
      </c>
      <c r="SA59" s="20" t="n">
        <v>0</v>
      </c>
      <c r="SB59" s="20" t="n">
        <v>0</v>
      </c>
      <c r="SC59" s="20" t="n">
        <v>0</v>
      </c>
      <c r="SD59" s="20" t="n">
        <v>0</v>
      </c>
      <c r="SE59" s="20" t="n">
        <v>0</v>
      </c>
      <c r="SF59" s="20" t="n">
        <v>0</v>
      </c>
      <c r="SG59" s="20" t="n">
        <v>0</v>
      </c>
      <c r="SH59" s="20" t="n">
        <v>0</v>
      </c>
      <c r="SI59" s="20" t="n">
        <v>0</v>
      </c>
      <c r="SJ59" s="20" t="n">
        <v>0</v>
      </c>
      <c r="SK59" s="20" t="n">
        <v>0</v>
      </c>
      <c r="SL59" s="20" t="n">
        <v>0</v>
      </c>
      <c r="SM59" s="20" t="n">
        <v>0</v>
      </c>
      <c r="SN59" s="20" t="n">
        <v>0</v>
      </c>
      <c r="SO59" s="20" t="n">
        <v>0</v>
      </c>
      <c r="SP59" s="20" t="n">
        <v>0</v>
      </c>
      <c r="SQ59" s="20" t="n">
        <v>0</v>
      </c>
      <c r="SR59" s="20" t="n">
        <v>0</v>
      </c>
      <c r="SS59" s="20" t="n">
        <v>0</v>
      </c>
      <c r="ST59" s="20" t="n">
        <v>0</v>
      </c>
      <c r="SU59" s="20" t="n">
        <v>0</v>
      </c>
      <c r="SV59" s="20" t="n">
        <v>0</v>
      </c>
      <c r="SW59" s="20" t="n">
        <v>0</v>
      </c>
      <c r="SX59" s="20" t="n">
        <v>0</v>
      </c>
      <c r="SY59" s="20" t="n">
        <v>0</v>
      </c>
      <c r="SZ59" s="20" t="n">
        <v>0</v>
      </c>
      <c r="TA59" s="20" t="n">
        <v>0</v>
      </c>
      <c r="TB59" s="20" t="n">
        <v>0</v>
      </c>
      <c r="TC59" s="20" t="n">
        <v>0</v>
      </c>
      <c r="TD59" s="20" t="n">
        <v>0</v>
      </c>
      <c r="TE59" s="20" t="n">
        <f aca="false">IF(AKR58&lt;=0,0,IF(H_Direct=1,IF(BR59&lt;=0,PR59,IF(PR59&lt;=(H59+I59)/BR59,PR59,(PR59-G59*(H59+I59))/(1-G59*BR59))),PR59/(1-MAX(0,BR59)*H_Exit)))</f>
        <v>0</v>
      </c>
      <c r="TF59" s="20" t="n">
        <f aca="false">IF(AKS58&lt;=0,0,IF(H_Direct=1,IF(BS59&lt;=0,PS59,IF(PS59&lt;=(WR59+AAE59)/BS59,PS59,(PS59-G59*(WR59+AAE59))/(1-G59*BS59))),PS59/(1-MAX(0,BS59)*H_Exit)))</f>
        <v>0</v>
      </c>
      <c r="TG59" s="20" t="n">
        <f aca="false">IF(AKT58&lt;=0,0,IF(H_Direct=1,IF(BT59&lt;=0,PT59,IF(PT59&lt;=(WS59+AAF59)/BT59,PT59,(PT59-G59*(WS59+AAF59))/(1-G59*BT59))),PT59/(1-MAX(0,BT59)*H_Exit)))</f>
        <v>0</v>
      </c>
      <c r="TH59" s="20" t="n">
        <f aca="false">IF(AKU58&lt;=0,0,IF(H_Direct=1,IF(BU59&lt;=0,PU59,IF(PU59&lt;=(WT59+AAG59)/BU59,PU59,(PU59-G59*(WT59+AAG59))/(1-G59*BU59))),PU59/(1-MAX(0,BU59)*H_Exit)))</f>
        <v>0</v>
      </c>
      <c r="TI59" s="20" t="n">
        <f aca="false">IF(AKV58&lt;=0,0,IF(H_Direct=1,IF(BV59&lt;=0,PV59,IF(PV59&lt;=(WU59+AAH59)/BV59,PV59,(PV59-G59*(WU59+AAH59))/(1-G59*BV59))),PV59/(1-MAX(0,BV59)*H_Exit)))</f>
        <v>0</v>
      </c>
      <c r="TJ59" s="20" t="n">
        <f aca="false">IF(AKW58&lt;=0,0,IF(H_Direct=1,IF(BW59&lt;=0,PW59,IF(PW59&lt;=(WV59+AAI59)/BW59,PW59,(PW59-G59*(WV59+AAI59))/(1-G59*BW59))),PW59/(1-MAX(0,BW59)*H_Exit)))</f>
        <v>0</v>
      </c>
      <c r="TK59" s="20" t="n">
        <f aca="false">IF(AKX58&lt;=0,0,IF(H_Direct=1,IF(BX59&lt;=0,PX59,IF(PX59&lt;=(WW59+AAJ59)/BX59,PX59,(PX59-G59*(WW59+AAJ59))/(1-G59*BX59))),PX59/(1-MAX(0,BX59)*H_Exit)))</f>
        <v>0</v>
      </c>
      <c r="TL59" s="20" t="n">
        <f aca="false">IF(AKY58&lt;=0,0,IF(H_Direct=1,IF(BY59&lt;=0,PY59,IF(PY59&lt;=(WX59+AAK59)/BY59,PY59,(PY59-G59*(WX59+AAK59))/(1-G59*BY59))),PY59/(1-MAX(0,BY59)*H_Exit)))</f>
        <v>0</v>
      </c>
      <c r="TM59" s="20" t="n">
        <f aca="false">IF(AKZ58&lt;=0,0,IF(H_Direct=1,IF(BZ59&lt;=0,PZ59,IF(PZ59&lt;=(WY59+AAL59)/BZ59,PZ59,(PZ59-G59*(WY59+AAL59))/(1-G59*BZ59))),PZ59/(1-MAX(0,BZ59)*H_Exit)))</f>
        <v>0</v>
      </c>
      <c r="TN59" s="20" t="n">
        <f aca="false">IF(ALA58&lt;=0,0,IF(H_Direct=1,IF(CA59&lt;=0,QA59,IF(QA59&lt;=(WZ59+AAM59)/CA59,QA59,(QA59-G59*(WZ59+AAM59))/(1-G59*CA59))),QA59/(1-MAX(0,CA59)*H_Exit)))</f>
        <v>0</v>
      </c>
      <c r="TO59" s="20" t="n">
        <f aca="false">IF(ALB58&lt;=0,0,IF(H_Direct=1,IF(CB59&lt;=0,QB59,IF(QB59&lt;=(XA59+AAN59)/CB59,QB59,(QB59-G59*(XA59+AAN59))/(1-G59*CB59))),QB59/(1-MAX(0,CB59)*H_Exit)))</f>
        <v>0</v>
      </c>
      <c r="TP59" s="20" t="n">
        <f aca="false">IF(ALC58&lt;=0,0,IF(H_Direct=1,IF(CC59&lt;=0,QC59,IF(QC59&lt;=(XB59+AAO59)/CC59,QC59,(QC59-G59*(XB59+AAO59))/(1-G59*CC59))),QC59/(1-MAX(0,CC59)*H_Exit)))</f>
        <v>0</v>
      </c>
      <c r="TQ59" s="20" t="n">
        <f aca="false">IF(ALD58&lt;=0,0,IF(H_Direct=1,IF(CD59&lt;=0,QD59,IF(QD59&lt;=(XC59+AAP59)/CD59,QD59,(QD59-G59*(XC59+AAP59))/(1-G59*CD59))),QD59/(1-MAX(0,CD59)*H_Exit)))</f>
        <v>0</v>
      </c>
      <c r="TR59" s="20" t="n">
        <f aca="false">IF(ALE58&lt;=0,0,IF(H_Direct=1,IF(CE59&lt;=0,QE59,IF(QE59&lt;=(XD59+AAQ59)/CE59,QE59,(QE59-G59*(XD59+AAQ59))/(1-G59*CE59))),QE59/(1-MAX(0,CE59)*H_Exit)))</f>
        <v>0</v>
      </c>
      <c r="TS59" s="20" t="n">
        <f aca="false">IF(ALF58&lt;=0,0,IF(H_Direct=1,IF(CF59&lt;=0,QF59,IF(QF59&lt;=(XE59+AAR59)/CF59,QF59,(QF59-G59*(XE59+AAR59))/(1-G59*CF59))),QF59/(1-MAX(0,CF59)*H_Exit)))</f>
        <v>0</v>
      </c>
      <c r="TT59" s="20" t="n">
        <f aca="false">IF(ALG58&lt;=0,0,IF(H_Direct=1,IF(CG59&lt;=0,QG59,IF(QG59&lt;=(XF59+AAS59)/CG59,QG59,(QG59-G59*(XF59+AAS59))/(1-G59*CG59))),QG59/(1-MAX(0,CG59)*H_Exit)))</f>
        <v>0</v>
      </c>
      <c r="TU59" s="20" t="n">
        <f aca="false">IF(ALH58&lt;=0,0,IF(H_Direct=1,IF(CH59&lt;=0,QH59,IF(QH59&lt;=(XG59+AAT59)/CH59,QH59,(QH59-G59*(XG59+AAT59))/(1-G59*CH59))),QH59/(1-MAX(0,CH59)*H_Exit)))</f>
        <v>0</v>
      </c>
      <c r="TV59" s="20" t="n">
        <f aca="false">IF(ALI58&lt;=0,0,IF(H_Direct=1,IF(CI59&lt;=0,QI59,IF(QI59&lt;=(XH59+AAU59)/CI59,QI59,(QI59-G59*(XH59+AAU59))/(1-G59*CI59))),QI59/(1-MAX(0,CI59)*H_Exit)))</f>
        <v>0</v>
      </c>
      <c r="TW59" s="20" t="n">
        <f aca="false">IF(ALJ58&lt;=0,0,IF(H_Direct=1,IF(CJ59&lt;=0,QJ59,IF(QJ59&lt;=(XI59+AAV59)/CJ59,QJ59,(QJ59-G59*(XI59+AAV59))/(1-G59*CJ59))),QJ59/(1-MAX(0,CJ59)*H_Exit)))</f>
        <v>0</v>
      </c>
      <c r="TX59" s="20" t="n">
        <f aca="false">IF(ALK58&lt;=0,0,IF(H_Direct=1,IF(CK59&lt;=0,QK59,IF(QK59&lt;=(XJ59+AAW59)/CK59,QK59,(QK59-G59*(XJ59+AAW59))/(1-G59*CK59))),QK59/(1-MAX(0,CK59)*H_Exit)))</f>
        <v>0</v>
      </c>
      <c r="TY59" s="20" t="n">
        <f aca="false">IF(ALL58&lt;=0,0,IF(H_Direct=1,IF(CL59&lt;=0,QL59,IF(QL59&lt;=(XK59+AAX59)/CL59,QL59,(QL59-G59*(XK59+AAX59))/(1-G59*CL59))),QL59/(1-MAX(0,CL59)*H_Exit)))</f>
        <v>0</v>
      </c>
      <c r="TZ59" s="20" t="n">
        <f aca="false">IF(ALM58&lt;=0,0,IF(H_Direct=1,IF(CM59&lt;=0,QM59,IF(QM59&lt;=(XL59+AAY59)/CM59,QM59,(QM59-G59*(XL59+AAY59))/(1-G59*CM59))),QM59/(1-MAX(0,CM59)*H_Exit)))</f>
        <v>0</v>
      </c>
      <c r="UA59" s="20" t="n">
        <f aca="false">IF(ALN58&lt;=0,0,IF(H_Direct=1,IF(CN59&lt;=0,QN59,IF(QN59&lt;=(XM59+AAZ59)/CN59,QN59,(QN59-G59*(XM59+AAZ59))/(1-G59*CN59))),QN59/(1-MAX(0,CN59)*H_Exit)))</f>
        <v>0</v>
      </c>
      <c r="UB59" s="20" t="n">
        <f aca="false">IF(ALO58&lt;=0,0,IF(H_Direct=1,IF(CO59&lt;=0,QO59,IF(QO59&lt;=(XN59+ABA59)/CO59,QO59,(QO59-G59*(XN59+ABA59))/(1-G59*CO59))),QO59/(1-MAX(0,CO59)*H_Exit)))</f>
        <v>0</v>
      </c>
      <c r="UC59" s="20" t="n">
        <f aca="false">IF(ALP58&lt;=0,0,IF(H_Direct=1,IF(CP59&lt;=0,QP59,IF(QP59&lt;=(XO59+ABB59)/CP59,QP59,(QP59-G59*(XO59+ABB59))/(1-G59*CP59))),QP59/(1-MAX(0,CP59)*H_Exit)))</f>
        <v>0</v>
      </c>
      <c r="UD59" s="20" t="n">
        <f aca="false">IF(ALQ58&lt;=0,0,IF(H_Direct=1,IF(CQ59&lt;=0,QQ59,IF(QQ59&lt;=(XP59+ABC59)/CQ59,QQ59,(QQ59-G59*(XP59+ABC59))/(1-G59*CQ59))),QQ59/(1-MAX(0,CQ59)*H_Exit)))</f>
        <v>0</v>
      </c>
      <c r="UE59" s="20" t="n">
        <f aca="false">IF(ALR58&lt;=0,0,IF(H_Direct=1,IF(CR59&lt;=0,QR59,IF(QR59&lt;=(XQ59+ABD59)/CR59,QR59,(QR59-G59*(XQ59+ABD59))/(1-G59*CR59))),QR59/(1-MAX(0,CR59)*H_Exit)))</f>
        <v>0</v>
      </c>
      <c r="UF59" s="20" t="n">
        <f aca="false">IF(ALS58&lt;=0,0,IF(H_Direct=1,IF(CS59&lt;=0,QS59,IF(QS59&lt;=(XR59+ABE59)/CS59,QS59,(QS59-G59*(XR59+ABE59))/(1-G59*CS59))),QS59/(1-MAX(0,CS59)*H_Exit)))</f>
        <v>0</v>
      </c>
      <c r="UG59" s="20" t="n">
        <f aca="false">IF(ALT58&lt;=0,0,IF(H_Direct=1,IF(CT59&lt;=0,QT59,IF(QT59&lt;=(XS59+ABF59)/CT59,QT59,(QT59-G59*(XS59+ABF59))/(1-G59*CT59))),QT59/(1-MAX(0,CT59)*H_Exit)))</f>
        <v>0</v>
      </c>
      <c r="UH59" s="20" t="n">
        <f aca="false">IF(ALU58&lt;=0,0,IF(H_Direct=1,IF(CU59&lt;=0,QU59,IF(QU59&lt;=(XT59+ABG59)/CU59,QU59,(QU59-G59*(XT59+ABG59))/(1-G59*CU59))),QU59/(1-MAX(0,CU59)*H_Exit)))</f>
        <v>0</v>
      </c>
      <c r="UI59" s="20" t="n">
        <f aca="false">IF(ALV58&lt;=0,0,IF(H_Direct=1,IF(CV59&lt;=0,QV59,IF(QV59&lt;=(XU59+ABH59)/CV59,QV59,(QV59-G59*(XU59+ABH59))/(1-G59*CV59))),QV59/(1-MAX(0,CV59)*H_Exit)))</f>
        <v>0</v>
      </c>
      <c r="UJ59" s="20" t="n">
        <f aca="false">IF(ALW58&lt;=0,0,IF(H_Direct=1,IF(CW59&lt;=0,QW59,IF(QW59&lt;=(XV59+ABI59)/CW59,QW59,(QW59-G59*(XV59+ABI59))/(1-G59*CW59))),QW59/(1-MAX(0,CW59)*H_Exit)))</f>
        <v>0</v>
      </c>
      <c r="UK59" s="20" t="n">
        <f aca="false">IF(ALX58&lt;=0,0,IF(H_Direct=1,IF(CX59&lt;=0,QX59,IF(QX59&lt;=(XW59+ABJ59)/CX59,QX59,(QX59-G59*(XW59+ABJ59))/(1-G59*CX59))),QX59/(1-MAX(0,CX59)*H_Exit)))</f>
        <v>0</v>
      </c>
      <c r="UL59" s="20" t="n">
        <f aca="false">IF(ALY58&lt;=0,0,IF(H_Direct=1,IF(CY59&lt;=0,QY59,IF(QY59&lt;=(XX59+ABK59)/CY59,QY59,(QY59-G59*(XX59+ABK59))/(1-G59*CY59))),QY59/(1-MAX(0,CY59)*H_Exit)))</f>
        <v>0</v>
      </c>
      <c r="UM59" s="20" t="n">
        <f aca="false">IF(ALZ58&lt;=0,0,IF(H_Direct=1,IF(CZ59&lt;=0,QZ59,IF(QZ59&lt;=(XY59+ABL59)/CZ59,QZ59,(QZ59-G59*(XY59+ABL59))/(1-G59*CZ59))),QZ59/(1-MAX(0,CZ59)*H_Exit)))</f>
        <v>0</v>
      </c>
      <c r="UN59" s="20" t="n">
        <f aca="false">IF(AMA58&lt;=0,0,IF(H_Direct=1,IF(DA59&lt;=0,RA59,IF(RA59&lt;=(XZ59+ABM59)/DA59,RA59,(RA59-G59*(XZ59+ABM59))/(1-G59*DA59))),RA59/(1-MAX(0,DA59)*H_Exit)))</f>
        <v>0</v>
      </c>
      <c r="UO59" s="20" t="n">
        <f aca="false">IF(AMB58&lt;=0,0,IF(H_Direct=1,IF(DB59&lt;=0,RB59,IF(RB59&lt;=(YA59+ABN59)/DB59,RB59,(RB59-G59*(YA59+ABN59))/(1-G59*DB59))),RB59/(1-MAX(0,DB59)*H_Exit)))</f>
        <v>0</v>
      </c>
      <c r="UP59" s="20" t="n">
        <f aca="false">IF(AMC58&lt;=0,0,IF(H_Direct=1,IF(DC59&lt;=0,RC59,IF(RC59&lt;=(YB59+ABO59)/DC59,RC59,(RC59-G59*(YB59+ABO59))/(1-G59*DC59))),RC59/(1-MAX(0,DC59)*H_Exit)))</f>
        <v>0</v>
      </c>
      <c r="UQ59" s="20" t="n">
        <f aca="false">IF(AMD58&lt;=0,0,IF(H_Direct=1,IF(DD59&lt;=0,RD59,IF(RD59&lt;=(YC59+ABP59)/DD59,RD59,(RD59-G59*(YC59+ABP59))/(1-G59*DD59))),RD59/(1-MAX(0,DD59)*H_Exit)))</f>
        <v>0</v>
      </c>
      <c r="UR59" s="20" t="n">
        <f aca="false">IF(AME58&lt;=0,0,IF(H_Direct=1,IF(DE59&lt;=0,RE59,IF(RE59&lt;=(YD59+ABQ59)/DE59,RE59,(RE59-G59*(YD59+ABQ59))/(1-G59*DE59))),RE59/(1-MAX(0,DE59)*H_Exit)))</f>
        <v>0</v>
      </c>
      <c r="US59" s="20" t="n">
        <f aca="false">IF(AMF58&lt;=0,0,IF(H_Direct=1,IF(DF59&lt;=0,RF59,IF(RF59&lt;=(YE59+ABR59)/DF59,RF59,(RF59-G59*(YE59+ABR59))/(1-G59*DF59))),RF59/(1-MAX(0,DF59)*H_Exit)))</f>
        <v>0</v>
      </c>
      <c r="UT59" s="20" t="n">
        <f aca="false">IF(AMG58&lt;=0,0,IF(H_Direct=1,IF(DG59&lt;=0,RG59,IF(RG59&lt;=(YF59+ABS59)/DG59,RG59,(RG59-G59*(YF59+ABS59))/(1-G59*DG59))),RG59/(1-MAX(0,DG59)*H_Exit)))</f>
        <v>0</v>
      </c>
      <c r="UU59" s="20" t="n">
        <f aca="false">IF(AMH58&lt;=0,0,IF(H_Direct=1,IF(DH59&lt;=0,RH59,IF(RH59&lt;=(YG59+ABT59)/DH59,RH59,(RH59-G59*(YG59+ABT59))/(1-G59*DH59))),RH59/(1-MAX(0,DH59)*H_Exit)))</f>
        <v>0</v>
      </c>
      <c r="UV59" s="20" t="n">
        <f aca="false">IF(AMI58&lt;=0,0,IF(H_Direct=1,IF(DI59&lt;=0,RI59,IF(RI59&lt;=(YH59+ABU59)/DI59,RI59,(RI59-G59*(YH59+ABU59))/(1-G59*DI59))),RI59/(1-MAX(0,DI59)*H_Exit)))</f>
        <v>0</v>
      </c>
      <c r="UW59" s="20" t="n">
        <f aca="false">IF(AMJ58&lt;=0,0,IF(H_Direct=1,IF(DJ59&lt;=0,RJ59,IF(RJ59&lt;=(YI59+ABV59)/DJ59,RJ59,(RJ59-G59*(YI59+ABV59))/(1-G59*DJ59))),RJ59/(1-MAX(0,DJ59)*H_Exit)))</f>
        <v>0</v>
      </c>
      <c r="UX59" s="20" t="n">
        <f aca="false">IF(AMK58&lt;=0,0,IF(H_Direct=1,IF(DK59&lt;=0,RK59,IF(RK59&lt;=(YJ59+ABW59)/DK59,RK59,(RK59-G59*(YJ59+ABW59))/(1-G59*DK59))),RK59/(1-MAX(0,DK59)*H_Exit)))</f>
        <v>0</v>
      </c>
      <c r="UY59" s="20" t="n">
        <f aca="false">IF(AML58&lt;=0,0,IF(H_Direct=1,IF(DL59&lt;=0,RL59,IF(RL59&lt;=(YK59+ABX59)/DL59,RL59,(RL59-G59*(YK59+ABX59))/(1-G59*DL59))),RL59/(1-MAX(0,DL59)*H_Exit)))</f>
        <v>0</v>
      </c>
      <c r="UZ59" s="20" t="n">
        <f aca="false">IF(AMM58&lt;=0,0,IF(H_Direct=1,IF(DM59&lt;=0,RM59,IF(RM59&lt;=(YL59+ABY59)/DM59,RM59,(RM59-G59*(YL59+ABY59))/(1-G59*DM59))),RM59/(1-MAX(0,DM59)*H_Exit)))</f>
        <v>0</v>
      </c>
      <c r="VA59" s="20" t="n">
        <f aca="false">IF(AMN58&lt;=0,0,IF(H_Direct=1,IF(DN59&lt;=0,RN59,IF(RN59&lt;=(YM59+ABZ59)/DN59,RN59,(RN59-G59*(YM59+ABZ59))/(1-G59*DN59))),RN59/(1-MAX(0,DN59)*H_Exit)))</f>
        <v>0</v>
      </c>
      <c r="VB59" s="20" t="n">
        <f aca="false">IF(AMO58&lt;=0,0,IF(H_Direct=1,IF(DO59&lt;=0,RO59,IF(RO59&lt;=(YN59+ACA59)/DO59,RO59,(RO59-G59*(YN59+ACA59))/(1-G59*DO59))),RO59/(1-MAX(0,DO59)*H_Exit)))</f>
        <v>0</v>
      </c>
      <c r="VC59" s="20" t="n">
        <f aca="false">IF(AMP58&lt;=0,0,IF(H_Direct=1,IF(DP59&lt;=0,RP59,IF(RP59&lt;=(YO59+ACB59)/DP59,RP59,(RP59-G59*(YO59+ACB59))/(1-G59*DP59))),RP59/(1-MAX(0,DP59)*H_Exit)))</f>
        <v>0</v>
      </c>
      <c r="VD59" s="20" t="n">
        <f aca="false">IF(AMQ58&lt;=0,0,IF(H_Direct=1,IF(DQ59&lt;=0,RQ59,IF(RQ59&lt;=(YP59+ACC59)/DQ59,RQ59,(RQ59-G59*(YP59+ACC59))/(1-G59*DQ59))),RQ59/(1-MAX(0,DQ59)*H_Exit)))</f>
        <v>0</v>
      </c>
      <c r="VE59" s="20" t="n">
        <f aca="false">IF((P59+S59)&lt;=0,0,IF(H_Direct=1,IF(DR59&lt;=0,RR59,IF(RR59&lt;=(YQ59+ACD59)/DR59,RR59,(RR59-G59*(YQ59+ACD59))/(1-G59*DR59))),RR59/(1-MAX(0,DR59)*H_Exit)))</f>
        <v>0</v>
      </c>
      <c r="VF59" s="20" t="n">
        <v>0</v>
      </c>
      <c r="VG59" s="20" t="n">
        <v>0</v>
      </c>
      <c r="VH59" s="20" t="n">
        <v>0</v>
      </c>
      <c r="VI59" s="20" t="n">
        <v>0</v>
      </c>
      <c r="VJ59" s="20" t="n">
        <v>0</v>
      </c>
      <c r="VK59" s="20" t="n">
        <v>0</v>
      </c>
      <c r="VL59" s="20" t="n">
        <v>0</v>
      </c>
      <c r="VM59" s="20" t="n">
        <v>0</v>
      </c>
      <c r="VN59" s="20" t="n">
        <v>0</v>
      </c>
      <c r="VO59" s="20" t="n">
        <v>0</v>
      </c>
      <c r="VP59" s="20" t="n">
        <v>0</v>
      </c>
      <c r="VQ59" s="20" t="n">
        <v>0</v>
      </c>
      <c r="VR59" s="20" t="n">
        <v>0</v>
      </c>
      <c r="VS59" s="20" t="n">
        <v>0</v>
      </c>
      <c r="VT59" s="20" t="n">
        <v>0</v>
      </c>
      <c r="VU59" s="20" t="n">
        <v>0</v>
      </c>
      <c r="VV59" s="20" t="n">
        <v>0</v>
      </c>
      <c r="VW59" s="20" t="n">
        <v>0</v>
      </c>
      <c r="VX59" s="20" t="n">
        <v>0</v>
      </c>
      <c r="VY59" s="20" t="n">
        <v>0</v>
      </c>
      <c r="VZ59" s="20" t="n">
        <v>0</v>
      </c>
      <c r="WA59" s="20" t="n">
        <v>0</v>
      </c>
      <c r="WB59" s="20" t="n">
        <v>0</v>
      </c>
      <c r="WC59" s="20" t="n">
        <v>0</v>
      </c>
      <c r="WD59" s="20" t="n">
        <v>0</v>
      </c>
      <c r="WE59" s="20" t="n">
        <v>0</v>
      </c>
      <c r="WF59" s="20" t="n">
        <v>0</v>
      </c>
      <c r="WG59" s="20" t="n">
        <v>0</v>
      </c>
      <c r="WH59" s="20" t="n">
        <v>0</v>
      </c>
      <c r="WI59" s="20" t="n">
        <v>0</v>
      </c>
      <c r="WJ59" s="20" t="n">
        <v>0</v>
      </c>
      <c r="WK59" s="20" t="n">
        <v>0</v>
      </c>
      <c r="WL59" s="20" t="n">
        <v>0</v>
      </c>
      <c r="WM59" s="20" t="n">
        <v>0</v>
      </c>
      <c r="WN59" s="20" t="n">
        <v>0</v>
      </c>
      <c r="WO59" s="20" t="n">
        <v>0</v>
      </c>
      <c r="WP59" s="20" t="n">
        <v>0</v>
      </c>
      <c r="WQ59" s="20" t="n">
        <v>0</v>
      </c>
      <c r="WR59" s="20" t="n">
        <f aca="false">IF(AND(H_Direct=1,BR59&gt;0),MAX(0,H59-(MIN(BR59*TE59,(H59+I59))-MIN(MIN(BR59*TE59,(H59+I59)),I59))),H59)</f>
        <v>1270</v>
      </c>
      <c r="WS59" s="20" t="n">
        <f aca="false">IF(AND(H_Direct=1,BS59&gt;0),MAX(0,WR59-(MIN(BS59*TF59,(WR59+AAE59))-MIN(MIN(BS59*TF59,(WR59+AAE59)),AAE59))),WR59)</f>
        <v>1270</v>
      </c>
      <c r="WT59" s="20" t="n">
        <f aca="false">IF(AND(H_Direct=1,BT59&gt;0),MAX(0,WS59-(MIN(BT59*TG59,(WS59+AAF59))-MIN(MIN(BT59*TG59,(WS59+AAF59)),AAF59))),WS59)</f>
        <v>1270</v>
      </c>
      <c r="WU59" s="20" t="n">
        <f aca="false">IF(AND(H_Direct=1,BU59&gt;0),MAX(0,WT59-(MIN(BU59*TH59,(WT59+AAG59))-MIN(MIN(BU59*TH59,(WT59+AAG59)),AAG59))),WT59)</f>
        <v>1270</v>
      </c>
      <c r="WV59" s="20" t="n">
        <f aca="false">IF(AND(H_Direct=1,BV59&gt;0),MAX(0,WU59-(MIN(BV59*TI59,(WU59+AAH59))-MIN(MIN(BV59*TI59,(WU59+AAH59)),AAH59))),WU59)</f>
        <v>1270</v>
      </c>
      <c r="WW59" s="20" t="n">
        <f aca="false">IF(AND(H_Direct=1,BW59&gt;0),MAX(0,WV59-(MIN(BW59*TJ59,(WV59+AAI59))-MIN(MIN(BW59*TJ59,(WV59+AAI59)),AAI59))),WV59)</f>
        <v>1270</v>
      </c>
      <c r="WX59" s="20" t="n">
        <f aca="false">IF(AND(H_Direct=1,BX59&gt;0),MAX(0,WW59-(MIN(BX59*TK59,(WW59+AAJ59))-MIN(MIN(BX59*TK59,(WW59+AAJ59)),AAJ59))),WW59)</f>
        <v>1270</v>
      </c>
      <c r="WY59" s="20" t="n">
        <f aca="false">IF(AND(H_Direct=1,BY59&gt;0),MAX(0,WX59-(MIN(BY59*TL59,(WX59+AAK59))-MIN(MIN(BY59*TL59,(WX59+AAK59)),AAK59))),WX59)</f>
        <v>1270</v>
      </c>
      <c r="WZ59" s="20" t="n">
        <f aca="false">IF(AND(H_Direct=1,BZ59&gt;0),MAX(0,WY59-(MIN(BZ59*TM59,(WY59+AAL59))-MIN(MIN(BZ59*TM59,(WY59+AAL59)),AAL59))),WY59)</f>
        <v>1270</v>
      </c>
      <c r="XA59" s="20" t="n">
        <f aca="false">IF(AND(H_Direct=1,CA59&gt;0),MAX(0,WZ59-(MIN(CA59*TN59,(WZ59+AAM59))-MIN(MIN(CA59*TN59,(WZ59+AAM59)),AAM59))),WZ59)</f>
        <v>1270</v>
      </c>
      <c r="XB59" s="20" t="n">
        <f aca="false">IF(AND(H_Direct=1,CB59&gt;0),MAX(0,XA59-(MIN(CB59*TO59,(XA59+AAN59))-MIN(MIN(CB59*TO59,(XA59+AAN59)),AAN59))),XA59)</f>
        <v>1270</v>
      </c>
      <c r="XC59" s="20" t="n">
        <f aca="false">IF(AND(H_Direct=1,CC59&gt;0),MAX(0,XB59-(MIN(CC59*TP59,(XB59+AAO59))-MIN(MIN(CC59*TP59,(XB59+AAO59)),AAO59))),XB59)</f>
        <v>1270</v>
      </c>
      <c r="XD59" s="20" t="n">
        <f aca="false">IF(AND(H_Direct=1,CD59&gt;0),MAX(0,XC59-(MIN(CD59*TQ59,(XC59+AAP59))-MIN(MIN(CD59*TQ59,(XC59+AAP59)),AAP59))),XC59)</f>
        <v>1270</v>
      </c>
      <c r="XE59" s="20" t="n">
        <f aca="false">IF(AND(H_Direct=1,CE59&gt;0),MAX(0,XD59-(MIN(CE59*TR59,(XD59+AAQ59))-MIN(MIN(CE59*TR59,(XD59+AAQ59)),AAQ59))),XD59)</f>
        <v>1270</v>
      </c>
      <c r="XF59" s="20" t="n">
        <f aca="false">IF(AND(H_Direct=1,CF59&gt;0),MAX(0,XE59-(MIN(CF59*TS59,(XE59+AAR59))-MIN(MIN(CF59*TS59,(XE59+AAR59)),AAR59))),XE59)</f>
        <v>1270</v>
      </c>
      <c r="XG59" s="20" t="n">
        <f aca="false">IF(AND(H_Direct=1,CG59&gt;0),MAX(0,XF59-(MIN(CG59*TT59,(XF59+AAS59))-MIN(MIN(CG59*TT59,(XF59+AAS59)),AAS59))),XF59)</f>
        <v>1270</v>
      </c>
      <c r="XH59" s="20" t="n">
        <f aca="false">IF(AND(H_Direct=1,CH59&gt;0),MAX(0,XG59-(MIN(CH59*TU59,(XG59+AAT59))-MIN(MIN(CH59*TU59,(XG59+AAT59)),AAT59))),XG59)</f>
        <v>1270</v>
      </c>
      <c r="XI59" s="20" t="n">
        <f aca="false">IF(AND(H_Direct=1,CI59&gt;0),MAX(0,XH59-(MIN(CI59*TV59,(XH59+AAU59))-MIN(MIN(CI59*TV59,(XH59+AAU59)),AAU59))),XH59)</f>
        <v>1270</v>
      </c>
      <c r="XJ59" s="20" t="n">
        <f aca="false">IF(AND(H_Direct=1,CJ59&gt;0),MAX(0,XI59-(MIN(CJ59*TW59,(XI59+AAV59))-MIN(MIN(CJ59*TW59,(XI59+AAV59)),AAV59))),XI59)</f>
        <v>1270</v>
      </c>
      <c r="XK59" s="20" t="n">
        <f aca="false">IF(AND(H_Direct=1,CK59&gt;0),MAX(0,XJ59-(MIN(CK59*TX59,(XJ59+AAW59))-MIN(MIN(CK59*TX59,(XJ59+AAW59)),AAW59))),XJ59)</f>
        <v>1270</v>
      </c>
      <c r="XL59" s="20" t="n">
        <f aca="false">IF(AND(H_Direct=1,CL59&gt;0),MAX(0,XK59-(MIN(CL59*TY59,(XK59+AAX59))-MIN(MIN(CL59*TY59,(XK59+AAX59)),AAX59))),XK59)</f>
        <v>1270</v>
      </c>
      <c r="XM59" s="20" t="n">
        <f aca="false">IF(AND(H_Direct=1,CM59&gt;0),MAX(0,XL59-(MIN(CM59*TZ59,(XL59+AAY59))-MIN(MIN(CM59*TZ59,(XL59+AAY59)),AAY59))),XL59)</f>
        <v>1270</v>
      </c>
      <c r="XN59" s="20" t="n">
        <f aca="false">IF(AND(H_Direct=1,CN59&gt;0),MAX(0,XM59-(MIN(CN59*UA59,(XM59+AAZ59))-MIN(MIN(CN59*UA59,(XM59+AAZ59)),AAZ59))),XM59)</f>
        <v>1270</v>
      </c>
      <c r="XO59" s="20" t="n">
        <f aca="false">IF(AND(H_Direct=1,CO59&gt;0),MAX(0,XN59-(MIN(CO59*UB59,(XN59+ABA59))-MIN(MIN(CO59*UB59,(XN59+ABA59)),ABA59))),XN59)</f>
        <v>1270</v>
      </c>
      <c r="XP59" s="20" t="n">
        <f aca="false">IF(AND(H_Direct=1,CP59&gt;0),MAX(0,XO59-(MIN(CP59*UC59,(XO59+ABB59))-MIN(MIN(CP59*UC59,(XO59+ABB59)),ABB59))),XO59)</f>
        <v>1270</v>
      </c>
      <c r="XQ59" s="20" t="n">
        <f aca="false">IF(AND(H_Direct=1,CQ59&gt;0),MAX(0,XP59-(MIN(CQ59*UD59,(XP59+ABC59))-MIN(MIN(CQ59*UD59,(XP59+ABC59)),ABC59))),XP59)</f>
        <v>1270</v>
      </c>
      <c r="XR59" s="20" t="n">
        <f aca="false">IF(AND(H_Direct=1,CR59&gt;0),MAX(0,XQ59-(MIN(CR59*UE59,(XQ59+ABD59))-MIN(MIN(CR59*UE59,(XQ59+ABD59)),ABD59))),XQ59)</f>
        <v>1270</v>
      </c>
      <c r="XS59" s="20" t="n">
        <f aca="false">IF(AND(H_Direct=1,CS59&gt;0),MAX(0,XR59-(MIN(CS59*UF59,(XR59+ABE59))-MIN(MIN(CS59*UF59,(XR59+ABE59)),ABE59))),XR59)</f>
        <v>1270</v>
      </c>
      <c r="XT59" s="20" t="n">
        <f aca="false">IF(AND(H_Direct=1,CT59&gt;0),MAX(0,XS59-(MIN(CT59*UG59,(XS59+ABF59))-MIN(MIN(CT59*UG59,(XS59+ABF59)),ABF59))),XS59)</f>
        <v>1270</v>
      </c>
      <c r="XU59" s="20" t="n">
        <f aca="false">IF(AND(H_Direct=1,CU59&gt;0),MAX(0,XT59-(MIN(CU59*UH59,(XT59+ABG59))-MIN(MIN(CU59*UH59,(XT59+ABG59)),ABG59))),XT59)</f>
        <v>1270</v>
      </c>
      <c r="XV59" s="20" t="n">
        <f aca="false">IF(AND(H_Direct=1,CV59&gt;0),MAX(0,XU59-(MIN(CV59*UI59,(XU59+ABH59))-MIN(MIN(CV59*UI59,(XU59+ABH59)),ABH59))),XU59)</f>
        <v>1270</v>
      </c>
      <c r="XW59" s="20" t="n">
        <f aca="false">IF(AND(H_Direct=1,CW59&gt;0),MAX(0,XV59-(MIN(CW59*UJ59,(XV59+ABI59))-MIN(MIN(CW59*UJ59,(XV59+ABI59)),ABI59))),XV59)</f>
        <v>1270</v>
      </c>
      <c r="XX59" s="20" t="n">
        <f aca="false">IF(AND(H_Direct=1,CX59&gt;0),MAX(0,XW59-(MIN(CX59*UK59,(XW59+ABJ59))-MIN(MIN(CX59*UK59,(XW59+ABJ59)),ABJ59))),XW59)</f>
        <v>1270</v>
      </c>
      <c r="XY59" s="20" t="n">
        <f aca="false">IF(AND(H_Direct=1,CY59&gt;0),MAX(0,XX59-(MIN(CY59*UL59,(XX59+ABK59))-MIN(MIN(CY59*UL59,(XX59+ABK59)),ABK59))),XX59)</f>
        <v>1270</v>
      </c>
      <c r="XZ59" s="20" t="n">
        <f aca="false">IF(AND(H_Direct=1,CZ59&gt;0),MAX(0,XY59-(MIN(CZ59*UM59,(XY59+ABL59))-MIN(MIN(CZ59*UM59,(XY59+ABL59)),ABL59))),XY59)</f>
        <v>1270</v>
      </c>
      <c r="YA59" s="20" t="n">
        <f aca="false">IF(AND(H_Direct=1,DA59&gt;0),MAX(0,XZ59-(MIN(DA59*UN59,(XZ59+ABM59))-MIN(MIN(DA59*UN59,(XZ59+ABM59)),ABM59))),XZ59)</f>
        <v>1270</v>
      </c>
      <c r="YB59" s="20" t="n">
        <f aca="false">IF(AND(H_Direct=1,DB59&gt;0),MAX(0,YA59-(MIN(DB59*UO59,(YA59+ABN59))-MIN(MIN(DB59*UO59,(YA59+ABN59)),ABN59))),YA59)</f>
        <v>1270</v>
      </c>
      <c r="YC59" s="20" t="n">
        <f aca="false">IF(AND(H_Direct=1,DC59&gt;0),MAX(0,YB59-(MIN(DC59*UP59,(YB59+ABO59))-MIN(MIN(DC59*UP59,(YB59+ABO59)),ABO59))),YB59)</f>
        <v>1270</v>
      </c>
      <c r="YD59" s="20" t="n">
        <f aca="false">IF(AND(H_Direct=1,DD59&gt;0),MAX(0,YC59-(MIN(DD59*UQ59,(YC59+ABP59))-MIN(MIN(DD59*UQ59,(YC59+ABP59)),ABP59))),YC59)</f>
        <v>1270</v>
      </c>
      <c r="YE59" s="20" t="n">
        <f aca="false">IF(AND(H_Direct=1,DE59&gt;0),MAX(0,YD59-(MIN(DE59*UR59,(YD59+ABQ59))-MIN(MIN(DE59*UR59,(YD59+ABQ59)),ABQ59))),YD59)</f>
        <v>1270</v>
      </c>
      <c r="YF59" s="20" t="n">
        <f aca="false">IF(AND(H_Direct=1,DF59&gt;0),MAX(0,YE59-(MIN(DF59*US59,(YE59+ABR59))-MIN(MIN(DF59*US59,(YE59+ABR59)),ABR59))),YE59)</f>
        <v>1270</v>
      </c>
      <c r="YG59" s="20" t="n">
        <f aca="false">IF(AND(H_Direct=1,DG59&gt;0),MAX(0,YF59-(MIN(DG59*UT59,(YF59+ABS59))-MIN(MIN(DG59*UT59,(YF59+ABS59)),ABS59))),YF59)</f>
        <v>1270</v>
      </c>
      <c r="YH59" s="20" t="n">
        <f aca="false">IF(AND(H_Direct=1,DH59&gt;0),MAX(0,YG59-(MIN(DH59*UU59,(YG59+ABT59))-MIN(MIN(DH59*UU59,(YG59+ABT59)),ABT59))),YG59)</f>
        <v>1270</v>
      </c>
      <c r="YI59" s="20" t="n">
        <f aca="false">IF(AND(H_Direct=1,DI59&gt;0),MAX(0,YH59-(MIN(DI59*UV59,(YH59+ABU59))-MIN(MIN(DI59*UV59,(YH59+ABU59)),ABU59))),YH59)</f>
        <v>1270</v>
      </c>
      <c r="YJ59" s="20" t="n">
        <f aca="false">IF(AND(H_Direct=1,DJ59&gt;0),MAX(0,YI59-(MIN(DJ59*UW59,(YI59+ABV59))-MIN(MIN(DJ59*UW59,(YI59+ABV59)),ABV59))),YI59)</f>
        <v>1270</v>
      </c>
      <c r="YK59" s="20" t="n">
        <f aca="false">IF(AND(H_Direct=1,DK59&gt;0),MAX(0,YJ59-(MIN(DK59*UX59,(YJ59+ABW59))-MIN(MIN(DK59*UX59,(YJ59+ABW59)),ABW59))),YJ59)</f>
        <v>1270</v>
      </c>
      <c r="YL59" s="20" t="n">
        <f aca="false">IF(AND(H_Direct=1,DL59&gt;0),MAX(0,YK59-(MIN(DL59*UY59,(YK59+ABX59))-MIN(MIN(DL59*UY59,(YK59+ABX59)),ABX59))),YK59)</f>
        <v>1270</v>
      </c>
      <c r="YM59" s="20" t="n">
        <f aca="false">IF(AND(H_Direct=1,DM59&gt;0),MAX(0,YL59-(MIN(DM59*UZ59,(YL59+ABY59))-MIN(MIN(DM59*UZ59,(YL59+ABY59)),ABY59))),YL59)</f>
        <v>1270</v>
      </c>
      <c r="YN59" s="20" t="n">
        <f aca="false">IF(AND(H_Direct=1,DN59&gt;0),MAX(0,YM59-(MIN(DN59*VA59,(YM59+ABZ59))-MIN(MIN(DN59*VA59,(YM59+ABZ59)),ABZ59))),YM59)</f>
        <v>1270</v>
      </c>
      <c r="YO59" s="20" t="n">
        <f aca="false">IF(AND(H_Direct=1,DO59&gt;0),MAX(0,YN59-(MIN(DO59*VB59,(YN59+ACA59))-MIN(MIN(DO59*VB59,(YN59+ACA59)),ACA59))),YN59)</f>
        <v>1270</v>
      </c>
      <c r="YP59" s="20" t="n">
        <f aca="false">IF(AND(H_Direct=1,DP59&gt;0),MAX(0,YO59-(MIN(DP59*VC59,(YO59+ACB59))-MIN(MIN(DP59*VC59,(YO59+ACB59)),ACB59))),YO59)</f>
        <v>1270</v>
      </c>
      <c r="YQ59" s="20" t="n">
        <f aca="false">IF(AND(H_Direct=1,DQ59&gt;0),MAX(0,YP59-(MIN(DQ59*VD59,(YP59+ACC59))-MIN(MIN(DQ59*VD59,(YP59+ACC59)),ACC59))),YP59)</f>
        <v>1270</v>
      </c>
      <c r="YR59" s="20" t="n">
        <f aca="false">IF(AND(H_Direct=1,DR59&gt;0),MAX(0,YQ59-(MIN(DR59*VE59,(YQ59+ACD59))-MIN(MIN(DR59*VE59,(YQ59+ACD59)),ACD59))),YQ59)</f>
        <v>1270</v>
      </c>
      <c r="YS59" s="20" t="n">
        <f aca="false">YR59</f>
        <v>1270</v>
      </c>
      <c r="YT59" s="20" t="n">
        <f aca="false">YS59</f>
        <v>1270</v>
      </c>
      <c r="YU59" s="20" t="n">
        <f aca="false">YT59</f>
        <v>1270</v>
      </c>
      <c r="YV59" s="20" t="n">
        <f aca="false">YU59</f>
        <v>1270</v>
      </c>
      <c r="YW59" s="20" t="n">
        <f aca="false">YV59</f>
        <v>1270</v>
      </c>
      <c r="YX59" s="20" t="n">
        <f aca="false">YW59</f>
        <v>1270</v>
      </c>
      <c r="YY59" s="20" t="n">
        <f aca="false">YX59</f>
        <v>1270</v>
      </c>
      <c r="YZ59" s="20" t="n">
        <f aca="false">YY59</f>
        <v>1270</v>
      </c>
      <c r="ZA59" s="20" t="n">
        <f aca="false">YZ59</f>
        <v>1270</v>
      </c>
      <c r="ZB59" s="20" t="n">
        <f aca="false">ZA59</f>
        <v>1270</v>
      </c>
      <c r="ZC59" s="20" t="n">
        <f aca="false">ZB59</f>
        <v>1270</v>
      </c>
      <c r="ZD59" s="20" t="n">
        <f aca="false">ZC59</f>
        <v>1270</v>
      </c>
      <c r="ZE59" s="20" t="n">
        <f aca="false">ZD59</f>
        <v>1270</v>
      </c>
      <c r="ZF59" s="20" t="n">
        <f aca="false">ZE59</f>
        <v>1270</v>
      </c>
      <c r="ZG59" s="20" t="n">
        <f aca="false">ZF59</f>
        <v>1270</v>
      </c>
      <c r="ZH59" s="20" t="n">
        <f aca="false">ZG59</f>
        <v>1270</v>
      </c>
      <c r="ZI59" s="20" t="n">
        <f aca="false">ZH59</f>
        <v>1270</v>
      </c>
      <c r="ZJ59" s="20" t="n">
        <f aca="false">ZI59</f>
        <v>1270</v>
      </c>
      <c r="ZK59" s="20" t="n">
        <f aca="false">ZJ59</f>
        <v>1270</v>
      </c>
      <c r="ZL59" s="20" t="n">
        <f aca="false">ZK59</f>
        <v>1270</v>
      </c>
      <c r="ZM59" s="20" t="n">
        <f aca="false">ZL59</f>
        <v>1270</v>
      </c>
      <c r="ZN59" s="20" t="n">
        <f aca="false">ZM59</f>
        <v>1270</v>
      </c>
      <c r="ZO59" s="20" t="n">
        <f aca="false">ZN59</f>
        <v>1270</v>
      </c>
      <c r="ZP59" s="20" t="n">
        <f aca="false">ZO59</f>
        <v>1270</v>
      </c>
      <c r="ZQ59" s="20" t="n">
        <f aca="false">ZP59</f>
        <v>1270</v>
      </c>
      <c r="ZR59" s="20" t="n">
        <f aca="false">ZQ59</f>
        <v>1270</v>
      </c>
      <c r="ZS59" s="20" t="n">
        <f aca="false">ZR59</f>
        <v>1270</v>
      </c>
      <c r="ZT59" s="20" t="n">
        <f aca="false">ZS59</f>
        <v>1270</v>
      </c>
      <c r="ZU59" s="20" t="n">
        <f aca="false">ZT59</f>
        <v>1270</v>
      </c>
      <c r="ZV59" s="20" t="n">
        <f aca="false">ZU59</f>
        <v>1270</v>
      </c>
      <c r="ZW59" s="20" t="n">
        <f aca="false">ZV59</f>
        <v>1270</v>
      </c>
      <c r="ZX59" s="20" t="n">
        <f aca="false">ZW59</f>
        <v>1270</v>
      </c>
      <c r="ZY59" s="20" t="n">
        <f aca="false">ZX59</f>
        <v>1270</v>
      </c>
      <c r="ZZ59" s="20" t="n">
        <f aca="false">ZY59</f>
        <v>1270</v>
      </c>
      <c r="AAA59" s="20" t="n">
        <f aca="false">ZZ59</f>
        <v>1270</v>
      </c>
      <c r="AAB59" s="20" t="n">
        <f aca="false">AAA59</f>
        <v>1270</v>
      </c>
      <c r="AAC59" s="20" t="n">
        <f aca="false">AAB59</f>
        <v>1270</v>
      </c>
      <c r="AAD59" s="20" t="n">
        <f aca="false">AAC59</f>
        <v>1270</v>
      </c>
      <c r="AAE59" s="20" t="n">
        <f aca="false">IF(H_Direct=1,IF(BR59&lt;=0,I59-BR59*TE59,I59-MIN(MIN(BR59*TE59,(H59+I59)),I59)),I59)</f>
        <v>0</v>
      </c>
      <c r="AAF59" s="20" t="n">
        <f aca="false">IF(H_Direct=1,IF(BS59&lt;=0,AAE59-BS59*TF59,AAE59-MIN(MIN(BS59*TF59,(WR59+AAE59)),AAE59)),AAE59)</f>
        <v>0</v>
      </c>
      <c r="AAG59" s="20" t="n">
        <f aca="false">IF(H_Direct=1,IF(BT59&lt;=0,AAF59-BT59*TG59,AAF59-MIN(MIN(BT59*TG59,(WS59+AAF59)),AAF59)),AAF59)</f>
        <v>0</v>
      </c>
      <c r="AAH59" s="20" t="n">
        <f aca="false">IF(H_Direct=1,IF(BU59&lt;=0,AAG59-BU59*TH59,AAG59-MIN(MIN(BU59*TH59,(WT59+AAG59)),AAG59)),AAG59)</f>
        <v>0</v>
      </c>
      <c r="AAI59" s="20" t="n">
        <f aca="false">IF(H_Direct=1,IF(BV59&lt;=0,AAH59-BV59*TI59,AAH59-MIN(MIN(BV59*TI59,(WU59+AAH59)),AAH59)),AAH59)</f>
        <v>0</v>
      </c>
      <c r="AAJ59" s="20" t="n">
        <f aca="false">IF(H_Direct=1,IF(BW59&lt;=0,AAI59-BW59*TJ59,AAI59-MIN(MIN(BW59*TJ59,(WV59+AAI59)),AAI59)),AAI59)</f>
        <v>0</v>
      </c>
      <c r="AAK59" s="20" t="n">
        <f aca="false">IF(H_Direct=1,IF(BX59&lt;=0,AAJ59-BX59*TK59,AAJ59-MIN(MIN(BX59*TK59,(WW59+AAJ59)),AAJ59)),AAJ59)</f>
        <v>0</v>
      </c>
      <c r="AAL59" s="20" t="n">
        <f aca="false">IF(H_Direct=1,IF(BY59&lt;=0,AAK59-BY59*TL59,AAK59-MIN(MIN(BY59*TL59,(WX59+AAK59)),AAK59)),AAK59)</f>
        <v>0</v>
      </c>
      <c r="AAM59" s="20" t="n">
        <f aca="false">IF(H_Direct=1,IF(BZ59&lt;=0,AAL59-BZ59*TM59,AAL59-MIN(MIN(BZ59*TM59,(WY59+AAL59)),AAL59)),AAL59)</f>
        <v>0</v>
      </c>
      <c r="AAN59" s="20" t="n">
        <f aca="false">IF(H_Direct=1,IF(CA59&lt;=0,AAM59-CA59*TN59,AAM59-MIN(MIN(CA59*TN59,(WZ59+AAM59)),AAM59)),AAM59)</f>
        <v>0</v>
      </c>
      <c r="AAO59" s="20" t="n">
        <f aca="false">IF(H_Direct=1,IF(CB59&lt;=0,AAN59-CB59*TO59,AAN59-MIN(MIN(CB59*TO59,(XA59+AAN59)),AAN59)),AAN59)</f>
        <v>0</v>
      </c>
      <c r="AAP59" s="20" t="n">
        <f aca="false">IF(H_Direct=1,IF(CC59&lt;=0,AAO59-CC59*TP59,AAO59-MIN(MIN(CC59*TP59,(XB59+AAO59)),AAO59)),AAO59)</f>
        <v>0</v>
      </c>
      <c r="AAQ59" s="20" t="n">
        <f aca="false">IF(H_Direct=1,IF(CD59&lt;=0,AAP59-CD59*TQ59,AAP59-MIN(MIN(CD59*TQ59,(XC59+AAP59)),AAP59)),AAP59)</f>
        <v>0</v>
      </c>
      <c r="AAR59" s="20" t="n">
        <f aca="false">IF(H_Direct=1,IF(CE59&lt;=0,AAQ59-CE59*TR59,AAQ59-MIN(MIN(CE59*TR59,(XD59+AAQ59)),AAQ59)),AAQ59)</f>
        <v>0</v>
      </c>
      <c r="AAS59" s="20" t="n">
        <f aca="false">IF(H_Direct=1,IF(CF59&lt;=0,AAR59-CF59*TS59,AAR59-MIN(MIN(CF59*TS59,(XE59+AAR59)),AAR59)),AAR59)</f>
        <v>0</v>
      </c>
      <c r="AAT59" s="20" t="n">
        <f aca="false">IF(H_Direct=1,IF(CG59&lt;=0,AAS59-CG59*TT59,AAS59-MIN(MIN(CG59*TT59,(XF59+AAS59)),AAS59)),AAS59)</f>
        <v>0</v>
      </c>
      <c r="AAU59" s="20" t="n">
        <f aca="false">IF(H_Direct=1,IF(CH59&lt;=0,AAT59-CH59*TU59,AAT59-MIN(MIN(CH59*TU59,(XG59+AAT59)),AAT59)),AAT59)</f>
        <v>0</v>
      </c>
      <c r="AAV59" s="20" t="n">
        <f aca="false">IF(H_Direct=1,IF(CI59&lt;=0,AAU59-CI59*TV59,AAU59-MIN(MIN(CI59*TV59,(XH59+AAU59)),AAU59)),AAU59)</f>
        <v>0</v>
      </c>
      <c r="AAW59" s="20" t="n">
        <f aca="false">IF(H_Direct=1,IF(CJ59&lt;=0,AAV59-CJ59*TW59,AAV59-MIN(MIN(CJ59*TW59,(XI59+AAV59)),AAV59)),AAV59)</f>
        <v>0</v>
      </c>
      <c r="AAX59" s="20" t="n">
        <f aca="false">IF(H_Direct=1,IF(CK59&lt;=0,AAW59-CK59*TX59,AAW59-MIN(MIN(CK59*TX59,(XJ59+AAW59)),AAW59)),AAW59)</f>
        <v>0</v>
      </c>
      <c r="AAY59" s="20" t="n">
        <f aca="false">IF(H_Direct=1,IF(CL59&lt;=0,AAX59-CL59*TY59,AAX59-MIN(MIN(CL59*TY59,(XK59+AAX59)),AAX59)),AAX59)</f>
        <v>0</v>
      </c>
      <c r="AAZ59" s="20" t="n">
        <f aca="false">IF(H_Direct=1,IF(CM59&lt;=0,AAY59-CM59*TZ59,AAY59-MIN(MIN(CM59*TZ59,(XL59+AAY59)),AAY59)),AAY59)</f>
        <v>0</v>
      </c>
      <c r="ABA59" s="20" t="n">
        <f aca="false">IF(H_Direct=1,IF(CN59&lt;=0,AAZ59-CN59*UA59,AAZ59-MIN(MIN(CN59*UA59,(XM59+AAZ59)),AAZ59)),AAZ59)</f>
        <v>0</v>
      </c>
      <c r="ABB59" s="20" t="n">
        <f aca="false">IF(H_Direct=1,IF(CO59&lt;=0,ABA59-CO59*UB59,ABA59-MIN(MIN(CO59*UB59,(XN59+ABA59)),ABA59)),ABA59)</f>
        <v>0</v>
      </c>
      <c r="ABC59" s="20" t="n">
        <f aca="false">IF(H_Direct=1,IF(CP59&lt;=0,ABB59-CP59*UC59,ABB59-MIN(MIN(CP59*UC59,(XO59+ABB59)),ABB59)),ABB59)</f>
        <v>0</v>
      </c>
      <c r="ABD59" s="20" t="n">
        <f aca="false">IF(H_Direct=1,IF(CQ59&lt;=0,ABC59-CQ59*UD59,ABC59-MIN(MIN(CQ59*UD59,(XP59+ABC59)),ABC59)),ABC59)</f>
        <v>0</v>
      </c>
      <c r="ABE59" s="20" t="n">
        <f aca="false">IF(H_Direct=1,IF(CR59&lt;=0,ABD59-CR59*UE59,ABD59-MIN(MIN(CR59*UE59,(XQ59+ABD59)),ABD59)),ABD59)</f>
        <v>0</v>
      </c>
      <c r="ABF59" s="20" t="n">
        <f aca="false">IF(H_Direct=1,IF(CS59&lt;=0,ABE59-CS59*UF59,ABE59-MIN(MIN(CS59*UF59,(XR59+ABE59)),ABE59)),ABE59)</f>
        <v>0</v>
      </c>
      <c r="ABG59" s="20" t="n">
        <f aca="false">IF(H_Direct=1,IF(CT59&lt;=0,ABF59-CT59*UG59,ABF59-MIN(MIN(CT59*UG59,(XS59+ABF59)),ABF59)),ABF59)</f>
        <v>0</v>
      </c>
      <c r="ABH59" s="20" t="n">
        <f aca="false">IF(H_Direct=1,IF(CU59&lt;=0,ABG59-CU59*UH59,ABG59-MIN(MIN(CU59*UH59,(XT59+ABG59)),ABG59)),ABG59)</f>
        <v>0</v>
      </c>
      <c r="ABI59" s="20" t="n">
        <f aca="false">IF(H_Direct=1,IF(CV59&lt;=0,ABH59-CV59*UI59,ABH59-MIN(MIN(CV59*UI59,(XU59+ABH59)),ABH59)),ABH59)</f>
        <v>0</v>
      </c>
      <c r="ABJ59" s="20" t="n">
        <f aca="false">IF(H_Direct=1,IF(CW59&lt;=0,ABI59-CW59*UJ59,ABI59-MIN(MIN(CW59*UJ59,(XV59+ABI59)),ABI59)),ABI59)</f>
        <v>0</v>
      </c>
      <c r="ABK59" s="20" t="n">
        <f aca="false">IF(H_Direct=1,IF(CX59&lt;=0,ABJ59-CX59*UK59,ABJ59-MIN(MIN(CX59*UK59,(XW59+ABJ59)),ABJ59)),ABJ59)</f>
        <v>0</v>
      </c>
      <c r="ABL59" s="20" t="n">
        <f aca="false">IF(H_Direct=1,IF(CY59&lt;=0,ABK59-CY59*UL59,ABK59-MIN(MIN(CY59*UL59,(XX59+ABK59)),ABK59)),ABK59)</f>
        <v>0</v>
      </c>
      <c r="ABM59" s="20" t="n">
        <f aca="false">IF(H_Direct=1,IF(CZ59&lt;=0,ABL59-CZ59*UM59,ABL59-MIN(MIN(CZ59*UM59,(XY59+ABL59)),ABL59)),ABL59)</f>
        <v>0</v>
      </c>
      <c r="ABN59" s="20" t="n">
        <f aca="false">IF(H_Direct=1,IF(DA59&lt;=0,ABM59-DA59*UN59,ABM59-MIN(MIN(DA59*UN59,(XZ59+ABM59)),ABM59)),ABM59)</f>
        <v>0</v>
      </c>
      <c r="ABO59" s="20" t="n">
        <f aca="false">IF(H_Direct=1,IF(DB59&lt;=0,ABN59-DB59*UO59,ABN59-MIN(MIN(DB59*UO59,(YA59+ABN59)),ABN59)),ABN59)</f>
        <v>0</v>
      </c>
      <c r="ABP59" s="20" t="n">
        <f aca="false">IF(H_Direct=1,IF(DC59&lt;=0,ABO59-DC59*UP59,ABO59-MIN(MIN(DC59*UP59,(YB59+ABO59)),ABO59)),ABO59)</f>
        <v>0</v>
      </c>
      <c r="ABQ59" s="20" t="n">
        <f aca="false">IF(H_Direct=1,IF(DD59&lt;=0,ABP59-DD59*UQ59,ABP59-MIN(MIN(DD59*UQ59,(YC59+ABP59)),ABP59)),ABP59)</f>
        <v>0</v>
      </c>
      <c r="ABR59" s="20" t="n">
        <f aca="false">IF(H_Direct=1,IF(DE59&lt;=0,ABQ59-DE59*UR59,ABQ59-MIN(MIN(DE59*UR59,(YD59+ABQ59)),ABQ59)),ABQ59)</f>
        <v>0</v>
      </c>
      <c r="ABS59" s="20" t="n">
        <f aca="false">IF(H_Direct=1,IF(DF59&lt;=0,ABR59-DF59*US59,ABR59-MIN(MIN(DF59*US59,(YE59+ABR59)),ABR59)),ABR59)</f>
        <v>0</v>
      </c>
      <c r="ABT59" s="20" t="n">
        <f aca="false">IF(H_Direct=1,IF(DG59&lt;=0,ABS59-DG59*UT59,ABS59-MIN(MIN(DG59*UT59,(YF59+ABS59)),ABS59)),ABS59)</f>
        <v>0</v>
      </c>
      <c r="ABU59" s="20" t="n">
        <f aca="false">IF(H_Direct=1,IF(DH59&lt;=0,ABT59-DH59*UU59,ABT59-MIN(MIN(DH59*UU59,(YG59+ABT59)),ABT59)),ABT59)</f>
        <v>0</v>
      </c>
      <c r="ABV59" s="20" t="n">
        <f aca="false">IF(H_Direct=1,IF(DI59&lt;=0,ABU59-DI59*UV59,ABU59-MIN(MIN(DI59*UV59,(YH59+ABU59)),ABU59)),ABU59)</f>
        <v>0</v>
      </c>
      <c r="ABW59" s="20" t="n">
        <f aca="false">IF(H_Direct=1,IF(DJ59&lt;=0,ABV59-DJ59*UW59,ABV59-MIN(MIN(DJ59*UW59,(YI59+ABV59)),ABV59)),ABV59)</f>
        <v>0</v>
      </c>
      <c r="ABX59" s="20" t="n">
        <f aca="false">IF(H_Direct=1,IF(DK59&lt;=0,ABW59-DK59*UX59,ABW59-MIN(MIN(DK59*UX59,(YJ59+ABW59)),ABW59)),ABW59)</f>
        <v>0</v>
      </c>
      <c r="ABY59" s="20" t="n">
        <f aca="false">IF(H_Direct=1,IF(DL59&lt;=0,ABX59-DL59*UY59,ABX59-MIN(MIN(DL59*UY59,(YK59+ABX59)),ABX59)),ABX59)</f>
        <v>0</v>
      </c>
      <c r="ABZ59" s="20" t="n">
        <f aca="false">IF(H_Direct=1,IF(DM59&lt;=0,ABY59-DM59*UZ59,ABY59-MIN(MIN(DM59*UZ59,(YL59+ABY59)),ABY59)),ABY59)</f>
        <v>0</v>
      </c>
      <c r="ACA59" s="20" t="n">
        <f aca="false">IF(H_Direct=1,IF(DN59&lt;=0,ABZ59-DN59*VA59,ABZ59-MIN(MIN(DN59*VA59,(YM59+ABZ59)),ABZ59)),ABZ59)</f>
        <v>0</v>
      </c>
      <c r="ACB59" s="20" t="n">
        <f aca="false">IF(H_Direct=1,IF(DO59&lt;=0,ACA59-DO59*VB59,ACA59-MIN(MIN(DO59*VB59,(YN59+ACA59)),ACA59)),ACA59)</f>
        <v>0</v>
      </c>
      <c r="ACC59" s="20" t="n">
        <f aca="false">IF(H_Direct=1,IF(DP59&lt;=0,ACB59-DP59*VC59,ACB59-MIN(MIN(DP59*VC59,(YO59+ACB59)),ACB59)),ACB59)</f>
        <v>0</v>
      </c>
      <c r="ACD59" s="20" t="n">
        <f aca="false">IF(H_Direct=1,IF(DQ59&lt;=0,ACC59-DQ59*VD59,ACC59-MIN(MIN(DQ59*VD59,(YP59+ACC59)),ACC59)),ACC59)</f>
        <v>0</v>
      </c>
      <c r="ACE59" s="20" t="n">
        <f aca="false">IF(H_Direct=1,IF(DR59&lt;=0,ACD59-DR59*VE59,ACD59-MIN(MIN(DR59*VE59,(YQ59+ACD59)),ACD59)),ACD59)</f>
        <v>0</v>
      </c>
      <c r="ACF59" s="20" t="n">
        <f aca="false">ACE59</f>
        <v>0</v>
      </c>
      <c r="ACG59" s="20" t="n">
        <f aca="false">ACF59</f>
        <v>0</v>
      </c>
      <c r="ACH59" s="20" t="n">
        <f aca="false">ACG59</f>
        <v>0</v>
      </c>
      <c r="ACI59" s="20" t="n">
        <f aca="false">ACH59</f>
        <v>0</v>
      </c>
      <c r="ACJ59" s="20" t="n">
        <f aca="false">ACI59</f>
        <v>0</v>
      </c>
      <c r="ACK59" s="20" t="n">
        <f aca="false">ACJ59</f>
        <v>0</v>
      </c>
      <c r="ACL59" s="20" t="n">
        <f aca="false">ACK59</f>
        <v>0</v>
      </c>
      <c r="ACM59" s="20" t="n">
        <f aca="false">ACL59</f>
        <v>0</v>
      </c>
      <c r="ACN59" s="20" t="n">
        <f aca="false">ACM59</f>
        <v>0</v>
      </c>
      <c r="ACO59" s="20" t="n">
        <f aca="false">ACN59</f>
        <v>0</v>
      </c>
      <c r="ACP59" s="20" t="n">
        <f aca="false">ACO59</f>
        <v>0</v>
      </c>
      <c r="ACQ59" s="20" t="n">
        <f aca="false">ACP59</f>
        <v>0</v>
      </c>
      <c r="ACR59" s="20" t="n">
        <f aca="false">ACQ59</f>
        <v>0</v>
      </c>
      <c r="ACS59" s="20" t="n">
        <f aca="false">ACR59</f>
        <v>0</v>
      </c>
      <c r="ACT59" s="20" t="n">
        <f aca="false">ACS59</f>
        <v>0</v>
      </c>
      <c r="ACU59" s="20" t="n">
        <f aca="false">ACT59</f>
        <v>0</v>
      </c>
      <c r="ACV59" s="20" t="n">
        <f aca="false">ACU59</f>
        <v>0</v>
      </c>
      <c r="ACW59" s="20" t="n">
        <f aca="false">ACV59</f>
        <v>0</v>
      </c>
      <c r="ACX59" s="20" t="n">
        <f aca="false">ACW59</f>
        <v>0</v>
      </c>
      <c r="ACY59" s="20" t="n">
        <f aca="false">ACX59</f>
        <v>0</v>
      </c>
      <c r="ACZ59" s="20" t="n">
        <f aca="false">ACY59</f>
        <v>0</v>
      </c>
      <c r="ADA59" s="20" t="n">
        <f aca="false">ACZ59</f>
        <v>0</v>
      </c>
      <c r="ADB59" s="20" t="n">
        <f aca="false">ADA59</f>
        <v>0</v>
      </c>
      <c r="ADC59" s="20" t="n">
        <f aca="false">ADB59</f>
        <v>0</v>
      </c>
      <c r="ADD59" s="20" t="n">
        <f aca="false">ADC59</f>
        <v>0</v>
      </c>
      <c r="ADE59" s="20" t="n">
        <f aca="false">ADD59</f>
        <v>0</v>
      </c>
      <c r="ADF59" s="20" t="n">
        <f aca="false">ADE59</f>
        <v>0</v>
      </c>
      <c r="ADG59" s="20" t="n">
        <f aca="false">ADF59</f>
        <v>0</v>
      </c>
      <c r="ADH59" s="20" t="n">
        <f aca="false">ADG59</f>
        <v>0</v>
      </c>
      <c r="ADI59" s="20" t="n">
        <f aca="false">ADH59</f>
        <v>0</v>
      </c>
      <c r="ADJ59" s="20" t="n">
        <f aca="false">ADI59</f>
        <v>0</v>
      </c>
      <c r="ADK59" s="20" t="n">
        <f aca="false">ADJ59</f>
        <v>0</v>
      </c>
      <c r="ADL59" s="20" t="n">
        <f aca="false">ADK59</f>
        <v>0</v>
      </c>
      <c r="ADM59" s="20" t="n">
        <f aca="false">ADL59</f>
        <v>0</v>
      </c>
      <c r="ADN59" s="20" t="n">
        <f aca="false">ADM59</f>
        <v>0</v>
      </c>
      <c r="ADO59" s="20" t="n">
        <f aca="false">ADN59</f>
        <v>0</v>
      </c>
      <c r="ADP59" s="20" t="n">
        <f aca="false">ADO59</f>
        <v>0</v>
      </c>
      <c r="ADQ59" s="20" t="n">
        <f aca="false">ADP59</f>
        <v>0</v>
      </c>
      <c r="ADR59" s="20" t="n">
        <f aca="false">(AKR58-TE59+0)*(1+BQ59)</f>
        <v>0</v>
      </c>
      <c r="ADS59" s="20" t="n">
        <f aca="false">(AKS58-TF59+0)*(1+BQ59)</f>
        <v>0</v>
      </c>
      <c r="ADT59" s="20" t="n">
        <f aca="false">(AKT58-TG59+0)*(1+BQ59)</f>
        <v>0</v>
      </c>
      <c r="ADU59" s="20" t="n">
        <f aca="false">(AKU58-TH59+0)*(1+BQ59)</f>
        <v>0</v>
      </c>
      <c r="ADV59" s="20" t="n">
        <f aca="false">(AKV58-TI59+0)*(1+BQ59)</f>
        <v>0</v>
      </c>
      <c r="ADW59" s="20" t="n">
        <f aca="false">(AKW58-TJ59+0)*(1+BQ59)</f>
        <v>0</v>
      </c>
      <c r="ADX59" s="20" t="n">
        <f aca="false">(AKX58-TK59+0)*(1+BQ59)</f>
        <v>0</v>
      </c>
      <c r="ADY59" s="20" t="n">
        <f aca="false">(AKY58-TL59+0)*(1+BQ59)</f>
        <v>0</v>
      </c>
      <c r="ADZ59" s="20" t="n">
        <f aca="false">(AKZ58-TM59+0)*(1+BQ59)</f>
        <v>0</v>
      </c>
      <c r="AEA59" s="20" t="n">
        <f aca="false">(ALA58-TN59+0)*(1+BQ59)</f>
        <v>0</v>
      </c>
      <c r="AEB59" s="20" t="n">
        <f aca="false">(ALB58-TO59+0)*(1+BQ59)</f>
        <v>0</v>
      </c>
      <c r="AEC59" s="20" t="n">
        <f aca="false">(ALC58-TP59+0)*(1+BQ59)</f>
        <v>0</v>
      </c>
      <c r="AED59" s="20" t="n">
        <f aca="false">(ALD58-TQ59+0)*(1+BQ59)</f>
        <v>0</v>
      </c>
      <c r="AEE59" s="20" t="n">
        <f aca="false">(ALE58-TR59+0)*(1+BQ59)</f>
        <v>0</v>
      </c>
      <c r="AEF59" s="20" t="n">
        <f aca="false">(ALF58-TS59+0)*(1+BQ59)</f>
        <v>0</v>
      </c>
      <c r="AEG59" s="20" t="n">
        <f aca="false">(ALG58-TT59+0)*(1+BQ59)</f>
        <v>0</v>
      </c>
      <c r="AEH59" s="20" t="n">
        <f aca="false">(ALH58-TU59+0)*(1+BQ59)</f>
        <v>0</v>
      </c>
      <c r="AEI59" s="20" t="n">
        <f aca="false">(ALI58-TV59+0)*(1+BQ59)</f>
        <v>0</v>
      </c>
      <c r="AEJ59" s="20" t="n">
        <f aca="false">(ALJ58-TW59+0)*(1+BQ59)</f>
        <v>0</v>
      </c>
      <c r="AEK59" s="20" t="n">
        <f aca="false">(ALK58-TX59+0)*(1+BQ59)</f>
        <v>0</v>
      </c>
      <c r="AEL59" s="20" t="n">
        <f aca="false">(ALL58-TY59+0)*(1+BQ59)</f>
        <v>0</v>
      </c>
      <c r="AEM59" s="20" t="n">
        <f aca="false">(ALM58-TZ59+0)*(1+BQ59)</f>
        <v>0</v>
      </c>
      <c r="AEN59" s="20" t="n">
        <f aca="false">(ALN58-UA59+0)*(1+BQ59)</f>
        <v>0</v>
      </c>
      <c r="AEO59" s="20" t="n">
        <f aca="false">(ALO58-UB59+0)*(1+BQ59)</f>
        <v>0</v>
      </c>
      <c r="AEP59" s="20" t="n">
        <f aca="false">(ALP58-UC59+0)*(1+BQ59)</f>
        <v>0</v>
      </c>
      <c r="AEQ59" s="20" t="n">
        <f aca="false">(ALQ58-UD59+0)*(1+BQ59)</f>
        <v>0</v>
      </c>
      <c r="AER59" s="20" t="n">
        <f aca="false">(ALR58-UE59+0)*(1+BQ59)</f>
        <v>0</v>
      </c>
      <c r="AES59" s="20" t="n">
        <f aca="false">(ALS58-UF59+0)*(1+BQ59)</f>
        <v>0</v>
      </c>
      <c r="AET59" s="20" t="n">
        <f aca="false">(ALT58-UG59+0)*(1+BQ59)</f>
        <v>0</v>
      </c>
      <c r="AEU59" s="20" t="n">
        <f aca="false">(ALU58-UH59+0)*(1+BQ59)</f>
        <v>0</v>
      </c>
      <c r="AEV59" s="20" t="n">
        <f aca="false">(ALV58-UI59+0)*(1+BQ59)</f>
        <v>0</v>
      </c>
      <c r="AEW59" s="20" t="n">
        <f aca="false">(ALW58-UJ59+0)*(1+BQ59)</f>
        <v>0</v>
      </c>
      <c r="AEX59" s="20" t="n">
        <f aca="false">(ALX58-UK59+0)*(1+BQ59)</f>
        <v>0</v>
      </c>
      <c r="AEY59" s="20" t="n">
        <f aca="false">(ALY58-UL59+0)*(1+BQ59)</f>
        <v>0</v>
      </c>
      <c r="AEZ59" s="20" t="n">
        <f aca="false">(ALZ58-UM59+0)*(1+BQ59)</f>
        <v>0</v>
      </c>
      <c r="AFA59" s="20" t="n">
        <f aca="false">(AMA58-UN59+0)*(1+BQ59)</f>
        <v>0</v>
      </c>
      <c r="AFB59" s="20" t="n">
        <f aca="false">(AMB58-UO59+0)*(1+BQ59)</f>
        <v>0</v>
      </c>
      <c r="AFC59" s="20" t="n">
        <f aca="false">(AMC58-UP59+0)*(1+BQ59)</f>
        <v>0</v>
      </c>
      <c r="AFD59" s="20" t="n">
        <f aca="false">(AMD58-UQ59+0)*(1+BQ59)</f>
        <v>0</v>
      </c>
      <c r="AFE59" s="20" t="n">
        <f aca="false">(AME58-UR59+0)*(1+BQ59)</f>
        <v>0</v>
      </c>
      <c r="AFF59" s="20" t="n">
        <f aca="false">(AMF58-US59+0)*(1+BQ59)</f>
        <v>0</v>
      </c>
      <c r="AFG59" s="20" t="n">
        <f aca="false">(AMG58-UT59+0)*(1+BQ59)</f>
        <v>0</v>
      </c>
      <c r="AFH59" s="20" t="n">
        <f aca="false">(AMH58-UU59+0)*(1+BQ59)</f>
        <v>0</v>
      </c>
      <c r="AFI59" s="20" t="n">
        <f aca="false">(AMI58-UV59+0)*(1+BQ59)</f>
        <v>0</v>
      </c>
      <c r="AFJ59" s="20" t="n">
        <f aca="false">(AMJ58-UW59+0)*(1+BQ59)</f>
        <v>0</v>
      </c>
      <c r="AFK59" s="20" t="n">
        <f aca="false">(AMK58-UX59+0)*(1+BQ59)</f>
        <v>0</v>
      </c>
      <c r="AFL59" s="20" t="n">
        <f aca="false">(AML58-UY59+0)*(1+BQ59)</f>
        <v>0</v>
      </c>
      <c r="AFM59" s="20" t="n">
        <f aca="false">(AMM58-UZ59+0)*(1+BQ59)</f>
        <v>0</v>
      </c>
      <c r="AFN59" s="20" t="n">
        <f aca="false">(AMN58-VA59+0)*(1+BQ59)</f>
        <v>0</v>
      </c>
      <c r="AFO59" s="20" t="n">
        <f aca="false">(AMO58-VB59+0)*(1+BQ59)</f>
        <v>0</v>
      </c>
      <c r="AFP59" s="20" t="n">
        <f aca="false">(AMP58-VC59+0)*(1+BQ59)</f>
        <v>0</v>
      </c>
      <c r="AFQ59" s="20" t="n">
        <f aca="false">(AMQ58-VD59+0)*(1+BQ59)</f>
        <v>0</v>
      </c>
      <c r="AFR59" s="20" t="n">
        <f aca="false">((P59+S59)-VE59+BE59)*(1+BQ59)</f>
        <v>0</v>
      </c>
      <c r="AFS59" s="20" t="n">
        <v>0</v>
      </c>
      <c r="AFT59" s="20" t="n">
        <v>0</v>
      </c>
      <c r="AFU59" s="20" t="n">
        <v>0</v>
      </c>
      <c r="AFV59" s="20" t="n">
        <v>0</v>
      </c>
      <c r="AFW59" s="20" t="n">
        <v>0</v>
      </c>
      <c r="AFX59" s="20" t="n">
        <v>0</v>
      </c>
      <c r="AFY59" s="20" t="n">
        <v>0</v>
      </c>
      <c r="AFZ59" s="20" t="n">
        <v>0</v>
      </c>
      <c r="AGA59" s="20" t="n">
        <v>0</v>
      </c>
      <c r="AGB59" s="20" t="n">
        <v>0</v>
      </c>
      <c r="AGC59" s="20" t="n">
        <v>0</v>
      </c>
      <c r="AGD59" s="20" t="n">
        <v>0</v>
      </c>
      <c r="AGE59" s="20" t="n">
        <v>0</v>
      </c>
      <c r="AGF59" s="20" t="n">
        <v>0</v>
      </c>
      <c r="AGG59" s="20" t="n">
        <v>0</v>
      </c>
      <c r="AGH59" s="20" t="n">
        <v>0</v>
      </c>
      <c r="AGI59" s="20" t="n">
        <v>0</v>
      </c>
      <c r="AGJ59" s="20" t="n">
        <v>0</v>
      </c>
      <c r="AGK59" s="20" t="n">
        <v>0</v>
      </c>
      <c r="AGL59" s="20" t="n">
        <v>0</v>
      </c>
      <c r="AGM59" s="20" t="n">
        <v>0</v>
      </c>
      <c r="AGN59" s="20" t="n">
        <v>0</v>
      </c>
      <c r="AGO59" s="20" t="n">
        <v>0</v>
      </c>
      <c r="AGP59" s="20" t="n">
        <v>0</v>
      </c>
      <c r="AGQ59" s="20" t="n">
        <v>0</v>
      </c>
      <c r="AGR59" s="20" t="n">
        <v>0</v>
      </c>
      <c r="AGS59" s="20" t="n">
        <v>0</v>
      </c>
      <c r="AGT59" s="20" t="n">
        <v>0</v>
      </c>
      <c r="AGU59" s="20" t="n">
        <v>0</v>
      </c>
      <c r="AGV59" s="20" t="n">
        <v>0</v>
      </c>
      <c r="AGW59" s="20" t="n">
        <v>0</v>
      </c>
      <c r="AGX59" s="20" t="n">
        <v>0</v>
      </c>
      <c r="AGY59" s="20" t="n">
        <v>0</v>
      </c>
      <c r="AGZ59" s="20" t="n">
        <v>0</v>
      </c>
      <c r="AHA59" s="20" t="n">
        <v>0</v>
      </c>
      <c r="AHB59" s="20" t="n">
        <v>0</v>
      </c>
      <c r="AHC59" s="20" t="n">
        <v>0</v>
      </c>
      <c r="AHD59" s="20" t="n">
        <v>0</v>
      </c>
      <c r="AHE59" s="20" t="n">
        <f aca="false">IF(AKR58&gt;0,AOE58-AOE58*TE59/AKR58,0)+0</f>
        <v>0</v>
      </c>
      <c r="AHF59" s="20" t="n">
        <f aca="false">IF(AKS58&gt;0,AOF58-AOF58*TF59/AKS58,0)+0</f>
        <v>0</v>
      </c>
      <c r="AHG59" s="20" t="n">
        <f aca="false">IF(AKT58&gt;0,AOG58-AOG58*TG59/AKT58,0)+0</f>
        <v>0</v>
      </c>
      <c r="AHH59" s="20" t="n">
        <f aca="false">IF(AKU58&gt;0,AOH58-AOH58*TH59/AKU58,0)+0</f>
        <v>0</v>
      </c>
      <c r="AHI59" s="20" t="n">
        <f aca="false">IF(AKV58&gt;0,AOI58-AOI58*TI59/AKV58,0)+0</f>
        <v>0</v>
      </c>
      <c r="AHJ59" s="20" t="n">
        <f aca="false">IF(AKW58&gt;0,AOJ58-AOJ58*TJ59/AKW58,0)+0</f>
        <v>0</v>
      </c>
      <c r="AHK59" s="20" t="n">
        <f aca="false">IF(AKX58&gt;0,AOK58-AOK58*TK59/AKX58,0)+0</f>
        <v>0</v>
      </c>
      <c r="AHL59" s="20" t="n">
        <f aca="false">IF(AKY58&gt;0,AOL58-AOL58*TL59/AKY58,0)+0</f>
        <v>0</v>
      </c>
      <c r="AHM59" s="20" t="n">
        <f aca="false">IF(AKZ58&gt;0,AOM58-AOM58*TM59/AKZ58,0)+0</f>
        <v>0</v>
      </c>
      <c r="AHN59" s="20" t="n">
        <f aca="false">IF(ALA58&gt;0,AON58-AON58*TN59/ALA58,0)+0</f>
        <v>0</v>
      </c>
      <c r="AHO59" s="20" t="n">
        <f aca="false">IF(ALB58&gt;0,AOO58-AOO58*TO59/ALB58,0)+0</f>
        <v>0</v>
      </c>
      <c r="AHP59" s="20" t="n">
        <f aca="false">IF(ALC58&gt;0,AOP58-AOP58*TP59/ALC58,0)+0</f>
        <v>0</v>
      </c>
      <c r="AHQ59" s="20" t="n">
        <f aca="false">IF(ALD58&gt;0,AOQ58-AOQ58*TQ59/ALD58,0)+0</f>
        <v>0</v>
      </c>
      <c r="AHR59" s="20" t="n">
        <f aca="false">IF(ALE58&gt;0,AOR58-AOR58*TR59/ALE58,0)+0</f>
        <v>0</v>
      </c>
      <c r="AHS59" s="20" t="n">
        <f aca="false">IF(ALF58&gt;0,AOS58-AOS58*TS59/ALF58,0)+0</f>
        <v>0</v>
      </c>
      <c r="AHT59" s="20" t="n">
        <f aca="false">IF(ALG58&gt;0,AOT58-AOT58*TT59/ALG58,0)+0</f>
        <v>0</v>
      </c>
      <c r="AHU59" s="20" t="n">
        <f aca="false">IF(ALH58&gt;0,AOU58-AOU58*TU59/ALH58,0)+0</f>
        <v>0</v>
      </c>
      <c r="AHV59" s="20" t="n">
        <f aca="false">IF(ALI58&gt;0,AOV58-AOV58*TV59/ALI58,0)+0</f>
        <v>0</v>
      </c>
      <c r="AHW59" s="20" t="n">
        <f aca="false">IF(ALJ58&gt;0,AOW58-AOW58*TW59/ALJ58,0)+0</f>
        <v>0</v>
      </c>
      <c r="AHX59" s="20" t="n">
        <f aca="false">IF(ALK58&gt;0,AOX58-AOX58*TX59/ALK58,0)+0</f>
        <v>0</v>
      </c>
      <c r="AHY59" s="20" t="n">
        <f aca="false">IF(ALL58&gt;0,AOY58-AOY58*TY59/ALL58,0)+0</f>
        <v>0</v>
      </c>
      <c r="AHZ59" s="20" t="n">
        <f aca="false">IF(ALM58&gt;0,AOZ58-AOZ58*TZ59/ALM58,0)+0</f>
        <v>0</v>
      </c>
      <c r="AIA59" s="20" t="n">
        <f aca="false">IF(ALN58&gt;0,APA58-APA58*UA59/ALN58,0)+0</f>
        <v>0</v>
      </c>
      <c r="AIB59" s="20" t="n">
        <f aca="false">IF(ALO58&gt;0,APB58-APB58*UB59/ALO58,0)+0</f>
        <v>0</v>
      </c>
      <c r="AIC59" s="20" t="n">
        <f aca="false">IF(ALP58&gt;0,APC58-APC58*UC59/ALP58,0)+0</f>
        <v>0</v>
      </c>
      <c r="AID59" s="20" t="n">
        <f aca="false">IF(ALQ58&gt;0,APD58-APD58*UD59/ALQ58,0)+0</f>
        <v>0</v>
      </c>
      <c r="AIE59" s="20" t="n">
        <f aca="false">IF(ALR58&gt;0,APE58-APE58*UE59/ALR58,0)+0</f>
        <v>0</v>
      </c>
      <c r="AIF59" s="20" t="n">
        <f aca="false">IF(ALS58&gt;0,APF58-APF58*UF59/ALS58,0)+0</f>
        <v>0</v>
      </c>
      <c r="AIG59" s="20" t="n">
        <f aca="false">IF(ALT58&gt;0,APG58-APG58*UG59/ALT58,0)+0</f>
        <v>0</v>
      </c>
      <c r="AIH59" s="20" t="n">
        <f aca="false">IF(ALU58&gt;0,APH58-APH58*UH59/ALU58,0)+0</f>
        <v>0</v>
      </c>
      <c r="AII59" s="20" t="n">
        <f aca="false">IF(ALV58&gt;0,API58-API58*UI59/ALV58,0)+0</f>
        <v>0</v>
      </c>
      <c r="AIJ59" s="20" t="n">
        <f aca="false">IF(ALW58&gt;0,APJ58-APJ58*UJ59/ALW58,0)+0</f>
        <v>0</v>
      </c>
      <c r="AIK59" s="20" t="n">
        <f aca="false">IF(ALX58&gt;0,APK58-APK58*UK59/ALX58,0)+0</f>
        <v>0</v>
      </c>
      <c r="AIL59" s="20" t="n">
        <f aca="false">IF(ALY58&gt;0,APL58-APL58*UL59/ALY58,0)+0</f>
        <v>0</v>
      </c>
      <c r="AIM59" s="20" t="n">
        <f aca="false">IF(ALZ58&gt;0,APM58-APM58*UM59/ALZ58,0)+0</f>
        <v>0</v>
      </c>
      <c r="AIN59" s="20" t="n">
        <f aca="false">IF(AMA58&gt;0,APN58-APN58*UN59/AMA58,0)+0</f>
        <v>0</v>
      </c>
      <c r="AIO59" s="20" t="n">
        <f aca="false">IF(AMB58&gt;0,APO58-APO58*UO59/AMB58,0)+0</f>
        <v>0</v>
      </c>
      <c r="AIP59" s="20" t="n">
        <f aca="false">IF(AMC58&gt;0,APP58-APP58*UP59/AMC58,0)+0</f>
        <v>0</v>
      </c>
      <c r="AIQ59" s="20" t="n">
        <f aca="false">IF(AMD58&gt;0,APQ58-APQ58*UQ59/AMD58,0)+0</f>
        <v>0</v>
      </c>
      <c r="AIR59" s="20" t="n">
        <f aca="false">IF(AME58&gt;0,APR58-APR58*UR59/AME58,0)+0</f>
        <v>0</v>
      </c>
      <c r="AIS59" s="20" t="n">
        <f aca="false">IF(AMF58&gt;0,APS58-APS58*US59/AMF58,0)+0</f>
        <v>0</v>
      </c>
      <c r="AIT59" s="20" t="n">
        <f aca="false">IF(AMG58&gt;0,APT58-APT58*UT59/AMG58,0)+0</f>
        <v>0</v>
      </c>
      <c r="AIU59" s="20" t="n">
        <f aca="false">IF(AMH58&gt;0,APU58-APU58*UU59/AMH58,0)+0</f>
        <v>0</v>
      </c>
      <c r="AIV59" s="20" t="n">
        <f aca="false">IF(AMI58&gt;0,APV58-APV58*UV59/AMI58,0)+0</f>
        <v>0</v>
      </c>
      <c r="AIW59" s="20" t="n">
        <f aca="false">IF(AMJ58&gt;0,APW58-APW58*UW59/AMJ58,0)+0</f>
        <v>0</v>
      </c>
      <c r="AIX59" s="20" t="n">
        <f aca="false">IF(AMK58&gt;0,APX58-APX58*UX59/AMK58,0)+0</f>
        <v>0</v>
      </c>
      <c r="AIY59" s="20" t="n">
        <f aca="false">IF(AML58&gt;0,APY58-APY58*UY59/AML58,0)+0</f>
        <v>0</v>
      </c>
      <c r="AIZ59" s="20" t="n">
        <f aca="false">IF(AMM58&gt;0,APZ58-APZ58*UZ59/AMM58,0)+0</f>
        <v>0</v>
      </c>
      <c r="AJA59" s="20" t="n">
        <f aca="false">IF(AMN58&gt;0,AQA58-AQA58*VA59/AMN58,0)+0</f>
        <v>0</v>
      </c>
      <c r="AJB59" s="20" t="n">
        <f aca="false">IF(AMO58&gt;0,AQB58-AQB58*VB59/AMO58,0)+0</f>
        <v>0</v>
      </c>
      <c r="AJC59" s="20" t="n">
        <f aca="false">IF(AMP58&gt;0,AQC58-AQC58*VC59/AMP58,0)+0</f>
        <v>0</v>
      </c>
      <c r="AJD59" s="20" t="n">
        <f aca="false">IF(AMQ58&gt;0,AQD58-AQD58*VD59/AMQ58,0)+0</f>
        <v>0</v>
      </c>
      <c r="AJE59" s="20" t="n">
        <f aca="false">IF((P59+S59)&gt;0,(P59+S59)-(P59+S59)*VE59/(P59+S59),0)+BE59</f>
        <v>0</v>
      </c>
      <c r="AJF59" s="20" t="n">
        <v>0</v>
      </c>
      <c r="AJG59" s="20" t="n">
        <v>0</v>
      </c>
      <c r="AJH59" s="20" t="n">
        <v>0</v>
      </c>
      <c r="AJI59" s="20" t="n">
        <v>0</v>
      </c>
      <c r="AJJ59" s="20" t="n">
        <v>0</v>
      </c>
      <c r="AJK59" s="20" t="n">
        <v>0</v>
      </c>
      <c r="AJL59" s="20" t="n">
        <v>0</v>
      </c>
      <c r="AJM59" s="20" t="n">
        <v>0</v>
      </c>
      <c r="AJN59" s="20" t="n">
        <v>0</v>
      </c>
      <c r="AJO59" s="20" t="n">
        <v>0</v>
      </c>
      <c r="AJP59" s="20" t="n">
        <v>0</v>
      </c>
      <c r="AJQ59" s="20" t="n">
        <v>0</v>
      </c>
      <c r="AJR59" s="20" t="n">
        <v>0</v>
      </c>
      <c r="AJS59" s="20" t="n">
        <v>0</v>
      </c>
      <c r="AJT59" s="20" t="n">
        <v>0</v>
      </c>
      <c r="AJU59" s="20" t="n">
        <v>0</v>
      </c>
      <c r="AJV59" s="20" t="n">
        <v>0</v>
      </c>
      <c r="AJW59" s="20" t="n">
        <v>0</v>
      </c>
      <c r="AJX59" s="20" t="n">
        <v>0</v>
      </c>
      <c r="AJY59" s="20" t="n">
        <v>0</v>
      </c>
      <c r="AJZ59" s="20" t="n">
        <v>0</v>
      </c>
      <c r="AKA59" s="20" t="n">
        <v>0</v>
      </c>
      <c r="AKB59" s="20" t="n">
        <v>0</v>
      </c>
      <c r="AKC59" s="20" t="n">
        <v>0</v>
      </c>
      <c r="AKD59" s="20" t="n">
        <v>0</v>
      </c>
      <c r="AKE59" s="20" t="n">
        <v>0</v>
      </c>
      <c r="AKF59" s="20" t="n">
        <v>0</v>
      </c>
      <c r="AKG59" s="20" t="n">
        <v>0</v>
      </c>
      <c r="AKH59" s="20" t="n">
        <v>0</v>
      </c>
      <c r="AKI59" s="20" t="n">
        <v>0</v>
      </c>
      <c r="AKJ59" s="20" t="n">
        <v>0</v>
      </c>
      <c r="AKK59" s="20" t="n">
        <v>0</v>
      </c>
      <c r="AKL59" s="20" t="n">
        <v>0</v>
      </c>
      <c r="AKM59" s="20" t="n">
        <v>0</v>
      </c>
      <c r="AKN59" s="20" t="n">
        <v>0</v>
      </c>
      <c r="AKO59" s="20" t="n">
        <v>0</v>
      </c>
      <c r="AKP59" s="20" t="n">
        <v>0</v>
      </c>
      <c r="AKQ59" s="20" t="n">
        <v>0</v>
      </c>
      <c r="AKR59" s="20" t="n">
        <f aca="false">ADR59-AVE59</f>
        <v>0</v>
      </c>
      <c r="AKS59" s="20" t="n">
        <f aca="false">ADS59-AVF59</f>
        <v>0</v>
      </c>
      <c r="AKT59" s="20" t="n">
        <f aca="false">ADT59-AVG59</f>
        <v>0</v>
      </c>
      <c r="AKU59" s="20" t="n">
        <f aca="false">ADU59-AVH59</f>
        <v>0</v>
      </c>
      <c r="AKV59" s="20" t="n">
        <f aca="false">ADV59-AVI59</f>
        <v>0</v>
      </c>
      <c r="AKW59" s="20" t="n">
        <f aca="false">ADW59-AVJ59</f>
        <v>0</v>
      </c>
      <c r="AKX59" s="20" t="n">
        <f aca="false">ADX59-AVK59</f>
        <v>0</v>
      </c>
      <c r="AKY59" s="20" t="n">
        <f aca="false">ADY59-AVL59</f>
        <v>0</v>
      </c>
      <c r="AKZ59" s="20" t="n">
        <f aca="false">ADZ59-AVM59</f>
        <v>0</v>
      </c>
      <c r="ALA59" s="20" t="n">
        <f aca="false">AEA59-AVN59</f>
        <v>0</v>
      </c>
      <c r="ALB59" s="20" t="n">
        <f aca="false">AEB59-AVO59</f>
        <v>0</v>
      </c>
      <c r="ALC59" s="20" t="n">
        <f aca="false">AEC59-AVP59</f>
        <v>0</v>
      </c>
      <c r="ALD59" s="20" t="n">
        <f aca="false">AED59-AVQ59</f>
        <v>0</v>
      </c>
      <c r="ALE59" s="20" t="n">
        <f aca="false">AEE59-AVR59</f>
        <v>0</v>
      </c>
      <c r="ALF59" s="20" t="n">
        <f aca="false">AEF59-AVS59</f>
        <v>0</v>
      </c>
      <c r="ALG59" s="20" t="n">
        <f aca="false">AEG59-AVT59</f>
        <v>0</v>
      </c>
      <c r="ALH59" s="20" t="n">
        <f aca="false">AEH59-AVU59</f>
        <v>0</v>
      </c>
      <c r="ALI59" s="20" t="n">
        <f aca="false">AEI59-AVV59</f>
        <v>0</v>
      </c>
      <c r="ALJ59" s="20" t="n">
        <f aca="false">AEJ59-AVW59</f>
        <v>0</v>
      </c>
      <c r="ALK59" s="20" t="n">
        <f aca="false">AEK59-AVX59</f>
        <v>0</v>
      </c>
      <c r="ALL59" s="20" t="n">
        <f aca="false">AEL59-AVY59</f>
        <v>0</v>
      </c>
      <c r="ALM59" s="20" t="n">
        <f aca="false">AEM59-AVZ59</f>
        <v>0</v>
      </c>
      <c r="ALN59" s="20" t="n">
        <f aca="false">AEN59-AWA59</f>
        <v>0</v>
      </c>
      <c r="ALO59" s="20" t="n">
        <f aca="false">AEO59-AWB59</f>
        <v>0</v>
      </c>
      <c r="ALP59" s="20" t="n">
        <f aca="false">AEP59-AWC59</f>
        <v>0</v>
      </c>
      <c r="ALQ59" s="20" t="n">
        <f aca="false">AEQ59-AWD59</f>
        <v>0</v>
      </c>
      <c r="ALR59" s="20" t="n">
        <f aca="false">AER59-AWE59</f>
        <v>0</v>
      </c>
      <c r="ALS59" s="20" t="n">
        <f aca="false">AES59-AWF59</f>
        <v>0</v>
      </c>
      <c r="ALT59" s="20" t="n">
        <f aca="false">AET59-AWG59</f>
        <v>0</v>
      </c>
      <c r="ALU59" s="20" t="n">
        <f aca="false">AEU59-AWH59</f>
        <v>0</v>
      </c>
      <c r="ALV59" s="20" t="n">
        <f aca="false">AEV59-AWI59</f>
        <v>0</v>
      </c>
      <c r="ALW59" s="20" t="n">
        <f aca="false">AEW59-AWJ59</f>
        <v>0</v>
      </c>
      <c r="ALX59" s="20" t="n">
        <f aca="false">AEX59-AWK59</f>
        <v>0</v>
      </c>
      <c r="ALY59" s="20" t="n">
        <f aca="false">AEY59-AWL59</f>
        <v>0</v>
      </c>
      <c r="ALZ59" s="20" t="n">
        <f aca="false">AEZ59-AWM59</f>
        <v>0</v>
      </c>
      <c r="AMA59" s="20" t="n">
        <f aca="false">AFA59-AWN59</f>
        <v>0</v>
      </c>
      <c r="AMB59" s="20" t="n">
        <f aca="false">AFB59-AWO59</f>
        <v>0</v>
      </c>
      <c r="AMC59" s="20" t="n">
        <f aca="false">AFC59-AWP59</f>
        <v>0</v>
      </c>
      <c r="AMD59" s="20" t="n">
        <f aca="false">AFD59-AWQ59</f>
        <v>0</v>
      </c>
      <c r="AME59" s="20" t="n">
        <f aca="false">AFE59-AWR59</f>
        <v>0</v>
      </c>
      <c r="AMF59" s="20" t="n">
        <f aca="false">AFF59-AWS59</f>
        <v>0</v>
      </c>
      <c r="AMG59" s="20" t="n">
        <f aca="false">AFG59-AWT59</f>
        <v>0</v>
      </c>
      <c r="AMH59" s="20" t="n">
        <f aca="false">AFH59-AWU59</f>
        <v>0</v>
      </c>
      <c r="AMI59" s="20" t="n">
        <f aca="false">AFI59-AWV59</f>
        <v>0</v>
      </c>
      <c r="AMJ59" s="20" t="n">
        <f aca="false">AFJ59-AWW59</f>
        <v>0</v>
      </c>
      <c r="AMK59" s="20" t="n">
        <f aca="false">AFK59-AWX59</f>
        <v>0</v>
      </c>
      <c r="AML59" s="20" t="n">
        <f aca="false">AFL59-AWY59</f>
        <v>0</v>
      </c>
      <c r="AMM59" s="20" t="n">
        <f aca="false">AFM59-AWZ59</f>
        <v>0</v>
      </c>
      <c r="AMN59" s="20" t="n">
        <f aca="false">AFN59-AXA59</f>
        <v>0</v>
      </c>
      <c r="AMO59" s="20" t="n">
        <f aca="false">AFO59-AXB59</f>
        <v>0</v>
      </c>
      <c r="AMP59" s="20" t="n">
        <f aca="false">AFP59-AXC59</f>
        <v>0</v>
      </c>
      <c r="AMQ59" s="20" t="n">
        <f aca="false">AFQ59-AXD59</f>
        <v>0</v>
      </c>
      <c r="AMR59" s="20" t="n">
        <f aca="false">AFR59-AXE59</f>
        <v>0</v>
      </c>
      <c r="AMS59" s="20" t="n">
        <v>0</v>
      </c>
      <c r="AMT59" s="20" t="n">
        <v>0</v>
      </c>
      <c r="AMU59" s="20" t="n">
        <v>0</v>
      </c>
      <c r="AMV59" s="20" t="n">
        <v>0</v>
      </c>
      <c r="AMW59" s="20" t="n">
        <v>0</v>
      </c>
      <c r="AMX59" s="20" t="n">
        <v>0</v>
      </c>
      <c r="AMY59" s="20" t="n">
        <v>0</v>
      </c>
      <c r="AMZ59" s="20" t="n">
        <v>0</v>
      </c>
      <c r="ANA59" s="20" t="n">
        <v>0</v>
      </c>
      <c r="ANB59" s="20" t="n">
        <v>0</v>
      </c>
      <c r="ANC59" s="20" t="n">
        <v>0</v>
      </c>
      <c r="AND59" s="20" t="n">
        <v>0</v>
      </c>
      <c r="ANE59" s="20" t="n">
        <v>0</v>
      </c>
      <c r="ANF59" s="20" t="n">
        <v>0</v>
      </c>
      <c r="ANG59" s="20" t="n">
        <v>0</v>
      </c>
      <c r="ANH59" s="20" t="n">
        <v>0</v>
      </c>
      <c r="ANI59" s="20" t="n">
        <v>0</v>
      </c>
      <c r="ANJ59" s="20" t="n">
        <v>0</v>
      </c>
      <c r="ANK59" s="20" t="n">
        <v>0</v>
      </c>
      <c r="ANL59" s="20" t="n">
        <v>0</v>
      </c>
      <c r="ANM59" s="20" t="n">
        <v>0</v>
      </c>
      <c r="ANN59" s="20" t="n">
        <v>0</v>
      </c>
      <c r="ANO59" s="20" t="n">
        <v>0</v>
      </c>
      <c r="ANP59" s="20" t="n">
        <v>0</v>
      </c>
      <c r="ANQ59" s="20" t="n">
        <v>0</v>
      </c>
      <c r="ANR59" s="20" t="n">
        <v>0</v>
      </c>
      <c r="ANS59" s="20" t="n">
        <v>0</v>
      </c>
      <c r="ANT59" s="20" t="n">
        <v>0</v>
      </c>
      <c r="ANU59" s="20" t="n">
        <v>0</v>
      </c>
      <c r="ANV59" s="20" t="n">
        <v>0</v>
      </c>
      <c r="ANW59" s="20" t="n">
        <v>0</v>
      </c>
      <c r="ANX59" s="20" t="n">
        <v>0</v>
      </c>
      <c r="ANY59" s="20" t="n">
        <v>0</v>
      </c>
      <c r="ANZ59" s="20" t="n">
        <v>0</v>
      </c>
      <c r="AOA59" s="20" t="n">
        <v>0</v>
      </c>
      <c r="AOB59" s="20" t="n">
        <v>0</v>
      </c>
      <c r="AOC59" s="20" t="n">
        <v>0</v>
      </c>
      <c r="AOD59" s="20" t="n">
        <v>0</v>
      </c>
      <c r="AOE59" s="20" t="n">
        <f aca="false">IF(AND(H_Direct=0,H_TaxEvt=1,ARR58+1&gt;=H_Deemed),AKR59,AHE59)</f>
        <v>0</v>
      </c>
      <c r="AOF59" s="20" t="n">
        <f aca="false">IF(AND(H_Direct=0,H_TaxEvt=1,ARS58+1&gt;=H_Deemed),AKS59,AHF59)</f>
        <v>0</v>
      </c>
      <c r="AOG59" s="20" t="n">
        <f aca="false">IF(AND(H_Direct=0,H_TaxEvt=1,ART58+1&gt;=H_Deemed),AKT59,AHG59)</f>
        <v>0</v>
      </c>
      <c r="AOH59" s="20" t="n">
        <f aca="false">IF(AND(H_Direct=0,H_TaxEvt=1,ARU58+1&gt;=H_Deemed),AKU59,AHH59)</f>
        <v>0</v>
      </c>
      <c r="AOI59" s="20" t="n">
        <f aca="false">IF(AND(H_Direct=0,H_TaxEvt=1,ARV58+1&gt;=H_Deemed),AKV59,AHI59)</f>
        <v>0</v>
      </c>
      <c r="AOJ59" s="20" t="n">
        <f aca="false">IF(AND(H_Direct=0,H_TaxEvt=1,ARW58+1&gt;=H_Deemed),AKW59,AHJ59)</f>
        <v>0</v>
      </c>
      <c r="AOK59" s="20" t="n">
        <f aca="false">IF(AND(H_Direct=0,H_TaxEvt=1,ARX58+1&gt;=H_Deemed),AKX59,AHK59)</f>
        <v>0</v>
      </c>
      <c r="AOL59" s="20" t="n">
        <f aca="false">IF(AND(H_Direct=0,H_TaxEvt=1,ARY58+1&gt;=H_Deemed),AKY59,AHL59)</f>
        <v>0</v>
      </c>
      <c r="AOM59" s="20" t="n">
        <f aca="false">IF(AND(H_Direct=0,H_TaxEvt=1,ARZ58+1&gt;=H_Deemed),AKZ59,AHM59)</f>
        <v>0</v>
      </c>
      <c r="AON59" s="20" t="n">
        <f aca="false">IF(AND(H_Direct=0,H_TaxEvt=1,ASA58+1&gt;=H_Deemed),ALA59,AHN59)</f>
        <v>0</v>
      </c>
      <c r="AOO59" s="20" t="n">
        <f aca="false">IF(AND(H_Direct=0,H_TaxEvt=1,ASB58+1&gt;=H_Deemed),ALB59,AHO59)</f>
        <v>0</v>
      </c>
      <c r="AOP59" s="20" t="n">
        <f aca="false">IF(AND(H_Direct=0,H_TaxEvt=1,ASC58+1&gt;=H_Deemed),ALC59,AHP59)</f>
        <v>0</v>
      </c>
      <c r="AOQ59" s="20" t="n">
        <f aca="false">IF(AND(H_Direct=0,H_TaxEvt=1,ASD58+1&gt;=H_Deemed),ALD59,AHQ59)</f>
        <v>0</v>
      </c>
      <c r="AOR59" s="20" t="n">
        <f aca="false">IF(AND(H_Direct=0,H_TaxEvt=1,ASE58+1&gt;=H_Deemed),ALE59,AHR59)</f>
        <v>0</v>
      </c>
      <c r="AOS59" s="20" t="n">
        <f aca="false">IF(AND(H_Direct=0,H_TaxEvt=1,ASF58+1&gt;=H_Deemed),ALF59,AHS59)</f>
        <v>0</v>
      </c>
      <c r="AOT59" s="20" t="n">
        <f aca="false">IF(AND(H_Direct=0,H_TaxEvt=1,ASG58+1&gt;=H_Deemed),ALG59,AHT59)</f>
        <v>0</v>
      </c>
      <c r="AOU59" s="20" t="n">
        <f aca="false">IF(AND(H_Direct=0,H_TaxEvt=1,ASH58+1&gt;=H_Deemed),ALH59,AHU59)</f>
        <v>0</v>
      </c>
      <c r="AOV59" s="20" t="n">
        <f aca="false">IF(AND(H_Direct=0,H_TaxEvt=1,ASI58+1&gt;=H_Deemed),ALI59,AHV59)</f>
        <v>0</v>
      </c>
      <c r="AOW59" s="20" t="n">
        <f aca="false">IF(AND(H_Direct=0,H_TaxEvt=1,ASJ58+1&gt;=H_Deemed),ALJ59,AHW59)</f>
        <v>0</v>
      </c>
      <c r="AOX59" s="20" t="n">
        <f aca="false">IF(AND(H_Direct=0,H_TaxEvt=1,ASK58+1&gt;=H_Deemed),ALK59,AHX59)</f>
        <v>0</v>
      </c>
      <c r="AOY59" s="20" t="n">
        <f aca="false">IF(AND(H_Direct=0,H_TaxEvt=1,ASL58+1&gt;=H_Deemed),ALL59,AHY59)</f>
        <v>0</v>
      </c>
      <c r="AOZ59" s="20" t="n">
        <f aca="false">IF(AND(H_Direct=0,H_TaxEvt=1,ASM58+1&gt;=H_Deemed),ALM59,AHZ59)</f>
        <v>0</v>
      </c>
      <c r="APA59" s="20" t="n">
        <f aca="false">IF(AND(H_Direct=0,H_TaxEvt=1,ASN58+1&gt;=H_Deemed),ALN59,AIA59)</f>
        <v>0</v>
      </c>
      <c r="APB59" s="20" t="n">
        <f aca="false">IF(AND(H_Direct=0,H_TaxEvt=1,ASO58+1&gt;=H_Deemed),ALO59,AIB59)</f>
        <v>0</v>
      </c>
      <c r="APC59" s="20" t="n">
        <f aca="false">IF(AND(H_Direct=0,H_TaxEvt=1,ASP58+1&gt;=H_Deemed),ALP59,AIC59)</f>
        <v>0</v>
      </c>
      <c r="APD59" s="20" t="n">
        <f aca="false">IF(AND(H_Direct=0,H_TaxEvt=1,ASQ58+1&gt;=H_Deemed),ALQ59,AID59)</f>
        <v>0</v>
      </c>
      <c r="APE59" s="20" t="n">
        <f aca="false">IF(AND(H_Direct=0,H_TaxEvt=1,ASR58+1&gt;=H_Deemed),ALR59,AIE59)</f>
        <v>0</v>
      </c>
      <c r="APF59" s="20" t="n">
        <f aca="false">IF(AND(H_Direct=0,H_TaxEvt=1,ASS58+1&gt;=H_Deemed),ALS59,AIF59)</f>
        <v>0</v>
      </c>
      <c r="APG59" s="20" t="n">
        <f aca="false">IF(AND(H_Direct=0,H_TaxEvt=1,AST58+1&gt;=H_Deemed),ALT59,AIG59)</f>
        <v>0</v>
      </c>
      <c r="APH59" s="20" t="n">
        <f aca="false">IF(AND(H_Direct=0,H_TaxEvt=1,ASU58+1&gt;=H_Deemed),ALU59,AIH59)</f>
        <v>0</v>
      </c>
      <c r="API59" s="20" t="n">
        <f aca="false">IF(AND(H_Direct=0,H_TaxEvt=1,ASV58+1&gt;=H_Deemed),ALV59,AII59)</f>
        <v>0</v>
      </c>
      <c r="APJ59" s="20" t="n">
        <f aca="false">IF(AND(H_Direct=0,H_TaxEvt=1,ASW58+1&gt;=H_Deemed),ALW59,AIJ59)</f>
        <v>0</v>
      </c>
      <c r="APK59" s="20" t="n">
        <f aca="false">IF(AND(H_Direct=0,H_TaxEvt=1,ASX58+1&gt;=H_Deemed),ALX59,AIK59)</f>
        <v>0</v>
      </c>
      <c r="APL59" s="20" t="n">
        <f aca="false">IF(AND(H_Direct=0,H_TaxEvt=1,ASY58+1&gt;=H_Deemed),ALY59,AIL59)</f>
        <v>0</v>
      </c>
      <c r="APM59" s="20" t="n">
        <f aca="false">IF(AND(H_Direct=0,H_TaxEvt=1,ASZ58+1&gt;=H_Deemed),ALZ59,AIM59)</f>
        <v>0</v>
      </c>
      <c r="APN59" s="20" t="n">
        <f aca="false">IF(AND(H_Direct=0,H_TaxEvt=1,ATA58+1&gt;=H_Deemed),AMA59,AIN59)</f>
        <v>0</v>
      </c>
      <c r="APO59" s="20" t="n">
        <f aca="false">IF(AND(H_Direct=0,H_TaxEvt=1,ATB58+1&gt;=H_Deemed),AMB59,AIO59)</f>
        <v>0</v>
      </c>
      <c r="APP59" s="20" t="n">
        <f aca="false">IF(AND(H_Direct=0,H_TaxEvt=1,ATC58+1&gt;=H_Deemed),AMC59,AIP59)</f>
        <v>0</v>
      </c>
      <c r="APQ59" s="20" t="n">
        <f aca="false">IF(AND(H_Direct=0,H_TaxEvt=1,ATD58+1&gt;=H_Deemed),AMD59,AIQ59)</f>
        <v>0</v>
      </c>
      <c r="APR59" s="20" t="n">
        <f aca="false">IF(AND(H_Direct=0,H_TaxEvt=1,ATE58+1&gt;=H_Deemed),AME59,AIR59)</f>
        <v>0</v>
      </c>
      <c r="APS59" s="20" t="n">
        <f aca="false">IF(AND(H_Direct=0,H_TaxEvt=1,ATF58+1&gt;=H_Deemed),AMF59,AIS59)</f>
        <v>0</v>
      </c>
      <c r="APT59" s="20" t="n">
        <f aca="false">IF(AND(H_Direct=0,H_TaxEvt=1,ATG58+1&gt;=H_Deemed),AMG59,AIT59)</f>
        <v>0</v>
      </c>
      <c r="APU59" s="20" t="n">
        <f aca="false">IF(AND(H_Direct=0,H_TaxEvt=1,ATH58+1&gt;=H_Deemed),AMH59,AIU59)</f>
        <v>0</v>
      </c>
      <c r="APV59" s="20" t="n">
        <f aca="false">IF(AND(H_Direct=0,H_TaxEvt=1,ATI58+1&gt;=H_Deemed),AMI59,AIV59)</f>
        <v>0</v>
      </c>
      <c r="APW59" s="20" t="n">
        <f aca="false">IF(AND(H_Direct=0,H_TaxEvt=1,ATJ58+1&gt;=H_Deemed),AMJ59,AIW59)</f>
        <v>0</v>
      </c>
      <c r="APX59" s="20" t="n">
        <f aca="false">IF(AND(H_Direct=0,H_TaxEvt=1,ATK58+1&gt;=H_Deemed),AMK59,AIX59)</f>
        <v>0</v>
      </c>
      <c r="APY59" s="20" t="n">
        <f aca="false">IF(AND(H_Direct=0,H_TaxEvt=1,ATL58+1&gt;=H_Deemed),AML59,AIY59)</f>
        <v>0</v>
      </c>
      <c r="APZ59" s="20" t="n">
        <f aca="false">IF(AND(H_Direct=0,H_TaxEvt=1,ATM58+1&gt;=H_Deemed),AMM59,AIZ59)</f>
        <v>0</v>
      </c>
      <c r="AQA59" s="20" t="n">
        <f aca="false">IF(AND(H_Direct=0,H_TaxEvt=1,ATN58+1&gt;=H_Deemed),AMN59,AJA59)</f>
        <v>0</v>
      </c>
      <c r="AQB59" s="20" t="n">
        <f aca="false">IF(AND(H_Direct=0,H_TaxEvt=1,ATO58+1&gt;=H_Deemed),AMO59,AJB59)</f>
        <v>0</v>
      </c>
      <c r="AQC59" s="20" t="n">
        <f aca="false">IF(AND(H_Direct=0,H_TaxEvt=1,ATP58+1&gt;=H_Deemed),AMP59,AJC59)</f>
        <v>0</v>
      </c>
      <c r="AQD59" s="20" t="n">
        <f aca="false">IF(AND(H_Direct=0,H_TaxEvt=1,ATQ58+1&gt;=H_Deemed),AMQ59,AJD59)</f>
        <v>0</v>
      </c>
      <c r="AQE59" s="20" t="n">
        <f aca="false">IF(AND(H_Direct=0,H_TaxEvt=1,0+1&gt;=H_Deemed),AMR59,AJE59)</f>
        <v>0</v>
      </c>
      <c r="AQF59" s="20" t="n">
        <v>0</v>
      </c>
      <c r="AQG59" s="20" t="n">
        <v>0</v>
      </c>
      <c r="AQH59" s="20" t="n">
        <v>0</v>
      </c>
      <c r="AQI59" s="20" t="n">
        <v>0</v>
      </c>
      <c r="AQJ59" s="20" t="n">
        <v>0</v>
      </c>
      <c r="AQK59" s="20" t="n">
        <v>0</v>
      </c>
      <c r="AQL59" s="20" t="n">
        <v>0</v>
      </c>
      <c r="AQM59" s="20" t="n">
        <v>0</v>
      </c>
      <c r="AQN59" s="20" t="n">
        <v>0</v>
      </c>
      <c r="AQO59" s="20" t="n">
        <v>0</v>
      </c>
      <c r="AQP59" s="20" t="n">
        <v>0</v>
      </c>
      <c r="AQQ59" s="20" t="n">
        <v>0</v>
      </c>
      <c r="AQR59" s="20" t="n">
        <v>0</v>
      </c>
      <c r="AQS59" s="20" t="n">
        <v>0</v>
      </c>
      <c r="AQT59" s="20" t="n">
        <v>0</v>
      </c>
      <c r="AQU59" s="20" t="n">
        <v>0</v>
      </c>
      <c r="AQV59" s="20" t="n">
        <v>0</v>
      </c>
      <c r="AQW59" s="20" t="n">
        <v>0</v>
      </c>
      <c r="AQX59" s="20" t="n">
        <v>0</v>
      </c>
      <c r="AQY59" s="20" t="n">
        <v>0</v>
      </c>
      <c r="AQZ59" s="20" t="n">
        <v>0</v>
      </c>
      <c r="ARA59" s="20" t="n">
        <v>0</v>
      </c>
      <c r="ARB59" s="20" t="n">
        <v>0</v>
      </c>
      <c r="ARC59" s="20" t="n">
        <v>0</v>
      </c>
      <c r="ARD59" s="20" t="n">
        <v>0</v>
      </c>
      <c r="ARE59" s="20" t="n">
        <v>0</v>
      </c>
      <c r="ARF59" s="20" t="n">
        <v>0</v>
      </c>
      <c r="ARG59" s="20" t="n">
        <v>0</v>
      </c>
      <c r="ARH59" s="20" t="n">
        <v>0</v>
      </c>
      <c r="ARI59" s="20" t="n">
        <v>0</v>
      </c>
      <c r="ARJ59" s="20" t="n">
        <v>0</v>
      </c>
      <c r="ARK59" s="20" t="n">
        <v>0</v>
      </c>
      <c r="ARL59" s="20" t="n">
        <v>0</v>
      </c>
      <c r="ARM59" s="20" t="n">
        <v>0</v>
      </c>
      <c r="ARN59" s="20" t="n">
        <v>0</v>
      </c>
      <c r="ARO59" s="20" t="n">
        <v>0</v>
      </c>
      <c r="ARP59" s="20" t="n">
        <v>0</v>
      </c>
      <c r="ARQ59" s="20" t="n">
        <v>0</v>
      </c>
      <c r="ARR59" s="20" t="n">
        <f aca="false">IF(AND(H_Direct=0,H_TaxEvt=1),IF(ARR58+1&gt;=H_Deemed,0,ARR58+1),ARR58)</f>
        <v>4</v>
      </c>
      <c r="ARS59" s="20" t="n">
        <f aca="false">IF(AND(H_Direct=0,H_TaxEvt=1),IF(ARS58+1&gt;=H_Deemed,0,ARS58+1),ARS58)</f>
        <v>4</v>
      </c>
      <c r="ART59" s="20" t="n">
        <f aca="false">IF(AND(H_Direct=0,H_TaxEvt=1),IF(ART58+1&gt;=H_Deemed,0,ART58+1),ART58)</f>
        <v>3</v>
      </c>
      <c r="ARU59" s="20" t="n">
        <f aca="false">IF(AND(H_Direct=0,H_TaxEvt=1),IF(ARU58+1&gt;=H_Deemed,0,ARU58+1),ARU58)</f>
        <v>2</v>
      </c>
      <c r="ARV59" s="20" t="n">
        <f aca="false">IF(AND(H_Direct=0,H_TaxEvt=1),IF(ARV58+1&gt;=H_Deemed,0,ARV58+1),ARV58)</f>
        <v>1</v>
      </c>
      <c r="ARW59" s="20" t="n">
        <f aca="false">IF(AND(H_Direct=0,H_TaxEvt=1),IF(ARW58+1&gt;=H_Deemed,0,ARW58+1),ARW58)</f>
        <v>0</v>
      </c>
      <c r="ARX59" s="20" t="n">
        <f aca="false">IF(AND(H_Direct=0,H_TaxEvt=1),IF(ARX58+1&gt;=H_Deemed,0,ARX58+1),ARX58)</f>
        <v>7</v>
      </c>
      <c r="ARY59" s="20" t="n">
        <f aca="false">IF(AND(H_Direct=0,H_TaxEvt=1),IF(ARY58+1&gt;=H_Deemed,0,ARY58+1),ARY58)</f>
        <v>6</v>
      </c>
      <c r="ARZ59" s="20" t="n">
        <f aca="false">IF(AND(H_Direct=0,H_TaxEvt=1),IF(ARZ58+1&gt;=H_Deemed,0,ARZ58+1),ARZ58)</f>
        <v>5</v>
      </c>
      <c r="ASA59" s="20" t="n">
        <f aca="false">IF(AND(H_Direct=0,H_TaxEvt=1),IF(ASA58+1&gt;=H_Deemed,0,ASA58+1),ASA58)</f>
        <v>4</v>
      </c>
      <c r="ASB59" s="20" t="n">
        <f aca="false">IF(AND(H_Direct=0,H_TaxEvt=1),IF(ASB58+1&gt;=H_Deemed,0,ASB58+1),ASB58)</f>
        <v>3</v>
      </c>
      <c r="ASC59" s="20" t="n">
        <f aca="false">IF(AND(H_Direct=0,H_TaxEvt=1),IF(ASC58+1&gt;=H_Deemed,0,ASC58+1),ASC58)</f>
        <v>2</v>
      </c>
      <c r="ASD59" s="20" t="n">
        <f aca="false">IF(AND(H_Direct=0,H_TaxEvt=1),IF(ASD58+1&gt;=H_Deemed,0,ASD58+1),ASD58)</f>
        <v>1</v>
      </c>
      <c r="ASE59" s="20" t="n">
        <f aca="false">IF(AND(H_Direct=0,H_TaxEvt=1),IF(ASE58+1&gt;=H_Deemed,0,ASE58+1),ASE58)</f>
        <v>0</v>
      </c>
      <c r="ASF59" s="20" t="n">
        <f aca="false">IF(AND(H_Direct=0,H_TaxEvt=1),IF(ASF58+1&gt;=H_Deemed,0,ASF58+1),ASF58)</f>
        <v>7</v>
      </c>
      <c r="ASG59" s="20" t="n">
        <f aca="false">IF(AND(H_Direct=0,H_TaxEvt=1),IF(ASG58+1&gt;=H_Deemed,0,ASG58+1),ASG58)</f>
        <v>6</v>
      </c>
      <c r="ASH59" s="20" t="n">
        <f aca="false">IF(AND(H_Direct=0,H_TaxEvt=1),IF(ASH58+1&gt;=H_Deemed,0,ASH58+1),ASH58)</f>
        <v>5</v>
      </c>
      <c r="ASI59" s="20" t="n">
        <f aca="false">IF(AND(H_Direct=0,H_TaxEvt=1),IF(ASI58+1&gt;=H_Deemed,0,ASI58+1),ASI58)</f>
        <v>4</v>
      </c>
      <c r="ASJ59" s="20" t="n">
        <f aca="false">IF(AND(H_Direct=0,H_TaxEvt=1),IF(ASJ58+1&gt;=H_Deemed,0,ASJ58+1),ASJ58)</f>
        <v>3</v>
      </c>
      <c r="ASK59" s="20" t="n">
        <f aca="false">IF(AND(H_Direct=0,H_TaxEvt=1),IF(ASK58+1&gt;=H_Deemed,0,ASK58+1),ASK58)</f>
        <v>2</v>
      </c>
      <c r="ASL59" s="20" t="n">
        <f aca="false">IF(AND(H_Direct=0,H_TaxEvt=1),IF(ASL58+1&gt;=H_Deemed,0,ASL58+1),ASL58)</f>
        <v>1</v>
      </c>
      <c r="ASM59" s="20" t="n">
        <f aca="false">IF(AND(H_Direct=0,H_TaxEvt=1),IF(ASM58+1&gt;=H_Deemed,0,ASM58+1),ASM58)</f>
        <v>0</v>
      </c>
      <c r="ASN59" s="20" t="n">
        <f aca="false">IF(AND(H_Direct=0,H_TaxEvt=1),IF(ASN58+1&gt;=H_Deemed,0,ASN58+1),ASN58)</f>
        <v>7</v>
      </c>
      <c r="ASO59" s="20" t="n">
        <f aca="false">IF(AND(H_Direct=0,H_TaxEvt=1),IF(ASO58+1&gt;=H_Deemed,0,ASO58+1),ASO58)</f>
        <v>6</v>
      </c>
      <c r="ASP59" s="20" t="n">
        <f aca="false">IF(AND(H_Direct=0,H_TaxEvt=1),IF(ASP58+1&gt;=H_Deemed,0,ASP58+1),ASP58)</f>
        <v>5</v>
      </c>
      <c r="ASQ59" s="20" t="n">
        <f aca="false">IF(AND(H_Direct=0,H_TaxEvt=1),IF(ASQ58+1&gt;=H_Deemed,0,ASQ58+1),ASQ58)</f>
        <v>4</v>
      </c>
      <c r="ASR59" s="20" t="n">
        <f aca="false">IF(AND(H_Direct=0,H_TaxEvt=1),IF(ASR58+1&gt;=H_Deemed,0,ASR58+1),ASR58)</f>
        <v>3</v>
      </c>
      <c r="ASS59" s="20" t="n">
        <f aca="false">IF(AND(H_Direct=0,H_TaxEvt=1),IF(ASS58+1&gt;=H_Deemed,0,ASS58+1),ASS58)</f>
        <v>2</v>
      </c>
      <c r="AST59" s="20" t="n">
        <f aca="false">IF(AND(H_Direct=0,H_TaxEvt=1),IF(AST58+1&gt;=H_Deemed,0,AST58+1),AST58)</f>
        <v>1</v>
      </c>
      <c r="ASU59" s="20" t="n">
        <f aca="false">IF(AND(H_Direct=0,H_TaxEvt=1),IF(ASU58+1&gt;=H_Deemed,0,ASU58+1),ASU58)</f>
        <v>0</v>
      </c>
      <c r="ASV59" s="20" t="n">
        <f aca="false">IF(AND(H_Direct=0,H_TaxEvt=1),IF(ASV58+1&gt;=H_Deemed,0,ASV58+1),ASV58)</f>
        <v>7</v>
      </c>
      <c r="ASW59" s="20" t="n">
        <f aca="false">IF(AND(H_Direct=0,H_TaxEvt=1),IF(ASW58+1&gt;=H_Deemed,0,ASW58+1),ASW58)</f>
        <v>6</v>
      </c>
      <c r="ASX59" s="20" t="n">
        <f aca="false">IF(AND(H_Direct=0,H_TaxEvt=1),IF(ASX58+1&gt;=H_Deemed,0,ASX58+1),ASX58)</f>
        <v>5</v>
      </c>
      <c r="ASY59" s="20" t="n">
        <f aca="false">IF(AND(H_Direct=0,H_TaxEvt=1),IF(ASY58+1&gt;=H_Deemed,0,ASY58+1),ASY58)</f>
        <v>4</v>
      </c>
      <c r="ASZ59" s="20" t="n">
        <f aca="false">IF(AND(H_Direct=0,H_TaxEvt=1),IF(ASZ58+1&gt;=H_Deemed,0,ASZ58+1),ASZ58)</f>
        <v>3</v>
      </c>
      <c r="ATA59" s="20" t="n">
        <f aca="false">IF(AND(H_Direct=0,H_TaxEvt=1),IF(ATA58+1&gt;=H_Deemed,0,ATA58+1),ATA58)</f>
        <v>2</v>
      </c>
      <c r="ATB59" s="20" t="n">
        <f aca="false">IF(AND(H_Direct=0,H_TaxEvt=1),IF(ATB58+1&gt;=H_Deemed,0,ATB58+1),ATB58)</f>
        <v>1</v>
      </c>
      <c r="ATC59" s="20" t="n">
        <f aca="false">IF(AND(H_Direct=0,H_TaxEvt=1),IF(ATC58+1&gt;=H_Deemed,0,ATC58+1),ATC58)</f>
        <v>0</v>
      </c>
      <c r="ATD59" s="20" t="n">
        <f aca="false">IF(AND(H_Direct=0,H_TaxEvt=1),IF(ATD58+1&gt;=H_Deemed,0,ATD58+1),ATD58)</f>
        <v>7</v>
      </c>
      <c r="ATE59" s="20" t="n">
        <f aca="false">IF(AND(H_Direct=0,H_TaxEvt=1),IF(ATE58+1&gt;=H_Deemed,0,ATE58+1),ATE58)</f>
        <v>6</v>
      </c>
      <c r="ATF59" s="20" t="n">
        <f aca="false">IF(AND(H_Direct=0,H_TaxEvt=1),IF(ATF58+1&gt;=H_Deemed,0,ATF58+1),ATF58)</f>
        <v>5</v>
      </c>
      <c r="ATG59" s="20" t="n">
        <f aca="false">IF(AND(H_Direct=0,H_TaxEvt=1),IF(ATG58+1&gt;=H_Deemed,0,ATG58+1),ATG58)</f>
        <v>4</v>
      </c>
      <c r="ATH59" s="20" t="n">
        <f aca="false">IF(AND(H_Direct=0,H_TaxEvt=1),IF(ATH58+1&gt;=H_Deemed,0,ATH58+1),ATH58)</f>
        <v>3</v>
      </c>
      <c r="ATI59" s="20" t="n">
        <f aca="false">IF(AND(H_Direct=0,H_TaxEvt=1),IF(ATI58+1&gt;=H_Deemed,0,ATI58+1),ATI58)</f>
        <v>2</v>
      </c>
      <c r="ATJ59" s="20" t="n">
        <f aca="false">IF(AND(H_Direct=0,H_TaxEvt=1),IF(ATJ58+1&gt;=H_Deemed,0,ATJ58+1),ATJ58)</f>
        <v>1</v>
      </c>
      <c r="ATK59" s="20" t="n">
        <f aca="false">IF(AND(H_Direct=0,H_TaxEvt=1),IF(ATK58+1&gt;=H_Deemed,0,ATK58+1),ATK58)</f>
        <v>0</v>
      </c>
      <c r="ATL59" s="20" t="n">
        <f aca="false">IF(AND(H_Direct=0,H_TaxEvt=1),IF(ATL58+1&gt;=H_Deemed,0,ATL58+1),ATL58)</f>
        <v>7</v>
      </c>
      <c r="ATM59" s="20" t="n">
        <f aca="false">IF(AND(H_Direct=0,H_TaxEvt=1),IF(ATM58+1&gt;=H_Deemed,0,ATM58+1),ATM58)</f>
        <v>6</v>
      </c>
      <c r="ATN59" s="20" t="n">
        <f aca="false">IF(AND(H_Direct=0,H_TaxEvt=1),IF(ATN58+1&gt;=H_Deemed,0,ATN58+1),ATN58)</f>
        <v>5</v>
      </c>
      <c r="ATO59" s="20" t="n">
        <f aca="false">IF(AND(H_Direct=0,H_TaxEvt=1),IF(ATO58+1&gt;=H_Deemed,0,ATO58+1),ATO58)</f>
        <v>4</v>
      </c>
      <c r="ATP59" s="20" t="n">
        <f aca="false">IF(AND(H_Direct=0,H_TaxEvt=1),IF(ATP58+1&gt;=H_Deemed,0,ATP58+1),ATP58)</f>
        <v>3</v>
      </c>
      <c r="ATQ59" s="20" t="n">
        <f aca="false">IF(AND(H_Direct=0,H_TaxEvt=1),IF(ATQ58+1&gt;=H_Deemed,0,ATQ58+1),ATQ58)</f>
        <v>2</v>
      </c>
      <c r="ATR59" s="20" t="n">
        <f aca="false">IF(AND(H_Direct=0,H_TaxEvt=1),IF(0+1&gt;=H_Deemed,0,0+1),0)</f>
        <v>1</v>
      </c>
      <c r="ATS59" s="20" t="n">
        <v>0</v>
      </c>
      <c r="ATT59" s="20" t="n">
        <v>0</v>
      </c>
      <c r="ATU59" s="20" t="n">
        <v>0</v>
      </c>
      <c r="ATV59" s="20" t="n">
        <v>0</v>
      </c>
      <c r="ATW59" s="20" t="n">
        <v>0</v>
      </c>
      <c r="ATX59" s="20" t="n">
        <v>0</v>
      </c>
      <c r="ATY59" s="20" t="n">
        <v>0</v>
      </c>
      <c r="ATZ59" s="20" t="n">
        <v>0</v>
      </c>
      <c r="AUA59" s="20" t="n">
        <v>0</v>
      </c>
      <c r="AUB59" s="20" t="n">
        <v>0</v>
      </c>
      <c r="AUC59" s="20" t="n">
        <v>0</v>
      </c>
      <c r="AUD59" s="20" t="n">
        <v>0</v>
      </c>
      <c r="AUE59" s="20" t="n">
        <v>0</v>
      </c>
      <c r="AUF59" s="20" t="n">
        <v>0</v>
      </c>
      <c r="AUG59" s="20" t="n">
        <v>0</v>
      </c>
      <c r="AUH59" s="20" t="n">
        <v>0</v>
      </c>
      <c r="AUI59" s="20" t="n">
        <v>0</v>
      </c>
      <c r="AUJ59" s="20" t="n">
        <v>0</v>
      </c>
      <c r="AUK59" s="20" t="n">
        <v>0</v>
      </c>
      <c r="AUL59" s="20" t="n">
        <v>0</v>
      </c>
      <c r="AUM59" s="20" t="n">
        <v>0</v>
      </c>
      <c r="AUN59" s="20" t="n">
        <v>0</v>
      </c>
      <c r="AUO59" s="20" t="n">
        <v>0</v>
      </c>
      <c r="AUP59" s="20" t="n">
        <v>0</v>
      </c>
      <c r="AUQ59" s="20" t="n">
        <v>0</v>
      </c>
      <c r="AUR59" s="20" t="n">
        <v>0</v>
      </c>
      <c r="AUS59" s="20" t="n">
        <v>0</v>
      </c>
      <c r="AUT59" s="20" t="n">
        <v>0</v>
      </c>
      <c r="AUU59" s="20" t="n">
        <v>0</v>
      </c>
      <c r="AUV59" s="20" t="n">
        <v>0</v>
      </c>
      <c r="AUW59" s="20" t="n">
        <v>0</v>
      </c>
      <c r="AUX59" s="20" t="n">
        <v>0</v>
      </c>
      <c r="AUY59" s="20" t="n">
        <v>0</v>
      </c>
      <c r="AUZ59" s="20" t="n">
        <v>0</v>
      </c>
      <c r="AVA59" s="20" t="n">
        <v>0</v>
      </c>
      <c r="AVB59" s="20" t="n">
        <v>0</v>
      </c>
      <c r="AVC59" s="20" t="n">
        <v>0</v>
      </c>
      <c r="AVD59" s="20" t="n">
        <v>0</v>
      </c>
      <c r="AVE59" s="20" t="n">
        <f aca="false">IF(AND(H_Direct=0,H_TaxEvt=1,ARR58+1&gt;=H_Deemed),MAX(0,ADR59-AHE59)*H_Exit,0)</f>
        <v>0</v>
      </c>
      <c r="AVF59" s="20" t="n">
        <f aca="false">IF(AND(H_Direct=0,H_TaxEvt=1,ARS58+1&gt;=H_Deemed),MAX(0,ADS59-AHF59)*H_Exit,0)</f>
        <v>0</v>
      </c>
      <c r="AVG59" s="20" t="n">
        <f aca="false">IF(AND(H_Direct=0,H_TaxEvt=1,ART58+1&gt;=H_Deemed),MAX(0,ADT59-AHG59)*H_Exit,0)</f>
        <v>0</v>
      </c>
      <c r="AVH59" s="20" t="n">
        <f aca="false">IF(AND(H_Direct=0,H_TaxEvt=1,ARU58+1&gt;=H_Deemed),MAX(0,ADU59-AHH59)*H_Exit,0)</f>
        <v>0</v>
      </c>
      <c r="AVI59" s="20" t="n">
        <f aca="false">IF(AND(H_Direct=0,H_TaxEvt=1,ARV58+1&gt;=H_Deemed),MAX(0,ADV59-AHI59)*H_Exit,0)</f>
        <v>0</v>
      </c>
      <c r="AVJ59" s="20" t="n">
        <f aca="false">IF(AND(H_Direct=0,H_TaxEvt=1,ARW58+1&gt;=H_Deemed),MAX(0,ADW59-AHJ59)*H_Exit,0)</f>
        <v>0</v>
      </c>
      <c r="AVK59" s="20" t="n">
        <f aca="false">IF(AND(H_Direct=0,H_TaxEvt=1,ARX58+1&gt;=H_Deemed),MAX(0,ADX59-AHK59)*H_Exit,0)</f>
        <v>0</v>
      </c>
      <c r="AVL59" s="20" t="n">
        <f aca="false">IF(AND(H_Direct=0,H_TaxEvt=1,ARY58+1&gt;=H_Deemed),MAX(0,ADY59-AHL59)*H_Exit,0)</f>
        <v>0</v>
      </c>
      <c r="AVM59" s="20" t="n">
        <f aca="false">IF(AND(H_Direct=0,H_TaxEvt=1,ARZ58+1&gt;=H_Deemed),MAX(0,ADZ59-AHM59)*H_Exit,0)</f>
        <v>0</v>
      </c>
      <c r="AVN59" s="20" t="n">
        <f aca="false">IF(AND(H_Direct=0,H_TaxEvt=1,ASA58+1&gt;=H_Deemed),MAX(0,AEA59-AHN59)*H_Exit,0)</f>
        <v>0</v>
      </c>
      <c r="AVO59" s="20" t="n">
        <f aca="false">IF(AND(H_Direct=0,H_TaxEvt=1,ASB58+1&gt;=H_Deemed),MAX(0,AEB59-AHO59)*H_Exit,0)</f>
        <v>0</v>
      </c>
      <c r="AVP59" s="20" t="n">
        <f aca="false">IF(AND(H_Direct=0,H_TaxEvt=1,ASC58+1&gt;=H_Deemed),MAX(0,AEC59-AHP59)*H_Exit,0)</f>
        <v>0</v>
      </c>
      <c r="AVQ59" s="20" t="n">
        <f aca="false">IF(AND(H_Direct=0,H_TaxEvt=1,ASD58+1&gt;=H_Deemed),MAX(0,AED59-AHQ59)*H_Exit,0)</f>
        <v>0</v>
      </c>
      <c r="AVR59" s="20" t="n">
        <f aca="false">IF(AND(H_Direct=0,H_TaxEvt=1,ASE58+1&gt;=H_Deemed),MAX(0,AEE59-AHR59)*H_Exit,0)</f>
        <v>0</v>
      </c>
      <c r="AVS59" s="20" t="n">
        <f aca="false">IF(AND(H_Direct=0,H_TaxEvt=1,ASF58+1&gt;=H_Deemed),MAX(0,AEF59-AHS59)*H_Exit,0)</f>
        <v>0</v>
      </c>
      <c r="AVT59" s="20" t="n">
        <f aca="false">IF(AND(H_Direct=0,H_TaxEvt=1,ASG58+1&gt;=H_Deemed),MAX(0,AEG59-AHT59)*H_Exit,0)</f>
        <v>0</v>
      </c>
      <c r="AVU59" s="20" t="n">
        <f aca="false">IF(AND(H_Direct=0,H_TaxEvt=1,ASH58+1&gt;=H_Deemed),MAX(0,AEH59-AHU59)*H_Exit,0)</f>
        <v>0</v>
      </c>
      <c r="AVV59" s="20" t="n">
        <f aca="false">IF(AND(H_Direct=0,H_TaxEvt=1,ASI58+1&gt;=H_Deemed),MAX(0,AEI59-AHV59)*H_Exit,0)</f>
        <v>0</v>
      </c>
      <c r="AVW59" s="20" t="n">
        <f aca="false">IF(AND(H_Direct=0,H_TaxEvt=1,ASJ58+1&gt;=H_Deemed),MAX(0,AEJ59-AHW59)*H_Exit,0)</f>
        <v>0</v>
      </c>
      <c r="AVX59" s="20" t="n">
        <f aca="false">IF(AND(H_Direct=0,H_TaxEvt=1,ASK58+1&gt;=H_Deemed),MAX(0,AEK59-AHX59)*H_Exit,0)</f>
        <v>0</v>
      </c>
      <c r="AVY59" s="20" t="n">
        <f aca="false">IF(AND(H_Direct=0,H_TaxEvt=1,ASL58+1&gt;=H_Deemed),MAX(0,AEL59-AHY59)*H_Exit,0)</f>
        <v>0</v>
      </c>
      <c r="AVZ59" s="20" t="n">
        <f aca="false">IF(AND(H_Direct=0,H_TaxEvt=1,ASM58+1&gt;=H_Deemed),MAX(0,AEM59-AHZ59)*H_Exit,0)</f>
        <v>0</v>
      </c>
      <c r="AWA59" s="20" t="n">
        <f aca="false">IF(AND(H_Direct=0,H_TaxEvt=1,ASN58+1&gt;=H_Deemed),MAX(0,AEN59-AIA59)*H_Exit,0)</f>
        <v>0</v>
      </c>
      <c r="AWB59" s="20" t="n">
        <f aca="false">IF(AND(H_Direct=0,H_TaxEvt=1,ASO58+1&gt;=H_Deemed),MAX(0,AEO59-AIB59)*H_Exit,0)</f>
        <v>0</v>
      </c>
      <c r="AWC59" s="20" t="n">
        <f aca="false">IF(AND(H_Direct=0,H_TaxEvt=1,ASP58+1&gt;=H_Deemed),MAX(0,AEP59-AIC59)*H_Exit,0)</f>
        <v>0</v>
      </c>
      <c r="AWD59" s="20" t="n">
        <f aca="false">IF(AND(H_Direct=0,H_TaxEvt=1,ASQ58+1&gt;=H_Deemed),MAX(0,AEQ59-AID59)*H_Exit,0)</f>
        <v>0</v>
      </c>
      <c r="AWE59" s="20" t="n">
        <f aca="false">IF(AND(H_Direct=0,H_TaxEvt=1,ASR58+1&gt;=H_Deemed),MAX(0,AER59-AIE59)*H_Exit,0)</f>
        <v>0</v>
      </c>
      <c r="AWF59" s="20" t="n">
        <f aca="false">IF(AND(H_Direct=0,H_TaxEvt=1,ASS58+1&gt;=H_Deemed),MAX(0,AES59-AIF59)*H_Exit,0)</f>
        <v>0</v>
      </c>
      <c r="AWG59" s="20" t="n">
        <f aca="false">IF(AND(H_Direct=0,H_TaxEvt=1,AST58+1&gt;=H_Deemed),MAX(0,AET59-AIG59)*H_Exit,0)</f>
        <v>0</v>
      </c>
      <c r="AWH59" s="20" t="n">
        <f aca="false">IF(AND(H_Direct=0,H_TaxEvt=1,ASU58+1&gt;=H_Deemed),MAX(0,AEU59-AIH59)*H_Exit,0)</f>
        <v>0</v>
      </c>
      <c r="AWI59" s="20" t="n">
        <f aca="false">IF(AND(H_Direct=0,H_TaxEvt=1,ASV58+1&gt;=H_Deemed),MAX(0,AEV59-AII59)*H_Exit,0)</f>
        <v>0</v>
      </c>
      <c r="AWJ59" s="20" t="n">
        <f aca="false">IF(AND(H_Direct=0,H_TaxEvt=1,ASW58+1&gt;=H_Deemed),MAX(0,AEW59-AIJ59)*H_Exit,0)</f>
        <v>0</v>
      </c>
      <c r="AWK59" s="20" t="n">
        <f aca="false">IF(AND(H_Direct=0,H_TaxEvt=1,ASX58+1&gt;=H_Deemed),MAX(0,AEX59-AIK59)*H_Exit,0)</f>
        <v>0</v>
      </c>
      <c r="AWL59" s="20" t="n">
        <f aca="false">IF(AND(H_Direct=0,H_TaxEvt=1,ASY58+1&gt;=H_Deemed),MAX(0,AEY59-AIL59)*H_Exit,0)</f>
        <v>0</v>
      </c>
      <c r="AWM59" s="20" t="n">
        <f aca="false">IF(AND(H_Direct=0,H_TaxEvt=1,ASZ58+1&gt;=H_Deemed),MAX(0,AEZ59-AIM59)*H_Exit,0)</f>
        <v>0</v>
      </c>
      <c r="AWN59" s="20" t="n">
        <f aca="false">IF(AND(H_Direct=0,H_TaxEvt=1,ATA58+1&gt;=H_Deemed),MAX(0,AFA59-AIN59)*H_Exit,0)</f>
        <v>0</v>
      </c>
      <c r="AWO59" s="20" t="n">
        <f aca="false">IF(AND(H_Direct=0,H_TaxEvt=1,ATB58+1&gt;=H_Deemed),MAX(0,AFB59-AIO59)*H_Exit,0)</f>
        <v>0</v>
      </c>
      <c r="AWP59" s="20" t="n">
        <f aca="false">IF(AND(H_Direct=0,H_TaxEvt=1,ATC58+1&gt;=H_Deemed),MAX(0,AFC59-AIP59)*H_Exit,0)</f>
        <v>0</v>
      </c>
      <c r="AWQ59" s="20" t="n">
        <f aca="false">IF(AND(H_Direct=0,H_TaxEvt=1,ATD58+1&gt;=H_Deemed),MAX(0,AFD59-AIQ59)*H_Exit,0)</f>
        <v>0</v>
      </c>
      <c r="AWR59" s="20" t="n">
        <f aca="false">IF(AND(H_Direct=0,H_TaxEvt=1,ATE58+1&gt;=H_Deemed),MAX(0,AFE59-AIR59)*H_Exit,0)</f>
        <v>0</v>
      </c>
      <c r="AWS59" s="20" t="n">
        <f aca="false">IF(AND(H_Direct=0,H_TaxEvt=1,ATF58+1&gt;=H_Deemed),MAX(0,AFF59-AIS59)*H_Exit,0)</f>
        <v>0</v>
      </c>
      <c r="AWT59" s="20" t="n">
        <f aca="false">IF(AND(H_Direct=0,H_TaxEvt=1,ATG58+1&gt;=H_Deemed),MAX(0,AFG59-AIT59)*H_Exit,0)</f>
        <v>0</v>
      </c>
      <c r="AWU59" s="20" t="n">
        <f aca="false">IF(AND(H_Direct=0,H_TaxEvt=1,ATH58+1&gt;=H_Deemed),MAX(0,AFH59-AIU59)*H_Exit,0)</f>
        <v>0</v>
      </c>
      <c r="AWV59" s="20" t="n">
        <f aca="false">IF(AND(H_Direct=0,H_TaxEvt=1,ATI58+1&gt;=H_Deemed),MAX(0,AFI59-AIV59)*H_Exit,0)</f>
        <v>0</v>
      </c>
      <c r="AWW59" s="20" t="n">
        <f aca="false">IF(AND(H_Direct=0,H_TaxEvt=1,ATJ58+1&gt;=H_Deemed),MAX(0,AFJ59-AIW59)*H_Exit,0)</f>
        <v>0</v>
      </c>
      <c r="AWX59" s="20" t="n">
        <f aca="false">IF(AND(H_Direct=0,H_TaxEvt=1,ATK58+1&gt;=H_Deemed),MAX(0,AFK59-AIX59)*H_Exit,0)</f>
        <v>0</v>
      </c>
      <c r="AWY59" s="20" t="n">
        <f aca="false">IF(AND(H_Direct=0,H_TaxEvt=1,ATL58+1&gt;=H_Deemed),MAX(0,AFL59-AIY59)*H_Exit,0)</f>
        <v>0</v>
      </c>
      <c r="AWZ59" s="20" t="n">
        <f aca="false">IF(AND(H_Direct=0,H_TaxEvt=1,ATM58+1&gt;=H_Deemed),MAX(0,AFM59-AIZ59)*H_Exit,0)</f>
        <v>0</v>
      </c>
      <c r="AXA59" s="20" t="n">
        <f aca="false">IF(AND(H_Direct=0,H_TaxEvt=1,ATN58+1&gt;=H_Deemed),MAX(0,AFN59-AJA59)*H_Exit,0)</f>
        <v>0</v>
      </c>
      <c r="AXB59" s="20" t="n">
        <f aca="false">IF(AND(H_Direct=0,H_TaxEvt=1,ATO58+1&gt;=H_Deemed),MAX(0,AFO59-AJB59)*H_Exit,0)</f>
        <v>0</v>
      </c>
      <c r="AXC59" s="20" t="n">
        <f aca="false">IF(AND(H_Direct=0,H_TaxEvt=1,ATP58+1&gt;=H_Deemed),MAX(0,AFP59-AJC59)*H_Exit,0)</f>
        <v>0</v>
      </c>
      <c r="AXD59" s="20" t="n">
        <f aca="false">IF(AND(H_Direct=0,H_TaxEvt=1,ATQ58+1&gt;=H_Deemed),MAX(0,AFQ59-AJD59)*H_Exit,0)</f>
        <v>0</v>
      </c>
      <c r="AXE59" s="20" t="n">
        <f aca="false">IF(AND(H_Direct=0,H_TaxEvt=1,0+1&gt;=H_Deemed),MAX(0,AFR59-AJE59)*H_Exit,0)</f>
        <v>0</v>
      </c>
      <c r="AXF59" s="20" t="n">
        <v>0</v>
      </c>
      <c r="AXG59" s="20" t="n">
        <v>0</v>
      </c>
      <c r="AXH59" s="20" t="n">
        <v>0</v>
      </c>
      <c r="AXI59" s="20" t="n">
        <v>0</v>
      </c>
      <c r="AXJ59" s="20" t="n">
        <v>0</v>
      </c>
      <c r="AXK59" s="20" t="n">
        <v>0</v>
      </c>
      <c r="AXL59" s="20" t="n">
        <v>0</v>
      </c>
      <c r="AXM59" s="20" t="n">
        <v>0</v>
      </c>
      <c r="AXN59" s="20" t="n">
        <v>0</v>
      </c>
      <c r="AXO59" s="20" t="n">
        <v>0</v>
      </c>
      <c r="AXP59" s="20" t="n">
        <v>0</v>
      </c>
      <c r="AXQ59" s="20" t="n">
        <v>0</v>
      </c>
      <c r="AXR59" s="20" t="n">
        <v>0</v>
      </c>
      <c r="AXS59" s="20" t="n">
        <v>0</v>
      </c>
      <c r="AXT59" s="20" t="n">
        <v>0</v>
      </c>
      <c r="AXU59" s="20" t="n">
        <v>0</v>
      </c>
      <c r="AXV59" s="20" t="n">
        <v>0</v>
      </c>
      <c r="AXW59" s="20" t="n">
        <v>0</v>
      </c>
      <c r="AXX59" s="20" t="n">
        <v>0</v>
      </c>
      <c r="AXY59" s="20" t="n">
        <v>0</v>
      </c>
      <c r="AXZ59" s="20" t="n">
        <v>0</v>
      </c>
      <c r="AYA59" s="20" t="n">
        <v>0</v>
      </c>
      <c r="AYB59" s="20" t="n">
        <v>0</v>
      </c>
      <c r="AYC59" s="20" t="n">
        <v>0</v>
      </c>
      <c r="AYD59" s="20" t="n">
        <v>0</v>
      </c>
      <c r="AYE59" s="20" t="n">
        <v>0</v>
      </c>
      <c r="AYF59" s="20" t="n">
        <v>0</v>
      </c>
      <c r="AYG59" s="20" t="n">
        <v>0</v>
      </c>
      <c r="AYH59" s="20" t="n">
        <v>0</v>
      </c>
      <c r="AYI59" s="20" t="n">
        <v>0</v>
      </c>
      <c r="AYJ59" s="20" t="n">
        <v>0</v>
      </c>
      <c r="AYK59" s="20" t="n">
        <v>0</v>
      </c>
      <c r="AYL59" s="20" t="n">
        <v>0</v>
      </c>
      <c r="AYM59" s="20" t="n">
        <v>0</v>
      </c>
      <c r="AYN59" s="20" t="n">
        <v>0</v>
      </c>
      <c r="AYO59" s="20" t="n">
        <v>0</v>
      </c>
      <c r="AYP59" s="20" t="n">
        <v>0</v>
      </c>
      <c r="AYQ59" s="20" t="n">
        <v>0</v>
      </c>
    </row>
    <row r="60" customFormat="false" ht="15" hidden="false" customHeight="false" outlineLevel="0" collapsed="false">
      <c r="B60" s="20" t="n">
        <v>52</v>
      </c>
      <c r="C60" s="20" t="n">
        <f aca="false">'Plan cashflow'!C60</f>
        <v>1</v>
      </c>
      <c r="D60" s="20" t="n">
        <f aca="false">'Plan cashflow'!D60</f>
        <v>90</v>
      </c>
      <c r="E60" s="20" t="n">
        <f aca="false">AS_Year0+52</f>
        <v>2078</v>
      </c>
      <c r="F60" s="50" t="n">
        <f aca="false">'Plan cashflow'!F60</f>
        <v>2.80032818544818</v>
      </c>
      <c r="G60" s="59" t="n">
        <f aca="true">IF(MAX(TODAY(),DATE(E60,1,1))&gt;=H_CGTfrom,H_CGT1,H_CGT0)</f>
        <v>0.31</v>
      </c>
      <c r="H60" s="20" t="n">
        <f aca="false">H_Exempt*H_Persons</f>
        <v>1270</v>
      </c>
      <c r="I60" s="20" t="n">
        <f aca="false">AX59</f>
        <v>0</v>
      </c>
      <c r="J60" s="60" t="n">
        <f aca="false">BF59</f>
        <v>0</v>
      </c>
      <c r="K60" s="60" t="n">
        <f aca="false">BG59</f>
        <v>0</v>
      </c>
      <c r="L60" s="20" t="n">
        <f aca="false">IF(AND(In_polLump&gt;0,In_polLumpAge&gt;0,D60=In_polLumpAge),In_polLump,0)</f>
        <v>0</v>
      </c>
      <c r="M60" s="20" t="n">
        <f aca="false">IF(AND(In_homeUse="Yes, I'd downsize",In_downAge&gt;0,D60=In_downAge,OR(In_home="Own outright",In_home="Own with mortgage"),In_homeValue&gt;0),MAX(0,MAX(0,In_homeValue-In_downValue)*F60*0.9-'Plan cashflow'!HR59),0)</f>
        <v>0</v>
      </c>
      <c r="N60" s="20" t="n">
        <f aca="false">'Plan pay &amp; tax'!Y286</f>
        <v>0</v>
      </c>
      <c r="O60" s="20" t="n">
        <f aca="false">L60+M60+(1-H_Sh)*N60</f>
        <v>0</v>
      </c>
      <c r="P60" s="20" t="n">
        <f aca="false">H_Sh*N60</f>
        <v>0</v>
      </c>
      <c r="Q60" s="20" t="n">
        <f aca="false">'Plan cashflow'!UL60</f>
        <v>0</v>
      </c>
      <c r="R60" s="20" t="n">
        <f aca="false">(1-H_Sh)*Q60</f>
        <v>0</v>
      </c>
      <c r="S60" s="20" t="n">
        <f aca="false">H_Sh*Q60</f>
        <v>0</v>
      </c>
      <c r="T60" s="20" t="n">
        <f aca="false">J60+K60+O60</f>
        <v>0</v>
      </c>
      <c r="U60" s="20" t="n">
        <f aca="false">T60+R60</f>
        <v>0</v>
      </c>
      <c r="V60" s="60" t="n">
        <f aca="false">SUM(FE60:IQ60)</f>
        <v>0</v>
      </c>
      <c r="W60" s="60" t="n">
        <f aca="false">IF(AJ60&lt;=0,0,IF(AL60&lt;=0,AJ60,AJ60-G60*MAX(0,AL60*AJ60-(AY60+AZ60))))</f>
        <v>0</v>
      </c>
      <c r="X60" s="60" t="n">
        <f aca="false">IF(AR60&lt;=0,0,IF(AT60&lt;=0,AR60,AR60-G60*MAX(0,AT60*AR60-(BA60+BB60))))</f>
        <v>0</v>
      </c>
      <c r="Y60" s="60" t="n">
        <f aca="false">T60+V60-S60+W60+X60</f>
        <v>0</v>
      </c>
      <c r="Z60" s="60" t="n">
        <f aca="false">'Plan cashflow'!UK60</f>
        <v>0</v>
      </c>
      <c r="AA60" s="20" t="n">
        <f aca="false">MIN(Z60,U60)</f>
        <v>0</v>
      </c>
      <c r="AB60" s="20" t="n">
        <f aca="false">Z60-AA60</f>
        <v>0</v>
      </c>
      <c r="AC60" s="20" t="n">
        <f aca="false">MIN(AA60,J60+O60+R60)</f>
        <v>0</v>
      </c>
      <c r="AD60" s="20" t="n">
        <f aca="false">AA60-AC60</f>
        <v>0</v>
      </c>
      <c r="AE60" s="20" t="n">
        <f aca="false">J60+O60+R60-AC60</f>
        <v>0</v>
      </c>
      <c r="AF60" s="20" t="n">
        <f aca="false">K60-AD60</f>
        <v>0</v>
      </c>
      <c r="AG60" s="20" t="n">
        <f aca="false">SUM(PR60:TD60)</f>
        <v>0</v>
      </c>
      <c r="AH60" s="20" t="n">
        <f aca="false">SUM(TE60:WQ60)</f>
        <v>0</v>
      </c>
      <c r="AI60" s="20" t="n">
        <f aca="false">MAX(0,AB60-AG60)</f>
        <v>0</v>
      </c>
      <c r="AJ60" s="57" t="n">
        <f aca="false">BI59</f>
        <v>0</v>
      </c>
      <c r="AK60" s="20" t="n">
        <f aca="false">BJ59</f>
        <v>0</v>
      </c>
      <c r="AL60" s="20" t="n">
        <f aca="false">IF(AJ60&gt;0,(AJ60-AK60)/AJ60,0)</f>
        <v>0</v>
      </c>
      <c r="AM60" s="20" t="n">
        <f aca="false">IF(AJ60&lt;=0,0,IF(AL60&lt;=0,MIN(AI60,AJ60),MIN(AI60,AJ60-G60*MAX(0,AL60*AJ60-(AAD60+ADQ60)))))</f>
        <v>0</v>
      </c>
      <c r="AN60" s="20" t="n">
        <f aca="false">IF(AJ60&lt;=0,0,IF(AL60&lt;=0,AM60,IF(AM60&lt;=(AAD60+ADQ60)/AL60,AM60,(AM60-G60*(AAD60+ADQ60))/(1-G60*AL60))))</f>
        <v>0</v>
      </c>
      <c r="AO60" s="20" t="n">
        <f aca="false">IF(AL60&gt;0,MAX(0,AAD60-(MIN(AL60*AN60,(AAD60+ADQ60))-MIN(MIN(AL60*AN60,(AAD60+ADQ60)),ADQ60))),AAD60)</f>
        <v>1270</v>
      </c>
      <c r="AP60" s="20" t="n">
        <f aca="false">IF(AL60&lt;=0,ADQ60-AL60*AN60,ADQ60-MIN(MIN(AL60*AN60,(AAD60+ADQ60)),ADQ60))</f>
        <v>0</v>
      </c>
      <c r="AQ60" s="20" t="n">
        <f aca="false">MAX(0,AI60-AM60)</f>
        <v>0</v>
      </c>
      <c r="AR60" s="57" t="n">
        <f aca="false">BK59</f>
        <v>0</v>
      </c>
      <c r="AS60" s="20" t="n">
        <f aca="false">BL59</f>
        <v>0</v>
      </c>
      <c r="AT60" s="20" t="n">
        <f aca="false">IF(AR60&gt;0,(AR60-AS60)/AR60,0)</f>
        <v>0</v>
      </c>
      <c r="AU60" s="20" t="n">
        <f aca="false">IF(AR60&lt;=0,0,IF(AT60&lt;=0,MIN(AQ60,AR60),MIN(AQ60,AR60-G60*MAX(0,AT60*AR60-(AO60+AP60)))))</f>
        <v>0</v>
      </c>
      <c r="AV60" s="20" t="n">
        <f aca="false">IF(AR60&lt;=0,0,IF(AT60&lt;=0,AU60,IF(AU60&lt;=(AO60+AP60)/AT60,AU60,(AU60-G60*(AO60+AP60))/(1-G60*AT60))))</f>
        <v>0</v>
      </c>
      <c r="AW60" s="20" t="n">
        <f aca="false">IF(AT60&gt;0,MAX(0,AO60-(MIN(AT60*AV60,(AO60+AP60))-MIN(MIN(AT60*AV60,(AO60+AP60)),AP60))),AO60)</f>
        <v>1270</v>
      </c>
      <c r="AX60" s="20" t="n">
        <f aca="false">IF(AT60&lt;=0,AP60-AT60*AV60,AP60-MIN(MIN(AT60*AV60,(AO60+AP60)),AP60))</f>
        <v>0</v>
      </c>
      <c r="AY60" s="20" t="n">
        <f aca="false">MD60</f>
        <v>1270</v>
      </c>
      <c r="AZ60" s="20" t="n">
        <f aca="false">PQ60</f>
        <v>0</v>
      </c>
      <c r="BA60" s="20" t="n">
        <f aca="false">IF(AL60&gt;0,MAX(0,AY60-(MIN(AL60*AJ60,AY60+AZ60)-MIN(MIN(AL60*AJ60,AY60+AZ60),AZ60))),AY60)</f>
        <v>1270</v>
      </c>
      <c r="BB60" s="20" t="n">
        <f aca="false">IF(AL60&lt;=0,AZ60-AL60*AJ60,AZ60-MIN(MIN(AL60*AJ60,AY60+AZ60),AZ60))</f>
        <v>0</v>
      </c>
      <c r="BC60" s="20" t="n">
        <f aca="false">'Plan cashflow'!UM60</f>
        <v>0</v>
      </c>
      <c r="BD60" s="20" t="n">
        <f aca="false">(1-H_Sh)*BC60</f>
        <v>0</v>
      </c>
      <c r="BE60" s="20" t="n">
        <f aca="false">H_Sh*BC60</f>
        <v>0</v>
      </c>
      <c r="BF60" s="60" t="n">
        <f aca="false">(AE60+BD60)*(1+AS_Cash)</f>
        <v>0</v>
      </c>
      <c r="BG60" s="60" t="n">
        <f aca="false">AF60*(1+AS_Cash)</f>
        <v>0</v>
      </c>
      <c r="BH60" s="60" t="n">
        <f aca="false">SUM(AKR60:AOD60)</f>
        <v>0</v>
      </c>
      <c r="BI60" s="60" t="n">
        <f aca="false">(AJ60-AN60)*(1+AS_Infl)</f>
        <v>0</v>
      </c>
      <c r="BJ60" s="20" t="n">
        <f aca="false">IF(AJ60&gt;0,AK60-AK60*AN60/AJ60,0)</f>
        <v>0</v>
      </c>
      <c r="BK60" s="60" t="n">
        <f aca="false">(AR60-AV60)*(1+BQ60)</f>
        <v>0</v>
      </c>
      <c r="BL60" s="20" t="n">
        <f aca="false">IF(AR60&gt;0,AS60-AS60*AV60/AR60,0)</f>
        <v>0</v>
      </c>
      <c r="BM60" s="60" t="n">
        <f aca="false">BF60+BG60+BH60+BI60+BK60</f>
        <v>0</v>
      </c>
      <c r="BN60" s="60" t="n">
        <f aca="false">(AH60-AG60)+(AN60-AM60)+(AV60-AU60)</f>
        <v>0</v>
      </c>
      <c r="BO60" s="20" t="n">
        <f aca="false">(AE60+BD60+AF60+MAX(0,'Plan cashflow'!QH60)+IF(Slot1_Rate=AS_Cash,'Plan cashflow'!QM60/(1+AS_Cash),0)+IF(Slot2_Rate=AS_Cash,'Plan cashflow'!QQ60/(1+AS_Cash),0)+IF(Slot3_Rate=AS_Cash,'Plan cashflow'!QU60/(1+AS_Cash),0)+IF(Slot4_Rate=AS_Cash,'Plan cashflow'!QY60/(1+AS_Cash),0)+IF(Slot5_Rate=AS_Cash,'Plan cashflow'!RC60/(1+AS_Cash),0)+IF(Slot6_Rate=AS_Cash,'Plan cashflow'!RG60/(1+AS_Cash),0)+IF(Slot7_Rate=AS_Cash,'Plan cashflow'!RK60/(1+AS_Cash),0)+IF(Slot8_Rate=AS_Cash,'Plan cashflow'!RO60/(1+AS_Cash),0)+IF(Slot9_Rate=AS_Cash,'Plan cashflow'!RS60/(1+AS_Cash),0)+IF(Slot10_Rate=AS_Cash,'Plan cashflow'!RW60/(1+AS_Cash),0)+IF(Slot11_Rate=AS_Cash,'Plan cashflow'!SA60/(1+AS_Cash),0)+IF(Slot12_Rate=AS_Cash,'Plan cashflow'!SE60/(1+AS_Cash),0)+IF(Slot13_Rate=AS_Cash,'Plan cashflow'!SI60/(1+AS_Cash),0)+IF(Slot14_Rate=AS_Cash,'Plan cashflow'!SM60/(1+AS_Cash),0)+IF(Slot15_Rate=AS_Cash,'Plan cashflow'!SQ60/(1+AS_Cash),0)+IF(Slot16_Rate=AS_Cash,'Plan cashflow'!SU60/(1+AS_Cash),0)+IF(Slot17_Rate=AS_Cash,'Plan cashflow'!SY60/(1+AS_Cash),0)+IF(Slot18_Rate=AS_Cash,'Plan cashflow'!TC60/(1+AS_Cash),0)+IF(Slot19_Rate=AS_Cash,'Plan cashflow'!TG60/(1+AS_Cash),0)+IF(Slot20_Rate=AS_Cash,'Plan cashflow'!TK60/(1+AS_Cash),0))*AS_Cash*H_DIRT/(1-H_DIRT)</f>
        <v>0</v>
      </c>
      <c r="BP60" s="60" t="n">
        <f aca="false">SUM(AVE60:AYQ60)</f>
        <v>0</v>
      </c>
      <c r="BQ60" s="54" t="n">
        <f aca="false">IF(H_TaxEvt=1,H_InvG,AS_Inv)</f>
        <v>0.04</v>
      </c>
      <c r="BR60" s="20" t="n">
        <f aca="false">IF(AKR59&gt;0,(AKR59-AOE59)/AKR59,0)</f>
        <v>0</v>
      </c>
      <c r="BS60" s="20" t="n">
        <f aca="false">IF(AKS59&gt;0,(AKS59-AOF59)/AKS59,0)</f>
        <v>0</v>
      </c>
      <c r="BT60" s="20" t="n">
        <f aca="false">IF(AKT59&gt;0,(AKT59-AOG59)/AKT59,0)</f>
        <v>0</v>
      </c>
      <c r="BU60" s="20" t="n">
        <f aca="false">IF(AKU59&gt;0,(AKU59-AOH59)/AKU59,0)</f>
        <v>0</v>
      </c>
      <c r="BV60" s="20" t="n">
        <f aca="false">IF(AKV59&gt;0,(AKV59-AOI59)/AKV59,0)</f>
        <v>0</v>
      </c>
      <c r="BW60" s="20" t="n">
        <f aca="false">IF(AKW59&gt;0,(AKW59-AOJ59)/AKW59,0)</f>
        <v>0</v>
      </c>
      <c r="BX60" s="20" t="n">
        <f aca="false">IF(AKX59&gt;0,(AKX59-AOK59)/AKX59,0)</f>
        <v>0</v>
      </c>
      <c r="BY60" s="20" t="n">
        <f aca="false">IF(AKY59&gt;0,(AKY59-AOL59)/AKY59,0)</f>
        <v>0</v>
      </c>
      <c r="BZ60" s="20" t="n">
        <f aca="false">IF(AKZ59&gt;0,(AKZ59-AOM59)/AKZ59,0)</f>
        <v>0</v>
      </c>
      <c r="CA60" s="20" t="n">
        <f aca="false">IF(ALA59&gt;0,(ALA59-AON59)/ALA59,0)</f>
        <v>0</v>
      </c>
      <c r="CB60" s="20" t="n">
        <f aca="false">IF(ALB59&gt;0,(ALB59-AOO59)/ALB59,0)</f>
        <v>0</v>
      </c>
      <c r="CC60" s="20" t="n">
        <f aca="false">IF(ALC59&gt;0,(ALC59-AOP59)/ALC59,0)</f>
        <v>0</v>
      </c>
      <c r="CD60" s="20" t="n">
        <f aca="false">IF(ALD59&gt;0,(ALD59-AOQ59)/ALD59,0)</f>
        <v>0</v>
      </c>
      <c r="CE60" s="20" t="n">
        <f aca="false">IF(ALE59&gt;0,(ALE59-AOR59)/ALE59,0)</f>
        <v>0</v>
      </c>
      <c r="CF60" s="20" t="n">
        <f aca="false">IF(ALF59&gt;0,(ALF59-AOS59)/ALF59,0)</f>
        <v>0</v>
      </c>
      <c r="CG60" s="20" t="n">
        <f aca="false">IF(ALG59&gt;0,(ALG59-AOT59)/ALG59,0)</f>
        <v>0</v>
      </c>
      <c r="CH60" s="20" t="n">
        <f aca="false">IF(ALH59&gt;0,(ALH59-AOU59)/ALH59,0)</f>
        <v>0</v>
      </c>
      <c r="CI60" s="20" t="n">
        <f aca="false">IF(ALI59&gt;0,(ALI59-AOV59)/ALI59,0)</f>
        <v>0</v>
      </c>
      <c r="CJ60" s="20" t="n">
        <f aca="false">IF(ALJ59&gt;0,(ALJ59-AOW59)/ALJ59,0)</f>
        <v>0</v>
      </c>
      <c r="CK60" s="20" t="n">
        <f aca="false">IF(ALK59&gt;0,(ALK59-AOX59)/ALK59,0)</f>
        <v>0</v>
      </c>
      <c r="CL60" s="20" t="n">
        <f aca="false">IF(ALL59&gt;0,(ALL59-AOY59)/ALL59,0)</f>
        <v>0</v>
      </c>
      <c r="CM60" s="20" t="n">
        <f aca="false">IF(ALM59&gt;0,(ALM59-AOZ59)/ALM59,0)</f>
        <v>0</v>
      </c>
      <c r="CN60" s="20" t="n">
        <f aca="false">IF(ALN59&gt;0,(ALN59-APA59)/ALN59,0)</f>
        <v>0</v>
      </c>
      <c r="CO60" s="20" t="n">
        <f aca="false">IF(ALO59&gt;0,(ALO59-APB59)/ALO59,0)</f>
        <v>0</v>
      </c>
      <c r="CP60" s="20" t="n">
        <f aca="false">IF(ALP59&gt;0,(ALP59-APC59)/ALP59,0)</f>
        <v>0</v>
      </c>
      <c r="CQ60" s="20" t="n">
        <f aca="false">IF(ALQ59&gt;0,(ALQ59-APD59)/ALQ59,0)</f>
        <v>0</v>
      </c>
      <c r="CR60" s="20" t="n">
        <f aca="false">IF(ALR59&gt;0,(ALR59-APE59)/ALR59,0)</f>
        <v>0</v>
      </c>
      <c r="CS60" s="20" t="n">
        <f aca="false">IF(ALS59&gt;0,(ALS59-APF59)/ALS59,0)</f>
        <v>0</v>
      </c>
      <c r="CT60" s="20" t="n">
        <f aca="false">IF(ALT59&gt;0,(ALT59-APG59)/ALT59,0)</f>
        <v>0</v>
      </c>
      <c r="CU60" s="20" t="n">
        <f aca="false">IF(ALU59&gt;0,(ALU59-APH59)/ALU59,0)</f>
        <v>0</v>
      </c>
      <c r="CV60" s="20" t="n">
        <f aca="false">IF(ALV59&gt;0,(ALV59-API59)/ALV59,0)</f>
        <v>0</v>
      </c>
      <c r="CW60" s="20" t="n">
        <f aca="false">IF(ALW59&gt;0,(ALW59-APJ59)/ALW59,0)</f>
        <v>0</v>
      </c>
      <c r="CX60" s="20" t="n">
        <f aca="false">IF(ALX59&gt;0,(ALX59-APK59)/ALX59,0)</f>
        <v>0</v>
      </c>
      <c r="CY60" s="20" t="n">
        <f aca="false">IF(ALY59&gt;0,(ALY59-APL59)/ALY59,0)</f>
        <v>0</v>
      </c>
      <c r="CZ60" s="20" t="n">
        <f aca="false">IF(ALZ59&gt;0,(ALZ59-APM59)/ALZ59,0)</f>
        <v>0</v>
      </c>
      <c r="DA60" s="20" t="n">
        <f aca="false">IF(AMA59&gt;0,(AMA59-APN59)/AMA59,0)</f>
        <v>0</v>
      </c>
      <c r="DB60" s="20" t="n">
        <f aca="false">IF(AMB59&gt;0,(AMB59-APO59)/AMB59,0)</f>
        <v>0</v>
      </c>
      <c r="DC60" s="20" t="n">
        <f aca="false">IF(AMC59&gt;0,(AMC59-APP59)/AMC59,0)</f>
        <v>0</v>
      </c>
      <c r="DD60" s="20" t="n">
        <f aca="false">IF(AMD59&gt;0,(AMD59-APQ59)/AMD59,0)</f>
        <v>0</v>
      </c>
      <c r="DE60" s="20" t="n">
        <f aca="false">IF(AME59&gt;0,(AME59-APR59)/AME59,0)</f>
        <v>0</v>
      </c>
      <c r="DF60" s="20" t="n">
        <f aca="false">IF(AMF59&gt;0,(AMF59-APS59)/AMF59,0)</f>
        <v>0</v>
      </c>
      <c r="DG60" s="20" t="n">
        <f aca="false">IF(AMG59&gt;0,(AMG59-APT59)/AMG59,0)</f>
        <v>0</v>
      </c>
      <c r="DH60" s="20" t="n">
        <f aca="false">IF(AMH59&gt;0,(AMH59-APU59)/AMH59,0)</f>
        <v>0</v>
      </c>
      <c r="DI60" s="20" t="n">
        <f aca="false">IF(AMI59&gt;0,(AMI59-APV59)/AMI59,0)</f>
        <v>0</v>
      </c>
      <c r="DJ60" s="20" t="n">
        <f aca="false">IF(AMJ59&gt;0,(AMJ59-APW59)/AMJ59,0)</f>
        <v>0</v>
      </c>
      <c r="DK60" s="20" t="n">
        <f aca="false">IF(AMK59&gt;0,(AMK59-APX59)/AMK59,0)</f>
        <v>0</v>
      </c>
      <c r="DL60" s="20" t="n">
        <f aca="false">IF(AML59&gt;0,(AML59-APY59)/AML59,0)</f>
        <v>0</v>
      </c>
      <c r="DM60" s="20" t="n">
        <f aca="false">IF(AMM59&gt;0,(AMM59-APZ59)/AMM59,0)</f>
        <v>0</v>
      </c>
      <c r="DN60" s="20" t="n">
        <f aca="false">IF(AMN59&gt;0,(AMN59-AQA59)/AMN59,0)</f>
        <v>0</v>
      </c>
      <c r="DO60" s="20" t="n">
        <f aca="false">IF(AMO59&gt;0,(AMO59-AQB59)/AMO59,0)</f>
        <v>0</v>
      </c>
      <c r="DP60" s="20" t="n">
        <f aca="false">IF(AMP59&gt;0,(AMP59-AQC59)/AMP59,0)</f>
        <v>0</v>
      </c>
      <c r="DQ60" s="20" t="n">
        <f aca="false">IF(AMQ59&gt;0,(AMQ59-AQD59)/AMQ59,0)</f>
        <v>0</v>
      </c>
      <c r="DR60" s="20" t="n">
        <f aca="false">IF(AMR59&gt;0,(AMR59-AQE59)/AMR59,0)</f>
        <v>0</v>
      </c>
      <c r="DS60" s="20" t="n">
        <f aca="false">IF((P60+S60)&gt;0,((P60+S60)-(P60+S60))/(P60+S60),0)</f>
        <v>0</v>
      </c>
      <c r="DT60" s="20" t="n">
        <v>0</v>
      </c>
      <c r="DU60" s="20" t="n">
        <v>0</v>
      </c>
      <c r="DV60" s="20" t="n">
        <v>0</v>
      </c>
      <c r="DW60" s="20" t="n">
        <v>0</v>
      </c>
      <c r="DX60" s="20" t="n">
        <v>0</v>
      </c>
      <c r="DY60" s="20" t="n">
        <v>0</v>
      </c>
      <c r="DZ60" s="20" t="n">
        <v>0</v>
      </c>
      <c r="EA60" s="20" t="n">
        <v>0</v>
      </c>
      <c r="EB60" s="20" t="n">
        <v>0</v>
      </c>
      <c r="EC60" s="20" t="n">
        <v>0</v>
      </c>
      <c r="ED60" s="20" t="n">
        <v>0</v>
      </c>
      <c r="EE60" s="20" t="n">
        <v>0</v>
      </c>
      <c r="EF60" s="20" t="n">
        <v>0</v>
      </c>
      <c r="EG60" s="20" t="n">
        <v>0</v>
      </c>
      <c r="EH60" s="20" t="n">
        <v>0</v>
      </c>
      <c r="EI60" s="20" t="n">
        <v>0</v>
      </c>
      <c r="EJ60" s="20" t="n">
        <v>0</v>
      </c>
      <c r="EK60" s="20" t="n">
        <v>0</v>
      </c>
      <c r="EL60" s="20" t="n">
        <v>0</v>
      </c>
      <c r="EM60" s="20" t="n">
        <v>0</v>
      </c>
      <c r="EN60" s="20" t="n">
        <v>0</v>
      </c>
      <c r="EO60" s="20" t="n">
        <v>0</v>
      </c>
      <c r="EP60" s="20" t="n">
        <v>0</v>
      </c>
      <c r="EQ60" s="20" t="n">
        <v>0</v>
      </c>
      <c r="ER60" s="20" t="n">
        <v>0</v>
      </c>
      <c r="ES60" s="20" t="n">
        <v>0</v>
      </c>
      <c r="ET60" s="20" t="n">
        <v>0</v>
      </c>
      <c r="EU60" s="20" t="n">
        <v>0</v>
      </c>
      <c r="EV60" s="20" t="n">
        <v>0</v>
      </c>
      <c r="EW60" s="20" t="n">
        <v>0</v>
      </c>
      <c r="EX60" s="20" t="n">
        <v>0</v>
      </c>
      <c r="EY60" s="20" t="n">
        <v>0</v>
      </c>
      <c r="EZ60" s="20" t="n">
        <v>0</v>
      </c>
      <c r="FA60" s="20" t="n">
        <v>0</v>
      </c>
      <c r="FB60" s="20" t="n">
        <v>0</v>
      </c>
      <c r="FC60" s="20" t="n">
        <v>0</v>
      </c>
      <c r="FD60" s="20" t="n">
        <v>0</v>
      </c>
      <c r="FE60" s="20" t="n">
        <f aca="false">IF(H_Direct=1,IF(AKR59&lt;=0,0,IF(BR60&lt;=0,AKR59,AKR59-G60*MAX(0,BR60*AKR59-(H60+I60)))),AKR59*(1-MAX(0,BR60)*H_Exit))</f>
        <v>0</v>
      </c>
      <c r="FF60" s="20" t="n">
        <f aca="false">IF(H_Direct=1,IF(AKS59&lt;=0,0,IF(BS60&lt;=0,AKS59,AKS59-G60*MAX(0,BS60*AKS59-(IR60+ME60)))),AKS59*(1-MAX(0,BS60)*H_Exit))</f>
        <v>0</v>
      </c>
      <c r="FG60" s="20" t="n">
        <f aca="false">IF(H_Direct=1,IF(AKT59&lt;=0,0,IF(BT60&lt;=0,AKT59,AKT59-G60*MAX(0,BT60*AKT59-(IS60+MF60)))),AKT59*(1-MAX(0,BT60)*H_Exit))</f>
        <v>0</v>
      </c>
      <c r="FH60" s="20" t="n">
        <f aca="false">IF(H_Direct=1,IF(AKU59&lt;=0,0,IF(BU60&lt;=0,AKU59,AKU59-G60*MAX(0,BU60*AKU59-(IT60+MG60)))),AKU59*(1-MAX(0,BU60)*H_Exit))</f>
        <v>0</v>
      </c>
      <c r="FI60" s="20" t="n">
        <f aca="false">IF(H_Direct=1,IF(AKV59&lt;=0,0,IF(BV60&lt;=0,AKV59,AKV59-G60*MAX(0,BV60*AKV59-(IU60+MH60)))),AKV59*(1-MAX(0,BV60)*H_Exit))</f>
        <v>0</v>
      </c>
      <c r="FJ60" s="20" t="n">
        <f aca="false">IF(H_Direct=1,IF(AKW59&lt;=0,0,IF(BW60&lt;=0,AKW59,AKW59-G60*MAX(0,BW60*AKW59-(IV60+MI60)))),AKW59*(1-MAX(0,BW60)*H_Exit))</f>
        <v>0</v>
      </c>
      <c r="FK60" s="20" t="n">
        <f aca="false">IF(H_Direct=1,IF(AKX59&lt;=0,0,IF(BX60&lt;=0,AKX59,AKX59-G60*MAX(0,BX60*AKX59-(IW60+MJ60)))),AKX59*(1-MAX(0,BX60)*H_Exit))</f>
        <v>0</v>
      </c>
      <c r="FL60" s="20" t="n">
        <f aca="false">IF(H_Direct=1,IF(AKY59&lt;=0,0,IF(BY60&lt;=0,AKY59,AKY59-G60*MAX(0,BY60*AKY59-(IX60+MK60)))),AKY59*(1-MAX(0,BY60)*H_Exit))</f>
        <v>0</v>
      </c>
      <c r="FM60" s="20" t="n">
        <f aca="false">IF(H_Direct=1,IF(AKZ59&lt;=0,0,IF(BZ60&lt;=0,AKZ59,AKZ59-G60*MAX(0,BZ60*AKZ59-(IY60+ML60)))),AKZ59*(1-MAX(0,BZ60)*H_Exit))</f>
        <v>0</v>
      </c>
      <c r="FN60" s="20" t="n">
        <f aca="false">IF(H_Direct=1,IF(ALA59&lt;=0,0,IF(CA60&lt;=0,ALA59,ALA59-G60*MAX(0,CA60*ALA59-(IZ60+MM60)))),ALA59*(1-MAX(0,CA60)*H_Exit))</f>
        <v>0</v>
      </c>
      <c r="FO60" s="20" t="n">
        <f aca="false">IF(H_Direct=1,IF(ALB59&lt;=0,0,IF(CB60&lt;=0,ALB59,ALB59-G60*MAX(0,CB60*ALB59-(JA60+MN60)))),ALB59*(1-MAX(0,CB60)*H_Exit))</f>
        <v>0</v>
      </c>
      <c r="FP60" s="20" t="n">
        <f aca="false">IF(H_Direct=1,IF(ALC59&lt;=0,0,IF(CC60&lt;=0,ALC59,ALC59-G60*MAX(0,CC60*ALC59-(JB60+MO60)))),ALC59*(1-MAX(0,CC60)*H_Exit))</f>
        <v>0</v>
      </c>
      <c r="FQ60" s="20" t="n">
        <f aca="false">IF(H_Direct=1,IF(ALD59&lt;=0,0,IF(CD60&lt;=0,ALD59,ALD59-G60*MAX(0,CD60*ALD59-(JC60+MP60)))),ALD59*(1-MAX(0,CD60)*H_Exit))</f>
        <v>0</v>
      </c>
      <c r="FR60" s="20" t="n">
        <f aca="false">IF(H_Direct=1,IF(ALE59&lt;=0,0,IF(CE60&lt;=0,ALE59,ALE59-G60*MAX(0,CE60*ALE59-(JD60+MQ60)))),ALE59*(1-MAX(0,CE60)*H_Exit))</f>
        <v>0</v>
      </c>
      <c r="FS60" s="20" t="n">
        <f aca="false">IF(H_Direct=1,IF(ALF59&lt;=0,0,IF(CF60&lt;=0,ALF59,ALF59-G60*MAX(0,CF60*ALF59-(JE60+MR60)))),ALF59*(1-MAX(0,CF60)*H_Exit))</f>
        <v>0</v>
      </c>
      <c r="FT60" s="20" t="n">
        <f aca="false">IF(H_Direct=1,IF(ALG59&lt;=0,0,IF(CG60&lt;=0,ALG59,ALG59-G60*MAX(0,CG60*ALG59-(JF60+MS60)))),ALG59*(1-MAX(0,CG60)*H_Exit))</f>
        <v>0</v>
      </c>
      <c r="FU60" s="20" t="n">
        <f aca="false">IF(H_Direct=1,IF(ALH59&lt;=0,0,IF(CH60&lt;=0,ALH59,ALH59-G60*MAX(0,CH60*ALH59-(JG60+MT60)))),ALH59*(1-MAX(0,CH60)*H_Exit))</f>
        <v>0</v>
      </c>
      <c r="FV60" s="20" t="n">
        <f aca="false">IF(H_Direct=1,IF(ALI59&lt;=0,0,IF(CI60&lt;=0,ALI59,ALI59-G60*MAX(0,CI60*ALI59-(JH60+MU60)))),ALI59*(1-MAX(0,CI60)*H_Exit))</f>
        <v>0</v>
      </c>
      <c r="FW60" s="20" t="n">
        <f aca="false">IF(H_Direct=1,IF(ALJ59&lt;=0,0,IF(CJ60&lt;=0,ALJ59,ALJ59-G60*MAX(0,CJ60*ALJ59-(JI60+MV60)))),ALJ59*(1-MAX(0,CJ60)*H_Exit))</f>
        <v>0</v>
      </c>
      <c r="FX60" s="20" t="n">
        <f aca="false">IF(H_Direct=1,IF(ALK59&lt;=0,0,IF(CK60&lt;=0,ALK59,ALK59-G60*MAX(0,CK60*ALK59-(JJ60+MW60)))),ALK59*(1-MAX(0,CK60)*H_Exit))</f>
        <v>0</v>
      </c>
      <c r="FY60" s="20" t="n">
        <f aca="false">IF(H_Direct=1,IF(ALL59&lt;=0,0,IF(CL60&lt;=0,ALL59,ALL59-G60*MAX(0,CL60*ALL59-(JK60+MX60)))),ALL59*(1-MAX(0,CL60)*H_Exit))</f>
        <v>0</v>
      </c>
      <c r="FZ60" s="20" t="n">
        <f aca="false">IF(H_Direct=1,IF(ALM59&lt;=0,0,IF(CM60&lt;=0,ALM59,ALM59-G60*MAX(0,CM60*ALM59-(JL60+MY60)))),ALM59*(1-MAX(0,CM60)*H_Exit))</f>
        <v>0</v>
      </c>
      <c r="GA60" s="20" t="n">
        <f aca="false">IF(H_Direct=1,IF(ALN59&lt;=0,0,IF(CN60&lt;=0,ALN59,ALN59-G60*MAX(0,CN60*ALN59-(JM60+MZ60)))),ALN59*(1-MAX(0,CN60)*H_Exit))</f>
        <v>0</v>
      </c>
      <c r="GB60" s="20" t="n">
        <f aca="false">IF(H_Direct=1,IF(ALO59&lt;=0,0,IF(CO60&lt;=0,ALO59,ALO59-G60*MAX(0,CO60*ALO59-(JN60+NA60)))),ALO59*(1-MAX(0,CO60)*H_Exit))</f>
        <v>0</v>
      </c>
      <c r="GC60" s="20" t="n">
        <f aca="false">IF(H_Direct=1,IF(ALP59&lt;=0,0,IF(CP60&lt;=0,ALP59,ALP59-G60*MAX(0,CP60*ALP59-(JO60+NB60)))),ALP59*(1-MAX(0,CP60)*H_Exit))</f>
        <v>0</v>
      </c>
      <c r="GD60" s="20" t="n">
        <f aca="false">IF(H_Direct=1,IF(ALQ59&lt;=0,0,IF(CQ60&lt;=0,ALQ59,ALQ59-G60*MAX(0,CQ60*ALQ59-(JP60+NC60)))),ALQ59*(1-MAX(0,CQ60)*H_Exit))</f>
        <v>0</v>
      </c>
      <c r="GE60" s="20" t="n">
        <f aca="false">IF(H_Direct=1,IF(ALR59&lt;=0,0,IF(CR60&lt;=0,ALR59,ALR59-G60*MAX(0,CR60*ALR59-(JQ60+ND60)))),ALR59*(1-MAX(0,CR60)*H_Exit))</f>
        <v>0</v>
      </c>
      <c r="GF60" s="20" t="n">
        <f aca="false">IF(H_Direct=1,IF(ALS59&lt;=0,0,IF(CS60&lt;=0,ALS59,ALS59-G60*MAX(0,CS60*ALS59-(JR60+NE60)))),ALS59*(1-MAX(0,CS60)*H_Exit))</f>
        <v>0</v>
      </c>
      <c r="GG60" s="20" t="n">
        <f aca="false">IF(H_Direct=1,IF(ALT59&lt;=0,0,IF(CT60&lt;=0,ALT59,ALT59-G60*MAX(0,CT60*ALT59-(JS60+NF60)))),ALT59*(1-MAX(0,CT60)*H_Exit))</f>
        <v>0</v>
      </c>
      <c r="GH60" s="20" t="n">
        <f aca="false">IF(H_Direct=1,IF(ALU59&lt;=0,0,IF(CU60&lt;=0,ALU59,ALU59-G60*MAX(0,CU60*ALU59-(JT60+NG60)))),ALU59*(1-MAX(0,CU60)*H_Exit))</f>
        <v>0</v>
      </c>
      <c r="GI60" s="20" t="n">
        <f aca="false">IF(H_Direct=1,IF(ALV59&lt;=0,0,IF(CV60&lt;=0,ALV59,ALV59-G60*MAX(0,CV60*ALV59-(JU60+NH60)))),ALV59*(1-MAX(0,CV60)*H_Exit))</f>
        <v>0</v>
      </c>
      <c r="GJ60" s="20" t="n">
        <f aca="false">IF(H_Direct=1,IF(ALW59&lt;=0,0,IF(CW60&lt;=0,ALW59,ALW59-G60*MAX(0,CW60*ALW59-(JV60+NI60)))),ALW59*(1-MAX(0,CW60)*H_Exit))</f>
        <v>0</v>
      </c>
      <c r="GK60" s="20" t="n">
        <f aca="false">IF(H_Direct=1,IF(ALX59&lt;=0,0,IF(CX60&lt;=0,ALX59,ALX59-G60*MAX(0,CX60*ALX59-(JW60+NJ60)))),ALX59*(1-MAX(0,CX60)*H_Exit))</f>
        <v>0</v>
      </c>
      <c r="GL60" s="20" t="n">
        <f aca="false">IF(H_Direct=1,IF(ALY59&lt;=0,0,IF(CY60&lt;=0,ALY59,ALY59-G60*MAX(0,CY60*ALY59-(JX60+NK60)))),ALY59*(1-MAX(0,CY60)*H_Exit))</f>
        <v>0</v>
      </c>
      <c r="GM60" s="20" t="n">
        <f aca="false">IF(H_Direct=1,IF(ALZ59&lt;=0,0,IF(CZ60&lt;=0,ALZ59,ALZ59-G60*MAX(0,CZ60*ALZ59-(JY60+NL60)))),ALZ59*(1-MAX(0,CZ60)*H_Exit))</f>
        <v>0</v>
      </c>
      <c r="GN60" s="20" t="n">
        <f aca="false">IF(H_Direct=1,IF(AMA59&lt;=0,0,IF(DA60&lt;=0,AMA59,AMA59-G60*MAX(0,DA60*AMA59-(JZ60+NM60)))),AMA59*(1-MAX(0,DA60)*H_Exit))</f>
        <v>0</v>
      </c>
      <c r="GO60" s="20" t="n">
        <f aca="false">IF(H_Direct=1,IF(AMB59&lt;=0,0,IF(DB60&lt;=0,AMB59,AMB59-G60*MAX(0,DB60*AMB59-(KA60+NN60)))),AMB59*(1-MAX(0,DB60)*H_Exit))</f>
        <v>0</v>
      </c>
      <c r="GP60" s="20" t="n">
        <f aca="false">IF(H_Direct=1,IF(AMC59&lt;=0,0,IF(DC60&lt;=0,AMC59,AMC59-G60*MAX(0,DC60*AMC59-(KB60+NO60)))),AMC59*(1-MAX(0,DC60)*H_Exit))</f>
        <v>0</v>
      </c>
      <c r="GQ60" s="20" t="n">
        <f aca="false">IF(H_Direct=1,IF(AMD59&lt;=0,0,IF(DD60&lt;=0,AMD59,AMD59-G60*MAX(0,DD60*AMD59-(KC60+NP60)))),AMD59*(1-MAX(0,DD60)*H_Exit))</f>
        <v>0</v>
      </c>
      <c r="GR60" s="20" t="n">
        <f aca="false">IF(H_Direct=1,IF(AME59&lt;=0,0,IF(DE60&lt;=0,AME59,AME59-G60*MAX(0,DE60*AME59-(KD60+NQ60)))),AME59*(1-MAX(0,DE60)*H_Exit))</f>
        <v>0</v>
      </c>
      <c r="GS60" s="20" t="n">
        <f aca="false">IF(H_Direct=1,IF(AMF59&lt;=0,0,IF(DF60&lt;=0,AMF59,AMF59-G60*MAX(0,DF60*AMF59-(KE60+NR60)))),AMF59*(1-MAX(0,DF60)*H_Exit))</f>
        <v>0</v>
      </c>
      <c r="GT60" s="20" t="n">
        <f aca="false">IF(H_Direct=1,IF(AMG59&lt;=0,0,IF(DG60&lt;=0,AMG59,AMG59-G60*MAX(0,DG60*AMG59-(KF60+NS60)))),AMG59*(1-MAX(0,DG60)*H_Exit))</f>
        <v>0</v>
      </c>
      <c r="GU60" s="20" t="n">
        <f aca="false">IF(H_Direct=1,IF(AMH59&lt;=0,0,IF(DH60&lt;=0,AMH59,AMH59-G60*MAX(0,DH60*AMH59-(KG60+NT60)))),AMH59*(1-MAX(0,DH60)*H_Exit))</f>
        <v>0</v>
      </c>
      <c r="GV60" s="20" t="n">
        <f aca="false">IF(H_Direct=1,IF(AMI59&lt;=0,0,IF(DI60&lt;=0,AMI59,AMI59-G60*MAX(0,DI60*AMI59-(KH60+NU60)))),AMI59*(1-MAX(0,DI60)*H_Exit))</f>
        <v>0</v>
      </c>
      <c r="GW60" s="20" t="n">
        <f aca="false">IF(H_Direct=1,IF(AMJ59&lt;=0,0,IF(DJ60&lt;=0,AMJ59,AMJ59-G60*MAX(0,DJ60*AMJ59-(KI60+NV60)))),AMJ59*(1-MAX(0,DJ60)*H_Exit))</f>
        <v>0</v>
      </c>
      <c r="GX60" s="20" t="n">
        <f aca="false">IF(H_Direct=1,IF(AMK59&lt;=0,0,IF(DK60&lt;=0,AMK59,AMK59-G60*MAX(0,DK60*AMK59-(KJ60+NW60)))),AMK59*(1-MAX(0,DK60)*H_Exit))</f>
        <v>0</v>
      </c>
      <c r="GY60" s="20" t="n">
        <f aca="false">IF(H_Direct=1,IF(AML59&lt;=0,0,IF(DL60&lt;=0,AML59,AML59-G60*MAX(0,DL60*AML59-(KK60+NX60)))),AML59*(1-MAX(0,DL60)*H_Exit))</f>
        <v>0</v>
      </c>
      <c r="GZ60" s="20" t="n">
        <f aca="false">IF(H_Direct=1,IF(AMM59&lt;=0,0,IF(DM60&lt;=0,AMM59,AMM59-G60*MAX(0,DM60*AMM59-(KL60+NY60)))),AMM59*(1-MAX(0,DM60)*H_Exit))</f>
        <v>0</v>
      </c>
      <c r="HA60" s="20" t="n">
        <f aca="false">IF(H_Direct=1,IF(AMN59&lt;=0,0,IF(DN60&lt;=0,AMN59,AMN59-G60*MAX(0,DN60*AMN59-(KM60+NZ60)))),AMN59*(1-MAX(0,DN60)*H_Exit))</f>
        <v>0</v>
      </c>
      <c r="HB60" s="20" t="n">
        <f aca="false">IF(H_Direct=1,IF(AMO59&lt;=0,0,IF(DO60&lt;=0,AMO59,AMO59-G60*MAX(0,DO60*AMO59-(KN60+OA60)))),AMO59*(1-MAX(0,DO60)*H_Exit))</f>
        <v>0</v>
      </c>
      <c r="HC60" s="20" t="n">
        <f aca="false">IF(H_Direct=1,IF(AMP59&lt;=0,0,IF(DP60&lt;=0,AMP59,AMP59-G60*MAX(0,DP60*AMP59-(KO60+OB60)))),AMP59*(1-MAX(0,DP60)*H_Exit))</f>
        <v>0</v>
      </c>
      <c r="HD60" s="20" t="n">
        <f aca="false">IF(H_Direct=1,IF(AMQ59&lt;=0,0,IF(DQ60&lt;=0,AMQ59,AMQ59-G60*MAX(0,DQ60*AMQ59-(KP60+OC60)))),AMQ59*(1-MAX(0,DQ60)*H_Exit))</f>
        <v>0</v>
      </c>
      <c r="HE60" s="20" t="n">
        <f aca="false">IF(H_Direct=1,IF(AMR59&lt;=0,0,IF(DR60&lt;=0,AMR59,AMR59-G60*MAX(0,DR60*AMR59-(KQ60+OD60)))),AMR59*(1-MAX(0,DR60)*H_Exit))</f>
        <v>0</v>
      </c>
      <c r="HF60" s="20" t="n">
        <f aca="false">IF(H_Direct=1,IF((P60+S60)&lt;=0,0,IF(DS60&lt;=0,(P60+S60),(P60+S60)-G60*MAX(0,DS60*(P60+S60)-(KR60+OE60)))),(P60+S60)*(1-MAX(0,DS60)*H_Exit))</f>
        <v>0</v>
      </c>
      <c r="HG60" s="20" t="n">
        <v>0</v>
      </c>
      <c r="HH60" s="20" t="n">
        <v>0</v>
      </c>
      <c r="HI60" s="20" t="n">
        <v>0</v>
      </c>
      <c r="HJ60" s="20" t="n">
        <v>0</v>
      </c>
      <c r="HK60" s="20" t="n">
        <v>0</v>
      </c>
      <c r="HL60" s="20" t="n">
        <v>0</v>
      </c>
      <c r="HM60" s="20" t="n">
        <v>0</v>
      </c>
      <c r="HN60" s="20" t="n">
        <v>0</v>
      </c>
      <c r="HO60" s="20" t="n">
        <v>0</v>
      </c>
      <c r="HP60" s="20" t="n">
        <v>0</v>
      </c>
      <c r="HQ60" s="20" t="n">
        <v>0</v>
      </c>
      <c r="HR60" s="20" t="n">
        <v>0</v>
      </c>
      <c r="HS60" s="20" t="n">
        <v>0</v>
      </c>
      <c r="HT60" s="20" t="n">
        <v>0</v>
      </c>
      <c r="HU60" s="20" t="n">
        <v>0</v>
      </c>
      <c r="HV60" s="20" t="n">
        <v>0</v>
      </c>
      <c r="HW60" s="20" t="n">
        <v>0</v>
      </c>
      <c r="HX60" s="20" t="n">
        <v>0</v>
      </c>
      <c r="HY60" s="20" t="n">
        <v>0</v>
      </c>
      <c r="HZ60" s="20" t="n">
        <v>0</v>
      </c>
      <c r="IA60" s="20" t="n">
        <v>0</v>
      </c>
      <c r="IB60" s="20" t="n">
        <v>0</v>
      </c>
      <c r="IC60" s="20" t="n">
        <v>0</v>
      </c>
      <c r="ID60" s="20" t="n">
        <v>0</v>
      </c>
      <c r="IE60" s="20" t="n">
        <v>0</v>
      </c>
      <c r="IF60" s="20" t="n">
        <v>0</v>
      </c>
      <c r="IG60" s="20" t="n">
        <v>0</v>
      </c>
      <c r="IH60" s="20" t="n">
        <v>0</v>
      </c>
      <c r="II60" s="20" t="n">
        <v>0</v>
      </c>
      <c r="IJ60" s="20" t="n">
        <v>0</v>
      </c>
      <c r="IK60" s="20" t="n">
        <v>0</v>
      </c>
      <c r="IL60" s="20" t="n">
        <v>0</v>
      </c>
      <c r="IM60" s="20" t="n">
        <v>0</v>
      </c>
      <c r="IN60" s="20" t="n">
        <v>0</v>
      </c>
      <c r="IO60" s="20" t="n">
        <v>0</v>
      </c>
      <c r="IP60" s="20" t="n">
        <v>0</v>
      </c>
      <c r="IQ60" s="20" t="n">
        <v>0</v>
      </c>
      <c r="IR60" s="20" t="n">
        <f aca="false">IF(AND(H_Direct=1,BR60&gt;0),MAX(0,H60-(MIN(BR60*AKR59,H60+I60)-MIN(MIN(BR60*AKR59,H60+I60),I60))),H60)</f>
        <v>1270</v>
      </c>
      <c r="IS60" s="20" t="n">
        <f aca="false">IF(AND(H_Direct=1,BS60&gt;0),MAX(0,IR60-(MIN(BS60*AKS59,IR60+ME60)-MIN(MIN(BS60*AKS59,IR60+ME60),ME60))),IR60)</f>
        <v>1270</v>
      </c>
      <c r="IT60" s="20" t="n">
        <f aca="false">IF(AND(H_Direct=1,BT60&gt;0),MAX(0,IS60-(MIN(BT60*AKT59,IS60+MF60)-MIN(MIN(BT60*AKT59,IS60+MF60),MF60))),IS60)</f>
        <v>1270</v>
      </c>
      <c r="IU60" s="20" t="n">
        <f aca="false">IF(AND(H_Direct=1,BU60&gt;0),MAX(0,IT60-(MIN(BU60*AKU59,IT60+MG60)-MIN(MIN(BU60*AKU59,IT60+MG60),MG60))),IT60)</f>
        <v>1270</v>
      </c>
      <c r="IV60" s="20" t="n">
        <f aca="false">IF(AND(H_Direct=1,BV60&gt;0),MAX(0,IU60-(MIN(BV60*AKV59,IU60+MH60)-MIN(MIN(BV60*AKV59,IU60+MH60),MH60))),IU60)</f>
        <v>1270</v>
      </c>
      <c r="IW60" s="20" t="n">
        <f aca="false">IF(AND(H_Direct=1,BW60&gt;0),MAX(0,IV60-(MIN(BW60*AKW59,IV60+MI60)-MIN(MIN(BW60*AKW59,IV60+MI60),MI60))),IV60)</f>
        <v>1270</v>
      </c>
      <c r="IX60" s="20" t="n">
        <f aca="false">IF(AND(H_Direct=1,BX60&gt;0),MAX(0,IW60-(MIN(BX60*AKX59,IW60+MJ60)-MIN(MIN(BX60*AKX59,IW60+MJ60),MJ60))),IW60)</f>
        <v>1270</v>
      </c>
      <c r="IY60" s="20" t="n">
        <f aca="false">IF(AND(H_Direct=1,BY60&gt;0),MAX(0,IX60-(MIN(BY60*AKY59,IX60+MK60)-MIN(MIN(BY60*AKY59,IX60+MK60),MK60))),IX60)</f>
        <v>1270</v>
      </c>
      <c r="IZ60" s="20" t="n">
        <f aca="false">IF(AND(H_Direct=1,BZ60&gt;0),MAX(0,IY60-(MIN(BZ60*AKZ59,IY60+ML60)-MIN(MIN(BZ60*AKZ59,IY60+ML60),ML60))),IY60)</f>
        <v>1270</v>
      </c>
      <c r="JA60" s="20" t="n">
        <f aca="false">IF(AND(H_Direct=1,CA60&gt;0),MAX(0,IZ60-(MIN(CA60*ALA59,IZ60+MM60)-MIN(MIN(CA60*ALA59,IZ60+MM60),MM60))),IZ60)</f>
        <v>1270</v>
      </c>
      <c r="JB60" s="20" t="n">
        <f aca="false">IF(AND(H_Direct=1,CB60&gt;0),MAX(0,JA60-(MIN(CB60*ALB59,JA60+MN60)-MIN(MIN(CB60*ALB59,JA60+MN60),MN60))),JA60)</f>
        <v>1270</v>
      </c>
      <c r="JC60" s="20" t="n">
        <f aca="false">IF(AND(H_Direct=1,CC60&gt;0),MAX(0,JB60-(MIN(CC60*ALC59,JB60+MO60)-MIN(MIN(CC60*ALC59,JB60+MO60),MO60))),JB60)</f>
        <v>1270</v>
      </c>
      <c r="JD60" s="20" t="n">
        <f aca="false">IF(AND(H_Direct=1,CD60&gt;0),MAX(0,JC60-(MIN(CD60*ALD59,JC60+MP60)-MIN(MIN(CD60*ALD59,JC60+MP60),MP60))),JC60)</f>
        <v>1270</v>
      </c>
      <c r="JE60" s="20" t="n">
        <f aca="false">IF(AND(H_Direct=1,CE60&gt;0),MAX(0,JD60-(MIN(CE60*ALE59,JD60+MQ60)-MIN(MIN(CE60*ALE59,JD60+MQ60),MQ60))),JD60)</f>
        <v>1270</v>
      </c>
      <c r="JF60" s="20" t="n">
        <f aca="false">IF(AND(H_Direct=1,CF60&gt;0),MAX(0,JE60-(MIN(CF60*ALF59,JE60+MR60)-MIN(MIN(CF60*ALF59,JE60+MR60),MR60))),JE60)</f>
        <v>1270</v>
      </c>
      <c r="JG60" s="20" t="n">
        <f aca="false">IF(AND(H_Direct=1,CG60&gt;0),MAX(0,JF60-(MIN(CG60*ALG59,JF60+MS60)-MIN(MIN(CG60*ALG59,JF60+MS60),MS60))),JF60)</f>
        <v>1270</v>
      </c>
      <c r="JH60" s="20" t="n">
        <f aca="false">IF(AND(H_Direct=1,CH60&gt;0),MAX(0,JG60-(MIN(CH60*ALH59,JG60+MT60)-MIN(MIN(CH60*ALH59,JG60+MT60),MT60))),JG60)</f>
        <v>1270</v>
      </c>
      <c r="JI60" s="20" t="n">
        <f aca="false">IF(AND(H_Direct=1,CI60&gt;0),MAX(0,JH60-(MIN(CI60*ALI59,JH60+MU60)-MIN(MIN(CI60*ALI59,JH60+MU60),MU60))),JH60)</f>
        <v>1270</v>
      </c>
      <c r="JJ60" s="20" t="n">
        <f aca="false">IF(AND(H_Direct=1,CJ60&gt;0),MAX(0,JI60-(MIN(CJ60*ALJ59,JI60+MV60)-MIN(MIN(CJ60*ALJ59,JI60+MV60),MV60))),JI60)</f>
        <v>1270</v>
      </c>
      <c r="JK60" s="20" t="n">
        <f aca="false">IF(AND(H_Direct=1,CK60&gt;0),MAX(0,JJ60-(MIN(CK60*ALK59,JJ60+MW60)-MIN(MIN(CK60*ALK59,JJ60+MW60),MW60))),JJ60)</f>
        <v>1270</v>
      </c>
      <c r="JL60" s="20" t="n">
        <f aca="false">IF(AND(H_Direct=1,CL60&gt;0),MAX(0,JK60-(MIN(CL60*ALL59,JK60+MX60)-MIN(MIN(CL60*ALL59,JK60+MX60),MX60))),JK60)</f>
        <v>1270</v>
      </c>
      <c r="JM60" s="20" t="n">
        <f aca="false">IF(AND(H_Direct=1,CM60&gt;0),MAX(0,JL60-(MIN(CM60*ALM59,JL60+MY60)-MIN(MIN(CM60*ALM59,JL60+MY60),MY60))),JL60)</f>
        <v>1270</v>
      </c>
      <c r="JN60" s="20" t="n">
        <f aca="false">IF(AND(H_Direct=1,CN60&gt;0),MAX(0,JM60-(MIN(CN60*ALN59,JM60+MZ60)-MIN(MIN(CN60*ALN59,JM60+MZ60),MZ60))),JM60)</f>
        <v>1270</v>
      </c>
      <c r="JO60" s="20" t="n">
        <f aca="false">IF(AND(H_Direct=1,CO60&gt;0),MAX(0,JN60-(MIN(CO60*ALO59,JN60+NA60)-MIN(MIN(CO60*ALO59,JN60+NA60),NA60))),JN60)</f>
        <v>1270</v>
      </c>
      <c r="JP60" s="20" t="n">
        <f aca="false">IF(AND(H_Direct=1,CP60&gt;0),MAX(0,JO60-(MIN(CP60*ALP59,JO60+NB60)-MIN(MIN(CP60*ALP59,JO60+NB60),NB60))),JO60)</f>
        <v>1270</v>
      </c>
      <c r="JQ60" s="20" t="n">
        <f aca="false">IF(AND(H_Direct=1,CQ60&gt;0),MAX(0,JP60-(MIN(CQ60*ALQ59,JP60+NC60)-MIN(MIN(CQ60*ALQ59,JP60+NC60),NC60))),JP60)</f>
        <v>1270</v>
      </c>
      <c r="JR60" s="20" t="n">
        <f aca="false">IF(AND(H_Direct=1,CR60&gt;0),MAX(0,JQ60-(MIN(CR60*ALR59,JQ60+ND60)-MIN(MIN(CR60*ALR59,JQ60+ND60),ND60))),JQ60)</f>
        <v>1270</v>
      </c>
      <c r="JS60" s="20" t="n">
        <f aca="false">IF(AND(H_Direct=1,CS60&gt;0),MAX(0,JR60-(MIN(CS60*ALS59,JR60+NE60)-MIN(MIN(CS60*ALS59,JR60+NE60),NE60))),JR60)</f>
        <v>1270</v>
      </c>
      <c r="JT60" s="20" t="n">
        <f aca="false">IF(AND(H_Direct=1,CT60&gt;0),MAX(0,JS60-(MIN(CT60*ALT59,JS60+NF60)-MIN(MIN(CT60*ALT59,JS60+NF60),NF60))),JS60)</f>
        <v>1270</v>
      </c>
      <c r="JU60" s="20" t="n">
        <f aca="false">IF(AND(H_Direct=1,CU60&gt;0),MAX(0,JT60-(MIN(CU60*ALU59,JT60+NG60)-MIN(MIN(CU60*ALU59,JT60+NG60),NG60))),JT60)</f>
        <v>1270</v>
      </c>
      <c r="JV60" s="20" t="n">
        <f aca="false">IF(AND(H_Direct=1,CV60&gt;0),MAX(0,JU60-(MIN(CV60*ALV59,JU60+NH60)-MIN(MIN(CV60*ALV59,JU60+NH60),NH60))),JU60)</f>
        <v>1270</v>
      </c>
      <c r="JW60" s="20" t="n">
        <f aca="false">IF(AND(H_Direct=1,CW60&gt;0),MAX(0,JV60-(MIN(CW60*ALW59,JV60+NI60)-MIN(MIN(CW60*ALW59,JV60+NI60),NI60))),JV60)</f>
        <v>1270</v>
      </c>
      <c r="JX60" s="20" t="n">
        <f aca="false">IF(AND(H_Direct=1,CX60&gt;0),MAX(0,JW60-(MIN(CX60*ALX59,JW60+NJ60)-MIN(MIN(CX60*ALX59,JW60+NJ60),NJ60))),JW60)</f>
        <v>1270</v>
      </c>
      <c r="JY60" s="20" t="n">
        <f aca="false">IF(AND(H_Direct=1,CY60&gt;0),MAX(0,JX60-(MIN(CY60*ALY59,JX60+NK60)-MIN(MIN(CY60*ALY59,JX60+NK60),NK60))),JX60)</f>
        <v>1270</v>
      </c>
      <c r="JZ60" s="20" t="n">
        <f aca="false">IF(AND(H_Direct=1,CZ60&gt;0),MAX(0,JY60-(MIN(CZ60*ALZ59,JY60+NL60)-MIN(MIN(CZ60*ALZ59,JY60+NL60),NL60))),JY60)</f>
        <v>1270</v>
      </c>
      <c r="KA60" s="20" t="n">
        <f aca="false">IF(AND(H_Direct=1,DA60&gt;0),MAX(0,JZ60-(MIN(DA60*AMA59,JZ60+NM60)-MIN(MIN(DA60*AMA59,JZ60+NM60),NM60))),JZ60)</f>
        <v>1270</v>
      </c>
      <c r="KB60" s="20" t="n">
        <f aca="false">IF(AND(H_Direct=1,DB60&gt;0),MAX(0,KA60-(MIN(DB60*AMB59,KA60+NN60)-MIN(MIN(DB60*AMB59,KA60+NN60),NN60))),KA60)</f>
        <v>1270</v>
      </c>
      <c r="KC60" s="20" t="n">
        <f aca="false">IF(AND(H_Direct=1,DC60&gt;0),MAX(0,KB60-(MIN(DC60*AMC59,KB60+NO60)-MIN(MIN(DC60*AMC59,KB60+NO60),NO60))),KB60)</f>
        <v>1270</v>
      </c>
      <c r="KD60" s="20" t="n">
        <f aca="false">IF(AND(H_Direct=1,DD60&gt;0),MAX(0,KC60-(MIN(DD60*AMD59,KC60+NP60)-MIN(MIN(DD60*AMD59,KC60+NP60),NP60))),KC60)</f>
        <v>1270</v>
      </c>
      <c r="KE60" s="20" t="n">
        <f aca="false">IF(AND(H_Direct=1,DE60&gt;0),MAX(0,KD60-(MIN(DE60*AME59,KD60+NQ60)-MIN(MIN(DE60*AME59,KD60+NQ60),NQ60))),KD60)</f>
        <v>1270</v>
      </c>
      <c r="KF60" s="20" t="n">
        <f aca="false">IF(AND(H_Direct=1,DF60&gt;0),MAX(0,KE60-(MIN(DF60*AMF59,KE60+NR60)-MIN(MIN(DF60*AMF59,KE60+NR60),NR60))),KE60)</f>
        <v>1270</v>
      </c>
      <c r="KG60" s="20" t="n">
        <f aca="false">IF(AND(H_Direct=1,DG60&gt;0),MAX(0,KF60-(MIN(DG60*AMG59,KF60+NS60)-MIN(MIN(DG60*AMG59,KF60+NS60),NS60))),KF60)</f>
        <v>1270</v>
      </c>
      <c r="KH60" s="20" t="n">
        <f aca="false">IF(AND(H_Direct=1,DH60&gt;0),MAX(0,KG60-(MIN(DH60*AMH59,KG60+NT60)-MIN(MIN(DH60*AMH59,KG60+NT60),NT60))),KG60)</f>
        <v>1270</v>
      </c>
      <c r="KI60" s="20" t="n">
        <f aca="false">IF(AND(H_Direct=1,DI60&gt;0),MAX(0,KH60-(MIN(DI60*AMI59,KH60+NU60)-MIN(MIN(DI60*AMI59,KH60+NU60),NU60))),KH60)</f>
        <v>1270</v>
      </c>
      <c r="KJ60" s="20" t="n">
        <f aca="false">IF(AND(H_Direct=1,DJ60&gt;0),MAX(0,KI60-(MIN(DJ60*AMJ59,KI60+NV60)-MIN(MIN(DJ60*AMJ59,KI60+NV60),NV60))),KI60)</f>
        <v>1270</v>
      </c>
      <c r="KK60" s="20" t="n">
        <f aca="false">IF(AND(H_Direct=1,DK60&gt;0),MAX(0,KJ60-(MIN(DK60*AMK59,KJ60+NW60)-MIN(MIN(DK60*AMK59,KJ60+NW60),NW60))),KJ60)</f>
        <v>1270</v>
      </c>
      <c r="KL60" s="20" t="n">
        <f aca="false">IF(AND(H_Direct=1,DL60&gt;0),MAX(0,KK60-(MIN(DL60*AML59,KK60+NX60)-MIN(MIN(DL60*AML59,KK60+NX60),NX60))),KK60)</f>
        <v>1270</v>
      </c>
      <c r="KM60" s="20" t="n">
        <f aca="false">IF(AND(H_Direct=1,DM60&gt;0),MAX(0,KL60-(MIN(DM60*AMM59,KL60+NY60)-MIN(MIN(DM60*AMM59,KL60+NY60),NY60))),KL60)</f>
        <v>1270</v>
      </c>
      <c r="KN60" s="20" t="n">
        <f aca="false">IF(AND(H_Direct=1,DN60&gt;0),MAX(0,KM60-(MIN(DN60*AMN59,KM60+NZ60)-MIN(MIN(DN60*AMN59,KM60+NZ60),NZ60))),KM60)</f>
        <v>1270</v>
      </c>
      <c r="KO60" s="20" t="n">
        <f aca="false">IF(AND(H_Direct=1,DO60&gt;0),MAX(0,KN60-(MIN(DO60*AMO59,KN60+OA60)-MIN(MIN(DO60*AMO59,KN60+OA60),OA60))),KN60)</f>
        <v>1270</v>
      </c>
      <c r="KP60" s="20" t="n">
        <f aca="false">IF(AND(H_Direct=1,DP60&gt;0),MAX(0,KO60-(MIN(DP60*AMP59,KO60+OB60)-MIN(MIN(DP60*AMP59,KO60+OB60),OB60))),KO60)</f>
        <v>1270</v>
      </c>
      <c r="KQ60" s="20" t="n">
        <f aca="false">IF(AND(H_Direct=1,DQ60&gt;0),MAX(0,KP60-(MIN(DQ60*AMQ59,KP60+OC60)-MIN(MIN(DQ60*AMQ59,KP60+OC60),OC60))),KP60)</f>
        <v>1270</v>
      </c>
      <c r="KR60" s="20" t="n">
        <f aca="false">IF(AND(H_Direct=1,DR60&gt;0),MAX(0,KQ60-(MIN(DR60*AMR59,KQ60+OD60)-MIN(MIN(DR60*AMR59,KQ60+OD60),OD60))),KQ60)</f>
        <v>1270</v>
      </c>
      <c r="KS60" s="20" t="n">
        <f aca="false">IF(AND(H_Direct=1,DS60&gt;0),MAX(0,KR60-(MIN(DS60*(P60+S60),KR60+OE60)-MIN(MIN(DS60*(P60+S60),KR60+OE60),OE60))),KR60)</f>
        <v>1270</v>
      </c>
      <c r="KT60" s="20" t="n">
        <f aca="false">KS60</f>
        <v>1270</v>
      </c>
      <c r="KU60" s="20" t="n">
        <f aca="false">KT60</f>
        <v>1270</v>
      </c>
      <c r="KV60" s="20" t="n">
        <f aca="false">KU60</f>
        <v>1270</v>
      </c>
      <c r="KW60" s="20" t="n">
        <f aca="false">KV60</f>
        <v>1270</v>
      </c>
      <c r="KX60" s="20" t="n">
        <f aca="false">KW60</f>
        <v>1270</v>
      </c>
      <c r="KY60" s="20" t="n">
        <f aca="false">KX60</f>
        <v>1270</v>
      </c>
      <c r="KZ60" s="20" t="n">
        <f aca="false">KY60</f>
        <v>1270</v>
      </c>
      <c r="LA60" s="20" t="n">
        <f aca="false">KZ60</f>
        <v>1270</v>
      </c>
      <c r="LB60" s="20" t="n">
        <f aca="false">LA60</f>
        <v>1270</v>
      </c>
      <c r="LC60" s="20" t="n">
        <f aca="false">LB60</f>
        <v>1270</v>
      </c>
      <c r="LD60" s="20" t="n">
        <f aca="false">LC60</f>
        <v>1270</v>
      </c>
      <c r="LE60" s="20" t="n">
        <f aca="false">LD60</f>
        <v>1270</v>
      </c>
      <c r="LF60" s="20" t="n">
        <f aca="false">LE60</f>
        <v>1270</v>
      </c>
      <c r="LG60" s="20" t="n">
        <f aca="false">LF60</f>
        <v>1270</v>
      </c>
      <c r="LH60" s="20" t="n">
        <f aca="false">LG60</f>
        <v>1270</v>
      </c>
      <c r="LI60" s="20" t="n">
        <f aca="false">LH60</f>
        <v>1270</v>
      </c>
      <c r="LJ60" s="20" t="n">
        <f aca="false">LI60</f>
        <v>1270</v>
      </c>
      <c r="LK60" s="20" t="n">
        <f aca="false">LJ60</f>
        <v>1270</v>
      </c>
      <c r="LL60" s="20" t="n">
        <f aca="false">LK60</f>
        <v>1270</v>
      </c>
      <c r="LM60" s="20" t="n">
        <f aca="false">LL60</f>
        <v>1270</v>
      </c>
      <c r="LN60" s="20" t="n">
        <f aca="false">LM60</f>
        <v>1270</v>
      </c>
      <c r="LO60" s="20" t="n">
        <f aca="false">LN60</f>
        <v>1270</v>
      </c>
      <c r="LP60" s="20" t="n">
        <f aca="false">LO60</f>
        <v>1270</v>
      </c>
      <c r="LQ60" s="20" t="n">
        <f aca="false">LP60</f>
        <v>1270</v>
      </c>
      <c r="LR60" s="20" t="n">
        <f aca="false">LQ60</f>
        <v>1270</v>
      </c>
      <c r="LS60" s="20" t="n">
        <f aca="false">LR60</f>
        <v>1270</v>
      </c>
      <c r="LT60" s="20" t="n">
        <f aca="false">LS60</f>
        <v>1270</v>
      </c>
      <c r="LU60" s="20" t="n">
        <f aca="false">LT60</f>
        <v>1270</v>
      </c>
      <c r="LV60" s="20" t="n">
        <f aca="false">LU60</f>
        <v>1270</v>
      </c>
      <c r="LW60" s="20" t="n">
        <f aca="false">LV60</f>
        <v>1270</v>
      </c>
      <c r="LX60" s="20" t="n">
        <f aca="false">LW60</f>
        <v>1270</v>
      </c>
      <c r="LY60" s="20" t="n">
        <f aca="false">LX60</f>
        <v>1270</v>
      </c>
      <c r="LZ60" s="20" t="n">
        <f aca="false">LY60</f>
        <v>1270</v>
      </c>
      <c r="MA60" s="20" t="n">
        <f aca="false">LZ60</f>
        <v>1270</v>
      </c>
      <c r="MB60" s="20" t="n">
        <f aca="false">MA60</f>
        <v>1270</v>
      </c>
      <c r="MC60" s="20" t="n">
        <f aca="false">MB60</f>
        <v>1270</v>
      </c>
      <c r="MD60" s="20" t="n">
        <f aca="false">MC60</f>
        <v>1270</v>
      </c>
      <c r="ME60" s="20" t="n">
        <f aca="false">IF(H_Direct=1,IF(BR60&lt;=0,I60-BR60*AKR59,I60-MIN(MIN(BR60*AKR59,H60+I60),I60)),I60)</f>
        <v>0</v>
      </c>
      <c r="MF60" s="20" t="n">
        <f aca="false">IF(H_Direct=1,IF(BS60&lt;=0,ME60-BS60*AKS59,ME60-MIN(MIN(BS60*AKS59,IR60+ME60),ME60)),ME60)</f>
        <v>0</v>
      </c>
      <c r="MG60" s="20" t="n">
        <f aca="false">IF(H_Direct=1,IF(BT60&lt;=0,MF60-BT60*AKT59,MF60-MIN(MIN(BT60*AKT59,IS60+MF60),MF60)),MF60)</f>
        <v>0</v>
      </c>
      <c r="MH60" s="20" t="n">
        <f aca="false">IF(H_Direct=1,IF(BU60&lt;=0,MG60-BU60*AKU59,MG60-MIN(MIN(BU60*AKU59,IT60+MG60),MG60)),MG60)</f>
        <v>0</v>
      </c>
      <c r="MI60" s="20" t="n">
        <f aca="false">IF(H_Direct=1,IF(BV60&lt;=0,MH60-BV60*AKV59,MH60-MIN(MIN(BV60*AKV59,IU60+MH60),MH60)),MH60)</f>
        <v>0</v>
      </c>
      <c r="MJ60" s="20" t="n">
        <f aca="false">IF(H_Direct=1,IF(BW60&lt;=0,MI60-BW60*AKW59,MI60-MIN(MIN(BW60*AKW59,IV60+MI60),MI60)),MI60)</f>
        <v>0</v>
      </c>
      <c r="MK60" s="20" t="n">
        <f aca="false">IF(H_Direct=1,IF(BX60&lt;=0,MJ60-BX60*AKX59,MJ60-MIN(MIN(BX60*AKX59,IW60+MJ60),MJ60)),MJ60)</f>
        <v>0</v>
      </c>
      <c r="ML60" s="20" t="n">
        <f aca="false">IF(H_Direct=1,IF(BY60&lt;=0,MK60-BY60*AKY59,MK60-MIN(MIN(BY60*AKY59,IX60+MK60),MK60)),MK60)</f>
        <v>0</v>
      </c>
      <c r="MM60" s="20" t="n">
        <f aca="false">IF(H_Direct=1,IF(BZ60&lt;=0,ML60-BZ60*AKZ59,ML60-MIN(MIN(BZ60*AKZ59,IY60+ML60),ML60)),ML60)</f>
        <v>0</v>
      </c>
      <c r="MN60" s="20" t="n">
        <f aca="false">IF(H_Direct=1,IF(CA60&lt;=0,MM60-CA60*ALA59,MM60-MIN(MIN(CA60*ALA59,IZ60+MM60),MM60)),MM60)</f>
        <v>0</v>
      </c>
      <c r="MO60" s="20" t="n">
        <f aca="false">IF(H_Direct=1,IF(CB60&lt;=0,MN60-CB60*ALB59,MN60-MIN(MIN(CB60*ALB59,JA60+MN60),MN60)),MN60)</f>
        <v>0</v>
      </c>
      <c r="MP60" s="20" t="n">
        <f aca="false">IF(H_Direct=1,IF(CC60&lt;=0,MO60-CC60*ALC59,MO60-MIN(MIN(CC60*ALC59,JB60+MO60),MO60)),MO60)</f>
        <v>0</v>
      </c>
      <c r="MQ60" s="20" t="n">
        <f aca="false">IF(H_Direct=1,IF(CD60&lt;=0,MP60-CD60*ALD59,MP60-MIN(MIN(CD60*ALD59,JC60+MP60),MP60)),MP60)</f>
        <v>0</v>
      </c>
      <c r="MR60" s="20" t="n">
        <f aca="false">IF(H_Direct=1,IF(CE60&lt;=0,MQ60-CE60*ALE59,MQ60-MIN(MIN(CE60*ALE59,JD60+MQ60),MQ60)),MQ60)</f>
        <v>0</v>
      </c>
      <c r="MS60" s="20" t="n">
        <f aca="false">IF(H_Direct=1,IF(CF60&lt;=0,MR60-CF60*ALF59,MR60-MIN(MIN(CF60*ALF59,JE60+MR60),MR60)),MR60)</f>
        <v>0</v>
      </c>
      <c r="MT60" s="20" t="n">
        <f aca="false">IF(H_Direct=1,IF(CG60&lt;=0,MS60-CG60*ALG59,MS60-MIN(MIN(CG60*ALG59,JF60+MS60),MS60)),MS60)</f>
        <v>0</v>
      </c>
      <c r="MU60" s="20" t="n">
        <f aca="false">IF(H_Direct=1,IF(CH60&lt;=0,MT60-CH60*ALH59,MT60-MIN(MIN(CH60*ALH59,JG60+MT60),MT60)),MT60)</f>
        <v>0</v>
      </c>
      <c r="MV60" s="20" t="n">
        <f aca="false">IF(H_Direct=1,IF(CI60&lt;=0,MU60-CI60*ALI59,MU60-MIN(MIN(CI60*ALI59,JH60+MU60),MU60)),MU60)</f>
        <v>0</v>
      </c>
      <c r="MW60" s="20" t="n">
        <f aca="false">IF(H_Direct=1,IF(CJ60&lt;=0,MV60-CJ60*ALJ59,MV60-MIN(MIN(CJ60*ALJ59,JI60+MV60),MV60)),MV60)</f>
        <v>0</v>
      </c>
      <c r="MX60" s="20" t="n">
        <f aca="false">IF(H_Direct=1,IF(CK60&lt;=0,MW60-CK60*ALK59,MW60-MIN(MIN(CK60*ALK59,JJ60+MW60),MW60)),MW60)</f>
        <v>0</v>
      </c>
      <c r="MY60" s="20" t="n">
        <f aca="false">IF(H_Direct=1,IF(CL60&lt;=0,MX60-CL60*ALL59,MX60-MIN(MIN(CL60*ALL59,JK60+MX60),MX60)),MX60)</f>
        <v>0</v>
      </c>
      <c r="MZ60" s="20" t="n">
        <f aca="false">IF(H_Direct=1,IF(CM60&lt;=0,MY60-CM60*ALM59,MY60-MIN(MIN(CM60*ALM59,JL60+MY60),MY60)),MY60)</f>
        <v>0</v>
      </c>
      <c r="NA60" s="20" t="n">
        <f aca="false">IF(H_Direct=1,IF(CN60&lt;=0,MZ60-CN60*ALN59,MZ60-MIN(MIN(CN60*ALN59,JM60+MZ60),MZ60)),MZ60)</f>
        <v>0</v>
      </c>
      <c r="NB60" s="20" t="n">
        <f aca="false">IF(H_Direct=1,IF(CO60&lt;=0,NA60-CO60*ALO59,NA60-MIN(MIN(CO60*ALO59,JN60+NA60),NA60)),NA60)</f>
        <v>0</v>
      </c>
      <c r="NC60" s="20" t="n">
        <f aca="false">IF(H_Direct=1,IF(CP60&lt;=0,NB60-CP60*ALP59,NB60-MIN(MIN(CP60*ALP59,JO60+NB60),NB60)),NB60)</f>
        <v>0</v>
      </c>
      <c r="ND60" s="20" t="n">
        <f aca="false">IF(H_Direct=1,IF(CQ60&lt;=0,NC60-CQ60*ALQ59,NC60-MIN(MIN(CQ60*ALQ59,JP60+NC60),NC60)),NC60)</f>
        <v>0</v>
      </c>
      <c r="NE60" s="20" t="n">
        <f aca="false">IF(H_Direct=1,IF(CR60&lt;=0,ND60-CR60*ALR59,ND60-MIN(MIN(CR60*ALR59,JQ60+ND60),ND60)),ND60)</f>
        <v>0</v>
      </c>
      <c r="NF60" s="20" t="n">
        <f aca="false">IF(H_Direct=1,IF(CS60&lt;=0,NE60-CS60*ALS59,NE60-MIN(MIN(CS60*ALS59,JR60+NE60),NE60)),NE60)</f>
        <v>0</v>
      </c>
      <c r="NG60" s="20" t="n">
        <f aca="false">IF(H_Direct=1,IF(CT60&lt;=0,NF60-CT60*ALT59,NF60-MIN(MIN(CT60*ALT59,JS60+NF60),NF60)),NF60)</f>
        <v>0</v>
      </c>
      <c r="NH60" s="20" t="n">
        <f aca="false">IF(H_Direct=1,IF(CU60&lt;=0,NG60-CU60*ALU59,NG60-MIN(MIN(CU60*ALU59,JT60+NG60),NG60)),NG60)</f>
        <v>0</v>
      </c>
      <c r="NI60" s="20" t="n">
        <f aca="false">IF(H_Direct=1,IF(CV60&lt;=0,NH60-CV60*ALV59,NH60-MIN(MIN(CV60*ALV59,JU60+NH60),NH60)),NH60)</f>
        <v>0</v>
      </c>
      <c r="NJ60" s="20" t="n">
        <f aca="false">IF(H_Direct=1,IF(CW60&lt;=0,NI60-CW60*ALW59,NI60-MIN(MIN(CW60*ALW59,JV60+NI60),NI60)),NI60)</f>
        <v>0</v>
      </c>
      <c r="NK60" s="20" t="n">
        <f aca="false">IF(H_Direct=1,IF(CX60&lt;=0,NJ60-CX60*ALX59,NJ60-MIN(MIN(CX60*ALX59,JW60+NJ60),NJ60)),NJ60)</f>
        <v>0</v>
      </c>
      <c r="NL60" s="20" t="n">
        <f aca="false">IF(H_Direct=1,IF(CY60&lt;=0,NK60-CY60*ALY59,NK60-MIN(MIN(CY60*ALY59,JX60+NK60),NK60)),NK60)</f>
        <v>0</v>
      </c>
      <c r="NM60" s="20" t="n">
        <f aca="false">IF(H_Direct=1,IF(CZ60&lt;=0,NL60-CZ60*ALZ59,NL60-MIN(MIN(CZ60*ALZ59,JY60+NL60),NL60)),NL60)</f>
        <v>0</v>
      </c>
      <c r="NN60" s="20" t="n">
        <f aca="false">IF(H_Direct=1,IF(DA60&lt;=0,NM60-DA60*AMA59,NM60-MIN(MIN(DA60*AMA59,JZ60+NM60),NM60)),NM60)</f>
        <v>0</v>
      </c>
      <c r="NO60" s="20" t="n">
        <f aca="false">IF(H_Direct=1,IF(DB60&lt;=0,NN60-DB60*AMB59,NN60-MIN(MIN(DB60*AMB59,KA60+NN60),NN60)),NN60)</f>
        <v>0</v>
      </c>
      <c r="NP60" s="20" t="n">
        <f aca="false">IF(H_Direct=1,IF(DC60&lt;=0,NO60-DC60*AMC59,NO60-MIN(MIN(DC60*AMC59,KB60+NO60),NO60)),NO60)</f>
        <v>0</v>
      </c>
      <c r="NQ60" s="20" t="n">
        <f aca="false">IF(H_Direct=1,IF(DD60&lt;=0,NP60-DD60*AMD59,NP60-MIN(MIN(DD60*AMD59,KC60+NP60),NP60)),NP60)</f>
        <v>0</v>
      </c>
      <c r="NR60" s="20" t="n">
        <f aca="false">IF(H_Direct=1,IF(DE60&lt;=0,NQ60-DE60*AME59,NQ60-MIN(MIN(DE60*AME59,KD60+NQ60),NQ60)),NQ60)</f>
        <v>0</v>
      </c>
      <c r="NS60" s="20" t="n">
        <f aca="false">IF(H_Direct=1,IF(DF60&lt;=0,NR60-DF60*AMF59,NR60-MIN(MIN(DF60*AMF59,KE60+NR60),NR60)),NR60)</f>
        <v>0</v>
      </c>
      <c r="NT60" s="20" t="n">
        <f aca="false">IF(H_Direct=1,IF(DG60&lt;=0,NS60-DG60*AMG59,NS60-MIN(MIN(DG60*AMG59,KF60+NS60),NS60)),NS60)</f>
        <v>0</v>
      </c>
      <c r="NU60" s="20" t="n">
        <f aca="false">IF(H_Direct=1,IF(DH60&lt;=0,NT60-DH60*AMH59,NT60-MIN(MIN(DH60*AMH59,KG60+NT60),NT60)),NT60)</f>
        <v>0</v>
      </c>
      <c r="NV60" s="20" t="n">
        <f aca="false">IF(H_Direct=1,IF(DI60&lt;=0,NU60-DI60*AMI59,NU60-MIN(MIN(DI60*AMI59,KH60+NU60),NU60)),NU60)</f>
        <v>0</v>
      </c>
      <c r="NW60" s="20" t="n">
        <f aca="false">IF(H_Direct=1,IF(DJ60&lt;=0,NV60-DJ60*AMJ59,NV60-MIN(MIN(DJ60*AMJ59,KI60+NV60),NV60)),NV60)</f>
        <v>0</v>
      </c>
      <c r="NX60" s="20" t="n">
        <f aca="false">IF(H_Direct=1,IF(DK60&lt;=0,NW60-DK60*AMK59,NW60-MIN(MIN(DK60*AMK59,KJ60+NW60),NW60)),NW60)</f>
        <v>0</v>
      </c>
      <c r="NY60" s="20" t="n">
        <f aca="false">IF(H_Direct=1,IF(DL60&lt;=0,NX60-DL60*AML59,NX60-MIN(MIN(DL60*AML59,KK60+NX60),NX60)),NX60)</f>
        <v>0</v>
      </c>
      <c r="NZ60" s="20" t="n">
        <f aca="false">IF(H_Direct=1,IF(DM60&lt;=0,NY60-DM60*AMM59,NY60-MIN(MIN(DM60*AMM59,KL60+NY60),NY60)),NY60)</f>
        <v>0</v>
      </c>
      <c r="OA60" s="20" t="n">
        <f aca="false">IF(H_Direct=1,IF(DN60&lt;=0,NZ60-DN60*AMN59,NZ60-MIN(MIN(DN60*AMN59,KM60+NZ60),NZ60)),NZ60)</f>
        <v>0</v>
      </c>
      <c r="OB60" s="20" t="n">
        <f aca="false">IF(H_Direct=1,IF(DO60&lt;=0,OA60-DO60*AMO59,OA60-MIN(MIN(DO60*AMO59,KN60+OA60),OA60)),OA60)</f>
        <v>0</v>
      </c>
      <c r="OC60" s="20" t="n">
        <f aca="false">IF(H_Direct=1,IF(DP60&lt;=0,OB60-DP60*AMP59,OB60-MIN(MIN(DP60*AMP59,KO60+OB60),OB60)),OB60)</f>
        <v>0</v>
      </c>
      <c r="OD60" s="20" t="n">
        <f aca="false">IF(H_Direct=1,IF(DQ60&lt;=0,OC60-DQ60*AMQ59,OC60-MIN(MIN(DQ60*AMQ59,KP60+OC60),OC60)),OC60)</f>
        <v>0</v>
      </c>
      <c r="OE60" s="20" t="n">
        <f aca="false">IF(H_Direct=1,IF(DR60&lt;=0,OD60-DR60*AMR59,OD60-MIN(MIN(DR60*AMR59,KQ60+OD60),OD60)),OD60)</f>
        <v>0</v>
      </c>
      <c r="OF60" s="20" t="n">
        <f aca="false">IF(H_Direct=1,IF(DS60&lt;=0,OE60-DS60*(P60+S60),OE60-MIN(MIN(DS60*(P60+S60),KR60+OE60),OE60)),OE60)</f>
        <v>0</v>
      </c>
      <c r="OG60" s="20" t="n">
        <f aca="false">OF60</f>
        <v>0</v>
      </c>
      <c r="OH60" s="20" t="n">
        <f aca="false">OG60</f>
        <v>0</v>
      </c>
      <c r="OI60" s="20" t="n">
        <f aca="false">OH60</f>
        <v>0</v>
      </c>
      <c r="OJ60" s="20" t="n">
        <f aca="false">OI60</f>
        <v>0</v>
      </c>
      <c r="OK60" s="20" t="n">
        <f aca="false">OJ60</f>
        <v>0</v>
      </c>
      <c r="OL60" s="20" t="n">
        <f aca="false">OK60</f>
        <v>0</v>
      </c>
      <c r="OM60" s="20" t="n">
        <f aca="false">OL60</f>
        <v>0</v>
      </c>
      <c r="ON60" s="20" t="n">
        <f aca="false">OM60</f>
        <v>0</v>
      </c>
      <c r="OO60" s="20" t="n">
        <f aca="false">ON60</f>
        <v>0</v>
      </c>
      <c r="OP60" s="20" t="n">
        <f aca="false">OO60</f>
        <v>0</v>
      </c>
      <c r="OQ60" s="20" t="n">
        <f aca="false">OP60</f>
        <v>0</v>
      </c>
      <c r="OR60" s="20" t="n">
        <f aca="false">OQ60</f>
        <v>0</v>
      </c>
      <c r="OS60" s="20" t="n">
        <f aca="false">OR60</f>
        <v>0</v>
      </c>
      <c r="OT60" s="20" t="n">
        <f aca="false">OS60</f>
        <v>0</v>
      </c>
      <c r="OU60" s="20" t="n">
        <f aca="false">OT60</f>
        <v>0</v>
      </c>
      <c r="OV60" s="20" t="n">
        <f aca="false">OU60</f>
        <v>0</v>
      </c>
      <c r="OW60" s="20" t="n">
        <f aca="false">OV60</f>
        <v>0</v>
      </c>
      <c r="OX60" s="20" t="n">
        <f aca="false">OW60</f>
        <v>0</v>
      </c>
      <c r="OY60" s="20" t="n">
        <f aca="false">OX60</f>
        <v>0</v>
      </c>
      <c r="OZ60" s="20" t="n">
        <f aca="false">OY60</f>
        <v>0</v>
      </c>
      <c r="PA60" s="20" t="n">
        <f aca="false">OZ60</f>
        <v>0</v>
      </c>
      <c r="PB60" s="20" t="n">
        <f aca="false">PA60</f>
        <v>0</v>
      </c>
      <c r="PC60" s="20" t="n">
        <f aca="false">PB60</f>
        <v>0</v>
      </c>
      <c r="PD60" s="20" t="n">
        <f aca="false">PC60</f>
        <v>0</v>
      </c>
      <c r="PE60" s="20" t="n">
        <f aca="false">PD60</f>
        <v>0</v>
      </c>
      <c r="PF60" s="20" t="n">
        <f aca="false">PE60</f>
        <v>0</v>
      </c>
      <c r="PG60" s="20" t="n">
        <f aca="false">PF60</f>
        <v>0</v>
      </c>
      <c r="PH60" s="20" t="n">
        <f aca="false">PG60</f>
        <v>0</v>
      </c>
      <c r="PI60" s="20" t="n">
        <f aca="false">PH60</f>
        <v>0</v>
      </c>
      <c r="PJ60" s="20" t="n">
        <f aca="false">PI60</f>
        <v>0</v>
      </c>
      <c r="PK60" s="20" t="n">
        <f aca="false">PJ60</f>
        <v>0</v>
      </c>
      <c r="PL60" s="20" t="n">
        <f aca="false">PK60</f>
        <v>0</v>
      </c>
      <c r="PM60" s="20" t="n">
        <f aca="false">PL60</f>
        <v>0</v>
      </c>
      <c r="PN60" s="20" t="n">
        <f aca="false">PM60</f>
        <v>0</v>
      </c>
      <c r="PO60" s="20" t="n">
        <f aca="false">PN60</f>
        <v>0</v>
      </c>
      <c r="PP60" s="20" t="n">
        <f aca="false">PO60</f>
        <v>0</v>
      </c>
      <c r="PQ60" s="20" t="n">
        <f aca="false">PP60</f>
        <v>0</v>
      </c>
      <c r="PR60" s="20" t="n">
        <f aca="false">IF(H_Direct=1,IF(AKR59&lt;=0,0,IF(BR60&lt;=0,MIN(MAX(0,AB60),AKR59),MIN(MAX(0,AB60),AKR59-G60*MAX(0,BR60*AKR59-(H60+I60))))),MIN(FE60,MAX(0,AB60)))</f>
        <v>0</v>
      </c>
      <c r="PS60" s="20" t="n">
        <f aca="false">IF(H_Direct=1,IF(AKS59&lt;=0,0,IF(BS60&lt;=0,MIN(MAX(0,AB60-SUM(PR60:PR60)),AKS59),MIN(MAX(0,AB60-SUM(PR60:PR60)),AKS59-G60*MAX(0,BS60*AKS59-(WR60+AAE60))))),MIN(FF60,MAX(0,AB60-SUM(PR60:PR60))))</f>
        <v>0</v>
      </c>
      <c r="PT60" s="20" t="n">
        <f aca="false">IF(H_Direct=1,IF(AKT59&lt;=0,0,IF(BT60&lt;=0,MIN(MAX(0,AB60-SUM(PR60:PS60)),AKT59),MIN(MAX(0,AB60-SUM(PR60:PS60)),AKT59-G60*MAX(0,BT60*AKT59-(WS60+AAF60))))),MIN(FG60,MAX(0,AB60-SUM(PR60:PS60))))</f>
        <v>0</v>
      </c>
      <c r="PU60" s="20" t="n">
        <f aca="false">IF(H_Direct=1,IF(AKU59&lt;=0,0,IF(BU60&lt;=0,MIN(MAX(0,AB60-SUM(PR60:PT60)),AKU59),MIN(MAX(0,AB60-SUM(PR60:PT60)),AKU59-G60*MAX(0,BU60*AKU59-(WT60+AAG60))))),MIN(FH60,MAX(0,AB60-SUM(PR60:PT60))))</f>
        <v>0</v>
      </c>
      <c r="PV60" s="20" t="n">
        <f aca="false">IF(H_Direct=1,IF(AKV59&lt;=0,0,IF(BV60&lt;=0,MIN(MAX(0,AB60-SUM(PR60:PU60)),AKV59),MIN(MAX(0,AB60-SUM(PR60:PU60)),AKV59-G60*MAX(0,BV60*AKV59-(WU60+AAH60))))),MIN(FI60,MAX(0,AB60-SUM(PR60:PU60))))</f>
        <v>0</v>
      </c>
      <c r="PW60" s="20" t="n">
        <f aca="false">IF(H_Direct=1,IF(AKW59&lt;=0,0,IF(BW60&lt;=0,MIN(MAX(0,AB60-SUM(PR60:PV60)),AKW59),MIN(MAX(0,AB60-SUM(PR60:PV60)),AKW59-G60*MAX(0,BW60*AKW59-(WV60+AAI60))))),MIN(FJ60,MAX(0,AB60-SUM(PR60:PV60))))</f>
        <v>0</v>
      </c>
      <c r="PX60" s="20" t="n">
        <f aca="false">IF(H_Direct=1,IF(AKX59&lt;=0,0,IF(BX60&lt;=0,MIN(MAX(0,AB60-SUM(PR60:PW60)),AKX59),MIN(MAX(0,AB60-SUM(PR60:PW60)),AKX59-G60*MAX(0,BX60*AKX59-(WW60+AAJ60))))),MIN(FK60,MAX(0,AB60-SUM(PR60:PW60))))</f>
        <v>0</v>
      </c>
      <c r="PY60" s="20" t="n">
        <f aca="false">IF(H_Direct=1,IF(AKY59&lt;=0,0,IF(BY60&lt;=0,MIN(MAX(0,AB60-SUM(PR60:PX60)),AKY59),MIN(MAX(0,AB60-SUM(PR60:PX60)),AKY59-G60*MAX(0,BY60*AKY59-(WX60+AAK60))))),MIN(FL60,MAX(0,AB60-SUM(PR60:PX60))))</f>
        <v>0</v>
      </c>
      <c r="PZ60" s="20" t="n">
        <f aca="false">IF(H_Direct=1,IF(AKZ59&lt;=0,0,IF(BZ60&lt;=0,MIN(MAX(0,AB60-SUM(PR60:PY60)),AKZ59),MIN(MAX(0,AB60-SUM(PR60:PY60)),AKZ59-G60*MAX(0,BZ60*AKZ59-(WY60+AAL60))))),MIN(FM60,MAX(0,AB60-SUM(PR60:PY60))))</f>
        <v>0</v>
      </c>
      <c r="QA60" s="20" t="n">
        <f aca="false">IF(H_Direct=1,IF(ALA59&lt;=0,0,IF(CA60&lt;=0,MIN(MAX(0,AB60-SUM(PR60:PZ60)),ALA59),MIN(MAX(0,AB60-SUM(PR60:PZ60)),ALA59-G60*MAX(0,CA60*ALA59-(WZ60+AAM60))))),MIN(FN60,MAX(0,AB60-SUM(PR60:PZ60))))</f>
        <v>0</v>
      </c>
      <c r="QB60" s="20" t="n">
        <f aca="false">IF(H_Direct=1,IF(ALB59&lt;=0,0,IF(CB60&lt;=0,MIN(MAX(0,AB60-SUM(PR60:QA60)),ALB59),MIN(MAX(0,AB60-SUM(PR60:QA60)),ALB59-G60*MAX(0,CB60*ALB59-(XA60+AAN60))))),MIN(FO60,MAX(0,AB60-SUM(PR60:QA60))))</f>
        <v>0</v>
      </c>
      <c r="QC60" s="20" t="n">
        <f aca="false">IF(H_Direct=1,IF(ALC59&lt;=0,0,IF(CC60&lt;=0,MIN(MAX(0,AB60-SUM(PR60:QB60)),ALC59),MIN(MAX(0,AB60-SUM(PR60:QB60)),ALC59-G60*MAX(0,CC60*ALC59-(XB60+AAO60))))),MIN(FP60,MAX(0,AB60-SUM(PR60:QB60))))</f>
        <v>0</v>
      </c>
      <c r="QD60" s="20" t="n">
        <f aca="false">IF(H_Direct=1,IF(ALD59&lt;=0,0,IF(CD60&lt;=0,MIN(MAX(0,AB60-SUM(PR60:QC60)),ALD59),MIN(MAX(0,AB60-SUM(PR60:QC60)),ALD59-G60*MAX(0,CD60*ALD59-(XC60+AAP60))))),MIN(FQ60,MAX(0,AB60-SUM(PR60:QC60))))</f>
        <v>0</v>
      </c>
      <c r="QE60" s="20" t="n">
        <f aca="false">IF(H_Direct=1,IF(ALE59&lt;=0,0,IF(CE60&lt;=0,MIN(MAX(0,AB60-SUM(PR60:QD60)),ALE59),MIN(MAX(0,AB60-SUM(PR60:QD60)),ALE59-G60*MAX(0,CE60*ALE59-(XD60+AAQ60))))),MIN(FR60,MAX(0,AB60-SUM(PR60:QD60))))</f>
        <v>0</v>
      </c>
      <c r="QF60" s="20" t="n">
        <f aca="false">IF(H_Direct=1,IF(ALF59&lt;=0,0,IF(CF60&lt;=0,MIN(MAX(0,AB60-SUM(PR60:QE60)),ALF59),MIN(MAX(0,AB60-SUM(PR60:QE60)),ALF59-G60*MAX(0,CF60*ALF59-(XE60+AAR60))))),MIN(FS60,MAX(0,AB60-SUM(PR60:QE60))))</f>
        <v>0</v>
      </c>
      <c r="QG60" s="20" t="n">
        <f aca="false">IF(H_Direct=1,IF(ALG59&lt;=0,0,IF(CG60&lt;=0,MIN(MAX(0,AB60-SUM(PR60:QF60)),ALG59),MIN(MAX(0,AB60-SUM(PR60:QF60)),ALG59-G60*MAX(0,CG60*ALG59-(XF60+AAS60))))),MIN(FT60,MAX(0,AB60-SUM(PR60:QF60))))</f>
        <v>0</v>
      </c>
      <c r="QH60" s="20" t="n">
        <f aca="false">IF(H_Direct=1,IF(ALH59&lt;=0,0,IF(CH60&lt;=0,MIN(MAX(0,AB60-SUM(PR60:QG60)),ALH59),MIN(MAX(0,AB60-SUM(PR60:QG60)),ALH59-G60*MAX(0,CH60*ALH59-(XG60+AAT60))))),MIN(FU60,MAX(0,AB60-SUM(PR60:QG60))))</f>
        <v>0</v>
      </c>
      <c r="QI60" s="20" t="n">
        <f aca="false">IF(H_Direct=1,IF(ALI59&lt;=0,0,IF(CI60&lt;=0,MIN(MAX(0,AB60-SUM(PR60:QH60)),ALI59),MIN(MAX(0,AB60-SUM(PR60:QH60)),ALI59-G60*MAX(0,CI60*ALI59-(XH60+AAU60))))),MIN(FV60,MAX(0,AB60-SUM(PR60:QH60))))</f>
        <v>0</v>
      </c>
      <c r="QJ60" s="20" t="n">
        <f aca="false">IF(H_Direct=1,IF(ALJ59&lt;=0,0,IF(CJ60&lt;=0,MIN(MAX(0,AB60-SUM(PR60:QI60)),ALJ59),MIN(MAX(0,AB60-SUM(PR60:QI60)),ALJ59-G60*MAX(0,CJ60*ALJ59-(XI60+AAV60))))),MIN(FW60,MAX(0,AB60-SUM(PR60:QI60))))</f>
        <v>0</v>
      </c>
      <c r="QK60" s="20" t="n">
        <f aca="false">IF(H_Direct=1,IF(ALK59&lt;=0,0,IF(CK60&lt;=0,MIN(MAX(0,AB60-SUM(PR60:QJ60)),ALK59),MIN(MAX(0,AB60-SUM(PR60:QJ60)),ALK59-G60*MAX(0,CK60*ALK59-(XJ60+AAW60))))),MIN(FX60,MAX(0,AB60-SUM(PR60:QJ60))))</f>
        <v>0</v>
      </c>
      <c r="QL60" s="20" t="n">
        <f aca="false">IF(H_Direct=1,IF(ALL59&lt;=0,0,IF(CL60&lt;=0,MIN(MAX(0,AB60-SUM(PR60:QK60)),ALL59),MIN(MAX(0,AB60-SUM(PR60:QK60)),ALL59-G60*MAX(0,CL60*ALL59-(XK60+AAX60))))),MIN(FY60,MAX(0,AB60-SUM(PR60:QK60))))</f>
        <v>0</v>
      </c>
      <c r="QM60" s="20" t="n">
        <f aca="false">IF(H_Direct=1,IF(ALM59&lt;=0,0,IF(CM60&lt;=0,MIN(MAX(0,AB60-SUM(PR60:QL60)),ALM59),MIN(MAX(0,AB60-SUM(PR60:QL60)),ALM59-G60*MAX(0,CM60*ALM59-(XL60+AAY60))))),MIN(FZ60,MAX(0,AB60-SUM(PR60:QL60))))</f>
        <v>0</v>
      </c>
      <c r="QN60" s="20" t="n">
        <f aca="false">IF(H_Direct=1,IF(ALN59&lt;=0,0,IF(CN60&lt;=0,MIN(MAX(0,AB60-SUM(PR60:QM60)),ALN59),MIN(MAX(0,AB60-SUM(PR60:QM60)),ALN59-G60*MAX(0,CN60*ALN59-(XM60+AAZ60))))),MIN(GA60,MAX(0,AB60-SUM(PR60:QM60))))</f>
        <v>0</v>
      </c>
      <c r="QO60" s="20" t="n">
        <f aca="false">IF(H_Direct=1,IF(ALO59&lt;=0,0,IF(CO60&lt;=0,MIN(MAX(0,AB60-SUM(PR60:QN60)),ALO59),MIN(MAX(0,AB60-SUM(PR60:QN60)),ALO59-G60*MAX(0,CO60*ALO59-(XN60+ABA60))))),MIN(GB60,MAX(0,AB60-SUM(PR60:QN60))))</f>
        <v>0</v>
      </c>
      <c r="QP60" s="20" t="n">
        <f aca="false">IF(H_Direct=1,IF(ALP59&lt;=0,0,IF(CP60&lt;=0,MIN(MAX(0,AB60-SUM(PR60:QO60)),ALP59),MIN(MAX(0,AB60-SUM(PR60:QO60)),ALP59-G60*MAX(0,CP60*ALP59-(XO60+ABB60))))),MIN(GC60,MAX(0,AB60-SUM(PR60:QO60))))</f>
        <v>0</v>
      </c>
      <c r="QQ60" s="20" t="n">
        <f aca="false">IF(H_Direct=1,IF(ALQ59&lt;=0,0,IF(CQ60&lt;=0,MIN(MAX(0,AB60-SUM(PR60:QP60)),ALQ59),MIN(MAX(0,AB60-SUM(PR60:QP60)),ALQ59-G60*MAX(0,CQ60*ALQ59-(XP60+ABC60))))),MIN(GD60,MAX(0,AB60-SUM(PR60:QP60))))</f>
        <v>0</v>
      </c>
      <c r="QR60" s="20" t="n">
        <f aca="false">IF(H_Direct=1,IF(ALR59&lt;=0,0,IF(CR60&lt;=0,MIN(MAX(0,AB60-SUM(PR60:QQ60)),ALR59),MIN(MAX(0,AB60-SUM(PR60:QQ60)),ALR59-G60*MAX(0,CR60*ALR59-(XQ60+ABD60))))),MIN(GE60,MAX(0,AB60-SUM(PR60:QQ60))))</f>
        <v>0</v>
      </c>
      <c r="QS60" s="20" t="n">
        <f aca="false">IF(H_Direct=1,IF(ALS59&lt;=0,0,IF(CS60&lt;=0,MIN(MAX(0,AB60-SUM(PR60:QR60)),ALS59),MIN(MAX(0,AB60-SUM(PR60:QR60)),ALS59-G60*MAX(0,CS60*ALS59-(XR60+ABE60))))),MIN(GF60,MAX(0,AB60-SUM(PR60:QR60))))</f>
        <v>0</v>
      </c>
      <c r="QT60" s="20" t="n">
        <f aca="false">IF(H_Direct=1,IF(ALT59&lt;=0,0,IF(CT60&lt;=0,MIN(MAX(0,AB60-SUM(PR60:QS60)),ALT59),MIN(MAX(0,AB60-SUM(PR60:QS60)),ALT59-G60*MAX(0,CT60*ALT59-(XS60+ABF60))))),MIN(GG60,MAX(0,AB60-SUM(PR60:QS60))))</f>
        <v>0</v>
      </c>
      <c r="QU60" s="20" t="n">
        <f aca="false">IF(H_Direct=1,IF(ALU59&lt;=0,0,IF(CU60&lt;=0,MIN(MAX(0,AB60-SUM(PR60:QT60)),ALU59),MIN(MAX(0,AB60-SUM(PR60:QT60)),ALU59-G60*MAX(0,CU60*ALU59-(XT60+ABG60))))),MIN(GH60,MAX(0,AB60-SUM(PR60:QT60))))</f>
        <v>0</v>
      </c>
      <c r="QV60" s="20" t="n">
        <f aca="false">IF(H_Direct=1,IF(ALV59&lt;=0,0,IF(CV60&lt;=0,MIN(MAX(0,AB60-SUM(PR60:QU60)),ALV59),MIN(MAX(0,AB60-SUM(PR60:QU60)),ALV59-G60*MAX(0,CV60*ALV59-(XU60+ABH60))))),MIN(GI60,MAX(0,AB60-SUM(PR60:QU60))))</f>
        <v>0</v>
      </c>
      <c r="QW60" s="20" t="n">
        <f aca="false">IF(H_Direct=1,IF(ALW59&lt;=0,0,IF(CW60&lt;=0,MIN(MAX(0,AB60-SUM(PR60:QV60)),ALW59),MIN(MAX(0,AB60-SUM(PR60:QV60)),ALW59-G60*MAX(0,CW60*ALW59-(XV60+ABI60))))),MIN(GJ60,MAX(0,AB60-SUM(PR60:QV60))))</f>
        <v>0</v>
      </c>
      <c r="QX60" s="20" t="n">
        <f aca="false">IF(H_Direct=1,IF(ALX59&lt;=0,0,IF(CX60&lt;=0,MIN(MAX(0,AB60-SUM(PR60:QW60)),ALX59),MIN(MAX(0,AB60-SUM(PR60:QW60)),ALX59-G60*MAX(0,CX60*ALX59-(XW60+ABJ60))))),MIN(GK60,MAX(0,AB60-SUM(PR60:QW60))))</f>
        <v>0</v>
      </c>
      <c r="QY60" s="20" t="n">
        <f aca="false">IF(H_Direct=1,IF(ALY59&lt;=0,0,IF(CY60&lt;=0,MIN(MAX(0,AB60-SUM(PR60:QX60)),ALY59),MIN(MAX(0,AB60-SUM(PR60:QX60)),ALY59-G60*MAX(0,CY60*ALY59-(XX60+ABK60))))),MIN(GL60,MAX(0,AB60-SUM(PR60:QX60))))</f>
        <v>0</v>
      </c>
      <c r="QZ60" s="20" t="n">
        <f aca="false">IF(H_Direct=1,IF(ALZ59&lt;=0,0,IF(CZ60&lt;=0,MIN(MAX(0,AB60-SUM(PR60:QY60)),ALZ59),MIN(MAX(0,AB60-SUM(PR60:QY60)),ALZ59-G60*MAX(0,CZ60*ALZ59-(XY60+ABL60))))),MIN(GM60,MAX(0,AB60-SUM(PR60:QY60))))</f>
        <v>0</v>
      </c>
      <c r="RA60" s="20" t="n">
        <f aca="false">IF(H_Direct=1,IF(AMA59&lt;=0,0,IF(DA60&lt;=0,MIN(MAX(0,AB60-SUM(PR60:QZ60)),AMA59),MIN(MAX(0,AB60-SUM(PR60:QZ60)),AMA59-G60*MAX(0,DA60*AMA59-(XZ60+ABM60))))),MIN(GN60,MAX(0,AB60-SUM(PR60:QZ60))))</f>
        <v>0</v>
      </c>
      <c r="RB60" s="20" t="n">
        <f aca="false">IF(H_Direct=1,IF(AMB59&lt;=0,0,IF(DB60&lt;=0,MIN(MAX(0,AB60-SUM(PR60:RA60)),AMB59),MIN(MAX(0,AB60-SUM(PR60:RA60)),AMB59-G60*MAX(0,DB60*AMB59-(YA60+ABN60))))),MIN(GO60,MAX(0,AB60-SUM(PR60:RA60))))</f>
        <v>0</v>
      </c>
      <c r="RC60" s="20" t="n">
        <f aca="false">IF(H_Direct=1,IF(AMC59&lt;=0,0,IF(DC60&lt;=0,MIN(MAX(0,AB60-SUM(PR60:RB60)),AMC59),MIN(MAX(0,AB60-SUM(PR60:RB60)),AMC59-G60*MAX(0,DC60*AMC59-(YB60+ABO60))))),MIN(GP60,MAX(0,AB60-SUM(PR60:RB60))))</f>
        <v>0</v>
      </c>
      <c r="RD60" s="20" t="n">
        <f aca="false">IF(H_Direct=1,IF(AMD59&lt;=0,0,IF(DD60&lt;=0,MIN(MAX(0,AB60-SUM(PR60:RC60)),AMD59),MIN(MAX(0,AB60-SUM(PR60:RC60)),AMD59-G60*MAX(0,DD60*AMD59-(YC60+ABP60))))),MIN(GQ60,MAX(0,AB60-SUM(PR60:RC60))))</f>
        <v>0</v>
      </c>
      <c r="RE60" s="20" t="n">
        <f aca="false">IF(H_Direct=1,IF(AME59&lt;=0,0,IF(DE60&lt;=0,MIN(MAX(0,AB60-SUM(PR60:RD60)),AME59),MIN(MAX(0,AB60-SUM(PR60:RD60)),AME59-G60*MAX(0,DE60*AME59-(YD60+ABQ60))))),MIN(GR60,MAX(0,AB60-SUM(PR60:RD60))))</f>
        <v>0</v>
      </c>
      <c r="RF60" s="20" t="n">
        <f aca="false">IF(H_Direct=1,IF(AMF59&lt;=0,0,IF(DF60&lt;=0,MIN(MAX(0,AB60-SUM(PR60:RE60)),AMF59),MIN(MAX(0,AB60-SUM(PR60:RE60)),AMF59-G60*MAX(0,DF60*AMF59-(YE60+ABR60))))),MIN(GS60,MAX(0,AB60-SUM(PR60:RE60))))</f>
        <v>0</v>
      </c>
      <c r="RG60" s="20" t="n">
        <f aca="false">IF(H_Direct=1,IF(AMG59&lt;=0,0,IF(DG60&lt;=0,MIN(MAX(0,AB60-SUM(PR60:RF60)),AMG59),MIN(MAX(0,AB60-SUM(PR60:RF60)),AMG59-G60*MAX(0,DG60*AMG59-(YF60+ABS60))))),MIN(GT60,MAX(0,AB60-SUM(PR60:RF60))))</f>
        <v>0</v>
      </c>
      <c r="RH60" s="20" t="n">
        <f aca="false">IF(H_Direct=1,IF(AMH59&lt;=0,0,IF(DH60&lt;=0,MIN(MAX(0,AB60-SUM(PR60:RG60)),AMH59),MIN(MAX(0,AB60-SUM(PR60:RG60)),AMH59-G60*MAX(0,DH60*AMH59-(YG60+ABT60))))),MIN(GU60,MAX(0,AB60-SUM(PR60:RG60))))</f>
        <v>0</v>
      </c>
      <c r="RI60" s="20" t="n">
        <f aca="false">IF(H_Direct=1,IF(AMI59&lt;=0,0,IF(DI60&lt;=0,MIN(MAX(0,AB60-SUM(PR60:RH60)),AMI59),MIN(MAX(0,AB60-SUM(PR60:RH60)),AMI59-G60*MAX(0,DI60*AMI59-(YH60+ABU60))))),MIN(GV60,MAX(0,AB60-SUM(PR60:RH60))))</f>
        <v>0</v>
      </c>
      <c r="RJ60" s="20" t="n">
        <f aca="false">IF(H_Direct=1,IF(AMJ59&lt;=0,0,IF(DJ60&lt;=0,MIN(MAX(0,AB60-SUM(PR60:RI60)),AMJ59),MIN(MAX(0,AB60-SUM(PR60:RI60)),AMJ59-G60*MAX(0,DJ60*AMJ59-(YI60+ABV60))))),MIN(GW60,MAX(0,AB60-SUM(PR60:RI60))))</f>
        <v>0</v>
      </c>
      <c r="RK60" s="20" t="n">
        <f aca="false">IF(H_Direct=1,IF(AMK59&lt;=0,0,IF(DK60&lt;=0,MIN(MAX(0,AB60-SUM(PR60:RJ60)),AMK59),MIN(MAX(0,AB60-SUM(PR60:RJ60)),AMK59-G60*MAX(0,DK60*AMK59-(YJ60+ABW60))))),MIN(GX60,MAX(0,AB60-SUM(PR60:RJ60))))</f>
        <v>0</v>
      </c>
      <c r="RL60" s="20" t="n">
        <f aca="false">IF(H_Direct=1,IF(AML59&lt;=0,0,IF(DL60&lt;=0,MIN(MAX(0,AB60-SUM(PR60:RK60)),AML59),MIN(MAX(0,AB60-SUM(PR60:RK60)),AML59-G60*MAX(0,DL60*AML59-(YK60+ABX60))))),MIN(GY60,MAX(0,AB60-SUM(PR60:RK60))))</f>
        <v>0</v>
      </c>
      <c r="RM60" s="20" t="n">
        <f aca="false">IF(H_Direct=1,IF(AMM59&lt;=0,0,IF(DM60&lt;=0,MIN(MAX(0,AB60-SUM(PR60:RL60)),AMM59),MIN(MAX(0,AB60-SUM(PR60:RL60)),AMM59-G60*MAX(0,DM60*AMM59-(YL60+ABY60))))),MIN(GZ60,MAX(0,AB60-SUM(PR60:RL60))))</f>
        <v>0</v>
      </c>
      <c r="RN60" s="20" t="n">
        <f aca="false">IF(H_Direct=1,IF(AMN59&lt;=0,0,IF(DN60&lt;=0,MIN(MAX(0,AB60-SUM(PR60:RM60)),AMN59),MIN(MAX(0,AB60-SUM(PR60:RM60)),AMN59-G60*MAX(0,DN60*AMN59-(YM60+ABZ60))))),MIN(HA60,MAX(0,AB60-SUM(PR60:RM60))))</f>
        <v>0</v>
      </c>
      <c r="RO60" s="20" t="n">
        <f aca="false">IF(H_Direct=1,IF(AMO59&lt;=0,0,IF(DO60&lt;=0,MIN(MAX(0,AB60-SUM(PR60:RN60)),AMO59),MIN(MAX(0,AB60-SUM(PR60:RN60)),AMO59-G60*MAX(0,DO60*AMO59-(YN60+ACA60))))),MIN(HB60,MAX(0,AB60-SUM(PR60:RN60))))</f>
        <v>0</v>
      </c>
      <c r="RP60" s="20" t="n">
        <f aca="false">IF(H_Direct=1,IF(AMP59&lt;=0,0,IF(DP60&lt;=0,MIN(MAX(0,AB60-SUM(PR60:RO60)),AMP59),MIN(MAX(0,AB60-SUM(PR60:RO60)),AMP59-G60*MAX(0,DP60*AMP59-(YO60+ACB60))))),MIN(HC60,MAX(0,AB60-SUM(PR60:RO60))))</f>
        <v>0</v>
      </c>
      <c r="RQ60" s="20" t="n">
        <f aca="false">IF(H_Direct=1,IF(AMQ59&lt;=0,0,IF(DQ60&lt;=0,MIN(MAX(0,AB60-SUM(PR60:RP60)),AMQ59),MIN(MAX(0,AB60-SUM(PR60:RP60)),AMQ59-G60*MAX(0,DQ60*AMQ59-(YP60+ACC60))))),MIN(HD60,MAX(0,AB60-SUM(PR60:RP60))))</f>
        <v>0</v>
      </c>
      <c r="RR60" s="20" t="n">
        <f aca="false">IF(H_Direct=1,IF(AMR59&lt;=0,0,IF(DR60&lt;=0,MIN(MAX(0,AB60-SUM(PR60:RQ60)),AMR59),MIN(MAX(0,AB60-SUM(PR60:RQ60)),AMR59-G60*MAX(0,DR60*AMR59-(YQ60+ACD60))))),MIN(HE60,MAX(0,AB60-SUM(PR60:RQ60))))</f>
        <v>0</v>
      </c>
      <c r="RS60" s="20" t="n">
        <f aca="false">IF(H_Direct=1,IF((P60+S60)&lt;=0,0,IF(DS60&lt;=0,MIN(MAX(0,AB60-SUM(PR60:RR60)),(P60+S60)),MIN(MAX(0,AB60-SUM(PR60:RR60)),(P60+S60)-G60*MAX(0,DS60*(P60+S60)-(YR60+ACE60))))),MIN(HF60,MAX(0,AB60-SUM(PR60:RR60))))</f>
        <v>0</v>
      </c>
      <c r="RT60" s="20" t="n">
        <v>0</v>
      </c>
      <c r="RU60" s="20" t="n">
        <v>0</v>
      </c>
      <c r="RV60" s="20" t="n">
        <v>0</v>
      </c>
      <c r="RW60" s="20" t="n">
        <v>0</v>
      </c>
      <c r="RX60" s="20" t="n">
        <v>0</v>
      </c>
      <c r="RY60" s="20" t="n">
        <v>0</v>
      </c>
      <c r="RZ60" s="20" t="n">
        <v>0</v>
      </c>
      <c r="SA60" s="20" t="n">
        <v>0</v>
      </c>
      <c r="SB60" s="20" t="n">
        <v>0</v>
      </c>
      <c r="SC60" s="20" t="n">
        <v>0</v>
      </c>
      <c r="SD60" s="20" t="n">
        <v>0</v>
      </c>
      <c r="SE60" s="20" t="n">
        <v>0</v>
      </c>
      <c r="SF60" s="20" t="n">
        <v>0</v>
      </c>
      <c r="SG60" s="20" t="n">
        <v>0</v>
      </c>
      <c r="SH60" s="20" t="n">
        <v>0</v>
      </c>
      <c r="SI60" s="20" t="n">
        <v>0</v>
      </c>
      <c r="SJ60" s="20" t="n">
        <v>0</v>
      </c>
      <c r="SK60" s="20" t="n">
        <v>0</v>
      </c>
      <c r="SL60" s="20" t="n">
        <v>0</v>
      </c>
      <c r="SM60" s="20" t="n">
        <v>0</v>
      </c>
      <c r="SN60" s="20" t="n">
        <v>0</v>
      </c>
      <c r="SO60" s="20" t="n">
        <v>0</v>
      </c>
      <c r="SP60" s="20" t="n">
        <v>0</v>
      </c>
      <c r="SQ60" s="20" t="n">
        <v>0</v>
      </c>
      <c r="SR60" s="20" t="n">
        <v>0</v>
      </c>
      <c r="SS60" s="20" t="n">
        <v>0</v>
      </c>
      <c r="ST60" s="20" t="n">
        <v>0</v>
      </c>
      <c r="SU60" s="20" t="n">
        <v>0</v>
      </c>
      <c r="SV60" s="20" t="n">
        <v>0</v>
      </c>
      <c r="SW60" s="20" t="n">
        <v>0</v>
      </c>
      <c r="SX60" s="20" t="n">
        <v>0</v>
      </c>
      <c r="SY60" s="20" t="n">
        <v>0</v>
      </c>
      <c r="SZ60" s="20" t="n">
        <v>0</v>
      </c>
      <c r="TA60" s="20" t="n">
        <v>0</v>
      </c>
      <c r="TB60" s="20" t="n">
        <v>0</v>
      </c>
      <c r="TC60" s="20" t="n">
        <v>0</v>
      </c>
      <c r="TD60" s="20" t="n">
        <v>0</v>
      </c>
      <c r="TE60" s="20" t="n">
        <f aca="false">IF(AKR59&lt;=0,0,IF(H_Direct=1,IF(BR60&lt;=0,PR60,IF(PR60&lt;=(H60+I60)/BR60,PR60,(PR60-G60*(H60+I60))/(1-G60*BR60))),PR60/(1-MAX(0,BR60)*H_Exit)))</f>
        <v>0</v>
      </c>
      <c r="TF60" s="20" t="n">
        <f aca="false">IF(AKS59&lt;=0,0,IF(H_Direct=1,IF(BS60&lt;=0,PS60,IF(PS60&lt;=(WR60+AAE60)/BS60,PS60,(PS60-G60*(WR60+AAE60))/(1-G60*BS60))),PS60/(1-MAX(0,BS60)*H_Exit)))</f>
        <v>0</v>
      </c>
      <c r="TG60" s="20" t="n">
        <f aca="false">IF(AKT59&lt;=0,0,IF(H_Direct=1,IF(BT60&lt;=0,PT60,IF(PT60&lt;=(WS60+AAF60)/BT60,PT60,(PT60-G60*(WS60+AAF60))/(1-G60*BT60))),PT60/(1-MAX(0,BT60)*H_Exit)))</f>
        <v>0</v>
      </c>
      <c r="TH60" s="20" t="n">
        <f aca="false">IF(AKU59&lt;=0,0,IF(H_Direct=1,IF(BU60&lt;=0,PU60,IF(PU60&lt;=(WT60+AAG60)/BU60,PU60,(PU60-G60*(WT60+AAG60))/(1-G60*BU60))),PU60/(1-MAX(0,BU60)*H_Exit)))</f>
        <v>0</v>
      </c>
      <c r="TI60" s="20" t="n">
        <f aca="false">IF(AKV59&lt;=0,0,IF(H_Direct=1,IF(BV60&lt;=0,PV60,IF(PV60&lt;=(WU60+AAH60)/BV60,PV60,(PV60-G60*(WU60+AAH60))/(1-G60*BV60))),PV60/(1-MAX(0,BV60)*H_Exit)))</f>
        <v>0</v>
      </c>
      <c r="TJ60" s="20" t="n">
        <f aca="false">IF(AKW59&lt;=0,0,IF(H_Direct=1,IF(BW60&lt;=0,PW60,IF(PW60&lt;=(WV60+AAI60)/BW60,PW60,(PW60-G60*(WV60+AAI60))/(1-G60*BW60))),PW60/(1-MAX(0,BW60)*H_Exit)))</f>
        <v>0</v>
      </c>
      <c r="TK60" s="20" t="n">
        <f aca="false">IF(AKX59&lt;=0,0,IF(H_Direct=1,IF(BX60&lt;=0,PX60,IF(PX60&lt;=(WW60+AAJ60)/BX60,PX60,(PX60-G60*(WW60+AAJ60))/(1-G60*BX60))),PX60/(1-MAX(0,BX60)*H_Exit)))</f>
        <v>0</v>
      </c>
      <c r="TL60" s="20" t="n">
        <f aca="false">IF(AKY59&lt;=0,0,IF(H_Direct=1,IF(BY60&lt;=0,PY60,IF(PY60&lt;=(WX60+AAK60)/BY60,PY60,(PY60-G60*(WX60+AAK60))/(1-G60*BY60))),PY60/(1-MAX(0,BY60)*H_Exit)))</f>
        <v>0</v>
      </c>
      <c r="TM60" s="20" t="n">
        <f aca="false">IF(AKZ59&lt;=0,0,IF(H_Direct=1,IF(BZ60&lt;=0,PZ60,IF(PZ60&lt;=(WY60+AAL60)/BZ60,PZ60,(PZ60-G60*(WY60+AAL60))/(1-G60*BZ60))),PZ60/(1-MAX(0,BZ60)*H_Exit)))</f>
        <v>0</v>
      </c>
      <c r="TN60" s="20" t="n">
        <f aca="false">IF(ALA59&lt;=0,0,IF(H_Direct=1,IF(CA60&lt;=0,QA60,IF(QA60&lt;=(WZ60+AAM60)/CA60,QA60,(QA60-G60*(WZ60+AAM60))/(1-G60*CA60))),QA60/(1-MAX(0,CA60)*H_Exit)))</f>
        <v>0</v>
      </c>
      <c r="TO60" s="20" t="n">
        <f aca="false">IF(ALB59&lt;=0,0,IF(H_Direct=1,IF(CB60&lt;=0,QB60,IF(QB60&lt;=(XA60+AAN60)/CB60,QB60,(QB60-G60*(XA60+AAN60))/(1-G60*CB60))),QB60/(1-MAX(0,CB60)*H_Exit)))</f>
        <v>0</v>
      </c>
      <c r="TP60" s="20" t="n">
        <f aca="false">IF(ALC59&lt;=0,0,IF(H_Direct=1,IF(CC60&lt;=0,QC60,IF(QC60&lt;=(XB60+AAO60)/CC60,QC60,(QC60-G60*(XB60+AAO60))/(1-G60*CC60))),QC60/(1-MAX(0,CC60)*H_Exit)))</f>
        <v>0</v>
      </c>
      <c r="TQ60" s="20" t="n">
        <f aca="false">IF(ALD59&lt;=0,0,IF(H_Direct=1,IF(CD60&lt;=0,QD60,IF(QD60&lt;=(XC60+AAP60)/CD60,QD60,(QD60-G60*(XC60+AAP60))/(1-G60*CD60))),QD60/(1-MAX(0,CD60)*H_Exit)))</f>
        <v>0</v>
      </c>
      <c r="TR60" s="20" t="n">
        <f aca="false">IF(ALE59&lt;=0,0,IF(H_Direct=1,IF(CE60&lt;=0,QE60,IF(QE60&lt;=(XD60+AAQ60)/CE60,QE60,(QE60-G60*(XD60+AAQ60))/(1-G60*CE60))),QE60/(1-MAX(0,CE60)*H_Exit)))</f>
        <v>0</v>
      </c>
      <c r="TS60" s="20" t="n">
        <f aca="false">IF(ALF59&lt;=0,0,IF(H_Direct=1,IF(CF60&lt;=0,QF60,IF(QF60&lt;=(XE60+AAR60)/CF60,QF60,(QF60-G60*(XE60+AAR60))/(1-G60*CF60))),QF60/(1-MAX(0,CF60)*H_Exit)))</f>
        <v>0</v>
      </c>
      <c r="TT60" s="20" t="n">
        <f aca="false">IF(ALG59&lt;=0,0,IF(H_Direct=1,IF(CG60&lt;=0,QG60,IF(QG60&lt;=(XF60+AAS60)/CG60,QG60,(QG60-G60*(XF60+AAS60))/(1-G60*CG60))),QG60/(1-MAX(0,CG60)*H_Exit)))</f>
        <v>0</v>
      </c>
      <c r="TU60" s="20" t="n">
        <f aca="false">IF(ALH59&lt;=0,0,IF(H_Direct=1,IF(CH60&lt;=0,QH60,IF(QH60&lt;=(XG60+AAT60)/CH60,QH60,(QH60-G60*(XG60+AAT60))/(1-G60*CH60))),QH60/(1-MAX(0,CH60)*H_Exit)))</f>
        <v>0</v>
      </c>
      <c r="TV60" s="20" t="n">
        <f aca="false">IF(ALI59&lt;=0,0,IF(H_Direct=1,IF(CI60&lt;=0,QI60,IF(QI60&lt;=(XH60+AAU60)/CI60,QI60,(QI60-G60*(XH60+AAU60))/(1-G60*CI60))),QI60/(1-MAX(0,CI60)*H_Exit)))</f>
        <v>0</v>
      </c>
      <c r="TW60" s="20" t="n">
        <f aca="false">IF(ALJ59&lt;=0,0,IF(H_Direct=1,IF(CJ60&lt;=0,QJ60,IF(QJ60&lt;=(XI60+AAV60)/CJ60,QJ60,(QJ60-G60*(XI60+AAV60))/(1-G60*CJ60))),QJ60/(1-MAX(0,CJ60)*H_Exit)))</f>
        <v>0</v>
      </c>
      <c r="TX60" s="20" t="n">
        <f aca="false">IF(ALK59&lt;=0,0,IF(H_Direct=1,IF(CK60&lt;=0,QK60,IF(QK60&lt;=(XJ60+AAW60)/CK60,QK60,(QK60-G60*(XJ60+AAW60))/(1-G60*CK60))),QK60/(1-MAX(0,CK60)*H_Exit)))</f>
        <v>0</v>
      </c>
      <c r="TY60" s="20" t="n">
        <f aca="false">IF(ALL59&lt;=0,0,IF(H_Direct=1,IF(CL60&lt;=0,QL60,IF(QL60&lt;=(XK60+AAX60)/CL60,QL60,(QL60-G60*(XK60+AAX60))/(1-G60*CL60))),QL60/(1-MAX(0,CL60)*H_Exit)))</f>
        <v>0</v>
      </c>
      <c r="TZ60" s="20" t="n">
        <f aca="false">IF(ALM59&lt;=0,0,IF(H_Direct=1,IF(CM60&lt;=0,QM60,IF(QM60&lt;=(XL60+AAY60)/CM60,QM60,(QM60-G60*(XL60+AAY60))/(1-G60*CM60))),QM60/(1-MAX(0,CM60)*H_Exit)))</f>
        <v>0</v>
      </c>
      <c r="UA60" s="20" t="n">
        <f aca="false">IF(ALN59&lt;=0,0,IF(H_Direct=1,IF(CN60&lt;=0,QN60,IF(QN60&lt;=(XM60+AAZ60)/CN60,QN60,(QN60-G60*(XM60+AAZ60))/(1-G60*CN60))),QN60/(1-MAX(0,CN60)*H_Exit)))</f>
        <v>0</v>
      </c>
      <c r="UB60" s="20" t="n">
        <f aca="false">IF(ALO59&lt;=0,0,IF(H_Direct=1,IF(CO60&lt;=0,QO60,IF(QO60&lt;=(XN60+ABA60)/CO60,QO60,(QO60-G60*(XN60+ABA60))/(1-G60*CO60))),QO60/(1-MAX(0,CO60)*H_Exit)))</f>
        <v>0</v>
      </c>
      <c r="UC60" s="20" t="n">
        <f aca="false">IF(ALP59&lt;=0,0,IF(H_Direct=1,IF(CP60&lt;=0,QP60,IF(QP60&lt;=(XO60+ABB60)/CP60,QP60,(QP60-G60*(XO60+ABB60))/(1-G60*CP60))),QP60/(1-MAX(0,CP60)*H_Exit)))</f>
        <v>0</v>
      </c>
      <c r="UD60" s="20" t="n">
        <f aca="false">IF(ALQ59&lt;=0,0,IF(H_Direct=1,IF(CQ60&lt;=0,QQ60,IF(QQ60&lt;=(XP60+ABC60)/CQ60,QQ60,(QQ60-G60*(XP60+ABC60))/(1-G60*CQ60))),QQ60/(1-MAX(0,CQ60)*H_Exit)))</f>
        <v>0</v>
      </c>
      <c r="UE60" s="20" t="n">
        <f aca="false">IF(ALR59&lt;=0,0,IF(H_Direct=1,IF(CR60&lt;=0,QR60,IF(QR60&lt;=(XQ60+ABD60)/CR60,QR60,(QR60-G60*(XQ60+ABD60))/(1-G60*CR60))),QR60/(1-MAX(0,CR60)*H_Exit)))</f>
        <v>0</v>
      </c>
      <c r="UF60" s="20" t="n">
        <f aca="false">IF(ALS59&lt;=0,0,IF(H_Direct=1,IF(CS60&lt;=0,QS60,IF(QS60&lt;=(XR60+ABE60)/CS60,QS60,(QS60-G60*(XR60+ABE60))/(1-G60*CS60))),QS60/(1-MAX(0,CS60)*H_Exit)))</f>
        <v>0</v>
      </c>
      <c r="UG60" s="20" t="n">
        <f aca="false">IF(ALT59&lt;=0,0,IF(H_Direct=1,IF(CT60&lt;=0,QT60,IF(QT60&lt;=(XS60+ABF60)/CT60,QT60,(QT60-G60*(XS60+ABF60))/(1-G60*CT60))),QT60/(1-MAX(0,CT60)*H_Exit)))</f>
        <v>0</v>
      </c>
      <c r="UH60" s="20" t="n">
        <f aca="false">IF(ALU59&lt;=0,0,IF(H_Direct=1,IF(CU60&lt;=0,QU60,IF(QU60&lt;=(XT60+ABG60)/CU60,QU60,(QU60-G60*(XT60+ABG60))/(1-G60*CU60))),QU60/(1-MAX(0,CU60)*H_Exit)))</f>
        <v>0</v>
      </c>
      <c r="UI60" s="20" t="n">
        <f aca="false">IF(ALV59&lt;=0,0,IF(H_Direct=1,IF(CV60&lt;=0,QV60,IF(QV60&lt;=(XU60+ABH60)/CV60,QV60,(QV60-G60*(XU60+ABH60))/(1-G60*CV60))),QV60/(1-MAX(0,CV60)*H_Exit)))</f>
        <v>0</v>
      </c>
      <c r="UJ60" s="20" t="n">
        <f aca="false">IF(ALW59&lt;=0,0,IF(H_Direct=1,IF(CW60&lt;=0,QW60,IF(QW60&lt;=(XV60+ABI60)/CW60,QW60,(QW60-G60*(XV60+ABI60))/(1-G60*CW60))),QW60/(1-MAX(0,CW60)*H_Exit)))</f>
        <v>0</v>
      </c>
      <c r="UK60" s="20" t="n">
        <f aca="false">IF(ALX59&lt;=0,0,IF(H_Direct=1,IF(CX60&lt;=0,QX60,IF(QX60&lt;=(XW60+ABJ60)/CX60,QX60,(QX60-G60*(XW60+ABJ60))/(1-G60*CX60))),QX60/(1-MAX(0,CX60)*H_Exit)))</f>
        <v>0</v>
      </c>
      <c r="UL60" s="20" t="n">
        <f aca="false">IF(ALY59&lt;=0,0,IF(H_Direct=1,IF(CY60&lt;=0,QY60,IF(QY60&lt;=(XX60+ABK60)/CY60,QY60,(QY60-G60*(XX60+ABK60))/(1-G60*CY60))),QY60/(1-MAX(0,CY60)*H_Exit)))</f>
        <v>0</v>
      </c>
      <c r="UM60" s="20" t="n">
        <f aca="false">IF(ALZ59&lt;=0,0,IF(H_Direct=1,IF(CZ60&lt;=0,QZ60,IF(QZ60&lt;=(XY60+ABL60)/CZ60,QZ60,(QZ60-G60*(XY60+ABL60))/(1-G60*CZ60))),QZ60/(1-MAX(0,CZ60)*H_Exit)))</f>
        <v>0</v>
      </c>
      <c r="UN60" s="20" t="n">
        <f aca="false">IF(AMA59&lt;=0,0,IF(H_Direct=1,IF(DA60&lt;=0,RA60,IF(RA60&lt;=(XZ60+ABM60)/DA60,RA60,(RA60-G60*(XZ60+ABM60))/(1-G60*DA60))),RA60/(1-MAX(0,DA60)*H_Exit)))</f>
        <v>0</v>
      </c>
      <c r="UO60" s="20" t="n">
        <f aca="false">IF(AMB59&lt;=0,0,IF(H_Direct=1,IF(DB60&lt;=0,RB60,IF(RB60&lt;=(YA60+ABN60)/DB60,RB60,(RB60-G60*(YA60+ABN60))/(1-G60*DB60))),RB60/(1-MAX(0,DB60)*H_Exit)))</f>
        <v>0</v>
      </c>
      <c r="UP60" s="20" t="n">
        <f aca="false">IF(AMC59&lt;=0,0,IF(H_Direct=1,IF(DC60&lt;=0,RC60,IF(RC60&lt;=(YB60+ABO60)/DC60,RC60,(RC60-G60*(YB60+ABO60))/(1-G60*DC60))),RC60/(1-MAX(0,DC60)*H_Exit)))</f>
        <v>0</v>
      </c>
      <c r="UQ60" s="20" t="n">
        <f aca="false">IF(AMD59&lt;=0,0,IF(H_Direct=1,IF(DD60&lt;=0,RD60,IF(RD60&lt;=(YC60+ABP60)/DD60,RD60,(RD60-G60*(YC60+ABP60))/(1-G60*DD60))),RD60/(1-MAX(0,DD60)*H_Exit)))</f>
        <v>0</v>
      </c>
      <c r="UR60" s="20" t="n">
        <f aca="false">IF(AME59&lt;=0,0,IF(H_Direct=1,IF(DE60&lt;=0,RE60,IF(RE60&lt;=(YD60+ABQ60)/DE60,RE60,(RE60-G60*(YD60+ABQ60))/(1-G60*DE60))),RE60/(1-MAX(0,DE60)*H_Exit)))</f>
        <v>0</v>
      </c>
      <c r="US60" s="20" t="n">
        <f aca="false">IF(AMF59&lt;=0,0,IF(H_Direct=1,IF(DF60&lt;=0,RF60,IF(RF60&lt;=(YE60+ABR60)/DF60,RF60,(RF60-G60*(YE60+ABR60))/(1-G60*DF60))),RF60/(1-MAX(0,DF60)*H_Exit)))</f>
        <v>0</v>
      </c>
      <c r="UT60" s="20" t="n">
        <f aca="false">IF(AMG59&lt;=0,0,IF(H_Direct=1,IF(DG60&lt;=0,RG60,IF(RG60&lt;=(YF60+ABS60)/DG60,RG60,(RG60-G60*(YF60+ABS60))/(1-G60*DG60))),RG60/(1-MAX(0,DG60)*H_Exit)))</f>
        <v>0</v>
      </c>
      <c r="UU60" s="20" t="n">
        <f aca="false">IF(AMH59&lt;=0,0,IF(H_Direct=1,IF(DH60&lt;=0,RH60,IF(RH60&lt;=(YG60+ABT60)/DH60,RH60,(RH60-G60*(YG60+ABT60))/(1-G60*DH60))),RH60/(1-MAX(0,DH60)*H_Exit)))</f>
        <v>0</v>
      </c>
      <c r="UV60" s="20" t="n">
        <f aca="false">IF(AMI59&lt;=0,0,IF(H_Direct=1,IF(DI60&lt;=0,RI60,IF(RI60&lt;=(YH60+ABU60)/DI60,RI60,(RI60-G60*(YH60+ABU60))/(1-G60*DI60))),RI60/(1-MAX(0,DI60)*H_Exit)))</f>
        <v>0</v>
      </c>
      <c r="UW60" s="20" t="n">
        <f aca="false">IF(AMJ59&lt;=0,0,IF(H_Direct=1,IF(DJ60&lt;=0,RJ60,IF(RJ60&lt;=(YI60+ABV60)/DJ60,RJ60,(RJ60-G60*(YI60+ABV60))/(1-G60*DJ60))),RJ60/(1-MAX(0,DJ60)*H_Exit)))</f>
        <v>0</v>
      </c>
      <c r="UX60" s="20" t="n">
        <f aca="false">IF(AMK59&lt;=0,0,IF(H_Direct=1,IF(DK60&lt;=0,RK60,IF(RK60&lt;=(YJ60+ABW60)/DK60,RK60,(RK60-G60*(YJ60+ABW60))/(1-G60*DK60))),RK60/(1-MAX(0,DK60)*H_Exit)))</f>
        <v>0</v>
      </c>
      <c r="UY60" s="20" t="n">
        <f aca="false">IF(AML59&lt;=0,0,IF(H_Direct=1,IF(DL60&lt;=0,RL60,IF(RL60&lt;=(YK60+ABX60)/DL60,RL60,(RL60-G60*(YK60+ABX60))/(1-G60*DL60))),RL60/(1-MAX(0,DL60)*H_Exit)))</f>
        <v>0</v>
      </c>
      <c r="UZ60" s="20" t="n">
        <f aca="false">IF(AMM59&lt;=0,0,IF(H_Direct=1,IF(DM60&lt;=0,RM60,IF(RM60&lt;=(YL60+ABY60)/DM60,RM60,(RM60-G60*(YL60+ABY60))/(1-G60*DM60))),RM60/(1-MAX(0,DM60)*H_Exit)))</f>
        <v>0</v>
      </c>
      <c r="VA60" s="20" t="n">
        <f aca="false">IF(AMN59&lt;=0,0,IF(H_Direct=1,IF(DN60&lt;=0,RN60,IF(RN60&lt;=(YM60+ABZ60)/DN60,RN60,(RN60-G60*(YM60+ABZ60))/(1-G60*DN60))),RN60/(1-MAX(0,DN60)*H_Exit)))</f>
        <v>0</v>
      </c>
      <c r="VB60" s="20" t="n">
        <f aca="false">IF(AMO59&lt;=0,0,IF(H_Direct=1,IF(DO60&lt;=0,RO60,IF(RO60&lt;=(YN60+ACA60)/DO60,RO60,(RO60-G60*(YN60+ACA60))/(1-G60*DO60))),RO60/(1-MAX(0,DO60)*H_Exit)))</f>
        <v>0</v>
      </c>
      <c r="VC60" s="20" t="n">
        <f aca="false">IF(AMP59&lt;=0,0,IF(H_Direct=1,IF(DP60&lt;=0,RP60,IF(RP60&lt;=(YO60+ACB60)/DP60,RP60,(RP60-G60*(YO60+ACB60))/(1-G60*DP60))),RP60/(1-MAX(0,DP60)*H_Exit)))</f>
        <v>0</v>
      </c>
      <c r="VD60" s="20" t="n">
        <f aca="false">IF(AMQ59&lt;=0,0,IF(H_Direct=1,IF(DQ60&lt;=0,RQ60,IF(RQ60&lt;=(YP60+ACC60)/DQ60,RQ60,(RQ60-G60*(YP60+ACC60))/(1-G60*DQ60))),RQ60/(1-MAX(0,DQ60)*H_Exit)))</f>
        <v>0</v>
      </c>
      <c r="VE60" s="20" t="n">
        <f aca="false">IF(AMR59&lt;=0,0,IF(H_Direct=1,IF(DR60&lt;=0,RR60,IF(RR60&lt;=(YQ60+ACD60)/DR60,RR60,(RR60-G60*(YQ60+ACD60))/(1-G60*DR60))),RR60/(1-MAX(0,DR60)*H_Exit)))</f>
        <v>0</v>
      </c>
      <c r="VF60" s="20" t="n">
        <f aca="false">IF((P60+S60)&lt;=0,0,IF(H_Direct=1,IF(DS60&lt;=0,RS60,IF(RS60&lt;=(YR60+ACE60)/DS60,RS60,(RS60-G60*(YR60+ACE60))/(1-G60*DS60))),RS60/(1-MAX(0,DS60)*H_Exit)))</f>
        <v>0</v>
      </c>
      <c r="VG60" s="20" t="n">
        <v>0</v>
      </c>
      <c r="VH60" s="20" t="n">
        <v>0</v>
      </c>
      <c r="VI60" s="20" t="n">
        <v>0</v>
      </c>
      <c r="VJ60" s="20" t="n">
        <v>0</v>
      </c>
      <c r="VK60" s="20" t="n">
        <v>0</v>
      </c>
      <c r="VL60" s="20" t="n">
        <v>0</v>
      </c>
      <c r="VM60" s="20" t="n">
        <v>0</v>
      </c>
      <c r="VN60" s="20" t="n">
        <v>0</v>
      </c>
      <c r="VO60" s="20" t="n">
        <v>0</v>
      </c>
      <c r="VP60" s="20" t="n">
        <v>0</v>
      </c>
      <c r="VQ60" s="20" t="n">
        <v>0</v>
      </c>
      <c r="VR60" s="20" t="n">
        <v>0</v>
      </c>
      <c r="VS60" s="20" t="n">
        <v>0</v>
      </c>
      <c r="VT60" s="20" t="n">
        <v>0</v>
      </c>
      <c r="VU60" s="20" t="n">
        <v>0</v>
      </c>
      <c r="VV60" s="20" t="n">
        <v>0</v>
      </c>
      <c r="VW60" s="20" t="n">
        <v>0</v>
      </c>
      <c r="VX60" s="20" t="n">
        <v>0</v>
      </c>
      <c r="VY60" s="20" t="n">
        <v>0</v>
      </c>
      <c r="VZ60" s="20" t="n">
        <v>0</v>
      </c>
      <c r="WA60" s="20" t="n">
        <v>0</v>
      </c>
      <c r="WB60" s="20" t="n">
        <v>0</v>
      </c>
      <c r="WC60" s="20" t="n">
        <v>0</v>
      </c>
      <c r="WD60" s="20" t="n">
        <v>0</v>
      </c>
      <c r="WE60" s="20" t="n">
        <v>0</v>
      </c>
      <c r="WF60" s="20" t="n">
        <v>0</v>
      </c>
      <c r="WG60" s="20" t="n">
        <v>0</v>
      </c>
      <c r="WH60" s="20" t="n">
        <v>0</v>
      </c>
      <c r="WI60" s="20" t="n">
        <v>0</v>
      </c>
      <c r="WJ60" s="20" t="n">
        <v>0</v>
      </c>
      <c r="WK60" s="20" t="n">
        <v>0</v>
      </c>
      <c r="WL60" s="20" t="n">
        <v>0</v>
      </c>
      <c r="WM60" s="20" t="n">
        <v>0</v>
      </c>
      <c r="WN60" s="20" t="n">
        <v>0</v>
      </c>
      <c r="WO60" s="20" t="n">
        <v>0</v>
      </c>
      <c r="WP60" s="20" t="n">
        <v>0</v>
      </c>
      <c r="WQ60" s="20" t="n">
        <v>0</v>
      </c>
      <c r="WR60" s="20" t="n">
        <f aca="false">IF(AND(H_Direct=1,BR60&gt;0),MAX(0,H60-(MIN(BR60*TE60,(H60+I60))-MIN(MIN(BR60*TE60,(H60+I60)),I60))),H60)</f>
        <v>1270</v>
      </c>
      <c r="WS60" s="20" t="n">
        <f aca="false">IF(AND(H_Direct=1,BS60&gt;0),MAX(0,WR60-(MIN(BS60*TF60,(WR60+AAE60))-MIN(MIN(BS60*TF60,(WR60+AAE60)),AAE60))),WR60)</f>
        <v>1270</v>
      </c>
      <c r="WT60" s="20" t="n">
        <f aca="false">IF(AND(H_Direct=1,BT60&gt;0),MAX(0,WS60-(MIN(BT60*TG60,(WS60+AAF60))-MIN(MIN(BT60*TG60,(WS60+AAF60)),AAF60))),WS60)</f>
        <v>1270</v>
      </c>
      <c r="WU60" s="20" t="n">
        <f aca="false">IF(AND(H_Direct=1,BU60&gt;0),MAX(0,WT60-(MIN(BU60*TH60,(WT60+AAG60))-MIN(MIN(BU60*TH60,(WT60+AAG60)),AAG60))),WT60)</f>
        <v>1270</v>
      </c>
      <c r="WV60" s="20" t="n">
        <f aca="false">IF(AND(H_Direct=1,BV60&gt;0),MAX(0,WU60-(MIN(BV60*TI60,(WU60+AAH60))-MIN(MIN(BV60*TI60,(WU60+AAH60)),AAH60))),WU60)</f>
        <v>1270</v>
      </c>
      <c r="WW60" s="20" t="n">
        <f aca="false">IF(AND(H_Direct=1,BW60&gt;0),MAX(0,WV60-(MIN(BW60*TJ60,(WV60+AAI60))-MIN(MIN(BW60*TJ60,(WV60+AAI60)),AAI60))),WV60)</f>
        <v>1270</v>
      </c>
      <c r="WX60" s="20" t="n">
        <f aca="false">IF(AND(H_Direct=1,BX60&gt;0),MAX(0,WW60-(MIN(BX60*TK60,(WW60+AAJ60))-MIN(MIN(BX60*TK60,(WW60+AAJ60)),AAJ60))),WW60)</f>
        <v>1270</v>
      </c>
      <c r="WY60" s="20" t="n">
        <f aca="false">IF(AND(H_Direct=1,BY60&gt;0),MAX(0,WX60-(MIN(BY60*TL60,(WX60+AAK60))-MIN(MIN(BY60*TL60,(WX60+AAK60)),AAK60))),WX60)</f>
        <v>1270</v>
      </c>
      <c r="WZ60" s="20" t="n">
        <f aca="false">IF(AND(H_Direct=1,BZ60&gt;0),MAX(0,WY60-(MIN(BZ60*TM60,(WY60+AAL60))-MIN(MIN(BZ60*TM60,(WY60+AAL60)),AAL60))),WY60)</f>
        <v>1270</v>
      </c>
      <c r="XA60" s="20" t="n">
        <f aca="false">IF(AND(H_Direct=1,CA60&gt;0),MAX(0,WZ60-(MIN(CA60*TN60,(WZ60+AAM60))-MIN(MIN(CA60*TN60,(WZ60+AAM60)),AAM60))),WZ60)</f>
        <v>1270</v>
      </c>
      <c r="XB60" s="20" t="n">
        <f aca="false">IF(AND(H_Direct=1,CB60&gt;0),MAX(0,XA60-(MIN(CB60*TO60,(XA60+AAN60))-MIN(MIN(CB60*TO60,(XA60+AAN60)),AAN60))),XA60)</f>
        <v>1270</v>
      </c>
      <c r="XC60" s="20" t="n">
        <f aca="false">IF(AND(H_Direct=1,CC60&gt;0),MAX(0,XB60-(MIN(CC60*TP60,(XB60+AAO60))-MIN(MIN(CC60*TP60,(XB60+AAO60)),AAO60))),XB60)</f>
        <v>1270</v>
      </c>
      <c r="XD60" s="20" t="n">
        <f aca="false">IF(AND(H_Direct=1,CD60&gt;0),MAX(0,XC60-(MIN(CD60*TQ60,(XC60+AAP60))-MIN(MIN(CD60*TQ60,(XC60+AAP60)),AAP60))),XC60)</f>
        <v>1270</v>
      </c>
      <c r="XE60" s="20" t="n">
        <f aca="false">IF(AND(H_Direct=1,CE60&gt;0),MAX(0,XD60-(MIN(CE60*TR60,(XD60+AAQ60))-MIN(MIN(CE60*TR60,(XD60+AAQ60)),AAQ60))),XD60)</f>
        <v>1270</v>
      </c>
      <c r="XF60" s="20" t="n">
        <f aca="false">IF(AND(H_Direct=1,CF60&gt;0),MAX(0,XE60-(MIN(CF60*TS60,(XE60+AAR60))-MIN(MIN(CF60*TS60,(XE60+AAR60)),AAR60))),XE60)</f>
        <v>1270</v>
      </c>
      <c r="XG60" s="20" t="n">
        <f aca="false">IF(AND(H_Direct=1,CG60&gt;0),MAX(0,XF60-(MIN(CG60*TT60,(XF60+AAS60))-MIN(MIN(CG60*TT60,(XF60+AAS60)),AAS60))),XF60)</f>
        <v>1270</v>
      </c>
      <c r="XH60" s="20" t="n">
        <f aca="false">IF(AND(H_Direct=1,CH60&gt;0),MAX(0,XG60-(MIN(CH60*TU60,(XG60+AAT60))-MIN(MIN(CH60*TU60,(XG60+AAT60)),AAT60))),XG60)</f>
        <v>1270</v>
      </c>
      <c r="XI60" s="20" t="n">
        <f aca="false">IF(AND(H_Direct=1,CI60&gt;0),MAX(0,XH60-(MIN(CI60*TV60,(XH60+AAU60))-MIN(MIN(CI60*TV60,(XH60+AAU60)),AAU60))),XH60)</f>
        <v>1270</v>
      </c>
      <c r="XJ60" s="20" t="n">
        <f aca="false">IF(AND(H_Direct=1,CJ60&gt;0),MAX(0,XI60-(MIN(CJ60*TW60,(XI60+AAV60))-MIN(MIN(CJ60*TW60,(XI60+AAV60)),AAV60))),XI60)</f>
        <v>1270</v>
      </c>
      <c r="XK60" s="20" t="n">
        <f aca="false">IF(AND(H_Direct=1,CK60&gt;0),MAX(0,XJ60-(MIN(CK60*TX60,(XJ60+AAW60))-MIN(MIN(CK60*TX60,(XJ60+AAW60)),AAW60))),XJ60)</f>
        <v>1270</v>
      </c>
      <c r="XL60" s="20" t="n">
        <f aca="false">IF(AND(H_Direct=1,CL60&gt;0),MAX(0,XK60-(MIN(CL60*TY60,(XK60+AAX60))-MIN(MIN(CL60*TY60,(XK60+AAX60)),AAX60))),XK60)</f>
        <v>1270</v>
      </c>
      <c r="XM60" s="20" t="n">
        <f aca="false">IF(AND(H_Direct=1,CM60&gt;0),MAX(0,XL60-(MIN(CM60*TZ60,(XL60+AAY60))-MIN(MIN(CM60*TZ60,(XL60+AAY60)),AAY60))),XL60)</f>
        <v>1270</v>
      </c>
      <c r="XN60" s="20" t="n">
        <f aca="false">IF(AND(H_Direct=1,CN60&gt;0),MAX(0,XM60-(MIN(CN60*UA60,(XM60+AAZ60))-MIN(MIN(CN60*UA60,(XM60+AAZ60)),AAZ60))),XM60)</f>
        <v>1270</v>
      </c>
      <c r="XO60" s="20" t="n">
        <f aca="false">IF(AND(H_Direct=1,CO60&gt;0),MAX(0,XN60-(MIN(CO60*UB60,(XN60+ABA60))-MIN(MIN(CO60*UB60,(XN60+ABA60)),ABA60))),XN60)</f>
        <v>1270</v>
      </c>
      <c r="XP60" s="20" t="n">
        <f aca="false">IF(AND(H_Direct=1,CP60&gt;0),MAX(0,XO60-(MIN(CP60*UC60,(XO60+ABB60))-MIN(MIN(CP60*UC60,(XO60+ABB60)),ABB60))),XO60)</f>
        <v>1270</v>
      </c>
      <c r="XQ60" s="20" t="n">
        <f aca="false">IF(AND(H_Direct=1,CQ60&gt;0),MAX(0,XP60-(MIN(CQ60*UD60,(XP60+ABC60))-MIN(MIN(CQ60*UD60,(XP60+ABC60)),ABC60))),XP60)</f>
        <v>1270</v>
      </c>
      <c r="XR60" s="20" t="n">
        <f aca="false">IF(AND(H_Direct=1,CR60&gt;0),MAX(0,XQ60-(MIN(CR60*UE60,(XQ60+ABD60))-MIN(MIN(CR60*UE60,(XQ60+ABD60)),ABD60))),XQ60)</f>
        <v>1270</v>
      </c>
      <c r="XS60" s="20" t="n">
        <f aca="false">IF(AND(H_Direct=1,CS60&gt;0),MAX(0,XR60-(MIN(CS60*UF60,(XR60+ABE60))-MIN(MIN(CS60*UF60,(XR60+ABE60)),ABE60))),XR60)</f>
        <v>1270</v>
      </c>
      <c r="XT60" s="20" t="n">
        <f aca="false">IF(AND(H_Direct=1,CT60&gt;0),MAX(0,XS60-(MIN(CT60*UG60,(XS60+ABF60))-MIN(MIN(CT60*UG60,(XS60+ABF60)),ABF60))),XS60)</f>
        <v>1270</v>
      </c>
      <c r="XU60" s="20" t="n">
        <f aca="false">IF(AND(H_Direct=1,CU60&gt;0),MAX(0,XT60-(MIN(CU60*UH60,(XT60+ABG60))-MIN(MIN(CU60*UH60,(XT60+ABG60)),ABG60))),XT60)</f>
        <v>1270</v>
      </c>
      <c r="XV60" s="20" t="n">
        <f aca="false">IF(AND(H_Direct=1,CV60&gt;0),MAX(0,XU60-(MIN(CV60*UI60,(XU60+ABH60))-MIN(MIN(CV60*UI60,(XU60+ABH60)),ABH60))),XU60)</f>
        <v>1270</v>
      </c>
      <c r="XW60" s="20" t="n">
        <f aca="false">IF(AND(H_Direct=1,CW60&gt;0),MAX(0,XV60-(MIN(CW60*UJ60,(XV60+ABI60))-MIN(MIN(CW60*UJ60,(XV60+ABI60)),ABI60))),XV60)</f>
        <v>1270</v>
      </c>
      <c r="XX60" s="20" t="n">
        <f aca="false">IF(AND(H_Direct=1,CX60&gt;0),MAX(0,XW60-(MIN(CX60*UK60,(XW60+ABJ60))-MIN(MIN(CX60*UK60,(XW60+ABJ60)),ABJ60))),XW60)</f>
        <v>1270</v>
      </c>
      <c r="XY60" s="20" t="n">
        <f aca="false">IF(AND(H_Direct=1,CY60&gt;0),MAX(0,XX60-(MIN(CY60*UL60,(XX60+ABK60))-MIN(MIN(CY60*UL60,(XX60+ABK60)),ABK60))),XX60)</f>
        <v>1270</v>
      </c>
      <c r="XZ60" s="20" t="n">
        <f aca="false">IF(AND(H_Direct=1,CZ60&gt;0),MAX(0,XY60-(MIN(CZ60*UM60,(XY60+ABL60))-MIN(MIN(CZ60*UM60,(XY60+ABL60)),ABL60))),XY60)</f>
        <v>1270</v>
      </c>
      <c r="YA60" s="20" t="n">
        <f aca="false">IF(AND(H_Direct=1,DA60&gt;0),MAX(0,XZ60-(MIN(DA60*UN60,(XZ60+ABM60))-MIN(MIN(DA60*UN60,(XZ60+ABM60)),ABM60))),XZ60)</f>
        <v>1270</v>
      </c>
      <c r="YB60" s="20" t="n">
        <f aca="false">IF(AND(H_Direct=1,DB60&gt;0),MAX(0,YA60-(MIN(DB60*UO60,(YA60+ABN60))-MIN(MIN(DB60*UO60,(YA60+ABN60)),ABN60))),YA60)</f>
        <v>1270</v>
      </c>
      <c r="YC60" s="20" t="n">
        <f aca="false">IF(AND(H_Direct=1,DC60&gt;0),MAX(0,YB60-(MIN(DC60*UP60,(YB60+ABO60))-MIN(MIN(DC60*UP60,(YB60+ABO60)),ABO60))),YB60)</f>
        <v>1270</v>
      </c>
      <c r="YD60" s="20" t="n">
        <f aca="false">IF(AND(H_Direct=1,DD60&gt;0),MAX(0,YC60-(MIN(DD60*UQ60,(YC60+ABP60))-MIN(MIN(DD60*UQ60,(YC60+ABP60)),ABP60))),YC60)</f>
        <v>1270</v>
      </c>
      <c r="YE60" s="20" t="n">
        <f aca="false">IF(AND(H_Direct=1,DE60&gt;0),MAX(0,YD60-(MIN(DE60*UR60,(YD60+ABQ60))-MIN(MIN(DE60*UR60,(YD60+ABQ60)),ABQ60))),YD60)</f>
        <v>1270</v>
      </c>
      <c r="YF60" s="20" t="n">
        <f aca="false">IF(AND(H_Direct=1,DF60&gt;0),MAX(0,YE60-(MIN(DF60*US60,(YE60+ABR60))-MIN(MIN(DF60*US60,(YE60+ABR60)),ABR60))),YE60)</f>
        <v>1270</v>
      </c>
      <c r="YG60" s="20" t="n">
        <f aca="false">IF(AND(H_Direct=1,DG60&gt;0),MAX(0,YF60-(MIN(DG60*UT60,(YF60+ABS60))-MIN(MIN(DG60*UT60,(YF60+ABS60)),ABS60))),YF60)</f>
        <v>1270</v>
      </c>
      <c r="YH60" s="20" t="n">
        <f aca="false">IF(AND(H_Direct=1,DH60&gt;0),MAX(0,YG60-(MIN(DH60*UU60,(YG60+ABT60))-MIN(MIN(DH60*UU60,(YG60+ABT60)),ABT60))),YG60)</f>
        <v>1270</v>
      </c>
      <c r="YI60" s="20" t="n">
        <f aca="false">IF(AND(H_Direct=1,DI60&gt;0),MAX(0,YH60-(MIN(DI60*UV60,(YH60+ABU60))-MIN(MIN(DI60*UV60,(YH60+ABU60)),ABU60))),YH60)</f>
        <v>1270</v>
      </c>
      <c r="YJ60" s="20" t="n">
        <f aca="false">IF(AND(H_Direct=1,DJ60&gt;0),MAX(0,YI60-(MIN(DJ60*UW60,(YI60+ABV60))-MIN(MIN(DJ60*UW60,(YI60+ABV60)),ABV60))),YI60)</f>
        <v>1270</v>
      </c>
      <c r="YK60" s="20" t="n">
        <f aca="false">IF(AND(H_Direct=1,DK60&gt;0),MAX(0,YJ60-(MIN(DK60*UX60,(YJ60+ABW60))-MIN(MIN(DK60*UX60,(YJ60+ABW60)),ABW60))),YJ60)</f>
        <v>1270</v>
      </c>
      <c r="YL60" s="20" t="n">
        <f aca="false">IF(AND(H_Direct=1,DL60&gt;0),MAX(0,YK60-(MIN(DL60*UY60,(YK60+ABX60))-MIN(MIN(DL60*UY60,(YK60+ABX60)),ABX60))),YK60)</f>
        <v>1270</v>
      </c>
      <c r="YM60" s="20" t="n">
        <f aca="false">IF(AND(H_Direct=1,DM60&gt;0),MAX(0,YL60-(MIN(DM60*UZ60,(YL60+ABY60))-MIN(MIN(DM60*UZ60,(YL60+ABY60)),ABY60))),YL60)</f>
        <v>1270</v>
      </c>
      <c r="YN60" s="20" t="n">
        <f aca="false">IF(AND(H_Direct=1,DN60&gt;0),MAX(0,YM60-(MIN(DN60*VA60,(YM60+ABZ60))-MIN(MIN(DN60*VA60,(YM60+ABZ60)),ABZ60))),YM60)</f>
        <v>1270</v>
      </c>
      <c r="YO60" s="20" t="n">
        <f aca="false">IF(AND(H_Direct=1,DO60&gt;0),MAX(0,YN60-(MIN(DO60*VB60,(YN60+ACA60))-MIN(MIN(DO60*VB60,(YN60+ACA60)),ACA60))),YN60)</f>
        <v>1270</v>
      </c>
      <c r="YP60" s="20" t="n">
        <f aca="false">IF(AND(H_Direct=1,DP60&gt;0),MAX(0,YO60-(MIN(DP60*VC60,(YO60+ACB60))-MIN(MIN(DP60*VC60,(YO60+ACB60)),ACB60))),YO60)</f>
        <v>1270</v>
      </c>
      <c r="YQ60" s="20" t="n">
        <f aca="false">IF(AND(H_Direct=1,DQ60&gt;0),MAX(0,YP60-(MIN(DQ60*VD60,(YP60+ACC60))-MIN(MIN(DQ60*VD60,(YP60+ACC60)),ACC60))),YP60)</f>
        <v>1270</v>
      </c>
      <c r="YR60" s="20" t="n">
        <f aca="false">IF(AND(H_Direct=1,DR60&gt;0),MAX(0,YQ60-(MIN(DR60*VE60,(YQ60+ACD60))-MIN(MIN(DR60*VE60,(YQ60+ACD60)),ACD60))),YQ60)</f>
        <v>1270</v>
      </c>
      <c r="YS60" s="20" t="n">
        <f aca="false">IF(AND(H_Direct=1,DS60&gt;0),MAX(0,YR60-(MIN(DS60*VF60,(YR60+ACE60))-MIN(MIN(DS60*VF60,(YR60+ACE60)),ACE60))),YR60)</f>
        <v>1270</v>
      </c>
      <c r="YT60" s="20" t="n">
        <f aca="false">YS60</f>
        <v>1270</v>
      </c>
      <c r="YU60" s="20" t="n">
        <f aca="false">YT60</f>
        <v>1270</v>
      </c>
      <c r="YV60" s="20" t="n">
        <f aca="false">YU60</f>
        <v>1270</v>
      </c>
      <c r="YW60" s="20" t="n">
        <f aca="false">YV60</f>
        <v>1270</v>
      </c>
      <c r="YX60" s="20" t="n">
        <f aca="false">YW60</f>
        <v>1270</v>
      </c>
      <c r="YY60" s="20" t="n">
        <f aca="false">YX60</f>
        <v>1270</v>
      </c>
      <c r="YZ60" s="20" t="n">
        <f aca="false">YY60</f>
        <v>1270</v>
      </c>
      <c r="ZA60" s="20" t="n">
        <f aca="false">YZ60</f>
        <v>1270</v>
      </c>
      <c r="ZB60" s="20" t="n">
        <f aca="false">ZA60</f>
        <v>1270</v>
      </c>
      <c r="ZC60" s="20" t="n">
        <f aca="false">ZB60</f>
        <v>1270</v>
      </c>
      <c r="ZD60" s="20" t="n">
        <f aca="false">ZC60</f>
        <v>1270</v>
      </c>
      <c r="ZE60" s="20" t="n">
        <f aca="false">ZD60</f>
        <v>1270</v>
      </c>
      <c r="ZF60" s="20" t="n">
        <f aca="false">ZE60</f>
        <v>1270</v>
      </c>
      <c r="ZG60" s="20" t="n">
        <f aca="false">ZF60</f>
        <v>1270</v>
      </c>
      <c r="ZH60" s="20" t="n">
        <f aca="false">ZG60</f>
        <v>1270</v>
      </c>
      <c r="ZI60" s="20" t="n">
        <f aca="false">ZH60</f>
        <v>1270</v>
      </c>
      <c r="ZJ60" s="20" t="n">
        <f aca="false">ZI60</f>
        <v>1270</v>
      </c>
      <c r="ZK60" s="20" t="n">
        <f aca="false">ZJ60</f>
        <v>1270</v>
      </c>
      <c r="ZL60" s="20" t="n">
        <f aca="false">ZK60</f>
        <v>1270</v>
      </c>
      <c r="ZM60" s="20" t="n">
        <f aca="false">ZL60</f>
        <v>1270</v>
      </c>
      <c r="ZN60" s="20" t="n">
        <f aca="false">ZM60</f>
        <v>1270</v>
      </c>
      <c r="ZO60" s="20" t="n">
        <f aca="false">ZN60</f>
        <v>1270</v>
      </c>
      <c r="ZP60" s="20" t="n">
        <f aca="false">ZO60</f>
        <v>1270</v>
      </c>
      <c r="ZQ60" s="20" t="n">
        <f aca="false">ZP60</f>
        <v>1270</v>
      </c>
      <c r="ZR60" s="20" t="n">
        <f aca="false">ZQ60</f>
        <v>1270</v>
      </c>
      <c r="ZS60" s="20" t="n">
        <f aca="false">ZR60</f>
        <v>1270</v>
      </c>
      <c r="ZT60" s="20" t="n">
        <f aca="false">ZS60</f>
        <v>1270</v>
      </c>
      <c r="ZU60" s="20" t="n">
        <f aca="false">ZT60</f>
        <v>1270</v>
      </c>
      <c r="ZV60" s="20" t="n">
        <f aca="false">ZU60</f>
        <v>1270</v>
      </c>
      <c r="ZW60" s="20" t="n">
        <f aca="false">ZV60</f>
        <v>1270</v>
      </c>
      <c r="ZX60" s="20" t="n">
        <f aca="false">ZW60</f>
        <v>1270</v>
      </c>
      <c r="ZY60" s="20" t="n">
        <f aca="false">ZX60</f>
        <v>1270</v>
      </c>
      <c r="ZZ60" s="20" t="n">
        <f aca="false">ZY60</f>
        <v>1270</v>
      </c>
      <c r="AAA60" s="20" t="n">
        <f aca="false">ZZ60</f>
        <v>1270</v>
      </c>
      <c r="AAB60" s="20" t="n">
        <f aca="false">AAA60</f>
        <v>1270</v>
      </c>
      <c r="AAC60" s="20" t="n">
        <f aca="false">AAB60</f>
        <v>1270</v>
      </c>
      <c r="AAD60" s="20" t="n">
        <f aca="false">AAC60</f>
        <v>1270</v>
      </c>
      <c r="AAE60" s="20" t="n">
        <f aca="false">IF(H_Direct=1,IF(BR60&lt;=0,I60-BR60*TE60,I60-MIN(MIN(BR60*TE60,(H60+I60)),I60)),I60)</f>
        <v>0</v>
      </c>
      <c r="AAF60" s="20" t="n">
        <f aca="false">IF(H_Direct=1,IF(BS60&lt;=0,AAE60-BS60*TF60,AAE60-MIN(MIN(BS60*TF60,(WR60+AAE60)),AAE60)),AAE60)</f>
        <v>0</v>
      </c>
      <c r="AAG60" s="20" t="n">
        <f aca="false">IF(H_Direct=1,IF(BT60&lt;=0,AAF60-BT60*TG60,AAF60-MIN(MIN(BT60*TG60,(WS60+AAF60)),AAF60)),AAF60)</f>
        <v>0</v>
      </c>
      <c r="AAH60" s="20" t="n">
        <f aca="false">IF(H_Direct=1,IF(BU60&lt;=0,AAG60-BU60*TH60,AAG60-MIN(MIN(BU60*TH60,(WT60+AAG60)),AAG60)),AAG60)</f>
        <v>0</v>
      </c>
      <c r="AAI60" s="20" t="n">
        <f aca="false">IF(H_Direct=1,IF(BV60&lt;=0,AAH60-BV60*TI60,AAH60-MIN(MIN(BV60*TI60,(WU60+AAH60)),AAH60)),AAH60)</f>
        <v>0</v>
      </c>
      <c r="AAJ60" s="20" t="n">
        <f aca="false">IF(H_Direct=1,IF(BW60&lt;=0,AAI60-BW60*TJ60,AAI60-MIN(MIN(BW60*TJ60,(WV60+AAI60)),AAI60)),AAI60)</f>
        <v>0</v>
      </c>
      <c r="AAK60" s="20" t="n">
        <f aca="false">IF(H_Direct=1,IF(BX60&lt;=0,AAJ60-BX60*TK60,AAJ60-MIN(MIN(BX60*TK60,(WW60+AAJ60)),AAJ60)),AAJ60)</f>
        <v>0</v>
      </c>
      <c r="AAL60" s="20" t="n">
        <f aca="false">IF(H_Direct=1,IF(BY60&lt;=0,AAK60-BY60*TL60,AAK60-MIN(MIN(BY60*TL60,(WX60+AAK60)),AAK60)),AAK60)</f>
        <v>0</v>
      </c>
      <c r="AAM60" s="20" t="n">
        <f aca="false">IF(H_Direct=1,IF(BZ60&lt;=0,AAL60-BZ60*TM60,AAL60-MIN(MIN(BZ60*TM60,(WY60+AAL60)),AAL60)),AAL60)</f>
        <v>0</v>
      </c>
      <c r="AAN60" s="20" t="n">
        <f aca="false">IF(H_Direct=1,IF(CA60&lt;=0,AAM60-CA60*TN60,AAM60-MIN(MIN(CA60*TN60,(WZ60+AAM60)),AAM60)),AAM60)</f>
        <v>0</v>
      </c>
      <c r="AAO60" s="20" t="n">
        <f aca="false">IF(H_Direct=1,IF(CB60&lt;=0,AAN60-CB60*TO60,AAN60-MIN(MIN(CB60*TO60,(XA60+AAN60)),AAN60)),AAN60)</f>
        <v>0</v>
      </c>
      <c r="AAP60" s="20" t="n">
        <f aca="false">IF(H_Direct=1,IF(CC60&lt;=0,AAO60-CC60*TP60,AAO60-MIN(MIN(CC60*TP60,(XB60+AAO60)),AAO60)),AAO60)</f>
        <v>0</v>
      </c>
      <c r="AAQ60" s="20" t="n">
        <f aca="false">IF(H_Direct=1,IF(CD60&lt;=0,AAP60-CD60*TQ60,AAP60-MIN(MIN(CD60*TQ60,(XC60+AAP60)),AAP60)),AAP60)</f>
        <v>0</v>
      </c>
      <c r="AAR60" s="20" t="n">
        <f aca="false">IF(H_Direct=1,IF(CE60&lt;=0,AAQ60-CE60*TR60,AAQ60-MIN(MIN(CE60*TR60,(XD60+AAQ60)),AAQ60)),AAQ60)</f>
        <v>0</v>
      </c>
      <c r="AAS60" s="20" t="n">
        <f aca="false">IF(H_Direct=1,IF(CF60&lt;=0,AAR60-CF60*TS60,AAR60-MIN(MIN(CF60*TS60,(XE60+AAR60)),AAR60)),AAR60)</f>
        <v>0</v>
      </c>
      <c r="AAT60" s="20" t="n">
        <f aca="false">IF(H_Direct=1,IF(CG60&lt;=0,AAS60-CG60*TT60,AAS60-MIN(MIN(CG60*TT60,(XF60+AAS60)),AAS60)),AAS60)</f>
        <v>0</v>
      </c>
      <c r="AAU60" s="20" t="n">
        <f aca="false">IF(H_Direct=1,IF(CH60&lt;=0,AAT60-CH60*TU60,AAT60-MIN(MIN(CH60*TU60,(XG60+AAT60)),AAT60)),AAT60)</f>
        <v>0</v>
      </c>
      <c r="AAV60" s="20" t="n">
        <f aca="false">IF(H_Direct=1,IF(CI60&lt;=0,AAU60-CI60*TV60,AAU60-MIN(MIN(CI60*TV60,(XH60+AAU60)),AAU60)),AAU60)</f>
        <v>0</v>
      </c>
      <c r="AAW60" s="20" t="n">
        <f aca="false">IF(H_Direct=1,IF(CJ60&lt;=0,AAV60-CJ60*TW60,AAV60-MIN(MIN(CJ60*TW60,(XI60+AAV60)),AAV60)),AAV60)</f>
        <v>0</v>
      </c>
      <c r="AAX60" s="20" t="n">
        <f aca="false">IF(H_Direct=1,IF(CK60&lt;=0,AAW60-CK60*TX60,AAW60-MIN(MIN(CK60*TX60,(XJ60+AAW60)),AAW60)),AAW60)</f>
        <v>0</v>
      </c>
      <c r="AAY60" s="20" t="n">
        <f aca="false">IF(H_Direct=1,IF(CL60&lt;=0,AAX60-CL60*TY60,AAX60-MIN(MIN(CL60*TY60,(XK60+AAX60)),AAX60)),AAX60)</f>
        <v>0</v>
      </c>
      <c r="AAZ60" s="20" t="n">
        <f aca="false">IF(H_Direct=1,IF(CM60&lt;=0,AAY60-CM60*TZ60,AAY60-MIN(MIN(CM60*TZ60,(XL60+AAY60)),AAY60)),AAY60)</f>
        <v>0</v>
      </c>
      <c r="ABA60" s="20" t="n">
        <f aca="false">IF(H_Direct=1,IF(CN60&lt;=0,AAZ60-CN60*UA60,AAZ60-MIN(MIN(CN60*UA60,(XM60+AAZ60)),AAZ60)),AAZ60)</f>
        <v>0</v>
      </c>
      <c r="ABB60" s="20" t="n">
        <f aca="false">IF(H_Direct=1,IF(CO60&lt;=0,ABA60-CO60*UB60,ABA60-MIN(MIN(CO60*UB60,(XN60+ABA60)),ABA60)),ABA60)</f>
        <v>0</v>
      </c>
      <c r="ABC60" s="20" t="n">
        <f aca="false">IF(H_Direct=1,IF(CP60&lt;=0,ABB60-CP60*UC60,ABB60-MIN(MIN(CP60*UC60,(XO60+ABB60)),ABB60)),ABB60)</f>
        <v>0</v>
      </c>
      <c r="ABD60" s="20" t="n">
        <f aca="false">IF(H_Direct=1,IF(CQ60&lt;=0,ABC60-CQ60*UD60,ABC60-MIN(MIN(CQ60*UD60,(XP60+ABC60)),ABC60)),ABC60)</f>
        <v>0</v>
      </c>
      <c r="ABE60" s="20" t="n">
        <f aca="false">IF(H_Direct=1,IF(CR60&lt;=0,ABD60-CR60*UE60,ABD60-MIN(MIN(CR60*UE60,(XQ60+ABD60)),ABD60)),ABD60)</f>
        <v>0</v>
      </c>
      <c r="ABF60" s="20" t="n">
        <f aca="false">IF(H_Direct=1,IF(CS60&lt;=0,ABE60-CS60*UF60,ABE60-MIN(MIN(CS60*UF60,(XR60+ABE60)),ABE60)),ABE60)</f>
        <v>0</v>
      </c>
      <c r="ABG60" s="20" t="n">
        <f aca="false">IF(H_Direct=1,IF(CT60&lt;=0,ABF60-CT60*UG60,ABF60-MIN(MIN(CT60*UG60,(XS60+ABF60)),ABF60)),ABF60)</f>
        <v>0</v>
      </c>
      <c r="ABH60" s="20" t="n">
        <f aca="false">IF(H_Direct=1,IF(CU60&lt;=0,ABG60-CU60*UH60,ABG60-MIN(MIN(CU60*UH60,(XT60+ABG60)),ABG60)),ABG60)</f>
        <v>0</v>
      </c>
      <c r="ABI60" s="20" t="n">
        <f aca="false">IF(H_Direct=1,IF(CV60&lt;=0,ABH60-CV60*UI60,ABH60-MIN(MIN(CV60*UI60,(XU60+ABH60)),ABH60)),ABH60)</f>
        <v>0</v>
      </c>
      <c r="ABJ60" s="20" t="n">
        <f aca="false">IF(H_Direct=1,IF(CW60&lt;=0,ABI60-CW60*UJ60,ABI60-MIN(MIN(CW60*UJ60,(XV60+ABI60)),ABI60)),ABI60)</f>
        <v>0</v>
      </c>
      <c r="ABK60" s="20" t="n">
        <f aca="false">IF(H_Direct=1,IF(CX60&lt;=0,ABJ60-CX60*UK60,ABJ60-MIN(MIN(CX60*UK60,(XW60+ABJ60)),ABJ60)),ABJ60)</f>
        <v>0</v>
      </c>
      <c r="ABL60" s="20" t="n">
        <f aca="false">IF(H_Direct=1,IF(CY60&lt;=0,ABK60-CY60*UL60,ABK60-MIN(MIN(CY60*UL60,(XX60+ABK60)),ABK60)),ABK60)</f>
        <v>0</v>
      </c>
      <c r="ABM60" s="20" t="n">
        <f aca="false">IF(H_Direct=1,IF(CZ60&lt;=0,ABL60-CZ60*UM60,ABL60-MIN(MIN(CZ60*UM60,(XY60+ABL60)),ABL60)),ABL60)</f>
        <v>0</v>
      </c>
      <c r="ABN60" s="20" t="n">
        <f aca="false">IF(H_Direct=1,IF(DA60&lt;=0,ABM60-DA60*UN60,ABM60-MIN(MIN(DA60*UN60,(XZ60+ABM60)),ABM60)),ABM60)</f>
        <v>0</v>
      </c>
      <c r="ABO60" s="20" t="n">
        <f aca="false">IF(H_Direct=1,IF(DB60&lt;=0,ABN60-DB60*UO60,ABN60-MIN(MIN(DB60*UO60,(YA60+ABN60)),ABN60)),ABN60)</f>
        <v>0</v>
      </c>
      <c r="ABP60" s="20" t="n">
        <f aca="false">IF(H_Direct=1,IF(DC60&lt;=0,ABO60-DC60*UP60,ABO60-MIN(MIN(DC60*UP60,(YB60+ABO60)),ABO60)),ABO60)</f>
        <v>0</v>
      </c>
      <c r="ABQ60" s="20" t="n">
        <f aca="false">IF(H_Direct=1,IF(DD60&lt;=0,ABP60-DD60*UQ60,ABP60-MIN(MIN(DD60*UQ60,(YC60+ABP60)),ABP60)),ABP60)</f>
        <v>0</v>
      </c>
      <c r="ABR60" s="20" t="n">
        <f aca="false">IF(H_Direct=1,IF(DE60&lt;=0,ABQ60-DE60*UR60,ABQ60-MIN(MIN(DE60*UR60,(YD60+ABQ60)),ABQ60)),ABQ60)</f>
        <v>0</v>
      </c>
      <c r="ABS60" s="20" t="n">
        <f aca="false">IF(H_Direct=1,IF(DF60&lt;=0,ABR60-DF60*US60,ABR60-MIN(MIN(DF60*US60,(YE60+ABR60)),ABR60)),ABR60)</f>
        <v>0</v>
      </c>
      <c r="ABT60" s="20" t="n">
        <f aca="false">IF(H_Direct=1,IF(DG60&lt;=0,ABS60-DG60*UT60,ABS60-MIN(MIN(DG60*UT60,(YF60+ABS60)),ABS60)),ABS60)</f>
        <v>0</v>
      </c>
      <c r="ABU60" s="20" t="n">
        <f aca="false">IF(H_Direct=1,IF(DH60&lt;=0,ABT60-DH60*UU60,ABT60-MIN(MIN(DH60*UU60,(YG60+ABT60)),ABT60)),ABT60)</f>
        <v>0</v>
      </c>
      <c r="ABV60" s="20" t="n">
        <f aca="false">IF(H_Direct=1,IF(DI60&lt;=0,ABU60-DI60*UV60,ABU60-MIN(MIN(DI60*UV60,(YH60+ABU60)),ABU60)),ABU60)</f>
        <v>0</v>
      </c>
      <c r="ABW60" s="20" t="n">
        <f aca="false">IF(H_Direct=1,IF(DJ60&lt;=0,ABV60-DJ60*UW60,ABV60-MIN(MIN(DJ60*UW60,(YI60+ABV60)),ABV60)),ABV60)</f>
        <v>0</v>
      </c>
      <c r="ABX60" s="20" t="n">
        <f aca="false">IF(H_Direct=1,IF(DK60&lt;=0,ABW60-DK60*UX60,ABW60-MIN(MIN(DK60*UX60,(YJ60+ABW60)),ABW60)),ABW60)</f>
        <v>0</v>
      </c>
      <c r="ABY60" s="20" t="n">
        <f aca="false">IF(H_Direct=1,IF(DL60&lt;=0,ABX60-DL60*UY60,ABX60-MIN(MIN(DL60*UY60,(YK60+ABX60)),ABX60)),ABX60)</f>
        <v>0</v>
      </c>
      <c r="ABZ60" s="20" t="n">
        <f aca="false">IF(H_Direct=1,IF(DM60&lt;=0,ABY60-DM60*UZ60,ABY60-MIN(MIN(DM60*UZ60,(YL60+ABY60)),ABY60)),ABY60)</f>
        <v>0</v>
      </c>
      <c r="ACA60" s="20" t="n">
        <f aca="false">IF(H_Direct=1,IF(DN60&lt;=0,ABZ60-DN60*VA60,ABZ60-MIN(MIN(DN60*VA60,(YM60+ABZ60)),ABZ60)),ABZ60)</f>
        <v>0</v>
      </c>
      <c r="ACB60" s="20" t="n">
        <f aca="false">IF(H_Direct=1,IF(DO60&lt;=0,ACA60-DO60*VB60,ACA60-MIN(MIN(DO60*VB60,(YN60+ACA60)),ACA60)),ACA60)</f>
        <v>0</v>
      </c>
      <c r="ACC60" s="20" t="n">
        <f aca="false">IF(H_Direct=1,IF(DP60&lt;=0,ACB60-DP60*VC60,ACB60-MIN(MIN(DP60*VC60,(YO60+ACB60)),ACB60)),ACB60)</f>
        <v>0</v>
      </c>
      <c r="ACD60" s="20" t="n">
        <f aca="false">IF(H_Direct=1,IF(DQ60&lt;=0,ACC60-DQ60*VD60,ACC60-MIN(MIN(DQ60*VD60,(YP60+ACC60)),ACC60)),ACC60)</f>
        <v>0</v>
      </c>
      <c r="ACE60" s="20" t="n">
        <f aca="false">IF(H_Direct=1,IF(DR60&lt;=0,ACD60-DR60*VE60,ACD60-MIN(MIN(DR60*VE60,(YQ60+ACD60)),ACD60)),ACD60)</f>
        <v>0</v>
      </c>
      <c r="ACF60" s="20" t="n">
        <f aca="false">IF(H_Direct=1,IF(DS60&lt;=0,ACE60-DS60*VF60,ACE60-MIN(MIN(DS60*VF60,(YR60+ACE60)),ACE60)),ACE60)</f>
        <v>0</v>
      </c>
      <c r="ACG60" s="20" t="n">
        <f aca="false">ACF60</f>
        <v>0</v>
      </c>
      <c r="ACH60" s="20" t="n">
        <f aca="false">ACG60</f>
        <v>0</v>
      </c>
      <c r="ACI60" s="20" t="n">
        <f aca="false">ACH60</f>
        <v>0</v>
      </c>
      <c r="ACJ60" s="20" t="n">
        <f aca="false">ACI60</f>
        <v>0</v>
      </c>
      <c r="ACK60" s="20" t="n">
        <f aca="false">ACJ60</f>
        <v>0</v>
      </c>
      <c r="ACL60" s="20" t="n">
        <f aca="false">ACK60</f>
        <v>0</v>
      </c>
      <c r="ACM60" s="20" t="n">
        <f aca="false">ACL60</f>
        <v>0</v>
      </c>
      <c r="ACN60" s="20" t="n">
        <f aca="false">ACM60</f>
        <v>0</v>
      </c>
      <c r="ACO60" s="20" t="n">
        <f aca="false">ACN60</f>
        <v>0</v>
      </c>
      <c r="ACP60" s="20" t="n">
        <f aca="false">ACO60</f>
        <v>0</v>
      </c>
      <c r="ACQ60" s="20" t="n">
        <f aca="false">ACP60</f>
        <v>0</v>
      </c>
      <c r="ACR60" s="20" t="n">
        <f aca="false">ACQ60</f>
        <v>0</v>
      </c>
      <c r="ACS60" s="20" t="n">
        <f aca="false">ACR60</f>
        <v>0</v>
      </c>
      <c r="ACT60" s="20" t="n">
        <f aca="false">ACS60</f>
        <v>0</v>
      </c>
      <c r="ACU60" s="20" t="n">
        <f aca="false">ACT60</f>
        <v>0</v>
      </c>
      <c r="ACV60" s="20" t="n">
        <f aca="false">ACU60</f>
        <v>0</v>
      </c>
      <c r="ACW60" s="20" t="n">
        <f aca="false">ACV60</f>
        <v>0</v>
      </c>
      <c r="ACX60" s="20" t="n">
        <f aca="false">ACW60</f>
        <v>0</v>
      </c>
      <c r="ACY60" s="20" t="n">
        <f aca="false">ACX60</f>
        <v>0</v>
      </c>
      <c r="ACZ60" s="20" t="n">
        <f aca="false">ACY60</f>
        <v>0</v>
      </c>
      <c r="ADA60" s="20" t="n">
        <f aca="false">ACZ60</f>
        <v>0</v>
      </c>
      <c r="ADB60" s="20" t="n">
        <f aca="false">ADA60</f>
        <v>0</v>
      </c>
      <c r="ADC60" s="20" t="n">
        <f aca="false">ADB60</f>
        <v>0</v>
      </c>
      <c r="ADD60" s="20" t="n">
        <f aca="false">ADC60</f>
        <v>0</v>
      </c>
      <c r="ADE60" s="20" t="n">
        <f aca="false">ADD60</f>
        <v>0</v>
      </c>
      <c r="ADF60" s="20" t="n">
        <f aca="false">ADE60</f>
        <v>0</v>
      </c>
      <c r="ADG60" s="20" t="n">
        <f aca="false">ADF60</f>
        <v>0</v>
      </c>
      <c r="ADH60" s="20" t="n">
        <f aca="false">ADG60</f>
        <v>0</v>
      </c>
      <c r="ADI60" s="20" t="n">
        <f aca="false">ADH60</f>
        <v>0</v>
      </c>
      <c r="ADJ60" s="20" t="n">
        <f aca="false">ADI60</f>
        <v>0</v>
      </c>
      <c r="ADK60" s="20" t="n">
        <f aca="false">ADJ60</f>
        <v>0</v>
      </c>
      <c r="ADL60" s="20" t="n">
        <f aca="false">ADK60</f>
        <v>0</v>
      </c>
      <c r="ADM60" s="20" t="n">
        <f aca="false">ADL60</f>
        <v>0</v>
      </c>
      <c r="ADN60" s="20" t="n">
        <f aca="false">ADM60</f>
        <v>0</v>
      </c>
      <c r="ADO60" s="20" t="n">
        <f aca="false">ADN60</f>
        <v>0</v>
      </c>
      <c r="ADP60" s="20" t="n">
        <f aca="false">ADO60</f>
        <v>0</v>
      </c>
      <c r="ADQ60" s="20" t="n">
        <f aca="false">ADP60</f>
        <v>0</v>
      </c>
      <c r="ADR60" s="20" t="n">
        <f aca="false">(AKR59-TE60+0)*(1+BQ60)</f>
        <v>0</v>
      </c>
      <c r="ADS60" s="20" t="n">
        <f aca="false">(AKS59-TF60+0)*(1+BQ60)</f>
        <v>0</v>
      </c>
      <c r="ADT60" s="20" t="n">
        <f aca="false">(AKT59-TG60+0)*(1+BQ60)</f>
        <v>0</v>
      </c>
      <c r="ADU60" s="20" t="n">
        <f aca="false">(AKU59-TH60+0)*(1+BQ60)</f>
        <v>0</v>
      </c>
      <c r="ADV60" s="20" t="n">
        <f aca="false">(AKV59-TI60+0)*(1+BQ60)</f>
        <v>0</v>
      </c>
      <c r="ADW60" s="20" t="n">
        <f aca="false">(AKW59-TJ60+0)*(1+BQ60)</f>
        <v>0</v>
      </c>
      <c r="ADX60" s="20" t="n">
        <f aca="false">(AKX59-TK60+0)*(1+BQ60)</f>
        <v>0</v>
      </c>
      <c r="ADY60" s="20" t="n">
        <f aca="false">(AKY59-TL60+0)*(1+BQ60)</f>
        <v>0</v>
      </c>
      <c r="ADZ60" s="20" t="n">
        <f aca="false">(AKZ59-TM60+0)*(1+BQ60)</f>
        <v>0</v>
      </c>
      <c r="AEA60" s="20" t="n">
        <f aca="false">(ALA59-TN60+0)*(1+BQ60)</f>
        <v>0</v>
      </c>
      <c r="AEB60" s="20" t="n">
        <f aca="false">(ALB59-TO60+0)*(1+BQ60)</f>
        <v>0</v>
      </c>
      <c r="AEC60" s="20" t="n">
        <f aca="false">(ALC59-TP60+0)*(1+BQ60)</f>
        <v>0</v>
      </c>
      <c r="AED60" s="20" t="n">
        <f aca="false">(ALD59-TQ60+0)*(1+BQ60)</f>
        <v>0</v>
      </c>
      <c r="AEE60" s="20" t="n">
        <f aca="false">(ALE59-TR60+0)*(1+BQ60)</f>
        <v>0</v>
      </c>
      <c r="AEF60" s="20" t="n">
        <f aca="false">(ALF59-TS60+0)*(1+BQ60)</f>
        <v>0</v>
      </c>
      <c r="AEG60" s="20" t="n">
        <f aca="false">(ALG59-TT60+0)*(1+BQ60)</f>
        <v>0</v>
      </c>
      <c r="AEH60" s="20" t="n">
        <f aca="false">(ALH59-TU60+0)*(1+BQ60)</f>
        <v>0</v>
      </c>
      <c r="AEI60" s="20" t="n">
        <f aca="false">(ALI59-TV60+0)*(1+BQ60)</f>
        <v>0</v>
      </c>
      <c r="AEJ60" s="20" t="n">
        <f aca="false">(ALJ59-TW60+0)*(1+BQ60)</f>
        <v>0</v>
      </c>
      <c r="AEK60" s="20" t="n">
        <f aca="false">(ALK59-TX60+0)*(1+BQ60)</f>
        <v>0</v>
      </c>
      <c r="AEL60" s="20" t="n">
        <f aca="false">(ALL59-TY60+0)*(1+BQ60)</f>
        <v>0</v>
      </c>
      <c r="AEM60" s="20" t="n">
        <f aca="false">(ALM59-TZ60+0)*(1+BQ60)</f>
        <v>0</v>
      </c>
      <c r="AEN60" s="20" t="n">
        <f aca="false">(ALN59-UA60+0)*(1+BQ60)</f>
        <v>0</v>
      </c>
      <c r="AEO60" s="20" t="n">
        <f aca="false">(ALO59-UB60+0)*(1+BQ60)</f>
        <v>0</v>
      </c>
      <c r="AEP60" s="20" t="n">
        <f aca="false">(ALP59-UC60+0)*(1+BQ60)</f>
        <v>0</v>
      </c>
      <c r="AEQ60" s="20" t="n">
        <f aca="false">(ALQ59-UD60+0)*(1+BQ60)</f>
        <v>0</v>
      </c>
      <c r="AER60" s="20" t="n">
        <f aca="false">(ALR59-UE60+0)*(1+BQ60)</f>
        <v>0</v>
      </c>
      <c r="AES60" s="20" t="n">
        <f aca="false">(ALS59-UF60+0)*(1+BQ60)</f>
        <v>0</v>
      </c>
      <c r="AET60" s="20" t="n">
        <f aca="false">(ALT59-UG60+0)*(1+BQ60)</f>
        <v>0</v>
      </c>
      <c r="AEU60" s="20" t="n">
        <f aca="false">(ALU59-UH60+0)*(1+BQ60)</f>
        <v>0</v>
      </c>
      <c r="AEV60" s="20" t="n">
        <f aca="false">(ALV59-UI60+0)*(1+BQ60)</f>
        <v>0</v>
      </c>
      <c r="AEW60" s="20" t="n">
        <f aca="false">(ALW59-UJ60+0)*(1+BQ60)</f>
        <v>0</v>
      </c>
      <c r="AEX60" s="20" t="n">
        <f aca="false">(ALX59-UK60+0)*(1+BQ60)</f>
        <v>0</v>
      </c>
      <c r="AEY60" s="20" t="n">
        <f aca="false">(ALY59-UL60+0)*(1+BQ60)</f>
        <v>0</v>
      </c>
      <c r="AEZ60" s="20" t="n">
        <f aca="false">(ALZ59-UM60+0)*(1+BQ60)</f>
        <v>0</v>
      </c>
      <c r="AFA60" s="20" t="n">
        <f aca="false">(AMA59-UN60+0)*(1+BQ60)</f>
        <v>0</v>
      </c>
      <c r="AFB60" s="20" t="n">
        <f aca="false">(AMB59-UO60+0)*(1+BQ60)</f>
        <v>0</v>
      </c>
      <c r="AFC60" s="20" t="n">
        <f aca="false">(AMC59-UP60+0)*(1+BQ60)</f>
        <v>0</v>
      </c>
      <c r="AFD60" s="20" t="n">
        <f aca="false">(AMD59-UQ60+0)*(1+BQ60)</f>
        <v>0</v>
      </c>
      <c r="AFE60" s="20" t="n">
        <f aca="false">(AME59-UR60+0)*(1+BQ60)</f>
        <v>0</v>
      </c>
      <c r="AFF60" s="20" t="n">
        <f aca="false">(AMF59-US60+0)*(1+BQ60)</f>
        <v>0</v>
      </c>
      <c r="AFG60" s="20" t="n">
        <f aca="false">(AMG59-UT60+0)*(1+BQ60)</f>
        <v>0</v>
      </c>
      <c r="AFH60" s="20" t="n">
        <f aca="false">(AMH59-UU60+0)*(1+BQ60)</f>
        <v>0</v>
      </c>
      <c r="AFI60" s="20" t="n">
        <f aca="false">(AMI59-UV60+0)*(1+BQ60)</f>
        <v>0</v>
      </c>
      <c r="AFJ60" s="20" t="n">
        <f aca="false">(AMJ59-UW60+0)*(1+BQ60)</f>
        <v>0</v>
      </c>
      <c r="AFK60" s="20" t="n">
        <f aca="false">(AMK59-UX60+0)*(1+BQ60)</f>
        <v>0</v>
      </c>
      <c r="AFL60" s="20" t="n">
        <f aca="false">(AML59-UY60+0)*(1+BQ60)</f>
        <v>0</v>
      </c>
      <c r="AFM60" s="20" t="n">
        <f aca="false">(AMM59-UZ60+0)*(1+BQ60)</f>
        <v>0</v>
      </c>
      <c r="AFN60" s="20" t="n">
        <f aca="false">(AMN59-VA60+0)*(1+BQ60)</f>
        <v>0</v>
      </c>
      <c r="AFO60" s="20" t="n">
        <f aca="false">(AMO59-VB60+0)*(1+BQ60)</f>
        <v>0</v>
      </c>
      <c r="AFP60" s="20" t="n">
        <f aca="false">(AMP59-VC60+0)*(1+BQ60)</f>
        <v>0</v>
      </c>
      <c r="AFQ60" s="20" t="n">
        <f aca="false">(AMQ59-VD60+0)*(1+BQ60)</f>
        <v>0</v>
      </c>
      <c r="AFR60" s="20" t="n">
        <f aca="false">(AMR59-VE60+0)*(1+BQ60)</f>
        <v>0</v>
      </c>
      <c r="AFS60" s="20" t="n">
        <f aca="false">((P60+S60)-VF60+BE60)*(1+BQ60)</f>
        <v>0</v>
      </c>
      <c r="AFT60" s="20" t="n">
        <v>0</v>
      </c>
      <c r="AFU60" s="20" t="n">
        <v>0</v>
      </c>
      <c r="AFV60" s="20" t="n">
        <v>0</v>
      </c>
      <c r="AFW60" s="20" t="n">
        <v>0</v>
      </c>
      <c r="AFX60" s="20" t="n">
        <v>0</v>
      </c>
      <c r="AFY60" s="20" t="n">
        <v>0</v>
      </c>
      <c r="AFZ60" s="20" t="n">
        <v>0</v>
      </c>
      <c r="AGA60" s="20" t="n">
        <v>0</v>
      </c>
      <c r="AGB60" s="20" t="n">
        <v>0</v>
      </c>
      <c r="AGC60" s="20" t="n">
        <v>0</v>
      </c>
      <c r="AGD60" s="20" t="n">
        <v>0</v>
      </c>
      <c r="AGE60" s="20" t="n">
        <v>0</v>
      </c>
      <c r="AGF60" s="20" t="n">
        <v>0</v>
      </c>
      <c r="AGG60" s="20" t="n">
        <v>0</v>
      </c>
      <c r="AGH60" s="20" t="n">
        <v>0</v>
      </c>
      <c r="AGI60" s="20" t="n">
        <v>0</v>
      </c>
      <c r="AGJ60" s="20" t="n">
        <v>0</v>
      </c>
      <c r="AGK60" s="20" t="n">
        <v>0</v>
      </c>
      <c r="AGL60" s="20" t="n">
        <v>0</v>
      </c>
      <c r="AGM60" s="20" t="n">
        <v>0</v>
      </c>
      <c r="AGN60" s="20" t="n">
        <v>0</v>
      </c>
      <c r="AGO60" s="20" t="n">
        <v>0</v>
      </c>
      <c r="AGP60" s="20" t="n">
        <v>0</v>
      </c>
      <c r="AGQ60" s="20" t="n">
        <v>0</v>
      </c>
      <c r="AGR60" s="20" t="n">
        <v>0</v>
      </c>
      <c r="AGS60" s="20" t="n">
        <v>0</v>
      </c>
      <c r="AGT60" s="20" t="n">
        <v>0</v>
      </c>
      <c r="AGU60" s="20" t="n">
        <v>0</v>
      </c>
      <c r="AGV60" s="20" t="n">
        <v>0</v>
      </c>
      <c r="AGW60" s="20" t="n">
        <v>0</v>
      </c>
      <c r="AGX60" s="20" t="n">
        <v>0</v>
      </c>
      <c r="AGY60" s="20" t="n">
        <v>0</v>
      </c>
      <c r="AGZ60" s="20" t="n">
        <v>0</v>
      </c>
      <c r="AHA60" s="20" t="n">
        <v>0</v>
      </c>
      <c r="AHB60" s="20" t="n">
        <v>0</v>
      </c>
      <c r="AHC60" s="20" t="n">
        <v>0</v>
      </c>
      <c r="AHD60" s="20" t="n">
        <v>0</v>
      </c>
      <c r="AHE60" s="20" t="n">
        <f aca="false">IF(AKR59&gt;0,AOE59-AOE59*TE60/AKR59,0)+0</f>
        <v>0</v>
      </c>
      <c r="AHF60" s="20" t="n">
        <f aca="false">IF(AKS59&gt;0,AOF59-AOF59*TF60/AKS59,0)+0</f>
        <v>0</v>
      </c>
      <c r="AHG60" s="20" t="n">
        <f aca="false">IF(AKT59&gt;0,AOG59-AOG59*TG60/AKT59,0)+0</f>
        <v>0</v>
      </c>
      <c r="AHH60" s="20" t="n">
        <f aca="false">IF(AKU59&gt;0,AOH59-AOH59*TH60/AKU59,0)+0</f>
        <v>0</v>
      </c>
      <c r="AHI60" s="20" t="n">
        <f aca="false">IF(AKV59&gt;0,AOI59-AOI59*TI60/AKV59,0)+0</f>
        <v>0</v>
      </c>
      <c r="AHJ60" s="20" t="n">
        <f aca="false">IF(AKW59&gt;0,AOJ59-AOJ59*TJ60/AKW59,0)+0</f>
        <v>0</v>
      </c>
      <c r="AHK60" s="20" t="n">
        <f aca="false">IF(AKX59&gt;0,AOK59-AOK59*TK60/AKX59,0)+0</f>
        <v>0</v>
      </c>
      <c r="AHL60" s="20" t="n">
        <f aca="false">IF(AKY59&gt;0,AOL59-AOL59*TL60/AKY59,0)+0</f>
        <v>0</v>
      </c>
      <c r="AHM60" s="20" t="n">
        <f aca="false">IF(AKZ59&gt;0,AOM59-AOM59*TM60/AKZ59,0)+0</f>
        <v>0</v>
      </c>
      <c r="AHN60" s="20" t="n">
        <f aca="false">IF(ALA59&gt;0,AON59-AON59*TN60/ALA59,0)+0</f>
        <v>0</v>
      </c>
      <c r="AHO60" s="20" t="n">
        <f aca="false">IF(ALB59&gt;0,AOO59-AOO59*TO60/ALB59,0)+0</f>
        <v>0</v>
      </c>
      <c r="AHP60" s="20" t="n">
        <f aca="false">IF(ALC59&gt;0,AOP59-AOP59*TP60/ALC59,0)+0</f>
        <v>0</v>
      </c>
      <c r="AHQ60" s="20" t="n">
        <f aca="false">IF(ALD59&gt;0,AOQ59-AOQ59*TQ60/ALD59,0)+0</f>
        <v>0</v>
      </c>
      <c r="AHR60" s="20" t="n">
        <f aca="false">IF(ALE59&gt;0,AOR59-AOR59*TR60/ALE59,0)+0</f>
        <v>0</v>
      </c>
      <c r="AHS60" s="20" t="n">
        <f aca="false">IF(ALF59&gt;0,AOS59-AOS59*TS60/ALF59,0)+0</f>
        <v>0</v>
      </c>
      <c r="AHT60" s="20" t="n">
        <f aca="false">IF(ALG59&gt;0,AOT59-AOT59*TT60/ALG59,0)+0</f>
        <v>0</v>
      </c>
      <c r="AHU60" s="20" t="n">
        <f aca="false">IF(ALH59&gt;0,AOU59-AOU59*TU60/ALH59,0)+0</f>
        <v>0</v>
      </c>
      <c r="AHV60" s="20" t="n">
        <f aca="false">IF(ALI59&gt;0,AOV59-AOV59*TV60/ALI59,0)+0</f>
        <v>0</v>
      </c>
      <c r="AHW60" s="20" t="n">
        <f aca="false">IF(ALJ59&gt;0,AOW59-AOW59*TW60/ALJ59,0)+0</f>
        <v>0</v>
      </c>
      <c r="AHX60" s="20" t="n">
        <f aca="false">IF(ALK59&gt;0,AOX59-AOX59*TX60/ALK59,0)+0</f>
        <v>0</v>
      </c>
      <c r="AHY60" s="20" t="n">
        <f aca="false">IF(ALL59&gt;0,AOY59-AOY59*TY60/ALL59,0)+0</f>
        <v>0</v>
      </c>
      <c r="AHZ60" s="20" t="n">
        <f aca="false">IF(ALM59&gt;0,AOZ59-AOZ59*TZ60/ALM59,0)+0</f>
        <v>0</v>
      </c>
      <c r="AIA60" s="20" t="n">
        <f aca="false">IF(ALN59&gt;0,APA59-APA59*UA60/ALN59,0)+0</f>
        <v>0</v>
      </c>
      <c r="AIB60" s="20" t="n">
        <f aca="false">IF(ALO59&gt;0,APB59-APB59*UB60/ALO59,0)+0</f>
        <v>0</v>
      </c>
      <c r="AIC60" s="20" t="n">
        <f aca="false">IF(ALP59&gt;0,APC59-APC59*UC60/ALP59,0)+0</f>
        <v>0</v>
      </c>
      <c r="AID60" s="20" t="n">
        <f aca="false">IF(ALQ59&gt;0,APD59-APD59*UD60/ALQ59,0)+0</f>
        <v>0</v>
      </c>
      <c r="AIE60" s="20" t="n">
        <f aca="false">IF(ALR59&gt;0,APE59-APE59*UE60/ALR59,0)+0</f>
        <v>0</v>
      </c>
      <c r="AIF60" s="20" t="n">
        <f aca="false">IF(ALS59&gt;0,APF59-APF59*UF60/ALS59,0)+0</f>
        <v>0</v>
      </c>
      <c r="AIG60" s="20" t="n">
        <f aca="false">IF(ALT59&gt;0,APG59-APG59*UG60/ALT59,0)+0</f>
        <v>0</v>
      </c>
      <c r="AIH60" s="20" t="n">
        <f aca="false">IF(ALU59&gt;0,APH59-APH59*UH60/ALU59,0)+0</f>
        <v>0</v>
      </c>
      <c r="AII60" s="20" t="n">
        <f aca="false">IF(ALV59&gt;0,API59-API59*UI60/ALV59,0)+0</f>
        <v>0</v>
      </c>
      <c r="AIJ60" s="20" t="n">
        <f aca="false">IF(ALW59&gt;0,APJ59-APJ59*UJ60/ALW59,0)+0</f>
        <v>0</v>
      </c>
      <c r="AIK60" s="20" t="n">
        <f aca="false">IF(ALX59&gt;0,APK59-APK59*UK60/ALX59,0)+0</f>
        <v>0</v>
      </c>
      <c r="AIL60" s="20" t="n">
        <f aca="false">IF(ALY59&gt;0,APL59-APL59*UL60/ALY59,0)+0</f>
        <v>0</v>
      </c>
      <c r="AIM60" s="20" t="n">
        <f aca="false">IF(ALZ59&gt;0,APM59-APM59*UM60/ALZ59,0)+0</f>
        <v>0</v>
      </c>
      <c r="AIN60" s="20" t="n">
        <f aca="false">IF(AMA59&gt;0,APN59-APN59*UN60/AMA59,0)+0</f>
        <v>0</v>
      </c>
      <c r="AIO60" s="20" t="n">
        <f aca="false">IF(AMB59&gt;0,APO59-APO59*UO60/AMB59,0)+0</f>
        <v>0</v>
      </c>
      <c r="AIP60" s="20" t="n">
        <f aca="false">IF(AMC59&gt;0,APP59-APP59*UP60/AMC59,0)+0</f>
        <v>0</v>
      </c>
      <c r="AIQ60" s="20" t="n">
        <f aca="false">IF(AMD59&gt;0,APQ59-APQ59*UQ60/AMD59,0)+0</f>
        <v>0</v>
      </c>
      <c r="AIR60" s="20" t="n">
        <f aca="false">IF(AME59&gt;0,APR59-APR59*UR60/AME59,0)+0</f>
        <v>0</v>
      </c>
      <c r="AIS60" s="20" t="n">
        <f aca="false">IF(AMF59&gt;0,APS59-APS59*US60/AMF59,0)+0</f>
        <v>0</v>
      </c>
      <c r="AIT60" s="20" t="n">
        <f aca="false">IF(AMG59&gt;0,APT59-APT59*UT60/AMG59,0)+0</f>
        <v>0</v>
      </c>
      <c r="AIU60" s="20" t="n">
        <f aca="false">IF(AMH59&gt;0,APU59-APU59*UU60/AMH59,0)+0</f>
        <v>0</v>
      </c>
      <c r="AIV60" s="20" t="n">
        <f aca="false">IF(AMI59&gt;0,APV59-APV59*UV60/AMI59,0)+0</f>
        <v>0</v>
      </c>
      <c r="AIW60" s="20" t="n">
        <f aca="false">IF(AMJ59&gt;0,APW59-APW59*UW60/AMJ59,0)+0</f>
        <v>0</v>
      </c>
      <c r="AIX60" s="20" t="n">
        <f aca="false">IF(AMK59&gt;0,APX59-APX59*UX60/AMK59,0)+0</f>
        <v>0</v>
      </c>
      <c r="AIY60" s="20" t="n">
        <f aca="false">IF(AML59&gt;0,APY59-APY59*UY60/AML59,0)+0</f>
        <v>0</v>
      </c>
      <c r="AIZ60" s="20" t="n">
        <f aca="false">IF(AMM59&gt;0,APZ59-APZ59*UZ60/AMM59,0)+0</f>
        <v>0</v>
      </c>
      <c r="AJA60" s="20" t="n">
        <f aca="false">IF(AMN59&gt;0,AQA59-AQA59*VA60/AMN59,0)+0</f>
        <v>0</v>
      </c>
      <c r="AJB60" s="20" t="n">
        <f aca="false">IF(AMO59&gt;0,AQB59-AQB59*VB60/AMO59,0)+0</f>
        <v>0</v>
      </c>
      <c r="AJC60" s="20" t="n">
        <f aca="false">IF(AMP59&gt;0,AQC59-AQC59*VC60/AMP59,0)+0</f>
        <v>0</v>
      </c>
      <c r="AJD60" s="20" t="n">
        <f aca="false">IF(AMQ59&gt;0,AQD59-AQD59*VD60/AMQ59,0)+0</f>
        <v>0</v>
      </c>
      <c r="AJE60" s="20" t="n">
        <f aca="false">IF(AMR59&gt;0,AQE59-AQE59*VE60/AMR59,0)+0</f>
        <v>0</v>
      </c>
      <c r="AJF60" s="20" t="n">
        <f aca="false">IF((P60+S60)&gt;0,(P60+S60)-(P60+S60)*VF60/(P60+S60),0)+BE60</f>
        <v>0</v>
      </c>
      <c r="AJG60" s="20" t="n">
        <v>0</v>
      </c>
      <c r="AJH60" s="20" t="n">
        <v>0</v>
      </c>
      <c r="AJI60" s="20" t="n">
        <v>0</v>
      </c>
      <c r="AJJ60" s="20" t="n">
        <v>0</v>
      </c>
      <c r="AJK60" s="20" t="n">
        <v>0</v>
      </c>
      <c r="AJL60" s="20" t="n">
        <v>0</v>
      </c>
      <c r="AJM60" s="20" t="n">
        <v>0</v>
      </c>
      <c r="AJN60" s="20" t="n">
        <v>0</v>
      </c>
      <c r="AJO60" s="20" t="n">
        <v>0</v>
      </c>
      <c r="AJP60" s="20" t="n">
        <v>0</v>
      </c>
      <c r="AJQ60" s="20" t="n">
        <v>0</v>
      </c>
      <c r="AJR60" s="20" t="n">
        <v>0</v>
      </c>
      <c r="AJS60" s="20" t="n">
        <v>0</v>
      </c>
      <c r="AJT60" s="20" t="n">
        <v>0</v>
      </c>
      <c r="AJU60" s="20" t="n">
        <v>0</v>
      </c>
      <c r="AJV60" s="20" t="n">
        <v>0</v>
      </c>
      <c r="AJW60" s="20" t="n">
        <v>0</v>
      </c>
      <c r="AJX60" s="20" t="n">
        <v>0</v>
      </c>
      <c r="AJY60" s="20" t="n">
        <v>0</v>
      </c>
      <c r="AJZ60" s="20" t="n">
        <v>0</v>
      </c>
      <c r="AKA60" s="20" t="n">
        <v>0</v>
      </c>
      <c r="AKB60" s="20" t="n">
        <v>0</v>
      </c>
      <c r="AKC60" s="20" t="n">
        <v>0</v>
      </c>
      <c r="AKD60" s="20" t="n">
        <v>0</v>
      </c>
      <c r="AKE60" s="20" t="n">
        <v>0</v>
      </c>
      <c r="AKF60" s="20" t="n">
        <v>0</v>
      </c>
      <c r="AKG60" s="20" t="n">
        <v>0</v>
      </c>
      <c r="AKH60" s="20" t="n">
        <v>0</v>
      </c>
      <c r="AKI60" s="20" t="n">
        <v>0</v>
      </c>
      <c r="AKJ60" s="20" t="n">
        <v>0</v>
      </c>
      <c r="AKK60" s="20" t="n">
        <v>0</v>
      </c>
      <c r="AKL60" s="20" t="n">
        <v>0</v>
      </c>
      <c r="AKM60" s="20" t="n">
        <v>0</v>
      </c>
      <c r="AKN60" s="20" t="n">
        <v>0</v>
      </c>
      <c r="AKO60" s="20" t="n">
        <v>0</v>
      </c>
      <c r="AKP60" s="20" t="n">
        <v>0</v>
      </c>
      <c r="AKQ60" s="20" t="n">
        <v>0</v>
      </c>
      <c r="AKR60" s="20" t="n">
        <f aca="false">ADR60-AVE60</f>
        <v>0</v>
      </c>
      <c r="AKS60" s="20" t="n">
        <f aca="false">ADS60-AVF60</f>
        <v>0</v>
      </c>
      <c r="AKT60" s="20" t="n">
        <f aca="false">ADT60-AVG60</f>
        <v>0</v>
      </c>
      <c r="AKU60" s="20" t="n">
        <f aca="false">ADU60-AVH60</f>
        <v>0</v>
      </c>
      <c r="AKV60" s="20" t="n">
        <f aca="false">ADV60-AVI60</f>
        <v>0</v>
      </c>
      <c r="AKW60" s="20" t="n">
        <f aca="false">ADW60-AVJ60</f>
        <v>0</v>
      </c>
      <c r="AKX60" s="20" t="n">
        <f aca="false">ADX60-AVK60</f>
        <v>0</v>
      </c>
      <c r="AKY60" s="20" t="n">
        <f aca="false">ADY60-AVL60</f>
        <v>0</v>
      </c>
      <c r="AKZ60" s="20" t="n">
        <f aca="false">ADZ60-AVM60</f>
        <v>0</v>
      </c>
      <c r="ALA60" s="20" t="n">
        <f aca="false">AEA60-AVN60</f>
        <v>0</v>
      </c>
      <c r="ALB60" s="20" t="n">
        <f aca="false">AEB60-AVO60</f>
        <v>0</v>
      </c>
      <c r="ALC60" s="20" t="n">
        <f aca="false">AEC60-AVP60</f>
        <v>0</v>
      </c>
      <c r="ALD60" s="20" t="n">
        <f aca="false">AED60-AVQ60</f>
        <v>0</v>
      </c>
      <c r="ALE60" s="20" t="n">
        <f aca="false">AEE60-AVR60</f>
        <v>0</v>
      </c>
      <c r="ALF60" s="20" t="n">
        <f aca="false">AEF60-AVS60</f>
        <v>0</v>
      </c>
      <c r="ALG60" s="20" t="n">
        <f aca="false">AEG60-AVT60</f>
        <v>0</v>
      </c>
      <c r="ALH60" s="20" t="n">
        <f aca="false">AEH60-AVU60</f>
        <v>0</v>
      </c>
      <c r="ALI60" s="20" t="n">
        <f aca="false">AEI60-AVV60</f>
        <v>0</v>
      </c>
      <c r="ALJ60" s="20" t="n">
        <f aca="false">AEJ60-AVW60</f>
        <v>0</v>
      </c>
      <c r="ALK60" s="20" t="n">
        <f aca="false">AEK60-AVX60</f>
        <v>0</v>
      </c>
      <c r="ALL60" s="20" t="n">
        <f aca="false">AEL60-AVY60</f>
        <v>0</v>
      </c>
      <c r="ALM60" s="20" t="n">
        <f aca="false">AEM60-AVZ60</f>
        <v>0</v>
      </c>
      <c r="ALN60" s="20" t="n">
        <f aca="false">AEN60-AWA60</f>
        <v>0</v>
      </c>
      <c r="ALO60" s="20" t="n">
        <f aca="false">AEO60-AWB60</f>
        <v>0</v>
      </c>
      <c r="ALP60" s="20" t="n">
        <f aca="false">AEP60-AWC60</f>
        <v>0</v>
      </c>
      <c r="ALQ60" s="20" t="n">
        <f aca="false">AEQ60-AWD60</f>
        <v>0</v>
      </c>
      <c r="ALR60" s="20" t="n">
        <f aca="false">AER60-AWE60</f>
        <v>0</v>
      </c>
      <c r="ALS60" s="20" t="n">
        <f aca="false">AES60-AWF60</f>
        <v>0</v>
      </c>
      <c r="ALT60" s="20" t="n">
        <f aca="false">AET60-AWG60</f>
        <v>0</v>
      </c>
      <c r="ALU60" s="20" t="n">
        <f aca="false">AEU60-AWH60</f>
        <v>0</v>
      </c>
      <c r="ALV60" s="20" t="n">
        <f aca="false">AEV60-AWI60</f>
        <v>0</v>
      </c>
      <c r="ALW60" s="20" t="n">
        <f aca="false">AEW60-AWJ60</f>
        <v>0</v>
      </c>
      <c r="ALX60" s="20" t="n">
        <f aca="false">AEX60-AWK60</f>
        <v>0</v>
      </c>
      <c r="ALY60" s="20" t="n">
        <f aca="false">AEY60-AWL60</f>
        <v>0</v>
      </c>
      <c r="ALZ60" s="20" t="n">
        <f aca="false">AEZ60-AWM60</f>
        <v>0</v>
      </c>
      <c r="AMA60" s="20" t="n">
        <f aca="false">AFA60-AWN60</f>
        <v>0</v>
      </c>
      <c r="AMB60" s="20" t="n">
        <f aca="false">AFB60-AWO60</f>
        <v>0</v>
      </c>
      <c r="AMC60" s="20" t="n">
        <f aca="false">AFC60-AWP60</f>
        <v>0</v>
      </c>
      <c r="AMD60" s="20" t="n">
        <f aca="false">AFD60-AWQ60</f>
        <v>0</v>
      </c>
      <c r="AME60" s="20" t="n">
        <f aca="false">AFE60-AWR60</f>
        <v>0</v>
      </c>
      <c r="AMF60" s="20" t="n">
        <f aca="false">AFF60-AWS60</f>
        <v>0</v>
      </c>
      <c r="AMG60" s="20" t="n">
        <f aca="false">AFG60-AWT60</f>
        <v>0</v>
      </c>
      <c r="AMH60" s="20" t="n">
        <f aca="false">AFH60-AWU60</f>
        <v>0</v>
      </c>
      <c r="AMI60" s="20" t="n">
        <f aca="false">AFI60-AWV60</f>
        <v>0</v>
      </c>
      <c r="AMJ60" s="20" t="n">
        <f aca="false">AFJ60-AWW60</f>
        <v>0</v>
      </c>
      <c r="AMK60" s="20" t="n">
        <f aca="false">AFK60-AWX60</f>
        <v>0</v>
      </c>
      <c r="AML60" s="20" t="n">
        <f aca="false">AFL60-AWY60</f>
        <v>0</v>
      </c>
      <c r="AMM60" s="20" t="n">
        <f aca="false">AFM60-AWZ60</f>
        <v>0</v>
      </c>
      <c r="AMN60" s="20" t="n">
        <f aca="false">AFN60-AXA60</f>
        <v>0</v>
      </c>
      <c r="AMO60" s="20" t="n">
        <f aca="false">AFO60-AXB60</f>
        <v>0</v>
      </c>
      <c r="AMP60" s="20" t="n">
        <f aca="false">AFP60-AXC60</f>
        <v>0</v>
      </c>
      <c r="AMQ60" s="20" t="n">
        <f aca="false">AFQ60-AXD60</f>
        <v>0</v>
      </c>
      <c r="AMR60" s="20" t="n">
        <f aca="false">AFR60-AXE60</f>
        <v>0</v>
      </c>
      <c r="AMS60" s="20" t="n">
        <f aca="false">AFS60-AXF60</f>
        <v>0</v>
      </c>
      <c r="AMT60" s="20" t="n">
        <v>0</v>
      </c>
      <c r="AMU60" s="20" t="n">
        <v>0</v>
      </c>
      <c r="AMV60" s="20" t="n">
        <v>0</v>
      </c>
      <c r="AMW60" s="20" t="n">
        <v>0</v>
      </c>
      <c r="AMX60" s="20" t="n">
        <v>0</v>
      </c>
      <c r="AMY60" s="20" t="n">
        <v>0</v>
      </c>
      <c r="AMZ60" s="20" t="n">
        <v>0</v>
      </c>
      <c r="ANA60" s="20" t="n">
        <v>0</v>
      </c>
      <c r="ANB60" s="20" t="n">
        <v>0</v>
      </c>
      <c r="ANC60" s="20" t="n">
        <v>0</v>
      </c>
      <c r="AND60" s="20" t="n">
        <v>0</v>
      </c>
      <c r="ANE60" s="20" t="n">
        <v>0</v>
      </c>
      <c r="ANF60" s="20" t="n">
        <v>0</v>
      </c>
      <c r="ANG60" s="20" t="n">
        <v>0</v>
      </c>
      <c r="ANH60" s="20" t="n">
        <v>0</v>
      </c>
      <c r="ANI60" s="20" t="n">
        <v>0</v>
      </c>
      <c r="ANJ60" s="20" t="n">
        <v>0</v>
      </c>
      <c r="ANK60" s="20" t="n">
        <v>0</v>
      </c>
      <c r="ANL60" s="20" t="n">
        <v>0</v>
      </c>
      <c r="ANM60" s="20" t="n">
        <v>0</v>
      </c>
      <c r="ANN60" s="20" t="n">
        <v>0</v>
      </c>
      <c r="ANO60" s="20" t="n">
        <v>0</v>
      </c>
      <c r="ANP60" s="20" t="n">
        <v>0</v>
      </c>
      <c r="ANQ60" s="20" t="n">
        <v>0</v>
      </c>
      <c r="ANR60" s="20" t="n">
        <v>0</v>
      </c>
      <c r="ANS60" s="20" t="n">
        <v>0</v>
      </c>
      <c r="ANT60" s="20" t="n">
        <v>0</v>
      </c>
      <c r="ANU60" s="20" t="n">
        <v>0</v>
      </c>
      <c r="ANV60" s="20" t="n">
        <v>0</v>
      </c>
      <c r="ANW60" s="20" t="n">
        <v>0</v>
      </c>
      <c r="ANX60" s="20" t="n">
        <v>0</v>
      </c>
      <c r="ANY60" s="20" t="n">
        <v>0</v>
      </c>
      <c r="ANZ60" s="20" t="n">
        <v>0</v>
      </c>
      <c r="AOA60" s="20" t="n">
        <v>0</v>
      </c>
      <c r="AOB60" s="20" t="n">
        <v>0</v>
      </c>
      <c r="AOC60" s="20" t="n">
        <v>0</v>
      </c>
      <c r="AOD60" s="20" t="n">
        <v>0</v>
      </c>
      <c r="AOE60" s="20" t="n">
        <f aca="false">IF(AND(H_Direct=0,H_TaxEvt=1,ARR59+1&gt;=H_Deemed),AKR60,AHE60)</f>
        <v>0</v>
      </c>
      <c r="AOF60" s="20" t="n">
        <f aca="false">IF(AND(H_Direct=0,H_TaxEvt=1,ARS59+1&gt;=H_Deemed),AKS60,AHF60)</f>
        <v>0</v>
      </c>
      <c r="AOG60" s="20" t="n">
        <f aca="false">IF(AND(H_Direct=0,H_TaxEvt=1,ART59+1&gt;=H_Deemed),AKT60,AHG60)</f>
        <v>0</v>
      </c>
      <c r="AOH60" s="20" t="n">
        <f aca="false">IF(AND(H_Direct=0,H_TaxEvt=1,ARU59+1&gt;=H_Deemed),AKU60,AHH60)</f>
        <v>0</v>
      </c>
      <c r="AOI60" s="20" t="n">
        <f aca="false">IF(AND(H_Direct=0,H_TaxEvt=1,ARV59+1&gt;=H_Deemed),AKV60,AHI60)</f>
        <v>0</v>
      </c>
      <c r="AOJ60" s="20" t="n">
        <f aca="false">IF(AND(H_Direct=0,H_TaxEvt=1,ARW59+1&gt;=H_Deemed),AKW60,AHJ60)</f>
        <v>0</v>
      </c>
      <c r="AOK60" s="20" t="n">
        <f aca="false">IF(AND(H_Direct=0,H_TaxEvt=1,ARX59+1&gt;=H_Deemed),AKX60,AHK60)</f>
        <v>0</v>
      </c>
      <c r="AOL60" s="20" t="n">
        <f aca="false">IF(AND(H_Direct=0,H_TaxEvt=1,ARY59+1&gt;=H_Deemed),AKY60,AHL60)</f>
        <v>0</v>
      </c>
      <c r="AOM60" s="20" t="n">
        <f aca="false">IF(AND(H_Direct=0,H_TaxEvt=1,ARZ59+1&gt;=H_Deemed),AKZ60,AHM60)</f>
        <v>0</v>
      </c>
      <c r="AON60" s="20" t="n">
        <f aca="false">IF(AND(H_Direct=0,H_TaxEvt=1,ASA59+1&gt;=H_Deemed),ALA60,AHN60)</f>
        <v>0</v>
      </c>
      <c r="AOO60" s="20" t="n">
        <f aca="false">IF(AND(H_Direct=0,H_TaxEvt=1,ASB59+1&gt;=H_Deemed),ALB60,AHO60)</f>
        <v>0</v>
      </c>
      <c r="AOP60" s="20" t="n">
        <f aca="false">IF(AND(H_Direct=0,H_TaxEvt=1,ASC59+1&gt;=H_Deemed),ALC60,AHP60)</f>
        <v>0</v>
      </c>
      <c r="AOQ60" s="20" t="n">
        <f aca="false">IF(AND(H_Direct=0,H_TaxEvt=1,ASD59+1&gt;=H_Deemed),ALD60,AHQ60)</f>
        <v>0</v>
      </c>
      <c r="AOR60" s="20" t="n">
        <f aca="false">IF(AND(H_Direct=0,H_TaxEvt=1,ASE59+1&gt;=H_Deemed),ALE60,AHR60)</f>
        <v>0</v>
      </c>
      <c r="AOS60" s="20" t="n">
        <f aca="false">IF(AND(H_Direct=0,H_TaxEvt=1,ASF59+1&gt;=H_Deemed),ALF60,AHS60)</f>
        <v>0</v>
      </c>
      <c r="AOT60" s="20" t="n">
        <f aca="false">IF(AND(H_Direct=0,H_TaxEvt=1,ASG59+1&gt;=H_Deemed),ALG60,AHT60)</f>
        <v>0</v>
      </c>
      <c r="AOU60" s="20" t="n">
        <f aca="false">IF(AND(H_Direct=0,H_TaxEvt=1,ASH59+1&gt;=H_Deemed),ALH60,AHU60)</f>
        <v>0</v>
      </c>
      <c r="AOV60" s="20" t="n">
        <f aca="false">IF(AND(H_Direct=0,H_TaxEvt=1,ASI59+1&gt;=H_Deemed),ALI60,AHV60)</f>
        <v>0</v>
      </c>
      <c r="AOW60" s="20" t="n">
        <f aca="false">IF(AND(H_Direct=0,H_TaxEvt=1,ASJ59+1&gt;=H_Deemed),ALJ60,AHW60)</f>
        <v>0</v>
      </c>
      <c r="AOX60" s="20" t="n">
        <f aca="false">IF(AND(H_Direct=0,H_TaxEvt=1,ASK59+1&gt;=H_Deemed),ALK60,AHX60)</f>
        <v>0</v>
      </c>
      <c r="AOY60" s="20" t="n">
        <f aca="false">IF(AND(H_Direct=0,H_TaxEvt=1,ASL59+1&gt;=H_Deemed),ALL60,AHY60)</f>
        <v>0</v>
      </c>
      <c r="AOZ60" s="20" t="n">
        <f aca="false">IF(AND(H_Direct=0,H_TaxEvt=1,ASM59+1&gt;=H_Deemed),ALM60,AHZ60)</f>
        <v>0</v>
      </c>
      <c r="APA60" s="20" t="n">
        <f aca="false">IF(AND(H_Direct=0,H_TaxEvt=1,ASN59+1&gt;=H_Deemed),ALN60,AIA60)</f>
        <v>0</v>
      </c>
      <c r="APB60" s="20" t="n">
        <f aca="false">IF(AND(H_Direct=0,H_TaxEvt=1,ASO59+1&gt;=H_Deemed),ALO60,AIB60)</f>
        <v>0</v>
      </c>
      <c r="APC60" s="20" t="n">
        <f aca="false">IF(AND(H_Direct=0,H_TaxEvt=1,ASP59+1&gt;=H_Deemed),ALP60,AIC60)</f>
        <v>0</v>
      </c>
      <c r="APD60" s="20" t="n">
        <f aca="false">IF(AND(H_Direct=0,H_TaxEvt=1,ASQ59+1&gt;=H_Deemed),ALQ60,AID60)</f>
        <v>0</v>
      </c>
      <c r="APE60" s="20" t="n">
        <f aca="false">IF(AND(H_Direct=0,H_TaxEvt=1,ASR59+1&gt;=H_Deemed),ALR60,AIE60)</f>
        <v>0</v>
      </c>
      <c r="APF60" s="20" t="n">
        <f aca="false">IF(AND(H_Direct=0,H_TaxEvt=1,ASS59+1&gt;=H_Deemed),ALS60,AIF60)</f>
        <v>0</v>
      </c>
      <c r="APG60" s="20" t="n">
        <f aca="false">IF(AND(H_Direct=0,H_TaxEvt=1,AST59+1&gt;=H_Deemed),ALT60,AIG60)</f>
        <v>0</v>
      </c>
      <c r="APH60" s="20" t="n">
        <f aca="false">IF(AND(H_Direct=0,H_TaxEvt=1,ASU59+1&gt;=H_Deemed),ALU60,AIH60)</f>
        <v>0</v>
      </c>
      <c r="API60" s="20" t="n">
        <f aca="false">IF(AND(H_Direct=0,H_TaxEvt=1,ASV59+1&gt;=H_Deemed),ALV60,AII60)</f>
        <v>0</v>
      </c>
      <c r="APJ60" s="20" t="n">
        <f aca="false">IF(AND(H_Direct=0,H_TaxEvt=1,ASW59+1&gt;=H_Deemed),ALW60,AIJ60)</f>
        <v>0</v>
      </c>
      <c r="APK60" s="20" t="n">
        <f aca="false">IF(AND(H_Direct=0,H_TaxEvt=1,ASX59+1&gt;=H_Deemed),ALX60,AIK60)</f>
        <v>0</v>
      </c>
      <c r="APL60" s="20" t="n">
        <f aca="false">IF(AND(H_Direct=0,H_TaxEvt=1,ASY59+1&gt;=H_Deemed),ALY60,AIL60)</f>
        <v>0</v>
      </c>
      <c r="APM60" s="20" t="n">
        <f aca="false">IF(AND(H_Direct=0,H_TaxEvt=1,ASZ59+1&gt;=H_Deemed),ALZ60,AIM60)</f>
        <v>0</v>
      </c>
      <c r="APN60" s="20" t="n">
        <f aca="false">IF(AND(H_Direct=0,H_TaxEvt=1,ATA59+1&gt;=H_Deemed),AMA60,AIN60)</f>
        <v>0</v>
      </c>
      <c r="APO60" s="20" t="n">
        <f aca="false">IF(AND(H_Direct=0,H_TaxEvt=1,ATB59+1&gt;=H_Deemed),AMB60,AIO60)</f>
        <v>0</v>
      </c>
      <c r="APP60" s="20" t="n">
        <f aca="false">IF(AND(H_Direct=0,H_TaxEvt=1,ATC59+1&gt;=H_Deemed),AMC60,AIP60)</f>
        <v>0</v>
      </c>
      <c r="APQ60" s="20" t="n">
        <f aca="false">IF(AND(H_Direct=0,H_TaxEvt=1,ATD59+1&gt;=H_Deemed),AMD60,AIQ60)</f>
        <v>0</v>
      </c>
      <c r="APR60" s="20" t="n">
        <f aca="false">IF(AND(H_Direct=0,H_TaxEvt=1,ATE59+1&gt;=H_Deemed),AME60,AIR60)</f>
        <v>0</v>
      </c>
      <c r="APS60" s="20" t="n">
        <f aca="false">IF(AND(H_Direct=0,H_TaxEvt=1,ATF59+1&gt;=H_Deemed),AMF60,AIS60)</f>
        <v>0</v>
      </c>
      <c r="APT60" s="20" t="n">
        <f aca="false">IF(AND(H_Direct=0,H_TaxEvt=1,ATG59+1&gt;=H_Deemed),AMG60,AIT60)</f>
        <v>0</v>
      </c>
      <c r="APU60" s="20" t="n">
        <f aca="false">IF(AND(H_Direct=0,H_TaxEvt=1,ATH59+1&gt;=H_Deemed),AMH60,AIU60)</f>
        <v>0</v>
      </c>
      <c r="APV60" s="20" t="n">
        <f aca="false">IF(AND(H_Direct=0,H_TaxEvt=1,ATI59+1&gt;=H_Deemed),AMI60,AIV60)</f>
        <v>0</v>
      </c>
      <c r="APW60" s="20" t="n">
        <f aca="false">IF(AND(H_Direct=0,H_TaxEvt=1,ATJ59+1&gt;=H_Deemed),AMJ60,AIW60)</f>
        <v>0</v>
      </c>
      <c r="APX60" s="20" t="n">
        <f aca="false">IF(AND(H_Direct=0,H_TaxEvt=1,ATK59+1&gt;=H_Deemed),AMK60,AIX60)</f>
        <v>0</v>
      </c>
      <c r="APY60" s="20" t="n">
        <f aca="false">IF(AND(H_Direct=0,H_TaxEvt=1,ATL59+1&gt;=H_Deemed),AML60,AIY60)</f>
        <v>0</v>
      </c>
      <c r="APZ60" s="20" t="n">
        <f aca="false">IF(AND(H_Direct=0,H_TaxEvt=1,ATM59+1&gt;=H_Deemed),AMM60,AIZ60)</f>
        <v>0</v>
      </c>
      <c r="AQA60" s="20" t="n">
        <f aca="false">IF(AND(H_Direct=0,H_TaxEvt=1,ATN59+1&gt;=H_Deemed),AMN60,AJA60)</f>
        <v>0</v>
      </c>
      <c r="AQB60" s="20" t="n">
        <f aca="false">IF(AND(H_Direct=0,H_TaxEvt=1,ATO59+1&gt;=H_Deemed),AMO60,AJB60)</f>
        <v>0</v>
      </c>
      <c r="AQC60" s="20" t="n">
        <f aca="false">IF(AND(H_Direct=0,H_TaxEvt=1,ATP59+1&gt;=H_Deemed),AMP60,AJC60)</f>
        <v>0</v>
      </c>
      <c r="AQD60" s="20" t="n">
        <f aca="false">IF(AND(H_Direct=0,H_TaxEvt=1,ATQ59+1&gt;=H_Deemed),AMQ60,AJD60)</f>
        <v>0</v>
      </c>
      <c r="AQE60" s="20" t="n">
        <f aca="false">IF(AND(H_Direct=0,H_TaxEvt=1,ATR59+1&gt;=H_Deemed),AMR60,AJE60)</f>
        <v>0</v>
      </c>
      <c r="AQF60" s="20" t="n">
        <f aca="false">IF(AND(H_Direct=0,H_TaxEvt=1,0+1&gt;=H_Deemed),AMS60,AJF60)</f>
        <v>0</v>
      </c>
      <c r="AQG60" s="20" t="n">
        <v>0</v>
      </c>
      <c r="AQH60" s="20" t="n">
        <v>0</v>
      </c>
      <c r="AQI60" s="20" t="n">
        <v>0</v>
      </c>
      <c r="AQJ60" s="20" t="n">
        <v>0</v>
      </c>
      <c r="AQK60" s="20" t="n">
        <v>0</v>
      </c>
      <c r="AQL60" s="20" t="n">
        <v>0</v>
      </c>
      <c r="AQM60" s="20" t="n">
        <v>0</v>
      </c>
      <c r="AQN60" s="20" t="n">
        <v>0</v>
      </c>
      <c r="AQO60" s="20" t="n">
        <v>0</v>
      </c>
      <c r="AQP60" s="20" t="n">
        <v>0</v>
      </c>
      <c r="AQQ60" s="20" t="n">
        <v>0</v>
      </c>
      <c r="AQR60" s="20" t="n">
        <v>0</v>
      </c>
      <c r="AQS60" s="20" t="n">
        <v>0</v>
      </c>
      <c r="AQT60" s="20" t="n">
        <v>0</v>
      </c>
      <c r="AQU60" s="20" t="n">
        <v>0</v>
      </c>
      <c r="AQV60" s="20" t="n">
        <v>0</v>
      </c>
      <c r="AQW60" s="20" t="n">
        <v>0</v>
      </c>
      <c r="AQX60" s="20" t="n">
        <v>0</v>
      </c>
      <c r="AQY60" s="20" t="n">
        <v>0</v>
      </c>
      <c r="AQZ60" s="20" t="n">
        <v>0</v>
      </c>
      <c r="ARA60" s="20" t="n">
        <v>0</v>
      </c>
      <c r="ARB60" s="20" t="n">
        <v>0</v>
      </c>
      <c r="ARC60" s="20" t="n">
        <v>0</v>
      </c>
      <c r="ARD60" s="20" t="n">
        <v>0</v>
      </c>
      <c r="ARE60" s="20" t="n">
        <v>0</v>
      </c>
      <c r="ARF60" s="20" t="n">
        <v>0</v>
      </c>
      <c r="ARG60" s="20" t="n">
        <v>0</v>
      </c>
      <c r="ARH60" s="20" t="n">
        <v>0</v>
      </c>
      <c r="ARI60" s="20" t="n">
        <v>0</v>
      </c>
      <c r="ARJ60" s="20" t="n">
        <v>0</v>
      </c>
      <c r="ARK60" s="20" t="n">
        <v>0</v>
      </c>
      <c r="ARL60" s="20" t="n">
        <v>0</v>
      </c>
      <c r="ARM60" s="20" t="n">
        <v>0</v>
      </c>
      <c r="ARN60" s="20" t="n">
        <v>0</v>
      </c>
      <c r="ARO60" s="20" t="n">
        <v>0</v>
      </c>
      <c r="ARP60" s="20" t="n">
        <v>0</v>
      </c>
      <c r="ARQ60" s="20" t="n">
        <v>0</v>
      </c>
      <c r="ARR60" s="20" t="n">
        <f aca="false">IF(AND(H_Direct=0,H_TaxEvt=1),IF(ARR59+1&gt;=H_Deemed,0,ARR59+1),ARR59)</f>
        <v>5</v>
      </c>
      <c r="ARS60" s="20" t="n">
        <f aca="false">IF(AND(H_Direct=0,H_TaxEvt=1),IF(ARS59+1&gt;=H_Deemed,0,ARS59+1),ARS59)</f>
        <v>5</v>
      </c>
      <c r="ART60" s="20" t="n">
        <f aca="false">IF(AND(H_Direct=0,H_TaxEvt=1),IF(ART59+1&gt;=H_Deemed,0,ART59+1),ART59)</f>
        <v>4</v>
      </c>
      <c r="ARU60" s="20" t="n">
        <f aca="false">IF(AND(H_Direct=0,H_TaxEvt=1),IF(ARU59+1&gt;=H_Deemed,0,ARU59+1),ARU59)</f>
        <v>3</v>
      </c>
      <c r="ARV60" s="20" t="n">
        <f aca="false">IF(AND(H_Direct=0,H_TaxEvt=1),IF(ARV59+1&gt;=H_Deemed,0,ARV59+1),ARV59)</f>
        <v>2</v>
      </c>
      <c r="ARW60" s="20" t="n">
        <f aca="false">IF(AND(H_Direct=0,H_TaxEvt=1),IF(ARW59+1&gt;=H_Deemed,0,ARW59+1),ARW59)</f>
        <v>1</v>
      </c>
      <c r="ARX60" s="20" t="n">
        <f aca="false">IF(AND(H_Direct=0,H_TaxEvt=1),IF(ARX59+1&gt;=H_Deemed,0,ARX59+1),ARX59)</f>
        <v>0</v>
      </c>
      <c r="ARY60" s="20" t="n">
        <f aca="false">IF(AND(H_Direct=0,H_TaxEvt=1),IF(ARY59+1&gt;=H_Deemed,0,ARY59+1),ARY59)</f>
        <v>7</v>
      </c>
      <c r="ARZ60" s="20" t="n">
        <f aca="false">IF(AND(H_Direct=0,H_TaxEvt=1),IF(ARZ59+1&gt;=H_Deemed,0,ARZ59+1),ARZ59)</f>
        <v>6</v>
      </c>
      <c r="ASA60" s="20" t="n">
        <f aca="false">IF(AND(H_Direct=0,H_TaxEvt=1),IF(ASA59+1&gt;=H_Deemed,0,ASA59+1),ASA59)</f>
        <v>5</v>
      </c>
      <c r="ASB60" s="20" t="n">
        <f aca="false">IF(AND(H_Direct=0,H_TaxEvt=1),IF(ASB59+1&gt;=H_Deemed,0,ASB59+1),ASB59)</f>
        <v>4</v>
      </c>
      <c r="ASC60" s="20" t="n">
        <f aca="false">IF(AND(H_Direct=0,H_TaxEvt=1),IF(ASC59+1&gt;=H_Deemed,0,ASC59+1),ASC59)</f>
        <v>3</v>
      </c>
      <c r="ASD60" s="20" t="n">
        <f aca="false">IF(AND(H_Direct=0,H_TaxEvt=1),IF(ASD59+1&gt;=H_Deemed,0,ASD59+1),ASD59)</f>
        <v>2</v>
      </c>
      <c r="ASE60" s="20" t="n">
        <f aca="false">IF(AND(H_Direct=0,H_TaxEvt=1),IF(ASE59+1&gt;=H_Deemed,0,ASE59+1),ASE59)</f>
        <v>1</v>
      </c>
      <c r="ASF60" s="20" t="n">
        <f aca="false">IF(AND(H_Direct=0,H_TaxEvt=1),IF(ASF59+1&gt;=H_Deemed,0,ASF59+1),ASF59)</f>
        <v>0</v>
      </c>
      <c r="ASG60" s="20" t="n">
        <f aca="false">IF(AND(H_Direct=0,H_TaxEvt=1),IF(ASG59+1&gt;=H_Deemed,0,ASG59+1),ASG59)</f>
        <v>7</v>
      </c>
      <c r="ASH60" s="20" t="n">
        <f aca="false">IF(AND(H_Direct=0,H_TaxEvt=1),IF(ASH59+1&gt;=H_Deemed,0,ASH59+1),ASH59)</f>
        <v>6</v>
      </c>
      <c r="ASI60" s="20" t="n">
        <f aca="false">IF(AND(H_Direct=0,H_TaxEvt=1),IF(ASI59+1&gt;=H_Deemed,0,ASI59+1),ASI59)</f>
        <v>5</v>
      </c>
      <c r="ASJ60" s="20" t="n">
        <f aca="false">IF(AND(H_Direct=0,H_TaxEvt=1),IF(ASJ59+1&gt;=H_Deemed,0,ASJ59+1),ASJ59)</f>
        <v>4</v>
      </c>
      <c r="ASK60" s="20" t="n">
        <f aca="false">IF(AND(H_Direct=0,H_TaxEvt=1),IF(ASK59+1&gt;=H_Deemed,0,ASK59+1),ASK59)</f>
        <v>3</v>
      </c>
      <c r="ASL60" s="20" t="n">
        <f aca="false">IF(AND(H_Direct=0,H_TaxEvt=1),IF(ASL59+1&gt;=H_Deemed,0,ASL59+1),ASL59)</f>
        <v>2</v>
      </c>
      <c r="ASM60" s="20" t="n">
        <f aca="false">IF(AND(H_Direct=0,H_TaxEvt=1),IF(ASM59+1&gt;=H_Deemed,0,ASM59+1),ASM59)</f>
        <v>1</v>
      </c>
      <c r="ASN60" s="20" t="n">
        <f aca="false">IF(AND(H_Direct=0,H_TaxEvt=1),IF(ASN59+1&gt;=H_Deemed,0,ASN59+1),ASN59)</f>
        <v>0</v>
      </c>
      <c r="ASO60" s="20" t="n">
        <f aca="false">IF(AND(H_Direct=0,H_TaxEvt=1),IF(ASO59+1&gt;=H_Deemed,0,ASO59+1),ASO59)</f>
        <v>7</v>
      </c>
      <c r="ASP60" s="20" t="n">
        <f aca="false">IF(AND(H_Direct=0,H_TaxEvt=1),IF(ASP59+1&gt;=H_Deemed,0,ASP59+1),ASP59)</f>
        <v>6</v>
      </c>
      <c r="ASQ60" s="20" t="n">
        <f aca="false">IF(AND(H_Direct=0,H_TaxEvt=1),IF(ASQ59+1&gt;=H_Deemed,0,ASQ59+1),ASQ59)</f>
        <v>5</v>
      </c>
      <c r="ASR60" s="20" t="n">
        <f aca="false">IF(AND(H_Direct=0,H_TaxEvt=1),IF(ASR59+1&gt;=H_Deemed,0,ASR59+1),ASR59)</f>
        <v>4</v>
      </c>
      <c r="ASS60" s="20" t="n">
        <f aca="false">IF(AND(H_Direct=0,H_TaxEvt=1),IF(ASS59+1&gt;=H_Deemed,0,ASS59+1),ASS59)</f>
        <v>3</v>
      </c>
      <c r="AST60" s="20" t="n">
        <f aca="false">IF(AND(H_Direct=0,H_TaxEvt=1),IF(AST59+1&gt;=H_Deemed,0,AST59+1),AST59)</f>
        <v>2</v>
      </c>
      <c r="ASU60" s="20" t="n">
        <f aca="false">IF(AND(H_Direct=0,H_TaxEvt=1),IF(ASU59+1&gt;=H_Deemed,0,ASU59+1),ASU59)</f>
        <v>1</v>
      </c>
      <c r="ASV60" s="20" t="n">
        <f aca="false">IF(AND(H_Direct=0,H_TaxEvt=1),IF(ASV59+1&gt;=H_Deemed,0,ASV59+1),ASV59)</f>
        <v>0</v>
      </c>
      <c r="ASW60" s="20" t="n">
        <f aca="false">IF(AND(H_Direct=0,H_TaxEvt=1),IF(ASW59+1&gt;=H_Deemed,0,ASW59+1),ASW59)</f>
        <v>7</v>
      </c>
      <c r="ASX60" s="20" t="n">
        <f aca="false">IF(AND(H_Direct=0,H_TaxEvt=1),IF(ASX59+1&gt;=H_Deemed,0,ASX59+1),ASX59)</f>
        <v>6</v>
      </c>
      <c r="ASY60" s="20" t="n">
        <f aca="false">IF(AND(H_Direct=0,H_TaxEvt=1),IF(ASY59+1&gt;=H_Deemed,0,ASY59+1),ASY59)</f>
        <v>5</v>
      </c>
      <c r="ASZ60" s="20" t="n">
        <f aca="false">IF(AND(H_Direct=0,H_TaxEvt=1),IF(ASZ59+1&gt;=H_Deemed,0,ASZ59+1),ASZ59)</f>
        <v>4</v>
      </c>
      <c r="ATA60" s="20" t="n">
        <f aca="false">IF(AND(H_Direct=0,H_TaxEvt=1),IF(ATA59+1&gt;=H_Deemed,0,ATA59+1),ATA59)</f>
        <v>3</v>
      </c>
      <c r="ATB60" s="20" t="n">
        <f aca="false">IF(AND(H_Direct=0,H_TaxEvt=1),IF(ATB59+1&gt;=H_Deemed,0,ATB59+1),ATB59)</f>
        <v>2</v>
      </c>
      <c r="ATC60" s="20" t="n">
        <f aca="false">IF(AND(H_Direct=0,H_TaxEvt=1),IF(ATC59+1&gt;=H_Deemed,0,ATC59+1),ATC59)</f>
        <v>1</v>
      </c>
      <c r="ATD60" s="20" t="n">
        <f aca="false">IF(AND(H_Direct=0,H_TaxEvt=1),IF(ATD59+1&gt;=H_Deemed,0,ATD59+1),ATD59)</f>
        <v>0</v>
      </c>
      <c r="ATE60" s="20" t="n">
        <f aca="false">IF(AND(H_Direct=0,H_TaxEvt=1),IF(ATE59+1&gt;=H_Deemed,0,ATE59+1),ATE59)</f>
        <v>7</v>
      </c>
      <c r="ATF60" s="20" t="n">
        <f aca="false">IF(AND(H_Direct=0,H_TaxEvt=1),IF(ATF59+1&gt;=H_Deemed,0,ATF59+1),ATF59)</f>
        <v>6</v>
      </c>
      <c r="ATG60" s="20" t="n">
        <f aca="false">IF(AND(H_Direct=0,H_TaxEvt=1),IF(ATG59+1&gt;=H_Deemed,0,ATG59+1),ATG59)</f>
        <v>5</v>
      </c>
      <c r="ATH60" s="20" t="n">
        <f aca="false">IF(AND(H_Direct=0,H_TaxEvt=1),IF(ATH59+1&gt;=H_Deemed,0,ATH59+1),ATH59)</f>
        <v>4</v>
      </c>
      <c r="ATI60" s="20" t="n">
        <f aca="false">IF(AND(H_Direct=0,H_TaxEvt=1),IF(ATI59+1&gt;=H_Deemed,0,ATI59+1),ATI59)</f>
        <v>3</v>
      </c>
      <c r="ATJ60" s="20" t="n">
        <f aca="false">IF(AND(H_Direct=0,H_TaxEvt=1),IF(ATJ59+1&gt;=H_Deemed,0,ATJ59+1),ATJ59)</f>
        <v>2</v>
      </c>
      <c r="ATK60" s="20" t="n">
        <f aca="false">IF(AND(H_Direct=0,H_TaxEvt=1),IF(ATK59+1&gt;=H_Deemed,0,ATK59+1),ATK59)</f>
        <v>1</v>
      </c>
      <c r="ATL60" s="20" t="n">
        <f aca="false">IF(AND(H_Direct=0,H_TaxEvt=1),IF(ATL59+1&gt;=H_Deemed,0,ATL59+1),ATL59)</f>
        <v>0</v>
      </c>
      <c r="ATM60" s="20" t="n">
        <f aca="false">IF(AND(H_Direct=0,H_TaxEvt=1),IF(ATM59+1&gt;=H_Deemed,0,ATM59+1),ATM59)</f>
        <v>7</v>
      </c>
      <c r="ATN60" s="20" t="n">
        <f aca="false">IF(AND(H_Direct=0,H_TaxEvt=1),IF(ATN59+1&gt;=H_Deemed,0,ATN59+1),ATN59)</f>
        <v>6</v>
      </c>
      <c r="ATO60" s="20" t="n">
        <f aca="false">IF(AND(H_Direct=0,H_TaxEvt=1),IF(ATO59+1&gt;=H_Deemed,0,ATO59+1),ATO59)</f>
        <v>5</v>
      </c>
      <c r="ATP60" s="20" t="n">
        <f aca="false">IF(AND(H_Direct=0,H_TaxEvt=1),IF(ATP59+1&gt;=H_Deemed,0,ATP59+1),ATP59)</f>
        <v>4</v>
      </c>
      <c r="ATQ60" s="20" t="n">
        <f aca="false">IF(AND(H_Direct=0,H_TaxEvt=1),IF(ATQ59+1&gt;=H_Deemed,0,ATQ59+1),ATQ59)</f>
        <v>3</v>
      </c>
      <c r="ATR60" s="20" t="n">
        <f aca="false">IF(AND(H_Direct=0,H_TaxEvt=1),IF(ATR59+1&gt;=H_Deemed,0,ATR59+1),ATR59)</f>
        <v>2</v>
      </c>
      <c r="ATS60" s="20" t="n">
        <f aca="false">IF(AND(H_Direct=0,H_TaxEvt=1),IF(0+1&gt;=H_Deemed,0,0+1),0)</f>
        <v>1</v>
      </c>
      <c r="ATT60" s="20" t="n">
        <v>0</v>
      </c>
      <c r="ATU60" s="20" t="n">
        <v>0</v>
      </c>
      <c r="ATV60" s="20" t="n">
        <v>0</v>
      </c>
      <c r="ATW60" s="20" t="n">
        <v>0</v>
      </c>
      <c r="ATX60" s="20" t="n">
        <v>0</v>
      </c>
      <c r="ATY60" s="20" t="n">
        <v>0</v>
      </c>
      <c r="ATZ60" s="20" t="n">
        <v>0</v>
      </c>
      <c r="AUA60" s="20" t="n">
        <v>0</v>
      </c>
      <c r="AUB60" s="20" t="n">
        <v>0</v>
      </c>
      <c r="AUC60" s="20" t="n">
        <v>0</v>
      </c>
      <c r="AUD60" s="20" t="n">
        <v>0</v>
      </c>
      <c r="AUE60" s="20" t="n">
        <v>0</v>
      </c>
      <c r="AUF60" s="20" t="n">
        <v>0</v>
      </c>
      <c r="AUG60" s="20" t="n">
        <v>0</v>
      </c>
      <c r="AUH60" s="20" t="n">
        <v>0</v>
      </c>
      <c r="AUI60" s="20" t="n">
        <v>0</v>
      </c>
      <c r="AUJ60" s="20" t="n">
        <v>0</v>
      </c>
      <c r="AUK60" s="20" t="n">
        <v>0</v>
      </c>
      <c r="AUL60" s="20" t="n">
        <v>0</v>
      </c>
      <c r="AUM60" s="20" t="n">
        <v>0</v>
      </c>
      <c r="AUN60" s="20" t="n">
        <v>0</v>
      </c>
      <c r="AUO60" s="20" t="n">
        <v>0</v>
      </c>
      <c r="AUP60" s="20" t="n">
        <v>0</v>
      </c>
      <c r="AUQ60" s="20" t="n">
        <v>0</v>
      </c>
      <c r="AUR60" s="20" t="n">
        <v>0</v>
      </c>
      <c r="AUS60" s="20" t="n">
        <v>0</v>
      </c>
      <c r="AUT60" s="20" t="n">
        <v>0</v>
      </c>
      <c r="AUU60" s="20" t="n">
        <v>0</v>
      </c>
      <c r="AUV60" s="20" t="n">
        <v>0</v>
      </c>
      <c r="AUW60" s="20" t="n">
        <v>0</v>
      </c>
      <c r="AUX60" s="20" t="n">
        <v>0</v>
      </c>
      <c r="AUY60" s="20" t="n">
        <v>0</v>
      </c>
      <c r="AUZ60" s="20" t="n">
        <v>0</v>
      </c>
      <c r="AVA60" s="20" t="n">
        <v>0</v>
      </c>
      <c r="AVB60" s="20" t="n">
        <v>0</v>
      </c>
      <c r="AVC60" s="20" t="n">
        <v>0</v>
      </c>
      <c r="AVD60" s="20" t="n">
        <v>0</v>
      </c>
      <c r="AVE60" s="20" t="n">
        <f aca="false">IF(AND(H_Direct=0,H_TaxEvt=1,ARR59+1&gt;=H_Deemed),MAX(0,ADR60-AHE60)*H_Exit,0)</f>
        <v>0</v>
      </c>
      <c r="AVF60" s="20" t="n">
        <f aca="false">IF(AND(H_Direct=0,H_TaxEvt=1,ARS59+1&gt;=H_Deemed),MAX(0,ADS60-AHF60)*H_Exit,0)</f>
        <v>0</v>
      </c>
      <c r="AVG60" s="20" t="n">
        <f aca="false">IF(AND(H_Direct=0,H_TaxEvt=1,ART59+1&gt;=H_Deemed),MAX(0,ADT60-AHG60)*H_Exit,0)</f>
        <v>0</v>
      </c>
      <c r="AVH60" s="20" t="n">
        <f aca="false">IF(AND(H_Direct=0,H_TaxEvt=1,ARU59+1&gt;=H_Deemed),MAX(0,ADU60-AHH60)*H_Exit,0)</f>
        <v>0</v>
      </c>
      <c r="AVI60" s="20" t="n">
        <f aca="false">IF(AND(H_Direct=0,H_TaxEvt=1,ARV59+1&gt;=H_Deemed),MAX(0,ADV60-AHI60)*H_Exit,0)</f>
        <v>0</v>
      </c>
      <c r="AVJ60" s="20" t="n">
        <f aca="false">IF(AND(H_Direct=0,H_TaxEvt=1,ARW59+1&gt;=H_Deemed),MAX(0,ADW60-AHJ60)*H_Exit,0)</f>
        <v>0</v>
      </c>
      <c r="AVK60" s="20" t="n">
        <f aca="false">IF(AND(H_Direct=0,H_TaxEvt=1,ARX59+1&gt;=H_Deemed),MAX(0,ADX60-AHK60)*H_Exit,0)</f>
        <v>0</v>
      </c>
      <c r="AVL60" s="20" t="n">
        <f aca="false">IF(AND(H_Direct=0,H_TaxEvt=1,ARY59+1&gt;=H_Deemed),MAX(0,ADY60-AHL60)*H_Exit,0)</f>
        <v>0</v>
      </c>
      <c r="AVM60" s="20" t="n">
        <f aca="false">IF(AND(H_Direct=0,H_TaxEvt=1,ARZ59+1&gt;=H_Deemed),MAX(0,ADZ60-AHM60)*H_Exit,0)</f>
        <v>0</v>
      </c>
      <c r="AVN60" s="20" t="n">
        <f aca="false">IF(AND(H_Direct=0,H_TaxEvt=1,ASA59+1&gt;=H_Deemed),MAX(0,AEA60-AHN60)*H_Exit,0)</f>
        <v>0</v>
      </c>
      <c r="AVO60" s="20" t="n">
        <f aca="false">IF(AND(H_Direct=0,H_TaxEvt=1,ASB59+1&gt;=H_Deemed),MAX(0,AEB60-AHO60)*H_Exit,0)</f>
        <v>0</v>
      </c>
      <c r="AVP60" s="20" t="n">
        <f aca="false">IF(AND(H_Direct=0,H_TaxEvt=1,ASC59+1&gt;=H_Deemed),MAX(0,AEC60-AHP60)*H_Exit,0)</f>
        <v>0</v>
      </c>
      <c r="AVQ60" s="20" t="n">
        <f aca="false">IF(AND(H_Direct=0,H_TaxEvt=1,ASD59+1&gt;=H_Deemed),MAX(0,AED60-AHQ60)*H_Exit,0)</f>
        <v>0</v>
      </c>
      <c r="AVR60" s="20" t="n">
        <f aca="false">IF(AND(H_Direct=0,H_TaxEvt=1,ASE59+1&gt;=H_Deemed),MAX(0,AEE60-AHR60)*H_Exit,0)</f>
        <v>0</v>
      </c>
      <c r="AVS60" s="20" t="n">
        <f aca="false">IF(AND(H_Direct=0,H_TaxEvt=1,ASF59+1&gt;=H_Deemed),MAX(0,AEF60-AHS60)*H_Exit,0)</f>
        <v>0</v>
      </c>
      <c r="AVT60" s="20" t="n">
        <f aca="false">IF(AND(H_Direct=0,H_TaxEvt=1,ASG59+1&gt;=H_Deemed),MAX(0,AEG60-AHT60)*H_Exit,0)</f>
        <v>0</v>
      </c>
      <c r="AVU60" s="20" t="n">
        <f aca="false">IF(AND(H_Direct=0,H_TaxEvt=1,ASH59+1&gt;=H_Deemed),MAX(0,AEH60-AHU60)*H_Exit,0)</f>
        <v>0</v>
      </c>
      <c r="AVV60" s="20" t="n">
        <f aca="false">IF(AND(H_Direct=0,H_TaxEvt=1,ASI59+1&gt;=H_Deemed),MAX(0,AEI60-AHV60)*H_Exit,0)</f>
        <v>0</v>
      </c>
      <c r="AVW60" s="20" t="n">
        <f aca="false">IF(AND(H_Direct=0,H_TaxEvt=1,ASJ59+1&gt;=H_Deemed),MAX(0,AEJ60-AHW60)*H_Exit,0)</f>
        <v>0</v>
      </c>
      <c r="AVX60" s="20" t="n">
        <f aca="false">IF(AND(H_Direct=0,H_TaxEvt=1,ASK59+1&gt;=H_Deemed),MAX(0,AEK60-AHX60)*H_Exit,0)</f>
        <v>0</v>
      </c>
      <c r="AVY60" s="20" t="n">
        <f aca="false">IF(AND(H_Direct=0,H_TaxEvt=1,ASL59+1&gt;=H_Deemed),MAX(0,AEL60-AHY60)*H_Exit,0)</f>
        <v>0</v>
      </c>
      <c r="AVZ60" s="20" t="n">
        <f aca="false">IF(AND(H_Direct=0,H_TaxEvt=1,ASM59+1&gt;=H_Deemed),MAX(0,AEM60-AHZ60)*H_Exit,0)</f>
        <v>0</v>
      </c>
      <c r="AWA60" s="20" t="n">
        <f aca="false">IF(AND(H_Direct=0,H_TaxEvt=1,ASN59+1&gt;=H_Deemed),MAX(0,AEN60-AIA60)*H_Exit,0)</f>
        <v>0</v>
      </c>
      <c r="AWB60" s="20" t="n">
        <f aca="false">IF(AND(H_Direct=0,H_TaxEvt=1,ASO59+1&gt;=H_Deemed),MAX(0,AEO60-AIB60)*H_Exit,0)</f>
        <v>0</v>
      </c>
      <c r="AWC60" s="20" t="n">
        <f aca="false">IF(AND(H_Direct=0,H_TaxEvt=1,ASP59+1&gt;=H_Deemed),MAX(0,AEP60-AIC60)*H_Exit,0)</f>
        <v>0</v>
      </c>
      <c r="AWD60" s="20" t="n">
        <f aca="false">IF(AND(H_Direct=0,H_TaxEvt=1,ASQ59+1&gt;=H_Deemed),MAX(0,AEQ60-AID60)*H_Exit,0)</f>
        <v>0</v>
      </c>
      <c r="AWE60" s="20" t="n">
        <f aca="false">IF(AND(H_Direct=0,H_TaxEvt=1,ASR59+1&gt;=H_Deemed),MAX(0,AER60-AIE60)*H_Exit,0)</f>
        <v>0</v>
      </c>
      <c r="AWF60" s="20" t="n">
        <f aca="false">IF(AND(H_Direct=0,H_TaxEvt=1,ASS59+1&gt;=H_Deemed),MAX(0,AES60-AIF60)*H_Exit,0)</f>
        <v>0</v>
      </c>
      <c r="AWG60" s="20" t="n">
        <f aca="false">IF(AND(H_Direct=0,H_TaxEvt=1,AST59+1&gt;=H_Deemed),MAX(0,AET60-AIG60)*H_Exit,0)</f>
        <v>0</v>
      </c>
      <c r="AWH60" s="20" t="n">
        <f aca="false">IF(AND(H_Direct=0,H_TaxEvt=1,ASU59+1&gt;=H_Deemed),MAX(0,AEU60-AIH60)*H_Exit,0)</f>
        <v>0</v>
      </c>
      <c r="AWI60" s="20" t="n">
        <f aca="false">IF(AND(H_Direct=0,H_TaxEvt=1,ASV59+1&gt;=H_Deemed),MAX(0,AEV60-AII60)*H_Exit,0)</f>
        <v>0</v>
      </c>
      <c r="AWJ60" s="20" t="n">
        <f aca="false">IF(AND(H_Direct=0,H_TaxEvt=1,ASW59+1&gt;=H_Deemed),MAX(0,AEW60-AIJ60)*H_Exit,0)</f>
        <v>0</v>
      </c>
      <c r="AWK60" s="20" t="n">
        <f aca="false">IF(AND(H_Direct=0,H_TaxEvt=1,ASX59+1&gt;=H_Deemed),MAX(0,AEX60-AIK60)*H_Exit,0)</f>
        <v>0</v>
      </c>
      <c r="AWL60" s="20" t="n">
        <f aca="false">IF(AND(H_Direct=0,H_TaxEvt=1,ASY59+1&gt;=H_Deemed),MAX(0,AEY60-AIL60)*H_Exit,0)</f>
        <v>0</v>
      </c>
      <c r="AWM60" s="20" t="n">
        <f aca="false">IF(AND(H_Direct=0,H_TaxEvt=1,ASZ59+1&gt;=H_Deemed),MAX(0,AEZ60-AIM60)*H_Exit,0)</f>
        <v>0</v>
      </c>
      <c r="AWN60" s="20" t="n">
        <f aca="false">IF(AND(H_Direct=0,H_TaxEvt=1,ATA59+1&gt;=H_Deemed),MAX(0,AFA60-AIN60)*H_Exit,0)</f>
        <v>0</v>
      </c>
      <c r="AWO60" s="20" t="n">
        <f aca="false">IF(AND(H_Direct=0,H_TaxEvt=1,ATB59+1&gt;=H_Deemed),MAX(0,AFB60-AIO60)*H_Exit,0)</f>
        <v>0</v>
      </c>
      <c r="AWP60" s="20" t="n">
        <f aca="false">IF(AND(H_Direct=0,H_TaxEvt=1,ATC59+1&gt;=H_Deemed),MAX(0,AFC60-AIP60)*H_Exit,0)</f>
        <v>0</v>
      </c>
      <c r="AWQ60" s="20" t="n">
        <f aca="false">IF(AND(H_Direct=0,H_TaxEvt=1,ATD59+1&gt;=H_Deemed),MAX(0,AFD60-AIQ60)*H_Exit,0)</f>
        <v>0</v>
      </c>
      <c r="AWR60" s="20" t="n">
        <f aca="false">IF(AND(H_Direct=0,H_TaxEvt=1,ATE59+1&gt;=H_Deemed),MAX(0,AFE60-AIR60)*H_Exit,0)</f>
        <v>0</v>
      </c>
      <c r="AWS60" s="20" t="n">
        <f aca="false">IF(AND(H_Direct=0,H_TaxEvt=1,ATF59+1&gt;=H_Deemed),MAX(0,AFF60-AIS60)*H_Exit,0)</f>
        <v>0</v>
      </c>
      <c r="AWT60" s="20" t="n">
        <f aca="false">IF(AND(H_Direct=0,H_TaxEvt=1,ATG59+1&gt;=H_Deemed),MAX(0,AFG60-AIT60)*H_Exit,0)</f>
        <v>0</v>
      </c>
      <c r="AWU60" s="20" t="n">
        <f aca="false">IF(AND(H_Direct=0,H_TaxEvt=1,ATH59+1&gt;=H_Deemed),MAX(0,AFH60-AIU60)*H_Exit,0)</f>
        <v>0</v>
      </c>
      <c r="AWV60" s="20" t="n">
        <f aca="false">IF(AND(H_Direct=0,H_TaxEvt=1,ATI59+1&gt;=H_Deemed),MAX(0,AFI60-AIV60)*H_Exit,0)</f>
        <v>0</v>
      </c>
      <c r="AWW60" s="20" t="n">
        <f aca="false">IF(AND(H_Direct=0,H_TaxEvt=1,ATJ59+1&gt;=H_Deemed),MAX(0,AFJ60-AIW60)*H_Exit,0)</f>
        <v>0</v>
      </c>
      <c r="AWX60" s="20" t="n">
        <f aca="false">IF(AND(H_Direct=0,H_TaxEvt=1,ATK59+1&gt;=H_Deemed),MAX(0,AFK60-AIX60)*H_Exit,0)</f>
        <v>0</v>
      </c>
      <c r="AWY60" s="20" t="n">
        <f aca="false">IF(AND(H_Direct=0,H_TaxEvt=1,ATL59+1&gt;=H_Deemed),MAX(0,AFL60-AIY60)*H_Exit,0)</f>
        <v>0</v>
      </c>
      <c r="AWZ60" s="20" t="n">
        <f aca="false">IF(AND(H_Direct=0,H_TaxEvt=1,ATM59+1&gt;=H_Deemed),MAX(0,AFM60-AIZ60)*H_Exit,0)</f>
        <v>0</v>
      </c>
      <c r="AXA60" s="20" t="n">
        <f aca="false">IF(AND(H_Direct=0,H_TaxEvt=1,ATN59+1&gt;=H_Deemed),MAX(0,AFN60-AJA60)*H_Exit,0)</f>
        <v>0</v>
      </c>
      <c r="AXB60" s="20" t="n">
        <f aca="false">IF(AND(H_Direct=0,H_TaxEvt=1,ATO59+1&gt;=H_Deemed),MAX(0,AFO60-AJB60)*H_Exit,0)</f>
        <v>0</v>
      </c>
      <c r="AXC60" s="20" t="n">
        <f aca="false">IF(AND(H_Direct=0,H_TaxEvt=1,ATP59+1&gt;=H_Deemed),MAX(0,AFP60-AJC60)*H_Exit,0)</f>
        <v>0</v>
      </c>
      <c r="AXD60" s="20" t="n">
        <f aca="false">IF(AND(H_Direct=0,H_TaxEvt=1,ATQ59+1&gt;=H_Deemed),MAX(0,AFQ60-AJD60)*H_Exit,0)</f>
        <v>0</v>
      </c>
      <c r="AXE60" s="20" t="n">
        <f aca="false">IF(AND(H_Direct=0,H_TaxEvt=1,ATR59+1&gt;=H_Deemed),MAX(0,AFR60-AJE60)*H_Exit,0)</f>
        <v>0</v>
      </c>
      <c r="AXF60" s="20" t="n">
        <f aca="false">IF(AND(H_Direct=0,H_TaxEvt=1,0+1&gt;=H_Deemed),MAX(0,AFS60-AJF60)*H_Exit,0)</f>
        <v>0</v>
      </c>
      <c r="AXG60" s="20" t="n">
        <v>0</v>
      </c>
      <c r="AXH60" s="20" t="n">
        <v>0</v>
      </c>
      <c r="AXI60" s="20" t="n">
        <v>0</v>
      </c>
      <c r="AXJ60" s="20" t="n">
        <v>0</v>
      </c>
      <c r="AXK60" s="20" t="n">
        <v>0</v>
      </c>
      <c r="AXL60" s="20" t="n">
        <v>0</v>
      </c>
      <c r="AXM60" s="20" t="n">
        <v>0</v>
      </c>
      <c r="AXN60" s="20" t="n">
        <v>0</v>
      </c>
      <c r="AXO60" s="20" t="n">
        <v>0</v>
      </c>
      <c r="AXP60" s="20" t="n">
        <v>0</v>
      </c>
      <c r="AXQ60" s="20" t="n">
        <v>0</v>
      </c>
      <c r="AXR60" s="20" t="n">
        <v>0</v>
      </c>
      <c r="AXS60" s="20" t="n">
        <v>0</v>
      </c>
      <c r="AXT60" s="20" t="n">
        <v>0</v>
      </c>
      <c r="AXU60" s="20" t="n">
        <v>0</v>
      </c>
      <c r="AXV60" s="20" t="n">
        <v>0</v>
      </c>
      <c r="AXW60" s="20" t="n">
        <v>0</v>
      </c>
      <c r="AXX60" s="20" t="n">
        <v>0</v>
      </c>
      <c r="AXY60" s="20" t="n">
        <v>0</v>
      </c>
      <c r="AXZ60" s="20" t="n">
        <v>0</v>
      </c>
      <c r="AYA60" s="20" t="n">
        <v>0</v>
      </c>
      <c r="AYB60" s="20" t="n">
        <v>0</v>
      </c>
      <c r="AYC60" s="20" t="n">
        <v>0</v>
      </c>
      <c r="AYD60" s="20" t="n">
        <v>0</v>
      </c>
      <c r="AYE60" s="20" t="n">
        <v>0</v>
      </c>
      <c r="AYF60" s="20" t="n">
        <v>0</v>
      </c>
      <c r="AYG60" s="20" t="n">
        <v>0</v>
      </c>
      <c r="AYH60" s="20" t="n">
        <v>0</v>
      </c>
      <c r="AYI60" s="20" t="n">
        <v>0</v>
      </c>
      <c r="AYJ60" s="20" t="n">
        <v>0</v>
      </c>
      <c r="AYK60" s="20" t="n">
        <v>0</v>
      </c>
      <c r="AYL60" s="20" t="n">
        <v>0</v>
      </c>
      <c r="AYM60" s="20" t="n">
        <v>0</v>
      </c>
      <c r="AYN60" s="20" t="n">
        <v>0</v>
      </c>
      <c r="AYO60" s="20" t="n">
        <v>0</v>
      </c>
      <c r="AYP60" s="20" t="n">
        <v>0</v>
      </c>
      <c r="AYQ60" s="20" t="n">
        <v>0</v>
      </c>
    </row>
    <row r="61" customFormat="false" ht="15" hidden="false" customHeight="false" outlineLevel="0" collapsed="false">
      <c r="B61" s="20" t="n">
        <v>53</v>
      </c>
      <c r="C61" s="20" t="n">
        <f aca="false">'Plan cashflow'!C61</f>
        <v>1</v>
      </c>
      <c r="D61" s="20" t="n">
        <f aca="false">'Plan cashflow'!D61</f>
        <v>91</v>
      </c>
      <c r="E61" s="20" t="n">
        <f aca="false">AS_Year0+53</f>
        <v>2079</v>
      </c>
      <c r="F61" s="50" t="n">
        <f aca="false">'Plan cashflow'!F61</f>
        <v>2.85633474915715</v>
      </c>
      <c r="G61" s="59" t="n">
        <f aca="true">IF(MAX(TODAY(),DATE(E61,1,1))&gt;=H_CGTfrom,H_CGT1,H_CGT0)</f>
        <v>0.31</v>
      </c>
      <c r="H61" s="20" t="n">
        <f aca="false">H_Exempt*H_Persons</f>
        <v>1270</v>
      </c>
      <c r="I61" s="20" t="n">
        <f aca="false">AX60</f>
        <v>0</v>
      </c>
      <c r="J61" s="60" t="n">
        <f aca="false">BF60</f>
        <v>0</v>
      </c>
      <c r="K61" s="60" t="n">
        <f aca="false">BG60</f>
        <v>0</v>
      </c>
      <c r="L61" s="20" t="n">
        <f aca="false">IF(AND(In_polLump&gt;0,In_polLumpAge&gt;0,D61=In_polLumpAge),In_polLump,0)</f>
        <v>0</v>
      </c>
      <c r="M61" s="20" t="n">
        <f aca="false">IF(AND(In_homeUse="Yes, I'd downsize",In_downAge&gt;0,D61=In_downAge,OR(In_home="Own outright",In_home="Own with mortgage"),In_homeValue&gt;0),MAX(0,MAX(0,In_homeValue-In_downValue)*F61*0.9-'Plan cashflow'!HR60),0)</f>
        <v>0</v>
      </c>
      <c r="N61" s="20" t="n">
        <f aca="false">'Plan pay &amp; tax'!Y287</f>
        <v>0</v>
      </c>
      <c r="O61" s="20" t="n">
        <f aca="false">L61+M61+(1-H_Sh)*N61</f>
        <v>0</v>
      </c>
      <c r="P61" s="20" t="n">
        <f aca="false">H_Sh*N61</f>
        <v>0</v>
      </c>
      <c r="Q61" s="20" t="n">
        <f aca="false">'Plan cashflow'!UL61</f>
        <v>0</v>
      </c>
      <c r="R61" s="20" t="n">
        <f aca="false">(1-H_Sh)*Q61</f>
        <v>0</v>
      </c>
      <c r="S61" s="20" t="n">
        <f aca="false">H_Sh*Q61</f>
        <v>0</v>
      </c>
      <c r="T61" s="20" t="n">
        <f aca="false">J61+K61+O61</f>
        <v>0</v>
      </c>
      <c r="U61" s="20" t="n">
        <f aca="false">T61+R61</f>
        <v>0</v>
      </c>
      <c r="V61" s="60" t="n">
        <f aca="false">SUM(FE61:IQ61)</f>
        <v>0</v>
      </c>
      <c r="W61" s="60" t="n">
        <f aca="false">IF(AJ61&lt;=0,0,IF(AL61&lt;=0,AJ61,AJ61-G61*MAX(0,AL61*AJ61-(AY61+AZ61))))</f>
        <v>0</v>
      </c>
      <c r="X61" s="60" t="n">
        <f aca="false">IF(AR61&lt;=0,0,IF(AT61&lt;=0,AR61,AR61-G61*MAX(0,AT61*AR61-(BA61+BB61))))</f>
        <v>0</v>
      </c>
      <c r="Y61" s="60" t="n">
        <f aca="false">T61+V61-S61+W61+X61</f>
        <v>0</v>
      </c>
      <c r="Z61" s="60" t="n">
        <f aca="false">'Plan cashflow'!UK61</f>
        <v>0</v>
      </c>
      <c r="AA61" s="20" t="n">
        <f aca="false">MIN(Z61,U61)</f>
        <v>0</v>
      </c>
      <c r="AB61" s="20" t="n">
        <f aca="false">Z61-AA61</f>
        <v>0</v>
      </c>
      <c r="AC61" s="20" t="n">
        <f aca="false">MIN(AA61,J61+O61+R61)</f>
        <v>0</v>
      </c>
      <c r="AD61" s="20" t="n">
        <f aca="false">AA61-AC61</f>
        <v>0</v>
      </c>
      <c r="AE61" s="20" t="n">
        <f aca="false">J61+O61+R61-AC61</f>
        <v>0</v>
      </c>
      <c r="AF61" s="20" t="n">
        <f aca="false">K61-AD61</f>
        <v>0</v>
      </c>
      <c r="AG61" s="20" t="n">
        <f aca="false">SUM(PR61:TD61)</f>
        <v>0</v>
      </c>
      <c r="AH61" s="20" t="n">
        <f aca="false">SUM(TE61:WQ61)</f>
        <v>0</v>
      </c>
      <c r="AI61" s="20" t="n">
        <f aca="false">MAX(0,AB61-AG61)</f>
        <v>0</v>
      </c>
      <c r="AJ61" s="57" t="n">
        <f aca="false">BI60</f>
        <v>0</v>
      </c>
      <c r="AK61" s="20" t="n">
        <f aca="false">BJ60</f>
        <v>0</v>
      </c>
      <c r="AL61" s="20" t="n">
        <f aca="false">IF(AJ61&gt;0,(AJ61-AK61)/AJ61,0)</f>
        <v>0</v>
      </c>
      <c r="AM61" s="20" t="n">
        <f aca="false">IF(AJ61&lt;=0,0,IF(AL61&lt;=0,MIN(AI61,AJ61),MIN(AI61,AJ61-G61*MAX(0,AL61*AJ61-(AAD61+ADQ61)))))</f>
        <v>0</v>
      </c>
      <c r="AN61" s="20" t="n">
        <f aca="false">IF(AJ61&lt;=0,0,IF(AL61&lt;=0,AM61,IF(AM61&lt;=(AAD61+ADQ61)/AL61,AM61,(AM61-G61*(AAD61+ADQ61))/(1-G61*AL61))))</f>
        <v>0</v>
      </c>
      <c r="AO61" s="20" t="n">
        <f aca="false">IF(AL61&gt;0,MAX(0,AAD61-(MIN(AL61*AN61,(AAD61+ADQ61))-MIN(MIN(AL61*AN61,(AAD61+ADQ61)),ADQ61))),AAD61)</f>
        <v>1270</v>
      </c>
      <c r="AP61" s="20" t="n">
        <f aca="false">IF(AL61&lt;=0,ADQ61-AL61*AN61,ADQ61-MIN(MIN(AL61*AN61,(AAD61+ADQ61)),ADQ61))</f>
        <v>0</v>
      </c>
      <c r="AQ61" s="20" t="n">
        <f aca="false">MAX(0,AI61-AM61)</f>
        <v>0</v>
      </c>
      <c r="AR61" s="57" t="n">
        <f aca="false">BK60</f>
        <v>0</v>
      </c>
      <c r="AS61" s="20" t="n">
        <f aca="false">BL60</f>
        <v>0</v>
      </c>
      <c r="AT61" s="20" t="n">
        <f aca="false">IF(AR61&gt;0,(AR61-AS61)/AR61,0)</f>
        <v>0</v>
      </c>
      <c r="AU61" s="20" t="n">
        <f aca="false">IF(AR61&lt;=0,0,IF(AT61&lt;=0,MIN(AQ61,AR61),MIN(AQ61,AR61-G61*MAX(0,AT61*AR61-(AO61+AP61)))))</f>
        <v>0</v>
      </c>
      <c r="AV61" s="20" t="n">
        <f aca="false">IF(AR61&lt;=0,0,IF(AT61&lt;=0,AU61,IF(AU61&lt;=(AO61+AP61)/AT61,AU61,(AU61-G61*(AO61+AP61))/(1-G61*AT61))))</f>
        <v>0</v>
      </c>
      <c r="AW61" s="20" t="n">
        <f aca="false">IF(AT61&gt;0,MAX(0,AO61-(MIN(AT61*AV61,(AO61+AP61))-MIN(MIN(AT61*AV61,(AO61+AP61)),AP61))),AO61)</f>
        <v>1270</v>
      </c>
      <c r="AX61" s="20" t="n">
        <f aca="false">IF(AT61&lt;=0,AP61-AT61*AV61,AP61-MIN(MIN(AT61*AV61,(AO61+AP61)),AP61))</f>
        <v>0</v>
      </c>
      <c r="AY61" s="20" t="n">
        <f aca="false">MD61</f>
        <v>1270</v>
      </c>
      <c r="AZ61" s="20" t="n">
        <f aca="false">PQ61</f>
        <v>0</v>
      </c>
      <c r="BA61" s="20" t="n">
        <f aca="false">IF(AL61&gt;0,MAX(0,AY61-(MIN(AL61*AJ61,AY61+AZ61)-MIN(MIN(AL61*AJ61,AY61+AZ61),AZ61))),AY61)</f>
        <v>1270</v>
      </c>
      <c r="BB61" s="20" t="n">
        <f aca="false">IF(AL61&lt;=0,AZ61-AL61*AJ61,AZ61-MIN(MIN(AL61*AJ61,AY61+AZ61),AZ61))</f>
        <v>0</v>
      </c>
      <c r="BC61" s="20" t="n">
        <f aca="false">'Plan cashflow'!UM61</f>
        <v>0</v>
      </c>
      <c r="BD61" s="20" t="n">
        <f aca="false">(1-H_Sh)*BC61</f>
        <v>0</v>
      </c>
      <c r="BE61" s="20" t="n">
        <f aca="false">H_Sh*BC61</f>
        <v>0</v>
      </c>
      <c r="BF61" s="60" t="n">
        <f aca="false">(AE61+BD61)*(1+AS_Cash)</f>
        <v>0</v>
      </c>
      <c r="BG61" s="60" t="n">
        <f aca="false">AF61*(1+AS_Cash)</f>
        <v>0</v>
      </c>
      <c r="BH61" s="60" t="n">
        <f aca="false">SUM(AKR61:AOD61)</f>
        <v>0</v>
      </c>
      <c r="BI61" s="60" t="n">
        <f aca="false">(AJ61-AN61)*(1+AS_Infl)</f>
        <v>0</v>
      </c>
      <c r="BJ61" s="20" t="n">
        <f aca="false">IF(AJ61&gt;0,AK61-AK61*AN61/AJ61,0)</f>
        <v>0</v>
      </c>
      <c r="BK61" s="60" t="n">
        <f aca="false">(AR61-AV61)*(1+BQ61)</f>
        <v>0</v>
      </c>
      <c r="BL61" s="20" t="n">
        <f aca="false">IF(AR61&gt;0,AS61-AS61*AV61/AR61,0)</f>
        <v>0</v>
      </c>
      <c r="BM61" s="60" t="n">
        <f aca="false">BF61+BG61+BH61+BI61+BK61</f>
        <v>0</v>
      </c>
      <c r="BN61" s="60" t="n">
        <f aca="false">(AH61-AG61)+(AN61-AM61)+(AV61-AU61)</f>
        <v>0</v>
      </c>
      <c r="BO61" s="20" t="n">
        <f aca="false">(AE61+BD61+AF61+MAX(0,'Plan cashflow'!QH61)+IF(Slot1_Rate=AS_Cash,'Plan cashflow'!QM61/(1+AS_Cash),0)+IF(Slot2_Rate=AS_Cash,'Plan cashflow'!QQ61/(1+AS_Cash),0)+IF(Slot3_Rate=AS_Cash,'Plan cashflow'!QU61/(1+AS_Cash),0)+IF(Slot4_Rate=AS_Cash,'Plan cashflow'!QY61/(1+AS_Cash),0)+IF(Slot5_Rate=AS_Cash,'Plan cashflow'!RC61/(1+AS_Cash),0)+IF(Slot6_Rate=AS_Cash,'Plan cashflow'!RG61/(1+AS_Cash),0)+IF(Slot7_Rate=AS_Cash,'Plan cashflow'!RK61/(1+AS_Cash),0)+IF(Slot8_Rate=AS_Cash,'Plan cashflow'!RO61/(1+AS_Cash),0)+IF(Slot9_Rate=AS_Cash,'Plan cashflow'!RS61/(1+AS_Cash),0)+IF(Slot10_Rate=AS_Cash,'Plan cashflow'!RW61/(1+AS_Cash),0)+IF(Slot11_Rate=AS_Cash,'Plan cashflow'!SA61/(1+AS_Cash),0)+IF(Slot12_Rate=AS_Cash,'Plan cashflow'!SE61/(1+AS_Cash),0)+IF(Slot13_Rate=AS_Cash,'Plan cashflow'!SI61/(1+AS_Cash),0)+IF(Slot14_Rate=AS_Cash,'Plan cashflow'!SM61/(1+AS_Cash),0)+IF(Slot15_Rate=AS_Cash,'Plan cashflow'!SQ61/(1+AS_Cash),0)+IF(Slot16_Rate=AS_Cash,'Plan cashflow'!SU61/(1+AS_Cash),0)+IF(Slot17_Rate=AS_Cash,'Plan cashflow'!SY61/(1+AS_Cash),0)+IF(Slot18_Rate=AS_Cash,'Plan cashflow'!TC61/(1+AS_Cash),0)+IF(Slot19_Rate=AS_Cash,'Plan cashflow'!TG61/(1+AS_Cash),0)+IF(Slot20_Rate=AS_Cash,'Plan cashflow'!TK61/(1+AS_Cash),0))*AS_Cash*H_DIRT/(1-H_DIRT)</f>
        <v>0</v>
      </c>
      <c r="BP61" s="60" t="n">
        <f aca="false">SUM(AVE61:AYQ61)</f>
        <v>0</v>
      </c>
      <c r="BQ61" s="54" t="n">
        <f aca="false">IF(H_TaxEvt=1,H_InvG,AS_Inv)</f>
        <v>0.04</v>
      </c>
      <c r="BR61" s="20" t="n">
        <f aca="false">IF(AKR60&gt;0,(AKR60-AOE60)/AKR60,0)</f>
        <v>0</v>
      </c>
      <c r="BS61" s="20" t="n">
        <f aca="false">IF(AKS60&gt;0,(AKS60-AOF60)/AKS60,0)</f>
        <v>0</v>
      </c>
      <c r="BT61" s="20" t="n">
        <f aca="false">IF(AKT60&gt;0,(AKT60-AOG60)/AKT60,0)</f>
        <v>0</v>
      </c>
      <c r="BU61" s="20" t="n">
        <f aca="false">IF(AKU60&gt;0,(AKU60-AOH60)/AKU60,0)</f>
        <v>0</v>
      </c>
      <c r="BV61" s="20" t="n">
        <f aca="false">IF(AKV60&gt;0,(AKV60-AOI60)/AKV60,0)</f>
        <v>0</v>
      </c>
      <c r="BW61" s="20" t="n">
        <f aca="false">IF(AKW60&gt;0,(AKW60-AOJ60)/AKW60,0)</f>
        <v>0</v>
      </c>
      <c r="BX61" s="20" t="n">
        <f aca="false">IF(AKX60&gt;0,(AKX60-AOK60)/AKX60,0)</f>
        <v>0</v>
      </c>
      <c r="BY61" s="20" t="n">
        <f aca="false">IF(AKY60&gt;0,(AKY60-AOL60)/AKY60,0)</f>
        <v>0</v>
      </c>
      <c r="BZ61" s="20" t="n">
        <f aca="false">IF(AKZ60&gt;0,(AKZ60-AOM60)/AKZ60,0)</f>
        <v>0</v>
      </c>
      <c r="CA61" s="20" t="n">
        <f aca="false">IF(ALA60&gt;0,(ALA60-AON60)/ALA60,0)</f>
        <v>0</v>
      </c>
      <c r="CB61" s="20" t="n">
        <f aca="false">IF(ALB60&gt;0,(ALB60-AOO60)/ALB60,0)</f>
        <v>0</v>
      </c>
      <c r="CC61" s="20" t="n">
        <f aca="false">IF(ALC60&gt;0,(ALC60-AOP60)/ALC60,0)</f>
        <v>0</v>
      </c>
      <c r="CD61" s="20" t="n">
        <f aca="false">IF(ALD60&gt;0,(ALD60-AOQ60)/ALD60,0)</f>
        <v>0</v>
      </c>
      <c r="CE61" s="20" t="n">
        <f aca="false">IF(ALE60&gt;0,(ALE60-AOR60)/ALE60,0)</f>
        <v>0</v>
      </c>
      <c r="CF61" s="20" t="n">
        <f aca="false">IF(ALF60&gt;0,(ALF60-AOS60)/ALF60,0)</f>
        <v>0</v>
      </c>
      <c r="CG61" s="20" t="n">
        <f aca="false">IF(ALG60&gt;0,(ALG60-AOT60)/ALG60,0)</f>
        <v>0</v>
      </c>
      <c r="CH61" s="20" t="n">
        <f aca="false">IF(ALH60&gt;0,(ALH60-AOU60)/ALH60,0)</f>
        <v>0</v>
      </c>
      <c r="CI61" s="20" t="n">
        <f aca="false">IF(ALI60&gt;0,(ALI60-AOV60)/ALI60,0)</f>
        <v>0</v>
      </c>
      <c r="CJ61" s="20" t="n">
        <f aca="false">IF(ALJ60&gt;0,(ALJ60-AOW60)/ALJ60,0)</f>
        <v>0</v>
      </c>
      <c r="CK61" s="20" t="n">
        <f aca="false">IF(ALK60&gt;0,(ALK60-AOX60)/ALK60,0)</f>
        <v>0</v>
      </c>
      <c r="CL61" s="20" t="n">
        <f aca="false">IF(ALL60&gt;0,(ALL60-AOY60)/ALL60,0)</f>
        <v>0</v>
      </c>
      <c r="CM61" s="20" t="n">
        <f aca="false">IF(ALM60&gt;0,(ALM60-AOZ60)/ALM60,0)</f>
        <v>0</v>
      </c>
      <c r="CN61" s="20" t="n">
        <f aca="false">IF(ALN60&gt;0,(ALN60-APA60)/ALN60,0)</f>
        <v>0</v>
      </c>
      <c r="CO61" s="20" t="n">
        <f aca="false">IF(ALO60&gt;0,(ALO60-APB60)/ALO60,0)</f>
        <v>0</v>
      </c>
      <c r="CP61" s="20" t="n">
        <f aca="false">IF(ALP60&gt;0,(ALP60-APC60)/ALP60,0)</f>
        <v>0</v>
      </c>
      <c r="CQ61" s="20" t="n">
        <f aca="false">IF(ALQ60&gt;0,(ALQ60-APD60)/ALQ60,0)</f>
        <v>0</v>
      </c>
      <c r="CR61" s="20" t="n">
        <f aca="false">IF(ALR60&gt;0,(ALR60-APE60)/ALR60,0)</f>
        <v>0</v>
      </c>
      <c r="CS61" s="20" t="n">
        <f aca="false">IF(ALS60&gt;0,(ALS60-APF60)/ALS60,0)</f>
        <v>0</v>
      </c>
      <c r="CT61" s="20" t="n">
        <f aca="false">IF(ALT60&gt;0,(ALT60-APG60)/ALT60,0)</f>
        <v>0</v>
      </c>
      <c r="CU61" s="20" t="n">
        <f aca="false">IF(ALU60&gt;0,(ALU60-APH60)/ALU60,0)</f>
        <v>0</v>
      </c>
      <c r="CV61" s="20" t="n">
        <f aca="false">IF(ALV60&gt;0,(ALV60-API60)/ALV60,0)</f>
        <v>0</v>
      </c>
      <c r="CW61" s="20" t="n">
        <f aca="false">IF(ALW60&gt;0,(ALW60-APJ60)/ALW60,0)</f>
        <v>0</v>
      </c>
      <c r="CX61" s="20" t="n">
        <f aca="false">IF(ALX60&gt;0,(ALX60-APK60)/ALX60,0)</f>
        <v>0</v>
      </c>
      <c r="CY61" s="20" t="n">
        <f aca="false">IF(ALY60&gt;0,(ALY60-APL60)/ALY60,0)</f>
        <v>0</v>
      </c>
      <c r="CZ61" s="20" t="n">
        <f aca="false">IF(ALZ60&gt;0,(ALZ60-APM60)/ALZ60,0)</f>
        <v>0</v>
      </c>
      <c r="DA61" s="20" t="n">
        <f aca="false">IF(AMA60&gt;0,(AMA60-APN60)/AMA60,0)</f>
        <v>0</v>
      </c>
      <c r="DB61" s="20" t="n">
        <f aca="false">IF(AMB60&gt;0,(AMB60-APO60)/AMB60,0)</f>
        <v>0</v>
      </c>
      <c r="DC61" s="20" t="n">
        <f aca="false">IF(AMC60&gt;0,(AMC60-APP60)/AMC60,0)</f>
        <v>0</v>
      </c>
      <c r="DD61" s="20" t="n">
        <f aca="false">IF(AMD60&gt;0,(AMD60-APQ60)/AMD60,0)</f>
        <v>0</v>
      </c>
      <c r="DE61" s="20" t="n">
        <f aca="false">IF(AME60&gt;0,(AME60-APR60)/AME60,0)</f>
        <v>0</v>
      </c>
      <c r="DF61" s="20" t="n">
        <f aca="false">IF(AMF60&gt;0,(AMF60-APS60)/AMF60,0)</f>
        <v>0</v>
      </c>
      <c r="DG61" s="20" t="n">
        <f aca="false">IF(AMG60&gt;0,(AMG60-APT60)/AMG60,0)</f>
        <v>0</v>
      </c>
      <c r="DH61" s="20" t="n">
        <f aca="false">IF(AMH60&gt;0,(AMH60-APU60)/AMH60,0)</f>
        <v>0</v>
      </c>
      <c r="DI61" s="20" t="n">
        <f aca="false">IF(AMI60&gt;0,(AMI60-APV60)/AMI60,0)</f>
        <v>0</v>
      </c>
      <c r="DJ61" s="20" t="n">
        <f aca="false">IF(AMJ60&gt;0,(AMJ60-APW60)/AMJ60,0)</f>
        <v>0</v>
      </c>
      <c r="DK61" s="20" t="n">
        <f aca="false">IF(AMK60&gt;0,(AMK60-APX60)/AMK60,0)</f>
        <v>0</v>
      </c>
      <c r="DL61" s="20" t="n">
        <f aca="false">IF(AML60&gt;0,(AML60-APY60)/AML60,0)</f>
        <v>0</v>
      </c>
      <c r="DM61" s="20" t="n">
        <f aca="false">IF(AMM60&gt;0,(AMM60-APZ60)/AMM60,0)</f>
        <v>0</v>
      </c>
      <c r="DN61" s="20" t="n">
        <f aca="false">IF(AMN60&gt;0,(AMN60-AQA60)/AMN60,0)</f>
        <v>0</v>
      </c>
      <c r="DO61" s="20" t="n">
        <f aca="false">IF(AMO60&gt;0,(AMO60-AQB60)/AMO60,0)</f>
        <v>0</v>
      </c>
      <c r="DP61" s="20" t="n">
        <f aca="false">IF(AMP60&gt;0,(AMP60-AQC60)/AMP60,0)</f>
        <v>0</v>
      </c>
      <c r="DQ61" s="20" t="n">
        <f aca="false">IF(AMQ60&gt;0,(AMQ60-AQD60)/AMQ60,0)</f>
        <v>0</v>
      </c>
      <c r="DR61" s="20" t="n">
        <f aca="false">IF(AMR60&gt;0,(AMR60-AQE60)/AMR60,0)</f>
        <v>0</v>
      </c>
      <c r="DS61" s="20" t="n">
        <f aca="false">IF(AMS60&gt;0,(AMS60-AQF60)/AMS60,0)</f>
        <v>0</v>
      </c>
      <c r="DT61" s="20" t="n">
        <f aca="false">IF((P61+S61)&gt;0,((P61+S61)-(P61+S61))/(P61+S61),0)</f>
        <v>0</v>
      </c>
      <c r="DU61" s="20" t="n">
        <v>0</v>
      </c>
      <c r="DV61" s="20" t="n">
        <v>0</v>
      </c>
      <c r="DW61" s="20" t="n">
        <v>0</v>
      </c>
      <c r="DX61" s="20" t="n">
        <v>0</v>
      </c>
      <c r="DY61" s="20" t="n">
        <v>0</v>
      </c>
      <c r="DZ61" s="20" t="n">
        <v>0</v>
      </c>
      <c r="EA61" s="20" t="n">
        <v>0</v>
      </c>
      <c r="EB61" s="20" t="n">
        <v>0</v>
      </c>
      <c r="EC61" s="20" t="n">
        <v>0</v>
      </c>
      <c r="ED61" s="20" t="n">
        <v>0</v>
      </c>
      <c r="EE61" s="20" t="n">
        <v>0</v>
      </c>
      <c r="EF61" s="20" t="n">
        <v>0</v>
      </c>
      <c r="EG61" s="20" t="n">
        <v>0</v>
      </c>
      <c r="EH61" s="20" t="n">
        <v>0</v>
      </c>
      <c r="EI61" s="20" t="n">
        <v>0</v>
      </c>
      <c r="EJ61" s="20" t="n">
        <v>0</v>
      </c>
      <c r="EK61" s="20" t="n">
        <v>0</v>
      </c>
      <c r="EL61" s="20" t="n">
        <v>0</v>
      </c>
      <c r="EM61" s="20" t="n">
        <v>0</v>
      </c>
      <c r="EN61" s="20" t="n">
        <v>0</v>
      </c>
      <c r="EO61" s="20" t="n">
        <v>0</v>
      </c>
      <c r="EP61" s="20" t="n">
        <v>0</v>
      </c>
      <c r="EQ61" s="20" t="n">
        <v>0</v>
      </c>
      <c r="ER61" s="20" t="n">
        <v>0</v>
      </c>
      <c r="ES61" s="20" t="n">
        <v>0</v>
      </c>
      <c r="ET61" s="20" t="n">
        <v>0</v>
      </c>
      <c r="EU61" s="20" t="n">
        <v>0</v>
      </c>
      <c r="EV61" s="20" t="n">
        <v>0</v>
      </c>
      <c r="EW61" s="20" t="n">
        <v>0</v>
      </c>
      <c r="EX61" s="20" t="n">
        <v>0</v>
      </c>
      <c r="EY61" s="20" t="n">
        <v>0</v>
      </c>
      <c r="EZ61" s="20" t="n">
        <v>0</v>
      </c>
      <c r="FA61" s="20" t="n">
        <v>0</v>
      </c>
      <c r="FB61" s="20" t="n">
        <v>0</v>
      </c>
      <c r="FC61" s="20" t="n">
        <v>0</v>
      </c>
      <c r="FD61" s="20" t="n">
        <v>0</v>
      </c>
      <c r="FE61" s="20" t="n">
        <f aca="false">IF(H_Direct=1,IF(AKR60&lt;=0,0,IF(BR61&lt;=0,AKR60,AKR60-G61*MAX(0,BR61*AKR60-(H61+I61)))),AKR60*(1-MAX(0,BR61)*H_Exit))</f>
        <v>0</v>
      </c>
      <c r="FF61" s="20" t="n">
        <f aca="false">IF(H_Direct=1,IF(AKS60&lt;=0,0,IF(BS61&lt;=0,AKS60,AKS60-G61*MAX(0,BS61*AKS60-(IR61+ME61)))),AKS60*(1-MAX(0,BS61)*H_Exit))</f>
        <v>0</v>
      </c>
      <c r="FG61" s="20" t="n">
        <f aca="false">IF(H_Direct=1,IF(AKT60&lt;=0,0,IF(BT61&lt;=0,AKT60,AKT60-G61*MAX(0,BT61*AKT60-(IS61+MF61)))),AKT60*(1-MAX(0,BT61)*H_Exit))</f>
        <v>0</v>
      </c>
      <c r="FH61" s="20" t="n">
        <f aca="false">IF(H_Direct=1,IF(AKU60&lt;=0,0,IF(BU61&lt;=0,AKU60,AKU60-G61*MAX(0,BU61*AKU60-(IT61+MG61)))),AKU60*(1-MAX(0,BU61)*H_Exit))</f>
        <v>0</v>
      </c>
      <c r="FI61" s="20" t="n">
        <f aca="false">IF(H_Direct=1,IF(AKV60&lt;=0,0,IF(BV61&lt;=0,AKV60,AKV60-G61*MAX(0,BV61*AKV60-(IU61+MH61)))),AKV60*(1-MAX(0,BV61)*H_Exit))</f>
        <v>0</v>
      </c>
      <c r="FJ61" s="20" t="n">
        <f aca="false">IF(H_Direct=1,IF(AKW60&lt;=0,0,IF(BW61&lt;=0,AKW60,AKW60-G61*MAX(0,BW61*AKW60-(IV61+MI61)))),AKW60*(1-MAX(0,BW61)*H_Exit))</f>
        <v>0</v>
      </c>
      <c r="FK61" s="20" t="n">
        <f aca="false">IF(H_Direct=1,IF(AKX60&lt;=0,0,IF(BX61&lt;=0,AKX60,AKX60-G61*MAX(0,BX61*AKX60-(IW61+MJ61)))),AKX60*(1-MAX(0,BX61)*H_Exit))</f>
        <v>0</v>
      </c>
      <c r="FL61" s="20" t="n">
        <f aca="false">IF(H_Direct=1,IF(AKY60&lt;=0,0,IF(BY61&lt;=0,AKY60,AKY60-G61*MAX(0,BY61*AKY60-(IX61+MK61)))),AKY60*(1-MAX(0,BY61)*H_Exit))</f>
        <v>0</v>
      </c>
      <c r="FM61" s="20" t="n">
        <f aca="false">IF(H_Direct=1,IF(AKZ60&lt;=0,0,IF(BZ61&lt;=0,AKZ60,AKZ60-G61*MAX(0,BZ61*AKZ60-(IY61+ML61)))),AKZ60*(1-MAX(0,BZ61)*H_Exit))</f>
        <v>0</v>
      </c>
      <c r="FN61" s="20" t="n">
        <f aca="false">IF(H_Direct=1,IF(ALA60&lt;=0,0,IF(CA61&lt;=0,ALA60,ALA60-G61*MAX(0,CA61*ALA60-(IZ61+MM61)))),ALA60*(1-MAX(0,CA61)*H_Exit))</f>
        <v>0</v>
      </c>
      <c r="FO61" s="20" t="n">
        <f aca="false">IF(H_Direct=1,IF(ALB60&lt;=0,0,IF(CB61&lt;=0,ALB60,ALB60-G61*MAX(0,CB61*ALB60-(JA61+MN61)))),ALB60*(1-MAX(0,CB61)*H_Exit))</f>
        <v>0</v>
      </c>
      <c r="FP61" s="20" t="n">
        <f aca="false">IF(H_Direct=1,IF(ALC60&lt;=0,0,IF(CC61&lt;=0,ALC60,ALC60-G61*MAX(0,CC61*ALC60-(JB61+MO61)))),ALC60*(1-MAX(0,CC61)*H_Exit))</f>
        <v>0</v>
      </c>
      <c r="FQ61" s="20" t="n">
        <f aca="false">IF(H_Direct=1,IF(ALD60&lt;=0,0,IF(CD61&lt;=0,ALD60,ALD60-G61*MAX(0,CD61*ALD60-(JC61+MP61)))),ALD60*(1-MAX(0,CD61)*H_Exit))</f>
        <v>0</v>
      </c>
      <c r="FR61" s="20" t="n">
        <f aca="false">IF(H_Direct=1,IF(ALE60&lt;=0,0,IF(CE61&lt;=0,ALE60,ALE60-G61*MAX(0,CE61*ALE60-(JD61+MQ61)))),ALE60*(1-MAX(0,CE61)*H_Exit))</f>
        <v>0</v>
      </c>
      <c r="FS61" s="20" t="n">
        <f aca="false">IF(H_Direct=1,IF(ALF60&lt;=0,0,IF(CF61&lt;=0,ALF60,ALF60-G61*MAX(0,CF61*ALF60-(JE61+MR61)))),ALF60*(1-MAX(0,CF61)*H_Exit))</f>
        <v>0</v>
      </c>
      <c r="FT61" s="20" t="n">
        <f aca="false">IF(H_Direct=1,IF(ALG60&lt;=0,0,IF(CG61&lt;=0,ALG60,ALG60-G61*MAX(0,CG61*ALG60-(JF61+MS61)))),ALG60*(1-MAX(0,CG61)*H_Exit))</f>
        <v>0</v>
      </c>
      <c r="FU61" s="20" t="n">
        <f aca="false">IF(H_Direct=1,IF(ALH60&lt;=0,0,IF(CH61&lt;=0,ALH60,ALH60-G61*MAX(0,CH61*ALH60-(JG61+MT61)))),ALH60*(1-MAX(0,CH61)*H_Exit))</f>
        <v>0</v>
      </c>
      <c r="FV61" s="20" t="n">
        <f aca="false">IF(H_Direct=1,IF(ALI60&lt;=0,0,IF(CI61&lt;=0,ALI60,ALI60-G61*MAX(0,CI61*ALI60-(JH61+MU61)))),ALI60*(1-MAX(0,CI61)*H_Exit))</f>
        <v>0</v>
      </c>
      <c r="FW61" s="20" t="n">
        <f aca="false">IF(H_Direct=1,IF(ALJ60&lt;=0,0,IF(CJ61&lt;=0,ALJ60,ALJ60-G61*MAX(0,CJ61*ALJ60-(JI61+MV61)))),ALJ60*(1-MAX(0,CJ61)*H_Exit))</f>
        <v>0</v>
      </c>
      <c r="FX61" s="20" t="n">
        <f aca="false">IF(H_Direct=1,IF(ALK60&lt;=0,0,IF(CK61&lt;=0,ALK60,ALK60-G61*MAX(0,CK61*ALK60-(JJ61+MW61)))),ALK60*(1-MAX(0,CK61)*H_Exit))</f>
        <v>0</v>
      </c>
      <c r="FY61" s="20" t="n">
        <f aca="false">IF(H_Direct=1,IF(ALL60&lt;=0,0,IF(CL61&lt;=0,ALL60,ALL60-G61*MAX(0,CL61*ALL60-(JK61+MX61)))),ALL60*(1-MAX(0,CL61)*H_Exit))</f>
        <v>0</v>
      </c>
      <c r="FZ61" s="20" t="n">
        <f aca="false">IF(H_Direct=1,IF(ALM60&lt;=0,0,IF(CM61&lt;=0,ALM60,ALM60-G61*MAX(0,CM61*ALM60-(JL61+MY61)))),ALM60*(1-MAX(0,CM61)*H_Exit))</f>
        <v>0</v>
      </c>
      <c r="GA61" s="20" t="n">
        <f aca="false">IF(H_Direct=1,IF(ALN60&lt;=0,0,IF(CN61&lt;=0,ALN60,ALN60-G61*MAX(0,CN61*ALN60-(JM61+MZ61)))),ALN60*(1-MAX(0,CN61)*H_Exit))</f>
        <v>0</v>
      </c>
      <c r="GB61" s="20" t="n">
        <f aca="false">IF(H_Direct=1,IF(ALO60&lt;=0,0,IF(CO61&lt;=0,ALO60,ALO60-G61*MAX(0,CO61*ALO60-(JN61+NA61)))),ALO60*(1-MAX(0,CO61)*H_Exit))</f>
        <v>0</v>
      </c>
      <c r="GC61" s="20" t="n">
        <f aca="false">IF(H_Direct=1,IF(ALP60&lt;=0,0,IF(CP61&lt;=0,ALP60,ALP60-G61*MAX(0,CP61*ALP60-(JO61+NB61)))),ALP60*(1-MAX(0,CP61)*H_Exit))</f>
        <v>0</v>
      </c>
      <c r="GD61" s="20" t="n">
        <f aca="false">IF(H_Direct=1,IF(ALQ60&lt;=0,0,IF(CQ61&lt;=0,ALQ60,ALQ60-G61*MAX(0,CQ61*ALQ60-(JP61+NC61)))),ALQ60*(1-MAX(0,CQ61)*H_Exit))</f>
        <v>0</v>
      </c>
      <c r="GE61" s="20" t="n">
        <f aca="false">IF(H_Direct=1,IF(ALR60&lt;=0,0,IF(CR61&lt;=0,ALR60,ALR60-G61*MAX(0,CR61*ALR60-(JQ61+ND61)))),ALR60*(1-MAX(0,CR61)*H_Exit))</f>
        <v>0</v>
      </c>
      <c r="GF61" s="20" t="n">
        <f aca="false">IF(H_Direct=1,IF(ALS60&lt;=0,0,IF(CS61&lt;=0,ALS60,ALS60-G61*MAX(0,CS61*ALS60-(JR61+NE61)))),ALS60*(1-MAX(0,CS61)*H_Exit))</f>
        <v>0</v>
      </c>
      <c r="GG61" s="20" t="n">
        <f aca="false">IF(H_Direct=1,IF(ALT60&lt;=0,0,IF(CT61&lt;=0,ALT60,ALT60-G61*MAX(0,CT61*ALT60-(JS61+NF61)))),ALT60*(1-MAX(0,CT61)*H_Exit))</f>
        <v>0</v>
      </c>
      <c r="GH61" s="20" t="n">
        <f aca="false">IF(H_Direct=1,IF(ALU60&lt;=0,0,IF(CU61&lt;=0,ALU60,ALU60-G61*MAX(0,CU61*ALU60-(JT61+NG61)))),ALU60*(1-MAX(0,CU61)*H_Exit))</f>
        <v>0</v>
      </c>
      <c r="GI61" s="20" t="n">
        <f aca="false">IF(H_Direct=1,IF(ALV60&lt;=0,0,IF(CV61&lt;=0,ALV60,ALV60-G61*MAX(0,CV61*ALV60-(JU61+NH61)))),ALV60*(1-MAX(0,CV61)*H_Exit))</f>
        <v>0</v>
      </c>
      <c r="GJ61" s="20" t="n">
        <f aca="false">IF(H_Direct=1,IF(ALW60&lt;=0,0,IF(CW61&lt;=0,ALW60,ALW60-G61*MAX(0,CW61*ALW60-(JV61+NI61)))),ALW60*(1-MAX(0,CW61)*H_Exit))</f>
        <v>0</v>
      </c>
      <c r="GK61" s="20" t="n">
        <f aca="false">IF(H_Direct=1,IF(ALX60&lt;=0,0,IF(CX61&lt;=0,ALX60,ALX60-G61*MAX(0,CX61*ALX60-(JW61+NJ61)))),ALX60*(1-MAX(0,CX61)*H_Exit))</f>
        <v>0</v>
      </c>
      <c r="GL61" s="20" t="n">
        <f aca="false">IF(H_Direct=1,IF(ALY60&lt;=0,0,IF(CY61&lt;=0,ALY60,ALY60-G61*MAX(0,CY61*ALY60-(JX61+NK61)))),ALY60*(1-MAX(0,CY61)*H_Exit))</f>
        <v>0</v>
      </c>
      <c r="GM61" s="20" t="n">
        <f aca="false">IF(H_Direct=1,IF(ALZ60&lt;=0,0,IF(CZ61&lt;=0,ALZ60,ALZ60-G61*MAX(0,CZ61*ALZ60-(JY61+NL61)))),ALZ60*(1-MAX(0,CZ61)*H_Exit))</f>
        <v>0</v>
      </c>
      <c r="GN61" s="20" t="n">
        <f aca="false">IF(H_Direct=1,IF(AMA60&lt;=0,0,IF(DA61&lt;=0,AMA60,AMA60-G61*MAX(0,DA61*AMA60-(JZ61+NM61)))),AMA60*(1-MAX(0,DA61)*H_Exit))</f>
        <v>0</v>
      </c>
      <c r="GO61" s="20" t="n">
        <f aca="false">IF(H_Direct=1,IF(AMB60&lt;=0,0,IF(DB61&lt;=0,AMB60,AMB60-G61*MAX(0,DB61*AMB60-(KA61+NN61)))),AMB60*(1-MAX(0,DB61)*H_Exit))</f>
        <v>0</v>
      </c>
      <c r="GP61" s="20" t="n">
        <f aca="false">IF(H_Direct=1,IF(AMC60&lt;=0,0,IF(DC61&lt;=0,AMC60,AMC60-G61*MAX(0,DC61*AMC60-(KB61+NO61)))),AMC60*(1-MAX(0,DC61)*H_Exit))</f>
        <v>0</v>
      </c>
      <c r="GQ61" s="20" t="n">
        <f aca="false">IF(H_Direct=1,IF(AMD60&lt;=0,0,IF(DD61&lt;=0,AMD60,AMD60-G61*MAX(0,DD61*AMD60-(KC61+NP61)))),AMD60*(1-MAX(0,DD61)*H_Exit))</f>
        <v>0</v>
      </c>
      <c r="GR61" s="20" t="n">
        <f aca="false">IF(H_Direct=1,IF(AME60&lt;=0,0,IF(DE61&lt;=0,AME60,AME60-G61*MAX(0,DE61*AME60-(KD61+NQ61)))),AME60*(1-MAX(0,DE61)*H_Exit))</f>
        <v>0</v>
      </c>
      <c r="GS61" s="20" t="n">
        <f aca="false">IF(H_Direct=1,IF(AMF60&lt;=0,0,IF(DF61&lt;=0,AMF60,AMF60-G61*MAX(0,DF61*AMF60-(KE61+NR61)))),AMF60*(1-MAX(0,DF61)*H_Exit))</f>
        <v>0</v>
      </c>
      <c r="GT61" s="20" t="n">
        <f aca="false">IF(H_Direct=1,IF(AMG60&lt;=0,0,IF(DG61&lt;=0,AMG60,AMG60-G61*MAX(0,DG61*AMG60-(KF61+NS61)))),AMG60*(1-MAX(0,DG61)*H_Exit))</f>
        <v>0</v>
      </c>
      <c r="GU61" s="20" t="n">
        <f aca="false">IF(H_Direct=1,IF(AMH60&lt;=0,0,IF(DH61&lt;=0,AMH60,AMH60-G61*MAX(0,DH61*AMH60-(KG61+NT61)))),AMH60*(1-MAX(0,DH61)*H_Exit))</f>
        <v>0</v>
      </c>
      <c r="GV61" s="20" t="n">
        <f aca="false">IF(H_Direct=1,IF(AMI60&lt;=0,0,IF(DI61&lt;=0,AMI60,AMI60-G61*MAX(0,DI61*AMI60-(KH61+NU61)))),AMI60*(1-MAX(0,DI61)*H_Exit))</f>
        <v>0</v>
      </c>
      <c r="GW61" s="20" t="n">
        <f aca="false">IF(H_Direct=1,IF(AMJ60&lt;=0,0,IF(DJ61&lt;=0,AMJ60,AMJ60-G61*MAX(0,DJ61*AMJ60-(KI61+NV61)))),AMJ60*(1-MAX(0,DJ61)*H_Exit))</f>
        <v>0</v>
      </c>
      <c r="GX61" s="20" t="n">
        <f aca="false">IF(H_Direct=1,IF(AMK60&lt;=0,0,IF(DK61&lt;=0,AMK60,AMK60-G61*MAX(0,DK61*AMK60-(KJ61+NW61)))),AMK60*(1-MAX(0,DK61)*H_Exit))</f>
        <v>0</v>
      </c>
      <c r="GY61" s="20" t="n">
        <f aca="false">IF(H_Direct=1,IF(AML60&lt;=0,0,IF(DL61&lt;=0,AML60,AML60-G61*MAX(0,DL61*AML60-(KK61+NX61)))),AML60*(1-MAX(0,DL61)*H_Exit))</f>
        <v>0</v>
      </c>
      <c r="GZ61" s="20" t="n">
        <f aca="false">IF(H_Direct=1,IF(AMM60&lt;=0,0,IF(DM61&lt;=0,AMM60,AMM60-G61*MAX(0,DM61*AMM60-(KL61+NY61)))),AMM60*(1-MAX(0,DM61)*H_Exit))</f>
        <v>0</v>
      </c>
      <c r="HA61" s="20" t="n">
        <f aca="false">IF(H_Direct=1,IF(AMN60&lt;=0,0,IF(DN61&lt;=0,AMN60,AMN60-G61*MAX(0,DN61*AMN60-(KM61+NZ61)))),AMN60*(1-MAX(0,DN61)*H_Exit))</f>
        <v>0</v>
      </c>
      <c r="HB61" s="20" t="n">
        <f aca="false">IF(H_Direct=1,IF(AMO60&lt;=0,0,IF(DO61&lt;=0,AMO60,AMO60-G61*MAX(0,DO61*AMO60-(KN61+OA61)))),AMO60*(1-MAX(0,DO61)*H_Exit))</f>
        <v>0</v>
      </c>
      <c r="HC61" s="20" t="n">
        <f aca="false">IF(H_Direct=1,IF(AMP60&lt;=0,0,IF(DP61&lt;=0,AMP60,AMP60-G61*MAX(0,DP61*AMP60-(KO61+OB61)))),AMP60*(1-MAX(0,DP61)*H_Exit))</f>
        <v>0</v>
      </c>
      <c r="HD61" s="20" t="n">
        <f aca="false">IF(H_Direct=1,IF(AMQ60&lt;=0,0,IF(DQ61&lt;=0,AMQ60,AMQ60-G61*MAX(0,DQ61*AMQ60-(KP61+OC61)))),AMQ60*(1-MAX(0,DQ61)*H_Exit))</f>
        <v>0</v>
      </c>
      <c r="HE61" s="20" t="n">
        <f aca="false">IF(H_Direct=1,IF(AMR60&lt;=0,0,IF(DR61&lt;=0,AMR60,AMR60-G61*MAX(0,DR61*AMR60-(KQ61+OD61)))),AMR60*(1-MAX(0,DR61)*H_Exit))</f>
        <v>0</v>
      </c>
      <c r="HF61" s="20" t="n">
        <f aca="false">IF(H_Direct=1,IF(AMS60&lt;=0,0,IF(DS61&lt;=0,AMS60,AMS60-G61*MAX(0,DS61*AMS60-(KR61+OE61)))),AMS60*(1-MAX(0,DS61)*H_Exit))</f>
        <v>0</v>
      </c>
      <c r="HG61" s="20" t="n">
        <f aca="false">IF(H_Direct=1,IF((P61+S61)&lt;=0,0,IF(DT61&lt;=0,(P61+S61),(P61+S61)-G61*MAX(0,DT61*(P61+S61)-(KS61+OF61)))),(P61+S61)*(1-MAX(0,DT61)*H_Exit))</f>
        <v>0</v>
      </c>
      <c r="HH61" s="20" t="n">
        <v>0</v>
      </c>
      <c r="HI61" s="20" t="n">
        <v>0</v>
      </c>
      <c r="HJ61" s="20" t="n">
        <v>0</v>
      </c>
      <c r="HK61" s="20" t="n">
        <v>0</v>
      </c>
      <c r="HL61" s="20" t="n">
        <v>0</v>
      </c>
      <c r="HM61" s="20" t="n">
        <v>0</v>
      </c>
      <c r="HN61" s="20" t="n">
        <v>0</v>
      </c>
      <c r="HO61" s="20" t="n">
        <v>0</v>
      </c>
      <c r="HP61" s="20" t="n">
        <v>0</v>
      </c>
      <c r="HQ61" s="20" t="n">
        <v>0</v>
      </c>
      <c r="HR61" s="20" t="n">
        <v>0</v>
      </c>
      <c r="HS61" s="20" t="n">
        <v>0</v>
      </c>
      <c r="HT61" s="20" t="n">
        <v>0</v>
      </c>
      <c r="HU61" s="20" t="n">
        <v>0</v>
      </c>
      <c r="HV61" s="20" t="n">
        <v>0</v>
      </c>
      <c r="HW61" s="20" t="n">
        <v>0</v>
      </c>
      <c r="HX61" s="20" t="n">
        <v>0</v>
      </c>
      <c r="HY61" s="20" t="n">
        <v>0</v>
      </c>
      <c r="HZ61" s="20" t="n">
        <v>0</v>
      </c>
      <c r="IA61" s="20" t="n">
        <v>0</v>
      </c>
      <c r="IB61" s="20" t="n">
        <v>0</v>
      </c>
      <c r="IC61" s="20" t="n">
        <v>0</v>
      </c>
      <c r="ID61" s="20" t="n">
        <v>0</v>
      </c>
      <c r="IE61" s="20" t="n">
        <v>0</v>
      </c>
      <c r="IF61" s="20" t="n">
        <v>0</v>
      </c>
      <c r="IG61" s="20" t="n">
        <v>0</v>
      </c>
      <c r="IH61" s="20" t="n">
        <v>0</v>
      </c>
      <c r="II61" s="20" t="n">
        <v>0</v>
      </c>
      <c r="IJ61" s="20" t="n">
        <v>0</v>
      </c>
      <c r="IK61" s="20" t="n">
        <v>0</v>
      </c>
      <c r="IL61" s="20" t="n">
        <v>0</v>
      </c>
      <c r="IM61" s="20" t="n">
        <v>0</v>
      </c>
      <c r="IN61" s="20" t="n">
        <v>0</v>
      </c>
      <c r="IO61" s="20" t="n">
        <v>0</v>
      </c>
      <c r="IP61" s="20" t="n">
        <v>0</v>
      </c>
      <c r="IQ61" s="20" t="n">
        <v>0</v>
      </c>
      <c r="IR61" s="20" t="n">
        <f aca="false">IF(AND(H_Direct=1,BR61&gt;0),MAX(0,H61-(MIN(BR61*AKR60,H61+I61)-MIN(MIN(BR61*AKR60,H61+I61),I61))),H61)</f>
        <v>1270</v>
      </c>
      <c r="IS61" s="20" t="n">
        <f aca="false">IF(AND(H_Direct=1,BS61&gt;0),MAX(0,IR61-(MIN(BS61*AKS60,IR61+ME61)-MIN(MIN(BS61*AKS60,IR61+ME61),ME61))),IR61)</f>
        <v>1270</v>
      </c>
      <c r="IT61" s="20" t="n">
        <f aca="false">IF(AND(H_Direct=1,BT61&gt;0),MAX(0,IS61-(MIN(BT61*AKT60,IS61+MF61)-MIN(MIN(BT61*AKT60,IS61+MF61),MF61))),IS61)</f>
        <v>1270</v>
      </c>
      <c r="IU61" s="20" t="n">
        <f aca="false">IF(AND(H_Direct=1,BU61&gt;0),MAX(0,IT61-(MIN(BU61*AKU60,IT61+MG61)-MIN(MIN(BU61*AKU60,IT61+MG61),MG61))),IT61)</f>
        <v>1270</v>
      </c>
      <c r="IV61" s="20" t="n">
        <f aca="false">IF(AND(H_Direct=1,BV61&gt;0),MAX(0,IU61-(MIN(BV61*AKV60,IU61+MH61)-MIN(MIN(BV61*AKV60,IU61+MH61),MH61))),IU61)</f>
        <v>1270</v>
      </c>
      <c r="IW61" s="20" t="n">
        <f aca="false">IF(AND(H_Direct=1,BW61&gt;0),MAX(0,IV61-(MIN(BW61*AKW60,IV61+MI61)-MIN(MIN(BW61*AKW60,IV61+MI61),MI61))),IV61)</f>
        <v>1270</v>
      </c>
      <c r="IX61" s="20" t="n">
        <f aca="false">IF(AND(H_Direct=1,BX61&gt;0),MAX(0,IW61-(MIN(BX61*AKX60,IW61+MJ61)-MIN(MIN(BX61*AKX60,IW61+MJ61),MJ61))),IW61)</f>
        <v>1270</v>
      </c>
      <c r="IY61" s="20" t="n">
        <f aca="false">IF(AND(H_Direct=1,BY61&gt;0),MAX(0,IX61-(MIN(BY61*AKY60,IX61+MK61)-MIN(MIN(BY61*AKY60,IX61+MK61),MK61))),IX61)</f>
        <v>1270</v>
      </c>
      <c r="IZ61" s="20" t="n">
        <f aca="false">IF(AND(H_Direct=1,BZ61&gt;0),MAX(0,IY61-(MIN(BZ61*AKZ60,IY61+ML61)-MIN(MIN(BZ61*AKZ60,IY61+ML61),ML61))),IY61)</f>
        <v>1270</v>
      </c>
      <c r="JA61" s="20" t="n">
        <f aca="false">IF(AND(H_Direct=1,CA61&gt;0),MAX(0,IZ61-(MIN(CA61*ALA60,IZ61+MM61)-MIN(MIN(CA61*ALA60,IZ61+MM61),MM61))),IZ61)</f>
        <v>1270</v>
      </c>
      <c r="JB61" s="20" t="n">
        <f aca="false">IF(AND(H_Direct=1,CB61&gt;0),MAX(0,JA61-(MIN(CB61*ALB60,JA61+MN61)-MIN(MIN(CB61*ALB60,JA61+MN61),MN61))),JA61)</f>
        <v>1270</v>
      </c>
      <c r="JC61" s="20" t="n">
        <f aca="false">IF(AND(H_Direct=1,CC61&gt;0),MAX(0,JB61-(MIN(CC61*ALC60,JB61+MO61)-MIN(MIN(CC61*ALC60,JB61+MO61),MO61))),JB61)</f>
        <v>1270</v>
      </c>
      <c r="JD61" s="20" t="n">
        <f aca="false">IF(AND(H_Direct=1,CD61&gt;0),MAX(0,JC61-(MIN(CD61*ALD60,JC61+MP61)-MIN(MIN(CD61*ALD60,JC61+MP61),MP61))),JC61)</f>
        <v>1270</v>
      </c>
      <c r="JE61" s="20" t="n">
        <f aca="false">IF(AND(H_Direct=1,CE61&gt;0),MAX(0,JD61-(MIN(CE61*ALE60,JD61+MQ61)-MIN(MIN(CE61*ALE60,JD61+MQ61),MQ61))),JD61)</f>
        <v>1270</v>
      </c>
      <c r="JF61" s="20" t="n">
        <f aca="false">IF(AND(H_Direct=1,CF61&gt;0),MAX(0,JE61-(MIN(CF61*ALF60,JE61+MR61)-MIN(MIN(CF61*ALF60,JE61+MR61),MR61))),JE61)</f>
        <v>1270</v>
      </c>
      <c r="JG61" s="20" t="n">
        <f aca="false">IF(AND(H_Direct=1,CG61&gt;0),MAX(0,JF61-(MIN(CG61*ALG60,JF61+MS61)-MIN(MIN(CG61*ALG60,JF61+MS61),MS61))),JF61)</f>
        <v>1270</v>
      </c>
      <c r="JH61" s="20" t="n">
        <f aca="false">IF(AND(H_Direct=1,CH61&gt;0),MAX(0,JG61-(MIN(CH61*ALH60,JG61+MT61)-MIN(MIN(CH61*ALH60,JG61+MT61),MT61))),JG61)</f>
        <v>1270</v>
      </c>
      <c r="JI61" s="20" t="n">
        <f aca="false">IF(AND(H_Direct=1,CI61&gt;0),MAX(0,JH61-(MIN(CI61*ALI60,JH61+MU61)-MIN(MIN(CI61*ALI60,JH61+MU61),MU61))),JH61)</f>
        <v>1270</v>
      </c>
      <c r="JJ61" s="20" t="n">
        <f aca="false">IF(AND(H_Direct=1,CJ61&gt;0),MAX(0,JI61-(MIN(CJ61*ALJ60,JI61+MV61)-MIN(MIN(CJ61*ALJ60,JI61+MV61),MV61))),JI61)</f>
        <v>1270</v>
      </c>
      <c r="JK61" s="20" t="n">
        <f aca="false">IF(AND(H_Direct=1,CK61&gt;0),MAX(0,JJ61-(MIN(CK61*ALK60,JJ61+MW61)-MIN(MIN(CK61*ALK60,JJ61+MW61),MW61))),JJ61)</f>
        <v>1270</v>
      </c>
      <c r="JL61" s="20" t="n">
        <f aca="false">IF(AND(H_Direct=1,CL61&gt;0),MAX(0,JK61-(MIN(CL61*ALL60,JK61+MX61)-MIN(MIN(CL61*ALL60,JK61+MX61),MX61))),JK61)</f>
        <v>1270</v>
      </c>
      <c r="JM61" s="20" t="n">
        <f aca="false">IF(AND(H_Direct=1,CM61&gt;0),MAX(0,JL61-(MIN(CM61*ALM60,JL61+MY61)-MIN(MIN(CM61*ALM60,JL61+MY61),MY61))),JL61)</f>
        <v>1270</v>
      </c>
      <c r="JN61" s="20" t="n">
        <f aca="false">IF(AND(H_Direct=1,CN61&gt;0),MAX(0,JM61-(MIN(CN61*ALN60,JM61+MZ61)-MIN(MIN(CN61*ALN60,JM61+MZ61),MZ61))),JM61)</f>
        <v>1270</v>
      </c>
      <c r="JO61" s="20" t="n">
        <f aca="false">IF(AND(H_Direct=1,CO61&gt;0),MAX(0,JN61-(MIN(CO61*ALO60,JN61+NA61)-MIN(MIN(CO61*ALO60,JN61+NA61),NA61))),JN61)</f>
        <v>1270</v>
      </c>
      <c r="JP61" s="20" t="n">
        <f aca="false">IF(AND(H_Direct=1,CP61&gt;0),MAX(0,JO61-(MIN(CP61*ALP60,JO61+NB61)-MIN(MIN(CP61*ALP60,JO61+NB61),NB61))),JO61)</f>
        <v>1270</v>
      </c>
      <c r="JQ61" s="20" t="n">
        <f aca="false">IF(AND(H_Direct=1,CQ61&gt;0),MAX(0,JP61-(MIN(CQ61*ALQ60,JP61+NC61)-MIN(MIN(CQ61*ALQ60,JP61+NC61),NC61))),JP61)</f>
        <v>1270</v>
      </c>
      <c r="JR61" s="20" t="n">
        <f aca="false">IF(AND(H_Direct=1,CR61&gt;0),MAX(0,JQ61-(MIN(CR61*ALR60,JQ61+ND61)-MIN(MIN(CR61*ALR60,JQ61+ND61),ND61))),JQ61)</f>
        <v>1270</v>
      </c>
      <c r="JS61" s="20" t="n">
        <f aca="false">IF(AND(H_Direct=1,CS61&gt;0),MAX(0,JR61-(MIN(CS61*ALS60,JR61+NE61)-MIN(MIN(CS61*ALS60,JR61+NE61),NE61))),JR61)</f>
        <v>1270</v>
      </c>
      <c r="JT61" s="20" t="n">
        <f aca="false">IF(AND(H_Direct=1,CT61&gt;0),MAX(0,JS61-(MIN(CT61*ALT60,JS61+NF61)-MIN(MIN(CT61*ALT60,JS61+NF61),NF61))),JS61)</f>
        <v>1270</v>
      </c>
      <c r="JU61" s="20" t="n">
        <f aca="false">IF(AND(H_Direct=1,CU61&gt;0),MAX(0,JT61-(MIN(CU61*ALU60,JT61+NG61)-MIN(MIN(CU61*ALU60,JT61+NG61),NG61))),JT61)</f>
        <v>1270</v>
      </c>
      <c r="JV61" s="20" t="n">
        <f aca="false">IF(AND(H_Direct=1,CV61&gt;0),MAX(0,JU61-(MIN(CV61*ALV60,JU61+NH61)-MIN(MIN(CV61*ALV60,JU61+NH61),NH61))),JU61)</f>
        <v>1270</v>
      </c>
      <c r="JW61" s="20" t="n">
        <f aca="false">IF(AND(H_Direct=1,CW61&gt;0),MAX(0,JV61-(MIN(CW61*ALW60,JV61+NI61)-MIN(MIN(CW61*ALW60,JV61+NI61),NI61))),JV61)</f>
        <v>1270</v>
      </c>
      <c r="JX61" s="20" t="n">
        <f aca="false">IF(AND(H_Direct=1,CX61&gt;0),MAX(0,JW61-(MIN(CX61*ALX60,JW61+NJ61)-MIN(MIN(CX61*ALX60,JW61+NJ61),NJ61))),JW61)</f>
        <v>1270</v>
      </c>
      <c r="JY61" s="20" t="n">
        <f aca="false">IF(AND(H_Direct=1,CY61&gt;0),MAX(0,JX61-(MIN(CY61*ALY60,JX61+NK61)-MIN(MIN(CY61*ALY60,JX61+NK61),NK61))),JX61)</f>
        <v>1270</v>
      </c>
      <c r="JZ61" s="20" t="n">
        <f aca="false">IF(AND(H_Direct=1,CZ61&gt;0),MAX(0,JY61-(MIN(CZ61*ALZ60,JY61+NL61)-MIN(MIN(CZ61*ALZ60,JY61+NL61),NL61))),JY61)</f>
        <v>1270</v>
      </c>
      <c r="KA61" s="20" t="n">
        <f aca="false">IF(AND(H_Direct=1,DA61&gt;0),MAX(0,JZ61-(MIN(DA61*AMA60,JZ61+NM61)-MIN(MIN(DA61*AMA60,JZ61+NM61),NM61))),JZ61)</f>
        <v>1270</v>
      </c>
      <c r="KB61" s="20" t="n">
        <f aca="false">IF(AND(H_Direct=1,DB61&gt;0),MAX(0,KA61-(MIN(DB61*AMB60,KA61+NN61)-MIN(MIN(DB61*AMB60,KA61+NN61),NN61))),KA61)</f>
        <v>1270</v>
      </c>
      <c r="KC61" s="20" t="n">
        <f aca="false">IF(AND(H_Direct=1,DC61&gt;0),MAX(0,KB61-(MIN(DC61*AMC60,KB61+NO61)-MIN(MIN(DC61*AMC60,KB61+NO61),NO61))),KB61)</f>
        <v>1270</v>
      </c>
      <c r="KD61" s="20" t="n">
        <f aca="false">IF(AND(H_Direct=1,DD61&gt;0),MAX(0,KC61-(MIN(DD61*AMD60,KC61+NP61)-MIN(MIN(DD61*AMD60,KC61+NP61),NP61))),KC61)</f>
        <v>1270</v>
      </c>
      <c r="KE61" s="20" t="n">
        <f aca="false">IF(AND(H_Direct=1,DE61&gt;0),MAX(0,KD61-(MIN(DE61*AME60,KD61+NQ61)-MIN(MIN(DE61*AME60,KD61+NQ61),NQ61))),KD61)</f>
        <v>1270</v>
      </c>
      <c r="KF61" s="20" t="n">
        <f aca="false">IF(AND(H_Direct=1,DF61&gt;0),MAX(0,KE61-(MIN(DF61*AMF60,KE61+NR61)-MIN(MIN(DF61*AMF60,KE61+NR61),NR61))),KE61)</f>
        <v>1270</v>
      </c>
      <c r="KG61" s="20" t="n">
        <f aca="false">IF(AND(H_Direct=1,DG61&gt;0),MAX(0,KF61-(MIN(DG61*AMG60,KF61+NS61)-MIN(MIN(DG61*AMG60,KF61+NS61),NS61))),KF61)</f>
        <v>1270</v>
      </c>
      <c r="KH61" s="20" t="n">
        <f aca="false">IF(AND(H_Direct=1,DH61&gt;0),MAX(0,KG61-(MIN(DH61*AMH60,KG61+NT61)-MIN(MIN(DH61*AMH60,KG61+NT61),NT61))),KG61)</f>
        <v>1270</v>
      </c>
      <c r="KI61" s="20" t="n">
        <f aca="false">IF(AND(H_Direct=1,DI61&gt;0),MAX(0,KH61-(MIN(DI61*AMI60,KH61+NU61)-MIN(MIN(DI61*AMI60,KH61+NU61),NU61))),KH61)</f>
        <v>1270</v>
      </c>
      <c r="KJ61" s="20" t="n">
        <f aca="false">IF(AND(H_Direct=1,DJ61&gt;0),MAX(0,KI61-(MIN(DJ61*AMJ60,KI61+NV61)-MIN(MIN(DJ61*AMJ60,KI61+NV61),NV61))),KI61)</f>
        <v>1270</v>
      </c>
      <c r="KK61" s="20" t="n">
        <f aca="false">IF(AND(H_Direct=1,DK61&gt;0),MAX(0,KJ61-(MIN(DK61*AMK60,KJ61+NW61)-MIN(MIN(DK61*AMK60,KJ61+NW61),NW61))),KJ61)</f>
        <v>1270</v>
      </c>
      <c r="KL61" s="20" t="n">
        <f aca="false">IF(AND(H_Direct=1,DL61&gt;0),MAX(0,KK61-(MIN(DL61*AML60,KK61+NX61)-MIN(MIN(DL61*AML60,KK61+NX61),NX61))),KK61)</f>
        <v>1270</v>
      </c>
      <c r="KM61" s="20" t="n">
        <f aca="false">IF(AND(H_Direct=1,DM61&gt;0),MAX(0,KL61-(MIN(DM61*AMM60,KL61+NY61)-MIN(MIN(DM61*AMM60,KL61+NY61),NY61))),KL61)</f>
        <v>1270</v>
      </c>
      <c r="KN61" s="20" t="n">
        <f aca="false">IF(AND(H_Direct=1,DN61&gt;0),MAX(0,KM61-(MIN(DN61*AMN60,KM61+NZ61)-MIN(MIN(DN61*AMN60,KM61+NZ61),NZ61))),KM61)</f>
        <v>1270</v>
      </c>
      <c r="KO61" s="20" t="n">
        <f aca="false">IF(AND(H_Direct=1,DO61&gt;0),MAX(0,KN61-(MIN(DO61*AMO60,KN61+OA61)-MIN(MIN(DO61*AMO60,KN61+OA61),OA61))),KN61)</f>
        <v>1270</v>
      </c>
      <c r="KP61" s="20" t="n">
        <f aca="false">IF(AND(H_Direct=1,DP61&gt;0),MAX(0,KO61-(MIN(DP61*AMP60,KO61+OB61)-MIN(MIN(DP61*AMP60,KO61+OB61),OB61))),KO61)</f>
        <v>1270</v>
      </c>
      <c r="KQ61" s="20" t="n">
        <f aca="false">IF(AND(H_Direct=1,DQ61&gt;0),MAX(0,KP61-(MIN(DQ61*AMQ60,KP61+OC61)-MIN(MIN(DQ61*AMQ60,KP61+OC61),OC61))),KP61)</f>
        <v>1270</v>
      </c>
      <c r="KR61" s="20" t="n">
        <f aca="false">IF(AND(H_Direct=1,DR61&gt;0),MAX(0,KQ61-(MIN(DR61*AMR60,KQ61+OD61)-MIN(MIN(DR61*AMR60,KQ61+OD61),OD61))),KQ61)</f>
        <v>1270</v>
      </c>
      <c r="KS61" s="20" t="n">
        <f aca="false">IF(AND(H_Direct=1,DS61&gt;0),MAX(0,KR61-(MIN(DS61*AMS60,KR61+OE61)-MIN(MIN(DS61*AMS60,KR61+OE61),OE61))),KR61)</f>
        <v>1270</v>
      </c>
      <c r="KT61" s="20" t="n">
        <f aca="false">IF(AND(H_Direct=1,DT61&gt;0),MAX(0,KS61-(MIN(DT61*(P61+S61),KS61+OF61)-MIN(MIN(DT61*(P61+S61),KS61+OF61),OF61))),KS61)</f>
        <v>1270</v>
      </c>
      <c r="KU61" s="20" t="n">
        <f aca="false">KT61</f>
        <v>1270</v>
      </c>
      <c r="KV61" s="20" t="n">
        <f aca="false">KU61</f>
        <v>1270</v>
      </c>
      <c r="KW61" s="20" t="n">
        <f aca="false">KV61</f>
        <v>1270</v>
      </c>
      <c r="KX61" s="20" t="n">
        <f aca="false">KW61</f>
        <v>1270</v>
      </c>
      <c r="KY61" s="20" t="n">
        <f aca="false">KX61</f>
        <v>1270</v>
      </c>
      <c r="KZ61" s="20" t="n">
        <f aca="false">KY61</f>
        <v>1270</v>
      </c>
      <c r="LA61" s="20" t="n">
        <f aca="false">KZ61</f>
        <v>1270</v>
      </c>
      <c r="LB61" s="20" t="n">
        <f aca="false">LA61</f>
        <v>1270</v>
      </c>
      <c r="LC61" s="20" t="n">
        <f aca="false">LB61</f>
        <v>1270</v>
      </c>
      <c r="LD61" s="20" t="n">
        <f aca="false">LC61</f>
        <v>1270</v>
      </c>
      <c r="LE61" s="20" t="n">
        <f aca="false">LD61</f>
        <v>1270</v>
      </c>
      <c r="LF61" s="20" t="n">
        <f aca="false">LE61</f>
        <v>1270</v>
      </c>
      <c r="LG61" s="20" t="n">
        <f aca="false">LF61</f>
        <v>1270</v>
      </c>
      <c r="LH61" s="20" t="n">
        <f aca="false">LG61</f>
        <v>1270</v>
      </c>
      <c r="LI61" s="20" t="n">
        <f aca="false">LH61</f>
        <v>1270</v>
      </c>
      <c r="LJ61" s="20" t="n">
        <f aca="false">LI61</f>
        <v>1270</v>
      </c>
      <c r="LK61" s="20" t="n">
        <f aca="false">LJ61</f>
        <v>1270</v>
      </c>
      <c r="LL61" s="20" t="n">
        <f aca="false">LK61</f>
        <v>1270</v>
      </c>
      <c r="LM61" s="20" t="n">
        <f aca="false">LL61</f>
        <v>1270</v>
      </c>
      <c r="LN61" s="20" t="n">
        <f aca="false">LM61</f>
        <v>1270</v>
      </c>
      <c r="LO61" s="20" t="n">
        <f aca="false">LN61</f>
        <v>1270</v>
      </c>
      <c r="LP61" s="20" t="n">
        <f aca="false">LO61</f>
        <v>1270</v>
      </c>
      <c r="LQ61" s="20" t="n">
        <f aca="false">LP61</f>
        <v>1270</v>
      </c>
      <c r="LR61" s="20" t="n">
        <f aca="false">LQ61</f>
        <v>1270</v>
      </c>
      <c r="LS61" s="20" t="n">
        <f aca="false">LR61</f>
        <v>1270</v>
      </c>
      <c r="LT61" s="20" t="n">
        <f aca="false">LS61</f>
        <v>1270</v>
      </c>
      <c r="LU61" s="20" t="n">
        <f aca="false">LT61</f>
        <v>1270</v>
      </c>
      <c r="LV61" s="20" t="n">
        <f aca="false">LU61</f>
        <v>1270</v>
      </c>
      <c r="LW61" s="20" t="n">
        <f aca="false">LV61</f>
        <v>1270</v>
      </c>
      <c r="LX61" s="20" t="n">
        <f aca="false">LW61</f>
        <v>1270</v>
      </c>
      <c r="LY61" s="20" t="n">
        <f aca="false">LX61</f>
        <v>1270</v>
      </c>
      <c r="LZ61" s="20" t="n">
        <f aca="false">LY61</f>
        <v>1270</v>
      </c>
      <c r="MA61" s="20" t="n">
        <f aca="false">LZ61</f>
        <v>1270</v>
      </c>
      <c r="MB61" s="20" t="n">
        <f aca="false">MA61</f>
        <v>1270</v>
      </c>
      <c r="MC61" s="20" t="n">
        <f aca="false">MB61</f>
        <v>1270</v>
      </c>
      <c r="MD61" s="20" t="n">
        <f aca="false">MC61</f>
        <v>1270</v>
      </c>
      <c r="ME61" s="20" t="n">
        <f aca="false">IF(H_Direct=1,IF(BR61&lt;=0,I61-BR61*AKR60,I61-MIN(MIN(BR61*AKR60,H61+I61),I61)),I61)</f>
        <v>0</v>
      </c>
      <c r="MF61" s="20" t="n">
        <f aca="false">IF(H_Direct=1,IF(BS61&lt;=0,ME61-BS61*AKS60,ME61-MIN(MIN(BS61*AKS60,IR61+ME61),ME61)),ME61)</f>
        <v>0</v>
      </c>
      <c r="MG61" s="20" t="n">
        <f aca="false">IF(H_Direct=1,IF(BT61&lt;=0,MF61-BT61*AKT60,MF61-MIN(MIN(BT61*AKT60,IS61+MF61),MF61)),MF61)</f>
        <v>0</v>
      </c>
      <c r="MH61" s="20" t="n">
        <f aca="false">IF(H_Direct=1,IF(BU61&lt;=0,MG61-BU61*AKU60,MG61-MIN(MIN(BU61*AKU60,IT61+MG61),MG61)),MG61)</f>
        <v>0</v>
      </c>
      <c r="MI61" s="20" t="n">
        <f aca="false">IF(H_Direct=1,IF(BV61&lt;=0,MH61-BV61*AKV60,MH61-MIN(MIN(BV61*AKV60,IU61+MH61),MH61)),MH61)</f>
        <v>0</v>
      </c>
      <c r="MJ61" s="20" t="n">
        <f aca="false">IF(H_Direct=1,IF(BW61&lt;=0,MI61-BW61*AKW60,MI61-MIN(MIN(BW61*AKW60,IV61+MI61),MI61)),MI61)</f>
        <v>0</v>
      </c>
      <c r="MK61" s="20" t="n">
        <f aca="false">IF(H_Direct=1,IF(BX61&lt;=0,MJ61-BX61*AKX60,MJ61-MIN(MIN(BX61*AKX60,IW61+MJ61),MJ61)),MJ61)</f>
        <v>0</v>
      </c>
      <c r="ML61" s="20" t="n">
        <f aca="false">IF(H_Direct=1,IF(BY61&lt;=0,MK61-BY61*AKY60,MK61-MIN(MIN(BY61*AKY60,IX61+MK61),MK61)),MK61)</f>
        <v>0</v>
      </c>
      <c r="MM61" s="20" t="n">
        <f aca="false">IF(H_Direct=1,IF(BZ61&lt;=0,ML61-BZ61*AKZ60,ML61-MIN(MIN(BZ61*AKZ60,IY61+ML61),ML61)),ML61)</f>
        <v>0</v>
      </c>
      <c r="MN61" s="20" t="n">
        <f aca="false">IF(H_Direct=1,IF(CA61&lt;=0,MM61-CA61*ALA60,MM61-MIN(MIN(CA61*ALA60,IZ61+MM61),MM61)),MM61)</f>
        <v>0</v>
      </c>
      <c r="MO61" s="20" t="n">
        <f aca="false">IF(H_Direct=1,IF(CB61&lt;=0,MN61-CB61*ALB60,MN61-MIN(MIN(CB61*ALB60,JA61+MN61),MN61)),MN61)</f>
        <v>0</v>
      </c>
      <c r="MP61" s="20" t="n">
        <f aca="false">IF(H_Direct=1,IF(CC61&lt;=0,MO61-CC61*ALC60,MO61-MIN(MIN(CC61*ALC60,JB61+MO61),MO61)),MO61)</f>
        <v>0</v>
      </c>
      <c r="MQ61" s="20" t="n">
        <f aca="false">IF(H_Direct=1,IF(CD61&lt;=0,MP61-CD61*ALD60,MP61-MIN(MIN(CD61*ALD60,JC61+MP61),MP61)),MP61)</f>
        <v>0</v>
      </c>
      <c r="MR61" s="20" t="n">
        <f aca="false">IF(H_Direct=1,IF(CE61&lt;=0,MQ61-CE61*ALE60,MQ61-MIN(MIN(CE61*ALE60,JD61+MQ61),MQ61)),MQ61)</f>
        <v>0</v>
      </c>
      <c r="MS61" s="20" t="n">
        <f aca="false">IF(H_Direct=1,IF(CF61&lt;=0,MR61-CF61*ALF60,MR61-MIN(MIN(CF61*ALF60,JE61+MR61),MR61)),MR61)</f>
        <v>0</v>
      </c>
      <c r="MT61" s="20" t="n">
        <f aca="false">IF(H_Direct=1,IF(CG61&lt;=0,MS61-CG61*ALG60,MS61-MIN(MIN(CG61*ALG60,JF61+MS61),MS61)),MS61)</f>
        <v>0</v>
      </c>
      <c r="MU61" s="20" t="n">
        <f aca="false">IF(H_Direct=1,IF(CH61&lt;=0,MT61-CH61*ALH60,MT61-MIN(MIN(CH61*ALH60,JG61+MT61),MT61)),MT61)</f>
        <v>0</v>
      </c>
      <c r="MV61" s="20" t="n">
        <f aca="false">IF(H_Direct=1,IF(CI61&lt;=0,MU61-CI61*ALI60,MU61-MIN(MIN(CI61*ALI60,JH61+MU61),MU61)),MU61)</f>
        <v>0</v>
      </c>
      <c r="MW61" s="20" t="n">
        <f aca="false">IF(H_Direct=1,IF(CJ61&lt;=0,MV61-CJ61*ALJ60,MV61-MIN(MIN(CJ61*ALJ60,JI61+MV61),MV61)),MV61)</f>
        <v>0</v>
      </c>
      <c r="MX61" s="20" t="n">
        <f aca="false">IF(H_Direct=1,IF(CK61&lt;=0,MW61-CK61*ALK60,MW61-MIN(MIN(CK61*ALK60,JJ61+MW61),MW61)),MW61)</f>
        <v>0</v>
      </c>
      <c r="MY61" s="20" t="n">
        <f aca="false">IF(H_Direct=1,IF(CL61&lt;=0,MX61-CL61*ALL60,MX61-MIN(MIN(CL61*ALL60,JK61+MX61),MX61)),MX61)</f>
        <v>0</v>
      </c>
      <c r="MZ61" s="20" t="n">
        <f aca="false">IF(H_Direct=1,IF(CM61&lt;=0,MY61-CM61*ALM60,MY61-MIN(MIN(CM61*ALM60,JL61+MY61),MY61)),MY61)</f>
        <v>0</v>
      </c>
      <c r="NA61" s="20" t="n">
        <f aca="false">IF(H_Direct=1,IF(CN61&lt;=0,MZ61-CN61*ALN60,MZ61-MIN(MIN(CN61*ALN60,JM61+MZ61),MZ61)),MZ61)</f>
        <v>0</v>
      </c>
      <c r="NB61" s="20" t="n">
        <f aca="false">IF(H_Direct=1,IF(CO61&lt;=0,NA61-CO61*ALO60,NA61-MIN(MIN(CO61*ALO60,JN61+NA61),NA61)),NA61)</f>
        <v>0</v>
      </c>
      <c r="NC61" s="20" t="n">
        <f aca="false">IF(H_Direct=1,IF(CP61&lt;=0,NB61-CP61*ALP60,NB61-MIN(MIN(CP61*ALP60,JO61+NB61),NB61)),NB61)</f>
        <v>0</v>
      </c>
      <c r="ND61" s="20" t="n">
        <f aca="false">IF(H_Direct=1,IF(CQ61&lt;=0,NC61-CQ61*ALQ60,NC61-MIN(MIN(CQ61*ALQ60,JP61+NC61),NC61)),NC61)</f>
        <v>0</v>
      </c>
      <c r="NE61" s="20" t="n">
        <f aca="false">IF(H_Direct=1,IF(CR61&lt;=0,ND61-CR61*ALR60,ND61-MIN(MIN(CR61*ALR60,JQ61+ND61),ND61)),ND61)</f>
        <v>0</v>
      </c>
      <c r="NF61" s="20" t="n">
        <f aca="false">IF(H_Direct=1,IF(CS61&lt;=0,NE61-CS61*ALS60,NE61-MIN(MIN(CS61*ALS60,JR61+NE61),NE61)),NE61)</f>
        <v>0</v>
      </c>
      <c r="NG61" s="20" t="n">
        <f aca="false">IF(H_Direct=1,IF(CT61&lt;=0,NF61-CT61*ALT60,NF61-MIN(MIN(CT61*ALT60,JS61+NF61),NF61)),NF61)</f>
        <v>0</v>
      </c>
      <c r="NH61" s="20" t="n">
        <f aca="false">IF(H_Direct=1,IF(CU61&lt;=0,NG61-CU61*ALU60,NG61-MIN(MIN(CU61*ALU60,JT61+NG61),NG61)),NG61)</f>
        <v>0</v>
      </c>
      <c r="NI61" s="20" t="n">
        <f aca="false">IF(H_Direct=1,IF(CV61&lt;=0,NH61-CV61*ALV60,NH61-MIN(MIN(CV61*ALV60,JU61+NH61),NH61)),NH61)</f>
        <v>0</v>
      </c>
      <c r="NJ61" s="20" t="n">
        <f aca="false">IF(H_Direct=1,IF(CW61&lt;=0,NI61-CW61*ALW60,NI61-MIN(MIN(CW61*ALW60,JV61+NI61),NI61)),NI61)</f>
        <v>0</v>
      </c>
      <c r="NK61" s="20" t="n">
        <f aca="false">IF(H_Direct=1,IF(CX61&lt;=0,NJ61-CX61*ALX60,NJ61-MIN(MIN(CX61*ALX60,JW61+NJ61),NJ61)),NJ61)</f>
        <v>0</v>
      </c>
      <c r="NL61" s="20" t="n">
        <f aca="false">IF(H_Direct=1,IF(CY61&lt;=0,NK61-CY61*ALY60,NK61-MIN(MIN(CY61*ALY60,JX61+NK61),NK61)),NK61)</f>
        <v>0</v>
      </c>
      <c r="NM61" s="20" t="n">
        <f aca="false">IF(H_Direct=1,IF(CZ61&lt;=0,NL61-CZ61*ALZ60,NL61-MIN(MIN(CZ61*ALZ60,JY61+NL61),NL61)),NL61)</f>
        <v>0</v>
      </c>
      <c r="NN61" s="20" t="n">
        <f aca="false">IF(H_Direct=1,IF(DA61&lt;=0,NM61-DA61*AMA60,NM61-MIN(MIN(DA61*AMA60,JZ61+NM61),NM61)),NM61)</f>
        <v>0</v>
      </c>
      <c r="NO61" s="20" t="n">
        <f aca="false">IF(H_Direct=1,IF(DB61&lt;=0,NN61-DB61*AMB60,NN61-MIN(MIN(DB61*AMB60,KA61+NN61),NN61)),NN61)</f>
        <v>0</v>
      </c>
      <c r="NP61" s="20" t="n">
        <f aca="false">IF(H_Direct=1,IF(DC61&lt;=0,NO61-DC61*AMC60,NO61-MIN(MIN(DC61*AMC60,KB61+NO61),NO61)),NO61)</f>
        <v>0</v>
      </c>
      <c r="NQ61" s="20" t="n">
        <f aca="false">IF(H_Direct=1,IF(DD61&lt;=0,NP61-DD61*AMD60,NP61-MIN(MIN(DD61*AMD60,KC61+NP61),NP61)),NP61)</f>
        <v>0</v>
      </c>
      <c r="NR61" s="20" t="n">
        <f aca="false">IF(H_Direct=1,IF(DE61&lt;=0,NQ61-DE61*AME60,NQ61-MIN(MIN(DE61*AME60,KD61+NQ61),NQ61)),NQ61)</f>
        <v>0</v>
      </c>
      <c r="NS61" s="20" t="n">
        <f aca="false">IF(H_Direct=1,IF(DF61&lt;=0,NR61-DF61*AMF60,NR61-MIN(MIN(DF61*AMF60,KE61+NR61),NR61)),NR61)</f>
        <v>0</v>
      </c>
      <c r="NT61" s="20" t="n">
        <f aca="false">IF(H_Direct=1,IF(DG61&lt;=0,NS61-DG61*AMG60,NS61-MIN(MIN(DG61*AMG60,KF61+NS61),NS61)),NS61)</f>
        <v>0</v>
      </c>
      <c r="NU61" s="20" t="n">
        <f aca="false">IF(H_Direct=1,IF(DH61&lt;=0,NT61-DH61*AMH60,NT61-MIN(MIN(DH61*AMH60,KG61+NT61),NT61)),NT61)</f>
        <v>0</v>
      </c>
      <c r="NV61" s="20" t="n">
        <f aca="false">IF(H_Direct=1,IF(DI61&lt;=0,NU61-DI61*AMI60,NU61-MIN(MIN(DI61*AMI60,KH61+NU61),NU61)),NU61)</f>
        <v>0</v>
      </c>
      <c r="NW61" s="20" t="n">
        <f aca="false">IF(H_Direct=1,IF(DJ61&lt;=0,NV61-DJ61*AMJ60,NV61-MIN(MIN(DJ61*AMJ60,KI61+NV61),NV61)),NV61)</f>
        <v>0</v>
      </c>
      <c r="NX61" s="20" t="n">
        <f aca="false">IF(H_Direct=1,IF(DK61&lt;=0,NW61-DK61*AMK60,NW61-MIN(MIN(DK61*AMK60,KJ61+NW61),NW61)),NW61)</f>
        <v>0</v>
      </c>
      <c r="NY61" s="20" t="n">
        <f aca="false">IF(H_Direct=1,IF(DL61&lt;=0,NX61-DL61*AML60,NX61-MIN(MIN(DL61*AML60,KK61+NX61),NX61)),NX61)</f>
        <v>0</v>
      </c>
      <c r="NZ61" s="20" t="n">
        <f aca="false">IF(H_Direct=1,IF(DM61&lt;=0,NY61-DM61*AMM60,NY61-MIN(MIN(DM61*AMM60,KL61+NY61),NY61)),NY61)</f>
        <v>0</v>
      </c>
      <c r="OA61" s="20" t="n">
        <f aca="false">IF(H_Direct=1,IF(DN61&lt;=0,NZ61-DN61*AMN60,NZ61-MIN(MIN(DN61*AMN60,KM61+NZ61),NZ61)),NZ61)</f>
        <v>0</v>
      </c>
      <c r="OB61" s="20" t="n">
        <f aca="false">IF(H_Direct=1,IF(DO61&lt;=0,OA61-DO61*AMO60,OA61-MIN(MIN(DO61*AMO60,KN61+OA61),OA61)),OA61)</f>
        <v>0</v>
      </c>
      <c r="OC61" s="20" t="n">
        <f aca="false">IF(H_Direct=1,IF(DP61&lt;=0,OB61-DP61*AMP60,OB61-MIN(MIN(DP61*AMP60,KO61+OB61),OB61)),OB61)</f>
        <v>0</v>
      </c>
      <c r="OD61" s="20" t="n">
        <f aca="false">IF(H_Direct=1,IF(DQ61&lt;=0,OC61-DQ61*AMQ60,OC61-MIN(MIN(DQ61*AMQ60,KP61+OC61),OC61)),OC61)</f>
        <v>0</v>
      </c>
      <c r="OE61" s="20" t="n">
        <f aca="false">IF(H_Direct=1,IF(DR61&lt;=0,OD61-DR61*AMR60,OD61-MIN(MIN(DR61*AMR60,KQ61+OD61),OD61)),OD61)</f>
        <v>0</v>
      </c>
      <c r="OF61" s="20" t="n">
        <f aca="false">IF(H_Direct=1,IF(DS61&lt;=0,OE61-DS61*AMS60,OE61-MIN(MIN(DS61*AMS60,KR61+OE61),OE61)),OE61)</f>
        <v>0</v>
      </c>
      <c r="OG61" s="20" t="n">
        <f aca="false">IF(H_Direct=1,IF(DT61&lt;=0,OF61-DT61*(P61+S61),OF61-MIN(MIN(DT61*(P61+S61),KS61+OF61),OF61)),OF61)</f>
        <v>0</v>
      </c>
      <c r="OH61" s="20" t="n">
        <f aca="false">OG61</f>
        <v>0</v>
      </c>
      <c r="OI61" s="20" t="n">
        <f aca="false">OH61</f>
        <v>0</v>
      </c>
      <c r="OJ61" s="20" t="n">
        <f aca="false">OI61</f>
        <v>0</v>
      </c>
      <c r="OK61" s="20" t="n">
        <f aca="false">OJ61</f>
        <v>0</v>
      </c>
      <c r="OL61" s="20" t="n">
        <f aca="false">OK61</f>
        <v>0</v>
      </c>
      <c r="OM61" s="20" t="n">
        <f aca="false">OL61</f>
        <v>0</v>
      </c>
      <c r="ON61" s="20" t="n">
        <f aca="false">OM61</f>
        <v>0</v>
      </c>
      <c r="OO61" s="20" t="n">
        <f aca="false">ON61</f>
        <v>0</v>
      </c>
      <c r="OP61" s="20" t="n">
        <f aca="false">OO61</f>
        <v>0</v>
      </c>
      <c r="OQ61" s="20" t="n">
        <f aca="false">OP61</f>
        <v>0</v>
      </c>
      <c r="OR61" s="20" t="n">
        <f aca="false">OQ61</f>
        <v>0</v>
      </c>
      <c r="OS61" s="20" t="n">
        <f aca="false">OR61</f>
        <v>0</v>
      </c>
      <c r="OT61" s="20" t="n">
        <f aca="false">OS61</f>
        <v>0</v>
      </c>
      <c r="OU61" s="20" t="n">
        <f aca="false">OT61</f>
        <v>0</v>
      </c>
      <c r="OV61" s="20" t="n">
        <f aca="false">OU61</f>
        <v>0</v>
      </c>
      <c r="OW61" s="20" t="n">
        <f aca="false">OV61</f>
        <v>0</v>
      </c>
      <c r="OX61" s="20" t="n">
        <f aca="false">OW61</f>
        <v>0</v>
      </c>
      <c r="OY61" s="20" t="n">
        <f aca="false">OX61</f>
        <v>0</v>
      </c>
      <c r="OZ61" s="20" t="n">
        <f aca="false">OY61</f>
        <v>0</v>
      </c>
      <c r="PA61" s="20" t="n">
        <f aca="false">OZ61</f>
        <v>0</v>
      </c>
      <c r="PB61" s="20" t="n">
        <f aca="false">PA61</f>
        <v>0</v>
      </c>
      <c r="PC61" s="20" t="n">
        <f aca="false">PB61</f>
        <v>0</v>
      </c>
      <c r="PD61" s="20" t="n">
        <f aca="false">PC61</f>
        <v>0</v>
      </c>
      <c r="PE61" s="20" t="n">
        <f aca="false">PD61</f>
        <v>0</v>
      </c>
      <c r="PF61" s="20" t="n">
        <f aca="false">PE61</f>
        <v>0</v>
      </c>
      <c r="PG61" s="20" t="n">
        <f aca="false">PF61</f>
        <v>0</v>
      </c>
      <c r="PH61" s="20" t="n">
        <f aca="false">PG61</f>
        <v>0</v>
      </c>
      <c r="PI61" s="20" t="n">
        <f aca="false">PH61</f>
        <v>0</v>
      </c>
      <c r="PJ61" s="20" t="n">
        <f aca="false">PI61</f>
        <v>0</v>
      </c>
      <c r="PK61" s="20" t="n">
        <f aca="false">PJ61</f>
        <v>0</v>
      </c>
      <c r="PL61" s="20" t="n">
        <f aca="false">PK61</f>
        <v>0</v>
      </c>
      <c r="PM61" s="20" t="n">
        <f aca="false">PL61</f>
        <v>0</v>
      </c>
      <c r="PN61" s="20" t="n">
        <f aca="false">PM61</f>
        <v>0</v>
      </c>
      <c r="PO61" s="20" t="n">
        <f aca="false">PN61</f>
        <v>0</v>
      </c>
      <c r="PP61" s="20" t="n">
        <f aca="false">PO61</f>
        <v>0</v>
      </c>
      <c r="PQ61" s="20" t="n">
        <f aca="false">PP61</f>
        <v>0</v>
      </c>
      <c r="PR61" s="20" t="n">
        <f aca="false">IF(H_Direct=1,IF(AKR60&lt;=0,0,IF(BR61&lt;=0,MIN(MAX(0,AB61),AKR60),MIN(MAX(0,AB61),AKR60-G61*MAX(0,BR61*AKR60-(H61+I61))))),MIN(FE61,MAX(0,AB61)))</f>
        <v>0</v>
      </c>
      <c r="PS61" s="20" t="n">
        <f aca="false">IF(H_Direct=1,IF(AKS60&lt;=0,0,IF(BS61&lt;=0,MIN(MAX(0,AB61-SUM(PR61:PR61)),AKS60),MIN(MAX(0,AB61-SUM(PR61:PR61)),AKS60-G61*MAX(0,BS61*AKS60-(WR61+AAE61))))),MIN(FF61,MAX(0,AB61-SUM(PR61:PR61))))</f>
        <v>0</v>
      </c>
      <c r="PT61" s="20" t="n">
        <f aca="false">IF(H_Direct=1,IF(AKT60&lt;=0,0,IF(BT61&lt;=0,MIN(MAX(0,AB61-SUM(PR61:PS61)),AKT60),MIN(MAX(0,AB61-SUM(PR61:PS61)),AKT60-G61*MAX(0,BT61*AKT60-(WS61+AAF61))))),MIN(FG61,MAX(0,AB61-SUM(PR61:PS61))))</f>
        <v>0</v>
      </c>
      <c r="PU61" s="20" t="n">
        <f aca="false">IF(H_Direct=1,IF(AKU60&lt;=0,0,IF(BU61&lt;=0,MIN(MAX(0,AB61-SUM(PR61:PT61)),AKU60),MIN(MAX(0,AB61-SUM(PR61:PT61)),AKU60-G61*MAX(0,BU61*AKU60-(WT61+AAG61))))),MIN(FH61,MAX(0,AB61-SUM(PR61:PT61))))</f>
        <v>0</v>
      </c>
      <c r="PV61" s="20" t="n">
        <f aca="false">IF(H_Direct=1,IF(AKV60&lt;=0,0,IF(BV61&lt;=0,MIN(MAX(0,AB61-SUM(PR61:PU61)),AKV60),MIN(MAX(0,AB61-SUM(PR61:PU61)),AKV60-G61*MAX(0,BV61*AKV60-(WU61+AAH61))))),MIN(FI61,MAX(0,AB61-SUM(PR61:PU61))))</f>
        <v>0</v>
      </c>
      <c r="PW61" s="20" t="n">
        <f aca="false">IF(H_Direct=1,IF(AKW60&lt;=0,0,IF(BW61&lt;=0,MIN(MAX(0,AB61-SUM(PR61:PV61)),AKW60),MIN(MAX(0,AB61-SUM(PR61:PV61)),AKW60-G61*MAX(0,BW61*AKW60-(WV61+AAI61))))),MIN(FJ61,MAX(0,AB61-SUM(PR61:PV61))))</f>
        <v>0</v>
      </c>
      <c r="PX61" s="20" t="n">
        <f aca="false">IF(H_Direct=1,IF(AKX60&lt;=0,0,IF(BX61&lt;=0,MIN(MAX(0,AB61-SUM(PR61:PW61)),AKX60),MIN(MAX(0,AB61-SUM(PR61:PW61)),AKX60-G61*MAX(0,BX61*AKX60-(WW61+AAJ61))))),MIN(FK61,MAX(0,AB61-SUM(PR61:PW61))))</f>
        <v>0</v>
      </c>
      <c r="PY61" s="20" t="n">
        <f aca="false">IF(H_Direct=1,IF(AKY60&lt;=0,0,IF(BY61&lt;=0,MIN(MAX(0,AB61-SUM(PR61:PX61)),AKY60),MIN(MAX(0,AB61-SUM(PR61:PX61)),AKY60-G61*MAX(0,BY61*AKY60-(WX61+AAK61))))),MIN(FL61,MAX(0,AB61-SUM(PR61:PX61))))</f>
        <v>0</v>
      </c>
      <c r="PZ61" s="20" t="n">
        <f aca="false">IF(H_Direct=1,IF(AKZ60&lt;=0,0,IF(BZ61&lt;=0,MIN(MAX(0,AB61-SUM(PR61:PY61)),AKZ60),MIN(MAX(0,AB61-SUM(PR61:PY61)),AKZ60-G61*MAX(0,BZ61*AKZ60-(WY61+AAL61))))),MIN(FM61,MAX(0,AB61-SUM(PR61:PY61))))</f>
        <v>0</v>
      </c>
      <c r="QA61" s="20" t="n">
        <f aca="false">IF(H_Direct=1,IF(ALA60&lt;=0,0,IF(CA61&lt;=0,MIN(MAX(0,AB61-SUM(PR61:PZ61)),ALA60),MIN(MAX(0,AB61-SUM(PR61:PZ61)),ALA60-G61*MAX(0,CA61*ALA60-(WZ61+AAM61))))),MIN(FN61,MAX(0,AB61-SUM(PR61:PZ61))))</f>
        <v>0</v>
      </c>
      <c r="QB61" s="20" t="n">
        <f aca="false">IF(H_Direct=1,IF(ALB60&lt;=0,0,IF(CB61&lt;=0,MIN(MAX(0,AB61-SUM(PR61:QA61)),ALB60),MIN(MAX(0,AB61-SUM(PR61:QA61)),ALB60-G61*MAX(0,CB61*ALB60-(XA61+AAN61))))),MIN(FO61,MAX(0,AB61-SUM(PR61:QA61))))</f>
        <v>0</v>
      </c>
      <c r="QC61" s="20" t="n">
        <f aca="false">IF(H_Direct=1,IF(ALC60&lt;=0,0,IF(CC61&lt;=0,MIN(MAX(0,AB61-SUM(PR61:QB61)),ALC60),MIN(MAX(0,AB61-SUM(PR61:QB61)),ALC60-G61*MAX(0,CC61*ALC60-(XB61+AAO61))))),MIN(FP61,MAX(0,AB61-SUM(PR61:QB61))))</f>
        <v>0</v>
      </c>
      <c r="QD61" s="20" t="n">
        <f aca="false">IF(H_Direct=1,IF(ALD60&lt;=0,0,IF(CD61&lt;=0,MIN(MAX(0,AB61-SUM(PR61:QC61)),ALD60),MIN(MAX(0,AB61-SUM(PR61:QC61)),ALD60-G61*MAX(0,CD61*ALD60-(XC61+AAP61))))),MIN(FQ61,MAX(0,AB61-SUM(PR61:QC61))))</f>
        <v>0</v>
      </c>
      <c r="QE61" s="20" t="n">
        <f aca="false">IF(H_Direct=1,IF(ALE60&lt;=0,0,IF(CE61&lt;=0,MIN(MAX(0,AB61-SUM(PR61:QD61)),ALE60),MIN(MAX(0,AB61-SUM(PR61:QD61)),ALE60-G61*MAX(0,CE61*ALE60-(XD61+AAQ61))))),MIN(FR61,MAX(0,AB61-SUM(PR61:QD61))))</f>
        <v>0</v>
      </c>
      <c r="QF61" s="20" t="n">
        <f aca="false">IF(H_Direct=1,IF(ALF60&lt;=0,0,IF(CF61&lt;=0,MIN(MAX(0,AB61-SUM(PR61:QE61)),ALF60),MIN(MAX(0,AB61-SUM(PR61:QE61)),ALF60-G61*MAX(0,CF61*ALF60-(XE61+AAR61))))),MIN(FS61,MAX(0,AB61-SUM(PR61:QE61))))</f>
        <v>0</v>
      </c>
      <c r="QG61" s="20" t="n">
        <f aca="false">IF(H_Direct=1,IF(ALG60&lt;=0,0,IF(CG61&lt;=0,MIN(MAX(0,AB61-SUM(PR61:QF61)),ALG60),MIN(MAX(0,AB61-SUM(PR61:QF61)),ALG60-G61*MAX(0,CG61*ALG60-(XF61+AAS61))))),MIN(FT61,MAX(0,AB61-SUM(PR61:QF61))))</f>
        <v>0</v>
      </c>
      <c r="QH61" s="20" t="n">
        <f aca="false">IF(H_Direct=1,IF(ALH60&lt;=0,0,IF(CH61&lt;=0,MIN(MAX(0,AB61-SUM(PR61:QG61)),ALH60),MIN(MAX(0,AB61-SUM(PR61:QG61)),ALH60-G61*MAX(0,CH61*ALH60-(XG61+AAT61))))),MIN(FU61,MAX(0,AB61-SUM(PR61:QG61))))</f>
        <v>0</v>
      </c>
      <c r="QI61" s="20" t="n">
        <f aca="false">IF(H_Direct=1,IF(ALI60&lt;=0,0,IF(CI61&lt;=0,MIN(MAX(0,AB61-SUM(PR61:QH61)),ALI60),MIN(MAX(0,AB61-SUM(PR61:QH61)),ALI60-G61*MAX(0,CI61*ALI60-(XH61+AAU61))))),MIN(FV61,MAX(0,AB61-SUM(PR61:QH61))))</f>
        <v>0</v>
      </c>
      <c r="QJ61" s="20" t="n">
        <f aca="false">IF(H_Direct=1,IF(ALJ60&lt;=0,0,IF(CJ61&lt;=0,MIN(MAX(0,AB61-SUM(PR61:QI61)),ALJ60),MIN(MAX(0,AB61-SUM(PR61:QI61)),ALJ60-G61*MAX(0,CJ61*ALJ60-(XI61+AAV61))))),MIN(FW61,MAX(0,AB61-SUM(PR61:QI61))))</f>
        <v>0</v>
      </c>
      <c r="QK61" s="20" t="n">
        <f aca="false">IF(H_Direct=1,IF(ALK60&lt;=0,0,IF(CK61&lt;=0,MIN(MAX(0,AB61-SUM(PR61:QJ61)),ALK60),MIN(MAX(0,AB61-SUM(PR61:QJ61)),ALK60-G61*MAX(0,CK61*ALK60-(XJ61+AAW61))))),MIN(FX61,MAX(0,AB61-SUM(PR61:QJ61))))</f>
        <v>0</v>
      </c>
      <c r="QL61" s="20" t="n">
        <f aca="false">IF(H_Direct=1,IF(ALL60&lt;=0,0,IF(CL61&lt;=0,MIN(MAX(0,AB61-SUM(PR61:QK61)),ALL60),MIN(MAX(0,AB61-SUM(PR61:QK61)),ALL60-G61*MAX(0,CL61*ALL60-(XK61+AAX61))))),MIN(FY61,MAX(0,AB61-SUM(PR61:QK61))))</f>
        <v>0</v>
      </c>
      <c r="QM61" s="20" t="n">
        <f aca="false">IF(H_Direct=1,IF(ALM60&lt;=0,0,IF(CM61&lt;=0,MIN(MAX(0,AB61-SUM(PR61:QL61)),ALM60),MIN(MAX(0,AB61-SUM(PR61:QL61)),ALM60-G61*MAX(0,CM61*ALM60-(XL61+AAY61))))),MIN(FZ61,MAX(0,AB61-SUM(PR61:QL61))))</f>
        <v>0</v>
      </c>
      <c r="QN61" s="20" t="n">
        <f aca="false">IF(H_Direct=1,IF(ALN60&lt;=0,0,IF(CN61&lt;=0,MIN(MAX(0,AB61-SUM(PR61:QM61)),ALN60),MIN(MAX(0,AB61-SUM(PR61:QM61)),ALN60-G61*MAX(0,CN61*ALN60-(XM61+AAZ61))))),MIN(GA61,MAX(0,AB61-SUM(PR61:QM61))))</f>
        <v>0</v>
      </c>
      <c r="QO61" s="20" t="n">
        <f aca="false">IF(H_Direct=1,IF(ALO60&lt;=0,0,IF(CO61&lt;=0,MIN(MAX(0,AB61-SUM(PR61:QN61)),ALO60),MIN(MAX(0,AB61-SUM(PR61:QN61)),ALO60-G61*MAX(0,CO61*ALO60-(XN61+ABA61))))),MIN(GB61,MAX(0,AB61-SUM(PR61:QN61))))</f>
        <v>0</v>
      </c>
      <c r="QP61" s="20" t="n">
        <f aca="false">IF(H_Direct=1,IF(ALP60&lt;=0,0,IF(CP61&lt;=0,MIN(MAX(0,AB61-SUM(PR61:QO61)),ALP60),MIN(MAX(0,AB61-SUM(PR61:QO61)),ALP60-G61*MAX(0,CP61*ALP60-(XO61+ABB61))))),MIN(GC61,MAX(0,AB61-SUM(PR61:QO61))))</f>
        <v>0</v>
      </c>
      <c r="QQ61" s="20" t="n">
        <f aca="false">IF(H_Direct=1,IF(ALQ60&lt;=0,0,IF(CQ61&lt;=0,MIN(MAX(0,AB61-SUM(PR61:QP61)),ALQ60),MIN(MAX(0,AB61-SUM(PR61:QP61)),ALQ60-G61*MAX(0,CQ61*ALQ60-(XP61+ABC61))))),MIN(GD61,MAX(0,AB61-SUM(PR61:QP61))))</f>
        <v>0</v>
      </c>
      <c r="QR61" s="20" t="n">
        <f aca="false">IF(H_Direct=1,IF(ALR60&lt;=0,0,IF(CR61&lt;=0,MIN(MAX(0,AB61-SUM(PR61:QQ61)),ALR60),MIN(MAX(0,AB61-SUM(PR61:QQ61)),ALR60-G61*MAX(0,CR61*ALR60-(XQ61+ABD61))))),MIN(GE61,MAX(0,AB61-SUM(PR61:QQ61))))</f>
        <v>0</v>
      </c>
      <c r="QS61" s="20" t="n">
        <f aca="false">IF(H_Direct=1,IF(ALS60&lt;=0,0,IF(CS61&lt;=0,MIN(MAX(0,AB61-SUM(PR61:QR61)),ALS60),MIN(MAX(0,AB61-SUM(PR61:QR61)),ALS60-G61*MAX(0,CS61*ALS60-(XR61+ABE61))))),MIN(GF61,MAX(0,AB61-SUM(PR61:QR61))))</f>
        <v>0</v>
      </c>
      <c r="QT61" s="20" t="n">
        <f aca="false">IF(H_Direct=1,IF(ALT60&lt;=0,0,IF(CT61&lt;=0,MIN(MAX(0,AB61-SUM(PR61:QS61)),ALT60),MIN(MAX(0,AB61-SUM(PR61:QS61)),ALT60-G61*MAX(0,CT61*ALT60-(XS61+ABF61))))),MIN(GG61,MAX(0,AB61-SUM(PR61:QS61))))</f>
        <v>0</v>
      </c>
      <c r="QU61" s="20" t="n">
        <f aca="false">IF(H_Direct=1,IF(ALU60&lt;=0,0,IF(CU61&lt;=0,MIN(MAX(0,AB61-SUM(PR61:QT61)),ALU60),MIN(MAX(0,AB61-SUM(PR61:QT61)),ALU60-G61*MAX(0,CU61*ALU60-(XT61+ABG61))))),MIN(GH61,MAX(0,AB61-SUM(PR61:QT61))))</f>
        <v>0</v>
      </c>
      <c r="QV61" s="20" t="n">
        <f aca="false">IF(H_Direct=1,IF(ALV60&lt;=0,0,IF(CV61&lt;=0,MIN(MAX(0,AB61-SUM(PR61:QU61)),ALV60),MIN(MAX(0,AB61-SUM(PR61:QU61)),ALV60-G61*MAX(0,CV61*ALV60-(XU61+ABH61))))),MIN(GI61,MAX(0,AB61-SUM(PR61:QU61))))</f>
        <v>0</v>
      </c>
      <c r="QW61" s="20" t="n">
        <f aca="false">IF(H_Direct=1,IF(ALW60&lt;=0,0,IF(CW61&lt;=0,MIN(MAX(0,AB61-SUM(PR61:QV61)),ALW60),MIN(MAX(0,AB61-SUM(PR61:QV61)),ALW60-G61*MAX(0,CW61*ALW60-(XV61+ABI61))))),MIN(GJ61,MAX(0,AB61-SUM(PR61:QV61))))</f>
        <v>0</v>
      </c>
      <c r="QX61" s="20" t="n">
        <f aca="false">IF(H_Direct=1,IF(ALX60&lt;=0,0,IF(CX61&lt;=0,MIN(MAX(0,AB61-SUM(PR61:QW61)),ALX60),MIN(MAX(0,AB61-SUM(PR61:QW61)),ALX60-G61*MAX(0,CX61*ALX60-(XW61+ABJ61))))),MIN(GK61,MAX(0,AB61-SUM(PR61:QW61))))</f>
        <v>0</v>
      </c>
      <c r="QY61" s="20" t="n">
        <f aca="false">IF(H_Direct=1,IF(ALY60&lt;=0,0,IF(CY61&lt;=0,MIN(MAX(0,AB61-SUM(PR61:QX61)),ALY60),MIN(MAX(0,AB61-SUM(PR61:QX61)),ALY60-G61*MAX(0,CY61*ALY60-(XX61+ABK61))))),MIN(GL61,MAX(0,AB61-SUM(PR61:QX61))))</f>
        <v>0</v>
      </c>
      <c r="QZ61" s="20" t="n">
        <f aca="false">IF(H_Direct=1,IF(ALZ60&lt;=0,0,IF(CZ61&lt;=0,MIN(MAX(0,AB61-SUM(PR61:QY61)),ALZ60),MIN(MAX(0,AB61-SUM(PR61:QY61)),ALZ60-G61*MAX(0,CZ61*ALZ60-(XY61+ABL61))))),MIN(GM61,MAX(0,AB61-SUM(PR61:QY61))))</f>
        <v>0</v>
      </c>
      <c r="RA61" s="20" t="n">
        <f aca="false">IF(H_Direct=1,IF(AMA60&lt;=0,0,IF(DA61&lt;=0,MIN(MAX(0,AB61-SUM(PR61:QZ61)),AMA60),MIN(MAX(0,AB61-SUM(PR61:QZ61)),AMA60-G61*MAX(0,DA61*AMA60-(XZ61+ABM61))))),MIN(GN61,MAX(0,AB61-SUM(PR61:QZ61))))</f>
        <v>0</v>
      </c>
      <c r="RB61" s="20" t="n">
        <f aca="false">IF(H_Direct=1,IF(AMB60&lt;=0,0,IF(DB61&lt;=0,MIN(MAX(0,AB61-SUM(PR61:RA61)),AMB60),MIN(MAX(0,AB61-SUM(PR61:RA61)),AMB60-G61*MAX(0,DB61*AMB60-(YA61+ABN61))))),MIN(GO61,MAX(0,AB61-SUM(PR61:RA61))))</f>
        <v>0</v>
      </c>
      <c r="RC61" s="20" t="n">
        <f aca="false">IF(H_Direct=1,IF(AMC60&lt;=0,0,IF(DC61&lt;=0,MIN(MAX(0,AB61-SUM(PR61:RB61)),AMC60),MIN(MAX(0,AB61-SUM(PR61:RB61)),AMC60-G61*MAX(0,DC61*AMC60-(YB61+ABO61))))),MIN(GP61,MAX(0,AB61-SUM(PR61:RB61))))</f>
        <v>0</v>
      </c>
      <c r="RD61" s="20" t="n">
        <f aca="false">IF(H_Direct=1,IF(AMD60&lt;=0,0,IF(DD61&lt;=0,MIN(MAX(0,AB61-SUM(PR61:RC61)),AMD60),MIN(MAX(0,AB61-SUM(PR61:RC61)),AMD60-G61*MAX(0,DD61*AMD60-(YC61+ABP61))))),MIN(GQ61,MAX(0,AB61-SUM(PR61:RC61))))</f>
        <v>0</v>
      </c>
      <c r="RE61" s="20" t="n">
        <f aca="false">IF(H_Direct=1,IF(AME60&lt;=0,0,IF(DE61&lt;=0,MIN(MAX(0,AB61-SUM(PR61:RD61)),AME60),MIN(MAX(0,AB61-SUM(PR61:RD61)),AME60-G61*MAX(0,DE61*AME60-(YD61+ABQ61))))),MIN(GR61,MAX(0,AB61-SUM(PR61:RD61))))</f>
        <v>0</v>
      </c>
      <c r="RF61" s="20" t="n">
        <f aca="false">IF(H_Direct=1,IF(AMF60&lt;=0,0,IF(DF61&lt;=0,MIN(MAX(0,AB61-SUM(PR61:RE61)),AMF60),MIN(MAX(0,AB61-SUM(PR61:RE61)),AMF60-G61*MAX(0,DF61*AMF60-(YE61+ABR61))))),MIN(GS61,MAX(0,AB61-SUM(PR61:RE61))))</f>
        <v>0</v>
      </c>
      <c r="RG61" s="20" t="n">
        <f aca="false">IF(H_Direct=1,IF(AMG60&lt;=0,0,IF(DG61&lt;=0,MIN(MAX(0,AB61-SUM(PR61:RF61)),AMG60),MIN(MAX(0,AB61-SUM(PR61:RF61)),AMG60-G61*MAX(0,DG61*AMG60-(YF61+ABS61))))),MIN(GT61,MAX(0,AB61-SUM(PR61:RF61))))</f>
        <v>0</v>
      </c>
      <c r="RH61" s="20" t="n">
        <f aca="false">IF(H_Direct=1,IF(AMH60&lt;=0,0,IF(DH61&lt;=0,MIN(MAX(0,AB61-SUM(PR61:RG61)),AMH60),MIN(MAX(0,AB61-SUM(PR61:RG61)),AMH60-G61*MAX(0,DH61*AMH60-(YG61+ABT61))))),MIN(GU61,MAX(0,AB61-SUM(PR61:RG61))))</f>
        <v>0</v>
      </c>
      <c r="RI61" s="20" t="n">
        <f aca="false">IF(H_Direct=1,IF(AMI60&lt;=0,0,IF(DI61&lt;=0,MIN(MAX(0,AB61-SUM(PR61:RH61)),AMI60),MIN(MAX(0,AB61-SUM(PR61:RH61)),AMI60-G61*MAX(0,DI61*AMI60-(YH61+ABU61))))),MIN(GV61,MAX(0,AB61-SUM(PR61:RH61))))</f>
        <v>0</v>
      </c>
      <c r="RJ61" s="20" t="n">
        <f aca="false">IF(H_Direct=1,IF(AMJ60&lt;=0,0,IF(DJ61&lt;=0,MIN(MAX(0,AB61-SUM(PR61:RI61)),AMJ60),MIN(MAX(0,AB61-SUM(PR61:RI61)),AMJ60-G61*MAX(0,DJ61*AMJ60-(YI61+ABV61))))),MIN(GW61,MAX(0,AB61-SUM(PR61:RI61))))</f>
        <v>0</v>
      </c>
      <c r="RK61" s="20" t="n">
        <f aca="false">IF(H_Direct=1,IF(AMK60&lt;=0,0,IF(DK61&lt;=0,MIN(MAX(0,AB61-SUM(PR61:RJ61)),AMK60),MIN(MAX(0,AB61-SUM(PR61:RJ61)),AMK60-G61*MAX(0,DK61*AMK60-(YJ61+ABW61))))),MIN(GX61,MAX(0,AB61-SUM(PR61:RJ61))))</f>
        <v>0</v>
      </c>
      <c r="RL61" s="20" t="n">
        <f aca="false">IF(H_Direct=1,IF(AML60&lt;=0,0,IF(DL61&lt;=0,MIN(MAX(0,AB61-SUM(PR61:RK61)),AML60),MIN(MAX(0,AB61-SUM(PR61:RK61)),AML60-G61*MAX(0,DL61*AML60-(YK61+ABX61))))),MIN(GY61,MAX(0,AB61-SUM(PR61:RK61))))</f>
        <v>0</v>
      </c>
      <c r="RM61" s="20" t="n">
        <f aca="false">IF(H_Direct=1,IF(AMM60&lt;=0,0,IF(DM61&lt;=0,MIN(MAX(0,AB61-SUM(PR61:RL61)),AMM60),MIN(MAX(0,AB61-SUM(PR61:RL61)),AMM60-G61*MAX(0,DM61*AMM60-(YL61+ABY61))))),MIN(GZ61,MAX(0,AB61-SUM(PR61:RL61))))</f>
        <v>0</v>
      </c>
      <c r="RN61" s="20" t="n">
        <f aca="false">IF(H_Direct=1,IF(AMN60&lt;=0,0,IF(DN61&lt;=0,MIN(MAX(0,AB61-SUM(PR61:RM61)),AMN60),MIN(MAX(0,AB61-SUM(PR61:RM61)),AMN60-G61*MAX(0,DN61*AMN60-(YM61+ABZ61))))),MIN(HA61,MAX(0,AB61-SUM(PR61:RM61))))</f>
        <v>0</v>
      </c>
      <c r="RO61" s="20" t="n">
        <f aca="false">IF(H_Direct=1,IF(AMO60&lt;=0,0,IF(DO61&lt;=0,MIN(MAX(0,AB61-SUM(PR61:RN61)),AMO60),MIN(MAX(0,AB61-SUM(PR61:RN61)),AMO60-G61*MAX(0,DO61*AMO60-(YN61+ACA61))))),MIN(HB61,MAX(0,AB61-SUM(PR61:RN61))))</f>
        <v>0</v>
      </c>
      <c r="RP61" s="20" t="n">
        <f aca="false">IF(H_Direct=1,IF(AMP60&lt;=0,0,IF(DP61&lt;=0,MIN(MAX(0,AB61-SUM(PR61:RO61)),AMP60),MIN(MAX(0,AB61-SUM(PR61:RO61)),AMP60-G61*MAX(0,DP61*AMP60-(YO61+ACB61))))),MIN(HC61,MAX(0,AB61-SUM(PR61:RO61))))</f>
        <v>0</v>
      </c>
      <c r="RQ61" s="20" t="n">
        <f aca="false">IF(H_Direct=1,IF(AMQ60&lt;=0,0,IF(DQ61&lt;=0,MIN(MAX(0,AB61-SUM(PR61:RP61)),AMQ60),MIN(MAX(0,AB61-SUM(PR61:RP61)),AMQ60-G61*MAX(0,DQ61*AMQ60-(YP61+ACC61))))),MIN(HD61,MAX(0,AB61-SUM(PR61:RP61))))</f>
        <v>0</v>
      </c>
      <c r="RR61" s="20" t="n">
        <f aca="false">IF(H_Direct=1,IF(AMR60&lt;=0,0,IF(DR61&lt;=0,MIN(MAX(0,AB61-SUM(PR61:RQ61)),AMR60),MIN(MAX(0,AB61-SUM(PR61:RQ61)),AMR60-G61*MAX(0,DR61*AMR60-(YQ61+ACD61))))),MIN(HE61,MAX(0,AB61-SUM(PR61:RQ61))))</f>
        <v>0</v>
      </c>
      <c r="RS61" s="20" t="n">
        <f aca="false">IF(H_Direct=1,IF(AMS60&lt;=0,0,IF(DS61&lt;=0,MIN(MAX(0,AB61-SUM(PR61:RR61)),AMS60),MIN(MAX(0,AB61-SUM(PR61:RR61)),AMS60-G61*MAX(0,DS61*AMS60-(YR61+ACE61))))),MIN(HF61,MAX(0,AB61-SUM(PR61:RR61))))</f>
        <v>0</v>
      </c>
      <c r="RT61" s="20" t="n">
        <f aca="false">IF(H_Direct=1,IF((P61+S61)&lt;=0,0,IF(DT61&lt;=0,MIN(MAX(0,AB61-SUM(PR61:RS61)),(P61+S61)),MIN(MAX(0,AB61-SUM(PR61:RS61)),(P61+S61)-G61*MAX(0,DT61*(P61+S61)-(YS61+ACF61))))),MIN(HG61,MAX(0,AB61-SUM(PR61:RS61))))</f>
        <v>0</v>
      </c>
      <c r="RU61" s="20" t="n">
        <v>0</v>
      </c>
      <c r="RV61" s="20" t="n">
        <v>0</v>
      </c>
      <c r="RW61" s="20" t="n">
        <v>0</v>
      </c>
      <c r="RX61" s="20" t="n">
        <v>0</v>
      </c>
      <c r="RY61" s="20" t="n">
        <v>0</v>
      </c>
      <c r="RZ61" s="20" t="n">
        <v>0</v>
      </c>
      <c r="SA61" s="20" t="n">
        <v>0</v>
      </c>
      <c r="SB61" s="20" t="n">
        <v>0</v>
      </c>
      <c r="SC61" s="20" t="n">
        <v>0</v>
      </c>
      <c r="SD61" s="20" t="n">
        <v>0</v>
      </c>
      <c r="SE61" s="20" t="n">
        <v>0</v>
      </c>
      <c r="SF61" s="20" t="n">
        <v>0</v>
      </c>
      <c r="SG61" s="20" t="n">
        <v>0</v>
      </c>
      <c r="SH61" s="20" t="n">
        <v>0</v>
      </c>
      <c r="SI61" s="20" t="n">
        <v>0</v>
      </c>
      <c r="SJ61" s="20" t="n">
        <v>0</v>
      </c>
      <c r="SK61" s="20" t="n">
        <v>0</v>
      </c>
      <c r="SL61" s="20" t="n">
        <v>0</v>
      </c>
      <c r="SM61" s="20" t="n">
        <v>0</v>
      </c>
      <c r="SN61" s="20" t="n">
        <v>0</v>
      </c>
      <c r="SO61" s="20" t="n">
        <v>0</v>
      </c>
      <c r="SP61" s="20" t="n">
        <v>0</v>
      </c>
      <c r="SQ61" s="20" t="n">
        <v>0</v>
      </c>
      <c r="SR61" s="20" t="n">
        <v>0</v>
      </c>
      <c r="SS61" s="20" t="n">
        <v>0</v>
      </c>
      <c r="ST61" s="20" t="n">
        <v>0</v>
      </c>
      <c r="SU61" s="20" t="n">
        <v>0</v>
      </c>
      <c r="SV61" s="20" t="n">
        <v>0</v>
      </c>
      <c r="SW61" s="20" t="n">
        <v>0</v>
      </c>
      <c r="SX61" s="20" t="n">
        <v>0</v>
      </c>
      <c r="SY61" s="20" t="n">
        <v>0</v>
      </c>
      <c r="SZ61" s="20" t="n">
        <v>0</v>
      </c>
      <c r="TA61" s="20" t="n">
        <v>0</v>
      </c>
      <c r="TB61" s="20" t="n">
        <v>0</v>
      </c>
      <c r="TC61" s="20" t="n">
        <v>0</v>
      </c>
      <c r="TD61" s="20" t="n">
        <v>0</v>
      </c>
      <c r="TE61" s="20" t="n">
        <f aca="false">IF(AKR60&lt;=0,0,IF(H_Direct=1,IF(BR61&lt;=0,PR61,IF(PR61&lt;=(H61+I61)/BR61,PR61,(PR61-G61*(H61+I61))/(1-G61*BR61))),PR61/(1-MAX(0,BR61)*H_Exit)))</f>
        <v>0</v>
      </c>
      <c r="TF61" s="20" t="n">
        <f aca="false">IF(AKS60&lt;=0,0,IF(H_Direct=1,IF(BS61&lt;=0,PS61,IF(PS61&lt;=(WR61+AAE61)/BS61,PS61,(PS61-G61*(WR61+AAE61))/(1-G61*BS61))),PS61/(1-MAX(0,BS61)*H_Exit)))</f>
        <v>0</v>
      </c>
      <c r="TG61" s="20" t="n">
        <f aca="false">IF(AKT60&lt;=0,0,IF(H_Direct=1,IF(BT61&lt;=0,PT61,IF(PT61&lt;=(WS61+AAF61)/BT61,PT61,(PT61-G61*(WS61+AAF61))/(1-G61*BT61))),PT61/(1-MAX(0,BT61)*H_Exit)))</f>
        <v>0</v>
      </c>
      <c r="TH61" s="20" t="n">
        <f aca="false">IF(AKU60&lt;=0,0,IF(H_Direct=1,IF(BU61&lt;=0,PU61,IF(PU61&lt;=(WT61+AAG61)/BU61,PU61,(PU61-G61*(WT61+AAG61))/(1-G61*BU61))),PU61/(1-MAX(0,BU61)*H_Exit)))</f>
        <v>0</v>
      </c>
      <c r="TI61" s="20" t="n">
        <f aca="false">IF(AKV60&lt;=0,0,IF(H_Direct=1,IF(BV61&lt;=0,PV61,IF(PV61&lt;=(WU61+AAH61)/BV61,PV61,(PV61-G61*(WU61+AAH61))/(1-G61*BV61))),PV61/(1-MAX(0,BV61)*H_Exit)))</f>
        <v>0</v>
      </c>
      <c r="TJ61" s="20" t="n">
        <f aca="false">IF(AKW60&lt;=0,0,IF(H_Direct=1,IF(BW61&lt;=0,PW61,IF(PW61&lt;=(WV61+AAI61)/BW61,PW61,(PW61-G61*(WV61+AAI61))/(1-G61*BW61))),PW61/(1-MAX(0,BW61)*H_Exit)))</f>
        <v>0</v>
      </c>
      <c r="TK61" s="20" t="n">
        <f aca="false">IF(AKX60&lt;=0,0,IF(H_Direct=1,IF(BX61&lt;=0,PX61,IF(PX61&lt;=(WW61+AAJ61)/BX61,PX61,(PX61-G61*(WW61+AAJ61))/(1-G61*BX61))),PX61/(1-MAX(0,BX61)*H_Exit)))</f>
        <v>0</v>
      </c>
      <c r="TL61" s="20" t="n">
        <f aca="false">IF(AKY60&lt;=0,0,IF(H_Direct=1,IF(BY61&lt;=0,PY61,IF(PY61&lt;=(WX61+AAK61)/BY61,PY61,(PY61-G61*(WX61+AAK61))/(1-G61*BY61))),PY61/(1-MAX(0,BY61)*H_Exit)))</f>
        <v>0</v>
      </c>
      <c r="TM61" s="20" t="n">
        <f aca="false">IF(AKZ60&lt;=0,0,IF(H_Direct=1,IF(BZ61&lt;=0,PZ61,IF(PZ61&lt;=(WY61+AAL61)/BZ61,PZ61,(PZ61-G61*(WY61+AAL61))/(1-G61*BZ61))),PZ61/(1-MAX(0,BZ61)*H_Exit)))</f>
        <v>0</v>
      </c>
      <c r="TN61" s="20" t="n">
        <f aca="false">IF(ALA60&lt;=0,0,IF(H_Direct=1,IF(CA61&lt;=0,QA61,IF(QA61&lt;=(WZ61+AAM61)/CA61,QA61,(QA61-G61*(WZ61+AAM61))/(1-G61*CA61))),QA61/(1-MAX(0,CA61)*H_Exit)))</f>
        <v>0</v>
      </c>
      <c r="TO61" s="20" t="n">
        <f aca="false">IF(ALB60&lt;=0,0,IF(H_Direct=1,IF(CB61&lt;=0,QB61,IF(QB61&lt;=(XA61+AAN61)/CB61,QB61,(QB61-G61*(XA61+AAN61))/(1-G61*CB61))),QB61/(1-MAX(0,CB61)*H_Exit)))</f>
        <v>0</v>
      </c>
      <c r="TP61" s="20" t="n">
        <f aca="false">IF(ALC60&lt;=0,0,IF(H_Direct=1,IF(CC61&lt;=0,QC61,IF(QC61&lt;=(XB61+AAO61)/CC61,QC61,(QC61-G61*(XB61+AAO61))/(1-G61*CC61))),QC61/(1-MAX(0,CC61)*H_Exit)))</f>
        <v>0</v>
      </c>
      <c r="TQ61" s="20" t="n">
        <f aca="false">IF(ALD60&lt;=0,0,IF(H_Direct=1,IF(CD61&lt;=0,QD61,IF(QD61&lt;=(XC61+AAP61)/CD61,QD61,(QD61-G61*(XC61+AAP61))/(1-G61*CD61))),QD61/(1-MAX(0,CD61)*H_Exit)))</f>
        <v>0</v>
      </c>
      <c r="TR61" s="20" t="n">
        <f aca="false">IF(ALE60&lt;=0,0,IF(H_Direct=1,IF(CE61&lt;=0,QE61,IF(QE61&lt;=(XD61+AAQ61)/CE61,QE61,(QE61-G61*(XD61+AAQ61))/(1-G61*CE61))),QE61/(1-MAX(0,CE61)*H_Exit)))</f>
        <v>0</v>
      </c>
      <c r="TS61" s="20" t="n">
        <f aca="false">IF(ALF60&lt;=0,0,IF(H_Direct=1,IF(CF61&lt;=0,QF61,IF(QF61&lt;=(XE61+AAR61)/CF61,QF61,(QF61-G61*(XE61+AAR61))/(1-G61*CF61))),QF61/(1-MAX(0,CF61)*H_Exit)))</f>
        <v>0</v>
      </c>
      <c r="TT61" s="20" t="n">
        <f aca="false">IF(ALG60&lt;=0,0,IF(H_Direct=1,IF(CG61&lt;=0,QG61,IF(QG61&lt;=(XF61+AAS61)/CG61,QG61,(QG61-G61*(XF61+AAS61))/(1-G61*CG61))),QG61/(1-MAX(0,CG61)*H_Exit)))</f>
        <v>0</v>
      </c>
      <c r="TU61" s="20" t="n">
        <f aca="false">IF(ALH60&lt;=0,0,IF(H_Direct=1,IF(CH61&lt;=0,QH61,IF(QH61&lt;=(XG61+AAT61)/CH61,QH61,(QH61-G61*(XG61+AAT61))/(1-G61*CH61))),QH61/(1-MAX(0,CH61)*H_Exit)))</f>
        <v>0</v>
      </c>
      <c r="TV61" s="20" t="n">
        <f aca="false">IF(ALI60&lt;=0,0,IF(H_Direct=1,IF(CI61&lt;=0,QI61,IF(QI61&lt;=(XH61+AAU61)/CI61,QI61,(QI61-G61*(XH61+AAU61))/(1-G61*CI61))),QI61/(1-MAX(0,CI61)*H_Exit)))</f>
        <v>0</v>
      </c>
      <c r="TW61" s="20" t="n">
        <f aca="false">IF(ALJ60&lt;=0,0,IF(H_Direct=1,IF(CJ61&lt;=0,QJ61,IF(QJ61&lt;=(XI61+AAV61)/CJ61,QJ61,(QJ61-G61*(XI61+AAV61))/(1-G61*CJ61))),QJ61/(1-MAX(0,CJ61)*H_Exit)))</f>
        <v>0</v>
      </c>
      <c r="TX61" s="20" t="n">
        <f aca="false">IF(ALK60&lt;=0,0,IF(H_Direct=1,IF(CK61&lt;=0,QK61,IF(QK61&lt;=(XJ61+AAW61)/CK61,QK61,(QK61-G61*(XJ61+AAW61))/(1-G61*CK61))),QK61/(1-MAX(0,CK61)*H_Exit)))</f>
        <v>0</v>
      </c>
      <c r="TY61" s="20" t="n">
        <f aca="false">IF(ALL60&lt;=0,0,IF(H_Direct=1,IF(CL61&lt;=0,QL61,IF(QL61&lt;=(XK61+AAX61)/CL61,QL61,(QL61-G61*(XK61+AAX61))/(1-G61*CL61))),QL61/(1-MAX(0,CL61)*H_Exit)))</f>
        <v>0</v>
      </c>
      <c r="TZ61" s="20" t="n">
        <f aca="false">IF(ALM60&lt;=0,0,IF(H_Direct=1,IF(CM61&lt;=0,QM61,IF(QM61&lt;=(XL61+AAY61)/CM61,QM61,(QM61-G61*(XL61+AAY61))/(1-G61*CM61))),QM61/(1-MAX(0,CM61)*H_Exit)))</f>
        <v>0</v>
      </c>
      <c r="UA61" s="20" t="n">
        <f aca="false">IF(ALN60&lt;=0,0,IF(H_Direct=1,IF(CN61&lt;=0,QN61,IF(QN61&lt;=(XM61+AAZ61)/CN61,QN61,(QN61-G61*(XM61+AAZ61))/(1-G61*CN61))),QN61/(1-MAX(0,CN61)*H_Exit)))</f>
        <v>0</v>
      </c>
      <c r="UB61" s="20" t="n">
        <f aca="false">IF(ALO60&lt;=0,0,IF(H_Direct=1,IF(CO61&lt;=0,QO61,IF(QO61&lt;=(XN61+ABA61)/CO61,QO61,(QO61-G61*(XN61+ABA61))/(1-G61*CO61))),QO61/(1-MAX(0,CO61)*H_Exit)))</f>
        <v>0</v>
      </c>
      <c r="UC61" s="20" t="n">
        <f aca="false">IF(ALP60&lt;=0,0,IF(H_Direct=1,IF(CP61&lt;=0,QP61,IF(QP61&lt;=(XO61+ABB61)/CP61,QP61,(QP61-G61*(XO61+ABB61))/(1-G61*CP61))),QP61/(1-MAX(0,CP61)*H_Exit)))</f>
        <v>0</v>
      </c>
      <c r="UD61" s="20" t="n">
        <f aca="false">IF(ALQ60&lt;=0,0,IF(H_Direct=1,IF(CQ61&lt;=0,QQ61,IF(QQ61&lt;=(XP61+ABC61)/CQ61,QQ61,(QQ61-G61*(XP61+ABC61))/(1-G61*CQ61))),QQ61/(1-MAX(0,CQ61)*H_Exit)))</f>
        <v>0</v>
      </c>
      <c r="UE61" s="20" t="n">
        <f aca="false">IF(ALR60&lt;=0,0,IF(H_Direct=1,IF(CR61&lt;=0,QR61,IF(QR61&lt;=(XQ61+ABD61)/CR61,QR61,(QR61-G61*(XQ61+ABD61))/(1-G61*CR61))),QR61/(1-MAX(0,CR61)*H_Exit)))</f>
        <v>0</v>
      </c>
      <c r="UF61" s="20" t="n">
        <f aca="false">IF(ALS60&lt;=0,0,IF(H_Direct=1,IF(CS61&lt;=0,QS61,IF(QS61&lt;=(XR61+ABE61)/CS61,QS61,(QS61-G61*(XR61+ABE61))/(1-G61*CS61))),QS61/(1-MAX(0,CS61)*H_Exit)))</f>
        <v>0</v>
      </c>
      <c r="UG61" s="20" t="n">
        <f aca="false">IF(ALT60&lt;=0,0,IF(H_Direct=1,IF(CT61&lt;=0,QT61,IF(QT61&lt;=(XS61+ABF61)/CT61,QT61,(QT61-G61*(XS61+ABF61))/(1-G61*CT61))),QT61/(1-MAX(0,CT61)*H_Exit)))</f>
        <v>0</v>
      </c>
      <c r="UH61" s="20" t="n">
        <f aca="false">IF(ALU60&lt;=0,0,IF(H_Direct=1,IF(CU61&lt;=0,QU61,IF(QU61&lt;=(XT61+ABG61)/CU61,QU61,(QU61-G61*(XT61+ABG61))/(1-G61*CU61))),QU61/(1-MAX(0,CU61)*H_Exit)))</f>
        <v>0</v>
      </c>
      <c r="UI61" s="20" t="n">
        <f aca="false">IF(ALV60&lt;=0,0,IF(H_Direct=1,IF(CV61&lt;=0,QV61,IF(QV61&lt;=(XU61+ABH61)/CV61,QV61,(QV61-G61*(XU61+ABH61))/(1-G61*CV61))),QV61/(1-MAX(0,CV61)*H_Exit)))</f>
        <v>0</v>
      </c>
      <c r="UJ61" s="20" t="n">
        <f aca="false">IF(ALW60&lt;=0,0,IF(H_Direct=1,IF(CW61&lt;=0,QW61,IF(QW61&lt;=(XV61+ABI61)/CW61,QW61,(QW61-G61*(XV61+ABI61))/(1-G61*CW61))),QW61/(1-MAX(0,CW61)*H_Exit)))</f>
        <v>0</v>
      </c>
      <c r="UK61" s="20" t="n">
        <f aca="false">IF(ALX60&lt;=0,0,IF(H_Direct=1,IF(CX61&lt;=0,QX61,IF(QX61&lt;=(XW61+ABJ61)/CX61,QX61,(QX61-G61*(XW61+ABJ61))/(1-G61*CX61))),QX61/(1-MAX(0,CX61)*H_Exit)))</f>
        <v>0</v>
      </c>
      <c r="UL61" s="20" t="n">
        <f aca="false">IF(ALY60&lt;=0,0,IF(H_Direct=1,IF(CY61&lt;=0,QY61,IF(QY61&lt;=(XX61+ABK61)/CY61,QY61,(QY61-G61*(XX61+ABK61))/(1-G61*CY61))),QY61/(1-MAX(0,CY61)*H_Exit)))</f>
        <v>0</v>
      </c>
      <c r="UM61" s="20" t="n">
        <f aca="false">IF(ALZ60&lt;=0,0,IF(H_Direct=1,IF(CZ61&lt;=0,QZ61,IF(QZ61&lt;=(XY61+ABL61)/CZ61,QZ61,(QZ61-G61*(XY61+ABL61))/(1-G61*CZ61))),QZ61/(1-MAX(0,CZ61)*H_Exit)))</f>
        <v>0</v>
      </c>
      <c r="UN61" s="20" t="n">
        <f aca="false">IF(AMA60&lt;=0,0,IF(H_Direct=1,IF(DA61&lt;=0,RA61,IF(RA61&lt;=(XZ61+ABM61)/DA61,RA61,(RA61-G61*(XZ61+ABM61))/(1-G61*DA61))),RA61/(1-MAX(0,DA61)*H_Exit)))</f>
        <v>0</v>
      </c>
      <c r="UO61" s="20" t="n">
        <f aca="false">IF(AMB60&lt;=0,0,IF(H_Direct=1,IF(DB61&lt;=0,RB61,IF(RB61&lt;=(YA61+ABN61)/DB61,RB61,(RB61-G61*(YA61+ABN61))/(1-G61*DB61))),RB61/(1-MAX(0,DB61)*H_Exit)))</f>
        <v>0</v>
      </c>
      <c r="UP61" s="20" t="n">
        <f aca="false">IF(AMC60&lt;=0,0,IF(H_Direct=1,IF(DC61&lt;=0,RC61,IF(RC61&lt;=(YB61+ABO61)/DC61,RC61,(RC61-G61*(YB61+ABO61))/(1-G61*DC61))),RC61/(1-MAX(0,DC61)*H_Exit)))</f>
        <v>0</v>
      </c>
      <c r="UQ61" s="20" t="n">
        <f aca="false">IF(AMD60&lt;=0,0,IF(H_Direct=1,IF(DD61&lt;=0,RD61,IF(RD61&lt;=(YC61+ABP61)/DD61,RD61,(RD61-G61*(YC61+ABP61))/(1-G61*DD61))),RD61/(1-MAX(0,DD61)*H_Exit)))</f>
        <v>0</v>
      </c>
      <c r="UR61" s="20" t="n">
        <f aca="false">IF(AME60&lt;=0,0,IF(H_Direct=1,IF(DE61&lt;=0,RE61,IF(RE61&lt;=(YD61+ABQ61)/DE61,RE61,(RE61-G61*(YD61+ABQ61))/(1-G61*DE61))),RE61/(1-MAX(0,DE61)*H_Exit)))</f>
        <v>0</v>
      </c>
      <c r="US61" s="20" t="n">
        <f aca="false">IF(AMF60&lt;=0,0,IF(H_Direct=1,IF(DF61&lt;=0,RF61,IF(RF61&lt;=(YE61+ABR61)/DF61,RF61,(RF61-G61*(YE61+ABR61))/(1-G61*DF61))),RF61/(1-MAX(0,DF61)*H_Exit)))</f>
        <v>0</v>
      </c>
      <c r="UT61" s="20" t="n">
        <f aca="false">IF(AMG60&lt;=0,0,IF(H_Direct=1,IF(DG61&lt;=0,RG61,IF(RG61&lt;=(YF61+ABS61)/DG61,RG61,(RG61-G61*(YF61+ABS61))/(1-G61*DG61))),RG61/(1-MAX(0,DG61)*H_Exit)))</f>
        <v>0</v>
      </c>
      <c r="UU61" s="20" t="n">
        <f aca="false">IF(AMH60&lt;=0,0,IF(H_Direct=1,IF(DH61&lt;=0,RH61,IF(RH61&lt;=(YG61+ABT61)/DH61,RH61,(RH61-G61*(YG61+ABT61))/(1-G61*DH61))),RH61/(1-MAX(0,DH61)*H_Exit)))</f>
        <v>0</v>
      </c>
      <c r="UV61" s="20" t="n">
        <f aca="false">IF(AMI60&lt;=0,0,IF(H_Direct=1,IF(DI61&lt;=0,RI61,IF(RI61&lt;=(YH61+ABU61)/DI61,RI61,(RI61-G61*(YH61+ABU61))/(1-G61*DI61))),RI61/(1-MAX(0,DI61)*H_Exit)))</f>
        <v>0</v>
      </c>
      <c r="UW61" s="20" t="n">
        <f aca="false">IF(AMJ60&lt;=0,0,IF(H_Direct=1,IF(DJ61&lt;=0,RJ61,IF(RJ61&lt;=(YI61+ABV61)/DJ61,RJ61,(RJ61-G61*(YI61+ABV61))/(1-G61*DJ61))),RJ61/(1-MAX(0,DJ61)*H_Exit)))</f>
        <v>0</v>
      </c>
      <c r="UX61" s="20" t="n">
        <f aca="false">IF(AMK60&lt;=0,0,IF(H_Direct=1,IF(DK61&lt;=0,RK61,IF(RK61&lt;=(YJ61+ABW61)/DK61,RK61,(RK61-G61*(YJ61+ABW61))/(1-G61*DK61))),RK61/(1-MAX(0,DK61)*H_Exit)))</f>
        <v>0</v>
      </c>
      <c r="UY61" s="20" t="n">
        <f aca="false">IF(AML60&lt;=0,0,IF(H_Direct=1,IF(DL61&lt;=0,RL61,IF(RL61&lt;=(YK61+ABX61)/DL61,RL61,(RL61-G61*(YK61+ABX61))/(1-G61*DL61))),RL61/(1-MAX(0,DL61)*H_Exit)))</f>
        <v>0</v>
      </c>
      <c r="UZ61" s="20" t="n">
        <f aca="false">IF(AMM60&lt;=0,0,IF(H_Direct=1,IF(DM61&lt;=0,RM61,IF(RM61&lt;=(YL61+ABY61)/DM61,RM61,(RM61-G61*(YL61+ABY61))/(1-G61*DM61))),RM61/(1-MAX(0,DM61)*H_Exit)))</f>
        <v>0</v>
      </c>
      <c r="VA61" s="20" t="n">
        <f aca="false">IF(AMN60&lt;=0,0,IF(H_Direct=1,IF(DN61&lt;=0,RN61,IF(RN61&lt;=(YM61+ABZ61)/DN61,RN61,(RN61-G61*(YM61+ABZ61))/(1-G61*DN61))),RN61/(1-MAX(0,DN61)*H_Exit)))</f>
        <v>0</v>
      </c>
      <c r="VB61" s="20" t="n">
        <f aca="false">IF(AMO60&lt;=0,0,IF(H_Direct=1,IF(DO61&lt;=0,RO61,IF(RO61&lt;=(YN61+ACA61)/DO61,RO61,(RO61-G61*(YN61+ACA61))/(1-G61*DO61))),RO61/(1-MAX(0,DO61)*H_Exit)))</f>
        <v>0</v>
      </c>
      <c r="VC61" s="20" t="n">
        <f aca="false">IF(AMP60&lt;=0,0,IF(H_Direct=1,IF(DP61&lt;=0,RP61,IF(RP61&lt;=(YO61+ACB61)/DP61,RP61,(RP61-G61*(YO61+ACB61))/(1-G61*DP61))),RP61/(1-MAX(0,DP61)*H_Exit)))</f>
        <v>0</v>
      </c>
      <c r="VD61" s="20" t="n">
        <f aca="false">IF(AMQ60&lt;=0,0,IF(H_Direct=1,IF(DQ61&lt;=0,RQ61,IF(RQ61&lt;=(YP61+ACC61)/DQ61,RQ61,(RQ61-G61*(YP61+ACC61))/(1-G61*DQ61))),RQ61/(1-MAX(0,DQ61)*H_Exit)))</f>
        <v>0</v>
      </c>
      <c r="VE61" s="20" t="n">
        <f aca="false">IF(AMR60&lt;=0,0,IF(H_Direct=1,IF(DR61&lt;=0,RR61,IF(RR61&lt;=(YQ61+ACD61)/DR61,RR61,(RR61-G61*(YQ61+ACD61))/(1-G61*DR61))),RR61/(1-MAX(0,DR61)*H_Exit)))</f>
        <v>0</v>
      </c>
      <c r="VF61" s="20" t="n">
        <f aca="false">IF(AMS60&lt;=0,0,IF(H_Direct=1,IF(DS61&lt;=0,RS61,IF(RS61&lt;=(YR61+ACE61)/DS61,RS61,(RS61-G61*(YR61+ACE61))/(1-G61*DS61))),RS61/(1-MAX(0,DS61)*H_Exit)))</f>
        <v>0</v>
      </c>
      <c r="VG61" s="20" t="n">
        <f aca="false">IF((P61+S61)&lt;=0,0,IF(H_Direct=1,IF(DT61&lt;=0,RT61,IF(RT61&lt;=(YS61+ACF61)/DT61,RT61,(RT61-G61*(YS61+ACF61))/(1-G61*DT61))),RT61/(1-MAX(0,DT61)*H_Exit)))</f>
        <v>0</v>
      </c>
      <c r="VH61" s="20" t="n">
        <v>0</v>
      </c>
      <c r="VI61" s="20" t="n">
        <v>0</v>
      </c>
      <c r="VJ61" s="20" t="n">
        <v>0</v>
      </c>
      <c r="VK61" s="20" t="n">
        <v>0</v>
      </c>
      <c r="VL61" s="20" t="n">
        <v>0</v>
      </c>
      <c r="VM61" s="20" t="n">
        <v>0</v>
      </c>
      <c r="VN61" s="20" t="n">
        <v>0</v>
      </c>
      <c r="VO61" s="20" t="n">
        <v>0</v>
      </c>
      <c r="VP61" s="20" t="n">
        <v>0</v>
      </c>
      <c r="VQ61" s="20" t="n">
        <v>0</v>
      </c>
      <c r="VR61" s="20" t="n">
        <v>0</v>
      </c>
      <c r="VS61" s="20" t="n">
        <v>0</v>
      </c>
      <c r="VT61" s="20" t="n">
        <v>0</v>
      </c>
      <c r="VU61" s="20" t="n">
        <v>0</v>
      </c>
      <c r="VV61" s="20" t="n">
        <v>0</v>
      </c>
      <c r="VW61" s="20" t="n">
        <v>0</v>
      </c>
      <c r="VX61" s="20" t="n">
        <v>0</v>
      </c>
      <c r="VY61" s="20" t="n">
        <v>0</v>
      </c>
      <c r="VZ61" s="20" t="n">
        <v>0</v>
      </c>
      <c r="WA61" s="20" t="n">
        <v>0</v>
      </c>
      <c r="WB61" s="20" t="n">
        <v>0</v>
      </c>
      <c r="WC61" s="20" t="n">
        <v>0</v>
      </c>
      <c r="WD61" s="20" t="n">
        <v>0</v>
      </c>
      <c r="WE61" s="20" t="n">
        <v>0</v>
      </c>
      <c r="WF61" s="20" t="n">
        <v>0</v>
      </c>
      <c r="WG61" s="20" t="n">
        <v>0</v>
      </c>
      <c r="WH61" s="20" t="n">
        <v>0</v>
      </c>
      <c r="WI61" s="20" t="n">
        <v>0</v>
      </c>
      <c r="WJ61" s="20" t="n">
        <v>0</v>
      </c>
      <c r="WK61" s="20" t="n">
        <v>0</v>
      </c>
      <c r="WL61" s="20" t="n">
        <v>0</v>
      </c>
      <c r="WM61" s="20" t="n">
        <v>0</v>
      </c>
      <c r="WN61" s="20" t="n">
        <v>0</v>
      </c>
      <c r="WO61" s="20" t="n">
        <v>0</v>
      </c>
      <c r="WP61" s="20" t="n">
        <v>0</v>
      </c>
      <c r="WQ61" s="20" t="n">
        <v>0</v>
      </c>
      <c r="WR61" s="20" t="n">
        <f aca="false">IF(AND(H_Direct=1,BR61&gt;0),MAX(0,H61-(MIN(BR61*TE61,(H61+I61))-MIN(MIN(BR61*TE61,(H61+I61)),I61))),H61)</f>
        <v>1270</v>
      </c>
      <c r="WS61" s="20" t="n">
        <f aca="false">IF(AND(H_Direct=1,BS61&gt;0),MAX(0,WR61-(MIN(BS61*TF61,(WR61+AAE61))-MIN(MIN(BS61*TF61,(WR61+AAE61)),AAE61))),WR61)</f>
        <v>1270</v>
      </c>
      <c r="WT61" s="20" t="n">
        <f aca="false">IF(AND(H_Direct=1,BT61&gt;0),MAX(0,WS61-(MIN(BT61*TG61,(WS61+AAF61))-MIN(MIN(BT61*TG61,(WS61+AAF61)),AAF61))),WS61)</f>
        <v>1270</v>
      </c>
      <c r="WU61" s="20" t="n">
        <f aca="false">IF(AND(H_Direct=1,BU61&gt;0),MAX(0,WT61-(MIN(BU61*TH61,(WT61+AAG61))-MIN(MIN(BU61*TH61,(WT61+AAG61)),AAG61))),WT61)</f>
        <v>1270</v>
      </c>
      <c r="WV61" s="20" t="n">
        <f aca="false">IF(AND(H_Direct=1,BV61&gt;0),MAX(0,WU61-(MIN(BV61*TI61,(WU61+AAH61))-MIN(MIN(BV61*TI61,(WU61+AAH61)),AAH61))),WU61)</f>
        <v>1270</v>
      </c>
      <c r="WW61" s="20" t="n">
        <f aca="false">IF(AND(H_Direct=1,BW61&gt;0),MAX(0,WV61-(MIN(BW61*TJ61,(WV61+AAI61))-MIN(MIN(BW61*TJ61,(WV61+AAI61)),AAI61))),WV61)</f>
        <v>1270</v>
      </c>
      <c r="WX61" s="20" t="n">
        <f aca="false">IF(AND(H_Direct=1,BX61&gt;0),MAX(0,WW61-(MIN(BX61*TK61,(WW61+AAJ61))-MIN(MIN(BX61*TK61,(WW61+AAJ61)),AAJ61))),WW61)</f>
        <v>1270</v>
      </c>
      <c r="WY61" s="20" t="n">
        <f aca="false">IF(AND(H_Direct=1,BY61&gt;0),MAX(0,WX61-(MIN(BY61*TL61,(WX61+AAK61))-MIN(MIN(BY61*TL61,(WX61+AAK61)),AAK61))),WX61)</f>
        <v>1270</v>
      </c>
      <c r="WZ61" s="20" t="n">
        <f aca="false">IF(AND(H_Direct=1,BZ61&gt;0),MAX(0,WY61-(MIN(BZ61*TM61,(WY61+AAL61))-MIN(MIN(BZ61*TM61,(WY61+AAL61)),AAL61))),WY61)</f>
        <v>1270</v>
      </c>
      <c r="XA61" s="20" t="n">
        <f aca="false">IF(AND(H_Direct=1,CA61&gt;0),MAX(0,WZ61-(MIN(CA61*TN61,(WZ61+AAM61))-MIN(MIN(CA61*TN61,(WZ61+AAM61)),AAM61))),WZ61)</f>
        <v>1270</v>
      </c>
      <c r="XB61" s="20" t="n">
        <f aca="false">IF(AND(H_Direct=1,CB61&gt;0),MAX(0,XA61-(MIN(CB61*TO61,(XA61+AAN61))-MIN(MIN(CB61*TO61,(XA61+AAN61)),AAN61))),XA61)</f>
        <v>1270</v>
      </c>
      <c r="XC61" s="20" t="n">
        <f aca="false">IF(AND(H_Direct=1,CC61&gt;0),MAX(0,XB61-(MIN(CC61*TP61,(XB61+AAO61))-MIN(MIN(CC61*TP61,(XB61+AAO61)),AAO61))),XB61)</f>
        <v>1270</v>
      </c>
      <c r="XD61" s="20" t="n">
        <f aca="false">IF(AND(H_Direct=1,CD61&gt;0),MAX(0,XC61-(MIN(CD61*TQ61,(XC61+AAP61))-MIN(MIN(CD61*TQ61,(XC61+AAP61)),AAP61))),XC61)</f>
        <v>1270</v>
      </c>
      <c r="XE61" s="20" t="n">
        <f aca="false">IF(AND(H_Direct=1,CE61&gt;0),MAX(0,XD61-(MIN(CE61*TR61,(XD61+AAQ61))-MIN(MIN(CE61*TR61,(XD61+AAQ61)),AAQ61))),XD61)</f>
        <v>1270</v>
      </c>
      <c r="XF61" s="20" t="n">
        <f aca="false">IF(AND(H_Direct=1,CF61&gt;0),MAX(0,XE61-(MIN(CF61*TS61,(XE61+AAR61))-MIN(MIN(CF61*TS61,(XE61+AAR61)),AAR61))),XE61)</f>
        <v>1270</v>
      </c>
      <c r="XG61" s="20" t="n">
        <f aca="false">IF(AND(H_Direct=1,CG61&gt;0),MAX(0,XF61-(MIN(CG61*TT61,(XF61+AAS61))-MIN(MIN(CG61*TT61,(XF61+AAS61)),AAS61))),XF61)</f>
        <v>1270</v>
      </c>
      <c r="XH61" s="20" t="n">
        <f aca="false">IF(AND(H_Direct=1,CH61&gt;0),MAX(0,XG61-(MIN(CH61*TU61,(XG61+AAT61))-MIN(MIN(CH61*TU61,(XG61+AAT61)),AAT61))),XG61)</f>
        <v>1270</v>
      </c>
      <c r="XI61" s="20" t="n">
        <f aca="false">IF(AND(H_Direct=1,CI61&gt;0),MAX(0,XH61-(MIN(CI61*TV61,(XH61+AAU61))-MIN(MIN(CI61*TV61,(XH61+AAU61)),AAU61))),XH61)</f>
        <v>1270</v>
      </c>
      <c r="XJ61" s="20" t="n">
        <f aca="false">IF(AND(H_Direct=1,CJ61&gt;0),MAX(0,XI61-(MIN(CJ61*TW61,(XI61+AAV61))-MIN(MIN(CJ61*TW61,(XI61+AAV61)),AAV61))),XI61)</f>
        <v>1270</v>
      </c>
      <c r="XK61" s="20" t="n">
        <f aca="false">IF(AND(H_Direct=1,CK61&gt;0),MAX(0,XJ61-(MIN(CK61*TX61,(XJ61+AAW61))-MIN(MIN(CK61*TX61,(XJ61+AAW61)),AAW61))),XJ61)</f>
        <v>1270</v>
      </c>
      <c r="XL61" s="20" t="n">
        <f aca="false">IF(AND(H_Direct=1,CL61&gt;0),MAX(0,XK61-(MIN(CL61*TY61,(XK61+AAX61))-MIN(MIN(CL61*TY61,(XK61+AAX61)),AAX61))),XK61)</f>
        <v>1270</v>
      </c>
      <c r="XM61" s="20" t="n">
        <f aca="false">IF(AND(H_Direct=1,CM61&gt;0),MAX(0,XL61-(MIN(CM61*TZ61,(XL61+AAY61))-MIN(MIN(CM61*TZ61,(XL61+AAY61)),AAY61))),XL61)</f>
        <v>1270</v>
      </c>
      <c r="XN61" s="20" t="n">
        <f aca="false">IF(AND(H_Direct=1,CN61&gt;0),MAX(0,XM61-(MIN(CN61*UA61,(XM61+AAZ61))-MIN(MIN(CN61*UA61,(XM61+AAZ61)),AAZ61))),XM61)</f>
        <v>1270</v>
      </c>
      <c r="XO61" s="20" t="n">
        <f aca="false">IF(AND(H_Direct=1,CO61&gt;0),MAX(0,XN61-(MIN(CO61*UB61,(XN61+ABA61))-MIN(MIN(CO61*UB61,(XN61+ABA61)),ABA61))),XN61)</f>
        <v>1270</v>
      </c>
      <c r="XP61" s="20" t="n">
        <f aca="false">IF(AND(H_Direct=1,CP61&gt;0),MAX(0,XO61-(MIN(CP61*UC61,(XO61+ABB61))-MIN(MIN(CP61*UC61,(XO61+ABB61)),ABB61))),XO61)</f>
        <v>1270</v>
      </c>
      <c r="XQ61" s="20" t="n">
        <f aca="false">IF(AND(H_Direct=1,CQ61&gt;0),MAX(0,XP61-(MIN(CQ61*UD61,(XP61+ABC61))-MIN(MIN(CQ61*UD61,(XP61+ABC61)),ABC61))),XP61)</f>
        <v>1270</v>
      </c>
      <c r="XR61" s="20" t="n">
        <f aca="false">IF(AND(H_Direct=1,CR61&gt;0),MAX(0,XQ61-(MIN(CR61*UE61,(XQ61+ABD61))-MIN(MIN(CR61*UE61,(XQ61+ABD61)),ABD61))),XQ61)</f>
        <v>1270</v>
      </c>
      <c r="XS61" s="20" t="n">
        <f aca="false">IF(AND(H_Direct=1,CS61&gt;0),MAX(0,XR61-(MIN(CS61*UF61,(XR61+ABE61))-MIN(MIN(CS61*UF61,(XR61+ABE61)),ABE61))),XR61)</f>
        <v>1270</v>
      </c>
      <c r="XT61" s="20" t="n">
        <f aca="false">IF(AND(H_Direct=1,CT61&gt;0),MAX(0,XS61-(MIN(CT61*UG61,(XS61+ABF61))-MIN(MIN(CT61*UG61,(XS61+ABF61)),ABF61))),XS61)</f>
        <v>1270</v>
      </c>
      <c r="XU61" s="20" t="n">
        <f aca="false">IF(AND(H_Direct=1,CU61&gt;0),MAX(0,XT61-(MIN(CU61*UH61,(XT61+ABG61))-MIN(MIN(CU61*UH61,(XT61+ABG61)),ABG61))),XT61)</f>
        <v>1270</v>
      </c>
      <c r="XV61" s="20" t="n">
        <f aca="false">IF(AND(H_Direct=1,CV61&gt;0),MAX(0,XU61-(MIN(CV61*UI61,(XU61+ABH61))-MIN(MIN(CV61*UI61,(XU61+ABH61)),ABH61))),XU61)</f>
        <v>1270</v>
      </c>
      <c r="XW61" s="20" t="n">
        <f aca="false">IF(AND(H_Direct=1,CW61&gt;0),MAX(0,XV61-(MIN(CW61*UJ61,(XV61+ABI61))-MIN(MIN(CW61*UJ61,(XV61+ABI61)),ABI61))),XV61)</f>
        <v>1270</v>
      </c>
      <c r="XX61" s="20" t="n">
        <f aca="false">IF(AND(H_Direct=1,CX61&gt;0),MAX(0,XW61-(MIN(CX61*UK61,(XW61+ABJ61))-MIN(MIN(CX61*UK61,(XW61+ABJ61)),ABJ61))),XW61)</f>
        <v>1270</v>
      </c>
      <c r="XY61" s="20" t="n">
        <f aca="false">IF(AND(H_Direct=1,CY61&gt;0),MAX(0,XX61-(MIN(CY61*UL61,(XX61+ABK61))-MIN(MIN(CY61*UL61,(XX61+ABK61)),ABK61))),XX61)</f>
        <v>1270</v>
      </c>
      <c r="XZ61" s="20" t="n">
        <f aca="false">IF(AND(H_Direct=1,CZ61&gt;0),MAX(0,XY61-(MIN(CZ61*UM61,(XY61+ABL61))-MIN(MIN(CZ61*UM61,(XY61+ABL61)),ABL61))),XY61)</f>
        <v>1270</v>
      </c>
      <c r="YA61" s="20" t="n">
        <f aca="false">IF(AND(H_Direct=1,DA61&gt;0),MAX(0,XZ61-(MIN(DA61*UN61,(XZ61+ABM61))-MIN(MIN(DA61*UN61,(XZ61+ABM61)),ABM61))),XZ61)</f>
        <v>1270</v>
      </c>
      <c r="YB61" s="20" t="n">
        <f aca="false">IF(AND(H_Direct=1,DB61&gt;0),MAX(0,YA61-(MIN(DB61*UO61,(YA61+ABN61))-MIN(MIN(DB61*UO61,(YA61+ABN61)),ABN61))),YA61)</f>
        <v>1270</v>
      </c>
      <c r="YC61" s="20" t="n">
        <f aca="false">IF(AND(H_Direct=1,DC61&gt;0),MAX(0,YB61-(MIN(DC61*UP61,(YB61+ABO61))-MIN(MIN(DC61*UP61,(YB61+ABO61)),ABO61))),YB61)</f>
        <v>1270</v>
      </c>
      <c r="YD61" s="20" t="n">
        <f aca="false">IF(AND(H_Direct=1,DD61&gt;0),MAX(0,YC61-(MIN(DD61*UQ61,(YC61+ABP61))-MIN(MIN(DD61*UQ61,(YC61+ABP61)),ABP61))),YC61)</f>
        <v>1270</v>
      </c>
      <c r="YE61" s="20" t="n">
        <f aca="false">IF(AND(H_Direct=1,DE61&gt;0),MAX(0,YD61-(MIN(DE61*UR61,(YD61+ABQ61))-MIN(MIN(DE61*UR61,(YD61+ABQ61)),ABQ61))),YD61)</f>
        <v>1270</v>
      </c>
      <c r="YF61" s="20" t="n">
        <f aca="false">IF(AND(H_Direct=1,DF61&gt;0),MAX(0,YE61-(MIN(DF61*US61,(YE61+ABR61))-MIN(MIN(DF61*US61,(YE61+ABR61)),ABR61))),YE61)</f>
        <v>1270</v>
      </c>
      <c r="YG61" s="20" t="n">
        <f aca="false">IF(AND(H_Direct=1,DG61&gt;0),MAX(0,YF61-(MIN(DG61*UT61,(YF61+ABS61))-MIN(MIN(DG61*UT61,(YF61+ABS61)),ABS61))),YF61)</f>
        <v>1270</v>
      </c>
      <c r="YH61" s="20" t="n">
        <f aca="false">IF(AND(H_Direct=1,DH61&gt;0),MAX(0,YG61-(MIN(DH61*UU61,(YG61+ABT61))-MIN(MIN(DH61*UU61,(YG61+ABT61)),ABT61))),YG61)</f>
        <v>1270</v>
      </c>
      <c r="YI61" s="20" t="n">
        <f aca="false">IF(AND(H_Direct=1,DI61&gt;0),MAX(0,YH61-(MIN(DI61*UV61,(YH61+ABU61))-MIN(MIN(DI61*UV61,(YH61+ABU61)),ABU61))),YH61)</f>
        <v>1270</v>
      </c>
      <c r="YJ61" s="20" t="n">
        <f aca="false">IF(AND(H_Direct=1,DJ61&gt;0),MAX(0,YI61-(MIN(DJ61*UW61,(YI61+ABV61))-MIN(MIN(DJ61*UW61,(YI61+ABV61)),ABV61))),YI61)</f>
        <v>1270</v>
      </c>
      <c r="YK61" s="20" t="n">
        <f aca="false">IF(AND(H_Direct=1,DK61&gt;0),MAX(0,YJ61-(MIN(DK61*UX61,(YJ61+ABW61))-MIN(MIN(DK61*UX61,(YJ61+ABW61)),ABW61))),YJ61)</f>
        <v>1270</v>
      </c>
      <c r="YL61" s="20" t="n">
        <f aca="false">IF(AND(H_Direct=1,DL61&gt;0),MAX(0,YK61-(MIN(DL61*UY61,(YK61+ABX61))-MIN(MIN(DL61*UY61,(YK61+ABX61)),ABX61))),YK61)</f>
        <v>1270</v>
      </c>
      <c r="YM61" s="20" t="n">
        <f aca="false">IF(AND(H_Direct=1,DM61&gt;0),MAX(0,YL61-(MIN(DM61*UZ61,(YL61+ABY61))-MIN(MIN(DM61*UZ61,(YL61+ABY61)),ABY61))),YL61)</f>
        <v>1270</v>
      </c>
      <c r="YN61" s="20" t="n">
        <f aca="false">IF(AND(H_Direct=1,DN61&gt;0),MAX(0,YM61-(MIN(DN61*VA61,(YM61+ABZ61))-MIN(MIN(DN61*VA61,(YM61+ABZ61)),ABZ61))),YM61)</f>
        <v>1270</v>
      </c>
      <c r="YO61" s="20" t="n">
        <f aca="false">IF(AND(H_Direct=1,DO61&gt;0),MAX(0,YN61-(MIN(DO61*VB61,(YN61+ACA61))-MIN(MIN(DO61*VB61,(YN61+ACA61)),ACA61))),YN61)</f>
        <v>1270</v>
      </c>
      <c r="YP61" s="20" t="n">
        <f aca="false">IF(AND(H_Direct=1,DP61&gt;0),MAX(0,YO61-(MIN(DP61*VC61,(YO61+ACB61))-MIN(MIN(DP61*VC61,(YO61+ACB61)),ACB61))),YO61)</f>
        <v>1270</v>
      </c>
      <c r="YQ61" s="20" t="n">
        <f aca="false">IF(AND(H_Direct=1,DQ61&gt;0),MAX(0,YP61-(MIN(DQ61*VD61,(YP61+ACC61))-MIN(MIN(DQ61*VD61,(YP61+ACC61)),ACC61))),YP61)</f>
        <v>1270</v>
      </c>
      <c r="YR61" s="20" t="n">
        <f aca="false">IF(AND(H_Direct=1,DR61&gt;0),MAX(0,YQ61-(MIN(DR61*VE61,(YQ61+ACD61))-MIN(MIN(DR61*VE61,(YQ61+ACD61)),ACD61))),YQ61)</f>
        <v>1270</v>
      </c>
      <c r="YS61" s="20" t="n">
        <f aca="false">IF(AND(H_Direct=1,DS61&gt;0),MAX(0,YR61-(MIN(DS61*VF61,(YR61+ACE61))-MIN(MIN(DS61*VF61,(YR61+ACE61)),ACE61))),YR61)</f>
        <v>1270</v>
      </c>
      <c r="YT61" s="20" t="n">
        <f aca="false">IF(AND(H_Direct=1,DT61&gt;0),MAX(0,YS61-(MIN(DT61*VG61,(YS61+ACF61))-MIN(MIN(DT61*VG61,(YS61+ACF61)),ACF61))),YS61)</f>
        <v>1270</v>
      </c>
      <c r="YU61" s="20" t="n">
        <f aca="false">YT61</f>
        <v>1270</v>
      </c>
      <c r="YV61" s="20" t="n">
        <f aca="false">YU61</f>
        <v>1270</v>
      </c>
      <c r="YW61" s="20" t="n">
        <f aca="false">YV61</f>
        <v>1270</v>
      </c>
      <c r="YX61" s="20" t="n">
        <f aca="false">YW61</f>
        <v>1270</v>
      </c>
      <c r="YY61" s="20" t="n">
        <f aca="false">YX61</f>
        <v>1270</v>
      </c>
      <c r="YZ61" s="20" t="n">
        <f aca="false">YY61</f>
        <v>1270</v>
      </c>
      <c r="ZA61" s="20" t="n">
        <f aca="false">YZ61</f>
        <v>1270</v>
      </c>
      <c r="ZB61" s="20" t="n">
        <f aca="false">ZA61</f>
        <v>1270</v>
      </c>
      <c r="ZC61" s="20" t="n">
        <f aca="false">ZB61</f>
        <v>1270</v>
      </c>
      <c r="ZD61" s="20" t="n">
        <f aca="false">ZC61</f>
        <v>1270</v>
      </c>
      <c r="ZE61" s="20" t="n">
        <f aca="false">ZD61</f>
        <v>1270</v>
      </c>
      <c r="ZF61" s="20" t="n">
        <f aca="false">ZE61</f>
        <v>1270</v>
      </c>
      <c r="ZG61" s="20" t="n">
        <f aca="false">ZF61</f>
        <v>1270</v>
      </c>
      <c r="ZH61" s="20" t="n">
        <f aca="false">ZG61</f>
        <v>1270</v>
      </c>
      <c r="ZI61" s="20" t="n">
        <f aca="false">ZH61</f>
        <v>1270</v>
      </c>
      <c r="ZJ61" s="20" t="n">
        <f aca="false">ZI61</f>
        <v>1270</v>
      </c>
      <c r="ZK61" s="20" t="n">
        <f aca="false">ZJ61</f>
        <v>1270</v>
      </c>
      <c r="ZL61" s="20" t="n">
        <f aca="false">ZK61</f>
        <v>1270</v>
      </c>
      <c r="ZM61" s="20" t="n">
        <f aca="false">ZL61</f>
        <v>1270</v>
      </c>
      <c r="ZN61" s="20" t="n">
        <f aca="false">ZM61</f>
        <v>1270</v>
      </c>
      <c r="ZO61" s="20" t="n">
        <f aca="false">ZN61</f>
        <v>1270</v>
      </c>
      <c r="ZP61" s="20" t="n">
        <f aca="false">ZO61</f>
        <v>1270</v>
      </c>
      <c r="ZQ61" s="20" t="n">
        <f aca="false">ZP61</f>
        <v>1270</v>
      </c>
      <c r="ZR61" s="20" t="n">
        <f aca="false">ZQ61</f>
        <v>1270</v>
      </c>
      <c r="ZS61" s="20" t="n">
        <f aca="false">ZR61</f>
        <v>1270</v>
      </c>
      <c r="ZT61" s="20" t="n">
        <f aca="false">ZS61</f>
        <v>1270</v>
      </c>
      <c r="ZU61" s="20" t="n">
        <f aca="false">ZT61</f>
        <v>1270</v>
      </c>
      <c r="ZV61" s="20" t="n">
        <f aca="false">ZU61</f>
        <v>1270</v>
      </c>
      <c r="ZW61" s="20" t="n">
        <f aca="false">ZV61</f>
        <v>1270</v>
      </c>
      <c r="ZX61" s="20" t="n">
        <f aca="false">ZW61</f>
        <v>1270</v>
      </c>
      <c r="ZY61" s="20" t="n">
        <f aca="false">ZX61</f>
        <v>1270</v>
      </c>
      <c r="ZZ61" s="20" t="n">
        <f aca="false">ZY61</f>
        <v>1270</v>
      </c>
      <c r="AAA61" s="20" t="n">
        <f aca="false">ZZ61</f>
        <v>1270</v>
      </c>
      <c r="AAB61" s="20" t="n">
        <f aca="false">AAA61</f>
        <v>1270</v>
      </c>
      <c r="AAC61" s="20" t="n">
        <f aca="false">AAB61</f>
        <v>1270</v>
      </c>
      <c r="AAD61" s="20" t="n">
        <f aca="false">AAC61</f>
        <v>1270</v>
      </c>
      <c r="AAE61" s="20" t="n">
        <f aca="false">IF(H_Direct=1,IF(BR61&lt;=0,I61-BR61*TE61,I61-MIN(MIN(BR61*TE61,(H61+I61)),I61)),I61)</f>
        <v>0</v>
      </c>
      <c r="AAF61" s="20" t="n">
        <f aca="false">IF(H_Direct=1,IF(BS61&lt;=0,AAE61-BS61*TF61,AAE61-MIN(MIN(BS61*TF61,(WR61+AAE61)),AAE61)),AAE61)</f>
        <v>0</v>
      </c>
      <c r="AAG61" s="20" t="n">
        <f aca="false">IF(H_Direct=1,IF(BT61&lt;=0,AAF61-BT61*TG61,AAF61-MIN(MIN(BT61*TG61,(WS61+AAF61)),AAF61)),AAF61)</f>
        <v>0</v>
      </c>
      <c r="AAH61" s="20" t="n">
        <f aca="false">IF(H_Direct=1,IF(BU61&lt;=0,AAG61-BU61*TH61,AAG61-MIN(MIN(BU61*TH61,(WT61+AAG61)),AAG61)),AAG61)</f>
        <v>0</v>
      </c>
      <c r="AAI61" s="20" t="n">
        <f aca="false">IF(H_Direct=1,IF(BV61&lt;=0,AAH61-BV61*TI61,AAH61-MIN(MIN(BV61*TI61,(WU61+AAH61)),AAH61)),AAH61)</f>
        <v>0</v>
      </c>
      <c r="AAJ61" s="20" t="n">
        <f aca="false">IF(H_Direct=1,IF(BW61&lt;=0,AAI61-BW61*TJ61,AAI61-MIN(MIN(BW61*TJ61,(WV61+AAI61)),AAI61)),AAI61)</f>
        <v>0</v>
      </c>
      <c r="AAK61" s="20" t="n">
        <f aca="false">IF(H_Direct=1,IF(BX61&lt;=0,AAJ61-BX61*TK61,AAJ61-MIN(MIN(BX61*TK61,(WW61+AAJ61)),AAJ61)),AAJ61)</f>
        <v>0</v>
      </c>
      <c r="AAL61" s="20" t="n">
        <f aca="false">IF(H_Direct=1,IF(BY61&lt;=0,AAK61-BY61*TL61,AAK61-MIN(MIN(BY61*TL61,(WX61+AAK61)),AAK61)),AAK61)</f>
        <v>0</v>
      </c>
      <c r="AAM61" s="20" t="n">
        <f aca="false">IF(H_Direct=1,IF(BZ61&lt;=0,AAL61-BZ61*TM61,AAL61-MIN(MIN(BZ61*TM61,(WY61+AAL61)),AAL61)),AAL61)</f>
        <v>0</v>
      </c>
      <c r="AAN61" s="20" t="n">
        <f aca="false">IF(H_Direct=1,IF(CA61&lt;=0,AAM61-CA61*TN61,AAM61-MIN(MIN(CA61*TN61,(WZ61+AAM61)),AAM61)),AAM61)</f>
        <v>0</v>
      </c>
      <c r="AAO61" s="20" t="n">
        <f aca="false">IF(H_Direct=1,IF(CB61&lt;=0,AAN61-CB61*TO61,AAN61-MIN(MIN(CB61*TO61,(XA61+AAN61)),AAN61)),AAN61)</f>
        <v>0</v>
      </c>
      <c r="AAP61" s="20" t="n">
        <f aca="false">IF(H_Direct=1,IF(CC61&lt;=0,AAO61-CC61*TP61,AAO61-MIN(MIN(CC61*TP61,(XB61+AAO61)),AAO61)),AAO61)</f>
        <v>0</v>
      </c>
      <c r="AAQ61" s="20" t="n">
        <f aca="false">IF(H_Direct=1,IF(CD61&lt;=0,AAP61-CD61*TQ61,AAP61-MIN(MIN(CD61*TQ61,(XC61+AAP61)),AAP61)),AAP61)</f>
        <v>0</v>
      </c>
      <c r="AAR61" s="20" t="n">
        <f aca="false">IF(H_Direct=1,IF(CE61&lt;=0,AAQ61-CE61*TR61,AAQ61-MIN(MIN(CE61*TR61,(XD61+AAQ61)),AAQ61)),AAQ61)</f>
        <v>0</v>
      </c>
      <c r="AAS61" s="20" t="n">
        <f aca="false">IF(H_Direct=1,IF(CF61&lt;=0,AAR61-CF61*TS61,AAR61-MIN(MIN(CF61*TS61,(XE61+AAR61)),AAR61)),AAR61)</f>
        <v>0</v>
      </c>
      <c r="AAT61" s="20" t="n">
        <f aca="false">IF(H_Direct=1,IF(CG61&lt;=0,AAS61-CG61*TT61,AAS61-MIN(MIN(CG61*TT61,(XF61+AAS61)),AAS61)),AAS61)</f>
        <v>0</v>
      </c>
      <c r="AAU61" s="20" t="n">
        <f aca="false">IF(H_Direct=1,IF(CH61&lt;=0,AAT61-CH61*TU61,AAT61-MIN(MIN(CH61*TU61,(XG61+AAT61)),AAT61)),AAT61)</f>
        <v>0</v>
      </c>
      <c r="AAV61" s="20" t="n">
        <f aca="false">IF(H_Direct=1,IF(CI61&lt;=0,AAU61-CI61*TV61,AAU61-MIN(MIN(CI61*TV61,(XH61+AAU61)),AAU61)),AAU61)</f>
        <v>0</v>
      </c>
      <c r="AAW61" s="20" t="n">
        <f aca="false">IF(H_Direct=1,IF(CJ61&lt;=0,AAV61-CJ61*TW61,AAV61-MIN(MIN(CJ61*TW61,(XI61+AAV61)),AAV61)),AAV61)</f>
        <v>0</v>
      </c>
      <c r="AAX61" s="20" t="n">
        <f aca="false">IF(H_Direct=1,IF(CK61&lt;=0,AAW61-CK61*TX61,AAW61-MIN(MIN(CK61*TX61,(XJ61+AAW61)),AAW61)),AAW61)</f>
        <v>0</v>
      </c>
      <c r="AAY61" s="20" t="n">
        <f aca="false">IF(H_Direct=1,IF(CL61&lt;=0,AAX61-CL61*TY61,AAX61-MIN(MIN(CL61*TY61,(XK61+AAX61)),AAX61)),AAX61)</f>
        <v>0</v>
      </c>
      <c r="AAZ61" s="20" t="n">
        <f aca="false">IF(H_Direct=1,IF(CM61&lt;=0,AAY61-CM61*TZ61,AAY61-MIN(MIN(CM61*TZ61,(XL61+AAY61)),AAY61)),AAY61)</f>
        <v>0</v>
      </c>
      <c r="ABA61" s="20" t="n">
        <f aca="false">IF(H_Direct=1,IF(CN61&lt;=0,AAZ61-CN61*UA61,AAZ61-MIN(MIN(CN61*UA61,(XM61+AAZ61)),AAZ61)),AAZ61)</f>
        <v>0</v>
      </c>
      <c r="ABB61" s="20" t="n">
        <f aca="false">IF(H_Direct=1,IF(CO61&lt;=0,ABA61-CO61*UB61,ABA61-MIN(MIN(CO61*UB61,(XN61+ABA61)),ABA61)),ABA61)</f>
        <v>0</v>
      </c>
      <c r="ABC61" s="20" t="n">
        <f aca="false">IF(H_Direct=1,IF(CP61&lt;=0,ABB61-CP61*UC61,ABB61-MIN(MIN(CP61*UC61,(XO61+ABB61)),ABB61)),ABB61)</f>
        <v>0</v>
      </c>
      <c r="ABD61" s="20" t="n">
        <f aca="false">IF(H_Direct=1,IF(CQ61&lt;=0,ABC61-CQ61*UD61,ABC61-MIN(MIN(CQ61*UD61,(XP61+ABC61)),ABC61)),ABC61)</f>
        <v>0</v>
      </c>
      <c r="ABE61" s="20" t="n">
        <f aca="false">IF(H_Direct=1,IF(CR61&lt;=0,ABD61-CR61*UE61,ABD61-MIN(MIN(CR61*UE61,(XQ61+ABD61)),ABD61)),ABD61)</f>
        <v>0</v>
      </c>
      <c r="ABF61" s="20" t="n">
        <f aca="false">IF(H_Direct=1,IF(CS61&lt;=0,ABE61-CS61*UF61,ABE61-MIN(MIN(CS61*UF61,(XR61+ABE61)),ABE61)),ABE61)</f>
        <v>0</v>
      </c>
      <c r="ABG61" s="20" t="n">
        <f aca="false">IF(H_Direct=1,IF(CT61&lt;=0,ABF61-CT61*UG61,ABF61-MIN(MIN(CT61*UG61,(XS61+ABF61)),ABF61)),ABF61)</f>
        <v>0</v>
      </c>
      <c r="ABH61" s="20" t="n">
        <f aca="false">IF(H_Direct=1,IF(CU61&lt;=0,ABG61-CU61*UH61,ABG61-MIN(MIN(CU61*UH61,(XT61+ABG61)),ABG61)),ABG61)</f>
        <v>0</v>
      </c>
      <c r="ABI61" s="20" t="n">
        <f aca="false">IF(H_Direct=1,IF(CV61&lt;=0,ABH61-CV61*UI61,ABH61-MIN(MIN(CV61*UI61,(XU61+ABH61)),ABH61)),ABH61)</f>
        <v>0</v>
      </c>
      <c r="ABJ61" s="20" t="n">
        <f aca="false">IF(H_Direct=1,IF(CW61&lt;=0,ABI61-CW61*UJ61,ABI61-MIN(MIN(CW61*UJ61,(XV61+ABI61)),ABI61)),ABI61)</f>
        <v>0</v>
      </c>
      <c r="ABK61" s="20" t="n">
        <f aca="false">IF(H_Direct=1,IF(CX61&lt;=0,ABJ61-CX61*UK61,ABJ61-MIN(MIN(CX61*UK61,(XW61+ABJ61)),ABJ61)),ABJ61)</f>
        <v>0</v>
      </c>
      <c r="ABL61" s="20" t="n">
        <f aca="false">IF(H_Direct=1,IF(CY61&lt;=0,ABK61-CY61*UL61,ABK61-MIN(MIN(CY61*UL61,(XX61+ABK61)),ABK61)),ABK61)</f>
        <v>0</v>
      </c>
      <c r="ABM61" s="20" t="n">
        <f aca="false">IF(H_Direct=1,IF(CZ61&lt;=0,ABL61-CZ61*UM61,ABL61-MIN(MIN(CZ61*UM61,(XY61+ABL61)),ABL61)),ABL61)</f>
        <v>0</v>
      </c>
      <c r="ABN61" s="20" t="n">
        <f aca="false">IF(H_Direct=1,IF(DA61&lt;=0,ABM61-DA61*UN61,ABM61-MIN(MIN(DA61*UN61,(XZ61+ABM61)),ABM61)),ABM61)</f>
        <v>0</v>
      </c>
      <c r="ABO61" s="20" t="n">
        <f aca="false">IF(H_Direct=1,IF(DB61&lt;=0,ABN61-DB61*UO61,ABN61-MIN(MIN(DB61*UO61,(YA61+ABN61)),ABN61)),ABN61)</f>
        <v>0</v>
      </c>
      <c r="ABP61" s="20" t="n">
        <f aca="false">IF(H_Direct=1,IF(DC61&lt;=0,ABO61-DC61*UP61,ABO61-MIN(MIN(DC61*UP61,(YB61+ABO61)),ABO61)),ABO61)</f>
        <v>0</v>
      </c>
      <c r="ABQ61" s="20" t="n">
        <f aca="false">IF(H_Direct=1,IF(DD61&lt;=0,ABP61-DD61*UQ61,ABP61-MIN(MIN(DD61*UQ61,(YC61+ABP61)),ABP61)),ABP61)</f>
        <v>0</v>
      </c>
      <c r="ABR61" s="20" t="n">
        <f aca="false">IF(H_Direct=1,IF(DE61&lt;=0,ABQ61-DE61*UR61,ABQ61-MIN(MIN(DE61*UR61,(YD61+ABQ61)),ABQ61)),ABQ61)</f>
        <v>0</v>
      </c>
      <c r="ABS61" s="20" t="n">
        <f aca="false">IF(H_Direct=1,IF(DF61&lt;=0,ABR61-DF61*US61,ABR61-MIN(MIN(DF61*US61,(YE61+ABR61)),ABR61)),ABR61)</f>
        <v>0</v>
      </c>
      <c r="ABT61" s="20" t="n">
        <f aca="false">IF(H_Direct=1,IF(DG61&lt;=0,ABS61-DG61*UT61,ABS61-MIN(MIN(DG61*UT61,(YF61+ABS61)),ABS61)),ABS61)</f>
        <v>0</v>
      </c>
      <c r="ABU61" s="20" t="n">
        <f aca="false">IF(H_Direct=1,IF(DH61&lt;=0,ABT61-DH61*UU61,ABT61-MIN(MIN(DH61*UU61,(YG61+ABT61)),ABT61)),ABT61)</f>
        <v>0</v>
      </c>
      <c r="ABV61" s="20" t="n">
        <f aca="false">IF(H_Direct=1,IF(DI61&lt;=0,ABU61-DI61*UV61,ABU61-MIN(MIN(DI61*UV61,(YH61+ABU61)),ABU61)),ABU61)</f>
        <v>0</v>
      </c>
      <c r="ABW61" s="20" t="n">
        <f aca="false">IF(H_Direct=1,IF(DJ61&lt;=0,ABV61-DJ61*UW61,ABV61-MIN(MIN(DJ61*UW61,(YI61+ABV61)),ABV61)),ABV61)</f>
        <v>0</v>
      </c>
      <c r="ABX61" s="20" t="n">
        <f aca="false">IF(H_Direct=1,IF(DK61&lt;=0,ABW61-DK61*UX61,ABW61-MIN(MIN(DK61*UX61,(YJ61+ABW61)),ABW61)),ABW61)</f>
        <v>0</v>
      </c>
      <c r="ABY61" s="20" t="n">
        <f aca="false">IF(H_Direct=1,IF(DL61&lt;=0,ABX61-DL61*UY61,ABX61-MIN(MIN(DL61*UY61,(YK61+ABX61)),ABX61)),ABX61)</f>
        <v>0</v>
      </c>
      <c r="ABZ61" s="20" t="n">
        <f aca="false">IF(H_Direct=1,IF(DM61&lt;=0,ABY61-DM61*UZ61,ABY61-MIN(MIN(DM61*UZ61,(YL61+ABY61)),ABY61)),ABY61)</f>
        <v>0</v>
      </c>
      <c r="ACA61" s="20" t="n">
        <f aca="false">IF(H_Direct=1,IF(DN61&lt;=0,ABZ61-DN61*VA61,ABZ61-MIN(MIN(DN61*VA61,(YM61+ABZ61)),ABZ61)),ABZ61)</f>
        <v>0</v>
      </c>
      <c r="ACB61" s="20" t="n">
        <f aca="false">IF(H_Direct=1,IF(DO61&lt;=0,ACA61-DO61*VB61,ACA61-MIN(MIN(DO61*VB61,(YN61+ACA61)),ACA61)),ACA61)</f>
        <v>0</v>
      </c>
      <c r="ACC61" s="20" t="n">
        <f aca="false">IF(H_Direct=1,IF(DP61&lt;=0,ACB61-DP61*VC61,ACB61-MIN(MIN(DP61*VC61,(YO61+ACB61)),ACB61)),ACB61)</f>
        <v>0</v>
      </c>
      <c r="ACD61" s="20" t="n">
        <f aca="false">IF(H_Direct=1,IF(DQ61&lt;=0,ACC61-DQ61*VD61,ACC61-MIN(MIN(DQ61*VD61,(YP61+ACC61)),ACC61)),ACC61)</f>
        <v>0</v>
      </c>
      <c r="ACE61" s="20" t="n">
        <f aca="false">IF(H_Direct=1,IF(DR61&lt;=0,ACD61-DR61*VE61,ACD61-MIN(MIN(DR61*VE61,(YQ61+ACD61)),ACD61)),ACD61)</f>
        <v>0</v>
      </c>
      <c r="ACF61" s="20" t="n">
        <f aca="false">IF(H_Direct=1,IF(DS61&lt;=0,ACE61-DS61*VF61,ACE61-MIN(MIN(DS61*VF61,(YR61+ACE61)),ACE61)),ACE61)</f>
        <v>0</v>
      </c>
      <c r="ACG61" s="20" t="n">
        <f aca="false">IF(H_Direct=1,IF(DT61&lt;=0,ACF61-DT61*VG61,ACF61-MIN(MIN(DT61*VG61,(YS61+ACF61)),ACF61)),ACF61)</f>
        <v>0</v>
      </c>
      <c r="ACH61" s="20" t="n">
        <f aca="false">ACG61</f>
        <v>0</v>
      </c>
      <c r="ACI61" s="20" t="n">
        <f aca="false">ACH61</f>
        <v>0</v>
      </c>
      <c r="ACJ61" s="20" t="n">
        <f aca="false">ACI61</f>
        <v>0</v>
      </c>
      <c r="ACK61" s="20" t="n">
        <f aca="false">ACJ61</f>
        <v>0</v>
      </c>
      <c r="ACL61" s="20" t="n">
        <f aca="false">ACK61</f>
        <v>0</v>
      </c>
      <c r="ACM61" s="20" t="n">
        <f aca="false">ACL61</f>
        <v>0</v>
      </c>
      <c r="ACN61" s="20" t="n">
        <f aca="false">ACM61</f>
        <v>0</v>
      </c>
      <c r="ACO61" s="20" t="n">
        <f aca="false">ACN61</f>
        <v>0</v>
      </c>
      <c r="ACP61" s="20" t="n">
        <f aca="false">ACO61</f>
        <v>0</v>
      </c>
      <c r="ACQ61" s="20" t="n">
        <f aca="false">ACP61</f>
        <v>0</v>
      </c>
      <c r="ACR61" s="20" t="n">
        <f aca="false">ACQ61</f>
        <v>0</v>
      </c>
      <c r="ACS61" s="20" t="n">
        <f aca="false">ACR61</f>
        <v>0</v>
      </c>
      <c r="ACT61" s="20" t="n">
        <f aca="false">ACS61</f>
        <v>0</v>
      </c>
      <c r="ACU61" s="20" t="n">
        <f aca="false">ACT61</f>
        <v>0</v>
      </c>
      <c r="ACV61" s="20" t="n">
        <f aca="false">ACU61</f>
        <v>0</v>
      </c>
      <c r="ACW61" s="20" t="n">
        <f aca="false">ACV61</f>
        <v>0</v>
      </c>
      <c r="ACX61" s="20" t="n">
        <f aca="false">ACW61</f>
        <v>0</v>
      </c>
      <c r="ACY61" s="20" t="n">
        <f aca="false">ACX61</f>
        <v>0</v>
      </c>
      <c r="ACZ61" s="20" t="n">
        <f aca="false">ACY61</f>
        <v>0</v>
      </c>
      <c r="ADA61" s="20" t="n">
        <f aca="false">ACZ61</f>
        <v>0</v>
      </c>
      <c r="ADB61" s="20" t="n">
        <f aca="false">ADA61</f>
        <v>0</v>
      </c>
      <c r="ADC61" s="20" t="n">
        <f aca="false">ADB61</f>
        <v>0</v>
      </c>
      <c r="ADD61" s="20" t="n">
        <f aca="false">ADC61</f>
        <v>0</v>
      </c>
      <c r="ADE61" s="20" t="n">
        <f aca="false">ADD61</f>
        <v>0</v>
      </c>
      <c r="ADF61" s="20" t="n">
        <f aca="false">ADE61</f>
        <v>0</v>
      </c>
      <c r="ADG61" s="20" t="n">
        <f aca="false">ADF61</f>
        <v>0</v>
      </c>
      <c r="ADH61" s="20" t="n">
        <f aca="false">ADG61</f>
        <v>0</v>
      </c>
      <c r="ADI61" s="20" t="n">
        <f aca="false">ADH61</f>
        <v>0</v>
      </c>
      <c r="ADJ61" s="20" t="n">
        <f aca="false">ADI61</f>
        <v>0</v>
      </c>
      <c r="ADK61" s="20" t="n">
        <f aca="false">ADJ61</f>
        <v>0</v>
      </c>
      <c r="ADL61" s="20" t="n">
        <f aca="false">ADK61</f>
        <v>0</v>
      </c>
      <c r="ADM61" s="20" t="n">
        <f aca="false">ADL61</f>
        <v>0</v>
      </c>
      <c r="ADN61" s="20" t="n">
        <f aca="false">ADM61</f>
        <v>0</v>
      </c>
      <c r="ADO61" s="20" t="n">
        <f aca="false">ADN61</f>
        <v>0</v>
      </c>
      <c r="ADP61" s="20" t="n">
        <f aca="false">ADO61</f>
        <v>0</v>
      </c>
      <c r="ADQ61" s="20" t="n">
        <f aca="false">ADP61</f>
        <v>0</v>
      </c>
      <c r="ADR61" s="20" t="n">
        <f aca="false">(AKR60-TE61+0)*(1+BQ61)</f>
        <v>0</v>
      </c>
      <c r="ADS61" s="20" t="n">
        <f aca="false">(AKS60-TF61+0)*(1+BQ61)</f>
        <v>0</v>
      </c>
      <c r="ADT61" s="20" t="n">
        <f aca="false">(AKT60-TG61+0)*(1+BQ61)</f>
        <v>0</v>
      </c>
      <c r="ADU61" s="20" t="n">
        <f aca="false">(AKU60-TH61+0)*(1+BQ61)</f>
        <v>0</v>
      </c>
      <c r="ADV61" s="20" t="n">
        <f aca="false">(AKV60-TI61+0)*(1+BQ61)</f>
        <v>0</v>
      </c>
      <c r="ADW61" s="20" t="n">
        <f aca="false">(AKW60-TJ61+0)*(1+BQ61)</f>
        <v>0</v>
      </c>
      <c r="ADX61" s="20" t="n">
        <f aca="false">(AKX60-TK61+0)*(1+BQ61)</f>
        <v>0</v>
      </c>
      <c r="ADY61" s="20" t="n">
        <f aca="false">(AKY60-TL61+0)*(1+BQ61)</f>
        <v>0</v>
      </c>
      <c r="ADZ61" s="20" t="n">
        <f aca="false">(AKZ60-TM61+0)*(1+BQ61)</f>
        <v>0</v>
      </c>
      <c r="AEA61" s="20" t="n">
        <f aca="false">(ALA60-TN61+0)*(1+BQ61)</f>
        <v>0</v>
      </c>
      <c r="AEB61" s="20" t="n">
        <f aca="false">(ALB60-TO61+0)*(1+BQ61)</f>
        <v>0</v>
      </c>
      <c r="AEC61" s="20" t="n">
        <f aca="false">(ALC60-TP61+0)*(1+BQ61)</f>
        <v>0</v>
      </c>
      <c r="AED61" s="20" t="n">
        <f aca="false">(ALD60-TQ61+0)*(1+BQ61)</f>
        <v>0</v>
      </c>
      <c r="AEE61" s="20" t="n">
        <f aca="false">(ALE60-TR61+0)*(1+BQ61)</f>
        <v>0</v>
      </c>
      <c r="AEF61" s="20" t="n">
        <f aca="false">(ALF60-TS61+0)*(1+BQ61)</f>
        <v>0</v>
      </c>
      <c r="AEG61" s="20" t="n">
        <f aca="false">(ALG60-TT61+0)*(1+BQ61)</f>
        <v>0</v>
      </c>
      <c r="AEH61" s="20" t="n">
        <f aca="false">(ALH60-TU61+0)*(1+BQ61)</f>
        <v>0</v>
      </c>
      <c r="AEI61" s="20" t="n">
        <f aca="false">(ALI60-TV61+0)*(1+BQ61)</f>
        <v>0</v>
      </c>
      <c r="AEJ61" s="20" t="n">
        <f aca="false">(ALJ60-TW61+0)*(1+BQ61)</f>
        <v>0</v>
      </c>
      <c r="AEK61" s="20" t="n">
        <f aca="false">(ALK60-TX61+0)*(1+BQ61)</f>
        <v>0</v>
      </c>
      <c r="AEL61" s="20" t="n">
        <f aca="false">(ALL60-TY61+0)*(1+BQ61)</f>
        <v>0</v>
      </c>
      <c r="AEM61" s="20" t="n">
        <f aca="false">(ALM60-TZ61+0)*(1+BQ61)</f>
        <v>0</v>
      </c>
      <c r="AEN61" s="20" t="n">
        <f aca="false">(ALN60-UA61+0)*(1+BQ61)</f>
        <v>0</v>
      </c>
      <c r="AEO61" s="20" t="n">
        <f aca="false">(ALO60-UB61+0)*(1+BQ61)</f>
        <v>0</v>
      </c>
      <c r="AEP61" s="20" t="n">
        <f aca="false">(ALP60-UC61+0)*(1+BQ61)</f>
        <v>0</v>
      </c>
      <c r="AEQ61" s="20" t="n">
        <f aca="false">(ALQ60-UD61+0)*(1+BQ61)</f>
        <v>0</v>
      </c>
      <c r="AER61" s="20" t="n">
        <f aca="false">(ALR60-UE61+0)*(1+BQ61)</f>
        <v>0</v>
      </c>
      <c r="AES61" s="20" t="n">
        <f aca="false">(ALS60-UF61+0)*(1+BQ61)</f>
        <v>0</v>
      </c>
      <c r="AET61" s="20" t="n">
        <f aca="false">(ALT60-UG61+0)*(1+BQ61)</f>
        <v>0</v>
      </c>
      <c r="AEU61" s="20" t="n">
        <f aca="false">(ALU60-UH61+0)*(1+BQ61)</f>
        <v>0</v>
      </c>
      <c r="AEV61" s="20" t="n">
        <f aca="false">(ALV60-UI61+0)*(1+BQ61)</f>
        <v>0</v>
      </c>
      <c r="AEW61" s="20" t="n">
        <f aca="false">(ALW60-UJ61+0)*(1+BQ61)</f>
        <v>0</v>
      </c>
      <c r="AEX61" s="20" t="n">
        <f aca="false">(ALX60-UK61+0)*(1+BQ61)</f>
        <v>0</v>
      </c>
      <c r="AEY61" s="20" t="n">
        <f aca="false">(ALY60-UL61+0)*(1+BQ61)</f>
        <v>0</v>
      </c>
      <c r="AEZ61" s="20" t="n">
        <f aca="false">(ALZ60-UM61+0)*(1+BQ61)</f>
        <v>0</v>
      </c>
      <c r="AFA61" s="20" t="n">
        <f aca="false">(AMA60-UN61+0)*(1+BQ61)</f>
        <v>0</v>
      </c>
      <c r="AFB61" s="20" t="n">
        <f aca="false">(AMB60-UO61+0)*(1+BQ61)</f>
        <v>0</v>
      </c>
      <c r="AFC61" s="20" t="n">
        <f aca="false">(AMC60-UP61+0)*(1+BQ61)</f>
        <v>0</v>
      </c>
      <c r="AFD61" s="20" t="n">
        <f aca="false">(AMD60-UQ61+0)*(1+BQ61)</f>
        <v>0</v>
      </c>
      <c r="AFE61" s="20" t="n">
        <f aca="false">(AME60-UR61+0)*(1+BQ61)</f>
        <v>0</v>
      </c>
      <c r="AFF61" s="20" t="n">
        <f aca="false">(AMF60-US61+0)*(1+BQ61)</f>
        <v>0</v>
      </c>
      <c r="AFG61" s="20" t="n">
        <f aca="false">(AMG60-UT61+0)*(1+BQ61)</f>
        <v>0</v>
      </c>
      <c r="AFH61" s="20" t="n">
        <f aca="false">(AMH60-UU61+0)*(1+BQ61)</f>
        <v>0</v>
      </c>
      <c r="AFI61" s="20" t="n">
        <f aca="false">(AMI60-UV61+0)*(1+BQ61)</f>
        <v>0</v>
      </c>
      <c r="AFJ61" s="20" t="n">
        <f aca="false">(AMJ60-UW61+0)*(1+BQ61)</f>
        <v>0</v>
      </c>
      <c r="AFK61" s="20" t="n">
        <f aca="false">(AMK60-UX61+0)*(1+BQ61)</f>
        <v>0</v>
      </c>
      <c r="AFL61" s="20" t="n">
        <f aca="false">(AML60-UY61+0)*(1+BQ61)</f>
        <v>0</v>
      </c>
      <c r="AFM61" s="20" t="n">
        <f aca="false">(AMM60-UZ61+0)*(1+BQ61)</f>
        <v>0</v>
      </c>
      <c r="AFN61" s="20" t="n">
        <f aca="false">(AMN60-VA61+0)*(1+BQ61)</f>
        <v>0</v>
      </c>
      <c r="AFO61" s="20" t="n">
        <f aca="false">(AMO60-VB61+0)*(1+BQ61)</f>
        <v>0</v>
      </c>
      <c r="AFP61" s="20" t="n">
        <f aca="false">(AMP60-VC61+0)*(1+BQ61)</f>
        <v>0</v>
      </c>
      <c r="AFQ61" s="20" t="n">
        <f aca="false">(AMQ60-VD61+0)*(1+BQ61)</f>
        <v>0</v>
      </c>
      <c r="AFR61" s="20" t="n">
        <f aca="false">(AMR60-VE61+0)*(1+BQ61)</f>
        <v>0</v>
      </c>
      <c r="AFS61" s="20" t="n">
        <f aca="false">(AMS60-VF61+0)*(1+BQ61)</f>
        <v>0</v>
      </c>
      <c r="AFT61" s="20" t="n">
        <f aca="false">((P61+S61)-VG61+BE61)*(1+BQ61)</f>
        <v>0</v>
      </c>
      <c r="AFU61" s="20" t="n">
        <v>0</v>
      </c>
      <c r="AFV61" s="20" t="n">
        <v>0</v>
      </c>
      <c r="AFW61" s="20" t="n">
        <v>0</v>
      </c>
      <c r="AFX61" s="20" t="n">
        <v>0</v>
      </c>
      <c r="AFY61" s="20" t="n">
        <v>0</v>
      </c>
      <c r="AFZ61" s="20" t="n">
        <v>0</v>
      </c>
      <c r="AGA61" s="20" t="n">
        <v>0</v>
      </c>
      <c r="AGB61" s="20" t="n">
        <v>0</v>
      </c>
      <c r="AGC61" s="20" t="n">
        <v>0</v>
      </c>
      <c r="AGD61" s="20" t="n">
        <v>0</v>
      </c>
      <c r="AGE61" s="20" t="n">
        <v>0</v>
      </c>
      <c r="AGF61" s="20" t="n">
        <v>0</v>
      </c>
      <c r="AGG61" s="20" t="n">
        <v>0</v>
      </c>
      <c r="AGH61" s="20" t="n">
        <v>0</v>
      </c>
      <c r="AGI61" s="20" t="n">
        <v>0</v>
      </c>
      <c r="AGJ61" s="20" t="n">
        <v>0</v>
      </c>
      <c r="AGK61" s="20" t="n">
        <v>0</v>
      </c>
      <c r="AGL61" s="20" t="n">
        <v>0</v>
      </c>
      <c r="AGM61" s="20" t="n">
        <v>0</v>
      </c>
      <c r="AGN61" s="20" t="n">
        <v>0</v>
      </c>
      <c r="AGO61" s="20" t="n">
        <v>0</v>
      </c>
      <c r="AGP61" s="20" t="n">
        <v>0</v>
      </c>
      <c r="AGQ61" s="20" t="n">
        <v>0</v>
      </c>
      <c r="AGR61" s="20" t="n">
        <v>0</v>
      </c>
      <c r="AGS61" s="20" t="n">
        <v>0</v>
      </c>
      <c r="AGT61" s="20" t="n">
        <v>0</v>
      </c>
      <c r="AGU61" s="20" t="n">
        <v>0</v>
      </c>
      <c r="AGV61" s="20" t="n">
        <v>0</v>
      </c>
      <c r="AGW61" s="20" t="n">
        <v>0</v>
      </c>
      <c r="AGX61" s="20" t="n">
        <v>0</v>
      </c>
      <c r="AGY61" s="20" t="n">
        <v>0</v>
      </c>
      <c r="AGZ61" s="20" t="n">
        <v>0</v>
      </c>
      <c r="AHA61" s="20" t="n">
        <v>0</v>
      </c>
      <c r="AHB61" s="20" t="n">
        <v>0</v>
      </c>
      <c r="AHC61" s="20" t="n">
        <v>0</v>
      </c>
      <c r="AHD61" s="20" t="n">
        <v>0</v>
      </c>
      <c r="AHE61" s="20" t="n">
        <f aca="false">IF(AKR60&gt;0,AOE60-AOE60*TE61/AKR60,0)+0</f>
        <v>0</v>
      </c>
      <c r="AHF61" s="20" t="n">
        <f aca="false">IF(AKS60&gt;0,AOF60-AOF60*TF61/AKS60,0)+0</f>
        <v>0</v>
      </c>
      <c r="AHG61" s="20" t="n">
        <f aca="false">IF(AKT60&gt;0,AOG60-AOG60*TG61/AKT60,0)+0</f>
        <v>0</v>
      </c>
      <c r="AHH61" s="20" t="n">
        <f aca="false">IF(AKU60&gt;0,AOH60-AOH60*TH61/AKU60,0)+0</f>
        <v>0</v>
      </c>
      <c r="AHI61" s="20" t="n">
        <f aca="false">IF(AKV60&gt;0,AOI60-AOI60*TI61/AKV60,0)+0</f>
        <v>0</v>
      </c>
      <c r="AHJ61" s="20" t="n">
        <f aca="false">IF(AKW60&gt;0,AOJ60-AOJ60*TJ61/AKW60,0)+0</f>
        <v>0</v>
      </c>
      <c r="AHK61" s="20" t="n">
        <f aca="false">IF(AKX60&gt;0,AOK60-AOK60*TK61/AKX60,0)+0</f>
        <v>0</v>
      </c>
      <c r="AHL61" s="20" t="n">
        <f aca="false">IF(AKY60&gt;0,AOL60-AOL60*TL61/AKY60,0)+0</f>
        <v>0</v>
      </c>
      <c r="AHM61" s="20" t="n">
        <f aca="false">IF(AKZ60&gt;0,AOM60-AOM60*TM61/AKZ60,0)+0</f>
        <v>0</v>
      </c>
      <c r="AHN61" s="20" t="n">
        <f aca="false">IF(ALA60&gt;0,AON60-AON60*TN61/ALA60,0)+0</f>
        <v>0</v>
      </c>
      <c r="AHO61" s="20" t="n">
        <f aca="false">IF(ALB60&gt;0,AOO60-AOO60*TO61/ALB60,0)+0</f>
        <v>0</v>
      </c>
      <c r="AHP61" s="20" t="n">
        <f aca="false">IF(ALC60&gt;0,AOP60-AOP60*TP61/ALC60,0)+0</f>
        <v>0</v>
      </c>
      <c r="AHQ61" s="20" t="n">
        <f aca="false">IF(ALD60&gt;0,AOQ60-AOQ60*TQ61/ALD60,0)+0</f>
        <v>0</v>
      </c>
      <c r="AHR61" s="20" t="n">
        <f aca="false">IF(ALE60&gt;0,AOR60-AOR60*TR61/ALE60,0)+0</f>
        <v>0</v>
      </c>
      <c r="AHS61" s="20" t="n">
        <f aca="false">IF(ALF60&gt;0,AOS60-AOS60*TS61/ALF60,0)+0</f>
        <v>0</v>
      </c>
      <c r="AHT61" s="20" t="n">
        <f aca="false">IF(ALG60&gt;0,AOT60-AOT60*TT61/ALG60,0)+0</f>
        <v>0</v>
      </c>
      <c r="AHU61" s="20" t="n">
        <f aca="false">IF(ALH60&gt;0,AOU60-AOU60*TU61/ALH60,0)+0</f>
        <v>0</v>
      </c>
      <c r="AHV61" s="20" t="n">
        <f aca="false">IF(ALI60&gt;0,AOV60-AOV60*TV61/ALI60,0)+0</f>
        <v>0</v>
      </c>
      <c r="AHW61" s="20" t="n">
        <f aca="false">IF(ALJ60&gt;0,AOW60-AOW60*TW61/ALJ60,0)+0</f>
        <v>0</v>
      </c>
      <c r="AHX61" s="20" t="n">
        <f aca="false">IF(ALK60&gt;0,AOX60-AOX60*TX61/ALK60,0)+0</f>
        <v>0</v>
      </c>
      <c r="AHY61" s="20" t="n">
        <f aca="false">IF(ALL60&gt;0,AOY60-AOY60*TY61/ALL60,0)+0</f>
        <v>0</v>
      </c>
      <c r="AHZ61" s="20" t="n">
        <f aca="false">IF(ALM60&gt;0,AOZ60-AOZ60*TZ61/ALM60,0)+0</f>
        <v>0</v>
      </c>
      <c r="AIA61" s="20" t="n">
        <f aca="false">IF(ALN60&gt;0,APA60-APA60*UA61/ALN60,0)+0</f>
        <v>0</v>
      </c>
      <c r="AIB61" s="20" t="n">
        <f aca="false">IF(ALO60&gt;0,APB60-APB60*UB61/ALO60,0)+0</f>
        <v>0</v>
      </c>
      <c r="AIC61" s="20" t="n">
        <f aca="false">IF(ALP60&gt;0,APC60-APC60*UC61/ALP60,0)+0</f>
        <v>0</v>
      </c>
      <c r="AID61" s="20" t="n">
        <f aca="false">IF(ALQ60&gt;0,APD60-APD60*UD61/ALQ60,0)+0</f>
        <v>0</v>
      </c>
      <c r="AIE61" s="20" t="n">
        <f aca="false">IF(ALR60&gt;0,APE60-APE60*UE61/ALR60,0)+0</f>
        <v>0</v>
      </c>
      <c r="AIF61" s="20" t="n">
        <f aca="false">IF(ALS60&gt;0,APF60-APF60*UF61/ALS60,0)+0</f>
        <v>0</v>
      </c>
      <c r="AIG61" s="20" t="n">
        <f aca="false">IF(ALT60&gt;0,APG60-APG60*UG61/ALT60,0)+0</f>
        <v>0</v>
      </c>
      <c r="AIH61" s="20" t="n">
        <f aca="false">IF(ALU60&gt;0,APH60-APH60*UH61/ALU60,0)+0</f>
        <v>0</v>
      </c>
      <c r="AII61" s="20" t="n">
        <f aca="false">IF(ALV60&gt;0,API60-API60*UI61/ALV60,0)+0</f>
        <v>0</v>
      </c>
      <c r="AIJ61" s="20" t="n">
        <f aca="false">IF(ALW60&gt;0,APJ60-APJ60*UJ61/ALW60,0)+0</f>
        <v>0</v>
      </c>
      <c r="AIK61" s="20" t="n">
        <f aca="false">IF(ALX60&gt;0,APK60-APK60*UK61/ALX60,0)+0</f>
        <v>0</v>
      </c>
      <c r="AIL61" s="20" t="n">
        <f aca="false">IF(ALY60&gt;0,APL60-APL60*UL61/ALY60,0)+0</f>
        <v>0</v>
      </c>
      <c r="AIM61" s="20" t="n">
        <f aca="false">IF(ALZ60&gt;0,APM60-APM60*UM61/ALZ60,0)+0</f>
        <v>0</v>
      </c>
      <c r="AIN61" s="20" t="n">
        <f aca="false">IF(AMA60&gt;0,APN60-APN60*UN61/AMA60,0)+0</f>
        <v>0</v>
      </c>
      <c r="AIO61" s="20" t="n">
        <f aca="false">IF(AMB60&gt;0,APO60-APO60*UO61/AMB60,0)+0</f>
        <v>0</v>
      </c>
      <c r="AIP61" s="20" t="n">
        <f aca="false">IF(AMC60&gt;0,APP60-APP60*UP61/AMC60,0)+0</f>
        <v>0</v>
      </c>
      <c r="AIQ61" s="20" t="n">
        <f aca="false">IF(AMD60&gt;0,APQ60-APQ60*UQ61/AMD60,0)+0</f>
        <v>0</v>
      </c>
      <c r="AIR61" s="20" t="n">
        <f aca="false">IF(AME60&gt;0,APR60-APR60*UR61/AME60,0)+0</f>
        <v>0</v>
      </c>
      <c r="AIS61" s="20" t="n">
        <f aca="false">IF(AMF60&gt;0,APS60-APS60*US61/AMF60,0)+0</f>
        <v>0</v>
      </c>
      <c r="AIT61" s="20" t="n">
        <f aca="false">IF(AMG60&gt;0,APT60-APT60*UT61/AMG60,0)+0</f>
        <v>0</v>
      </c>
      <c r="AIU61" s="20" t="n">
        <f aca="false">IF(AMH60&gt;0,APU60-APU60*UU61/AMH60,0)+0</f>
        <v>0</v>
      </c>
      <c r="AIV61" s="20" t="n">
        <f aca="false">IF(AMI60&gt;0,APV60-APV60*UV61/AMI60,0)+0</f>
        <v>0</v>
      </c>
      <c r="AIW61" s="20" t="n">
        <f aca="false">IF(AMJ60&gt;0,APW60-APW60*UW61/AMJ60,0)+0</f>
        <v>0</v>
      </c>
      <c r="AIX61" s="20" t="n">
        <f aca="false">IF(AMK60&gt;0,APX60-APX60*UX61/AMK60,0)+0</f>
        <v>0</v>
      </c>
      <c r="AIY61" s="20" t="n">
        <f aca="false">IF(AML60&gt;0,APY60-APY60*UY61/AML60,0)+0</f>
        <v>0</v>
      </c>
      <c r="AIZ61" s="20" t="n">
        <f aca="false">IF(AMM60&gt;0,APZ60-APZ60*UZ61/AMM60,0)+0</f>
        <v>0</v>
      </c>
      <c r="AJA61" s="20" t="n">
        <f aca="false">IF(AMN60&gt;0,AQA60-AQA60*VA61/AMN60,0)+0</f>
        <v>0</v>
      </c>
      <c r="AJB61" s="20" t="n">
        <f aca="false">IF(AMO60&gt;0,AQB60-AQB60*VB61/AMO60,0)+0</f>
        <v>0</v>
      </c>
      <c r="AJC61" s="20" t="n">
        <f aca="false">IF(AMP60&gt;0,AQC60-AQC60*VC61/AMP60,0)+0</f>
        <v>0</v>
      </c>
      <c r="AJD61" s="20" t="n">
        <f aca="false">IF(AMQ60&gt;0,AQD60-AQD60*VD61/AMQ60,0)+0</f>
        <v>0</v>
      </c>
      <c r="AJE61" s="20" t="n">
        <f aca="false">IF(AMR60&gt;0,AQE60-AQE60*VE61/AMR60,0)+0</f>
        <v>0</v>
      </c>
      <c r="AJF61" s="20" t="n">
        <f aca="false">IF(AMS60&gt;0,AQF60-AQF60*VF61/AMS60,0)+0</f>
        <v>0</v>
      </c>
      <c r="AJG61" s="20" t="n">
        <f aca="false">IF((P61+S61)&gt;0,(P61+S61)-(P61+S61)*VG61/(P61+S61),0)+BE61</f>
        <v>0</v>
      </c>
      <c r="AJH61" s="20" t="n">
        <v>0</v>
      </c>
      <c r="AJI61" s="20" t="n">
        <v>0</v>
      </c>
      <c r="AJJ61" s="20" t="n">
        <v>0</v>
      </c>
      <c r="AJK61" s="20" t="n">
        <v>0</v>
      </c>
      <c r="AJL61" s="20" t="n">
        <v>0</v>
      </c>
      <c r="AJM61" s="20" t="n">
        <v>0</v>
      </c>
      <c r="AJN61" s="20" t="n">
        <v>0</v>
      </c>
      <c r="AJO61" s="20" t="n">
        <v>0</v>
      </c>
      <c r="AJP61" s="20" t="n">
        <v>0</v>
      </c>
      <c r="AJQ61" s="20" t="n">
        <v>0</v>
      </c>
      <c r="AJR61" s="20" t="n">
        <v>0</v>
      </c>
      <c r="AJS61" s="20" t="n">
        <v>0</v>
      </c>
      <c r="AJT61" s="20" t="n">
        <v>0</v>
      </c>
      <c r="AJU61" s="20" t="n">
        <v>0</v>
      </c>
      <c r="AJV61" s="20" t="n">
        <v>0</v>
      </c>
      <c r="AJW61" s="20" t="n">
        <v>0</v>
      </c>
      <c r="AJX61" s="20" t="n">
        <v>0</v>
      </c>
      <c r="AJY61" s="20" t="n">
        <v>0</v>
      </c>
      <c r="AJZ61" s="20" t="n">
        <v>0</v>
      </c>
      <c r="AKA61" s="20" t="n">
        <v>0</v>
      </c>
      <c r="AKB61" s="20" t="n">
        <v>0</v>
      </c>
      <c r="AKC61" s="20" t="n">
        <v>0</v>
      </c>
      <c r="AKD61" s="20" t="n">
        <v>0</v>
      </c>
      <c r="AKE61" s="20" t="n">
        <v>0</v>
      </c>
      <c r="AKF61" s="20" t="n">
        <v>0</v>
      </c>
      <c r="AKG61" s="20" t="n">
        <v>0</v>
      </c>
      <c r="AKH61" s="20" t="n">
        <v>0</v>
      </c>
      <c r="AKI61" s="20" t="n">
        <v>0</v>
      </c>
      <c r="AKJ61" s="20" t="n">
        <v>0</v>
      </c>
      <c r="AKK61" s="20" t="n">
        <v>0</v>
      </c>
      <c r="AKL61" s="20" t="n">
        <v>0</v>
      </c>
      <c r="AKM61" s="20" t="n">
        <v>0</v>
      </c>
      <c r="AKN61" s="20" t="n">
        <v>0</v>
      </c>
      <c r="AKO61" s="20" t="n">
        <v>0</v>
      </c>
      <c r="AKP61" s="20" t="n">
        <v>0</v>
      </c>
      <c r="AKQ61" s="20" t="n">
        <v>0</v>
      </c>
      <c r="AKR61" s="20" t="n">
        <f aca="false">ADR61-AVE61</f>
        <v>0</v>
      </c>
      <c r="AKS61" s="20" t="n">
        <f aca="false">ADS61-AVF61</f>
        <v>0</v>
      </c>
      <c r="AKT61" s="20" t="n">
        <f aca="false">ADT61-AVG61</f>
        <v>0</v>
      </c>
      <c r="AKU61" s="20" t="n">
        <f aca="false">ADU61-AVH61</f>
        <v>0</v>
      </c>
      <c r="AKV61" s="20" t="n">
        <f aca="false">ADV61-AVI61</f>
        <v>0</v>
      </c>
      <c r="AKW61" s="20" t="n">
        <f aca="false">ADW61-AVJ61</f>
        <v>0</v>
      </c>
      <c r="AKX61" s="20" t="n">
        <f aca="false">ADX61-AVK61</f>
        <v>0</v>
      </c>
      <c r="AKY61" s="20" t="n">
        <f aca="false">ADY61-AVL61</f>
        <v>0</v>
      </c>
      <c r="AKZ61" s="20" t="n">
        <f aca="false">ADZ61-AVM61</f>
        <v>0</v>
      </c>
      <c r="ALA61" s="20" t="n">
        <f aca="false">AEA61-AVN61</f>
        <v>0</v>
      </c>
      <c r="ALB61" s="20" t="n">
        <f aca="false">AEB61-AVO61</f>
        <v>0</v>
      </c>
      <c r="ALC61" s="20" t="n">
        <f aca="false">AEC61-AVP61</f>
        <v>0</v>
      </c>
      <c r="ALD61" s="20" t="n">
        <f aca="false">AED61-AVQ61</f>
        <v>0</v>
      </c>
      <c r="ALE61" s="20" t="n">
        <f aca="false">AEE61-AVR61</f>
        <v>0</v>
      </c>
      <c r="ALF61" s="20" t="n">
        <f aca="false">AEF61-AVS61</f>
        <v>0</v>
      </c>
      <c r="ALG61" s="20" t="n">
        <f aca="false">AEG61-AVT61</f>
        <v>0</v>
      </c>
      <c r="ALH61" s="20" t="n">
        <f aca="false">AEH61-AVU61</f>
        <v>0</v>
      </c>
      <c r="ALI61" s="20" t="n">
        <f aca="false">AEI61-AVV61</f>
        <v>0</v>
      </c>
      <c r="ALJ61" s="20" t="n">
        <f aca="false">AEJ61-AVW61</f>
        <v>0</v>
      </c>
      <c r="ALK61" s="20" t="n">
        <f aca="false">AEK61-AVX61</f>
        <v>0</v>
      </c>
      <c r="ALL61" s="20" t="n">
        <f aca="false">AEL61-AVY61</f>
        <v>0</v>
      </c>
      <c r="ALM61" s="20" t="n">
        <f aca="false">AEM61-AVZ61</f>
        <v>0</v>
      </c>
      <c r="ALN61" s="20" t="n">
        <f aca="false">AEN61-AWA61</f>
        <v>0</v>
      </c>
      <c r="ALO61" s="20" t="n">
        <f aca="false">AEO61-AWB61</f>
        <v>0</v>
      </c>
      <c r="ALP61" s="20" t="n">
        <f aca="false">AEP61-AWC61</f>
        <v>0</v>
      </c>
      <c r="ALQ61" s="20" t="n">
        <f aca="false">AEQ61-AWD61</f>
        <v>0</v>
      </c>
      <c r="ALR61" s="20" t="n">
        <f aca="false">AER61-AWE61</f>
        <v>0</v>
      </c>
      <c r="ALS61" s="20" t="n">
        <f aca="false">AES61-AWF61</f>
        <v>0</v>
      </c>
      <c r="ALT61" s="20" t="n">
        <f aca="false">AET61-AWG61</f>
        <v>0</v>
      </c>
      <c r="ALU61" s="20" t="n">
        <f aca="false">AEU61-AWH61</f>
        <v>0</v>
      </c>
      <c r="ALV61" s="20" t="n">
        <f aca="false">AEV61-AWI61</f>
        <v>0</v>
      </c>
      <c r="ALW61" s="20" t="n">
        <f aca="false">AEW61-AWJ61</f>
        <v>0</v>
      </c>
      <c r="ALX61" s="20" t="n">
        <f aca="false">AEX61-AWK61</f>
        <v>0</v>
      </c>
      <c r="ALY61" s="20" t="n">
        <f aca="false">AEY61-AWL61</f>
        <v>0</v>
      </c>
      <c r="ALZ61" s="20" t="n">
        <f aca="false">AEZ61-AWM61</f>
        <v>0</v>
      </c>
      <c r="AMA61" s="20" t="n">
        <f aca="false">AFA61-AWN61</f>
        <v>0</v>
      </c>
      <c r="AMB61" s="20" t="n">
        <f aca="false">AFB61-AWO61</f>
        <v>0</v>
      </c>
      <c r="AMC61" s="20" t="n">
        <f aca="false">AFC61-AWP61</f>
        <v>0</v>
      </c>
      <c r="AMD61" s="20" t="n">
        <f aca="false">AFD61-AWQ61</f>
        <v>0</v>
      </c>
      <c r="AME61" s="20" t="n">
        <f aca="false">AFE61-AWR61</f>
        <v>0</v>
      </c>
      <c r="AMF61" s="20" t="n">
        <f aca="false">AFF61-AWS61</f>
        <v>0</v>
      </c>
      <c r="AMG61" s="20" t="n">
        <f aca="false">AFG61-AWT61</f>
        <v>0</v>
      </c>
      <c r="AMH61" s="20" t="n">
        <f aca="false">AFH61-AWU61</f>
        <v>0</v>
      </c>
      <c r="AMI61" s="20" t="n">
        <f aca="false">AFI61-AWV61</f>
        <v>0</v>
      </c>
      <c r="AMJ61" s="20" t="n">
        <f aca="false">AFJ61-AWW61</f>
        <v>0</v>
      </c>
      <c r="AMK61" s="20" t="n">
        <f aca="false">AFK61-AWX61</f>
        <v>0</v>
      </c>
      <c r="AML61" s="20" t="n">
        <f aca="false">AFL61-AWY61</f>
        <v>0</v>
      </c>
      <c r="AMM61" s="20" t="n">
        <f aca="false">AFM61-AWZ61</f>
        <v>0</v>
      </c>
      <c r="AMN61" s="20" t="n">
        <f aca="false">AFN61-AXA61</f>
        <v>0</v>
      </c>
      <c r="AMO61" s="20" t="n">
        <f aca="false">AFO61-AXB61</f>
        <v>0</v>
      </c>
      <c r="AMP61" s="20" t="n">
        <f aca="false">AFP61-AXC61</f>
        <v>0</v>
      </c>
      <c r="AMQ61" s="20" t="n">
        <f aca="false">AFQ61-AXD61</f>
        <v>0</v>
      </c>
      <c r="AMR61" s="20" t="n">
        <f aca="false">AFR61-AXE61</f>
        <v>0</v>
      </c>
      <c r="AMS61" s="20" t="n">
        <f aca="false">AFS61-AXF61</f>
        <v>0</v>
      </c>
      <c r="AMT61" s="20" t="n">
        <f aca="false">AFT61-AXG61</f>
        <v>0</v>
      </c>
      <c r="AMU61" s="20" t="n">
        <v>0</v>
      </c>
      <c r="AMV61" s="20" t="n">
        <v>0</v>
      </c>
      <c r="AMW61" s="20" t="n">
        <v>0</v>
      </c>
      <c r="AMX61" s="20" t="n">
        <v>0</v>
      </c>
      <c r="AMY61" s="20" t="n">
        <v>0</v>
      </c>
      <c r="AMZ61" s="20" t="n">
        <v>0</v>
      </c>
      <c r="ANA61" s="20" t="n">
        <v>0</v>
      </c>
      <c r="ANB61" s="20" t="n">
        <v>0</v>
      </c>
      <c r="ANC61" s="20" t="n">
        <v>0</v>
      </c>
      <c r="AND61" s="20" t="n">
        <v>0</v>
      </c>
      <c r="ANE61" s="20" t="n">
        <v>0</v>
      </c>
      <c r="ANF61" s="20" t="n">
        <v>0</v>
      </c>
      <c r="ANG61" s="20" t="n">
        <v>0</v>
      </c>
      <c r="ANH61" s="20" t="n">
        <v>0</v>
      </c>
      <c r="ANI61" s="20" t="n">
        <v>0</v>
      </c>
      <c r="ANJ61" s="20" t="n">
        <v>0</v>
      </c>
      <c r="ANK61" s="20" t="n">
        <v>0</v>
      </c>
      <c r="ANL61" s="20" t="n">
        <v>0</v>
      </c>
      <c r="ANM61" s="20" t="n">
        <v>0</v>
      </c>
      <c r="ANN61" s="20" t="n">
        <v>0</v>
      </c>
      <c r="ANO61" s="20" t="n">
        <v>0</v>
      </c>
      <c r="ANP61" s="20" t="n">
        <v>0</v>
      </c>
      <c r="ANQ61" s="20" t="n">
        <v>0</v>
      </c>
      <c r="ANR61" s="20" t="n">
        <v>0</v>
      </c>
      <c r="ANS61" s="20" t="n">
        <v>0</v>
      </c>
      <c r="ANT61" s="20" t="n">
        <v>0</v>
      </c>
      <c r="ANU61" s="20" t="n">
        <v>0</v>
      </c>
      <c r="ANV61" s="20" t="n">
        <v>0</v>
      </c>
      <c r="ANW61" s="20" t="n">
        <v>0</v>
      </c>
      <c r="ANX61" s="20" t="n">
        <v>0</v>
      </c>
      <c r="ANY61" s="20" t="n">
        <v>0</v>
      </c>
      <c r="ANZ61" s="20" t="n">
        <v>0</v>
      </c>
      <c r="AOA61" s="20" t="n">
        <v>0</v>
      </c>
      <c r="AOB61" s="20" t="n">
        <v>0</v>
      </c>
      <c r="AOC61" s="20" t="n">
        <v>0</v>
      </c>
      <c r="AOD61" s="20" t="n">
        <v>0</v>
      </c>
      <c r="AOE61" s="20" t="n">
        <f aca="false">IF(AND(H_Direct=0,H_TaxEvt=1,ARR60+1&gt;=H_Deemed),AKR61,AHE61)</f>
        <v>0</v>
      </c>
      <c r="AOF61" s="20" t="n">
        <f aca="false">IF(AND(H_Direct=0,H_TaxEvt=1,ARS60+1&gt;=H_Deemed),AKS61,AHF61)</f>
        <v>0</v>
      </c>
      <c r="AOG61" s="20" t="n">
        <f aca="false">IF(AND(H_Direct=0,H_TaxEvt=1,ART60+1&gt;=H_Deemed),AKT61,AHG61)</f>
        <v>0</v>
      </c>
      <c r="AOH61" s="20" t="n">
        <f aca="false">IF(AND(H_Direct=0,H_TaxEvt=1,ARU60+1&gt;=H_Deemed),AKU61,AHH61)</f>
        <v>0</v>
      </c>
      <c r="AOI61" s="20" t="n">
        <f aca="false">IF(AND(H_Direct=0,H_TaxEvt=1,ARV60+1&gt;=H_Deemed),AKV61,AHI61)</f>
        <v>0</v>
      </c>
      <c r="AOJ61" s="20" t="n">
        <f aca="false">IF(AND(H_Direct=0,H_TaxEvt=1,ARW60+1&gt;=H_Deemed),AKW61,AHJ61)</f>
        <v>0</v>
      </c>
      <c r="AOK61" s="20" t="n">
        <f aca="false">IF(AND(H_Direct=0,H_TaxEvt=1,ARX60+1&gt;=H_Deemed),AKX61,AHK61)</f>
        <v>0</v>
      </c>
      <c r="AOL61" s="20" t="n">
        <f aca="false">IF(AND(H_Direct=0,H_TaxEvt=1,ARY60+1&gt;=H_Deemed),AKY61,AHL61)</f>
        <v>0</v>
      </c>
      <c r="AOM61" s="20" t="n">
        <f aca="false">IF(AND(H_Direct=0,H_TaxEvt=1,ARZ60+1&gt;=H_Deemed),AKZ61,AHM61)</f>
        <v>0</v>
      </c>
      <c r="AON61" s="20" t="n">
        <f aca="false">IF(AND(H_Direct=0,H_TaxEvt=1,ASA60+1&gt;=H_Deemed),ALA61,AHN61)</f>
        <v>0</v>
      </c>
      <c r="AOO61" s="20" t="n">
        <f aca="false">IF(AND(H_Direct=0,H_TaxEvt=1,ASB60+1&gt;=H_Deemed),ALB61,AHO61)</f>
        <v>0</v>
      </c>
      <c r="AOP61" s="20" t="n">
        <f aca="false">IF(AND(H_Direct=0,H_TaxEvt=1,ASC60+1&gt;=H_Deemed),ALC61,AHP61)</f>
        <v>0</v>
      </c>
      <c r="AOQ61" s="20" t="n">
        <f aca="false">IF(AND(H_Direct=0,H_TaxEvt=1,ASD60+1&gt;=H_Deemed),ALD61,AHQ61)</f>
        <v>0</v>
      </c>
      <c r="AOR61" s="20" t="n">
        <f aca="false">IF(AND(H_Direct=0,H_TaxEvt=1,ASE60+1&gt;=H_Deemed),ALE61,AHR61)</f>
        <v>0</v>
      </c>
      <c r="AOS61" s="20" t="n">
        <f aca="false">IF(AND(H_Direct=0,H_TaxEvt=1,ASF60+1&gt;=H_Deemed),ALF61,AHS61)</f>
        <v>0</v>
      </c>
      <c r="AOT61" s="20" t="n">
        <f aca="false">IF(AND(H_Direct=0,H_TaxEvt=1,ASG60+1&gt;=H_Deemed),ALG61,AHT61)</f>
        <v>0</v>
      </c>
      <c r="AOU61" s="20" t="n">
        <f aca="false">IF(AND(H_Direct=0,H_TaxEvt=1,ASH60+1&gt;=H_Deemed),ALH61,AHU61)</f>
        <v>0</v>
      </c>
      <c r="AOV61" s="20" t="n">
        <f aca="false">IF(AND(H_Direct=0,H_TaxEvt=1,ASI60+1&gt;=H_Deemed),ALI61,AHV61)</f>
        <v>0</v>
      </c>
      <c r="AOW61" s="20" t="n">
        <f aca="false">IF(AND(H_Direct=0,H_TaxEvt=1,ASJ60+1&gt;=H_Deemed),ALJ61,AHW61)</f>
        <v>0</v>
      </c>
      <c r="AOX61" s="20" t="n">
        <f aca="false">IF(AND(H_Direct=0,H_TaxEvt=1,ASK60+1&gt;=H_Deemed),ALK61,AHX61)</f>
        <v>0</v>
      </c>
      <c r="AOY61" s="20" t="n">
        <f aca="false">IF(AND(H_Direct=0,H_TaxEvt=1,ASL60+1&gt;=H_Deemed),ALL61,AHY61)</f>
        <v>0</v>
      </c>
      <c r="AOZ61" s="20" t="n">
        <f aca="false">IF(AND(H_Direct=0,H_TaxEvt=1,ASM60+1&gt;=H_Deemed),ALM61,AHZ61)</f>
        <v>0</v>
      </c>
      <c r="APA61" s="20" t="n">
        <f aca="false">IF(AND(H_Direct=0,H_TaxEvt=1,ASN60+1&gt;=H_Deemed),ALN61,AIA61)</f>
        <v>0</v>
      </c>
      <c r="APB61" s="20" t="n">
        <f aca="false">IF(AND(H_Direct=0,H_TaxEvt=1,ASO60+1&gt;=H_Deemed),ALO61,AIB61)</f>
        <v>0</v>
      </c>
      <c r="APC61" s="20" t="n">
        <f aca="false">IF(AND(H_Direct=0,H_TaxEvt=1,ASP60+1&gt;=H_Deemed),ALP61,AIC61)</f>
        <v>0</v>
      </c>
      <c r="APD61" s="20" t="n">
        <f aca="false">IF(AND(H_Direct=0,H_TaxEvt=1,ASQ60+1&gt;=H_Deemed),ALQ61,AID61)</f>
        <v>0</v>
      </c>
      <c r="APE61" s="20" t="n">
        <f aca="false">IF(AND(H_Direct=0,H_TaxEvt=1,ASR60+1&gt;=H_Deemed),ALR61,AIE61)</f>
        <v>0</v>
      </c>
      <c r="APF61" s="20" t="n">
        <f aca="false">IF(AND(H_Direct=0,H_TaxEvt=1,ASS60+1&gt;=H_Deemed),ALS61,AIF61)</f>
        <v>0</v>
      </c>
      <c r="APG61" s="20" t="n">
        <f aca="false">IF(AND(H_Direct=0,H_TaxEvt=1,AST60+1&gt;=H_Deemed),ALT61,AIG61)</f>
        <v>0</v>
      </c>
      <c r="APH61" s="20" t="n">
        <f aca="false">IF(AND(H_Direct=0,H_TaxEvt=1,ASU60+1&gt;=H_Deemed),ALU61,AIH61)</f>
        <v>0</v>
      </c>
      <c r="API61" s="20" t="n">
        <f aca="false">IF(AND(H_Direct=0,H_TaxEvt=1,ASV60+1&gt;=H_Deemed),ALV61,AII61)</f>
        <v>0</v>
      </c>
      <c r="APJ61" s="20" t="n">
        <f aca="false">IF(AND(H_Direct=0,H_TaxEvt=1,ASW60+1&gt;=H_Deemed),ALW61,AIJ61)</f>
        <v>0</v>
      </c>
      <c r="APK61" s="20" t="n">
        <f aca="false">IF(AND(H_Direct=0,H_TaxEvt=1,ASX60+1&gt;=H_Deemed),ALX61,AIK61)</f>
        <v>0</v>
      </c>
      <c r="APL61" s="20" t="n">
        <f aca="false">IF(AND(H_Direct=0,H_TaxEvt=1,ASY60+1&gt;=H_Deemed),ALY61,AIL61)</f>
        <v>0</v>
      </c>
      <c r="APM61" s="20" t="n">
        <f aca="false">IF(AND(H_Direct=0,H_TaxEvt=1,ASZ60+1&gt;=H_Deemed),ALZ61,AIM61)</f>
        <v>0</v>
      </c>
      <c r="APN61" s="20" t="n">
        <f aca="false">IF(AND(H_Direct=0,H_TaxEvt=1,ATA60+1&gt;=H_Deemed),AMA61,AIN61)</f>
        <v>0</v>
      </c>
      <c r="APO61" s="20" t="n">
        <f aca="false">IF(AND(H_Direct=0,H_TaxEvt=1,ATB60+1&gt;=H_Deemed),AMB61,AIO61)</f>
        <v>0</v>
      </c>
      <c r="APP61" s="20" t="n">
        <f aca="false">IF(AND(H_Direct=0,H_TaxEvt=1,ATC60+1&gt;=H_Deemed),AMC61,AIP61)</f>
        <v>0</v>
      </c>
      <c r="APQ61" s="20" t="n">
        <f aca="false">IF(AND(H_Direct=0,H_TaxEvt=1,ATD60+1&gt;=H_Deemed),AMD61,AIQ61)</f>
        <v>0</v>
      </c>
      <c r="APR61" s="20" t="n">
        <f aca="false">IF(AND(H_Direct=0,H_TaxEvt=1,ATE60+1&gt;=H_Deemed),AME61,AIR61)</f>
        <v>0</v>
      </c>
      <c r="APS61" s="20" t="n">
        <f aca="false">IF(AND(H_Direct=0,H_TaxEvt=1,ATF60+1&gt;=H_Deemed),AMF61,AIS61)</f>
        <v>0</v>
      </c>
      <c r="APT61" s="20" t="n">
        <f aca="false">IF(AND(H_Direct=0,H_TaxEvt=1,ATG60+1&gt;=H_Deemed),AMG61,AIT61)</f>
        <v>0</v>
      </c>
      <c r="APU61" s="20" t="n">
        <f aca="false">IF(AND(H_Direct=0,H_TaxEvt=1,ATH60+1&gt;=H_Deemed),AMH61,AIU61)</f>
        <v>0</v>
      </c>
      <c r="APV61" s="20" t="n">
        <f aca="false">IF(AND(H_Direct=0,H_TaxEvt=1,ATI60+1&gt;=H_Deemed),AMI61,AIV61)</f>
        <v>0</v>
      </c>
      <c r="APW61" s="20" t="n">
        <f aca="false">IF(AND(H_Direct=0,H_TaxEvt=1,ATJ60+1&gt;=H_Deemed),AMJ61,AIW61)</f>
        <v>0</v>
      </c>
      <c r="APX61" s="20" t="n">
        <f aca="false">IF(AND(H_Direct=0,H_TaxEvt=1,ATK60+1&gt;=H_Deemed),AMK61,AIX61)</f>
        <v>0</v>
      </c>
      <c r="APY61" s="20" t="n">
        <f aca="false">IF(AND(H_Direct=0,H_TaxEvt=1,ATL60+1&gt;=H_Deemed),AML61,AIY61)</f>
        <v>0</v>
      </c>
      <c r="APZ61" s="20" t="n">
        <f aca="false">IF(AND(H_Direct=0,H_TaxEvt=1,ATM60+1&gt;=H_Deemed),AMM61,AIZ61)</f>
        <v>0</v>
      </c>
      <c r="AQA61" s="20" t="n">
        <f aca="false">IF(AND(H_Direct=0,H_TaxEvt=1,ATN60+1&gt;=H_Deemed),AMN61,AJA61)</f>
        <v>0</v>
      </c>
      <c r="AQB61" s="20" t="n">
        <f aca="false">IF(AND(H_Direct=0,H_TaxEvt=1,ATO60+1&gt;=H_Deemed),AMO61,AJB61)</f>
        <v>0</v>
      </c>
      <c r="AQC61" s="20" t="n">
        <f aca="false">IF(AND(H_Direct=0,H_TaxEvt=1,ATP60+1&gt;=H_Deemed),AMP61,AJC61)</f>
        <v>0</v>
      </c>
      <c r="AQD61" s="20" t="n">
        <f aca="false">IF(AND(H_Direct=0,H_TaxEvt=1,ATQ60+1&gt;=H_Deemed),AMQ61,AJD61)</f>
        <v>0</v>
      </c>
      <c r="AQE61" s="20" t="n">
        <f aca="false">IF(AND(H_Direct=0,H_TaxEvt=1,ATR60+1&gt;=H_Deemed),AMR61,AJE61)</f>
        <v>0</v>
      </c>
      <c r="AQF61" s="20" t="n">
        <f aca="false">IF(AND(H_Direct=0,H_TaxEvt=1,ATS60+1&gt;=H_Deemed),AMS61,AJF61)</f>
        <v>0</v>
      </c>
      <c r="AQG61" s="20" t="n">
        <f aca="false">IF(AND(H_Direct=0,H_TaxEvt=1,0+1&gt;=H_Deemed),AMT61,AJG61)</f>
        <v>0</v>
      </c>
      <c r="AQH61" s="20" t="n">
        <v>0</v>
      </c>
      <c r="AQI61" s="20" t="n">
        <v>0</v>
      </c>
      <c r="AQJ61" s="20" t="n">
        <v>0</v>
      </c>
      <c r="AQK61" s="20" t="n">
        <v>0</v>
      </c>
      <c r="AQL61" s="20" t="n">
        <v>0</v>
      </c>
      <c r="AQM61" s="20" t="n">
        <v>0</v>
      </c>
      <c r="AQN61" s="20" t="n">
        <v>0</v>
      </c>
      <c r="AQO61" s="20" t="n">
        <v>0</v>
      </c>
      <c r="AQP61" s="20" t="n">
        <v>0</v>
      </c>
      <c r="AQQ61" s="20" t="n">
        <v>0</v>
      </c>
      <c r="AQR61" s="20" t="n">
        <v>0</v>
      </c>
      <c r="AQS61" s="20" t="n">
        <v>0</v>
      </c>
      <c r="AQT61" s="20" t="n">
        <v>0</v>
      </c>
      <c r="AQU61" s="20" t="n">
        <v>0</v>
      </c>
      <c r="AQV61" s="20" t="n">
        <v>0</v>
      </c>
      <c r="AQW61" s="20" t="n">
        <v>0</v>
      </c>
      <c r="AQX61" s="20" t="n">
        <v>0</v>
      </c>
      <c r="AQY61" s="20" t="n">
        <v>0</v>
      </c>
      <c r="AQZ61" s="20" t="n">
        <v>0</v>
      </c>
      <c r="ARA61" s="20" t="n">
        <v>0</v>
      </c>
      <c r="ARB61" s="20" t="n">
        <v>0</v>
      </c>
      <c r="ARC61" s="20" t="n">
        <v>0</v>
      </c>
      <c r="ARD61" s="20" t="n">
        <v>0</v>
      </c>
      <c r="ARE61" s="20" t="n">
        <v>0</v>
      </c>
      <c r="ARF61" s="20" t="n">
        <v>0</v>
      </c>
      <c r="ARG61" s="20" t="n">
        <v>0</v>
      </c>
      <c r="ARH61" s="20" t="n">
        <v>0</v>
      </c>
      <c r="ARI61" s="20" t="n">
        <v>0</v>
      </c>
      <c r="ARJ61" s="20" t="n">
        <v>0</v>
      </c>
      <c r="ARK61" s="20" t="n">
        <v>0</v>
      </c>
      <c r="ARL61" s="20" t="n">
        <v>0</v>
      </c>
      <c r="ARM61" s="20" t="n">
        <v>0</v>
      </c>
      <c r="ARN61" s="20" t="n">
        <v>0</v>
      </c>
      <c r="ARO61" s="20" t="n">
        <v>0</v>
      </c>
      <c r="ARP61" s="20" t="n">
        <v>0</v>
      </c>
      <c r="ARQ61" s="20" t="n">
        <v>0</v>
      </c>
      <c r="ARR61" s="20" t="n">
        <f aca="false">IF(AND(H_Direct=0,H_TaxEvt=1),IF(ARR60+1&gt;=H_Deemed,0,ARR60+1),ARR60)</f>
        <v>6</v>
      </c>
      <c r="ARS61" s="20" t="n">
        <f aca="false">IF(AND(H_Direct=0,H_TaxEvt=1),IF(ARS60+1&gt;=H_Deemed,0,ARS60+1),ARS60)</f>
        <v>6</v>
      </c>
      <c r="ART61" s="20" t="n">
        <f aca="false">IF(AND(H_Direct=0,H_TaxEvt=1),IF(ART60+1&gt;=H_Deemed,0,ART60+1),ART60)</f>
        <v>5</v>
      </c>
      <c r="ARU61" s="20" t="n">
        <f aca="false">IF(AND(H_Direct=0,H_TaxEvt=1),IF(ARU60+1&gt;=H_Deemed,0,ARU60+1),ARU60)</f>
        <v>4</v>
      </c>
      <c r="ARV61" s="20" t="n">
        <f aca="false">IF(AND(H_Direct=0,H_TaxEvt=1),IF(ARV60+1&gt;=H_Deemed,0,ARV60+1),ARV60)</f>
        <v>3</v>
      </c>
      <c r="ARW61" s="20" t="n">
        <f aca="false">IF(AND(H_Direct=0,H_TaxEvt=1),IF(ARW60+1&gt;=H_Deemed,0,ARW60+1),ARW60)</f>
        <v>2</v>
      </c>
      <c r="ARX61" s="20" t="n">
        <f aca="false">IF(AND(H_Direct=0,H_TaxEvt=1),IF(ARX60+1&gt;=H_Deemed,0,ARX60+1),ARX60)</f>
        <v>1</v>
      </c>
      <c r="ARY61" s="20" t="n">
        <f aca="false">IF(AND(H_Direct=0,H_TaxEvt=1),IF(ARY60+1&gt;=H_Deemed,0,ARY60+1),ARY60)</f>
        <v>0</v>
      </c>
      <c r="ARZ61" s="20" t="n">
        <f aca="false">IF(AND(H_Direct=0,H_TaxEvt=1),IF(ARZ60+1&gt;=H_Deemed,0,ARZ60+1),ARZ60)</f>
        <v>7</v>
      </c>
      <c r="ASA61" s="20" t="n">
        <f aca="false">IF(AND(H_Direct=0,H_TaxEvt=1),IF(ASA60+1&gt;=H_Deemed,0,ASA60+1),ASA60)</f>
        <v>6</v>
      </c>
      <c r="ASB61" s="20" t="n">
        <f aca="false">IF(AND(H_Direct=0,H_TaxEvt=1),IF(ASB60+1&gt;=H_Deemed,0,ASB60+1),ASB60)</f>
        <v>5</v>
      </c>
      <c r="ASC61" s="20" t="n">
        <f aca="false">IF(AND(H_Direct=0,H_TaxEvt=1),IF(ASC60+1&gt;=H_Deemed,0,ASC60+1),ASC60)</f>
        <v>4</v>
      </c>
      <c r="ASD61" s="20" t="n">
        <f aca="false">IF(AND(H_Direct=0,H_TaxEvt=1),IF(ASD60+1&gt;=H_Deemed,0,ASD60+1),ASD60)</f>
        <v>3</v>
      </c>
      <c r="ASE61" s="20" t="n">
        <f aca="false">IF(AND(H_Direct=0,H_TaxEvt=1),IF(ASE60+1&gt;=H_Deemed,0,ASE60+1),ASE60)</f>
        <v>2</v>
      </c>
      <c r="ASF61" s="20" t="n">
        <f aca="false">IF(AND(H_Direct=0,H_TaxEvt=1),IF(ASF60+1&gt;=H_Deemed,0,ASF60+1),ASF60)</f>
        <v>1</v>
      </c>
      <c r="ASG61" s="20" t="n">
        <f aca="false">IF(AND(H_Direct=0,H_TaxEvt=1),IF(ASG60+1&gt;=H_Deemed,0,ASG60+1),ASG60)</f>
        <v>0</v>
      </c>
      <c r="ASH61" s="20" t="n">
        <f aca="false">IF(AND(H_Direct=0,H_TaxEvt=1),IF(ASH60+1&gt;=H_Deemed,0,ASH60+1),ASH60)</f>
        <v>7</v>
      </c>
      <c r="ASI61" s="20" t="n">
        <f aca="false">IF(AND(H_Direct=0,H_TaxEvt=1),IF(ASI60+1&gt;=H_Deemed,0,ASI60+1),ASI60)</f>
        <v>6</v>
      </c>
      <c r="ASJ61" s="20" t="n">
        <f aca="false">IF(AND(H_Direct=0,H_TaxEvt=1),IF(ASJ60+1&gt;=H_Deemed,0,ASJ60+1),ASJ60)</f>
        <v>5</v>
      </c>
      <c r="ASK61" s="20" t="n">
        <f aca="false">IF(AND(H_Direct=0,H_TaxEvt=1),IF(ASK60+1&gt;=H_Deemed,0,ASK60+1),ASK60)</f>
        <v>4</v>
      </c>
      <c r="ASL61" s="20" t="n">
        <f aca="false">IF(AND(H_Direct=0,H_TaxEvt=1),IF(ASL60+1&gt;=H_Deemed,0,ASL60+1),ASL60)</f>
        <v>3</v>
      </c>
      <c r="ASM61" s="20" t="n">
        <f aca="false">IF(AND(H_Direct=0,H_TaxEvt=1),IF(ASM60+1&gt;=H_Deemed,0,ASM60+1),ASM60)</f>
        <v>2</v>
      </c>
      <c r="ASN61" s="20" t="n">
        <f aca="false">IF(AND(H_Direct=0,H_TaxEvt=1),IF(ASN60+1&gt;=H_Deemed,0,ASN60+1),ASN60)</f>
        <v>1</v>
      </c>
      <c r="ASO61" s="20" t="n">
        <f aca="false">IF(AND(H_Direct=0,H_TaxEvt=1),IF(ASO60+1&gt;=H_Deemed,0,ASO60+1),ASO60)</f>
        <v>0</v>
      </c>
      <c r="ASP61" s="20" t="n">
        <f aca="false">IF(AND(H_Direct=0,H_TaxEvt=1),IF(ASP60+1&gt;=H_Deemed,0,ASP60+1),ASP60)</f>
        <v>7</v>
      </c>
      <c r="ASQ61" s="20" t="n">
        <f aca="false">IF(AND(H_Direct=0,H_TaxEvt=1),IF(ASQ60+1&gt;=H_Deemed,0,ASQ60+1),ASQ60)</f>
        <v>6</v>
      </c>
      <c r="ASR61" s="20" t="n">
        <f aca="false">IF(AND(H_Direct=0,H_TaxEvt=1),IF(ASR60+1&gt;=H_Deemed,0,ASR60+1),ASR60)</f>
        <v>5</v>
      </c>
      <c r="ASS61" s="20" t="n">
        <f aca="false">IF(AND(H_Direct=0,H_TaxEvt=1),IF(ASS60+1&gt;=H_Deemed,0,ASS60+1),ASS60)</f>
        <v>4</v>
      </c>
      <c r="AST61" s="20" t="n">
        <f aca="false">IF(AND(H_Direct=0,H_TaxEvt=1),IF(AST60+1&gt;=H_Deemed,0,AST60+1),AST60)</f>
        <v>3</v>
      </c>
      <c r="ASU61" s="20" t="n">
        <f aca="false">IF(AND(H_Direct=0,H_TaxEvt=1),IF(ASU60+1&gt;=H_Deemed,0,ASU60+1),ASU60)</f>
        <v>2</v>
      </c>
      <c r="ASV61" s="20" t="n">
        <f aca="false">IF(AND(H_Direct=0,H_TaxEvt=1),IF(ASV60+1&gt;=H_Deemed,0,ASV60+1),ASV60)</f>
        <v>1</v>
      </c>
      <c r="ASW61" s="20" t="n">
        <f aca="false">IF(AND(H_Direct=0,H_TaxEvt=1),IF(ASW60+1&gt;=H_Deemed,0,ASW60+1),ASW60)</f>
        <v>0</v>
      </c>
      <c r="ASX61" s="20" t="n">
        <f aca="false">IF(AND(H_Direct=0,H_TaxEvt=1),IF(ASX60+1&gt;=H_Deemed,0,ASX60+1),ASX60)</f>
        <v>7</v>
      </c>
      <c r="ASY61" s="20" t="n">
        <f aca="false">IF(AND(H_Direct=0,H_TaxEvt=1),IF(ASY60+1&gt;=H_Deemed,0,ASY60+1),ASY60)</f>
        <v>6</v>
      </c>
      <c r="ASZ61" s="20" t="n">
        <f aca="false">IF(AND(H_Direct=0,H_TaxEvt=1),IF(ASZ60+1&gt;=H_Deemed,0,ASZ60+1),ASZ60)</f>
        <v>5</v>
      </c>
      <c r="ATA61" s="20" t="n">
        <f aca="false">IF(AND(H_Direct=0,H_TaxEvt=1),IF(ATA60+1&gt;=H_Deemed,0,ATA60+1),ATA60)</f>
        <v>4</v>
      </c>
      <c r="ATB61" s="20" t="n">
        <f aca="false">IF(AND(H_Direct=0,H_TaxEvt=1),IF(ATB60+1&gt;=H_Deemed,0,ATB60+1),ATB60)</f>
        <v>3</v>
      </c>
      <c r="ATC61" s="20" t="n">
        <f aca="false">IF(AND(H_Direct=0,H_TaxEvt=1),IF(ATC60+1&gt;=H_Deemed,0,ATC60+1),ATC60)</f>
        <v>2</v>
      </c>
      <c r="ATD61" s="20" t="n">
        <f aca="false">IF(AND(H_Direct=0,H_TaxEvt=1),IF(ATD60+1&gt;=H_Deemed,0,ATD60+1),ATD60)</f>
        <v>1</v>
      </c>
      <c r="ATE61" s="20" t="n">
        <f aca="false">IF(AND(H_Direct=0,H_TaxEvt=1),IF(ATE60+1&gt;=H_Deemed,0,ATE60+1),ATE60)</f>
        <v>0</v>
      </c>
      <c r="ATF61" s="20" t="n">
        <f aca="false">IF(AND(H_Direct=0,H_TaxEvt=1),IF(ATF60+1&gt;=H_Deemed,0,ATF60+1),ATF60)</f>
        <v>7</v>
      </c>
      <c r="ATG61" s="20" t="n">
        <f aca="false">IF(AND(H_Direct=0,H_TaxEvt=1),IF(ATG60+1&gt;=H_Deemed,0,ATG60+1),ATG60)</f>
        <v>6</v>
      </c>
      <c r="ATH61" s="20" t="n">
        <f aca="false">IF(AND(H_Direct=0,H_TaxEvt=1),IF(ATH60+1&gt;=H_Deemed,0,ATH60+1),ATH60)</f>
        <v>5</v>
      </c>
      <c r="ATI61" s="20" t="n">
        <f aca="false">IF(AND(H_Direct=0,H_TaxEvt=1),IF(ATI60+1&gt;=H_Deemed,0,ATI60+1),ATI60)</f>
        <v>4</v>
      </c>
      <c r="ATJ61" s="20" t="n">
        <f aca="false">IF(AND(H_Direct=0,H_TaxEvt=1),IF(ATJ60+1&gt;=H_Deemed,0,ATJ60+1),ATJ60)</f>
        <v>3</v>
      </c>
      <c r="ATK61" s="20" t="n">
        <f aca="false">IF(AND(H_Direct=0,H_TaxEvt=1),IF(ATK60+1&gt;=H_Deemed,0,ATK60+1),ATK60)</f>
        <v>2</v>
      </c>
      <c r="ATL61" s="20" t="n">
        <f aca="false">IF(AND(H_Direct=0,H_TaxEvt=1),IF(ATL60+1&gt;=H_Deemed,0,ATL60+1),ATL60)</f>
        <v>1</v>
      </c>
      <c r="ATM61" s="20" t="n">
        <f aca="false">IF(AND(H_Direct=0,H_TaxEvt=1),IF(ATM60+1&gt;=H_Deemed,0,ATM60+1),ATM60)</f>
        <v>0</v>
      </c>
      <c r="ATN61" s="20" t="n">
        <f aca="false">IF(AND(H_Direct=0,H_TaxEvt=1),IF(ATN60+1&gt;=H_Deemed,0,ATN60+1),ATN60)</f>
        <v>7</v>
      </c>
      <c r="ATO61" s="20" t="n">
        <f aca="false">IF(AND(H_Direct=0,H_TaxEvt=1),IF(ATO60+1&gt;=H_Deemed,0,ATO60+1),ATO60)</f>
        <v>6</v>
      </c>
      <c r="ATP61" s="20" t="n">
        <f aca="false">IF(AND(H_Direct=0,H_TaxEvt=1),IF(ATP60+1&gt;=H_Deemed,0,ATP60+1),ATP60)</f>
        <v>5</v>
      </c>
      <c r="ATQ61" s="20" t="n">
        <f aca="false">IF(AND(H_Direct=0,H_TaxEvt=1),IF(ATQ60+1&gt;=H_Deemed,0,ATQ60+1),ATQ60)</f>
        <v>4</v>
      </c>
      <c r="ATR61" s="20" t="n">
        <f aca="false">IF(AND(H_Direct=0,H_TaxEvt=1),IF(ATR60+1&gt;=H_Deemed,0,ATR60+1),ATR60)</f>
        <v>3</v>
      </c>
      <c r="ATS61" s="20" t="n">
        <f aca="false">IF(AND(H_Direct=0,H_TaxEvt=1),IF(ATS60+1&gt;=H_Deemed,0,ATS60+1),ATS60)</f>
        <v>2</v>
      </c>
      <c r="ATT61" s="20" t="n">
        <f aca="false">IF(AND(H_Direct=0,H_TaxEvt=1),IF(0+1&gt;=H_Deemed,0,0+1),0)</f>
        <v>1</v>
      </c>
      <c r="ATU61" s="20" t="n">
        <v>0</v>
      </c>
      <c r="ATV61" s="20" t="n">
        <v>0</v>
      </c>
      <c r="ATW61" s="20" t="n">
        <v>0</v>
      </c>
      <c r="ATX61" s="20" t="n">
        <v>0</v>
      </c>
      <c r="ATY61" s="20" t="n">
        <v>0</v>
      </c>
      <c r="ATZ61" s="20" t="n">
        <v>0</v>
      </c>
      <c r="AUA61" s="20" t="n">
        <v>0</v>
      </c>
      <c r="AUB61" s="20" t="n">
        <v>0</v>
      </c>
      <c r="AUC61" s="20" t="n">
        <v>0</v>
      </c>
      <c r="AUD61" s="20" t="n">
        <v>0</v>
      </c>
      <c r="AUE61" s="20" t="n">
        <v>0</v>
      </c>
      <c r="AUF61" s="20" t="n">
        <v>0</v>
      </c>
      <c r="AUG61" s="20" t="n">
        <v>0</v>
      </c>
      <c r="AUH61" s="20" t="n">
        <v>0</v>
      </c>
      <c r="AUI61" s="20" t="n">
        <v>0</v>
      </c>
      <c r="AUJ61" s="20" t="n">
        <v>0</v>
      </c>
      <c r="AUK61" s="20" t="n">
        <v>0</v>
      </c>
      <c r="AUL61" s="20" t="n">
        <v>0</v>
      </c>
      <c r="AUM61" s="20" t="n">
        <v>0</v>
      </c>
      <c r="AUN61" s="20" t="n">
        <v>0</v>
      </c>
      <c r="AUO61" s="20" t="n">
        <v>0</v>
      </c>
      <c r="AUP61" s="20" t="n">
        <v>0</v>
      </c>
      <c r="AUQ61" s="20" t="n">
        <v>0</v>
      </c>
      <c r="AUR61" s="20" t="n">
        <v>0</v>
      </c>
      <c r="AUS61" s="20" t="n">
        <v>0</v>
      </c>
      <c r="AUT61" s="20" t="n">
        <v>0</v>
      </c>
      <c r="AUU61" s="20" t="n">
        <v>0</v>
      </c>
      <c r="AUV61" s="20" t="n">
        <v>0</v>
      </c>
      <c r="AUW61" s="20" t="n">
        <v>0</v>
      </c>
      <c r="AUX61" s="20" t="n">
        <v>0</v>
      </c>
      <c r="AUY61" s="20" t="n">
        <v>0</v>
      </c>
      <c r="AUZ61" s="20" t="n">
        <v>0</v>
      </c>
      <c r="AVA61" s="20" t="n">
        <v>0</v>
      </c>
      <c r="AVB61" s="20" t="n">
        <v>0</v>
      </c>
      <c r="AVC61" s="20" t="n">
        <v>0</v>
      </c>
      <c r="AVD61" s="20" t="n">
        <v>0</v>
      </c>
      <c r="AVE61" s="20" t="n">
        <f aca="false">IF(AND(H_Direct=0,H_TaxEvt=1,ARR60+1&gt;=H_Deemed),MAX(0,ADR61-AHE61)*H_Exit,0)</f>
        <v>0</v>
      </c>
      <c r="AVF61" s="20" t="n">
        <f aca="false">IF(AND(H_Direct=0,H_TaxEvt=1,ARS60+1&gt;=H_Deemed),MAX(0,ADS61-AHF61)*H_Exit,0)</f>
        <v>0</v>
      </c>
      <c r="AVG61" s="20" t="n">
        <f aca="false">IF(AND(H_Direct=0,H_TaxEvt=1,ART60+1&gt;=H_Deemed),MAX(0,ADT61-AHG61)*H_Exit,0)</f>
        <v>0</v>
      </c>
      <c r="AVH61" s="20" t="n">
        <f aca="false">IF(AND(H_Direct=0,H_TaxEvt=1,ARU60+1&gt;=H_Deemed),MAX(0,ADU61-AHH61)*H_Exit,0)</f>
        <v>0</v>
      </c>
      <c r="AVI61" s="20" t="n">
        <f aca="false">IF(AND(H_Direct=0,H_TaxEvt=1,ARV60+1&gt;=H_Deemed),MAX(0,ADV61-AHI61)*H_Exit,0)</f>
        <v>0</v>
      </c>
      <c r="AVJ61" s="20" t="n">
        <f aca="false">IF(AND(H_Direct=0,H_TaxEvt=1,ARW60+1&gt;=H_Deemed),MAX(0,ADW61-AHJ61)*H_Exit,0)</f>
        <v>0</v>
      </c>
      <c r="AVK61" s="20" t="n">
        <f aca="false">IF(AND(H_Direct=0,H_TaxEvt=1,ARX60+1&gt;=H_Deemed),MAX(0,ADX61-AHK61)*H_Exit,0)</f>
        <v>0</v>
      </c>
      <c r="AVL61" s="20" t="n">
        <f aca="false">IF(AND(H_Direct=0,H_TaxEvt=1,ARY60+1&gt;=H_Deemed),MAX(0,ADY61-AHL61)*H_Exit,0)</f>
        <v>0</v>
      </c>
      <c r="AVM61" s="20" t="n">
        <f aca="false">IF(AND(H_Direct=0,H_TaxEvt=1,ARZ60+1&gt;=H_Deemed),MAX(0,ADZ61-AHM61)*H_Exit,0)</f>
        <v>0</v>
      </c>
      <c r="AVN61" s="20" t="n">
        <f aca="false">IF(AND(H_Direct=0,H_TaxEvt=1,ASA60+1&gt;=H_Deemed),MAX(0,AEA61-AHN61)*H_Exit,0)</f>
        <v>0</v>
      </c>
      <c r="AVO61" s="20" t="n">
        <f aca="false">IF(AND(H_Direct=0,H_TaxEvt=1,ASB60+1&gt;=H_Deemed),MAX(0,AEB61-AHO61)*H_Exit,0)</f>
        <v>0</v>
      </c>
      <c r="AVP61" s="20" t="n">
        <f aca="false">IF(AND(H_Direct=0,H_TaxEvt=1,ASC60+1&gt;=H_Deemed),MAX(0,AEC61-AHP61)*H_Exit,0)</f>
        <v>0</v>
      </c>
      <c r="AVQ61" s="20" t="n">
        <f aca="false">IF(AND(H_Direct=0,H_TaxEvt=1,ASD60+1&gt;=H_Deemed),MAX(0,AED61-AHQ61)*H_Exit,0)</f>
        <v>0</v>
      </c>
      <c r="AVR61" s="20" t="n">
        <f aca="false">IF(AND(H_Direct=0,H_TaxEvt=1,ASE60+1&gt;=H_Deemed),MAX(0,AEE61-AHR61)*H_Exit,0)</f>
        <v>0</v>
      </c>
      <c r="AVS61" s="20" t="n">
        <f aca="false">IF(AND(H_Direct=0,H_TaxEvt=1,ASF60+1&gt;=H_Deemed),MAX(0,AEF61-AHS61)*H_Exit,0)</f>
        <v>0</v>
      </c>
      <c r="AVT61" s="20" t="n">
        <f aca="false">IF(AND(H_Direct=0,H_TaxEvt=1,ASG60+1&gt;=H_Deemed),MAX(0,AEG61-AHT61)*H_Exit,0)</f>
        <v>0</v>
      </c>
      <c r="AVU61" s="20" t="n">
        <f aca="false">IF(AND(H_Direct=0,H_TaxEvt=1,ASH60+1&gt;=H_Deemed),MAX(0,AEH61-AHU61)*H_Exit,0)</f>
        <v>0</v>
      </c>
      <c r="AVV61" s="20" t="n">
        <f aca="false">IF(AND(H_Direct=0,H_TaxEvt=1,ASI60+1&gt;=H_Deemed),MAX(0,AEI61-AHV61)*H_Exit,0)</f>
        <v>0</v>
      </c>
      <c r="AVW61" s="20" t="n">
        <f aca="false">IF(AND(H_Direct=0,H_TaxEvt=1,ASJ60+1&gt;=H_Deemed),MAX(0,AEJ61-AHW61)*H_Exit,0)</f>
        <v>0</v>
      </c>
      <c r="AVX61" s="20" t="n">
        <f aca="false">IF(AND(H_Direct=0,H_TaxEvt=1,ASK60+1&gt;=H_Deemed),MAX(0,AEK61-AHX61)*H_Exit,0)</f>
        <v>0</v>
      </c>
      <c r="AVY61" s="20" t="n">
        <f aca="false">IF(AND(H_Direct=0,H_TaxEvt=1,ASL60+1&gt;=H_Deemed),MAX(0,AEL61-AHY61)*H_Exit,0)</f>
        <v>0</v>
      </c>
      <c r="AVZ61" s="20" t="n">
        <f aca="false">IF(AND(H_Direct=0,H_TaxEvt=1,ASM60+1&gt;=H_Deemed),MAX(0,AEM61-AHZ61)*H_Exit,0)</f>
        <v>0</v>
      </c>
      <c r="AWA61" s="20" t="n">
        <f aca="false">IF(AND(H_Direct=0,H_TaxEvt=1,ASN60+1&gt;=H_Deemed),MAX(0,AEN61-AIA61)*H_Exit,0)</f>
        <v>0</v>
      </c>
      <c r="AWB61" s="20" t="n">
        <f aca="false">IF(AND(H_Direct=0,H_TaxEvt=1,ASO60+1&gt;=H_Deemed),MAX(0,AEO61-AIB61)*H_Exit,0)</f>
        <v>0</v>
      </c>
      <c r="AWC61" s="20" t="n">
        <f aca="false">IF(AND(H_Direct=0,H_TaxEvt=1,ASP60+1&gt;=H_Deemed),MAX(0,AEP61-AIC61)*H_Exit,0)</f>
        <v>0</v>
      </c>
      <c r="AWD61" s="20" t="n">
        <f aca="false">IF(AND(H_Direct=0,H_TaxEvt=1,ASQ60+1&gt;=H_Deemed),MAX(0,AEQ61-AID61)*H_Exit,0)</f>
        <v>0</v>
      </c>
      <c r="AWE61" s="20" t="n">
        <f aca="false">IF(AND(H_Direct=0,H_TaxEvt=1,ASR60+1&gt;=H_Deemed),MAX(0,AER61-AIE61)*H_Exit,0)</f>
        <v>0</v>
      </c>
      <c r="AWF61" s="20" t="n">
        <f aca="false">IF(AND(H_Direct=0,H_TaxEvt=1,ASS60+1&gt;=H_Deemed),MAX(0,AES61-AIF61)*H_Exit,0)</f>
        <v>0</v>
      </c>
      <c r="AWG61" s="20" t="n">
        <f aca="false">IF(AND(H_Direct=0,H_TaxEvt=1,AST60+1&gt;=H_Deemed),MAX(0,AET61-AIG61)*H_Exit,0)</f>
        <v>0</v>
      </c>
      <c r="AWH61" s="20" t="n">
        <f aca="false">IF(AND(H_Direct=0,H_TaxEvt=1,ASU60+1&gt;=H_Deemed),MAX(0,AEU61-AIH61)*H_Exit,0)</f>
        <v>0</v>
      </c>
      <c r="AWI61" s="20" t="n">
        <f aca="false">IF(AND(H_Direct=0,H_TaxEvt=1,ASV60+1&gt;=H_Deemed),MAX(0,AEV61-AII61)*H_Exit,0)</f>
        <v>0</v>
      </c>
      <c r="AWJ61" s="20" t="n">
        <f aca="false">IF(AND(H_Direct=0,H_TaxEvt=1,ASW60+1&gt;=H_Deemed),MAX(0,AEW61-AIJ61)*H_Exit,0)</f>
        <v>0</v>
      </c>
      <c r="AWK61" s="20" t="n">
        <f aca="false">IF(AND(H_Direct=0,H_TaxEvt=1,ASX60+1&gt;=H_Deemed),MAX(0,AEX61-AIK61)*H_Exit,0)</f>
        <v>0</v>
      </c>
      <c r="AWL61" s="20" t="n">
        <f aca="false">IF(AND(H_Direct=0,H_TaxEvt=1,ASY60+1&gt;=H_Deemed),MAX(0,AEY61-AIL61)*H_Exit,0)</f>
        <v>0</v>
      </c>
      <c r="AWM61" s="20" t="n">
        <f aca="false">IF(AND(H_Direct=0,H_TaxEvt=1,ASZ60+1&gt;=H_Deemed),MAX(0,AEZ61-AIM61)*H_Exit,0)</f>
        <v>0</v>
      </c>
      <c r="AWN61" s="20" t="n">
        <f aca="false">IF(AND(H_Direct=0,H_TaxEvt=1,ATA60+1&gt;=H_Deemed),MAX(0,AFA61-AIN61)*H_Exit,0)</f>
        <v>0</v>
      </c>
      <c r="AWO61" s="20" t="n">
        <f aca="false">IF(AND(H_Direct=0,H_TaxEvt=1,ATB60+1&gt;=H_Deemed),MAX(0,AFB61-AIO61)*H_Exit,0)</f>
        <v>0</v>
      </c>
      <c r="AWP61" s="20" t="n">
        <f aca="false">IF(AND(H_Direct=0,H_TaxEvt=1,ATC60+1&gt;=H_Deemed),MAX(0,AFC61-AIP61)*H_Exit,0)</f>
        <v>0</v>
      </c>
      <c r="AWQ61" s="20" t="n">
        <f aca="false">IF(AND(H_Direct=0,H_TaxEvt=1,ATD60+1&gt;=H_Deemed),MAX(0,AFD61-AIQ61)*H_Exit,0)</f>
        <v>0</v>
      </c>
      <c r="AWR61" s="20" t="n">
        <f aca="false">IF(AND(H_Direct=0,H_TaxEvt=1,ATE60+1&gt;=H_Deemed),MAX(0,AFE61-AIR61)*H_Exit,0)</f>
        <v>0</v>
      </c>
      <c r="AWS61" s="20" t="n">
        <f aca="false">IF(AND(H_Direct=0,H_TaxEvt=1,ATF60+1&gt;=H_Deemed),MAX(0,AFF61-AIS61)*H_Exit,0)</f>
        <v>0</v>
      </c>
      <c r="AWT61" s="20" t="n">
        <f aca="false">IF(AND(H_Direct=0,H_TaxEvt=1,ATG60+1&gt;=H_Deemed),MAX(0,AFG61-AIT61)*H_Exit,0)</f>
        <v>0</v>
      </c>
      <c r="AWU61" s="20" t="n">
        <f aca="false">IF(AND(H_Direct=0,H_TaxEvt=1,ATH60+1&gt;=H_Deemed),MAX(0,AFH61-AIU61)*H_Exit,0)</f>
        <v>0</v>
      </c>
      <c r="AWV61" s="20" t="n">
        <f aca="false">IF(AND(H_Direct=0,H_TaxEvt=1,ATI60+1&gt;=H_Deemed),MAX(0,AFI61-AIV61)*H_Exit,0)</f>
        <v>0</v>
      </c>
      <c r="AWW61" s="20" t="n">
        <f aca="false">IF(AND(H_Direct=0,H_TaxEvt=1,ATJ60+1&gt;=H_Deemed),MAX(0,AFJ61-AIW61)*H_Exit,0)</f>
        <v>0</v>
      </c>
      <c r="AWX61" s="20" t="n">
        <f aca="false">IF(AND(H_Direct=0,H_TaxEvt=1,ATK60+1&gt;=H_Deemed),MAX(0,AFK61-AIX61)*H_Exit,0)</f>
        <v>0</v>
      </c>
      <c r="AWY61" s="20" t="n">
        <f aca="false">IF(AND(H_Direct=0,H_TaxEvt=1,ATL60+1&gt;=H_Deemed),MAX(0,AFL61-AIY61)*H_Exit,0)</f>
        <v>0</v>
      </c>
      <c r="AWZ61" s="20" t="n">
        <f aca="false">IF(AND(H_Direct=0,H_TaxEvt=1,ATM60+1&gt;=H_Deemed),MAX(0,AFM61-AIZ61)*H_Exit,0)</f>
        <v>0</v>
      </c>
      <c r="AXA61" s="20" t="n">
        <f aca="false">IF(AND(H_Direct=0,H_TaxEvt=1,ATN60+1&gt;=H_Deemed),MAX(0,AFN61-AJA61)*H_Exit,0)</f>
        <v>0</v>
      </c>
      <c r="AXB61" s="20" t="n">
        <f aca="false">IF(AND(H_Direct=0,H_TaxEvt=1,ATO60+1&gt;=H_Deemed),MAX(0,AFO61-AJB61)*H_Exit,0)</f>
        <v>0</v>
      </c>
      <c r="AXC61" s="20" t="n">
        <f aca="false">IF(AND(H_Direct=0,H_TaxEvt=1,ATP60+1&gt;=H_Deemed),MAX(0,AFP61-AJC61)*H_Exit,0)</f>
        <v>0</v>
      </c>
      <c r="AXD61" s="20" t="n">
        <f aca="false">IF(AND(H_Direct=0,H_TaxEvt=1,ATQ60+1&gt;=H_Deemed),MAX(0,AFQ61-AJD61)*H_Exit,0)</f>
        <v>0</v>
      </c>
      <c r="AXE61" s="20" t="n">
        <f aca="false">IF(AND(H_Direct=0,H_TaxEvt=1,ATR60+1&gt;=H_Deemed),MAX(0,AFR61-AJE61)*H_Exit,0)</f>
        <v>0</v>
      </c>
      <c r="AXF61" s="20" t="n">
        <f aca="false">IF(AND(H_Direct=0,H_TaxEvt=1,ATS60+1&gt;=H_Deemed),MAX(0,AFS61-AJF61)*H_Exit,0)</f>
        <v>0</v>
      </c>
      <c r="AXG61" s="20" t="n">
        <f aca="false">IF(AND(H_Direct=0,H_TaxEvt=1,0+1&gt;=H_Deemed),MAX(0,AFT61-AJG61)*H_Exit,0)</f>
        <v>0</v>
      </c>
      <c r="AXH61" s="20" t="n">
        <v>0</v>
      </c>
      <c r="AXI61" s="20" t="n">
        <v>0</v>
      </c>
      <c r="AXJ61" s="20" t="n">
        <v>0</v>
      </c>
      <c r="AXK61" s="20" t="n">
        <v>0</v>
      </c>
      <c r="AXL61" s="20" t="n">
        <v>0</v>
      </c>
      <c r="AXM61" s="20" t="n">
        <v>0</v>
      </c>
      <c r="AXN61" s="20" t="n">
        <v>0</v>
      </c>
      <c r="AXO61" s="20" t="n">
        <v>0</v>
      </c>
      <c r="AXP61" s="20" t="n">
        <v>0</v>
      </c>
      <c r="AXQ61" s="20" t="n">
        <v>0</v>
      </c>
      <c r="AXR61" s="20" t="n">
        <v>0</v>
      </c>
      <c r="AXS61" s="20" t="n">
        <v>0</v>
      </c>
      <c r="AXT61" s="20" t="n">
        <v>0</v>
      </c>
      <c r="AXU61" s="20" t="n">
        <v>0</v>
      </c>
      <c r="AXV61" s="20" t="n">
        <v>0</v>
      </c>
      <c r="AXW61" s="20" t="n">
        <v>0</v>
      </c>
      <c r="AXX61" s="20" t="n">
        <v>0</v>
      </c>
      <c r="AXY61" s="20" t="n">
        <v>0</v>
      </c>
      <c r="AXZ61" s="20" t="n">
        <v>0</v>
      </c>
      <c r="AYA61" s="20" t="n">
        <v>0</v>
      </c>
      <c r="AYB61" s="20" t="n">
        <v>0</v>
      </c>
      <c r="AYC61" s="20" t="n">
        <v>0</v>
      </c>
      <c r="AYD61" s="20" t="n">
        <v>0</v>
      </c>
      <c r="AYE61" s="20" t="n">
        <v>0</v>
      </c>
      <c r="AYF61" s="20" t="n">
        <v>0</v>
      </c>
      <c r="AYG61" s="20" t="n">
        <v>0</v>
      </c>
      <c r="AYH61" s="20" t="n">
        <v>0</v>
      </c>
      <c r="AYI61" s="20" t="n">
        <v>0</v>
      </c>
      <c r="AYJ61" s="20" t="n">
        <v>0</v>
      </c>
      <c r="AYK61" s="20" t="n">
        <v>0</v>
      </c>
      <c r="AYL61" s="20" t="n">
        <v>0</v>
      </c>
      <c r="AYM61" s="20" t="n">
        <v>0</v>
      </c>
      <c r="AYN61" s="20" t="n">
        <v>0</v>
      </c>
      <c r="AYO61" s="20" t="n">
        <v>0</v>
      </c>
      <c r="AYP61" s="20" t="n">
        <v>0</v>
      </c>
      <c r="AYQ61" s="20" t="n">
        <v>0</v>
      </c>
    </row>
    <row r="62" customFormat="false" ht="15" hidden="false" customHeight="false" outlineLevel="0" collapsed="false">
      <c r="B62" s="20" t="n">
        <v>54</v>
      </c>
      <c r="C62" s="20" t="n">
        <f aca="false">'Plan cashflow'!C62</f>
        <v>1</v>
      </c>
      <c r="D62" s="20" t="n">
        <f aca="false">'Plan cashflow'!D62</f>
        <v>92</v>
      </c>
      <c r="E62" s="20" t="n">
        <f aca="false">AS_Year0+54</f>
        <v>2080</v>
      </c>
      <c r="F62" s="50" t="n">
        <f aca="false">'Plan cashflow'!F62</f>
        <v>2.91346144414029</v>
      </c>
      <c r="G62" s="59" t="n">
        <f aca="true">IF(MAX(TODAY(),DATE(E62,1,1))&gt;=H_CGTfrom,H_CGT1,H_CGT0)</f>
        <v>0.31</v>
      </c>
      <c r="H62" s="20" t="n">
        <f aca="false">H_Exempt*H_Persons</f>
        <v>1270</v>
      </c>
      <c r="I62" s="20" t="n">
        <f aca="false">AX61</f>
        <v>0</v>
      </c>
      <c r="J62" s="60" t="n">
        <f aca="false">BF61</f>
        <v>0</v>
      </c>
      <c r="K62" s="60" t="n">
        <f aca="false">BG61</f>
        <v>0</v>
      </c>
      <c r="L62" s="20" t="n">
        <f aca="false">IF(AND(In_polLump&gt;0,In_polLumpAge&gt;0,D62=In_polLumpAge),In_polLump,0)</f>
        <v>0</v>
      </c>
      <c r="M62" s="20" t="n">
        <f aca="false">IF(AND(In_homeUse="Yes, I'd downsize",In_downAge&gt;0,D62=In_downAge,OR(In_home="Own outright",In_home="Own with mortgage"),In_homeValue&gt;0),MAX(0,MAX(0,In_homeValue-In_downValue)*F62*0.9-'Plan cashflow'!HR61),0)</f>
        <v>0</v>
      </c>
      <c r="N62" s="20" t="n">
        <f aca="false">'Plan pay &amp; tax'!Y288</f>
        <v>0</v>
      </c>
      <c r="O62" s="20" t="n">
        <f aca="false">L62+M62+(1-H_Sh)*N62</f>
        <v>0</v>
      </c>
      <c r="P62" s="20" t="n">
        <f aca="false">H_Sh*N62</f>
        <v>0</v>
      </c>
      <c r="Q62" s="20" t="n">
        <f aca="false">'Plan cashflow'!UL62</f>
        <v>0</v>
      </c>
      <c r="R62" s="20" t="n">
        <f aca="false">(1-H_Sh)*Q62</f>
        <v>0</v>
      </c>
      <c r="S62" s="20" t="n">
        <f aca="false">H_Sh*Q62</f>
        <v>0</v>
      </c>
      <c r="T62" s="20" t="n">
        <f aca="false">J62+K62+O62</f>
        <v>0</v>
      </c>
      <c r="U62" s="20" t="n">
        <f aca="false">T62+R62</f>
        <v>0</v>
      </c>
      <c r="V62" s="60" t="n">
        <f aca="false">SUM(FE62:IQ62)</f>
        <v>0</v>
      </c>
      <c r="W62" s="60" t="n">
        <f aca="false">IF(AJ62&lt;=0,0,IF(AL62&lt;=0,AJ62,AJ62-G62*MAX(0,AL62*AJ62-(AY62+AZ62))))</f>
        <v>0</v>
      </c>
      <c r="X62" s="60" t="n">
        <f aca="false">IF(AR62&lt;=0,0,IF(AT62&lt;=0,AR62,AR62-G62*MAX(0,AT62*AR62-(BA62+BB62))))</f>
        <v>0</v>
      </c>
      <c r="Y62" s="60" t="n">
        <f aca="false">T62+V62-S62+W62+X62</f>
        <v>0</v>
      </c>
      <c r="Z62" s="60" t="n">
        <f aca="false">'Plan cashflow'!UK62</f>
        <v>0</v>
      </c>
      <c r="AA62" s="20" t="n">
        <f aca="false">MIN(Z62,U62)</f>
        <v>0</v>
      </c>
      <c r="AB62" s="20" t="n">
        <f aca="false">Z62-AA62</f>
        <v>0</v>
      </c>
      <c r="AC62" s="20" t="n">
        <f aca="false">MIN(AA62,J62+O62+R62)</f>
        <v>0</v>
      </c>
      <c r="AD62" s="20" t="n">
        <f aca="false">AA62-AC62</f>
        <v>0</v>
      </c>
      <c r="AE62" s="20" t="n">
        <f aca="false">J62+O62+R62-AC62</f>
        <v>0</v>
      </c>
      <c r="AF62" s="20" t="n">
        <f aca="false">K62-AD62</f>
        <v>0</v>
      </c>
      <c r="AG62" s="20" t="n">
        <f aca="false">SUM(PR62:TD62)</f>
        <v>0</v>
      </c>
      <c r="AH62" s="20" t="n">
        <f aca="false">SUM(TE62:WQ62)</f>
        <v>0</v>
      </c>
      <c r="AI62" s="20" t="n">
        <f aca="false">MAX(0,AB62-AG62)</f>
        <v>0</v>
      </c>
      <c r="AJ62" s="57" t="n">
        <f aca="false">BI61</f>
        <v>0</v>
      </c>
      <c r="AK62" s="20" t="n">
        <f aca="false">BJ61</f>
        <v>0</v>
      </c>
      <c r="AL62" s="20" t="n">
        <f aca="false">IF(AJ62&gt;0,(AJ62-AK62)/AJ62,0)</f>
        <v>0</v>
      </c>
      <c r="AM62" s="20" t="n">
        <f aca="false">IF(AJ62&lt;=0,0,IF(AL62&lt;=0,MIN(AI62,AJ62),MIN(AI62,AJ62-G62*MAX(0,AL62*AJ62-(AAD62+ADQ62)))))</f>
        <v>0</v>
      </c>
      <c r="AN62" s="20" t="n">
        <f aca="false">IF(AJ62&lt;=0,0,IF(AL62&lt;=0,AM62,IF(AM62&lt;=(AAD62+ADQ62)/AL62,AM62,(AM62-G62*(AAD62+ADQ62))/(1-G62*AL62))))</f>
        <v>0</v>
      </c>
      <c r="AO62" s="20" t="n">
        <f aca="false">IF(AL62&gt;0,MAX(0,AAD62-(MIN(AL62*AN62,(AAD62+ADQ62))-MIN(MIN(AL62*AN62,(AAD62+ADQ62)),ADQ62))),AAD62)</f>
        <v>1270</v>
      </c>
      <c r="AP62" s="20" t="n">
        <f aca="false">IF(AL62&lt;=0,ADQ62-AL62*AN62,ADQ62-MIN(MIN(AL62*AN62,(AAD62+ADQ62)),ADQ62))</f>
        <v>0</v>
      </c>
      <c r="AQ62" s="20" t="n">
        <f aca="false">MAX(0,AI62-AM62)</f>
        <v>0</v>
      </c>
      <c r="AR62" s="57" t="n">
        <f aca="false">BK61</f>
        <v>0</v>
      </c>
      <c r="AS62" s="20" t="n">
        <f aca="false">BL61</f>
        <v>0</v>
      </c>
      <c r="AT62" s="20" t="n">
        <f aca="false">IF(AR62&gt;0,(AR62-AS62)/AR62,0)</f>
        <v>0</v>
      </c>
      <c r="AU62" s="20" t="n">
        <f aca="false">IF(AR62&lt;=0,0,IF(AT62&lt;=0,MIN(AQ62,AR62),MIN(AQ62,AR62-G62*MAX(0,AT62*AR62-(AO62+AP62)))))</f>
        <v>0</v>
      </c>
      <c r="AV62" s="20" t="n">
        <f aca="false">IF(AR62&lt;=0,0,IF(AT62&lt;=0,AU62,IF(AU62&lt;=(AO62+AP62)/AT62,AU62,(AU62-G62*(AO62+AP62))/(1-G62*AT62))))</f>
        <v>0</v>
      </c>
      <c r="AW62" s="20" t="n">
        <f aca="false">IF(AT62&gt;0,MAX(0,AO62-(MIN(AT62*AV62,(AO62+AP62))-MIN(MIN(AT62*AV62,(AO62+AP62)),AP62))),AO62)</f>
        <v>1270</v>
      </c>
      <c r="AX62" s="20" t="n">
        <f aca="false">IF(AT62&lt;=0,AP62-AT62*AV62,AP62-MIN(MIN(AT62*AV62,(AO62+AP62)),AP62))</f>
        <v>0</v>
      </c>
      <c r="AY62" s="20" t="n">
        <f aca="false">MD62</f>
        <v>1270</v>
      </c>
      <c r="AZ62" s="20" t="n">
        <f aca="false">PQ62</f>
        <v>0</v>
      </c>
      <c r="BA62" s="20" t="n">
        <f aca="false">IF(AL62&gt;0,MAX(0,AY62-(MIN(AL62*AJ62,AY62+AZ62)-MIN(MIN(AL62*AJ62,AY62+AZ62),AZ62))),AY62)</f>
        <v>1270</v>
      </c>
      <c r="BB62" s="20" t="n">
        <f aca="false">IF(AL62&lt;=0,AZ62-AL62*AJ62,AZ62-MIN(MIN(AL62*AJ62,AY62+AZ62),AZ62))</f>
        <v>0</v>
      </c>
      <c r="BC62" s="20" t="n">
        <f aca="false">'Plan cashflow'!UM62</f>
        <v>0</v>
      </c>
      <c r="BD62" s="20" t="n">
        <f aca="false">(1-H_Sh)*BC62</f>
        <v>0</v>
      </c>
      <c r="BE62" s="20" t="n">
        <f aca="false">H_Sh*BC62</f>
        <v>0</v>
      </c>
      <c r="BF62" s="60" t="n">
        <f aca="false">(AE62+BD62)*(1+AS_Cash)</f>
        <v>0</v>
      </c>
      <c r="BG62" s="60" t="n">
        <f aca="false">AF62*(1+AS_Cash)</f>
        <v>0</v>
      </c>
      <c r="BH62" s="60" t="n">
        <f aca="false">SUM(AKR62:AOD62)</f>
        <v>0</v>
      </c>
      <c r="BI62" s="60" t="n">
        <f aca="false">(AJ62-AN62)*(1+AS_Infl)</f>
        <v>0</v>
      </c>
      <c r="BJ62" s="20" t="n">
        <f aca="false">IF(AJ62&gt;0,AK62-AK62*AN62/AJ62,0)</f>
        <v>0</v>
      </c>
      <c r="BK62" s="60" t="n">
        <f aca="false">(AR62-AV62)*(1+BQ62)</f>
        <v>0</v>
      </c>
      <c r="BL62" s="20" t="n">
        <f aca="false">IF(AR62&gt;0,AS62-AS62*AV62/AR62,0)</f>
        <v>0</v>
      </c>
      <c r="BM62" s="60" t="n">
        <f aca="false">BF62+BG62+BH62+BI62+BK62</f>
        <v>0</v>
      </c>
      <c r="BN62" s="60" t="n">
        <f aca="false">(AH62-AG62)+(AN62-AM62)+(AV62-AU62)</f>
        <v>0</v>
      </c>
      <c r="BO62" s="20" t="n">
        <f aca="false">(AE62+BD62+AF62+MAX(0,'Plan cashflow'!QH62)+IF(Slot1_Rate=AS_Cash,'Plan cashflow'!QM62/(1+AS_Cash),0)+IF(Slot2_Rate=AS_Cash,'Plan cashflow'!QQ62/(1+AS_Cash),0)+IF(Slot3_Rate=AS_Cash,'Plan cashflow'!QU62/(1+AS_Cash),0)+IF(Slot4_Rate=AS_Cash,'Plan cashflow'!QY62/(1+AS_Cash),0)+IF(Slot5_Rate=AS_Cash,'Plan cashflow'!RC62/(1+AS_Cash),0)+IF(Slot6_Rate=AS_Cash,'Plan cashflow'!RG62/(1+AS_Cash),0)+IF(Slot7_Rate=AS_Cash,'Plan cashflow'!RK62/(1+AS_Cash),0)+IF(Slot8_Rate=AS_Cash,'Plan cashflow'!RO62/(1+AS_Cash),0)+IF(Slot9_Rate=AS_Cash,'Plan cashflow'!RS62/(1+AS_Cash),0)+IF(Slot10_Rate=AS_Cash,'Plan cashflow'!RW62/(1+AS_Cash),0)+IF(Slot11_Rate=AS_Cash,'Plan cashflow'!SA62/(1+AS_Cash),0)+IF(Slot12_Rate=AS_Cash,'Plan cashflow'!SE62/(1+AS_Cash),0)+IF(Slot13_Rate=AS_Cash,'Plan cashflow'!SI62/(1+AS_Cash),0)+IF(Slot14_Rate=AS_Cash,'Plan cashflow'!SM62/(1+AS_Cash),0)+IF(Slot15_Rate=AS_Cash,'Plan cashflow'!SQ62/(1+AS_Cash),0)+IF(Slot16_Rate=AS_Cash,'Plan cashflow'!SU62/(1+AS_Cash),0)+IF(Slot17_Rate=AS_Cash,'Plan cashflow'!SY62/(1+AS_Cash),0)+IF(Slot18_Rate=AS_Cash,'Plan cashflow'!TC62/(1+AS_Cash),0)+IF(Slot19_Rate=AS_Cash,'Plan cashflow'!TG62/(1+AS_Cash),0)+IF(Slot20_Rate=AS_Cash,'Plan cashflow'!TK62/(1+AS_Cash),0))*AS_Cash*H_DIRT/(1-H_DIRT)</f>
        <v>0</v>
      </c>
      <c r="BP62" s="60" t="n">
        <f aca="false">SUM(AVE62:AYQ62)</f>
        <v>0</v>
      </c>
      <c r="BQ62" s="54" t="n">
        <f aca="false">IF(H_TaxEvt=1,H_InvG,AS_Inv)</f>
        <v>0.04</v>
      </c>
      <c r="BR62" s="20" t="n">
        <f aca="false">IF(AKR61&gt;0,(AKR61-AOE61)/AKR61,0)</f>
        <v>0</v>
      </c>
      <c r="BS62" s="20" t="n">
        <f aca="false">IF(AKS61&gt;0,(AKS61-AOF61)/AKS61,0)</f>
        <v>0</v>
      </c>
      <c r="BT62" s="20" t="n">
        <f aca="false">IF(AKT61&gt;0,(AKT61-AOG61)/AKT61,0)</f>
        <v>0</v>
      </c>
      <c r="BU62" s="20" t="n">
        <f aca="false">IF(AKU61&gt;0,(AKU61-AOH61)/AKU61,0)</f>
        <v>0</v>
      </c>
      <c r="BV62" s="20" t="n">
        <f aca="false">IF(AKV61&gt;0,(AKV61-AOI61)/AKV61,0)</f>
        <v>0</v>
      </c>
      <c r="BW62" s="20" t="n">
        <f aca="false">IF(AKW61&gt;0,(AKW61-AOJ61)/AKW61,0)</f>
        <v>0</v>
      </c>
      <c r="BX62" s="20" t="n">
        <f aca="false">IF(AKX61&gt;0,(AKX61-AOK61)/AKX61,0)</f>
        <v>0</v>
      </c>
      <c r="BY62" s="20" t="n">
        <f aca="false">IF(AKY61&gt;0,(AKY61-AOL61)/AKY61,0)</f>
        <v>0</v>
      </c>
      <c r="BZ62" s="20" t="n">
        <f aca="false">IF(AKZ61&gt;0,(AKZ61-AOM61)/AKZ61,0)</f>
        <v>0</v>
      </c>
      <c r="CA62" s="20" t="n">
        <f aca="false">IF(ALA61&gt;0,(ALA61-AON61)/ALA61,0)</f>
        <v>0</v>
      </c>
      <c r="CB62" s="20" t="n">
        <f aca="false">IF(ALB61&gt;0,(ALB61-AOO61)/ALB61,0)</f>
        <v>0</v>
      </c>
      <c r="CC62" s="20" t="n">
        <f aca="false">IF(ALC61&gt;0,(ALC61-AOP61)/ALC61,0)</f>
        <v>0</v>
      </c>
      <c r="CD62" s="20" t="n">
        <f aca="false">IF(ALD61&gt;0,(ALD61-AOQ61)/ALD61,0)</f>
        <v>0</v>
      </c>
      <c r="CE62" s="20" t="n">
        <f aca="false">IF(ALE61&gt;0,(ALE61-AOR61)/ALE61,0)</f>
        <v>0</v>
      </c>
      <c r="CF62" s="20" t="n">
        <f aca="false">IF(ALF61&gt;0,(ALF61-AOS61)/ALF61,0)</f>
        <v>0</v>
      </c>
      <c r="CG62" s="20" t="n">
        <f aca="false">IF(ALG61&gt;0,(ALG61-AOT61)/ALG61,0)</f>
        <v>0</v>
      </c>
      <c r="CH62" s="20" t="n">
        <f aca="false">IF(ALH61&gt;0,(ALH61-AOU61)/ALH61,0)</f>
        <v>0</v>
      </c>
      <c r="CI62" s="20" t="n">
        <f aca="false">IF(ALI61&gt;0,(ALI61-AOV61)/ALI61,0)</f>
        <v>0</v>
      </c>
      <c r="CJ62" s="20" t="n">
        <f aca="false">IF(ALJ61&gt;0,(ALJ61-AOW61)/ALJ61,0)</f>
        <v>0</v>
      </c>
      <c r="CK62" s="20" t="n">
        <f aca="false">IF(ALK61&gt;0,(ALK61-AOX61)/ALK61,0)</f>
        <v>0</v>
      </c>
      <c r="CL62" s="20" t="n">
        <f aca="false">IF(ALL61&gt;0,(ALL61-AOY61)/ALL61,0)</f>
        <v>0</v>
      </c>
      <c r="CM62" s="20" t="n">
        <f aca="false">IF(ALM61&gt;0,(ALM61-AOZ61)/ALM61,0)</f>
        <v>0</v>
      </c>
      <c r="CN62" s="20" t="n">
        <f aca="false">IF(ALN61&gt;0,(ALN61-APA61)/ALN61,0)</f>
        <v>0</v>
      </c>
      <c r="CO62" s="20" t="n">
        <f aca="false">IF(ALO61&gt;0,(ALO61-APB61)/ALO61,0)</f>
        <v>0</v>
      </c>
      <c r="CP62" s="20" t="n">
        <f aca="false">IF(ALP61&gt;0,(ALP61-APC61)/ALP61,0)</f>
        <v>0</v>
      </c>
      <c r="CQ62" s="20" t="n">
        <f aca="false">IF(ALQ61&gt;0,(ALQ61-APD61)/ALQ61,0)</f>
        <v>0</v>
      </c>
      <c r="CR62" s="20" t="n">
        <f aca="false">IF(ALR61&gt;0,(ALR61-APE61)/ALR61,0)</f>
        <v>0</v>
      </c>
      <c r="CS62" s="20" t="n">
        <f aca="false">IF(ALS61&gt;0,(ALS61-APF61)/ALS61,0)</f>
        <v>0</v>
      </c>
      <c r="CT62" s="20" t="n">
        <f aca="false">IF(ALT61&gt;0,(ALT61-APG61)/ALT61,0)</f>
        <v>0</v>
      </c>
      <c r="CU62" s="20" t="n">
        <f aca="false">IF(ALU61&gt;0,(ALU61-APH61)/ALU61,0)</f>
        <v>0</v>
      </c>
      <c r="CV62" s="20" t="n">
        <f aca="false">IF(ALV61&gt;0,(ALV61-API61)/ALV61,0)</f>
        <v>0</v>
      </c>
      <c r="CW62" s="20" t="n">
        <f aca="false">IF(ALW61&gt;0,(ALW61-APJ61)/ALW61,0)</f>
        <v>0</v>
      </c>
      <c r="CX62" s="20" t="n">
        <f aca="false">IF(ALX61&gt;0,(ALX61-APK61)/ALX61,0)</f>
        <v>0</v>
      </c>
      <c r="CY62" s="20" t="n">
        <f aca="false">IF(ALY61&gt;0,(ALY61-APL61)/ALY61,0)</f>
        <v>0</v>
      </c>
      <c r="CZ62" s="20" t="n">
        <f aca="false">IF(ALZ61&gt;0,(ALZ61-APM61)/ALZ61,0)</f>
        <v>0</v>
      </c>
      <c r="DA62" s="20" t="n">
        <f aca="false">IF(AMA61&gt;0,(AMA61-APN61)/AMA61,0)</f>
        <v>0</v>
      </c>
      <c r="DB62" s="20" t="n">
        <f aca="false">IF(AMB61&gt;0,(AMB61-APO61)/AMB61,0)</f>
        <v>0</v>
      </c>
      <c r="DC62" s="20" t="n">
        <f aca="false">IF(AMC61&gt;0,(AMC61-APP61)/AMC61,0)</f>
        <v>0</v>
      </c>
      <c r="DD62" s="20" t="n">
        <f aca="false">IF(AMD61&gt;0,(AMD61-APQ61)/AMD61,0)</f>
        <v>0</v>
      </c>
      <c r="DE62" s="20" t="n">
        <f aca="false">IF(AME61&gt;0,(AME61-APR61)/AME61,0)</f>
        <v>0</v>
      </c>
      <c r="DF62" s="20" t="n">
        <f aca="false">IF(AMF61&gt;0,(AMF61-APS61)/AMF61,0)</f>
        <v>0</v>
      </c>
      <c r="DG62" s="20" t="n">
        <f aca="false">IF(AMG61&gt;0,(AMG61-APT61)/AMG61,0)</f>
        <v>0</v>
      </c>
      <c r="DH62" s="20" t="n">
        <f aca="false">IF(AMH61&gt;0,(AMH61-APU61)/AMH61,0)</f>
        <v>0</v>
      </c>
      <c r="DI62" s="20" t="n">
        <f aca="false">IF(AMI61&gt;0,(AMI61-APV61)/AMI61,0)</f>
        <v>0</v>
      </c>
      <c r="DJ62" s="20" t="n">
        <f aca="false">IF(AMJ61&gt;0,(AMJ61-APW61)/AMJ61,0)</f>
        <v>0</v>
      </c>
      <c r="DK62" s="20" t="n">
        <f aca="false">IF(AMK61&gt;0,(AMK61-APX61)/AMK61,0)</f>
        <v>0</v>
      </c>
      <c r="DL62" s="20" t="n">
        <f aca="false">IF(AML61&gt;0,(AML61-APY61)/AML61,0)</f>
        <v>0</v>
      </c>
      <c r="DM62" s="20" t="n">
        <f aca="false">IF(AMM61&gt;0,(AMM61-APZ61)/AMM61,0)</f>
        <v>0</v>
      </c>
      <c r="DN62" s="20" t="n">
        <f aca="false">IF(AMN61&gt;0,(AMN61-AQA61)/AMN61,0)</f>
        <v>0</v>
      </c>
      <c r="DO62" s="20" t="n">
        <f aca="false">IF(AMO61&gt;0,(AMO61-AQB61)/AMO61,0)</f>
        <v>0</v>
      </c>
      <c r="DP62" s="20" t="n">
        <f aca="false">IF(AMP61&gt;0,(AMP61-AQC61)/AMP61,0)</f>
        <v>0</v>
      </c>
      <c r="DQ62" s="20" t="n">
        <f aca="false">IF(AMQ61&gt;0,(AMQ61-AQD61)/AMQ61,0)</f>
        <v>0</v>
      </c>
      <c r="DR62" s="20" t="n">
        <f aca="false">IF(AMR61&gt;0,(AMR61-AQE61)/AMR61,0)</f>
        <v>0</v>
      </c>
      <c r="DS62" s="20" t="n">
        <f aca="false">IF(AMS61&gt;0,(AMS61-AQF61)/AMS61,0)</f>
        <v>0</v>
      </c>
      <c r="DT62" s="20" t="n">
        <f aca="false">IF(AMT61&gt;0,(AMT61-AQG61)/AMT61,0)</f>
        <v>0</v>
      </c>
      <c r="DU62" s="20" t="n">
        <f aca="false">IF((P62+S62)&gt;0,((P62+S62)-(P62+S62))/(P62+S62),0)</f>
        <v>0</v>
      </c>
      <c r="DV62" s="20" t="n">
        <v>0</v>
      </c>
      <c r="DW62" s="20" t="n">
        <v>0</v>
      </c>
      <c r="DX62" s="20" t="n">
        <v>0</v>
      </c>
      <c r="DY62" s="20" t="n">
        <v>0</v>
      </c>
      <c r="DZ62" s="20" t="n">
        <v>0</v>
      </c>
      <c r="EA62" s="20" t="n">
        <v>0</v>
      </c>
      <c r="EB62" s="20" t="n">
        <v>0</v>
      </c>
      <c r="EC62" s="20" t="n">
        <v>0</v>
      </c>
      <c r="ED62" s="20" t="n">
        <v>0</v>
      </c>
      <c r="EE62" s="20" t="n">
        <v>0</v>
      </c>
      <c r="EF62" s="20" t="n">
        <v>0</v>
      </c>
      <c r="EG62" s="20" t="n">
        <v>0</v>
      </c>
      <c r="EH62" s="20" t="n">
        <v>0</v>
      </c>
      <c r="EI62" s="20" t="n">
        <v>0</v>
      </c>
      <c r="EJ62" s="20" t="n">
        <v>0</v>
      </c>
      <c r="EK62" s="20" t="n">
        <v>0</v>
      </c>
      <c r="EL62" s="20" t="n">
        <v>0</v>
      </c>
      <c r="EM62" s="20" t="n">
        <v>0</v>
      </c>
      <c r="EN62" s="20" t="n">
        <v>0</v>
      </c>
      <c r="EO62" s="20" t="n">
        <v>0</v>
      </c>
      <c r="EP62" s="20" t="n">
        <v>0</v>
      </c>
      <c r="EQ62" s="20" t="n">
        <v>0</v>
      </c>
      <c r="ER62" s="20" t="n">
        <v>0</v>
      </c>
      <c r="ES62" s="20" t="n">
        <v>0</v>
      </c>
      <c r="ET62" s="20" t="n">
        <v>0</v>
      </c>
      <c r="EU62" s="20" t="n">
        <v>0</v>
      </c>
      <c r="EV62" s="20" t="n">
        <v>0</v>
      </c>
      <c r="EW62" s="20" t="n">
        <v>0</v>
      </c>
      <c r="EX62" s="20" t="n">
        <v>0</v>
      </c>
      <c r="EY62" s="20" t="n">
        <v>0</v>
      </c>
      <c r="EZ62" s="20" t="n">
        <v>0</v>
      </c>
      <c r="FA62" s="20" t="n">
        <v>0</v>
      </c>
      <c r="FB62" s="20" t="n">
        <v>0</v>
      </c>
      <c r="FC62" s="20" t="n">
        <v>0</v>
      </c>
      <c r="FD62" s="20" t="n">
        <v>0</v>
      </c>
      <c r="FE62" s="20" t="n">
        <f aca="false">IF(H_Direct=1,IF(AKR61&lt;=0,0,IF(BR62&lt;=0,AKR61,AKR61-G62*MAX(0,BR62*AKR61-(H62+I62)))),AKR61*(1-MAX(0,BR62)*H_Exit))</f>
        <v>0</v>
      </c>
      <c r="FF62" s="20" t="n">
        <f aca="false">IF(H_Direct=1,IF(AKS61&lt;=0,0,IF(BS62&lt;=0,AKS61,AKS61-G62*MAX(0,BS62*AKS61-(IR62+ME62)))),AKS61*(1-MAX(0,BS62)*H_Exit))</f>
        <v>0</v>
      </c>
      <c r="FG62" s="20" t="n">
        <f aca="false">IF(H_Direct=1,IF(AKT61&lt;=0,0,IF(BT62&lt;=0,AKT61,AKT61-G62*MAX(0,BT62*AKT61-(IS62+MF62)))),AKT61*(1-MAX(0,BT62)*H_Exit))</f>
        <v>0</v>
      </c>
      <c r="FH62" s="20" t="n">
        <f aca="false">IF(H_Direct=1,IF(AKU61&lt;=0,0,IF(BU62&lt;=0,AKU61,AKU61-G62*MAX(0,BU62*AKU61-(IT62+MG62)))),AKU61*(1-MAX(0,BU62)*H_Exit))</f>
        <v>0</v>
      </c>
      <c r="FI62" s="20" t="n">
        <f aca="false">IF(H_Direct=1,IF(AKV61&lt;=0,0,IF(BV62&lt;=0,AKV61,AKV61-G62*MAX(0,BV62*AKV61-(IU62+MH62)))),AKV61*(1-MAX(0,BV62)*H_Exit))</f>
        <v>0</v>
      </c>
      <c r="FJ62" s="20" t="n">
        <f aca="false">IF(H_Direct=1,IF(AKW61&lt;=0,0,IF(BW62&lt;=0,AKW61,AKW61-G62*MAX(0,BW62*AKW61-(IV62+MI62)))),AKW61*(1-MAX(0,BW62)*H_Exit))</f>
        <v>0</v>
      </c>
      <c r="FK62" s="20" t="n">
        <f aca="false">IF(H_Direct=1,IF(AKX61&lt;=0,0,IF(BX62&lt;=0,AKX61,AKX61-G62*MAX(0,BX62*AKX61-(IW62+MJ62)))),AKX61*(1-MAX(0,BX62)*H_Exit))</f>
        <v>0</v>
      </c>
      <c r="FL62" s="20" t="n">
        <f aca="false">IF(H_Direct=1,IF(AKY61&lt;=0,0,IF(BY62&lt;=0,AKY61,AKY61-G62*MAX(0,BY62*AKY61-(IX62+MK62)))),AKY61*(1-MAX(0,BY62)*H_Exit))</f>
        <v>0</v>
      </c>
      <c r="FM62" s="20" t="n">
        <f aca="false">IF(H_Direct=1,IF(AKZ61&lt;=0,0,IF(BZ62&lt;=0,AKZ61,AKZ61-G62*MAX(0,BZ62*AKZ61-(IY62+ML62)))),AKZ61*(1-MAX(0,BZ62)*H_Exit))</f>
        <v>0</v>
      </c>
      <c r="FN62" s="20" t="n">
        <f aca="false">IF(H_Direct=1,IF(ALA61&lt;=0,0,IF(CA62&lt;=0,ALA61,ALA61-G62*MAX(0,CA62*ALA61-(IZ62+MM62)))),ALA61*(1-MAX(0,CA62)*H_Exit))</f>
        <v>0</v>
      </c>
      <c r="FO62" s="20" t="n">
        <f aca="false">IF(H_Direct=1,IF(ALB61&lt;=0,0,IF(CB62&lt;=0,ALB61,ALB61-G62*MAX(0,CB62*ALB61-(JA62+MN62)))),ALB61*(1-MAX(0,CB62)*H_Exit))</f>
        <v>0</v>
      </c>
      <c r="FP62" s="20" t="n">
        <f aca="false">IF(H_Direct=1,IF(ALC61&lt;=0,0,IF(CC62&lt;=0,ALC61,ALC61-G62*MAX(0,CC62*ALC61-(JB62+MO62)))),ALC61*(1-MAX(0,CC62)*H_Exit))</f>
        <v>0</v>
      </c>
      <c r="FQ62" s="20" t="n">
        <f aca="false">IF(H_Direct=1,IF(ALD61&lt;=0,0,IF(CD62&lt;=0,ALD61,ALD61-G62*MAX(0,CD62*ALD61-(JC62+MP62)))),ALD61*(1-MAX(0,CD62)*H_Exit))</f>
        <v>0</v>
      </c>
      <c r="FR62" s="20" t="n">
        <f aca="false">IF(H_Direct=1,IF(ALE61&lt;=0,0,IF(CE62&lt;=0,ALE61,ALE61-G62*MAX(0,CE62*ALE61-(JD62+MQ62)))),ALE61*(1-MAX(0,CE62)*H_Exit))</f>
        <v>0</v>
      </c>
      <c r="FS62" s="20" t="n">
        <f aca="false">IF(H_Direct=1,IF(ALF61&lt;=0,0,IF(CF62&lt;=0,ALF61,ALF61-G62*MAX(0,CF62*ALF61-(JE62+MR62)))),ALF61*(1-MAX(0,CF62)*H_Exit))</f>
        <v>0</v>
      </c>
      <c r="FT62" s="20" t="n">
        <f aca="false">IF(H_Direct=1,IF(ALG61&lt;=0,0,IF(CG62&lt;=0,ALG61,ALG61-G62*MAX(0,CG62*ALG61-(JF62+MS62)))),ALG61*(1-MAX(0,CG62)*H_Exit))</f>
        <v>0</v>
      </c>
      <c r="FU62" s="20" t="n">
        <f aca="false">IF(H_Direct=1,IF(ALH61&lt;=0,0,IF(CH62&lt;=0,ALH61,ALH61-G62*MAX(0,CH62*ALH61-(JG62+MT62)))),ALH61*(1-MAX(0,CH62)*H_Exit))</f>
        <v>0</v>
      </c>
      <c r="FV62" s="20" t="n">
        <f aca="false">IF(H_Direct=1,IF(ALI61&lt;=0,0,IF(CI62&lt;=0,ALI61,ALI61-G62*MAX(0,CI62*ALI61-(JH62+MU62)))),ALI61*(1-MAX(0,CI62)*H_Exit))</f>
        <v>0</v>
      </c>
      <c r="FW62" s="20" t="n">
        <f aca="false">IF(H_Direct=1,IF(ALJ61&lt;=0,0,IF(CJ62&lt;=0,ALJ61,ALJ61-G62*MAX(0,CJ62*ALJ61-(JI62+MV62)))),ALJ61*(1-MAX(0,CJ62)*H_Exit))</f>
        <v>0</v>
      </c>
      <c r="FX62" s="20" t="n">
        <f aca="false">IF(H_Direct=1,IF(ALK61&lt;=0,0,IF(CK62&lt;=0,ALK61,ALK61-G62*MAX(0,CK62*ALK61-(JJ62+MW62)))),ALK61*(1-MAX(0,CK62)*H_Exit))</f>
        <v>0</v>
      </c>
      <c r="FY62" s="20" t="n">
        <f aca="false">IF(H_Direct=1,IF(ALL61&lt;=0,0,IF(CL62&lt;=0,ALL61,ALL61-G62*MAX(0,CL62*ALL61-(JK62+MX62)))),ALL61*(1-MAX(0,CL62)*H_Exit))</f>
        <v>0</v>
      </c>
      <c r="FZ62" s="20" t="n">
        <f aca="false">IF(H_Direct=1,IF(ALM61&lt;=0,0,IF(CM62&lt;=0,ALM61,ALM61-G62*MAX(0,CM62*ALM61-(JL62+MY62)))),ALM61*(1-MAX(0,CM62)*H_Exit))</f>
        <v>0</v>
      </c>
      <c r="GA62" s="20" t="n">
        <f aca="false">IF(H_Direct=1,IF(ALN61&lt;=0,0,IF(CN62&lt;=0,ALN61,ALN61-G62*MAX(0,CN62*ALN61-(JM62+MZ62)))),ALN61*(1-MAX(0,CN62)*H_Exit))</f>
        <v>0</v>
      </c>
      <c r="GB62" s="20" t="n">
        <f aca="false">IF(H_Direct=1,IF(ALO61&lt;=0,0,IF(CO62&lt;=0,ALO61,ALO61-G62*MAX(0,CO62*ALO61-(JN62+NA62)))),ALO61*(1-MAX(0,CO62)*H_Exit))</f>
        <v>0</v>
      </c>
      <c r="GC62" s="20" t="n">
        <f aca="false">IF(H_Direct=1,IF(ALP61&lt;=0,0,IF(CP62&lt;=0,ALP61,ALP61-G62*MAX(0,CP62*ALP61-(JO62+NB62)))),ALP61*(1-MAX(0,CP62)*H_Exit))</f>
        <v>0</v>
      </c>
      <c r="GD62" s="20" t="n">
        <f aca="false">IF(H_Direct=1,IF(ALQ61&lt;=0,0,IF(CQ62&lt;=0,ALQ61,ALQ61-G62*MAX(0,CQ62*ALQ61-(JP62+NC62)))),ALQ61*(1-MAX(0,CQ62)*H_Exit))</f>
        <v>0</v>
      </c>
      <c r="GE62" s="20" t="n">
        <f aca="false">IF(H_Direct=1,IF(ALR61&lt;=0,0,IF(CR62&lt;=0,ALR61,ALR61-G62*MAX(0,CR62*ALR61-(JQ62+ND62)))),ALR61*(1-MAX(0,CR62)*H_Exit))</f>
        <v>0</v>
      </c>
      <c r="GF62" s="20" t="n">
        <f aca="false">IF(H_Direct=1,IF(ALS61&lt;=0,0,IF(CS62&lt;=0,ALS61,ALS61-G62*MAX(0,CS62*ALS61-(JR62+NE62)))),ALS61*(1-MAX(0,CS62)*H_Exit))</f>
        <v>0</v>
      </c>
      <c r="GG62" s="20" t="n">
        <f aca="false">IF(H_Direct=1,IF(ALT61&lt;=0,0,IF(CT62&lt;=0,ALT61,ALT61-G62*MAX(0,CT62*ALT61-(JS62+NF62)))),ALT61*(1-MAX(0,CT62)*H_Exit))</f>
        <v>0</v>
      </c>
      <c r="GH62" s="20" t="n">
        <f aca="false">IF(H_Direct=1,IF(ALU61&lt;=0,0,IF(CU62&lt;=0,ALU61,ALU61-G62*MAX(0,CU62*ALU61-(JT62+NG62)))),ALU61*(1-MAX(0,CU62)*H_Exit))</f>
        <v>0</v>
      </c>
      <c r="GI62" s="20" t="n">
        <f aca="false">IF(H_Direct=1,IF(ALV61&lt;=0,0,IF(CV62&lt;=0,ALV61,ALV61-G62*MAX(0,CV62*ALV61-(JU62+NH62)))),ALV61*(1-MAX(0,CV62)*H_Exit))</f>
        <v>0</v>
      </c>
      <c r="GJ62" s="20" t="n">
        <f aca="false">IF(H_Direct=1,IF(ALW61&lt;=0,0,IF(CW62&lt;=0,ALW61,ALW61-G62*MAX(0,CW62*ALW61-(JV62+NI62)))),ALW61*(1-MAX(0,CW62)*H_Exit))</f>
        <v>0</v>
      </c>
      <c r="GK62" s="20" t="n">
        <f aca="false">IF(H_Direct=1,IF(ALX61&lt;=0,0,IF(CX62&lt;=0,ALX61,ALX61-G62*MAX(0,CX62*ALX61-(JW62+NJ62)))),ALX61*(1-MAX(0,CX62)*H_Exit))</f>
        <v>0</v>
      </c>
      <c r="GL62" s="20" t="n">
        <f aca="false">IF(H_Direct=1,IF(ALY61&lt;=0,0,IF(CY62&lt;=0,ALY61,ALY61-G62*MAX(0,CY62*ALY61-(JX62+NK62)))),ALY61*(1-MAX(0,CY62)*H_Exit))</f>
        <v>0</v>
      </c>
      <c r="GM62" s="20" t="n">
        <f aca="false">IF(H_Direct=1,IF(ALZ61&lt;=0,0,IF(CZ62&lt;=0,ALZ61,ALZ61-G62*MAX(0,CZ62*ALZ61-(JY62+NL62)))),ALZ61*(1-MAX(0,CZ62)*H_Exit))</f>
        <v>0</v>
      </c>
      <c r="GN62" s="20" t="n">
        <f aca="false">IF(H_Direct=1,IF(AMA61&lt;=0,0,IF(DA62&lt;=0,AMA61,AMA61-G62*MAX(0,DA62*AMA61-(JZ62+NM62)))),AMA61*(1-MAX(0,DA62)*H_Exit))</f>
        <v>0</v>
      </c>
      <c r="GO62" s="20" t="n">
        <f aca="false">IF(H_Direct=1,IF(AMB61&lt;=0,0,IF(DB62&lt;=0,AMB61,AMB61-G62*MAX(0,DB62*AMB61-(KA62+NN62)))),AMB61*(1-MAX(0,DB62)*H_Exit))</f>
        <v>0</v>
      </c>
      <c r="GP62" s="20" t="n">
        <f aca="false">IF(H_Direct=1,IF(AMC61&lt;=0,0,IF(DC62&lt;=0,AMC61,AMC61-G62*MAX(0,DC62*AMC61-(KB62+NO62)))),AMC61*(1-MAX(0,DC62)*H_Exit))</f>
        <v>0</v>
      </c>
      <c r="GQ62" s="20" t="n">
        <f aca="false">IF(H_Direct=1,IF(AMD61&lt;=0,0,IF(DD62&lt;=0,AMD61,AMD61-G62*MAX(0,DD62*AMD61-(KC62+NP62)))),AMD61*(1-MAX(0,DD62)*H_Exit))</f>
        <v>0</v>
      </c>
      <c r="GR62" s="20" t="n">
        <f aca="false">IF(H_Direct=1,IF(AME61&lt;=0,0,IF(DE62&lt;=0,AME61,AME61-G62*MAX(0,DE62*AME61-(KD62+NQ62)))),AME61*(1-MAX(0,DE62)*H_Exit))</f>
        <v>0</v>
      </c>
      <c r="GS62" s="20" t="n">
        <f aca="false">IF(H_Direct=1,IF(AMF61&lt;=0,0,IF(DF62&lt;=0,AMF61,AMF61-G62*MAX(0,DF62*AMF61-(KE62+NR62)))),AMF61*(1-MAX(0,DF62)*H_Exit))</f>
        <v>0</v>
      </c>
      <c r="GT62" s="20" t="n">
        <f aca="false">IF(H_Direct=1,IF(AMG61&lt;=0,0,IF(DG62&lt;=0,AMG61,AMG61-G62*MAX(0,DG62*AMG61-(KF62+NS62)))),AMG61*(1-MAX(0,DG62)*H_Exit))</f>
        <v>0</v>
      </c>
      <c r="GU62" s="20" t="n">
        <f aca="false">IF(H_Direct=1,IF(AMH61&lt;=0,0,IF(DH62&lt;=0,AMH61,AMH61-G62*MAX(0,DH62*AMH61-(KG62+NT62)))),AMH61*(1-MAX(0,DH62)*H_Exit))</f>
        <v>0</v>
      </c>
      <c r="GV62" s="20" t="n">
        <f aca="false">IF(H_Direct=1,IF(AMI61&lt;=0,0,IF(DI62&lt;=0,AMI61,AMI61-G62*MAX(0,DI62*AMI61-(KH62+NU62)))),AMI61*(1-MAX(0,DI62)*H_Exit))</f>
        <v>0</v>
      </c>
      <c r="GW62" s="20" t="n">
        <f aca="false">IF(H_Direct=1,IF(AMJ61&lt;=0,0,IF(DJ62&lt;=0,AMJ61,AMJ61-G62*MAX(0,DJ62*AMJ61-(KI62+NV62)))),AMJ61*(1-MAX(0,DJ62)*H_Exit))</f>
        <v>0</v>
      </c>
      <c r="GX62" s="20" t="n">
        <f aca="false">IF(H_Direct=1,IF(AMK61&lt;=0,0,IF(DK62&lt;=0,AMK61,AMK61-G62*MAX(0,DK62*AMK61-(KJ62+NW62)))),AMK61*(1-MAX(0,DK62)*H_Exit))</f>
        <v>0</v>
      </c>
      <c r="GY62" s="20" t="n">
        <f aca="false">IF(H_Direct=1,IF(AML61&lt;=0,0,IF(DL62&lt;=0,AML61,AML61-G62*MAX(0,DL62*AML61-(KK62+NX62)))),AML61*(1-MAX(0,DL62)*H_Exit))</f>
        <v>0</v>
      </c>
      <c r="GZ62" s="20" t="n">
        <f aca="false">IF(H_Direct=1,IF(AMM61&lt;=0,0,IF(DM62&lt;=0,AMM61,AMM61-G62*MAX(0,DM62*AMM61-(KL62+NY62)))),AMM61*(1-MAX(0,DM62)*H_Exit))</f>
        <v>0</v>
      </c>
      <c r="HA62" s="20" t="n">
        <f aca="false">IF(H_Direct=1,IF(AMN61&lt;=0,0,IF(DN62&lt;=0,AMN61,AMN61-G62*MAX(0,DN62*AMN61-(KM62+NZ62)))),AMN61*(1-MAX(0,DN62)*H_Exit))</f>
        <v>0</v>
      </c>
      <c r="HB62" s="20" t="n">
        <f aca="false">IF(H_Direct=1,IF(AMO61&lt;=0,0,IF(DO62&lt;=0,AMO61,AMO61-G62*MAX(0,DO62*AMO61-(KN62+OA62)))),AMO61*(1-MAX(0,DO62)*H_Exit))</f>
        <v>0</v>
      </c>
      <c r="HC62" s="20" t="n">
        <f aca="false">IF(H_Direct=1,IF(AMP61&lt;=0,0,IF(DP62&lt;=0,AMP61,AMP61-G62*MAX(0,DP62*AMP61-(KO62+OB62)))),AMP61*(1-MAX(0,DP62)*H_Exit))</f>
        <v>0</v>
      </c>
      <c r="HD62" s="20" t="n">
        <f aca="false">IF(H_Direct=1,IF(AMQ61&lt;=0,0,IF(DQ62&lt;=0,AMQ61,AMQ61-G62*MAX(0,DQ62*AMQ61-(KP62+OC62)))),AMQ61*(1-MAX(0,DQ62)*H_Exit))</f>
        <v>0</v>
      </c>
      <c r="HE62" s="20" t="n">
        <f aca="false">IF(H_Direct=1,IF(AMR61&lt;=0,0,IF(DR62&lt;=0,AMR61,AMR61-G62*MAX(0,DR62*AMR61-(KQ62+OD62)))),AMR61*(1-MAX(0,DR62)*H_Exit))</f>
        <v>0</v>
      </c>
      <c r="HF62" s="20" t="n">
        <f aca="false">IF(H_Direct=1,IF(AMS61&lt;=0,0,IF(DS62&lt;=0,AMS61,AMS61-G62*MAX(0,DS62*AMS61-(KR62+OE62)))),AMS61*(1-MAX(0,DS62)*H_Exit))</f>
        <v>0</v>
      </c>
      <c r="HG62" s="20" t="n">
        <f aca="false">IF(H_Direct=1,IF(AMT61&lt;=0,0,IF(DT62&lt;=0,AMT61,AMT61-G62*MAX(0,DT62*AMT61-(KS62+OF62)))),AMT61*(1-MAX(0,DT62)*H_Exit))</f>
        <v>0</v>
      </c>
      <c r="HH62" s="20" t="n">
        <f aca="false">IF(H_Direct=1,IF((P62+S62)&lt;=0,0,IF(DU62&lt;=0,(P62+S62),(P62+S62)-G62*MAX(0,DU62*(P62+S62)-(KT62+OG62)))),(P62+S62)*(1-MAX(0,DU62)*H_Exit))</f>
        <v>0</v>
      </c>
      <c r="HI62" s="20" t="n">
        <v>0</v>
      </c>
      <c r="HJ62" s="20" t="n">
        <v>0</v>
      </c>
      <c r="HK62" s="20" t="n">
        <v>0</v>
      </c>
      <c r="HL62" s="20" t="n">
        <v>0</v>
      </c>
      <c r="HM62" s="20" t="n">
        <v>0</v>
      </c>
      <c r="HN62" s="20" t="n">
        <v>0</v>
      </c>
      <c r="HO62" s="20" t="n">
        <v>0</v>
      </c>
      <c r="HP62" s="20" t="n">
        <v>0</v>
      </c>
      <c r="HQ62" s="20" t="n">
        <v>0</v>
      </c>
      <c r="HR62" s="20" t="n">
        <v>0</v>
      </c>
      <c r="HS62" s="20" t="n">
        <v>0</v>
      </c>
      <c r="HT62" s="20" t="n">
        <v>0</v>
      </c>
      <c r="HU62" s="20" t="n">
        <v>0</v>
      </c>
      <c r="HV62" s="20" t="n">
        <v>0</v>
      </c>
      <c r="HW62" s="20" t="n">
        <v>0</v>
      </c>
      <c r="HX62" s="20" t="n">
        <v>0</v>
      </c>
      <c r="HY62" s="20" t="n">
        <v>0</v>
      </c>
      <c r="HZ62" s="20" t="n">
        <v>0</v>
      </c>
      <c r="IA62" s="20" t="n">
        <v>0</v>
      </c>
      <c r="IB62" s="20" t="n">
        <v>0</v>
      </c>
      <c r="IC62" s="20" t="n">
        <v>0</v>
      </c>
      <c r="ID62" s="20" t="n">
        <v>0</v>
      </c>
      <c r="IE62" s="20" t="n">
        <v>0</v>
      </c>
      <c r="IF62" s="20" t="n">
        <v>0</v>
      </c>
      <c r="IG62" s="20" t="n">
        <v>0</v>
      </c>
      <c r="IH62" s="20" t="n">
        <v>0</v>
      </c>
      <c r="II62" s="20" t="n">
        <v>0</v>
      </c>
      <c r="IJ62" s="20" t="n">
        <v>0</v>
      </c>
      <c r="IK62" s="20" t="n">
        <v>0</v>
      </c>
      <c r="IL62" s="20" t="n">
        <v>0</v>
      </c>
      <c r="IM62" s="20" t="n">
        <v>0</v>
      </c>
      <c r="IN62" s="20" t="n">
        <v>0</v>
      </c>
      <c r="IO62" s="20" t="n">
        <v>0</v>
      </c>
      <c r="IP62" s="20" t="n">
        <v>0</v>
      </c>
      <c r="IQ62" s="20" t="n">
        <v>0</v>
      </c>
      <c r="IR62" s="20" t="n">
        <f aca="false">IF(AND(H_Direct=1,BR62&gt;0),MAX(0,H62-(MIN(BR62*AKR61,H62+I62)-MIN(MIN(BR62*AKR61,H62+I62),I62))),H62)</f>
        <v>1270</v>
      </c>
      <c r="IS62" s="20" t="n">
        <f aca="false">IF(AND(H_Direct=1,BS62&gt;0),MAX(0,IR62-(MIN(BS62*AKS61,IR62+ME62)-MIN(MIN(BS62*AKS61,IR62+ME62),ME62))),IR62)</f>
        <v>1270</v>
      </c>
      <c r="IT62" s="20" t="n">
        <f aca="false">IF(AND(H_Direct=1,BT62&gt;0),MAX(0,IS62-(MIN(BT62*AKT61,IS62+MF62)-MIN(MIN(BT62*AKT61,IS62+MF62),MF62))),IS62)</f>
        <v>1270</v>
      </c>
      <c r="IU62" s="20" t="n">
        <f aca="false">IF(AND(H_Direct=1,BU62&gt;0),MAX(0,IT62-(MIN(BU62*AKU61,IT62+MG62)-MIN(MIN(BU62*AKU61,IT62+MG62),MG62))),IT62)</f>
        <v>1270</v>
      </c>
      <c r="IV62" s="20" t="n">
        <f aca="false">IF(AND(H_Direct=1,BV62&gt;0),MAX(0,IU62-(MIN(BV62*AKV61,IU62+MH62)-MIN(MIN(BV62*AKV61,IU62+MH62),MH62))),IU62)</f>
        <v>1270</v>
      </c>
      <c r="IW62" s="20" t="n">
        <f aca="false">IF(AND(H_Direct=1,BW62&gt;0),MAX(0,IV62-(MIN(BW62*AKW61,IV62+MI62)-MIN(MIN(BW62*AKW61,IV62+MI62),MI62))),IV62)</f>
        <v>1270</v>
      </c>
      <c r="IX62" s="20" t="n">
        <f aca="false">IF(AND(H_Direct=1,BX62&gt;0),MAX(0,IW62-(MIN(BX62*AKX61,IW62+MJ62)-MIN(MIN(BX62*AKX61,IW62+MJ62),MJ62))),IW62)</f>
        <v>1270</v>
      </c>
      <c r="IY62" s="20" t="n">
        <f aca="false">IF(AND(H_Direct=1,BY62&gt;0),MAX(0,IX62-(MIN(BY62*AKY61,IX62+MK62)-MIN(MIN(BY62*AKY61,IX62+MK62),MK62))),IX62)</f>
        <v>1270</v>
      </c>
      <c r="IZ62" s="20" t="n">
        <f aca="false">IF(AND(H_Direct=1,BZ62&gt;0),MAX(0,IY62-(MIN(BZ62*AKZ61,IY62+ML62)-MIN(MIN(BZ62*AKZ61,IY62+ML62),ML62))),IY62)</f>
        <v>1270</v>
      </c>
      <c r="JA62" s="20" t="n">
        <f aca="false">IF(AND(H_Direct=1,CA62&gt;0),MAX(0,IZ62-(MIN(CA62*ALA61,IZ62+MM62)-MIN(MIN(CA62*ALA61,IZ62+MM62),MM62))),IZ62)</f>
        <v>1270</v>
      </c>
      <c r="JB62" s="20" t="n">
        <f aca="false">IF(AND(H_Direct=1,CB62&gt;0),MAX(0,JA62-(MIN(CB62*ALB61,JA62+MN62)-MIN(MIN(CB62*ALB61,JA62+MN62),MN62))),JA62)</f>
        <v>1270</v>
      </c>
      <c r="JC62" s="20" t="n">
        <f aca="false">IF(AND(H_Direct=1,CC62&gt;0),MAX(0,JB62-(MIN(CC62*ALC61,JB62+MO62)-MIN(MIN(CC62*ALC61,JB62+MO62),MO62))),JB62)</f>
        <v>1270</v>
      </c>
      <c r="JD62" s="20" t="n">
        <f aca="false">IF(AND(H_Direct=1,CD62&gt;0),MAX(0,JC62-(MIN(CD62*ALD61,JC62+MP62)-MIN(MIN(CD62*ALD61,JC62+MP62),MP62))),JC62)</f>
        <v>1270</v>
      </c>
      <c r="JE62" s="20" t="n">
        <f aca="false">IF(AND(H_Direct=1,CE62&gt;0),MAX(0,JD62-(MIN(CE62*ALE61,JD62+MQ62)-MIN(MIN(CE62*ALE61,JD62+MQ62),MQ62))),JD62)</f>
        <v>1270</v>
      </c>
      <c r="JF62" s="20" t="n">
        <f aca="false">IF(AND(H_Direct=1,CF62&gt;0),MAX(0,JE62-(MIN(CF62*ALF61,JE62+MR62)-MIN(MIN(CF62*ALF61,JE62+MR62),MR62))),JE62)</f>
        <v>1270</v>
      </c>
      <c r="JG62" s="20" t="n">
        <f aca="false">IF(AND(H_Direct=1,CG62&gt;0),MAX(0,JF62-(MIN(CG62*ALG61,JF62+MS62)-MIN(MIN(CG62*ALG61,JF62+MS62),MS62))),JF62)</f>
        <v>1270</v>
      </c>
      <c r="JH62" s="20" t="n">
        <f aca="false">IF(AND(H_Direct=1,CH62&gt;0),MAX(0,JG62-(MIN(CH62*ALH61,JG62+MT62)-MIN(MIN(CH62*ALH61,JG62+MT62),MT62))),JG62)</f>
        <v>1270</v>
      </c>
      <c r="JI62" s="20" t="n">
        <f aca="false">IF(AND(H_Direct=1,CI62&gt;0),MAX(0,JH62-(MIN(CI62*ALI61,JH62+MU62)-MIN(MIN(CI62*ALI61,JH62+MU62),MU62))),JH62)</f>
        <v>1270</v>
      </c>
      <c r="JJ62" s="20" t="n">
        <f aca="false">IF(AND(H_Direct=1,CJ62&gt;0),MAX(0,JI62-(MIN(CJ62*ALJ61,JI62+MV62)-MIN(MIN(CJ62*ALJ61,JI62+MV62),MV62))),JI62)</f>
        <v>1270</v>
      </c>
      <c r="JK62" s="20" t="n">
        <f aca="false">IF(AND(H_Direct=1,CK62&gt;0),MAX(0,JJ62-(MIN(CK62*ALK61,JJ62+MW62)-MIN(MIN(CK62*ALK61,JJ62+MW62),MW62))),JJ62)</f>
        <v>1270</v>
      </c>
      <c r="JL62" s="20" t="n">
        <f aca="false">IF(AND(H_Direct=1,CL62&gt;0),MAX(0,JK62-(MIN(CL62*ALL61,JK62+MX62)-MIN(MIN(CL62*ALL61,JK62+MX62),MX62))),JK62)</f>
        <v>1270</v>
      </c>
      <c r="JM62" s="20" t="n">
        <f aca="false">IF(AND(H_Direct=1,CM62&gt;0),MAX(0,JL62-(MIN(CM62*ALM61,JL62+MY62)-MIN(MIN(CM62*ALM61,JL62+MY62),MY62))),JL62)</f>
        <v>1270</v>
      </c>
      <c r="JN62" s="20" t="n">
        <f aca="false">IF(AND(H_Direct=1,CN62&gt;0),MAX(0,JM62-(MIN(CN62*ALN61,JM62+MZ62)-MIN(MIN(CN62*ALN61,JM62+MZ62),MZ62))),JM62)</f>
        <v>1270</v>
      </c>
      <c r="JO62" s="20" t="n">
        <f aca="false">IF(AND(H_Direct=1,CO62&gt;0),MAX(0,JN62-(MIN(CO62*ALO61,JN62+NA62)-MIN(MIN(CO62*ALO61,JN62+NA62),NA62))),JN62)</f>
        <v>1270</v>
      </c>
      <c r="JP62" s="20" t="n">
        <f aca="false">IF(AND(H_Direct=1,CP62&gt;0),MAX(0,JO62-(MIN(CP62*ALP61,JO62+NB62)-MIN(MIN(CP62*ALP61,JO62+NB62),NB62))),JO62)</f>
        <v>1270</v>
      </c>
      <c r="JQ62" s="20" t="n">
        <f aca="false">IF(AND(H_Direct=1,CQ62&gt;0),MAX(0,JP62-(MIN(CQ62*ALQ61,JP62+NC62)-MIN(MIN(CQ62*ALQ61,JP62+NC62),NC62))),JP62)</f>
        <v>1270</v>
      </c>
      <c r="JR62" s="20" t="n">
        <f aca="false">IF(AND(H_Direct=1,CR62&gt;0),MAX(0,JQ62-(MIN(CR62*ALR61,JQ62+ND62)-MIN(MIN(CR62*ALR61,JQ62+ND62),ND62))),JQ62)</f>
        <v>1270</v>
      </c>
      <c r="JS62" s="20" t="n">
        <f aca="false">IF(AND(H_Direct=1,CS62&gt;0),MAX(0,JR62-(MIN(CS62*ALS61,JR62+NE62)-MIN(MIN(CS62*ALS61,JR62+NE62),NE62))),JR62)</f>
        <v>1270</v>
      </c>
      <c r="JT62" s="20" t="n">
        <f aca="false">IF(AND(H_Direct=1,CT62&gt;0),MAX(0,JS62-(MIN(CT62*ALT61,JS62+NF62)-MIN(MIN(CT62*ALT61,JS62+NF62),NF62))),JS62)</f>
        <v>1270</v>
      </c>
      <c r="JU62" s="20" t="n">
        <f aca="false">IF(AND(H_Direct=1,CU62&gt;0),MAX(0,JT62-(MIN(CU62*ALU61,JT62+NG62)-MIN(MIN(CU62*ALU61,JT62+NG62),NG62))),JT62)</f>
        <v>1270</v>
      </c>
      <c r="JV62" s="20" t="n">
        <f aca="false">IF(AND(H_Direct=1,CV62&gt;0),MAX(0,JU62-(MIN(CV62*ALV61,JU62+NH62)-MIN(MIN(CV62*ALV61,JU62+NH62),NH62))),JU62)</f>
        <v>1270</v>
      </c>
      <c r="JW62" s="20" t="n">
        <f aca="false">IF(AND(H_Direct=1,CW62&gt;0),MAX(0,JV62-(MIN(CW62*ALW61,JV62+NI62)-MIN(MIN(CW62*ALW61,JV62+NI62),NI62))),JV62)</f>
        <v>1270</v>
      </c>
      <c r="JX62" s="20" t="n">
        <f aca="false">IF(AND(H_Direct=1,CX62&gt;0),MAX(0,JW62-(MIN(CX62*ALX61,JW62+NJ62)-MIN(MIN(CX62*ALX61,JW62+NJ62),NJ62))),JW62)</f>
        <v>1270</v>
      </c>
      <c r="JY62" s="20" t="n">
        <f aca="false">IF(AND(H_Direct=1,CY62&gt;0),MAX(0,JX62-(MIN(CY62*ALY61,JX62+NK62)-MIN(MIN(CY62*ALY61,JX62+NK62),NK62))),JX62)</f>
        <v>1270</v>
      </c>
      <c r="JZ62" s="20" t="n">
        <f aca="false">IF(AND(H_Direct=1,CZ62&gt;0),MAX(0,JY62-(MIN(CZ62*ALZ61,JY62+NL62)-MIN(MIN(CZ62*ALZ61,JY62+NL62),NL62))),JY62)</f>
        <v>1270</v>
      </c>
      <c r="KA62" s="20" t="n">
        <f aca="false">IF(AND(H_Direct=1,DA62&gt;0),MAX(0,JZ62-(MIN(DA62*AMA61,JZ62+NM62)-MIN(MIN(DA62*AMA61,JZ62+NM62),NM62))),JZ62)</f>
        <v>1270</v>
      </c>
      <c r="KB62" s="20" t="n">
        <f aca="false">IF(AND(H_Direct=1,DB62&gt;0),MAX(0,KA62-(MIN(DB62*AMB61,KA62+NN62)-MIN(MIN(DB62*AMB61,KA62+NN62),NN62))),KA62)</f>
        <v>1270</v>
      </c>
      <c r="KC62" s="20" t="n">
        <f aca="false">IF(AND(H_Direct=1,DC62&gt;0),MAX(0,KB62-(MIN(DC62*AMC61,KB62+NO62)-MIN(MIN(DC62*AMC61,KB62+NO62),NO62))),KB62)</f>
        <v>1270</v>
      </c>
      <c r="KD62" s="20" t="n">
        <f aca="false">IF(AND(H_Direct=1,DD62&gt;0),MAX(0,KC62-(MIN(DD62*AMD61,KC62+NP62)-MIN(MIN(DD62*AMD61,KC62+NP62),NP62))),KC62)</f>
        <v>1270</v>
      </c>
      <c r="KE62" s="20" t="n">
        <f aca="false">IF(AND(H_Direct=1,DE62&gt;0),MAX(0,KD62-(MIN(DE62*AME61,KD62+NQ62)-MIN(MIN(DE62*AME61,KD62+NQ62),NQ62))),KD62)</f>
        <v>1270</v>
      </c>
      <c r="KF62" s="20" t="n">
        <f aca="false">IF(AND(H_Direct=1,DF62&gt;0),MAX(0,KE62-(MIN(DF62*AMF61,KE62+NR62)-MIN(MIN(DF62*AMF61,KE62+NR62),NR62))),KE62)</f>
        <v>1270</v>
      </c>
      <c r="KG62" s="20" t="n">
        <f aca="false">IF(AND(H_Direct=1,DG62&gt;0),MAX(0,KF62-(MIN(DG62*AMG61,KF62+NS62)-MIN(MIN(DG62*AMG61,KF62+NS62),NS62))),KF62)</f>
        <v>1270</v>
      </c>
      <c r="KH62" s="20" t="n">
        <f aca="false">IF(AND(H_Direct=1,DH62&gt;0),MAX(0,KG62-(MIN(DH62*AMH61,KG62+NT62)-MIN(MIN(DH62*AMH61,KG62+NT62),NT62))),KG62)</f>
        <v>1270</v>
      </c>
      <c r="KI62" s="20" t="n">
        <f aca="false">IF(AND(H_Direct=1,DI62&gt;0),MAX(0,KH62-(MIN(DI62*AMI61,KH62+NU62)-MIN(MIN(DI62*AMI61,KH62+NU62),NU62))),KH62)</f>
        <v>1270</v>
      </c>
      <c r="KJ62" s="20" t="n">
        <f aca="false">IF(AND(H_Direct=1,DJ62&gt;0),MAX(0,KI62-(MIN(DJ62*AMJ61,KI62+NV62)-MIN(MIN(DJ62*AMJ61,KI62+NV62),NV62))),KI62)</f>
        <v>1270</v>
      </c>
      <c r="KK62" s="20" t="n">
        <f aca="false">IF(AND(H_Direct=1,DK62&gt;0),MAX(0,KJ62-(MIN(DK62*AMK61,KJ62+NW62)-MIN(MIN(DK62*AMK61,KJ62+NW62),NW62))),KJ62)</f>
        <v>1270</v>
      </c>
      <c r="KL62" s="20" t="n">
        <f aca="false">IF(AND(H_Direct=1,DL62&gt;0),MAX(0,KK62-(MIN(DL62*AML61,KK62+NX62)-MIN(MIN(DL62*AML61,KK62+NX62),NX62))),KK62)</f>
        <v>1270</v>
      </c>
      <c r="KM62" s="20" t="n">
        <f aca="false">IF(AND(H_Direct=1,DM62&gt;0),MAX(0,KL62-(MIN(DM62*AMM61,KL62+NY62)-MIN(MIN(DM62*AMM61,KL62+NY62),NY62))),KL62)</f>
        <v>1270</v>
      </c>
      <c r="KN62" s="20" t="n">
        <f aca="false">IF(AND(H_Direct=1,DN62&gt;0),MAX(0,KM62-(MIN(DN62*AMN61,KM62+NZ62)-MIN(MIN(DN62*AMN61,KM62+NZ62),NZ62))),KM62)</f>
        <v>1270</v>
      </c>
      <c r="KO62" s="20" t="n">
        <f aca="false">IF(AND(H_Direct=1,DO62&gt;0),MAX(0,KN62-(MIN(DO62*AMO61,KN62+OA62)-MIN(MIN(DO62*AMO61,KN62+OA62),OA62))),KN62)</f>
        <v>1270</v>
      </c>
      <c r="KP62" s="20" t="n">
        <f aca="false">IF(AND(H_Direct=1,DP62&gt;0),MAX(0,KO62-(MIN(DP62*AMP61,KO62+OB62)-MIN(MIN(DP62*AMP61,KO62+OB62),OB62))),KO62)</f>
        <v>1270</v>
      </c>
      <c r="KQ62" s="20" t="n">
        <f aca="false">IF(AND(H_Direct=1,DQ62&gt;0),MAX(0,KP62-(MIN(DQ62*AMQ61,KP62+OC62)-MIN(MIN(DQ62*AMQ61,KP62+OC62),OC62))),KP62)</f>
        <v>1270</v>
      </c>
      <c r="KR62" s="20" t="n">
        <f aca="false">IF(AND(H_Direct=1,DR62&gt;0),MAX(0,KQ62-(MIN(DR62*AMR61,KQ62+OD62)-MIN(MIN(DR62*AMR61,KQ62+OD62),OD62))),KQ62)</f>
        <v>1270</v>
      </c>
      <c r="KS62" s="20" t="n">
        <f aca="false">IF(AND(H_Direct=1,DS62&gt;0),MAX(0,KR62-(MIN(DS62*AMS61,KR62+OE62)-MIN(MIN(DS62*AMS61,KR62+OE62),OE62))),KR62)</f>
        <v>1270</v>
      </c>
      <c r="KT62" s="20" t="n">
        <f aca="false">IF(AND(H_Direct=1,DT62&gt;0),MAX(0,KS62-(MIN(DT62*AMT61,KS62+OF62)-MIN(MIN(DT62*AMT61,KS62+OF62),OF62))),KS62)</f>
        <v>1270</v>
      </c>
      <c r="KU62" s="20" t="n">
        <f aca="false">IF(AND(H_Direct=1,DU62&gt;0),MAX(0,KT62-(MIN(DU62*(P62+S62),KT62+OG62)-MIN(MIN(DU62*(P62+S62),KT62+OG62),OG62))),KT62)</f>
        <v>1270</v>
      </c>
      <c r="KV62" s="20" t="n">
        <f aca="false">KU62</f>
        <v>1270</v>
      </c>
      <c r="KW62" s="20" t="n">
        <f aca="false">KV62</f>
        <v>1270</v>
      </c>
      <c r="KX62" s="20" t="n">
        <f aca="false">KW62</f>
        <v>1270</v>
      </c>
      <c r="KY62" s="20" t="n">
        <f aca="false">KX62</f>
        <v>1270</v>
      </c>
      <c r="KZ62" s="20" t="n">
        <f aca="false">KY62</f>
        <v>1270</v>
      </c>
      <c r="LA62" s="20" t="n">
        <f aca="false">KZ62</f>
        <v>1270</v>
      </c>
      <c r="LB62" s="20" t="n">
        <f aca="false">LA62</f>
        <v>1270</v>
      </c>
      <c r="LC62" s="20" t="n">
        <f aca="false">LB62</f>
        <v>1270</v>
      </c>
      <c r="LD62" s="20" t="n">
        <f aca="false">LC62</f>
        <v>1270</v>
      </c>
      <c r="LE62" s="20" t="n">
        <f aca="false">LD62</f>
        <v>1270</v>
      </c>
      <c r="LF62" s="20" t="n">
        <f aca="false">LE62</f>
        <v>1270</v>
      </c>
      <c r="LG62" s="20" t="n">
        <f aca="false">LF62</f>
        <v>1270</v>
      </c>
      <c r="LH62" s="20" t="n">
        <f aca="false">LG62</f>
        <v>1270</v>
      </c>
      <c r="LI62" s="20" t="n">
        <f aca="false">LH62</f>
        <v>1270</v>
      </c>
      <c r="LJ62" s="20" t="n">
        <f aca="false">LI62</f>
        <v>1270</v>
      </c>
      <c r="LK62" s="20" t="n">
        <f aca="false">LJ62</f>
        <v>1270</v>
      </c>
      <c r="LL62" s="20" t="n">
        <f aca="false">LK62</f>
        <v>1270</v>
      </c>
      <c r="LM62" s="20" t="n">
        <f aca="false">LL62</f>
        <v>1270</v>
      </c>
      <c r="LN62" s="20" t="n">
        <f aca="false">LM62</f>
        <v>1270</v>
      </c>
      <c r="LO62" s="20" t="n">
        <f aca="false">LN62</f>
        <v>1270</v>
      </c>
      <c r="LP62" s="20" t="n">
        <f aca="false">LO62</f>
        <v>1270</v>
      </c>
      <c r="LQ62" s="20" t="n">
        <f aca="false">LP62</f>
        <v>1270</v>
      </c>
      <c r="LR62" s="20" t="n">
        <f aca="false">LQ62</f>
        <v>1270</v>
      </c>
      <c r="LS62" s="20" t="n">
        <f aca="false">LR62</f>
        <v>1270</v>
      </c>
      <c r="LT62" s="20" t="n">
        <f aca="false">LS62</f>
        <v>1270</v>
      </c>
      <c r="LU62" s="20" t="n">
        <f aca="false">LT62</f>
        <v>1270</v>
      </c>
      <c r="LV62" s="20" t="n">
        <f aca="false">LU62</f>
        <v>1270</v>
      </c>
      <c r="LW62" s="20" t="n">
        <f aca="false">LV62</f>
        <v>1270</v>
      </c>
      <c r="LX62" s="20" t="n">
        <f aca="false">LW62</f>
        <v>1270</v>
      </c>
      <c r="LY62" s="20" t="n">
        <f aca="false">LX62</f>
        <v>1270</v>
      </c>
      <c r="LZ62" s="20" t="n">
        <f aca="false">LY62</f>
        <v>1270</v>
      </c>
      <c r="MA62" s="20" t="n">
        <f aca="false">LZ62</f>
        <v>1270</v>
      </c>
      <c r="MB62" s="20" t="n">
        <f aca="false">MA62</f>
        <v>1270</v>
      </c>
      <c r="MC62" s="20" t="n">
        <f aca="false">MB62</f>
        <v>1270</v>
      </c>
      <c r="MD62" s="20" t="n">
        <f aca="false">MC62</f>
        <v>1270</v>
      </c>
      <c r="ME62" s="20" t="n">
        <f aca="false">IF(H_Direct=1,IF(BR62&lt;=0,I62-BR62*AKR61,I62-MIN(MIN(BR62*AKR61,H62+I62),I62)),I62)</f>
        <v>0</v>
      </c>
      <c r="MF62" s="20" t="n">
        <f aca="false">IF(H_Direct=1,IF(BS62&lt;=0,ME62-BS62*AKS61,ME62-MIN(MIN(BS62*AKS61,IR62+ME62),ME62)),ME62)</f>
        <v>0</v>
      </c>
      <c r="MG62" s="20" t="n">
        <f aca="false">IF(H_Direct=1,IF(BT62&lt;=0,MF62-BT62*AKT61,MF62-MIN(MIN(BT62*AKT61,IS62+MF62),MF62)),MF62)</f>
        <v>0</v>
      </c>
      <c r="MH62" s="20" t="n">
        <f aca="false">IF(H_Direct=1,IF(BU62&lt;=0,MG62-BU62*AKU61,MG62-MIN(MIN(BU62*AKU61,IT62+MG62),MG62)),MG62)</f>
        <v>0</v>
      </c>
      <c r="MI62" s="20" t="n">
        <f aca="false">IF(H_Direct=1,IF(BV62&lt;=0,MH62-BV62*AKV61,MH62-MIN(MIN(BV62*AKV61,IU62+MH62),MH62)),MH62)</f>
        <v>0</v>
      </c>
      <c r="MJ62" s="20" t="n">
        <f aca="false">IF(H_Direct=1,IF(BW62&lt;=0,MI62-BW62*AKW61,MI62-MIN(MIN(BW62*AKW61,IV62+MI62),MI62)),MI62)</f>
        <v>0</v>
      </c>
      <c r="MK62" s="20" t="n">
        <f aca="false">IF(H_Direct=1,IF(BX62&lt;=0,MJ62-BX62*AKX61,MJ62-MIN(MIN(BX62*AKX61,IW62+MJ62),MJ62)),MJ62)</f>
        <v>0</v>
      </c>
      <c r="ML62" s="20" t="n">
        <f aca="false">IF(H_Direct=1,IF(BY62&lt;=0,MK62-BY62*AKY61,MK62-MIN(MIN(BY62*AKY61,IX62+MK62),MK62)),MK62)</f>
        <v>0</v>
      </c>
      <c r="MM62" s="20" t="n">
        <f aca="false">IF(H_Direct=1,IF(BZ62&lt;=0,ML62-BZ62*AKZ61,ML62-MIN(MIN(BZ62*AKZ61,IY62+ML62),ML62)),ML62)</f>
        <v>0</v>
      </c>
      <c r="MN62" s="20" t="n">
        <f aca="false">IF(H_Direct=1,IF(CA62&lt;=0,MM62-CA62*ALA61,MM62-MIN(MIN(CA62*ALA61,IZ62+MM62),MM62)),MM62)</f>
        <v>0</v>
      </c>
      <c r="MO62" s="20" t="n">
        <f aca="false">IF(H_Direct=1,IF(CB62&lt;=0,MN62-CB62*ALB61,MN62-MIN(MIN(CB62*ALB61,JA62+MN62),MN62)),MN62)</f>
        <v>0</v>
      </c>
      <c r="MP62" s="20" t="n">
        <f aca="false">IF(H_Direct=1,IF(CC62&lt;=0,MO62-CC62*ALC61,MO62-MIN(MIN(CC62*ALC61,JB62+MO62),MO62)),MO62)</f>
        <v>0</v>
      </c>
      <c r="MQ62" s="20" t="n">
        <f aca="false">IF(H_Direct=1,IF(CD62&lt;=0,MP62-CD62*ALD61,MP62-MIN(MIN(CD62*ALD61,JC62+MP62),MP62)),MP62)</f>
        <v>0</v>
      </c>
      <c r="MR62" s="20" t="n">
        <f aca="false">IF(H_Direct=1,IF(CE62&lt;=0,MQ62-CE62*ALE61,MQ62-MIN(MIN(CE62*ALE61,JD62+MQ62),MQ62)),MQ62)</f>
        <v>0</v>
      </c>
      <c r="MS62" s="20" t="n">
        <f aca="false">IF(H_Direct=1,IF(CF62&lt;=0,MR62-CF62*ALF61,MR62-MIN(MIN(CF62*ALF61,JE62+MR62),MR62)),MR62)</f>
        <v>0</v>
      </c>
      <c r="MT62" s="20" t="n">
        <f aca="false">IF(H_Direct=1,IF(CG62&lt;=0,MS62-CG62*ALG61,MS62-MIN(MIN(CG62*ALG61,JF62+MS62),MS62)),MS62)</f>
        <v>0</v>
      </c>
      <c r="MU62" s="20" t="n">
        <f aca="false">IF(H_Direct=1,IF(CH62&lt;=0,MT62-CH62*ALH61,MT62-MIN(MIN(CH62*ALH61,JG62+MT62),MT62)),MT62)</f>
        <v>0</v>
      </c>
      <c r="MV62" s="20" t="n">
        <f aca="false">IF(H_Direct=1,IF(CI62&lt;=0,MU62-CI62*ALI61,MU62-MIN(MIN(CI62*ALI61,JH62+MU62),MU62)),MU62)</f>
        <v>0</v>
      </c>
      <c r="MW62" s="20" t="n">
        <f aca="false">IF(H_Direct=1,IF(CJ62&lt;=0,MV62-CJ62*ALJ61,MV62-MIN(MIN(CJ62*ALJ61,JI62+MV62),MV62)),MV62)</f>
        <v>0</v>
      </c>
      <c r="MX62" s="20" t="n">
        <f aca="false">IF(H_Direct=1,IF(CK62&lt;=0,MW62-CK62*ALK61,MW62-MIN(MIN(CK62*ALK61,JJ62+MW62),MW62)),MW62)</f>
        <v>0</v>
      </c>
      <c r="MY62" s="20" t="n">
        <f aca="false">IF(H_Direct=1,IF(CL62&lt;=0,MX62-CL62*ALL61,MX62-MIN(MIN(CL62*ALL61,JK62+MX62),MX62)),MX62)</f>
        <v>0</v>
      </c>
      <c r="MZ62" s="20" t="n">
        <f aca="false">IF(H_Direct=1,IF(CM62&lt;=0,MY62-CM62*ALM61,MY62-MIN(MIN(CM62*ALM61,JL62+MY62),MY62)),MY62)</f>
        <v>0</v>
      </c>
      <c r="NA62" s="20" t="n">
        <f aca="false">IF(H_Direct=1,IF(CN62&lt;=0,MZ62-CN62*ALN61,MZ62-MIN(MIN(CN62*ALN61,JM62+MZ62),MZ62)),MZ62)</f>
        <v>0</v>
      </c>
      <c r="NB62" s="20" t="n">
        <f aca="false">IF(H_Direct=1,IF(CO62&lt;=0,NA62-CO62*ALO61,NA62-MIN(MIN(CO62*ALO61,JN62+NA62),NA62)),NA62)</f>
        <v>0</v>
      </c>
      <c r="NC62" s="20" t="n">
        <f aca="false">IF(H_Direct=1,IF(CP62&lt;=0,NB62-CP62*ALP61,NB62-MIN(MIN(CP62*ALP61,JO62+NB62),NB62)),NB62)</f>
        <v>0</v>
      </c>
      <c r="ND62" s="20" t="n">
        <f aca="false">IF(H_Direct=1,IF(CQ62&lt;=0,NC62-CQ62*ALQ61,NC62-MIN(MIN(CQ62*ALQ61,JP62+NC62),NC62)),NC62)</f>
        <v>0</v>
      </c>
      <c r="NE62" s="20" t="n">
        <f aca="false">IF(H_Direct=1,IF(CR62&lt;=0,ND62-CR62*ALR61,ND62-MIN(MIN(CR62*ALR61,JQ62+ND62),ND62)),ND62)</f>
        <v>0</v>
      </c>
      <c r="NF62" s="20" t="n">
        <f aca="false">IF(H_Direct=1,IF(CS62&lt;=0,NE62-CS62*ALS61,NE62-MIN(MIN(CS62*ALS61,JR62+NE62),NE62)),NE62)</f>
        <v>0</v>
      </c>
      <c r="NG62" s="20" t="n">
        <f aca="false">IF(H_Direct=1,IF(CT62&lt;=0,NF62-CT62*ALT61,NF62-MIN(MIN(CT62*ALT61,JS62+NF62),NF62)),NF62)</f>
        <v>0</v>
      </c>
      <c r="NH62" s="20" t="n">
        <f aca="false">IF(H_Direct=1,IF(CU62&lt;=0,NG62-CU62*ALU61,NG62-MIN(MIN(CU62*ALU61,JT62+NG62),NG62)),NG62)</f>
        <v>0</v>
      </c>
      <c r="NI62" s="20" t="n">
        <f aca="false">IF(H_Direct=1,IF(CV62&lt;=0,NH62-CV62*ALV61,NH62-MIN(MIN(CV62*ALV61,JU62+NH62),NH62)),NH62)</f>
        <v>0</v>
      </c>
      <c r="NJ62" s="20" t="n">
        <f aca="false">IF(H_Direct=1,IF(CW62&lt;=0,NI62-CW62*ALW61,NI62-MIN(MIN(CW62*ALW61,JV62+NI62),NI62)),NI62)</f>
        <v>0</v>
      </c>
      <c r="NK62" s="20" t="n">
        <f aca="false">IF(H_Direct=1,IF(CX62&lt;=0,NJ62-CX62*ALX61,NJ62-MIN(MIN(CX62*ALX61,JW62+NJ62),NJ62)),NJ62)</f>
        <v>0</v>
      </c>
      <c r="NL62" s="20" t="n">
        <f aca="false">IF(H_Direct=1,IF(CY62&lt;=0,NK62-CY62*ALY61,NK62-MIN(MIN(CY62*ALY61,JX62+NK62),NK62)),NK62)</f>
        <v>0</v>
      </c>
      <c r="NM62" s="20" t="n">
        <f aca="false">IF(H_Direct=1,IF(CZ62&lt;=0,NL62-CZ62*ALZ61,NL62-MIN(MIN(CZ62*ALZ61,JY62+NL62),NL62)),NL62)</f>
        <v>0</v>
      </c>
      <c r="NN62" s="20" t="n">
        <f aca="false">IF(H_Direct=1,IF(DA62&lt;=0,NM62-DA62*AMA61,NM62-MIN(MIN(DA62*AMA61,JZ62+NM62),NM62)),NM62)</f>
        <v>0</v>
      </c>
      <c r="NO62" s="20" t="n">
        <f aca="false">IF(H_Direct=1,IF(DB62&lt;=0,NN62-DB62*AMB61,NN62-MIN(MIN(DB62*AMB61,KA62+NN62),NN62)),NN62)</f>
        <v>0</v>
      </c>
      <c r="NP62" s="20" t="n">
        <f aca="false">IF(H_Direct=1,IF(DC62&lt;=0,NO62-DC62*AMC61,NO62-MIN(MIN(DC62*AMC61,KB62+NO62),NO62)),NO62)</f>
        <v>0</v>
      </c>
      <c r="NQ62" s="20" t="n">
        <f aca="false">IF(H_Direct=1,IF(DD62&lt;=0,NP62-DD62*AMD61,NP62-MIN(MIN(DD62*AMD61,KC62+NP62),NP62)),NP62)</f>
        <v>0</v>
      </c>
      <c r="NR62" s="20" t="n">
        <f aca="false">IF(H_Direct=1,IF(DE62&lt;=0,NQ62-DE62*AME61,NQ62-MIN(MIN(DE62*AME61,KD62+NQ62),NQ62)),NQ62)</f>
        <v>0</v>
      </c>
      <c r="NS62" s="20" t="n">
        <f aca="false">IF(H_Direct=1,IF(DF62&lt;=0,NR62-DF62*AMF61,NR62-MIN(MIN(DF62*AMF61,KE62+NR62),NR62)),NR62)</f>
        <v>0</v>
      </c>
      <c r="NT62" s="20" t="n">
        <f aca="false">IF(H_Direct=1,IF(DG62&lt;=0,NS62-DG62*AMG61,NS62-MIN(MIN(DG62*AMG61,KF62+NS62),NS62)),NS62)</f>
        <v>0</v>
      </c>
      <c r="NU62" s="20" t="n">
        <f aca="false">IF(H_Direct=1,IF(DH62&lt;=0,NT62-DH62*AMH61,NT62-MIN(MIN(DH62*AMH61,KG62+NT62),NT62)),NT62)</f>
        <v>0</v>
      </c>
      <c r="NV62" s="20" t="n">
        <f aca="false">IF(H_Direct=1,IF(DI62&lt;=0,NU62-DI62*AMI61,NU62-MIN(MIN(DI62*AMI61,KH62+NU62),NU62)),NU62)</f>
        <v>0</v>
      </c>
      <c r="NW62" s="20" t="n">
        <f aca="false">IF(H_Direct=1,IF(DJ62&lt;=0,NV62-DJ62*AMJ61,NV62-MIN(MIN(DJ62*AMJ61,KI62+NV62),NV62)),NV62)</f>
        <v>0</v>
      </c>
      <c r="NX62" s="20" t="n">
        <f aca="false">IF(H_Direct=1,IF(DK62&lt;=0,NW62-DK62*AMK61,NW62-MIN(MIN(DK62*AMK61,KJ62+NW62),NW62)),NW62)</f>
        <v>0</v>
      </c>
      <c r="NY62" s="20" t="n">
        <f aca="false">IF(H_Direct=1,IF(DL62&lt;=0,NX62-DL62*AML61,NX62-MIN(MIN(DL62*AML61,KK62+NX62),NX62)),NX62)</f>
        <v>0</v>
      </c>
      <c r="NZ62" s="20" t="n">
        <f aca="false">IF(H_Direct=1,IF(DM62&lt;=0,NY62-DM62*AMM61,NY62-MIN(MIN(DM62*AMM61,KL62+NY62),NY62)),NY62)</f>
        <v>0</v>
      </c>
      <c r="OA62" s="20" t="n">
        <f aca="false">IF(H_Direct=1,IF(DN62&lt;=0,NZ62-DN62*AMN61,NZ62-MIN(MIN(DN62*AMN61,KM62+NZ62),NZ62)),NZ62)</f>
        <v>0</v>
      </c>
      <c r="OB62" s="20" t="n">
        <f aca="false">IF(H_Direct=1,IF(DO62&lt;=0,OA62-DO62*AMO61,OA62-MIN(MIN(DO62*AMO61,KN62+OA62),OA62)),OA62)</f>
        <v>0</v>
      </c>
      <c r="OC62" s="20" t="n">
        <f aca="false">IF(H_Direct=1,IF(DP62&lt;=0,OB62-DP62*AMP61,OB62-MIN(MIN(DP62*AMP61,KO62+OB62),OB62)),OB62)</f>
        <v>0</v>
      </c>
      <c r="OD62" s="20" t="n">
        <f aca="false">IF(H_Direct=1,IF(DQ62&lt;=0,OC62-DQ62*AMQ61,OC62-MIN(MIN(DQ62*AMQ61,KP62+OC62),OC62)),OC62)</f>
        <v>0</v>
      </c>
      <c r="OE62" s="20" t="n">
        <f aca="false">IF(H_Direct=1,IF(DR62&lt;=0,OD62-DR62*AMR61,OD62-MIN(MIN(DR62*AMR61,KQ62+OD62),OD62)),OD62)</f>
        <v>0</v>
      </c>
      <c r="OF62" s="20" t="n">
        <f aca="false">IF(H_Direct=1,IF(DS62&lt;=0,OE62-DS62*AMS61,OE62-MIN(MIN(DS62*AMS61,KR62+OE62),OE62)),OE62)</f>
        <v>0</v>
      </c>
      <c r="OG62" s="20" t="n">
        <f aca="false">IF(H_Direct=1,IF(DT62&lt;=0,OF62-DT62*AMT61,OF62-MIN(MIN(DT62*AMT61,KS62+OF62),OF62)),OF62)</f>
        <v>0</v>
      </c>
      <c r="OH62" s="20" t="n">
        <f aca="false">IF(H_Direct=1,IF(DU62&lt;=0,OG62-DU62*(P62+S62),OG62-MIN(MIN(DU62*(P62+S62),KT62+OG62),OG62)),OG62)</f>
        <v>0</v>
      </c>
      <c r="OI62" s="20" t="n">
        <f aca="false">OH62</f>
        <v>0</v>
      </c>
      <c r="OJ62" s="20" t="n">
        <f aca="false">OI62</f>
        <v>0</v>
      </c>
      <c r="OK62" s="20" t="n">
        <f aca="false">OJ62</f>
        <v>0</v>
      </c>
      <c r="OL62" s="20" t="n">
        <f aca="false">OK62</f>
        <v>0</v>
      </c>
      <c r="OM62" s="20" t="n">
        <f aca="false">OL62</f>
        <v>0</v>
      </c>
      <c r="ON62" s="20" t="n">
        <f aca="false">OM62</f>
        <v>0</v>
      </c>
      <c r="OO62" s="20" t="n">
        <f aca="false">ON62</f>
        <v>0</v>
      </c>
      <c r="OP62" s="20" t="n">
        <f aca="false">OO62</f>
        <v>0</v>
      </c>
      <c r="OQ62" s="20" t="n">
        <f aca="false">OP62</f>
        <v>0</v>
      </c>
      <c r="OR62" s="20" t="n">
        <f aca="false">OQ62</f>
        <v>0</v>
      </c>
      <c r="OS62" s="20" t="n">
        <f aca="false">OR62</f>
        <v>0</v>
      </c>
      <c r="OT62" s="20" t="n">
        <f aca="false">OS62</f>
        <v>0</v>
      </c>
      <c r="OU62" s="20" t="n">
        <f aca="false">OT62</f>
        <v>0</v>
      </c>
      <c r="OV62" s="20" t="n">
        <f aca="false">OU62</f>
        <v>0</v>
      </c>
      <c r="OW62" s="20" t="n">
        <f aca="false">OV62</f>
        <v>0</v>
      </c>
      <c r="OX62" s="20" t="n">
        <f aca="false">OW62</f>
        <v>0</v>
      </c>
      <c r="OY62" s="20" t="n">
        <f aca="false">OX62</f>
        <v>0</v>
      </c>
      <c r="OZ62" s="20" t="n">
        <f aca="false">OY62</f>
        <v>0</v>
      </c>
      <c r="PA62" s="20" t="n">
        <f aca="false">OZ62</f>
        <v>0</v>
      </c>
      <c r="PB62" s="20" t="n">
        <f aca="false">PA62</f>
        <v>0</v>
      </c>
      <c r="PC62" s="20" t="n">
        <f aca="false">PB62</f>
        <v>0</v>
      </c>
      <c r="PD62" s="20" t="n">
        <f aca="false">PC62</f>
        <v>0</v>
      </c>
      <c r="PE62" s="20" t="n">
        <f aca="false">PD62</f>
        <v>0</v>
      </c>
      <c r="PF62" s="20" t="n">
        <f aca="false">PE62</f>
        <v>0</v>
      </c>
      <c r="PG62" s="20" t="n">
        <f aca="false">PF62</f>
        <v>0</v>
      </c>
      <c r="PH62" s="20" t="n">
        <f aca="false">PG62</f>
        <v>0</v>
      </c>
      <c r="PI62" s="20" t="n">
        <f aca="false">PH62</f>
        <v>0</v>
      </c>
      <c r="PJ62" s="20" t="n">
        <f aca="false">PI62</f>
        <v>0</v>
      </c>
      <c r="PK62" s="20" t="n">
        <f aca="false">PJ62</f>
        <v>0</v>
      </c>
      <c r="PL62" s="20" t="n">
        <f aca="false">PK62</f>
        <v>0</v>
      </c>
      <c r="PM62" s="20" t="n">
        <f aca="false">PL62</f>
        <v>0</v>
      </c>
      <c r="PN62" s="20" t="n">
        <f aca="false">PM62</f>
        <v>0</v>
      </c>
      <c r="PO62" s="20" t="n">
        <f aca="false">PN62</f>
        <v>0</v>
      </c>
      <c r="PP62" s="20" t="n">
        <f aca="false">PO62</f>
        <v>0</v>
      </c>
      <c r="PQ62" s="20" t="n">
        <f aca="false">PP62</f>
        <v>0</v>
      </c>
      <c r="PR62" s="20" t="n">
        <f aca="false">IF(H_Direct=1,IF(AKR61&lt;=0,0,IF(BR62&lt;=0,MIN(MAX(0,AB62),AKR61),MIN(MAX(0,AB62),AKR61-G62*MAX(0,BR62*AKR61-(H62+I62))))),MIN(FE62,MAX(0,AB62)))</f>
        <v>0</v>
      </c>
      <c r="PS62" s="20" t="n">
        <f aca="false">IF(H_Direct=1,IF(AKS61&lt;=0,0,IF(BS62&lt;=0,MIN(MAX(0,AB62-SUM(PR62:PR62)),AKS61),MIN(MAX(0,AB62-SUM(PR62:PR62)),AKS61-G62*MAX(0,BS62*AKS61-(WR62+AAE62))))),MIN(FF62,MAX(0,AB62-SUM(PR62:PR62))))</f>
        <v>0</v>
      </c>
      <c r="PT62" s="20" t="n">
        <f aca="false">IF(H_Direct=1,IF(AKT61&lt;=0,0,IF(BT62&lt;=0,MIN(MAX(0,AB62-SUM(PR62:PS62)),AKT61),MIN(MAX(0,AB62-SUM(PR62:PS62)),AKT61-G62*MAX(0,BT62*AKT61-(WS62+AAF62))))),MIN(FG62,MAX(0,AB62-SUM(PR62:PS62))))</f>
        <v>0</v>
      </c>
      <c r="PU62" s="20" t="n">
        <f aca="false">IF(H_Direct=1,IF(AKU61&lt;=0,0,IF(BU62&lt;=0,MIN(MAX(0,AB62-SUM(PR62:PT62)),AKU61),MIN(MAX(0,AB62-SUM(PR62:PT62)),AKU61-G62*MAX(0,BU62*AKU61-(WT62+AAG62))))),MIN(FH62,MAX(0,AB62-SUM(PR62:PT62))))</f>
        <v>0</v>
      </c>
      <c r="PV62" s="20" t="n">
        <f aca="false">IF(H_Direct=1,IF(AKV61&lt;=0,0,IF(BV62&lt;=0,MIN(MAX(0,AB62-SUM(PR62:PU62)),AKV61),MIN(MAX(0,AB62-SUM(PR62:PU62)),AKV61-G62*MAX(0,BV62*AKV61-(WU62+AAH62))))),MIN(FI62,MAX(0,AB62-SUM(PR62:PU62))))</f>
        <v>0</v>
      </c>
      <c r="PW62" s="20" t="n">
        <f aca="false">IF(H_Direct=1,IF(AKW61&lt;=0,0,IF(BW62&lt;=0,MIN(MAX(0,AB62-SUM(PR62:PV62)),AKW61),MIN(MAX(0,AB62-SUM(PR62:PV62)),AKW61-G62*MAX(0,BW62*AKW61-(WV62+AAI62))))),MIN(FJ62,MAX(0,AB62-SUM(PR62:PV62))))</f>
        <v>0</v>
      </c>
      <c r="PX62" s="20" t="n">
        <f aca="false">IF(H_Direct=1,IF(AKX61&lt;=0,0,IF(BX62&lt;=0,MIN(MAX(0,AB62-SUM(PR62:PW62)),AKX61),MIN(MAX(0,AB62-SUM(PR62:PW62)),AKX61-G62*MAX(0,BX62*AKX61-(WW62+AAJ62))))),MIN(FK62,MAX(0,AB62-SUM(PR62:PW62))))</f>
        <v>0</v>
      </c>
      <c r="PY62" s="20" t="n">
        <f aca="false">IF(H_Direct=1,IF(AKY61&lt;=0,0,IF(BY62&lt;=0,MIN(MAX(0,AB62-SUM(PR62:PX62)),AKY61),MIN(MAX(0,AB62-SUM(PR62:PX62)),AKY61-G62*MAX(0,BY62*AKY61-(WX62+AAK62))))),MIN(FL62,MAX(0,AB62-SUM(PR62:PX62))))</f>
        <v>0</v>
      </c>
      <c r="PZ62" s="20" t="n">
        <f aca="false">IF(H_Direct=1,IF(AKZ61&lt;=0,0,IF(BZ62&lt;=0,MIN(MAX(0,AB62-SUM(PR62:PY62)),AKZ61),MIN(MAX(0,AB62-SUM(PR62:PY62)),AKZ61-G62*MAX(0,BZ62*AKZ61-(WY62+AAL62))))),MIN(FM62,MAX(0,AB62-SUM(PR62:PY62))))</f>
        <v>0</v>
      </c>
      <c r="QA62" s="20" t="n">
        <f aca="false">IF(H_Direct=1,IF(ALA61&lt;=0,0,IF(CA62&lt;=0,MIN(MAX(0,AB62-SUM(PR62:PZ62)),ALA61),MIN(MAX(0,AB62-SUM(PR62:PZ62)),ALA61-G62*MAX(0,CA62*ALA61-(WZ62+AAM62))))),MIN(FN62,MAX(0,AB62-SUM(PR62:PZ62))))</f>
        <v>0</v>
      </c>
      <c r="QB62" s="20" t="n">
        <f aca="false">IF(H_Direct=1,IF(ALB61&lt;=0,0,IF(CB62&lt;=0,MIN(MAX(0,AB62-SUM(PR62:QA62)),ALB61),MIN(MAX(0,AB62-SUM(PR62:QA62)),ALB61-G62*MAX(0,CB62*ALB61-(XA62+AAN62))))),MIN(FO62,MAX(0,AB62-SUM(PR62:QA62))))</f>
        <v>0</v>
      </c>
      <c r="QC62" s="20" t="n">
        <f aca="false">IF(H_Direct=1,IF(ALC61&lt;=0,0,IF(CC62&lt;=0,MIN(MAX(0,AB62-SUM(PR62:QB62)),ALC61),MIN(MAX(0,AB62-SUM(PR62:QB62)),ALC61-G62*MAX(0,CC62*ALC61-(XB62+AAO62))))),MIN(FP62,MAX(0,AB62-SUM(PR62:QB62))))</f>
        <v>0</v>
      </c>
      <c r="QD62" s="20" t="n">
        <f aca="false">IF(H_Direct=1,IF(ALD61&lt;=0,0,IF(CD62&lt;=0,MIN(MAX(0,AB62-SUM(PR62:QC62)),ALD61),MIN(MAX(0,AB62-SUM(PR62:QC62)),ALD61-G62*MAX(0,CD62*ALD61-(XC62+AAP62))))),MIN(FQ62,MAX(0,AB62-SUM(PR62:QC62))))</f>
        <v>0</v>
      </c>
      <c r="QE62" s="20" t="n">
        <f aca="false">IF(H_Direct=1,IF(ALE61&lt;=0,0,IF(CE62&lt;=0,MIN(MAX(0,AB62-SUM(PR62:QD62)),ALE61),MIN(MAX(0,AB62-SUM(PR62:QD62)),ALE61-G62*MAX(0,CE62*ALE61-(XD62+AAQ62))))),MIN(FR62,MAX(0,AB62-SUM(PR62:QD62))))</f>
        <v>0</v>
      </c>
      <c r="QF62" s="20" t="n">
        <f aca="false">IF(H_Direct=1,IF(ALF61&lt;=0,0,IF(CF62&lt;=0,MIN(MAX(0,AB62-SUM(PR62:QE62)),ALF61),MIN(MAX(0,AB62-SUM(PR62:QE62)),ALF61-G62*MAX(0,CF62*ALF61-(XE62+AAR62))))),MIN(FS62,MAX(0,AB62-SUM(PR62:QE62))))</f>
        <v>0</v>
      </c>
      <c r="QG62" s="20" t="n">
        <f aca="false">IF(H_Direct=1,IF(ALG61&lt;=0,0,IF(CG62&lt;=0,MIN(MAX(0,AB62-SUM(PR62:QF62)),ALG61),MIN(MAX(0,AB62-SUM(PR62:QF62)),ALG61-G62*MAX(0,CG62*ALG61-(XF62+AAS62))))),MIN(FT62,MAX(0,AB62-SUM(PR62:QF62))))</f>
        <v>0</v>
      </c>
      <c r="QH62" s="20" t="n">
        <f aca="false">IF(H_Direct=1,IF(ALH61&lt;=0,0,IF(CH62&lt;=0,MIN(MAX(0,AB62-SUM(PR62:QG62)),ALH61),MIN(MAX(0,AB62-SUM(PR62:QG62)),ALH61-G62*MAX(0,CH62*ALH61-(XG62+AAT62))))),MIN(FU62,MAX(0,AB62-SUM(PR62:QG62))))</f>
        <v>0</v>
      </c>
      <c r="QI62" s="20" t="n">
        <f aca="false">IF(H_Direct=1,IF(ALI61&lt;=0,0,IF(CI62&lt;=0,MIN(MAX(0,AB62-SUM(PR62:QH62)),ALI61),MIN(MAX(0,AB62-SUM(PR62:QH62)),ALI61-G62*MAX(0,CI62*ALI61-(XH62+AAU62))))),MIN(FV62,MAX(0,AB62-SUM(PR62:QH62))))</f>
        <v>0</v>
      </c>
      <c r="QJ62" s="20" t="n">
        <f aca="false">IF(H_Direct=1,IF(ALJ61&lt;=0,0,IF(CJ62&lt;=0,MIN(MAX(0,AB62-SUM(PR62:QI62)),ALJ61),MIN(MAX(0,AB62-SUM(PR62:QI62)),ALJ61-G62*MAX(0,CJ62*ALJ61-(XI62+AAV62))))),MIN(FW62,MAX(0,AB62-SUM(PR62:QI62))))</f>
        <v>0</v>
      </c>
      <c r="QK62" s="20" t="n">
        <f aca="false">IF(H_Direct=1,IF(ALK61&lt;=0,0,IF(CK62&lt;=0,MIN(MAX(0,AB62-SUM(PR62:QJ62)),ALK61),MIN(MAX(0,AB62-SUM(PR62:QJ62)),ALK61-G62*MAX(0,CK62*ALK61-(XJ62+AAW62))))),MIN(FX62,MAX(0,AB62-SUM(PR62:QJ62))))</f>
        <v>0</v>
      </c>
      <c r="QL62" s="20" t="n">
        <f aca="false">IF(H_Direct=1,IF(ALL61&lt;=0,0,IF(CL62&lt;=0,MIN(MAX(0,AB62-SUM(PR62:QK62)),ALL61),MIN(MAX(0,AB62-SUM(PR62:QK62)),ALL61-G62*MAX(0,CL62*ALL61-(XK62+AAX62))))),MIN(FY62,MAX(0,AB62-SUM(PR62:QK62))))</f>
        <v>0</v>
      </c>
      <c r="QM62" s="20" t="n">
        <f aca="false">IF(H_Direct=1,IF(ALM61&lt;=0,0,IF(CM62&lt;=0,MIN(MAX(0,AB62-SUM(PR62:QL62)),ALM61),MIN(MAX(0,AB62-SUM(PR62:QL62)),ALM61-G62*MAX(0,CM62*ALM61-(XL62+AAY62))))),MIN(FZ62,MAX(0,AB62-SUM(PR62:QL62))))</f>
        <v>0</v>
      </c>
      <c r="QN62" s="20" t="n">
        <f aca="false">IF(H_Direct=1,IF(ALN61&lt;=0,0,IF(CN62&lt;=0,MIN(MAX(0,AB62-SUM(PR62:QM62)),ALN61),MIN(MAX(0,AB62-SUM(PR62:QM62)),ALN61-G62*MAX(0,CN62*ALN61-(XM62+AAZ62))))),MIN(GA62,MAX(0,AB62-SUM(PR62:QM62))))</f>
        <v>0</v>
      </c>
      <c r="QO62" s="20" t="n">
        <f aca="false">IF(H_Direct=1,IF(ALO61&lt;=0,0,IF(CO62&lt;=0,MIN(MAX(0,AB62-SUM(PR62:QN62)),ALO61),MIN(MAX(0,AB62-SUM(PR62:QN62)),ALO61-G62*MAX(0,CO62*ALO61-(XN62+ABA62))))),MIN(GB62,MAX(0,AB62-SUM(PR62:QN62))))</f>
        <v>0</v>
      </c>
      <c r="QP62" s="20" t="n">
        <f aca="false">IF(H_Direct=1,IF(ALP61&lt;=0,0,IF(CP62&lt;=0,MIN(MAX(0,AB62-SUM(PR62:QO62)),ALP61),MIN(MAX(0,AB62-SUM(PR62:QO62)),ALP61-G62*MAX(0,CP62*ALP61-(XO62+ABB62))))),MIN(GC62,MAX(0,AB62-SUM(PR62:QO62))))</f>
        <v>0</v>
      </c>
      <c r="QQ62" s="20" t="n">
        <f aca="false">IF(H_Direct=1,IF(ALQ61&lt;=0,0,IF(CQ62&lt;=0,MIN(MAX(0,AB62-SUM(PR62:QP62)),ALQ61),MIN(MAX(0,AB62-SUM(PR62:QP62)),ALQ61-G62*MAX(0,CQ62*ALQ61-(XP62+ABC62))))),MIN(GD62,MAX(0,AB62-SUM(PR62:QP62))))</f>
        <v>0</v>
      </c>
      <c r="QR62" s="20" t="n">
        <f aca="false">IF(H_Direct=1,IF(ALR61&lt;=0,0,IF(CR62&lt;=0,MIN(MAX(0,AB62-SUM(PR62:QQ62)),ALR61),MIN(MAX(0,AB62-SUM(PR62:QQ62)),ALR61-G62*MAX(0,CR62*ALR61-(XQ62+ABD62))))),MIN(GE62,MAX(0,AB62-SUM(PR62:QQ62))))</f>
        <v>0</v>
      </c>
      <c r="QS62" s="20" t="n">
        <f aca="false">IF(H_Direct=1,IF(ALS61&lt;=0,0,IF(CS62&lt;=0,MIN(MAX(0,AB62-SUM(PR62:QR62)),ALS61),MIN(MAX(0,AB62-SUM(PR62:QR62)),ALS61-G62*MAX(0,CS62*ALS61-(XR62+ABE62))))),MIN(GF62,MAX(0,AB62-SUM(PR62:QR62))))</f>
        <v>0</v>
      </c>
      <c r="QT62" s="20" t="n">
        <f aca="false">IF(H_Direct=1,IF(ALT61&lt;=0,0,IF(CT62&lt;=0,MIN(MAX(0,AB62-SUM(PR62:QS62)),ALT61),MIN(MAX(0,AB62-SUM(PR62:QS62)),ALT61-G62*MAX(0,CT62*ALT61-(XS62+ABF62))))),MIN(GG62,MAX(0,AB62-SUM(PR62:QS62))))</f>
        <v>0</v>
      </c>
      <c r="QU62" s="20" t="n">
        <f aca="false">IF(H_Direct=1,IF(ALU61&lt;=0,0,IF(CU62&lt;=0,MIN(MAX(0,AB62-SUM(PR62:QT62)),ALU61),MIN(MAX(0,AB62-SUM(PR62:QT62)),ALU61-G62*MAX(0,CU62*ALU61-(XT62+ABG62))))),MIN(GH62,MAX(0,AB62-SUM(PR62:QT62))))</f>
        <v>0</v>
      </c>
      <c r="QV62" s="20" t="n">
        <f aca="false">IF(H_Direct=1,IF(ALV61&lt;=0,0,IF(CV62&lt;=0,MIN(MAX(0,AB62-SUM(PR62:QU62)),ALV61),MIN(MAX(0,AB62-SUM(PR62:QU62)),ALV61-G62*MAX(0,CV62*ALV61-(XU62+ABH62))))),MIN(GI62,MAX(0,AB62-SUM(PR62:QU62))))</f>
        <v>0</v>
      </c>
      <c r="QW62" s="20" t="n">
        <f aca="false">IF(H_Direct=1,IF(ALW61&lt;=0,0,IF(CW62&lt;=0,MIN(MAX(0,AB62-SUM(PR62:QV62)),ALW61),MIN(MAX(0,AB62-SUM(PR62:QV62)),ALW61-G62*MAX(0,CW62*ALW61-(XV62+ABI62))))),MIN(GJ62,MAX(0,AB62-SUM(PR62:QV62))))</f>
        <v>0</v>
      </c>
      <c r="QX62" s="20" t="n">
        <f aca="false">IF(H_Direct=1,IF(ALX61&lt;=0,0,IF(CX62&lt;=0,MIN(MAX(0,AB62-SUM(PR62:QW62)),ALX61),MIN(MAX(0,AB62-SUM(PR62:QW62)),ALX61-G62*MAX(0,CX62*ALX61-(XW62+ABJ62))))),MIN(GK62,MAX(0,AB62-SUM(PR62:QW62))))</f>
        <v>0</v>
      </c>
      <c r="QY62" s="20" t="n">
        <f aca="false">IF(H_Direct=1,IF(ALY61&lt;=0,0,IF(CY62&lt;=0,MIN(MAX(0,AB62-SUM(PR62:QX62)),ALY61),MIN(MAX(0,AB62-SUM(PR62:QX62)),ALY61-G62*MAX(0,CY62*ALY61-(XX62+ABK62))))),MIN(GL62,MAX(0,AB62-SUM(PR62:QX62))))</f>
        <v>0</v>
      </c>
      <c r="QZ62" s="20" t="n">
        <f aca="false">IF(H_Direct=1,IF(ALZ61&lt;=0,0,IF(CZ62&lt;=0,MIN(MAX(0,AB62-SUM(PR62:QY62)),ALZ61),MIN(MAX(0,AB62-SUM(PR62:QY62)),ALZ61-G62*MAX(0,CZ62*ALZ61-(XY62+ABL62))))),MIN(GM62,MAX(0,AB62-SUM(PR62:QY62))))</f>
        <v>0</v>
      </c>
      <c r="RA62" s="20" t="n">
        <f aca="false">IF(H_Direct=1,IF(AMA61&lt;=0,0,IF(DA62&lt;=0,MIN(MAX(0,AB62-SUM(PR62:QZ62)),AMA61),MIN(MAX(0,AB62-SUM(PR62:QZ62)),AMA61-G62*MAX(0,DA62*AMA61-(XZ62+ABM62))))),MIN(GN62,MAX(0,AB62-SUM(PR62:QZ62))))</f>
        <v>0</v>
      </c>
      <c r="RB62" s="20" t="n">
        <f aca="false">IF(H_Direct=1,IF(AMB61&lt;=0,0,IF(DB62&lt;=0,MIN(MAX(0,AB62-SUM(PR62:RA62)),AMB61),MIN(MAX(0,AB62-SUM(PR62:RA62)),AMB61-G62*MAX(0,DB62*AMB61-(YA62+ABN62))))),MIN(GO62,MAX(0,AB62-SUM(PR62:RA62))))</f>
        <v>0</v>
      </c>
      <c r="RC62" s="20" t="n">
        <f aca="false">IF(H_Direct=1,IF(AMC61&lt;=0,0,IF(DC62&lt;=0,MIN(MAX(0,AB62-SUM(PR62:RB62)),AMC61),MIN(MAX(0,AB62-SUM(PR62:RB62)),AMC61-G62*MAX(0,DC62*AMC61-(YB62+ABO62))))),MIN(GP62,MAX(0,AB62-SUM(PR62:RB62))))</f>
        <v>0</v>
      </c>
      <c r="RD62" s="20" t="n">
        <f aca="false">IF(H_Direct=1,IF(AMD61&lt;=0,0,IF(DD62&lt;=0,MIN(MAX(0,AB62-SUM(PR62:RC62)),AMD61),MIN(MAX(0,AB62-SUM(PR62:RC62)),AMD61-G62*MAX(0,DD62*AMD61-(YC62+ABP62))))),MIN(GQ62,MAX(0,AB62-SUM(PR62:RC62))))</f>
        <v>0</v>
      </c>
      <c r="RE62" s="20" t="n">
        <f aca="false">IF(H_Direct=1,IF(AME61&lt;=0,0,IF(DE62&lt;=0,MIN(MAX(0,AB62-SUM(PR62:RD62)),AME61),MIN(MAX(0,AB62-SUM(PR62:RD62)),AME61-G62*MAX(0,DE62*AME61-(YD62+ABQ62))))),MIN(GR62,MAX(0,AB62-SUM(PR62:RD62))))</f>
        <v>0</v>
      </c>
      <c r="RF62" s="20" t="n">
        <f aca="false">IF(H_Direct=1,IF(AMF61&lt;=0,0,IF(DF62&lt;=0,MIN(MAX(0,AB62-SUM(PR62:RE62)),AMF61),MIN(MAX(0,AB62-SUM(PR62:RE62)),AMF61-G62*MAX(0,DF62*AMF61-(YE62+ABR62))))),MIN(GS62,MAX(0,AB62-SUM(PR62:RE62))))</f>
        <v>0</v>
      </c>
      <c r="RG62" s="20" t="n">
        <f aca="false">IF(H_Direct=1,IF(AMG61&lt;=0,0,IF(DG62&lt;=0,MIN(MAX(0,AB62-SUM(PR62:RF62)),AMG61),MIN(MAX(0,AB62-SUM(PR62:RF62)),AMG61-G62*MAX(0,DG62*AMG61-(YF62+ABS62))))),MIN(GT62,MAX(0,AB62-SUM(PR62:RF62))))</f>
        <v>0</v>
      </c>
      <c r="RH62" s="20" t="n">
        <f aca="false">IF(H_Direct=1,IF(AMH61&lt;=0,0,IF(DH62&lt;=0,MIN(MAX(0,AB62-SUM(PR62:RG62)),AMH61),MIN(MAX(0,AB62-SUM(PR62:RG62)),AMH61-G62*MAX(0,DH62*AMH61-(YG62+ABT62))))),MIN(GU62,MAX(0,AB62-SUM(PR62:RG62))))</f>
        <v>0</v>
      </c>
      <c r="RI62" s="20" t="n">
        <f aca="false">IF(H_Direct=1,IF(AMI61&lt;=0,0,IF(DI62&lt;=0,MIN(MAX(0,AB62-SUM(PR62:RH62)),AMI61),MIN(MAX(0,AB62-SUM(PR62:RH62)),AMI61-G62*MAX(0,DI62*AMI61-(YH62+ABU62))))),MIN(GV62,MAX(0,AB62-SUM(PR62:RH62))))</f>
        <v>0</v>
      </c>
      <c r="RJ62" s="20" t="n">
        <f aca="false">IF(H_Direct=1,IF(AMJ61&lt;=0,0,IF(DJ62&lt;=0,MIN(MAX(0,AB62-SUM(PR62:RI62)),AMJ61),MIN(MAX(0,AB62-SUM(PR62:RI62)),AMJ61-G62*MAX(0,DJ62*AMJ61-(YI62+ABV62))))),MIN(GW62,MAX(0,AB62-SUM(PR62:RI62))))</f>
        <v>0</v>
      </c>
      <c r="RK62" s="20" t="n">
        <f aca="false">IF(H_Direct=1,IF(AMK61&lt;=0,0,IF(DK62&lt;=0,MIN(MAX(0,AB62-SUM(PR62:RJ62)),AMK61),MIN(MAX(0,AB62-SUM(PR62:RJ62)),AMK61-G62*MAX(0,DK62*AMK61-(YJ62+ABW62))))),MIN(GX62,MAX(0,AB62-SUM(PR62:RJ62))))</f>
        <v>0</v>
      </c>
      <c r="RL62" s="20" t="n">
        <f aca="false">IF(H_Direct=1,IF(AML61&lt;=0,0,IF(DL62&lt;=0,MIN(MAX(0,AB62-SUM(PR62:RK62)),AML61),MIN(MAX(0,AB62-SUM(PR62:RK62)),AML61-G62*MAX(0,DL62*AML61-(YK62+ABX62))))),MIN(GY62,MAX(0,AB62-SUM(PR62:RK62))))</f>
        <v>0</v>
      </c>
      <c r="RM62" s="20" t="n">
        <f aca="false">IF(H_Direct=1,IF(AMM61&lt;=0,0,IF(DM62&lt;=0,MIN(MAX(0,AB62-SUM(PR62:RL62)),AMM61),MIN(MAX(0,AB62-SUM(PR62:RL62)),AMM61-G62*MAX(0,DM62*AMM61-(YL62+ABY62))))),MIN(GZ62,MAX(0,AB62-SUM(PR62:RL62))))</f>
        <v>0</v>
      </c>
      <c r="RN62" s="20" t="n">
        <f aca="false">IF(H_Direct=1,IF(AMN61&lt;=0,0,IF(DN62&lt;=0,MIN(MAX(0,AB62-SUM(PR62:RM62)),AMN61),MIN(MAX(0,AB62-SUM(PR62:RM62)),AMN61-G62*MAX(0,DN62*AMN61-(YM62+ABZ62))))),MIN(HA62,MAX(0,AB62-SUM(PR62:RM62))))</f>
        <v>0</v>
      </c>
      <c r="RO62" s="20" t="n">
        <f aca="false">IF(H_Direct=1,IF(AMO61&lt;=0,0,IF(DO62&lt;=0,MIN(MAX(0,AB62-SUM(PR62:RN62)),AMO61),MIN(MAX(0,AB62-SUM(PR62:RN62)),AMO61-G62*MAX(0,DO62*AMO61-(YN62+ACA62))))),MIN(HB62,MAX(0,AB62-SUM(PR62:RN62))))</f>
        <v>0</v>
      </c>
      <c r="RP62" s="20" t="n">
        <f aca="false">IF(H_Direct=1,IF(AMP61&lt;=0,0,IF(DP62&lt;=0,MIN(MAX(0,AB62-SUM(PR62:RO62)),AMP61),MIN(MAX(0,AB62-SUM(PR62:RO62)),AMP61-G62*MAX(0,DP62*AMP61-(YO62+ACB62))))),MIN(HC62,MAX(0,AB62-SUM(PR62:RO62))))</f>
        <v>0</v>
      </c>
      <c r="RQ62" s="20" t="n">
        <f aca="false">IF(H_Direct=1,IF(AMQ61&lt;=0,0,IF(DQ62&lt;=0,MIN(MAX(0,AB62-SUM(PR62:RP62)),AMQ61),MIN(MAX(0,AB62-SUM(PR62:RP62)),AMQ61-G62*MAX(0,DQ62*AMQ61-(YP62+ACC62))))),MIN(HD62,MAX(0,AB62-SUM(PR62:RP62))))</f>
        <v>0</v>
      </c>
      <c r="RR62" s="20" t="n">
        <f aca="false">IF(H_Direct=1,IF(AMR61&lt;=0,0,IF(DR62&lt;=0,MIN(MAX(0,AB62-SUM(PR62:RQ62)),AMR61),MIN(MAX(0,AB62-SUM(PR62:RQ62)),AMR61-G62*MAX(0,DR62*AMR61-(YQ62+ACD62))))),MIN(HE62,MAX(0,AB62-SUM(PR62:RQ62))))</f>
        <v>0</v>
      </c>
      <c r="RS62" s="20" t="n">
        <f aca="false">IF(H_Direct=1,IF(AMS61&lt;=0,0,IF(DS62&lt;=0,MIN(MAX(0,AB62-SUM(PR62:RR62)),AMS61),MIN(MAX(0,AB62-SUM(PR62:RR62)),AMS61-G62*MAX(0,DS62*AMS61-(YR62+ACE62))))),MIN(HF62,MAX(0,AB62-SUM(PR62:RR62))))</f>
        <v>0</v>
      </c>
      <c r="RT62" s="20" t="n">
        <f aca="false">IF(H_Direct=1,IF(AMT61&lt;=0,0,IF(DT62&lt;=0,MIN(MAX(0,AB62-SUM(PR62:RS62)),AMT61),MIN(MAX(0,AB62-SUM(PR62:RS62)),AMT61-G62*MAX(0,DT62*AMT61-(YS62+ACF62))))),MIN(HG62,MAX(0,AB62-SUM(PR62:RS62))))</f>
        <v>0</v>
      </c>
      <c r="RU62" s="20" t="n">
        <f aca="false">IF(H_Direct=1,IF((P62+S62)&lt;=0,0,IF(DU62&lt;=0,MIN(MAX(0,AB62-SUM(PR62:RT62)),(P62+S62)),MIN(MAX(0,AB62-SUM(PR62:RT62)),(P62+S62)-G62*MAX(0,DU62*(P62+S62)-(YT62+ACG62))))),MIN(HH62,MAX(0,AB62-SUM(PR62:RT62))))</f>
        <v>0</v>
      </c>
      <c r="RV62" s="20" t="n">
        <v>0</v>
      </c>
      <c r="RW62" s="20" t="n">
        <v>0</v>
      </c>
      <c r="RX62" s="20" t="n">
        <v>0</v>
      </c>
      <c r="RY62" s="20" t="n">
        <v>0</v>
      </c>
      <c r="RZ62" s="20" t="n">
        <v>0</v>
      </c>
      <c r="SA62" s="20" t="n">
        <v>0</v>
      </c>
      <c r="SB62" s="20" t="n">
        <v>0</v>
      </c>
      <c r="SC62" s="20" t="n">
        <v>0</v>
      </c>
      <c r="SD62" s="20" t="n">
        <v>0</v>
      </c>
      <c r="SE62" s="20" t="n">
        <v>0</v>
      </c>
      <c r="SF62" s="20" t="n">
        <v>0</v>
      </c>
      <c r="SG62" s="20" t="n">
        <v>0</v>
      </c>
      <c r="SH62" s="20" t="n">
        <v>0</v>
      </c>
      <c r="SI62" s="20" t="n">
        <v>0</v>
      </c>
      <c r="SJ62" s="20" t="n">
        <v>0</v>
      </c>
      <c r="SK62" s="20" t="n">
        <v>0</v>
      </c>
      <c r="SL62" s="20" t="n">
        <v>0</v>
      </c>
      <c r="SM62" s="20" t="n">
        <v>0</v>
      </c>
      <c r="SN62" s="20" t="n">
        <v>0</v>
      </c>
      <c r="SO62" s="20" t="n">
        <v>0</v>
      </c>
      <c r="SP62" s="20" t="n">
        <v>0</v>
      </c>
      <c r="SQ62" s="20" t="n">
        <v>0</v>
      </c>
      <c r="SR62" s="20" t="n">
        <v>0</v>
      </c>
      <c r="SS62" s="20" t="n">
        <v>0</v>
      </c>
      <c r="ST62" s="20" t="n">
        <v>0</v>
      </c>
      <c r="SU62" s="20" t="n">
        <v>0</v>
      </c>
      <c r="SV62" s="20" t="n">
        <v>0</v>
      </c>
      <c r="SW62" s="20" t="n">
        <v>0</v>
      </c>
      <c r="SX62" s="20" t="n">
        <v>0</v>
      </c>
      <c r="SY62" s="20" t="n">
        <v>0</v>
      </c>
      <c r="SZ62" s="20" t="n">
        <v>0</v>
      </c>
      <c r="TA62" s="20" t="n">
        <v>0</v>
      </c>
      <c r="TB62" s="20" t="n">
        <v>0</v>
      </c>
      <c r="TC62" s="20" t="n">
        <v>0</v>
      </c>
      <c r="TD62" s="20" t="n">
        <v>0</v>
      </c>
      <c r="TE62" s="20" t="n">
        <f aca="false">IF(AKR61&lt;=0,0,IF(H_Direct=1,IF(BR62&lt;=0,PR62,IF(PR62&lt;=(H62+I62)/BR62,PR62,(PR62-G62*(H62+I62))/(1-G62*BR62))),PR62/(1-MAX(0,BR62)*H_Exit)))</f>
        <v>0</v>
      </c>
      <c r="TF62" s="20" t="n">
        <f aca="false">IF(AKS61&lt;=0,0,IF(H_Direct=1,IF(BS62&lt;=0,PS62,IF(PS62&lt;=(WR62+AAE62)/BS62,PS62,(PS62-G62*(WR62+AAE62))/(1-G62*BS62))),PS62/(1-MAX(0,BS62)*H_Exit)))</f>
        <v>0</v>
      </c>
      <c r="TG62" s="20" t="n">
        <f aca="false">IF(AKT61&lt;=0,0,IF(H_Direct=1,IF(BT62&lt;=0,PT62,IF(PT62&lt;=(WS62+AAF62)/BT62,PT62,(PT62-G62*(WS62+AAF62))/(1-G62*BT62))),PT62/(1-MAX(0,BT62)*H_Exit)))</f>
        <v>0</v>
      </c>
      <c r="TH62" s="20" t="n">
        <f aca="false">IF(AKU61&lt;=0,0,IF(H_Direct=1,IF(BU62&lt;=0,PU62,IF(PU62&lt;=(WT62+AAG62)/BU62,PU62,(PU62-G62*(WT62+AAG62))/(1-G62*BU62))),PU62/(1-MAX(0,BU62)*H_Exit)))</f>
        <v>0</v>
      </c>
      <c r="TI62" s="20" t="n">
        <f aca="false">IF(AKV61&lt;=0,0,IF(H_Direct=1,IF(BV62&lt;=0,PV62,IF(PV62&lt;=(WU62+AAH62)/BV62,PV62,(PV62-G62*(WU62+AAH62))/(1-G62*BV62))),PV62/(1-MAX(0,BV62)*H_Exit)))</f>
        <v>0</v>
      </c>
      <c r="TJ62" s="20" t="n">
        <f aca="false">IF(AKW61&lt;=0,0,IF(H_Direct=1,IF(BW62&lt;=0,PW62,IF(PW62&lt;=(WV62+AAI62)/BW62,PW62,(PW62-G62*(WV62+AAI62))/(1-G62*BW62))),PW62/(1-MAX(0,BW62)*H_Exit)))</f>
        <v>0</v>
      </c>
      <c r="TK62" s="20" t="n">
        <f aca="false">IF(AKX61&lt;=0,0,IF(H_Direct=1,IF(BX62&lt;=0,PX62,IF(PX62&lt;=(WW62+AAJ62)/BX62,PX62,(PX62-G62*(WW62+AAJ62))/(1-G62*BX62))),PX62/(1-MAX(0,BX62)*H_Exit)))</f>
        <v>0</v>
      </c>
      <c r="TL62" s="20" t="n">
        <f aca="false">IF(AKY61&lt;=0,0,IF(H_Direct=1,IF(BY62&lt;=0,PY62,IF(PY62&lt;=(WX62+AAK62)/BY62,PY62,(PY62-G62*(WX62+AAK62))/(1-G62*BY62))),PY62/(1-MAX(0,BY62)*H_Exit)))</f>
        <v>0</v>
      </c>
      <c r="TM62" s="20" t="n">
        <f aca="false">IF(AKZ61&lt;=0,0,IF(H_Direct=1,IF(BZ62&lt;=0,PZ62,IF(PZ62&lt;=(WY62+AAL62)/BZ62,PZ62,(PZ62-G62*(WY62+AAL62))/(1-G62*BZ62))),PZ62/(1-MAX(0,BZ62)*H_Exit)))</f>
        <v>0</v>
      </c>
      <c r="TN62" s="20" t="n">
        <f aca="false">IF(ALA61&lt;=0,0,IF(H_Direct=1,IF(CA62&lt;=0,QA62,IF(QA62&lt;=(WZ62+AAM62)/CA62,QA62,(QA62-G62*(WZ62+AAM62))/(1-G62*CA62))),QA62/(1-MAX(0,CA62)*H_Exit)))</f>
        <v>0</v>
      </c>
      <c r="TO62" s="20" t="n">
        <f aca="false">IF(ALB61&lt;=0,0,IF(H_Direct=1,IF(CB62&lt;=0,QB62,IF(QB62&lt;=(XA62+AAN62)/CB62,QB62,(QB62-G62*(XA62+AAN62))/(1-G62*CB62))),QB62/(1-MAX(0,CB62)*H_Exit)))</f>
        <v>0</v>
      </c>
      <c r="TP62" s="20" t="n">
        <f aca="false">IF(ALC61&lt;=0,0,IF(H_Direct=1,IF(CC62&lt;=0,QC62,IF(QC62&lt;=(XB62+AAO62)/CC62,QC62,(QC62-G62*(XB62+AAO62))/(1-G62*CC62))),QC62/(1-MAX(0,CC62)*H_Exit)))</f>
        <v>0</v>
      </c>
      <c r="TQ62" s="20" t="n">
        <f aca="false">IF(ALD61&lt;=0,0,IF(H_Direct=1,IF(CD62&lt;=0,QD62,IF(QD62&lt;=(XC62+AAP62)/CD62,QD62,(QD62-G62*(XC62+AAP62))/(1-G62*CD62))),QD62/(1-MAX(0,CD62)*H_Exit)))</f>
        <v>0</v>
      </c>
      <c r="TR62" s="20" t="n">
        <f aca="false">IF(ALE61&lt;=0,0,IF(H_Direct=1,IF(CE62&lt;=0,QE62,IF(QE62&lt;=(XD62+AAQ62)/CE62,QE62,(QE62-G62*(XD62+AAQ62))/(1-G62*CE62))),QE62/(1-MAX(0,CE62)*H_Exit)))</f>
        <v>0</v>
      </c>
      <c r="TS62" s="20" t="n">
        <f aca="false">IF(ALF61&lt;=0,0,IF(H_Direct=1,IF(CF62&lt;=0,QF62,IF(QF62&lt;=(XE62+AAR62)/CF62,QF62,(QF62-G62*(XE62+AAR62))/(1-G62*CF62))),QF62/(1-MAX(0,CF62)*H_Exit)))</f>
        <v>0</v>
      </c>
      <c r="TT62" s="20" t="n">
        <f aca="false">IF(ALG61&lt;=0,0,IF(H_Direct=1,IF(CG62&lt;=0,QG62,IF(QG62&lt;=(XF62+AAS62)/CG62,QG62,(QG62-G62*(XF62+AAS62))/(1-G62*CG62))),QG62/(1-MAX(0,CG62)*H_Exit)))</f>
        <v>0</v>
      </c>
      <c r="TU62" s="20" t="n">
        <f aca="false">IF(ALH61&lt;=0,0,IF(H_Direct=1,IF(CH62&lt;=0,QH62,IF(QH62&lt;=(XG62+AAT62)/CH62,QH62,(QH62-G62*(XG62+AAT62))/(1-G62*CH62))),QH62/(1-MAX(0,CH62)*H_Exit)))</f>
        <v>0</v>
      </c>
      <c r="TV62" s="20" t="n">
        <f aca="false">IF(ALI61&lt;=0,0,IF(H_Direct=1,IF(CI62&lt;=0,QI62,IF(QI62&lt;=(XH62+AAU62)/CI62,QI62,(QI62-G62*(XH62+AAU62))/(1-G62*CI62))),QI62/(1-MAX(0,CI62)*H_Exit)))</f>
        <v>0</v>
      </c>
      <c r="TW62" s="20" t="n">
        <f aca="false">IF(ALJ61&lt;=0,0,IF(H_Direct=1,IF(CJ62&lt;=0,QJ62,IF(QJ62&lt;=(XI62+AAV62)/CJ62,QJ62,(QJ62-G62*(XI62+AAV62))/(1-G62*CJ62))),QJ62/(1-MAX(0,CJ62)*H_Exit)))</f>
        <v>0</v>
      </c>
      <c r="TX62" s="20" t="n">
        <f aca="false">IF(ALK61&lt;=0,0,IF(H_Direct=1,IF(CK62&lt;=0,QK62,IF(QK62&lt;=(XJ62+AAW62)/CK62,QK62,(QK62-G62*(XJ62+AAW62))/(1-G62*CK62))),QK62/(1-MAX(0,CK62)*H_Exit)))</f>
        <v>0</v>
      </c>
      <c r="TY62" s="20" t="n">
        <f aca="false">IF(ALL61&lt;=0,0,IF(H_Direct=1,IF(CL62&lt;=0,QL62,IF(QL62&lt;=(XK62+AAX62)/CL62,QL62,(QL62-G62*(XK62+AAX62))/(1-G62*CL62))),QL62/(1-MAX(0,CL62)*H_Exit)))</f>
        <v>0</v>
      </c>
      <c r="TZ62" s="20" t="n">
        <f aca="false">IF(ALM61&lt;=0,0,IF(H_Direct=1,IF(CM62&lt;=0,QM62,IF(QM62&lt;=(XL62+AAY62)/CM62,QM62,(QM62-G62*(XL62+AAY62))/(1-G62*CM62))),QM62/(1-MAX(0,CM62)*H_Exit)))</f>
        <v>0</v>
      </c>
      <c r="UA62" s="20" t="n">
        <f aca="false">IF(ALN61&lt;=0,0,IF(H_Direct=1,IF(CN62&lt;=0,QN62,IF(QN62&lt;=(XM62+AAZ62)/CN62,QN62,(QN62-G62*(XM62+AAZ62))/(1-G62*CN62))),QN62/(1-MAX(0,CN62)*H_Exit)))</f>
        <v>0</v>
      </c>
      <c r="UB62" s="20" t="n">
        <f aca="false">IF(ALO61&lt;=0,0,IF(H_Direct=1,IF(CO62&lt;=0,QO62,IF(QO62&lt;=(XN62+ABA62)/CO62,QO62,(QO62-G62*(XN62+ABA62))/(1-G62*CO62))),QO62/(1-MAX(0,CO62)*H_Exit)))</f>
        <v>0</v>
      </c>
      <c r="UC62" s="20" t="n">
        <f aca="false">IF(ALP61&lt;=0,0,IF(H_Direct=1,IF(CP62&lt;=0,QP62,IF(QP62&lt;=(XO62+ABB62)/CP62,QP62,(QP62-G62*(XO62+ABB62))/(1-G62*CP62))),QP62/(1-MAX(0,CP62)*H_Exit)))</f>
        <v>0</v>
      </c>
      <c r="UD62" s="20" t="n">
        <f aca="false">IF(ALQ61&lt;=0,0,IF(H_Direct=1,IF(CQ62&lt;=0,QQ62,IF(QQ62&lt;=(XP62+ABC62)/CQ62,QQ62,(QQ62-G62*(XP62+ABC62))/(1-G62*CQ62))),QQ62/(1-MAX(0,CQ62)*H_Exit)))</f>
        <v>0</v>
      </c>
      <c r="UE62" s="20" t="n">
        <f aca="false">IF(ALR61&lt;=0,0,IF(H_Direct=1,IF(CR62&lt;=0,QR62,IF(QR62&lt;=(XQ62+ABD62)/CR62,QR62,(QR62-G62*(XQ62+ABD62))/(1-G62*CR62))),QR62/(1-MAX(0,CR62)*H_Exit)))</f>
        <v>0</v>
      </c>
      <c r="UF62" s="20" t="n">
        <f aca="false">IF(ALS61&lt;=0,0,IF(H_Direct=1,IF(CS62&lt;=0,QS62,IF(QS62&lt;=(XR62+ABE62)/CS62,QS62,(QS62-G62*(XR62+ABE62))/(1-G62*CS62))),QS62/(1-MAX(0,CS62)*H_Exit)))</f>
        <v>0</v>
      </c>
      <c r="UG62" s="20" t="n">
        <f aca="false">IF(ALT61&lt;=0,0,IF(H_Direct=1,IF(CT62&lt;=0,QT62,IF(QT62&lt;=(XS62+ABF62)/CT62,QT62,(QT62-G62*(XS62+ABF62))/(1-G62*CT62))),QT62/(1-MAX(0,CT62)*H_Exit)))</f>
        <v>0</v>
      </c>
      <c r="UH62" s="20" t="n">
        <f aca="false">IF(ALU61&lt;=0,0,IF(H_Direct=1,IF(CU62&lt;=0,QU62,IF(QU62&lt;=(XT62+ABG62)/CU62,QU62,(QU62-G62*(XT62+ABG62))/(1-G62*CU62))),QU62/(1-MAX(0,CU62)*H_Exit)))</f>
        <v>0</v>
      </c>
      <c r="UI62" s="20" t="n">
        <f aca="false">IF(ALV61&lt;=0,0,IF(H_Direct=1,IF(CV62&lt;=0,QV62,IF(QV62&lt;=(XU62+ABH62)/CV62,QV62,(QV62-G62*(XU62+ABH62))/(1-G62*CV62))),QV62/(1-MAX(0,CV62)*H_Exit)))</f>
        <v>0</v>
      </c>
      <c r="UJ62" s="20" t="n">
        <f aca="false">IF(ALW61&lt;=0,0,IF(H_Direct=1,IF(CW62&lt;=0,QW62,IF(QW62&lt;=(XV62+ABI62)/CW62,QW62,(QW62-G62*(XV62+ABI62))/(1-G62*CW62))),QW62/(1-MAX(0,CW62)*H_Exit)))</f>
        <v>0</v>
      </c>
      <c r="UK62" s="20" t="n">
        <f aca="false">IF(ALX61&lt;=0,0,IF(H_Direct=1,IF(CX62&lt;=0,QX62,IF(QX62&lt;=(XW62+ABJ62)/CX62,QX62,(QX62-G62*(XW62+ABJ62))/(1-G62*CX62))),QX62/(1-MAX(0,CX62)*H_Exit)))</f>
        <v>0</v>
      </c>
      <c r="UL62" s="20" t="n">
        <f aca="false">IF(ALY61&lt;=0,0,IF(H_Direct=1,IF(CY62&lt;=0,QY62,IF(QY62&lt;=(XX62+ABK62)/CY62,QY62,(QY62-G62*(XX62+ABK62))/(1-G62*CY62))),QY62/(1-MAX(0,CY62)*H_Exit)))</f>
        <v>0</v>
      </c>
      <c r="UM62" s="20" t="n">
        <f aca="false">IF(ALZ61&lt;=0,0,IF(H_Direct=1,IF(CZ62&lt;=0,QZ62,IF(QZ62&lt;=(XY62+ABL62)/CZ62,QZ62,(QZ62-G62*(XY62+ABL62))/(1-G62*CZ62))),QZ62/(1-MAX(0,CZ62)*H_Exit)))</f>
        <v>0</v>
      </c>
      <c r="UN62" s="20" t="n">
        <f aca="false">IF(AMA61&lt;=0,0,IF(H_Direct=1,IF(DA62&lt;=0,RA62,IF(RA62&lt;=(XZ62+ABM62)/DA62,RA62,(RA62-G62*(XZ62+ABM62))/(1-G62*DA62))),RA62/(1-MAX(0,DA62)*H_Exit)))</f>
        <v>0</v>
      </c>
      <c r="UO62" s="20" t="n">
        <f aca="false">IF(AMB61&lt;=0,0,IF(H_Direct=1,IF(DB62&lt;=0,RB62,IF(RB62&lt;=(YA62+ABN62)/DB62,RB62,(RB62-G62*(YA62+ABN62))/(1-G62*DB62))),RB62/(1-MAX(0,DB62)*H_Exit)))</f>
        <v>0</v>
      </c>
      <c r="UP62" s="20" t="n">
        <f aca="false">IF(AMC61&lt;=0,0,IF(H_Direct=1,IF(DC62&lt;=0,RC62,IF(RC62&lt;=(YB62+ABO62)/DC62,RC62,(RC62-G62*(YB62+ABO62))/(1-G62*DC62))),RC62/(1-MAX(0,DC62)*H_Exit)))</f>
        <v>0</v>
      </c>
      <c r="UQ62" s="20" t="n">
        <f aca="false">IF(AMD61&lt;=0,0,IF(H_Direct=1,IF(DD62&lt;=0,RD62,IF(RD62&lt;=(YC62+ABP62)/DD62,RD62,(RD62-G62*(YC62+ABP62))/(1-G62*DD62))),RD62/(1-MAX(0,DD62)*H_Exit)))</f>
        <v>0</v>
      </c>
      <c r="UR62" s="20" t="n">
        <f aca="false">IF(AME61&lt;=0,0,IF(H_Direct=1,IF(DE62&lt;=0,RE62,IF(RE62&lt;=(YD62+ABQ62)/DE62,RE62,(RE62-G62*(YD62+ABQ62))/(1-G62*DE62))),RE62/(1-MAX(0,DE62)*H_Exit)))</f>
        <v>0</v>
      </c>
      <c r="US62" s="20" t="n">
        <f aca="false">IF(AMF61&lt;=0,0,IF(H_Direct=1,IF(DF62&lt;=0,RF62,IF(RF62&lt;=(YE62+ABR62)/DF62,RF62,(RF62-G62*(YE62+ABR62))/(1-G62*DF62))),RF62/(1-MAX(0,DF62)*H_Exit)))</f>
        <v>0</v>
      </c>
      <c r="UT62" s="20" t="n">
        <f aca="false">IF(AMG61&lt;=0,0,IF(H_Direct=1,IF(DG62&lt;=0,RG62,IF(RG62&lt;=(YF62+ABS62)/DG62,RG62,(RG62-G62*(YF62+ABS62))/(1-G62*DG62))),RG62/(1-MAX(0,DG62)*H_Exit)))</f>
        <v>0</v>
      </c>
      <c r="UU62" s="20" t="n">
        <f aca="false">IF(AMH61&lt;=0,0,IF(H_Direct=1,IF(DH62&lt;=0,RH62,IF(RH62&lt;=(YG62+ABT62)/DH62,RH62,(RH62-G62*(YG62+ABT62))/(1-G62*DH62))),RH62/(1-MAX(0,DH62)*H_Exit)))</f>
        <v>0</v>
      </c>
      <c r="UV62" s="20" t="n">
        <f aca="false">IF(AMI61&lt;=0,0,IF(H_Direct=1,IF(DI62&lt;=0,RI62,IF(RI62&lt;=(YH62+ABU62)/DI62,RI62,(RI62-G62*(YH62+ABU62))/(1-G62*DI62))),RI62/(1-MAX(0,DI62)*H_Exit)))</f>
        <v>0</v>
      </c>
      <c r="UW62" s="20" t="n">
        <f aca="false">IF(AMJ61&lt;=0,0,IF(H_Direct=1,IF(DJ62&lt;=0,RJ62,IF(RJ62&lt;=(YI62+ABV62)/DJ62,RJ62,(RJ62-G62*(YI62+ABV62))/(1-G62*DJ62))),RJ62/(1-MAX(0,DJ62)*H_Exit)))</f>
        <v>0</v>
      </c>
      <c r="UX62" s="20" t="n">
        <f aca="false">IF(AMK61&lt;=0,0,IF(H_Direct=1,IF(DK62&lt;=0,RK62,IF(RK62&lt;=(YJ62+ABW62)/DK62,RK62,(RK62-G62*(YJ62+ABW62))/(1-G62*DK62))),RK62/(1-MAX(0,DK62)*H_Exit)))</f>
        <v>0</v>
      </c>
      <c r="UY62" s="20" t="n">
        <f aca="false">IF(AML61&lt;=0,0,IF(H_Direct=1,IF(DL62&lt;=0,RL62,IF(RL62&lt;=(YK62+ABX62)/DL62,RL62,(RL62-G62*(YK62+ABX62))/(1-G62*DL62))),RL62/(1-MAX(0,DL62)*H_Exit)))</f>
        <v>0</v>
      </c>
      <c r="UZ62" s="20" t="n">
        <f aca="false">IF(AMM61&lt;=0,0,IF(H_Direct=1,IF(DM62&lt;=0,RM62,IF(RM62&lt;=(YL62+ABY62)/DM62,RM62,(RM62-G62*(YL62+ABY62))/(1-G62*DM62))),RM62/(1-MAX(0,DM62)*H_Exit)))</f>
        <v>0</v>
      </c>
      <c r="VA62" s="20" t="n">
        <f aca="false">IF(AMN61&lt;=0,0,IF(H_Direct=1,IF(DN62&lt;=0,RN62,IF(RN62&lt;=(YM62+ABZ62)/DN62,RN62,(RN62-G62*(YM62+ABZ62))/(1-G62*DN62))),RN62/(1-MAX(0,DN62)*H_Exit)))</f>
        <v>0</v>
      </c>
      <c r="VB62" s="20" t="n">
        <f aca="false">IF(AMO61&lt;=0,0,IF(H_Direct=1,IF(DO62&lt;=0,RO62,IF(RO62&lt;=(YN62+ACA62)/DO62,RO62,(RO62-G62*(YN62+ACA62))/(1-G62*DO62))),RO62/(1-MAX(0,DO62)*H_Exit)))</f>
        <v>0</v>
      </c>
      <c r="VC62" s="20" t="n">
        <f aca="false">IF(AMP61&lt;=0,0,IF(H_Direct=1,IF(DP62&lt;=0,RP62,IF(RP62&lt;=(YO62+ACB62)/DP62,RP62,(RP62-G62*(YO62+ACB62))/(1-G62*DP62))),RP62/(1-MAX(0,DP62)*H_Exit)))</f>
        <v>0</v>
      </c>
      <c r="VD62" s="20" t="n">
        <f aca="false">IF(AMQ61&lt;=0,0,IF(H_Direct=1,IF(DQ62&lt;=0,RQ62,IF(RQ62&lt;=(YP62+ACC62)/DQ62,RQ62,(RQ62-G62*(YP62+ACC62))/(1-G62*DQ62))),RQ62/(1-MAX(0,DQ62)*H_Exit)))</f>
        <v>0</v>
      </c>
      <c r="VE62" s="20" t="n">
        <f aca="false">IF(AMR61&lt;=0,0,IF(H_Direct=1,IF(DR62&lt;=0,RR62,IF(RR62&lt;=(YQ62+ACD62)/DR62,RR62,(RR62-G62*(YQ62+ACD62))/(1-G62*DR62))),RR62/(1-MAX(0,DR62)*H_Exit)))</f>
        <v>0</v>
      </c>
      <c r="VF62" s="20" t="n">
        <f aca="false">IF(AMS61&lt;=0,0,IF(H_Direct=1,IF(DS62&lt;=0,RS62,IF(RS62&lt;=(YR62+ACE62)/DS62,RS62,(RS62-G62*(YR62+ACE62))/(1-G62*DS62))),RS62/(1-MAX(0,DS62)*H_Exit)))</f>
        <v>0</v>
      </c>
      <c r="VG62" s="20" t="n">
        <f aca="false">IF(AMT61&lt;=0,0,IF(H_Direct=1,IF(DT62&lt;=0,RT62,IF(RT62&lt;=(YS62+ACF62)/DT62,RT62,(RT62-G62*(YS62+ACF62))/(1-G62*DT62))),RT62/(1-MAX(0,DT62)*H_Exit)))</f>
        <v>0</v>
      </c>
      <c r="VH62" s="20" t="n">
        <f aca="false">IF((P62+S62)&lt;=0,0,IF(H_Direct=1,IF(DU62&lt;=0,RU62,IF(RU62&lt;=(YT62+ACG62)/DU62,RU62,(RU62-G62*(YT62+ACG62))/(1-G62*DU62))),RU62/(1-MAX(0,DU62)*H_Exit)))</f>
        <v>0</v>
      </c>
      <c r="VI62" s="20" t="n">
        <v>0</v>
      </c>
      <c r="VJ62" s="20" t="n">
        <v>0</v>
      </c>
      <c r="VK62" s="20" t="n">
        <v>0</v>
      </c>
      <c r="VL62" s="20" t="n">
        <v>0</v>
      </c>
      <c r="VM62" s="20" t="n">
        <v>0</v>
      </c>
      <c r="VN62" s="20" t="n">
        <v>0</v>
      </c>
      <c r="VO62" s="20" t="n">
        <v>0</v>
      </c>
      <c r="VP62" s="20" t="n">
        <v>0</v>
      </c>
      <c r="VQ62" s="20" t="n">
        <v>0</v>
      </c>
      <c r="VR62" s="20" t="n">
        <v>0</v>
      </c>
      <c r="VS62" s="20" t="n">
        <v>0</v>
      </c>
      <c r="VT62" s="20" t="n">
        <v>0</v>
      </c>
      <c r="VU62" s="20" t="n">
        <v>0</v>
      </c>
      <c r="VV62" s="20" t="n">
        <v>0</v>
      </c>
      <c r="VW62" s="20" t="n">
        <v>0</v>
      </c>
      <c r="VX62" s="20" t="n">
        <v>0</v>
      </c>
      <c r="VY62" s="20" t="n">
        <v>0</v>
      </c>
      <c r="VZ62" s="20" t="n">
        <v>0</v>
      </c>
      <c r="WA62" s="20" t="n">
        <v>0</v>
      </c>
      <c r="WB62" s="20" t="n">
        <v>0</v>
      </c>
      <c r="WC62" s="20" t="n">
        <v>0</v>
      </c>
      <c r="WD62" s="20" t="n">
        <v>0</v>
      </c>
      <c r="WE62" s="20" t="n">
        <v>0</v>
      </c>
      <c r="WF62" s="20" t="n">
        <v>0</v>
      </c>
      <c r="WG62" s="20" t="n">
        <v>0</v>
      </c>
      <c r="WH62" s="20" t="n">
        <v>0</v>
      </c>
      <c r="WI62" s="20" t="n">
        <v>0</v>
      </c>
      <c r="WJ62" s="20" t="n">
        <v>0</v>
      </c>
      <c r="WK62" s="20" t="n">
        <v>0</v>
      </c>
      <c r="WL62" s="20" t="n">
        <v>0</v>
      </c>
      <c r="WM62" s="20" t="n">
        <v>0</v>
      </c>
      <c r="WN62" s="20" t="n">
        <v>0</v>
      </c>
      <c r="WO62" s="20" t="n">
        <v>0</v>
      </c>
      <c r="WP62" s="20" t="n">
        <v>0</v>
      </c>
      <c r="WQ62" s="20" t="n">
        <v>0</v>
      </c>
      <c r="WR62" s="20" t="n">
        <f aca="false">IF(AND(H_Direct=1,BR62&gt;0),MAX(0,H62-(MIN(BR62*TE62,(H62+I62))-MIN(MIN(BR62*TE62,(H62+I62)),I62))),H62)</f>
        <v>1270</v>
      </c>
      <c r="WS62" s="20" t="n">
        <f aca="false">IF(AND(H_Direct=1,BS62&gt;0),MAX(0,WR62-(MIN(BS62*TF62,(WR62+AAE62))-MIN(MIN(BS62*TF62,(WR62+AAE62)),AAE62))),WR62)</f>
        <v>1270</v>
      </c>
      <c r="WT62" s="20" t="n">
        <f aca="false">IF(AND(H_Direct=1,BT62&gt;0),MAX(0,WS62-(MIN(BT62*TG62,(WS62+AAF62))-MIN(MIN(BT62*TG62,(WS62+AAF62)),AAF62))),WS62)</f>
        <v>1270</v>
      </c>
      <c r="WU62" s="20" t="n">
        <f aca="false">IF(AND(H_Direct=1,BU62&gt;0),MAX(0,WT62-(MIN(BU62*TH62,(WT62+AAG62))-MIN(MIN(BU62*TH62,(WT62+AAG62)),AAG62))),WT62)</f>
        <v>1270</v>
      </c>
      <c r="WV62" s="20" t="n">
        <f aca="false">IF(AND(H_Direct=1,BV62&gt;0),MAX(0,WU62-(MIN(BV62*TI62,(WU62+AAH62))-MIN(MIN(BV62*TI62,(WU62+AAH62)),AAH62))),WU62)</f>
        <v>1270</v>
      </c>
      <c r="WW62" s="20" t="n">
        <f aca="false">IF(AND(H_Direct=1,BW62&gt;0),MAX(0,WV62-(MIN(BW62*TJ62,(WV62+AAI62))-MIN(MIN(BW62*TJ62,(WV62+AAI62)),AAI62))),WV62)</f>
        <v>1270</v>
      </c>
      <c r="WX62" s="20" t="n">
        <f aca="false">IF(AND(H_Direct=1,BX62&gt;0),MAX(0,WW62-(MIN(BX62*TK62,(WW62+AAJ62))-MIN(MIN(BX62*TK62,(WW62+AAJ62)),AAJ62))),WW62)</f>
        <v>1270</v>
      </c>
      <c r="WY62" s="20" t="n">
        <f aca="false">IF(AND(H_Direct=1,BY62&gt;0),MAX(0,WX62-(MIN(BY62*TL62,(WX62+AAK62))-MIN(MIN(BY62*TL62,(WX62+AAK62)),AAK62))),WX62)</f>
        <v>1270</v>
      </c>
      <c r="WZ62" s="20" t="n">
        <f aca="false">IF(AND(H_Direct=1,BZ62&gt;0),MAX(0,WY62-(MIN(BZ62*TM62,(WY62+AAL62))-MIN(MIN(BZ62*TM62,(WY62+AAL62)),AAL62))),WY62)</f>
        <v>1270</v>
      </c>
      <c r="XA62" s="20" t="n">
        <f aca="false">IF(AND(H_Direct=1,CA62&gt;0),MAX(0,WZ62-(MIN(CA62*TN62,(WZ62+AAM62))-MIN(MIN(CA62*TN62,(WZ62+AAM62)),AAM62))),WZ62)</f>
        <v>1270</v>
      </c>
      <c r="XB62" s="20" t="n">
        <f aca="false">IF(AND(H_Direct=1,CB62&gt;0),MAX(0,XA62-(MIN(CB62*TO62,(XA62+AAN62))-MIN(MIN(CB62*TO62,(XA62+AAN62)),AAN62))),XA62)</f>
        <v>1270</v>
      </c>
      <c r="XC62" s="20" t="n">
        <f aca="false">IF(AND(H_Direct=1,CC62&gt;0),MAX(0,XB62-(MIN(CC62*TP62,(XB62+AAO62))-MIN(MIN(CC62*TP62,(XB62+AAO62)),AAO62))),XB62)</f>
        <v>1270</v>
      </c>
      <c r="XD62" s="20" t="n">
        <f aca="false">IF(AND(H_Direct=1,CD62&gt;0),MAX(0,XC62-(MIN(CD62*TQ62,(XC62+AAP62))-MIN(MIN(CD62*TQ62,(XC62+AAP62)),AAP62))),XC62)</f>
        <v>1270</v>
      </c>
      <c r="XE62" s="20" t="n">
        <f aca="false">IF(AND(H_Direct=1,CE62&gt;0),MAX(0,XD62-(MIN(CE62*TR62,(XD62+AAQ62))-MIN(MIN(CE62*TR62,(XD62+AAQ62)),AAQ62))),XD62)</f>
        <v>1270</v>
      </c>
      <c r="XF62" s="20" t="n">
        <f aca="false">IF(AND(H_Direct=1,CF62&gt;0),MAX(0,XE62-(MIN(CF62*TS62,(XE62+AAR62))-MIN(MIN(CF62*TS62,(XE62+AAR62)),AAR62))),XE62)</f>
        <v>1270</v>
      </c>
      <c r="XG62" s="20" t="n">
        <f aca="false">IF(AND(H_Direct=1,CG62&gt;0),MAX(0,XF62-(MIN(CG62*TT62,(XF62+AAS62))-MIN(MIN(CG62*TT62,(XF62+AAS62)),AAS62))),XF62)</f>
        <v>1270</v>
      </c>
      <c r="XH62" s="20" t="n">
        <f aca="false">IF(AND(H_Direct=1,CH62&gt;0),MAX(0,XG62-(MIN(CH62*TU62,(XG62+AAT62))-MIN(MIN(CH62*TU62,(XG62+AAT62)),AAT62))),XG62)</f>
        <v>1270</v>
      </c>
      <c r="XI62" s="20" t="n">
        <f aca="false">IF(AND(H_Direct=1,CI62&gt;0),MAX(0,XH62-(MIN(CI62*TV62,(XH62+AAU62))-MIN(MIN(CI62*TV62,(XH62+AAU62)),AAU62))),XH62)</f>
        <v>1270</v>
      </c>
      <c r="XJ62" s="20" t="n">
        <f aca="false">IF(AND(H_Direct=1,CJ62&gt;0),MAX(0,XI62-(MIN(CJ62*TW62,(XI62+AAV62))-MIN(MIN(CJ62*TW62,(XI62+AAV62)),AAV62))),XI62)</f>
        <v>1270</v>
      </c>
      <c r="XK62" s="20" t="n">
        <f aca="false">IF(AND(H_Direct=1,CK62&gt;0),MAX(0,XJ62-(MIN(CK62*TX62,(XJ62+AAW62))-MIN(MIN(CK62*TX62,(XJ62+AAW62)),AAW62))),XJ62)</f>
        <v>1270</v>
      </c>
      <c r="XL62" s="20" t="n">
        <f aca="false">IF(AND(H_Direct=1,CL62&gt;0),MAX(0,XK62-(MIN(CL62*TY62,(XK62+AAX62))-MIN(MIN(CL62*TY62,(XK62+AAX62)),AAX62))),XK62)</f>
        <v>1270</v>
      </c>
      <c r="XM62" s="20" t="n">
        <f aca="false">IF(AND(H_Direct=1,CM62&gt;0),MAX(0,XL62-(MIN(CM62*TZ62,(XL62+AAY62))-MIN(MIN(CM62*TZ62,(XL62+AAY62)),AAY62))),XL62)</f>
        <v>1270</v>
      </c>
      <c r="XN62" s="20" t="n">
        <f aca="false">IF(AND(H_Direct=1,CN62&gt;0),MAX(0,XM62-(MIN(CN62*UA62,(XM62+AAZ62))-MIN(MIN(CN62*UA62,(XM62+AAZ62)),AAZ62))),XM62)</f>
        <v>1270</v>
      </c>
      <c r="XO62" s="20" t="n">
        <f aca="false">IF(AND(H_Direct=1,CO62&gt;0),MAX(0,XN62-(MIN(CO62*UB62,(XN62+ABA62))-MIN(MIN(CO62*UB62,(XN62+ABA62)),ABA62))),XN62)</f>
        <v>1270</v>
      </c>
      <c r="XP62" s="20" t="n">
        <f aca="false">IF(AND(H_Direct=1,CP62&gt;0),MAX(0,XO62-(MIN(CP62*UC62,(XO62+ABB62))-MIN(MIN(CP62*UC62,(XO62+ABB62)),ABB62))),XO62)</f>
        <v>1270</v>
      </c>
      <c r="XQ62" s="20" t="n">
        <f aca="false">IF(AND(H_Direct=1,CQ62&gt;0),MAX(0,XP62-(MIN(CQ62*UD62,(XP62+ABC62))-MIN(MIN(CQ62*UD62,(XP62+ABC62)),ABC62))),XP62)</f>
        <v>1270</v>
      </c>
      <c r="XR62" s="20" t="n">
        <f aca="false">IF(AND(H_Direct=1,CR62&gt;0),MAX(0,XQ62-(MIN(CR62*UE62,(XQ62+ABD62))-MIN(MIN(CR62*UE62,(XQ62+ABD62)),ABD62))),XQ62)</f>
        <v>1270</v>
      </c>
      <c r="XS62" s="20" t="n">
        <f aca="false">IF(AND(H_Direct=1,CS62&gt;0),MAX(0,XR62-(MIN(CS62*UF62,(XR62+ABE62))-MIN(MIN(CS62*UF62,(XR62+ABE62)),ABE62))),XR62)</f>
        <v>1270</v>
      </c>
      <c r="XT62" s="20" t="n">
        <f aca="false">IF(AND(H_Direct=1,CT62&gt;0),MAX(0,XS62-(MIN(CT62*UG62,(XS62+ABF62))-MIN(MIN(CT62*UG62,(XS62+ABF62)),ABF62))),XS62)</f>
        <v>1270</v>
      </c>
      <c r="XU62" s="20" t="n">
        <f aca="false">IF(AND(H_Direct=1,CU62&gt;0),MAX(0,XT62-(MIN(CU62*UH62,(XT62+ABG62))-MIN(MIN(CU62*UH62,(XT62+ABG62)),ABG62))),XT62)</f>
        <v>1270</v>
      </c>
      <c r="XV62" s="20" t="n">
        <f aca="false">IF(AND(H_Direct=1,CV62&gt;0),MAX(0,XU62-(MIN(CV62*UI62,(XU62+ABH62))-MIN(MIN(CV62*UI62,(XU62+ABH62)),ABH62))),XU62)</f>
        <v>1270</v>
      </c>
      <c r="XW62" s="20" t="n">
        <f aca="false">IF(AND(H_Direct=1,CW62&gt;0),MAX(0,XV62-(MIN(CW62*UJ62,(XV62+ABI62))-MIN(MIN(CW62*UJ62,(XV62+ABI62)),ABI62))),XV62)</f>
        <v>1270</v>
      </c>
      <c r="XX62" s="20" t="n">
        <f aca="false">IF(AND(H_Direct=1,CX62&gt;0),MAX(0,XW62-(MIN(CX62*UK62,(XW62+ABJ62))-MIN(MIN(CX62*UK62,(XW62+ABJ62)),ABJ62))),XW62)</f>
        <v>1270</v>
      </c>
      <c r="XY62" s="20" t="n">
        <f aca="false">IF(AND(H_Direct=1,CY62&gt;0),MAX(0,XX62-(MIN(CY62*UL62,(XX62+ABK62))-MIN(MIN(CY62*UL62,(XX62+ABK62)),ABK62))),XX62)</f>
        <v>1270</v>
      </c>
      <c r="XZ62" s="20" t="n">
        <f aca="false">IF(AND(H_Direct=1,CZ62&gt;0),MAX(0,XY62-(MIN(CZ62*UM62,(XY62+ABL62))-MIN(MIN(CZ62*UM62,(XY62+ABL62)),ABL62))),XY62)</f>
        <v>1270</v>
      </c>
      <c r="YA62" s="20" t="n">
        <f aca="false">IF(AND(H_Direct=1,DA62&gt;0),MAX(0,XZ62-(MIN(DA62*UN62,(XZ62+ABM62))-MIN(MIN(DA62*UN62,(XZ62+ABM62)),ABM62))),XZ62)</f>
        <v>1270</v>
      </c>
      <c r="YB62" s="20" t="n">
        <f aca="false">IF(AND(H_Direct=1,DB62&gt;0),MAX(0,YA62-(MIN(DB62*UO62,(YA62+ABN62))-MIN(MIN(DB62*UO62,(YA62+ABN62)),ABN62))),YA62)</f>
        <v>1270</v>
      </c>
      <c r="YC62" s="20" t="n">
        <f aca="false">IF(AND(H_Direct=1,DC62&gt;0),MAX(0,YB62-(MIN(DC62*UP62,(YB62+ABO62))-MIN(MIN(DC62*UP62,(YB62+ABO62)),ABO62))),YB62)</f>
        <v>1270</v>
      </c>
      <c r="YD62" s="20" t="n">
        <f aca="false">IF(AND(H_Direct=1,DD62&gt;0),MAX(0,YC62-(MIN(DD62*UQ62,(YC62+ABP62))-MIN(MIN(DD62*UQ62,(YC62+ABP62)),ABP62))),YC62)</f>
        <v>1270</v>
      </c>
      <c r="YE62" s="20" t="n">
        <f aca="false">IF(AND(H_Direct=1,DE62&gt;0),MAX(0,YD62-(MIN(DE62*UR62,(YD62+ABQ62))-MIN(MIN(DE62*UR62,(YD62+ABQ62)),ABQ62))),YD62)</f>
        <v>1270</v>
      </c>
      <c r="YF62" s="20" t="n">
        <f aca="false">IF(AND(H_Direct=1,DF62&gt;0),MAX(0,YE62-(MIN(DF62*US62,(YE62+ABR62))-MIN(MIN(DF62*US62,(YE62+ABR62)),ABR62))),YE62)</f>
        <v>1270</v>
      </c>
      <c r="YG62" s="20" t="n">
        <f aca="false">IF(AND(H_Direct=1,DG62&gt;0),MAX(0,YF62-(MIN(DG62*UT62,(YF62+ABS62))-MIN(MIN(DG62*UT62,(YF62+ABS62)),ABS62))),YF62)</f>
        <v>1270</v>
      </c>
      <c r="YH62" s="20" t="n">
        <f aca="false">IF(AND(H_Direct=1,DH62&gt;0),MAX(0,YG62-(MIN(DH62*UU62,(YG62+ABT62))-MIN(MIN(DH62*UU62,(YG62+ABT62)),ABT62))),YG62)</f>
        <v>1270</v>
      </c>
      <c r="YI62" s="20" t="n">
        <f aca="false">IF(AND(H_Direct=1,DI62&gt;0),MAX(0,YH62-(MIN(DI62*UV62,(YH62+ABU62))-MIN(MIN(DI62*UV62,(YH62+ABU62)),ABU62))),YH62)</f>
        <v>1270</v>
      </c>
      <c r="YJ62" s="20" t="n">
        <f aca="false">IF(AND(H_Direct=1,DJ62&gt;0),MAX(0,YI62-(MIN(DJ62*UW62,(YI62+ABV62))-MIN(MIN(DJ62*UW62,(YI62+ABV62)),ABV62))),YI62)</f>
        <v>1270</v>
      </c>
      <c r="YK62" s="20" t="n">
        <f aca="false">IF(AND(H_Direct=1,DK62&gt;0),MAX(0,YJ62-(MIN(DK62*UX62,(YJ62+ABW62))-MIN(MIN(DK62*UX62,(YJ62+ABW62)),ABW62))),YJ62)</f>
        <v>1270</v>
      </c>
      <c r="YL62" s="20" t="n">
        <f aca="false">IF(AND(H_Direct=1,DL62&gt;0),MAX(0,YK62-(MIN(DL62*UY62,(YK62+ABX62))-MIN(MIN(DL62*UY62,(YK62+ABX62)),ABX62))),YK62)</f>
        <v>1270</v>
      </c>
      <c r="YM62" s="20" t="n">
        <f aca="false">IF(AND(H_Direct=1,DM62&gt;0),MAX(0,YL62-(MIN(DM62*UZ62,(YL62+ABY62))-MIN(MIN(DM62*UZ62,(YL62+ABY62)),ABY62))),YL62)</f>
        <v>1270</v>
      </c>
      <c r="YN62" s="20" t="n">
        <f aca="false">IF(AND(H_Direct=1,DN62&gt;0),MAX(0,YM62-(MIN(DN62*VA62,(YM62+ABZ62))-MIN(MIN(DN62*VA62,(YM62+ABZ62)),ABZ62))),YM62)</f>
        <v>1270</v>
      </c>
      <c r="YO62" s="20" t="n">
        <f aca="false">IF(AND(H_Direct=1,DO62&gt;0),MAX(0,YN62-(MIN(DO62*VB62,(YN62+ACA62))-MIN(MIN(DO62*VB62,(YN62+ACA62)),ACA62))),YN62)</f>
        <v>1270</v>
      </c>
      <c r="YP62" s="20" t="n">
        <f aca="false">IF(AND(H_Direct=1,DP62&gt;0),MAX(0,YO62-(MIN(DP62*VC62,(YO62+ACB62))-MIN(MIN(DP62*VC62,(YO62+ACB62)),ACB62))),YO62)</f>
        <v>1270</v>
      </c>
      <c r="YQ62" s="20" t="n">
        <f aca="false">IF(AND(H_Direct=1,DQ62&gt;0),MAX(0,YP62-(MIN(DQ62*VD62,(YP62+ACC62))-MIN(MIN(DQ62*VD62,(YP62+ACC62)),ACC62))),YP62)</f>
        <v>1270</v>
      </c>
      <c r="YR62" s="20" t="n">
        <f aca="false">IF(AND(H_Direct=1,DR62&gt;0),MAX(0,YQ62-(MIN(DR62*VE62,(YQ62+ACD62))-MIN(MIN(DR62*VE62,(YQ62+ACD62)),ACD62))),YQ62)</f>
        <v>1270</v>
      </c>
      <c r="YS62" s="20" t="n">
        <f aca="false">IF(AND(H_Direct=1,DS62&gt;0),MAX(0,YR62-(MIN(DS62*VF62,(YR62+ACE62))-MIN(MIN(DS62*VF62,(YR62+ACE62)),ACE62))),YR62)</f>
        <v>1270</v>
      </c>
      <c r="YT62" s="20" t="n">
        <f aca="false">IF(AND(H_Direct=1,DT62&gt;0),MAX(0,YS62-(MIN(DT62*VG62,(YS62+ACF62))-MIN(MIN(DT62*VG62,(YS62+ACF62)),ACF62))),YS62)</f>
        <v>1270</v>
      </c>
      <c r="YU62" s="20" t="n">
        <f aca="false">IF(AND(H_Direct=1,DU62&gt;0),MAX(0,YT62-(MIN(DU62*VH62,(YT62+ACG62))-MIN(MIN(DU62*VH62,(YT62+ACG62)),ACG62))),YT62)</f>
        <v>1270</v>
      </c>
      <c r="YV62" s="20" t="n">
        <f aca="false">YU62</f>
        <v>1270</v>
      </c>
      <c r="YW62" s="20" t="n">
        <f aca="false">YV62</f>
        <v>1270</v>
      </c>
      <c r="YX62" s="20" t="n">
        <f aca="false">YW62</f>
        <v>1270</v>
      </c>
      <c r="YY62" s="20" t="n">
        <f aca="false">YX62</f>
        <v>1270</v>
      </c>
      <c r="YZ62" s="20" t="n">
        <f aca="false">YY62</f>
        <v>1270</v>
      </c>
      <c r="ZA62" s="20" t="n">
        <f aca="false">YZ62</f>
        <v>1270</v>
      </c>
      <c r="ZB62" s="20" t="n">
        <f aca="false">ZA62</f>
        <v>1270</v>
      </c>
      <c r="ZC62" s="20" t="n">
        <f aca="false">ZB62</f>
        <v>1270</v>
      </c>
      <c r="ZD62" s="20" t="n">
        <f aca="false">ZC62</f>
        <v>1270</v>
      </c>
      <c r="ZE62" s="20" t="n">
        <f aca="false">ZD62</f>
        <v>1270</v>
      </c>
      <c r="ZF62" s="20" t="n">
        <f aca="false">ZE62</f>
        <v>1270</v>
      </c>
      <c r="ZG62" s="20" t="n">
        <f aca="false">ZF62</f>
        <v>1270</v>
      </c>
      <c r="ZH62" s="20" t="n">
        <f aca="false">ZG62</f>
        <v>1270</v>
      </c>
      <c r="ZI62" s="20" t="n">
        <f aca="false">ZH62</f>
        <v>1270</v>
      </c>
      <c r="ZJ62" s="20" t="n">
        <f aca="false">ZI62</f>
        <v>1270</v>
      </c>
      <c r="ZK62" s="20" t="n">
        <f aca="false">ZJ62</f>
        <v>1270</v>
      </c>
      <c r="ZL62" s="20" t="n">
        <f aca="false">ZK62</f>
        <v>1270</v>
      </c>
      <c r="ZM62" s="20" t="n">
        <f aca="false">ZL62</f>
        <v>1270</v>
      </c>
      <c r="ZN62" s="20" t="n">
        <f aca="false">ZM62</f>
        <v>1270</v>
      </c>
      <c r="ZO62" s="20" t="n">
        <f aca="false">ZN62</f>
        <v>1270</v>
      </c>
      <c r="ZP62" s="20" t="n">
        <f aca="false">ZO62</f>
        <v>1270</v>
      </c>
      <c r="ZQ62" s="20" t="n">
        <f aca="false">ZP62</f>
        <v>1270</v>
      </c>
      <c r="ZR62" s="20" t="n">
        <f aca="false">ZQ62</f>
        <v>1270</v>
      </c>
      <c r="ZS62" s="20" t="n">
        <f aca="false">ZR62</f>
        <v>1270</v>
      </c>
      <c r="ZT62" s="20" t="n">
        <f aca="false">ZS62</f>
        <v>1270</v>
      </c>
      <c r="ZU62" s="20" t="n">
        <f aca="false">ZT62</f>
        <v>1270</v>
      </c>
      <c r="ZV62" s="20" t="n">
        <f aca="false">ZU62</f>
        <v>1270</v>
      </c>
      <c r="ZW62" s="20" t="n">
        <f aca="false">ZV62</f>
        <v>1270</v>
      </c>
      <c r="ZX62" s="20" t="n">
        <f aca="false">ZW62</f>
        <v>1270</v>
      </c>
      <c r="ZY62" s="20" t="n">
        <f aca="false">ZX62</f>
        <v>1270</v>
      </c>
      <c r="ZZ62" s="20" t="n">
        <f aca="false">ZY62</f>
        <v>1270</v>
      </c>
      <c r="AAA62" s="20" t="n">
        <f aca="false">ZZ62</f>
        <v>1270</v>
      </c>
      <c r="AAB62" s="20" t="n">
        <f aca="false">AAA62</f>
        <v>1270</v>
      </c>
      <c r="AAC62" s="20" t="n">
        <f aca="false">AAB62</f>
        <v>1270</v>
      </c>
      <c r="AAD62" s="20" t="n">
        <f aca="false">AAC62</f>
        <v>1270</v>
      </c>
      <c r="AAE62" s="20" t="n">
        <f aca="false">IF(H_Direct=1,IF(BR62&lt;=0,I62-BR62*TE62,I62-MIN(MIN(BR62*TE62,(H62+I62)),I62)),I62)</f>
        <v>0</v>
      </c>
      <c r="AAF62" s="20" t="n">
        <f aca="false">IF(H_Direct=1,IF(BS62&lt;=0,AAE62-BS62*TF62,AAE62-MIN(MIN(BS62*TF62,(WR62+AAE62)),AAE62)),AAE62)</f>
        <v>0</v>
      </c>
      <c r="AAG62" s="20" t="n">
        <f aca="false">IF(H_Direct=1,IF(BT62&lt;=0,AAF62-BT62*TG62,AAF62-MIN(MIN(BT62*TG62,(WS62+AAF62)),AAF62)),AAF62)</f>
        <v>0</v>
      </c>
      <c r="AAH62" s="20" t="n">
        <f aca="false">IF(H_Direct=1,IF(BU62&lt;=0,AAG62-BU62*TH62,AAG62-MIN(MIN(BU62*TH62,(WT62+AAG62)),AAG62)),AAG62)</f>
        <v>0</v>
      </c>
      <c r="AAI62" s="20" t="n">
        <f aca="false">IF(H_Direct=1,IF(BV62&lt;=0,AAH62-BV62*TI62,AAH62-MIN(MIN(BV62*TI62,(WU62+AAH62)),AAH62)),AAH62)</f>
        <v>0</v>
      </c>
      <c r="AAJ62" s="20" t="n">
        <f aca="false">IF(H_Direct=1,IF(BW62&lt;=0,AAI62-BW62*TJ62,AAI62-MIN(MIN(BW62*TJ62,(WV62+AAI62)),AAI62)),AAI62)</f>
        <v>0</v>
      </c>
      <c r="AAK62" s="20" t="n">
        <f aca="false">IF(H_Direct=1,IF(BX62&lt;=0,AAJ62-BX62*TK62,AAJ62-MIN(MIN(BX62*TK62,(WW62+AAJ62)),AAJ62)),AAJ62)</f>
        <v>0</v>
      </c>
      <c r="AAL62" s="20" t="n">
        <f aca="false">IF(H_Direct=1,IF(BY62&lt;=0,AAK62-BY62*TL62,AAK62-MIN(MIN(BY62*TL62,(WX62+AAK62)),AAK62)),AAK62)</f>
        <v>0</v>
      </c>
      <c r="AAM62" s="20" t="n">
        <f aca="false">IF(H_Direct=1,IF(BZ62&lt;=0,AAL62-BZ62*TM62,AAL62-MIN(MIN(BZ62*TM62,(WY62+AAL62)),AAL62)),AAL62)</f>
        <v>0</v>
      </c>
      <c r="AAN62" s="20" t="n">
        <f aca="false">IF(H_Direct=1,IF(CA62&lt;=0,AAM62-CA62*TN62,AAM62-MIN(MIN(CA62*TN62,(WZ62+AAM62)),AAM62)),AAM62)</f>
        <v>0</v>
      </c>
      <c r="AAO62" s="20" t="n">
        <f aca="false">IF(H_Direct=1,IF(CB62&lt;=0,AAN62-CB62*TO62,AAN62-MIN(MIN(CB62*TO62,(XA62+AAN62)),AAN62)),AAN62)</f>
        <v>0</v>
      </c>
      <c r="AAP62" s="20" t="n">
        <f aca="false">IF(H_Direct=1,IF(CC62&lt;=0,AAO62-CC62*TP62,AAO62-MIN(MIN(CC62*TP62,(XB62+AAO62)),AAO62)),AAO62)</f>
        <v>0</v>
      </c>
      <c r="AAQ62" s="20" t="n">
        <f aca="false">IF(H_Direct=1,IF(CD62&lt;=0,AAP62-CD62*TQ62,AAP62-MIN(MIN(CD62*TQ62,(XC62+AAP62)),AAP62)),AAP62)</f>
        <v>0</v>
      </c>
      <c r="AAR62" s="20" t="n">
        <f aca="false">IF(H_Direct=1,IF(CE62&lt;=0,AAQ62-CE62*TR62,AAQ62-MIN(MIN(CE62*TR62,(XD62+AAQ62)),AAQ62)),AAQ62)</f>
        <v>0</v>
      </c>
      <c r="AAS62" s="20" t="n">
        <f aca="false">IF(H_Direct=1,IF(CF62&lt;=0,AAR62-CF62*TS62,AAR62-MIN(MIN(CF62*TS62,(XE62+AAR62)),AAR62)),AAR62)</f>
        <v>0</v>
      </c>
      <c r="AAT62" s="20" t="n">
        <f aca="false">IF(H_Direct=1,IF(CG62&lt;=0,AAS62-CG62*TT62,AAS62-MIN(MIN(CG62*TT62,(XF62+AAS62)),AAS62)),AAS62)</f>
        <v>0</v>
      </c>
      <c r="AAU62" s="20" t="n">
        <f aca="false">IF(H_Direct=1,IF(CH62&lt;=0,AAT62-CH62*TU62,AAT62-MIN(MIN(CH62*TU62,(XG62+AAT62)),AAT62)),AAT62)</f>
        <v>0</v>
      </c>
      <c r="AAV62" s="20" t="n">
        <f aca="false">IF(H_Direct=1,IF(CI62&lt;=0,AAU62-CI62*TV62,AAU62-MIN(MIN(CI62*TV62,(XH62+AAU62)),AAU62)),AAU62)</f>
        <v>0</v>
      </c>
      <c r="AAW62" s="20" t="n">
        <f aca="false">IF(H_Direct=1,IF(CJ62&lt;=0,AAV62-CJ62*TW62,AAV62-MIN(MIN(CJ62*TW62,(XI62+AAV62)),AAV62)),AAV62)</f>
        <v>0</v>
      </c>
      <c r="AAX62" s="20" t="n">
        <f aca="false">IF(H_Direct=1,IF(CK62&lt;=0,AAW62-CK62*TX62,AAW62-MIN(MIN(CK62*TX62,(XJ62+AAW62)),AAW62)),AAW62)</f>
        <v>0</v>
      </c>
      <c r="AAY62" s="20" t="n">
        <f aca="false">IF(H_Direct=1,IF(CL62&lt;=0,AAX62-CL62*TY62,AAX62-MIN(MIN(CL62*TY62,(XK62+AAX62)),AAX62)),AAX62)</f>
        <v>0</v>
      </c>
      <c r="AAZ62" s="20" t="n">
        <f aca="false">IF(H_Direct=1,IF(CM62&lt;=0,AAY62-CM62*TZ62,AAY62-MIN(MIN(CM62*TZ62,(XL62+AAY62)),AAY62)),AAY62)</f>
        <v>0</v>
      </c>
      <c r="ABA62" s="20" t="n">
        <f aca="false">IF(H_Direct=1,IF(CN62&lt;=0,AAZ62-CN62*UA62,AAZ62-MIN(MIN(CN62*UA62,(XM62+AAZ62)),AAZ62)),AAZ62)</f>
        <v>0</v>
      </c>
      <c r="ABB62" s="20" t="n">
        <f aca="false">IF(H_Direct=1,IF(CO62&lt;=0,ABA62-CO62*UB62,ABA62-MIN(MIN(CO62*UB62,(XN62+ABA62)),ABA62)),ABA62)</f>
        <v>0</v>
      </c>
      <c r="ABC62" s="20" t="n">
        <f aca="false">IF(H_Direct=1,IF(CP62&lt;=0,ABB62-CP62*UC62,ABB62-MIN(MIN(CP62*UC62,(XO62+ABB62)),ABB62)),ABB62)</f>
        <v>0</v>
      </c>
      <c r="ABD62" s="20" t="n">
        <f aca="false">IF(H_Direct=1,IF(CQ62&lt;=0,ABC62-CQ62*UD62,ABC62-MIN(MIN(CQ62*UD62,(XP62+ABC62)),ABC62)),ABC62)</f>
        <v>0</v>
      </c>
      <c r="ABE62" s="20" t="n">
        <f aca="false">IF(H_Direct=1,IF(CR62&lt;=0,ABD62-CR62*UE62,ABD62-MIN(MIN(CR62*UE62,(XQ62+ABD62)),ABD62)),ABD62)</f>
        <v>0</v>
      </c>
      <c r="ABF62" s="20" t="n">
        <f aca="false">IF(H_Direct=1,IF(CS62&lt;=0,ABE62-CS62*UF62,ABE62-MIN(MIN(CS62*UF62,(XR62+ABE62)),ABE62)),ABE62)</f>
        <v>0</v>
      </c>
      <c r="ABG62" s="20" t="n">
        <f aca="false">IF(H_Direct=1,IF(CT62&lt;=0,ABF62-CT62*UG62,ABF62-MIN(MIN(CT62*UG62,(XS62+ABF62)),ABF62)),ABF62)</f>
        <v>0</v>
      </c>
      <c r="ABH62" s="20" t="n">
        <f aca="false">IF(H_Direct=1,IF(CU62&lt;=0,ABG62-CU62*UH62,ABG62-MIN(MIN(CU62*UH62,(XT62+ABG62)),ABG62)),ABG62)</f>
        <v>0</v>
      </c>
      <c r="ABI62" s="20" t="n">
        <f aca="false">IF(H_Direct=1,IF(CV62&lt;=0,ABH62-CV62*UI62,ABH62-MIN(MIN(CV62*UI62,(XU62+ABH62)),ABH62)),ABH62)</f>
        <v>0</v>
      </c>
      <c r="ABJ62" s="20" t="n">
        <f aca="false">IF(H_Direct=1,IF(CW62&lt;=0,ABI62-CW62*UJ62,ABI62-MIN(MIN(CW62*UJ62,(XV62+ABI62)),ABI62)),ABI62)</f>
        <v>0</v>
      </c>
      <c r="ABK62" s="20" t="n">
        <f aca="false">IF(H_Direct=1,IF(CX62&lt;=0,ABJ62-CX62*UK62,ABJ62-MIN(MIN(CX62*UK62,(XW62+ABJ62)),ABJ62)),ABJ62)</f>
        <v>0</v>
      </c>
      <c r="ABL62" s="20" t="n">
        <f aca="false">IF(H_Direct=1,IF(CY62&lt;=0,ABK62-CY62*UL62,ABK62-MIN(MIN(CY62*UL62,(XX62+ABK62)),ABK62)),ABK62)</f>
        <v>0</v>
      </c>
      <c r="ABM62" s="20" t="n">
        <f aca="false">IF(H_Direct=1,IF(CZ62&lt;=0,ABL62-CZ62*UM62,ABL62-MIN(MIN(CZ62*UM62,(XY62+ABL62)),ABL62)),ABL62)</f>
        <v>0</v>
      </c>
      <c r="ABN62" s="20" t="n">
        <f aca="false">IF(H_Direct=1,IF(DA62&lt;=0,ABM62-DA62*UN62,ABM62-MIN(MIN(DA62*UN62,(XZ62+ABM62)),ABM62)),ABM62)</f>
        <v>0</v>
      </c>
      <c r="ABO62" s="20" t="n">
        <f aca="false">IF(H_Direct=1,IF(DB62&lt;=0,ABN62-DB62*UO62,ABN62-MIN(MIN(DB62*UO62,(YA62+ABN62)),ABN62)),ABN62)</f>
        <v>0</v>
      </c>
      <c r="ABP62" s="20" t="n">
        <f aca="false">IF(H_Direct=1,IF(DC62&lt;=0,ABO62-DC62*UP62,ABO62-MIN(MIN(DC62*UP62,(YB62+ABO62)),ABO62)),ABO62)</f>
        <v>0</v>
      </c>
      <c r="ABQ62" s="20" t="n">
        <f aca="false">IF(H_Direct=1,IF(DD62&lt;=0,ABP62-DD62*UQ62,ABP62-MIN(MIN(DD62*UQ62,(YC62+ABP62)),ABP62)),ABP62)</f>
        <v>0</v>
      </c>
      <c r="ABR62" s="20" t="n">
        <f aca="false">IF(H_Direct=1,IF(DE62&lt;=0,ABQ62-DE62*UR62,ABQ62-MIN(MIN(DE62*UR62,(YD62+ABQ62)),ABQ62)),ABQ62)</f>
        <v>0</v>
      </c>
      <c r="ABS62" s="20" t="n">
        <f aca="false">IF(H_Direct=1,IF(DF62&lt;=0,ABR62-DF62*US62,ABR62-MIN(MIN(DF62*US62,(YE62+ABR62)),ABR62)),ABR62)</f>
        <v>0</v>
      </c>
      <c r="ABT62" s="20" t="n">
        <f aca="false">IF(H_Direct=1,IF(DG62&lt;=0,ABS62-DG62*UT62,ABS62-MIN(MIN(DG62*UT62,(YF62+ABS62)),ABS62)),ABS62)</f>
        <v>0</v>
      </c>
      <c r="ABU62" s="20" t="n">
        <f aca="false">IF(H_Direct=1,IF(DH62&lt;=0,ABT62-DH62*UU62,ABT62-MIN(MIN(DH62*UU62,(YG62+ABT62)),ABT62)),ABT62)</f>
        <v>0</v>
      </c>
      <c r="ABV62" s="20" t="n">
        <f aca="false">IF(H_Direct=1,IF(DI62&lt;=0,ABU62-DI62*UV62,ABU62-MIN(MIN(DI62*UV62,(YH62+ABU62)),ABU62)),ABU62)</f>
        <v>0</v>
      </c>
      <c r="ABW62" s="20" t="n">
        <f aca="false">IF(H_Direct=1,IF(DJ62&lt;=0,ABV62-DJ62*UW62,ABV62-MIN(MIN(DJ62*UW62,(YI62+ABV62)),ABV62)),ABV62)</f>
        <v>0</v>
      </c>
      <c r="ABX62" s="20" t="n">
        <f aca="false">IF(H_Direct=1,IF(DK62&lt;=0,ABW62-DK62*UX62,ABW62-MIN(MIN(DK62*UX62,(YJ62+ABW62)),ABW62)),ABW62)</f>
        <v>0</v>
      </c>
      <c r="ABY62" s="20" t="n">
        <f aca="false">IF(H_Direct=1,IF(DL62&lt;=0,ABX62-DL62*UY62,ABX62-MIN(MIN(DL62*UY62,(YK62+ABX62)),ABX62)),ABX62)</f>
        <v>0</v>
      </c>
      <c r="ABZ62" s="20" t="n">
        <f aca="false">IF(H_Direct=1,IF(DM62&lt;=0,ABY62-DM62*UZ62,ABY62-MIN(MIN(DM62*UZ62,(YL62+ABY62)),ABY62)),ABY62)</f>
        <v>0</v>
      </c>
      <c r="ACA62" s="20" t="n">
        <f aca="false">IF(H_Direct=1,IF(DN62&lt;=0,ABZ62-DN62*VA62,ABZ62-MIN(MIN(DN62*VA62,(YM62+ABZ62)),ABZ62)),ABZ62)</f>
        <v>0</v>
      </c>
      <c r="ACB62" s="20" t="n">
        <f aca="false">IF(H_Direct=1,IF(DO62&lt;=0,ACA62-DO62*VB62,ACA62-MIN(MIN(DO62*VB62,(YN62+ACA62)),ACA62)),ACA62)</f>
        <v>0</v>
      </c>
      <c r="ACC62" s="20" t="n">
        <f aca="false">IF(H_Direct=1,IF(DP62&lt;=0,ACB62-DP62*VC62,ACB62-MIN(MIN(DP62*VC62,(YO62+ACB62)),ACB62)),ACB62)</f>
        <v>0</v>
      </c>
      <c r="ACD62" s="20" t="n">
        <f aca="false">IF(H_Direct=1,IF(DQ62&lt;=0,ACC62-DQ62*VD62,ACC62-MIN(MIN(DQ62*VD62,(YP62+ACC62)),ACC62)),ACC62)</f>
        <v>0</v>
      </c>
      <c r="ACE62" s="20" t="n">
        <f aca="false">IF(H_Direct=1,IF(DR62&lt;=0,ACD62-DR62*VE62,ACD62-MIN(MIN(DR62*VE62,(YQ62+ACD62)),ACD62)),ACD62)</f>
        <v>0</v>
      </c>
      <c r="ACF62" s="20" t="n">
        <f aca="false">IF(H_Direct=1,IF(DS62&lt;=0,ACE62-DS62*VF62,ACE62-MIN(MIN(DS62*VF62,(YR62+ACE62)),ACE62)),ACE62)</f>
        <v>0</v>
      </c>
      <c r="ACG62" s="20" t="n">
        <f aca="false">IF(H_Direct=1,IF(DT62&lt;=0,ACF62-DT62*VG62,ACF62-MIN(MIN(DT62*VG62,(YS62+ACF62)),ACF62)),ACF62)</f>
        <v>0</v>
      </c>
      <c r="ACH62" s="20" t="n">
        <f aca="false">IF(H_Direct=1,IF(DU62&lt;=0,ACG62-DU62*VH62,ACG62-MIN(MIN(DU62*VH62,(YT62+ACG62)),ACG62)),ACG62)</f>
        <v>0</v>
      </c>
      <c r="ACI62" s="20" t="n">
        <f aca="false">ACH62</f>
        <v>0</v>
      </c>
      <c r="ACJ62" s="20" t="n">
        <f aca="false">ACI62</f>
        <v>0</v>
      </c>
      <c r="ACK62" s="20" t="n">
        <f aca="false">ACJ62</f>
        <v>0</v>
      </c>
      <c r="ACL62" s="20" t="n">
        <f aca="false">ACK62</f>
        <v>0</v>
      </c>
      <c r="ACM62" s="20" t="n">
        <f aca="false">ACL62</f>
        <v>0</v>
      </c>
      <c r="ACN62" s="20" t="n">
        <f aca="false">ACM62</f>
        <v>0</v>
      </c>
      <c r="ACO62" s="20" t="n">
        <f aca="false">ACN62</f>
        <v>0</v>
      </c>
      <c r="ACP62" s="20" t="n">
        <f aca="false">ACO62</f>
        <v>0</v>
      </c>
      <c r="ACQ62" s="20" t="n">
        <f aca="false">ACP62</f>
        <v>0</v>
      </c>
      <c r="ACR62" s="20" t="n">
        <f aca="false">ACQ62</f>
        <v>0</v>
      </c>
      <c r="ACS62" s="20" t="n">
        <f aca="false">ACR62</f>
        <v>0</v>
      </c>
      <c r="ACT62" s="20" t="n">
        <f aca="false">ACS62</f>
        <v>0</v>
      </c>
      <c r="ACU62" s="20" t="n">
        <f aca="false">ACT62</f>
        <v>0</v>
      </c>
      <c r="ACV62" s="20" t="n">
        <f aca="false">ACU62</f>
        <v>0</v>
      </c>
      <c r="ACW62" s="20" t="n">
        <f aca="false">ACV62</f>
        <v>0</v>
      </c>
      <c r="ACX62" s="20" t="n">
        <f aca="false">ACW62</f>
        <v>0</v>
      </c>
      <c r="ACY62" s="20" t="n">
        <f aca="false">ACX62</f>
        <v>0</v>
      </c>
      <c r="ACZ62" s="20" t="n">
        <f aca="false">ACY62</f>
        <v>0</v>
      </c>
      <c r="ADA62" s="20" t="n">
        <f aca="false">ACZ62</f>
        <v>0</v>
      </c>
      <c r="ADB62" s="20" t="n">
        <f aca="false">ADA62</f>
        <v>0</v>
      </c>
      <c r="ADC62" s="20" t="n">
        <f aca="false">ADB62</f>
        <v>0</v>
      </c>
      <c r="ADD62" s="20" t="n">
        <f aca="false">ADC62</f>
        <v>0</v>
      </c>
      <c r="ADE62" s="20" t="n">
        <f aca="false">ADD62</f>
        <v>0</v>
      </c>
      <c r="ADF62" s="20" t="n">
        <f aca="false">ADE62</f>
        <v>0</v>
      </c>
      <c r="ADG62" s="20" t="n">
        <f aca="false">ADF62</f>
        <v>0</v>
      </c>
      <c r="ADH62" s="20" t="n">
        <f aca="false">ADG62</f>
        <v>0</v>
      </c>
      <c r="ADI62" s="20" t="n">
        <f aca="false">ADH62</f>
        <v>0</v>
      </c>
      <c r="ADJ62" s="20" t="n">
        <f aca="false">ADI62</f>
        <v>0</v>
      </c>
      <c r="ADK62" s="20" t="n">
        <f aca="false">ADJ62</f>
        <v>0</v>
      </c>
      <c r="ADL62" s="20" t="n">
        <f aca="false">ADK62</f>
        <v>0</v>
      </c>
      <c r="ADM62" s="20" t="n">
        <f aca="false">ADL62</f>
        <v>0</v>
      </c>
      <c r="ADN62" s="20" t="n">
        <f aca="false">ADM62</f>
        <v>0</v>
      </c>
      <c r="ADO62" s="20" t="n">
        <f aca="false">ADN62</f>
        <v>0</v>
      </c>
      <c r="ADP62" s="20" t="n">
        <f aca="false">ADO62</f>
        <v>0</v>
      </c>
      <c r="ADQ62" s="20" t="n">
        <f aca="false">ADP62</f>
        <v>0</v>
      </c>
      <c r="ADR62" s="20" t="n">
        <f aca="false">(AKR61-TE62+0)*(1+BQ62)</f>
        <v>0</v>
      </c>
      <c r="ADS62" s="20" t="n">
        <f aca="false">(AKS61-TF62+0)*(1+BQ62)</f>
        <v>0</v>
      </c>
      <c r="ADT62" s="20" t="n">
        <f aca="false">(AKT61-TG62+0)*(1+BQ62)</f>
        <v>0</v>
      </c>
      <c r="ADU62" s="20" t="n">
        <f aca="false">(AKU61-TH62+0)*(1+BQ62)</f>
        <v>0</v>
      </c>
      <c r="ADV62" s="20" t="n">
        <f aca="false">(AKV61-TI62+0)*(1+BQ62)</f>
        <v>0</v>
      </c>
      <c r="ADW62" s="20" t="n">
        <f aca="false">(AKW61-TJ62+0)*(1+BQ62)</f>
        <v>0</v>
      </c>
      <c r="ADX62" s="20" t="n">
        <f aca="false">(AKX61-TK62+0)*(1+BQ62)</f>
        <v>0</v>
      </c>
      <c r="ADY62" s="20" t="n">
        <f aca="false">(AKY61-TL62+0)*(1+BQ62)</f>
        <v>0</v>
      </c>
      <c r="ADZ62" s="20" t="n">
        <f aca="false">(AKZ61-TM62+0)*(1+BQ62)</f>
        <v>0</v>
      </c>
      <c r="AEA62" s="20" t="n">
        <f aca="false">(ALA61-TN62+0)*(1+BQ62)</f>
        <v>0</v>
      </c>
      <c r="AEB62" s="20" t="n">
        <f aca="false">(ALB61-TO62+0)*(1+BQ62)</f>
        <v>0</v>
      </c>
      <c r="AEC62" s="20" t="n">
        <f aca="false">(ALC61-TP62+0)*(1+BQ62)</f>
        <v>0</v>
      </c>
      <c r="AED62" s="20" t="n">
        <f aca="false">(ALD61-TQ62+0)*(1+BQ62)</f>
        <v>0</v>
      </c>
      <c r="AEE62" s="20" t="n">
        <f aca="false">(ALE61-TR62+0)*(1+BQ62)</f>
        <v>0</v>
      </c>
      <c r="AEF62" s="20" t="n">
        <f aca="false">(ALF61-TS62+0)*(1+BQ62)</f>
        <v>0</v>
      </c>
      <c r="AEG62" s="20" t="n">
        <f aca="false">(ALG61-TT62+0)*(1+BQ62)</f>
        <v>0</v>
      </c>
      <c r="AEH62" s="20" t="n">
        <f aca="false">(ALH61-TU62+0)*(1+BQ62)</f>
        <v>0</v>
      </c>
      <c r="AEI62" s="20" t="n">
        <f aca="false">(ALI61-TV62+0)*(1+BQ62)</f>
        <v>0</v>
      </c>
      <c r="AEJ62" s="20" t="n">
        <f aca="false">(ALJ61-TW62+0)*(1+BQ62)</f>
        <v>0</v>
      </c>
      <c r="AEK62" s="20" t="n">
        <f aca="false">(ALK61-TX62+0)*(1+BQ62)</f>
        <v>0</v>
      </c>
      <c r="AEL62" s="20" t="n">
        <f aca="false">(ALL61-TY62+0)*(1+BQ62)</f>
        <v>0</v>
      </c>
      <c r="AEM62" s="20" t="n">
        <f aca="false">(ALM61-TZ62+0)*(1+BQ62)</f>
        <v>0</v>
      </c>
      <c r="AEN62" s="20" t="n">
        <f aca="false">(ALN61-UA62+0)*(1+BQ62)</f>
        <v>0</v>
      </c>
      <c r="AEO62" s="20" t="n">
        <f aca="false">(ALO61-UB62+0)*(1+BQ62)</f>
        <v>0</v>
      </c>
      <c r="AEP62" s="20" t="n">
        <f aca="false">(ALP61-UC62+0)*(1+BQ62)</f>
        <v>0</v>
      </c>
      <c r="AEQ62" s="20" t="n">
        <f aca="false">(ALQ61-UD62+0)*(1+BQ62)</f>
        <v>0</v>
      </c>
      <c r="AER62" s="20" t="n">
        <f aca="false">(ALR61-UE62+0)*(1+BQ62)</f>
        <v>0</v>
      </c>
      <c r="AES62" s="20" t="n">
        <f aca="false">(ALS61-UF62+0)*(1+BQ62)</f>
        <v>0</v>
      </c>
      <c r="AET62" s="20" t="n">
        <f aca="false">(ALT61-UG62+0)*(1+BQ62)</f>
        <v>0</v>
      </c>
      <c r="AEU62" s="20" t="n">
        <f aca="false">(ALU61-UH62+0)*(1+BQ62)</f>
        <v>0</v>
      </c>
      <c r="AEV62" s="20" t="n">
        <f aca="false">(ALV61-UI62+0)*(1+BQ62)</f>
        <v>0</v>
      </c>
      <c r="AEW62" s="20" t="n">
        <f aca="false">(ALW61-UJ62+0)*(1+BQ62)</f>
        <v>0</v>
      </c>
      <c r="AEX62" s="20" t="n">
        <f aca="false">(ALX61-UK62+0)*(1+BQ62)</f>
        <v>0</v>
      </c>
      <c r="AEY62" s="20" t="n">
        <f aca="false">(ALY61-UL62+0)*(1+BQ62)</f>
        <v>0</v>
      </c>
      <c r="AEZ62" s="20" t="n">
        <f aca="false">(ALZ61-UM62+0)*(1+BQ62)</f>
        <v>0</v>
      </c>
      <c r="AFA62" s="20" t="n">
        <f aca="false">(AMA61-UN62+0)*(1+BQ62)</f>
        <v>0</v>
      </c>
      <c r="AFB62" s="20" t="n">
        <f aca="false">(AMB61-UO62+0)*(1+BQ62)</f>
        <v>0</v>
      </c>
      <c r="AFC62" s="20" t="n">
        <f aca="false">(AMC61-UP62+0)*(1+BQ62)</f>
        <v>0</v>
      </c>
      <c r="AFD62" s="20" t="n">
        <f aca="false">(AMD61-UQ62+0)*(1+BQ62)</f>
        <v>0</v>
      </c>
      <c r="AFE62" s="20" t="n">
        <f aca="false">(AME61-UR62+0)*(1+BQ62)</f>
        <v>0</v>
      </c>
      <c r="AFF62" s="20" t="n">
        <f aca="false">(AMF61-US62+0)*(1+BQ62)</f>
        <v>0</v>
      </c>
      <c r="AFG62" s="20" t="n">
        <f aca="false">(AMG61-UT62+0)*(1+BQ62)</f>
        <v>0</v>
      </c>
      <c r="AFH62" s="20" t="n">
        <f aca="false">(AMH61-UU62+0)*(1+BQ62)</f>
        <v>0</v>
      </c>
      <c r="AFI62" s="20" t="n">
        <f aca="false">(AMI61-UV62+0)*(1+BQ62)</f>
        <v>0</v>
      </c>
      <c r="AFJ62" s="20" t="n">
        <f aca="false">(AMJ61-UW62+0)*(1+BQ62)</f>
        <v>0</v>
      </c>
      <c r="AFK62" s="20" t="n">
        <f aca="false">(AMK61-UX62+0)*(1+BQ62)</f>
        <v>0</v>
      </c>
      <c r="AFL62" s="20" t="n">
        <f aca="false">(AML61-UY62+0)*(1+BQ62)</f>
        <v>0</v>
      </c>
      <c r="AFM62" s="20" t="n">
        <f aca="false">(AMM61-UZ62+0)*(1+BQ62)</f>
        <v>0</v>
      </c>
      <c r="AFN62" s="20" t="n">
        <f aca="false">(AMN61-VA62+0)*(1+BQ62)</f>
        <v>0</v>
      </c>
      <c r="AFO62" s="20" t="n">
        <f aca="false">(AMO61-VB62+0)*(1+BQ62)</f>
        <v>0</v>
      </c>
      <c r="AFP62" s="20" t="n">
        <f aca="false">(AMP61-VC62+0)*(1+BQ62)</f>
        <v>0</v>
      </c>
      <c r="AFQ62" s="20" t="n">
        <f aca="false">(AMQ61-VD62+0)*(1+BQ62)</f>
        <v>0</v>
      </c>
      <c r="AFR62" s="20" t="n">
        <f aca="false">(AMR61-VE62+0)*(1+BQ62)</f>
        <v>0</v>
      </c>
      <c r="AFS62" s="20" t="n">
        <f aca="false">(AMS61-VF62+0)*(1+BQ62)</f>
        <v>0</v>
      </c>
      <c r="AFT62" s="20" t="n">
        <f aca="false">(AMT61-VG62+0)*(1+BQ62)</f>
        <v>0</v>
      </c>
      <c r="AFU62" s="20" t="n">
        <f aca="false">((P62+S62)-VH62+BE62)*(1+BQ62)</f>
        <v>0</v>
      </c>
      <c r="AFV62" s="20" t="n">
        <v>0</v>
      </c>
      <c r="AFW62" s="20" t="n">
        <v>0</v>
      </c>
      <c r="AFX62" s="20" t="n">
        <v>0</v>
      </c>
      <c r="AFY62" s="20" t="n">
        <v>0</v>
      </c>
      <c r="AFZ62" s="20" t="n">
        <v>0</v>
      </c>
      <c r="AGA62" s="20" t="n">
        <v>0</v>
      </c>
      <c r="AGB62" s="20" t="n">
        <v>0</v>
      </c>
      <c r="AGC62" s="20" t="n">
        <v>0</v>
      </c>
      <c r="AGD62" s="20" t="n">
        <v>0</v>
      </c>
      <c r="AGE62" s="20" t="n">
        <v>0</v>
      </c>
      <c r="AGF62" s="20" t="n">
        <v>0</v>
      </c>
      <c r="AGG62" s="20" t="n">
        <v>0</v>
      </c>
      <c r="AGH62" s="20" t="n">
        <v>0</v>
      </c>
      <c r="AGI62" s="20" t="n">
        <v>0</v>
      </c>
      <c r="AGJ62" s="20" t="n">
        <v>0</v>
      </c>
      <c r="AGK62" s="20" t="n">
        <v>0</v>
      </c>
      <c r="AGL62" s="20" t="n">
        <v>0</v>
      </c>
      <c r="AGM62" s="20" t="n">
        <v>0</v>
      </c>
      <c r="AGN62" s="20" t="n">
        <v>0</v>
      </c>
      <c r="AGO62" s="20" t="n">
        <v>0</v>
      </c>
      <c r="AGP62" s="20" t="n">
        <v>0</v>
      </c>
      <c r="AGQ62" s="20" t="n">
        <v>0</v>
      </c>
      <c r="AGR62" s="20" t="n">
        <v>0</v>
      </c>
      <c r="AGS62" s="20" t="n">
        <v>0</v>
      </c>
      <c r="AGT62" s="20" t="n">
        <v>0</v>
      </c>
      <c r="AGU62" s="20" t="n">
        <v>0</v>
      </c>
      <c r="AGV62" s="20" t="n">
        <v>0</v>
      </c>
      <c r="AGW62" s="20" t="n">
        <v>0</v>
      </c>
      <c r="AGX62" s="20" t="n">
        <v>0</v>
      </c>
      <c r="AGY62" s="20" t="n">
        <v>0</v>
      </c>
      <c r="AGZ62" s="20" t="n">
        <v>0</v>
      </c>
      <c r="AHA62" s="20" t="n">
        <v>0</v>
      </c>
      <c r="AHB62" s="20" t="n">
        <v>0</v>
      </c>
      <c r="AHC62" s="20" t="n">
        <v>0</v>
      </c>
      <c r="AHD62" s="20" t="n">
        <v>0</v>
      </c>
      <c r="AHE62" s="20" t="n">
        <f aca="false">IF(AKR61&gt;0,AOE61-AOE61*TE62/AKR61,0)+0</f>
        <v>0</v>
      </c>
      <c r="AHF62" s="20" t="n">
        <f aca="false">IF(AKS61&gt;0,AOF61-AOF61*TF62/AKS61,0)+0</f>
        <v>0</v>
      </c>
      <c r="AHG62" s="20" t="n">
        <f aca="false">IF(AKT61&gt;0,AOG61-AOG61*TG62/AKT61,0)+0</f>
        <v>0</v>
      </c>
      <c r="AHH62" s="20" t="n">
        <f aca="false">IF(AKU61&gt;0,AOH61-AOH61*TH62/AKU61,0)+0</f>
        <v>0</v>
      </c>
      <c r="AHI62" s="20" t="n">
        <f aca="false">IF(AKV61&gt;0,AOI61-AOI61*TI62/AKV61,0)+0</f>
        <v>0</v>
      </c>
      <c r="AHJ62" s="20" t="n">
        <f aca="false">IF(AKW61&gt;0,AOJ61-AOJ61*TJ62/AKW61,0)+0</f>
        <v>0</v>
      </c>
      <c r="AHK62" s="20" t="n">
        <f aca="false">IF(AKX61&gt;0,AOK61-AOK61*TK62/AKX61,0)+0</f>
        <v>0</v>
      </c>
      <c r="AHL62" s="20" t="n">
        <f aca="false">IF(AKY61&gt;0,AOL61-AOL61*TL62/AKY61,0)+0</f>
        <v>0</v>
      </c>
      <c r="AHM62" s="20" t="n">
        <f aca="false">IF(AKZ61&gt;0,AOM61-AOM61*TM62/AKZ61,0)+0</f>
        <v>0</v>
      </c>
      <c r="AHN62" s="20" t="n">
        <f aca="false">IF(ALA61&gt;0,AON61-AON61*TN62/ALA61,0)+0</f>
        <v>0</v>
      </c>
      <c r="AHO62" s="20" t="n">
        <f aca="false">IF(ALB61&gt;0,AOO61-AOO61*TO62/ALB61,0)+0</f>
        <v>0</v>
      </c>
      <c r="AHP62" s="20" t="n">
        <f aca="false">IF(ALC61&gt;0,AOP61-AOP61*TP62/ALC61,0)+0</f>
        <v>0</v>
      </c>
      <c r="AHQ62" s="20" t="n">
        <f aca="false">IF(ALD61&gt;0,AOQ61-AOQ61*TQ62/ALD61,0)+0</f>
        <v>0</v>
      </c>
      <c r="AHR62" s="20" t="n">
        <f aca="false">IF(ALE61&gt;0,AOR61-AOR61*TR62/ALE61,0)+0</f>
        <v>0</v>
      </c>
      <c r="AHS62" s="20" t="n">
        <f aca="false">IF(ALF61&gt;0,AOS61-AOS61*TS62/ALF61,0)+0</f>
        <v>0</v>
      </c>
      <c r="AHT62" s="20" t="n">
        <f aca="false">IF(ALG61&gt;0,AOT61-AOT61*TT62/ALG61,0)+0</f>
        <v>0</v>
      </c>
      <c r="AHU62" s="20" t="n">
        <f aca="false">IF(ALH61&gt;0,AOU61-AOU61*TU62/ALH61,0)+0</f>
        <v>0</v>
      </c>
      <c r="AHV62" s="20" t="n">
        <f aca="false">IF(ALI61&gt;0,AOV61-AOV61*TV62/ALI61,0)+0</f>
        <v>0</v>
      </c>
      <c r="AHW62" s="20" t="n">
        <f aca="false">IF(ALJ61&gt;0,AOW61-AOW61*TW62/ALJ61,0)+0</f>
        <v>0</v>
      </c>
      <c r="AHX62" s="20" t="n">
        <f aca="false">IF(ALK61&gt;0,AOX61-AOX61*TX62/ALK61,0)+0</f>
        <v>0</v>
      </c>
      <c r="AHY62" s="20" t="n">
        <f aca="false">IF(ALL61&gt;0,AOY61-AOY61*TY62/ALL61,0)+0</f>
        <v>0</v>
      </c>
      <c r="AHZ62" s="20" t="n">
        <f aca="false">IF(ALM61&gt;0,AOZ61-AOZ61*TZ62/ALM61,0)+0</f>
        <v>0</v>
      </c>
      <c r="AIA62" s="20" t="n">
        <f aca="false">IF(ALN61&gt;0,APA61-APA61*UA62/ALN61,0)+0</f>
        <v>0</v>
      </c>
      <c r="AIB62" s="20" t="n">
        <f aca="false">IF(ALO61&gt;0,APB61-APB61*UB62/ALO61,0)+0</f>
        <v>0</v>
      </c>
      <c r="AIC62" s="20" t="n">
        <f aca="false">IF(ALP61&gt;0,APC61-APC61*UC62/ALP61,0)+0</f>
        <v>0</v>
      </c>
      <c r="AID62" s="20" t="n">
        <f aca="false">IF(ALQ61&gt;0,APD61-APD61*UD62/ALQ61,0)+0</f>
        <v>0</v>
      </c>
      <c r="AIE62" s="20" t="n">
        <f aca="false">IF(ALR61&gt;0,APE61-APE61*UE62/ALR61,0)+0</f>
        <v>0</v>
      </c>
      <c r="AIF62" s="20" t="n">
        <f aca="false">IF(ALS61&gt;0,APF61-APF61*UF62/ALS61,0)+0</f>
        <v>0</v>
      </c>
      <c r="AIG62" s="20" t="n">
        <f aca="false">IF(ALT61&gt;0,APG61-APG61*UG62/ALT61,0)+0</f>
        <v>0</v>
      </c>
      <c r="AIH62" s="20" t="n">
        <f aca="false">IF(ALU61&gt;0,APH61-APH61*UH62/ALU61,0)+0</f>
        <v>0</v>
      </c>
      <c r="AII62" s="20" t="n">
        <f aca="false">IF(ALV61&gt;0,API61-API61*UI62/ALV61,0)+0</f>
        <v>0</v>
      </c>
      <c r="AIJ62" s="20" t="n">
        <f aca="false">IF(ALW61&gt;0,APJ61-APJ61*UJ62/ALW61,0)+0</f>
        <v>0</v>
      </c>
      <c r="AIK62" s="20" t="n">
        <f aca="false">IF(ALX61&gt;0,APK61-APK61*UK62/ALX61,0)+0</f>
        <v>0</v>
      </c>
      <c r="AIL62" s="20" t="n">
        <f aca="false">IF(ALY61&gt;0,APL61-APL61*UL62/ALY61,0)+0</f>
        <v>0</v>
      </c>
      <c r="AIM62" s="20" t="n">
        <f aca="false">IF(ALZ61&gt;0,APM61-APM61*UM62/ALZ61,0)+0</f>
        <v>0</v>
      </c>
      <c r="AIN62" s="20" t="n">
        <f aca="false">IF(AMA61&gt;0,APN61-APN61*UN62/AMA61,0)+0</f>
        <v>0</v>
      </c>
      <c r="AIO62" s="20" t="n">
        <f aca="false">IF(AMB61&gt;0,APO61-APO61*UO62/AMB61,0)+0</f>
        <v>0</v>
      </c>
      <c r="AIP62" s="20" t="n">
        <f aca="false">IF(AMC61&gt;0,APP61-APP61*UP62/AMC61,0)+0</f>
        <v>0</v>
      </c>
      <c r="AIQ62" s="20" t="n">
        <f aca="false">IF(AMD61&gt;0,APQ61-APQ61*UQ62/AMD61,0)+0</f>
        <v>0</v>
      </c>
      <c r="AIR62" s="20" t="n">
        <f aca="false">IF(AME61&gt;0,APR61-APR61*UR62/AME61,0)+0</f>
        <v>0</v>
      </c>
      <c r="AIS62" s="20" t="n">
        <f aca="false">IF(AMF61&gt;0,APS61-APS61*US62/AMF61,0)+0</f>
        <v>0</v>
      </c>
      <c r="AIT62" s="20" t="n">
        <f aca="false">IF(AMG61&gt;0,APT61-APT61*UT62/AMG61,0)+0</f>
        <v>0</v>
      </c>
      <c r="AIU62" s="20" t="n">
        <f aca="false">IF(AMH61&gt;0,APU61-APU61*UU62/AMH61,0)+0</f>
        <v>0</v>
      </c>
      <c r="AIV62" s="20" t="n">
        <f aca="false">IF(AMI61&gt;0,APV61-APV61*UV62/AMI61,0)+0</f>
        <v>0</v>
      </c>
      <c r="AIW62" s="20" t="n">
        <f aca="false">IF(AMJ61&gt;0,APW61-APW61*UW62/AMJ61,0)+0</f>
        <v>0</v>
      </c>
      <c r="AIX62" s="20" t="n">
        <f aca="false">IF(AMK61&gt;0,APX61-APX61*UX62/AMK61,0)+0</f>
        <v>0</v>
      </c>
      <c r="AIY62" s="20" t="n">
        <f aca="false">IF(AML61&gt;0,APY61-APY61*UY62/AML61,0)+0</f>
        <v>0</v>
      </c>
      <c r="AIZ62" s="20" t="n">
        <f aca="false">IF(AMM61&gt;0,APZ61-APZ61*UZ62/AMM61,0)+0</f>
        <v>0</v>
      </c>
      <c r="AJA62" s="20" t="n">
        <f aca="false">IF(AMN61&gt;0,AQA61-AQA61*VA62/AMN61,0)+0</f>
        <v>0</v>
      </c>
      <c r="AJB62" s="20" t="n">
        <f aca="false">IF(AMO61&gt;0,AQB61-AQB61*VB62/AMO61,0)+0</f>
        <v>0</v>
      </c>
      <c r="AJC62" s="20" t="n">
        <f aca="false">IF(AMP61&gt;0,AQC61-AQC61*VC62/AMP61,0)+0</f>
        <v>0</v>
      </c>
      <c r="AJD62" s="20" t="n">
        <f aca="false">IF(AMQ61&gt;0,AQD61-AQD61*VD62/AMQ61,0)+0</f>
        <v>0</v>
      </c>
      <c r="AJE62" s="20" t="n">
        <f aca="false">IF(AMR61&gt;0,AQE61-AQE61*VE62/AMR61,0)+0</f>
        <v>0</v>
      </c>
      <c r="AJF62" s="20" t="n">
        <f aca="false">IF(AMS61&gt;0,AQF61-AQF61*VF62/AMS61,0)+0</f>
        <v>0</v>
      </c>
      <c r="AJG62" s="20" t="n">
        <f aca="false">IF(AMT61&gt;0,AQG61-AQG61*VG62/AMT61,0)+0</f>
        <v>0</v>
      </c>
      <c r="AJH62" s="20" t="n">
        <f aca="false">IF((P62+S62)&gt;0,(P62+S62)-(P62+S62)*VH62/(P62+S62),0)+BE62</f>
        <v>0</v>
      </c>
      <c r="AJI62" s="20" t="n">
        <v>0</v>
      </c>
      <c r="AJJ62" s="20" t="n">
        <v>0</v>
      </c>
      <c r="AJK62" s="20" t="n">
        <v>0</v>
      </c>
      <c r="AJL62" s="20" t="n">
        <v>0</v>
      </c>
      <c r="AJM62" s="20" t="n">
        <v>0</v>
      </c>
      <c r="AJN62" s="20" t="n">
        <v>0</v>
      </c>
      <c r="AJO62" s="20" t="n">
        <v>0</v>
      </c>
      <c r="AJP62" s="20" t="n">
        <v>0</v>
      </c>
      <c r="AJQ62" s="20" t="n">
        <v>0</v>
      </c>
      <c r="AJR62" s="20" t="n">
        <v>0</v>
      </c>
      <c r="AJS62" s="20" t="n">
        <v>0</v>
      </c>
      <c r="AJT62" s="20" t="n">
        <v>0</v>
      </c>
      <c r="AJU62" s="20" t="n">
        <v>0</v>
      </c>
      <c r="AJV62" s="20" t="n">
        <v>0</v>
      </c>
      <c r="AJW62" s="20" t="n">
        <v>0</v>
      </c>
      <c r="AJX62" s="20" t="n">
        <v>0</v>
      </c>
      <c r="AJY62" s="20" t="n">
        <v>0</v>
      </c>
      <c r="AJZ62" s="20" t="n">
        <v>0</v>
      </c>
      <c r="AKA62" s="20" t="n">
        <v>0</v>
      </c>
      <c r="AKB62" s="20" t="n">
        <v>0</v>
      </c>
      <c r="AKC62" s="20" t="n">
        <v>0</v>
      </c>
      <c r="AKD62" s="20" t="n">
        <v>0</v>
      </c>
      <c r="AKE62" s="20" t="n">
        <v>0</v>
      </c>
      <c r="AKF62" s="20" t="n">
        <v>0</v>
      </c>
      <c r="AKG62" s="20" t="n">
        <v>0</v>
      </c>
      <c r="AKH62" s="20" t="n">
        <v>0</v>
      </c>
      <c r="AKI62" s="20" t="n">
        <v>0</v>
      </c>
      <c r="AKJ62" s="20" t="n">
        <v>0</v>
      </c>
      <c r="AKK62" s="20" t="n">
        <v>0</v>
      </c>
      <c r="AKL62" s="20" t="n">
        <v>0</v>
      </c>
      <c r="AKM62" s="20" t="n">
        <v>0</v>
      </c>
      <c r="AKN62" s="20" t="n">
        <v>0</v>
      </c>
      <c r="AKO62" s="20" t="n">
        <v>0</v>
      </c>
      <c r="AKP62" s="20" t="n">
        <v>0</v>
      </c>
      <c r="AKQ62" s="20" t="n">
        <v>0</v>
      </c>
      <c r="AKR62" s="20" t="n">
        <f aca="false">ADR62-AVE62</f>
        <v>0</v>
      </c>
      <c r="AKS62" s="20" t="n">
        <f aca="false">ADS62-AVF62</f>
        <v>0</v>
      </c>
      <c r="AKT62" s="20" t="n">
        <f aca="false">ADT62-AVG62</f>
        <v>0</v>
      </c>
      <c r="AKU62" s="20" t="n">
        <f aca="false">ADU62-AVH62</f>
        <v>0</v>
      </c>
      <c r="AKV62" s="20" t="n">
        <f aca="false">ADV62-AVI62</f>
        <v>0</v>
      </c>
      <c r="AKW62" s="20" t="n">
        <f aca="false">ADW62-AVJ62</f>
        <v>0</v>
      </c>
      <c r="AKX62" s="20" t="n">
        <f aca="false">ADX62-AVK62</f>
        <v>0</v>
      </c>
      <c r="AKY62" s="20" t="n">
        <f aca="false">ADY62-AVL62</f>
        <v>0</v>
      </c>
      <c r="AKZ62" s="20" t="n">
        <f aca="false">ADZ62-AVM62</f>
        <v>0</v>
      </c>
      <c r="ALA62" s="20" t="n">
        <f aca="false">AEA62-AVN62</f>
        <v>0</v>
      </c>
      <c r="ALB62" s="20" t="n">
        <f aca="false">AEB62-AVO62</f>
        <v>0</v>
      </c>
      <c r="ALC62" s="20" t="n">
        <f aca="false">AEC62-AVP62</f>
        <v>0</v>
      </c>
      <c r="ALD62" s="20" t="n">
        <f aca="false">AED62-AVQ62</f>
        <v>0</v>
      </c>
      <c r="ALE62" s="20" t="n">
        <f aca="false">AEE62-AVR62</f>
        <v>0</v>
      </c>
      <c r="ALF62" s="20" t="n">
        <f aca="false">AEF62-AVS62</f>
        <v>0</v>
      </c>
      <c r="ALG62" s="20" t="n">
        <f aca="false">AEG62-AVT62</f>
        <v>0</v>
      </c>
      <c r="ALH62" s="20" t="n">
        <f aca="false">AEH62-AVU62</f>
        <v>0</v>
      </c>
      <c r="ALI62" s="20" t="n">
        <f aca="false">AEI62-AVV62</f>
        <v>0</v>
      </c>
      <c r="ALJ62" s="20" t="n">
        <f aca="false">AEJ62-AVW62</f>
        <v>0</v>
      </c>
      <c r="ALK62" s="20" t="n">
        <f aca="false">AEK62-AVX62</f>
        <v>0</v>
      </c>
      <c r="ALL62" s="20" t="n">
        <f aca="false">AEL62-AVY62</f>
        <v>0</v>
      </c>
      <c r="ALM62" s="20" t="n">
        <f aca="false">AEM62-AVZ62</f>
        <v>0</v>
      </c>
      <c r="ALN62" s="20" t="n">
        <f aca="false">AEN62-AWA62</f>
        <v>0</v>
      </c>
      <c r="ALO62" s="20" t="n">
        <f aca="false">AEO62-AWB62</f>
        <v>0</v>
      </c>
      <c r="ALP62" s="20" t="n">
        <f aca="false">AEP62-AWC62</f>
        <v>0</v>
      </c>
      <c r="ALQ62" s="20" t="n">
        <f aca="false">AEQ62-AWD62</f>
        <v>0</v>
      </c>
      <c r="ALR62" s="20" t="n">
        <f aca="false">AER62-AWE62</f>
        <v>0</v>
      </c>
      <c r="ALS62" s="20" t="n">
        <f aca="false">AES62-AWF62</f>
        <v>0</v>
      </c>
      <c r="ALT62" s="20" t="n">
        <f aca="false">AET62-AWG62</f>
        <v>0</v>
      </c>
      <c r="ALU62" s="20" t="n">
        <f aca="false">AEU62-AWH62</f>
        <v>0</v>
      </c>
      <c r="ALV62" s="20" t="n">
        <f aca="false">AEV62-AWI62</f>
        <v>0</v>
      </c>
      <c r="ALW62" s="20" t="n">
        <f aca="false">AEW62-AWJ62</f>
        <v>0</v>
      </c>
      <c r="ALX62" s="20" t="n">
        <f aca="false">AEX62-AWK62</f>
        <v>0</v>
      </c>
      <c r="ALY62" s="20" t="n">
        <f aca="false">AEY62-AWL62</f>
        <v>0</v>
      </c>
      <c r="ALZ62" s="20" t="n">
        <f aca="false">AEZ62-AWM62</f>
        <v>0</v>
      </c>
      <c r="AMA62" s="20" t="n">
        <f aca="false">AFA62-AWN62</f>
        <v>0</v>
      </c>
      <c r="AMB62" s="20" t="n">
        <f aca="false">AFB62-AWO62</f>
        <v>0</v>
      </c>
      <c r="AMC62" s="20" t="n">
        <f aca="false">AFC62-AWP62</f>
        <v>0</v>
      </c>
      <c r="AMD62" s="20" t="n">
        <f aca="false">AFD62-AWQ62</f>
        <v>0</v>
      </c>
      <c r="AME62" s="20" t="n">
        <f aca="false">AFE62-AWR62</f>
        <v>0</v>
      </c>
      <c r="AMF62" s="20" t="n">
        <f aca="false">AFF62-AWS62</f>
        <v>0</v>
      </c>
      <c r="AMG62" s="20" t="n">
        <f aca="false">AFG62-AWT62</f>
        <v>0</v>
      </c>
      <c r="AMH62" s="20" t="n">
        <f aca="false">AFH62-AWU62</f>
        <v>0</v>
      </c>
      <c r="AMI62" s="20" t="n">
        <f aca="false">AFI62-AWV62</f>
        <v>0</v>
      </c>
      <c r="AMJ62" s="20" t="n">
        <f aca="false">AFJ62-AWW62</f>
        <v>0</v>
      </c>
      <c r="AMK62" s="20" t="n">
        <f aca="false">AFK62-AWX62</f>
        <v>0</v>
      </c>
      <c r="AML62" s="20" t="n">
        <f aca="false">AFL62-AWY62</f>
        <v>0</v>
      </c>
      <c r="AMM62" s="20" t="n">
        <f aca="false">AFM62-AWZ62</f>
        <v>0</v>
      </c>
      <c r="AMN62" s="20" t="n">
        <f aca="false">AFN62-AXA62</f>
        <v>0</v>
      </c>
      <c r="AMO62" s="20" t="n">
        <f aca="false">AFO62-AXB62</f>
        <v>0</v>
      </c>
      <c r="AMP62" s="20" t="n">
        <f aca="false">AFP62-AXC62</f>
        <v>0</v>
      </c>
      <c r="AMQ62" s="20" t="n">
        <f aca="false">AFQ62-AXD62</f>
        <v>0</v>
      </c>
      <c r="AMR62" s="20" t="n">
        <f aca="false">AFR62-AXE62</f>
        <v>0</v>
      </c>
      <c r="AMS62" s="20" t="n">
        <f aca="false">AFS62-AXF62</f>
        <v>0</v>
      </c>
      <c r="AMT62" s="20" t="n">
        <f aca="false">AFT62-AXG62</f>
        <v>0</v>
      </c>
      <c r="AMU62" s="20" t="n">
        <f aca="false">AFU62-AXH62</f>
        <v>0</v>
      </c>
      <c r="AMV62" s="20" t="n">
        <v>0</v>
      </c>
      <c r="AMW62" s="20" t="n">
        <v>0</v>
      </c>
      <c r="AMX62" s="20" t="n">
        <v>0</v>
      </c>
      <c r="AMY62" s="20" t="n">
        <v>0</v>
      </c>
      <c r="AMZ62" s="20" t="n">
        <v>0</v>
      </c>
      <c r="ANA62" s="20" t="n">
        <v>0</v>
      </c>
      <c r="ANB62" s="20" t="n">
        <v>0</v>
      </c>
      <c r="ANC62" s="20" t="n">
        <v>0</v>
      </c>
      <c r="AND62" s="20" t="n">
        <v>0</v>
      </c>
      <c r="ANE62" s="20" t="n">
        <v>0</v>
      </c>
      <c r="ANF62" s="20" t="n">
        <v>0</v>
      </c>
      <c r="ANG62" s="20" t="n">
        <v>0</v>
      </c>
      <c r="ANH62" s="20" t="n">
        <v>0</v>
      </c>
      <c r="ANI62" s="20" t="n">
        <v>0</v>
      </c>
      <c r="ANJ62" s="20" t="n">
        <v>0</v>
      </c>
      <c r="ANK62" s="20" t="n">
        <v>0</v>
      </c>
      <c r="ANL62" s="20" t="n">
        <v>0</v>
      </c>
      <c r="ANM62" s="20" t="n">
        <v>0</v>
      </c>
      <c r="ANN62" s="20" t="n">
        <v>0</v>
      </c>
      <c r="ANO62" s="20" t="n">
        <v>0</v>
      </c>
      <c r="ANP62" s="20" t="n">
        <v>0</v>
      </c>
      <c r="ANQ62" s="20" t="n">
        <v>0</v>
      </c>
      <c r="ANR62" s="20" t="n">
        <v>0</v>
      </c>
      <c r="ANS62" s="20" t="n">
        <v>0</v>
      </c>
      <c r="ANT62" s="20" t="n">
        <v>0</v>
      </c>
      <c r="ANU62" s="20" t="n">
        <v>0</v>
      </c>
      <c r="ANV62" s="20" t="n">
        <v>0</v>
      </c>
      <c r="ANW62" s="20" t="n">
        <v>0</v>
      </c>
      <c r="ANX62" s="20" t="n">
        <v>0</v>
      </c>
      <c r="ANY62" s="20" t="n">
        <v>0</v>
      </c>
      <c r="ANZ62" s="20" t="n">
        <v>0</v>
      </c>
      <c r="AOA62" s="20" t="n">
        <v>0</v>
      </c>
      <c r="AOB62" s="20" t="n">
        <v>0</v>
      </c>
      <c r="AOC62" s="20" t="n">
        <v>0</v>
      </c>
      <c r="AOD62" s="20" t="n">
        <v>0</v>
      </c>
      <c r="AOE62" s="20" t="n">
        <f aca="false">IF(AND(H_Direct=0,H_TaxEvt=1,ARR61+1&gt;=H_Deemed),AKR62,AHE62)</f>
        <v>0</v>
      </c>
      <c r="AOF62" s="20" t="n">
        <f aca="false">IF(AND(H_Direct=0,H_TaxEvt=1,ARS61+1&gt;=H_Deemed),AKS62,AHF62)</f>
        <v>0</v>
      </c>
      <c r="AOG62" s="20" t="n">
        <f aca="false">IF(AND(H_Direct=0,H_TaxEvt=1,ART61+1&gt;=H_Deemed),AKT62,AHG62)</f>
        <v>0</v>
      </c>
      <c r="AOH62" s="20" t="n">
        <f aca="false">IF(AND(H_Direct=0,H_TaxEvt=1,ARU61+1&gt;=H_Deemed),AKU62,AHH62)</f>
        <v>0</v>
      </c>
      <c r="AOI62" s="20" t="n">
        <f aca="false">IF(AND(H_Direct=0,H_TaxEvt=1,ARV61+1&gt;=H_Deemed),AKV62,AHI62)</f>
        <v>0</v>
      </c>
      <c r="AOJ62" s="20" t="n">
        <f aca="false">IF(AND(H_Direct=0,H_TaxEvt=1,ARW61+1&gt;=H_Deemed),AKW62,AHJ62)</f>
        <v>0</v>
      </c>
      <c r="AOK62" s="20" t="n">
        <f aca="false">IF(AND(H_Direct=0,H_TaxEvt=1,ARX61+1&gt;=H_Deemed),AKX62,AHK62)</f>
        <v>0</v>
      </c>
      <c r="AOL62" s="20" t="n">
        <f aca="false">IF(AND(H_Direct=0,H_TaxEvt=1,ARY61+1&gt;=H_Deemed),AKY62,AHL62)</f>
        <v>0</v>
      </c>
      <c r="AOM62" s="20" t="n">
        <f aca="false">IF(AND(H_Direct=0,H_TaxEvt=1,ARZ61+1&gt;=H_Deemed),AKZ62,AHM62)</f>
        <v>0</v>
      </c>
      <c r="AON62" s="20" t="n">
        <f aca="false">IF(AND(H_Direct=0,H_TaxEvt=1,ASA61+1&gt;=H_Deemed),ALA62,AHN62)</f>
        <v>0</v>
      </c>
      <c r="AOO62" s="20" t="n">
        <f aca="false">IF(AND(H_Direct=0,H_TaxEvt=1,ASB61+1&gt;=H_Deemed),ALB62,AHO62)</f>
        <v>0</v>
      </c>
      <c r="AOP62" s="20" t="n">
        <f aca="false">IF(AND(H_Direct=0,H_TaxEvt=1,ASC61+1&gt;=H_Deemed),ALC62,AHP62)</f>
        <v>0</v>
      </c>
      <c r="AOQ62" s="20" t="n">
        <f aca="false">IF(AND(H_Direct=0,H_TaxEvt=1,ASD61+1&gt;=H_Deemed),ALD62,AHQ62)</f>
        <v>0</v>
      </c>
      <c r="AOR62" s="20" t="n">
        <f aca="false">IF(AND(H_Direct=0,H_TaxEvt=1,ASE61+1&gt;=H_Deemed),ALE62,AHR62)</f>
        <v>0</v>
      </c>
      <c r="AOS62" s="20" t="n">
        <f aca="false">IF(AND(H_Direct=0,H_TaxEvt=1,ASF61+1&gt;=H_Deemed),ALF62,AHS62)</f>
        <v>0</v>
      </c>
      <c r="AOT62" s="20" t="n">
        <f aca="false">IF(AND(H_Direct=0,H_TaxEvt=1,ASG61+1&gt;=H_Deemed),ALG62,AHT62)</f>
        <v>0</v>
      </c>
      <c r="AOU62" s="20" t="n">
        <f aca="false">IF(AND(H_Direct=0,H_TaxEvt=1,ASH61+1&gt;=H_Deemed),ALH62,AHU62)</f>
        <v>0</v>
      </c>
      <c r="AOV62" s="20" t="n">
        <f aca="false">IF(AND(H_Direct=0,H_TaxEvt=1,ASI61+1&gt;=H_Deemed),ALI62,AHV62)</f>
        <v>0</v>
      </c>
      <c r="AOW62" s="20" t="n">
        <f aca="false">IF(AND(H_Direct=0,H_TaxEvt=1,ASJ61+1&gt;=H_Deemed),ALJ62,AHW62)</f>
        <v>0</v>
      </c>
      <c r="AOX62" s="20" t="n">
        <f aca="false">IF(AND(H_Direct=0,H_TaxEvt=1,ASK61+1&gt;=H_Deemed),ALK62,AHX62)</f>
        <v>0</v>
      </c>
      <c r="AOY62" s="20" t="n">
        <f aca="false">IF(AND(H_Direct=0,H_TaxEvt=1,ASL61+1&gt;=H_Deemed),ALL62,AHY62)</f>
        <v>0</v>
      </c>
      <c r="AOZ62" s="20" t="n">
        <f aca="false">IF(AND(H_Direct=0,H_TaxEvt=1,ASM61+1&gt;=H_Deemed),ALM62,AHZ62)</f>
        <v>0</v>
      </c>
      <c r="APA62" s="20" t="n">
        <f aca="false">IF(AND(H_Direct=0,H_TaxEvt=1,ASN61+1&gt;=H_Deemed),ALN62,AIA62)</f>
        <v>0</v>
      </c>
      <c r="APB62" s="20" t="n">
        <f aca="false">IF(AND(H_Direct=0,H_TaxEvt=1,ASO61+1&gt;=H_Deemed),ALO62,AIB62)</f>
        <v>0</v>
      </c>
      <c r="APC62" s="20" t="n">
        <f aca="false">IF(AND(H_Direct=0,H_TaxEvt=1,ASP61+1&gt;=H_Deemed),ALP62,AIC62)</f>
        <v>0</v>
      </c>
      <c r="APD62" s="20" t="n">
        <f aca="false">IF(AND(H_Direct=0,H_TaxEvt=1,ASQ61+1&gt;=H_Deemed),ALQ62,AID62)</f>
        <v>0</v>
      </c>
      <c r="APE62" s="20" t="n">
        <f aca="false">IF(AND(H_Direct=0,H_TaxEvt=1,ASR61+1&gt;=H_Deemed),ALR62,AIE62)</f>
        <v>0</v>
      </c>
      <c r="APF62" s="20" t="n">
        <f aca="false">IF(AND(H_Direct=0,H_TaxEvt=1,ASS61+1&gt;=H_Deemed),ALS62,AIF62)</f>
        <v>0</v>
      </c>
      <c r="APG62" s="20" t="n">
        <f aca="false">IF(AND(H_Direct=0,H_TaxEvt=1,AST61+1&gt;=H_Deemed),ALT62,AIG62)</f>
        <v>0</v>
      </c>
      <c r="APH62" s="20" t="n">
        <f aca="false">IF(AND(H_Direct=0,H_TaxEvt=1,ASU61+1&gt;=H_Deemed),ALU62,AIH62)</f>
        <v>0</v>
      </c>
      <c r="API62" s="20" t="n">
        <f aca="false">IF(AND(H_Direct=0,H_TaxEvt=1,ASV61+1&gt;=H_Deemed),ALV62,AII62)</f>
        <v>0</v>
      </c>
      <c r="APJ62" s="20" t="n">
        <f aca="false">IF(AND(H_Direct=0,H_TaxEvt=1,ASW61+1&gt;=H_Deemed),ALW62,AIJ62)</f>
        <v>0</v>
      </c>
      <c r="APK62" s="20" t="n">
        <f aca="false">IF(AND(H_Direct=0,H_TaxEvt=1,ASX61+1&gt;=H_Deemed),ALX62,AIK62)</f>
        <v>0</v>
      </c>
      <c r="APL62" s="20" t="n">
        <f aca="false">IF(AND(H_Direct=0,H_TaxEvt=1,ASY61+1&gt;=H_Deemed),ALY62,AIL62)</f>
        <v>0</v>
      </c>
      <c r="APM62" s="20" t="n">
        <f aca="false">IF(AND(H_Direct=0,H_TaxEvt=1,ASZ61+1&gt;=H_Deemed),ALZ62,AIM62)</f>
        <v>0</v>
      </c>
      <c r="APN62" s="20" t="n">
        <f aca="false">IF(AND(H_Direct=0,H_TaxEvt=1,ATA61+1&gt;=H_Deemed),AMA62,AIN62)</f>
        <v>0</v>
      </c>
      <c r="APO62" s="20" t="n">
        <f aca="false">IF(AND(H_Direct=0,H_TaxEvt=1,ATB61+1&gt;=H_Deemed),AMB62,AIO62)</f>
        <v>0</v>
      </c>
      <c r="APP62" s="20" t="n">
        <f aca="false">IF(AND(H_Direct=0,H_TaxEvt=1,ATC61+1&gt;=H_Deemed),AMC62,AIP62)</f>
        <v>0</v>
      </c>
      <c r="APQ62" s="20" t="n">
        <f aca="false">IF(AND(H_Direct=0,H_TaxEvt=1,ATD61+1&gt;=H_Deemed),AMD62,AIQ62)</f>
        <v>0</v>
      </c>
      <c r="APR62" s="20" t="n">
        <f aca="false">IF(AND(H_Direct=0,H_TaxEvt=1,ATE61+1&gt;=H_Deemed),AME62,AIR62)</f>
        <v>0</v>
      </c>
      <c r="APS62" s="20" t="n">
        <f aca="false">IF(AND(H_Direct=0,H_TaxEvt=1,ATF61+1&gt;=H_Deemed),AMF62,AIS62)</f>
        <v>0</v>
      </c>
      <c r="APT62" s="20" t="n">
        <f aca="false">IF(AND(H_Direct=0,H_TaxEvt=1,ATG61+1&gt;=H_Deemed),AMG62,AIT62)</f>
        <v>0</v>
      </c>
      <c r="APU62" s="20" t="n">
        <f aca="false">IF(AND(H_Direct=0,H_TaxEvt=1,ATH61+1&gt;=H_Deemed),AMH62,AIU62)</f>
        <v>0</v>
      </c>
      <c r="APV62" s="20" t="n">
        <f aca="false">IF(AND(H_Direct=0,H_TaxEvt=1,ATI61+1&gt;=H_Deemed),AMI62,AIV62)</f>
        <v>0</v>
      </c>
      <c r="APW62" s="20" t="n">
        <f aca="false">IF(AND(H_Direct=0,H_TaxEvt=1,ATJ61+1&gt;=H_Deemed),AMJ62,AIW62)</f>
        <v>0</v>
      </c>
      <c r="APX62" s="20" t="n">
        <f aca="false">IF(AND(H_Direct=0,H_TaxEvt=1,ATK61+1&gt;=H_Deemed),AMK62,AIX62)</f>
        <v>0</v>
      </c>
      <c r="APY62" s="20" t="n">
        <f aca="false">IF(AND(H_Direct=0,H_TaxEvt=1,ATL61+1&gt;=H_Deemed),AML62,AIY62)</f>
        <v>0</v>
      </c>
      <c r="APZ62" s="20" t="n">
        <f aca="false">IF(AND(H_Direct=0,H_TaxEvt=1,ATM61+1&gt;=H_Deemed),AMM62,AIZ62)</f>
        <v>0</v>
      </c>
      <c r="AQA62" s="20" t="n">
        <f aca="false">IF(AND(H_Direct=0,H_TaxEvt=1,ATN61+1&gt;=H_Deemed),AMN62,AJA62)</f>
        <v>0</v>
      </c>
      <c r="AQB62" s="20" t="n">
        <f aca="false">IF(AND(H_Direct=0,H_TaxEvt=1,ATO61+1&gt;=H_Deemed),AMO62,AJB62)</f>
        <v>0</v>
      </c>
      <c r="AQC62" s="20" t="n">
        <f aca="false">IF(AND(H_Direct=0,H_TaxEvt=1,ATP61+1&gt;=H_Deemed),AMP62,AJC62)</f>
        <v>0</v>
      </c>
      <c r="AQD62" s="20" t="n">
        <f aca="false">IF(AND(H_Direct=0,H_TaxEvt=1,ATQ61+1&gt;=H_Deemed),AMQ62,AJD62)</f>
        <v>0</v>
      </c>
      <c r="AQE62" s="20" t="n">
        <f aca="false">IF(AND(H_Direct=0,H_TaxEvt=1,ATR61+1&gt;=H_Deemed),AMR62,AJE62)</f>
        <v>0</v>
      </c>
      <c r="AQF62" s="20" t="n">
        <f aca="false">IF(AND(H_Direct=0,H_TaxEvt=1,ATS61+1&gt;=H_Deemed),AMS62,AJF62)</f>
        <v>0</v>
      </c>
      <c r="AQG62" s="20" t="n">
        <f aca="false">IF(AND(H_Direct=0,H_TaxEvt=1,ATT61+1&gt;=H_Deemed),AMT62,AJG62)</f>
        <v>0</v>
      </c>
      <c r="AQH62" s="20" t="n">
        <f aca="false">IF(AND(H_Direct=0,H_TaxEvt=1,0+1&gt;=H_Deemed),AMU62,AJH62)</f>
        <v>0</v>
      </c>
      <c r="AQI62" s="20" t="n">
        <v>0</v>
      </c>
      <c r="AQJ62" s="20" t="n">
        <v>0</v>
      </c>
      <c r="AQK62" s="20" t="n">
        <v>0</v>
      </c>
      <c r="AQL62" s="20" t="n">
        <v>0</v>
      </c>
      <c r="AQM62" s="20" t="n">
        <v>0</v>
      </c>
      <c r="AQN62" s="20" t="n">
        <v>0</v>
      </c>
      <c r="AQO62" s="20" t="n">
        <v>0</v>
      </c>
      <c r="AQP62" s="20" t="n">
        <v>0</v>
      </c>
      <c r="AQQ62" s="20" t="n">
        <v>0</v>
      </c>
      <c r="AQR62" s="20" t="n">
        <v>0</v>
      </c>
      <c r="AQS62" s="20" t="n">
        <v>0</v>
      </c>
      <c r="AQT62" s="20" t="n">
        <v>0</v>
      </c>
      <c r="AQU62" s="20" t="n">
        <v>0</v>
      </c>
      <c r="AQV62" s="20" t="n">
        <v>0</v>
      </c>
      <c r="AQW62" s="20" t="n">
        <v>0</v>
      </c>
      <c r="AQX62" s="20" t="n">
        <v>0</v>
      </c>
      <c r="AQY62" s="20" t="n">
        <v>0</v>
      </c>
      <c r="AQZ62" s="20" t="n">
        <v>0</v>
      </c>
      <c r="ARA62" s="20" t="n">
        <v>0</v>
      </c>
      <c r="ARB62" s="20" t="n">
        <v>0</v>
      </c>
      <c r="ARC62" s="20" t="n">
        <v>0</v>
      </c>
      <c r="ARD62" s="20" t="n">
        <v>0</v>
      </c>
      <c r="ARE62" s="20" t="n">
        <v>0</v>
      </c>
      <c r="ARF62" s="20" t="n">
        <v>0</v>
      </c>
      <c r="ARG62" s="20" t="n">
        <v>0</v>
      </c>
      <c r="ARH62" s="20" t="n">
        <v>0</v>
      </c>
      <c r="ARI62" s="20" t="n">
        <v>0</v>
      </c>
      <c r="ARJ62" s="20" t="n">
        <v>0</v>
      </c>
      <c r="ARK62" s="20" t="n">
        <v>0</v>
      </c>
      <c r="ARL62" s="20" t="n">
        <v>0</v>
      </c>
      <c r="ARM62" s="20" t="n">
        <v>0</v>
      </c>
      <c r="ARN62" s="20" t="n">
        <v>0</v>
      </c>
      <c r="ARO62" s="20" t="n">
        <v>0</v>
      </c>
      <c r="ARP62" s="20" t="n">
        <v>0</v>
      </c>
      <c r="ARQ62" s="20" t="n">
        <v>0</v>
      </c>
      <c r="ARR62" s="20" t="n">
        <f aca="false">IF(AND(H_Direct=0,H_TaxEvt=1),IF(ARR61+1&gt;=H_Deemed,0,ARR61+1),ARR61)</f>
        <v>7</v>
      </c>
      <c r="ARS62" s="20" t="n">
        <f aca="false">IF(AND(H_Direct=0,H_TaxEvt=1),IF(ARS61+1&gt;=H_Deemed,0,ARS61+1),ARS61)</f>
        <v>7</v>
      </c>
      <c r="ART62" s="20" t="n">
        <f aca="false">IF(AND(H_Direct=0,H_TaxEvt=1),IF(ART61+1&gt;=H_Deemed,0,ART61+1),ART61)</f>
        <v>6</v>
      </c>
      <c r="ARU62" s="20" t="n">
        <f aca="false">IF(AND(H_Direct=0,H_TaxEvt=1),IF(ARU61+1&gt;=H_Deemed,0,ARU61+1),ARU61)</f>
        <v>5</v>
      </c>
      <c r="ARV62" s="20" t="n">
        <f aca="false">IF(AND(H_Direct=0,H_TaxEvt=1),IF(ARV61+1&gt;=H_Deemed,0,ARV61+1),ARV61)</f>
        <v>4</v>
      </c>
      <c r="ARW62" s="20" t="n">
        <f aca="false">IF(AND(H_Direct=0,H_TaxEvt=1),IF(ARW61+1&gt;=H_Deemed,0,ARW61+1),ARW61)</f>
        <v>3</v>
      </c>
      <c r="ARX62" s="20" t="n">
        <f aca="false">IF(AND(H_Direct=0,H_TaxEvt=1),IF(ARX61+1&gt;=H_Deemed,0,ARX61+1),ARX61)</f>
        <v>2</v>
      </c>
      <c r="ARY62" s="20" t="n">
        <f aca="false">IF(AND(H_Direct=0,H_TaxEvt=1),IF(ARY61+1&gt;=H_Deemed,0,ARY61+1),ARY61)</f>
        <v>1</v>
      </c>
      <c r="ARZ62" s="20" t="n">
        <f aca="false">IF(AND(H_Direct=0,H_TaxEvt=1),IF(ARZ61+1&gt;=H_Deemed,0,ARZ61+1),ARZ61)</f>
        <v>0</v>
      </c>
      <c r="ASA62" s="20" t="n">
        <f aca="false">IF(AND(H_Direct=0,H_TaxEvt=1),IF(ASA61+1&gt;=H_Deemed,0,ASA61+1),ASA61)</f>
        <v>7</v>
      </c>
      <c r="ASB62" s="20" t="n">
        <f aca="false">IF(AND(H_Direct=0,H_TaxEvt=1),IF(ASB61+1&gt;=H_Deemed,0,ASB61+1),ASB61)</f>
        <v>6</v>
      </c>
      <c r="ASC62" s="20" t="n">
        <f aca="false">IF(AND(H_Direct=0,H_TaxEvt=1),IF(ASC61+1&gt;=H_Deemed,0,ASC61+1),ASC61)</f>
        <v>5</v>
      </c>
      <c r="ASD62" s="20" t="n">
        <f aca="false">IF(AND(H_Direct=0,H_TaxEvt=1),IF(ASD61+1&gt;=H_Deemed,0,ASD61+1),ASD61)</f>
        <v>4</v>
      </c>
      <c r="ASE62" s="20" t="n">
        <f aca="false">IF(AND(H_Direct=0,H_TaxEvt=1),IF(ASE61+1&gt;=H_Deemed,0,ASE61+1),ASE61)</f>
        <v>3</v>
      </c>
      <c r="ASF62" s="20" t="n">
        <f aca="false">IF(AND(H_Direct=0,H_TaxEvt=1),IF(ASF61+1&gt;=H_Deemed,0,ASF61+1),ASF61)</f>
        <v>2</v>
      </c>
      <c r="ASG62" s="20" t="n">
        <f aca="false">IF(AND(H_Direct=0,H_TaxEvt=1),IF(ASG61+1&gt;=H_Deemed,0,ASG61+1),ASG61)</f>
        <v>1</v>
      </c>
      <c r="ASH62" s="20" t="n">
        <f aca="false">IF(AND(H_Direct=0,H_TaxEvt=1),IF(ASH61+1&gt;=H_Deemed,0,ASH61+1),ASH61)</f>
        <v>0</v>
      </c>
      <c r="ASI62" s="20" t="n">
        <f aca="false">IF(AND(H_Direct=0,H_TaxEvt=1),IF(ASI61+1&gt;=H_Deemed,0,ASI61+1),ASI61)</f>
        <v>7</v>
      </c>
      <c r="ASJ62" s="20" t="n">
        <f aca="false">IF(AND(H_Direct=0,H_TaxEvt=1),IF(ASJ61+1&gt;=H_Deemed,0,ASJ61+1),ASJ61)</f>
        <v>6</v>
      </c>
      <c r="ASK62" s="20" t="n">
        <f aca="false">IF(AND(H_Direct=0,H_TaxEvt=1),IF(ASK61+1&gt;=H_Deemed,0,ASK61+1),ASK61)</f>
        <v>5</v>
      </c>
      <c r="ASL62" s="20" t="n">
        <f aca="false">IF(AND(H_Direct=0,H_TaxEvt=1),IF(ASL61+1&gt;=H_Deemed,0,ASL61+1),ASL61)</f>
        <v>4</v>
      </c>
      <c r="ASM62" s="20" t="n">
        <f aca="false">IF(AND(H_Direct=0,H_TaxEvt=1),IF(ASM61+1&gt;=H_Deemed,0,ASM61+1),ASM61)</f>
        <v>3</v>
      </c>
      <c r="ASN62" s="20" t="n">
        <f aca="false">IF(AND(H_Direct=0,H_TaxEvt=1),IF(ASN61+1&gt;=H_Deemed,0,ASN61+1),ASN61)</f>
        <v>2</v>
      </c>
      <c r="ASO62" s="20" t="n">
        <f aca="false">IF(AND(H_Direct=0,H_TaxEvt=1),IF(ASO61+1&gt;=H_Deemed,0,ASO61+1),ASO61)</f>
        <v>1</v>
      </c>
      <c r="ASP62" s="20" t="n">
        <f aca="false">IF(AND(H_Direct=0,H_TaxEvt=1),IF(ASP61+1&gt;=H_Deemed,0,ASP61+1),ASP61)</f>
        <v>0</v>
      </c>
      <c r="ASQ62" s="20" t="n">
        <f aca="false">IF(AND(H_Direct=0,H_TaxEvt=1),IF(ASQ61+1&gt;=H_Deemed,0,ASQ61+1),ASQ61)</f>
        <v>7</v>
      </c>
      <c r="ASR62" s="20" t="n">
        <f aca="false">IF(AND(H_Direct=0,H_TaxEvt=1),IF(ASR61+1&gt;=H_Deemed,0,ASR61+1),ASR61)</f>
        <v>6</v>
      </c>
      <c r="ASS62" s="20" t="n">
        <f aca="false">IF(AND(H_Direct=0,H_TaxEvt=1),IF(ASS61+1&gt;=H_Deemed,0,ASS61+1),ASS61)</f>
        <v>5</v>
      </c>
      <c r="AST62" s="20" t="n">
        <f aca="false">IF(AND(H_Direct=0,H_TaxEvt=1),IF(AST61+1&gt;=H_Deemed,0,AST61+1),AST61)</f>
        <v>4</v>
      </c>
      <c r="ASU62" s="20" t="n">
        <f aca="false">IF(AND(H_Direct=0,H_TaxEvt=1),IF(ASU61+1&gt;=H_Deemed,0,ASU61+1),ASU61)</f>
        <v>3</v>
      </c>
      <c r="ASV62" s="20" t="n">
        <f aca="false">IF(AND(H_Direct=0,H_TaxEvt=1),IF(ASV61+1&gt;=H_Deemed,0,ASV61+1),ASV61)</f>
        <v>2</v>
      </c>
      <c r="ASW62" s="20" t="n">
        <f aca="false">IF(AND(H_Direct=0,H_TaxEvt=1),IF(ASW61+1&gt;=H_Deemed,0,ASW61+1),ASW61)</f>
        <v>1</v>
      </c>
      <c r="ASX62" s="20" t="n">
        <f aca="false">IF(AND(H_Direct=0,H_TaxEvt=1),IF(ASX61+1&gt;=H_Deemed,0,ASX61+1),ASX61)</f>
        <v>0</v>
      </c>
      <c r="ASY62" s="20" t="n">
        <f aca="false">IF(AND(H_Direct=0,H_TaxEvt=1),IF(ASY61+1&gt;=H_Deemed,0,ASY61+1),ASY61)</f>
        <v>7</v>
      </c>
      <c r="ASZ62" s="20" t="n">
        <f aca="false">IF(AND(H_Direct=0,H_TaxEvt=1),IF(ASZ61+1&gt;=H_Deemed,0,ASZ61+1),ASZ61)</f>
        <v>6</v>
      </c>
      <c r="ATA62" s="20" t="n">
        <f aca="false">IF(AND(H_Direct=0,H_TaxEvt=1),IF(ATA61+1&gt;=H_Deemed,0,ATA61+1),ATA61)</f>
        <v>5</v>
      </c>
      <c r="ATB62" s="20" t="n">
        <f aca="false">IF(AND(H_Direct=0,H_TaxEvt=1),IF(ATB61+1&gt;=H_Deemed,0,ATB61+1),ATB61)</f>
        <v>4</v>
      </c>
      <c r="ATC62" s="20" t="n">
        <f aca="false">IF(AND(H_Direct=0,H_TaxEvt=1),IF(ATC61+1&gt;=H_Deemed,0,ATC61+1),ATC61)</f>
        <v>3</v>
      </c>
      <c r="ATD62" s="20" t="n">
        <f aca="false">IF(AND(H_Direct=0,H_TaxEvt=1),IF(ATD61+1&gt;=H_Deemed,0,ATD61+1),ATD61)</f>
        <v>2</v>
      </c>
      <c r="ATE62" s="20" t="n">
        <f aca="false">IF(AND(H_Direct=0,H_TaxEvt=1),IF(ATE61+1&gt;=H_Deemed,0,ATE61+1),ATE61)</f>
        <v>1</v>
      </c>
      <c r="ATF62" s="20" t="n">
        <f aca="false">IF(AND(H_Direct=0,H_TaxEvt=1),IF(ATF61+1&gt;=H_Deemed,0,ATF61+1),ATF61)</f>
        <v>0</v>
      </c>
      <c r="ATG62" s="20" t="n">
        <f aca="false">IF(AND(H_Direct=0,H_TaxEvt=1),IF(ATG61+1&gt;=H_Deemed,0,ATG61+1),ATG61)</f>
        <v>7</v>
      </c>
      <c r="ATH62" s="20" t="n">
        <f aca="false">IF(AND(H_Direct=0,H_TaxEvt=1),IF(ATH61+1&gt;=H_Deemed,0,ATH61+1),ATH61)</f>
        <v>6</v>
      </c>
      <c r="ATI62" s="20" t="n">
        <f aca="false">IF(AND(H_Direct=0,H_TaxEvt=1),IF(ATI61+1&gt;=H_Deemed,0,ATI61+1),ATI61)</f>
        <v>5</v>
      </c>
      <c r="ATJ62" s="20" t="n">
        <f aca="false">IF(AND(H_Direct=0,H_TaxEvt=1),IF(ATJ61+1&gt;=H_Deemed,0,ATJ61+1),ATJ61)</f>
        <v>4</v>
      </c>
      <c r="ATK62" s="20" t="n">
        <f aca="false">IF(AND(H_Direct=0,H_TaxEvt=1),IF(ATK61+1&gt;=H_Deemed,0,ATK61+1),ATK61)</f>
        <v>3</v>
      </c>
      <c r="ATL62" s="20" t="n">
        <f aca="false">IF(AND(H_Direct=0,H_TaxEvt=1),IF(ATL61+1&gt;=H_Deemed,0,ATL61+1),ATL61)</f>
        <v>2</v>
      </c>
      <c r="ATM62" s="20" t="n">
        <f aca="false">IF(AND(H_Direct=0,H_TaxEvt=1),IF(ATM61+1&gt;=H_Deemed,0,ATM61+1),ATM61)</f>
        <v>1</v>
      </c>
      <c r="ATN62" s="20" t="n">
        <f aca="false">IF(AND(H_Direct=0,H_TaxEvt=1),IF(ATN61+1&gt;=H_Deemed,0,ATN61+1),ATN61)</f>
        <v>0</v>
      </c>
      <c r="ATO62" s="20" t="n">
        <f aca="false">IF(AND(H_Direct=0,H_TaxEvt=1),IF(ATO61+1&gt;=H_Deemed,0,ATO61+1),ATO61)</f>
        <v>7</v>
      </c>
      <c r="ATP62" s="20" t="n">
        <f aca="false">IF(AND(H_Direct=0,H_TaxEvt=1),IF(ATP61+1&gt;=H_Deemed,0,ATP61+1),ATP61)</f>
        <v>6</v>
      </c>
      <c r="ATQ62" s="20" t="n">
        <f aca="false">IF(AND(H_Direct=0,H_TaxEvt=1),IF(ATQ61+1&gt;=H_Deemed,0,ATQ61+1),ATQ61)</f>
        <v>5</v>
      </c>
      <c r="ATR62" s="20" t="n">
        <f aca="false">IF(AND(H_Direct=0,H_TaxEvt=1),IF(ATR61+1&gt;=H_Deemed,0,ATR61+1),ATR61)</f>
        <v>4</v>
      </c>
      <c r="ATS62" s="20" t="n">
        <f aca="false">IF(AND(H_Direct=0,H_TaxEvt=1),IF(ATS61+1&gt;=H_Deemed,0,ATS61+1),ATS61)</f>
        <v>3</v>
      </c>
      <c r="ATT62" s="20" t="n">
        <f aca="false">IF(AND(H_Direct=0,H_TaxEvt=1),IF(ATT61+1&gt;=H_Deemed,0,ATT61+1),ATT61)</f>
        <v>2</v>
      </c>
      <c r="ATU62" s="20" t="n">
        <f aca="false">IF(AND(H_Direct=0,H_TaxEvt=1),IF(0+1&gt;=H_Deemed,0,0+1),0)</f>
        <v>1</v>
      </c>
      <c r="ATV62" s="20" t="n">
        <v>0</v>
      </c>
      <c r="ATW62" s="20" t="n">
        <v>0</v>
      </c>
      <c r="ATX62" s="20" t="n">
        <v>0</v>
      </c>
      <c r="ATY62" s="20" t="n">
        <v>0</v>
      </c>
      <c r="ATZ62" s="20" t="n">
        <v>0</v>
      </c>
      <c r="AUA62" s="20" t="n">
        <v>0</v>
      </c>
      <c r="AUB62" s="20" t="n">
        <v>0</v>
      </c>
      <c r="AUC62" s="20" t="n">
        <v>0</v>
      </c>
      <c r="AUD62" s="20" t="n">
        <v>0</v>
      </c>
      <c r="AUE62" s="20" t="n">
        <v>0</v>
      </c>
      <c r="AUF62" s="20" t="n">
        <v>0</v>
      </c>
      <c r="AUG62" s="20" t="n">
        <v>0</v>
      </c>
      <c r="AUH62" s="20" t="n">
        <v>0</v>
      </c>
      <c r="AUI62" s="20" t="n">
        <v>0</v>
      </c>
      <c r="AUJ62" s="20" t="n">
        <v>0</v>
      </c>
      <c r="AUK62" s="20" t="n">
        <v>0</v>
      </c>
      <c r="AUL62" s="20" t="n">
        <v>0</v>
      </c>
      <c r="AUM62" s="20" t="n">
        <v>0</v>
      </c>
      <c r="AUN62" s="20" t="n">
        <v>0</v>
      </c>
      <c r="AUO62" s="20" t="n">
        <v>0</v>
      </c>
      <c r="AUP62" s="20" t="n">
        <v>0</v>
      </c>
      <c r="AUQ62" s="20" t="n">
        <v>0</v>
      </c>
      <c r="AUR62" s="20" t="n">
        <v>0</v>
      </c>
      <c r="AUS62" s="20" t="n">
        <v>0</v>
      </c>
      <c r="AUT62" s="20" t="n">
        <v>0</v>
      </c>
      <c r="AUU62" s="20" t="n">
        <v>0</v>
      </c>
      <c r="AUV62" s="20" t="n">
        <v>0</v>
      </c>
      <c r="AUW62" s="20" t="n">
        <v>0</v>
      </c>
      <c r="AUX62" s="20" t="n">
        <v>0</v>
      </c>
      <c r="AUY62" s="20" t="n">
        <v>0</v>
      </c>
      <c r="AUZ62" s="20" t="n">
        <v>0</v>
      </c>
      <c r="AVA62" s="20" t="n">
        <v>0</v>
      </c>
      <c r="AVB62" s="20" t="n">
        <v>0</v>
      </c>
      <c r="AVC62" s="20" t="n">
        <v>0</v>
      </c>
      <c r="AVD62" s="20" t="n">
        <v>0</v>
      </c>
      <c r="AVE62" s="20" t="n">
        <f aca="false">IF(AND(H_Direct=0,H_TaxEvt=1,ARR61+1&gt;=H_Deemed),MAX(0,ADR62-AHE62)*H_Exit,0)</f>
        <v>0</v>
      </c>
      <c r="AVF62" s="20" t="n">
        <f aca="false">IF(AND(H_Direct=0,H_TaxEvt=1,ARS61+1&gt;=H_Deemed),MAX(0,ADS62-AHF62)*H_Exit,0)</f>
        <v>0</v>
      </c>
      <c r="AVG62" s="20" t="n">
        <f aca="false">IF(AND(H_Direct=0,H_TaxEvt=1,ART61+1&gt;=H_Deemed),MAX(0,ADT62-AHG62)*H_Exit,0)</f>
        <v>0</v>
      </c>
      <c r="AVH62" s="20" t="n">
        <f aca="false">IF(AND(H_Direct=0,H_TaxEvt=1,ARU61+1&gt;=H_Deemed),MAX(0,ADU62-AHH62)*H_Exit,0)</f>
        <v>0</v>
      </c>
      <c r="AVI62" s="20" t="n">
        <f aca="false">IF(AND(H_Direct=0,H_TaxEvt=1,ARV61+1&gt;=H_Deemed),MAX(0,ADV62-AHI62)*H_Exit,0)</f>
        <v>0</v>
      </c>
      <c r="AVJ62" s="20" t="n">
        <f aca="false">IF(AND(H_Direct=0,H_TaxEvt=1,ARW61+1&gt;=H_Deemed),MAX(0,ADW62-AHJ62)*H_Exit,0)</f>
        <v>0</v>
      </c>
      <c r="AVK62" s="20" t="n">
        <f aca="false">IF(AND(H_Direct=0,H_TaxEvt=1,ARX61+1&gt;=H_Deemed),MAX(0,ADX62-AHK62)*H_Exit,0)</f>
        <v>0</v>
      </c>
      <c r="AVL62" s="20" t="n">
        <f aca="false">IF(AND(H_Direct=0,H_TaxEvt=1,ARY61+1&gt;=H_Deemed),MAX(0,ADY62-AHL62)*H_Exit,0)</f>
        <v>0</v>
      </c>
      <c r="AVM62" s="20" t="n">
        <f aca="false">IF(AND(H_Direct=0,H_TaxEvt=1,ARZ61+1&gt;=H_Deemed),MAX(0,ADZ62-AHM62)*H_Exit,0)</f>
        <v>0</v>
      </c>
      <c r="AVN62" s="20" t="n">
        <f aca="false">IF(AND(H_Direct=0,H_TaxEvt=1,ASA61+1&gt;=H_Deemed),MAX(0,AEA62-AHN62)*H_Exit,0)</f>
        <v>0</v>
      </c>
      <c r="AVO62" s="20" t="n">
        <f aca="false">IF(AND(H_Direct=0,H_TaxEvt=1,ASB61+1&gt;=H_Deemed),MAX(0,AEB62-AHO62)*H_Exit,0)</f>
        <v>0</v>
      </c>
      <c r="AVP62" s="20" t="n">
        <f aca="false">IF(AND(H_Direct=0,H_TaxEvt=1,ASC61+1&gt;=H_Deemed),MAX(0,AEC62-AHP62)*H_Exit,0)</f>
        <v>0</v>
      </c>
      <c r="AVQ62" s="20" t="n">
        <f aca="false">IF(AND(H_Direct=0,H_TaxEvt=1,ASD61+1&gt;=H_Deemed),MAX(0,AED62-AHQ62)*H_Exit,0)</f>
        <v>0</v>
      </c>
      <c r="AVR62" s="20" t="n">
        <f aca="false">IF(AND(H_Direct=0,H_TaxEvt=1,ASE61+1&gt;=H_Deemed),MAX(0,AEE62-AHR62)*H_Exit,0)</f>
        <v>0</v>
      </c>
      <c r="AVS62" s="20" t="n">
        <f aca="false">IF(AND(H_Direct=0,H_TaxEvt=1,ASF61+1&gt;=H_Deemed),MAX(0,AEF62-AHS62)*H_Exit,0)</f>
        <v>0</v>
      </c>
      <c r="AVT62" s="20" t="n">
        <f aca="false">IF(AND(H_Direct=0,H_TaxEvt=1,ASG61+1&gt;=H_Deemed),MAX(0,AEG62-AHT62)*H_Exit,0)</f>
        <v>0</v>
      </c>
      <c r="AVU62" s="20" t="n">
        <f aca="false">IF(AND(H_Direct=0,H_TaxEvt=1,ASH61+1&gt;=H_Deemed),MAX(0,AEH62-AHU62)*H_Exit,0)</f>
        <v>0</v>
      </c>
      <c r="AVV62" s="20" t="n">
        <f aca="false">IF(AND(H_Direct=0,H_TaxEvt=1,ASI61+1&gt;=H_Deemed),MAX(0,AEI62-AHV62)*H_Exit,0)</f>
        <v>0</v>
      </c>
      <c r="AVW62" s="20" t="n">
        <f aca="false">IF(AND(H_Direct=0,H_TaxEvt=1,ASJ61+1&gt;=H_Deemed),MAX(0,AEJ62-AHW62)*H_Exit,0)</f>
        <v>0</v>
      </c>
      <c r="AVX62" s="20" t="n">
        <f aca="false">IF(AND(H_Direct=0,H_TaxEvt=1,ASK61+1&gt;=H_Deemed),MAX(0,AEK62-AHX62)*H_Exit,0)</f>
        <v>0</v>
      </c>
      <c r="AVY62" s="20" t="n">
        <f aca="false">IF(AND(H_Direct=0,H_TaxEvt=1,ASL61+1&gt;=H_Deemed),MAX(0,AEL62-AHY62)*H_Exit,0)</f>
        <v>0</v>
      </c>
      <c r="AVZ62" s="20" t="n">
        <f aca="false">IF(AND(H_Direct=0,H_TaxEvt=1,ASM61+1&gt;=H_Deemed),MAX(0,AEM62-AHZ62)*H_Exit,0)</f>
        <v>0</v>
      </c>
      <c r="AWA62" s="20" t="n">
        <f aca="false">IF(AND(H_Direct=0,H_TaxEvt=1,ASN61+1&gt;=H_Deemed),MAX(0,AEN62-AIA62)*H_Exit,0)</f>
        <v>0</v>
      </c>
      <c r="AWB62" s="20" t="n">
        <f aca="false">IF(AND(H_Direct=0,H_TaxEvt=1,ASO61+1&gt;=H_Deemed),MAX(0,AEO62-AIB62)*H_Exit,0)</f>
        <v>0</v>
      </c>
      <c r="AWC62" s="20" t="n">
        <f aca="false">IF(AND(H_Direct=0,H_TaxEvt=1,ASP61+1&gt;=H_Deemed),MAX(0,AEP62-AIC62)*H_Exit,0)</f>
        <v>0</v>
      </c>
      <c r="AWD62" s="20" t="n">
        <f aca="false">IF(AND(H_Direct=0,H_TaxEvt=1,ASQ61+1&gt;=H_Deemed),MAX(0,AEQ62-AID62)*H_Exit,0)</f>
        <v>0</v>
      </c>
      <c r="AWE62" s="20" t="n">
        <f aca="false">IF(AND(H_Direct=0,H_TaxEvt=1,ASR61+1&gt;=H_Deemed),MAX(0,AER62-AIE62)*H_Exit,0)</f>
        <v>0</v>
      </c>
      <c r="AWF62" s="20" t="n">
        <f aca="false">IF(AND(H_Direct=0,H_TaxEvt=1,ASS61+1&gt;=H_Deemed),MAX(0,AES62-AIF62)*H_Exit,0)</f>
        <v>0</v>
      </c>
      <c r="AWG62" s="20" t="n">
        <f aca="false">IF(AND(H_Direct=0,H_TaxEvt=1,AST61+1&gt;=H_Deemed),MAX(0,AET62-AIG62)*H_Exit,0)</f>
        <v>0</v>
      </c>
      <c r="AWH62" s="20" t="n">
        <f aca="false">IF(AND(H_Direct=0,H_TaxEvt=1,ASU61+1&gt;=H_Deemed),MAX(0,AEU62-AIH62)*H_Exit,0)</f>
        <v>0</v>
      </c>
      <c r="AWI62" s="20" t="n">
        <f aca="false">IF(AND(H_Direct=0,H_TaxEvt=1,ASV61+1&gt;=H_Deemed),MAX(0,AEV62-AII62)*H_Exit,0)</f>
        <v>0</v>
      </c>
      <c r="AWJ62" s="20" t="n">
        <f aca="false">IF(AND(H_Direct=0,H_TaxEvt=1,ASW61+1&gt;=H_Deemed),MAX(0,AEW62-AIJ62)*H_Exit,0)</f>
        <v>0</v>
      </c>
      <c r="AWK62" s="20" t="n">
        <f aca="false">IF(AND(H_Direct=0,H_TaxEvt=1,ASX61+1&gt;=H_Deemed),MAX(0,AEX62-AIK62)*H_Exit,0)</f>
        <v>0</v>
      </c>
      <c r="AWL62" s="20" t="n">
        <f aca="false">IF(AND(H_Direct=0,H_TaxEvt=1,ASY61+1&gt;=H_Deemed),MAX(0,AEY62-AIL62)*H_Exit,0)</f>
        <v>0</v>
      </c>
      <c r="AWM62" s="20" t="n">
        <f aca="false">IF(AND(H_Direct=0,H_TaxEvt=1,ASZ61+1&gt;=H_Deemed),MAX(0,AEZ62-AIM62)*H_Exit,0)</f>
        <v>0</v>
      </c>
      <c r="AWN62" s="20" t="n">
        <f aca="false">IF(AND(H_Direct=0,H_TaxEvt=1,ATA61+1&gt;=H_Deemed),MAX(0,AFA62-AIN62)*H_Exit,0)</f>
        <v>0</v>
      </c>
      <c r="AWO62" s="20" t="n">
        <f aca="false">IF(AND(H_Direct=0,H_TaxEvt=1,ATB61+1&gt;=H_Deemed),MAX(0,AFB62-AIO62)*H_Exit,0)</f>
        <v>0</v>
      </c>
      <c r="AWP62" s="20" t="n">
        <f aca="false">IF(AND(H_Direct=0,H_TaxEvt=1,ATC61+1&gt;=H_Deemed),MAX(0,AFC62-AIP62)*H_Exit,0)</f>
        <v>0</v>
      </c>
      <c r="AWQ62" s="20" t="n">
        <f aca="false">IF(AND(H_Direct=0,H_TaxEvt=1,ATD61+1&gt;=H_Deemed),MAX(0,AFD62-AIQ62)*H_Exit,0)</f>
        <v>0</v>
      </c>
      <c r="AWR62" s="20" t="n">
        <f aca="false">IF(AND(H_Direct=0,H_TaxEvt=1,ATE61+1&gt;=H_Deemed),MAX(0,AFE62-AIR62)*H_Exit,0)</f>
        <v>0</v>
      </c>
      <c r="AWS62" s="20" t="n">
        <f aca="false">IF(AND(H_Direct=0,H_TaxEvt=1,ATF61+1&gt;=H_Deemed),MAX(0,AFF62-AIS62)*H_Exit,0)</f>
        <v>0</v>
      </c>
      <c r="AWT62" s="20" t="n">
        <f aca="false">IF(AND(H_Direct=0,H_TaxEvt=1,ATG61+1&gt;=H_Deemed),MAX(0,AFG62-AIT62)*H_Exit,0)</f>
        <v>0</v>
      </c>
      <c r="AWU62" s="20" t="n">
        <f aca="false">IF(AND(H_Direct=0,H_TaxEvt=1,ATH61+1&gt;=H_Deemed),MAX(0,AFH62-AIU62)*H_Exit,0)</f>
        <v>0</v>
      </c>
      <c r="AWV62" s="20" t="n">
        <f aca="false">IF(AND(H_Direct=0,H_TaxEvt=1,ATI61+1&gt;=H_Deemed),MAX(0,AFI62-AIV62)*H_Exit,0)</f>
        <v>0</v>
      </c>
      <c r="AWW62" s="20" t="n">
        <f aca="false">IF(AND(H_Direct=0,H_TaxEvt=1,ATJ61+1&gt;=H_Deemed),MAX(0,AFJ62-AIW62)*H_Exit,0)</f>
        <v>0</v>
      </c>
      <c r="AWX62" s="20" t="n">
        <f aca="false">IF(AND(H_Direct=0,H_TaxEvt=1,ATK61+1&gt;=H_Deemed),MAX(0,AFK62-AIX62)*H_Exit,0)</f>
        <v>0</v>
      </c>
      <c r="AWY62" s="20" t="n">
        <f aca="false">IF(AND(H_Direct=0,H_TaxEvt=1,ATL61+1&gt;=H_Deemed),MAX(0,AFL62-AIY62)*H_Exit,0)</f>
        <v>0</v>
      </c>
      <c r="AWZ62" s="20" t="n">
        <f aca="false">IF(AND(H_Direct=0,H_TaxEvt=1,ATM61+1&gt;=H_Deemed),MAX(0,AFM62-AIZ62)*H_Exit,0)</f>
        <v>0</v>
      </c>
      <c r="AXA62" s="20" t="n">
        <f aca="false">IF(AND(H_Direct=0,H_TaxEvt=1,ATN61+1&gt;=H_Deemed),MAX(0,AFN62-AJA62)*H_Exit,0)</f>
        <v>0</v>
      </c>
      <c r="AXB62" s="20" t="n">
        <f aca="false">IF(AND(H_Direct=0,H_TaxEvt=1,ATO61+1&gt;=H_Deemed),MAX(0,AFO62-AJB62)*H_Exit,0)</f>
        <v>0</v>
      </c>
      <c r="AXC62" s="20" t="n">
        <f aca="false">IF(AND(H_Direct=0,H_TaxEvt=1,ATP61+1&gt;=H_Deemed),MAX(0,AFP62-AJC62)*H_Exit,0)</f>
        <v>0</v>
      </c>
      <c r="AXD62" s="20" t="n">
        <f aca="false">IF(AND(H_Direct=0,H_TaxEvt=1,ATQ61+1&gt;=H_Deemed),MAX(0,AFQ62-AJD62)*H_Exit,0)</f>
        <v>0</v>
      </c>
      <c r="AXE62" s="20" t="n">
        <f aca="false">IF(AND(H_Direct=0,H_TaxEvt=1,ATR61+1&gt;=H_Deemed),MAX(0,AFR62-AJE62)*H_Exit,0)</f>
        <v>0</v>
      </c>
      <c r="AXF62" s="20" t="n">
        <f aca="false">IF(AND(H_Direct=0,H_TaxEvt=1,ATS61+1&gt;=H_Deemed),MAX(0,AFS62-AJF62)*H_Exit,0)</f>
        <v>0</v>
      </c>
      <c r="AXG62" s="20" t="n">
        <f aca="false">IF(AND(H_Direct=0,H_TaxEvt=1,ATT61+1&gt;=H_Deemed),MAX(0,AFT62-AJG62)*H_Exit,0)</f>
        <v>0</v>
      </c>
      <c r="AXH62" s="20" t="n">
        <f aca="false">IF(AND(H_Direct=0,H_TaxEvt=1,0+1&gt;=H_Deemed),MAX(0,AFU62-AJH62)*H_Exit,0)</f>
        <v>0</v>
      </c>
      <c r="AXI62" s="20" t="n">
        <v>0</v>
      </c>
      <c r="AXJ62" s="20" t="n">
        <v>0</v>
      </c>
      <c r="AXK62" s="20" t="n">
        <v>0</v>
      </c>
      <c r="AXL62" s="20" t="n">
        <v>0</v>
      </c>
      <c r="AXM62" s="20" t="n">
        <v>0</v>
      </c>
      <c r="AXN62" s="20" t="n">
        <v>0</v>
      </c>
      <c r="AXO62" s="20" t="n">
        <v>0</v>
      </c>
      <c r="AXP62" s="20" t="n">
        <v>0</v>
      </c>
      <c r="AXQ62" s="20" t="n">
        <v>0</v>
      </c>
      <c r="AXR62" s="20" t="n">
        <v>0</v>
      </c>
      <c r="AXS62" s="20" t="n">
        <v>0</v>
      </c>
      <c r="AXT62" s="20" t="n">
        <v>0</v>
      </c>
      <c r="AXU62" s="20" t="n">
        <v>0</v>
      </c>
      <c r="AXV62" s="20" t="n">
        <v>0</v>
      </c>
      <c r="AXW62" s="20" t="n">
        <v>0</v>
      </c>
      <c r="AXX62" s="20" t="n">
        <v>0</v>
      </c>
      <c r="AXY62" s="20" t="n">
        <v>0</v>
      </c>
      <c r="AXZ62" s="20" t="n">
        <v>0</v>
      </c>
      <c r="AYA62" s="20" t="n">
        <v>0</v>
      </c>
      <c r="AYB62" s="20" t="n">
        <v>0</v>
      </c>
      <c r="AYC62" s="20" t="n">
        <v>0</v>
      </c>
      <c r="AYD62" s="20" t="n">
        <v>0</v>
      </c>
      <c r="AYE62" s="20" t="n">
        <v>0</v>
      </c>
      <c r="AYF62" s="20" t="n">
        <v>0</v>
      </c>
      <c r="AYG62" s="20" t="n">
        <v>0</v>
      </c>
      <c r="AYH62" s="20" t="n">
        <v>0</v>
      </c>
      <c r="AYI62" s="20" t="n">
        <v>0</v>
      </c>
      <c r="AYJ62" s="20" t="n">
        <v>0</v>
      </c>
      <c r="AYK62" s="20" t="n">
        <v>0</v>
      </c>
      <c r="AYL62" s="20" t="n">
        <v>0</v>
      </c>
      <c r="AYM62" s="20" t="n">
        <v>0</v>
      </c>
      <c r="AYN62" s="20" t="n">
        <v>0</v>
      </c>
      <c r="AYO62" s="20" t="n">
        <v>0</v>
      </c>
      <c r="AYP62" s="20" t="n">
        <v>0</v>
      </c>
      <c r="AYQ62" s="20" t="n">
        <v>0</v>
      </c>
    </row>
    <row r="63" customFormat="false" ht="15" hidden="false" customHeight="false" outlineLevel="0" collapsed="false">
      <c r="B63" s="20" t="n">
        <v>55</v>
      </c>
      <c r="C63" s="20" t="n">
        <f aca="false">'Plan cashflow'!C63</f>
        <v>1</v>
      </c>
      <c r="D63" s="20" t="n">
        <f aca="false">'Plan cashflow'!D63</f>
        <v>93</v>
      </c>
      <c r="E63" s="20" t="n">
        <f aca="false">AS_Year0+55</f>
        <v>2081</v>
      </c>
      <c r="F63" s="50" t="n">
        <f aca="false">'Plan cashflow'!F63</f>
        <v>2.97173067302309</v>
      </c>
      <c r="G63" s="59" t="n">
        <f aca="true">IF(MAX(TODAY(),DATE(E63,1,1))&gt;=H_CGTfrom,H_CGT1,H_CGT0)</f>
        <v>0.31</v>
      </c>
      <c r="H63" s="20" t="n">
        <f aca="false">H_Exempt*H_Persons</f>
        <v>1270</v>
      </c>
      <c r="I63" s="20" t="n">
        <f aca="false">AX62</f>
        <v>0</v>
      </c>
      <c r="J63" s="60" t="n">
        <f aca="false">BF62</f>
        <v>0</v>
      </c>
      <c r="K63" s="60" t="n">
        <f aca="false">BG62</f>
        <v>0</v>
      </c>
      <c r="L63" s="20" t="n">
        <f aca="false">IF(AND(In_polLump&gt;0,In_polLumpAge&gt;0,D63=In_polLumpAge),In_polLump,0)</f>
        <v>0</v>
      </c>
      <c r="M63" s="20" t="n">
        <f aca="false">IF(AND(In_homeUse="Yes, I'd downsize",In_downAge&gt;0,D63=In_downAge,OR(In_home="Own outright",In_home="Own with mortgage"),In_homeValue&gt;0),MAX(0,MAX(0,In_homeValue-In_downValue)*F63*0.9-'Plan cashflow'!HR62),0)</f>
        <v>0</v>
      </c>
      <c r="N63" s="20" t="n">
        <f aca="false">'Plan pay &amp; tax'!Y289</f>
        <v>0</v>
      </c>
      <c r="O63" s="20" t="n">
        <f aca="false">L63+M63+(1-H_Sh)*N63</f>
        <v>0</v>
      </c>
      <c r="P63" s="20" t="n">
        <f aca="false">H_Sh*N63</f>
        <v>0</v>
      </c>
      <c r="Q63" s="20" t="n">
        <f aca="false">'Plan cashflow'!UL63</f>
        <v>0</v>
      </c>
      <c r="R63" s="20" t="n">
        <f aca="false">(1-H_Sh)*Q63</f>
        <v>0</v>
      </c>
      <c r="S63" s="20" t="n">
        <f aca="false">H_Sh*Q63</f>
        <v>0</v>
      </c>
      <c r="T63" s="20" t="n">
        <f aca="false">J63+K63+O63</f>
        <v>0</v>
      </c>
      <c r="U63" s="20" t="n">
        <f aca="false">T63+R63</f>
        <v>0</v>
      </c>
      <c r="V63" s="60" t="n">
        <f aca="false">SUM(FE63:IQ63)</f>
        <v>0</v>
      </c>
      <c r="W63" s="60" t="n">
        <f aca="false">IF(AJ63&lt;=0,0,IF(AL63&lt;=0,AJ63,AJ63-G63*MAX(0,AL63*AJ63-(AY63+AZ63))))</f>
        <v>0</v>
      </c>
      <c r="X63" s="60" t="n">
        <f aca="false">IF(AR63&lt;=0,0,IF(AT63&lt;=0,AR63,AR63-G63*MAX(0,AT63*AR63-(BA63+BB63))))</f>
        <v>0</v>
      </c>
      <c r="Y63" s="60" t="n">
        <f aca="false">T63+V63-S63+W63+X63</f>
        <v>0</v>
      </c>
      <c r="Z63" s="60" t="n">
        <f aca="false">'Plan cashflow'!UK63</f>
        <v>0</v>
      </c>
      <c r="AA63" s="20" t="n">
        <f aca="false">MIN(Z63,U63)</f>
        <v>0</v>
      </c>
      <c r="AB63" s="20" t="n">
        <f aca="false">Z63-AA63</f>
        <v>0</v>
      </c>
      <c r="AC63" s="20" t="n">
        <f aca="false">MIN(AA63,J63+O63+R63)</f>
        <v>0</v>
      </c>
      <c r="AD63" s="20" t="n">
        <f aca="false">AA63-AC63</f>
        <v>0</v>
      </c>
      <c r="AE63" s="20" t="n">
        <f aca="false">J63+O63+R63-AC63</f>
        <v>0</v>
      </c>
      <c r="AF63" s="20" t="n">
        <f aca="false">K63-AD63</f>
        <v>0</v>
      </c>
      <c r="AG63" s="20" t="n">
        <f aca="false">SUM(PR63:TD63)</f>
        <v>0</v>
      </c>
      <c r="AH63" s="20" t="n">
        <f aca="false">SUM(TE63:WQ63)</f>
        <v>0</v>
      </c>
      <c r="AI63" s="20" t="n">
        <f aca="false">MAX(0,AB63-AG63)</f>
        <v>0</v>
      </c>
      <c r="AJ63" s="57" t="n">
        <f aca="false">BI62</f>
        <v>0</v>
      </c>
      <c r="AK63" s="20" t="n">
        <f aca="false">BJ62</f>
        <v>0</v>
      </c>
      <c r="AL63" s="20" t="n">
        <f aca="false">IF(AJ63&gt;0,(AJ63-AK63)/AJ63,0)</f>
        <v>0</v>
      </c>
      <c r="AM63" s="20" t="n">
        <f aca="false">IF(AJ63&lt;=0,0,IF(AL63&lt;=0,MIN(AI63,AJ63),MIN(AI63,AJ63-G63*MAX(0,AL63*AJ63-(AAD63+ADQ63)))))</f>
        <v>0</v>
      </c>
      <c r="AN63" s="20" t="n">
        <f aca="false">IF(AJ63&lt;=0,0,IF(AL63&lt;=0,AM63,IF(AM63&lt;=(AAD63+ADQ63)/AL63,AM63,(AM63-G63*(AAD63+ADQ63))/(1-G63*AL63))))</f>
        <v>0</v>
      </c>
      <c r="AO63" s="20" t="n">
        <f aca="false">IF(AL63&gt;0,MAX(0,AAD63-(MIN(AL63*AN63,(AAD63+ADQ63))-MIN(MIN(AL63*AN63,(AAD63+ADQ63)),ADQ63))),AAD63)</f>
        <v>1270</v>
      </c>
      <c r="AP63" s="20" t="n">
        <f aca="false">IF(AL63&lt;=0,ADQ63-AL63*AN63,ADQ63-MIN(MIN(AL63*AN63,(AAD63+ADQ63)),ADQ63))</f>
        <v>0</v>
      </c>
      <c r="AQ63" s="20" t="n">
        <f aca="false">MAX(0,AI63-AM63)</f>
        <v>0</v>
      </c>
      <c r="AR63" s="57" t="n">
        <f aca="false">BK62</f>
        <v>0</v>
      </c>
      <c r="AS63" s="20" t="n">
        <f aca="false">BL62</f>
        <v>0</v>
      </c>
      <c r="AT63" s="20" t="n">
        <f aca="false">IF(AR63&gt;0,(AR63-AS63)/AR63,0)</f>
        <v>0</v>
      </c>
      <c r="AU63" s="20" t="n">
        <f aca="false">IF(AR63&lt;=0,0,IF(AT63&lt;=0,MIN(AQ63,AR63),MIN(AQ63,AR63-G63*MAX(0,AT63*AR63-(AO63+AP63)))))</f>
        <v>0</v>
      </c>
      <c r="AV63" s="20" t="n">
        <f aca="false">IF(AR63&lt;=0,0,IF(AT63&lt;=0,AU63,IF(AU63&lt;=(AO63+AP63)/AT63,AU63,(AU63-G63*(AO63+AP63))/(1-G63*AT63))))</f>
        <v>0</v>
      </c>
      <c r="AW63" s="20" t="n">
        <f aca="false">IF(AT63&gt;0,MAX(0,AO63-(MIN(AT63*AV63,(AO63+AP63))-MIN(MIN(AT63*AV63,(AO63+AP63)),AP63))),AO63)</f>
        <v>1270</v>
      </c>
      <c r="AX63" s="20" t="n">
        <f aca="false">IF(AT63&lt;=0,AP63-AT63*AV63,AP63-MIN(MIN(AT63*AV63,(AO63+AP63)),AP63))</f>
        <v>0</v>
      </c>
      <c r="AY63" s="20" t="n">
        <f aca="false">MD63</f>
        <v>1270</v>
      </c>
      <c r="AZ63" s="20" t="n">
        <f aca="false">PQ63</f>
        <v>0</v>
      </c>
      <c r="BA63" s="20" t="n">
        <f aca="false">IF(AL63&gt;0,MAX(0,AY63-(MIN(AL63*AJ63,AY63+AZ63)-MIN(MIN(AL63*AJ63,AY63+AZ63),AZ63))),AY63)</f>
        <v>1270</v>
      </c>
      <c r="BB63" s="20" t="n">
        <f aca="false">IF(AL63&lt;=0,AZ63-AL63*AJ63,AZ63-MIN(MIN(AL63*AJ63,AY63+AZ63),AZ63))</f>
        <v>0</v>
      </c>
      <c r="BC63" s="20" t="n">
        <f aca="false">'Plan cashflow'!UM63</f>
        <v>0</v>
      </c>
      <c r="BD63" s="20" t="n">
        <f aca="false">(1-H_Sh)*BC63</f>
        <v>0</v>
      </c>
      <c r="BE63" s="20" t="n">
        <f aca="false">H_Sh*BC63</f>
        <v>0</v>
      </c>
      <c r="BF63" s="60" t="n">
        <f aca="false">(AE63+BD63)*(1+AS_Cash)</f>
        <v>0</v>
      </c>
      <c r="BG63" s="60" t="n">
        <f aca="false">AF63*(1+AS_Cash)</f>
        <v>0</v>
      </c>
      <c r="BH63" s="60" t="n">
        <f aca="false">SUM(AKR63:AOD63)</f>
        <v>0</v>
      </c>
      <c r="BI63" s="60" t="n">
        <f aca="false">(AJ63-AN63)*(1+AS_Infl)</f>
        <v>0</v>
      </c>
      <c r="BJ63" s="20" t="n">
        <f aca="false">IF(AJ63&gt;0,AK63-AK63*AN63/AJ63,0)</f>
        <v>0</v>
      </c>
      <c r="BK63" s="60" t="n">
        <f aca="false">(AR63-AV63)*(1+BQ63)</f>
        <v>0</v>
      </c>
      <c r="BL63" s="20" t="n">
        <f aca="false">IF(AR63&gt;0,AS63-AS63*AV63/AR63,0)</f>
        <v>0</v>
      </c>
      <c r="BM63" s="60" t="n">
        <f aca="false">BF63+BG63+BH63+BI63+BK63</f>
        <v>0</v>
      </c>
      <c r="BN63" s="60" t="n">
        <f aca="false">(AH63-AG63)+(AN63-AM63)+(AV63-AU63)</f>
        <v>0</v>
      </c>
      <c r="BO63" s="20" t="n">
        <f aca="false">(AE63+BD63+AF63+MAX(0,'Plan cashflow'!QH63)+IF(Slot1_Rate=AS_Cash,'Plan cashflow'!QM63/(1+AS_Cash),0)+IF(Slot2_Rate=AS_Cash,'Plan cashflow'!QQ63/(1+AS_Cash),0)+IF(Slot3_Rate=AS_Cash,'Plan cashflow'!QU63/(1+AS_Cash),0)+IF(Slot4_Rate=AS_Cash,'Plan cashflow'!QY63/(1+AS_Cash),0)+IF(Slot5_Rate=AS_Cash,'Plan cashflow'!RC63/(1+AS_Cash),0)+IF(Slot6_Rate=AS_Cash,'Plan cashflow'!RG63/(1+AS_Cash),0)+IF(Slot7_Rate=AS_Cash,'Plan cashflow'!RK63/(1+AS_Cash),0)+IF(Slot8_Rate=AS_Cash,'Plan cashflow'!RO63/(1+AS_Cash),0)+IF(Slot9_Rate=AS_Cash,'Plan cashflow'!RS63/(1+AS_Cash),0)+IF(Slot10_Rate=AS_Cash,'Plan cashflow'!RW63/(1+AS_Cash),0)+IF(Slot11_Rate=AS_Cash,'Plan cashflow'!SA63/(1+AS_Cash),0)+IF(Slot12_Rate=AS_Cash,'Plan cashflow'!SE63/(1+AS_Cash),0)+IF(Slot13_Rate=AS_Cash,'Plan cashflow'!SI63/(1+AS_Cash),0)+IF(Slot14_Rate=AS_Cash,'Plan cashflow'!SM63/(1+AS_Cash),0)+IF(Slot15_Rate=AS_Cash,'Plan cashflow'!SQ63/(1+AS_Cash),0)+IF(Slot16_Rate=AS_Cash,'Plan cashflow'!SU63/(1+AS_Cash),0)+IF(Slot17_Rate=AS_Cash,'Plan cashflow'!SY63/(1+AS_Cash),0)+IF(Slot18_Rate=AS_Cash,'Plan cashflow'!TC63/(1+AS_Cash),0)+IF(Slot19_Rate=AS_Cash,'Plan cashflow'!TG63/(1+AS_Cash),0)+IF(Slot20_Rate=AS_Cash,'Plan cashflow'!TK63/(1+AS_Cash),0))*AS_Cash*H_DIRT/(1-H_DIRT)</f>
        <v>0</v>
      </c>
      <c r="BP63" s="60" t="n">
        <f aca="false">SUM(AVE63:AYQ63)</f>
        <v>0</v>
      </c>
      <c r="BQ63" s="54" t="n">
        <f aca="false">IF(H_TaxEvt=1,H_InvG,AS_Inv)</f>
        <v>0.04</v>
      </c>
      <c r="BR63" s="20" t="n">
        <f aca="false">IF(AKR62&gt;0,(AKR62-AOE62)/AKR62,0)</f>
        <v>0</v>
      </c>
      <c r="BS63" s="20" t="n">
        <f aca="false">IF(AKS62&gt;0,(AKS62-AOF62)/AKS62,0)</f>
        <v>0</v>
      </c>
      <c r="BT63" s="20" t="n">
        <f aca="false">IF(AKT62&gt;0,(AKT62-AOG62)/AKT62,0)</f>
        <v>0</v>
      </c>
      <c r="BU63" s="20" t="n">
        <f aca="false">IF(AKU62&gt;0,(AKU62-AOH62)/AKU62,0)</f>
        <v>0</v>
      </c>
      <c r="BV63" s="20" t="n">
        <f aca="false">IF(AKV62&gt;0,(AKV62-AOI62)/AKV62,0)</f>
        <v>0</v>
      </c>
      <c r="BW63" s="20" t="n">
        <f aca="false">IF(AKW62&gt;0,(AKW62-AOJ62)/AKW62,0)</f>
        <v>0</v>
      </c>
      <c r="BX63" s="20" t="n">
        <f aca="false">IF(AKX62&gt;0,(AKX62-AOK62)/AKX62,0)</f>
        <v>0</v>
      </c>
      <c r="BY63" s="20" t="n">
        <f aca="false">IF(AKY62&gt;0,(AKY62-AOL62)/AKY62,0)</f>
        <v>0</v>
      </c>
      <c r="BZ63" s="20" t="n">
        <f aca="false">IF(AKZ62&gt;0,(AKZ62-AOM62)/AKZ62,0)</f>
        <v>0</v>
      </c>
      <c r="CA63" s="20" t="n">
        <f aca="false">IF(ALA62&gt;0,(ALA62-AON62)/ALA62,0)</f>
        <v>0</v>
      </c>
      <c r="CB63" s="20" t="n">
        <f aca="false">IF(ALB62&gt;0,(ALB62-AOO62)/ALB62,0)</f>
        <v>0</v>
      </c>
      <c r="CC63" s="20" t="n">
        <f aca="false">IF(ALC62&gt;0,(ALC62-AOP62)/ALC62,0)</f>
        <v>0</v>
      </c>
      <c r="CD63" s="20" t="n">
        <f aca="false">IF(ALD62&gt;0,(ALD62-AOQ62)/ALD62,0)</f>
        <v>0</v>
      </c>
      <c r="CE63" s="20" t="n">
        <f aca="false">IF(ALE62&gt;0,(ALE62-AOR62)/ALE62,0)</f>
        <v>0</v>
      </c>
      <c r="CF63" s="20" t="n">
        <f aca="false">IF(ALF62&gt;0,(ALF62-AOS62)/ALF62,0)</f>
        <v>0</v>
      </c>
      <c r="CG63" s="20" t="n">
        <f aca="false">IF(ALG62&gt;0,(ALG62-AOT62)/ALG62,0)</f>
        <v>0</v>
      </c>
      <c r="CH63" s="20" t="n">
        <f aca="false">IF(ALH62&gt;0,(ALH62-AOU62)/ALH62,0)</f>
        <v>0</v>
      </c>
      <c r="CI63" s="20" t="n">
        <f aca="false">IF(ALI62&gt;0,(ALI62-AOV62)/ALI62,0)</f>
        <v>0</v>
      </c>
      <c r="CJ63" s="20" t="n">
        <f aca="false">IF(ALJ62&gt;0,(ALJ62-AOW62)/ALJ62,0)</f>
        <v>0</v>
      </c>
      <c r="CK63" s="20" t="n">
        <f aca="false">IF(ALK62&gt;0,(ALK62-AOX62)/ALK62,0)</f>
        <v>0</v>
      </c>
      <c r="CL63" s="20" t="n">
        <f aca="false">IF(ALL62&gt;0,(ALL62-AOY62)/ALL62,0)</f>
        <v>0</v>
      </c>
      <c r="CM63" s="20" t="n">
        <f aca="false">IF(ALM62&gt;0,(ALM62-AOZ62)/ALM62,0)</f>
        <v>0</v>
      </c>
      <c r="CN63" s="20" t="n">
        <f aca="false">IF(ALN62&gt;0,(ALN62-APA62)/ALN62,0)</f>
        <v>0</v>
      </c>
      <c r="CO63" s="20" t="n">
        <f aca="false">IF(ALO62&gt;0,(ALO62-APB62)/ALO62,0)</f>
        <v>0</v>
      </c>
      <c r="CP63" s="20" t="n">
        <f aca="false">IF(ALP62&gt;0,(ALP62-APC62)/ALP62,0)</f>
        <v>0</v>
      </c>
      <c r="CQ63" s="20" t="n">
        <f aca="false">IF(ALQ62&gt;0,(ALQ62-APD62)/ALQ62,0)</f>
        <v>0</v>
      </c>
      <c r="CR63" s="20" t="n">
        <f aca="false">IF(ALR62&gt;0,(ALR62-APE62)/ALR62,0)</f>
        <v>0</v>
      </c>
      <c r="CS63" s="20" t="n">
        <f aca="false">IF(ALS62&gt;0,(ALS62-APF62)/ALS62,0)</f>
        <v>0</v>
      </c>
      <c r="CT63" s="20" t="n">
        <f aca="false">IF(ALT62&gt;0,(ALT62-APG62)/ALT62,0)</f>
        <v>0</v>
      </c>
      <c r="CU63" s="20" t="n">
        <f aca="false">IF(ALU62&gt;0,(ALU62-APH62)/ALU62,0)</f>
        <v>0</v>
      </c>
      <c r="CV63" s="20" t="n">
        <f aca="false">IF(ALV62&gt;0,(ALV62-API62)/ALV62,0)</f>
        <v>0</v>
      </c>
      <c r="CW63" s="20" t="n">
        <f aca="false">IF(ALW62&gt;0,(ALW62-APJ62)/ALW62,0)</f>
        <v>0</v>
      </c>
      <c r="CX63" s="20" t="n">
        <f aca="false">IF(ALX62&gt;0,(ALX62-APK62)/ALX62,0)</f>
        <v>0</v>
      </c>
      <c r="CY63" s="20" t="n">
        <f aca="false">IF(ALY62&gt;0,(ALY62-APL62)/ALY62,0)</f>
        <v>0</v>
      </c>
      <c r="CZ63" s="20" t="n">
        <f aca="false">IF(ALZ62&gt;0,(ALZ62-APM62)/ALZ62,0)</f>
        <v>0</v>
      </c>
      <c r="DA63" s="20" t="n">
        <f aca="false">IF(AMA62&gt;0,(AMA62-APN62)/AMA62,0)</f>
        <v>0</v>
      </c>
      <c r="DB63" s="20" t="n">
        <f aca="false">IF(AMB62&gt;0,(AMB62-APO62)/AMB62,0)</f>
        <v>0</v>
      </c>
      <c r="DC63" s="20" t="n">
        <f aca="false">IF(AMC62&gt;0,(AMC62-APP62)/AMC62,0)</f>
        <v>0</v>
      </c>
      <c r="DD63" s="20" t="n">
        <f aca="false">IF(AMD62&gt;0,(AMD62-APQ62)/AMD62,0)</f>
        <v>0</v>
      </c>
      <c r="DE63" s="20" t="n">
        <f aca="false">IF(AME62&gt;0,(AME62-APR62)/AME62,0)</f>
        <v>0</v>
      </c>
      <c r="DF63" s="20" t="n">
        <f aca="false">IF(AMF62&gt;0,(AMF62-APS62)/AMF62,0)</f>
        <v>0</v>
      </c>
      <c r="DG63" s="20" t="n">
        <f aca="false">IF(AMG62&gt;0,(AMG62-APT62)/AMG62,0)</f>
        <v>0</v>
      </c>
      <c r="DH63" s="20" t="n">
        <f aca="false">IF(AMH62&gt;0,(AMH62-APU62)/AMH62,0)</f>
        <v>0</v>
      </c>
      <c r="DI63" s="20" t="n">
        <f aca="false">IF(AMI62&gt;0,(AMI62-APV62)/AMI62,0)</f>
        <v>0</v>
      </c>
      <c r="DJ63" s="20" t="n">
        <f aca="false">IF(AMJ62&gt;0,(AMJ62-APW62)/AMJ62,0)</f>
        <v>0</v>
      </c>
      <c r="DK63" s="20" t="n">
        <f aca="false">IF(AMK62&gt;0,(AMK62-APX62)/AMK62,0)</f>
        <v>0</v>
      </c>
      <c r="DL63" s="20" t="n">
        <f aca="false">IF(AML62&gt;0,(AML62-APY62)/AML62,0)</f>
        <v>0</v>
      </c>
      <c r="DM63" s="20" t="n">
        <f aca="false">IF(AMM62&gt;0,(AMM62-APZ62)/AMM62,0)</f>
        <v>0</v>
      </c>
      <c r="DN63" s="20" t="n">
        <f aca="false">IF(AMN62&gt;0,(AMN62-AQA62)/AMN62,0)</f>
        <v>0</v>
      </c>
      <c r="DO63" s="20" t="n">
        <f aca="false">IF(AMO62&gt;0,(AMO62-AQB62)/AMO62,0)</f>
        <v>0</v>
      </c>
      <c r="DP63" s="20" t="n">
        <f aca="false">IF(AMP62&gt;0,(AMP62-AQC62)/AMP62,0)</f>
        <v>0</v>
      </c>
      <c r="DQ63" s="20" t="n">
        <f aca="false">IF(AMQ62&gt;0,(AMQ62-AQD62)/AMQ62,0)</f>
        <v>0</v>
      </c>
      <c r="DR63" s="20" t="n">
        <f aca="false">IF(AMR62&gt;0,(AMR62-AQE62)/AMR62,0)</f>
        <v>0</v>
      </c>
      <c r="DS63" s="20" t="n">
        <f aca="false">IF(AMS62&gt;0,(AMS62-AQF62)/AMS62,0)</f>
        <v>0</v>
      </c>
      <c r="DT63" s="20" t="n">
        <f aca="false">IF(AMT62&gt;0,(AMT62-AQG62)/AMT62,0)</f>
        <v>0</v>
      </c>
      <c r="DU63" s="20" t="n">
        <f aca="false">IF(AMU62&gt;0,(AMU62-AQH62)/AMU62,0)</f>
        <v>0</v>
      </c>
      <c r="DV63" s="20" t="n">
        <f aca="false">IF((P63+S63)&gt;0,((P63+S63)-(P63+S63))/(P63+S63),0)</f>
        <v>0</v>
      </c>
      <c r="DW63" s="20" t="n">
        <v>0</v>
      </c>
      <c r="DX63" s="20" t="n">
        <v>0</v>
      </c>
      <c r="DY63" s="20" t="n">
        <v>0</v>
      </c>
      <c r="DZ63" s="20" t="n">
        <v>0</v>
      </c>
      <c r="EA63" s="20" t="n">
        <v>0</v>
      </c>
      <c r="EB63" s="20" t="n">
        <v>0</v>
      </c>
      <c r="EC63" s="20" t="n">
        <v>0</v>
      </c>
      <c r="ED63" s="20" t="n">
        <v>0</v>
      </c>
      <c r="EE63" s="20" t="n">
        <v>0</v>
      </c>
      <c r="EF63" s="20" t="n">
        <v>0</v>
      </c>
      <c r="EG63" s="20" t="n">
        <v>0</v>
      </c>
      <c r="EH63" s="20" t="n">
        <v>0</v>
      </c>
      <c r="EI63" s="20" t="n">
        <v>0</v>
      </c>
      <c r="EJ63" s="20" t="n">
        <v>0</v>
      </c>
      <c r="EK63" s="20" t="n">
        <v>0</v>
      </c>
      <c r="EL63" s="20" t="n">
        <v>0</v>
      </c>
      <c r="EM63" s="20" t="n">
        <v>0</v>
      </c>
      <c r="EN63" s="20" t="n">
        <v>0</v>
      </c>
      <c r="EO63" s="20" t="n">
        <v>0</v>
      </c>
      <c r="EP63" s="20" t="n">
        <v>0</v>
      </c>
      <c r="EQ63" s="20" t="n">
        <v>0</v>
      </c>
      <c r="ER63" s="20" t="n">
        <v>0</v>
      </c>
      <c r="ES63" s="20" t="n">
        <v>0</v>
      </c>
      <c r="ET63" s="20" t="n">
        <v>0</v>
      </c>
      <c r="EU63" s="20" t="n">
        <v>0</v>
      </c>
      <c r="EV63" s="20" t="n">
        <v>0</v>
      </c>
      <c r="EW63" s="20" t="n">
        <v>0</v>
      </c>
      <c r="EX63" s="20" t="n">
        <v>0</v>
      </c>
      <c r="EY63" s="20" t="n">
        <v>0</v>
      </c>
      <c r="EZ63" s="20" t="n">
        <v>0</v>
      </c>
      <c r="FA63" s="20" t="n">
        <v>0</v>
      </c>
      <c r="FB63" s="20" t="n">
        <v>0</v>
      </c>
      <c r="FC63" s="20" t="n">
        <v>0</v>
      </c>
      <c r="FD63" s="20" t="n">
        <v>0</v>
      </c>
      <c r="FE63" s="20" t="n">
        <f aca="false">IF(H_Direct=1,IF(AKR62&lt;=0,0,IF(BR63&lt;=0,AKR62,AKR62-G63*MAX(0,BR63*AKR62-(H63+I63)))),AKR62*(1-MAX(0,BR63)*H_Exit))</f>
        <v>0</v>
      </c>
      <c r="FF63" s="20" t="n">
        <f aca="false">IF(H_Direct=1,IF(AKS62&lt;=0,0,IF(BS63&lt;=0,AKS62,AKS62-G63*MAX(0,BS63*AKS62-(IR63+ME63)))),AKS62*(1-MAX(0,BS63)*H_Exit))</f>
        <v>0</v>
      </c>
      <c r="FG63" s="20" t="n">
        <f aca="false">IF(H_Direct=1,IF(AKT62&lt;=0,0,IF(BT63&lt;=0,AKT62,AKT62-G63*MAX(0,BT63*AKT62-(IS63+MF63)))),AKT62*(1-MAX(0,BT63)*H_Exit))</f>
        <v>0</v>
      </c>
      <c r="FH63" s="20" t="n">
        <f aca="false">IF(H_Direct=1,IF(AKU62&lt;=0,0,IF(BU63&lt;=0,AKU62,AKU62-G63*MAX(0,BU63*AKU62-(IT63+MG63)))),AKU62*(1-MAX(0,BU63)*H_Exit))</f>
        <v>0</v>
      </c>
      <c r="FI63" s="20" t="n">
        <f aca="false">IF(H_Direct=1,IF(AKV62&lt;=0,0,IF(BV63&lt;=0,AKV62,AKV62-G63*MAX(0,BV63*AKV62-(IU63+MH63)))),AKV62*(1-MAX(0,BV63)*H_Exit))</f>
        <v>0</v>
      </c>
      <c r="FJ63" s="20" t="n">
        <f aca="false">IF(H_Direct=1,IF(AKW62&lt;=0,0,IF(BW63&lt;=0,AKW62,AKW62-G63*MAX(0,BW63*AKW62-(IV63+MI63)))),AKW62*(1-MAX(0,BW63)*H_Exit))</f>
        <v>0</v>
      </c>
      <c r="FK63" s="20" t="n">
        <f aca="false">IF(H_Direct=1,IF(AKX62&lt;=0,0,IF(BX63&lt;=0,AKX62,AKX62-G63*MAX(0,BX63*AKX62-(IW63+MJ63)))),AKX62*(1-MAX(0,BX63)*H_Exit))</f>
        <v>0</v>
      </c>
      <c r="FL63" s="20" t="n">
        <f aca="false">IF(H_Direct=1,IF(AKY62&lt;=0,0,IF(BY63&lt;=0,AKY62,AKY62-G63*MAX(0,BY63*AKY62-(IX63+MK63)))),AKY62*(1-MAX(0,BY63)*H_Exit))</f>
        <v>0</v>
      </c>
      <c r="FM63" s="20" t="n">
        <f aca="false">IF(H_Direct=1,IF(AKZ62&lt;=0,0,IF(BZ63&lt;=0,AKZ62,AKZ62-G63*MAX(0,BZ63*AKZ62-(IY63+ML63)))),AKZ62*(1-MAX(0,BZ63)*H_Exit))</f>
        <v>0</v>
      </c>
      <c r="FN63" s="20" t="n">
        <f aca="false">IF(H_Direct=1,IF(ALA62&lt;=0,0,IF(CA63&lt;=0,ALA62,ALA62-G63*MAX(0,CA63*ALA62-(IZ63+MM63)))),ALA62*(1-MAX(0,CA63)*H_Exit))</f>
        <v>0</v>
      </c>
      <c r="FO63" s="20" t="n">
        <f aca="false">IF(H_Direct=1,IF(ALB62&lt;=0,0,IF(CB63&lt;=0,ALB62,ALB62-G63*MAX(0,CB63*ALB62-(JA63+MN63)))),ALB62*(1-MAX(0,CB63)*H_Exit))</f>
        <v>0</v>
      </c>
      <c r="FP63" s="20" t="n">
        <f aca="false">IF(H_Direct=1,IF(ALC62&lt;=0,0,IF(CC63&lt;=0,ALC62,ALC62-G63*MAX(0,CC63*ALC62-(JB63+MO63)))),ALC62*(1-MAX(0,CC63)*H_Exit))</f>
        <v>0</v>
      </c>
      <c r="FQ63" s="20" t="n">
        <f aca="false">IF(H_Direct=1,IF(ALD62&lt;=0,0,IF(CD63&lt;=0,ALD62,ALD62-G63*MAX(0,CD63*ALD62-(JC63+MP63)))),ALD62*(1-MAX(0,CD63)*H_Exit))</f>
        <v>0</v>
      </c>
      <c r="FR63" s="20" t="n">
        <f aca="false">IF(H_Direct=1,IF(ALE62&lt;=0,0,IF(CE63&lt;=0,ALE62,ALE62-G63*MAX(0,CE63*ALE62-(JD63+MQ63)))),ALE62*(1-MAX(0,CE63)*H_Exit))</f>
        <v>0</v>
      </c>
      <c r="FS63" s="20" t="n">
        <f aca="false">IF(H_Direct=1,IF(ALF62&lt;=0,0,IF(CF63&lt;=0,ALF62,ALF62-G63*MAX(0,CF63*ALF62-(JE63+MR63)))),ALF62*(1-MAX(0,CF63)*H_Exit))</f>
        <v>0</v>
      </c>
      <c r="FT63" s="20" t="n">
        <f aca="false">IF(H_Direct=1,IF(ALG62&lt;=0,0,IF(CG63&lt;=0,ALG62,ALG62-G63*MAX(0,CG63*ALG62-(JF63+MS63)))),ALG62*(1-MAX(0,CG63)*H_Exit))</f>
        <v>0</v>
      </c>
      <c r="FU63" s="20" t="n">
        <f aca="false">IF(H_Direct=1,IF(ALH62&lt;=0,0,IF(CH63&lt;=0,ALH62,ALH62-G63*MAX(0,CH63*ALH62-(JG63+MT63)))),ALH62*(1-MAX(0,CH63)*H_Exit))</f>
        <v>0</v>
      </c>
      <c r="FV63" s="20" t="n">
        <f aca="false">IF(H_Direct=1,IF(ALI62&lt;=0,0,IF(CI63&lt;=0,ALI62,ALI62-G63*MAX(0,CI63*ALI62-(JH63+MU63)))),ALI62*(1-MAX(0,CI63)*H_Exit))</f>
        <v>0</v>
      </c>
      <c r="FW63" s="20" t="n">
        <f aca="false">IF(H_Direct=1,IF(ALJ62&lt;=0,0,IF(CJ63&lt;=0,ALJ62,ALJ62-G63*MAX(0,CJ63*ALJ62-(JI63+MV63)))),ALJ62*(1-MAX(0,CJ63)*H_Exit))</f>
        <v>0</v>
      </c>
      <c r="FX63" s="20" t="n">
        <f aca="false">IF(H_Direct=1,IF(ALK62&lt;=0,0,IF(CK63&lt;=0,ALK62,ALK62-G63*MAX(0,CK63*ALK62-(JJ63+MW63)))),ALK62*(1-MAX(0,CK63)*H_Exit))</f>
        <v>0</v>
      </c>
      <c r="FY63" s="20" t="n">
        <f aca="false">IF(H_Direct=1,IF(ALL62&lt;=0,0,IF(CL63&lt;=0,ALL62,ALL62-G63*MAX(0,CL63*ALL62-(JK63+MX63)))),ALL62*(1-MAX(0,CL63)*H_Exit))</f>
        <v>0</v>
      </c>
      <c r="FZ63" s="20" t="n">
        <f aca="false">IF(H_Direct=1,IF(ALM62&lt;=0,0,IF(CM63&lt;=0,ALM62,ALM62-G63*MAX(0,CM63*ALM62-(JL63+MY63)))),ALM62*(1-MAX(0,CM63)*H_Exit))</f>
        <v>0</v>
      </c>
      <c r="GA63" s="20" t="n">
        <f aca="false">IF(H_Direct=1,IF(ALN62&lt;=0,0,IF(CN63&lt;=0,ALN62,ALN62-G63*MAX(0,CN63*ALN62-(JM63+MZ63)))),ALN62*(1-MAX(0,CN63)*H_Exit))</f>
        <v>0</v>
      </c>
      <c r="GB63" s="20" t="n">
        <f aca="false">IF(H_Direct=1,IF(ALO62&lt;=0,0,IF(CO63&lt;=0,ALO62,ALO62-G63*MAX(0,CO63*ALO62-(JN63+NA63)))),ALO62*(1-MAX(0,CO63)*H_Exit))</f>
        <v>0</v>
      </c>
      <c r="GC63" s="20" t="n">
        <f aca="false">IF(H_Direct=1,IF(ALP62&lt;=0,0,IF(CP63&lt;=0,ALP62,ALP62-G63*MAX(0,CP63*ALP62-(JO63+NB63)))),ALP62*(1-MAX(0,CP63)*H_Exit))</f>
        <v>0</v>
      </c>
      <c r="GD63" s="20" t="n">
        <f aca="false">IF(H_Direct=1,IF(ALQ62&lt;=0,0,IF(CQ63&lt;=0,ALQ62,ALQ62-G63*MAX(0,CQ63*ALQ62-(JP63+NC63)))),ALQ62*(1-MAX(0,CQ63)*H_Exit))</f>
        <v>0</v>
      </c>
      <c r="GE63" s="20" t="n">
        <f aca="false">IF(H_Direct=1,IF(ALR62&lt;=0,0,IF(CR63&lt;=0,ALR62,ALR62-G63*MAX(0,CR63*ALR62-(JQ63+ND63)))),ALR62*(1-MAX(0,CR63)*H_Exit))</f>
        <v>0</v>
      </c>
      <c r="GF63" s="20" t="n">
        <f aca="false">IF(H_Direct=1,IF(ALS62&lt;=0,0,IF(CS63&lt;=0,ALS62,ALS62-G63*MAX(0,CS63*ALS62-(JR63+NE63)))),ALS62*(1-MAX(0,CS63)*H_Exit))</f>
        <v>0</v>
      </c>
      <c r="GG63" s="20" t="n">
        <f aca="false">IF(H_Direct=1,IF(ALT62&lt;=0,0,IF(CT63&lt;=0,ALT62,ALT62-G63*MAX(0,CT63*ALT62-(JS63+NF63)))),ALT62*(1-MAX(0,CT63)*H_Exit))</f>
        <v>0</v>
      </c>
      <c r="GH63" s="20" t="n">
        <f aca="false">IF(H_Direct=1,IF(ALU62&lt;=0,0,IF(CU63&lt;=0,ALU62,ALU62-G63*MAX(0,CU63*ALU62-(JT63+NG63)))),ALU62*(1-MAX(0,CU63)*H_Exit))</f>
        <v>0</v>
      </c>
      <c r="GI63" s="20" t="n">
        <f aca="false">IF(H_Direct=1,IF(ALV62&lt;=0,0,IF(CV63&lt;=0,ALV62,ALV62-G63*MAX(0,CV63*ALV62-(JU63+NH63)))),ALV62*(1-MAX(0,CV63)*H_Exit))</f>
        <v>0</v>
      </c>
      <c r="GJ63" s="20" t="n">
        <f aca="false">IF(H_Direct=1,IF(ALW62&lt;=0,0,IF(CW63&lt;=0,ALW62,ALW62-G63*MAX(0,CW63*ALW62-(JV63+NI63)))),ALW62*(1-MAX(0,CW63)*H_Exit))</f>
        <v>0</v>
      </c>
      <c r="GK63" s="20" t="n">
        <f aca="false">IF(H_Direct=1,IF(ALX62&lt;=0,0,IF(CX63&lt;=0,ALX62,ALX62-G63*MAX(0,CX63*ALX62-(JW63+NJ63)))),ALX62*(1-MAX(0,CX63)*H_Exit))</f>
        <v>0</v>
      </c>
      <c r="GL63" s="20" t="n">
        <f aca="false">IF(H_Direct=1,IF(ALY62&lt;=0,0,IF(CY63&lt;=0,ALY62,ALY62-G63*MAX(0,CY63*ALY62-(JX63+NK63)))),ALY62*(1-MAX(0,CY63)*H_Exit))</f>
        <v>0</v>
      </c>
      <c r="GM63" s="20" t="n">
        <f aca="false">IF(H_Direct=1,IF(ALZ62&lt;=0,0,IF(CZ63&lt;=0,ALZ62,ALZ62-G63*MAX(0,CZ63*ALZ62-(JY63+NL63)))),ALZ62*(1-MAX(0,CZ63)*H_Exit))</f>
        <v>0</v>
      </c>
      <c r="GN63" s="20" t="n">
        <f aca="false">IF(H_Direct=1,IF(AMA62&lt;=0,0,IF(DA63&lt;=0,AMA62,AMA62-G63*MAX(0,DA63*AMA62-(JZ63+NM63)))),AMA62*(1-MAX(0,DA63)*H_Exit))</f>
        <v>0</v>
      </c>
      <c r="GO63" s="20" t="n">
        <f aca="false">IF(H_Direct=1,IF(AMB62&lt;=0,0,IF(DB63&lt;=0,AMB62,AMB62-G63*MAX(0,DB63*AMB62-(KA63+NN63)))),AMB62*(1-MAX(0,DB63)*H_Exit))</f>
        <v>0</v>
      </c>
      <c r="GP63" s="20" t="n">
        <f aca="false">IF(H_Direct=1,IF(AMC62&lt;=0,0,IF(DC63&lt;=0,AMC62,AMC62-G63*MAX(0,DC63*AMC62-(KB63+NO63)))),AMC62*(1-MAX(0,DC63)*H_Exit))</f>
        <v>0</v>
      </c>
      <c r="GQ63" s="20" t="n">
        <f aca="false">IF(H_Direct=1,IF(AMD62&lt;=0,0,IF(DD63&lt;=0,AMD62,AMD62-G63*MAX(0,DD63*AMD62-(KC63+NP63)))),AMD62*(1-MAX(0,DD63)*H_Exit))</f>
        <v>0</v>
      </c>
      <c r="GR63" s="20" t="n">
        <f aca="false">IF(H_Direct=1,IF(AME62&lt;=0,0,IF(DE63&lt;=0,AME62,AME62-G63*MAX(0,DE63*AME62-(KD63+NQ63)))),AME62*(1-MAX(0,DE63)*H_Exit))</f>
        <v>0</v>
      </c>
      <c r="GS63" s="20" t="n">
        <f aca="false">IF(H_Direct=1,IF(AMF62&lt;=0,0,IF(DF63&lt;=0,AMF62,AMF62-G63*MAX(0,DF63*AMF62-(KE63+NR63)))),AMF62*(1-MAX(0,DF63)*H_Exit))</f>
        <v>0</v>
      </c>
      <c r="GT63" s="20" t="n">
        <f aca="false">IF(H_Direct=1,IF(AMG62&lt;=0,0,IF(DG63&lt;=0,AMG62,AMG62-G63*MAX(0,DG63*AMG62-(KF63+NS63)))),AMG62*(1-MAX(0,DG63)*H_Exit))</f>
        <v>0</v>
      </c>
      <c r="GU63" s="20" t="n">
        <f aca="false">IF(H_Direct=1,IF(AMH62&lt;=0,0,IF(DH63&lt;=0,AMH62,AMH62-G63*MAX(0,DH63*AMH62-(KG63+NT63)))),AMH62*(1-MAX(0,DH63)*H_Exit))</f>
        <v>0</v>
      </c>
      <c r="GV63" s="20" t="n">
        <f aca="false">IF(H_Direct=1,IF(AMI62&lt;=0,0,IF(DI63&lt;=0,AMI62,AMI62-G63*MAX(0,DI63*AMI62-(KH63+NU63)))),AMI62*(1-MAX(0,DI63)*H_Exit))</f>
        <v>0</v>
      </c>
      <c r="GW63" s="20" t="n">
        <f aca="false">IF(H_Direct=1,IF(AMJ62&lt;=0,0,IF(DJ63&lt;=0,AMJ62,AMJ62-G63*MAX(0,DJ63*AMJ62-(KI63+NV63)))),AMJ62*(1-MAX(0,DJ63)*H_Exit))</f>
        <v>0</v>
      </c>
      <c r="GX63" s="20" t="n">
        <f aca="false">IF(H_Direct=1,IF(AMK62&lt;=0,0,IF(DK63&lt;=0,AMK62,AMK62-G63*MAX(0,DK63*AMK62-(KJ63+NW63)))),AMK62*(1-MAX(0,DK63)*H_Exit))</f>
        <v>0</v>
      </c>
      <c r="GY63" s="20" t="n">
        <f aca="false">IF(H_Direct=1,IF(AML62&lt;=0,0,IF(DL63&lt;=0,AML62,AML62-G63*MAX(0,DL63*AML62-(KK63+NX63)))),AML62*(1-MAX(0,DL63)*H_Exit))</f>
        <v>0</v>
      </c>
      <c r="GZ63" s="20" t="n">
        <f aca="false">IF(H_Direct=1,IF(AMM62&lt;=0,0,IF(DM63&lt;=0,AMM62,AMM62-G63*MAX(0,DM63*AMM62-(KL63+NY63)))),AMM62*(1-MAX(0,DM63)*H_Exit))</f>
        <v>0</v>
      </c>
      <c r="HA63" s="20" t="n">
        <f aca="false">IF(H_Direct=1,IF(AMN62&lt;=0,0,IF(DN63&lt;=0,AMN62,AMN62-G63*MAX(0,DN63*AMN62-(KM63+NZ63)))),AMN62*(1-MAX(0,DN63)*H_Exit))</f>
        <v>0</v>
      </c>
      <c r="HB63" s="20" t="n">
        <f aca="false">IF(H_Direct=1,IF(AMO62&lt;=0,0,IF(DO63&lt;=0,AMO62,AMO62-G63*MAX(0,DO63*AMO62-(KN63+OA63)))),AMO62*(1-MAX(0,DO63)*H_Exit))</f>
        <v>0</v>
      </c>
      <c r="HC63" s="20" t="n">
        <f aca="false">IF(H_Direct=1,IF(AMP62&lt;=0,0,IF(DP63&lt;=0,AMP62,AMP62-G63*MAX(0,DP63*AMP62-(KO63+OB63)))),AMP62*(1-MAX(0,DP63)*H_Exit))</f>
        <v>0</v>
      </c>
      <c r="HD63" s="20" t="n">
        <f aca="false">IF(H_Direct=1,IF(AMQ62&lt;=0,0,IF(DQ63&lt;=0,AMQ62,AMQ62-G63*MAX(0,DQ63*AMQ62-(KP63+OC63)))),AMQ62*(1-MAX(0,DQ63)*H_Exit))</f>
        <v>0</v>
      </c>
      <c r="HE63" s="20" t="n">
        <f aca="false">IF(H_Direct=1,IF(AMR62&lt;=0,0,IF(DR63&lt;=0,AMR62,AMR62-G63*MAX(0,DR63*AMR62-(KQ63+OD63)))),AMR62*(1-MAX(0,DR63)*H_Exit))</f>
        <v>0</v>
      </c>
      <c r="HF63" s="20" t="n">
        <f aca="false">IF(H_Direct=1,IF(AMS62&lt;=0,0,IF(DS63&lt;=0,AMS62,AMS62-G63*MAX(0,DS63*AMS62-(KR63+OE63)))),AMS62*(1-MAX(0,DS63)*H_Exit))</f>
        <v>0</v>
      </c>
      <c r="HG63" s="20" t="n">
        <f aca="false">IF(H_Direct=1,IF(AMT62&lt;=0,0,IF(DT63&lt;=0,AMT62,AMT62-G63*MAX(0,DT63*AMT62-(KS63+OF63)))),AMT62*(1-MAX(0,DT63)*H_Exit))</f>
        <v>0</v>
      </c>
      <c r="HH63" s="20" t="n">
        <f aca="false">IF(H_Direct=1,IF(AMU62&lt;=0,0,IF(DU63&lt;=0,AMU62,AMU62-G63*MAX(0,DU63*AMU62-(KT63+OG63)))),AMU62*(1-MAX(0,DU63)*H_Exit))</f>
        <v>0</v>
      </c>
      <c r="HI63" s="20" t="n">
        <f aca="false">IF(H_Direct=1,IF((P63+S63)&lt;=0,0,IF(DV63&lt;=0,(P63+S63),(P63+S63)-G63*MAX(0,DV63*(P63+S63)-(KU63+OH63)))),(P63+S63)*(1-MAX(0,DV63)*H_Exit))</f>
        <v>0</v>
      </c>
      <c r="HJ63" s="20" t="n">
        <v>0</v>
      </c>
      <c r="HK63" s="20" t="n">
        <v>0</v>
      </c>
      <c r="HL63" s="20" t="n">
        <v>0</v>
      </c>
      <c r="HM63" s="20" t="n">
        <v>0</v>
      </c>
      <c r="HN63" s="20" t="n">
        <v>0</v>
      </c>
      <c r="HO63" s="20" t="n">
        <v>0</v>
      </c>
      <c r="HP63" s="20" t="n">
        <v>0</v>
      </c>
      <c r="HQ63" s="20" t="n">
        <v>0</v>
      </c>
      <c r="HR63" s="20" t="n">
        <v>0</v>
      </c>
      <c r="HS63" s="20" t="n">
        <v>0</v>
      </c>
      <c r="HT63" s="20" t="n">
        <v>0</v>
      </c>
      <c r="HU63" s="20" t="n">
        <v>0</v>
      </c>
      <c r="HV63" s="20" t="n">
        <v>0</v>
      </c>
      <c r="HW63" s="20" t="n">
        <v>0</v>
      </c>
      <c r="HX63" s="20" t="n">
        <v>0</v>
      </c>
      <c r="HY63" s="20" t="n">
        <v>0</v>
      </c>
      <c r="HZ63" s="20" t="n">
        <v>0</v>
      </c>
      <c r="IA63" s="20" t="n">
        <v>0</v>
      </c>
      <c r="IB63" s="20" t="n">
        <v>0</v>
      </c>
      <c r="IC63" s="20" t="n">
        <v>0</v>
      </c>
      <c r="ID63" s="20" t="n">
        <v>0</v>
      </c>
      <c r="IE63" s="20" t="n">
        <v>0</v>
      </c>
      <c r="IF63" s="20" t="n">
        <v>0</v>
      </c>
      <c r="IG63" s="20" t="n">
        <v>0</v>
      </c>
      <c r="IH63" s="20" t="n">
        <v>0</v>
      </c>
      <c r="II63" s="20" t="n">
        <v>0</v>
      </c>
      <c r="IJ63" s="20" t="n">
        <v>0</v>
      </c>
      <c r="IK63" s="20" t="n">
        <v>0</v>
      </c>
      <c r="IL63" s="20" t="n">
        <v>0</v>
      </c>
      <c r="IM63" s="20" t="n">
        <v>0</v>
      </c>
      <c r="IN63" s="20" t="n">
        <v>0</v>
      </c>
      <c r="IO63" s="20" t="n">
        <v>0</v>
      </c>
      <c r="IP63" s="20" t="n">
        <v>0</v>
      </c>
      <c r="IQ63" s="20" t="n">
        <v>0</v>
      </c>
      <c r="IR63" s="20" t="n">
        <f aca="false">IF(AND(H_Direct=1,BR63&gt;0),MAX(0,H63-(MIN(BR63*AKR62,H63+I63)-MIN(MIN(BR63*AKR62,H63+I63),I63))),H63)</f>
        <v>1270</v>
      </c>
      <c r="IS63" s="20" t="n">
        <f aca="false">IF(AND(H_Direct=1,BS63&gt;0),MAX(0,IR63-(MIN(BS63*AKS62,IR63+ME63)-MIN(MIN(BS63*AKS62,IR63+ME63),ME63))),IR63)</f>
        <v>1270</v>
      </c>
      <c r="IT63" s="20" t="n">
        <f aca="false">IF(AND(H_Direct=1,BT63&gt;0),MAX(0,IS63-(MIN(BT63*AKT62,IS63+MF63)-MIN(MIN(BT63*AKT62,IS63+MF63),MF63))),IS63)</f>
        <v>1270</v>
      </c>
      <c r="IU63" s="20" t="n">
        <f aca="false">IF(AND(H_Direct=1,BU63&gt;0),MAX(0,IT63-(MIN(BU63*AKU62,IT63+MG63)-MIN(MIN(BU63*AKU62,IT63+MG63),MG63))),IT63)</f>
        <v>1270</v>
      </c>
      <c r="IV63" s="20" t="n">
        <f aca="false">IF(AND(H_Direct=1,BV63&gt;0),MAX(0,IU63-(MIN(BV63*AKV62,IU63+MH63)-MIN(MIN(BV63*AKV62,IU63+MH63),MH63))),IU63)</f>
        <v>1270</v>
      </c>
      <c r="IW63" s="20" t="n">
        <f aca="false">IF(AND(H_Direct=1,BW63&gt;0),MAX(0,IV63-(MIN(BW63*AKW62,IV63+MI63)-MIN(MIN(BW63*AKW62,IV63+MI63),MI63))),IV63)</f>
        <v>1270</v>
      </c>
      <c r="IX63" s="20" t="n">
        <f aca="false">IF(AND(H_Direct=1,BX63&gt;0),MAX(0,IW63-(MIN(BX63*AKX62,IW63+MJ63)-MIN(MIN(BX63*AKX62,IW63+MJ63),MJ63))),IW63)</f>
        <v>1270</v>
      </c>
      <c r="IY63" s="20" t="n">
        <f aca="false">IF(AND(H_Direct=1,BY63&gt;0),MAX(0,IX63-(MIN(BY63*AKY62,IX63+MK63)-MIN(MIN(BY63*AKY62,IX63+MK63),MK63))),IX63)</f>
        <v>1270</v>
      </c>
      <c r="IZ63" s="20" t="n">
        <f aca="false">IF(AND(H_Direct=1,BZ63&gt;0),MAX(0,IY63-(MIN(BZ63*AKZ62,IY63+ML63)-MIN(MIN(BZ63*AKZ62,IY63+ML63),ML63))),IY63)</f>
        <v>1270</v>
      </c>
      <c r="JA63" s="20" t="n">
        <f aca="false">IF(AND(H_Direct=1,CA63&gt;0),MAX(0,IZ63-(MIN(CA63*ALA62,IZ63+MM63)-MIN(MIN(CA63*ALA62,IZ63+MM63),MM63))),IZ63)</f>
        <v>1270</v>
      </c>
      <c r="JB63" s="20" t="n">
        <f aca="false">IF(AND(H_Direct=1,CB63&gt;0),MAX(0,JA63-(MIN(CB63*ALB62,JA63+MN63)-MIN(MIN(CB63*ALB62,JA63+MN63),MN63))),JA63)</f>
        <v>1270</v>
      </c>
      <c r="JC63" s="20" t="n">
        <f aca="false">IF(AND(H_Direct=1,CC63&gt;0),MAX(0,JB63-(MIN(CC63*ALC62,JB63+MO63)-MIN(MIN(CC63*ALC62,JB63+MO63),MO63))),JB63)</f>
        <v>1270</v>
      </c>
      <c r="JD63" s="20" t="n">
        <f aca="false">IF(AND(H_Direct=1,CD63&gt;0),MAX(0,JC63-(MIN(CD63*ALD62,JC63+MP63)-MIN(MIN(CD63*ALD62,JC63+MP63),MP63))),JC63)</f>
        <v>1270</v>
      </c>
      <c r="JE63" s="20" t="n">
        <f aca="false">IF(AND(H_Direct=1,CE63&gt;0),MAX(0,JD63-(MIN(CE63*ALE62,JD63+MQ63)-MIN(MIN(CE63*ALE62,JD63+MQ63),MQ63))),JD63)</f>
        <v>1270</v>
      </c>
      <c r="JF63" s="20" t="n">
        <f aca="false">IF(AND(H_Direct=1,CF63&gt;0),MAX(0,JE63-(MIN(CF63*ALF62,JE63+MR63)-MIN(MIN(CF63*ALF62,JE63+MR63),MR63))),JE63)</f>
        <v>1270</v>
      </c>
      <c r="JG63" s="20" t="n">
        <f aca="false">IF(AND(H_Direct=1,CG63&gt;0),MAX(0,JF63-(MIN(CG63*ALG62,JF63+MS63)-MIN(MIN(CG63*ALG62,JF63+MS63),MS63))),JF63)</f>
        <v>1270</v>
      </c>
      <c r="JH63" s="20" t="n">
        <f aca="false">IF(AND(H_Direct=1,CH63&gt;0),MAX(0,JG63-(MIN(CH63*ALH62,JG63+MT63)-MIN(MIN(CH63*ALH62,JG63+MT63),MT63))),JG63)</f>
        <v>1270</v>
      </c>
      <c r="JI63" s="20" t="n">
        <f aca="false">IF(AND(H_Direct=1,CI63&gt;0),MAX(0,JH63-(MIN(CI63*ALI62,JH63+MU63)-MIN(MIN(CI63*ALI62,JH63+MU63),MU63))),JH63)</f>
        <v>1270</v>
      </c>
      <c r="JJ63" s="20" t="n">
        <f aca="false">IF(AND(H_Direct=1,CJ63&gt;0),MAX(0,JI63-(MIN(CJ63*ALJ62,JI63+MV63)-MIN(MIN(CJ63*ALJ62,JI63+MV63),MV63))),JI63)</f>
        <v>1270</v>
      </c>
      <c r="JK63" s="20" t="n">
        <f aca="false">IF(AND(H_Direct=1,CK63&gt;0),MAX(0,JJ63-(MIN(CK63*ALK62,JJ63+MW63)-MIN(MIN(CK63*ALK62,JJ63+MW63),MW63))),JJ63)</f>
        <v>1270</v>
      </c>
      <c r="JL63" s="20" t="n">
        <f aca="false">IF(AND(H_Direct=1,CL63&gt;0),MAX(0,JK63-(MIN(CL63*ALL62,JK63+MX63)-MIN(MIN(CL63*ALL62,JK63+MX63),MX63))),JK63)</f>
        <v>1270</v>
      </c>
      <c r="JM63" s="20" t="n">
        <f aca="false">IF(AND(H_Direct=1,CM63&gt;0),MAX(0,JL63-(MIN(CM63*ALM62,JL63+MY63)-MIN(MIN(CM63*ALM62,JL63+MY63),MY63))),JL63)</f>
        <v>1270</v>
      </c>
      <c r="JN63" s="20" t="n">
        <f aca="false">IF(AND(H_Direct=1,CN63&gt;0),MAX(0,JM63-(MIN(CN63*ALN62,JM63+MZ63)-MIN(MIN(CN63*ALN62,JM63+MZ63),MZ63))),JM63)</f>
        <v>1270</v>
      </c>
      <c r="JO63" s="20" t="n">
        <f aca="false">IF(AND(H_Direct=1,CO63&gt;0),MAX(0,JN63-(MIN(CO63*ALO62,JN63+NA63)-MIN(MIN(CO63*ALO62,JN63+NA63),NA63))),JN63)</f>
        <v>1270</v>
      </c>
      <c r="JP63" s="20" t="n">
        <f aca="false">IF(AND(H_Direct=1,CP63&gt;0),MAX(0,JO63-(MIN(CP63*ALP62,JO63+NB63)-MIN(MIN(CP63*ALP62,JO63+NB63),NB63))),JO63)</f>
        <v>1270</v>
      </c>
      <c r="JQ63" s="20" t="n">
        <f aca="false">IF(AND(H_Direct=1,CQ63&gt;0),MAX(0,JP63-(MIN(CQ63*ALQ62,JP63+NC63)-MIN(MIN(CQ63*ALQ62,JP63+NC63),NC63))),JP63)</f>
        <v>1270</v>
      </c>
      <c r="JR63" s="20" t="n">
        <f aca="false">IF(AND(H_Direct=1,CR63&gt;0),MAX(0,JQ63-(MIN(CR63*ALR62,JQ63+ND63)-MIN(MIN(CR63*ALR62,JQ63+ND63),ND63))),JQ63)</f>
        <v>1270</v>
      </c>
      <c r="JS63" s="20" t="n">
        <f aca="false">IF(AND(H_Direct=1,CS63&gt;0),MAX(0,JR63-(MIN(CS63*ALS62,JR63+NE63)-MIN(MIN(CS63*ALS62,JR63+NE63),NE63))),JR63)</f>
        <v>1270</v>
      </c>
      <c r="JT63" s="20" t="n">
        <f aca="false">IF(AND(H_Direct=1,CT63&gt;0),MAX(0,JS63-(MIN(CT63*ALT62,JS63+NF63)-MIN(MIN(CT63*ALT62,JS63+NF63),NF63))),JS63)</f>
        <v>1270</v>
      </c>
      <c r="JU63" s="20" t="n">
        <f aca="false">IF(AND(H_Direct=1,CU63&gt;0),MAX(0,JT63-(MIN(CU63*ALU62,JT63+NG63)-MIN(MIN(CU63*ALU62,JT63+NG63),NG63))),JT63)</f>
        <v>1270</v>
      </c>
      <c r="JV63" s="20" t="n">
        <f aca="false">IF(AND(H_Direct=1,CV63&gt;0),MAX(0,JU63-(MIN(CV63*ALV62,JU63+NH63)-MIN(MIN(CV63*ALV62,JU63+NH63),NH63))),JU63)</f>
        <v>1270</v>
      </c>
      <c r="JW63" s="20" t="n">
        <f aca="false">IF(AND(H_Direct=1,CW63&gt;0),MAX(0,JV63-(MIN(CW63*ALW62,JV63+NI63)-MIN(MIN(CW63*ALW62,JV63+NI63),NI63))),JV63)</f>
        <v>1270</v>
      </c>
      <c r="JX63" s="20" t="n">
        <f aca="false">IF(AND(H_Direct=1,CX63&gt;0),MAX(0,JW63-(MIN(CX63*ALX62,JW63+NJ63)-MIN(MIN(CX63*ALX62,JW63+NJ63),NJ63))),JW63)</f>
        <v>1270</v>
      </c>
      <c r="JY63" s="20" t="n">
        <f aca="false">IF(AND(H_Direct=1,CY63&gt;0),MAX(0,JX63-(MIN(CY63*ALY62,JX63+NK63)-MIN(MIN(CY63*ALY62,JX63+NK63),NK63))),JX63)</f>
        <v>1270</v>
      </c>
      <c r="JZ63" s="20" t="n">
        <f aca="false">IF(AND(H_Direct=1,CZ63&gt;0),MAX(0,JY63-(MIN(CZ63*ALZ62,JY63+NL63)-MIN(MIN(CZ63*ALZ62,JY63+NL63),NL63))),JY63)</f>
        <v>1270</v>
      </c>
      <c r="KA63" s="20" t="n">
        <f aca="false">IF(AND(H_Direct=1,DA63&gt;0),MAX(0,JZ63-(MIN(DA63*AMA62,JZ63+NM63)-MIN(MIN(DA63*AMA62,JZ63+NM63),NM63))),JZ63)</f>
        <v>1270</v>
      </c>
      <c r="KB63" s="20" t="n">
        <f aca="false">IF(AND(H_Direct=1,DB63&gt;0),MAX(0,KA63-(MIN(DB63*AMB62,KA63+NN63)-MIN(MIN(DB63*AMB62,KA63+NN63),NN63))),KA63)</f>
        <v>1270</v>
      </c>
      <c r="KC63" s="20" t="n">
        <f aca="false">IF(AND(H_Direct=1,DC63&gt;0),MAX(0,KB63-(MIN(DC63*AMC62,KB63+NO63)-MIN(MIN(DC63*AMC62,KB63+NO63),NO63))),KB63)</f>
        <v>1270</v>
      </c>
      <c r="KD63" s="20" t="n">
        <f aca="false">IF(AND(H_Direct=1,DD63&gt;0),MAX(0,KC63-(MIN(DD63*AMD62,KC63+NP63)-MIN(MIN(DD63*AMD62,KC63+NP63),NP63))),KC63)</f>
        <v>1270</v>
      </c>
      <c r="KE63" s="20" t="n">
        <f aca="false">IF(AND(H_Direct=1,DE63&gt;0),MAX(0,KD63-(MIN(DE63*AME62,KD63+NQ63)-MIN(MIN(DE63*AME62,KD63+NQ63),NQ63))),KD63)</f>
        <v>1270</v>
      </c>
      <c r="KF63" s="20" t="n">
        <f aca="false">IF(AND(H_Direct=1,DF63&gt;0),MAX(0,KE63-(MIN(DF63*AMF62,KE63+NR63)-MIN(MIN(DF63*AMF62,KE63+NR63),NR63))),KE63)</f>
        <v>1270</v>
      </c>
      <c r="KG63" s="20" t="n">
        <f aca="false">IF(AND(H_Direct=1,DG63&gt;0),MAX(0,KF63-(MIN(DG63*AMG62,KF63+NS63)-MIN(MIN(DG63*AMG62,KF63+NS63),NS63))),KF63)</f>
        <v>1270</v>
      </c>
      <c r="KH63" s="20" t="n">
        <f aca="false">IF(AND(H_Direct=1,DH63&gt;0),MAX(0,KG63-(MIN(DH63*AMH62,KG63+NT63)-MIN(MIN(DH63*AMH62,KG63+NT63),NT63))),KG63)</f>
        <v>1270</v>
      </c>
      <c r="KI63" s="20" t="n">
        <f aca="false">IF(AND(H_Direct=1,DI63&gt;0),MAX(0,KH63-(MIN(DI63*AMI62,KH63+NU63)-MIN(MIN(DI63*AMI62,KH63+NU63),NU63))),KH63)</f>
        <v>1270</v>
      </c>
      <c r="KJ63" s="20" t="n">
        <f aca="false">IF(AND(H_Direct=1,DJ63&gt;0),MAX(0,KI63-(MIN(DJ63*AMJ62,KI63+NV63)-MIN(MIN(DJ63*AMJ62,KI63+NV63),NV63))),KI63)</f>
        <v>1270</v>
      </c>
      <c r="KK63" s="20" t="n">
        <f aca="false">IF(AND(H_Direct=1,DK63&gt;0),MAX(0,KJ63-(MIN(DK63*AMK62,KJ63+NW63)-MIN(MIN(DK63*AMK62,KJ63+NW63),NW63))),KJ63)</f>
        <v>1270</v>
      </c>
      <c r="KL63" s="20" t="n">
        <f aca="false">IF(AND(H_Direct=1,DL63&gt;0),MAX(0,KK63-(MIN(DL63*AML62,KK63+NX63)-MIN(MIN(DL63*AML62,KK63+NX63),NX63))),KK63)</f>
        <v>1270</v>
      </c>
      <c r="KM63" s="20" t="n">
        <f aca="false">IF(AND(H_Direct=1,DM63&gt;0),MAX(0,KL63-(MIN(DM63*AMM62,KL63+NY63)-MIN(MIN(DM63*AMM62,KL63+NY63),NY63))),KL63)</f>
        <v>1270</v>
      </c>
      <c r="KN63" s="20" t="n">
        <f aca="false">IF(AND(H_Direct=1,DN63&gt;0),MAX(0,KM63-(MIN(DN63*AMN62,KM63+NZ63)-MIN(MIN(DN63*AMN62,KM63+NZ63),NZ63))),KM63)</f>
        <v>1270</v>
      </c>
      <c r="KO63" s="20" t="n">
        <f aca="false">IF(AND(H_Direct=1,DO63&gt;0),MAX(0,KN63-(MIN(DO63*AMO62,KN63+OA63)-MIN(MIN(DO63*AMO62,KN63+OA63),OA63))),KN63)</f>
        <v>1270</v>
      </c>
      <c r="KP63" s="20" t="n">
        <f aca="false">IF(AND(H_Direct=1,DP63&gt;0),MAX(0,KO63-(MIN(DP63*AMP62,KO63+OB63)-MIN(MIN(DP63*AMP62,KO63+OB63),OB63))),KO63)</f>
        <v>1270</v>
      </c>
      <c r="KQ63" s="20" t="n">
        <f aca="false">IF(AND(H_Direct=1,DQ63&gt;0),MAX(0,KP63-(MIN(DQ63*AMQ62,KP63+OC63)-MIN(MIN(DQ63*AMQ62,KP63+OC63),OC63))),KP63)</f>
        <v>1270</v>
      </c>
      <c r="KR63" s="20" t="n">
        <f aca="false">IF(AND(H_Direct=1,DR63&gt;0),MAX(0,KQ63-(MIN(DR63*AMR62,KQ63+OD63)-MIN(MIN(DR63*AMR62,KQ63+OD63),OD63))),KQ63)</f>
        <v>1270</v>
      </c>
      <c r="KS63" s="20" t="n">
        <f aca="false">IF(AND(H_Direct=1,DS63&gt;0),MAX(0,KR63-(MIN(DS63*AMS62,KR63+OE63)-MIN(MIN(DS63*AMS62,KR63+OE63),OE63))),KR63)</f>
        <v>1270</v>
      </c>
      <c r="KT63" s="20" t="n">
        <f aca="false">IF(AND(H_Direct=1,DT63&gt;0),MAX(0,KS63-(MIN(DT63*AMT62,KS63+OF63)-MIN(MIN(DT63*AMT62,KS63+OF63),OF63))),KS63)</f>
        <v>1270</v>
      </c>
      <c r="KU63" s="20" t="n">
        <f aca="false">IF(AND(H_Direct=1,DU63&gt;0),MAX(0,KT63-(MIN(DU63*AMU62,KT63+OG63)-MIN(MIN(DU63*AMU62,KT63+OG63),OG63))),KT63)</f>
        <v>1270</v>
      </c>
      <c r="KV63" s="20" t="n">
        <f aca="false">IF(AND(H_Direct=1,DV63&gt;0),MAX(0,KU63-(MIN(DV63*(P63+S63),KU63+OH63)-MIN(MIN(DV63*(P63+S63),KU63+OH63),OH63))),KU63)</f>
        <v>1270</v>
      </c>
      <c r="KW63" s="20" t="n">
        <f aca="false">KV63</f>
        <v>1270</v>
      </c>
      <c r="KX63" s="20" t="n">
        <f aca="false">KW63</f>
        <v>1270</v>
      </c>
      <c r="KY63" s="20" t="n">
        <f aca="false">KX63</f>
        <v>1270</v>
      </c>
      <c r="KZ63" s="20" t="n">
        <f aca="false">KY63</f>
        <v>1270</v>
      </c>
      <c r="LA63" s="20" t="n">
        <f aca="false">KZ63</f>
        <v>1270</v>
      </c>
      <c r="LB63" s="20" t="n">
        <f aca="false">LA63</f>
        <v>1270</v>
      </c>
      <c r="LC63" s="20" t="n">
        <f aca="false">LB63</f>
        <v>1270</v>
      </c>
      <c r="LD63" s="20" t="n">
        <f aca="false">LC63</f>
        <v>1270</v>
      </c>
      <c r="LE63" s="20" t="n">
        <f aca="false">LD63</f>
        <v>1270</v>
      </c>
      <c r="LF63" s="20" t="n">
        <f aca="false">LE63</f>
        <v>1270</v>
      </c>
      <c r="LG63" s="20" t="n">
        <f aca="false">LF63</f>
        <v>1270</v>
      </c>
      <c r="LH63" s="20" t="n">
        <f aca="false">LG63</f>
        <v>1270</v>
      </c>
      <c r="LI63" s="20" t="n">
        <f aca="false">LH63</f>
        <v>1270</v>
      </c>
      <c r="LJ63" s="20" t="n">
        <f aca="false">LI63</f>
        <v>1270</v>
      </c>
      <c r="LK63" s="20" t="n">
        <f aca="false">LJ63</f>
        <v>1270</v>
      </c>
      <c r="LL63" s="20" t="n">
        <f aca="false">LK63</f>
        <v>1270</v>
      </c>
      <c r="LM63" s="20" t="n">
        <f aca="false">LL63</f>
        <v>1270</v>
      </c>
      <c r="LN63" s="20" t="n">
        <f aca="false">LM63</f>
        <v>1270</v>
      </c>
      <c r="LO63" s="20" t="n">
        <f aca="false">LN63</f>
        <v>1270</v>
      </c>
      <c r="LP63" s="20" t="n">
        <f aca="false">LO63</f>
        <v>1270</v>
      </c>
      <c r="LQ63" s="20" t="n">
        <f aca="false">LP63</f>
        <v>1270</v>
      </c>
      <c r="LR63" s="20" t="n">
        <f aca="false">LQ63</f>
        <v>1270</v>
      </c>
      <c r="LS63" s="20" t="n">
        <f aca="false">LR63</f>
        <v>1270</v>
      </c>
      <c r="LT63" s="20" t="n">
        <f aca="false">LS63</f>
        <v>1270</v>
      </c>
      <c r="LU63" s="20" t="n">
        <f aca="false">LT63</f>
        <v>1270</v>
      </c>
      <c r="LV63" s="20" t="n">
        <f aca="false">LU63</f>
        <v>1270</v>
      </c>
      <c r="LW63" s="20" t="n">
        <f aca="false">LV63</f>
        <v>1270</v>
      </c>
      <c r="LX63" s="20" t="n">
        <f aca="false">LW63</f>
        <v>1270</v>
      </c>
      <c r="LY63" s="20" t="n">
        <f aca="false">LX63</f>
        <v>1270</v>
      </c>
      <c r="LZ63" s="20" t="n">
        <f aca="false">LY63</f>
        <v>1270</v>
      </c>
      <c r="MA63" s="20" t="n">
        <f aca="false">LZ63</f>
        <v>1270</v>
      </c>
      <c r="MB63" s="20" t="n">
        <f aca="false">MA63</f>
        <v>1270</v>
      </c>
      <c r="MC63" s="20" t="n">
        <f aca="false">MB63</f>
        <v>1270</v>
      </c>
      <c r="MD63" s="20" t="n">
        <f aca="false">MC63</f>
        <v>1270</v>
      </c>
      <c r="ME63" s="20" t="n">
        <f aca="false">IF(H_Direct=1,IF(BR63&lt;=0,I63-BR63*AKR62,I63-MIN(MIN(BR63*AKR62,H63+I63),I63)),I63)</f>
        <v>0</v>
      </c>
      <c r="MF63" s="20" t="n">
        <f aca="false">IF(H_Direct=1,IF(BS63&lt;=0,ME63-BS63*AKS62,ME63-MIN(MIN(BS63*AKS62,IR63+ME63),ME63)),ME63)</f>
        <v>0</v>
      </c>
      <c r="MG63" s="20" t="n">
        <f aca="false">IF(H_Direct=1,IF(BT63&lt;=0,MF63-BT63*AKT62,MF63-MIN(MIN(BT63*AKT62,IS63+MF63),MF63)),MF63)</f>
        <v>0</v>
      </c>
      <c r="MH63" s="20" t="n">
        <f aca="false">IF(H_Direct=1,IF(BU63&lt;=0,MG63-BU63*AKU62,MG63-MIN(MIN(BU63*AKU62,IT63+MG63),MG63)),MG63)</f>
        <v>0</v>
      </c>
      <c r="MI63" s="20" t="n">
        <f aca="false">IF(H_Direct=1,IF(BV63&lt;=0,MH63-BV63*AKV62,MH63-MIN(MIN(BV63*AKV62,IU63+MH63),MH63)),MH63)</f>
        <v>0</v>
      </c>
      <c r="MJ63" s="20" t="n">
        <f aca="false">IF(H_Direct=1,IF(BW63&lt;=0,MI63-BW63*AKW62,MI63-MIN(MIN(BW63*AKW62,IV63+MI63),MI63)),MI63)</f>
        <v>0</v>
      </c>
      <c r="MK63" s="20" t="n">
        <f aca="false">IF(H_Direct=1,IF(BX63&lt;=0,MJ63-BX63*AKX62,MJ63-MIN(MIN(BX63*AKX62,IW63+MJ63),MJ63)),MJ63)</f>
        <v>0</v>
      </c>
      <c r="ML63" s="20" t="n">
        <f aca="false">IF(H_Direct=1,IF(BY63&lt;=0,MK63-BY63*AKY62,MK63-MIN(MIN(BY63*AKY62,IX63+MK63),MK63)),MK63)</f>
        <v>0</v>
      </c>
      <c r="MM63" s="20" t="n">
        <f aca="false">IF(H_Direct=1,IF(BZ63&lt;=0,ML63-BZ63*AKZ62,ML63-MIN(MIN(BZ63*AKZ62,IY63+ML63),ML63)),ML63)</f>
        <v>0</v>
      </c>
      <c r="MN63" s="20" t="n">
        <f aca="false">IF(H_Direct=1,IF(CA63&lt;=0,MM63-CA63*ALA62,MM63-MIN(MIN(CA63*ALA62,IZ63+MM63),MM63)),MM63)</f>
        <v>0</v>
      </c>
      <c r="MO63" s="20" t="n">
        <f aca="false">IF(H_Direct=1,IF(CB63&lt;=0,MN63-CB63*ALB62,MN63-MIN(MIN(CB63*ALB62,JA63+MN63),MN63)),MN63)</f>
        <v>0</v>
      </c>
      <c r="MP63" s="20" t="n">
        <f aca="false">IF(H_Direct=1,IF(CC63&lt;=0,MO63-CC63*ALC62,MO63-MIN(MIN(CC63*ALC62,JB63+MO63),MO63)),MO63)</f>
        <v>0</v>
      </c>
      <c r="MQ63" s="20" t="n">
        <f aca="false">IF(H_Direct=1,IF(CD63&lt;=0,MP63-CD63*ALD62,MP63-MIN(MIN(CD63*ALD62,JC63+MP63),MP63)),MP63)</f>
        <v>0</v>
      </c>
      <c r="MR63" s="20" t="n">
        <f aca="false">IF(H_Direct=1,IF(CE63&lt;=0,MQ63-CE63*ALE62,MQ63-MIN(MIN(CE63*ALE62,JD63+MQ63),MQ63)),MQ63)</f>
        <v>0</v>
      </c>
      <c r="MS63" s="20" t="n">
        <f aca="false">IF(H_Direct=1,IF(CF63&lt;=0,MR63-CF63*ALF62,MR63-MIN(MIN(CF63*ALF62,JE63+MR63),MR63)),MR63)</f>
        <v>0</v>
      </c>
      <c r="MT63" s="20" t="n">
        <f aca="false">IF(H_Direct=1,IF(CG63&lt;=0,MS63-CG63*ALG62,MS63-MIN(MIN(CG63*ALG62,JF63+MS63),MS63)),MS63)</f>
        <v>0</v>
      </c>
      <c r="MU63" s="20" t="n">
        <f aca="false">IF(H_Direct=1,IF(CH63&lt;=0,MT63-CH63*ALH62,MT63-MIN(MIN(CH63*ALH62,JG63+MT63),MT63)),MT63)</f>
        <v>0</v>
      </c>
      <c r="MV63" s="20" t="n">
        <f aca="false">IF(H_Direct=1,IF(CI63&lt;=0,MU63-CI63*ALI62,MU63-MIN(MIN(CI63*ALI62,JH63+MU63),MU63)),MU63)</f>
        <v>0</v>
      </c>
      <c r="MW63" s="20" t="n">
        <f aca="false">IF(H_Direct=1,IF(CJ63&lt;=0,MV63-CJ63*ALJ62,MV63-MIN(MIN(CJ63*ALJ62,JI63+MV63),MV63)),MV63)</f>
        <v>0</v>
      </c>
      <c r="MX63" s="20" t="n">
        <f aca="false">IF(H_Direct=1,IF(CK63&lt;=0,MW63-CK63*ALK62,MW63-MIN(MIN(CK63*ALK62,JJ63+MW63),MW63)),MW63)</f>
        <v>0</v>
      </c>
      <c r="MY63" s="20" t="n">
        <f aca="false">IF(H_Direct=1,IF(CL63&lt;=0,MX63-CL63*ALL62,MX63-MIN(MIN(CL63*ALL62,JK63+MX63),MX63)),MX63)</f>
        <v>0</v>
      </c>
      <c r="MZ63" s="20" t="n">
        <f aca="false">IF(H_Direct=1,IF(CM63&lt;=0,MY63-CM63*ALM62,MY63-MIN(MIN(CM63*ALM62,JL63+MY63),MY63)),MY63)</f>
        <v>0</v>
      </c>
      <c r="NA63" s="20" t="n">
        <f aca="false">IF(H_Direct=1,IF(CN63&lt;=0,MZ63-CN63*ALN62,MZ63-MIN(MIN(CN63*ALN62,JM63+MZ63),MZ63)),MZ63)</f>
        <v>0</v>
      </c>
      <c r="NB63" s="20" t="n">
        <f aca="false">IF(H_Direct=1,IF(CO63&lt;=0,NA63-CO63*ALO62,NA63-MIN(MIN(CO63*ALO62,JN63+NA63),NA63)),NA63)</f>
        <v>0</v>
      </c>
      <c r="NC63" s="20" t="n">
        <f aca="false">IF(H_Direct=1,IF(CP63&lt;=0,NB63-CP63*ALP62,NB63-MIN(MIN(CP63*ALP62,JO63+NB63),NB63)),NB63)</f>
        <v>0</v>
      </c>
      <c r="ND63" s="20" t="n">
        <f aca="false">IF(H_Direct=1,IF(CQ63&lt;=0,NC63-CQ63*ALQ62,NC63-MIN(MIN(CQ63*ALQ62,JP63+NC63),NC63)),NC63)</f>
        <v>0</v>
      </c>
      <c r="NE63" s="20" t="n">
        <f aca="false">IF(H_Direct=1,IF(CR63&lt;=0,ND63-CR63*ALR62,ND63-MIN(MIN(CR63*ALR62,JQ63+ND63),ND63)),ND63)</f>
        <v>0</v>
      </c>
      <c r="NF63" s="20" t="n">
        <f aca="false">IF(H_Direct=1,IF(CS63&lt;=0,NE63-CS63*ALS62,NE63-MIN(MIN(CS63*ALS62,JR63+NE63),NE63)),NE63)</f>
        <v>0</v>
      </c>
      <c r="NG63" s="20" t="n">
        <f aca="false">IF(H_Direct=1,IF(CT63&lt;=0,NF63-CT63*ALT62,NF63-MIN(MIN(CT63*ALT62,JS63+NF63),NF63)),NF63)</f>
        <v>0</v>
      </c>
      <c r="NH63" s="20" t="n">
        <f aca="false">IF(H_Direct=1,IF(CU63&lt;=0,NG63-CU63*ALU62,NG63-MIN(MIN(CU63*ALU62,JT63+NG63),NG63)),NG63)</f>
        <v>0</v>
      </c>
      <c r="NI63" s="20" t="n">
        <f aca="false">IF(H_Direct=1,IF(CV63&lt;=0,NH63-CV63*ALV62,NH63-MIN(MIN(CV63*ALV62,JU63+NH63),NH63)),NH63)</f>
        <v>0</v>
      </c>
      <c r="NJ63" s="20" t="n">
        <f aca="false">IF(H_Direct=1,IF(CW63&lt;=0,NI63-CW63*ALW62,NI63-MIN(MIN(CW63*ALW62,JV63+NI63),NI63)),NI63)</f>
        <v>0</v>
      </c>
      <c r="NK63" s="20" t="n">
        <f aca="false">IF(H_Direct=1,IF(CX63&lt;=0,NJ63-CX63*ALX62,NJ63-MIN(MIN(CX63*ALX62,JW63+NJ63),NJ63)),NJ63)</f>
        <v>0</v>
      </c>
      <c r="NL63" s="20" t="n">
        <f aca="false">IF(H_Direct=1,IF(CY63&lt;=0,NK63-CY63*ALY62,NK63-MIN(MIN(CY63*ALY62,JX63+NK63),NK63)),NK63)</f>
        <v>0</v>
      </c>
      <c r="NM63" s="20" t="n">
        <f aca="false">IF(H_Direct=1,IF(CZ63&lt;=0,NL63-CZ63*ALZ62,NL63-MIN(MIN(CZ63*ALZ62,JY63+NL63),NL63)),NL63)</f>
        <v>0</v>
      </c>
      <c r="NN63" s="20" t="n">
        <f aca="false">IF(H_Direct=1,IF(DA63&lt;=0,NM63-DA63*AMA62,NM63-MIN(MIN(DA63*AMA62,JZ63+NM63),NM63)),NM63)</f>
        <v>0</v>
      </c>
      <c r="NO63" s="20" t="n">
        <f aca="false">IF(H_Direct=1,IF(DB63&lt;=0,NN63-DB63*AMB62,NN63-MIN(MIN(DB63*AMB62,KA63+NN63),NN63)),NN63)</f>
        <v>0</v>
      </c>
      <c r="NP63" s="20" t="n">
        <f aca="false">IF(H_Direct=1,IF(DC63&lt;=0,NO63-DC63*AMC62,NO63-MIN(MIN(DC63*AMC62,KB63+NO63),NO63)),NO63)</f>
        <v>0</v>
      </c>
      <c r="NQ63" s="20" t="n">
        <f aca="false">IF(H_Direct=1,IF(DD63&lt;=0,NP63-DD63*AMD62,NP63-MIN(MIN(DD63*AMD62,KC63+NP63),NP63)),NP63)</f>
        <v>0</v>
      </c>
      <c r="NR63" s="20" t="n">
        <f aca="false">IF(H_Direct=1,IF(DE63&lt;=0,NQ63-DE63*AME62,NQ63-MIN(MIN(DE63*AME62,KD63+NQ63),NQ63)),NQ63)</f>
        <v>0</v>
      </c>
      <c r="NS63" s="20" t="n">
        <f aca="false">IF(H_Direct=1,IF(DF63&lt;=0,NR63-DF63*AMF62,NR63-MIN(MIN(DF63*AMF62,KE63+NR63),NR63)),NR63)</f>
        <v>0</v>
      </c>
      <c r="NT63" s="20" t="n">
        <f aca="false">IF(H_Direct=1,IF(DG63&lt;=0,NS63-DG63*AMG62,NS63-MIN(MIN(DG63*AMG62,KF63+NS63),NS63)),NS63)</f>
        <v>0</v>
      </c>
      <c r="NU63" s="20" t="n">
        <f aca="false">IF(H_Direct=1,IF(DH63&lt;=0,NT63-DH63*AMH62,NT63-MIN(MIN(DH63*AMH62,KG63+NT63),NT63)),NT63)</f>
        <v>0</v>
      </c>
      <c r="NV63" s="20" t="n">
        <f aca="false">IF(H_Direct=1,IF(DI63&lt;=0,NU63-DI63*AMI62,NU63-MIN(MIN(DI63*AMI62,KH63+NU63),NU63)),NU63)</f>
        <v>0</v>
      </c>
      <c r="NW63" s="20" t="n">
        <f aca="false">IF(H_Direct=1,IF(DJ63&lt;=0,NV63-DJ63*AMJ62,NV63-MIN(MIN(DJ63*AMJ62,KI63+NV63),NV63)),NV63)</f>
        <v>0</v>
      </c>
      <c r="NX63" s="20" t="n">
        <f aca="false">IF(H_Direct=1,IF(DK63&lt;=0,NW63-DK63*AMK62,NW63-MIN(MIN(DK63*AMK62,KJ63+NW63),NW63)),NW63)</f>
        <v>0</v>
      </c>
      <c r="NY63" s="20" t="n">
        <f aca="false">IF(H_Direct=1,IF(DL63&lt;=0,NX63-DL63*AML62,NX63-MIN(MIN(DL63*AML62,KK63+NX63),NX63)),NX63)</f>
        <v>0</v>
      </c>
      <c r="NZ63" s="20" t="n">
        <f aca="false">IF(H_Direct=1,IF(DM63&lt;=0,NY63-DM63*AMM62,NY63-MIN(MIN(DM63*AMM62,KL63+NY63),NY63)),NY63)</f>
        <v>0</v>
      </c>
      <c r="OA63" s="20" t="n">
        <f aca="false">IF(H_Direct=1,IF(DN63&lt;=0,NZ63-DN63*AMN62,NZ63-MIN(MIN(DN63*AMN62,KM63+NZ63),NZ63)),NZ63)</f>
        <v>0</v>
      </c>
      <c r="OB63" s="20" t="n">
        <f aca="false">IF(H_Direct=1,IF(DO63&lt;=0,OA63-DO63*AMO62,OA63-MIN(MIN(DO63*AMO62,KN63+OA63),OA63)),OA63)</f>
        <v>0</v>
      </c>
      <c r="OC63" s="20" t="n">
        <f aca="false">IF(H_Direct=1,IF(DP63&lt;=0,OB63-DP63*AMP62,OB63-MIN(MIN(DP63*AMP62,KO63+OB63),OB63)),OB63)</f>
        <v>0</v>
      </c>
      <c r="OD63" s="20" t="n">
        <f aca="false">IF(H_Direct=1,IF(DQ63&lt;=0,OC63-DQ63*AMQ62,OC63-MIN(MIN(DQ63*AMQ62,KP63+OC63),OC63)),OC63)</f>
        <v>0</v>
      </c>
      <c r="OE63" s="20" t="n">
        <f aca="false">IF(H_Direct=1,IF(DR63&lt;=0,OD63-DR63*AMR62,OD63-MIN(MIN(DR63*AMR62,KQ63+OD63),OD63)),OD63)</f>
        <v>0</v>
      </c>
      <c r="OF63" s="20" t="n">
        <f aca="false">IF(H_Direct=1,IF(DS63&lt;=0,OE63-DS63*AMS62,OE63-MIN(MIN(DS63*AMS62,KR63+OE63),OE63)),OE63)</f>
        <v>0</v>
      </c>
      <c r="OG63" s="20" t="n">
        <f aca="false">IF(H_Direct=1,IF(DT63&lt;=0,OF63-DT63*AMT62,OF63-MIN(MIN(DT63*AMT62,KS63+OF63),OF63)),OF63)</f>
        <v>0</v>
      </c>
      <c r="OH63" s="20" t="n">
        <f aca="false">IF(H_Direct=1,IF(DU63&lt;=0,OG63-DU63*AMU62,OG63-MIN(MIN(DU63*AMU62,KT63+OG63),OG63)),OG63)</f>
        <v>0</v>
      </c>
      <c r="OI63" s="20" t="n">
        <f aca="false">IF(H_Direct=1,IF(DV63&lt;=0,OH63-DV63*(P63+S63),OH63-MIN(MIN(DV63*(P63+S63),KU63+OH63),OH63)),OH63)</f>
        <v>0</v>
      </c>
      <c r="OJ63" s="20" t="n">
        <f aca="false">OI63</f>
        <v>0</v>
      </c>
      <c r="OK63" s="20" t="n">
        <f aca="false">OJ63</f>
        <v>0</v>
      </c>
      <c r="OL63" s="20" t="n">
        <f aca="false">OK63</f>
        <v>0</v>
      </c>
      <c r="OM63" s="20" t="n">
        <f aca="false">OL63</f>
        <v>0</v>
      </c>
      <c r="ON63" s="20" t="n">
        <f aca="false">OM63</f>
        <v>0</v>
      </c>
      <c r="OO63" s="20" t="n">
        <f aca="false">ON63</f>
        <v>0</v>
      </c>
      <c r="OP63" s="20" t="n">
        <f aca="false">OO63</f>
        <v>0</v>
      </c>
      <c r="OQ63" s="20" t="n">
        <f aca="false">OP63</f>
        <v>0</v>
      </c>
      <c r="OR63" s="20" t="n">
        <f aca="false">OQ63</f>
        <v>0</v>
      </c>
      <c r="OS63" s="20" t="n">
        <f aca="false">OR63</f>
        <v>0</v>
      </c>
      <c r="OT63" s="20" t="n">
        <f aca="false">OS63</f>
        <v>0</v>
      </c>
      <c r="OU63" s="20" t="n">
        <f aca="false">OT63</f>
        <v>0</v>
      </c>
      <c r="OV63" s="20" t="n">
        <f aca="false">OU63</f>
        <v>0</v>
      </c>
      <c r="OW63" s="20" t="n">
        <f aca="false">OV63</f>
        <v>0</v>
      </c>
      <c r="OX63" s="20" t="n">
        <f aca="false">OW63</f>
        <v>0</v>
      </c>
      <c r="OY63" s="20" t="n">
        <f aca="false">OX63</f>
        <v>0</v>
      </c>
      <c r="OZ63" s="20" t="n">
        <f aca="false">OY63</f>
        <v>0</v>
      </c>
      <c r="PA63" s="20" t="n">
        <f aca="false">OZ63</f>
        <v>0</v>
      </c>
      <c r="PB63" s="20" t="n">
        <f aca="false">PA63</f>
        <v>0</v>
      </c>
      <c r="PC63" s="20" t="n">
        <f aca="false">PB63</f>
        <v>0</v>
      </c>
      <c r="PD63" s="20" t="n">
        <f aca="false">PC63</f>
        <v>0</v>
      </c>
      <c r="PE63" s="20" t="n">
        <f aca="false">PD63</f>
        <v>0</v>
      </c>
      <c r="PF63" s="20" t="n">
        <f aca="false">PE63</f>
        <v>0</v>
      </c>
      <c r="PG63" s="20" t="n">
        <f aca="false">PF63</f>
        <v>0</v>
      </c>
      <c r="PH63" s="20" t="n">
        <f aca="false">PG63</f>
        <v>0</v>
      </c>
      <c r="PI63" s="20" t="n">
        <f aca="false">PH63</f>
        <v>0</v>
      </c>
      <c r="PJ63" s="20" t="n">
        <f aca="false">PI63</f>
        <v>0</v>
      </c>
      <c r="PK63" s="20" t="n">
        <f aca="false">PJ63</f>
        <v>0</v>
      </c>
      <c r="PL63" s="20" t="n">
        <f aca="false">PK63</f>
        <v>0</v>
      </c>
      <c r="PM63" s="20" t="n">
        <f aca="false">PL63</f>
        <v>0</v>
      </c>
      <c r="PN63" s="20" t="n">
        <f aca="false">PM63</f>
        <v>0</v>
      </c>
      <c r="PO63" s="20" t="n">
        <f aca="false">PN63</f>
        <v>0</v>
      </c>
      <c r="PP63" s="20" t="n">
        <f aca="false">PO63</f>
        <v>0</v>
      </c>
      <c r="PQ63" s="20" t="n">
        <f aca="false">PP63</f>
        <v>0</v>
      </c>
      <c r="PR63" s="20" t="n">
        <f aca="false">IF(H_Direct=1,IF(AKR62&lt;=0,0,IF(BR63&lt;=0,MIN(MAX(0,AB63),AKR62),MIN(MAX(0,AB63),AKR62-G63*MAX(0,BR63*AKR62-(H63+I63))))),MIN(FE63,MAX(0,AB63)))</f>
        <v>0</v>
      </c>
      <c r="PS63" s="20" t="n">
        <f aca="false">IF(H_Direct=1,IF(AKS62&lt;=0,0,IF(BS63&lt;=0,MIN(MAX(0,AB63-SUM(PR63:PR63)),AKS62),MIN(MAX(0,AB63-SUM(PR63:PR63)),AKS62-G63*MAX(0,BS63*AKS62-(WR63+AAE63))))),MIN(FF63,MAX(0,AB63-SUM(PR63:PR63))))</f>
        <v>0</v>
      </c>
      <c r="PT63" s="20" t="n">
        <f aca="false">IF(H_Direct=1,IF(AKT62&lt;=0,0,IF(BT63&lt;=0,MIN(MAX(0,AB63-SUM(PR63:PS63)),AKT62),MIN(MAX(0,AB63-SUM(PR63:PS63)),AKT62-G63*MAX(0,BT63*AKT62-(WS63+AAF63))))),MIN(FG63,MAX(0,AB63-SUM(PR63:PS63))))</f>
        <v>0</v>
      </c>
      <c r="PU63" s="20" t="n">
        <f aca="false">IF(H_Direct=1,IF(AKU62&lt;=0,0,IF(BU63&lt;=0,MIN(MAX(0,AB63-SUM(PR63:PT63)),AKU62),MIN(MAX(0,AB63-SUM(PR63:PT63)),AKU62-G63*MAX(0,BU63*AKU62-(WT63+AAG63))))),MIN(FH63,MAX(0,AB63-SUM(PR63:PT63))))</f>
        <v>0</v>
      </c>
      <c r="PV63" s="20" t="n">
        <f aca="false">IF(H_Direct=1,IF(AKV62&lt;=0,0,IF(BV63&lt;=0,MIN(MAX(0,AB63-SUM(PR63:PU63)),AKV62),MIN(MAX(0,AB63-SUM(PR63:PU63)),AKV62-G63*MAX(0,BV63*AKV62-(WU63+AAH63))))),MIN(FI63,MAX(0,AB63-SUM(PR63:PU63))))</f>
        <v>0</v>
      </c>
      <c r="PW63" s="20" t="n">
        <f aca="false">IF(H_Direct=1,IF(AKW62&lt;=0,0,IF(BW63&lt;=0,MIN(MAX(0,AB63-SUM(PR63:PV63)),AKW62),MIN(MAX(0,AB63-SUM(PR63:PV63)),AKW62-G63*MAX(0,BW63*AKW62-(WV63+AAI63))))),MIN(FJ63,MAX(0,AB63-SUM(PR63:PV63))))</f>
        <v>0</v>
      </c>
      <c r="PX63" s="20" t="n">
        <f aca="false">IF(H_Direct=1,IF(AKX62&lt;=0,0,IF(BX63&lt;=0,MIN(MAX(0,AB63-SUM(PR63:PW63)),AKX62),MIN(MAX(0,AB63-SUM(PR63:PW63)),AKX62-G63*MAX(0,BX63*AKX62-(WW63+AAJ63))))),MIN(FK63,MAX(0,AB63-SUM(PR63:PW63))))</f>
        <v>0</v>
      </c>
      <c r="PY63" s="20" t="n">
        <f aca="false">IF(H_Direct=1,IF(AKY62&lt;=0,0,IF(BY63&lt;=0,MIN(MAX(0,AB63-SUM(PR63:PX63)),AKY62),MIN(MAX(0,AB63-SUM(PR63:PX63)),AKY62-G63*MAX(0,BY63*AKY62-(WX63+AAK63))))),MIN(FL63,MAX(0,AB63-SUM(PR63:PX63))))</f>
        <v>0</v>
      </c>
      <c r="PZ63" s="20" t="n">
        <f aca="false">IF(H_Direct=1,IF(AKZ62&lt;=0,0,IF(BZ63&lt;=0,MIN(MAX(0,AB63-SUM(PR63:PY63)),AKZ62),MIN(MAX(0,AB63-SUM(PR63:PY63)),AKZ62-G63*MAX(0,BZ63*AKZ62-(WY63+AAL63))))),MIN(FM63,MAX(0,AB63-SUM(PR63:PY63))))</f>
        <v>0</v>
      </c>
      <c r="QA63" s="20" t="n">
        <f aca="false">IF(H_Direct=1,IF(ALA62&lt;=0,0,IF(CA63&lt;=0,MIN(MAX(0,AB63-SUM(PR63:PZ63)),ALA62),MIN(MAX(0,AB63-SUM(PR63:PZ63)),ALA62-G63*MAX(0,CA63*ALA62-(WZ63+AAM63))))),MIN(FN63,MAX(0,AB63-SUM(PR63:PZ63))))</f>
        <v>0</v>
      </c>
      <c r="QB63" s="20" t="n">
        <f aca="false">IF(H_Direct=1,IF(ALB62&lt;=0,0,IF(CB63&lt;=0,MIN(MAX(0,AB63-SUM(PR63:QA63)),ALB62),MIN(MAX(0,AB63-SUM(PR63:QA63)),ALB62-G63*MAX(0,CB63*ALB62-(XA63+AAN63))))),MIN(FO63,MAX(0,AB63-SUM(PR63:QA63))))</f>
        <v>0</v>
      </c>
      <c r="QC63" s="20" t="n">
        <f aca="false">IF(H_Direct=1,IF(ALC62&lt;=0,0,IF(CC63&lt;=0,MIN(MAX(0,AB63-SUM(PR63:QB63)),ALC62),MIN(MAX(0,AB63-SUM(PR63:QB63)),ALC62-G63*MAX(0,CC63*ALC62-(XB63+AAO63))))),MIN(FP63,MAX(0,AB63-SUM(PR63:QB63))))</f>
        <v>0</v>
      </c>
      <c r="QD63" s="20" t="n">
        <f aca="false">IF(H_Direct=1,IF(ALD62&lt;=0,0,IF(CD63&lt;=0,MIN(MAX(0,AB63-SUM(PR63:QC63)),ALD62),MIN(MAX(0,AB63-SUM(PR63:QC63)),ALD62-G63*MAX(0,CD63*ALD62-(XC63+AAP63))))),MIN(FQ63,MAX(0,AB63-SUM(PR63:QC63))))</f>
        <v>0</v>
      </c>
      <c r="QE63" s="20" t="n">
        <f aca="false">IF(H_Direct=1,IF(ALE62&lt;=0,0,IF(CE63&lt;=0,MIN(MAX(0,AB63-SUM(PR63:QD63)),ALE62),MIN(MAX(0,AB63-SUM(PR63:QD63)),ALE62-G63*MAX(0,CE63*ALE62-(XD63+AAQ63))))),MIN(FR63,MAX(0,AB63-SUM(PR63:QD63))))</f>
        <v>0</v>
      </c>
      <c r="QF63" s="20" t="n">
        <f aca="false">IF(H_Direct=1,IF(ALF62&lt;=0,0,IF(CF63&lt;=0,MIN(MAX(0,AB63-SUM(PR63:QE63)),ALF62),MIN(MAX(0,AB63-SUM(PR63:QE63)),ALF62-G63*MAX(0,CF63*ALF62-(XE63+AAR63))))),MIN(FS63,MAX(0,AB63-SUM(PR63:QE63))))</f>
        <v>0</v>
      </c>
      <c r="QG63" s="20" t="n">
        <f aca="false">IF(H_Direct=1,IF(ALG62&lt;=0,0,IF(CG63&lt;=0,MIN(MAX(0,AB63-SUM(PR63:QF63)),ALG62),MIN(MAX(0,AB63-SUM(PR63:QF63)),ALG62-G63*MAX(0,CG63*ALG62-(XF63+AAS63))))),MIN(FT63,MAX(0,AB63-SUM(PR63:QF63))))</f>
        <v>0</v>
      </c>
      <c r="QH63" s="20" t="n">
        <f aca="false">IF(H_Direct=1,IF(ALH62&lt;=0,0,IF(CH63&lt;=0,MIN(MAX(0,AB63-SUM(PR63:QG63)),ALH62),MIN(MAX(0,AB63-SUM(PR63:QG63)),ALH62-G63*MAX(0,CH63*ALH62-(XG63+AAT63))))),MIN(FU63,MAX(0,AB63-SUM(PR63:QG63))))</f>
        <v>0</v>
      </c>
      <c r="QI63" s="20" t="n">
        <f aca="false">IF(H_Direct=1,IF(ALI62&lt;=0,0,IF(CI63&lt;=0,MIN(MAX(0,AB63-SUM(PR63:QH63)),ALI62),MIN(MAX(0,AB63-SUM(PR63:QH63)),ALI62-G63*MAX(0,CI63*ALI62-(XH63+AAU63))))),MIN(FV63,MAX(0,AB63-SUM(PR63:QH63))))</f>
        <v>0</v>
      </c>
      <c r="QJ63" s="20" t="n">
        <f aca="false">IF(H_Direct=1,IF(ALJ62&lt;=0,0,IF(CJ63&lt;=0,MIN(MAX(0,AB63-SUM(PR63:QI63)),ALJ62),MIN(MAX(0,AB63-SUM(PR63:QI63)),ALJ62-G63*MAX(0,CJ63*ALJ62-(XI63+AAV63))))),MIN(FW63,MAX(0,AB63-SUM(PR63:QI63))))</f>
        <v>0</v>
      </c>
      <c r="QK63" s="20" t="n">
        <f aca="false">IF(H_Direct=1,IF(ALK62&lt;=0,0,IF(CK63&lt;=0,MIN(MAX(0,AB63-SUM(PR63:QJ63)),ALK62),MIN(MAX(0,AB63-SUM(PR63:QJ63)),ALK62-G63*MAX(0,CK63*ALK62-(XJ63+AAW63))))),MIN(FX63,MAX(0,AB63-SUM(PR63:QJ63))))</f>
        <v>0</v>
      </c>
      <c r="QL63" s="20" t="n">
        <f aca="false">IF(H_Direct=1,IF(ALL62&lt;=0,0,IF(CL63&lt;=0,MIN(MAX(0,AB63-SUM(PR63:QK63)),ALL62),MIN(MAX(0,AB63-SUM(PR63:QK63)),ALL62-G63*MAX(0,CL63*ALL62-(XK63+AAX63))))),MIN(FY63,MAX(0,AB63-SUM(PR63:QK63))))</f>
        <v>0</v>
      </c>
      <c r="QM63" s="20" t="n">
        <f aca="false">IF(H_Direct=1,IF(ALM62&lt;=0,0,IF(CM63&lt;=0,MIN(MAX(0,AB63-SUM(PR63:QL63)),ALM62),MIN(MAX(0,AB63-SUM(PR63:QL63)),ALM62-G63*MAX(0,CM63*ALM62-(XL63+AAY63))))),MIN(FZ63,MAX(0,AB63-SUM(PR63:QL63))))</f>
        <v>0</v>
      </c>
      <c r="QN63" s="20" t="n">
        <f aca="false">IF(H_Direct=1,IF(ALN62&lt;=0,0,IF(CN63&lt;=0,MIN(MAX(0,AB63-SUM(PR63:QM63)),ALN62),MIN(MAX(0,AB63-SUM(PR63:QM63)),ALN62-G63*MAX(0,CN63*ALN62-(XM63+AAZ63))))),MIN(GA63,MAX(0,AB63-SUM(PR63:QM63))))</f>
        <v>0</v>
      </c>
      <c r="QO63" s="20" t="n">
        <f aca="false">IF(H_Direct=1,IF(ALO62&lt;=0,0,IF(CO63&lt;=0,MIN(MAX(0,AB63-SUM(PR63:QN63)),ALO62),MIN(MAX(0,AB63-SUM(PR63:QN63)),ALO62-G63*MAX(0,CO63*ALO62-(XN63+ABA63))))),MIN(GB63,MAX(0,AB63-SUM(PR63:QN63))))</f>
        <v>0</v>
      </c>
      <c r="QP63" s="20" t="n">
        <f aca="false">IF(H_Direct=1,IF(ALP62&lt;=0,0,IF(CP63&lt;=0,MIN(MAX(0,AB63-SUM(PR63:QO63)),ALP62),MIN(MAX(0,AB63-SUM(PR63:QO63)),ALP62-G63*MAX(0,CP63*ALP62-(XO63+ABB63))))),MIN(GC63,MAX(0,AB63-SUM(PR63:QO63))))</f>
        <v>0</v>
      </c>
      <c r="QQ63" s="20" t="n">
        <f aca="false">IF(H_Direct=1,IF(ALQ62&lt;=0,0,IF(CQ63&lt;=0,MIN(MAX(0,AB63-SUM(PR63:QP63)),ALQ62),MIN(MAX(0,AB63-SUM(PR63:QP63)),ALQ62-G63*MAX(0,CQ63*ALQ62-(XP63+ABC63))))),MIN(GD63,MAX(0,AB63-SUM(PR63:QP63))))</f>
        <v>0</v>
      </c>
      <c r="QR63" s="20" t="n">
        <f aca="false">IF(H_Direct=1,IF(ALR62&lt;=0,0,IF(CR63&lt;=0,MIN(MAX(0,AB63-SUM(PR63:QQ63)),ALR62),MIN(MAX(0,AB63-SUM(PR63:QQ63)),ALR62-G63*MAX(0,CR63*ALR62-(XQ63+ABD63))))),MIN(GE63,MAX(0,AB63-SUM(PR63:QQ63))))</f>
        <v>0</v>
      </c>
      <c r="QS63" s="20" t="n">
        <f aca="false">IF(H_Direct=1,IF(ALS62&lt;=0,0,IF(CS63&lt;=0,MIN(MAX(0,AB63-SUM(PR63:QR63)),ALS62),MIN(MAX(0,AB63-SUM(PR63:QR63)),ALS62-G63*MAX(0,CS63*ALS62-(XR63+ABE63))))),MIN(GF63,MAX(0,AB63-SUM(PR63:QR63))))</f>
        <v>0</v>
      </c>
      <c r="QT63" s="20" t="n">
        <f aca="false">IF(H_Direct=1,IF(ALT62&lt;=0,0,IF(CT63&lt;=0,MIN(MAX(0,AB63-SUM(PR63:QS63)),ALT62),MIN(MAX(0,AB63-SUM(PR63:QS63)),ALT62-G63*MAX(0,CT63*ALT62-(XS63+ABF63))))),MIN(GG63,MAX(0,AB63-SUM(PR63:QS63))))</f>
        <v>0</v>
      </c>
      <c r="QU63" s="20" t="n">
        <f aca="false">IF(H_Direct=1,IF(ALU62&lt;=0,0,IF(CU63&lt;=0,MIN(MAX(0,AB63-SUM(PR63:QT63)),ALU62),MIN(MAX(0,AB63-SUM(PR63:QT63)),ALU62-G63*MAX(0,CU63*ALU62-(XT63+ABG63))))),MIN(GH63,MAX(0,AB63-SUM(PR63:QT63))))</f>
        <v>0</v>
      </c>
      <c r="QV63" s="20" t="n">
        <f aca="false">IF(H_Direct=1,IF(ALV62&lt;=0,0,IF(CV63&lt;=0,MIN(MAX(0,AB63-SUM(PR63:QU63)),ALV62),MIN(MAX(0,AB63-SUM(PR63:QU63)),ALV62-G63*MAX(0,CV63*ALV62-(XU63+ABH63))))),MIN(GI63,MAX(0,AB63-SUM(PR63:QU63))))</f>
        <v>0</v>
      </c>
      <c r="QW63" s="20" t="n">
        <f aca="false">IF(H_Direct=1,IF(ALW62&lt;=0,0,IF(CW63&lt;=0,MIN(MAX(0,AB63-SUM(PR63:QV63)),ALW62),MIN(MAX(0,AB63-SUM(PR63:QV63)),ALW62-G63*MAX(0,CW63*ALW62-(XV63+ABI63))))),MIN(GJ63,MAX(0,AB63-SUM(PR63:QV63))))</f>
        <v>0</v>
      </c>
      <c r="QX63" s="20" t="n">
        <f aca="false">IF(H_Direct=1,IF(ALX62&lt;=0,0,IF(CX63&lt;=0,MIN(MAX(0,AB63-SUM(PR63:QW63)),ALX62),MIN(MAX(0,AB63-SUM(PR63:QW63)),ALX62-G63*MAX(0,CX63*ALX62-(XW63+ABJ63))))),MIN(GK63,MAX(0,AB63-SUM(PR63:QW63))))</f>
        <v>0</v>
      </c>
      <c r="QY63" s="20" t="n">
        <f aca="false">IF(H_Direct=1,IF(ALY62&lt;=0,0,IF(CY63&lt;=0,MIN(MAX(0,AB63-SUM(PR63:QX63)),ALY62),MIN(MAX(0,AB63-SUM(PR63:QX63)),ALY62-G63*MAX(0,CY63*ALY62-(XX63+ABK63))))),MIN(GL63,MAX(0,AB63-SUM(PR63:QX63))))</f>
        <v>0</v>
      </c>
      <c r="QZ63" s="20" t="n">
        <f aca="false">IF(H_Direct=1,IF(ALZ62&lt;=0,0,IF(CZ63&lt;=0,MIN(MAX(0,AB63-SUM(PR63:QY63)),ALZ62),MIN(MAX(0,AB63-SUM(PR63:QY63)),ALZ62-G63*MAX(0,CZ63*ALZ62-(XY63+ABL63))))),MIN(GM63,MAX(0,AB63-SUM(PR63:QY63))))</f>
        <v>0</v>
      </c>
      <c r="RA63" s="20" t="n">
        <f aca="false">IF(H_Direct=1,IF(AMA62&lt;=0,0,IF(DA63&lt;=0,MIN(MAX(0,AB63-SUM(PR63:QZ63)),AMA62),MIN(MAX(0,AB63-SUM(PR63:QZ63)),AMA62-G63*MAX(0,DA63*AMA62-(XZ63+ABM63))))),MIN(GN63,MAX(0,AB63-SUM(PR63:QZ63))))</f>
        <v>0</v>
      </c>
      <c r="RB63" s="20" t="n">
        <f aca="false">IF(H_Direct=1,IF(AMB62&lt;=0,0,IF(DB63&lt;=0,MIN(MAX(0,AB63-SUM(PR63:RA63)),AMB62),MIN(MAX(0,AB63-SUM(PR63:RA63)),AMB62-G63*MAX(0,DB63*AMB62-(YA63+ABN63))))),MIN(GO63,MAX(0,AB63-SUM(PR63:RA63))))</f>
        <v>0</v>
      </c>
      <c r="RC63" s="20" t="n">
        <f aca="false">IF(H_Direct=1,IF(AMC62&lt;=0,0,IF(DC63&lt;=0,MIN(MAX(0,AB63-SUM(PR63:RB63)),AMC62),MIN(MAX(0,AB63-SUM(PR63:RB63)),AMC62-G63*MAX(0,DC63*AMC62-(YB63+ABO63))))),MIN(GP63,MAX(0,AB63-SUM(PR63:RB63))))</f>
        <v>0</v>
      </c>
      <c r="RD63" s="20" t="n">
        <f aca="false">IF(H_Direct=1,IF(AMD62&lt;=0,0,IF(DD63&lt;=0,MIN(MAX(0,AB63-SUM(PR63:RC63)),AMD62),MIN(MAX(0,AB63-SUM(PR63:RC63)),AMD62-G63*MAX(0,DD63*AMD62-(YC63+ABP63))))),MIN(GQ63,MAX(0,AB63-SUM(PR63:RC63))))</f>
        <v>0</v>
      </c>
      <c r="RE63" s="20" t="n">
        <f aca="false">IF(H_Direct=1,IF(AME62&lt;=0,0,IF(DE63&lt;=0,MIN(MAX(0,AB63-SUM(PR63:RD63)),AME62),MIN(MAX(0,AB63-SUM(PR63:RD63)),AME62-G63*MAX(0,DE63*AME62-(YD63+ABQ63))))),MIN(GR63,MAX(0,AB63-SUM(PR63:RD63))))</f>
        <v>0</v>
      </c>
      <c r="RF63" s="20" t="n">
        <f aca="false">IF(H_Direct=1,IF(AMF62&lt;=0,0,IF(DF63&lt;=0,MIN(MAX(0,AB63-SUM(PR63:RE63)),AMF62),MIN(MAX(0,AB63-SUM(PR63:RE63)),AMF62-G63*MAX(0,DF63*AMF62-(YE63+ABR63))))),MIN(GS63,MAX(0,AB63-SUM(PR63:RE63))))</f>
        <v>0</v>
      </c>
      <c r="RG63" s="20" t="n">
        <f aca="false">IF(H_Direct=1,IF(AMG62&lt;=0,0,IF(DG63&lt;=0,MIN(MAX(0,AB63-SUM(PR63:RF63)),AMG62),MIN(MAX(0,AB63-SUM(PR63:RF63)),AMG62-G63*MAX(0,DG63*AMG62-(YF63+ABS63))))),MIN(GT63,MAX(0,AB63-SUM(PR63:RF63))))</f>
        <v>0</v>
      </c>
      <c r="RH63" s="20" t="n">
        <f aca="false">IF(H_Direct=1,IF(AMH62&lt;=0,0,IF(DH63&lt;=0,MIN(MAX(0,AB63-SUM(PR63:RG63)),AMH62),MIN(MAX(0,AB63-SUM(PR63:RG63)),AMH62-G63*MAX(0,DH63*AMH62-(YG63+ABT63))))),MIN(GU63,MAX(0,AB63-SUM(PR63:RG63))))</f>
        <v>0</v>
      </c>
      <c r="RI63" s="20" t="n">
        <f aca="false">IF(H_Direct=1,IF(AMI62&lt;=0,0,IF(DI63&lt;=0,MIN(MAX(0,AB63-SUM(PR63:RH63)),AMI62),MIN(MAX(0,AB63-SUM(PR63:RH63)),AMI62-G63*MAX(0,DI63*AMI62-(YH63+ABU63))))),MIN(GV63,MAX(0,AB63-SUM(PR63:RH63))))</f>
        <v>0</v>
      </c>
      <c r="RJ63" s="20" t="n">
        <f aca="false">IF(H_Direct=1,IF(AMJ62&lt;=0,0,IF(DJ63&lt;=0,MIN(MAX(0,AB63-SUM(PR63:RI63)),AMJ62),MIN(MAX(0,AB63-SUM(PR63:RI63)),AMJ62-G63*MAX(0,DJ63*AMJ62-(YI63+ABV63))))),MIN(GW63,MAX(0,AB63-SUM(PR63:RI63))))</f>
        <v>0</v>
      </c>
      <c r="RK63" s="20" t="n">
        <f aca="false">IF(H_Direct=1,IF(AMK62&lt;=0,0,IF(DK63&lt;=0,MIN(MAX(0,AB63-SUM(PR63:RJ63)),AMK62),MIN(MAX(0,AB63-SUM(PR63:RJ63)),AMK62-G63*MAX(0,DK63*AMK62-(YJ63+ABW63))))),MIN(GX63,MAX(0,AB63-SUM(PR63:RJ63))))</f>
        <v>0</v>
      </c>
      <c r="RL63" s="20" t="n">
        <f aca="false">IF(H_Direct=1,IF(AML62&lt;=0,0,IF(DL63&lt;=0,MIN(MAX(0,AB63-SUM(PR63:RK63)),AML62),MIN(MAX(0,AB63-SUM(PR63:RK63)),AML62-G63*MAX(0,DL63*AML62-(YK63+ABX63))))),MIN(GY63,MAX(0,AB63-SUM(PR63:RK63))))</f>
        <v>0</v>
      </c>
      <c r="RM63" s="20" t="n">
        <f aca="false">IF(H_Direct=1,IF(AMM62&lt;=0,0,IF(DM63&lt;=0,MIN(MAX(0,AB63-SUM(PR63:RL63)),AMM62),MIN(MAX(0,AB63-SUM(PR63:RL63)),AMM62-G63*MAX(0,DM63*AMM62-(YL63+ABY63))))),MIN(GZ63,MAX(0,AB63-SUM(PR63:RL63))))</f>
        <v>0</v>
      </c>
      <c r="RN63" s="20" t="n">
        <f aca="false">IF(H_Direct=1,IF(AMN62&lt;=0,0,IF(DN63&lt;=0,MIN(MAX(0,AB63-SUM(PR63:RM63)),AMN62),MIN(MAX(0,AB63-SUM(PR63:RM63)),AMN62-G63*MAX(0,DN63*AMN62-(YM63+ABZ63))))),MIN(HA63,MAX(0,AB63-SUM(PR63:RM63))))</f>
        <v>0</v>
      </c>
      <c r="RO63" s="20" t="n">
        <f aca="false">IF(H_Direct=1,IF(AMO62&lt;=0,0,IF(DO63&lt;=0,MIN(MAX(0,AB63-SUM(PR63:RN63)),AMO62),MIN(MAX(0,AB63-SUM(PR63:RN63)),AMO62-G63*MAX(0,DO63*AMO62-(YN63+ACA63))))),MIN(HB63,MAX(0,AB63-SUM(PR63:RN63))))</f>
        <v>0</v>
      </c>
      <c r="RP63" s="20" t="n">
        <f aca="false">IF(H_Direct=1,IF(AMP62&lt;=0,0,IF(DP63&lt;=0,MIN(MAX(0,AB63-SUM(PR63:RO63)),AMP62),MIN(MAX(0,AB63-SUM(PR63:RO63)),AMP62-G63*MAX(0,DP63*AMP62-(YO63+ACB63))))),MIN(HC63,MAX(0,AB63-SUM(PR63:RO63))))</f>
        <v>0</v>
      </c>
      <c r="RQ63" s="20" t="n">
        <f aca="false">IF(H_Direct=1,IF(AMQ62&lt;=0,0,IF(DQ63&lt;=0,MIN(MAX(0,AB63-SUM(PR63:RP63)),AMQ62),MIN(MAX(0,AB63-SUM(PR63:RP63)),AMQ62-G63*MAX(0,DQ63*AMQ62-(YP63+ACC63))))),MIN(HD63,MAX(0,AB63-SUM(PR63:RP63))))</f>
        <v>0</v>
      </c>
      <c r="RR63" s="20" t="n">
        <f aca="false">IF(H_Direct=1,IF(AMR62&lt;=0,0,IF(DR63&lt;=0,MIN(MAX(0,AB63-SUM(PR63:RQ63)),AMR62),MIN(MAX(0,AB63-SUM(PR63:RQ63)),AMR62-G63*MAX(0,DR63*AMR62-(YQ63+ACD63))))),MIN(HE63,MAX(0,AB63-SUM(PR63:RQ63))))</f>
        <v>0</v>
      </c>
      <c r="RS63" s="20" t="n">
        <f aca="false">IF(H_Direct=1,IF(AMS62&lt;=0,0,IF(DS63&lt;=0,MIN(MAX(0,AB63-SUM(PR63:RR63)),AMS62),MIN(MAX(0,AB63-SUM(PR63:RR63)),AMS62-G63*MAX(0,DS63*AMS62-(YR63+ACE63))))),MIN(HF63,MAX(0,AB63-SUM(PR63:RR63))))</f>
        <v>0</v>
      </c>
      <c r="RT63" s="20" t="n">
        <f aca="false">IF(H_Direct=1,IF(AMT62&lt;=0,0,IF(DT63&lt;=0,MIN(MAX(0,AB63-SUM(PR63:RS63)),AMT62),MIN(MAX(0,AB63-SUM(PR63:RS63)),AMT62-G63*MAX(0,DT63*AMT62-(YS63+ACF63))))),MIN(HG63,MAX(0,AB63-SUM(PR63:RS63))))</f>
        <v>0</v>
      </c>
      <c r="RU63" s="20" t="n">
        <f aca="false">IF(H_Direct=1,IF(AMU62&lt;=0,0,IF(DU63&lt;=0,MIN(MAX(0,AB63-SUM(PR63:RT63)),AMU62),MIN(MAX(0,AB63-SUM(PR63:RT63)),AMU62-G63*MAX(0,DU63*AMU62-(YT63+ACG63))))),MIN(HH63,MAX(0,AB63-SUM(PR63:RT63))))</f>
        <v>0</v>
      </c>
      <c r="RV63" s="20" t="n">
        <f aca="false">IF(H_Direct=1,IF((P63+S63)&lt;=0,0,IF(DV63&lt;=0,MIN(MAX(0,AB63-SUM(PR63:RU63)),(P63+S63)),MIN(MAX(0,AB63-SUM(PR63:RU63)),(P63+S63)-G63*MAX(0,DV63*(P63+S63)-(YU63+ACH63))))),MIN(HI63,MAX(0,AB63-SUM(PR63:RU63))))</f>
        <v>0</v>
      </c>
      <c r="RW63" s="20" t="n">
        <v>0</v>
      </c>
      <c r="RX63" s="20" t="n">
        <v>0</v>
      </c>
      <c r="RY63" s="20" t="n">
        <v>0</v>
      </c>
      <c r="RZ63" s="20" t="n">
        <v>0</v>
      </c>
      <c r="SA63" s="20" t="n">
        <v>0</v>
      </c>
      <c r="SB63" s="20" t="n">
        <v>0</v>
      </c>
      <c r="SC63" s="20" t="n">
        <v>0</v>
      </c>
      <c r="SD63" s="20" t="n">
        <v>0</v>
      </c>
      <c r="SE63" s="20" t="n">
        <v>0</v>
      </c>
      <c r="SF63" s="20" t="n">
        <v>0</v>
      </c>
      <c r="SG63" s="20" t="n">
        <v>0</v>
      </c>
      <c r="SH63" s="20" t="n">
        <v>0</v>
      </c>
      <c r="SI63" s="20" t="n">
        <v>0</v>
      </c>
      <c r="SJ63" s="20" t="n">
        <v>0</v>
      </c>
      <c r="SK63" s="20" t="n">
        <v>0</v>
      </c>
      <c r="SL63" s="20" t="n">
        <v>0</v>
      </c>
      <c r="SM63" s="20" t="n">
        <v>0</v>
      </c>
      <c r="SN63" s="20" t="n">
        <v>0</v>
      </c>
      <c r="SO63" s="20" t="n">
        <v>0</v>
      </c>
      <c r="SP63" s="20" t="n">
        <v>0</v>
      </c>
      <c r="SQ63" s="20" t="n">
        <v>0</v>
      </c>
      <c r="SR63" s="20" t="n">
        <v>0</v>
      </c>
      <c r="SS63" s="20" t="n">
        <v>0</v>
      </c>
      <c r="ST63" s="20" t="n">
        <v>0</v>
      </c>
      <c r="SU63" s="20" t="n">
        <v>0</v>
      </c>
      <c r="SV63" s="20" t="n">
        <v>0</v>
      </c>
      <c r="SW63" s="20" t="n">
        <v>0</v>
      </c>
      <c r="SX63" s="20" t="n">
        <v>0</v>
      </c>
      <c r="SY63" s="20" t="n">
        <v>0</v>
      </c>
      <c r="SZ63" s="20" t="n">
        <v>0</v>
      </c>
      <c r="TA63" s="20" t="n">
        <v>0</v>
      </c>
      <c r="TB63" s="20" t="n">
        <v>0</v>
      </c>
      <c r="TC63" s="20" t="n">
        <v>0</v>
      </c>
      <c r="TD63" s="20" t="n">
        <v>0</v>
      </c>
      <c r="TE63" s="20" t="n">
        <f aca="false">IF(AKR62&lt;=0,0,IF(H_Direct=1,IF(BR63&lt;=0,PR63,IF(PR63&lt;=(H63+I63)/BR63,PR63,(PR63-G63*(H63+I63))/(1-G63*BR63))),PR63/(1-MAX(0,BR63)*H_Exit)))</f>
        <v>0</v>
      </c>
      <c r="TF63" s="20" t="n">
        <f aca="false">IF(AKS62&lt;=0,0,IF(H_Direct=1,IF(BS63&lt;=0,PS63,IF(PS63&lt;=(WR63+AAE63)/BS63,PS63,(PS63-G63*(WR63+AAE63))/(1-G63*BS63))),PS63/(1-MAX(0,BS63)*H_Exit)))</f>
        <v>0</v>
      </c>
      <c r="TG63" s="20" t="n">
        <f aca="false">IF(AKT62&lt;=0,0,IF(H_Direct=1,IF(BT63&lt;=0,PT63,IF(PT63&lt;=(WS63+AAF63)/BT63,PT63,(PT63-G63*(WS63+AAF63))/(1-G63*BT63))),PT63/(1-MAX(0,BT63)*H_Exit)))</f>
        <v>0</v>
      </c>
      <c r="TH63" s="20" t="n">
        <f aca="false">IF(AKU62&lt;=0,0,IF(H_Direct=1,IF(BU63&lt;=0,PU63,IF(PU63&lt;=(WT63+AAG63)/BU63,PU63,(PU63-G63*(WT63+AAG63))/(1-G63*BU63))),PU63/(1-MAX(0,BU63)*H_Exit)))</f>
        <v>0</v>
      </c>
      <c r="TI63" s="20" t="n">
        <f aca="false">IF(AKV62&lt;=0,0,IF(H_Direct=1,IF(BV63&lt;=0,PV63,IF(PV63&lt;=(WU63+AAH63)/BV63,PV63,(PV63-G63*(WU63+AAH63))/(1-G63*BV63))),PV63/(1-MAX(0,BV63)*H_Exit)))</f>
        <v>0</v>
      </c>
      <c r="TJ63" s="20" t="n">
        <f aca="false">IF(AKW62&lt;=0,0,IF(H_Direct=1,IF(BW63&lt;=0,PW63,IF(PW63&lt;=(WV63+AAI63)/BW63,PW63,(PW63-G63*(WV63+AAI63))/(1-G63*BW63))),PW63/(1-MAX(0,BW63)*H_Exit)))</f>
        <v>0</v>
      </c>
      <c r="TK63" s="20" t="n">
        <f aca="false">IF(AKX62&lt;=0,0,IF(H_Direct=1,IF(BX63&lt;=0,PX63,IF(PX63&lt;=(WW63+AAJ63)/BX63,PX63,(PX63-G63*(WW63+AAJ63))/(1-G63*BX63))),PX63/(1-MAX(0,BX63)*H_Exit)))</f>
        <v>0</v>
      </c>
      <c r="TL63" s="20" t="n">
        <f aca="false">IF(AKY62&lt;=0,0,IF(H_Direct=1,IF(BY63&lt;=0,PY63,IF(PY63&lt;=(WX63+AAK63)/BY63,PY63,(PY63-G63*(WX63+AAK63))/(1-G63*BY63))),PY63/(1-MAX(0,BY63)*H_Exit)))</f>
        <v>0</v>
      </c>
      <c r="TM63" s="20" t="n">
        <f aca="false">IF(AKZ62&lt;=0,0,IF(H_Direct=1,IF(BZ63&lt;=0,PZ63,IF(PZ63&lt;=(WY63+AAL63)/BZ63,PZ63,(PZ63-G63*(WY63+AAL63))/(1-G63*BZ63))),PZ63/(1-MAX(0,BZ63)*H_Exit)))</f>
        <v>0</v>
      </c>
      <c r="TN63" s="20" t="n">
        <f aca="false">IF(ALA62&lt;=0,0,IF(H_Direct=1,IF(CA63&lt;=0,QA63,IF(QA63&lt;=(WZ63+AAM63)/CA63,QA63,(QA63-G63*(WZ63+AAM63))/(1-G63*CA63))),QA63/(1-MAX(0,CA63)*H_Exit)))</f>
        <v>0</v>
      </c>
      <c r="TO63" s="20" t="n">
        <f aca="false">IF(ALB62&lt;=0,0,IF(H_Direct=1,IF(CB63&lt;=0,QB63,IF(QB63&lt;=(XA63+AAN63)/CB63,QB63,(QB63-G63*(XA63+AAN63))/(1-G63*CB63))),QB63/(1-MAX(0,CB63)*H_Exit)))</f>
        <v>0</v>
      </c>
      <c r="TP63" s="20" t="n">
        <f aca="false">IF(ALC62&lt;=0,0,IF(H_Direct=1,IF(CC63&lt;=0,QC63,IF(QC63&lt;=(XB63+AAO63)/CC63,QC63,(QC63-G63*(XB63+AAO63))/(1-G63*CC63))),QC63/(1-MAX(0,CC63)*H_Exit)))</f>
        <v>0</v>
      </c>
      <c r="TQ63" s="20" t="n">
        <f aca="false">IF(ALD62&lt;=0,0,IF(H_Direct=1,IF(CD63&lt;=0,QD63,IF(QD63&lt;=(XC63+AAP63)/CD63,QD63,(QD63-G63*(XC63+AAP63))/(1-G63*CD63))),QD63/(1-MAX(0,CD63)*H_Exit)))</f>
        <v>0</v>
      </c>
      <c r="TR63" s="20" t="n">
        <f aca="false">IF(ALE62&lt;=0,0,IF(H_Direct=1,IF(CE63&lt;=0,QE63,IF(QE63&lt;=(XD63+AAQ63)/CE63,QE63,(QE63-G63*(XD63+AAQ63))/(1-G63*CE63))),QE63/(1-MAX(0,CE63)*H_Exit)))</f>
        <v>0</v>
      </c>
      <c r="TS63" s="20" t="n">
        <f aca="false">IF(ALF62&lt;=0,0,IF(H_Direct=1,IF(CF63&lt;=0,QF63,IF(QF63&lt;=(XE63+AAR63)/CF63,QF63,(QF63-G63*(XE63+AAR63))/(1-G63*CF63))),QF63/(1-MAX(0,CF63)*H_Exit)))</f>
        <v>0</v>
      </c>
      <c r="TT63" s="20" t="n">
        <f aca="false">IF(ALG62&lt;=0,0,IF(H_Direct=1,IF(CG63&lt;=0,QG63,IF(QG63&lt;=(XF63+AAS63)/CG63,QG63,(QG63-G63*(XF63+AAS63))/(1-G63*CG63))),QG63/(1-MAX(0,CG63)*H_Exit)))</f>
        <v>0</v>
      </c>
      <c r="TU63" s="20" t="n">
        <f aca="false">IF(ALH62&lt;=0,0,IF(H_Direct=1,IF(CH63&lt;=0,QH63,IF(QH63&lt;=(XG63+AAT63)/CH63,QH63,(QH63-G63*(XG63+AAT63))/(1-G63*CH63))),QH63/(1-MAX(0,CH63)*H_Exit)))</f>
        <v>0</v>
      </c>
      <c r="TV63" s="20" t="n">
        <f aca="false">IF(ALI62&lt;=0,0,IF(H_Direct=1,IF(CI63&lt;=0,QI63,IF(QI63&lt;=(XH63+AAU63)/CI63,QI63,(QI63-G63*(XH63+AAU63))/(1-G63*CI63))),QI63/(1-MAX(0,CI63)*H_Exit)))</f>
        <v>0</v>
      </c>
      <c r="TW63" s="20" t="n">
        <f aca="false">IF(ALJ62&lt;=0,0,IF(H_Direct=1,IF(CJ63&lt;=0,QJ63,IF(QJ63&lt;=(XI63+AAV63)/CJ63,QJ63,(QJ63-G63*(XI63+AAV63))/(1-G63*CJ63))),QJ63/(1-MAX(0,CJ63)*H_Exit)))</f>
        <v>0</v>
      </c>
      <c r="TX63" s="20" t="n">
        <f aca="false">IF(ALK62&lt;=0,0,IF(H_Direct=1,IF(CK63&lt;=0,QK63,IF(QK63&lt;=(XJ63+AAW63)/CK63,QK63,(QK63-G63*(XJ63+AAW63))/(1-G63*CK63))),QK63/(1-MAX(0,CK63)*H_Exit)))</f>
        <v>0</v>
      </c>
      <c r="TY63" s="20" t="n">
        <f aca="false">IF(ALL62&lt;=0,0,IF(H_Direct=1,IF(CL63&lt;=0,QL63,IF(QL63&lt;=(XK63+AAX63)/CL63,QL63,(QL63-G63*(XK63+AAX63))/(1-G63*CL63))),QL63/(1-MAX(0,CL63)*H_Exit)))</f>
        <v>0</v>
      </c>
      <c r="TZ63" s="20" t="n">
        <f aca="false">IF(ALM62&lt;=0,0,IF(H_Direct=1,IF(CM63&lt;=0,QM63,IF(QM63&lt;=(XL63+AAY63)/CM63,QM63,(QM63-G63*(XL63+AAY63))/(1-G63*CM63))),QM63/(1-MAX(0,CM63)*H_Exit)))</f>
        <v>0</v>
      </c>
      <c r="UA63" s="20" t="n">
        <f aca="false">IF(ALN62&lt;=0,0,IF(H_Direct=1,IF(CN63&lt;=0,QN63,IF(QN63&lt;=(XM63+AAZ63)/CN63,QN63,(QN63-G63*(XM63+AAZ63))/(1-G63*CN63))),QN63/(1-MAX(0,CN63)*H_Exit)))</f>
        <v>0</v>
      </c>
      <c r="UB63" s="20" t="n">
        <f aca="false">IF(ALO62&lt;=0,0,IF(H_Direct=1,IF(CO63&lt;=0,QO63,IF(QO63&lt;=(XN63+ABA63)/CO63,QO63,(QO63-G63*(XN63+ABA63))/(1-G63*CO63))),QO63/(1-MAX(0,CO63)*H_Exit)))</f>
        <v>0</v>
      </c>
      <c r="UC63" s="20" t="n">
        <f aca="false">IF(ALP62&lt;=0,0,IF(H_Direct=1,IF(CP63&lt;=0,QP63,IF(QP63&lt;=(XO63+ABB63)/CP63,QP63,(QP63-G63*(XO63+ABB63))/(1-G63*CP63))),QP63/(1-MAX(0,CP63)*H_Exit)))</f>
        <v>0</v>
      </c>
      <c r="UD63" s="20" t="n">
        <f aca="false">IF(ALQ62&lt;=0,0,IF(H_Direct=1,IF(CQ63&lt;=0,QQ63,IF(QQ63&lt;=(XP63+ABC63)/CQ63,QQ63,(QQ63-G63*(XP63+ABC63))/(1-G63*CQ63))),QQ63/(1-MAX(0,CQ63)*H_Exit)))</f>
        <v>0</v>
      </c>
      <c r="UE63" s="20" t="n">
        <f aca="false">IF(ALR62&lt;=0,0,IF(H_Direct=1,IF(CR63&lt;=0,QR63,IF(QR63&lt;=(XQ63+ABD63)/CR63,QR63,(QR63-G63*(XQ63+ABD63))/(1-G63*CR63))),QR63/(1-MAX(0,CR63)*H_Exit)))</f>
        <v>0</v>
      </c>
      <c r="UF63" s="20" t="n">
        <f aca="false">IF(ALS62&lt;=0,0,IF(H_Direct=1,IF(CS63&lt;=0,QS63,IF(QS63&lt;=(XR63+ABE63)/CS63,QS63,(QS63-G63*(XR63+ABE63))/(1-G63*CS63))),QS63/(1-MAX(0,CS63)*H_Exit)))</f>
        <v>0</v>
      </c>
      <c r="UG63" s="20" t="n">
        <f aca="false">IF(ALT62&lt;=0,0,IF(H_Direct=1,IF(CT63&lt;=0,QT63,IF(QT63&lt;=(XS63+ABF63)/CT63,QT63,(QT63-G63*(XS63+ABF63))/(1-G63*CT63))),QT63/(1-MAX(0,CT63)*H_Exit)))</f>
        <v>0</v>
      </c>
      <c r="UH63" s="20" t="n">
        <f aca="false">IF(ALU62&lt;=0,0,IF(H_Direct=1,IF(CU63&lt;=0,QU63,IF(QU63&lt;=(XT63+ABG63)/CU63,QU63,(QU63-G63*(XT63+ABG63))/(1-G63*CU63))),QU63/(1-MAX(0,CU63)*H_Exit)))</f>
        <v>0</v>
      </c>
      <c r="UI63" s="20" t="n">
        <f aca="false">IF(ALV62&lt;=0,0,IF(H_Direct=1,IF(CV63&lt;=0,QV63,IF(QV63&lt;=(XU63+ABH63)/CV63,QV63,(QV63-G63*(XU63+ABH63))/(1-G63*CV63))),QV63/(1-MAX(0,CV63)*H_Exit)))</f>
        <v>0</v>
      </c>
      <c r="UJ63" s="20" t="n">
        <f aca="false">IF(ALW62&lt;=0,0,IF(H_Direct=1,IF(CW63&lt;=0,QW63,IF(QW63&lt;=(XV63+ABI63)/CW63,QW63,(QW63-G63*(XV63+ABI63))/(1-G63*CW63))),QW63/(1-MAX(0,CW63)*H_Exit)))</f>
        <v>0</v>
      </c>
      <c r="UK63" s="20" t="n">
        <f aca="false">IF(ALX62&lt;=0,0,IF(H_Direct=1,IF(CX63&lt;=0,QX63,IF(QX63&lt;=(XW63+ABJ63)/CX63,QX63,(QX63-G63*(XW63+ABJ63))/(1-G63*CX63))),QX63/(1-MAX(0,CX63)*H_Exit)))</f>
        <v>0</v>
      </c>
      <c r="UL63" s="20" t="n">
        <f aca="false">IF(ALY62&lt;=0,0,IF(H_Direct=1,IF(CY63&lt;=0,QY63,IF(QY63&lt;=(XX63+ABK63)/CY63,QY63,(QY63-G63*(XX63+ABK63))/(1-G63*CY63))),QY63/(1-MAX(0,CY63)*H_Exit)))</f>
        <v>0</v>
      </c>
      <c r="UM63" s="20" t="n">
        <f aca="false">IF(ALZ62&lt;=0,0,IF(H_Direct=1,IF(CZ63&lt;=0,QZ63,IF(QZ63&lt;=(XY63+ABL63)/CZ63,QZ63,(QZ63-G63*(XY63+ABL63))/(1-G63*CZ63))),QZ63/(1-MAX(0,CZ63)*H_Exit)))</f>
        <v>0</v>
      </c>
      <c r="UN63" s="20" t="n">
        <f aca="false">IF(AMA62&lt;=0,0,IF(H_Direct=1,IF(DA63&lt;=0,RA63,IF(RA63&lt;=(XZ63+ABM63)/DA63,RA63,(RA63-G63*(XZ63+ABM63))/(1-G63*DA63))),RA63/(1-MAX(0,DA63)*H_Exit)))</f>
        <v>0</v>
      </c>
      <c r="UO63" s="20" t="n">
        <f aca="false">IF(AMB62&lt;=0,0,IF(H_Direct=1,IF(DB63&lt;=0,RB63,IF(RB63&lt;=(YA63+ABN63)/DB63,RB63,(RB63-G63*(YA63+ABN63))/(1-G63*DB63))),RB63/(1-MAX(0,DB63)*H_Exit)))</f>
        <v>0</v>
      </c>
      <c r="UP63" s="20" t="n">
        <f aca="false">IF(AMC62&lt;=0,0,IF(H_Direct=1,IF(DC63&lt;=0,RC63,IF(RC63&lt;=(YB63+ABO63)/DC63,RC63,(RC63-G63*(YB63+ABO63))/(1-G63*DC63))),RC63/(1-MAX(0,DC63)*H_Exit)))</f>
        <v>0</v>
      </c>
      <c r="UQ63" s="20" t="n">
        <f aca="false">IF(AMD62&lt;=0,0,IF(H_Direct=1,IF(DD63&lt;=0,RD63,IF(RD63&lt;=(YC63+ABP63)/DD63,RD63,(RD63-G63*(YC63+ABP63))/(1-G63*DD63))),RD63/(1-MAX(0,DD63)*H_Exit)))</f>
        <v>0</v>
      </c>
      <c r="UR63" s="20" t="n">
        <f aca="false">IF(AME62&lt;=0,0,IF(H_Direct=1,IF(DE63&lt;=0,RE63,IF(RE63&lt;=(YD63+ABQ63)/DE63,RE63,(RE63-G63*(YD63+ABQ63))/(1-G63*DE63))),RE63/(1-MAX(0,DE63)*H_Exit)))</f>
        <v>0</v>
      </c>
      <c r="US63" s="20" t="n">
        <f aca="false">IF(AMF62&lt;=0,0,IF(H_Direct=1,IF(DF63&lt;=0,RF63,IF(RF63&lt;=(YE63+ABR63)/DF63,RF63,(RF63-G63*(YE63+ABR63))/(1-G63*DF63))),RF63/(1-MAX(0,DF63)*H_Exit)))</f>
        <v>0</v>
      </c>
      <c r="UT63" s="20" t="n">
        <f aca="false">IF(AMG62&lt;=0,0,IF(H_Direct=1,IF(DG63&lt;=0,RG63,IF(RG63&lt;=(YF63+ABS63)/DG63,RG63,(RG63-G63*(YF63+ABS63))/(1-G63*DG63))),RG63/(1-MAX(0,DG63)*H_Exit)))</f>
        <v>0</v>
      </c>
      <c r="UU63" s="20" t="n">
        <f aca="false">IF(AMH62&lt;=0,0,IF(H_Direct=1,IF(DH63&lt;=0,RH63,IF(RH63&lt;=(YG63+ABT63)/DH63,RH63,(RH63-G63*(YG63+ABT63))/(1-G63*DH63))),RH63/(1-MAX(0,DH63)*H_Exit)))</f>
        <v>0</v>
      </c>
      <c r="UV63" s="20" t="n">
        <f aca="false">IF(AMI62&lt;=0,0,IF(H_Direct=1,IF(DI63&lt;=0,RI63,IF(RI63&lt;=(YH63+ABU63)/DI63,RI63,(RI63-G63*(YH63+ABU63))/(1-G63*DI63))),RI63/(1-MAX(0,DI63)*H_Exit)))</f>
        <v>0</v>
      </c>
      <c r="UW63" s="20" t="n">
        <f aca="false">IF(AMJ62&lt;=0,0,IF(H_Direct=1,IF(DJ63&lt;=0,RJ63,IF(RJ63&lt;=(YI63+ABV63)/DJ63,RJ63,(RJ63-G63*(YI63+ABV63))/(1-G63*DJ63))),RJ63/(1-MAX(0,DJ63)*H_Exit)))</f>
        <v>0</v>
      </c>
      <c r="UX63" s="20" t="n">
        <f aca="false">IF(AMK62&lt;=0,0,IF(H_Direct=1,IF(DK63&lt;=0,RK63,IF(RK63&lt;=(YJ63+ABW63)/DK63,RK63,(RK63-G63*(YJ63+ABW63))/(1-G63*DK63))),RK63/(1-MAX(0,DK63)*H_Exit)))</f>
        <v>0</v>
      </c>
      <c r="UY63" s="20" t="n">
        <f aca="false">IF(AML62&lt;=0,0,IF(H_Direct=1,IF(DL63&lt;=0,RL63,IF(RL63&lt;=(YK63+ABX63)/DL63,RL63,(RL63-G63*(YK63+ABX63))/(1-G63*DL63))),RL63/(1-MAX(0,DL63)*H_Exit)))</f>
        <v>0</v>
      </c>
      <c r="UZ63" s="20" t="n">
        <f aca="false">IF(AMM62&lt;=0,0,IF(H_Direct=1,IF(DM63&lt;=0,RM63,IF(RM63&lt;=(YL63+ABY63)/DM63,RM63,(RM63-G63*(YL63+ABY63))/(1-G63*DM63))),RM63/(1-MAX(0,DM63)*H_Exit)))</f>
        <v>0</v>
      </c>
      <c r="VA63" s="20" t="n">
        <f aca="false">IF(AMN62&lt;=0,0,IF(H_Direct=1,IF(DN63&lt;=0,RN63,IF(RN63&lt;=(YM63+ABZ63)/DN63,RN63,(RN63-G63*(YM63+ABZ63))/(1-G63*DN63))),RN63/(1-MAX(0,DN63)*H_Exit)))</f>
        <v>0</v>
      </c>
      <c r="VB63" s="20" t="n">
        <f aca="false">IF(AMO62&lt;=0,0,IF(H_Direct=1,IF(DO63&lt;=0,RO63,IF(RO63&lt;=(YN63+ACA63)/DO63,RO63,(RO63-G63*(YN63+ACA63))/(1-G63*DO63))),RO63/(1-MAX(0,DO63)*H_Exit)))</f>
        <v>0</v>
      </c>
      <c r="VC63" s="20" t="n">
        <f aca="false">IF(AMP62&lt;=0,0,IF(H_Direct=1,IF(DP63&lt;=0,RP63,IF(RP63&lt;=(YO63+ACB63)/DP63,RP63,(RP63-G63*(YO63+ACB63))/(1-G63*DP63))),RP63/(1-MAX(0,DP63)*H_Exit)))</f>
        <v>0</v>
      </c>
      <c r="VD63" s="20" t="n">
        <f aca="false">IF(AMQ62&lt;=0,0,IF(H_Direct=1,IF(DQ63&lt;=0,RQ63,IF(RQ63&lt;=(YP63+ACC63)/DQ63,RQ63,(RQ63-G63*(YP63+ACC63))/(1-G63*DQ63))),RQ63/(1-MAX(0,DQ63)*H_Exit)))</f>
        <v>0</v>
      </c>
      <c r="VE63" s="20" t="n">
        <f aca="false">IF(AMR62&lt;=0,0,IF(H_Direct=1,IF(DR63&lt;=0,RR63,IF(RR63&lt;=(YQ63+ACD63)/DR63,RR63,(RR63-G63*(YQ63+ACD63))/(1-G63*DR63))),RR63/(1-MAX(0,DR63)*H_Exit)))</f>
        <v>0</v>
      </c>
      <c r="VF63" s="20" t="n">
        <f aca="false">IF(AMS62&lt;=0,0,IF(H_Direct=1,IF(DS63&lt;=0,RS63,IF(RS63&lt;=(YR63+ACE63)/DS63,RS63,(RS63-G63*(YR63+ACE63))/(1-G63*DS63))),RS63/(1-MAX(0,DS63)*H_Exit)))</f>
        <v>0</v>
      </c>
      <c r="VG63" s="20" t="n">
        <f aca="false">IF(AMT62&lt;=0,0,IF(H_Direct=1,IF(DT63&lt;=0,RT63,IF(RT63&lt;=(YS63+ACF63)/DT63,RT63,(RT63-G63*(YS63+ACF63))/(1-G63*DT63))),RT63/(1-MAX(0,DT63)*H_Exit)))</f>
        <v>0</v>
      </c>
      <c r="VH63" s="20" t="n">
        <f aca="false">IF(AMU62&lt;=0,0,IF(H_Direct=1,IF(DU63&lt;=0,RU63,IF(RU63&lt;=(YT63+ACG63)/DU63,RU63,(RU63-G63*(YT63+ACG63))/(1-G63*DU63))),RU63/(1-MAX(0,DU63)*H_Exit)))</f>
        <v>0</v>
      </c>
      <c r="VI63" s="20" t="n">
        <f aca="false">IF((P63+S63)&lt;=0,0,IF(H_Direct=1,IF(DV63&lt;=0,RV63,IF(RV63&lt;=(YU63+ACH63)/DV63,RV63,(RV63-G63*(YU63+ACH63))/(1-G63*DV63))),RV63/(1-MAX(0,DV63)*H_Exit)))</f>
        <v>0</v>
      </c>
      <c r="VJ63" s="20" t="n">
        <v>0</v>
      </c>
      <c r="VK63" s="20" t="n">
        <v>0</v>
      </c>
      <c r="VL63" s="20" t="n">
        <v>0</v>
      </c>
      <c r="VM63" s="20" t="n">
        <v>0</v>
      </c>
      <c r="VN63" s="20" t="n">
        <v>0</v>
      </c>
      <c r="VO63" s="20" t="n">
        <v>0</v>
      </c>
      <c r="VP63" s="20" t="n">
        <v>0</v>
      </c>
      <c r="VQ63" s="20" t="n">
        <v>0</v>
      </c>
      <c r="VR63" s="20" t="n">
        <v>0</v>
      </c>
      <c r="VS63" s="20" t="n">
        <v>0</v>
      </c>
      <c r="VT63" s="20" t="n">
        <v>0</v>
      </c>
      <c r="VU63" s="20" t="n">
        <v>0</v>
      </c>
      <c r="VV63" s="20" t="n">
        <v>0</v>
      </c>
      <c r="VW63" s="20" t="n">
        <v>0</v>
      </c>
      <c r="VX63" s="20" t="n">
        <v>0</v>
      </c>
      <c r="VY63" s="20" t="n">
        <v>0</v>
      </c>
      <c r="VZ63" s="20" t="n">
        <v>0</v>
      </c>
      <c r="WA63" s="20" t="n">
        <v>0</v>
      </c>
      <c r="WB63" s="20" t="n">
        <v>0</v>
      </c>
      <c r="WC63" s="20" t="n">
        <v>0</v>
      </c>
      <c r="WD63" s="20" t="n">
        <v>0</v>
      </c>
      <c r="WE63" s="20" t="n">
        <v>0</v>
      </c>
      <c r="WF63" s="20" t="n">
        <v>0</v>
      </c>
      <c r="WG63" s="20" t="n">
        <v>0</v>
      </c>
      <c r="WH63" s="20" t="n">
        <v>0</v>
      </c>
      <c r="WI63" s="20" t="n">
        <v>0</v>
      </c>
      <c r="WJ63" s="20" t="n">
        <v>0</v>
      </c>
      <c r="WK63" s="20" t="n">
        <v>0</v>
      </c>
      <c r="WL63" s="20" t="n">
        <v>0</v>
      </c>
      <c r="WM63" s="20" t="n">
        <v>0</v>
      </c>
      <c r="WN63" s="20" t="n">
        <v>0</v>
      </c>
      <c r="WO63" s="20" t="n">
        <v>0</v>
      </c>
      <c r="WP63" s="20" t="n">
        <v>0</v>
      </c>
      <c r="WQ63" s="20" t="n">
        <v>0</v>
      </c>
      <c r="WR63" s="20" t="n">
        <f aca="false">IF(AND(H_Direct=1,BR63&gt;0),MAX(0,H63-(MIN(BR63*TE63,(H63+I63))-MIN(MIN(BR63*TE63,(H63+I63)),I63))),H63)</f>
        <v>1270</v>
      </c>
      <c r="WS63" s="20" t="n">
        <f aca="false">IF(AND(H_Direct=1,BS63&gt;0),MAX(0,WR63-(MIN(BS63*TF63,(WR63+AAE63))-MIN(MIN(BS63*TF63,(WR63+AAE63)),AAE63))),WR63)</f>
        <v>1270</v>
      </c>
      <c r="WT63" s="20" t="n">
        <f aca="false">IF(AND(H_Direct=1,BT63&gt;0),MAX(0,WS63-(MIN(BT63*TG63,(WS63+AAF63))-MIN(MIN(BT63*TG63,(WS63+AAF63)),AAF63))),WS63)</f>
        <v>1270</v>
      </c>
      <c r="WU63" s="20" t="n">
        <f aca="false">IF(AND(H_Direct=1,BU63&gt;0),MAX(0,WT63-(MIN(BU63*TH63,(WT63+AAG63))-MIN(MIN(BU63*TH63,(WT63+AAG63)),AAG63))),WT63)</f>
        <v>1270</v>
      </c>
      <c r="WV63" s="20" t="n">
        <f aca="false">IF(AND(H_Direct=1,BV63&gt;0),MAX(0,WU63-(MIN(BV63*TI63,(WU63+AAH63))-MIN(MIN(BV63*TI63,(WU63+AAH63)),AAH63))),WU63)</f>
        <v>1270</v>
      </c>
      <c r="WW63" s="20" t="n">
        <f aca="false">IF(AND(H_Direct=1,BW63&gt;0),MAX(0,WV63-(MIN(BW63*TJ63,(WV63+AAI63))-MIN(MIN(BW63*TJ63,(WV63+AAI63)),AAI63))),WV63)</f>
        <v>1270</v>
      </c>
      <c r="WX63" s="20" t="n">
        <f aca="false">IF(AND(H_Direct=1,BX63&gt;0),MAX(0,WW63-(MIN(BX63*TK63,(WW63+AAJ63))-MIN(MIN(BX63*TK63,(WW63+AAJ63)),AAJ63))),WW63)</f>
        <v>1270</v>
      </c>
      <c r="WY63" s="20" t="n">
        <f aca="false">IF(AND(H_Direct=1,BY63&gt;0),MAX(0,WX63-(MIN(BY63*TL63,(WX63+AAK63))-MIN(MIN(BY63*TL63,(WX63+AAK63)),AAK63))),WX63)</f>
        <v>1270</v>
      </c>
      <c r="WZ63" s="20" t="n">
        <f aca="false">IF(AND(H_Direct=1,BZ63&gt;0),MAX(0,WY63-(MIN(BZ63*TM63,(WY63+AAL63))-MIN(MIN(BZ63*TM63,(WY63+AAL63)),AAL63))),WY63)</f>
        <v>1270</v>
      </c>
      <c r="XA63" s="20" t="n">
        <f aca="false">IF(AND(H_Direct=1,CA63&gt;0),MAX(0,WZ63-(MIN(CA63*TN63,(WZ63+AAM63))-MIN(MIN(CA63*TN63,(WZ63+AAM63)),AAM63))),WZ63)</f>
        <v>1270</v>
      </c>
      <c r="XB63" s="20" t="n">
        <f aca="false">IF(AND(H_Direct=1,CB63&gt;0),MAX(0,XA63-(MIN(CB63*TO63,(XA63+AAN63))-MIN(MIN(CB63*TO63,(XA63+AAN63)),AAN63))),XA63)</f>
        <v>1270</v>
      </c>
      <c r="XC63" s="20" t="n">
        <f aca="false">IF(AND(H_Direct=1,CC63&gt;0),MAX(0,XB63-(MIN(CC63*TP63,(XB63+AAO63))-MIN(MIN(CC63*TP63,(XB63+AAO63)),AAO63))),XB63)</f>
        <v>1270</v>
      </c>
      <c r="XD63" s="20" t="n">
        <f aca="false">IF(AND(H_Direct=1,CD63&gt;0),MAX(0,XC63-(MIN(CD63*TQ63,(XC63+AAP63))-MIN(MIN(CD63*TQ63,(XC63+AAP63)),AAP63))),XC63)</f>
        <v>1270</v>
      </c>
      <c r="XE63" s="20" t="n">
        <f aca="false">IF(AND(H_Direct=1,CE63&gt;0),MAX(0,XD63-(MIN(CE63*TR63,(XD63+AAQ63))-MIN(MIN(CE63*TR63,(XD63+AAQ63)),AAQ63))),XD63)</f>
        <v>1270</v>
      </c>
      <c r="XF63" s="20" t="n">
        <f aca="false">IF(AND(H_Direct=1,CF63&gt;0),MAX(0,XE63-(MIN(CF63*TS63,(XE63+AAR63))-MIN(MIN(CF63*TS63,(XE63+AAR63)),AAR63))),XE63)</f>
        <v>1270</v>
      </c>
      <c r="XG63" s="20" t="n">
        <f aca="false">IF(AND(H_Direct=1,CG63&gt;0),MAX(0,XF63-(MIN(CG63*TT63,(XF63+AAS63))-MIN(MIN(CG63*TT63,(XF63+AAS63)),AAS63))),XF63)</f>
        <v>1270</v>
      </c>
      <c r="XH63" s="20" t="n">
        <f aca="false">IF(AND(H_Direct=1,CH63&gt;0),MAX(0,XG63-(MIN(CH63*TU63,(XG63+AAT63))-MIN(MIN(CH63*TU63,(XG63+AAT63)),AAT63))),XG63)</f>
        <v>1270</v>
      </c>
      <c r="XI63" s="20" t="n">
        <f aca="false">IF(AND(H_Direct=1,CI63&gt;0),MAX(0,XH63-(MIN(CI63*TV63,(XH63+AAU63))-MIN(MIN(CI63*TV63,(XH63+AAU63)),AAU63))),XH63)</f>
        <v>1270</v>
      </c>
      <c r="XJ63" s="20" t="n">
        <f aca="false">IF(AND(H_Direct=1,CJ63&gt;0),MAX(0,XI63-(MIN(CJ63*TW63,(XI63+AAV63))-MIN(MIN(CJ63*TW63,(XI63+AAV63)),AAV63))),XI63)</f>
        <v>1270</v>
      </c>
      <c r="XK63" s="20" t="n">
        <f aca="false">IF(AND(H_Direct=1,CK63&gt;0),MAX(0,XJ63-(MIN(CK63*TX63,(XJ63+AAW63))-MIN(MIN(CK63*TX63,(XJ63+AAW63)),AAW63))),XJ63)</f>
        <v>1270</v>
      </c>
      <c r="XL63" s="20" t="n">
        <f aca="false">IF(AND(H_Direct=1,CL63&gt;0),MAX(0,XK63-(MIN(CL63*TY63,(XK63+AAX63))-MIN(MIN(CL63*TY63,(XK63+AAX63)),AAX63))),XK63)</f>
        <v>1270</v>
      </c>
      <c r="XM63" s="20" t="n">
        <f aca="false">IF(AND(H_Direct=1,CM63&gt;0),MAX(0,XL63-(MIN(CM63*TZ63,(XL63+AAY63))-MIN(MIN(CM63*TZ63,(XL63+AAY63)),AAY63))),XL63)</f>
        <v>1270</v>
      </c>
      <c r="XN63" s="20" t="n">
        <f aca="false">IF(AND(H_Direct=1,CN63&gt;0),MAX(0,XM63-(MIN(CN63*UA63,(XM63+AAZ63))-MIN(MIN(CN63*UA63,(XM63+AAZ63)),AAZ63))),XM63)</f>
        <v>1270</v>
      </c>
      <c r="XO63" s="20" t="n">
        <f aca="false">IF(AND(H_Direct=1,CO63&gt;0),MAX(0,XN63-(MIN(CO63*UB63,(XN63+ABA63))-MIN(MIN(CO63*UB63,(XN63+ABA63)),ABA63))),XN63)</f>
        <v>1270</v>
      </c>
      <c r="XP63" s="20" t="n">
        <f aca="false">IF(AND(H_Direct=1,CP63&gt;0),MAX(0,XO63-(MIN(CP63*UC63,(XO63+ABB63))-MIN(MIN(CP63*UC63,(XO63+ABB63)),ABB63))),XO63)</f>
        <v>1270</v>
      </c>
      <c r="XQ63" s="20" t="n">
        <f aca="false">IF(AND(H_Direct=1,CQ63&gt;0),MAX(0,XP63-(MIN(CQ63*UD63,(XP63+ABC63))-MIN(MIN(CQ63*UD63,(XP63+ABC63)),ABC63))),XP63)</f>
        <v>1270</v>
      </c>
      <c r="XR63" s="20" t="n">
        <f aca="false">IF(AND(H_Direct=1,CR63&gt;0),MAX(0,XQ63-(MIN(CR63*UE63,(XQ63+ABD63))-MIN(MIN(CR63*UE63,(XQ63+ABD63)),ABD63))),XQ63)</f>
        <v>1270</v>
      </c>
      <c r="XS63" s="20" t="n">
        <f aca="false">IF(AND(H_Direct=1,CS63&gt;0),MAX(0,XR63-(MIN(CS63*UF63,(XR63+ABE63))-MIN(MIN(CS63*UF63,(XR63+ABE63)),ABE63))),XR63)</f>
        <v>1270</v>
      </c>
      <c r="XT63" s="20" t="n">
        <f aca="false">IF(AND(H_Direct=1,CT63&gt;0),MAX(0,XS63-(MIN(CT63*UG63,(XS63+ABF63))-MIN(MIN(CT63*UG63,(XS63+ABF63)),ABF63))),XS63)</f>
        <v>1270</v>
      </c>
      <c r="XU63" s="20" t="n">
        <f aca="false">IF(AND(H_Direct=1,CU63&gt;0),MAX(0,XT63-(MIN(CU63*UH63,(XT63+ABG63))-MIN(MIN(CU63*UH63,(XT63+ABG63)),ABG63))),XT63)</f>
        <v>1270</v>
      </c>
      <c r="XV63" s="20" t="n">
        <f aca="false">IF(AND(H_Direct=1,CV63&gt;0),MAX(0,XU63-(MIN(CV63*UI63,(XU63+ABH63))-MIN(MIN(CV63*UI63,(XU63+ABH63)),ABH63))),XU63)</f>
        <v>1270</v>
      </c>
      <c r="XW63" s="20" t="n">
        <f aca="false">IF(AND(H_Direct=1,CW63&gt;0),MAX(0,XV63-(MIN(CW63*UJ63,(XV63+ABI63))-MIN(MIN(CW63*UJ63,(XV63+ABI63)),ABI63))),XV63)</f>
        <v>1270</v>
      </c>
      <c r="XX63" s="20" t="n">
        <f aca="false">IF(AND(H_Direct=1,CX63&gt;0),MAX(0,XW63-(MIN(CX63*UK63,(XW63+ABJ63))-MIN(MIN(CX63*UK63,(XW63+ABJ63)),ABJ63))),XW63)</f>
        <v>1270</v>
      </c>
      <c r="XY63" s="20" t="n">
        <f aca="false">IF(AND(H_Direct=1,CY63&gt;0),MAX(0,XX63-(MIN(CY63*UL63,(XX63+ABK63))-MIN(MIN(CY63*UL63,(XX63+ABK63)),ABK63))),XX63)</f>
        <v>1270</v>
      </c>
      <c r="XZ63" s="20" t="n">
        <f aca="false">IF(AND(H_Direct=1,CZ63&gt;0),MAX(0,XY63-(MIN(CZ63*UM63,(XY63+ABL63))-MIN(MIN(CZ63*UM63,(XY63+ABL63)),ABL63))),XY63)</f>
        <v>1270</v>
      </c>
      <c r="YA63" s="20" t="n">
        <f aca="false">IF(AND(H_Direct=1,DA63&gt;0),MAX(0,XZ63-(MIN(DA63*UN63,(XZ63+ABM63))-MIN(MIN(DA63*UN63,(XZ63+ABM63)),ABM63))),XZ63)</f>
        <v>1270</v>
      </c>
      <c r="YB63" s="20" t="n">
        <f aca="false">IF(AND(H_Direct=1,DB63&gt;0),MAX(0,YA63-(MIN(DB63*UO63,(YA63+ABN63))-MIN(MIN(DB63*UO63,(YA63+ABN63)),ABN63))),YA63)</f>
        <v>1270</v>
      </c>
      <c r="YC63" s="20" t="n">
        <f aca="false">IF(AND(H_Direct=1,DC63&gt;0),MAX(0,YB63-(MIN(DC63*UP63,(YB63+ABO63))-MIN(MIN(DC63*UP63,(YB63+ABO63)),ABO63))),YB63)</f>
        <v>1270</v>
      </c>
      <c r="YD63" s="20" t="n">
        <f aca="false">IF(AND(H_Direct=1,DD63&gt;0),MAX(0,YC63-(MIN(DD63*UQ63,(YC63+ABP63))-MIN(MIN(DD63*UQ63,(YC63+ABP63)),ABP63))),YC63)</f>
        <v>1270</v>
      </c>
      <c r="YE63" s="20" t="n">
        <f aca="false">IF(AND(H_Direct=1,DE63&gt;0),MAX(0,YD63-(MIN(DE63*UR63,(YD63+ABQ63))-MIN(MIN(DE63*UR63,(YD63+ABQ63)),ABQ63))),YD63)</f>
        <v>1270</v>
      </c>
      <c r="YF63" s="20" t="n">
        <f aca="false">IF(AND(H_Direct=1,DF63&gt;0),MAX(0,YE63-(MIN(DF63*US63,(YE63+ABR63))-MIN(MIN(DF63*US63,(YE63+ABR63)),ABR63))),YE63)</f>
        <v>1270</v>
      </c>
      <c r="YG63" s="20" t="n">
        <f aca="false">IF(AND(H_Direct=1,DG63&gt;0),MAX(0,YF63-(MIN(DG63*UT63,(YF63+ABS63))-MIN(MIN(DG63*UT63,(YF63+ABS63)),ABS63))),YF63)</f>
        <v>1270</v>
      </c>
      <c r="YH63" s="20" t="n">
        <f aca="false">IF(AND(H_Direct=1,DH63&gt;0),MAX(0,YG63-(MIN(DH63*UU63,(YG63+ABT63))-MIN(MIN(DH63*UU63,(YG63+ABT63)),ABT63))),YG63)</f>
        <v>1270</v>
      </c>
      <c r="YI63" s="20" t="n">
        <f aca="false">IF(AND(H_Direct=1,DI63&gt;0),MAX(0,YH63-(MIN(DI63*UV63,(YH63+ABU63))-MIN(MIN(DI63*UV63,(YH63+ABU63)),ABU63))),YH63)</f>
        <v>1270</v>
      </c>
      <c r="YJ63" s="20" t="n">
        <f aca="false">IF(AND(H_Direct=1,DJ63&gt;0),MAX(0,YI63-(MIN(DJ63*UW63,(YI63+ABV63))-MIN(MIN(DJ63*UW63,(YI63+ABV63)),ABV63))),YI63)</f>
        <v>1270</v>
      </c>
      <c r="YK63" s="20" t="n">
        <f aca="false">IF(AND(H_Direct=1,DK63&gt;0),MAX(0,YJ63-(MIN(DK63*UX63,(YJ63+ABW63))-MIN(MIN(DK63*UX63,(YJ63+ABW63)),ABW63))),YJ63)</f>
        <v>1270</v>
      </c>
      <c r="YL63" s="20" t="n">
        <f aca="false">IF(AND(H_Direct=1,DL63&gt;0),MAX(0,YK63-(MIN(DL63*UY63,(YK63+ABX63))-MIN(MIN(DL63*UY63,(YK63+ABX63)),ABX63))),YK63)</f>
        <v>1270</v>
      </c>
      <c r="YM63" s="20" t="n">
        <f aca="false">IF(AND(H_Direct=1,DM63&gt;0),MAX(0,YL63-(MIN(DM63*UZ63,(YL63+ABY63))-MIN(MIN(DM63*UZ63,(YL63+ABY63)),ABY63))),YL63)</f>
        <v>1270</v>
      </c>
      <c r="YN63" s="20" t="n">
        <f aca="false">IF(AND(H_Direct=1,DN63&gt;0),MAX(0,YM63-(MIN(DN63*VA63,(YM63+ABZ63))-MIN(MIN(DN63*VA63,(YM63+ABZ63)),ABZ63))),YM63)</f>
        <v>1270</v>
      </c>
      <c r="YO63" s="20" t="n">
        <f aca="false">IF(AND(H_Direct=1,DO63&gt;0),MAX(0,YN63-(MIN(DO63*VB63,(YN63+ACA63))-MIN(MIN(DO63*VB63,(YN63+ACA63)),ACA63))),YN63)</f>
        <v>1270</v>
      </c>
      <c r="YP63" s="20" t="n">
        <f aca="false">IF(AND(H_Direct=1,DP63&gt;0),MAX(0,YO63-(MIN(DP63*VC63,(YO63+ACB63))-MIN(MIN(DP63*VC63,(YO63+ACB63)),ACB63))),YO63)</f>
        <v>1270</v>
      </c>
      <c r="YQ63" s="20" t="n">
        <f aca="false">IF(AND(H_Direct=1,DQ63&gt;0),MAX(0,YP63-(MIN(DQ63*VD63,(YP63+ACC63))-MIN(MIN(DQ63*VD63,(YP63+ACC63)),ACC63))),YP63)</f>
        <v>1270</v>
      </c>
      <c r="YR63" s="20" t="n">
        <f aca="false">IF(AND(H_Direct=1,DR63&gt;0),MAX(0,YQ63-(MIN(DR63*VE63,(YQ63+ACD63))-MIN(MIN(DR63*VE63,(YQ63+ACD63)),ACD63))),YQ63)</f>
        <v>1270</v>
      </c>
      <c r="YS63" s="20" t="n">
        <f aca="false">IF(AND(H_Direct=1,DS63&gt;0),MAX(0,YR63-(MIN(DS63*VF63,(YR63+ACE63))-MIN(MIN(DS63*VF63,(YR63+ACE63)),ACE63))),YR63)</f>
        <v>1270</v>
      </c>
      <c r="YT63" s="20" t="n">
        <f aca="false">IF(AND(H_Direct=1,DT63&gt;0),MAX(0,YS63-(MIN(DT63*VG63,(YS63+ACF63))-MIN(MIN(DT63*VG63,(YS63+ACF63)),ACF63))),YS63)</f>
        <v>1270</v>
      </c>
      <c r="YU63" s="20" t="n">
        <f aca="false">IF(AND(H_Direct=1,DU63&gt;0),MAX(0,YT63-(MIN(DU63*VH63,(YT63+ACG63))-MIN(MIN(DU63*VH63,(YT63+ACG63)),ACG63))),YT63)</f>
        <v>1270</v>
      </c>
      <c r="YV63" s="20" t="n">
        <f aca="false">IF(AND(H_Direct=1,DV63&gt;0),MAX(0,YU63-(MIN(DV63*VI63,(YU63+ACH63))-MIN(MIN(DV63*VI63,(YU63+ACH63)),ACH63))),YU63)</f>
        <v>1270</v>
      </c>
      <c r="YW63" s="20" t="n">
        <f aca="false">YV63</f>
        <v>1270</v>
      </c>
      <c r="YX63" s="20" t="n">
        <f aca="false">YW63</f>
        <v>1270</v>
      </c>
      <c r="YY63" s="20" t="n">
        <f aca="false">YX63</f>
        <v>1270</v>
      </c>
      <c r="YZ63" s="20" t="n">
        <f aca="false">YY63</f>
        <v>1270</v>
      </c>
      <c r="ZA63" s="20" t="n">
        <f aca="false">YZ63</f>
        <v>1270</v>
      </c>
      <c r="ZB63" s="20" t="n">
        <f aca="false">ZA63</f>
        <v>1270</v>
      </c>
      <c r="ZC63" s="20" t="n">
        <f aca="false">ZB63</f>
        <v>1270</v>
      </c>
      <c r="ZD63" s="20" t="n">
        <f aca="false">ZC63</f>
        <v>1270</v>
      </c>
      <c r="ZE63" s="20" t="n">
        <f aca="false">ZD63</f>
        <v>1270</v>
      </c>
      <c r="ZF63" s="20" t="n">
        <f aca="false">ZE63</f>
        <v>1270</v>
      </c>
      <c r="ZG63" s="20" t="n">
        <f aca="false">ZF63</f>
        <v>1270</v>
      </c>
      <c r="ZH63" s="20" t="n">
        <f aca="false">ZG63</f>
        <v>1270</v>
      </c>
      <c r="ZI63" s="20" t="n">
        <f aca="false">ZH63</f>
        <v>1270</v>
      </c>
      <c r="ZJ63" s="20" t="n">
        <f aca="false">ZI63</f>
        <v>1270</v>
      </c>
      <c r="ZK63" s="20" t="n">
        <f aca="false">ZJ63</f>
        <v>1270</v>
      </c>
      <c r="ZL63" s="20" t="n">
        <f aca="false">ZK63</f>
        <v>1270</v>
      </c>
      <c r="ZM63" s="20" t="n">
        <f aca="false">ZL63</f>
        <v>1270</v>
      </c>
      <c r="ZN63" s="20" t="n">
        <f aca="false">ZM63</f>
        <v>1270</v>
      </c>
      <c r="ZO63" s="20" t="n">
        <f aca="false">ZN63</f>
        <v>1270</v>
      </c>
      <c r="ZP63" s="20" t="n">
        <f aca="false">ZO63</f>
        <v>1270</v>
      </c>
      <c r="ZQ63" s="20" t="n">
        <f aca="false">ZP63</f>
        <v>1270</v>
      </c>
      <c r="ZR63" s="20" t="n">
        <f aca="false">ZQ63</f>
        <v>1270</v>
      </c>
      <c r="ZS63" s="20" t="n">
        <f aca="false">ZR63</f>
        <v>1270</v>
      </c>
      <c r="ZT63" s="20" t="n">
        <f aca="false">ZS63</f>
        <v>1270</v>
      </c>
      <c r="ZU63" s="20" t="n">
        <f aca="false">ZT63</f>
        <v>1270</v>
      </c>
      <c r="ZV63" s="20" t="n">
        <f aca="false">ZU63</f>
        <v>1270</v>
      </c>
      <c r="ZW63" s="20" t="n">
        <f aca="false">ZV63</f>
        <v>1270</v>
      </c>
      <c r="ZX63" s="20" t="n">
        <f aca="false">ZW63</f>
        <v>1270</v>
      </c>
      <c r="ZY63" s="20" t="n">
        <f aca="false">ZX63</f>
        <v>1270</v>
      </c>
      <c r="ZZ63" s="20" t="n">
        <f aca="false">ZY63</f>
        <v>1270</v>
      </c>
      <c r="AAA63" s="20" t="n">
        <f aca="false">ZZ63</f>
        <v>1270</v>
      </c>
      <c r="AAB63" s="20" t="n">
        <f aca="false">AAA63</f>
        <v>1270</v>
      </c>
      <c r="AAC63" s="20" t="n">
        <f aca="false">AAB63</f>
        <v>1270</v>
      </c>
      <c r="AAD63" s="20" t="n">
        <f aca="false">AAC63</f>
        <v>1270</v>
      </c>
      <c r="AAE63" s="20" t="n">
        <f aca="false">IF(H_Direct=1,IF(BR63&lt;=0,I63-BR63*TE63,I63-MIN(MIN(BR63*TE63,(H63+I63)),I63)),I63)</f>
        <v>0</v>
      </c>
      <c r="AAF63" s="20" t="n">
        <f aca="false">IF(H_Direct=1,IF(BS63&lt;=0,AAE63-BS63*TF63,AAE63-MIN(MIN(BS63*TF63,(WR63+AAE63)),AAE63)),AAE63)</f>
        <v>0</v>
      </c>
      <c r="AAG63" s="20" t="n">
        <f aca="false">IF(H_Direct=1,IF(BT63&lt;=0,AAF63-BT63*TG63,AAF63-MIN(MIN(BT63*TG63,(WS63+AAF63)),AAF63)),AAF63)</f>
        <v>0</v>
      </c>
      <c r="AAH63" s="20" t="n">
        <f aca="false">IF(H_Direct=1,IF(BU63&lt;=0,AAG63-BU63*TH63,AAG63-MIN(MIN(BU63*TH63,(WT63+AAG63)),AAG63)),AAG63)</f>
        <v>0</v>
      </c>
      <c r="AAI63" s="20" t="n">
        <f aca="false">IF(H_Direct=1,IF(BV63&lt;=0,AAH63-BV63*TI63,AAH63-MIN(MIN(BV63*TI63,(WU63+AAH63)),AAH63)),AAH63)</f>
        <v>0</v>
      </c>
      <c r="AAJ63" s="20" t="n">
        <f aca="false">IF(H_Direct=1,IF(BW63&lt;=0,AAI63-BW63*TJ63,AAI63-MIN(MIN(BW63*TJ63,(WV63+AAI63)),AAI63)),AAI63)</f>
        <v>0</v>
      </c>
      <c r="AAK63" s="20" t="n">
        <f aca="false">IF(H_Direct=1,IF(BX63&lt;=0,AAJ63-BX63*TK63,AAJ63-MIN(MIN(BX63*TK63,(WW63+AAJ63)),AAJ63)),AAJ63)</f>
        <v>0</v>
      </c>
      <c r="AAL63" s="20" t="n">
        <f aca="false">IF(H_Direct=1,IF(BY63&lt;=0,AAK63-BY63*TL63,AAK63-MIN(MIN(BY63*TL63,(WX63+AAK63)),AAK63)),AAK63)</f>
        <v>0</v>
      </c>
      <c r="AAM63" s="20" t="n">
        <f aca="false">IF(H_Direct=1,IF(BZ63&lt;=0,AAL63-BZ63*TM63,AAL63-MIN(MIN(BZ63*TM63,(WY63+AAL63)),AAL63)),AAL63)</f>
        <v>0</v>
      </c>
      <c r="AAN63" s="20" t="n">
        <f aca="false">IF(H_Direct=1,IF(CA63&lt;=0,AAM63-CA63*TN63,AAM63-MIN(MIN(CA63*TN63,(WZ63+AAM63)),AAM63)),AAM63)</f>
        <v>0</v>
      </c>
      <c r="AAO63" s="20" t="n">
        <f aca="false">IF(H_Direct=1,IF(CB63&lt;=0,AAN63-CB63*TO63,AAN63-MIN(MIN(CB63*TO63,(XA63+AAN63)),AAN63)),AAN63)</f>
        <v>0</v>
      </c>
      <c r="AAP63" s="20" t="n">
        <f aca="false">IF(H_Direct=1,IF(CC63&lt;=0,AAO63-CC63*TP63,AAO63-MIN(MIN(CC63*TP63,(XB63+AAO63)),AAO63)),AAO63)</f>
        <v>0</v>
      </c>
      <c r="AAQ63" s="20" t="n">
        <f aca="false">IF(H_Direct=1,IF(CD63&lt;=0,AAP63-CD63*TQ63,AAP63-MIN(MIN(CD63*TQ63,(XC63+AAP63)),AAP63)),AAP63)</f>
        <v>0</v>
      </c>
      <c r="AAR63" s="20" t="n">
        <f aca="false">IF(H_Direct=1,IF(CE63&lt;=0,AAQ63-CE63*TR63,AAQ63-MIN(MIN(CE63*TR63,(XD63+AAQ63)),AAQ63)),AAQ63)</f>
        <v>0</v>
      </c>
      <c r="AAS63" s="20" t="n">
        <f aca="false">IF(H_Direct=1,IF(CF63&lt;=0,AAR63-CF63*TS63,AAR63-MIN(MIN(CF63*TS63,(XE63+AAR63)),AAR63)),AAR63)</f>
        <v>0</v>
      </c>
      <c r="AAT63" s="20" t="n">
        <f aca="false">IF(H_Direct=1,IF(CG63&lt;=0,AAS63-CG63*TT63,AAS63-MIN(MIN(CG63*TT63,(XF63+AAS63)),AAS63)),AAS63)</f>
        <v>0</v>
      </c>
      <c r="AAU63" s="20" t="n">
        <f aca="false">IF(H_Direct=1,IF(CH63&lt;=0,AAT63-CH63*TU63,AAT63-MIN(MIN(CH63*TU63,(XG63+AAT63)),AAT63)),AAT63)</f>
        <v>0</v>
      </c>
      <c r="AAV63" s="20" t="n">
        <f aca="false">IF(H_Direct=1,IF(CI63&lt;=0,AAU63-CI63*TV63,AAU63-MIN(MIN(CI63*TV63,(XH63+AAU63)),AAU63)),AAU63)</f>
        <v>0</v>
      </c>
      <c r="AAW63" s="20" t="n">
        <f aca="false">IF(H_Direct=1,IF(CJ63&lt;=0,AAV63-CJ63*TW63,AAV63-MIN(MIN(CJ63*TW63,(XI63+AAV63)),AAV63)),AAV63)</f>
        <v>0</v>
      </c>
      <c r="AAX63" s="20" t="n">
        <f aca="false">IF(H_Direct=1,IF(CK63&lt;=0,AAW63-CK63*TX63,AAW63-MIN(MIN(CK63*TX63,(XJ63+AAW63)),AAW63)),AAW63)</f>
        <v>0</v>
      </c>
      <c r="AAY63" s="20" t="n">
        <f aca="false">IF(H_Direct=1,IF(CL63&lt;=0,AAX63-CL63*TY63,AAX63-MIN(MIN(CL63*TY63,(XK63+AAX63)),AAX63)),AAX63)</f>
        <v>0</v>
      </c>
      <c r="AAZ63" s="20" t="n">
        <f aca="false">IF(H_Direct=1,IF(CM63&lt;=0,AAY63-CM63*TZ63,AAY63-MIN(MIN(CM63*TZ63,(XL63+AAY63)),AAY63)),AAY63)</f>
        <v>0</v>
      </c>
      <c r="ABA63" s="20" t="n">
        <f aca="false">IF(H_Direct=1,IF(CN63&lt;=0,AAZ63-CN63*UA63,AAZ63-MIN(MIN(CN63*UA63,(XM63+AAZ63)),AAZ63)),AAZ63)</f>
        <v>0</v>
      </c>
      <c r="ABB63" s="20" t="n">
        <f aca="false">IF(H_Direct=1,IF(CO63&lt;=0,ABA63-CO63*UB63,ABA63-MIN(MIN(CO63*UB63,(XN63+ABA63)),ABA63)),ABA63)</f>
        <v>0</v>
      </c>
      <c r="ABC63" s="20" t="n">
        <f aca="false">IF(H_Direct=1,IF(CP63&lt;=0,ABB63-CP63*UC63,ABB63-MIN(MIN(CP63*UC63,(XO63+ABB63)),ABB63)),ABB63)</f>
        <v>0</v>
      </c>
      <c r="ABD63" s="20" t="n">
        <f aca="false">IF(H_Direct=1,IF(CQ63&lt;=0,ABC63-CQ63*UD63,ABC63-MIN(MIN(CQ63*UD63,(XP63+ABC63)),ABC63)),ABC63)</f>
        <v>0</v>
      </c>
      <c r="ABE63" s="20" t="n">
        <f aca="false">IF(H_Direct=1,IF(CR63&lt;=0,ABD63-CR63*UE63,ABD63-MIN(MIN(CR63*UE63,(XQ63+ABD63)),ABD63)),ABD63)</f>
        <v>0</v>
      </c>
      <c r="ABF63" s="20" t="n">
        <f aca="false">IF(H_Direct=1,IF(CS63&lt;=0,ABE63-CS63*UF63,ABE63-MIN(MIN(CS63*UF63,(XR63+ABE63)),ABE63)),ABE63)</f>
        <v>0</v>
      </c>
      <c r="ABG63" s="20" t="n">
        <f aca="false">IF(H_Direct=1,IF(CT63&lt;=0,ABF63-CT63*UG63,ABF63-MIN(MIN(CT63*UG63,(XS63+ABF63)),ABF63)),ABF63)</f>
        <v>0</v>
      </c>
      <c r="ABH63" s="20" t="n">
        <f aca="false">IF(H_Direct=1,IF(CU63&lt;=0,ABG63-CU63*UH63,ABG63-MIN(MIN(CU63*UH63,(XT63+ABG63)),ABG63)),ABG63)</f>
        <v>0</v>
      </c>
      <c r="ABI63" s="20" t="n">
        <f aca="false">IF(H_Direct=1,IF(CV63&lt;=0,ABH63-CV63*UI63,ABH63-MIN(MIN(CV63*UI63,(XU63+ABH63)),ABH63)),ABH63)</f>
        <v>0</v>
      </c>
      <c r="ABJ63" s="20" t="n">
        <f aca="false">IF(H_Direct=1,IF(CW63&lt;=0,ABI63-CW63*UJ63,ABI63-MIN(MIN(CW63*UJ63,(XV63+ABI63)),ABI63)),ABI63)</f>
        <v>0</v>
      </c>
      <c r="ABK63" s="20" t="n">
        <f aca="false">IF(H_Direct=1,IF(CX63&lt;=0,ABJ63-CX63*UK63,ABJ63-MIN(MIN(CX63*UK63,(XW63+ABJ63)),ABJ63)),ABJ63)</f>
        <v>0</v>
      </c>
      <c r="ABL63" s="20" t="n">
        <f aca="false">IF(H_Direct=1,IF(CY63&lt;=0,ABK63-CY63*UL63,ABK63-MIN(MIN(CY63*UL63,(XX63+ABK63)),ABK63)),ABK63)</f>
        <v>0</v>
      </c>
      <c r="ABM63" s="20" t="n">
        <f aca="false">IF(H_Direct=1,IF(CZ63&lt;=0,ABL63-CZ63*UM63,ABL63-MIN(MIN(CZ63*UM63,(XY63+ABL63)),ABL63)),ABL63)</f>
        <v>0</v>
      </c>
      <c r="ABN63" s="20" t="n">
        <f aca="false">IF(H_Direct=1,IF(DA63&lt;=0,ABM63-DA63*UN63,ABM63-MIN(MIN(DA63*UN63,(XZ63+ABM63)),ABM63)),ABM63)</f>
        <v>0</v>
      </c>
      <c r="ABO63" s="20" t="n">
        <f aca="false">IF(H_Direct=1,IF(DB63&lt;=0,ABN63-DB63*UO63,ABN63-MIN(MIN(DB63*UO63,(YA63+ABN63)),ABN63)),ABN63)</f>
        <v>0</v>
      </c>
      <c r="ABP63" s="20" t="n">
        <f aca="false">IF(H_Direct=1,IF(DC63&lt;=0,ABO63-DC63*UP63,ABO63-MIN(MIN(DC63*UP63,(YB63+ABO63)),ABO63)),ABO63)</f>
        <v>0</v>
      </c>
      <c r="ABQ63" s="20" t="n">
        <f aca="false">IF(H_Direct=1,IF(DD63&lt;=0,ABP63-DD63*UQ63,ABP63-MIN(MIN(DD63*UQ63,(YC63+ABP63)),ABP63)),ABP63)</f>
        <v>0</v>
      </c>
      <c r="ABR63" s="20" t="n">
        <f aca="false">IF(H_Direct=1,IF(DE63&lt;=0,ABQ63-DE63*UR63,ABQ63-MIN(MIN(DE63*UR63,(YD63+ABQ63)),ABQ63)),ABQ63)</f>
        <v>0</v>
      </c>
      <c r="ABS63" s="20" t="n">
        <f aca="false">IF(H_Direct=1,IF(DF63&lt;=0,ABR63-DF63*US63,ABR63-MIN(MIN(DF63*US63,(YE63+ABR63)),ABR63)),ABR63)</f>
        <v>0</v>
      </c>
      <c r="ABT63" s="20" t="n">
        <f aca="false">IF(H_Direct=1,IF(DG63&lt;=0,ABS63-DG63*UT63,ABS63-MIN(MIN(DG63*UT63,(YF63+ABS63)),ABS63)),ABS63)</f>
        <v>0</v>
      </c>
      <c r="ABU63" s="20" t="n">
        <f aca="false">IF(H_Direct=1,IF(DH63&lt;=0,ABT63-DH63*UU63,ABT63-MIN(MIN(DH63*UU63,(YG63+ABT63)),ABT63)),ABT63)</f>
        <v>0</v>
      </c>
      <c r="ABV63" s="20" t="n">
        <f aca="false">IF(H_Direct=1,IF(DI63&lt;=0,ABU63-DI63*UV63,ABU63-MIN(MIN(DI63*UV63,(YH63+ABU63)),ABU63)),ABU63)</f>
        <v>0</v>
      </c>
      <c r="ABW63" s="20" t="n">
        <f aca="false">IF(H_Direct=1,IF(DJ63&lt;=0,ABV63-DJ63*UW63,ABV63-MIN(MIN(DJ63*UW63,(YI63+ABV63)),ABV63)),ABV63)</f>
        <v>0</v>
      </c>
      <c r="ABX63" s="20" t="n">
        <f aca="false">IF(H_Direct=1,IF(DK63&lt;=0,ABW63-DK63*UX63,ABW63-MIN(MIN(DK63*UX63,(YJ63+ABW63)),ABW63)),ABW63)</f>
        <v>0</v>
      </c>
      <c r="ABY63" s="20" t="n">
        <f aca="false">IF(H_Direct=1,IF(DL63&lt;=0,ABX63-DL63*UY63,ABX63-MIN(MIN(DL63*UY63,(YK63+ABX63)),ABX63)),ABX63)</f>
        <v>0</v>
      </c>
      <c r="ABZ63" s="20" t="n">
        <f aca="false">IF(H_Direct=1,IF(DM63&lt;=0,ABY63-DM63*UZ63,ABY63-MIN(MIN(DM63*UZ63,(YL63+ABY63)),ABY63)),ABY63)</f>
        <v>0</v>
      </c>
      <c r="ACA63" s="20" t="n">
        <f aca="false">IF(H_Direct=1,IF(DN63&lt;=0,ABZ63-DN63*VA63,ABZ63-MIN(MIN(DN63*VA63,(YM63+ABZ63)),ABZ63)),ABZ63)</f>
        <v>0</v>
      </c>
      <c r="ACB63" s="20" t="n">
        <f aca="false">IF(H_Direct=1,IF(DO63&lt;=0,ACA63-DO63*VB63,ACA63-MIN(MIN(DO63*VB63,(YN63+ACA63)),ACA63)),ACA63)</f>
        <v>0</v>
      </c>
      <c r="ACC63" s="20" t="n">
        <f aca="false">IF(H_Direct=1,IF(DP63&lt;=0,ACB63-DP63*VC63,ACB63-MIN(MIN(DP63*VC63,(YO63+ACB63)),ACB63)),ACB63)</f>
        <v>0</v>
      </c>
      <c r="ACD63" s="20" t="n">
        <f aca="false">IF(H_Direct=1,IF(DQ63&lt;=0,ACC63-DQ63*VD63,ACC63-MIN(MIN(DQ63*VD63,(YP63+ACC63)),ACC63)),ACC63)</f>
        <v>0</v>
      </c>
      <c r="ACE63" s="20" t="n">
        <f aca="false">IF(H_Direct=1,IF(DR63&lt;=0,ACD63-DR63*VE63,ACD63-MIN(MIN(DR63*VE63,(YQ63+ACD63)),ACD63)),ACD63)</f>
        <v>0</v>
      </c>
      <c r="ACF63" s="20" t="n">
        <f aca="false">IF(H_Direct=1,IF(DS63&lt;=0,ACE63-DS63*VF63,ACE63-MIN(MIN(DS63*VF63,(YR63+ACE63)),ACE63)),ACE63)</f>
        <v>0</v>
      </c>
      <c r="ACG63" s="20" t="n">
        <f aca="false">IF(H_Direct=1,IF(DT63&lt;=0,ACF63-DT63*VG63,ACF63-MIN(MIN(DT63*VG63,(YS63+ACF63)),ACF63)),ACF63)</f>
        <v>0</v>
      </c>
      <c r="ACH63" s="20" t="n">
        <f aca="false">IF(H_Direct=1,IF(DU63&lt;=0,ACG63-DU63*VH63,ACG63-MIN(MIN(DU63*VH63,(YT63+ACG63)),ACG63)),ACG63)</f>
        <v>0</v>
      </c>
      <c r="ACI63" s="20" t="n">
        <f aca="false">IF(H_Direct=1,IF(DV63&lt;=0,ACH63-DV63*VI63,ACH63-MIN(MIN(DV63*VI63,(YU63+ACH63)),ACH63)),ACH63)</f>
        <v>0</v>
      </c>
      <c r="ACJ63" s="20" t="n">
        <f aca="false">ACI63</f>
        <v>0</v>
      </c>
      <c r="ACK63" s="20" t="n">
        <f aca="false">ACJ63</f>
        <v>0</v>
      </c>
      <c r="ACL63" s="20" t="n">
        <f aca="false">ACK63</f>
        <v>0</v>
      </c>
      <c r="ACM63" s="20" t="n">
        <f aca="false">ACL63</f>
        <v>0</v>
      </c>
      <c r="ACN63" s="20" t="n">
        <f aca="false">ACM63</f>
        <v>0</v>
      </c>
      <c r="ACO63" s="20" t="n">
        <f aca="false">ACN63</f>
        <v>0</v>
      </c>
      <c r="ACP63" s="20" t="n">
        <f aca="false">ACO63</f>
        <v>0</v>
      </c>
      <c r="ACQ63" s="20" t="n">
        <f aca="false">ACP63</f>
        <v>0</v>
      </c>
      <c r="ACR63" s="20" t="n">
        <f aca="false">ACQ63</f>
        <v>0</v>
      </c>
      <c r="ACS63" s="20" t="n">
        <f aca="false">ACR63</f>
        <v>0</v>
      </c>
      <c r="ACT63" s="20" t="n">
        <f aca="false">ACS63</f>
        <v>0</v>
      </c>
      <c r="ACU63" s="20" t="n">
        <f aca="false">ACT63</f>
        <v>0</v>
      </c>
      <c r="ACV63" s="20" t="n">
        <f aca="false">ACU63</f>
        <v>0</v>
      </c>
      <c r="ACW63" s="20" t="n">
        <f aca="false">ACV63</f>
        <v>0</v>
      </c>
      <c r="ACX63" s="20" t="n">
        <f aca="false">ACW63</f>
        <v>0</v>
      </c>
      <c r="ACY63" s="20" t="n">
        <f aca="false">ACX63</f>
        <v>0</v>
      </c>
      <c r="ACZ63" s="20" t="n">
        <f aca="false">ACY63</f>
        <v>0</v>
      </c>
      <c r="ADA63" s="20" t="n">
        <f aca="false">ACZ63</f>
        <v>0</v>
      </c>
      <c r="ADB63" s="20" t="n">
        <f aca="false">ADA63</f>
        <v>0</v>
      </c>
      <c r="ADC63" s="20" t="n">
        <f aca="false">ADB63</f>
        <v>0</v>
      </c>
      <c r="ADD63" s="20" t="n">
        <f aca="false">ADC63</f>
        <v>0</v>
      </c>
      <c r="ADE63" s="20" t="n">
        <f aca="false">ADD63</f>
        <v>0</v>
      </c>
      <c r="ADF63" s="20" t="n">
        <f aca="false">ADE63</f>
        <v>0</v>
      </c>
      <c r="ADG63" s="20" t="n">
        <f aca="false">ADF63</f>
        <v>0</v>
      </c>
      <c r="ADH63" s="20" t="n">
        <f aca="false">ADG63</f>
        <v>0</v>
      </c>
      <c r="ADI63" s="20" t="n">
        <f aca="false">ADH63</f>
        <v>0</v>
      </c>
      <c r="ADJ63" s="20" t="n">
        <f aca="false">ADI63</f>
        <v>0</v>
      </c>
      <c r="ADK63" s="20" t="n">
        <f aca="false">ADJ63</f>
        <v>0</v>
      </c>
      <c r="ADL63" s="20" t="n">
        <f aca="false">ADK63</f>
        <v>0</v>
      </c>
      <c r="ADM63" s="20" t="n">
        <f aca="false">ADL63</f>
        <v>0</v>
      </c>
      <c r="ADN63" s="20" t="n">
        <f aca="false">ADM63</f>
        <v>0</v>
      </c>
      <c r="ADO63" s="20" t="n">
        <f aca="false">ADN63</f>
        <v>0</v>
      </c>
      <c r="ADP63" s="20" t="n">
        <f aca="false">ADO63</f>
        <v>0</v>
      </c>
      <c r="ADQ63" s="20" t="n">
        <f aca="false">ADP63</f>
        <v>0</v>
      </c>
      <c r="ADR63" s="20" t="n">
        <f aca="false">(AKR62-TE63+0)*(1+BQ63)</f>
        <v>0</v>
      </c>
      <c r="ADS63" s="20" t="n">
        <f aca="false">(AKS62-TF63+0)*(1+BQ63)</f>
        <v>0</v>
      </c>
      <c r="ADT63" s="20" t="n">
        <f aca="false">(AKT62-TG63+0)*(1+BQ63)</f>
        <v>0</v>
      </c>
      <c r="ADU63" s="20" t="n">
        <f aca="false">(AKU62-TH63+0)*(1+BQ63)</f>
        <v>0</v>
      </c>
      <c r="ADV63" s="20" t="n">
        <f aca="false">(AKV62-TI63+0)*(1+BQ63)</f>
        <v>0</v>
      </c>
      <c r="ADW63" s="20" t="n">
        <f aca="false">(AKW62-TJ63+0)*(1+BQ63)</f>
        <v>0</v>
      </c>
      <c r="ADX63" s="20" t="n">
        <f aca="false">(AKX62-TK63+0)*(1+BQ63)</f>
        <v>0</v>
      </c>
      <c r="ADY63" s="20" t="n">
        <f aca="false">(AKY62-TL63+0)*(1+BQ63)</f>
        <v>0</v>
      </c>
      <c r="ADZ63" s="20" t="n">
        <f aca="false">(AKZ62-TM63+0)*(1+BQ63)</f>
        <v>0</v>
      </c>
      <c r="AEA63" s="20" t="n">
        <f aca="false">(ALA62-TN63+0)*(1+BQ63)</f>
        <v>0</v>
      </c>
      <c r="AEB63" s="20" t="n">
        <f aca="false">(ALB62-TO63+0)*(1+BQ63)</f>
        <v>0</v>
      </c>
      <c r="AEC63" s="20" t="n">
        <f aca="false">(ALC62-TP63+0)*(1+BQ63)</f>
        <v>0</v>
      </c>
      <c r="AED63" s="20" t="n">
        <f aca="false">(ALD62-TQ63+0)*(1+BQ63)</f>
        <v>0</v>
      </c>
      <c r="AEE63" s="20" t="n">
        <f aca="false">(ALE62-TR63+0)*(1+BQ63)</f>
        <v>0</v>
      </c>
      <c r="AEF63" s="20" t="n">
        <f aca="false">(ALF62-TS63+0)*(1+BQ63)</f>
        <v>0</v>
      </c>
      <c r="AEG63" s="20" t="n">
        <f aca="false">(ALG62-TT63+0)*(1+BQ63)</f>
        <v>0</v>
      </c>
      <c r="AEH63" s="20" t="n">
        <f aca="false">(ALH62-TU63+0)*(1+BQ63)</f>
        <v>0</v>
      </c>
      <c r="AEI63" s="20" t="n">
        <f aca="false">(ALI62-TV63+0)*(1+BQ63)</f>
        <v>0</v>
      </c>
      <c r="AEJ63" s="20" t="n">
        <f aca="false">(ALJ62-TW63+0)*(1+BQ63)</f>
        <v>0</v>
      </c>
      <c r="AEK63" s="20" t="n">
        <f aca="false">(ALK62-TX63+0)*(1+BQ63)</f>
        <v>0</v>
      </c>
      <c r="AEL63" s="20" t="n">
        <f aca="false">(ALL62-TY63+0)*(1+BQ63)</f>
        <v>0</v>
      </c>
      <c r="AEM63" s="20" t="n">
        <f aca="false">(ALM62-TZ63+0)*(1+BQ63)</f>
        <v>0</v>
      </c>
      <c r="AEN63" s="20" t="n">
        <f aca="false">(ALN62-UA63+0)*(1+BQ63)</f>
        <v>0</v>
      </c>
      <c r="AEO63" s="20" t="n">
        <f aca="false">(ALO62-UB63+0)*(1+BQ63)</f>
        <v>0</v>
      </c>
      <c r="AEP63" s="20" t="n">
        <f aca="false">(ALP62-UC63+0)*(1+BQ63)</f>
        <v>0</v>
      </c>
      <c r="AEQ63" s="20" t="n">
        <f aca="false">(ALQ62-UD63+0)*(1+BQ63)</f>
        <v>0</v>
      </c>
      <c r="AER63" s="20" t="n">
        <f aca="false">(ALR62-UE63+0)*(1+BQ63)</f>
        <v>0</v>
      </c>
      <c r="AES63" s="20" t="n">
        <f aca="false">(ALS62-UF63+0)*(1+BQ63)</f>
        <v>0</v>
      </c>
      <c r="AET63" s="20" t="n">
        <f aca="false">(ALT62-UG63+0)*(1+BQ63)</f>
        <v>0</v>
      </c>
      <c r="AEU63" s="20" t="n">
        <f aca="false">(ALU62-UH63+0)*(1+BQ63)</f>
        <v>0</v>
      </c>
      <c r="AEV63" s="20" t="n">
        <f aca="false">(ALV62-UI63+0)*(1+BQ63)</f>
        <v>0</v>
      </c>
      <c r="AEW63" s="20" t="n">
        <f aca="false">(ALW62-UJ63+0)*(1+BQ63)</f>
        <v>0</v>
      </c>
      <c r="AEX63" s="20" t="n">
        <f aca="false">(ALX62-UK63+0)*(1+BQ63)</f>
        <v>0</v>
      </c>
      <c r="AEY63" s="20" t="n">
        <f aca="false">(ALY62-UL63+0)*(1+BQ63)</f>
        <v>0</v>
      </c>
      <c r="AEZ63" s="20" t="n">
        <f aca="false">(ALZ62-UM63+0)*(1+BQ63)</f>
        <v>0</v>
      </c>
      <c r="AFA63" s="20" t="n">
        <f aca="false">(AMA62-UN63+0)*(1+BQ63)</f>
        <v>0</v>
      </c>
      <c r="AFB63" s="20" t="n">
        <f aca="false">(AMB62-UO63+0)*(1+BQ63)</f>
        <v>0</v>
      </c>
      <c r="AFC63" s="20" t="n">
        <f aca="false">(AMC62-UP63+0)*(1+BQ63)</f>
        <v>0</v>
      </c>
      <c r="AFD63" s="20" t="n">
        <f aca="false">(AMD62-UQ63+0)*(1+BQ63)</f>
        <v>0</v>
      </c>
      <c r="AFE63" s="20" t="n">
        <f aca="false">(AME62-UR63+0)*(1+BQ63)</f>
        <v>0</v>
      </c>
      <c r="AFF63" s="20" t="n">
        <f aca="false">(AMF62-US63+0)*(1+BQ63)</f>
        <v>0</v>
      </c>
      <c r="AFG63" s="20" t="n">
        <f aca="false">(AMG62-UT63+0)*(1+BQ63)</f>
        <v>0</v>
      </c>
      <c r="AFH63" s="20" t="n">
        <f aca="false">(AMH62-UU63+0)*(1+BQ63)</f>
        <v>0</v>
      </c>
      <c r="AFI63" s="20" t="n">
        <f aca="false">(AMI62-UV63+0)*(1+BQ63)</f>
        <v>0</v>
      </c>
      <c r="AFJ63" s="20" t="n">
        <f aca="false">(AMJ62-UW63+0)*(1+BQ63)</f>
        <v>0</v>
      </c>
      <c r="AFK63" s="20" t="n">
        <f aca="false">(AMK62-UX63+0)*(1+BQ63)</f>
        <v>0</v>
      </c>
      <c r="AFL63" s="20" t="n">
        <f aca="false">(AML62-UY63+0)*(1+BQ63)</f>
        <v>0</v>
      </c>
      <c r="AFM63" s="20" t="n">
        <f aca="false">(AMM62-UZ63+0)*(1+BQ63)</f>
        <v>0</v>
      </c>
      <c r="AFN63" s="20" t="n">
        <f aca="false">(AMN62-VA63+0)*(1+BQ63)</f>
        <v>0</v>
      </c>
      <c r="AFO63" s="20" t="n">
        <f aca="false">(AMO62-VB63+0)*(1+BQ63)</f>
        <v>0</v>
      </c>
      <c r="AFP63" s="20" t="n">
        <f aca="false">(AMP62-VC63+0)*(1+BQ63)</f>
        <v>0</v>
      </c>
      <c r="AFQ63" s="20" t="n">
        <f aca="false">(AMQ62-VD63+0)*(1+BQ63)</f>
        <v>0</v>
      </c>
      <c r="AFR63" s="20" t="n">
        <f aca="false">(AMR62-VE63+0)*(1+BQ63)</f>
        <v>0</v>
      </c>
      <c r="AFS63" s="20" t="n">
        <f aca="false">(AMS62-VF63+0)*(1+BQ63)</f>
        <v>0</v>
      </c>
      <c r="AFT63" s="20" t="n">
        <f aca="false">(AMT62-VG63+0)*(1+BQ63)</f>
        <v>0</v>
      </c>
      <c r="AFU63" s="20" t="n">
        <f aca="false">(AMU62-VH63+0)*(1+BQ63)</f>
        <v>0</v>
      </c>
      <c r="AFV63" s="20" t="n">
        <f aca="false">((P63+S63)-VI63+BE63)*(1+BQ63)</f>
        <v>0</v>
      </c>
      <c r="AFW63" s="20" t="n">
        <v>0</v>
      </c>
      <c r="AFX63" s="20" t="n">
        <v>0</v>
      </c>
      <c r="AFY63" s="20" t="n">
        <v>0</v>
      </c>
      <c r="AFZ63" s="20" t="n">
        <v>0</v>
      </c>
      <c r="AGA63" s="20" t="n">
        <v>0</v>
      </c>
      <c r="AGB63" s="20" t="n">
        <v>0</v>
      </c>
      <c r="AGC63" s="20" t="n">
        <v>0</v>
      </c>
      <c r="AGD63" s="20" t="n">
        <v>0</v>
      </c>
      <c r="AGE63" s="20" t="n">
        <v>0</v>
      </c>
      <c r="AGF63" s="20" t="n">
        <v>0</v>
      </c>
      <c r="AGG63" s="20" t="n">
        <v>0</v>
      </c>
      <c r="AGH63" s="20" t="n">
        <v>0</v>
      </c>
      <c r="AGI63" s="20" t="n">
        <v>0</v>
      </c>
      <c r="AGJ63" s="20" t="n">
        <v>0</v>
      </c>
      <c r="AGK63" s="20" t="n">
        <v>0</v>
      </c>
      <c r="AGL63" s="20" t="n">
        <v>0</v>
      </c>
      <c r="AGM63" s="20" t="n">
        <v>0</v>
      </c>
      <c r="AGN63" s="20" t="n">
        <v>0</v>
      </c>
      <c r="AGO63" s="20" t="n">
        <v>0</v>
      </c>
      <c r="AGP63" s="20" t="n">
        <v>0</v>
      </c>
      <c r="AGQ63" s="20" t="n">
        <v>0</v>
      </c>
      <c r="AGR63" s="20" t="n">
        <v>0</v>
      </c>
      <c r="AGS63" s="20" t="n">
        <v>0</v>
      </c>
      <c r="AGT63" s="20" t="n">
        <v>0</v>
      </c>
      <c r="AGU63" s="20" t="n">
        <v>0</v>
      </c>
      <c r="AGV63" s="20" t="n">
        <v>0</v>
      </c>
      <c r="AGW63" s="20" t="n">
        <v>0</v>
      </c>
      <c r="AGX63" s="20" t="n">
        <v>0</v>
      </c>
      <c r="AGY63" s="20" t="n">
        <v>0</v>
      </c>
      <c r="AGZ63" s="20" t="n">
        <v>0</v>
      </c>
      <c r="AHA63" s="20" t="n">
        <v>0</v>
      </c>
      <c r="AHB63" s="20" t="n">
        <v>0</v>
      </c>
      <c r="AHC63" s="20" t="n">
        <v>0</v>
      </c>
      <c r="AHD63" s="20" t="n">
        <v>0</v>
      </c>
      <c r="AHE63" s="20" t="n">
        <f aca="false">IF(AKR62&gt;0,AOE62-AOE62*TE63/AKR62,0)+0</f>
        <v>0</v>
      </c>
      <c r="AHF63" s="20" t="n">
        <f aca="false">IF(AKS62&gt;0,AOF62-AOF62*TF63/AKS62,0)+0</f>
        <v>0</v>
      </c>
      <c r="AHG63" s="20" t="n">
        <f aca="false">IF(AKT62&gt;0,AOG62-AOG62*TG63/AKT62,0)+0</f>
        <v>0</v>
      </c>
      <c r="AHH63" s="20" t="n">
        <f aca="false">IF(AKU62&gt;0,AOH62-AOH62*TH63/AKU62,0)+0</f>
        <v>0</v>
      </c>
      <c r="AHI63" s="20" t="n">
        <f aca="false">IF(AKV62&gt;0,AOI62-AOI62*TI63/AKV62,0)+0</f>
        <v>0</v>
      </c>
      <c r="AHJ63" s="20" t="n">
        <f aca="false">IF(AKW62&gt;0,AOJ62-AOJ62*TJ63/AKW62,0)+0</f>
        <v>0</v>
      </c>
      <c r="AHK63" s="20" t="n">
        <f aca="false">IF(AKX62&gt;0,AOK62-AOK62*TK63/AKX62,0)+0</f>
        <v>0</v>
      </c>
      <c r="AHL63" s="20" t="n">
        <f aca="false">IF(AKY62&gt;0,AOL62-AOL62*TL63/AKY62,0)+0</f>
        <v>0</v>
      </c>
      <c r="AHM63" s="20" t="n">
        <f aca="false">IF(AKZ62&gt;0,AOM62-AOM62*TM63/AKZ62,0)+0</f>
        <v>0</v>
      </c>
      <c r="AHN63" s="20" t="n">
        <f aca="false">IF(ALA62&gt;0,AON62-AON62*TN63/ALA62,0)+0</f>
        <v>0</v>
      </c>
      <c r="AHO63" s="20" t="n">
        <f aca="false">IF(ALB62&gt;0,AOO62-AOO62*TO63/ALB62,0)+0</f>
        <v>0</v>
      </c>
      <c r="AHP63" s="20" t="n">
        <f aca="false">IF(ALC62&gt;0,AOP62-AOP62*TP63/ALC62,0)+0</f>
        <v>0</v>
      </c>
      <c r="AHQ63" s="20" t="n">
        <f aca="false">IF(ALD62&gt;0,AOQ62-AOQ62*TQ63/ALD62,0)+0</f>
        <v>0</v>
      </c>
      <c r="AHR63" s="20" t="n">
        <f aca="false">IF(ALE62&gt;0,AOR62-AOR62*TR63/ALE62,0)+0</f>
        <v>0</v>
      </c>
      <c r="AHS63" s="20" t="n">
        <f aca="false">IF(ALF62&gt;0,AOS62-AOS62*TS63/ALF62,0)+0</f>
        <v>0</v>
      </c>
      <c r="AHT63" s="20" t="n">
        <f aca="false">IF(ALG62&gt;0,AOT62-AOT62*TT63/ALG62,0)+0</f>
        <v>0</v>
      </c>
      <c r="AHU63" s="20" t="n">
        <f aca="false">IF(ALH62&gt;0,AOU62-AOU62*TU63/ALH62,0)+0</f>
        <v>0</v>
      </c>
      <c r="AHV63" s="20" t="n">
        <f aca="false">IF(ALI62&gt;0,AOV62-AOV62*TV63/ALI62,0)+0</f>
        <v>0</v>
      </c>
      <c r="AHW63" s="20" t="n">
        <f aca="false">IF(ALJ62&gt;0,AOW62-AOW62*TW63/ALJ62,0)+0</f>
        <v>0</v>
      </c>
      <c r="AHX63" s="20" t="n">
        <f aca="false">IF(ALK62&gt;0,AOX62-AOX62*TX63/ALK62,0)+0</f>
        <v>0</v>
      </c>
      <c r="AHY63" s="20" t="n">
        <f aca="false">IF(ALL62&gt;0,AOY62-AOY62*TY63/ALL62,0)+0</f>
        <v>0</v>
      </c>
      <c r="AHZ63" s="20" t="n">
        <f aca="false">IF(ALM62&gt;0,AOZ62-AOZ62*TZ63/ALM62,0)+0</f>
        <v>0</v>
      </c>
      <c r="AIA63" s="20" t="n">
        <f aca="false">IF(ALN62&gt;0,APA62-APA62*UA63/ALN62,0)+0</f>
        <v>0</v>
      </c>
      <c r="AIB63" s="20" t="n">
        <f aca="false">IF(ALO62&gt;0,APB62-APB62*UB63/ALO62,0)+0</f>
        <v>0</v>
      </c>
      <c r="AIC63" s="20" t="n">
        <f aca="false">IF(ALP62&gt;0,APC62-APC62*UC63/ALP62,0)+0</f>
        <v>0</v>
      </c>
      <c r="AID63" s="20" t="n">
        <f aca="false">IF(ALQ62&gt;0,APD62-APD62*UD63/ALQ62,0)+0</f>
        <v>0</v>
      </c>
      <c r="AIE63" s="20" t="n">
        <f aca="false">IF(ALR62&gt;0,APE62-APE62*UE63/ALR62,0)+0</f>
        <v>0</v>
      </c>
      <c r="AIF63" s="20" t="n">
        <f aca="false">IF(ALS62&gt;0,APF62-APF62*UF63/ALS62,0)+0</f>
        <v>0</v>
      </c>
      <c r="AIG63" s="20" t="n">
        <f aca="false">IF(ALT62&gt;0,APG62-APG62*UG63/ALT62,0)+0</f>
        <v>0</v>
      </c>
      <c r="AIH63" s="20" t="n">
        <f aca="false">IF(ALU62&gt;0,APH62-APH62*UH63/ALU62,0)+0</f>
        <v>0</v>
      </c>
      <c r="AII63" s="20" t="n">
        <f aca="false">IF(ALV62&gt;0,API62-API62*UI63/ALV62,0)+0</f>
        <v>0</v>
      </c>
      <c r="AIJ63" s="20" t="n">
        <f aca="false">IF(ALW62&gt;0,APJ62-APJ62*UJ63/ALW62,0)+0</f>
        <v>0</v>
      </c>
      <c r="AIK63" s="20" t="n">
        <f aca="false">IF(ALX62&gt;0,APK62-APK62*UK63/ALX62,0)+0</f>
        <v>0</v>
      </c>
      <c r="AIL63" s="20" t="n">
        <f aca="false">IF(ALY62&gt;0,APL62-APL62*UL63/ALY62,0)+0</f>
        <v>0</v>
      </c>
      <c r="AIM63" s="20" t="n">
        <f aca="false">IF(ALZ62&gt;0,APM62-APM62*UM63/ALZ62,0)+0</f>
        <v>0</v>
      </c>
      <c r="AIN63" s="20" t="n">
        <f aca="false">IF(AMA62&gt;0,APN62-APN62*UN63/AMA62,0)+0</f>
        <v>0</v>
      </c>
      <c r="AIO63" s="20" t="n">
        <f aca="false">IF(AMB62&gt;0,APO62-APO62*UO63/AMB62,0)+0</f>
        <v>0</v>
      </c>
      <c r="AIP63" s="20" t="n">
        <f aca="false">IF(AMC62&gt;0,APP62-APP62*UP63/AMC62,0)+0</f>
        <v>0</v>
      </c>
      <c r="AIQ63" s="20" t="n">
        <f aca="false">IF(AMD62&gt;0,APQ62-APQ62*UQ63/AMD62,0)+0</f>
        <v>0</v>
      </c>
      <c r="AIR63" s="20" t="n">
        <f aca="false">IF(AME62&gt;0,APR62-APR62*UR63/AME62,0)+0</f>
        <v>0</v>
      </c>
      <c r="AIS63" s="20" t="n">
        <f aca="false">IF(AMF62&gt;0,APS62-APS62*US63/AMF62,0)+0</f>
        <v>0</v>
      </c>
      <c r="AIT63" s="20" t="n">
        <f aca="false">IF(AMG62&gt;0,APT62-APT62*UT63/AMG62,0)+0</f>
        <v>0</v>
      </c>
      <c r="AIU63" s="20" t="n">
        <f aca="false">IF(AMH62&gt;0,APU62-APU62*UU63/AMH62,0)+0</f>
        <v>0</v>
      </c>
      <c r="AIV63" s="20" t="n">
        <f aca="false">IF(AMI62&gt;0,APV62-APV62*UV63/AMI62,0)+0</f>
        <v>0</v>
      </c>
      <c r="AIW63" s="20" t="n">
        <f aca="false">IF(AMJ62&gt;0,APW62-APW62*UW63/AMJ62,0)+0</f>
        <v>0</v>
      </c>
      <c r="AIX63" s="20" t="n">
        <f aca="false">IF(AMK62&gt;0,APX62-APX62*UX63/AMK62,0)+0</f>
        <v>0</v>
      </c>
      <c r="AIY63" s="20" t="n">
        <f aca="false">IF(AML62&gt;0,APY62-APY62*UY63/AML62,0)+0</f>
        <v>0</v>
      </c>
      <c r="AIZ63" s="20" t="n">
        <f aca="false">IF(AMM62&gt;0,APZ62-APZ62*UZ63/AMM62,0)+0</f>
        <v>0</v>
      </c>
      <c r="AJA63" s="20" t="n">
        <f aca="false">IF(AMN62&gt;0,AQA62-AQA62*VA63/AMN62,0)+0</f>
        <v>0</v>
      </c>
      <c r="AJB63" s="20" t="n">
        <f aca="false">IF(AMO62&gt;0,AQB62-AQB62*VB63/AMO62,0)+0</f>
        <v>0</v>
      </c>
      <c r="AJC63" s="20" t="n">
        <f aca="false">IF(AMP62&gt;0,AQC62-AQC62*VC63/AMP62,0)+0</f>
        <v>0</v>
      </c>
      <c r="AJD63" s="20" t="n">
        <f aca="false">IF(AMQ62&gt;0,AQD62-AQD62*VD63/AMQ62,0)+0</f>
        <v>0</v>
      </c>
      <c r="AJE63" s="20" t="n">
        <f aca="false">IF(AMR62&gt;0,AQE62-AQE62*VE63/AMR62,0)+0</f>
        <v>0</v>
      </c>
      <c r="AJF63" s="20" t="n">
        <f aca="false">IF(AMS62&gt;0,AQF62-AQF62*VF63/AMS62,0)+0</f>
        <v>0</v>
      </c>
      <c r="AJG63" s="20" t="n">
        <f aca="false">IF(AMT62&gt;0,AQG62-AQG62*VG63/AMT62,0)+0</f>
        <v>0</v>
      </c>
      <c r="AJH63" s="20" t="n">
        <f aca="false">IF(AMU62&gt;0,AQH62-AQH62*VH63/AMU62,0)+0</f>
        <v>0</v>
      </c>
      <c r="AJI63" s="20" t="n">
        <f aca="false">IF((P63+S63)&gt;0,(P63+S63)-(P63+S63)*VI63/(P63+S63),0)+BE63</f>
        <v>0</v>
      </c>
      <c r="AJJ63" s="20" t="n">
        <v>0</v>
      </c>
      <c r="AJK63" s="20" t="n">
        <v>0</v>
      </c>
      <c r="AJL63" s="20" t="n">
        <v>0</v>
      </c>
      <c r="AJM63" s="20" t="n">
        <v>0</v>
      </c>
      <c r="AJN63" s="20" t="n">
        <v>0</v>
      </c>
      <c r="AJO63" s="20" t="n">
        <v>0</v>
      </c>
      <c r="AJP63" s="20" t="n">
        <v>0</v>
      </c>
      <c r="AJQ63" s="20" t="n">
        <v>0</v>
      </c>
      <c r="AJR63" s="20" t="n">
        <v>0</v>
      </c>
      <c r="AJS63" s="20" t="n">
        <v>0</v>
      </c>
      <c r="AJT63" s="20" t="n">
        <v>0</v>
      </c>
      <c r="AJU63" s="20" t="n">
        <v>0</v>
      </c>
      <c r="AJV63" s="20" t="n">
        <v>0</v>
      </c>
      <c r="AJW63" s="20" t="n">
        <v>0</v>
      </c>
      <c r="AJX63" s="20" t="n">
        <v>0</v>
      </c>
      <c r="AJY63" s="20" t="n">
        <v>0</v>
      </c>
      <c r="AJZ63" s="20" t="n">
        <v>0</v>
      </c>
      <c r="AKA63" s="20" t="n">
        <v>0</v>
      </c>
      <c r="AKB63" s="20" t="n">
        <v>0</v>
      </c>
      <c r="AKC63" s="20" t="n">
        <v>0</v>
      </c>
      <c r="AKD63" s="20" t="n">
        <v>0</v>
      </c>
      <c r="AKE63" s="20" t="n">
        <v>0</v>
      </c>
      <c r="AKF63" s="20" t="n">
        <v>0</v>
      </c>
      <c r="AKG63" s="20" t="n">
        <v>0</v>
      </c>
      <c r="AKH63" s="20" t="n">
        <v>0</v>
      </c>
      <c r="AKI63" s="20" t="n">
        <v>0</v>
      </c>
      <c r="AKJ63" s="20" t="n">
        <v>0</v>
      </c>
      <c r="AKK63" s="20" t="n">
        <v>0</v>
      </c>
      <c r="AKL63" s="20" t="n">
        <v>0</v>
      </c>
      <c r="AKM63" s="20" t="n">
        <v>0</v>
      </c>
      <c r="AKN63" s="20" t="n">
        <v>0</v>
      </c>
      <c r="AKO63" s="20" t="n">
        <v>0</v>
      </c>
      <c r="AKP63" s="20" t="n">
        <v>0</v>
      </c>
      <c r="AKQ63" s="20" t="n">
        <v>0</v>
      </c>
      <c r="AKR63" s="20" t="n">
        <f aca="false">ADR63-AVE63</f>
        <v>0</v>
      </c>
      <c r="AKS63" s="20" t="n">
        <f aca="false">ADS63-AVF63</f>
        <v>0</v>
      </c>
      <c r="AKT63" s="20" t="n">
        <f aca="false">ADT63-AVG63</f>
        <v>0</v>
      </c>
      <c r="AKU63" s="20" t="n">
        <f aca="false">ADU63-AVH63</f>
        <v>0</v>
      </c>
      <c r="AKV63" s="20" t="n">
        <f aca="false">ADV63-AVI63</f>
        <v>0</v>
      </c>
      <c r="AKW63" s="20" t="n">
        <f aca="false">ADW63-AVJ63</f>
        <v>0</v>
      </c>
      <c r="AKX63" s="20" t="n">
        <f aca="false">ADX63-AVK63</f>
        <v>0</v>
      </c>
      <c r="AKY63" s="20" t="n">
        <f aca="false">ADY63-AVL63</f>
        <v>0</v>
      </c>
      <c r="AKZ63" s="20" t="n">
        <f aca="false">ADZ63-AVM63</f>
        <v>0</v>
      </c>
      <c r="ALA63" s="20" t="n">
        <f aca="false">AEA63-AVN63</f>
        <v>0</v>
      </c>
      <c r="ALB63" s="20" t="n">
        <f aca="false">AEB63-AVO63</f>
        <v>0</v>
      </c>
      <c r="ALC63" s="20" t="n">
        <f aca="false">AEC63-AVP63</f>
        <v>0</v>
      </c>
      <c r="ALD63" s="20" t="n">
        <f aca="false">AED63-AVQ63</f>
        <v>0</v>
      </c>
      <c r="ALE63" s="20" t="n">
        <f aca="false">AEE63-AVR63</f>
        <v>0</v>
      </c>
      <c r="ALF63" s="20" t="n">
        <f aca="false">AEF63-AVS63</f>
        <v>0</v>
      </c>
      <c r="ALG63" s="20" t="n">
        <f aca="false">AEG63-AVT63</f>
        <v>0</v>
      </c>
      <c r="ALH63" s="20" t="n">
        <f aca="false">AEH63-AVU63</f>
        <v>0</v>
      </c>
      <c r="ALI63" s="20" t="n">
        <f aca="false">AEI63-AVV63</f>
        <v>0</v>
      </c>
      <c r="ALJ63" s="20" t="n">
        <f aca="false">AEJ63-AVW63</f>
        <v>0</v>
      </c>
      <c r="ALK63" s="20" t="n">
        <f aca="false">AEK63-AVX63</f>
        <v>0</v>
      </c>
      <c r="ALL63" s="20" t="n">
        <f aca="false">AEL63-AVY63</f>
        <v>0</v>
      </c>
      <c r="ALM63" s="20" t="n">
        <f aca="false">AEM63-AVZ63</f>
        <v>0</v>
      </c>
      <c r="ALN63" s="20" t="n">
        <f aca="false">AEN63-AWA63</f>
        <v>0</v>
      </c>
      <c r="ALO63" s="20" t="n">
        <f aca="false">AEO63-AWB63</f>
        <v>0</v>
      </c>
      <c r="ALP63" s="20" t="n">
        <f aca="false">AEP63-AWC63</f>
        <v>0</v>
      </c>
      <c r="ALQ63" s="20" t="n">
        <f aca="false">AEQ63-AWD63</f>
        <v>0</v>
      </c>
      <c r="ALR63" s="20" t="n">
        <f aca="false">AER63-AWE63</f>
        <v>0</v>
      </c>
      <c r="ALS63" s="20" t="n">
        <f aca="false">AES63-AWF63</f>
        <v>0</v>
      </c>
      <c r="ALT63" s="20" t="n">
        <f aca="false">AET63-AWG63</f>
        <v>0</v>
      </c>
      <c r="ALU63" s="20" t="n">
        <f aca="false">AEU63-AWH63</f>
        <v>0</v>
      </c>
      <c r="ALV63" s="20" t="n">
        <f aca="false">AEV63-AWI63</f>
        <v>0</v>
      </c>
      <c r="ALW63" s="20" t="n">
        <f aca="false">AEW63-AWJ63</f>
        <v>0</v>
      </c>
      <c r="ALX63" s="20" t="n">
        <f aca="false">AEX63-AWK63</f>
        <v>0</v>
      </c>
      <c r="ALY63" s="20" t="n">
        <f aca="false">AEY63-AWL63</f>
        <v>0</v>
      </c>
      <c r="ALZ63" s="20" t="n">
        <f aca="false">AEZ63-AWM63</f>
        <v>0</v>
      </c>
      <c r="AMA63" s="20" t="n">
        <f aca="false">AFA63-AWN63</f>
        <v>0</v>
      </c>
      <c r="AMB63" s="20" t="n">
        <f aca="false">AFB63-AWO63</f>
        <v>0</v>
      </c>
      <c r="AMC63" s="20" t="n">
        <f aca="false">AFC63-AWP63</f>
        <v>0</v>
      </c>
      <c r="AMD63" s="20" t="n">
        <f aca="false">AFD63-AWQ63</f>
        <v>0</v>
      </c>
      <c r="AME63" s="20" t="n">
        <f aca="false">AFE63-AWR63</f>
        <v>0</v>
      </c>
      <c r="AMF63" s="20" t="n">
        <f aca="false">AFF63-AWS63</f>
        <v>0</v>
      </c>
      <c r="AMG63" s="20" t="n">
        <f aca="false">AFG63-AWT63</f>
        <v>0</v>
      </c>
      <c r="AMH63" s="20" t="n">
        <f aca="false">AFH63-AWU63</f>
        <v>0</v>
      </c>
      <c r="AMI63" s="20" t="n">
        <f aca="false">AFI63-AWV63</f>
        <v>0</v>
      </c>
      <c r="AMJ63" s="20" t="n">
        <f aca="false">AFJ63-AWW63</f>
        <v>0</v>
      </c>
      <c r="AMK63" s="20" t="n">
        <f aca="false">AFK63-AWX63</f>
        <v>0</v>
      </c>
      <c r="AML63" s="20" t="n">
        <f aca="false">AFL63-AWY63</f>
        <v>0</v>
      </c>
      <c r="AMM63" s="20" t="n">
        <f aca="false">AFM63-AWZ63</f>
        <v>0</v>
      </c>
      <c r="AMN63" s="20" t="n">
        <f aca="false">AFN63-AXA63</f>
        <v>0</v>
      </c>
      <c r="AMO63" s="20" t="n">
        <f aca="false">AFO63-AXB63</f>
        <v>0</v>
      </c>
      <c r="AMP63" s="20" t="n">
        <f aca="false">AFP63-AXC63</f>
        <v>0</v>
      </c>
      <c r="AMQ63" s="20" t="n">
        <f aca="false">AFQ63-AXD63</f>
        <v>0</v>
      </c>
      <c r="AMR63" s="20" t="n">
        <f aca="false">AFR63-AXE63</f>
        <v>0</v>
      </c>
      <c r="AMS63" s="20" t="n">
        <f aca="false">AFS63-AXF63</f>
        <v>0</v>
      </c>
      <c r="AMT63" s="20" t="n">
        <f aca="false">AFT63-AXG63</f>
        <v>0</v>
      </c>
      <c r="AMU63" s="20" t="n">
        <f aca="false">AFU63-AXH63</f>
        <v>0</v>
      </c>
      <c r="AMV63" s="20" t="n">
        <f aca="false">AFV63-AXI63</f>
        <v>0</v>
      </c>
      <c r="AMW63" s="20" t="n">
        <v>0</v>
      </c>
      <c r="AMX63" s="20" t="n">
        <v>0</v>
      </c>
      <c r="AMY63" s="20" t="n">
        <v>0</v>
      </c>
      <c r="AMZ63" s="20" t="n">
        <v>0</v>
      </c>
      <c r="ANA63" s="20" t="n">
        <v>0</v>
      </c>
      <c r="ANB63" s="20" t="n">
        <v>0</v>
      </c>
      <c r="ANC63" s="20" t="n">
        <v>0</v>
      </c>
      <c r="AND63" s="20" t="n">
        <v>0</v>
      </c>
      <c r="ANE63" s="20" t="n">
        <v>0</v>
      </c>
      <c r="ANF63" s="20" t="n">
        <v>0</v>
      </c>
      <c r="ANG63" s="20" t="n">
        <v>0</v>
      </c>
      <c r="ANH63" s="20" t="n">
        <v>0</v>
      </c>
      <c r="ANI63" s="20" t="n">
        <v>0</v>
      </c>
      <c r="ANJ63" s="20" t="n">
        <v>0</v>
      </c>
      <c r="ANK63" s="20" t="n">
        <v>0</v>
      </c>
      <c r="ANL63" s="20" t="n">
        <v>0</v>
      </c>
      <c r="ANM63" s="20" t="n">
        <v>0</v>
      </c>
      <c r="ANN63" s="20" t="n">
        <v>0</v>
      </c>
      <c r="ANO63" s="20" t="n">
        <v>0</v>
      </c>
      <c r="ANP63" s="20" t="n">
        <v>0</v>
      </c>
      <c r="ANQ63" s="20" t="n">
        <v>0</v>
      </c>
      <c r="ANR63" s="20" t="n">
        <v>0</v>
      </c>
      <c r="ANS63" s="20" t="n">
        <v>0</v>
      </c>
      <c r="ANT63" s="20" t="n">
        <v>0</v>
      </c>
      <c r="ANU63" s="20" t="n">
        <v>0</v>
      </c>
      <c r="ANV63" s="20" t="n">
        <v>0</v>
      </c>
      <c r="ANW63" s="20" t="n">
        <v>0</v>
      </c>
      <c r="ANX63" s="20" t="n">
        <v>0</v>
      </c>
      <c r="ANY63" s="20" t="n">
        <v>0</v>
      </c>
      <c r="ANZ63" s="20" t="n">
        <v>0</v>
      </c>
      <c r="AOA63" s="20" t="n">
        <v>0</v>
      </c>
      <c r="AOB63" s="20" t="n">
        <v>0</v>
      </c>
      <c r="AOC63" s="20" t="n">
        <v>0</v>
      </c>
      <c r="AOD63" s="20" t="n">
        <v>0</v>
      </c>
      <c r="AOE63" s="20" t="n">
        <f aca="false">IF(AND(H_Direct=0,H_TaxEvt=1,ARR62+1&gt;=H_Deemed),AKR63,AHE63)</f>
        <v>0</v>
      </c>
      <c r="AOF63" s="20" t="n">
        <f aca="false">IF(AND(H_Direct=0,H_TaxEvt=1,ARS62+1&gt;=H_Deemed),AKS63,AHF63)</f>
        <v>0</v>
      </c>
      <c r="AOG63" s="20" t="n">
        <f aca="false">IF(AND(H_Direct=0,H_TaxEvt=1,ART62+1&gt;=H_Deemed),AKT63,AHG63)</f>
        <v>0</v>
      </c>
      <c r="AOH63" s="20" t="n">
        <f aca="false">IF(AND(H_Direct=0,H_TaxEvt=1,ARU62+1&gt;=H_Deemed),AKU63,AHH63)</f>
        <v>0</v>
      </c>
      <c r="AOI63" s="20" t="n">
        <f aca="false">IF(AND(H_Direct=0,H_TaxEvt=1,ARV62+1&gt;=H_Deemed),AKV63,AHI63)</f>
        <v>0</v>
      </c>
      <c r="AOJ63" s="20" t="n">
        <f aca="false">IF(AND(H_Direct=0,H_TaxEvt=1,ARW62+1&gt;=H_Deemed),AKW63,AHJ63)</f>
        <v>0</v>
      </c>
      <c r="AOK63" s="20" t="n">
        <f aca="false">IF(AND(H_Direct=0,H_TaxEvt=1,ARX62+1&gt;=H_Deemed),AKX63,AHK63)</f>
        <v>0</v>
      </c>
      <c r="AOL63" s="20" t="n">
        <f aca="false">IF(AND(H_Direct=0,H_TaxEvt=1,ARY62+1&gt;=H_Deemed),AKY63,AHL63)</f>
        <v>0</v>
      </c>
      <c r="AOM63" s="20" t="n">
        <f aca="false">IF(AND(H_Direct=0,H_TaxEvt=1,ARZ62+1&gt;=H_Deemed),AKZ63,AHM63)</f>
        <v>0</v>
      </c>
      <c r="AON63" s="20" t="n">
        <f aca="false">IF(AND(H_Direct=0,H_TaxEvt=1,ASA62+1&gt;=H_Deemed),ALA63,AHN63)</f>
        <v>0</v>
      </c>
      <c r="AOO63" s="20" t="n">
        <f aca="false">IF(AND(H_Direct=0,H_TaxEvt=1,ASB62+1&gt;=H_Deemed),ALB63,AHO63)</f>
        <v>0</v>
      </c>
      <c r="AOP63" s="20" t="n">
        <f aca="false">IF(AND(H_Direct=0,H_TaxEvt=1,ASC62+1&gt;=H_Deemed),ALC63,AHP63)</f>
        <v>0</v>
      </c>
      <c r="AOQ63" s="20" t="n">
        <f aca="false">IF(AND(H_Direct=0,H_TaxEvt=1,ASD62+1&gt;=H_Deemed),ALD63,AHQ63)</f>
        <v>0</v>
      </c>
      <c r="AOR63" s="20" t="n">
        <f aca="false">IF(AND(H_Direct=0,H_TaxEvt=1,ASE62+1&gt;=H_Deemed),ALE63,AHR63)</f>
        <v>0</v>
      </c>
      <c r="AOS63" s="20" t="n">
        <f aca="false">IF(AND(H_Direct=0,H_TaxEvt=1,ASF62+1&gt;=H_Deemed),ALF63,AHS63)</f>
        <v>0</v>
      </c>
      <c r="AOT63" s="20" t="n">
        <f aca="false">IF(AND(H_Direct=0,H_TaxEvt=1,ASG62+1&gt;=H_Deemed),ALG63,AHT63)</f>
        <v>0</v>
      </c>
      <c r="AOU63" s="20" t="n">
        <f aca="false">IF(AND(H_Direct=0,H_TaxEvt=1,ASH62+1&gt;=H_Deemed),ALH63,AHU63)</f>
        <v>0</v>
      </c>
      <c r="AOV63" s="20" t="n">
        <f aca="false">IF(AND(H_Direct=0,H_TaxEvt=1,ASI62+1&gt;=H_Deemed),ALI63,AHV63)</f>
        <v>0</v>
      </c>
      <c r="AOW63" s="20" t="n">
        <f aca="false">IF(AND(H_Direct=0,H_TaxEvt=1,ASJ62+1&gt;=H_Deemed),ALJ63,AHW63)</f>
        <v>0</v>
      </c>
      <c r="AOX63" s="20" t="n">
        <f aca="false">IF(AND(H_Direct=0,H_TaxEvt=1,ASK62+1&gt;=H_Deemed),ALK63,AHX63)</f>
        <v>0</v>
      </c>
      <c r="AOY63" s="20" t="n">
        <f aca="false">IF(AND(H_Direct=0,H_TaxEvt=1,ASL62+1&gt;=H_Deemed),ALL63,AHY63)</f>
        <v>0</v>
      </c>
      <c r="AOZ63" s="20" t="n">
        <f aca="false">IF(AND(H_Direct=0,H_TaxEvt=1,ASM62+1&gt;=H_Deemed),ALM63,AHZ63)</f>
        <v>0</v>
      </c>
      <c r="APA63" s="20" t="n">
        <f aca="false">IF(AND(H_Direct=0,H_TaxEvt=1,ASN62+1&gt;=H_Deemed),ALN63,AIA63)</f>
        <v>0</v>
      </c>
      <c r="APB63" s="20" t="n">
        <f aca="false">IF(AND(H_Direct=0,H_TaxEvt=1,ASO62+1&gt;=H_Deemed),ALO63,AIB63)</f>
        <v>0</v>
      </c>
      <c r="APC63" s="20" t="n">
        <f aca="false">IF(AND(H_Direct=0,H_TaxEvt=1,ASP62+1&gt;=H_Deemed),ALP63,AIC63)</f>
        <v>0</v>
      </c>
      <c r="APD63" s="20" t="n">
        <f aca="false">IF(AND(H_Direct=0,H_TaxEvt=1,ASQ62+1&gt;=H_Deemed),ALQ63,AID63)</f>
        <v>0</v>
      </c>
      <c r="APE63" s="20" t="n">
        <f aca="false">IF(AND(H_Direct=0,H_TaxEvt=1,ASR62+1&gt;=H_Deemed),ALR63,AIE63)</f>
        <v>0</v>
      </c>
      <c r="APF63" s="20" t="n">
        <f aca="false">IF(AND(H_Direct=0,H_TaxEvt=1,ASS62+1&gt;=H_Deemed),ALS63,AIF63)</f>
        <v>0</v>
      </c>
      <c r="APG63" s="20" t="n">
        <f aca="false">IF(AND(H_Direct=0,H_TaxEvt=1,AST62+1&gt;=H_Deemed),ALT63,AIG63)</f>
        <v>0</v>
      </c>
      <c r="APH63" s="20" t="n">
        <f aca="false">IF(AND(H_Direct=0,H_TaxEvt=1,ASU62+1&gt;=H_Deemed),ALU63,AIH63)</f>
        <v>0</v>
      </c>
      <c r="API63" s="20" t="n">
        <f aca="false">IF(AND(H_Direct=0,H_TaxEvt=1,ASV62+1&gt;=H_Deemed),ALV63,AII63)</f>
        <v>0</v>
      </c>
      <c r="APJ63" s="20" t="n">
        <f aca="false">IF(AND(H_Direct=0,H_TaxEvt=1,ASW62+1&gt;=H_Deemed),ALW63,AIJ63)</f>
        <v>0</v>
      </c>
      <c r="APK63" s="20" t="n">
        <f aca="false">IF(AND(H_Direct=0,H_TaxEvt=1,ASX62+1&gt;=H_Deemed),ALX63,AIK63)</f>
        <v>0</v>
      </c>
      <c r="APL63" s="20" t="n">
        <f aca="false">IF(AND(H_Direct=0,H_TaxEvt=1,ASY62+1&gt;=H_Deemed),ALY63,AIL63)</f>
        <v>0</v>
      </c>
      <c r="APM63" s="20" t="n">
        <f aca="false">IF(AND(H_Direct=0,H_TaxEvt=1,ASZ62+1&gt;=H_Deemed),ALZ63,AIM63)</f>
        <v>0</v>
      </c>
      <c r="APN63" s="20" t="n">
        <f aca="false">IF(AND(H_Direct=0,H_TaxEvt=1,ATA62+1&gt;=H_Deemed),AMA63,AIN63)</f>
        <v>0</v>
      </c>
      <c r="APO63" s="20" t="n">
        <f aca="false">IF(AND(H_Direct=0,H_TaxEvt=1,ATB62+1&gt;=H_Deemed),AMB63,AIO63)</f>
        <v>0</v>
      </c>
      <c r="APP63" s="20" t="n">
        <f aca="false">IF(AND(H_Direct=0,H_TaxEvt=1,ATC62+1&gt;=H_Deemed),AMC63,AIP63)</f>
        <v>0</v>
      </c>
      <c r="APQ63" s="20" t="n">
        <f aca="false">IF(AND(H_Direct=0,H_TaxEvt=1,ATD62+1&gt;=H_Deemed),AMD63,AIQ63)</f>
        <v>0</v>
      </c>
      <c r="APR63" s="20" t="n">
        <f aca="false">IF(AND(H_Direct=0,H_TaxEvt=1,ATE62+1&gt;=H_Deemed),AME63,AIR63)</f>
        <v>0</v>
      </c>
      <c r="APS63" s="20" t="n">
        <f aca="false">IF(AND(H_Direct=0,H_TaxEvt=1,ATF62+1&gt;=H_Deemed),AMF63,AIS63)</f>
        <v>0</v>
      </c>
      <c r="APT63" s="20" t="n">
        <f aca="false">IF(AND(H_Direct=0,H_TaxEvt=1,ATG62+1&gt;=H_Deemed),AMG63,AIT63)</f>
        <v>0</v>
      </c>
      <c r="APU63" s="20" t="n">
        <f aca="false">IF(AND(H_Direct=0,H_TaxEvt=1,ATH62+1&gt;=H_Deemed),AMH63,AIU63)</f>
        <v>0</v>
      </c>
      <c r="APV63" s="20" t="n">
        <f aca="false">IF(AND(H_Direct=0,H_TaxEvt=1,ATI62+1&gt;=H_Deemed),AMI63,AIV63)</f>
        <v>0</v>
      </c>
      <c r="APW63" s="20" t="n">
        <f aca="false">IF(AND(H_Direct=0,H_TaxEvt=1,ATJ62+1&gt;=H_Deemed),AMJ63,AIW63)</f>
        <v>0</v>
      </c>
      <c r="APX63" s="20" t="n">
        <f aca="false">IF(AND(H_Direct=0,H_TaxEvt=1,ATK62+1&gt;=H_Deemed),AMK63,AIX63)</f>
        <v>0</v>
      </c>
      <c r="APY63" s="20" t="n">
        <f aca="false">IF(AND(H_Direct=0,H_TaxEvt=1,ATL62+1&gt;=H_Deemed),AML63,AIY63)</f>
        <v>0</v>
      </c>
      <c r="APZ63" s="20" t="n">
        <f aca="false">IF(AND(H_Direct=0,H_TaxEvt=1,ATM62+1&gt;=H_Deemed),AMM63,AIZ63)</f>
        <v>0</v>
      </c>
      <c r="AQA63" s="20" t="n">
        <f aca="false">IF(AND(H_Direct=0,H_TaxEvt=1,ATN62+1&gt;=H_Deemed),AMN63,AJA63)</f>
        <v>0</v>
      </c>
      <c r="AQB63" s="20" t="n">
        <f aca="false">IF(AND(H_Direct=0,H_TaxEvt=1,ATO62+1&gt;=H_Deemed),AMO63,AJB63)</f>
        <v>0</v>
      </c>
      <c r="AQC63" s="20" t="n">
        <f aca="false">IF(AND(H_Direct=0,H_TaxEvt=1,ATP62+1&gt;=H_Deemed),AMP63,AJC63)</f>
        <v>0</v>
      </c>
      <c r="AQD63" s="20" t="n">
        <f aca="false">IF(AND(H_Direct=0,H_TaxEvt=1,ATQ62+1&gt;=H_Deemed),AMQ63,AJD63)</f>
        <v>0</v>
      </c>
      <c r="AQE63" s="20" t="n">
        <f aca="false">IF(AND(H_Direct=0,H_TaxEvt=1,ATR62+1&gt;=H_Deemed),AMR63,AJE63)</f>
        <v>0</v>
      </c>
      <c r="AQF63" s="20" t="n">
        <f aca="false">IF(AND(H_Direct=0,H_TaxEvt=1,ATS62+1&gt;=H_Deemed),AMS63,AJF63)</f>
        <v>0</v>
      </c>
      <c r="AQG63" s="20" t="n">
        <f aca="false">IF(AND(H_Direct=0,H_TaxEvt=1,ATT62+1&gt;=H_Deemed),AMT63,AJG63)</f>
        <v>0</v>
      </c>
      <c r="AQH63" s="20" t="n">
        <f aca="false">IF(AND(H_Direct=0,H_TaxEvt=1,ATU62+1&gt;=H_Deemed),AMU63,AJH63)</f>
        <v>0</v>
      </c>
      <c r="AQI63" s="20" t="n">
        <f aca="false">IF(AND(H_Direct=0,H_TaxEvt=1,0+1&gt;=H_Deemed),AMV63,AJI63)</f>
        <v>0</v>
      </c>
      <c r="AQJ63" s="20" t="n">
        <v>0</v>
      </c>
      <c r="AQK63" s="20" t="n">
        <v>0</v>
      </c>
      <c r="AQL63" s="20" t="n">
        <v>0</v>
      </c>
      <c r="AQM63" s="20" t="n">
        <v>0</v>
      </c>
      <c r="AQN63" s="20" t="n">
        <v>0</v>
      </c>
      <c r="AQO63" s="20" t="n">
        <v>0</v>
      </c>
      <c r="AQP63" s="20" t="n">
        <v>0</v>
      </c>
      <c r="AQQ63" s="20" t="n">
        <v>0</v>
      </c>
      <c r="AQR63" s="20" t="n">
        <v>0</v>
      </c>
      <c r="AQS63" s="20" t="n">
        <v>0</v>
      </c>
      <c r="AQT63" s="20" t="n">
        <v>0</v>
      </c>
      <c r="AQU63" s="20" t="n">
        <v>0</v>
      </c>
      <c r="AQV63" s="20" t="n">
        <v>0</v>
      </c>
      <c r="AQW63" s="20" t="n">
        <v>0</v>
      </c>
      <c r="AQX63" s="20" t="n">
        <v>0</v>
      </c>
      <c r="AQY63" s="20" t="n">
        <v>0</v>
      </c>
      <c r="AQZ63" s="20" t="n">
        <v>0</v>
      </c>
      <c r="ARA63" s="20" t="n">
        <v>0</v>
      </c>
      <c r="ARB63" s="20" t="n">
        <v>0</v>
      </c>
      <c r="ARC63" s="20" t="n">
        <v>0</v>
      </c>
      <c r="ARD63" s="20" t="n">
        <v>0</v>
      </c>
      <c r="ARE63" s="20" t="n">
        <v>0</v>
      </c>
      <c r="ARF63" s="20" t="n">
        <v>0</v>
      </c>
      <c r="ARG63" s="20" t="n">
        <v>0</v>
      </c>
      <c r="ARH63" s="20" t="n">
        <v>0</v>
      </c>
      <c r="ARI63" s="20" t="n">
        <v>0</v>
      </c>
      <c r="ARJ63" s="20" t="n">
        <v>0</v>
      </c>
      <c r="ARK63" s="20" t="n">
        <v>0</v>
      </c>
      <c r="ARL63" s="20" t="n">
        <v>0</v>
      </c>
      <c r="ARM63" s="20" t="n">
        <v>0</v>
      </c>
      <c r="ARN63" s="20" t="n">
        <v>0</v>
      </c>
      <c r="ARO63" s="20" t="n">
        <v>0</v>
      </c>
      <c r="ARP63" s="20" t="n">
        <v>0</v>
      </c>
      <c r="ARQ63" s="20" t="n">
        <v>0</v>
      </c>
      <c r="ARR63" s="20" t="n">
        <f aca="false">IF(AND(H_Direct=0,H_TaxEvt=1),IF(ARR62+1&gt;=H_Deemed,0,ARR62+1),ARR62)</f>
        <v>0</v>
      </c>
      <c r="ARS63" s="20" t="n">
        <f aca="false">IF(AND(H_Direct=0,H_TaxEvt=1),IF(ARS62+1&gt;=H_Deemed,0,ARS62+1),ARS62)</f>
        <v>0</v>
      </c>
      <c r="ART63" s="20" t="n">
        <f aca="false">IF(AND(H_Direct=0,H_TaxEvt=1),IF(ART62+1&gt;=H_Deemed,0,ART62+1),ART62)</f>
        <v>7</v>
      </c>
      <c r="ARU63" s="20" t="n">
        <f aca="false">IF(AND(H_Direct=0,H_TaxEvt=1),IF(ARU62+1&gt;=H_Deemed,0,ARU62+1),ARU62)</f>
        <v>6</v>
      </c>
      <c r="ARV63" s="20" t="n">
        <f aca="false">IF(AND(H_Direct=0,H_TaxEvt=1),IF(ARV62+1&gt;=H_Deemed,0,ARV62+1),ARV62)</f>
        <v>5</v>
      </c>
      <c r="ARW63" s="20" t="n">
        <f aca="false">IF(AND(H_Direct=0,H_TaxEvt=1),IF(ARW62+1&gt;=H_Deemed,0,ARW62+1),ARW62)</f>
        <v>4</v>
      </c>
      <c r="ARX63" s="20" t="n">
        <f aca="false">IF(AND(H_Direct=0,H_TaxEvt=1),IF(ARX62+1&gt;=H_Deemed,0,ARX62+1),ARX62)</f>
        <v>3</v>
      </c>
      <c r="ARY63" s="20" t="n">
        <f aca="false">IF(AND(H_Direct=0,H_TaxEvt=1),IF(ARY62+1&gt;=H_Deemed,0,ARY62+1),ARY62)</f>
        <v>2</v>
      </c>
      <c r="ARZ63" s="20" t="n">
        <f aca="false">IF(AND(H_Direct=0,H_TaxEvt=1),IF(ARZ62+1&gt;=H_Deemed,0,ARZ62+1),ARZ62)</f>
        <v>1</v>
      </c>
      <c r="ASA63" s="20" t="n">
        <f aca="false">IF(AND(H_Direct=0,H_TaxEvt=1),IF(ASA62+1&gt;=H_Deemed,0,ASA62+1),ASA62)</f>
        <v>0</v>
      </c>
      <c r="ASB63" s="20" t="n">
        <f aca="false">IF(AND(H_Direct=0,H_TaxEvt=1),IF(ASB62+1&gt;=H_Deemed,0,ASB62+1),ASB62)</f>
        <v>7</v>
      </c>
      <c r="ASC63" s="20" t="n">
        <f aca="false">IF(AND(H_Direct=0,H_TaxEvt=1),IF(ASC62+1&gt;=H_Deemed,0,ASC62+1),ASC62)</f>
        <v>6</v>
      </c>
      <c r="ASD63" s="20" t="n">
        <f aca="false">IF(AND(H_Direct=0,H_TaxEvt=1),IF(ASD62+1&gt;=H_Deemed,0,ASD62+1),ASD62)</f>
        <v>5</v>
      </c>
      <c r="ASE63" s="20" t="n">
        <f aca="false">IF(AND(H_Direct=0,H_TaxEvt=1),IF(ASE62+1&gt;=H_Deemed,0,ASE62+1),ASE62)</f>
        <v>4</v>
      </c>
      <c r="ASF63" s="20" t="n">
        <f aca="false">IF(AND(H_Direct=0,H_TaxEvt=1),IF(ASF62+1&gt;=H_Deemed,0,ASF62+1),ASF62)</f>
        <v>3</v>
      </c>
      <c r="ASG63" s="20" t="n">
        <f aca="false">IF(AND(H_Direct=0,H_TaxEvt=1),IF(ASG62+1&gt;=H_Deemed,0,ASG62+1),ASG62)</f>
        <v>2</v>
      </c>
      <c r="ASH63" s="20" t="n">
        <f aca="false">IF(AND(H_Direct=0,H_TaxEvt=1),IF(ASH62+1&gt;=H_Deemed,0,ASH62+1),ASH62)</f>
        <v>1</v>
      </c>
      <c r="ASI63" s="20" t="n">
        <f aca="false">IF(AND(H_Direct=0,H_TaxEvt=1),IF(ASI62+1&gt;=H_Deemed,0,ASI62+1),ASI62)</f>
        <v>0</v>
      </c>
      <c r="ASJ63" s="20" t="n">
        <f aca="false">IF(AND(H_Direct=0,H_TaxEvt=1),IF(ASJ62+1&gt;=H_Deemed,0,ASJ62+1),ASJ62)</f>
        <v>7</v>
      </c>
      <c r="ASK63" s="20" t="n">
        <f aca="false">IF(AND(H_Direct=0,H_TaxEvt=1),IF(ASK62+1&gt;=H_Deemed,0,ASK62+1),ASK62)</f>
        <v>6</v>
      </c>
      <c r="ASL63" s="20" t="n">
        <f aca="false">IF(AND(H_Direct=0,H_TaxEvt=1),IF(ASL62+1&gt;=H_Deemed,0,ASL62+1),ASL62)</f>
        <v>5</v>
      </c>
      <c r="ASM63" s="20" t="n">
        <f aca="false">IF(AND(H_Direct=0,H_TaxEvt=1),IF(ASM62+1&gt;=H_Deemed,0,ASM62+1),ASM62)</f>
        <v>4</v>
      </c>
      <c r="ASN63" s="20" t="n">
        <f aca="false">IF(AND(H_Direct=0,H_TaxEvt=1),IF(ASN62+1&gt;=H_Deemed,0,ASN62+1),ASN62)</f>
        <v>3</v>
      </c>
      <c r="ASO63" s="20" t="n">
        <f aca="false">IF(AND(H_Direct=0,H_TaxEvt=1),IF(ASO62+1&gt;=H_Deemed,0,ASO62+1),ASO62)</f>
        <v>2</v>
      </c>
      <c r="ASP63" s="20" t="n">
        <f aca="false">IF(AND(H_Direct=0,H_TaxEvt=1),IF(ASP62+1&gt;=H_Deemed,0,ASP62+1),ASP62)</f>
        <v>1</v>
      </c>
      <c r="ASQ63" s="20" t="n">
        <f aca="false">IF(AND(H_Direct=0,H_TaxEvt=1),IF(ASQ62+1&gt;=H_Deemed,0,ASQ62+1),ASQ62)</f>
        <v>0</v>
      </c>
      <c r="ASR63" s="20" t="n">
        <f aca="false">IF(AND(H_Direct=0,H_TaxEvt=1),IF(ASR62+1&gt;=H_Deemed,0,ASR62+1),ASR62)</f>
        <v>7</v>
      </c>
      <c r="ASS63" s="20" t="n">
        <f aca="false">IF(AND(H_Direct=0,H_TaxEvt=1),IF(ASS62+1&gt;=H_Deemed,0,ASS62+1),ASS62)</f>
        <v>6</v>
      </c>
      <c r="AST63" s="20" t="n">
        <f aca="false">IF(AND(H_Direct=0,H_TaxEvt=1),IF(AST62+1&gt;=H_Deemed,0,AST62+1),AST62)</f>
        <v>5</v>
      </c>
      <c r="ASU63" s="20" t="n">
        <f aca="false">IF(AND(H_Direct=0,H_TaxEvt=1),IF(ASU62+1&gt;=H_Deemed,0,ASU62+1),ASU62)</f>
        <v>4</v>
      </c>
      <c r="ASV63" s="20" t="n">
        <f aca="false">IF(AND(H_Direct=0,H_TaxEvt=1),IF(ASV62+1&gt;=H_Deemed,0,ASV62+1),ASV62)</f>
        <v>3</v>
      </c>
      <c r="ASW63" s="20" t="n">
        <f aca="false">IF(AND(H_Direct=0,H_TaxEvt=1),IF(ASW62+1&gt;=H_Deemed,0,ASW62+1),ASW62)</f>
        <v>2</v>
      </c>
      <c r="ASX63" s="20" t="n">
        <f aca="false">IF(AND(H_Direct=0,H_TaxEvt=1),IF(ASX62+1&gt;=H_Deemed,0,ASX62+1),ASX62)</f>
        <v>1</v>
      </c>
      <c r="ASY63" s="20" t="n">
        <f aca="false">IF(AND(H_Direct=0,H_TaxEvt=1),IF(ASY62+1&gt;=H_Deemed,0,ASY62+1),ASY62)</f>
        <v>0</v>
      </c>
      <c r="ASZ63" s="20" t="n">
        <f aca="false">IF(AND(H_Direct=0,H_TaxEvt=1),IF(ASZ62+1&gt;=H_Deemed,0,ASZ62+1),ASZ62)</f>
        <v>7</v>
      </c>
      <c r="ATA63" s="20" t="n">
        <f aca="false">IF(AND(H_Direct=0,H_TaxEvt=1),IF(ATA62+1&gt;=H_Deemed,0,ATA62+1),ATA62)</f>
        <v>6</v>
      </c>
      <c r="ATB63" s="20" t="n">
        <f aca="false">IF(AND(H_Direct=0,H_TaxEvt=1),IF(ATB62+1&gt;=H_Deemed,0,ATB62+1),ATB62)</f>
        <v>5</v>
      </c>
      <c r="ATC63" s="20" t="n">
        <f aca="false">IF(AND(H_Direct=0,H_TaxEvt=1),IF(ATC62+1&gt;=H_Deemed,0,ATC62+1),ATC62)</f>
        <v>4</v>
      </c>
      <c r="ATD63" s="20" t="n">
        <f aca="false">IF(AND(H_Direct=0,H_TaxEvt=1),IF(ATD62+1&gt;=H_Deemed,0,ATD62+1),ATD62)</f>
        <v>3</v>
      </c>
      <c r="ATE63" s="20" t="n">
        <f aca="false">IF(AND(H_Direct=0,H_TaxEvt=1),IF(ATE62+1&gt;=H_Deemed,0,ATE62+1),ATE62)</f>
        <v>2</v>
      </c>
      <c r="ATF63" s="20" t="n">
        <f aca="false">IF(AND(H_Direct=0,H_TaxEvt=1),IF(ATF62+1&gt;=H_Deemed,0,ATF62+1),ATF62)</f>
        <v>1</v>
      </c>
      <c r="ATG63" s="20" t="n">
        <f aca="false">IF(AND(H_Direct=0,H_TaxEvt=1),IF(ATG62+1&gt;=H_Deemed,0,ATG62+1),ATG62)</f>
        <v>0</v>
      </c>
      <c r="ATH63" s="20" t="n">
        <f aca="false">IF(AND(H_Direct=0,H_TaxEvt=1),IF(ATH62+1&gt;=H_Deemed,0,ATH62+1),ATH62)</f>
        <v>7</v>
      </c>
      <c r="ATI63" s="20" t="n">
        <f aca="false">IF(AND(H_Direct=0,H_TaxEvt=1),IF(ATI62+1&gt;=H_Deemed,0,ATI62+1),ATI62)</f>
        <v>6</v>
      </c>
      <c r="ATJ63" s="20" t="n">
        <f aca="false">IF(AND(H_Direct=0,H_TaxEvt=1),IF(ATJ62+1&gt;=H_Deemed,0,ATJ62+1),ATJ62)</f>
        <v>5</v>
      </c>
      <c r="ATK63" s="20" t="n">
        <f aca="false">IF(AND(H_Direct=0,H_TaxEvt=1),IF(ATK62+1&gt;=H_Deemed,0,ATK62+1),ATK62)</f>
        <v>4</v>
      </c>
      <c r="ATL63" s="20" t="n">
        <f aca="false">IF(AND(H_Direct=0,H_TaxEvt=1),IF(ATL62+1&gt;=H_Deemed,0,ATL62+1),ATL62)</f>
        <v>3</v>
      </c>
      <c r="ATM63" s="20" t="n">
        <f aca="false">IF(AND(H_Direct=0,H_TaxEvt=1),IF(ATM62+1&gt;=H_Deemed,0,ATM62+1),ATM62)</f>
        <v>2</v>
      </c>
      <c r="ATN63" s="20" t="n">
        <f aca="false">IF(AND(H_Direct=0,H_TaxEvt=1),IF(ATN62+1&gt;=H_Deemed,0,ATN62+1),ATN62)</f>
        <v>1</v>
      </c>
      <c r="ATO63" s="20" t="n">
        <f aca="false">IF(AND(H_Direct=0,H_TaxEvt=1),IF(ATO62+1&gt;=H_Deemed,0,ATO62+1),ATO62)</f>
        <v>0</v>
      </c>
      <c r="ATP63" s="20" t="n">
        <f aca="false">IF(AND(H_Direct=0,H_TaxEvt=1),IF(ATP62+1&gt;=H_Deemed,0,ATP62+1),ATP62)</f>
        <v>7</v>
      </c>
      <c r="ATQ63" s="20" t="n">
        <f aca="false">IF(AND(H_Direct=0,H_TaxEvt=1),IF(ATQ62+1&gt;=H_Deemed,0,ATQ62+1),ATQ62)</f>
        <v>6</v>
      </c>
      <c r="ATR63" s="20" t="n">
        <f aca="false">IF(AND(H_Direct=0,H_TaxEvt=1),IF(ATR62+1&gt;=H_Deemed,0,ATR62+1),ATR62)</f>
        <v>5</v>
      </c>
      <c r="ATS63" s="20" t="n">
        <f aca="false">IF(AND(H_Direct=0,H_TaxEvt=1),IF(ATS62+1&gt;=H_Deemed,0,ATS62+1),ATS62)</f>
        <v>4</v>
      </c>
      <c r="ATT63" s="20" t="n">
        <f aca="false">IF(AND(H_Direct=0,H_TaxEvt=1),IF(ATT62+1&gt;=H_Deemed,0,ATT62+1),ATT62)</f>
        <v>3</v>
      </c>
      <c r="ATU63" s="20" t="n">
        <f aca="false">IF(AND(H_Direct=0,H_TaxEvt=1),IF(ATU62+1&gt;=H_Deemed,0,ATU62+1),ATU62)</f>
        <v>2</v>
      </c>
      <c r="ATV63" s="20" t="n">
        <f aca="false">IF(AND(H_Direct=0,H_TaxEvt=1),IF(0+1&gt;=H_Deemed,0,0+1),0)</f>
        <v>1</v>
      </c>
      <c r="ATW63" s="20" t="n">
        <v>0</v>
      </c>
      <c r="ATX63" s="20" t="n">
        <v>0</v>
      </c>
      <c r="ATY63" s="20" t="n">
        <v>0</v>
      </c>
      <c r="ATZ63" s="20" t="n">
        <v>0</v>
      </c>
      <c r="AUA63" s="20" t="n">
        <v>0</v>
      </c>
      <c r="AUB63" s="20" t="n">
        <v>0</v>
      </c>
      <c r="AUC63" s="20" t="n">
        <v>0</v>
      </c>
      <c r="AUD63" s="20" t="n">
        <v>0</v>
      </c>
      <c r="AUE63" s="20" t="n">
        <v>0</v>
      </c>
      <c r="AUF63" s="20" t="n">
        <v>0</v>
      </c>
      <c r="AUG63" s="20" t="n">
        <v>0</v>
      </c>
      <c r="AUH63" s="20" t="n">
        <v>0</v>
      </c>
      <c r="AUI63" s="20" t="n">
        <v>0</v>
      </c>
      <c r="AUJ63" s="20" t="n">
        <v>0</v>
      </c>
      <c r="AUK63" s="20" t="n">
        <v>0</v>
      </c>
      <c r="AUL63" s="20" t="n">
        <v>0</v>
      </c>
      <c r="AUM63" s="20" t="n">
        <v>0</v>
      </c>
      <c r="AUN63" s="20" t="n">
        <v>0</v>
      </c>
      <c r="AUO63" s="20" t="n">
        <v>0</v>
      </c>
      <c r="AUP63" s="20" t="n">
        <v>0</v>
      </c>
      <c r="AUQ63" s="20" t="n">
        <v>0</v>
      </c>
      <c r="AUR63" s="20" t="n">
        <v>0</v>
      </c>
      <c r="AUS63" s="20" t="n">
        <v>0</v>
      </c>
      <c r="AUT63" s="20" t="n">
        <v>0</v>
      </c>
      <c r="AUU63" s="20" t="n">
        <v>0</v>
      </c>
      <c r="AUV63" s="20" t="n">
        <v>0</v>
      </c>
      <c r="AUW63" s="20" t="n">
        <v>0</v>
      </c>
      <c r="AUX63" s="20" t="n">
        <v>0</v>
      </c>
      <c r="AUY63" s="20" t="n">
        <v>0</v>
      </c>
      <c r="AUZ63" s="20" t="n">
        <v>0</v>
      </c>
      <c r="AVA63" s="20" t="n">
        <v>0</v>
      </c>
      <c r="AVB63" s="20" t="n">
        <v>0</v>
      </c>
      <c r="AVC63" s="20" t="n">
        <v>0</v>
      </c>
      <c r="AVD63" s="20" t="n">
        <v>0</v>
      </c>
      <c r="AVE63" s="20" t="n">
        <f aca="false">IF(AND(H_Direct=0,H_TaxEvt=1,ARR62+1&gt;=H_Deemed),MAX(0,ADR63-AHE63)*H_Exit,0)</f>
        <v>0</v>
      </c>
      <c r="AVF63" s="20" t="n">
        <f aca="false">IF(AND(H_Direct=0,H_TaxEvt=1,ARS62+1&gt;=H_Deemed),MAX(0,ADS63-AHF63)*H_Exit,0)</f>
        <v>0</v>
      </c>
      <c r="AVG63" s="20" t="n">
        <f aca="false">IF(AND(H_Direct=0,H_TaxEvt=1,ART62+1&gt;=H_Deemed),MAX(0,ADT63-AHG63)*H_Exit,0)</f>
        <v>0</v>
      </c>
      <c r="AVH63" s="20" t="n">
        <f aca="false">IF(AND(H_Direct=0,H_TaxEvt=1,ARU62+1&gt;=H_Deemed),MAX(0,ADU63-AHH63)*H_Exit,0)</f>
        <v>0</v>
      </c>
      <c r="AVI63" s="20" t="n">
        <f aca="false">IF(AND(H_Direct=0,H_TaxEvt=1,ARV62+1&gt;=H_Deemed),MAX(0,ADV63-AHI63)*H_Exit,0)</f>
        <v>0</v>
      </c>
      <c r="AVJ63" s="20" t="n">
        <f aca="false">IF(AND(H_Direct=0,H_TaxEvt=1,ARW62+1&gt;=H_Deemed),MAX(0,ADW63-AHJ63)*H_Exit,0)</f>
        <v>0</v>
      </c>
      <c r="AVK63" s="20" t="n">
        <f aca="false">IF(AND(H_Direct=0,H_TaxEvt=1,ARX62+1&gt;=H_Deemed),MAX(0,ADX63-AHK63)*H_Exit,0)</f>
        <v>0</v>
      </c>
      <c r="AVL63" s="20" t="n">
        <f aca="false">IF(AND(H_Direct=0,H_TaxEvt=1,ARY62+1&gt;=H_Deemed),MAX(0,ADY63-AHL63)*H_Exit,0)</f>
        <v>0</v>
      </c>
      <c r="AVM63" s="20" t="n">
        <f aca="false">IF(AND(H_Direct=0,H_TaxEvt=1,ARZ62+1&gt;=H_Deemed),MAX(0,ADZ63-AHM63)*H_Exit,0)</f>
        <v>0</v>
      </c>
      <c r="AVN63" s="20" t="n">
        <f aca="false">IF(AND(H_Direct=0,H_TaxEvt=1,ASA62+1&gt;=H_Deemed),MAX(0,AEA63-AHN63)*H_Exit,0)</f>
        <v>0</v>
      </c>
      <c r="AVO63" s="20" t="n">
        <f aca="false">IF(AND(H_Direct=0,H_TaxEvt=1,ASB62+1&gt;=H_Deemed),MAX(0,AEB63-AHO63)*H_Exit,0)</f>
        <v>0</v>
      </c>
      <c r="AVP63" s="20" t="n">
        <f aca="false">IF(AND(H_Direct=0,H_TaxEvt=1,ASC62+1&gt;=H_Deemed),MAX(0,AEC63-AHP63)*H_Exit,0)</f>
        <v>0</v>
      </c>
      <c r="AVQ63" s="20" t="n">
        <f aca="false">IF(AND(H_Direct=0,H_TaxEvt=1,ASD62+1&gt;=H_Deemed),MAX(0,AED63-AHQ63)*H_Exit,0)</f>
        <v>0</v>
      </c>
      <c r="AVR63" s="20" t="n">
        <f aca="false">IF(AND(H_Direct=0,H_TaxEvt=1,ASE62+1&gt;=H_Deemed),MAX(0,AEE63-AHR63)*H_Exit,0)</f>
        <v>0</v>
      </c>
      <c r="AVS63" s="20" t="n">
        <f aca="false">IF(AND(H_Direct=0,H_TaxEvt=1,ASF62+1&gt;=H_Deemed),MAX(0,AEF63-AHS63)*H_Exit,0)</f>
        <v>0</v>
      </c>
      <c r="AVT63" s="20" t="n">
        <f aca="false">IF(AND(H_Direct=0,H_TaxEvt=1,ASG62+1&gt;=H_Deemed),MAX(0,AEG63-AHT63)*H_Exit,0)</f>
        <v>0</v>
      </c>
      <c r="AVU63" s="20" t="n">
        <f aca="false">IF(AND(H_Direct=0,H_TaxEvt=1,ASH62+1&gt;=H_Deemed),MAX(0,AEH63-AHU63)*H_Exit,0)</f>
        <v>0</v>
      </c>
      <c r="AVV63" s="20" t="n">
        <f aca="false">IF(AND(H_Direct=0,H_TaxEvt=1,ASI62+1&gt;=H_Deemed),MAX(0,AEI63-AHV63)*H_Exit,0)</f>
        <v>0</v>
      </c>
      <c r="AVW63" s="20" t="n">
        <f aca="false">IF(AND(H_Direct=0,H_TaxEvt=1,ASJ62+1&gt;=H_Deemed),MAX(0,AEJ63-AHW63)*H_Exit,0)</f>
        <v>0</v>
      </c>
      <c r="AVX63" s="20" t="n">
        <f aca="false">IF(AND(H_Direct=0,H_TaxEvt=1,ASK62+1&gt;=H_Deemed),MAX(0,AEK63-AHX63)*H_Exit,0)</f>
        <v>0</v>
      </c>
      <c r="AVY63" s="20" t="n">
        <f aca="false">IF(AND(H_Direct=0,H_TaxEvt=1,ASL62+1&gt;=H_Deemed),MAX(0,AEL63-AHY63)*H_Exit,0)</f>
        <v>0</v>
      </c>
      <c r="AVZ63" s="20" t="n">
        <f aca="false">IF(AND(H_Direct=0,H_TaxEvt=1,ASM62+1&gt;=H_Deemed),MAX(0,AEM63-AHZ63)*H_Exit,0)</f>
        <v>0</v>
      </c>
      <c r="AWA63" s="20" t="n">
        <f aca="false">IF(AND(H_Direct=0,H_TaxEvt=1,ASN62+1&gt;=H_Deemed),MAX(0,AEN63-AIA63)*H_Exit,0)</f>
        <v>0</v>
      </c>
      <c r="AWB63" s="20" t="n">
        <f aca="false">IF(AND(H_Direct=0,H_TaxEvt=1,ASO62+1&gt;=H_Deemed),MAX(0,AEO63-AIB63)*H_Exit,0)</f>
        <v>0</v>
      </c>
      <c r="AWC63" s="20" t="n">
        <f aca="false">IF(AND(H_Direct=0,H_TaxEvt=1,ASP62+1&gt;=H_Deemed),MAX(0,AEP63-AIC63)*H_Exit,0)</f>
        <v>0</v>
      </c>
      <c r="AWD63" s="20" t="n">
        <f aca="false">IF(AND(H_Direct=0,H_TaxEvt=1,ASQ62+1&gt;=H_Deemed),MAX(0,AEQ63-AID63)*H_Exit,0)</f>
        <v>0</v>
      </c>
      <c r="AWE63" s="20" t="n">
        <f aca="false">IF(AND(H_Direct=0,H_TaxEvt=1,ASR62+1&gt;=H_Deemed),MAX(0,AER63-AIE63)*H_Exit,0)</f>
        <v>0</v>
      </c>
      <c r="AWF63" s="20" t="n">
        <f aca="false">IF(AND(H_Direct=0,H_TaxEvt=1,ASS62+1&gt;=H_Deemed),MAX(0,AES63-AIF63)*H_Exit,0)</f>
        <v>0</v>
      </c>
      <c r="AWG63" s="20" t="n">
        <f aca="false">IF(AND(H_Direct=0,H_TaxEvt=1,AST62+1&gt;=H_Deemed),MAX(0,AET63-AIG63)*H_Exit,0)</f>
        <v>0</v>
      </c>
      <c r="AWH63" s="20" t="n">
        <f aca="false">IF(AND(H_Direct=0,H_TaxEvt=1,ASU62+1&gt;=H_Deemed),MAX(0,AEU63-AIH63)*H_Exit,0)</f>
        <v>0</v>
      </c>
      <c r="AWI63" s="20" t="n">
        <f aca="false">IF(AND(H_Direct=0,H_TaxEvt=1,ASV62+1&gt;=H_Deemed),MAX(0,AEV63-AII63)*H_Exit,0)</f>
        <v>0</v>
      </c>
      <c r="AWJ63" s="20" t="n">
        <f aca="false">IF(AND(H_Direct=0,H_TaxEvt=1,ASW62+1&gt;=H_Deemed),MAX(0,AEW63-AIJ63)*H_Exit,0)</f>
        <v>0</v>
      </c>
      <c r="AWK63" s="20" t="n">
        <f aca="false">IF(AND(H_Direct=0,H_TaxEvt=1,ASX62+1&gt;=H_Deemed),MAX(0,AEX63-AIK63)*H_Exit,0)</f>
        <v>0</v>
      </c>
      <c r="AWL63" s="20" t="n">
        <f aca="false">IF(AND(H_Direct=0,H_TaxEvt=1,ASY62+1&gt;=H_Deemed),MAX(0,AEY63-AIL63)*H_Exit,0)</f>
        <v>0</v>
      </c>
      <c r="AWM63" s="20" t="n">
        <f aca="false">IF(AND(H_Direct=0,H_TaxEvt=1,ASZ62+1&gt;=H_Deemed),MAX(0,AEZ63-AIM63)*H_Exit,0)</f>
        <v>0</v>
      </c>
      <c r="AWN63" s="20" t="n">
        <f aca="false">IF(AND(H_Direct=0,H_TaxEvt=1,ATA62+1&gt;=H_Deemed),MAX(0,AFA63-AIN63)*H_Exit,0)</f>
        <v>0</v>
      </c>
      <c r="AWO63" s="20" t="n">
        <f aca="false">IF(AND(H_Direct=0,H_TaxEvt=1,ATB62+1&gt;=H_Deemed),MAX(0,AFB63-AIO63)*H_Exit,0)</f>
        <v>0</v>
      </c>
      <c r="AWP63" s="20" t="n">
        <f aca="false">IF(AND(H_Direct=0,H_TaxEvt=1,ATC62+1&gt;=H_Deemed),MAX(0,AFC63-AIP63)*H_Exit,0)</f>
        <v>0</v>
      </c>
      <c r="AWQ63" s="20" t="n">
        <f aca="false">IF(AND(H_Direct=0,H_TaxEvt=1,ATD62+1&gt;=H_Deemed),MAX(0,AFD63-AIQ63)*H_Exit,0)</f>
        <v>0</v>
      </c>
      <c r="AWR63" s="20" t="n">
        <f aca="false">IF(AND(H_Direct=0,H_TaxEvt=1,ATE62+1&gt;=H_Deemed),MAX(0,AFE63-AIR63)*H_Exit,0)</f>
        <v>0</v>
      </c>
      <c r="AWS63" s="20" t="n">
        <f aca="false">IF(AND(H_Direct=0,H_TaxEvt=1,ATF62+1&gt;=H_Deemed),MAX(0,AFF63-AIS63)*H_Exit,0)</f>
        <v>0</v>
      </c>
      <c r="AWT63" s="20" t="n">
        <f aca="false">IF(AND(H_Direct=0,H_TaxEvt=1,ATG62+1&gt;=H_Deemed),MAX(0,AFG63-AIT63)*H_Exit,0)</f>
        <v>0</v>
      </c>
      <c r="AWU63" s="20" t="n">
        <f aca="false">IF(AND(H_Direct=0,H_TaxEvt=1,ATH62+1&gt;=H_Deemed),MAX(0,AFH63-AIU63)*H_Exit,0)</f>
        <v>0</v>
      </c>
      <c r="AWV63" s="20" t="n">
        <f aca="false">IF(AND(H_Direct=0,H_TaxEvt=1,ATI62+1&gt;=H_Deemed),MAX(0,AFI63-AIV63)*H_Exit,0)</f>
        <v>0</v>
      </c>
      <c r="AWW63" s="20" t="n">
        <f aca="false">IF(AND(H_Direct=0,H_TaxEvt=1,ATJ62+1&gt;=H_Deemed),MAX(0,AFJ63-AIW63)*H_Exit,0)</f>
        <v>0</v>
      </c>
      <c r="AWX63" s="20" t="n">
        <f aca="false">IF(AND(H_Direct=0,H_TaxEvt=1,ATK62+1&gt;=H_Deemed),MAX(0,AFK63-AIX63)*H_Exit,0)</f>
        <v>0</v>
      </c>
      <c r="AWY63" s="20" t="n">
        <f aca="false">IF(AND(H_Direct=0,H_TaxEvt=1,ATL62+1&gt;=H_Deemed),MAX(0,AFL63-AIY63)*H_Exit,0)</f>
        <v>0</v>
      </c>
      <c r="AWZ63" s="20" t="n">
        <f aca="false">IF(AND(H_Direct=0,H_TaxEvt=1,ATM62+1&gt;=H_Deemed),MAX(0,AFM63-AIZ63)*H_Exit,0)</f>
        <v>0</v>
      </c>
      <c r="AXA63" s="20" t="n">
        <f aca="false">IF(AND(H_Direct=0,H_TaxEvt=1,ATN62+1&gt;=H_Deemed),MAX(0,AFN63-AJA63)*H_Exit,0)</f>
        <v>0</v>
      </c>
      <c r="AXB63" s="20" t="n">
        <f aca="false">IF(AND(H_Direct=0,H_TaxEvt=1,ATO62+1&gt;=H_Deemed),MAX(0,AFO63-AJB63)*H_Exit,0)</f>
        <v>0</v>
      </c>
      <c r="AXC63" s="20" t="n">
        <f aca="false">IF(AND(H_Direct=0,H_TaxEvt=1,ATP62+1&gt;=H_Deemed),MAX(0,AFP63-AJC63)*H_Exit,0)</f>
        <v>0</v>
      </c>
      <c r="AXD63" s="20" t="n">
        <f aca="false">IF(AND(H_Direct=0,H_TaxEvt=1,ATQ62+1&gt;=H_Deemed),MAX(0,AFQ63-AJD63)*H_Exit,0)</f>
        <v>0</v>
      </c>
      <c r="AXE63" s="20" t="n">
        <f aca="false">IF(AND(H_Direct=0,H_TaxEvt=1,ATR62+1&gt;=H_Deemed),MAX(0,AFR63-AJE63)*H_Exit,0)</f>
        <v>0</v>
      </c>
      <c r="AXF63" s="20" t="n">
        <f aca="false">IF(AND(H_Direct=0,H_TaxEvt=1,ATS62+1&gt;=H_Deemed),MAX(0,AFS63-AJF63)*H_Exit,0)</f>
        <v>0</v>
      </c>
      <c r="AXG63" s="20" t="n">
        <f aca="false">IF(AND(H_Direct=0,H_TaxEvt=1,ATT62+1&gt;=H_Deemed),MAX(0,AFT63-AJG63)*H_Exit,0)</f>
        <v>0</v>
      </c>
      <c r="AXH63" s="20" t="n">
        <f aca="false">IF(AND(H_Direct=0,H_TaxEvt=1,ATU62+1&gt;=H_Deemed),MAX(0,AFU63-AJH63)*H_Exit,0)</f>
        <v>0</v>
      </c>
      <c r="AXI63" s="20" t="n">
        <f aca="false">IF(AND(H_Direct=0,H_TaxEvt=1,0+1&gt;=H_Deemed),MAX(0,AFV63-AJI63)*H_Exit,0)</f>
        <v>0</v>
      </c>
      <c r="AXJ63" s="20" t="n">
        <v>0</v>
      </c>
      <c r="AXK63" s="20" t="n">
        <v>0</v>
      </c>
      <c r="AXL63" s="20" t="n">
        <v>0</v>
      </c>
      <c r="AXM63" s="20" t="n">
        <v>0</v>
      </c>
      <c r="AXN63" s="20" t="n">
        <v>0</v>
      </c>
      <c r="AXO63" s="20" t="n">
        <v>0</v>
      </c>
      <c r="AXP63" s="20" t="n">
        <v>0</v>
      </c>
      <c r="AXQ63" s="20" t="n">
        <v>0</v>
      </c>
      <c r="AXR63" s="20" t="n">
        <v>0</v>
      </c>
      <c r="AXS63" s="20" t="n">
        <v>0</v>
      </c>
      <c r="AXT63" s="20" t="n">
        <v>0</v>
      </c>
      <c r="AXU63" s="20" t="n">
        <v>0</v>
      </c>
      <c r="AXV63" s="20" t="n">
        <v>0</v>
      </c>
      <c r="AXW63" s="20" t="n">
        <v>0</v>
      </c>
      <c r="AXX63" s="20" t="n">
        <v>0</v>
      </c>
      <c r="AXY63" s="20" t="n">
        <v>0</v>
      </c>
      <c r="AXZ63" s="20" t="n">
        <v>0</v>
      </c>
      <c r="AYA63" s="20" t="n">
        <v>0</v>
      </c>
      <c r="AYB63" s="20" t="n">
        <v>0</v>
      </c>
      <c r="AYC63" s="20" t="n">
        <v>0</v>
      </c>
      <c r="AYD63" s="20" t="n">
        <v>0</v>
      </c>
      <c r="AYE63" s="20" t="n">
        <v>0</v>
      </c>
      <c r="AYF63" s="20" t="n">
        <v>0</v>
      </c>
      <c r="AYG63" s="20" t="n">
        <v>0</v>
      </c>
      <c r="AYH63" s="20" t="n">
        <v>0</v>
      </c>
      <c r="AYI63" s="20" t="n">
        <v>0</v>
      </c>
      <c r="AYJ63" s="20" t="n">
        <v>0</v>
      </c>
      <c r="AYK63" s="20" t="n">
        <v>0</v>
      </c>
      <c r="AYL63" s="20" t="n">
        <v>0</v>
      </c>
      <c r="AYM63" s="20" t="n">
        <v>0</v>
      </c>
      <c r="AYN63" s="20" t="n">
        <v>0</v>
      </c>
      <c r="AYO63" s="20" t="n">
        <v>0</v>
      </c>
      <c r="AYP63" s="20" t="n">
        <v>0</v>
      </c>
      <c r="AYQ63" s="20" t="n">
        <v>0</v>
      </c>
    </row>
    <row r="64" customFormat="false" ht="15" hidden="false" customHeight="false" outlineLevel="0" collapsed="false">
      <c r="B64" s="20" t="n">
        <v>56</v>
      </c>
      <c r="C64" s="20" t="n">
        <f aca="false">'Plan cashflow'!C64</f>
        <v>1</v>
      </c>
      <c r="D64" s="20" t="n">
        <f aca="false">'Plan cashflow'!D64</f>
        <v>94</v>
      </c>
      <c r="E64" s="20" t="n">
        <f aca="false">AS_Year0+56</f>
        <v>2082</v>
      </c>
      <c r="F64" s="50" t="n">
        <f aca="false">'Plan cashflow'!F64</f>
        <v>3.03116528648356</v>
      </c>
      <c r="G64" s="59" t="n">
        <f aca="true">IF(MAX(TODAY(),DATE(E64,1,1))&gt;=H_CGTfrom,H_CGT1,H_CGT0)</f>
        <v>0.31</v>
      </c>
      <c r="H64" s="20" t="n">
        <f aca="false">H_Exempt*H_Persons</f>
        <v>1270</v>
      </c>
      <c r="I64" s="20" t="n">
        <f aca="false">AX63</f>
        <v>0</v>
      </c>
      <c r="J64" s="60" t="n">
        <f aca="false">BF63</f>
        <v>0</v>
      </c>
      <c r="K64" s="60" t="n">
        <f aca="false">BG63</f>
        <v>0</v>
      </c>
      <c r="L64" s="20" t="n">
        <f aca="false">IF(AND(In_polLump&gt;0,In_polLumpAge&gt;0,D64=In_polLumpAge),In_polLump,0)</f>
        <v>0</v>
      </c>
      <c r="M64" s="20" t="n">
        <f aca="false">IF(AND(In_homeUse="Yes, I'd downsize",In_downAge&gt;0,D64=In_downAge,OR(In_home="Own outright",In_home="Own with mortgage"),In_homeValue&gt;0),MAX(0,MAX(0,In_homeValue-In_downValue)*F64*0.9-'Plan cashflow'!HR63),0)</f>
        <v>0</v>
      </c>
      <c r="N64" s="20" t="n">
        <f aca="false">'Plan pay &amp; tax'!Y290</f>
        <v>0</v>
      </c>
      <c r="O64" s="20" t="n">
        <f aca="false">L64+M64+(1-H_Sh)*N64</f>
        <v>0</v>
      </c>
      <c r="P64" s="20" t="n">
        <f aca="false">H_Sh*N64</f>
        <v>0</v>
      </c>
      <c r="Q64" s="20" t="n">
        <f aca="false">'Plan cashflow'!UL64</f>
        <v>0</v>
      </c>
      <c r="R64" s="20" t="n">
        <f aca="false">(1-H_Sh)*Q64</f>
        <v>0</v>
      </c>
      <c r="S64" s="20" t="n">
        <f aca="false">H_Sh*Q64</f>
        <v>0</v>
      </c>
      <c r="T64" s="20" t="n">
        <f aca="false">J64+K64+O64</f>
        <v>0</v>
      </c>
      <c r="U64" s="20" t="n">
        <f aca="false">T64+R64</f>
        <v>0</v>
      </c>
      <c r="V64" s="60" t="n">
        <f aca="false">SUM(FE64:IQ64)</f>
        <v>0</v>
      </c>
      <c r="W64" s="60" t="n">
        <f aca="false">IF(AJ64&lt;=0,0,IF(AL64&lt;=0,AJ64,AJ64-G64*MAX(0,AL64*AJ64-(AY64+AZ64))))</f>
        <v>0</v>
      </c>
      <c r="X64" s="60" t="n">
        <f aca="false">IF(AR64&lt;=0,0,IF(AT64&lt;=0,AR64,AR64-G64*MAX(0,AT64*AR64-(BA64+BB64))))</f>
        <v>0</v>
      </c>
      <c r="Y64" s="60" t="n">
        <f aca="false">T64+V64-S64+W64+X64</f>
        <v>0</v>
      </c>
      <c r="Z64" s="60" t="n">
        <f aca="false">'Plan cashflow'!UK64</f>
        <v>0</v>
      </c>
      <c r="AA64" s="20" t="n">
        <f aca="false">MIN(Z64,U64)</f>
        <v>0</v>
      </c>
      <c r="AB64" s="20" t="n">
        <f aca="false">Z64-AA64</f>
        <v>0</v>
      </c>
      <c r="AC64" s="20" t="n">
        <f aca="false">MIN(AA64,J64+O64+R64)</f>
        <v>0</v>
      </c>
      <c r="AD64" s="20" t="n">
        <f aca="false">AA64-AC64</f>
        <v>0</v>
      </c>
      <c r="AE64" s="20" t="n">
        <f aca="false">J64+O64+R64-AC64</f>
        <v>0</v>
      </c>
      <c r="AF64" s="20" t="n">
        <f aca="false">K64-AD64</f>
        <v>0</v>
      </c>
      <c r="AG64" s="20" t="n">
        <f aca="false">SUM(PR64:TD64)</f>
        <v>0</v>
      </c>
      <c r="AH64" s="20" t="n">
        <f aca="false">SUM(TE64:WQ64)</f>
        <v>0</v>
      </c>
      <c r="AI64" s="20" t="n">
        <f aca="false">MAX(0,AB64-AG64)</f>
        <v>0</v>
      </c>
      <c r="AJ64" s="57" t="n">
        <f aca="false">BI63</f>
        <v>0</v>
      </c>
      <c r="AK64" s="20" t="n">
        <f aca="false">BJ63</f>
        <v>0</v>
      </c>
      <c r="AL64" s="20" t="n">
        <f aca="false">IF(AJ64&gt;0,(AJ64-AK64)/AJ64,0)</f>
        <v>0</v>
      </c>
      <c r="AM64" s="20" t="n">
        <f aca="false">IF(AJ64&lt;=0,0,IF(AL64&lt;=0,MIN(AI64,AJ64),MIN(AI64,AJ64-G64*MAX(0,AL64*AJ64-(AAD64+ADQ64)))))</f>
        <v>0</v>
      </c>
      <c r="AN64" s="20" t="n">
        <f aca="false">IF(AJ64&lt;=0,0,IF(AL64&lt;=0,AM64,IF(AM64&lt;=(AAD64+ADQ64)/AL64,AM64,(AM64-G64*(AAD64+ADQ64))/(1-G64*AL64))))</f>
        <v>0</v>
      </c>
      <c r="AO64" s="20" t="n">
        <f aca="false">IF(AL64&gt;0,MAX(0,AAD64-(MIN(AL64*AN64,(AAD64+ADQ64))-MIN(MIN(AL64*AN64,(AAD64+ADQ64)),ADQ64))),AAD64)</f>
        <v>1270</v>
      </c>
      <c r="AP64" s="20" t="n">
        <f aca="false">IF(AL64&lt;=0,ADQ64-AL64*AN64,ADQ64-MIN(MIN(AL64*AN64,(AAD64+ADQ64)),ADQ64))</f>
        <v>0</v>
      </c>
      <c r="AQ64" s="20" t="n">
        <f aca="false">MAX(0,AI64-AM64)</f>
        <v>0</v>
      </c>
      <c r="AR64" s="57" t="n">
        <f aca="false">BK63</f>
        <v>0</v>
      </c>
      <c r="AS64" s="20" t="n">
        <f aca="false">BL63</f>
        <v>0</v>
      </c>
      <c r="AT64" s="20" t="n">
        <f aca="false">IF(AR64&gt;0,(AR64-AS64)/AR64,0)</f>
        <v>0</v>
      </c>
      <c r="AU64" s="20" t="n">
        <f aca="false">IF(AR64&lt;=0,0,IF(AT64&lt;=0,MIN(AQ64,AR64),MIN(AQ64,AR64-G64*MAX(0,AT64*AR64-(AO64+AP64)))))</f>
        <v>0</v>
      </c>
      <c r="AV64" s="20" t="n">
        <f aca="false">IF(AR64&lt;=0,0,IF(AT64&lt;=0,AU64,IF(AU64&lt;=(AO64+AP64)/AT64,AU64,(AU64-G64*(AO64+AP64))/(1-G64*AT64))))</f>
        <v>0</v>
      </c>
      <c r="AW64" s="20" t="n">
        <f aca="false">IF(AT64&gt;0,MAX(0,AO64-(MIN(AT64*AV64,(AO64+AP64))-MIN(MIN(AT64*AV64,(AO64+AP64)),AP64))),AO64)</f>
        <v>1270</v>
      </c>
      <c r="AX64" s="20" t="n">
        <f aca="false">IF(AT64&lt;=0,AP64-AT64*AV64,AP64-MIN(MIN(AT64*AV64,(AO64+AP64)),AP64))</f>
        <v>0</v>
      </c>
      <c r="AY64" s="20" t="n">
        <f aca="false">MD64</f>
        <v>1270</v>
      </c>
      <c r="AZ64" s="20" t="n">
        <f aca="false">PQ64</f>
        <v>0</v>
      </c>
      <c r="BA64" s="20" t="n">
        <f aca="false">IF(AL64&gt;0,MAX(0,AY64-(MIN(AL64*AJ64,AY64+AZ64)-MIN(MIN(AL64*AJ64,AY64+AZ64),AZ64))),AY64)</f>
        <v>1270</v>
      </c>
      <c r="BB64" s="20" t="n">
        <f aca="false">IF(AL64&lt;=0,AZ64-AL64*AJ64,AZ64-MIN(MIN(AL64*AJ64,AY64+AZ64),AZ64))</f>
        <v>0</v>
      </c>
      <c r="BC64" s="20" t="n">
        <f aca="false">'Plan cashflow'!UM64</f>
        <v>0</v>
      </c>
      <c r="BD64" s="20" t="n">
        <f aca="false">(1-H_Sh)*BC64</f>
        <v>0</v>
      </c>
      <c r="BE64" s="20" t="n">
        <f aca="false">H_Sh*BC64</f>
        <v>0</v>
      </c>
      <c r="BF64" s="60" t="n">
        <f aca="false">(AE64+BD64)*(1+AS_Cash)</f>
        <v>0</v>
      </c>
      <c r="BG64" s="60" t="n">
        <f aca="false">AF64*(1+AS_Cash)</f>
        <v>0</v>
      </c>
      <c r="BH64" s="60" t="n">
        <f aca="false">SUM(AKR64:AOD64)</f>
        <v>0</v>
      </c>
      <c r="BI64" s="60" t="n">
        <f aca="false">(AJ64-AN64)*(1+AS_Infl)</f>
        <v>0</v>
      </c>
      <c r="BJ64" s="20" t="n">
        <f aca="false">IF(AJ64&gt;0,AK64-AK64*AN64/AJ64,0)</f>
        <v>0</v>
      </c>
      <c r="BK64" s="60" t="n">
        <f aca="false">(AR64-AV64)*(1+BQ64)</f>
        <v>0</v>
      </c>
      <c r="BL64" s="20" t="n">
        <f aca="false">IF(AR64&gt;0,AS64-AS64*AV64/AR64,0)</f>
        <v>0</v>
      </c>
      <c r="BM64" s="60" t="n">
        <f aca="false">BF64+BG64+BH64+BI64+BK64</f>
        <v>0</v>
      </c>
      <c r="BN64" s="60" t="n">
        <f aca="false">(AH64-AG64)+(AN64-AM64)+(AV64-AU64)</f>
        <v>0</v>
      </c>
      <c r="BO64" s="20" t="n">
        <f aca="false">(AE64+BD64+AF64+MAX(0,'Plan cashflow'!QH64)+IF(Slot1_Rate=AS_Cash,'Plan cashflow'!QM64/(1+AS_Cash),0)+IF(Slot2_Rate=AS_Cash,'Plan cashflow'!QQ64/(1+AS_Cash),0)+IF(Slot3_Rate=AS_Cash,'Plan cashflow'!QU64/(1+AS_Cash),0)+IF(Slot4_Rate=AS_Cash,'Plan cashflow'!QY64/(1+AS_Cash),0)+IF(Slot5_Rate=AS_Cash,'Plan cashflow'!RC64/(1+AS_Cash),0)+IF(Slot6_Rate=AS_Cash,'Plan cashflow'!RG64/(1+AS_Cash),0)+IF(Slot7_Rate=AS_Cash,'Plan cashflow'!RK64/(1+AS_Cash),0)+IF(Slot8_Rate=AS_Cash,'Plan cashflow'!RO64/(1+AS_Cash),0)+IF(Slot9_Rate=AS_Cash,'Plan cashflow'!RS64/(1+AS_Cash),0)+IF(Slot10_Rate=AS_Cash,'Plan cashflow'!RW64/(1+AS_Cash),0)+IF(Slot11_Rate=AS_Cash,'Plan cashflow'!SA64/(1+AS_Cash),0)+IF(Slot12_Rate=AS_Cash,'Plan cashflow'!SE64/(1+AS_Cash),0)+IF(Slot13_Rate=AS_Cash,'Plan cashflow'!SI64/(1+AS_Cash),0)+IF(Slot14_Rate=AS_Cash,'Plan cashflow'!SM64/(1+AS_Cash),0)+IF(Slot15_Rate=AS_Cash,'Plan cashflow'!SQ64/(1+AS_Cash),0)+IF(Slot16_Rate=AS_Cash,'Plan cashflow'!SU64/(1+AS_Cash),0)+IF(Slot17_Rate=AS_Cash,'Plan cashflow'!SY64/(1+AS_Cash),0)+IF(Slot18_Rate=AS_Cash,'Plan cashflow'!TC64/(1+AS_Cash),0)+IF(Slot19_Rate=AS_Cash,'Plan cashflow'!TG64/(1+AS_Cash),0)+IF(Slot20_Rate=AS_Cash,'Plan cashflow'!TK64/(1+AS_Cash),0))*AS_Cash*H_DIRT/(1-H_DIRT)</f>
        <v>0</v>
      </c>
      <c r="BP64" s="60" t="n">
        <f aca="false">SUM(AVE64:AYQ64)</f>
        <v>0</v>
      </c>
      <c r="BQ64" s="54" t="n">
        <f aca="false">IF(H_TaxEvt=1,H_InvG,AS_Inv)</f>
        <v>0.04</v>
      </c>
      <c r="BR64" s="20" t="n">
        <f aca="false">IF(AKR63&gt;0,(AKR63-AOE63)/AKR63,0)</f>
        <v>0</v>
      </c>
      <c r="BS64" s="20" t="n">
        <f aca="false">IF(AKS63&gt;0,(AKS63-AOF63)/AKS63,0)</f>
        <v>0</v>
      </c>
      <c r="BT64" s="20" t="n">
        <f aca="false">IF(AKT63&gt;0,(AKT63-AOG63)/AKT63,0)</f>
        <v>0</v>
      </c>
      <c r="BU64" s="20" t="n">
        <f aca="false">IF(AKU63&gt;0,(AKU63-AOH63)/AKU63,0)</f>
        <v>0</v>
      </c>
      <c r="BV64" s="20" t="n">
        <f aca="false">IF(AKV63&gt;0,(AKV63-AOI63)/AKV63,0)</f>
        <v>0</v>
      </c>
      <c r="BW64" s="20" t="n">
        <f aca="false">IF(AKW63&gt;0,(AKW63-AOJ63)/AKW63,0)</f>
        <v>0</v>
      </c>
      <c r="BX64" s="20" t="n">
        <f aca="false">IF(AKX63&gt;0,(AKX63-AOK63)/AKX63,0)</f>
        <v>0</v>
      </c>
      <c r="BY64" s="20" t="n">
        <f aca="false">IF(AKY63&gt;0,(AKY63-AOL63)/AKY63,0)</f>
        <v>0</v>
      </c>
      <c r="BZ64" s="20" t="n">
        <f aca="false">IF(AKZ63&gt;0,(AKZ63-AOM63)/AKZ63,0)</f>
        <v>0</v>
      </c>
      <c r="CA64" s="20" t="n">
        <f aca="false">IF(ALA63&gt;0,(ALA63-AON63)/ALA63,0)</f>
        <v>0</v>
      </c>
      <c r="CB64" s="20" t="n">
        <f aca="false">IF(ALB63&gt;0,(ALB63-AOO63)/ALB63,0)</f>
        <v>0</v>
      </c>
      <c r="CC64" s="20" t="n">
        <f aca="false">IF(ALC63&gt;0,(ALC63-AOP63)/ALC63,0)</f>
        <v>0</v>
      </c>
      <c r="CD64" s="20" t="n">
        <f aca="false">IF(ALD63&gt;0,(ALD63-AOQ63)/ALD63,0)</f>
        <v>0</v>
      </c>
      <c r="CE64" s="20" t="n">
        <f aca="false">IF(ALE63&gt;0,(ALE63-AOR63)/ALE63,0)</f>
        <v>0</v>
      </c>
      <c r="CF64" s="20" t="n">
        <f aca="false">IF(ALF63&gt;0,(ALF63-AOS63)/ALF63,0)</f>
        <v>0</v>
      </c>
      <c r="CG64" s="20" t="n">
        <f aca="false">IF(ALG63&gt;0,(ALG63-AOT63)/ALG63,0)</f>
        <v>0</v>
      </c>
      <c r="CH64" s="20" t="n">
        <f aca="false">IF(ALH63&gt;0,(ALH63-AOU63)/ALH63,0)</f>
        <v>0</v>
      </c>
      <c r="CI64" s="20" t="n">
        <f aca="false">IF(ALI63&gt;0,(ALI63-AOV63)/ALI63,0)</f>
        <v>0</v>
      </c>
      <c r="CJ64" s="20" t="n">
        <f aca="false">IF(ALJ63&gt;0,(ALJ63-AOW63)/ALJ63,0)</f>
        <v>0</v>
      </c>
      <c r="CK64" s="20" t="n">
        <f aca="false">IF(ALK63&gt;0,(ALK63-AOX63)/ALK63,0)</f>
        <v>0</v>
      </c>
      <c r="CL64" s="20" t="n">
        <f aca="false">IF(ALL63&gt;0,(ALL63-AOY63)/ALL63,0)</f>
        <v>0</v>
      </c>
      <c r="CM64" s="20" t="n">
        <f aca="false">IF(ALM63&gt;0,(ALM63-AOZ63)/ALM63,0)</f>
        <v>0</v>
      </c>
      <c r="CN64" s="20" t="n">
        <f aca="false">IF(ALN63&gt;0,(ALN63-APA63)/ALN63,0)</f>
        <v>0</v>
      </c>
      <c r="CO64" s="20" t="n">
        <f aca="false">IF(ALO63&gt;0,(ALO63-APB63)/ALO63,0)</f>
        <v>0</v>
      </c>
      <c r="CP64" s="20" t="n">
        <f aca="false">IF(ALP63&gt;0,(ALP63-APC63)/ALP63,0)</f>
        <v>0</v>
      </c>
      <c r="CQ64" s="20" t="n">
        <f aca="false">IF(ALQ63&gt;0,(ALQ63-APD63)/ALQ63,0)</f>
        <v>0</v>
      </c>
      <c r="CR64" s="20" t="n">
        <f aca="false">IF(ALR63&gt;0,(ALR63-APE63)/ALR63,0)</f>
        <v>0</v>
      </c>
      <c r="CS64" s="20" t="n">
        <f aca="false">IF(ALS63&gt;0,(ALS63-APF63)/ALS63,0)</f>
        <v>0</v>
      </c>
      <c r="CT64" s="20" t="n">
        <f aca="false">IF(ALT63&gt;0,(ALT63-APG63)/ALT63,0)</f>
        <v>0</v>
      </c>
      <c r="CU64" s="20" t="n">
        <f aca="false">IF(ALU63&gt;0,(ALU63-APH63)/ALU63,0)</f>
        <v>0</v>
      </c>
      <c r="CV64" s="20" t="n">
        <f aca="false">IF(ALV63&gt;0,(ALV63-API63)/ALV63,0)</f>
        <v>0</v>
      </c>
      <c r="CW64" s="20" t="n">
        <f aca="false">IF(ALW63&gt;0,(ALW63-APJ63)/ALW63,0)</f>
        <v>0</v>
      </c>
      <c r="CX64" s="20" t="n">
        <f aca="false">IF(ALX63&gt;0,(ALX63-APK63)/ALX63,0)</f>
        <v>0</v>
      </c>
      <c r="CY64" s="20" t="n">
        <f aca="false">IF(ALY63&gt;0,(ALY63-APL63)/ALY63,0)</f>
        <v>0</v>
      </c>
      <c r="CZ64" s="20" t="n">
        <f aca="false">IF(ALZ63&gt;0,(ALZ63-APM63)/ALZ63,0)</f>
        <v>0</v>
      </c>
      <c r="DA64" s="20" t="n">
        <f aca="false">IF(AMA63&gt;0,(AMA63-APN63)/AMA63,0)</f>
        <v>0</v>
      </c>
      <c r="DB64" s="20" t="n">
        <f aca="false">IF(AMB63&gt;0,(AMB63-APO63)/AMB63,0)</f>
        <v>0</v>
      </c>
      <c r="DC64" s="20" t="n">
        <f aca="false">IF(AMC63&gt;0,(AMC63-APP63)/AMC63,0)</f>
        <v>0</v>
      </c>
      <c r="DD64" s="20" t="n">
        <f aca="false">IF(AMD63&gt;0,(AMD63-APQ63)/AMD63,0)</f>
        <v>0</v>
      </c>
      <c r="DE64" s="20" t="n">
        <f aca="false">IF(AME63&gt;0,(AME63-APR63)/AME63,0)</f>
        <v>0</v>
      </c>
      <c r="DF64" s="20" t="n">
        <f aca="false">IF(AMF63&gt;0,(AMF63-APS63)/AMF63,0)</f>
        <v>0</v>
      </c>
      <c r="DG64" s="20" t="n">
        <f aca="false">IF(AMG63&gt;0,(AMG63-APT63)/AMG63,0)</f>
        <v>0</v>
      </c>
      <c r="DH64" s="20" t="n">
        <f aca="false">IF(AMH63&gt;0,(AMH63-APU63)/AMH63,0)</f>
        <v>0</v>
      </c>
      <c r="DI64" s="20" t="n">
        <f aca="false">IF(AMI63&gt;0,(AMI63-APV63)/AMI63,0)</f>
        <v>0</v>
      </c>
      <c r="DJ64" s="20" t="n">
        <f aca="false">IF(AMJ63&gt;0,(AMJ63-APW63)/AMJ63,0)</f>
        <v>0</v>
      </c>
      <c r="DK64" s="20" t="n">
        <f aca="false">IF(AMK63&gt;0,(AMK63-APX63)/AMK63,0)</f>
        <v>0</v>
      </c>
      <c r="DL64" s="20" t="n">
        <f aca="false">IF(AML63&gt;0,(AML63-APY63)/AML63,0)</f>
        <v>0</v>
      </c>
      <c r="DM64" s="20" t="n">
        <f aca="false">IF(AMM63&gt;0,(AMM63-APZ63)/AMM63,0)</f>
        <v>0</v>
      </c>
      <c r="DN64" s="20" t="n">
        <f aca="false">IF(AMN63&gt;0,(AMN63-AQA63)/AMN63,0)</f>
        <v>0</v>
      </c>
      <c r="DO64" s="20" t="n">
        <f aca="false">IF(AMO63&gt;0,(AMO63-AQB63)/AMO63,0)</f>
        <v>0</v>
      </c>
      <c r="DP64" s="20" t="n">
        <f aca="false">IF(AMP63&gt;0,(AMP63-AQC63)/AMP63,0)</f>
        <v>0</v>
      </c>
      <c r="DQ64" s="20" t="n">
        <f aca="false">IF(AMQ63&gt;0,(AMQ63-AQD63)/AMQ63,0)</f>
        <v>0</v>
      </c>
      <c r="DR64" s="20" t="n">
        <f aca="false">IF(AMR63&gt;0,(AMR63-AQE63)/AMR63,0)</f>
        <v>0</v>
      </c>
      <c r="DS64" s="20" t="n">
        <f aca="false">IF(AMS63&gt;0,(AMS63-AQF63)/AMS63,0)</f>
        <v>0</v>
      </c>
      <c r="DT64" s="20" t="n">
        <f aca="false">IF(AMT63&gt;0,(AMT63-AQG63)/AMT63,0)</f>
        <v>0</v>
      </c>
      <c r="DU64" s="20" t="n">
        <f aca="false">IF(AMU63&gt;0,(AMU63-AQH63)/AMU63,0)</f>
        <v>0</v>
      </c>
      <c r="DV64" s="20" t="n">
        <f aca="false">IF(AMV63&gt;0,(AMV63-AQI63)/AMV63,0)</f>
        <v>0</v>
      </c>
      <c r="DW64" s="20" t="n">
        <f aca="false">IF((P64+S64)&gt;0,((P64+S64)-(P64+S64))/(P64+S64),0)</f>
        <v>0</v>
      </c>
      <c r="DX64" s="20" t="n">
        <v>0</v>
      </c>
      <c r="DY64" s="20" t="n">
        <v>0</v>
      </c>
      <c r="DZ64" s="20" t="n">
        <v>0</v>
      </c>
      <c r="EA64" s="20" t="n">
        <v>0</v>
      </c>
      <c r="EB64" s="20" t="n">
        <v>0</v>
      </c>
      <c r="EC64" s="20" t="n">
        <v>0</v>
      </c>
      <c r="ED64" s="20" t="n">
        <v>0</v>
      </c>
      <c r="EE64" s="20" t="n">
        <v>0</v>
      </c>
      <c r="EF64" s="20" t="n">
        <v>0</v>
      </c>
      <c r="EG64" s="20" t="n">
        <v>0</v>
      </c>
      <c r="EH64" s="20" t="n">
        <v>0</v>
      </c>
      <c r="EI64" s="20" t="n">
        <v>0</v>
      </c>
      <c r="EJ64" s="20" t="n">
        <v>0</v>
      </c>
      <c r="EK64" s="20" t="n">
        <v>0</v>
      </c>
      <c r="EL64" s="20" t="n">
        <v>0</v>
      </c>
      <c r="EM64" s="20" t="n">
        <v>0</v>
      </c>
      <c r="EN64" s="20" t="n">
        <v>0</v>
      </c>
      <c r="EO64" s="20" t="n">
        <v>0</v>
      </c>
      <c r="EP64" s="20" t="n">
        <v>0</v>
      </c>
      <c r="EQ64" s="20" t="n">
        <v>0</v>
      </c>
      <c r="ER64" s="20" t="n">
        <v>0</v>
      </c>
      <c r="ES64" s="20" t="n">
        <v>0</v>
      </c>
      <c r="ET64" s="20" t="n">
        <v>0</v>
      </c>
      <c r="EU64" s="20" t="n">
        <v>0</v>
      </c>
      <c r="EV64" s="20" t="n">
        <v>0</v>
      </c>
      <c r="EW64" s="20" t="n">
        <v>0</v>
      </c>
      <c r="EX64" s="20" t="n">
        <v>0</v>
      </c>
      <c r="EY64" s="20" t="n">
        <v>0</v>
      </c>
      <c r="EZ64" s="20" t="n">
        <v>0</v>
      </c>
      <c r="FA64" s="20" t="n">
        <v>0</v>
      </c>
      <c r="FB64" s="20" t="n">
        <v>0</v>
      </c>
      <c r="FC64" s="20" t="n">
        <v>0</v>
      </c>
      <c r="FD64" s="20" t="n">
        <v>0</v>
      </c>
      <c r="FE64" s="20" t="n">
        <f aca="false">IF(H_Direct=1,IF(AKR63&lt;=0,0,IF(BR64&lt;=0,AKR63,AKR63-G64*MAX(0,BR64*AKR63-(H64+I64)))),AKR63*(1-MAX(0,BR64)*H_Exit))</f>
        <v>0</v>
      </c>
      <c r="FF64" s="20" t="n">
        <f aca="false">IF(H_Direct=1,IF(AKS63&lt;=0,0,IF(BS64&lt;=0,AKS63,AKS63-G64*MAX(0,BS64*AKS63-(IR64+ME64)))),AKS63*(1-MAX(0,BS64)*H_Exit))</f>
        <v>0</v>
      </c>
      <c r="FG64" s="20" t="n">
        <f aca="false">IF(H_Direct=1,IF(AKT63&lt;=0,0,IF(BT64&lt;=0,AKT63,AKT63-G64*MAX(0,BT64*AKT63-(IS64+MF64)))),AKT63*(1-MAX(0,BT64)*H_Exit))</f>
        <v>0</v>
      </c>
      <c r="FH64" s="20" t="n">
        <f aca="false">IF(H_Direct=1,IF(AKU63&lt;=0,0,IF(BU64&lt;=0,AKU63,AKU63-G64*MAX(0,BU64*AKU63-(IT64+MG64)))),AKU63*(1-MAX(0,BU64)*H_Exit))</f>
        <v>0</v>
      </c>
      <c r="FI64" s="20" t="n">
        <f aca="false">IF(H_Direct=1,IF(AKV63&lt;=0,0,IF(BV64&lt;=0,AKV63,AKV63-G64*MAX(0,BV64*AKV63-(IU64+MH64)))),AKV63*(1-MAX(0,BV64)*H_Exit))</f>
        <v>0</v>
      </c>
      <c r="FJ64" s="20" t="n">
        <f aca="false">IF(H_Direct=1,IF(AKW63&lt;=0,0,IF(BW64&lt;=0,AKW63,AKW63-G64*MAX(0,BW64*AKW63-(IV64+MI64)))),AKW63*(1-MAX(0,BW64)*H_Exit))</f>
        <v>0</v>
      </c>
      <c r="FK64" s="20" t="n">
        <f aca="false">IF(H_Direct=1,IF(AKX63&lt;=0,0,IF(BX64&lt;=0,AKX63,AKX63-G64*MAX(0,BX64*AKX63-(IW64+MJ64)))),AKX63*(1-MAX(0,BX64)*H_Exit))</f>
        <v>0</v>
      </c>
      <c r="FL64" s="20" t="n">
        <f aca="false">IF(H_Direct=1,IF(AKY63&lt;=0,0,IF(BY64&lt;=0,AKY63,AKY63-G64*MAX(0,BY64*AKY63-(IX64+MK64)))),AKY63*(1-MAX(0,BY64)*H_Exit))</f>
        <v>0</v>
      </c>
      <c r="FM64" s="20" t="n">
        <f aca="false">IF(H_Direct=1,IF(AKZ63&lt;=0,0,IF(BZ64&lt;=0,AKZ63,AKZ63-G64*MAX(0,BZ64*AKZ63-(IY64+ML64)))),AKZ63*(1-MAX(0,BZ64)*H_Exit))</f>
        <v>0</v>
      </c>
      <c r="FN64" s="20" t="n">
        <f aca="false">IF(H_Direct=1,IF(ALA63&lt;=0,0,IF(CA64&lt;=0,ALA63,ALA63-G64*MAX(0,CA64*ALA63-(IZ64+MM64)))),ALA63*(1-MAX(0,CA64)*H_Exit))</f>
        <v>0</v>
      </c>
      <c r="FO64" s="20" t="n">
        <f aca="false">IF(H_Direct=1,IF(ALB63&lt;=0,0,IF(CB64&lt;=0,ALB63,ALB63-G64*MAX(0,CB64*ALB63-(JA64+MN64)))),ALB63*(1-MAX(0,CB64)*H_Exit))</f>
        <v>0</v>
      </c>
      <c r="FP64" s="20" t="n">
        <f aca="false">IF(H_Direct=1,IF(ALC63&lt;=0,0,IF(CC64&lt;=0,ALC63,ALC63-G64*MAX(0,CC64*ALC63-(JB64+MO64)))),ALC63*(1-MAX(0,CC64)*H_Exit))</f>
        <v>0</v>
      </c>
      <c r="FQ64" s="20" t="n">
        <f aca="false">IF(H_Direct=1,IF(ALD63&lt;=0,0,IF(CD64&lt;=0,ALD63,ALD63-G64*MAX(0,CD64*ALD63-(JC64+MP64)))),ALD63*(1-MAX(0,CD64)*H_Exit))</f>
        <v>0</v>
      </c>
      <c r="FR64" s="20" t="n">
        <f aca="false">IF(H_Direct=1,IF(ALE63&lt;=0,0,IF(CE64&lt;=0,ALE63,ALE63-G64*MAX(0,CE64*ALE63-(JD64+MQ64)))),ALE63*(1-MAX(0,CE64)*H_Exit))</f>
        <v>0</v>
      </c>
      <c r="FS64" s="20" t="n">
        <f aca="false">IF(H_Direct=1,IF(ALF63&lt;=0,0,IF(CF64&lt;=0,ALF63,ALF63-G64*MAX(0,CF64*ALF63-(JE64+MR64)))),ALF63*(1-MAX(0,CF64)*H_Exit))</f>
        <v>0</v>
      </c>
      <c r="FT64" s="20" t="n">
        <f aca="false">IF(H_Direct=1,IF(ALG63&lt;=0,0,IF(CG64&lt;=0,ALG63,ALG63-G64*MAX(0,CG64*ALG63-(JF64+MS64)))),ALG63*(1-MAX(0,CG64)*H_Exit))</f>
        <v>0</v>
      </c>
      <c r="FU64" s="20" t="n">
        <f aca="false">IF(H_Direct=1,IF(ALH63&lt;=0,0,IF(CH64&lt;=0,ALH63,ALH63-G64*MAX(0,CH64*ALH63-(JG64+MT64)))),ALH63*(1-MAX(0,CH64)*H_Exit))</f>
        <v>0</v>
      </c>
      <c r="FV64" s="20" t="n">
        <f aca="false">IF(H_Direct=1,IF(ALI63&lt;=0,0,IF(CI64&lt;=0,ALI63,ALI63-G64*MAX(0,CI64*ALI63-(JH64+MU64)))),ALI63*(1-MAX(0,CI64)*H_Exit))</f>
        <v>0</v>
      </c>
      <c r="FW64" s="20" t="n">
        <f aca="false">IF(H_Direct=1,IF(ALJ63&lt;=0,0,IF(CJ64&lt;=0,ALJ63,ALJ63-G64*MAX(0,CJ64*ALJ63-(JI64+MV64)))),ALJ63*(1-MAX(0,CJ64)*H_Exit))</f>
        <v>0</v>
      </c>
      <c r="FX64" s="20" t="n">
        <f aca="false">IF(H_Direct=1,IF(ALK63&lt;=0,0,IF(CK64&lt;=0,ALK63,ALK63-G64*MAX(0,CK64*ALK63-(JJ64+MW64)))),ALK63*(1-MAX(0,CK64)*H_Exit))</f>
        <v>0</v>
      </c>
      <c r="FY64" s="20" t="n">
        <f aca="false">IF(H_Direct=1,IF(ALL63&lt;=0,0,IF(CL64&lt;=0,ALL63,ALL63-G64*MAX(0,CL64*ALL63-(JK64+MX64)))),ALL63*(1-MAX(0,CL64)*H_Exit))</f>
        <v>0</v>
      </c>
      <c r="FZ64" s="20" t="n">
        <f aca="false">IF(H_Direct=1,IF(ALM63&lt;=0,0,IF(CM64&lt;=0,ALM63,ALM63-G64*MAX(0,CM64*ALM63-(JL64+MY64)))),ALM63*(1-MAX(0,CM64)*H_Exit))</f>
        <v>0</v>
      </c>
      <c r="GA64" s="20" t="n">
        <f aca="false">IF(H_Direct=1,IF(ALN63&lt;=0,0,IF(CN64&lt;=0,ALN63,ALN63-G64*MAX(0,CN64*ALN63-(JM64+MZ64)))),ALN63*(1-MAX(0,CN64)*H_Exit))</f>
        <v>0</v>
      </c>
      <c r="GB64" s="20" t="n">
        <f aca="false">IF(H_Direct=1,IF(ALO63&lt;=0,0,IF(CO64&lt;=0,ALO63,ALO63-G64*MAX(0,CO64*ALO63-(JN64+NA64)))),ALO63*(1-MAX(0,CO64)*H_Exit))</f>
        <v>0</v>
      </c>
      <c r="GC64" s="20" t="n">
        <f aca="false">IF(H_Direct=1,IF(ALP63&lt;=0,0,IF(CP64&lt;=0,ALP63,ALP63-G64*MAX(0,CP64*ALP63-(JO64+NB64)))),ALP63*(1-MAX(0,CP64)*H_Exit))</f>
        <v>0</v>
      </c>
      <c r="GD64" s="20" t="n">
        <f aca="false">IF(H_Direct=1,IF(ALQ63&lt;=0,0,IF(CQ64&lt;=0,ALQ63,ALQ63-G64*MAX(0,CQ64*ALQ63-(JP64+NC64)))),ALQ63*(1-MAX(0,CQ64)*H_Exit))</f>
        <v>0</v>
      </c>
      <c r="GE64" s="20" t="n">
        <f aca="false">IF(H_Direct=1,IF(ALR63&lt;=0,0,IF(CR64&lt;=0,ALR63,ALR63-G64*MAX(0,CR64*ALR63-(JQ64+ND64)))),ALR63*(1-MAX(0,CR64)*H_Exit))</f>
        <v>0</v>
      </c>
      <c r="GF64" s="20" t="n">
        <f aca="false">IF(H_Direct=1,IF(ALS63&lt;=0,0,IF(CS64&lt;=0,ALS63,ALS63-G64*MAX(0,CS64*ALS63-(JR64+NE64)))),ALS63*(1-MAX(0,CS64)*H_Exit))</f>
        <v>0</v>
      </c>
      <c r="GG64" s="20" t="n">
        <f aca="false">IF(H_Direct=1,IF(ALT63&lt;=0,0,IF(CT64&lt;=0,ALT63,ALT63-G64*MAX(0,CT64*ALT63-(JS64+NF64)))),ALT63*(1-MAX(0,CT64)*H_Exit))</f>
        <v>0</v>
      </c>
      <c r="GH64" s="20" t="n">
        <f aca="false">IF(H_Direct=1,IF(ALU63&lt;=0,0,IF(CU64&lt;=0,ALU63,ALU63-G64*MAX(0,CU64*ALU63-(JT64+NG64)))),ALU63*(1-MAX(0,CU64)*H_Exit))</f>
        <v>0</v>
      </c>
      <c r="GI64" s="20" t="n">
        <f aca="false">IF(H_Direct=1,IF(ALV63&lt;=0,0,IF(CV64&lt;=0,ALV63,ALV63-G64*MAX(0,CV64*ALV63-(JU64+NH64)))),ALV63*(1-MAX(0,CV64)*H_Exit))</f>
        <v>0</v>
      </c>
      <c r="GJ64" s="20" t="n">
        <f aca="false">IF(H_Direct=1,IF(ALW63&lt;=0,0,IF(CW64&lt;=0,ALW63,ALW63-G64*MAX(0,CW64*ALW63-(JV64+NI64)))),ALW63*(1-MAX(0,CW64)*H_Exit))</f>
        <v>0</v>
      </c>
      <c r="GK64" s="20" t="n">
        <f aca="false">IF(H_Direct=1,IF(ALX63&lt;=0,0,IF(CX64&lt;=0,ALX63,ALX63-G64*MAX(0,CX64*ALX63-(JW64+NJ64)))),ALX63*(1-MAX(0,CX64)*H_Exit))</f>
        <v>0</v>
      </c>
      <c r="GL64" s="20" t="n">
        <f aca="false">IF(H_Direct=1,IF(ALY63&lt;=0,0,IF(CY64&lt;=0,ALY63,ALY63-G64*MAX(0,CY64*ALY63-(JX64+NK64)))),ALY63*(1-MAX(0,CY64)*H_Exit))</f>
        <v>0</v>
      </c>
      <c r="GM64" s="20" t="n">
        <f aca="false">IF(H_Direct=1,IF(ALZ63&lt;=0,0,IF(CZ64&lt;=0,ALZ63,ALZ63-G64*MAX(0,CZ64*ALZ63-(JY64+NL64)))),ALZ63*(1-MAX(0,CZ64)*H_Exit))</f>
        <v>0</v>
      </c>
      <c r="GN64" s="20" t="n">
        <f aca="false">IF(H_Direct=1,IF(AMA63&lt;=0,0,IF(DA64&lt;=0,AMA63,AMA63-G64*MAX(0,DA64*AMA63-(JZ64+NM64)))),AMA63*(1-MAX(0,DA64)*H_Exit))</f>
        <v>0</v>
      </c>
      <c r="GO64" s="20" t="n">
        <f aca="false">IF(H_Direct=1,IF(AMB63&lt;=0,0,IF(DB64&lt;=0,AMB63,AMB63-G64*MAX(0,DB64*AMB63-(KA64+NN64)))),AMB63*(1-MAX(0,DB64)*H_Exit))</f>
        <v>0</v>
      </c>
      <c r="GP64" s="20" t="n">
        <f aca="false">IF(H_Direct=1,IF(AMC63&lt;=0,0,IF(DC64&lt;=0,AMC63,AMC63-G64*MAX(0,DC64*AMC63-(KB64+NO64)))),AMC63*(1-MAX(0,DC64)*H_Exit))</f>
        <v>0</v>
      </c>
      <c r="GQ64" s="20" t="n">
        <f aca="false">IF(H_Direct=1,IF(AMD63&lt;=0,0,IF(DD64&lt;=0,AMD63,AMD63-G64*MAX(0,DD64*AMD63-(KC64+NP64)))),AMD63*(1-MAX(0,DD64)*H_Exit))</f>
        <v>0</v>
      </c>
      <c r="GR64" s="20" t="n">
        <f aca="false">IF(H_Direct=1,IF(AME63&lt;=0,0,IF(DE64&lt;=0,AME63,AME63-G64*MAX(0,DE64*AME63-(KD64+NQ64)))),AME63*(1-MAX(0,DE64)*H_Exit))</f>
        <v>0</v>
      </c>
      <c r="GS64" s="20" t="n">
        <f aca="false">IF(H_Direct=1,IF(AMF63&lt;=0,0,IF(DF64&lt;=0,AMF63,AMF63-G64*MAX(0,DF64*AMF63-(KE64+NR64)))),AMF63*(1-MAX(0,DF64)*H_Exit))</f>
        <v>0</v>
      </c>
      <c r="GT64" s="20" t="n">
        <f aca="false">IF(H_Direct=1,IF(AMG63&lt;=0,0,IF(DG64&lt;=0,AMG63,AMG63-G64*MAX(0,DG64*AMG63-(KF64+NS64)))),AMG63*(1-MAX(0,DG64)*H_Exit))</f>
        <v>0</v>
      </c>
      <c r="GU64" s="20" t="n">
        <f aca="false">IF(H_Direct=1,IF(AMH63&lt;=0,0,IF(DH64&lt;=0,AMH63,AMH63-G64*MAX(0,DH64*AMH63-(KG64+NT64)))),AMH63*(1-MAX(0,DH64)*H_Exit))</f>
        <v>0</v>
      </c>
      <c r="GV64" s="20" t="n">
        <f aca="false">IF(H_Direct=1,IF(AMI63&lt;=0,0,IF(DI64&lt;=0,AMI63,AMI63-G64*MAX(0,DI64*AMI63-(KH64+NU64)))),AMI63*(1-MAX(0,DI64)*H_Exit))</f>
        <v>0</v>
      </c>
      <c r="GW64" s="20" t="n">
        <f aca="false">IF(H_Direct=1,IF(AMJ63&lt;=0,0,IF(DJ64&lt;=0,AMJ63,AMJ63-G64*MAX(0,DJ64*AMJ63-(KI64+NV64)))),AMJ63*(1-MAX(0,DJ64)*H_Exit))</f>
        <v>0</v>
      </c>
      <c r="GX64" s="20" t="n">
        <f aca="false">IF(H_Direct=1,IF(AMK63&lt;=0,0,IF(DK64&lt;=0,AMK63,AMK63-G64*MAX(0,DK64*AMK63-(KJ64+NW64)))),AMK63*(1-MAX(0,DK64)*H_Exit))</f>
        <v>0</v>
      </c>
      <c r="GY64" s="20" t="n">
        <f aca="false">IF(H_Direct=1,IF(AML63&lt;=0,0,IF(DL64&lt;=0,AML63,AML63-G64*MAX(0,DL64*AML63-(KK64+NX64)))),AML63*(1-MAX(0,DL64)*H_Exit))</f>
        <v>0</v>
      </c>
      <c r="GZ64" s="20" t="n">
        <f aca="false">IF(H_Direct=1,IF(AMM63&lt;=0,0,IF(DM64&lt;=0,AMM63,AMM63-G64*MAX(0,DM64*AMM63-(KL64+NY64)))),AMM63*(1-MAX(0,DM64)*H_Exit))</f>
        <v>0</v>
      </c>
      <c r="HA64" s="20" t="n">
        <f aca="false">IF(H_Direct=1,IF(AMN63&lt;=0,0,IF(DN64&lt;=0,AMN63,AMN63-G64*MAX(0,DN64*AMN63-(KM64+NZ64)))),AMN63*(1-MAX(0,DN64)*H_Exit))</f>
        <v>0</v>
      </c>
      <c r="HB64" s="20" t="n">
        <f aca="false">IF(H_Direct=1,IF(AMO63&lt;=0,0,IF(DO64&lt;=0,AMO63,AMO63-G64*MAX(0,DO64*AMO63-(KN64+OA64)))),AMO63*(1-MAX(0,DO64)*H_Exit))</f>
        <v>0</v>
      </c>
      <c r="HC64" s="20" t="n">
        <f aca="false">IF(H_Direct=1,IF(AMP63&lt;=0,0,IF(DP64&lt;=0,AMP63,AMP63-G64*MAX(0,DP64*AMP63-(KO64+OB64)))),AMP63*(1-MAX(0,DP64)*H_Exit))</f>
        <v>0</v>
      </c>
      <c r="HD64" s="20" t="n">
        <f aca="false">IF(H_Direct=1,IF(AMQ63&lt;=0,0,IF(DQ64&lt;=0,AMQ63,AMQ63-G64*MAX(0,DQ64*AMQ63-(KP64+OC64)))),AMQ63*(1-MAX(0,DQ64)*H_Exit))</f>
        <v>0</v>
      </c>
      <c r="HE64" s="20" t="n">
        <f aca="false">IF(H_Direct=1,IF(AMR63&lt;=0,0,IF(DR64&lt;=0,AMR63,AMR63-G64*MAX(0,DR64*AMR63-(KQ64+OD64)))),AMR63*(1-MAX(0,DR64)*H_Exit))</f>
        <v>0</v>
      </c>
      <c r="HF64" s="20" t="n">
        <f aca="false">IF(H_Direct=1,IF(AMS63&lt;=0,0,IF(DS64&lt;=0,AMS63,AMS63-G64*MAX(0,DS64*AMS63-(KR64+OE64)))),AMS63*(1-MAX(0,DS64)*H_Exit))</f>
        <v>0</v>
      </c>
      <c r="HG64" s="20" t="n">
        <f aca="false">IF(H_Direct=1,IF(AMT63&lt;=0,0,IF(DT64&lt;=0,AMT63,AMT63-G64*MAX(0,DT64*AMT63-(KS64+OF64)))),AMT63*(1-MAX(0,DT64)*H_Exit))</f>
        <v>0</v>
      </c>
      <c r="HH64" s="20" t="n">
        <f aca="false">IF(H_Direct=1,IF(AMU63&lt;=0,0,IF(DU64&lt;=0,AMU63,AMU63-G64*MAX(0,DU64*AMU63-(KT64+OG64)))),AMU63*(1-MAX(0,DU64)*H_Exit))</f>
        <v>0</v>
      </c>
      <c r="HI64" s="20" t="n">
        <f aca="false">IF(H_Direct=1,IF(AMV63&lt;=0,0,IF(DV64&lt;=0,AMV63,AMV63-G64*MAX(0,DV64*AMV63-(KU64+OH64)))),AMV63*(1-MAX(0,DV64)*H_Exit))</f>
        <v>0</v>
      </c>
      <c r="HJ64" s="20" t="n">
        <f aca="false">IF(H_Direct=1,IF((P64+S64)&lt;=0,0,IF(DW64&lt;=0,(P64+S64),(P64+S64)-G64*MAX(0,DW64*(P64+S64)-(KV64+OI64)))),(P64+S64)*(1-MAX(0,DW64)*H_Exit))</f>
        <v>0</v>
      </c>
      <c r="HK64" s="20" t="n">
        <v>0</v>
      </c>
      <c r="HL64" s="20" t="n">
        <v>0</v>
      </c>
      <c r="HM64" s="20" t="n">
        <v>0</v>
      </c>
      <c r="HN64" s="20" t="n">
        <v>0</v>
      </c>
      <c r="HO64" s="20" t="n">
        <v>0</v>
      </c>
      <c r="HP64" s="20" t="n">
        <v>0</v>
      </c>
      <c r="HQ64" s="20" t="n">
        <v>0</v>
      </c>
      <c r="HR64" s="20" t="n">
        <v>0</v>
      </c>
      <c r="HS64" s="20" t="n">
        <v>0</v>
      </c>
      <c r="HT64" s="20" t="n">
        <v>0</v>
      </c>
      <c r="HU64" s="20" t="n">
        <v>0</v>
      </c>
      <c r="HV64" s="20" t="n">
        <v>0</v>
      </c>
      <c r="HW64" s="20" t="n">
        <v>0</v>
      </c>
      <c r="HX64" s="20" t="n">
        <v>0</v>
      </c>
      <c r="HY64" s="20" t="n">
        <v>0</v>
      </c>
      <c r="HZ64" s="20" t="n">
        <v>0</v>
      </c>
      <c r="IA64" s="20" t="n">
        <v>0</v>
      </c>
      <c r="IB64" s="20" t="n">
        <v>0</v>
      </c>
      <c r="IC64" s="20" t="n">
        <v>0</v>
      </c>
      <c r="ID64" s="20" t="n">
        <v>0</v>
      </c>
      <c r="IE64" s="20" t="n">
        <v>0</v>
      </c>
      <c r="IF64" s="20" t="n">
        <v>0</v>
      </c>
      <c r="IG64" s="20" t="n">
        <v>0</v>
      </c>
      <c r="IH64" s="20" t="n">
        <v>0</v>
      </c>
      <c r="II64" s="20" t="n">
        <v>0</v>
      </c>
      <c r="IJ64" s="20" t="n">
        <v>0</v>
      </c>
      <c r="IK64" s="20" t="n">
        <v>0</v>
      </c>
      <c r="IL64" s="20" t="n">
        <v>0</v>
      </c>
      <c r="IM64" s="20" t="n">
        <v>0</v>
      </c>
      <c r="IN64" s="20" t="n">
        <v>0</v>
      </c>
      <c r="IO64" s="20" t="n">
        <v>0</v>
      </c>
      <c r="IP64" s="20" t="n">
        <v>0</v>
      </c>
      <c r="IQ64" s="20" t="n">
        <v>0</v>
      </c>
      <c r="IR64" s="20" t="n">
        <f aca="false">IF(AND(H_Direct=1,BR64&gt;0),MAX(0,H64-(MIN(BR64*AKR63,H64+I64)-MIN(MIN(BR64*AKR63,H64+I64),I64))),H64)</f>
        <v>1270</v>
      </c>
      <c r="IS64" s="20" t="n">
        <f aca="false">IF(AND(H_Direct=1,BS64&gt;0),MAX(0,IR64-(MIN(BS64*AKS63,IR64+ME64)-MIN(MIN(BS64*AKS63,IR64+ME64),ME64))),IR64)</f>
        <v>1270</v>
      </c>
      <c r="IT64" s="20" t="n">
        <f aca="false">IF(AND(H_Direct=1,BT64&gt;0),MAX(0,IS64-(MIN(BT64*AKT63,IS64+MF64)-MIN(MIN(BT64*AKT63,IS64+MF64),MF64))),IS64)</f>
        <v>1270</v>
      </c>
      <c r="IU64" s="20" t="n">
        <f aca="false">IF(AND(H_Direct=1,BU64&gt;0),MAX(0,IT64-(MIN(BU64*AKU63,IT64+MG64)-MIN(MIN(BU64*AKU63,IT64+MG64),MG64))),IT64)</f>
        <v>1270</v>
      </c>
      <c r="IV64" s="20" t="n">
        <f aca="false">IF(AND(H_Direct=1,BV64&gt;0),MAX(0,IU64-(MIN(BV64*AKV63,IU64+MH64)-MIN(MIN(BV64*AKV63,IU64+MH64),MH64))),IU64)</f>
        <v>1270</v>
      </c>
      <c r="IW64" s="20" t="n">
        <f aca="false">IF(AND(H_Direct=1,BW64&gt;0),MAX(0,IV64-(MIN(BW64*AKW63,IV64+MI64)-MIN(MIN(BW64*AKW63,IV64+MI64),MI64))),IV64)</f>
        <v>1270</v>
      </c>
      <c r="IX64" s="20" t="n">
        <f aca="false">IF(AND(H_Direct=1,BX64&gt;0),MAX(0,IW64-(MIN(BX64*AKX63,IW64+MJ64)-MIN(MIN(BX64*AKX63,IW64+MJ64),MJ64))),IW64)</f>
        <v>1270</v>
      </c>
      <c r="IY64" s="20" t="n">
        <f aca="false">IF(AND(H_Direct=1,BY64&gt;0),MAX(0,IX64-(MIN(BY64*AKY63,IX64+MK64)-MIN(MIN(BY64*AKY63,IX64+MK64),MK64))),IX64)</f>
        <v>1270</v>
      </c>
      <c r="IZ64" s="20" t="n">
        <f aca="false">IF(AND(H_Direct=1,BZ64&gt;0),MAX(0,IY64-(MIN(BZ64*AKZ63,IY64+ML64)-MIN(MIN(BZ64*AKZ63,IY64+ML64),ML64))),IY64)</f>
        <v>1270</v>
      </c>
      <c r="JA64" s="20" t="n">
        <f aca="false">IF(AND(H_Direct=1,CA64&gt;0),MAX(0,IZ64-(MIN(CA64*ALA63,IZ64+MM64)-MIN(MIN(CA64*ALA63,IZ64+MM64),MM64))),IZ64)</f>
        <v>1270</v>
      </c>
      <c r="JB64" s="20" t="n">
        <f aca="false">IF(AND(H_Direct=1,CB64&gt;0),MAX(0,JA64-(MIN(CB64*ALB63,JA64+MN64)-MIN(MIN(CB64*ALB63,JA64+MN64),MN64))),JA64)</f>
        <v>1270</v>
      </c>
      <c r="JC64" s="20" t="n">
        <f aca="false">IF(AND(H_Direct=1,CC64&gt;0),MAX(0,JB64-(MIN(CC64*ALC63,JB64+MO64)-MIN(MIN(CC64*ALC63,JB64+MO64),MO64))),JB64)</f>
        <v>1270</v>
      </c>
      <c r="JD64" s="20" t="n">
        <f aca="false">IF(AND(H_Direct=1,CD64&gt;0),MAX(0,JC64-(MIN(CD64*ALD63,JC64+MP64)-MIN(MIN(CD64*ALD63,JC64+MP64),MP64))),JC64)</f>
        <v>1270</v>
      </c>
      <c r="JE64" s="20" t="n">
        <f aca="false">IF(AND(H_Direct=1,CE64&gt;0),MAX(0,JD64-(MIN(CE64*ALE63,JD64+MQ64)-MIN(MIN(CE64*ALE63,JD64+MQ64),MQ64))),JD64)</f>
        <v>1270</v>
      </c>
      <c r="JF64" s="20" t="n">
        <f aca="false">IF(AND(H_Direct=1,CF64&gt;0),MAX(0,JE64-(MIN(CF64*ALF63,JE64+MR64)-MIN(MIN(CF64*ALF63,JE64+MR64),MR64))),JE64)</f>
        <v>1270</v>
      </c>
      <c r="JG64" s="20" t="n">
        <f aca="false">IF(AND(H_Direct=1,CG64&gt;0),MAX(0,JF64-(MIN(CG64*ALG63,JF64+MS64)-MIN(MIN(CG64*ALG63,JF64+MS64),MS64))),JF64)</f>
        <v>1270</v>
      </c>
      <c r="JH64" s="20" t="n">
        <f aca="false">IF(AND(H_Direct=1,CH64&gt;0),MAX(0,JG64-(MIN(CH64*ALH63,JG64+MT64)-MIN(MIN(CH64*ALH63,JG64+MT64),MT64))),JG64)</f>
        <v>1270</v>
      </c>
      <c r="JI64" s="20" t="n">
        <f aca="false">IF(AND(H_Direct=1,CI64&gt;0),MAX(0,JH64-(MIN(CI64*ALI63,JH64+MU64)-MIN(MIN(CI64*ALI63,JH64+MU64),MU64))),JH64)</f>
        <v>1270</v>
      </c>
      <c r="JJ64" s="20" t="n">
        <f aca="false">IF(AND(H_Direct=1,CJ64&gt;0),MAX(0,JI64-(MIN(CJ64*ALJ63,JI64+MV64)-MIN(MIN(CJ64*ALJ63,JI64+MV64),MV64))),JI64)</f>
        <v>1270</v>
      </c>
      <c r="JK64" s="20" t="n">
        <f aca="false">IF(AND(H_Direct=1,CK64&gt;0),MAX(0,JJ64-(MIN(CK64*ALK63,JJ64+MW64)-MIN(MIN(CK64*ALK63,JJ64+MW64),MW64))),JJ64)</f>
        <v>1270</v>
      </c>
      <c r="JL64" s="20" t="n">
        <f aca="false">IF(AND(H_Direct=1,CL64&gt;0),MAX(0,JK64-(MIN(CL64*ALL63,JK64+MX64)-MIN(MIN(CL64*ALL63,JK64+MX64),MX64))),JK64)</f>
        <v>1270</v>
      </c>
      <c r="JM64" s="20" t="n">
        <f aca="false">IF(AND(H_Direct=1,CM64&gt;0),MAX(0,JL64-(MIN(CM64*ALM63,JL64+MY64)-MIN(MIN(CM64*ALM63,JL64+MY64),MY64))),JL64)</f>
        <v>1270</v>
      </c>
      <c r="JN64" s="20" t="n">
        <f aca="false">IF(AND(H_Direct=1,CN64&gt;0),MAX(0,JM64-(MIN(CN64*ALN63,JM64+MZ64)-MIN(MIN(CN64*ALN63,JM64+MZ64),MZ64))),JM64)</f>
        <v>1270</v>
      </c>
      <c r="JO64" s="20" t="n">
        <f aca="false">IF(AND(H_Direct=1,CO64&gt;0),MAX(0,JN64-(MIN(CO64*ALO63,JN64+NA64)-MIN(MIN(CO64*ALO63,JN64+NA64),NA64))),JN64)</f>
        <v>1270</v>
      </c>
      <c r="JP64" s="20" t="n">
        <f aca="false">IF(AND(H_Direct=1,CP64&gt;0),MAX(0,JO64-(MIN(CP64*ALP63,JO64+NB64)-MIN(MIN(CP64*ALP63,JO64+NB64),NB64))),JO64)</f>
        <v>1270</v>
      </c>
      <c r="JQ64" s="20" t="n">
        <f aca="false">IF(AND(H_Direct=1,CQ64&gt;0),MAX(0,JP64-(MIN(CQ64*ALQ63,JP64+NC64)-MIN(MIN(CQ64*ALQ63,JP64+NC64),NC64))),JP64)</f>
        <v>1270</v>
      </c>
      <c r="JR64" s="20" t="n">
        <f aca="false">IF(AND(H_Direct=1,CR64&gt;0),MAX(0,JQ64-(MIN(CR64*ALR63,JQ64+ND64)-MIN(MIN(CR64*ALR63,JQ64+ND64),ND64))),JQ64)</f>
        <v>1270</v>
      </c>
      <c r="JS64" s="20" t="n">
        <f aca="false">IF(AND(H_Direct=1,CS64&gt;0),MAX(0,JR64-(MIN(CS64*ALS63,JR64+NE64)-MIN(MIN(CS64*ALS63,JR64+NE64),NE64))),JR64)</f>
        <v>1270</v>
      </c>
      <c r="JT64" s="20" t="n">
        <f aca="false">IF(AND(H_Direct=1,CT64&gt;0),MAX(0,JS64-(MIN(CT64*ALT63,JS64+NF64)-MIN(MIN(CT64*ALT63,JS64+NF64),NF64))),JS64)</f>
        <v>1270</v>
      </c>
      <c r="JU64" s="20" t="n">
        <f aca="false">IF(AND(H_Direct=1,CU64&gt;0),MAX(0,JT64-(MIN(CU64*ALU63,JT64+NG64)-MIN(MIN(CU64*ALU63,JT64+NG64),NG64))),JT64)</f>
        <v>1270</v>
      </c>
      <c r="JV64" s="20" t="n">
        <f aca="false">IF(AND(H_Direct=1,CV64&gt;0),MAX(0,JU64-(MIN(CV64*ALV63,JU64+NH64)-MIN(MIN(CV64*ALV63,JU64+NH64),NH64))),JU64)</f>
        <v>1270</v>
      </c>
      <c r="JW64" s="20" t="n">
        <f aca="false">IF(AND(H_Direct=1,CW64&gt;0),MAX(0,JV64-(MIN(CW64*ALW63,JV64+NI64)-MIN(MIN(CW64*ALW63,JV64+NI64),NI64))),JV64)</f>
        <v>1270</v>
      </c>
      <c r="JX64" s="20" t="n">
        <f aca="false">IF(AND(H_Direct=1,CX64&gt;0),MAX(0,JW64-(MIN(CX64*ALX63,JW64+NJ64)-MIN(MIN(CX64*ALX63,JW64+NJ64),NJ64))),JW64)</f>
        <v>1270</v>
      </c>
      <c r="JY64" s="20" t="n">
        <f aca="false">IF(AND(H_Direct=1,CY64&gt;0),MAX(0,JX64-(MIN(CY64*ALY63,JX64+NK64)-MIN(MIN(CY64*ALY63,JX64+NK64),NK64))),JX64)</f>
        <v>1270</v>
      </c>
      <c r="JZ64" s="20" t="n">
        <f aca="false">IF(AND(H_Direct=1,CZ64&gt;0),MAX(0,JY64-(MIN(CZ64*ALZ63,JY64+NL64)-MIN(MIN(CZ64*ALZ63,JY64+NL64),NL64))),JY64)</f>
        <v>1270</v>
      </c>
      <c r="KA64" s="20" t="n">
        <f aca="false">IF(AND(H_Direct=1,DA64&gt;0),MAX(0,JZ64-(MIN(DA64*AMA63,JZ64+NM64)-MIN(MIN(DA64*AMA63,JZ64+NM64),NM64))),JZ64)</f>
        <v>1270</v>
      </c>
      <c r="KB64" s="20" t="n">
        <f aca="false">IF(AND(H_Direct=1,DB64&gt;0),MAX(0,KA64-(MIN(DB64*AMB63,KA64+NN64)-MIN(MIN(DB64*AMB63,KA64+NN64),NN64))),KA64)</f>
        <v>1270</v>
      </c>
      <c r="KC64" s="20" t="n">
        <f aca="false">IF(AND(H_Direct=1,DC64&gt;0),MAX(0,KB64-(MIN(DC64*AMC63,KB64+NO64)-MIN(MIN(DC64*AMC63,KB64+NO64),NO64))),KB64)</f>
        <v>1270</v>
      </c>
      <c r="KD64" s="20" t="n">
        <f aca="false">IF(AND(H_Direct=1,DD64&gt;0),MAX(0,KC64-(MIN(DD64*AMD63,KC64+NP64)-MIN(MIN(DD64*AMD63,KC64+NP64),NP64))),KC64)</f>
        <v>1270</v>
      </c>
      <c r="KE64" s="20" t="n">
        <f aca="false">IF(AND(H_Direct=1,DE64&gt;0),MAX(0,KD64-(MIN(DE64*AME63,KD64+NQ64)-MIN(MIN(DE64*AME63,KD64+NQ64),NQ64))),KD64)</f>
        <v>1270</v>
      </c>
      <c r="KF64" s="20" t="n">
        <f aca="false">IF(AND(H_Direct=1,DF64&gt;0),MAX(0,KE64-(MIN(DF64*AMF63,KE64+NR64)-MIN(MIN(DF64*AMF63,KE64+NR64),NR64))),KE64)</f>
        <v>1270</v>
      </c>
      <c r="KG64" s="20" t="n">
        <f aca="false">IF(AND(H_Direct=1,DG64&gt;0),MAX(0,KF64-(MIN(DG64*AMG63,KF64+NS64)-MIN(MIN(DG64*AMG63,KF64+NS64),NS64))),KF64)</f>
        <v>1270</v>
      </c>
      <c r="KH64" s="20" t="n">
        <f aca="false">IF(AND(H_Direct=1,DH64&gt;0),MAX(0,KG64-(MIN(DH64*AMH63,KG64+NT64)-MIN(MIN(DH64*AMH63,KG64+NT64),NT64))),KG64)</f>
        <v>1270</v>
      </c>
      <c r="KI64" s="20" t="n">
        <f aca="false">IF(AND(H_Direct=1,DI64&gt;0),MAX(0,KH64-(MIN(DI64*AMI63,KH64+NU64)-MIN(MIN(DI64*AMI63,KH64+NU64),NU64))),KH64)</f>
        <v>1270</v>
      </c>
      <c r="KJ64" s="20" t="n">
        <f aca="false">IF(AND(H_Direct=1,DJ64&gt;0),MAX(0,KI64-(MIN(DJ64*AMJ63,KI64+NV64)-MIN(MIN(DJ64*AMJ63,KI64+NV64),NV64))),KI64)</f>
        <v>1270</v>
      </c>
      <c r="KK64" s="20" t="n">
        <f aca="false">IF(AND(H_Direct=1,DK64&gt;0),MAX(0,KJ64-(MIN(DK64*AMK63,KJ64+NW64)-MIN(MIN(DK64*AMK63,KJ64+NW64),NW64))),KJ64)</f>
        <v>1270</v>
      </c>
      <c r="KL64" s="20" t="n">
        <f aca="false">IF(AND(H_Direct=1,DL64&gt;0),MAX(0,KK64-(MIN(DL64*AML63,KK64+NX64)-MIN(MIN(DL64*AML63,KK64+NX64),NX64))),KK64)</f>
        <v>1270</v>
      </c>
      <c r="KM64" s="20" t="n">
        <f aca="false">IF(AND(H_Direct=1,DM64&gt;0),MAX(0,KL64-(MIN(DM64*AMM63,KL64+NY64)-MIN(MIN(DM64*AMM63,KL64+NY64),NY64))),KL64)</f>
        <v>1270</v>
      </c>
      <c r="KN64" s="20" t="n">
        <f aca="false">IF(AND(H_Direct=1,DN64&gt;0),MAX(0,KM64-(MIN(DN64*AMN63,KM64+NZ64)-MIN(MIN(DN64*AMN63,KM64+NZ64),NZ64))),KM64)</f>
        <v>1270</v>
      </c>
      <c r="KO64" s="20" t="n">
        <f aca="false">IF(AND(H_Direct=1,DO64&gt;0),MAX(0,KN64-(MIN(DO64*AMO63,KN64+OA64)-MIN(MIN(DO64*AMO63,KN64+OA64),OA64))),KN64)</f>
        <v>1270</v>
      </c>
      <c r="KP64" s="20" t="n">
        <f aca="false">IF(AND(H_Direct=1,DP64&gt;0),MAX(0,KO64-(MIN(DP64*AMP63,KO64+OB64)-MIN(MIN(DP64*AMP63,KO64+OB64),OB64))),KO64)</f>
        <v>1270</v>
      </c>
      <c r="KQ64" s="20" t="n">
        <f aca="false">IF(AND(H_Direct=1,DQ64&gt;0),MAX(0,KP64-(MIN(DQ64*AMQ63,KP64+OC64)-MIN(MIN(DQ64*AMQ63,KP64+OC64),OC64))),KP64)</f>
        <v>1270</v>
      </c>
      <c r="KR64" s="20" t="n">
        <f aca="false">IF(AND(H_Direct=1,DR64&gt;0),MAX(0,KQ64-(MIN(DR64*AMR63,KQ64+OD64)-MIN(MIN(DR64*AMR63,KQ64+OD64),OD64))),KQ64)</f>
        <v>1270</v>
      </c>
      <c r="KS64" s="20" t="n">
        <f aca="false">IF(AND(H_Direct=1,DS64&gt;0),MAX(0,KR64-(MIN(DS64*AMS63,KR64+OE64)-MIN(MIN(DS64*AMS63,KR64+OE64),OE64))),KR64)</f>
        <v>1270</v>
      </c>
      <c r="KT64" s="20" t="n">
        <f aca="false">IF(AND(H_Direct=1,DT64&gt;0),MAX(0,KS64-(MIN(DT64*AMT63,KS64+OF64)-MIN(MIN(DT64*AMT63,KS64+OF64),OF64))),KS64)</f>
        <v>1270</v>
      </c>
      <c r="KU64" s="20" t="n">
        <f aca="false">IF(AND(H_Direct=1,DU64&gt;0),MAX(0,KT64-(MIN(DU64*AMU63,KT64+OG64)-MIN(MIN(DU64*AMU63,KT64+OG64),OG64))),KT64)</f>
        <v>1270</v>
      </c>
      <c r="KV64" s="20" t="n">
        <f aca="false">IF(AND(H_Direct=1,DV64&gt;0),MAX(0,KU64-(MIN(DV64*AMV63,KU64+OH64)-MIN(MIN(DV64*AMV63,KU64+OH64),OH64))),KU64)</f>
        <v>1270</v>
      </c>
      <c r="KW64" s="20" t="n">
        <f aca="false">IF(AND(H_Direct=1,DW64&gt;0),MAX(0,KV64-(MIN(DW64*(P64+S64),KV64+OI64)-MIN(MIN(DW64*(P64+S64),KV64+OI64),OI64))),KV64)</f>
        <v>1270</v>
      </c>
      <c r="KX64" s="20" t="n">
        <f aca="false">KW64</f>
        <v>1270</v>
      </c>
      <c r="KY64" s="20" t="n">
        <f aca="false">KX64</f>
        <v>1270</v>
      </c>
      <c r="KZ64" s="20" t="n">
        <f aca="false">KY64</f>
        <v>1270</v>
      </c>
      <c r="LA64" s="20" t="n">
        <f aca="false">KZ64</f>
        <v>1270</v>
      </c>
      <c r="LB64" s="20" t="n">
        <f aca="false">LA64</f>
        <v>1270</v>
      </c>
      <c r="LC64" s="20" t="n">
        <f aca="false">LB64</f>
        <v>1270</v>
      </c>
      <c r="LD64" s="20" t="n">
        <f aca="false">LC64</f>
        <v>1270</v>
      </c>
      <c r="LE64" s="20" t="n">
        <f aca="false">LD64</f>
        <v>1270</v>
      </c>
      <c r="LF64" s="20" t="n">
        <f aca="false">LE64</f>
        <v>1270</v>
      </c>
      <c r="LG64" s="20" t="n">
        <f aca="false">LF64</f>
        <v>1270</v>
      </c>
      <c r="LH64" s="20" t="n">
        <f aca="false">LG64</f>
        <v>1270</v>
      </c>
      <c r="LI64" s="20" t="n">
        <f aca="false">LH64</f>
        <v>1270</v>
      </c>
      <c r="LJ64" s="20" t="n">
        <f aca="false">LI64</f>
        <v>1270</v>
      </c>
      <c r="LK64" s="20" t="n">
        <f aca="false">LJ64</f>
        <v>1270</v>
      </c>
      <c r="LL64" s="20" t="n">
        <f aca="false">LK64</f>
        <v>1270</v>
      </c>
      <c r="LM64" s="20" t="n">
        <f aca="false">LL64</f>
        <v>1270</v>
      </c>
      <c r="LN64" s="20" t="n">
        <f aca="false">LM64</f>
        <v>1270</v>
      </c>
      <c r="LO64" s="20" t="n">
        <f aca="false">LN64</f>
        <v>1270</v>
      </c>
      <c r="LP64" s="20" t="n">
        <f aca="false">LO64</f>
        <v>1270</v>
      </c>
      <c r="LQ64" s="20" t="n">
        <f aca="false">LP64</f>
        <v>1270</v>
      </c>
      <c r="LR64" s="20" t="n">
        <f aca="false">LQ64</f>
        <v>1270</v>
      </c>
      <c r="LS64" s="20" t="n">
        <f aca="false">LR64</f>
        <v>1270</v>
      </c>
      <c r="LT64" s="20" t="n">
        <f aca="false">LS64</f>
        <v>1270</v>
      </c>
      <c r="LU64" s="20" t="n">
        <f aca="false">LT64</f>
        <v>1270</v>
      </c>
      <c r="LV64" s="20" t="n">
        <f aca="false">LU64</f>
        <v>1270</v>
      </c>
      <c r="LW64" s="20" t="n">
        <f aca="false">LV64</f>
        <v>1270</v>
      </c>
      <c r="LX64" s="20" t="n">
        <f aca="false">LW64</f>
        <v>1270</v>
      </c>
      <c r="LY64" s="20" t="n">
        <f aca="false">LX64</f>
        <v>1270</v>
      </c>
      <c r="LZ64" s="20" t="n">
        <f aca="false">LY64</f>
        <v>1270</v>
      </c>
      <c r="MA64" s="20" t="n">
        <f aca="false">LZ64</f>
        <v>1270</v>
      </c>
      <c r="MB64" s="20" t="n">
        <f aca="false">MA64</f>
        <v>1270</v>
      </c>
      <c r="MC64" s="20" t="n">
        <f aca="false">MB64</f>
        <v>1270</v>
      </c>
      <c r="MD64" s="20" t="n">
        <f aca="false">MC64</f>
        <v>1270</v>
      </c>
      <c r="ME64" s="20" t="n">
        <f aca="false">IF(H_Direct=1,IF(BR64&lt;=0,I64-BR64*AKR63,I64-MIN(MIN(BR64*AKR63,H64+I64),I64)),I64)</f>
        <v>0</v>
      </c>
      <c r="MF64" s="20" t="n">
        <f aca="false">IF(H_Direct=1,IF(BS64&lt;=0,ME64-BS64*AKS63,ME64-MIN(MIN(BS64*AKS63,IR64+ME64),ME64)),ME64)</f>
        <v>0</v>
      </c>
      <c r="MG64" s="20" t="n">
        <f aca="false">IF(H_Direct=1,IF(BT64&lt;=0,MF64-BT64*AKT63,MF64-MIN(MIN(BT64*AKT63,IS64+MF64),MF64)),MF64)</f>
        <v>0</v>
      </c>
      <c r="MH64" s="20" t="n">
        <f aca="false">IF(H_Direct=1,IF(BU64&lt;=0,MG64-BU64*AKU63,MG64-MIN(MIN(BU64*AKU63,IT64+MG64),MG64)),MG64)</f>
        <v>0</v>
      </c>
      <c r="MI64" s="20" t="n">
        <f aca="false">IF(H_Direct=1,IF(BV64&lt;=0,MH64-BV64*AKV63,MH64-MIN(MIN(BV64*AKV63,IU64+MH64),MH64)),MH64)</f>
        <v>0</v>
      </c>
      <c r="MJ64" s="20" t="n">
        <f aca="false">IF(H_Direct=1,IF(BW64&lt;=0,MI64-BW64*AKW63,MI64-MIN(MIN(BW64*AKW63,IV64+MI64),MI64)),MI64)</f>
        <v>0</v>
      </c>
      <c r="MK64" s="20" t="n">
        <f aca="false">IF(H_Direct=1,IF(BX64&lt;=0,MJ64-BX64*AKX63,MJ64-MIN(MIN(BX64*AKX63,IW64+MJ64),MJ64)),MJ64)</f>
        <v>0</v>
      </c>
      <c r="ML64" s="20" t="n">
        <f aca="false">IF(H_Direct=1,IF(BY64&lt;=0,MK64-BY64*AKY63,MK64-MIN(MIN(BY64*AKY63,IX64+MK64),MK64)),MK64)</f>
        <v>0</v>
      </c>
      <c r="MM64" s="20" t="n">
        <f aca="false">IF(H_Direct=1,IF(BZ64&lt;=0,ML64-BZ64*AKZ63,ML64-MIN(MIN(BZ64*AKZ63,IY64+ML64),ML64)),ML64)</f>
        <v>0</v>
      </c>
      <c r="MN64" s="20" t="n">
        <f aca="false">IF(H_Direct=1,IF(CA64&lt;=0,MM64-CA64*ALA63,MM64-MIN(MIN(CA64*ALA63,IZ64+MM64),MM64)),MM64)</f>
        <v>0</v>
      </c>
      <c r="MO64" s="20" t="n">
        <f aca="false">IF(H_Direct=1,IF(CB64&lt;=0,MN64-CB64*ALB63,MN64-MIN(MIN(CB64*ALB63,JA64+MN64),MN64)),MN64)</f>
        <v>0</v>
      </c>
      <c r="MP64" s="20" t="n">
        <f aca="false">IF(H_Direct=1,IF(CC64&lt;=0,MO64-CC64*ALC63,MO64-MIN(MIN(CC64*ALC63,JB64+MO64),MO64)),MO64)</f>
        <v>0</v>
      </c>
      <c r="MQ64" s="20" t="n">
        <f aca="false">IF(H_Direct=1,IF(CD64&lt;=0,MP64-CD64*ALD63,MP64-MIN(MIN(CD64*ALD63,JC64+MP64),MP64)),MP64)</f>
        <v>0</v>
      </c>
      <c r="MR64" s="20" t="n">
        <f aca="false">IF(H_Direct=1,IF(CE64&lt;=0,MQ64-CE64*ALE63,MQ64-MIN(MIN(CE64*ALE63,JD64+MQ64),MQ64)),MQ64)</f>
        <v>0</v>
      </c>
      <c r="MS64" s="20" t="n">
        <f aca="false">IF(H_Direct=1,IF(CF64&lt;=0,MR64-CF64*ALF63,MR64-MIN(MIN(CF64*ALF63,JE64+MR64),MR64)),MR64)</f>
        <v>0</v>
      </c>
      <c r="MT64" s="20" t="n">
        <f aca="false">IF(H_Direct=1,IF(CG64&lt;=0,MS64-CG64*ALG63,MS64-MIN(MIN(CG64*ALG63,JF64+MS64),MS64)),MS64)</f>
        <v>0</v>
      </c>
      <c r="MU64" s="20" t="n">
        <f aca="false">IF(H_Direct=1,IF(CH64&lt;=0,MT64-CH64*ALH63,MT64-MIN(MIN(CH64*ALH63,JG64+MT64),MT64)),MT64)</f>
        <v>0</v>
      </c>
      <c r="MV64" s="20" t="n">
        <f aca="false">IF(H_Direct=1,IF(CI64&lt;=0,MU64-CI64*ALI63,MU64-MIN(MIN(CI64*ALI63,JH64+MU64),MU64)),MU64)</f>
        <v>0</v>
      </c>
      <c r="MW64" s="20" t="n">
        <f aca="false">IF(H_Direct=1,IF(CJ64&lt;=0,MV64-CJ64*ALJ63,MV64-MIN(MIN(CJ64*ALJ63,JI64+MV64),MV64)),MV64)</f>
        <v>0</v>
      </c>
      <c r="MX64" s="20" t="n">
        <f aca="false">IF(H_Direct=1,IF(CK64&lt;=0,MW64-CK64*ALK63,MW64-MIN(MIN(CK64*ALK63,JJ64+MW64),MW64)),MW64)</f>
        <v>0</v>
      </c>
      <c r="MY64" s="20" t="n">
        <f aca="false">IF(H_Direct=1,IF(CL64&lt;=0,MX64-CL64*ALL63,MX64-MIN(MIN(CL64*ALL63,JK64+MX64),MX64)),MX64)</f>
        <v>0</v>
      </c>
      <c r="MZ64" s="20" t="n">
        <f aca="false">IF(H_Direct=1,IF(CM64&lt;=0,MY64-CM64*ALM63,MY64-MIN(MIN(CM64*ALM63,JL64+MY64),MY64)),MY64)</f>
        <v>0</v>
      </c>
      <c r="NA64" s="20" t="n">
        <f aca="false">IF(H_Direct=1,IF(CN64&lt;=0,MZ64-CN64*ALN63,MZ64-MIN(MIN(CN64*ALN63,JM64+MZ64),MZ64)),MZ64)</f>
        <v>0</v>
      </c>
      <c r="NB64" s="20" t="n">
        <f aca="false">IF(H_Direct=1,IF(CO64&lt;=0,NA64-CO64*ALO63,NA64-MIN(MIN(CO64*ALO63,JN64+NA64),NA64)),NA64)</f>
        <v>0</v>
      </c>
      <c r="NC64" s="20" t="n">
        <f aca="false">IF(H_Direct=1,IF(CP64&lt;=0,NB64-CP64*ALP63,NB64-MIN(MIN(CP64*ALP63,JO64+NB64),NB64)),NB64)</f>
        <v>0</v>
      </c>
      <c r="ND64" s="20" t="n">
        <f aca="false">IF(H_Direct=1,IF(CQ64&lt;=0,NC64-CQ64*ALQ63,NC64-MIN(MIN(CQ64*ALQ63,JP64+NC64),NC64)),NC64)</f>
        <v>0</v>
      </c>
      <c r="NE64" s="20" t="n">
        <f aca="false">IF(H_Direct=1,IF(CR64&lt;=0,ND64-CR64*ALR63,ND64-MIN(MIN(CR64*ALR63,JQ64+ND64),ND64)),ND64)</f>
        <v>0</v>
      </c>
      <c r="NF64" s="20" t="n">
        <f aca="false">IF(H_Direct=1,IF(CS64&lt;=0,NE64-CS64*ALS63,NE64-MIN(MIN(CS64*ALS63,JR64+NE64),NE64)),NE64)</f>
        <v>0</v>
      </c>
      <c r="NG64" s="20" t="n">
        <f aca="false">IF(H_Direct=1,IF(CT64&lt;=0,NF64-CT64*ALT63,NF64-MIN(MIN(CT64*ALT63,JS64+NF64),NF64)),NF64)</f>
        <v>0</v>
      </c>
      <c r="NH64" s="20" t="n">
        <f aca="false">IF(H_Direct=1,IF(CU64&lt;=0,NG64-CU64*ALU63,NG64-MIN(MIN(CU64*ALU63,JT64+NG64),NG64)),NG64)</f>
        <v>0</v>
      </c>
      <c r="NI64" s="20" t="n">
        <f aca="false">IF(H_Direct=1,IF(CV64&lt;=0,NH64-CV64*ALV63,NH64-MIN(MIN(CV64*ALV63,JU64+NH64),NH64)),NH64)</f>
        <v>0</v>
      </c>
      <c r="NJ64" s="20" t="n">
        <f aca="false">IF(H_Direct=1,IF(CW64&lt;=0,NI64-CW64*ALW63,NI64-MIN(MIN(CW64*ALW63,JV64+NI64),NI64)),NI64)</f>
        <v>0</v>
      </c>
      <c r="NK64" s="20" t="n">
        <f aca="false">IF(H_Direct=1,IF(CX64&lt;=0,NJ64-CX64*ALX63,NJ64-MIN(MIN(CX64*ALX63,JW64+NJ64),NJ64)),NJ64)</f>
        <v>0</v>
      </c>
      <c r="NL64" s="20" t="n">
        <f aca="false">IF(H_Direct=1,IF(CY64&lt;=0,NK64-CY64*ALY63,NK64-MIN(MIN(CY64*ALY63,JX64+NK64),NK64)),NK64)</f>
        <v>0</v>
      </c>
      <c r="NM64" s="20" t="n">
        <f aca="false">IF(H_Direct=1,IF(CZ64&lt;=0,NL64-CZ64*ALZ63,NL64-MIN(MIN(CZ64*ALZ63,JY64+NL64),NL64)),NL64)</f>
        <v>0</v>
      </c>
      <c r="NN64" s="20" t="n">
        <f aca="false">IF(H_Direct=1,IF(DA64&lt;=0,NM64-DA64*AMA63,NM64-MIN(MIN(DA64*AMA63,JZ64+NM64),NM64)),NM64)</f>
        <v>0</v>
      </c>
      <c r="NO64" s="20" t="n">
        <f aca="false">IF(H_Direct=1,IF(DB64&lt;=0,NN64-DB64*AMB63,NN64-MIN(MIN(DB64*AMB63,KA64+NN64),NN64)),NN64)</f>
        <v>0</v>
      </c>
      <c r="NP64" s="20" t="n">
        <f aca="false">IF(H_Direct=1,IF(DC64&lt;=0,NO64-DC64*AMC63,NO64-MIN(MIN(DC64*AMC63,KB64+NO64),NO64)),NO64)</f>
        <v>0</v>
      </c>
      <c r="NQ64" s="20" t="n">
        <f aca="false">IF(H_Direct=1,IF(DD64&lt;=0,NP64-DD64*AMD63,NP64-MIN(MIN(DD64*AMD63,KC64+NP64),NP64)),NP64)</f>
        <v>0</v>
      </c>
      <c r="NR64" s="20" t="n">
        <f aca="false">IF(H_Direct=1,IF(DE64&lt;=0,NQ64-DE64*AME63,NQ64-MIN(MIN(DE64*AME63,KD64+NQ64),NQ64)),NQ64)</f>
        <v>0</v>
      </c>
      <c r="NS64" s="20" t="n">
        <f aca="false">IF(H_Direct=1,IF(DF64&lt;=0,NR64-DF64*AMF63,NR64-MIN(MIN(DF64*AMF63,KE64+NR64),NR64)),NR64)</f>
        <v>0</v>
      </c>
      <c r="NT64" s="20" t="n">
        <f aca="false">IF(H_Direct=1,IF(DG64&lt;=0,NS64-DG64*AMG63,NS64-MIN(MIN(DG64*AMG63,KF64+NS64),NS64)),NS64)</f>
        <v>0</v>
      </c>
      <c r="NU64" s="20" t="n">
        <f aca="false">IF(H_Direct=1,IF(DH64&lt;=0,NT64-DH64*AMH63,NT64-MIN(MIN(DH64*AMH63,KG64+NT64),NT64)),NT64)</f>
        <v>0</v>
      </c>
      <c r="NV64" s="20" t="n">
        <f aca="false">IF(H_Direct=1,IF(DI64&lt;=0,NU64-DI64*AMI63,NU64-MIN(MIN(DI64*AMI63,KH64+NU64),NU64)),NU64)</f>
        <v>0</v>
      </c>
      <c r="NW64" s="20" t="n">
        <f aca="false">IF(H_Direct=1,IF(DJ64&lt;=0,NV64-DJ64*AMJ63,NV64-MIN(MIN(DJ64*AMJ63,KI64+NV64),NV64)),NV64)</f>
        <v>0</v>
      </c>
      <c r="NX64" s="20" t="n">
        <f aca="false">IF(H_Direct=1,IF(DK64&lt;=0,NW64-DK64*AMK63,NW64-MIN(MIN(DK64*AMK63,KJ64+NW64),NW64)),NW64)</f>
        <v>0</v>
      </c>
      <c r="NY64" s="20" t="n">
        <f aca="false">IF(H_Direct=1,IF(DL64&lt;=0,NX64-DL64*AML63,NX64-MIN(MIN(DL64*AML63,KK64+NX64),NX64)),NX64)</f>
        <v>0</v>
      </c>
      <c r="NZ64" s="20" t="n">
        <f aca="false">IF(H_Direct=1,IF(DM64&lt;=0,NY64-DM64*AMM63,NY64-MIN(MIN(DM64*AMM63,KL64+NY64),NY64)),NY64)</f>
        <v>0</v>
      </c>
      <c r="OA64" s="20" t="n">
        <f aca="false">IF(H_Direct=1,IF(DN64&lt;=0,NZ64-DN64*AMN63,NZ64-MIN(MIN(DN64*AMN63,KM64+NZ64),NZ64)),NZ64)</f>
        <v>0</v>
      </c>
      <c r="OB64" s="20" t="n">
        <f aca="false">IF(H_Direct=1,IF(DO64&lt;=0,OA64-DO64*AMO63,OA64-MIN(MIN(DO64*AMO63,KN64+OA64),OA64)),OA64)</f>
        <v>0</v>
      </c>
      <c r="OC64" s="20" t="n">
        <f aca="false">IF(H_Direct=1,IF(DP64&lt;=0,OB64-DP64*AMP63,OB64-MIN(MIN(DP64*AMP63,KO64+OB64),OB64)),OB64)</f>
        <v>0</v>
      </c>
      <c r="OD64" s="20" t="n">
        <f aca="false">IF(H_Direct=1,IF(DQ64&lt;=0,OC64-DQ64*AMQ63,OC64-MIN(MIN(DQ64*AMQ63,KP64+OC64),OC64)),OC64)</f>
        <v>0</v>
      </c>
      <c r="OE64" s="20" t="n">
        <f aca="false">IF(H_Direct=1,IF(DR64&lt;=0,OD64-DR64*AMR63,OD64-MIN(MIN(DR64*AMR63,KQ64+OD64),OD64)),OD64)</f>
        <v>0</v>
      </c>
      <c r="OF64" s="20" t="n">
        <f aca="false">IF(H_Direct=1,IF(DS64&lt;=0,OE64-DS64*AMS63,OE64-MIN(MIN(DS64*AMS63,KR64+OE64),OE64)),OE64)</f>
        <v>0</v>
      </c>
      <c r="OG64" s="20" t="n">
        <f aca="false">IF(H_Direct=1,IF(DT64&lt;=0,OF64-DT64*AMT63,OF64-MIN(MIN(DT64*AMT63,KS64+OF64),OF64)),OF64)</f>
        <v>0</v>
      </c>
      <c r="OH64" s="20" t="n">
        <f aca="false">IF(H_Direct=1,IF(DU64&lt;=0,OG64-DU64*AMU63,OG64-MIN(MIN(DU64*AMU63,KT64+OG64),OG64)),OG64)</f>
        <v>0</v>
      </c>
      <c r="OI64" s="20" t="n">
        <f aca="false">IF(H_Direct=1,IF(DV64&lt;=0,OH64-DV64*AMV63,OH64-MIN(MIN(DV64*AMV63,KU64+OH64),OH64)),OH64)</f>
        <v>0</v>
      </c>
      <c r="OJ64" s="20" t="n">
        <f aca="false">IF(H_Direct=1,IF(DW64&lt;=0,OI64-DW64*(P64+S64),OI64-MIN(MIN(DW64*(P64+S64),KV64+OI64),OI64)),OI64)</f>
        <v>0</v>
      </c>
      <c r="OK64" s="20" t="n">
        <f aca="false">OJ64</f>
        <v>0</v>
      </c>
      <c r="OL64" s="20" t="n">
        <f aca="false">OK64</f>
        <v>0</v>
      </c>
      <c r="OM64" s="20" t="n">
        <f aca="false">OL64</f>
        <v>0</v>
      </c>
      <c r="ON64" s="20" t="n">
        <f aca="false">OM64</f>
        <v>0</v>
      </c>
      <c r="OO64" s="20" t="n">
        <f aca="false">ON64</f>
        <v>0</v>
      </c>
      <c r="OP64" s="20" t="n">
        <f aca="false">OO64</f>
        <v>0</v>
      </c>
      <c r="OQ64" s="20" t="n">
        <f aca="false">OP64</f>
        <v>0</v>
      </c>
      <c r="OR64" s="20" t="n">
        <f aca="false">OQ64</f>
        <v>0</v>
      </c>
      <c r="OS64" s="20" t="n">
        <f aca="false">OR64</f>
        <v>0</v>
      </c>
      <c r="OT64" s="20" t="n">
        <f aca="false">OS64</f>
        <v>0</v>
      </c>
      <c r="OU64" s="20" t="n">
        <f aca="false">OT64</f>
        <v>0</v>
      </c>
      <c r="OV64" s="20" t="n">
        <f aca="false">OU64</f>
        <v>0</v>
      </c>
      <c r="OW64" s="20" t="n">
        <f aca="false">OV64</f>
        <v>0</v>
      </c>
      <c r="OX64" s="20" t="n">
        <f aca="false">OW64</f>
        <v>0</v>
      </c>
      <c r="OY64" s="20" t="n">
        <f aca="false">OX64</f>
        <v>0</v>
      </c>
      <c r="OZ64" s="20" t="n">
        <f aca="false">OY64</f>
        <v>0</v>
      </c>
      <c r="PA64" s="20" t="n">
        <f aca="false">OZ64</f>
        <v>0</v>
      </c>
      <c r="PB64" s="20" t="n">
        <f aca="false">PA64</f>
        <v>0</v>
      </c>
      <c r="PC64" s="20" t="n">
        <f aca="false">PB64</f>
        <v>0</v>
      </c>
      <c r="PD64" s="20" t="n">
        <f aca="false">PC64</f>
        <v>0</v>
      </c>
      <c r="PE64" s="20" t="n">
        <f aca="false">PD64</f>
        <v>0</v>
      </c>
      <c r="PF64" s="20" t="n">
        <f aca="false">PE64</f>
        <v>0</v>
      </c>
      <c r="PG64" s="20" t="n">
        <f aca="false">PF64</f>
        <v>0</v>
      </c>
      <c r="PH64" s="20" t="n">
        <f aca="false">PG64</f>
        <v>0</v>
      </c>
      <c r="PI64" s="20" t="n">
        <f aca="false">PH64</f>
        <v>0</v>
      </c>
      <c r="PJ64" s="20" t="n">
        <f aca="false">PI64</f>
        <v>0</v>
      </c>
      <c r="PK64" s="20" t="n">
        <f aca="false">PJ64</f>
        <v>0</v>
      </c>
      <c r="PL64" s="20" t="n">
        <f aca="false">PK64</f>
        <v>0</v>
      </c>
      <c r="PM64" s="20" t="n">
        <f aca="false">PL64</f>
        <v>0</v>
      </c>
      <c r="PN64" s="20" t="n">
        <f aca="false">PM64</f>
        <v>0</v>
      </c>
      <c r="PO64" s="20" t="n">
        <f aca="false">PN64</f>
        <v>0</v>
      </c>
      <c r="PP64" s="20" t="n">
        <f aca="false">PO64</f>
        <v>0</v>
      </c>
      <c r="PQ64" s="20" t="n">
        <f aca="false">PP64</f>
        <v>0</v>
      </c>
      <c r="PR64" s="20" t="n">
        <f aca="false">IF(H_Direct=1,IF(AKR63&lt;=0,0,IF(BR64&lt;=0,MIN(MAX(0,AB64),AKR63),MIN(MAX(0,AB64),AKR63-G64*MAX(0,BR64*AKR63-(H64+I64))))),MIN(FE64,MAX(0,AB64)))</f>
        <v>0</v>
      </c>
      <c r="PS64" s="20" t="n">
        <f aca="false">IF(H_Direct=1,IF(AKS63&lt;=0,0,IF(BS64&lt;=0,MIN(MAX(0,AB64-SUM(PR64:PR64)),AKS63),MIN(MAX(0,AB64-SUM(PR64:PR64)),AKS63-G64*MAX(0,BS64*AKS63-(WR64+AAE64))))),MIN(FF64,MAX(0,AB64-SUM(PR64:PR64))))</f>
        <v>0</v>
      </c>
      <c r="PT64" s="20" t="n">
        <f aca="false">IF(H_Direct=1,IF(AKT63&lt;=0,0,IF(BT64&lt;=0,MIN(MAX(0,AB64-SUM(PR64:PS64)),AKT63),MIN(MAX(0,AB64-SUM(PR64:PS64)),AKT63-G64*MAX(0,BT64*AKT63-(WS64+AAF64))))),MIN(FG64,MAX(0,AB64-SUM(PR64:PS64))))</f>
        <v>0</v>
      </c>
      <c r="PU64" s="20" t="n">
        <f aca="false">IF(H_Direct=1,IF(AKU63&lt;=0,0,IF(BU64&lt;=0,MIN(MAX(0,AB64-SUM(PR64:PT64)),AKU63),MIN(MAX(0,AB64-SUM(PR64:PT64)),AKU63-G64*MAX(0,BU64*AKU63-(WT64+AAG64))))),MIN(FH64,MAX(0,AB64-SUM(PR64:PT64))))</f>
        <v>0</v>
      </c>
      <c r="PV64" s="20" t="n">
        <f aca="false">IF(H_Direct=1,IF(AKV63&lt;=0,0,IF(BV64&lt;=0,MIN(MAX(0,AB64-SUM(PR64:PU64)),AKV63),MIN(MAX(0,AB64-SUM(PR64:PU64)),AKV63-G64*MAX(0,BV64*AKV63-(WU64+AAH64))))),MIN(FI64,MAX(0,AB64-SUM(PR64:PU64))))</f>
        <v>0</v>
      </c>
      <c r="PW64" s="20" t="n">
        <f aca="false">IF(H_Direct=1,IF(AKW63&lt;=0,0,IF(BW64&lt;=0,MIN(MAX(0,AB64-SUM(PR64:PV64)),AKW63),MIN(MAX(0,AB64-SUM(PR64:PV64)),AKW63-G64*MAX(0,BW64*AKW63-(WV64+AAI64))))),MIN(FJ64,MAX(0,AB64-SUM(PR64:PV64))))</f>
        <v>0</v>
      </c>
      <c r="PX64" s="20" t="n">
        <f aca="false">IF(H_Direct=1,IF(AKX63&lt;=0,0,IF(BX64&lt;=0,MIN(MAX(0,AB64-SUM(PR64:PW64)),AKX63),MIN(MAX(0,AB64-SUM(PR64:PW64)),AKX63-G64*MAX(0,BX64*AKX63-(WW64+AAJ64))))),MIN(FK64,MAX(0,AB64-SUM(PR64:PW64))))</f>
        <v>0</v>
      </c>
      <c r="PY64" s="20" t="n">
        <f aca="false">IF(H_Direct=1,IF(AKY63&lt;=0,0,IF(BY64&lt;=0,MIN(MAX(0,AB64-SUM(PR64:PX64)),AKY63),MIN(MAX(0,AB64-SUM(PR64:PX64)),AKY63-G64*MAX(0,BY64*AKY63-(WX64+AAK64))))),MIN(FL64,MAX(0,AB64-SUM(PR64:PX64))))</f>
        <v>0</v>
      </c>
      <c r="PZ64" s="20" t="n">
        <f aca="false">IF(H_Direct=1,IF(AKZ63&lt;=0,0,IF(BZ64&lt;=0,MIN(MAX(0,AB64-SUM(PR64:PY64)),AKZ63),MIN(MAX(0,AB64-SUM(PR64:PY64)),AKZ63-G64*MAX(0,BZ64*AKZ63-(WY64+AAL64))))),MIN(FM64,MAX(0,AB64-SUM(PR64:PY64))))</f>
        <v>0</v>
      </c>
      <c r="QA64" s="20" t="n">
        <f aca="false">IF(H_Direct=1,IF(ALA63&lt;=0,0,IF(CA64&lt;=0,MIN(MAX(0,AB64-SUM(PR64:PZ64)),ALA63),MIN(MAX(0,AB64-SUM(PR64:PZ64)),ALA63-G64*MAX(0,CA64*ALA63-(WZ64+AAM64))))),MIN(FN64,MAX(0,AB64-SUM(PR64:PZ64))))</f>
        <v>0</v>
      </c>
      <c r="QB64" s="20" t="n">
        <f aca="false">IF(H_Direct=1,IF(ALB63&lt;=0,0,IF(CB64&lt;=0,MIN(MAX(0,AB64-SUM(PR64:QA64)),ALB63),MIN(MAX(0,AB64-SUM(PR64:QA64)),ALB63-G64*MAX(0,CB64*ALB63-(XA64+AAN64))))),MIN(FO64,MAX(0,AB64-SUM(PR64:QA64))))</f>
        <v>0</v>
      </c>
      <c r="QC64" s="20" t="n">
        <f aca="false">IF(H_Direct=1,IF(ALC63&lt;=0,0,IF(CC64&lt;=0,MIN(MAX(0,AB64-SUM(PR64:QB64)),ALC63),MIN(MAX(0,AB64-SUM(PR64:QB64)),ALC63-G64*MAX(0,CC64*ALC63-(XB64+AAO64))))),MIN(FP64,MAX(0,AB64-SUM(PR64:QB64))))</f>
        <v>0</v>
      </c>
      <c r="QD64" s="20" t="n">
        <f aca="false">IF(H_Direct=1,IF(ALD63&lt;=0,0,IF(CD64&lt;=0,MIN(MAX(0,AB64-SUM(PR64:QC64)),ALD63),MIN(MAX(0,AB64-SUM(PR64:QC64)),ALD63-G64*MAX(0,CD64*ALD63-(XC64+AAP64))))),MIN(FQ64,MAX(0,AB64-SUM(PR64:QC64))))</f>
        <v>0</v>
      </c>
      <c r="QE64" s="20" t="n">
        <f aca="false">IF(H_Direct=1,IF(ALE63&lt;=0,0,IF(CE64&lt;=0,MIN(MAX(0,AB64-SUM(PR64:QD64)),ALE63),MIN(MAX(0,AB64-SUM(PR64:QD64)),ALE63-G64*MAX(0,CE64*ALE63-(XD64+AAQ64))))),MIN(FR64,MAX(0,AB64-SUM(PR64:QD64))))</f>
        <v>0</v>
      </c>
      <c r="QF64" s="20" t="n">
        <f aca="false">IF(H_Direct=1,IF(ALF63&lt;=0,0,IF(CF64&lt;=0,MIN(MAX(0,AB64-SUM(PR64:QE64)),ALF63),MIN(MAX(0,AB64-SUM(PR64:QE64)),ALF63-G64*MAX(0,CF64*ALF63-(XE64+AAR64))))),MIN(FS64,MAX(0,AB64-SUM(PR64:QE64))))</f>
        <v>0</v>
      </c>
      <c r="QG64" s="20" t="n">
        <f aca="false">IF(H_Direct=1,IF(ALG63&lt;=0,0,IF(CG64&lt;=0,MIN(MAX(0,AB64-SUM(PR64:QF64)),ALG63),MIN(MAX(0,AB64-SUM(PR64:QF64)),ALG63-G64*MAX(0,CG64*ALG63-(XF64+AAS64))))),MIN(FT64,MAX(0,AB64-SUM(PR64:QF64))))</f>
        <v>0</v>
      </c>
      <c r="QH64" s="20" t="n">
        <f aca="false">IF(H_Direct=1,IF(ALH63&lt;=0,0,IF(CH64&lt;=0,MIN(MAX(0,AB64-SUM(PR64:QG64)),ALH63),MIN(MAX(0,AB64-SUM(PR64:QG64)),ALH63-G64*MAX(0,CH64*ALH63-(XG64+AAT64))))),MIN(FU64,MAX(0,AB64-SUM(PR64:QG64))))</f>
        <v>0</v>
      </c>
      <c r="QI64" s="20" t="n">
        <f aca="false">IF(H_Direct=1,IF(ALI63&lt;=0,0,IF(CI64&lt;=0,MIN(MAX(0,AB64-SUM(PR64:QH64)),ALI63),MIN(MAX(0,AB64-SUM(PR64:QH64)),ALI63-G64*MAX(0,CI64*ALI63-(XH64+AAU64))))),MIN(FV64,MAX(0,AB64-SUM(PR64:QH64))))</f>
        <v>0</v>
      </c>
      <c r="QJ64" s="20" t="n">
        <f aca="false">IF(H_Direct=1,IF(ALJ63&lt;=0,0,IF(CJ64&lt;=0,MIN(MAX(0,AB64-SUM(PR64:QI64)),ALJ63),MIN(MAX(0,AB64-SUM(PR64:QI64)),ALJ63-G64*MAX(0,CJ64*ALJ63-(XI64+AAV64))))),MIN(FW64,MAX(0,AB64-SUM(PR64:QI64))))</f>
        <v>0</v>
      </c>
      <c r="QK64" s="20" t="n">
        <f aca="false">IF(H_Direct=1,IF(ALK63&lt;=0,0,IF(CK64&lt;=0,MIN(MAX(0,AB64-SUM(PR64:QJ64)),ALK63),MIN(MAX(0,AB64-SUM(PR64:QJ64)),ALK63-G64*MAX(0,CK64*ALK63-(XJ64+AAW64))))),MIN(FX64,MAX(0,AB64-SUM(PR64:QJ64))))</f>
        <v>0</v>
      </c>
      <c r="QL64" s="20" t="n">
        <f aca="false">IF(H_Direct=1,IF(ALL63&lt;=0,0,IF(CL64&lt;=0,MIN(MAX(0,AB64-SUM(PR64:QK64)),ALL63),MIN(MAX(0,AB64-SUM(PR64:QK64)),ALL63-G64*MAX(0,CL64*ALL63-(XK64+AAX64))))),MIN(FY64,MAX(0,AB64-SUM(PR64:QK64))))</f>
        <v>0</v>
      </c>
      <c r="QM64" s="20" t="n">
        <f aca="false">IF(H_Direct=1,IF(ALM63&lt;=0,0,IF(CM64&lt;=0,MIN(MAX(0,AB64-SUM(PR64:QL64)),ALM63),MIN(MAX(0,AB64-SUM(PR64:QL64)),ALM63-G64*MAX(0,CM64*ALM63-(XL64+AAY64))))),MIN(FZ64,MAX(0,AB64-SUM(PR64:QL64))))</f>
        <v>0</v>
      </c>
      <c r="QN64" s="20" t="n">
        <f aca="false">IF(H_Direct=1,IF(ALN63&lt;=0,0,IF(CN64&lt;=0,MIN(MAX(0,AB64-SUM(PR64:QM64)),ALN63),MIN(MAX(0,AB64-SUM(PR64:QM64)),ALN63-G64*MAX(0,CN64*ALN63-(XM64+AAZ64))))),MIN(GA64,MAX(0,AB64-SUM(PR64:QM64))))</f>
        <v>0</v>
      </c>
      <c r="QO64" s="20" t="n">
        <f aca="false">IF(H_Direct=1,IF(ALO63&lt;=0,0,IF(CO64&lt;=0,MIN(MAX(0,AB64-SUM(PR64:QN64)),ALO63),MIN(MAX(0,AB64-SUM(PR64:QN64)),ALO63-G64*MAX(0,CO64*ALO63-(XN64+ABA64))))),MIN(GB64,MAX(0,AB64-SUM(PR64:QN64))))</f>
        <v>0</v>
      </c>
      <c r="QP64" s="20" t="n">
        <f aca="false">IF(H_Direct=1,IF(ALP63&lt;=0,0,IF(CP64&lt;=0,MIN(MAX(0,AB64-SUM(PR64:QO64)),ALP63),MIN(MAX(0,AB64-SUM(PR64:QO64)),ALP63-G64*MAX(0,CP64*ALP63-(XO64+ABB64))))),MIN(GC64,MAX(0,AB64-SUM(PR64:QO64))))</f>
        <v>0</v>
      </c>
      <c r="QQ64" s="20" t="n">
        <f aca="false">IF(H_Direct=1,IF(ALQ63&lt;=0,0,IF(CQ64&lt;=0,MIN(MAX(0,AB64-SUM(PR64:QP64)),ALQ63),MIN(MAX(0,AB64-SUM(PR64:QP64)),ALQ63-G64*MAX(0,CQ64*ALQ63-(XP64+ABC64))))),MIN(GD64,MAX(0,AB64-SUM(PR64:QP64))))</f>
        <v>0</v>
      </c>
      <c r="QR64" s="20" t="n">
        <f aca="false">IF(H_Direct=1,IF(ALR63&lt;=0,0,IF(CR64&lt;=0,MIN(MAX(0,AB64-SUM(PR64:QQ64)),ALR63),MIN(MAX(0,AB64-SUM(PR64:QQ64)),ALR63-G64*MAX(0,CR64*ALR63-(XQ64+ABD64))))),MIN(GE64,MAX(0,AB64-SUM(PR64:QQ64))))</f>
        <v>0</v>
      </c>
      <c r="QS64" s="20" t="n">
        <f aca="false">IF(H_Direct=1,IF(ALS63&lt;=0,0,IF(CS64&lt;=0,MIN(MAX(0,AB64-SUM(PR64:QR64)),ALS63),MIN(MAX(0,AB64-SUM(PR64:QR64)),ALS63-G64*MAX(0,CS64*ALS63-(XR64+ABE64))))),MIN(GF64,MAX(0,AB64-SUM(PR64:QR64))))</f>
        <v>0</v>
      </c>
      <c r="QT64" s="20" t="n">
        <f aca="false">IF(H_Direct=1,IF(ALT63&lt;=0,0,IF(CT64&lt;=0,MIN(MAX(0,AB64-SUM(PR64:QS64)),ALT63),MIN(MAX(0,AB64-SUM(PR64:QS64)),ALT63-G64*MAX(0,CT64*ALT63-(XS64+ABF64))))),MIN(GG64,MAX(0,AB64-SUM(PR64:QS64))))</f>
        <v>0</v>
      </c>
      <c r="QU64" s="20" t="n">
        <f aca="false">IF(H_Direct=1,IF(ALU63&lt;=0,0,IF(CU64&lt;=0,MIN(MAX(0,AB64-SUM(PR64:QT64)),ALU63),MIN(MAX(0,AB64-SUM(PR64:QT64)),ALU63-G64*MAX(0,CU64*ALU63-(XT64+ABG64))))),MIN(GH64,MAX(0,AB64-SUM(PR64:QT64))))</f>
        <v>0</v>
      </c>
      <c r="QV64" s="20" t="n">
        <f aca="false">IF(H_Direct=1,IF(ALV63&lt;=0,0,IF(CV64&lt;=0,MIN(MAX(0,AB64-SUM(PR64:QU64)),ALV63),MIN(MAX(0,AB64-SUM(PR64:QU64)),ALV63-G64*MAX(0,CV64*ALV63-(XU64+ABH64))))),MIN(GI64,MAX(0,AB64-SUM(PR64:QU64))))</f>
        <v>0</v>
      </c>
      <c r="QW64" s="20" t="n">
        <f aca="false">IF(H_Direct=1,IF(ALW63&lt;=0,0,IF(CW64&lt;=0,MIN(MAX(0,AB64-SUM(PR64:QV64)),ALW63),MIN(MAX(0,AB64-SUM(PR64:QV64)),ALW63-G64*MAX(0,CW64*ALW63-(XV64+ABI64))))),MIN(GJ64,MAX(0,AB64-SUM(PR64:QV64))))</f>
        <v>0</v>
      </c>
      <c r="QX64" s="20" t="n">
        <f aca="false">IF(H_Direct=1,IF(ALX63&lt;=0,0,IF(CX64&lt;=0,MIN(MAX(0,AB64-SUM(PR64:QW64)),ALX63),MIN(MAX(0,AB64-SUM(PR64:QW64)),ALX63-G64*MAX(0,CX64*ALX63-(XW64+ABJ64))))),MIN(GK64,MAX(0,AB64-SUM(PR64:QW64))))</f>
        <v>0</v>
      </c>
      <c r="QY64" s="20" t="n">
        <f aca="false">IF(H_Direct=1,IF(ALY63&lt;=0,0,IF(CY64&lt;=0,MIN(MAX(0,AB64-SUM(PR64:QX64)),ALY63),MIN(MAX(0,AB64-SUM(PR64:QX64)),ALY63-G64*MAX(0,CY64*ALY63-(XX64+ABK64))))),MIN(GL64,MAX(0,AB64-SUM(PR64:QX64))))</f>
        <v>0</v>
      </c>
      <c r="QZ64" s="20" t="n">
        <f aca="false">IF(H_Direct=1,IF(ALZ63&lt;=0,0,IF(CZ64&lt;=0,MIN(MAX(0,AB64-SUM(PR64:QY64)),ALZ63),MIN(MAX(0,AB64-SUM(PR64:QY64)),ALZ63-G64*MAX(0,CZ64*ALZ63-(XY64+ABL64))))),MIN(GM64,MAX(0,AB64-SUM(PR64:QY64))))</f>
        <v>0</v>
      </c>
      <c r="RA64" s="20" t="n">
        <f aca="false">IF(H_Direct=1,IF(AMA63&lt;=0,0,IF(DA64&lt;=0,MIN(MAX(0,AB64-SUM(PR64:QZ64)),AMA63),MIN(MAX(0,AB64-SUM(PR64:QZ64)),AMA63-G64*MAX(0,DA64*AMA63-(XZ64+ABM64))))),MIN(GN64,MAX(0,AB64-SUM(PR64:QZ64))))</f>
        <v>0</v>
      </c>
      <c r="RB64" s="20" t="n">
        <f aca="false">IF(H_Direct=1,IF(AMB63&lt;=0,0,IF(DB64&lt;=0,MIN(MAX(0,AB64-SUM(PR64:RA64)),AMB63),MIN(MAX(0,AB64-SUM(PR64:RA64)),AMB63-G64*MAX(0,DB64*AMB63-(YA64+ABN64))))),MIN(GO64,MAX(0,AB64-SUM(PR64:RA64))))</f>
        <v>0</v>
      </c>
      <c r="RC64" s="20" t="n">
        <f aca="false">IF(H_Direct=1,IF(AMC63&lt;=0,0,IF(DC64&lt;=0,MIN(MAX(0,AB64-SUM(PR64:RB64)),AMC63),MIN(MAX(0,AB64-SUM(PR64:RB64)),AMC63-G64*MAX(0,DC64*AMC63-(YB64+ABO64))))),MIN(GP64,MAX(0,AB64-SUM(PR64:RB64))))</f>
        <v>0</v>
      </c>
      <c r="RD64" s="20" t="n">
        <f aca="false">IF(H_Direct=1,IF(AMD63&lt;=0,0,IF(DD64&lt;=0,MIN(MAX(0,AB64-SUM(PR64:RC64)),AMD63),MIN(MAX(0,AB64-SUM(PR64:RC64)),AMD63-G64*MAX(0,DD64*AMD63-(YC64+ABP64))))),MIN(GQ64,MAX(0,AB64-SUM(PR64:RC64))))</f>
        <v>0</v>
      </c>
      <c r="RE64" s="20" t="n">
        <f aca="false">IF(H_Direct=1,IF(AME63&lt;=0,0,IF(DE64&lt;=0,MIN(MAX(0,AB64-SUM(PR64:RD64)),AME63),MIN(MAX(0,AB64-SUM(PR64:RD64)),AME63-G64*MAX(0,DE64*AME63-(YD64+ABQ64))))),MIN(GR64,MAX(0,AB64-SUM(PR64:RD64))))</f>
        <v>0</v>
      </c>
      <c r="RF64" s="20" t="n">
        <f aca="false">IF(H_Direct=1,IF(AMF63&lt;=0,0,IF(DF64&lt;=0,MIN(MAX(0,AB64-SUM(PR64:RE64)),AMF63),MIN(MAX(0,AB64-SUM(PR64:RE64)),AMF63-G64*MAX(0,DF64*AMF63-(YE64+ABR64))))),MIN(GS64,MAX(0,AB64-SUM(PR64:RE64))))</f>
        <v>0</v>
      </c>
      <c r="RG64" s="20" t="n">
        <f aca="false">IF(H_Direct=1,IF(AMG63&lt;=0,0,IF(DG64&lt;=0,MIN(MAX(0,AB64-SUM(PR64:RF64)),AMG63),MIN(MAX(0,AB64-SUM(PR64:RF64)),AMG63-G64*MAX(0,DG64*AMG63-(YF64+ABS64))))),MIN(GT64,MAX(0,AB64-SUM(PR64:RF64))))</f>
        <v>0</v>
      </c>
      <c r="RH64" s="20" t="n">
        <f aca="false">IF(H_Direct=1,IF(AMH63&lt;=0,0,IF(DH64&lt;=0,MIN(MAX(0,AB64-SUM(PR64:RG64)),AMH63),MIN(MAX(0,AB64-SUM(PR64:RG64)),AMH63-G64*MAX(0,DH64*AMH63-(YG64+ABT64))))),MIN(GU64,MAX(0,AB64-SUM(PR64:RG64))))</f>
        <v>0</v>
      </c>
      <c r="RI64" s="20" t="n">
        <f aca="false">IF(H_Direct=1,IF(AMI63&lt;=0,0,IF(DI64&lt;=0,MIN(MAX(0,AB64-SUM(PR64:RH64)),AMI63),MIN(MAX(0,AB64-SUM(PR64:RH64)),AMI63-G64*MAX(0,DI64*AMI63-(YH64+ABU64))))),MIN(GV64,MAX(0,AB64-SUM(PR64:RH64))))</f>
        <v>0</v>
      </c>
      <c r="RJ64" s="20" t="n">
        <f aca="false">IF(H_Direct=1,IF(AMJ63&lt;=0,0,IF(DJ64&lt;=0,MIN(MAX(0,AB64-SUM(PR64:RI64)),AMJ63),MIN(MAX(0,AB64-SUM(PR64:RI64)),AMJ63-G64*MAX(0,DJ64*AMJ63-(YI64+ABV64))))),MIN(GW64,MAX(0,AB64-SUM(PR64:RI64))))</f>
        <v>0</v>
      </c>
      <c r="RK64" s="20" t="n">
        <f aca="false">IF(H_Direct=1,IF(AMK63&lt;=0,0,IF(DK64&lt;=0,MIN(MAX(0,AB64-SUM(PR64:RJ64)),AMK63),MIN(MAX(0,AB64-SUM(PR64:RJ64)),AMK63-G64*MAX(0,DK64*AMK63-(YJ64+ABW64))))),MIN(GX64,MAX(0,AB64-SUM(PR64:RJ64))))</f>
        <v>0</v>
      </c>
      <c r="RL64" s="20" t="n">
        <f aca="false">IF(H_Direct=1,IF(AML63&lt;=0,0,IF(DL64&lt;=0,MIN(MAX(0,AB64-SUM(PR64:RK64)),AML63),MIN(MAX(0,AB64-SUM(PR64:RK64)),AML63-G64*MAX(0,DL64*AML63-(YK64+ABX64))))),MIN(GY64,MAX(0,AB64-SUM(PR64:RK64))))</f>
        <v>0</v>
      </c>
      <c r="RM64" s="20" t="n">
        <f aca="false">IF(H_Direct=1,IF(AMM63&lt;=0,0,IF(DM64&lt;=0,MIN(MAX(0,AB64-SUM(PR64:RL64)),AMM63),MIN(MAX(0,AB64-SUM(PR64:RL64)),AMM63-G64*MAX(0,DM64*AMM63-(YL64+ABY64))))),MIN(GZ64,MAX(0,AB64-SUM(PR64:RL64))))</f>
        <v>0</v>
      </c>
      <c r="RN64" s="20" t="n">
        <f aca="false">IF(H_Direct=1,IF(AMN63&lt;=0,0,IF(DN64&lt;=0,MIN(MAX(0,AB64-SUM(PR64:RM64)),AMN63),MIN(MAX(0,AB64-SUM(PR64:RM64)),AMN63-G64*MAX(0,DN64*AMN63-(YM64+ABZ64))))),MIN(HA64,MAX(0,AB64-SUM(PR64:RM64))))</f>
        <v>0</v>
      </c>
      <c r="RO64" s="20" t="n">
        <f aca="false">IF(H_Direct=1,IF(AMO63&lt;=0,0,IF(DO64&lt;=0,MIN(MAX(0,AB64-SUM(PR64:RN64)),AMO63),MIN(MAX(0,AB64-SUM(PR64:RN64)),AMO63-G64*MAX(0,DO64*AMO63-(YN64+ACA64))))),MIN(HB64,MAX(0,AB64-SUM(PR64:RN64))))</f>
        <v>0</v>
      </c>
      <c r="RP64" s="20" t="n">
        <f aca="false">IF(H_Direct=1,IF(AMP63&lt;=0,0,IF(DP64&lt;=0,MIN(MAX(0,AB64-SUM(PR64:RO64)),AMP63),MIN(MAX(0,AB64-SUM(PR64:RO64)),AMP63-G64*MAX(0,DP64*AMP63-(YO64+ACB64))))),MIN(HC64,MAX(0,AB64-SUM(PR64:RO64))))</f>
        <v>0</v>
      </c>
      <c r="RQ64" s="20" t="n">
        <f aca="false">IF(H_Direct=1,IF(AMQ63&lt;=0,0,IF(DQ64&lt;=0,MIN(MAX(0,AB64-SUM(PR64:RP64)),AMQ63),MIN(MAX(0,AB64-SUM(PR64:RP64)),AMQ63-G64*MAX(0,DQ64*AMQ63-(YP64+ACC64))))),MIN(HD64,MAX(0,AB64-SUM(PR64:RP64))))</f>
        <v>0</v>
      </c>
      <c r="RR64" s="20" t="n">
        <f aca="false">IF(H_Direct=1,IF(AMR63&lt;=0,0,IF(DR64&lt;=0,MIN(MAX(0,AB64-SUM(PR64:RQ64)),AMR63),MIN(MAX(0,AB64-SUM(PR64:RQ64)),AMR63-G64*MAX(0,DR64*AMR63-(YQ64+ACD64))))),MIN(HE64,MAX(0,AB64-SUM(PR64:RQ64))))</f>
        <v>0</v>
      </c>
      <c r="RS64" s="20" t="n">
        <f aca="false">IF(H_Direct=1,IF(AMS63&lt;=0,0,IF(DS64&lt;=0,MIN(MAX(0,AB64-SUM(PR64:RR64)),AMS63),MIN(MAX(0,AB64-SUM(PR64:RR64)),AMS63-G64*MAX(0,DS64*AMS63-(YR64+ACE64))))),MIN(HF64,MAX(0,AB64-SUM(PR64:RR64))))</f>
        <v>0</v>
      </c>
      <c r="RT64" s="20" t="n">
        <f aca="false">IF(H_Direct=1,IF(AMT63&lt;=0,0,IF(DT64&lt;=0,MIN(MAX(0,AB64-SUM(PR64:RS64)),AMT63),MIN(MAX(0,AB64-SUM(PR64:RS64)),AMT63-G64*MAX(0,DT64*AMT63-(YS64+ACF64))))),MIN(HG64,MAX(0,AB64-SUM(PR64:RS64))))</f>
        <v>0</v>
      </c>
      <c r="RU64" s="20" t="n">
        <f aca="false">IF(H_Direct=1,IF(AMU63&lt;=0,0,IF(DU64&lt;=0,MIN(MAX(0,AB64-SUM(PR64:RT64)),AMU63),MIN(MAX(0,AB64-SUM(PR64:RT64)),AMU63-G64*MAX(0,DU64*AMU63-(YT64+ACG64))))),MIN(HH64,MAX(0,AB64-SUM(PR64:RT64))))</f>
        <v>0</v>
      </c>
      <c r="RV64" s="20" t="n">
        <f aca="false">IF(H_Direct=1,IF(AMV63&lt;=0,0,IF(DV64&lt;=0,MIN(MAX(0,AB64-SUM(PR64:RU64)),AMV63),MIN(MAX(0,AB64-SUM(PR64:RU64)),AMV63-G64*MAX(0,DV64*AMV63-(YU64+ACH64))))),MIN(HI64,MAX(0,AB64-SUM(PR64:RU64))))</f>
        <v>0</v>
      </c>
      <c r="RW64" s="20" t="n">
        <f aca="false">IF(H_Direct=1,IF((P64+S64)&lt;=0,0,IF(DW64&lt;=0,MIN(MAX(0,AB64-SUM(PR64:RV64)),(P64+S64)),MIN(MAX(0,AB64-SUM(PR64:RV64)),(P64+S64)-G64*MAX(0,DW64*(P64+S64)-(YV64+ACI64))))),MIN(HJ64,MAX(0,AB64-SUM(PR64:RV64))))</f>
        <v>0</v>
      </c>
      <c r="RX64" s="20" t="n">
        <v>0</v>
      </c>
      <c r="RY64" s="20" t="n">
        <v>0</v>
      </c>
      <c r="RZ64" s="20" t="n">
        <v>0</v>
      </c>
      <c r="SA64" s="20" t="n">
        <v>0</v>
      </c>
      <c r="SB64" s="20" t="n">
        <v>0</v>
      </c>
      <c r="SC64" s="20" t="n">
        <v>0</v>
      </c>
      <c r="SD64" s="20" t="n">
        <v>0</v>
      </c>
      <c r="SE64" s="20" t="n">
        <v>0</v>
      </c>
      <c r="SF64" s="20" t="n">
        <v>0</v>
      </c>
      <c r="SG64" s="20" t="n">
        <v>0</v>
      </c>
      <c r="SH64" s="20" t="n">
        <v>0</v>
      </c>
      <c r="SI64" s="20" t="n">
        <v>0</v>
      </c>
      <c r="SJ64" s="20" t="n">
        <v>0</v>
      </c>
      <c r="SK64" s="20" t="n">
        <v>0</v>
      </c>
      <c r="SL64" s="20" t="n">
        <v>0</v>
      </c>
      <c r="SM64" s="20" t="n">
        <v>0</v>
      </c>
      <c r="SN64" s="20" t="n">
        <v>0</v>
      </c>
      <c r="SO64" s="20" t="n">
        <v>0</v>
      </c>
      <c r="SP64" s="20" t="n">
        <v>0</v>
      </c>
      <c r="SQ64" s="20" t="n">
        <v>0</v>
      </c>
      <c r="SR64" s="20" t="n">
        <v>0</v>
      </c>
      <c r="SS64" s="20" t="n">
        <v>0</v>
      </c>
      <c r="ST64" s="20" t="n">
        <v>0</v>
      </c>
      <c r="SU64" s="20" t="n">
        <v>0</v>
      </c>
      <c r="SV64" s="20" t="n">
        <v>0</v>
      </c>
      <c r="SW64" s="20" t="n">
        <v>0</v>
      </c>
      <c r="SX64" s="20" t="n">
        <v>0</v>
      </c>
      <c r="SY64" s="20" t="n">
        <v>0</v>
      </c>
      <c r="SZ64" s="20" t="n">
        <v>0</v>
      </c>
      <c r="TA64" s="20" t="n">
        <v>0</v>
      </c>
      <c r="TB64" s="20" t="n">
        <v>0</v>
      </c>
      <c r="TC64" s="20" t="n">
        <v>0</v>
      </c>
      <c r="TD64" s="20" t="n">
        <v>0</v>
      </c>
      <c r="TE64" s="20" t="n">
        <f aca="false">IF(AKR63&lt;=0,0,IF(H_Direct=1,IF(BR64&lt;=0,PR64,IF(PR64&lt;=(H64+I64)/BR64,PR64,(PR64-G64*(H64+I64))/(1-G64*BR64))),PR64/(1-MAX(0,BR64)*H_Exit)))</f>
        <v>0</v>
      </c>
      <c r="TF64" s="20" t="n">
        <f aca="false">IF(AKS63&lt;=0,0,IF(H_Direct=1,IF(BS64&lt;=0,PS64,IF(PS64&lt;=(WR64+AAE64)/BS64,PS64,(PS64-G64*(WR64+AAE64))/(1-G64*BS64))),PS64/(1-MAX(0,BS64)*H_Exit)))</f>
        <v>0</v>
      </c>
      <c r="TG64" s="20" t="n">
        <f aca="false">IF(AKT63&lt;=0,0,IF(H_Direct=1,IF(BT64&lt;=0,PT64,IF(PT64&lt;=(WS64+AAF64)/BT64,PT64,(PT64-G64*(WS64+AAF64))/(1-G64*BT64))),PT64/(1-MAX(0,BT64)*H_Exit)))</f>
        <v>0</v>
      </c>
      <c r="TH64" s="20" t="n">
        <f aca="false">IF(AKU63&lt;=0,0,IF(H_Direct=1,IF(BU64&lt;=0,PU64,IF(PU64&lt;=(WT64+AAG64)/BU64,PU64,(PU64-G64*(WT64+AAG64))/(1-G64*BU64))),PU64/(1-MAX(0,BU64)*H_Exit)))</f>
        <v>0</v>
      </c>
      <c r="TI64" s="20" t="n">
        <f aca="false">IF(AKV63&lt;=0,0,IF(H_Direct=1,IF(BV64&lt;=0,PV64,IF(PV64&lt;=(WU64+AAH64)/BV64,PV64,(PV64-G64*(WU64+AAH64))/(1-G64*BV64))),PV64/(1-MAX(0,BV64)*H_Exit)))</f>
        <v>0</v>
      </c>
      <c r="TJ64" s="20" t="n">
        <f aca="false">IF(AKW63&lt;=0,0,IF(H_Direct=1,IF(BW64&lt;=0,PW64,IF(PW64&lt;=(WV64+AAI64)/BW64,PW64,(PW64-G64*(WV64+AAI64))/(1-G64*BW64))),PW64/(1-MAX(0,BW64)*H_Exit)))</f>
        <v>0</v>
      </c>
      <c r="TK64" s="20" t="n">
        <f aca="false">IF(AKX63&lt;=0,0,IF(H_Direct=1,IF(BX64&lt;=0,PX64,IF(PX64&lt;=(WW64+AAJ64)/BX64,PX64,(PX64-G64*(WW64+AAJ64))/(1-G64*BX64))),PX64/(1-MAX(0,BX64)*H_Exit)))</f>
        <v>0</v>
      </c>
      <c r="TL64" s="20" t="n">
        <f aca="false">IF(AKY63&lt;=0,0,IF(H_Direct=1,IF(BY64&lt;=0,PY64,IF(PY64&lt;=(WX64+AAK64)/BY64,PY64,(PY64-G64*(WX64+AAK64))/(1-G64*BY64))),PY64/(1-MAX(0,BY64)*H_Exit)))</f>
        <v>0</v>
      </c>
      <c r="TM64" s="20" t="n">
        <f aca="false">IF(AKZ63&lt;=0,0,IF(H_Direct=1,IF(BZ64&lt;=0,PZ64,IF(PZ64&lt;=(WY64+AAL64)/BZ64,PZ64,(PZ64-G64*(WY64+AAL64))/(1-G64*BZ64))),PZ64/(1-MAX(0,BZ64)*H_Exit)))</f>
        <v>0</v>
      </c>
      <c r="TN64" s="20" t="n">
        <f aca="false">IF(ALA63&lt;=0,0,IF(H_Direct=1,IF(CA64&lt;=0,QA64,IF(QA64&lt;=(WZ64+AAM64)/CA64,QA64,(QA64-G64*(WZ64+AAM64))/(1-G64*CA64))),QA64/(1-MAX(0,CA64)*H_Exit)))</f>
        <v>0</v>
      </c>
      <c r="TO64" s="20" t="n">
        <f aca="false">IF(ALB63&lt;=0,0,IF(H_Direct=1,IF(CB64&lt;=0,QB64,IF(QB64&lt;=(XA64+AAN64)/CB64,QB64,(QB64-G64*(XA64+AAN64))/(1-G64*CB64))),QB64/(1-MAX(0,CB64)*H_Exit)))</f>
        <v>0</v>
      </c>
      <c r="TP64" s="20" t="n">
        <f aca="false">IF(ALC63&lt;=0,0,IF(H_Direct=1,IF(CC64&lt;=0,QC64,IF(QC64&lt;=(XB64+AAO64)/CC64,QC64,(QC64-G64*(XB64+AAO64))/(1-G64*CC64))),QC64/(1-MAX(0,CC64)*H_Exit)))</f>
        <v>0</v>
      </c>
      <c r="TQ64" s="20" t="n">
        <f aca="false">IF(ALD63&lt;=0,0,IF(H_Direct=1,IF(CD64&lt;=0,QD64,IF(QD64&lt;=(XC64+AAP64)/CD64,QD64,(QD64-G64*(XC64+AAP64))/(1-G64*CD64))),QD64/(1-MAX(0,CD64)*H_Exit)))</f>
        <v>0</v>
      </c>
      <c r="TR64" s="20" t="n">
        <f aca="false">IF(ALE63&lt;=0,0,IF(H_Direct=1,IF(CE64&lt;=0,QE64,IF(QE64&lt;=(XD64+AAQ64)/CE64,QE64,(QE64-G64*(XD64+AAQ64))/(1-G64*CE64))),QE64/(1-MAX(0,CE64)*H_Exit)))</f>
        <v>0</v>
      </c>
      <c r="TS64" s="20" t="n">
        <f aca="false">IF(ALF63&lt;=0,0,IF(H_Direct=1,IF(CF64&lt;=0,QF64,IF(QF64&lt;=(XE64+AAR64)/CF64,QF64,(QF64-G64*(XE64+AAR64))/(1-G64*CF64))),QF64/(1-MAX(0,CF64)*H_Exit)))</f>
        <v>0</v>
      </c>
      <c r="TT64" s="20" t="n">
        <f aca="false">IF(ALG63&lt;=0,0,IF(H_Direct=1,IF(CG64&lt;=0,QG64,IF(QG64&lt;=(XF64+AAS64)/CG64,QG64,(QG64-G64*(XF64+AAS64))/(1-G64*CG64))),QG64/(1-MAX(0,CG64)*H_Exit)))</f>
        <v>0</v>
      </c>
      <c r="TU64" s="20" t="n">
        <f aca="false">IF(ALH63&lt;=0,0,IF(H_Direct=1,IF(CH64&lt;=0,QH64,IF(QH64&lt;=(XG64+AAT64)/CH64,QH64,(QH64-G64*(XG64+AAT64))/(1-G64*CH64))),QH64/(1-MAX(0,CH64)*H_Exit)))</f>
        <v>0</v>
      </c>
      <c r="TV64" s="20" t="n">
        <f aca="false">IF(ALI63&lt;=0,0,IF(H_Direct=1,IF(CI64&lt;=0,QI64,IF(QI64&lt;=(XH64+AAU64)/CI64,QI64,(QI64-G64*(XH64+AAU64))/(1-G64*CI64))),QI64/(1-MAX(0,CI64)*H_Exit)))</f>
        <v>0</v>
      </c>
      <c r="TW64" s="20" t="n">
        <f aca="false">IF(ALJ63&lt;=0,0,IF(H_Direct=1,IF(CJ64&lt;=0,QJ64,IF(QJ64&lt;=(XI64+AAV64)/CJ64,QJ64,(QJ64-G64*(XI64+AAV64))/(1-G64*CJ64))),QJ64/(1-MAX(0,CJ64)*H_Exit)))</f>
        <v>0</v>
      </c>
      <c r="TX64" s="20" t="n">
        <f aca="false">IF(ALK63&lt;=0,0,IF(H_Direct=1,IF(CK64&lt;=0,QK64,IF(QK64&lt;=(XJ64+AAW64)/CK64,QK64,(QK64-G64*(XJ64+AAW64))/(1-G64*CK64))),QK64/(1-MAX(0,CK64)*H_Exit)))</f>
        <v>0</v>
      </c>
      <c r="TY64" s="20" t="n">
        <f aca="false">IF(ALL63&lt;=0,0,IF(H_Direct=1,IF(CL64&lt;=0,QL64,IF(QL64&lt;=(XK64+AAX64)/CL64,QL64,(QL64-G64*(XK64+AAX64))/(1-G64*CL64))),QL64/(1-MAX(0,CL64)*H_Exit)))</f>
        <v>0</v>
      </c>
      <c r="TZ64" s="20" t="n">
        <f aca="false">IF(ALM63&lt;=0,0,IF(H_Direct=1,IF(CM64&lt;=0,QM64,IF(QM64&lt;=(XL64+AAY64)/CM64,QM64,(QM64-G64*(XL64+AAY64))/(1-G64*CM64))),QM64/(1-MAX(0,CM64)*H_Exit)))</f>
        <v>0</v>
      </c>
      <c r="UA64" s="20" t="n">
        <f aca="false">IF(ALN63&lt;=0,0,IF(H_Direct=1,IF(CN64&lt;=0,QN64,IF(QN64&lt;=(XM64+AAZ64)/CN64,QN64,(QN64-G64*(XM64+AAZ64))/(1-G64*CN64))),QN64/(1-MAX(0,CN64)*H_Exit)))</f>
        <v>0</v>
      </c>
      <c r="UB64" s="20" t="n">
        <f aca="false">IF(ALO63&lt;=0,0,IF(H_Direct=1,IF(CO64&lt;=0,QO64,IF(QO64&lt;=(XN64+ABA64)/CO64,QO64,(QO64-G64*(XN64+ABA64))/(1-G64*CO64))),QO64/(1-MAX(0,CO64)*H_Exit)))</f>
        <v>0</v>
      </c>
      <c r="UC64" s="20" t="n">
        <f aca="false">IF(ALP63&lt;=0,0,IF(H_Direct=1,IF(CP64&lt;=0,QP64,IF(QP64&lt;=(XO64+ABB64)/CP64,QP64,(QP64-G64*(XO64+ABB64))/(1-G64*CP64))),QP64/(1-MAX(0,CP64)*H_Exit)))</f>
        <v>0</v>
      </c>
      <c r="UD64" s="20" t="n">
        <f aca="false">IF(ALQ63&lt;=0,0,IF(H_Direct=1,IF(CQ64&lt;=0,QQ64,IF(QQ64&lt;=(XP64+ABC64)/CQ64,QQ64,(QQ64-G64*(XP64+ABC64))/(1-G64*CQ64))),QQ64/(1-MAX(0,CQ64)*H_Exit)))</f>
        <v>0</v>
      </c>
      <c r="UE64" s="20" t="n">
        <f aca="false">IF(ALR63&lt;=0,0,IF(H_Direct=1,IF(CR64&lt;=0,QR64,IF(QR64&lt;=(XQ64+ABD64)/CR64,QR64,(QR64-G64*(XQ64+ABD64))/(1-G64*CR64))),QR64/(1-MAX(0,CR64)*H_Exit)))</f>
        <v>0</v>
      </c>
      <c r="UF64" s="20" t="n">
        <f aca="false">IF(ALS63&lt;=0,0,IF(H_Direct=1,IF(CS64&lt;=0,QS64,IF(QS64&lt;=(XR64+ABE64)/CS64,QS64,(QS64-G64*(XR64+ABE64))/(1-G64*CS64))),QS64/(1-MAX(0,CS64)*H_Exit)))</f>
        <v>0</v>
      </c>
      <c r="UG64" s="20" t="n">
        <f aca="false">IF(ALT63&lt;=0,0,IF(H_Direct=1,IF(CT64&lt;=0,QT64,IF(QT64&lt;=(XS64+ABF64)/CT64,QT64,(QT64-G64*(XS64+ABF64))/(1-G64*CT64))),QT64/(1-MAX(0,CT64)*H_Exit)))</f>
        <v>0</v>
      </c>
      <c r="UH64" s="20" t="n">
        <f aca="false">IF(ALU63&lt;=0,0,IF(H_Direct=1,IF(CU64&lt;=0,QU64,IF(QU64&lt;=(XT64+ABG64)/CU64,QU64,(QU64-G64*(XT64+ABG64))/(1-G64*CU64))),QU64/(1-MAX(0,CU64)*H_Exit)))</f>
        <v>0</v>
      </c>
      <c r="UI64" s="20" t="n">
        <f aca="false">IF(ALV63&lt;=0,0,IF(H_Direct=1,IF(CV64&lt;=0,QV64,IF(QV64&lt;=(XU64+ABH64)/CV64,QV64,(QV64-G64*(XU64+ABH64))/(1-G64*CV64))),QV64/(1-MAX(0,CV64)*H_Exit)))</f>
        <v>0</v>
      </c>
      <c r="UJ64" s="20" t="n">
        <f aca="false">IF(ALW63&lt;=0,0,IF(H_Direct=1,IF(CW64&lt;=0,QW64,IF(QW64&lt;=(XV64+ABI64)/CW64,QW64,(QW64-G64*(XV64+ABI64))/(1-G64*CW64))),QW64/(1-MAX(0,CW64)*H_Exit)))</f>
        <v>0</v>
      </c>
      <c r="UK64" s="20" t="n">
        <f aca="false">IF(ALX63&lt;=0,0,IF(H_Direct=1,IF(CX64&lt;=0,QX64,IF(QX64&lt;=(XW64+ABJ64)/CX64,QX64,(QX64-G64*(XW64+ABJ64))/(1-G64*CX64))),QX64/(1-MAX(0,CX64)*H_Exit)))</f>
        <v>0</v>
      </c>
      <c r="UL64" s="20" t="n">
        <f aca="false">IF(ALY63&lt;=0,0,IF(H_Direct=1,IF(CY64&lt;=0,QY64,IF(QY64&lt;=(XX64+ABK64)/CY64,QY64,(QY64-G64*(XX64+ABK64))/(1-G64*CY64))),QY64/(1-MAX(0,CY64)*H_Exit)))</f>
        <v>0</v>
      </c>
      <c r="UM64" s="20" t="n">
        <f aca="false">IF(ALZ63&lt;=0,0,IF(H_Direct=1,IF(CZ64&lt;=0,QZ64,IF(QZ64&lt;=(XY64+ABL64)/CZ64,QZ64,(QZ64-G64*(XY64+ABL64))/(1-G64*CZ64))),QZ64/(1-MAX(0,CZ64)*H_Exit)))</f>
        <v>0</v>
      </c>
      <c r="UN64" s="20" t="n">
        <f aca="false">IF(AMA63&lt;=0,0,IF(H_Direct=1,IF(DA64&lt;=0,RA64,IF(RA64&lt;=(XZ64+ABM64)/DA64,RA64,(RA64-G64*(XZ64+ABM64))/(1-G64*DA64))),RA64/(1-MAX(0,DA64)*H_Exit)))</f>
        <v>0</v>
      </c>
      <c r="UO64" s="20" t="n">
        <f aca="false">IF(AMB63&lt;=0,0,IF(H_Direct=1,IF(DB64&lt;=0,RB64,IF(RB64&lt;=(YA64+ABN64)/DB64,RB64,(RB64-G64*(YA64+ABN64))/(1-G64*DB64))),RB64/(1-MAX(0,DB64)*H_Exit)))</f>
        <v>0</v>
      </c>
      <c r="UP64" s="20" t="n">
        <f aca="false">IF(AMC63&lt;=0,0,IF(H_Direct=1,IF(DC64&lt;=0,RC64,IF(RC64&lt;=(YB64+ABO64)/DC64,RC64,(RC64-G64*(YB64+ABO64))/(1-G64*DC64))),RC64/(1-MAX(0,DC64)*H_Exit)))</f>
        <v>0</v>
      </c>
      <c r="UQ64" s="20" t="n">
        <f aca="false">IF(AMD63&lt;=0,0,IF(H_Direct=1,IF(DD64&lt;=0,RD64,IF(RD64&lt;=(YC64+ABP64)/DD64,RD64,(RD64-G64*(YC64+ABP64))/(1-G64*DD64))),RD64/(1-MAX(0,DD64)*H_Exit)))</f>
        <v>0</v>
      </c>
      <c r="UR64" s="20" t="n">
        <f aca="false">IF(AME63&lt;=0,0,IF(H_Direct=1,IF(DE64&lt;=0,RE64,IF(RE64&lt;=(YD64+ABQ64)/DE64,RE64,(RE64-G64*(YD64+ABQ64))/(1-G64*DE64))),RE64/(1-MAX(0,DE64)*H_Exit)))</f>
        <v>0</v>
      </c>
      <c r="US64" s="20" t="n">
        <f aca="false">IF(AMF63&lt;=0,0,IF(H_Direct=1,IF(DF64&lt;=0,RF64,IF(RF64&lt;=(YE64+ABR64)/DF64,RF64,(RF64-G64*(YE64+ABR64))/(1-G64*DF64))),RF64/(1-MAX(0,DF64)*H_Exit)))</f>
        <v>0</v>
      </c>
      <c r="UT64" s="20" t="n">
        <f aca="false">IF(AMG63&lt;=0,0,IF(H_Direct=1,IF(DG64&lt;=0,RG64,IF(RG64&lt;=(YF64+ABS64)/DG64,RG64,(RG64-G64*(YF64+ABS64))/(1-G64*DG64))),RG64/(1-MAX(0,DG64)*H_Exit)))</f>
        <v>0</v>
      </c>
      <c r="UU64" s="20" t="n">
        <f aca="false">IF(AMH63&lt;=0,0,IF(H_Direct=1,IF(DH64&lt;=0,RH64,IF(RH64&lt;=(YG64+ABT64)/DH64,RH64,(RH64-G64*(YG64+ABT64))/(1-G64*DH64))),RH64/(1-MAX(0,DH64)*H_Exit)))</f>
        <v>0</v>
      </c>
      <c r="UV64" s="20" t="n">
        <f aca="false">IF(AMI63&lt;=0,0,IF(H_Direct=1,IF(DI64&lt;=0,RI64,IF(RI64&lt;=(YH64+ABU64)/DI64,RI64,(RI64-G64*(YH64+ABU64))/(1-G64*DI64))),RI64/(1-MAX(0,DI64)*H_Exit)))</f>
        <v>0</v>
      </c>
      <c r="UW64" s="20" t="n">
        <f aca="false">IF(AMJ63&lt;=0,0,IF(H_Direct=1,IF(DJ64&lt;=0,RJ64,IF(RJ64&lt;=(YI64+ABV64)/DJ64,RJ64,(RJ64-G64*(YI64+ABV64))/(1-G64*DJ64))),RJ64/(1-MAX(0,DJ64)*H_Exit)))</f>
        <v>0</v>
      </c>
      <c r="UX64" s="20" t="n">
        <f aca="false">IF(AMK63&lt;=0,0,IF(H_Direct=1,IF(DK64&lt;=0,RK64,IF(RK64&lt;=(YJ64+ABW64)/DK64,RK64,(RK64-G64*(YJ64+ABW64))/(1-G64*DK64))),RK64/(1-MAX(0,DK64)*H_Exit)))</f>
        <v>0</v>
      </c>
      <c r="UY64" s="20" t="n">
        <f aca="false">IF(AML63&lt;=0,0,IF(H_Direct=1,IF(DL64&lt;=0,RL64,IF(RL64&lt;=(YK64+ABX64)/DL64,RL64,(RL64-G64*(YK64+ABX64))/(1-G64*DL64))),RL64/(1-MAX(0,DL64)*H_Exit)))</f>
        <v>0</v>
      </c>
      <c r="UZ64" s="20" t="n">
        <f aca="false">IF(AMM63&lt;=0,0,IF(H_Direct=1,IF(DM64&lt;=0,RM64,IF(RM64&lt;=(YL64+ABY64)/DM64,RM64,(RM64-G64*(YL64+ABY64))/(1-G64*DM64))),RM64/(1-MAX(0,DM64)*H_Exit)))</f>
        <v>0</v>
      </c>
      <c r="VA64" s="20" t="n">
        <f aca="false">IF(AMN63&lt;=0,0,IF(H_Direct=1,IF(DN64&lt;=0,RN64,IF(RN64&lt;=(YM64+ABZ64)/DN64,RN64,(RN64-G64*(YM64+ABZ64))/(1-G64*DN64))),RN64/(1-MAX(0,DN64)*H_Exit)))</f>
        <v>0</v>
      </c>
      <c r="VB64" s="20" t="n">
        <f aca="false">IF(AMO63&lt;=0,0,IF(H_Direct=1,IF(DO64&lt;=0,RO64,IF(RO64&lt;=(YN64+ACA64)/DO64,RO64,(RO64-G64*(YN64+ACA64))/(1-G64*DO64))),RO64/(1-MAX(0,DO64)*H_Exit)))</f>
        <v>0</v>
      </c>
      <c r="VC64" s="20" t="n">
        <f aca="false">IF(AMP63&lt;=0,0,IF(H_Direct=1,IF(DP64&lt;=0,RP64,IF(RP64&lt;=(YO64+ACB64)/DP64,RP64,(RP64-G64*(YO64+ACB64))/(1-G64*DP64))),RP64/(1-MAX(0,DP64)*H_Exit)))</f>
        <v>0</v>
      </c>
      <c r="VD64" s="20" t="n">
        <f aca="false">IF(AMQ63&lt;=0,0,IF(H_Direct=1,IF(DQ64&lt;=0,RQ64,IF(RQ64&lt;=(YP64+ACC64)/DQ64,RQ64,(RQ64-G64*(YP64+ACC64))/(1-G64*DQ64))),RQ64/(1-MAX(0,DQ64)*H_Exit)))</f>
        <v>0</v>
      </c>
      <c r="VE64" s="20" t="n">
        <f aca="false">IF(AMR63&lt;=0,0,IF(H_Direct=1,IF(DR64&lt;=0,RR64,IF(RR64&lt;=(YQ64+ACD64)/DR64,RR64,(RR64-G64*(YQ64+ACD64))/(1-G64*DR64))),RR64/(1-MAX(0,DR64)*H_Exit)))</f>
        <v>0</v>
      </c>
      <c r="VF64" s="20" t="n">
        <f aca="false">IF(AMS63&lt;=0,0,IF(H_Direct=1,IF(DS64&lt;=0,RS64,IF(RS64&lt;=(YR64+ACE64)/DS64,RS64,(RS64-G64*(YR64+ACE64))/(1-G64*DS64))),RS64/(1-MAX(0,DS64)*H_Exit)))</f>
        <v>0</v>
      </c>
      <c r="VG64" s="20" t="n">
        <f aca="false">IF(AMT63&lt;=0,0,IF(H_Direct=1,IF(DT64&lt;=0,RT64,IF(RT64&lt;=(YS64+ACF64)/DT64,RT64,(RT64-G64*(YS64+ACF64))/(1-G64*DT64))),RT64/(1-MAX(0,DT64)*H_Exit)))</f>
        <v>0</v>
      </c>
      <c r="VH64" s="20" t="n">
        <f aca="false">IF(AMU63&lt;=0,0,IF(H_Direct=1,IF(DU64&lt;=0,RU64,IF(RU64&lt;=(YT64+ACG64)/DU64,RU64,(RU64-G64*(YT64+ACG64))/(1-G64*DU64))),RU64/(1-MAX(0,DU64)*H_Exit)))</f>
        <v>0</v>
      </c>
      <c r="VI64" s="20" t="n">
        <f aca="false">IF(AMV63&lt;=0,0,IF(H_Direct=1,IF(DV64&lt;=0,RV64,IF(RV64&lt;=(YU64+ACH64)/DV64,RV64,(RV64-G64*(YU64+ACH64))/(1-G64*DV64))),RV64/(1-MAX(0,DV64)*H_Exit)))</f>
        <v>0</v>
      </c>
      <c r="VJ64" s="20" t="n">
        <f aca="false">IF((P64+S64)&lt;=0,0,IF(H_Direct=1,IF(DW64&lt;=0,RW64,IF(RW64&lt;=(YV64+ACI64)/DW64,RW64,(RW64-G64*(YV64+ACI64))/(1-G64*DW64))),RW64/(1-MAX(0,DW64)*H_Exit)))</f>
        <v>0</v>
      </c>
      <c r="VK64" s="20" t="n">
        <v>0</v>
      </c>
      <c r="VL64" s="20" t="n">
        <v>0</v>
      </c>
      <c r="VM64" s="20" t="n">
        <v>0</v>
      </c>
      <c r="VN64" s="20" t="n">
        <v>0</v>
      </c>
      <c r="VO64" s="20" t="n">
        <v>0</v>
      </c>
      <c r="VP64" s="20" t="n">
        <v>0</v>
      </c>
      <c r="VQ64" s="20" t="n">
        <v>0</v>
      </c>
      <c r="VR64" s="20" t="n">
        <v>0</v>
      </c>
      <c r="VS64" s="20" t="n">
        <v>0</v>
      </c>
      <c r="VT64" s="20" t="n">
        <v>0</v>
      </c>
      <c r="VU64" s="20" t="n">
        <v>0</v>
      </c>
      <c r="VV64" s="20" t="n">
        <v>0</v>
      </c>
      <c r="VW64" s="20" t="n">
        <v>0</v>
      </c>
      <c r="VX64" s="20" t="n">
        <v>0</v>
      </c>
      <c r="VY64" s="20" t="n">
        <v>0</v>
      </c>
      <c r="VZ64" s="20" t="n">
        <v>0</v>
      </c>
      <c r="WA64" s="20" t="n">
        <v>0</v>
      </c>
      <c r="WB64" s="20" t="n">
        <v>0</v>
      </c>
      <c r="WC64" s="20" t="n">
        <v>0</v>
      </c>
      <c r="WD64" s="20" t="n">
        <v>0</v>
      </c>
      <c r="WE64" s="20" t="n">
        <v>0</v>
      </c>
      <c r="WF64" s="20" t="n">
        <v>0</v>
      </c>
      <c r="WG64" s="20" t="n">
        <v>0</v>
      </c>
      <c r="WH64" s="20" t="n">
        <v>0</v>
      </c>
      <c r="WI64" s="20" t="n">
        <v>0</v>
      </c>
      <c r="WJ64" s="20" t="n">
        <v>0</v>
      </c>
      <c r="WK64" s="20" t="n">
        <v>0</v>
      </c>
      <c r="WL64" s="20" t="n">
        <v>0</v>
      </c>
      <c r="WM64" s="20" t="n">
        <v>0</v>
      </c>
      <c r="WN64" s="20" t="n">
        <v>0</v>
      </c>
      <c r="WO64" s="20" t="n">
        <v>0</v>
      </c>
      <c r="WP64" s="20" t="n">
        <v>0</v>
      </c>
      <c r="WQ64" s="20" t="n">
        <v>0</v>
      </c>
      <c r="WR64" s="20" t="n">
        <f aca="false">IF(AND(H_Direct=1,BR64&gt;0),MAX(0,H64-(MIN(BR64*TE64,(H64+I64))-MIN(MIN(BR64*TE64,(H64+I64)),I64))),H64)</f>
        <v>1270</v>
      </c>
      <c r="WS64" s="20" t="n">
        <f aca="false">IF(AND(H_Direct=1,BS64&gt;0),MAX(0,WR64-(MIN(BS64*TF64,(WR64+AAE64))-MIN(MIN(BS64*TF64,(WR64+AAE64)),AAE64))),WR64)</f>
        <v>1270</v>
      </c>
      <c r="WT64" s="20" t="n">
        <f aca="false">IF(AND(H_Direct=1,BT64&gt;0),MAX(0,WS64-(MIN(BT64*TG64,(WS64+AAF64))-MIN(MIN(BT64*TG64,(WS64+AAF64)),AAF64))),WS64)</f>
        <v>1270</v>
      </c>
      <c r="WU64" s="20" t="n">
        <f aca="false">IF(AND(H_Direct=1,BU64&gt;0),MAX(0,WT64-(MIN(BU64*TH64,(WT64+AAG64))-MIN(MIN(BU64*TH64,(WT64+AAG64)),AAG64))),WT64)</f>
        <v>1270</v>
      </c>
      <c r="WV64" s="20" t="n">
        <f aca="false">IF(AND(H_Direct=1,BV64&gt;0),MAX(0,WU64-(MIN(BV64*TI64,(WU64+AAH64))-MIN(MIN(BV64*TI64,(WU64+AAH64)),AAH64))),WU64)</f>
        <v>1270</v>
      </c>
      <c r="WW64" s="20" t="n">
        <f aca="false">IF(AND(H_Direct=1,BW64&gt;0),MAX(0,WV64-(MIN(BW64*TJ64,(WV64+AAI64))-MIN(MIN(BW64*TJ64,(WV64+AAI64)),AAI64))),WV64)</f>
        <v>1270</v>
      </c>
      <c r="WX64" s="20" t="n">
        <f aca="false">IF(AND(H_Direct=1,BX64&gt;0),MAX(0,WW64-(MIN(BX64*TK64,(WW64+AAJ64))-MIN(MIN(BX64*TK64,(WW64+AAJ64)),AAJ64))),WW64)</f>
        <v>1270</v>
      </c>
      <c r="WY64" s="20" t="n">
        <f aca="false">IF(AND(H_Direct=1,BY64&gt;0),MAX(0,WX64-(MIN(BY64*TL64,(WX64+AAK64))-MIN(MIN(BY64*TL64,(WX64+AAK64)),AAK64))),WX64)</f>
        <v>1270</v>
      </c>
      <c r="WZ64" s="20" t="n">
        <f aca="false">IF(AND(H_Direct=1,BZ64&gt;0),MAX(0,WY64-(MIN(BZ64*TM64,(WY64+AAL64))-MIN(MIN(BZ64*TM64,(WY64+AAL64)),AAL64))),WY64)</f>
        <v>1270</v>
      </c>
      <c r="XA64" s="20" t="n">
        <f aca="false">IF(AND(H_Direct=1,CA64&gt;0),MAX(0,WZ64-(MIN(CA64*TN64,(WZ64+AAM64))-MIN(MIN(CA64*TN64,(WZ64+AAM64)),AAM64))),WZ64)</f>
        <v>1270</v>
      </c>
      <c r="XB64" s="20" t="n">
        <f aca="false">IF(AND(H_Direct=1,CB64&gt;0),MAX(0,XA64-(MIN(CB64*TO64,(XA64+AAN64))-MIN(MIN(CB64*TO64,(XA64+AAN64)),AAN64))),XA64)</f>
        <v>1270</v>
      </c>
      <c r="XC64" s="20" t="n">
        <f aca="false">IF(AND(H_Direct=1,CC64&gt;0),MAX(0,XB64-(MIN(CC64*TP64,(XB64+AAO64))-MIN(MIN(CC64*TP64,(XB64+AAO64)),AAO64))),XB64)</f>
        <v>1270</v>
      </c>
      <c r="XD64" s="20" t="n">
        <f aca="false">IF(AND(H_Direct=1,CD64&gt;0),MAX(0,XC64-(MIN(CD64*TQ64,(XC64+AAP64))-MIN(MIN(CD64*TQ64,(XC64+AAP64)),AAP64))),XC64)</f>
        <v>1270</v>
      </c>
      <c r="XE64" s="20" t="n">
        <f aca="false">IF(AND(H_Direct=1,CE64&gt;0),MAX(0,XD64-(MIN(CE64*TR64,(XD64+AAQ64))-MIN(MIN(CE64*TR64,(XD64+AAQ64)),AAQ64))),XD64)</f>
        <v>1270</v>
      </c>
      <c r="XF64" s="20" t="n">
        <f aca="false">IF(AND(H_Direct=1,CF64&gt;0),MAX(0,XE64-(MIN(CF64*TS64,(XE64+AAR64))-MIN(MIN(CF64*TS64,(XE64+AAR64)),AAR64))),XE64)</f>
        <v>1270</v>
      </c>
      <c r="XG64" s="20" t="n">
        <f aca="false">IF(AND(H_Direct=1,CG64&gt;0),MAX(0,XF64-(MIN(CG64*TT64,(XF64+AAS64))-MIN(MIN(CG64*TT64,(XF64+AAS64)),AAS64))),XF64)</f>
        <v>1270</v>
      </c>
      <c r="XH64" s="20" t="n">
        <f aca="false">IF(AND(H_Direct=1,CH64&gt;0),MAX(0,XG64-(MIN(CH64*TU64,(XG64+AAT64))-MIN(MIN(CH64*TU64,(XG64+AAT64)),AAT64))),XG64)</f>
        <v>1270</v>
      </c>
      <c r="XI64" s="20" t="n">
        <f aca="false">IF(AND(H_Direct=1,CI64&gt;0),MAX(0,XH64-(MIN(CI64*TV64,(XH64+AAU64))-MIN(MIN(CI64*TV64,(XH64+AAU64)),AAU64))),XH64)</f>
        <v>1270</v>
      </c>
      <c r="XJ64" s="20" t="n">
        <f aca="false">IF(AND(H_Direct=1,CJ64&gt;0),MAX(0,XI64-(MIN(CJ64*TW64,(XI64+AAV64))-MIN(MIN(CJ64*TW64,(XI64+AAV64)),AAV64))),XI64)</f>
        <v>1270</v>
      </c>
      <c r="XK64" s="20" t="n">
        <f aca="false">IF(AND(H_Direct=1,CK64&gt;0),MAX(0,XJ64-(MIN(CK64*TX64,(XJ64+AAW64))-MIN(MIN(CK64*TX64,(XJ64+AAW64)),AAW64))),XJ64)</f>
        <v>1270</v>
      </c>
      <c r="XL64" s="20" t="n">
        <f aca="false">IF(AND(H_Direct=1,CL64&gt;0),MAX(0,XK64-(MIN(CL64*TY64,(XK64+AAX64))-MIN(MIN(CL64*TY64,(XK64+AAX64)),AAX64))),XK64)</f>
        <v>1270</v>
      </c>
      <c r="XM64" s="20" t="n">
        <f aca="false">IF(AND(H_Direct=1,CM64&gt;0),MAX(0,XL64-(MIN(CM64*TZ64,(XL64+AAY64))-MIN(MIN(CM64*TZ64,(XL64+AAY64)),AAY64))),XL64)</f>
        <v>1270</v>
      </c>
      <c r="XN64" s="20" t="n">
        <f aca="false">IF(AND(H_Direct=1,CN64&gt;0),MAX(0,XM64-(MIN(CN64*UA64,(XM64+AAZ64))-MIN(MIN(CN64*UA64,(XM64+AAZ64)),AAZ64))),XM64)</f>
        <v>1270</v>
      </c>
      <c r="XO64" s="20" t="n">
        <f aca="false">IF(AND(H_Direct=1,CO64&gt;0),MAX(0,XN64-(MIN(CO64*UB64,(XN64+ABA64))-MIN(MIN(CO64*UB64,(XN64+ABA64)),ABA64))),XN64)</f>
        <v>1270</v>
      </c>
      <c r="XP64" s="20" t="n">
        <f aca="false">IF(AND(H_Direct=1,CP64&gt;0),MAX(0,XO64-(MIN(CP64*UC64,(XO64+ABB64))-MIN(MIN(CP64*UC64,(XO64+ABB64)),ABB64))),XO64)</f>
        <v>1270</v>
      </c>
      <c r="XQ64" s="20" t="n">
        <f aca="false">IF(AND(H_Direct=1,CQ64&gt;0),MAX(0,XP64-(MIN(CQ64*UD64,(XP64+ABC64))-MIN(MIN(CQ64*UD64,(XP64+ABC64)),ABC64))),XP64)</f>
        <v>1270</v>
      </c>
      <c r="XR64" s="20" t="n">
        <f aca="false">IF(AND(H_Direct=1,CR64&gt;0),MAX(0,XQ64-(MIN(CR64*UE64,(XQ64+ABD64))-MIN(MIN(CR64*UE64,(XQ64+ABD64)),ABD64))),XQ64)</f>
        <v>1270</v>
      </c>
      <c r="XS64" s="20" t="n">
        <f aca="false">IF(AND(H_Direct=1,CS64&gt;0),MAX(0,XR64-(MIN(CS64*UF64,(XR64+ABE64))-MIN(MIN(CS64*UF64,(XR64+ABE64)),ABE64))),XR64)</f>
        <v>1270</v>
      </c>
      <c r="XT64" s="20" t="n">
        <f aca="false">IF(AND(H_Direct=1,CT64&gt;0),MAX(0,XS64-(MIN(CT64*UG64,(XS64+ABF64))-MIN(MIN(CT64*UG64,(XS64+ABF64)),ABF64))),XS64)</f>
        <v>1270</v>
      </c>
      <c r="XU64" s="20" t="n">
        <f aca="false">IF(AND(H_Direct=1,CU64&gt;0),MAX(0,XT64-(MIN(CU64*UH64,(XT64+ABG64))-MIN(MIN(CU64*UH64,(XT64+ABG64)),ABG64))),XT64)</f>
        <v>1270</v>
      </c>
      <c r="XV64" s="20" t="n">
        <f aca="false">IF(AND(H_Direct=1,CV64&gt;0),MAX(0,XU64-(MIN(CV64*UI64,(XU64+ABH64))-MIN(MIN(CV64*UI64,(XU64+ABH64)),ABH64))),XU64)</f>
        <v>1270</v>
      </c>
      <c r="XW64" s="20" t="n">
        <f aca="false">IF(AND(H_Direct=1,CW64&gt;0),MAX(0,XV64-(MIN(CW64*UJ64,(XV64+ABI64))-MIN(MIN(CW64*UJ64,(XV64+ABI64)),ABI64))),XV64)</f>
        <v>1270</v>
      </c>
      <c r="XX64" s="20" t="n">
        <f aca="false">IF(AND(H_Direct=1,CX64&gt;0),MAX(0,XW64-(MIN(CX64*UK64,(XW64+ABJ64))-MIN(MIN(CX64*UK64,(XW64+ABJ64)),ABJ64))),XW64)</f>
        <v>1270</v>
      </c>
      <c r="XY64" s="20" t="n">
        <f aca="false">IF(AND(H_Direct=1,CY64&gt;0),MAX(0,XX64-(MIN(CY64*UL64,(XX64+ABK64))-MIN(MIN(CY64*UL64,(XX64+ABK64)),ABK64))),XX64)</f>
        <v>1270</v>
      </c>
      <c r="XZ64" s="20" t="n">
        <f aca="false">IF(AND(H_Direct=1,CZ64&gt;0),MAX(0,XY64-(MIN(CZ64*UM64,(XY64+ABL64))-MIN(MIN(CZ64*UM64,(XY64+ABL64)),ABL64))),XY64)</f>
        <v>1270</v>
      </c>
      <c r="YA64" s="20" t="n">
        <f aca="false">IF(AND(H_Direct=1,DA64&gt;0),MAX(0,XZ64-(MIN(DA64*UN64,(XZ64+ABM64))-MIN(MIN(DA64*UN64,(XZ64+ABM64)),ABM64))),XZ64)</f>
        <v>1270</v>
      </c>
      <c r="YB64" s="20" t="n">
        <f aca="false">IF(AND(H_Direct=1,DB64&gt;0),MAX(0,YA64-(MIN(DB64*UO64,(YA64+ABN64))-MIN(MIN(DB64*UO64,(YA64+ABN64)),ABN64))),YA64)</f>
        <v>1270</v>
      </c>
      <c r="YC64" s="20" t="n">
        <f aca="false">IF(AND(H_Direct=1,DC64&gt;0),MAX(0,YB64-(MIN(DC64*UP64,(YB64+ABO64))-MIN(MIN(DC64*UP64,(YB64+ABO64)),ABO64))),YB64)</f>
        <v>1270</v>
      </c>
      <c r="YD64" s="20" t="n">
        <f aca="false">IF(AND(H_Direct=1,DD64&gt;0),MAX(0,YC64-(MIN(DD64*UQ64,(YC64+ABP64))-MIN(MIN(DD64*UQ64,(YC64+ABP64)),ABP64))),YC64)</f>
        <v>1270</v>
      </c>
      <c r="YE64" s="20" t="n">
        <f aca="false">IF(AND(H_Direct=1,DE64&gt;0),MAX(0,YD64-(MIN(DE64*UR64,(YD64+ABQ64))-MIN(MIN(DE64*UR64,(YD64+ABQ64)),ABQ64))),YD64)</f>
        <v>1270</v>
      </c>
      <c r="YF64" s="20" t="n">
        <f aca="false">IF(AND(H_Direct=1,DF64&gt;0),MAX(0,YE64-(MIN(DF64*US64,(YE64+ABR64))-MIN(MIN(DF64*US64,(YE64+ABR64)),ABR64))),YE64)</f>
        <v>1270</v>
      </c>
      <c r="YG64" s="20" t="n">
        <f aca="false">IF(AND(H_Direct=1,DG64&gt;0),MAX(0,YF64-(MIN(DG64*UT64,(YF64+ABS64))-MIN(MIN(DG64*UT64,(YF64+ABS64)),ABS64))),YF64)</f>
        <v>1270</v>
      </c>
      <c r="YH64" s="20" t="n">
        <f aca="false">IF(AND(H_Direct=1,DH64&gt;0),MAX(0,YG64-(MIN(DH64*UU64,(YG64+ABT64))-MIN(MIN(DH64*UU64,(YG64+ABT64)),ABT64))),YG64)</f>
        <v>1270</v>
      </c>
      <c r="YI64" s="20" t="n">
        <f aca="false">IF(AND(H_Direct=1,DI64&gt;0),MAX(0,YH64-(MIN(DI64*UV64,(YH64+ABU64))-MIN(MIN(DI64*UV64,(YH64+ABU64)),ABU64))),YH64)</f>
        <v>1270</v>
      </c>
      <c r="YJ64" s="20" t="n">
        <f aca="false">IF(AND(H_Direct=1,DJ64&gt;0),MAX(0,YI64-(MIN(DJ64*UW64,(YI64+ABV64))-MIN(MIN(DJ64*UW64,(YI64+ABV64)),ABV64))),YI64)</f>
        <v>1270</v>
      </c>
      <c r="YK64" s="20" t="n">
        <f aca="false">IF(AND(H_Direct=1,DK64&gt;0),MAX(0,YJ64-(MIN(DK64*UX64,(YJ64+ABW64))-MIN(MIN(DK64*UX64,(YJ64+ABW64)),ABW64))),YJ64)</f>
        <v>1270</v>
      </c>
      <c r="YL64" s="20" t="n">
        <f aca="false">IF(AND(H_Direct=1,DL64&gt;0),MAX(0,YK64-(MIN(DL64*UY64,(YK64+ABX64))-MIN(MIN(DL64*UY64,(YK64+ABX64)),ABX64))),YK64)</f>
        <v>1270</v>
      </c>
      <c r="YM64" s="20" t="n">
        <f aca="false">IF(AND(H_Direct=1,DM64&gt;0),MAX(0,YL64-(MIN(DM64*UZ64,(YL64+ABY64))-MIN(MIN(DM64*UZ64,(YL64+ABY64)),ABY64))),YL64)</f>
        <v>1270</v>
      </c>
      <c r="YN64" s="20" t="n">
        <f aca="false">IF(AND(H_Direct=1,DN64&gt;0),MAX(0,YM64-(MIN(DN64*VA64,(YM64+ABZ64))-MIN(MIN(DN64*VA64,(YM64+ABZ64)),ABZ64))),YM64)</f>
        <v>1270</v>
      </c>
      <c r="YO64" s="20" t="n">
        <f aca="false">IF(AND(H_Direct=1,DO64&gt;0),MAX(0,YN64-(MIN(DO64*VB64,(YN64+ACA64))-MIN(MIN(DO64*VB64,(YN64+ACA64)),ACA64))),YN64)</f>
        <v>1270</v>
      </c>
      <c r="YP64" s="20" t="n">
        <f aca="false">IF(AND(H_Direct=1,DP64&gt;0),MAX(0,YO64-(MIN(DP64*VC64,(YO64+ACB64))-MIN(MIN(DP64*VC64,(YO64+ACB64)),ACB64))),YO64)</f>
        <v>1270</v>
      </c>
      <c r="YQ64" s="20" t="n">
        <f aca="false">IF(AND(H_Direct=1,DQ64&gt;0),MAX(0,YP64-(MIN(DQ64*VD64,(YP64+ACC64))-MIN(MIN(DQ64*VD64,(YP64+ACC64)),ACC64))),YP64)</f>
        <v>1270</v>
      </c>
      <c r="YR64" s="20" t="n">
        <f aca="false">IF(AND(H_Direct=1,DR64&gt;0),MAX(0,YQ64-(MIN(DR64*VE64,(YQ64+ACD64))-MIN(MIN(DR64*VE64,(YQ64+ACD64)),ACD64))),YQ64)</f>
        <v>1270</v>
      </c>
      <c r="YS64" s="20" t="n">
        <f aca="false">IF(AND(H_Direct=1,DS64&gt;0),MAX(0,YR64-(MIN(DS64*VF64,(YR64+ACE64))-MIN(MIN(DS64*VF64,(YR64+ACE64)),ACE64))),YR64)</f>
        <v>1270</v>
      </c>
      <c r="YT64" s="20" t="n">
        <f aca="false">IF(AND(H_Direct=1,DT64&gt;0),MAX(0,YS64-(MIN(DT64*VG64,(YS64+ACF64))-MIN(MIN(DT64*VG64,(YS64+ACF64)),ACF64))),YS64)</f>
        <v>1270</v>
      </c>
      <c r="YU64" s="20" t="n">
        <f aca="false">IF(AND(H_Direct=1,DU64&gt;0),MAX(0,YT64-(MIN(DU64*VH64,(YT64+ACG64))-MIN(MIN(DU64*VH64,(YT64+ACG64)),ACG64))),YT64)</f>
        <v>1270</v>
      </c>
      <c r="YV64" s="20" t="n">
        <f aca="false">IF(AND(H_Direct=1,DV64&gt;0),MAX(0,YU64-(MIN(DV64*VI64,(YU64+ACH64))-MIN(MIN(DV64*VI64,(YU64+ACH64)),ACH64))),YU64)</f>
        <v>1270</v>
      </c>
      <c r="YW64" s="20" t="n">
        <f aca="false">IF(AND(H_Direct=1,DW64&gt;0),MAX(0,YV64-(MIN(DW64*VJ64,(YV64+ACI64))-MIN(MIN(DW64*VJ64,(YV64+ACI64)),ACI64))),YV64)</f>
        <v>1270</v>
      </c>
      <c r="YX64" s="20" t="n">
        <f aca="false">YW64</f>
        <v>1270</v>
      </c>
      <c r="YY64" s="20" t="n">
        <f aca="false">YX64</f>
        <v>1270</v>
      </c>
      <c r="YZ64" s="20" t="n">
        <f aca="false">YY64</f>
        <v>1270</v>
      </c>
      <c r="ZA64" s="20" t="n">
        <f aca="false">YZ64</f>
        <v>1270</v>
      </c>
      <c r="ZB64" s="20" t="n">
        <f aca="false">ZA64</f>
        <v>1270</v>
      </c>
      <c r="ZC64" s="20" t="n">
        <f aca="false">ZB64</f>
        <v>1270</v>
      </c>
      <c r="ZD64" s="20" t="n">
        <f aca="false">ZC64</f>
        <v>1270</v>
      </c>
      <c r="ZE64" s="20" t="n">
        <f aca="false">ZD64</f>
        <v>1270</v>
      </c>
      <c r="ZF64" s="20" t="n">
        <f aca="false">ZE64</f>
        <v>1270</v>
      </c>
      <c r="ZG64" s="20" t="n">
        <f aca="false">ZF64</f>
        <v>1270</v>
      </c>
      <c r="ZH64" s="20" t="n">
        <f aca="false">ZG64</f>
        <v>1270</v>
      </c>
      <c r="ZI64" s="20" t="n">
        <f aca="false">ZH64</f>
        <v>1270</v>
      </c>
      <c r="ZJ64" s="20" t="n">
        <f aca="false">ZI64</f>
        <v>1270</v>
      </c>
      <c r="ZK64" s="20" t="n">
        <f aca="false">ZJ64</f>
        <v>1270</v>
      </c>
      <c r="ZL64" s="20" t="n">
        <f aca="false">ZK64</f>
        <v>1270</v>
      </c>
      <c r="ZM64" s="20" t="n">
        <f aca="false">ZL64</f>
        <v>1270</v>
      </c>
      <c r="ZN64" s="20" t="n">
        <f aca="false">ZM64</f>
        <v>1270</v>
      </c>
      <c r="ZO64" s="20" t="n">
        <f aca="false">ZN64</f>
        <v>1270</v>
      </c>
      <c r="ZP64" s="20" t="n">
        <f aca="false">ZO64</f>
        <v>1270</v>
      </c>
      <c r="ZQ64" s="20" t="n">
        <f aca="false">ZP64</f>
        <v>1270</v>
      </c>
      <c r="ZR64" s="20" t="n">
        <f aca="false">ZQ64</f>
        <v>1270</v>
      </c>
      <c r="ZS64" s="20" t="n">
        <f aca="false">ZR64</f>
        <v>1270</v>
      </c>
      <c r="ZT64" s="20" t="n">
        <f aca="false">ZS64</f>
        <v>1270</v>
      </c>
      <c r="ZU64" s="20" t="n">
        <f aca="false">ZT64</f>
        <v>1270</v>
      </c>
      <c r="ZV64" s="20" t="n">
        <f aca="false">ZU64</f>
        <v>1270</v>
      </c>
      <c r="ZW64" s="20" t="n">
        <f aca="false">ZV64</f>
        <v>1270</v>
      </c>
      <c r="ZX64" s="20" t="n">
        <f aca="false">ZW64</f>
        <v>1270</v>
      </c>
      <c r="ZY64" s="20" t="n">
        <f aca="false">ZX64</f>
        <v>1270</v>
      </c>
      <c r="ZZ64" s="20" t="n">
        <f aca="false">ZY64</f>
        <v>1270</v>
      </c>
      <c r="AAA64" s="20" t="n">
        <f aca="false">ZZ64</f>
        <v>1270</v>
      </c>
      <c r="AAB64" s="20" t="n">
        <f aca="false">AAA64</f>
        <v>1270</v>
      </c>
      <c r="AAC64" s="20" t="n">
        <f aca="false">AAB64</f>
        <v>1270</v>
      </c>
      <c r="AAD64" s="20" t="n">
        <f aca="false">AAC64</f>
        <v>1270</v>
      </c>
      <c r="AAE64" s="20" t="n">
        <f aca="false">IF(H_Direct=1,IF(BR64&lt;=0,I64-BR64*TE64,I64-MIN(MIN(BR64*TE64,(H64+I64)),I64)),I64)</f>
        <v>0</v>
      </c>
      <c r="AAF64" s="20" t="n">
        <f aca="false">IF(H_Direct=1,IF(BS64&lt;=0,AAE64-BS64*TF64,AAE64-MIN(MIN(BS64*TF64,(WR64+AAE64)),AAE64)),AAE64)</f>
        <v>0</v>
      </c>
      <c r="AAG64" s="20" t="n">
        <f aca="false">IF(H_Direct=1,IF(BT64&lt;=0,AAF64-BT64*TG64,AAF64-MIN(MIN(BT64*TG64,(WS64+AAF64)),AAF64)),AAF64)</f>
        <v>0</v>
      </c>
      <c r="AAH64" s="20" t="n">
        <f aca="false">IF(H_Direct=1,IF(BU64&lt;=0,AAG64-BU64*TH64,AAG64-MIN(MIN(BU64*TH64,(WT64+AAG64)),AAG64)),AAG64)</f>
        <v>0</v>
      </c>
      <c r="AAI64" s="20" t="n">
        <f aca="false">IF(H_Direct=1,IF(BV64&lt;=0,AAH64-BV64*TI64,AAH64-MIN(MIN(BV64*TI64,(WU64+AAH64)),AAH64)),AAH64)</f>
        <v>0</v>
      </c>
      <c r="AAJ64" s="20" t="n">
        <f aca="false">IF(H_Direct=1,IF(BW64&lt;=0,AAI64-BW64*TJ64,AAI64-MIN(MIN(BW64*TJ64,(WV64+AAI64)),AAI64)),AAI64)</f>
        <v>0</v>
      </c>
      <c r="AAK64" s="20" t="n">
        <f aca="false">IF(H_Direct=1,IF(BX64&lt;=0,AAJ64-BX64*TK64,AAJ64-MIN(MIN(BX64*TK64,(WW64+AAJ64)),AAJ64)),AAJ64)</f>
        <v>0</v>
      </c>
      <c r="AAL64" s="20" t="n">
        <f aca="false">IF(H_Direct=1,IF(BY64&lt;=0,AAK64-BY64*TL64,AAK64-MIN(MIN(BY64*TL64,(WX64+AAK64)),AAK64)),AAK64)</f>
        <v>0</v>
      </c>
      <c r="AAM64" s="20" t="n">
        <f aca="false">IF(H_Direct=1,IF(BZ64&lt;=0,AAL64-BZ64*TM64,AAL64-MIN(MIN(BZ64*TM64,(WY64+AAL64)),AAL64)),AAL64)</f>
        <v>0</v>
      </c>
      <c r="AAN64" s="20" t="n">
        <f aca="false">IF(H_Direct=1,IF(CA64&lt;=0,AAM64-CA64*TN64,AAM64-MIN(MIN(CA64*TN64,(WZ64+AAM64)),AAM64)),AAM64)</f>
        <v>0</v>
      </c>
      <c r="AAO64" s="20" t="n">
        <f aca="false">IF(H_Direct=1,IF(CB64&lt;=0,AAN64-CB64*TO64,AAN64-MIN(MIN(CB64*TO64,(XA64+AAN64)),AAN64)),AAN64)</f>
        <v>0</v>
      </c>
      <c r="AAP64" s="20" t="n">
        <f aca="false">IF(H_Direct=1,IF(CC64&lt;=0,AAO64-CC64*TP64,AAO64-MIN(MIN(CC64*TP64,(XB64+AAO64)),AAO64)),AAO64)</f>
        <v>0</v>
      </c>
      <c r="AAQ64" s="20" t="n">
        <f aca="false">IF(H_Direct=1,IF(CD64&lt;=0,AAP64-CD64*TQ64,AAP64-MIN(MIN(CD64*TQ64,(XC64+AAP64)),AAP64)),AAP64)</f>
        <v>0</v>
      </c>
      <c r="AAR64" s="20" t="n">
        <f aca="false">IF(H_Direct=1,IF(CE64&lt;=0,AAQ64-CE64*TR64,AAQ64-MIN(MIN(CE64*TR64,(XD64+AAQ64)),AAQ64)),AAQ64)</f>
        <v>0</v>
      </c>
      <c r="AAS64" s="20" t="n">
        <f aca="false">IF(H_Direct=1,IF(CF64&lt;=0,AAR64-CF64*TS64,AAR64-MIN(MIN(CF64*TS64,(XE64+AAR64)),AAR64)),AAR64)</f>
        <v>0</v>
      </c>
      <c r="AAT64" s="20" t="n">
        <f aca="false">IF(H_Direct=1,IF(CG64&lt;=0,AAS64-CG64*TT64,AAS64-MIN(MIN(CG64*TT64,(XF64+AAS64)),AAS64)),AAS64)</f>
        <v>0</v>
      </c>
      <c r="AAU64" s="20" t="n">
        <f aca="false">IF(H_Direct=1,IF(CH64&lt;=0,AAT64-CH64*TU64,AAT64-MIN(MIN(CH64*TU64,(XG64+AAT64)),AAT64)),AAT64)</f>
        <v>0</v>
      </c>
      <c r="AAV64" s="20" t="n">
        <f aca="false">IF(H_Direct=1,IF(CI64&lt;=0,AAU64-CI64*TV64,AAU64-MIN(MIN(CI64*TV64,(XH64+AAU64)),AAU64)),AAU64)</f>
        <v>0</v>
      </c>
      <c r="AAW64" s="20" t="n">
        <f aca="false">IF(H_Direct=1,IF(CJ64&lt;=0,AAV64-CJ64*TW64,AAV64-MIN(MIN(CJ64*TW64,(XI64+AAV64)),AAV64)),AAV64)</f>
        <v>0</v>
      </c>
      <c r="AAX64" s="20" t="n">
        <f aca="false">IF(H_Direct=1,IF(CK64&lt;=0,AAW64-CK64*TX64,AAW64-MIN(MIN(CK64*TX64,(XJ64+AAW64)),AAW64)),AAW64)</f>
        <v>0</v>
      </c>
      <c r="AAY64" s="20" t="n">
        <f aca="false">IF(H_Direct=1,IF(CL64&lt;=0,AAX64-CL64*TY64,AAX64-MIN(MIN(CL64*TY64,(XK64+AAX64)),AAX64)),AAX64)</f>
        <v>0</v>
      </c>
      <c r="AAZ64" s="20" t="n">
        <f aca="false">IF(H_Direct=1,IF(CM64&lt;=0,AAY64-CM64*TZ64,AAY64-MIN(MIN(CM64*TZ64,(XL64+AAY64)),AAY64)),AAY64)</f>
        <v>0</v>
      </c>
      <c r="ABA64" s="20" t="n">
        <f aca="false">IF(H_Direct=1,IF(CN64&lt;=0,AAZ64-CN64*UA64,AAZ64-MIN(MIN(CN64*UA64,(XM64+AAZ64)),AAZ64)),AAZ64)</f>
        <v>0</v>
      </c>
      <c r="ABB64" s="20" t="n">
        <f aca="false">IF(H_Direct=1,IF(CO64&lt;=0,ABA64-CO64*UB64,ABA64-MIN(MIN(CO64*UB64,(XN64+ABA64)),ABA64)),ABA64)</f>
        <v>0</v>
      </c>
      <c r="ABC64" s="20" t="n">
        <f aca="false">IF(H_Direct=1,IF(CP64&lt;=0,ABB64-CP64*UC64,ABB64-MIN(MIN(CP64*UC64,(XO64+ABB64)),ABB64)),ABB64)</f>
        <v>0</v>
      </c>
      <c r="ABD64" s="20" t="n">
        <f aca="false">IF(H_Direct=1,IF(CQ64&lt;=0,ABC64-CQ64*UD64,ABC64-MIN(MIN(CQ64*UD64,(XP64+ABC64)),ABC64)),ABC64)</f>
        <v>0</v>
      </c>
      <c r="ABE64" s="20" t="n">
        <f aca="false">IF(H_Direct=1,IF(CR64&lt;=0,ABD64-CR64*UE64,ABD64-MIN(MIN(CR64*UE64,(XQ64+ABD64)),ABD64)),ABD64)</f>
        <v>0</v>
      </c>
      <c r="ABF64" s="20" t="n">
        <f aca="false">IF(H_Direct=1,IF(CS64&lt;=0,ABE64-CS64*UF64,ABE64-MIN(MIN(CS64*UF64,(XR64+ABE64)),ABE64)),ABE64)</f>
        <v>0</v>
      </c>
      <c r="ABG64" s="20" t="n">
        <f aca="false">IF(H_Direct=1,IF(CT64&lt;=0,ABF64-CT64*UG64,ABF64-MIN(MIN(CT64*UG64,(XS64+ABF64)),ABF64)),ABF64)</f>
        <v>0</v>
      </c>
      <c r="ABH64" s="20" t="n">
        <f aca="false">IF(H_Direct=1,IF(CU64&lt;=0,ABG64-CU64*UH64,ABG64-MIN(MIN(CU64*UH64,(XT64+ABG64)),ABG64)),ABG64)</f>
        <v>0</v>
      </c>
      <c r="ABI64" s="20" t="n">
        <f aca="false">IF(H_Direct=1,IF(CV64&lt;=0,ABH64-CV64*UI64,ABH64-MIN(MIN(CV64*UI64,(XU64+ABH64)),ABH64)),ABH64)</f>
        <v>0</v>
      </c>
      <c r="ABJ64" s="20" t="n">
        <f aca="false">IF(H_Direct=1,IF(CW64&lt;=0,ABI64-CW64*UJ64,ABI64-MIN(MIN(CW64*UJ64,(XV64+ABI64)),ABI64)),ABI64)</f>
        <v>0</v>
      </c>
      <c r="ABK64" s="20" t="n">
        <f aca="false">IF(H_Direct=1,IF(CX64&lt;=0,ABJ64-CX64*UK64,ABJ64-MIN(MIN(CX64*UK64,(XW64+ABJ64)),ABJ64)),ABJ64)</f>
        <v>0</v>
      </c>
      <c r="ABL64" s="20" t="n">
        <f aca="false">IF(H_Direct=1,IF(CY64&lt;=0,ABK64-CY64*UL64,ABK64-MIN(MIN(CY64*UL64,(XX64+ABK64)),ABK64)),ABK64)</f>
        <v>0</v>
      </c>
      <c r="ABM64" s="20" t="n">
        <f aca="false">IF(H_Direct=1,IF(CZ64&lt;=0,ABL64-CZ64*UM64,ABL64-MIN(MIN(CZ64*UM64,(XY64+ABL64)),ABL64)),ABL64)</f>
        <v>0</v>
      </c>
      <c r="ABN64" s="20" t="n">
        <f aca="false">IF(H_Direct=1,IF(DA64&lt;=0,ABM64-DA64*UN64,ABM64-MIN(MIN(DA64*UN64,(XZ64+ABM64)),ABM64)),ABM64)</f>
        <v>0</v>
      </c>
      <c r="ABO64" s="20" t="n">
        <f aca="false">IF(H_Direct=1,IF(DB64&lt;=0,ABN64-DB64*UO64,ABN64-MIN(MIN(DB64*UO64,(YA64+ABN64)),ABN64)),ABN64)</f>
        <v>0</v>
      </c>
      <c r="ABP64" s="20" t="n">
        <f aca="false">IF(H_Direct=1,IF(DC64&lt;=0,ABO64-DC64*UP64,ABO64-MIN(MIN(DC64*UP64,(YB64+ABO64)),ABO64)),ABO64)</f>
        <v>0</v>
      </c>
      <c r="ABQ64" s="20" t="n">
        <f aca="false">IF(H_Direct=1,IF(DD64&lt;=0,ABP64-DD64*UQ64,ABP64-MIN(MIN(DD64*UQ64,(YC64+ABP64)),ABP64)),ABP64)</f>
        <v>0</v>
      </c>
      <c r="ABR64" s="20" t="n">
        <f aca="false">IF(H_Direct=1,IF(DE64&lt;=0,ABQ64-DE64*UR64,ABQ64-MIN(MIN(DE64*UR64,(YD64+ABQ64)),ABQ64)),ABQ64)</f>
        <v>0</v>
      </c>
      <c r="ABS64" s="20" t="n">
        <f aca="false">IF(H_Direct=1,IF(DF64&lt;=0,ABR64-DF64*US64,ABR64-MIN(MIN(DF64*US64,(YE64+ABR64)),ABR64)),ABR64)</f>
        <v>0</v>
      </c>
      <c r="ABT64" s="20" t="n">
        <f aca="false">IF(H_Direct=1,IF(DG64&lt;=0,ABS64-DG64*UT64,ABS64-MIN(MIN(DG64*UT64,(YF64+ABS64)),ABS64)),ABS64)</f>
        <v>0</v>
      </c>
      <c r="ABU64" s="20" t="n">
        <f aca="false">IF(H_Direct=1,IF(DH64&lt;=0,ABT64-DH64*UU64,ABT64-MIN(MIN(DH64*UU64,(YG64+ABT64)),ABT64)),ABT64)</f>
        <v>0</v>
      </c>
      <c r="ABV64" s="20" t="n">
        <f aca="false">IF(H_Direct=1,IF(DI64&lt;=0,ABU64-DI64*UV64,ABU64-MIN(MIN(DI64*UV64,(YH64+ABU64)),ABU64)),ABU64)</f>
        <v>0</v>
      </c>
      <c r="ABW64" s="20" t="n">
        <f aca="false">IF(H_Direct=1,IF(DJ64&lt;=0,ABV64-DJ64*UW64,ABV64-MIN(MIN(DJ64*UW64,(YI64+ABV64)),ABV64)),ABV64)</f>
        <v>0</v>
      </c>
      <c r="ABX64" s="20" t="n">
        <f aca="false">IF(H_Direct=1,IF(DK64&lt;=0,ABW64-DK64*UX64,ABW64-MIN(MIN(DK64*UX64,(YJ64+ABW64)),ABW64)),ABW64)</f>
        <v>0</v>
      </c>
      <c r="ABY64" s="20" t="n">
        <f aca="false">IF(H_Direct=1,IF(DL64&lt;=0,ABX64-DL64*UY64,ABX64-MIN(MIN(DL64*UY64,(YK64+ABX64)),ABX64)),ABX64)</f>
        <v>0</v>
      </c>
      <c r="ABZ64" s="20" t="n">
        <f aca="false">IF(H_Direct=1,IF(DM64&lt;=0,ABY64-DM64*UZ64,ABY64-MIN(MIN(DM64*UZ64,(YL64+ABY64)),ABY64)),ABY64)</f>
        <v>0</v>
      </c>
      <c r="ACA64" s="20" t="n">
        <f aca="false">IF(H_Direct=1,IF(DN64&lt;=0,ABZ64-DN64*VA64,ABZ64-MIN(MIN(DN64*VA64,(YM64+ABZ64)),ABZ64)),ABZ64)</f>
        <v>0</v>
      </c>
      <c r="ACB64" s="20" t="n">
        <f aca="false">IF(H_Direct=1,IF(DO64&lt;=0,ACA64-DO64*VB64,ACA64-MIN(MIN(DO64*VB64,(YN64+ACA64)),ACA64)),ACA64)</f>
        <v>0</v>
      </c>
      <c r="ACC64" s="20" t="n">
        <f aca="false">IF(H_Direct=1,IF(DP64&lt;=0,ACB64-DP64*VC64,ACB64-MIN(MIN(DP64*VC64,(YO64+ACB64)),ACB64)),ACB64)</f>
        <v>0</v>
      </c>
      <c r="ACD64" s="20" t="n">
        <f aca="false">IF(H_Direct=1,IF(DQ64&lt;=0,ACC64-DQ64*VD64,ACC64-MIN(MIN(DQ64*VD64,(YP64+ACC64)),ACC64)),ACC64)</f>
        <v>0</v>
      </c>
      <c r="ACE64" s="20" t="n">
        <f aca="false">IF(H_Direct=1,IF(DR64&lt;=0,ACD64-DR64*VE64,ACD64-MIN(MIN(DR64*VE64,(YQ64+ACD64)),ACD64)),ACD64)</f>
        <v>0</v>
      </c>
      <c r="ACF64" s="20" t="n">
        <f aca="false">IF(H_Direct=1,IF(DS64&lt;=0,ACE64-DS64*VF64,ACE64-MIN(MIN(DS64*VF64,(YR64+ACE64)),ACE64)),ACE64)</f>
        <v>0</v>
      </c>
      <c r="ACG64" s="20" t="n">
        <f aca="false">IF(H_Direct=1,IF(DT64&lt;=0,ACF64-DT64*VG64,ACF64-MIN(MIN(DT64*VG64,(YS64+ACF64)),ACF64)),ACF64)</f>
        <v>0</v>
      </c>
      <c r="ACH64" s="20" t="n">
        <f aca="false">IF(H_Direct=1,IF(DU64&lt;=0,ACG64-DU64*VH64,ACG64-MIN(MIN(DU64*VH64,(YT64+ACG64)),ACG64)),ACG64)</f>
        <v>0</v>
      </c>
      <c r="ACI64" s="20" t="n">
        <f aca="false">IF(H_Direct=1,IF(DV64&lt;=0,ACH64-DV64*VI64,ACH64-MIN(MIN(DV64*VI64,(YU64+ACH64)),ACH64)),ACH64)</f>
        <v>0</v>
      </c>
      <c r="ACJ64" s="20" t="n">
        <f aca="false">IF(H_Direct=1,IF(DW64&lt;=0,ACI64-DW64*VJ64,ACI64-MIN(MIN(DW64*VJ64,(YV64+ACI64)),ACI64)),ACI64)</f>
        <v>0</v>
      </c>
      <c r="ACK64" s="20" t="n">
        <f aca="false">ACJ64</f>
        <v>0</v>
      </c>
      <c r="ACL64" s="20" t="n">
        <f aca="false">ACK64</f>
        <v>0</v>
      </c>
      <c r="ACM64" s="20" t="n">
        <f aca="false">ACL64</f>
        <v>0</v>
      </c>
      <c r="ACN64" s="20" t="n">
        <f aca="false">ACM64</f>
        <v>0</v>
      </c>
      <c r="ACO64" s="20" t="n">
        <f aca="false">ACN64</f>
        <v>0</v>
      </c>
      <c r="ACP64" s="20" t="n">
        <f aca="false">ACO64</f>
        <v>0</v>
      </c>
      <c r="ACQ64" s="20" t="n">
        <f aca="false">ACP64</f>
        <v>0</v>
      </c>
      <c r="ACR64" s="20" t="n">
        <f aca="false">ACQ64</f>
        <v>0</v>
      </c>
      <c r="ACS64" s="20" t="n">
        <f aca="false">ACR64</f>
        <v>0</v>
      </c>
      <c r="ACT64" s="20" t="n">
        <f aca="false">ACS64</f>
        <v>0</v>
      </c>
      <c r="ACU64" s="20" t="n">
        <f aca="false">ACT64</f>
        <v>0</v>
      </c>
      <c r="ACV64" s="20" t="n">
        <f aca="false">ACU64</f>
        <v>0</v>
      </c>
      <c r="ACW64" s="20" t="n">
        <f aca="false">ACV64</f>
        <v>0</v>
      </c>
      <c r="ACX64" s="20" t="n">
        <f aca="false">ACW64</f>
        <v>0</v>
      </c>
      <c r="ACY64" s="20" t="n">
        <f aca="false">ACX64</f>
        <v>0</v>
      </c>
      <c r="ACZ64" s="20" t="n">
        <f aca="false">ACY64</f>
        <v>0</v>
      </c>
      <c r="ADA64" s="20" t="n">
        <f aca="false">ACZ64</f>
        <v>0</v>
      </c>
      <c r="ADB64" s="20" t="n">
        <f aca="false">ADA64</f>
        <v>0</v>
      </c>
      <c r="ADC64" s="20" t="n">
        <f aca="false">ADB64</f>
        <v>0</v>
      </c>
      <c r="ADD64" s="20" t="n">
        <f aca="false">ADC64</f>
        <v>0</v>
      </c>
      <c r="ADE64" s="20" t="n">
        <f aca="false">ADD64</f>
        <v>0</v>
      </c>
      <c r="ADF64" s="20" t="n">
        <f aca="false">ADE64</f>
        <v>0</v>
      </c>
      <c r="ADG64" s="20" t="n">
        <f aca="false">ADF64</f>
        <v>0</v>
      </c>
      <c r="ADH64" s="20" t="n">
        <f aca="false">ADG64</f>
        <v>0</v>
      </c>
      <c r="ADI64" s="20" t="n">
        <f aca="false">ADH64</f>
        <v>0</v>
      </c>
      <c r="ADJ64" s="20" t="n">
        <f aca="false">ADI64</f>
        <v>0</v>
      </c>
      <c r="ADK64" s="20" t="n">
        <f aca="false">ADJ64</f>
        <v>0</v>
      </c>
      <c r="ADL64" s="20" t="n">
        <f aca="false">ADK64</f>
        <v>0</v>
      </c>
      <c r="ADM64" s="20" t="n">
        <f aca="false">ADL64</f>
        <v>0</v>
      </c>
      <c r="ADN64" s="20" t="n">
        <f aca="false">ADM64</f>
        <v>0</v>
      </c>
      <c r="ADO64" s="20" t="n">
        <f aca="false">ADN64</f>
        <v>0</v>
      </c>
      <c r="ADP64" s="20" t="n">
        <f aca="false">ADO64</f>
        <v>0</v>
      </c>
      <c r="ADQ64" s="20" t="n">
        <f aca="false">ADP64</f>
        <v>0</v>
      </c>
      <c r="ADR64" s="20" t="n">
        <f aca="false">(AKR63-TE64+0)*(1+BQ64)</f>
        <v>0</v>
      </c>
      <c r="ADS64" s="20" t="n">
        <f aca="false">(AKS63-TF64+0)*(1+BQ64)</f>
        <v>0</v>
      </c>
      <c r="ADT64" s="20" t="n">
        <f aca="false">(AKT63-TG64+0)*(1+BQ64)</f>
        <v>0</v>
      </c>
      <c r="ADU64" s="20" t="n">
        <f aca="false">(AKU63-TH64+0)*(1+BQ64)</f>
        <v>0</v>
      </c>
      <c r="ADV64" s="20" t="n">
        <f aca="false">(AKV63-TI64+0)*(1+BQ64)</f>
        <v>0</v>
      </c>
      <c r="ADW64" s="20" t="n">
        <f aca="false">(AKW63-TJ64+0)*(1+BQ64)</f>
        <v>0</v>
      </c>
      <c r="ADX64" s="20" t="n">
        <f aca="false">(AKX63-TK64+0)*(1+BQ64)</f>
        <v>0</v>
      </c>
      <c r="ADY64" s="20" t="n">
        <f aca="false">(AKY63-TL64+0)*(1+BQ64)</f>
        <v>0</v>
      </c>
      <c r="ADZ64" s="20" t="n">
        <f aca="false">(AKZ63-TM64+0)*(1+BQ64)</f>
        <v>0</v>
      </c>
      <c r="AEA64" s="20" t="n">
        <f aca="false">(ALA63-TN64+0)*(1+BQ64)</f>
        <v>0</v>
      </c>
      <c r="AEB64" s="20" t="n">
        <f aca="false">(ALB63-TO64+0)*(1+BQ64)</f>
        <v>0</v>
      </c>
      <c r="AEC64" s="20" t="n">
        <f aca="false">(ALC63-TP64+0)*(1+BQ64)</f>
        <v>0</v>
      </c>
      <c r="AED64" s="20" t="n">
        <f aca="false">(ALD63-TQ64+0)*(1+BQ64)</f>
        <v>0</v>
      </c>
      <c r="AEE64" s="20" t="n">
        <f aca="false">(ALE63-TR64+0)*(1+BQ64)</f>
        <v>0</v>
      </c>
      <c r="AEF64" s="20" t="n">
        <f aca="false">(ALF63-TS64+0)*(1+BQ64)</f>
        <v>0</v>
      </c>
      <c r="AEG64" s="20" t="n">
        <f aca="false">(ALG63-TT64+0)*(1+BQ64)</f>
        <v>0</v>
      </c>
      <c r="AEH64" s="20" t="n">
        <f aca="false">(ALH63-TU64+0)*(1+BQ64)</f>
        <v>0</v>
      </c>
      <c r="AEI64" s="20" t="n">
        <f aca="false">(ALI63-TV64+0)*(1+BQ64)</f>
        <v>0</v>
      </c>
      <c r="AEJ64" s="20" t="n">
        <f aca="false">(ALJ63-TW64+0)*(1+BQ64)</f>
        <v>0</v>
      </c>
      <c r="AEK64" s="20" t="n">
        <f aca="false">(ALK63-TX64+0)*(1+BQ64)</f>
        <v>0</v>
      </c>
      <c r="AEL64" s="20" t="n">
        <f aca="false">(ALL63-TY64+0)*(1+BQ64)</f>
        <v>0</v>
      </c>
      <c r="AEM64" s="20" t="n">
        <f aca="false">(ALM63-TZ64+0)*(1+BQ64)</f>
        <v>0</v>
      </c>
      <c r="AEN64" s="20" t="n">
        <f aca="false">(ALN63-UA64+0)*(1+BQ64)</f>
        <v>0</v>
      </c>
      <c r="AEO64" s="20" t="n">
        <f aca="false">(ALO63-UB64+0)*(1+BQ64)</f>
        <v>0</v>
      </c>
      <c r="AEP64" s="20" t="n">
        <f aca="false">(ALP63-UC64+0)*(1+BQ64)</f>
        <v>0</v>
      </c>
      <c r="AEQ64" s="20" t="n">
        <f aca="false">(ALQ63-UD64+0)*(1+BQ64)</f>
        <v>0</v>
      </c>
      <c r="AER64" s="20" t="n">
        <f aca="false">(ALR63-UE64+0)*(1+BQ64)</f>
        <v>0</v>
      </c>
      <c r="AES64" s="20" t="n">
        <f aca="false">(ALS63-UF64+0)*(1+BQ64)</f>
        <v>0</v>
      </c>
      <c r="AET64" s="20" t="n">
        <f aca="false">(ALT63-UG64+0)*(1+BQ64)</f>
        <v>0</v>
      </c>
      <c r="AEU64" s="20" t="n">
        <f aca="false">(ALU63-UH64+0)*(1+BQ64)</f>
        <v>0</v>
      </c>
      <c r="AEV64" s="20" t="n">
        <f aca="false">(ALV63-UI64+0)*(1+BQ64)</f>
        <v>0</v>
      </c>
      <c r="AEW64" s="20" t="n">
        <f aca="false">(ALW63-UJ64+0)*(1+BQ64)</f>
        <v>0</v>
      </c>
      <c r="AEX64" s="20" t="n">
        <f aca="false">(ALX63-UK64+0)*(1+BQ64)</f>
        <v>0</v>
      </c>
      <c r="AEY64" s="20" t="n">
        <f aca="false">(ALY63-UL64+0)*(1+BQ64)</f>
        <v>0</v>
      </c>
      <c r="AEZ64" s="20" t="n">
        <f aca="false">(ALZ63-UM64+0)*(1+BQ64)</f>
        <v>0</v>
      </c>
      <c r="AFA64" s="20" t="n">
        <f aca="false">(AMA63-UN64+0)*(1+BQ64)</f>
        <v>0</v>
      </c>
      <c r="AFB64" s="20" t="n">
        <f aca="false">(AMB63-UO64+0)*(1+BQ64)</f>
        <v>0</v>
      </c>
      <c r="AFC64" s="20" t="n">
        <f aca="false">(AMC63-UP64+0)*(1+BQ64)</f>
        <v>0</v>
      </c>
      <c r="AFD64" s="20" t="n">
        <f aca="false">(AMD63-UQ64+0)*(1+BQ64)</f>
        <v>0</v>
      </c>
      <c r="AFE64" s="20" t="n">
        <f aca="false">(AME63-UR64+0)*(1+BQ64)</f>
        <v>0</v>
      </c>
      <c r="AFF64" s="20" t="n">
        <f aca="false">(AMF63-US64+0)*(1+BQ64)</f>
        <v>0</v>
      </c>
      <c r="AFG64" s="20" t="n">
        <f aca="false">(AMG63-UT64+0)*(1+BQ64)</f>
        <v>0</v>
      </c>
      <c r="AFH64" s="20" t="n">
        <f aca="false">(AMH63-UU64+0)*(1+BQ64)</f>
        <v>0</v>
      </c>
      <c r="AFI64" s="20" t="n">
        <f aca="false">(AMI63-UV64+0)*(1+BQ64)</f>
        <v>0</v>
      </c>
      <c r="AFJ64" s="20" t="n">
        <f aca="false">(AMJ63-UW64+0)*(1+BQ64)</f>
        <v>0</v>
      </c>
      <c r="AFK64" s="20" t="n">
        <f aca="false">(AMK63-UX64+0)*(1+BQ64)</f>
        <v>0</v>
      </c>
      <c r="AFL64" s="20" t="n">
        <f aca="false">(AML63-UY64+0)*(1+BQ64)</f>
        <v>0</v>
      </c>
      <c r="AFM64" s="20" t="n">
        <f aca="false">(AMM63-UZ64+0)*(1+BQ64)</f>
        <v>0</v>
      </c>
      <c r="AFN64" s="20" t="n">
        <f aca="false">(AMN63-VA64+0)*(1+BQ64)</f>
        <v>0</v>
      </c>
      <c r="AFO64" s="20" t="n">
        <f aca="false">(AMO63-VB64+0)*(1+BQ64)</f>
        <v>0</v>
      </c>
      <c r="AFP64" s="20" t="n">
        <f aca="false">(AMP63-VC64+0)*(1+BQ64)</f>
        <v>0</v>
      </c>
      <c r="AFQ64" s="20" t="n">
        <f aca="false">(AMQ63-VD64+0)*(1+BQ64)</f>
        <v>0</v>
      </c>
      <c r="AFR64" s="20" t="n">
        <f aca="false">(AMR63-VE64+0)*(1+BQ64)</f>
        <v>0</v>
      </c>
      <c r="AFS64" s="20" t="n">
        <f aca="false">(AMS63-VF64+0)*(1+BQ64)</f>
        <v>0</v>
      </c>
      <c r="AFT64" s="20" t="n">
        <f aca="false">(AMT63-VG64+0)*(1+BQ64)</f>
        <v>0</v>
      </c>
      <c r="AFU64" s="20" t="n">
        <f aca="false">(AMU63-VH64+0)*(1+BQ64)</f>
        <v>0</v>
      </c>
      <c r="AFV64" s="20" t="n">
        <f aca="false">(AMV63-VI64+0)*(1+BQ64)</f>
        <v>0</v>
      </c>
      <c r="AFW64" s="20" t="n">
        <f aca="false">((P64+S64)-VJ64+BE64)*(1+BQ64)</f>
        <v>0</v>
      </c>
      <c r="AFX64" s="20" t="n">
        <v>0</v>
      </c>
      <c r="AFY64" s="20" t="n">
        <v>0</v>
      </c>
      <c r="AFZ64" s="20" t="n">
        <v>0</v>
      </c>
      <c r="AGA64" s="20" t="n">
        <v>0</v>
      </c>
      <c r="AGB64" s="20" t="n">
        <v>0</v>
      </c>
      <c r="AGC64" s="20" t="n">
        <v>0</v>
      </c>
      <c r="AGD64" s="20" t="n">
        <v>0</v>
      </c>
      <c r="AGE64" s="20" t="n">
        <v>0</v>
      </c>
      <c r="AGF64" s="20" t="n">
        <v>0</v>
      </c>
      <c r="AGG64" s="20" t="n">
        <v>0</v>
      </c>
      <c r="AGH64" s="20" t="n">
        <v>0</v>
      </c>
      <c r="AGI64" s="20" t="n">
        <v>0</v>
      </c>
      <c r="AGJ64" s="20" t="n">
        <v>0</v>
      </c>
      <c r="AGK64" s="20" t="n">
        <v>0</v>
      </c>
      <c r="AGL64" s="20" t="n">
        <v>0</v>
      </c>
      <c r="AGM64" s="20" t="n">
        <v>0</v>
      </c>
      <c r="AGN64" s="20" t="n">
        <v>0</v>
      </c>
      <c r="AGO64" s="20" t="n">
        <v>0</v>
      </c>
      <c r="AGP64" s="20" t="n">
        <v>0</v>
      </c>
      <c r="AGQ64" s="20" t="n">
        <v>0</v>
      </c>
      <c r="AGR64" s="20" t="n">
        <v>0</v>
      </c>
      <c r="AGS64" s="20" t="n">
        <v>0</v>
      </c>
      <c r="AGT64" s="20" t="n">
        <v>0</v>
      </c>
      <c r="AGU64" s="20" t="n">
        <v>0</v>
      </c>
      <c r="AGV64" s="20" t="n">
        <v>0</v>
      </c>
      <c r="AGW64" s="20" t="n">
        <v>0</v>
      </c>
      <c r="AGX64" s="20" t="n">
        <v>0</v>
      </c>
      <c r="AGY64" s="20" t="n">
        <v>0</v>
      </c>
      <c r="AGZ64" s="20" t="n">
        <v>0</v>
      </c>
      <c r="AHA64" s="20" t="n">
        <v>0</v>
      </c>
      <c r="AHB64" s="20" t="n">
        <v>0</v>
      </c>
      <c r="AHC64" s="20" t="n">
        <v>0</v>
      </c>
      <c r="AHD64" s="20" t="n">
        <v>0</v>
      </c>
      <c r="AHE64" s="20" t="n">
        <f aca="false">IF(AKR63&gt;0,AOE63-AOE63*TE64/AKR63,0)+0</f>
        <v>0</v>
      </c>
      <c r="AHF64" s="20" t="n">
        <f aca="false">IF(AKS63&gt;0,AOF63-AOF63*TF64/AKS63,0)+0</f>
        <v>0</v>
      </c>
      <c r="AHG64" s="20" t="n">
        <f aca="false">IF(AKT63&gt;0,AOG63-AOG63*TG64/AKT63,0)+0</f>
        <v>0</v>
      </c>
      <c r="AHH64" s="20" t="n">
        <f aca="false">IF(AKU63&gt;0,AOH63-AOH63*TH64/AKU63,0)+0</f>
        <v>0</v>
      </c>
      <c r="AHI64" s="20" t="n">
        <f aca="false">IF(AKV63&gt;0,AOI63-AOI63*TI64/AKV63,0)+0</f>
        <v>0</v>
      </c>
      <c r="AHJ64" s="20" t="n">
        <f aca="false">IF(AKW63&gt;0,AOJ63-AOJ63*TJ64/AKW63,0)+0</f>
        <v>0</v>
      </c>
      <c r="AHK64" s="20" t="n">
        <f aca="false">IF(AKX63&gt;0,AOK63-AOK63*TK64/AKX63,0)+0</f>
        <v>0</v>
      </c>
      <c r="AHL64" s="20" t="n">
        <f aca="false">IF(AKY63&gt;0,AOL63-AOL63*TL64/AKY63,0)+0</f>
        <v>0</v>
      </c>
      <c r="AHM64" s="20" t="n">
        <f aca="false">IF(AKZ63&gt;0,AOM63-AOM63*TM64/AKZ63,0)+0</f>
        <v>0</v>
      </c>
      <c r="AHN64" s="20" t="n">
        <f aca="false">IF(ALA63&gt;0,AON63-AON63*TN64/ALA63,0)+0</f>
        <v>0</v>
      </c>
      <c r="AHO64" s="20" t="n">
        <f aca="false">IF(ALB63&gt;0,AOO63-AOO63*TO64/ALB63,0)+0</f>
        <v>0</v>
      </c>
      <c r="AHP64" s="20" t="n">
        <f aca="false">IF(ALC63&gt;0,AOP63-AOP63*TP64/ALC63,0)+0</f>
        <v>0</v>
      </c>
      <c r="AHQ64" s="20" t="n">
        <f aca="false">IF(ALD63&gt;0,AOQ63-AOQ63*TQ64/ALD63,0)+0</f>
        <v>0</v>
      </c>
      <c r="AHR64" s="20" t="n">
        <f aca="false">IF(ALE63&gt;0,AOR63-AOR63*TR64/ALE63,0)+0</f>
        <v>0</v>
      </c>
      <c r="AHS64" s="20" t="n">
        <f aca="false">IF(ALF63&gt;0,AOS63-AOS63*TS64/ALF63,0)+0</f>
        <v>0</v>
      </c>
      <c r="AHT64" s="20" t="n">
        <f aca="false">IF(ALG63&gt;0,AOT63-AOT63*TT64/ALG63,0)+0</f>
        <v>0</v>
      </c>
      <c r="AHU64" s="20" t="n">
        <f aca="false">IF(ALH63&gt;0,AOU63-AOU63*TU64/ALH63,0)+0</f>
        <v>0</v>
      </c>
      <c r="AHV64" s="20" t="n">
        <f aca="false">IF(ALI63&gt;0,AOV63-AOV63*TV64/ALI63,0)+0</f>
        <v>0</v>
      </c>
      <c r="AHW64" s="20" t="n">
        <f aca="false">IF(ALJ63&gt;0,AOW63-AOW63*TW64/ALJ63,0)+0</f>
        <v>0</v>
      </c>
      <c r="AHX64" s="20" t="n">
        <f aca="false">IF(ALK63&gt;0,AOX63-AOX63*TX64/ALK63,0)+0</f>
        <v>0</v>
      </c>
      <c r="AHY64" s="20" t="n">
        <f aca="false">IF(ALL63&gt;0,AOY63-AOY63*TY64/ALL63,0)+0</f>
        <v>0</v>
      </c>
      <c r="AHZ64" s="20" t="n">
        <f aca="false">IF(ALM63&gt;0,AOZ63-AOZ63*TZ64/ALM63,0)+0</f>
        <v>0</v>
      </c>
      <c r="AIA64" s="20" t="n">
        <f aca="false">IF(ALN63&gt;0,APA63-APA63*UA64/ALN63,0)+0</f>
        <v>0</v>
      </c>
      <c r="AIB64" s="20" t="n">
        <f aca="false">IF(ALO63&gt;0,APB63-APB63*UB64/ALO63,0)+0</f>
        <v>0</v>
      </c>
      <c r="AIC64" s="20" t="n">
        <f aca="false">IF(ALP63&gt;0,APC63-APC63*UC64/ALP63,0)+0</f>
        <v>0</v>
      </c>
      <c r="AID64" s="20" t="n">
        <f aca="false">IF(ALQ63&gt;0,APD63-APD63*UD64/ALQ63,0)+0</f>
        <v>0</v>
      </c>
      <c r="AIE64" s="20" t="n">
        <f aca="false">IF(ALR63&gt;0,APE63-APE63*UE64/ALR63,0)+0</f>
        <v>0</v>
      </c>
      <c r="AIF64" s="20" t="n">
        <f aca="false">IF(ALS63&gt;0,APF63-APF63*UF64/ALS63,0)+0</f>
        <v>0</v>
      </c>
      <c r="AIG64" s="20" t="n">
        <f aca="false">IF(ALT63&gt;0,APG63-APG63*UG64/ALT63,0)+0</f>
        <v>0</v>
      </c>
      <c r="AIH64" s="20" t="n">
        <f aca="false">IF(ALU63&gt;0,APH63-APH63*UH64/ALU63,0)+0</f>
        <v>0</v>
      </c>
      <c r="AII64" s="20" t="n">
        <f aca="false">IF(ALV63&gt;0,API63-API63*UI64/ALV63,0)+0</f>
        <v>0</v>
      </c>
      <c r="AIJ64" s="20" t="n">
        <f aca="false">IF(ALW63&gt;0,APJ63-APJ63*UJ64/ALW63,0)+0</f>
        <v>0</v>
      </c>
      <c r="AIK64" s="20" t="n">
        <f aca="false">IF(ALX63&gt;0,APK63-APK63*UK64/ALX63,0)+0</f>
        <v>0</v>
      </c>
      <c r="AIL64" s="20" t="n">
        <f aca="false">IF(ALY63&gt;0,APL63-APL63*UL64/ALY63,0)+0</f>
        <v>0</v>
      </c>
      <c r="AIM64" s="20" t="n">
        <f aca="false">IF(ALZ63&gt;0,APM63-APM63*UM64/ALZ63,0)+0</f>
        <v>0</v>
      </c>
      <c r="AIN64" s="20" t="n">
        <f aca="false">IF(AMA63&gt;0,APN63-APN63*UN64/AMA63,0)+0</f>
        <v>0</v>
      </c>
      <c r="AIO64" s="20" t="n">
        <f aca="false">IF(AMB63&gt;0,APO63-APO63*UO64/AMB63,0)+0</f>
        <v>0</v>
      </c>
      <c r="AIP64" s="20" t="n">
        <f aca="false">IF(AMC63&gt;0,APP63-APP63*UP64/AMC63,0)+0</f>
        <v>0</v>
      </c>
      <c r="AIQ64" s="20" t="n">
        <f aca="false">IF(AMD63&gt;0,APQ63-APQ63*UQ64/AMD63,0)+0</f>
        <v>0</v>
      </c>
      <c r="AIR64" s="20" t="n">
        <f aca="false">IF(AME63&gt;0,APR63-APR63*UR64/AME63,0)+0</f>
        <v>0</v>
      </c>
      <c r="AIS64" s="20" t="n">
        <f aca="false">IF(AMF63&gt;0,APS63-APS63*US64/AMF63,0)+0</f>
        <v>0</v>
      </c>
      <c r="AIT64" s="20" t="n">
        <f aca="false">IF(AMG63&gt;0,APT63-APT63*UT64/AMG63,0)+0</f>
        <v>0</v>
      </c>
      <c r="AIU64" s="20" t="n">
        <f aca="false">IF(AMH63&gt;0,APU63-APU63*UU64/AMH63,0)+0</f>
        <v>0</v>
      </c>
      <c r="AIV64" s="20" t="n">
        <f aca="false">IF(AMI63&gt;0,APV63-APV63*UV64/AMI63,0)+0</f>
        <v>0</v>
      </c>
      <c r="AIW64" s="20" t="n">
        <f aca="false">IF(AMJ63&gt;0,APW63-APW63*UW64/AMJ63,0)+0</f>
        <v>0</v>
      </c>
      <c r="AIX64" s="20" t="n">
        <f aca="false">IF(AMK63&gt;0,APX63-APX63*UX64/AMK63,0)+0</f>
        <v>0</v>
      </c>
      <c r="AIY64" s="20" t="n">
        <f aca="false">IF(AML63&gt;0,APY63-APY63*UY64/AML63,0)+0</f>
        <v>0</v>
      </c>
      <c r="AIZ64" s="20" t="n">
        <f aca="false">IF(AMM63&gt;0,APZ63-APZ63*UZ64/AMM63,0)+0</f>
        <v>0</v>
      </c>
      <c r="AJA64" s="20" t="n">
        <f aca="false">IF(AMN63&gt;0,AQA63-AQA63*VA64/AMN63,0)+0</f>
        <v>0</v>
      </c>
      <c r="AJB64" s="20" t="n">
        <f aca="false">IF(AMO63&gt;0,AQB63-AQB63*VB64/AMO63,0)+0</f>
        <v>0</v>
      </c>
      <c r="AJC64" s="20" t="n">
        <f aca="false">IF(AMP63&gt;0,AQC63-AQC63*VC64/AMP63,0)+0</f>
        <v>0</v>
      </c>
      <c r="AJD64" s="20" t="n">
        <f aca="false">IF(AMQ63&gt;0,AQD63-AQD63*VD64/AMQ63,0)+0</f>
        <v>0</v>
      </c>
      <c r="AJE64" s="20" t="n">
        <f aca="false">IF(AMR63&gt;0,AQE63-AQE63*VE64/AMR63,0)+0</f>
        <v>0</v>
      </c>
      <c r="AJF64" s="20" t="n">
        <f aca="false">IF(AMS63&gt;0,AQF63-AQF63*VF64/AMS63,0)+0</f>
        <v>0</v>
      </c>
      <c r="AJG64" s="20" t="n">
        <f aca="false">IF(AMT63&gt;0,AQG63-AQG63*VG64/AMT63,0)+0</f>
        <v>0</v>
      </c>
      <c r="AJH64" s="20" t="n">
        <f aca="false">IF(AMU63&gt;0,AQH63-AQH63*VH64/AMU63,0)+0</f>
        <v>0</v>
      </c>
      <c r="AJI64" s="20" t="n">
        <f aca="false">IF(AMV63&gt;0,AQI63-AQI63*VI64/AMV63,0)+0</f>
        <v>0</v>
      </c>
      <c r="AJJ64" s="20" t="n">
        <f aca="false">IF((P64+S64)&gt;0,(P64+S64)-(P64+S64)*VJ64/(P64+S64),0)+BE64</f>
        <v>0</v>
      </c>
      <c r="AJK64" s="20" t="n">
        <v>0</v>
      </c>
      <c r="AJL64" s="20" t="n">
        <v>0</v>
      </c>
      <c r="AJM64" s="20" t="n">
        <v>0</v>
      </c>
      <c r="AJN64" s="20" t="n">
        <v>0</v>
      </c>
      <c r="AJO64" s="20" t="n">
        <v>0</v>
      </c>
      <c r="AJP64" s="20" t="n">
        <v>0</v>
      </c>
      <c r="AJQ64" s="20" t="n">
        <v>0</v>
      </c>
      <c r="AJR64" s="20" t="n">
        <v>0</v>
      </c>
      <c r="AJS64" s="20" t="n">
        <v>0</v>
      </c>
      <c r="AJT64" s="20" t="n">
        <v>0</v>
      </c>
      <c r="AJU64" s="20" t="n">
        <v>0</v>
      </c>
      <c r="AJV64" s="20" t="n">
        <v>0</v>
      </c>
      <c r="AJW64" s="20" t="n">
        <v>0</v>
      </c>
      <c r="AJX64" s="20" t="n">
        <v>0</v>
      </c>
      <c r="AJY64" s="20" t="n">
        <v>0</v>
      </c>
      <c r="AJZ64" s="20" t="n">
        <v>0</v>
      </c>
      <c r="AKA64" s="20" t="n">
        <v>0</v>
      </c>
      <c r="AKB64" s="20" t="n">
        <v>0</v>
      </c>
      <c r="AKC64" s="20" t="n">
        <v>0</v>
      </c>
      <c r="AKD64" s="20" t="n">
        <v>0</v>
      </c>
      <c r="AKE64" s="20" t="n">
        <v>0</v>
      </c>
      <c r="AKF64" s="20" t="n">
        <v>0</v>
      </c>
      <c r="AKG64" s="20" t="n">
        <v>0</v>
      </c>
      <c r="AKH64" s="20" t="n">
        <v>0</v>
      </c>
      <c r="AKI64" s="20" t="n">
        <v>0</v>
      </c>
      <c r="AKJ64" s="20" t="n">
        <v>0</v>
      </c>
      <c r="AKK64" s="20" t="n">
        <v>0</v>
      </c>
      <c r="AKL64" s="20" t="n">
        <v>0</v>
      </c>
      <c r="AKM64" s="20" t="n">
        <v>0</v>
      </c>
      <c r="AKN64" s="20" t="n">
        <v>0</v>
      </c>
      <c r="AKO64" s="20" t="n">
        <v>0</v>
      </c>
      <c r="AKP64" s="20" t="n">
        <v>0</v>
      </c>
      <c r="AKQ64" s="20" t="n">
        <v>0</v>
      </c>
      <c r="AKR64" s="20" t="n">
        <f aca="false">ADR64-AVE64</f>
        <v>0</v>
      </c>
      <c r="AKS64" s="20" t="n">
        <f aca="false">ADS64-AVF64</f>
        <v>0</v>
      </c>
      <c r="AKT64" s="20" t="n">
        <f aca="false">ADT64-AVG64</f>
        <v>0</v>
      </c>
      <c r="AKU64" s="20" t="n">
        <f aca="false">ADU64-AVH64</f>
        <v>0</v>
      </c>
      <c r="AKV64" s="20" t="n">
        <f aca="false">ADV64-AVI64</f>
        <v>0</v>
      </c>
      <c r="AKW64" s="20" t="n">
        <f aca="false">ADW64-AVJ64</f>
        <v>0</v>
      </c>
      <c r="AKX64" s="20" t="n">
        <f aca="false">ADX64-AVK64</f>
        <v>0</v>
      </c>
      <c r="AKY64" s="20" t="n">
        <f aca="false">ADY64-AVL64</f>
        <v>0</v>
      </c>
      <c r="AKZ64" s="20" t="n">
        <f aca="false">ADZ64-AVM64</f>
        <v>0</v>
      </c>
      <c r="ALA64" s="20" t="n">
        <f aca="false">AEA64-AVN64</f>
        <v>0</v>
      </c>
      <c r="ALB64" s="20" t="n">
        <f aca="false">AEB64-AVO64</f>
        <v>0</v>
      </c>
      <c r="ALC64" s="20" t="n">
        <f aca="false">AEC64-AVP64</f>
        <v>0</v>
      </c>
      <c r="ALD64" s="20" t="n">
        <f aca="false">AED64-AVQ64</f>
        <v>0</v>
      </c>
      <c r="ALE64" s="20" t="n">
        <f aca="false">AEE64-AVR64</f>
        <v>0</v>
      </c>
      <c r="ALF64" s="20" t="n">
        <f aca="false">AEF64-AVS64</f>
        <v>0</v>
      </c>
      <c r="ALG64" s="20" t="n">
        <f aca="false">AEG64-AVT64</f>
        <v>0</v>
      </c>
      <c r="ALH64" s="20" t="n">
        <f aca="false">AEH64-AVU64</f>
        <v>0</v>
      </c>
      <c r="ALI64" s="20" t="n">
        <f aca="false">AEI64-AVV64</f>
        <v>0</v>
      </c>
      <c r="ALJ64" s="20" t="n">
        <f aca="false">AEJ64-AVW64</f>
        <v>0</v>
      </c>
      <c r="ALK64" s="20" t="n">
        <f aca="false">AEK64-AVX64</f>
        <v>0</v>
      </c>
      <c r="ALL64" s="20" t="n">
        <f aca="false">AEL64-AVY64</f>
        <v>0</v>
      </c>
      <c r="ALM64" s="20" t="n">
        <f aca="false">AEM64-AVZ64</f>
        <v>0</v>
      </c>
      <c r="ALN64" s="20" t="n">
        <f aca="false">AEN64-AWA64</f>
        <v>0</v>
      </c>
      <c r="ALO64" s="20" t="n">
        <f aca="false">AEO64-AWB64</f>
        <v>0</v>
      </c>
      <c r="ALP64" s="20" t="n">
        <f aca="false">AEP64-AWC64</f>
        <v>0</v>
      </c>
      <c r="ALQ64" s="20" t="n">
        <f aca="false">AEQ64-AWD64</f>
        <v>0</v>
      </c>
      <c r="ALR64" s="20" t="n">
        <f aca="false">AER64-AWE64</f>
        <v>0</v>
      </c>
      <c r="ALS64" s="20" t="n">
        <f aca="false">AES64-AWF64</f>
        <v>0</v>
      </c>
      <c r="ALT64" s="20" t="n">
        <f aca="false">AET64-AWG64</f>
        <v>0</v>
      </c>
      <c r="ALU64" s="20" t="n">
        <f aca="false">AEU64-AWH64</f>
        <v>0</v>
      </c>
      <c r="ALV64" s="20" t="n">
        <f aca="false">AEV64-AWI64</f>
        <v>0</v>
      </c>
      <c r="ALW64" s="20" t="n">
        <f aca="false">AEW64-AWJ64</f>
        <v>0</v>
      </c>
      <c r="ALX64" s="20" t="n">
        <f aca="false">AEX64-AWK64</f>
        <v>0</v>
      </c>
      <c r="ALY64" s="20" t="n">
        <f aca="false">AEY64-AWL64</f>
        <v>0</v>
      </c>
      <c r="ALZ64" s="20" t="n">
        <f aca="false">AEZ64-AWM64</f>
        <v>0</v>
      </c>
      <c r="AMA64" s="20" t="n">
        <f aca="false">AFA64-AWN64</f>
        <v>0</v>
      </c>
      <c r="AMB64" s="20" t="n">
        <f aca="false">AFB64-AWO64</f>
        <v>0</v>
      </c>
      <c r="AMC64" s="20" t="n">
        <f aca="false">AFC64-AWP64</f>
        <v>0</v>
      </c>
      <c r="AMD64" s="20" t="n">
        <f aca="false">AFD64-AWQ64</f>
        <v>0</v>
      </c>
      <c r="AME64" s="20" t="n">
        <f aca="false">AFE64-AWR64</f>
        <v>0</v>
      </c>
      <c r="AMF64" s="20" t="n">
        <f aca="false">AFF64-AWS64</f>
        <v>0</v>
      </c>
      <c r="AMG64" s="20" t="n">
        <f aca="false">AFG64-AWT64</f>
        <v>0</v>
      </c>
      <c r="AMH64" s="20" t="n">
        <f aca="false">AFH64-AWU64</f>
        <v>0</v>
      </c>
      <c r="AMI64" s="20" t="n">
        <f aca="false">AFI64-AWV64</f>
        <v>0</v>
      </c>
      <c r="AMJ64" s="20" t="n">
        <f aca="false">AFJ64-AWW64</f>
        <v>0</v>
      </c>
      <c r="AMK64" s="20" t="n">
        <f aca="false">AFK64-AWX64</f>
        <v>0</v>
      </c>
      <c r="AML64" s="20" t="n">
        <f aca="false">AFL64-AWY64</f>
        <v>0</v>
      </c>
      <c r="AMM64" s="20" t="n">
        <f aca="false">AFM64-AWZ64</f>
        <v>0</v>
      </c>
      <c r="AMN64" s="20" t="n">
        <f aca="false">AFN64-AXA64</f>
        <v>0</v>
      </c>
      <c r="AMO64" s="20" t="n">
        <f aca="false">AFO64-AXB64</f>
        <v>0</v>
      </c>
      <c r="AMP64" s="20" t="n">
        <f aca="false">AFP64-AXC64</f>
        <v>0</v>
      </c>
      <c r="AMQ64" s="20" t="n">
        <f aca="false">AFQ64-AXD64</f>
        <v>0</v>
      </c>
      <c r="AMR64" s="20" t="n">
        <f aca="false">AFR64-AXE64</f>
        <v>0</v>
      </c>
      <c r="AMS64" s="20" t="n">
        <f aca="false">AFS64-AXF64</f>
        <v>0</v>
      </c>
      <c r="AMT64" s="20" t="n">
        <f aca="false">AFT64-AXG64</f>
        <v>0</v>
      </c>
      <c r="AMU64" s="20" t="n">
        <f aca="false">AFU64-AXH64</f>
        <v>0</v>
      </c>
      <c r="AMV64" s="20" t="n">
        <f aca="false">AFV64-AXI64</f>
        <v>0</v>
      </c>
      <c r="AMW64" s="20" t="n">
        <f aca="false">AFW64-AXJ64</f>
        <v>0</v>
      </c>
      <c r="AMX64" s="20" t="n">
        <v>0</v>
      </c>
      <c r="AMY64" s="20" t="n">
        <v>0</v>
      </c>
      <c r="AMZ64" s="20" t="n">
        <v>0</v>
      </c>
      <c r="ANA64" s="20" t="n">
        <v>0</v>
      </c>
      <c r="ANB64" s="20" t="n">
        <v>0</v>
      </c>
      <c r="ANC64" s="20" t="n">
        <v>0</v>
      </c>
      <c r="AND64" s="20" t="n">
        <v>0</v>
      </c>
      <c r="ANE64" s="20" t="n">
        <v>0</v>
      </c>
      <c r="ANF64" s="20" t="n">
        <v>0</v>
      </c>
      <c r="ANG64" s="20" t="n">
        <v>0</v>
      </c>
      <c r="ANH64" s="20" t="n">
        <v>0</v>
      </c>
      <c r="ANI64" s="20" t="n">
        <v>0</v>
      </c>
      <c r="ANJ64" s="20" t="n">
        <v>0</v>
      </c>
      <c r="ANK64" s="20" t="n">
        <v>0</v>
      </c>
      <c r="ANL64" s="20" t="n">
        <v>0</v>
      </c>
      <c r="ANM64" s="20" t="n">
        <v>0</v>
      </c>
      <c r="ANN64" s="20" t="n">
        <v>0</v>
      </c>
      <c r="ANO64" s="20" t="n">
        <v>0</v>
      </c>
      <c r="ANP64" s="20" t="n">
        <v>0</v>
      </c>
      <c r="ANQ64" s="20" t="n">
        <v>0</v>
      </c>
      <c r="ANR64" s="20" t="n">
        <v>0</v>
      </c>
      <c r="ANS64" s="20" t="n">
        <v>0</v>
      </c>
      <c r="ANT64" s="20" t="n">
        <v>0</v>
      </c>
      <c r="ANU64" s="20" t="n">
        <v>0</v>
      </c>
      <c r="ANV64" s="20" t="n">
        <v>0</v>
      </c>
      <c r="ANW64" s="20" t="n">
        <v>0</v>
      </c>
      <c r="ANX64" s="20" t="n">
        <v>0</v>
      </c>
      <c r="ANY64" s="20" t="n">
        <v>0</v>
      </c>
      <c r="ANZ64" s="20" t="n">
        <v>0</v>
      </c>
      <c r="AOA64" s="20" t="n">
        <v>0</v>
      </c>
      <c r="AOB64" s="20" t="n">
        <v>0</v>
      </c>
      <c r="AOC64" s="20" t="n">
        <v>0</v>
      </c>
      <c r="AOD64" s="20" t="n">
        <v>0</v>
      </c>
      <c r="AOE64" s="20" t="n">
        <f aca="false">IF(AND(H_Direct=0,H_TaxEvt=1,ARR63+1&gt;=H_Deemed),AKR64,AHE64)</f>
        <v>0</v>
      </c>
      <c r="AOF64" s="20" t="n">
        <f aca="false">IF(AND(H_Direct=0,H_TaxEvt=1,ARS63+1&gt;=H_Deemed),AKS64,AHF64)</f>
        <v>0</v>
      </c>
      <c r="AOG64" s="20" t="n">
        <f aca="false">IF(AND(H_Direct=0,H_TaxEvt=1,ART63+1&gt;=H_Deemed),AKT64,AHG64)</f>
        <v>0</v>
      </c>
      <c r="AOH64" s="20" t="n">
        <f aca="false">IF(AND(H_Direct=0,H_TaxEvt=1,ARU63+1&gt;=H_Deemed),AKU64,AHH64)</f>
        <v>0</v>
      </c>
      <c r="AOI64" s="20" t="n">
        <f aca="false">IF(AND(H_Direct=0,H_TaxEvt=1,ARV63+1&gt;=H_Deemed),AKV64,AHI64)</f>
        <v>0</v>
      </c>
      <c r="AOJ64" s="20" t="n">
        <f aca="false">IF(AND(H_Direct=0,H_TaxEvt=1,ARW63+1&gt;=H_Deemed),AKW64,AHJ64)</f>
        <v>0</v>
      </c>
      <c r="AOK64" s="20" t="n">
        <f aca="false">IF(AND(H_Direct=0,H_TaxEvt=1,ARX63+1&gt;=H_Deemed),AKX64,AHK64)</f>
        <v>0</v>
      </c>
      <c r="AOL64" s="20" t="n">
        <f aca="false">IF(AND(H_Direct=0,H_TaxEvt=1,ARY63+1&gt;=H_Deemed),AKY64,AHL64)</f>
        <v>0</v>
      </c>
      <c r="AOM64" s="20" t="n">
        <f aca="false">IF(AND(H_Direct=0,H_TaxEvt=1,ARZ63+1&gt;=H_Deemed),AKZ64,AHM64)</f>
        <v>0</v>
      </c>
      <c r="AON64" s="20" t="n">
        <f aca="false">IF(AND(H_Direct=0,H_TaxEvt=1,ASA63+1&gt;=H_Deemed),ALA64,AHN64)</f>
        <v>0</v>
      </c>
      <c r="AOO64" s="20" t="n">
        <f aca="false">IF(AND(H_Direct=0,H_TaxEvt=1,ASB63+1&gt;=H_Deemed),ALB64,AHO64)</f>
        <v>0</v>
      </c>
      <c r="AOP64" s="20" t="n">
        <f aca="false">IF(AND(H_Direct=0,H_TaxEvt=1,ASC63+1&gt;=H_Deemed),ALC64,AHP64)</f>
        <v>0</v>
      </c>
      <c r="AOQ64" s="20" t="n">
        <f aca="false">IF(AND(H_Direct=0,H_TaxEvt=1,ASD63+1&gt;=H_Deemed),ALD64,AHQ64)</f>
        <v>0</v>
      </c>
      <c r="AOR64" s="20" t="n">
        <f aca="false">IF(AND(H_Direct=0,H_TaxEvt=1,ASE63+1&gt;=H_Deemed),ALE64,AHR64)</f>
        <v>0</v>
      </c>
      <c r="AOS64" s="20" t="n">
        <f aca="false">IF(AND(H_Direct=0,H_TaxEvt=1,ASF63+1&gt;=H_Deemed),ALF64,AHS64)</f>
        <v>0</v>
      </c>
      <c r="AOT64" s="20" t="n">
        <f aca="false">IF(AND(H_Direct=0,H_TaxEvt=1,ASG63+1&gt;=H_Deemed),ALG64,AHT64)</f>
        <v>0</v>
      </c>
      <c r="AOU64" s="20" t="n">
        <f aca="false">IF(AND(H_Direct=0,H_TaxEvt=1,ASH63+1&gt;=H_Deemed),ALH64,AHU64)</f>
        <v>0</v>
      </c>
      <c r="AOV64" s="20" t="n">
        <f aca="false">IF(AND(H_Direct=0,H_TaxEvt=1,ASI63+1&gt;=H_Deemed),ALI64,AHV64)</f>
        <v>0</v>
      </c>
      <c r="AOW64" s="20" t="n">
        <f aca="false">IF(AND(H_Direct=0,H_TaxEvt=1,ASJ63+1&gt;=H_Deemed),ALJ64,AHW64)</f>
        <v>0</v>
      </c>
      <c r="AOX64" s="20" t="n">
        <f aca="false">IF(AND(H_Direct=0,H_TaxEvt=1,ASK63+1&gt;=H_Deemed),ALK64,AHX64)</f>
        <v>0</v>
      </c>
      <c r="AOY64" s="20" t="n">
        <f aca="false">IF(AND(H_Direct=0,H_TaxEvt=1,ASL63+1&gt;=H_Deemed),ALL64,AHY64)</f>
        <v>0</v>
      </c>
      <c r="AOZ64" s="20" t="n">
        <f aca="false">IF(AND(H_Direct=0,H_TaxEvt=1,ASM63+1&gt;=H_Deemed),ALM64,AHZ64)</f>
        <v>0</v>
      </c>
      <c r="APA64" s="20" t="n">
        <f aca="false">IF(AND(H_Direct=0,H_TaxEvt=1,ASN63+1&gt;=H_Deemed),ALN64,AIA64)</f>
        <v>0</v>
      </c>
      <c r="APB64" s="20" t="n">
        <f aca="false">IF(AND(H_Direct=0,H_TaxEvt=1,ASO63+1&gt;=H_Deemed),ALO64,AIB64)</f>
        <v>0</v>
      </c>
      <c r="APC64" s="20" t="n">
        <f aca="false">IF(AND(H_Direct=0,H_TaxEvt=1,ASP63+1&gt;=H_Deemed),ALP64,AIC64)</f>
        <v>0</v>
      </c>
      <c r="APD64" s="20" t="n">
        <f aca="false">IF(AND(H_Direct=0,H_TaxEvt=1,ASQ63+1&gt;=H_Deemed),ALQ64,AID64)</f>
        <v>0</v>
      </c>
      <c r="APE64" s="20" t="n">
        <f aca="false">IF(AND(H_Direct=0,H_TaxEvt=1,ASR63+1&gt;=H_Deemed),ALR64,AIE64)</f>
        <v>0</v>
      </c>
      <c r="APF64" s="20" t="n">
        <f aca="false">IF(AND(H_Direct=0,H_TaxEvt=1,ASS63+1&gt;=H_Deemed),ALS64,AIF64)</f>
        <v>0</v>
      </c>
      <c r="APG64" s="20" t="n">
        <f aca="false">IF(AND(H_Direct=0,H_TaxEvt=1,AST63+1&gt;=H_Deemed),ALT64,AIG64)</f>
        <v>0</v>
      </c>
      <c r="APH64" s="20" t="n">
        <f aca="false">IF(AND(H_Direct=0,H_TaxEvt=1,ASU63+1&gt;=H_Deemed),ALU64,AIH64)</f>
        <v>0</v>
      </c>
      <c r="API64" s="20" t="n">
        <f aca="false">IF(AND(H_Direct=0,H_TaxEvt=1,ASV63+1&gt;=H_Deemed),ALV64,AII64)</f>
        <v>0</v>
      </c>
      <c r="APJ64" s="20" t="n">
        <f aca="false">IF(AND(H_Direct=0,H_TaxEvt=1,ASW63+1&gt;=H_Deemed),ALW64,AIJ64)</f>
        <v>0</v>
      </c>
      <c r="APK64" s="20" t="n">
        <f aca="false">IF(AND(H_Direct=0,H_TaxEvt=1,ASX63+1&gt;=H_Deemed),ALX64,AIK64)</f>
        <v>0</v>
      </c>
      <c r="APL64" s="20" t="n">
        <f aca="false">IF(AND(H_Direct=0,H_TaxEvt=1,ASY63+1&gt;=H_Deemed),ALY64,AIL64)</f>
        <v>0</v>
      </c>
      <c r="APM64" s="20" t="n">
        <f aca="false">IF(AND(H_Direct=0,H_TaxEvt=1,ASZ63+1&gt;=H_Deemed),ALZ64,AIM64)</f>
        <v>0</v>
      </c>
      <c r="APN64" s="20" t="n">
        <f aca="false">IF(AND(H_Direct=0,H_TaxEvt=1,ATA63+1&gt;=H_Deemed),AMA64,AIN64)</f>
        <v>0</v>
      </c>
      <c r="APO64" s="20" t="n">
        <f aca="false">IF(AND(H_Direct=0,H_TaxEvt=1,ATB63+1&gt;=H_Deemed),AMB64,AIO64)</f>
        <v>0</v>
      </c>
      <c r="APP64" s="20" t="n">
        <f aca="false">IF(AND(H_Direct=0,H_TaxEvt=1,ATC63+1&gt;=H_Deemed),AMC64,AIP64)</f>
        <v>0</v>
      </c>
      <c r="APQ64" s="20" t="n">
        <f aca="false">IF(AND(H_Direct=0,H_TaxEvt=1,ATD63+1&gt;=H_Deemed),AMD64,AIQ64)</f>
        <v>0</v>
      </c>
      <c r="APR64" s="20" t="n">
        <f aca="false">IF(AND(H_Direct=0,H_TaxEvt=1,ATE63+1&gt;=H_Deemed),AME64,AIR64)</f>
        <v>0</v>
      </c>
      <c r="APS64" s="20" t="n">
        <f aca="false">IF(AND(H_Direct=0,H_TaxEvt=1,ATF63+1&gt;=H_Deemed),AMF64,AIS64)</f>
        <v>0</v>
      </c>
      <c r="APT64" s="20" t="n">
        <f aca="false">IF(AND(H_Direct=0,H_TaxEvt=1,ATG63+1&gt;=H_Deemed),AMG64,AIT64)</f>
        <v>0</v>
      </c>
      <c r="APU64" s="20" t="n">
        <f aca="false">IF(AND(H_Direct=0,H_TaxEvt=1,ATH63+1&gt;=H_Deemed),AMH64,AIU64)</f>
        <v>0</v>
      </c>
      <c r="APV64" s="20" t="n">
        <f aca="false">IF(AND(H_Direct=0,H_TaxEvt=1,ATI63+1&gt;=H_Deemed),AMI64,AIV64)</f>
        <v>0</v>
      </c>
      <c r="APW64" s="20" t="n">
        <f aca="false">IF(AND(H_Direct=0,H_TaxEvt=1,ATJ63+1&gt;=H_Deemed),AMJ64,AIW64)</f>
        <v>0</v>
      </c>
      <c r="APX64" s="20" t="n">
        <f aca="false">IF(AND(H_Direct=0,H_TaxEvt=1,ATK63+1&gt;=H_Deemed),AMK64,AIX64)</f>
        <v>0</v>
      </c>
      <c r="APY64" s="20" t="n">
        <f aca="false">IF(AND(H_Direct=0,H_TaxEvt=1,ATL63+1&gt;=H_Deemed),AML64,AIY64)</f>
        <v>0</v>
      </c>
      <c r="APZ64" s="20" t="n">
        <f aca="false">IF(AND(H_Direct=0,H_TaxEvt=1,ATM63+1&gt;=H_Deemed),AMM64,AIZ64)</f>
        <v>0</v>
      </c>
      <c r="AQA64" s="20" t="n">
        <f aca="false">IF(AND(H_Direct=0,H_TaxEvt=1,ATN63+1&gt;=H_Deemed),AMN64,AJA64)</f>
        <v>0</v>
      </c>
      <c r="AQB64" s="20" t="n">
        <f aca="false">IF(AND(H_Direct=0,H_TaxEvt=1,ATO63+1&gt;=H_Deemed),AMO64,AJB64)</f>
        <v>0</v>
      </c>
      <c r="AQC64" s="20" t="n">
        <f aca="false">IF(AND(H_Direct=0,H_TaxEvt=1,ATP63+1&gt;=H_Deemed),AMP64,AJC64)</f>
        <v>0</v>
      </c>
      <c r="AQD64" s="20" t="n">
        <f aca="false">IF(AND(H_Direct=0,H_TaxEvt=1,ATQ63+1&gt;=H_Deemed),AMQ64,AJD64)</f>
        <v>0</v>
      </c>
      <c r="AQE64" s="20" t="n">
        <f aca="false">IF(AND(H_Direct=0,H_TaxEvt=1,ATR63+1&gt;=H_Deemed),AMR64,AJE64)</f>
        <v>0</v>
      </c>
      <c r="AQF64" s="20" t="n">
        <f aca="false">IF(AND(H_Direct=0,H_TaxEvt=1,ATS63+1&gt;=H_Deemed),AMS64,AJF64)</f>
        <v>0</v>
      </c>
      <c r="AQG64" s="20" t="n">
        <f aca="false">IF(AND(H_Direct=0,H_TaxEvt=1,ATT63+1&gt;=H_Deemed),AMT64,AJG64)</f>
        <v>0</v>
      </c>
      <c r="AQH64" s="20" t="n">
        <f aca="false">IF(AND(H_Direct=0,H_TaxEvt=1,ATU63+1&gt;=H_Deemed),AMU64,AJH64)</f>
        <v>0</v>
      </c>
      <c r="AQI64" s="20" t="n">
        <f aca="false">IF(AND(H_Direct=0,H_TaxEvt=1,ATV63+1&gt;=H_Deemed),AMV64,AJI64)</f>
        <v>0</v>
      </c>
      <c r="AQJ64" s="20" t="n">
        <f aca="false">IF(AND(H_Direct=0,H_TaxEvt=1,0+1&gt;=H_Deemed),AMW64,AJJ64)</f>
        <v>0</v>
      </c>
      <c r="AQK64" s="20" t="n">
        <v>0</v>
      </c>
      <c r="AQL64" s="20" t="n">
        <v>0</v>
      </c>
      <c r="AQM64" s="20" t="n">
        <v>0</v>
      </c>
      <c r="AQN64" s="20" t="n">
        <v>0</v>
      </c>
      <c r="AQO64" s="20" t="n">
        <v>0</v>
      </c>
      <c r="AQP64" s="20" t="n">
        <v>0</v>
      </c>
      <c r="AQQ64" s="20" t="n">
        <v>0</v>
      </c>
      <c r="AQR64" s="20" t="n">
        <v>0</v>
      </c>
      <c r="AQS64" s="20" t="n">
        <v>0</v>
      </c>
      <c r="AQT64" s="20" t="n">
        <v>0</v>
      </c>
      <c r="AQU64" s="20" t="n">
        <v>0</v>
      </c>
      <c r="AQV64" s="20" t="n">
        <v>0</v>
      </c>
      <c r="AQW64" s="20" t="n">
        <v>0</v>
      </c>
      <c r="AQX64" s="20" t="n">
        <v>0</v>
      </c>
      <c r="AQY64" s="20" t="n">
        <v>0</v>
      </c>
      <c r="AQZ64" s="20" t="n">
        <v>0</v>
      </c>
      <c r="ARA64" s="20" t="n">
        <v>0</v>
      </c>
      <c r="ARB64" s="20" t="n">
        <v>0</v>
      </c>
      <c r="ARC64" s="20" t="n">
        <v>0</v>
      </c>
      <c r="ARD64" s="20" t="n">
        <v>0</v>
      </c>
      <c r="ARE64" s="20" t="n">
        <v>0</v>
      </c>
      <c r="ARF64" s="20" t="n">
        <v>0</v>
      </c>
      <c r="ARG64" s="20" t="n">
        <v>0</v>
      </c>
      <c r="ARH64" s="20" t="n">
        <v>0</v>
      </c>
      <c r="ARI64" s="20" t="n">
        <v>0</v>
      </c>
      <c r="ARJ64" s="20" t="n">
        <v>0</v>
      </c>
      <c r="ARK64" s="20" t="n">
        <v>0</v>
      </c>
      <c r="ARL64" s="20" t="n">
        <v>0</v>
      </c>
      <c r="ARM64" s="20" t="n">
        <v>0</v>
      </c>
      <c r="ARN64" s="20" t="n">
        <v>0</v>
      </c>
      <c r="ARO64" s="20" t="n">
        <v>0</v>
      </c>
      <c r="ARP64" s="20" t="n">
        <v>0</v>
      </c>
      <c r="ARQ64" s="20" t="n">
        <v>0</v>
      </c>
      <c r="ARR64" s="20" t="n">
        <f aca="false">IF(AND(H_Direct=0,H_TaxEvt=1),IF(ARR63+1&gt;=H_Deemed,0,ARR63+1),ARR63)</f>
        <v>1</v>
      </c>
      <c r="ARS64" s="20" t="n">
        <f aca="false">IF(AND(H_Direct=0,H_TaxEvt=1),IF(ARS63+1&gt;=H_Deemed,0,ARS63+1),ARS63)</f>
        <v>1</v>
      </c>
      <c r="ART64" s="20" t="n">
        <f aca="false">IF(AND(H_Direct=0,H_TaxEvt=1),IF(ART63+1&gt;=H_Deemed,0,ART63+1),ART63)</f>
        <v>0</v>
      </c>
      <c r="ARU64" s="20" t="n">
        <f aca="false">IF(AND(H_Direct=0,H_TaxEvt=1),IF(ARU63+1&gt;=H_Deemed,0,ARU63+1),ARU63)</f>
        <v>7</v>
      </c>
      <c r="ARV64" s="20" t="n">
        <f aca="false">IF(AND(H_Direct=0,H_TaxEvt=1),IF(ARV63+1&gt;=H_Deemed,0,ARV63+1),ARV63)</f>
        <v>6</v>
      </c>
      <c r="ARW64" s="20" t="n">
        <f aca="false">IF(AND(H_Direct=0,H_TaxEvt=1),IF(ARW63+1&gt;=H_Deemed,0,ARW63+1),ARW63)</f>
        <v>5</v>
      </c>
      <c r="ARX64" s="20" t="n">
        <f aca="false">IF(AND(H_Direct=0,H_TaxEvt=1),IF(ARX63+1&gt;=H_Deemed,0,ARX63+1),ARX63)</f>
        <v>4</v>
      </c>
      <c r="ARY64" s="20" t="n">
        <f aca="false">IF(AND(H_Direct=0,H_TaxEvt=1),IF(ARY63+1&gt;=H_Deemed,0,ARY63+1),ARY63)</f>
        <v>3</v>
      </c>
      <c r="ARZ64" s="20" t="n">
        <f aca="false">IF(AND(H_Direct=0,H_TaxEvt=1),IF(ARZ63+1&gt;=H_Deemed,0,ARZ63+1),ARZ63)</f>
        <v>2</v>
      </c>
      <c r="ASA64" s="20" t="n">
        <f aca="false">IF(AND(H_Direct=0,H_TaxEvt=1),IF(ASA63+1&gt;=H_Deemed,0,ASA63+1),ASA63)</f>
        <v>1</v>
      </c>
      <c r="ASB64" s="20" t="n">
        <f aca="false">IF(AND(H_Direct=0,H_TaxEvt=1),IF(ASB63+1&gt;=H_Deemed,0,ASB63+1),ASB63)</f>
        <v>0</v>
      </c>
      <c r="ASC64" s="20" t="n">
        <f aca="false">IF(AND(H_Direct=0,H_TaxEvt=1),IF(ASC63+1&gt;=H_Deemed,0,ASC63+1),ASC63)</f>
        <v>7</v>
      </c>
      <c r="ASD64" s="20" t="n">
        <f aca="false">IF(AND(H_Direct=0,H_TaxEvt=1),IF(ASD63+1&gt;=H_Deemed,0,ASD63+1),ASD63)</f>
        <v>6</v>
      </c>
      <c r="ASE64" s="20" t="n">
        <f aca="false">IF(AND(H_Direct=0,H_TaxEvt=1),IF(ASE63+1&gt;=H_Deemed,0,ASE63+1),ASE63)</f>
        <v>5</v>
      </c>
      <c r="ASF64" s="20" t="n">
        <f aca="false">IF(AND(H_Direct=0,H_TaxEvt=1),IF(ASF63+1&gt;=H_Deemed,0,ASF63+1),ASF63)</f>
        <v>4</v>
      </c>
      <c r="ASG64" s="20" t="n">
        <f aca="false">IF(AND(H_Direct=0,H_TaxEvt=1),IF(ASG63+1&gt;=H_Deemed,0,ASG63+1),ASG63)</f>
        <v>3</v>
      </c>
      <c r="ASH64" s="20" t="n">
        <f aca="false">IF(AND(H_Direct=0,H_TaxEvt=1),IF(ASH63+1&gt;=H_Deemed,0,ASH63+1),ASH63)</f>
        <v>2</v>
      </c>
      <c r="ASI64" s="20" t="n">
        <f aca="false">IF(AND(H_Direct=0,H_TaxEvt=1),IF(ASI63+1&gt;=H_Deemed,0,ASI63+1),ASI63)</f>
        <v>1</v>
      </c>
      <c r="ASJ64" s="20" t="n">
        <f aca="false">IF(AND(H_Direct=0,H_TaxEvt=1),IF(ASJ63+1&gt;=H_Deemed,0,ASJ63+1),ASJ63)</f>
        <v>0</v>
      </c>
      <c r="ASK64" s="20" t="n">
        <f aca="false">IF(AND(H_Direct=0,H_TaxEvt=1),IF(ASK63+1&gt;=H_Deemed,0,ASK63+1),ASK63)</f>
        <v>7</v>
      </c>
      <c r="ASL64" s="20" t="n">
        <f aca="false">IF(AND(H_Direct=0,H_TaxEvt=1),IF(ASL63+1&gt;=H_Deemed,0,ASL63+1),ASL63)</f>
        <v>6</v>
      </c>
      <c r="ASM64" s="20" t="n">
        <f aca="false">IF(AND(H_Direct=0,H_TaxEvt=1),IF(ASM63+1&gt;=H_Deemed,0,ASM63+1),ASM63)</f>
        <v>5</v>
      </c>
      <c r="ASN64" s="20" t="n">
        <f aca="false">IF(AND(H_Direct=0,H_TaxEvt=1),IF(ASN63+1&gt;=H_Deemed,0,ASN63+1),ASN63)</f>
        <v>4</v>
      </c>
      <c r="ASO64" s="20" t="n">
        <f aca="false">IF(AND(H_Direct=0,H_TaxEvt=1),IF(ASO63+1&gt;=H_Deemed,0,ASO63+1),ASO63)</f>
        <v>3</v>
      </c>
      <c r="ASP64" s="20" t="n">
        <f aca="false">IF(AND(H_Direct=0,H_TaxEvt=1),IF(ASP63+1&gt;=H_Deemed,0,ASP63+1),ASP63)</f>
        <v>2</v>
      </c>
      <c r="ASQ64" s="20" t="n">
        <f aca="false">IF(AND(H_Direct=0,H_TaxEvt=1),IF(ASQ63+1&gt;=H_Deemed,0,ASQ63+1),ASQ63)</f>
        <v>1</v>
      </c>
      <c r="ASR64" s="20" t="n">
        <f aca="false">IF(AND(H_Direct=0,H_TaxEvt=1),IF(ASR63+1&gt;=H_Deemed,0,ASR63+1),ASR63)</f>
        <v>0</v>
      </c>
      <c r="ASS64" s="20" t="n">
        <f aca="false">IF(AND(H_Direct=0,H_TaxEvt=1),IF(ASS63+1&gt;=H_Deemed,0,ASS63+1),ASS63)</f>
        <v>7</v>
      </c>
      <c r="AST64" s="20" t="n">
        <f aca="false">IF(AND(H_Direct=0,H_TaxEvt=1),IF(AST63+1&gt;=H_Deemed,0,AST63+1),AST63)</f>
        <v>6</v>
      </c>
      <c r="ASU64" s="20" t="n">
        <f aca="false">IF(AND(H_Direct=0,H_TaxEvt=1),IF(ASU63+1&gt;=H_Deemed,0,ASU63+1),ASU63)</f>
        <v>5</v>
      </c>
      <c r="ASV64" s="20" t="n">
        <f aca="false">IF(AND(H_Direct=0,H_TaxEvt=1),IF(ASV63+1&gt;=H_Deemed,0,ASV63+1),ASV63)</f>
        <v>4</v>
      </c>
      <c r="ASW64" s="20" t="n">
        <f aca="false">IF(AND(H_Direct=0,H_TaxEvt=1),IF(ASW63+1&gt;=H_Deemed,0,ASW63+1),ASW63)</f>
        <v>3</v>
      </c>
      <c r="ASX64" s="20" t="n">
        <f aca="false">IF(AND(H_Direct=0,H_TaxEvt=1),IF(ASX63+1&gt;=H_Deemed,0,ASX63+1),ASX63)</f>
        <v>2</v>
      </c>
      <c r="ASY64" s="20" t="n">
        <f aca="false">IF(AND(H_Direct=0,H_TaxEvt=1),IF(ASY63+1&gt;=H_Deemed,0,ASY63+1),ASY63)</f>
        <v>1</v>
      </c>
      <c r="ASZ64" s="20" t="n">
        <f aca="false">IF(AND(H_Direct=0,H_TaxEvt=1),IF(ASZ63+1&gt;=H_Deemed,0,ASZ63+1),ASZ63)</f>
        <v>0</v>
      </c>
      <c r="ATA64" s="20" t="n">
        <f aca="false">IF(AND(H_Direct=0,H_TaxEvt=1),IF(ATA63+1&gt;=H_Deemed,0,ATA63+1),ATA63)</f>
        <v>7</v>
      </c>
      <c r="ATB64" s="20" t="n">
        <f aca="false">IF(AND(H_Direct=0,H_TaxEvt=1),IF(ATB63+1&gt;=H_Deemed,0,ATB63+1),ATB63)</f>
        <v>6</v>
      </c>
      <c r="ATC64" s="20" t="n">
        <f aca="false">IF(AND(H_Direct=0,H_TaxEvt=1),IF(ATC63+1&gt;=H_Deemed,0,ATC63+1),ATC63)</f>
        <v>5</v>
      </c>
      <c r="ATD64" s="20" t="n">
        <f aca="false">IF(AND(H_Direct=0,H_TaxEvt=1),IF(ATD63+1&gt;=H_Deemed,0,ATD63+1),ATD63)</f>
        <v>4</v>
      </c>
      <c r="ATE64" s="20" t="n">
        <f aca="false">IF(AND(H_Direct=0,H_TaxEvt=1),IF(ATE63+1&gt;=H_Deemed,0,ATE63+1),ATE63)</f>
        <v>3</v>
      </c>
      <c r="ATF64" s="20" t="n">
        <f aca="false">IF(AND(H_Direct=0,H_TaxEvt=1),IF(ATF63+1&gt;=H_Deemed,0,ATF63+1),ATF63)</f>
        <v>2</v>
      </c>
      <c r="ATG64" s="20" t="n">
        <f aca="false">IF(AND(H_Direct=0,H_TaxEvt=1),IF(ATG63+1&gt;=H_Deemed,0,ATG63+1),ATG63)</f>
        <v>1</v>
      </c>
      <c r="ATH64" s="20" t="n">
        <f aca="false">IF(AND(H_Direct=0,H_TaxEvt=1),IF(ATH63+1&gt;=H_Deemed,0,ATH63+1),ATH63)</f>
        <v>0</v>
      </c>
      <c r="ATI64" s="20" t="n">
        <f aca="false">IF(AND(H_Direct=0,H_TaxEvt=1),IF(ATI63+1&gt;=H_Deemed,0,ATI63+1),ATI63)</f>
        <v>7</v>
      </c>
      <c r="ATJ64" s="20" t="n">
        <f aca="false">IF(AND(H_Direct=0,H_TaxEvt=1),IF(ATJ63+1&gt;=H_Deemed,0,ATJ63+1),ATJ63)</f>
        <v>6</v>
      </c>
      <c r="ATK64" s="20" t="n">
        <f aca="false">IF(AND(H_Direct=0,H_TaxEvt=1),IF(ATK63+1&gt;=H_Deemed,0,ATK63+1),ATK63)</f>
        <v>5</v>
      </c>
      <c r="ATL64" s="20" t="n">
        <f aca="false">IF(AND(H_Direct=0,H_TaxEvt=1),IF(ATL63+1&gt;=H_Deemed,0,ATL63+1),ATL63)</f>
        <v>4</v>
      </c>
      <c r="ATM64" s="20" t="n">
        <f aca="false">IF(AND(H_Direct=0,H_TaxEvt=1),IF(ATM63+1&gt;=H_Deemed,0,ATM63+1),ATM63)</f>
        <v>3</v>
      </c>
      <c r="ATN64" s="20" t="n">
        <f aca="false">IF(AND(H_Direct=0,H_TaxEvt=1),IF(ATN63+1&gt;=H_Deemed,0,ATN63+1),ATN63)</f>
        <v>2</v>
      </c>
      <c r="ATO64" s="20" t="n">
        <f aca="false">IF(AND(H_Direct=0,H_TaxEvt=1),IF(ATO63+1&gt;=H_Deemed,0,ATO63+1),ATO63)</f>
        <v>1</v>
      </c>
      <c r="ATP64" s="20" t="n">
        <f aca="false">IF(AND(H_Direct=0,H_TaxEvt=1),IF(ATP63+1&gt;=H_Deemed,0,ATP63+1),ATP63)</f>
        <v>0</v>
      </c>
      <c r="ATQ64" s="20" t="n">
        <f aca="false">IF(AND(H_Direct=0,H_TaxEvt=1),IF(ATQ63+1&gt;=H_Deemed,0,ATQ63+1),ATQ63)</f>
        <v>7</v>
      </c>
      <c r="ATR64" s="20" t="n">
        <f aca="false">IF(AND(H_Direct=0,H_TaxEvt=1),IF(ATR63+1&gt;=H_Deemed,0,ATR63+1),ATR63)</f>
        <v>6</v>
      </c>
      <c r="ATS64" s="20" t="n">
        <f aca="false">IF(AND(H_Direct=0,H_TaxEvt=1),IF(ATS63+1&gt;=H_Deemed,0,ATS63+1),ATS63)</f>
        <v>5</v>
      </c>
      <c r="ATT64" s="20" t="n">
        <f aca="false">IF(AND(H_Direct=0,H_TaxEvt=1),IF(ATT63+1&gt;=H_Deemed,0,ATT63+1),ATT63)</f>
        <v>4</v>
      </c>
      <c r="ATU64" s="20" t="n">
        <f aca="false">IF(AND(H_Direct=0,H_TaxEvt=1),IF(ATU63+1&gt;=H_Deemed,0,ATU63+1),ATU63)</f>
        <v>3</v>
      </c>
      <c r="ATV64" s="20" t="n">
        <f aca="false">IF(AND(H_Direct=0,H_TaxEvt=1),IF(ATV63+1&gt;=H_Deemed,0,ATV63+1),ATV63)</f>
        <v>2</v>
      </c>
      <c r="ATW64" s="20" t="n">
        <f aca="false">IF(AND(H_Direct=0,H_TaxEvt=1),IF(0+1&gt;=H_Deemed,0,0+1),0)</f>
        <v>1</v>
      </c>
      <c r="ATX64" s="20" t="n">
        <v>0</v>
      </c>
      <c r="ATY64" s="20" t="n">
        <v>0</v>
      </c>
      <c r="ATZ64" s="20" t="n">
        <v>0</v>
      </c>
      <c r="AUA64" s="20" t="n">
        <v>0</v>
      </c>
      <c r="AUB64" s="20" t="n">
        <v>0</v>
      </c>
      <c r="AUC64" s="20" t="n">
        <v>0</v>
      </c>
      <c r="AUD64" s="20" t="n">
        <v>0</v>
      </c>
      <c r="AUE64" s="20" t="n">
        <v>0</v>
      </c>
      <c r="AUF64" s="20" t="n">
        <v>0</v>
      </c>
      <c r="AUG64" s="20" t="n">
        <v>0</v>
      </c>
      <c r="AUH64" s="20" t="n">
        <v>0</v>
      </c>
      <c r="AUI64" s="20" t="n">
        <v>0</v>
      </c>
      <c r="AUJ64" s="20" t="n">
        <v>0</v>
      </c>
      <c r="AUK64" s="20" t="n">
        <v>0</v>
      </c>
      <c r="AUL64" s="20" t="n">
        <v>0</v>
      </c>
      <c r="AUM64" s="20" t="n">
        <v>0</v>
      </c>
      <c r="AUN64" s="20" t="n">
        <v>0</v>
      </c>
      <c r="AUO64" s="20" t="n">
        <v>0</v>
      </c>
      <c r="AUP64" s="20" t="n">
        <v>0</v>
      </c>
      <c r="AUQ64" s="20" t="n">
        <v>0</v>
      </c>
      <c r="AUR64" s="20" t="n">
        <v>0</v>
      </c>
      <c r="AUS64" s="20" t="n">
        <v>0</v>
      </c>
      <c r="AUT64" s="20" t="n">
        <v>0</v>
      </c>
      <c r="AUU64" s="20" t="n">
        <v>0</v>
      </c>
      <c r="AUV64" s="20" t="n">
        <v>0</v>
      </c>
      <c r="AUW64" s="20" t="n">
        <v>0</v>
      </c>
      <c r="AUX64" s="20" t="n">
        <v>0</v>
      </c>
      <c r="AUY64" s="20" t="n">
        <v>0</v>
      </c>
      <c r="AUZ64" s="20" t="n">
        <v>0</v>
      </c>
      <c r="AVA64" s="20" t="n">
        <v>0</v>
      </c>
      <c r="AVB64" s="20" t="n">
        <v>0</v>
      </c>
      <c r="AVC64" s="20" t="n">
        <v>0</v>
      </c>
      <c r="AVD64" s="20" t="n">
        <v>0</v>
      </c>
      <c r="AVE64" s="20" t="n">
        <f aca="false">IF(AND(H_Direct=0,H_TaxEvt=1,ARR63+1&gt;=H_Deemed),MAX(0,ADR64-AHE64)*H_Exit,0)</f>
        <v>0</v>
      </c>
      <c r="AVF64" s="20" t="n">
        <f aca="false">IF(AND(H_Direct=0,H_TaxEvt=1,ARS63+1&gt;=H_Deemed),MAX(0,ADS64-AHF64)*H_Exit,0)</f>
        <v>0</v>
      </c>
      <c r="AVG64" s="20" t="n">
        <f aca="false">IF(AND(H_Direct=0,H_TaxEvt=1,ART63+1&gt;=H_Deemed),MAX(0,ADT64-AHG64)*H_Exit,0)</f>
        <v>0</v>
      </c>
      <c r="AVH64" s="20" t="n">
        <f aca="false">IF(AND(H_Direct=0,H_TaxEvt=1,ARU63+1&gt;=H_Deemed),MAX(0,ADU64-AHH64)*H_Exit,0)</f>
        <v>0</v>
      </c>
      <c r="AVI64" s="20" t="n">
        <f aca="false">IF(AND(H_Direct=0,H_TaxEvt=1,ARV63+1&gt;=H_Deemed),MAX(0,ADV64-AHI64)*H_Exit,0)</f>
        <v>0</v>
      </c>
      <c r="AVJ64" s="20" t="n">
        <f aca="false">IF(AND(H_Direct=0,H_TaxEvt=1,ARW63+1&gt;=H_Deemed),MAX(0,ADW64-AHJ64)*H_Exit,0)</f>
        <v>0</v>
      </c>
      <c r="AVK64" s="20" t="n">
        <f aca="false">IF(AND(H_Direct=0,H_TaxEvt=1,ARX63+1&gt;=H_Deemed),MAX(0,ADX64-AHK64)*H_Exit,0)</f>
        <v>0</v>
      </c>
      <c r="AVL64" s="20" t="n">
        <f aca="false">IF(AND(H_Direct=0,H_TaxEvt=1,ARY63+1&gt;=H_Deemed),MAX(0,ADY64-AHL64)*H_Exit,0)</f>
        <v>0</v>
      </c>
      <c r="AVM64" s="20" t="n">
        <f aca="false">IF(AND(H_Direct=0,H_TaxEvt=1,ARZ63+1&gt;=H_Deemed),MAX(0,ADZ64-AHM64)*H_Exit,0)</f>
        <v>0</v>
      </c>
      <c r="AVN64" s="20" t="n">
        <f aca="false">IF(AND(H_Direct=0,H_TaxEvt=1,ASA63+1&gt;=H_Deemed),MAX(0,AEA64-AHN64)*H_Exit,0)</f>
        <v>0</v>
      </c>
      <c r="AVO64" s="20" t="n">
        <f aca="false">IF(AND(H_Direct=0,H_TaxEvt=1,ASB63+1&gt;=H_Deemed),MAX(0,AEB64-AHO64)*H_Exit,0)</f>
        <v>0</v>
      </c>
      <c r="AVP64" s="20" t="n">
        <f aca="false">IF(AND(H_Direct=0,H_TaxEvt=1,ASC63+1&gt;=H_Deemed),MAX(0,AEC64-AHP64)*H_Exit,0)</f>
        <v>0</v>
      </c>
      <c r="AVQ64" s="20" t="n">
        <f aca="false">IF(AND(H_Direct=0,H_TaxEvt=1,ASD63+1&gt;=H_Deemed),MAX(0,AED64-AHQ64)*H_Exit,0)</f>
        <v>0</v>
      </c>
      <c r="AVR64" s="20" t="n">
        <f aca="false">IF(AND(H_Direct=0,H_TaxEvt=1,ASE63+1&gt;=H_Deemed),MAX(0,AEE64-AHR64)*H_Exit,0)</f>
        <v>0</v>
      </c>
      <c r="AVS64" s="20" t="n">
        <f aca="false">IF(AND(H_Direct=0,H_TaxEvt=1,ASF63+1&gt;=H_Deemed),MAX(0,AEF64-AHS64)*H_Exit,0)</f>
        <v>0</v>
      </c>
      <c r="AVT64" s="20" t="n">
        <f aca="false">IF(AND(H_Direct=0,H_TaxEvt=1,ASG63+1&gt;=H_Deemed),MAX(0,AEG64-AHT64)*H_Exit,0)</f>
        <v>0</v>
      </c>
      <c r="AVU64" s="20" t="n">
        <f aca="false">IF(AND(H_Direct=0,H_TaxEvt=1,ASH63+1&gt;=H_Deemed),MAX(0,AEH64-AHU64)*H_Exit,0)</f>
        <v>0</v>
      </c>
      <c r="AVV64" s="20" t="n">
        <f aca="false">IF(AND(H_Direct=0,H_TaxEvt=1,ASI63+1&gt;=H_Deemed),MAX(0,AEI64-AHV64)*H_Exit,0)</f>
        <v>0</v>
      </c>
      <c r="AVW64" s="20" t="n">
        <f aca="false">IF(AND(H_Direct=0,H_TaxEvt=1,ASJ63+1&gt;=H_Deemed),MAX(0,AEJ64-AHW64)*H_Exit,0)</f>
        <v>0</v>
      </c>
      <c r="AVX64" s="20" t="n">
        <f aca="false">IF(AND(H_Direct=0,H_TaxEvt=1,ASK63+1&gt;=H_Deemed),MAX(0,AEK64-AHX64)*H_Exit,0)</f>
        <v>0</v>
      </c>
      <c r="AVY64" s="20" t="n">
        <f aca="false">IF(AND(H_Direct=0,H_TaxEvt=1,ASL63+1&gt;=H_Deemed),MAX(0,AEL64-AHY64)*H_Exit,0)</f>
        <v>0</v>
      </c>
      <c r="AVZ64" s="20" t="n">
        <f aca="false">IF(AND(H_Direct=0,H_TaxEvt=1,ASM63+1&gt;=H_Deemed),MAX(0,AEM64-AHZ64)*H_Exit,0)</f>
        <v>0</v>
      </c>
      <c r="AWA64" s="20" t="n">
        <f aca="false">IF(AND(H_Direct=0,H_TaxEvt=1,ASN63+1&gt;=H_Deemed),MAX(0,AEN64-AIA64)*H_Exit,0)</f>
        <v>0</v>
      </c>
      <c r="AWB64" s="20" t="n">
        <f aca="false">IF(AND(H_Direct=0,H_TaxEvt=1,ASO63+1&gt;=H_Deemed),MAX(0,AEO64-AIB64)*H_Exit,0)</f>
        <v>0</v>
      </c>
      <c r="AWC64" s="20" t="n">
        <f aca="false">IF(AND(H_Direct=0,H_TaxEvt=1,ASP63+1&gt;=H_Deemed),MAX(0,AEP64-AIC64)*H_Exit,0)</f>
        <v>0</v>
      </c>
      <c r="AWD64" s="20" t="n">
        <f aca="false">IF(AND(H_Direct=0,H_TaxEvt=1,ASQ63+1&gt;=H_Deemed),MAX(0,AEQ64-AID64)*H_Exit,0)</f>
        <v>0</v>
      </c>
      <c r="AWE64" s="20" t="n">
        <f aca="false">IF(AND(H_Direct=0,H_TaxEvt=1,ASR63+1&gt;=H_Deemed),MAX(0,AER64-AIE64)*H_Exit,0)</f>
        <v>0</v>
      </c>
      <c r="AWF64" s="20" t="n">
        <f aca="false">IF(AND(H_Direct=0,H_TaxEvt=1,ASS63+1&gt;=H_Deemed),MAX(0,AES64-AIF64)*H_Exit,0)</f>
        <v>0</v>
      </c>
      <c r="AWG64" s="20" t="n">
        <f aca="false">IF(AND(H_Direct=0,H_TaxEvt=1,AST63+1&gt;=H_Deemed),MAX(0,AET64-AIG64)*H_Exit,0)</f>
        <v>0</v>
      </c>
      <c r="AWH64" s="20" t="n">
        <f aca="false">IF(AND(H_Direct=0,H_TaxEvt=1,ASU63+1&gt;=H_Deemed),MAX(0,AEU64-AIH64)*H_Exit,0)</f>
        <v>0</v>
      </c>
      <c r="AWI64" s="20" t="n">
        <f aca="false">IF(AND(H_Direct=0,H_TaxEvt=1,ASV63+1&gt;=H_Deemed),MAX(0,AEV64-AII64)*H_Exit,0)</f>
        <v>0</v>
      </c>
      <c r="AWJ64" s="20" t="n">
        <f aca="false">IF(AND(H_Direct=0,H_TaxEvt=1,ASW63+1&gt;=H_Deemed),MAX(0,AEW64-AIJ64)*H_Exit,0)</f>
        <v>0</v>
      </c>
      <c r="AWK64" s="20" t="n">
        <f aca="false">IF(AND(H_Direct=0,H_TaxEvt=1,ASX63+1&gt;=H_Deemed),MAX(0,AEX64-AIK64)*H_Exit,0)</f>
        <v>0</v>
      </c>
      <c r="AWL64" s="20" t="n">
        <f aca="false">IF(AND(H_Direct=0,H_TaxEvt=1,ASY63+1&gt;=H_Deemed),MAX(0,AEY64-AIL64)*H_Exit,0)</f>
        <v>0</v>
      </c>
      <c r="AWM64" s="20" t="n">
        <f aca="false">IF(AND(H_Direct=0,H_TaxEvt=1,ASZ63+1&gt;=H_Deemed),MAX(0,AEZ64-AIM64)*H_Exit,0)</f>
        <v>0</v>
      </c>
      <c r="AWN64" s="20" t="n">
        <f aca="false">IF(AND(H_Direct=0,H_TaxEvt=1,ATA63+1&gt;=H_Deemed),MAX(0,AFA64-AIN64)*H_Exit,0)</f>
        <v>0</v>
      </c>
      <c r="AWO64" s="20" t="n">
        <f aca="false">IF(AND(H_Direct=0,H_TaxEvt=1,ATB63+1&gt;=H_Deemed),MAX(0,AFB64-AIO64)*H_Exit,0)</f>
        <v>0</v>
      </c>
      <c r="AWP64" s="20" t="n">
        <f aca="false">IF(AND(H_Direct=0,H_TaxEvt=1,ATC63+1&gt;=H_Deemed),MAX(0,AFC64-AIP64)*H_Exit,0)</f>
        <v>0</v>
      </c>
      <c r="AWQ64" s="20" t="n">
        <f aca="false">IF(AND(H_Direct=0,H_TaxEvt=1,ATD63+1&gt;=H_Deemed),MAX(0,AFD64-AIQ64)*H_Exit,0)</f>
        <v>0</v>
      </c>
      <c r="AWR64" s="20" t="n">
        <f aca="false">IF(AND(H_Direct=0,H_TaxEvt=1,ATE63+1&gt;=H_Deemed),MAX(0,AFE64-AIR64)*H_Exit,0)</f>
        <v>0</v>
      </c>
      <c r="AWS64" s="20" t="n">
        <f aca="false">IF(AND(H_Direct=0,H_TaxEvt=1,ATF63+1&gt;=H_Deemed),MAX(0,AFF64-AIS64)*H_Exit,0)</f>
        <v>0</v>
      </c>
      <c r="AWT64" s="20" t="n">
        <f aca="false">IF(AND(H_Direct=0,H_TaxEvt=1,ATG63+1&gt;=H_Deemed),MAX(0,AFG64-AIT64)*H_Exit,0)</f>
        <v>0</v>
      </c>
      <c r="AWU64" s="20" t="n">
        <f aca="false">IF(AND(H_Direct=0,H_TaxEvt=1,ATH63+1&gt;=H_Deemed),MAX(0,AFH64-AIU64)*H_Exit,0)</f>
        <v>0</v>
      </c>
      <c r="AWV64" s="20" t="n">
        <f aca="false">IF(AND(H_Direct=0,H_TaxEvt=1,ATI63+1&gt;=H_Deemed),MAX(0,AFI64-AIV64)*H_Exit,0)</f>
        <v>0</v>
      </c>
      <c r="AWW64" s="20" t="n">
        <f aca="false">IF(AND(H_Direct=0,H_TaxEvt=1,ATJ63+1&gt;=H_Deemed),MAX(0,AFJ64-AIW64)*H_Exit,0)</f>
        <v>0</v>
      </c>
      <c r="AWX64" s="20" t="n">
        <f aca="false">IF(AND(H_Direct=0,H_TaxEvt=1,ATK63+1&gt;=H_Deemed),MAX(0,AFK64-AIX64)*H_Exit,0)</f>
        <v>0</v>
      </c>
      <c r="AWY64" s="20" t="n">
        <f aca="false">IF(AND(H_Direct=0,H_TaxEvt=1,ATL63+1&gt;=H_Deemed),MAX(0,AFL64-AIY64)*H_Exit,0)</f>
        <v>0</v>
      </c>
      <c r="AWZ64" s="20" t="n">
        <f aca="false">IF(AND(H_Direct=0,H_TaxEvt=1,ATM63+1&gt;=H_Deemed),MAX(0,AFM64-AIZ64)*H_Exit,0)</f>
        <v>0</v>
      </c>
      <c r="AXA64" s="20" t="n">
        <f aca="false">IF(AND(H_Direct=0,H_TaxEvt=1,ATN63+1&gt;=H_Deemed),MAX(0,AFN64-AJA64)*H_Exit,0)</f>
        <v>0</v>
      </c>
      <c r="AXB64" s="20" t="n">
        <f aca="false">IF(AND(H_Direct=0,H_TaxEvt=1,ATO63+1&gt;=H_Deemed),MAX(0,AFO64-AJB64)*H_Exit,0)</f>
        <v>0</v>
      </c>
      <c r="AXC64" s="20" t="n">
        <f aca="false">IF(AND(H_Direct=0,H_TaxEvt=1,ATP63+1&gt;=H_Deemed),MAX(0,AFP64-AJC64)*H_Exit,0)</f>
        <v>0</v>
      </c>
      <c r="AXD64" s="20" t="n">
        <f aca="false">IF(AND(H_Direct=0,H_TaxEvt=1,ATQ63+1&gt;=H_Deemed),MAX(0,AFQ64-AJD64)*H_Exit,0)</f>
        <v>0</v>
      </c>
      <c r="AXE64" s="20" t="n">
        <f aca="false">IF(AND(H_Direct=0,H_TaxEvt=1,ATR63+1&gt;=H_Deemed),MAX(0,AFR64-AJE64)*H_Exit,0)</f>
        <v>0</v>
      </c>
      <c r="AXF64" s="20" t="n">
        <f aca="false">IF(AND(H_Direct=0,H_TaxEvt=1,ATS63+1&gt;=H_Deemed),MAX(0,AFS64-AJF64)*H_Exit,0)</f>
        <v>0</v>
      </c>
      <c r="AXG64" s="20" t="n">
        <f aca="false">IF(AND(H_Direct=0,H_TaxEvt=1,ATT63+1&gt;=H_Deemed),MAX(0,AFT64-AJG64)*H_Exit,0)</f>
        <v>0</v>
      </c>
      <c r="AXH64" s="20" t="n">
        <f aca="false">IF(AND(H_Direct=0,H_TaxEvt=1,ATU63+1&gt;=H_Deemed),MAX(0,AFU64-AJH64)*H_Exit,0)</f>
        <v>0</v>
      </c>
      <c r="AXI64" s="20" t="n">
        <f aca="false">IF(AND(H_Direct=0,H_TaxEvt=1,ATV63+1&gt;=H_Deemed),MAX(0,AFV64-AJI64)*H_Exit,0)</f>
        <v>0</v>
      </c>
      <c r="AXJ64" s="20" t="n">
        <f aca="false">IF(AND(H_Direct=0,H_TaxEvt=1,0+1&gt;=H_Deemed),MAX(0,AFW64-AJJ64)*H_Exit,0)</f>
        <v>0</v>
      </c>
      <c r="AXK64" s="20" t="n">
        <v>0</v>
      </c>
      <c r="AXL64" s="20" t="n">
        <v>0</v>
      </c>
      <c r="AXM64" s="20" t="n">
        <v>0</v>
      </c>
      <c r="AXN64" s="20" t="n">
        <v>0</v>
      </c>
      <c r="AXO64" s="20" t="n">
        <v>0</v>
      </c>
      <c r="AXP64" s="20" t="n">
        <v>0</v>
      </c>
      <c r="AXQ64" s="20" t="n">
        <v>0</v>
      </c>
      <c r="AXR64" s="20" t="n">
        <v>0</v>
      </c>
      <c r="AXS64" s="20" t="n">
        <v>0</v>
      </c>
      <c r="AXT64" s="20" t="n">
        <v>0</v>
      </c>
      <c r="AXU64" s="20" t="n">
        <v>0</v>
      </c>
      <c r="AXV64" s="20" t="n">
        <v>0</v>
      </c>
      <c r="AXW64" s="20" t="n">
        <v>0</v>
      </c>
      <c r="AXX64" s="20" t="n">
        <v>0</v>
      </c>
      <c r="AXY64" s="20" t="n">
        <v>0</v>
      </c>
      <c r="AXZ64" s="20" t="n">
        <v>0</v>
      </c>
      <c r="AYA64" s="20" t="n">
        <v>0</v>
      </c>
      <c r="AYB64" s="20" t="n">
        <v>0</v>
      </c>
      <c r="AYC64" s="20" t="n">
        <v>0</v>
      </c>
      <c r="AYD64" s="20" t="n">
        <v>0</v>
      </c>
      <c r="AYE64" s="20" t="n">
        <v>0</v>
      </c>
      <c r="AYF64" s="20" t="n">
        <v>0</v>
      </c>
      <c r="AYG64" s="20" t="n">
        <v>0</v>
      </c>
      <c r="AYH64" s="20" t="n">
        <v>0</v>
      </c>
      <c r="AYI64" s="20" t="n">
        <v>0</v>
      </c>
      <c r="AYJ64" s="20" t="n">
        <v>0</v>
      </c>
      <c r="AYK64" s="20" t="n">
        <v>0</v>
      </c>
      <c r="AYL64" s="20" t="n">
        <v>0</v>
      </c>
      <c r="AYM64" s="20" t="n">
        <v>0</v>
      </c>
      <c r="AYN64" s="20" t="n">
        <v>0</v>
      </c>
      <c r="AYO64" s="20" t="n">
        <v>0</v>
      </c>
      <c r="AYP64" s="20" t="n">
        <v>0</v>
      </c>
      <c r="AYQ64" s="20" t="n">
        <v>0</v>
      </c>
    </row>
    <row r="65" customFormat="false" ht="15" hidden="false" customHeight="false" outlineLevel="0" collapsed="false">
      <c r="B65" s="20" t="n">
        <v>57</v>
      </c>
      <c r="C65" s="20" t="n">
        <f aca="false">'Plan cashflow'!C65</f>
        <v>1</v>
      </c>
      <c r="D65" s="20" t="n">
        <f aca="false">'Plan cashflow'!D65</f>
        <v>95</v>
      </c>
      <c r="E65" s="20" t="n">
        <f aca="false">AS_Year0+57</f>
        <v>2083</v>
      </c>
      <c r="F65" s="50" t="n">
        <f aca="false">'Plan cashflow'!F65</f>
        <v>3.09178859221323</v>
      </c>
      <c r="G65" s="59" t="n">
        <f aca="true">IF(MAX(TODAY(),DATE(E65,1,1))&gt;=H_CGTfrom,H_CGT1,H_CGT0)</f>
        <v>0.31</v>
      </c>
      <c r="H65" s="20" t="n">
        <f aca="false">H_Exempt*H_Persons</f>
        <v>1270</v>
      </c>
      <c r="I65" s="20" t="n">
        <f aca="false">AX64</f>
        <v>0</v>
      </c>
      <c r="J65" s="60" t="n">
        <f aca="false">BF64</f>
        <v>0</v>
      </c>
      <c r="K65" s="60" t="n">
        <f aca="false">BG64</f>
        <v>0</v>
      </c>
      <c r="L65" s="20" t="n">
        <f aca="false">IF(AND(In_polLump&gt;0,In_polLumpAge&gt;0,D65=In_polLumpAge),In_polLump,0)</f>
        <v>0</v>
      </c>
      <c r="M65" s="20" t="n">
        <f aca="false">IF(AND(In_homeUse="Yes, I'd downsize",In_downAge&gt;0,D65=In_downAge,OR(In_home="Own outright",In_home="Own with mortgage"),In_homeValue&gt;0),MAX(0,MAX(0,In_homeValue-In_downValue)*F65*0.9-'Plan cashflow'!HR64),0)</f>
        <v>0</v>
      </c>
      <c r="N65" s="20" t="n">
        <f aca="false">'Plan pay &amp; tax'!Y291</f>
        <v>0</v>
      </c>
      <c r="O65" s="20" t="n">
        <f aca="false">L65+M65+(1-H_Sh)*N65</f>
        <v>0</v>
      </c>
      <c r="P65" s="20" t="n">
        <f aca="false">H_Sh*N65</f>
        <v>0</v>
      </c>
      <c r="Q65" s="20" t="n">
        <f aca="false">'Plan cashflow'!UL65</f>
        <v>0</v>
      </c>
      <c r="R65" s="20" t="n">
        <f aca="false">(1-H_Sh)*Q65</f>
        <v>0</v>
      </c>
      <c r="S65" s="20" t="n">
        <f aca="false">H_Sh*Q65</f>
        <v>0</v>
      </c>
      <c r="T65" s="20" t="n">
        <f aca="false">J65+K65+O65</f>
        <v>0</v>
      </c>
      <c r="U65" s="20" t="n">
        <f aca="false">T65+R65</f>
        <v>0</v>
      </c>
      <c r="V65" s="60" t="n">
        <f aca="false">SUM(FE65:IQ65)</f>
        <v>0</v>
      </c>
      <c r="W65" s="60" t="n">
        <f aca="false">IF(AJ65&lt;=0,0,IF(AL65&lt;=0,AJ65,AJ65-G65*MAX(0,AL65*AJ65-(AY65+AZ65))))</f>
        <v>0</v>
      </c>
      <c r="X65" s="60" t="n">
        <f aca="false">IF(AR65&lt;=0,0,IF(AT65&lt;=0,AR65,AR65-G65*MAX(0,AT65*AR65-(BA65+BB65))))</f>
        <v>0</v>
      </c>
      <c r="Y65" s="60" t="n">
        <f aca="false">T65+V65-S65+W65+X65</f>
        <v>0</v>
      </c>
      <c r="Z65" s="60" t="n">
        <f aca="false">'Plan cashflow'!UK65</f>
        <v>0</v>
      </c>
      <c r="AA65" s="20" t="n">
        <f aca="false">MIN(Z65,U65)</f>
        <v>0</v>
      </c>
      <c r="AB65" s="20" t="n">
        <f aca="false">Z65-AA65</f>
        <v>0</v>
      </c>
      <c r="AC65" s="20" t="n">
        <f aca="false">MIN(AA65,J65+O65+R65)</f>
        <v>0</v>
      </c>
      <c r="AD65" s="20" t="n">
        <f aca="false">AA65-AC65</f>
        <v>0</v>
      </c>
      <c r="AE65" s="20" t="n">
        <f aca="false">J65+O65+R65-AC65</f>
        <v>0</v>
      </c>
      <c r="AF65" s="20" t="n">
        <f aca="false">K65-AD65</f>
        <v>0</v>
      </c>
      <c r="AG65" s="20" t="n">
        <f aca="false">SUM(PR65:TD65)</f>
        <v>0</v>
      </c>
      <c r="AH65" s="20" t="n">
        <f aca="false">SUM(TE65:WQ65)</f>
        <v>0</v>
      </c>
      <c r="AI65" s="20" t="n">
        <f aca="false">MAX(0,AB65-AG65)</f>
        <v>0</v>
      </c>
      <c r="AJ65" s="57" t="n">
        <f aca="false">BI64</f>
        <v>0</v>
      </c>
      <c r="AK65" s="20" t="n">
        <f aca="false">BJ64</f>
        <v>0</v>
      </c>
      <c r="AL65" s="20" t="n">
        <f aca="false">IF(AJ65&gt;0,(AJ65-AK65)/AJ65,0)</f>
        <v>0</v>
      </c>
      <c r="AM65" s="20" t="n">
        <f aca="false">IF(AJ65&lt;=0,0,IF(AL65&lt;=0,MIN(AI65,AJ65),MIN(AI65,AJ65-G65*MAX(0,AL65*AJ65-(AAD65+ADQ65)))))</f>
        <v>0</v>
      </c>
      <c r="AN65" s="20" t="n">
        <f aca="false">IF(AJ65&lt;=0,0,IF(AL65&lt;=0,AM65,IF(AM65&lt;=(AAD65+ADQ65)/AL65,AM65,(AM65-G65*(AAD65+ADQ65))/(1-G65*AL65))))</f>
        <v>0</v>
      </c>
      <c r="AO65" s="20" t="n">
        <f aca="false">IF(AL65&gt;0,MAX(0,AAD65-(MIN(AL65*AN65,(AAD65+ADQ65))-MIN(MIN(AL65*AN65,(AAD65+ADQ65)),ADQ65))),AAD65)</f>
        <v>1270</v>
      </c>
      <c r="AP65" s="20" t="n">
        <f aca="false">IF(AL65&lt;=0,ADQ65-AL65*AN65,ADQ65-MIN(MIN(AL65*AN65,(AAD65+ADQ65)),ADQ65))</f>
        <v>0</v>
      </c>
      <c r="AQ65" s="20" t="n">
        <f aca="false">MAX(0,AI65-AM65)</f>
        <v>0</v>
      </c>
      <c r="AR65" s="57" t="n">
        <f aca="false">BK64</f>
        <v>0</v>
      </c>
      <c r="AS65" s="20" t="n">
        <f aca="false">BL64</f>
        <v>0</v>
      </c>
      <c r="AT65" s="20" t="n">
        <f aca="false">IF(AR65&gt;0,(AR65-AS65)/AR65,0)</f>
        <v>0</v>
      </c>
      <c r="AU65" s="20" t="n">
        <f aca="false">IF(AR65&lt;=0,0,IF(AT65&lt;=0,MIN(AQ65,AR65),MIN(AQ65,AR65-G65*MAX(0,AT65*AR65-(AO65+AP65)))))</f>
        <v>0</v>
      </c>
      <c r="AV65" s="20" t="n">
        <f aca="false">IF(AR65&lt;=0,0,IF(AT65&lt;=0,AU65,IF(AU65&lt;=(AO65+AP65)/AT65,AU65,(AU65-G65*(AO65+AP65))/(1-G65*AT65))))</f>
        <v>0</v>
      </c>
      <c r="AW65" s="20" t="n">
        <f aca="false">IF(AT65&gt;0,MAX(0,AO65-(MIN(AT65*AV65,(AO65+AP65))-MIN(MIN(AT65*AV65,(AO65+AP65)),AP65))),AO65)</f>
        <v>1270</v>
      </c>
      <c r="AX65" s="20" t="n">
        <f aca="false">IF(AT65&lt;=0,AP65-AT65*AV65,AP65-MIN(MIN(AT65*AV65,(AO65+AP65)),AP65))</f>
        <v>0</v>
      </c>
      <c r="AY65" s="20" t="n">
        <f aca="false">MD65</f>
        <v>1270</v>
      </c>
      <c r="AZ65" s="20" t="n">
        <f aca="false">PQ65</f>
        <v>0</v>
      </c>
      <c r="BA65" s="20" t="n">
        <f aca="false">IF(AL65&gt;0,MAX(0,AY65-(MIN(AL65*AJ65,AY65+AZ65)-MIN(MIN(AL65*AJ65,AY65+AZ65),AZ65))),AY65)</f>
        <v>1270</v>
      </c>
      <c r="BB65" s="20" t="n">
        <f aca="false">IF(AL65&lt;=0,AZ65-AL65*AJ65,AZ65-MIN(MIN(AL65*AJ65,AY65+AZ65),AZ65))</f>
        <v>0</v>
      </c>
      <c r="BC65" s="20" t="n">
        <f aca="false">'Plan cashflow'!UM65</f>
        <v>0</v>
      </c>
      <c r="BD65" s="20" t="n">
        <f aca="false">(1-H_Sh)*BC65</f>
        <v>0</v>
      </c>
      <c r="BE65" s="20" t="n">
        <f aca="false">H_Sh*BC65</f>
        <v>0</v>
      </c>
      <c r="BF65" s="60" t="n">
        <f aca="false">(AE65+BD65)*(1+AS_Cash)</f>
        <v>0</v>
      </c>
      <c r="BG65" s="60" t="n">
        <f aca="false">AF65*(1+AS_Cash)</f>
        <v>0</v>
      </c>
      <c r="BH65" s="60" t="n">
        <f aca="false">SUM(AKR65:AOD65)</f>
        <v>0</v>
      </c>
      <c r="BI65" s="60" t="n">
        <f aca="false">(AJ65-AN65)*(1+AS_Infl)</f>
        <v>0</v>
      </c>
      <c r="BJ65" s="20" t="n">
        <f aca="false">IF(AJ65&gt;0,AK65-AK65*AN65/AJ65,0)</f>
        <v>0</v>
      </c>
      <c r="BK65" s="60" t="n">
        <f aca="false">(AR65-AV65)*(1+BQ65)</f>
        <v>0</v>
      </c>
      <c r="BL65" s="20" t="n">
        <f aca="false">IF(AR65&gt;0,AS65-AS65*AV65/AR65,0)</f>
        <v>0</v>
      </c>
      <c r="BM65" s="60" t="n">
        <f aca="false">BF65+BG65+BH65+BI65+BK65</f>
        <v>0</v>
      </c>
      <c r="BN65" s="60" t="n">
        <f aca="false">(AH65-AG65)+(AN65-AM65)+(AV65-AU65)</f>
        <v>0</v>
      </c>
      <c r="BO65" s="20" t="n">
        <f aca="false">(AE65+BD65+AF65+MAX(0,'Plan cashflow'!QH65)+IF(Slot1_Rate=AS_Cash,'Plan cashflow'!QM65/(1+AS_Cash),0)+IF(Slot2_Rate=AS_Cash,'Plan cashflow'!QQ65/(1+AS_Cash),0)+IF(Slot3_Rate=AS_Cash,'Plan cashflow'!QU65/(1+AS_Cash),0)+IF(Slot4_Rate=AS_Cash,'Plan cashflow'!QY65/(1+AS_Cash),0)+IF(Slot5_Rate=AS_Cash,'Plan cashflow'!RC65/(1+AS_Cash),0)+IF(Slot6_Rate=AS_Cash,'Plan cashflow'!RG65/(1+AS_Cash),0)+IF(Slot7_Rate=AS_Cash,'Plan cashflow'!RK65/(1+AS_Cash),0)+IF(Slot8_Rate=AS_Cash,'Plan cashflow'!RO65/(1+AS_Cash),0)+IF(Slot9_Rate=AS_Cash,'Plan cashflow'!RS65/(1+AS_Cash),0)+IF(Slot10_Rate=AS_Cash,'Plan cashflow'!RW65/(1+AS_Cash),0)+IF(Slot11_Rate=AS_Cash,'Plan cashflow'!SA65/(1+AS_Cash),0)+IF(Slot12_Rate=AS_Cash,'Plan cashflow'!SE65/(1+AS_Cash),0)+IF(Slot13_Rate=AS_Cash,'Plan cashflow'!SI65/(1+AS_Cash),0)+IF(Slot14_Rate=AS_Cash,'Plan cashflow'!SM65/(1+AS_Cash),0)+IF(Slot15_Rate=AS_Cash,'Plan cashflow'!SQ65/(1+AS_Cash),0)+IF(Slot16_Rate=AS_Cash,'Plan cashflow'!SU65/(1+AS_Cash),0)+IF(Slot17_Rate=AS_Cash,'Plan cashflow'!SY65/(1+AS_Cash),0)+IF(Slot18_Rate=AS_Cash,'Plan cashflow'!TC65/(1+AS_Cash),0)+IF(Slot19_Rate=AS_Cash,'Plan cashflow'!TG65/(1+AS_Cash),0)+IF(Slot20_Rate=AS_Cash,'Plan cashflow'!TK65/(1+AS_Cash),0))*AS_Cash*H_DIRT/(1-H_DIRT)</f>
        <v>0</v>
      </c>
      <c r="BP65" s="60" t="n">
        <f aca="false">SUM(AVE65:AYQ65)</f>
        <v>0</v>
      </c>
      <c r="BQ65" s="54" t="n">
        <f aca="false">IF(H_TaxEvt=1,H_InvG,AS_Inv)</f>
        <v>0.04</v>
      </c>
      <c r="BR65" s="20" t="n">
        <f aca="false">IF(AKR64&gt;0,(AKR64-AOE64)/AKR64,0)</f>
        <v>0</v>
      </c>
      <c r="BS65" s="20" t="n">
        <f aca="false">IF(AKS64&gt;0,(AKS64-AOF64)/AKS64,0)</f>
        <v>0</v>
      </c>
      <c r="BT65" s="20" t="n">
        <f aca="false">IF(AKT64&gt;0,(AKT64-AOG64)/AKT64,0)</f>
        <v>0</v>
      </c>
      <c r="BU65" s="20" t="n">
        <f aca="false">IF(AKU64&gt;0,(AKU64-AOH64)/AKU64,0)</f>
        <v>0</v>
      </c>
      <c r="BV65" s="20" t="n">
        <f aca="false">IF(AKV64&gt;0,(AKV64-AOI64)/AKV64,0)</f>
        <v>0</v>
      </c>
      <c r="BW65" s="20" t="n">
        <f aca="false">IF(AKW64&gt;0,(AKW64-AOJ64)/AKW64,0)</f>
        <v>0</v>
      </c>
      <c r="BX65" s="20" t="n">
        <f aca="false">IF(AKX64&gt;0,(AKX64-AOK64)/AKX64,0)</f>
        <v>0</v>
      </c>
      <c r="BY65" s="20" t="n">
        <f aca="false">IF(AKY64&gt;0,(AKY64-AOL64)/AKY64,0)</f>
        <v>0</v>
      </c>
      <c r="BZ65" s="20" t="n">
        <f aca="false">IF(AKZ64&gt;0,(AKZ64-AOM64)/AKZ64,0)</f>
        <v>0</v>
      </c>
      <c r="CA65" s="20" t="n">
        <f aca="false">IF(ALA64&gt;0,(ALA64-AON64)/ALA64,0)</f>
        <v>0</v>
      </c>
      <c r="CB65" s="20" t="n">
        <f aca="false">IF(ALB64&gt;0,(ALB64-AOO64)/ALB64,0)</f>
        <v>0</v>
      </c>
      <c r="CC65" s="20" t="n">
        <f aca="false">IF(ALC64&gt;0,(ALC64-AOP64)/ALC64,0)</f>
        <v>0</v>
      </c>
      <c r="CD65" s="20" t="n">
        <f aca="false">IF(ALD64&gt;0,(ALD64-AOQ64)/ALD64,0)</f>
        <v>0</v>
      </c>
      <c r="CE65" s="20" t="n">
        <f aca="false">IF(ALE64&gt;0,(ALE64-AOR64)/ALE64,0)</f>
        <v>0</v>
      </c>
      <c r="CF65" s="20" t="n">
        <f aca="false">IF(ALF64&gt;0,(ALF64-AOS64)/ALF64,0)</f>
        <v>0</v>
      </c>
      <c r="CG65" s="20" t="n">
        <f aca="false">IF(ALG64&gt;0,(ALG64-AOT64)/ALG64,0)</f>
        <v>0</v>
      </c>
      <c r="CH65" s="20" t="n">
        <f aca="false">IF(ALH64&gt;0,(ALH64-AOU64)/ALH64,0)</f>
        <v>0</v>
      </c>
      <c r="CI65" s="20" t="n">
        <f aca="false">IF(ALI64&gt;0,(ALI64-AOV64)/ALI64,0)</f>
        <v>0</v>
      </c>
      <c r="CJ65" s="20" t="n">
        <f aca="false">IF(ALJ64&gt;0,(ALJ64-AOW64)/ALJ64,0)</f>
        <v>0</v>
      </c>
      <c r="CK65" s="20" t="n">
        <f aca="false">IF(ALK64&gt;0,(ALK64-AOX64)/ALK64,0)</f>
        <v>0</v>
      </c>
      <c r="CL65" s="20" t="n">
        <f aca="false">IF(ALL64&gt;0,(ALL64-AOY64)/ALL64,0)</f>
        <v>0</v>
      </c>
      <c r="CM65" s="20" t="n">
        <f aca="false">IF(ALM64&gt;0,(ALM64-AOZ64)/ALM64,0)</f>
        <v>0</v>
      </c>
      <c r="CN65" s="20" t="n">
        <f aca="false">IF(ALN64&gt;0,(ALN64-APA64)/ALN64,0)</f>
        <v>0</v>
      </c>
      <c r="CO65" s="20" t="n">
        <f aca="false">IF(ALO64&gt;0,(ALO64-APB64)/ALO64,0)</f>
        <v>0</v>
      </c>
      <c r="CP65" s="20" t="n">
        <f aca="false">IF(ALP64&gt;0,(ALP64-APC64)/ALP64,0)</f>
        <v>0</v>
      </c>
      <c r="CQ65" s="20" t="n">
        <f aca="false">IF(ALQ64&gt;0,(ALQ64-APD64)/ALQ64,0)</f>
        <v>0</v>
      </c>
      <c r="CR65" s="20" t="n">
        <f aca="false">IF(ALR64&gt;0,(ALR64-APE64)/ALR64,0)</f>
        <v>0</v>
      </c>
      <c r="CS65" s="20" t="n">
        <f aca="false">IF(ALS64&gt;0,(ALS64-APF64)/ALS64,0)</f>
        <v>0</v>
      </c>
      <c r="CT65" s="20" t="n">
        <f aca="false">IF(ALT64&gt;0,(ALT64-APG64)/ALT64,0)</f>
        <v>0</v>
      </c>
      <c r="CU65" s="20" t="n">
        <f aca="false">IF(ALU64&gt;0,(ALU64-APH64)/ALU64,0)</f>
        <v>0</v>
      </c>
      <c r="CV65" s="20" t="n">
        <f aca="false">IF(ALV64&gt;0,(ALV64-API64)/ALV64,0)</f>
        <v>0</v>
      </c>
      <c r="CW65" s="20" t="n">
        <f aca="false">IF(ALW64&gt;0,(ALW64-APJ64)/ALW64,0)</f>
        <v>0</v>
      </c>
      <c r="CX65" s="20" t="n">
        <f aca="false">IF(ALX64&gt;0,(ALX64-APK64)/ALX64,0)</f>
        <v>0</v>
      </c>
      <c r="CY65" s="20" t="n">
        <f aca="false">IF(ALY64&gt;0,(ALY64-APL64)/ALY64,0)</f>
        <v>0</v>
      </c>
      <c r="CZ65" s="20" t="n">
        <f aca="false">IF(ALZ64&gt;0,(ALZ64-APM64)/ALZ64,0)</f>
        <v>0</v>
      </c>
      <c r="DA65" s="20" t="n">
        <f aca="false">IF(AMA64&gt;0,(AMA64-APN64)/AMA64,0)</f>
        <v>0</v>
      </c>
      <c r="DB65" s="20" t="n">
        <f aca="false">IF(AMB64&gt;0,(AMB64-APO64)/AMB64,0)</f>
        <v>0</v>
      </c>
      <c r="DC65" s="20" t="n">
        <f aca="false">IF(AMC64&gt;0,(AMC64-APP64)/AMC64,0)</f>
        <v>0</v>
      </c>
      <c r="DD65" s="20" t="n">
        <f aca="false">IF(AMD64&gt;0,(AMD64-APQ64)/AMD64,0)</f>
        <v>0</v>
      </c>
      <c r="DE65" s="20" t="n">
        <f aca="false">IF(AME64&gt;0,(AME64-APR64)/AME64,0)</f>
        <v>0</v>
      </c>
      <c r="DF65" s="20" t="n">
        <f aca="false">IF(AMF64&gt;0,(AMF64-APS64)/AMF64,0)</f>
        <v>0</v>
      </c>
      <c r="DG65" s="20" t="n">
        <f aca="false">IF(AMG64&gt;0,(AMG64-APT64)/AMG64,0)</f>
        <v>0</v>
      </c>
      <c r="DH65" s="20" t="n">
        <f aca="false">IF(AMH64&gt;0,(AMH64-APU64)/AMH64,0)</f>
        <v>0</v>
      </c>
      <c r="DI65" s="20" t="n">
        <f aca="false">IF(AMI64&gt;0,(AMI64-APV64)/AMI64,0)</f>
        <v>0</v>
      </c>
      <c r="DJ65" s="20" t="n">
        <f aca="false">IF(AMJ64&gt;0,(AMJ64-APW64)/AMJ64,0)</f>
        <v>0</v>
      </c>
      <c r="DK65" s="20" t="n">
        <f aca="false">IF(AMK64&gt;0,(AMK64-APX64)/AMK64,0)</f>
        <v>0</v>
      </c>
      <c r="DL65" s="20" t="n">
        <f aca="false">IF(AML64&gt;0,(AML64-APY64)/AML64,0)</f>
        <v>0</v>
      </c>
      <c r="DM65" s="20" t="n">
        <f aca="false">IF(AMM64&gt;0,(AMM64-APZ64)/AMM64,0)</f>
        <v>0</v>
      </c>
      <c r="DN65" s="20" t="n">
        <f aca="false">IF(AMN64&gt;0,(AMN64-AQA64)/AMN64,0)</f>
        <v>0</v>
      </c>
      <c r="DO65" s="20" t="n">
        <f aca="false">IF(AMO64&gt;0,(AMO64-AQB64)/AMO64,0)</f>
        <v>0</v>
      </c>
      <c r="DP65" s="20" t="n">
        <f aca="false">IF(AMP64&gt;0,(AMP64-AQC64)/AMP64,0)</f>
        <v>0</v>
      </c>
      <c r="DQ65" s="20" t="n">
        <f aca="false">IF(AMQ64&gt;0,(AMQ64-AQD64)/AMQ64,0)</f>
        <v>0</v>
      </c>
      <c r="DR65" s="20" t="n">
        <f aca="false">IF(AMR64&gt;0,(AMR64-AQE64)/AMR64,0)</f>
        <v>0</v>
      </c>
      <c r="DS65" s="20" t="n">
        <f aca="false">IF(AMS64&gt;0,(AMS64-AQF64)/AMS64,0)</f>
        <v>0</v>
      </c>
      <c r="DT65" s="20" t="n">
        <f aca="false">IF(AMT64&gt;0,(AMT64-AQG64)/AMT64,0)</f>
        <v>0</v>
      </c>
      <c r="DU65" s="20" t="n">
        <f aca="false">IF(AMU64&gt;0,(AMU64-AQH64)/AMU64,0)</f>
        <v>0</v>
      </c>
      <c r="DV65" s="20" t="n">
        <f aca="false">IF(AMV64&gt;0,(AMV64-AQI64)/AMV64,0)</f>
        <v>0</v>
      </c>
      <c r="DW65" s="20" t="n">
        <f aca="false">IF(AMW64&gt;0,(AMW64-AQJ64)/AMW64,0)</f>
        <v>0</v>
      </c>
      <c r="DX65" s="20" t="n">
        <f aca="false">IF((P65+S65)&gt;0,((P65+S65)-(P65+S65))/(P65+S65),0)</f>
        <v>0</v>
      </c>
      <c r="DY65" s="20" t="n">
        <v>0</v>
      </c>
      <c r="DZ65" s="20" t="n">
        <v>0</v>
      </c>
      <c r="EA65" s="20" t="n">
        <v>0</v>
      </c>
      <c r="EB65" s="20" t="n">
        <v>0</v>
      </c>
      <c r="EC65" s="20" t="n">
        <v>0</v>
      </c>
      <c r="ED65" s="20" t="n">
        <v>0</v>
      </c>
      <c r="EE65" s="20" t="n">
        <v>0</v>
      </c>
      <c r="EF65" s="20" t="n">
        <v>0</v>
      </c>
      <c r="EG65" s="20" t="n">
        <v>0</v>
      </c>
      <c r="EH65" s="20" t="n">
        <v>0</v>
      </c>
      <c r="EI65" s="20" t="n">
        <v>0</v>
      </c>
      <c r="EJ65" s="20" t="n">
        <v>0</v>
      </c>
      <c r="EK65" s="20" t="n">
        <v>0</v>
      </c>
      <c r="EL65" s="20" t="n">
        <v>0</v>
      </c>
      <c r="EM65" s="20" t="n">
        <v>0</v>
      </c>
      <c r="EN65" s="20" t="n">
        <v>0</v>
      </c>
      <c r="EO65" s="20" t="n">
        <v>0</v>
      </c>
      <c r="EP65" s="20" t="n">
        <v>0</v>
      </c>
      <c r="EQ65" s="20" t="n">
        <v>0</v>
      </c>
      <c r="ER65" s="20" t="n">
        <v>0</v>
      </c>
      <c r="ES65" s="20" t="n">
        <v>0</v>
      </c>
      <c r="ET65" s="20" t="n">
        <v>0</v>
      </c>
      <c r="EU65" s="20" t="n">
        <v>0</v>
      </c>
      <c r="EV65" s="20" t="n">
        <v>0</v>
      </c>
      <c r="EW65" s="20" t="n">
        <v>0</v>
      </c>
      <c r="EX65" s="20" t="n">
        <v>0</v>
      </c>
      <c r="EY65" s="20" t="n">
        <v>0</v>
      </c>
      <c r="EZ65" s="20" t="n">
        <v>0</v>
      </c>
      <c r="FA65" s="20" t="n">
        <v>0</v>
      </c>
      <c r="FB65" s="20" t="n">
        <v>0</v>
      </c>
      <c r="FC65" s="20" t="n">
        <v>0</v>
      </c>
      <c r="FD65" s="20" t="n">
        <v>0</v>
      </c>
      <c r="FE65" s="20" t="n">
        <f aca="false">IF(H_Direct=1,IF(AKR64&lt;=0,0,IF(BR65&lt;=0,AKR64,AKR64-G65*MAX(0,BR65*AKR64-(H65+I65)))),AKR64*(1-MAX(0,BR65)*H_Exit))</f>
        <v>0</v>
      </c>
      <c r="FF65" s="20" t="n">
        <f aca="false">IF(H_Direct=1,IF(AKS64&lt;=0,0,IF(BS65&lt;=0,AKS64,AKS64-G65*MAX(0,BS65*AKS64-(IR65+ME65)))),AKS64*(1-MAX(0,BS65)*H_Exit))</f>
        <v>0</v>
      </c>
      <c r="FG65" s="20" t="n">
        <f aca="false">IF(H_Direct=1,IF(AKT64&lt;=0,0,IF(BT65&lt;=0,AKT64,AKT64-G65*MAX(0,BT65*AKT64-(IS65+MF65)))),AKT64*(1-MAX(0,BT65)*H_Exit))</f>
        <v>0</v>
      </c>
      <c r="FH65" s="20" t="n">
        <f aca="false">IF(H_Direct=1,IF(AKU64&lt;=0,0,IF(BU65&lt;=0,AKU64,AKU64-G65*MAX(0,BU65*AKU64-(IT65+MG65)))),AKU64*(1-MAX(0,BU65)*H_Exit))</f>
        <v>0</v>
      </c>
      <c r="FI65" s="20" t="n">
        <f aca="false">IF(H_Direct=1,IF(AKV64&lt;=0,0,IF(BV65&lt;=0,AKV64,AKV64-G65*MAX(0,BV65*AKV64-(IU65+MH65)))),AKV64*(1-MAX(0,BV65)*H_Exit))</f>
        <v>0</v>
      </c>
      <c r="FJ65" s="20" t="n">
        <f aca="false">IF(H_Direct=1,IF(AKW64&lt;=0,0,IF(BW65&lt;=0,AKW64,AKW64-G65*MAX(0,BW65*AKW64-(IV65+MI65)))),AKW64*(1-MAX(0,BW65)*H_Exit))</f>
        <v>0</v>
      </c>
      <c r="FK65" s="20" t="n">
        <f aca="false">IF(H_Direct=1,IF(AKX64&lt;=0,0,IF(BX65&lt;=0,AKX64,AKX64-G65*MAX(0,BX65*AKX64-(IW65+MJ65)))),AKX64*(1-MAX(0,BX65)*H_Exit))</f>
        <v>0</v>
      </c>
      <c r="FL65" s="20" t="n">
        <f aca="false">IF(H_Direct=1,IF(AKY64&lt;=0,0,IF(BY65&lt;=0,AKY64,AKY64-G65*MAX(0,BY65*AKY64-(IX65+MK65)))),AKY64*(1-MAX(0,BY65)*H_Exit))</f>
        <v>0</v>
      </c>
      <c r="FM65" s="20" t="n">
        <f aca="false">IF(H_Direct=1,IF(AKZ64&lt;=0,0,IF(BZ65&lt;=0,AKZ64,AKZ64-G65*MAX(0,BZ65*AKZ64-(IY65+ML65)))),AKZ64*(1-MAX(0,BZ65)*H_Exit))</f>
        <v>0</v>
      </c>
      <c r="FN65" s="20" t="n">
        <f aca="false">IF(H_Direct=1,IF(ALA64&lt;=0,0,IF(CA65&lt;=0,ALA64,ALA64-G65*MAX(0,CA65*ALA64-(IZ65+MM65)))),ALA64*(1-MAX(0,CA65)*H_Exit))</f>
        <v>0</v>
      </c>
      <c r="FO65" s="20" t="n">
        <f aca="false">IF(H_Direct=1,IF(ALB64&lt;=0,0,IF(CB65&lt;=0,ALB64,ALB64-G65*MAX(0,CB65*ALB64-(JA65+MN65)))),ALB64*(1-MAX(0,CB65)*H_Exit))</f>
        <v>0</v>
      </c>
      <c r="FP65" s="20" t="n">
        <f aca="false">IF(H_Direct=1,IF(ALC64&lt;=0,0,IF(CC65&lt;=0,ALC64,ALC64-G65*MAX(0,CC65*ALC64-(JB65+MO65)))),ALC64*(1-MAX(0,CC65)*H_Exit))</f>
        <v>0</v>
      </c>
      <c r="FQ65" s="20" t="n">
        <f aca="false">IF(H_Direct=1,IF(ALD64&lt;=0,0,IF(CD65&lt;=0,ALD64,ALD64-G65*MAX(0,CD65*ALD64-(JC65+MP65)))),ALD64*(1-MAX(0,CD65)*H_Exit))</f>
        <v>0</v>
      </c>
      <c r="FR65" s="20" t="n">
        <f aca="false">IF(H_Direct=1,IF(ALE64&lt;=0,0,IF(CE65&lt;=0,ALE64,ALE64-G65*MAX(0,CE65*ALE64-(JD65+MQ65)))),ALE64*(1-MAX(0,CE65)*H_Exit))</f>
        <v>0</v>
      </c>
      <c r="FS65" s="20" t="n">
        <f aca="false">IF(H_Direct=1,IF(ALF64&lt;=0,0,IF(CF65&lt;=0,ALF64,ALF64-G65*MAX(0,CF65*ALF64-(JE65+MR65)))),ALF64*(1-MAX(0,CF65)*H_Exit))</f>
        <v>0</v>
      </c>
      <c r="FT65" s="20" t="n">
        <f aca="false">IF(H_Direct=1,IF(ALG64&lt;=0,0,IF(CG65&lt;=0,ALG64,ALG64-G65*MAX(0,CG65*ALG64-(JF65+MS65)))),ALG64*(1-MAX(0,CG65)*H_Exit))</f>
        <v>0</v>
      </c>
      <c r="FU65" s="20" t="n">
        <f aca="false">IF(H_Direct=1,IF(ALH64&lt;=0,0,IF(CH65&lt;=0,ALH64,ALH64-G65*MAX(0,CH65*ALH64-(JG65+MT65)))),ALH64*(1-MAX(0,CH65)*H_Exit))</f>
        <v>0</v>
      </c>
      <c r="FV65" s="20" t="n">
        <f aca="false">IF(H_Direct=1,IF(ALI64&lt;=0,0,IF(CI65&lt;=0,ALI64,ALI64-G65*MAX(0,CI65*ALI64-(JH65+MU65)))),ALI64*(1-MAX(0,CI65)*H_Exit))</f>
        <v>0</v>
      </c>
      <c r="FW65" s="20" t="n">
        <f aca="false">IF(H_Direct=1,IF(ALJ64&lt;=0,0,IF(CJ65&lt;=0,ALJ64,ALJ64-G65*MAX(0,CJ65*ALJ64-(JI65+MV65)))),ALJ64*(1-MAX(0,CJ65)*H_Exit))</f>
        <v>0</v>
      </c>
      <c r="FX65" s="20" t="n">
        <f aca="false">IF(H_Direct=1,IF(ALK64&lt;=0,0,IF(CK65&lt;=0,ALK64,ALK64-G65*MAX(0,CK65*ALK64-(JJ65+MW65)))),ALK64*(1-MAX(0,CK65)*H_Exit))</f>
        <v>0</v>
      </c>
      <c r="FY65" s="20" t="n">
        <f aca="false">IF(H_Direct=1,IF(ALL64&lt;=0,0,IF(CL65&lt;=0,ALL64,ALL64-G65*MAX(0,CL65*ALL64-(JK65+MX65)))),ALL64*(1-MAX(0,CL65)*H_Exit))</f>
        <v>0</v>
      </c>
      <c r="FZ65" s="20" t="n">
        <f aca="false">IF(H_Direct=1,IF(ALM64&lt;=0,0,IF(CM65&lt;=0,ALM64,ALM64-G65*MAX(0,CM65*ALM64-(JL65+MY65)))),ALM64*(1-MAX(0,CM65)*H_Exit))</f>
        <v>0</v>
      </c>
      <c r="GA65" s="20" t="n">
        <f aca="false">IF(H_Direct=1,IF(ALN64&lt;=0,0,IF(CN65&lt;=0,ALN64,ALN64-G65*MAX(0,CN65*ALN64-(JM65+MZ65)))),ALN64*(1-MAX(0,CN65)*H_Exit))</f>
        <v>0</v>
      </c>
      <c r="GB65" s="20" t="n">
        <f aca="false">IF(H_Direct=1,IF(ALO64&lt;=0,0,IF(CO65&lt;=0,ALO64,ALO64-G65*MAX(0,CO65*ALO64-(JN65+NA65)))),ALO64*(1-MAX(0,CO65)*H_Exit))</f>
        <v>0</v>
      </c>
      <c r="GC65" s="20" t="n">
        <f aca="false">IF(H_Direct=1,IF(ALP64&lt;=0,0,IF(CP65&lt;=0,ALP64,ALP64-G65*MAX(0,CP65*ALP64-(JO65+NB65)))),ALP64*(1-MAX(0,CP65)*H_Exit))</f>
        <v>0</v>
      </c>
      <c r="GD65" s="20" t="n">
        <f aca="false">IF(H_Direct=1,IF(ALQ64&lt;=0,0,IF(CQ65&lt;=0,ALQ64,ALQ64-G65*MAX(0,CQ65*ALQ64-(JP65+NC65)))),ALQ64*(1-MAX(0,CQ65)*H_Exit))</f>
        <v>0</v>
      </c>
      <c r="GE65" s="20" t="n">
        <f aca="false">IF(H_Direct=1,IF(ALR64&lt;=0,0,IF(CR65&lt;=0,ALR64,ALR64-G65*MAX(0,CR65*ALR64-(JQ65+ND65)))),ALR64*(1-MAX(0,CR65)*H_Exit))</f>
        <v>0</v>
      </c>
      <c r="GF65" s="20" t="n">
        <f aca="false">IF(H_Direct=1,IF(ALS64&lt;=0,0,IF(CS65&lt;=0,ALS64,ALS64-G65*MAX(0,CS65*ALS64-(JR65+NE65)))),ALS64*(1-MAX(0,CS65)*H_Exit))</f>
        <v>0</v>
      </c>
      <c r="GG65" s="20" t="n">
        <f aca="false">IF(H_Direct=1,IF(ALT64&lt;=0,0,IF(CT65&lt;=0,ALT64,ALT64-G65*MAX(0,CT65*ALT64-(JS65+NF65)))),ALT64*(1-MAX(0,CT65)*H_Exit))</f>
        <v>0</v>
      </c>
      <c r="GH65" s="20" t="n">
        <f aca="false">IF(H_Direct=1,IF(ALU64&lt;=0,0,IF(CU65&lt;=0,ALU64,ALU64-G65*MAX(0,CU65*ALU64-(JT65+NG65)))),ALU64*(1-MAX(0,CU65)*H_Exit))</f>
        <v>0</v>
      </c>
      <c r="GI65" s="20" t="n">
        <f aca="false">IF(H_Direct=1,IF(ALV64&lt;=0,0,IF(CV65&lt;=0,ALV64,ALV64-G65*MAX(0,CV65*ALV64-(JU65+NH65)))),ALV64*(1-MAX(0,CV65)*H_Exit))</f>
        <v>0</v>
      </c>
      <c r="GJ65" s="20" t="n">
        <f aca="false">IF(H_Direct=1,IF(ALW64&lt;=0,0,IF(CW65&lt;=0,ALW64,ALW64-G65*MAX(0,CW65*ALW64-(JV65+NI65)))),ALW64*(1-MAX(0,CW65)*H_Exit))</f>
        <v>0</v>
      </c>
      <c r="GK65" s="20" t="n">
        <f aca="false">IF(H_Direct=1,IF(ALX64&lt;=0,0,IF(CX65&lt;=0,ALX64,ALX64-G65*MAX(0,CX65*ALX64-(JW65+NJ65)))),ALX64*(1-MAX(0,CX65)*H_Exit))</f>
        <v>0</v>
      </c>
      <c r="GL65" s="20" t="n">
        <f aca="false">IF(H_Direct=1,IF(ALY64&lt;=0,0,IF(CY65&lt;=0,ALY64,ALY64-G65*MAX(0,CY65*ALY64-(JX65+NK65)))),ALY64*(1-MAX(0,CY65)*H_Exit))</f>
        <v>0</v>
      </c>
      <c r="GM65" s="20" t="n">
        <f aca="false">IF(H_Direct=1,IF(ALZ64&lt;=0,0,IF(CZ65&lt;=0,ALZ64,ALZ64-G65*MAX(0,CZ65*ALZ64-(JY65+NL65)))),ALZ64*(1-MAX(0,CZ65)*H_Exit))</f>
        <v>0</v>
      </c>
      <c r="GN65" s="20" t="n">
        <f aca="false">IF(H_Direct=1,IF(AMA64&lt;=0,0,IF(DA65&lt;=0,AMA64,AMA64-G65*MAX(0,DA65*AMA64-(JZ65+NM65)))),AMA64*(1-MAX(0,DA65)*H_Exit))</f>
        <v>0</v>
      </c>
      <c r="GO65" s="20" t="n">
        <f aca="false">IF(H_Direct=1,IF(AMB64&lt;=0,0,IF(DB65&lt;=0,AMB64,AMB64-G65*MAX(0,DB65*AMB64-(KA65+NN65)))),AMB64*(1-MAX(0,DB65)*H_Exit))</f>
        <v>0</v>
      </c>
      <c r="GP65" s="20" t="n">
        <f aca="false">IF(H_Direct=1,IF(AMC64&lt;=0,0,IF(DC65&lt;=0,AMC64,AMC64-G65*MAX(0,DC65*AMC64-(KB65+NO65)))),AMC64*(1-MAX(0,DC65)*H_Exit))</f>
        <v>0</v>
      </c>
      <c r="GQ65" s="20" t="n">
        <f aca="false">IF(H_Direct=1,IF(AMD64&lt;=0,0,IF(DD65&lt;=0,AMD64,AMD64-G65*MAX(0,DD65*AMD64-(KC65+NP65)))),AMD64*(1-MAX(0,DD65)*H_Exit))</f>
        <v>0</v>
      </c>
      <c r="GR65" s="20" t="n">
        <f aca="false">IF(H_Direct=1,IF(AME64&lt;=0,0,IF(DE65&lt;=0,AME64,AME64-G65*MAX(0,DE65*AME64-(KD65+NQ65)))),AME64*(1-MAX(0,DE65)*H_Exit))</f>
        <v>0</v>
      </c>
      <c r="GS65" s="20" t="n">
        <f aca="false">IF(H_Direct=1,IF(AMF64&lt;=0,0,IF(DF65&lt;=0,AMF64,AMF64-G65*MAX(0,DF65*AMF64-(KE65+NR65)))),AMF64*(1-MAX(0,DF65)*H_Exit))</f>
        <v>0</v>
      </c>
      <c r="GT65" s="20" t="n">
        <f aca="false">IF(H_Direct=1,IF(AMG64&lt;=0,0,IF(DG65&lt;=0,AMG64,AMG64-G65*MAX(0,DG65*AMG64-(KF65+NS65)))),AMG64*(1-MAX(0,DG65)*H_Exit))</f>
        <v>0</v>
      </c>
      <c r="GU65" s="20" t="n">
        <f aca="false">IF(H_Direct=1,IF(AMH64&lt;=0,0,IF(DH65&lt;=0,AMH64,AMH64-G65*MAX(0,DH65*AMH64-(KG65+NT65)))),AMH64*(1-MAX(0,DH65)*H_Exit))</f>
        <v>0</v>
      </c>
      <c r="GV65" s="20" t="n">
        <f aca="false">IF(H_Direct=1,IF(AMI64&lt;=0,0,IF(DI65&lt;=0,AMI64,AMI64-G65*MAX(0,DI65*AMI64-(KH65+NU65)))),AMI64*(1-MAX(0,DI65)*H_Exit))</f>
        <v>0</v>
      </c>
      <c r="GW65" s="20" t="n">
        <f aca="false">IF(H_Direct=1,IF(AMJ64&lt;=0,0,IF(DJ65&lt;=0,AMJ64,AMJ64-G65*MAX(0,DJ65*AMJ64-(KI65+NV65)))),AMJ64*(1-MAX(0,DJ65)*H_Exit))</f>
        <v>0</v>
      </c>
      <c r="GX65" s="20" t="n">
        <f aca="false">IF(H_Direct=1,IF(AMK64&lt;=0,0,IF(DK65&lt;=0,AMK64,AMK64-G65*MAX(0,DK65*AMK64-(KJ65+NW65)))),AMK64*(1-MAX(0,DK65)*H_Exit))</f>
        <v>0</v>
      </c>
      <c r="GY65" s="20" t="n">
        <f aca="false">IF(H_Direct=1,IF(AML64&lt;=0,0,IF(DL65&lt;=0,AML64,AML64-G65*MAX(0,DL65*AML64-(KK65+NX65)))),AML64*(1-MAX(0,DL65)*H_Exit))</f>
        <v>0</v>
      </c>
      <c r="GZ65" s="20" t="n">
        <f aca="false">IF(H_Direct=1,IF(AMM64&lt;=0,0,IF(DM65&lt;=0,AMM64,AMM64-G65*MAX(0,DM65*AMM64-(KL65+NY65)))),AMM64*(1-MAX(0,DM65)*H_Exit))</f>
        <v>0</v>
      </c>
      <c r="HA65" s="20" t="n">
        <f aca="false">IF(H_Direct=1,IF(AMN64&lt;=0,0,IF(DN65&lt;=0,AMN64,AMN64-G65*MAX(0,DN65*AMN64-(KM65+NZ65)))),AMN64*(1-MAX(0,DN65)*H_Exit))</f>
        <v>0</v>
      </c>
      <c r="HB65" s="20" t="n">
        <f aca="false">IF(H_Direct=1,IF(AMO64&lt;=0,0,IF(DO65&lt;=0,AMO64,AMO64-G65*MAX(0,DO65*AMO64-(KN65+OA65)))),AMO64*(1-MAX(0,DO65)*H_Exit))</f>
        <v>0</v>
      </c>
      <c r="HC65" s="20" t="n">
        <f aca="false">IF(H_Direct=1,IF(AMP64&lt;=0,0,IF(DP65&lt;=0,AMP64,AMP64-G65*MAX(0,DP65*AMP64-(KO65+OB65)))),AMP64*(1-MAX(0,DP65)*H_Exit))</f>
        <v>0</v>
      </c>
      <c r="HD65" s="20" t="n">
        <f aca="false">IF(H_Direct=1,IF(AMQ64&lt;=0,0,IF(DQ65&lt;=0,AMQ64,AMQ64-G65*MAX(0,DQ65*AMQ64-(KP65+OC65)))),AMQ64*(1-MAX(0,DQ65)*H_Exit))</f>
        <v>0</v>
      </c>
      <c r="HE65" s="20" t="n">
        <f aca="false">IF(H_Direct=1,IF(AMR64&lt;=0,0,IF(DR65&lt;=0,AMR64,AMR64-G65*MAX(0,DR65*AMR64-(KQ65+OD65)))),AMR64*(1-MAX(0,DR65)*H_Exit))</f>
        <v>0</v>
      </c>
      <c r="HF65" s="20" t="n">
        <f aca="false">IF(H_Direct=1,IF(AMS64&lt;=0,0,IF(DS65&lt;=0,AMS64,AMS64-G65*MAX(0,DS65*AMS64-(KR65+OE65)))),AMS64*(1-MAX(0,DS65)*H_Exit))</f>
        <v>0</v>
      </c>
      <c r="HG65" s="20" t="n">
        <f aca="false">IF(H_Direct=1,IF(AMT64&lt;=0,0,IF(DT65&lt;=0,AMT64,AMT64-G65*MAX(0,DT65*AMT64-(KS65+OF65)))),AMT64*(1-MAX(0,DT65)*H_Exit))</f>
        <v>0</v>
      </c>
      <c r="HH65" s="20" t="n">
        <f aca="false">IF(H_Direct=1,IF(AMU64&lt;=0,0,IF(DU65&lt;=0,AMU64,AMU64-G65*MAX(0,DU65*AMU64-(KT65+OG65)))),AMU64*(1-MAX(0,DU65)*H_Exit))</f>
        <v>0</v>
      </c>
      <c r="HI65" s="20" t="n">
        <f aca="false">IF(H_Direct=1,IF(AMV64&lt;=0,0,IF(DV65&lt;=0,AMV64,AMV64-G65*MAX(0,DV65*AMV64-(KU65+OH65)))),AMV64*(1-MAX(0,DV65)*H_Exit))</f>
        <v>0</v>
      </c>
      <c r="HJ65" s="20" t="n">
        <f aca="false">IF(H_Direct=1,IF(AMW64&lt;=0,0,IF(DW65&lt;=0,AMW64,AMW64-G65*MAX(0,DW65*AMW64-(KV65+OI65)))),AMW64*(1-MAX(0,DW65)*H_Exit))</f>
        <v>0</v>
      </c>
      <c r="HK65" s="20" t="n">
        <f aca="false">IF(H_Direct=1,IF((P65+S65)&lt;=0,0,IF(DX65&lt;=0,(P65+S65),(P65+S65)-G65*MAX(0,DX65*(P65+S65)-(KW65+OJ65)))),(P65+S65)*(1-MAX(0,DX65)*H_Exit))</f>
        <v>0</v>
      </c>
      <c r="HL65" s="20" t="n">
        <v>0</v>
      </c>
      <c r="HM65" s="20" t="n">
        <v>0</v>
      </c>
      <c r="HN65" s="20" t="n">
        <v>0</v>
      </c>
      <c r="HO65" s="20" t="n">
        <v>0</v>
      </c>
      <c r="HP65" s="20" t="n">
        <v>0</v>
      </c>
      <c r="HQ65" s="20" t="n">
        <v>0</v>
      </c>
      <c r="HR65" s="20" t="n">
        <v>0</v>
      </c>
      <c r="HS65" s="20" t="n">
        <v>0</v>
      </c>
      <c r="HT65" s="20" t="n">
        <v>0</v>
      </c>
      <c r="HU65" s="20" t="n">
        <v>0</v>
      </c>
      <c r="HV65" s="20" t="n">
        <v>0</v>
      </c>
      <c r="HW65" s="20" t="n">
        <v>0</v>
      </c>
      <c r="HX65" s="20" t="n">
        <v>0</v>
      </c>
      <c r="HY65" s="20" t="n">
        <v>0</v>
      </c>
      <c r="HZ65" s="20" t="n">
        <v>0</v>
      </c>
      <c r="IA65" s="20" t="n">
        <v>0</v>
      </c>
      <c r="IB65" s="20" t="n">
        <v>0</v>
      </c>
      <c r="IC65" s="20" t="n">
        <v>0</v>
      </c>
      <c r="ID65" s="20" t="n">
        <v>0</v>
      </c>
      <c r="IE65" s="20" t="n">
        <v>0</v>
      </c>
      <c r="IF65" s="20" t="n">
        <v>0</v>
      </c>
      <c r="IG65" s="20" t="n">
        <v>0</v>
      </c>
      <c r="IH65" s="20" t="n">
        <v>0</v>
      </c>
      <c r="II65" s="20" t="n">
        <v>0</v>
      </c>
      <c r="IJ65" s="20" t="n">
        <v>0</v>
      </c>
      <c r="IK65" s="20" t="n">
        <v>0</v>
      </c>
      <c r="IL65" s="20" t="n">
        <v>0</v>
      </c>
      <c r="IM65" s="20" t="n">
        <v>0</v>
      </c>
      <c r="IN65" s="20" t="n">
        <v>0</v>
      </c>
      <c r="IO65" s="20" t="n">
        <v>0</v>
      </c>
      <c r="IP65" s="20" t="n">
        <v>0</v>
      </c>
      <c r="IQ65" s="20" t="n">
        <v>0</v>
      </c>
      <c r="IR65" s="20" t="n">
        <f aca="false">IF(AND(H_Direct=1,BR65&gt;0),MAX(0,H65-(MIN(BR65*AKR64,H65+I65)-MIN(MIN(BR65*AKR64,H65+I65),I65))),H65)</f>
        <v>1270</v>
      </c>
      <c r="IS65" s="20" t="n">
        <f aca="false">IF(AND(H_Direct=1,BS65&gt;0),MAX(0,IR65-(MIN(BS65*AKS64,IR65+ME65)-MIN(MIN(BS65*AKS64,IR65+ME65),ME65))),IR65)</f>
        <v>1270</v>
      </c>
      <c r="IT65" s="20" t="n">
        <f aca="false">IF(AND(H_Direct=1,BT65&gt;0),MAX(0,IS65-(MIN(BT65*AKT64,IS65+MF65)-MIN(MIN(BT65*AKT64,IS65+MF65),MF65))),IS65)</f>
        <v>1270</v>
      </c>
      <c r="IU65" s="20" t="n">
        <f aca="false">IF(AND(H_Direct=1,BU65&gt;0),MAX(0,IT65-(MIN(BU65*AKU64,IT65+MG65)-MIN(MIN(BU65*AKU64,IT65+MG65),MG65))),IT65)</f>
        <v>1270</v>
      </c>
      <c r="IV65" s="20" t="n">
        <f aca="false">IF(AND(H_Direct=1,BV65&gt;0),MAX(0,IU65-(MIN(BV65*AKV64,IU65+MH65)-MIN(MIN(BV65*AKV64,IU65+MH65),MH65))),IU65)</f>
        <v>1270</v>
      </c>
      <c r="IW65" s="20" t="n">
        <f aca="false">IF(AND(H_Direct=1,BW65&gt;0),MAX(0,IV65-(MIN(BW65*AKW64,IV65+MI65)-MIN(MIN(BW65*AKW64,IV65+MI65),MI65))),IV65)</f>
        <v>1270</v>
      </c>
      <c r="IX65" s="20" t="n">
        <f aca="false">IF(AND(H_Direct=1,BX65&gt;0),MAX(0,IW65-(MIN(BX65*AKX64,IW65+MJ65)-MIN(MIN(BX65*AKX64,IW65+MJ65),MJ65))),IW65)</f>
        <v>1270</v>
      </c>
      <c r="IY65" s="20" t="n">
        <f aca="false">IF(AND(H_Direct=1,BY65&gt;0),MAX(0,IX65-(MIN(BY65*AKY64,IX65+MK65)-MIN(MIN(BY65*AKY64,IX65+MK65),MK65))),IX65)</f>
        <v>1270</v>
      </c>
      <c r="IZ65" s="20" t="n">
        <f aca="false">IF(AND(H_Direct=1,BZ65&gt;0),MAX(0,IY65-(MIN(BZ65*AKZ64,IY65+ML65)-MIN(MIN(BZ65*AKZ64,IY65+ML65),ML65))),IY65)</f>
        <v>1270</v>
      </c>
      <c r="JA65" s="20" t="n">
        <f aca="false">IF(AND(H_Direct=1,CA65&gt;0),MAX(0,IZ65-(MIN(CA65*ALA64,IZ65+MM65)-MIN(MIN(CA65*ALA64,IZ65+MM65),MM65))),IZ65)</f>
        <v>1270</v>
      </c>
      <c r="JB65" s="20" t="n">
        <f aca="false">IF(AND(H_Direct=1,CB65&gt;0),MAX(0,JA65-(MIN(CB65*ALB64,JA65+MN65)-MIN(MIN(CB65*ALB64,JA65+MN65),MN65))),JA65)</f>
        <v>1270</v>
      </c>
      <c r="JC65" s="20" t="n">
        <f aca="false">IF(AND(H_Direct=1,CC65&gt;0),MAX(0,JB65-(MIN(CC65*ALC64,JB65+MO65)-MIN(MIN(CC65*ALC64,JB65+MO65),MO65))),JB65)</f>
        <v>1270</v>
      </c>
      <c r="JD65" s="20" t="n">
        <f aca="false">IF(AND(H_Direct=1,CD65&gt;0),MAX(0,JC65-(MIN(CD65*ALD64,JC65+MP65)-MIN(MIN(CD65*ALD64,JC65+MP65),MP65))),JC65)</f>
        <v>1270</v>
      </c>
      <c r="JE65" s="20" t="n">
        <f aca="false">IF(AND(H_Direct=1,CE65&gt;0),MAX(0,JD65-(MIN(CE65*ALE64,JD65+MQ65)-MIN(MIN(CE65*ALE64,JD65+MQ65),MQ65))),JD65)</f>
        <v>1270</v>
      </c>
      <c r="JF65" s="20" t="n">
        <f aca="false">IF(AND(H_Direct=1,CF65&gt;0),MAX(0,JE65-(MIN(CF65*ALF64,JE65+MR65)-MIN(MIN(CF65*ALF64,JE65+MR65),MR65))),JE65)</f>
        <v>1270</v>
      </c>
      <c r="JG65" s="20" t="n">
        <f aca="false">IF(AND(H_Direct=1,CG65&gt;0),MAX(0,JF65-(MIN(CG65*ALG64,JF65+MS65)-MIN(MIN(CG65*ALG64,JF65+MS65),MS65))),JF65)</f>
        <v>1270</v>
      </c>
      <c r="JH65" s="20" t="n">
        <f aca="false">IF(AND(H_Direct=1,CH65&gt;0),MAX(0,JG65-(MIN(CH65*ALH64,JG65+MT65)-MIN(MIN(CH65*ALH64,JG65+MT65),MT65))),JG65)</f>
        <v>1270</v>
      </c>
      <c r="JI65" s="20" t="n">
        <f aca="false">IF(AND(H_Direct=1,CI65&gt;0),MAX(0,JH65-(MIN(CI65*ALI64,JH65+MU65)-MIN(MIN(CI65*ALI64,JH65+MU65),MU65))),JH65)</f>
        <v>1270</v>
      </c>
      <c r="JJ65" s="20" t="n">
        <f aca="false">IF(AND(H_Direct=1,CJ65&gt;0),MAX(0,JI65-(MIN(CJ65*ALJ64,JI65+MV65)-MIN(MIN(CJ65*ALJ64,JI65+MV65),MV65))),JI65)</f>
        <v>1270</v>
      </c>
      <c r="JK65" s="20" t="n">
        <f aca="false">IF(AND(H_Direct=1,CK65&gt;0),MAX(0,JJ65-(MIN(CK65*ALK64,JJ65+MW65)-MIN(MIN(CK65*ALK64,JJ65+MW65),MW65))),JJ65)</f>
        <v>1270</v>
      </c>
      <c r="JL65" s="20" t="n">
        <f aca="false">IF(AND(H_Direct=1,CL65&gt;0),MAX(0,JK65-(MIN(CL65*ALL64,JK65+MX65)-MIN(MIN(CL65*ALL64,JK65+MX65),MX65))),JK65)</f>
        <v>1270</v>
      </c>
      <c r="JM65" s="20" t="n">
        <f aca="false">IF(AND(H_Direct=1,CM65&gt;0),MAX(0,JL65-(MIN(CM65*ALM64,JL65+MY65)-MIN(MIN(CM65*ALM64,JL65+MY65),MY65))),JL65)</f>
        <v>1270</v>
      </c>
      <c r="JN65" s="20" t="n">
        <f aca="false">IF(AND(H_Direct=1,CN65&gt;0),MAX(0,JM65-(MIN(CN65*ALN64,JM65+MZ65)-MIN(MIN(CN65*ALN64,JM65+MZ65),MZ65))),JM65)</f>
        <v>1270</v>
      </c>
      <c r="JO65" s="20" t="n">
        <f aca="false">IF(AND(H_Direct=1,CO65&gt;0),MAX(0,JN65-(MIN(CO65*ALO64,JN65+NA65)-MIN(MIN(CO65*ALO64,JN65+NA65),NA65))),JN65)</f>
        <v>1270</v>
      </c>
      <c r="JP65" s="20" t="n">
        <f aca="false">IF(AND(H_Direct=1,CP65&gt;0),MAX(0,JO65-(MIN(CP65*ALP64,JO65+NB65)-MIN(MIN(CP65*ALP64,JO65+NB65),NB65))),JO65)</f>
        <v>1270</v>
      </c>
      <c r="JQ65" s="20" t="n">
        <f aca="false">IF(AND(H_Direct=1,CQ65&gt;0),MAX(0,JP65-(MIN(CQ65*ALQ64,JP65+NC65)-MIN(MIN(CQ65*ALQ64,JP65+NC65),NC65))),JP65)</f>
        <v>1270</v>
      </c>
      <c r="JR65" s="20" t="n">
        <f aca="false">IF(AND(H_Direct=1,CR65&gt;0),MAX(0,JQ65-(MIN(CR65*ALR64,JQ65+ND65)-MIN(MIN(CR65*ALR64,JQ65+ND65),ND65))),JQ65)</f>
        <v>1270</v>
      </c>
      <c r="JS65" s="20" t="n">
        <f aca="false">IF(AND(H_Direct=1,CS65&gt;0),MAX(0,JR65-(MIN(CS65*ALS64,JR65+NE65)-MIN(MIN(CS65*ALS64,JR65+NE65),NE65))),JR65)</f>
        <v>1270</v>
      </c>
      <c r="JT65" s="20" t="n">
        <f aca="false">IF(AND(H_Direct=1,CT65&gt;0),MAX(0,JS65-(MIN(CT65*ALT64,JS65+NF65)-MIN(MIN(CT65*ALT64,JS65+NF65),NF65))),JS65)</f>
        <v>1270</v>
      </c>
      <c r="JU65" s="20" t="n">
        <f aca="false">IF(AND(H_Direct=1,CU65&gt;0),MAX(0,JT65-(MIN(CU65*ALU64,JT65+NG65)-MIN(MIN(CU65*ALU64,JT65+NG65),NG65))),JT65)</f>
        <v>1270</v>
      </c>
      <c r="JV65" s="20" t="n">
        <f aca="false">IF(AND(H_Direct=1,CV65&gt;0),MAX(0,JU65-(MIN(CV65*ALV64,JU65+NH65)-MIN(MIN(CV65*ALV64,JU65+NH65),NH65))),JU65)</f>
        <v>1270</v>
      </c>
      <c r="JW65" s="20" t="n">
        <f aca="false">IF(AND(H_Direct=1,CW65&gt;0),MAX(0,JV65-(MIN(CW65*ALW64,JV65+NI65)-MIN(MIN(CW65*ALW64,JV65+NI65),NI65))),JV65)</f>
        <v>1270</v>
      </c>
      <c r="JX65" s="20" t="n">
        <f aca="false">IF(AND(H_Direct=1,CX65&gt;0),MAX(0,JW65-(MIN(CX65*ALX64,JW65+NJ65)-MIN(MIN(CX65*ALX64,JW65+NJ65),NJ65))),JW65)</f>
        <v>1270</v>
      </c>
      <c r="JY65" s="20" t="n">
        <f aca="false">IF(AND(H_Direct=1,CY65&gt;0),MAX(0,JX65-(MIN(CY65*ALY64,JX65+NK65)-MIN(MIN(CY65*ALY64,JX65+NK65),NK65))),JX65)</f>
        <v>1270</v>
      </c>
      <c r="JZ65" s="20" t="n">
        <f aca="false">IF(AND(H_Direct=1,CZ65&gt;0),MAX(0,JY65-(MIN(CZ65*ALZ64,JY65+NL65)-MIN(MIN(CZ65*ALZ64,JY65+NL65),NL65))),JY65)</f>
        <v>1270</v>
      </c>
      <c r="KA65" s="20" t="n">
        <f aca="false">IF(AND(H_Direct=1,DA65&gt;0),MAX(0,JZ65-(MIN(DA65*AMA64,JZ65+NM65)-MIN(MIN(DA65*AMA64,JZ65+NM65),NM65))),JZ65)</f>
        <v>1270</v>
      </c>
      <c r="KB65" s="20" t="n">
        <f aca="false">IF(AND(H_Direct=1,DB65&gt;0),MAX(0,KA65-(MIN(DB65*AMB64,KA65+NN65)-MIN(MIN(DB65*AMB64,KA65+NN65),NN65))),KA65)</f>
        <v>1270</v>
      </c>
      <c r="KC65" s="20" t="n">
        <f aca="false">IF(AND(H_Direct=1,DC65&gt;0),MAX(0,KB65-(MIN(DC65*AMC64,KB65+NO65)-MIN(MIN(DC65*AMC64,KB65+NO65),NO65))),KB65)</f>
        <v>1270</v>
      </c>
      <c r="KD65" s="20" t="n">
        <f aca="false">IF(AND(H_Direct=1,DD65&gt;0),MAX(0,KC65-(MIN(DD65*AMD64,KC65+NP65)-MIN(MIN(DD65*AMD64,KC65+NP65),NP65))),KC65)</f>
        <v>1270</v>
      </c>
      <c r="KE65" s="20" t="n">
        <f aca="false">IF(AND(H_Direct=1,DE65&gt;0),MAX(0,KD65-(MIN(DE65*AME64,KD65+NQ65)-MIN(MIN(DE65*AME64,KD65+NQ65),NQ65))),KD65)</f>
        <v>1270</v>
      </c>
      <c r="KF65" s="20" t="n">
        <f aca="false">IF(AND(H_Direct=1,DF65&gt;0),MAX(0,KE65-(MIN(DF65*AMF64,KE65+NR65)-MIN(MIN(DF65*AMF64,KE65+NR65),NR65))),KE65)</f>
        <v>1270</v>
      </c>
      <c r="KG65" s="20" t="n">
        <f aca="false">IF(AND(H_Direct=1,DG65&gt;0),MAX(0,KF65-(MIN(DG65*AMG64,KF65+NS65)-MIN(MIN(DG65*AMG64,KF65+NS65),NS65))),KF65)</f>
        <v>1270</v>
      </c>
      <c r="KH65" s="20" t="n">
        <f aca="false">IF(AND(H_Direct=1,DH65&gt;0),MAX(0,KG65-(MIN(DH65*AMH64,KG65+NT65)-MIN(MIN(DH65*AMH64,KG65+NT65),NT65))),KG65)</f>
        <v>1270</v>
      </c>
      <c r="KI65" s="20" t="n">
        <f aca="false">IF(AND(H_Direct=1,DI65&gt;0),MAX(0,KH65-(MIN(DI65*AMI64,KH65+NU65)-MIN(MIN(DI65*AMI64,KH65+NU65),NU65))),KH65)</f>
        <v>1270</v>
      </c>
      <c r="KJ65" s="20" t="n">
        <f aca="false">IF(AND(H_Direct=1,DJ65&gt;0),MAX(0,KI65-(MIN(DJ65*AMJ64,KI65+NV65)-MIN(MIN(DJ65*AMJ64,KI65+NV65),NV65))),KI65)</f>
        <v>1270</v>
      </c>
      <c r="KK65" s="20" t="n">
        <f aca="false">IF(AND(H_Direct=1,DK65&gt;0),MAX(0,KJ65-(MIN(DK65*AMK64,KJ65+NW65)-MIN(MIN(DK65*AMK64,KJ65+NW65),NW65))),KJ65)</f>
        <v>1270</v>
      </c>
      <c r="KL65" s="20" t="n">
        <f aca="false">IF(AND(H_Direct=1,DL65&gt;0),MAX(0,KK65-(MIN(DL65*AML64,KK65+NX65)-MIN(MIN(DL65*AML64,KK65+NX65),NX65))),KK65)</f>
        <v>1270</v>
      </c>
      <c r="KM65" s="20" t="n">
        <f aca="false">IF(AND(H_Direct=1,DM65&gt;0),MAX(0,KL65-(MIN(DM65*AMM64,KL65+NY65)-MIN(MIN(DM65*AMM64,KL65+NY65),NY65))),KL65)</f>
        <v>1270</v>
      </c>
      <c r="KN65" s="20" t="n">
        <f aca="false">IF(AND(H_Direct=1,DN65&gt;0),MAX(0,KM65-(MIN(DN65*AMN64,KM65+NZ65)-MIN(MIN(DN65*AMN64,KM65+NZ65),NZ65))),KM65)</f>
        <v>1270</v>
      </c>
      <c r="KO65" s="20" t="n">
        <f aca="false">IF(AND(H_Direct=1,DO65&gt;0),MAX(0,KN65-(MIN(DO65*AMO64,KN65+OA65)-MIN(MIN(DO65*AMO64,KN65+OA65),OA65))),KN65)</f>
        <v>1270</v>
      </c>
      <c r="KP65" s="20" t="n">
        <f aca="false">IF(AND(H_Direct=1,DP65&gt;0),MAX(0,KO65-(MIN(DP65*AMP64,KO65+OB65)-MIN(MIN(DP65*AMP64,KO65+OB65),OB65))),KO65)</f>
        <v>1270</v>
      </c>
      <c r="KQ65" s="20" t="n">
        <f aca="false">IF(AND(H_Direct=1,DQ65&gt;0),MAX(0,KP65-(MIN(DQ65*AMQ64,KP65+OC65)-MIN(MIN(DQ65*AMQ64,KP65+OC65),OC65))),KP65)</f>
        <v>1270</v>
      </c>
      <c r="KR65" s="20" t="n">
        <f aca="false">IF(AND(H_Direct=1,DR65&gt;0),MAX(0,KQ65-(MIN(DR65*AMR64,KQ65+OD65)-MIN(MIN(DR65*AMR64,KQ65+OD65),OD65))),KQ65)</f>
        <v>1270</v>
      </c>
      <c r="KS65" s="20" t="n">
        <f aca="false">IF(AND(H_Direct=1,DS65&gt;0),MAX(0,KR65-(MIN(DS65*AMS64,KR65+OE65)-MIN(MIN(DS65*AMS64,KR65+OE65),OE65))),KR65)</f>
        <v>1270</v>
      </c>
      <c r="KT65" s="20" t="n">
        <f aca="false">IF(AND(H_Direct=1,DT65&gt;0),MAX(0,KS65-(MIN(DT65*AMT64,KS65+OF65)-MIN(MIN(DT65*AMT64,KS65+OF65),OF65))),KS65)</f>
        <v>1270</v>
      </c>
      <c r="KU65" s="20" t="n">
        <f aca="false">IF(AND(H_Direct=1,DU65&gt;0),MAX(0,KT65-(MIN(DU65*AMU64,KT65+OG65)-MIN(MIN(DU65*AMU64,KT65+OG65),OG65))),KT65)</f>
        <v>1270</v>
      </c>
      <c r="KV65" s="20" t="n">
        <f aca="false">IF(AND(H_Direct=1,DV65&gt;0),MAX(0,KU65-(MIN(DV65*AMV64,KU65+OH65)-MIN(MIN(DV65*AMV64,KU65+OH65),OH65))),KU65)</f>
        <v>1270</v>
      </c>
      <c r="KW65" s="20" t="n">
        <f aca="false">IF(AND(H_Direct=1,DW65&gt;0),MAX(0,KV65-(MIN(DW65*AMW64,KV65+OI65)-MIN(MIN(DW65*AMW64,KV65+OI65),OI65))),KV65)</f>
        <v>1270</v>
      </c>
      <c r="KX65" s="20" t="n">
        <f aca="false">IF(AND(H_Direct=1,DX65&gt;0),MAX(0,KW65-(MIN(DX65*(P65+S65),KW65+OJ65)-MIN(MIN(DX65*(P65+S65),KW65+OJ65),OJ65))),KW65)</f>
        <v>1270</v>
      </c>
      <c r="KY65" s="20" t="n">
        <f aca="false">KX65</f>
        <v>1270</v>
      </c>
      <c r="KZ65" s="20" t="n">
        <f aca="false">KY65</f>
        <v>1270</v>
      </c>
      <c r="LA65" s="20" t="n">
        <f aca="false">KZ65</f>
        <v>1270</v>
      </c>
      <c r="LB65" s="20" t="n">
        <f aca="false">LA65</f>
        <v>1270</v>
      </c>
      <c r="LC65" s="20" t="n">
        <f aca="false">LB65</f>
        <v>1270</v>
      </c>
      <c r="LD65" s="20" t="n">
        <f aca="false">LC65</f>
        <v>1270</v>
      </c>
      <c r="LE65" s="20" t="n">
        <f aca="false">LD65</f>
        <v>1270</v>
      </c>
      <c r="LF65" s="20" t="n">
        <f aca="false">LE65</f>
        <v>1270</v>
      </c>
      <c r="LG65" s="20" t="n">
        <f aca="false">LF65</f>
        <v>1270</v>
      </c>
      <c r="LH65" s="20" t="n">
        <f aca="false">LG65</f>
        <v>1270</v>
      </c>
      <c r="LI65" s="20" t="n">
        <f aca="false">LH65</f>
        <v>1270</v>
      </c>
      <c r="LJ65" s="20" t="n">
        <f aca="false">LI65</f>
        <v>1270</v>
      </c>
      <c r="LK65" s="20" t="n">
        <f aca="false">LJ65</f>
        <v>1270</v>
      </c>
      <c r="LL65" s="20" t="n">
        <f aca="false">LK65</f>
        <v>1270</v>
      </c>
      <c r="LM65" s="20" t="n">
        <f aca="false">LL65</f>
        <v>1270</v>
      </c>
      <c r="LN65" s="20" t="n">
        <f aca="false">LM65</f>
        <v>1270</v>
      </c>
      <c r="LO65" s="20" t="n">
        <f aca="false">LN65</f>
        <v>1270</v>
      </c>
      <c r="LP65" s="20" t="n">
        <f aca="false">LO65</f>
        <v>1270</v>
      </c>
      <c r="LQ65" s="20" t="n">
        <f aca="false">LP65</f>
        <v>1270</v>
      </c>
      <c r="LR65" s="20" t="n">
        <f aca="false">LQ65</f>
        <v>1270</v>
      </c>
      <c r="LS65" s="20" t="n">
        <f aca="false">LR65</f>
        <v>1270</v>
      </c>
      <c r="LT65" s="20" t="n">
        <f aca="false">LS65</f>
        <v>1270</v>
      </c>
      <c r="LU65" s="20" t="n">
        <f aca="false">LT65</f>
        <v>1270</v>
      </c>
      <c r="LV65" s="20" t="n">
        <f aca="false">LU65</f>
        <v>1270</v>
      </c>
      <c r="LW65" s="20" t="n">
        <f aca="false">LV65</f>
        <v>1270</v>
      </c>
      <c r="LX65" s="20" t="n">
        <f aca="false">LW65</f>
        <v>1270</v>
      </c>
      <c r="LY65" s="20" t="n">
        <f aca="false">LX65</f>
        <v>1270</v>
      </c>
      <c r="LZ65" s="20" t="n">
        <f aca="false">LY65</f>
        <v>1270</v>
      </c>
      <c r="MA65" s="20" t="n">
        <f aca="false">LZ65</f>
        <v>1270</v>
      </c>
      <c r="MB65" s="20" t="n">
        <f aca="false">MA65</f>
        <v>1270</v>
      </c>
      <c r="MC65" s="20" t="n">
        <f aca="false">MB65</f>
        <v>1270</v>
      </c>
      <c r="MD65" s="20" t="n">
        <f aca="false">MC65</f>
        <v>1270</v>
      </c>
      <c r="ME65" s="20" t="n">
        <f aca="false">IF(H_Direct=1,IF(BR65&lt;=0,I65-BR65*AKR64,I65-MIN(MIN(BR65*AKR64,H65+I65),I65)),I65)</f>
        <v>0</v>
      </c>
      <c r="MF65" s="20" t="n">
        <f aca="false">IF(H_Direct=1,IF(BS65&lt;=0,ME65-BS65*AKS64,ME65-MIN(MIN(BS65*AKS64,IR65+ME65),ME65)),ME65)</f>
        <v>0</v>
      </c>
      <c r="MG65" s="20" t="n">
        <f aca="false">IF(H_Direct=1,IF(BT65&lt;=0,MF65-BT65*AKT64,MF65-MIN(MIN(BT65*AKT64,IS65+MF65),MF65)),MF65)</f>
        <v>0</v>
      </c>
      <c r="MH65" s="20" t="n">
        <f aca="false">IF(H_Direct=1,IF(BU65&lt;=0,MG65-BU65*AKU64,MG65-MIN(MIN(BU65*AKU64,IT65+MG65),MG65)),MG65)</f>
        <v>0</v>
      </c>
      <c r="MI65" s="20" t="n">
        <f aca="false">IF(H_Direct=1,IF(BV65&lt;=0,MH65-BV65*AKV64,MH65-MIN(MIN(BV65*AKV64,IU65+MH65),MH65)),MH65)</f>
        <v>0</v>
      </c>
      <c r="MJ65" s="20" t="n">
        <f aca="false">IF(H_Direct=1,IF(BW65&lt;=0,MI65-BW65*AKW64,MI65-MIN(MIN(BW65*AKW64,IV65+MI65),MI65)),MI65)</f>
        <v>0</v>
      </c>
      <c r="MK65" s="20" t="n">
        <f aca="false">IF(H_Direct=1,IF(BX65&lt;=0,MJ65-BX65*AKX64,MJ65-MIN(MIN(BX65*AKX64,IW65+MJ65),MJ65)),MJ65)</f>
        <v>0</v>
      </c>
      <c r="ML65" s="20" t="n">
        <f aca="false">IF(H_Direct=1,IF(BY65&lt;=0,MK65-BY65*AKY64,MK65-MIN(MIN(BY65*AKY64,IX65+MK65),MK65)),MK65)</f>
        <v>0</v>
      </c>
      <c r="MM65" s="20" t="n">
        <f aca="false">IF(H_Direct=1,IF(BZ65&lt;=0,ML65-BZ65*AKZ64,ML65-MIN(MIN(BZ65*AKZ64,IY65+ML65),ML65)),ML65)</f>
        <v>0</v>
      </c>
      <c r="MN65" s="20" t="n">
        <f aca="false">IF(H_Direct=1,IF(CA65&lt;=0,MM65-CA65*ALA64,MM65-MIN(MIN(CA65*ALA64,IZ65+MM65),MM65)),MM65)</f>
        <v>0</v>
      </c>
      <c r="MO65" s="20" t="n">
        <f aca="false">IF(H_Direct=1,IF(CB65&lt;=0,MN65-CB65*ALB64,MN65-MIN(MIN(CB65*ALB64,JA65+MN65),MN65)),MN65)</f>
        <v>0</v>
      </c>
      <c r="MP65" s="20" t="n">
        <f aca="false">IF(H_Direct=1,IF(CC65&lt;=0,MO65-CC65*ALC64,MO65-MIN(MIN(CC65*ALC64,JB65+MO65),MO65)),MO65)</f>
        <v>0</v>
      </c>
      <c r="MQ65" s="20" t="n">
        <f aca="false">IF(H_Direct=1,IF(CD65&lt;=0,MP65-CD65*ALD64,MP65-MIN(MIN(CD65*ALD64,JC65+MP65),MP65)),MP65)</f>
        <v>0</v>
      </c>
      <c r="MR65" s="20" t="n">
        <f aca="false">IF(H_Direct=1,IF(CE65&lt;=0,MQ65-CE65*ALE64,MQ65-MIN(MIN(CE65*ALE64,JD65+MQ65),MQ65)),MQ65)</f>
        <v>0</v>
      </c>
      <c r="MS65" s="20" t="n">
        <f aca="false">IF(H_Direct=1,IF(CF65&lt;=0,MR65-CF65*ALF64,MR65-MIN(MIN(CF65*ALF64,JE65+MR65),MR65)),MR65)</f>
        <v>0</v>
      </c>
      <c r="MT65" s="20" t="n">
        <f aca="false">IF(H_Direct=1,IF(CG65&lt;=0,MS65-CG65*ALG64,MS65-MIN(MIN(CG65*ALG64,JF65+MS65),MS65)),MS65)</f>
        <v>0</v>
      </c>
      <c r="MU65" s="20" t="n">
        <f aca="false">IF(H_Direct=1,IF(CH65&lt;=0,MT65-CH65*ALH64,MT65-MIN(MIN(CH65*ALH64,JG65+MT65),MT65)),MT65)</f>
        <v>0</v>
      </c>
      <c r="MV65" s="20" t="n">
        <f aca="false">IF(H_Direct=1,IF(CI65&lt;=0,MU65-CI65*ALI64,MU65-MIN(MIN(CI65*ALI64,JH65+MU65),MU65)),MU65)</f>
        <v>0</v>
      </c>
      <c r="MW65" s="20" t="n">
        <f aca="false">IF(H_Direct=1,IF(CJ65&lt;=0,MV65-CJ65*ALJ64,MV65-MIN(MIN(CJ65*ALJ64,JI65+MV65),MV65)),MV65)</f>
        <v>0</v>
      </c>
      <c r="MX65" s="20" t="n">
        <f aca="false">IF(H_Direct=1,IF(CK65&lt;=0,MW65-CK65*ALK64,MW65-MIN(MIN(CK65*ALK64,JJ65+MW65),MW65)),MW65)</f>
        <v>0</v>
      </c>
      <c r="MY65" s="20" t="n">
        <f aca="false">IF(H_Direct=1,IF(CL65&lt;=0,MX65-CL65*ALL64,MX65-MIN(MIN(CL65*ALL64,JK65+MX65),MX65)),MX65)</f>
        <v>0</v>
      </c>
      <c r="MZ65" s="20" t="n">
        <f aca="false">IF(H_Direct=1,IF(CM65&lt;=0,MY65-CM65*ALM64,MY65-MIN(MIN(CM65*ALM64,JL65+MY65),MY65)),MY65)</f>
        <v>0</v>
      </c>
      <c r="NA65" s="20" t="n">
        <f aca="false">IF(H_Direct=1,IF(CN65&lt;=0,MZ65-CN65*ALN64,MZ65-MIN(MIN(CN65*ALN64,JM65+MZ65),MZ65)),MZ65)</f>
        <v>0</v>
      </c>
      <c r="NB65" s="20" t="n">
        <f aca="false">IF(H_Direct=1,IF(CO65&lt;=0,NA65-CO65*ALO64,NA65-MIN(MIN(CO65*ALO64,JN65+NA65),NA65)),NA65)</f>
        <v>0</v>
      </c>
      <c r="NC65" s="20" t="n">
        <f aca="false">IF(H_Direct=1,IF(CP65&lt;=0,NB65-CP65*ALP64,NB65-MIN(MIN(CP65*ALP64,JO65+NB65),NB65)),NB65)</f>
        <v>0</v>
      </c>
      <c r="ND65" s="20" t="n">
        <f aca="false">IF(H_Direct=1,IF(CQ65&lt;=0,NC65-CQ65*ALQ64,NC65-MIN(MIN(CQ65*ALQ64,JP65+NC65),NC65)),NC65)</f>
        <v>0</v>
      </c>
      <c r="NE65" s="20" t="n">
        <f aca="false">IF(H_Direct=1,IF(CR65&lt;=0,ND65-CR65*ALR64,ND65-MIN(MIN(CR65*ALR64,JQ65+ND65),ND65)),ND65)</f>
        <v>0</v>
      </c>
      <c r="NF65" s="20" t="n">
        <f aca="false">IF(H_Direct=1,IF(CS65&lt;=0,NE65-CS65*ALS64,NE65-MIN(MIN(CS65*ALS64,JR65+NE65),NE65)),NE65)</f>
        <v>0</v>
      </c>
      <c r="NG65" s="20" t="n">
        <f aca="false">IF(H_Direct=1,IF(CT65&lt;=0,NF65-CT65*ALT64,NF65-MIN(MIN(CT65*ALT64,JS65+NF65),NF65)),NF65)</f>
        <v>0</v>
      </c>
      <c r="NH65" s="20" t="n">
        <f aca="false">IF(H_Direct=1,IF(CU65&lt;=0,NG65-CU65*ALU64,NG65-MIN(MIN(CU65*ALU64,JT65+NG65),NG65)),NG65)</f>
        <v>0</v>
      </c>
      <c r="NI65" s="20" t="n">
        <f aca="false">IF(H_Direct=1,IF(CV65&lt;=0,NH65-CV65*ALV64,NH65-MIN(MIN(CV65*ALV64,JU65+NH65),NH65)),NH65)</f>
        <v>0</v>
      </c>
      <c r="NJ65" s="20" t="n">
        <f aca="false">IF(H_Direct=1,IF(CW65&lt;=0,NI65-CW65*ALW64,NI65-MIN(MIN(CW65*ALW64,JV65+NI65),NI65)),NI65)</f>
        <v>0</v>
      </c>
      <c r="NK65" s="20" t="n">
        <f aca="false">IF(H_Direct=1,IF(CX65&lt;=0,NJ65-CX65*ALX64,NJ65-MIN(MIN(CX65*ALX64,JW65+NJ65),NJ65)),NJ65)</f>
        <v>0</v>
      </c>
      <c r="NL65" s="20" t="n">
        <f aca="false">IF(H_Direct=1,IF(CY65&lt;=0,NK65-CY65*ALY64,NK65-MIN(MIN(CY65*ALY64,JX65+NK65),NK65)),NK65)</f>
        <v>0</v>
      </c>
      <c r="NM65" s="20" t="n">
        <f aca="false">IF(H_Direct=1,IF(CZ65&lt;=0,NL65-CZ65*ALZ64,NL65-MIN(MIN(CZ65*ALZ64,JY65+NL65),NL65)),NL65)</f>
        <v>0</v>
      </c>
      <c r="NN65" s="20" t="n">
        <f aca="false">IF(H_Direct=1,IF(DA65&lt;=0,NM65-DA65*AMA64,NM65-MIN(MIN(DA65*AMA64,JZ65+NM65),NM65)),NM65)</f>
        <v>0</v>
      </c>
      <c r="NO65" s="20" t="n">
        <f aca="false">IF(H_Direct=1,IF(DB65&lt;=0,NN65-DB65*AMB64,NN65-MIN(MIN(DB65*AMB64,KA65+NN65),NN65)),NN65)</f>
        <v>0</v>
      </c>
      <c r="NP65" s="20" t="n">
        <f aca="false">IF(H_Direct=1,IF(DC65&lt;=0,NO65-DC65*AMC64,NO65-MIN(MIN(DC65*AMC64,KB65+NO65),NO65)),NO65)</f>
        <v>0</v>
      </c>
      <c r="NQ65" s="20" t="n">
        <f aca="false">IF(H_Direct=1,IF(DD65&lt;=0,NP65-DD65*AMD64,NP65-MIN(MIN(DD65*AMD64,KC65+NP65),NP65)),NP65)</f>
        <v>0</v>
      </c>
      <c r="NR65" s="20" t="n">
        <f aca="false">IF(H_Direct=1,IF(DE65&lt;=0,NQ65-DE65*AME64,NQ65-MIN(MIN(DE65*AME64,KD65+NQ65),NQ65)),NQ65)</f>
        <v>0</v>
      </c>
      <c r="NS65" s="20" t="n">
        <f aca="false">IF(H_Direct=1,IF(DF65&lt;=0,NR65-DF65*AMF64,NR65-MIN(MIN(DF65*AMF64,KE65+NR65),NR65)),NR65)</f>
        <v>0</v>
      </c>
      <c r="NT65" s="20" t="n">
        <f aca="false">IF(H_Direct=1,IF(DG65&lt;=0,NS65-DG65*AMG64,NS65-MIN(MIN(DG65*AMG64,KF65+NS65),NS65)),NS65)</f>
        <v>0</v>
      </c>
      <c r="NU65" s="20" t="n">
        <f aca="false">IF(H_Direct=1,IF(DH65&lt;=0,NT65-DH65*AMH64,NT65-MIN(MIN(DH65*AMH64,KG65+NT65),NT65)),NT65)</f>
        <v>0</v>
      </c>
      <c r="NV65" s="20" t="n">
        <f aca="false">IF(H_Direct=1,IF(DI65&lt;=0,NU65-DI65*AMI64,NU65-MIN(MIN(DI65*AMI64,KH65+NU65),NU65)),NU65)</f>
        <v>0</v>
      </c>
      <c r="NW65" s="20" t="n">
        <f aca="false">IF(H_Direct=1,IF(DJ65&lt;=0,NV65-DJ65*AMJ64,NV65-MIN(MIN(DJ65*AMJ64,KI65+NV65),NV65)),NV65)</f>
        <v>0</v>
      </c>
      <c r="NX65" s="20" t="n">
        <f aca="false">IF(H_Direct=1,IF(DK65&lt;=0,NW65-DK65*AMK64,NW65-MIN(MIN(DK65*AMK64,KJ65+NW65),NW65)),NW65)</f>
        <v>0</v>
      </c>
      <c r="NY65" s="20" t="n">
        <f aca="false">IF(H_Direct=1,IF(DL65&lt;=0,NX65-DL65*AML64,NX65-MIN(MIN(DL65*AML64,KK65+NX65),NX65)),NX65)</f>
        <v>0</v>
      </c>
      <c r="NZ65" s="20" t="n">
        <f aca="false">IF(H_Direct=1,IF(DM65&lt;=0,NY65-DM65*AMM64,NY65-MIN(MIN(DM65*AMM64,KL65+NY65),NY65)),NY65)</f>
        <v>0</v>
      </c>
      <c r="OA65" s="20" t="n">
        <f aca="false">IF(H_Direct=1,IF(DN65&lt;=0,NZ65-DN65*AMN64,NZ65-MIN(MIN(DN65*AMN64,KM65+NZ65),NZ65)),NZ65)</f>
        <v>0</v>
      </c>
      <c r="OB65" s="20" t="n">
        <f aca="false">IF(H_Direct=1,IF(DO65&lt;=0,OA65-DO65*AMO64,OA65-MIN(MIN(DO65*AMO64,KN65+OA65),OA65)),OA65)</f>
        <v>0</v>
      </c>
      <c r="OC65" s="20" t="n">
        <f aca="false">IF(H_Direct=1,IF(DP65&lt;=0,OB65-DP65*AMP64,OB65-MIN(MIN(DP65*AMP64,KO65+OB65),OB65)),OB65)</f>
        <v>0</v>
      </c>
      <c r="OD65" s="20" t="n">
        <f aca="false">IF(H_Direct=1,IF(DQ65&lt;=0,OC65-DQ65*AMQ64,OC65-MIN(MIN(DQ65*AMQ64,KP65+OC65),OC65)),OC65)</f>
        <v>0</v>
      </c>
      <c r="OE65" s="20" t="n">
        <f aca="false">IF(H_Direct=1,IF(DR65&lt;=0,OD65-DR65*AMR64,OD65-MIN(MIN(DR65*AMR64,KQ65+OD65),OD65)),OD65)</f>
        <v>0</v>
      </c>
      <c r="OF65" s="20" t="n">
        <f aca="false">IF(H_Direct=1,IF(DS65&lt;=0,OE65-DS65*AMS64,OE65-MIN(MIN(DS65*AMS64,KR65+OE65),OE65)),OE65)</f>
        <v>0</v>
      </c>
      <c r="OG65" s="20" t="n">
        <f aca="false">IF(H_Direct=1,IF(DT65&lt;=0,OF65-DT65*AMT64,OF65-MIN(MIN(DT65*AMT64,KS65+OF65),OF65)),OF65)</f>
        <v>0</v>
      </c>
      <c r="OH65" s="20" t="n">
        <f aca="false">IF(H_Direct=1,IF(DU65&lt;=0,OG65-DU65*AMU64,OG65-MIN(MIN(DU65*AMU64,KT65+OG65),OG65)),OG65)</f>
        <v>0</v>
      </c>
      <c r="OI65" s="20" t="n">
        <f aca="false">IF(H_Direct=1,IF(DV65&lt;=0,OH65-DV65*AMV64,OH65-MIN(MIN(DV65*AMV64,KU65+OH65),OH65)),OH65)</f>
        <v>0</v>
      </c>
      <c r="OJ65" s="20" t="n">
        <f aca="false">IF(H_Direct=1,IF(DW65&lt;=0,OI65-DW65*AMW64,OI65-MIN(MIN(DW65*AMW64,KV65+OI65),OI65)),OI65)</f>
        <v>0</v>
      </c>
      <c r="OK65" s="20" t="n">
        <f aca="false">IF(H_Direct=1,IF(DX65&lt;=0,OJ65-DX65*(P65+S65),OJ65-MIN(MIN(DX65*(P65+S65),KW65+OJ65),OJ65)),OJ65)</f>
        <v>0</v>
      </c>
      <c r="OL65" s="20" t="n">
        <f aca="false">OK65</f>
        <v>0</v>
      </c>
      <c r="OM65" s="20" t="n">
        <f aca="false">OL65</f>
        <v>0</v>
      </c>
      <c r="ON65" s="20" t="n">
        <f aca="false">OM65</f>
        <v>0</v>
      </c>
      <c r="OO65" s="20" t="n">
        <f aca="false">ON65</f>
        <v>0</v>
      </c>
      <c r="OP65" s="20" t="n">
        <f aca="false">OO65</f>
        <v>0</v>
      </c>
      <c r="OQ65" s="20" t="n">
        <f aca="false">OP65</f>
        <v>0</v>
      </c>
      <c r="OR65" s="20" t="n">
        <f aca="false">OQ65</f>
        <v>0</v>
      </c>
      <c r="OS65" s="20" t="n">
        <f aca="false">OR65</f>
        <v>0</v>
      </c>
      <c r="OT65" s="20" t="n">
        <f aca="false">OS65</f>
        <v>0</v>
      </c>
      <c r="OU65" s="20" t="n">
        <f aca="false">OT65</f>
        <v>0</v>
      </c>
      <c r="OV65" s="20" t="n">
        <f aca="false">OU65</f>
        <v>0</v>
      </c>
      <c r="OW65" s="20" t="n">
        <f aca="false">OV65</f>
        <v>0</v>
      </c>
      <c r="OX65" s="20" t="n">
        <f aca="false">OW65</f>
        <v>0</v>
      </c>
      <c r="OY65" s="20" t="n">
        <f aca="false">OX65</f>
        <v>0</v>
      </c>
      <c r="OZ65" s="20" t="n">
        <f aca="false">OY65</f>
        <v>0</v>
      </c>
      <c r="PA65" s="20" t="n">
        <f aca="false">OZ65</f>
        <v>0</v>
      </c>
      <c r="PB65" s="20" t="n">
        <f aca="false">PA65</f>
        <v>0</v>
      </c>
      <c r="PC65" s="20" t="n">
        <f aca="false">PB65</f>
        <v>0</v>
      </c>
      <c r="PD65" s="20" t="n">
        <f aca="false">PC65</f>
        <v>0</v>
      </c>
      <c r="PE65" s="20" t="n">
        <f aca="false">PD65</f>
        <v>0</v>
      </c>
      <c r="PF65" s="20" t="n">
        <f aca="false">PE65</f>
        <v>0</v>
      </c>
      <c r="PG65" s="20" t="n">
        <f aca="false">PF65</f>
        <v>0</v>
      </c>
      <c r="PH65" s="20" t="n">
        <f aca="false">PG65</f>
        <v>0</v>
      </c>
      <c r="PI65" s="20" t="n">
        <f aca="false">PH65</f>
        <v>0</v>
      </c>
      <c r="PJ65" s="20" t="n">
        <f aca="false">PI65</f>
        <v>0</v>
      </c>
      <c r="PK65" s="20" t="n">
        <f aca="false">PJ65</f>
        <v>0</v>
      </c>
      <c r="PL65" s="20" t="n">
        <f aca="false">PK65</f>
        <v>0</v>
      </c>
      <c r="PM65" s="20" t="n">
        <f aca="false">PL65</f>
        <v>0</v>
      </c>
      <c r="PN65" s="20" t="n">
        <f aca="false">PM65</f>
        <v>0</v>
      </c>
      <c r="PO65" s="20" t="n">
        <f aca="false">PN65</f>
        <v>0</v>
      </c>
      <c r="PP65" s="20" t="n">
        <f aca="false">PO65</f>
        <v>0</v>
      </c>
      <c r="PQ65" s="20" t="n">
        <f aca="false">PP65</f>
        <v>0</v>
      </c>
      <c r="PR65" s="20" t="n">
        <f aca="false">IF(H_Direct=1,IF(AKR64&lt;=0,0,IF(BR65&lt;=0,MIN(MAX(0,AB65),AKR64),MIN(MAX(0,AB65),AKR64-G65*MAX(0,BR65*AKR64-(H65+I65))))),MIN(FE65,MAX(0,AB65)))</f>
        <v>0</v>
      </c>
      <c r="PS65" s="20" t="n">
        <f aca="false">IF(H_Direct=1,IF(AKS64&lt;=0,0,IF(BS65&lt;=0,MIN(MAX(0,AB65-SUM(PR65:PR65)),AKS64),MIN(MAX(0,AB65-SUM(PR65:PR65)),AKS64-G65*MAX(0,BS65*AKS64-(WR65+AAE65))))),MIN(FF65,MAX(0,AB65-SUM(PR65:PR65))))</f>
        <v>0</v>
      </c>
      <c r="PT65" s="20" t="n">
        <f aca="false">IF(H_Direct=1,IF(AKT64&lt;=0,0,IF(BT65&lt;=0,MIN(MAX(0,AB65-SUM(PR65:PS65)),AKT64),MIN(MAX(0,AB65-SUM(PR65:PS65)),AKT64-G65*MAX(0,BT65*AKT64-(WS65+AAF65))))),MIN(FG65,MAX(0,AB65-SUM(PR65:PS65))))</f>
        <v>0</v>
      </c>
      <c r="PU65" s="20" t="n">
        <f aca="false">IF(H_Direct=1,IF(AKU64&lt;=0,0,IF(BU65&lt;=0,MIN(MAX(0,AB65-SUM(PR65:PT65)),AKU64),MIN(MAX(0,AB65-SUM(PR65:PT65)),AKU64-G65*MAX(0,BU65*AKU64-(WT65+AAG65))))),MIN(FH65,MAX(0,AB65-SUM(PR65:PT65))))</f>
        <v>0</v>
      </c>
      <c r="PV65" s="20" t="n">
        <f aca="false">IF(H_Direct=1,IF(AKV64&lt;=0,0,IF(BV65&lt;=0,MIN(MAX(0,AB65-SUM(PR65:PU65)),AKV64),MIN(MAX(0,AB65-SUM(PR65:PU65)),AKV64-G65*MAX(0,BV65*AKV64-(WU65+AAH65))))),MIN(FI65,MAX(0,AB65-SUM(PR65:PU65))))</f>
        <v>0</v>
      </c>
      <c r="PW65" s="20" t="n">
        <f aca="false">IF(H_Direct=1,IF(AKW64&lt;=0,0,IF(BW65&lt;=0,MIN(MAX(0,AB65-SUM(PR65:PV65)),AKW64),MIN(MAX(0,AB65-SUM(PR65:PV65)),AKW64-G65*MAX(0,BW65*AKW64-(WV65+AAI65))))),MIN(FJ65,MAX(0,AB65-SUM(PR65:PV65))))</f>
        <v>0</v>
      </c>
      <c r="PX65" s="20" t="n">
        <f aca="false">IF(H_Direct=1,IF(AKX64&lt;=0,0,IF(BX65&lt;=0,MIN(MAX(0,AB65-SUM(PR65:PW65)),AKX64),MIN(MAX(0,AB65-SUM(PR65:PW65)),AKX64-G65*MAX(0,BX65*AKX64-(WW65+AAJ65))))),MIN(FK65,MAX(0,AB65-SUM(PR65:PW65))))</f>
        <v>0</v>
      </c>
      <c r="PY65" s="20" t="n">
        <f aca="false">IF(H_Direct=1,IF(AKY64&lt;=0,0,IF(BY65&lt;=0,MIN(MAX(0,AB65-SUM(PR65:PX65)),AKY64),MIN(MAX(0,AB65-SUM(PR65:PX65)),AKY64-G65*MAX(0,BY65*AKY64-(WX65+AAK65))))),MIN(FL65,MAX(0,AB65-SUM(PR65:PX65))))</f>
        <v>0</v>
      </c>
      <c r="PZ65" s="20" t="n">
        <f aca="false">IF(H_Direct=1,IF(AKZ64&lt;=0,0,IF(BZ65&lt;=0,MIN(MAX(0,AB65-SUM(PR65:PY65)),AKZ64),MIN(MAX(0,AB65-SUM(PR65:PY65)),AKZ64-G65*MAX(0,BZ65*AKZ64-(WY65+AAL65))))),MIN(FM65,MAX(0,AB65-SUM(PR65:PY65))))</f>
        <v>0</v>
      </c>
      <c r="QA65" s="20" t="n">
        <f aca="false">IF(H_Direct=1,IF(ALA64&lt;=0,0,IF(CA65&lt;=0,MIN(MAX(0,AB65-SUM(PR65:PZ65)),ALA64),MIN(MAX(0,AB65-SUM(PR65:PZ65)),ALA64-G65*MAX(0,CA65*ALA64-(WZ65+AAM65))))),MIN(FN65,MAX(0,AB65-SUM(PR65:PZ65))))</f>
        <v>0</v>
      </c>
      <c r="QB65" s="20" t="n">
        <f aca="false">IF(H_Direct=1,IF(ALB64&lt;=0,0,IF(CB65&lt;=0,MIN(MAX(0,AB65-SUM(PR65:QA65)),ALB64),MIN(MAX(0,AB65-SUM(PR65:QA65)),ALB64-G65*MAX(0,CB65*ALB64-(XA65+AAN65))))),MIN(FO65,MAX(0,AB65-SUM(PR65:QA65))))</f>
        <v>0</v>
      </c>
      <c r="QC65" s="20" t="n">
        <f aca="false">IF(H_Direct=1,IF(ALC64&lt;=0,0,IF(CC65&lt;=0,MIN(MAX(0,AB65-SUM(PR65:QB65)),ALC64),MIN(MAX(0,AB65-SUM(PR65:QB65)),ALC64-G65*MAX(0,CC65*ALC64-(XB65+AAO65))))),MIN(FP65,MAX(0,AB65-SUM(PR65:QB65))))</f>
        <v>0</v>
      </c>
      <c r="QD65" s="20" t="n">
        <f aca="false">IF(H_Direct=1,IF(ALD64&lt;=0,0,IF(CD65&lt;=0,MIN(MAX(0,AB65-SUM(PR65:QC65)),ALD64),MIN(MAX(0,AB65-SUM(PR65:QC65)),ALD64-G65*MAX(0,CD65*ALD64-(XC65+AAP65))))),MIN(FQ65,MAX(0,AB65-SUM(PR65:QC65))))</f>
        <v>0</v>
      </c>
      <c r="QE65" s="20" t="n">
        <f aca="false">IF(H_Direct=1,IF(ALE64&lt;=0,0,IF(CE65&lt;=0,MIN(MAX(0,AB65-SUM(PR65:QD65)),ALE64),MIN(MAX(0,AB65-SUM(PR65:QD65)),ALE64-G65*MAX(0,CE65*ALE64-(XD65+AAQ65))))),MIN(FR65,MAX(0,AB65-SUM(PR65:QD65))))</f>
        <v>0</v>
      </c>
      <c r="QF65" s="20" t="n">
        <f aca="false">IF(H_Direct=1,IF(ALF64&lt;=0,0,IF(CF65&lt;=0,MIN(MAX(0,AB65-SUM(PR65:QE65)),ALF64),MIN(MAX(0,AB65-SUM(PR65:QE65)),ALF64-G65*MAX(0,CF65*ALF64-(XE65+AAR65))))),MIN(FS65,MAX(0,AB65-SUM(PR65:QE65))))</f>
        <v>0</v>
      </c>
      <c r="QG65" s="20" t="n">
        <f aca="false">IF(H_Direct=1,IF(ALG64&lt;=0,0,IF(CG65&lt;=0,MIN(MAX(0,AB65-SUM(PR65:QF65)),ALG64),MIN(MAX(0,AB65-SUM(PR65:QF65)),ALG64-G65*MAX(0,CG65*ALG64-(XF65+AAS65))))),MIN(FT65,MAX(0,AB65-SUM(PR65:QF65))))</f>
        <v>0</v>
      </c>
      <c r="QH65" s="20" t="n">
        <f aca="false">IF(H_Direct=1,IF(ALH64&lt;=0,0,IF(CH65&lt;=0,MIN(MAX(0,AB65-SUM(PR65:QG65)),ALH64),MIN(MAX(0,AB65-SUM(PR65:QG65)),ALH64-G65*MAX(0,CH65*ALH64-(XG65+AAT65))))),MIN(FU65,MAX(0,AB65-SUM(PR65:QG65))))</f>
        <v>0</v>
      </c>
      <c r="QI65" s="20" t="n">
        <f aca="false">IF(H_Direct=1,IF(ALI64&lt;=0,0,IF(CI65&lt;=0,MIN(MAX(0,AB65-SUM(PR65:QH65)),ALI64),MIN(MAX(0,AB65-SUM(PR65:QH65)),ALI64-G65*MAX(0,CI65*ALI64-(XH65+AAU65))))),MIN(FV65,MAX(0,AB65-SUM(PR65:QH65))))</f>
        <v>0</v>
      </c>
      <c r="QJ65" s="20" t="n">
        <f aca="false">IF(H_Direct=1,IF(ALJ64&lt;=0,0,IF(CJ65&lt;=0,MIN(MAX(0,AB65-SUM(PR65:QI65)),ALJ64),MIN(MAX(0,AB65-SUM(PR65:QI65)),ALJ64-G65*MAX(0,CJ65*ALJ64-(XI65+AAV65))))),MIN(FW65,MAX(0,AB65-SUM(PR65:QI65))))</f>
        <v>0</v>
      </c>
      <c r="QK65" s="20" t="n">
        <f aca="false">IF(H_Direct=1,IF(ALK64&lt;=0,0,IF(CK65&lt;=0,MIN(MAX(0,AB65-SUM(PR65:QJ65)),ALK64),MIN(MAX(0,AB65-SUM(PR65:QJ65)),ALK64-G65*MAX(0,CK65*ALK64-(XJ65+AAW65))))),MIN(FX65,MAX(0,AB65-SUM(PR65:QJ65))))</f>
        <v>0</v>
      </c>
      <c r="QL65" s="20" t="n">
        <f aca="false">IF(H_Direct=1,IF(ALL64&lt;=0,0,IF(CL65&lt;=0,MIN(MAX(0,AB65-SUM(PR65:QK65)),ALL64),MIN(MAX(0,AB65-SUM(PR65:QK65)),ALL64-G65*MAX(0,CL65*ALL64-(XK65+AAX65))))),MIN(FY65,MAX(0,AB65-SUM(PR65:QK65))))</f>
        <v>0</v>
      </c>
      <c r="QM65" s="20" t="n">
        <f aca="false">IF(H_Direct=1,IF(ALM64&lt;=0,0,IF(CM65&lt;=0,MIN(MAX(0,AB65-SUM(PR65:QL65)),ALM64),MIN(MAX(0,AB65-SUM(PR65:QL65)),ALM64-G65*MAX(0,CM65*ALM64-(XL65+AAY65))))),MIN(FZ65,MAX(0,AB65-SUM(PR65:QL65))))</f>
        <v>0</v>
      </c>
      <c r="QN65" s="20" t="n">
        <f aca="false">IF(H_Direct=1,IF(ALN64&lt;=0,0,IF(CN65&lt;=0,MIN(MAX(0,AB65-SUM(PR65:QM65)),ALN64),MIN(MAX(0,AB65-SUM(PR65:QM65)),ALN64-G65*MAX(0,CN65*ALN64-(XM65+AAZ65))))),MIN(GA65,MAX(0,AB65-SUM(PR65:QM65))))</f>
        <v>0</v>
      </c>
      <c r="QO65" s="20" t="n">
        <f aca="false">IF(H_Direct=1,IF(ALO64&lt;=0,0,IF(CO65&lt;=0,MIN(MAX(0,AB65-SUM(PR65:QN65)),ALO64),MIN(MAX(0,AB65-SUM(PR65:QN65)),ALO64-G65*MAX(0,CO65*ALO64-(XN65+ABA65))))),MIN(GB65,MAX(0,AB65-SUM(PR65:QN65))))</f>
        <v>0</v>
      </c>
      <c r="QP65" s="20" t="n">
        <f aca="false">IF(H_Direct=1,IF(ALP64&lt;=0,0,IF(CP65&lt;=0,MIN(MAX(0,AB65-SUM(PR65:QO65)),ALP64),MIN(MAX(0,AB65-SUM(PR65:QO65)),ALP64-G65*MAX(0,CP65*ALP64-(XO65+ABB65))))),MIN(GC65,MAX(0,AB65-SUM(PR65:QO65))))</f>
        <v>0</v>
      </c>
      <c r="QQ65" s="20" t="n">
        <f aca="false">IF(H_Direct=1,IF(ALQ64&lt;=0,0,IF(CQ65&lt;=0,MIN(MAX(0,AB65-SUM(PR65:QP65)),ALQ64),MIN(MAX(0,AB65-SUM(PR65:QP65)),ALQ64-G65*MAX(0,CQ65*ALQ64-(XP65+ABC65))))),MIN(GD65,MAX(0,AB65-SUM(PR65:QP65))))</f>
        <v>0</v>
      </c>
      <c r="QR65" s="20" t="n">
        <f aca="false">IF(H_Direct=1,IF(ALR64&lt;=0,0,IF(CR65&lt;=0,MIN(MAX(0,AB65-SUM(PR65:QQ65)),ALR64),MIN(MAX(0,AB65-SUM(PR65:QQ65)),ALR64-G65*MAX(0,CR65*ALR64-(XQ65+ABD65))))),MIN(GE65,MAX(0,AB65-SUM(PR65:QQ65))))</f>
        <v>0</v>
      </c>
      <c r="QS65" s="20" t="n">
        <f aca="false">IF(H_Direct=1,IF(ALS64&lt;=0,0,IF(CS65&lt;=0,MIN(MAX(0,AB65-SUM(PR65:QR65)),ALS64),MIN(MAX(0,AB65-SUM(PR65:QR65)),ALS64-G65*MAX(0,CS65*ALS64-(XR65+ABE65))))),MIN(GF65,MAX(0,AB65-SUM(PR65:QR65))))</f>
        <v>0</v>
      </c>
      <c r="QT65" s="20" t="n">
        <f aca="false">IF(H_Direct=1,IF(ALT64&lt;=0,0,IF(CT65&lt;=0,MIN(MAX(0,AB65-SUM(PR65:QS65)),ALT64),MIN(MAX(0,AB65-SUM(PR65:QS65)),ALT64-G65*MAX(0,CT65*ALT64-(XS65+ABF65))))),MIN(GG65,MAX(0,AB65-SUM(PR65:QS65))))</f>
        <v>0</v>
      </c>
      <c r="QU65" s="20" t="n">
        <f aca="false">IF(H_Direct=1,IF(ALU64&lt;=0,0,IF(CU65&lt;=0,MIN(MAX(0,AB65-SUM(PR65:QT65)),ALU64),MIN(MAX(0,AB65-SUM(PR65:QT65)),ALU64-G65*MAX(0,CU65*ALU64-(XT65+ABG65))))),MIN(GH65,MAX(0,AB65-SUM(PR65:QT65))))</f>
        <v>0</v>
      </c>
      <c r="QV65" s="20" t="n">
        <f aca="false">IF(H_Direct=1,IF(ALV64&lt;=0,0,IF(CV65&lt;=0,MIN(MAX(0,AB65-SUM(PR65:QU65)),ALV64),MIN(MAX(0,AB65-SUM(PR65:QU65)),ALV64-G65*MAX(0,CV65*ALV64-(XU65+ABH65))))),MIN(GI65,MAX(0,AB65-SUM(PR65:QU65))))</f>
        <v>0</v>
      </c>
      <c r="QW65" s="20" t="n">
        <f aca="false">IF(H_Direct=1,IF(ALW64&lt;=0,0,IF(CW65&lt;=0,MIN(MAX(0,AB65-SUM(PR65:QV65)),ALW64),MIN(MAX(0,AB65-SUM(PR65:QV65)),ALW64-G65*MAX(0,CW65*ALW64-(XV65+ABI65))))),MIN(GJ65,MAX(0,AB65-SUM(PR65:QV65))))</f>
        <v>0</v>
      </c>
      <c r="QX65" s="20" t="n">
        <f aca="false">IF(H_Direct=1,IF(ALX64&lt;=0,0,IF(CX65&lt;=0,MIN(MAX(0,AB65-SUM(PR65:QW65)),ALX64),MIN(MAX(0,AB65-SUM(PR65:QW65)),ALX64-G65*MAX(0,CX65*ALX64-(XW65+ABJ65))))),MIN(GK65,MAX(0,AB65-SUM(PR65:QW65))))</f>
        <v>0</v>
      </c>
      <c r="QY65" s="20" t="n">
        <f aca="false">IF(H_Direct=1,IF(ALY64&lt;=0,0,IF(CY65&lt;=0,MIN(MAX(0,AB65-SUM(PR65:QX65)),ALY64),MIN(MAX(0,AB65-SUM(PR65:QX65)),ALY64-G65*MAX(0,CY65*ALY64-(XX65+ABK65))))),MIN(GL65,MAX(0,AB65-SUM(PR65:QX65))))</f>
        <v>0</v>
      </c>
      <c r="QZ65" s="20" t="n">
        <f aca="false">IF(H_Direct=1,IF(ALZ64&lt;=0,0,IF(CZ65&lt;=0,MIN(MAX(0,AB65-SUM(PR65:QY65)),ALZ64),MIN(MAX(0,AB65-SUM(PR65:QY65)),ALZ64-G65*MAX(0,CZ65*ALZ64-(XY65+ABL65))))),MIN(GM65,MAX(0,AB65-SUM(PR65:QY65))))</f>
        <v>0</v>
      </c>
      <c r="RA65" s="20" t="n">
        <f aca="false">IF(H_Direct=1,IF(AMA64&lt;=0,0,IF(DA65&lt;=0,MIN(MAX(0,AB65-SUM(PR65:QZ65)),AMA64),MIN(MAX(0,AB65-SUM(PR65:QZ65)),AMA64-G65*MAX(0,DA65*AMA64-(XZ65+ABM65))))),MIN(GN65,MAX(0,AB65-SUM(PR65:QZ65))))</f>
        <v>0</v>
      </c>
      <c r="RB65" s="20" t="n">
        <f aca="false">IF(H_Direct=1,IF(AMB64&lt;=0,0,IF(DB65&lt;=0,MIN(MAX(0,AB65-SUM(PR65:RA65)),AMB64),MIN(MAX(0,AB65-SUM(PR65:RA65)),AMB64-G65*MAX(0,DB65*AMB64-(YA65+ABN65))))),MIN(GO65,MAX(0,AB65-SUM(PR65:RA65))))</f>
        <v>0</v>
      </c>
      <c r="RC65" s="20" t="n">
        <f aca="false">IF(H_Direct=1,IF(AMC64&lt;=0,0,IF(DC65&lt;=0,MIN(MAX(0,AB65-SUM(PR65:RB65)),AMC64),MIN(MAX(0,AB65-SUM(PR65:RB65)),AMC64-G65*MAX(0,DC65*AMC64-(YB65+ABO65))))),MIN(GP65,MAX(0,AB65-SUM(PR65:RB65))))</f>
        <v>0</v>
      </c>
      <c r="RD65" s="20" t="n">
        <f aca="false">IF(H_Direct=1,IF(AMD64&lt;=0,0,IF(DD65&lt;=0,MIN(MAX(0,AB65-SUM(PR65:RC65)),AMD64),MIN(MAX(0,AB65-SUM(PR65:RC65)),AMD64-G65*MAX(0,DD65*AMD64-(YC65+ABP65))))),MIN(GQ65,MAX(0,AB65-SUM(PR65:RC65))))</f>
        <v>0</v>
      </c>
      <c r="RE65" s="20" t="n">
        <f aca="false">IF(H_Direct=1,IF(AME64&lt;=0,0,IF(DE65&lt;=0,MIN(MAX(0,AB65-SUM(PR65:RD65)),AME64),MIN(MAX(0,AB65-SUM(PR65:RD65)),AME64-G65*MAX(0,DE65*AME64-(YD65+ABQ65))))),MIN(GR65,MAX(0,AB65-SUM(PR65:RD65))))</f>
        <v>0</v>
      </c>
      <c r="RF65" s="20" t="n">
        <f aca="false">IF(H_Direct=1,IF(AMF64&lt;=0,0,IF(DF65&lt;=0,MIN(MAX(0,AB65-SUM(PR65:RE65)),AMF64),MIN(MAX(0,AB65-SUM(PR65:RE65)),AMF64-G65*MAX(0,DF65*AMF64-(YE65+ABR65))))),MIN(GS65,MAX(0,AB65-SUM(PR65:RE65))))</f>
        <v>0</v>
      </c>
      <c r="RG65" s="20" t="n">
        <f aca="false">IF(H_Direct=1,IF(AMG64&lt;=0,0,IF(DG65&lt;=0,MIN(MAX(0,AB65-SUM(PR65:RF65)),AMG64),MIN(MAX(0,AB65-SUM(PR65:RF65)),AMG64-G65*MAX(0,DG65*AMG64-(YF65+ABS65))))),MIN(GT65,MAX(0,AB65-SUM(PR65:RF65))))</f>
        <v>0</v>
      </c>
      <c r="RH65" s="20" t="n">
        <f aca="false">IF(H_Direct=1,IF(AMH64&lt;=0,0,IF(DH65&lt;=0,MIN(MAX(0,AB65-SUM(PR65:RG65)),AMH64),MIN(MAX(0,AB65-SUM(PR65:RG65)),AMH64-G65*MAX(0,DH65*AMH64-(YG65+ABT65))))),MIN(GU65,MAX(0,AB65-SUM(PR65:RG65))))</f>
        <v>0</v>
      </c>
      <c r="RI65" s="20" t="n">
        <f aca="false">IF(H_Direct=1,IF(AMI64&lt;=0,0,IF(DI65&lt;=0,MIN(MAX(0,AB65-SUM(PR65:RH65)),AMI64),MIN(MAX(0,AB65-SUM(PR65:RH65)),AMI64-G65*MAX(0,DI65*AMI64-(YH65+ABU65))))),MIN(GV65,MAX(0,AB65-SUM(PR65:RH65))))</f>
        <v>0</v>
      </c>
      <c r="RJ65" s="20" t="n">
        <f aca="false">IF(H_Direct=1,IF(AMJ64&lt;=0,0,IF(DJ65&lt;=0,MIN(MAX(0,AB65-SUM(PR65:RI65)),AMJ64),MIN(MAX(0,AB65-SUM(PR65:RI65)),AMJ64-G65*MAX(0,DJ65*AMJ64-(YI65+ABV65))))),MIN(GW65,MAX(0,AB65-SUM(PR65:RI65))))</f>
        <v>0</v>
      </c>
      <c r="RK65" s="20" t="n">
        <f aca="false">IF(H_Direct=1,IF(AMK64&lt;=0,0,IF(DK65&lt;=0,MIN(MAX(0,AB65-SUM(PR65:RJ65)),AMK64),MIN(MAX(0,AB65-SUM(PR65:RJ65)),AMK64-G65*MAX(0,DK65*AMK64-(YJ65+ABW65))))),MIN(GX65,MAX(0,AB65-SUM(PR65:RJ65))))</f>
        <v>0</v>
      </c>
      <c r="RL65" s="20" t="n">
        <f aca="false">IF(H_Direct=1,IF(AML64&lt;=0,0,IF(DL65&lt;=0,MIN(MAX(0,AB65-SUM(PR65:RK65)),AML64),MIN(MAX(0,AB65-SUM(PR65:RK65)),AML64-G65*MAX(0,DL65*AML64-(YK65+ABX65))))),MIN(GY65,MAX(0,AB65-SUM(PR65:RK65))))</f>
        <v>0</v>
      </c>
      <c r="RM65" s="20" t="n">
        <f aca="false">IF(H_Direct=1,IF(AMM64&lt;=0,0,IF(DM65&lt;=0,MIN(MAX(0,AB65-SUM(PR65:RL65)),AMM64),MIN(MAX(0,AB65-SUM(PR65:RL65)),AMM64-G65*MAX(0,DM65*AMM64-(YL65+ABY65))))),MIN(GZ65,MAX(0,AB65-SUM(PR65:RL65))))</f>
        <v>0</v>
      </c>
      <c r="RN65" s="20" t="n">
        <f aca="false">IF(H_Direct=1,IF(AMN64&lt;=0,0,IF(DN65&lt;=0,MIN(MAX(0,AB65-SUM(PR65:RM65)),AMN64),MIN(MAX(0,AB65-SUM(PR65:RM65)),AMN64-G65*MAX(0,DN65*AMN64-(YM65+ABZ65))))),MIN(HA65,MAX(0,AB65-SUM(PR65:RM65))))</f>
        <v>0</v>
      </c>
      <c r="RO65" s="20" t="n">
        <f aca="false">IF(H_Direct=1,IF(AMO64&lt;=0,0,IF(DO65&lt;=0,MIN(MAX(0,AB65-SUM(PR65:RN65)),AMO64),MIN(MAX(0,AB65-SUM(PR65:RN65)),AMO64-G65*MAX(0,DO65*AMO64-(YN65+ACA65))))),MIN(HB65,MAX(0,AB65-SUM(PR65:RN65))))</f>
        <v>0</v>
      </c>
      <c r="RP65" s="20" t="n">
        <f aca="false">IF(H_Direct=1,IF(AMP64&lt;=0,0,IF(DP65&lt;=0,MIN(MAX(0,AB65-SUM(PR65:RO65)),AMP64),MIN(MAX(0,AB65-SUM(PR65:RO65)),AMP64-G65*MAX(0,DP65*AMP64-(YO65+ACB65))))),MIN(HC65,MAX(0,AB65-SUM(PR65:RO65))))</f>
        <v>0</v>
      </c>
      <c r="RQ65" s="20" t="n">
        <f aca="false">IF(H_Direct=1,IF(AMQ64&lt;=0,0,IF(DQ65&lt;=0,MIN(MAX(0,AB65-SUM(PR65:RP65)),AMQ64),MIN(MAX(0,AB65-SUM(PR65:RP65)),AMQ64-G65*MAX(0,DQ65*AMQ64-(YP65+ACC65))))),MIN(HD65,MAX(0,AB65-SUM(PR65:RP65))))</f>
        <v>0</v>
      </c>
      <c r="RR65" s="20" t="n">
        <f aca="false">IF(H_Direct=1,IF(AMR64&lt;=0,0,IF(DR65&lt;=0,MIN(MAX(0,AB65-SUM(PR65:RQ65)),AMR64),MIN(MAX(0,AB65-SUM(PR65:RQ65)),AMR64-G65*MAX(0,DR65*AMR64-(YQ65+ACD65))))),MIN(HE65,MAX(0,AB65-SUM(PR65:RQ65))))</f>
        <v>0</v>
      </c>
      <c r="RS65" s="20" t="n">
        <f aca="false">IF(H_Direct=1,IF(AMS64&lt;=0,0,IF(DS65&lt;=0,MIN(MAX(0,AB65-SUM(PR65:RR65)),AMS64),MIN(MAX(0,AB65-SUM(PR65:RR65)),AMS64-G65*MAX(0,DS65*AMS64-(YR65+ACE65))))),MIN(HF65,MAX(0,AB65-SUM(PR65:RR65))))</f>
        <v>0</v>
      </c>
      <c r="RT65" s="20" t="n">
        <f aca="false">IF(H_Direct=1,IF(AMT64&lt;=0,0,IF(DT65&lt;=0,MIN(MAX(0,AB65-SUM(PR65:RS65)),AMT64),MIN(MAX(0,AB65-SUM(PR65:RS65)),AMT64-G65*MAX(0,DT65*AMT64-(YS65+ACF65))))),MIN(HG65,MAX(0,AB65-SUM(PR65:RS65))))</f>
        <v>0</v>
      </c>
      <c r="RU65" s="20" t="n">
        <f aca="false">IF(H_Direct=1,IF(AMU64&lt;=0,0,IF(DU65&lt;=0,MIN(MAX(0,AB65-SUM(PR65:RT65)),AMU64),MIN(MAX(0,AB65-SUM(PR65:RT65)),AMU64-G65*MAX(0,DU65*AMU64-(YT65+ACG65))))),MIN(HH65,MAX(0,AB65-SUM(PR65:RT65))))</f>
        <v>0</v>
      </c>
      <c r="RV65" s="20" t="n">
        <f aca="false">IF(H_Direct=1,IF(AMV64&lt;=0,0,IF(DV65&lt;=0,MIN(MAX(0,AB65-SUM(PR65:RU65)),AMV64),MIN(MAX(0,AB65-SUM(PR65:RU65)),AMV64-G65*MAX(0,DV65*AMV64-(YU65+ACH65))))),MIN(HI65,MAX(0,AB65-SUM(PR65:RU65))))</f>
        <v>0</v>
      </c>
      <c r="RW65" s="20" t="n">
        <f aca="false">IF(H_Direct=1,IF(AMW64&lt;=0,0,IF(DW65&lt;=0,MIN(MAX(0,AB65-SUM(PR65:RV65)),AMW64),MIN(MAX(0,AB65-SUM(PR65:RV65)),AMW64-G65*MAX(0,DW65*AMW64-(YV65+ACI65))))),MIN(HJ65,MAX(0,AB65-SUM(PR65:RV65))))</f>
        <v>0</v>
      </c>
      <c r="RX65" s="20" t="n">
        <f aca="false">IF(H_Direct=1,IF((P65+S65)&lt;=0,0,IF(DX65&lt;=0,MIN(MAX(0,AB65-SUM(PR65:RW65)),(P65+S65)),MIN(MAX(0,AB65-SUM(PR65:RW65)),(P65+S65)-G65*MAX(0,DX65*(P65+S65)-(YW65+ACJ65))))),MIN(HK65,MAX(0,AB65-SUM(PR65:RW65))))</f>
        <v>0</v>
      </c>
      <c r="RY65" s="20" t="n">
        <v>0</v>
      </c>
      <c r="RZ65" s="20" t="n">
        <v>0</v>
      </c>
      <c r="SA65" s="20" t="n">
        <v>0</v>
      </c>
      <c r="SB65" s="20" t="n">
        <v>0</v>
      </c>
      <c r="SC65" s="20" t="n">
        <v>0</v>
      </c>
      <c r="SD65" s="20" t="n">
        <v>0</v>
      </c>
      <c r="SE65" s="20" t="n">
        <v>0</v>
      </c>
      <c r="SF65" s="20" t="n">
        <v>0</v>
      </c>
      <c r="SG65" s="20" t="n">
        <v>0</v>
      </c>
      <c r="SH65" s="20" t="n">
        <v>0</v>
      </c>
      <c r="SI65" s="20" t="n">
        <v>0</v>
      </c>
      <c r="SJ65" s="20" t="n">
        <v>0</v>
      </c>
      <c r="SK65" s="20" t="n">
        <v>0</v>
      </c>
      <c r="SL65" s="20" t="n">
        <v>0</v>
      </c>
      <c r="SM65" s="20" t="n">
        <v>0</v>
      </c>
      <c r="SN65" s="20" t="n">
        <v>0</v>
      </c>
      <c r="SO65" s="20" t="n">
        <v>0</v>
      </c>
      <c r="SP65" s="20" t="n">
        <v>0</v>
      </c>
      <c r="SQ65" s="20" t="n">
        <v>0</v>
      </c>
      <c r="SR65" s="20" t="n">
        <v>0</v>
      </c>
      <c r="SS65" s="20" t="n">
        <v>0</v>
      </c>
      <c r="ST65" s="20" t="n">
        <v>0</v>
      </c>
      <c r="SU65" s="20" t="n">
        <v>0</v>
      </c>
      <c r="SV65" s="20" t="n">
        <v>0</v>
      </c>
      <c r="SW65" s="20" t="n">
        <v>0</v>
      </c>
      <c r="SX65" s="20" t="n">
        <v>0</v>
      </c>
      <c r="SY65" s="20" t="n">
        <v>0</v>
      </c>
      <c r="SZ65" s="20" t="n">
        <v>0</v>
      </c>
      <c r="TA65" s="20" t="n">
        <v>0</v>
      </c>
      <c r="TB65" s="20" t="n">
        <v>0</v>
      </c>
      <c r="TC65" s="20" t="n">
        <v>0</v>
      </c>
      <c r="TD65" s="20" t="n">
        <v>0</v>
      </c>
      <c r="TE65" s="20" t="n">
        <f aca="false">IF(AKR64&lt;=0,0,IF(H_Direct=1,IF(BR65&lt;=0,PR65,IF(PR65&lt;=(H65+I65)/BR65,PR65,(PR65-G65*(H65+I65))/(1-G65*BR65))),PR65/(1-MAX(0,BR65)*H_Exit)))</f>
        <v>0</v>
      </c>
      <c r="TF65" s="20" t="n">
        <f aca="false">IF(AKS64&lt;=0,0,IF(H_Direct=1,IF(BS65&lt;=0,PS65,IF(PS65&lt;=(WR65+AAE65)/BS65,PS65,(PS65-G65*(WR65+AAE65))/(1-G65*BS65))),PS65/(1-MAX(0,BS65)*H_Exit)))</f>
        <v>0</v>
      </c>
      <c r="TG65" s="20" t="n">
        <f aca="false">IF(AKT64&lt;=0,0,IF(H_Direct=1,IF(BT65&lt;=0,PT65,IF(PT65&lt;=(WS65+AAF65)/BT65,PT65,(PT65-G65*(WS65+AAF65))/(1-G65*BT65))),PT65/(1-MAX(0,BT65)*H_Exit)))</f>
        <v>0</v>
      </c>
      <c r="TH65" s="20" t="n">
        <f aca="false">IF(AKU64&lt;=0,0,IF(H_Direct=1,IF(BU65&lt;=0,PU65,IF(PU65&lt;=(WT65+AAG65)/BU65,PU65,(PU65-G65*(WT65+AAG65))/(1-G65*BU65))),PU65/(1-MAX(0,BU65)*H_Exit)))</f>
        <v>0</v>
      </c>
      <c r="TI65" s="20" t="n">
        <f aca="false">IF(AKV64&lt;=0,0,IF(H_Direct=1,IF(BV65&lt;=0,PV65,IF(PV65&lt;=(WU65+AAH65)/BV65,PV65,(PV65-G65*(WU65+AAH65))/(1-G65*BV65))),PV65/(1-MAX(0,BV65)*H_Exit)))</f>
        <v>0</v>
      </c>
      <c r="TJ65" s="20" t="n">
        <f aca="false">IF(AKW64&lt;=0,0,IF(H_Direct=1,IF(BW65&lt;=0,PW65,IF(PW65&lt;=(WV65+AAI65)/BW65,PW65,(PW65-G65*(WV65+AAI65))/(1-G65*BW65))),PW65/(1-MAX(0,BW65)*H_Exit)))</f>
        <v>0</v>
      </c>
      <c r="TK65" s="20" t="n">
        <f aca="false">IF(AKX64&lt;=0,0,IF(H_Direct=1,IF(BX65&lt;=0,PX65,IF(PX65&lt;=(WW65+AAJ65)/BX65,PX65,(PX65-G65*(WW65+AAJ65))/(1-G65*BX65))),PX65/(1-MAX(0,BX65)*H_Exit)))</f>
        <v>0</v>
      </c>
      <c r="TL65" s="20" t="n">
        <f aca="false">IF(AKY64&lt;=0,0,IF(H_Direct=1,IF(BY65&lt;=0,PY65,IF(PY65&lt;=(WX65+AAK65)/BY65,PY65,(PY65-G65*(WX65+AAK65))/(1-G65*BY65))),PY65/(1-MAX(0,BY65)*H_Exit)))</f>
        <v>0</v>
      </c>
      <c r="TM65" s="20" t="n">
        <f aca="false">IF(AKZ64&lt;=0,0,IF(H_Direct=1,IF(BZ65&lt;=0,PZ65,IF(PZ65&lt;=(WY65+AAL65)/BZ65,PZ65,(PZ65-G65*(WY65+AAL65))/(1-G65*BZ65))),PZ65/(1-MAX(0,BZ65)*H_Exit)))</f>
        <v>0</v>
      </c>
      <c r="TN65" s="20" t="n">
        <f aca="false">IF(ALA64&lt;=0,0,IF(H_Direct=1,IF(CA65&lt;=0,QA65,IF(QA65&lt;=(WZ65+AAM65)/CA65,QA65,(QA65-G65*(WZ65+AAM65))/(1-G65*CA65))),QA65/(1-MAX(0,CA65)*H_Exit)))</f>
        <v>0</v>
      </c>
      <c r="TO65" s="20" t="n">
        <f aca="false">IF(ALB64&lt;=0,0,IF(H_Direct=1,IF(CB65&lt;=0,QB65,IF(QB65&lt;=(XA65+AAN65)/CB65,QB65,(QB65-G65*(XA65+AAN65))/(1-G65*CB65))),QB65/(1-MAX(0,CB65)*H_Exit)))</f>
        <v>0</v>
      </c>
      <c r="TP65" s="20" t="n">
        <f aca="false">IF(ALC64&lt;=0,0,IF(H_Direct=1,IF(CC65&lt;=0,QC65,IF(QC65&lt;=(XB65+AAO65)/CC65,QC65,(QC65-G65*(XB65+AAO65))/(1-G65*CC65))),QC65/(1-MAX(0,CC65)*H_Exit)))</f>
        <v>0</v>
      </c>
      <c r="TQ65" s="20" t="n">
        <f aca="false">IF(ALD64&lt;=0,0,IF(H_Direct=1,IF(CD65&lt;=0,QD65,IF(QD65&lt;=(XC65+AAP65)/CD65,QD65,(QD65-G65*(XC65+AAP65))/(1-G65*CD65))),QD65/(1-MAX(0,CD65)*H_Exit)))</f>
        <v>0</v>
      </c>
      <c r="TR65" s="20" t="n">
        <f aca="false">IF(ALE64&lt;=0,0,IF(H_Direct=1,IF(CE65&lt;=0,QE65,IF(QE65&lt;=(XD65+AAQ65)/CE65,QE65,(QE65-G65*(XD65+AAQ65))/(1-G65*CE65))),QE65/(1-MAX(0,CE65)*H_Exit)))</f>
        <v>0</v>
      </c>
      <c r="TS65" s="20" t="n">
        <f aca="false">IF(ALF64&lt;=0,0,IF(H_Direct=1,IF(CF65&lt;=0,QF65,IF(QF65&lt;=(XE65+AAR65)/CF65,QF65,(QF65-G65*(XE65+AAR65))/(1-G65*CF65))),QF65/(1-MAX(0,CF65)*H_Exit)))</f>
        <v>0</v>
      </c>
      <c r="TT65" s="20" t="n">
        <f aca="false">IF(ALG64&lt;=0,0,IF(H_Direct=1,IF(CG65&lt;=0,QG65,IF(QG65&lt;=(XF65+AAS65)/CG65,QG65,(QG65-G65*(XF65+AAS65))/(1-G65*CG65))),QG65/(1-MAX(0,CG65)*H_Exit)))</f>
        <v>0</v>
      </c>
      <c r="TU65" s="20" t="n">
        <f aca="false">IF(ALH64&lt;=0,0,IF(H_Direct=1,IF(CH65&lt;=0,QH65,IF(QH65&lt;=(XG65+AAT65)/CH65,QH65,(QH65-G65*(XG65+AAT65))/(1-G65*CH65))),QH65/(1-MAX(0,CH65)*H_Exit)))</f>
        <v>0</v>
      </c>
      <c r="TV65" s="20" t="n">
        <f aca="false">IF(ALI64&lt;=0,0,IF(H_Direct=1,IF(CI65&lt;=0,QI65,IF(QI65&lt;=(XH65+AAU65)/CI65,QI65,(QI65-G65*(XH65+AAU65))/(1-G65*CI65))),QI65/(1-MAX(0,CI65)*H_Exit)))</f>
        <v>0</v>
      </c>
      <c r="TW65" s="20" t="n">
        <f aca="false">IF(ALJ64&lt;=0,0,IF(H_Direct=1,IF(CJ65&lt;=0,QJ65,IF(QJ65&lt;=(XI65+AAV65)/CJ65,QJ65,(QJ65-G65*(XI65+AAV65))/(1-G65*CJ65))),QJ65/(1-MAX(0,CJ65)*H_Exit)))</f>
        <v>0</v>
      </c>
      <c r="TX65" s="20" t="n">
        <f aca="false">IF(ALK64&lt;=0,0,IF(H_Direct=1,IF(CK65&lt;=0,QK65,IF(QK65&lt;=(XJ65+AAW65)/CK65,QK65,(QK65-G65*(XJ65+AAW65))/(1-G65*CK65))),QK65/(1-MAX(0,CK65)*H_Exit)))</f>
        <v>0</v>
      </c>
      <c r="TY65" s="20" t="n">
        <f aca="false">IF(ALL64&lt;=0,0,IF(H_Direct=1,IF(CL65&lt;=0,QL65,IF(QL65&lt;=(XK65+AAX65)/CL65,QL65,(QL65-G65*(XK65+AAX65))/(1-G65*CL65))),QL65/(1-MAX(0,CL65)*H_Exit)))</f>
        <v>0</v>
      </c>
      <c r="TZ65" s="20" t="n">
        <f aca="false">IF(ALM64&lt;=0,0,IF(H_Direct=1,IF(CM65&lt;=0,QM65,IF(QM65&lt;=(XL65+AAY65)/CM65,QM65,(QM65-G65*(XL65+AAY65))/(1-G65*CM65))),QM65/(1-MAX(0,CM65)*H_Exit)))</f>
        <v>0</v>
      </c>
      <c r="UA65" s="20" t="n">
        <f aca="false">IF(ALN64&lt;=0,0,IF(H_Direct=1,IF(CN65&lt;=0,QN65,IF(QN65&lt;=(XM65+AAZ65)/CN65,QN65,(QN65-G65*(XM65+AAZ65))/(1-G65*CN65))),QN65/(1-MAX(0,CN65)*H_Exit)))</f>
        <v>0</v>
      </c>
      <c r="UB65" s="20" t="n">
        <f aca="false">IF(ALO64&lt;=0,0,IF(H_Direct=1,IF(CO65&lt;=0,QO65,IF(QO65&lt;=(XN65+ABA65)/CO65,QO65,(QO65-G65*(XN65+ABA65))/(1-G65*CO65))),QO65/(1-MAX(0,CO65)*H_Exit)))</f>
        <v>0</v>
      </c>
      <c r="UC65" s="20" t="n">
        <f aca="false">IF(ALP64&lt;=0,0,IF(H_Direct=1,IF(CP65&lt;=0,QP65,IF(QP65&lt;=(XO65+ABB65)/CP65,QP65,(QP65-G65*(XO65+ABB65))/(1-G65*CP65))),QP65/(1-MAX(0,CP65)*H_Exit)))</f>
        <v>0</v>
      </c>
      <c r="UD65" s="20" t="n">
        <f aca="false">IF(ALQ64&lt;=0,0,IF(H_Direct=1,IF(CQ65&lt;=0,QQ65,IF(QQ65&lt;=(XP65+ABC65)/CQ65,QQ65,(QQ65-G65*(XP65+ABC65))/(1-G65*CQ65))),QQ65/(1-MAX(0,CQ65)*H_Exit)))</f>
        <v>0</v>
      </c>
      <c r="UE65" s="20" t="n">
        <f aca="false">IF(ALR64&lt;=0,0,IF(H_Direct=1,IF(CR65&lt;=0,QR65,IF(QR65&lt;=(XQ65+ABD65)/CR65,QR65,(QR65-G65*(XQ65+ABD65))/(1-G65*CR65))),QR65/(1-MAX(0,CR65)*H_Exit)))</f>
        <v>0</v>
      </c>
      <c r="UF65" s="20" t="n">
        <f aca="false">IF(ALS64&lt;=0,0,IF(H_Direct=1,IF(CS65&lt;=0,QS65,IF(QS65&lt;=(XR65+ABE65)/CS65,QS65,(QS65-G65*(XR65+ABE65))/(1-G65*CS65))),QS65/(1-MAX(0,CS65)*H_Exit)))</f>
        <v>0</v>
      </c>
      <c r="UG65" s="20" t="n">
        <f aca="false">IF(ALT64&lt;=0,0,IF(H_Direct=1,IF(CT65&lt;=0,QT65,IF(QT65&lt;=(XS65+ABF65)/CT65,QT65,(QT65-G65*(XS65+ABF65))/(1-G65*CT65))),QT65/(1-MAX(0,CT65)*H_Exit)))</f>
        <v>0</v>
      </c>
      <c r="UH65" s="20" t="n">
        <f aca="false">IF(ALU64&lt;=0,0,IF(H_Direct=1,IF(CU65&lt;=0,QU65,IF(QU65&lt;=(XT65+ABG65)/CU65,QU65,(QU65-G65*(XT65+ABG65))/(1-G65*CU65))),QU65/(1-MAX(0,CU65)*H_Exit)))</f>
        <v>0</v>
      </c>
      <c r="UI65" s="20" t="n">
        <f aca="false">IF(ALV64&lt;=0,0,IF(H_Direct=1,IF(CV65&lt;=0,QV65,IF(QV65&lt;=(XU65+ABH65)/CV65,QV65,(QV65-G65*(XU65+ABH65))/(1-G65*CV65))),QV65/(1-MAX(0,CV65)*H_Exit)))</f>
        <v>0</v>
      </c>
      <c r="UJ65" s="20" t="n">
        <f aca="false">IF(ALW64&lt;=0,0,IF(H_Direct=1,IF(CW65&lt;=0,QW65,IF(QW65&lt;=(XV65+ABI65)/CW65,QW65,(QW65-G65*(XV65+ABI65))/(1-G65*CW65))),QW65/(1-MAX(0,CW65)*H_Exit)))</f>
        <v>0</v>
      </c>
      <c r="UK65" s="20" t="n">
        <f aca="false">IF(ALX64&lt;=0,0,IF(H_Direct=1,IF(CX65&lt;=0,QX65,IF(QX65&lt;=(XW65+ABJ65)/CX65,QX65,(QX65-G65*(XW65+ABJ65))/(1-G65*CX65))),QX65/(1-MAX(0,CX65)*H_Exit)))</f>
        <v>0</v>
      </c>
      <c r="UL65" s="20" t="n">
        <f aca="false">IF(ALY64&lt;=0,0,IF(H_Direct=1,IF(CY65&lt;=0,QY65,IF(QY65&lt;=(XX65+ABK65)/CY65,QY65,(QY65-G65*(XX65+ABK65))/(1-G65*CY65))),QY65/(1-MAX(0,CY65)*H_Exit)))</f>
        <v>0</v>
      </c>
      <c r="UM65" s="20" t="n">
        <f aca="false">IF(ALZ64&lt;=0,0,IF(H_Direct=1,IF(CZ65&lt;=0,QZ65,IF(QZ65&lt;=(XY65+ABL65)/CZ65,QZ65,(QZ65-G65*(XY65+ABL65))/(1-G65*CZ65))),QZ65/(1-MAX(0,CZ65)*H_Exit)))</f>
        <v>0</v>
      </c>
      <c r="UN65" s="20" t="n">
        <f aca="false">IF(AMA64&lt;=0,0,IF(H_Direct=1,IF(DA65&lt;=0,RA65,IF(RA65&lt;=(XZ65+ABM65)/DA65,RA65,(RA65-G65*(XZ65+ABM65))/(1-G65*DA65))),RA65/(1-MAX(0,DA65)*H_Exit)))</f>
        <v>0</v>
      </c>
      <c r="UO65" s="20" t="n">
        <f aca="false">IF(AMB64&lt;=0,0,IF(H_Direct=1,IF(DB65&lt;=0,RB65,IF(RB65&lt;=(YA65+ABN65)/DB65,RB65,(RB65-G65*(YA65+ABN65))/(1-G65*DB65))),RB65/(1-MAX(0,DB65)*H_Exit)))</f>
        <v>0</v>
      </c>
      <c r="UP65" s="20" t="n">
        <f aca="false">IF(AMC64&lt;=0,0,IF(H_Direct=1,IF(DC65&lt;=0,RC65,IF(RC65&lt;=(YB65+ABO65)/DC65,RC65,(RC65-G65*(YB65+ABO65))/(1-G65*DC65))),RC65/(1-MAX(0,DC65)*H_Exit)))</f>
        <v>0</v>
      </c>
      <c r="UQ65" s="20" t="n">
        <f aca="false">IF(AMD64&lt;=0,0,IF(H_Direct=1,IF(DD65&lt;=0,RD65,IF(RD65&lt;=(YC65+ABP65)/DD65,RD65,(RD65-G65*(YC65+ABP65))/(1-G65*DD65))),RD65/(1-MAX(0,DD65)*H_Exit)))</f>
        <v>0</v>
      </c>
      <c r="UR65" s="20" t="n">
        <f aca="false">IF(AME64&lt;=0,0,IF(H_Direct=1,IF(DE65&lt;=0,RE65,IF(RE65&lt;=(YD65+ABQ65)/DE65,RE65,(RE65-G65*(YD65+ABQ65))/(1-G65*DE65))),RE65/(1-MAX(0,DE65)*H_Exit)))</f>
        <v>0</v>
      </c>
      <c r="US65" s="20" t="n">
        <f aca="false">IF(AMF64&lt;=0,0,IF(H_Direct=1,IF(DF65&lt;=0,RF65,IF(RF65&lt;=(YE65+ABR65)/DF65,RF65,(RF65-G65*(YE65+ABR65))/(1-G65*DF65))),RF65/(1-MAX(0,DF65)*H_Exit)))</f>
        <v>0</v>
      </c>
      <c r="UT65" s="20" t="n">
        <f aca="false">IF(AMG64&lt;=0,0,IF(H_Direct=1,IF(DG65&lt;=0,RG65,IF(RG65&lt;=(YF65+ABS65)/DG65,RG65,(RG65-G65*(YF65+ABS65))/(1-G65*DG65))),RG65/(1-MAX(0,DG65)*H_Exit)))</f>
        <v>0</v>
      </c>
      <c r="UU65" s="20" t="n">
        <f aca="false">IF(AMH64&lt;=0,0,IF(H_Direct=1,IF(DH65&lt;=0,RH65,IF(RH65&lt;=(YG65+ABT65)/DH65,RH65,(RH65-G65*(YG65+ABT65))/(1-G65*DH65))),RH65/(1-MAX(0,DH65)*H_Exit)))</f>
        <v>0</v>
      </c>
      <c r="UV65" s="20" t="n">
        <f aca="false">IF(AMI64&lt;=0,0,IF(H_Direct=1,IF(DI65&lt;=0,RI65,IF(RI65&lt;=(YH65+ABU65)/DI65,RI65,(RI65-G65*(YH65+ABU65))/(1-G65*DI65))),RI65/(1-MAX(0,DI65)*H_Exit)))</f>
        <v>0</v>
      </c>
      <c r="UW65" s="20" t="n">
        <f aca="false">IF(AMJ64&lt;=0,0,IF(H_Direct=1,IF(DJ65&lt;=0,RJ65,IF(RJ65&lt;=(YI65+ABV65)/DJ65,RJ65,(RJ65-G65*(YI65+ABV65))/(1-G65*DJ65))),RJ65/(1-MAX(0,DJ65)*H_Exit)))</f>
        <v>0</v>
      </c>
      <c r="UX65" s="20" t="n">
        <f aca="false">IF(AMK64&lt;=0,0,IF(H_Direct=1,IF(DK65&lt;=0,RK65,IF(RK65&lt;=(YJ65+ABW65)/DK65,RK65,(RK65-G65*(YJ65+ABW65))/(1-G65*DK65))),RK65/(1-MAX(0,DK65)*H_Exit)))</f>
        <v>0</v>
      </c>
      <c r="UY65" s="20" t="n">
        <f aca="false">IF(AML64&lt;=0,0,IF(H_Direct=1,IF(DL65&lt;=0,RL65,IF(RL65&lt;=(YK65+ABX65)/DL65,RL65,(RL65-G65*(YK65+ABX65))/(1-G65*DL65))),RL65/(1-MAX(0,DL65)*H_Exit)))</f>
        <v>0</v>
      </c>
      <c r="UZ65" s="20" t="n">
        <f aca="false">IF(AMM64&lt;=0,0,IF(H_Direct=1,IF(DM65&lt;=0,RM65,IF(RM65&lt;=(YL65+ABY65)/DM65,RM65,(RM65-G65*(YL65+ABY65))/(1-G65*DM65))),RM65/(1-MAX(0,DM65)*H_Exit)))</f>
        <v>0</v>
      </c>
      <c r="VA65" s="20" t="n">
        <f aca="false">IF(AMN64&lt;=0,0,IF(H_Direct=1,IF(DN65&lt;=0,RN65,IF(RN65&lt;=(YM65+ABZ65)/DN65,RN65,(RN65-G65*(YM65+ABZ65))/(1-G65*DN65))),RN65/(1-MAX(0,DN65)*H_Exit)))</f>
        <v>0</v>
      </c>
      <c r="VB65" s="20" t="n">
        <f aca="false">IF(AMO64&lt;=0,0,IF(H_Direct=1,IF(DO65&lt;=0,RO65,IF(RO65&lt;=(YN65+ACA65)/DO65,RO65,(RO65-G65*(YN65+ACA65))/(1-G65*DO65))),RO65/(1-MAX(0,DO65)*H_Exit)))</f>
        <v>0</v>
      </c>
      <c r="VC65" s="20" t="n">
        <f aca="false">IF(AMP64&lt;=0,0,IF(H_Direct=1,IF(DP65&lt;=0,RP65,IF(RP65&lt;=(YO65+ACB65)/DP65,RP65,(RP65-G65*(YO65+ACB65))/(1-G65*DP65))),RP65/(1-MAX(0,DP65)*H_Exit)))</f>
        <v>0</v>
      </c>
      <c r="VD65" s="20" t="n">
        <f aca="false">IF(AMQ64&lt;=0,0,IF(H_Direct=1,IF(DQ65&lt;=0,RQ65,IF(RQ65&lt;=(YP65+ACC65)/DQ65,RQ65,(RQ65-G65*(YP65+ACC65))/(1-G65*DQ65))),RQ65/(1-MAX(0,DQ65)*H_Exit)))</f>
        <v>0</v>
      </c>
      <c r="VE65" s="20" t="n">
        <f aca="false">IF(AMR64&lt;=0,0,IF(H_Direct=1,IF(DR65&lt;=0,RR65,IF(RR65&lt;=(YQ65+ACD65)/DR65,RR65,(RR65-G65*(YQ65+ACD65))/(1-G65*DR65))),RR65/(1-MAX(0,DR65)*H_Exit)))</f>
        <v>0</v>
      </c>
      <c r="VF65" s="20" t="n">
        <f aca="false">IF(AMS64&lt;=0,0,IF(H_Direct=1,IF(DS65&lt;=0,RS65,IF(RS65&lt;=(YR65+ACE65)/DS65,RS65,(RS65-G65*(YR65+ACE65))/(1-G65*DS65))),RS65/(1-MAX(0,DS65)*H_Exit)))</f>
        <v>0</v>
      </c>
      <c r="VG65" s="20" t="n">
        <f aca="false">IF(AMT64&lt;=0,0,IF(H_Direct=1,IF(DT65&lt;=0,RT65,IF(RT65&lt;=(YS65+ACF65)/DT65,RT65,(RT65-G65*(YS65+ACF65))/(1-G65*DT65))),RT65/(1-MAX(0,DT65)*H_Exit)))</f>
        <v>0</v>
      </c>
      <c r="VH65" s="20" t="n">
        <f aca="false">IF(AMU64&lt;=0,0,IF(H_Direct=1,IF(DU65&lt;=0,RU65,IF(RU65&lt;=(YT65+ACG65)/DU65,RU65,(RU65-G65*(YT65+ACG65))/(1-G65*DU65))),RU65/(1-MAX(0,DU65)*H_Exit)))</f>
        <v>0</v>
      </c>
      <c r="VI65" s="20" t="n">
        <f aca="false">IF(AMV64&lt;=0,0,IF(H_Direct=1,IF(DV65&lt;=0,RV65,IF(RV65&lt;=(YU65+ACH65)/DV65,RV65,(RV65-G65*(YU65+ACH65))/(1-G65*DV65))),RV65/(1-MAX(0,DV65)*H_Exit)))</f>
        <v>0</v>
      </c>
      <c r="VJ65" s="20" t="n">
        <f aca="false">IF(AMW64&lt;=0,0,IF(H_Direct=1,IF(DW65&lt;=0,RW65,IF(RW65&lt;=(YV65+ACI65)/DW65,RW65,(RW65-G65*(YV65+ACI65))/(1-G65*DW65))),RW65/(1-MAX(0,DW65)*H_Exit)))</f>
        <v>0</v>
      </c>
      <c r="VK65" s="20" t="n">
        <f aca="false">IF((P65+S65)&lt;=0,0,IF(H_Direct=1,IF(DX65&lt;=0,RX65,IF(RX65&lt;=(YW65+ACJ65)/DX65,RX65,(RX65-G65*(YW65+ACJ65))/(1-G65*DX65))),RX65/(1-MAX(0,DX65)*H_Exit)))</f>
        <v>0</v>
      </c>
      <c r="VL65" s="20" t="n">
        <v>0</v>
      </c>
      <c r="VM65" s="20" t="n">
        <v>0</v>
      </c>
      <c r="VN65" s="20" t="n">
        <v>0</v>
      </c>
      <c r="VO65" s="20" t="n">
        <v>0</v>
      </c>
      <c r="VP65" s="20" t="n">
        <v>0</v>
      </c>
      <c r="VQ65" s="20" t="n">
        <v>0</v>
      </c>
      <c r="VR65" s="20" t="n">
        <v>0</v>
      </c>
      <c r="VS65" s="20" t="n">
        <v>0</v>
      </c>
      <c r="VT65" s="20" t="n">
        <v>0</v>
      </c>
      <c r="VU65" s="20" t="n">
        <v>0</v>
      </c>
      <c r="VV65" s="20" t="n">
        <v>0</v>
      </c>
      <c r="VW65" s="20" t="n">
        <v>0</v>
      </c>
      <c r="VX65" s="20" t="n">
        <v>0</v>
      </c>
      <c r="VY65" s="20" t="n">
        <v>0</v>
      </c>
      <c r="VZ65" s="20" t="n">
        <v>0</v>
      </c>
      <c r="WA65" s="20" t="n">
        <v>0</v>
      </c>
      <c r="WB65" s="20" t="n">
        <v>0</v>
      </c>
      <c r="WC65" s="20" t="n">
        <v>0</v>
      </c>
      <c r="WD65" s="20" t="n">
        <v>0</v>
      </c>
      <c r="WE65" s="20" t="n">
        <v>0</v>
      </c>
      <c r="WF65" s="20" t="n">
        <v>0</v>
      </c>
      <c r="WG65" s="20" t="n">
        <v>0</v>
      </c>
      <c r="WH65" s="20" t="n">
        <v>0</v>
      </c>
      <c r="WI65" s="20" t="n">
        <v>0</v>
      </c>
      <c r="WJ65" s="20" t="n">
        <v>0</v>
      </c>
      <c r="WK65" s="20" t="n">
        <v>0</v>
      </c>
      <c r="WL65" s="20" t="n">
        <v>0</v>
      </c>
      <c r="WM65" s="20" t="n">
        <v>0</v>
      </c>
      <c r="WN65" s="20" t="n">
        <v>0</v>
      </c>
      <c r="WO65" s="20" t="n">
        <v>0</v>
      </c>
      <c r="WP65" s="20" t="n">
        <v>0</v>
      </c>
      <c r="WQ65" s="20" t="n">
        <v>0</v>
      </c>
      <c r="WR65" s="20" t="n">
        <f aca="false">IF(AND(H_Direct=1,BR65&gt;0),MAX(0,H65-(MIN(BR65*TE65,(H65+I65))-MIN(MIN(BR65*TE65,(H65+I65)),I65))),H65)</f>
        <v>1270</v>
      </c>
      <c r="WS65" s="20" t="n">
        <f aca="false">IF(AND(H_Direct=1,BS65&gt;0),MAX(0,WR65-(MIN(BS65*TF65,(WR65+AAE65))-MIN(MIN(BS65*TF65,(WR65+AAE65)),AAE65))),WR65)</f>
        <v>1270</v>
      </c>
      <c r="WT65" s="20" t="n">
        <f aca="false">IF(AND(H_Direct=1,BT65&gt;0),MAX(0,WS65-(MIN(BT65*TG65,(WS65+AAF65))-MIN(MIN(BT65*TG65,(WS65+AAF65)),AAF65))),WS65)</f>
        <v>1270</v>
      </c>
      <c r="WU65" s="20" t="n">
        <f aca="false">IF(AND(H_Direct=1,BU65&gt;0),MAX(0,WT65-(MIN(BU65*TH65,(WT65+AAG65))-MIN(MIN(BU65*TH65,(WT65+AAG65)),AAG65))),WT65)</f>
        <v>1270</v>
      </c>
      <c r="WV65" s="20" t="n">
        <f aca="false">IF(AND(H_Direct=1,BV65&gt;0),MAX(0,WU65-(MIN(BV65*TI65,(WU65+AAH65))-MIN(MIN(BV65*TI65,(WU65+AAH65)),AAH65))),WU65)</f>
        <v>1270</v>
      </c>
      <c r="WW65" s="20" t="n">
        <f aca="false">IF(AND(H_Direct=1,BW65&gt;0),MAX(0,WV65-(MIN(BW65*TJ65,(WV65+AAI65))-MIN(MIN(BW65*TJ65,(WV65+AAI65)),AAI65))),WV65)</f>
        <v>1270</v>
      </c>
      <c r="WX65" s="20" t="n">
        <f aca="false">IF(AND(H_Direct=1,BX65&gt;0),MAX(0,WW65-(MIN(BX65*TK65,(WW65+AAJ65))-MIN(MIN(BX65*TK65,(WW65+AAJ65)),AAJ65))),WW65)</f>
        <v>1270</v>
      </c>
      <c r="WY65" s="20" t="n">
        <f aca="false">IF(AND(H_Direct=1,BY65&gt;0),MAX(0,WX65-(MIN(BY65*TL65,(WX65+AAK65))-MIN(MIN(BY65*TL65,(WX65+AAK65)),AAK65))),WX65)</f>
        <v>1270</v>
      </c>
      <c r="WZ65" s="20" t="n">
        <f aca="false">IF(AND(H_Direct=1,BZ65&gt;0),MAX(0,WY65-(MIN(BZ65*TM65,(WY65+AAL65))-MIN(MIN(BZ65*TM65,(WY65+AAL65)),AAL65))),WY65)</f>
        <v>1270</v>
      </c>
      <c r="XA65" s="20" t="n">
        <f aca="false">IF(AND(H_Direct=1,CA65&gt;0),MAX(0,WZ65-(MIN(CA65*TN65,(WZ65+AAM65))-MIN(MIN(CA65*TN65,(WZ65+AAM65)),AAM65))),WZ65)</f>
        <v>1270</v>
      </c>
      <c r="XB65" s="20" t="n">
        <f aca="false">IF(AND(H_Direct=1,CB65&gt;0),MAX(0,XA65-(MIN(CB65*TO65,(XA65+AAN65))-MIN(MIN(CB65*TO65,(XA65+AAN65)),AAN65))),XA65)</f>
        <v>1270</v>
      </c>
      <c r="XC65" s="20" t="n">
        <f aca="false">IF(AND(H_Direct=1,CC65&gt;0),MAX(0,XB65-(MIN(CC65*TP65,(XB65+AAO65))-MIN(MIN(CC65*TP65,(XB65+AAO65)),AAO65))),XB65)</f>
        <v>1270</v>
      </c>
      <c r="XD65" s="20" t="n">
        <f aca="false">IF(AND(H_Direct=1,CD65&gt;0),MAX(0,XC65-(MIN(CD65*TQ65,(XC65+AAP65))-MIN(MIN(CD65*TQ65,(XC65+AAP65)),AAP65))),XC65)</f>
        <v>1270</v>
      </c>
      <c r="XE65" s="20" t="n">
        <f aca="false">IF(AND(H_Direct=1,CE65&gt;0),MAX(0,XD65-(MIN(CE65*TR65,(XD65+AAQ65))-MIN(MIN(CE65*TR65,(XD65+AAQ65)),AAQ65))),XD65)</f>
        <v>1270</v>
      </c>
      <c r="XF65" s="20" t="n">
        <f aca="false">IF(AND(H_Direct=1,CF65&gt;0),MAX(0,XE65-(MIN(CF65*TS65,(XE65+AAR65))-MIN(MIN(CF65*TS65,(XE65+AAR65)),AAR65))),XE65)</f>
        <v>1270</v>
      </c>
      <c r="XG65" s="20" t="n">
        <f aca="false">IF(AND(H_Direct=1,CG65&gt;0),MAX(0,XF65-(MIN(CG65*TT65,(XF65+AAS65))-MIN(MIN(CG65*TT65,(XF65+AAS65)),AAS65))),XF65)</f>
        <v>1270</v>
      </c>
      <c r="XH65" s="20" t="n">
        <f aca="false">IF(AND(H_Direct=1,CH65&gt;0),MAX(0,XG65-(MIN(CH65*TU65,(XG65+AAT65))-MIN(MIN(CH65*TU65,(XG65+AAT65)),AAT65))),XG65)</f>
        <v>1270</v>
      </c>
      <c r="XI65" s="20" t="n">
        <f aca="false">IF(AND(H_Direct=1,CI65&gt;0),MAX(0,XH65-(MIN(CI65*TV65,(XH65+AAU65))-MIN(MIN(CI65*TV65,(XH65+AAU65)),AAU65))),XH65)</f>
        <v>1270</v>
      </c>
      <c r="XJ65" s="20" t="n">
        <f aca="false">IF(AND(H_Direct=1,CJ65&gt;0),MAX(0,XI65-(MIN(CJ65*TW65,(XI65+AAV65))-MIN(MIN(CJ65*TW65,(XI65+AAV65)),AAV65))),XI65)</f>
        <v>1270</v>
      </c>
      <c r="XK65" s="20" t="n">
        <f aca="false">IF(AND(H_Direct=1,CK65&gt;0),MAX(0,XJ65-(MIN(CK65*TX65,(XJ65+AAW65))-MIN(MIN(CK65*TX65,(XJ65+AAW65)),AAW65))),XJ65)</f>
        <v>1270</v>
      </c>
      <c r="XL65" s="20" t="n">
        <f aca="false">IF(AND(H_Direct=1,CL65&gt;0),MAX(0,XK65-(MIN(CL65*TY65,(XK65+AAX65))-MIN(MIN(CL65*TY65,(XK65+AAX65)),AAX65))),XK65)</f>
        <v>1270</v>
      </c>
      <c r="XM65" s="20" t="n">
        <f aca="false">IF(AND(H_Direct=1,CM65&gt;0),MAX(0,XL65-(MIN(CM65*TZ65,(XL65+AAY65))-MIN(MIN(CM65*TZ65,(XL65+AAY65)),AAY65))),XL65)</f>
        <v>1270</v>
      </c>
      <c r="XN65" s="20" t="n">
        <f aca="false">IF(AND(H_Direct=1,CN65&gt;0),MAX(0,XM65-(MIN(CN65*UA65,(XM65+AAZ65))-MIN(MIN(CN65*UA65,(XM65+AAZ65)),AAZ65))),XM65)</f>
        <v>1270</v>
      </c>
      <c r="XO65" s="20" t="n">
        <f aca="false">IF(AND(H_Direct=1,CO65&gt;0),MAX(0,XN65-(MIN(CO65*UB65,(XN65+ABA65))-MIN(MIN(CO65*UB65,(XN65+ABA65)),ABA65))),XN65)</f>
        <v>1270</v>
      </c>
      <c r="XP65" s="20" t="n">
        <f aca="false">IF(AND(H_Direct=1,CP65&gt;0),MAX(0,XO65-(MIN(CP65*UC65,(XO65+ABB65))-MIN(MIN(CP65*UC65,(XO65+ABB65)),ABB65))),XO65)</f>
        <v>1270</v>
      </c>
      <c r="XQ65" s="20" t="n">
        <f aca="false">IF(AND(H_Direct=1,CQ65&gt;0),MAX(0,XP65-(MIN(CQ65*UD65,(XP65+ABC65))-MIN(MIN(CQ65*UD65,(XP65+ABC65)),ABC65))),XP65)</f>
        <v>1270</v>
      </c>
      <c r="XR65" s="20" t="n">
        <f aca="false">IF(AND(H_Direct=1,CR65&gt;0),MAX(0,XQ65-(MIN(CR65*UE65,(XQ65+ABD65))-MIN(MIN(CR65*UE65,(XQ65+ABD65)),ABD65))),XQ65)</f>
        <v>1270</v>
      </c>
      <c r="XS65" s="20" t="n">
        <f aca="false">IF(AND(H_Direct=1,CS65&gt;0),MAX(0,XR65-(MIN(CS65*UF65,(XR65+ABE65))-MIN(MIN(CS65*UF65,(XR65+ABE65)),ABE65))),XR65)</f>
        <v>1270</v>
      </c>
      <c r="XT65" s="20" t="n">
        <f aca="false">IF(AND(H_Direct=1,CT65&gt;0),MAX(0,XS65-(MIN(CT65*UG65,(XS65+ABF65))-MIN(MIN(CT65*UG65,(XS65+ABF65)),ABF65))),XS65)</f>
        <v>1270</v>
      </c>
      <c r="XU65" s="20" t="n">
        <f aca="false">IF(AND(H_Direct=1,CU65&gt;0),MAX(0,XT65-(MIN(CU65*UH65,(XT65+ABG65))-MIN(MIN(CU65*UH65,(XT65+ABG65)),ABG65))),XT65)</f>
        <v>1270</v>
      </c>
      <c r="XV65" s="20" t="n">
        <f aca="false">IF(AND(H_Direct=1,CV65&gt;0),MAX(0,XU65-(MIN(CV65*UI65,(XU65+ABH65))-MIN(MIN(CV65*UI65,(XU65+ABH65)),ABH65))),XU65)</f>
        <v>1270</v>
      </c>
      <c r="XW65" s="20" t="n">
        <f aca="false">IF(AND(H_Direct=1,CW65&gt;0),MAX(0,XV65-(MIN(CW65*UJ65,(XV65+ABI65))-MIN(MIN(CW65*UJ65,(XV65+ABI65)),ABI65))),XV65)</f>
        <v>1270</v>
      </c>
      <c r="XX65" s="20" t="n">
        <f aca="false">IF(AND(H_Direct=1,CX65&gt;0),MAX(0,XW65-(MIN(CX65*UK65,(XW65+ABJ65))-MIN(MIN(CX65*UK65,(XW65+ABJ65)),ABJ65))),XW65)</f>
        <v>1270</v>
      </c>
      <c r="XY65" s="20" t="n">
        <f aca="false">IF(AND(H_Direct=1,CY65&gt;0),MAX(0,XX65-(MIN(CY65*UL65,(XX65+ABK65))-MIN(MIN(CY65*UL65,(XX65+ABK65)),ABK65))),XX65)</f>
        <v>1270</v>
      </c>
      <c r="XZ65" s="20" t="n">
        <f aca="false">IF(AND(H_Direct=1,CZ65&gt;0),MAX(0,XY65-(MIN(CZ65*UM65,(XY65+ABL65))-MIN(MIN(CZ65*UM65,(XY65+ABL65)),ABL65))),XY65)</f>
        <v>1270</v>
      </c>
      <c r="YA65" s="20" t="n">
        <f aca="false">IF(AND(H_Direct=1,DA65&gt;0),MAX(0,XZ65-(MIN(DA65*UN65,(XZ65+ABM65))-MIN(MIN(DA65*UN65,(XZ65+ABM65)),ABM65))),XZ65)</f>
        <v>1270</v>
      </c>
      <c r="YB65" s="20" t="n">
        <f aca="false">IF(AND(H_Direct=1,DB65&gt;0),MAX(0,YA65-(MIN(DB65*UO65,(YA65+ABN65))-MIN(MIN(DB65*UO65,(YA65+ABN65)),ABN65))),YA65)</f>
        <v>1270</v>
      </c>
      <c r="YC65" s="20" t="n">
        <f aca="false">IF(AND(H_Direct=1,DC65&gt;0),MAX(0,YB65-(MIN(DC65*UP65,(YB65+ABO65))-MIN(MIN(DC65*UP65,(YB65+ABO65)),ABO65))),YB65)</f>
        <v>1270</v>
      </c>
      <c r="YD65" s="20" t="n">
        <f aca="false">IF(AND(H_Direct=1,DD65&gt;0),MAX(0,YC65-(MIN(DD65*UQ65,(YC65+ABP65))-MIN(MIN(DD65*UQ65,(YC65+ABP65)),ABP65))),YC65)</f>
        <v>1270</v>
      </c>
      <c r="YE65" s="20" t="n">
        <f aca="false">IF(AND(H_Direct=1,DE65&gt;0),MAX(0,YD65-(MIN(DE65*UR65,(YD65+ABQ65))-MIN(MIN(DE65*UR65,(YD65+ABQ65)),ABQ65))),YD65)</f>
        <v>1270</v>
      </c>
      <c r="YF65" s="20" t="n">
        <f aca="false">IF(AND(H_Direct=1,DF65&gt;0),MAX(0,YE65-(MIN(DF65*US65,(YE65+ABR65))-MIN(MIN(DF65*US65,(YE65+ABR65)),ABR65))),YE65)</f>
        <v>1270</v>
      </c>
      <c r="YG65" s="20" t="n">
        <f aca="false">IF(AND(H_Direct=1,DG65&gt;0),MAX(0,YF65-(MIN(DG65*UT65,(YF65+ABS65))-MIN(MIN(DG65*UT65,(YF65+ABS65)),ABS65))),YF65)</f>
        <v>1270</v>
      </c>
      <c r="YH65" s="20" t="n">
        <f aca="false">IF(AND(H_Direct=1,DH65&gt;0),MAX(0,YG65-(MIN(DH65*UU65,(YG65+ABT65))-MIN(MIN(DH65*UU65,(YG65+ABT65)),ABT65))),YG65)</f>
        <v>1270</v>
      </c>
      <c r="YI65" s="20" t="n">
        <f aca="false">IF(AND(H_Direct=1,DI65&gt;0),MAX(0,YH65-(MIN(DI65*UV65,(YH65+ABU65))-MIN(MIN(DI65*UV65,(YH65+ABU65)),ABU65))),YH65)</f>
        <v>1270</v>
      </c>
      <c r="YJ65" s="20" t="n">
        <f aca="false">IF(AND(H_Direct=1,DJ65&gt;0),MAX(0,YI65-(MIN(DJ65*UW65,(YI65+ABV65))-MIN(MIN(DJ65*UW65,(YI65+ABV65)),ABV65))),YI65)</f>
        <v>1270</v>
      </c>
      <c r="YK65" s="20" t="n">
        <f aca="false">IF(AND(H_Direct=1,DK65&gt;0),MAX(0,YJ65-(MIN(DK65*UX65,(YJ65+ABW65))-MIN(MIN(DK65*UX65,(YJ65+ABW65)),ABW65))),YJ65)</f>
        <v>1270</v>
      </c>
      <c r="YL65" s="20" t="n">
        <f aca="false">IF(AND(H_Direct=1,DL65&gt;0),MAX(0,YK65-(MIN(DL65*UY65,(YK65+ABX65))-MIN(MIN(DL65*UY65,(YK65+ABX65)),ABX65))),YK65)</f>
        <v>1270</v>
      </c>
      <c r="YM65" s="20" t="n">
        <f aca="false">IF(AND(H_Direct=1,DM65&gt;0),MAX(0,YL65-(MIN(DM65*UZ65,(YL65+ABY65))-MIN(MIN(DM65*UZ65,(YL65+ABY65)),ABY65))),YL65)</f>
        <v>1270</v>
      </c>
      <c r="YN65" s="20" t="n">
        <f aca="false">IF(AND(H_Direct=1,DN65&gt;0),MAX(0,YM65-(MIN(DN65*VA65,(YM65+ABZ65))-MIN(MIN(DN65*VA65,(YM65+ABZ65)),ABZ65))),YM65)</f>
        <v>1270</v>
      </c>
      <c r="YO65" s="20" t="n">
        <f aca="false">IF(AND(H_Direct=1,DO65&gt;0),MAX(0,YN65-(MIN(DO65*VB65,(YN65+ACA65))-MIN(MIN(DO65*VB65,(YN65+ACA65)),ACA65))),YN65)</f>
        <v>1270</v>
      </c>
      <c r="YP65" s="20" t="n">
        <f aca="false">IF(AND(H_Direct=1,DP65&gt;0),MAX(0,YO65-(MIN(DP65*VC65,(YO65+ACB65))-MIN(MIN(DP65*VC65,(YO65+ACB65)),ACB65))),YO65)</f>
        <v>1270</v>
      </c>
      <c r="YQ65" s="20" t="n">
        <f aca="false">IF(AND(H_Direct=1,DQ65&gt;0),MAX(0,YP65-(MIN(DQ65*VD65,(YP65+ACC65))-MIN(MIN(DQ65*VD65,(YP65+ACC65)),ACC65))),YP65)</f>
        <v>1270</v>
      </c>
      <c r="YR65" s="20" t="n">
        <f aca="false">IF(AND(H_Direct=1,DR65&gt;0),MAX(0,YQ65-(MIN(DR65*VE65,(YQ65+ACD65))-MIN(MIN(DR65*VE65,(YQ65+ACD65)),ACD65))),YQ65)</f>
        <v>1270</v>
      </c>
      <c r="YS65" s="20" t="n">
        <f aca="false">IF(AND(H_Direct=1,DS65&gt;0),MAX(0,YR65-(MIN(DS65*VF65,(YR65+ACE65))-MIN(MIN(DS65*VF65,(YR65+ACE65)),ACE65))),YR65)</f>
        <v>1270</v>
      </c>
      <c r="YT65" s="20" t="n">
        <f aca="false">IF(AND(H_Direct=1,DT65&gt;0),MAX(0,YS65-(MIN(DT65*VG65,(YS65+ACF65))-MIN(MIN(DT65*VG65,(YS65+ACF65)),ACF65))),YS65)</f>
        <v>1270</v>
      </c>
      <c r="YU65" s="20" t="n">
        <f aca="false">IF(AND(H_Direct=1,DU65&gt;0),MAX(0,YT65-(MIN(DU65*VH65,(YT65+ACG65))-MIN(MIN(DU65*VH65,(YT65+ACG65)),ACG65))),YT65)</f>
        <v>1270</v>
      </c>
      <c r="YV65" s="20" t="n">
        <f aca="false">IF(AND(H_Direct=1,DV65&gt;0),MAX(0,YU65-(MIN(DV65*VI65,(YU65+ACH65))-MIN(MIN(DV65*VI65,(YU65+ACH65)),ACH65))),YU65)</f>
        <v>1270</v>
      </c>
      <c r="YW65" s="20" t="n">
        <f aca="false">IF(AND(H_Direct=1,DW65&gt;0),MAX(0,YV65-(MIN(DW65*VJ65,(YV65+ACI65))-MIN(MIN(DW65*VJ65,(YV65+ACI65)),ACI65))),YV65)</f>
        <v>1270</v>
      </c>
      <c r="YX65" s="20" t="n">
        <f aca="false">IF(AND(H_Direct=1,DX65&gt;0),MAX(0,YW65-(MIN(DX65*VK65,(YW65+ACJ65))-MIN(MIN(DX65*VK65,(YW65+ACJ65)),ACJ65))),YW65)</f>
        <v>1270</v>
      </c>
      <c r="YY65" s="20" t="n">
        <f aca="false">YX65</f>
        <v>1270</v>
      </c>
      <c r="YZ65" s="20" t="n">
        <f aca="false">YY65</f>
        <v>1270</v>
      </c>
      <c r="ZA65" s="20" t="n">
        <f aca="false">YZ65</f>
        <v>1270</v>
      </c>
      <c r="ZB65" s="20" t="n">
        <f aca="false">ZA65</f>
        <v>1270</v>
      </c>
      <c r="ZC65" s="20" t="n">
        <f aca="false">ZB65</f>
        <v>1270</v>
      </c>
      <c r="ZD65" s="20" t="n">
        <f aca="false">ZC65</f>
        <v>1270</v>
      </c>
      <c r="ZE65" s="20" t="n">
        <f aca="false">ZD65</f>
        <v>1270</v>
      </c>
      <c r="ZF65" s="20" t="n">
        <f aca="false">ZE65</f>
        <v>1270</v>
      </c>
      <c r="ZG65" s="20" t="n">
        <f aca="false">ZF65</f>
        <v>1270</v>
      </c>
      <c r="ZH65" s="20" t="n">
        <f aca="false">ZG65</f>
        <v>1270</v>
      </c>
      <c r="ZI65" s="20" t="n">
        <f aca="false">ZH65</f>
        <v>1270</v>
      </c>
      <c r="ZJ65" s="20" t="n">
        <f aca="false">ZI65</f>
        <v>1270</v>
      </c>
      <c r="ZK65" s="20" t="n">
        <f aca="false">ZJ65</f>
        <v>1270</v>
      </c>
      <c r="ZL65" s="20" t="n">
        <f aca="false">ZK65</f>
        <v>1270</v>
      </c>
      <c r="ZM65" s="20" t="n">
        <f aca="false">ZL65</f>
        <v>1270</v>
      </c>
      <c r="ZN65" s="20" t="n">
        <f aca="false">ZM65</f>
        <v>1270</v>
      </c>
      <c r="ZO65" s="20" t="n">
        <f aca="false">ZN65</f>
        <v>1270</v>
      </c>
      <c r="ZP65" s="20" t="n">
        <f aca="false">ZO65</f>
        <v>1270</v>
      </c>
      <c r="ZQ65" s="20" t="n">
        <f aca="false">ZP65</f>
        <v>1270</v>
      </c>
      <c r="ZR65" s="20" t="n">
        <f aca="false">ZQ65</f>
        <v>1270</v>
      </c>
      <c r="ZS65" s="20" t="n">
        <f aca="false">ZR65</f>
        <v>1270</v>
      </c>
      <c r="ZT65" s="20" t="n">
        <f aca="false">ZS65</f>
        <v>1270</v>
      </c>
      <c r="ZU65" s="20" t="n">
        <f aca="false">ZT65</f>
        <v>1270</v>
      </c>
      <c r="ZV65" s="20" t="n">
        <f aca="false">ZU65</f>
        <v>1270</v>
      </c>
      <c r="ZW65" s="20" t="n">
        <f aca="false">ZV65</f>
        <v>1270</v>
      </c>
      <c r="ZX65" s="20" t="n">
        <f aca="false">ZW65</f>
        <v>1270</v>
      </c>
      <c r="ZY65" s="20" t="n">
        <f aca="false">ZX65</f>
        <v>1270</v>
      </c>
      <c r="ZZ65" s="20" t="n">
        <f aca="false">ZY65</f>
        <v>1270</v>
      </c>
      <c r="AAA65" s="20" t="n">
        <f aca="false">ZZ65</f>
        <v>1270</v>
      </c>
      <c r="AAB65" s="20" t="n">
        <f aca="false">AAA65</f>
        <v>1270</v>
      </c>
      <c r="AAC65" s="20" t="n">
        <f aca="false">AAB65</f>
        <v>1270</v>
      </c>
      <c r="AAD65" s="20" t="n">
        <f aca="false">AAC65</f>
        <v>1270</v>
      </c>
      <c r="AAE65" s="20" t="n">
        <f aca="false">IF(H_Direct=1,IF(BR65&lt;=0,I65-BR65*TE65,I65-MIN(MIN(BR65*TE65,(H65+I65)),I65)),I65)</f>
        <v>0</v>
      </c>
      <c r="AAF65" s="20" t="n">
        <f aca="false">IF(H_Direct=1,IF(BS65&lt;=0,AAE65-BS65*TF65,AAE65-MIN(MIN(BS65*TF65,(WR65+AAE65)),AAE65)),AAE65)</f>
        <v>0</v>
      </c>
      <c r="AAG65" s="20" t="n">
        <f aca="false">IF(H_Direct=1,IF(BT65&lt;=0,AAF65-BT65*TG65,AAF65-MIN(MIN(BT65*TG65,(WS65+AAF65)),AAF65)),AAF65)</f>
        <v>0</v>
      </c>
      <c r="AAH65" s="20" t="n">
        <f aca="false">IF(H_Direct=1,IF(BU65&lt;=0,AAG65-BU65*TH65,AAG65-MIN(MIN(BU65*TH65,(WT65+AAG65)),AAG65)),AAG65)</f>
        <v>0</v>
      </c>
      <c r="AAI65" s="20" t="n">
        <f aca="false">IF(H_Direct=1,IF(BV65&lt;=0,AAH65-BV65*TI65,AAH65-MIN(MIN(BV65*TI65,(WU65+AAH65)),AAH65)),AAH65)</f>
        <v>0</v>
      </c>
      <c r="AAJ65" s="20" t="n">
        <f aca="false">IF(H_Direct=1,IF(BW65&lt;=0,AAI65-BW65*TJ65,AAI65-MIN(MIN(BW65*TJ65,(WV65+AAI65)),AAI65)),AAI65)</f>
        <v>0</v>
      </c>
      <c r="AAK65" s="20" t="n">
        <f aca="false">IF(H_Direct=1,IF(BX65&lt;=0,AAJ65-BX65*TK65,AAJ65-MIN(MIN(BX65*TK65,(WW65+AAJ65)),AAJ65)),AAJ65)</f>
        <v>0</v>
      </c>
      <c r="AAL65" s="20" t="n">
        <f aca="false">IF(H_Direct=1,IF(BY65&lt;=0,AAK65-BY65*TL65,AAK65-MIN(MIN(BY65*TL65,(WX65+AAK65)),AAK65)),AAK65)</f>
        <v>0</v>
      </c>
      <c r="AAM65" s="20" t="n">
        <f aca="false">IF(H_Direct=1,IF(BZ65&lt;=0,AAL65-BZ65*TM65,AAL65-MIN(MIN(BZ65*TM65,(WY65+AAL65)),AAL65)),AAL65)</f>
        <v>0</v>
      </c>
      <c r="AAN65" s="20" t="n">
        <f aca="false">IF(H_Direct=1,IF(CA65&lt;=0,AAM65-CA65*TN65,AAM65-MIN(MIN(CA65*TN65,(WZ65+AAM65)),AAM65)),AAM65)</f>
        <v>0</v>
      </c>
      <c r="AAO65" s="20" t="n">
        <f aca="false">IF(H_Direct=1,IF(CB65&lt;=0,AAN65-CB65*TO65,AAN65-MIN(MIN(CB65*TO65,(XA65+AAN65)),AAN65)),AAN65)</f>
        <v>0</v>
      </c>
      <c r="AAP65" s="20" t="n">
        <f aca="false">IF(H_Direct=1,IF(CC65&lt;=0,AAO65-CC65*TP65,AAO65-MIN(MIN(CC65*TP65,(XB65+AAO65)),AAO65)),AAO65)</f>
        <v>0</v>
      </c>
      <c r="AAQ65" s="20" t="n">
        <f aca="false">IF(H_Direct=1,IF(CD65&lt;=0,AAP65-CD65*TQ65,AAP65-MIN(MIN(CD65*TQ65,(XC65+AAP65)),AAP65)),AAP65)</f>
        <v>0</v>
      </c>
      <c r="AAR65" s="20" t="n">
        <f aca="false">IF(H_Direct=1,IF(CE65&lt;=0,AAQ65-CE65*TR65,AAQ65-MIN(MIN(CE65*TR65,(XD65+AAQ65)),AAQ65)),AAQ65)</f>
        <v>0</v>
      </c>
      <c r="AAS65" s="20" t="n">
        <f aca="false">IF(H_Direct=1,IF(CF65&lt;=0,AAR65-CF65*TS65,AAR65-MIN(MIN(CF65*TS65,(XE65+AAR65)),AAR65)),AAR65)</f>
        <v>0</v>
      </c>
      <c r="AAT65" s="20" t="n">
        <f aca="false">IF(H_Direct=1,IF(CG65&lt;=0,AAS65-CG65*TT65,AAS65-MIN(MIN(CG65*TT65,(XF65+AAS65)),AAS65)),AAS65)</f>
        <v>0</v>
      </c>
      <c r="AAU65" s="20" t="n">
        <f aca="false">IF(H_Direct=1,IF(CH65&lt;=0,AAT65-CH65*TU65,AAT65-MIN(MIN(CH65*TU65,(XG65+AAT65)),AAT65)),AAT65)</f>
        <v>0</v>
      </c>
      <c r="AAV65" s="20" t="n">
        <f aca="false">IF(H_Direct=1,IF(CI65&lt;=0,AAU65-CI65*TV65,AAU65-MIN(MIN(CI65*TV65,(XH65+AAU65)),AAU65)),AAU65)</f>
        <v>0</v>
      </c>
      <c r="AAW65" s="20" t="n">
        <f aca="false">IF(H_Direct=1,IF(CJ65&lt;=0,AAV65-CJ65*TW65,AAV65-MIN(MIN(CJ65*TW65,(XI65+AAV65)),AAV65)),AAV65)</f>
        <v>0</v>
      </c>
      <c r="AAX65" s="20" t="n">
        <f aca="false">IF(H_Direct=1,IF(CK65&lt;=0,AAW65-CK65*TX65,AAW65-MIN(MIN(CK65*TX65,(XJ65+AAW65)),AAW65)),AAW65)</f>
        <v>0</v>
      </c>
      <c r="AAY65" s="20" t="n">
        <f aca="false">IF(H_Direct=1,IF(CL65&lt;=0,AAX65-CL65*TY65,AAX65-MIN(MIN(CL65*TY65,(XK65+AAX65)),AAX65)),AAX65)</f>
        <v>0</v>
      </c>
      <c r="AAZ65" s="20" t="n">
        <f aca="false">IF(H_Direct=1,IF(CM65&lt;=0,AAY65-CM65*TZ65,AAY65-MIN(MIN(CM65*TZ65,(XL65+AAY65)),AAY65)),AAY65)</f>
        <v>0</v>
      </c>
      <c r="ABA65" s="20" t="n">
        <f aca="false">IF(H_Direct=1,IF(CN65&lt;=0,AAZ65-CN65*UA65,AAZ65-MIN(MIN(CN65*UA65,(XM65+AAZ65)),AAZ65)),AAZ65)</f>
        <v>0</v>
      </c>
      <c r="ABB65" s="20" t="n">
        <f aca="false">IF(H_Direct=1,IF(CO65&lt;=0,ABA65-CO65*UB65,ABA65-MIN(MIN(CO65*UB65,(XN65+ABA65)),ABA65)),ABA65)</f>
        <v>0</v>
      </c>
      <c r="ABC65" s="20" t="n">
        <f aca="false">IF(H_Direct=1,IF(CP65&lt;=0,ABB65-CP65*UC65,ABB65-MIN(MIN(CP65*UC65,(XO65+ABB65)),ABB65)),ABB65)</f>
        <v>0</v>
      </c>
      <c r="ABD65" s="20" t="n">
        <f aca="false">IF(H_Direct=1,IF(CQ65&lt;=0,ABC65-CQ65*UD65,ABC65-MIN(MIN(CQ65*UD65,(XP65+ABC65)),ABC65)),ABC65)</f>
        <v>0</v>
      </c>
      <c r="ABE65" s="20" t="n">
        <f aca="false">IF(H_Direct=1,IF(CR65&lt;=0,ABD65-CR65*UE65,ABD65-MIN(MIN(CR65*UE65,(XQ65+ABD65)),ABD65)),ABD65)</f>
        <v>0</v>
      </c>
      <c r="ABF65" s="20" t="n">
        <f aca="false">IF(H_Direct=1,IF(CS65&lt;=0,ABE65-CS65*UF65,ABE65-MIN(MIN(CS65*UF65,(XR65+ABE65)),ABE65)),ABE65)</f>
        <v>0</v>
      </c>
      <c r="ABG65" s="20" t="n">
        <f aca="false">IF(H_Direct=1,IF(CT65&lt;=0,ABF65-CT65*UG65,ABF65-MIN(MIN(CT65*UG65,(XS65+ABF65)),ABF65)),ABF65)</f>
        <v>0</v>
      </c>
      <c r="ABH65" s="20" t="n">
        <f aca="false">IF(H_Direct=1,IF(CU65&lt;=0,ABG65-CU65*UH65,ABG65-MIN(MIN(CU65*UH65,(XT65+ABG65)),ABG65)),ABG65)</f>
        <v>0</v>
      </c>
      <c r="ABI65" s="20" t="n">
        <f aca="false">IF(H_Direct=1,IF(CV65&lt;=0,ABH65-CV65*UI65,ABH65-MIN(MIN(CV65*UI65,(XU65+ABH65)),ABH65)),ABH65)</f>
        <v>0</v>
      </c>
      <c r="ABJ65" s="20" t="n">
        <f aca="false">IF(H_Direct=1,IF(CW65&lt;=0,ABI65-CW65*UJ65,ABI65-MIN(MIN(CW65*UJ65,(XV65+ABI65)),ABI65)),ABI65)</f>
        <v>0</v>
      </c>
      <c r="ABK65" s="20" t="n">
        <f aca="false">IF(H_Direct=1,IF(CX65&lt;=0,ABJ65-CX65*UK65,ABJ65-MIN(MIN(CX65*UK65,(XW65+ABJ65)),ABJ65)),ABJ65)</f>
        <v>0</v>
      </c>
      <c r="ABL65" s="20" t="n">
        <f aca="false">IF(H_Direct=1,IF(CY65&lt;=0,ABK65-CY65*UL65,ABK65-MIN(MIN(CY65*UL65,(XX65+ABK65)),ABK65)),ABK65)</f>
        <v>0</v>
      </c>
      <c r="ABM65" s="20" t="n">
        <f aca="false">IF(H_Direct=1,IF(CZ65&lt;=0,ABL65-CZ65*UM65,ABL65-MIN(MIN(CZ65*UM65,(XY65+ABL65)),ABL65)),ABL65)</f>
        <v>0</v>
      </c>
      <c r="ABN65" s="20" t="n">
        <f aca="false">IF(H_Direct=1,IF(DA65&lt;=0,ABM65-DA65*UN65,ABM65-MIN(MIN(DA65*UN65,(XZ65+ABM65)),ABM65)),ABM65)</f>
        <v>0</v>
      </c>
      <c r="ABO65" s="20" t="n">
        <f aca="false">IF(H_Direct=1,IF(DB65&lt;=0,ABN65-DB65*UO65,ABN65-MIN(MIN(DB65*UO65,(YA65+ABN65)),ABN65)),ABN65)</f>
        <v>0</v>
      </c>
      <c r="ABP65" s="20" t="n">
        <f aca="false">IF(H_Direct=1,IF(DC65&lt;=0,ABO65-DC65*UP65,ABO65-MIN(MIN(DC65*UP65,(YB65+ABO65)),ABO65)),ABO65)</f>
        <v>0</v>
      </c>
      <c r="ABQ65" s="20" t="n">
        <f aca="false">IF(H_Direct=1,IF(DD65&lt;=0,ABP65-DD65*UQ65,ABP65-MIN(MIN(DD65*UQ65,(YC65+ABP65)),ABP65)),ABP65)</f>
        <v>0</v>
      </c>
      <c r="ABR65" s="20" t="n">
        <f aca="false">IF(H_Direct=1,IF(DE65&lt;=0,ABQ65-DE65*UR65,ABQ65-MIN(MIN(DE65*UR65,(YD65+ABQ65)),ABQ65)),ABQ65)</f>
        <v>0</v>
      </c>
      <c r="ABS65" s="20" t="n">
        <f aca="false">IF(H_Direct=1,IF(DF65&lt;=0,ABR65-DF65*US65,ABR65-MIN(MIN(DF65*US65,(YE65+ABR65)),ABR65)),ABR65)</f>
        <v>0</v>
      </c>
      <c r="ABT65" s="20" t="n">
        <f aca="false">IF(H_Direct=1,IF(DG65&lt;=0,ABS65-DG65*UT65,ABS65-MIN(MIN(DG65*UT65,(YF65+ABS65)),ABS65)),ABS65)</f>
        <v>0</v>
      </c>
      <c r="ABU65" s="20" t="n">
        <f aca="false">IF(H_Direct=1,IF(DH65&lt;=0,ABT65-DH65*UU65,ABT65-MIN(MIN(DH65*UU65,(YG65+ABT65)),ABT65)),ABT65)</f>
        <v>0</v>
      </c>
      <c r="ABV65" s="20" t="n">
        <f aca="false">IF(H_Direct=1,IF(DI65&lt;=0,ABU65-DI65*UV65,ABU65-MIN(MIN(DI65*UV65,(YH65+ABU65)),ABU65)),ABU65)</f>
        <v>0</v>
      </c>
      <c r="ABW65" s="20" t="n">
        <f aca="false">IF(H_Direct=1,IF(DJ65&lt;=0,ABV65-DJ65*UW65,ABV65-MIN(MIN(DJ65*UW65,(YI65+ABV65)),ABV65)),ABV65)</f>
        <v>0</v>
      </c>
      <c r="ABX65" s="20" t="n">
        <f aca="false">IF(H_Direct=1,IF(DK65&lt;=0,ABW65-DK65*UX65,ABW65-MIN(MIN(DK65*UX65,(YJ65+ABW65)),ABW65)),ABW65)</f>
        <v>0</v>
      </c>
      <c r="ABY65" s="20" t="n">
        <f aca="false">IF(H_Direct=1,IF(DL65&lt;=0,ABX65-DL65*UY65,ABX65-MIN(MIN(DL65*UY65,(YK65+ABX65)),ABX65)),ABX65)</f>
        <v>0</v>
      </c>
      <c r="ABZ65" s="20" t="n">
        <f aca="false">IF(H_Direct=1,IF(DM65&lt;=0,ABY65-DM65*UZ65,ABY65-MIN(MIN(DM65*UZ65,(YL65+ABY65)),ABY65)),ABY65)</f>
        <v>0</v>
      </c>
      <c r="ACA65" s="20" t="n">
        <f aca="false">IF(H_Direct=1,IF(DN65&lt;=0,ABZ65-DN65*VA65,ABZ65-MIN(MIN(DN65*VA65,(YM65+ABZ65)),ABZ65)),ABZ65)</f>
        <v>0</v>
      </c>
      <c r="ACB65" s="20" t="n">
        <f aca="false">IF(H_Direct=1,IF(DO65&lt;=0,ACA65-DO65*VB65,ACA65-MIN(MIN(DO65*VB65,(YN65+ACA65)),ACA65)),ACA65)</f>
        <v>0</v>
      </c>
      <c r="ACC65" s="20" t="n">
        <f aca="false">IF(H_Direct=1,IF(DP65&lt;=0,ACB65-DP65*VC65,ACB65-MIN(MIN(DP65*VC65,(YO65+ACB65)),ACB65)),ACB65)</f>
        <v>0</v>
      </c>
      <c r="ACD65" s="20" t="n">
        <f aca="false">IF(H_Direct=1,IF(DQ65&lt;=0,ACC65-DQ65*VD65,ACC65-MIN(MIN(DQ65*VD65,(YP65+ACC65)),ACC65)),ACC65)</f>
        <v>0</v>
      </c>
      <c r="ACE65" s="20" t="n">
        <f aca="false">IF(H_Direct=1,IF(DR65&lt;=0,ACD65-DR65*VE65,ACD65-MIN(MIN(DR65*VE65,(YQ65+ACD65)),ACD65)),ACD65)</f>
        <v>0</v>
      </c>
      <c r="ACF65" s="20" t="n">
        <f aca="false">IF(H_Direct=1,IF(DS65&lt;=0,ACE65-DS65*VF65,ACE65-MIN(MIN(DS65*VF65,(YR65+ACE65)),ACE65)),ACE65)</f>
        <v>0</v>
      </c>
      <c r="ACG65" s="20" t="n">
        <f aca="false">IF(H_Direct=1,IF(DT65&lt;=0,ACF65-DT65*VG65,ACF65-MIN(MIN(DT65*VG65,(YS65+ACF65)),ACF65)),ACF65)</f>
        <v>0</v>
      </c>
      <c r="ACH65" s="20" t="n">
        <f aca="false">IF(H_Direct=1,IF(DU65&lt;=0,ACG65-DU65*VH65,ACG65-MIN(MIN(DU65*VH65,(YT65+ACG65)),ACG65)),ACG65)</f>
        <v>0</v>
      </c>
      <c r="ACI65" s="20" t="n">
        <f aca="false">IF(H_Direct=1,IF(DV65&lt;=0,ACH65-DV65*VI65,ACH65-MIN(MIN(DV65*VI65,(YU65+ACH65)),ACH65)),ACH65)</f>
        <v>0</v>
      </c>
      <c r="ACJ65" s="20" t="n">
        <f aca="false">IF(H_Direct=1,IF(DW65&lt;=0,ACI65-DW65*VJ65,ACI65-MIN(MIN(DW65*VJ65,(YV65+ACI65)),ACI65)),ACI65)</f>
        <v>0</v>
      </c>
      <c r="ACK65" s="20" t="n">
        <f aca="false">IF(H_Direct=1,IF(DX65&lt;=0,ACJ65-DX65*VK65,ACJ65-MIN(MIN(DX65*VK65,(YW65+ACJ65)),ACJ65)),ACJ65)</f>
        <v>0</v>
      </c>
      <c r="ACL65" s="20" t="n">
        <f aca="false">ACK65</f>
        <v>0</v>
      </c>
      <c r="ACM65" s="20" t="n">
        <f aca="false">ACL65</f>
        <v>0</v>
      </c>
      <c r="ACN65" s="20" t="n">
        <f aca="false">ACM65</f>
        <v>0</v>
      </c>
      <c r="ACO65" s="20" t="n">
        <f aca="false">ACN65</f>
        <v>0</v>
      </c>
      <c r="ACP65" s="20" t="n">
        <f aca="false">ACO65</f>
        <v>0</v>
      </c>
      <c r="ACQ65" s="20" t="n">
        <f aca="false">ACP65</f>
        <v>0</v>
      </c>
      <c r="ACR65" s="20" t="n">
        <f aca="false">ACQ65</f>
        <v>0</v>
      </c>
      <c r="ACS65" s="20" t="n">
        <f aca="false">ACR65</f>
        <v>0</v>
      </c>
      <c r="ACT65" s="20" t="n">
        <f aca="false">ACS65</f>
        <v>0</v>
      </c>
      <c r="ACU65" s="20" t="n">
        <f aca="false">ACT65</f>
        <v>0</v>
      </c>
      <c r="ACV65" s="20" t="n">
        <f aca="false">ACU65</f>
        <v>0</v>
      </c>
      <c r="ACW65" s="20" t="n">
        <f aca="false">ACV65</f>
        <v>0</v>
      </c>
      <c r="ACX65" s="20" t="n">
        <f aca="false">ACW65</f>
        <v>0</v>
      </c>
      <c r="ACY65" s="20" t="n">
        <f aca="false">ACX65</f>
        <v>0</v>
      </c>
      <c r="ACZ65" s="20" t="n">
        <f aca="false">ACY65</f>
        <v>0</v>
      </c>
      <c r="ADA65" s="20" t="n">
        <f aca="false">ACZ65</f>
        <v>0</v>
      </c>
      <c r="ADB65" s="20" t="n">
        <f aca="false">ADA65</f>
        <v>0</v>
      </c>
      <c r="ADC65" s="20" t="n">
        <f aca="false">ADB65</f>
        <v>0</v>
      </c>
      <c r="ADD65" s="20" t="n">
        <f aca="false">ADC65</f>
        <v>0</v>
      </c>
      <c r="ADE65" s="20" t="n">
        <f aca="false">ADD65</f>
        <v>0</v>
      </c>
      <c r="ADF65" s="20" t="n">
        <f aca="false">ADE65</f>
        <v>0</v>
      </c>
      <c r="ADG65" s="20" t="n">
        <f aca="false">ADF65</f>
        <v>0</v>
      </c>
      <c r="ADH65" s="20" t="n">
        <f aca="false">ADG65</f>
        <v>0</v>
      </c>
      <c r="ADI65" s="20" t="n">
        <f aca="false">ADH65</f>
        <v>0</v>
      </c>
      <c r="ADJ65" s="20" t="n">
        <f aca="false">ADI65</f>
        <v>0</v>
      </c>
      <c r="ADK65" s="20" t="n">
        <f aca="false">ADJ65</f>
        <v>0</v>
      </c>
      <c r="ADL65" s="20" t="n">
        <f aca="false">ADK65</f>
        <v>0</v>
      </c>
      <c r="ADM65" s="20" t="n">
        <f aca="false">ADL65</f>
        <v>0</v>
      </c>
      <c r="ADN65" s="20" t="n">
        <f aca="false">ADM65</f>
        <v>0</v>
      </c>
      <c r="ADO65" s="20" t="n">
        <f aca="false">ADN65</f>
        <v>0</v>
      </c>
      <c r="ADP65" s="20" t="n">
        <f aca="false">ADO65</f>
        <v>0</v>
      </c>
      <c r="ADQ65" s="20" t="n">
        <f aca="false">ADP65</f>
        <v>0</v>
      </c>
      <c r="ADR65" s="20" t="n">
        <f aca="false">(AKR64-TE65+0)*(1+BQ65)</f>
        <v>0</v>
      </c>
      <c r="ADS65" s="20" t="n">
        <f aca="false">(AKS64-TF65+0)*(1+BQ65)</f>
        <v>0</v>
      </c>
      <c r="ADT65" s="20" t="n">
        <f aca="false">(AKT64-TG65+0)*(1+BQ65)</f>
        <v>0</v>
      </c>
      <c r="ADU65" s="20" t="n">
        <f aca="false">(AKU64-TH65+0)*(1+BQ65)</f>
        <v>0</v>
      </c>
      <c r="ADV65" s="20" t="n">
        <f aca="false">(AKV64-TI65+0)*(1+BQ65)</f>
        <v>0</v>
      </c>
      <c r="ADW65" s="20" t="n">
        <f aca="false">(AKW64-TJ65+0)*(1+BQ65)</f>
        <v>0</v>
      </c>
      <c r="ADX65" s="20" t="n">
        <f aca="false">(AKX64-TK65+0)*(1+BQ65)</f>
        <v>0</v>
      </c>
      <c r="ADY65" s="20" t="n">
        <f aca="false">(AKY64-TL65+0)*(1+BQ65)</f>
        <v>0</v>
      </c>
      <c r="ADZ65" s="20" t="n">
        <f aca="false">(AKZ64-TM65+0)*(1+BQ65)</f>
        <v>0</v>
      </c>
      <c r="AEA65" s="20" t="n">
        <f aca="false">(ALA64-TN65+0)*(1+BQ65)</f>
        <v>0</v>
      </c>
      <c r="AEB65" s="20" t="n">
        <f aca="false">(ALB64-TO65+0)*(1+BQ65)</f>
        <v>0</v>
      </c>
      <c r="AEC65" s="20" t="n">
        <f aca="false">(ALC64-TP65+0)*(1+BQ65)</f>
        <v>0</v>
      </c>
      <c r="AED65" s="20" t="n">
        <f aca="false">(ALD64-TQ65+0)*(1+BQ65)</f>
        <v>0</v>
      </c>
      <c r="AEE65" s="20" t="n">
        <f aca="false">(ALE64-TR65+0)*(1+BQ65)</f>
        <v>0</v>
      </c>
      <c r="AEF65" s="20" t="n">
        <f aca="false">(ALF64-TS65+0)*(1+BQ65)</f>
        <v>0</v>
      </c>
      <c r="AEG65" s="20" t="n">
        <f aca="false">(ALG64-TT65+0)*(1+BQ65)</f>
        <v>0</v>
      </c>
      <c r="AEH65" s="20" t="n">
        <f aca="false">(ALH64-TU65+0)*(1+BQ65)</f>
        <v>0</v>
      </c>
      <c r="AEI65" s="20" t="n">
        <f aca="false">(ALI64-TV65+0)*(1+BQ65)</f>
        <v>0</v>
      </c>
      <c r="AEJ65" s="20" t="n">
        <f aca="false">(ALJ64-TW65+0)*(1+BQ65)</f>
        <v>0</v>
      </c>
      <c r="AEK65" s="20" t="n">
        <f aca="false">(ALK64-TX65+0)*(1+BQ65)</f>
        <v>0</v>
      </c>
      <c r="AEL65" s="20" t="n">
        <f aca="false">(ALL64-TY65+0)*(1+BQ65)</f>
        <v>0</v>
      </c>
      <c r="AEM65" s="20" t="n">
        <f aca="false">(ALM64-TZ65+0)*(1+BQ65)</f>
        <v>0</v>
      </c>
      <c r="AEN65" s="20" t="n">
        <f aca="false">(ALN64-UA65+0)*(1+BQ65)</f>
        <v>0</v>
      </c>
      <c r="AEO65" s="20" t="n">
        <f aca="false">(ALO64-UB65+0)*(1+BQ65)</f>
        <v>0</v>
      </c>
      <c r="AEP65" s="20" t="n">
        <f aca="false">(ALP64-UC65+0)*(1+BQ65)</f>
        <v>0</v>
      </c>
      <c r="AEQ65" s="20" t="n">
        <f aca="false">(ALQ64-UD65+0)*(1+BQ65)</f>
        <v>0</v>
      </c>
      <c r="AER65" s="20" t="n">
        <f aca="false">(ALR64-UE65+0)*(1+BQ65)</f>
        <v>0</v>
      </c>
      <c r="AES65" s="20" t="n">
        <f aca="false">(ALS64-UF65+0)*(1+BQ65)</f>
        <v>0</v>
      </c>
      <c r="AET65" s="20" t="n">
        <f aca="false">(ALT64-UG65+0)*(1+BQ65)</f>
        <v>0</v>
      </c>
      <c r="AEU65" s="20" t="n">
        <f aca="false">(ALU64-UH65+0)*(1+BQ65)</f>
        <v>0</v>
      </c>
      <c r="AEV65" s="20" t="n">
        <f aca="false">(ALV64-UI65+0)*(1+BQ65)</f>
        <v>0</v>
      </c>
      <c r="AEW65" s="20" t="n">
        <f aca="false">(ALW64-UJ65+0)*(1+BQ65)</f>
        <v>0</v>
      </c>
      <c r="AEX65" s="20" t="n">
        <f aca="false">(ALX64-UK65+0)*(1+BQ65)</f>
        <v>0</v>
      </c>
      <c r="AEY65" s="20" t="n">
        <f aca="false">(ALY64-UL65+0)*(1+BQ65)</f>
        <v>0</v>
      </c>
      <c r="AEZ65" s="20" t="n">
        <f aca="false">(ALZ64-UM65+0)*(1+BQ65)</f>
        <v>0</v>
      </c>
      <c r="AFA65" s="20" t="n">
        <f aca="false">(AMA64-UN65+0)*(1+BQ65)</f>
        <v>0</v>
      </c>
      <c r="AFB65" s="20" t="n">
        <f aca="false">(AMB64-UO65+0)*(1+BQ65)</f>
        <v>0</v>
      </c>
      <c r="AFC65" s="20" t="n">
        <f aca="false">(AMC64-UP65+0)*(1+BQ65)</f>
        <v>0</v>
      </c>
      <c r="AFD65" s="20" t="n">
        <f aca="false">(AMD64-UQ65+0)*(1+BQ65)</f>
        <v>0</v>
      </c>
      <c r="AFE65" s="20" t="n">
        <f aca="false">(AME64-UR65+0)*(1+BQ65)</f>
        <v>0</v>
      </c>
      <c r="AFF65" s="20" t="n">
        <f aca="false">(AMF64-US65+0)*(1+BQ65)</f>
        <v>0</v>
      </c>
      <c r="AFG65" s="20" t="n">
        <f aca="false">(AMG64-UT65+0)*(1+BQ65)</f>
        <v>0</v>
      </c>
      <c r="AFH65" s="20" t="n">
        <f aca="false">(AMH64-UU65+0)*(1+BQ65)</f>
        <v>0</v>
      </c>
      <c r="AFI65" s="20" t="n">
        <f aca="false">(AMI64-UV65+0)*(1+BQ65)</f>
        <v>0</v>
      </c>
      <c r="AFJ65" s="20" t="n">
        <f aca="false">(AMJ64-UW65+0)*(1+BQ65)</f>
        <v>0</v>
      </c>
      <c r="AFK65" s="20" t="n">
        <f aca="false">(AMK64-UX65+0)*(1+BQ65)</f>
        <v>0</v>
      </c>
      <c r="AFL65" s="20" t="n">
        <f aca="false">(AML64-UY65+0)*(1+BQ65)</f>
        <v>0</v>
      </c>
      <c r="AFM65" s="20" t="n">
        <f aca="false">(AMM64-UZ65+0)*(1+BQ65)</f>
        <v>0</v>
      </c>
      <c r="AFN65" s="20" t="n">
        <f aca="false">(AMN64-VA65+0)*(1+BQ65)</f>
        <v>0</v>
      </c>
      <c r="AFO65" s="20" t="n">
        <f aca="false">(AMO64-VB65+0)*(1+BQ65)</f>
        <v>0</v>
      </c>
      <c r="AFP65" s="20" t="n">
        <f aca="false">(AMP64-VC65+0)*(1+BQ65)</f>
        <v>0</v>
      </c>
      <c r="AFQ65" s="20" t="n">
        <f aca="false">(AMQ64-VD65+0)*(1+BQ65)</f>
        <v>0</v>
      </c>
      <c r="AFR65" s="20" t="n">
        <f aca="false">(AMR64-VE65+0)*(1+BQ65)</f>
        <v>0</v>
      </c>
      <c r="AFS65" s="20" t="n">
        <f aca="false">(AMS64-VF65+0)*(1+BQ65)</f>
        <v>0</v>
      </c>
      <c r="AFT65" s="20" t="n">
        <f aca="false">(AMT64-VG65+0)*(1+BQ65)</f>
        <v>0</v>
      </c>
      <c r="AFU65" s="20" t="n">
        <f aca="false">(AMU64-VH65+0)*(1+BQ65)</f>
        <v>0</v>
      </c>
      <c r="AFV65" s="20" t="n">
        <f aca="false">(AMV64-VI65+0)*(1+BQ65)</f>
        <v>0</v>
      </c>
      <c r="AFW65" s="20" t="n">
        <f aca="false">(AMW64-VJ65+0)*(1+BQ65)</f>
        <v>0</v>
      </c>
      <c r="AFX65" s="20" t="n">
        <f aca="false">((P65+S65)-VK65+BE65)*(1+BQ65)</f>
        <v>0</v>
      </c>
      <c r="AFY65" s="20" t="n">
        <v>0</v>
      </c>
      <c r="AFZ65" s="20" t="n">
        <v>0</v>
      </c>
      <c r="AGA65" s="20" t="n">
        <v>0</v>
      </c>
      <c r="AGB65" s="20" t="n">
        <v>0</v>
      </c>
      <c r="AGC65" s="20" t="n">
        <v>0</v>
      </c>
      <c r="AGD65" s="20" t="n">
        <v>0</v>
      </c>
      <c r="AGE65" s="20" t="n">
        <v>0</v>
      </c>
      <c r="AGF65" s="20" t="n">
        <v>0</v>
      </c>
      <c r="AGG65" s="20" t="n">
        <v>0</v>
      </c>
      <c r="AGH65" s="20" t="n">
        <v>0</v>
      </c>
      <c r="AGI65" s="20" t="n">
        <v>0</v>
      </c>
      <c r="AGJ65" s="20" t="n">
        <v>0</v>
      </c>
      <c r="AGK65" s="20" t="n">
        <v>0</v>
      </c>
      <c r="AGL65" s="20" t="n">
        <v>0</v>
      </c>
      <c r="AGM65" s="20" t="n">
        <v>0</v>
      </c>
      <c r="AGN65" s="20" t="n">
        <v>0</v>
      </c>
      <c r="AGO65" s="20" t="n">
        <v>0</v>
      </c>
      <c r="AGP65" s="20" t="n">
        <v>0</v>
      </c>
      <c r="AGQ65" s="20" t="n">
        <v>0</v>
      </c>
      <c r="AGR65" s="20" t="n">
        <v>0</v>
      </c>
      <c r="AGS65" s="20" t="n">
        <v>0</v>
      </c>
      <c r="AGT65" s="20" t="n">
        <v>0</v>
      </c>
      <c r="AGU65" s="20" t="n">
        <v>0</v>
      </c>
      <c r="AGV65" s="20" t="n">
        <v>0</v>
      </c>
      <c r="AGW65" s="20" t="n">
        <v>0</v>
      </c>
      <c r="AGX65" s="20" t="n">
        <v>0</v>
      </c>
      <c r="AGY65" s="20" t="n">
        <v>0</v>
      </c>
      <c r="AGZ65" s="20" t="n">
        <v>0</v>
      </c>
      <c r="AHA65" s="20" t="n">
        <v>0</v>
      </c>
      <c r="AHB65" s="20" t="n">
        <v>0</v>
      </c>
      <c r="AHC65" s="20" t="n">
        <v>0</v>
      </c>
      <c r="AHD65" s="20" t="n">
        <v>0</v>
      </c>
      <c r="AHE65" s="20" t="n">
        <f aca="false">IF(AKR64&gt;0,AOE64-AOE64*TE65/AKR64,0)+0</f>
        <v>0</v>
      </c>
      <c r="AHF65" s="20" t="n">
        <f aca="false">IF(AKS64&gt;0,AOF64-AOF64*TF65/AKS64,0)+0</f>
        <v>0</v>
      </c>
      <c r="AHG65" s="20" t="n">
        <f aca="false">IF(AKT64&gt;0,AOG64-AOG64*TG65/AKT64,0)+0</f>
        <v>0</v>
      </c>
      <c r="AHH65" s="20" t="n">
        <f aca="false">IF(AKU64&gt;0,AOH64-AOH64*TH65/AKU64,0)+0</f>
        <v>0</v>
      </c>
      <c r="AHI65" s="20" t="n">
        <f aca="false">IF(AKV64&gt;0,AOI64-AOI64*TI65/AKV64,0)+0</f>
        <v>0</v>
      </c>
      <c r="AHJ65" s="20" t="n">
        <f aca="false">IF(AKW64&gt;0,AOJ64-AOJ64*TJ65/AKW64,0)+0</f>
        <v>0</v>
      </c>
      <c r="AHK65" s="20" t="n">
        <f aca="false">IF(AKX64&gt;0,AOK64-AOK64*TK65/AKX64,0)+0</f>
        <v>0</v>
      </c>
      <c r="AHL65" s="20" t="n">
        <f aca="false">IF(AKY64&gt;0,AOL64-AOL64*TL65/AKY64,0)+0</f>
        <v>0</v>
      </c>
      <c r="AHM65" s="20" t="n">
        <f aca="false">IF(AKZ64&gt;0,AOM64-AOM64*TM65/AKZ64,0)+0</f>
        <v>0</v>
      </c>
      <c r="AHN65" s="20" t="n">
        <f aca="false">IF(ALA64&gt;0,AON64-AON64*TN65/ALA64,0)+0</f>
        <v>0</v>
      </c>
      <c r="AHO65" s="20" t="n">
        <f aca="false">IF(ALB64&gt;0,AOO64-AOO64*TO65/ALB64,0)+0</f>
        <v>0</v>
      </c>
      <c r="AHP65" s="20" t="n">
        <f aca="false">IF(ALC64&gt;0,AOP64-AOP64*TP65/ALC64,0)+0</f>
        <v>0</v>
      </c>
      <c r="AHQ65" s="20" t="n">
        <f aca="false">IF(ALD64&gt;0,AOQ64-AOQ64*TQ65/ALD64,0)+0</f>
        <v>0</v>
      </c>
      <c r="AHR65" s="20" t="n">
        <f aca="false">IF(ALE64&gt;0,AOR64-AOR64*TR65/ALE64,0)+0</f>
        <v>0</v>
      </c>
      <c r="AHS65" s="20" t="n">
        <f aca="false">IF(ALF64&gt;0,AOS64-AOS64*TS65/ALF64,0)+0</f>
        <v>0</v>
      </c>
      <c r="AHT65" s="20" t="n">
        <f aca="false">IF(ALG64&gt;0,AOT64-AOT64*TT65/ALG64,0)+0</f>
        <v>0</v>
      </c>
      <c r="AHU65" s="20" t="n">
        <f aca="false">IF(ALH64&gt;0,AOU64-AOU64*TU65/ALH64,0)+0</f>
        <v>0</v>
      </c>
      <c r="AHV65" s="20" t="n">
        <f aca="false">IF(ALI64&gt;0,AOV64-AOV64*TV65/ALI64,0)+0</f>
        <v>0</v>
      </c>
      <c r="AHW65" s="20" t="n">
        <f aca="false">IF(ALJ64&gt;0,AOW64-AOW64*TW65/ALJ64,0)+0</f>
        <v>0</v>
      </c>
      <c r="AHX65" s="20" t="n">
        <f aca="false">IF(ALK64&gt;0,AOX64-AOX64*TX65/ALK64,0)+0</f>
        <v>0</v>
      </c>
      <c r="AHY65" s="20" t="n">
        <f aca="false">IF(ALL64&gt;0,AOY64-AOY64*TY65/ALL64,0)+0</f>
        <v>0</v>
      </c>
      <c r="AHZ65" s="20" t="n">
        <f aca="false">IF(ALM64&gt;0,AOZ64-AOZ64*TZ65/ALM64,0)+0</f>
        <v>0</v>
      </c>
      <c r="AIA65" s="20" t="n">
        <f aca="false">IF(ALN64&gt;0,APA64-APA64*UA65/ALN64,0)+0</f>
        <v>0</v>
      </c>
      <c r="AIB65" s="20" t="n">
        <f aca="false">IF(ALO64&gt;0,APB64-APB64*UB65/ALO64,0)+0</f>
        <v>0</v>
      </c>
      <c r="AIC65" s="20" t="n">
        <f aca="false">IF(ALP64&gt;0,APC64-APC64*UC65/ALP64,0)+0</f>
        <v>0</v>
      </c>
      <c r="AID65" s="20" t="n">
        <f aca="false">IF(ALQ64&gt;0,APD64-APD64*UD65/ALQ64,0)+0</f>
        <v>0</v>
      </c>
      <c r="AIE65" s="20" t="n">
        <f aca="false">IF(ALR64&gt;0,APE64-APE64*UE65/ALR64,0)+0</f>
        <v>0</v>
      </c>
      <c r="AIF65" s="20" t="n">
        <f aca="false">IF(ALS64&gt;0,APF64-APF64*UF65/ALS64,0)+0</f>
        <v>0</v>
      </c>
      <c r="AIG65" s="20" t="n">
        <f aca="false">IF(ALT64&gt;0,APG64-APG64*UG65/ALT64,0)+0</f>
        <v>0</v>
      </c>
      <c r="AIH65" s="20" t="n">
        <f aca="false">IF(ALU64&gt;0,APH64-APH64*UH65/ALU64,0)+0</f>
        <v>0</v>
      </c>
      <c r="AII65" s="20" t="n">
        <f aca="false">IF(ALV64&gt;0,API64-API64*UI65/ALV64,0)+0</f>
        <v>0</v>
      </c>
      <c r="AIJ65" s="20" t="n">
        <f aca="false">IF(ALW64&gt;0,APJ64-APJ64*UJ65/ALW64,0)+0</f>
        <v>0</v>
      </c>
      <c r="AIK65" s="20" t="n">
        <f aca="false">IF(ALX64&gt;0,APK64-APK64*UK65/ALX64,0)+0</f>
        <v>0</v>
      </c>
      <c r="AIL65" s="20" t="n">
        <f aca="false">IF(ALY64&gt;0,APL64-APL64*UL65/ALY64,0)+0</f>
        <v>0</v>
      </c>
      <c r="AIM65" s="20" t="n">
        <f aca="false">IF(ALZ64&gt;0,APM64-APM64*UM65/ALZ64,0)+0</f>
        <v>0</v>
      </c>
      <c r="AIN65" s="20" t="n">
        <f aca="false">IF(AMA64&gt;0,APN64-APN64*UN65/AMA64,0)+0</f>
        <v>0</v>
      </c>
      <c r="AIO65" s="20" t="n">
        <f aca="false">IF(AMB64&gt;0,APO64-APO64*UO65/AMB64,0)+0</f>
        <v>0</v>
      </c>
      <c r="AIP65" s="20" t="n">
        <f aca="false">IF(AMC64&gt;0,APP64-APP64*UP65/AMC64,0)+0</f>
        <v>0</v>
      </c>
      <c r="AIQ65" s="20" t="n">
        <f aca="false">IF(AMD64&gt;0,APQ64-APQ64*UQ65/AMD64,0)+0</f>
        <v>0</v>
      </c>
      <c r="AIR65" s="20" t="n">
        <f aca="false">IF(AME64&gt;0,APR64-APR64*UR65/AME64,0)+0</f>
        <v>0</v>
      </c>
      <c r="AIS65" s="20" t="n">
        <f aca="false">IF(AMF64&gt;0,APS64-APS64*US65/AMF64,0)+0</f>
        <v>0</v>
      </c>
      <c r="AIT65" s="20" t="n">
        <f aca="false">IF(AMG64&gt;0,APT64-APT64*UT65/AMG64,0)+0</f>
        <v>0</v>
      </c>
      <c r="AIU65" s="20" t="n">
        <f aca="false">IF(AMH64&gt;0,APU64-APU64*UU65/AMH64,0)+0</f>
        <v>0</v>
      </c>
      <c r="AIV65" s="20" t="n">
        <f aca="false">IF(AMI64&gt;0,APV64-APV64*UV65/AMI64,0)+0</f>
        <v>0</v>
      </c>
      <c r="AIW65" s="20" t="n">
        <f aca="false">IF(AMJ64&gt;0,APW64-APW64*UW65/AMJ64,0)+0</f>
        <v>0</v>
      </c>
      <c r="AIX65" s="20" t="n">
        <f aca="false">IF(AMK64&gt;0,APX64-APX64*UX65/AMK64,0)+0</f>
        <v>0</v>
      </c>
      <c r="AIY65" s="20" t="n">
        <f aca="false">IF(AML64&gt;0,APY64-APY64*UY65/AML64,0)+0</f>
        <v>0</v>
      </c>
      <c r="AIZ65" s="20" t="n">
        <f aca="false">IF(AMM64&gt;0,APZ64-APZ64*UZ65/AMM64,0)+0</f>
        <v>0</v>
      </c>
      <c r="AJA65" s="20" t="n">
        <f aca="false">IF(AMN64&gt;0,AQA64-AQA64*VA65/AMN64,0)+0</f>
        <v>0</v>
      </c>
      <c r="AJB65" s="20" t="n">
        <f aca="false">IF(AMO64&gt;0,AQB64-AQB64*VB65/AMO64,0)+0</f>
        <v>0</v>
      </c>
      <c r="AJC65" s="20" t="n">
        <f aca="false">IF(AMP64&gt;0,AQC64-AQC64*VC65/AMP64,0)+0</f>
        <v>0</v>
      </c>
      <c r="AJD65" s="20" t="n">
        <f aca="false">IF(AMQ64&gt;0,AQD64-AQD64*VD65/AMQ64,0)+0</f>
        <v>0</v>
      </c>
      <c r="AJE65" s="20" t="n">
        <f aca="false">IF(AMR64&gt;0,AQE64-AQE64*VE65/AMR64,0)+0</f>
        <v>0</v>
      </c>
      <c r="AJF65" s="20" t="n">
        <f aca="false">IF(AMS64&gt;0,AQF64-AQF64*VF65/AMS64,0)+0</f>
        <v>0</v>
      </c>
      <c r="AJG65" s="20" t="n">
        <f aca="false">IF(AMT64&gt;0,AQG64-AQG64*VG65/AMT64,0)+0</f>
        <v>0</v>
      </c>
      <c r="AJH65" s="20" t="n">
        <f aca="false">IF(AMU64&gt;0,AQH64-AQH64*VH65/AMU64,0)+0</f>
        <v>0</v>
      </c>
      <c r="AJI65" s="20" t="n">
        <f aca="false">IF(AMV64&gt;0,AQI64-AQI64*VI65/AMV64,0)+0</f>
        <v>0</v>
      </c>
      <c r="AJJ65" s="20" t="n">
        <f aca="false">IF(AMW64&gt;0,AQJ64-AQJ64*VJ65/AMW64,0)+0</f>
        <v>0</v>
      </c>
      <c r="AJK65" s="20" t="n">
        <f aca="false">IF((P65+S65)&gt;0,(P65+S65)-(P65+S65)*VK65/(P65+S65),0)+BE65</f>
        <v>0</v>
      </c>
      <c r="AJL65" s="20" t="n">
        <v>0</v>
      </c>
      <c r="AJM65" s="20" t="n">
        <v>0</v>
      </c>
      <c r="AJN65" s="20" t="n">
        <v>0</v>
      </c>
      <c r="AJO65" s="20" t="n">
        <v>0</v>
      </c>
      <c r="AJP65" s="20" t="n">
        <v>0</v>
      </c>
      <c r="AJQ65" s="20" t="n">
        <v>0</v>
      </c>
      <c r="AJR65" s="20" t="n">
        <v>0</v>
      </c>
      <c r="AJS65" s="20" t="n">
        <v>0</v>
      </c>
      <c r="AJT65" s="20" t="n">
        <v>0</v>
      </c>
      <c r="AJU65" s="20" t="n">
        <v>0</v>
      </c>
      <c r="AJV65" s="20" t="n">
        <v>0</v>
      </c>
      <c r="AJW65" s="20" t="n">
        <v>0</v>
      </c>
      <c r="AJX65" s="20" t="n">
        <v>0</v>
      </c>
      <c r="AJY65" s="20" t="n">
        <v>0</v>
      </c>
      <c r="AJZ65" s="20" t="n">
        <v>0</v>
      </c>
      <c r="AKA65" s="20" t="n">
        <v>0</v>
      </c>
      <c r="AKB65" s="20" t="n">
        <v>0</v>
      </c>
      <c r="AKC65" s="20" t="n">
        <v>0</v>
      </c>
      <c r="AKD65" s="20" t="n">
        <v>0</v>
      </c>
      <c r="AKE65" s="20" t="n">
        <v>0</v>
      </c>
      <c r="AKF65" s="20" t="n">
        <v>0</v>
      </c>
      <c r="AKG65" s="20" t="n">
        <v>0</v>
      </c>
      <c r="AKH65" s="20" t="n">
        <v>0</v>
      </c>
      <c r="AKI65" s="20" t="n">
        <v>0</v>
      </c>
      <c r="AKJ65" s="20" t="n">
        <v>0</v>
      </c>
      <c r="AKK65" s="20" t="n">
        <v>0</v>
      </c>
      <c r="AKL65" s="20" t="n">
        <v>0</v>
      </c>
      <c r="AKM65" s="20" t="n">
        <v>0</v>
      </c>
      <c r="AKN65" s="20" t="n">
        <v>0</v>
      </c>
      <c r="AKO65" s="20" t="n">
        <v>0</v>
      </c>
      <c r="AKP65" s="20" t="n">
        <v>0</v>
      </c>
      <c r="AKQ65" s="20" t="n">
        <v>0</v>
      </c>
      <c r="AKR65" s="20" t="n">
        <f aca="false">ADR65-AVE65</f>
        <v>0</v>
      </c>
      <c r="AKS65" s="20" t="n">
        <f aca="false">ADS65-AVF65</f>
        <v>0</v>
      </c>
      <c r="AKT65" s="20" t="n">
        <f aca="false">ADT65-AVG65</f>
        <v>0</v>
      </c>
      <c r="AKU65" s="20" t="n">
        <f aca="false">ADU65-AVH65</f>
        <v>0</v>
      </c>
      <c r="AKV65" s="20" t="n">
        <f aca="false">ADV65-AVI65</f>
        <v>0</v>
      </c>
      <c r="AKW65" s="20" t="n">
        <f aca="false">ADW65-AVJ65</f>
        <v>0</v>
      </c>
      <c r="AKX65" s="20" t="n">
        <f aca="false">ADX65-AVK65</f>
        <v>0</v>
      </c>
      <c r="AKY65" s="20" t="n">
        <f aca="false">ADY65-AVL65</f>
        <v>0</v>
      </c>
      <c r="AKZ65" s="20" t="n">
        <f aca="false">ADZ65-AVM65</f>
        <v>0</v>
      </c>
      <c r="ALA65" s="20" t="n">
        <f aca="false">AEA65-AVN65</f>
        <v>0</v>
      </c>
      <c r="ALB65" s="20" t="n">
        <f aca="false">AEB65-AVO65</f>
        <v>0</v>
      </c>
      <c r="ALC65" s="20" t="n">
        <f aca="false">AEC65-AVP65</f>
        <v>0</v>
      </c>
      <c r="ALD65" s="20" t="n">
        <f aca="false">AED65-AVQ65</f>
        <v>0</v>
      </c>
      <c r="ALE65" s="20" t="n">
        <f aca="false">AEE65-AVR65</f>
        <v>0</v>
      </c>
      <c r="ALF65" s="20" t="n">
        <f aca="false">AEF65-AVS65</f>
        <v>0</v>
      </c>
      <c r="ALG65" s="20" t="n">
        <f aca="false">AEG65-AVT65</f>
        <v>0</v>
      </c>
      <c r="ALH65" s="20" t="n">
        <f aca="false">AEH65-AVU65</f>
        <v>0</v>
      </c>
      <c r="ALI65" s="20" t="n">
        <f aca="false">AEI65-AVV65</f>
        <v>0</v>
      </c>
      <c r="ALJ65" s="20" t="n">
        <f aca="false">AEJ65-AVW65</f>
        <v>0</v>
      </c>
      <c r="ALK65" s="20" t="n">
        <f aca="false">AEK65-AVX65</f>
        <v>0</v>
      </c>
      <c r="ALL65" s="20" t="n">
        <f aca="false">AEL65-AVY65</f>
        <v>0</v>
      </c>
      <c r="ALM65" s="20" t="n">
        <f aca="false">AEM65-AVZ65</f>
        <v>0</v>
      </c>
      <c r="ALN65" s="20" t="n">
        <f aca="false">AEN65-AWA65</f>
        <v>0</v>
      </c>
      <c r="ALO65" s="20" t="n">
        <f aca="false">AEO65-AWB65</f>
        <v>0</v>
      </c>
      <c r="ALP65" s="20" t="n">
        <f aca="false">AEP65-AWC65</f>
        <v>0</v>
      </c>
      <c r="ALQ65" s="20" t="n">
        <f aca="false">AEQ65-AWD65</f>
        <v>0</v>
      </c>
      <c r="ALR65" s="20" t="n">
        <f aca="false">AER65-AWE65</f>
        <v>0</v>
      </c>
      <c r="ALS65" s="20" t="n">
        <f aca="false">AES65-AWF65</f>
        <v>0</v>
      </c>
      <c r="ALT65" s="20" t="n">
        <f aca="false">AET65-AWG65</f>
        <v>0</v>
      </c>
      <c r="ALU65" s="20" t="n">
        <f aca="false">AEU65-AWH65</f>
        <v>0</v>
      </c>
      <c r="ALV65" s="20" t="n">
        <f aca="false">AEV65-AWI65</f>
        <v>0</v>
      </c>
      <c r="ALW65" s="20" t="n">
        <f aca="false">AEW65-AWJ65</f>
        <v>0</v>
      </c>
      <c r="ALX65" s="20" t="n">
        <f aca="false">AEX65-AWK65</f>
        <v>0</v>
      </c>
      <c r="ALY65" s="20" t="n">
        <f aca="false">AEY65-AWL65</f>
        <v>0</v>
      </c>
      <c r="ALZ65" s="20" t="n">
        <f aca="false">AEZ65-AWM65</f>
        <v>0</v>
      </c>
      <c r="AMA65" s="20" t="n">
        <f aca="false">AFA65-AWN65</f>
        <v>0</v>
      </c>
      <c r="AMB65" s="20" t="n">
        <f aca="false">AFB65-AWO65</f>
        <v>0</v>
      </c>
      <c r="AMC65" s="20" t="n">
        <f aca="false">AFC65-AWP65</f>
        <v>0</v>
      </c>
      <c r="AMD65" s="20" t="n">
        <f aca="false">AFD65-AWQ65</f>
        <v>0</v>
      </c>
      <c r="AME65" s="20" t="n">
        <f aca="false">AFE65-AWR65</f>
        <v>0</v>
      </c>
      <c r="AMF65" s="20" t="n">
        <f aca="false">AFF65-AWS65</f>
        <v>0</v>
      </c>
      <c r="AMG65" s="20" t="n">
        <f aca="false">AFG65-AWT65</f>
        <v>0</v>
      </c>
      <c r="AMH65" s="20" t="n">
        <f aca="false">AFH65-AWU65</f>
        <v>0</v>
      </c>
      <c r="AMI65" s="20" t="n">
        <f aca="false">AFI65-AWV65</f>
        <v>0</v>
      </c>
      <c r="AMJ65" s="20" t="n">
        <f aca="false">AFJ65-AWW65</f>
        <v>0</v>
      </c>
      <c r="AMK65" s="20" t="n">
        <f aca="false">AFK65-AWX65</f>
        <v>0</v>
      </c>
      <c r="AML65" s="20" t="n">
        <f aca="false">AFL65-AWY65</f>
        <v>0</v>
      </c>
      <c r="AMM65" s="20" t="n">
        <f aca="false">AFM65-AWZ65</f>
        <v>0</v>
      </c>
      <c r="AMN65" s="20" t="n">
        <f aca="false">AFN65-AXA65</f>
        <v>0</v>
      </c>
      <c r="AMO65" s="20" t="n">
        <f aca="false">AFO65-AXB65</f>
        <v>0</v>
      </c>
      <c r="AMP65" s="20" t="n">
        <f aca="false">AFP65-AXC65</f>
        <v>0</v>
      </c>
      <c r="AMQ65" s="20" t="n">
        <f aca="false">AFQ65-AXD65</f>
        <v>0</v>
      </c>
      <c r="AMR65" s="20" t="n">
        <f aca="false">AFR65-AXE65</f>
        <v>0</v>
      </c>
      <c r="AMS65" s="20" t="n">
        <f aca="false">AFS65-AXF65</f>
        <v>0</v>
      </c>
      <c r="AMT65" s="20" t="n">
        <f aca="false">AFT65-AXG65</f>
        <v>0</v>
      </c>
      <c r="AMU65" s="20" t="n">
        <f aca="false">AFU65-AXH65</f>
        <v>0</v>
      </c>
      <c r="AMV65" s="20" t="n">
        <f aca="false">AFV65-AXI65</f>
        <v>0</v>
      </c>
      <c r="AMW65" s="20" t="n">
        <f aca="false">AFW65-AXJ65</f>
        <v>0</v>
      </c>
      <c r="AMX65" s="20" t="n">
        <f aca="false">AFX65-AXK65</f>
        <v>0</v>
      </c>
      <c r="AMY65" s="20" t="n">
        <v>0</v>
      </c>
      <c r="AMZ65" s="20" t="n">
        <v>0</v>
      </c>
      <c r="ANA65" s="20" t="n">
        <v>0</v>
      </c>
      <c r="ANB65" s="20" t="n">
        <v>0</v>
      </c>
      <c r="ANC65" s="20" t="n">
        <v>0</v>
      </c>
      <c r="AND65" s="20" t="n">
        <v>0</v>
      </c>
      <c r="ANE65" s="20" t="n">
        <v>0</v>
      </c>
      <c r="ANF65" s="20" t="n">
        <v>0</v>
      </c>
      <c r="ANG65" s="20" t="n">
        <v>0</v>
      </c>
      <c r="ANH65" s="20" t="n">
        <v>0</v>
      </c>
      <c r="ANI65" s="20" t="n">
        <v>0</v>
      </c>
      <c r="ANJ65" s="20" t="n">
        <v>0</v>
      </c>
      <c r="ANK65" s="20" t="n">
        <v>0</v>
      </c>
      <c r="ANL65" s="20" t="n">
        <v>0</v>
      </c>
      <c r="ANM65" s="20" t="n">
        <v>0</v>
      </c>
      <c r="ANN65" s="20" t="n">
        <v>0</v>
      </c>
      <c r="ANO65" s="20" t="n">
        <v>0</v>
      </c>
      <c r="ANP65" s="20" t="n">
        <v>0</v>
      </c>
      <c r="ANQ65" s="20" t="n">
        <v>0</v>
      </c>
      <c r="ANR65" s="20" t="n">
        <v>0</v>
      </c>
      <c r="ANS65" s="20" t="n">
        <v>0</v>
      </c>
      <c r="ANT65" s="20" t="n">
        <v>0</v>
      </c>
      <c r="ANU65" s="20" t="n">
        <v>0</v>
      </c>
      <c r="ANV65" s="20" t="n">
        <v>0</v>
      </c>
      <c r="ANW65" s="20" t="n">
        <v>0</v>
      </c>
      <c r="ANX65" s="20" t="n">
        <v>0</v>
      </c>
      <c r="ANY65" s="20" t="n">
        <v>0</v>
      </c>
      <c r="ANZ65" s="20" t="n">
        <v>0</v>
      </c>
      <c r="AOA65" s="20" t="n">
        <v>0</v>
      </c>
      <c r="AOB65" s="20" t="n">
        <v>0</v>
      </c>
      <c r="AOC65" s="20" t="n">
        <v>0</v>
      </c>
      <c r="AOD65" s="20" t="n">
        <v>0</v>
      </c>
      <c r="AOE65" s="20" t="n">
        <f aca="false">IF(AND(H_Direct=0,H_TaxEvt=1,ARR64+1&gt;=H_Deemed),AKR65,AHE65)</f>
        <v>0</v>
      </c>
      <c r="AOF65" s="20" t="n">
        <f aca="false">IF(AND(H_Direct=0,H_TaxEvt=1,ARS64+1&gt;=H_Deemed),AKS65,AHF65)</f>
        <v>0</v>
      </c>
      <c r="AOG65" s="20" t="n">
        <f aca="false">IF(AND(H_Direct=0,H_TaxEvt=1,ART64+1&gt;=H_Deemed),AKT65,AHG65)</f>
        <v>0</v>
      </c>
      <c r="AOH65" s="20" t="n">
        <f aca="false">IF(AND(H_Direct=0,H_TaxEvt=1,ARU64+1&gt;=H_Deemed),AKU65,AHH65)</f>
        <v>0</v>
      </c>
      <c r="AOI65" s="20" t="n">
        <f aca="false">IF(AND(H_Direct=0,H_TaxEvt=1,ARV64+1&gt;=H_Deemed),AKV65,AHI65)</f>
        <v>0</v>
      </c>
      <c r="AOJ65" s="20" t="n">
        <f aca="false">IF(AND(H_Direct=0,H_TaxEvt=1,ARW64+1&gt;=H_Deemed),AKW65,AHJ65)</f>
        <v>0</v>
      </c>
      <c r="AOK65" s="20" t="n">
        <f aca="false">IF(AND(H_Direct=0,H_TaxEvt=1,ARX64+1&gt;=H_Deemed),AKX65,AHK65)</f>
        <v>0</v>
      </c>
      <c r="AOL65" s="20" t="n">
        <f aca="false">IF(AND(H_Direct=0,H_TaxEvt=1,ARY64+1&gt;=H_Deemed),AKY65,AHL65)</f>
        <v>0</v>
      </c>
      <c r="AOM65" s="20" t="n">
        <f aca="false">IF(AND(H_Direct=0,H_TaxEvt=1,ARZ64+1&gt;=H_Deemed),AKZ65,AHM65)</f>
        <v>0</v>
      </c>
      <c r="AON65" s="20" t="n">
        <f aca="false">IF(AND(H_Direct=0,H_TaxEvt=1,ASA64+1&gt;=H_Deemed),ALA65,AHN65)</f>
        <v>0</v>
      </c>
      <c r="AOO65" s="20" t="n">
        <f aca="false">IF(AND(H_Direct=0,H_TaxEvt=1,ASB64+1&gt;=H_Deemed),ALB65,AHO65)</f>
        <v>0</v>
      </c>
      <c r="AOP65" s="20" t="n">
        <f aca="false">IF(AND(H_Direct=0,H_TaxEvt=1,ASC64+1&gt;=H_Deemed),ALC65,AHP65)</f>
        <v>0</v>
      </c>
      <c r="AOQ65" s="20" t="n">
        <f aca="false">IF(AND(H_Direct=0,H_TaxEvt=1,ASD64+1&gt;=H_Deemed),ALD65,AHQ65)</f>
        <v>0</v>
      </c>
      <c r="AOR65" s="20" t="n">
        <f aca="false">IF(AND(H_Direct=0,H_TaxEvt=1,ASE64+1&gt;=H_Deemed),ALE65,AHR65)</f>
        <v>0</v>
      </c>
      <c r="AOS65" s="20" t="n">
        <f aca="false">IF(AND(H_Direct=0,H_TaxEvt=1,ASF64+1&gt;=H_Deemed),ALF65,AHS65)</f>
        <v>0</v>
      </c>
      <c r="AOT65" s="20" t="n">
        <f aca="false">IF(AND(H_Direct=0,H_TaxEvt=1,ASG64+1&gt;=H_Deemed),ALG65,AHT65)</f>
        <v>0</v>
      </c>
      <c r="AOU65" s="20" t="n">
        <f aca="false">IF(AND(H_Direct=0,H_TaxEvt=1,ASH64+1&gt;=H_Deemed),ALH65,AHU65)</f>
        <v>0</v>
      </c>
      <c r="AOV65" s="20" t="n">
        <f aca="false">IF(AND(H_Direct=0,H_TaxEvt=1,ASI64+1&gt;=H_Deemed),ALI65,AHV65)</f>
        <v>0</v>
      </c>
      <c r="AOW65" s="20" t="n">
        <f aca="false">IF(AND(H_Direct=0,H_TaxEvt=1,ASJ64+1&gt;=H_Deemed),ALJ65,AHW65)</f>
        <v>0</v>
      </c>
      <c r="AOX65" s="20" t="n">
        <f aca="false">IF(AND(H_Direct=0,H_TaxEvt=1,ASK64+1&gt;=H_Deemed),ALK65,AHX65)</f>
        <v>0</v>
      </c>
      <c r="AOY65" s="20" t="n">
        <f aca="false">IF(AND(H_Direct=0,H_TaxEvt=1,ASL64+1&gt;=H_Deemed),ALL65,AHY65)</f>
        <v>0</v>
      </c>
      <c r="AOZ65" s="20" t="n">
        <f aca="false">IF(AND(H_Direct=0,H_TaxEvt=1,ASM64+1&gt;=H_Deemed),ALM65,AHZ65)</f>
        <v>0</v>
      </c>
      <c r="APA65" s="20" t="n">
        <f aca="false">IF(AND(H_Direct=0,H_TaxEvt=1,ASN64+1&gt;=H_Deemed),ALN65,AIA65)</f>
        <v>0</v>
      </c>
      <c r="APB65" s="20" t="n">
        <f aca="false">IF(AND(H_Direct=0,H_TaxEvt=1,ASO64+1&gt;=H_Deemed),ALO65,AIB65)</f>
        <v>0</v>
      </c>
      <c r="APC65" s="20" t="n">
        <f aca="false">IF(AND(H_Direct=0,H_TaxEvt=1,ASP64+1&gt;=H_Deemed),ALP65,AIC65)</f>
        <v>0</v>
      </c>
      <c r="APD65" s="20" t="n">
        <f aca="false">IF(AND(H_Direct=0,H_TaxEvt=1,ASQ64+1&gt;=H_Deemed),ALQ65,AID65)</f>
        <v>0</v>
      </c>
      <c r="APE65" s="20" t="n">
        <f aca="false">IF(AND(H_Direct=0,H_TaxEvt=1,ASR64+1&gt;=H_Deemed),ALR65,AIE65)</f>
        <v>0</v>
      </c>
      <c r="APF65" s="20" t="n">
        <f aca="false">IF(AND(H_Direct=0,H_TaxEvt=1,ASS64+1&gt;=H_Deemed),ALS65,AIF65)</f>
        <v>0</v>
      </c>
      <c r="APG65" s="20" t="n">
        <f aca="false">IF(AND(H_Direct=0,H_TaxEvt=1,AST64+1&gt;=H_Deemed),ALT65,AIG65)</f>
        <v>0</v>
      </c>
      <c r="APH65" s="20" t="n">
        <f aca="false">IF(AND(H_Direct=0,H_TaxEvt=1,ASU64+1&gt;=H_Deemed),ALU65,AIH65)</f>
        <v>0</v>
      </c>
      <c r="API65" s="20" t="n">
        <f aca="false">IF(AND(H_Direct=0,H_TaxEvt=1,ASV64+1&gt;=H_Deemed),ALV65,AII65)</f>
        <v>0</v>
      </c>
      <c r="APJ65" s="20" t="n">
        <f aca="false">IF(AND(H_Direct=0,H_TaxEvt=1,ASW64+1&gt;=H_Deemed),ALW65,AIJ65)</f>
        <v>0</v>
      </c>
      <c r="APK65" s="20" t="n">
        <f aca="false">IF(AND(H_Direct=0,H_TaxEvt=1,ASX64+1&gt;=H_Deemed),ALX65,AIK65)</f>
        <v>0</v>
      </c>
      <c r="APL65" s="20" t="n">
        <f aca="false">IF(AND(H_Direct=0,H_TaxEvt=1,ASY64+1&gt;=H_Deemed),ALY65,AIL65)</f>
        <v>0</v>
      </c>
      <c r="APM65" s="20" t="n">
        <f aca="false">IF(AND(H_Direct=0,H_TaxEvt=1,ASZ64+1&gt;=H_Deemed),ALZ65,AIM65)</f>
        <v>0</v>
      </c>
      <c r="APN65" s="20" t="n">
        <f aca="false">IF(AND(H_Direct=0,H_TaxEvt=1,ATA64+1&gt;=H_Deemed),AMA65,AIN65)</f>
        <v>0</v>
      </c>
      <c r="APO65" s="20" t="n">
        <f aca="false">IF(AND(H_Direct=0,H_TaxEvt=1,ATB64+1&gt;=H_Deemed),AMB65,AIO65)</f>
        <v>0</v>
      </c>
      <c r="APP65" s="20" t="n">
        <f aca="false">IF(AND(H_Direct=0,H_TaxEvt=1,ATC64+1&gt;=H_Deemed),AMC65,AIP65)</f>
        <v>0</v>
      </c>
      <c r="APQ65" s="20" t="n">
        <f aca="false">IF(AND(H_Direct=0,H_TaxEvt=1,ATD64+1&gt;=H_Deemed),AMD65,AIQ65)</f>
        <v>0</v>
      </c>
      <c r="APR65" s="20" t="n">
        <f aca="false">IF(AND(H_Direct=0,H_TaxEvt=1,ATE64+1&gt;=H_Deemed),AME65,AIR65)</f>
        <v>0</v>
      </c>
      <c r="APS65" s="20" t="n">
        <f aca="false">IF(AND(H_Direct=0,H_TaxEvt=1,ATF64+1&gt;=H_Deemed),AMF65,AIS65)</f>
        <v>0</v>
      </c>
      <c r="APT65" s="20" t="n">
        <f aca="false">IF(AND(H_Direct=0,H_TaxEvt=1,ATG64+1&gt;=H_Deemed),AMG65,AIT65)</f>
        <v>0</v>
      </c>
      <c r="APU65" s="20" t="n">
        <f aca="false">IF(AND(H_Direct=0,H_TaxEvt=1,ATH64+1&gt;=H_Deemed),AMH65,AIU65)</f>
        <v>0</v>
      </c>
      <c r="APV65" s="20" t="n">
        <f aca="false">IF(AND(H_Direct=0,H_TaxEvt=1,ATI64+1&gt;=H_Deemed),AMI65,AIV65)</f>
        <v>0</v>
      </c>
      <c r="APW65" s="20" t="n">
        <f aca="false">IF(AND(H_Direct=0,H_TaxEvt=1,ATJ64+1&gt;=H_Deemed),AMJ65,AIW65)</f>
        <v>0</v>
      </c>
      <c r="APX65" s="20" t="n">
        <f aca="false">IF(AND(H_Direct=0,H_TaxEvt=1,ATK64+1&gt;=H_Deemed),AMK65,AIX65)</f>
        <v>0</v>
      </c>
      <c r="APY65" s="20" t="n">
        <f aca="false">IF(AND(H_Direct=0,H_TaxEvt=1,ATL64+1&gt;=H_Deemed),AML65,AIY65)</f>
        <v>0</v>
      </c>
      <c r="APZ65" s="20" t="n">
        <f aca="false">IF(AND(H_Direct=0,H_TaxEvt=1,ATM64+1&gt;=H_Deemed),AMM65,AIZ65)</f>
        <v>0</v>
      </c>
      <c r="AQA65" s="20" t="n">
        <f aca="false">IF(AND(H_Direct=0,H_TaxEvt=1,ATN64+1&gt;=H_Deemed),AMN65,AJA65)</f>
        <v>0</v>
      </c>
      <c r="AQB65" s="20" t="n">
        <f aca="false">IF(AND(H_Direct=0,H_TaxEvt=1,ATO64+1&gt;=H_Deemed),AMO65,AJB65)</f>
        <v>0</v>
      </c>
      <c r="AQC65" s="20" t="n">
        <f aca="false">IF(AND(H_Direct=0,H_TaxEvt=1,ATP64+1&gt;=H_Deemed),AMP65,AJC65)</f>
        <v>0</v>
      </c>
      <c r="AQD65" s="20" t="n">
        <f aca="false">IF(AND(H_Direct=0,H_TaxEvt=1,ATQ64+1&gt;=H_Deemed),AMQ65,AJD65)</f>
        <v>0</v>
      </c>
      <c r="AQE65" s="20" t="n">
        <f aca="false">IF(AND(H_Direct=0,H_TaxEvt=1,ATR64+1&gt;=H_Deemed),AMR65,AJE65)</f>
        <v>0</v>
      </c>
      <c r="AQF65" s="20" t="n">
        <f aca="false">IF(AND(H_Direct=0,H_TaxEvt=1,ATS64+1&gt;=H_Deemed),AMS65,AJF65)</f>
        <v>0</v>
      </c>
      <c r="AQG65" s="20" t="n">
        <f aca="false">IF(AND(H_Direct=0,H_TaxEvt=1,ATT64+1&gt;=H_Deemed),AMT65,AJG65)</f>
        <v>0</v>
      </c>
      <c r="AQH65" s="20" t="n">
        <f aca="false">IF(AND(H_Direct=0,H_TaxEvt=1,ATU64+1&gt;=H_Deemed),AMU65,AJH65)</f>
        <v>0</v>
      </c>
      <c r="AQI65" s="20" t="n">
        <f aca="false">IF(AND(H_Direct=0,H_TaxEvt=1,ATV64+1&gt;=H_Deemed),AMV65,AJI65)</f>
        <v>0</v>
      </c>
      <c r="AQJ65" s="20" t="n">
        <f aca="false">IF(AND(H_Direct=0,H_TaxEvt=1,ATW64+1&gt;=H_Deemed),AMW65,AJJ65)</f>
        <v>0</v>
      </c>
      <c r="AQK65" s="20" t="n">
        <f aca="false">IF(AND(H_Direct=0,H_TaxEvt=1,0+1&gt;=H_Deemed),AMX65,AJK65)</f>
        <v>0</v>
      </c>
      <c r="AQL65" s="20" t="n">
        <v>0</v>
      </c>
      <c r="AQM65" s="20" t="n">
        <v>0</v>
      </c>
      <c r="AQN65" s="20" t="n">
        <v>0</v>
      </c>
      <c r="AQO65" s="20" t="n">
        <v>0</v>
      </c>
      <c r="AQP65" s="20" t="n">
        <v>0</v>
      </c>
      <c r="AQQ65" s="20" t="n">
        <v>0</v>
      </c>
      <c r="AQR65" s="20" t="n">
        <v>0</v>
      </c>
      <c r="AQS65" s="20" t="n">
        <v>0</v>
      </c>
      <c r="AQT65" s="20" t="n">
        <v>0</v>
      </c>
      <c r="AQU65" s="20" t="n">
        <v>0</v>
      </c>
      <c r="AQV65" s="20" t="n">
        <v>0</v>
      </c>
      <c r="AQW65" s="20" t="n">
        <v>0</v>
      </c>
      <c r="AQX65" s="20" t="n">
        <v>0</v>
      </c>
      <c r="AQY65" s="20" t="n">
        <v>0</v>
      </c>
      <c r="AQZ65" s="20" t="n">
        <v>0</v>
      </c>
      <c r="ARA65" s="20" t="n">
        <v>0</v>
      </c>
      <c r="ARB65" s="20" t="n">
        <v>0</v>
      </c>
      <c r="ARC65" s="20" t="n">
        <v>0</v>
      </c>
      <c r="ARD65" s="20" t="n">
        <v>0</v>
      </c>
      <c r="ARE65" s="20" t="n">
        <v>0</v>
      </c>
      <c r="ARF65" s="20" t="n">
        <v>0</v>
      </c>
      <c r="ARG65" s="20" t="n">
        <v>0</v>
      </c>
      <c r="ARH65" s="20" t="n">
        <v>0</v>
      </c>
      <c r="ARI65" s="20" t="n">
        <v>0</v>
      </c>
      <c r="ARJ65" s="20" t="n">
        <v>0</v>
      </c>
      <c r="ARK65" s="20" t="n">
        <v>0</v>
      </c>
      <c r="ARL65" s="20" t="n">
        <v>0</v>
      </c>
      <c r="ARM65" s="20" t="n">
        <v>0</v>
      </c>
      <c r="ARN65" s="20" t="n">
        <v>0</v>
      </c>
      <c r="ARO65" s="20" t="n">
        <v>0</v>
      </c>
      <c r="ARP65" s="20" t="n">
        <v>0</v>
      </c>
      <c r="ARQ65" s="20" t="n">
        <v>0</v>
      </c>
      <c r="ARR65" s="20" t="n">
        <f aca="false">IF(AND(H_Direct=0,H_TaxEvt=1),IF(ARR64+1&gt;=H_Deemed,0,ARR64+1),ARR64)</f>
        <v>2</v>
      </c>
      <c r="ARS65" s="20" t="n">
        <f aca="false">IF(AND(H_Direct=0,H_TaxEvt=1),IF(ARS64+1&gt;=H_Deemed,0,ARS64+1),ARS64)</f>
        <v>2</v>
      </c>
      <c r="ART65" s="20" t="n">
        <f aca="false">IF(AND(H_Direct=0,H_TaxEvt=1),IF(ART64+1&gt;=H_Deemed,0,ART64+1),ART64)</f>
        <v>1</v>
      </c>
      <c r="ARU65" s="20" t="n">
        <f aca="false">IF(AND(H_Direct=0,H_TaxEvt=1),IF(ARU64+1&gt;=H_Deemed,0,ARU64+1),ARU64)</f>
        <v>0</v>
      </c>
      <c r="ARV65" s="20" t="n">
        <f aca="false">IF(AND(H_Direct=0,H_TaxEvt=1),IF(ARV64+1&gt;=H_Deemed,0,ARV64+1),ARV64)</f>
        <v>7</v>
      </c>
      <c r="ARW65" s="20" t="n">
        <f aca="false">IF(AND(H_Direct=0,H_TaxEvt=1),IF(ARW64+1&gt;=H_Deemed,0,ARW64+1),ARW64)</f>
        <v>6</v>
      </c>
      <c r="ARX65" s="20" t="n">
        <f aca="false">IF(AND(H_Direct=0,H_TaxEvt=1),IF(ARX64+1&gt;=H_Deemed,0,ARX64+1),ARX64)</f>
        <v>5</v>
      </c>
      <c r="ARY65" s="20" t="n">
        <f aca="false">IF(AND(H_Direct=0,H_TaxEvt=1),IF(ARY64+1&gt;=H_Deemed,0,ARY64+1),ARY64)</f>
        <v>4</v>
      </c>
      <c r="ARZ65" s="20" t="n">
        <f aca="false">IF(AND(H_Direct=0,H_TaxEvt=1),IF(ARZ64+1&gt;=H_Deemed,0,ARZ64+1),ARZ64)</f>
        <v>3</v>
      </c>
      <c r="ASA65" s="20" t="n">
        <f aca="false">IF(AND(H_Direct=0,H_TaxEvt=1),IF(ASA64+1&gt;=H_Deemed,0,ASA64+1),ASA64)</f>
        <v>2</v>
      </c>
      <c r="ASB65" s="20" t="n">
        <f aca="false">IF(AND(H_Direct=0,H_TaxEvt=1),IF(ASB64+1&gt;=H_Deemed,0,ASB64+1),ASB64)</f>
        <v>1</v>
      </c>
      <c r="ASC65" s="20" t="n">
        <f aca="false">IF(AND(H_Direct=0,H_TaxEvt=1),IF(ASC64+1&gt;=H_Deemed,0,ASC64+1),ASC64)</f>
        <v>0</v>
      </c>
      <c r="ASD65" s="20" t="n">
        <f aca="false">IF(AND(H_Direct=0,H_TaxEvt=1),IF(ASD64+1&gt;=H_Deemed,0,ASD64+1),ASD64)</f>
        <v>7</v>
      </c>
      <c r="ASE65" s="20" t="n">
        <f aca="false">IF(AND(H_Direct=0,H_TaxEvt=1),IF(ASE64+1&gt;=H_Deemed,0,ASE64+1),ASE64)</f>
        <v>6</v>
      </c>
      <c r="ASF65" s="20" t="n">
        <f aca="false">IF(AND(H_Direct=0,H_TaxEvt=1),IF(ASF64+1&gt;=H_Deemed,0,ASF64+1),ASF64)</f>
        <v>5</v>
      </c>
      <c r="ASG65" s="20" t="n">
        <f aca="false">IF(AND(H_Direct=0,H_TaxEvt=1),IF(ASG64+1&gt;=H_Deemed,0,ASG64+1),ASG64)</f>
        <v>4</v>
      </c>
      <c r="ASH65" s="20" t="n">
        <f aca="false">IF(AND(H_Direct=0,H_TaxEvt=1),IF(ASH64+1&gt;=H_Deemed,0,ASH64+1),ASH64)</f>
        <v>3</v>
      </c>
      <c r="ASI65" s="20" t="n">
        <f aca="false">IF(AND(H_Direct=0,H_TaxEvt=1),IF(ASI64+1&gt;=H_Deemed,0,ASI64+1),ASI64)</f>
        <v>2</v>
      </c>
      <c r="ASJ65" s="20" t="n">
        <f aca="false">IF(AND(H_Direct=0,H_TaxEvt=1),IF(ASJ64+1&gt;=H_Deemed,0,ASJ64+1),ASJ64)</f>
        <v>1</v>
      </c>
      <c r="ASK65" s="20" t="n">
        <f aca="false">IF(AND(H_Direct=0,H_TaxEvt=1),IF(ASK64+1&gt;=H_Deemed,0,ASK64+1),ASK64)</f>
        <v>0</v>
      </c>
      <c r="ASL65" s="20" t="n">
        <f aca="false">IF(AND(H_Direct=0,H_TaxEvt=1),IF(ASL64+1&gt;=H_Deemed,0,ASL64+1),ASL64)</f>
        <v>7</v>
      </c>
      <c r="ASM65" s="20" t="n">
        <f aca="false">IF(AND(H_Direct=0,H_TaxEvt=1),IF(ASM64+1&gt;=H_Deemed,0,ASM64+1),ASM64)</f>
        <v>6</v>
      </c>
      <c r="ASN65" s="20" t="n">
        <f aca="false">IF(AND(H_Direct=0,H_TaxEvt=1),IF(ASN64+1&gt;=H_Deemed,0,ASN64+1),ASN64)</f>
        <v>5</v>
      </c>
      <c r="ASO65" s="20" t="n">
        <f aca="false">IF(AND(H_Direct=0,H_TaxEvt=1),IF(ASO64+1&gt;=H_Deemed,0,ASO64+1),ASO64)</f>
        <v>4</v>
      </c>
      <c r="ASP65" s="20" t="n">
        <f aca="false">IF(AND(H_Direct=0,H_TaxEvt=1),IF(ASP64+1&gt;=H_Deemed,0,ASP64+1),ASP64)</f>
        <v>3</v>
      </c>
      <c r="ASQ65" s="20" t="n">
        <f aca="false">IF(AND(H_Direct=0,H_TaxEvt=1),IF(ASQ64+1&gt;=H_Deemed,0,ASQ64+1),ASQ64)</f>
        <v>2</v>
      </c>
      <c r="ASR65" s="20" t="n">
        <f aca="false">IF(AND(H_Direct=0,H_TaxEvt=1),IF(ASR64+1&gt;=H_Deemed,0,ASR64+1),ASR64)</f>
        <v>1</v>
      </c>
      <c r="ASS65" s="20" t="n">
        <f aca="false">IF(AND(H_Direct=0,H_TaxEvt=1),IF(ASS64+1&gt;=H_Deemed,0,ASS64+1),ASS64)</f>
        <v>0</v>
      </c>
      <c r="AST65" s="20" t="n">
        <f aca="false">IF(AND(H_Direct=0,H_TaxEvt=1),IF(AST64+1&gt;=H_Deemed,0,AST64+1),AST64)</f>
        <v>7</v>
      </c>
      <c r="ASU65" s="20" t="n">
        <f aca="false">IF(AND(H_Direct=0,H_TaxEvt=1),IF(ASU64+1&gt;=H_Deemed,0,ASU64+1),ASU64)</f>
        <v>6</v>
      </c>
      <c r="ASV65" s="20" t="n">
        <f aca="false">IF(AND(H_Direct=0,H_TaxEvt=1),IF(ASV64+1&gt;=H_Deemed,0,ASV64+1),ASV64)</f>
        <v>5</v>
      </c>
      <c r="ASW65" s="20" t="n">
        <f aca="false">IF(AND(H_Direct=0,H_TaxEvt=1),IF(ASW64+1&gt;=H_Deemed,0,ASW64+1),ASW64)</f>
        <v>4</v>
      </c>
      <c r="ASX65" s="20" t="n">
        <f aca="false">IF(AND(H_Direct=0,H_TaxEvt=1),IF(ASX64+1&gt;=H_Deemed,0,ASX64+1),ASX64)</f>
        <v>3</v>
      </c>
      <c r="ASY65" s="20" t="n">
        <f aca="false">IF(AND(H_Direct=0,H_TaxEvt=1),IF(ASY64+1&gt;=H_Deemed,0,ASY64+1),ASY64)</f>
        <v>2</v>
      </c>
      <c r="ASZ65" s="20" t="n">
        <f aca="false">IF(AND(H_Direct=0,H_TaxEvt=1),IF(ASZ64+1&gt;=H_Deemed,0,ASZ64+1),ASZ64)</f>
        <v>1</v>
      </c>
      <c r="ATA65" s="20" t="n">
        <f aca="false">IF(AND(H_Direct=0,H_TaxEvt=1),IF(ATA64+1&gt;=H_Deemed,0,ATA64+1),ATA64)</f>
        <v>0</v>
      </c>
      <c r="ATB65" s="20" t="n">
        <f aca="false">IF(AND(H_Direct=0,H_TaxEvt=1),IF(ATB64+1&gt;=H_Deemed,0,ATB64+1),ATB64)</f>
        <v>7</v>
      </c>
      <c r="ATC65" s="20" t="n">
        <f aca="false">IF(AND(H_Direct=0,H_TaxEvt=1),IF(ATC64+1&gt;=H_Deemed,0,ATC64+1),ATC64)</f>
        <v>6</v>
      </c>
      <c r="ATD65" s="20" t="n">
        <f aca="false">IF(AND(H_Direct=0,H_TaxEvt=1),IF(ATD64+1&gt;=H_Deemed,0,ATD64+1),ATD64)</f>
        <v>5</v>
      </c>
      <c r="ATE65" s="20" t="n">
        <f aca="false">IF(AND(H_Direct=0,H_TaxEvt=1),IF(ATE64+1&gt;=H_Deemed,0,ATE64+1),ATE64)</f>
        <v>4</v>
      </c>
      <c r="ATF65" s="20" t="n">
        <f aca="false">IF(AND(H_Direct=0,H_TaxEvt=1),IF(ATF64+1&gt;=H_Deemed,0,ATF64+1),ATF64)</f>
        <v>3</v>
      </c>
      <c r="ATG65" s="20" t="n">
        <f aca="false">IF(AND(H_Direct=0,H_TaxEvt=1),IF(ATG64+1&gt;=H_Deemed,0,ATG64+1),ATG64)</f>
        <v>2</v>
      </c>
      <c r="ATH65" s="20" t="n">
        <f aca="false">IF(AND(H_Direct=0,H_TaxEvt=1),IF(ATH64+1&gt;=H_Deemed,0,ATH64+1),ATH64)</f>
        <v>1</v>
      </c>
      <c r="ATI65" s="20" t="n">
        <f aca="false">IF(AND(H_Direct=0,H_TaxEvt=1),IF(ATI64+1&gt;=H_Deemed,0,ATI64+1),ATI64)</f>
        <v>0</v>
      </c>
      <c r="ATJ65" s="20" t="n">
        <f aca="false">IF(AND(H_Direct=0,H_TaxEvt=1),IF(ATJ64+1&gt;=H_Deemed,0,ATJ64+1),ATJ64)</f>
        <v>7</v>
      </c>
      <c r="ATK65" s="20" t="n">
        <f aca="false">IF(AND(H_Direct=0,H_TaxEvt=1),IF(ATK64+1&gt;=H_Deemed,0,ATK64+1),ATK64)</f>
        <v>6</v>
      </c>
      <c r="ATL65" s="20" t="n">
        <f aca="false">IF(AND(H_Direct=0,H_TaxEvt=1),IF(ATL64+1&gt;=H_Deemed,0,ATL64+1),ATL64)</f>
        <v>5</v>
      </c>
      <c r="ATM65" s="20" t="n">
        <f aca="false">IF(AND(H_Direct=0,H_TaxEvt=1),IF(ATM64+1&gt;=H_Deemed,0,ATM64+1),ATM64)</f>
        <v>4</v>
      </c>
      <c r="ATN65" s="20" t="n">
        <f aca="false">IF(AND(H_Direct=0,H_TaxEvt=1),IF(ATN64+1&gt;=H_Deemed,0,ATN64+1),ATN64)</f>
        <v>3</v>
      </c>
      <c r="ATO65" s="20" t="n">
        <f aca="false">IF(AND(H_Direct=0,H_TaxEvt=1),IF(ATO64+1&gt;=H_Deemed,0,ATO64+1),ATO64)</f>
        <v>2</v>
      </c>
      <c r="ATP65" s="20" t="n">
        <f aca="false">IF(AND(H_Direct=0,H_TaxEvt=1),IF(ATP64+1&gt;=H_Deemed,0,ATP64+1),ATP64)</f>
        <v>1</v>
      </c>
      <c r="ATQ65" s="20" t="n">
        <f aca="false">IF(AND(H_Direct=0,H_TaxEvt=1),IF(ATQ64+1&gt;=H_Deemed,0,ATQ64+1),ATQ64)</f>
        <v>0</v>
      </c>
      <c r="ATR65" s="20" t="n">
        <f aca="false">IF(AND(H_Direct=0,H_TaxEvt=1),IF(ATR64+1&gt;=H_Deemed,0,ATR64+1),ATR64)</f>
        <v>7</v>
      </c>
      <c r="ATS65" s="20" t="n">
        <f aca="false">IF(AND(H_Direct=0,H_TaxEvt=1),IF(ATS64+1&gt;=H_Deemed,0,ATS64+1),ATS64)</f>
        <v>6</v>
      </c>
      <c r="ATT65" s="20" t="n">
        <f aca="false">IF(AND(H_Direct=0,H_TaxEvt=1),IF(ATT64+1&gt;=H_Deemed,0,ATT64+1),ATT64)</f>
        <v>5</v>
      </c>
      <c r="ATU65" s="20" t="n">
        <f aca="false">IF(AND(H_Direct=0,H_TaxEvt=1),IF(ATU64+1&gt;=H_Deemed,0,ATU64+1),ATU64)</f>
        <v>4</v>
      </c>
      <c r="ATV65" s="20" t="n">
        <f aca="false">IF(AND(H_Direct=0,H_TaxEvt=1),IF(ATV64+1&gt;=H_Deemed,0,ATV64+1),ATV64)</f>
        <v>3</v>
      </c>
      <c r="ATW65" s="20" t="n">
        <f aca="false">IF(AND(H_Direct=0,H_TaxEvt=1),IF(ATW64+1&gt;=H_Deemed,0,ATW64+1),ATW64)</f>
        <v>2</v>
      </c>
      <c r="ATX65" s="20" t="n">
        <f aca="false">IF(AND(H_Direct=0,H_TaxEvt=1),IF(0+1&gt;=H_Deemed,0,0+1),0)</f>
        <v>1</v>
      </c>
      <c r="ATY65" s="20" t="n">
        <v>0</v>
      </c>
      <c r="ATZ65" s="20" t="n">
        <v>0</v>
      </c>
      <c r="AUA65" s="20" t="n">
        <v>0</v>
      </c>
      <c r="AUB65" s="20" t="n">
        <v>0</v>
      </c>
      <c r="AUC65" s="20" t="n">
        <v>0</v>
      </c>
      <c r="AUD65" s="20" t="n">
        <v>0</v>
      </c>
      <c r="AUE65" s="20" t="n">
        <v>0</v>
      </c>
      <c r="AUF65" s="20" t="n">
        <v>0</v>
      </c>
      <c r="AUG65" s="20" t="n">
        <v>0</v>
      </c>
      <c r="AUH65" s="20" t="n">
        <v>0</v>
      </c>
      <c r="AUI65" s="20" t="n">
        <v>0</v>
      </c>
      <c r="AUJ65" s="20" t="n">
        <v>0</v>
      </c>
      <c r="AUK65" s="20" t="n">
        <v>0</v>
      </c>
      <c r="AUL65" s="20" t="n">
        <v>0</v>
      </c>
      <c r="AUM65" s="20" t="n">
        <v>0</v>
      </c>
      <c r="AUN65" s="20" t="n">
        <v>0</v>
      </c>
      <c r="AUO65" s="20" t="n">
        <v>0</v>
      </c>
      <c r="AUP65" s="20" t="n">
        <v>0</v>
      </c>
      <c r="AUQ65" s="20" t="n">
        <v>0</v>
      </c>
      <c r="AUR65" s="20" t="n">
        <v>0</v>
      </c>
      <c r="AUS65" s="20" t="n">
        <v>0</v>
      </c>
      <c r="AUT65" s="20" t="n">
        <v>0</v>
      </c>
      <c r="AUU65" s="20" t="n">
        <v>0</v>
      </c>
      <c r="AUV65" s="20" t="n">
        <v>0</v>
      </c>
      <c r="AUW65" s="20" t="n">
        <v>0</v>
      </c>
      <c r="AUX65" s="20" t="n">
        <v>0</v>
      </c>
      <c r="AUY65" s="20" t="n">
        <v>0</v>
      </c>
      <c r="AUZ65" s="20" t="n">
        <v>0</v>
      </c>
      <c r="AVA65" s="20" t="n">
        <v>0</v>
      </c>
      <c r="AVB65" s="20" t="n">
        <v>0</v>
      </c>
      <c r="AVC65" s="20" t="n">
        <v>0</v>
      </c>
      <c r="AVD65" s="20" t="n">
        <v>0</v>
      </c>
      <c r="AVE65" s="20" t="n">
        <f aca="false">IF(AND(H_Direct=0,H_TaxEvt=1,ARR64+1&gt;=H_Deemed),MAX(0,ADR65-AHE65)*H_Exit,0)</f>
        <v>0</v>
      </c>
      <c r="AVF65" s="20" t="n">
        <f aca="false">IF(AND(H_Direct=0,H_TaxEvt=1,ARS64+1&gt;=H_Deemed),MAX(0,ADS65-AHF65)*H_Exit,0)</f>
        <v>0</v>
      </c>
      <c r="AVG65" s="20" t="n">
        <f aca="false">IF(AND(H_Direct=0,H_TaxEvt=1,ART64+1&gt;=H_Deemed),MAX(0,ADT65-AHG65)*H_Exit,0)</f>
        <v>0</v>
      </c>
      <c r="AVH65" s="20" t="n">
        <f aca="false">IF(AND(H_Direct=0,H_TaxEvt=1,ARU64+1&gt;=H_Deemed),MAX(0,ADU65-AHH65)*H_Exit,0)</f>
        <v>0</v>
      </c>
      <c r="AVI65" s="20" t="n">
        <f aca="false">IF(AND(H_Direct=0,H_TaxEvt=1,ARV64+1&gt;=H_Deemed),MAX(0,ADV65-AHI65)*H_Exit,0)</f>
        <v>0</v>
      </c>
      <c r="AVJ65" s="20" t="n">
        <f aca="false">IF(AND(H_Direct=0,H_TaxEvt=1,ARW64+1&gt;=H_Deemed),MAX(0,ADW65-AHJ65)*H_Exit,0)</f>
        <v>0</v>
      </c>
      <c r="AVK65" s="20" t="n">
        <f aca="false">IF(AND(H_Direct=0,H_TaxEvt=1,ARX64+1&gt;=H_Deemed),MAX(0,ADX65-AHK65)*H_Exit,0)</f>
        <v>0</v>
      </c>
      <c r="AVL65" s="20" t="n">
        <f aca="false">IF(AND(H_Direct=0,H_TaxEvt=1,ARY64+1&gt;=H_Deemed),MAX(0,ADY65-AHL65)*H_Exit,0)</f>
        <v>0</v>
      </c>
      <c r="AVM65" s="20" t="n">
        <f aca="false">IF(AND(H_Direct=0,H_TaxEvt=1,ARZ64+1&gt;=H_Deemed),MAX(0,ADZ65-AHM65)*H_Exit,0)</f>
        <v>0</v>
      </c>
      <c r="AVN65" s="20" t="n">
        <f aca="false">IF(AND(H_Direct=0,H_TaxEvt=1,ASA64+1&gt;=H_Deemed),MAX(0,AEA65-AHN65)*H_Exit,0)</f>
        <v>0</v>
      </c>
      <c r="AVO65" s="20" t="n">
        <f aca="false">IF(AND(H_Direct=0,H_TaxEvt=1,ASB64+1&gt;=H_Deemed),MAX(0,AEB65-AHO65)*H_Exit,0)</f>
        <v>0</v>
      </c>
      <c r="AVP65" s="20" t="n">
        <f aca="false">IF(AND(H_Direct=0,H_TaxEvt=1,ASC64+1&gt;=H_Deemed),MAX(0,AEC65-AHP65)*H_Exit,0)</f>
        <v>0</v>
      </c>
      <c r="AVQ65" s="20" t="n">
        <f aca="false">IF(AND(H_Direct=0,H_TaxEvt=1,ASD64+1&gt;=H_Deemed),MAX(0,AED65-AHQ65)*H_Exit,0)</f>
        <v>0</v>
      </c>
      <c r="AVR65" s="20" t="n">
        <f aca="false">IF(AND(H_Direct=0,H_TaxEvt=1,ASE64+1&gt;=H_Deemed),MAX(0,AEE65-AHR65)*H_Exit,0)</f>
        <v>0</v>
      </c>
      <c r="AVS65" s="20" t="n">
        <f aca="false">IF(AND(H_Direct=0,H_TaxEvt=1,ASF64+1&gt;=H_Deemed),MAX(0,AEF65-AHS65)*H_Exit,0)</f>
        <v>0</v>
      </c>
      <c r="AVT65" s="20" t="n">
        <f aca="false">IF(AND(H_Direct=0,H_TaxEvt=1,ASG64+1&gt;=H_Deemed),MAX(0,AEG65-AHT65)*H_Exit,0)</f>
        <v>0</v>
      </c>
      <c r="AVU65" s="20" t="n">
        <f aca="false">IF(AND(H_Direct=0,H_TaxEvt=1,ASH64+1&gt;=H_Deemed),MAX(0,AEH65-AHU65)*H_Exit,0)</f>
        <v>0</v>
      </c>
      <c r="AVV65" s="20" t="n">
        <f aca="false">IF(AND(H_Direct=0,H_TaxEvt=1,ASI64+1&gt;=H_Deemed),MAX(0,AEI65-AHV65)*H_Exit,0)</f>
        <v>0</v>
      </c>
      <c r="AVW65" s="20" t="n">
        <f aca="false">IF(AND(H_Direct=0,H_TaxEvt=1,ASJ64+1&gt;=H_Deemed),MAX(0,AEJ65-AHW65)*H_Exit,0)</f>
        <v>0</v>
      </c>
      <c r="AVX65" s="20" t="n">
        <f aca="false">IF(AND(H_Direct=0,H_TaxEvt=1,ASK64+1&gt;=H_Deemed),MAX(0,AEK65-AHX65)*H_Exit,0)</f>
        <v>0</v>
      </c>
      <c r="AVY65" s="20" t="n">
        <f aca="false">IF(AND(H_Direct=0,H_TaxEvt=1,ASL64+1&gt;=H_Deemed),MAX(0,AEL65-AHY65)*H_Exit,0)</f>
        <v>0</v>
      </c>
      <c r="AVZ65" s="20" t="n">
        <f aca="false">IF(AND(H_Direct=0,H_TaxEvt=1,ASM64+1&gt;=H_Deemed),MAX(0,AEM65-AHZ65)*H_Exit,0)</f>
        <v>0</v>
      </c>
      <c r="AWA65" s="20" t="n">
        <f aca="false">IF(AND(H_Direct=0,H_TaxEvt=1,ASN64+1&gt;=H_Deemed),MAX(0,AEN65-AIA65)*H_Exit,0)</f>
        <v>0</v>
      </c>
      <c r="AWB65" s="20" t="n">
        <f aca="false">IF(AND(H_Direct=0,H_TaxEvt=1,ASO64+1&gt;=H_Deemed),MAX(0,AEO65-AIB65)*H_Exit,0)</f>
        <v>0</v>
      </c>
      <c r="AWC65" s="20" t="n">
        <f aca="false">IF(AND(H_Direct=0,H_TaxEvt=1,ASP64+1&gt;=H_Deemed),MAX(0,AEP65-AIC65)*H_Exit,0)</f>
        <v>0</v>
      </c>
      <c r="AWD65" s="20" t="n">
        <f aca="false">IF(AND(H_Direct=0,H_TaxEvt=1,ASQ64+1&gt;=H_Deemed),MAX(0,AEQ65-AID65)*H_Exit,0)</f>
        <v>0</v>
      </c>
      <c r="AWE65" s="20" t="n">
        <f aca="false">IF(AND(H_Direct=0,H_TaxEvt=1,ASR64+1&gt;=H_Deemed),MAX(0,AER65-AIE65)*H_Exit,0)</f>
        <v>0</v>
      </c>
      <c r="AWF65" s="20" t="n">
        <f aca="false">IF(AND(H_Direct=0,H_TaxEvt=1,ASS64+1&gt;=H_Deemed),MAX(0,AES65-AIF65)*H_Exit,0)</f>
        <v>0</v>
      </c>
      <c r="AWG65" s="20" t="n">
        <f aca="false">IF(AND(H_Direct=0,H_TaxEvt=1,AST64+1&gt;=H_Deemed),MAX(0,AET65-AIG65)*H_Exit,0)</f>
        <v>0</v>
      </c>
      <c r="AWH65" s="20" t="n">
        <f aca="false">IF(AND(H_Direct=0,H_TaxEvt=1,ASU64+1&gt;=H_Deemed),MAX(0,AEU65-AIH65)*H_Exit,0)</f>
        <v>0</v>
      </c>
      <c r="AWI65" s="20" t="n">
        <f aca="false">IF(AND(H_Direct=0,H_TaxEvt=1,ASV64+1&gt;=H_Deemed),MAX(0,AEV65-AII65)*H_Exit,0)</f>
        <v>0</v>
      </c>
      <c r="AWJ65" s="20" t="n">
        <f aca="false">IF(AND(H_Direct=0,H_TaxEvt=1,ASW64+1&gt;=H_Deemed),MAX(0,AEW65-AIJ65)*H_Exit,0)</f>
        <v>0</v>
      </c>
      <c r="AWK65" s="20" t="n">
        <f aca="false">IF(AND(H_Direct=0,H_TaxEvt=1,ASX64+1&gt;=H_Deemed),MAX(0,AEX65-AIK65)*H_Exit,0)</f>
        <v>0</v>
      </c>
      <c r="AWL65" s="20" t="n">
        <f aca="false">IF(AND(H_Direct=0,H_TaxEvt=1,ASY64+1&gt;=H_Deemed),MAX(0,AEY65-AIL65)*H_Exit,0)</f>
        <v>0</v>
      </c>
      <c r="AWM65" s="20" t="n">
        <f aca="false">IF(AND(H_Direct=0,H_TaxEvt=1,ASZ64+1&gt;=H_Deemed),MAX(0,AEZ65-AIM65)*H_Exit,0)</f>
        <v>0</v>
      </c>
      <c r="AWN65" s="20" t="n">
        <f aca="false">IF(AND(H_Direct=0,H_TaxEvt=1,ATA64+1&gt;=H_Deemed),MAX(0,AFA65-AIN65)*H_Exit,0)</f>
        <v>0</v>
      </c>
      <c r="AWO65" s="20" t="n">
        <f aca="false">IF(AND(H_Direct=0,H_TaxEvt=1,ATB64+1&gt;=H_Deemed),MAX(0,AFB65-AIO65)*H_Exit,0)</f>
        <v>0</v>
      </c>
      <c r="AWP65" s="20" t="n">
        <f aca="false">IF(AND(H_Direct=0,H_TaxEvt=1,ATC64+1&gt;=H_Deemed),MAX(0,AFC65-AIP65)*H_Exit,0)</f>
        <v>0</v>
      </c>
      <c r="AWQ65" s="20" t="n">
        <f aca="false">IF(AND(H_Direct=0,H_TaxEvt=1,ATD64+1&gt;=H_Deemed),MAX(0,AFD65-AIQ65)*H_Exit,0)</f>
        <v>0</v>
      </c>
      <c r="AWR65" s="20" t="n">
        <f aca="false">IF(AND(H_Direct=0,H_TaxEvt=1,ATE64+1&gt;=H_Deemed),MAX(0,AFE65-AIR65)*H_Exit,0)</f>
        <v>0</v>
      </c>
      <c r="AWS65" s="20" t="n">
        <f aca="false">IF(AND(H_Direct=0,H_TaxEvt=1,ATF64+1&gt;=H_Deemed),MAX(0,AFF65-AIS65)*H_Exit,0)</f>
        <v>0</v>
      </c>
      <c r="AWT65" s="20" t="n">
        <f aca="false">IF(AND(H_Direct=0,H_TaxEvt=1,ATG64+1&gt;=H_Deemed),MAX(0,AFG65-AIT65)*H_Exit,0)</f>
        <v>0</v>
      </c>
      <c r="AWU65" s="20" t="n">
        <f aca="false">IF(AND(H_Direct=0,H_TaxEvt=1,ATH64+1&gt;=H_Deemed),MAX(0,AFH65-AIU65)*H_Exit,0)</f>
        <v>0</v>
      </c>
      <c r="AWV65" s="20" t="n">
        <f aca="false">IF(AND(H_Direct=0,H_TaxEvt=1,ATI64+1&gt;=H_Deemed),MAX(0,AFI65-AIV65)*H_Exit,0)</f>
        <v>0</v>
      </c>
      <c r="AWW65" s="20" t="n">
        <f aca="false">IF(AND(H_Direct=0,H_TaxEvt=1,ATJ64+1&gt;=H_Deemed),MAX(0,AFJ65-AIW65)*H_Exit,0)</f>
        <v>0</v>
      </c>
      <c r="AWX65" s="20" t="n">
        <f aca="false">IF(AND(H_Direct=0,H_TaxEvt=1,ATK64+1&gt;=H_Deemed),MAX(0,AFK65-AIX65)*H_Exit,0)</f>
        <v>0</v>
      </c>
      <c r="AWY65" s="20" t="n">
        <f aca="false">IF(AND(H_Direct=0,H_TaxEvt=1,ATL64+1&gt;=H_Deemed),MAX(0,AFL65-AIY65)*H_Exit,0)</f>
        <v>0</v>
      </c>
      <c r="AWZ65" s="20" t="n">
        <f aca="false">IF(AND(H_Direct=0,H_TaxEvt=1,ATM64+1&gt;=H_Deemed),MAX(0,AFM65-AIZ65)*H_Exit,0)</f>
        <v>0</v>
      </c>
      <c r="AXA65" s="20" t="n">
        <f aca="false">IF(AND(H_Direct=0,H_TaxEvt=1,ATN64+1&gt;=H_Deemed),MAX(0,AFN65-AJA65)*H_Exit,0)</f>
        <v>0</v>
      </c>
      <c r="AXB65" s="20" t="n">
        <f aca="false">IF(AND(H_Direct=0,H_TaxEvt=1,ATO64+1&gt;=H_Deemed),MAX(0,AFO65-AJB65)*H_Exit,0)</f>
        <v>0</v>
      </c>
      <c r="AXC65" s="20" t="n">
        <f aca="false">IF(AND(H_Direct=0,H_TaxEvt=1,ATP64+1&gt;=H_Deemed),MAX(0,AFP65-AJC65)*H_Exit,0)</f>
        <v>0</v>
      </c>
      <c r="AXD65" s="20" t="n">
        <f aca="false">IF(AND(H_Direct=0,H_TaxEvt=1,ATQ64+1&gt;=H_Deemed),MAX(0,AFQ65-AJD65)*H_Exit,0)</f>
        <v>0</v>
      </c>
      <c r="AXE65" s="20" t="n">
        <f aca="false">IF(AND(H_Direct=0,H_TaxEvt=1,ATR64+1&gt;=H_Deemed),MAX(0,AFR65-AJE65)*H_Exit,0)</f>
        <v>0</v>
      </c>
      <c r="AXF65" s="20" t="n">
        <f aca="false">IF(AND(H_Direct=0,H_TaxEvt=1,ATS64+1&gt;=H_Deemed),MAX(0,AFS65-AJF65)*H_Exit,0)</f>
        <v>0</v>
      </c>
      <c r="AXG65" s="20" t="n">
        <f aca="false">IF(AND(H_Direct=0,H_TaxEvt=1,ATT64+1&gt;=H_Deemed),MAX(0,AFT65-AJG65)*H_Exit,0)</f>
        <v>0</v>
      </c>
      <c r="AXH65" s="20" t="n">
        <f aca="false">IF(AND(H_Direct=0,H_TaxEvt=1,ATU64+1&gt;=H_Deemed),MAX(0,AFU65-AJH65)*H_Exit,0)</f>
        <v>0</v>
      </c>
      <c r="AXI65" s="20" t="n">
        <f aca="false">IF(AND(H_Direct=0,H_TaxEvt=1,ATV64+1&gt;=H_Deemed),MAX(0,AFV65-AJI65)*H_Exit,0)</f>
        <v>0</v>
      </c>
      <c r="AXJ65" s="20" t="n">
        <f aca="false">IF(AND(H_Direct=0,H_TaxEvt=1,ATW64+1&gt;=H_Deemed),MAX(0,AFW65-AJJ65)*H_Exit,0)</f>
        <v>0</v>
      </c>
      <c r="AXK65" s="20" t="n">
        <f aca="false">IF(AND(H_Direct=0,H_TaxEvt=1,0+1&gt;=H_Deemed),MAX(0,AFX65-AJK65)*H_Exit,0)</f>
        <v>0</v>
      </c>
      <c r="AXL65" s="20" t="n">
        <v>0</v>
      </c>
      <c r="AXM65" s="20" t="n">
        <v>0</v>
      </c>
      <c r="AXN65" s="20" t="n">
        <v>0</v>
      </c>
      <c r="AXO65" s="20" t="n">
        <v>0</v>
      </c>
      <c r="AXP65" s="20" t="n">
        <v>0</v>
      </c>
      <c r="AXQ65" s="20" t="n">
        <v>0</v>
      </c>
      <c r="AXR65" s="20" t="n">
        <v>0</v>
      </c>
      <c r="AXS65" s="20" t="n">
        <v>0</v>
      </c>
      <c r="AXT65" s="20" t="n">
        <v>0</v>
      </c>
      <c r="AXU65" s="20" t="n">
        <v>0</v>
      </c>
      <c r="AXV65" s="20" t="n">
        <v>0</v>
      </c>
      <c r="AXW65" s="20" t="n">
        <v>0</v>
      </c>
      <c r="AXX65" s="20" t="n">
        <v>0</v>
      </c>
      <c r="AXY65" s="20" t="n">
        <v>0</v>
      </c>
      <c r="AXZ65" s="20" t="n">
        <v>0</v>
      </c>
      <c r="AYA65" s="20" t="n">
        <v>0</v>
      </c>
      <c r="AYB65" s="20" t="n">
        <v>0</v>
      </c>
      <c r="AYC65" s="20" t="n">
        <v>0</v>
      </c>
      <c r="AYD65" s="20" t="n">
        <v>0</v>
      </c>
      <c r="AYE65" s="20" t="n">
        <v>0</v>
      </c>
      <c r="AYF65" s="20" t="n">
        <v>0</v>
      </c>
      <c r="AYG65" s="20" t="n">
        <v>0</v>
      </c>
      <c r="AYH65" s="20" t="n">
        <v>0</v>
      </c>
      <c r="AYI65" s="20" t="n">
        <v>0</v>
      </c>
      <c r="AYJ65" s="20" t="n">
        <v>0</v>
      </c>
      <c r="AYK65" s="20" t="n">
        <v>0</v>
      </c>
      <c r="AYL65" s="20" t="n">
        <v>0</v>
      </c>
      <c r="AYM65" s="20" t="n">
        <v>0</v>
      </c>
      <c r="AYN65" s="20" t="n">
        <v>0</v>
      </c>
      <c r="AYO65" s="20" t="n">
        <v>0</v>
      </c>
      <c r="AYP65" s="20" t="n">
        <v>0</v>
      </c>
      <c r="AYQ65" s="20" t="n">
        <v>0</v>
      </c>
    </row>
    <row r="66" customFormat="false" ht="15" hidden="false" customHeight="false" outlineLevel="0" collapsed="false">
      <c r="B66" s="20" t="n">
        <v>58</v>
      </c>
      <c r="C66" s="20" t="n">
        <f aca="false">'Plan cashflow'!C66</f>
        <v>0</v>
      </c>
      <c r="D66" s="20" t="n">
        <f aca="false">'Plan cashflow'!D66</f>
        <v>96</v>
      </c>
      <c r="E66" s="20" t="n">
        <f aca="false">AS_Year0+58</f>
        <v>2084</v>
      </c>
      <c r="F66" s="50" t="n">
        <f aca="false">'Plan cashflow'!F66</f>
        <v>3.15362436405749</v>
      </c>
      <c r="G66" s="59" t="n">
        <f aca="true">IF(MAX(TODAY(),DATE(E66,1,1))&gt;=H_CGTfrom,H_CGT1,H_CGT0)</f>
        <v>0.31</v>
      </c>
      <c r="H66" s="20" t="n">
        <f aca="false">H_Exempt*H_Persons</f>
        <v>1270</v>
      </c>
      <c r="I66" s="20" t="n">
        <f aca="false">AX65</f>
        <v>0</v>
      </c>
      <c r="J66" s="60" t="n">
        <f aca="false">BF65</f>
        <v>0</v>
      </c>
      <c r="K66" s="60" t="n">
        <f aca="false">BG65</f>
        <v>0</v>
      </c>
      <c r="L66" s="20" t="n">
        <f aca="false">IF(AND(In_polLump&gt;0,In_polLumpAge&gt;0,D66=In_polLumpAge),In_polLump,0)</f>
        <v>0</v>
      </c>
      <c r="M66" s="20" t="n">
        <f aca="false">IF(AND(In_homeUse="Yes, I'd downsize",In_downAge&gt;0,D66=In_downAge,OR(In_home="Own outright",In_home="Own with mortgage"),In_homeValue&gt;0),MAX(0,MAX(0,In_homeValue-In_downValue)*F66*0.9-'Plan cashflow'!HR65),0)</f>
        <v>0</v>
      </c>
      <c r="N66" s="20" t="n">
        <f aca="false">'Plan pay &amp; tax'!Y292</f>
        <v>0</v>
      </c>
      <c r="O66" s="20" t="n">
        <f aca="false">L66+M66+(1-H_Sh)*N66</f>
        <v>0</v>
      </c>
      <c r="P66" s="20" t="n">
        <f aca="false">H_Sh*N66</f>
        <v>0</v>
      </c>
      <c r="Q66" s="20" t="n">
        <f aca="false">'Plan cashflow'!UL66</f>
        <v>0</v>
      </c>
      <c r="R66" s="20" t="n">
        <f aca="false">(1-H_Sh)*Q66</f>
        <v>0</v>
      </c>
      <c r="S66" s="20" t="n">
        <f aca="false">H_Sh*Q66</f>
        <v>0</v>
      </c>
      <c r="T66" s="20" t="n">
        <f aca="false">J66+K66+O66</f>
        <v>0</v>
      </c>
      <c r="U66" s="20" t="n">
        <f aca="false">T66+R66</f>
        <v>0</v>
      </c>
      <c r="V66" s="60" t="n">
        <f aca="false">SUM(FE66:IQ66)</f>
        <v>0</v>
      </c>
      <c r="W66" s="60" t="n">
        <f aca="false">IF(AJ66&lt;=0,0,IF(AL66&lt;=0,AJ66,AJ66-G66*MAX(0,AL66*AJ66-(AY66+AZ66))))</f>
        <v>0</v>
      </c>
      <c r="X66" s="60" t="n">
        <f aca="false">IF(AR66&lt;=0,0,IF(AT66&lt;=0,AR66,AR66-G66*MAX(0,AT66*AR66-(BA66+BB66))))</f>
        <v>0</v>
      </c>
      <c r="Y66" s="60" t="n">
        <f aca="false">T66+V66-S66+W66+X66</f>
        <v>0</v>
      </c>
      <c r="Z66" s="60" t="n">
        <f aca="false">'Plan cashflow'!UK66</f>
        <v>0</v>
      </c>
      <c r="AA66" s="20" t="n">
        <f aca="false">MIN(Z66,U66)</f>
        <v>0</v>
      </c>
      <c r="AB66" s="20" t="n">
        <f aca="false">Z66-AA66</f>
        <v>0</v>
      </c>
      <c r="AC66" s="20" t="n">
        <f aca="false">MIN(AA66,J66+O66+R66)</f>
        <v>0</v>
      </c>
      <c r="AD66" s="20" t="n">
        <f aca="false">AA66-AC66</f>
        <v>0</v>
      </c>
      <c r="AE66" s="20" t="n">
        <f aca="false">J66+O66+R66-AC66</f>
        <v>0</v>
      </c>
      <c r="AF66" s="20" t="n">
        <f aca="false">K66-AD66</f>
        <v>0</v>
      </c>
      <c r="AG66" s="20" t="n">
        <f aca="false">SUM(PR66:TD66)</f>
        <v>0</v>
      </c>
      <c r="AH66" s="20" t="n">
        <f aca="false">SUM(TE66:WQ66)</f>
        <v>0</v>
      </c>
      <c r="AI66" s="20" t="n">
        <f aca="false">MAX(0,AB66-AG66)</f>
        <v>0</v>
      </c>
      <c r="AJ66" s="57" t="n">
        <f aca="false">BI65</f>
        <v>0</v>
      </c>
      <c r="AK66" s="20" t="n">
        <f aca="false">BJ65</f>
        <v>0</v>
      </c>
      <c r="AL66" s="20" t="n">
        <f aca="false">IF(AJ66&gt;0,(AJ66-AK66)/AJ66,0)</f>
        <v>0</v>
      </c>
      <c r="AM66" s="20" t="n">
        <f aca="false">IF(AJ66&lt;=0,0,IF(AL66&lt;=0,MIN(AI66,AJ66),MIN(AI66,AJ66-G66*MAX(0,AL66*AJ66-(AAD66+ADQ66)))))</f>
        <v>0</v>
      </c>
      <c r="AN66" s="20" t="n">
        <f aca="false">IF(AJ66&lt;=0,0,IF(AL66&lt;=0,AM66,IF(AM66&lt;=(AAD66+ADQ66)/AL66,AM66,(AM66-G66*(AAD66+ADQ66))/(1-G66*AL66))))</f>
        <v>0</v>
      </c>
      <c r="AO66" s="20" t="n">
        <f aca="false">IF(AL66&gt;0,MAX(0,AAD66-(MIN(AL66*AN66,(AAD66+ADQ66))-MIN(MIN(AL66*AN66,(AAD66+ADQ66)),ADQ66))),AAD66)</f>
        <v>1270</v>
      </c>
      <c r="AP66" s="20" t="n">
        <f aca="false">IF(AL66&lt;=0,ADQ66-AL66*AN66,ADQ66-MIN(MIN(AL66*AN66,(AAD66+ADQ66)),ADQ66))</f>
        <v>0</v>
      </c>
      <c r="AQ66" s="20" t="n">
        <f aca="false">MAX(0,AI66-AM66)</f>
        <v>0</v>
      </c>
      <c r="AR66" s="57" t="n">
        <f aca="false">BK65</f>
        <v>0</v>
      </c>
      <c r="AS66" s="20" t="n">
        <f aca="false">BL65</f>
        <v>0</v>
      </c>
      <c r="AT66" s="20" t="n">
        <f aca="false">IF(AR66&gt;0,(AR66-AS66)/AR66,0)</f>
        <v>0</v>
      </c>
      <c r="AU66" s="20" t="n">
        <f aca="false">IF(AR66&lt;=0,0,IF(AT66&lt;=0,MIN(AQ66,AR66),MIN(AQ66,AR66-G66*MAX(0,AT66*AR66-(AO66+AP66)))))</f>
        <v>0</v>
      </c>
      <c r="AV66" s="20" t="n">
        <f aca="false">IF(AR66&lt;=0,0,IF(AT66&lt;=0,AU66,IF(AU66&lt;=(AO66+AP66)/AT66,AU66,(AU66-G66*(AO66+AP66))/(1-G66*AT66))))</f>
        <v>0</v>
      </c>
      <c r="AW66" s="20" t="n">
        <f aca="false">IF(AT66&gt;0,MAX(0,AO66-(MIN(AT66*AV66,(AO66+AP66))-MIN(MIN(AT66*AV66,(AO66+AP66)),AP66))),AO66)</f>
        <v>1270</v>
      </c>
      <c r="AX66" s="20" t="n">
        <f aca="false">IF(AT66&lt;=0,AP66-AT66*AV66,AP66-MIN(MIN(AT66*AV66,(AO66+AP66)),AP66))</f>
        <v>0</v>
      </c>
      <c r="AY66" s="20" t="n">
        <f aca="false">MD66</f>
        <v>1270</v>
      </c>
      <c r="AZ66" s="20" t="n">
        <f aca="false">PQ66</f>
        <v>0</v>
      </c>
      <c r="BA66" s="20" t="n">
        <f aca="false">IF(AL66&gt;0,MAX(0,AY66-(MIN(AL66*AJ66,AY66+AZ66)-MIN(MIN(AL66*AJ66,AY66+AZ66),AZ66))),AY66)</f>
        <v>1270</v>
      </c>
      <c r="BB66" s="20" t="n">
        <f aca="false">IF(AL66&lt;=0,AZ66-AL66*AJ66,AZ66-MIN(MIN(AL66*AJ66,AY66+AZ66),AZ66))</f>
        <v>0</v>
      </c>
      <c r="BC66" s="20" t="n">
        <f aca="false">'Plan cashflow'!UM66</f>
        <v>0</v>
      </c>
      <c r="BD66" s="20" t="n">
        <f aca="false">(1-H_Sh)*BC66</f>
        <v>0</v>
      </c>
      <c r="BE66" s="20" t="n">
        <f aca="false">H_Sh*BC66</f>
        <v>0</v>
      </c>
      <c r="BF66" s="60" t="n">
        <f aca="false">(AE66+BD66)*(1+AS_Cash)</f>
        <v>0</v>
      </c>
      <c r="BG66" s="60" t="n">
        <f aca="false">AF66*(1+AS_Cash)</f>
        <v>0</v>
      </c>
      <c r="BH66" s="60" t="n">
        <f aca="false">SUM(AKR66:AOD66)</f>
        <v>0</v>
      </c>
      <c r="BI66" s="60" t="n">
        <f aca="false">(AJ66-AN66)*(1+AS_Infl)</f>
        <v>0</v>
      </c>
      <c r="BJ66" s="20" t="n">
        <f aca="false">IF(AJ66&gt;0,AK66-AK66*AN66/AJ66,0)</f>
        <v>0</v>
      </c>
      <c r="BK66" s="60" t="n">
        <f aca="false">(AR66-AV66)*(1+BQ66)</f>
        <v>0</v>
      </c>
      <c r="BL66" s="20" t="n">
        <f aca="false">IF(AR66&gt;0,AS66-AS66*AV66/AR66,0)</f>
        <v>0</v>
      </c>
      <c r="BM66" s="60" t="n">
        <f aca="false">BF66+BG66+BH66+BI66+BK66</f>
        <v>0</v>
      </c>
      <c r="BN66" s="60" t="n">
        <f aca="false">(AH66-AG66)+(AN66-AM66)+(AV66-AU66)</f>
        <v>0</v>
      </c>
      <c r="BO66" s="20" t="n">
        <f aca="false">(AE66+BD66+AF66+MAX(0,'Plan cashflow'!QH66)+IF(Slot1_Rate=AS_Cash,'Plan cashflow'!QM66/(1+AS_Cash),0)+IF(Slot2_Rate=AS_Cash,'Plan cashflow'!QQ66/(1+AS_Cash),0)+IF(Slot3_Rate=AS_Cash,'Plan cashflow'!QU66/(1+AS_Cash),0)+IF(Slot4_Rate=AS_Cash,'Plan cashflow'!QY66/(1+AS_Cash),0)+IF(Slot5_Rate=AS_Cash,'Plan cashflow'!RC66/(1+AS_Cash),0)+IF(Slot6_Rate=AS_Cash,'Plan cashflow'!RG66/(1+AS_Cash),0)+IF(Slot7_Rate=AS_Cash,'Plan cashflow'!RK66/(1+AS_Cash),0)+IF(Slot8_Rate=AS_Cash,'Plan cashflow'!RO66/(1+AS_Cash),0)+IF(Slot9_Rate=AS_Cash,'Plan cashflow'!RS66/(1+AS_Cash),0)+IF(Slot10_Rate=AS_Cash,'Plan cashflow'!RW66/(1+AS_Cash),0)+IF(Slot11_Rate=AS_Cash,'Plan cashflow'!SA66/(1+AS_Cash),0)+IF(Slot12_Rate=AS_Cash,'Plan cashflow'!SE66/(1+AS_Cash),0)+IF(Slot13_Rate=AS_Cash,'Plan cashflow'!SI66/(1+AS_Cash),0)+IF(Slot14_Rate=AS_Cash,'Plan cashflow'!SM66/(1+AS_Cash),0)+IF(Slot15_Rate=AS_Cash,'Plan cashflow'!SQ66/(1+AS_Cash),0)+IF(Slot16_Rate=AS_Cash,'Plan cashflow'!SU66/(1+AS_Cash),0)+IF(Slot17_Rate=AS_Cash,'Plan cashflow'!SY66/(1+AS_Cash),0)+IF(Slot18_Rate=AS_Cash,'Plan cashflow'!TC66/(1+AS_Cash),0)+IF(Slot19_Rate=AS_Cash,'Plan cashflow'!TG66/(1+AS_Cash),0)+IF(Slot20_Rate=AS_Cash,'Plan cashflow'!TK66/(1+AS_Cash),0))*AS_Cash*H_DIRT/(1-H_DIRT)</f>
        <v>0</v>
      </c>
      <c r="BP66" s="60" t="n">
        <f aca="false">SUM(AVE66:AYQ66)</f>
        <v>0</v>
      </c>
      <c r="BQ66" s="54" t="n">
        <f aca="false">IF(H_TaxEvt=1,H_InvG,AS_Inv)</f>
        <v>0.04</v>
      </c>
      <c r="BR66" s="20" t="n">
        <f aca="false">IF(AKR65&gt;0,(AKR65-AOE65)/AKR65,0)</f>
        <v>0</v>
      </c>
      <c r="BS66" s="20" t="n">
        <f aca="false">IF(AKS65&gt;0,(AKS65-AOF65)/AKS65,0)</f>
        <v>0</v>
      </c>
      <c r="BT66" s="20" t="n">
        <f aca="false">IF(AKT65&gt;0,(AKT65-AOG65)/AKT65,0)</f>
        <v>0</v>
      </c>
      <c r="BU66" s="20" t="n">
        <f aca="false">IF(AKU65&gt;0,(AKU65-AOH65)/AKU65,0)</f>
        <v>0</v>
      </c>
      <c r="BV66" s="20" t="n">
        <f aca="false">IF(AKV65&gt;0,(AKV65-AOI65)/AKV65,0)</f>
        <v>0</v>
      </c>
      <c r="BW66" s="20" t="n">
        <f aca="false">IF(AKW65&gt;0,(AKW65-AOJ65)/AKW65,0)</f>
        <v>0</v>
      </c>
      <c r="BX66" s="20" t="n">
        <f aca="false">IF(AKX65&gt;0,(AKX65-AOK65)/AKX65,0)</f>
        <v>0</v>
      </c>
      <c r="BY66" s="20" t="n">
        <f aca="false">IF(AKY65&gt;0,(AKY65-AOL65)/AKY65,0)</f>
        <v>0</v>
      </c>
      <c r="BZ66" s="20" t="n">
        <f aca="false">IF(AKZ65&gt;0,(AKZ65-AOM65)/AKZ65,0)</f>
        <v>0</v>
      </c>
      <c r="CA66" s="20" t="n">
        <f aca="false">IF(ALA65&gt;0,(ALA65-AON65)/ALA65,0)</f>
        <v>0</v>
      </c>
      <c r="CB66" s="20" t="n">
        <f aca="false">IF(ALB65&gt;0,(ALB65-AOO65)/ALB65,0)</f>
        <v>0</v>
      </c>
      <c r="CC66" s="20" t="n">
        <f aca="false">IF(ALC65&gt;0,(ALC65-AOP65)/ALC65,0)</f>
        <v>0</v>
      </c>
      <c r="CD66" s="20" t="n">
        <f aca="false">IF(ALD65&gt;0,(ALD65-AOQ65)/ALD65,0)</f>
        <v>0</v>
      </c>
      <c r="CE66" s="20" t="n">
        <f aca="false">IF(ALE65&gt;0,(ALE65-AOR65)/ALE65,0)</f>
        <v>0</v>
      </c>
      <c r="CF66" s="20" t="n">
        <f aca="false">IF(ALF65&gt;0,(ALF65-AOS65)/ALF65,0)</f>
        <v>0</v>
      </c>
      <c r="CG66" s="20" t="n">
        <f aca="false">IF(ALG65&gt;0,(ALG65-AOT65)/ALG65,0)</f>
        <v>0</v>
      </c>
      <c r="CH66" s="20" t="n">
        <f aca="false">IF(ALH65&gt;0,(ALH65-AOU65)/ALH65,0)</f>
        <v>0</v>
      </c>
      <c r="CI66" s="20" t="n">
        <f aca="false">IF(ALI65&gt;0,(ALI65-AOV65)/ALI65,0)</f>
        <v>0</v>
      </c>
      <c r="CJ66" s="20" t="n">
        <f aca="false">IF(ALJ65&gt;0,(ALJ65-AOW65)/ALJ65,0)</f>
        <v>0</v>
      </c>
      <c r="CK66" s="20" t="n">
        <f aca="false">IF(ALK65&gt;0,(ALK65-AOX65)/ALK65,0)</f>
        <v>0</v>
      </c>
      <c r="CL66" s="20" t="n">
        <f aca="false">IF(ALL65&gt;0,(ALL65-AOY65)/ALL65,0)</f>
        <v>0</v>
      </c>
      <c r="CM66" s="20" t="n">
        <f aca="false">IF(ALM65&gt;0,(ALM65-AOZ65)/ALM65,0)</f>
        <v>0</v>
      </c>
      <c r="CN66" s="20" t="n">
        <f aca="false">IF(ALN65&gt;0,(ALN65-APA65)/ALN65,0)</f>
        <v>0</v>
      </c>
      <c r="CO66" s="20" t="n">
        <f aca="false">IF(ALO65&gt;0,(ALO65-APB65)/ALO65,0)</f>
        <v>0</v>
      </c>
      <c r="CP66" s="20" t="n">
        <f aca="false">IF(ALP65&gt;0,(ALP65-APC65)/ALP65,0)</f>
        <v>0</v>
      </c>
      <c r="CQ66" s="20" t="n">
        <f aca="false">IF(ALQ65&gt;0,(ALQ65-APD65)/ALQ65,0)</f>
        <v>0</v>
      </c>
      <c r="CR66" s="20" t="n">
        <f aca="false">IF(ALR65&gt;0,(ALR65-APE65)/ALR65,0)</f>
        <v>0</v>
      </c>
      <c r="CS66" s="20" t="n">
        <f aca="false">IF(ALS65&gt;0,(ALS65-APF65)/ALS65,0)</f>
        <v>0</v>
      </c>
      <c r="CT66" s="20" t="n">
        <f aca="false">IF(ALT65&gt;0,(ALT65-APG65)/ALT65,0)</f>
        <v>0</v>
      </c>
      <c r="CU66" s="20" t="n">
        <f aca="false">IF(ALU65&gt;0,(ALU65-APH65)/ALU65,0)</f>
        <v>0</v>
      </c>
      <c r="CV66" s="20" t="n">
        <f aca="false">IF(ALV65&gt;0,(ALV65-API65)/ALV65,0)</f>
        <v>0</v>
      </c>
      <c r="CW66" s="20" t="n">
        <f aca="false">IF(ALW65&gt;0,(ALW65-APJ65)/ALW65,0)</f>
        <v>0</v>
      </c>
      <c r="CX66" s="20" t="n">
        <f aca="false">IF(ALX65&gt;0,(ALX65-APK65)/ALX65,0)</f>
        <v>0</v>
      </c>
      <c r="CY66" s="20" t="n">
        <f aca="false">IF(ALY65&gt;0,(ALY65-APL65)/ALY65,0)</f>
        <v>0</v>
      </c>
      <c r="CZ66" s="20" t="n">
        <f aca="false">IF(ALZ65&gt;0,(ALZ65-APM65)/ALZ65,0)</f>
        <v>0</v>
      </c>
      <c r="DA66" s="20" t="n">
        <f aca="false">IF(AMA65&gt;0,(AMA65-APN65)/AMA65,0)</f>
        <v>0</v>
      </c>
      <c r="DB66" s="20" t="n">
        <f aca="false">IF(AMB65&gt;0,(AMB65-APO65)/AMB65,0)</f>
        <v>0</v>
      </c>
      <c r="DC66" s="20" t="n">
        <f aca="false">IF(AMC65&gt;0,(AMC65-APP65)/AMC65,0)</f>
        <v>0</v>
      </c>
      <c r="DD66" s="20" t="n">
        <f aca="false">IF(AMD65&gt;0,(AMD65-APQ65)/AMD65,0)</f>
        <v>0</v>
      </c>
      <c r="DE66" s="20" t="n">
        <f aca="false">IF(AME65&gt;0,(AME65-APR65)/AME65,0)</f>
        <v>0</v>
      </c>
      <c r="DF66" s="20" t="n">
        <f aca="false">IF(AMF65&gt;0,(AMF65-APS65)/AMF65,0)</f>
        <v>0</v>
      </c>
      <c r="DG66" s="20" t="n">
        <f aca="false">IF(AMG65&gt;0,(AMG65-APT65)/AMG65,0)</f>
        <v>0</v>
      </c>
      <c r="DH66" s="20" t="n">
        <f aca="false">IF(AMH65&gt;0,(AMH65-APU65)/AMH65,0)</f>
        <v>0</v>
      </c>
      <c r="DI66" s="20" t="n">
        <f aca="false">IF(AMI65&gt;0,(AMI65-APV65)/AMI65,0)</f>
        <v>0</v>
      </c>
      <c r="DJ66" s="20" t="n">
        <f aca="false">IF(AMJ65&gt;0,(AMJ65-APW65)/AMJ65,0)</f>
        <v>0</v>
      </c>
      <c r="DK66" s="20" t="n">
        <f aca="false">IF(AMK65&gt;0,(AMK65-APX65)/AMK65,0)</f>
        <v>0</v>
      </c>
      <c r="DL66" s="20" t="n">
        <f aca="false">IF(AML65&gt;0,(AML65-APY65)/AML65,0)</f>
        <v>0</v>
      </c>
      <c r="DM66" s="20" t="n">
        <f aca="false">IF(AMM65&gt;0,(AMM65-APZ65)/AMM65,0)</f>
        <v>0</v>
      </c>
      <c r="DN66" s="20" t="n">
        <f aca="false">IF(AMN65&gt;0,(AMN65-AQA65)/AMN65,0)</f>
        <v>0</v>
      </c>
      <c r="DO66" s="20" t="n">
        <f aca="false">IF(AMO65&gt;0,(AMO65-AQB65)/AMO65,0)</f>
        <v>0</v>
      </c>
      <c r="DP66" s="20" t="n">
        <f aca="false">IF(AMP65&gt;0,(AMP65-AQC65)/AMP65,0)</f>
        <v>0</v>
      </c>
      <c r="DQ66" s="20" t="n">
        <f aca="false">IF(AMQ65&gt;0,(AMQ65-AQD65)/AMQ65,0)</f>
        <v>0</v>
      </c>
      <c r="DR66" s="20" t="n">
        <f aca="false">IF(AMR65&gt;0,(AMR65-AQE65)/AMR65,0)</f>
        <v>0</v>
      </c>
      <c r="DS66" s="20" t="n">
        <f aca="false">IF(AMS65&gt;0,(AMS65-AQF65)/AMS65,0)</f>
        <v>0</v>
      </c>
      <c r="DT66" s="20" t="n">
        <f aca="false">IF(AMT65&gt;0,(AMT65-AQG65)/AMT65,0)</f>
        <v>0</v>
      </c>
      <c r="DU66" s="20" t="n">
        <f aca="false">IF(AMU65&gt;0,(AMU65-AQH65)/AMU65,0)</f>
        <v>0</v>
      </c>
      <c r="DV66" s="20" t="n">
        <f aca="false">IF(AMV65&gt;0,(AMV65-AQI65)/AMV65,0)</f>
        <v>0</v>
      </c>
      <c r="DW66" s="20" t="n">
        <f aca="false">IF(AMW65&gt;0,(AMW65-AQJ65)/AMW65,0)</f>
        <v>0</v>
      </c>
      <c r="DX66" s="20" t="n">
        <f aca="false">IF(AMX65&gt;0,(AMX65-AQK65)/AMX65,0)</f>
        <v>0</v>
      </c>
      <c r="DY66" s="20" t="n">
        <f aca="false">IF((P66+S66)&gt;0,((P66+S66)-(P66+S66))/(P66+S66),0)</f>
        <v>0</v>
      </c>
      <c r="DZ66" s="20" t="n">
        <v>0</v>
      </c>
      <c r="EA66" s="20" t="n">
        <v>0</v>
      </c>
      <c r="EB66" s="20" t="n">
        <v>0</v>
      </c>
      <c r="EC66" s="20" t="n">
        <v>0</v>
      </c>
      <c r="ED66" s="20" t="n">
        <v>0</v>
      </c>
      <c r="EE66" s="20" t="n">
        <v>0</v>
      </c>
      <c r="EF66" s="20" t="n">
        <v>0</v>
      </c>
      <c r="EG66" s="20" t="n">
        <v>0</v>
      </c>
      <c r="EH66" s="20" t="n">
        <v>0</v>
      </c>
      <c r="EI66" s="20" t="n">
        <v>0</v>
      </c>
      <c r="EJ66" s="20" t="n">
        <v>0</v>
      </c>
      <c r="EK66" s="20" t="n">
        <v>0</v>
      </c>
      <c r="EL66" s="20" t="n">
        <v>0</v>
      </c>
      <c r="EM66" s="20" t="n">
        <v>0</v>
      </c>
      <c r="EN66" s="20" t="n">
        <v>0</v>
      </c>
      <c r="EO66" s="20" t="n">
        <v>0</v>
      </c>
      <c r="EP66" s="20" t="n">
        <v>0</v>
      </c>
      <c r="EQ66" s="20" t="n">
        <v>0</v>
      </c>
      <c r="ER66" s="20" t="n">
        <v>0</v>
      </c>
      <c r="ES66" s="20" t="n">
        <v>0</v>
      </c>
      <c r="ET66" s="20" t="n">
        <v>0</v>
      </c>
      <c r="EU66" s="20" t="n">
        <v>0</v>
      </c>
      <c r="EV66" s="20" t="n">
        <v>0</v>
      </c>
      <c r="EW66" s="20" t="n">
        <v>0</v>
      </c>
      <c r="EX66" s="20" t="n">
        <v>0</v>
      </c>
      <c r="EY66" s="20" t="n">
        <v>0</v>
      </c>
      <c r="EZ66" s="20" t="n">
        <v>0</v>
      </c>
      <c r="FA66" s="20" t="n">
        <v>0</v>
      </c>
      <c r="FB66" s="20" t="n">
        <v>0</v>
      </c>
      <c r="FC66" s="20" t="n">
        <v>0</v>
      </c>
      <c r="FD66" s="20" t="n">
        <v>0</v>
      </c>
      <c r="FE66" s="20" t="n">
        <f aca="false">IF(H_Direct=1,IF(AKR65&lt;=0,0,IF(BR66&lt;=0,AKR65,AKR65-G66*MAX(0,BR66*AKR65-(H66+I66)))),AKR65*(1-MAX(0,BR66)*H_Exit))</f>
        <v>0</v>
      </c>
      <c r="FF66" s="20" t="n">
        <f aca="false">IF(H_Direct=1,IF(AKS65&lt;=0,0,IF(BS66&lt;=0,AKS65,AKS65-G66*MAX(0,BS66*AKS65-(IR66+ME66)))),AKS65*(1-MAX(0,BS66)*H_Exit))</f>
        <v>0</v>
      </c>
      <c r="FG66" s="20" t="n">
        <f aca="false">IF(H_Direct=1,IF(AKT65&lt;=0,0,IF(BT66&lt;=0,AKT65,AKT65-G66*MAX(0,BT66*AKT65-(IS66+MF66)))),AKT65*(1-MAX(0,BT66)*H_Exit))</f>
        <v>0</v>
      </c>
      <c r="FH66" s="20" t="n">
        <f aca="false">IF(H_Direct=1,IF(AKU65&lt;=0,0,IF(BU66&lt;=0,AKU65,AKU65-G66*MAX(0,BU66*AKU65-(IT66+MG66)))),AKU65*(1-MAX(0,BU66)*H_Exit))</f>
        <v>0</v>
      </c>
      <c r="FI66" s="20" t="n">
        <f aca="false">IF(H_Direct=1,IF(AKV65&lt;=0,0,IF(BV66&lt;=0,AKV65,AKV65-G66*MAX(0,BV66*AKV65-(IU66+MH66)))),AKV65*(1-MAX(0,BV66)*H_Exit))</f>
        <v>0</v>
      </c>
      <c r="FJ66" s="20" t="n">
        <f aca="false">IF(H_Direct=1,IF(AKW65&lt;=0,0,IF(BW66&lt;=0,AKW65,AKW65-G66*MAX(0,BW66*AKW65-(IV66+MI66)))),AKW65*(1-MAX(0,BW66)*H_Exit))</f>
        <v>0</v>
      </c>
      <c r="FK66" s="20" t="n">
        <f aca="false">IF(H_Direct=1,IF(AKX65&lt;=0,0,IF(BX66&lt;=0,AKX65,AKX65-G66*MAX(0,BX66*AKX65-(IW66+MJ66)))),AKX65*(1-MAX(0,BX66)*H_Exit))</f>
        <v>0</v>
      </c>
      <c r="FL66" s="20" t="n">
        <f aca="false">IF(H_Direct=1,IF(AKY65&lt;=0,0,IF(BY66&lt;=0,AKY65,AKY65-G66*MAX(0,BY66*AKY65-(IX66+MK66)))),AKY65*(1-MAX(0,BY66)*H_Exit))</f>
        <v>0</v>
      </c>
      <c r="FM66" s="20" t="n">
        <f aca="false">IF(H_Direct=1,IF(AKZ65&lt;=0,0,IF(BZ66&lt;=0,AKZ65,AKZ65-G66*MAX(0,BZ66*AKZ65-(IY66+ML66)))),AKZ65*(1-MAX(0,BZ66)*H_Exit))</f>
        <v>0</v>
      </c>
      <c r="FN66" s="20" t="n">
        <f aca="false">IF(H_Direct=1,IF(ALA65&lt;=0,0,IF(CA66&lt;=0,ALA65,ALA65-G66*MAX(0,CA66*ALA65-(IZ66+MM66)))),ALA65*(1-MAX(0,CA66)*H_Exit))</f>
        <v>0</v>
      </c>
      <c r="FO66" s="20" t="n">
        <f aca="false">IF(H_Direct=1,IF(ALB65&lt;=0,0,IF(CB66&lt;=0,ALB65,ALB65-G66*MAX(0,CB66*ALB65-(JA66+MN66)))),ALB65*(1-MAX(0,CB66)*H_Exit))</f>
        <v>0</v>
      </c>
      <c r="FP66" s="20" t="n">
        <f aca="false">IF(H_Direct=1,IF(ALC65&lt;=0,0,IF(CC66&lt;=0,ALC65,ALC65-G66*MAX(0,CC66*ALC65-(JB66+MO66)))),ALC65*(1-MAX(0,CC66)*H_Exit))</f>
        <v>0</v>
      </c>
      <c r="FQ66" s="20" t="n">
        <f aca="false">IF(H_Direct=1,IF(ALD65&lt;=0,0,IF(CD66&lt;=0,ALD65,ALD65-G66*MAX(0,CD66*ALD65-(JC66+MP66)))),ALD65*(1-MAX(0,CD66)*H_Exit))</f>
        <v>0</v>
      </c>
      <c r="FR66" s="20" t="n">
        <f aca="false">IF(H_Direct=1,IF(ALE65&lt;=0,0,IF(CE66&lt;=0,ALE65,ALE65-G66*MAX(0,CE66*ALE65-(JD66+MQ66)))),ALE65*(1-MAX(0,CE66)*H_Exit))</f>
        <v>0</v>
      </c>
      <c r="FS66" s="20" t="n">
        <f aca="false">IF(H_Direct=1,IF(ALF65&lt;=0,0,IF(CF66&lt;=0,ALF65,ALF65-G66*MAX(0,CF66*ALF65-(JE66+MR66)))),ALF65*(1-MAX(0,CF66)*H_Exit))</f>
        <v>0</v>
      </c>
      <c r="FT66" s="20" t="n">
        <f aca="false">IF(H_Direct=1,IF(ALG65&lt;=0,0,IF(CG66&lt;=0,ALG65,ALG65-G66*MAX(0,CG66*ALG65-(JF66+MS66)))),ALG65*(1-MAX(0,CG66)*H_Exit))</f>
        <v>0</v>
      </c>
      <c r="FU66" s="20" t="n">
        <f aca="false">IF(H_Direct=1,IF(ALH65&lt;=0,0,IF(CH66&lt;=0,ALH65,ALH65-G66*MAX(0,CH66*ALH65-(JG66+MT66)))),ALH65*(1-MAX(0,CH66)*H_Exit))</f>
        <v>0</v>
      </c>
      <c r="FV66" s="20" t="n">
        <f aca="false">IF(H_Direct=1,IF(ALI65&lt;=0,0,IF(CI66&lt;=0,ALI65,ALI65-G66*MAX(0,CI66*ALI65-(JH66+MU66)))),ALI65*(1-MAX(0,CI66)*H_Exit))</f>
        <v>0</v>
      </c>
      <c r="FW66" s="20" t="n">
        <f aca="false">IF(H_Direct=1,IF(ALJ65&lt;=0,0,IF(CJ66&lt;=0,ALJ65,ALJ65-G66*MAX(0,CJ66*ALJ65-(JI66+MV66)))),ALJ65*(1-MAX(0,CJ66)*H_Exit))</f>
        <v>0</v>
      </c>
      <c r="FX66" s="20" t="n">
        <f aca="false">IF(H_Direct=1,IF(ALK65&lt;=0,0,IF(CK66&lt;=0,ALK65,ALK65-G66*MAX(0,CK66*ALK65-(JJ66+MW66)))),ALK65*(1-MAX(0,CK66)*H_Exit))</f>
        <v>0</v>
      </c>
      <c r="FY66" s="20" t="n">
        <f aca="false">IF(H_Direct=1,IF(ALL65&lt;=0,0,IF(CL66&lt;=0,ALL65,ALL65-G66*MAX(0,CL66*ALL65-(JK66+MX66)))),ALL65*(1-MAX(0,CL66)*H_Exit))</f>
        <v>0</v>
      </c>
      <c r="FZ66" s="20" t="n">
        <f aca="false">IF(H_Direct=1,IF(ALM65&lt;=0,0,IF(CM66&lt;=0,ALM65,ALM65-G66*MAX(0,CM66*ALM65-(JL66+MY66)))),ALM65*(1-MAX(0,CM66)*H_Exit))</f>
        <v>0</v>
      </c>
      <c r="GA66" s="20" t="n">
        <f aca="false">IF(H_Direct=1,IF(ALN65&lt;=0,0,IF(CN66&lt;=0,ALN65,ALN65-G66*MAX(0,CN66*ALN65-(JM66+MZ66)))),ALN65*(1-MAX(0,CN66)*H_Exit))</f>
        <v>0</v>
      </c>
      <c r="GB66" s="20" t="n">
        <f aca="false">IF(H_Direct=1,IF(ALO65&lt;=0,0,IF(CO66&lt;=0,ALO65,ALO65-G66*MAX(0,CO66*ALO65-(JN66+NA66)))),ALO65*(1-MAX(0,CO66)*H_Exit))</f>
        <v>0</v>
      </c>
      <c r="GC66" s="20" t="n">
        <f aca="false">IF(H_Direct=1,IF(ALP65&lt;=0,0,IF(CP66&lt;=0,ALP65,ALP65-G66*MAX(0,CP66*ALP65-(JO66+NB66)))),ALP65*(1-MAX(0,CP66)*H_Exit))</f>
        <v>0</v>
      </c>
      <c r="GD66" s="20" t="n">
        <f aca="false">IF(H_Direct=1,IF(ALQ65&lt;=0,0,IF(CQ66&lt;=0,ALQ65,ALQ65-G66*MAX(0,CQ66*ALQ65-(JP66+NC66)))),ALQ65*(1-MAX(0,CQ66)*H_Exit))</f>
        <v>0</v>
      </c>
      <c r="GE66" s="20" t="n">
        <f aca="false">IF(H_Direct=1,IF(ALR65&lt;=0,0,IF(CR66&lt;=0,ALR65,ALR65-G66*MAX(0,CR66*ALR65-(JQ66+ND66)))),ALR65*(1-MAX(0,CR66)*H_Exit))</f>
        <v>0</v>
      </c>
      <c r="GF66" s="20" t="n">
        <f aca="false">IF(H_Direct=1,IF(ALS65&lt;=0,0,IF(CS66&lt;=0,ALS65,ALS65-G66*MAX(0,CS66*ALS65-(JR66+NE66)))),ALS65*(1-MAX(0,CS66)*H_Exit))</f>
        <v>0</v>
      </c>
      <c r="GG66" s="20" t="n">
        <f aca="false">IF(H_Direct=1,IF(ALT65&lt;=0,0,IF(CT66&lt;=0,ALT65,ALT65-G66*MAX(0,CT66*ALT65-(JS66+NF66)))),ALT65*(1-MAX(0,CT66)*H_Exit))</f>
        <v>0</v>
      </c>
      <c r="GH66" s="20" t="n">
        <f aca="false">IF(H_Direct=1,IF(ALU65&lt;=0,0,IF(CU66&lt;=0,ALU65,ALU65-G66*MAX(0,CU66*ALU65-(JT66+NG66)))),ALU65*(1-MAX(0,CU66)*H_Exit))</f>
        <v>0</v>
      </c>
      <c r="GI66" s="20" t="n">
        <f aca="false">IF(H_Direct=1,IF(ALV65&lt;=0,0,IF(CV66&lt;=0,ALV65,ALV65-G66*MAX(0,CV66*ALV65-(JU66+NH66)))),ALV65*(1-MAX(0,CV66)*H_Exit))</f>
        <v>0</v>
      </c>
      <c r="GJ66" s="20" t="n">
        <f aca="false">IF(H_Direct=1,IF(ALW65&lt;=0,0,IF(CW66&lt;=0,ALW65,ALW65-G66*MAX(0,CW66*ALW65-(JV66+NI66)))),ALW65*(1-MAX(0,CW66)*H_Exit))</f>
        <v>0</v>
      </c>
      <c r="GK66" s="20" t="n">
        <f aca="false">IF(H_Direct=1,IF(ALX65&lt;=0,0,IF(CX66&lt;=0,ALX65,ALX65-G66*MAX(0,CX66*ALX65-(JW66+NJ66)))),ALX65*(1-MAX(0,CX66)*H_Exit))</f>
        <v>0</v>
      </c>
      <c r="GL66" s="20" t="n">
        <f aca="false">IF(H_Direct=1,IF(ALY65&lt;=0,0,IF(CY66&lt;=0,ALY65,ALY65-G66*MAX(0,CY66*ALY65-(JX66+NK66)))),ALY65*(1-MAX(0,CY66)*H_Exit))</f>
        <v>0</v>
      </c>
      <c r="GM66" s="20" t="n">
        <f aca="false">IF(H_Direct=1,IF(ALZ65&lt;=0,0,IF(CZ66&lt;=0,ALZ65,ALZ65-G66*MAX(0,CZ66*ALZ65-(JY66+NL66)))),ALZ65*(1-MAX(0,CZ66)*H_Exit))</f>
        <v>0</v>
      </c>
      <c r="GN66" s="20" t="n">
        <f aca="false">IF(H_Direct=1,IF(AMA65&lt;=0,0,IF(DA66&lt;=0,AMA65,AMA65-G66*MAX(0,DA66*AMA65-(JZ66+NM66)))),AMA65*(1-MAX(0,DA66)*H_Exit))</f>
        <v>0</v>
      </c>
      <c r="GO66" s="20" t="n">
        <f aca="false">IF(H_Direct=1,IF(AMB65&lt;=0,0,IF(DB66&lt;=0,AMB65,AMB65-G66*MAX(0,DB66*AMB65-(KA66+NN66)))),AMB65*(1-MAX(0,DB66)*H_Exit))</f>
        <v>0</v>
      </c>
      <c r="GP66" s="20" t="n">
        <f aca="false">IF(H_Direct=1,IF(AMC65&lt;=0,0,IF(DC66&lt;=0,AMC65,AMC65-G66*MAX(0,DC66*AMC65-(KB66+NO66)))),AMC65*(1-MAX(0,DC66)*H_Exit))</f>
        <v>0</v>
      </c>
      <c r="GQ66" s="20" t="n">
        <f aca="false">IF(H_Direct=1,IF(AMD65&lt;=0,0,IF(DD66&lt;=0,AMD65,AMD65-G66*MAX(0,DD66*AMD65-(KC66+NP66)))),AMD65*(1-MAX(0,DD66)*H_Exit))</f>
        <v>0</v>
      </c>
      <c r="GR66" s="20" t="n">
        <f aca="false">IF(H_Direct=1,IF(AME65&lt;=0,0,IF(DE66&lt;=0,AME65,AME65-G66*MAX(0,DE66*AME65-(KD66+NQ66)))),AME65*(1-MAX(0,DE66)*H_Exit))</f>
        <v>0</v>
      </c>
      <c r="GS66" s="20" t="n">
        <f aca="false">IF(H_Direct=1,IF(AMF65&lt;=0,0,IF(DF66&lt;=0,AMF65,AMF65-G66*MAX(0,DF66*AMF65-(KE66+NR66)))),AMF65*(1-MAX(0,DF66)*H_Exit))</f>
        <v>0</v>
      </c>
      <c r="GT66" s="20" t="n">
        <f aca="false">IF(H_Direct=1,IF(AMG65&lt;=0,0,IF(DG66&lt;=0,AMG65,AMG65-G66*MAX(0,DG66*AMG65-(KF66+NS66)))),AMG65*(1-MAX(0,DG66)*H_Exit))</f>
        <v>0</v>
      </c>
      <c r="GU66" s="20" t="n">
        <f aca="false">IF(H_Direct=1,IF(AMH65&lt;=0,0,IF(DH66&lt;=0,AMH65,AMH65-G66*MAX(0,DH66*AMH65-(KG66+NT66)))),AMH65*(1-MAX(0,DH66)*H_Exit))</f>
        <v>0</v>
      </c>
      <c r="GV66" s="20" t="n">
        <f aca="false">IF(H_Direct=1,IF(AMI65&lt;=0,0,IF(DI66&lt;=0,AMI65,AMI65-G66*MAX(0,DI66*AMI65-(KH66+NU66)))),AMI65*(1-MAX(0,DI66)*H_Exit))</f>
        <v>0</v>
      </c>
      <c r="GW66" s="20" t="n">
        <f aca="false">IF(H_Direct=1,IF(AMJ65&lt;=0,0,IF(DJ66&lt;=0,AMJ65,AMJ65-G66*MAX(0,DJ66*AMJ65-(KI66+NV66)))),AMJ65*(1-MAX(0,DJ66)*H_Exit))</f>
        <v>0</v>
      </c>
      <c r="GX66" s="20" t="n">
        <f aca="false">IF(H_Direct=1,IF(AMK65&lt;=0,0,IF(DK66&lt;=0,AMK65,AMK65-G66*MAX(0,DK66*AMK65-(KJ66+NW66)))),AMK65*(1-MAX(0,DK66)*H_Exit))</f>
        <v>0</v>
      </c>
      <c r="GY66" s="20" t="n">
        <f aca="false">IF(H_Direct=1,IF(AML65&lt;=0,0,IF(DL66&lt;=0,AML65,AML65-G66*MAX(0,DL66*AML65-(KK66+NX66)))),AML65*(1-MAX(0,DL66)*H_Exit))</f>
        <v>0</v>
      </c>
      <c r="GZ66" s="20" t="n">
        <f aca="false">IF(H_Direct=1,IF(AMM65&lt;=0,0,IF(DM66&lt;=0,AMM65,AMM65-G66*MAX(0,DM66*AMM65-(KL66+NY66)))),AMM65*(1-MAX(0,DM66)*H_Exit))</f>
        <v>0</v>
      </c>
      <c r="HA66" s="20" t="n">
        <f aca="false">IF(H_Direct=1,IF(AMN65&lt;=0,0,IF(DN66&lt;=0,AMN65,AMN65-G66*MAX(0,DN66*AMN65-(KM66+NZ66)))),AMN65*(1-MAX(0,DN66)*H_Exit))</f>
        <v>0</v>
      </c>
      <c r="HB66" s="20" t="n">
        <f aca="false">IF(H_Direct=1,IF(AMO65&lt;=0,0,IF(DO66&lt;=0,AMO65,AMO65-G66*MAX(0,DO66*AMO65-(KN66+OA66)))),AMO65*(1-MAX(0,DO66)*H_Exit))</f>
        <v>0</v>
      </c>
      <c r="HC66" s="20" t="n">
        <f aca="false">IF(H_Direct=1,IF(AMP65&lt;=0,0,IF(DP66&lt;=0,AMP65,AMP65-G66*MAX(0,DP66*AMP65-(KO66+OB66)))),AMP65*(1-MAX(0,DP66)*H_Exit))</f>
        <v>0</v>
      </c>
      <c r="HD66" s="20" t="n">
        <f aca="false">IF(H_Direct=1,IF(AMQ65&lt;=0,0,IF(DQ66&lt;=0,AMQ65,AMQ65-G66*MAX(0,DQ66*AMQ65-(KP66+OC66)))),AMQ65*(1-MAX(0,DQ66)*H_Exit))</f>
        <v>0</v>
      </c>
      <c r="HE66" s="20" t="n">
        <f aca="false">IF(H_Direct=1,IF(AMR65&lt;=0,0,IF(DR66&lt;=0,AMR65,AMR65-G66*MAX(0,DR66*AMR65-(KQ66+OD66)))),AMR65*(1-MAX(0,DR66)*H_Exit))</f>
        <v>0</v>
      </c>
      <c r="HF66" s="20" t="n">
        <f aca="false">IF(H_Direct=1,IF(AMS65&lt;=0,0,IF(DS66&lt;=0,AMS65,AMS65-G66*MAX(0,DS66*AMS65-(KR66+OE66)))),AMS65*(1-MAX(0,DS66)*H_Exit))</f>
        <v>0</v>
      </c>
      <c r="HG66" s="20" t="n">
        <f aca="false">IF(H_Direct=1,IF(AMT65&lt;=0,0,IF(DT66&lt;=0,AMT65,AMT65-G66*MAX(0,DT66*AMT65-(KS66+OF66)))),AMT65*(1-MAX(0,DT66)*H_Exit))</f>
        <v>0</v>
      </c>
      <c r="HH66" s="20" t="n">
        <f aca="false">IF(H_Direct=1,IF(AMU65&lt;=0,0,IF(DU66&lt;=0,AMU65,AMU65-G66*MAX(0,DU66*AMU65-(KT66+OG66)))),AMU65*(1-MAX(0,DU66)*H_Exit))</f>
        <v>0</v>
      </c>
      <c r="HI66" s="20" t="n">
        <f aca="false">IF(H_Direct=1,IF(AMV65&lt;=0,0,IF(DV66&lt;=0,AMV65,AMV65-G66*MAX(0,DV66*AMV65-(KU66+OH66)))),AMV65*(1-MAX(0,DV66)*H_Exit))</f>
        <v>0</v>
      </c>
      <c r="HJ66" s="20" t="n">
        <f aca="false">IF(H_Direct=1,IF(AMW65&lt;=0,0,IF(DW66&lt;=0,AMW65,AMW65-G66*MAX(0,DW66*AMW65-(KV66+OI66)))),AMW65*(1-MAX(0,DW66)*H_Exit))</f>
        <v>0</v>
      </c>
      <c r="HK66" s="20" t="n">
        <f aca="false">IF(H_Direct=1,IF(AMX65&lt;=0,0,IF(DX66&lt;=0,AMX65,AMX65-G66*MAX(0,DX66*AMX65-(KW66+OJ66)))),AMX65*(1-MAX(0,DX66)*H_Exit))</f>
        <v>0</v>
      </c>
      <c r="HL66" s="20" t="n">
        <f aca="false">IF(H_Direct=1,IF((P66+S66)&lt;=0,0,IF(DY66&lt;=0,(P66+S66),(P66+S66)-G66*MAX(0,DY66*(P66+S66)-(KX66+OK66)))),(P66+S66)*(1-MAX(0,DY66)*H_Exit))</f>
        <v>0</v>
      </c>
      <c r="HM66" s="20" t="n">
        <v>0</v>
      </c>
      <c r="HN66" s="20" t="n">
        <v>0</v>
      </c>
      <c r="HO66" s="20" t="n">
        <v>0</v>
      </c>
      <c r="HP66" s="20" t="n">
        <v>0</v>
      </c>
      <c r="HQ66" s="20" t="n">
        <v>0</v>
      </c>
      <c r="HR66" s="20" t="n">
        <v>0</v>
      </c>
      <c r="HS66" s="20" t="n">
        <v>0</v>
      </c>
      <c r="HT66" s="20" t="n">
        <v>0</v>
      </c>
      <c r="HU66" s="20" t="n">
        <v>0</v>
      </c>
      <c r="HV66" s="20" t="n">
        <v>0</v>
      </c>
      <c r="HW66" s="20" t="n">
        <v>0</v>
      </c>
      <c r="HX66" s="20" t="n">
        <v>0</v>
      </c>
      <c r="HY66" s="20" t="n">
        <v>0</v>
      </c>
      <c r="HZ66" s="20" t="n">
        <v>0</v>
      </c>
      <c r="IA66" s="20" t="n">
        <v>0</v>
      </c>
      <c r="IB66" s="20" t="n">
        <v>0</v>
      </c>
      <c r="IC66" s="20" t="n">
        <v>0</v>
      </c>
      <c r="ID66" s="20" t="n">
        <v>0</v>
      </c>
      <c r="IE66" s="20" t="n">
        <v>0</v>
      </c>
      <c r="IF66" s="20" t="n">
        <v>0</v>
      </c>
      <c r="IG66" s="20" t="n">
        <v>0</v>
      </c>
      <c r="IH66" s="20" t="n">
        <v>0</v>
      </c>
      <c r="II66" s="20" t="n">
        <v>0</v>
      </c>
      <c r="IJ66" s="20" t="n">
        <v>0</v>
      </c>
      <c r="IK66" s="20" t="n">
        <v>0</v>
      </c>
      <c r="IL66" s="20" t="n">
        <v>0</v>
      </c>
      <c r="IM66" s="20" t="n">
        <v>0</v>
      </c>
      <c r="IN66" s="20" t="n">
        <v>0</v>
      </c>
      <c r="IO66" s="20" t="n">
        <v>0</v>
      </c>
      <c r="IP66" s="20" t="n">
        <v>0</v>
      </c>
      <c r="IQ66" s="20" t="n">
        <v>0</v>
      </c>
      <c r="IR66" s="20" t="n">
        <f aca="false">IF(AND(H_Direct=1,BR66&gt;0),MAX(0,H66-(MIN(BR66*AKR65,H66+I66)-MIN(MIN(BR66*AKR65,H66+I66),I66))),H66)</f>
        <v>1270</v>
      </c>
      <c r="IS66" s="20" t="n">
        <f aca="false">IF(AND(H_Direct=1,BS66&gt;0),MAX(0,IR66-(MIN(BS66*AKS65,IR66+ME66)-MIN(MIN(BS66*AKS65,IR66+ME66),ME66))),IR66)</f>
        <v>1270</v>
      </c>
      <c r="IT66" s="20" t="n">
        <f aca="false">IF(AND(H_Direct=1,BT66&gt;0),MAX(0,IS66-(MIN(BT66*AKT65,IS66+MF66)-MIN(MIN(BT66*AKT65,IS66+MF66),MF66))),IS66)</f>
        <v>1270</v>
      </c>
      <c r="IU66" s="20" t="n">
        <f aca="false">IF(AND(H_Direct=1,BU66&gt;0),MAX(0,IT66-(MIN(BU66*AKU65,IT66+MG66)-MIN(MIN(BU66*AKU65,IT66+MG66),MG66))),IT66)</f>
        <v>1270</v>
      </c>
      <c r="IV66" s="20" t="n">
        <f aca="false">IF(AND(H_Direct=1,BV66&gt;0),MAX(0,IU66-(MIN(BV66*AKV65,IU66+MH66)-MIN(MIN(BV66*AKV65,IU66+MH66),MH66))),IU66)</f>
        <v>1270</v>
      </c>
      <c r="IW66" s="20" t="n">
        <f aca="false">IF(AND(H_Direct=1,BW66&gt;0),MAX(0,IV66-(MIN(BW66*AKW65,IV66+MI66)-MIN(MIN(BW66*AKW65,IV66+MI66),MI66))),IV66)</f>
        <v>1270</v>
      </c>
      <c r="IX66" s="20" t="n">
        <f aca="false">IF(AND(H_Direct=1,BX66&gt;0),MAX(0,IW66-(MIN(BX66*AKX65,IW66+MJ66)-MIN(MIN(BX66*AKX65,IW66+MJ66),MJ66))),IW66)</f>
        <v>1270</v>
      </c>
      <c r="IY66" s="20" t="n">
        <f aca="false">IF(AND(H_Direct=1,BY66&gt;0),MAX(0,IX66-(MIN(BY66*AKY65,IX66+MK66)-MIN(MIN(BY66*AKY65,IX66+MK66),MK66))),IX66)</f>
        <v>1270</v>
      </c>
      <c r="IZ66" s="20" t="n">
        <f aca="false">IF(AND(H_Direct=1,BZ66&gt;0),MAX(0,IY66-(MIN(BZ66*AKZ65,IY66+ML66)-MIN(MIN(BZ66*AKZ65,IY66+ML66),ML66))),IY66)</f>
        <v>1270</v>
      </c>
      <c r="JA66" s="20" t="n">
        <f aca="false">IF(AND(H_Direct=1,CA66&gt;0),MAX(0,IZ66-(MIN(CA66*ALA65,IZ66+MM66)-MIN(MIN(CA66*ALA65,IZ66+MM66),MM66))),IZ66)</f>
        <v>1270</v>
      </c>
      <c r="JB66" s="20" t="n">
        <f aca="false">IF(AND(H_Direct=1,CB66&gt;0),MAX(0,JA66-(MIN(CB66*ALB65,JA66+MN66)-MIN(MIN(CB66*ALB65,JA66+MN66),MN66))),JA66)</f>
        <v>1270</v>
      </c>
      <c r="JC66" s="20" t="n">
        <f aca="false">IF(AND(H_Direct=1,CC66&gt;0),MAX(0,JB66-(MIN(CC66*ALC65,JB66+MO66)-MIN(MIN(CC66*ALC65,JB66+MO66),MO66))),JB66)</f>
        <v>1270</v>
      </c>
      <c r="JD66" s="20" t="n">
        <f aca="false">IF(AND(H_Direct=1,CD66&gt;0),MAX(0,JC66-(MIN(CD66*ALD65,JC66+MP66)-MIN(MIN(CD66*ALD65,JC66+MP66),MP66))),JC66)</f>
        <v>1270</v>
      </c>
      <c r="JE66" s="20" t="n">
        <f aca="false">IF(AND(H_Direct=1,CE66&gt;0),MAX(0,JD66-(MIN(CE66*ALE65,JD66+MQ66)-MIN(MIN(CE66*ALE65,JD66+MQ66),MQ66))),JD66)</f>
        <v>1270</v>
      </c>
      <c r="JF66" s="20" t="n">
        <f aca="false">IF(AND(H_Direct=1,CF66&gt;0),MAX(0,JE66-(MIN(CF66*ALF65,JE66+MR66)-MIN(MIN(CF66*ALF65,JE66+MR66),MR66))),JE66)</f>
        <v>1270</v>
      </c>
      <c r="JG66" s="20" t="n">
        <f aca="false">IF(AND(H_Direct=1,CG66&gt;0),MAX(0,JF66-(MIN(CG66*ALG65,JF66+MS66)-MIN(MIN(CG66*ALG65,JF66+MS66),MS66))),JF66)</f>
        <v>1270</v>
      </c>
      <c r="JH66" s="20" t="n">
        <f aca="false">IF(AND(H_Direct=1,CH66&gt;0),MAX(0,JG66-(MIN(CH66*ALH65,JG66+MT66)-MIN(MIN(CH66*ALH65,JG66+MT66),MT66))),JG66)</f>
        <v>1270</v>
      </c>
      <c r="JI66" s="20" t="n">
        <f aca="false">IF(AND(H_Direct=1,CI66&gt;0),MAX(0,JH66-(MIN(CI66*ALI65,JH66+MU66)-MIN(MIN(CI66*ALI65,JH66+MU66),MU66))),JH66)</f>
        <v>1270</v>
      </c>
      <c r="JJ66" s="20" t="n">
        <f aca="false">IF(AND(H_Direct=1,CJ66&gt;0),MAX(0,JI66-(MIN(CJ66*ALJ65,JI66+MV66)-MIN(MIN(CJ66*ALJ65,JI66+MV66),MV66))),JI66)</f>
        <v>1270</v>
      </c>
      <c r="JK66" s="20" t="n">
        <f aca="false">IF(AND(H_Direct=1,CK66&gt;0),MAX(0,JJ66-(MIN(CK66*ALK65,JJ66+MW66)-MIN(MIN(CK66*ALK65,JJ66+MW66),MW66))),JJ66)</f>
        <v>1270</v>
      </c>
      <c r="JL66" s="20" t="n">
        <f aca="false">IF(AND(H_Direct=1,CL66&gt;0),MAX(0,JK66-(MIN(CL66*ALL65,JK66+MX66)-MIN(MIN(CL66*ALL65,JK66+MX66),MX66))),JK66)</f>
        <v>1270</v>
      </c>
      <c r="JM66" s="20" t="n">
        <f aca="false">IF(AND(H_Direct=1,CM66&gt;0),MAX(0,JL66-(MIN(CM66*ALM65,JL66+MY66)-MIN(MIN(CM66*ALM65,JL66+MY66),MY66))),JL66)</f>
        <v>1270</v>
      </c>
      <c r="JN66" s="20" t="n">
        <f aca="false">IF(AND(H_Direct=1,CN66&gt;0),MAX(0,JM66-(MIN(CN66*ALN65,JM66+MZ66)-MIN(MIN(CN66*ALN65,JM66+MZ66),MZ66))),JM66)</f>
        <v>1270</v>
      </c>
      <c r="JO66" s="20" t="n">
        <f aca="false">IF(AND(H_Direct=1,CO66&gt;0),MAX(0,JN66-(MIN(CO66*ALO65,JN66+NA66)-MIN(MIN(CO66*ALO65,JN66+NA66),NA66))),JN66)</f>
        <v>1270</v>
      </c>
      <c r="JP66" s="20" t="n">
        <f aca="false">IF(AND(H_Direct=1,CP66&gt;0),MAX(0,JO66-(MIN(CP66*ALP65,JO66+NB66)-MIN(MIN(CP66*ALP65,JO66+NB66),NB66))),JO66)</f>
        <v>1270</v>
      </c>
      <c r="JQ66" s="20" t="n">
        <f aca="false">IF(AND(H_Direct=1,CQ66&gt;0),MAX(0,JP66-(MIN(CQ66*ALQ65,JP66+NC66)-MIN(MIN(CQ66*ALQ65,JP66+NC66),NC66))),JP66)</f>
        <v>1270</v>
      </c>
      <c r="JR66" s="20" t="n">
        <f aca="false">IF(AND(H_Direct=1,CR66&gt;0),MAX(0,JQ66-(MIN(CR66*ALR65,JQ66+ND66)-MIN(MIN(CR66*ALR65,JQ66+ND66),ND66))),JQ66)</f>
        <v>1270</v>
      </c>
      <c r="JS66" s="20" t="n">
        <f aca="false">IF(AND(H_Direct=1,CS66&gt;0),MAX(0,JR66-(MIN(CS66*ALS65,JR66+NE66)-MIN(MIN(CS66*ALS65,JR66+NE66),NE66))),JR66)</f>
        <v>1270</v>
      </c>
      <c r="JT66" s="20" t="n">
        <f aca="false">IF(AND(H_Direct=1,CT66&gt;0),MAX(0,JS66-(MIN(CT66*ALT65,JS66+NF66)-MIN(MIN(CT66*ALT65,JS66+NF66),NF66))),JS66)</f>
        <v>1270</v>
      </c>
      <c r="JU66" s="20" t="n">
        <f aca="false">IF(AND(H_Direct=1,CU66&gt;0),MAX(0,JT66-(MIN(CU66*ALU65,JT66+NG66)-MIN(MIN(CU66*ALU65,JT66+NG66),NG66))),JT66)</f>
        <v>1270</v>
      </c>
      <c r="JV66" s="20" t="n">
        <f aca="false">IF(AND(H_Direct=1,CV66&gt;0),MAX(0,JU66-(MIN(CV66*ALV65,JU66+NH66)-MIN(MIN(CV66*ALV65,JU66+NH66),NH66))),JU66)</f>
        <v>1270</v>
      </c>
      <c r="JW66" s="20" t="n">
        <f aca="false">IF(AND(H_Direct=1,CW66&gt;0),MAX(0,JV66-(MIN(CW66*ALW65,JV66+NI66)-MIN(MIN(CW66*ALW65,JV66+NI66),NI66))),JV66)</f>
        <v>1270</v>
      </c>
      <c r="JX66" s="20" t="n">
        <f aca="false">IF(AND(H_Direct=1,CX66&gt;0),MAX(0,JW66-(MIN(CX66*ALX65,JW66+NJ66)-MIN(MIN(CX66*ALX65,JW66+NJ66),NJ66))),JW66)</f>
        <v>1270</v>
      </c>
      <c r="JY66" s="20" t="n">
        <f aca="false">IF(AND(H_Direct=1,CY66&gt;0),MAX(0,JX66-(MIN(CY66*ALY65,JX66+NK66)-MIN(MIN(CY66*ALY65,JX66+NK66),NK66))),JX66)</f>
        <v>1270</v>
      </c>
      <c r="JZ66" s="20" t="n">
        <f aca="false">IF(AND(H_Direct=1,CZ66&gt;0),MAX(0,JY66-(MIN(CZ66*ALZ65,JY66+NL66)-MIN(MIN(CZ66*ALZ65,JY66+NL66),NL66))),JY66)</f>
        <v>1270</v>
      </c>
      <c r="KA66" s="20" t="n">
        <f aca="false">IF(AND(H_Direct=1,DA66&gt;0),MAX(0,JZ66-(MIN(DA66*AMA65,JZ66+NM66)-MIN(MIN(DA66*AMA65,JZ66+NM66),NM66))),JZ66)</f>
        <v>1270</v>
      </c>
      <c r="KB66" s="20" t="n">
        <f aca="false">IF(AND(H_Direct=1,DB66&gt;0),MAX(0,KA66-(MIN(DB66*AMB65,KA66+NN66)-MIN(MIN(DB66*AMB65,KA66+NN66),NN66))),KA66)</f>
        <v>1270</v>
      </c>
      <c r="KC66" s="20" t="n">
        <f aca="false">IF(AND(H_Direct=1,DC66&gt;0),MAX(0,KB66-(MIN(DC66*AMC65,KB66+NO66)-MIN(MIN(DC66*AMC65,KB66+NO66),NO66))),KB66)</f>
        <v>1270</v>
      </c>
      <c r="KD66" s="20" t="n">
        <f aca="false">IF(AND(H_Direct=1,DD66&gt;0),MAX(0,KC66-(MIN(DD66*AMD65,KC66+NP66)-MIN(MIN(DD66*AMD65,KC66+NP66),NP66))),KC66)</f>
        <v>1270</v>
      </c>
      <c r="KE66" s="20" t="n">
        <f aca="false">IF(AND(H_Direct=1,DE66&gt;0),MAX(0,KD66-(MIN(DE66*AME65,KD66+NQ66)-MIN(MIN(DE66*AME65,KD66+NQ66),NQ66))),KD66)</f>
        <v>1270</v>
      </c>
      <c r="KF66" s="20" t="n">
        <f aca="false">IF(AND(H_Direct=1,DF66&gt;0),MAX(0,KE66-(MIN(DF66*AMF65,KE66+NR66)-MIN(MIN(DF66*AMF65,KE66+NR66),NR66))),KE66)</f>
        <v>1270</v>
      </c>
      <c r="KG66" s="20" t="n">
        <f aca="false">IF(AND(H_Direct=1,DG66&gt;0),MAX(0,KF66-(MIN(DG66*AMG65,KF66+NS66)-MIN(MIN(DG66*AMG65,KF66+NS66),NS66))),KF66)</f>
        <v>1270</v>
      </c>
      <c r="KH66" s="20" t="n">
        <f aca="false">IF(AND(H_Direct=1,DH66&gt;0),MAX(0,KG66-(MIN(DH66*AMH65,KG66+NT66)-MIN(MIN(DH66*AMH65,KG66+NT66),NT66))),KG66)</f>
        <v>1270</v>
      </c>
      <c r="KI66" s="20" t="n">
        <f aca="false">IF(AND(H_Direct=1,DI66&gt;0),MAX(0,KH66-(MIN(DI66*AMI65,KH66+NU66)-MIN(MIN(DI66*AMI65,KH66+NU66),NU66))),KH66)</f>
        <v>1270</v>
      </c>
      <c r="KJ66" s="20" t="n">
        <f aca="false">IF(AND(H_Direct=1,DJ66&gt;0),MAX(0,KI66-(MIN(DJ66*AMJ65,KI66+NV66)-MIN(MIN(DJ66*AMJ65,KI66+NV66),NV66))),KI66)</f>
        <v>1270</v>
      </c>
      <c r="KK66" s="20" t="n">
        <f aca="false">IF(AND(H_Direct=1,DK66&gt;0),MAX(0,KJ66-(MIN(DK66*AMK65,KJ66+NW66)-MIN(MIN(DK66*AMK65,KJ66+NW66),NW66))),KJ66)</f>
        <v>1270</v>
      </c>
      <c r="KL66" s="20" t="n">
        <f aca="false">IF(AND(H_Direct=1,DL66&gt;0),MAX(0,KK66-(MIN(DL66*AML65,KK66+NX66)-MIN(MIN(DL66*AML65,KK66+NX66),NX66))),KK66)</f>
        <v>1270</v>
      </c>
      <c r="KM66" s="20" t="n">
        <f aca="false">IF(AND(H_Direct=1,DM66&gt;0),MAX(0,KL66-(MIN(DM66*AMM65,KL66+NY66)-MIN(MIN(DM66*AMM65,KL66+NY66),NY66))),KL66)</f>
        <v>1270</v>
      </c>
      <c r="KN66" s="20" t="n">
        <f aca="false">IF(AND(H_Direct=1,DN66&gt;0),MAX(0,KM66-(MIN(DN66*AMN65,KM66+NZ66)-MIN(MIN(DN66*AMN65,KM66+NZ66),NZ66))),KM66)</f>
        <v>1270</v>
      </c>
      <c r="KO66" s="20" t="n">
        <f aca="false">IF(AND(H_Direct=1,DO66&gt;0),MAX(0,KN66-(MIN(DO66*AMO65,KN66+OA66)-MIN(MIN(DO66*AMO65,KN66+OA66),OA66))),KN66)</f>
        <v>1270</v>
      </c>
      <c r="KP66" s="20" t="n">
        <f aca="false">IF(AND(H_Direct=1,DP66&gt;0),MAX(0,KO66-(MIN(DP66*AMP65,KO66+OB66)-MIN(MIN(DP66*AMP65,KO66+OB66),OB66))),KO66)</f>
        <v>1270</v>
      </c>
      <c r="KQ66" s="20" t="n">
        <f aca="false">IF(AND(H_Direct=1,DQ66&gt;0),MAX(0,KP66-(MIN(DQ66*AMQ65,KP66+OC66)-MIN(MIN(DQ66*AMQ65,KP66+OC66),OC66))),KP66)</f>
        <v>1270</v>
      </c>
      <c r="KR66" s="20" t="n">
        <f aca="false">IF(AND(H_Direct=1,DR66&gt;0),MAX(0,KQ66-(MIN(DR66*AMR65,KQ66+OD66)-MIN(MIN(DR66*AMR65,KQ66+OD66),OD66))),KQ66)</f>
        <v>1270</v>
      </c>
      <c r="KS66" s="20" t="n">
        <f aca="false">IF(AND(H_Direct=1,DS66&gt;0),MAX(0,KR66-(MIN(DS66*AMS65,KR66+OE66)-MIN(MIN(DS66*AMS65,KR66+OE66),OE66))),KR66)</f>
        <v>1270</v>
      </c>
      <c r="KT66" s="20" t="n">
        <f aca="false">IF(AND(H_Direct=1,DT66&gt;0),MAX(0,KS66-(MIN(DT66*AMT65,KS66+OF66)-MIN(MIN(DT66*AMT65,KS66+OF66),OF66))),KS66)</f>
        <v>1270</v>
      </c>
      <c r="KU66" s="20" t="n">
        <f aca="false">IF(AND(H_Direct=1,DU66&gt;0),MAX(0,KT66-(MIN(DU66*AMU65,KT66+OG66)-MIN(MIN(DU66*AMU65,KT66+OG66),OG66))),KT66)</f>
        <v>1270</v>
      </c>
      <c r="KV66" s="20" t="n">
        <f aca="false">IF(AND(H_Direct=1,DV66&gt;0),MAX(0,KU66-(MIN(DV66*AMV65,KU66+OH66)-MIN(MIN(DV66*AMV65,KU66+OH66),OH66))),KU66)</f>
        <v>1270</v>
      </c>
      <c r="KW66" s="20" t="n">
        <f aca="false">IF(AND(H_Direct=1,DW66&gt;0),MAX(0,KV66-(MIN(DW66*AMW65,KV66+OI66)-MIN(MIN(DW66*AMW65,KV66+OI66),OI66))),KV66)</f>
        <v>1270</v>
      </c>
      <c r="KX66" s="20" t="n">
        <f aca="false">IF(AND(H_Direct=1,DX66&gt;0),MAX(0,KW66-(MIN(DX66*AMX65,KW66+OJ66)-MIN(MIN(DX66*AMX65,KW66+OJ66),OJ66))),KW66)</f>
        <v>1270</v>
      </c>
      <c r="KY66" s="20" t="n">
        <f aca="false">IF(AND(H_Direct=1,DY66&gt;0),MAX(0,KX66-(MIN(DY66*(P66+S66),KX66+OK66)-MIN(MIN(DY66*(P66+S66),KX66+OK66),OK66))),KX66)</f>
        <v>1270</v>
      </c>
      <c r="KZ66" s="20" t="n">
        <f aca="false">KY66</f>
        <v>1270</v>
      </c>
      <c r="LA66" s="20" t="n">
        <f aca="false">KZ66</f>
        <v>1270</v>
      </c>
      <c r="LB66" s="20" t="n">
        <f aca="false">LA66</f>
        <v>1270</v>
      </c>
      <c r="LC66" s="20" t="n">
        <f aca="false">LB66</f>
        <v>1270</v>
      </c>
      <c r="LD66" s="20" t="n">
        <f aca="false">LC66</f>
        <v>1270</v>
      </c>
      <c r="LE66" s="20" t="n">
        <f aca="false">LD66</f>
        <v>1270</v>
      </c>
      <c r="LF66" s="20" t="n">
        <f aca="false">LE66</f>
        <v>1270</v>
      </c>
      <c r="LG66" s="20" t="n">
        <f aca="false">LF66</f>
        <v>1270</v>
      </c>
      <c r="LH66" s="20" t="n">
        <f aca="false">LG66</f>
        <v>1270</v>
      </c>
      <c r="LI66" s="20" t="n">
        <f aca="false">LH66</f>
        <v>1270</v>
      </c>
      <c r="LJ66" s="20" t="n">
        <f aca="false">LI66</f>
        <v>1270</v>
      </c>
      <c r="LK66" s="20" t="n">
        <f aca="false">LJ66</f>
        <v>1270</v>
      </c>
      <c r="LL66" s="20" t="n">
        <f aca="false">LK66</f>
        <v>1270</v>
      </c>
      <c r="LM66" s="20" t="n">
        <f aca="false">LL66</f>
        <v>1270</v>
      </c>
      <c r="LN66" s="20" t="n">
        <f aca="false">LM66</f>
        <v>1270</v>
      </c>
      <c r="LO66" s="20" t="n">
        <f aca="false">LN66</f>
        <v>1270</v>
      </c>
      <c r="LP66" s="20" t="n">
        <f aca="false">LO66</f>
        <v>1270</v>
      </c>
      <c r="LQ66" s="20" t="n">
        <f aca="false">LP66</f>
        <v>1270</v>
      </c>
      <c r="LR66" s="20" t="n">
        <f aca="false">LQ66</f>
        <v>1270</v>
      </c>
      <c r="LS66" s="20" t="n">
        <f aca="false">LR66</f>
        <v>1270</v>
      </c>
      <c r="LT66" s="20" t="n">
        <f aca="false">LS66</f>
        <v>1270</v>
      </c>
      <c r="LU66" s="20" t="n">
        <f aca="false">LT66</f>
        <v>1270</v>
      </c>
      <c r="LV66" s="20" t="n">
        <f aca="false">LU66</f>
        <v>1270</v>
      </c>
      <c r="LW66" s="20" t="n">
        <f aca="false">LV66</f>
        <v>1270</v>
      </c>
      <c r="LX66" s="20" t="n">
        <f aca="false">LW66</f>
        <v>1270</v>
      </c>
      <c r="LY66" s="20" t="n">
        <f aca="false">LX66</f>
        <v>1270</v>
      </c>
      <c r="LZ66" s="20" t="n">
        <f aca="false">LY66</f>
        <v>1270</v>
      </c>
      <c r="MA66" s="20" t="n">
        <f aca="false">LZ66</f>
        <v>1270</v>
      </c>
      <c r="MB66" s="20" t="n">
        <f aca="false">MA66</f>
        <v>1270</v>
      </c>
      <c r="MC66" s="20" t="n">
        <f aca="false">MB66</f>
        <v>1270</v>
      </c>
      <c r="MD66" s="20" t="n">
        <f aca="false">MC66</f>
        <v>1270</v>
      </c>
      <c r="ME66" s="20" t="n">
        <f aca="false">IF(H_Direct=1,IF(BR66&lt;=0,I66-BR66*AKR65,I66-MIN(MIN(BR66*AKR65,H66+I66),I66)),I66)</f>
        <v>0</v>
      </c>
      <c r="MF66" s="20" t="n">
        <f aca="false">IF(H_Direct=1,IF(BS66&lt;=0,ME66-BS66*AKS65,ME66-MIN(MIN(BS66*AKS65,IR66+ME66),ME66)),ME66)</f>
        <v>0</v>
      </c>
      <c r="MG66" s="20" t="n">
        <f aca="false">IF(H_Direct=1,IF(BT66&lt;=0,MF66-BT66*AKT65,MF66-MIN(MIN(BT66*AKT65,IS66+MF66),MF66)),MF66)</f>
        <v>0</v>
      </c>
      <c r="MH66" s="20" t="n">
        <f aca="false">IF(H_Direct=1,IF(BU66&lt;=0,MG66-BU66*AKU65,MG66-MIN(MIN(BU66*AKU65,IT66+MG66),MG66)),MG66)</f>
        <v>0</v>
      </c>
      <c r="MI66" s="20" t="n">
        <f aca="false">IF(H_Direct=1,IF(BV66&lt;=0,MH66-BV66*AKV65,MH66-MIN(MIN(BV66*AKV65,IU66+MH66),MH66)),MH66)</f>
        <v>0</v>
      </c>
      <c r="MJ66" s="20" t="n">
        <f aca="false">IF(H_Direct=1,IF(BW66&lt;=0,MI66-BW66*AKW65,MI66-MIN(MIN(BW66*AKW65,IV66+MI66),MI66)),MI66)</f>
        <v>0</v>
      </c>
      <c r="MK66" s="20" t="n">
        <f aca="false">IF(H_Direct=1,IF(BX66&lt;=0,MJ66-BX66*AKX65,MJ66-MIN(MIN(BX66*AKX65,IW66+MJ66),MJ66)),MJ66)</f>
        <v>0</v>
      </c>
      <c r="ML66" s="20" t="n">
        <f aca="false">IF(H_Direct=1,IF(BY66&lt;=0,MK66-BY66*AKY65,MK66-MIN(MIN(BY66*AKY65,IX66+MK66),MK66)),MK66)</f>
        <v>0</v>
      </c>
      <c r="MM66" s="20" t="n">
        <f aca="false">IF(H_Direct=1,IF(BZ66&lt;=0,ML66-BZ66*AKZ65,ML66-MIN(MIN(BZ66*AKZ65,IY66+ML66),ML66)),ML66)</f>
        <v>0</v>
      </c>
      <c r="MN66" s="20" t="n">
        <f aca="false">IF(H_Direct=1,IF(CA66&lt;=0,MM66-CA66*ALA65,MM66-MIN(MIN(CA66*ALA65,IZ66+MM66),MM66)),MM66)</f>
        <v>0</v>
      </c>
      <c r="MO66" s="20" t="n">
        <f aca="false">IF(H_Direct=1,IF(CB66&lt;=0,MN66-CB66*ALB65,MN66-MIN(MIN(CB66*ALB65,JA66+MN66),MN66)),MN66)</f>
        <v>0</v>
      </c>
      <c r="MP66" s="20" t="n">
        <f aca="false">IF(H_Direct=1,IF(CC66&lt;=0,MO66-CC66*ALC65,MO66-MIN(MIN(CC66*ALC65,JB66+MO66),MO66)),MO66)</f>
        <v>0</v>
      </c>
      <c r="MQ66" s="20" t="n">
        <f aca="false">IF(H_Direct=1,IF(CD66&lt;=0,MP66-CD66*ALD65,MP66-MIN(MIN(CD66*ALD65,JC66+MP66),MP66)),MP66)</f>
        <v>0</v>
      </c>
      <c r="MR66" s="20" t="n">
        <f aca="false">IF(H_Direct=1,IF(CE66&lt;=0,MQ66-CE66*ALE65,MQ66-MIN(MIN(CE66*ALE65,JD66+MQ66),MQ66)),MQ66)</f>
        <v>0</v>
      </c>
      <c r="MS66" s="20" t="n">
        <f aca="false">IF(H_Direct=1,IF(CF66&lt;=0,MR66-CF66*ALF65,MR66-MIN(MIN(CF66*ALF65,JE66+MR66),MR66)),MR66)</f>
        <v>0</v>
      </c>
      <c r="MT66" s="20" t="n">
        <f aca="false">IF(H_Direct=1,IF(CG66&lt;=0,MS66-CG66*ALG65,MS66-MIN(MIN(CG66*ALG65,JF66+MS66),MS66)),MS66)</f>
        <v>0</v>
      </c>
      <c r="MU66" s="20" t="n">
        <f aca="false">IF(H_Direct=1,IF(CH66&lt;=0,MT66-CH66*ALH65,MT66-MIN(MIN(CH66*ALH65,JG66+MT66),MT66)),MT66)</f>
        <v>0</v>
      </c>
      <c r="MV66" s="20" t="n">
        <f aca="false">IF(H_Direct=1,IF(CI66&lt;=0,MU66-CI66*ALI65,MU66-MIN(MIN(CI66*ALI65,JH66+MU66),MU66)),MU66)</f>
        <v>0</v>
      </c>
      <c r="MW66" s="20" t="n">
        <f aca="false">IF(H_Direct=1,IF(CJ66&lt;=0,MV66-CJ66*ALJ65,MV66-MIN(MIN(CJ66*ALJ65,JI66+MV66),MV66)),MV66)</f>
        <v>0</v>
      </c>
      <c r="MX66" s="20" t="n">
        <f aca="false">IF(H_Direct=1,IF(CK66&lt;=0,MW66-CK66*ALK65,MW66-MIN(MIN(CK66*ALK65,JJ66+MW66),MW66)),MW66)</f>
        <v>0</v>
      </c>
      <c r="MY66" s="20" t="n">
        <f aca="false">IF(H_Direct=1,IF(CL66&lt;=0,MX66-CL66*ALL65,MX66-MIN(MIN(CL66*ALL65,JK66+MX66),MX66)),MX66)</f>
        <v>0</v>
      </c>
      <c r="MZ66" s="20" t="n">
        <f aca="false">IF(H_Direct=1,IF(CM66&lt;=0,MY66-CM66*ALM65,MY66-MIN(MIN(CM66*ALM65,JL66+MY66),MY66)),MY66)</f>
        <v>0</v>
      </c>
      <c r="NA66" s="20" t="n">
        <f aca="false">IF(H_Direct=1,IF(CN66&lt;=0,MZ66-CN66*ALN65,MZ66-MIN(MIN(CN66*ALN65,JM66+MZ66),MZ66)),MZ66)</f>
        <v>0</v>
      </c>
      <c r="NB66" s="20" t="n">
        <f aca="false">IF(H_Direct=1,IF(CO66&lt;=0,NA66-CO66*ALO65,NA66-MIN(MIN(CO66*ALO65,JN66+NA66),NA66)),NA66)</f>
        <v>0</v>
      </c>
      <c r="NC66" s="20" t="n">
        <f aca="false">IF(H_Direct=1,IF(CP66&lt;=0,NB66-CP66*ALP65,NB66-MIN(MIN(CP66*ALP65,JO66+NB66),NB66)),NB66)</f>
        <v>0</v>
      </c>
      <c r="ND66" s="20" t="n">
        <f aca="false">IF(H_Direct=1,IF(CQ66&lt;=0,NC66-CQ66*ALQ65,NC66-MIN(MIN(CQ66*ALQ65,JP66+NC66),NC66)),NC66)</f>
        <v>0</v>
      </c>
      <c r="NE66" s="20" t="n">
        <f aca="false">IF(H_Direct=1,IF(CR66&lt;=0,ND66-CR66*ALR65,ND66-MIN(MIN(CR66*ALR65,JQ66+ND66),ND66)),ND66)</f>
        <v>0</v>
      </c>
      <c r="NF66" s="20" t="n">
        <f aca="false">IF(H_Direct=1,IF(CS66&lt;=0,NE66-CS66*ALS65,NE66-MIN(MIN(CS66*ALS65,JR66+NE66),NE66)),NE66)</f>
        <v>0</v>
      </c>
      <c r="NG66" s="20" t="n">
        <f aca="false">IF(H_Direct=1,IF(CT66&lt;=0,NF66-CT66*ALT65,NF66-MIN(MIN(CT66*ALT65,JS66+NF66),NF66)),NF66)</f>
        <v>0</v>
      </c>
      <c r="NH66" s="20" t="n">
        <f aca="false">IF(H_Direct=1,IF(CU66&lt;=0,NG66-CU66*ALU65,NG66-MIN(MIN(CU66*ALU65,JT66+NG66),NG66)),NG66)</f>
        <v>0</v>
      </c>
      <c r="NI66" s="20" t="n">
        <f aca="false">IF(H_Direct=1,IF(CV66&lt;=0,NH66-CV66*ALV65,NH66-MIN(MIN(CV66*ALV65,JU66+NH66),NH66)),NH66)</f>
        <v>0</v>
      </c>
      <c r="NJ66" s="20" t="n">
        <f aca="false">IF(H_Direct=1,IF(CW66&lt;=0,NI66-CW66*ALW65,NI66-MIN(MIN(CW66*ALW65,JV66+NI66),NI66)),NI66)</f>
        <v>0</v>
      </c>
      <c r="NK66" s="20" t="n">
        <f aca="false">IF(H_Direct=1,IF(CX66&lt;=0,NJ66-CX66*ALX65,NJ66-MIN(MIN(CX66*ALX65,JW66+NJ66),NJ66)),NJ66)</f>
        <v>0</v>
      </c>
      <c r="NL66" s="20" t="n">
        <f aca="false">IF(H_Direct=1,IF(CY66&lt;=0,NK66-CY66*ALY65,NK66-MIN(MIN(CY66*ALY65,JX66+NK66),NK66)),NK66)</f>
        <v>0</v>
      </c>
      <c r="NM66" s="20" t="n">
        <f aca="false">IF(H_Direct=1,IF(CZ66&lt;=0,NL66-CZ66*ALZ65,NL66-MIN(MIN(CZ66*ALZ65,JY66+NL66),NL66)),NL66)</f>
        <v>0</v>
      </c>
      <c r="NN66" s="20" t="n">
        <f aca="false">IF(H_Direct=1,IF(DA66&lt;=0,NM66-DA66*AMA65,NM66-MIN(MIN(DA66*AMA65,JZ66+NM66),NM66)),NM66)</f>
        <v>0</v>
      </c>
      <c r="NO66" s="20" t="n">
        <f aca="false">IF(H_Direct=1,IF(DB66&lt;=0,NN66-DB66*AMB65,NN66-MIN(MIN(DB66*AMB65,KA66+NN66),NN66)),NN66)</f>
        <v>0</v>
      </c>
      <c r="NP66" s="20" t="n">
        <f aca="false">IF(H_Direct=1,IF(DC66&lt;=0,NO66-DC66*AMC65,NO66-MIN(MIN(DC66*AMC65,KB66+NO66),NO66)),NO66)</f>
        <v>0</v>
      </c>
      <c r="NQ66" s="20" t="n">
        <f aca="false">IF(H_Direct=1,IF(DD66&lt;=0,NP66-DD66*AMD65,NP66-MIN(MIN(DD66*AMD65,KC66+NP66),NP66)),NP66)</f>
        <v>0</v>
      </c>
      <c r="NR66" s="20" t="n">
        <f aca="false">IF(H_Direct=1,IF(DE66&lt;=0,NQ66-DE66*AME65,NQ66-MIN(MIN(DE66*AME65,KD66+NQ66),NQ66)),NQ66)</f>
        <v>0</v>
      </c>
      <c r="NS66" s="20" t="n">
        <f aca="false">IF(H_Direct=1,IF(DF66&lt;=0,NR66-DF66*AMF65,NR66-MIN(MIN(DF66*AMF65,KE66+NR66),NR66)),NR66)</f>
        <v>0</v>
      </c>
      <c r="NT66" s="20" t="n">
        <f aca="false">IF(H_Direct=1,IF(DG66&lt;=0,NS66-DG66*AMG65,NS66-MIN(MIN(DG66*AMG65,KF66+NS66),NS66)),NS66)</f>
        <v>0</v>
      </c>
      <c r="NU66" s="20" t="n">
        <f aca="false">IF(H_Direct=1,IF(DH66&lt;=0,NT66-DH66*AMH65,NT66-MIN(MIN(DH66*AMH65,KG66+NT66),NT66)),NT66)</f>
        <v>0</v>
      </c>
      <c r="NV66" s="20" t="n">
        <f aca="false">IF(H_Direct=1,IF(DI66&lt;=0,NU66-DI66*AMI65,NU66-MIN(MIN(DI66*AMI65,KH66+NU66),NU66)),NU66)</f>
        <v>0</v>
      </c>
      <c r="NW66" s="20" t="n">
        <f aca="false">IF(H_Direct=1,IF(DJ66&lt;=0,NV66-DJ66*AMJ65,NV66-MIN(MIN(DJ66*AMJ65,KI66+NV66),NV66)),NV66)</f>
        <v>0</v>
      </c>
      <c r="NX66" s="20" t="n">
        <f aca="false">IF(H_Direct=1,IF(DK66&lt;=0,NW66-DK66*AMK65,NW66-MIN(MIN(DK66*AMK65,KJ66+NW66),NW66)),NW66)</f>
        <v>0</v>
      </c>
      <c r="NY66" s="20" t="n">
        <f aca="false">IF(H_Direct=1,IF(DL66&lt;=0,NX66-DL66*AML65,NX66-MIN(MIN(DL66*AML65,KK66+NX66),NX66)),NX66)</f>
        <v>0</v>
      </c>
      <c r="NZ66" s="20" t="n">
        <f aca="false">IF(H_Direct=1,IF(DM66&lt;=0,NY66-DM66*AMM65,NY66-MIN(MIN(DM66*AMM65,KL66+NY66),NY66)),NY66)</f>
        <v>0</v>
      </c>
      <c r="OA66" s="20" t="n">
        <f aca="false">IF(H_Direct=1,IF(DN66&lt;=0,NZ66-DN66*AMN65,NZ66-MIN(MIN(DN66*AMN65,KM66+NZ66),NZ66)),NZ66)</f>
        <v>0</v>
      </c>
      <c r="OB66" s="20" t="n">
        <f aca="false">IF(H_Direct=1,IF(DO66&lt;=0,OA66-DO66*AMO65,OA66-MIN(MIN(DO66*AMO65,KN66+OA66),OA66)),OA66)</f>
        <v>0</v>
      </c>
      <c r="OC66" s="20" t="n">
        <f aca="false">IF(H_Direct=1,IF(DP66&lt;=0,OB66-DP66*AMP65,OB66-MIN(MIN(DP66*AMP65,KO66+OB66),OB66)),OB66)</f>
        <v>0</v>
      </c>
      <c r="OD66" s="20" t="n">
        <f aca="false">IF(H_Direct=1,IF(DQ66&lt;=0,OC66-DQ66*AMQ65,OC66-MIN(MIN(DQ66*AMQ65,KP66+OC66),OC66)),OC66)</f>
        <v>0</v>
      </c>
      <c r="OE66" s="20" t="n">
        <f aca="false">IF(H_Direct=1,IF(DR66&lt;=0,OD66-DR66*AMR65,OD66-MIN(MIN(DR66*AMR65,KQ66+OD66),OD66)),OD66)</f>
        <v>0</v>
      </c>
      <c r="OF66" s="20" t="n">
        <f aca="false">IF(H_Direct=1,IF(DS66&lt;=0,OE66-DS66*AMS65,OE66-MIN(MIN(DS66*AMS65,KR66+OE66),OE66)),OE66)</f>
        <v>0</v>
      </c>
      <c r="OG66" s="20" t="n">
        <f aca="false">IF(H_Direct=1,IF(DT66&lt;=0,OF66-DT66*AMT65,OF66-MIN(MIN(DT66*AMT65,KS66+OF66),OF66)),OF66)</f>
        <v>0</v>
      </c>
      <c r="OH66" s="20" t="n">
        <f aca="false">IF(H_Direct=1,IF(DU66&lt;=0,OG66-DU66*AMU65,OG66-MIN(MIN(DU66*AMU65,KT66+OG66),OG66)),OG66)</f>
        <v>0</v>
      </c>
      <c r="OI66" s="20" t="n">
        <f aca="false">IF(H_Direct=1,IF(DV66&lt;=0,OH66-DV66*AMV65,OH66-MIN(MIN(DV66*AMV65,KU66+OH66),OH66)),OH66)</f>
        <v>0</v>
      </c>
      <c r="OJ66" s="20" t="n">
        <f aca="false">IF(H_Direct=1,IF(DW66&lt;=0,OI66-DW66*AMW65,OI66-MIN(MIN(DW66*AMW65,KV66+OI66),OI66)),OI66)</f>
        <v>0</v>
      </c>
      <c r="OK66" s="20" t="n">
        <f aca="false">IF(H_Direct=1,IF(DX66&lt;=0,OJ66-DX66*AMX65,OJ66-MIN(MIN(DX66*AMX65,KW66+OJ66),OJ66)),OJ66)</f>
        <v>0</v>
      </c>
      <c r="OL66" s="20" t="n">
        <f aca="false">IF(H_Direct=1,IF(DY66&lt;=0,OK66-DY66*(P66+S66),OK66-MIN(MIN(DY66*(P66+S66),KX66+OK66),OK66)),OK66)</f>
        <v>0</v>
      </c>
      <c r="OM66" s="20" t="n">
        <f aca="false">OL66</f>
        <v>0</v>
      </c>
      <c r="ON66" s="20" t="n">
        <f aca="false">OM66</f>
        <v>0</v>
      </c>
      <c r="OO66" s="20" t="n">
        <f aca="false">ON66</f>
        <v>0</v>
      </c>
      <c r="OP66" s="20" t="n">
        <f aca="false">OO66</f>
        <v>0</v>
      </c>
      <c r="OQ66" s="20" t="n">
        <f aca="false">OP66</f>
        <v>0</v>
      </c>
      <c r="OR66" s="20" t="n">
        <f aca="false">OQ66</f>
        <v>0</v>
      </c>
      <c r="OS66" s="20" t="n">
        <f aca="false">OR66</f>
        <v>0</v>
      </c>
      <c r="OT66" s="20" t="n">
        <f aca="false">OS66</f>
        <v>0</v>
      </c>
      <c r="OU66" s="20" t="n">
        <f aca="false">OT66</f>
        <v>0</v>
      </c>
      <c r="OV66" s="20" t="n">
        <f aca="false">OU66</f>
        <v>0</v>
      </c>
      <c r="OW66" s="20" t="n">
        <f aca="false">OV66</f>
        <v>0</v>
      </c>
      <c r="OX66" s="20" t="n">
        <f aca="false">OW66</f>
        <v>0</v>
      </c>
      <c r="OY66" s="20" t="n">
        <f aca="false">OX66</f>
        <v>0</v>
      </c>
      <c r="OZ66" s="20" t="n">
        <f aca="false">OY66</f>
        <v>0</v>
      </c>
      <c r="PA66" s="20" t="n">
        <f aca="false">OZ66</f>
        <v>0</v>
      </c>
      <c r="PB66" s="20" t="n">
        <f aca="false">PA66</f>
        <v>0</v>
      </c>
      <c r="PC66" s="20" t="n">
        <f aca="false">PB66</f>
        <v>0</v>
      </c>
      <c r="PD66" s="20" t="n">
        <f aca="false">PC66</f>
        <v>0</v>
      </c>
      <c r="PE66" s="20" t="n">
        <f aca="false">PD66</f>
        <v>0</v>
      </c>
      <c r="PF66" s="20" t="n">
        <f aca="false">PE66</f>
        <v>0</v>
      </c>
      <c r="PG66" s="20" t="n">
        <f aca="false">PF66</f>
        <v>0</v>
      </c>
      <c r="PH66" s="20" t="n">
        <f aca="false">PG66</f>
        <v>0</v>
      </c>
      <c r="PI66" s="20" t="n">
        <f aca="false">PH66</f>
        <v>0</v>
      </c>
      <c r="PJ66" s="20" t="n">
        <f aca="false">PI66</f>
        <v>0</v>
      </c>
      <c r="PK66" s="20" t="n">
        <f aca="false">PJ66</f>
        <v>0</v>
      </c>
      <c r="PL66" s="20" t="n">
        <f aca="false">PK66</f>
        <v>0</v>
      </c>
      <c r="PM66" s="20" t="n">
        <f aca="false">PL66</f>
        <v>0</v>
      </c>
      <c r="PN66" s="20" t="n">
        <f aca="false">PM66</f>
        <v>0</v>
      </c>
      <c r="PO66" s="20" t="n">
        <f aca="false">PN66</f>
        <v>0</v>
      </c>
      <c r="PP66" s="20" t="n">
        <f aca="false">PO66</f>
        <v>0</v>
      </c>
      <c r="PQ66" s="20" t="n">
        <f aca="false">PP66</f>
        <v>0</v>
      </c>
      <c r="PR66" s="20" t="n">
        <f aca="false">IF(H_Direct=1,IF(AKR65&lt;=0,0,IF(BR66&lt;=0,MIN(MAX(0,AB66),AKR65),MIN(MAX(0,AB66),AKR65-G66*MAX(0,BR66*AKR65-(H66+I66))))),MIN(FE66,MAX(0,AB66)))</f>
        <v>0</v>
      </c>
      <c r="PS66" s="20" t="n">
        <f aca="false">IF(H_Direct=1,IF(AKS65&lt;=0,0,IF(BS66&lt;=0,MIN(MAX(0,AB66-SUM(PR66:PR66)),AKS65),MIN(MAX(0,AB66-SUM(PR66:PR66)),AKS65-G66*MAX(0,BS66*AKS65-(WR66+AAE66))))),MIN(FF66,MAX(0,AB66-SUM(PR66:PR66))))</f>
        <v>0</v>
      </c>
      <c r="PT66" s="20" t="n">
        <f aca="false">IF(H_Direct=1,IF(AKT65&lt;=0,0,IF(BT66&lt;=0,MIN(MAX(0,AB66-SUM(PR66:PS66)),AKT65),MIN(MAX(0,AB66-SUM(PR66:PS66)),AKT65-G66*MAX(0,BT66*AKT65-(WS66+AAF66))))),MIN(FG66,MAX(0,AB66-SUM(PR66:PS66))))</f>
        <v>0</v>
      </c>
      <c r="PU66" s="20" t="n">
        <f aca="false">IF(H_Direct=1,IF(AKU65&lt;=0,0,IF(BU66&lt;=0,MIN(MAX(0,AB66-SUM(PR66:PT66)),AKU65),MIN(MAX(0,AB66-SUM(PR66:PT66)),AKU65-G66*MAX(0,BU66*AKU65-(WT66+AAG66))))),MIN(FH66,MAX(0,AB66-SUM(PR66:PT66))))</f>
        <v>0</v>
      </c>
      <c r="PV66" s="20" t="n">
        <f aca="false">IF(H_Direct=1,IF(AKV65&lt;=0,0,IF(BV66&lt;=0,MIN(MAX(0,AB66-SUM(PR66:PU66)),AKV65),MIN(MAX(0,AB66-SUM(PR66:PU66)),AKV65-G66*MAX(0,BV66*AKV65-(WU66+AAH66))))),MIN(FI66,MAX(0,AB66-SUM(PR66:PU66))))</f>
        <v>0</v>
      </c>
      <c r="PW66" s="20" t="n">
        <f aca="false">IF(H_Direct=1,IF(AKW65&lt;=0,0,IF(BW66&lt;=0,MIN(MAX(0,AB66-SUM(PR66:PV66)),AKW65),MIN(MAX(0,AB66-SUM(PR66:PV66)),AKW65-G66*MAX(0,BW66*AKW65-(WV66+AAI66))))),MIN(FJ66,MAX(0,AB66-SUM(PR66:PV66))))</f>
        <v>0</v>
      </c>
      <c r="PX66" s="20" t="n">
        <f aca="false">IF(H_Direct=1,IF(AKX65&lt;=0,0,IF(BX66&lt;=0,MIN(MAX(0,AB66-SUM(PR66:PW66)),AKX65),MIN(MAX(0,AB66-SUM(PR66:PW66)),AKX65-G66*MAX(0,BX66*AKX65-(WW66+AAJ66))))),MIN(FK66,MAX(0,AB66-SUM(PR66:PW66))))</f>
        <v>0</v>
      </c>
      <c r="PY66" s="20" t="n">
        <f aca="false">IF(H_Direct=1,IF(AKY65&lt;=0,0,IF(BY66&lt;=0,MIN(MAX(0,AB66-SUM(PR66:PX66)),AKY65),MIN(MAX(0,AB66-SUM(PR66:PX66)),AKY65-G66*MAX(0,BY66*AKY65-(WX66+AAK66))))),MIN(FL66,MAX(0,AB66-SUM(PR66:PX66))))</f>
        <v>0</v>
      </c>
      <c r="PZ66" s="20" t="n">
        <f aca="false">IF(H_Direct=1,IF(AKZ65&lt;=0,0,IF(BZ66&lt;=0,MIN(MAX(0,AB66-SUM(PR66:PY66)),AKZ65),MIN(MAX(0,AB66-SUM(PR66:PY66)),AKZ65-G66*MAX(0,BZ66*AKZ65-(WY66+AAL66))))),MIN(FM66,MAX(0,AB66-SUM(PR66:PY66))))</f>
        <v>0</v>
      </c>
      <c r="QA66" s="20" t="n">
        <f aca="false">IF(H_Direct=1,IF(ALA65&lt;=0,0,IF(CA66&lt;=0,MIN(MAX(0,AB66-SUM(PR66:PZ66)),ALA65),MIN(MAX(0,AB66-SUM(PR66:PZ66)),ALA65-G66*MAX(0,CA66*ALA65-(WZ66+AAM66))))),MIN(FN66,MAX(0,AB66-SUM(PR66:PZ66))))</f>
        <v>0</v>
      </c>
      <c r="QB66" s="20" t="n">
        <f aca="false">IF(H_Direct=1,IF(ALB65&lt;=0,0,IF(CB66&lt;=0,MIN(MAX(0,AB66-SUM(PR66:QA66)),ALB65),MIN(MAX(0,AB66-SUM(PR66:QA66)),ALB65-G66*MAX(0,CB66*ALB65-(XA66+AAN66))))),MIN(FO66,MAX(0,AB66-SUM(PR66:QA66))))</f>
        <v>0</v>
      </c>
      <c r="QC66" s="20" t="n">
        <f aca="false">IF(H_Direct=1,IF(ALC65&lt;=0,0,IF(CC66&lt;=0,MIN(MAX(0,AB66-SUM(PR66:QB66)),ALC65),MIN(MAX(0,AB66-SUM(PR66:QB66)),ALC65-G66*MAX(0,CC66*ALC65-(XB66+AAO66))))),MIN(FP66,MAX(0,AB66-SUM(PR66:QB66))))</f>
        <v>0</v>
      </c>
      <c r="QD66" s="20" t="n">
        <f aca="false">IF(H_Direct=1,IF(ALD65&lt;=0,0,IF(CD66&lt;=0,MIN(MAX(0,AB66-SUM(PR66:QC66)),ALD65),MIN(MAX(0,AB66-SUM(PR66:QC66)),ALD65-G66*MAX(0,CD66*ALD65-(XC66+AAP66))))),MIN(FQ66,MAX(0,AB66-SUM(PR66:QC66))))</f>
        <v>0</v>
      </c>
      <c r="QE66" s="20" t="n">
        <f aca="false">IF(H_Direct=1,IF(ALE65&lt;=0,0,IF(CE66&lt;=0,MIN(MAX(0,AB66-SUM(PR66:QD66)),ALE65),MIN(MAX(0,AB66-SUM(PR66:QD66)),ALE65-G66*MAX(0,CE66*ALE65-(XD66+AAQ66))))),MIN(FR66,MAX(0,AB66-SUM(PR66:QD66))))</f>
        <v>0</v>
      </c>
      <c r="QF66" s="20" t="n">
        <f aca="false">IF(H_Direct=1,IF(ALF65&lt;=0,0,IF(CF66&lt;=0,MIN(MAX(0,AB66-SUM(PR66:QE66)),ALF65),MIN(MAX(0,AB66-SUM(PR66:QE66)),ALF65-G66*MAX(0,CF66*ALF65-(XE66+AAR66))))),MIN(FS66,MAX(0,AB66-SUM(PR66:QE66))))</f>
        <v>0</v>
      </c>
      <c r="QG66" s="20" t="n">
        <f aca="false">IF(H_Direct=1,IF(ALG65&lt;=0,0,IF(CG66&lt;=0,MIN(MAX(0,AB66-SUM(PR66:QF66)),ALG65),MIN(MAX(0,AB66-SUM(PR66:QF66)),ALG65-G66*MAX(0,CG66*ALG65-(XF66+AAS66))))),MIN(FT66,MAX(0,AB66-SUM(PR66:QF66))))</f>
        <v>0</v>
      </c>
      <c r="QH66" s="20" t="n">
        <f aca="false">IF(H_Direct=1,IF(ALH65&lt;=0,0,IF(CH66&lt;=0,MIN(MAX(0,AB66-SUM(PR66:QG66)),ALH65),MIN(MAX(0,AB66-SUM(PR66:QG66)),ALH65-G66*MAX(0,CH66*ALH65-(XG66+AAT66))))),MIN(FU66,MAX(0,AB66-SUM(PR66:QG66))))</f>
        <v>0</v>
      </c>
      <c r="QI66" s="20" t="n">
        <f aca="false">IF(H_Direct=1,IF(ALI65&lt;=0,0,IF(CI66&lt;=0,MIN(MAX(0,AB66-SUM(PR66:QH66)),ALI65),MIN(MAX(0,AB66-SUM(PR66:QH66)),ALI65-G66*MAX(0,CI66*ALI65-(XH66+AAU66))))),MIN(FV66,MAX(0,AB66-SUM(PR66:QH66))))</f>
        <v>0</v>
      </c>
      <c r="QJ66" s="20" t="n">
        <f aca="false">IF(H_Direct=1,IF(ALJ65&lt;=0,0,IF(CJ66&lt;=0,MIN(MAX(0,AB66-SUM(PR66:QI66)),ALJ65),MIN(MAX(0,AB66-SUM(PR66:QI66)),ALJ65-G66*MAX(0,CJ66*ALJ65-(XI66+AAV66))))),MIN(FW66,MAX(0,AB66-SUM(PR66:QI66))))</f>
        <v>0</v>
      </c>
      <c r="QK66" s="20" t="n">
        <f aca="false">IF(H_Direct=1,IF(ALK65&lt;=0,0,IF(CK66&lt;=0,MIN(MAX(0,AB66-SUM(PR66:QJ66)),ALK65),MIN(MAX(0,AB66-SUM(PR66:QJ66)),ALK65-G66*MAX(0,CK66*ALK65-(XJ66+AAW66))))),MIN(FX66,MAX(0,AB66-SUM(PR66:QJ66))))</f>
        <v>0</v>
      </c>
      <c r="QL66" s="20" t="n">
        <f aca="false">IF(H_Direct=1,IF(ALL65&lt;=0,0,IF(CL66&lt;=0,MIN(MAX(0,AB66-SUM(PR66:QK66)),ALL65),MIN(MAX(0,AB66-SUM(PR66:QK66)),ALL65-G66*MAX(0,CL66*ALL65-(XK66+AAX66))))),MIN(FY66,MAX(0,AB66-SUM(PR66:QK66))))</f>
        <v>0</v>
      </c>
      <c r="QM66" s="20" t="n">
        <f aca="false">IF(H_Direct=1,IF(ALM65&lt;=0,0,IF(CM66&lt;=0,MIN(MAX(0,AB66-SUM(PR66:QL66)),ALM65),MIN(MAX(0,AB66-SUM(PR66:QL66)),ALM65-G66*MAX(0,CM66*ALM65-(XL66+AAY66))))),MIN(FZ66,MAX(0,AB66-SUM(PR66:QL66))))</f>
        <v>0</v>
      </c>
      <c r="QN66" s="20" t="n">
        <f aca="false">IF(H_Direct=1,IF(ALN65&lt;=0,0,IF(CN66&lt;=0,MIN(MAX(0,AB66-SUM(PR66:QM66)),ALN65),MIN(MAX(0,AB66-SUM(PR66:QM66)),ALN65-G66*MAX(0,CN66*ALN65-(XM66+AAZ66))))),MIN(GA66,MAX(0,AB66-SUM(PR66:QM66))))</f>
        <v>0</v>
      </c>
      <c r="QO66" s="20" t="n">
        <f aca="false">IF(H_Direct=1,IF(ALO65&lt;=0,0,IF(CO66&lt;=0,MIN(MAX(0,AB66-SUM(PR66:QN66)),ALO65),MIN(MAX(0,AB66-SUM(PR66:QN66)),ALO65-G66*MAX(0,CO66*ALO65-(XN66+ABA66))))),MIN(GB66,MAX(0,AB66-SUM(PR66:QN66))))</f>
        <v>0</v>
      </c>
      <c r="QP66" s="20" t="n">
        <f aca="false">IF(H_Direct=1,IF(ALP65&lt;=0,0,IF(CP66&lt;=0,MIN(MAX(0,AB66-SUM(PR66:QO66)),ALP65),MIN(MAX(0,AB66-SUM(PR66:QO66)),ALP65-G66*MAX(0,CP66*ALP65-(XO66+ABB66))))),MIN(GC66,MAX(0,AB66-SUM(PR66:QO66))))</f>
        <v>0</v>
      </c>
      <c r="QQ66" s="20" t="n">
        <f aca="false">IF(H_Direct=1,IF(ALQ65&lt;=0,0,IF(CQ66&lt;=0,MIN(MAX(0,AB66-SUM(PR66:QP66)),ALQ65),MIN(MAX(0,AB66-SUM(PR66:QP66)),ALQ65-G66*MAX(0,CQ66*ALQ65-(XP66+ABC66))))),MIN(GD66,MAX(0,AB66-SUM(PR66:QP66))))</f>
        <v>0</v>
      </c>
      <c r="QR66" s="20" t="n">
        <f aca="false">IF(H_Direct=1,IF(ALR65&lt;=0,0,IF(CR66&lt;=0,MIN(MAX(0,AB66-SUM(PR66:QQ66)),ALR65),MIN(MAX(0,AB66-SUM(PR66:QQ66)),ALR65-G66*MAX(0,CR66*ALR65-(XQ66+ABD66))))),MIN(GE66,MAX(0,AB66-SUM(PR66:QQ66))))</f>
        <v>0</v>
      </c>
      <c r="QS66" s="20" t="n">
        <f aca="false">IF(H_Direct=1,IF(ALS65&lt;=0,0,IF(CS66&lt;=0,MIN(MAX(0,AB66-SUM(PR66:QR66)),ALS65),MIN(MAX(0,AB66-SUM(PR66:QR66)),ALS65-G66*MAX(0,CS66*ALS65-(XR66+ABE66))))),MIN(GF66,MAX(0,AB66-SUM(PR66:QR66))))</f>
        <v>0</v>
      </c>
      <c r="QT66" s="20" t="n">
        <f aca="false">IF(H_Direct=1,IF(ALT65&lt;=0,0,IF(CT66&lt;=0,MIN(MAX(0,AB66-SUM(PR66:QS66)),ALT65),MIN(MAX(0,AB66-SUM(PR66:QS66)),ALT65-G66*MAX(0,CT66*ALT65-(XS66+ABF66))))),MIN(GG66,MAX(0,AB66-SUM(PR66:QS66))))</f>
        <v>0</v>
      </c>
      <c r="QU66" s="20" t="n">
        <f aca="false">IF(H_Direct=1,IF(ALU65&lt;=0,0,IF(CU66&lt;=0,MIN(MAX(0,AB66-SUM(PR66:QT66)),ALU65),MIN(MAX(0,AB66-SUM(PR66:QT66)),ALU65-G66*MAX(0,CU66*ALU65-(XT66+ABG66))))),MIN(GH66,MAX(0,AB66-SUM(PR66:QT66))))</f>
        <v>0</v>
      </c>
      <c r="QV66" s="20" t="n">
        <f aca="false">IF(H_Direct=1,IF(ALV65&lt;=0,0,IF(CV66&lt;=0,MIN(MAX(0,AB66-SUM(PR66:QU66)),ALV65),MIN(MAX(0,AB66-SUM(PR66:QU66)),ALV65-G66*MAX(0,CV66*ALV65-(XU66+ABH66))))),MIN(GI66,MAX(0,AB66-SUM(PR66:QU66))))</f>
        <v>0</v>
      </c>
      <c r="QW66" s="20" t="n">
        <f aca="false">IF(H_Direct=1,IF(ALW65&lt;=0,0,IF(CW66&lt;=0,MIN(MAX(0,AB66-SUM(PR66:QV66)),ALW65),MIN(MAX(0,AB66-SUM(PR66:QV66)),ALW65-G66*MAX(0,CW66*ALW65-(XV66+ABI66))))),MIN(GJ66,MAX(0,AB66-SUM(PR66:QV66))))</f>
        <v>0</v>
      </c>
      <c r="QX66" s="20" t="n">
        <f aca="false">IF(H_Direct=1,IF(ALX65&lt;=0,0,IF(CX66&lt;=0,MIN(MAX(0,AB66-SUM(PR66:QW66)),ALX65),MIN(MAX(0,AB66-SUM(PR66:QW66)),ALX65-G66*MAX(0,CX66*ALX65-(XW66+ABJ66))))),MIN(GK66,MAX(0,AB66-SUM(PR66:QW66))))</f>
        <v>0</v>
      </c>
      <c r="QY66" s="20" t="n">
        <f aca="false">IF(H_Direct=1,IF(ALY65&lt;=0,0,IF(CY66&lt;=0,MIN(MAX(0,AB66-SUM(PR66:QX66)),ALY65),MIN(MAX(0,AB66-SUM(PR66:QX66)),ALY65-G66*MAX(0,CY66*ALY65-(XX66+ABK66))))),MIN(GL66,MAX(0,AB66-SUM(PR66:QX66))))</f>
        <v>0</v>
      </c>
      <c r="QZ66" s="20" t="n">
        <f aca="false">IF(H_Direct=1,IF(ALZ65&lt;=0,0,IF(CZ66&lt;=0,MIN(MAX(0,AB66-SUM(PR66:QY66)),ALZ65),MIN(MAX(0,AB66-SUM(PR66:QY66)),ALZ65-G66*MAX(0,CZ66*ALZ65-(XY66+ABL66))))),MIN(GM66,MAX(0,AB66-SUM(PR66:QY66))))</f>
        <v>0</v>
      </c>
      <c r="RA66" s="20" t="n">
        <f aca="false">IF(H_Direct=1,IF(AMA65&lt;=0,0,IF(DA66&lt;=0,MIN(MAX(0,AB66-SUM(PR66:QZ66)),AMA65),MIN(MAX(0,AB66-SUM(PR66:QZ66)),AMA65-G66*MAX(0,DA66*AMA65-(XZ66+ABM66))))),MIN(GN66,MAX(0,AB66-SUM(PR66:QZ66))))</f>
        <v>0</v>
      </c>
      <c r="RB66" s="20" t="n">
        <f aca="false">IF(H_Direct=1,IF(AMB65&lt;=0,0,IF(DB66&lt;=0,MIN(MAX(0,AB66-SUM(PR66:RA66)),AMB65),MIN(MAX(0,AB66-SUM(PR66:RA66)),AMB65-G66*MAX(0,DB66*AMB65-(YA66+ABN66))))),MIN(GO66,MAX(0,AB66-SUM(PR66:RA66))))</f>
        <v>0</v>
      </c>
      <c r="RC66" s="20" t="n">
        <f aca="false">IF(H_Direct=1,IF(AMC65&lt;=0,0,IF(DC66&lt;=0,MIN(MAX(0,AB66-SUM(PR66:RB66)),AMC65),MIN(MAX(0,AB66-SUM(PR66:RB66)),AMC65-G66*MAX(0,DC66*AMC65-(YB66+ABO66))))),MIN(GP66,MAX(0,AB66-SUM(PR66:RB66))))</f>
        <v>0</v>
      </c>
      <c r="RD66" s="20" t="n">
        <f aca="false">IF(H_Direct=1,IF(AMD65&lt;=0,0,IF(DD66&lt;=0,MIN(MAX(0,AB66-SUM(PR66:RC66)),AMD65),MIN(MAX(0,AB66-SUM(PR66:RC66)),AMD65-G66*MAX(0,DD66*AMD65-(YC66+ABP66))))),MIN(GQ66,MAX(0,AB66-SUM(PR66:RC66))))</f>
        <v>0</v>
      </c>
      <c r="RE66" s="20" t="n">
        <f aca="false">IF(H_Direct=1,IF(AME65&lt;=0,0,IF(DE66&lt;=0,MIN(MAX(0,AB66-SUM(PR66:RD66)),AME65),MIN(MAX(0,AB66-SUM(PR66:RD66)),AME65-G66*MAX(0,DE66*AME65-(YD66+ABQ66))))),MIN(GR66,MAX(0,AB66-SUM(PR66:RD66))))</f>
        <v>0</v>
      </c>
      <c r="RF66" s="20" t="n">
        <f aca="false">IF(H_Direct=1,IF(AMF65&lt;=0,0,IF(DF66&lt;=0,MIN(MAX(0,AB66-SUM(PR66:RE66)),AMF65),MIN(MAX(0,AB66-SUM(PR66:RE66)),AMF65-G66*MAX(0,DF66*AMF65-(YE66+ABR66))))),MIN(GS66,MAX(0,AB66-SUM(PR66:RE66))))</f>
        <v>0</v>
      </c>
      <c r="RG66" s="20" t="n">
        <f aca="false">IF(H_Direct=1,IF(AMG65&lt;=0,0,IF(DG66&lt;=0,MIN(MAX(0,AB66-SUM(PR66:RF66)),AMG65),MIN(MAX(0,AB66-SUM(PR66:RF66)),AMG65-G66*MAX(0,DG66*AMG65-(YF66+ABS66))))),MIN(GT66,MAX(0,AB66-SUM(PR66:RF66))))</f>
        <v>0</v>
      </c>
      <c r="RH66" s="20" t="n">
        <f aca="false">IF(H_Direct=1,IF(AMH65&lt;=0,0,IF(DH66&lt;=0,MIN(MAX(0,AB66-SUM(PR66:RG66)),AMH65),MIN(MAX(0,AB66-SUM(PR66:RG66)),AMH65-G66*MAX(0,DH66*AMH65-(YG66+ABT66))))),MIN(GU66,MAX(0,AB66-SUM(PR66:RG66))))</f>
        <v>0</v>
      </c>
      <c r="RI66" s="20" t="n">
        <f aca="false">IF(H_Direct=1,IF(AMI65&lt;=0,0,IF(DI66&lt;=0,MIN(MAX(0,AB66-SUM(PR66:RH66)),AMI65),MIN(MAX(0,AB66-SUM(PR66:RH66)),AMI65-G66*MAX(0,DI66*AMI65-(YH66+ABU66))))),MIN(GV66,MAX(0,AB66-SUM(PR66:RH66))))</f>
        <v>0</v>
      </c>
      <c r="RJ66" s="20" t="n">
        <f aca="false">IF(H_Direct=1,IF(AMJ65&lt;=0,0,IF(DJ66&lt;=0,MIN(MAX(0,AB66-SUM(PR66:RI66)),AMJ65),MIN(MAX(0,AB66-SUM(PR66:RI66)),AMJ65-G66*MAX(0,DJ66*AMJ65-(YI66+ABV66))))),MIN(GW66,MAX(0,AB66-SUM(PR66:RI66))))</f>
        <v>0</v>
      </c>
      <c r="RK66" s="20" t="n">
        <f aca="false">IF(H_Direct=1,IF(AMK65&lt;=0,0,IF(DK66&lt;=0,MIN(MAX(0,AB66-SUM(PR66:RJ66)),AMK65),MIN(MAX(0,AB66-SUM(PR66:RJ66)),AMK65-G66*MAX(0,DK66*AMK65-(YJ66+ABW66))))),MIN(GX66,MAX(0,AB66-SUM(PR66:RJ66))))</f>
        <v>0</v>
      </c>
      <c r="RL66" s="20" t="n">
        <f aca="false">IF(H_Direct=1,IF(AML65&lt;=0,0,IF(DL66&lt;=0,MIN(MAX(0,AB66-SUM(PR66:RK66)),AML65),MIN(MAX(0,AB66-SUM(PR66:RK66)),AML65-G66*MAX(0,DL66*AML65-(YK66+ABX66))))),MIN(GY66,MAX(0,AB66-SUM(PR66:RK66))))</f>
        <v>0</v>
      </c>
      <c r="RM66" s="20" t="n">
        <f aca="false">IF(H_Direct=1,IF(AMM65&lt;=0,0,IF(DM66&lt;=0,MIN(MAX(0,AB66-SUM(PR66:RL66)),AMM65),MIN(MAX(0,AB66-SUM(PR66:RL66)),AMM65-G66*MAX(0,DM66*AMM65-(YL66+ABY66))))),MIN(GZ66,MAX(0,AB66-SUM(PR66:RL66))))</f>
        <v>0</v>
      </c>
      <c r="RN66" s="20" t="n">
        <f aca="false">IF(H_Direct=1,IF(AMN65&lt;=0,0,IF(DN66&lt;=0,MIN(MAX(0,AB66-SUM(PR66:RM66)),AMN65),MIN(MAX(0,AB66-SUM(PR66:RM66)),AMN65-G66*MAX(0,DN66*AMN65-(YM66+ABZ66))))),MIN(HA66,MAX(0,AB66-SUM(PR66:RM66))))</f>
        <v>0</v>
      </c>
      <c r="RO66" s="20" t="n">
        <f aca="false">IF(H_Direct=1,IF(AMO65&lt;=0,0,IF(DO66&lt;=0,MIN(MAX(0,AB66-SUM(PR66:RN66)),AMO65),MIN(MAX(0,AB66-SUM(PR66:RN66)),AMO65-G66*MAX(0,DO66*AMO65-(YN66+ACA66))))),MIN(HB66,MAX(0,AB66-SUM(PR66:RN66))))</f>
        <v>0</v>
      </c>
      <c r="RP66" s="20" t="n">
        <f aca="false">IF(H_Direct=1,IF(AMP65&lt;=0,0,IF(DP66&lt;=0,MIN(MAX(0,AB66-SUM(PR66:RO66)),AMP65),MIN(MAX(0,AB66-SUM(PR66:RO66)),AMP65-G66*MAX(0,DP66*AMP65-(YO66+ACB66))))),MIN(HC66,MAX(0,AB66-SUM(PR66:RO66))))</f>
        <v>0</v>
      </c>
      <c r="RQ66" s="20" t="n">
        <f aca="false">IF(H_Direct=1,IF(AMQ65&lt;=0,0,IF(DQ66&lt;=0,MIN(MAX(0,AB66-SUM(PR66:RP66)),AMQ65),MIN(MAX(0,AB66-SUM(PR66:RP66)),AMQ65-G66*MAX(0,DQ66*AMQ65-(YP66+ACC66))))),MIN(HD66,MAX(0,AB66-SUM(PR66:RP66))))</f>
        <v>0</v>
      </c>
      <c r="RR66" s="20" t="n">
        <f aca="false">IF(H_Direct=1,IF(AMR65&lt;=0,0,IF(DR66&lt;=0,MIN(MAX(0,AB66-SUM(PR66:RQ66)),AMR65),MIN(MAX(0,AB66-SUM(PR66:RQ66)),AMR65-G66*MAX(0,DR66*AMR65-(YQ66+ACD66))))),MIN(HE66,MAX(0,AB66-SUM(PR66:RQ66))))</f>
        <v>0</v>
      </c>
      <c r="RS66" s="20" t="n">
        <f aca="false">IF(H_Direct=1,IF(AMS65&lt;=0,0,IF(DS66&lt;=0,MIN(MAX(0,AB66-SUM(PR66:RR66)),AMS65),MIN(MAX(0,AB66-SUM(PR66:RR66)),AMS65-G66*MAX(0,DS66*AMS65-(YR66+ACE66))))),MIN(HF66,MAX(0,AB66-SUM(PR66:RR66))))</f>
        <v>0</v>
      </c>
      <c r="RT66" s="20" t="n">
        <f aca="false">IF(H_Direct=1,IF(AMT65&lt;=0,0,IF(DT66&lt;=0,MIN(MAX(0,AB66-SUM(PR66:RS66)),AMT65),MIN(MAX(0,AB66-SUM(PR66:RS66)),AMT65-G66*MAX(0,DT66*AMT65-(YS66+ACF66))))),MIN(HG66,MAX(0,AB66-SUM(PR66:RS66))))</f>
        <v>0</v>
      </c>
      <c r="RU66" s="20" t="n">
        <f aca="false">IF(H_Direct=1,IF(AMU65&lt;=0,0,IF(DU66&lt;=0,MIN(MAX(0,AB66-SUM(PR66:RT66)),AMU65),MIN(MAX(0,AB66-SUM(PR66:RT66)),AMU65-G66*MAX(0,DU66*AMU65-(YT66+ACG66))))),MIN(HH66,MAX(0,AB66-SUM(PR66:RT66))))</f>
        <v>0</v>
      </c>
      <c r="RV66" s="20" t="n">
        <f aca="false">IF(H_Direct=1,IF(AMV65&lt;=0,0,IF(DV66&lt;=0,MIN(MAX(0,AB66-SUM(PR66:RU66)),AMV65),MIN(MAX(0,AB66-SUM(PR66:RU66)),AMV65-G66*MAX(0,DV66*AMV65-(YU66+ACH66))))),MIN(HI66,MAX(0,AB66-SUM(PR66:RU66))))</f>
        <v>0</v>
      </c>
      <c r="RW66" s="20" t="n">
        <f aca="false">IF(H_Direct=1,IF(AMW65&lt;=0,0,IF(DW66&lt;=0,MIN(MAX(0,AB66-SUM(PR66:RV66)),AMW65),MIN(MAX(0,AB66-SUM(PR66:RV66)),AMW65-G66*MAX(0,DW66*AMW65-(YV66+ACI66))))),MIN(HJ66,MAX(0,AB66-SUM(PR66:RV66))))</f>
        <v>0</v>
      </c>
      <c r="RX66" s="20" t="n">
        <f aca="false">IF(H_Direct=1,IF(AMX65&lt;=0,0,IF(DX66&lt;=0,MIN(MAX(0,AB66-SUM(PR66:RW66)),AMX65),MIN(MAX(0,AB66-SUM(PR66:RW66)),AMX65-G66*MAX(0,DX66*AMX65-(YW66+ACJ66))))),MIN(HK66,MAX(0,AB66-SUM(PR66:RW66))))</f>
        <v>0</v>
      </c>
      <c r="RY66" s="20" t="n">
        <f aca="false">IF(H_Direct=1,IF((P66+S66)&lt;=0,0,IF(DY66&lt;=0,MIN(MAX(0,AB66-SUM(PR66:RX66)),(P66+S66)),MIN(MAX(0,AB66-SUM(PR66:RX66)),(P66+S66)-G66*MAX(0,DY66*(P66+S66)-(YX66+ACK66))))),MIN(HL66,MAX(0,AB66-SUM(PR66:RX66))))</f>
        <v>0</v>
      </c>
      <c r="RZ66" s="20" t="n">
        <v>0</v>
      </c>
      <c r="SA66" s="20" t="n">
        <v>0</v>
      </c>
      <c r="SB66" s="20" t="n">
        <v>0</v>
      </c>
      <c r="SC66" s="20" t="n">
        <v>0</v>
      </c>
      <c r="SD66" s="20" t="n">
        <v>0</v>
      </c>
      <c r="SE66" s="20" t="n">
        <v>0</v>
      </c>
      <c r="SF66" s="20" t="n">
        <v>0</v>
      </c>
      <c r="SG66" s="20" t="n">
        <v>0</v>
      </c>
      <c r="SH66" s="20" t="n">
        <v>0</v>
      </c>
      <c r="SI66" s="20" t="n">
        <v>0</v>
      </c>
      <c r="SJ66" s="20" t="n">
        <v>0</v>
      </c>
      <c r="SK66" s="20" t="n">
        <v>0</v>
      </c>
      <c r="SL66" s="20" t="n">
        <v>0</v>
      </c>
      <c r="SM66" s="20" t="n">
        <v>0</v>
      </c>
      <c r="SN66" s="20" t="n">
        <v>0</v>
      </c>
      <c r="SO66" s="20" t="n">
        <v>0</v>
      </c>
      <c r="SP66" s="20" t="n">
        <v>0</v>
      </c>
      <c r="SQ66" s="20" t="n">
        <v>0</v>
      </c>
      <c r="SR66" s="20" t="n">
        <v>0</v>
      </c>
      <c r="SS66" s="20" t="n">
        <v>0</v>
      </c>
      <c r="ST66" s="20" t="n">
        <v>0</v>
      </c>
      <c r="SU66" s="20" t="n">
        <v>0</v>
      </c>
      <c r="SV66" s="20" t="n">
        <v>0</v>
      </c>
      <c r="SW66" s="20" t="n">
        <v>0</v>
      </c>
      <c r="SX66" s="20" t="n">
        <v>0</v>
      </c>
      <c r="SY66" s="20" t="n">
        <v>0</v>
      </c>
      <c r="SZ66" s="20" t="n">
        <v>0</v>
      </c>
      <c r="TA66" s="20" t="n">
        <v>0</v>
      </c>
      <c r="TB66" s="20" t="n">
        <v>0</v>
      </c>
      <c r="TC66" s="20" t="n">
        <v>0</v>
      </c>
      <c r="TD66" s="20" t="n">
        <v>0</v>
      </c>
      <c r="TE66" s="20" t="n">
        <f aca="false">IF(AKR65&lt;=0,0,IF(H_Direct=1,IF(BR66&lt;=0,PR66,IF(PR66&lt;=(H66+I66)/BR66,PR66,(PR66-G66*(H66+I66))/(1-G66*BR66))),PR66/(1-MAX(0,BR66)*H_Exit)))</f>
        <v>0</v>
      </c>
      <c r="TF66" s="20" t="n">
        <f aca="false">IF(AKS65&lt;=0,0,IF(H_Direct=1,IF(BS66&lt;=0,PS66,IF(PS66&lt;=(WR66+AAE66)/BS66,PS66,(PS66-G66*(WR66+AAE66))/(1-G66*BS66))),PS66/(1-MAX(0,BS66)*H_Exit)))</f>
        <v>0</v>
      </c>
      <c r="TG66" s="20" t="n">
        <f aca="false">IF(AKT65&lt;=0,0,IF(H_Direct=1,IF(BT66&lt;=0,PT66,IF(PT66&lt;=(WS66+AAF66)/BT66,PT66,(PT66-G66*(WS66+AAF66))/(1-G66*BT66))),PT66/(1-MAX(0,BT66)*H_Exit)))</f>
        <v>0</v>
      </c>
      <c r="TH66" s="20" t="n">
        <f aca="false">IF(AKU65&lt;=0,0,IF(H_Direct=1,IF(BU66&lt;=0,PU66,IF(PU66&lt;=(WT66+AAG66)/BU66,PU66,(PU66-G66*(WT66+AAG66))/(1-G66*BU66))),PU66/(1-MAX(0,BU66)*H_Exit)))</f>
        <v>0</v>
      </c>
      <c r="TI66" s="20" t="n">
        <f aca="false">IF(AKV65&lt;=0,0,IF(H_Direct=1,IF(BV66&lt;=0,PV66,IF(PV66&lt;=(WU66+AAH66)/BV66,PV66,(PV66-G66*(WU66+AAH66))/(1-G66*BV66))),PV66/(1-MAX(0,BV66)*H_Exit)))</f>
        <v>0</v>
      </c>
      <c r="TJ66" s="20" t="n">
        <f aca="false">IF(AKW65&lt;=0,0,IF(H_Direct=1,IF(BW66&lt;=0,PW66,IF(PW66&lt;=(WV66+AAI66)/BW66,PW66,(PW66-G66*(WV66+AAI66))/(1-G66*BW66))),PW66/(1-MAX(0,BW66)*H_Exit)))</f>
        <v>0</v>
      </c>
      <c r="TK66" s="20" t="n">
        <f aca="false">IF(AKX65&lt;=0,0,IF(H_Direct=1,IF(BX66&lt;=0,PX66,IF(PX66&lt;=(WW66+AAJ66)/BX66,PX66,(PX66-G66*(WW66+AAJ66))/(1-G66*BX66))),PX66/(1-MAX(0,BX66)*H_Exit)))</f>
        <v>0</v>
      </c>
      <c r="TL66" s="20" t="n">
        <f aca="false">IF(AKY65&lt;=0,0,IF(H_Direct=1,IF(BY66&lt;=0,PY66,IF(PY66&lt;=(WX66+AAK66)/BY66,PY66,(PY66-G66*(WX66+AAK66))/(1-G66*BY66))),PY66/(1-MAX(0,BY66)*H_Exit)))</f>
        <v>0</v>
      </c>
      <c r="TM66" s="20" t="n">
        <f aca="false">IF(AKZ65&lt;=0,0,IF(H_Direct=1,IF(BZ66&lt;=0,PZ66,IF(PZ66&lt;=(WY66+AAL66)/BZ66,PZ66,(PZ66-G66*(WY66+AAL66))/(1-G66*BZ66))),PZ66/(1-MAX(0,BZ66)*H_Exit)))</f>
        <v>0</v>
      </c>
      <c r="TN66" s="20" t="n">
        <f aca="false">IF(ALA65&lt;=0,0,IF(H_Direct=1,IF(CA66&lt;=0,QA66,IF(QA66&lt;=(WZ66+AAM66)/CA66,QA66,(QA66-G66*(WZ66+AAM66))/(1-G66*CA66))),QA66/(1-MAX(0,CA66)*H_Exit)))</f>
        <v>0</v>
      </c>
      <c r="TO66" s="20" t="n">
        <f aca="false">IF(ALB65&lt;=0,0,IF(H_Direct=1,IF(CB66&lt;=0,QB66,IF(QB66&lt;=(XA66+AAN66)/CB66,QB66,(QB66-G66*(XA66+AAN66))/(1-G66*CB66))),QB66/(1-MAX(0,CB66)*H_Exit)))</f>
        <v>0</v>
      </c>
      <c r="TP66" s="20" t="n">
        <f aca="false">IF(ALC65&lt;=0,0,IF(H_Direct=1,IF(CC66&lt;=0,QC66,IF(QC66&lt;=(XB66+AAO66)/CC66,QC66,(QC66-G66*(XB66+AAO66))/(1-G66*CC66))),QC66/(1-MAX(0,CC66)*H_Exit)))</f>
        <v>0</v>
      </c>
      <c r="TQ66" s="20" t="n">
        <f aca="false">IF(ALD65&lt;=0,0,IF(H_Direct=1,IF(CD66&lt;=0,QD66,IF(QD66&lt;=(XC66+AAP66)/CD66,QD66,(QD66-G66*(XC66+AAP66))/(1-G66*CD66))),QD66/(1-MAX(0,CD66)*H_Exit)))</f>
        <v>0</v>
      </c>
      <c r="TR66" s="20" t="n">
        <f aca="false">IF(ALE65&lt;=0,0,IF(H_Direct=1,IF(CE66&lt;=0,QE66,IF(QE66&lt;=(XD66+AAQ66)/CE66,QE66,(QE66-G66*(XD66+AAQ66))/(1-G66*CE66))),QE66/(1-MAX(0,CE66)*H_Exit)))</f>
        <v>0</v>
      </c>
      <c r="TS66" s="20" t="n">
        <f aca="false">IF(ALF65&lt;=0,0,IF(H_Direct=1,IF(CF66&lt;=0,QF66,IF(QF66&lt;=(XE66+AAR66)/CF66,QF66,(QF66-G66*(XE66+AAR66))/(1-G66*CF66))),QF66/(1-MAX(0,CF66)*H_Exit)))</f>
        <v>0</v>
      </c>
      <c r="TT66" s="20" t="n">
        <f aca="false">IF(ALG65&lt;=0,0,IF(H_Direct=1,IF(CG66&lt;=0,QG66,IF(QG66&lt;=(XF66+AAS66)/CG66,QG66,(QG66-G66*(XF66+AAS66))/(1-G66*CG66))),QG66/(1-MAX(0,CG66)*H_Exit)))</f>
        <v>0</v>
      </c>
      <c r="TU66" s="20" t="n">
        <f aca="false">IF(ALH65&lt;=0,0,IF(H_Direct=1,IF(CH66&lt;=0,QH66,IF(QH66&lt;=(XG66+AAT66)/CH66,QH66,(QH66-G66*(XG66+AAT66))/(1-G66*CH66))),QH66/(1-MAX(0,CH66)*H_Exit)))</f>
        <v>0</v>
      </c>
      <c r="TV66" s="20" t="n">
        <f aca="false">IF(ALI65&lt;=0,0,IF(H_Direct=1,IF(CI66&lt;=0,QI66,IF(QI66&lt;=(XH66+AAU66)/CI66,QI66,(QI66-G66*(XH66+AAU66))/(1-G66*CI66))),QI66/(1-MAX(0,CI66)*H_Exit)))</f>
        <v>0</v>
      </c>
      <c r="TW66" s="20" t="n">
        <f aca="false">IF(ALJ65&lt;=0,0,IF(H_Direct=1,IF(CJ66&lt;=0,QJ66,IF(QJ66&lt;=(XI66+AAV66)/CJ66,QJ66,(QJ66-G66*(XI66+AAV66))/(1-G66*CJ66))),QJ66/(1-MAX(0,CJ66)*H_Exit)))</f>
        <v>0</v>
      </c>
      <c r="TX66" s="20" t="n">
        <f aca="false">IF(ALK65&lt;=0,0,IF(H_Direct=1,IF(CK66&lt;=0,QK66,IF(QK66&lt;=(XJ66+AAW66)/CK66,QK66,(QK66-G66*(XJ66+AAW66))/(1-G66*CK66))),QK66/(1-MAX(0,CK66)*H_Exit)))</f>
        <v>0</v>
      </c>
      <c r="TY66" s="20" t="n">
        <f aca="false">IF(ALL65&lt;=0,0,IF(H_Direct=1,IF(CL66&lt;=0,QL66,IF(QL66&lt;=(XK66+AAX66)/CL66,QL66,(QL66-G66*(XK66+AAX66))/(1-G66*CL66))),QL66/(1-MAX(0,CL66)*H_Exit)))</f>
        <v>0</v>
      </c>
      <c r="TZ66" s="20" t="n">
        <f aca="false">IF(ALM65&lt;=0,0,IF(H_Direct=1,IF(CM66&lt;=0,QM66,IF(QM66&lt;=(XL66+AAY66)/CM66,QM66,(QM66-G66*(XL66+AAY66))/(1-G66*CM66))),QM66/(1-MAX(0,CM66)*H_Exit)))</f>
        <v>0</v>
      </c>
      <c r="UA66" s="20" t="n">
        <f aca="false">IF(ALN65&lt;=0,0,IF(H_Direct=1,IF(CN66&lt;=0,QN66,IF(QN66&lt;=(XM66+AAZ66)/CN66,QN66,(QN66-G66*(XM66+AAZ66))/(1-G66*CN66))),QN66/(1-MAX(0,CN66)*H_Exit)))</f>
        <v>0</v>
      </c>
      <c r="UB66" s="20" t="n">
        <f aca="false">IF(ALO65&lt;=0,0,IF(H_Direct=1,IF(CO66&lt;=0,QO66,IF(QO66&lt;=(XN66+ABA66)/CO66,QO66,(QO66-G66*(XN66+ABA66))/(1-G66*CO66))),QO66/(1-MAX(0,CO66)*H_Exit)))</f>
        <v>0</v>
      </c>
      <c r="UC66" s="20" t="n">
        <f aca="false">IF(ALP65&lt;=0,0,IF(H_Direct=1,IF(CP66&lt;=0,QP66,IF(QP66&lt;=(XO66+ABB66)/CP66,QP66,(QP66-G66*(XO66+ABB66))/(1-G66*CP66))),QP66/(1-MAX(0,CP66)*H_Exit)))</f>
        <v>0</v>
      </c>
      <c r="UD66" s="20" t="n">
        <f aca="false">IF(ALQ65&lt;=0,0,IF(H_Direct=1,IF(CQ66&lt;=0,QQ66,IF(QQ66&lt;=(XP66+ABC66)/CQ66,QQ66,(QQ66-G66*(XP66+ABC66))/(1-G66*CQ66))),QQ66/(1-MAX(0,CQ66)*H_Exit)))</f>
        <v>0</v>
      </c>
      <c r="UE66" s="20" t="n">
        <f aca="false">IF(ALR65&lt;=0,0,IF(H_Direct=1,IF(CR66&lt;=0,QR66,IF(QR66&lt;=(XQ66+ABD66)/CR66,QR66,(QR66-G66*(XQ66+ABD66))/(1-G66*CR66))),QR66/(1-MAX(0,CR66)*H_Exit)))</f>
        <v>0</v>
      </c>
      <c r="UF66" s="20" t="n">
        <f aca="false">IF(ALS65&lt;=0,0,IF(H_Direct=1,IF(CS66&lt;=0,QS66,IF(QS66&lt;=(XR66+ABE66)/CS66,QS66,(QS66-G66*(XR66+ABE66))/(1-G66*CS66))),QS66/(1-MAX(0,CS66)*H_Exit)))</f>
        <v>0</v>
      </c>
      <c r="UG66" s="20" t="n">
        <f aca="false">IF(ALT65&lt;=0,0,IF(H_Direct=1,IF(CT66&lt;=0,QT66,IF(QT66&lt;=(XS66+ABF66)/CT66,QT66,(QT66-G66*(XS66+ABF66))/(1-G66*CT66))),QT66/(1-MAX(0,CT66)*H_Exit)))</f>
        <v>0</v>
      </c>
      <c r="UH66" s="20" t="n">
        <f aca="false">IF(ALU65&lt;=0,0,IF(H_Direct=1,IF(CU66&lt;=0,QU66,IF(QU66&lt;=(XT66+ABG66)/CU66,QU66,(QU66-G66*(XT66+ABG66))/(1-G66*CU66))),QU66/(1-MAX(0,CU66)*H_Exit)))</f>
        <v>0</v>
      </c>
      <c r="UI66" s="20" t="n">
        <f aca="false">IF(ALV65&lt;=0,0,IF(H_Direct=1,IF(CV66&lt;=0,QV66,IF(QV66&lt;=(XU66+ABH66)/CV66,QV66,(QV66-G66*(XU66+ABH66))/(1-G66*CV66))),QV66/(1-MAX(0,CV66)*H_Exit)))</f>
        <v>0</v>
      </c>
      <c r="UJ66" s="20" t="n">
        <f aca="false">IF(ALW65&lt;=0,0,IF(H_Direct=1,IF(CW66&lt;=0,QW66,IF(QW66&lt;=(XV66+ABI66)/CW66,QW66,(QW66-G66*(XV66+ABI66))/(1-G66*CW66))),QW66/(1-MAX(0,CW66)*H_Exit)))</f>
        <v>0</v>
      </c>
      <c r="UK66" s="20" t="n">
        <f aca="false">IF(ALX65&lt;=0,0,IF(H_Direct=1,IF(CX66&lt;=0,QX66,IF(QX66&lt;=(XW66+ABJ66)/CX66,QX66,(QX66-G66*(XW66+ABJ66))/(1-G66*CX66))),QX66/(1-MAX(0,CX66)*H_Exit)))</f>
        <v>0</v>
      </c>
      <c r="UL66" s="20" t="n">
        <f aca="false">IF(ALY65&lt;=0,0,IF(H_Direct=1,IF(CY66&lt;=0,QY66,IF(QY66&lt;=(XX66+ABK66)/CY66,QY66,(QY66-G66*(XX66+ABK66))/(1-G66*CY66))),QY66/(1-MAX(0,CY66)*H_Exit)))</f>
        <v>0</v>
      </c>
      <c r="UM66" s="20" t="n">
        <f aca="false">IF(ALZ65&lt;=0,0,IF(H_Direct=1,IF(CZ66&lt;=0,QZ66,IF(QZ66&lt;=(XY66+ABL66)/CZ66,QZ66,(QZ66-G66*(XY66+ABL66))/(1-G66*CZ66))),QZ66/(1-MAX(0,CZ66)*H_Exit)))</f>
        <v>0</v>
      </c>
      <c r="UN66" s="20" t="n">
        <f aca="false">IF(AMA65&lt;=0,0,IF(H_Direct=1,IF(DA66&lt;=0,RA66,IF(RA66&lt;=(XZ66+ABM66)/DA66,RA66,(RA66-G66*(XZ66+ABM66))/(1-G66*DA66))),RA66/(1-MAX(0,DA66)*H_Exit)))</f>
        <v>0</v>
      </c>
      <c r="UO66" s="20" t="n">
        <f aca="false">IF(AMB65&lt;=0,0,IF(H_Direct=1,IF(DB66&lt;=0,RB66,IF(RB66&lt;=(YA66+ABN66)/DB66,RB66,(RB66-G66*(YA66+ABN66))/(1-G66*DB66))),RB66/(1-MAX(0,DB66)*H_Exit)))</f>
        <v>0</v>
      </c>
      <c r="UP66" s="20" t="n">
        <f aca="false">IF(AMC65&lt;=0,0,IF(H_Direct=1,IF(DC66&lt;=0,RC66,IF(RC66&lt;=(YB66+ABO66)/DC66,RC66,(RC66-G66*(YB66+ABO66))/(1-G66*DC66))),RC66/(1-MAX(0,DC66)*H_Exit)))</f>
        <v>0</v>
      </c>
      <c r="UQ66" s="20" t="n">
        <f aca="false">IF(AMD65&lt;=0,0,IF(H_Direct=1,IF(DD66&lt;=0,RD66,IF(RD66&lt;=(YC66+ABP66)/DD66,RD66,(RD66-G66*(YC66+ABP66))/(1-G66*DD66))),RD66/(1-MAX(0,DD66)*H_Exit)))</f>
        <v>0</v>
      </c>
      <c r="UR66" s="20" t="n">
        <f aca="false">IF(AME65&lt;=0,0,IF(H_Direct=1,IF(DE66&lt;=0,RE66,IF(RE66&lt;=(YD66+ABQ66)/DE66,RE66,(RE66-G66*(YD66+ABQ66))/(1-G66*DE66))),RE66/(1-MAX(0,DE66)*H_Exit)))</f>
        <v>0</v>
      </c>
      <c r="US66" s="20" t="n">
        <f aca="false">IF(AMF65&lt;=0,0,IF(H_Direct=1,IF(DF66&lt;=0,RF66,IF(RF66&lt;=(YE66+ABR66)/DF66,RF66,(RF66-G66*(YE66+ABR66))/(1-G66*DF66))),RF66/(1-MAX(0,DF66)*H_Exit)))</f>
        <v>0</v>
      </c>
      <c r="UT66" s="20" t="n">
        <f aca="false">IF(AMG65&lt;=0,0,IF(H_Direct=1,IF(DG66&lt;=0,RG66,IF(RG66&lt;=(YF66+ABS66)/DG66,RG66,(RG66-G66*(YF66+ABS66))/(1-G66*DG66))),RG66/(1-MAX(0,DG66)*H_Exit)))</f>
        <v>0</v>
      </c>
      <c r="UU66" s="20" t="n">
        <f aca="false">IF(AMH65&lt;=0,0,IF(H_Direct=1,IF(DH66&lt;=0,RH66,IF(RH66&lt;=(YG66+ABT66)/DH66,RH66,(RH66-G66*(YG66+ABT66))/(1-G66*DH66))),RH66/(1-MAX(0,DH66)*H_Exit)))</f>
        <v>0</v>
      </c>
      <c r="UV66" s="20" t="n">
        <f aca="false">IF(AMI65&lt;=0,0,IF(H_Direct=1,IF(DI66&lt;=0,RI66,IF(RI66&lt;=(YH66+ABU66)/DI66,RI66,(RI66-G66*(YH66+ABU66))/(1-G66*DI66))),RI66/(1-MAX(0,DI66)*H_Exit)))</f>
        <v>0</v>
      </c>
      <c r="UW66" s="20" t="n">
        <f aca="false">IF(AMJ65&lt;=0,0,IF(H_Direct=1,IF(DJ66&lt;=0,RJ66,IF(RJ66&lt;=(YI66+ABV66)/DJ66,RJ66,(RJ66-G66*(YI66+ABV66))/(1-G66*DJ66))),RJ66/(1-MAX(0,DJ66)*H_Exit)))</f>
        <v>0</v>
      </c>
      <c r="UX66" s="20" t="n">
        <f aca="false">IF(AMK65&lt;=0,0,IF(H_Direct=1,IF(DK66&lt;=0,RK66,IF(RK66&lt;=(YJ66+ABW66)/DK66,RK66,(RK66-G66*(YJ66+ABW66))/(1-G66*DK66))),RK66/(1-MAX(0,DK66)*H_Exit)))</f>
        <v>0</v>
      </c>
      <c r="UY66" s="20" t="n">
        <f aca="false">IF(AML65&lt;=0,0,IF(H_Direct=1,IF(DL66&lt;=0,RL66,IF(RL66&lt;=(YK66+ABX66)/DL66,RL66,(RL66-G66*(YK66+ABX66))/(1-G66*DL66))),RL66/(1-MAX(0,DL66)*H_Exit)))</f>
        <v>0</v>
      </c>
      <c r="UZ66" s="20" t="n">
        <f aca="false">IF(AMM65&lt;=0,0,IF(H_Direct=1,IF(DM66&lt;=0,RM66,IF(RM66&lt;=(YL66+ABY66)/DM66,RM66,(RM66-G66*(YL66+ABY66))/(1-G66*DM66))),RM66/(1-MAX(0,DM66)*H_Exit)))</f>
        <v>0</v>
      </c>
      <c r="VA66" s="20" t="n">
        <f aca="false">IF(AMN65&lt;=0,0,IF(H_Direct=1,IF(DN66&lt;=0,RN66,IF(RN66&lt;=(YM66+ABZ66)/DN66,RN66,(RN66-G66*(YM66+ABZ66))/(1-G66*DN66))),RN66/(1-MAX(0,DN66)*H_Exit)))</f>
        <v>0</v>
      </c>
      <c r="VB66" s="20" t="n">
        <f aca="false">IF(AMO65&lt;=0,0,IF(H_Direct=1,IF(DO66&lt;=0,RO66,IF(RO66&lt;=(YN66+ACA66)/DO66,RO66,(RO66-G66*(YN66+ACA66))/(1-G66*DO66))),RO66/(1-MAX(0,DO66)*H_Exit)))</f>
        <v>0</v>
      </c>
      <c r="VC66" s="20" t="n">
        <f aca="false">IF(AMP65&lt;=0,0,IF(H_Direct=1,IF(DP66&lt;=0,RP66,IF(RP66&lt;=(YO66+ACB66)/DP66,RP66,(RP66-G66*(YO66+ACB66))/(1-G66*DP66))),RP66/(1-MAX(0,DP66)*H_Exit)))</f>
        <v>0</v>
      </c>
      <c r="VD66" s="20" t="n">
        <f aca="false">IF(AMQ65&lt;=0,0,IF(H_Direct=1,IF(DQ66&lt;=0,RQ66,IF(RQ66&lt;=(YP66+ACC66)/DQ66,RQ66,(RQ66-G66*(YP66+ACC66))/(1-G66*DQ66))),RQ66/(1-MAX(0,DQ66)*H_Exit)))</f>
        <v>0</v>
      </c>
      <c r="VE66" s="20" t="n">
        <f aca="false">IF(AMR65&lt;=0,0,IF(H_Direct=1,IF(DR66&lt;=0,RR66,IF(RR66&lt;=(YQ66+ACD66)/DR66,RR66,(RR66-G66*(YQ66+ACD66))/(1-G66*DR66))),RR66/(1-MAX(0,DR66)*H_Exit)))</f>
        <v>0</v>
      </c>
      <c r="VF66" s="20" t="n">
        <f aca="false">IF(AMS65&lt;=0,0,IF(H_Direct=1,IF(DS66&lt;=0,RS66,IF(RS66&lt;=(YR66+ACE66)/DS66,RS66,(RS66-G66*(YR66+ACE66))/(1-G66*DS66))),RS66/(1-MAX(0,DS66)*H_Exit)))</f>
        <v>0</v>
      </c>
      <c r="VG66" s="20" t="n">
        <f aca="false">IF(AMT65&lt;=0,0,IF(H_Direct=1,IF(DT66&lt;=0,RT66,IF(RT66&lt;=(YS66+ACF66)/DT66,RT66,(RT66-G66*(YS66+ACF66))/(1-G66*DT66))),RT66/(1-MAX(0,DT66)*H_Exit)))</f>
        <v>0</v>
      </c>
      <c r="VH66" s="20" t="n">
        <f aca="false">IF(AMU65&lt;=0,0,IF(H_Direct=1,IF(DU66&lt;=0,RU66,IF(RU66&lt;=(YT66+ACG66)/DU66,RU66,(RU66-G66*(YT66+ACG66))/(1-G66*DU66))),RU66/(1-MAX(0,DU66)*H_Exit)))</f>
        <v>0</v>
      </c>
      <c r="VI66" s="20" t="n">
        <f aca="false">IF(AMV65&lt;=0,0,IF(H_Direct=1,IF(DV66&lt;=0,RV66,IF(RV66&lt;=(YU66+ACH66)/DV66,RV66,(RV66-G66*(YU66+ACH66))/(1-G66*DV66))),RV66/(1-MAX(0,DV66)*H_Exit)))</f>
        <v>0</v>
      </c>
      <c r="VJ66" s="20" t="n">
        <f aca="false">IF(AMW65&lt;=0,0,IF(H_Direct=1,IF(DW66&lt;=0,RW66,IF(RW66&lt;=(YV66+ACI66)/DW66,RW66,(RW66-G66*(YV66+ACI66))/(1-G66*DW66))),RW66/(1-MAX(0,DW66)*H_Exit)))</f>
        <v>0</v>
      </c>
      <c r="VK66" s="20" t="n">
        <f aca="false">IF(AMX65&lt;=0,0,IF(H_Direct=1,IF(DX66&lt;=0,RX66,IF(RX66&lt;=(YW66+ACJ66)/DX66,RX66,(RX66-G66*(YW66+ACJ66))/(1-G66*DX66))),RX66/(1-MAX(0,DX66)*H_Exit)))</f>
        <v>0</v>
      </c>
      <c r="VL66" s="20" t="n">
        <f aca="false">IF((P66+S66)&lt;=0,0,IF(H_Direct=1,IF(DY66&lt;=0,RY66,IF(RY66&lt;=(YX66+ACK66)/DY66,RY66,(RY66-G66*(YX66+ACK66))/(1-G66*DY66))),RY66/(1-MAX(0,DY66)*H_Exit)))</f>
        <v>0</v>
      </c>
      <c r="VM66" s="20" t="n">
        <v>0</v>
      </c>
      <c r="VN66" s="20" t="n">
        <v>0</v>
      </c>
      <c r="VO66" s="20" t="n">
        <v>0</v>
      </c>
      <c r="VP66" s="20" t="n">
        <v>0</v>
      </c>
      <c r="VQ66" s="20" t="n">
        <v>0</v>
      </c>
      <c r="VR66" s="20" t="n">
        <v>0</v>
      </c>
      <c r="VS66" s="20" t="n">
        <v>0</v>
      </c>
      <c r="VT66" s="20" t="n">
        <v>0</v>
      </c>
      <c r="VU66" s="20" t="n">
        <v>0</v>
      </c>
      <c r="VV66" s="20" t="n">
        <v>0</v>
      </c>
      <c r="VW66" s="20" t="n">
        <v>0</v>
      </c>
      <c r="VX66" s="20" t="n">
        <v>0</v>
      </c>
      <c r="VY66" s="20" t="n">
        <v>0</v>
      </c>
      <c r="VZ66" s="20" t="n">
        <v>0</v>
      </c>
      <c r="WA66" s="20" t="n">
        <v>0</v>
      </c>
      <c r="WB66" s="20" t="n">
        <v>0</v>
      </c>
      <c r="WC66" s="20" t="n">
        <v>0</v>
      </c>
      <c r="WD66" s="20" t="n">
        <v>0</v>
      </c>
      <c r="WE66" s="20" t="n">
        <v>0</v>
      </c>
      <c r="WF66" s="20" t="n">
        <v>0</v>
      </c>
      <c r="WG66" s="20" t="n">
        <v>0</v>
      </c>
      <c r="WH66" s="20" t="n">
        <v>0</v>
      </c>
      <c r="WI66" s="20" t="n">
        <v>0</v>
      </c>
      <c r="WJ66" s="20" t="n">
        <v>0</v>
      </c>
      <c r="WK66" s="20" t="n">
        <v>0</v>
      </c>
      <c r="WL66" s="20" t="n">
        <v>0</v>
      </c>
      <c r="WM66" s="20" t="n">
        <v>0</v>
      </c>
      <c r="WN66" s="20" t="n">
        <v>0</v>
      </c>
      <c r="WO66" s="20" t="n">
        <v>0</v>
      </c>
      <c r="WP66" s="20" t="n">
        <v>0</v>
      </c>
      <c r="WQ66" s="20" t="n">
        <v>0</v>
      </c>
      <c r="WR66" s="20" t="n">
        <f aca="false">IF(AND(H_Direct=1,BR66&gt;0),MAX(0,H66-(MIN(BR66*TE66,(H66+I66))-MIN(MIN(BR66*TE66,(H66+I66)),I66))),H66)</f>
        <v>1270</v>
      </c>
      <c r="WS66" s="20" t="n">
        <f aca="false">IF(AND(H_Direct=1,BS66&gt;0),MAX(0,WR66-(MIN(BS66*TF66,(WR66+AAE66))-MIN(MIN(BS66*TF66,(WR66+AAE66)),AAE66))),WR66)</f>
        <v>1270</v>
      </c>
      <c r="WT66" s="20" t="n">
        <f aca="false">IF(AND(H_Direct=1,BT66&gt;0),MAX(0,WS66-(MIN(BT66*TG66,(WS66+AAF66))-MIN(MIN(BT66*TG66,(WS66+AAF66)),AAF66))),WS66)</f>
        <v>1270</v>
      </c>
      <c r="WU66" s="20" t="n">
        <f aca="false">IF(AND(H_Direct=1,BU66&gt;0),MAX(0,WT66-(MIN(BU66*TH66,(WT66+AAG66))-MIN(MIN(BU66*TH66,(WT66+AAG66)),AAG66))),WT66)</f>
        <v>1270</v>
      </c>
      <c r="WV66" s="20" t="n">
        <f aca="false">IF(AND(H_Direct=1,BV66&gt;0),MAX(0,WU66-(MIN(BV66*TI66,(WU66+AAH66))-MIN(MIN(BV66*TI66,(WU66+AAH66)),AAH66))),WU66)</f>
        <v>1270</v>
      </c>
      <c r="WW66" s="20" t="n">
        <f aca="false">IF(AND(H_Direct=1,BW66&gt;0),MAX(0,WV66-(MIN(BW66*TJ66,(WV66+AAI66))-MIN(MIN(BW66*TJ66,(WV66+AAI66)),AAI66))),WV66)</f>
        <v>1270</v>
      </c>
      <c r="WX66" s="20" t="n">
        <f aca="false">IF(AND(H_Direct=1,BX66&gt;0),MAX(0,WW66-(MIN(BX66*TK66,(WW66+AAJ66))-MIN(MIN(BX66*TK66,(WW66+AAJ66)),AAJ66))),WW66)</f>
        <v>1270</v>
      </c>
      <c r="WY66" s="20" t="n">
        <f aca="false">IF(AND(H_Direct=1,BY66&gt;0),MAX(0,WX66-(MIN(BY66*TL66,(WX66+AAK66))-MIN(MIN(BY66*TL66,(WX66+AAK66)),AAK66))),WX66)</f>
        <v>1270</v>
      </c>
      <c r="WZ66" s="20" t="n">
        <f aca="false">IF(AND(H_Direct=1,BZ66&gt;0),MAX(0,WY66-(MIN(BZ66*TM66,(WY66+AAL66))-MIN(MIN(BZ66*TM66,(WY66+AAL66)),AAL66))),WY66)</f>
        <v>1270</v>
      </c>
      <c r="XA66" s="20" t="n">
        <f aca="false">IF(AND(H_Direct=1,CA66&gt;0),MAX(0,WZ66-(MIN(CA66*TN66,(WZ66+AAM66))-MIN(MIN(CA66*TN66,(WZ66+AAM66)),AAM66))),WZ66)</f>
        <v>1270</v>
      </c>
      <c r="XB66" s="20" t="n">
        <f aca="false">IF(AND(H_Direct=1,CB66&gt;0),MAX(0,XA66-(MIN(CB66*TO66,(XA66+AAN66))-MIN(MIN(CB66*TO66,(XA66+AAN66)),AAN66))),XA66)</f>
        <v>1270</v>
      </c>
      <c r="XC66" s="20" t="n">
        <f aca="false">IF(AND(H_Direct=1,CC66&gt;0),MAX(0,XB66-(MIN(CC66*TP66,(XB66+AAO66))-MIN(MIN(CC66*TP66,(XB66+AAO66)),AAO66))),XB66)</f>
        <v>1270</v>
      </c>
      <c r="XD66" s="20" t="n">
        <f aca="false">IF(AND(H_Direct=1,CD66&gt;0),MAX(0,XC66-(MIN(CD66*TQ66,(XC66+AAP66))-MIN(MIN(CD66*TQ66,(XC66+AAP66)),AAP66))),XC66)</f>
        <v>1270</v>
      </c>
      <c r="XE66" s="20" t="n">
        <f aca="false">IF(AND(H_Direct=1,CE66&gt;0),MAX(0,XD66-(MIN(CE66*TR66,(XD66+AAQ66))-MIN(MIN(CE66*TR66,(XD66+AAQ66)),AAQ66))),XD66)</f>
        <v>1270</v>
      </c>
      <c r="XF66" s="20" t="n">
        <f aca="false">IF(AND(H_Direct=1,CF66&gt;0),MAX(0,XE66-(MIN(CF66*TS66,(XE66+AAR66))-MIN(MIN(CF66*TS66,(XE66+AAR66)),AAR66))),XE66)</f>
        <v>1270</v>
      </c>
      <c r="XG66" s="20" t="n">
        <f aca="false">IF(AND(H_Direct=1,CG66&gt;0),MAX(0,XF66-(MIN(CG66*TT66,(XF66+AAS66))-MIN(MIN(CG66*TT66,(XF66+AAS66)),AAS66))),XF66)</f>
        <v>1270</v>
      </c>
      <c r="XH66" s="20" t="n">
        <f aca="false">IF(AND(H_Direct=1,CH66&gt;0),MAX(0,XG66-(MIN(CH66*TU66,(XG66+AAT66))-MIN(MIN(CH66*TU66,(XG66+AAT66)),AAT66))),XG66)</f>
        <v>1270</v>
      </c>
      <c r="XI66" s="20" t="n">
        <f aca="false">IF(AND(H_Direct=1,CI66&gt;0),MAX(0,XH66-(MIN(CI66*TV66,(XH66+AAU66))-MIN(MIN(CI66*TV66,(XH66+AAU66)),AAU66))),XH66)</f>
        <v>1270</v>
      </c>
      <c r="XJ66" s="20" t="n">
        <f aca="false">IF(AND(H_Direct=1,CJ66&gt;0),MAX(0,XI66-(MIN(CJ66*TW66,(XI66+AAV66))-MIN(MIN(CJ66*TW66,(XI66+AAV66)),AAV66))),XI66)</f>
        <v>1270</v>
      </c>
      <c r="XK66" s="20" t="n">
        <f aca="false">IF(AND(H_Direct=1,CK66&gt;0),MAX(0,XJ66-(MIN(CK66*TX66,(XJ66+AAW66))-MIN(MIN(CK66*TX66,(XJ66+AAW66)),AAW66))),XJ66)</f>
        <v>1270</v>
      </c>
      <c r="XL66" s="20" t="n">
        <f aca="false">IF(AND(H_Direct=1,CL66&gt;0),MAX(0,XK66-(MIN(CL66*TY66,(XK66+AAX66))-MIN(MIN(CL66*TY66,(XK66+AAX66)),AAX66))),XK66)</f>
        <v>1270</v>
      </c>
      <c r="XM66" s="20" t="n">
        <f aca="false">IF(AND(H_Direct=1,CM66&gt;0),MAX(0,XL66-(MIN(CM66*TZ66,(XL66+AAY66))-MIN(MIN(CM66*TZ66,(XL66+AAY66)),AAY66))),XL66)</f>
        <v>1270</v>
      </c>
      <c r="XN66" s="20" t="n">
        <f aca="false">IF(AND(H_Direct=1,CN66&gt;0),MAX(0,XM66-(MIN(CN66*UA66,(XM66+AAZ66))-MIN(MIN(CN66*UA66,(XM66+AAZ66)),AAZ66))),XM66)</f>
        <v>1270</v>
      </c>
      <c r="XO66" s="20" t="n">
        <f aca="false">IF(AND(H_Direct=1,CO66&gt;0),MAX(0,XN66-(MIN(CO66*UB66,(XN66+ABA66))-MIN(MIN(CO66*UB66,(XN66+ABA66)),ABA66))),XN66)</f>
        <v>1270</v>
      </c>
      <c r="XP66" s="20" t="n">
        <f aca="false">IF(AND(H_Direct=1,CP66&gt;0),MAX(0,XO66-(MIN(CP66*UC66,(XO66+ABB66))-MIN(MIN(CP66*UC66,(XO66+ABB66)),ABB66))),XO66)</f>
        <v>1270</v>
      </c>
      <c r="XQ66" s="20" t="n">
        <f aca="false">IF(AND(H_Direct=1,CQ66&gt;0),MAX(0,XP66-(MIN(CQ66*UD66,(XP66+ABC66))-MIN(MIN(CQ66*UD66,(XP66+ABC66)),ABC66))),XP66)</f>
        <v>1270</v>
      </c>
      <c r="XR66" s="20" t="n">
        <f aca="false">IF(AND(H_Direct=1,CR66&gt;0),MAX(0,XQ66-(MIN(CR66*UE66,(XQ66+ABD66))-MIN(MIN(CR66*UE66,(XQ66+ABD66)),ABD66))),XQ66)</f>
        <v>1270</v>
      </c>
      <c r="XS66" s="20" t="n">
        <f aca="false">IF(AND(H_Direct=1,CS66&gt;0),MAX(0,XR66-(MIN(CS66*UF66,(XR66+ABE66))-MIN(MIN(CS66*UF66,(XR66+ABE66)),ABE66))),XR66)</f>
        <v>1270</v>
      </c>
      <c r="XT66" s="20" t="n">
        <f aca="false">IF(AND(H_Direct=1,CT66&gt;0),MAX(0,XS66-(MIN(CT66*UG66,(XS66+ABF66))-MIN(MIN(CT66*UG66,(XS66+ABF66)),ABF66))),XS66)</f>
        <v>1270</v>
      </c>
      <c r="XU66" s="20" t="n">
        <f aca="false">IF(AND(H_Direct=1,CU66&gt;0),MAX(0,XT66-(MIN(CU66*UH66,(XT66+ABG66))-MIN(MIN(CU66*UH66,(XT66+ABG66)),ABG66))),XT66)</f>
        <v>1270</v>
      </c>
      <c r="XV66" s="20" t="n">
        <f aca="false">IF(AND(H_Direct=1,CV66&gt;0),MAX(0,XU66-(MIN(CV66*UI66,(XU66+ABH66))-MIN(MIN(CV66*UI66,(XU66+ABH66)),ABH66))),XU66)</f>
        <v>1270</v>
      </c>
      <c r="XW66" s="20" t="n">
        <f aca="false">IF(AND(H_Direct=1,CW66&gt;0),MAX(0,XV66-(MIN(CW66*UJ66,(XV66+ABI66))-MIN(MIN(CW66*UJ66,(XV66+ABI66)),ABI66))),XV66)</f>
        <v>1270</v>
      </c>
      <c r="XX66" s="20" t="n">
        <f aca="false">IF(AND(H_Direct=1,CX66&gt;0),MAX(0,XW66-(MIN(CX66*UK66,(XW66+ABJ66))-MIN(MIN(CX66*UK66,(XW66+ABJ66)),ABJ66))),XW66)</f>
        <v>1270</v>
      </c>
      <c r="XY66" s="20" t="n">
        <f aca="false">IF(AND(H_Direct=1,CY66&gt;0),MAX(0,XX66-(MIN(CY66*UL66,(XX66+ABK66))-MIN(MIN(CY66*UL66,(XX66+ABK66)),ABK66))),XX66)</f>
        <v>1270</v>
      </c>
      <c r="XZ66" s="20" t="n">
        <f aca="false">IF(AND(H_Direct=1,CZ66&gt;0),MAX(0,XY66-(MIN(CZ66*UM66,(XY66+ABL66))-MIN(MIN(CZ66*UM66,(XY66+ABL66)),ABL66))),XY66)</f>
        <v>1270</v>
      </c>
      <c r="YA66" s="20" t="n">
        <f aca="false">IF(AND(H_Direct=1,DA66&gt;0),MAX(0,XZ66-(MIN(DA66*UN66,(XZ66+ABM66))-MIN(MIN(DA66*UN66,(XZ66+ABM66)),ABM66))),XZ66)</f>
        <v>1270</v>
      </c>
      <c r="YB66" s="20" t="n">
        <f aca="false">IF(AND(H_Direct=1,DB66&gt;0),MAX(0,YA66-(MIN(DB66*UO66,(YA66+ABN66))-MIN(MIN(DB66*UO66,(YA66+ABN66)),ABN66))),YA66)</f>
        <v>1270</v>
      </c>
      <c r="YC66" s="20" t="n">
        <f aca="false">IF(AND(H_Direct=1,DC66&gt;0),MAX(0,YB66-(MIN(DC66*UP66,(YB66+ABO66))-MIN(MIN(DC66*UP66,(YB66+ABO66)),ABO66))),YB66)</f>
        <v>1270</v>
      </c>
      <c r="YD66" s="20" t="n">
        <f aca="false">IF(AND(H_Direct=1,DD66&gt;0),MAX(0,YC66-(MIN(DD66*UQ66,(YC66+ABP66))-MIN(MIN(DD66*UQ66,(YC66+ABP66)),ABP66))),YC66)</f>
        <v>1270</v>
      </c>
      <c r="YE66" s="20" t="n">
        <f aca="false">IF(AND(H_Direct=1,DE66&gt;0),MAX(0,YD66-(MIN(DE66*UR66,(YD66+ABQ66))-MIN(MIN(DE66*UR66,(YD66+ABQ66)),ABQ66))),YD66)</f>
        <v>1270</v>
      </c>
      <c r="YF66" s="20" t="n">
        <f aca="false">IF(AND(H_Direct=1,DF66&gt;0),MAX(0,YE66-(MIN(DF66*US66,(YE66+ABR66))-MIN(MIN(DF66*US66,(YE66+ABR66)),ABR66))),YE66)</f>
        <v>1270</v>
      </c>
      <c r="YG66" s="20" t="n">
        <f aca="false">IF(AND(H_Direct=1,DG66&gt;0),MAX(0,YF66-(MIN(DG66*UT66,(YF66+ABS66))-MIN(MIN(DG66*UT66,(YF66+ABS66)),ABS66))),YF66)</f>
        <v>1270</v>
      </c>
      <c r="YH66" s="20" t="n">
        <f aca="false">IF(AND(H_Direct=1,DH66&gt;0),MAX(0,YG66-(MIN(DH66*UU66,(YG66+ABT66))-MIN(MIN(DH66*UU66,(YG66+ABT66)),ABT66))),YG66)</f>
        <v>1270</v>
      </c>
      <c r="YI66" s="20" t="n">
        <f aca="false">IF(AND(H_Direct=1,DI66&gt;0),MAX(0,YH66-(MIN(DI66*UV66,(YH66+ABU66))-MIN(MIN(DI66*UV66,(YH66+ABU66)),ABU66))),YH66)</f>
        <v>1270</v>
      </c>
      <c r="YJ66" s="20" t="n">
        <f aca="false">IF(AND(H_Direct=1,DJ66&gt;0),MAX(0,YI66-(MIN(DJ66*UW66,(YI66+ABV66))-MIN(MIN(DJ66*UW66,(YI66+ABV66)),ABV66))),YI66)</f>
        <v>1270</v>
      </c>
      <c r="YK66" s="20" t="n">
        <f aca="false">IF(AND(H_Direct=1,DK66&gt;0),MAX(0,YJ66-(MIN(DK66*UX66,(YJ66+ABW66))-MIN(MIN(DK66*UX66,(YJ66+ABW66)),ABW66))),YJ66)</f>
        <v>1270</v>
      </c>
      <c r="YL66" s="20" t="n">
        <f aca="false">IF(AND(H_Direct=1,DL66&gt;0),MAX(0,YK66-(MIN(DL66*UY66,(YK66+ABX66))-MIN(MIN(DL66*UY66,(YK66+ABX66)),ABX66))),YK66)</f>
        <v>1270</v>
      </c>
      <c r="YM66" s="20" t="n">
        <f aca="false">IF(AND(H_Direct=1,DM66&gt;0),MAX(0,YL66-(MIN(DM66*UZ66,(YL66+ABY66))-MIN(MIN(DM66*UZ66,(YL66+ABY66)),ABY66))),YL66)</f>
        <v>1270</v>
      </c>
      <c r="YN66" s="20" t="n">
        <f aca="false">IF(AND(H_Direct=1,DN66&gt;0),MAX(0,YM66-(MIN(DN66*VA66,(YM66+ABZ66))-MIN(MIN(DN66*VA66,(YM66+ABZ66)),ABZ66))),YM66)</f>
        <v>1270</v>
      </c>
      <c r="YO66" s="20" t="n">
        <f aca="false">IF(AND(H_Direct=1,DO66&gt;0),MAX(0,YN66-(MIN(DO66*VB66,(YN66+ACA66))-MIN(MIN(DO66*VB66,(YN66+ACA66)),ACA66))),YN66)</f>
        <v>1270</v>
      </c>
      <c r="YP66" s="20" t="n">
        <f aca="false">IF(AND(H_Direct=1,DP66&gt;0),MAX(0,YO66-(MIN(DP66*VC66,(YO66+ACB66))-MIN(MIN(DP66*VC66,(YO66+ACB66)),ACB66))),YO66)</f>
        <v>1270</v>
      </c>
      <c r="YQ66" s="20" t="n">
        <f aca="false">IF(AND(H_Direct=1,DQ66&gt;0),MAX(0,YP66-(MIN(DQ66*VD66,(YP66+ACC66))-MIN(MIN(DQ66*VD66,(YP66+ACC66)),ACC66))),YP66)</f>
        <v>1270</v>
      </c>
      <c r="YR66" s="20" t="n">
        <f aca="false">IF(AND(H_Direct=1,DR66&gt;0),MAX(0,YQ66-(MIN(DR66*VE66,(YQ66+ACD66))-MIN(MIN(DR66*VE66,(YQ66+ACD66)),ACD66))),YQ66)</f>
        <v>1270</v>
      </c>
      <c r="YS66" s="20" t="n">
        <f aca="false">IF(AND(H_Direct=1,DS66&gt;0),MAX(0,YR66-(MIN(DS66*VF66,(YR66+ACE66))-MIN(MIN(DS66*VF66,(YR66+ACE66)),ACE66))),YR66)</f>
        <v>1270</v>
      </c>
      <c r="YT66" s="20" t="n">
        <f aca="false">IF(AND(H_Direct=1,DT66&gt;0),MAX(0,YS66-(MIN(DT66*VG66,(YS66+ACF66))-MIN(MIN(DT66*VG66,(YS66+ACF66)),ACF66))),YS66)</f>
        <v>1270</v>
      </c>
      <c r="YU66" s="20" t="n">
        <f aca="false">IF(AND(H_Direct=1,DU66&gt;0),MAX(0,YT66-(MIN(DU66*VH66,(YT66+ACG66))-MIN(MIN(DU66*VH66,(YT66+ACG66)),ACG66))),YT66)</f>
        <v>1270</v>
      </c>
      <c r="YV66" s="20" t="n">
        <f aca="false">IF(AND(H_Direct=1,DV66&gt;0),MAX(0,YU66-(MIN(DV66*VI66,(YU66+ACH66))-MIN(MIN(DV66*VI66,(YU66+ACH66)),ACH66))),YU66)</f>
        <v>1270</v>
      </c>
      <c r="YW66" s="20" t="n">
        <f aca="false">IF(AND(H_Direct=1,DW66&gt;0),MAX(0,YV66-(MIN(DW66*VJ66,(YV66+ACI66))-MIN(MIN(DW66*VJ66,(YV66+ACI66)),ACI66))),YV66)</f>
        <v>1270</v>
      </c>
      <c r="YX66" s="20" t="n">
        <f aca="false">IF(AND(H_Direct=1,DX66&gt;0),MAX(0,YW66-(MIN(DX66*VK66,(YW66+ACJ66))-MIN(MIN(DX66*VK66,(YW66+ACJ66)),ACJ66))),YW66)</f>
        <v>1270</v>
      </c>
      <c r="YY66" s="20" t="n">
        <f aca="false">IF(AND(H_Direct=1,DY66&gt;0),MAX(0,YX66-(MIN(DY66*VL66,(YX66+ACK66))-MIN(MIN(DY66*VL66,(YX66+ACK66)),ACK66))),YX66)</f>
        <v>1270</v>
      </c>
      <c r="YZ66" s="20" t="n">
        <f aca="false">YY66</f>
        <v>1270</v>
      </c>
      <c r="ZA66" s="20" t="n">
        <f aca="false">YZ66</f>
        <v>1270</v>
      </c>
      <c r="ZB66" s="20" t="n">
        <f aca="false">ZA66</f>
        <v>1270</v>
      </c>
      <c r="ZC66" s="20" t="n">
        <f aca="false">ZB66</f>
        <v>1270</v>
      </c>
      <c r="ZD66" s="20" t="n">
        <f aca="false">ZC66</f>
        <v>1270</v>
      </c>
      <c r="ZE66" s="20" t="n">
        <f aca="false">ZD66</f>
        <v>1270</v>
      </c>
      <c r="ZF66" s="20" t="n">
        <f aca="false">ZE66</f>
        <v>1270</v>
      </c>
      <c r="ZG66" s="20" t="n">
        <f aca="false">ZF66</f>
        <v>1270</v>
      </c>
      <c r="ZH66" s="20" t="n">
        <f aca="false">ZG66</f>
        <v>1270</v>
      </c>
      <c r="ZI66" s="20" t="n">
        <f aca="false">ZH66</f>
        <v>1270</v>
      </c>
      <c r="ZJ66" s="20" t="n">
        <f aca="false">ZI66</f>
        <v>1270</v>
      </c>
      <c r="ZK66" s="20" t="n">
        <f aca="false">ZJ66</f>
        <v>1270</v>
      </c>
      <c r="ZL66" s="20" t="n">
        <f aca="false">ZK66</f>
        <v>1270</v>
      </c>
      <c r="ZM66" s="20" t="n">
        <f aca="false">ZL66</f>
        <v>1270</v>
      </c>
      <c r="ZN66" s="20" t="n">
        <f aca="false">ZM66</f>
        <v>1270</v>
      </c>
      <c r="ZO66" s="20" t="n">
        <f aca="false">ZN66</f>
        <v>1270</v>
      </c>
      <c r="ZP66" s="20" t="n">
        <f aca="false">ZO66</f>
        <v>1270</v>
      </c>
      <c r="ZQ66" s="20" t="n">
        <f aca="false">ZP66</f>
        <v>1270</v>
      </c>
      <c r="ZR66" s="20" t="n">
        <f aca="false">ZQ66</f>
        <v>1270</v>
      </c>
      <c r="ZS66" s="20" t="n">
        <f aca="false">ZR66</f>
        <v>1270</v>
      </c>
      <c r="ZT66" s="20" t="n">
        <f aca="false">ZS66</f>
        <v>1270</v>
      </c>
      <c r="ZU66" s="20" t="n">
        <f aca="false">ZT66</f>
        <v>1270</v>
      </c>
      <c r="ZV66" s="20" t="n">
        <f aca="false">ZU66</f>
        <v>1270</v>
      </c>
      <c r="ZW66" s="20" t="n">
        <f aca="false">ZV66</f>
        <v>1270</v>
      </c>
      <c r="ZX66" s="20" t="n">
        <f aca="false">ZW66</f>
        <v>1270</v>
      </c>
      <c r="ZY66" s="20" t="n">
        <f aca="false">ZX66</f>
        <v>1270</v>
      </c>
      <c r="ZZ66" s="20" t="n">
        <f aca="false">ZY66</f>
        <v>1270</v>
      </c>
      <c r="AAA66" s="20" t="n">
        <f aca="false">ZZ66</f>
        <v>1270</v>
      </c>
      <c r="AAB66" s="20" t="n">
        <f aca="false">AAA66</f>
        <v>1270</v>
      </c>
      <c r="AAC66" s="20" t="n">
        <f aca="false">AAB66</f>
        <v>1270</v>
      </c>
      <c r="AAD66" s="20" t="n">
        <f aca="false">AAC66</f>
        <v>1270</v>
      </c>
      <c r="AAE66" s="20" t="n">
        <f aca="false">IF(H_Direct=1,IF(BR66&lt;=0,I66-BR66*TE66,I66-MIN(MIN(BR66*TE66,(H66+I66)),I66)),I66)</f>
        <v>0</v>
      </c>
      <c r="AAF66" s="20" t="n">
        <f aca="false">IF(H_Direct=1,IF(BS66&lt;=0,AAE66-BS66*TF66,AAE66-MIN(MIN(BS66*TF66,(WR66+AAE66)),AAE66)),AAE66)</f>
        <v>0</v>
      </c>
      <c r="AAG66" s="20" t="n">
        <f aca="false">IF(H_Direct=1,IF(BT66&lt;=0,AAF66-BT66*TG66,AAF66-MIN(MIN(BT66*TG66,(WS66+AAF66)),AAF66)),AAF66)</f>
        <v>0</v>
      </c>
      <c r="AAH66" s="20" t="n">
        <f aca="false">IF(H_Direct=1,IF(BU66&lt;=0,AAG66-BU66*TH66,AAG66-MIN(MIN(BU66*TH66,(WT66+AAG66)),AAG66)),AAG66)</f>
        <v>0</v>
      </c>
      <c r="AAI66" s="20" t="n">
        <f aca="false">IF(H_Direct=1,IF(BV66&lt;=0,AAH66-BV66*TI66,AAH66-MIN(MIN(BV66*TI66,(WU66+AAH66)),AAH66)),AAH66)</f>
        <v>0</v>
      </c>
      <c r="AAJ66" s="20" t="n">
        <f aca="false">IF(H_Direct=1,IF(BW66&lt;=0,AAI66-BW66*TJ66,AAI66-MIN(MIN(BW66*TJ66,(WV66+AAI66)),AAI66)),AAI66)</f>
        <v>0</v>
      </c>
      <c r="AAK66" s="20" t="n">
        <f aca="false">IF(H_Direct=1,IF(BX66&lt;=0,AAJ66-BX66*TK66,AAJ66-MIN(MIN(BX66*TK66,(WW66+AAJ66)),AAJ66)),AAJ66)</f>
        <v>0</v>
      </c>
      <c r="AAL66" s="20" t="n">
        <f aca="false">IF(H_Direct=1,IF(BY66&lt;=0,AAK66-BY66*TL66,AAK66-MIN(MIN(BY66*TL66,(WX66+AAK66)),AAK66)),AAK66)</f>
        <v>0</v>
      </c>
      <c r="AAM66" s="20" t="n">
        <f aca="false">IF(H_Direct=1,IF(BZ66&lt;=0,AAL66-BZ66*TM66,AAL66-MIN(MIN(BZ66*TM66,(WY66+AAL66)),AAL66)),AAL66)</f>
        <v>0</v>
      </c>
      <c r="AAN66" s="20" t="n">
        <f aca="false">IF(H_Direct=1,IF(CA66&lt;=0,AAM66-CA66*TN66,AAM66-MIN(MIN(CA66*TN66,(WZ66+AAM66)),AAM66)),AAM66)</f>
        <v>0</v>
      </c>
      <c r="AAO66" s="20" t="n">
        <f aca="false">IF(H_Direct=1,IF(CB66&lt;=0,AAN66-CB66*TO66,AAN66-MIN(MIN(CB66*TO66,(XA66+AAN66)),AAN66)),AAN66)</f>
        <v>0</v>
      </c>
      <c r="AAP66" s="20" t="n">
        <f aca="false">IF(H_Direct=1,IF(CC66&lt;=0,AAO66-CC66*TP66,AAO66-MIN(MIN(CC66*TP66,(XB66+AAO66)),AAO66)),AAO66)</f>
        <v>0</v>
      </c>
      <c r="AAQ66" s="20" t="n">
        <f aca="false">IF(H_Direct=1,IF(CD66&lt;=0,AAP66-CD66*TQ66,AAP66-MIN(MIN(CD66*TQ66,(XC66+AAP66)),AAP66)),AAP66)</f>
        <v>0</v>
      </c>
      <c r="AAR66" s="20" t="n">
        <f aca="false">IF(H_Direct=1,IF(CE66&lt;=0,AAQ66-CE66*TR66,AAQ66-MIN(MIN(CE66*TR66,(XD66+AAQ66)),AAQ66)),AAQ66)</f>
        <v>0</v>
      </c>
      <c r="AAS66" s="20" t="n">
        <f aca="false">IF(H_Direct=1,IF(CF66&lt;=0,AAR66-CF66*TS66,AAR66-MIN(MIN(CF66*TS66,(XE66+AAR66)),AAR66)),AAR66)</f>
        <v>0</v>
      </c>
      <c r="AAT66" s="20" t="n">
        <f aca="false">IF(H_Direct=1,IF(CG66&lt;=0,AAS66-CG66*TT66,AAS66-MIN(MIN(CG66*TT66,(XF66+AAS66)),AAS66)),AAS66)</f>
        <v>0</v>
      </c>
      <c r="AAU66" s="20" t="n">
        <f aca="false">IF(H_Direct=1,IF(CH66&lt;=0,AAT66-CH66*TU66,AAT66-MIN(MIN(CH66*TU66,(XG66+AAT66)),AAT66)),AAT66)</f>
        <v>0</v>
      </c>
      <c r="AAV66" s="20" t="n">
        <f aca="false">IF(H_Direct=1,IF(CI66&lt;=0,AAU66-CI66*TV66,AAU66-MIN(MIN(CI66*TV66,(XH66+AAU66)),AAU66)),AAU66)</f>
        <v>0</v>
      </c>
      <c r="AAW66" s="20" t="n">
        <f aca="false">IF(H_Direct=1,IF(CJ66&lt;=0,AAV66-CJ66*TW66,AAV66-MIN(MIN(CJ66*TW66,(XI66+AAV66)),AAV66)),AAV66)</f>
        <v>0</v>
      </c>
      <c r="AAX66" s="20" t="n">
        <f aca="false">IF(H_Direct=1,IF(CK66&lt;=0,AAW66-CK66*TX66,AAW66-MIN(MIN(CK66*TX66,(XJ66+AAW66)),AAW66)),AAW66)</f>
        <v>0</v>
      </c>
      <c r="AAY66" s="20" t="n">
        <f aca="false">IF(H_Direct=1,IF(CL66&lt;=0,AAX66-CL66*TY66,AAX66-MIN(MIN(CL66*TY66,(XK66+AAX66)),AAX66)),AAX66)</f>
        <v>0</v>
      </c>
      <c r="AAZ66" s="20" t="n">
        <f aca="false">IF(H_Direct=1,IF(CM66&lt;=0,AAY66-CM66*TZ66,AAY66-MIN(MIN(CM66*TZ66,(XL66+AAY66)),AAY66)),AAY66)</f>
        <v>0</v>
      </c>
      <c r="ABA66" s="20" t="n">
        <f aca="false">IF(H_Direct=1,IF(CN66&lt;=0,AAZ66-CN66*UA66,AAZ66-MIN(MIN(CN66*UA66,(XM66+AAZ66)),AAZ66)),AAZ66)</f>
        <v>0</v>
      </c>
      <c r="ABB66" s="20" t="n">
        <f aca="false">IF(H_Direct=1,IF(CO66&lt;=0,ABA66-CO66*UB66,ABA66-MIN(MIN(CO66*UB66,(XN66+ABA66)),ABA66)),ABA66)</f>
        <v>0</v>
      </c>
      <c r="ABC66" s="20" t="n">
        <f aca="false">IF(H_Direct=1,IF(CP66&lt;=0,ABB66-CP66*UC66,ABB66-MIN(MIN(CP66*UC66,(XO66+ABB66)),ABB66)),ABB66)</f>
        <v>0</v>
      </c>
      <c r="ABD66" s="20" t="n">
        <f aca="false">IF(H_Direct=1,IF(CQ66&lt;=0,ABC66-CQ66*UD66,ABC66-MIN(MIN(CQ66*UD66,(XP66+ABC66)),ABC66)),ABC66)</f>
        <v>0</v>
      </c>
      <c r="ABE66" s="20" t="n">
        <f aca="false">IF(H_Direct=1,IF(CR66&lt;=0,ABD66-CR66*UE66,ABD66-MIN(MIN(CR66*UE66,(XQ66+ABD66)),ABD66)),ABD66)</f>
        <v>0</v>
      </c>
      <c r="ABF66" s="20" t="n">
        <f aca="false">IF(H_Direct=1,IF(CS66&lt;=0,ABE66-CS66*UF66,ABE66-MIN(MIN(CS66*UF66,(XR66+ABE66)),ABE66)),ABE66)</f>
        <v>0</v>
      </c>
      <c r="ABG66" s="20" t="n">
        <f aca="false">IF(H_Direct=1,IF(CT66&lt;=0,ABF66-CT66*UG66,ABF66-MIN(MIN(CT66*UG66,(XS66+ABF66)),ABF66)),ABF66)</f>
        <v>0</v>
      </c>
      <c r="ABH66" s="20" t="n">
        <f aca="false">IF(H_Direct=1,IF(CU66&lt;=0,ABG66-CU66*UH66,ABG66-MIN(MIN(CU66*UH66,(XT66+ABG66)),ABG66)),ABG66)</f>
        <v>0</v>
      </c>
      <c r="ABI66" s="20" t="n">
        <f aca="false">IF(H_Direct=1,IF(CV66&lt;=0,ABH66-CV66*UI66,ABH66-MIN(MIN(CV66*UI66,(XU66+ABH66)),ABH66)),ABH66)</f>
        <v>0</v>
      </c>
      <c r="ABJ66" s="20" t="n">
        <f aca="false">IF(H_Direct=1,IF(CW66&lt;=0,ABI66-CW66*UJ66,ABI66-MIN(MIN(CW66*UJ66,(XV66+ABI66)),ABI66)),ABI66)</f>
        <v>0</v>
      </c>
      <c r="ABK66" s="20" t="n">
        <f aca="false">IF(H_Direct=1,IF(CX66&lt;=0,ABJ66-CX66*UK66,ABJ66-MIN(MIN(CX66*UK66,(XW66+ABJ66)),ABJ66)),ABJ66)</f>
        <v>0</v>
      </c>
      <c r="ABL66" s="20" t="n">
        <f aca="false">IF(H_Direct=1,IF(CY66&lt;=0,ABK66-CY66*UL66,ABK66-MIN(MIN(CY66*UL66,(XX66+ABK66)),ABK66)),ABK66)</f>
        <v>0</v>
      </c>
      <c r="ABM66" s="20" t="n">
        <f aca="false">IF(H_Direct=1,IF(CZ66&lt;=0,ABL66-CZ66*UM66,ABL66-MIN(MIN(CZ66*UM66,(XY66+ABL66)),ABL66)),ABL66)</f>
        <v>0</v>
      </c>
      <c r="ABN66" s="20" t="n">
        <f aca="false">IF(H_Direct=1,IF(DA66&lt;=0,ABM66-DA66*UN66,ABM66-MIN(MIN(DA66*UN66,(XZ66+ABM66)),ABM66)),ABM66)</f>
        <v>0</v>
      </c>
      <c r="ABO66" s="20" t="n">
        <f aca="false">IF(H_Direct=1,IF(DB66&lt;=0,ABN66-DB66*UO66,ABN66-MIN(MIN(DB66*UO66,(YA66+ABN66)),ABN66)),ABN66)</f>
        <v>0</v>
      </c>
      <c r="ABP66" s="20" t="n">
        <f aca="false">IF(H_Direct=1,IF(DC66&lt;=0,ABO66-DC66*UP66,ABO66-MIN(MIN(DC66*UP66,(YB66+ABO66)),ABO66)),ABO66)</f>
        <v>0</v>
      </c>
      <c r="ABQ66" s="20" t="n">
        <f aca="false">IF(H_Direct=1,IF(DD66&lt;=0,ABP66-DD66*UQ66,ABP66-MIN(MIN(DD66*UQ66,(YC66+ABP66)),ABP66)),ABP66)</f>
        <v>0</v>
      </c>
      <c r="ABR66" s="20" t="n">
        <f aca="false">IF(H_Direct=1,IF(DE66&lt;=0,ABQ66-DE66*UR66,ABQ66-MIN(MIN(DE66*UR66,(YD66+ABQ66)),ABQ66)),ABQ66)</f>
        <v>0</v>
      </c>
      <c r="ABS66" s="20" t="n">
        <f aca="false">IF(H_Direct=1,IF(DF66&lt;=0,ABR66-DF66*US66,ABR66-MIN(MIN(DF66*US66,(YE66+ABR66)),ABR66)),ABR66)</f>
        <v>0</v>
      </c>
      <c r="ABT66" s="20" t="n">
        <f aca="false">IF(H_Direct=1,IF(DG66&lt;=0,ABS66-DG66*UT66,ABS66-MIN(MIN(DG66*UT66,(YF66+ABS66)),ABS66)),ABS66)</f>
        <v>0</v>
      </c>
      <c r="ABU66" s="20" t="n">
        <f aca="false">IF(H_Direct=1,IF(DH66&lt;=0,ABT66-DH66*UU66,ABT66-MIN(MIN(DH66*UU66,(YG66+ABT66)),ABT66)),ABT66)</f>
        <v>0</v>
      </c>
      <c r="ABV66" s="20" t="n">
        <f aca="false">IF(H_Direct=1,IF(DI66&lt;=0,ABU66-DI66*UV66,ABU66-MIN(MIN(DI66*UV66,(YH66+ABU66)),ABU66)),ABU66)</f>
        <v>0</v>
      </c>
      <c r="ABW66" s="20" t="n">
        <f aca="false">IF(H_Direct=1,IF(DJ66&lt;=0,ABV66-DJ66*UW66,ABV66-MIN(MIN(DJ66*UW66,(YI66+ABV66)),ABV66)),ABV66)</f>
        <v>0</v>
      </c>
      <c r="ABX66" s="20" t="n">
        <f aca="false">IF(H_Direct=1,IF(DK66&lt;=0,ABW66-DK66*UX66,ABW66-MIN(MIN(DK66*UX66,(YJ66+ABW66)),ABW66)),ABW66)</f>
        <v>0</v>
      </c>
      <c r="ABY66" s="20" t="n">
        <f aca="false">IF(H_Direct=1,IF(DL66&lt;=0,ABX66-DL66*UY66,ABX66-MIN(MIN(DL66*UY66,(YK66+ABX66)),ABX66)),ABX66)</f>
        <v>0</v>
      </c>
      <c r="ABZ66" s="20" t="n">
        <f aca="false">IF(H_Direct=1,IF(DM66&lt;=0,ABY66-DM66*UZ66,ABY66-MIN(MIN(DM66*UZ66,(YL66+ABY66)),ABY66)),ABY66)</f>
        <v>0</v>
      </c>
      <c r="ACA66" s="20" t="n">
        <f aca="false">IF(H_Direct=1,IF(DN66&lt;=0,ABZ66-DN66*VA66,ABZ66-MIN(MIN(DN66*VA66,(YM66+ABZ66)),ABZ66)),ABZ66)</f>
        <v>0</v>
      </c>
      <c r="ACB66" s="20" t="n">
        <f aca="false">IF(H_Direct=1,IF(DO66&lt;=0,ACA66-DO66*VB66,ACA66-MIN(MIN(DO66*VB66,(YN66+ACA66)),ACA66)),ACA66)</f>
        <v>0</v>
      </c>
      <c r="ACC66" s="20" t="n">
        <f aca="false">IF(H_Direct=1,IF(DP66&lt;=0,ACB66-DP66*VC66,ACB66-MIN(MIN(DP66*VC66,(YO66+ACB66)),ACB66)),ACB66)</f>
        <v>0</v>
      </c>
      <c r="ACD66" s="20" t="n">
        <f aca="false">IF(H_Direct=1,IF(DQ66&lt;=0,ACC66-DQ66*VD66,ACC66-MIN(MIN(DQ66*VD66,(YP66+ACC66)),ACC66)),ACC66)</f>
        <v>0</v>
      </c>
      <c r="ACE66" s="20" t="n">
        <f aca="false">IF(H_Direct=1,IF(DR66&lt;=0,ACD66-DR66*VE66,ACD66-MIN(MIN(DR66*VE66,(YQ66+ACD66)),ACD66)),ACD66)</f>
        <v>0</v>
      </c>
      <c r="ACF66" s="20" t="n">
        <f aca="false">IF(H_Direct=1,IF(DS66&lt;=0,ACE66-DS66*VF66,ACE66-MIN(MIN(DS66*VF66,(YR66+ACE66)),ACE66)),ACE66)</f>
        <v>0</v>
      </c>
      <c r="ACG66" s="20" t="n">
        <f aca="false">IF(H_Direct=1,IF(DT66&lt;=0,ACF66-DT66*VG66,ACF66-MIN(MIN(DT66*VG66,(YS66+ACF66)),ACF66)),ACF66)</f>
        <v>0</v>
      </c>
      <c r="ACH66" s="20" t="n">
        <f aca="false">IF(H_Direct=1,IF(DU66&lt;=0,ACG66-DU66*VH66,ACG66-MIN(MIN(DU66*VH66,(YT66+ACG66)),ACG66)),ACG66)</f>
        <v>0</v>
      </c>
      <c r="ACI66" s="20" t="n">
        <f aca="false">IF(H_Direct=1,IF(DV66&lt;=0,ACH66-DV66*VI66,ACH66-MIN(MIN(DV66*VI66,(YU66+ACH66)),ACH66)),ACH66)</f>
        <v>0</v>
      </c>
      <c r="ACJ66" s="20" t="n">
        <f aca="false">IF(H_Direct=1,IF(DW66&lt;=0,ACI66-DW66*VJ66,ACI66-MIN(MIN(DW66*VJ66,(YV66+ACI66)),ACI66)),ACI66)</f>
        <v>0</v>
      </c>
      <c r="ACK66" s="20" t="n">
        <f aca="false">IF(H_Direct=1,IF(DX66&lt;=0,ACJ66-DX66*VK66,ACJ66-MIN(MIN(DX66*VK66,(YW66+ACJ66)),ACJ66)),ACJ66)</f>
        <v>0</v>
      </c>
      <c r="ACL66" s="20" t="n">
        <f aca="false">IF(H_Direct=1,IF(DY66&lt;=0,ACK66-DY66*VL66,ACK66-MIN(MIN(DY66*VL66,(YX66+ACK66)),ACK66)),ACK66)</f>
        <v>0</v>
      </c>
      <c r="ACM66" s="20" t="n">
        <f aca="false">ACL66</f>
        <v>0</v>
      </c>
      <c r="ACN66" s="20" t="n">
        <f aca="false">ACM66</f>
        <v>0</v>
      </c>
      <c r="ACO66" s="20" t="n">
        <f aca="false">ACN66</f>
        <v>0</v>
      </c>
      <c r="ACP66" s="20" t="n">
        <f aca="false">ACO66</f>
        <v>0</v>
      </c>
      <c r="ACQ66" s="20" t="n">
        <f aca="false">ACP66</f>
        <v>0</v>
      </c>
      <c r="ACR66" s="20" t="n">
        <f aca="false">ACQ66</f>
        <v>0</v>
      </c>
      <c r="ACS66" s="20" t="n">
        <f aca="false">ACR66</f>
        <v>0</v>
      </c>
      <c r="ACT66" s="20" t="n">
        <f aca="false">ACS66</f>
        <v>0</v>
      </c>
      <c r="ACU66" s="20" t="n">
        <f aca="false">ACT66</f>
        <v>0</v>
      </c>
      <c r="ACV66" s="20" t="n">
        <f aca="false">ACU66</f>
        <v>0</v>
      </c>
      <c r="ACW66" s="20" t="n">
        <f aca="false">ACV66</f>
        <v>0</v>
      </c>
      <c r="ACX66" s="20" t="n">
        <f aca="false">ACW66</f>
        <v>0</v>
      </c>
      <c r="ACY66" s="20" t="n">
        <f aca="false">ACX66</f>
        <v>0</v>
      </c>
      <c r="ACZ66" s="20" t="n">
        <f aca="false">ACY66</f>
        <v>0</v>
      </c>
      <c r="ADA66" s="20" t="n">
        <f aca="false">ACZ66</f>
        <v>0</v>
      </c>
      <c r="ADB66" s="20" t="n">
        <f aca="false">ADA66</f>
        <v>0</v>
      </c>
      <c r="ADC66" s="20" t="n">
        <f aca="false">ADB66</f>
        <v>0</v>
      </c>
      <c r="ADD66" s="20" t="n">
        <f aca="false">ADC66</f>
        <v>0</v>
      </c>
      <c r="ADE66" s="20" t="n">
        <f aca="false">ADD66</f>
        <v>0</v>
      </c>
      <c r="ADF66" s="20" t="n">
        <f aca="false">ADE66</f>
        <v>0</v>
      </c>
      <c r="ADG66" s="20" t="n">
        <f aca="false">ADF66</f>
        <v>0</v>
      </c>
      <c r="ADH66" s="20" t="n">
        <f aca="false">ADG66</f>
        <v>0</v>
      </c>
      <c r="ADI66" s="20" t="n">
        <f aca="false">ADH66</f>
        <v>0</v>
      </c>
      <c r="ADJ66" s="20" t="n">
        <f aca="false">ADI66</f>
        <v>0</v>
      </c>
      <c r="ADK66" s="20" t="n">
        <f aca="false">ADJ66</f>
        <v>0</v>
      </c>
      <c r="ADL66" s="20" t="n">
        <f aca="false">ADK66</f>
        <v>0</v>
      </c>
      <c r="ADM66" s="20" t="n">
        <f aca="false">ADL66</f>
        <v>0</v>
      </c>
      <c r="ADN66" s="20" t="n">
        <f aca="false">ADM66</f>
        <v>0</v>
      </c>
      <c r="ADO66" s="20" t="n">
        <f aca="false">ADN66</f>
        <v>0</v>
      </c>
      <c r="ADP66" s="20" t="n">
        <f aca="false">ADO66</f>
        <v>0</v>
      </c>
      <c r="ADQ66" s="20" t="n">
        <f aca="false">ADP66</f>
        <v>0</v>
      </c>
      <c r="ADR66" s="20" t="n">
        <f aca="false">(AKR65-TE66+0)*(1+BQ66)</f>
        <v>0</v>
      </c>
      <c r="ADS66" s="20" t="n">
        <f aca="false">(AKS65-TF66+0)*(1+BQ66)</f>
        <v>0</v>
      </c>
      <c r="ADT66" s="20" t="n">
        <f aca="false">(AKT65-TG66+0)*(1+BQ66)</f>
        <v>0</v>
      </c>
      <c r="ADU66" s="20" t="n">
        <f aca="false">(AKU65-TH66+0)*(1+BQ66)</f>
        <v>0</v>
      </c>
      <c r="ADV66" s="20" t="n">
        <f aca="false">(AKV65-TI66+0)*(1+BQ66)</f>
        <v>0</v>
      </c>
      <c r="ADW66" s="20" t="n">
        <f aca="false">(AKW65-TJ66+0)*(1+BQ66)</f>
        <v>0</v>
      </c>
      <c r="ADX66" s="20" t="n">
        <f aca="false">(AKX65-TK66+0)*(1+BQ66)</f>
        <v>0</v>
      </c>
      <c r="ADY66" s="20" t="n">
        <f aca="false">(AKY65-TL66+0)*(1+BQ66)</f>
        <v>0</v>
      </c>
      <c r="ADZ66" s="20" t="n">
        <f aca="false">(AKZ65-TM66+0)*(1+BQ66)</f>
        <v>0</v>
      </c>
      <c r="AEA66" s="20" t="n">
        <f aca="false">(ALA65-TN66+0)*(1+BQ66)</f>
        <v>0</v>
      </c>
      <c r="AEB66" s="20" t="n">
        <f aca="false">(ALB65-TO66+0)*(1+BQ66)</f>
        <v>0</v>
      </c>
      <c r="AEC66" s="20" t="n">
        <f aca="false">(ALC65-TP66+0)*(1+BQ66)</f>
        <v>0</v>
      </c>
      <c r="AED66" s="20" t="n">
        <f aca="false">(ALD65-TQ66+0)*(1+BQ66)</f>
        <v>0</v>
      </c>
      <c r="AEE66" s="20" t="n">
        <f aca="false">(ALE65-TR66+0)*(1+BQ66)</f>
        <v>0</v>
      </c>
      <c r="AEF66" s="20" t="n">
        <f aca="false">(ALF65-TS66+0)*(1+BQ66)</f>
        <v>0</v>
      </c>
      <c r="AEG66" s="20" t="n">
        <f aca="false">(ALG65-TT66+0)*(1+BQ66)</f>
        <v>0</v>
      </c>
      <c r="AEH66" s="20" t="n">
        <f aca="false">(ALH65-TU66+0)*(1+BQ66)</f>
        <v>0</v>
      </c>
      <c r="AEI66" s="20" t="n">
        <f aca="false">(ALI65-TV66+0)*(1+BQ66)</f>
        <v>0</v>
      </c>
      <c r="AEJ66" s="20" t="n">
        <f aca="false">(ALJ65-TW66+0)*(1+BQ66)</f>
        <v>0</v>
      </c>
      <c r="AEK66" s="20" t="n">
        <f aca="false">(ALK65-TX66+0)*(1+BQ66)</f>
        <v>0</v>
      </c>
      <c r="AEL66" s="20" t="n">
        <f aca="false">(ALL65-TY66+0)*(1+BQ66)</f>
        <v>0</v>
      </c>
      <c r="AEM66" s="20" t="n">
        <f aca="false">(ALM65-TZ66+0)*(1+BQ66)</f>
        <v>0</v>
      </c>
      <c r="AEN66" s="20" t="n">
        <f aca="false">(ALN65-UA66+0)*(1+BQ66)</f>
        <v>0</v>
      </c>
      <c r="AEO66" s="20" t="n">
        <f aca="false">(ALO65-UB66+0)*(1+BQ66)</f>
        <v>0</v>
      </c>
      <c r="AEP66" s="20" t="n">
        <f aca="false">(ALP65-UC66+0)*(1+BQ66)</f>
        <v>0</v>
      </c>
      <c r="AEQ66" s="20" t="n">
        <f aca="false">(ALQ65-UD66+0)*(1+BQ66)</f>
        <v>0</v>
      </c>
      <c r="AER66" s="20" t="n">
        <f aca="false">(ALR65-UE66+0)*(1+BQ66)</f>
        <v>0</v>
      </c>
      <c r="AES66" s="20" t="n">
        <f aca="false">(ALS65-UF66+0)*(1+BQ66)</f>
        <v>0</v>
      </c>
      <c r="AET66" s="20" t="n">
        <f aca="false">(ALT65-UG66+0)*(1+BQ66)</f>
        <v>0</v>
      </c>
      <c r="AEU66" s="20" t="n">
        <f aca="false">(ALU65-UH66+0)*(1+BQ66)</f>
        <v>0</v>
      </c>
      <c r="AEV66" s="20" t="n">
        <f aca="false">(ALV65-UI66+0)*(1+BQ66)</f>
        <v>0</v>
      </c>
      <c r="AEW66" s="20" t="n">
        <f aca="false">(ALW65-UJ66+0)*(1+BQ66)</f>
        <v>0</v>
      </c>
      <c r="AEX66" s="20" t="n">
        <f aca="false">(ALX65-UK66+0)*(1+BQ66)</f>
        <v>0</v>
      </c>
      <c r="AEY66" s="20" t="n">
        <f aca="false">(ALY65-UL66+0)*(1+BQ66)</f>
        <v>0</v>
      </c>
      <c r="AEZ66" s="20" t="n">
        <f aca="false">(ALZ65-UM66+0)*(1+BQ66)</f>
        <v>0</v>
      </c>
      <c r="AFA66" s="20" t="n">
        <f aca="false">(AMA65-UN66+0)*(1+BQ66)</f>
        <v>0</v>
      </c>
      <c r="AFB66" s="20" t="n">
        <f aca="false">(AMB65-UO66+0)*(1+BQ66)</f>
        <v>0</v>
      </c>
      <c r="AFC66" s="20" t="n">
        <f aca="false">(AMC65-UP66+0)*(1+BQ66)</f>
        <v>0</v>
      </c>
      <c r="AFD66" s="20" t="n">
        <f aca="false">(AMD65-UQ66+0)*(1+BQ66)</f>
        <v>0</v>
      </c>
      <c r="AFE66" s="20" t="n">
        <f aca="false">(AME65-UR66+0)*(1+BQ66)</f>
        <v>0</v>
      </c>
      <c r="AFF66" s="20" t="n">
        <f aca="false">(AMF65-US66+0)*(1+BQ66)</f>
        <v>0</v>
      </c>
      <c r="AFG66" s="20" t="n">
        <f aca="false">(AMG65-UT66+0)*(1+BQ66)</f>
        <v>0</v>
      </c>
      <c r="AFH66" s="20" t="n">
        <f aca="false">(AMH65-UU66+0)*(1+BQ66)</f>
        <v>0</v>
      </c>
      <c r="AFI66" s="20" t="n">
        <f aca="false">(AMI65-UV66+0)*(1+BQ66)</f>
        <v>0</v>
      </c>
      <c r="AFJ66" s="20" t="n">
        <f aca="false">(AMJ65-UW66+0)*(1+BQ66)</f>
        <v>0</v>
      </c>
      <c r="AFK66" s="20" t="n">
        <f aca="false">(AMK65-UX66+0)*(1+BQ66)</f>
        <v>0</v>
      </c>
      <c r="AFL66" s="20" t="n">
        <f aca="false">(AML65-UY66+0)*(1+BQ66)</f>
        <v>0</v>
      </c>
      <c r="AFM66" s="20" t="n">
        <f aca="false">(AMM65-UZ66+0)*(1+BQ66)</f>
        <v>0</v>
      </c>
      <c r="AFN66" s="20" t="n">
        <f aca="false">(AMN65-VA66+0)*(1+BQ66)</f>
        <v>0</v>
      </c>
      <c r="AFO66" s="20" t="n">
        <f aca="false">(AMO65-VB66+0)*(1+BQ66)</f>
        <v>0</v>
      </c>
      <c r="AFP66" s="20" t="n">
        <f aca="false">(AMP65-VC66+0)*(1+BQ66)</f>
        <v>0</v>
      </c>
      <c r="AFQ66" s="20" t="n">
        <f aca="false">(AMQ65-VD66+0)*(1+BQ66)</f>
        <v>0</v>
      </c>
      <c r="AFR66" s="20" t="n">
        <f aca="false">(AMR65-VE66+0)*(1+BQ66)</f>
        <v>0</v>
      </c>
      <c r="AFS66" s="20" t="n">
        <f aca="false">(AMS65-VF66+0)*(1+BQ66)</f>
        <v>0</v>
      </c>
      <c r="AFT66" s="20" t="n">
        <f aca="false">(AMT65-VG66+0)*(1+BQ66)</f>
        <v>0</v>
      </c>
      <c r="AFU66" s="20" t="n">
        <f aca="false">(AMU65-VH66+0)*(1+BQ66)</f>
        <v>0</v>
      </c>
      <c r="AFV66" s="20" t="n">
        <f aca="false">(AMV65-VI66+0)*(1+BQ66)</f>
        <v>0</v>
      </c>
      <c r="AFW66" s="20" t="n">
        <f aca="false">(AMW65-VJ66+0)*(1+BQ66)</f>
        <v>0</v>
      </c>
      <c r="AFX66" s="20" t="n">
        <f aca="false">(AMX65-VK66+0)*(1+BQ66)</f>
        <v>0</v>
      </c>
      <c r="AFY66" s="20" t="n">
        <f aca="false">((P66+S66)-VL66+BE66)*(1+BQ66)</f>
        <v>0</v>
      </c>
      <c r="AFZ66" s="20" t="n">
        <v>0</v>
      </c>
      <c r="AGA66" s="20" t="n">
        <v>0</v>
      </c>
      <c r="AGB66" s="20" t="n">
        <v>0</v>
      </c>
      <c r="AGC66" s="20" t="n">
        <v>0</v>
      </c>
      <c r="AGD66" s="20" t="n">
        <v>0</v>
      </c>
      <c r="AGE66" s="20" t="n">
        <v>0</v>
      </c>
      <c r="AGF66" s="20" t="n">
        <v>0</v>
      </c>
      <c r="AGG66" s="20" t="n">
        <v>0</v>
      </c>
      <c r="AGH66" s="20" t="n">
        <v>0</v>
      </c>
      <c r="AGI66" s="20" t="n">
        <v>0</v>
      </c>
      <c r="AGJ66" s="20" t="n">
        <v>0</v>
      </c>
      <c r="AGK66" s="20" t="n">
        <v>0</v>
      </c>
      <c r="AGL66" s="20" t="n">
        <v>0</v>
      </c>
      <c r="AGM66" s="20" t="n">
        <v>0</v>
      </c>
      <c r="AGN66" s="20" t="n">
        <v>0</v>
      </c>
      <c r="AGO66" s="20" t="n">
        <v>0</v>
      </c>
      <c r="AGP66" s="20" t="n">
        <v>0</v>
      </c>
      <c r="AGQ66" s="20" t="n">
        <v>0</v>
      </c>
      <c r="AGR66" s="20" t="n">
        <v>0</v>
      </c>
      <c r="AGS66" s="20" t="n">
        <v>0</v>
      </c>
      <c r="AGT66" s="20" t="n">
        <v>0</v>
      </c>
      <c r="AGU66" s="20" t="n">
        <v>0</v>
      </c>
      <c r="AGV66" s="20" t="n">
        <v>0</v>
      </c>
      <c r="AGW66" s="20" t="n">
        <v>0</v>
      </c>
      <c r="AGX66" s="20" t="n">
        <v>0</v>
      </c>
      <c r="AGY66" s="20" t="n">
        <v>0</v>
      </c>
      <c r="AGZ66" s="20" t="n">
        <v>0</v>
      </c>
      <c r="AHA66" s="20" t="n">
        <v>0</v>
      </c>
      <c r="AHB66" s="20" t="n">
        <v>0</v>
      </c>
      <c r="AHC66" s="20" t="n">
        <v>0</v>
      </c>
      <c r="AHD66" s="20" t="n">
        <v>0</v>
      </c>
      <c r="AHE66" s="20" t="n">
        <f aca="false">IF(AKR65&gt;0,AOE65-AOE65*TE66/AKR65,0)+0</f>
        <v>0</v>
      </c>
      <c r="AHF66" s="20" t="n">
        <f aca="false">IF(AKS65&gt;0,AOF65-AOF65*TF66/AKS65,0)+0</f>
        <v>0</v>
      </c>
      <c r="AHG66" s="20" t="n">
        <f aca="false">IF(AKT65&gt;0,AOG65-AOG65*TG66/AKT65,0)+0</f>
        <v>0</v>
      </c>
      <c r="AHH66" s="20" t="n">
        <f aca="false">IF(AKU65&gt;0,AOH65-AOH65*TH66/AKU65,0)+0</f>
        <v>0</v>
      </c>
      <c r="AHI66" s="20" t="n">
        <f aca="false">IF(AKV65&gt;0,AOI65-AOI65*TI66/AKV65,0)+0</f>
        <v>0</v>
      </c>
      <c r="AHJ66" s="20" t="n">
        <f aca="false">IF(AKW65&gt;0,AOJ65-AOJ65*TJ66/AKW65,0)+0</f>
        <v>0</v>
      </c>
      <c r="AHK66" s="20" t="n">
        <f aca="false">IF(AKX65&gt;0,AOK65-AOK65*TK66/AKX65,0)+0</f>
        <v>0</v>
      </c>
      <c r="AHL66" s="20" t="n">
        <f aca="false">IF(AKY65&gt;0,AOL65-AOL65*TL66/AKY65,0)+0</f>
        <v>0</v>
      </c>
      <c r="AHM66" s="20" t="n">
        <f aca="false">IF(AKZ65&gt;0,AOM65-AOM65*TM66/AKZ65,0)+0</f>
        <v>0</v>
      </c>
      <c r="AHN66" s="20" t="n">
        <f aca="false">IF(ALA65&gt;0,AON65-AON65*TN66/ALA65,0)+0</f>
        <v>0</v>
      </c>
      <c r="AHO66" s="20" t="n">
        <f aca="false">IF(ALB65&gt;0,AOO65-AOO65*TO66/ALB65,0)+0</f>
        <v>0</v>
      </c>
      <c r="AHP66" s="20" t="n">
        <f aca="false">IF(ALC65&gt;0,AOP65-AOP65*TP66/ALC65,0)+0</f>
        <v>0</v>
      </c>
      <c r="AHQ66" s="20" t="n">
        <f aca="false">IF(ALD65&gt;0,AOQ65-AOQ65*TQ66/ALD65,0)+0</f>
        <v>0</v>
      </c>
      <c r="AHR66" s="20" t="n">
        <f aca="false">IF(ALE65&gt;0,AOR65-AOR65*TR66/ALE65,0)+0</f>
        <v>0</v>
      </c>
      <c r="AHS66" s="20" t="n">
        <f aca="false">IF(ALF65&gt;0,AOS65-AOS65*TS66/ALF65,0)+0</f>
        <v>0</v>
      </c>
      <c r="AHT66" s="20" t="n">
        <f aca="false">IF(ALG65&gt;0,AOT65-AOT65*TT66/ALG65,0)+0</f>
        <v>0</v>
      </c>
      <c r="AHU66" s="20" t="n">
        <f aca="false">IF(ALH65&gt;0,AOU65-AOU65*TU66/ALH65,0)+0</f>
        <v>0</v>
      </c>
      <c r="AHV66" s="20" t="n">
        <f aca="false">IF(ALI65&gt;0,AOV65-AOV65*TV66/ALI65,0)+0</f>
        <v>0</v>
      </c>
      <c r="AHW66" s="20" t="n">
        <f aca="false">IF(ALJ65&gt;0,AOW65-AOW65*TW66/ALJ65,0)+0</f>
        <v>0</v>
      </c>
      <c r="AHX66" s="20" t="n">
        <f aca="false">IF(ALK65&gt;0,AOX65-AOX65*TX66/ALK65,0)+0</f>
        <v>0</v>
      </c>
      <c r="AHY66" s="20" t="n">
        <f aca="false">IF(ALL65&gt;0,AOY65-AOY65*TY66/ALL65,0)+0</f>
        <v>0</v>
      </c>
      <c r="AHZ66" s="20" t="n">
        <f aca="false">IF(ALM65&gt;0,AOZ65-AOZ65*TZ66/ALM65,0)+0</f>
        <v>0</v>
      </c>
      <c r="AIA66" s="20" t="n">
        <f aca="false">IF(ALN65&gt;0,APA65-APA65*UA66/ALN65,0)+0</f>
        <v>0</v>
      </c>
      <c r="AIB66" s="20" t="n">
        <f aca="false">IF(ALO65&gt;0,APB65-APB65*UB66/ALO65,0)+0</f>
        <v>0</v>
      </c>
      <c r="AIC66" s="20" t="n">
        <f aca="false">IF(ALP65&gt;0,APC65-APC65*UC66/ALP65,0)+0</f>
        <v>0</v>
      </c>
      <c r="AID66" s="20" t="n">
        <f aca="false">IF(ALQ65&gt;0,APD65-APD65*UD66/ALQ65,0)+0</f>
        <v>0</v>
      </c>
      <c r="AIE66" s="20" t="n">
        <f aca="false">IF(ALR65&gt;0,APE65-APE65*UE66/ALR65,0)+0</f>
        <v>0</v>
      </c>
      <c r="AIF66" s="20" t="n">
        <f aca="false">IF(ALS65&gt;0,APF65-APF65*UF66/ALS65,0)+0</f>
        <v>0</v>
      </c>
      <c r="AIG66" s="20" t="n">
        <f aca="false">IF(ALT65&gt;0,APG65-APG65*UG66/ALT65,0)+0</f>
        <v>0</v>
      </c>
      <c r="AIH66" s="20" t="n">
        <f aca="false">IF(ALU65&gt;0,APH65-APH65*UH66/ALU65,0)+0</f>
        <v>0</v>
      </c>
      <c r="AII66" s="20" t="n">
        <f aca="false">IF(ALV65&gt;0,API65-API65*UI66/ALV65,0)+0</f>
        <v>0</v>
      </c>
      <c r="AIJ66" s="20" t="n">
        <f aca="false">IF(ALW65&gt;0,APJ65-APJ65*UJ66/ALW65,0)+0</f>
        <v>0</v>
      </c>
      <c r="AIK66" s="20" t="n">
        <f aca="false">IF(ALX65&gt;0,APK65-APK65*UK66/ALX65,0)+0</f>
        <v>0</v>
      </c>
      <c r="AIL66" s="20" t="n">
        <f aca="false">IF(ALY65&gt;0,APL65-APL65*UL66/ALY65,0)+0</f>
        <v>0</v>
      </c>
      <c r="AIM66" s="20" t="n">
        <f aca="false">IF(ALZ65&gt;0,APM65-APM65*UM66/ALZ65,0)+0</f>
        <v>0</v>
      </c>
      <c r="AIN66" s="20" t="n">
        <f aca="false">IF(AMA65&gt;0,APN65-APN65*UN66/AMA65,0)+0</f>
        <v>0</v>
      </c>
      <c r="AIO66" s="20" t="n">
        <f aca="false">IF(AMB65&gt;0,APO65-APO65*UO66/AMB65,0)+0</f>
        <v>0</v>
      </c>
      <c r="AIP66" s="20" t="n">
        <f aca="false">IF(AMC65&gt;0,APP65-APP65*UP66/AMC65,0)+0</f>
        <v>0</v>
      </c>
      <c r="AIQ66" s="20" t="n">
        <f aca="false">IF(AMD65&gt;0,APQ65-APQ65*UQ66/AMD65,0)+0</f>
        <v>0</v>
      </c>
      <c r="AIR66" s="20" t="n">
        <f aca="false">IF(AME65&gt;0,APR65-APR65*UR66/AME65,0)+0</f>
        <v>0</v>
      </c>
      <c r="AIS66" s="20" t="n">
        <f aca="false">IF(AMF65&gt;0,APS65-APS65*US66/AMF65,0)+0</f>
        <v>0</v>
      </c>
      <c r="AIT66" s="20" t="n">
        <f aca="false">IF(AMG65&gt;0,APT65-APT65*UT66/AMG65,0)+0</f>
        <v>0</v>
      </c>
      <c r="AIU66" s="20" t="n">
        <f aca="false">IF(AMH65&gt;0,APU65-APU65*UU66/AMH65,0)+0</f>
        <v>0</v>
      </c>
      <c r="AIV66" s="20" t="n">
        <f aca="false">IF(AMI65&gt;0,APV65-APV65*UV66/AMI65,0)+0</f>
        <v>0</v>
      </c>
      <c r="AIW66" s="20" t="n">
        <f aca="false">IF(AMJ65&gt;0,APW65-APW65*UW66/AMJ65,0)+0</f>
        <v>0</v>
      </c>
      <c r="AIX66" s="20" t="n">
        <f aca="false">IF(AMK65&gt;0,APX65-APX65*UX66/AMK65,0)+0</f>
        <v>0</v>
      </c>
      <c r="AIY66" s="20" t="n">
        <f aca="false">IF(AML65&gt;0,APY65-APY65*UY66/AML65,0)+0</f>
        <v>0</v>
      </c>
      <c r="AIZ66" s="20" t="n">
        <f aca="false">IF(AMM65&gt;0,APZ65-APZ65*UZ66/AMM65,0)+0</f>
        <v>0</v>
      </c>
      <c r="AJA66" s="20" t="n">
        <f aca="false">IF(AMN65&gt;0,AQA65-AQA65*VA66/AMN65,0)+0</f>
        <v>0</v>
      </c>
      <c r="AJB66" s="20" t="n">
        <f aca="false">IF(AMO65&gt;0,AQB65-AQB65*VB66/AMO65,0)+0</f>
        <v>0</v>
      </c>
      <c r="AJC66" s="20" t="n">
        <f aca="false">IF(AMP65&gt;0,AQC65-AQC65*VC66/AMP65,0)+0</f>
        <v>0</v>
      </c>
      <c r="AJD66" s="20" t="n">
        <f aca="false">IF(AMQ65&gt;0,AQD65-AQD65*VD66/AMQ65,0)+0</f>
        <v>0</v>
      </c>
      <c r="AJE66" s="20" t="n">
        <f aca="false">IF(AMR65&gt;0,AQE65-AQE65*VE66/AMR65,0)+0</f>
        <v>0</v>
      </c>
      <c r="AJF66" s="20" t="n">
        <f aca="false">IF(AMS65&gt;0,AQF65-AQF65*VF66/AMS65,0)+0</f>
        <v>0</v>
      </c>
      <c r="AJG66" s="20" t="n">
        <f aca="false">IF(AMT65&gt;0,AQG65-AQG65*VG66/AMT65,0)+0</f>
        <v>0</v>
      </c>
      <c r="AJH66" s="20" t="n">
        <f aca="false">IF(AMU65&gt;0,AQH65-AQH65*VH66/AMU65,0)+0</f>
        <v>0</v>
      </c>
      <c r="AJI66" s="20" t="n">
        <f aca="false">IF(AMV65&gt;0,AQI65-AQI65*VI66/AMV65,0)+0</f>
        <v>0</v>
      </c>
      <c r="AJJ66" s="20" t="n">
        <f aca="false">IF(AMW65&gt;0,AQJ65-AQJ65*VJ66/AMW65,0)+0</f>
        <v>0</v>
      </c>
      <c r="AJK66" s="20" t="n">
        <f aca="false">IF(AMX65&gt;0,AQK65-AQK65*VK66/AMX65,0)+0</f>
        <v>0</v>
      </c>
      <c r="AJL66" s="20" t="n">
        <f aca="false">IF((P66+S66)&gt;0,(P66+S66)-(P66+S66)*VL66/(P66+S66),0)+BE66</f>
        <v>0</v>
      </c>
      <c r="AJM66" s="20" t="n">
        <v>0</v>
      </c>
      <c r="AJN66" s="20" t="n">
        <v>0</v>
      </c>
      <c r="AJO66" s="20" t="n">
        <v>0</v>
      </c>
      <c r="AJP66" s="20" t="n">
        <v>0</v>
      </c>
      <c r="AJQ66" s="20" t="n">
        <v>0</v>
      </c>
      <c r="AJR66" s="20" t="n">
        <v>0</v>
      </c>
      <c r="AJS66" s="20" t="n">
        <v>0</v>
      </c>
      <c r="AJT66" s="20" t="n">
        <v>0</v>
      </c>
      <c r="AJU66" s="20" t="n">
        <v>0</v>
      </c>
      <c r="AJV66" s="20" t="n">
        <v>0</v>
      </c>
      <c r="AJW66" s="20" t="n">
        <v>0</v>
      </c>
      <c r="AJX66" s="20" t="n">
        <v>0</v>
      </c>
      <c r="AJY66" s="20" t="n">
        <v>0</v>
      </c>
      <c r="AJZ66" s="20" t="n">
        <v>0</v>
      </c>
      <c r="AKA66" s="20" t="n">
        <v>0</v>
      </c>
      <c r="AKB66" s="20" t="n">
        <v>0</v>
      </c>
      <c r="AKC66" s="20" t="n">
        <v>0</v>
      </c>
      <c r="AKD66" s="20" t="n">
        <v>0</v>
      </c>
      <c r="AKE66" s="20" t="n">
        <v>0</v>
      </c>
      <c r="AKF66" s="20" t="n">
        <v>0</v>
      </c>
      <c r="AKG66" s="20" t="n">
        <v>0</v>
      </c>
      <c r="AKH66" s="20" t="n">
        <v>0</v>
      </c>
      <c r="AKI66" s="20" t="n">
        <v>0</v>
      </c>
      <c r="AKJ66" s="20" t="n">
        <v>0</v>
      </c>
      <c r="AKK66" s="20" t="n">
        <v>0</v>
      </c>
      <c r="AKL66" s="20" t="n">
        <v>0</v>
      </c>
      <c r="AKM66" s="20" t="n">
        <v>0</v>
      </c>
      <c r="AKN66" s="20" t="n">
        <v>0</v>
      </c>
      <c r="AKO66" s="20" t="n">
        <v>0</v>
      </c>
      <c r="AKP66" s="20" t="n">
        <v>0</v>
      </c>
      <c r="AKQ66" s="20" t="n">
        <v>0</v>
      </c>
      <c r="AKR66" s="20" t="n">
        <f aca="false">ADR66-AVE66</f>
        <v>0</v>
      </c>
      <c r="AKS66" s="20" t="n">
        <f aca="false">ADS66-AVF66</f>
        <v>0</v>
      </c>
      <c r="AKT66" s="20" t="n">
        <f aca="false">ADT66-AVG66</f>
        <v>0</v>
      </c>
      <c r="AKU66" s="20" t="n">
        <f aca="false">ADU66-AVH66</f>
        <v>0</v>
      </c>
      <c r="AKV66" s="20" t="n">
        <f aca="false">ADV66-AVI66</f>
        <v>0</v>
      </c>
      <c r="AKW66" s="20" t="n">
        <f aca="false">ADW66-AVJ66</f>
        <v>0</v>
      </c>
      <c r="AKX66" s="20" t="n">
        <f aca="false">ADX66-AVK66</f>
        <v>0</v>
      </c>
      <c r="AKY66" s="20" t="n">
        <f aca="false">ADY66-AVL66</f>
        <v>0</v>
      </c>
      <c r="AKZ66" s="20" t="n">
        <f aca="false">ADZ66-AVM66</f>
        <v>0</v>
      </c>
      <c r="ALA66" s="20" t="n">
        <f aca="false">AEA66-AVN66</f>
        <v>0</v>
      </c>
      <c r="ALB66" s="20" t="n">
        <f aca="false">AEB66-AVO66</f>
        <v>0</v>
      </c>
      <c r="ALC66" s="20" t="n">
        <f aca="false">AEC66-AVP66</f>
        <v>0</v>
      </c>
      <c r="ALD66" s="20" t="n">
        <f aca="false">AED66-AVQ66</f>
        <v>0</v>
      </c>
      <c r="ALE66" s="20" t="n">
        <f aca="false">AEE66-AVR66</f>
        <v>0</v>
      </c>
      <c r="ALF66" s="20" t="n">
        <f aca="false">AEF66-AVS66</f>
        <v>0</v>
      </c>
      <c r="ALG66" s="20" t="n">
        <f aca="false">AEG66-AVT66</f>
        <v>0</v>
      </c>
      <c r="ALH66" s="20" t="n">
        <f aca="false">AEH66-AVU66</f>
        <v>0</v>
      </c>
      <c r="ALI66" s="20" t="n">
        <f aca="false">AEI66-AVV66</f>
        <v>0</v>
      </c>
      <c r="ALJ66" s="20" t="n">
        <f aca="false">AEJ66-AVW66</f>
        <v>0</v>
      </c>
      <c r="ALK66" s="20" t="n">
        <f aca="false">AEK66-AVX66</f>
        <v>0</v>
      </c>
      <c r="ALL66" s="20" t="n">
        <f aca="false">AEL66-AVY66</f>
        <v>0</v>
      </c>
      <c r="ALM66" s="20" t="n">
        <f aca="false">AEM66-AVZ66</f>
        <v>0</v>
      </c>
      <c r="ALN66" s="20" t="n">
        <f aca="false">AEN66-AWA66</f>
        <v>0</v>
      </c>
      <c r="ALO66" s="20" t="n">
        <f aca="false">AEO66-AWB66</f>
        <v>0</v>
      </c>
      <c r="ALP66" s="20" t="n">
        <f aca="false">AEP66-AWC66</f>
        <v>0</v>
      </c>
      <c r="ALQ66" s="20" t="n">
        <f aca="false">AEQ66-AWD66</f>
        <v>0</v>
      </c>
      <c r="ALR66" s="20" t="n">
        <f aca="false">AER66-AWE66</f>
        <v>0</v>
      </c>
      <c r="ALS66" s="20" t="n">
        <f aca="false">AES66-AWF66</f>
        <v>0</v>
      </c>
      <c r="ALT66" s="20" t="n">
        <f aca="false">AET66-AWG66</f>
        <v>0</v>
      </c>
      <c r="ALU66" s="20" t="n">
        <f aca="false">AEU66-AWH66</f>
        <v>0</v>
      </c>
      <c r="ALV66" s="20" t="n">
        <f aca="false">AEV66-AWI66</f>
        <v>0</v>
      </c>
      <c r="ALW66" s="20" t="n">
        <f aca="false">AEW66-AWJ66</f>
        <v>0</v>
      </c>
      <c r="ALX66" s="20" t="n">
        <f aca="false">AEX66-AWK66</f>
        <v>0</v>
      </c>
      <c r="ALY66" s="20" t="n">
        <f aca="false">AEY66-AWL66</f>
        <v>0</v>
      </c>
      <c r="ALZ66" s="20" t="n">
        <f aca="false">AEZ66-AWM66</f>
        <v>0</v>
      </c>
      <c r="AMA66" s="20" t="n">
        <f aca="false">AFA66-AWN66</f>
        <v>0</v>
      </c>
      <c r="AMB66" s="20" t="n">
        <f aca="false">AFB66-AWO66</f>
        <v>0</v>
      </c>
      <c r="AMC66" s="20" t="n">
        <f aca="false">AFC66-AWP66</f>
        <v>0</v>
      </c>
      <c r="AMD66" s="20" t="n">
        <f aca="false">AFD66-AWQ66</f>
        <v>0</v>
      </c>
      <c r="AME66" s="20" t="n">
        <f aca="false">AFE66-AWR66</f>
        <v>0</v>
      </c>
      <c r="AMF66" s="20" t="n">
        <f aca="false">AFF66-AWS66</f>
        <v>0</v>
      </c>
      <c r="AMG66" s="20" t="n">
        <f aca="false">AFG66-AWT66</f>
        <v>0</v>
      </c>
      <c r="AMH66" s="20" t="n">
        <f aca="false">AFH66-AWU66</f>
        <v>0</v>
      </c>
      <c r="AMI66" s="20" t="n">
        <f aca="false">AFI66-AWV66</f>
        <v>0</v>
      </c>
      <c r="AMJ66" s="20" t="n">
        <f aca="false">AFJ66-AWW66</f>
        <v>0</v>
      </c>
      <c r="AMK66" s="20" t="n">
        <f aca="false">AFK66-AWX66</f>
        <v>0</v>
      </c>
      <c r="AML66" s="20" t="n">
        <f aca="false">AFL66-AWY66</f>
        <v>0</v>
      </c>
      <c r="AMM66" s="20" t="n">
        <f aca="false">AFM66-AWZ66</f>
        <v>0</v>
      </c>
      <c r="AMN66" s="20" t="n">
        <f aca="false">AFN66-AXA66</f>
        <v>0</v>
      </c>
      <c r="AMO66" s="20" t="n">
        <f aca="false">AFO66-AXB66</f>
        <v>0</v>
      </c>
      <c r="AMP66" s="20" t="n">
        <f aca="false">AFP66-AXC66</f>
        <v>0</v>
      </c>
      <c r="AMQ66" s="20" t="n">
        <f aca="false">AFQ66-AXD66</f>
        <v>0</v>
      </c>
      <c r="AMR66" s="20" t="n">
        <f aca="false">AFR66-AXE66</f>
        <v>0</v>
      </c>
      <c r="AMS66" s="20" t="n">
        <f aca="false">AFS66-AXF66</f>
        <v>0</v>
      </c>
      <c r="AMT66" s="20" t="n">
        <f aca="false">AFT66-AXG66</f>
        <v>0</v>
      </c>
      <c r="AMU66" s="20" t="n">
        <f aca="false">AFU66-AXH66</f>
        <v>0</v>
      </c>
      <c r="AMV66" s="20" t="n">
        <f aca="false">AFV66-AXI66</f>
        <v>0</v>
      </c>
      <c r="AMW66" s="20" t="n">
        <f aca="false">AFW66-AXJ66</f>
        <v>0</v>
      </c>
      <c r="AMX66" s="20" t="n">
        <f aca="false">AFX66-AXK66</f>
        <v>0</v>
      </c>
      <c r="AMY66" s="20" t="n">
        <f aca="false">AFY66-AXL66</f>
        <v>0</v>
      </c>
      <c r="AMZ66" s="20" t="n">
        <v>0</v>
      </c>
      <c r="ANA66" s="20" t="n">
        <v>0</v>
      </c>
      <c r="ANB66" s="20" t="n">
        <v>0</v>
      </c>
      <c r="ANC66" s="20" t="n">
        <v>0</v>
      </c>
      <c r="AND66" s="20" t="n">
        <v>0</v>
      </c>
      <c r="ANE66" s="20" t="n">
        <v>0</v>
      </c>
      <c r="ANF66" s="20" t="n">
        <v>0</v>
      </c>
      <c r="ANG66" s="20" t="n">
        <v>0</v>
      </c>
      <c r="ANH66" s="20" t="n">
        <v>0</v>
      </c>
      <c r="ANI66" s="20" t="n">
        <v>0</v>
      </c>
      <c r="ANJ66" s="20" t="n">
        <v>0</v>
      </c>
      <c r="ANK66" s="20" t="n">
        <v>0</v>
      </c>
      <c r="ANL66" s="20" t="n">
        <v>0</v>
      </c>
      <c r="ANM66" s="20" t="n">
        <v>0</v>
      </c>
      <c r="ANN66" s="20" t="n">
        <v>0</v>
      </c>
      <c r="ANO66" s="20" t="n">
        <v>0</v>
      </c>
      <c r="ANP66" s="20" t="n">
        <v>0</v>
      </c>
      <c r="ANQ66" s="20" t="n">
        <v>0</v>
      </c>
      <c r="ANR66" s="20" t="n">
        <v>0</v>
      </c>
      <c r="ANS66" s="20" t="n">
        <v>0</v>
      </c>
      <c r="ANT66" s="20" t="n">
        <v>0</v>
      </c>
      <c r="ANU66" s="20" t="n">
        <v>0</v>
      </c>
      <c r="ANV66" s="20" t="n">
        <v>0</v>
      </c>
      <c r="ANW66" s="20" t="n">
        <v>0</v>
      </c>
      <c r="ANX66" s="20" t="n">
        <v>0</v>
      </c>
      <c r="ANY66" s="20" t="n">
        <v>0</v>
      </c>
      <c r="ANZ66" s="20" t="n">
        <v>0</v>
      </c>
      <c r="AOA66" s="20" t="n">
        <v>0</v>
      </c>
      <c r="AOB66" s="20" t="n">
        <v>0</v>
      </c>
      <c r="AOC66" s="20" t="n">
        <v>0</v>
      </c>
      <c r="AOD66" s="20" t="n">
        <v>0</v>
      </c>
      <c r="AOE66" s="20" t="n">
        <f aca="false">IF(AND(H_Direct=0,H_TaxEvt=1,ARR65+1&gt;=H_Deemed),AKR66,AHE66)</f>
        <v>0</v>
      </c>
      <c r="AOF66" s="20" t="n">
        <f aca="false">IF(AND(H_Direct=0,H_TaxEvt=1,ARS65+1&gt;=H_Deemed),AKS66,AHF66)</f>
        <v>0</v>
      </c>
      <c r="AOG66" s="20" t="n">
        <f aca="false">IF(AND(H_Direct=0,H_TaxEvt=1,ART65+1&gt;=H_Deemed),AKT66,AHG66)</f>
        <v>0</v>
      </c>
      <c r="AOH66" s="20" t="n">
        <f aca="false">IF(AND(H_Direct=0,H_TaxEvt=1,ARU65+1&gt;=H_Deemed),AKU66,AHH66)</f>
        <v>0</v>
      </c>
      <c r="AOI66" s="20" t="n">
        <f aca="false">IF(AND(H_Direct=0,H_TaxEvt=1,ARV65+1&gt;=H_Deemed),AKV66,AHI66)</f>
        <v>0</v>
      </c>
      <c r="AOJ66" s="20" t="n">
        <f aca="false">IF(AND(H_Direct=0,H_TaxEvt=1,ARW65+1&gt;=H_Deemed),AKW66,AHJ66)</f>
        <v>0</v>
      </c>
      <c r="AOK66" s="20" t="n">
        <f aca="false">IF(AND(H_Direct=0,H_TaxEvt=1,ARX65+1&gt;=H_Deemed),AKX66,AHK66)</f>
        <v>0</v>
      </c>
      <c r="AOL66" s="20" t="n">
        <f aca="false">IF(AND(H_Direct=0,H_TaxEvt=1,ARY65+1&gt;=H_Deemed),AKY66,AHL66)</f>
        <v>0</v>
      </c>
      <c r="AOM66" s="20" t="n">
        <f aca="false">IF(AND(H_Direct=0,H_TaxEvt=1,ARZ65+1&gt;=H_Deemed),AKZ66,AHM66)</f>
        <v>0</v>
      </c>
      <c r="AON66" s="20" t="n">
        <f aca="false">IF(AND(H_Direct=0,H_TaxEvt=1,ASA65+1&gt;=H_Deemed),ALA66,AHN66)</f>
        <v>0</v>
      </c>
      <c r="AOO66" s="20" t="n">
        <f aca="false">IF(AND(H_Direct=0,H_TaxEvt=1,ASB65+1&gt;=H_Deemed),ALB66,AHO66)</f>
        <v>0</v>
      </c>
      <c r="AOP66" s="20" t="n">
        <f aca="false">IF(AND(H_Direct=0,H_TaxEvt=1,ASC65+1&gt;=H_Deemed),ALC66,AHP66)</f>
        <v>0</v>
      </c>
      <c r="AOQ66" s="20" t="n">
        <f aca="false">IF(AND(H_Direct=0,H_TaxEvt=1,ASD65+1&gt;=H_Deemed),ALD66,AHQ66)</f>
        <v>0</v>
      </c>
      <c r="AOR66" s="20" t="n">
        <f aca="false">IF(AND(H_Direct=0,H_TaxEvt=1,ASE65+1&gt;=H_Deemed),ALE66,AHR66)</f>
        <v>0</v>
      </c>
      <c r="AOS66" s="20" t="n">
        <f aca="false">IF(AND(H_Direct=0,H_TaxEvt=1,ASF65+1&gt;=H_Deemed),ALF66,AHS66)</f>
        <v>0</v>
      </c>
      <c r="AOT66" s="20" t="n">
        <f aca="false">IF(AND(H_Direct=0,H_TaxEvt=1,ASG65+1&gt;=H_Deemed),ALG66,AHT66)</f>
        <v>0</v>
      </c>
      <c r="AOU66" s="20" t="n">
        <f aca="false">IF(AND(H_Direct=0,H_TaxEvt=1,ASH65+1&gt;=H_Deemed),ALH66,AHU66)</f>
        <v>0</v>
      </c>
      <c r="AOV66" s="20" t="n">
        <f aca="false">IF(AND(H_Direct=0,H_TaxEvt=1,ASI65+1&gt;=H_Deemed),ALI66,AHV66)</f>
        <v>0</v>
      </c>
      <c r="AOW66" s="20" t="n">
        <f aca="false">IF(AND(H_Direct=0,H_TaxEvt=1,ASJ65+1&gt;=H_Deemed),ALJ66,AHW66)</f>
        <v>0</v>
      </c>
      <c r="AOX66" s="20" t="n">
        <f aca="false">IF(AND(H_Direct=0,H_TaxEvt=1,ASK65+1&gt;=H_Deemed),ALK66,AHX66)</f>
        <v>0</v>
      </c>
      <c r="AOY66" s="20" t="n">
        <f aca="false">IF(AND(H_Direct=0,H_TaxEvt=1,ASL65+1&gt;=H_Deemed),ALL66,AHY66)</f>
        <v>0</v>
      </c>
      <c r="AOZ66" s="20" t="n">
        <f aca="false">IF(AND(H_Direct=0,H_TaxEvt=1,ASM65+1&gt;=H_Deemed),ALM66,AHZ66)</f>
        <v>0</v>
      </c>
      <c r="APA66" s="20" t="n">
        <f aca="false">IF(AND(H_Direct=0,H_TaxEvt=1,ASN65+1&gt;=H_Deemed),ALN66,AIA66)</f>
        <v>0</v>
      </c>
      <c r="APB66" s="20" t="n">
        <f aca="false">IF(AND(H_Direct=0,H_TaxEvt=1,ASO65+1&gt;=H_Deemed),ALO66,AIB66)</f>
        <v>0</v>
      </c>
      <c r="APC66" s="20" t="n">
        <f aca="false">IF(AND(H_Direct=0,H_TaxEvt=1,ASP65+1&gt;=H_Deemed),ALP66,AIC66)</f>
        <v>0</v>
      </c>
      <c r="APD66" s="20" t="n">
        <f aca="false">IF(AND(H_Direct=0,H_TaxEvt=1,ASQ65+1&gt;=H_Deemed),ALQ66,AID66)</f>
        <v>0</v>
      </c>
      <c r="APE66" s="20" t="n">
        <f aca="false">IF(AND(H_Direct=0,H_TaxEvt=1,ASR65+1&gt;=H_Deemed),ALR66,AIE66)</f>
        <v>0</v>
      </c>
      <c r="APF66" s="20" t="n">
        <f aca="false">IF(AND(H_Direct=0,H_TaxEvt=1,ASS65+1&gt;=H_Deemed),ALS66,AIF66)</f>
        <v>0</v>
      </c>
      <c r="APG66" s="20" t="n">
        <f aca="false">IF(AND(H_Direct=0,H_TaxEvt=1,AST65+1&gt;=H_Deemed),ALT66,AIG66)</f>
        <v>0</v>
      </c>
      <c r="APH66" s="20" t="n">
        <f aca="false">IF(AND(H_Direct=0,H_TaxEvt=1,ASU65+1&gt;=H_Deemed),ALU66,AIH66)</f>
        <v>0</v>
      </c>
      <c r="API66" s="20" t="n">
        <f aca="false">IF(AND(H_Direct=0,H_TaxEvt=1,ASV65+1&gt;=H_Deemed),ALV66,AII66)</f>
        <v>0</v>
      </c>
      <c r="APJ66" s="20" t="n">
        <f aca="false">IF(AND(H_Direct=0,H_TaxEvt=1,ASW65+1&gt;=H_Deemed),ALW66,AIJ66)</f>
        <v>0</v>
      </c>
      <c r="APK66" s="20" t="n">
        <f aca="false">IF(AND(H_Direct=0,H_TaxEvt=1,ASX65+1&gt;=H_Deemed),ALX66,AIK66)</f>
        <v>0</v>
      </c>
      <c r="APL66" s="20" t="n">
        <f aca="false">IF(AND(H_Direct=0,H_TaxEvt=1,ASY65+1&gt;=H_Deemed),ALY66,AIL66)</f>
        <v>0</v>
      </c>
      <c r="APM66" s="20" t="n">
        <f aca="false">IF(AND(H_Direct=0,H_TaxEvt=1,ASZ65+1&gt;=H_Deemed),ALZ66,AIM66)</f>
        <v>0</v>
      </c>
      <c r="APN66" s="20" t="n">
        <f aca="false">IF(AND(H_Direct=0,H_TaxEvt=1,ATA65+1&gt;=H_Deemed),AMA66,AIN66)</f>
        <v>0</v>
      </c>
      <c r="APO66" s="20" t="n">
        <f aca="false">IF(AND(H_Direct=0,H_TaxEvt=1,ATB65+1&gt;=H_Deemed),AMB66,AIO66)</f>
        <v>0</v>
      </c>
      <c r="APP66" s="20" t="n">
        <f aca="false">IF(AND(H_Direct=0,H_TaxEvt=1,ATC65+1&gt;=H_Deemed),AMC66,AIP66)</f>
        <v>0</v>
      </c>
      <c r="APQ66" s="20" t="n">
        <f aca="false">IF(AND(H_Direct=0,H_TaxEvt=1,ATD65+1&gt;=H_Deemed),AMD66,AIQ66)</f>
        <v>0</v>
      </c>
      <c r="APR66" s="20" t="n">
        <f aca="false">IF(AND(H_Direct=0,H_TaxEvt=1,ATE65+1&gt;=H_Deemed),AME66,AIR66)</f>
        <v>0</v>
      </c>
      <c r="APS66" s="20" t="n">
        <f aca="false">IF(AND(H_Direct=0,H_TaxEvt=1,ATF65+1&gt;=H_Deemed),AMF66,AIS66)</f>
        <v>0</v>
      </c>
      <c r="APT66" s="20" t="n">
        <f aca="false">IF(AND(H_Direct=0,H_TaxEvt=1,ATG65+1&gt;=H_Deemed),AMG66,AIT66)</f>
        <v>0</v>
      </c>
      <c r="APU66" s="20" t="n">
        <f aca="false">IF(AND(H_Direct=0,H_TaxEvt=1,ATH65+1&gt;=H_Deemed),AMH66,AIU66)</f>
        <v>0</v>
      </c>
      <c r="APV66" s="20" t="n">
        <f aca="false">IF(AND(H_Direct=0,H_TaxEvt=1,ATI65+1&gt;=H_Deemed),AMI66,AIV66)</f>
        <v>0</v>
      </c>
      <c r="APW66" s="20" t="n">
        <f aca="false">IF(AND(H_Direct=0,H_TaxEvt=1,ATJ65+1&gt;=H_Deemed),AMJ66,AIW66)</f>
        <v>0</v>
      </c>
      <c r="APX66" s="20" t="n">
        <f aca="false">IF(AND(H_Direct=0,H_TaxEvt=1,ATK65+1&gt;=H_Deemed),AMK66,AIX66)</f>
        <v>0</v>
      </c>
      <c r="APY66" s="20" t="n">
        <f aca="false">IF(AND(H_Direct=0,H_TaxEvt=1,ATL65+1&gt;=H_Deemed),AML66,AIY66)</f>
        <v>0</v>
      </c>
      <c r="APZ66" s="20" t="n">
        <f aca="false">IF(AND(H_Direct=0,H_TaxEvt=1,ATM65+1&gt;=H_Deemed),AMM66,AIZ66)</f>
        <v>0</v>
      </c>
      <c r="AQA66" s="20" t="n">
        <f aca="false">IF(AND(H_Direct=0,H_TaxEvt=1,ATN65+1&gt;=H_Deemed),AMN66,AJA66)</f>
        <v>0</v>
      </c>
      <c r="AQB66" s="20" t="n">
        <f aca="false">IF(AND(H_Direct=0,H_TaxEvt=1,ATO65+1&gt;=H_Deemed),AMO66,AJB66)</f>
        <v>0</v>
      </c>
      <c r="AQC66" s="20" t="n">
        <f aca="false">IF(AND(H_Direct=0,H_TaxEvt=1,ATP65+1&gt;=H_Deemed),AMP66,AJC66)</f>
        <v>0</v>
      </c>
      <c r="AQD66" s="20" t="n">
        <f aca="false">IF(AND(H_Direct=0,H_TaxEvt=1,ATQ65+1&gt;=H_Deemed),AMQ66,AJD66)</f>
        <v>0</v>
      </c>
      <c r="AQE66" s="20" t="n">
        <f aca="false">IF(AND(H_Direct=0,H_TaxEvt=1,ATR65+1&gt;=H_Deemed),AMR66,AJE66)</f>
        <v>0</v>
      </c>
      <c r="AQF66" s="20" t="n">
        <f aca="false">IF(AND(H_Direct=0,H_TaxEvt=1,ATS65+1&gt;=H_Deemed),AMS66,AJF66)</f>
        <v>0</v>
      </c>
      <c r="AQG66" s="20" t="n">
        <f aca="false">IF(AND(H_Direct=0,H_TaxEvt=1,ATT65+1&gt;=H_Deemed),AMT66,AJG66)</f>
        <v>0</v>
      </c>
      <c r="AQH66" s="20" t="n">
        <f aca="false">IF(AND(H_Direct=0,H_TaxEvt=1,ATU65+1&gt;=H_Deemed),AMU66,AJH66)</f>
        <v>0</v>
      </c>
      <c r="AQI66" s="20" t="n">
        <f aca="false">IF(AND(H_Direct=0,H_TaxEvt=1,ATV65+1&gt;=H_Deemed),AMV66,AJI66)</f>
        <v>0</v>
      </c>
      <c r="AQJ66" s="20" t="n">
        <f aca="false">IF(AND(H_Direct=0,H_TaxEvt=1,ATW65+1&gt;=H_Deemed),AMW66,AJJ66)</f>
        <v>0</v>
      </c>
      <c r="AQK66" s="20" t="n">
        <f aca="false">IF(AND(H_Direct=0,H_TaxEvt=1,ATX65+1&gt;=H_Deemed),AMX66,AJK66)</f>
        <v>0</v>
      </c>
      <c r="AQL66" s="20" t="n">
        <f aca="false">IF(AND(H_Direct=0,H_TaxEvt=1,0+1&gt;=H_Deemed),AMY66,AJL66)</f>
        <v>0</v>
      </c>
      <c r="AQM66" s="20" t="n">
        <v>0</v>
      </c>
      <c r="AQN66" s="20" t="n">
        <v>0</v>
      </c>
      <c r="AQO66" s="20" t="n">
        <v>0</v>
      </c>
      <c r="AQP66" s="20" t="n">
        <v>0</v>
      </c>
      <c r="AQQ66" s="20" t="n">
        <v>0</v>
      </c>
      <c r="AQR66" s="20" t="n">
        <v>0</v>
      </c>
      <c r="AQS66" s="20" t="n">
        <v>0</v>
      </c>
      <c r="AQT66" s="20" t="n">
        <v>0</v>
      </c>
      <c r="AQU66" s="20" t="n">
        <v>0</v>
      </c>
      <c r="AQV66" s="20" t="n">
        <v>0</v>
      </c>
      <c r="AQW66" s="20" t="n">
        <v>0</v>
      </c>
      <c r="AQX66" s="20" t="n">
        <v>0</v>
      </c>
      <c r="AQY66" s="20" t="n">
        <v>0</v>
      </c>
      <c r="AQZ66" s="20" t="n">
        <v>0</v>
      </c>
      <c r="ARA66" s="20" t="n">
        <v>0</v>
      </c>
      <c r="ARB66" s="20" t="n">
        <v>0</v>
      </c>
      <c r="ARC66" s="20" t="n">
        <v>0</v>
      </c>
      <c r="ARD66" s="20" t="n">
        <v>0</v>
      </c>
      <c r="ARE66" s="20" t="n">
        <v>0</v>
      </c>
      <c r="ARF66" s="20" t="n">
        <v>0</v>
      </c>
      <c r="ARG66" s="20" t="n">
        <v>0</v>
      </c>
      <c r="ARH66" s="20" t="n">
        <v>0</v>
      </c>
      <c r="ARI66" s="20" t="n">
        <v>0</v>
      </c>
      <c r="ARJ66" s="20" t="n">
        <v>0</v>
      </c>
      <c r="ARK66" s="20" t="n">
        <v>0</v>
      </c>
      <c r="ARL66" s="20" t="n">
        <v>0</v>
      </c>
      <c r="ARM66" s="20" t="n">
        <v>0</v>
      </c>
      <c r="ARN66" s="20" t="n">
        <v>0</v>
      </c>
      <c r="ARO66" s="20" t="n">
        <v>0</v>
      </c>
      <c r="ARP66" s="20" t="n">
        <v>0</v>
      </c>
      <c r="ARQ66" s="20" t="n">
        <v>0</v>
      </c>
      <c r="ARR66" s="20" t="n">
        <f aca="false">IF(AND(H_Direct=0,H_TaxEvt=1),IF(ARR65+1&gt;=H_Deemed,0,ARR65+1),ARR65)</f>
        <v>3</v>
      </c>
      <c r="ARS66" s="20" t="n">
        <f aca="false">IF(AND(H_Direct=0,H_TaxEvt=1),IF(ARS65+1&gt;=H_Deemed,0,ARS65+1),ARS65)</f>
        <v>3</v>
      </c>
      <c r="ART66" s="20" t="n">
        <f aca="false">IF(AND(H_Direct=0,H_TaxEvt=1),IF(ART65+1&gt;=H_Deemed,0,ART65+1),ART65)</f>
        <v>2</v>
      </c>
      <c r="ARU66" s="20" t="n">
        <f aca="false">IF(AND(H_Direct=0,H_TaxEvt=1),IF(ARU65+1&gt;=H_Deemed,0,ARU65+1),ARU65)</f>
        <v>1</v>
      </c>
      <c r="ARV66" s="20" t="n">
        <f aca="false">IF(AND(H_Direct=0,H_TaxEvt=1),IF(ARV65+1&gt;=H_Deemed,0,ARV65+1),ARV65)</f>
        <v>0</v>
      </c>
      <c r="ARW66" s="20" t="n">
        <f aca="false">IF(AND(H_Direct=0,H_TaxEvt=1),IF(ARW65+1&gt;=H_Deemed,0,ARW65+1),ARW65)</f>
        <v>7</v>
      </c>
      <c r="ARX66" s="20" t="n">
        <f aca="false">IF(AND(H_Direct=0,H_TaxEvt=1),IF(ARX65+1&gt;=H_Deemed,0,ARX65+1),ARX65)</f>
        <v>6</v>
      </c>
      <c r="ARY66" s="20" t="n">
        <f aca="false">IF(AND(H_Direct=0,H_TaxEvt=1),IF(ARY65+1&gt;=H_Deemed,0,ARY65+1),ARY65)</f>
        <v>5</v>
      </c>
      <c r="ARZ66" s="20" t="n">
        <f aca="false">IF(AND(H_Direct=0,H_TaxEvt=1),IF(ARZ65+1&gt;=H_Deemed,0,ARZ65+1),ARZ65)</f>
        <v>4</v>
      </c>
      <c r="ASA66" s="20" t="n">
        <f aca="false">IF(AND(H_Direct=0,H_TaxEvt=1),IF(ASA65+1&gt;=H_Deemed,0,ASA65+1),ASA65)</f>
        <v>3</v>
      </c>
      <c r="ASB66" s="20" t="n">
        <f aca="false">IF(AND(H_Direct=0,H_TaxEvt=1),IF(ASB65+1&gt;=H_Deemed,0,ASB65+1),ASB65)</f>
        <v>2</v>
      </c>
      <c r="ASC66" s="20" t="n">
        <f aca="false">IF(AND(H_Direct=0,H_TaxEvt=1),IF(ASC65+1&gt;=H_Deemed,0,ASC65+1),ASC65)</f>
        <v>1</v>
      </c>
      <c r="ASD66" s="20" t="n">
        <f aca="false">IF(AND(H_Direct=0,H_TaxEvt=1),IF(ASD65+1&gt;=H_Deemed,0,ASD65+1),ASD65)</f>
        <v>0</v>
      </c>
      <c r="ASE66" s="20" t="n">
        <f aca="false">IF(AND(H_Direct=0,H_TaxEvt=1),IF(ASE65+1&gt;=H_Deemed,0,ASE65+1),ASE65)</f>
        <v>7</v>
      </c>
      <c r="ASF66" s="20" t="n">
        <f aca="false">IF(AND(H_Direct=0,H_TaxEvt=1),IF(ASF65+1&gt;=H_Deemed,0,ASF65+1),ASF65)</f>
        <v>6</v>
      </c>
      <c r="ASG66" s="20" t="n">
        <f aca="false">IF(AND(H_Direct=0,H_TaxEvt=1),IF(ASG65+1&gt;=H_Deemed,0,ASG65+1),ASG65)</f>
        <v>5</v>
      </c>
      <c r="ASH66" s="20" t="n">
        <f aca="false">IF(AND(H_Direct=0,H_TaxEvt=1),IF(ASH65+1&gt;=H_Deemed,0,ASH65+1),ASH65)</f>
        <v>4</v>
      </c>
      <c r="ASI66" s="20" t="n">
        <f aca="false">IF(AND(H_Direct=0,H_TaxEvt=1),IF(ASI65+1&gt;=H_Deemed,0,ASI65+1),ASI65)</f>
        <v>3</v>
      </c>
      <c r="ASJ66" s="20" t="n">
        <f aca="false">IF(AND(H_Direct=0,H_TaxEvt=1),IF(ASJ65+1&gt;=H_Deemed,0,ASJ65+1),ASJ65)</f>
        <v>2</v>
      </c>
      <c r="ASK66" s="20" t="n">
        <f aca="false">IF(AND(H_Direct=0,H_TaxEvt=1),IF(ASK65+1&gt;=H_Deemed,0,ASK65+1),ASK65)</f>
        <v>1</v>
      </c>
      <c r="ASL66" s="20" t="n">
        <f aca="false">IF(AND(H_Direct=0,H_TaxEvt=1),IF(ASL65+1&gt;=H_Deemed,0,ASL65+1),ASL65)</f>
        <v>0</v>
      </c>
      <c r="ASM66" s="20" t="n">
        <f aca="false">IF(AND(H_Direct=0,H_TaxEvt=1),IF(ASM65+1&gt;=H_Deemed,0,ASM65+1),ASM65)</f>
        <v>7</v>
      </c>
      <c r="ASN66" s="20" t="n">
        <f aca="false">IF(AND(H_Direct=0,H_TaxEvt=1),IF(ASN65+1&gt;=H_Deemed,0,ASN65+1),ASN65)</f>
        <v>6</v>
      </c>
      <c r="ASO66" s="20" t="n">
        <f aca="false">IF(AND(H_Direct=0,H_TaxEvt=1),IF(ASO65+1&gt;=H_Deemed,0,ASO65+1),ASO65)</f>
        <v>5</v>
      </c>
      <c r="ASP66" s="20" t="n">
        <f aca="false">IF(AND(H_Direct=0,H_TaxEvt=1),IF(ASP65+1&gt;=H_Deemed,0,ASP65+1),ASP65)</f>
        <v>4</v>
      </c>
      <c r="ASQ66" s="20" t="n">
        <f aca="false">IF(AND(H_Direct=0,H_TaxEvt=1),IF(ASQ65+1&gt;=H_Deemed,0,ASQ65+1),ASQ65)</f>
        <v>3</v>
      </c>
      <c r="ASR66" s="20" t="n">
        <f aca="false">IF(AND(H_Direct=0,H_TaxEvt=1),IF(ASR65+1&gt;=H_Deemed,0,ASR65+1),ASR65)</f>
        <v>2</v>
      </c>
      <c r="ASS66" s="20" t="n">
        <f aca="false">IF(AND(H_Direct=0,H_TaxEvt=1),IF(ASS65+1&gt;=H_Deemed,0,ASS65+1),ASS65)</f>
        <v>1</v>
      </c>
      <c r="AST66" s="20" t="n">
        <f aca="false">IF(AND(H_Direct=0,H_TaxEvt=1),IF(AST65+1&gt;=H_Deemed,0,AST65+1),AST65)</f>
        <v>0</v>
      </c>
      <c r="ASU66" s="20" t="n">
        <f aca="false">IF(AND(H_Direct=0,H_TaxEvt=1),IF(ASU65+1&gt;=H_Deemed,0,ASU65+1),ASU65)</f>
        <v>7</v>
      </c>
      <c r="ASV66" s="20" t="n">
        <f aca="false">IF(AND(H_Direct=0,H_TaxEvt=1),IF(ASV65+1&gt;=H_Deemed,0,ASV65+1),ASV65)</f>
        <v>6</v>
      </c>
      <c r="ASW66" s="20" t="n">
        <f aca="false">IF(AND(H_Direct=0,H_TaxEvt=1),IF(ASW65+1&gt;=H_Deemed,0,ASW65+1),ASW65)</f>
        <v>5</v>
      </c>
      <c r="ASX66" s="20" t="n">
        <f aca="false">IF(AND(H_Direct=0,H_TaxEvt=1),IF(ASX65+1&gt;=H_Deemed,0,ASX65+1),ASX65)</f>
        <v>4</v>
      </c>
      <c r="ASY66" s="20" t="n">
        <f aca="false">IF(AND(H_Direct=0,H_TaxEvt=1),IF(ASY65+1&gt;=H_Deemed,0,ASY65+1),ASY65)</f>
        <v>3</v>
      </c>
      <c r="ASZ66" s="20" t="n">
        <f aca="false">IF(AND(H_Direct=0,H_TaxEvt=1),IF(ASZ65+1&gt;=H_Deemed,0,ASZ65+1),ASZ65)</f>
        <v>2</v>
      </c>
      <c r="ATA66" s="20" t="n">
        <f aca="false">IF(AND(H_Direct=0,H_TaxEvt=1),IF(ATA65+1&gt;=H_Deemed,0,ATA65+1),ATA65)</f>
        <v>1</v>
      </c>
      <c r="ATB66" s="20" t="n">
        <f aca="false">IF(AND(H_Direct=0,H_TaxEvt=1),IF(ATB65+1&gt;=H_Deemed,0,ATB65+1),ATB65)</f>
        <v>0</v>
      </c>
      <c r="ATC66" s="20" t="n">
        <f aca="false">IF(AND(H_Direct=0,H_TaxEvt=1),IF(ATC65+1&gt;=H_Deemed,0,ATC65+1),ATC65)</f>
        <v>7</v>
      </c>
      <c r="ATD66" s="20" t="n">
        <f aca="false">IF(AND(H_Direct=0,H_TaxEvt=1),IF(ATD65+1&gt;=H_Deemed,0,ATD65+1),ATD65)</f>
        <v>6</v>
      </c>
      <c r="ATE66" s="20" t="n">
        <f aca="false">IF(AND(H_Direct=0,H_TaxEvt=1),IF(ATE65+1&gt;=H_Deemed,0,ATE65+1),ATE65)</f>
        <v>5</v>
      </c>
      <c r="ATF66" s="20" t="n">
        <f aca="false">IF(AND(H_Direct=0,H_TaxEvt=1),IF(ATF65+1&gt;=H_Deemed,0,ATF65+1),ATF65)</f>
        <v>4</v>
      </c>
      <c r="ATG66" s="20" t="n">
        <f aca="false">IF(AND(H_Direct=0,H_TaxEvt=1),IF(ATG65+1&gt;=H_Deemed,0,ATG65+1),ATG65)</f>
        <v>3</v>
      </c>
      <c r="ATH66" s="20" t="n">
        <f aca="false">IF(AND(H_Direct=0,H_TaxEvt=1),IF(ATH65+1&gt;=H_Deemed,0,ATH65+1),ATH65)</f>
        <v>2</v>
      </c>
      <c r="ATI66" s="20" t="n">
        <f aca="false">IF(AND(H_Direct=0,H_TaxEvt=1),IF(ATI65+1&gt;=H_Deemed,0,ATI65+1),ATI65)</f>
        <v>1</v>
      </c>
      <c r="ATJ66" s="20" t="n">
        <f aca="false">IF(AND(H_Direct=0,H_TaxEvt=1),IF(ATJ65+1&gt;=H_Deemed,0,ATJ65+1),ATJ65)</f>
        <v>0</v>
      </c>
      <c r="ATK66" s="20" t="n">
        <f aca="false">IF(AND(H_Direct=0,H_TaxEvt=1),IF(ATK65+1&gt;=H_Deemed,0,ATK65+1),ATK65)</f>
        <v>7</v>
      </c>
      <c r="ATL66" s="20" t="n">
        <f aca="false">IF(AND(H_Direct=0,H_TaxEvt=1),IF(ATL65+1&gt;=H_Deemed,0,ATL65+1),ATL65)</f>
        <v>6</v>
      </c>
      <c r="ATM66" s="20" t="n">
        <f aca="false">IF(AND(H_Direct=0,H_TaxEvt=1),IF(ATM65+1&gt;=H_Deemed,0,ATM65+1),ATM65)</f>
        <v>5</v>
      </c>
      <c r="ATN66" s="20" t="n">
        <f aca="false">IF(AND(H_Direct=0,H_TaxEvt=1),IF(ATN65+1&gt;=H_Deemed,0,ATN65+1),ATN65)</f>
        <v>4</v>
      </c>
      <c r="ATO66" s="20" t="n">
        <f aca="false">IF(AND(H_Direct=0,H_TaxEvt=1),IF(ATO65+1&gt;=H_Deemed,0,ATO65+1),ATO65)</f>
        <v>3</v>
      </c>
      <c r="ATP66" s="20" t="n">
        <f aca="false">IF(AND(H_Direct=0,H_TaxEvt=1),IF(ATP65+1&gt;=H_Deemed,0,ATP65+1),ATP65)</f>
        <v>2</v>
      </c>
      <c r="ATQ66" s="20" t="n">
        <f aca="false">IF(AND(H_Direct=0,H_TaxEvt=1),IF(ATQ65+1&gt;=H_Deemed,0,ATQ65+1),ATQ65)</f>
        <v>1</v>
      </c>
      <c r="ATR66" s="20" t="n">
        <f aca="false">IF(AND(H_Direct=0,H_TaxEvt=1),IF(ATR65+1&gt;=H_Deemed,0,ATR65+1),ATR65)</f>
        <v>0</v>
      </c>
      <c r="ATS66" s="20" t="n">
        <f aca="false">IF(AND(H_Direct=0,H_TaxEvt=1),IF(ATS65+1&gt;=H_Deemed,0,ATS65+1),ATS65)</f>
        <v>7</v>
      </c>
      <c r="ATT66" s="20" t="n">
        <f aca="false">IF(AND(H_Direct=0,H_TaxEvt=1),IF(ATT65+1&gt;=H_Deemed,0,ATT65+1),ATT65)</f>
        <v>6</v>
      </c>
      <c r="ATU66" s="20" t="n">
        <f aca="false">IF(AND(H_Direct=0,H_TaxEvt=1),IF(ATU65+1&gt;=H_Deemed,0,ATU65+1),ATU65)</f>
        <v>5</v>
      </c>
      <c r="ATV66" s="20" t="n">
        <f aca="false">IF(AND(H_Direct=0,H_TaxEvt=1),IF(ATV65+1&gt;=H_Deemed,0,ATV65+1),ATV65)</f>
        <v>4</v>
      </c>
      <c r="ATW66" s="20" t="n">
        <f aca="false">IF(AND(H_Direct=0,H_TaxEvt=1),IF(ATW65+1&gt;=H_Deemed,0,ATW65+1),ATW65)</f>
        <v>3</v>
      </c>
      <c r="ATX66" s="20" t="n">
        <f aca="false">IF(AND(H_Direct=0,H_TaxEvt=1),IF(ATX65+1&gt;=H_Deemed,0,ATX65+1),ATX65)</f>
        <v>2</v>
      </c>
      <c r="ATY66" s="20" t="n">
        <f aca="false">IF(AND(H_Direct=0,H_TaxEvt=1),IF(0+1&gt;=H_Deemed,0,0+1),0)</f>
        <v>1</v>
      </c>
      <c r="ATZ66" s="20" t="n">
        <v>0</v>
      </c>
      <c r="AUA66" s="20" t="n">
        <v>0</v>
      </c>
      <c r="AUB66" s="20" t="n">
        <v>0</v>
      </c>
      <c r="AUC66" s="20" t="n">
        <v>0</v>
      </c>
      <c r="AUD66" s="20" t="n">
        <v>0</v>
      </c>
      <c r="AUE66" s="20" t="n">
        <v>0</v>
      </c>
      <c r="AUF66" s="20" t="n">
        <v>0</v>
      </c>
      <c r="AUG66" s="20" t="n">
        <v>0</v>
      </c>
      <c r="AUH66" s="20" t="n">
        <v>0</v>
      </c>
      <c r="AUI66" s="20" t="n">
        <v>0</v>
      </c>
      <c r="AUJ66" s="20" t="n">
        <v>0</v>
      </c>
      <c r="AUK66" s="20" t="n">
        <v>0</v>
      </c>
      <c r="AUL66" s="20" t="n">
        <v>0</v>
      </c>
      <c r="AUM66" s="20" t="n">
        <v>0</v>
      </c>
      <c r="AUN66" s="20" t="n">
        <v>0</v>
      </c>
      <c r="AUO66" s="20" t="n">
        <v>0</v>
      </c>
      <c r="AUP66" s="20" t="n">
        <v>0</v>
      </c>
      <c r="AUQ66" s="20" t="n">
        <v>0</v>
      </c>
      <c r="AUR66" s="20" t="n">
        <v>0</v>
      </c>
      <c r="AUS66" s="20" t="n">
        <v>0</v>
      </c>
      <c r="AUT66" s="20" t="n">
        <v>0</v>
      </c>
      <c r="AUU66" s="20" t="n">
        <v>0</v>
      </c>
      <c r="AUV66" s="20" t="n">
        <v>0</v>
      </c>
      <c r="AUW66" s="20" t="n">
        <v>0</v>
      </c>
      <c r="AUX66" s="20" t="n">
        <v>0</v>
      </c>
      <c r="AUY66" s="20" t="n">
        <v>0</v>
      </c>
      <c r="AUZ66" s="20" t="n">
        <v>0</v>
      </c>
      <c r="AVA66" s="20" t="n">
        <v>0</v>
      </c>
      <c r="AVB66" s="20" t="n">
        <v>0</v>
      </c>
      <c r="AVC66" s="20" t="n">
        <v>0</v>
      </c>
      <c r="AVD66" s="20" t="n">
        <v>0</v>
      </c>
      <c r="AVE66" s="20" t="n">
        <f aca="false">IF(AND(H_Direct=0,H_TaxEvt=1,ARR65+1&gt;=H_Deemed),MAX(0,ADR66-AHE66)*H_Exit,0)</f>
        <v>0</v>
      </c>
      <c r="AVF66" s="20" t="n">
        <f aca="false">IF(AND(H_Direct=0,H_TaxEvt=1,ARS65+1&gt;=H_Deemed),MAX(0,ADS66-AHF66)*H_Exit,0)</f>
        <v>0</v>
      </c>
      <c r="AVG66" s="20" t="n">
        <f aca="false">IF(AND(H_Direct=0,H_TaxEvt=1,ART65+1&gt;=H_Deemed),MAX(0,ADT66-AHG66)*H_Exit,0)</f>
        <v>0</v>
      </c>
      <c r="AVH66" s="20" t="n">
        <f aca="false">IF(AND(H_Direct=0,H_TaxEvt=1,ARU65+1&gt;=H_Deemed),MAX(0,ADU66-AHH66)*H_Exit,0)</f>
        <v>0</v>
      </c>
      <c r="AVI66" s="20" t="n">
        <f aca="false">IF(AND(H_Direct=0,H_TaxEvt=1,ARV65+1&gt;=H_Deemed),MAX(0,ADV66-AHI66)*H_Exit,0)</f>
        <v>0</v>
      </c>
      <c r="AVJ66" s="20" t="n">
        <f aca="false">IF(AND(H_Direct=0,H_TaxEvt=1,ARW65+1&gt;=H_Deemed),MAX(0,ADW66-AHJ66)*H_Exit,0)</f>
        <v>0</v>
      </c>
      <c r="AVK66" s="20" t="n">
        <f aca="false">IF(AND(H_Direct=0,H_TaxEvt=1,ARX65+1&gt;=H_Deemed),MAX(0,ADX66-AHK66)*H_Exit,0)</f>
        <v>0</v>
      </c>
      <c r="AVL66" s="20" t="n">
        <f aca="false">IF(AND(H_Direct=0,H_TaxEvt=1,ARY65+1&gt;=H_Deemed),MAX(0,ADY66-AHL66)*H_Exit,0)</f>
        <v>0</v>
      </c>
      <c r="AVM66" s="20" t="n">
        <f aca="false">IF(AND(H_Direct=0,H_TaxEvt=1,ARZ65+1&gt;=H_Deemed),MAX(0,ADZ66-AHM66)*H_Exit,0)</f>
        <v>0</v>
      </c>
      <c r="AVN66" s="20" t="n">
        <f aca="false">IF(AND(H_Direct=0,H_TaxEvt=1,ASA65+1&gt;=H_Deemed),MAX(0,AEA66-AHN66)*H_Exit,0)</f>
        <v>0</v>
      </c>
      <c r="AVO66" s="20" t="n">
        <f aca="false">IF(AND(H_Direct=0,H_TaxEvt=1,ASB65+1&gt;=H_Deemed),MAX(0,AEB66-AHO66)*H_Exit,0)</f>
        <v>0</v>
      </c>
      <c r="AVP66" s="20" t="n">
        <f aca="false">IF(AND(H_Direct=0,H_TaxEvt=1,ASC65+1&gt;=H_Deemed),MAX(0,AEC66-AHP66)*H_Exit,0)</f>
        <v>0</v>
      </c>
      <c r="AVQ66" s="20" t="n">
        <f aca="false">IF(AND(H_Direct=0,H_TaxEvt=1,ASD65+1&gt;=H_Deemed),MAX(0,AED66-AHQ66)*H_Exit,0)</f>
        <v>0</v>
      </c>
      <c r="AVR66" s="20" t="n">
        <f aca="false">IF(AND(H_Direct=0,H_TaxEvt=1,ASE65+1&gt;=H_Deemed),MAX(0,AEE66-AHR66)*H_Exit,0)</f>
        <v>0</v>
      </c>
      <c r="AVS66" s="20" t="n">
        <f aca="false">IF(AND(H_Direct=0,H_TaxEvt=1,ASF65+1&gt;=H_Deemed),MAX(0,AEF66-AHS66)*H_Exit,0)</f>
        <v>0</v>
      </c>
      <c r="AVT66" s="20" t="n">
        <f aca="false">IF(AND(H_Direct=0,H_TaxEvt=1,ASG65+1&gt;=H_Deemed),MAX(0,AEG66-AHT66)*H_Exit,0)</f>
        <v>0</v>
      </c>
      <c r="AVU66" s="20" t="n">
        <f aca="false">IF(AND(H_Direct=0,H_TaxEvt=1,ASH65+1&gt;=H_Deemed),MAX(0,AEH66-AHU66)*H_Exit,0)</f>
        <v>0</v>
      </c>
      <c r="AVV66" s="20" t="n">
        <f aca="false">IF(AND(H_Direct=0,H_TaxEvt=1,ASI65+1&gt;=H_Deemed),MAX(0,AEI66-AHV66)*H_Exit,0)</f>
        <v>0</v>
      </c>
      <c r="AVW66" s="20" t="n">
        <f aca="false">IF(AND(H_Direct=0,H_TaxEvt=1,ASJ65+1&gt;=H_Deemed),MAX(0,AEJ66-AHW66)*H_Exit,0)</f>
        <v>0</v>
      </c>
      <c r="AVX66" s="20" t="n">
        <f aca="false">IF(AND(H_Direct=0,H_TaxEvt=1,ASK65+1&gt;=H_Deemed),MAX(0,AEK66-AHX66)*H_Exit,0)</f>
        <v>0</v>
      </c>
      <c r="AVY66" s="20" t="n">
        <f aca="false">IF(AND(H_Direct=0,H_TaxEvt=1,ASL65+1&gt;=H_Deemed),MAX(0,AEL66-AHY66)*H_Exit,0)</f>
        <v>0</v>
      </c>
      <c r="AVZ66" s="20" t="n">
        <f aca="false">IF(AND(H_Direct=0,H_TaxEvt=1,ASM65+1&gt;=H_Deemed),MAX(0,AEM66-AHZ66)*H_Exit,0)</f>
        <v>0</v>
      </c>
      <c r="AWA66" s="20" t="n">
        <f aca="false">IF(AND(H_Direct=0,H_TaxEvt=1,ASN65+1&gt;=H_Deemed),MAX(0,AEN66-AIA66)*H_Exit,0)</f>
        <v>0</v>
      </c>
      <c r="AWB66" s="20" t="n">
        <f aca="false">IF(AND(H_Direct=0,H_TaxEvt=1,ASO65+1&gt;=H_Deemed),MAX(0,AEO66-AIB66)*H_Exit,0)</f>
        <v>0</v>
      </c>
      <c r="AWC66" s="20" t="n">
        <f aca="false">IF(AND(H_Direct=0,H_TaxEvt=1,ASP65+1&gt;=H_Deemed),MAX(0,AEP66-AIC66)*H_Exit,0)</f>
        <v>0</v>
      </c>
      <c r="AWD66" s="20" t="n">
        <f aca="false">IF(AND(H_Direct=0,H_TaxEvt=1,ASQ65+1&gt;=H_Deemed),MAX(0,AEQ66-AID66)*H_Exit,0)</f>
        <v>0</v>
      </c>
      <c r="AWE66" s="20" t="n">
        <f aca="false">IF(AND(H_Direct=0,H_TaxEvt=1,ASR65+1&gt;=H_Deemed),MAX(0,AER66-AIE66)*H_Exit,0)</f>
        <v>0</v>
      </c>
      <c r="AWF66" s="20" t="n">
        <f aca="false">IF(AND(H_Direct=0,H_TaxEvt=1,ASS65+1&gt;=H_Deemed),MAX(0,AES66-AIF66)*H_Exit,0)</f>
        <v>0</v>
      </c>
      <c r="AWG66" s="20" t="n">
        <f aca="false">IF(AND(H_Direct=0,H_TaxEvt=1,AST65+1&gt;=H_Deemed),MAX(0,AET66-AIG66)*H_Exit,0)</f>
        <v>0</v>
      </c>
      <c r="AWH66" s="20" t="n">
        <f aca="false">IF(AND(H_Direct=0,H_TaxEvt=1,ASU65+1&gt;=H_Deemed),MAX(0,AEU66-AIH66)*H_Exit,0)</f>
        <v>0</v>
      </c>
      <c r="AWI66" s="20" t="n">
        <f aca="false">IF(AND(H_Direct=0,H_TaxEvt=1,ASV65+1&gt;=H_Deemed),MAX(0,AEV66-AII66)*H_Exit,0)</f>
        <v>0</v>
      </c>
      <c r="AWJ66" s="20" t="n">
        <f aca="false">IF(AND(H_Direct=0,H_TaxEvt=1,ASW65+1&gt;=H_Deemed),MAX(0,AEW66-AIJ66)*H_Exit,0)</f>
        <v>0</v>
      </c>
      <c r="AWK66" s="20" t="n">
        <f aca="false">IF(AND(H_Direct=0,H_TaxEvt=1,ASX65+1&gt;=H_Deemed),MAX(0,AEX66-AIK66)*H_Exit,0)</f>
        <v>0</v>
      </c>
      <c r="AWL66" s="20" t="n">
        <f aca="false">IF(AND(H_Direct=0,H_TaxEvt=1,ASY65+1&gt;=H_Deemed),MAX(0,AEY66-AIL66)*H_Exit,0)</f>
        <v>0</v>
      </c>
      <c r="AWM66" s="20" t="n">
        <f aca="false">IF(AND(H_Direct=0,H_TaxEvt=1,ASZ65+1&gt;=H_Deemed),MAX(0,AEZ66-AIM66)*H_Exit,0)</f>
        <v>0</v>
      </c>
      <c r="AWN66" s="20" t="n">
        <f aca="false">IF(AND(H_Direct=0,H_TaxEvt=1,ATA65+1&gt;=H_Deemed),MAX(0,AFA66-AIN66)*H_Exit,0)</f>
        <v>0</v>
      </c>
      <c r="AWO66" s="20" t="n">
        <f aca="false">IF(AND(H_Direct=0,H_TaxEvt=1,ATB65+1&gt;=H_Deemed),MAX(0,AFB66-AIO66)*H_Exit,0)</f>
        <v>0</v>
      </c>
      <c r="AWP66" s="20" t="n">
        <f aca="false">IF(AND(H_Direct=0,H_TaxEvt=1,ATC65+1&gt;=H_Deemed),MAX(0,AFC66-AIP66)*H_Exit,0)</f>
        <v>0</v>
      </c>
      <c r="AWQ66" s="20" t="n">
        <f aca="false">IF(AND(H_Direct=0,H_TaxEvt=1,ATD65+1&gt;=H_Deemed),MAX(0,AFD66-AIQ66)*H_Exit,0)</f>
        <v>0</v>
      </c>
      <c r="AWR66" s="20" t="n">
        <f aca="false">IF(AND(H_Direct=0,H_TaxEvt=1,ATE65+1&gt;=H_Deemed),MAX(0,AFE66-AIR66)*H_Exit,0)</f>
        <v>0</v>
      </c>
      <c r="AWS66" s="20" t="n">
        <f aca="false">IF(AND(H_Direct=0,H_TaxEvt=1,ATF65+1&gt;=H_Deemed),MAX(0,AFF66-AIS66)*H_Exit,0)</f>
        <v>0</v>
      </c>
      <c r="AWT66" s="20" t="n">
        <f aca="false">IF(AND(H_Direct=0,H_TaxEvt=1,ATG65+1&gt;=H_Deemed),MAX(0,AFG66-AIT66)*H_Exit,0)</f>
        <v>0</v>
      </c>
      <c r="AWU66" s="20" t="n">
        <f aca="false">IF(AND(H_Direct=0,H_TaxEvt=1,ATH65+1&gt;=H_Deemed),MAX(0,AFH66-AIU66)*H_Exit,0)</f>
        <v>0</v>
      </c>
      <c r="AWV66" s="20" t="n">
        <f aca="false">IF(AND(H_Direct=0,H_TaxEvt=1,ATI65+1&gt;=H_Deemed),MAX(0,AFI66-AIV66)*H_Exit,0)</f>
        <v>0</v>
      </c>
      <c r="AWW66" s="20" t="n">
        <f aca="false">IF(AND(H_Direct=0,H_TaxEvt=1,ATJ65+1&gt;=H_Deemed),MAX(0,AFJ66-AIW66)*H_Exit,0)</f>
        <v>0</v>
      </c>
      <c r="AWX66" s="20" t="n">
        <f aca="false">IF(AND(H_Direct=0,H_TaxEvt=1,ATK65+1&gt;=H_Deemed),MAX(0,AFK66-AIX66)*H_Exit,0)</f>
        <v>0</v>
      </c>
      <c r="AWY66" s="20" t="n">
        <f aca="false">IF(AND(H_Direct=0,H_TaxEvt=1,ATL65+1&gt;=H_Deemed),MAX(0,AFL66-AIY66)*H_Exit,0)</f>
        <v>0</v>
      </c>
      <c r="AWZ66" s="20" t="n">
        <f aca="false">IF(AND(H_Direct=0,H_TaxEvt=1,ATM65+1&gt;=H_Deemed),MAX(0,AFM66-AIZ66)*H_Exit,0)</f>
        <v>0</v>
      </c>
      <c r="AXA66" s="20" t="n">
        <f aca="false">IF(AND(H_Direct=0,H_TaxEvt=1,ATN65+1&gt;=H_Deemed),MAX(0,AFN66-AJA66)*H_Exit,0)</f>
        <v>0</v>
      </c>
      <c r="AXB66" s="20" t="n">
        <f aca="false">IF(AND(H_Direct=0,H_TaxEvt=1,ATO65+1&gt;=H_Deemed),MAX(0,AFO66-AJB66)*H_Exit,0)</f>
        <v>0</v>
      </c>
      <c r="AXC66" s="20" t="n">
        <f aca="false">IF(AND(H_Direct=0,H_TaxEvt=1,ATP65+1&gt;=H_Deemed),MAX(0,AFP66-AJC66)*H_Exit,0)</f>
        <v>0</v>
      </c>
      <c r="AXD66" s="20" t="n">
        <f aca="false">IF(AND(H_Direct=0,H_TaxEvt=1,ATQ65+1&gt;=H_Deemed),MAX(0,AFQ66-AJD66)*H_Exit,0)</f>
        <v>0</v>
      </c>
      <c r="AXE66" s="20" t="n">
        <f aca="false">IF(AND(H_Direct=0,H_TaxEvt=1,ATR65+1&gt;=H_Deemed),MAX(0,AFR66-AJE66)*H_Exit,0)</f>
        <v>0</v>
      </c>
      <c r="AXF66" s="20" t="n">
        <f aca="false">IF(AND(H_Direct=0,H_TaxEvt=1,ATS65+1&gt;=H_Deemed),MAX(0,AFS66-AJF66)*H_Exit,0)</f>
        <v>0</v>
      </c>
      <c r="AXG66" s="20" t="n">
        <f aca="false">IF(AND(H_Direct=0,H_TaxEvt=1,ATT65+1&gt;=H_Deemed),MAX(0,AFT66-AJG66)*H_Exit,0)</f>
        <v>0</v>
      </c>
      <c r="AXH66" s="20" t="n">
        <f aca="false">IF(AND(H_Direct=0,H_TaxEvt=1,ATU65+1&gt;=H_Deemed),MAX(0,AFU66-AJH66)*H_Exit,0)</f>
        <v>0</v>
      </c>
      <c r="AXI66" s="20" t="n">
        <f aca="false">IF(AND(H_Direct=0,H_TaxEvt=1,ATV65+1&gt;=H_Deemed),MAX(0,AFV66-AJI66)*H_Exit,0)</f>
        <v>0</v>
      </c>
      <c r="AXJ66" s="20" t="n">
        <f aca="false">IF(AND(H_Direct=0,H_TaxEvt=1,ATW65+1&gt;=H_Deemed),MAX(0,AFW66-AJJ66)*H_Exit,0)</f>
        <v>0</v>
      </c>
      <c r="AXK66" s="20" t="n">
        <f aca="false">IF(AND(H_Direct=0,H_TaxEvt=1,ATX65+1&gt;=H_Deemed),MAX(0,AFX66-AJK66)*H_Exit,0)</f>
        <v>0</v>
      </c>
      <c r="AXL66" s="20" t="n">
        <f aca="false">IF(AND(H_Direct=0,H_TaxEvt=1,0+1&gt;=H_Deemed),MAX(0,AFY66-AJL66)*H_Exit,0)</f>
        <v>0</v>
      </c>
      <c r="AXM66" s="20" t="n">
        <v>0</v>
      </c>
      <c r="AXN66" s="20" t="n">
        <v>0</v>
      </c>
      <c r="AXO66" s="20" t="n">
        <v>0</v>
      </c>
      <c r="AXP66" s="20" t="n">
        <v>0</v>
      </c>
      <c r="AXQ66" s="20" t="n">
        <v>0</v>
      </c>
      <c r="AXR66" s="20" t="n">
        <v>0</v>
      </c>
      <c r="AXS66" s="20" t="n">
        <v>0</v>
      </c>
      <c r="AXT66" s="20" t="n">
        <v>0</v>
      </c>
      <c r="AXU66" s="20" t="n">
        <v>0</v>
      </c>
      <c r="AXV66" s="20" t="n">
        <v>0</v>
      </c>
      <c r="AXW66" s="20" t="n">
        <v>0</v>
      </c>
      <c r="AXX66" s="20" t="n">
        <v>0</v>
      </c>
      <c r="AXY66" s="20" t="n">
        <v>0</v>
      </c>
      <c r="AXZ66" s="20" t="n">
        <v>0</v>
      </c>
      <c r="AYA66" s="20" t="n">
        <v>0</v>
      </c>
      <c r="AYB66" s="20" t="n">
        <v>0</v>
      </c>
      <c r="AYC66" s="20" t="n">
        <v>0</v>
      </c>
      <c r="AYD66" s="20" t="n">
        <v>0</v>
      </c>
      <c r="AYE66" s="20" t="n">
        <v>0</v>
      </c>
      <c r="AYF66" s="20" t="n">
        <v>0</v>
      </c>
      <c r="AYG66" s="20" t="n">
        <v>0</v>
      </c>
      <c r="AYH66" s="20" t="n">
        <v>0</v>
      </c>
      <c r="AYI66" s="20" t="n">
        <v>0</v>
      </c>
      <c r="AYJ66" s="20" t="n">
        <v>0</v>
      </c>
      <c r="AYK66" s="20" t="n">
        <v>0</v>
      </c>
      <c r="AYL66" s="20" t="n">
        <v>0</v>
      </c>
      <c r="AYM66" s="20" t="n">
        <v>0</v>
      </c>
      <c r="AYN66" s="20" t="n">
        <v>0</v>
      </c>
      <c r="AYO66" s="20" t="n">
        <v>0</v>
      </c>
      <c r="AYP66" s="20" t="n">
        <v>0</v>
      </c>
      <c r="AYQ66" s="20" t="n">
        <v>0</v>
      </c>
    </row>
    <row r="67" customFormat="false" ht="15" hidden="false" customHeight="false" outlineLevel="0" collapsed="false">
      <c r="B67" s="20" t="n">
        <v>59</v>
      </c>
      <c r="C67" s="20" t="n">
        <f aca="false">'Plan cashflow'!C67</f>
        <v>0</v>
      </c>
      <c r="D67" s="20" t="n">
        <f aca="false">'Plan cashflow'!D67</f>
        <v>97</v>
      </c>
      <c r="E67" s="20" t="n">
        <f aca="false">AS_Year0+59</f>
        <v>2085</v>
      </c>
      <c r="F67" s="50" t="n">
        <f aca="false">'Plan cashflow'!F67</f>
        <v>3.21669685133864</v>
      </c>
      <c r="G67" s="59" t="n">
        <f aca="true">IF(MAX(TODAY(),DATE(E67,1,1))&gt;=H_CGTfrom,H_CGT1,H_CGT0)</f>
        <v>0.31</v>
      </c>
      <c r="H67" s="20" t="n">
        <f aca="false">H_Exempt*H_Persons</f>
        <v>1270</v>
      </c>
      <c r="I67" s="20" t="n">
        <f aca="false">AX66</f>
        <v>0</v>
      </c>
      <c r="J67" s="60" t="n">
        <f aca="false">BF66</f>
        <v>0</v>
      </c>
      <c r="K67" s="60" t="n">
        <f aca="false">BG66</f>
        <v>0</v>
      </c>
      <c r="L67" s="20" t="n">
        <f aca="false">IF(AND(In_polLump&gt;0,In_polLumpAge&gt;0,D67=In_polLumpAge),In_polLump,0)</f>
        <v>0</v>
      </c>
      <c r="M67" s="20" t="n">
        <f aca="false">IF(AND(In_homeUse="Yes, I'd downsize",In_downAge&gt;0,D67=In_downAge,OR(In_home="Own outright",In_home="Own with mortgage"),In_homeValue&gt;0),MAX(0,MAX(0,In_homeValue-In_downValue)*F67*0.9-'Plan cashflow'!HR66),0)</f>
        <v>0</v>
      </c>
      <c r="N67" s="20" t="n">
        <f aca="false">'Plan pay &amp; tax'!Y293</f>
        <v>0</v>
      </c>
      <c r="O67" s="20" t="n">
        <f aca="false">L67+M67+(1-H_Sh)*N67</f>
        <v>0</v>
      </c>
      <c r="P67" s="20" t="n">
        <f aca="false">H_Sh*N67</f>
        <v>0</v>
      </c>
      <c r="Q67" s="20" t="n">
        <f aca="false">'Plan cashflow'!UL67</f>
        <v>0</v>
      </c>
      <c r="R67" s="20" t="n">
        <f aca="false">(1-H_Sh)*Q67</f>
        <v>0</v>
      </c>
      <c r="S67" s="20" t="n">
        <f aca="false">H_Sh*Q67</f>
        <v>0</v>
      </c>
      <c r="T67" s="20" t="n">
        <f aca="false">J67+K67+O67</f>
        <v>0</v>
      </c>
      <c r="U67" s="20" t="n">
        <f aca="false">T67+R67</f>
        <v>0</v>
      </c>
      <c r="V67" s="60" t="n">
        <f aca="false">SUM(FE67:IQ67)</f>
        <v>0</v>
      </c>
      <c r="W67" s="60" t="n">
        <f aca="false">IF(AJ67&lt;=0,0,IF(AL67&lt;=0,AJ67,AJ67-G67*MAX(0,AL67*AJ67-(AY67+AZ67))))</f>
        <v>0</v>
      </c>
      <c r="X67" s="60" t="n">
        <f aca="false">IF(AR67&lt;=0,0,IF(AT67&lt;=0,AR67,AR67-G67*MAX(0,AT67*AR67-(BA67+BB67))))</f>
        <v>0</v>
      </c>
      <c r="Y67" s="60" t="n">
        <f aca="false">T67+V67-S67+W67+X67</f>
        <v>0</v>
      </c>
      <c r="Z67" s="60" t="n">
        <f aca="false">'Plan cashflow'!UK67</f>
        <v>0</v>
      </c>
      <c r="AA67" s="20" t="n">
        <f aca="false">MIN(Z67,U67)</f>
        <v>0</v>
      </c>
      <c r="AB67" s="20" t="n">
        <f aca="false">Z67-AA67</f>
        <v>0</v>
      </c>
      <c r="AC67" s="20" t="n">
        <f aca="false">MIN(AA67,J67+O67+R67)</f>
        <v>0</v>
      </c>
      <c r="AD67" s="20" t="n">
        <f aca="false">AA67-AC67</f>
        <v>0</v>
      </c>
      <c r="AE67" s="20" t="n">
        <f aca="false">J67+O67+R67-AC67</f>
        <v>0</v>
      </c>
      <c r="AF67" s="20" t="n">
        <f aca="false">K67-AD67</f>
        <v>0</v>
      </c>
      <c r="AG67" s="20" t="n">
        <f aca="false">SUM(PR67:TD67)</f>
        <v>0</v>
      </c>
      <c r="AH67" s="20" t="n">
        <f aca="false">SUM(TE67:WQ67)</f>
        <v>0</v>
      </c>
      <c r="AI67" s="20" t="n">
        <f aca="false">MAX(0,AB67-AG67)</f>
        <v>0</v>
      </c>
      <c r="AJ67" s="57" t="n">
        <f aca="false">BI66</f>
        <v>0</v>
      </c>
      <c r="AK67" s="20" t="n">
        <f aca="false">BJ66</f>
        <v>0</v>
      </c>
      <c r="AL67" s="20" t="n">
        <f aca="false">IF(AJ67&gt;0,(AJ67-AK67)/AJ67,0)</f>
        <v>0</v>
      </c>
      <c r="AM67" s="20" t="n">
        <f aca="false">IF(AJ67&lt;=0,0,IF(AL67&lt;=0,MIN(AI67,AJ67),MIN(AI67,AJ67-G67*MAX(0,AL67*AJ67-(AAD67+ADQ67)))))</f>
        <v>0</v>
      </c>
      <c r="AN67" s="20" t="n">
        <f aca="false">IF(AJ67&lt;=0,0,IF(AL67&lt;=0,AM67,IF(AM67&lt;=(AAD67+ADQ67)/AL67,AM67,(AM67-G67*(AAD67+ADQ67))/(1-G67*AL67))))</f>
        <v>0</v>
      </c>
      <c r="AO67" s="20" t="n">
        <f aca="false">IF(AL67&gt;0,MAX(0,AAD67-(MIN(AL67*AN67,(AAD67+ADQ67))-MIN(MIN(AL67*AN67,(AAD67+ADQ67)),ADQ67))),AAD67)</f>
        <v>1270</v>
      </c>
      <c r="AP67" s="20" t="n">
        <f aca="false">IF(AL67&lt;=0,ADQ67-AL67*AN67,ADQ67-MIN(MIN(AL67*AN67,(AAD67+ADQ67)),ADQ67))</f>
        <v>0</v>
      </c>
      <c r="AQ67" s="20" t="n">
        <f aca="false">MAX(0,AI67-AM67)</f>
        <v>0</v>
      </c>
      <c r="AR67" s="57" t="n">
        <f aca="false">BK66</f>
        <v>0</v>
      </c>
      <c r="AS67" s="20" t="n">
        <f aca="false">BL66</f>
        <v>0</v>
      </c>
      <c r="AT67" s="20" t="n">
        <f aca="false">IF(AR67&gt;0,(AR67-AS67)/AR67,0)</f>
        <v>0</v>
      </c>
      <c r="AU67" s="20" t="n">
        <f aca="false">IF(AR67&lt;=0,0,IF(AT67&lt;=0,MIN(AQ67,AR67),MIN(AQ67,AR67-G67*MAX(0,AT67*AR67-(AO67+AP67)))))</f>
        <v>0</v>
      </c>
      <c r="AV67" s="20" t="n">
        <f aca="false">IF(AR67&lt;=0,0,IF(AT67&lt;=0,AU67,IF(AU67&lt;=(AO67+AP67)/AT67,AU67,(AU67-G67*(AO67+AP67))/(1-G67*AT67))))</f>
        <v>0</v>
      </c>
      <c r="AW67" s="20" t="n">
        <f aca="false">IF(AT67&gt;0,MAX(0,AO67-(MIN(AT67*AV67,(AO67+AP67))-MIN(MIN(AT67*AV67,(AO67+AP67)),AP67))),AO67)</f>
        <v>1270</v>
      </c>
      <c r="AX67" s="20" t="n">
        <f aca="false">IF(AT67&lt;=0,AP67-AT67*AV67,AP67-MIN(MIN(AT67*AV67,(AO67+AP67)),AP67))</f>
        <v>0</v>
      </c>
      <c r="AY67" s="20" t="n">
        <f aca="false">MD67</f>
        <v>1270</v>
      </c>
      <c r="AZ67" s="20" t="n">
        <f aca="false">PQ67</f>
        <v>0</v>
      </c>
      <c r="BA67" s="20" t="n">
        <f aca="false">IF(AL67&gt;0,MAX(0,AY67-(MIN(AL67*AJ67,AY67+AZ67)-MIN(MIN(AL67*AJ67,AY67+AZ67),AZ67))),AY67)</f>
        <v>1270</v>
      </c>
      <c r="BB67" s="20" t="n">
        <f aca="false">IF(AL67&lt;=0,AZ67-AL67*AJ67,AZ67-MIN(MIN(AL67*AJ67,AY67+AZ67),AZ67))</f>
        <v>0</v>
      </c>
      <c r="BC67" s="20" t="n">
        <f aca="false">'Plan cashflow'!UM67</f>
        <v>0</v>
      </c>
      <c r="BD67" s="20" t="n">
        <f aca="false">(1-H_Sh)*BC67</f>
        <v>0</v>
      </c>
      <c r="BE67" s="20" t="n">
        <f aca="false">H_Sh*BC67</f>
        <v>0</v>
      </c>
      <c r="BF67" s="60" t="n">
        <f aca="false">(AE67+BD67)*(1+AS_Cash)</f>
        <v>0</v>
      </c>
      <c r="BG67" s="60" t="n">
        <f aca="false">AF67*(1+AS_Cash)</f>
        <v>0</v>
      </c>
      <c r="BH67" s="60" t="n">
        <f aca="false">SUM(AKR67:AOD67)</f>
        <v>0</v>
      </c>
      <c r="BI67" s="60" t="n">
        <f aca="false">(AJ67-AN67)*(1+AS_Infl)</f>
        <v>0</v>
      </c>
      <c r="BJ67" s="20" t="n">
        <f aca="false">IF(AJ67&gt;0,AK67-AK67*AN67/AJ67,0)</f>
        <v>0</v>
      </c>
      <c r="BK67" s="60" t="n">
        <f aca="false">(AR67-AV67)*(1+BQ67)</f>
        <v>0</v>
      </c>
      <c r="BL67" s="20" t="n">
        <f aca="false">IF(AR67&gt;0,AS67-AS67*AV67/AR67,0)</f>
        <v>0</v>
      </c>
      <c r="BM67" s="60" t="n">
        <f aca="false">BF67+BG67+BH67+BI67+BK67</f>
        <v>0</v>
      </c>
      <c r="BN67" s="60" t="n">
        <f aca="false">(AH67-AG67)+(AN67-AM67)+(AV67-AU67)</f>
        <v>0</v>
      </c>
      <c r="BO67" s="20" t="n">
        <f aca="false">(AE67+BD67+AF67+MAX(0,'Plan cashflow'!QH67)+IF(Slot1_Rate=AS_Cash,'Plan cashflow'!QM67/(1+AS_Cash),0)+IF(Slot2_Rate=AS_Cash,'Plan cashflow'!QQ67/(1+AS_Cash),0)+IF(Slot3_Rate=AS_Cash,'Plan cashflow'!QU67/(1+AS_Cash),0)+IF(Slot4_Rate=AS_Cash,'Plan cashflow'!QY67/(1+AS_Cash),0)+IF(Slot5_Rate=AS_Cash,'Plan cashflow'!RC67/(1+AS_Cash),0)+IF(Slot6_Rate=AS_Cash,'Plan cashflow'!RG67/(1+AS_Cash),0)+IF(Slot7_Rate=AS_Cash,'Plan cashflow'!RK67/(1+AS_Cash),0)+IF(Slot8_Rate=AS_Cash,'Plan cashflow'!RO67/(1+AS_Cash),0)+IF(Slot9_Rate=AS_Cash,'Plan cashflow'!RS67/(1+AS_Cash),0)+IF(Slot10_Rate=AS_Cash,'Plan cashflow'!RW67/(1+AS_Cash),0)+IF(Slot11_Rate=AS_Cash,'Plan cashflow'!SA67/(1+AS_Cash),0)+IF(Slot12_Rate=AS_Cash,'Plan cashflow'!SE67/(1+AS_Cash),0)+IF(Slot13_Rate=AS_Cash,'Plan cashflow'!SI67/(1+AS_Cash),0)+IF(Slot14_Rate=AS_Cash,'Plan cashflow'!SM67/(1+AS_Cash),0)+IF(Slot15_Rate=AS_Cash,'Plan cashflow'!SQ67/(1+AS_Cash),0)+IF(Slot16_Rate=AS_Cash,'Plan cashflow'!SU67/(1+AS_Cash),0)+IF(Slot17_Rate=AS_Cash,'Plan cashflow'!SY67/(1+AS_Cash),0)+IF(Slot18_Rate=AS_Cash,'Plan cashflow'!TC67/(1+AS_Cash),0)+IF(Slot19_Rate=AS_Cash,'Plan cashflow'!TG67/(1+AS_Cash),0)+IF(Slot20_Rate=AS_Cash,'Plan cashflow'!TK67/(1+AS_Cash),0))*AS_Cash*H_DIRT/(1-H_DIRT)</f>
        <v>0</v>
      </c>
      <c r="BP67" s="60" t="n">
        <f aca="false">SUM(AVE67:AYQ67)</f>
        <v>0</v>
      </c>
      <c r="BQ67" s="54" t="n">
        <f aca="false">IF(H_TaxEvt=1,H_InvG,AS_Inv)</f>
        <v>0.04</v>
      </c>
      <c r="BR67" s="20" t="n">
        <f aca="false">IF(AKR66&gt;0,(AKR66-AOE66)/AKR66,0)</f>
        <v>0</v>
      </c>
      <c r="BS67" s="20" t="n">
        <f aca="false">IF(AKS66&gt;0,(AKS66-AOF66)/AKS66,0)</f>
        <v>0</v>
      </c>
      <c r="BT67" s="20" t="n">
        <f aca="false">IF(AKT66&gt;0,(AKT66-AOG66)/AKT66,0)</f>
        <v>0</v>
      </c>
      <c r="BU67" s="20" t="n">
        <f aca="false">IF(AKU66&gt;0,(AKU66-AOH66)/AKU66,0)</f>
        <v>0</v>
      </c>
      <c r="BV67" s="20" t="n">
        <f aca="false">IF(AKV66&gt;0,(AKV66-AOI66)/AKV66,0)</f>
        <v>0</v>
      </c>
      <c r="BW67" s="20" t="n">
        <f aca="false">IF(AKW66&gt;0,(AKW66-AOJ66)/AKW66,0)</f>
        <v>0</v>
      </c>
      <c r="BX67" s="20" t="n">
        <f aca="false">IF(AKX66&gt;0,(AKX66-AOK66)/AKX66,0)</f>
        <v>0</v>
      </c>
      <c r="BY67" s="20" t="n">
        <f aca="false">IF(AKY66&gt;0,(AKY66-AOL66)/AKY66,0)</f>
        <v>0</v>
      </c>
      <c r="BZ67" s="20" t="n">
        <f aca="false">IF(AKZ66&gt;0,(AKZ66-AOM66)/AKZ66,0)</f>
        <v>0</v>
      </c>
      <c r="CA67" s="20" t="n">
        <f aca="false">IF(ALA66&gt;0,(ALA66-AON66)/ALA66,0)</f>
        <v>0</v>
      </c>
      <c r="CB67" s="20" t="n">
        <f aca="false">IF(ALB66&gt;0,(ALB66-AOO66)/ALB66,0)</f>
        <v>0</v>
      </c>
      <c r="CC67" s="20" t="n">
        <f aca="false">IF(ALC66&gt;0,(ALC66-AOP66)/ALC66,0)</f>
        <v>0</v>
      </c>
      <c r="CD67" s="20" t="n">
        <f aca="false">IF(ALD66&gt;0,(ALD66-AOQ66)/ALD66,0)</f>
        <v>0</v>
      </c>
      <c r="CE67" s="20" t="n">
        <f aca="false">IF(ALE66&gt;0,(ALE66-AOR66)/ALE66,0)</f>
        <v>0</v>
      </c>
      <c r="CF67" s="20" t="n">
        <f aca="false">IF(ALF66&gt;0,(ALF66-AOS66)/ALF66,0)</f>
        <v>0</v>
      </c>
      <c r="CG67" s="20" t="n">
        <f aca="false">IF(ALG66&gt;0,(ALG66-AOT66)/ALG66,0)</f>
        <v>0</v>
      </c>
      <c r="CH67" s="20" t="n">
        <f aca="false">IF(ALH66&gt;0,(ALH66-AOU66)/ALH66,0)</f>
        <v>0</v>
      </c>
      <c r="CI67" s="20" t="n">
        <f aca="false">IF(ALI66&gt;0,(ALI66-AOV66)/ALI66,0)</f>
        <v>0</v>
      </c>
      <c r="CJ67" s="20" t="n">
        <f aca="false">IF(ALJ66&gt;0,(ALJ66-AOW66)/ALJ66,0)</f>
        <v>0</v>
      </c>
      <c r="CK67" s="20" t="n">
        <f aca="false">IF(ALK66&gt;0,(ALK66-AOX66)/ALK66,0)</f>
        <v>0</v>
      </c>
      <c r="CL67" s="20" t="n">
        <f aca="false">IF(ALL66&gt;0,(ALL66-AOY66)/ALL66,0)</f>
        <v>0</v>
      </c>
      <c r="CM67" s="20" t="n">
        <f aca="false">IF(ALM66&gt;0,(ALM66-AOZ66)/ALM66,0)</f>
        <v>0</v>
      </c>
      <c r="CN67" s="20" t="n">
        <f aca="false">IF(ALN66&gt;0,(ALN66-APA66)/ALN66,0)</f>
        <v>0</v>
      </c>
      <c r="CO67" s="20" t="n">
        <f aca="false">IF(ALO66&gt;0,(ALO66-APB66)/ALO66,0)</f>
        <v>0</v>
      </c>
      <c r="CP67" s="20" t="n">
        <f aca="false">IF(ALP66&gt;0,(ALP66-APC66)/ALP66,0)</f>
        <v>0</v>
      </c>
      <c r="CQ67" s="20" t="n">
        <f aca="false">IF(ALQ66&gt;0,(ALQ66-APD66)/ALQ66,0)</f>
        <v>0</v>
      </c>
      <c r="CR67" s="20" t="n">
        <f aca="false">IF(ALR66&gt;0,(ALR66-APE66)/ALR66,0)</f>
        <v>0</v>
      </c>
      <c r="CS67" s="20" t="n">
        <f aca="false">IF(ALS66&gt;0,(ALS66-APF66)/ALS66,0)</f>
        <v>0</v>
      </c>
      <c r="CT67" s="20" t="n">
        <f aca="false">IF(ALT66&gt;0,(ALT66-APG66)/ALT66,0)</f>
        <v>0</v>
      </c>
      <c r="CU67" s="20" t="n">
        <f aca="false">IF(ALU66&gt;0,(ALU66-APH66)/ALU66,0)</f>
        <v>0</v>
      </c>
      <c r="CV67" s="20" t="n">
        <f aca="false">IF(ALV66&gt;0,(ALV66-API66)/ALV66,0)</f>
        <v>0</v>
      </c>
      <c r="CW67" s="20" t="n">
        <f aca="false">IF(ALW66&gt;0,(ALW66-APJ66)/ALW66,0)</f>
        <v>0</v>
      </c>
      <c r="CX67" s="20" t="n">
        <f aca="false">IF(ALX66&gt;0,(ALX66-APK66)/ALX66,0)</f>
        <v>0</v>
      </c>
      <c r="CY67" s="20" t="n">
        <f aca="false">IF(ALY66&gt;0,(ALY66-APL66)/ALY66,0)</f>
        <v>0</v>
      </c>
      <c r="CZ67" s="20" t="n">
        <f aca="false">IF(ALZ66&gt;0,(ALZ66-APM66)/ALZ66,0)</f>
        <v>0</v>
      </c>
      <c r="DA67" s="20" t="n">
        <f aca="false">IF(AMA66&gt;0,(AMA66-APN66)/AMA66,0)</f>
        <v>0</v>
      </c>
      <c r="DB67" s="20" t="n">
        <f aca="false">IF(AMB66&gt;0,(AMB66-APO66)/AMB66,0)</f>
        <v>0</v>
      </c>
      <c r="DC67" s="20" t="n">
        <f aca="false">IF(AMC66&gt;0,(AMC66-APP66)/AMC66,0)</f>
        <v>0</v>
      </c>
      <c r="DD67" s="20" t="n">
        <f aca="false">IF(AMD66&gt;0,(AMD66-APQ66)/AMD66,0)</f>
        <v>0</v>
      </c>
      <c r="DE67" s="20" t="n">
        <f aca="false">IF(AME66&gt;0,(AME66-APR66)/AME66,0)</f>
        <v>0</v>
      </c>
      <c r="DF67" s="20" t="n">
        <f aca="false">IF(AMF66&gt;0,(AMF66-APS66)/AMF66,0)</f>
        <v>0</v>
      </c>
      <c r="DG67" s="20" t="n">
        <f aca="false">IF(AMG66&gt;0,(AMG66-APT66)/AMG66,0)</f>
        <v>0</v>
      </c>
      <c r="DH67" s="20" t="n">
        <f aca="false">IF(AMH66&gt;0,(AMH66-APU66)/AMH66,0)</f>
        <v>0</v>
      </c>
      <c r="DI67" s="20" t="n">
        <f aca="false">IF(AMI66&gt;0,(AMI66-APV66)/AMI66,0)</f>
        <v>0</v>
      </c>
      <c r="DJ67" s="20" t="n">
        <f aca="false">IF(AMJ66&gt;0,(AMJ66-APW66)/AMJ66,0)</f>
        <v>0</v>
      </c>
      <c r="DK67" s="20" t="n">
        <f aca="false">IF(AMK66&gt;0,(AMK66-APX66)/AMK66,0)</f>
        <v>0</v>
      </c>
      <c r="DL67" s="20" t="n">
        <f aca="false">IF(AML66&gt;0,(AML66-APY66)/AML66,0)</f>
        <v>0</v>
      </c>
      <c r="DM67" s="20" t="n">
        <f aca="false">IF(AMM66&gt;0,(AMM66-APZ66)/AMM66,0)</f>
        <v>0</v>
      </c>
      <c r="DN67" s="20" t="n">
        <f aca="false">IF(AMN66&gt;0,(AMN66-AQA66)/AMN66,0)</f>
        <v>0</v>
      </c>
      <c r="DO67" s="20" t="n">
        <f aca="false">IF(AMO66&gt;0,(AMO66-AQB66)/AMO66,0)</f>
        <v>0</v>
      </c>
      <c r="DP67" s="20" t="n">
        <f aca="false">IF(AMP66&gt;0,(AMP66-AQC66)/AMP66,0)</f>
        <v>0</v>
      </c>
      <c r="DQ67" s="20" t="n">
        <f aca="false">IF(AMQ66&gt;0,(AMQ66-AQD66)/AMQ66,0)</f>
        <v>0</v>
      </c>
      <c r="DR67" s="20" t="n">
        <f aca="false">IF(AMR66&gt;0,(AMR66-AQE66)/AMR66,0)</f>
        <v>0</v>
      </c>
      <c r="DS67" s="20" t="n">
        <f aca="false">IF(AMS66&gt;0,(AMS66-AQF66)/AMS66,0)</f>
        <v>0</v>
      </c>
      <c r="DT67" s="20" t="n">
        <f aca="false">IF(AMT66&gt;0,(AMT66-AQG66)/AMT66,0)</f>
        <v>0</v>
      </c>
      <c r="DU67" s="20" t="n">
        <f aca="false">IF(AMU66&gt;0,(AMU66-AQH66)/AMU66,0)</f>
        <v>0</v>
      </c>
      <c r="DV67" s="20" t="n">
        <f aca="false">IF(AMV66&gt;0,(AMV66-AQI66)/AMV66,0)</f>
        <v>0</v>
      </c>
      <c r="DW67" s="20" t="n">
        <f aca="false">IF(AMW66&gt;0,(AMW66-AQJ66)/AMW66,0)</f>
        <v>0</v>
      </c>
      <c r="DX67" s="20" t="n">
        <f aca="false">IF(AMX66&gt;0,(AMX66-AQK66)/AMX66,0)</f>
        <v>0</v>
      </c>
      <c r="DY67" s="20" t="n">
        <f aca="false">IF(AMY66&gt;0,(AMY66-AQL66)/AMY66,0)</f>
        <v>0</v>
      </c>
      <c r="DZ67" s="20" t="n">
        <f aca="false">IF((P67+S67)&gt;0,((P67+S67)-(P67+S67))/(P67+S67),0)</f>
        <v>0</v>
      </c>
      <c r="EA67" s="20" t="n">
        <v>0</v>
      </c>
      <c r="EB67" s="20" t="n">
        <v>0</v>
      </c>
      <c r="EC67" s="20" t="n">
        <v>0</v>
      </c>
      <c r="ED67" s="20" t="n">
        <v>0</v>
      </c>
      <c r="EE67" s="20" t="n">
        <v>0</v>
      </c>
      <c r="EF67" s="20" t="n">
        <v>0</v>
      </c>
      <c r="EG67" s="20" t="n">
        <v>0</v>
      </c>
      <c r="EH67" s="20" t="n">
        <v>0</v>
      </c>
      <c r="EI67" s="20" t="n">
        <v>0</v>
      </c>
      <c r="EJ67" s="20" t="n">
        <v>0</v>
      </c>
      <c r="EK67" s="20" t="n">
        <v>0</v>
      </c>
      <c r="EL67" s="20" t="n">
        <v>0</v>
      </c>
      <c r="EM67" s="20" t="n">
        <v>0</v>
      </c>
      <c r="EN67" s="20" t="n">
        <v>0</v>
      </c>
      <c r="EO67" s="20" t="n">
        <v>0</v>
      </c>
      <c r="EP67" s="20" t="n">
        <v>0</v>
      </c>
      <c r="EQ67" s="20" t="n">
        <v>0</v>
      </c>
      <c r="ER67" s="20" t="n">
        <v>0</v>
      </c>
      <c r="ES67" s="20" t="n">
        <v>0</v>
      </c>
      <c r="ET67" s="20" t="n">
        <v>0</v>
      </c>
      <c r="EU67" s="20" t="n">
        <v>0</v>
      </c>
      <c r="EV67" s="20" t="n">
        <v>0</v>
      </c>
      <c r="EW67" s="20" t="n">
        <v>0</v>
      </c>
      <c r="EX67" s="20" t="n">
        <v>0</v>
      </c>
      <c r="EY67" s="20" t="n">
        <v>0</v>
      </c>
      <c r="EZ67" s="20" t="n">
        <v>0</v>
      </c>
      <c r="FA67" s="20" t="n">
        <v>0</v>
      </c>
      <c r="FB67" s="20" t="n">
        <v>0</v>
      </c>
      <c r="FC67" s="20" t="n">
        <v>0</v>
      </c>
      <c r="FD67" s="20" t="n">
        <v>0</v>
      </c>
      <c r="FE67" s="20" t="n">
        <f aca="false">IF(H_Direct=1,IF(AKR66&lt;=0,0,IF(BR67&lt;=0,AKR66,AKR66-G67*MAX(0,BR67*AKR66-(H67+I67)))),AKR66*(1-MAX(0,BR67)*H_Exit))</f>
        <v>0</v>
      </c>
      <c r="FF67" s="20" t="n">
        <f aca="false">IF(H_Direct=1,IF(AKS66&lt;=0,0,IF(BS67&lt;=0,AKS66,AKS66-G67*MAX(0,BS67*AKS66-(IR67+ME67)))),AKS66*(1-MAX(0,BS67)*H_Exit))</f>
        <v>0</v>
      </c>
      <c r="FG67" s="20" t="n">
        <f aca="false">IF(H_Direct=1,IF(AKT66&lt;=0,0,IF(BT67&lt;=0,AKT66,AKT66-G67*MAX(0,BT67*AKT66-(IS67+MF67)))),AKT66*(1-MAX(0,BT67)*H_Exit))</f>
        <v>0</v>
      </c>
      <c r="FH67" s="20" t="n">
        <f aca="false">IF(H_Direct=1,IF(AKU66&lt;=0,0,IF(BU67&lt;=0,AKU66,AKU66-G67*MAX(0,BU67*AKU66-(IT67+MG67)))),AKU66*(1-MAX(0,BU67)*H_Exit))</f>
        <v>0</v>
      </c>
      <c r="FI67" s="20" t="n">
        <f aca="false">IF(H_Direct=1,IF(AKV66&lt;=0,0,IF(BV67&lt;=0,AKV66,AKV66-G67*MAX(0,BV67*AKV66-(IU67+MH67)))),AKV66*(1-MAX(0,BV67)*H_Exit))</f>
        <v>0</v>
      </c>
      <c r="FJ67" s="20" t="n">
        <f aca="false">IF(H_Direct=1,IF(AKW66&lt;=0,0,IF(BW67&lt;=0,AKW66,AKW66-G67*MAX(0,BW67*AKW66-(IV67+MI67)))),AKW66*(1-MAX(0,BW67)*H_Exit))</f>
        <v>0</v>
      </c>
      <c r="FK67" s="20" t="n">
        <f aca="false">IF(H_Direct=1,IF(AKX66&lt;=0,0,IF(BX67&lt;=0,AKX66,AKX66-G67*MAX(0,BX67*AKX66-(IW67+MJ67)))),AKX66*(1-MAX(0,BX67)*H_Exit))</f>
        <v>0</v>
      </c>
      <c r="FL67" s="20" t="n">
        <f aca="false">IF(H_Direct=1,IF(AKY66&lt;=0,0,IF(BY67&lt;=0,AKY66,AKY66-G67*MAX(0,BY67*AKY66-(IX67+MK67)))),AKY66*(1-MAX(0,BY67)*H_Exit))</f>
        <v>0</v>
      </c>
      <c r="FM67" s="20" t="n">
        <f aca="false">IF(H_Direct=1,IF(AKZ66&lt;=0,0,IF(BZ67&lt;=0,AKZ66,AKZ66-G67*MAX(0,BZ67*AKZ66-(IY67+ML67)))),AKZ66*(1-MAX(0,BZ67)*H_Exit))</f>
        <v>0</v>
      </c>
      <c r="FN67" s="20" t="n">
        <f aca="false">IF(H_Direct=1,IF(ALA66&lt;=0,0,IF(CA67&lt;=0,ALA66,ALA66-G67*MAX(0,CA67*ALA66-(IZ67+MM67)))),ALA66*(1-MAX(0,CA67)*H_Exit))</f>
        <v>0</v>
      </c>
      <c r="FO67" s="20" t="n">
        <f aca="false">IF(H_Direct=1,IF(ALB66&lt;=0,0,IF(CB67&lt;=0,ALB66,ALB66-G67*MAX(0,CB67*ALB66-(JA67+MN67)))),ALB66*(1-MAX(0,CB67)*H_Exit))</f>
        <v>0</v>
      </c>
      <c r="FP67" s="20" t="n">
        <f aca="false">IF(H_Direct=1,IF(ALC66&lt;=0,0,IF(CC67&lt;=0,ALC66,ALC66-G67*MAX(0,CC67*ALC66-(JB67+MO67)))),ALC66*(1-MAX(0,CC67)*H_Exit))</f>
        <v>0</v>
      </c>
      <c r="FQ67" s="20" t="n">
        <f aca="false">IF(H_Direct=1,IF(ALD66&lt;=0,0,IF(CD67&lt;=0,ALD66,ALD66-G67*MAX(0,CD67*ALD66-(JC67+MP67)))),ALD66*(1-MAX(0,CD67)*H_Exit))</f>
        <v>0</v>
      </c>
      <c r="FR67" s="20" t="n">
        <f aca="false">IF(H_Direct=1,IF(ALE66&lt;=0,0,IF(CE67&lt;=0,ALE66,ALE66-G67*MAX(0,CE67*ALE66-(JD67+MQ67)))),ALE66*(1-MAX(0,CE67)*H_Exit))</f>
        <v>0</v>
      </c>
      <c r="FS67" s="20" t="n">
        <f aca="false">IF(H_Direct=1,IF(ALF66&lt;=0,0,IF(CF67&lt;=0,ALF66,ALF66-G67*MAX(0,CF67*ALF66-(JE67+MR67)))),ALF66*(1-MAX(0,CF67)*H_Exit))</f>
        <v>0</v>
      </c>
      <c r="FT67" s="20" t="n">
        <f aca="false">IF(H_Direct=1,IF(ALG66&lt;=0,0,IF(CG67&lt;=0,ALG66,ALG66-G67*MAX(0,CG67*ALG66-(JF67+MS67)))),ALG66*(1-MAX(0,CG67)*H_Exit))</f>
        <v>0</v>
      </c>
      <c r="FU67" s="20" t="n">
        <f aca="false">IF(H_Direct=1,IF(ALH66&lt;=0,0,IF(CH67&lt;=0,ALH66,ALH66-G67*MAX(0,CH67*ALH66-(JG67+MT67)))),ALH66*(1-MAX(0,CH67)*H_Exit))</f>
        <v>0</v>
      </c>
      <c r="FV67" s="20" t="n">
        <f aca="false">IF(H_Direct=1,IF(ALI66&lt;=0,0,IF(CI67&lt;=0,ALI66,ALI66-G67*MAX(0,CI67*ALI66-(JH67+MU67)))),ALI66*(1-MAX(0,CI67)*H_Exit))</f>
        <v>0</v>
      </c>
      <c r="FW67" s="20" t="n">
        <f aca="false">IF(H_Direct=1,IF(ALJ66&lt;=0,0,IF(CJ67&lt;=0,ALJ66,ALJ66-G67*MAX(0,CJ67*ALJ66-(JI67+MV67)))),ALJ66*(1-MAX(0,CJ67)*H_Exit))</f>
        <v>0</v>
      </c>
      <c r="FX67" s="20" t="n">
        <f aca="false">IF(H_Direct=1,IF(ALK66&lt;=0,0,IF(CK67&lt;=0,ALK66,ALK66-G67*MAX(0,CK67*ALK66-(JJ67+MW67)))),ALK66*(1-MAX(0,CK67)*H_Exit))</f>
        <v>0</v>
      </c>
      <c r="FY67" s="20" t="n">
        <f aca="false">IF(H_Direct=1,IF(ALL66&lt;=0,0,IF(CL67&lt;=0,ALL66,ALL66-G67*MAX(0,CL67*ALL66-(JK67+MX67)))),ALL66*(1-MAX(0,CL67)*H_Exit))</f>
        <v>0</v>
      </c>
      <c r="FZ67" s="20" t="n">
        <f aca="false">IF(H_Direct=1,IF(ALM66&lt;=0,0,IF(CM67&lt;=0,ALM66,ALM66-G67*MAX(0,CM67*ALM66-(JL67+MY67)))),ALM66*(1-MAX(0,CM67)*H_Exit))</f>
        <v>0</v>
      </c>
      <c r="GA67" s="20" t="n">
        <f aca="false">IF(H_Direct=1,IF(ALN66&lt;=0,0,IF(CN67&lt;=0,ALN66,ALN66-G67*MAX(0,CN67*ALN66-(JM67+MZ67)))),ALN66*(1-MAX(0,CN67)*H_Exit))</f>
        <v>0</v>
      </c>
      <c r="GB67" s="20" t="n">
        <f aca="false">IF(H_Direct=1,IF(ALO66&lt;=0,0,IF(CO67&lt;=0,ALO66,ALO66-G67*MAX(0,CO67*ALO66-(JN67+NA67)))),ALO66*(1-MAX(0,CO67)*H_Exit))</f>
        <v>0</v>
      </c>
      <c r="GC67" s="20" t="n">
        <f aca="false">IF(H_Direct=1,IF(ALP66&lt;=0,0,IF(CP67&lt;=0,ALP66,ALP66-G67*MAX(0,CP67*ALP66-(JO67+NB67)))),ALP66*(1-MAX(0,CP67)*H_Exit))</f>
        <v>0</v>
      </c>
      <c r="GD67" s="20" t="n">
        <f aca="false">IF(H_Direct=1,IF(ALQ66&lt;=0,0,IF(CQ67&lt;=0,ALQ66,ALQ66-G67*MAX(0,CQ67*ALQ66-(JP67+NC67)))),ALQ66*(1-MAX(0,CQ67)*H_Exit))</f>
        <v>0</v>
      </c>
      <c r="GE67" s="20" t="n">
        <f aca="false">IF(H_Direct=1,IF(ALR66&lt;=0,0,IF(CR67&lt;=0,ALR66,ALR66-G67*MAX(0,CR67*ALR66-(JQ67+ND67)))),ALR66*(1-MAX(0,CR67)*H_Exit))</f>
        <v>0</v>
      </c>
      <c r="GF67" s="20" t="n">
        <f aca="false">IF(H_Direct=1,IF(ALS66&lt;=0,0,IF(CS67&lt;=0,ALS66,ALS66-G67*MAX(0,CS67*ALS66-(JR67+NE67)))),ALS66*(1-MAX(0,CS67)*H_Exit))</f>
        <v>0</v>
      </c>
      <c r="GG67" s="20" t="n">
        <f aca="false">IF(H_Direct=1,IF(ALT66&lt;=0,0,IF(CT67&lt;=0,ALT66,ALT66-G67*MAX(0,CT67*ALT66-(JS67+NF67)))),ALT66*(1-MAX(0,CT67)*H_Exit))</f>
        <v>0</v>
      </c>
      <c r="GH67" s="20" t="n">
        <f aca="false">IF(H_Direct=1,IF(ALU66&lt;=0,0,IF(CU67&lt;=0,ALU66,ALU66-G67*MAX(0,CU67*ALU66-(JT67+NG67)))),ALU66*(1-MAX(0,CU67)*H_Exit))</f>
        <v>0</v>
      </c>
      <c r="GI67" s="20" t="n">
        <f aca="false">IF(H_Direct=1,IF(ALV66&lt;=0,0,IF(CV67&lt;=0,ALV66,ALV66-G67*MAX(0,CV67*ALV66-(JU67+NH67)))),ALV66*(1-MAX(0,CV67)*H_Exit))</f>
        <v>0</v>
      </c>
      <c r="GJ67" s="20" t="n">
        <f aca="false">IF(H_Direct=1,IF(ALW66&lt;=0,0,IF(CW67&lt;=0,ALW66,ALW66-G67*MAX(0,CW67*ALW66-(JV67+NI67)))),ALW66*(1-MAX(0,CW67)*H_Exit))</f>
        <v>0</v>
      </c>
      <c r="GK67" s="20" t="n">
        <f aca="false">IF(H_Direct=1,IF(ALX66&lt;=0,0,IF(CX67&lt;=0,ALX66,ALX66-G67*MAX(0,CX67*ALX66-(JW67+NJ67)))),ALX66*(1-MAX(0,CX67)*H_Exit))</f>
        <v>0</v>
      </c>
      <c r="GL67" s="20" t="n">
        <f aca="false">IF(H_Direct=1,IF(ALY66&lt;=0,0,IF(CY67&lt;=0,ALY66,ALY66-G67*MAX(0,CY67*ALY66-(JX67+NK67)))),ALY66*(1-MAX(0,CY67)*H_Exit))</f>
        <v>0</v>
      </c>
      <c r="GM67" s="20" t="n">
        <f aca="false">IF(H_Direct=1,IF(ALZ66&lt;=0,0,IF(CZ67&lt;=0,ALZ66,ALZ66-G67*MAX(0,CZ67*ALZ66-(JY67+NL67)))),ALZ66*(1-MAX(0,CZ67)*H_Exit))</f>
        <v>0</v>
      </c>
      <c r="GN67" s="20" t="n">
        <f aca="false">IF(H_Direct=1,IF(AMA66&lt;=0,0,IF(DA67&lt;=0,AMA66,AMA66-G67*MAX(0,DA67*AMA66-(JZ67+NM67)))),AMA66*(1-MAX(0,DA67)*H_Exit))</f>
        <v>0</v>
      </c>
      <c r="GO67" s="20" t="n">
        <f aca="false">IF(H_Direct=1,IF(AMB66&lt;=0,0,IF(DB67&lt;=0,AMB66,AMB66-G67*MAX(0,DB67*AMB66-(KA67+NN67)))),AMB66*(1-MAX(0,DB67)*H_Exit))</f>
        <v>0</v>
      </c>
      <c r="GP67" s="20" t="n">
        <f aca="false">IF(H_Direct=1,IF(AMC66&lt;=0,0,IF(DC67&lt;=0,AMC66,AMC66-G67*MAX(0,DC67*AMC66-(KB67+NO67)))),AMC66*(1-MAX(0,DC67)*H_Exit))</f>
        <v>0</v>
      </c>
      <c r="GQ67" s="20" t="n">
        <f aca="false">IF(H_Direct=1,IF(AMD66&lt;=0,0,IF(DD67&lt;=0,AMD66,AMD66-G67*MAX(0,DD67*AMD66-(KC67+NP67)))),AMD66*(1-MAX(0,DD67)*H_Exit))</f>
        <v>0</v>
      </c>
      <c r="GR67" s="20" t="n">
        <f aca="false">IF(H_Direct=1,IF(AME66&lt;=0,0,IF(DE67&lt;=0,AME66,AME66-G67*MAX(0,DE67*AME66-(KD67+NQ67)))),AME66*(1-MAX(0,DE67)*H_Exit))</f>
        <v>0</v>
      </c>
      <c r="GS67" s="20" t="n">
        <f aca="false">IF(H_Direct=1,IF(AMF66&lt;=0,0,IF(DF67&lt;=0,AMF66,AMF66-G67*MAX(0,DF67*AMF66-(KE67+NR67)))),AMF66*(1-MAX(0,DF67)*H_Exit))</f>
        <v>0</v>
      </c>
      <c r="GT67" s="20" t="n">
        <f aca="false">IF(H_Direct=1,IF(AMG66&lt;=0,0,IF(DG67&lt;=0,AMG66,AMG66-G67*MAX(0,DG67*AMG66-(KF67+NS67)))),AMG66*(1-MAX(0,DG67)*H_Exit))</f>
        <v>0</v>
      </c>
      <c r="GU67" s="20" t="n">
        <f aca="false">IF(H_Direct=1,IF(AMH66&lt;=0,0,IF(DH67&lt;=0,AMH66,AMH66-G67*MAX(0,DH67*AMH66-(KG67+NT67)))),AMH66*(1-MAX(0,DH67)*H_Exit))</f>
        <v>0</v>
      </c>
      <c r="GV67" s="20" t="n">
        <f aca="false">IF(H_Direct=1,IF(AMI66&lt;=0,0,IF(DI67&lt;=0,AMI66,AMI66-G67*MAX(0,DI67*AMI66-(KH67+NU67)))),AMI66*(1-MAX(0,DI67)*H_Exit))</f>
        <v>0</v>
      </c>
      <c r="GW67" s="20" t="n">
        <f aca="false">IF(H_Direct=1,IF(AMJ66&lt;=0,0,IF(DJ67&lt;=0,AMJ66,AMJ66-G67*MAX(0,DJ67*AMJ66-(KI67+NV67)))),AMJ66*(1-MAX(0,DJ67)*H_Exit))</f>
        <v>0</v>
      </c>
      <c r="GX67" s="20" t="n">
        <f aca="false">IF(H_Direct=1,IF(AMK66&lt;=0,0,IF(DK67&lt;=0,AMK66,AMK66-G67*MAX(0,DK67*AMK66-(KJ67+NW67)))),AMK66*(1-MAX(0,DK67)*H_Exit))</f>
        <v>0</v>
      </c>
      <c r="GY67" s="20" t="n">
        <f aca="false">IF(H_Direct=1,IF(AML66&lt;=0,0,IF(DL67&lt;=0,AML66,AML66-G67*MAX(0,DL67*AML66-(KK67+NX67)))),AML66*(1-MAX(0,DL67)*H_Exit))</f>
        <v>0</v>
      </c>
      <c r="GZ67" s="20" t="n">
        <f aca="false">IF(H_Direct=1,IF(AMM66&lt;=0,0,IF(DM67&lt;=0,AMM66,AMM66-G67*MAX(0,DM67*AMM66-(KL67+NY67)))),AMM66*(1-MAX(0,DM67)*H_Exit))</f>
        <v>0</v>
      </c>
      <c r="HA67" s="20" t="n">
        <f aca="false">IF(H_Direct=1,IF(AMN66&lt;=0,0,IF(DN67&lt;=0,AMN66,AMN66-G67*MAX(0,DN67*AMN66-(KM67+NZ67)))),AMN66*(1-MAX(0,DN67)*H_Exit))</f>
        <v>0</v>
      </c>
      <c r="HB67" s="20" t="n">
        <f aca="false">IF(H_Direct=1,IF(AMO66&lt;=0,0,IF(DO67&lt;=0,AMO66,AMO66-G67*MAX(0,DO67*AMO66-(KN67+OA67)))),AMO66*(1-MAX(0,DO67)*H_Exit))</f>
        <v>0</v>
      </c>
      <c r="HC67" s="20" t="n">
        <f aca="false">IF(H_Direct=1,IF(AMP66&lt;=0,0,IF(DP67&lt;=0,AMP66,AMP66-G67*MAX(0,DP67*AMP66-(KO67+OB67)))),AMP66*(1-MAX(0,DP67)*H_Exit))</f>
        <v>0</v>
      </c>
      <c r="HD67" s="20" t="n">
        <f aca="false">IF(H_Direct=1,IF(AMQ66&lt;=0,0,IF(DQ67&lt;=0,AMQ66,AMQ66-G67*MAX(0,DQ67*AMQ66-(KP67+OC67)))),AMQ66*(1-MAX(0,DQ67)*H_Exit))</f>
        <v>0</v>
      </c>
      <c r="HE67" s="20" t="n">
        <f aca="false">IF(H_Direct=1,IF(AMR66&lt;=0,0,IF(DR67&lt;=0,AMR66,AMR66-G67*MAX(0,DR67*AMR66-(KQ67+OD67)))),AMR66*(1-MAX(0,DR67)*H_Exit))</f>
        <v>0</v>
      </c>
      <c r="HF67" s="20" t="n">
        <f aca="false">IF(H_Direct=1,IF(AMS66&lt;=0,0,IF(DS67&lt;=0,AMS66,AMS66-G67*MAX(0,DS67*AMS66-(KR67+OE67)))),AMS66*(1-MAX(0,DS67)*H_Exit))</f>
        <v>0</v>
      </c>
      <c r="HG67" s="20" t="n">
        <f aca="false">IF(H_Direct=1,IF(AMT66&lt;=0,0,IF(DT67&lt;=0,AMT66,AMT66-G67*MAX(0,DT67*AMT66-(KS67+OF67)))),AMT66*(1-MAX(0,DT67)*H_Exit))</f>
        <v>0</v>
      </c>
      <c r="HH67" s="20" t="n">
        <f aca="false">IF(H_Direct=1,IF(AMU66&lt;=0,0,IF(DU67&lt;=0,AMU66,AMU66-G67*MAX(0,DU67*AMU66-(KT67+OG67)))),AMU66*(1-MAX(0,DU67)*H_Exit))</f>
        <v>0</v>
      </c>
      <c r="HI67" s="20" t="n">
        <f aca="false">IF(H_Direct=1,IF(AMV66&lt;=0,0,IF(DV67&lt;=0,AMV66,AMV66-G67*MAX(0,DV67*AMV66-(KU67+OH67)))),AMV66*(1-MAX(0,DV67)*H_Exit))</f>
        <v>0</v>
      </c>
      <c r="HJ67" s="20" t="n">
        <f aca="false">IF(H_Direct=1,IF(AMW66&lt;=0,0,IF(DW67&lt;=0,AMW66,AMW66-G67*MAX(0,DW67*AMW66-(KV67+OI67)))),AMW66*(1-MAX(0,DW67)*H_Exit))</f>
        <v>0</v>
      </c>
      <c r="HK67" s="20" t="n">
        <f aca="false">IF(H_Direct=1,IF(AMX66&lt;=0,0,IF(DX67&lt;=0,AMX66,AMX66-G67*MAX(0,DX67*AMX66-(KW67+OJ67)))),AMX66*(1-MAX(0,DX67)*H_Exit))</f>
        <v>0</v>
      </c>
      <c r="HL67" s="20" t="n">
        <f aca="false">IF(H_Direct=1,IF(AMY66&lt;=0,0,IF(DY67&lt;=0,AMY66,AMY66-G67*MAX(0,DY67*AMY66-(KX67+OK67)))),AMY66*(1-MAX(0,DY67)*H_Exit))</f>
        <v>0</v>
      </c>
      <c r="HM67" s="20" t="n">
        <f aca="false">IF(H_Direct=1,IF((P67+S67)&lt;=0,0,IF(DZ67&lt;=0,(P67+S67),(P67+S67)-G67*MAX(0,DZ67*(P67+S67)-(KY67+OL67)))),(P67+S67)*(1-MAX(0,DZ67)*H_Exit))</f>
        <v>0</v>
      </c>
      <c r="HN67" s="20" t="n">
        <v>0</v>
      </c>
      <c r="HO67" s="20" t="n">
        <v>0</v>
      </c>
      <c r="HP67" s="20" t="n">
        <v>0</v>
      </c>
      <c r="HQ67" s="20" t="n">
        <v>0</v>
      </c>
      <c r="HR67" s="20" t="n">
        <v>0</v>
      </c>
      <c r="HS67" s="20" t="n">
        <v>0</v>
      </c>
      <c r="HT67" s="20" t="n">
        <v>0</v>
      </c>
      <c r="HU67" s="20" t="n">
        <v>0</v>
      </c>
      <c r="HV67" s="20" t="n">
        <v>0</v>
      </c>
      <c r="HW67" s="20" t="n">
        <v>0</v>
      </c>
      <c r="HX67" s="20" t="n">
        <v>0</v>
      </c>
      <c r="HY67" s="20" t="n">
        <v>0</v>
      </c>
      <c r="HZ67" s="20" t="n">
        <v>0</v>
      </c>
      <c r="IA67" s="20" t="n">
        <v>0</v>
      </c>
      <c r="IB67" s="20" t="n">
        <v>0</v>
      </c>
      <c r="IC67" s="20" t="n">
        <v>0</v>
      </c>
      <c r="ID67" s="20" t="n">
        <v>0</v>
      </c>
      <c r="IE67" s="20" t="n">
        <v>0</v>
      </c>
      <c r="IF67" s="20" t="n">
        <v>0</v>
      </c>
      <c r="IG67" s="20" t="n">
        <v>0</v>
      </c>
      <c r="IH67" s="20" t="n">
        <v>0</v>
      </c>
      <c r="II67" s="20" t="n">
        <v>0</v>
      </c>
      <c r="IJ67" s="20" t="n">
        <v>0</v>
      </c>
      <c r="IK67" s="20" t="n">
        <v>0</v>
      </c>
      <c r="IL67" s="20" t="n">
        <v>0</v>
      </c>
      <c r="IM67" s="20" t="n">
        <v>0</v>
      </c>
      <c r="IN67" s="20" t="n">
        <v>0</v>
      </c>
      <c r="IO67" s="20" t="n">
        <v>0</v>
      </c>
      <c r="IP67" s="20" t="n">
        <v>0</v>
      </c>
      <c r="IQ67" s="20" t="n">
        <v>0</v>
      </c>
      <c r="IR67" s="20" t="n">
        <f aca="false">IF(AND(H_Direct=1,BR67&gt;0),MAX(0,H67-(MIN(BR67*AKR66,H67+I67)-MIN(MIN(BR67*AKR66,H67+I67),I67))),H67)</f>
        <v>1270</v>
      </c>
      <c r="IS67" s="20" t="n">
        <f aca="false">IF(AND(H_Direct=1,BS67&gt;0),MAX(0,IR67-(MIN(BS67*AKS66,IR67+ME67)-MIN(MIN(BS67*AKS66,IR67+ME67),ME67))),IR67)</f>
        <v>1270</v>
      </c>
      <c r="IT67" s="20" t="n">
        <f aca="false">IF(AND(H_Direct=1,BT67&gt;0),MAX(0,IS67-(MIN(BT67*AKT66,IS67+MF67)-MIN(MIN(BT67*AKT66,IS67+MF67),MF67))),IS67)</f>
        <v>1270</v>
      </c>
      <c r="IU67" s="20" t="n">
        <f aca="false">IF(AND(H_Direct=1,BU67&gt;0),MAX(0,IT67-(MIN(BU67*AKU66,IT67+MG67)-MIN(MIN(BU67*AKU66,IT67+MG67),MG67))),IT67)</f>
        <v>1270</v>
      </c>
      <c r="IV67" s="20" t="n">
        <f aca="false">IF(AND(H_Direct=1,BV67&gt;0),MAX(0,IU67-(MIN(BV67*AKV66,IU67+MH67)-MIN(MIN(BV67*AKV66,IU67+MH67),MH67))),IU67)</f>
        <v>1270</v>
      </c>
      <c r="IW67" s="20" t="n">
        <f aca="false">IF(AND(H_Direct=1,BW67&gt;0),MAX(0,IV67-(MIN(BW67*AKW66,IV67+MI67)-MIN(MIN(BW67*AKW66,IV67+MI67),MI67))),IV67)</f>
        <v>1270</v>
      </c>
      <c r="IX67" s="20" t="n">
        <f aca="false">IF(AND(H_Direct=1,BX67&gt;0),MAX(0,IW67-(MIN(BX67*AKX66,IW67+MJ67)-MIN(MIN(BX67*AKX66,IW67+MJ67),MJ67))),IW67)</f>
        <v>1270</v>
      </c>
      <c r="IY67" s="20" t="n">
        <f aca="false">IF(AND(H_Direct=1,BY67&gt;0),MAX(0,IX67-(MIN(BY67*AKY66,IX67+MK67)-MIN(MIN(BY67*AKY66,IX67+MK67),MK67))),IX67)</f>
        <v>1270</v>
      </c>
      <c r="IZ67" s="20" t="n">
        <f aca="false">IF(AND(H_Direct=1,BZ67&gt;0),MAX(0,IY67-(MIN(BZ67*AKZ66,IY67+ML67)-MIN(MIN(BZ67*AKZ66,IY67+ML67),ML67))),IY67)</f>
        <v>1270</v>
      </c>
      <c r="JA67" s="20" t="n">
        <f aca="false">IF(AND(H_Direct=1,CA67&gt;0),MAX(0,IZ67-(MIN(CA67*ALA66,IZ67+MM67)-MIN(MIN(CA67*ALA66,IZ67+MM67),MM67))),IZ67)</f>
        <v>1270</v>
      </c>
      <c r="JB67" s="20" t="n">
        <f aca="false">IF(AND(H_Direct=1,CB67&gt;0),MAX(0,JA67-(MIN(CB67*ALB66,JA67+MN67)-MIN(MIN(CB67*ALB66,JA67+MN67),MN67))),JA67)</f>
        <v>1270</v>
      </c>
      <c r="JC67" s="20" t="n">
        <f aca="false">IF(AND(H_Direct=1,CC67&gt;0),MAX(0,JB67-(MIN(CC67*ALC66,JB67+MO67)-MIN(MIN(CC67*ALC66,JB67+MO67),MO67))),JB67)</f>
        <v>1270</v>
      </c>
      <c r="JD67" s="20" t="n">
        <f aca="false">IF(AND(H_Direct=1,CD67&gt;0),MAX(0,JC67-(MIN(CD67*ALD66,JC67+MP67)-MIN(MIN(CD67*ALD66,JC67+MP67),MP67))),JC67)</f>
        <v>1270</v>
      </c>
      <c r="JE67" s="20" t="n">
        <f aca="false">IF(AND(H_Direct=1,CE67&gt;0),MAX(0,JD67-(MIN(CE67*ALE66,JD67+MQ67)-MIN(MIN(CE67*ALE66,JD67+MQ67),MQ67))),JD67)</f>
        <v>1270</v>
      </c>
      <c r="JF67" s="20" t="n">
        <f aca="false">IF(AND(H_Direct=1,CF67&gt;0),MAX(0,JE67-(MIN(CF67*ALF66,JE67+MR67)-MIN(MIN(CF67*ALF66,JE67+MR67),MR67))),JE67)</f>
        <v>1270</v>
      </c>
      <c r="JG67" s="20" t="n">
        <f aca="false">IF(AND(H_Direct=1,CG67&gt;0),MAX(0,JF67-(MIN(CG67*ALG66,JF67+MS67)-MIN(MIN(CG67*ALG66,JF67+MS67),MS67))),JF67)</f>
        <v>1270</v>
      </c>
      <c r="JH67" s="20" t="n">
        <f aca="false">IF(AND(H_Direct=1,CH67&gt;0),MAX(0,JG67-(MIN(CH67*ALH66,JG67+MT67)-MIN(MIN(CH67*ALH66,JG67+MT67),MT67))),JG67)</f>
        <v>1270</v>
      </c>
      <c r="JI67" s="20" t="n">
        <f aca="false">IF(AND(H_Direct=1,CI67&gt;0),MAX(0,JH67-(MIN(CI67*ALI66,JH67+MU67)-MIN(MIN(CI67*ALI66,JH67+MU67),MU67))),JH67)</f>
        <v>1270</v>
      </c>
      <c r="JJ67" s="20" t="n">
        <f aca="false">IF(AND(H_Direct=1,CJ67&gt;0),MAX(0,JI67-(MIN(CJ67*ALJ66,JI67+MV67)-MIN(MIN(CJ67*ALJ66,JI67+MV67),MV67))),JI67)</f>
        <v>1270</v>
      </c>
      <c r="JK67" s="20" t="n">
        <f aca="false">IF(AND(H_Direct=1,CK67&gt;0),MAX(0,JJ67-(MIN(CK67*ALK66,JJ67+MW67)-MIN(MIN(CK67*ALK66,JJ67+MW67),MW67))),JJ67)</f>
        <v>1270</v>
      </c>
      <c r="JL67" s="20" t="n">
        <f aca="false">IF(AND(H_Direct=1,CL67&gt;0),MAX(0,JK67-(MIN(CL67*ALL66,JK67+MX67)-MIN(MIN(CL67*ALL66,JK67+MX67),MX67))),JK67)</f>
        <v>1270</v>
      </c>
      <c r="JM67" s="20" t="n">
        <f aca="false">IF(AND(H_Direct=1,CM67&gt;0),MAX(0,JL67-(MIN(CM67*ALM66,JL67+MY67)-MIN(MIN(CM67*ALM66,JL67+MY67),MY67))),JL67)</f>
        <v>1270</v>
      </c>
      <c r="JN67" s="20" t="n">
        <f aca="false">IF(AND(H_Direct=1,CN67&gt;0),MAX(0,JM67-(MIN(CN67*ALN66,JM67+MZ67)-MIN(MIN(CN67*ALN66,JM67+MZ67),MZ67))),JM67)</f>
        <v>1270</v>
      </c>
      <c r="JO67" s="20" t="n">
        <f aca="false">IF(AND(H_Direct=1,CO67&gt;0),MAX(0,JN67-(MIN(CO67*ALO66,JN67+NA67)-MIN(MIN(CO67*ALO66,JN67+NA67),NA67))),JN67)</f>
        <v>1270</v>
      </c>
      <c r="JP67" s="20" t="n">
        <f aca="false">IF(AND(H_Direct=1,CP67&gt;0),MAX(0,JO67-(MIN(CP67*ALP66,JO67+NB67)-MIN(MIN(CP67*ALP66,JO67+NB67),NB67))),JO67)</f>
        <v>1270</v>
      </c>
      <c r="JQ67" s="20" t="n">
        <f aca="false">IF(AND(H_Direct=1,CQ67&gt;0),MAX(0,JP67-(MIN(CQ67*ALQ66,JP67+NC67)-MIN(MIN(CQ67*ALQ66,JP67+NC67),NC67))),JP67)</f>
        <v>1270</v>
      </c>
      <c r="JR67" s="20" t="n">
        <f aca="false">IF(AND(H_Direct=1,CR67&gt;0),MAX(0,JQ67-(MIN(CR67*ALR66,JQ67+ND67)-MIN(MIN(CR67*ALR66,JQ67+ND67),ND67))),JQ67)</f>
        <v>1270</v>
      </c>
      <c r="JS67" s="20" t="n">
        <f aca="false">IF(AND(H_Direct=1,CS67&gt;0),MAX(0,JR67-(MIN(CS67*ALS66,JR67+NE67)-MIN(MIN(CS67*ALS66,JR67+NE67),NE67))),JR67)</f>
        <v>1270</v>
      </c>
      <c r="JT67" s="20" t="n">
        <f aca="false">IF(AND(H_Direct=1,CT67&gt;0),MAX(0,JS67-(MIN(CT67*ALT66,JS67+NF67)-MIN(MIN(CT67*ALT66,JS67+NF67),NF67))),JS67)</f>
        <v>1270</v>
      </c>
      <c r="JU67" s="20" t="n">
        <f aca="false">IF(AND(H_Direct=1,CU67&gt;0),MAX(0,JT67-(MIN(CU67*ALU66,JT67+NG67)-MIN(MIN(CU67*ALU66,JT67+NG67),NG67))),JT67)</f>
        <v>1270</v>
      </c>
      <c r="JV67" s="20" t="n">
        <f aca="false">IF(AND(H_Direct=1,CV67&gt;0),MAX(0,JU67-(MIN(CV67*ALV66,JU67+NH67)-MIN(MIN(CV67*ALV66,JU67+NH67),NH67))),JU67)</f>
        <v>1270</v>
      </c>
      <c r="JW67" s="20" t="n">
        <f aca="false">IF(AND(H_Direct=1,CW67&gt;0),MAX(0,JV67-(MIN(CW67*ALW66,JV67+NI67)-MIN(MIN(CW67*ALW66,JV67+NI67),NI67))),JV67)</f>
        <v>1270</v>
      </c>
      <c r="JX67" s="20" t="n">
        <f aca="false">IF(AND(H_Direct=1,CX67&gt;0),MAX(0,JW67-(MIN(CX67*ALX66,JW67+NJ67)-MIN(MIN(CX67*ALX66,JW67+NJ67),NJ67))),JW67)</f>
        <v>1270</v>
      </c>
      <c r="JY67" s="20" t="n">
        <f aca="false">IF(AND(H_Direct=1,CY67&gt;0),MAX(0,JX67-(MIN(CY67*ALY66,JX67+NK67)-MIN(MIN(CY67*ALY66,JX67+NK67),NK67))),JX67)</f>
        <v>1270</v>
      </c>
      <c r="JZ67" s="20" t="n">
        <f aca="false">IF(AND(H_Direct=1,CZ67&gt;0),MAX(0,JY67-(MIN(CZ67*ALZ66,JY67+NL67)-MIN(MIN(CZ67*ALZ66,JY67+NL67),NL67))),JY67)</f>
        <v>1270</v>
      </c>
      <c r="KA67" s="20" t="n">
        <f aca="false">IF(AND(H_Direct=1,DA67&gt;0),MAX(0,JZ67-(MIN(DA67*AMA66,JZ67+NM67)-MIN(MIN(DA67*AMA66,JZ67+NM67),NM67))),JZ67)</f>
        <v>1270</v>
      </c>
      <c r="KB67" s="20" t="n">
        <f aca="false">IF(AND(H_Direct=1,DB67&gt;0),MAX(0,KA67-(MIN(DB67*AMB66,KA67+NN67)-MIN(MIN(DB67*AMB66,KA67+NN67),NN67))),KA67)</f>
        <v>1270</v>
      </c>
      <c r="KC67" s="20" t="n">
        <f aca="false">IF(AND(H_Direct=1,DC67&gt;0),MAX(0,KB67-(MIN(DC67*AMC66,KB67+NO67)-MIN(MIN(DC67*AMC66,KB67+NO67),NO67))),KB67)</f>
        <v>1270</v>
      </c>
      <c r="KD67" s="20" t="n">
        <f aca="false">IF(AND(H_Direct=1,DD67&gt;0),MAX(0,KC67-(MIN(DD67*AMD66,KC67+NP67)-MIN(MIN(DD67*AMD66,KC67+NP67),NP67))),KC67)</f>
        <v>1270</v>
      </c>
      <c r="KE67" s="20" t="n">
        <f aca="false">IF(AND(H_Direct=1,DE67&gt;0),MAX(0,KD67-(MIN(DE67*AME66,KD67+NQ67)-MIN(MIN(DE67*AME66,KD67+NQ67),NQ67))),KD67)</f>
        <v>1270</v>
      </c>
      <c r="KF67" s="20" t="n">
        <f aca="false">IF(AND(H_Direct=1,DF67&gt;0),MAX(0,KE67-(MIN(DF67*AMF66,KE67+NR67)-MIN(MIN(DF67*AMF66,KE67+NR67),NR67))),KE67)</f>
        <v>1270</v>
      </c>
      <c r="KG67" s="20" t="n">
        <f aca="false">IF(AND(H_Direct=1,DG67&gt;0),MAX(0,KF67-(MIN(DG67*AMG66,KF67+NS67)-MIN(MIN(DG67*AMG66,KF67+NS67),NS67))),KF67)</f>
        <v>1270</v>
      </c>
      <c r="KH67" s="20" t="n">
        <f aca="false">IF(AND(H_Direct=1,DH67&gt;0),MAX(0,KG67-(MIN(DH67*AMH66,KG67+NT67)-MIN(MIN(DH67*AMH66,KG67+NT67),NT67))),KG67)</f>
        <v>1270</v>
      </c>
      <c r="KI67" s="20" t="n">
        <f aca="false">IF(AND(H_Direct=1,DI67&gt;0),MAX(0,KH67-(MIN(DI67*AMI66,KH67+NU67)-MIN(MIN(DI67*AMI66,KH67+NU67),NU67))),KH67)</f>
        <v>1270</v>
      </c>
      <c r="KJ67" s="20" t="n">
        <f aca="false">IF(AND(H_Direct=1,DJ67&gt;0),MAX(0,KI67-(MIN(DJ67*AMJ66,KI67+NV67)-MIN(MIN(DJ67*AMJ66,KI67+NV67),NV67))),KI67)</f>
        <v>1270</v>
      </c>
      <c r="KK67" s="20" t="n">
        <f aca="false">IF(AND(H_Direct=1,DK67&gt;0),MAX(0,KJ67-(MIN(DK67*AMK66,KJ67+NW67)-MIN(MIN(DK67*AMK66,KJ67+NW67),NW67))),KJ67)</f>
        <v>1270</v>
      </c>
      <c r="KL67" s="20" t="n">
        <f aca="false">IF(AND(H_Direct=1,DL67&gt;0),MAX(0,KK67-(MIN(DL67*AML66,KK67+NX67)-MIN(MIN(DL67*AML66,KK67+NX67),NX67))),KK67)</f>
        <v>1270</v>
      </c>
      <c r="KM67" s="20" t="n">
        <f aca="false">IF(AND(H_Direct=1,DM67&gt;0),MAX(0,KL67-(MIN(DM67*AMM66,KL67+NY67)-MIN(MIN(DM67*AMM66,KL67+NY67),NY67))),KL67)</f>
        <v>1270</v>
      </c>
      <c r="KN67" s="20" t="n">
        <f aca="false">IF(AND(H_Direct=1,DN67&gt;0),MAX(0,KM67-(MIN(DN67*AMN66,KM67+NZ67)-MIN(MIN(DN67*AMN66,KM67+NZ67),NZ67))),KM67)</f>
        <v>1270</v>
      </c>
      <c r="KO67" s="20" t="n">
        <f aca="false">IF(AND(H_Direct=1,DO67&gt;0),MAX(0,KN67-(MIN(DO67*AMO66,KN67+OA67)-MIN(MIN(DO67*AMO66,KN67+OA67),OA67))),KN67)</f>
        <v>1270</v>
      </c>
      <c r="KP67" s="20" t="n">
        <f aca="false">IF(AND(H_Direct=1,DP67&gt;0),MAX(0,KO67-(MIN(DP67*AMP66,KO67+OB67)-MIN(MIN(DP67*AMP66,KO67+OB67),OB67))),KO67)</f>
        <v>1270</v>
      </c>
      <c r="KQ67" s="20" t="n">
        <f aca="false">IF(AND(H_Direct=1,DQ67&gt;0),MAX(0,KP67-(MIN(DQ67*AMQ66,KP67+OC67)-MIN(MIN(DQ67*AMQ66,KP67+OC67),OC67))),KP67)</f>
        <v>1270</v>
      </c>
      <c r="KR67" s="20" t="n">
        <f aca="false">IF(AND(H_Direct=1,DR67&gt;0),MAX(0,KQ67-(MIN(DR67*AMR66,KQ67+OD67)-MIN(MIN(DR67*AMR66,KQ67+OD67),OD67))),KQ67)</f>
        <v>1270</v>
      </c>
      <c r="KS67" s="20" t="n">
        <f aca="false">IF(AND(H_Direct=1,DS67&gt;0),MAX(0,KR67-(MIN(DS67*AMS66,KR67+OE67)-MIN(MIN(DS67*AMS66,KR67+OE67),OE67))),KR67)</f>
        <v>1270</v>
      </c>
      <c r="KT67" s="20" t="n">
        <f aca="false">IF(AND(H_Direct=1,DT67&gt;0),MAX(0,KS67-(MIN(DT67*AMT66,KS67+OF67)-MIN(MIN(DT67*AMT66,KS67+OF67),OF67))),KS67)</f>
        <v>1270</v>
      </c>
      <c r="KU67" s="20" t="n">
        <f aca="false">IF(AND(H_Direct=1,DU67&gt;0),MAX(0,KT67-(MIN(DU67*AMU66,KT67+OG67)-MIN(MIN(DU67*AMU66,KT67+OG67),OG67))),KT67)</f>
        <v>1270</v>
      </c>
      <c r="KV67" s="20" t="n">
        <f aca="false">IF(AND(H_Direct=1,DV67&gt;0),MAX(0,KU67-(MIN(DV67*AMV66,KU67+OH67)-MIN(MIN(DV67*AMV66,KU67+OH67),OH67))),KU67)</f>
        <v>1270</v>
      </c>
      <c r="KW67" s="20" t="n">
        <f aca="false">IF(AND(H_Direct=1,DW67&gt;0),MAX(0,KV67-(MIN(DW67*AMW66,KV67+OI67)-MIN(MIN(DW67*AMW66,KV67+OI67),OI67))),KV67)</f>
        <v>1270</v>
      </c>
      <c r="KX67" s="20" t="n">
        <f aca="false">IF(AND(H_Direct=1,DX67&gt;0),MAX(0,KW67-(MIN(DX67*AMX66,KW67+OJ67)-MIN(MIN(DX67*AMX66,KW67+OJ67),OJ67))),KW67)</f>
        <v>1270</v>
      </c>
      <c r="KY67" s="20" t="n">
        <f aca="false">IF(AND(H_Direct=1,DY67&gt;0),MAX(0,KX67-(MIN(DY67*AMY66,KX67+OK67)-MIN(MIN(DY67*AMY66,KX67+OK67),OK67))),KX67)</f>
        <v>1270</v>
      </c>
      <c r="KZ67" s="20" t="n">
        <f aca="false">IF(AND(H_Direct=1,DZ67&gt;0),MAX(0,KY67-(MIN(DZ67*(P67+S67),KY67+OL67)-MIN(MIN(DZ67*(P67+S67),KY67+OL67),OL67))),KY67)</f>
        <v>1270</v>
      </c>
      <c r="LA67" s="20" t="n">
        <f aca="false">KZ67</f>
        <v>1270</v>
      </c>
      <c r="LB67" s="20" t="n">
        <f aca="false">LA67</f>
        <v>1270</v>
      </c>
      <c r="LC67" s="20" t="n">
        <f aca="false">LB67</f>
        <v>1270</v>
      </c>
      <c r="LD67" s="20" t="n">
        <f aca="false">LC67</f>
        <v>1270</v>
      </c>
      <c r="LE67" s="20" t="n">
        <f aca="false">LD67</f>
        <v>1270</v>
      </c>
      <c r="LF67" s="20" t="n">
        <f aca="false">LE67</f>
        <v>1270</v>
      </c>
      <c r="LG67" s="20" t="n">
        <f aca="false">LF67</f>
        <v>1270</v>
      </c>
      <c r="LH67" s="20" t="n">
        <f aca="false">LG67</f>
        <v>1270</v>
      </c>
      <c r="LI67" s="20" t="n">
        <f aca="false">LH67</f>
        <v>1270</v>
      </c>
      <c r="LJ67" s="20" t="n">
        <f aca="false">LI67</f>
        <v>1270</v>
      </c>
      <c r="LK67" s="20" t="n">
        <f aca="false">LJ67</f>
        <v>1270</v>
      </c>
      <c r="LL67" s="20" t="n">
        <f aca="false">LK67</f>
        <v>1270</v>
      </c>
      <c r="LM67" s="20" t="n">
        <f aca="false">LL67</f>
        <v>1270</v>
      </c>
      <c r="LN67" s="20" t="n">
        <f aca="false">LM67</f>
        <v>1270</v>
      </c>
      <c r="LO67" s="20" t="n">
        <f aca="false">LN67</f>
        <v>1270</v>
      </c>
      <c r="LP67" s="20" t="n">
        <f aca="false">LO67</f>
        <v>1270</v>
      </c>
      <c r="LQ67" s="20" t="n">
        <f aca="false">LP67</f>
        <v>1270</v>
      </c>
      <c r="LR67" s="20" t="n">
        <f aca="false">LQ67</f>
        <v>1270</v>
      </c>
      <c r="LS67" s="20" t="n">
        <f aca="false">LR67</f>
        <v>1270</v>
      </c>
      <c r="LT67" s="20" t="n">
        <f aca="false">LS67</f>
        <v>1270</v>
      </c>
      <c r="LU67" s="20" t="n">
        <f aca="false">LT67</f>
        <v>1270</v>
      </c>
      <c r="LV67" s="20" t="n">
        <f aca="false">LU67</f>
        <v>1270</v>
      </c>
      <c r="LW67" s="20" t="n">
        <f aca="false">LV67</f>
        <v>1270</v>
      </c>
      <c r="LX67" s="20" t="n">
        <f aca="false">LW67</f>
        <v>1270</v>
      </c>
      <c r="LY67" s="20" t="n">
        <f aca="false">LX67</f>
        <v>1270</v>
      </c>
      <c r="LZ67" s="20" t="n">
        <f aca="false">LY67</f>
        <v>1270</v>
      </c>
      <c r="MA67" s="20" t="n">
        <f aca="false">LZ67</f>
        <v>1270</v>
      </c>
      <c r="MB67" s="20" t="n">
        <f aca="false">MA67</f>
        <v>1270</v>
      </c>
      <c r="MC67" s="20" t="n">
        <f aca="false">MB67</f>
        <v>1270</v>
      </c>
      <c r="MD67" s="20" t="n">
        <f aca="false">MC67</f>
        <v>1270</v>
      </c>
      <c r="ME67" s="20" t="n">
        <f aca="false">IF(H_Direct=1,IF(BR67&lt;=0,I67-BR67*AKR66,I67-MIN(MIN(BR67*AKR66,H67+I67),I67)),I67)</f>
        <v>0</v>
      </c>
      <c r="MF67" s="20" t="n">
        <f aca="false">IF(H_Direct=1,IF(BS67&lt;=0,ME67-BS67*AKS66,ME67-MIN(MIN(BS67*AKS66,IR67+ME67),ME67)),ME67)</f>
        <v>0</v>
      </c>
      <c r="MG67" s="20" t="n">
        <f aca="false">IF(H_Direct=1,IF(BT67&lt;=0,MF67-BT67*AKT66,MF67-MIN(MIN(BT67*AKT66,IS67+MF67),MF67)),MF67)</f>
        <v>0</v>
      </c>
      <c r="MH67" s="20" t="n">
        <f aca="false">IF(H_Direct=1,IF(BU67&lt;=0,MG67-BU67*AKU66,MG67-MIN(MIN(BU67*AKU66,IT67+MG67),MG67)),MG67)</f>
        <v>0</v>
      </c>
      <c r="MI67" s="20" t="n">
        <f aca="false">IF(H_Direct=1,IF(BV67&lt;=0,MH67-BV67*AKV66,MH67-MIN(MIN(BV67*AKV66,IU67+MH67),MH67)),MH67)</f>
        <v>0</v>
      </c>
      <c r="MJ67" s="20" t="n">
        <f aca="false">IF(H_Direct=1,IF(BW67&lt;=0,MI67-BW67*AKW66,MI67-MIN(MIN(BW67*AKW66,IV67+MI67),MI67)),MI67)</f>
        <v>0</v>
      </c>
      <c r="MK67" s="20" t="n">
        <f aca="false">IF(H_Direct=1,IF(BX67&lt;=0,MJ67-BX67*AKX66,MJ67-MIN(MIN(BX67*AKX66,IW67+MJ67),MJ67)),MJ67)</f>
        <v>0</v>
      </c>
      <c r="ML67" s="20" t="n">
        <f aca="false">IF(H_Direct=1,IF(BY67&lt;=0,MK67-BY67*AKY66,MK67-MIN(MIN(BY67*AKY66,IX67+MK67),MK67)),MK67)</f>
        <v>0</v>
      </c>
      <c r="MM67" s="20" t="n">
        <f aca="false">IF(H_Direct=1,IF(BZ67&lt;=0,ML67-BZ67*AKZ66,ML67-MIN(MIN(BZ67*AKZ66,IY67+ML67),ML67)),ML67)</f>
        <v>0</v>
      </c>
      <c r="MN67" s="20" t="n">
        <f aca="false">IF(H_Direct=1,IF(CA67&lt;=0,MM67-CA67*ALA66,MM67-MIN(MIN(CA67*ALA66,IZ67+MM67),MM67)),MM67)</f>
        <v>0</v>
      </c>
      <c r="MO67" s="20" t="n">
        <f aca="false">IF(H_Direct=1,IF(CB67&lt;=0,MN67-CB67*ALB66,MN67-MIN(MIN(CB67*ALB66,JA67+MN67),MN67)),MN67)</f>
        <v>0</v>
      </c>
      <c r="MP67" s="20" t="n">
        <f aca="false">IF(H_Direct=1,IF(CC67&lt;=0,MO67-CC67*ALC66,MO67-MIN(MIN(CC67*ALC66,JB67+MO67),MO67)),MO67)</f>
        <v>0</v>
      </c>
      <c r="MQ67" s="20" t="n">
        <f aca="false">IF(H_Direct=1,IF(CD67&lt;=0,MP67-CD67*ALD66,MP67-MIN(MIN(CD67*ALD66,JC67+MP67),MP67)),MP67)</f>
        <v>0</v>
      </c>
      <c r="MR67" s="20" t="n">
        <f aca="false">IF(H_Direct=1,IF(CE67&lt;=0,MQ67-CE67*ALE66,MQ67-MIN(MIN(CE67*ALE66,JD67+MQ67),MQ67)),MQ67)</f>
        <v>0</v>
      </c>
      <c r="MS67" s="20" t="n">
        <f aca="false">IF(H_Direct=1,IF(CF67&lt;=0,MR67-CF67*ALF66,MR67-MIN(MIN(CF67*ALF66,JE67+MR67),MR67)),MR67)</f>
        <v>0</v>
      </c>
      <c r="MT67" s="20" t="n">
        <f aca="false">IF(H_Direct=1,IF(CG67&lt;=0,MS67-CG67*ALG66,MS67-MIN(MIN(CG67*ALG66,JF67+MS67),MS67)),MS67)</f>
        <v>0</v>
      </c>
      <c r="MU67" s="20" t="n">
        <f aca="false">IF(H_Direct=1,IF(CH67&lt;=0,MT67-CH67*ALH66,MT67-MIN(MIN(CH67*ALH66,JG67+MT67),MT67)),MT67)</f>
        <v>0</v>
      </c>
      <c r="MV67" s="20" t="n">
        <f aca="false">IF(H_Direct=1,IF(CI67&lt;=0,MU67-CI67*ALI66,MU67-MIN(MIN(CI67*ALI66,JH67+MU67),MU67)),MU67)</f>
        <v>0</v>
      </c>
      <c r="MW67" s="20" t="n">
        <f aca="false">IF(H_Direct=1,IF(CJ67&lt;=0,MV67-CJ67*ALJ66,MV67-MIN(MIN(CJ67*ALJ66,JI67+MV67),MV67)),MV67)</f>
        <v>0</v>
      </c>
      <c r="MX67" s="20" t="n">
        <f aca="false">IF(H_Direct=1,IF(CK67&lt;=0,MW67-CK67*ALK66,MW67-MIN(MIN(CK67*ALK66,JJ67+MW67),MW67)),MW67)</f>
        <v>0</v>
      </c>
      <c r="MY67" s="20" t="n">
        <f aca="false">IF(H_Direct=1,IF(CL67&lt;=0,MX67-CL67*ALL66,MX67-MIN(MIN(CL67*ALL66,JK67+MX67),MX67)),MX67)</f>
        <v>0</v>
      </c>
      <c r="MZ67" s="20" t="n">
        <f aca="false">IF(H_Direct=1,IF(CM67&lt;=0,MY67-CM67*ALM66,MY67-MIN(MIN(CM67*ALM66,JL67+MY67),MY67)),MY67)</f>
        <v>0</v>
      </c>
      <c r="NA67" s="20" t="n">
        <f aca="false">IF(H_Direct=1,IF(CN67&lt;=0,MZ67-CN67*ALN66,MZ67-MIN(MIN(CN67*ALN66,JM67+MZ67),MZ67)),MZ67)</f>
        <v>0</v>
      </c>
      <c r="NB67" s="20" t="n">
        <f aca="false">IF(H_Direct=1,IF(CO67&lt;=0,NA67-CO67*ALO66,NA67-MIN(MIN(CO67*ALO66,JN67+NA67),NA67)),NA67)</f>
        <v>0</v>
      </c>
      <c r="NC67" s="20" t="n">
        <f aca="false">IF(H_Direct=1,IF(CP67&lt;=0,NB67-CP67*ALP66,NB67-MIN(MIN(CP67*ALP66,JO67+NB67),NB67)),NB67)</f>
        <v>0</v>
      </c>
      <c r="ND67" s="20" t="n">
        <f aca="false">IF(H_Direct=1,IF(CQ67&lt;=0,NC67-CQ67*ALQ66,NC67-MIN(MIN(CQ67*ALQ66,JP67+NC67),NC67)),NC67)</f>
        <v>0</v>
      </c>
      <c r="NE67" s="20" t="n">
        <f aca="false">IF(H_Direct=1,IF(CR67&lt;=0,ND67-CR67*ALR66,ND67-MIN(MIN(CR67*ALR66,JQ67+ND67),ND67)),ND67)</f>
        <v>0</v>
      </c>
      <c r="NF67" s="20" t="n">
        <f aca="false">IF(H_Direct=1,IF(CS67&lt;=0,NE67-CS67*ALS66,NE67-MIN(MIN(CS67*ALS66,JR67+NE67),NE67)),NE67)</f>
        <v>0</v>
      </c>
      <c r="NG67" s="20" t="n">
        <f aca="false">IF(H_Direct=1,IF(CT67&lt;=0,NF67-CT67*ALT66,NF67-MIN(MIN(CT67*ALT66,JS67+NF67),NF67)),NF67)</f>
        <v>0</v>
      </c>
      <c r="NH67" s="20" t="n">
        <f aca="false">IF(H_Direct=1,IF(CU67&lt;=0,NG67-CU67*ALU66,NG67-MIN(MIN(CU67*ALU66,JT67+NG67),NG67)),NG67)</f>
        <v>0</v>
      </c>
      <c r="NI67" s="20" t="n">
        <f aca="false">IF(H_Direct=1,IF(CV67&lt;=0,NH67-CV67*ALV66,NH67-MIN(MIN(CV67*ALV66,JU67+NH67),NH67)),NH67)</f>
        <v>0</v>
      </c>
      <c r="NJ67" s="20" t="n">
        <f aca="false">IF(H_Direct=1,IF(CW67&lt;=0,NI67-CW67*ALW66,NI67-MIN(MIN(CW67*ALW66,JV67+NI67),NI67)),NI67)</f>
        <v>0</v>
      </c>
      <c r="NK67" s="20" t="n">
        <f aca="false">IF(H_Direct=1,IF(CX67&lt;=0,NJ67-CX67*ALX66,NJ67-MIN(MIN(CX67*ALX66,JW67+NJ67),NJ67)),NJ67)</f>
        <v>0</v>
      </c>
      <c r="NL67" s="20" t="n">
        <f aca="false">IF(H_Direct=1,IF(CY67&lt;=0,NK67-CY67*ALY66,NK67-MIN(MIN(CY67*ALY66,JX67+NK67),NK67)),NK67)</f>
        <v>0</v>
      </c>
      <c r="NM67" s="20" t="n">
        <f aca="false">IF(H_Direct=1,IF(CZ67&lt;=0,NL67-CZ67*ALZ66,NL67-MIN(MIN(CZ67*ALZ66,JY67+NL67),NL67)),NL67)</f>
        <v>0</v>
      </c>
      <c r="NN67" s="20" t="n">
        <f aca="false">IF(H_Direct=1,IF(DA67&lt;=0,NM67-DA67*AMA66,NM67-MIN(MIN(DA67*AMA66,JZ67+NM67),NM67)),NM67)</f>
        <v>0</v>
      </c>
      <c r="NO67" s="20" t="n">
        <f aca="false">IF(H_Direct=1,IF(DB67&lt;=0,NN67-DB67*AMB66,NN67-MIN(MIN(DB67*AMB66,KA67+NN67),NN67)),NN67)</f>
        <v>0</v>
      </c>
      <c r="NP67" s="20" t="n">
        <f aca="false">IF(H_Direct=1,IF(DC67&lt;=0,NO67-DC67*AMC66,NO67-MIN(MIN(DC67*AMC66,KB67+NO67),NO67)),NO67)</f>
        <v>0</v>
      </c>
      <c r="NQ67" s="20" t="n">
        <f aca="false">IF(H_Direct=1,IF(DD67&lt;=0,NP67-DD67*AMD66,NP67-MIN(MIN(DD67*AMD66,KC67+NP67),NP67)),NP67)</f>
        <v>0</v>
      </c>
      <c r="NR67" s="20" t="n">
        <f aca="false">IF(H_Direct=1,IF(DE67&lt;=0,NQ67-DE67*AME66,NQ67-MIN(MIN(DE67*AME66,KD67+NQ67),NQ67)),NQ67)</f>
        <v>0</v>
      </c>
      <c r="NS67" s="20" t="n">
        <f aca="false">IF(H_Direct=1,IF(DF67&lt;=0,NR67-DF67*AMF66,NR67-MIN(MIN(DF67*AMF66,KE67+NR67),NR67)),NR67)</f>
        <v>0</v>
      </c>
      <c r="NT67" s="20" t="n">
        <f aca="false">IF(H_Direct=1,IF(DG67&lt;=0,NS67-DG67*AMG66,NS67-MIN(MIN(DG67*AMG66,KF67+NS67),NS67)),NS67)</f>
        <v>0</v>
      </c>
      <c r="NU67" s="20" t="n">
        <f aca="false">IF(H_Direct=1,IF(DH67&lt;=0,NT67-DH67*AMH66,NT67-MIN(MIN(DH67*AMH66,KG67+NT67),NT67)),NT67)</f>
        <v>0</v>
      </c>
      <c r="NV67" s="20" t="n">
        <f aca="false">IF(H_Direct=1,IF(DI67&lt;=0,NU67-DI67*AMI66,NU67-MIN(MIN(DI67*AMI66,KH67+NU67),NU67)),NU67)</f>
        <v>0</v>
      </c>
      <c r="NW67" s="20" t="n">
        <f aca="false">IF(H_Direct=1,IF(DJ67&lt;=0,NV67-DJ67*AMJ66,NV67-MIN(MIN(DJ67*AMJ66,KI67+NV67),NV67)),NV67)</f>
        <v>0</v>
      </c>
      <c r="NX67" s="20" t="n">
        <f aca="false">IF(H_Direct=1,IF(DK67&lt;=0,NW67-DK67*AMK66,NW67-MIN(MIN(DK67*AMK66,KJ67+NW67),NW67)),NW67)</f>
        <v>0</v>
      </c>
      <c r="NY67" s="20" t="n">
        <f aca="false">IF(H_Direct=1,IF(DL67&lt;=0,NX67-DL67*AML66,NX67-MIN(MIN(DL67*AML66,KK67+NX67),NX67)),NX67)</f>
        <v>0</v>
      </c>
      <c r="NZ67" s="20" t="n">
        <f aca="false">IF(H_Direct=1,IF(DM67&lt;=0,NY67-DM67*AMM66,NY67-MIN(MIN(DM67*AMM66,KL67+NY67),NY67)),NY67)</f>
        <v>0</v>
      </c>
      <c r="OA67" s="20" t="n">
        <f aca="false">IF(H_Direct=1,IF(DN67&lt;=0,NZ67-DN67*AMN66,NZ67-MIN(MIN(DN67*AMN66,KM67+NZ67),NZ67)),NZ67)</f>
        <v>0</v>
      </c>
      <c r="OB67" s="20" t="n">
        <f aca="false">IF(H_Direct=1,IF(DO67&lt;=0,OA67-DO67*AMO66,OA67-MIN(MIN(DO67*AMO66,KN67+OA67),OA67)),OA67)</f>
        <v>0</v>
      </c>
      <c r="OC67" s="20" t="n">
        <f aca="false">IF(H_Direct=1,IF(DP67&lt;=0,OB67-DP67*AMP66,OB67-MIN(MIN(DP67*AMP66,KO67+OB67),OB67)),OB67)</f>
        <v>0</v>
      </c>
      <c r="OD67" s="20" t="n">
        <f aca="false">IF(H_Direct=1,IF(DQ67&lt;=0,OC67-DQ67*AMQ66,OC67-MIN(MIN(DQ67*AMQ66,KP67+OC67),OC67)),OC67)</f>
        <v>0</v>
      </c>
      <c r="OE67" s="20" t="n">
        <f aca="false">IF(H_Direct=1,IF(DR67&lt;=0,OD67-DR67*AMR66,OD67-MIN(MIN(DR67*AMR66,KQ67+OD67),OD67)),OD67)</f>
        <v>0</v>
      </c>
      <c r="OF67" s="20" t="n">
        <f aca="false">IF(H_Direct=1,IF(DS67&lt;=0,OE67-DS67*AMS66,OE67-MIN(MIN(DS67*AMS66,KR67+OE67),OE67)),OE67)</f>
        <v>0</v>
      </c>
      <c r="OG67" s="20" t="n">
        <f aca="false">IF(H_Direct=1,IF(DT67&lt;=0,OF67-DT67*AMT66,OF67-MIN(MIN(DT67*AMT66,KS67+OF67),OF67)),OF67)</f>
        <v>0</v>
      </c>
      <c r="OH67" s="20" t="n">
        <f aca="false">IF(H_Direct=1,IF(DU67&lt;=0,OG67-DU67*AMU66,OG67-MIN(MIN(DU67*AMU66,KT67+OG67),OG67)),OG67)</f>
        <v>0</v>
      </c>
      <c r="OI67" s="20" t="n">
        <f aca="false">IF(H_Direct=1,IF(DV67&lt;=0,OH67-DV67*AMV66,OH67-MIN(MIN(DV67*AMV66,KU67+OH67),OH67)),OH67)</f>
        <v>0</v>
      </c>
      <c r="OJ67" s="20" t="n">
        <f aca="false">IF(H_Direct=1,IF(DW67&lt;=0,OI67-DW67*AMW66,OI67-MIN(MIN(DW67*AMW66,KV67+OI67),OI67)),OI67)</f>
        <v>0</v>
      </c>
      <c r="OK67" s="20" t="n">
        <f aca="false">IF(H_Direct=1,IF(DX67&lt;=0,OJ67-DX67*AMX66,OJ67-MIN(MIN(DX67*AMX66,KW67+OJ67),OJ67)),OJ67)</f>
        <v>0</v>
      </c>
      <c r="OL67" s="20" t="n">
        <f aca="false">IF(H_Direct=1,IF(DY67&lt;=0,OK67-DY67*AMY66,OK67-MIN(MIN(DY67*AMY66,KX67+OK67),OK67)),OK67)</f>
        <v>0</v>
      </c>
      <c r="OM67" s="20" t="n">
        <f aca="false">IF(H_Direct=1,IF(DZ67&lt;=0,OL67-DZ67*(P67+S67),OL67-MIN(MIN(DZ67*(P67+S67),KY67+OL67),OL67)),OL67)</f>
        <v>0</v>
      </c>
      <c r="ON67" s="20" t="n">
        <f aca="false">OM67</f>
        <v>0</v>
      </c>
      <c r="OO67" s="20" t="n">
        <f aca="false">ON67</f>
        <v>0</v>
      </c>
      <c r="OP67" s="20" t="n">
        <f aca="false">OO67</f>
        <v>0</v>
      </c>
      <c r="OQ67" s="20" t="n">
        <f aca="false">OP67</f>
        <v>0</v>
      </c>
      <c r="OR67" s="20" t="n">
        <f aca="false">OQ67</f>
        <v>0</v>
      </c>
      <c r="OS67" s="20" t="n">
        <f aca="false">OR67</f>
        <v>0</v>
      </c>
      <c r="OT67" s="20" t="n">
        <f aca="false">OS67</f>
        <v>0</v>
      </c>
      <c r="OU67" s="20" t="n">
        <f aca="false">OT67</f>
        <v>0</v>
      </c>
      <c r="OV67" s="20" t="n">
        <f aca="false">OU67</f>
        <v>0</v>
      </c>
      <c r="OW67" s="20" t="n">
        <f aca="false">OV67</f>
        <v>0</v>
      </c>
      <c r="OX67" s="20" t="n">
        <f aca="false">OW67</f>
        <v>0</v>
      </c>
      <c r="OY67" s="20" t="n">
        <f aca="false">OX67</f>
        <v>0</v>
      </c>
      <c r="OZ67" s="20" t="n">
        <f aca="false">OY67</f>
        <v>0</v>
      </c>
      <c r="PA67" s="20" t="n">
        <f aca="false">OZ67</f>
        <v>0</v>
      </c>
      <c r="PB67" s="20" t="n">
        <f aca="false">PA67</f>
        <v>0</v>
      </c>
      <c r="PC67" s="20" t="n">
        <f aca="false">PB67</f>
        <v>0</v>
      </c>
      <c r="PD67" s="20" t="n">
        <f aca="false">PC67</f>
        <v>0</v>
      </c>
      <c r="PE67" s="20" t="n">
        <f aca="false">PD67</f>
        <v>0</v>
      </c>
      <c r="PF67" s="20" t="n">
        <f aca="false">PE67</f>
        <v>0</v>
      </c>
      <c r="PG67" s="20" t="n">
        <f aca="false">PF67</f>
        <v>0</v>
      </c>
      <c r="PH67" s="20" t="n">
        <f aca="false">PG67</f>
        <v>0</v>
      </c>
      <c r="PI67" s="20" t="n">
        <f aca="false">PH67</f>
        <v>0</v>
      </c>
      <c r="PJ67" s="20" t="n">
        <f aca="false">PI67</f>
        <v>0</v>
      </c>
      <c r="PK67" s="20" t="n">
        <f aca="false">PJ67</f>
        <v>0</v>
      </c>
      <c r="PL67" s="20" t="n">
        <f aca="false">PK67</f>
        <v>0</v>
      </c>
      <c r="PM67" s="20" t="n">
        <f aca="false">PL67</f>
        <v>0</v>
      </c>
      <c r="PN67" s="20" t="n">
        <f aca="false">PM67</f>
        <v>0</v>
      </c>
      <c r="PO67" s="20" t="n">
        <f aca="false">PN67</f>
        <v>0</v>
      </c>
      <c r="PP67" s="20" t="n">
        <f aca="false">PO67</f>
        <v>0</v>
      </c>
      <c r="PQ67" s="20" t="n">
        <f aca="false">PP67</f>
        <v>0</v>
      </c>
      <c r="PR67" s="20" t="n">
        <f aca="false">IF(H_Direct=1,IF(AKR66&lt;=0,0,IF(BR67&lt;=0,MIN(MAX(0,AB67),AKR66),MIN(MAX(0,AB67),AKR66-G67*MAX(0,BR67*AKR66-(H67+I67))))),MIN(FE67,MAX(0,AB67)))</f>
        <v>0</v>
      </c>
      <c r="PS67" s="20" t="n">
        <f aca="false">IF(H_Direct=1,IF(AKS66&lt;=0,0,IF(BS67&lt;=0,MIN(MAX(0,AB67-SUM(PR67:PR67)),AKS66),MIN(MAX(0,AB67-SUM(PR67:PR67)),AKS66-G67*MAX(0,BS67*AKS66-(WR67+AAE67))))),MIN(FF67,MAX(0,AB67-SUM(PR67:PR67))))</f>
        <v>0</v>
      </c>
      <c r="PT67" s="20" t="n">
        <f aca="false">IF(H_Direct=1,IF(AKT66&lt;=0,0,IF(BT67&lt;=0,MIN(MAX(0,AB67-SUM(PR67:PS67)),AKT66),MIN(MAX(0,AB67-SUM(PR67:PS67)),AKT66-G67*MAX(0,BT67*AKT66-(WS67+AAF67))))),MIN(FG67,MAX(0,AB67-SUM(PR67:PS67))))</f>
        <v>0</v>
      </c>
      <c r="PU67" s="20" t="n">
        <f aca="false">IF(H_Direct=1,IF(AKU66&lt;=0,0,IF(BU67&lt;=0,MIN(MAX(0,AB67-SUM(PR67:PT67)),AKU66),MIN(MAX(0,AB67-SUM(PR67:PT67)),AKU66-G67*MAX(0,BU67*AKU66-(WT67+AAG67))))),MIN(FH67,MAX(0,AB67-SUM(PR67:PT67))))</f>
        <v>0</v>
      </c>
      <c r="PV67" s="20" t="n">
        <f aca="false">IF(H_Direct=1,IF(AKV66&lt;=0,0,IF(BV67&lt;=0,MIN(MAX(0,AB67-SUM(PR67:PU67)),AKV66),MIN(MAX(0,AB67-SUM(PR67:PU67)),AKV66-G67*MAX(0,BV67*AKV66-(WU67+AAH67))))),MIN(FI67,MAX(0,AB67-SUM(PR67:PU67))))</f>
        <v>0</v>
      </c>
      <c r="PW67" s="20" t="n">
        <f aca="false">IF(H_Direct=1,IF(AKW66&lt;=0,0,IF(BW67&lt;=0,MIN(MAX(0,AB67-SUM(PR67:PV67)),AKW66),MIN(MAX(0,AB67-SUM(PR67:PV67)),AKW66-G67*MAX(0,BW67*AKW66-(WV67+AAI67))))),MIN(FJ67,MAX(0,AB67-SUM(PR67:PV67))))</f>
        <v>0</v>
      </c>
      <c r="PX67" s="20" t="n">
        <f aca="false">IF(H_Direct=1,IF(AKX66&lt;=0,0,IF(BX67&lt;=0,MIN(MAX(0,AB67-SUM(PR67:PW67)),AKX66),MIN(MAX(0,AB67-SUM(PR67:PW67)),AKX66-G67*MAX(0,BX67*AKX66-(WW67+AAJ67))))),MIN(FK67,MAX(0,AB67-SUM(PR67:PW67))))</f>
        <v>0</v>
      </c>
      <c r="PY67" s="20" t="n">
        <f aca="false">IF(H_Direct=1,IF(AKY66&lt;=0,0,IF(BY67&lt;=0,MIN(MAX(0,AB67-SUM(PR67:PX67)),AKY66),MIN(MAX(0,AB67-SUM(PR67:PX67)),AKY66-G67*MAX(0,BY67*AKY66-(WX67+AAK67))))),MIN(FL67,MAX(0,AB67-SUM(PR67:PX67))))</f>
        <v>0</v>
      </c>
      <c r="PZ67" s="20" t="n">
        <f aca="false">IF(H_Direct=1,IF(AKZ66&lt;=0,0,IF(BZ67&lt;=0,MIN(MAX(0,AB67-SUM(PR67:PY67)),AKZ66),MIN(MAX(0,AB67-SUM(PR67:PY67)),AKZ66-G67*MAX(0,BZ67*AKZ66-(WY67+AAL67))))),MIN(FM67,MAX(0,AB67-SUM(PR67:PY67))))</f>
        <v>0</v>
      </c>
      <c r="QA67" s="20" t="n">
        <f aca="false">IF(H_Direct=1,IF(ALA66&lt;=0,0,IF(CA67&lt;=0,MIN(MAX(0,AB67-SUM(PR67:PZ67)),ALA66),MIN(MAX(0,AB67-SUM(PR67:PZ67)),ALA66-G67*MAX(0,CA67*ALA66-(WZ67+AAM67))))),MIN(FN67,MAX(0,AB67-SUM(PR67:PZ67))))</f>
        <v>0</v>
      </c>
      <c r="QB67" s="20" t="n">
        <f aca="false">IF(H_Direct=1,IF(ALB66&lt;=0,0,IF(CB67&lt;=0,MIN(MAX(0,AB67-SUM(PR67:QA67)),ALB66),MIN(MAX(0,AB67-SUM(PR67:QA67)),ALB66-G67*MAX(0,CB67*ALB66-(XA67+AAN67))))),MIN(FO67,MAX(0,AB67-SUM(PR67:QA67))))</f>
        <v>0</v>
      </c>
      <c r="QC67" s="20" t="n">
        <f aca="false">IF(H_Direct=1,IF(ALC66&lt;=0,0,IF(CC67&lt;=0,MIN(MAX(0,AB67-SUM(PR67:QB67)),ALC66),MIN(MAX(0,AB67-SUM(PR67:QB67)),ALC66-G67*MAX(0,CC67*ALC66-(XB67+AAO67))))),MIN(FP67,MAX(0,AB67-SUM(PR67:QB67))))</f>
        <v>0</v>
      </c>
      <c r="QD67" s="20" t="n">
        <f aca="false">IF(H_Direct=1,IF(ALD66&lt;=0,0,IF(CD67&lt;=0,MIN(MAX(0,AB67-SUM(PR67:QC67)),ALD66),MIN(MAX(0,AB67-SUM(PR67:QC67)),ALD66-G67*MAX(0,CD67*ALD66-(XC67+AAP67))))),MIN(FQ67,MAX(0,AB67-SUM(PR67:QC67))))</f>
        <v>0</v>
      </c>
      <c r="QE67" s="20" t="n">
        <f aca="false">IF(H_Direct=1,IF(ALE66&lt;=0,0,IF(CE67&lt;=0,MIN(MAX(0,AB67-SUM(PR67:QD67)),ALE66),MIN(MAX(0,AB67-SUM(PR67:QD67)),ALE66-G67*MAX(0,CE67*ALE66-(XD67+AAQ67))))),MIN(FR67,MAX(0,AB67-SUM(PR67:QD67))))</f>
        <v>0</v>
      </c>
      <c r="QF67" s="20" t="n">
        <f aca="false">IF(H_Direct=1,IF(ALF66&lt;=0,0,IF(CF67&lt;=0,MIN(MAX(0,AB67-SUM(PR67:QE67)),ALF66),MIN(MAX(0,AB67-SUM(PR67:QE67)),ALF66-G67*MAX(0,CF67*ALF66-(XE67+AAR67))))),MIN(FS67,MAX(0,AB67-SUM(PR67:QE67))))</f>
        <v>0</v>
      </c>
      <c r="QG67" s="20" t="n">
        <f aca="false">IF(H_Direct=1,IF(ALG66&lt;=0,0,IF(CG67&lt;=0,MIN(MAX(0,AB67-SUM(PR67:QF67)),ALG66),MIN(MAX(0,AB67-SUM(PR67:QF67)),ALG66-G67*MAX(0,CG67*ALG66-(XF67+AAS67))))),MIN(FT67,MAX(0,AB67-SUM(PR67:QF67))))</f>
        <v>0</v>
      </c>
      <c r="QH67" s="20" t="n">
        <f aca="false">IF(H_Direct=1,IF(ALH66&lt;=0,0,IF(CH67&lt;=0,MIN(MAX(0,AB67-SUM(PR67:QG67)),ALH66),MIN(MAX(0,AB67-SUM(PR67:QG67)),ALH66-G67*MAX(0,CH67*ALH66-(XG67+AAT67))))),MIN(FU67,MAX(0,AB67-SUM(PR67:QG67))))</f>
        <v>0</v>
      </c>
      <c r="QI67" s="20" t="n">
        <f aca="false">IF(H_Direct=1,IF(ALI66&lt;=0,0,IF(CI67&lt;=0,MIN(MAX(0,AB67-SUM(PR67:QH67)),ALI66),MIN(MAX(0,AB67-SUM(PR67:QH67)),ALI66-G67*MAX(0,CI67*ALI66-(XH67+AAU67))))),MIN(FV67,MAX(0,AB67-SUM(PR67:QH67))))</f>
        <v>0</v>
      </c>
      <c r="QJ67" s="20" t="n">
        <f aca="false">IF(H_Direct=1,IF(ALJ66&lt;=0,0,IF(CJ67&lt;=0,MIN(MAX(0,AB67-SUM(PR67:QI67)),ALJ66),MIN(MAX(0,AB67-SUM(PR67:QI67)),ALJ66-G67*MAX(0,CJ67*ALJ66-(XI67+AAV67))))),MIN(FW67,MAX(0,AB67-SUM(PR67:QI67))))</f>
        <v>0</v>
      </c>
      <c r="QK67" s="20" t="n">
        <f aca="false">IF(H_Direct=1,IF(ALK66&lt;=0,0,IF(CK67&lt;=0,MIN(MAX(0,AB67-SUM(PR67:QJ67)),ALK66),MIN(MAX(0,AB67-SUM(PR67:QJ67)),ALK66-G67*MAX(0,CK67*ALK66-(XJ67+AAW67))))),MIN(FX67,MAX(0,AB67-SUM(PR67:QJ67))))</f>
        <v>0</v>
      </c>
      <c r="QL67" s="20" t="n">
        <f aca="false">IF(H_Direct=1,IF(ALL66&lt;=0,0,IF(CL67&lt;=0,MIN(MAX(0,AB67-SUM(PR67:QK67)),ALL66),MIN(MAX(0,AB67-SUM(PR67:QK67)),ALL66-G67*MAX(0,CL67*ALL66-(XK67+AAX67))))),MIN(FY67,MAX(0,AB67-SUM(PR67:QK67))))</f>
        <v>0</v>
      </c>
      <c r="QM67" s="20" t="n">
        <f aca="false">IF(H_Direct=1,IF(ALM66&lt;=0,0,IF(CM67&lt;=0,MIN(MAX(0,AB67-SUM(PR67:QL67)),ALM66),MIN(MAX(0,AB67-SUM(PR67:QL67)),ALM66-G67*MAX(0,CM67*ALM66-(XL67+AAY67))))),MIN(FZ67,MAX(0,AB67-SUM(PR67:QL67))))</f>
        <v>0</v>
      </c>
      <c r="QN67" s="20" t="n">
        <f aca="false">IF(H_Direct=1,IF(ALN66&lt;=0,0,IF(CN67&lt;=0,MIN(MAX(0,AB67-SUM(PR67:QM67)),ALN66),MIN(MAX(0,AB67-SUM(PR67:QM67)),ALN66-G67*MAX(0,CN67*ALN66-(XM67+AAZ67))))),MIN(GA67,MAX(0,AB67-SUM(PR67:QM67))))</f>
        <v>0</v>
      </c>
      <c r="QO67" s="20" t="n">
        <f aca="false">IF(H_Direct=1,IF(ALO66&lt;=0,0,IF(CO67&lt;=0,MIN(MAX(0,AB67-SUM(PR67:QN67)),ALO66),MIN(MAX(0,AB67-SUM(PR67:QN67)),ALO66-G67*MAX(0,CO67*ALO66-(XN67+ABA67))))),MIN(GB67,MAX(0,AB67-SUM(PR67:QN67))))</f>
        <v>0</v>
      </c>
      <c r="QP67" s="20" t="n">
        <f aca="false">IF(H_Direct=1,IF(ALP66&lt;=0,0,IF(CP67&lt;=0,MIN(MAX(0,AB67-SUM(PR67:QO67)),ALP66),MIN(MAX(0,AB67-SUM(PR67:QO67)),ALP66-G67*MAX(0,CP67*ALP66-(XO67+ABB67))))),MIN(GC67,MAX(0,AB67-SUM(PR67:QO67))))</f>
        <v>0</v>
      </c>
      <c r="QQ67" s="20" t="n">
        <f aca="false">IF(H_Direct=1,IF(ALQ66&lt;=0,0,IF(CQ67&lt;=0,MIN(MAX(0,AB67-SUM(PR67:QP67)),ALQ66),MIN(MAX(0,AB67-SUM(PR67:QP67)),ALQ66-G67*MAX(0,CQ67*ALQ66-(XP67+ABC67))))),MIN(GD67,MAX(0,AB67-SUM(PR67:QP67))))</f>
        <v>0</v>
      </c>
      <c r="QR67" s="20" t="n">
        <f aca="false">IF(H_Direct=1,IF(ALR66&lt;=0,0,IF(CR67&lt;=0,MIN(MAX(0,AB67-SUM(PR67:QQ67)),ALR66),MIN(MAX(0,AB67-SUM(PR67:QQ67)),ALR66-G67*MAX(0,CR67*ALR66-(XQ67+ABD67))))),MIN(GE67,MAX(0,AB67-SUM(PR67:QQ67))))</f>
        <v>0</v>
      </c>
      <c r="QS67" s="20" t="n">
        <f aca="false">IF(H_Direct=1,IF(ALS66&lt;=0,0,IF(CS67&lt;=0,MIN(MAX(0,AB67-SUM(PR67:QR67)),ALS66),MIN(MAX(0,AB67-SUM(PR67:QR67)),ALS66-G67*MAX(0,CS67*ALS66-(XR67+ABE67))))),MIN(GF67,MAX(0,AB67-SUM(PR67:QR67))))</f>
        <v>0</v>
      </c>
      <c r="QT67" s="20" t="n">
        <f aca="false">IF(H_Direct=1,IF(ALT66&lt;=0,0,IF(CT67&lt;=0,MIN(MAX(0,AB67-SUM(PR67:QS67)),ALT66),MIN(MAX(0,AB67-SUM(PR67:QS67)),ALT66-G67*MAX(0,CT67*ALT66-(XS67+ABF67))))),MIN(GG67,MAX(0,AB67-SUM(PR67:QS67))))</f>
        <v>0</v>
      </c>
      <c r="QU67" s="20" t="n">
        <f aca="false">IF(H_Direct=1,IF(ALU66&lt;=0,0,IF(CU67&lt;=0,MIN(MAX(0,AB67-SUM(PR67:QT67)),ALU66),MIN(MAX(0,AB67-SUM(PR67:QT67)),ALU66-G67*MAX(0,CU67*ALU66-(XT67+ABG67))))),MIN(GH67,MAX(0,AB67-SUM(PR67:QT67))))</f>
        <v>0</v>
      </c>
      <c r="QV67" s="20" t="n">
        <f aca="false">IF(H_Direct=1,IF(ALV66&lt;=0,0,IF(CV67&lt;=0,MIN(MAX(0,AB67-SUM(PR67:QU67)),ALV66),MIN(MAX(0,AB67-SUM(PR67:QU67)),ALV66-G67*MAX(0,CV67*ALV66-(XU67+ABH67))))),MIN(GI67,MAX(0,AB67-SUM(PR67:QU67))))</f>
        <v>0</v>
      </c>
      <c r="QW67" s="20" t="n">
        <f aca="false">IF(H_Direct=1,IF(ALW66&lt;=0,0,IF(CW67&lt;=0,MIN(MAX(0,AB67-SUM(PR67:QV67)),ALW66),MIN(MAX(0,AB67-SUM(PR67:QV67)),ALW66-G67*MAX(0,CW67*ALW66-(XV67+ABI67))))),MIN(GJ67,MAX(0,AB67-SUM(PR67:QV67))))</f>
        <v>0</v>
      </c>
      <c r="QX67" s="20" t="n">
        <f aca="false">IF(H_Direct=1,IF(ALX66&lt;=0,0,IF(CX67&lt;=0,MIN(MAX(0,AB67-SUM(PR67:QW67)),ALX66),MIN(MAX(0,AB67-SUM(PR67:QW67)),ALX66-G67*MAX(0,CX67*ALX66-(XW67+ABJ67))))),MIN(GK67,MAX(0,AB67-SUM(PR67:QW67))))</f>
        <v>0</v>
      </c>
      <c r="QY67" s="20" t="n">
        <f aca="false">IF(H_Direct=1,IF(ALY66&lt;=0,0,IF(CY67&lt;=0,MIN(MAX(0,AB67-SUM(PR67:QX67)),ALY66),MIN(MAX(0,AB67-SUM(PR67:QX67)),ALY66-G67*MAX(0,CY67*ALY66-(XX67+ABK67))))),MIN(GL67,MAX(0,AB67-SUM(PR67:QX67))))</f>
        <v>0</v>
      </c>
      <c r="QZ67" s="20" t="n">
        <f aca="false">IF(H_Direct=1,IF(ALZ66&lt;=0,0,IF(CZ67&lt;=0,MIN(MAX(0,AB67-SUM(PR67:QY67)),ALZ66),MIN(MAX(0,AB67-SUM(PR67:QY67)),ALZ66-G67*MAX(0,CZ67*ALZ66-(XY67+ABL67))))),MIN(GM67,MAX(0,AB67-SUM(PR67:QY67))))</f>
        <v>0</v>
      </c>
      <c r="RA67" s="20" t="n">
        <f aca="false">IF(H_Direct=1,IF(AMA66&lt;=0,0,IF(DA67&lt;=0,MIN(MAX(0,AB67-SUM(PR67:QZ67)),AMA66),MIN(MAX(0,AB67-SUM(PR67:QZ67)),AMA66-G67*MAX(0,DA67*AMA66-(XZ67+ABM67))))),MIN(GN67,MAX(0,AB67-SUM(PR67:QZ67))))</f>
        <v>0</v>
      </c>
      <c r="RB67" s="20" t="n">
        <f aca="false">IF(H_Direct=1,IF(AMB66&lt;=0,0,IF(DB67&lt;=0,MIN(MAX(0,AB67-SUM(PR67:RA67)),AMB66),MIN(MAX(0,AB67-SUM(PR67:RA67)),AMB66-G67*MAX(0,DB67*AMB66-(YA67+ABN67))))),MIN(GO67,MAX(0,AB67-SUM(PR67:RA67))))</f>
        <v>0</v>
      </c>
      <c r="RC67" s="20" t="n">
        <f aca="false">IF(H_Direct=1,IF(AMC66&lt;=0,0,IF(DC67&lt;=0,MIN(MAX(0,AB67-SUM(PR67:RB67)),AMC66),MIN(MAX(0,AB67-SUM(PR67:RB67)),AMC66-G67*MAX(0,DC67*AMC66-(YB67+ABO67))))),MIN(GP67,MAX(0,AB67-SUM(PR67:RB67))))</f>
        <v>0</v>
      </c>
      <c r="RD67" s="20" t="n">
        <f aca="false">IF(H_Direct=1,IF(AMD66&lt;=0,0,IF(DD67&lt;=0,MIN(MAX(0,AB67-SUM(PR67:RC67)),AMD66),MIN(MAX(0,AB67-SUM(PR67:RC67)),AMD66-G67*MAX(0,DD67*AMD66-(YC67+ABP67))))),MIN(GQ67,MAX(0,AB67-SUM(PR67:RC67))))</f>
        <v>0</v>
      </c>
      <c r="RE67" s="20" t="n">
        <f aca="false">IF(H_Direct=1,IF(AME66&lt;=0,0,IF(DE67&lt;=0,MIN(MAX(0,AB67-SUM(PR67:RD67)),AME66),MIN(MAX(0,AB67-SUM(PR67:RD67)),AME66-G67*MAX(0,DE67*AME66-(YD67+ABQ67))))),MIN(GR67,MAX(0,AB67-SUM(PR67:RD67))))</f>
        <v>0</v>
      </c>
      <c r="RF67" s="20" t="n">
        <f aca="false">IF(H_Direct=1,IF(AMF66&lt;=0,0,IF(DF67&lt;=0,MIN(MAX(0,AB67-SUM(PR67:RE67)),AMF66),MIN(MAX(0,AB67-SUM(PR67:RE67)),AMF66-G67*MAX(0,DF67*AMF66-(YE67+ABR67))))),MIN(GS67,MAX(0,AB67-SUM(PR67:RE67))))</f>
        <v>0</v>
      </c>
      <c r="RG67" s="20" t="n">
        <f aca="false">IF(H_Direct=1,IF(AMG66&lt;=0,0,IF(DG67&lt;=0,MIN(MAX(0,AB67-SUM(PR67:RF67)),AMG66),MIN(MAX(0,AB67-SUM(PR67:RF67)),AMG66-G67*MAX(0,DG67*AMG66-(YF67+ABS67))))),MIN(GT67,MAX(0,AB67-SUM(PR67:RF67))))</f>
        <v>0</v>
      </c>
      <c r="RH67" s="20" t="n">
        <f aca="false">IF(H_Direct=1,IF(AMH66&lt;=0,0,IF(DH67&lt;=0,MIN(MAX(0,AB67-SUM(PR67:RG67)),AMH66),MIN(MAX(0,AB67-SUM(PR67:RG67)),AMH66-G67*MAX(0,DH67*AMH66-(YG67+ABT67))))),MIN(GU67,MAX(0,AB67-SUM(PR67:RG67))))</f>
        <v>0</v>
      </c>
      <c r="RI67" s="20" t="n">
        <f aca="false">IF(H_Direct=1,IF(AMI66&lt;=0,0,IF(DI67&lt;=0,MIN(MAX(0,AB67-SUM(PR67:RH67)),AMI66),MIN(MAX(0,AB67-SUM(PR67:RH67)),AMI66-G67*MAX(0,DI67*AMI66-(YH67+ABU67))))),MIN(GV67,MAX(0,AB67-SUM(PR67:RH67))))</f>
        <v>0</v>
      </c>
      <c r="RJ67" s="20" t="n">
        <f aca="false">IF(H_Direct=1,IF(AMJ66&lt;=0,0,IF(DJ67&lt;=0,MIN(MAX(0,AB67-SUM(PR67:RI67)),AMJ66),MIN(MAX(0,AB67-SUM(PR67:RI67)),AMJ66-G67*MAX(0,DJ67*AMJ66-(YI67+ABV67))))),MIN(GW67,MAX(0,AB67-SUM(PR67:RI67))))</f>
        <v>0</v>
      </c>
      <c r="RK67" s="20" t="n">
        <f aca="false">IF(H_Direct=1,IF(AMK66&lt;=0,0,IF(DK67&lt;=0,MIN(MAX(0,AB67-SUM(PR67:RJ67)),AMK66),MIN(MAX(0,AB67-SUM(PR67:RJ67)),AMK66-G67*MAX(0,DK67*AMK66-(YJ67+ABW67))))),MIN(GX67,MAX(0,AB67-SUM(PR67:RJ67))))</f>
        <v>0</v>
      </c>
      <c r="RL67" s="20" t="n">
        <f aca="false">IF(H_Direct=1,IF(AML66&lt;=0,0,IF(DL67&lt;=0,MIN(MAX(0,AB67-SUM(PR67:RK67)),AML66),MIN(MAX(0,AB67-SUM(PR67:RK67)),AML66-G67*MAX(0,DL67*AML66-(YK67+ABX67))))),MIN(GY67,MAX(0,AB67-SUM(PR67:RK67))))</f>
        <v>0</v>
      </c>
      <c r="RM67" s="20" t="n">
        <f aca="false">IF(H_Direct=1,IF(AMM66&lt;=0,0,IF(DM67&lt;=0,MIN(MAX(0,AB67-SUM(PR67:RL67)),AMM66),MIN(MAX(0,AB67-SUM(PR67:RL67)),AMM66-G67*MAX(0,DM67*AMM66-(YL67+ABY67))))),MIN(GZ67,MAX(0,AB67-SUM(PR67:RL67))))</f>
        <v>0</v>
      </c>
      <c r="RN67" s="20" t="n">
        <f aca="false">IF(H_Direct=1,IF(AMN66&lt;=0,0,IF(DN67&lt;=0,MIN(MAX(0,AB67-SUM(PR67:RM67)),AMN66),MIN(MAX(0,AB67-SUM(PR67:RM67)),AMN66-G67*MAX(0,DN67*AMN66-(YM67+ABZ67))))),MIN(HA67,MAX(0,AB67-SUM(PR67:RM67))))</f>
        <v>0</v>
      </c>
      <c r="RO67" s="20" t="n">
        <f aca="false">IF(H_Direct=1,IF(AMO66&lt;=0,0,IF(DO67&lt;=0,MIN(MAX(0,AB67-SUM(PR67:RN67)),AMO66),MIN(MAX(0,AB67-SUM(PR67:RN67)),AMO66-G67*MAX(0,DO67*AMO66-(YN67+ACA67))))),MIN(HB67,MAX(0,AB67-SUM(PR67:RN67))))</f>
        <v>0</v>
      </c>
      <c r="RP67" s="20" t="n">
        <f aca="false">IF(H_Direct=1,IF(AMP66&lt;=0,0,IF(DP67&lt;=0,MIN(MAX(0,AB67-SUM(PR67:RO67)),AMP66),MIN(MAX(0,AB67-SUM(PR67:RO67)),AMP66-G67*MAX(0,DP67*AMP66-(YO67+ACB67))))),MIN(HC67,MAX(0,AB67-SUM(PR67:RO67))))</f>
        <v>0</v>
      </c>
      <c r="RQ67" s="20" t="n">
        <f aca="false">IF(H_Direct=1,IF(AMQ66&lt;=0,0,IF(DQ67&lt;=0,MIN(MAX(0,AB67-SUM(PR67:RP67)),AMQ66),MIN(MAX(0,AB67-SUM(PR67:RP67)),AMQ66-G67*MAX(0,DQ67*AMQ66-(YP67+ACC67))))),MIN(HD67,MAX(0,AB67-SUM(PR67:RP67))))</f>
        <v>0</v>
      </c>
      <c r="RR67" s="20" t="n">
        <f aca="false">IF(H_Direct=1,IF(AMR66&lt;=0,0,IF(DR67&lt;=0,MIN(MAX(0,AB67-SUM(PR67:RQ67)),AMR66),MIN(MAX(0,AB67-SUM(PR67:RQ67)),AMR66-G67*MAX(0,DR67*AMR66-(YQ67+ACD67))))),MIN(HE67,MAX(0,AB67-SUM(PR67:RQ67))))</f>
        <v>0</v>
      </c>
      <c r="RS67" s="20" t="n">
        <f aca="false">IF(H_Direct=1,IF(AMS66&lt;=0,0,IF(DS67&lt;=0,MIN(MAX(0,AB67-SUM(PR67:RR67)),AMS66),MIN(MAX(0,AB67-SUM(PR67:RR67)),AMS66-G67*MAX(0,DS67*AMS66-(YR67+ACE67))))),MIN(HF67,MAX(0,AB67-SUM(PR67:RR67))))</f>
        <v>0</v>
      </c>
      <c r="RT67" s="20" t="n">
        <f aca="false">IF(H_Direct=1,IF(AMT66&lt;=0,0,IF(DT67&lt;=0,MIN(MAX(0,AB67-SUM(PR67:RS67)),AMT66),MIN(MAX(0,AB67-SUM(PR67:RS67)),AMT66-G67*MAX(0,DT67*AMT66-(YS67+ACF67))))),MIN(HG67,MAX(0,AB67-SUM(PR67:RS67))))</f>
        <v>0</v>
      </c>
      <c r="RU67" s="20" t="n">
        <f aca="false">IF(H_Direct=1,IF(AMU66&lt;=0,0,IF(DU67&lt;=0,MIN(MAX(0,AB67-SUM(PR67:RT67)),AMU66),MIN(MAX(0,AB67-SUM(PR67:RT67)),AMU66-G67*MAX(0,DU67*AMU66-(YT67+ACG67))))),MIN(HH67,MAX(0,AB67-SUM(PR67:RT67))))</f>
        <v>0</v>
      </c>
      <c r="RV67" s="20" t="n">
        <f aca="false">IF(H_Direct=1,IF(AMV66&lt;=0,0,IF(DV67&lt;=0,MIN(MAX(0,AB67-SUM(PR67:RU67)),AMV66),MIN(MAX(0,AB67-SUM(PR67:RU67)),AMV66-G67*MAX(0,DV67*AMV66-(YU67+ACH67))))),MIN(HI67,MAX(0,AB67-SUM(PR67:RU67))))</f>
        <v>0</v>
      </c>
      <c r="RW67" s="20" t="n">
        <f aca="false">IF(H_Direct=1,IF(AMW66&lt;=0,0,IF(DW67&lt;=0,MIN(MAX(0,AB67-SUM(PR67:RV67)),AMW66),MIN(MAX(0,AB67-SUM(PR67:RV67)),AMW66-G67*MAX(0,DW67*AMW66-(YV67+ACI67))))),MIN(HJ67,MAX(0,AB67-SUM(PR67:RV67))))</f>
        <v>0</v>
      </c>
      <c r="RX67" s="20" t="n">
        <f aca="false">IF(H_Direct=1,IF(AMX66&lt;=0,0,IF(DX67&lt;=0,MIN(MAX(0,AB67-SUM(PR67:RW67)),AMX66),MIN(MAX(0,AB67-SUM(PR67:RW67)),AMX66-G67*MAX(0,DX67*AMX66-(YW67+ACJ67))))),MIN(HK67,MAX(0,AB67-SUM(PR67:RW67))))</f>
        <v>0</v>
      </c>
      <c r="RY67" s="20" t="n">
        <f aca="false">IF(H_Direct=1,IF(AMY66&lt;=0,0,IF(DY67&lt;=0,MIN(MAX(0,AB67-SUM(PR67:RX67)),AMY66),MIN(MAX(0,AB67-SUM(PR67:RX67)),AMY66-G67*MAX(0,DY67*AMY66-(YX67+ACK67))))),MIN(HL67,MAX(0,AB67-SUM(PR67:RX67))))</f>
        <v>0</v>
      </c>
      <c r="RZ67" s="20" t="n">
        <f aca="false">IF(H_Direct=1,IF((P67+S67)&lt;=0,0,IF(DZ67&lt;=0,MIN(MAX(0,AB67-SUM(PR67:RY67)),(P67+S67)),MIN(MAX(0,AB67-SUM(PR67:RY67)),(P67+S67)-G67*MAX(0,DZ67*(P67+S67)-(YY67+ACL67))))),MIN(HM67,MAX(0,AB67-SUM(PR67:RY67))))</f>
        <v>0</v>
      </c>
      <c r="SA67" s="20" t="n">
        <v>0</v>
      </c>
      <c r="SB67" s="20" t="n">
        <v>0</v>
      </c>
      <c r="SC67" s="20" t="n">
        <v>0</v>
      </c>
      <c r="SD67" s="20" t="n">
        <v>0</v>
      </c>
      <c r="SE67" s="20" t="n">
        <v>0</v>
      </c>
      <c r="SF67" s="20" t="n">
        <v>0</v>
      </c>
      <c r="SG67" s="20" t="n">
        <v>0</v>
      </c>
      <c r="SH67" s="20" t="n">
        <v>0</v>
      </c>
      <c r="SI67" s="20" t="n">
        <v>0</v>
      </c>
      <c r="SJ67" s="20" t="n">
        <v>0</v>
      </c>
      <c r="SK67" s="20" t="n">
        <v>0</v>
      </c>
      <c r="SL67" s="20" t="n">
        <v>0</v>
      </c>
      <c r="SM67" s="20" t="n">
        <v>0</v>
      </c>
      <c r="SN67" s="20" t="n">
        <v>0</v>
      </c>
      <c r="SO67" s="20" t="n">
        <v>0</v>
      </c>
      <c r="SP67" s="20" t="n">
        <v>0</v>
      </c>
      <c r="SQ67" s="20" t="n">
        <v>0</v>
      </c>
      <c r="SR67" s="20" t="n">
        <v>0</v>
      </c>
      <c r="SS67" s="20" t="n">
        <v>0</v>
      </c>
      <c r="ST67" s="20" t="n">
        <v>0</v>
      </c>
      <c r="SU67" s="20" t="n">
        <v>0</v>
      </c>
      <c r="SV67" s="20" t="n">
        <v>0</v>
      </c>
      <c r="SW67" s="20" t="n">
        <v>0</v>
      </c>
      <c r="SX67" s="20" t="n">
        <v>0</v>
      </c>
      <c r="SY67" s="20" t="n">
        <v>0</v>
      </c>
      <c r="SZ67" s="20" t="n">
        <v>0</v>
      </c>
      <c r="TA67" s="20" t="n">
        <v>0</v>
      </c>
      <c r="TB67" s="20" t="n">
        <v>0</v>
      </c>
      <c r="TC67" s="20" t="n">
        <v>0</v>
      </c>
      <c r="TD67" s="20" t="n">
        <v>0</v>
      </c>
      <c r="TE67" s="20" t="n">
        <f aca="false">IF(AKR66&lt;=0,0,IF(H_Direct=1,IF(BR67&lt;=0,PR67,IF(PR67&lt;=(H67+I67)/BR67,PR67,(PR67-G67*(H67+I67))/(1-G67*BR67))),PR67/(1-MAX(0,BR67)*H_Exit)))</f>
        <v>0</v>
      </c>
      <c r="TF67" s="20" t="n">
        <f aca="false">IF(AKS66&lt;=0,0,IF(H_Direct=1,IF(BS67&lt;=0,PS67,IF(PS67&lt;=(WR67+AAE67)/BS67,PS67,(PS67-G67*(WR67+AAE67))/(1-G67*BS67))),PS67/(1-MAX(0,BS67)*H_Exit)))</f>
        <v>0</v>
      </c>
      <c r="TG67" s="20" t="n">
        <f aca="false">IF(AKT66&lt;=0,0,IF(H_Direct=1,IF(BT67&lt;=0,PT67,IF(PT67&lt;=(WS67+AAF67)/BT67,PT67,(PT67-G67*(WS67+AAF67))/(1-G67*BT67))),PT67/(1-MAX(0,BT67)*H_Exit)))</f>
        <v>0</v>
      </c>
      <c r="TH67" s="20" t="n">
        <f aca="false">IF(AKU66&lt;=0,0,IF(H_Direct=1,IF(BU67&lt;=0,PU67,IF(PU67&lt;=(WT67+AAG67)/BU67,PU67,(PU67-G67*(WT67+AAG67))/(1-G67*BU67))),PU67/(1-MAX(0,BU67)*H_Exit)))</f>
        <v>0</v>
      </c>
      <c r="TI67" s="20" t="n">
        <f aca="false">IF(AKV66&lt;=0,0,IF(H_Direct=1,IF(BV67&lt;=0,PV67,IF(PV67&lt;=(WU67+AAH67)/BV67,PV67,(PV67-G67*(WU67+AAH67))/(1-G67*BV67))),PV67/(1-MAX(0,BV67)*H_Exit)))</f>
        <v>0</v>
      </c>
      <c r="TJ67" s="20" t="n">
        <f aca="false">IF(AKW66&lt;=0,0,IF(H_Direct=1,IF(BW67&lt;=0,PW67,IF(PW67&lt;=(WV67+AAI67)/BW67,PW67,(PW67-G67*(WV67+AAI67))/(1-G67*BW67))),PW67/(1-MAX(0,BW67)*H_Exit)))</f>
        <v>0</v>
      </c>
      <c r="TK67" s="20" t="n">
        <f aca="false">IF(AKX66&lt;=0,0,IF(H_Direct=1,IF(BX67&lt;=0,PX67,IF(PX67&lt;=(WW67+AAJ67)/BX67,PX67,(PX67-G67*(WW67+AAJ67))/(1-G67*BX67))),PX67/(1-MAX(0,BX67)*H_Exit)))</f>
        <v>0</v>
      </c>
      <c r="TL67" s="20" t="n">
        <f aca="false">IF(AKY66&lt;=0,0,IF(H_Direct=1,IF(BY67&lt;=0,PY67,IF(PY67&lt;=(WX67+AAK67)/BY67,PY67,(PY67-G67*(WX67+AAK67))/(1-G67*BY67))),PY67/(1-MAX(0,BY67)*H_Exit)))</f>
        <v>0</v>
      </c>
      <c r="TM67" s="20" t="n">
        <f aca="false">IF(AKZ66&lt;=0,0,IF(H_Direct=1,IF(BZ67&lt;=0,PZ67,IF(PZ67&lt;=(WY67+AAL67)/BZ67,PZ67,(PZ67-G67*(WY67+AAL67))/(1-G67*BZ67))),PZ67/(1-MAX(0,BZ67)*H_Exit)))</f>
        <v>0</v>
      </c>
      <c r="TN67" s="20" t="n">
        <f aca="false">IF(ALA66&lt;=0,0,IF(H_Direct=1,IF(CA67&lt;=0,QA67,IF(QA67&lt;=(WZ67+AAM67)/CA67,QA67,(QA67-G67*(WZ67+AAM67))/(1-G67*CA67))),QA67/(1-MAX(0,CA67)*H_Exit)))</f>
        <v>0</v>
      </c>
      <c r="TO67" s="20" t="n">
        <f aca="false">IF(ALB66&lt;=0,0,IF(H_Direct=1,IF(CB67&lt;=0,QB67,IF(QB67&lt;=(XA67+AAN67)/CB67,QB67,(QB67-G67*(XA67+AAN67))/(1-G67*CB67))),QB67/(1-MAX(0,CB67)*H_Exit)))</f>
        <v>0</v>
      </c>
      <c r="TP67" s="20" t="n">
        <f aca="false">IF(ALC66&lt;=0,0,IF(H_Direct=1,IF(CC67&lt;=0,QC67,IF(QC67&lt;=(XB67+AAO67)/CC67,QC67,(QC67-G67*(XB67+AAO67))/(1-G67*CC67))),QC67/(1-MAX(0,CC67)*H_Exit)))</f>
        <v>0</v>
      </c>
      <c r="TQ67" s="20" t="n">
        <f aca="false">IF(ALD66&lt;=0,0,IF(H_Direct=1,IF(CD67&lt;=0,QD67,IF(QD67&lt;=(XC67+AAP67)/CD67,QD67,(QD67-G67*(XC67+AAP67))/(1-G67*CD67))),QD67/(1-MAX(0,CD67)*H_Exit)))</f>
        <v>0</v>
      </c>
      <c r="TR67" s="20" t="n">
        <f aca="false">IF(ALE66&lt;=0,0,IF(H_Direct=1,IF(CE67&lt;=0,QE67,IF(QE67&lt;=(XD67+AAQ67)/CE67,QE67,(QE67-G67*(XD67+AAQ67))/(1-G67*CE67))),QE67/(1-MAX(0,CE67)*H_Exit)))</f>
        <v>0</v>
      </c>
      <c r="TS67" s="20" t="n">
        <f aca="false">IF(ALF66&lt;=0,0,IF(H_Direct=1,IF(CF67&lt;=0,QF67,IF(QF67&lt;=(XE67+AAR67)/CF67,QF67,(QF67-G67*(XE67+AAR67))/(1-G67*CF67))),QF67/(1-MAX(0,CF67)*H_Exit)))</f>
        <v>0</v>
      </c>
      <c r="TT67" s="20" t="n">
        <f aca="false">IF(ALG66&lt;=0,0,IF(H_Direct=1,IF(CG67&lt;=0,QG67,IF(QG67&lt;=(XF67+AAS67)/CG67,QG67,(QG67-G67*(XF67+AAS67))/(1-G67*CG67))),QG67/(1-MAX(0,CG67)*H_Exit)))</f>
        <v>0</v>
      </c>
      <c r="TU67" s="20" t="n">
        <f aca="false">IF(ALH66&lt;=0,0,IF(H_Direct=1,IF(CH67&lt;=0,QH67,IF(QH67&lt;=(XG67+AAT67)/CH67,QH67,(QH67-G67*(XG67+AAT67))/(1-G67*CH67))),QH67/(1-MAX(0,CH67)*H_Exit)))</f>
        <v>0</v>
      </c>
      <c r="TV67" s="20" t="n">
        <f aca="false">IF(ALI66&lt;=0,0,IF(H_Direct=1,IF(CI67&lt;=0,QI67,IF(QI67&lt;=(XH67+AAU67)/CI67,QI67,(QI67-G67*(XH67+AAU67))/(1-G67*CI67))),QI67/(1-MAX(0,CI67)*H_Exit)))</f>
        <v>0</v>
      </c>
      <c r="TW67" s="20" t="n">
        <f aca="false">IF(ALJ66&lt;=0,0,IF(H_Direct=1,IF(CJ67&lt;=0,QJ67,IF(QJ67&lt;=(XI67+AAV67)/CJ67,QJ67,(QJ67-G67*(XI67+AAV67))/(1-G67*CJ67))),QJ67/(1-MAX(0,CJ67)*H_Exit)))</f>
        <v>0</v>
      </c>
      <c r="TX67" s="20" t="n">
        <f aca="false">IF(ALK66&lt;=0,0,IF(H_Direct=1,IF(CK67&lt;=0,QK67,IF(QK67&lt;=(XJ67+AAW67)/CK67,QK67,(QK67-G67*(XJ67+AAW67))/(1-G67*CK67))),QK67/(1-MAX(0,CK67)*H_Exit)))</f>
        <v>0</v>
      </c>
      <c r="TY67" s="20" t="n">
        <f aca="false">IF(ALL66&lt;=0,0,IF(H_Direct=1,IF(CL67&lt;=0,QL67,IF(QL67&lt;=(XK67+AAX67)/CL67,QL67,(QL67-G67*(XK67+AAX67))/(1-G67*CL67))),QL67/(1-MAX(0,CL67)*H_Exit)))</f>
        <v>0</v>
      </c>
      <c r="TZ67" s="20" t="n">
        <f aca="false">IF(ALM66&lt;=0,0,IF(H_Direct=1,IF(CM67&lt;=0,QM67,IF(QM67&lt;=(XL67+AAY67)/CM67,QM67,(QM67-G67*(XL67+AAY67))/(1-G67*CM67))),QM67/(1-MAX(0,CM67)*H_Exit)))</f>
        <v>0</v>
      </c>
      <c r="UA67" s="20" t="n">
        <f aca="false">IF(ALN66&lt;=0,0,IF(H_Direct=1,IF(CN67&lt;=0,QN67,IF(QN67&lt;=(XM67+AAZ67)/CN67,QN67,(QN67-G67*(XM67+AAZ67))/(1-G67*CN67))),QN67/(1-MAX(0,CN67)*H_Exit)))</f>
        <v>0</v>
      </c>
      <c r="UB67" s="20" t="n">
        <f aca="false">IF(ALO66&lt;=0,0,IF(H_Direct=1,IF(CO67&lt;=0,QO67,IF(QO67&lt;=(XN67+ABA67)/CO67,QO67,(QO67-G67*(XN67+ABA67))/(1-G67*CO67))),QO67/(1-MAX(0,CO67)*H_Exit)))</f>
        <v>0</v>
      </c>
      <c r="UC67" s="20" t="n">
        <f aca="false">IF(ALP66&lt;=0,0,IF(H_Direct=1,IF(CP67&lt;=0,QP67,IF(QP67&lt;=(XO67+ABB67)/CP67,QP67,(QP67-G67*(XO67+ABB67))/(1-G67*CP67))),QP67/(1-MAX(0,CP67)*H_Exit)))</f>
        <v>0</v>
      </c>
      <c r="UD67" s="20" t="n">
        <f aca="false">IF(ALQ66&lt;=0,0,IF(H_Direct=1,IF(CQ67&lt;=0,QQ67,IF(QQ67&lt;=(XP67+ABC67)/CQ67,QQ67,(QQ67-G67*(XP67+ABC67))/(1-G67*CQ67))),QQ67/(1-MAX(0,CQ67)*H_Exit)))</f>
        <v>0</v>
      </c>
      <c r="UE67" s="20" t="n">
        <f aca="false">IF(ALR66&lt;=0,0,IF(H_Direct=1,IF(CR67&lt;=0,QR67,IF(QR67&lt;=(XQ67+ABD67)/CR67,QR67,(QR67-G67*(XQ67+ABD67))/(1-G67*CR67))),QR67/(1-MAX(0,CR67)*H_Exit)))</f>
        <v>0</v>
      </c>
      <c r="UF67" s="20" t="n">
        <f aca="false">IF(ALS66&lt;=0,0,IF(H_Direct=1,IF(CS67&lt;=0,QS67,IF(QS67&lt;=(XR67+ABE67)/CS67,QS67,(QS67-G67*(XR67+ABE67))/(1-G67*CS67))),QS67/(1-MAX(0,CS67)*H_Exit)))</f>
        <v>0</v>
      </c>
      <c r="UG67" s="20" t="n">
        <f aca="false">IF(ALT66&lt;=0,0,IF(H_Direct=1,IF(CT67&lt;=0,QT67,IF(QT67&lt;=(XS67+ABF67)/CT67,QT67,(QT67-G67*(XS67+ABF67))/(1-G67*CT67))),QT67/(1-MAX(0,CT67)*H_Exit)))</f>
        <v>0</v>
      </c>
      <c r="UH67" s="20" t="n">
        <f aca="false">IF(ALU66&lt;=0,0,IF(H_Direct=1,IF(CU67&lt;=0,QU67,IF(QU67&lt;=(XT67+ABG67)/CU67,QU67,(QU67-G67*(XT67+ABG67))/(1-G67*CU67))),QU67/(1-MAX(0,CU67)*H_Exit)))</f>
        <v>0</v>
      </c>
      <c r="UI67" s="20" t="n">
        <f aca="false">IF(ALV66&lt;=0,0,IF(H_Direct=1,IF(CV67&lt;=0,QV67,IF(QV67&lt;=(XU67+ABH67)/CV67,QV67,(QV67-G67*(XU67+ABH67))/(1-G67*CV67))),QV67/(1-MAX(0,CV67)*H_Exit)))</f>
        <v>0</v>
      </c>
      <c r="UJ67" s="20" t="n">
        <f aca="false">IF(ALW66&lt;=0,0,IF(H_Direct=1,IF(CW67&lt;=0,QW67,IF(QW67&lt;=(XV67+ABI67)/CW67,QW67,(QW67-G67*(XV67+ABI67))/(1-G67*CW67))),QW67/(1-MAX(0,CW67)*H_Exit)))</f>
        <v>0</v>
      </c>
      <c r="UK67" s="20" t="n">
        <f aca="false">IF(ALX66&lt;=0,0,IF(H_Direct=1,IF(CX67&lt;=0,QX67,IF(QX67&lt;=(XW67+ABJ67)/CX67,QX67,(QX67-G67*(XW67+ABJ67))/(1-G67*CX67))),QX67/(1-MAX(0,CX67)*H_Exit)))</f>
        <v>0</v>
      </c>
      <c r="UL67" s="20" t="n">
        <f aca="false">IF(ALY66&lt;=0,0,IF(H_Direct=1,IF(CY67&lt;=0,QY67,IF(QY67&lt;=(XX67+ABK67)/CY67,QY67,(QY67-G67*(XX67+ABK67))/(1-G67*CY67))),QY67/(1-MAX(0,CY67)*H_Exit)))</f>
        <v>0</v>
      </c>
      <c r="UM67" s="20" t="n">
        <f aca="false">IF(ALZ66&lt;=0,0,IF(H_Direct=1,IF(CZ67&lt;=0,QZ67,IF(QZ67&lt;=(XY67+ABL67)/CZ67,QZ67,(QZ67-G67*(XY67+ABL67))/(1-G67*CZ67))),QZ67/(1-MAX(0,CZ67)*H_Exit)))</f>
        <v>0</v>
      </c>
      <c r="UN67" s="20" t="n">
        <f aca="false">IF(AMA66&lt;=0,0,IF(H_Direct=1,IF(DA67&lt;=0,RA67,IF(RA67&lt;=(XZ67+ABM67)/DA67,RA67,(RA67-G67*(XZ67+ABM67))/(1-G67*DA67))),RA67/(1-MAX(0,DA67)*H_Exit)))</f>
        <v>0</v>
      </c>
      <c r="UO67" s="20" t="n">
        <f aca="false">IF(AMB66&lt;=0,0,IF(H_Direct=1,IF(DB67&lt;=0,RB67,IF(RB67&lt;=(YA67+ABN67)/DB67,RB67,(RB67-G67*(YA67+ABN67))/(1-G67*DB67))),RB67/(1-MAX(0,DB67)*H_Exit)))</f>
        <v>0</v>
      </c>
      <c r="UP67" s="20" t="n">
        <f aca="false">IF(AMC66&lt;=0,0,IF(H_Direct=1,IF(DC67&lt;=0,RC67,IF(RC67&lt;=(YB67+ABO67)/DC67,RC67,(RC67-G67*(YB67+ABO67))/(1-G67*DC67))),RC67/(1-MAX(0,DC67)*H_Exit)))</f>
        <v>0</v>
      </c>
      <c r="UQ67" s="20" t="n">
        <f aca="false">IF(AMD66&lt;=0,0,IF(H_Direct=1,IF(DD67&lt;=0,RD67,IF(RD67&lt;=(YC67+ABP67)/DD67,RD67,(RD67-G67*(YC67+ABP67))/(1-G67*DD67))),RD67/(1-MAX(0,DD67)*H_Exit)))</f>
        <v>0</v>
      </c>
      <c r="UR67" s="20" t="n">
        <f aca="false">IF(AME66&lt;=0,0,IF(H_Direct=1,IF(DE67&lt;=0,RE67,IF(RE67&lt;=(YD67+ABQ67)/DE67,RE67,(RE67-G67*(YD67+ABQ67))/(1-G67*DE67))),RE67/(1-MAX(0,DE67)*H_Exit)))</f>
        <v>0</v>
      </c>
      <c r="US67" s="20" t="n">
        <f aca="false">IF(AMF66&lt;=0,0,IF(H_Direct=1,IF(DF67&lt;=0,RF67,IF(RF67&lt;=(YE67+ABR67)/DF67,RF67,(RF67-G67*(YE67+ABR67))/(1-G67*DF67))),RF67/(1-MAX(0,DF67)*H_Exit)))</f>
        <v>0</v>
      </c>
      <c r="UT67" s="20" t="n">
        <f aca="false">IF(AMG66&lt;=0,0,IF(H_Direct=1,IF(DG67&lt;=0,RG67,IF(RG67&lt;=(YF67+ABS67)/DG67,RG67,(RG67-G67*(YF67+ABS67))/(1-G67*DG67))),RG67/(1-MAX(0,DG67)*H_Exit)))</f>
        <v>0</v>
      </c>
      <c r="UU67" s="20" t="n">
        <f aca="false">IF(AMH66&lt;=0,0,IF(H_Direct=1,IF(DH67&lt;=0,RH67,IF(RH67&lt;=(YG67+ABT67)/DH67,RH67,(RH67-G67*(YG67+ABT67))/(1-G67*DH67))),RH67/(1-MAX(0,DH67)*H_Exit)))</f>
        <v>0</v>
      </c>
      <c r="UV67" s="20" t="n">
        <f aca="false">IF(AMI66&lt;=0,0,IF(H_Direct=1,IF(DI67&lt;=0,RI67,IF(RI67&lt;=(YH67+ABU67)/DI67,RI67,(RI67-G67*(YH67+ABU67))/(1-G67*DI67))),RI67/(1-MAX(0,DI67)*H_Exit)))</f>
        <v>0</v>
      </c>
      <c r="UW67" s="20" t="n">
        <f aca="false">IF(AMJ66&lt;=0,0,IF(H_Direct=1,IF(DJ67&lt;=0,RJ67,IF(RJ67&lt;=(YI67+ABV67)/DJ67,RJ67,(RJ67-G67*(YI67+ABV67))/(1-G67*DJ67))),RJ67/(1-MAX(0,DJ67)*H_Exit)))</f>
        <v>0</v>
      </c>
      <c r="UX67" s="20" t="n">
        <f aca="false">IF(AMK66&lt;=0,0,IF(H_Direct=1,IF(DK67&lt;=0,RK67,IF(RK67&lt;=(YJ67+ABW67)/DK67,RK67,(RK67-G67*(YJ67+ABW67))/(1-G67*DK67))),RK67/(1-MAX(0,DK67)*H_Exit)))</f>
        <v>0</v>
      </c>
      <c r="UY67" s="20" t="n">
        <f aca="false">IF(AML66&lt;=0,0,IF(H_Direct=1,IF(DL67&lt;=0,RL67,IF(RL67&lt;=(YK67+ABX67)/DL67,RL67,(RL67-G67*(YK67+ABX67))/(1-G67*DL67))),RL67/(1-MAX(0,DL67)*H_Exit)))</f>
        <v>0</v>
      </c>
      <c r="UZ67" s="20" t="n">
        <f aca="false">IF(AMM66&lt;=0,0,IF(H_Direct=1,IF(DM67&lt;=0,RM67,IF(RM67&lt;=(YL67+ABY67)/DM67,RM67,(RM67-G67*(YL67+ABY67))/(1-G67*DM67))),RM67/(1-MAX(0,DM67)*H_Exit)))</f>
        <v>0</v>
      </c>
      <c r="VA67" s="20" t="n">
        <f aca="false">IF(AMN66&lt;=0,0,IF(H_Direct=1,IF(DN67&lt;=0,RN67,IF(RN67&lt;=(YM67+ABZ67)/DN67,RN67,(RN67-G67*(YM67+ABZ67))/(1-G67*DN67))),RN67/(1-MAX(0,DN67)*H_Exit)))</f>
        <v>0</v>
      </c>
      <c r="VB67" s="20" t="n">
        <f aca="false">IF(AMO66&lt;=0,0,IF(H_Direct=1,IF(DO67&lt;=0,RO67,IF(RO67&lt;=(YN67+ACA67)/DO67,RO67,(RO67-G67*(YN67+ACA67))/(1-G67*DO67))),RO67/(1-MAX(0,DO67)*H_Exit)))</f>
        <v>0</v>
      </c>
      <c r="VC67" s="20" t="n">
        <f aca="false">IF(AMP66&lt;=0,0,IF(H_Direct=1,IF(DP67&lt;=0,RP67,IF(RP67&lt;=(YO67+ACB67)/DP67,RP67,(RP67-G67*(YO67+ACB67))/(1-G67*DP67))),RP67/(1-MAX(0,DP67)*H_Exit)))</f>
        <v>0</v>
      </c>
      <c r="VD67" s="20" t="n">
        <f aca="false">IF(AMQ66&lt;=0,0,IF(H_Direct=1,IF(DQ67&lt;=0,RQ67,IF(RQ67&lt;=(YP67+ACC67)/DQ67,RQ67,(RQ67-G67*(YP67+ACC67))/(1-G67*DQ67))),RQ67/(1-MAX(0,DQ67)*H_Exit)))</f>
        <v>0</v>
      </c>
      <c r="VE67" s="20" t="n">
        <f aca="false">IF(AMR66&lt;=0,0,IF(H_Direct=1,IF(DR67&lt;=0,RR67,IF(RR67&lt;=(YQ67+ACD67)/DR67,RR67,(RR67-G67*(YQ67+ACD67))/(1-G67*DR67))),RR67/(1-MAX(0,DR67)*H_Exit)))</f>
        <v>0</v>
      </c>
      <c r="VF67" s="20" t="n">
        <f aca="false">IF(AMS66&lt;=0,0,IF(H_Direct=1,IF(DS67&lt;=0,RS67,IF(RS67&lt;=(YR67+ACE67)/DS67,RS67,(RS67-G67*(YR67+ACE67))/(1-G67*DS67))),RS67/(1-MAX(0,DS67)*H_Exit)))</f>
        <v>0</v>
      </c>
      <c r="VG67" s="20" t="n">
        <f aca="false">IF(AMT66&lt;=0,0,IF(H_Direct=1,IF(DT67&lt;=0,RT67,IF(RT67&lt;=(YS67+ACF67)/DT67,RT67,(RT67-G67*(YS67+ACF67))/(1-G67*DT67))),RT67/(1-MAX(0,DT67)*H_Exit)))</f>
        <v>0</v>
      </c>
      <c r="VH67" s="20" t="n">
        <f aca="false">IF(AMU66&lt;=0,0,IF(H_Direct=1,IF(DU67&lt;=0,RU67,IF(RU67&lt;=(YT67+ACG67)/DU67,RU67,(RU67-G67*(YT67+ACG67))/(1-G67*DU67))),RU67/(1-MAX(0,DU67)*H_Exit)))</f>
        <v>0</v>
      </c>
      <c r="VI67" s="20" t="n">
        <f aca="false">IF(AMV66&lt;=0,0,IF(H_Direct=1,IF(DV67&lt;=0,RV67,IF(RV67&lt;=(YU67+ACH67)/DV67,RV67,(RV67-G67*(YU67+ACH67))/(1-G67*DV67))),RV67/(1-MAX(0,DV67)*H_Exit)))</f>
        <v>0</v>
      </c>
      <c r="VJ67" s="20" t="n">
        <f aca="false">IF(AMW66&lt;=0,0,IF(H_Direct=1,IF(DW67&lt;=0,RW67,IF(RW67&lt;=(YV67+ACI67)/DW67,RW67,(RW67-G67*(YV67+ACI67))/(1-G67*DW67))),RW67/(1-MAX(0,DW67)*H_Exit)))</f>
        <v>0</v>
      </c>
      <c r="VK67" s="20" t="n">
        <f aca="false">IF(AMX66&lt;=0,0,IF(H_Direct=1,IF(DX67&lt;=0,RX67,IF(RX67&lt;=(YW67+ACJ67)/DX67,RX67,(RX67-G67*(YW67+ACJ67))/(1-G67*DX67))),RX67/(1-MAX(0,DX67)*H_Exit)))</f>
        <v>0</v>
      </c>
      <c r="VL67" s="20" t="n">
        <f aca="false">IF(AMY66&lt;=0,0,IF(H_Direct=1,IF(DY67&lt;=0,RY67,IF(RY67&lt;=(YX67+ACK67)/DY67,RY67,(RY67-G67*(YX67+ACK67))/(1-G67*DY67))),RY67/(1-MAX(0,DY67)*H_Exit)))</f>
        <v>0</v>
      </c>
      <c r="VM67" s="20" t="n">
        <f aca="false">IF((P67+S67)&lt;=0,0,IF(H_Direct=1,IF(DZ67&lt;=0,RZ67,IF(RZ67&lt;=(YY67+ACL67)/DZ67,RZ67,(RZ67-G67*(YY67+ACL67))/(1-G67*DZ67))),RZ67/(1-MAX(0,DZ67)*H_Exit)))</f>
        <v>0</v>
      </c>
      <c r="VN67" s="20" t="n">
        <v>0</v>
      </c>
      <c r="VO67" s="20" t="n">
        <v>0</v>
      </c>
      <c r="VP67" s="20" t="n">
        <v>0</v>
      </c>
      <c r="VQ67" s="20" t="n">
        <v>0</v>
      </c>
      <c r="VR67" s="20" t="n">
        <v>0</v>
      </c>
      <c r="VS67" s="20" t="n">
        <v>0</v>
      </c>
      <c r="VT67" s="20" t="n">
        <v>0</v>
      </c>
      <c r="VU67" s="20" t="n">
        <v>0</v>
      </c>
      <c r="VV67" s="20" t="n">
        <v>0</v>
      </c>
      <c r="VW67" s="20" t="n">
        <v>0</v>
      </c>
      <c r="VX67" s="20" t="n">
        <v>0</v>
      </c>
      <c r="VY67" s="20" t="n">
        <v>0</v>
      </c>
      <c r="VZ67" s="20" t="n">
        <v>0</v>
      </c>
      <c r="WA67" s="20" t="n">
        <v>0</v>
      </c>
      <c r="WB67" s="20" t="n">
        <v>0</v>
      </c>
      <c r="WC67" s="20" t="n">
        <v>0</v>
      </c>
      <c r="WD67" s="20" t="n">
        <v>0</v>
      </c>
      <c r="WE67" s="20" t="n">
        <v>0</v>
      </c>
      <c r="WF67" s="20" t="n">
        <v>0</v>
      </c>
      <c r="WG67" s="20" t="n">
        <v>0</v>
      </c>
      <c r="WH67" s="20" t="n">
        <v>0</v>
      </c>
      <c r="WI67" s="20" t="n">
        <v>0</v>
      </c>
      <c r="WJ67" s="20" t="n">
        <v>0</v>
      </c>
      <c r="WK67" s="20" t="n">
        <v>0</v>
      </c>
      <c r="WL67" s="20" t="n">
        <v>0</v>
      </c>
      <c r="WM67" s="20" t="n">
        <v>0</v>
      </c>
      <c r="WN67" s="20" t="n">
        <v>0</v>
      </c>
      <c r="WO67" s="20" t="n">
        <v>0</v>
      </c>
      <c r="WP67" s="20" t="n">
        <v>0</v>
      </c>
      <c r="WQ67" s="20" t="n">
        <v>0</v>
      </c>
      <c r="WR67" s="20" t="n">
        <f aca="false">IF(AND(H_Direct=1,BR67&gt;0),MAX(0,H67-(MIN(BR67*TE67,(H67+I67))-MIN(MIN(BR67*TE67,(H67+I67)),I67))),H67)</f>
        <v>1270</v>
      </c>
      <c r="WS67" s="20" t="n">
        <f aca="false">IF(AND(H_Direct=1,BS67&gt;0),MAX(0,WR67-(MIN(BS67*TF67,(WR67+AAE67))-MIN(MIN(BS67*TF67,(WR67+AAE67)),AAE67))),WR67)</f>
        <v>1270</v>
      </c>
      <c r="WT67" s="20" t="n">
        <f aca="false">IF(AND(H_Direct=1,BT67&gt;0),MAX(0,WS67-(MIN(BT67*TG67,(WS67+AAF67))-MIN(MIN(BT67*TG67,(WS67+AAF67)),AAF67))),WS67)</f>
        <v>1270</v>
      </c>
      <c r="WU67" s="20" t="n">
        <f aca="false">IF(AND(H_Direct=1,BU67&gt;0),MAX(0,WT67-(MIN(BU67*TH67,(WT67+AAG67))-MIN(MIN(BU67*TH67,(WT67+AAG67)),AAG67))),WT67)</f>
        <v>1270</v>
      </c>
      <c r="WV67" s="20" t="n">
        <f aca="false">IF(AND(H_Direct=1,BV67&gt;0),MAX(0,WU67-(MIN(BV67*TI67,(WU67+AAH67))-MIN(MIN(BV67*TI67,(WU67+AAH67)),AAH67))),WU67)</f>
        <v>1270</v>
      </c>
      <c r="WW67" s="20" t="n">
        <f aca="false">IF(AND(H_Direct=1,BW67&gt;0),MAX(0,WV67-(MIN(BW67*TJ67,(WV67+AAI67))-MIN(MIN(BW67*TJ67,(WV67+AAI67)),AAI67))),WV67)</f>
        <v>1270</v>
      </c>
      <c r="WX67" s="20" t="n">
        <f aca="false">IF(AND(H_Direct=1,BX67&gt;0),MAX(0,WW67-(MIN(BX67*TK67,(WW67+AAJ67))-MIN(MIN(BX67*TK67,(WW67+AAJ67)),AAJ67))),WW67)</f>
        <v>1270</v>
      </c>
      <c r="WY67" s="20" t="n">
        <f aca="false">IF(AND(H_Direct=1,BY67&gt;0),MAX(0,WX67-(MIN(BY67*TL67,(WX67+AAK67))-MIN(MIN(BY67*TL67,(WX67+AAK67)),AAK67))),WX67)</f>
        <v>1270</v>
      </c>
      <c r="WZ67" s="20" t="n">
        <f aca="false">IF(AND(H_Direct=1,BZ67&gt;0),MAX(0,WY67-(MIN(BZ67*TM67,(WY67+AAL67))-MIN(MIN(BZ67*TM67,(WY67+AAL67)),AAL67))),WY67)</f>
        <v>1270</v>
      </c>
      <c r="XA67" s="20" t="n">
        <f aca="false">IF(AND(H_Direct=1,CA67&gt;0),MAX(0,WZ67-(MIN(CA67*TN67,(WZ67+AAM67))-MIN(MIN(CA67*TN67,(WZ67+AAM67)),AAM67))),WZ67)</f>
        <v>1270</v>
      </c>
      <c r="XB67" s="20" t="n">
        <f aca="false">IF(AND(H_Direct=1,CB67&gt;0),MAX(0,XA67-(MIN(CB67*TO67,(XA67+AAN67))-MIN(MIN(CB67*TO67,(XA67+AAN67)),AAN67))),XA67)</f>
        <v>1270</v>
      </c>
      <c r="XC67" s="20" t="n">
        <f aca="false">IF(AND(H_Direct=1,CC67&gt;0),MAX(0,XB67-(MIN(CC67*TP67,(XB67+AAO67))-MIN(MIN(CC67*TP67,(XB67+AAO67)),AAO67))),XB67)</f>
        <v>1270</v>
      </c>
      <c r="XD67" s="20" t="n">
        <f aca="false">IF(AND(H_Direct=1,CD67&gt;0),MAX(0,XC67-(MIN(CD67*TQ67,(XC67+AAP67))-MIN(MIN(CD67*TQ67,(XC67+AAP67)),AAP67))),XC67)</f>
        <v>1270</v>
      </c>
      <c r="XE67" s="20" t="n">
        <f aca="false">IF(AND(H_Direct=1,CE67&gt;0),MAX(0,XD67-(MIN(CE67*TR67,(XD67+AAQ67))-MIN(MIN(CE67*TR67,(XD67+AAQ67)),AAQ67))),XD67)</f>
        <v>1270</v>
      </c>
      <c r="XF67" s="20" t="n">
        <f aca="false">IF(AND(H_Direct=1,CF67&gt;0),MAX(0,XE67-(MIN(CF67*TS67,(XE67+AAR67))-MIN(MIN(CF67*TS67,(XE67+AAR67)),AAR67))),XE67)</f>
        <v>1270</v>
      </c>
      <c r="XG67" s="20" t="n">
        <f aca="false">IF(AND(H_Direct=1,CG67&gt;0),MAX(0,XF67-(MIN(CG67*TT67,(XF67+AAS67))-MIN(MIN(CG67*TT67,(XF67+AAS67)),AAS67))),XF67)</f>
        <v>1270</v>
      </c>
      <c r="XH67" s="20" t="n">
        <f aca="false">IF(AND(H_Direct=1,CH67&gt;0),MAX(0,XG67-(MIN(CH67*TU67,(XG67+AAT67))-MIN(MIN(CH67*TU67,(XG67+AAT67)),AAT67))),XG67)</f>
        <v>1270</v>
      </c>
      <c r="XI67" s="20" t="n">
        <f aca="false">IF(AND(H_Direct=1,CI67&gt;0),MAX(0,XH67-(MIN(CI67*TV67,(XH67+AAU67))-MIN(MIN(CI67*TV67,(XH67+AAU67)),AAU67))),XH67)</f>
        <v>1270</v>
      </c>
      <c r="XJ67" s="20" t="n">
        <f aca="false">IF(AND(H_Direct=1,CJ67&gt;0),MAX(0,XI67-(MIN(CJ67*TW67,(XI67+AAV67))-MIN(MIN(CJ67*TW67,(XI67+AAV67)),AAV67))),XI67)</f>
        <v>1270</v>
      </c>
      <c r="XK67" s="20" t="n">
        <f aca="false">IF(AND(H_Direct=1,CK67&gt;0),MAX(0,XJ67-(MIN(CK67*TX67,(XJ67+AAW67))-MIN(MIN(CK67*TX67,(XJ67+AAW67)),AAW67))),XJ67)</f>
        <v>1270</v>
      </c>
      <c r="XL67" s="20" t="n">
        <f aca="false">IF(AND(H_Direct=1,CL67&gt;0),MAX(0,XK67-(MIN(CL67*TY67,(XK67+AAX67))-MIN(MIN(CL67*TY67,(XK67+AAX67)),AAX67))),XK67)</f>
        <v>1270</v>
      </c>
      <c r="XM67" s="20" t="n">
        <f aca="false">IF(AND(H_Direct=1,CM67&gt;0),MAX(0,XL67-(MIN(CM67*TZ67,(XL67+AAY67))-MIN(MIN(CM67*TZ67,(XL67+AAY67)),AAY67))),XL67)</f>
        <v>1270</v>
      </c>
      <c r="XN67" s="20" t="n">
        <f aca="false">IF(AND(H_Direct=1,CN67&gt;0),MAX(0,XM67-(MIN(CN67*UA67,(XM67+AAZ67))-MIN(MIN(CN67*UA67,(XM67+AAZ67)),AAZ67))),XM67)</f>
        <v>1270</v>
      </c>
      <c r="XO67" s="20" t="n">
        <f aca="false">IF(AND(H_Direct=1,CO67&gt;0),MAX(0,XN67-(MIN(CO67*UB67,(XN67+ABA67))-MIN(MIN(CO67*UB67,(XN67+ABA67)),ABA67))),XN67)</f>
        <v>1270</v>
      </c>
      <c r="XP67" s="20" t="n">
        <f aca="false">IF(AND(H_Direct=1,CP67&gt;0),MAX(0,XO67-(MIN(CP67*UC67,(XO67+ABB67))-MIN(MIN(CP67*UC67,(XO67+ABB67)),ABB67))),XO67)</f>
        <v>1270</v>
      </c>
      <c r="XQ67" s="20" t="n">
        <f aca="false">IF(AND(H_Direct=1,CQ67&gt;0),MAX(0,XP67-(MIN(CQ67*UD67,(XP67+ABC67))-MIN(MIN(CQ67*UD67,(XP67+ABC67)),ABC67))),XP67)</f>
        <v>1270</v>
      </c>
      <c r="XR67" s="20" t="n">
        <f aca="false">IF(AND(H_Direct=1,CR67&gt;0),MAX(0,XQ67-(MIN(CR67*UE67,(XQ67+ABD67))-MIN(MIN(CR67*UE67,(XQ67+ABD67)),ABD67))),XQ67)</f>
        <v>1270</v>
      </c>
      <c r="XS67" s="20" t="n">
        <f aca="false">IF(AND(H_Direct=1,CS67&gt;0),MAX(0,XR67-(MIN(CS67*UF67,(XR67+ABE67))-MIN(MIN(CS67*UF67,(XR67+ABE67)),ABE67))),XR67)</f>
        <v>1270</v>
      </c>
      <c r="XT67" s="20" t="n">
        <f aca="false">IF(AND(H_Direct=1,CT67&gt;0),MAX(0,XS67-(MIN(CT67*UG67,(XS67+ABF67))-MIN(MIN(CT67*UG67,(XS67+ABF67)),ABF67))),XS67)</f>
        <v>1270</v>
      </c>
      <c r="XU67" s="20" t="n">
        <f aca="false">IF(AND(H_Direct=1,CU67&gt;0),MAX(0,XT67-(MIN(CU67*UH67,(XT67+ABG67))-MIN(MIN(CU67*UH67,(XT67+ABG67)),ABG67))),XT67)</f>
        <v>1270</v>
      </c>
      <c r="XV67" s="20" t="n">
        <f aca="false">IF(AND(H_Direct=1,CV67&gt;0),MAX(0,XU67-(MIN(CV67*UI67,(XU67+ABH67))-MIN(MIN(CV67*UI67,(XU67+ABH67)),ABH67))),XU67)</f>
        <v>1270</v>
      </c>
      <c r="XW67" s="20" t="n">
        <f aca="false">IF(AND(H_Direct=1,CW67&gt;0),MAX(0,XV67-(MIN(CW67*UJ67,(XV67+ABI67))-MIN(MIN(CW67*UJ67,(XV67+ABI67)),ABI67))),XV67)</f>
        <v>1270</v>
      </c>
      <c r="XX67" s="20" t="n">
        <f aca="false">IF(AND(H_Direct=1,CX67&gt;0),MAX(0,XW67-(MIN(CX67*UK67,(XW67+ABJ67))-MIN(MIN(CX67*UK67,(XW67+ABJ67)),ABJ67))),XW67)</f>
        <v>1270</v>
      </c>
      <c r="XY67" s="20" t="n">
        <f aca="false">IF(AND(H_Direct=1,CY67&gt;0),MAX(0,XX67-(MIN(CY67*UL67,(XX67+ABK67))-MIN(MIN(CY67*UL67,(XX67+ABK67)),ABK67))),XX67)</f>
        <v>1270</v>
      </c>
      <c r="XZ67" s="20" t="n">
        <f aca="false">IF(AND(H_Direct=1,CZ67&gt;0),MAX(0,XY67-(MIN(CZ67*UM67,(XY67+ABL67))-MIN(MIN(CZ67*UM67,(XY67+ABL67)),ABL67))),XY67)</f>
        <v>1270</v>
      </c>
      <c r="YA67" s="20" t="n">
        <f aca="false">IF(AND(H_Direct=1,DA67&gt;0),MAX(0,XZ67-(MIN(DA67*UN67,(XZ67+ABM67))-MIN(MIN(DA67*UN67,(XZ67+ABM67)),ABM67))),XZ67)</f>
        <v>1270</v>
      </c>
      <c r="YB67" s="20" t="n">
        <f aca="false">IF(AND(H_Direct=1,DB67&gt;0),MAX(0,YA67-(MIN(DB67*UO67,(YA67+ABN67))-MIN(MIN(DB67*UO67,(YA67+ABN67)),ABN67))),YA67)</f>
        <v>1270</v>
      </c>
      <c r="YC67" s="20" t="n">
        <f aca="false">IF(AND(H_Direct=1,DC67&gt;0),MAX(0,YB67-(MIN(DC67*UP67,(YB67+ABO67))-MIN(MIN(DC67*UP67,(YB67+ABO67)),ABO67))),YB67)</f>
        <v>1270</v>
      </c>
      <c r="YD67" s="20" t="n">
        <f aca="false">IF(AND(H_Direct=1,DD67&gt;0),MAX(0,YC67-(MIN(DD67*UQ67,(YC67+ABP67))-MIN(MIN(DD67*UQ67,(YC67+ABP67)),ABP67))),YC67)</f>
        <v>1270</v>
      </c>
      <c r="YE67" s="20" t="n">
        <f aca="false">IF(AND(H_Direct=1,DE67&gt;0),MAX(0,YD67-(MIN(DE67*UR67,(YD67+ABQ67))-MIN(MIN(DE67*UR67,(YD67+ABQ67)),ABQ67))),YD67)</f>
        <v>1270</v>
      </c>
      <c r="YF67" s="20" t="n">
        <f aca="false">IF(AND(H_Direct=1,DF67&gt;0),MAX(0,YE67-(MIN(DF67*US67,(YE67+ABR67))-MIN(MIN(DF67*US67,(YE67+ABR67)),ABR67))),YE67)</f>
        <v>1270</v>
      </c>
      <c r="YG67" s="20" t="n">
        <f aca="false">IF(AND(H_Direct=1,DG67&gt;0),MAX(0,YF67-(MIN(DG67*UT67,(YF67+ABS67))-MIN(MIN(DG67*UT67,(YF67+ABS67)),ABS67))),YF67)</f>
        <v>1270</v>
      </c>
      <c r="YH67" s="20" t="n">
        <f aca="false">IF(AND(H_Direct=1,DH67&gt;0),MAX(0,YG67-(MIN(DH67*UU67,(YG67+ABT67))-MIN(MIN(DH67*UU67,(YG67+ABT67)),ABT67))),YG67)</f>
        <v>1270</v>
      </c>
      <c r="YI67" s="20" t="n">
        <f aca="false">IF(AND(H_Direct=1,DI67&gt;0),MAX(0,YH67-(MIN(DI67*UV67,(YH67+ABU67))-MIN(MIN(DI67*UV67,(YH67+ABU67)),ABU67))),YH67)</f>
        <v>1270</v>
      </c>
      <c r="YJ67" s="20" t="n">
        <f aca="false">IF(AND(H_Direct=1,DJ67&gt;0),MAX(0,YI67-(MIN(DJ67*UW67,(YI67+ABV67))-MIN(MIN(DJ67*UW67,(YI67+ABV67)),ABV67))),YI67)</f>
        <v>1270</v>
      </c>
      <c r="YK67" s="20" t="n">
        <f aca="false">IF(AND(H_Direct=1,DK67&gt;0),MAX(0,YJ67-(MIN(DK67*UX67,(YJ67+ABW67))-MIN(MIN(DK67*UX67,(YJ67+ABW67)),ABW67))),YJ67)</f>
        <v>1270</v>
      </c>
      <c r="YL67" s="20" t="n">
        <f aca="false">IF(AND(H_Direct=1,DL67&gt;0),MAX(0,YK67-(MIN(DL67*UY67,(YK67+ABX67))-MIN(MIN(DL67*UY67,(YK67+ABX67)),ABX67))),YK67)</f>
        <v>1270</v>
      </c>
      <c r="YM67" s="20" t="n">
        <f aca="false">IF(AND(H_Direct=1,DM67&gt;0),MAX(0,YL67-(MIN(DM67*UZ67,(YL67+ABY67))-MIN(MIN(DM67*UZ67,(YL67+ABY67)),ABY67))),YL67)</f>
        <v>1270</v>
      </c>
      <c r="YN67" s="20" t="n">
        <f aca="false">IF(AND(H_Direct=1,DN67&gt;0),MAX(0,YM67-(MIN(DN67*VA67,(YM67+ABZ67))-MIN(MIN(DN67*VA67,(YM67+ABZ67)),ABZ67))),YM67)</f>
        <v>1270</v>
      </c>
      <c r="YO67" s="20" t="n">
        <f aca="false">IF(AND(H_Direct=1,DO67&gt;0),MAX(0,YN67-(MIN(DO67*VB67,(YN67+ACA67))-MIN(MIN(DO67*VB67,(YN67+ACA67)),ACA67))),YN67)</f>
        <v>1270</v>
      </c>
      <c r="YP67" s="20" t="n">
        <f aca="false">IF(AND(H_Direct=1,DP67&gt;0),MAX(0,YO67-(MIN(DP67*VC67,(YO67+ACB67))-MIN(MIN(DP67*VC67,(YO67+ACB67)),ACB67))),YO67)</f>
        <v>1270</v>
      </c>
      <c r="YQ67" s="20" t="n">
        <f aca="false">IF(AND(H_Direct=1,DQ67&gt;0),MAX(0,YP67-(MIN(DQ67*VD67,(YP67+ACC67))-MIN(MIN(DQ67*VD67,(YP67+ACC67)),ACC67))),YP67)</f>
        <v>1270</v>
      </c>
      <c r="YR67" s="20" t="n">
        <f aca="false">IF(AND(H_Direct=1,DR67&gt;0),MAX(0,YQ67-(MIN(DR67*VE67,(YQ67+ACD67))-MIN(MIN(DR67*VE67,(YQ67+ACD67)),ACD67))),YQ67)</f>
        <v>1270</v>
      </c>
      <c r="YS67" s="20" t="n">
        <f aca="false">IF(AND(H_Direct=1,DS67&gt;0),MAX(0,YR67-(MIN(DS67*VF67,(YR67+ACE67))-MIN(MIN(DS67*VF67,(YR67+ACE67)),ACE67))),YR67)</f>
        <v>1270</v>
      </c>
      <c r="YT67" s="20" t="n">
        <f aca="false">IF(AND(H_Direct=1,DT67&gt;0),MAX(0,YS67-(MIN(DT67*VG67,(YS67+ACF67))-MIN(MIN(DT67*VG67,(YS67+ACF67)),ACF67))),YS67)</f>
        <v>1270</v>
      </c>
      <c r="YU67" s="20" t="n">
        <f aca="false">IF(AND(H_Direct=1,DU67&gt;0),MAX(0,YT67-(MIN(DU67*VH67,(YT67+ACG67))-MIN(MIN(DU67*VH67,(YT67+ACG67)),ACG67))),YT67)</f>
        <v>1270</v>
      </c>
      <c r="YV67" s="20" t="n">
        <f aca="false">IF(AND(H_Direct=1,DV67&gt;0),MAX(0,YU67-(MIN(DV67*VI67,(YU67+ACH67))-MIN(MIN(DV67*VI67,(YU67+ACH67)),ACH67))),YU67)</f>
        <v>1270</v>
      </c>
      <c r="YW67" s="20" t="n">
        <f aca="false">IF(AND(H_Direct=1,DW67&gt;0),MAX(0,YV67-(MIN(DW67*VJ67,(YV67+ACI67))-MIN(MIN(DW67*VJ67,(YV67+ACI67)),ACI67))),YV67)</f>
        <v>1270</v>
      </c>
      <c r="YX67" s="20" t="n">
        <f aca="false">IF(AND(H_Direct=1,DX67&gt;0),MAX(0,YW67-(MIN(DX67*VK67,(YW67+ACJ67))-MIN(MIN(DX67*VK67,(YW67+ACJ67)),ACJ67))),YW67)</f>
        <v>1270</v>
      </c>
      <c r="YY67" s="20" t="n">
        <f aca="false">IF(AND(H_Direct=1,DY67&gt;0),MAX(0,YX67-(MIN(DY67*VL67,(YX67+ACK67))-MIN(MIN(DY67*VL67,(YX67+ACK67)),ACK67))),YX67)</f>
        <v>1270</v>
      </c>
      <c r="YZ67" s="20" t="n">
        <f aca="false">IF(AND(H_Direct=1,DZ67&gt;0),MAX(0,YY67-(MIN(DZ67*VM67,(YY67+ACL67))-MIN(MIN(DZ67*VM67,(YY67+ACL67)),ACL67))),YY67)</f>
        <v>1270</v>
      </c>
      <c r="ZA67" s="20" t="n">
        <f aca="false">YZ67</f>
        <v>1270</v>
      </c>
      <c r="ZB67" s="20" t="n">
        <f aca="false">ZA67</f>
        <v>1270</v>
      </c>
      <c r="ZC67" s="20" t="n">
        <f aca="false">ZB67</f>
        <v>1270</v>
      </c>
      <c r="ZD67" s="20" t="n">
        <f aca="false">ZC67</f>
        <v>1270</v>
      </c>
      <c r="ZE67" s="20" t="n">
        <f aca="false">ZD67</f>
        <v>1270</v>
      </c>
      <c r="ZF67" s="20" t="n">
        <f aca="false">ZE67</f>
        <v>1270</v>
      </c>
      <c r="ZG67" s="20" t="n">
        <f aca="false">ZF67</f>
        <v>1270</v>
      </c>
      <c r="ZH67" s="20" t="n">
        <f aca="false">ZG67</f>
        <v>1270</v>
      </c>
      <c r="ZI67" s="20" t="n">
        <f aca="false">ZH67</f>
        <v>1270</v>
      </c>
      <c r="ZJ67" s="20" t="n">
        <f aca="false">ZI67</f>
        <v>1270</v>
      </c>
      <c r="ZK67" s="20" t="n">
        <f aca="false">ZJ67</f>
        <v>1270</v>
      </c>
      <c r="ZL67" s="20" t="n">
        <f aca="false">ZK67</f>
        <v>1270</v>
      </c>
      <c r="ZM67" s="20" t="n">
        <f aca="false">ZL67</f>
        <v>1270</v>
      </c>
      <c r="ZN67" s="20" t="n">
        <f aca="false">ZM67</f>
        <v>1270</v>
      </c>
      <c r="ZO67" s="20" t="n">
        <f aca="false">ZN67</f>
        <v>1270</v>
      </c>
      <c r="ZP67" s="20" t="n">
        <f aca="false">ZO67</f>
        <v>1270</v>
      </c>
      <c r="ZQ67" s="20" t="n">
        <f aca="false">ZP67</f>
        <v>1270</v>
      </c>
      <c r="ZR67" s="20" t="n">
        <f aca="false">ZQ67</f>
        <v>1270</v>
      </c>
      <c r="ZS67" s="20" t="n">
        <f aca="false">ZR67</f>
        <v>1270</v>
      </c>
      <c r="ZT67" s="20" t="n">
        <f aca="false">ZS67</f>
        <v>1270</v>
      </c>
      <c r="ZU67" s="20" t="n">
        <f aca="false">ZT67</f>
        <v>1270</v>
      </c>
      <c r="ZV67" s="20" t="n">
        <f aca="false">ZU67</f>
        <v>1270</v>
      </c>
      <c r="ZW67" s="20" t="n">
        <f aca="false">ZV67</f>
        <v>1270</v>
      </c>
      <c r="ZX67" s="20" t="n">
        <f aca="false">ZW67</f>
        <v>1270</v>
      </c>
      <c r="ZY67" s="20" t="n">
        <f aca="false">ZX67</f>
        <v>1270</v>
      </c>
      <c r="ZZ67" s="20" t="n">
        <f aca="false">ZY67</f>
        <v>1270</v>
      </c>
      <c r="AAA67" s="20" t="n">
        <f aca="false">ZZ67</f>
        <v>1270</v>
      </c>
      <c r="AAB67" s="20" t="n">
        <f aca="false">AAA67</f>
        <v>1270</v>
      </c>
      <c r="AAC67" s="20" t="n">
        <f aca="false">AAB67</f>
        <v>1270</v>
      </c>
      <c r="AAD67" s="20" t="n">
        <f aca="false">AAC67</f>
        <v>1270</v>
      </c>
      <c r="AAE67" s="20" t="n">
        <f aca="false">IF(H_Direct=1,IF(BR67&lt;=0,I67-BR67*TE67,I67-MIN(MIN(BR67*TE67,(H67+I67)),I67)),I67)</f>
        <v>0</v>
      </c>
      <c r="AAF67" s="20" t="n">
        <f aca="false">IF(H_Direct=1,IF(BS67&lt;=0,AAE67-BS67*TF67,AAE67-MIN(MIN(BS67*TF67,(WR67+AAE67)),AAE67)),AAE67)</f>
        <v>0</v>
      </c>
      <c r="AAG67" s="20" t="n">
        <f aca="false">IF(H_Direct=1,IF(BT67&lt;=0,AAF67-BT67*TG67,AAF67-MIN(MIN(BT67*TG67,(WS67+AAF67)),AAF67)),AAF67)</f>
        <v>0</v>
      </c>
      <c r="AAH67" s="20" t="n">
        <f aca="false">IF(H_Direct=1,IF(BU67&lt;=0,AAG67-BU67*TH67,AAG67-MIN(MIN(BU67*TH67,(WT67+AAG67)),AAG67)),AAG67)</f>
        <v>0</v>
      </c>
      <c r="AAI67" s="20" t="n">
        <f aca="false">IF(H_Direct=1,IF(BV67&lt;=0,AAH67-BV67*TI67,AAH67-MIN(MIN(BV67*TI67,(WU67+AAH67)),AAH67)),AAH67)</f>
        <v>0</v>
      </c>
      <c r="AAJ67" s="20" t="n">
        <f aca="false">IF(H_Direct=1,IF(BW67&lt;=0,AAI67-BW67*TJ67,AAI67-MIN(MIN(BW67*TJ67,(WV67+AAI67)),AAI67)),AAI67)</f>
        <v>0</v>
      </c>
      <c r="AAK67" s="20" t="n">
        <f aca="false">IF(H_Direct=1,IF(BX67&lt;=0,AAJ67-BX67*TK67,AAJ67-MIN(MIN(BX67*TK67,(WW67+AAJ67)),AAJ67)),AAJ67)</f>
        <v>0</v>
      </c>
      <c r="AAL67" s="20" t="n">
        <f aca="false">IF(H_Direct=1,IF(BY67&lt;=0,AAK67-BY67*TL67,AAK67-MIN(MIN(BY67*TL67,(WX67+AAK67)),AAK67)),AAK67)</f>
        <v>0</v>
      </c>
      <c r="AAM67" s="20" t="n">
        <f aca="false">IF(H_Direct=1,IF(BZ67&lt;=0,AAL67-BZ67*TM67,AAL67-MIN(MIN(BZ67*TM67,(WY67+AAL67)),AAL67)),AAL67)</f>
        <v>0</v>
      </c>
      <c r="AAN67" s="20" t="n">
        <f aca="false">IF(H_Direct=1,IF(CA67&lt;=0,AAM67-CA67*TN67,AAM67-MIN(MIN(CA67*TN67,(WZ67+AAM67)),AAM67)),AAM67)</f>
        <v>0</v>
      </c>
      <c r="AAO67" s="20" t="n">
        <f aca="false">IF(H_Direct=1,IF(CB67&lt;=0,AAN67-CB67*TO67,AAN67-MIN(MIN(CB67*TO67,(XA67+AAN67)),AAN67)),AAN67)</f>
        <v>0</v>
      </c>
      <c r="AAP67" s="20" t="n">
        <f aca="false">IF(H_Direct=1,IF(CC67&lt;=0,AAO67-CC67*TP67,AAO67-MIN(MIN(CC67*TP67,(XB67+AAO67)),AAO67)),AAO67)</f>
        <v>0</v>
      </c>
      <c r="AAQ67" s="20" t="n">
        <f aca="false">IF(H_Direct=1,IF(CD67&lt;=0,AAP67-CD67*TQ67,AAP67-MIN(MIN(CD67*TQ67,(XC67+AAP67)),AAP67)),AAP67)</f>
        <v>0</v>
      </c>
      <c r="AAR67" s="20" t="n">
        <f aca="false">IF(H_Direct=1,IF(CE67&lt;=0,AAQ67-CE67*TR67,AAQ67-MIN(MIN(CE67*TR67,(XD67+AAQ67)),AAQ67)),AAQ67)</f>
        <v>0</v>
      </c>
      <c r="AAS67" s="20" t="n">
        <f aca="false">IF(H_Direct=1,IF(CF67&lt;=0,AAR67-CF67*TS67,AAR67-MIN(MIN(CF67*TS67,(XE67+AAR67)),AAR67)),AAR67)</f>
        <v>0</v>
      </c>
      <c r="AAT67" s="20" t="n">
        <f aca="false">IF(H_Direct=1,IF(CG67&lt;=0,AAS67-CG67*TT67,AAS67-MIN(MIN(CG67*TT67,(XF67+AAS67)),AAS67)),AAS67)</f>
        <v>0</v>
      </c>
      <c r="AAU67" s="20" t="n">
        <f aca="false">IF(H_Direct=1,IF(CH67&lt;=0,AAT67-CH67*TU67,AAT67-MIN(MIN(CH67*TU67,(XG67+AAT67)),AAT67)),AAT67)</f>
        <v>0</v>
      </c>
      <c r="AAV67" s="20" t="n">
        <f aca="false">IF(H_Direct=1,IF(CI67&lt;=0,AAU67-CI67*TV67,AAU67-MIN(MIN(CI67*TV67,(XH67+AAU67)),AAU67)),AAU67)</f>
        <v>0</v>
      </c>
      <c r="AAW67" s="20" t="n">
        <f aca="false">IF(H_Direct=1,IF(CJ67&lt;=0,AAV67-CJ67*TW67,AAV67-MIN(MIN(CJ67*TW67,(XI67+AAV67)),AAV67)),AAV67)</f>
        <v>0</v>
      </c>
      <c r="AAX67" s="20" t="n">
        <f aca="false">IF(H_Direct=1,IF(CK67&lt;=0,AAW67-CK67*TX67,AAW67-MIN(MIN(CK67*TX67,(XJ67+AAW67)),AAW67)),AAW67)</f>
        <v>0</v>
      </c>
      <c r="AAY67" s="20" t="n">
        <f aca="false">IF(H_Direct=1,IF(CL67&lt;=0,AAX67-CL67*TY67,AAX67-MIN(MIN(CL67*TY67,(XK67+AAX67)),AAX67)),AAX67)</f>
        <v>0</v>
      </c>
      <c r="AAZ67" s="20" t="n">
        <f aca="false">IF(H_Direct=1,IF(CM67&lt;=0,AAY67-CM67*TZ67,AAY67-MIN(MIN(CM67*TZ67,(XL67+AAY67)),AAY67)),AAY67)</f>
        <v>0</v>
      </c>
      <c r="ABA67" s="20" t="n">
        <f aca="false">IF(H_Direct=1,IF(CN67&lt;=0,AAZ67-CN67*UA67,AAZ67-MIN(MIN(CN67*UA67,(XM67+AAZ67)),AAZ67)),AAZ67)</f>
        <v>0</v>
      </c>
      <c r="ABB67" s="20" t="n">
        <f aca="false">IF(H_Direct=1,IF(CO67&lt;=0,ABA67-CO67*UB67,ABA67-MIN(MIN(CO67*UB67,(XN67+ABA67)),ABA67)),ABA67)</f>
        <v>0</v>
      </c>
      <c r="ABC67" s="20" t="n">
        <f aca="false">IF(H_Direct=1,IF(CP67&lt;=0,ABB67-CP67*UC67,ABB67-MIN(MIN(CP67*UC67,(XO67+ABB67)),ABB67)),ABB67)</f>
        <v>0</v>
      </c>
      <c r="ABD67" s="20" t="n">
        <f aca="false">IF(H_Direct=1,IF(CQ67&lt;=0,ABC67-CQ67*UD67,ABC67-MIN(MIN(CQ67*UD67,(XP67+ABC67)),ABC67)),ABC67)</f>
        <v>0</v>
      </c>
      <c r="ABE67" s="20" t="n">
        <f aca="false">IF(H_Direct=1,IF(CR67&lt;=0,ABD67-CR67*UE67,ABD67-MIN(MIN(CR67*UE67,(XQ67+ABD67)),ABD67)),ABD67)</f>
        <v>0</v>
      </c>
      <c r="ABF67" s="20" t="n">
        <f aca="false">IF(H_Direct=1,IF(CS67&lt;=0,ABE67-CS67*UF67,ABE67-MIN(MIN(CS67*UF67,(XR67+ABE67)),ABE67)),ABE67)</f>
        <v>0</v>
      </c>
      <c r="ABG67" s="20" t="n">
        <f aca="false">IF(H_Direct=1,IF(CT67&lt;=0,ABF67-CT67*UG67,ABF67-MIN(MIN(CT67*UG67,(XS67+ABF67)),ABF67)),ABF67)</f>
        <v>0</v>
      </c>
      <c r="ABH67" s="20" t="n">
        <f aca="false">IF(H_Direct=1,IF(CU67&lt;=0,ABG67-CU67*UH67,ABG67-MIN(MIN(CU67*UH67,(XT67+ABG67)),ABG67)),ABG67)</f>
        <v>0</v>
      </c>
      <c r="ABI67" s="20" t="n">
        <f aca="false">IF(H_Direct=1,IF(CV67&lt;=0,ABH67-CV67*UI67,ABH67-MIN(MIN(CV67*UI67,(XU67+ABH67)),ABH67)),ABH67)</f>
        <v>0</v>
      </c>
      <c r="ABJ67" s="20" t="n">
        <f aca="false">IF(H_Direct=1,IF(CW67&lt;=0,ABI67-CW67*UJ67,ABI67-MIN(MIN(CW67*UJ67,(XV67+ABI67)),ABI67)),ABI67)</f>
        <v>0</v>
      </c>
      <c r="ABK67" s="20" t="n">
        <f aca="false">IF(H_Direct=1,IF(CX67&lt;=0,ABJ67-CX67*UK67,ABJ67-MIN(MIN(CX67*UK67,(XW67+ABJ67)),ABJ67)),ABJ67)</f>
        <v>0</v>
      </c>
      <c r="ABL67" s="20" t="n">
        <f aca="false">IF(H_Direct=1,IF(CY67&lt;=0,ABK67-CY67*UL67,ABK67-MIN(MIN(CY67*UL67,(XX67+ABK67)),ABK67)),ABK67)</f>
        <v>0</v>
      </c>
      <c r="ABM67" s="20" t="n">
        <f aca="false">IF(H_Direct=1,IF(CZ67&lt;=0,ABL67-CZ67*UM67,ABL67-MIN(MIN(CZ67*UM67,(XY67+ABL67)),ABL67)),ABL67)</f>
        <v>0</v>
      </c>
      <c r="ABN67" s="20" t="n">
        <f aca="false">IF(H_Direct=1,IF(DA67&lt;=0,ABM67-DA67*UN67,ABM67-MIN(MIN(DA67*UN67,(XZ67+ABM67)),ABM67)),ABM67)</f>
        <v>0</v>
      </c>
      <c r="ABO67" s="20" t="n">
        <f aca="false">IF(H_Direct=1,IF(DB67&lt;=0,ABN67-DB67*UO67,ABN67-MIN(MIN(DB67*UO67,(YA67+ABN67)),ABN67)),ABN67)</f>
        <v>0</v>
      </c>
      <c r="ABP67" s="20" t="n">
        <f aca="false">IF(H_Direct=1,IF(DC67&lt;=0,ABO67-DC67*UP67,ABO67-MIN(MIN(DC67*UP67,(YB67+ABO67)),ABO67)),ABO67)</f>
        <v>0</v>
      </c>
      <c r="ABQ67" s="20" t="n">
        <f aca="false">IF(H_Direct=1,IF(DD67&lt;=0,ABP67-DD67*UQ67,ABP67-MIN(MIN(DD67*UQ67,(YC67+ABP67)),ABP67)),ABP67)</f>
        <v>0</v>
      </c>
      <c r="ABR67" s="20" t="n">
        <f aca="false">IF(H_Direct=1,IF(DE67&lt;=0,ABQ67-DE67*UR67,ABQ67-MIN(MIN(DE67*UR67,(YD67+ABQ67)),ABQ67)),ABQ67)</f>
        <v>0</v>
      </c>
      <c r="ABS67" s="20" t="n">
        <f aca="false">IF(H_Direct=1,IF(DF67&lt;=0,ABR67-DF67*US67,ABR67-MIN(MIN(DF67*US67,(YE67+ABR67)),ABR67)),ABR67)</f>
        <v>0</v>
      </c>
      <c r="ABT67" s="20" t="n">
        <f aca="false">IF(H_Direct=1,IF(DG67&lt;=0,ABS67-DG67*UT67,ABS67-MIN(MIN(DG67*UT67,(YF67+ABS67)),ABS67)),ABS67)</f>
        <v>0</v>
      </c>
      <c r="ABU67" s="20" t="n">
        <f aca="false">IF(H_Direct=1,IF(DH67&lt;=0,ABT67-DH67*UU67,ABT67-MIN(MIN(DH67*UU67,(YG67+ABT67)),ABT67)),ABT67)</f>
        <v>0</v>
      </c>
      <c r="ABV67" s="20" t="n">
        <f aca="false">IF(H_Direct=1,IF(DI67&lt;=0,ABU67-DI67*UV67,ABU67-MIN(MIN(DI67*UV67,(YH67+ABU67)),ABU67)),ABU67)</f>
        <v>0</v>
      </c>
      <c r="ABW67" s="20" t="n">
        <f aca="false">IF(H_Direct=1,IF(DJ67&lt;=0,ABV67-DJ67*UW67,ABV67-MIN(MIN(DJ67*UW67,(YI67+ABV67)),ABV67)),ABV67)</f>
        <v>0</v>
      </c>
      <c r="ABX67" s="20" t="n">
        <f aca="false">IF(H_Direct=1,IF(DK67&lt;=0,ABW67-DK67*UX67,ABW67-MIN(MIN(DK67*UX67,(YJ67+ABW67)),ABW67)),ABW67)</f>
        <v>0</v>
      </c>
      <c r="ABY67" s="20" t="n">
        <f aca="false">IF(H_Direct=1,IF(DL67&lt;=0,ABX67-DL67*UY67,ABX67-MIN(MIN(DL67*UY67,(YK67+ABX67)),ABX67)),ABX67)</f>
        <v>0</v>
      </c>
      <c r="ABZ67" s="20" t="n">
        <f aca="false">IF(H_Direct=1,IF(DM67&lt;=0,ABY67-DM67*UZ67,ABY67-MIN(MIN(DM67*UZ67,(YL67+ABY67)),ABY67)),ABY67)</f>
        <v>0</v>
      </c>
      <c r="ACA67" s="20" t="n">
        <f aca="false">IF(H_Direct=1,IF(DN67&lt;=0,ABZ67-DN67*VA67,ABZ67-MIN(MIN(DN67*VA67,(YM67+ABZ67)),ABZ67)),ABZ67)</f>
        <v>0</v>
      </c>
      <c r="ACB67" s="20" t="n">
        <f aca="false">IF(H_Direct=1,IF(DO67&lt;=0,ACA67-DO67*VB67,ACA67-MIN(MIN(DO67*VB67,(YN67+ACA67)),ACA67)),ACA67)</f>
        <v>0</v>
      </c>
      <c r="ACC67" s="20" t="n">
        <f aca="false">IF(H_Direct=1,IF(DP67&lt;=0,ACB67-DP67*VC67,ACB67-MIN(MIN(DP67*VC67,(YO67+ACB67)),ACB67)),ACB67)</f>
        <v>0</v>
      </c>
      <c r="ACD67" s="20" t="n">
        <f aca="false">IF(H_Direct=1,IF(DQ67&lt;=0,ACC67-DQ67*VD67,ACC67-MIN(MIN(DQ67*VD67,(YP67+ACC67)),ACC67)),ACC67)</f>
        <v>0</v>
      </c>
      <c r="ACE67" s="20" t="n">
        <f aca="false">IF(H_Direct=1,IF(DR67&lt;=0,ACD67-DR67*VE67,ACD67-MIN(MIN(DR67*VE67,(YQ67+ACD67)),ACD67)),ACD67)</f>
        <v>0</v>
      </c>
      <c r="ACF67" s="20" t="n">
        <f aca="false">IF(H_Direct=1,IF(DS67&lt;=0,ACE67-DS67*VF67,ACE67-MIN(MIN(DS67*VF67,(YR67+ACE67)),ACE67)),ACE67)</f>
        <v>0</v>
      </c>
      <c r="ACG67" s="20" t="n">
        <f aca="false">IF(H_Direct=1,IF(DT67&lt;=0,ACF67-DT67*VG67,ACF67-MIN(MIN(DT67*VG67,(YS67+ACF67)),ACF67)),ACF67)</f>
        <v>0</v>
      </c>
      <c r="ACH67" s="20" t="n">
        <f aca="false">IF(H_Direct=1,IF(DU67&lt;=0,ACG67-DU67*VH67,ACG67-MIN(MIN(DU67*VH67,(YT67+ACG67)),ACG67)),ACG67)</f>
        <v>0</v>
      </c>
      <c r="ACI67" s="20" t="n">
        <f aca="false">IF(H_Direct=1,IF(DV67&lt;=0,ACH67-DV67*VI67,ACH67-MIN(MIN(DV67*VI67,(YU67+ACH67)),ACH67)),ACH67)</f>
        <v>0</v>
      </c>
      <c r="ACJ67" s="20" t="n">
        <f aca="false">IF(H_Direct=1,IF(DW67&lt;=0,ACI67-DW67*VJ67,ACI67-MIN(MIN(DW67*VJ67,(YV67+ACI67)),ACI67)),ACI67)</f>
        <v>0</v>
      </c>
      <c r="ACK67" s="20" t="n">
        <f aca="false">IF(H_Direct=1,IF(DX67&lt;=0,ACJ67-DX67*VK67,ACJ67-MIN(MIN(DX67*VK67,(YW67+ACJ67)),ACJ67)),ACJ67)</f>
        <v>0</v>
      </c>
      <c r="ACL67" s="20" t="n">
        <f aca="false">IF(H_Direct=1,IF(DY67&lt;=0,ACK67-DY67*VL67,ACK67-MIN(MIN(DY67*VL67,(YX67+ACK67)),ACK67)),ACK67)</f>
        <v>0</v>
      </c>
      <c r="ACM67" s="20" t="n">
        <f aca="false">IF(H_Direct=1,IF(DZ67&lt;=0,ACL67-DZ67*VM67,ACL67-MIN(MIN(DZ67*VM67,(YY67+ACL67)),ACL67)),ACL67)</f>
        <v>0</v>
      </c>
      <c r="ACN67" s="20" t="n">
        <f aca="false">ACM67</f>
        <v>0</v>
      </c>
      <c r="ACO67" s="20" t="n">
        <f aca="false">ACN67</f>
        <v>0</v>
      </c>
      <c r="ACP67" s="20" t="n">
        <f aca="false">ACO67</f>
        <v>0</v>
      </c>
      <c r="ACQ67" s="20" t="n">
        <f aca="false">ACP67</f>
        <v>0</v>
      </c>
      <c r="ACR67" s="20" t="n">
        <f aca="false">ACQ67</f>
        <v>0</v>
      </c>
      <c r="ACS67" s="20" t="n">
        <f aca="false">ACR67</f>
        <v>0</v>
      </c>
      <c r="ACT67" s="20" t="n">
        <f aca="false">ACS67</f>
        <v>0</v>
      </c>
      <c r="ACU67" s="20" t="n">
        <f aca="false">ACT67</f>
        <v>0</v>
      </c>
      <c r="ACV67" s="20" t="n">
        <f aca="false">ACU67</f>
        <v>0</v>
      </c>
      <c r="ACW67" s="20" t="n">
        <f aca="false">ACV67</f>
        <v>0</v>
      </c>
      <c r="ACX67" s="20" t="n">
        <f aca="false">ACW67</f>
        <v>0</v>
      </c>
      <c r="ACY67" s="20" t="n">
        <f aca="false">ACX67</f>
        <v>0</v>
      </c>
      <c r="ACZ67" s="20" t="n">
        <f aca="false">ACY67</f>
        <v>0</v>
      </c>
      <c r="ADA67" s="20" t="n">
        <f aca="false">ACZ67</f>
        <v>0</v>
      </c>
      <c r="ADB67" s="20" t="n">
        <f aca="false">ADA67</f>
        <v>0</v>
      </c>
      <c r="ADC67" s="20" t="n">
        <f aca="false">ADB67</f>
        <v>0</v>
      </c>
      <c r="ADD67" s="20" t="n">
        <f aca="false">ADC67</f>
        <v>0</v>
      </c>
      <c r="ADE67" s="20" t="n">
        <f aca="false">ADD67</f>
        <v>0</v>
      </c>
      <c r="ADF67" s="20" t="n">
        <f aca="false">ADE67</f>
        <v>0</v>
      </c>
      <c r="ADG67" s="20" t="n">
        <f aca="false">ADF67</f>
        <v>0</v>
      </c>
      <c r="ADH67" s="20" t="n">
        <f aca="false">ADG67</f>
        <v>0</v>
      </c>
      <c r="ADI67" s="20" t="n">
        <f aca="false">ADH67</f>
        <v>0</v>
      </c>
      <c r="ADJ67" s="20" t="n">
        <f aca="false">ADI67</f>
        <v>0</v>
      </c>
      <c r="ADK67" s="20" t="n">
        <f aca="false">ADJ67</f>
        <v>0</v>
      </c>
      <c r="ADL67" s="20" t="n">
        <f aca="false">ADK67</f>
        <v>0</v>
      </c>
      <c r="ADM67" s="20" t="n">
        <f aca="false">ADL67</f>
        <v>0</v>
      </c>
      <c r="ADN67" s="20" t="n">
        <f aca="false">ADM67</f>
        <v>0</v>
      </c>
      <c r="ADO67" s="20" t="n">
        <f aca="false">ADN67</f>
        <v>0</v>
      </c>
      <c r="ADP67" s="20" t="n">
        <f aca="false">ADO67</f>
        <v>0</v>
      </c>
      <c r="ADQ67" s="20" t="n">
        <f aca="false">ADP67</f>
        <v>0</v>
      </c>
      <c r="ADR67" s="20" t="n">
        <f aca="false">(AKR66-TE67+0)*(1+BQ67)</f>
        <v>0</v>
      </c>
      <c r="ADS67" s="20" t="n">
        <f aca="false">(AKS66-TF67+0)*(1+BQ67)</f>
        <v>0</v>
      </c>
      <c r="ADT67" s="20" t="n">
        <f aca="false">(AKT66-TG67+0)*(1+BQ67)</f>
        <v>0</v>
      </c>
      <c r="ADU67" s="20" t="n">
        <f aca="false">(AKU66-TH67+0)*(1+BQ67)</f>
        <v>0</v>
      </c>
      <c r="ADV67" s="20" t="n">
        <f aca="false">(AKV66-TI67+0)*(1+BQ67)</f>
        <v>0</v>
      </c>
      <c r="ADW67" s="20" t="n">
        <f aca="false">(AKW66-TJ67+0)*(1+BQ67)</f>
        <v>0</v>
      </c>
      <c r="ADX67" s="20" t="n">
        <f aca="false">(AKX66-TK67+0)*(1+BQ67)</f>
        <v>0</v>
      </c>
      <c r="ADY67" s="20" t="n">
        <f aca="false">(AKY66-TL67+0)*(1+BQ67)</f>
        <v>0</v>
      </c>
      <c r="ADZ67" s="20" t="n">
        <f aca="false">(AKZ66-TM67+0)*(1+BQ67)</f>
        <v>0</v>
      </c>
      <c r="AEA67" s="20" t="n">
        <f aca="false">(ALA66-TN67+0)*(1+BQ67)</f>
        <v>0</v>
      </c>
      <c r="AEB67" s="20" t="n">
        <f aca="false">(ALB66-TO67+0)*(1+BQ67)</f>
        <v>0</v>
      </c>
      <c r="AEC67" s="20" t="n">
        <f aca="false">(ALC66-TP67+0)*(1+BQ67)</f>
        <v>0</v>
      </c>
      <c r="AED67" s="20" t="n">
        <f aca="false">(ALD66-TQ67+0)*(1+BQ67)</f>
        <v>0</v>
      </c>
      <c r="AEE67" s="20" t="n">
        <f aca="false">(ALE66-TR67+0)*(1+BQ67)</f>
        <v>0</v>
      </c>
      <c r="AEF67" s="20" t="n">
        <f aca="false">(ALF66-TS67+0)*(1+BQ67)</f>
        <v>0</v>
      </c>
      <c r="AEG67" s="20" t="n">
        <f aca="false">(ALG66-TT67+0)*(1+BQ67)</f>
        <v>0</v>
      </c>
      <c r="AEH67" s="20" t="n">
        <f aca="false">(ALH66-TU67+0)*(1+BQ67)</f>
        <v>0</v>
      </c>
      <c r="AEI67" s="20" t="n">
        <f aca="false">(ALI66-TV67+0)*(1+BQ67)</f>
        <v>0</v>
      </c>
      <c r="AEJ67" s="20" t="n">
        <f aca="false">(ALJ66-TW67+0)*(1+BQ67)</f>
        <v>0</v>
      </c>
      <c r="AEK67" s="20" t="n">
        <f aca="false">(ALK66-TX67+0)*(1+BQ67)</f>
        <v>0</v>
      </c>
      <c r="AEL67" s="20" t="n">
        <f aca="false">(ALL66-TY67+0)*(1+BQ67)</f>
        <v>0</v>
      </c>
      <c r="AEM67" s="20" t="n">
        <f aca="false">(ALM66-TZ67+0)*(1+BQ67)</f>
        <v>0</v>
      </c>
      <c r="AEN67" s="20" t="n">
        <f aca="false">(ALN66-UA67+0)*(1+BQ67)</f>
        <v>0</v>
      </c>
      <c r="AEO67" s="20" t="n">
        <f aca="false">(ALO66-UB67+0)*(1+BQ67)</f>
        <v>0</v>
      </c>
      <c r="AEP67" s="20" t="n">
        <f aca="false">(ALP66-UC67+0)*(1+BQ67)</f>
        <v>0</v>
      </c>
      <c r="AEQ67" s="20" t="n">
        <f aca="false">(ALQ66-UD67+0)*(1+BQ67)</f>
        <v>0</v>
      </c>
      <c r="AER67" s="20" t="n">
        <f aca="false">(ALR66-UE67+0)*(1+BQ67)</f>
        <v>0</v>
      </c>
      <c r="AES67" s="20" t="n">
        <f aca="false">(ALS66-UF67+0)*(1+BQ67)</f>
        <v>0</v>
      </c>
      <c r="AET67" s="20" t="n">
        <f aca="false">(ALT66-UG67+0)*(1+BQ67)</f>
        <v>0</v>
      </c>
      <c r="AEU67" s="20" t="n">
        <f aca="false">(ALU66-UH67+0)*(1+BQ67)</f>
        <v>0</v>
      </c>
      <c r="AEV67" s="20" t="n">
        <f aca="false">(ALV66-UI67+0)*(1+BQ67)</f>
        <v>0</v>
      </c>
      <c r="AEW67" s="20" t="n">
        <f aca="false">(ALW66-UJ67+0)*(1+BQ67)</f>
        <v>0</v>
      </c>
      <c r="AEX67" s="20" t="n">
        <f aca="false">(ALX66-UK67+0)*(1+BQ67)</f>
        <v>0</v>
      </c>
      <c r="AEY67" s="20" t="n">
        <f aca="false">(ALY66-UL67+0)*(1+BQ67)</f>
        <v>0</v>
      </c>
      <c r="AEZ67" s="20" t="n">
        <f aca="false">(ALZ66-UM67+0)*(1+BQ67)</f>
        <v>0</v>
      </c>
      <c r="AFA67" s="20" t="n">
        <f aca="false">(AMA66-UN67+0)*(1+BQ67)</f>
        <v>0</v>
      </c>
      <c r="AFB67" s="20" t="n">
        <f aca="false">(AMB66-UO67+0)*(1+BQ67)</f>
        <v>0</v>
      </c>
      <c r="AFC67" s="20" t="n">
        <f aca="false">(AMC66-UP67+0)*(1+BQ67)</f>
        <v>0</v>
      </c>
      <c r="AFD67" s="20" t="n">
        <f aca="false">(AMD66-UQ67+0)*(1+BQ67)</f>
        <v>0</v>
      </c>
      <c r="AFE67" s="20" t="n">
        <f aca="false">(AME66-UR67+0)*(1+BQ67)</f>
        <v>0</v>
      </c>
      <c r="AFF67" s="20" t="n">
        <f aca="false">(AMF66-US67+0)*(1+BQ67)</f>
        <v>0</v>
      </c>
      <c r="AFG67" s="20" t="n">
        <f aca="false">(AMG66-UT67+0)*(1+BQ67)</f>
        <v>0</v>
      </c>
      <c r="AFH67" s="20" t="n">
        <f aca="false">(AMH66-UU67+0)*(1+BQ67)</f>
        <v>0</v>
      </c>
      <c r="AFI67" s="20" t="n">
        <f aca="false">(AMI66-UV67+0)*(1+BQ67)</f>
        <v>0</v>
      </c>
      <c r="AFJ67" s="20" t="n">
        <f aca="false">(AMJ66-UW67+0)*(1+BQ67)</f>
        <v>0</v>
      </c>
      <c r="AFK67" s="20" t="n">
        <f aca="false">(AMK66-UX67+0)*(1+BQ67)</f>
        <v>0</v>
      </c>
      <c r="AFL67" s="20" t="n">
        <f aca="false">(AML66-UY67+0)*(1+BQ67)</f>
        <v>0</v>
      </c>
      <c r="AFM67" s="20" t="n">
        <f aca="false">(AMM66-UZ67+0)*(1+BQ67)</f>
        <v>0</v>
      </c>
      <c r="AFN67" s="20" t="n">
        <f aca="false">(AMN66-VA67+0)*(1+BQ67)</f>
        <v>0</v>
      </c>
      <c r="AFO67" s="20" t="n">
        <f aca="false">(AMO66-VB67+0)*(1+BQ67)</f>
        <v>0</v>
      </c>
      <c r="AFP67" s="20" t="n">
        <f aca="false">(AMP66-VC67+0)*(1+BQ67)</f>
        <v>0</v>
      </c>
      <c r="AFQ67" s="20" t="n">
        <f aca="false">(AMQ66-VD67+0)*(1+BQ67)</f>
        <v>0</v>
      </c>
      <c r="AFR67" s="20" t="n">
        <f aca="false">(AMR66-VE67+0)*(1+BQ67)</f>
        <v>0</v>
      </c>
      <c r="AFS67" s="20" t="n">
        <f aca="false">(AMS66-VF67+0)*(1+BQ67)</f>
        <v>0</v>
      </c>
      <c r="AFT67" s="20" t="n">
        <f aca="false">(AMT66-VG67+0)*(1+BQ67)</f>
        <v>0</v>
      </c>
      <c r="AFU67" s="20" t="n">
        <f aca="false">(AMU66-VH67+0)*(1+BQ67)</f>
        <v>0</v>
      </c>
      <c r="AFV67" s="20" t="n">
        <f aca="false">(AMV66-VI67+0)*(1+BQ67)</f>
        <v>0</v>
      </c>
      <c r="AFW67" s="20" t="n">
        <f aca="false">(AMW66-VJ67+0)*(1+BQ67)</f>
        <v>0</v>
      </c>
      <c r="AFX67" s="20" t="n">
        <f aca="false">(AMX66-VK67+0)*(1+BQ67)</f>
        <v>0</v>
      </c>
      <c r="AFY67" s="20" t="n">
        <f aca="false">(AMY66-VL67+0)*(1+BQ67)</f>
        <v>0</v>
      </c>
      <c r="AFZ67" s="20" t="n">
        <f aca="false">((P67+S67)-VM67+BE67)*(1+BQ67)</f>
        <v>0</v>
      </c>
      <c r="AGA67" s="20" t="n">
        <v>0</v>
      </c>
      <c r="AGB67" s="20" t="n">
        <v>0</v>
      </c>
      <c r="AGC67" s="20" t="n">
        <v>0</v>
      </c>
      <c r="AGD67" s="20" t="n">
        <v>0</v>
      </c>
      <c r="AGE67" s="20" t="n">
        <v>0</v>
      </c>
      <c r="AGF67" s="20" t="n">
        <v>0</v>
      </c>
      <c r="AGG67" s="20" t="n">
        <v>0</v>
      </c>
      <c r="AGH67" s="20" t="n">
        <v>0</v>
      </c>
      <c r="AGI67" s="20" t="n">
        <v>0</v>
      </c>
      <c r="AGJ67" s="20" t="n">
        <v>0</v>
      </c>
      <c r="AGK67" s="20" t="n">
        <v>0</v>
      </c>
      <c r="AGL67" s="20" t="n">
        <v>0</v>
      </c>
      <c r="AGM67" s="20" t="n">
        <v>0</v>
      </c>
      <c r="AGN67" s="20" t="n">
        <v>0</v>
      </c>
      <c r="AGO67" s="20" t="n">
        <v>0</v>
      </c>
      <c r="AGP67" s="20" t="n">
        <v>0</v>
      </c>
      <c r="AGQ67" s="20" t="n">
        <v>0</v>
      </c>
      <c r="AGR67" s="20" t="n">
        <v>0</v>
      </c>
      <c r="AGS67" s="20" t="n">
        <v>0</v>
      </c>
      <c r="AGT67" s="20" t="n">
        <v>0</v>
      </c>
      <c r="AGU67" s="20" t="n">
        <v>0</v>
      </c>
      <c r="AGV67" s="20" t="n">
        <v>0</v>
      </c>
      <c r="AGW67" s="20" t="n">
        <v>0</v>
      </c>
      <c r="AGX67" s="20" t="n">
        <v>0</v>
      </c>
      <c r="AGY67" s="20" t="n">
        <v>0</v>
      </c>
      <c r="AGZ67" s="20" t="n">
        <v>0</v>
      </c>
      <c r="AHA67" s="20" t="n">
        <v>0</v>
      </c>
      <c r="AHB67" s="20" t="n">
        <v>0</v>
      </c>
      <c r="AHC67" s="20" t="n">
        <v>0</v>
      </c>
      <c r="AHD67" s="20" t="n">
        <v>0</v>
      </c>
      <c r="AHE67" s="20" t="n">
        <f aca="false">IF(AKR66&gt;0,AOE66-AOE66*TE67/AKR66,0)+0</f>
        <v>0</v>
      </c>
      <c r="AHF67" s="20" t="n">
        <f aca="false">IF(AKS66&gt;0,AOF66-AOF66*TF67/AKS66,0)+0</f>
        <v>0</v>
      </c>
      <c r="AHG67" s="20" t="n">
        <f aca="false">IF(AKT66&gt;0,AOG66-AOG66*TG67/AKT66,0)+0</f>
        <v>0</v>
      </c>
      <c r="AHH67" s="20" t="n">
        <f aca="false">IF(AKU66&gt;0,AOH66-AOH66*TH67/AKU66,0)+0</f>
        <v>0</v>
      </c>
      <c r="AHI67" s="20" t="n">
        <f aca="false">IF(AKV66&gt;0,AOI66-AOI66*TI67/AKV66,0)+0</f>
        <v>0</v>
      </c>
      <c r="AHJ67" s="20" t="n">
        <f aca="false">IF(AKW66&gt;0,AOJ66-AOJ66*TJ67/AKW66,0)+0</f>
        <v>0</v>
      </c>
      <c r="AHK67" s="20" t="n">
        <f aca="false">IF(AKX66&gt;0,AOK66-AOK66*TK67/AKX66,0)+0</f>
        <v>0</v>
      </c>
      <c r="AHL67" s="20" t="n">
        <f aca="false">IF(AKY66&gt;0,AOL66-AOL66*TL67/AKY66,0)+0</f>
        <v>0</v>
      </c>
      <c r="AHM67" s="20" t="n">
        <f aca="false">IF(AKZ66&gt;0,AOM66-AOM66*TM67/AKZ66,0)+0</f>
        <v>0</v>
      </c>
      <c r="AHN67" s="20" t="n">
        <f aca="false">IF(ALA66&gt;0,AON66-AON66*TN67/ALA66,0)+0</f>
        <v>0</v>
      </c>
      <c r="AHO67" s="20" t="n">
        <f aca="false">IF(ALB66&gt;0,AOO66-AOO66*TO67/ALB66,0)+0</f>
        <v>0</v>
      </c>
      <c r="AHP67" s="20" t="n">
        <f aca="false">IF(ALC66&gt;0,AOP66-AOP66*TP67/ALC66,0)+0</f>
        <v>0</v>
      </c>
      <c r="AHQ67" s="20" t="n">
        <f aca="false">IF(ALD66&gt;0,AOQ66-AOQ66*TQ67/ALD66,0)+0</f>
        <v>0</v>
      </c>
      <c r="AHR67" s="20" t="n">
        <f aca="false">IF(ALE66&gt;0,AOR66-AOR66*TR67/ALE66,0)+0</f>
        <v>0</v>
      </c>
      <c r="AHS67" s="20" t="n">
        <f aca="false">IF(ALF66&gt;0,AOS66-AOS66*TS67/ALF66,0)+0</f>
        <v>0</v>
      </c>
      <c r="AHT67" s="20" t="n">
        <f aca="false">IF(ALG66&gt;0,AOT66-AOT66*TT67/ALG66,0)+0</f>
        <v>0</v>
      </c>
      <c r="AHU67" s="20" t="n">
        <f aca="false">IF(ALH66&gt;0,AOU66-AOU66*TU67/ALH66,0)+0</f>
        <v>0</v>
      </c>
      <c r="AHV67" s="20" t="n">
        <f aca="false">IF(ALI66&gt;0,AOV66-AOV66*TV67/ALI66,0)+0</f>
        <v>0</v>
      </c>
      <c r="AHW67" s="20" t="n">
        <f aca="false">IF(ALJ66&gt;0,AOW66-AOW66*TW67/ALJ66,0)+0</f>
        <v>0</v>
      </c>
      <c r="AHX67" s="20" t="n">
        <f aca="false">IF(ALK66&gt;0,AOX66-AOX66*TX67/ALK66,0)+0</f>
        <v>0</v>
      </c>
      <c r="AHY67" s="20" t="n">
        <f aca="false">IF(ALL66&gt;0,AOY66-AOY66*TY67/ALL66,0)+0</f>
        <v>0</v>
      </c>
      <c r="AHZ67" s="20" t="n">
        <f aca="false">IF(ALM66&gt;0,AOZ66-AOZ66*TZ67/ALM66,0)+0</f>
        <v>0</v>
      </c>
      <c r="AIA67" s="20" t="n">
        <f aca="false">IF(ALN66&gt;0,APA66-APA66*UA67/ALN66,0)+0</f>
        <v>0</v>
      </c>
      <c r="AIB67" s="20" t="n">
        <f aca="false">IF(ALO66&gt;0,APB66-APB66*UB67/ALO66,0)+0</f>
        <v>0</v>
      </c>
      <c r="AIC67" s="20" t="n">
        <f aca="false">IF(ALP66&gt;0,APC66-APC66*UC67/ALP66,0)+0</f>
        <v>0</v>
      </c>
      <c r="AID67" s="20" t="n">
        <f aca="false">IF(ALQ66&gt;0,APD66-APD66*UD67/ALQ66,0)+0</f>
        <v>0</v>
      </c>
      <c r="AIE67" s="20" t="n">
        <f aca="false">IF(ALR66&gt;0,APE66-APE66*UE67/ALR66,0)+0</f>
        <v>0</v>
      </c>
      <c r="AIF67" s="20" t="n">
        <f aca="false">IF(ALS66&gt;0,APF66-APF66*UF67/ALS66,0)+0</f>
        <v>0</v>
      </c>
      <c r="AIG67" s="20" t="n">
        <f aca="false">IF(ALT66&gt;0,APG66-APG66*UG67/ALT66,0)+0</f>
        <v>0</v>
      </c>
      <c r="AIH67" s="20" t="n">
        <f aca="false">IF(ALU66&gt;0,APH66-APH66*UH67/ALU66,0)+0</f>
        <v>0</v>
      </c>
      <c r="AII67" s="20" t="n">
        <f aca="false">IF(ALV66&gt;0,API66-API66*UI67/ALV66,0)+0</f>
        <v>0</v>
      </c>
      <c r="AIJ67" s="20" t="n">
        <f aca="false">IF(ALW66&gt;0,APJ66-APJ66*UJ67/ALW66,0)+0</f>
        <v>0</v>
      </c>
      <c r="AIK67" s="20" t="n">
        <f aca="false">IF(ALX66&gt;0,APK66-APK66*UK67/ALX66,0)+0</f>
        <v>0</v>
      </c>
      <c r="AIL67" s="20" t="n">
        <f aca="false">IF(ALY66&gt;0,APL66-APL66*UL67/ALY66,0)+0</f>
        <v>0</v>
      </c>
      <c r="AIM67" s="20" t="n">
        <f aca="false">IF(ALZ66&gt;0,APM66-APM66*UM67/ALZ66,0)+0</f>
        <v>0</v>
      </c>
      <c r="AIN67" s="20" t="n">
        <f aca="false">IF(AMA66&gt;0,APN66-APN66*UN67/AMA66,0)+0</f>
        <v>0</v>
      </c>
      <c r="AIO67" s="20" t="n">
        <f aca="false">IF(AMB66&gt;0,APO66-APO66*UO67/AMB66,0)+0</f>
        <v>0</v>
      </c>
      <c r="AIP67" s="20" t="n">
        <f aca="false">IF(AMC66&gt;0,APP66-APP66*UP67/AMC66,0)+0</f>
        <v>0</v>
      </c>
      <c r="AIQ67" s="20" t="n">
        <f aca="false">IF(AMD66&gt;0,APQ66-APQ66*UQ67/AMD66,0)+0</f>
        <v>0</v>
      </c>
      <c r="AIR67" s="20" t="n">
        <f aca="false">IF(AME66&gt;0,APR66-APR66*UR67/AME66,0)+0</f>
        <v>0</v>
      </c>
      <c r="AIS67" s="20" t="n">
        <f aca="false">IF(AMF66&gt;0,APS66-APS66*US67/AMF66,0)+0</f>
        <v>0</v>
      </c>
      <c r="AIT67" s="20" t="n">
        <f aca="false">IF(AMG66&gt;0,APT66-APT66*UT67/AMG66,0)+0</f>
        <v>0</v>
      </c>
      <c r="AIU67" s="20" t="n">
        <f aca="false">IF(AMH66&gt;0,APU66-APU66*UU67/AMH66,0)+0</f>
        <v>0</v>
      </c>
      <c r="AIV67" s="20" t="n">
        <f aca="false">IF(AMI66&gt;0,APV66-APV66*UV67/AMI66,0)+0</f>
        <v>0</v>
      </c>
      <c r="AIW67" s="20" t="n">
        <f aca="false">IF(AMJ66&gt;0,APW66-APW66*UW67/AMJ66,0)+0</f>
        <v>0</v>
      </c>
      <c r="AIX67" s="20" t="n">
        <f aca="false">IF(AMK66&gt;0,APX66-APX66*UX67/AMK66,0)+0</f>
        <v>0</v>
      </c>
      <c r="AIY67" s="20" t="n">
        <f aca="false">IF(AML66&gt;0,APY66-APY66*UY67/AML66,0)+0</f>
        <v>0</v>
      </c>
      <c r="AIZ67" s="20" t="n">
        <f aca="false">IF(AMM66&gt;0,APZ66-APZ66*UZ67/AMM66,0)+0</f>
        <v>0</v>
      </c>
      <c r="AJA67" s="20" t="n">
        <f aca="false">IF(AMN66&gt;0,AQA66-AQA66*VA67/AMN66,0)+0</f>
        <v>0</v>
      </c>
      <c r="AJB67" s="20" t="n">
        <f aca="false">IF(AMO66&gt;0,AQB66-AQB66*VB67/AMO66,0)+0</f>
        <v>0</v>
      </c>
      <c r="AJC67" s="20" t="n">
        <f aca="false">IF(AMP66&gt;0,AQC66-AQC66*VC67/AMP66,0)+0</f>
        <v>0</v>
      </c>
      <c r="AJD67" s="20" t="n">
        <f aca="false">IF(AMQ66&gt;0,AQD66-AQD66*VD67/AMQ66,0)+0</f>
        <v>0</v>
      </c>
      <c r="AJE67" s="20" t="n">
        <f aca="false">IF(AMR66&gt;0,AQE66-AQE66*VE67/AMR66,0)+0</f>
        <v>0</v>
      </c>
      <c r="AJF67" s="20" t="n">
        <f aca="false">IF(AMS66&gt;0,AQF66-AQF66*VF67/AMS66,0)+0</f>
        <v>0</v>
      </c>
      <c r="AJG67" s="20" t="n">
        <f aca="false">IF(AMT66&gt;0,AQG66-AQG66*VG67/AMT66,0)+0</f>
        <v>0</v>
      </c>
      <c r="AJH67" s="20" t="n">
        <f aca="false">IF(AMU66&gt;0,AQH66-AQH66*VH67/AMU66,0)+0</f>
        <v>0</v>
      </c>
      <c r="AJI67" s="20" t="n">
        <f aca="false">IF(AMV66&gt;0,AQI66-AQI66*VI67/AMV66,0)+0</f>
        <v>0</v>
      </c>
      <c r="AJJ67" s="20" t="n">
        <f aca="false">IF(AMW66&gt;0,AQJ66-AQJ66*VJ67/AMW66,0)+0</f>
        <v>0</v>
      </c>
      <c r="AJK67" s="20" t="n">
        <f aca="false">IF(AMX66&gt;0,AQK66-AQK66*VK67/AMX66,0)+0</f>
        <v>0</v>
      </c>
      <c r="AJL67" s="20" t="n">
        <f aca="false">IF(AMY66&gt;0,AQL66-AQL66*VL67/AMY66,0)+0</f>
        <v>0</v>
      </c>
      <c r="AJM67" s="20" t="n">
        <f aca="false">IF((P67+S67)&gt;0,(P67+S67)-(P67+S67)*VM67/(P67+S67),0)+BE67</f>
        <v>0</v>
      </c>
      <c r="AJN67" s="20" t="n">
        <v>0</v>
      </c>
      <c r="AJO67" s="20" t="n">
        <v>0</v>
      </c>
      <c r="AJP67" s="20" t="n">
        <v>0</v>
      </c>
      <c r="AJQ67" s="20" t="n">
        <v>0</v>
      </c>
      <c r="AJR67" s="20" t="n">
        <v>0</v>
      </c>
      <c r="AJS67" s="20" t="n">
        <v>0</v>
      </c>
      <c r="AJT67" s="20" t="n">
        <v>0</v>
      </c>
      <c r="AJU67" s="20" t="n">
        <v>0</v>
      </c>
      <c r="AJV67" s="20" t="n">
        <v>0</v>
      </c>
      <c r="AJW67" s="20" t="n">
        <v>0</v>
      </c>
      <c r="AJX67" s="20" t="n">
        <v>0</v>
      </c>
      <c r="AJY67" s="20" t="n">
        <v>0</v>
      </c>
      <c r="AJZ67" s="20" t="n">
        <v>0</v>
      </c>
      <c r="AKA67" s="20" t="n">
        <v>0</v>
      </c>
      <c r="AKB67" s="20" t="n">
        <v>0</v>
      </c>
      <c r="AKC67" s="20" t="n">
        <v>0</v>
      </c>
      <c r="AKD67" s="20" t="n">
        <v>0</v>
      </c>
      <c r="AKE67" s="20" t="n">
        <v>0</v>
      </c>
      <c r="AKF67" s="20" t="n">
        <v>0</v>
      </c>
      <c r="AKG67" s="20" t="n">
        <v>0</v>
      </c>
      <c r="AKH67" s="20" t="n">
        <v>0</v>
      </c>
      <c r="AKI67" s="20" t="n">
        <v>0</v>
      </c>
      <c r="AKJ67" s="20" t="n">
        <v>0</v>
      </c>
      <c r="AKK67" s="20" t="n">
        <v>0</v>
      </c>
      <c r="AKL67" s="20" t="n">
        <v>0</v>
      </c>
      <c r="AKM67" s="20" t="n">
        <v>0</v>
      </c>
      <c r="AKN67" s="20" t="n">
        <v>0</v>
      </c>
      <c r="AKO67" s="20" t="n">
        <v>0</v>
      </c>
      <c r="AKP67" s="20" t="n">
        <v>0</v>
      </c>
      <c r="AKQ67" s="20" t="n">
        <v>0</v>
      </c>
      <c r="AKR67" s="20" t="n">
        <f aca="false">ADR67-AVE67</f>
        <v>0</v>
      </c>
      <c r="AKS67" s="20" t="n">
        <f aca="false">ADS67-AVF67</f>
        <v>0</v>
      </c>
      <c r="AKT67" s="20" t="n">
        <f aca="false">ADT67-AVG67</f>
        <v>0</v>
      </c>
      <c r="AKU67" s="20" t="n">
        <f aca="false">ADU67-AVH67</f>
        <v>0</v>
      </c>
      <c r="AKV67" s="20" t="n">
        <f aca="false">ADV67-AVI67</f>
        <v>0</v>
      </c>
      <c r="AKW67" s="20" t="n">
        <f aca="false">ADW67-AVJ67</f>
        <v>0</v>
      </c>
      <c r="AKX67" s="20" t="n">
        <f aca="false">ADX67-AVK67</f>
        <v>0</v>
      </c>
      <c r="AKY67" s="20" t="n">
        <f aca="false">ADY67-AVL67</f>
        <v>0</v>
      </c>
      <c r="AKZ67" s="20" t="n">
        <f aca="false">ADZ67-AVM67</f>
        <v>0</v>
      </c>
      <c r="ALA67" s="20" t="n">
        <f aca="false">AEA67-AVN67</f>
        <v>0</v>
      </c>
      <c r="ALB67" s="20" t="n">
        <f aca="false">AEB67-AVO67</f>
        <v>0</v>
      </c>
      <c r="ALC67" s="20" t="n">
        <f aca="false">AEC67-AVP67</f>
        <v>0</v>
      </c>
      <c r="ALD67" s="20" t="n">
        <f aca="false">AED67-AVQ67</f>
        <v>0</v>
      </c>
      <c r="ALE67" s="20" t="n">
        <f aca="false">AEE67-AVR67</f>
        <v>0</v>
      </c>
      <c r="ALF67" s="20" t="n">
        <f aca="false">AEF67-AVS67</f>
        <v>0</v>
      </c>
      <c r="ALG67" s="20" t="n">
        <f aca="false">AEG67-AVT67</f>
        <v>0</v>
      </c>
      <c r="ALH67" s="20" t="n">
        <f aca="false">AEH67-AVU67</f>
        <v>0</v>
      </c>
      <c r="ALI67" s="20" t="n">
        <f aca="false">AEI67-AVV67</f>
        <v>0</v>
      </c>
      <c r="ALJ67" s="20" t="n">
        <f aca="false">AEJ67-AVW67</f>
        <v>0</v>
      </c>
      <c r="ALK67" s="20" t="n">
        <f aca="false">AEK67-AVX67</f>
        <v>0</v>
      </c>
      <c r="ALL67" s="20" t="n">
        <f aca="false">AEL67-AVY67</f>
        <v>0</v>
      </c>
      <c r="ALM67" s="20" t="n">
        <f aca="false">AEM67-AVZ67</f>
        <v>0</v>
      </c>
      <c r="ALN67" s="20" t="n">
        <f aca="false">AEN67-AWA67</f>
        <v>0</v>
      </c>
      <c r="ALO67" s="20" t="n">
        <f aca="false">AEO67-AWB67</f>
        <v>0</v>
      </c>
      <c r="ALP67" s="20" t="n">
        <f aca="false">AEP67-AWC67</f>
        <v>0</v>
      </c>
      <c r="ALQ67" s="20" t="n">
        <f aca="false">AEQ67-AWD67</f>
        <v>0</v>
      </c>
      <c r="ALR67" s="20" t="n">
        <f aca="false">AER67-AWE67</f>
        <v>0</v>
      </c>
      <c r="ALS67" s="20" t="n">
        <f aca="false">AES67-AWF67</f>
        <v>0</v>
      </c>
      <c r="ALT67" s="20" t="n">
        <f aca="false">AET67-AWG67</f>
        <v>0</v>
      </c>
      <c r="ALU67" s="20" t="n">
        <f aca="false">AEU67-AWH67</f>
        <v>0</v>
      </c>
      <c r="ALV67" s="20" t="n">
        <f aca="false">AEV67-AWI67</f>
        <v>0</v>
      </c>
      <c r="ALW67" s="20" t="n">
        <f aca="false">AEW67-AWJ67</f>
        <v>0</v>
      </c>
      <c r="ALX67" s="20" t="n">
        <f aca="false">AEX67-AWK67</f>
        <v>0</v>
      </c>
      <c r="ALY67" s="20" t="n">
        <f aca="false">AEY67-AWL67</f>
        <v>0</v>
      </c>
      <c r="ALZ67" s="20" t="n">
        <f aca="false">AEZ67-AWM67</f>
        <v>0</v>
      </c>
      <c r="AMA67" s="20" t="n">
        <f aca="false">AFA67-AWN67</f>
        <v>0</v>
      </c>
      <c r="AMB67" s="20" t="n">
        <f aca="false">AFB67-AWO67</f>
        <v>0</v>
      </c>
      <c r="AMC67" s="20" t="n">
        <f aca="false">AFC67-AWP67</f>
        <v>0</v>
      </c>
      <c r="AMD67" s="20" t="n">
        <f aca="false">AFD67-AWQ67</f>
        <v>0</v>
      </c>
      <c r="AME67" s="20" t="n">
        <f aca="false">AFE67-AWR67</f>
        <v>0</v>
      </c>
      <c r="AMF67" s="20" t="n">
        <f aca="false">AFF67-AWS67</f>
        <v>0</v>
      </c>
      <c r="AMG67" s="20" t="n">
        <f aca="false">AFG67-AWT67</f>
        <v>0</v>
      </c>
      <c r="AMH67" s="20" t="n">
        <f aca="false">AFH67-AWU67</f>
        <v>0</v>
      </c>
      <c r="AMI67" s="20" t="n">
        <f aca="false">AFI67-AWV67</f>
        <v>0</v>
      </c>
      <c r="AMJ67" s="20" t="n">
        <f aca="false">AFJ67-AWW67</f>
        <v>0</v>
      </c>
      <c r="AMK67" s="20" t="n">
        <f aca="false">AFK67-AWX67</f>
        <v>0</v>
      </c>
      <c r="AML67" s="20" t="n">
        <f aca="false">AFL67-AWY67</f>
        <v>0</v>
      </c>
      <c r="AMM67" s="20" t="n">
        <f aca="false">AFM67-AWZ67</f>
        <v>0</v>
      </c>
      <c r="AMN67" s="20" t="n">
        <f aca="false">AFN67-AXA67</f>
        <v>0</v>
      </c>
      <c r="AMO67" s="20" t="n">
        <f aca="false">AFO67-AXB67</f>
        <v>0</v>
      </c>
      <c r="AMP67" s="20" t="n">
        <f aca="false">AFP67-AXC67</f>
        <v>0</v>
      </c>
      <c r="AMQ67" s="20" t="n">
        <f aca="false">AFQ67-AXD67</f>
        <v>0</v>
      </c>
      <c r="AMR67" s="20" t="n">
        <f aca="false">AFR67-AXE67</f>
        <v>0</v>
      </c>
      <c r="AMS67" s="20" t="n">
        <f aca="false">AFS67-AXF67</f>
        <v>0</v>
      </c>
      <c r="AMT67" s="20" t="n">
        <f aca="false">AFT67-AXG67</f>
        <v>0</v>
      </c>
      <c r="AMU67" s="20" t="n">
        <f aca="false">AFU67-AXH67</f>
        <v>0</v>
      </c>
      <c r="AMV67" s="20" t="n">
        <f aca="false">AFV67-AXI67</f>
        <v>0</v>
      </c>
      <c r="AMW67" s="20" t="n">
        <f aca="false">AFW67-AXJ67</f>
        <v>0</v>
      </c>
      <c r="AMX67" s="20" t="n">
        <f aca="false">AFX67-AXK67</f>
        <v>0</v>
      </c>
      <c r="AMY67" s="20" t="n">
        <f aca="false">AFY67-AXL67</f>
        <v>0</v>
      </c>
      <c r="AMZ67" s="20" t="n">
        <f aca="false">AFZ67-AXM67</f>
        <v>0</v>
      </c>
      <c r="ANA67" s="20" t="n">
        <v>0</v>
      </c>
      <c r="ANB67" s="20" t="n">
        <v>0</v>
      </c>
      <c r="ANC67" s="20" t="n">
        <v>0</v>
      </c>
      <c r="AND67" s="20" t="n">
        <v>0</v>
      </c>
      <c r="ANE67" s="20" t="n">
        <v>0</v>
      </c>
      <c r="ANF67" s="20" t="n">
        <v>0</v>
      </c>
      <c r="ANG67" s="20" t="n">
        <v>0</v>
      </c>
      <c r="ANH67" s="20" t="n">
        <v>0</v>
      </c>
      <c r="ANI67" s="20" t="n">
        <v>0</v>
      </c>
      <c r="ANJ67" s="20" t="n">
        <v>0</v>
      </c>
      <c r="ANK67" s="20" t="n">
        <v>0</v>
      </c>
      <c r="ANL67" s="20" t="n">
        <v>0</v>
      </c>
      <c r="ANM67" s="20" t="n">
        <v>0</v>
      </c>
      <c r="ANN67" s="20" t="n">
        <v>0</v>
      </c>
      <c r="ANO67" s="20" t="n">
        <v>0</v>
      </c>
      <c r="ANP67" s="20" t="n">
        <v>0</v>
      </c>
      <c r="ANQ67" s="20" t="n">
        <v>0</v>
      </c>
      <c r="ANR67" s="20" t="n">
        <v>0</v>
      </c>
      <c r="ANS67" s="20" t="n">
        <v>0</v>
      </c>
      <c r="ANT67" s="20" t="n">
        <v>0</v>
      </c>
      <c r="ANU67" s="20" t="n">
        <v>0</v>
      </c>
      <c r="ANV67" s="20" t="n">
        <v>0</v>
      </c>
      <c r="ANW67" s="20" t="n">
        <v>0</v>
      </c>
      <c r="ANX67" s="20" t="n">
        <v>0</v>
      </c>
      <c r="ANY67" s="20" t="n">
        <v>0</v>
      </c>
      <c r="ANZ67" s="20" t="n">
        <v>0</v>
      </c>
      <c r="AOA67" s="20" t="n">
        <v>0</v>
      </c>
      <c r="AOB67" s="20" t="n">
        <v>0</v>
      </c>
      <c r="AOC67" s="20" t="n">
        <v>0</v>
      </c>
      <c r="AOD67" s="20" t="n">
        <v>0</v>
      </c>
      <c r="AOE67" s="20" t="n">
        <f aca="false">IF(AND(H_Direct=0,H_TaxEvt=1,ARR66+1&gt;=H_Deemed),AKR67,AHE67)</f>
        <v>0</v>
      </c>
      <c r="AOF67" s="20" t="n">
        <f aca="false">IF(AND(H_Direct=0,H_TaxEvt=1,ARS66+1&gt;=H_Deemed),AKS67,AHF67)</f>
        <v>0</v>
      </c>
      <c r="AOG67" s="20" t="n">
        <f aca="false">IF(AND(H_Direct=0,H_TaxEvt=1,ART66+1&gt;=H_Deemed),AKT67,AHG67)</f>
        <v>0</v>
      </c>
      <c r="AOH67" s="20" t="n">
        <f aca="false">IF(AND(H_Direct=0,H_TaxEvt=1,ARU66+1&gt;=H_Deemed),AKU67,AHH67)</f>
        <v>0</v>
      </c>
      <c r="AOI67" s="20" t="n">
        <f aca="false">IF(AND(H_Direct=0,H_TaxEvt=1,ARV66+1&gt;=H_Deemed),AKV67,AHI67)</f>
        <v>0</v>
      </c>
      <c r="AOJ67" s="20" t="n">
        <f aca="false">IF(AND(H_Direct=0,H_TaxEvt=1,ARW66+1&gt;=H_Deemed),AKW67,AHJ67)</f>
        <v>0</v>
      </c>
      <c r="AOK67" s="20" t="n">
        <f aca="false">IF(AND(H_Direct=0,H_TaxEvt=1,ARX66+1&gt;=H_Deemed),AKX67,AHK67)</f>
        <v>0</v>
      </c>
      <c r="AOL67" s="20" t="n">
        <f aca="false">IF(AND(H_Direct=0,H_TaxEvt=1,ARY66+1&gt;=H_Deemed),AKY67,AHL67)</f>
        <v>0</v>
      </c>
      <c r="AOM67" s="20" t="n">
        <f aca="false">IF(AND(H_Direct=0,H_TaxEvt=1,ARZ66+1&gt;=H_Deemed),AKZ67,AHM67)</f>
        <v>0</v>
      </c>
      <c r="AON67" s="20" t="n">
        <f aca="false">IF(AND(H_Direct=0,H_TaxEvt=1,ASA66+1&gt;=H_Deemed),ALA67,AHN67)</f>
        <v>0</v>
      </c>
      <c r="AOO67" s="20" t="n">
        <f aca="false">IF(AND(H_Direct=0,H_TaxEvt=1,ASB66+1&gt;=H_Deemed),ALB67,AHO67)</f>
        <v>0</v>
      </c>
      <c r="AOP67" s="20" t="n">
        <f aca="false">IF(AND(H_Direct=0,H_TaxEvt=1,ASC66+1&gt;=H_Deemed),ALC67,AHP67)</f>
        <v>0</v>
      </c>
      <c r="AOQ67" s="20" t="n">
        <f aca="false">IF(AND(H_Direct=0,H_TaxEvt=1,ASD66+1&gt;=H_Deemed),ALD67,AHQ67)</f>
        <v>0</v>
      </c>
      <c r="AOR67" s="20" t="n">
        <f aca="false">IF(AND(H_Direct=0,H_TaxEvt=1,ASE66+1&gt;=H_Deemed),ALE67,AHR67)</f>
        <v>0</v>
      </c>
      <c r="AOS67" s="20" t="n">
        <f aca="false">IF(AND(H_Direct=0,H_TaxEvt=1,ASF66+1&gt;=H_Deemed),ALF67,AHS67)</f>
        <v>0</v>
      </c>
      <c r="AOT67" s="20" t="n">
        <f aca="false">IF(AND(H_Direct=0,H_TaxEvt=1,ASG66+1&gt;=H_Deemed),ALG67,AHT67)</f>
        <v>0</v>
      </c>
      <c r="AOU67" s="20" t="n">
        <f aca="false">IF(AND(H_Direct=0,H_TaxEvt=1,ASH66+1&gt;=H_Deemed),ALH67,AHU67)</f>
        <v>0</v>
      </c>
      <c r="AOV67" s="20" t="n">
        <f aca="false">IF(AND(H_Direct=0,H_TaxEvt=1,ASI66+1&gt;=H_Deemed),ALI67,AHV67)</f>
        <v>0</v>
      </c>
      <c r="AOW67" s="20" t="n">
        <f aca="false">IF(AND(H_Direct=0,H_TaxEvt=1,ASJ66+1&gt;=H_Deemed),ALJ67,AHW67)</f>
        <v>0</v>
      </c>
      <c r="AOX67" s="20" t="n">
        <f aca="false">IF(AND(H_Direct=0,H_TaxEvt=1,ASK66+1&gt;=H_Deemed),ALK67,AHX67)</f>
        <v>0</v>
      </c>
      <c r="AOY67" s="20" t="n">
        <f aca="false">IF(AND(H_Direct=0,H_TaxEvt=1,ASL66+1&gt;=H_Deemed),ALL67,AHY67)</f>
        <v>0</v>
      </c>
      <c r="AOZ67" s="20" t="n">
        <f aca="false">IF(AND(H_Direct=0,H_TaxEvt=1,ASM66+1&gt;=H_Deemed),ALM67,AHZ67)</f>
        <v>0</v>
      </c>
      <c r="APA67" s="20" t="n">
        <f aca="false">IF(AND(H_Direct=0,H_TaxEvt=1,ASN66+1&gt;=H_Deemed),ALN67,AIA67)</f>
        <v>0</v>
      </c>
      <c r="APB67" s="20" t="n">
        <f aca="false">IF(AND(H_Direct=0,H_TaxEvt=1,ASO66+1&gt;=H_Deemed),ALO67,AIB67)</f>
        <v>0</v>
      </c>
      <c r="APC67" s="20" t="n">
        <f aca="false">IF(AND(H_Direct=0,H_TaxEvt=1,ASP66+1&gt;=H_Deemed),ALP67,AIC67)</f>
        <v>0</v>
      </c>
      <c r="APD67" s="20" t="n">
        <f aca="false">IF(AND(H_Direct=0,H_TaxEvt=1,ASQ66+1&gt;=H_Deemed),ALQ67,AID67)</f>
        <v>0</v>
      </c>
      <c r="APE67" s="20" t="n">
        <f aca="false">IF(AND(H_Direct=0,H_TaxEvt=1,ASR66+1&gt;=H_Deemed),ALR67,AIE67)</f>
        <v>0</v>
      </c>
      <c r="APF67" s="20" t="n">
        <f aca="false">IF(AND(H_Direct=0,H_TaxEvt=1,ASS66+1&gt;=H_Deemed),ALS67,AIF67)</f>
        <v>0</v>
      </c>
      <c r="APG67" s="20" t="n">
        <f aca="false">IF(AND(H_Direct=0,H_TaxEvt=1,AST66+1&gt;=H_Deemed),ALT67,AIG67)</f>
        <v>0</v>
      </c>
      <c r="APH67" s="20" t="n">
        <f aca="false">IF(AND(H_Direct=0,H_TaxEvt=1,ASU66+1&gt;=H_Deemed),ALU67,AIH67)</f>
        <v>0</v>
      </c>
      <c r="API67" s="20" t="n">
        <f aca="false">IF(AND(H_Direct=0,H_TaxEvt=1,ASV66+1&gt;=H_Deemed),ALV67,AII67)</f>
        <v>0</v>
      </c>
      <c r="APJ67" s="20" t="n">
        <f aca="false">IF(AND(H_Direct=0,H_TaxEvt=1,ASW66+1&gt;=H_Deemed),ALW67,AIJ67)</f>
        <v>0</v>
      </c>
      <c r="APK67" s="20" t="n">
        <f aca="false">IF(AND(H_Direct=0,H_TaxEvt=1,ASX66+1&gt;=H_Deemed),ALX67,AIK67)</f>
        <v>0</v>
      </c>
      <c r="APL67" s="20" t="n">
        <f aca="false">IF(AND(H_Direct=0,H_TaxEvt=1,ASY66+1&gt;=H_Deemed),ALY67,AIL67)</f>
        <v>0</v>
      </c>
      <c r="APM67" s="20" t="n">
        <f aca="false">IF(AND(H_Direct=0,H_TaxEvt=1,ASZ66+1&gt;=H_Deemed),ALZ67,AIM67)</f>
        <v>0</v>
      </c>
      <c r="APN67" s="20" t="n">
        <f aca="false">IF(AND(H_Direct=0,H_TaxEvt=1,ATA66+1&gt;=H_Deemed),AMA67,AIN67)</f>
        <v>0</v>
      </c>
      <c r="APO67" s="20" t="n">
        <f aca="false">IF(AND(H_Direct=0,H_TaxEvt=1,ATB66+1&gt;=H_Deemed),AMB67,AIO67)</f>
        <v>0</v>
      </c>
      <c r="APP67" s="20" t="n">
        <f aca="false">IF(AND(H_Direct=0,H_TaxEvt=1,ATC66+1&gt;=H_Deemed),AMC67,AIP67)</f>
        <v>0</v>
      </c>
      <c r="APQ67" s="20" t="n">
        <f aca="false">IF(AND(H_Direct=0,H_TaxEvt=1,ATD66+1&gt;=H_Deemed),AMD67,AIQ67)</f>
        <v>0</v>
      </c>
      <c r="APR67" s="20" t="n">
        <f aca="false">IF(AND(H_Direct=0,H_TaxEvt=1,ATE66+1&gt;=H_Deemed),AME67,AIR67)</f>
        <v>0</v>
      </c>
      <c r="APS67" s="20" t="n">
        <f aca="false">IF(AND(H_Direct=0,H_TaxEvt=1,ATF66+1&gt;=H_Deemed),AMF67,AIS67)</f>
        <v>0</v>
      </c>
      <c r="APT67" s="20" t="n">
        <f aca="false">IF(AND(H_Direct=0,H_TaxEvt=1,ATG66+1&gt;=H_Deemed),AMG67,AIT67)</f>
        <v>0</v>
      </c>
      <c r="APU67" s="20" t="n">
        <f aca="false">IF(AND(H_Direct=0,H_TaxEvt=1,ATH66+1&gt;=H_Deemed),AMH67,AIU67)</f>
        <v>0</v>
      </c>
      <c r="APV67" s="20" t="n">
        <f aca="false">IF(AND(H_Direct=0,H_TaxEvt=1,ATI66+1&gt;=H_Deemed),AMI67,AIV67)</f>
        <v>0</v>
      </c>
      <c r="APW67" s="20" t="n">
        <f aca="false">IF(AND(H_Direct=0,H_TaxEvt=1,ATJ66+1&gt;=H_Deemed),AMJ67,AIW67)</f>
        <v>0</v>
      </c>
      <c r="APX67" s="20" t="n">
        <f aca="false">IF(AND(H_Direct=0,H_TaxEvt=1,ATK66+1&gt;=H_Deemed),AMK67,AIX67)</f>
        <v>0</v>
      </c>
      <c r="APY67" s="20" t="n">
        <f aca="false">IF(AND(H_Direct=0,H_TaxEvt=1,ATL66+1&gt;=H_Deemed),AML67,AIY67)</f>
        <v>0</v>
      </c>
      <c r="APZ67" s="20" t="n">
        <f aca="false">IF(AND(H_Direct=0,H_TaxEvt=1,ATM66+1&gt;=H_Deemed),AMM67,AIZ67)</f>
        <v>0</v>
      </c>
      <c r="AQA67" s="20" t="n">
        <f aca="false">IF(AND(H_Direct=0,H_TaxEvt=1,ATN66+1&gt;=H_Deemed),AMN67,AJA67)</f>
        <v>0</v>
      </c>
      <c r="AQB67" s="20" t="n">
        <f aca="false">IF(AND(H_Direct=0,H_TaxEvt=1,ATO66+1&gt;=H_Deemed),AMO67,AJB67)</f>
        <v>0</v>
      </c>
      <c r="AQC67" s="20" t="n">
        <f aca="false">IF(AND(H_Direct=0,H_TaxEvt=1,ATP66+1&gt;=H_Deemed),AMP67,AJC67)</f>
        <v>0</v>
      </c>
      <c r="AQD67" s="20" t="n">
        <f aca="false">IF(AND(H_Direct=0,H_TaxEvt=1,ATQ66+1&gt;=H_Deemed),AMQ67,AJD67)</f>
        <v>0</v>
      </c>
      <c r="AQE67" s="20" t="n">
        <f aca="false">IF(AND(H_Direct=0,H_TaxEvt=1,ATR66+1&gt;=H_Deemed),AMR67,AJE67)</f>
        <v>0</v>
      </c>
      <c r="AQF67" s="20" t="n">
        <f aca="false">IF(AND(H_Direct=0,H_TaxEvt=1,ATS66+1&gt;=H_Deemed),AMS67,AJF67)</f>
        <v>0</v>
      </c>
      <c r="AQG67" s="20" t="n">
        <f aca="false">IF(AND(H_Direct=0,H_TaxEvt=1,ATT66+1&gt;=H_Deemed),AMT67,AJG67)</f>
        <v>0</v>
      </c>
      <c r="AQH67" s="20" t="n">
        <f aca="false">IF(AND(H_Direct=0,H_TaxEvt=1,ATU66+1&gt;=H_Deemed),AMU67,AJH67)</f>
        <v>0</v>
      </c>
      <c r="AQI67" s="20" t="n">
        <f aca="false">IF(AND(H_Direct=0,H_TaxEvt=1,ATV66+1&gt;=H_Deemed),AMV67,AJI67)</f>
        <v>0</v>
      </c>
      <c r="AQJ67" s="20" t="n">
        <f aca="false">IF(AND(H_Direct=0,H_TaxEvt=1,ATW66+1&gt;=H_Deemed),AMW67,AJJ67)</f>
        <v>0</v>
      </c>
      <c r="AQK67" s="20" t="n">
        <f aca="false">IF(AND(H_Direct=0,H_TaxEvt=1,ATX66+1&gt;=H_Deemed),AMX67,AJK67)</f>
        <v>0</v>
      </c>
      <c r="AQL67" s="20" t="n">
        <f aca="false">IF(AND(H_Direct=0,H_TaxEvt=1,ATY66+1&gt;=H_Deemed),AMY67,AJL67)</f>
        <v>0</v>
      </c>
      <c r="AQM67" s="20" t="n">
        <f aca="false">IF(AND(H_Direct=0,H_TaxEvt=1,0+1&gt;=H_Deemed),AMZ67,AJM67)</f>
        <v>0</v>
      </c>
      <c r="AQN67" s="20" t="n">
        <v>0</v>
      </c>
      <c r="AQO67" s="20" t="n">
        <v>0</v>
      </c>
      <c r="AQP67" s="20" t="n">
        <v>0</v>
      </c>
      <c r="AQQ67" s="20" t="n">
        <v>0</v>
      </c>
      <c r="AQR67" s="20" t="n">
        <v>0</v>
      </c>
      <c r="AQS67" s="20" t="n">
        <v>0</v>
      </c>
      <c r="AQT67" s="20" t="n">
        <v>0</v>
      </c>
      <c r="AQU67" s="20" t="n">
        <v>0</v>
      </c>
      <c r="AQV67" s="20" t="n">
        <v>0</v>
      </c>
      <c r="AQW67" s="20" t="n">
        <v>0</v>
      </c>
      <c r="AQX67" s="20" t="n">
        <v>0</v>
      </c>
      <c r="AQY67" s="20" t="n">
        <v>0</v>
      </c>
      <c r="AQZ67" s="20" t="n">
        <v>0</v>
      </c>
      <c r="ARA67" s="20" t="n">
        <v>0</v>
      </c>
      <c r="ARB67" s="20" t="n">
        <v>0</v>
      </c>
      <c r="ARC67" s="20" t="n">
        <v>0</v>
      </c>
      <c r="ARD67" s="20" t="n">
        <v>0</v>
      </c>
      <c r="ARE67" s="20" t="n">
        <v>0</v>
      </c>
      <c r="ARF67" s="20" t="n">
        <v>0</v>
      </c>
      <c r="ARG67" s="20" t="n">
        <v>0</v>
      </c>
      <c r="ARH67" s="20" t="n">
        <v>0</v>
      </c>
      <c r="ARI67" s="20" t="n">
        <v>0</v>
      </c>
      <c r="ARJ67" s="20" t="n">
        <v>0</v>
      </c>
      <c r="ARK67" s="20" t="n">
        <v>0</v>
      </c>
      <c r="ARL67" s="20" t="n">
        <v>0</v>
      </c>
      <c r="ARM67" s="20" t="n">
        <v>0</v>
      </c>
      <c r="ARN67" s="20" t="n">
        <v>0</v>
      </c>
      <c r="ARO67" s="20" t="n">
        <v>0</v>
      </c>
      <c r="ARP67" s="20" t="n">
        <v>0</v>
      </c>
      <c r="ARQ67" s="20" t="n">
        <v>0</v>
      </c>
      <c r="ARR67" s="20" t="n">
        <f aca="false">IF(AND(H_Direct=0,H_TaxEvt=1),IF(ARR66+1&gt;=H_Deemed,0,ARR66+1),ARR66)</f>
        <v>4</v>
      </c>
      <c r="ARS67" s="20" t="n">
        <f aca="false">IF(AND(H_Direct=0,H_TaxEvt=1),IF(ARS66+1&gt;=H_Deemed,0,ARS66+1),ARS66)</f>
        <v>4</v>
      </c>
      <c r="ART67" s="20" t="n">
        <f aca="false">IF(AND(H_Direct=0,H_TaxEvt=1),IF(ART66+1&gt;=H_Deemed,0,ART66+1),ART66)</f>
        <v>3</v>
      </c>
      <c r="ARU67" s="20" t="n">
        <f aca="false">IF(AND(H_Direct=0,H_TaxEvt=1),IF(ARU66+1&gt;=H_Deemed,0,ARU66+1),ARU66)</f>
        <v>2</v>
      </c>
      <c r="ARV67" s="20" t="n">
        <f aca="false">IF(AND(H_Direct=0,H_TaxEvt=1),IF(ARV66+1&gt;=H_Deemed,0,ARV66+1),ARV66)</f>
        <v>1</v>
      </c>
      <c r="ARW67" s="20" t="n">
        <f aca="false">IF(AND(H_Direct=0,H_TaxEvt=1),IF(ARW66+1&gt;=H_Deemed,0,ARW66+1),ARW66)</f>
        <v>0</v>
      </c>
      <c r="ARX67" s="20" t="n">
        <f aca="false">IF(AND(H_Direct=0,H_TaxEvt=1),IF(ARX66+1&gt;=H_Deemed,0,ARX66+1),ARX66)</f>
        <v>7</v>
      </c>
      <c r="ARY67" s="20" t="n">
        <f aca="false">IF(AND(H_Direct=0,H_TaxEvt=1),IF(ARY66+1&gt;=H_Deemed,0,ARY66+1),ARY66)</f>
        <v>6</v>
      </c>
      <c r="ARZ67" s="20" t="n">
        <f aca="false">IF(AND(H_Direct=0,H_TaxEvt=1),IF(ARZ66+1&gt;=H_Deemed,0,ARZ66+1),ARZ66)</f>
        <v>5</v>
      </c>
      <c r="ASA67" s="20" t="n">
        <f aca="false">IF(AND(H_Direct=0,H_TaxEvt=1),IF(ASA66+1&gt;=H_Deemed,0,ASA66+1),ASA66)</f>
        <v>4</v>
      </c>
      <c r="ASB67" s="20" t="n">
        <f aca="false">IF(AND(H_Direct=0,H_TaxEvt=1),IF(ASB66+1&gt;=H_Deemed,0,ASB66+1),ASB66)</f>
        <v>3</v>
      </c>
      <c r="ASC67" s="20" t="n">
        <f aca="false">IF(AND(H_Direct=0,H_TaxEvt=1),IF(ASC66+1&gt;=H_Deemed,0,ASC66+1),ASC66)</f>
        <v>2</v>
      </c>
      <c r="ASD67" s="20" t="n">
        <f aca="false">IF(AND(H_Direct=0,H_TaxEvt=1),IF(ASD66+1&gt;=H_Deemed,0,ASD66+1),ASD66)</f>
        <v>1</v>
      </c>
      <c r="ASE67" s="20" t="n">
        <f aca="false">IF(AND(H_Direct=0,H_TaxEvt=1),IF(ASE66+1&gt;=H_Deemed,0,ASE66+1),ASE66)</f>
        <v>0</v>
      </c>
      <c r="ASF67" s="20" t="n">
        <f aca="false">IF(AND(H_Direct=0,H_TaxEvt=1),IF(ASF66+1&gt;=H_Deemed,0,ASF66+1),ASF66)</f>
        <v>7</v>
      </c>
      <c r="ASG67" s="20" t="n">
        <f aca="false">IF(AND(H_Direct=0,H_TaxEvt=1),IF(ASG66+1&gt;=H_Deemed,0,ASG66+1),ASG66)</f>
        <v>6</v>
      </c>
      <c r="ASH67" s="20" t="n">
        <f aca="false">IF(AND(H_Direct=0,H_TaxEvt=1),IF(ASH66+1&gt;=H_Deemed,0,ASH66+1),ASH66)</f>
        <v>5</v>
      </c>
      <c r="ASI67" s="20" t="n">
        <f aca="false">IF(AND(H_Direct=0,H_TaxEvt=1),IF(ASI66+1&gt;=H_Deemed,0,ASI66+1),ASI66)</f>
        <v>4</v>
      </c>
      <c r="ASJ67" s="20" t="n">
        <f aca="false">IF(AND(H_Direct=0,H_TaxEvt=1),IF(ASJ66+1&gt;=H_Deemed,0,ASJ66+1),ASJ66)</f>
        <v>3</v>
      </c>
      <c r="ASK67" s="20" t="n">
        <f aca="false">IF(AND(H_Direct=0,H_TaxEvt=1),IF(ASK66+1&gt;=H_Deemed,0,ASK66+1),ASK66)</f>
        <v>2</v>
      </c>
      <c r="ASL67" s="20" t="n">
        <f aca="false">IF(AND(H_Direct=0,H_TaxEvt=1),IF(ASL66+1&gt;=H_Deemed,0,ASL66+1),ASL66)</f>
        <v>1</v>
      </c>
      <c r="ASM67" s="20" t="n">
        <f aca="false">IF(AND(H_Direct=0,H_TaxEvt=1),IF(ASM66+1&gt;=H_Deemed,0,ASM66+1),ASM66)</f>
        <v>0</v>
      </c>
      <c r="ASN67" s="20" t="n">
        <f aca="false">IF(AND(H_Direct=0,H_TaxEvt=1),IF(ASN66+1&gt;=H_Deemed,0,ASN66+1),ASN66)</f>
        <v>7</v>
      </c>
      <c r="ASO67" s="20" t="n">
        <f aca="false">IF(AND(H_Direct=0,H_TaxEvt=1),IF(ASO66+1&gt;=H_Deemed,0,ASO66+1),ASO66)</f>
        <v>6</v>
      </c>
      <c r="ASP67" s="20" t="n">
        <f aca="false">IF(AND(H_Direct=0,H_TaxEvt=1),IF(ASP66+1&gt;=H_Deemed,0,ASP66+1),ASP66)</f>
        <v>5</v>
      </c>
      <c r="ASQ67" s="20" t="n">
        <f aca="false">IF(AND(H_Direct=0,H_TaxEvt=1),IF(ASQ66+1&gt;=H_Deemed,0,ASQ66+1),ASQ66)</f>
        <v>4</v>
      </c>
      <c r="ASR67" s="20" t="n">
        <f aca="false">IF(AND(H_Direct=0,H_TaxEvt=1),IF(ASR66+1&gt;=H_Deemed,0,ASR66+1),ASR66)</f>
        <v>3</v>
      </c>
      <c r="ASS67" s="20" t="n">
        <f aca="false">IF(AND(H_Direct=0,H_TaxEvt=1),IF(ASS66+1&gt;=H_Deemed,0,ASS66+1),ASS66)</f>
        <v>2</v>
      </c>
      <c r="AST67" s="20" t="n">
        <f aca="false">IF(AND(H_Direct=0,H_TaxEvt=1),IF(AST66+1&gt;=H_Deemed,0,AST66+1),AST66)</f>
        <v>1</v>
      </c>
      <c r="ASU67" s="20" t="n">
        <f aca="false">IF(AND(H_Direct=0,H_TaxEvt=1),IF(ASU66+1&gt;=H_Deemed,0,ASU66+1),ASU66)</f>
        <v>0</v>
      </c>
      <c r="ASV67" s="20" t="n">
        <f aca="false">IF(AND(H_Direct=0,H_TaxEvt=1),IF(ASV66+1&gt;=H_Deemed,0,ASV66+1),ASV66)</f>
        <v>7</v>
      </c>
      <c r="ASW67" s="20" t="n">
        <f aca="false">IF(AND(H_Direct=0,H_TaxEvt=1),IF(ASW66+1&gt;=H_Deemed,0,ASW66+1),ASW66)</f>
        <v>6</v>
      </c>
      <c r="ASX67" s="20" t="n">
        <f aca="false">IF(AND(H_Direct=0,H_TaxEvt=1),IF(ASX66+1&gt;=H_Deemed,0,ASX66+1),ASX66)</f>
        <v>5</v>
      </c>
      <c r="ASY67" s="20" t="n">
        <f aca="false">IF(AND(H_Direct=0,H_TaxEvt=1),IF(ASY66+1&gt;=H_Deemed,0,ASY66+1),ASY66)</f>
        <v>4</v>
      </c>
      <c r="ASZ67" s="20" t="n">
        <f aca="false">IF(AND(H_Direct=0,H_TaxEvt=1),IF(ASZ66+1&gt;=H_Deemed,0,ASZ66+1),ASZ66)</f>
        <v>3</v>
      </c>
      <c r="ATA67" s="20" t="n">
        <f aca="false">IF(AND(H_Direct=0,H_TaxEvt=1),IF(ATA66+1&gt;=H_Deemed,0,ATA66+1),ATA66)</f>
        <v>2</v>
      </c>
      <c r="ATB67" s="20" t="n">
        <f aca="false">IF(AND(H_Direct=0,H_TaxEvt=1),IF(ATB66+1&gt;=H_Deemed,0,ATB66+1),ATB66)</f>
        <v>1</v>
      </c>
      <c r="ATC67" s="20" t="n">
        <f aca="false">IF(AND(H_Direct=0,H_TaxEvt=1),IF(ATC66+1&gt;=H_Deemed,0,ATC66+1),ATC66)</f>
        <v>0</v>
      </c>
      <c r="ATD67" s="20" t="n">
        <f aca="false">IF(AND(H_Direct=0,H_TaxEvt=1),IF(ATD66+1&gt;=H_Deemed,0,ATD66+1),ATD66)</f>
        <v>7</v>
      </c>
      <c r="ATE67" s="20" t="n">
        <f aca="false">IF(AND(H_Direct=0,H_TaxEvt=1),IF(ATE66+1&gt;=H_Deemed,0,ATE66+1),ATE66)</f>
        <v>6</v>
      </c>
      <c r="ATF67" s="20" t="n">
        <f aca="false">IF(AND(H_Direct=0,H_TaxEvt=1),IF(ATF66+1&gt;=H_Deemed,0,ATF66+1),ATF66)</f>
        <v>5</v>
      </c>
      <c r="ATG67" s="20" t="n">
        <f aca="false">IF(AND(H_Direct=0,H_TaxEvt=1),IF(ATG66+1&gt;=H_Deemed,0,ATG66+1),ATG66)</f>
        <v>4</v>
      </c>
      <c r="ATH67" s="20" t="n">
        <f aca="false">IF(AND(H_Direct=0,H_TaxEvt=1),IF(ATH66+1&gt;=H_Deemed,0,ATH66+1),ATH66)</f>
        <v>3</v>
      </c>
      <c r="ATI67" s="20" t="n">
        <f aca="false">IF(AND(H_Direct=0,H_TaxEvt=1),IF(ATI66+1&gt;=H_Deemed,0,ATI66+1),ATI66)</f>
        <v>2</v>
      </c>
      <c r="ATJ67" s="20" t="n">
        <f aca="false">IF(AND(H_Direct=0,H_TaxEvt=1),IF(ATJ66+1&gt;=H_Deemed,0,ATJ66+1),ATJ66)</f>
        <v>1</v>
      </c>
      <c r="ATK67" s="20" t="n">
        <f aca="false">IF(AND(H_Direct=0,H_TaxEvt=1),IF(ATK66+1&gt;=H_Deemed,0,ATK66+1),ATK66)</f>
        <v>0</v>
      </c>
      <c r="ATL67" s="20" t="n">
        <f aca="false">IF(AND(H_Direct=0,H_TaxEvt=1),IF(ATL66+1&gt;=H_Deemed,0,ATL66+1),ATL66)</f>
        <v>7</v>
      </c>
      <c r="ATM67" s="20" t="n">
        <f aca="false">IF(AND(H_Direct=0,H_TaxEvt=1),IF(ATM66+1&gt;=H_Deemed,0,ATM66+1),ATM66)</f>
        <v>6</v>
      </c>
      <c r="ATN67" s="20" t="n">
        <f aca="false">IF(AND(H_Direct=0,H_TaxEvt=1),IF(ATN66+1&gt;=H_Deemed,0,ATN66+1),ATN66)</f>
        <v>5</v>
      </c>
      <c r="ATO67" s="20" t="n">
        <f aca="false">IF(AND(H_Direct=0,H_TaxEvt=1),IF(ATO66+1&gt;=H_Deemed,0,ATO66+1),ATO66)</f>
        <v>4</v>
      </c>
      <c r="ATP67" s="20" t="n">
        <f aca="false">IF(AND(H_Direct=0,H_TaxEvt=1),IF(ATP66+1&gt;=H_Deemed,0,ATP66+1),ATP66)</f>
        <v>3</v>
      </c>
      <c r="ATQ67" s="20" t="n">
        <f aca="false">IF(AND(H_Direct=0,H_TaxEvt=1),IF(ATQ66+1&gt;=H_Deemed,0,ATQ66+1),ATQ66)</f>
        <v>2</v>
      </c>
      <c r="ATR67" s="20" t="n">
        <f aca="false">IF(AND(H_Direct=0,H_TaxEvt=1),IF(ATR66+1&gt;=H_Deemed,0,ATR66+1),ATR66)</f>
        <v>1</v>
      </c>
      <c r="ATS67" s="20" t="n">
        <f aca="false">IF(AND(H_Direct=0,H_TaxEvt=1),IF(ATS66+1&gt;=H_Deemed,0,ATS66+1),ATS66)</f>
        <v>0</v>
      </c>
      <c r="ATT67" s="20" t="n">
        <f aca="false">IF(AND(H_Direct=0,H_TaxEvt=1),IF(ATT66+1&gt;=H_Deemed,0,ATT66+1),ATT66)</f>
        <v>7</v>
      </c>
      <c r="ATU67" s="20" t="n">
        <f aca="false">IF(AND(H_Direct=0,H_TaxEvt=1),IF(ATU66+1&gt;=H_Deemed,0,ATU66+1),ATU66)</f>
        <v>6</v>
      </c>
      <c r="ATV67" s="20" t="n">
        <f aca="false">IF(AND(H_Direct=0,H_TaxEvt=1),IF(ATV66+1&gt;=H_Deemed,0,ATV66+1),ATV66)</f>
        <v>5</v>
      </c>
      <c r="ATW67" s="20" t="n">
        <f aca="false">IF(AND(H_Direct=0,H_TaxEvt=1),IF(ATW66+1&gt;=H_Deemed,0,ATW66+1),ATW66)</f>
        <v>4</v>
      </c>
      <c r="ATX67" s="20" t="n">
        <f aca="false">IF(AND(H_Direct=0,H_TaxEvt=1),IF(ATX66+1&gt;=H_Deemed,0,ATX66+1),ATX66)</f>
        <v>3</v>
      </c>
      <c r="ATY67" s="20" t="n">
        <f aca="false">IF(AND(H_Direct=0,H_TaxEvt=1),IF(ATY66+1&gt;=H_Deemed,0,ATY66+1),ATY66)</f>
        <v>2</v>
      </c>
      <c r="ATZ67" s="20" t="n">
        <f aca="false">IF(AND(H_Direct=0,H_TaxEvt=1),IF(0+1&gt;=H_Deemed,0,0+1),0)</f>
        <v>1</v>
      </c>
      <c r="AUA67" s="20" t="n">
        <v>0</v>
      </c>
      <c r="AUB67" s="20" t="n">
        <v>0</v>
      </c>
      <c r="AUC67" s="20" t="n">
        <v>0</v>
      </c>
      <c r="AUD67" s="20" t="n">
        <v>0</v>
      </c>
      <c r="AUE67" s="20" t="n">
        <v>0</v>
      </c>
      <c r="AUF67" s="20" t="n">
        <v>0</v>
      </c>
      <c r="AUG67" s="20" t="n">
        <v>0</v>
      </c>
      <c r="AUH67" s="20" t="n">
        <v>0</v>
      </c>
      <c r="AUI67" s="20" t="n">
        <v>0</v>
      </c>
      <c r="AUJ67" s="20" t="n">
        <v>0</v>
      </c>
      <c r="AUK67" s="20" t="n">
        <v>0</v>
      </c>
      <c r="AUL67" s="20" t="n">
        <v>0</v>
      </c>
      <c r="AUM67" s="20" t="n">
        <v>0</v>
      </c>
      <c r="AUN67" s="20" t="n">
        <v>0</v>
      </c>
      <c r="AUO67" s="20" t="n">
        <v>0</v>
      </c>
      <c r="AUP67" s="20" t="n">
        <v>0</v>
      </c>
      <c r="AUQ67" s="20" t="n">
        <v>0</v>
      </c>
      <c r="AUR67" s="20" t="n">
        <v>0</v>
      </c>
      <c r="AUS67" s="20" t="n">
        <v>0</v>
      </c>
      <c r="AUT67" s="20" t="n">
        <v>0</v>
      </c>
      <c r="AUU67" s="20" t="n">
        <v>0</v>
      </c>
      <c r="AUV67" s="20" t="n">
        <v>0</v>
      </c>
      <c r="AUW67" s="20" t="n">
        <v>0</v>
      </c>
      <c r="AUX67" s="20" t="n">
        <v>0</v>
      </c>
      <c r="AUY67" s="20" t="n">
        <v>0</v>
      </c>
      <c r="AUZ67" s="20" t="n">
        <v>0</v>
      </c>
      <c r="AVA67" s="20" t="n">
        <v>0</v>
      </c>
      <c r="AVB67" s="20" t="n">
        <v>0</v>
      </c>
      <c r="AVC67" s="20" t="n">
        <v>0</v>
      </c>
      <c r="AVD67" s="20" t="n">
        <v>0</v>
      </c>
      <c r="AVE67" s="20" t="n">
        <f aca="false">IF(AND(H_Direct=0,H_TaxEvt=1,ARR66+1&gt;=H_Deemed),MAX(0,ADR67-AHE67)*H_Exit,0)</f>
        <v>0</v>
      </c>
      <c r="AVF67" s="20" t="n">
        <f aca="false">IF(AND(H_Direct=0,H_TaxEvt=1,ARS66+1&gt;=H_Deemed),MAX(0,ADS67-AHF67)*H_Exit,0)</f>
        <v>0</v>
      </c>
      <c r="AVG67" s="20" t="n">
        <f aca="false">IF(AND(H_Direct=0,H_TaxEvt=1,ART66+1&gt;=H_Deemed),MAX(0,ADT67-AHG67)*H_Exit,0)</f>
        <v>0</v>
      </c>
      <c r="AVH67" s="20" t="n">
        <f aca="false">IF(AND(H_Direct=0,H_TaxEvt=1,ARU66+1&gt;=H_Deemed),MAX(0,ADU67-AHH67)*H_Exit,0)</f>
        <v>0</v>
      </c>
      <c r="AVI67" s="20" t="n">
        <f aca="false">IF(AND(H_Direct=0,H_TaxEvt=1,ARV66+1&gt;=H_Deemed),MAX(0,ADV67-AHI67)*H_Exit,0)</f>
        <v>0</v>
      </c>
      <c r="AVJ67" s="20" t="n">
        <f aca="false">IF(AND(H_Direct=0,H_TaxEvt=1,ARW66+1&gt;=H_Deemed),MAX(0,ADW67-AHJ67)*H_Exit,0)</f>
        <v>0</v>
      </c>
      <c r="AVK67" s="20" t="n">
        <f aca="false">IF(AND(H_Direct=0,H_TaxEvt=1,ARX66+1&gt;=H_Deemed),MAX(0,ADX67-AHK67)*H_Exit,0)</f>
        <v>0</v>
      </c>
      <c r="AVL67" s="20" t="n">
        <f aca="false">IF(AND(H_Direct=0,H_TaxEvt=1,ARY66+1&gt;=H_Deemed),MAX(0,ADY67-AHL67)*H_Exit,0)</f>
        <v>0</v>
      </c>
      <c r="AVM67" s="20" t="n">
        <f aca="false">IF(AND(H_Direct=0,H_TaxEvt=1,ARZ66+1&gt;=H_Deemed),MAX(0,ADZ67-AHM67)*H_Exit,0)</f>
        <v>0</v>
      </c>
      <c r="AVN67" s="20" t="n">
        <f aca="false">IF(AND(H_Direct=0,H_TaxEvt=1,ASA66+1&gt;=H_Deemed),MAX(0,AEA67-AHN67)*H_Exit,0)</f>
        <v>0</v>
      </c>
      <c r="AVO67" s="20" t="n">
        <f aca="false">IF(AND(H_Direct=0,H_TaxEvt=1,ASB66+1&gt;=H_Deemed),MAX(0,AEB67-AHO67)*H_Exit,0)</f>
        <v>0</v>
      </c>
      <c r="AVP67" s="20" t="n">
        <f aca="false">IF(AND(H_Direct=0,H_TaxEvt=1,ASC66+1&gt;=H_Deemed),MAX(0,AEC67-AHP67)*H_Exit,0)</f>
        <v>0</v>
      </c>
      <c r="AVQ67" s="20" t="n">
        <f aca="false">IF(AND(H_Direct=0,H_TaxEvt=1,ASD66+1&gt;=H_Deemed),MAX(0,AED67-AHQ67)*H_Exit,0)</f>
        <v>0</v>
      </c>
      <c r="AVR67" s="20" t="n">
        <f aca="false">IF(AND(H_Direct=0,H_TaxEvt=1,ASE66+1&gt;=H_Deemed),MAX(0,AEE67-AHR67)*H_Exit,0)</f>
        <v>0</v>
      </c>
      <c r="AVS67" s="20" t="n">
        <f aca="false">IF(AND(H_Direct=0,H_TaxEvt=1,ASF66+1&gt;=H_Deemed),MAX(0,AEF67-AHS67)*H_Exit,0)</f>
        <v>0</v>
      </c>
      <c r="AVT67" s="20" t="n">
        <f aca="false">IF(AND(H_Direct=0,H_TaxEvt=1,ASG66+1&gt;=H_Deemed),MAX(0,AEG67-AHT67)*H_Exit,0)</f>
        <v>0</v>
      </c>
      <c r="AVU67" s="20" t="n">
        <f aca="false">IF(AND(H_Direct=0,H_TaxEvt=1,ASH66+1&gt;=H_Deemed),MAX(0,AEH67-AHU67)*H_Exit,0)</f>
        <v>0</v>
      </c>
      <c r="AVV67" s="20" t="n">
        <f aca="false">IF(AND(H_Direct=0,H_TaxEvt=1,ASI66+1&gt;=H_Deemed),MAX(0,AEI67-AHV67)*H_Exit,0)</f>
        <v>0</v>
      </c>
      <c r="AVW67" s="20" t="n">
        <f aca="false">IF(AND(H_Direct=0,H_TaxEvt=1,ASJ66+1&gt;=H_Deemed),MAX(0,AEJ67-AHW67)*H_Exit,0)</f>
        <v>0</v>
      </c>
      <c r="AVX67" s="20" t="n">
        <f aca="false">IF(AND(H_Direct=0,H_TaxEvt=1,ASK66+1&gt;=H_Deemed),MAX(0,AEK67-AHX67)*H_Exit,0)</f>
        <v>0</v>
      </c>
      <c r="AVY67" s="20" t="n">
        <f aca="false">IF(AND(H_Direct=0,H_TaxEvt=1,ASL66+1&gt;=H_Deemed),MAX(0,AEL67-AHY67)*H_Exit,0)</f>
        <v>0</v>
      </c>
      <c r="AVZ67" s="20" t="n">
        <f aca="false">IF(AND(H_Direct=0,H_TaxEvt=1,ASM66+1&gt;=H_Deemed),MAX(0,AEM67-AHZ67)*H_Exit,0)</f>
        <v>0</v>
      </c>
      <c r="AWA67" s="20" t="n">
        <f aca="false">IF(AND(H_Direct=0,H_TaxEvt=1,ASN66+1&gt;=H_Deemed),MAX(0,AEN67-AIA67)*H_Exit,0)</f>
        <v>0</v>
      </c>
      <c r="AWB67" s="20" t="n">
        <f aca="false">IF(AND(H_Direct=0,H_TaxEvt=1,ASO66+1&gt;=H_Deemed),MAX(0,AEO67-AIB67)*H_Exit,0)</f>
        <v>0</v>
      </c>
      <c r="AWC67" s="20" t="n">
        <f aca="false">IF(AND(H_Direct=0,H_TaxEvt=1,ASP66+1&gt;=H_Deemed),MAX(0,AEP67-AIC67)*H_Exit,0)</f>
        <v>0</v>
      </c>
      <c r="AWD67" s="20" t="n">
        <f aca="false">IF(AND(H_Direct=0,H_TaxEvt=1,ASQ66+1&gt;=H_Deemed),MAX(0,AEQ67-AID67)*H_Exit,0)</f>
        <v>0</v>
      </c>
      <c r="AWE67" s="20" t="n">
        <f aca="false">IF(AND(H_Direct=0,H_TaxEvt=1,ASR66+1&gt;=H_Deemed),MAX(0,AER67-AIE67)*H_Exit,0)</f>
        <v>0</v>
      </c>
      <c r="AWF67" s="20" t="n">
        <f aca="false">IF(AND(H_Direct=0,H_TaxEvt=1,ASS66+1&gt;=H_Deemed),MAX(0,AES67-AIF67)*H_Exit,0)</f>
        <v>0</v>
      </c>
      <c r="AWG67" s="20" t="n">
        <f aca="false">IF(AND(H_Direct=0,H_TaxEvt=1,AST66+1&gt;=H_Deemed),MAX(0,AET67-AIG67)*H_Exit,0)</f>
        <v>0</v>
      </c>
      <c r="AWH67" s="20" t="n">
        <f aca="false">IF(AND(H_Direct=0,H_TaxEvt=1,ASU66+1&gt;=H_Deemed),MAX(0,AEU67-AIH67)*H_Exit,0)</f>
        <v>0</v>
      </c>
      <c r="AWI67" s="20" t="n">
        <f aca="false">IF(AND(H_Direct=0,H_TaxEvt=1,ASV66+1&gt;=H_Deemed),MAX(0,AEV67-AII67)*H_Exit,0)</f>
        <v>0</v>
      </c>
      <c r="AWJ67" s="20" t="n">
        <f aca="false">IF(AND(H_Direct=0,H_TaxEvt=1,ASW66+1&gt;=H_Deemed),MAX(0,AEW67-AIJ67)*H_Exit,0)</f>
        <v>0</v>
      </c>
      <c r="AWK67" s="20" t="n">
        <f aca="false">IF(AND(H_Direct=0,H_TaxEvt=1,ASX66+1&gt;=H_Deemed),MAX(0,AEX67-AIK67)*H_Exit,0)</f>
        <v>0</v>
      </c>
      <c r="AWL67" s="20" t="n">
        <f aca="false">IF(AND(H_Direct=0,H_TaxEvt=1,ASY66+1&gt;=H_Deemed),MAX(0,AEY67-AIL67)*H_Exit,0)</f>
        <v>0</v>
      </c>
      <c r="AWM67" s="20" t="n">
        <f aca="false">IF(AND(H_Direct=0,H_TaxEvt=1,ASZ66+1&gt;=H_Deemed),MAX(0,AEZ67-AIM67)*H_Exit,0)</f>
        <v>0</v>
      </c>
      <c r="AWN67" s="20" t="n">
        <f aca="false">IF(AND(H_Direct=0,H_TaxEvt=1,ATA66+1&gt;=H_Deemed),MAX(0,AFA67-AIN67)*H_Exit,0)</f>
        <v>0</v>
      </c>
      <c r="AWO67" s="20" t="n">
        <f aca="false">IF(AND(H_Direct=0,H_TaxEvt=1,ATB66+1&gt;=H_Deemed),MAX(0,AFB67-AIO67)*H_Exit,0)</f>
        <v>0</v>
      </c>
      <c r="AWP67" s="20" t="n">
        <f aca="false">IF(AND(H_Direct=0,H_TaxEvt=1,ATC66+1&gt;=H_Deemed),MAX(0,AFC67-AIP67)*H_Exit,0)</f>
        <v>0</v>
      </c>
      <c r="AWQ67" s="20" t="n">
        <f aca="false">IF(AND(H_Direct=0,H_TaxEvt=1,ATD66+1&gt;=H_Deemed),MAX(0,AFD67-AIQ67)*H_Exit,0)</f>
        <v>0</v>
      </c>
      <c r="AWR67" s="20" t="n">
        <f aca="false">IF(AND(H_Direct=0,H_TaxEvt=1,ATE66+1&gt;=H_Deemed),MAX(0,AFE67-AIR67)*H_Exit,0)</f>
        <v>0</v>
      </c>
      <c r="AWS67" s="20" t="n">
        <f aca="false">IF(AND(H_Direct=0,H_TaxEvt=1,ATF66+1&gt;=H_Deemed),MAX(0,AFF67-AIS67)*H_Exit,0)</f>
        <v>0</v>
      </c>
      <c r="AWT67" s="20" t="n">
        <f aca="false">IF(AND(H_Direct=0,H_TaxEvt=1,ATG66+1&gt;=H_Deemed),MAX(0,AFG67-AIT67)*H_Exit,0)</f>
        <v>0</v>
      </c>
      <c r="AWU67" s="20" t="n">
        <f aca="false">IF(AND(H_Direct=0,H_TaxEvt=1,ATH66+1&gt;=H_Deemed),MAX(0,AFH67-AIU67)*H_Exit,0)</f>
        <v>0</v>
      </c>
      <c r="AWV67" s="20" t="n">
        <f aca="false">IF(AND(H_Direct=0,H_TaxEvt=1,ATI66+1&gt;=H_Deemed),MAX(0,AFI67-AIV67)*H_Exit,0)</f>
        <v>0</v>
      </c>
      <c r="AWW67" s="20" t="n">
        <f aca="false">IF(AND(H_Direct=0,H_TaxEvt=1,ATJ66+1&gt;=H_Deemed),MAX(0,AFJ67-AIW67)*H_Exit,0)</f>
        <v>0</v>
      </c>
      <c r="AWX67" s="20" t="n">
        <f aca="false">IF(AND(H_Direct=0,H_TaxEvt=1,ATK66+1&gt;=H_Deemed),MAX(0,AFK67-AIX67)*H_Exit,0)</f>
        <v>0</v>
      </c>
      <c r="AWY67" s="20" t="n">
        <f aca="false">IF(AND(H_Direct=0,H_TaxEvt=1,ATL66+1&gt;=H_Deemed),MAX(0,AFL67-AIY67)*H_Exit,0)</f>
        <v>0</v>
      </c>
      <c r="AWZ67" s="20" t="n">
        <f aca="false">IF(AND(H_Direct=0,H_TaxEvt=1,ATM66+1&gt;=H_Deemed),MAX(0,AFM67-AIZ67)*H_Exit,0)</f>
        <v>0</v>
      </c>
      <c r="AXA67" s="20" t="n">
        <f aca="false">IF(AND(H_Direct=0,H_TaxEvt=1,ATN66+1&gt;=H_Deemed),MAX(0,AFN67-AJA67)*H_Exit,0)</f>
        <v>0</v>
      </c>
      <c r="AXB67" s="20" t="n">
        <f aca="false">IF(AND(H_Direct=0,H_TaxEvt=1,ATO66+1&gt;=H_Deemed),MAX(0,AFO67-AJB67)*H_Exit,0)</f>
        <v>0</v>
      </c>
      <c r="AXC67" s="20" t="n">
        <f aca="false">IF(AND(H_Direct=0,H_TaxEvt=1,ATP66+1&gt;=H_Deemed),MAX(0,AFP67-AJC67)*H_Exit,0)</f>
        <v>0</v>
      </c>
      <c r="AXD67" s="20" t="n">
        <f aca="false">IF(AND(H_Direct=0,H_TaxEvt=1,ATQ66+1&gt;=H_Deemed),MAX(0,AFQ67-AJD67)*H_Exit,0)</f>
        <v>0</v>
      </c>
      <c r="AXE67" s="20" t="n">
        <f aca="false">IF(AND(H_Direct=0,H_TaxEvt=1,ATR66+1&gt;=H_Deemed),MAX(0,AFR67-AJE67)*H_Exit,0)</f>
        <v>0</v>
      </c>
      <c r="AXF67" s="20" t="n">
        <f aca="false">IF(AND(H_Direct=0,H_TaxEvt=1,ATS66+1&gt;=H_Deemed),MAX(0,AFS67-AJF67)*H_Exit,0)</f>
        <v>0</v>
      </c>
      <c r="AXG67" s="20" t="n">
        <f aca="false">IF(AND(H_Direct=0,H_TaxEvt=1,ATT66+1&gt;=H_Deemed),MAX(0,AFT67-AJG67)*H_Exit,0)</f>
        <v>0</v>
      </c>
      <c r="AXH67" s="20" t="n">
        <f aca="false">IF(AND(H_Direct=0,H_TaxEvt=1,ATU66+1&gt;=H_Deemed),MAX(0,AFU67-AJH67)*H_Exit,0)</f>
        <v>0</v>
      </c>
      <c r="AXI67" s="20" t="n">
        <f aca="false">IF(AND(H_Direct=0,H_TaxEvt=1,ATV66+1&gt;=H_Deemed),MAX(0,AFV67-AJI67)*H_Exit,0)</f>
        <v>0</v>
      </c>
      <c r="AXJ67" s="20" t="n">
        <f aca="false">IF(AND(H_Direct=0,H_TaxEvt=1,ATW66+1&gt;=H_Deemed),MAX(0,AFW67-AJJ67)*H_Exit,0)</f>
        <v>0</v>
      </c>
      <c r="AXK67" s="20" t="n">
        <f aca="false">IF(AND(H_Direct=0,H_TaxEvt=1,ATX66+1&gt;=H_Deemed),MAX(0,AFX67-AJK67)*H_Exit,0)</f>
        <v>0</v>
      </c>
      <c r="AXL67" s="20" t="n">
        <f aca="false">IF(AND(H_Direct=0,H_TaxEvt=1,ATY66+1&gt;=H_Deemed),MAX(0,AFY67-AJL67)*H_Exit,0)</f>
        <v>0</v>
      </c>
      <c r="AXM67" s="20" t="n">
        <f aca="false">IF(AND(H_Direct=0,H_TaxEvt=1,0+1&gt;=H_Deemed),MAX(0,AFZ67-AJM67)*H_Exit,0)</f>
        <v>0</v>
      </c>
      <c r="AXN67" s="20" t="n">
        <v>0</v>
      </c>
      <c r="AXO67" s="20" t="n">
        <v>0</v>
      </c>
      <c r="AXP67" s="20" t="n">
        <v>0</v>
      </c>
      <c r="AXQ67" s="20" t="n">
        <v>0</v>
      </c>
      <c r="AXR67" s="20" t="n">
        <v>0</v>
      </c>
      <c r="AXS67" s="20" t="n">
        <v>0</v>
      </c>
      <c r="AXT67" s="20" t="n">
        <v>0</v>
      </c>
      <c r="AXU67" s="20" t="n">
        <v>0</v>
      </c>
      <c r="AXV67" s="20" t="n">
        <v>0</v>
      </c>
      <c r="AXW67" s="20" t="n">
        <v>0</v>
      </c>
      <c r="AXX67" s="20" t="n">
        <v>0</v>
      </c>
      <c r="AXY67" s="20" t="n">
        <v>0</v>
      </c>
      <c r="AXZ67" s="20" t="n">
        <v>0</v>
      </c>
      <c r="AYA67" s="20" t="n">
        <v>0</v>
      </c>
      <c r="AYB67" s="20" t="n">
        <v>0</v>
      </c>
      <c r="AYC67" s="20" t="n">
        <v>0</v>
      </c>
      <c r="AYD67" s="20" t="n">
        <v>0</v>
      </c>
      <c r="AYE67" s="20" t="n">
        <v>0</v>
      </c>
      <c r="AYF67" s="20" t="n">
        <v>0</v>
      </c>
      <c r="AYG67" s="20" t="n">
        <v>0</v>
      </c>
      <c r="AYH67" s="20" t="n">
        <v>0</v>
      </c>
      <c r="AYI67" s="20" t="n">
        <v>0</v>
      </c>
      <c r="AYJ67" s="20" t="n">
        <v>0</v>
      </c>
      <c r="AYK67" s="20" t="n">
        <v>0</v>
      </c>
      <c r="AYL67" s="20" t="n">
        <v>0</v>
      </c>
      <c r="AYM67" s="20" t="n">
        <v>0</v>
      </c>
      <c r="AYN67" s="20" t="n">
        <v>0</v>
      </c>
      <c r="AYO67" s="20" t="n">
        <v>0</v>
      </c>
      <c r="AYP67" s="20" t="n">
        <v>0</v>
      </c>
      <c r="AYQ67" s="20" t="n">
        <v>0</v>
      </c>
    </row>
    <row r="68" customFormat="false" ht="15" hidden="false" customHeight="false" outlineLevel="0" collapsed="false">
      <c r="B68" s="20" t="n">
        <v>60</v>
      </c>
      <c r="C68" s="20" t="n">
        <f aca="false">'Plan cashflow'!C68</f>
        <v>0</v>
      </c>
      <c r="D68" s="20" t="n">
        <f aca="false">'Plan cashflow'!D68</f>
        <v>98</v>
      </c>
      <c r="E68" s="20" t="n">
        <f aca="false">AS_Year0+60</f>
        <v>2086</v>
      </c>
      <c r="F68" s="50" t="n">
        <f aca="false">'Plan cashflow'!F68</f>
        <v>3.28103078836541</v>
      </c>
      <c r="G68" s="59" t="n">
        <f aca="true">IF(MAX(TODAY(),DATE(E68,1,1))&gt;=H_CGTfrom,H_CGT1,H_CGT0)</f>
        <v>0.31</v>
      </c>
      <c r="H68" s="20" t="n">
        <f aca="false">H_Exempt*H_Persons</f>
        <v>1270</v>
      </c>
      <c r="I68" s="20" t="n">
        <f aca="false">AX67</f>
        <v>0</v>
      </c>
      <c r="J68" s="60" t="n">
        <f aca="false">BF67</f>
        <v>0</v>
      </c>
      <c r="K68" s="60" t="n">
        <f aca="false">BG67</f>
        <v>0</v>
      </c>
      <c r="L68" s="20" t="n">
        <f aca="false">IF(AND(In_polLump&gt;0,In_polLumpAge&gt;0,D68=In_polLumpAge),In_polLump,0)</f>
        <v>0</v>
      </c>
      <c r="M68" s="20" t="n">
        <f aca="false">IF(AND(In_homeUse="Yes, I'd downsize",In_downAge&gt;0,D68=In_downAge,OR(In_home="Own outright",In_home="Own with mortgage"),In_homeValue&gt;0),MAX(0,MAX(0,In_homeValue-In_downValue)*F68*0.9-'Plan cashflow'!HR67),0)</f>
        <v>0</v>
      </c>
      <c r="N68" s="20" t="n">
        <f aca="false">'Plan pay &amp; tax'!Y294</f>
        <v>0</v>
      </c>
      <c r="O68" s="20" t="n">
        <f aca="false">L68+M68+(1-H_Sh)*N68</f>
        <v>0</v>
      </c>
      <c r="P68" s="20" t="n">
        <f aca="false">H_Sh*N68</f>
        <v>0</v>
      </c>
      <c r="Q68" s="20" t="n">
        <f aca="false">'Plan cashflow'!UL68</f>
        <v>0</v>
      </c>
      <c r="R68" s="20" t="n">
        <f aca="false">(1-H_Sh)*Q68</f>
        <v>0</v>
      </c>
      <c r="S68" s="20" t="n">
        <f aca="false">H_Sh*Q68</f>
        <v>0</v>
      </c>
      <c r="T68" s="20" t="n">
        <f aca="false">J68+K68+O68</f>
        <v>0</v>
      </c>
      <c r="U68" s="20" t="n">
        <f aca="false">T68+R68</f>
        <v>0</v>
      </c>
      <c r="V68" s="60" t="n">
        <f aca="false">SUM(FE68:IQ68)</f>
        <v>0</v>
      </c>
      <c r="W68" s="60" t="n">
        <f aca="false">IF(AJ68&lt;=0,0,IF(AL68&lt;=0,AJ68,AJ68-G68*MAX(0,AL68*AJ68-(AY68+AZ68))))</f>
        <v>0</v>
      </c>
      <c r="X68" s="60" t="n">
        <f aca="false">IF(AR68&lt;=0,0,IF(AT68&lt;=0,AR68,AR68-G68*MAX(0,AT68*AR68-(BA68+BB68))))</f>
        <v>0</v>
      </c>
      <c r="Y68" s="60" t="n">
        <f aca="false">T68+V68-S68+W68+X68</f>
        <v>0</v>
      </c>
      <c r="Z68" s="60" t="n">
        <f aca="false">'Plan cashflow'!UK68</f>
        <v>0</v>
      </c>
      <c r="AA68" s="20" t="n">
        <f aca="false">MIN(Z68,U68)</f>
        <v>0</v>
      </c>
      <c r="AB68" s="20" t="n">
        <f aca="false">Z68-AA68</f>
        <v>0</v>
      </c>
      <c r="AC68" s="20" t="n">
        <f aca="false">MIN(AA68,J68+O68+R68)</f>
        <v>0</v>
      </c>
      <c r="AD68" s="20" t="n">
        <f aca="false">AA68-AC68</f>
        <v>0</v>
      </c>
      <c r="AE68" s="20" t="n">
        <f aca="false">J68+O68+R68-AC68</f>
        <v>0</v>
      </c>
      <c r="AF68" s="20" t="n">
        <f aca="false">K68-AD68</f>
        <v>0</v>
      </c>
      <c r="AG68" s="20" t="n">
        <f aca="false">SUM(PR68:TD68)</f>
        <v>0</v>
      </c>
      <c r="AH68" s="20" t="n">
        <f aca="false">SUM(TE68:WQ68)</f>
        <v>0</v>
      </c>
      <c r="AI68" s="20" t="n">
        <f aca="false">MAX(0,AB68-AG68)</f>
        <v>0</v>
      </c>
      <c r="AJ68" s="57" t="n">
        <f aca="false">BI67</f>
        <v>0</v>
      </c>
      <c r="AK68" s="20" t="n">
        <f aca="false">BJ67</f>
        <v>0</v>
      </c>
      <c r="AL68" s="20" t="n">
        <f aca="false">IF(AJ68&gt;0,(AJ68-AK68)/AJ68,0)</f>
        <v>0</v>
      </c>
      <c r="AM68" s="20" t="n">
        <f aca="false">IF(AJ68&lt;=0,0,IF(AL68&lt;=0,MIN(AI68,AJ68),MIN(AI68,AJ68-G68*MAX(0,AL68*AJ68-(AAD68+ADQ68)))))</f>
        <v>0</v>
      </c>
      <c r="AN68" s="20" t="n">
        <f aca="false">IF(AJ68&lt;=0,0,IF(AL68&lt;=0,AM68,IF(AM68&lt;=(AAD68+ADQ68)/AL68,AM68,(AM68-G68*(AAD68+ADQ68))/(1-G68*AL68))))</f>
        <v>0</v>
      </c>
      <c r="AO68" s="20" t="n">
        <f aca="false">IF(AL68&gt;0,MAX(0,AAD68-(MIN(AL68*AN68,(AAD68+ADQ68))-MIN(MIN(AL68*AN68,(AAD68+ADQ68)),ADQ68))),AAD68)</f>
        <v>1270</v>
      </c>
      <c r="AP68" s="20" t="n">
        <f aca="false">IF(AL68&lt;=0,ADQ68-AL68*AN68,ADQ68-MIN(MIN(AL68*AN68,(AAD68+ADQ68)),ADQ68))</f>
        <v>0</v>
      </c>
      <c r="AQ68" s="20" t="n">
        <f aca="false">MAX(0,AI68-AM68)</f>
        <v>0</v>
      </c>
      <c r="AR68" s="57" t="n">
        <f aca="false">BK67</f>
        <v>0</v>
      </c>
      <c r="AS68" s="20" t="n">
        <f aca="false">BL67</f>
        <v>0</v>
      </c>
      <c r="AT68" s="20" t="n">
        <f aca="false">IF(AR68&gt;0,(AR68-AS68)/AR68,0)</f>
        <v>0</v>
      </c>
      <c r="AU68" s="20" t="n">
        <f aca="false">IF(AR68&lt;=0,0,IF(AT68&lt;=0,MIN(AQ68,AR68),MIN(AQ68,AR68-G68*MAX(0,AT68*AR68-(AO68+AP68)))))</f>
        <v>0</v>
      </c>
      <c r="AV68" s="20" t="n">
        <f aca="false">IF(AR68&lt;=0,0,IF(AT68&lt;=0,AU68,IF(AU68&lt;=(AO68+AP68)/AT68,AU68,(AU68-G68*(AO68+AP68))/(1-G68*AT68))))</f>
        <v>0</v>
      </c>
      <c r="AW68" s="20" t="n">
        <f aca="false">IF(AT68&gt;0,MAX(0,AO68-(MIN(AT68*AV68,(AO68+AP68))-MIN(MIN(AT68*AV68,(AO68+AP68)),AP68))),AO68)</f>
        <v>1270</v>
      </c>
      <c r="AX68" s="20" t="n">
        <f aca="false">IF(AT68&lt;=0,AP68-AT68*AV68,AP68-MIN(MIN(AT68*AV68,(AO68+AP68)),AP68))</f>
        <v>0</v>
      </c>
      <c r="AY68" s="20" t="n">
        <f aca="false">MD68</f>
        <v>1270</v>
      </c>
      <c r="AZ68" s="20" t="n">
        <f aca="false">PQ68</f>
        <v>0</v>
      </c>
      <c r="BA68" s="20" t="n">
        <f aca="false">IF(AL68&gt;0,MAX(0,AY68-(MIN(AL68*AJ68,AY68+AZ68)-MIN(MIN(AL68*AJ68,AY68+AZ68),AZ68))),AY68)</f>
        <v>1270</v>
      </c>
      <c r="BB68" s="20" t="n">
        <f aca="false">IF(AL68&lt;=0,AZ68-AL68*AJ68,AZ68-MIN(MIN(AL68*AJ68,AY68+AZ68),AZ68))</f>
        <v>0</v>
      </c>
      <c r="BC68" s="20" t="n">
        <f aca="false">'Plan cashflow'!UM68</f>
        <v>0</v>
      </c>
      <c r="BD68" s="20" t="n">
        <f aca="false">(1-H_Sh)*BC68</f>
        <v>0</v>
      </c>
      <c r="BE68" s="20" t="n">
        <f aca="false">H_Sh*BC68</f>
        <v>0</v>
      </c>
      <c r="BF68" s="60" t="n">
        <f aca="false">(AE68+BD68)*(1+AS_Cash)</f>
        <v>0</v>
      </c>
      <c r="BG68" s="60" t="n">
        <f aca="false">AF68*(1+AS_Cash)</f>
        <v>0</v>
      </c>
      <c r="BH68" s="60" t="n">
        <f aca="false">SUM(AKR68:AOD68)</f>
        <v>0</v>
      </c>
      <c r="BI68" s="60" t="n">
        <f aca="false">(AJ68-AN68)*(1+AS_Infl)</f>
        <v>0</v>
      </c>
      <c r="BJ68" s="20" t="n">
        <f aca="false">IF(AJ68&gt;0,AK68-AK68*AN68/AJ68,0)</f>
        <v>0</v>
      </c>
      <c r="BK68" s="60" t="n">
        <f aca="false">(AR68-AV68)*(1+BQ68)</f>
        <v>0</v>
      </c>
      <c r="BL68" s="20" t="n">
        <f aca="false">IF(AR68&gt;0,AS68-AS68*AV68/AR68,0)</f>
        <v>0</v>
      </c>
      <c r="BM68" s="60" t="n">
        <f aca="false">BF68+BG68+BH68+BI68+BK68</f>
        <v>0</v>
      </c>
      <c r="BN68" s="60" t="n">
        <f aca="false">(AH68-AG68)+(AN68-AM68)+(AV68-AU68)</f>
        <v>0</v>
      </c>
      <c r="BO68" s="20" t="n">
        <f aca="false">(AE68+BD68+AF68+MAX(0,'Plan cashflow'!QH68)+IF(Slot1_Rate=AS_Cash,'Plan cashflow'!QM68/(1+AS_Cash),0)+IF(Slot2_Rate=AS_Cash,'Plan cashflow'!QQ68/(1+AS_Cash),0)+IF(Slot3_Rate=AS_Cash,'Plan cashflow'!QU68/(1+AS_Cash),0)+IF(Slot4_Rate=AS_Cash,'Plan cashflow'!QY68/(1+AS_Cash),0)+IF(Slot5_Rate=AS_Cash,'Plan cashflow'!RC68/(1+AS_Cash),0)+IF(Slot6_Rate=AS_Cash,'Plan cashflow'!RG68/(1+AS_Cash),0)+IF(Slot7_Rate=AS_Cash,'Plan cashflow'!RK68/(1+AS_Cash),0)+IF(Slot8_Rate=AS_Cash,'Plan cashflow'!RO68/(1+AS_Cash),0)+IF(Slot9_Rate=AS_Cash,'Plan cashflow'!RS68/(1+AS_Cash),0)+IF(Slot10_Rate=AS_Cash,'Plan cashflow'!RW68/(1+AS_Cash),0)+IF(Slot11_Rate=AS_Cash,'Plan cashflow'!SA68/(1+AS_Cash),0)+IF(Slot12_Rate=AS_Cash,'Plan cashflow'!SE68/(1+AS_Cash),0)+IF(Slot13_Rate=AS_Cash,'Plan cashflow'!SI68/(1+AS_Cash),0)+IF(Slot14_Rate=AS_Cash,'Plan cashflow'!SM68/(1+AS_Cash),0)+IF(Slot15_Rate=AS_Cash,'Plan cashflow'!SQ68/(1+AS_Cash),0)+IF(Slot16_Rate=AS_Cash,'Plan cashflow'!SU68/(1+AS_Cash),0)+IF(Slot17_Rate=AS_Cash,'Plan cashflow'!SY68/(1+AS_Cash),0)+IF(Slot18_Rate=AS_Cash,'Plan cashflow'!TC68/(1+AS_Cash),0)+IF(Slot19_Rate=AS_Cash,'Plan cashflow'!TG68/(1+AS_Cash),0)+IF(Slot20_Rate=AS_Cash,'Plan cashflow'!TK68/(1+AS_Cash),0))*AS_Cash*H_DIRT/(1-H_DIRT)</f>
        <v>0</v>
      </c>
      <c r="BP68" s="60" t="n">
        <f aca="false">SUM(AVE68:AYQ68)</f>
        <v>0</v>
      </c>
      <c r="BQ68" s="54" t="n">
        <f aca="false">IF(H_TaxEvt=1,H_InvG,AS_Inv)</f>
        <v>0.04</v>
      </c>
      <c r="BR68" s="20" t="n">
        <f aca="false">IF(AKR67&gt;0,(AKR67-AOE67)/AKR67,0)</f>
        <v>0</v>
      </c>
      <c r="BS68" s="20" t="n">
        <f aca="false">IF(AKS67&gt;0,(AKS67-AOF67)/AKS67,0)</f>
        <v>0</v>
      </c>
      <c r="BT68" s="20" t="n">
        <f aca="false">IF(AKT67&gt;0,(AKT67-AOG67)/AKT67,0)</f>
        <v>0</v>
      </c>
      <c r="BU68" s="20" t="n">
        <f aca="false">IF(AKU67&gt;0,(AKU67-AOH67)/AKU67,0)</f>
        <v>0</v>
      </c>
      <c r="BV68" s="20" t="n">
        <f aca="false">IF(AKV67&gt;0,(AKV67-AOI67)/AKV67,0)</f>
        <v>0</v>
      </c>
      <c r="BW68" s="20" t="n">
        <f aca="false">IF(AKW67&gt;0,(AKW67-AOJ67)/AKW67,0)</f>
        <v>0</v>
      </c>
      <c r="BX68" s="20" t="n">
        <f aca="false">IF(AKX67&gt;0,(AKX67-AOK67)/AKX67,0)</f>
        <v>0</v>
      </c>
      <c r="BY68" s="20" t="n">
        <f aca="false">IF(AKY67&gt;0,(AKY67-AOL67)/AKY67,0)</f>
        <v>0</v>
      </c>
      <c r="BZ68" s="20" t="n">
        <f aca="false">IF(AKZ67&gt;0,(AKZ67-AOM67)/AKZ67,0)</f>
        <v>0</v>
      </c>
      <c r="CA68" s="20" t="n">
        <f aca="false">IF(ALA67&gt;0,(ALA67-AON67)/ALA67,0)</f>
        <v>0</v>
      </c>
      <c r="CB68" s="20" t="n">
        <f aca="false">IF(ALB67&gt;0,(ALB67-AOO67)/ALB67,0)</f>
        <v>0</v>
      </c>
      <c r="CC68" s="20" t="n">
        <f aca="false">IF(ALC67&gt;0,(ALC67-AOP67)/ALC67,0)</f>
        <v>0</v>
      </c>
      <c r="CD68" s="20" t="n">
        <f aca="false">IF(ALD67&gt;0,(ALD67-AOQ67)/ALD67,0)</f>
        <v>0</v>
      </c>
      <c r="CE68" s="20" t="n">
        <f aca="false">IF(ALE67&gt;0,(ALE67-AOR67)/ALE67,0)</f>
        <v>0</v>
      </c>
      <c r="CF68" s="20" t="n">
        <f aca="false">IF(ALF67&gt;0,(ALF67-AOS67)/ALF67,0)</f>
        <v>0</v>
      </c>
      <c r="CG68" s="20" t="n">
        <f aca="false">IF(ALG67&gt;0,(ALG67-AOT67)/ALG67,0)</f>
        <v>0</v>
      </c>
      <c r="CH68" s="20" t="n">
        <f aca="false">IF(ALH67&gt;0,(ALH67-AOU67)/ALH67,0)</f>
        <v>0</v>
      </c>
      <c r="CI68" s="20" t="n">
        <f aca="false">IF(ALI67&gt;0,(ALI67-AOV67)/ALI67,0)</f>
        <v>0</v>
      </c>
      <c r="CJ68" s="20" t="n">
        <f aca="false">IF(ALJ67&gt;0,(ALJ67-AOW67)/ALJ67,0)</f>
        <v>0</v>
      </c>
      <c r="CK68" s="20" t="n">
        <f aca="false">IF(ALK67&gt;0,(ALK67-AOX67)/ALK67,0)</f>
        <v>0</v>
      </c>
      <c r="CL68" s="20" t="n">
        <f aca="false">IF(ALL67&gt;0,(ALL67-AOY67)/ALL67,0)</f>
        <v>0</v>
      </c>
      <c r="CM68" s="20" t="n">
        <f aca="false">IF(ALM67&gt;0,(ALM67-AOZ67)/ALM67,0)</f>
        <v>0</v>
      </c>
      <c r="CN68" s="20" t="n">
        <f aca="false">IF(ALN67&gt;0,(ALN67-APA67)/ALN67,0)</f>
        <v>0</v>
      </c>
      <c r="CO68" s="20" t="n">
        <f aca="false">IF(ALO67&gt;0,(ALO67-APB67)/ALO67,0)</f>
        <v>0</v>
      </c>
      <c r="CP68" s="20" t="n">
        <f aca="false">IF(ALP67&gt;0,(ALP67-APC67)/ALP67,0)</f>
        <v>0</v>
      </c>
      <c r="CQ68" s="20" t="n">
        <f aca="false">IF(ALQ67&gt;0,(ALQ67-APD67)/ALQ67,0)</f>
        <v>0</v>
      </c>
      <c r="CR68" s="20" t="n">
        <f aca="false">IF(ALR67&gt;0,(ALR67-APE67)/ALR67,0)</f>
        <v>0</v>
      </c>
      <c r="CS68" s="20" t="n">
        <f aca="false">IF(ALS67&gt;0,(ALS67-APF67)/ALS67,0)</f>
        <v>0</v>
      </c>
      <c r="CT68" s="20" t="n">
        <f aca="false">IF(ALT67&gt;0,(ALT67-APG67)/ALT67,0)</f>
        <v>0</v>
      </c>
      <c r="CU68" s="20" t="n">
        <f aca="false">IF(ALU67&gt;0,(ALU67-APH67)/ALU67,0)</f>
        <v>0</v>
      </c>
      <c r="CV68" s="20" t="n">
        <f aca="false">IF(ALV67&gt;0,(ALV67-API67)/ALV67,0)</f>
        <v>0</v>
      </c>
      <c r="CW68" s="20" t="n">
        <f aca="false">IF(ALW67&gt;0,(ALW67-APJ67)/ALW67,0)</f>
        <v>0</v>
      </c>
      <c r="CX68" s="20" t="n">
        <f aca="false">IF(ALX67&gt;0,(ALX67-APK67)/ALX67,0)</f>
        <v>0</v>
      </c>
      <c r="CY68" s="20" t="n">
        <f aca="false">IF(ALY67&gt;0,(ALY67-APL67)/ALY67,0)</f>
        <v>0</v>
      </c>
      <c r="CZ68" s="20" t="n">
        <f aca="false">IF(ALZ67&gt;0,(ALZ67-APM67)/ALZ67,0)</f>
        <v>0</v>
      </c>
      <c r="DA68" s="20" t="n">
        <f aca="false">IF(AMA67&gt;0,(AMA67-APN67)/AMA67,0)</f>
        <v>0</v>
      </c>
      <c r="DB68" s="20" t="n">
        <f aca="false">IF(AMB67&gt;0,(AMB67-APO67)/AMB67,0)</f>
        <v>0</v>
      </c>
      <c r="DC68" s="20" t="n">
        <f aca="false">IF(AMC67&gt;0,(AMC67-APP67)/AMC67,0)</f>
        <v>0</v>
      </c>
      <c r="DD68" s="20" t="n">
        <f aca="false">IF(AMD67&gt;0,(AMD67-APQ67)/AMD67,0)</f>
        <v>0</v>
      </c>
      <c r="DE68" s="20" t="n">
        <f aca="false">IF(AME67&gt;0,(AME67-APR67)/AME67,0)</f>
        <v>0</v>
      </c>
      <c r="DF68" s="20" t="n">
        <f aca="false">IF(AMF67&gt;0,(AMF67-APS67)/AMF67,0)</f>
        <v>0</v>
      </c>
      <c r="DG68" s="20" t="n">
        <f aca="false">IF(AMG67&gt;0,(AMG67-APT67)/AMG67,0)</f>
        <v>0</v>
      </c>
      <c r="DH68" s="20" t="n">
        <f aca="false">IF(AMH67&gt;0,(AMH67-APU67)/AMH67,0)</f>
        <v>0</v>
      </c>
      <c r="DI68" s="20" t="n">
        <f aca="false">IF(AMI67&gt;0,(AMI67-APV67)/AMI67,0)</f>
        <v>0</v>
      </c>
      <c r="DJ68" s="20" t="n">
        <f aca="false">IF(AMJ67&gt;0,(AMJ67-APW67)/AMJ67,0)</f>
        <v>0</v>
      </c>
      <c r="DK68" s="20" t="n">
        <f aca="false">IF(AMK67&gt;0,(AMK67-APX67)/AMK67,0)</f>
        <v>0</v>
      </c>
      <c r="DL68" s="20" t="n">
        <f aca="false">IF(AML67&gt;0,(AML67-APY67)/AML67,0)</f>
        <v>0</v>
      </c>
      <c r="DM68" s="20" t="n">
        <f aca="false">IF(AMM67&gt;0,(AMM67-APZ67)/AMM67,0)</f>
        <v>0</v>
      </c>
      <c r="DN68" s="20" t="n">
        <f aca="false">IF(AMN67&gt;0,(AMN67-AQA67)/AMN67,0)</f>
        <v>0</v>
      </c>
      <c r="DO68" s="20" t="n">
        <f aca="false">IF(AMO67&gt;0,(AMO67-AQB67)/AMO67,0)</f>
        <v>0</v>
      </c>
      <c r="DP68" s="20" t="n">
        <f aca="false">IF(AMP67&gt;0,(AMP67-AQC67)/AMP67,0)</f>
        <v>0</v>
      </c>
      <c r="DQ68" s="20" t="n">
        <f aca="false">IF(AMQ67&gt;0,(AMQ67-AQD67)/AMQ67,0)</f>
        <v>0</v>
      </c>
      <c r="DR68" s="20" t="n">
        <f aca="false">IF(AMR67&gt;0,(AMR67-AQE67)/AMR67,0)</f>
        <v>0</v>
      </c>
      <c r="DS68" s="20" t="n">
        <f aca="false">IF(AMS67&gt;0,(AMS67-AQF67)/AMS67,0)</f>
        <v>0</v>
      </c>
      <c r="DT68" s="20" t="n">
        <f aca="false">IF(AMT67&gt;0,(AMT67-AQG67)/AMT67,0)</f>
        <v>0</v>
      </c>
      <c r="DU68" s="20" t="n">
        <f aca="false">IF(AMU67&gt;0,(AMU67-AQH67)/AMU67,0)</f>
        <v>0</v>
      </c>
      <c r="DV68" s="20" t="n">
        <f aca="false">IF(AMV67&gt;0,(AMV67-AQI67)/AMV67,0)</f>
        <v>0</v>
      </c>
      <c r="DW68" s="20" t="n">
        <f aca="false">IF(AMW67&gt;0,(AMW67-AQJ67)/AMW67,0)</f>
        <v>0</v>
      </c>
      <c r="DX68" s="20" t="n">
        <f aca="false">IF(AMX67&gt;0,(AMX67-AQK67)/AMX67,0)</f>
        <v>0</v>
      </c>
      <c r="DY68" s="20" t="n">
        <f aca="false">IF(AMY67&gt;0,(AMY67-AQL67)/AMY67,0)</f>
        <v>0</v>
      </c>
      <c r="DZ68" s="20" t="n">
        <f aca="false">IF(AMZ67&gt;0,(AMZ67-AQM67)/AMZ67,0)</f>
        <v>0</v>
      </c>
      <c r="EA68" s="20" t="n">
        <f aca="false">IF((P68+S68)&gt;0,((P68+S68)-(P68+S68))/(P68+S68),0)</f>
        <v>0</v>
      </c>
      <c r="EB68" s="20" t="n">
        <v>0</v>
      </c>
      <c r="EC68" s="20" t="n">
        <v>0</v>
      </c>
      <c r="ED68" s="20" t="n">
        <v>0</v>
      </c>
      <c r="EE68" s="20" t="n">
        <v>0</v>
      </c>
      <c r="EF68" s="20" t="n">
        <v>0</v>
      </c>
      <c r="EG68" s="20" t="n">
        <v>0</v>
      </c>
      <c r="EH68" s="20" t="n">
        <v>0</v>
      </c>
      <c r="EI68" s="20" t="n">
        <v>0</v>
      </c>
      <c r="EJ68" s="20" t="n">
        <v>0</v>
      </c>
      <c r="EK68" s="20" t="n">
        <v>0</v>
      </c>
      <c r="EL68" s="20" t="n">
        <v>0</v>
      </c>
      <c r="EM68" s="20" t="n">
        <v>0</v>
      </c>
      <c r="EN68" s="20" t="n">
        <v>0</v>
      </c>
      <c r="EO68" s="20" t="n">
        <v>0</v>
      </c>
      <c r="EP68" s="20" t="n">
        <v>0</v>
      </c>
      <c r="EQ68" s="20" t="n">
        <v>0</v>
      </c>
      <c r="ER68" s="20" t="n">
        <v>0</v>
      </c>
      <c r="ES68" s="20" t="n">
        <v>0</v>
      </c>
      <c r="ET68" s="20" t="n">
        <v>0</v>
      </c>
      <c r="EU68" s="20" t="n">
        <v>0</v>
      </c>
      <c r="EV68" s="20" t="n">
        <v>0</v>
      </c>
      <c r="EW68" s="20" t="n">
        <v>0</v>
      </c>
      <c r="EX68" s="20" t="n">
        <v>0</v>
      </c>
      <c r="EY68" s="20" t="n">
        <v>0</v>
      </c>
      <c r="EZ68" s="20" t="n">
        <v>0</v>
      </c>
      <c r="FA68" s="20" t="n">
        <v>0</v>
      </c>
      <c r="FB68" s="20" t="n">
        <v>0</v>
      </c>
      <c r="FC68" s="20" t="n">
        <v>0</v>
      </c>
      <c r="FD68" s="20" t="n">
        <v>0</v>
      </c>
      <c r="FE68" s="20" t="n">
        <f aca="false">IF(H_Direct=1,IF(AKR67&lt;=0,0,IF(BR68&lt;=0,AKR67,AKR67-G68*MAX(0,BR68*AKR67-(H68+I68)))),AKR67*(1-MAX(0,BR68)*H_Exit))</f>
        <v>0</v>
      </c>
      <c r="FF68" s="20" t="n">
        <f aca="false">IF(H_Direct=1,IF(AKS67&lt;=0,0,IF(BS68&lt;=0,AKS67,AKS67-G68*MAX(0,BS68*AKS67-(IR68+ME68)))),AKS67*(1-MAX(0,BS68)*H_Exit))</f>
        <v>0</v>
      </c>
      <c r="FG68" s="20" t="n">
        <f aca="false">IF(H_Direct=1,IF(AKT67&lt;=0,0,IF(BT68&lt;=0,AKT67,AKT67-G68*MAX(0,BT68*AKT67-(IS68+MF68)))),AKT67*(1-MAX(0,BT68)*H_Exit))</f>
        <v>0</v>
      </c>
      <c r="FH68" s="20" t="n">
        <f aca="false">IF(H_Direct=1,IF(AKU67&lt;=0,0,IF(BU68&lt;=0,AKU67,AKU67-G68*MAX(0,BU68*AKU67-(IT68+MG68)))),AKU67*(1-MAX(0,BU68)*H_Exit))</f>
        <v>0</v>
      </c>
      <c r="FI68" s="20" t="n">
        <f aca="false">IF(H_Direct=1,IF(AKV67&lt;=0,0,IF(BV68&lt;=0,AKV67,AKV67-G68*MAX(0,BV68*AKV67-(IU68+MH68)))),AKV67*(1-MAX(0,BV68)*H_Exit))</f>
        <v>0</v>
      </c>
      <c r="FJ68" s="20" t="n">
        <f aca="false">IF(H_Direct=1,IF(AKW67&lt;=0,0,IF(BW68&lt;=0,AKW67,AKW67-G68*MAX(0,BW68*AKW67-(IV68+MI68)))),AKW67*(1-MAX(0,BW68)*H_Exit))</f>
        <v>0</v>
      </c>
      <c r="FK68" s="20" t="n">
        <f aca="false">IF(H_Direct=1,IF(AKX67&lt;=0,0,IF(BX68&lt;=0,AKX67,AKX67-G68*MAX(0,BX68*AKX67-(IW68+MJ68)))),AKX67*(1-MAX(0,BX68)*H_Exit))</f>
        <v>0</v>
      </c>
      <c r="FL68" s="20" t="n">
        <f aca="false">IF(H_Direct=1,IF(AKY67&lt;=0,0,IF(BY68&lt;=0,AKY67,AKY67-G68*MAX(0,BY68*AKY67-(IX68+MK68)))),AKY67*(1-MAX(0,BY68)*H_Exit))</f>
        <v>0</v>
      </c>
      <c r="FM68" s="20" t="n">
        <f aca="false">IF(H_Direct=1,IF(AKZ67&lt;=0,0,IF(BZ68&lt;=0,AKZ67,AKZ67-G68*MAX(0,BZ68*AKZ67-(IY68+ML68)))),AKZ67*(1-MAX(0,BZ68)*H_Exit))</f>
        <v>0</v>
      </c>
      <c r="FN68" s="20" t="n">
        <f aca="false">IF(H_Direct=1,IF(ALA67&lt;=0,0,IF(CA68&lt;=0,ALA67,ALA67-G68*MAX(0,CA68*ALA67-(IZ68+MM68)))),ALA67*(1-MAX(0,CA68)*H_Exit))</f>
        <v>0</v>
      </c>
      <c r="FO68" s="20" t="n">
        <f aca="false">IF(H_Direct=1,IF(ALB67&lt;=0,0,IF(CB68&lt;=0,ALB67,ALB67-G68*MAX(0,CB68*ALB67-(JA68+MN68)))),ALB67*(1-MAX(0,CB68)*H_Exit))</f>
        <v>0</v>
      </c>
      <c r="FP68" s="20" t="n">
        <f aca="false">IF(H_Direct=1,IF(ALC67&lt;=0,0,IF(CC68&lt;=0,ALC67,ALC67-G68*MAX(0,CC68*ALC67-(JB68+MO68)))),ALC67*(1-MAX(0,CC68)*H_Exit))</f>
        <v>0</v>
      </c>
      <c r="FQ68" s="20" t="n">
        <f aca="false">IF(H_Direct=1,IF(ALD67&lt;=0,0,IF(CD68&lt;=0,ALD67,ALD67-G68*MAX(0,CD68*ALD67-(JC68+MP68)))),ALD67*(1-MAX(0,CD68)*H_Exit))</f>
        <v>0</v>
      </c>
      <c r="FR68" s="20" t="n">
        <f aca="false">IF(H_Direct=1,IF(ALE67&lt;=0,0,IF(CE68&lt;=0,ALE67,ALE67-G68*MAX(0,CE68*ALE67-(JD68+MQ68)))),ALE67*(1-MAX(0,CE68)*H_Exit))</f>
        <v>0</v>
      </c>
      <c r="FS68" s="20" t="n">
        <f aca="false">IF(H_Direct=1,IF(ALF67&lt;=0,0,IF(CF68&lt;=0,ALF67,ALF67-G68*MAX(0,CF68*ALF67-(JE68+MR68)))),ALF67*(1-MAX(0,CF68)*H_Exit))</f>
        <v>0</v>
      </c>
      <c r="FT68" s="20" t="n">
        <f aca="false">IF(H_Direct=1,IF(ALG67&lt;=0,0,IF(CG68&lt;=0,ALG67,ALG67-G68*MAX(0,CG68*ALG67-(JF68+MS68)))),ALG67*(1-MAX(0,CG68)*H_Exit))</f>
        <v>0</v>
      </c>
      <c r="FU68" s="20" t="n">
        <f aca="false">IF(H_Direct=1,IF(ALH67&lt;=0,0,IF(CH68&lt;=0,ALH67,ALH67-G68*MAX(0,CH68*ALH67-(JG68+MT68)))),ALH67*(1-MAX(0,CH68)*H_Exit))</f>
        <v>0</v>
      </c>
      <c r="FV68" s="20" t="n">
        <f aca="false">IF(H_Direct=1,IF(ALI67&lt;=0,0,IF(CI68&lt;=0,ALI67,ALI67-G68*MAX(0,CI68*ALI67-(JH68+MU68)))),ALI67*(1-MAX(0,CI68)*H_Exit))</f>
        <v>0</v>
      </c>
      <c r="FW68" s="20" t="n">
        <f aca="false">IF(H_Direct=1,IF(ALJ67&lt;=0,0,IF(CJ68&lt;=0,ALJ67,ALJ67-G68*MAX(0,CJ68*ALJ67-(JI68+MV68)))),ALJ67*(1-MAX(0,CJ68)*H_Exit))</f>
        <v>0</v>
      </c>
      <c r="FX68" s="20" t="n">
        <f aca="false">IF(H_Direct=1,IF(ALK67&lt;=0,0,IF(CK68&lt;=0,ALK67,ALK67-G68*MAX(0,CK68*ALK67-(JJ68+MW68)))),ALK67*(1-MAX(0,CK68)*H_Exit))</f>
        <v>0</v>
      </c>
      <c r="FY68" s="20" t="n">
        <f aca="false">IF(H_Direct=1,IF(ALL67&lt;=0,0,IF(CL68&lt;=0,ALL67,ALL67-G68*MAX(0,CL68*ALL67-(JK68+MX68)))),ALL67*(1-MAX(0,CL68)*H_Exit))</f>
        <v>0</v>
      </c>
      <c r="FZ68" s="20" t="n">
        <f aca="false">IF(H_Direct=1,IF(ALM67&lt;=0,0,IF(CM68&lt;=0,ALM67,ALM67-G68*MAX(0,CM68*ALM67-(JL68+MY68)))),ALM67*(1-MAX(0,CM68)*H_Exit))</f>
        <v>0</v>
      </c>
      <c r="GA68" s="20" t="n">
        <f aca="false">IF(H_Direct=1,IF(ALN67&lt;=0,0,IF(CN68&lt;=0,ALN67,ALN67-G68*MAX(0,CN68*ALN67-(JM68+MZ68)))),ALN67*(1-MAX(0,CN68)*H_Exit))</f>
        <v>0</v>
      </c>
      <c r="GB68" s="20" t="n">
        <f aca="false">IF(H_Direct=1,IF(ALO67&lt;=0,0,IF(CO68&lt;=0,ALO67,ALO67-G68*MAX(0,CO68*ALO67-(JN68+NA68)))),ALO67*(1-MAX(0,CO68)*H_Exit))</f>
        <v>0</v>
      </c>
      <c r="GC68" s="20" t="n">
        <f aca="false">IF(H_Direct=1,IF(ALP67&lt;=0,0,IF(CP68&lt;=0,ALP67,ALP67-G68*MAX(0,CP68*ALP67-(JO68+NB68)))),ALP67*(1-MAX(0,CP68)*H_Exit))</f>
        <v>0</v>
      </c>
      <c r="GD68" s="20" t="n">
        <f aca="false">IF(H_Direct=1,IF(ALQ67&lt;=0,0,IF(CQ68&lt;=0,ALQ67,ALQ67-G68*MAX(0,CQ68*ALQ67-(JP68+NC68)))),ALQ67*(1-MAX(0,CQ68)*H_Exit))</f>
        <v>0</v>
      </c>
      <c r="GE68" s="20" t="n">
        <f aca="false">IF(H_Direct=1,IF(ALR67&lt;=0,0,IF(CR68&lt;=0,ALR67,ALR67-G68*MAX(0,CR68*ALR67-(JQ68+ND68)))),ALR67*(1-MAX(0,CR68)*H_Exit))</f>
        <v>0</v>
      </c>
      <c r="GF68" s="20" t="n">
        <f aca="false">IF(H_Direct=1,IF(ALS67&lt;=0,0,IF(CS68&lt;=0,ALS67,ALS67-G68*MAX(0,CS68*ALS67-(JR68+NE68)))),ALS67*(1-MAX(0,CS68)*H_Exit))</f>
        <v>0</v>
      </c>
      <c r="GG68" s="20" t="n">
        <f aca="false">IF(H_Direct=1,IF(ALT67&lt;=0,0,IF(CT68&lt;=0,ALT67,ALT67-G68*MAX(0,CT68*ALT67-(JS68+NF68)))),ALT67*(1-MAX(0,CT68)*H_Exit))</f>
        <v>0</v>
      </c>
      <c r="GH68" s="20" t="n">
        <f aca="false">IF(H_Direct=1,IF(ALU67&lt;=0,0,IF(CU68&lt;=0,ALU67,ALU67-G68*MAX(0,CU68*ALU67-(JT68+NG68)))),ALU67*(1-MAX(0,CU68)*H_Exit))</f>
        <v>0</v>
      </c>
      <c r="GI68" s="20" t="n">
        <f aca="false">IF(H_Direct=1,IF(ALV67&lt;=0,0,IF(CV68&lt;=0,ALV67,ALV67-G68*MAX(0,CV68*ALV67-(JU68+NH68)))),ALV67*(1-MAX(0,CV68)*H_Exit))</f>
        <v>0</v>
      </c>
      <c r="GJ68" s="20" t="n">
        <f aca="false">IF(H_Direct=1,IF(ALW67&lt;=0,0,IF(CW68&lt;=0,ALW67,ALW67-G68*MAX(0,CW68*ALW67-(JV68+NI68)))),ALW67*(1-MAX(0,CW68)*H_Exit))</f>
        <v>0</v>
      </c>
      <c r="GK68" s="20" t="n">
        <f aca="false">IF(H_Direct=1,IF(ALX67&lt;=0,0,IF(CX68&lt;=0,ALX67,ALX67-G68*MAX(0,CX68*ALX67-(JW68+NJ68)))),ALX67*(1-MAX(0,CX68)*H_Exit))</f>
        <v>0</v>
      </c>
      <c r="GL68" s="20" t="n">
        <f aca="false">IF(H_Direct=1,IF(ALY67&lt;=0,0,IF(CY68&lt;=0,ALY67,ALY67-G68*MAX(0,CY68*ALY67-(JX68+NK68)))),ALY67*(1-MAX(0,CY68)*H_Exit))</f>
        <v>0</v>
      </c>
      <c r="GM68" s="20" t="n">
        <f aca="false">IF(H_Direct=1,IF(ALZ67&lt;=0,0,IF(CZ68&lt;=0,ALZ67,ALZ67-G68*MAX(0,CZ68*ALZ67-(JY68+NL68)))),ALZ67*(1-MAX(0,CZ68)*H_Exit))</f>
        <v>0</v>
      </c>
      <c r="GN68" s="20" t="n">
        <f aca="false">IF(H_Direct=1,IF(AMA67&lt;=0,0,IF(DA68&lt;=0,AMA67,AMA67-G68*MAX(0,DA68*AMA67-(JZ68+NM68)))),AMA67*(1-MAX(0,DA68)*H_Exit))</f>
        <v>0</v>
      </c>
      <c r="GO68" s="20" t="n">
        <f aca="false">IF(H_Direct=1,IF(AMB67&lt;=0,0,IF(DB68&lt;=0,AMB67,AMB67-G68*MAX(0,DB68*AMB67-(KA68+NN68)))),AMB67*(1-MAX(0,DB68)*H_Exit))</f>
        <v>0</v>
      </c>
      <c r="GP68" s="20" t="n">
        <f aca="false">IF(H_Direct=1,IF(AMC67&lt;=0,0,IF(DC68&lt;=0,AMC67,AMC67-G68*MAX(0,DC68*AMC67-(KB68+NO68)))),AMC67*(1-MAX(0,DC68)*H_Exit))</f>
        <v>0</v>
      </c>
      <c r="GQ68" s="20" t="n">
        <f aca="false">IF(H_Direct=1,IF(AMD67&lt;=0,0,IF(DD68&lt;=0,AMD67,AMD67-G68*MAX(0,DD68*AMD67-(KC68+NP68)))),AMD67*(1-MAX(0,DD68)*H_Exit))</f>
        <v>0</v>
      </c>
      <c r="GR68" s="20" t="n">
        <f aca="false">IF(H_Direct=1,IF(AME67&lt;=0,0,IF(DE68&lt;=0,AME67,AME67-G68*MAX(0,DE68*AME67-(KD68+NQ68)))),AME67*(1-MAX(0,DE68)*H_Exit))</f>
        <v>0</v>
      </c>
      <c r="GS68" s="20" t="n">
        <f aca="false">IF(H_Direct=1,IF(AMF67&lt;=0,0,IF(DF68&lt;=0,AMF67,AMF67-G68*MAX(0,DF68*AMF67-(KE68+NR68)))),AMF67*(1-MAX(0,DF68)*H_Exit))</f>
        <v>0</v>
      </c>
      <c r="GT68" s="20" t="n">
        <f aca="false">IF(H_Direct=1,IF(AMG67&lt;=0,0,IF(DG68&lt;=0,AMG67,AMG67-G68*MAX(0,DG68*AMG67-(KF68+NS68)))),AMG67*(1-MAX(0,DG68)*H_Exit))</f>
        <v>0</v>
      </c>
      <c r="GU68" s="20" t="n">
        <f aca="false">IF(H_Direct=1,IF(AMH67&lt;=0,0,IF(DH68&lt;=0,AMH67,AMH67-G68*MAX(0,DH68*AMH67-(KG68+NT68)))),AMH67*(1-MAX(0,DH68)*H_Exit))</f>
        <v>0</v>
      </c>
      <c r="GV68" s="20" t="n">
        <f aca="false">IF(H_Direct=1,IF(AMI67&lt;=0,0,IF(DI68&lt;=0,AMI67,AMI67-G68*MAX(0,DI68*AMI67-(KH68+NU68)))),AMI67*(1-MAX(0,DI68)*H_Exit))</f>
        <v>0</v>
      </c>
      <c r="GW68" s="20" t="n">
        <f aca="false">IF(H_Direct=1,IF(AMJ67&lt;=0,0,IF(DJ68&lt;=0,AMJ67,AMJ67-G68*MAX(0,DJ68*AMJ67-(KI68+NV68)))),AMJ67*(1-MAX(0,DJ68)*H_Exit))</f>
        <v>0</v>
      </c>
      <c r="GX68" s="20" t="n">
        <f aca="false">IF(H_Direct=1,IF(AMK67&lt;=0,0,IF(DK68&lt;=0,AMK67,AMK67-G68*MAX(0,DK68*AMK67-(KJ68+NW68)))),AMK67*(1-MAX(0,DK68)*H_Exit))</f>
        <v>0</v>
      </c>
      <c r="GY68" s="20" t="n">
        <f aca="false">IF(H_Direct=1,IF(AML67&lt;=0,0,IF(DL68&lt;=0,AML67,AML67-G68*MAX(0,DL68*AML67-(KK68+NX68)))),AML67*(1-MAX(0,DL68)*H_Exit))</f>
        <v>0</v>
      </c>
      <c r="GZ68" s="20" t="n">
        <f aca="false">IF(H_Direct=1,IF(AMM67&lt;=0,0,IF(DM68&lt;=0,AMM67,AMM67-G68*MAX(0,DM68*AMM67-(KL68+NY68)))),AMM67*(1-MAX(0,DM68)*H_Exit))</f>
        <v>0</v>
      </c>
      <c r="HA68" s="20" t="n">
        <f aca="false">IF(H_Direct=1,IF(AMN67&lt;=0,0,IF(DN68&lt;=0,AMN67,AMN67-G68*MAX(0,DN68*AMN67-(KM68+NZ68)))),AMN67*(1-MAX(0,DN68)*H_Exit))</f>
        <v>0</v>
      </c>
      <c r="HB68" s="20" t="n">
        <f aca="false">IF(H_Direct=1,IF(AMO67&lt;=0,0,IF(DO68&lt;=0,AMO67,AMO67-G68*MAX(0,DO68*AMO67-(KN68+OA68)))),AMO67*(1-MAX(0,DO68)*H_Exit))</f>
        <v>0</v>
      </c>
      <c r="HC68" s="20" t="n">
        <f aca="false">IF(H_Direct=1,IF(AMP67&lt;=0,0,IF(DP68&lt;=0,AMP67,AMP67-G68*MAX(0,DP68*AMP67-(KO68+OB68)))),AMP67*(1-MAX(0,DP68)*H_Exit))</f>
        <v>0</v>
      </c>
      <c r="HD68" s="20" t="n">
        <f aca="false">IF(H_Direct=1,IF(AMQ67&lt;=0,0,IF(DQ68&lt;=0,AMQ67,AMQ67-G68*MAX(0,DQ68*AMQ67-(KP68+OC68)))),AMQ67*(1-MAX(0,DQ68)*H_Exit))</f>
        <v>0</v>
      </c>
      <c r="HE68" s="20" t="n">
        <f aca="false">IF(H_Direct=1,IF(AMR67&lt;=0,0,IF(DR68&lt;=0,AMR67,AMR67-G68*MAX(0,DR68*AMR67-(KQ68+OD68)))),AMR67*(1-MAX(0,DR68)*H_Exit))</f>
        <v>0</v>
      </c>
      <c r="HF68" s="20" t="n">
        <f aca="false">IF(H_Direct=1,IF(AMS67&lt;=0,0,IF(DS68&lt;=0,AMS67,AMS67-G68*MAX(0,DS68*AMS67-(KR68+OE68)))),AMS67*(1-MAX(0,DS68)*H_Exit))</f>
        <v>0</v>
      </c>
      <c r="HG68" s="20" t="n">
        <f aca="false">IF(H_Direct=1,IF(AMT67&lt;=0,0,IF(DT68&lt;=0,AMT67,AMT67-G68*MAX(0,DT68*AMT67-(KS68+OF68)))),AMT67*(1-MAX(0,DT68)*H_Exit))</f>
        <v>0</v>
      </c>
      <c r="HH68" s="20" t="n">
        <f aca="false">IF(H_Direct=1,IF(AMU67&lt;=0,0,IF(DU68&lt;=0,AMU67,AMU67-G68*MAX(0,DU68*AMU67-(KT68+OG68)))),AMU67*(1-MAX(0,DU68)*H_Exit))</f>
        <v>0</v>
      </c>
      <c r="HI68" s="20" t="n">
        <f aca="false">IF(H_Direct=1,IF(AMV67&lt;=0,0,IF(DV68&lt;=0,AMV67,AMV67-G68*MAX(0,DV68*AMV67-(KU68+OH68)))),AMV67*(1-MAX(0,DV68)*H_Exit))</f>
        <v>0</v>
      </c>
      <c r="HJ68" s="20" t="n">
        <f aca="false">IF(H_Direct=1,IF(AMW67&lt;=0,0,IF(DW68&lt;=0,AMW67,AMW67-G68*MAX(0,DW68*AMW67-(KV68+OI68)))),AMW67*(1-MAX(0,DW68)*H_Exit))</f>
        <v>0</v>
      </c>
      <c r="HK68" s="20" t="n">
        <f aca="false">IF(H_Direct=1,IF(AMX67&lt;=0,0,IF(DX68&lt;=0,AMX67,AMX67-G68*MAX(0,DX68*AMX67-(KW68+OJ68)))),AMX67*(1-MAX(0,DX68)*H_Exit))</f>
        <v>0</v>
      </c>
      <c r="HL68" s="20" t="n">
        <f aca="false">IF(H_Direct=1,IF(AMY67&lt;=0,0,IF(DY68&lt;=0,AMY67,AMY67-G68*MAX(0,DY68*AMY67-(KX68+OK68)))),AMY67*(1-MAX(0,DY68)*H_Exit))</f>
        <v>0</v>
      </c>
      <c r="HM68" s="20" t="n">
        <f aca="false">IF(H_Direct=1,IF(AMZ67&lt;=0,0,IF(DZ68&lt;=0,AMZ67,AMZ67-G68*MAX(0,DZ68*AMZ67-(KY68+OL68)))),AMZ67*(1-MAX(0,DZ68)*H_Exit))</f>
        <v>0</v>
      </c>
      <c r="HN68" s="20" t="n">
        <f aca="false">IF(H_Direct=1,IF((P68+S68)&lt;=0,0,IF(EA68&lt;=0,(P68+S68),(P68+S68)-G68*MAX(0,EA68*(P68+S68)-(KZ68+OM68)))),(P68+S68)*(1-MAX(0,EA68)*H_Exit))</f>
        <v>0</v>
      </c>
      <c r="HO68" s="20" t="n">
        <v>0</v>
      </c>
      <c r="HP68" s="20" t="n">
        <v>0</v>
      </c>
      <c r="HQ68" s="20" t="n">
        <v>0</v>
      </c>
      <c r="HR68" s="20" t="n">
        <v>0</v>
      </c>
      <c r="HS68" s="20" t="n">
        <v>0</v>
      </c>
      <c r="HT68" s="20" t="n">
        <v>0</v>
      </c>
      <c r="HU68" s="20" t="n">
        <v>0</v>
      </c>
      <c r="HV68" s="20" t="n">
        <v>0</v>
      </c>
      <c r="HW68" s="20" t="n">
        <v>0</v>
      </c>
      <c r="HX68" s="20" t="n">
        <v>0</v>
      </c>
      <c r="HY68" s="20" t="n">
        <v>0</v>
      </c>
      <c r="HZ68" s="20" t="n">
        <v>0</v>
      </c>
      <c r="IA68" s="20" t="n">
        <v>0</v>
      </c>
      <c r="IB68" s="20" t="n">
        <v>0</v>
      </c>
      <c r="IC68" s="20" t="n">
        <v>0</v>
      </c>
      <c r="ID68" s="20" t="n">
        <v>0</v>
      </c>
      <c r="IE68" s="20" t="n">
        <v>0</v>
      </c>
      <c r="IF68" s="20" t="n">
        <v>0</v>
      </c>
      <c r="IG68" s="20" t="n">
        <v>0</v>
      </c>
      <c r="IH68" s="20" t="n">
        <v>0</v>
      </c>
      <c r="II68" s="20" t="n">
        <v>0</v>
      </c>
      <c r="IJ68" s="20" t="n">
        <v>0</v>
      </c>
      <c r="IK68" s="20" t="n">
        <v>0</v>
      </c>
      <c r="IL68" s="20" t="n">
        <v>0</v>
      </c>
      <c r="IM68" s="20" t="n">
        <v>0</v>
      </c>
      <c r="IN68" s="20" t="n">
        <v>0</v>
      </c>
      <c r="IO68" s="20" t="n">
        <v>0</v>
      </c>
      <c r="IP68" s="20" t="n">
        <v>0</v>
      </c>
      <c r="IQ68" s="20" t="n">
        <v>0</v>
      </c>
      <c r="IR68" s="20" t="n">
        <f aca="false">IF(AND(H_Direct=1,BR68&gt;0),MAX(0,H68-(MIN(BR68*AKR67,H68+I68)-MIN(MIN(BR68*AKR67,H68+I68),I68))),H68)</f>
        <v>1270</v>
      </c>
      <c r="IS68" s="20" t="n">
        <f aca="false">IF(AND(H_Direct=1,BS68&gt;0),MAX(0,IR68-(MIN(BS68*AKS67,IR68+ME68)-MIN(MIN(BS68*AKS67,IR68+ME68),ME68))),IR68)</f>
        <v>1270</v>
      </c>
      <c r="IT68" s="20" t="n">
        <f aca="false">IF(AND(H_Direct=1,BT68&gt;0),MAX(0,IS68-(MIN(BT68*AKT67,IS68+MF68)-MIN(MIN(BT68*AKT67,IS68+MF68),MF68))),IS68)</f>
        <v>1270</v>
      </c>
      <c r="IU68" s="20" t="n">
        <f aca="false">IF(AND(H_Direct=1,BU68&gt;0),MAX(0,IT68-(MIN(BU68*AKU67,IT68+MG68)-MIN(MIN(BU68*AKU67,IT68+MG68),MG68))),IT68)</f>
        <v>1270</v>
      </c>
      <c r="IV68" s="20" t="n">
        <f aca="false">IF(AND(H_Direct=1,BV68&gt;0),MAX(0,IU68-(MIN(BV68*AKV67,IU68+MH68)-MIN(MIN(BV68*AKV67,IU68+MH68),MH68))),IU68)</f>
        <v>1270</v>
      </c>
      <c r="IW68" s="20" t="n">
        <f aca="false">IF(AND(H_Direct=1,BW68&gt;0),MAX(0,IV68-(MIN(BW68*AKW67,IV68+MI68)-MIN(MIN(BW68*AKW67,IV68+MI68),MI68))),IV68)</f>
        <v>1270</v>
      </c>
      <c r="IX68" s="20" t="n">
        <f aca="false">IF(AND(H_Direct=1,BX68&gt;0),MAX(0,IW68-(MIN(BX68*AKX67,IW68+MJ68)-MIN(MIN(BX68*AKX67,IW68+MJ68),MJ68))),IW68)</f>
        <v>1270</v>
      </c>
      <c r="IY68" s="20" t="n">
        <f aca="false">IF(AND(H_Direct=1,BY68&gt;0),MAX(0,IX68-(MIN(BY68*AKY67,IX68+MK68)-MIN(MIN(BY68*AKY67,IX68+MK68),MK68))),IX68)</f>
        <v>1270</v>
      </c>
      <c r="IZ68" s="20" t="n">
        <f aca="false">IF(AND(H_Direct=1,BZ68&gt;0),MAX(0,IY68-(MIN(BZ68*AKZ67,IY68+ML68)-MIN(MIN(BZ68*AKZ67,IY68+ML68),ML68))),IY68)</f>
        <v>1270</v>
      </c>
      <c r="JA68" s="20" t="n">
        <f aca="false">IF(AND(H_Direct=1,CA68&gt;0),MAX(0,IZ68-(MIN(CA68*ALA67,IZ68+MM68)-MIN(MIN(CA68*ALA67,IZ68+MM68),MM68))),IZ68)</f>
        <v>1270</v>
      </c>
      <c r="JB68" s="20" t="n">
        <f aca="false">IF(AND(H_Direct=1,CB68&gt;0),MAX(0,JA68-(MIN(CB68*ALB67,JA68+MN68)-MIN(MIN(CB68*ALB67,JA68+MN68),MN68))),JA68)</f>
        <v>1270</v>
      </c>
      <c r="JC68" s="20" t="n">
        <f aca="false">IF(AND(H_Direct=1,CC68&gt;0),MAX(0,JB68-(MIN(CC68*ALC67,JB68+MO68)-MIN(MIN(CC68*ALC67,JB68+MO68),MO68))),JB68)</f>
        <v>1270</v>
      </c>
      <c r="JD68" s="20" t="n">
        <f aca="false">IF(AND(H_Direct=1,CD68&gt;0),MAX(0,JC68-(MIN(CD68*ALD67,JC68+MP68)-MIN(MIN(CD68*ALD67,JC68+MP68),MP68))),JC68)</f>
        <v>1270</v>
      </c>
      <c r="JE68" s="20" t="n">
        <f aca="false">IF(AND(H_Direct=1,CE68&gt;0),MAX(0,JD68-(MIN(CE68*ALE67,JD68+MQ68)-MIN(MIN(CE68*ALE67,JD68+MQ68),MQ68))),JD68)</f>
        <v>1270</v>
      </c>
      <c r="JF68" s="20" t="n">
        <f aca="false">IF(AND(H_Direct=1,CF68&gt;0),MAX(0,JE68-(MIN(CF68*ALF67,JE68+MR68)-MIN(MIN(CF68*ALF67,JE68+MR68),MR68))),JE68)</f>
        <v>1270</v>
      </c>
      <c r="JG68" s="20" t="n">
        <f aca="false">IF(AND(H_Direct=1,CG68&gt;0),MAX(0,JF68-(MIN(CG68*ALG67,JF68+MS68)-MIN(MIN(CG68*ALG67,JF68+MS68),MS68))),JF68)</f>
        <v>1270</v>
      </c>
      <c r="JH68" s="20" t="n">
        <f aca="false">IF(AND(H_Direct=1,CH68&gt;0),MAX(0,JG68-(MIN(CH68*ALH67,JG68+MT68)-MIN(MIN(CH68*ALH67,JG68+MT68),MT68))),JG68)</f>
        <v>1270</v>
      </c>
      <c r="JI68" s="20" t="n">
        <f aca="false">IF(AND(H_Direct=1,CI68&gt;0),MAX(0,JH68-(MIN(CI68*ALI67,JH68+MU68)-MIN(MIN(CI68*ALI67,JH68+MU68),MU68))),JH68)</f>
        <v>1270</v>
      </c>
      <c r="JJ68" s="20" t="n">
        <f aca="false">IF(AND(H_Direct=1,CJ68&gt;0),MAX(0,JI68-(MIN(CJ68*ALJ67,JI68+MV68)-MIN(MIN(CJ68*ALJ67,JI68+MV68),MV68))),JI68)</f>
        <v>1270</v>
      </c>
      <c r="JK68" s="20" t="n">
        <f aca="false">IF(AND(H_Direct=1,CK68&gt;0),MAX(0,JJ68-(MIN(CK68*ALK67,JJ68+MW68)-MIN(MIN(CK68*ALK67,JJ68+MW68),MW68))),JJ68)</f>
        <v>1270</v>
      </c>
      <c r="JL68" s="20" t="n">
        <f aca="false">IF(AND(H_Direct=1,CL68&gt;0),MAX(0,JK68-(MIN(CL68*ALL67,JK68+MX68)-MIN(MIN(CL68*ALL67,JK68+MX68),MX68))),JK68)</f>
        <v>1270</v>
      </c>
      <c r="JM68" s="20" t="n">
        <f aca="false">IF(AND(H_Direct=1,CM68&gt;0),MAX(0,JL68-(MIN(CM68*ALM67,JL68+MY68)-MIN(MIN(CM68*ALM67,JL68+MY68),MY68))),JL68)</f>
        <v>1270</v>
      </c>
      <c r="JN68" s="20" t="n">
        <f aca="false">IF(AND(H_Direct=1,CN68&gt;0),MAX(0,JM68-(MIN(CN68*ALN67,JM68+MZ68)-MIN(MIN(CN68*ALN67,JM68+MZ68),MZ68))),JM68)</f>
        <v>1270</v>
      </c>
      <c r="JO68" s="20" t="n">
        <f aca="false">IF(AND(H_Direct=1,CO68&gt;0),MAX(0,JN68-(MIN(CO68*ALO67,JN68+NA68)-MIN(MIN(CO68*ALO67,JN68+NA68),NA68))),JN68)</f>
        <v>1270</v>
      </c>
      <c r="JP68" s="20" t="n">
        <f aca="false">IF(AND(H_Direct=1,CP68&gt;0),MAX(0,JO68-(MIN(CP68*ALP67,JO68+NB68)-MIN(MIN(CP68*ALP67,JO68+NB68),NB68))),JO68)</f>
        <v>1270</v>
      </c>
      <c r="JQ68" s="20" t="n">
        <f aca="false">IF(AND(H_Direct=1,CQ68&gt;0),MAX(0,JP68-(MIN(CQ68*ALQ67,JP68+NC68)-MIN(MIN(CQ68*ALQ67,JP68+NC68),NC68))),JP68)</f>
        <v>1270</v>
      </c>
      <c r="JR68" s="20" t="n">
        <f aca="false">IF(AND(H_Direct=1,CR68&gt;0),MAX(0,JQ68-(MIN(CR68*ALR67,JQ68+ND68)-MIN(MIN(CR68*ALR67,JQ68+ND68),ND68))),JQ68)</f>
        <v>1270</v>
      </c>
      <c r="JS68" s="20" t="n">
        <f aca="false">IF(AND(H_Direct=1,CS68&gt;0),MAX(0,JR68-(MIN(CS68*ALS67,JR68+NE68)-MIN(MIN(CS68*ALS67,JR68+NE68),NE68))),JR68)</f>
        <v>1270</v>
      </c>
      <c r="JT68" s="20" t="n">
        <f aca="false">IF(AND(H_Direct=1,CT68&gt;0),MAX(0,JS68-(MIN(CT68*ALT67,JS68+NF68)-MIN(MIN(CT68*ALT67,JS68+NF68),NF68))),JS68)</f>
        <v>1270</v>
      </c>
      <c r="JU68" s="20" t="n">
        <f aca="false">IF(AND(H_Direct=1,CU68&gt;0),MAX(0,JT68-(MIN(CU68*ALU67,JT68+NG68)-MIN(MIN(CU68*ALU67,JT68+NG68),NG68))),JT68)</f>
        <v>1270</v>
      </c>
      <c r="JV68" s="20" t="n">
        <f aca="false">IF(AND(H_Direct=1,CV68&gt;0),MAX(0,JU68-(MIN(CV68*ALV67,JU68+NH68)-MIN(MIN(CV68*ALV67,JU68+NH68),NH68))),JU68)</f>
        <v>1270</v>
      </c>
      <c r="JW68" s="20" t="n">
        <f aca="false">IF(AND(H_Direct=1,CW68&gt;0),MAX(0,JV68-(MIN(CW68*ALW67,JV68+NI68)-MIN(MIN(CW68*ALW67,JV68+NI68),NI68))),JV68)</f>
        <v>1270</v>
      </c>
      <c r="JX68" s="20" t="n">
        <f aca="false">IF(AND(H_Direct=1,CX68&gt;0),MAX(0,JW68-(MIN(CX68*ALX67,JW68+NJ68)-MIN(MIN(CX68*ALX67,JW68+NJ68),NJ68))),JW68)</f>
        <v>1270</v>
      </c>
      <c r="JY68" s="20" t="n">
        <f aca="false">IF(AND(H_Direct=1,CY68&gt;0),MAX(0,JX68-(MIN(CY68*ALY67,JX68+NK68)-MIN(MIN(CY68*ALY67,JX68+NK68),NK68))),JX68)</f>
        <v>1270</v>
      </c>
      <c r="JZ68" s="20" t="n">
        <f aca="false">IF(AND(H_Direct=1,CZ68&gt;0),MAX(0,JY68-(MIN(CZ68*ALZ67,JY68+NL68)-MIN(MIN(CZ68*ALZ67,JY68+NL68),NL68))),JY68)</f>
        <v>1270</v>
      </c>
      <c r="KA68" s="20" t="n">
        <f aca="false">IF(AND(H_Direct=1,DA68&gt;0),MAX(0,JZ68-(MIN(DA68*AMA67,JZ68+NM68)-MIN(MIN(DA68*AMA67,JZ68+NM68),NM68))),JZ68)</f>
        <v>1270</v>
      </c>
      <c r="KB68" s="20" t="n">
        <f aca="false">IF(AND(H_Direct=1,DB68&gt;0),MAX(0,KA68-(MIN(DB68*AMB67,KA68+NN68)-MIN(MIN(DB68*AMB67,KA68+NN68),NN68))),KA68)</f>
        <v>1270</v>
      </c>
      <c r="KC68" s="20" t="n">
        <f aca="false">IF(AND(H_Direct=1,DC68&gt;0),MAX(0,KB68-(MIN(DC68*AMC67,KB68+NO68)-MIN(MIN(DC68*AMC67,KB68+NO68),NO68))),KB68)</f>
        <v>1270</v>
      </c>
      <c r="KD68" s="20" t="n">
        <f aca="false">IF(AND(H_Direct=1,DD68&gt;0),MAX(0,KC68-(MIN(DD68*AMD67,KC68+NP68)-MIN(MIN(DD68*AMD67,KC68+NP68),NP68))),KC68)</f>
        <v>1270</v>
      </c>
      <c r="KE68" s="20" t="n">
        <f aca="false">IF(AND(H_Direct=1,DE68&gt;0),MAX(0,KD68-(MIN(DE68*AME67,KD68+NQ68)-MIN(MIN(DE68*AME67,KD68+NQ68),NQ68))),KD68)</f>
        <v>1270</v>
      </c>
      <c r="KF68" s="20" t="n">
        <f aca="false">IF(AND(H_Direct=1,DF68&gt;0),MAX(0,KE68-(MIN(DF68*AMF67,KE68+NR68)-MIN(MIN(DF68*AMF67,KE68+NR68),NR68))),KE68)</f>
        <v>1270</v>
      </c>
      <c r="KG68" s="20" t="n">
        <f aca="false">IF(AND(H_Direct=1,DG68&gt;0),MAX(0,KF68-(MIN(DG68*AMG67,KF68+NS68)-MIN(MIN(DG68*AMG67,KF68+NS68),NS68))),KF68)</f>
        <v>1270</v>
      </c>
      <c r="KH68" s="20" t="n">
        <f aca="false">IF(AND(H_Direct=1,DH68&gt;0),MAX(0,KG68-(MIN(DH68*AMH67,KG68+NT68)-MIN(MIN(DH68*AMH67,KG68+NT68),NT68))),KG68)</f>
        <v>1270</v>
      </c>
      <c r="KI68" s="20" t="n">
        <f aca="false">IF(AND(H_Direct=1,DI68&gt;0),MAX(0,KH68-(MIN(DI68*AMI67,KH68+NU68)-MIN(MIN(DI68*AMI67,KH68+NU68),NU68))),KH68)</f>
        <v>1270</v>
      </c>
      <c r="KJ68" s="20" t="n">
        <f aca="false">IF(AND(H_Direct=1,DJ68&gt;0),MAX(0,KI68-(MIN(DJ68*AMJ67,KI68+NV68)-MIN(MIN(DJ68*AMJ67,KI68+NV68),NV68))),KI68)</f>
        <v>1270</v>
      </c>
      <c r="KK68" s="20" t="n">
        <f aca="false">IF(AND(H_Direct=1,DK68&gt;0),MAX(0,KJ68-(MIN(DK68*AMK67,KJ68+NW68)-MIN(MIN(DK68*AMK67,KJ68+NW68),NW68))),KJ68)</f>
        <v>1270</v>
      </c>
      <c r="KL68" s="20" t="n">
        <f aca="false">IF(AND(H_Direct=1,DL68&gt;0),MAX(0,KK68-(MIN(DL68*AML67,KK68+NX68)-MIN(MIN(DL68*AML67,KK68+NX68),NX68))),KK68)</f>
        <v>1270</v>
      </c>
      <c r="KM68" s="20" t="n">
        <f aca="false">IF(AND(H_Direct=1,DM68&gt;0),MAX(0,KL68-(MIN(DM68*AMM67,KL68+NY68)-MIN(MIN(DM68*AMM67,KL68+NY68),NY68))),KL68)</f>
        <v>1270</v>
      </c>
      <c r="KN68" s="20" t="n">
        <f aca="false">IF(AND(H_Direct=1,DN68&gt;0),MAX(0,KM68-(MIN(DN68*AMN67,KM68+NZ68)-MIN(MIN(DN68*AMN67,KM68+NZ68),NZ68))),KM68)</f>
        <v>1270</v>
      </c>
      <c r="KO68" s="20" t="n">
        <f aca="false">IF(AND(H_Direct=1,DO68&gt;0),MAX(0,KN68-(MIN(DO68*AMO67,KN68+OA68)-MIN(MIN(DO68*AMO67,KN68+OA68),OA68))),KN68)</f>
        <v>1270</v>
      </c>
      <c r="KP68" s="20" t="n">
        <f aca="false">IF(AND(H_Direct=1,DP68&gt;0),MAX(0,KO68-(MIN(DP68*AMP67,KO68+OB68)-MIN(MIN(DP68*AMP67,KO68+OB68),OB68))),KO68)</f>
        <v>1270</v>
      </c>
      <c r="KQ68" s="20" t="n">
        <f aca="false">IF(AND(H_Direct=1,DQ68&gt;0),MAX(0,KP68-(MIN(DQ68*AMQ67,KP68+OC68)-MIN(MIN(DQ68*AMQ67,KP68+OC68),OC68))),KP68)</f>
        <v>1270</v>
      </c>
      <c r="KR68" s="20" t="n">
        <f aca="false">IF(AND(H_Direct=1,DR68&gt;0),MAX(0,KQ68-(MIN(DR68*AMR67,KQ68+OD68)-MIN(MIN(DR68*AMR67,KQ68+OD68),OD68))),KQ68)</f>
        <v>1270</v>
      </c>
      <c r="KS68" s="20" t="n">
        <f aca="false">IF(AND(H_Direct=1,DS68&gt;0),MAX(0,KR68-(MIN(DS68*AMS67,KR68+OE68)-MIN(MIN(DS68*AMS67,KR68+OE68),OE68))),KR68)</f>
        <v>1270</v>
      </c>
      <c r="KT68" s="20" t="n">
        <f aca="false">IF(AND(H_Direct=1,DT68&gt;0),MAX(0,KS68-(MIN(DT68*AMT67,KS68+OF68)-MIN(MIN(DT68*AMT67,KS68+OF68),OF68))),KS68)</f>
        <v>1270</v>
      </c>
      <c r="KU68" s="20" t="n">
        <f aca="false">IF(AND(H_Direct=1,DU68&gt;0),MAX(0,KT68-(MIN(DU68*AMU67,KT68+OG68)-MIN(MIN(DU68*AMU67,KT68+OG68),OG68))),KT68)</f>
        <v>1270</v>
      </c>
      <c r="KV68" s="20" t="n">
        <f aca="false">IF(AND(H_Direct=1,DV68&gt;0),MAX(0,KU68-(MIN(DV68*AMV67,KU68+OH68)-MIN(MIN(DV68*AMV67,KU68+OH68),OH68))),KU68)</f>
        <v>1270</v>
      </c>
      <c r="KW68" s="20" t="n">
        <f aca="false">IF(AND(H_Direct=1,DW68&gt;0),MAX(0,KV68-(MIN(DW68*AMW67,KV68+OI68)-MIN(MIN(DW68*AMW67,KV68+OI68),OI68))),KV68)</f>
        <v>1270</v>
      </c>
      <c r="KX68" s="20" t="n">
        <f aca="false">IF(AND(H_Direct=1,DX68&gt;0),MAX(0,KW68-(MIN(DX68*AMX67,KW68+OJ68)-MIN(MIN(DX68*AMX67,KW68+OJ68),OJ68))),KW68)</f>
        <v>1270</v>
      </c>
      <c r="KY68" s="20" t="n">
        <f aca="false">IF(AND(H_Direct=1,DY68&gt;0),MAX(0,KX68-(MIN(DY68*AMY67,KX68+OK68)-MIN(MIN(DY68*AMY67,KX68+OK68),OK68))),KX68)</f>
        <v>1270</v>
      </c>
      <c r="KZ68" s="20" t="n">
        <f aca="false">IF(AND(H_Direct=1,DZ68&gt;0),MAX(0,KY68-(MIN(DZ68*AMZ67,KY68+OL68)-MIN(MIN(DZ68*AMZ67,KY68+OL68),OL68))),KY68)</f>
        <v>1270</v>
      </c>
      <c r="LA68" s="20" t="n">
        <f aca="false">IF(AND(H_Direct=1,EA68&gt;0),MAX(0,KZ68-(MIN(EA68*(P68+S68),KZ68+OM68)-MIN(MIN(EA68*(P68+S68),KZ68+OM68),OM68))),KZ68)</f>
        <v>1270</v>
      </c>
      <c r="LB68" s="20" t="n">
        <f aca="false">LA68</f>
        <v>1270</v>
      </c>
      <c r="LC68" s="20" t="n">
        <f aca="false">LB68</f>
        <v>1270</v>
      </c>
      <c r="LD68" s="20" t="n">
        <f aca="false">LC68</f>
        <v>1270</v>
      </c>
      <c r="LE68" s="20" t="n">
        <f aca="false">LD68</f>
        <v>1270</v>
      </c>
      <c r="LF68" s="20" t="n">
        <f aca="false">LE68</f>
        <v>1270</v>
      </c>
      <c r="LG68" s="20" t="n">
        <f aca="false">LF68</f>
        <v>1270</v>
      </c>
      <c r="LH68" s="20" t="n">
        <f aca="false">LG68</f>
        <v>1270</v>
      </c>
      <c r="LI68" s="20" t="n">
        <f aca="false">LH68</f>
        <v>1270</v>
      </c>
      <c r="LJ68" s="20" t="n">
        <f aca="false">LI68</f>
        <v>1270</v>
      </c>
      <c r="LK68" s="20" t="n">
        <f aca="false">LJ68</f>
        <v>1270</v>
      </c>
      <c r="LL68" s="20" t="n">
        <f aca="false">LK68</f>
        <v>1270</v>
      </c>
      <c r="LM68" s="20" t="n">
        <f aca="false">LL68</f>
        <v>1270</v>
      </c>
      <c r="LN68" s="20" t="n">
        <f aca="false">LM68</f>
        <v>1270</v>
      </c>
      <c r="LO68" s="20" t="n">
        <f aca="false">LN68</f>
        <v>1270</v>
      </c>
      <c r="LP68" s="20" t="n">
        <f aca="false">LO68</f>
        <v>1270</v>
      </c>
      <c r="LQ68" s="20" t="n">
        <f aca="false">LP68</f>
        <v>1270</v>
      </c>
      <c r="LR68" s="20" t="n">
        <f aca="false">LQ68</f>
        <v>1270</v>
      </c>
      <c r="LS68" s="20" t="n">
        <f aca="false">LR68</f>
        <v>1270</v>
      </c>
      <c r="LT68" s="20" t="n">
        <f aca="false">LS68</f>
        <v>1270</v>
      </c>
      <c r="LU68" s="20" t="n">
        <f aca="false">LT68</f>
        <v>1270</v>
      </c>
      <c r="LV68" s="20" t="n">
        <f aca="false">LU68</f>
        <v>1270</v>
      </c>
      <c r="LW68" s="20" t="n">
        <f aca="false">LV68</f>
        <v>1270</v>
      </c>
      <c r="LX68" s="20" t="n">
        <f aca="false">LW68</f>
        <v>1270</v>
      </c>
      <c r="LY68" s="20" t="n">
        <f aca="false">LX68</f>
        <v>1270</v>
      </c>
      <c r="LZ68" s="20" t="n">
        <f aca="false">LY68</f>
        <v>1270</v>
      </c>
      <c r="MA68" s="20" t="n">
        <f aca="false">LZ68</f>
        <v>1270</v>
      </c>
      <c r="MB68" s="20" t="n">
        <f aca="false">MA68</f>
        <v>1270</v>
      </c>
      <c r="MC68" s="20" t="n">
        <f aca="false">MB68</f>
        <v>1270</v>
      </c>
      <c r="MD68" s="20" t="n">
        <f aca="false">MC68</f>
        <v>1270</v>
      </c>
      <c r="ME68" s="20" t="n">
        <f aca="false">IF(H_Direct=1,IF(BR68&lt;=0,I68-BR68*AKR67,I68-MIN(MIN(BR68*AKR67,H68+I68),I68)),I68)</f>
        <v>0</v>
      </c>
      <c r="MF68" s="20" t="n">
        <f aca="false">IF(H_Direct=1,IF(BS68&lt;=0,ME68-BS68*AKS67,ME68-MIN(MIN(BS68*AKS67,IR68+ME68),ME68)),ME68)</f>
        <v>0</v>
      </c>
      <c r="MG68" s="20" t="n">
        <f aca="false">IF(H_Direct=1,IF(BT68&lt;=0,MF68-BT68*AKT67,MF68-MIN(MIN(BT68*AKT67,IS68+MF68),MF68)),MF68)</f>
        <v>0</v>
      </c>
      <c r="MH68" s="20" t="n">
        <f aca="false">IF(H_Direct=1,IF(BU68&lt;=0,MG68-BU68*AKU67,MG68-MIN(MIN(BU68*AKU67,IT68+MG68),MG68)),MG68)</f>
        <v>0</v>
      </c>
      <c r="MI68" s="20" t="n">
        <f aca="false">IF(H_Direct=1,IF(BV68&lt;=0,MH68-BV68*AKV67,MH68-MIN(MIN(BV68*AKV67,IU68+MH68),MH68)),MH68)</f>
        <v>0</v>
      </c>
      <c r="MJ68" s="20" t="n">
        <f aca="false">IF(H_Direct=1,IF(BW68&lt;=0,MI68-BW68*AKW67,MI68-MIN(MIN(BW68*AKW67,IV68+MI68),MI68)),MI68)</f>
        <v>0</v>
      </c>
      <c r="MK68" s="20" t="n">
        <f aca="false">IF(H_Direct=1,IF(BX68&lt;=0,MJ68-BX68*AKX67,MJ68-MIN(MIN(BX68*AKX67,IW68+MJ68),MJ68)),MJ68)</f>
        <v>0</v>
      </c>
      <c r="ML68" s="20" t="n">
        <f aca="false">IF(H_Direct=1,IF(BY68&lt;=0,MK68-BY68*AKY67,MK68-MIN(MIN(BY68*AKY67,IX68+MK68),MK68)),MK68)</f>
        <v>0</v>
      </c>
      <c r="MM68" s="20" t="n">
        <f aca="false">IF(H_Direct=1,IF(BZ68&lt;=0,ML68-BZ68*AKZ67,ML68-MIN(MIN(BZ68*AKZ67,IY68+ML68),ML68)),ML68)</f>
        <v>0</v>
      </c>
      <c r="MN68" s="20" t="n">
        <f aca="false">IF(H_Direct=1,IF(CA68&lt;=0,MM68-CA68*ALA67,MM68-MIN(MIN(CA68*ALA67,IZ68+MM68),MM68)),MM68)</f>
        <v>0</v>
      </c>
      <c r="MO68" s="20" t="n">
        <f aca="false">IF(H_Direct=1,IF(CB68&lt;=0,MN68-CB68*ALB67,MN68-MIN(MIN(CB68*ALB67,JA68+MN68),MN68)),MN68)</f>
        <v>0</v>
      </c>
      <c r="MP68" s="20" t="n">
        <f aca="false">IF(H_Direct=1,IF(CC68&lt;=0,MO68-CC68*ALC67,MO68-MIN(MIN(CC68*ALC67,JB68+MO68),MO68)),MO68)</f>
        <v>0</v>
      </c>
      <c r="MQ68" s="20" t="n">
        <f aca="false">IF(H_Direct=1,IF(CD68&lt;=0,MP68-CD68*ALD67,MP68-MIN(MIN(CD68*ALD67,JC68+MP68),MP68)),MP68)</f>
        <v>0</v>
      </c>
      <c r="MR68" s="20" t="n">
        <f aca="false">IF(H_Direct=1,IF(CE68&lt;=0,MQ68-CE68*ALE67,MQ68-MIN(MIN(CE68*ALE67,JD68+MQ68),MQ68)),MQ68)</f>
        <v>0</v>
      </c>
      <c r="MS68" s="20" t="n">
        <f aca="false">IF(H_Direct=1,IF(CF68&lt;=0,MR68-CF68*ALF67,MR68-MIN(MIN(CF68*ALF67,JE68+MR68),MR68)),MR68)</f>
        <v>0</v>
      </c>
      <c r="MT68" s="20" t="n">
        <f aca="false">IF(H_Direct=1,IF(CG68&lt;=0,MS68-CG68*ALG67,MS68-MIN(MIN(CG68*ALG67,JF68+MS68),MS68)),MS68)</f>
        <v>0</v>
      </c>
      <c r="MU68" s="20" t="n">
        <f aca="false">IF(H_Direct=1,IF(CH68&lt;=0,MT68-CH68*ALH67,MT68-MIN(MIN(CH68*ALH67,JG68+MT68),MT68)),MT68)</f>
        <v>0</v>
      </c>
      <c r="MV68" s="20" t="n">
        <f aca="false">IF(H_Direct=1,IF(CI68&lt;=0,MU68-CI68*ALI67,MU68-MIN(MIN(CI68*ALI67,JH68+MU68),MU68)),MU68)</f>
        <v>0</v>
      </c>
      <c r="MW68" s="20" t="n">
        <f aca="false">IF(H_Direct=1,IF(CJ68&lt;=0,MV68-CJ68*ALJ67,MV68-MIN(MIN(CJ68*ALJ67,JI68+MV68),MV68)),MV68)</f>
        <v>0</v>
      </c>
      <c r="MX68" s="20" t="n">
        <f aca="false">IF(H_Direct=1,IF(CK68&lt;=0,MW68-CK68*ALK67,MW68-MIN(MIN(CK68*ALK67,JJ68+MW68),MW68)),MW68)</f>
        <v>0</v>
      </c>
      <c r="MY68" s="20" t="n">
        <f aca="false">IF(H_Direct=1,IF(CL68&lt;=0,MX68-CL68*ALL67,MX68-MIN(MIN(CL68*ALL67,JK68+MX68),MX68)),MX68)</f>
        <v>0</v>
      </c>
      <c r="MZ68" s="20" t="n">
        <f aca="false">IF(H_Direct=1,IF(CM68&lt;=0,MY68-CM68*ALM67,MY68-MIN(MIN(CM68*ALM67,JL68+MY68),MY68)),MY68)</f>
        <v>0</v>
      </c>
      <c r="NA68" s="20" t="n">
        <f aca="false">IF(H_Direct=1,IF(CN68&lt;=0,MZ68-CN68*ALN67,MZ68-MIN(MIN(CN68*ALN67,JM68+MZ68),MZ68)),MZ68)</f>
        <v>0</v>
      </c>
      <c r="NB68" s="20" t="n">
        <f aca="false">IF(H_Direct=1,IF(CO68&lt;=0,NA68-CO68*ALO67,NA68-MIN(MIN(CO68*ALO67,JN68+NA68),NA68)),NA68)</f>
        <v>0</v>
      </c>
      <c r="NC68" s="20" t="n">
        <f aca="false">IF(H_Direct=1,IF(CP68&lt;=0,NB68-CP68*ALP67,NB68-MIN(MIN(CP68*ALP67,JO68+NB68),NB68)),NB68)</f>
        <v>0</v>
      </c>
      <c r="ND68" s="20" t="n">
        <f aca="false">IF(H_Direct=1,IF(CQ68&lt;=0,NC68-CQ68*ALQ67,NC68-MIN(MIN(CQ68*ALQ67,JP68+NC68),NC68)),NC68)</f>
        <v>0</v>
      </c>
      <c r="NE68" s="20" t="n">
        <f aca="false">IF(H_Direct=1,IF(CR68&lt;=0,ND68-CR68*ALR67,ND68-MIN(MIN(CR68*ALR67,JQ68+ND68),ND68)),ND68)</f>
        <v>0</v>
      </c>
      <c r="NF68" s="20" t="n">
        <f aca="false">IF(H_Direct=1,IF(CS68&lt;=0,NE68-CS68*ALS67,NE68-MIN(MIN(CS68*ALS67,JR68+NE68),NE68)),NE68)</f>
        <v>0</v>
      </c>
      <c r="NG68" s="20" t="n">
        <f aca="false">IF(H_Direct=1,IF(CT68&lt;=0,NF68-CT68*ALT67,NF68-MIN(MIN(CT68*ALT67,JS68+NF68),NF68)),NF68)</f>
        <v>0</v>
      </c>
      <c r="NH68" s="20" t="n">
        <f aca="false">IF(H_Direct=1,IF(CU68&lt;=0,NG68-CU68*ALU67,NG68-MIN(MIN(CU68*ALU67,JT68+NG68),NG68)),NG68)</f>
        <v>0</v>
      </c>
      <c r="NI68" s="20" t="n">
        <f aca="false">IF(H_Direct=1,IF(CV68&lt;=0,NH68-CV68*ALV67,NH68-MIN(MIN(CV68*ALV67,JU68+NH68),NH68)),NH68)</f>
        <v>0</v>
      </c>
      <c r="NJ68" s="20" t="n">
        <f aca="false">IF(H_Direct=1,IF(CW68&lt;=0,NI68-CW68*ALW67,NI68-MIN(MIN(CW68*ALW67,JV68+NI68),NI68)),NI68)</f>
        <v>0</v>
      </c>
      <c r="NK68" s="20" t="n">
        <f aca="false">IF(H_Direct=1,IF(CX68&lt;=0,NJ68-CX68*ALX67,NJ68-MIN(MIN(CX68*ALX67,JW68+NJ68),NJ68)),NJ68)</f>
        <v>0</v>
      </c>
      <c r="NL68" s="20" t="n">
        <f aca="false">IF(H_Direct=1,IF(CY68&lt;=0,NK68-CY68*ALY67,NK68-MIN(MIN(CY68*ALY67,JX68+NK68),NK68)),NK68)</f>
        <v>0</v>
      </c>
      <c r="NM68" s="20" t="n">
        <f aca="false">IF(H_Direct=1,IF(CZ68&lt;=0,NL68-CZ68*ALZ67,NL68-MIN(MIN(CZ68*ALZ67,JY68+NL68),NL68)),NL68)</f>
        <v>0</v>
      </c>
      <c r="NN68" s="20" t="n">
        <f aca="false">IF(H_Direct=1,IF(DA68&lt;=0,NM68-DA68*AMA67,NM68-MIN(MIN(DA68*AMA67,JZ68+NM68),NM68)),NM68)</f>
        <v>0</v>
      </c>
      <c r="NO68" s="20" t="n">
        <f aca="false">IF(H_Direct=1,IF(DB68&lt;=0,NN68-DB68*AMB67,NN68-MIN(MIN(DB68*AMB67,KA68+NN68),NN68)),NN68)</f>
        <v>0</v>
      </c>
      <c r="NP68" s="20" t="n">
        <f aca="false">IF(H_Direct=1,IF(DC68&lt;=0,NO68-DC68*AMC67,NO68-MIN(MIN(DC68*AMC67,KB68+NO68),NO68)),NO68)</f>
        <v>0</v>
      </c>
      <c r="NQ68" s="20" t="n">
        <f aca="false">IF(H_Direct=1,IF(DD68&lt;=0,NP68-DD68*AMD67,NP68-MIN(MIN(DD68*AMD67,KC68+NP68),NP68)),NP68)</f>
        <v>0</v>
      </c>
      <c r="NR68" s="20" t="n">
        <f aca="false">IF(H_Direct=1,IF(DE68&lt;=0,NQ68-DE68*AME67,NQ68-MIN(MIN(DE68*AME67,KD68+NQ68),NQ68)),NQ68)</f>
        <v>0</v>
      </c>
      <c r="NS68" s="20" t="n">
        <f aca="false">IF(H_Direct=1,IF(DF68&lt;=0,NR68-DF68*AMF67,NR68-MIN(MIN(DF68*AMF67,KE68+NR68),NR68)),NR68)</f>
        <v>0</v>
      </c>
      <c r="NT68" s="20" t="n">
        <f aca="false">IF(H_Direct=1,IF(DG68&lt;=0,NS68-DG68*AMG67,NS68-MIN(MIN(DG68*AMG67,KF68+NS68),NS68)),NS68)</f>
        <v>0</v>
      </c>
      <c r="NU68" s="20" t="n">
        <f aca="false">IF(H_Direct=1,IF(DH68&lt;=0,NT68-DH68*AMH67,NT68-MIN(MIN(DH68*AMH67,KG68+NT68),NT68)),NT68)</f>
        <v>0</v>
      </c>
      <c r="NV68" s="20" t="n">
        <f aca="false">IF(H_Direct=1,IF(DI68&lt;=0,NU68-DI68*AMI67,NU68-MIN(MIN(DI68*AMI67,KH68+NU68),NU68)),NU68)</f>
        <v>0</v>
      </c>
      <c r="NW68" s="20" t="n">
        <f aca="false">IF(H_Direct=1,IF(DJ68&lt;=0,NV68-DJ68*AMJ67,NV68-MIN(MIN(DJ68*AMJ67,KI68+NV68),NV68)),NV68)</f>
        <v>0</v>
      </c>
      <c r="NX68" s="20" t="n">
        <f aca="false">IF(H_Direct=1,IF(DK68&lt;=0,NW68-DK68*AMK67,NW68-MIN(MIN(DK68*AMK67,KJ68+NW68),NW68)),NW68)</f>
        <v>0</v>
      </c>
      <c r="NY68" s="20" t="n">
        <f aca="false">IF(H_Direct=1,IF(DL68&lt;=0,NX68-DL68*AML67,NX68-MIN(MIN(DL68*AML67,KK68+NX68),NX68)),NX68)</f>
        <v>0</v>
      </c>
      <c r="NZ68" s="20" t="n">
        <f aca="false">IF(H_Direct=1,IF(DM68&lt;=0,NY68-DM68*AMM67,NY68-MIN(MIN(DM68*AMM67,KL68+NY68),NY68)),NY68)</f>
        <v>0</v>
      </c>
      <c r="OA68" s="20" t="n">
        <f aca="false">IF(H_Direct=1,IF(DN68&lt;=0,NZ68-DN68*AMN67,NZ68-MIN(MIN(DN68*AMN67,KM68+NZ68),NZ68)),NZ68)</f>
        <v>0</v>
      </c>
      <c r="OB68" s="20" t="n">
        <f aca="false">IF(H_Direct=1,IF(DO68&lt;=0,OA68-DO68*AMO67,OA68-MIN(MIN(DO68*AMO67,KN68+OA68),OA68)),OA68)</f>
        <v>0</v>
      </c>
      <c r="OC68" s="20" t="n">
        <f aca="false">IF(H_Direct=1,IF(DP68&lt;=0,OB68-DP68*AMP67,OB68-MIN(MIN(DP68*AMP67,KO68+OB68),OB68)),OB68)</f>
        <v>0</v>
      </c>
      <c r="OD68" s="20" t="n">
        <f aca="false">IF(H_Direct=1,IF(DQ68&lt;=0,OC68-DQ68*AMQ67,OC68-MIN(MIN(DQ68*AMQ67,KP68+OC68),OC68)),OC68)</f>
        <v>0</v>
      </c>
      <c r="OE68" s="20" t="n">
        <f aca="false">IF(H_Direct=1,IF(DR68&lt;=0,OD68-DR68*AMR67,OD68-MIN(MIN(DR68*AMR67,KQ68+OD68),OD68)),OD68)</f>
        <v>0</v>
      </c>
      <c r="OF68" s="20" t="n">
        <f aca="false">IF(H_Direct=1,IF(DS68&lt;=0,OE68-DS68*AMS67,OE68-MIN(MIN(DS68*AMS67,KR68+OE68),OE68)),OE68)</f>
        <v>0</v>
      </c>
      <c r="OG68" s="20" t="n">
        <f aca="false">IF(H_Direct=1,IF(DT68&lt;=0,OF68-DT68*AMT67,OF68-MIN(MIN(DT68*AMT67,KS68+OF68),OF68)),OF68)</f>
        <v>0</v>
      </c>
      <c r="OH68" s="20" t="n">
        <f aca="false">IF(H_Direct=1,IF(DU68&lt;=0,OG68-DU68*AMU67,OG68-MIN(MIN(DU68*AMU67,KT68+OG68),OG68)),OG68)</f>
        <v>0</v>
      </c>
      <c r="OI68" s="20" t="n">
        <f aca="false">IF(H_Direct=1,IF(DV68&lt;=0,OH68-DV68*AMV67,OH68-MIN(MIN(DV68*AMV67,KU68+OH68),OH68)),OH68)</f>
        <v>0</v>
      </c>
      <c r="OJ68" s="20" t="n">
        <f aca="false">IF(H_Direct=1,IF(DW68&lt;=0,OI68-DW68*AMW67,OI68-MIN(MIN(DW68*AMW67,KV68+OI68),OI68)),OI68)</f>
        <v>0</v>
      </c>
      <c r="OK68" s="20" t="n">
        <f aca="false">IF(H_Direct=1,IF(DX68&lt;=0,OJ68-DX68*AMX67,OJ68-MIN(MIN(DX68*AMX67,KW68+OJ68),OJ68)),OJ68)</f>
        <v>0</v>
      </c>
      <c r="OL68" s="20" t="n">
        <f aca="false">IF(H_Direct=1,IF(DY68&lt;=0,OK68-DY68*AMY67,OK68-MIN(MIN(DY68*AMY67,KX68+OK68),OK68)),OK68)</f>
        <v>0</v>
      </c>
      <c r="OM68" s="20" t="n">
        <f aca="false">IF(H_Direct=1,IF(DZ68&lt;=0,OL68-DZ68*AMZ67,OL68-MIN(MIN(DZ68*AMZ67,KY68+OL68),OL68)),OL68)</f>
        <v>0</v>
      </c>
      <c r="ON68" s="20" t="n">
        <f aca="false">IF(H_Direct=1,IF(EA68&lt;=0,OM68-EA68*(P68+S68),OM68-MIN(MIN(EA68*(P68+S68),KZ68+OM68),OM68)),OM68)</f>
        <v>0</v>
      </c>
      <c r="OO68" s="20" t="n">
        <f aca="false">ON68</f>
        <v>0</v>
      </c>
      <c r="OP68" s="20" t="n">
        <f aca="false">OO68</f>
        <v>0</v>
      </c>
      <c r="OQ68" s="20" t="n">
        <f aca="false">OP68</f>
        <v>0</v>
      </c>
      <c r="OR68" s="20" t="n">
        <f aca="false">OQ68</f>
        <v>0</v>
      </c>
      <c r="OS68" s="20" t="n">
        <f aca="false">OR68</f>
        <v>0</v>
      </c>
      <c r="OT68" s="20" t="n">
        <f aca="false">OS68</f>
        <v>0</v>
      </c>
      <c r="OU68" s="20" t="n">
        <f aca="false">OT68</f>
        <v>0</v>
      </c>
      <c r="OV68" s="20" t="n">
        <f aca="false">OU68</f>
        <v>0</v>
      </c>
      <c r="OW68" s="20" t="n">
        <f aca="false">OV68</f>
        <v>0</v>
      </c>
      <c r="OX68" s="20" t="n">
        <f aca="false">OW68</f>
        <v>0</v>
      </c>
      <c r="OY68" s="20" t="n">
        <f aca="false">OX68</f>
        <v>0</v>
      </c>
      <c r="OZ68" s="20" t="n">
        <f aca="false">OY68</f>
        <v>0</v>
      </c>
      <c r="PA68" s="20" t="n">
        <f aca="false">OZ68</f>
        <v>0</v>
      </c>
      <c r="PB68" s="20" t="n">
        <f aca="false">PA68</f>
        <v>0</v>
      </c>
      <c r="PC68" s="20" t="n">
        <f aca="false">PB68</f>
        <v>0</v>
      </c>
      <c r="PD68" s="20" t="n">
        <f aca="false">PC68</f>
        <v>0</v>
      </c>
      <c r="PE68" s="20" t="n">
        <f aca="false">PD68</f>
        <v>0</v>
      </c>
      <c r="PF68" s="20" t="n">
        <f aca="false">PE68</f>
        <v>0</v>
      </c>
      <c r="PG68" s="20" t="n">
        <f aca="false">PF68</f>
        <v>0</v>
      </c>
      <c r="PH68" s="20" t="n">
        <f aca="false">PG68</f>
        <v>0</v>
      </c>
      <c r="PI68" s="20" t="n">
        <f aca="false">PH68</f>
        <v>0</v>
      </c>
      <c r="PJ68" s="20" t="n">
        <f aca="false">PI68</f>
        <v>0</v>
      </c>
      <c r="PK68" s="20" t="n">
        <f aca="false">PJ68</f>
        <v>0</v>
      </c>
      <c r="PL68" s="20" t="n">
        <f aca="false">PK68</f>
        <v>0</v>
      </c>
      <c r="PM68" s="20" t="n">
        <f aca="false">PL68</f>
        <v>0</v>
      </c>
      <c r="PN68" s="20" t="n">
        <f aca="false">PM68</f>
        <v>0</v>
      </c>
      <c r="PO68" s="20" t="n">
        <f aca="false">PN68</f>
        <v>0</v>
      </c>
      <c r="PP68" s="20" t="n">
        <f aca="false">PO68</f>
        <v>0</v>
      </c>
      <c r="PQ68" s="20" t="n">
        <f aca="false">PP68</f>
        <v>0</v>
      </c>
      <c r="PR68" s="20" t="n">
        <f aca="false">IF(H_Direct=1,IF(AKR67&lt;=0,0,IF(BR68&lt;=0,MIN(MAX(0,AB68),AKR67),MIN(MAX(0,AB68),AKR67-G68*MAX(0,BR68*AKR67-(H68+I68))))),MIN(FE68,MAX(0,AB68)))</f>
        <v>0</v>
      </c>
      <c r="PS68" s="20" t="n">
        <f aca="false">IF(H_Direct=1,IF(AKS67&lt;=0,0,IF(BS68&lt;=0,MIN(MAX(0,AB68-SUM(PR68:PR68)),AKS67),MIN(MAX(0,AB68-SUM(PR68:PR68)),AKS67-G68*MAX(0,BS68*AKS67-(WR68+AAE68))))),MIN(FF68,MAX(0,AB68-SUM(PR68:PR68))))</f>
        <v>0</v>
      </c>
      <c r="PT68" s="20" t="n">
        <f aca="false">IF(H_Direct=1,IF(AKT67&lt;=0,0,IF(BT68&lt;=0,MIN(MAX(0,AB68-SUM(PR68:PS68)),AKT67),MIN(MAX(0,AB68-SUM(PR68:PS68)),AKT67-G68*MAX(0,BT68*AKT67-(WS68+AAF68))))),MIN(FG68,MAX(0,AB68-SUM(PR68:PS68))))</f>
        <v>0</v>
      </c>
      <c r="PU68" s="20" t="n">
        <f aca="false">IF(H_Direct=1,IF(AKU67&lt;=0,0,IF(BU68&lt;=0,MIN(MAX(0,AB68-SUM(PR68:PT68)),AKU67),MIN(MAX(0,AB68-SUM(PR68:PT68)),AKU67-G68*MAX(0,BU68*AKU67-(WT68+AAG68))))),MIN(FH68,MAX(0,AB68-SUM(PR68:PT68))))</f>
        <v>0</v>
      </c>
      <c r="PV68" s="20" t="n">
        <f aca="false">IF(H_Direct=1,IF(AKV67&lt;=0,0,IF(BV68&lt;=0,MIN(MAX(0,AB68-SUM(PR68:PU68)),AKV67),MIN(MAX(0,AB68-SUM(PR68:PU68)),AKV67-G68*MAX(0,BV68*AKV67-(WU68+AAH68))))),MIN(FI68,MAX(0,AB68-SUM(PR68:PU68))))</f>
        <v>0</v>
      </c>
      <c r="PW68" s="20" t="n">
        <f aca="false">IF(H_Direct=1,IF(AKW67&lt;=0,0,IF(BW68&lt;=0,MIN(MAX(0,AB68-SUM(PR68:PV68)),AKW67),MIN(MAX(0,AB68-SUM(PR68:PV68)),AKW67-G68*MAX(0,BW68*AKW67-(WV68+AAI68))))),MIN(FJ68,MAX(0,AB68-SUM(PR68:PV68))))</f>
        <v>0</v>
      </c>
      <c r="PX68" s="20" t="n">
        <f aca="false">IF(H_Direct=1,IF(AKX67&lt;=0,0,IF(BX68&lt;=0,MIN(MAX(0,AB68-SUM(PR68:PW68)),AKX67),MIN(MAX(0,AB68-SUM(PR68:PW68)),AKX67-G68*MAX(0,BX68*AKX67-(WW68+AAJ68))))),MIN(FK68,MAX(0,AB68-SUM(PR68:PW68))))</f>
        <v>0</v>
      </c>
      <c r="PY68" s="20" t="n">
        <f aca="false">IF(H_Direct=1,IF(AKY67&lt;=0,0,IF(BY68&lt;=0,MIN(MAX(0,AB68-SUM(PR68:PX68)),AKY67),MIN(MAX(0,AB68-SUM(PR68:PX68)),AKY67-G68*MAX(0,BY68*AKY67-(WX68+AAK68))))),MIN(FL68,MAX(0,AB68-SUM(PR68:PX68))))</f>
        <v>0</v>
      </c>
      <c r="PZ68" s="20" t="n">
        <f aca="false">IF(H_Direct=1,IF(AKZ67&lt;=0,0,IF(BZ68&lt;=0,MIN(MAX(0,AB68-SUM(PR68:PY68)),AKZ67),MIN(MAX(0,AB68-SUM(PR68:PY68)),AKZ67-G68*MAX(0,BZ68*AKZ67-(WY68+AAL68))))),MIN(FM68,MAX(0,AB68-SUM(PR68:PY68))))</f>
        <v>0</v>
      </c>
      <c r="QA68" s="20" t="n">
        <f aca="false">IF(H_Direct=1,IF(ALA67&lt;=0,0,IF(CA68&lt;=0,MIN(MAX(0,AB68-SUM(PR68:PZ68)),ALA67),MIN(MAX(0,AB68-SUM(PR68:PZ68)),ALA67-G68*MAX(0,CA68*ALA67-(WZ68+AAM68))))),MIN(FN68,MAX(0,AB68-SUM(PR68:PZ68))))</f>
        <v>0</v>
      </c>
      <c r="QB68" s="20" t="n">
        <f aca="false">IF(H_Direct=1,IF(ALB67&lt;=0,0,IF(CB68&lt;=0,MIN(MAX(0,AB68-SUM(PR68:QA68)),ALB67),MIN(MAX(0,AB68-SUM(PR68:QA68)),ALB67-G68*MAX(0,CB68*ALB67-(XA68+AAN68))))),MIN(FO68,MAX(0,AB68-SUM(PR68:QA68))))</f>
        <v>0</v>
      </c>
      <c r="QC68" s="20" t="n">
        <f aca="false">IF(H_Direct=1,IF(ALC67&lt;=0,0,IF(CC68&lt;=0,MIN(MAX(0,AB68-SUM(PR68:QB68)),ALC67),MIN(MAX(0,AB68-SUM(PR68:QB68)),ALC67-G68*MAX(0,CC68*ALC67-(XB68+AAO68))))),MIN(FP68,MAX(0,AB68-SUM(PR68:QB68))))</f>
        <v>0</v>
      </c>
      <c r="QD68" s="20" t="n">
        <f aca="false">IF(H_Direct=1,IF(ALD67&lt;=0,0,IF(CD68&lt;=0,MIN(MAX(0,AB68-SUM(PR68:QC68)),ALD67),MIN(MAX(0,AB68-SUM(PR68:QC68)),ALD67-G68*MAX(0,CD68*ALD67-(XC68+AAP68))))),MIN(FQ68,MAX(0,AB68-SUM(PR68:QC68))))</f>
        <v>0</v>
      </c>
      <c r="QE68" s="20" t="n">
        <f aca="false">IF(H_Direct=1,IF(ALE67&lt;=0,0,IF(CE68&lt;=0,MIN(MAX(0,AB68-SUM(PR68:QD68)),ALE67),MIN(MAX(0,AB68-SUM(PR68:QD68)),ALE67-G68*MAX(0,CE68*ALE67-(XD68+AAQ68))))),MIN(FR68,MAX(0,AB68-SUM(PR68:QD68))))</f>
        <v>0</v>
      </c>
      <c r="QF68" s="20" t="n">
        <f aca="false">IF(H_Direct=1,IF(ALF67&lt;=0,0,IF(CF68&lt;=0,MIN(MAX(0,AB68-SUM(PR68:QE68)),ALF67),MIN(MAX(0,AB68-SUM(PR68:QE68)),ALF67-G68*MAX(0,CF68*ALF67-(XE68+AAR68))))),MIN(FS68,MAX(0,AB68-SUM(PR68:QE68))))</f>
        <v>0</v>
      </c>
      <c r="QG68" s="20" t="n">
        <f aca="false">IF(H_Direct=1,IF(ALG67&lt;=0,0,IF(CG68&lt;=0,MIN(MAX(0,AB68-SUM(PR68:QF68)),ALG67),MIN(MAX(0,AB68-SUM(PR68:QF68)),ALG67-G68*MAX(0,CG68*ALG67-(XF68+AAS68))))),MIN(FT68,MAX(0,AB68-SUM(PR68:QF68))))</f>
        <v>0</v>
      </c>
      <c r="QH68" s="20" t="n">
        <f aca="false">IF(H_Direct=1,IF(ALH67&lt;=0,0,IF(CH68&lt;=0,MIN(MAX(0,AB68-SUM(PR68:QG68)),ALH67),MIN(MAX(0,AB68-SUM(PR68:QG68)),ALH67-G68*MAX(0,CH68*ALH67-(XG68+AAT68))))),MIN(FU68,MAX(0,AB68-SUM(PR68:QG68))))</f>
        <v>0</v>
      </c>
      <c r="QI68" s="20" t="n">
        <f aca="false">IF(H_Direct=1,IF(ALI67&lt;=0,0,IF(CI68&lt;=0,MIN(MAX(0,AB68-SUM(PR68:QH68)),ALI67),MIN(MAX(0,AB68-SUM(PR68:QH68)),ALI67-G68*MAX(0,CI68*ALI67-(XH68+AAU68))))),MIN(FV68,MAX(0,AB68-SUM(PR68:QH68))))</f>
        <v>0</v>
      </c>
      <c r="QJ68" s="20" t="n">
        <f aca="false">IF(H_Direct=1,IF(ALJ67&lt;=0,0,IF(CJ68&lt;=0,MIN(MAX(0,AB68-SUM(PR68:QI68)),ALJ67),MIN(MAX(0,AB68-SUM(PR68:QI68)),ALJ67-G68*MAX(0,CJ68*ALJ67-(XI68+AAV68))))),MIN(FW68,MAX(0,AB68-SUM(PR68:QI68))))</f>
        <v>0</v>
      </c>
      <c r="QK68" s="20" t="n">
        <f aca="false">IF(H_Direct=1,IF(ALK67&lt;=0,0,IF(CK68&lt;=0,MIN(MAX(0,AB68-SUM(PR68:QJ68)),ALK67),MIN(MAX(0,AB68-SUM(PR68:QJ68)),ALK67-G68*MAX(0,CK68*ALK67-(XJ68+AAW68))))),MIN(FX68,MAX(0,AB68-SUM(PR68:QJ68))))</f>
        <v>0</v>
      </c>
      <c r="QL68" s="20" t="n">
        <f aca="false">IF(H_Direct=1,IF(ALL67&lt;=0,0,IF(CL68&lt;=0,MIN(MAX(0,AB68-SUM(PR68:QK68)),ALL67),MIN(MAX(0,AB68-SUM(PR68:QK68)),ALL67-G68*MAX(0,CL68*ALL67-(XK68+AAX68))))),MIN(FY68,MAX(0,AB68-SUM(PR68:QK68))))</f>
        <v>0</v>
      </c>
      <c r="QM68" s="20" t="n">
        <f aca="false">IF(H_Direct=1,IF(ALM67&lt;=0,0,IF(CM68&lt;=0,MIN(MAX(0,AB68-SUM(PR68:QL68)),ALM67),MIN(MAX(0,AB68-SUM(PR68:QL68)),ALM67-G68*MAX(0,CM68*ALM67-(XL68+AAY68))))),MIN(FZ68,MAX(0,AB68-SUM(PR68:QL68))))</f>
        <v>0</v>
      </c>
      <c r="QN68" s="20" t="n">
        <f aca="false">IF(H_Direct=1,IF(ALN67&lt;=0,0,IF(CN68&lt;=0,MIN(MAX(0,AB68-SUM(PR68:QM68)),ALN67),MIN(MAX(0,AB68-SUM(PR68:QM68)),ALN67-G68*MAX(0,CN68*ALN67-(XM68+AAZ68))))),MIN(GA68,MAX(0,AB68-SUM(PR68:QM68))))</f>
        <v>0</v>
      </c>
      <c r="QO68" s="20" t="n">
        <f aca="false">IF(H_Direct=1,IF(ALO67&lt;=0,0,IF(CO68&lt;=0,MIN(MAX(0,AB68-SUM(PR68:QN68)),ALO67),MIN(MAX(0,AB68-SUM(PR68:QN68)),ALO67-G68*MAX(0,CO68*ALO67-(XN68+ABA68))))),MIN(GB68,MAX(0,AB68-SUM(PR68:QN68))))</f>
        <v>0</v>
      </c>
      <c r="QP68" s="20" t="n">
        <f aca="false">IF(H_Direct=1,IF(ALP67&lt;=0,0,IF(CP68&lt;=0,MIN(MAX(0,AB68-SUM(PR68:QO68)),ALP67),MIN(MAX(0,AB68-SUM(PR68:QO68)),ALP67-G68*MAX(0,CP68*ALP67-(XO68+ABB68))))),MIN(GC68,MAX(0,AB68-SUM(PR68:QO68))))</f>
        <v>0</v>
      </c>
      <c r="QQ68" s="20" t="n">
        <f aca="false">IF(H_Direct=1,IF(ALQ67&lt;=0,0,IF(CQ68&lt;=0,MIN(MAX(0,AB68-SUM(PR68:QP68)),ALQ67),MIN(MAX(0,AB68-SUM(PR68:QP68)),ALQ67-G68*MAX(0,CQ68*ALQ67-(XP68+ABC68))))),MIN(GD68,MAX(0,AB68-SUM(PR68:QP68))))</f>
        <v>0</v>
      </c>
      <c r="QR68" s="20" t="n">
        <f aca="false">IF(H_Direct=1,IF(ALR67&lt;=0,0,IF(CR68&lt;=0,MIN(MAX(0,AB68-SUM(PR68:QQ68)),ALR67),MIN(MAX(0,AB68-SUM(PR68:QQ68)),ALR67-G68*MAX(0,CR68*ALR67-(XQ68+ABD68))))),MIN(GE68,MAX(0,AB68-SUM(PR68:QQ68))))</f>
        <v>0</v>
      </c>
      <c r="QS68" s="20" t="n">
        <f aca="false">IF(H_Direct=1,IF(ALS67&lt;=0,0,IF(CS68&lt;=0,MIN(MAX(0,AB68-SUM(PR68:QR68)),ALS67),MIN(MAX(0,AB68-SUM(PR68:QR68)),ALS67-G68*MAX(0,CS68*ALS67-(XR68+ABE68))))),MIN(GF68,MAX(0,AB68-SUM(PR68:QR68))))</f>
        <v>0</v>
      </c>
      <c r="QT68" s="20" t="n">
        <f aca="false">IF(H_Direct=1,IF(ALT67&lt;=0,0,IF(CT68&lt;=0,MIN(MAX(0,AB68-SUM(PR68:QS68)),ALT67),MIN(MAX(0,AB68-SUM(PR68:QS68)),ALT67-G68*MAX(0,CT68*ALT67-(XS68+ABF68))))),MIN(GG68,MAX(0,AB68-SUM(PR68:QS68))))</f>
        <v>0</v>
      </c>
      <c r="QU68" s="20" t="n">
        <f aca="false">IF(H_Direct=1,IF(ALU67&lt;=0,0,IF(CU68&lt;=0,MIN(MAX(0,AB68-SUM(PR68:QT68)),ALU67),MIN(MAX(0,AB68-SUM(PR68:QT68)),ALU67-G68*MAX(0,CU68*ALU67-(XT68+ABG68))))),MIN(GH68,MAX(0,AB68-SUM(PR68:QT68))))</f>
        <v>0</v>
      </c>
      <c r="QV68" s="20" t="n">
        <f aca="false">IF(H_Direct=1,IF(ALV67&lt;=0,0,IF(CV68&lt;=0,MIN(MAX(0,AB68-SUM(PR68:QU68)),ALV67),MIN(MAX(0,AB68-SUM(PR68:QU68)),ALV67-G68*MAX(0,CV68*ALV67-(XU68+ABH68))))),MIN(GI68,MAX(0,AB68-SUM(PR68:QU68))))</f>
        <v>0</v>
      </c>
      <c r="QW68" s="20" t="n">
        <f aca="false">IF(H_Direct=1,IF(ALW67&lt;=0,0,IF(CW68&lt;=0,MIN(MAX(0,AB68-SUM(PR68:QV68)),ALW67),MIN(MAX(0,AB68-SUM(PR68:QV68)),ALW67-G68*MAX(0,CW68*ALW67-(XV68+ABI68))))),MIN(GJ68,MAX(0,AB68-SUM(PR68:QV68))))</f>
        <v>0</v>
      </c>
      <c r="QX68" s="20" t="n">
        <f aca="false">IF(H_Direct=1,IF(ALX67&lt;=0,0,IF(CX68&lt;=0,MIN(MAX(0,AB68-SUM(PR68:QW68)),ALX67),MIN(MAX(0,AB68-SUM(PR68:QW68)),ALX67-G68*MAX(0,CX68*ALX67-(XW68+ABJ68))))),MIN(GK68,MAX(0,AB68-SUM(PR68:QW68))))</f>
        <v>0</v>
      </c>
      <c r="QY68" s="20" t="n">
        <f aca="false">IF(H_Direct=1,IF(ALY67&lt;=0,0,IF(CY68&lt;=0,MIN(MAX(0,AB68-SUM(PR68:QX68)),ALY67),MIN(MAX(0,AB68-SUM(PR68:QX68)),ALY67-G68*MAX(0,CY68*ALY67-(XX68+ABK68))))),MIN(GL68,MAX(0,AB68-SUM(PR68:QX68))))</f>
        <v>0</v>
      </c>
      <c r="QZ68" s="20" t="n">
        <f aca="false">IF(H_Direct=1,IF(ALZ67&lt;=0,0,IF(CZ68&lt;=0,MIN(MAX(0,AB68-SUM(PR68:QY68)),ALZ67),MIN(MAX(0,AB68-SUM(PR68:QY68)),ALZ67-G68*MAX(0,CZ68*ALZ67-(XY68+ABL68))))),MIN(GM68,MAX(0,AB68-SUM(PR68:QY68))))</f>
        <v>0</v>
      </c>
      <c r="RA68" s="20" t="n">
        <f aca="false">IF(H_Direct=1,IF(AMA67&lt;=0,0,IF(DA68&lt;=0,MIN(MAX(0,AB68-SUM(PR68:QZ68)),AMA67),MIN(MAX(0,AB68-SUM(PR68:QZ68)),AMA67-G68*MAX(0,DA68*AMA67-(XZ68+ABM68))))),MIN(GN68,MAX(0,AB68-SUM(PR68:QZ68))))</f>
        <v>0</v>
      </c>
      <c r="RB68" s="20" t="n">
        <f aca="false">IF(H_Direct=1,IF(AMB67&lt;=0,0,IF(DB68&lt;=0,MIN(MAX(0,AB68-SUM(PR68:RA68)),AMB67),MIN(MAX(0,AB68-SUM(PR68:RA68)),AMB67-G68*MAX(0,DB68*AMB67-(YA68+ABN68))))),MIN(GO68,MAX(0,AB68-SUM(PR68:RA68))))</f>
        <v>0</v>
      </c>
      <c r="RC68" s="20" t="n">
        <f aca="false">IF(H_Direct=1,IF(AMC67&lt;=0,0,IF(DC68&lt;=0,MIN(MAX(0,AB68-SUM(PR68:RB68)),AMC67),MIN(MAX(0,AB68-SUM(PR68:RB68)),AMC67-G68*MAX(0,DC68*AMC67-(YB68+ABO68))))),MIN(GP68,MAX(0,AB68-SUM(PR68:RB68))))</f>
        <v>0</v>
      </c>
      <c r="RD68" s="20" t="n">
        <f aca="false">IF(H_Direct=1,IF(AMD67&lt;=0,0,IF(DD68&lt;=0,MIN(MAX(0,AB68-SUM(PR68:RC68)),AMD67),MIN(MAX(0,AB68-SUM(PR68:RC68)),AMD67-G68*MAX(0,DD68*AMD67-(YC68+ABP68))))),MIN(GQ68,MAX(0,AB68-SUM(PR68:RC68))))</f>
        <v>0</v>
      </c>
      <c r="RE68" s="20" t="n">
        <f aca="false">IF(H_Direct=1,IF(AME67&lt;=0,0,IF(DE68&lt;=0,MIN(MAX(0,AB68-SUM(PR68:RD68)),AME67),MIN(MAX(0,AB68-SUM(PR68:RD68)),AME67-G68*MAX(0,DE68*AME67-(YD68+ABQ68))))),MIN(GR68,MAX(0,AB68-SUM(PR68:RD68))))</f>
        <v>0</v>
      </c>
      <c r="RF68" s="20" t="n">
        <f aca="false">IF(H_Direct=1,IF(AMF67&lt;=0,0,IF(DF68&lt;=0,MIN(MAX(0,AB68-SUM(PR68:RE68)),AMF67),MIN(MAX(0,AB68-SUM(PR68:RE68)),AMF67-G68*MAX(0,DF68*AMF67-(YE68+ABR68))))),MIN(GS68,MAX(0,AB68-SUM(PR68:RE68))))</f>
        <v>0</v>
      </c>
      <c r="RG68" s="20" t="n">
        <f aca="false">IF(H_Direct=1,IF(AMG67&lt;=0,0,IF(DG68&lt;=0,MIN(MAX(0,AB68-SUM(PR68:RF68)),AMG67),MIN(MAX(0,AB68-SUM(PR68:RF68)),AMG67-G68*MAX(0,DG68*AMG67-(YF68+ABS68))))),MIN(GT68,MAX(0,AB68-SUM(PR68:RF68))))</f>
        <v>0</v>
      </c>
      <c r="RH68" s="20" t="n">
        <f aca="false">IF(H_Direct=1,IF(AMH67&lt;=0,0,IF(DH68&lt;=0,MIN(MAX(0,AB68-SUM(PR68:RG68)),AMH67),MIN(MAX(0,AB68-SUM(PR68:RG68)),AMH67-G68*MAX(0,DH68*AMH67-(YG68+ABT68))))),MIN(GU68,MAX(0,AB68-SUM(PR68:RG68))))</f>
        <v>0</v>
      </c>
      <c r="RI68" s="20" t="n">
        <f aca="false">IF(H_Direct=1,IF(AMI67&lt;=0,0,IF(DI68&lt;=0,MIN(MAX(0,AB68-SUM(PR68:RH68)),AMI67),MIN(MAX(0,AB68-SUM(PR68:RH68)),AMI67-G68*MAX(0,DI68*AMI67-(YH68+ABU68))))),MIN(GV68,MAX(0,AB68-SUM(PR68:RH68))))</f>
        <v>0</v>
      </c>
      <c r="RJ68" s="20" t="n">
        <f aca="false">IF(H_Direct=1,IF(AMJ67&lt;=0,0,IF(DJ68&lt;=0,MIN(MAX(0,AB68-SUM(PR68:RI68)),AMJ67),MIN(MAX(0,AB68-SUM(PR68:RI68)),AMJ67-G68*MAX(0,DJ68*AMJ67-(YI68+ABV68))))),MIN(GW68,MAX(0,AB68-SUM(PR68:RI68))))</f>
        <v>0</v>
      </c>
      <c r="RK68" s="20" t="n">
        <f aca="false">IF(H_Direct=1,IF(AMK67&lt;=0,0,IF(DK68&lt;=0,MIN(MAX(0,AB68-SUM(PR68:RJ68)),AMK67),MIN(MAX(0,AB68-SUM(PR68:RJ68)),AMK67-G68*MAX(0,DK68*AMK67-(YJ68+ABW68))))),MIN(GX68,MAX(0,AB68-SUM(PR68:RJ68))))</f>
        <v>0</v>
      </c>
      <c r="RL68" s="20" t="n">
        <f aca="false">IF(H_Direct=1,IF(AML67&lt;=0,0,IF(DL68&lt;=0,MIN(MAX(0,AB68-SUM(PR68:RK68)),AML67),MIN(MAX(0,AB68-SUM(PR68:RK68)),AML67-G68*MAX(0,DL68*AML67-(YK68+ABX68))))),MIN(GY68,MAX(0,AB68-SUM(PR68:RK68))))</f>
        <v>0</v>
      </c>
      <c r="RM68" s="20" t="n">
        <f aca="false">IF(H_Direct=1,IF(AMM67&lt;=0,0,IF(DM68&lt;=0,MIN(MAX(0,AB68-SUM(PR68:RL68)),AMM67),MIN(MAX(0,AB68-SUM(PR68:RL68)),AMM67-G68*MAX(0,DM68*AMM67-(YL68+ABY68))))),MIN(GZ68,MAX(0,AB68-SUM(PR68:RL68))))</f>
        <v>0</v>
      </c>
      <c r="RN68" s="20" t="n">
        <f aca="false">IF(H_Direct=1,IF(AMN67&lt;=0,0,IF(DN68&lt;=0,MIN(MAX(0,AB68-SUM(PR68:RM68)),AMN67),MIN(MAX(0,AB68-SUM(PR68:RM68)),AMN67-G68*MAX(0,DN68*AMN67-(YM68+ABZ68))))),MIN(HA68,MAX(0,AB68-SUM(PR68:RM68))))</f>
        <v>0</v>
      </c>
      <c r="RO68" s="20" t="n">
        <f aca="false">IF(H_Direct=1,IF(AMO67&lt;=0,0,IF(DO68&lt;=0,MIN(MAX(0,AB68-SUM(PR68:RN68)),AMO67),MIN(MAX(0,AB68-SUM(PR68:RN68)),AMO67-G68*MAX(0,DO68*AMO67-(YN68+ACA68))))),MIN(HB68,MAX(0,AB68-SUM(PR68:RN68))))</f>
        <v>0</v>
      </c>
      <c r="RP68" s="20" t="n">
        <f aca="false">IF(H_Direct=1,IF(AMP67&lt;=0,0,IF(DP68&lt;=0,MIN(MAX(0,AB68-SUM(PR68:RO68)),AMP67),MIN(MAX(0,AB68-SUM(PR68:RO68)),AMP67-G68*MAX(0,DP68*AMP67-(YO68+ACB68))))),MIN(HC68,MAX(0,AB68-SUM(PR68:RO68))))</f>
        <v>0</v>
      </c>
      <c r="RQ68" s="20" t="n">
        <f aca="false">IF(H_Direct=1,IF(AMQ67&lt;=0,0,IF(DQ68&lt;=0,MIN(MAX(0,AB68-SUM(PR68:RP68)),AMQ67),MIN(MAX(0,AB68-SUM(PR68:RP68)),AMQ67-G68*MAX(0,DQ68*AMQ67-(YP68+ACC68))))),MIN(HD68,MAX(0,AB68-SUM(PR68:RP68))))</f>
        <v>0</v>
      </c>
      <c r="RR68" s="20" t="n">
        <f aca="false">IF(H_Direct=1,IF(AMR67&lt;=0,0,IF(DR68&lt;=0,MIN(MAX(0,AB68-SUM(PR68:RQ68)),AMR67),MIN(MAX(0,AB68-SUM(PR68:RQ68)),AMR67-G68*MAX(0,DR68*AMR67-(YQ68+ACD68))))),MIN(HE68,MAX(0,AB68-SUM(PR68:RQ68))))</f>
        <v>0</v>
      </c>
      <c r="RS68" s="20" t="n">
        <f aca="false">IF(H_Direct=1,IF(AMS67&lt;=0,0,IF(DS68&lt;=0,MIN(MAX(0,AB68-SUM(PR68:RR68)),AMS67),MIN(MAX(0,AB68-SUM(PR68:RR68)),AMS67-G68*MAX(0,DS68*AMS67-(YR68+ACE68))))),MIN(HF68,MAX(0,AB68-SUM(PR68:RR68))))</f>
        <v>0</v>
      </c>
      <c r="RT68" s="20" t="n">
        <f aca="false">IF(H_Direct=1,IF(AMT67&lt;=0,0,IF(DT68&lt;=0,MIN(MAX(0,AB68-SUM(PR68:RS68)),AMT67),MIN(MAX(0,AB68-SUM(PR68:RS68)),AMT67-G68*MAX(0,DT68*AMT67-(YS68+ACF68))))),MIN(HG68,MAX(0,AB68-SUM(PR68:RS68))))</f>
        <v>0</v>
      </c>
      <c r="RU68" s="20" t="n">
        <f aca="false">IF(H_Direct=1,IF(AMU67&lt;=0,0,IF(DU68&lt;=0,MIN(MAX(0,AB68-SUM(PR68:RT68)),AMU67),MIN(MAX(0,AB68-SUM(PR68:RT68)),AMU67-G68*MAX(0,DU68*AMU67-(YT68+ACG68))))),MIN(HH68,MAX(0,AB68-SUM(PR68:RT68))))</f>
        <v>0</v>
      </c>
      <c r="RV68" s="20" t="n">
        <f aca="false">IF(H_Direct=1,IF(AMV67&lt;=0,0,IF(DV68&lt;=0,MIN(MAX(0,AB68-SUM(PR68:RU68)),AMV67),MIN(MAX(0,AB68-SUM(PR68:RU68)),AMV67-G68*MAX(0,DV68*AMV67-(YU68+ACH68))))),MIN(HI68,MAX(0,AB68-SUM(PR68:RU68))))</f>
        <v>0</v>
      </c>
      <c r="RW68" s="20" t="n">
        <f aca="false">IF(H_Direct=1,IF(AMW67&lt;=0,0,IF(DW68&lt;=0,MIN(MAX(0,AB68-SUM(PR68:RV68)),AMW67),MIN(MAX(0,AB68-SUM(PR68:RV68)),AMW67-G68*MAX(0,DW68*AMW67-(YV68+ACI68))))),MIN(HJ68,MAX(0,AB68-SUM(PR68:RV68))))</f>
        <v>0</v>
      </c>
      <c r="RX68" s="20" t="n">
        <f aca="false">IF(H_Direct=1,IF(AMX67&lt;=0,0,IF(DX68&lt;=0,MIN(MAX(0,AB68-SUM(PR68:RW68)),AMX67),MIN(MAX(0,AB68-SUM(PR68:RW68)),AMX67-G68*MAX(0,DX68*AMX67-(YW68+ACJ68))))),MIN(HK68,MAX(0,AB68-SUM(PR68:RW68))))</f>
        <v>0</v>
      </c>
      <c r="RY68" s="20" t="n">
        <f aca="false">IF(H_Direct=1,IF(AMY67&lt;=0,0,IF(DY68&lt;=0,MIN(MAX(0,AB68-SUM(PR68:RX68)),AMY67),MIN(MAX(0,AB68-SUM(PR68:RX68)),AMY67-G68*MAX(0,DY68*AMY67-(YX68+ACK68))))),MIN(HL68,MAX(0,AB68-SUM(PR68:RX68))))</f>
        <v>0</v>
      </c>
      <c r="RZ68" s="20" t="n">
        <f aca="false">IF(H_Direct=1,IF(AMZ67&lt;=0,0,IF(DZ68&lt;=0,MIN(MAX(0,AB68-SUM(PR68:RY68)),AMZ67),MIN(MAX(0,AB68-SUM(PR68:RY68)),AMZ67-G68*MAX(0,DZ68*AMZ67-(YY68+ACL68))))),MIN(HM68,MAX(0,AB68-SUM(PR68:RY68))))</f>
        <v>0</v>
      </c>
      <c r="SA68" s="20" t="n">
        <f aca="false">IF(H_Direct=1,IF((P68+S68)&lt;=0,0,IF(EA68&lt;=0,MIN(MAX(0,AB68-SUM(PR68:RZ68)),(P68+S68)),MIN(MAX(0,AB68-SUM(PR68:RZ68)),(P68+S68)-G68*MAX(0,EA68*(P68+S68)-(YZ68+ACM68))))),MIN(HN68,MAX(0,AB68-SUM(PR68:RZ68))))</f>
        <v>0</v>
      </c>
      <c r="SB68" s="20" t="n">
        <v>0</v>
      </c>
      <c r="SC68" s="20" t="n">
        <v>0</v>
      </c>
      <c r="SD68" s="20" t="n">
        <v>0</v>
      </c>
      <c r="SE68" s="20" t="n">
        <v>0</v>
      </c>
      <c r="SF68" s="20" t="n">
        <v>0</v>
      </c>
      <c r="SG68" s="20" t="n">
        <v>0</v>
      </c>
      <c r="SH68" s="20" t="n">
        <v>0</v>
      </c>
      <c r="SI68" s="20" t="n">
        <v>0</v>
      </c>
      <c r="SJ68" s="20" t="n">
        <v>0</v>
      </c>
      <c r="SK68" s="20" t="n">
        <v>0</v>
      </c>
      <c r="SL68" s="20" t="n">
        <v>0</v>
      </c>
      <c r="SM68" s="20" t="n">
        <v>0</v>
      </c>
      <c r="SN68" s="20" t="n">
        <v>0</v>
      </c>
      <c r="SO68" s="20" t="n">
        <v>0</v>
      </c>
      <c r="SP68" s="20" t="n">
        <v>0</v>
      </c>
      <c r="SQ68" s="20" t="n">
        <v>0</v>
      </c>
      <c r="SR68" s="20" t="n">
        <v>0</v>
      </c>
      <c r="SS68" s="20" t="n">
        <v>0</v>
      </c>
      <c r="ST68" s="20" t="n">
        <v>0</v>
      </c>
      <c r="SU68" s="20" t="n">
        <v>0</v>
      </c>
      <c r="SV68" s="20" t="n">
        <v>0</v>
      </c>
      <c r="SW68" s="20" t="n">
        <v>0</v>
      </c>
      <c r="SX68" s="20" t="n">
        <v>0</v>
      </c>
      <c r="SY68" s="20" t="n">
        <v>0</v>
      </c>
      <c r="SZ68" s="20" t="n">
        <v>0</v>
      </c>
      <c r="TA68" s="20" t="n">
        <v>0</v>
      </c>
      <c r="TB68" s="20" t="n">
        <v>0</v>
      </c>
      <c r="TC68" s="20" t="n">
        <v>0</v>
      </c>
      <c r="TD68" s="20" t="n">
        <v>0</v>
      </c>
      <c r="TE68" s="20" t="n">
        <f aca="false">IF(AKR67&lt;=0,0,IF(H_Direct=1,IF(BR68&lt;=0,PR68,IF(PR68&lt;=(H68+I68)/BR68,PR68,(PR68-G68*(H68+I68))/(1-G68*BR68))),PR68/(1-MAX(0,BR68)*H_Exit)))</f>
        <v>0</v>
      </c>
      <c r="TF68" s="20" t="n">
        <f aca="false">IF(AKS67&lt;=0,0,IF(H_Direct=1,IF(BS68&lt;=0,PS68,IF(PS68&lt;=(WR68+AAE68)/BS68,PS68,(PS68-G68*(WR68+AAE68))/(1-G68*BS68))),PS68/(1-MAX(0,BS68)*H_Exit)))</f>
        <v>0</v>
      </c>
      <c r="TG68" s="20" t="n">
        <f aca="false">IF(AKT67&lt;=0,0,IF(H_Direct=1,IF(BT68&lt;=0,PT68,IF(PT68&lt;=(WS68+AAF68)/BT68,PT68,(PT68-G68*(WS68+AAF68))/(1-G68*BT68))),PT68/(1-MAX(0,BT68)*H_Exit)))</f>
        <v>0</v>
      </c>
      <c r="TH68" s="20" t="n">
        <f aca="false">IF(AKU67&lt;=0,0,IF(H_Direct=1,IF(BU68&lt;=0,PU68,IF(PU68&lt;=(WT68+AAG68)/BU68,PU68,(PU68-G68*(WT68+AAG68))/(1-G68*BU68))),PU68/(1-MAX(0,BU68)*H_Exit)))</f>
        <v>0</v>
      </c>
      <c r="TI68" s="20" t="n">
        <f aca="false">IF(AKV67&lt;=0,0,IF(H_Direct=1,IF(BV68&lt;=0,PV68,IF(PV68&lt;=(WU68+AAH68)/BV68,PV68,(PV68-G68*(WU68+AAH68))/(1-G68*BV68))),PV68/(1-MAX(0,BV68)*H_Exit)))</f>
        <v>0</v>
      </c>
      <c r="TJ68" s="20" t="n">
        <f aca="false">IF(AKW67&lt;=0,0,IF(H_Direct=1,IF(BW68&lt;=0,PW68,IF(PW68&lt;=(WV68+AAI68)/BW68,PW68,(PW68-G68*(WV68+AAI68))/(1-G68*BW68))),PW68/(1-MAX(0,BW68)*H_Exit)))</f>
        <v>0</v>
      </c>
      <c r="TK68" s="20" t="n">
        <f aca="false">IF(AKX67&lt;=0,0,IF(H_Direct=1,IF(BX68&lt;=0,PX68,IF(PX68&lt;=(WW68+AAJ68)/BX68,PX68,(PX68-G68*(WW68+AAJ68))/(1-G68*BX68))),PX68/(1-MAX(0,BX68)*H_Exit)))</f>
        <v>0</v>
      </c>
      <c r="TL68" s="20" t="n">
        <f aca="false">IF(AKY67&lt;=0,0,IF(H_Direct=1,IF(BY68&lt;=0,PY68,IF(PY68&lt;=(WX68+AAK68)/BY68,PY68,(PY68-G68*(WX68+AAK68))/(1-G68*BY68))),PY68/(1-MAX(0,BY68)*H_Exit)))</f>
        <v>0</v>
      </c>
      <c r="TM68" s="20" t="n">
        <f aca="false">IF(AKZ67&lt;=0,0,IF(H_Direct=1,IF(BZ68&lt;=0,PZ68,IF(PZ68&lt;=(WY68+AAL68)/BZ68,PZ68,(PZ68-G68*(WY68+AAL68))/(1-G68*BZ68))),PZ68/(1-MAX(0,BZ68)*H_Exit)))</f>
        <v>0</v>
      </c>
      <c r="TN68" s="20" t="n">
        <f aca="false">IF(ALA67&lt;=0,0,IF(H_Direct=1,IF(CA68&lt;=0,QA68,IF(QA68&lt;=(WZ68+AAM68)/CA68,QA68,(QA68-G68*(WZ68+AAM68))/(1-G68*CA68))),QA68/(1-MAX(0,CA68)*H_Exit)))</f>
        <v>0</v>
      </c>
      <c r="TO68" s="20" t="n">
        <f aca="false">IF(ALB67&lt;=0,0,IF(H_Direct=1,IF(CB68&lt;=0,QB68,IF(QB68&lt;=(XA68+AAN68)/CB68,QB68,(QB68-G68*(XA68+AAN68))/(1-G68*CB68))),QB68/(1-MAX(0,CB68)*H_Exit)))</f>
        <v>0</v>
      </c>
      <c r="TP68" s="20" t="n">
        <f aca="false">IF(ALC67&lt;=0,0,IF(H_Direct=1,IF(CC68&lt;=0,QC68,IF(QC68&lt;=(XB68+AAO68)/CC68,QC68,(QC68-G68*(XB68+AAO68))/(1-G68*CC68))),QC68/(1-MAX(0,CC68)*H_Exit)))</f>
        <v>0</v>
      </c>
      <c r="TQ68" s="20" t="n">
        <f aca="false">IF(ALD67&lt;=0,0,IF(H_Direct=1,IF(CD68&lt;=0,QD68,IF(QD68&lt;=(XC68+AAP68)/CD68,QD68,(QD68-G68*(XC68+AAP68))/(1-G68*CD68))),QD68/(1-MAX(0,CD68)*H_Exit)))</f>
        <v>0</v>
      </c>
      <c r="TR68" s="20" t="n">
        <f aca="false">IF(ALE67&lt;=0,0,IF(H_Direct=1,IF(CE68&lt;=0,QE68,IF(QE68&lt;=(XD68+AAQ68)/CE68,QE68,(QE68-G68*(XD68+AAQ68))/(1-G68*CE68))),QE68/(1-MAX(0,CE68)*H_Exit)))</f>
        <v>0</v>
      </c>
      <c r="TS68" s="20" t="n">
        <f aca="false">IF(ALF67&lt;=0,0,IF(H_Direct=1,IF(CF68&lt;=0,QF68,IF(QF68&lt;=(XE68+AAR68)/CF68,QF68,(QF68-G68*(XE68+AAR68))/(1-G68*CF68))),QF68/(1-MAX(0,CF68)*H_Exit)))</f>
        <v>0</v>
      </c>
      <c r="TT68" s="20" t="n">
        <f aca="false">IF(ALG67&lt;=0,0,IF(H_Direct=1,IF(CG68&lt;=0,QG68,IF(QG68&lt;=(XF68+AAS68)/CG68,QG68,(QG68-G68*(XF68+AAS68))/(1-G68*CG68))),QG68/(1-MAX(0,CG68)*H_Exit)))</f>
        <v>0</v>
      </c>
      <c r="TU68" s="20" t="n">
        <f aca="false">IF(ALH67&lt;=0,0,IF(H_Direct=1,IF(CH68&lt;=0,QH68,IF(QH68&lt;=(XG68+AAT68)/CH68,QH68,(QH68-G68*(XG68+AAT68))/(1-G68*CH68))),QH68/(1-MAX(0,CH68)*H_Exit)))</f>
        <v>0</v>
      </c>
      <c r="TV68" s="20" t="n">
        <f aca="false">IF(ALI67&lt;=0,0,IF(H_Direct=1,IF(CI68&lt;=0,QI68,IF(QI68&lt;=(XH68+AAU68)/CI68,QI68,(QI68-G68*(XH68+AAU68))/(1-G68*CI68))),QI68/(1-MAX(0,CI68)*H_Exit)))</f>
        <v>0</v>
      </c>
      <c r="TW68" s="20" t="n">
        <f aca="false">IF(ALJ67&lt;=0,0,IF(H_Direct=1,IF(CJ68&lt;=0,QJ68,IF(QJ68&lt;=(XI68+AAV68)/CJ68,QJ68,(QJ68-G68*(XI68+AAV68))/(1-G68*CJ68))),QJ68/(1-MAX(0,CJ68)*H_Exit)))</f>
        <v>0</v>
      </c>
      <c r="TX68" s="20" t="n">
        <f aca="false">IF(ALK67&lt;=0,0,IF(H_Direct=1,IF(CK68&lt;=0,QK68,IF(QK68&lt;=(XJ68+AAW68)/CK68,QK68,(QK68-G68*(XJ68+AAW68))/(1-G68*CK68))),QK68/(1-MAX(0,CK68)*H_Exit)))</f>
        <v>0</v>
      </c>
      <c r="TY68" s="20" t="n">
        <f aca="false">IF(ALL67&lt;=0,0,IF(H_Direct=1,IF(CL68&lt;=0,QL68,IF(QL68&lt;=(XK68+AAX68)/CL68,QL68,(QL68-G68*(XK68+AAX68))/(1-G68*CL68))),QL68/(1-MAX(0,CL68)*H_Exit)))</f>
        <v>0</v>
      </c>
      <c r="TZ68" s="20" t="n">
        <f aca="false">IF(ALM67&lt;=0,0,IF(H_Direct=1,IF(CM68&lt;=0,QM68,IF(QM68&lt;=(XL68+AAY68)/CM68,QM68,(QM68-G68*(XL68+AAY68))/(1-G68*CM68))),QM68/(1-MAX(0,CM68)*H_Exit)))</f>
        <v>0</v>
      </c>
      <c r="UA68" s="20" t="n">
        <f aca="false">IF(ALN67&lt;=0,0,IF(H_Direct=1,IF(CN68&lt;=0,QN68,IF(QN68&lt;=(XM68+AAZ68)/CN68,QN68,(QN68-G68*(XM68+AAZ68))/(1-G68*CN68))),QN68/(1-MAX(0,CN68)*H_Exit)))</f>
        <v>0</v>
      </c>
      <c r="UB68" s="20" t="n">
        <f aca="false">IF(ALO67&lt;=0,0,IF(H_Direct=1,IF(CO68&lt;=0,QO68,IF(QO68&lt;=(XN68+ABA68)/CO68,QO68,(QO68-G68*(XN68+ABA68))/(1-G68*CO68))),QO68/(1-MAX(0,CO68)*H_Exit)))</f>
        <v>0</v>
      </c>
      <c r="UC68" s="20" t="n">
        <f aca="false">IF(ALP67&lt;=0,0,IF(H_Direct=1,IF(CP68&lt;=0,QP68,IF(QP68&lt;=(XO68+ABB68)/CP68,QP68,(QP68-G68*(XO68+ABB68))/(1-G68*CP68))),QP68/(1-MAX(0,CP68)*H_Exit)))</f>
        <v>0</v>
      </c>
      <c r="UD68" s="20" t="n">
        <f aca="false">IF(ALQ67&lt;=0,0,IF(H_Direct=1,IF(CQ68&lt;=0,QQ68,IF(QQ68&lt;=(XP68+ABC68)/CQ68,QQ68,(QQ68-G68*(XP68+ABC68))/(1-G68*CQ68))),QQ68/(1-MAX(0,CQ68)*H_Exit)))</f>
        <v>0</v>
      </c>
      <c r="UE68" s="20" t="n">
        <f aca="false">IF(ALR67&lt;=0,0,IF(H_Direct=1,IF(CR68&lt;=0,QR68,IF(QR68&lt;=(XQ68+ABD68)/CR68,QR68,(QR68-G68*(XQ68+ABD68))/(1-G68*CR68))),QR68/(1-MAX(0,CR68)*H_Exit)))</f>
        <v>0</v>
      </c>
      <c r="UF68" s="20" t="n">
        <f aca="false">IF(ALS67&lt;=0,0,IF(H_Direct=1,IF(CS68&lt;=0,QS68,IF(QS68&lt;=(XR68+ABE68)/CS68,QS68,(QS68-G68*(XR68+ABE68))/(1-G68*CS68))),QS68/(1-MAX(0,CS68)*H_Exit)))</f>
        <v>0</v>
      </c>
      <c r="UG68" s="20" t="n">
        <f aca="false">IF(ALT67&lt;=0,0,IF(H_Direct=1,IF(CT68&lt;=0,QT68,IF(QT68&lt;=(XS68+ABF68)/CT68,QT68,(QT68-G68*(XS68+ABF68))/(1-G68*CT68))),QT68/(1-MAX(0,CT68)*H_Exit)))</f>
        <v>0</v>
      </c>
      <c r="UH68" s="20" t="n">
        <f aca="false">IF(ALU67&lt;=0,0,IF(H_Direct=1,IF(CU68&lt;=0,QU68,IF(QU68&lt;=(XT68+ABG68)/CU68,QU68,(QU68-G68*(XT68+ABG68))/(1-G68*CU68))),QU68/(1-MAX(0,CU68)*H_Exit)))</f>
        <v>0</v>
      </c>
      <c r="UI68" s="20" t="n">
        <f aca="false">IF(ALV67&lt;=0,0,IF(H_Direct=1,IF(CV68&lt;=0,QV68,IF(QV68&lt;=(XU68+ABH68)/CV68,QV68,(QV68-G68*(XU68+ABH68))/(1-G68*CV68))),QV68/(1-MAX(0,CV68)*H_Exit)))</f>
        <v>0</v>
      </c>
      <c r="UJ68" s="20" t="n">
        <f aca="false">IF(ALW67&lt;=0,0,IF(H_Direct=1,IF(CW68&lt;=0,QW68,IF(QW68&lt;=(XV68+ABI68)/CW68,QW68,(QW68-G68*(XV68+ABI68))/(1-G68*CW68))),QW68/(1-MAX(0,CW68)*H_Exit)))</f>
        <v>0</v>
      </c>
      <c r="UK68" s="20" t="n">
        <f aca="false">IF(ALX67&lt;=0,0,IF(H_Direct=1,IF(CX68&lt;=0,QX68,IF(QX68&lt;=(XW68+ABJ68)/CX68,QX68,(QX68-G68*(XW68+ABJ68))/(1-G68*CX68))),QX68/(1-MAX(0,CX68)*H_Exit)))</f>
        <v>0</v>
      </c>
      <c r="UL68" s="20" t="n">
        <f aca="false">IF(ALY67&lt;=0,0,IF(H_Direct=1,IF(CY68&lt;=0,QY68,IF(QY68&lt;=(XX68+ABK68)/CY68,QY68,(QY68-G68*(XX68+ABK68))/(1-G68*CY68))),QY68/(1-MAX(0,CY68)*H_Exit)))</f>
        <v>0</v>
      </c>
      <c r="UM68" s="20" t="n">
        <f aca="false">IF(ALZ67&lt;=0,0,IF(H_Direct=1,IF(CZ68&lt;=0,QZ68,IF(QZ68&lt;=(XY68+ABL68)/CZ68,QZ68,(QZ68-G68*(XY68+ABL68))/(1-G68*CZ68))),QZ68/(1-MAX(0,CZ68)*H_Exit)))</f>
        <v>0</v>
      </c>
      <c r="UN68" s="20" t="n">
        <f aca="false">IF(AMA67&lt;=0,0,IF(H_Direct=1,IF(DA68&lt;=0,RA68,IF(RA68&lt;=(XZ68+ABM68)/DA68,RA68,(RA68-G68*(XZ68+ABM68))/(1-G68*DA68))),RA68/(1-MAX(0,DA68)*H_Exit)))</f>
        <v>0</v>
      </c>
      <c r="UO68" s="20" t="n">
        <f aca="false">IF(AMB67&lt;=0,0,IF(H_Direct=1,IF(DB68&lt;=0,RB68,IF(RB68&lt;=(YA68+ABN68)/DB68,RB68,(RB68-G68*(YA68+ABN68))/(1-G68*DB68))),RB68/(1-MAX(0,DB68)*H_Exit)))</f>
        <v>0</v>
      </c>
      <c r="UP68" s="20" t="n">
        <f aca="false">IF(AMC67&lt;=0,0,IF(H_Direct=1,IF(DC68&lt;=0,RC68,IF(RC68&lt;=(YB68+ABO68)/DC68,RC68,(RC68-G68*(YB68+ABO68))/(1-G68*DC68))),RC68/(1-MAX(0,DC68)*H_Exit)))</f>
        <v>0</v>
      </c>
      <c r="UQ68" s="20" t="n">
        <f aca="false">IF(AMD67&lt;=0,0,IF(H_Direct=1,IF(DD68&lt;=0,RD68,IF(RD68&lt;=(YC68+ABP68)/DD68,RD68,(RD68-G68*(YC68+ABP68))/(1-G68*DD68))),RD68/(1-MAX(0,DD68)*H_Exit)))</f>
        <v>0</v>
      </c>
      <c r="UR68" s="20" t="n">
        <f aca="false">IF(AME67&lt;=0,0,IF(H_Direct=1,IF(DE68&lt;=0,RE68,IF(RE68&lt;=(YD68+ABQ68)/DE68,RE68,(RE68-G68*(YD68+ABQ68))/(1-G68*DE68))),RE68/(1-MAX(0,DE68)*H_Exit)))</f>
        <v>0</v>
      </c>
      <c r="US68" s="20" t="n">
        <f aca="false">IF(AMF67&lt;=0,0,IF(H_Direct=1,IF(DF68&lt;=0,RF68,IF(RF68&lt;=(YE68+ABR68)/DF68,RF68,(RF68-G68*(YE68+ABR68))/(1-G68*DF68))),RF68/(1-MAX(0,DF68)*H_Exit)))</f>
        <v>0</v>
      </c>
      <c r="UT68" s="20" t="n">
        <f aca="false">IF(AMG67&lt;=0,0,IF(H_Direct=1,IF(DG68&lt;=0,RG68,IF(RG68&lt;=(YF68+ABS68)/DG68,RG68,(RG68-G68*(YF68+ABS68))/(1-G68*DG68))),RG68/(1-MAX(0,DG68)*H_Exit)))</f>
        <v>0</v>
      </c>
      <c r="UU68" s="20" t="n">
        <f aca="false">IF(AMH67&lt;=0,0,IF(H_Direct=1,IF(DH68&lt;=0,RH68,IF(RH68&lt;=(YG68+ABT68)/DH68,RH68,(RH68-G68*(YG68+ABT68))/(1-G68*DH68))),RH68/(1-MAX(0,DH68)*H_Exit)))</f>
        <v>0</v>
      </c>
      <c r="UV68" s="20" t="n">
        <f aca="false">IF(AMI67&lt;=0,0,IF(H_Direct=1,IF(DI68&lt;=0,RI68,IF(RI68&lt;=(YH68+ABU68)/DI68,RI68,(RI68-G68*(YH68+ABU68))/(1-G68*DI68))),RI68/(1-MAX(0,DI68)*H_Exit)))</f>
        <v>0</v>
      </c>
      <c r="UW68" s="20" t="n">
        <f aca="false">IF(AMJ67&lt;=0,0,IF(H_Direct=1,IF(DJ68&lt;=0,RJ68,IF(RJ68&lt;=(YI68+ABV68)/DJ68,RJ68,(RJ68-G68*(YI68+ABV68))/(1-G68*DJ68))),RJ68/(1-MAX(0,DJ68)*H_Exit)))</f>
        <v>0</v>
      </c>
      <c r="UX68" s="20" t="n">
        <f aca="false">IF(AMK67&lt;=0,0,IF(H_Direct=1,IF(DK68&lt;=0,RK68,IF(RK68&lt;=(YJ68+ABW68)/DK68,RK68,(RK68-G68*(YJ68+ABW68))/(1-G68*DK68))),RK68/(1-MAX(0,DK68)*H_Exit)))</f>
        <v>0</v>
      </c>
      <c r="UY68" s="20" t="n">
        <f aca="false">IF(AML67&lt;=0,0,IF(H_Direct=1,IF(DL68&lt;=0,RL68,IF(RL68&lt;=(YK68+ABX68)/DL68,RL68,(RL68-G68*(YK68+ABX68))/(1-G68*DL68))),RL68/(1-MAX(0,DL68)*H_Exit)))</f>
        <v>0</v>
      </c>
      <c r="UZ68" s="20" t="n">
        <f aca="false">IF(AMM67&lt;=0,0,IF(H_Direct=1,IF(DM68&lt;=0,RM68,IF(RM68&lt;=(YL68+ABY68)/DM68,RM68,(RM68-G68*(YL68+ABY68))/(1-G68*DM68))),RM68/(1-MAX(0,DM68)*H_Exit)))</f>
        <v>0</v>
      </c>
      <c r="VA68" s="20" t="n">
        <f aca="false">IF(AMN67&lt;=0,0,IF(H_Direct=1,IF(DN68&lt;=0,RN68,IF(RN68&lt;=(YM68+ABZ68)/DN68,RN68,(RN68-G68*(YM68+ABZ68))/(1-G68*DN68))),RN68/(1-MAX(0,DN68)*H_Exit)))</f>
        <v>0</v>
      </c>
      <c r="VB68" s="20" t="n">
        <f aca="false">IF(AMO67&lt;=0,0,IF(H_Direct=1,IF(DO68&lt;=0,RO68,IF(RO68&lt;=(YN68+ACA68)/DO68,RO68,(RO68-G68*(YN68+ACA68))/(1-G68*DO68))),RO68/(1-MAX(0,DO68)*H_Exit)))</f>
        <v>0</v>
      </c>
      <c r="VC68" s="20" t="n">
        <f aca="false">IF(AMP67&lt;=0,0,IF(H_Direct=1,IF(DP68&lt;=0,RP68,IF(RP68&lt;=(YO68+ACB68)/DP68,RP68,(RP68-G68*(YO68+ACB68))/(1-G68*DP68))),RP68/(1-MAX(0,DP68)*H_Exit)))</f>
        <v>0</v>
      </c>
      <c r="VD68" s="20" t="n">
        <f aca="false">IF(AMQ67&lt;=0,0,IF(H_Direct=1,IF(DQ68&lt;=0,RQ68,IF(RQ68&lt;=(YP68+ACC68)/DQ68,RQ68,(RQ68-G68*(YP68+ACC68))/(1-G68*DQ68))),RQ68/(1-MAX(0,DQ68)*H_Exit)))</f>
        <v>0</v>
      </c>
      <c r="VE68" s="20" t="n">
        <f aca="false">IF(AMR67&lt;=0,0,IF(H_Direct=1,IF(DR68&lt;=0,RR68,IF(RR68&lt;=(YQ68+ACD68)/DR68,RR68,(RR68-G68*(YQ68+ACD68))/(1-G68*DR68))),RR68/(1-MAX(0,DR68)*H_Exit)))</f>
        <v>0</v>
      </c>
      <c r="VF68" s="20" t="n">
        <f aca="false">IF(AMS67&lt;=0,0,IF(H_Direct=1,IF(DS68&lt;=0,RS68,IF(RS68&lt;=(YR68+ACE68)/DS68,RS68,(RS68-G68*(YR68+ACE68))/(1-G68*DS68))),RS68/(1-MAX(0,DS68)*H_Exit)))</f>
        <v>0</v>
      </c>
      <c r="VG68" s="20" t="n">
        <f aca="false">IF(AMT67&lt;=0,0,IF(H_Direct=1,IF(DT68&lt;=0,RT68,IF(RT68&lt;=(YS68+ACF68)/DT68,RT68,(RT68-G68*(YS68+ACF68))/(1-G68*DT68))),RT68/(1-MAX(0,DT68)*H_Exit)))</f>
        <v>0</v>
      </c>
      <c r="VH68" s="20" t="n">
        <f aca="false">IF(AMU67&lt;=0,0,IF(H_Direct=1,IF(DU68&lt;=0,RU68,IF(RU68&lt;=(YT68+ACG68)/DU68,RU68,(RU68-G68*(YT68+ACG68))/(1-G68*DU68))),RU68/(1-MAX(0,DU68)*H_Exit)))</f>
        <v>0</v>
      </c>
      <c r="VI68" s="20" t="n">
        <f aca="false">IF(AMV67&lt;=0,0,IF(H_Direct=1,IF(DV68&lt;=0,RV68,IF(RV68&lt;=(YU68+ACH68)/DV68,RV68,(RV68-G68*(YU68+ACH68))/(1-G68*DV68))),RV68/(1-MAX(0,DV68)*H_Exit)))</f>
        <v>0</v>
      </c>
      <c r="VJ68" s="20" t="n">
        <f aca="false">IF(AMW67&lt;=0,0,IF(H_Direct=1,IF(DW68&lt;=0,RW68,IF(RW68&lt;=(YV68+ACI68)/DW68,RW68,(RW68-G68*(YV68+ACI68))/(1-G68*DW68))),RW68/(1-MAX(0,DW68)*H_Exit)))</f>
        <v>0</v>
      </c>
      <c r="VK68" s="20" t="n">
        <f aca="false">IF(AMX67&lt;=0,0,IF(H_Direct=1,IF(DX68&lt;=0,RX68,IF(RX68&lt;=(YW68+ACJ68)/DX68,RX68,(RX68-G68*(YW68+ACJ68))/(1-G68*DX68))),RX68/(1-MAX(0,DX68)*H_Exit)))</f>
        <v>0</v>
      </c>
      <c r="VL68" s="20" t="n">
        <f aca="false">IF(AMY67&lt;=0,0,IF(H_Direct=1,IF(DY68&lt;=0,RY68,IF(RY68&lt;=(YX68+ACK68)/DY68,RY68,(RY68-G68*(YX68+ACK68))/(1-G68*DY68))),RY68/(1-MAX(0,DY68)*H_Exit)))</f>
        <v>0</v>
      </c>
      <c r="VM68" s="20" t="n">
        <f aca="false">IF(AMZ67&lt;=0,0,IF(H_Direct=1,IF(DZ68&lt;=0,RZ68,IF(RZ68&lt;=(YY68+ACL68)/DZ68,RZ68,(RZ68-G68*(YY68+ACL68))/(1-G68*DZ68))),RZ68/(1-MAX(0,DZ68)*H_Exit)))</f>
        <v>0</v>
      </c>
      <c r="VN68" s="20" t="n">
        <f aca="false">IF((P68+S68)&lt;=0,0,IF(H_Direct=1,IF(EA68&lt;=0,SA68,IF(SA68&lt;=(YZ68+ACM68)/EA68,SA68,(SA68-G68*(YZ68+ACM68))/(1-G68*EA68))),SA68/(1-MAX(0,EA68)*H_Exit)))</f>
        <v>0</v>
      </c>
      <c r="VO68" s="20" t="n">
        <v>0</v>
      </c>
      <c r="VP68" s="20" t="n">
        <v>0</v>
      </c>
      <c r="VQ68" s="20" t="n">
        <v>0</v>
      </c>
      <c r="VR68" s="20" t="n">
        <v>0</v>
      </c>
      <c r="VS68" s="20" t="n">
        <v>0</v>
      </c>
      <c r="VT68" s="20" t="n">
        <v>0</v>
      </c>
      <c r="VU68" s="20" t="n">
        <v>0</v>
      </c>
      <c r="VV68" s="20" t="n">
        <v>0</v>
      </c>
      <c r="VW68" s="20" t="n">
        <v>0</v>
      </c>
      <c r="VX68" s="20" t="n">
        <v>0</v>
      </c>
      <c r="VY68" s="20" t="n">
        <v>0</v>
      </c>
      <c r="VZ68" s="20" t="n">
        <v>0</v>
      </c>
      <c r="WA68" s="20" t="n">
        <v>0</v>
      </c>
      <c r="WB68" s="20" t="n">
        <v>0</v>
      </c>
      <c r="WC68" s="20" t="n">
        <v>0</v>
      </c>
      <c r="WD68" s="20" t="n">
        <v>0</v>
      </c>
      <c r="WE68" s="20" t="n">
        <v>0</v>
      </c>
      <c r="WF68" s="20" t="n">
        <v>0</v>
      </c>
      <c r="WG68" s="20" t="n">
        <v>0</v>
      </c>
      <c r="WH68" s="20" t="n">
        <v>0</v>
      </c>
      <c r="WI68" s="20" t="n">
        <v>0</v>
      </c>
      <c r="WJ68" s="20" t="n">
        <v>0</v>
      </c>
      <c r="WK68" s="20" t="n">
        <v>0</v>
      </c>
      <c r="WL68" s="20" t="n">
        <v>0</v>
      </c>
      <c r="WM68" s="20" t="n">
        <v>0</v>
      </c>
      <c r="WN68" s="20" t="n">
        <v>0</v>
      </c>
      <c r="WO68" s="20" t="n">
        <v>0</v>
      </c>
      <c r="WP68" s="20" t="n">
        <v>0</v>
      </c>
      <c r="WQ68" s="20" t="n">
        <v>0</v>
      </c>
      <c r="WR68" s="20" t="n">
        <f aca="false">IF(AND(H_Direct=1,BR68&gt;0),MAX(0,H68-(MIN(BR68*TE68,(H68+I68))-MIN(MIN(BR68*TE68,(H68+I68)),I68))),H68)</f>
        <v>1270</v>
      </c>
      <c r="WS68" s="20" t="n">
        <f aca="false">IF(AND(H_Direct=1,BS68&gt;0),MAX(0,WR68-(MIN(BS68*TF68,(WR68+AAE68))-MIN(MIN(BS68*TF68,(WR68+AAE68)),AAE68))),WR68)</f>
        <v>1270</v>
      </c>
      <c r="WT68" s="20" t="n">
        <f aca="false">IF(AND(H_Direct=1,BT68&gt;0),MAX(0,WS68-(MIN(BT68*TG68,(WS68+AAF68))-MIN(MIN(BT68*TG68,(WS68+AAF68)),AAF68))),WS68)</f>
        <v>1270</v>
      </c>
      <c r="WU68" s="20" t="n">
        <f aca="false">IF(AND(H_Direct=1,BU68&gt;0),MAX(0,WT68-(MIN(BU68*TH68,(WT68+AAG68))-MIN(MIN(BU68*TH68,(WT68+AAG68)),AAG68))),WT68)</f>
        <v>1270</v>
      </c>
      <c r="WV68" s="20" t="n">
        <f aca="false">IF(AND(H_Direct=1,BV68&gt;0),MAX(0,WU68-(MIN(BV68*TI68,(WU68+AAH68))-MIN(MIN(BV68*TI68,(WU68+AAH68)),AAH68))),WU68)</f>
        <v>1270</v>
      </c>
      <c r="WW68" s="20" t="n">
        <f aca="false">IF(AND(H_Direct=1,BW68&gt;0),MAX(0,WV68-(MIN(BW68*TJ68,(WV68+AAI68))-MIN(MIN(BW68*TJ68,(WV68+AAI68)),AAI68))),WV68)</f>
        <v>1270</v>
      </c>
      <c r="WX68" s="20" t="n">
        <f aca="false">IF(AND(H_Direct=1,BX68&gt;0),MAX(0,WW68-(MIN(BX68*TK68,(WW68+AAJ68))-MIN(MIN(BX68*TK68,(WW68+AAJ68)),AAJ68))),WW68)</f>
        <v>1270</v>
      </c>
      <c r="WY68" s="20" t="n">
        <f aca="false">IF(AND(H_Direct=1,BY68&gt;0),MAX(0,WX68-(MIN(BY68*TL68,(WX68+AAK68))-MIN(MIN(BY68*TL68,(WX68+AAK68)),AAK68))),WX68)</f>
        <v>1270</v>
      </c>
      <c r="WZ68" s="20" t="n">
        <f aca="false">IF(AND(H_Direct=1,BZ68&gt;0),MAX(0,WY68-(MIN(BZ68*TM68,(WY68+AAL68))-MIN(MIN(BZ68*TM68,(WY68+AAL68)),AAL68))),WY68)</f>
        <v>1270</v>
      </c>
      <c r="XA68" s="20" t="n">
        <f aca="false">IF(AND(H_Direct=1,CA68&gt;0),MAX(0,WZ68-(MIN(CA68*TN68,(WZ68+AAM68))-MIN(MIN(CA68*TN68,(WZ68+AAM68)),AAM68))),WZ68)</f>
        <v>1270</v>
      </c>
      <c r="XB68" s="20" t="n">
        <f aca="false">IF(AND(H_Direct=1,CB68&gt;0),MAX(0,XA68-(MIN(CB68*TO68,(XA68+AAN68))-MIN(MIN(CB68*TO68,(XA68+AAN68)),AAN68))),XA68)</f>
        <v>1270</v>
      </c>
      <c r="XC68" s="20" t="n">
        <f aca="false">IF(AND(H_Direct=1,CC68&gt;0),MAX(0,XB68-(MIN(CC68*TP68,(XB68+AAO68))-MIN(MIN(CC68*TP68,(XB68+AAO68)),AAO68))),XB68)</f>
        <v>1270</v>
      </c>
      <c r="XD68" s="20" t="n">
        <f aca="false">IF(AND(H_Direct=1,CD68&gt;0),MAX(0,XC68-(MIN(CD68*TQ68,(XC68+AAP68))-MIN(MIN(CD68*TQ68,(XC68+AAP68)),AAP68))),XC68)</f>
        <v>1270</v>
      </c>
      <c r="XE68" s="20" t="n">
        <f aca="false">IF(AND(H_Direct=1,CE68&gt;0),MAX(0,XD68-(MIN(CE68*TR68,(XD68+AAQ68))-MIN(MIN(CE68*TR68,(XD68+AAQ68)),AAQ68))),XD68)</f>
        <v>1270</v>
      </c>
      <c r="XF68" s="20" t="n">
        <f aca="false">IF(AND(H_Direct=1,CF68&gt;0),MAX(0,XE68-(MIN(CF68*TS68,(XE68+AAR68))-MIN(MIN(CF68*TS68,(XE68+AAR68)),AAR68))),XE68)</f>
        <v>1270</v>
      </c>
      <c r="XG68" s="20" t="n">
        <f aca="false">IF(AND(H_Direct=1,CG68&gt;0),MAX(0,XF68-(MIN(CG68*TT68,(XF68+AAS68))-MIN(MIN(CG68*TT68,(XF68+AAS68)),AAS68))),XF68)</f>
        <v>1270</v>
      </c>
      <c r="XH68" s="20" t="n">
        <f aca="false">IF(AND(H_Direct=1,CH68&gt;0),MAX(0,XG68-(MIN(CH68*TU68,(XG68+AAT68))-MIN(MIN(CH68*TU68,(XG68+AAT68)),AAT68))),XG68)</f>
        <v>1270</v>
      </c>
      <c r="XI68" s="20" t="n">
        <f aca="false">IF(AND(H_Direct=1,CI68&gt;0),MAX(0,XH68-(MIN(CI68*TV68,(XH68+AAU68))-MIN(MIN(CI68*TV68,(XH68+AAU68)),AAU68))),XH68)</f>
        <v>1270</v>
      </c>
      <c r="XJ68" s="20" t="n">
        <f aca="false">IF(AND(H_Direct=1,CJ68&gt;0),MAX(0,XI68-(MIN(CJ68*TW68,(XI68+AAV68))-MIN(MIN(CJ68*TW68,(XI68+AAV68)),AAV68))),XI68)</f>
        <v>1270</v>
      </c>
      <c r="XK68" s="20" t="n">
        <f aca="false">IF(AND(H_Direct=1,CK68&gt;0),MAX(0,XJ68-(MIN(CK68*TX68,(XJ68+AAW68))-MIN(MIN(CK68*TX68,(XJ68+AAW68)),AAW68))),XJ68)</f>
        <v>1270</v>
      </c>
      <c r="XL68" s="20" t="n">
        <f aca="false">IF(AND(H_Direct=1,CL68&gt;0),MAX(0,XK68-(MIN(CL68*TY68,(XK68+AAX68))-MIN(MIN(CL68*TY68,(XK68+AAX68)),AAX68))),XK68)</f>
        <v>1270</v>
      </c>
      <c r="XM68" s="20" t="n">
        <f aca="false">IF(AND(H_Direct=1,CM68&gt;0),MAX(0,XL68-(MIN(CM68*TZ68,(XL68+AAY68))-MIN(MIN(CM68*TZ68,(XL68+AAY68)),AAY68))),XL68)</f>
        <v>1270</v>
      </c>
      <c r="XN68" s="20" t="n">
        <f aca="false">IF(AND(H_Direct=1,CN68&gt;0),MAX(0,XM68-(MIN(CN68*UA68,(XM68+AAZ68))-MIN(MIN(CN68*UA68,(XM68+AAZ68)),AAZ68))),XM68)</f>
        <v>1270</v>
      </c>
      <c r="XO68" s="20" t="n">
        <f aca="false">IF(AND(H_Direct=1,CO68&gt;0),MAX(0,XN68-(MIN(CO68*UB68,(XN68+ABA68))-MIN(MIN(CO68*UB68,(XN68+ABA68)),ABA68))),XN68)</f>
        <v>1270</v>
      </c>
      <c r="XP68" s="20" t="n">
        <f aca="false">IF(AND(H_Direct=1,CP68&gt;0),MAX(0,XO68-(MIN(CP68*UC68,(XO68+ABB68))-MIN(MIN(CP68*UC68,(XO68+ABB68)),ABB68))),XO68)</f>
        <v>1270</v>
      </c>
      <c r="XQ68" s="20" t="n">
        <f aca="false">IF(AND(H_Direct=1,CQ68&gt;0),MAX(0,XP68-(MIN(CQ68*UD68,(XP68+ABC68))-MIN(MIN(CQ68*UD68,(XP68+ABC68)),ABC68))),XP68)</f>
        <v>1270</v>
      </c>
      <c r="XR68" s="20" t="n">
        <f aca="false">IF(AND(H_Direct=1,CR68&gt;0),MAX(0,XQ68-(MIN(CR68*UE68,(XQ68+ABD68))-MIN(MIN(CR68*UE68,(XQ68+ABD68)),ABD68))),XQ68)</f>
        <v>1270</v>
      </c>
      <c r="XS68" s="20" t="n">
        <f aca="false">IF(AND(H_Direct=1,CS68&gt;0),MAX(0,XR68-(MIN(CS68*UF68,(XR68+ABE68))-MIN(MIN(CS68*UF68,(XR68+ABE68)),ABE68))),XR68)</f>
        <v>1270</v>
      </c>
      <c r="XT68" s="20" t="n">
        <f aca="false">IF(AND(H_Direct=1,CT68&gt;0),MAX(0,XS68-(MIN(CT68*UG68,(XS68+ABF68))-MIN(MIN(CT68*UG68,(XS68+ABF68)),ABF68))),XS68)</f>
        <v>1270</v>
      </c>
      <c r="XU68" s="20" t="n">
        <f aca="false">IF(AND(H_Direct=1,CU68&gt;0),MAX(0,XT68-(MIN(CU68*UH68,(XT68+ABG68))-MIN(MIN(CU68*UH68,(XT68+ABG68)),ABG68))),XT68)</f>
        <v>1270</v>
      </c>
      <c r="XV68" s="20" t="n">
        <f aca="false">IF(AND(H_Direct=1,CV68&gt;0),MAX(0,XU68-(MIN(CV68*UI68,(XU68+ABH68))-MIN(MIN(CV68*UI68,(XU68+ABH68)),ABH68))),XU68)</f>
        <v>1270</v>
      </c>
      <c r="XW68" s="20" t="n">
        <f aca="false">IF(AND(H_Direct=1,CW68&gt;0),MAX(0,XV68-(MIN(CW68*UJ68,(XV68+ABI68))-MIN(MIN(CW68*UJ68,(XV68+ABI68)),ABI68))),XV68)</f>
        <v>1270</v>
      </c>
      <c r="XX68" s="20" t="n">
        <f aca="false">IF(AND(H_Direct=1,CX68&gt;0),MAX(0,XW68-(MIN(CX68*UK68,(XW68+ABJ68))-MIN(MIN(CX68*UK68,(XW68+ABJ68)),ABJ68))),XW68)</f>
        <v>1270</v>
      </c>
      <c r="XY68" s="20" t="n">
        <f aca="false">IF(AND(H_Direct=1,CY68&gt;0),MAX(0,XX68-(MIN(CY68*UL68,(XX68+ABK68))-MIN(MIN(CY68*UL68,(XX68+ABK68)),ABK68))),XX68)</f>
        <v>1270</v>
      </c>
      <c r="XZ68" s="20" t="n">
        <f aca="false">IF(AND(H_Direct=1,CZ68&gt;0),MAX(0,XY68-(MIN(CZ68*UM68,(XY68+ABL68))-MIN(MIN(CZ68*UM68,(XY68+ABL68)),ABL68))),XY68)</f>
        <v>1270</v>
      </c>
      <c r="YA68" s="20" t="n">
        <f aca="false">IF(AND(H_Direct=1,DA68&gt;0),MAX(0,XZ68-(MIN(DA68*UN68,(XZ68+ABM68))-MIN(MIN(DA68*UN68,(XZ68+ABM68)),ABM68))),XZ68)</f>
        <v>1270</v>
      </c>
      <c r="YB68" s="20" t="n">
        <f aca="false">IF(AND(H_Direct=1,DB68&gt;0),MAX(0,YA68-(MIN(DB68*UO68,(YA68+ABN68))-MIN(MIN(DB68*UO68,(YA68+ABN68)),ABN68))),YA68)</f>
        <v>1270</v>
      </c>
      <c r="YC68" s="20" t="n">
        <f aca="false">IF(AND(H_Direct=1,DC68&gt;0),MAX(0,YB68-(MIN(DC68*UP68,(YB68+ABO68))-MIN(MIN(DC68*UP68,(YB68+ABO68)),ABO68))),YB68)</f>
        <v>1270</v>
      </c>
      <c r="YD68" s="20" t="n">
        <f aca="false">IF(AND(H_Direct=1,DD68&gt;0),MAX(0,YC68-(MIN(DD68*UQ68,(YC68+ABP68))-MIN(MIN(DD68*UQ68,(YC68+ABP68)),ABP68))),YC68)</f>
        <v>1270</v>
      </c>
      <c r="YE68" s="20" t="n">
        <f aca="false">IF(AND(H_Direct=1,DE68&gt;0),MAX(0,YD68-(MIN(DE68*UR68,(YD68+ABQ68))-MIN(MIN(DE68*UR68,(YD68+ABQ68)),ABQ68))),YD68)</f>
        <v>1270</v>
      </c>
      <c r="YF68" s="20" t="n">
        <f aca="false">IF(AND(H_Direct=1,DF68&gt;0),MAX(0,YE68-(MIN(DF68*US68,(YE68+ABR68))-MIN(MIN(DF68*US68,(YE68+ABR68)),ABR68))),YE68)</f>
        <v>1270</v>
      </c>
      <c r="YG68" s="20" t="n">
        <f aca="false">IF(AND(H_Direct=1,DG68&gt;0),MAX(0,YF68-(MIN(DG68*UT68,(YF68+ABS68))-MIN(MIN(DG68*UT68,(YF68+ABS68)),ABS68))),YF68)</f>
        <v>1270</v>
      </c>
      <c r="YH68" s="20" t="n">
        <f aca="false">IF(AND(H_Direct=1,DH68&gt;0),MAX(0,YG68-(MIN(DH68*UU68,(YG68+ABT68))-MIN(MIN(DH68*UU68,(YG68+ABT68)),ABT68))),YG68)</f>
        <v>1270</v>
      </c>
      <c r="YI68" s="20" t="n">
        <f aca="false">IF(AND(H_Direct=1,DI68&gt;0),MAX(0,YH68-(MIN(DI68*UV68,(YH68+ABU68))-MIN(MIN(DI68*UV68,(YH68+ABU68)),ABU68))),YH68)</f>
        <v>1270</v>
      </c>
      <c r="YJ68" s="20" t="n">
        <f aca="false">IF(AND(H_Direct=1,DJ68&gt;0),MAX(0,YI68-(MIN(DJ68*UW68,(YI68+ABV68))-MIN(MIN(DJ68*UW68,(YI68+ABV68)),ABV68))),YI68)</f>
        <v>1270</v>
      </c>
      <c r="YK68" s="20" t="n">
        <f aca="false">IF(AND(H_Direct=1,DK68&gt;0),MAX(0,YJ68-(MIN(DK68*UX68,(YJ68+ABW68))-MIN(MIN(DK68*UX68,(YJ68+ABW68)),ABW68))),YJ68)</f>
        <v>1270</v>
      </c>
      <c r="YL68" s="20" t="n">
        <f aca="false">IF(AND(H_Direct=1,DL68&gt;0),MAX(0,YK68-(MIN(DL68*UY68,(YK68+ABX68))-MIN(MIN(DL68*UY68,(YK68+ABX68)),ABX68))),YK68)</f>
        <v>1270</v>
      </c>
      <c r="YM68" s="20" t="n">
        <f aca="false">IF(AND(H_Direct=1,DM68&gt;0),MAX(0,YL68-(MIN(DM68*UZ68,(YL68+ABY68))-MIN(MIN(DM68*UZ68,(YL68+ABY68)),ABY68))),YL68)</f>
        <v>1270</v>
      </c>
      <c r="YN68" s="20" t="n">
        <f aca="false">IF(AND(H_Direct=1,DN68&gt;0),MAX(0,YM68-(MIN(DN68*VA68,(YM68+ABZ68))-MIN(MIN(DN68*VA68,(YM68+ABZ68)),ABZ68))),YM68)</f>
        <v>1270</v>
      </c>
      <c r="YO68" s="20" t="n">
        <f aca="false">IF(AND(H_Direct=1,DO68&gt;0),MAX(0,YN68-(MIN(DO68*VB68,(YN68+ACA68))-MIN(MIN(DO68*VB68,(YN68+ACA68)),ACA68))),YN68)</f>
        <v>1270</v>
      </c>
      <c r="YP68" s="20" t="n">
        <f aca="false">IF(AND(H_Direct=1,DP68&gt;0),MAX(0,YO68-(MIN(DP68*VC68,(YO68+ACB68))-MIN(MIN(DP68*VC68,(YO68+ACB68)),ACB68))),YO68)</f>
        <v>1270</v>
      </c>
      <c r="YQ68" s="20" t="n">
        <f aca="false">IF(AND(H_Direct=1,DQ68&gt;0),MAX(0,YP68-(MIN(DQ68*VD68,(YP68+ACC68))-MIN(MIN(DQ68*VD68,(YP68+ACC68)),ACC68))),YP68)</f>
        <v>1270</v>
      </c>
      <c r="YR68" s="20" t="n">
        <f aca="false">IF(AND(H_Direct=1,DR68&gt;0),MAX(0,YQ68-(MIN(DR68*VE68,(YQ68+ACD68))-MIN(MIN(DR68*VE68,(YQ68+ACD68)),ACD68))),YQ68)</f>
        <v>1270</v>
      </c>
      <c r="YS68" s="20" t="n">
        <f aca="false">IF(AND(H_Direct=1,DS68&gt;0),MAX(0,YR68-(MIN(DS68*VF68,(YR68+ACE68))-MIN(MIN(DS68*VF68,(YR68+ACE68)),ACE68))),YR68)</f>
        <v>1270</v>
      </c>
      <c r="YT68" s="20" t="n">
        <f aca="false">IF(AND(H_Direct=1,DT68&gt;0),MAX(0,YS68-(MIN(DT68*VG68,(YS68+ACF68))-MIN(MIN(DT68*VG68,(YS68+ACF68)),ACF68))),YS68)</f>
        <v>1270</v>
      </c>
      <c r="YU68" s="20" t="n">
        <f aca="false">IF(AND(H_Direct=1,DU68&gt;0),MAX(0,YT68-(MIN(DU68*VH68,(YT68+ACG68))-MIN(MIN(DU68*VH68,(YT68+ACG68)),ACG68))),YT68)</f>
        <v>1270</v>
      </c>
      <c r="YV68" s="20" t="n">
        <f aca="false">IF(AND(H_Direct=1,DV68&gt;0),MAX(0,YU68-(MIN(DV68*VI68,(YU68+ACH68))-MIN(MIN(DV68*VI68,(YU68+ACH68)),ACH68))),YU68)</f>
        <v>1270</v>
      </c>
      <c r="YW68" s="20" t="n">
        <f aca="false">IF(AND(H_Direct=1,DW68&gt;0),MAX(0,YV68-(MIN(DW68*VJ68,(YV68+ACI68))-MIN(MIN(DW68*VJ68,(YV68+ACI68)),ACI68))),YV68)</f>
        <v>1270</v>
      </c>
      <c r="YX68" s="20" t="n">
        <f aca="false">IF(AND(H_Direct=1,DX68&gt;0),MAX(0,YW68-(MIN(DX68*VK68,(YW68+ACJ68))-MIN(MIN(DX68*VK68,(YW68+ACJ68)),ACJ68))),YW68)</f>
        <v>1270</v>
      </c>
      <c r="YY68" s="20" t="n">
        <f aca="false">IF(AND(H_Direct=1,DY68&gt;0),MAX(0,YX68-(MIN(DY68*VL68,(YX68+ACK68))-MIN(MIN(DY68*VL68,(YX68+ACK68)),ACK68))),YX68)</f>
        <v>1270</v>
      </c>
      <c r="YZ68" s="20" t="n">
        <f aca="false">IF(AND(H_Direct=1,DZ68&gt;0),MAX(0,YY68-(MIN(DZ68*VM68,(YY68+ACL68))-MIN(MIN(DZ68*VM68,(YY68+ACL68)),ACL68))),YY68)</f>
        <v>1270</v>
      </c>
      <c r="ZA68" s="20" t="n">
        <f aca="false">IF(AND(H_Direct=1,EA68&gt;0),MAX(0,YZ68-(MIN(EA68*VN68,(YZ68+ACM68))-MIN(MIN(EA68*VN68,(YZ68+ACM68)),ACM68))),YZ68)</f>
        <v>1270</v>
      </c>
      <c r="ZB68" s="20" t="n">
        <f aca="false">ZA68</f>
        <v>1270</v>
      </c>
      <c r="ZC68" s="20" t="n">
        <f aca="false">ZB68</f>
        <v>1270</v>
      </c>
      <c r="ZD68" s="20" t="n">
        <f aca="false">ZC68</f>
        <v>1270</v>
      </c>
      <c r="ZE68" s="20" t="n">
        <f aca="false">ZD68</f>
        <v>1270</v>
      </c>
      <c r="ZF68" s="20" t="n">
        <f aca="false">ZE68</f>
        <v>1270</v>
      </c>
      <c r="ZG68" s="20" t="n">
        <f aca="false">ZF68</f>
        <v>1270</v>
      </c>
      <c r="ZH68" s="20" t="n">
        <f aca="false">ZG68</f>
        <v>1270</v>
      </c>
      <c r="ZI68" s="20" t="n">
        <f aca="false">ZH68</f>
        <v>1270</v>
      </c>
      <c r="ZJ68" s="20" t="n">
        <f aca="false">ZI68</f>
        <v>1270</v>
      </c>
      <c r="ZK68" s="20" t="n">
        <f aca="false">ZJ68</f>
        <v>1270</v>
      </c>
      <c r="ZL68" s="20" t="n">
        <f aca="false">ZK68</f>
        <v>1270</v>
      </c>
      <c r="ZM68" s="20" t="n">
        <f aca="false">ZL68</f>
        <v>1270</v>
      </c>
      <c r="ZN68" s="20" t="n">
        <f aca="false">ZM68</f>
        <v>1270</v>
      </c>
      <c r="ZO68" s="20" t="n">
        <f aca="false">ZN68</f>
        <v>1270</v>
      </c>
      <c r="ZP68" s="20" t="n">
        <f aca="false">ZO68</f>
        <v>1270</v>
      </c>
      <c r="ZQ68" s="20" t="n">
        <f aca="false">ZP68</f>
        <v>1270</v>
      </c>
      <c r="ZR68" s="20" t="n">
        <f aca="false">ZQ68</f>
        <v>1270</v>
      </c>
      <c r="ZS68" s="20" t="n">
        <f aca="false">ZR68</f>
        <v>1270</v>
      </c>
      <c r="ZT68" s="20" t="n">
        <f aca="false">ZS68</f>
        <v>1270</v>
      </c>
      <c r="ZU68" s="20" t="n">
        <f aca="false">ZT68</f>
        <v>1270</v>
      </c>
      <c r="ZV68" s="20" t="n">
        <f aca="false">ZU68</f>
        <v>1270</v>
      </c>
      <c r="ZW68" s="20" t="n">
        <f aca="false">ZV68</f>
        <v>1270</v>
      </c>
      <c r="ZX68" s="20" t="n">
        <f aca="false">ZW68</f>
        <v>1270</v>
      </c>
      <c r="ZY68" s="20" t="n">
        <f aca="false">ZX68</f>
        <v>1270</v>
      </c>
      <c r="ZZ68" s="20" t="n">
        <f aca="false">ZY68</f>
        <v>1270</v>
      </c>
      <c r="AAA68" s="20" t="n">
        <f aca="false">ZZ68</f>
        <v>1270</v>
      </c>
      <c r="AAB68" s="20" t="n">
        <f aca="false">AAA68</f>
        <v>1270</v>
      </c>
      <c r="AAC68" s="20" t="n">
        <f aca="false">AAB68</f>
        <v>1270</v>
      </c>
      <c r="AAD68" s="20" t="n">
        <f aca="false">AAC68</f>
        <v>1270</v>
      </c>
      <c r="AAE68" s="20" t="n">
        <f aca="false">IF(H_Direct=1,IF(BR68&lt;=0,I68-BR68*TE68,I68-MIN(MIN(BR68*TE68,(H68+I68)),I68)),I68)</f>
        <v>0</v>
      </c>
      <c r="AAF68" s="20" t="n">
        <f aca="false">IF(H_Direct=1,IF(BS68&lt;=0,AAE68-BS68*TF68,AAE68-MIN(MIN(BS68*TF68,(WR68+AAE68)),AAE68)),AAE68)</f>
        <v>0</v>
      </c>
      <c r="AAG68" s="20" t="n">
        <f aca="false">IF(H_Direct=1,IF(BT68&lt;=0,AAF68-BT68*TG68,AAF68-MIN(MIN(BT68*TG68,(WS68+AAF68)),AAF68)),AAF68)</f>
        <v>0</v>
      </c>
      <c r="AAH68" s="20" t="n">
        <f aca="false">IF(H_Direct=1,IF(BU68&lt;=0,AAG68-BU68*TH68,AAG68-MIN(MIN(BU68*TH68,(WT68+AAG68)),AAG68)),AAG68)</f>
        <v>0</v>
      </c>
      <c r="AAI68" s="20" t="n">
        <f aca="false">IF(H_Direct=1,IF(BV68&lt;=0,AAH68-BV68*TI68,AAH68-MIN(MIN(BV68*TI68,(WU68+AAH68)),AAH68)),AAH68)</f>
        <v>0</v>
      </c>
      <c r="AAJ68" s="20" t="n">
        <f aca="false">IF(H_Direct=1,IF(BW68&lt;=0,AAI68-BW68*TJ68,AAI68-MIN(MIN(BW68*TJ68,(WV68+AAI68)),AAI68)),AAI68)</f>
        <v>0</v>
      </c>
      <c r="AAK68" s="20" t="n">
        <f aca="false">IF(H_Direct=1,IF(BX68&lt;=0,AAJ68-BX68*TK68,AAJ68-MIN(MIN(BX68*TK68,(WW68+AAJ68)),AAJ68)),AAJ68)</f>
        <v>0</v>
      </c>
      <c r="AAL68" s="20" t="n">
        <f aca="false">IF(H_Direct=1,IF(BY68&lt;=0,AAK68-BY68*TL68,AAK68-MIN(MIN(BY68*TL68,(WX68+AAK68)),AAK68)),AAK68)</f>
        <v>0</v>
      </c>
      <c r="AAM68" s="20" t="n">
        <f aca="false">IF(H_Direct=1,IF(BZ68&lt;=0,AAL68-BZ68*TM68,AAL68-MIN(MIN(BZ68*TM68,(WY68+AAL68)),AAL68)),AAL68)</f>
        <v>0</v>
      </c>
      <c r="AAN68" s="20" t="n">
        <f aca="false">IF(H_Direct=1,IF(CA68&lt;=0,AAM68-CA68*TN68,AAM68-MIN(MIN(CA68*TN68,(WZ68+AAM68)),AAM68)),AAM68)</f>
        <v>0</v>
      </c>
      <c r="AAO68" s="20" t="n">
        <f aca="false">IF(H_Direct=1,IF(CB68&lt;=0,AAN68-CB68*TO68,AAN68-MIN(MIN(CB68*TO68,(XA68+AAN68)),AAN68)),AAN68)</f>
        <v>0</v>
      </c>
      <c r="AAP68" s="20" t="n">
        <f aca="false">IF(H_Direct=1,IF(CC68&lt;=0,AAO68-CC68*TP68,AAO68-MIN(MIN(CC68*TP68,(XB68+AAO68)),AAO68)),AAO68)</f>
        <v>0</v>
      </c>
      <c r="AAQ68" s="20" t="n">
        <f aca="false">IF(H_Direct=1,IF(CD68&lt;=0,AAP68-CD68*TQ68,AAP68-MIN(MIN(CD68*TQ68,(XC68+AAP68)),AAP68)),AAP68)</f>
        <v>0</v>
      </c>
      <c r="AAR68" s="20" t="n">
        <f aca="false">IF(H_Direct=1,IF(CE68&lt;=0,AAQ68-CE68*TR68,AAQ68-MIN(MIN(CE68*TR68,(XD68+AAQ68)),AAQ68)),AAQ68)</f>
        <v>0</v>
      </c>
      <c r="AAS68" s="20" t="n">
        <f aca="false">IF(H_Direct=1,IF(CF68&lt;=0,AAR68-CF68*TS68,AAR68-MIN(MIN(CF68*TS68,(XE68+AAR68)),AAR68)),AAR68)</f>
        <v>0</v>
      </c>
      <c r="AAT68" s="20" t="n">
        <f aca="false">IF(H_Direct=1,IF(CG68&lt;=0,AAS68-CG68*TT68,AAS68-MIN(MIN(CG68*TT68,(XF68+AAS68)),AAS68)),AAS68)</f>
        <v>0</v>
      </c>
      <c r="AAU68" s="20" t="n">
        <f aca="false">IF(H_Direct=1,IF(CH68&lt;=0,AAT68-CH68*TU68,AAT68-MIN(MIN(CH68*TU68,(XG68+AAT68)),AAT68)),AAT68)</f>
        <v>0</v>
      </c>
      <c r="AAV68" s="20" t="n">
        <f aca="false">IF(H_Direct=1,IF(CI68&lt;=0,AAU68-CI68*TV68,AAU68-MIN(MIN(CI68*TV68,(XH68+AAU68)),AAU68)),AAU68)</f>
        <v>0</v>
      </c>
      <c r="AAW68" s="20" t="n">
        <f aca="false">IF(H_Direct=1,IF(CJ68&lt;=0,AAV68-CJ68*TW68,AAV68-MIN(MIN(CJ68*TW68,(XI68+AAV68)),AAV68)),AAV68)</f>
        <v>0</v>
      </c>
      <c r="AAX68" s="20" t="n">
        <f aca="false">IF(H_Direct=1,IF(CK68&lt;=0,AAW68-CK68*TX68,AAW68-MIN(MIN(CK68*TX68,(XJ68+AAW68)),AAW68)),AAW68)</f>
        <v>0</v>
      </c>
      <c r="AAY68" s="20" t="n">
        <f aca="false">IF(H_Direct=1,IF(CL68&lt;=0,AAX68-CL68*TY68,AAX68-MIN(MIN(CL68*TY68,(XK68+AAX68)),AAX68)),AAX68)</f>
        <v>0</v>
      </c>
      <c r="AAZ68" s="20" t="n">
        <f aca="false">IF(H_Direct=1,IF(CM68&lt;=0,AAY68-CM68*TZ68,AAY68-MIN(MIN(CM68*TZ68,(XL68+AAY68)),AAY68)),AAY68)</f>
        <v>0</v>
      </c>
      <c r="ABA68" s="20" t="n">
        <f aca="false">IF(H_Direct=1,IF(CN68&lt;=0,AAZ68-CN68*UA68,AAZ68-MIN(MIN(CN68*UA68,(XM68+AAZ68)),AAZ68)),AAZ68)</f>
        <v>0</v>
      </c>
      <c r="ABB68" s="20" t="n">
        <f aca="false">IF(H_Direct=1,IF(CO68&lt;=0,ABA68-CO68*UB68,ABA68-MIN(MIN(CO68*UB68,(XN68+ABA68)),ABA68)),ABA68)</f>
        <v>0</v>
      </c>
      <c r="ABC68" s="20" t="n">
        <f aca="false">IF(H_Direct=1,IF(CP68&lt;=0,ABB68-CP68*UC68,ABB68-MIN(MIN(CP68*UC68,(XO68+ABB68)),ABB68)),ABB68)</f>
        <v>0</v>
      </c>
      <c r="ABD68" s="20" t="n">
        <f aca="false">IF(H_Direct=1,IF(CQ68&lt;=0,ABC68-CQ68*UD68,ABC68-MIN(MIN(CQ68*UD68,(XP68+ABC68)),ABC68)),ABC68)</f>
        <v>0</v>
      </c>
      <c r="ABE68" s="20" t="n">
        <f aca="false">IF(H_Direct=1,IF(CR68&lt;=0,ABD68-CR68*UE68,ABD68-MIN(MIN(CR68*UE68,(XQ68+ABD68)),ABD68)),ABD68)</f>
        <v>0</v>
      </c>
      <c r="ABF68" s="20" t="n">
        <f aca="false">IF(H_Direct=1,IF(CS68&lt;=0,ABE68-CS68*UF68,ABE68-MIN(MIN(CS68*UF68,(XR68+ABE68)),ABE68)),ABE68)</f>
        <v>0</v>
      </c>
      <c r="ABG68" s="20" t="n">
        <f aca="false">IF(H_Direct=1,IF(CT68&lt;=0,ABF68-CT68*UG68,ABF68-MIN(MIN(CT68*UG68,(XS68+ABF68)),ABF68)),ABF68)</f>
        <v>0</v>
      </c>
      <c r="ABH68" s="20" t="n">
        <f aca="false">IF(H_Direct=1,IF(CU68&lt;=0,ABG68-CU68*UH68,ABG68-MIN(MIN(CU68*UH68,(XT68+ABG68)),ABG68)),ABG68)</f>
        <v>0</v>
      </c>
      <c r="ABI68" s="20" t="n">
        <f aca="false">IF(H_Direct=1,IF(CV68&lt;=0,ABH68-CV68*UI68,ABH68-MIN(MIN(CV68*UI68,(XU68+ABH68)),ABH68)),ABH68)</f>
        <v>0</v>
      </c>
      <c r="ABJ68" s="20" t="n">
        <f aca="false">IF(H_Direct=1,IF(CW68&lt;=0,ABI68-CW68*UJ68,ABI68-MIN(MIN(CW68*UJ68,(XV68+ABI68)),ABI68)),ABI68)</f>
        <v>0</v>
      </c>
      <c r="ABK68" s="20" t="n">
        <f aca="false">IF(H_Direct=1,IF(CX68&lt;=0,ABJ68-CX68*UK68,ABJ68-MIN(MIN(CX68*UK68,(XW68+ABJ68)),ABJ68)),ABJ68)</f>
        <v>0</v>
      </c>
      <c r="ABL68" s="20" t="n">
        <f aca="false">IF(H_Direct=1,IF(CY68&lt;=0,ABK68-CY68*UL68,ABK68-MIN(MIN(CY68*UL68,(XX68+ABK68)),ABK68)),ABK68)</f>
        <v>0</v>
      </c>
      <c r="ABM68" s="20" t="n">
        <f aca="false">IF(H_Direct=1,IF(CZ68&lt;=0,ABL68-CZ68*UM68,ABL68-MIN(MIN(CZ68*UM68,(XY68+ABL68)),ABL68)),ABL68)</f>
        <v>0</v>
      </c>
      <c r="ABN68" s="20" t="n">
        <f aca="false">IF(H_Direct=1,IF(DA68&lt;=0,ABM68-DA68*UN68,ABM68-MIN(MIN(DA68*UN68,(XZ68+ABM68)),ABM68)),ABM68)</f>
        <v>0</v>
      </c>
      <c r="ABO68" s="20" t="n">
        <f aca="false">IF(H_Direct=1,IF(DB68&lt;=0,ABN68-DB68*UO68,ABN68-MIN(MIN(DB68*UO68,(YA68+ABN68)),ABN68)),ABN68)</f>
        <v>0</v>
      </c>
      <c r="ABP68" s="20" t="n">
        <f aca="false">IF(H_Direct=1,IF(DC68&lt;=0,ABO68-DC68*UP68,ABO68-MIN(MIN(DC68*UP68,(YB68+ABO68)),ABO68)),ABO68)</f>
        <v>0</v>
      </c>
      <c r="ABQ68" s="20" t="n">
        <f aca="false">IF(H_Direct=1,IF(DD68&lt;=0,ABP68-DD68*UQ68,ABP68-MIN(MIN(DD68*UQ68,(YC68+ABP68)),ABP68)),ABP68)</f>
        <v>0</v>
      </c>
      <c r="ABR68" s="20" t="n">
        <f aca="false">IF(H_Direct=1,IF(DE68&lt;=0,ABQ68-DE68*UR68,ABQ68-MIN(MIN(DE68*UR68,(YD68+ABQ68)),ABQ68)),ABQ68)</f>
        <v>0</v>
      </c>
      <c r="ABS68" s="20" t="n">
        <f aca="false">IF(H_Direct=1,IF(DF68&lt;=0,ABR68-DF68*US68,ABR68-MIN(MIN(DF68*US68,(YE68+ABR68)),ABR68)),ABR68)</f>
        <v>0</v>
      </c>
      <c r="ABT68" s="20" t="n">
        <f aca="false">IF(H_Direct=1,IF(DG68&lt;=0,ABS68-DG68*UT68,ABS68-MIN(MIN(DG68*UT68,(YF68+ABS68)),ABS68)),ABS68)</f>
        <v>0</v>
      </c>
      <c r="ABU68" s="20" t="n">
        <f aca="false">IF(H_Direct=1,IF(DH68&lt;=0,ABT68-DH68*UU68,ABT68-MIN(MIN(DH68*UU68,(YG68+ABT68)),ABT68)),ABT68)</f>
        <v>0</v>
      </c>
      <c r="ABV68" s="20" t="n">
        <f aca="false">IF(H_Direct=1,IF(DI68&lt;=0,ABU68-DI68*UV68,ABU68-MIN(MIN(DI68*UV68,(YH68+ABU68)),ABU68)),ABU68)</f>
        <v>0</v>
      </c>
      <c r="ABW68" s="20" t="n">
        <f aca="false">IF(H_Direct=1,IF(DJ68&lt;=0,ABV68-DJ68*UW68,ABV68-MIN(MIN(DJ68*UW68,(YI68+ABV68)),ABV68)),ABV68)</f>
        <v>0</v>
      </c>
      <c r="ABX68" s="20" t="n">
        <f aca="false">IF(H_Direct=1,IF(DK68&lt;=0,ABW68-DK68*UX68,ABW68-MIN(MIN(DK68*UX68,(YJ68+ABW68)),ABW68)),ABW68)</f>
        <v>0</v>
      </c>
      <c r="ABY68" s="20" t="n">
        <f aca="false">IF(H_Direct=1,IF(DL68&lt;=0,ABX68-DL68*UY68,ABX68-MIN(MIN(DL68*UY68,(YK68+ABX68)),ABX68)),ABX68)</f>
        <v>0</v>
      </c>
      <c r="ABZ68" s="20" t="n">
        <f aca="false">IF(H_Direct=1,IF(DM68&lt;=0,ABY68-DM68*UZ68,ABY68-MIN(MIN(DM68*UZ68,(YL68+ABY68)),ABY68)),ABY68)</f>
        <v>0</v>
      </c>
      <c r="ACA68" s="20" t="n">
        <f aca="false">IF(H_Direct=1,IF(DN68&lt;=0,ABZ68-DN68*VA68,ABZ68-MIN(MIN(DN68*VA68,(YM68+ABZ68)),ABZ68)),ABZ68)</f>
        <v>0</v>
      </c>
      <c r="ACB68" s="20" t="n">
        <f aca="false">IF(H_Direct=1,IF(DO68&lt;=0,ACA68-DO68*VB68,ACA68-MIN(MIN(DO68*VB68,(YN68+ACA68)),ACA68)),ACA68)</f>
        <v>0</v>
      </c>
      <c r="ACC68" s="20" t="n">
        <f aca="false">IF(H_Direct=1,IF(DP68&lt;=0,ACB68-DP68*VC68,ACB68-MIN(MIN(DP68*VC68,(YO68+ACB68)),ACB68)),ACB68)</f>
        <v>0</v>
      </c>
      <c r="ACD68" s="20" t="n">
        <f aca="false">IF(H_Direct=1,IF(DQ68&lt;=0,ACC68-DQ68*VD68,ACC68-MIN(MIN(DQ68*VD68,(YP68+ACC68)),ACC68)),ACC68)</f>
        <v>0</v>
      </c>
      <c r="ACE68" s="20" t="n">
        <f aca="false">IF(H_Direct=1,IF(DR68&lt;=0,ACD68-DR68*VE68,ACD68-MIN(MIN(DR68*VE68,(YQ68+ACD68)),ACD68)),ACD68)</f>
        <v>0</v>
      </c>
      <c r="ACF68" s="20" t="n">
        <f aca="false">IF(H_Direct=1,IF(DS68&lt;=0,ACE68-DS68*VF68,ACE68-MIN(MIN(DS68*VF68,(YR68+ACE68)),ACE68)),ACE68)</f>
        <v>0</v>
      </c>
      <c r="ACG68" s="20" t="n">
        <f aca="false">IF(H_Direct=1,IF(DT68&lt;=0,ACF68-DT68*VG68,ACF68-MIN(MIN(DT68*VG68,(YS68+ACF68)),ACF68)),ACF68)</f>
        <v>0</v>
      </c>
      <c r="ACH68" s="20" t="n">
        <f aca="false">IF(H_Direct=1,IF(DU68&lt;=0,ACG68-DU68*VH68,ACG68-MIN(MIN(DU68*VH68,(YT68+ACG68)),ACG68)),ACG68)</f>
        <v>0</v>
      </c>
      <c r="ACI68" s="20" t="n">
        <f aca="false">IF(H_Direct=1,IF(DV68&lt;=0,ACH68-DV68*VI68,ACH68-MIN(MIN(DV68*VI68,(YU68+ACH68)),ACH68)),ACH68)</f>
        <v>0</v>
      </c>
      <c r="ACJ68" s="20" t="n">
        <f aca="false">IF(H_Direct=1,IF(DW68&lt;=0,ACI68-DW68*VJ68,ACI68-MIN(MIN(DW68*VJ68,(YV68+ACI68)),ACI68)),ACI68)</f>
        <v>0</v>
      </c>
      <c r="ACK68" s="20" t="n">
        <f aca="false">IF(H_Direct=1,IF(DX68&lt;=0,ACJ68-DX68*VK68,ACJ68-MIN(MIN(DX68*VK68,(YW68+ACJ68)),ACJ68)),ACJ68)</f>
        <v>0</v>
      </c>
      <c r="ACL68" s="20" t="n">
        <f aca="false">IF(H_Direct=1,IF(DY68&lt;=0,ACK68-DY68*VL68,ACK68-MIN(MIN(DY68*VL68,(YX68+ACK68)),ACK68)),ACK68)</f>
        <v>0</v>
      </c>
      <c r="ACM68" s="20" t="n">
        <f aca="false">IF(H_Direct=1,IF(DZ68&lt;=0,ACL68-DZ68*VM68,ACL68-MIN(MIN(DZ68*VM68,(YY68+ACL68)),ACL68)),ACL68)</f>
        <v>0</v>
      </c>
      <c r="ACN68" s="20" t="n">
        <f aca="false">IF(H_Direct=1,IF(EA68&lt;=0,ACM68-EA68*VN68,ACM68-MIN(MIN(EA68*VN68,(YZ68+ACM68)),ACM68)),ACM68)</f>
        <v>0</v>
      </c>
      <c r="ACO68" s="20" t="n">
        <f aca="false">ACN68</f>
        <v>0</v>
      </c>
      <c r="ACP68" s="20" t="n">
        <f aca="false">ACO68</f>
        <v>0</v>
      </c>
      <c r="ACQ68" s="20" t="n">
        <f aca="false">ACP68</f>
        <v>0</v>
      </c>
      <c r="ACR68" s="20" t="n">
        <f aca="false">ACQ68</f>
        <v>0</v>
      </c>
      <c r="ACS68" s="20" t="n">
        <f aca="false">ACR68</f>
        <v>0</v>
      </c>
      <c r="ACT68" s="20" t="n">
        <f aca="false">ACS68</f>
        <v>0</v>
      </c>
      <c r="ACU68" s="20" t="n">
        <f aca="false">ACT68</f>
        <v>0</v>
      </c>
      <c r="ACV68" s="20" t="n">
        <f aca="false">ACU68</f>
        <v>0</v>
      </c>
      <c r="ACW68" s="20" t="n">
        <f aca="false">ACV68</f>
        <v>0</v>
      </c>
      <c r="ACX68" s="20" t="n">
        <f aca="false">ACW68</f>
        <v>0</v>
      </c>
      <c r="ACY68" s="20" t="n">
        <f aca="false">ACX68</f>
        <v>0</v>
      </c>
      <c r="ACZ68" s="20" t="n">
        <f aca="false">ACY68</f>
        <v>0</v>
      </c>
      <c r="ADA68" s="20" t="n">
        <f aca="false">ACZ68</f>
        <v>0</v>
      </c>
      <c r="ADB68" s="20" t="n">
        <f aca="false">ADA68</f>
        <v>0</v>
      </c>
      <c r="ADC68" s="20" t="n">
        <f aca="false">ADB68</f>
        <v>0</v>
      </c>
      <c r="ADD68" s="20" t="n">
        <f aca="false">ADC68</f>
        <v>0</v>
      </c>
      <c r="ADE68" s="20" t="n">
        <f aca="false">ADD68</f>
        <v>0</v>
      </c>
      <c r="ADF68" s="20" t="n">
        <f aca="false">ADE68</f>
        <v>0</v>
      </c>
      <c r="ADG68" s="20" t="n">
        <f aca="false">ADF68</f>
        <v>0</v>
      </c>
      <c r="ADH68" s="20" t="n">
        <f aca="false">ADG68</f>
        <v>0</v>
      </c>
      <c r="ADI68" s="20" t="n">
        <f aca="false">ADH68</f>
        <v>0</v>
      </c>
      <c r="ADJ68" s="20" t="n">
        <f aca="false">ADI68</f>
        <v>0</v>
      </c>
      <c r="ADK68" s="20" t="n">
        <f aca="false">ADJ68</f>
        <v>0</v>
      </c>
      <c r="ADL68" s="20" t="n">
        <f aca="false">ADK68</f>
        <v>0</v>
      </c>
      <c r="ADM68" s="20" t="n">
        <f aca="false">ADL68</f>
        <v>0</v>
      </c>
      <c r="ADN68" s="20" t="n">
        <f aca="false">ADM68</f>
        <v>0</v>
      </c>
      <c r="ADO68" s="20" t="n">
        <f aca="false">ADN68</f>
        <v>0</v>
      </c>
      <c r="ADP68" s="20" t="n">
        <f aca="false">ADO68</f>
        <v>0</v>
      </c>
      <c r="ADQ68" s="20" t="n">
        <f aca="false">ADP68</f>
        <v>0</v>
      </c>
      <c r="ADR68" s="20" t="n">
        <f aca="false">(AKR67-TE68+0)*(1+BQ68)</f>
        <v>0</v>
      </c>
      <c r="ADS68" s="20" t="n">
        <f aca="false">(AKS67-TF68+0)*(1+BQ68)</f>
        <v>0</v>
      </c>
      <c r="ADT68" s="20" t="n">
        <f aca="false">(AKT67-TG68+0)*(1+BQ68)</f>
        <v>0</v>
      </c>
      <c r="ADU68" s="20" t="n">
        <f aca="false">(AKU67-TH68+0)*(1+BQ68)</f>
        <v>0</v>
      </c>
      <c r="ADV68" s="20" t="n">
        <f aca="false">(AKV67-TI68+0)*(1+BQ68)</f>
        <v>0</v>
      </c>
      <c r="ADW68" s="20" t="n">
        <f aca="false">(AKW67-TJ68+0)*(1+BQ68)</f>
        <v>0</v>
      </c>
      <c r="ADX68" s="20" t="n">
        <f aca="false">(AKX67-TK68+0)*(1+BQ68)</f>
        <v>0</v>
      </c>
      <c r="ADY68" s="20" t="n">
        <f aca="false">(AKY67-TL68+0)*(1+BQ68)</f>
        <v>0</v>
      </c>
      <c r="ADZ68" s="20" t="n">
        <f aca="false">(AKZ67-TM68+0)*(1+BQ68)</f>
        <v>0</v>
      </c>
      <c r="AEA68" s="20" t="n">
        <f aca="false">(ALA67-TN68+0)*(1+BQ68)</f>
        <v>0</v>
      </c>
      <c r="AEB68" s="20" t="n">
        <f aca="false">(ALB67-TO68+0)*(1+BQ68)</f>
        <v>0</v>
      </c>
      <c r="AEC68" s="20" t="n">
        <f aca="false">(ALC67-TP68+0)*(1+BQ68)</f>
        <v>0</v>
      </c>
      <c r="AED68" s="20" t="n">
        <f aca="false">(ALD67-TQ68+0)*(1+BQ68)</f>
        <v>0</v>
      </c>
      <c r="AEE68" s="20" t="n">
        <f aca="false">(ALE67-TR68+0)*(1+BQ68)</f>
        <v>0</v>
      </c>
      <c r="AEF68" s="20" t="n">
        <f aca="false">(ALF67-TS68+0)*(1+BQ68)</f>
        <v>0</v>
      </c>
      <c r="AEG68" s="20" t="n">
        <f aca="false">(ALG67-TT68+0)*(1+BQ68)</f>
        <v>0</v>
      </c>
      <c r="AEH68" s="20" t="n">
        <f aca="false">(ALH67-TU68+0)*(1+BQ68)</f>
        <v>0</v>
      </c>
      <c r="AEI68" s="20" t="n">
        <f aca="false">(ALI67-TV68+0)*(1+BQ68)</f>
        <v>0</v>
      </c>
      <c r="AEJ68" s="20" t="n">
        <f aca="false">(ALJ67-TW68+0)*(1+BQ68)</f>
        <v>0</v>
      </c>
      <c r="AEK68" s="20" t="n">
        <f aca="false">(ALK67-TX68+0)*(1+BQ68)</f>
        <v>0</v>
      </c>
      <c r="AEL68" s="20" t="n">
        <f aca="false">(ALL67-TY68+0)*(1+BQ68)</f>
        <v>0</v>
      </c>
      <c r="AEM68" s="20" t="n">
        <f aca="false">(ALM67-TZ68+0)*(1+BQ68)</f>
        <v>0</v>
      </c>
      <c r="AEN68" s="20" t="n">
        <f aca="false">(ALN67-UA68+0)*(1+BQ68)</f>
        <v>0</v>
      </c>
      <c r="AEO68" s="20" t="n">
        <f aca="false">(ALO67-UB68+0)*(1+BQ68)</f>
        <v>0</v>
      </c>
      <c r="AEP68" s="20" t="n">
        <f aca="false">(ALP67-UC68+0)*(1+BQ68)</f>
        <v>0</v>
      </c>
      <c r="AEQ68" s="20" t="n">
        <f aca="false">(ALQ67-UD68+0)*(1+BQ68)</f>
        <v>0</v>
      </c>
      <c r="AER68" s="20" t="n">
        <f aca="false">(ALR67-UE68+0)*(1+BQ68)</f>
        <v>0</v>
      </c>
      <c r="AES68" s="20" t="n">
        <f aca="false">(ALS67-UF68+0)*(1+BQ68)</f>
        <v>0</v>
      </c>
      <c r="AET68" s="20" t="n">
        <f aca="false">(ALT67-UG68+0)*(1+BQ68)</f>
        <v>0</v>
      </c>
      <c r="AEU68" s="20" t="n">
        <f aca="false">(ALU67-UH68+0)*(1+BQ68)</f>
        <v>0</v>
      </c>
      <c r="AEV68" s="20" t="n">
        <f aca="false">(ALV67-UI68+0)*(1+BQ68)</f>
        <v>0</v>
      </c>
      <c r="AEW68" s="20" t="n">
        <f aca="false">(ALW67-UJ68+0)*(1+BQ68)</f>
        <v>0</v>
      </c>
      <c r="AEX68" s="20" t="n">
        <f aca="false">(ALX67-UK68+0)*(1+BQ68)</f>
        <v>0</v>
      </c>
      <c r="AEY68" s="20" t="n">
        <f aca="false">(ALY67-UL68+0)*(1+BQ68)</f>
        <v>0</v>
      </c>
      <c r="AEZ68" s="20" t="n">
        <f aca="false">(ALZ67-UM68+0)*(1+BQ68)</f>
        <v>0</v>
      </c>
      <c r="AFA68" s="20" t="n">
        <f aca="false">(AMA67-UN68+0)*(1+BQ68)</f>
        <v>0</v>
      </c>
      <c r="AFB68" s="20" t="n">
        <f aca="false">(AMB67-UO68+0)*(1+BQ68)</f>
        <v>0</v>
      </c>
      <c r="AFC68" s="20" t="n">
        <f aca="false">(AMC67-UP68+0)*(1+BQ68)</f>
        <v>0</v>
      </c>
      <c r="AFD68" s="20" t="n">
        <f aca="false">(AMD67-UQ68+0)*(1+BQ68)</f>
        <v>0</v>
      </c>
      <c r="AFE68" s="20" t="n">
        <f aca="false">(AME67-UR68+0)*(1+BQ68)</f>
        <v>0</v>
      </c>
      <c r="AFF68" s="20" t="n">
        <f aca="false">(AMF67-US68+0)*(1+BQ68)</f>
        <v>0</v>
      </c>
      <c r="AFG68" s="20" t="n">
        <f aca="false">(AMG67-UT68+0)*(1+BQ68)</f>
        <v>0</v>
      </c>
      <c r="AFH68" s="20" t="n">
        <f aca="false">(AMH67-UU68+0)*(1+BQ68)</f>
        <v>0</v>
      </c>
      <c r="AFI68" s="20" t="n">
        <f aca="false">(AMI67-UV68+0)*(1+BQ68)</f>
        <v>0</v>
      </c>
      <c r="AFJ68" s="20" t="n">
        <f aca="false">(AMJ67-UW68+0)*(1+BQ68)</f>
        <v>0</v>
      </c>
      <c r="AFK68" s="20" t="n">
        <f aca="false">(AMK67-UX68+0)*(1+BQ68)</f>
        <v>0</v>
      </c>
      <c r="AFL68" s="20" t="n">
        <f aca="false">(AML67-UY68+0)*(1+BQ68)</f>
        <v>0</v>
      </c>
      <c r="AFM68" s="20" t="n">
        <f aca="false">(AMM67-UZ68+0)*(1+BQ68)</f>
        <v>0</v>
      </c>
      <c r="AFN68" s="20" t="n">
        <f aca="false">(AMN67-VA68+0)*(1+BQ68)</f>
        <v>0</v>
      </c>
      <c r="AFO68" s="20" t="n">
        <f aca="false">(AMO67-VB68+0)*(1+BQ68)</f>
        <v>0</v>
      </c>
      <c r="AFP68" s="20" t="n">
        <f aca="false">(AMP67-VC68+0)*(1+BQ68)</f>
        <v>0</v>
      </c>
      <c r="AFQ68" s="20" t="n">
        <f aca="false">(AMQ67-VD68+0)*(1+BQ68)</f>
        <v>0</v>
      </c>
      <c r="AFR68" s="20" t="n">
        <f aca="false">(AMR67-VE68+0)*(1+BQ68)</f>
        <v>0</v>
      </c>
      <c r="AFS68" s="20" t="n">
        <f aca="false">(AMS67-VF68+0)*(1+BQ68)</f>
        <v>0</v>
      </c>
      <c r="AFT68" s="20" t="n">
        <f aca="false">(AMT67-VG68+0)*(1+BQ68)</f>
        <v>0</v>
      </c>
      <c r="AFU68" s="20" t="n">
        <f aca="false">(AMU67-VH68+0)*(1+BQ68)</f>
        <v>0</v>
      </c>
      <c r="AFV68" s="20" t="n">
        <f aca="false">(AMV67-VI68+0)*(1+BQ68)</f>
        <v>0</v>
      </c>
      <c r="AFW68" s="20" t="n">
        <f aca="false">(AMW67-VJ68+0)*(1+BQ68)</f>
        <v>0</v>
      </c>
      <c r="AFX68" s="20" t="n">
        <f aca="false">(AMX67-VK68+0)*(1+BQ68)</f>
        <v>0</v>
      </c>
      <c r="AFY68" s="20" t="n">
        <f aca="false">(AMY67-VL68+0)*(1+BQ68)</f>
        <v>0</v>
      </c>
      <c r="AFZ68" s="20" t="n">
        <f aca="false">(AMZ67-VM68+0)*(1+BQ68)</f>
        <v>0</v>
      </c>
      <c r="AGA68" s="20" t="n">
        <f aca="false">((P68+S68)-VN68+BE68)*(1+BQ68)</f>
        <v>0</v>
      </c>
      <c r="AGB68" s="20" t="n">
        <v>0</v>
      </c>
      <c r="AGC68" s="20" t="n">
        <v>0</v>
      </c>
      <c r="AGD68" s="20" t="n">
        <v>0</v>
      </c>
      <c r="AGE68" s="20" t="n">
        <v>0</v>
      </c>
      <c r="AGF68" s="20" t="n">
        <v>0</v>
      </c>
      <c r="AGG68" s="20" t="n">
        <v>0</v>
      </c>
      <c r="AGH68" s="20" t="n">
        <v>0</v>
      </c>
      <c r="AGI68" s="20" t="n">
        <v>0</v>
      </c>
      <c r="AGJ68" s="20" t="n">
        <v>0</v>
      </c>
      <c r="AGK68" s="20" t="n">
        <v>0</v>
      </c>
      <c r="AGL68" s="20" t="n">
        <v>0</v>
      </c>
      <c r="AGM68" s="20" t="n">
        <v>0</v>
      </c>
      <c r="AGN68" s="20" t="n">
        <v>0</v>
      </c>
      <c r="AGO68" s="20" t="n">
        <v>0</v>
      </c>
      <c r="AGP68" s="20" t="n">
        <v>0</v>
      </c>
      <c r="AGQ68" s="20" t="n">
        <v>0</v>
      </c>
      <c r="AGR68" s="20" t="n">
        <v>0</v>
      </c>
      <c r="AGS68" s="20" t="n">
        <v>0</v>
      </c>
      <c r="AGT68" s="20" t="n">
        <v>0</v>
      </c>
      <c r="AGU68" s="20" t="n">
        <v>0</v>
      </c>
      <c r="AGV68" s="20" t="n">
        <v>0</v>
      </c>
      <c r="AGW68" s="20" t="n">
        <v>0</v>
      </c>
      <c r="AGX68" s="20" t="n">
        <v>0</v>
      </c>
      <c r="AGY68" s="20" t="n">
        <v>0</v>
      </c>
      <c r="AGZ68" s="20" t="n">
        <v>0</v>
      </c>
      <c r="AHA68" s="20" t="n">
        <v>0</v>
      </c>
      <c r="AHB68" s="20" t="n">
        <v>0</v>
      </c>
      <c r="AHC68" s="20" t="n">
        <v>0</v>
      </c>
      <c r="AHD68" s="20" t="n">
        <v>0</v>
      </c>
      <c r="AHE68" s="20" t="n">
        <f aca="false">IF(AKR67&gt;0,AOE67-AOE67*TE68/AKR67,0)+0</f>
        <v>0</v>
      </c>
      <c r="AHF68" s="20" t="n">
        <f aca="false">IF(AKS67&gt;0,AOF67-AOF67*TF68/AKS67,0)+0</f>
        <v>0</v>
      </c>
      <c r="AHG68" s="20" t="n">
        <f aca="false">IF(AKT67&gt;0,AOG67-AOG67*TG68/AKT67,0)+0</f>
        <v>0</v>
      </c>
      <c r="AHH68" s="20" t="n">
        <f aca="false">IF(AKU67&gt;0,AOH67-AOH67*TH68/AKU67,0)+0</f>
        <v>0</v>
      </c>
      <c r="AHI68" s="20" t="n">
        <f aca="false">IF(AKV67&gt;0,AOI67-AOI67*TI68/AKV67,0)+0</f>
        <v>0</v>
      </c>
      <c r="AHJ68" s="20" t="n">
        <f aca="false">IF(AKW67&gt;0,AOJ67-AOJ67*TJ68/AKW67,0)+0</f>
        <v>0</v>
      </c>
      <c r="AHK68" s="20" t="n">
        <f aca="false">IF(AKX67&gt;0,AOK67-AOK67*TK68/AKX67,0)+0</f>
        <v>0</v>
      </c>
      <c r="AHL68" s="20" t="n">
        <f aca="false">IF(AKY67&gt;0,AOL67-AOL67*TL68/AKY67,0)+0</f>
        <v>0</v>
      </c>
      <c r="AHM68" s="20" t="n">
        <f aca="false">IF(AKZ67&gt;0,AOM67-AOM67*TM68/AKZ67,0)+0</f>
        <v>0</v>
      </c>
      <c r="AHN68" s="20" t="n">
        <f aca="false">IF(ALA67&gt;0,AON67-AON67*TN68/ALA67,0)+0</f>
        <v>0</v>
      </c>
      <c r="AHO68" s="20" t="n">
        <f aca="false">IF(ALB67&gt;0,AOO67-AOO67*TO68/ALB67,0)+0</f>
        <v>0</v>
      </c>
      <c r="AHP68" s="20" t="n">
        <f aca="false">IF(ALC67&gt;0,AOP67-AOP67*TP68/ALC67,0)+0</f>
        <v>0</v>
      </c>
      <c r="AHQ68" s="20" t="n">
        <f aca="false">IF(ALD67&gt;0,AOQ67-AOQ67*TQ68/ALD67,0)+0</f>
        <v>0</v>
      </c>
      <c r="AHR68" s="20" t="n">
        <f aca="false">IF(ALE67&gt;0,AOR67-AOR67*TR68/ALE67,0)+0</f>
        <v>0</v>
      </c>
      <c r="AHS68" s="20" t="n">
        <f aca="false">IF(ALF67&gt;0,AOS67-AOS67*TS68/ALF67,0)+0</f>
        <v>0</v>
      </c>
      <c r="AHT68" s="20" t="n">
        <f aca="false">IF(ALG67&gt;0,AOT67-AOT67*TT68/ALG67,0)+0</f>
        <v>0</v>
      </c>
      <c r="AHU68" s="20" t="n">
        <f aca="false">IF(ALH67&gt;0,AOU67-AOU67*TU68/ALH67,0)+0</f>
        <v>0</v>
      </c>
      <c r="AHV68" s="20" t="n">
        <f aca="false">IF(ALI67&gt;0,AOV67-AOV67*TV68/ALI67,0)+0</f>
        <v>0</v>
      </c>
      <c r="AHW68" s="20" t="n">
        <f aca="false">IF(ALJ67&gt;0,AOW67-AOW67*TW68/ALJ67,0)+0</f>
        <v>0</v>
      </c>
      <c r="AHX68" s="20" t="n">
        <f aca="false">IF(ALK67&gt;0,AOX67-AOX67*TX68/ALK67,0)+0</f>
        <v>0</v>
      </c>
      <c r="AHY68" s="20" t="n">
        <f aca="false">IF(ALL67&gt;0,AOY67-AOY67*TY68/ALL67,0)+0</f>
        <v>0</v>
      </c>
      <c r="AHZ68" s="20" t="n">
        <f aca="false">IF(ALM67&gt;0,AOZ67-AOZ67*TZ68/ALM67,0)+0</f>
        <v>0</v>
      </c>
      <c r="AIA68" s="20" t="n">
        <f aca="false">IF(ALN67&gt;0,APA67-APA67*UA68/ALN67,0)+0</f>
        <v>0</v>
      </c>
      <c r="AIB68" s="20" t="n">
        <f aca="false">IF(ALO67&gt;0,APB67-APB67*UB68/ALO67,0)+0</f>
        <v>0</v>
      </c>
      <c r="AIC68" s="20" t="n">
        <f aca="false">IF(ALP67&gt;0,APC67-APC67*UC68/ALP67,0)+0</f>
        <v>0</v>
      </c>
      <c r="AID68" s="20" t="n">
        <f aca="false">IF(ALQ67&gt;0,APD67-APD67*UD68/ALQ67,0)+0</f>
        <v>0</v>
      </c>
      <c r="AIE68" s="20" t="n">
        <f aca="false">IF(ALR67&gt;0,APE67-APE67*UE68/ALR67,0)+0</f>
        <v>0</v>
      </c>
      <c r="AIF68" s="20" t="n">
        <f aca="false">IF(ALS67&gt;0,APF67-APF67*UF68/ALS67,0)+0</f>
        <v>0</v>
      </c>
      <c r="AIG68" s="20" t="n">
        <f aca="false">IF(ALT67&gt;0,APG67-APG67*UG68/ALT67,0)+0</f>
        <v>0</v>
      </c>
      <c r="AIH68" s="20" t="n">
        <f aca="false">IF(ALU67&gt;0,APH67-APH67*UH68/ALU67,0)+0</f>
        <v>0</v>
      </c>
      <c r="AII68" s="20" t="n">
        <f aca="false">IF(ALV67&gt;0,API67-API67*UI68/ALV67,0)+0</f>
        <v>0</v>
      </c>
      <c r="AIJ68" s="20" t="n">
        <f aca="false">IF(ALW67&gt;0,APJ67-APJ67*UJ68/ALW67,0)+0</f>
        <v>0</v>
      </c>
      <c r="AIK68" s="20" t="n">
        <f aca="false">IF(ALX67&gt;0,APK67-APK67*UK68/ALX67,0)+0</f>
        <v>0</v>
      </c>
      <c r="AIL68" s="20" t="n">
        <f aca="false">IF(ALY67&gt;0,APL67-APL67*UL68/ALY67,0)+0</f>
        <v>0</v>
      </c>
      <c r="AIM68" s="20" t="n">
        <f aca="false">IF(ALZ67&gt;0,APM67-APM67*UM68/ALZ67,0)+0</f>
        <v>0</v>
      </c>
      <c r="AIN68" s="20" t="n">
        <f aca="false">IF(AMA67&gt;0,APN67-APN67*UN68/AMA67,0)+0</f>
        <v>0</v>
      </c>
      <c r="AIO68" s="20" t="n">
        <f aca="false">IF(AMB67&gt;0,APO67-APO67*UO68/AMB67,0)+0</f>
        <v>0</v>
      </c>
      <c r="AIP68" s="20" t="n">
        <f aca="false">IF(AMC67&gt;0,APP67-APP67*UP68/AMC67,0)+0</f>
        <v>0</v>
      </c>
      <c r="AIQ68" s="20" t="n">
        <f aca="false">IF(AMD67&gt;0,APQ67-APQ67*UQ68/AMD67,0)+0</f>
        <v>0</v>
      </c>
      <c r="AIR68" s="20" t="n">
        <f aca="false">IF(AME67&gt;0,APR67-APR67*UR68/AME67,0)+0</f>
        <v>0</v>
      </c>
      <c r="AIS68" s="20" t="n">
        <f aca="false">IF(AMF67&gt;0,APS67-APS67*US68/AMF67,0)+0</f>
        <v>0</v>
      </c>
      <c r="AIT68" s="20" t="n">
        <f aca="false">IF(AMG67&gt;0,APT67-APT67*UT68/AMG67,0)+0</f>
        <v>0</v>
      </c>
      <c r="AIU68" s="20" t="n">
        <f aca="false">IF(AMH67&gt;0,APU67-APU67*UU68/AMH67,0)+0</f>
        <v>0</v>
      </c>
      <c r="AIV68" s="20" t="n">
        <f aca="false">IF(AMI67&gt;0,APV67-APV67*UV68/AMI67,0)+0</f>
        <v>0</v>
      </c>
      <c r="AIW68" s="20" t="n">
        <f aca="false">IF(AMJ67&gt;0,APW67-APW67*UW68/AMJ67,0)+0</f>
        <v>0</v>
      </c>
      <c r="AIX68" s="20" t="n">
        <f aca="false">IF(AMK67&gt;0,APX67-APX67*UX68/AMK67,0)+0</f>
        <v>0</v>
      </c>
      <c r="AIY68" s="20" t="n">
        <f aca="false">IF(AML67&gt;0,APY67-APY67*UY68/AML67,0)+0</f>
        <v>0</v>
      </c>
      <c r="AIZ68" s="20" t="n">
        <f aca="false">IF(AMM67&gt;0,APZ67-APZ67*UZ68/AMM67,0)+0</f>
        <v>0</v>
      </c>
      <c r="AJA68" s="20" t="n">
        <f aca="false">IF(AMN67&gt;0,AQA67-AQA67*VA68/AMN67,0)+0</f>
        <v>0</v>
      </c>
      <c r="AJB68" s="20" t="n">
        <f aca="false">IF(AMO67&gt;0,AQB67-AQB67*VB68/AMO67,0)+0</f>
        <v>0</v>
      </c>
      <c r="AJC68" s="20" t="n">
        <f aca="false">IF(AMP67&gt;0,AQC67-AQC67*VC68/AMP67,0)+0</f>
        <v>0</v>
      </c>
      <c r="AJD68" s="20" t="n">
        <f aca="false">IF(AMQ67&gt;0,AQD67-AQD67*VD68/AMQ67,0)+0</f>
        <v>0</v>
      </c>
      <c r="AJE68" s="20" t="n">
        <f aca="false">IF(AMR67&gt;0,AQE67-AQE67*VE68/AMR67,0)+0</f>
        <v>0</v>
      </c>
      <c r="AJF68" s="20" t="n">
        <f aca="false">IF(AMS67&gt;0,AQF67-AQF67*VF68/AMS67,0)+0</f>
        <v>0</v>
      </c>
      <c r="AJG68" s="20" t="n">
        <f aca="false">IF(AMT67&gt;0,AQG67-AQG67*VG68/AMT67,0)+0</f>
        <v>0</v>
      </c>
      <c r="AJH68" s="20" t="n">
        <f aca="false">IF(AMU67&gt;0,AQH67-AQH67*VH68/AMU67,0)+0</f>
        <v>0</v>
      </c>
      <c r="AJI68" s="20" t="n">
        <f aca="false">IF(AMV67&gt;0,AQI67-AQI67*VI68/AMV67,0)+0</f>
        <v>0</v>
      </c>
      <c r="AJJ68" s="20" t="n">
        <f aca="false">IF(AMW67&gt;0,AQJ67-AQJ67*VJ68/AMW67,0)+0</f>
        <v>0</v>
      </c>
      <c r="AJK68" s="20" t="n">
        <f aca="false">IF(AMX67&gt;0,AQK67-AQK67*VK68/AMX67,0)+0</f>
        <v>0</v>
      </c>
      <c r="AJL68" s="20" t="n">
        <f aca="false">IF(AMY67&gt;0,AQL67-AQL67*VL68/AMY67,0)+0</f>
        <v>0</v>
      </c>
      <c r="AJM68" s="20" t="n">
        <f aca="false">IF(AMZ67&gt;0,AQM67-AQM67*VM68/AMZ67,0)+0</f>
        <v>0</v>
      </c>
      <c r="AJN68" s="20" t="n">
        <f aca="false">IF((P68+S68)&gt;0,(P68+S68)-(P68+S68)*VN68/(P68+S68),0)+BE68</f>
        <v>0</v>
      </c>
      <c r="AJO68" s="20" t="n">
        <v>0</v>
      </c>
      <c r="AJP68" s="20" t="n">
        <v>0</v>
      </c>
      <c r="AJQ68" s="20" t="n">
        <v>0</v>
      </c>
      <c r="AJR68" s="20" t="n">
        <v>0</v>
      </c>
      <c r="AJS68" s="20" t="n">
        <v>0</v>
      </c>
      <c r="AJT68" s="20" t="n">
        <v>0</v>
      </c>
      <c r="AJU68" s="20" t="n">
        <v>0</v>
      </c>
      <c r="AJV68" s="20" t="n">
        <v>0</v>
      </c>
      <c r="AJW68" s="20" t="n">
        <v>0</v>
      </c>
      <c r="AJX68" s="20" t="n">
        <v>0</v>
      </c>
      <c r="AJY68" s="20" t="n">
        <v>0</v>
      </c>
      <c r="AJZ68" s="20" t="n">
        <v>0</v>
      </c>
      <c r="AKA68" s="20" t="n">
        <v>0</v>
      </c>
      <c r="AKB68" s="20" t="n">
        <v>0</v>
      </c>
      <c r="AKC68" s="20" t="n">
        <v>0</v>
      </c>
      <c r="AKD68" s="20" t="n">
        <v>0</v>
      </c>
      <c r="AKE68" s="20" t="n">
        <v>0</v>
      </c>
      <c r="AKF68" s="20" t="n">
        <v>0</v>
      </c>
      <c r="AKG68" s="20" t="n">
        <v>0</v>
      </c>
      <c r="AKH68" s="20" t="n">
        <v>0</v>
      </c>
      <c r="AKI68" s="20" t="n">
        <v>0</v>
      </c>
      <c r="AKJ68" s="20" t="n">
        <v>0</v>
      </c>
      <c r="AKK68" s="20" t="n">
        <v>0</v>
      </c>
      <c r="AKL68" s="20" t="n">
        <v>0</v>
      </c>
      <c r="AKM68" s="20" t="n">
        <v>0</v>
      </c>
      <c r="AKN68" s="20" t="n">
        <v>0</v>
      </c>
      <c r="AKO68" s="20" t="n">
        <v>0</v>
      </c>
      <c r="AKP68" s="20" t="n">
        <v>0</v>
      </c>
      <c r="AKQ68" s="20" t="n">
        <v>0</v>
      </c>
      <c r="AKR68" s="20" t="n">
        <f aca="false">ADR68-AVE68</f>
        <v>0</v>
      </c>
      <c r="AKS68" s="20" t="n">
        <f aca="false">ADS68-AVF68</f>
        <v>0</v>
      </c>
      <c r="AKT68" s="20" t="n">
        <f aca="false">ADT68-AVG68</f>
        <v>0</v>
      </c>
      <c r="AKU68" s="20" t="n">
        <f aca="false">ADU68-AVH68</f>
        <v>0</v>
      </c>
      <c r="AKV68" s="20" t="n">
        <f aca="false">ADV68-AVI68</f>
        <v>0</v>
      </c>
      <c r="AKW68" s="20" t="n">
        <f aca="false">ADW68-AVJ68</f>
        <v>0</v>
      </c>
      <c r="AKX68" s="20" t="n">
        <f aca="false">ADX68-AVK68</f>
        <v>0</v>
      </c>
      <c r="AKY68" s="20" t="n">
        <f aca="false">ADY68-AVL68</f>
        <v>0</v>
      </c>
      <c r="AKZ68" s="20" t="n">
        <f aca="false">ADZ68-AVM68</f>
        <v>0</v>
      </c>
      <c r="ALA68" s="20" t="n">
        <f aca="false">AEA68-AVN68</f>
        <v>0</v>
      </c>
      <c r="ALB68" s="20" t="n">
        <f aca="false">AEB68-AVO68</f>
        <v>0</v>
      </c>
      <c r="ALC68" s="20" t="n">
        <f aca="false">AEC68-AVP68</f>
        <v>0</v>
      </c>
      <c r="ALD68" s="20" t="n">
        <f aca="false">AED68-AVQ68</f>
        <v>0</v>
      </c>
      <c r="ALE68" s="20" t="n">
        <f aca="false">AEE68-AVR68</f>
        <v>0</v>
      </c>
      <c r="ALF68" s="20" t="n">
        <f aca="false">AEF68-AVS68</f>
        <v>0</v>
      </c>
      <c r="ALG68" s="20" t="n">
        <f aca="false">AEG68-AVT68</f>
        <v>0</v>
      </c>
      <c r="ALH68" s="20" t="n">
        <f aca="false">AEH68-AVU68</f>
        <v>0</v>
      </c>
      <c r="ALI68" s="20" t="n">
        <f aca="false">AEI68-AVV68</f>
        <v>0</v>
      </c>
      <c r="ALJ68" s="20" t="n">
        <f aca="false">AEJ68-AVW68</f>
        <v>0</v>
      </c>
      <c r="ALK68" s="20" t="n">
        <f aca="false">AEK68-AVX68</f>
        <v>0</v>
      </c>
      <c r="ALL68" s="20" t="n">
        <f aca="false">AEL68-AVY68</f>
        <v>0</v>
      </c>
      <c r="ALM68" s="20" t="n">
        <f aca="false">AEM68-AVZ68</f>
        <v>0</v>
      </c>
      <c r="ALN68" s="20" t="n">
        <f aca="false">AEN68-AWA68</f>
        <v>0</v>
      </c>
      <c r="ALO68" s="20" t="n">
        <f aca="false">AEO68-AWB68</f>
        <v>0</v>
      </c>
      <c r="ALP68" s="20" t="n">
        <f aca="false">AEP68-AWC68</f>
        <v>0</v>
      </c>
      <c r="ALQ68" s="20" t="n">
        <f aca="false">AEQ68-AWD68</f>
        <v>0</v>
      </c>
      <c r="ALR68" s="20" t="n">
        <f aca="false">AER68-AWE68</f>
        <v>0</v>
      </c>
      <c r="ALS68" s="20" t="n">
        <f aca="false">AES68-AWF68</f>
        <v>0</v>
      </c>
      <c r="ALT68" s="20" t="n">
        <f aca="false">AET68-AWG68</f>
        <v>0</v>
      </c>
      <c r="ALU68" s="20" t="n">
        <f aca="false">AEU68-AWH68</f>
        <v>0</v>
      </c>
      <c r="ALV68" s="20" t="n">
        <f aca="false">AEV68-AWI68</f>
        <v>0</v>
      </c>
      <c r="ALW68" s="20" t="n">
        <f aca="false">AEW68-AWJ68</f>
        <v>0</v>
      </c>
      <c r="ALX68" s="20" t="n">
        <f aca="false">AEX68-AWK68</f>
        <v>0</v>
      </c>
      <c r="ALY68" s="20" t="n">
        <f aca="false">AEY68-AWL68</f>
        <v>0</v>
      </c>
      <c r="ALZ68" s="20" t="n">
        <f aca="false">AEZ68-AWM68</f>
        <v>0</v>
      </c>
      <c r="AMA68" s="20" t="n">
        <f aca="false">AFA68-AWN68</f>
        <v>0</v>
      </c>
      <c r="AMB68" s="20" t="n">
        <f aca="false">AFB68-AWO68</f>
        <v>0</v>
      </c>
      <c r="AMC68" s="20" t="n">
        <f aca="false">AFC68-AWP68</f>
        <v>0</v>
      </c>
      <c r="AMD68" s="20" t="n">
        <f aca="false">AFD68-AWQ68</f>
        <v>0</v>
      </c>
      <c r="AME68" s="20" t="n">
        <f aca="false">AFE68-AWR68</f>
        <v>0</v>
      </c>
      <c r="AMF68" s="20" t="n">
        <f aca="false">AFF68-AWS68</f>
        <v>0</v>
      </c>
      <c r="AMG68" s="20" t="n">
        <f aca="false">AFG68-AWT68</f>
        <v>0</v>
      </c>
      <c r="AMH68" s="20" t="n">
        <f aca="false">AFH68-AWU68</f>
        <v>0</v>
      </c>
      <c r="AMI68" s="20" t="n">
        <f aca="false">AFI68-AWV68</f>
        <v>0</v>
      </c>
      <c r="AMJ68" s="20" t="n">
        <f aca="false">AFJ68-AWW68</f>
        <v>0</v>
      </c>
      <c r="AMK68" s="20" t="n">
        <f aca="false">AFK68-AWX68</f>
        <v>0</v>
      </c>
      <c r="AML68" s="20" t="n">
        <f aca="false">AFL68-AWY68</f>
        <v>0</v>
      </c>
      <c r="AMM68" s="20" t="n">
        <f aca="false">AFM68-AWZ68</f>
        <v>0</v>
      </c>
      <c r="AMN68" s="20" t="n">
        <f aca="false">AFN68-AXA68</f>
        <v>0</v>
      </c>
      <c r="AMO68" s="20" t="n">
        <f aca="false">AFO68-AXB68</f>
        <v>0</v>
      </c>
      <c r="AMP68" s="20" t="n">
        <f aca="false">AFP68-AXC68</f>
        <v>0</v>
      </c>
      <c r="AMQ68" s="20" t="n">
        <f aca="false">AFQ68-AXD68</f>
        <v>0</v>
      </c>
      <c r="AMR68" s="20" t="n">
        <f aca="false">AFR68-AXE68</f>
        <v>0</v>
      </c>
      <c r="AMS68" s="20" t="n">
        <f aca="false">AFS68-AXF68</f>
        <v>0</v>
      </c>
      <c r="AMT68" s="20" t="n">
        <f aca="false">AFT68-AXG68</f>
        <v>0</v>
      </c>
      <c r="AMU68" s="20" t="n">
        <f aca="false">AFU68-AXH68</f>
        <v>0</v>
      </c>
      <c r="AMV68" s="20" t="n">
        <f aca="false">AFV68-AXI68</f>
        <v>0</v>
      </c>
      <c r="AMW68" s="20" t="n">
        <f aca="false">AFW68-AXJ68</f>
        <v>0</v>
      </c>
      <c r="AMX68" s="20" t="n">
        <f aca="false">AFX68-AXK68</f>
        <v>0</v>
      </c>
      <c r="AMY68" s="20" t="n">
        <f aca="false">AFY68-AXL68</f>
        <v>0</v>
      </c>
      <c r="AMZ68" s="20" t="n">
        <f aca="false">AFZ68-AXM68</f>
        <v>0</v>
      </c>
      <c r="ANA68" s="20" t="n">
        <f aca="false">AGA68-AXN68</f>
        <v>0</v>
      </c>
      <c r="ANB68" s="20" t="n">
        <v>0</v>
      </c>
      <c r="ANC68" s="20" t="n">
        <v>0</v>
      </c>
      <c r="AND68" s="20" t="n">
        <v>0</v>
      </c>
      <c r="ANE68" s="20" t="n">
        <v>0</v>
      </c>
      <c r="ANF68" s="20" t="n">
        <v>0</v>
      </c>
      <c r="ANG68" s="20" t="n">
        <v>0</v>
      </c>
      <c r="ANH68" s="20" t="n">
        <v>0</v>
      </c>
      <c r="ANI68" s="20" t="n">
        <v>0</v>
      </c>
      <c r="ANJ68" s="20" t="n">
        <v>0</v>
      </c>
      <c r="ANK68" s="20" t="n">
        <v>0</v>
      </c>
      <c r="ANL68" s="20" t="n">
        <v>0</v>
      </c>
      <c r="ANM68" s="20" t="n">
        <v>0</v>
      </c>
      <c r="ANN68" s="20" t="n">
        <v>0</v>
      </c>
      <c r="ANO68" s="20" t="n">
        <v>0</v>
      </c>
      <c r="ANP68" s="20" t="n">
        <v>0</v>
      </c>
      <c r="ANQ68" s="20" t="n">
        <v>0</v>
      </c>
      <c r="ANR68" s="20" t="n">
        <v>0</v>
      </c>
      <c r="ANS68" s="20" t="n">
        <v>0</v>
      </c>
      <c r="ANT68" s="20" t="n">
        <v>0</v>
      </c>
      <c r="ANU68" s="20" t="n">
        <v>0</v>
      </c>
      <c r="ANV68" s="20" t="n">
        <v>0</v>
      </c>
      <c r="ANW68" s="20" t="n">
        <v>0</v>
      </c>
      <c r="ANX68" s="20" t="n">
        <v>0</v>
      </c>
      <c r="ANY68" s="20" t="n">
        <v>0</v>
      </c>
      <c r="ANZ68" s="20" t="n">
        <v>0</v>
      </c>
      <c r="AOA68" s="20" t="n">
        <v>0</v>
      </c>
      <c r="AOB68" s="20" t="n">
        <v>0</v>
      </c>
      <c r="AOC68" s="20" t="n">
        <v>0</v>
      </c>
      <c r="AOD68" s="20" t="n">
        <v>0</v>
      </c>
      <c r="AOE68" s="20" t="n">
        <f aca="false">IF(AND(H_Direct=0,H_TaxEvt=1,ARR67+1&gt;=H_Deemed),AKR68,AHE68)</f>
        <v>0</v>
      </c>
      <c r="AOF68" s="20" t="n">
        <f aca="false">IF(AND(H_Direct=0,H_TaxEvt=1,ARS67+1&gt;=H_Deemed),AKS68,AHF68)</f>
        <v>0</v>
      </c>
      <c r="AOG68" s="20" t="n">
        <f aca="false">IF(AND(H_Direct=0,H_TaxEvt=1,ART67+1&gt;=H_Deemed),AKT68,AHG68)</f>
        <v>0</v>
      </c>
      <c r="AOH68" s="20" t="n">
        <f aca="false">IF(AND(H_Direct=0,H_TaxEvt=1,ARU67+1&gt;=H_Deemed),AKU68,AHH68)</f>
        <v>0</v>
      </c>
      <c r="AOI68" s="20" t="n">
        <f aca="false">IF(AND(H_Direct=0,H_TaxEvt=1,ARV67+1&gt;=H_Deemed),AKV68,AHI68)</f>
        <v>0</v>
      </c>
      <c r="AOJ68" s="20" t="n">
        <f aca="false">IF(AND(H_Direct=0,H_TaxEvt=1,ARW67+1&gt;=H_Deemed),AKW68,AHJ68)</f>
        <v>0</v>
      </c>
      <c r="AOK68" s="20" t="n">
        <f aca="false">IF(AND(H_Direct=0,H_TaxEvt=1,ARX67+1&gt;=H_Deemed),AKX68,AHK68)</f>
        <v>0</v>
      </c>
      <c r="AOL68" s="20" t="n">
        <f aca="false">IF(AND(H_Direct=0,H_TaxEvt=1,ARY67+1&gt;=H_Deemed),AKY68,AHL68)</f>
        <v>0</v>
      </c>
      <c r="AOM68" s="20" t="n">
        <f aca="false">IF(AND(H_Direct=0,H_TaxEvt=1,ARZ67+1&gt;=H_Deemed),AKZ68,AHM68)</f>
        <v>0</v>
      </c>
      <c r="AON68" s="20" t="n">
        <f aca="false">IF(AND(H_Direct=0,H_TaxEvt=1,ASA67+1&gt;=H_Deemed),ALA68,AHN68)</f>
        <v>0</v>
      </c>
      <c r="AOO68" s="20" t="n">
        <f aca="false">IF(AND(H_Direct=0,H_TaxEvt=1,ASB67+1&gt;=H_Deemed),ALB68,AHO68)</f>
        <v>0</v>
      </c>
      <c r="AOP68" s="20" t="n">
        <f aca="false">IF(AND(H_Direct=0,H_TaxEvt=1,ASC67+1&gt;=H_Deemed),ALC68,AHP68)</f>
        <v>0</v>
      </c>
      <c r="AOQ68" s="20" t="n">
        <f aca="false">IF(AND(H_Direct=0,H_TaxEvt=1,ASD67+1&gt;=H_Deemed),ALD68,AHQ68)</f>
        <v>0</v>
      </c>
      <c r="AOR68" s="20" t="n">
        <f aca="false">IF(AND(H_Direct=0,H_TaxEvt=1,ASE67+1&gt;=H_Deemed),ALE68,AHR68)</f>
        <v>0</v>
      </c>
      <c r="AOS68" s="20" t="n">
        <f aca="false">IF(AND(H_Direct=0,H_TaxEvt=1,ASF67+1&gt;=H_Deemed),ALF68,AHS68)</f>
        <v>0</v>
      </c>
      <c r="AOT68" s="20" t="n">
        <f aca="false">IF(AND(H_Direct=0,H_TaxEvt=1,ASG67+1&gt;=H_Deemed),ALG68,AHT68)</f>
        <v>0</v>
      </c>
      <c r="AOU68" s="20" t="n">
        <f aca="false">IF(AND(H_Direct=0,H_TaxEvt=1,ASH67+1&gt;=H_Deemed),ALH68,AHU68)</f>
        <v>0</v>
      </c>
      <c r="AOV68" s="20" t="n">
        <f aca="false">IF(AND(H_Direct=0,H_TaxEvt=1,ASI67+1&gt;=H_Deemed),ALI68,AHV68)</f>
        <v>0</v>
      </c>
      <c r="AOW68" s="20" t="n">
        <f aca="false">IF(AND(H_Direct=0,H_TaxEvt=1,ASJ67+1&gt;=H_Deemed),ALJ68,AHW68)</f>
        <v>0</v>
      </c>
      <c r="AOX68" s="20" t="n">
        <f aca="false">IF(AND(H_Direct=0,H_TaxEvt=1,ASK67+1&gt;=H_Deemed),ALK68,AHX68)</f>
        <v>0</v>
      </c>
      <c r="AOY68" s="20" t="n">
        <f aca="false">IF(AND(H_Direct=0,H_TaxEvt=1,ASL67+1&gt;=H_Deemed),ALL68,AHY68)</f>
        <v>0</v>
      </c>
      <c r="AOZ68" s="20" t="n">
        <f aca="false">IF(AND(H_Direct=0,H_TaxEvt=1,ASM67+1&gt;=H_Deemed),ALM68,AHZ68)</f>
        <v>0</v>
      </c>
      <c r="APA68" s="20" t="n">
        <f aca="false">IF(AND(H_Direct=0,H_TaxEvt=1,ASN67+1&gt;=H_Deemed),ALN68,AIA68)</f>
        <v>0</v>
      </c>
      <c r="APB68" s="20" t="n">
        <f aca="false">IF(AND(H_Direct=0,H_TaxEvt=1,ASO67+1&gt;=H_Deemed),ALO68,AIB68)</f>
        <v>0</v>
      </c>
      <c r="APC68" s="20" t="n">
        <f aca="false">IF(AND(H_Direct=0,H_TaxEvt=1,ASP67+1&gt;=H_Deemed),ALP68,AIC68)</f>
        <v>0</v>
      </c>
      <c r="APD68" s="20" t="n">
        <f aca="false">IF(AND(H_Direct=0,H_TaxEvt=1,ASQ67+1&gt;=H_Deemed),ALQ68,AID68)</f>
        <v>0</v>
      </c>
      <c r="APE68" s="20" t="n">
        <f aca="false">IF(AND(H_Direct=0,H_TaxEvt=1,ASR67+1&gt;=H_Deemed),ALR68,AIE68)</f>
        <v>0</v>
      </c>
      <c r="APF68" s="20" t="n">
        <f aca="false">IF(AND(H_Direct=0,H_TaxEvt=1,ASS67+1&gt;=H_Deemed),ALS68,AIF68)</f>
        <v>0</v>
      </c>
      <c r="APG68" s="20" t="n">
        <f aca="false">IF(AND(H_Direct=0,H_TaxEvt=1,AST67+1&gt;=H_Deemed),ALT68,AIG68)</f>
        <v>0</v>
      </c>
      <c r="APH68" s="20" t="n">
        <f aca="false">IF(AND(H_Direct=0,H_TaxEvt=1,ASU67+1&gt;=H_Deemed),ALU68,AIH68)</f>
        <v>0</v>
      </c>
      <c r="API68" s="20" t="n">
        <f aca="false">IF(AND(H_Direct=0,H_TaxEvt=1,ASV67+1&gt;=H_Deemed),ALV68,AII68)</f>
        <v>0</v>
      </c>
      <c r="APJ68" s="20" t="n">
        <f aca="false">IF(AND(H_Direct=0,H_TaxEvt=1,ASW67+1&gt;=H_Deemed),ALW68,AIJ68)</f>
        <v>0</v>
      </c>
      <c r="APK68" s="20" t="n">
        <f aca="false">IF(AND(H_Direct=0,H_TaxEvt=1,ASX67+1&gt;=H_Deemed),ALX68,AIK68)</f>
        <v>0</v>
      </c>
      <c r="APL68" s="20" t="n">
        <f aca="false">IF(AND(H_Direct=0,H_TaxEvt=1,ASY67+1&gt;=H_Deemed),ALY68,AIL68)</f>
        <v>0</v>
      </c>
      <c r="APM68" s="20" t="n">
        <f aca="false">IF(AND(H_Direct=0,H_TaxEvt=1,ASZ67+1&gt;=H_Deemed),ALZ68,AIM68)</f>
        <v>0</v>
      </c>
      <c r="APN68" s="20" t="n">
        <f aca="false">IF(AND(H_Direct=0,H_TaxEvt=1,ATA67+1&gt;=H_Deemed),AMA68,AIN68)</f>
        <v>0</v>
      </c>
      <c r="APO68" s="20" t="n">
        <f aca="false">IF(AND(H_Direct=0,H_TaxEvt=1,ATB67+1&gt;=H_Deemed),AMB68,AIO68)</f>
        <v>0</v>
      </c>
      <c r="APP68" s="20" t="n">
        <f aca="false">IF(AND(H_Direct=0,H_TaxEvt=1,ATC67+1&gt;=H_Deemed),AMC68,AIP68)</f>
        <v>0</v>
      </c>
      <c r="APQ68" s="20" t="n">
        <f aca="false">IF(AND(H_Direct=0,H_TaxEvt=1,ATD67+1&gt;=H_Deemed),AMD68,AIQ68)</f>
        <v>0</v>
      </c>
      <c r="APR68" s="20" t="n">
        <f aca="false">IF(AND(H_Direct=0,H_TaxEvt=1,ATE67+1&gt;=H_Deemed),AME68,AIR68)</f>
        <v>0</v>
      </c>
      <c r="APS68" s="20" t="n">
        <f aca="false">IF(AND(H_Direct=0,H_TaxEvt=1,ATF67+1&gt;=H_Deemed),AMF68,AIS68)</f>
        <v>0</v>
      </c>
      <c r="APT68" s="20" t="n">
        <f aca="false">IF(AND(H_Direct=0,H_TaxEvt=1,ATG67+1&gt;=H_Deemed),AMG68,AIT68)</f>
        <v>0</v>
      </c>
      <c r="APU68" s="20" t="n">
        <f aca="false">IF(AND(H_Direct=0,H_TaxEvt=1,ATH67+1&gt;=H_Deemed),AMH68,AIU68)</f>
        <v>0</v>
      </c>
      <c r="APV68" s="20" t="n">
        <f aca="false">IF(AND(H_Direct=0,H_TaxEvt=1,ATI67+1&gt;=H_Deemed),AMI68,AIV68)</f>
        <v>0</v>
      </c>
      <c r="APW68" s="20" t="n">
        <f aca="false">IF(AND(H_Direct=0,H_TaxEvt=1,ATJ67+1&gt;=H_Deemed),AMJ68,AIW68)</f>
        <v>0</v>
      </c>
      <c r="APX68" s="20" t="n">
        <f aca="false">IF(AND(H_Direct=0,H_TaxEvt=1,ATK67+1&gt;=H_Deemed),AMK68,AIX68)</f>
        <v>0</v>
      </c>
      <c r="APY68" s="20" t="n">
        <f aca="false">IF(AND(H_Direct=0,H_TaxEvt=1,ATL67+1&gt;=H_Deemed),AML68,AIY68)</f>
        <v>0</v>
      </c>
      <c r="APZ68" s="20" t="n">
        <f aca="false">IF(AND(H_Direct=0,H_TaxEvt=1,ATM67+1&gt;=H_Deemed),AMM68,AIZ68)</f>
        <v>0</v>
      </c>
      <c r="AQA68" s="20" t="n">
        <f aca="false">IF(AND(H_Direct=0,H_TaxEvt=1,ATN67+1&gt;=H_Deemed),AMN68,AJA68)</f>
        <v>0</v>
      </c>
      <c r="AQB68" s="20" t="n">
        <f aca="false">IF(AND(H_Direct=0,H_TaxEvt=1,ATO67+1&gt;=H_Deemed),AMO68,AJB68)</f>
        <v>0</v>
      </c>
      <c r="AQC68" s="20" t="n">
        <f aca="false">IF(AND(H_Direct=0,H_TaxEvt=1,ATP67+1&gt;=H_Deemed),AMP68,AJC68)</f>
        <v>0</v>
      </c>
      <c r="AQD68" s="20" t="n">
        <f aca="false">IF(AND(H_Direct=0,H_TaxEvt=1,ATQ67+1&gt;=H_Deemed),AMQ68,AJD68)</f>
        <v>0</v>
      </c>
      <c r="AQE68" s="20" t="n">
        <f aca="false">IF(AND(H_Direct=0,H_TaxEvt=1,ATR67+1&gt;=H_Deemed),AMR68,AJE68)</f>
        <v>0</v>
      </c>
      <c r="AQF68" s="20" t="n">
        <f aca="false">IF(AND(H_Direct=0,H_TaxEvt=1,ATS67+1&gt;=H_Deemed),AMS68,AJF68)</f>
        <v>0</v>
      </c>
      <c r="AQG68" s="20" t="n">
        <f aca="false">IF(AND(H_Direct=0,H_TaxEvt=1,ATT67+1&gt;=H_Deemed),AMT68,AJG68)</f>
        <v>0</v>
      </c>
      <c r="AQH68" s="20" t="n">
        <f aca="false">IF(AND(H_Direct=0,H_TaxEvt=1,ATU67+1&gt;=H_Deemed),AMU68,AJH68)</f>
        <v>0</v>
      </c>
      <c r="AQI68" s="20" t="n">
        <f aca="false">IF(AND(H_Direct=0,H_TaxEvt=1,ATV67+1&gt;=H_Deemed),AMV68,AJI68)</f>
        <v>0</v>
      </c>
      <c r="AQJ68" s="20" t="n">
        <f aca="false">IF(AND(H_Direct=0,H_TaxEvt=1,ATW67+1&gt;=H_Deemed),AMW68,AJJ68)</f>
        <v>0</v>
      </c>
      <c r="AQK68" s="20" t="n">
        <f aca="false">IF(AND(H_Direct=0,H_TaxEvt=1,ATX67+1&gt;=H_Deemed),AMX68,AJK68)</f>
        <v>0</v>
      </c>
      <c r="AQL68" s="20" t="n">
        <f aca="false">IF(AND(H_Direct=0,H_TaxEvt=1,ATY67+1&gt;=H_Deemed),AMY68,AJL68)</f>
        <v>0</v>
      </c>
      <c r="AQM68" s="20" t="n">
        <f aca="false">IF(AND(H_Direct=0,H_TaxEvt=1,ATZ67+1&gt;=H_Deemed),AMZ68,AJM68)</f>
        <v>0</v>
      </c>
      <c r="AQN68" s="20" t="n">
        <f aca="false">IF(AND(H_Direct=0,H_TaxEvt=1,0+1&gt;=H_Deemed),ANA68,AJN68)</f>
        <v>0</v>
      </c>
      <c r="AQO68" s="20" t="n">
        <v>0</v>
      </c>
      <c r="AQP68" s="20" t="n">
        <v>0</v>
      </c>
      <c r="AQQ68" s="20" t="n">
        <v>0</v>
      </c>
      <c r="AQR68" s="20" t="n">
        <v>0</v>
      </c>
      <c r="AQS68" s="20" t="n">
        <v>0</v>
      </c>
      <c r="AQT68" s="20" t="n">
        <v>0</v>
      </c>
      <c r="AQU68" s="20" t="n">
        <v>0</v>
      </c>
      <c r="AQV68" s="20" t="n">
        <v>0</v>
      </c>
      <c r="AQW68" s="20" t="n">
        <v>0</v>
      </c>
      <c r="AQX68" s="20" t="n">
        <v>0</v>
      </c>
      <c r="AQY68" s="20" t="n">
        <v>0</v>
      </c>
      <c r="AQZ68" s="20" t="n">
        <v>0</v>
      </c>
      <c r="ARA68" s="20" t="n">
        <v>0</v>
      </c>
      <c r="ARB68" s="20" t="n">
        <v>0</v>
      </c>
      <c r="ARC68" s="20" t="n">
        <v>0</v>
      </c>
      <c r="ARD68" s="20" t="n">
        <v>0</v>
      </c>
      <c r="ARE68" s="20" t="n">
        <v>0</v>
      </c>
      <c r="ARF68" s="20" t="n">
        <v>0</v>
      </c>
      <c r="ARG68" s="20" t="n">
        <v>0</v>
      </c>
      <c r="ARH68" s="20" t="n">
        <v>0</v>
      </c>
      <c r="ARI68" s="20" t="n">
        <v>0</v>
      </c>
      <c r="ARJ68" s="20" t="n">
        <v>0</v>
      </c>
      <c r="ARK68" s="20" t="n">
        <v>0</v>
      </c>
      <c r="ARL68" s="20" t="n">
        <v>0</v>
      </c>
      <c r="ARM68" s="20" t="n">
        <v>0</v>
      </c>
      <c r="ARN68" s="20" t="n">
        <v>0</v>
      </c>
      <c r="ARO68" s="20" t="n">
        <v>0</v>
      </c>
      <c r="ARP68" s="20" t="n">
        <v>0</v>
      </c>
      <c r="ARQ68" s="20" t="n">
        <v>0</v>
      </c>
      <c r="ARR68" s="20" t="n">
        <f aca="false">IF(AND(H_Direct=0,H_TaxEvt=1),IF(ARR67+1&gt;=H_Deemed,0,ARR67+1),ARR67)</f>
        <v>5</v>
      </c>
      <c r="ARS68" s="20" t="n">
        <f aca="false">IF(AND(H_Direct=0,H_TaxEvt=1),IF(ARS67+1&gt;=H_Deemed,0,ARS67+1),ARS67)</f>
        <v>5</v>
      </c>
      <c r="ART68" s="20" t="n">
        <f aca="false">IF(AND(H_Direct=0,H_TaxEvt=1),IF(ART67+1&gt;=H_Deemed,0,ART67+1),ART67)</f>
        <v>4</v>
      </c>
      <c r="ARU68" s="20" t="n">
        <f aca="false">IF(AND(H_Direct=0,H_TaxEvt=1),IF(ARU67+1&gt;=H_Deemed,0,ARU67+1),ARU67)</f>
        <v>3</v>
      </c>
      <c r="ARV68" s="20" t="n">
        <f aca="false">IF(AND(H_Direct=0,H_TaxEvt=1),IF(ARV67+1&gt;=H_Deemed,0,ARV67+1),ARV67)</f>
        <v>2</v>
      </c>
      <c r="ARW68" s="20" t="n">
        <f aca="false">IF(AND(H_Direct=0,H_TaxEvt=1),IF(ARW67+1&gt;=H_Deemed,0,ARW67+1),ARW67)</f>
        <v>1</v>
      </c>
      <c r="ARX68" s="20" t="n">
        <f aca="false">IF(AND(H_Direct=0,H_TaxEvt=1),IF(ARX67+1&gt;=H_Deemed,0,ARX67+1),ARX67)</f>
        <v>0</v>
      </c>
      <c r="ARY68" s="20" t="n">
        <f aca="false">IF(AND(H_Direct=0,H_TaxEvt=1),IF(ARY67+1&gt;=H_Deemed,0,ARY67+1),ARY67)</f>
        <v>7</v>
      </c>
      <c r="ARZ68" s="20" t="n">
        <f aca="false">IF(AND(H_Direct=0,H_TaxEvt=1),IF(ARZ67+1&gt;=H_Deemed,0,ARZ67+1),ARZ67)</f>
        <v>6</v>
      </c>
      <c r="ASA68" s="20" t="n">
        <f aca="false">IF(AND(H_Direct=0,H_TaxEvt=1),IF(ASA67+1&gt;=H_Deemed,0,ASA67+1),ASA67)</f>
        <v>5</v>
      </c>
      <c r="ASB68" s="20" t="n">
        <f aca="false">IF(AND(H_Direct=0,H_TaxEvt=1),IF(ASB67+1&gt;=H_Deemed,0,ASB67+1),ASB67)</f>
        <v>4</v>
      </c>
      <c r="ASC68" s="20" t="n">
        <f aca="false">IF(AND(H_Direct=0,H_TaxEvt=1),IF(ASC67+1&gt;=H_Deemed,0,ASC67+1),ASC67)</f>
        <v>3</v>
      </c>
      <c r="ASD68" s="20" t="n">
        <f aca="false">IF(AND(H_Direct=0,H_TaxEvt=1),IF(ASD67+1&gt;=H_Deemed,0,ASD67+1),ASD67)</f>
        <v>2</v>
      </c>
      <c r="ASE68" s="20" t="n">
        <f aca="false">IF(AND(H_Direct=0,H_TaxEvt=1),IF(ASE67+1&gt;=H_Deemed,0,ASE67+1),ASE67)</f>
        <v>1</v>
      </c>
      <c r="ASF68" s="20" t="n">
        <f aca="false">IF(AND(H_Direct=0,H_TaxEvt=1),IF(ASF67+1&gt;=H_Deemed,0,ASF67+1),ASF67)</f>
        <v>0</v>
      </c>
      <c r="ASG68" s="20" t="n">
        <f aca="false">IF(AND(H_Direct=0,H_TaxEvt=1),IF(ASG67+1&gt;=H_Deemed,0,ASG67+1),ASG67)</f>
        <v>7</v>
      </c>
      <c r="ASH68" s="20" t="n">
        <f aca="false">IF(AND(H_Direct=0,H_TaxEvt=1),IF(ASH67+1&gt;=H_Deemed,0,ASH67+1),ASH67)</f>
        <v>6</v>
      </c>
      <c r="ASI68" s="20" t="n">
        <f aca="false">IF(AND(H_Direct=0,H_TaxEvt=1),IF(ASI67+1&gt;=H_Deemed,0,ASI67+1),ASI67)</f>
        <v>5</v>
      </c>
      <c r="ASJ68" s="20" t="n">
        <f aca="false">IF(AND(H_Direct=0,H_TaxEvt=1),IF(ASJ67+1&gt;=H_Deemed,0,ASJ67+1),ASJ67)</f>
        <v>4</v>
      </c>
      <c r="ASK68" s="20" t="n">
        <f aca="false">IF(AND(H_Direct=0,H_TaxEvt=1),IF(ASK67+1&gt;=H_Deemed,0,ASK67+1),ASK67)</f>
        <v>3</v>
      </c>
      <c r="ASL68" s="20" t="n">
        <f aca="false">IF(AND(H_Direct=0,H_TaxEvt=1),IF(ASL67+1&gt;=H_Deemed,0,ASL67+1),ASL67)</f>
        <v>2</v>
      </c>
      <c r="ASM68" s="20" t="n">
        <f aca="false">IF(AND(H_Direct=0,H_TaxEvt=1),IF(ASM67+1&gt;=H_Deemed,0,ASM67+1),ASM67)</f>
        <v>1</v>
      </c>
      <c r="ASN68" s="20" t="n">
        <f aca="false">IF(AND(H_Direct=0,H_TaxEvt=1),IF(ASN67+1&gt;=H_Deemed,0,ASN67+1),ASN67)</f>
        <v>0</v>
      </c>
      <c r="ASO68" s="20" t="n">
        <f aca="false">IF(AND(H_Direct=0,H_TaxEvt=1),IF(ASO67+1&gt;=H_Deemed,0,ASO67+1),ASO67)</f>
        <v>7</v>
      </c>
      <c r="ASP68" s="20" t="n">
        <f aca="false">IF(AND(H_Direct=0,H_TaxEvt=1),IF(ASP67+1&gt;=H_Deemed,0,ASP67+1),ASP67)</f>
        <v>6</v>
      </c>
      <c r="ASQ68" s="20" t="n">
        <f aca="false">IF(AND(H_Direct=0,H_TaxEvt=1),IF(ASQ67+1&gt;=H_Deemed,0,ASQ67+1),ASQ67)</f>
        <v>5</v>
      </c>
      <c r="ASR68" s="20" t="n">
        <f aca="false">IF(AND(H_Direct=0,H_TaxEvt=1),IF(ASR67+1&gt;=H_Deemed,0,ASR67+1),ASR67)</f>
        <v>4</v>
      </c>
      <c r="ASS68" s="20" t="n">
        <f aca="false">IF(AND(H_Direct=0,H_TaxEvt=1),IF(ASS67+1&gt;=H_Deemed,0,ASS67+1),ASS67)</f>
        <v>3</v>
      </c>
      <c r="AST68" s="20" t="n">
        <f aca="false">IF(AND(H_Direct=0,H_TaxEvt=1),IF(AST67+1&gt;=H_Deemed,0,AST67+1),AST67)</f>
        <v>2</v>
      </c>
      <c r="ASU68" s="20" t="n">
        <f aca="false">IF(AND(H_Direct=0,H_TaxEvt=1),IF(ASU67+1&gt;=H_Deemed,0,ASU67+1),ASU67)</f>
        <v>1</v>
      </c>
      <c r="ASV68" s="20" t="n">
        <f aca="false">IF(AND(H_Direct=0,H_TaxEvt=1),IF(ASV67+1&gt;=H_Deemed,0,ASV67+1),ASV67)</f>
        <v>0</v>
      </c>
      <c r="ASW68" s="20" t="n">
        <f aca="false">IF(AND(H_Direct=0,H_TaxEvt=1),IF(ASW67+1&gt;=H_Deemed,0,ASW67+1),ASW67)</f>
        <v>7</v>
      </c>
      <c r="ASX68" s="20" t="n">
        <f aca="false">IF(AND(H_Direct=0,H_TaxEvt=1),IF(ASX67+1&gt;=H_Deemed,0,ASX67+1),ASX67)</f>
        <v>6</v>
      </c>
      <c r="ASY68" s="20" t="n">
        <f aca="false">IF(AND(H_Direct=0,H_TaxEvt=1),IF(ASY67+1&gt;=H_Deemed,0,ASY67+1),ASY67)</f>
        <v>5</v>
      </c>
      <c r="ASZ68" s="20" t="n">
        <f aca="false">IF(AND(H_Direct=0,H_TaxEvt=1),IF(ASZ67+1&gt;=H_Deemed,0,ASZ67+1),ASZ67)</f>
        <v>4</v>
      </c>
      <c r="ATA68" s="20" t="n">
        <f aca="false">IF(AND(H_Direct=0,H_TaxEvt=1),IF(ATA67+1&gt;=H_Deemed,0,ATA67+1),ATA67)</f>
        <v>3</v>
      </c>
      <c r="ATB68" s="20" t="n">
        <f aca="false">IF(AND(H_Direct=0,H_TaxEvt=1),IF(ATB67+1&gt;=H_Deemed,0,ATB67+1),ATB67)</f>
        <v>2</v>
      </c>
      <c r="ATC68" s="20" t="n">
        <f aca="false">IF(AND(H_Direct=0,H_TaxEvt=1),IF(ATC67+1&gt;=H_Deemed,0,ATC67+1),ATC67)</f>
        <v>1</v>
      </c>
      <c r="ATD68" s="20" t="n">
        <f aca="false">IF(AND(H_Direct=0,H_TaxEvt=1),IF(ATD67+1&gt;=H_Deemed,0,ATD67+1),ATD67)</f>
        <v>0</v>
      </c>
      <c r="ATE68" s="20" t="n">
        <f aca="false">IF(AND(H_Direct=0,H_TaxEvt=1),IF(ATE67+1&gt;=H_Deemed,0,ATE67+1),ATE67)</f>
        <v>7</v>
      </c>
      <c r="ATF68" s="20" t="n">
        <f aca="false">IF(AND(H_Direct=0,H_TaxEvt=1),IF(ATF67+1&gt;=H_Deemed,0,ATF67+1),ATF67)</f>
        <v>6</v>
      </c>
      <c r="ATG68" s="20" t="n">
        <f aca="false">IF(AND(H_Direct=0,H_TaxEvt=1),IF(ATG67+1&gt;=H_Deemed,0,ATG67+1),ATG67)</f>
        <v>5</v>
      </c>
      <c r="ATH68" s="20" t="n">
        <f aca="false">IF(AND(H_Direct=0,H_TaxEvt=1),IF(ATH67+1&gt;=H_Deemed,0,ATH67+1),ATH67)</f>
        <v>4</v>
      </c>
      <c r="ATI68" s="20" t="n">
        <f aca="false">IF(AND(H_Direct=0,H_TaxEvt=1),IF(ATI67+1&gt;=H_Deemed,0,ATI67+1),ATI67)</f>
        <v>3</v>
      </c>
      <c r="ATJ68" s="20" t="n">
        <f aca="false">IF(AND(H_Direct=0,H_TaxEvt=1),IF(ATJ67+1&gt;=H_Deemed,0,ATJ67+1),ATJ67)</f>
        <v>2</v>
      </c>
      <c r="ATK68" s="20" t="n">
        <f aca="false">IF(AND(H_Direct=0,H_TaxEvt=1),IF(ATK67+1&gt;=H_Deemed,0,ATK67+1),ATK67)</f>
        <v>1</v>
      </c>
      <c r="ATL68" s="20" t="n">
        <f aca="false">IF(AND(H_Direct=0,H_TaxEvt=1),IF(ATL67+1&gt;=H_Deemed,0,ATL67+1),ATL67)</f>
        <v>0</v>
      </c>
      <c r="ATM68" s="20" t="n">
        <f aca="false">IF(AND(H_Direct=0,H_TaxEvt=1),IF(ATM67+1&gt;=H_Deemed,0,ATM67+1),ATM67)</f>
        <v>7</v>
      </c>
      <c r="ATN68" s="20" t="n">
        <f aca="false">IF(AND(H_Direct=0,H_TaxEvt=1),IF(ATN67+1&gt;=H_Deemed,0,ATN67+1),ATN67)</f>
        <v>6</v>
      </c>
      <c r="ATO68" s="20" t="n">
        <f aca="false">IF(AND(H_Direct=0,H_TaxEvt=1),IF(ATO67+1&gt;=H_Deemed,0,ATO67+1),ATO67)</f>
        <v>5</v>
      </c>
      <c r="ATP68" s="20" t="n">
        <f aca="false">IF(AND(H_Direct=0,H_TaxEvt=1),IF(ATP67+1&gt;=H_Deemed,0,ATP67+1),ATP67)</f>
        <v>4</v>
      </c>
      <c r="ATQ68" s="20" t="n">
        <f aca="false">IF(AND(H_Direct=0,H_TaxEvt=1),IF(ATQ67+1&gt;=H_Deemed,0,ATQ67+1),ATQ67)</f>
        <v>3</v>
      </c>
      <c r="ATR68" s="20" t="n">
        <f aca="false">IF(AND(H_Direct=0,H_TaxEvt=1),IF(ATR67+1&gt;=H_Deemed,0,ATR67+1),ATR67)</f>
        <v>2</v>
      </c>
      <c r="ATS68" s="20" t="n">
        <f aca="false">IF(AND(H_Direct=0,H_TaxEvt=1),IF(ATS67+1&gt;=H_Deemed,0,ATS67+1),ATS67)</f>
        <v>1</v>
      </c>
      <c r="ATT68" s="20" t="n">
        <f aca="false">IF(AND(H_Direct=0,H_TaxEvt=1),IF(ATT67+1&gt;=H_Deemed,0,ATT67+1),ATT67)</f>
        <v>0</v>
      </c>
      <c r="ATU68" s="20" t="n">
        <f aca="false">IF(AND(H_Direct=0,H_TaxEvt=1),IF(ATU67+1&gt;=H_Deemed,0,ATU67+1),ATU67)</f>
        <v>7</v>
      </c>
      <c r="ATV68" s="20" t="n">
        <f aca="false">IF(AND(H_Direct=0,H_TaxEvt=1),IF(ATV67+1&gt;=H_Deemed,0,ATV67+1),ATV67)</f>
        <v>6</v>
      </c>
      <c r="ATW68" s="20" t="n">
        <f aca="false">IF(AND(H_Direct=0,H_TaxEvt=1),IF(ATW67+1&gt;=H_Deemed,0,ATW67+1),ATW67)</f>
        <v>5</v>
      </c>
      <c r="ATX68" s="20" t="n">
        <f aca="false">IF(AND(H_Direct=0,H_TaxEvt=1),IF(ATX67+1&gt;=H_Deemed,0,ATX67+1),ATX67)</f>
        <v>4</v>
      </c>
      <c r="ATY68" s="20" t="n">
        <f aca="false">IF(AND(H_Direct=0,H_TaxEvt=1),IF(ATY67+1&gt;=H_Deemed,0,ATY67+1),ATY67)</f>
        <v>3</v>
      </c>
      <c r="ATZ68" s="20" t="n">
        <f aca="false">IF(AND(H_Direct=0,H_TaxEvt=1),IF(ATZ67+1&gt;=H_Deemed,0,ATZ67+1),ATZ67)</f>
        <v>2</v>
      </c>
      <c r="AUA68" s="20" t="n">
        <f aca="false">IF(AND(H_Direct=0,H_TaxEvt=1),IF(0+1&gt;=H_Deemed,0,0+1),0)</f>
        <v>1</v>
      </c>
      <c r="AUB68" s="20" t="n">
        <v>0</v>
      </c>
      <c r="AUC68" s="20" t="n">
        <v>0</v>
      </c>
      <c r="AUD68" s="20" t="n">
        <v>0</v>
      </c>
      <c r="AUE68" s="20" t="n">
        <v>0</v>
      </c>
      <c r="AUF68" s="20" t="n">
        <v>0</v>
      </c>
      <c r="AUG68" s="20" t="n">
        <v>0</v>
      </c>
      <c r="AUH68" s="20" t="n">
        <v>0</v>
      </c>
      <c r="AUI68" s="20" t="n">
        <v>0</v>
      </c>
      <c r="AUJ68" s="20" t="n">
        <v>0</v>
      </c>
      <c r="AUK68" s="20" t="n">
        <v>0</v>
      </c>
      <c r="AUL68" s="20" t="n">
        <v>0</v>
      </c>
      <c r="AUM68" s="20" t="n">
        <v>0</v>
      </c>
      <c r="AUN68" s="20" t="n">
        <v>0</v>
      </c>
      <c r="AUO68" s="20" t="n">
        <v>0</v>
      </c>
      <c r="AUP68" s="20" t="n">
        <v>0</v>
      </c>
      <c r="AUQ68" s="20" t="n">
        <v>0</v>
      </c>
      <c r="AUR68" s="20" t="n">
        <v>0</v>
      </c>
      <c r="AUS68" s="20" t="n">
        <v>0</v>
      </c>
      <c r="AUT68" s="20" t="n">
        <v>0</v>
      </c>
      <c r="AUU68" s="20" t="n">
        <v>0</v>
      </c>
      <c r="AUV68" s="20" t="n">
        <v>0</v>
      </c>
      <c r="AUW68" s="20" t="n">
        <v>0</v>
      </c>
      <c r="AUX68" s="20" t="n">
        <v>0</v>
      </c>
      <c r="AUY68" s="20" t="n">
        <v>0</v>
      </c>
      <c r="AUZ68" s="20" t="n">
        <v>0</v>
      </c>
      <c r="AVA68" s="20" t="n">
        <v>0</v>
      </c>
      <c r="AVB68" s="20" t="n">
        <v>0</v>
      </c>
      <c r="AVC68" s="20" t="n">
        <v>0</v>
      </c>
      <c r="AVD68" s="20" t="n">
        <v>0</v>
      </c>
      <c r="AVE68" s="20" t="n">
        <f aca="false">IF(AND(H_Direct=0,H_TaxEvt=1,ARR67+1&gt;=H_Deemed),MAX(0,ADR68-AHE68)*H_Exit,0)</f>
        <v>0</v>
      </c>
      <c r="AVF68" s="20" t="n">
        <f aca="false">IF(AND(H_Direct=0,H_TaxEvt=1,ARS67+1&gt;=H_Deemed),MAX(0,ADS68-AHF68)*H_Exit,0)</f>
        <v>0</v>
      </c>
      <c r="AVG68" s="20" t="n">
        <f aca="false">IF(AND(H_Direct=0,H_TaxEvt=1,ART67+1&gt;=H_Deemed),MAX(0,ADT68-AHG68)*H_Exit,0)</f>
        <v>0</v>
      </c>
      <c r="AVH68" s="20" t="n">
        <f aca="false">IF(AND(H_Direct=0,H_TaxEvt=1,ARU67+1&gt;=H_Deemed),MAX(0,ADU68-AHH68)*H_Exit,0)</f>
        <v>0</v>
      </c>
      <c r="AVI68" s="20" t="n">
        <f aca="false">IF(AND(H_Direct=0,H_TaxEvt=1,ARV67+1&gt;=H_Deemed),MAX(0,ADV68-AHI68)*H_Exit,0)</f>
        <v>0</v>
      </c>
      <c r="AVJ68" s="20" t="n">
        <f aca="false">IF(AND(H_Direct=0,H_TaxEvt=1,ARW67+1&gt;=H_Deemed),MAX(0,ADW68-AHJ68)*H_Exit,0)</f>
        <v>0</v>
      </c>
      <c r="AVK68" s="20" t="n">
        <f aca="false">IF(AND(H_Direct=0,H_TaxEvt=1,ARX67+1&gt;=H_Deemed),MAX(0,ADX68-AHK68)*H_Exit,0)</f>
        <v>0</v>
      </c>
      <c r="AVL68" s="20" t="n">
        <f aca="false">IF(AND(H_Direct=0,H_TaxEvt=1,ARY67+1&gt;=H_Deemed),MAX(0,ADY68-AHL68)*H_Exit,0)</f>
        <v>0</v>
      </c>
      <c r="AVM68" s="20" t="n">
        <f aca="false">IF(AND(H_Direct=0,H_TaxEvt=1,ARZ67+1&gt;=H_Deemed),MAX(0,ADZ68-AHM68)*H_Exit,0)</f>
        <v>0</v>
      </c>
      <c r="AVN68" s="20" t="n">
        <f aca="false">IF(AND(H_Direct=0,H_TaxEvt=1,ASA67+1&gt;=H_Deemed),MAX(0,AEA68-AHN68)*H_Exit,0)</f>
        <v>0</v>
      </c>
      <c r="AVO68" s="20" t="n">
        <f aca="false">IF(AND(H_Direct=0,H_TaxEvt=1,ASB67+1&gt;=H_Deemed),MAX(0,AEB68-AHO68)*H_Exit,0)</f>
        <v>0</v>
      </c>
      <c r="AVP68" s="20" t="n">
        <f aca="false">IF(AND(H_Direct=0,H_TaxEvt=1,ASC67+1&gt;=H_Deemed),MAX(0,AEC68-AHP68)*H_Exit,0)</f>
        <v>0</v>
      </c>
      <c r="AVQ68" s="20" t="n">
        <f aca="false">IF(AND(H_Direct=0,H_TaxEvt=1,ASD67+1&gt;=H_Deemed),MAX(0,AED68-AHQ68)*H_Exit,0)</f>
        <v>0</v>
      </c>
      <c r="AVR68" s="20" t="n">
        <f aca="false">IF(AND(H_Direct=0,H_TaxEvt=1,ASE67+1&gt;=H_Deemed),MAX(0,AEE68-AHR68)*H_Exit,0)</f>
        <v>0</v>
      </c>
      <c r="AVS68" s="20" t="n">
        <f aca="false">IF(AND(H_Direct=0,H_TaxEvt=1,ASF67+1&gt;=H_Deemed),MAX(0,AEF68-AHS68)*H_Exit,0)</f>
        <v>0</v>
      </c>
      <c r="AVT68" s="20" t="n">
        <f aca="false">IF(AND(H_Direct=0,H_TaxEvt=1,ASG67+1&gt;=H_Deemed),MAX(0,AEG68-AHT68)*H_Exit,0)</f>
        <v>0</v>
      </c>
      <c r="AVU68" s="20" t="n">
        <f aca="false">IF(AND(H_Direct=0,H_TaxEvt=1,ASH67+1&gt;=H_Deemed),MAX(0,AEH68-AHU68)*H_Exit,0)</f>
        <v>0</v>
      </c>
      <c r="AVV68" s="20" t="n">
        <f aca="false">IF(AND(H_Direct=0,H_TaxEvt=1,ASI67+1&gt;=H_Deemed),MAX(0,AEI68-AHV68)*H_Exit,0)</f>
        <v>0</v>
      </c>
      <c r="AVW68" s="20" t="n">
        <f aca="false">IF(AND(H_Direct=0,H_TaxEvt=1,ASJ67+1&gt;=H_Deemed),MAX(0,AEJ68-AHW68)*H_Exit,0)</f>
        <v>0</v>
      </c>
      <c r="AVX68" s="20" t="n">
        <f aca="false">IF(AND(H_Direct=0,H_TaxEvt=1,ASK67+1&gt;=H_Deemed),MAX(0,AEK68-AHX68)*H_Exit,0)</f>
        <v>0</v>
      </c>
      <c r="AVY68" s="20" t="n">
        <f aca="false">IF(AND(H_Direct=0,H_TaxEvt=1,ASL67+1&gt;=H_Deemed),MAX(0,AEL68-AHY68)*H_Exit,0)</f>
        <v>0</v>
      </c>
      <c r="AVZ68" s="20" t="n">
        <f aca="false">IF(AND(H_Direct=0,H_TaxEvt=1,ASM67+1&gt;=H_Deemed),MAX(0,AEM68-AHZ68)*H_Exit,0)</f>
        <v>0</v>
      </c>
      <c r="AWA68" s="20" t="n">
        <f aca="false">IF(AND(H_Direct=0,H_TaxEvt=1,ASN67+1&gt;=H_Deemed),MAX(0,AEN68-AIA68)*H_Exit,0)</f>
        <v>0</v>
      </c>
      <c r="AWB68" s="20" t="n">
        <f aca="false">IF(AND(H_Direct=0,H_TaxEvt=1,ASO67+1&gt;=H_Deemed),MAX(0,AEO68-AIB68)*H_Exit,0)</f>
        <v>0</v>
      </c>
      <c r="AWC68" s="20" t="n">
        <f aca="false">IF(AND(H_Direct=0,H_TaxEvt=1,ASP67+1&gt;=H_Deemed),MAX(0,AEP68-AIC68)*H_Exit,0)</f>
        <v>0</v>
      </c>
      <c r="AWD68" s="20" t="n">
        <f aca="false">IF(AND(H_Direct=0,H_TaxEvt=1,ASQ67+1&gt;=H_Deemed),MAX(0,AEQ68-AID68)*H_Exit,0)</f>
        <v>0</v>
      </c>
      <c r="AWE68" s="20" t="n">
        <f aca="false">IF(AND(H_Direct=0,H_TaxEvt=1,ASR67+1&gt;=H_Deemed),MAX(0,AER68-AIE68)*H_Exit,0)</f>
        <v>0</v>
      </c>
      <c r="AWF68" s="20" t="n">
        <f aca="false">IF(AND(H_Direct=0,H_TaxEvt=1,ASS67+1&gt;=H_Deemed),MAX(0,AES68-AIF68)*H_Exit,0)</f>
        <v>0</v>
      </c>
      <c r="AWG68" s="20" t="n">
        <f aca="false">IF(AND(H_Direct=0,H_TaxEvt=1,AST67+1&gt;=H_Deemed),MAX(0,AET68-AIG68)*H_Exit,0)</f>
        <v>0</v>
      </c>
      <c r="AWH68" s="20" t="n">
        <f aca="false">IF(AND(H_Direct=0,H_TaxEvt=1,ASU67+1&gt;=H_Deemed),MAX(0,AEU68-AIH68)*H_Exit,0)</f>
        <v>0</v>
      </c>
      <c r="AWI68" s="20" t="n">
        <f aca="false">IF(AND(H_Direct=0,H_TaxEvt=1,ASV67+1&gt;=H_Deemed),MAX(0,AEV68-AII68)*H_Exit,0)</f>
        <v>0</v>
      </c>
      <c r="AWJ68" s="20" t="n">
        <f aca="false">IF(AND(H_Direct=0,H_TaxEvt=1,ASW67+1&gt;=H_Deemed),MAX(0,AEW68-AIJ68)*H_Exit,0)</f>
        <v>0</v>
      </c>
      <c r="AWK68" s="20" t="n">
        <f aca="false">IF(AND(H_Direct=0,H_TaxEvt=1,ASX67+1&gt;=H_Deemed),MAX(0,AEX68-AIK68)*H_Exit,0)</f>
        <v>0</v>
      </c>
      <c r="AWL68" s="20" t="n">
        <f aca="false">IF(AND(H_Direct=0,H_TaxEvt=1,ASY67+1&gt;=H_Deemed),MAX(0,AEY68-AIL68)*H_Exit,0)</f>
        <v>0</v>
      </c>
      <c r="AWM68" s="20" t="n">
        <f aca="false">IF(AND(H_Direct=0,H_TaxEvt=1,ASZ67+1&gt;=H_Deemed),MAX(0,AEZ68-AIM68)*H_Exit,0)</f>
        <v>0</v>
      </c>
      <c r="AWN68" s="20" t="n">
        <f aca="false">IF(AND(H_Direct=0,H_TaxEvt=1,ATA67+1&gt;=H_Deemed),MAX(0,AFA68-AIN68)*H_Exit,0)</f>
        <v>0</v>
      </c>
      <c r="AWO68" s="20" t="n">
        <f aca="false">IF(AND(H_Direct=0,H_TaxEvt=1,ATB67+1&gt;=H_Deemed),MAX(0,AFB68-AIO68)*H_Exit,0)</f>
        <v>0</v>
      </c>
      <c r="AWP68" s="20" t="n">
        <f aca="false">IF(AND(H_Direct=0,H_TaxEvt=1,ATC67+1&gt;=H_Deemed),MAX(0,AFC68-AIP68)*H_Exit,0)</f>
        <v>0</v>
      </c>
      <c r="AWQ68" s="20" t="n">
        <f aca="false">IF(AND(H_Direct=0,H_TaxEvt=1,ATD67+1&gt;=H_Deemed),MAX(0,AFD68-AIQ68)*H_Exit,0)</f>
        <v>0</v>
      </c>
      <c r="AWR68" s="20" t="n">
        <f aca="false">IF(AND(H_Direct=0,H_TaxEvt=1,ATE67+1&gt;=H_Deemed),MAX(0,AFE68-AIR68)*H_Exit,0)</f>
        <v>0</v>
      </c>
      <c r="AWS68" s="20" t="n">
        <f aca="false">IF(AND(H_Direct=0,H_TaxEvt=1,ATF67+1&gt;=H_Deemed),MAX(0,AFF68-AIS68)*H_Exit,0)</f>
        <v>0</v>
      </c>
      <c r="AWT68" s="20" t="n">
        <f aca="false">IF(AND(H_Direct=0,H_TaxEvt=1,ATG67+1&gt;=H_Deemed),MAX(0,AFG68-AIT68)*H_Exit,0)</f>
        <v>0</v>
      </c>
      <c r="AWU68" s="20" t="n">
        <f aca="false">IF(AND(H_Direct=0,H_TaxEvt=1,ATH67+1&gt;=H_Deemed),MAX(0,AFH68-AIU68)*H_Exit,0)</f>
        <v>0</v>
      </c>
      <c r="AWV68" s="20" t="n">
        <f aca="false">IF(AND(H_Direct=0,H_TaxEvt=1,ATI67+1&gt;=H_Deemed),MAX(0,AFI68-AIV68)*H_Exit,0)</f>
        <v>0</v>
      </c>
      <c r="AWW68" s="20" t="n">
        <f aca="false">IF(AND(H_Direct=0,H_TaxEvt=1,ATJ67+1&gt;=H_Deemed),MAX(0,AFJ68-AIW68)*H_Exit,0)</f>
        <v>0</v>
      </c>
      <c r="AWX68" s="20" t="n">
        <f aca="false">IF(AND(H_Direct=0,H_TaxEvt=1,ATK67+1&gt;=H_Deemed),MAX(0,AFK68-AIX68)*H_Exit,0)</f>
        <v>0</v>
      </c>
      <c r="AWY68" s="20" t="n">
        <f aca="false">IF(AND(H_Direct=0,H_TaxEvt=1,ATL67+1&gt;=H_Deemed),MAX(0,AFL68-AIY68)*H_Exit,0)</f>
        <v>0</v>
      </c>
      <c r="AWZ68" s="20" t="n">
        <f aca="false">IF(AND(H_Direct=0,H_TaxEvt=1,ATM67+1&gt;=H_Deemed),MAX(0,AFM68-AIZ68)*H_Exit,0)</f>
        <v>0</v>
      </c>
      <c r="AXA68" s="20" t="n">
        <f aca="false">IF(AND(H_Direct=0,H_TaxEvt=1,ATN67+1&gt;=H_Deemed),MAX(0,AFN68-AJA68)*H_Exit,0)</f>
        <v>0</v>
      </c>
      <c r="AXB68" s="20" t="n">
        <f aca="false">IF(AND(H_Direct=0,H_TaxEvt=1,ATO67+1&gt;=H_Deemed),MAX(0,AFO68-AJB68)*H_Exit,0)</f>
        <v>0</v>
      </c>
      <c r="AXC68" s="20" t="n">
        <f aca="false">IF(AND(H_Direct=0,H_TaxEvt=1,ATP67+1&gt;=H_Deemed),MAX(0,AFP68-AJC68)*H_Exit,0)</f>
        <v>0</v>
      </c>
      <c r="AXD68" s="20" t="n">
        <f aca="false">IF(AND(H_Direct=0,H_TaxEvt=1,ATQ67+1&gt;=H_Deemed),MAX(0,AFQ68-AJD68)*H_Exit,0)</f>
        <v>0</v>
      </c>
      <c r="AXE68" s="20" t="n">
        <f aca="false">IF(AND(H_Direct=0,H_TaxEvt=1,ATR67+1&gt;=H_Deemed),MAX(0,AFR68-AJE68)*H_Exit,0)</f>
        <v>0</v>
      </c>
      <c r="AXF68" s="20" t="n">
        <f aca="false">IF(AND(H_Direct=0,H_TaxEvt=1,ATS67+1&gt;=H_Deemed),MAX(0,AFS68-AJF68)*H_Exit,0)</f>
        <v>0</v>
      </c>
      <c r="AXG68" s="20" t="n">
        <f aca="false">IF(AND(H_Direct=0,H_TaxEvt=1,ATT67+1&gt;=H_Deemed),MAX(0,AFT68-AJG68)*H_Exit,0)</f>
        <v>0</v>
      </c>
      <c r="AXH68" s="20" t="n">
        <f aca="false">IF(AND(H_Direct=0,H_TaxEvt=1,ATU67+1&gt;=H_Deemed),MAX(0,AFU68-AJH68)*H_Exit,0)</f>
        <v>0</v>
      </c>
      <c r="AXI68" s="20" t="n">
        <f aca="false">IF(AND(H_Direct=0,H_TaxEvt=1,ATV67+1&gt;=H_Deemed),MAX(0,AFV68-AJI68)*H_Exit,0)</f>
        <v>0</v>
      </c>
      <c r="AXJ68" s="20" t="n">
        <f aca="false">IF(AND(H_Direct=0,H_TaxEvt=1,ATW67+1&gt;=H_Deemed),MAX(0,AFW68-AJJ68)*H_Exit,0)</f>
        <v>0</v>
      </c>
      <c r="AXK68" s="20" t="n">
        <f aca="false">IF(AND(H_Direct=0,H_TaxEvt=1,ATX67+1&gt;=H_Deemed),MAX(0,AFX68-AJK68)*H_Exit,0)</f>
        <v>0</v>
      </c>
      <c r="AXL68" s="20" t="n">
        <f aca="false">IF(AND(H_Direct=0,H_TaxEvt=1,ATY67+1&gt;=H_Deemed),MAX(0,AFY68-AJL68)*H_Exit,0)</f>
        <v>0</v>
      </c>
      <c r="AXM68" s="20" t="n">
        <f aca="false">IF(AND(H_Direct=0,H_TaxEvt=1,ATZ67+1&gt;=H_Deemed),MAX(0,AFZ68-AJM68)*H_Exit,0)</f>
        <v>0</v>
      </c>
      <c r="AXN68" s="20" t="n">
        <f aca="false">IF(AND(H_Direct=0,H_TaxEvt=1,0+1&gt;=H_Deemed),MAX(0,AGA68-AJN68)*H_Exit,0)</f>
        <v>0</v>
      </c>
      <c r="AXO68" s="20" t="n">
        <v>0</v>
      </c>
      <c r="AXP68" s="20" t="n">
        <v>0</v>
      </c>
      <c r="AXQ68" s="20" t="n">
        <v>0</v>
      </c>
      <c r="AXR68" s="20" t="n">
        <v>0</v>
      </c>
      <c r="AXS68" s="20" t="n">
        <v>0</v>
      </c>
      <c r="AXT68" s="20" t="n">
        <v>0</v>
      </c>
      <c r="AXU68" s="20" t="n">
        <v>0</v>
      </c>
      <c r="AXV68" s="20" t="n">
        <v>0</v>
      </c>
      <c r="AXW68" s="20" t="n">
        <v>0</v>
      </c>
      <c r="AXX68" s="20" t="n">
        <v>0</v>
      </c>
      <c r="AXY68" s="20" t="n">
        <v>0</v>
      </c>
      <c r="AXZ68" s="20" t="n">
        <v>0</v>
      </c>
      <c r="AYA68" s="20" t="n">
        <v>0</v>
      </c>
      <c r="AYB68" s="20" t="n">
        <v>0</v>
      </c>
      <c r="AYC68" s="20" t="n">
        <v>0</v>
      </c>
      <c r="AYD68" s="20" t="n">
        <v>0</v>
      </c>
      <c r="AYE68" s="20" t="n">
        <v>0</v>
      </c>
      <c r="AYF68" s="20" t="n">
        <v>0</v>
      </c>
      <c r="AYG68" s="20" t="n">
        <v>0</v>
      </c>
      <c r="AYH68" s="20" t="n">
        <v>0</v>
      </c>
      <c r="AYI68" s="20" t="n">
        <v>0</v>
      </c>
      <c r="AYJ68" s="20" t="n">
        <v>0</v>
      </c>
      <c r="AYK68" s="20" t="n">
        <v>0</v>
      </c>
      <c r="AYL68" s="20" t="n">
        <v>0</v>
      </c>
      <c r="AYM68" s="20" t="n">
        <v>0</v>
      </c>
      <c r="AYN68" s="20" t="n">
        <v>0</v>
      </c>
      <c r="AYO68" s="20" t="n">
        <v>0</v>
      </c>
      <c r="AYP68" s="20" t="n">
        <v>0</v>
      </c>
      <c r="AYQ68" s="20" t="n">
        <v>0</v>
      </c>
    </row>
    <row r="69" customFormat="false" ht="15" hidden="false" customHeight="false" outlineLevel="0" collapsed="false">
      <c r="B69" s="20" t="n">
        <v>61</v>
      </c>
      <c r="C69" s="20" t="n">
        <f aca="false">'Plan cashflow'!C69</f>
        <v>0</v>
      </c>
      <c r="D69" s="20" t="n">
        <f aca="false">'Plan cashflow'!D69</f>
        <v>99</v>
      </c>
      <c r="E69" s="20" t="n">
        <f aca="false">AS_Year0+61</f>
        <v>2087</v>
      </c>
      <c r="F69" s="50" t="n">
        <f aca="false">'Plan cashflow'!F69</f>
        <v>3.34665140413272</v>
      </c>
      <c r="G69" s="59" t="n">
        <f aca="true">IF(MAX(TODAY(),DATE(E69,1,1))&gt;=H_CGTfrom,H_CGT1,H_CGT0)</f>
        <v>0.31</v>
      </c>
      <c r="H69" s="20" t="n">
        <f aca="false">H_Exempt*H_Persons</f>
        <v>1270</v>
      </c>
      <c r="I69" s="20" t="n">
        <f aca="false">AX68</f>
        <v>0</v>
      </c>
      <c r="J69" s="60" t="n">
        <f aca="false">BF68</f>
        <v>0</v>
      </c>
      <c r="K69" s="60" t="n">
        <f aca="false">BG68</f>
        <v>0</v>
      </c>
      <c r="L69" s="20" t="n">
        <f aca="false">IF(AND(In_polLump&gt;0,In_polLumpAge&gt;0,D69=In_polLumpAge),In_polLump,0)</f>
        <v>0</v>
      </c>
      <c r="M69" s="20" t="n">
        <f aca="false">IF(AND(In_homeUse="Yes, I'd downsize",In_downAge&gt;0,D69=In_downAge,OR(In_home="Own outright",In_home="Own with mortgage"),In_homeValue&gt;0),MAX(0,MAX(0,In_homeValue-In_downValue)*F69*0.9-'Plan cashflow'!HR68),0)</f>
        <v>0</v>
      </c>
      <c r="N69" s="20" t="n">
        <f aca="false">'Plan pay &amp; tax'!Y295</f>
        <v>0</v>
      </c>
      <c r="O69" s="20" t="n">
        <f aca="false">L69+M69+(1-H_Sh)*N69</f>
        <v>0</v>
      </c>
      <c r="P69" s="20" t="n">
        <f aca="false">H_Sh*N69</f>
        <v>0</v>
      </c>
      <c r="Q69" s="20" t="n">
        <f aca="false">'Plan cashflow'!UL69</f>
        <v>0</v>
      </c>
      <c r="R69" s="20" t="n">
        <f aca="false">(1-H_Sh)*Q69</f>
        <v>0</v>
      </c>
      <c r="S69" s="20" t="n">
        <f aca="false">H_Sh*Q69</f>
        <v>0</v>
      </c>
      <c r="T69" s="20" t="n">
        <f aca="false">J69+K69+O69</f>
        <v>0</v>
      </c>
      <c r="U69" s="20" t="n">
        <f aca="false">T69+R69</f>
        <v>0</v>
      </c>
      <c r="V69" s="60" t="n">
        <f aca="false">SUM(FE69:IQ69)</f>
        <v>0</v>
      </c>
      <c r="W69" s="60" t="n">
        <f aca="false">IF(AJ69&lt;=0,0,IF(AL69&lt;=0,AJ69,AJ69-G69*MAX(0,AL69*AJ69-(AY69+AZ69))))</f>
        <v>0</v>
      </c>
      <c r="X69" s="60" t="n">
        <f aca="false">IF(AR69&lt;=0,0,IF(AT69&lt;=0,AR69,AR69-G69*MAX(0,AT69*AR69-(BA69+BB69))))</f>
        <v>0</v>
      </c>
      <c r="Y69" s="60" t="n">
        <f aca="false">T69+V69-S69+W69+X69</f>
        <v>0</v>
      </c>
      <c r="Z69" s="60" t="n">
        <f aca="false">'Plan cashflow'!UK69</f>
        <v>0</v>
      </c>
      <c r="AA69" s="20" t="n">
        <f aca="false">MIN(Z69,U69)</f>
        <v>0</v>
      </c>
      <c r="AB69" s="20" t="n">
        <f aca="false">Z69-AA69</f>
        <v>0</v>
      </c>
      <c r="AC69" s="20" t="n">
        <f aca="false">MIN(AA69,J69+O69+R69)</f>
        <v>0</v>
      </c>
      <c r="AD69" s="20" t="n">
        <f aca="false">AA69-AC69</f>
        <v>0</v>
      </c>
      <c r="AE69" s="20" t="n">
        <f aca="false">J69+O69+R69-AC69</f>
        <v>0</v>
      </c>
      <c r="AF69" s="20" t="n">
        <f aca="false">K69-AD69</f>
        <v>0</v>
      </c>
      <c r="AG69" s="20" t="n">
        <f aca="false">SUM(PR69:TD69)</f>
        <v>0</v>
      </c>
      <c r="AH69" s="20" t="n">
        <f aca="false">SUM(TE69:WQ69)</f>
        <v>0</v>
      </c>
      <c r="AI69" s="20" t="n">
        <f aca="false">MAX(0,AB69-AG69)</f>
        <v>0</v>
      </c>
      <c r="AJ69" s="57" t="n">
        <f aca="false">BI68</f>
        <v>0</v>
      </c>
      <c r="AK69" s="20" t="n">
        <f aca="false">BJ68</f>
        <v>0</v>
      </c>
      <c r="AL69" s="20" t="n">
        <f aca="false">IF(AJ69&gt;0,(AJ69-AK69)/AJ69,0)</f>
        <v>0</v>
      </c>
      <c r="AM69" s="20" t="n">
        <f aca="false">IF(AJ69&lt;=0,0,IF(AL69&lt;=0,MIN(AI69,AJ69),MIN(AI69,AJ69-G69*MAX(0,AL69*AJ69-(AAD69+ADQ69)))))</f>
        <v>0</v>
      </c>
      <c r="AN69" s="20" t="n">
        <f aca="false">IF(AJ69&lt;=0,0,IF(AL69&lt;=0,AM69,IF(AM69&lt;=(AAD69+ADQ69)/AL69,AM69,(AM69-G69*(AAD69+ADQ69))/(1-G69*AL69))))</f>
        <v>0</v>
      </c>
      <c r="AO69" s="20" t="n">
        <f aca="false">IF(AL69&gt;0,MAX(0,AAD69-(MIN(AL69*AN69,(AAD69+ADQ69))-MIN(MIN(AL69*AN69,(AAD69+ADQ69)),ADQ69))),AAD69)</f>
        <v>1270</v>
      </c>
      <c r="AP69" s="20" t="n">
        <f aca="false">IF(AL69&lt;=0,ADQ69-AL69*AN69,ADQ69-MIN(MIN(AL69*AN69,(AAD69+ADQ69)),ADQ69))</f>
        <v>0</v>
      </c>
      <c r="AQ69" s="20" t="n">
        <f aca="false">MAX(0,AI69-AM69)</f>
        <v>0</v>
      </c>
      <c r="AR69" s="57" t="n">
        <f aca="false">BK68</f>
        <v>0</v>
      </c>
      <c r="AS69" s="20" t="n">
        <f aca="false">BL68</f>
        <v>0</v>
      </c>
      <c r="AT69" s="20" t="n">
        <f aca="false">IF(AR69&gt;0,(AR69-AS69)/AR69,0)</f>
        <v>0</v>
      </c>
      <c r="AU69" s="20" t="n">
        <f aca="false">IF(AR69&lt;=0,0,IF(AT69&lt;=0,MIN(AQ69,AR69),MIN(AQ69,AR69-G69*MAX(0,AT69*AR69-(AO69+AP69)))))</f>
        <v>0</v>
      </c>
      <c r="AV69" s="20" t="n">
        <f aca="false">IF(AR69&lt;=0,0,IF(AT69&lt;=0,AU69,IF(AU69&lt;=(AO69+AP69)/AT69,AU69,(AU69-G69*(AO69+AP69))/(1-G69*AT69))))</f>
        <v>0</v>
      </c>
      <c r="AW69" s="20" t="n">
        <f aca="false">IF(AT69&gt;0,MAX(0,AO69-(MIN(AT69*AV69,(AO69+AP69))-MIN(MIN(AT69*AV69,(AO69+AP69)),AP69))),AO69)</f>
        <v>1270</v>
      </c>
      <c r="AX69" s="20" t="n">
        <f aca="false">IF(AT69&lt;=0,AP69-AT69*AV69,AP69-MIN(MIN(AT69*AV69,(AO69+AP69)),AP69))</f>
        <v>0</v>
      </c>
      <c r="AY69" s="20" t="n">
        <f aca="false">MD69</f>
        <v>1270</v>
      </c>
      <c r="AZ69" s="20" t="n">
        <f aca="false">PQ69</f>
        <v>0</v>
      </c>
      <c r="BA69" s="20" t="n">
        <f aca="false">IF(AL69&gt;0,MAX(0,AY69-(MIN(AL69*AJ69,AY69+AZ69)-MIN(MIN(AL69*AJ69,AY69+AZ69),AZ69))),AY69)</f>
        <v>1270</v>
      </c>
      <c r="BB69" s="20" t="n">
        <f aca="false">IF(AL69&lt;=0,AZ69-AL69*AJ69,AZ69-MIN(MIN(AL69*AJ69,AY69+AZ69),AZ69))</f>
        <v>0</v>
      </c>
      <c r="BC69" s="20" t="n">
        <f aca="false">'Plan cashflow'!UM69</f>
        <v>0</v>
      </c>
      <c r="BD69" s="20" t="n">
        <f aca="false">(1-H_Sh)*BC69</f>
        <v>0</v>
      </c>
      <c r="BE69" s="20" t="n">
        <f aca="false">H_Sh*BC69</f>
        <v>0</v>
      </c>
      <c r="BF69" s="60" t="n">
        <f aca="false">(AE69+BD69)*(1+AS_Cash)</f>
        <v>0</v>
      </c>
      <c r="BG69" s="60" t="n">
        <f aca="false">AF69*(1+AS_Cash)</f>
        <v>0</v>
      </c>
      <c r="BH69" s="60" t="n">
        <f aca="false">SUM(AKR69:AOD69)</f>
        <v>0</v>
      </c>
      <c r="BI69" s="60" t="n">
        <f aca="false">(AJ69-AN69)*(1+AS_Infl)</f>
        <v>0</v>
      </c>
      <c r="BJ69" s="20" t="n">
        <f aca="false">IF(AJ69&gt;0,AK69-AK69*AN69/AJ69,0)</f>
        <v>0</v>
      </c>
      <c r="BK69" s="60" t="n">
        <f aca="false">(AR69-AV69)*(1+BQ69)</f>
        <v>0</v>
      </c>
      <c r="BL69" s="20" t="n">
        <f aca="false">IF(AR69&gt;0,AS69-AS69*AV69/AR69,0)</f>
        <v>0</v>
      </c>
      <c r="BM69" s="60" t="n">
        <f aca="false">BF69+BG69+BH69+BI69+BK69</f>
        <v>0</v>
      </c>
      <c r="BN69" s="60" t="n">
        <f aca="false">(AH69-AG69)+(AN69-AM69)+(AV69-AU69)</f>
        <v>0</v>
      </c>
      <c r="BO69" s="20" t="n">
        <f aca="false">(AE69+BD69+AF69+MAX(0,'Plan cashflow'!QH69)+IF(Slot1_Rate=AS_Cash,'Plan cashflow'!QM69/(1+AS_Cash),0)+IF(Slot2_Rate=AS_Cash,'Plan cashflow'!QQ69/(1+AS_Cash),0)+IF(Slot3_Rate=AS_Cash,'Plan cashflow'!QU69/(1+AS_Cash),0)+IF(Slot4_Rate=AS_Cash,'Plan cashflow'!QY69/(1+AS_Cash),0)+IF(Slot5_Rate=AS_Cash,'Plan cashflow'!RC69/(1+AS_Cash),0)+IF(Slot6_Rate=AS_Cash,'Plan cashflow'!RG69/(1+AS_Cash),0)+IF(Slot7_Rate=AS_Cash,'Plan cashflow'!RK69/(1+AS_Cash),0)+IF(Slot8_Rate=AS_Cash,'Plan cashflow'!RO69/(1+AS_Cash),0)+IF(Slot9_Rate=AS_Cash,'Plan cashflow'!RS69/(1+AS_Cash),0)+IF(Slot10_Rate=AS_Cash,'Plan cashflow'!RW69/(1+AS_Cash),0)+IF(Slot11_Rate=AS_Cash,'Plan cashflow'!SA69/(1+AS_Cash),0)+IF(Slot12_Rate=AS_Cash,'Plan cashflow'!SE69/(1+AS_Cash),0)+IF(Slot13_Rate=AS_Cash,'Plan cashflow'!SI69/(1+AS_Cash),0)+IF(Slot14_Rate=AS_Cash,'Plan cashflow'!SM69/(1+AS_Cash),0)+IF(Slot15_Rate=AS_Cash,'Plan cashflow'!SQ69/(1+AS_Cash),0)+IF(Slot16_Rate=AS_Cash,'Plan cashflow'!SU69/(1+AS_Cash),0)+IF(Slot17_Rate=AS_Cash,'Plan cashflow'!SY69/(1+AS_Cash),0)+IF(Slot18_Rate=AS_Cash,'Plan cashflow'!TC69/(1+AS_Cash),0)+IF(Slot19_Rate=AS_Cash,'Plan cashflow'!TG69/(1+AS_Cash),0)+IF(Slot20_Rate=AS_Cash,'Plan cashflow'!TK69/(1+AS_Cash),0))*AS_Cash*H_DIRT/(1-H_DIRT)</f>
        <v>0</v>
      </c>
      <c r="BP69" s="60" t="n">
        <f aca="false">SUM(AVE69:AYQ69)</f>
        <v>0</v>
      </c>
      <c r="BQ69" s="54" t="n">
        <f aca="false">IF(H_TaxEvt=1,H_InvG,AS_Inv)</f>
        <v>0.04</v>
      </c>
      <c r="BR69" s="20" t="n">
        <f aca="false">IF(AKR68&gt;0,(AKR68-AOE68)/AKR68,0)</f>
        <v>0</v>
      </c>
      <c r="BS69" s="20" t="n">
        <f aca="false">IF(AKS68&gt;0,(AKS68-AOF68)/AKS68,0)</f>
        <v>0</v>
      </c>
      <c r="BT69" s="20" t="n">
        <f aca="false">IF(AKT68&gt;0,(AKT68-AOG68)/AKT68,0)</f>
        <v>0</v>
      </c>
      <c r="BU69" s="20" t="n">
        <f aca="false">IF(AKU68&gt;0,(AKU68-AOH68)/AKU68,0)</f>
        <v>0</v>
      </c>
      <c r="BV69" s="20" t="n">
        <f aca="false">IF(AKV68&gt;0,(AKV68-AOI68)/AKV68,0)</f>
        <v>0</v>
      </c>
      <c r="BW69" s="20" t="n">
        <f aca="false">IF(AKW68&gt;0,(AKW68-AOJ68)/AKW68,0)</f>
        <v>0</v>
      </c>
      <c r="BX69" s="20" t="n">
        <f aca="false">IF(AKX68&gt;0,(AKX68-AOK68)/AKX68,0)</f>
        <v>0</v>
      </c>
      <c r="BY69" s="20" t="n">
        <f aca="false">IF(AKY68&gt;0,(AKY68-AOL68)/AKY68,0)</f>
        <v>0</v>
      </c>
      <c r="BZ69" s="20" t="n">
        <f aca="false">IF(AKZ68&gt;0,(AKZ68-AOM68)/AKZ68,0)</f>
        <v>0</v>
      </c>
      <c r="CA69" s="20" t="n">
        <f aca="false">IF(ALA68&gt;0,(ALA68-AON68)/ALA68,0)</f>
        <v>0</v>
      </c>
      <c r="CB69" s="20" t="n">
        <f aca="false">IF(ALB68&gt;0,(ALB68-AOO68)/ALB68,0)</f>
        <v>0</v>
      </c>
      <c r="CC69" s="20" t="n">
        <f aca="false">IF(ALC68&gt;0,(ALC68-AOP68)/ALC68,0)</f>
        <v>0</v>
      </c>
      <c r="CD69" s="20" t="n">
        <f aca="false">IF(ALD68&gt;0,(ALD68-AOQ68)/ALD68,0)</f>
        <v>0</v>
      </c>
      <c r="CE69" s="20" t="n">
        <f aca="false">IF(ALE68&gt;0,(ALE68-AOR68)/ALE68,0)</f>
        <v>0</v>
      </c>
      <c r="CF69" s="20" t="n">
        <f aca="false">IF(ALF68&gt;0,(ALF68-AOS68)/ALF68,0)</f>
        <v>0</v>
      </c>
      <c r="CG69" s="20" t="n">
        <f aca="false">IF(ALG68&gt;0,(ALG68-AOT68)/ALG68,0)</f>
        <v>0</v>
      </c>
      <c r="CH69" s="20" t="n">
        <f aca="false">IF(ALH68&gt;0,(ALH68-AOU68)/ALH68,0)</f>
        <v>0</v>
      </c>
      <c r="CI69" s="20" t="n">
        <f aca="false">IF(ALI68&gt;0,(ALI68-AOV68)/ALI68,0)</f>
        <v>0</v>
      </c>
      <c r="CJ69" s="20" t="n">
        <f aca="false">IF(ALJ68&gt;0,(ALJ68-AOW68)/ALJ68,0)</f>
        <v>0</v>
      </c>
      <c r="CK69" s="20" t="n">
        <f aca="false">IF(ALK68&gt;0,(ALK68-AOX68)/ALK68,0)</f>
        <v>0</v>
      </c>
      <c r="CL69" s="20" t="n">
        <f aca="false">IF(ALL68&gt;0,(ALL68-AOY68)/ALL68,0)</f>
        <v>0</v>
      </c>
      <c r="CM69" s="20" t="n">
        <f aca="false">IF(ALM68&gt;0,(ALM68-AOZ68)/ALM68,0)</f>
        <v>0</v>
      </c>
      <c r="CN69" s="20" t="n">
        <f aca="false">IF(ALN68&gt;0,(ALN68-APA68)/ALN68,0)</f>
        <v>0</v>
      </c>
      <c r="CO69" s="20" t="n">
        <f aca="false">IF(ALO68&gt;0,(ALO68-APB68)/ALO68,0)</f>
        <v>0</v>
      </c>
      <c r="CP69" s="20" t="n">
        <f aca="false">IF(ALP68&gt;0,(ALP68-APC68)/ALP68,0)</f>
        <v>0</v>
      </c>
      <c r="CQ69" s="20" t="n">
        <f aca="false">IF(ALQ68&gt;0,(ALQ68-APD68)/ALQ68,0)</f>
        <v>0</v>
      </c>
      <c r="CR69" s="20" t="n">
        <f aca="false">IF(ALR68&gt;0,(ALR68-APE68)/ALR68,0)</f>
        <v>0</v>
      </c>
      <c r="CS69" s="20" t="n">
        <f aca="false">IF(ALS68&gt;0,(ALS68-APF68)/ALS68,0)</f>
        <v>0</v>
      </c>
      <c r="CT69" s="20" t="n">
        <f aca="false">IF(ALT68&gt;0,(ALT68-APG68)/ALT68,0)</f>
        <v>0</v>
      </c>
      <c r="CU69" s="20" t="n">
        <f aca="false">IF(ALU68&gt;0,(ALU68-APH68)/ALU68,0)</f>
        <v>0</v>
      </c>
      <c r="CV69" s="20" t="n">
        <f aca="false">IF(ALV68&gt;0,(ALV68-API68)/ALV68,0)</f>
        <v>0</v>
      </c>
      <c r="CW69" s="20" t="n">
        <f aca="false">IF(ALW68&gt;0,(ALW68-APJ68)/ALW68,0)</f>
        <v>0</v>
      </c>
      <c r="CX69" s="20" t="n">
        <f aca="false">IF(ALX68&gt;0,(ALX68-APK68)/ALX68,0)</f>
        <v>0</v>
      </c>
      <c r="CY69" s="20" t="n">
        <f aca="false">IF(ALY68&gt;0,(ALY68-APL68)/ALY68,0)</f>
        <v>0</v>
      </c>
      <c r="CZ69" s="20" t="n">
        <f aca="false">IF(ALZ68&gt;0,(ALZ68-APM68)/ALZ68,0)</f>
        <v>0</v>
      </c>
      <c r="DA69" s="20" t="n">
        <f aca="false">IF(AMA68&gt;0,(AMA68-APN68)/AMA68,0)</f>
        <v>0</v>
      </c>
      <c r="DB69" s="20" t="n">
        <f aca="false">IF(AMB68&gt;0,(AMB68-APO68)/AMB68,0)</f>
        <v>0</v>
      </c>
      <c r="DC69" s="20" t="n">
        <f aca="false">IF(AMC68&gt;0,(AMC68-APP68)/AMC68,0)</f>
        <v>0</v>
      </c>
      <c r="DD69" s="20" t="n">
        <f aca="false">IF(AMD68&gt;0,(AMD68-APQ68)/AMD68,0)</f>
        <v>0</v>
      </c>
      <c r="DE69" s="20" t="n">
        <f aca="false">IF(AME68&gt;0,(AME68-APR68)/AME68,0)</f>
        <v>0</v>
      </c>
      <c r="DF69" s="20" t="n">
        <f aca="false">IF(AMF68&gt;0,(AMF68-APS68)/AMF68,0)</f>
        <v>0</v>
      </c>
      <c r="DG69" s="20" t="n">
        <f aca="false">IF(AMG68&gt;0,(AMG68-APT68)/AMG68,0)</f>
        <v>0</v>
      </c>
      <c r="DH69" s="20" t="n">
        <f aca="false">IF(AMH68&gt;0,(AMH68-APU68)/AMH68,0)</f>
        <v>0</v>
      </c>
      <c r="DI69" s="20" t="n">
        <f aca="false">IF(AMI68&gt;0,(AMI68-APV68)/AMI68,0)</f>
        <v>0</v>
      </c>
      <c r="DJ69" s="20" t="n">
        <f aca="false">IF(AMJ68&gt;0,(AMJ68-APW68)/AMJ68,0)</f>
        <v>0</v>
      </c>
      <c r="DK69" s="20" t="n">
        <f aca="false">IF(AMK68&gt;0,(AMK68-APX68)/AMK68,0)</f>
        <v>0</v>
      </c>
      <c r="DL69" s="20" t="n">
        <f aca="false">IF(AML68&gt;0,(AML68-APY68)/AML68,0)</f>
        <v>0</v>
      </c>
      <c r="DM69" s="20" t="n">
        <f aca="false">IF(AMM68&gt;0,(AMM68-APZ68)/AMM68,0)</f>
        <v>0</v>
      </c>
      <c r="DN69" s="20" t="n">
        <f aca="false">IF(AMN68&gt;0,(AMN68-AQA68)/AMN68,0)</f>
        <v>0</v>
      </c>
      <c r="DO69" s="20" t="n">
        <f aca="false">IF(AMO68&gt;0,(AMO68-AQB68)/AMO68,0)</f>
        <v>0</v>
      </c>
      <c r="DP69" s="20" t="n">
        <f aca="false">IF(AMP68&gt;0,(AMP68-AQC68)/AMP68,0)</f>
        <v>0</v>
      </c>
      <c r="DQ69" s="20" t="n">
        <f aca="false">IF(AMQ68&gt;0,(AMQ68-AQD68)/AMQ68,0)</f>
        <v>0</v>
      </c>
      <c r="DR69" s="20" t="n">
        <f aca="false">IF(AMR68&gt;0,(AMR68-AQE68)/AMR68,0)</f>
        <v>0</v>
      </c>
      <c r="DS69" s="20" t="n">
        <f aca="false">IF(AMS68&gt;0,(AMS68-AQF68)/AMS68,0)</f>
        <v>0</v>
      </c>
      <c r="DT69" s="20" t="n">
        <f aca="false">IF(AMT68&gt;0,(AMT68-AQG68)/AMT68,0)</f>
        <v>0</v>
      </c>
      <c r="DU69" s="20" t="n">
        <f aca="false">IF(AMU68&gt;0,(AMU68-AQH68)/AMU68,0)</f>
        <v>0</v>
      </c>
      <c r="DV69" s="20" t="n">
        <f aca="false">IF(AMV68&gt;0,(AMV68-AQI68)/AMV68,0)</f>
        <v>0</v>
      </c>
      <c r="DW69" s="20" t="n">
        <f aca="false">IF(AMW68&gt;0,(AMW68-AQJ68)/AMW68,0)</f>
        <v>0</v>
      </c>
      <c r="DX69" s="20" t="n">
        <f aca="false">IF(AMX68&gt;0,(AMX68-AQK68)/AMX68,0)</f>
        <v>0</v>
      </c>
      <c r="DY69" s="20" t="n">
        <f aca="false">IF(AMY68&gt;0,(AMY68-AQL68)/AMY68,0)</f>
        <v>0</v>
      </c>
      <c r="DZ69" s="20" t="n">
        <f aca="false">IF(AMZ68&gt;0,(AMZ68-AQM68)/AMZ68,0)</f>
        <v>0</v>
      </c>
      <c r="EA69" s="20" t="n">
        <f aca="false">IF(ANA68&gt;0,(ANA68-AQN68)/ANA68,0)</f>
        <v>0</v>
      </c>
      <c r="EB69" s="20" t="n">
        <f aca="false">IF((P69+S69)&gt;0,((P69+S69)-(P69+S69))/(P69+S69),0)</f>
        <v>0</v>
      </c>
      <c r="EC69" s="20" t="n">
        <v>0</v>
      </c>
      <c r="ED69" s="20" t="n">
        <v>0</v>
      </c>
      <c r="EE69" s="20" t="n">
        <v>0</v>
      </c>
      <c r="EF69" s="20" t="n">
        <v>0</v>
      </c>
      <c r="EG69" s="20" t="n">
        <v>0</v>
      </c>
      <c r="EH69" s="20" t="n">
        <v>0</v>
      </c>
      <c r="EI69" s="20" t="n">
        <v>0</v>
      </c>
      <c r="EJ69" s="20" t="n">
        <v>0</v>
      </c>
      <c r="EK69" s="20" t="n">
        <v>0</v>
      </c>
      <c r="EL69" s="20" t="n">
        <v>0</v>
      </c>
      <c r="EM69" s="20" t="n">
        <v>0</v>
      </c>
      <c r="EN69" s="20" t="n">
        <v>0</v>
      </c>
      <c r="EO69" s="20" t="n">
        <v>0</v>
      </c>
      <c r="EP69" s="20" t="n">
        <v>0</v>
      </c>
      <c r="EQ69" s="20" t="n">
        <v>0</v>
      </c>
      <c r="ER69" s="20" t="n">
        <v>0</v>
      </c>
      <c r="ES69" s="20" t="n">
        <v>0</v>
      </c>
      <c r="ET69" s="20" t="n">
        <v>0</v>
      </c>
      <c r="EU69" s="20" t="n">
        <v>0</v>
      </c>
      <c r="EV69" s="20" t="n">
        <v>0</v>
      </c>
      <c r="EW69" s="20" t="n">
        <v>0</v>
      </c>
      <c r="EX69" s="20" t="n">
        <v>0</v>
      </c>
      <c r="EY69" s="20" t="n">
        <v>0</v>
      </c>
      <c r="EZ69" s="20" t="n">
        <v>0</v>
      </c>
      <c r="FA69" s="20" t="n">
        <v>0</v>
      </c>
      <c r="FB69" s="20" t="n">
        <v>0</v>
      </c>
      <c r="FC69" s="20" t="n">
        <v>0</v>
      </c>
      <c r="FD69" s="20" t="n">
        <v>0</v>
      </c>
      <c r="FE69" s="20" t="n">
        <f aca="false">IF(H_Direct=1,IF(AKR68&lt;=0,0,IF(BR69&lt;=0,AKR68,AKR68-G69*MAX(0,BR69*AKR68-(H69+I69)))),AKR68*(1-MAX(0,BR69)*H_Exit))</f>
        <v>0</v>
      </c>
      <c r="FF69" s="20" t="n">
        <f aca="false">IF(H_Direct=1,IF(AKS68&lt;=0,0,IF(BS69&lt;=0,AKS68,AKS68-G69*MAX(0,BS69*AKS68-(IR69+ME69)))),AKS68*(1-MAX(0,BS69)*H_Exit))</f>
        <v>0</v>
      </c>
      <c r="FG69" s="20" t="n">
        <f aca="false">IF(H_Direct=1,IF(AKT68&lt;=0,0,IF(BT69&lt;=0,AKT68,AKT68-G69*MAX(0,BT69*AKT68-(IS69+MF69)))),AKT68*(1-MAX(0,BT69)*H_Exit))</f>
        <v>0</v>
      </c>
      <c r="FH69" s="20" t="n">
        <f aca="false">IF(H_Direct=1,IF(AKU68&lt;=0,0,IF(BU69&lt;=0,AKU68,AKU68-G69*MAX(0,BU69*AKU68-(IT69+MG69)))),AKU68*(1-MAX(0,BU69)*H_Exit))</f>
        <v>0</v>
      </c>
      <c r="FI69" s="20" t="n">
        <f aca="false">IF(H_Direct=1,IF(AKV68&lt;=0,0,IF(BV69&lt;=0,AKV68,AKV68-G69*MAX(0,BV69*AKV68-(IU69+MH69)))),AKV68*(1-MAX(0,BV69)*H_Exit))</f>
        <v>0</v>
      </c>
      <c r="FJ69" s="20" t="n">
        <f aca="false">IF(H_Direct=1,IF(AKW68&lt;=0,0,IF(BW69&lt;=0,AKW68,AKW68-G69*MAX(0,BW69*AKW68-(IV69+MI69)))),AKW68*(1-MAX(0,BW69)*H_Exit))</f>
        <v>0</v>
      </c>
      <c r="FK69" s="20" t="n">
        <f aca="false">IF(H_Direct=1,IF(AKX68&lt;=0,0,IF(BX69&lt;=0,AKX68,AKX68-G69*MAX(0,BX69*AKX68-(IW69+MJ69)))),AKX68*(1-MAX(0,BX69)*H_Exit))</f>
        <v>0</v>
      </c>
      <c r="FL69" s="20" t="n">
        <f aca="false">IF(H_Direct=1,IF(AKY68&lt;=0,0,IF(BY69&lt;=0,AKY68,AKY68-G69*MAX(0,BY69*AKY68-(IX69+MK69)))),AKY68*(1-MAX(0,BY69)*H_Exit))</f>
        <v>0</v>
      </c>
      <c r="FM69" s="20" t="n">
        <f aca="false">IF(H_Direct=1,IF(AKZ68&lt;=0,0,IF(BZ69&lt;=0,AKZ68,AKZ68-G69*MAX(0,BZ69*AKZ68-(IY69+ML69)))),AKZ68*(1-MAX(0,BZ69)*H_Exit))</f>
        <v>0</v>
      </c>
      <c r="FN69" s="20" t="n">
        <f aca="false">IF(H_Direct=1,IF(ALA68&lt;=0,0,IF(CA69&lt;=0,ALA68,ALA68-G69*MAX(0,CA69*ALA68-(IZ69+MM69)))),ALA68*(1-MAX(0,CA69)*H_Exit))</f>
        <v>0</v>
      </c>
      <c r="FO69" s="20" t="n">
        <f aca="false">IF(H_Direct=1,IF(ALB68&lt;=0,0,IF(CB69&lt;=0,ALB68,ALB68-G69*MAX(0,CB69*ALB68-(JA69+MN69)))),ALB68*(1-MAX(0,CB69)*H_Exit))</f>
        <v>0</v>
      </c>
      <c r="FP69" s="20" t="n">
        <f aca="false">IF(H_Direct=1,IF(ALC68&lt;=0,0,IF(CC69&lt;=0,ALC68,ALC68-G69*MAX(0,CC69*ALC68-(JB69+MO69)))),ALC68*(1-MAX(0,CC69)*H_Exit))</f>
        <v>0</v>
      </c>
      <c r="FQ69" s="20" t="n">
        <f aca="false">IF(H_Direct=1,IF(ALD68&lt;=0,0,IF(CD69&lt;=0,ALD68,ALD68-G69*MAX(0,CD69*ALD68-(JC69+MP69)))),ALD68*(1-MAX(0,CD69)*H_Exit))</f>
        <v>0</v>
      </c>
      <c r="FR69" s="20" t="n">
        <f aca="false">IF(H_Direct=1,IF(ALE68&lt;=0,0,IF(CE69&lt;=0,ALE68,ALE68-G69*MAX(0,CE69*ALE68-(JD69+MQ69)))),ALE68*(1-MAX(0,CE69)*H_Exit))</f>
        <v>0</v>
      </c>
      <c r="FS69" s="20" t="n">
        <f aca="false">IF(H_Direct=1,IF(ALF68&lt;=0,0,IF(CF69&lt;=0,ALF68,ALF68-G69*MAX(0,CF69*ALF68-(JE69+MR69)))),ALF68*(1-MAX(0,CF69)*H_Exit))</f>
        <v>0</v>
      </c>
      <c r="FT69" s="20" t="n">
        <f aca="false">IF(H_Direct=1,IF(ALG68&lt;=0,0,IF(CG69&lt;=0,ALG68,ALG68-G69*MAX(0,CG69*ALG68-(JF69+MS69)))),ALG68*(1-MAX(0,CG69)*H_Exit))</f>
        <v>0</v>
      </c>
      <c r="FU69" s="20" t="n">
        <f aca="false">IF(H_Direct=1,IF(ALH68&lt;=0,0,IF(CH69&lt;=0,ALH68,ALH68-G69*MAX(0,CH69*ALH68-(JG69+MT69)))),ALH68*(1-MAX(0,CH69)*H_Exit))</f>
        <v>0</v>
      </c>
      <c r="FV69" s="20" t="n">
        <f aca="false">IF(H_Direct=1,IF(ALI68&lt;=0,0,IF(CI69&lt;=0,ALI68,ALI68-G69*MAX(0,CI69*ALI68-(JH69+MU69)))),ALI68*(1-MAX(0,CI69)*H_Exit))</f>
        <v>0</v>
      </c>
      <c r="FW69" s="20" t="n">
        <f aca="false">IF(H_Direct=1,IF(ALJ68&lt;=0,0,IF(CJ69&lt;=0,ALJ68,ALJ68-G69*MAX(0,CJ69*ALJ68-(JI69+MV69)))),ALJ68*(1-MAX(0,CJ69)*H_Exit))</f>
        <v>0</v>
      </c>
      <c r="FX69" s="20" t="n">
        <f aca="false">IF(H_Direct=1,IF(ALK68&lt;=0,0,IF(CK69&lt;=0,ALK68,ALK68-G69*MAX(0,CK69*ALK68-(JJ69+MW69)))),ALK68*(1-MAX(0,CK69)*H_Exit))</f>
        <v>0</v>
      </c>
      <c r="FY69" s="20" t="n">
        <f aca="false">IF(H_Direct=1,IF(ALL68&lt;=0,0,IF(CL69&lt;=0,ALL68,ALL68-G69*MAX(0,CL69*ALL68-(JK69+MX69)))),ALL68*(1-MAX(0,CL69)*H_Exit))</f>
        <v>0</v>
      </c>
      <c r="FZ69" s="20" t="n">
        <f aca="false">IF(H_Direct=1,IF(ALM68&lt;=0,0,IF(CM69&lt;=0,ALM68,ALM68-G69*MAX(0,CM69*ALM68-(JL69+MY69)))),ALM68*(1-MAX(0,CM69)*H_Exit))</f>
        <v>0</v>
      </c>
      <c r="GA69" s="20" t="n">
        <f aca="false">IF(H_Direct=1,IF(ALN68&lt;=0,0,IF(CN69&lt;=0,ALN68,ALN68-G69*MAX(0,CN69*ALN68-(JM69+MZ69)))),ALN68*(1-MAX(0,CN69)*H_Exit))</f>
        <v>0</v>
      </c>
      <c r="GB69" s="20" t="n">
        <f aca="false">IF(H_Direct=1,IF(ALO68&lt;=0,0,IF(CO69&lt;=0,ALO68,ALO68-G69*MAX(0,CO69*ALO68-(JN69+NA69)))),ALO68*(1-MAX(0,CO69)*H_Exit))</f>
        <v>0</v>
      </c>
      <c r="GC69" s="20" t="n">
        <f aca="false">IF(H_Direct=1,IF(ALP68&lt;=0,0,IF(CP69&lt;=0,ALP68,ALP68-G69*MAX(0,CP69*ALP68-(JO69+NB69)))),ALP68*(1-MAX(0,CP69)*H_Exit))</f>
        <v>0</v>
      </c>
      <c r="GD69" s="20" t="n">
        <f aca="false">IF(H_Direct=1,IF(ALQ68&lt;=0,0,IF(CQ69&lt;=0,ALQ68,ALQ68-G69*MAX(0,CQ69*ALQ68-(JP69+NC69)))),ALQ68*(1-MAX(0,CQ69)*H_Exit))</f>
        <v>0</v>
      </c>
      <c r="GE69" s="20" t="n">
        <f aca="false">IF(H_Direct=1,IF(ALR68&lt;=0,0,IF(CR69&lt;=0,ALR68,ALR68-G69*MAX(0,CR69*ALR68-(JQ69+ND69)))),ALR68*(1-MAX(0,CR69)*H_Exit))</f>
        <v>0</v>
      </c>
      <c r="GF69" s="20" t="n">
        <f aca="false">IF(H_Direct=1,IF(ALS68&lt;=0,0,IF(CS69&lt;=0,ALS68,ALS68-G69*MAX(0,CS69*ALS68-(JR69+NE69)))),ALS68*(1-MAX(0,CS69)*H_Exit))</f>
        <v>0</v>
      </c>
      <c r="GG69" s="20" t="n">
        <f aca="false">IF(H_Direct=1,IF(ALT68&lt;=0,0,IF(CT69&lt;=0,ALT68,ALT68-G69*MAX(0,CT69*ALT68-(JS69+NF69)))),ALT68*(1-MAX(0,CT69)*H_Exit))</f>
        <v>0</v>
      </c>
      <c r="GH69" s="20" t="n">
        <f aca="false">IF(H_Direct=1,IF(ALU68&lt;=0,0,IF(CU69&lt;=0,ALU68,ALU68-G69*MAX(0,CU69*ALU68-(JT69+NG69)))),ALU68*(1-MAX(0,CU69)*H_Exit))</f>
        <v>0</v>
      </c>
      <c r="GI69" s="20" t="n">
        <f aca="false">IF(H_Direct=1,IF(ALV68&lt;=0,0,IF(CV69&lt;=0,ALV68,ALV68-G69*MAX(0,CV69*ALV68-(JU69+NH69)))),ALV68*(1-MAX(0,CV69)*H_Exit))</f>
        <v>0</v>
      </c>
      <c r="GJ69" s="20" t="n">
        <f aca="false">IF(H_Direct=1,IF(ALW68&lt;=0,0,IF(CW69&lt;=0,ALW68,ALW68-G69*MAX(0,CW69*ALW68-(JV69+NI69)))),ALW68*(1-MAX(0,CW69)*H_Exit))</f>
        <v>0</v>
      </c>
      <c r="GK69" s="20" t="n">
        <f aca="false">IF(H_Direct=1,IF(ALX68&lt;=0,0,IF(CX69&lt;=0,ALX68,ALX68-G69*MAX(0,CX69*ALX68-(JW69+NJ69)))),ALX68*(1-MAX(0,CX69)*H_Exit))</f>
        <v>0</v>
      </c>
      <c r="GL69" s="20" t="n">
        <f aca="false">IF(H_Direct=1,IF(ALY68&lt;=0,0,IF(CY69&lt;=0,ALY68,ALY68-G69*MAX(0,CY69*ALY68-(JX69+NK69)))),ALY68*(1-MAX(0,CY69)*H_Exit))</f>
        <v>0</v>
      </c>
      <c r="GM69" s="20" t="n">
        <f aca="false">IF(H_Direct=1,IF(ALZ68&lt;=0,0,IF(CZ69&lt;=0,ALZ68,ALZ68-G69*MAX(0,CZ69*ALZ68-(JY69+NL69)))),ALZ68*(1-MAX(0,CZ69)*H_Exit))</f>
        <v>0</v>
      </c>
      <c r="GN69" s="20" t="n">
        <f aca="false">IF(H_Direct=1,IF(AMA68&lt;=0,0,IF(DA69&lt;=0,AMA68,AMA68-G69*MAX(0,DA69*AMA68-(JZ69+NM69)))),AMA68*(1-MAX(0,DA69)*H_Exit))</f>
        <v>0</v>
      </c>
      <c r="GO69" s="20" t="n">
        <f aca="false">IF(H_Direct=1,IF(AMB68&lt;=0,0,IF(DB69&lt;=0,AMB68,AMB68-G69*MAX(0,DB69*AMB68-(KA69+NN69)))),AMB68*(1-MAX(0,DB69)*H_Exit))</f>
        <v>0</v>
      </c>
      <c r="GP69" s="20" t="n">
        <f aca="false">IF(H_Direct=1,IF(AMC68&lt;=0,0,IF(DC69&lt;=0,AMC68,AMC68-G69*MAX(0,DC69*AMC68-(KB69+NO69)))),AMC68*(1-MAX(0,DC69)*H_Exit))</f>
        <v>0</v>
      </c>
      <c r="GQ69" s="20" t="n">
        <f aca="false">IF(H_Direct=1,IF(AMD68&lt;=0,0,IF(DD69&lt;=0,AMD68,AMD68-G69*MAX(0,DD69*AMD68-(KC69+NP69)))),AMD68*(1-MAX(0,DD69)*H_Exit))</f>
        <v>0</v>
      </c>
      <c r="GR69" s="20" t="n">
        <f aca="false">IF(H_Direct=1,IF(AME68&lt;=0,0,IF(DE69&lt;=0,AME68,AME68-G69*MAX(0,DE69*AME68-(KD69+NQ69)))),AME68*(1-MAX(0,DE69)*H_Exit))</f>
        <v>0</v>
      </c>
      <c r="GS69" s="20" t="n">
        <f aca="false">IF(H_Direct=1,IF(AMF68&lt;=0,0,IF(DF69&lt;=0,AMF68,AMF68-G69*MAX(0,DF69*AMF68-(KE69+NR69)))),AMF68*(1-MAX(0,DF69)*H_Exit))</f>
        <v>0</v>
      </c>
      <c r="GT69" s="20" t="n">
        <f aca="false">IF(H_Direct=1,IF(AMG68&lt;=0,0,IF(DG69&lt;=0,AMG68,AMG68-G69*MAX(0,DG69*AMG68-(KF69+NS69)))),AMG68*(1-MAX(0,DG69)*H_Exit))</f>
        <v>0</v>
      </c>
      <c r="GU69" s="20" t="n">
        <f aca="false">IF(H_Direct=1,IF(AMH68&lt;=0,0,IF(DH69&lt;=0,AMH68,AMH68-G69*MAX(0,DH69*AMH68-(KG69+NT69)))),AMH68*(1-MAX(0,DH69)*H_Exit))</f>
        <v>0</v>
      </c>
      <c r="GV69" s="20" t="n">
        <f aca="false">IF(H_Direct=1,IF(AMI68&lt;=0,0,IF(DI69&lt;=0,AMI68,AMI68-G69*MAX(0,DI69*AMI68-(KH69+NU69)))),AMI68*(1-MAX(0,DI69)*H_Exit))</f>
        <v>0</v>
      </c>
      <c r="GW69" s="20" t="n">
        <f aca="false">IF(H_Direct=1,IF(AMJ68&lt;=0,0,IF(DJ69&lt;=0,AMJ68,AMJ68-G69*MAX(0,DJ69*AMJ68-(KI69+NV69)))),AMJ68*(1-MAX(0,DJ69)*H_Exit))</f>
        <v>0</v>
      </c>
      <c r="GX69" s="20" t="n">
        <f aca="false">IF(H_Direct=1,IF(AMK68&lt;=0,0,IF(DK69&lt;=0,AMK68,AMK68-G69*MAX(0,DK69*AMK68-(KJ69+NW69)))),AMK68*(1-MAX(0,DK69)*H_Exit))</f>
        <v>0</v>
      </c>
      <c r="GY69" s="20" t="n">
        <f aca="false">IF(H_Direct=1,IF(AML68&lt;=0,0,IF(DL69&lt;=0,AML68,AML68-G69*MAX(0,DL69*AML68-(KK69+NX69)))),AML68*(1-MAX(0,DL69)*H_Exit))</f>
        <v>0</v>
      </c>
      <c r="GZ69" s="20" t="n">
        <f aca="false">IF(H_Direct=1,IF(AMM68&lt;=0,0,IF(DM69&lt;=0,AMM68,AMM68-G69*MAX(0,DM69*AMM68-(KL69+NY69)))),AMM68*(1-MAX(0,DM69)*H_Exit))</f>
        <v>0</v>
      </c>
      <c r="HA69" s="20" t="n">
        <f aca="false">IF(H_Direct=1,IF(AMN68&lt;=0,0,IF(DN69&lt;=0,AMN68,AMN68-G69*MAX(0,DN69*AMN68-(KM69+NZ69)))),AMN68*(1-MAX(0,DN69)*H_Exit))</f>
        <v>0</v>
      </c>
      <c r="HB69" s="20" t="n">
        <f aca="false">IF(H_Direct=1,IF(AMO68&lt;=0,0,IF(DO69&lt;=0,AMO68,AMO68-G69*MAX(0,DO69*AMO68-(KN69+OA69)))),AMO68*(1-MAX(0,DO69)*H_Exit))</f>
        <v>0</v>
      </c>
      <c r="HC69" s="20" t="n">
        <f aca="false">IF(H_Direct=1,IF(AMP68&lt;=0,0,IF(DP69&lt;=0,AMP68,AMP68-G69*MAX(0,DP69*AMP68-(KO69+OB69)))),AMP68*(1-MAX(0,DP69)*H_Exit))</f>
        <v>0</v>
      </c>
      <c r="HD69" s="20" t="n">
        <f aca="false">IF(H_Direct=1,IF(AMQ68&lt;=0,0,IF(DQ69&lt;=0,AMQ68,AMQ68-G69*MAX(0,DQ69*AMQ68-(KP69+OC69)))),AMQ68*(1-MAX(0,DQ69)*H_Exit))</f>
        <v>0</v>
      </c>
      <c r="HE69" s="20" t="n">
        <f aca="false">IF(H_Direct=1,IF(AMR68&lt;=0,0,IF(DR69&lt;=0,AMR68,AMR68-G69*MAX(0,DR69*AMR68-(KQ69+OD69)))),AMR68*(1-MAX(0,DR69)*H_Exit))</f>
        <v>0</v>
      </c>
      <c r="HF69" s="20" t="n">
        <f aca="false">IF(H_Direct=1,IF(AMS68&lt;=0,0,IF(DS69&lt;=0,AMS68,AMS68-G69*MAX(0,DS69*AMS68-(KR69+OE69)))),AMS68*(1-MAX(0,DS69)*H_Exit))</f>
        <v>0</v>
      </c>
      <c r="HG69" s="20" t="n">
        <f aca="false">IF(H_Direct=1,IF(AMT68&lt;=0,0,IF(DT69&lt;=0,AMT68,AMT68-G69*MAX(0,DT69*AMT68-(KS69+OF69)))),AMT68*(1-MAX(0,DT69)*H_Exit))</f>
        <v>0</v>
      </c>
      <c r="HH69" s="20" t="n">
        <f aca="false">IF(H_Direct=1,IF(AMU68&lt;=0,0,IF(DU69&lt;=0,AMU68,AMU68-G69*MAX(0,DU69*AMU68-(KT69+OG69)))),AMU68*(1-MAX(0,DU69)*H_Exit))</f>
        <v>0</v>
      </c>
      <c r="HI69" s="20" t="n">
        <f aca="false">IF(H_Direct=1,IF(AMV68&lt;=0,0,IF(DV69&lt;=0,AMV68,AMV68-G69*MAX(0,DV69*AMV68-(KU69+OH69)))),AMV68*(1-MAX(0,DV69)*H_Exit))</f>
        <v>0</v>
      </c>
      <c r="HJ69" s="20" t="n">
        <f aca="false">IF(H_Direct=1,IF(AMW68&lt;=0,0,IF(DW69&lt;=0,AMW68,AMW68-G69*MAX(0,DW69*AMW68-(KV69+OI69)))),AMW68*(1-MAX(0,DW69)*H_Exit))</f>
        <v>0</v>
      </c>
      <c r="HK69" s="20" t="n">
        <f aca="false">IF(H_Direct=1,IF(AMX68&lt;=0,0,IF(DX69&lt;=0,AMX68,AMX68-G69*MAX(0,DX69*AMX68-(KW69+OJ69)))),AMX68*(1-MAX(0,DX69)*H_Exit))</f>
        <v>0</v>
      </c>
      <c r="HL69" s="20" t="n">
        <f aca="false">IF(H_Direct=1,IF(AMY68&lt;=0,0,IF(DY69&lt;=0,AMY68,AMY68-G69*MAX(0,DY69*AMY68-(KX69+OK69)))),AMY68*(1-MAX(0,DY69)*H_Exit))</f>
        <v>0</v>
      </c>
      <c r="HM69" s="20" t="n">
        <f aca="false">IF(H_Direct=1,IF(AMZ68&lt;=0,0,IF(DZ69&lt;=0,AMZ68,AMZ68-G69*MAX(0,DZ69*AMZ68-(KY69+OL69)))),AMZ68*(1-MAX(0,DZ69)*H_Exit))</f>
        <v>0</v>
      </c>
      <c r="HN69" s="20" t="n">
        <f aca="false">IF(H_Direct=1,IF(ANA68&lt;=0,0,IF(EA69&lt;=0,ANA68,ANA68-G69*MAX(0,EA69*ANA68-(KZ69+OM69)))),ANA68*(1-MAX(0,EA69)*H_Exit))</f>
        <v>0</v>
      </c>
      <c r="HO69" s="20" t="n">
        <f aca="false">IF(H_Direct=1,IF((P69+S69)&lt;=0,0,IF(EB69&lt;=0,(P69+S69),(P69+S69)-G69*MAX(0,EB69*(P69+S69)-(LA69+ON69)))),(P69+S69)*(1-MAX(0,EB69)*H_Exit))</f>
        <v>0</v>
      </c>
      <c r="HP69" s="20" t="n">
        <v>0</v>
      </c>
      <c r="HQ69" s="20" t="n">
        <v>0</v>
      </c>
      <c r="HR69" s="20" t="n">
        <v>0</v>
      </c>
      <c r="HS69" s="20" t="n">
        <v>0</v>
      </c>
      <c r="HT69" s="20" t="n">
        <v>0</v>
      </c>
      <c r="HU69" s="20" t="n">
        <v>0</v>
      </c>
      <c r="HV69" s="20" t="n">
        <v>0</v>
      </c>
      <c r="HW69" s="20" t="n">
        <v>0</v>
      </c>
      <c r="HX69" s="20" t="n">
        <v>0</v>
      </c>
      <c r="HY69" s="20" t="n">
        <v>0</v>
      </c>
      <c r="HZ69" s="20" t="n">
        <v>0</v>
      </c>
      <c r="IA69" s="20" t="n">
        <v>0</v>
      </c>
      <c r="IB69" s="20" t="n">
        <v>0</v>
      </c>
      <c r="IC69" s="20" t="n">
        <v>0</v>
      </c>
      <c r="ID69" s="20" t="n">
        <v>0</v>
      </c>
      <c r="IE69" s="20" t="n">
        <v>0</v>
      </c>
      <c r="IF69" s="20" t="n">
        <v>0</v>
      </c>
      <c r="IG69" s="20" t="n">
        <v>0</v>
      </c>
      <c r="IH69" s="20" t="n">
        <v>0</v>
      </c>
      <c r="II69" s="20" t="n">
        <v>0</v>
      </c>
      <c r="IJ69" s="20" t="n">
        <v>0</v>
      </c>
      <c r="IK69" s="20" t="n">
        <v>0</v>
      </c>
      <c r="IL69" s="20" t="n">
        <v>0</v>
      </c>
      <c r="IM69" s="20" t="n">
        <v>0</v>
      </c>
      <c r="IN69" s="20" t="n">
        <v>0</v>
      </c>
      <c r="IO69" s="20" t="n">
        <v>0</v>
      </c>
      <c r="IP69" s="20" t="n">
        <v>0</v>
      </c>
      <c r="IQ69" s="20" t="n">
        <v>0</v>
      </c>
      <c r="IR69" s="20" t="n">
        <f aca="false">IF(AND(H_Direct=1,BR69&gt;0),MAX(0,H69-(MIN(BR69*AKR68,H69+I69)-MIN(MIN(BR69*AKR68,H69+I69),I69))),H69)</f>
        <v>1270</v>
      </c>
      <c r="IS69" s="20" t="n">
        <f aca="false">IF(AND(H_Direct=1,BS69&gt;0),MAX(0,IR69-(MIN(BS69*AKS68,IR69+ME69)-MIN(MIN(BS69*AKS68,IR69+ME69),ME69))),IR69)</f>
        <v>1270</v>
      </c>
      <c r="IT69" s="20" t="n">
        <f aca="false">IF(AND(H_Direct=1,BT69&gt;0),MAX(0,IS69-(MIN(BT69*AKT68,IS69+MF69)-MIN(MIN(BT69*AKT68,IS69+MF69),MF69))),IS69)</f>
        <v>1270</v>
      </c>
      <c r="IU69" s="20" t="n">
        <f aca="false">IF(AND(H_Direct=1,BU69&gt;0),MAX(0,IT69-(MIN(BU69*AKU68,IT69+MG69)-MIN(MIN(BU69*AKU68,IT69+MG69),MG69))),IT69)</f>
        <v>1270</v>
      </c>
      <c r="IV69" s="20" t="n">
        <f aca="false">IF(AND(H_Direct=1,BV69&gt;0),MAX(0,IU69-(MIN(BV69*AKV68,IU69+MH69)-MIN(MIN(BV69*AKV68,IU69+MH69),MH69))),IU69)</f>
        <v>1270</v>
      </c>
      <c r="IW69" s="20" t="n">
        <f aca="false">IF(AND(H_Direct=1,BW69&gt;0),MAX(0,IV69-(MIN(BW69*AKW68,IV69+MI69)-MIN(MIN(BW69*AKW68,IV69+MI69),MI69))),IV69)</f>
        <v>1270</v>
      </c>
      <c r="IX69" s="20" t="n">
        <f aca="false">IF(AND(H_Direct=1,BX69&gt;0),MAX(0,IW69-(MIN(BX69*AKX68,IW69+MJ69)-MIN(MIN(BX69*AKX68,IW69+MJ69),MJ69))),IW69)</f>
        <v>1270</v>
      </c>
      <c r="IY69" s="20" t="n">
        <f aca="false">IF(AND(H_Direct=1,BY69&gt;0),MAX(0,IX69-(MIN(BY69*AKY68,IX69+MK69)-MIN(MIN(BY69*AKY68,IX69+MK69),MK69))),IX69)</f>
        <v>1270</v>
      </c>
      <c r="IZ69" s="20" t="n">
        <f aca="false">IF(AND(H_Direct=1,BZ69&gt;0),MAX(0,IY69-(MIN(BZ69*AKZ68,IY69+ML69)-MIN(MIN(BZ69*AKZ68,IY69+ML69),ML69))),IY69)</f>
        <v>1270</v>
      </c>
      <c r="JA69" s="20" t="n">
        <f aca="false">IF(AND(H_Direct=1,CA69&gt;0),MAX(0,IZ69-(MIN(CA69*ALA68,IZ69+MM69)-MIN(MIN(CA69*ALA68,IZ69+MM69),MM69))),IZ69)</f>
        <v>1270</v>
      </c>
      <c r="JB69" s="20" t="n">
        <f aca="false">IF(AND(H_Direct=1,CB69&gt;0),MAX(0,JA69-(MIN(CB69*ALB68,JA69+MN69)-MIN(MIN(CB69*ALB68,JA69+MN69),MN69))),JA69)</f>
        <v>1270</v>
      </c>
      <c r="JC69" s="20" t="n">
        <f aca="false">IF(AND(H_Direct=1,CC69&gt;0),MAX(0,JB69-(MIN(CC69*ALC68,JB69+MO69)-MIN(MIN(CC69*ALC68,JB69+MO69),MO69))),JB69)</f>
        <v>1270</v>
      </c>
      <c r="JD69" s="20" t="n">
        <f aca="false">IF(AND(H_Direct=1,CD69&gt;0),MAX(0,JC69-(MIN(CD69*ALD68,JC69+MP69)-MIN(MIN(CD69*ALD68,JC69+MP69),MP69))),JC69)</f>
        <v>1270</v>
      </c>
      <c r="JE69" s="20" t="n">
        <f aca="false">IF(AND(H_Direct=1,CE69&gt;0),MAX(0,JD69-(MIN(CE69*ALE68,JD69+MQ69)-MIN(MIN(CE69*ALE68,JD69+MQ69),MQ69))),JD69)</f>
        <v>1270</v>
      </c>
      <c r="JF69" s="20" t="n">
        <f aca="false">IF(AND(H_Direct=1,CF69&gt;0),MAX(0,JE69-(MIN(CF69*ALF68,JE69+MR69)-MIN(MIN(CF69*ALF68,JE69+MR69),MR69))),JE69)</f>
        <v>1270</v>
      </c>
      <c r="JG69" s="20" t="n">
        <f aca="false">IF(AND(H_Direct=1,CG69&gt;0),MAX(0,JF69-(MIN(CG69*ALG68,JF69+MS69)-MIN(MIN(CG69*ALG68,JF69+MS69),MS69))),JF69)</f>
        <v>1270</v>
      </c>
      <c r="JH69" s="20" t="n">
        <f aca="false">IF(AND(H_Direct=1,CH69&gt;0),MAX(0,JG69-(MIN(CH69*ALH68,JG69+MT69)-MIN(MIN(CH69*ALH68,JG69+MT69),MT69))),JG69)</f>
        <v>1270</v>
      </c>
      <c r="JI69" s="20" t="n">
        <f aca="false">IF(AND(H_Direct=1,CI69&gt;0),MAX(0,JH69-(MIN(CI69*ALI68,JH69+MU69)-MIN(MIN(CI69*ALI68,JH69+MU69),MU69))),JH69)</f>
        <v>1270</v>
      </c>
      <c r="JJ69" s="20" t="n">
        <f aca="false">IF(AND(H_Direct=1,CJ69&gt;0),MAX(0,JI69-(MIN(CJ69*ALJ68,JI69+MV69)-MIN(MIN(CJ69*ALJ68,JI69+MV69),MV69))),JI69)</f>
        <v>1270</v>
      </c>
      <c r="JK69" s="20" t="n">
        <f aca="false">IF(AND(H_Direct=1,CK69&gt;0),MAX(0,JJ69-(MIN(CK69*ALK68,JJ69+MW69)-MIN(MIN(CK69*ALK68,JJ69+MW69),MW69))),JJ69)</f>
        <v>1270</v>
      </c>
      <c r="JL69" s="20" t="n">
        <f aca="false">IF(AND(H_Direct=1,CL69&gt;0),MAX(0,JK69-(MIN(CL69*ALL68,JK69+MX69)-MIN(MIN(CL69*ALL68,JK69+MX69),MX69))),JK69)</f>
        <v>1270</v>
      </c>
      <c r="JM69" s="20" t="n">
        <f aca="false">IF(AND(H_Direct=1,CM69&gt;0),MAX(0,JL69-(MIN(CM69*ALM68,JL69+MY69)-MIN(MIN(CM69*ALM68,JL69+MY69),MY69))),JL69)</f>
        <v>1270</v>
      </c>
      <c r="JN69" s="20" t="n">
        <f aca="false">IF(AND(H_Direct=1,CN69&gt;0),MAX(0,JM69-(MIN(CN69*ALN68,JM69+MZ69)-MIN(MIN(CN69*ALN68,JM69+MZ69),MZ69))),JM69)</f>
        <v>1270</v>
      </c>
      <c r="JO69" s="20" t="n">
        <f aca="false">IF(AND(H_Direct=1,CO69&gt;0),MAX(0,JN69-(MIN(CO69*ALO68,JN69+NA69)-MIN(MIN(CO69*ALO68,JN69+NA69),NA69))),JN69)</f>
        <v>1270</v>
      </c>
      <c r="JP69" s="20" t="n">
        <f aca="false">IF(AND(H_Direct=1,CP69&gt;0),MAX(0,JO69-(MIN(CP69*ALP68,JO69+NB69)-MIN(MIN(CP69*ALP68,JO69+NB69),NB69))),JO69)</f>
        <v>1270</v>
      </c>
      <c r="JQ69" s="20" t="n">
        <f aca="false">IF(AND(H_Direct=1,CQ69&gt;0),MAX(0,JP69-(MIN(CQ69*ALQ68,JP69+NC69)-MIN(MIN(CQ69*ALQ68,JP69+NC69),NC69))),JP69)</f>
        <v>1270</v>
      </c>
      <c r="JR69" s="20" t="n">
        <f aca="false">IF(AND(H_Direct=1,CR69&gt;0),MAX(0,JQ69-(MIN(CR69*ALR68,JQ69+ND69)-MIN(MIN(CR69*ALR68,JQ69+ND69),ND69))),JQ69)</f>
        <v>1270</v>
      </c>
      <c r="JS69" s="20" t="n">
        <f aca="false">IF(AND(H_Direct=1,CS69&gt;0),MAX(0,JR69-(MIN(CS69*ALS68,JR69+NE69)-MIN(MIN(CS69*ALS68,JR69+NE69),NE69))),JR69)</f>
        <v>1270</v>
      </c>
      <c r="JT69" s="20" t="n">
        <f aca="false">IF(AND(H_Direct=1,CT69&gt;0),MAX(0,JS69-(MIN(CT69*ALT68,JS69+NF69)-MIN(MIN(CT69*ALT68,JS69+NF69),NF69))),JS69)</f>
        <v>1270</v>
      </c>
      <c r="JU69" s="20" t="n">
        <f aca="false">IF(AND(H_Direct=1,CU69&gt;0),MAX(0,JT69-(MIN(CU69*ALU68,JT69+NG69)-MIN(MIN(CU69*ALU68,JT69+NG69),NG69))),JT69)</f>
        <v>1270</v>
      </c>
      <c r="JV69" s="20" t="n">
        <f aca="false">IF(AND(H_Direct=1,CV69&gt;0),MAX(0,JU69-(MIN(CV69*ALV68,JU69+NH69)-MIN(MIN(CV69*ALV68,JU69+NH69),NH69))),JU69)</f>
        <v>1270</v>
      </c>
      <c r="JW69" s="20" t="n">
        <f aca="false">IF(AND(H_Direct=1,CW69&gt;0),MAX(0,JV69-(MIN(CW69*ALW68,JV69+NI69)-MIN(MIN(CW69*ALW68,JV69+NI69),NI69))),JV69)</f>
        <v>1270</v>
      </c>
      <c r="JX69" s="20" t="n">
        <f aca="false">IF(AND(H_Direct=1,CX69&gt;0),MAX(0,JW69-(MIN(CX69*ALX68,JW69+NJ69)-MIN(MIN(CX69*ALX68,JW69+NJ69),NJ69))),JW69)</f>
        <v>1270</v>
      </c>
      <c r="JY69" s="20" t="n">
        <f aca="false">IF(AND(H_Direct=1,CY69&gt;0),MAX(0,JX69-(MIN(CY69*ALY68,JX69+NK69)-MIN(MIN(CY69*ALY68,JX69+NK69),NK69))),JX69)</f>
        <v>1270</v>
      </c>
      <c r="JZ69" s="20" t="n">
        <f aca="false">IF(AND(H_Direct=1,CZ69&gt;0),MAX(0,JY69-(MIN(CZ69*ALZ68,JY69+NL69)-MIN(MIN(CZ69*ALZ68,JY69+NL69),NL69))),JY69)</f>
        <v>1270</v>
      </c>
      <c r="KA69" s="20" t="n">
        <f aca="false">IF(AND(H_Direct=1,DA69&gt;0),MAX(0,JZ69-(MIN(DA69*AMA68,JZ69+NM69)-MIN(MIN(DA69*AMA68,JZ69+NM69),NM69))),JZ69)</f>
        <v>1270</v>
      </c>
      <c r="KB69" s="20" t="n">
        <f aca="false">IF(AND(H_Direct=1,DB69&gt;0),MAX(0,KA69-(MIN(DB69*AMB68,KA69+NN69)-MIN(MIN(DB69*AMB68,KA69+NN69),NN69))),KA69)</f>
        <v>1270</v>
      </c>
      <c r="KC69" s="20" t="n">
        <f aca="false">IF(AND(H_Direct=1,DC69&gt;0),MAX(0,KB69-(MIN(DC69*AMC68,KB69+NO69)-MIN(MIN(DC69*AMC68,KB69+NO69),NO69))),KB69)</f>
        <v>1270</v>
      </c>
      <c r="KD69" s="20" t="n">
        <f aca="false">IF(AND(H_Direct=1,DD69&gt;0),MAX(0,KC69-(MIN(DD69*AMD68,KC69+NP69)-MIN(MIN(DD69*AMD68,KC69+NP69),NP69))),KC69)</f>
        <v>1270</v>
      </c>
      <c r="KE69" s="20" t="n">
        <f aca="false">IF(AND(H_Direct=1,DE69&gt;0),MAX(0,KD69-(MIN(DE69*AME68,KD69+NQ69)-MIN(MIN(DE69*AME68,KD69+NQ69),NQ69))),KD69)</f>
        <v>1270</v>
      </c>
      <c r="KF69" s="20" t="n">
        <f aca="false">IF(AND(H_Direct=1,DF69&gt;0),MAX(0,KE69-(MIN(DF69*AMF68,KE69+NR69)-MIN(MIN(DF69*AMF68,KE69+NR69),NR69))),KE69)</f>
        <v>1270</v>
      </c>
      <c r="KG69" s="20" t="n">
        <f aca="false">IF(AND(H_Direct=1,DG69&gt;0),MAX(0,KF69-(MIN(DG69*AMG68,KF69+NS69)-MIN(MIN(DG69*AMG68,KF69+NS69),NS69))),KF69)</f>
        <v>1270</v>
      </c>
      <c r="KH69" s="20" t="n">
        <f aca="false">IF(AND(H_Direct=1,DH69&gt;0),MAX(0,KG69-(MIN(DH69*AMH68,KG69+NT69)-MIN(MIN(DH69*AMH68,KG69+NT69),NT69))),KG69)</f>
        <v>1270</v>
      </c>
      <c r="KI69" s="20" t="n">
        <f aca="false">IF(AND(H_Direct=1,DI69&gt;0),MAX(0,KH69-(MIN(DI69*AMI68,KH69+NU69)-MIN(MIN(DI69*AMI68,KH69+NU69),NU69))),KH69)</f>
        <v>1270</v>
      </c>
      <c r="KJ69" s="20" t="n">
        <f aca="false">IF(AND(H_Direct=1,DJ69&gt;0),MAX(0,KI69-(MIN(DJ69*AMJ68,KI69+NV69)-MIN(MIN(DJ69*AMJ68,KI69+NV69),NV69))),KI69)</f>
        <v>1270</v>
      </c>
      <c r="KK69" s="20" t="n">
        <f aca="false">IF(AND(H_Direct=1,DK69&gt;0),MAX(0,KJ69-(MIN(DK69*AMK68,KJ69+NW69)-MIN(MIN(DK69*AMK68,KJ69+NW69),NW69))),KJ69)</f>
        <v>1270</v>
      </c>
      <c r="KL69" s="20" t="n">
        <f aca="false">IF(AND(H_Direct=1,DL69&gt;0),MAX(0,KK69-(MIN(DL69*AML68,KK69+NX69)-MIN(MIN(DL69*AML68,KK69+NX69),NX69))),KK69)</f>
        <v>1270</v>
      </c>
      <c r="KM69" s="20" t="n">
        <f aca="false">IF(AND(H_Direct=1,DM69&gt;0),MAX(0,KL69-(MIN(DM69*AMM68,KL69+NY69)-MIN(MIN(DM69*AMM68,KL69+NY69),NY69))),KL69)</f>
        <v>1270</v>
      </c>
      <c r="KN69" s="20" t="n">
        <f aca="false">IF(AND(H_Direct=1,DN69&gt;0),MAX(0,KM69-(MIN(DN69*AMN68,KM69+NZ69)-MIN(MIN(DN69*AMN68,KM69+NZ69),NZ69))),KM69)</f>
        <v>1270</v>
      </c>
      <c r="KO69" s="20" t="n">
        <f aca="false">IF(AND(H_Direct=1,DO69&gt;0),MAX(0,KN69-(MIN(DO69*AMO68,KN69+OA69)-MIN(MIN(DO69*AMO68,KN69+OA69),OA69))),KN69)</f>
        <v>1270</v>
      </c>
      <c r="KP69" s="20" t="n">
        <f aca="false">IF(AND(H_Direct=1,DP69&gt;0),MAX(0,KO69-(MIN(DP69*AMP68,KO69+OB69)-MIN(MIN(DP69*AMP68,KO69+OB69),OB69))),KO69)</f>
        <v>1270</v>
      </c>
      <c r="KQ69" s="20" t="n">
        <f aca="false">IF(AND(H_Direct=1,DQ69&gt;0),MAX(0,KP69-(MIN(DQ69*AMQ68,KP69+OC69)-MIN(MIN(DQ69*AMQ68,KP69+OC69),OC69))),KP69)</f>
        <v>1270</v>
      </c>
      <c r="KR69" s="20" t="n">
        <f aca="false">IF(AND(H_Direct=1,DR69&gt;0),MAX(0,KQ69-(MIN(DR69*AMR68,KQ69+OD69)-MIN(MIN(DR69*AMR68,KQ69+OD69),OD69))),KQ69)</f>
        <v>1270</v>
      </c>
      <c r="KS69" s="20" t="n">
        <f aca="false">IF(AND(H_Direct=1,DS69&gt;0),MAX(0,KR69-(MIN(DS69*AMS68,KR69+OE69)-MIN(MIN(DS69*AMS68,KR69+OE69),OE69))),KR69)</f>
        <v>1270</v>
      </c>
      <c r="KT69" s="20" t="n">
        <f aca="false">IF(AND(H_Direct=1,DT69&gt;0),MAX(0,KS69-(MIN(DT69*AMT68,KS69+OF69)-MIN(MIN(DT69*AMT68,KS69+OF69),OF69))),KS69)</f>
        <v>1270</v>
      </c>
      <c r="KU69" s="20" t="n">
        <f aca="false">IF(AND(H_Direct=1,DU69&gt;0),MAX(0,KT69-(MIN(DU69*AMU68,KT69+OG69)-MIN(MIN(DU69*AMU68,KT69+OG69),OG69))),KT69)</f>
        <v>1270</v>
      </c>
      <c r="KV69" s="20" t="n">
        <f aca="false">IF(AND(H_Direct=1,DV69&gt;0),MAX(0,KU69-(MIN(DV69*AMV68,KU69+OH69)-MIN(MIN(DV69*AMV68,KU69+OH69),OH69))),KU69)</f>
        <v>1270</v>
      </c>
      <c r="KW69" s="20" t="n">
        <f aca="false">IF(AND(H_Direct=1,DW69&gt;0),MAX(0,KV69-(MIN(DW69*AMW68,KV69+OI69)-MIN(MIN(DW69*AMW68,KV69+OI69),OI69))),KV69)</f>
        <v>1270</v>
      </c>
      <c r="KX69" s="20" t="n">
        <f aca="false">IF(AND(H_Direct=1,DX69&gt;0),MAX(0,KW69-(MIN(DX69*AMX68,KW69+OJ69)-MIN(MIN(DX69*AMX68,KW69+OJ69),OJ69))),KW69)</f>
        <v>1270</v>
      </c>
      <c r="KY69" s="20" t="n">
        <f aca="false">IF(AND(H_Direct=1,DY69&gt;0),MAX(0,KX69-(MIN(DY69*AMY68,KX69+OK69)-MIN(MIN(DY69*AMY68,KX69+OK69),OK69))),KX69)</f>
        <v>1270</v>
      </c>
      <c r="KZ69" s="20" t="n">
        <f aca="false">IF(AND(H_Direct=1,DZ69&gt;0),MAX(0,KY69-(MIN(DZ69*AMZ68,KY69+OL69)-MIN(MIN(DZ69*AMZ68,KY69+OL69),OL69))),KY69)</f>
        <v>1270</v>
      </c>
      <c r="LA69" s="20" t="n">
        <f aca="false">IF(AND(H_Direct=1,EA69&gt;0),MAX(0,KZ69-(MIN(EA69*ANA68,KZ69+OM69)-MIN(MIN(EA69*ANA68,KZ69+OM69),OM69))),KZ69)</f>
        <v>1270</v>
      </c>
      <c r="LB69" s="20" t="n">
        <f aca="false">IF(AND(H_Direct=1,EB69&gt;0),MAX(0,LA69-(MIN(EB69*(P69+S69),LA69+ON69)-MIN(MIN(EB69*(P69+S69),LA69+ON69),ON69))),LA69)</f>
        <v>1270</v>
      </c>
      <c r="LC69" s="20" t="n">
        <f aca="false">LB69</f>
        <v>1270</v>
      </c>
      <c r="LD69" s="20" t="n">
        <f aca="false">LC69</f>
        <v>1270</v>
      </c>
      <c r="LE69" s="20" t="n">
        <f aca="false">LD69</f>
        <v>1270</v>
      </c>
      <c r="LF69" s="20" t="n">
        <f aca="false">LE69</f>
        <v>1270</v>
      </c>
      <c r="LG69" s="20" t="n">
        <f aca="false">LF69</f>
        <v>1270</v>
      </c>
      <c r="LH69" s="20" t="n">
        <f aca="false">LG69</f>
        <v>1270</v>
      </c>
      <c r="LI69" s="20" t="n">
        <f aca="false">LH69</f>
        <v>1270</v>
      </c>
      <c r="LJ69" s="20" t="n">
        <f aca="false">LI69</f>
        <v>1270</v>
      </c>
      <c r="LK69" s="20" t="n">
        <f aca="false">LJ69</f>
        <v>1270</v>
      </c>
      <c r="LL69" s="20" t="n">
        <f aca="false">LK69</f>
        <v>1270</v>
      </c>
      <c r="LM69" s="20" t="n">
        <f aca="false">LL69</f>
        <v>1270</v>
      </c>
      <c r="LN69" s="20" t="n">
        <f aca="false">LM69</f>
        <v>1270</v>
      </c>
      <c r="LO69" s="20" t="n">
        <f aca="false">LN69</f>
        <v>1270</v>
      </c>
      <c r="LP69" s="20" t="n">
        <f aca="false">LO69</f>
        <v>1270</v>
      </c>
      <c r="LQ69" s="20" t="n">
        <f aca="false">LP69</f>
        <v>1270</v>
      </c>
      <c r="LR69" s="20" t="n">
        <f aca="false">LQ69</f>
        <v>1270</v>
      </c>
      <c r="LS69" s="20" t="n">
        <f aca="false">LR69</f>
        <v>1270</v>
      </c>
      <c r="LT69" s="20" t="n">
        <f aca="false">LS69</f>
        <v>1270</v>
      </c>
      <c r="LU69" s="20" t="n">
        <f aca="false">LT69</f>
        <v>1270</v>
      </c>
      <c r="LV69" s="20" t="n">
        <f aca="false">LU69</f>
        <v>1270</v>
      </c>
      <c r="LW69" s="20" t="n">
        <f aca="false">LV69</f>
        <v>1270</v>
      </c>
      <c r="LX69" s="20" t="n">
        <f aca="false">LW69</f>
        <v>1270</v>
      </c>
      <c r="LY69" s="20" t="n">
        <f aca="false">LX69</f>
        <v>1270</v>
      </c>
      <c r="LZ69" s="20" t="n">
        <f aca="false">LY69</f>
        <v>1270</v>
      </c>
      <c r="MA69" s="20" t="n">
        <f aca="false">LZ69</f>
        <v>1270</v>
      </c>
      <c r="MB69" s="20" t="n">
        <f aca="false">MA69</f>
        <v>1270</v>
      </c>
      <c r="MC69" s="20" t="n">
        <f aca="false">MB69</f>
        <v>1270</v>
      </c>
      <c r="MD69" s="20" t="n">
        <f aca="false">MC69</f>
        <v>1270</v>
      </c>
      <c r="ME69" s="20" t="n">
        <f aca="false">IF(H_Direct=1,IF(BR69&lt;=0,I69-BR69*AKR68,I69-MIN(MIN(BR69*AKR68,H69+I69),I69)),I69)</f>
        <v>0</v>
      </c>
      <c r="MF69" s="20" t="n">
        <f aca="false">IF(H_Direct=1,IF(BS69&lt;=0,ME69-BS69*AKS68,ME69-MIN(MIN(BS69*AKS68,IR69+ME69),ME69)),ME69)</f>
        <v>0</v>
      </c>
      <c r="MG69" s="20" t="n">
        <f aca="false">IF(H_Direct=1,IF(BT69&lt;=0,MF69-BT69*AKT68,MF69-MIN(MIN(BT69*AKT68,IS69+MF69),MF69)),MF69)</f>
        <v>0</v>
      </c>
      <c r="MH69" s="20" t="n">
        <f aca="false">IF(H_Direct=1,IF(BU69&lt;=0,MG69-BU69*AKU68,MG69-MIN(MIN(BU69*AKU68,IT69+MG69),MG69)),MG69)</f>
        <v>0</v>
      </c>
      <c r="MI69" s="20" t="n">
        <f aca="false">IF(H_Direct=1,IF(BV69&lt;=0,MH69-BV69*AKV68,MH69-MIN(MIN(BV69*AKV68,IU69+MH69),MH69)),MH69)</f>
        <v>0</v>
      </c>
      <c r="MJ69" s="20" t="n">
        <f aca="false">IF(H_Direct=1,IF(BW69&lt;=0,MI69-BW69*AKW68,MI69-MIN(MIN(BW69*AKW68,IV69+MI69),MI69)),MI69)</f>
        <v>0</v>
      </c>
      <c r="MK69" s="20" t="n">
        <f aca="false">IF(H_Direct=1,IF(BX69&lt;=0,MJ69-BX69*AKX68,MJ69-MIN(MIN(BX69*AKX68,IW69+MJ69),MJ69)),MJ69)</f>
        <v>0</v>
      </c>
      <c r="ML69" s="20" t="n">
        <f aca="false">IF(H_Direct=1,IF(BY69&lt;=0,MK69-BY69*AKY68,MK69-MIN(MIN(BY69*AKY68,IX69+MK69),MK69)),MK69)</f>
        <v>0</v>
      </c>
      <c r="MM69" s="20" t="n">
        <f aca="false">IF(H_Direct=1,IF(BZ69&lt;=0,ML69-BZ69*AKZ68,ML69-MIN(MIN(BZ69*AKZ68,IY69+ML69),ML69)),ML69)</f>
        <v>0</v>
      </c>
      <c r="MN69" s="20" t="n">
        <f aca="false">IF(H_Direct=1,IF(CA69&lt;=0,MM69-CA69*ALA68,MM69-MIN(MIN(CA69*ALA68,IZ69+MM69),MM69)),MM69)</f>
        <v>0</v>
      </c>
      <c r="MO69" s="20" t="n">
        <f aca="false">IF(H_Direct=1,IF(CB69&lt;=0,MN69-CB69*ALB68,MN69-MIN(MIN(CB69*ALB68,JA69+MN69),MN69)),MN69)</f>
        <v>0</v>
      </c>
      <c r="MP69" s="20" t="n">
        <f aca="false">IF(H_Direct=1,IF(CC69&lt;=0,MO69-CC69*ALC68,MO69-MIN(MIN(CC69*ALC68,JB69+MO69),MO69)),MO69)</f>
        <v>0</v>
      </c>
      <c r="MQ69" s="20" t="n">
        <f aca="false">IF(H_Direct=1,IF(CD69&lt;=0,MP69-CD69*ALD68,MP69-MIN(MIN(CD69*ALD68,JC69+MP69),MP69)),MP69)</f>
        <v>0</v>
      </c>
      <c r="MR69" s="20" t="n">
        <f aca="false">IF(H_Direct=1,IF(CE69&lt;=0,MQ69-CE69*ALE68,MQ69-MIN(MIN(CE69*ALE68,JD69+MQ69),MQ69)),MQ69)</f>
        <v>0</v>
      </c>
      <c r="MS69" s="20" t="n">
        <f aca="false">IF(H_Direct=1,IF(CF69&lt;=0,MR69-CF69*ALF68,MR69-MIN(MIN(CF69*ALF68,JE69+MR69),MR69)),MR69)</f>
        <v>0</v>
      </c>
      <c r="MT69" s="20" t="n">
        <f aca="false">IF(H_Direct=1,IF(CG69&lt;=0,MS69-CG69*ALG68,MS69-MIN(MIN(CG69*ALG68,JF69+MS69),MS69)),MS69)</f>
        <v>0</v>
      </c>
      <c r="MU69" s="20" t="n">
        <f aca="false">IF(H_Direct=1,IF(CH69&lt;=0,MT69-CH69*ALH68,MT69-MIN(MIN(CH69*ALH68,JG69+MT69),MT69)),MT69)</f>
        <v>0</v>
      </c>
      <c r="MV69" s="20" t="n">
        <f aca="false">IF(H_Direct=1,IF(CI69&lt;=0,MU69-CI69*ALI68,MU69-MIN(MIN(CI69*ALI68,JH69+MU69),MU69)),MU69)</f>
        <v>0</v>
      </c>
      <c r="MW69" s="20" t="n">
        <f aca="false">IF(H_Direct=1,IF(CJ69&lt;=0,MV69-CJ69*ALJ68,MV69-MIN(MIN(CJ69*ALJ68,JI69+MV69),MV69)),MV69)</f>
        <v>0</v>
      </c>
      <c r="MX69" s="20" t="n">
        <f aca="false">IF(H_Direct=1,IF(CK69&lt;=0,MW69-CK69*ALK68,MW69-MIN(MIN(CK69*ALK68,JJ69+MW69),MW69)),MW69)</f>
        <v>0</v>
      </c>
      <c r="MY69" s="20" t="n">
        <f aca="false">IF(H_Direct=1,IF(CL69&lt;=0,MX69-CL69*ALL68,MX69-MIN(MIN(CL69*ALL68,JK69+MX69),MX69)),MX69)</f>
        <v>0</v>
      </c>
      <c r="MZ69" s="20" t="n">
        <f aca="false">IF(H_Direct=1,IF(CM69&lt;=0,MY69-CM69*ALM68,MY69-MIN(MIN(CM69*ALM68,JL69+MY69),MY69)),MY69)</f>
        <v>0</v>
      </c>
      <c r="NA69" s="20" t="n">
        <f aca="false">IF(H_Direct=1,IF(CN69&lt;=0,MZ69-CN69*ALN68,MZ69-MIN(MIN(CN69*ALN68,JM69+MZ69),MZ69)),MZ69)</f>
        <v>0</v>
      </c>
      <c r="NB69" s="20" t="n">
        <f aca="false">IF(H_Direct=1,IF(CO69&lt;=0,NA69-CO69*ALO68,NA69-MIN(MIN(CO69*ALO68,JN69+NA69),NA69)),NA69)</f>
        <v>0</v>
      </c>
      <c r="NC69" s="20" t="n">
        <f aca="false">IF(H_Direct=1,IF(CP69&lt;=0,NB69-CP69*ALP68,NB69-MIN(MIN(CP69*ALP68,JO69+NB69),NB69)),NB69)</f>
        <v>0</v>
      </c>
      <c r="ND69" s="20" t="n">
        <f aca="false">IF(H_Direct=1,IF(CQ69&lt;=0,NC69-CQ69*ALQ68,NC69-MIN(MIN(CQ69*ALQ68,JP69+NC69),NC69)),NC69)</f>
        <v>0</v>
      </c>
      <c r="NE69" s="20" t="n">
        <f aca="false">IF(H_Direct=1,IF(CR69&lt;=0,ND69-CR69*ALR68,ND69-MIN(MIN(CR69*ALR68,JQ69+ND69),ND69)),ND69)</f>
        <v>0</v>
      </c>
      <c r="NF69" s="20" t="n">
        <f aca="false">IF(H_Direct=1,IF(CS69&lt;=0,NE69-CS69*ALS68,NE69-MIN(MIN(CS69*ALS68,JR69+NE69),NE69)),NE69)</f>
        <v>0</v>
      </c>
      <c r="NG69" s="20" t="n">
        <f aca="false">IF(H_Direct=1,IF(CT69&lt;=0,NF69-CT69*ALT68,NF69-MIN(MIN(CT69*ALT68,JS69+NF69),NF69)),NF69)</f>
        <v>0</v>
      </c>
      <c r="NH69" s="20" t="n">
        <f aca="false">IF(H_Direct=1,IF(CU69&lt;=0,NG69-CU69*ALU68,NG69-MIN(MIN(CU69*ALU68,JT69+NG69),NG69)),NG69)</f>
        <v>0</v>
      </c>
      <c r="NI69" s="20" t="n">
        <f aca="false">IF(H_Direct=1,IF(CV69&lt;=0,NH69-CV69*ALV68,NH69-MIN(MIN(CV69*ALV68,JU69+NH69),NH69)),NH69)</f>
        <v>0</v>
      </c>
      <c r="NJ69" s="20" t="n">
        <f aca="false">IF(H_Direct=1,IF(CW69&lt;=0,NI69-CW69*ALW68,NI69-MIN(MIN(CW69*ALW68,JV69+NI69),NI69)),NI69)</f>
        <v>0</v>
      </c>
      <c r="NK69" s="20" t="n">
        <f aca="false">IF(H_Direct=1,IF(CX69&lt;=0,NJ69-CX69*ALX68,NJ69-MIN(MIN(CX69*ALX68,JW69+NJ69),NJ69)),NJ69)</f>
        <v>0</v>
      </c>
      <c r="NL69" s="20" t="n">
        <f aca="false">IF(H_Direct=1,IF(CY69&lt;=0,NK69-CY69*ALY68,NK69-MIN(MIN(CY69*ALY68,JX69+NK69),NK69)),NK69)</f>
        <v>0</v>
      </c>
      <c r="NM69" s="20" t="n">
        <f aca="false">IF(H_Direct=1,IF(CZ69&lt;=0,NL69-CZ69*ALZ68,NL69-MIN(MIN(CZ69*ALZ68,JY69+NL69),NL69)),NL69)</f>
        <v>0</v>
      </c>
      <c r="NN69" s="20" t="n">
        <f aca="false">IF(H_Direct=1,IF(DA69&lt;=0,NM69-DA69*AMA68,NM69-MIN(MIN(DA69*AMA68,JZ69+NM69),NM69)),NM69)</f>
        <v>0</v>
      </c>
      <c r="NO69" s="20" t="n">
        <f aca="false">IF(H_Direct=1,IF(DB69&lt;=0,NN69-DB69*AMB68,NN69-MIN(MIN(DB69*AMB68,KA69+NN69),NN69)),NN69)</f>
        <v>0</v>
      </c>
      <c r="NP69" s="20" t="n">
        <f aca="false">IF(H_Direct=1,IF(DC69&lt;=0,NO69-DC69*AMC68,NO69-MIN(MIN(DC69*AMC68,KB69+NO69),NO69)),NO69)</f>
        <v>0</v>
      </c>
      <c r="NQ69" s="20" t="n">
        <f aca="false">IF(H_Direct=1,IF(DD69&lt;=0,NP69-DD69*AMD68,NP69-MIN(MIN(DD69*AMD68,KC69+NP69),NP69)),NP69)</f>
        <v>0</v>
      </c>
      <c r="NR69" s="20" t="n">
        <f aca="false">IF(H_Direct=1,IF(DE69&lt;=0,NQ69-DE69*AME68,NQ69-MIN(MIN(DE69*AME68,KD69+NQ69),NQ69)),NQ69)</f>
        <v>0</v>
      </c>
      <c r="NS69" s="20" t="n">
        <f aca="false">IF(H_Direct=1,IF(DF69&lt;=0,NR69-DF69*AMF68,NR69-MIN(MIN(DF69*AMF68,KE69+NR69),NR69)),NR69)</f>
        <v>0</v>
      </c>
      <c r="NT69" s="20" t="n">
        <f aca="false">IF(H_Direct=1,IF(DG69&lt;=0,NS69-DG69*AMG68,NS69-MIN(MIN(DG69*AMG68,KF69+NS69),NS69)),NS69)</f>
        <v>0</v>
      </c>
      <c r="NU69" s="20" t="n">
        <f aca="false">IF(H_Direct=1,IF(DH69&lt;=0,NT69-DH69*AMH68,NT69-MIN(MIN(DH69*AMH68,KG69+NT69),NT69)),NT69)</f>
        <v>0</v>
      </c>
      <c r="NV69" s="20" t="n">
        <f aca="false">IF(H_Direct=1,IF(DI69&lt;=0,NU69-DI69*AMI68,NU69-MIN(MIN(DI69*AMI68,KH69+NU69),NU69)),NU69)</f>
        <v>0</v>
      </c>
      <c r="NW69" s="20" t="n">
        <f aca="false">IF(H_Direct=1,IF(DJ69&lt;=0,NV69-DJ69*AMJ68,NV69-MIN(MIN(DJ69*AMJ68,KI69+NV69),NV69)),NV69)</f>
        <v>0</v>
      </c>
      <c r="NX69" s="20" t="n">
        <f aca="false">IF(H_Direct=1,IF(DK69&lt;=0,NW69-DK69*AMK68,NW69-MIN(MIN(DK69*AMK68,KJ69+NW69),NW69)),NW69)</f>
        <v>0</v>
      </c>
      <c r="NY69" s="20" t="n">
        <f aca="false">IF(H_Direct=1,IF(DL69&lt;=0,NX69-DL69*AML68,NX69-MIN(MIN(DL69*AML68,KK69+NX69),NX69)),NX69)</f>
        <v>0</v>
      </c>
      <c r="NZ69" s="20" t="n">
        <f aca="false">IF(H_Direct=1,IF(DM69&lt;=0,NY69-DM69*AMM68,NY69-MIN(MIN(DM69*AMM68,KL69+NY69),NY69)),NY69)</f>
        <v>0</v>
      </c>
      <c r="OA69" s="20" t="n">
        <f aca="false">IF(H_Direct=1,IF(DN69&lt;=0,NZ69-DN69*AMN68,NZ69-MIN(MIN(DN69*AMN68,KM69+NZ69),NZ69)),NZ69)</f>
        <v>0</v>
      </c>
      <c r="OB69" s="20" t="n">
        <f aca="false">IF(H_Direct=1,IF(DO69&lt;=0,OA69-DO69*AMO68,OA69-MIN(MIN(DO69*AMO68,KN69+OA69),OA69)),OA69)</f>
        <v>0</v>
      </c>
      <c r="OC69" s="20" t="n">
        <f aca="false">IF(H_Direct=1,IF(DP69&lt;=0,OB69-DP69*AMP68,OB69-MIN(MIN(DP69*AMP68,KO69+OB69),OB69)),OB69)</f>
        <v>0</v>
      </c>
      <c r="OD69" s="20" t="n">
        <f aca="false">IF(H_Direct=1,IF(DQ69&lt;=0,OC69-DQ69*AMQ68,OC69-MIN(MIN(DQ69*AMQ68,KP69+OC69),OC69)),OC69)</f>
        <v>0</v>
      </c>
      <c r="OE69" s="20" t="n">
        <f aca="false">IF(H_Direct=1,IF(DR69&lt;=0,OD69-DR69*AMR68,OD69-MIN(MIN(DR69*AMR68,KQ69+OD69),OD69)),OD69)</f>
        <v>0</v>
      </c>
      <c r="OF69" s="20" t="n">
        <f aca="false">IF(H_Direct=1,IF(DS69&lt;=0,OE69-DS69*AMS68,OE69-MIN(MIN(DS69*AMS68,KR69+OE69),OE69)),OE69)</f>
        <v>0</v>
      </c>
      <c r="OG69" s="20" t="n">
        <f aca="false">IF(H_Direct=1,IF(DT69&lt;=0,OF69-DT69*AMT68,OF69-MIN(MIN(DT69*AMT68,KS69+OF69),OF69)),OF69)</f>
        <v>0</v>
      </c>
      <c r="OH69" s="20" t="n">
        <f aca="false">IF(H_Direct=1,IF(DU69&lt;=0,OG69-DU69*AMU68,OG69-MIN(MIN(DU69*AMU68,KT69+OG69),OG69)),OG69)</f>
        <v>0</v>
      </c>
      <c r="OI69" s="20" t="n">
        <f aca="false">IF(H_Direct=1,IF(DV69&lt;=0,OH69-DV69*AMV68,OH69-MIN(MIN(DV69*AMV68,KU69+OH69),OH69)),OH69)</f>
        <v>0</v>
      </c>
      <c r="OJ69" s="20" t="n">
        <f aca="false">IF(H_Direct=1,IF(DW69&lt;=0,OI69-DW69*AMW68,OI69-MIN(MIN(DW69*AMW68,KV69+OI69),OI69)),OI69)</f>
        <v>0</v>
      </c>
      <c r="OK69" s="20" t="n">
        <f aca="false">IF(H_Direct=1,IF(DX69&lt;=0,OJ69-DX69*AMX68,OJ69-MIN(MIN(DX69*AMX68,KW69+OJ69),OJ69)),OJ69)</f>
        <v>0</v>
      </c>
      <c r="OL69" s="20" t="n">
        <f aca="false">IF(H_Direct=1,IF(DY69&lt;=0,OK69-DY69*AMY68,OK69-MIN(MIN(DY69*AMY68,KX69+OK69),OK69)),OK69)</f>
        <v>0</v>
      </c>
      <c r="OM69" s="20" t="n">
        <f aca="false">IF(H_Direct=1,IF(DZ69&lt;=0,OL69-DZ69*AMZ68,OL69-MIN(MIN(DZ69*AMZ68,KY69+OL69),OL69)),OL69)</f>
        <v>0</v>
      </c>
      <c r="ON69" s="20" t="n">
        <f aca="false">IF(H_Direct=1,IF(EA69&lt;=0,OM69-EA69*ANA68,OM69-MIN(MIN(EA69*ANA68,KZ69+OM69),OM69)),OM69)</f>
        <v>0</v>
      </c>
      <c r="OO69" s="20" t="n">
        <f aca="false">IF(H_Direct=1,IF(EB69&lt;=0,ON69-EB69*(P69+S69),ON69-MIN(MIN(EB69*(P69+S69),LA69+ON69),ON69)),ON69)</f>
        <v>0</v>
      </c>
      <c r="OP69" s="20" t="n">
        <f aca="false">OO69</f>
        <v>0</v>
      </c>
      <c r="OQ69" s="20" t="n">
        <f aca="false">OP69</f>
        <v>0</v>
      </c>
      <c r="OR69" s="20" t="n">
        <f aca="false">OQ69</f>
        <v>0</v>
      </c>
      <c r="OS69" s="20" t="n">
        <f aca="false">OR69</f>
        <v>0</v>
      </c>
      <c r="OT69" s="20" t="n">
        <f aca="false">OS69</f>
        <v>0</v>
      </c>
      <c r="OU69" s="20" t="n">
        <f aca="false">OT69</f>
        <v>0</v>
      </c>
      <c r="OV69" s="20" t="n">
        <f aca="false">OU69</f>
        <v>0</v>
      </c>
      <c r="OW69" s="20" t="n">
        <f aca="false">OV69</f>
        <v>0</v>
      </c>
      <c r="OX69" s="20" t="n">
        <f aca="false">OW69</f>
        <v>0</v>
      </c>
      <c r="OY69" s="20" t="n">
        <f aca="false">OX69</f>
        <v>0</v>
      </c>
      <c r="OZ69" s="20" t="n">
        <f aca="false">OY69</f>
        <v>0</v>
      </c>
      <c r="PA69" s="20" t="n">
        <f aca="false">OZ69</f>
        <v>0</v>
      </c>
      <c r="PB69" s="20" t="n">
        <f aca="false">PA69</f>
        <v>0</v>
      </c>
      <c r="PC69" s="20" t="n">
        <f aca="false">PB69</f>
        <v>0</v>
      </c>
      <c r="PD69" s="20" t="n">
        <f aca="false">PC69</f>
        <v>0</v>
      </c>
      <c r="PE69" s="20" t="n">
        <f aca="false">PD69</f>
        <v>0</v>
      </c>
      <c r="PF69" s="20" t="n">
        <f aca="false">PE69</f>
        <v>0</v>
      </c>
      <c r="PG69" s="20" t="n">
        <f aca="false">PF69</f>
        <v>0</v>
      </c>
      <c r="PH69" s="20" t="n">
        <f aca="false">PG69</f>
        <v>0</v>
      </c>
      <c r="PI69" s="20" t="n">
        <f aca="false">PH69</f>
        <v>0</v>
      </c>
      <c r="PJ69" s="20" t="n">
        <f aca="false">PI69</f>
        <v>0</v>
      </c>
      <c r="PK69" s="20" t="n">
        <f aca="false">PJ69</f>
        <v>0</v>
      </c>
      <c r="PL69" s="20" t="n">
        <f aca="false">PK69</f>
        <v>0</v>
      </c>
      <c r="PM69" s="20" t="n">
        <f aca="false">PL69</f>
        <v>0</v>
      </c>
      <c r="PN69" s="20" t="n">
        <f aca="false">PM69</f>
        <v>0</v>
      </c>
      <c r="PO69" s="20" t="n">
        <f aca="false">PN69</f>
        <v>0</v>
      </c>
      <c r="PP69" s="20" t="n">
        <f aca="false">PO69</f>
        <v>0</v>
      </c>
      <c r="PQ69" s="20" t="n">
        <f aca="false">PP69</f>
        <v>0</v>
      </c>
      <c r="PR69" s="20" t="n">
        <f aca="false">IF(H_Direct=1,IF(AKR68&lt;=0,0,IF(BR69&lt;=0,MIN(MAX(0,AB69),AKR68),MIN(MAX(0,AB69),AKR68-G69*MAX(0,BR69*AKR68-(H69+I69))))),MIN(FE69,MAX(0,AB69)))</f>
        <v>0</v>
      </c>
      <c r="PS69" s="20" t="n">
        <f aca="false">IF(H_Direct=1,IF(AKS68&lt;=0,0,IF(BS69&lt;=0,MIN(MAX(0,AB69-SUM(PR69:PR69)),AKS68),MIN(MAX(0,AB69-SUM(PR69:PR69)),AKS68-G69*MAX(0,BS69*AKS68-(WR69+AAE69))))),MIN(FF69,MAX(0,AB69-SUM(PR69:PR69))))</f>
        <v>0</v>
      </c>
      <c r="PT69" s="20" t="n">
        <f aca="false">IF(H_Direct=1,IF(AKT68&lt;=0,0,IF(BT69&lt;=0,MIN(MAX(0,AB69-SUM(PR69:PS69)),AKT68),MIN(MAX(0,AB69-SUM(PR69:PS69)),AKT68-G69*MAX(0,BT69*AKT68-(WS69+AAF69))))),MIN(FG69,MAX(0,AB69-SUM(PR69:PS69))))</f>
        <v>0</v>
      </c>
      <c r="PU69" s="20" t="n">
        <f aca="false">IF(H_Direct=1,IF(AKU68&lt;=0,0,IF(BU69&lt;=0,MIN(MAX(0,AB69-SUM(PR69:PT69)),AKU68),MIN(MAX(0,AB69-SUM(PR69:PT69)),AKU68-G69*MAX(0,BU69*AKU68-(WT69+AAG69))))),MIN(FH69,MAX(0,AB69-SUM(PR69:PT69))))</f>
        <v>0</v>
      </c>
      <c r="PV69" s="20" t="n">
        <f aca="false">IF(H_Direct=1,IF(AKV68&lt;=0,0,IF(BV69&lt;=0,MIN(MAX(0,AB69-SUM(PR69:PU69)),AKV68),MIN(MAX(0,AB69-SUM(PR69:PU69)),AKV68-G69*MAX(0,BV69*AKV68-(WU69+AAH69))))),MIN(FI69,MAX(0,AB69-SUM(PR69:PU69))))</f>
        <v>0</v>
      </c>
      <c r="PW69" s="20" t="n">
        <f aca="false">IF(H_Direct=1,IF(AKW68&lt;=0,0,IF(BW69&lt;=0,MIN(MAX(0,AB69-SUM(PR69:PV69)),AKW68),MIN(MAX(0,AB69-SUM(PR69:PV69)),AKW68-G69*MAX(0,BW69*AKW68-(WV69+AAI69))))),MIN(FJ69,MAX(0,AB69-SUM(PR69:PV69))))</f>
        <v>0</v>
      </c>
      <c r="PX69" s="20" t="n">
        <f aca="false">IF(H_Direct=1,IF(AKX68&lt;=0,0,IF(BX69&lt;=0,MIN(MAX(0,AB69-SUM(PR69:PW69)),AKX68),MIN(MAX(0,AB69-SUM(PR69:PW69)),AKX68-G69*MAX(0,BX69*AKX68-(WW69+AAJ69))))),MIN(FK69,MAX(0,AB69-SUM(PR69:PW69))))</f>
        <v>0</v>
      </c>
      <c r="PY69" s="20" t="n">
        <f aca="false">IF(H_Direct=1,IF(AKY68&lt;=0,0,IF(BY69&lt;=0,MIN(MAX(0,AB69-SUM(PR69:PX69)),AKY68),MIN(MAX(0,AB69-SUM(PR69:PX69)),AKY68-G69*MAX(0,BY69*AKY68-(WX69+AAK69))))),MIN(FL69,MAX(0,AB69-SUM(PR69:PX69))))</f>
        <v>0</v>
      </c>
      <c r="PZ69" s="20" t="n">
        <f aca="false">IF(H_Direct=1,IF(AKZ68&lt;=0,0,IF(BZ69&lt;=0,MIN(MAX(0,AB69-SUM(PR69:PY69)),AKZ68),MIN(MAX(0,AB69-SUM(PR69:PY69)),AKZ68-G69*MAX(0,BZ69*AKZ68-(WY69+AAL69))))),MIN(FM69,MAX(0,AB69-SUM(PR69:PY69))))</f>
        <v>0</v>
      </c>
      <c r="QA69" s="20" t="n">
        <f aca="false">IF(H_Direct=1,IF(ALA68&lt;=0,0,IF(CA69&lt;=0,MIN(MAX(0,AB69-SUM(PR69:PZ69)),ALA68),MIN(MAX(0,AB69-SUM(PR69:PZ69)),ALA68-G69*MAX(0,CA69*ALA68-(WZ69+AAM69))))),MIN(FN69,MAX(0,AB69-SUM(PR69:PZ69))))</f>
        <v>0</v>
      </c>
      <c r="QB69" s="20" t="n">
        <f aca="false">IF(H_Direct=1,IF(ALB68&lt;=0,0,IF(CB69&lt;=0,MIN(MAX(0,AB69-SUM(PR69:QA69)),ALB68),MIN(MAX(0,AB69-SUM(PR69:QA69)),ALB68-G69*MAX(0,CB69*ALB68-(XA69+AAN69))))),MIN(FO69,MAX(0,AB69-SUM(PR69:QA69))))</f>
        <v>0</v>
      </c>
      <c r="QC69" s="20" t="n">
        <f aca="false">IF(H_Direct=1,IF(ALC68&lt;=0,0,IF(CC69&lt;=0,MIN(MAX(0,AB69-SUM(PR69:QB69)),ALC68),MIN(MAX(0,AB69-SUM(PR69:QB69)),ALC68-G69*MAX(0,CC69*ALC68-(XB69+AAO69))))),MIN(FP69,MAX(0,AB69-SUM(PR69:QB69))))</f>
        <v>0</v>
      </c>
      <c r="QD69" s="20" t="n">
        <f aca="false">IF(H_Direct=1,IF(ALD68&lt;=0,0,IF(CD69&lt;=0,MIN(MAX(0,AB69-SUM(PR69:QC69)),ALD68),MIN(MAX(0,AB69-SUM(PR69:QC69)),ALD68-G69*MAX(0,CD69*ALD68-(XC69+AAP69))))),MIN(FQ69,MAX(0,AB69-SUM(PR69:QC69))))</f>
        <v>0</v>
      </c>
      <c r="QE69" s="20" t="n">
        <f aca="false">IF(H_Direct=1,IF(ALE68&lt;=0,0,IF(CE69&lt;=0,MIN(MAX(0,AB69-SUM(PR69:QD69)),ALE68),MIN(MAX(0,AB69-SUM(PR69:QD69)),ALE68-G69*MAX(0,CE69*ALE68-(XD69+AAQ69))))),MIN(FR69,MAX(0,AB69-SUM(PR69:QD69))))</f>
        <v>0</v>
      </c>
      <c r="QF69" s="20" t="n">
        <f aca="false">IF(H_Direct=1,IF(ALF68&lt;=0,0,IF(CF69&lt;=0,MIN(MAX(0,AB69-SUM(PR69:QE69)),ALF68),MIN(MAX(0,AB69-SUM(PR69:QE69)),ALF68-G69*MAX(0,CF69*ALF68-(XE69+AAR69))))),MIN(FS69,MAX(0,AB69-SUM(PR69:QE69))))</f>
        <v>0</v>
      </c>
      <c r="QG69" s="20" t="n">
        <f aca="false">IF(H_Direct=1,IF(ALG68&lt;=0,0,IF(CG69&lt;=0,MIN(MAX(0,AB69-SUM(PR69:QF69)),ALG68),MIN(MAX(0,AB69-SUM(PR69:QF69)),ALG68-G69*MAX(0,CG69*ALG68-(XF69+AAS69))))),MIN(FT69,MAX(0,AB69-SUM(PR69:QF69))))</f>
        <v>0</v>
      </c>
      <c r="QH69" s="20" t="n">
        <f aca="false">IF(H_Direct=1,IF(ALH68&lt;=0,0,IF(CH69&lt;=0,MIN(MAX(0,AB69-SUM(PR69:QG69)),ALH68),MIN(MAX(0,AB69-SUM(PR69:QG69)),ALH68-G69*MAX(0,CH69*ALH68-(XG69+AAT69))))),MIN(FU69,MAX(0,AB69-SUM(PR69:QG69))))</f>
        <v>0</v>
      </c>
      <c r="QI69" s="20" t="n">
        <f aca="false">IF(H_Direct=1,IF(ALI68&lt;=0,0,IF(CI69&lt;=0,MIN(MAX(0,AB69-SUM(PR69:QH69)),ALI68),MIN(MAX(0,AB69-SUM(PR69:QH69)),ALI68-G69*MAX(0,CI69*ALI68-(XH69+AAU69))))),MIN(FV69,MAX(0,AB69-SUM(PR69:QH69))))</f>
        <v>0</v>
      </c>
      <c r="QJ69" s="20" t="n">
        <f aca="false">IF(H_Direct=1,IF(ALJ68&lt;=0,0,IF(CJ69&lt;=0,MIN(MAX(0,AB69-SUM(PR69:QI69)),ALJ68),MIN(MAX(0,AB69-SUM(PR69:QI69)),ALJ68-G69*MAX(0,CJ69*ALJ68-(XI69+AAV69))))),MIN(FW69,MAX(0,AB69-SUM(PR69:QI69))))</f>
        <v>0</v>
      </c>
      <c r="QK69" s="20" t="n">
        <f aca="false">IF(H_Direct=1,IF(ALK68&lt;=0,0,IF(CK69&lt;=0,MIN(MAX(0,AB69-SUM(PR69:QJ69)),ALK68),MIN(MAX(0,AB69-SUM(PR69:QJ69)),ALK68-G69*MAX(0,CK69*ALK68-(XJ69+AAW69))))),MIN(FX69,MAX(0,AB69-SUM(PR69:QJ69))))</f>
        <v>0</v>
      </c>
      <c r="QL69" s="20" t="n">
        <f aca="false">IF(H_Direct=1,IF(ALL68&lt;=0,0,IF(CL69&lt;=0,MIN(MAX(0,AB69-SUM(PR69:QK69)),ALL68),MIN(MAX(0,AB69-SUM(PR69:QK69)),ALL68-G69*MAX(0,CL69*ALL68-(XK69+AAX69))))),MIN(FY69,MAX(0,AB69-SUM(PR69:QK69))))</f>
        <v>0</v>
      </c>
      <c r="QM69" s="20" t="n">
        <f aca="false">IF(H_Direct=1,IF(ALM68&lt;=0,0,IF(CM69&lt;=0,MIN(MAX(0,AB69-SUM(PR69:QL69)),ALM68),MIN(MAX(0,AB69-SUM(PR69:QL69)),ALM68-G69*MAX(0,CM69*ALM68-(XL69+AAY69))))),MIN(FZ69,MAX(0,AB69-SUM(PR69:QL69))))</f>
        <v>0</v>
      </c>
      <c r="QN69" s="20" t="n">
        <f aca="false">IF(H_Direct=1,IF(ALN68&lt;=0,0,IF(CN69&lt;=0,MIN(MAX(0,AB69-SUM(PR69:QM69)),ALN68),MIN(MAX(0,AB69-SUM(PR69:QM69)),ALN68-G69*MAX(0,CN69*ALN68-(XM69+AAZ69))))),MIN(GA69,MAX(0,AB69-SUM(PR69:QM69))))</f>
        <v>0</v>
      </c>
      <c r="QO69" s="20" t="n">
        <f aca="false">IF(H_Direct=1,IF(ALO68&lt;=0,0,IF(CO69&lt;=0,MIN(MAX(0,AB69-SUM(PR69:QN69)),ALO68),MIN(MAX(0,AB69-SUM(PR69:QN69)),ALO68-G69*MAX(0,CO69*ALO68-(XN69+ABA69))))),MIN(GB69,MAX(0,AB69-SUM(PR69:QN69))))</f>
        <v>0</v>
      </c>
      <c r="QP69" s="20" t="n">
        <f aca="false">IF(H_Direct=1,IF(ALP68&lt;=0,0,IF(CP69&lt;=0,MIN(MAX(0,AB69-SUM(PR69:QO69)),ALP68),MIN(MAX(0,AB69-SUM(PR69:QO69)),ALP68-G69*MAX(0,CP69*ALP68-(XO69+ABB69))))),MIN(GC69,MAX(0,AB69-SUM(PR69:QO69))))</f>
        <v>0</v>
      </c>
      <c r="QQ69" s="20" t="n">
        <f aca="false">IF(H_Direct=1,IF(ALQ68&lt;=0,0,IF(CQ69&lt;=0,MIN(MAX(0,AB69-SUM(PR69:QP69)),ALQ68),MIN(MAX(0,AB69-SUM(PR69:QP69)),ALQ68-G69*MAX(0,CQ69*ALQ68-(XP69+ABC69))))),MIN(GD69,MAX(0,AB69-SUM(PR69:QP69))))</f>
        <v>0</v>
      </c>
      <c r="QR69" s="20" t="n">
        <f aca="false">IF(H_Direct=1,IF(ALR68&lt;=0,0,IF(CR69&lt;=0,MIN(MAX(0,AB69-SUM(PR69:QQ69)),ALR68),MIN(MAX(0,AB69-SUM(PR69:QQ69)),ALR68-G69*MAX(0,CR69*ALR68-(XQ69+ABD69))))),MIN(GE69,MAX(0,AB69-SUM(PR69:QQ69))))</f>
        <v>0</v>
      </c>
      <c r="QS69" s="20" t="n">
        <f aca="false">IF(H_Direct=1,IF(ALS68&lt;=0,0,IF(CS69&lt;=0,MIN(MAX(0,AB69-SUM(PR69:QR69)),ALS68),MIN(MAX(0,AB69-SUM(PR69:QR69)),ALS68-G69*MAX(0,CS69*ALS68-(XR69+ABE69))))),MIN(GF69,MAX(0,AB69-SUM(PR69:QR69))))</f>
        <v>0</v>
      </c>
      <c r="QT69" s="20" t="n">
        <f aca="false">IF(H_Direct=1,IF(ALT68&lt;=0,0,IF(CT69&lt;=0,MIN(MAX(0,AB69-SUM(PR69:QS69)),ALT68),MIN(MAX(0,AB69-SUM(PR69:QS69)),ALT68-G69*MAX(0,CT69*ALT68-(XS69+ABF69))))),MIN(GG69,MAX(0,AB69-SUM(PR69:QS69))))</f>
        <v>0</v>
      </c>
      <c r="QU69" s="20" t="n">
        <f aca="false">IF(H_Direct=1,IF(ALU68&lt;=0,0,IF(CU69&lt;=0,MIN(MAX(0,AB69-SUM(PR69:QT69)),ALU68),MIN(MAX(0,AB69-SUM(PR69:QT69)),ALU68-G69*MAX(0,CU69*ALU68-(XT69+ABG69))))),MIN(GH69,MAX(0,AB69-SUM(PR69:QT69))))</f>
        <v>0</v>
      </c>
      <c r="QV69" s="20" t="n">
        <f aca="false">IF(H_Direct=1,IF(ALV68&lt;=0,0,IF(CV69&lt;=0,MIN(MAX(0,AB69-SUM(PR69:QU69)),ALV68),MIN(MAX(0,AB69-SUM(PR69:QU69)),ALV68-G69*MAX(0,CV69*ALV68-(XU69+ABH69))))),MIN(GI69,MAX(0,AB69-SUM(PR69:QU69))))</f>
        <v>0</v>
      </c>
      <c r="QW69" s="20" t="n">
        <f aca="false">IF(H_Direct=1,IF(ALW68&lt;=0,0,IF(CW69&lt;=0,MIN(MAX(0,AB69-SUM(PR69:QV69)),ALW68),MIN(MAX(0,AB69-SUM(PR69:QV69)),ALW68-G69*MAX(0,CW69*ALW68-(XV69+ABI69))))),MIN(GJ69,MAX(0,AB69-SUM(PR69:QV69))))</f>
        <v>0</v>
      </c>
      <c r="QX69" s="20" t="n">
        <f aca="false">IF(H_Direct=1,IF(ALX68&lt;=0,0,IF(CX69&lt;=0,MIN(MAX(0,AB69-SUM(PR69:QW69)),ALX68),MIN(MAX(0,AB69-SUM(PR69:QW69)),ALX68-G69*MAX(0,CX69*ALX68-(XW69+ABJ69))))),MIN(GK69,MAX(0,AB69-SUM(PR69:QW69))))</f>
        <v>0</v>
      </c>
      <c r="QY69" s="20" t="n">
        <f aca="false">IF(H_Direct=1,IF(ALY68&lt;=0,0,IF(CY69&lt;=0,MIN(MAX(0,AB69-SUM(PR69:QX69)),ALY68),MIN(MAX(0,AB69-SUM(PR69:QX69)),ALY68-G69*MAX(0,CY69*ALY68-(XX69+ABK69))))),MIN(GL69,MAX(0,AB69-SUM(PR69:QX69))))</f>
        <v>0</v>
      </c>
      <c r="QZ69" s="20" t="n">
        <f aca="false">IF(H_Direct=1,IF(ALZ68&lt;=0,0,IF(CZ69&lt;=0,MIN(MAX(0,AB69-SUM(PR69:QY69)),ALZ68),MIN(MAX(0,AB69-SUM(PR69:QY69)),ALZ68-G69*MAX(0,CZ69*ALZ68-(XY69+ABL69))))),MIN(GM69,MAX(0,AB69-SUM(PR69:QY69))))</f>
        <v>0</v>
      </c>
      <c r="RA69" s="20" t="n">
        <f aca="false">IF(H_Direct=1,IF(AMA68&lt;=0,0,IF(DA69&lt;=0,MIN(MAX(0,AB69-SUM(PR69:QZ69)),AMA68),MIN(MAX(0,AB69-SUM(PR69:QZ69)),AMA68-G69*MAX(0,DA69*AMA68-(XZ69+ABM69))))),MIN(GN69,MAX(0,AB69-SUM(PR69:QZ69))))</f>
        <v>0</v>
      </c>
      <c r="RB69" s="20" t="n">
        <f aca="false">IF(H_Direct=1,IF(AMB68&lt;=0,0,IF(DB69&lt;=0,MIN(MAX(0,AB69-SUM(PR69:RA69)),AMB68),MIN(MAX(0,AB69-SUM(PR69:RA69)),AMB68-G69*MAX(0,DB69*AMB68-(YA69+ABN69))))),MIN(GO69,MAX(0,AB69-SUM(PR69:RA69))))</f>
        <v>0</v>
      </c>
      <c r="RC69" s="20" t="n">
        <f aca="false">IF(H_Direct=1,IF(AMC68&lt;=0,0,IF(DC69&lt;=0,MIN(MAX(0,AB69-SUM(PR69:RB69)),AMC68),MIN(MAX(0,AB69-SUM(PR69:RB69)),AMC68-G69*MAX(0,DC69*AMC68-(YB69+ABO69))))),MIN(GP69,MAX(0,AB69-SUM(PR69:RB69))))</f>
        <v>0</v>
      </c>
      <c r="RD69" s="20" t="n">
        <f aca="false">IF(H_Direct=1,IF(AMD68&lt;=0,0,IF(DD69&lt;=0,MIN(MAX(0,AB69-SUM(PR69:RC69)),AMD68),MIN(MAX(0,AB69-SUM(PR69:RC69)),AMD68-G69*MAX(0,DD69*AMD68-(YC69+ABP69))))),MIN(GQ69,MAX(0,AB69-SUM(PR69:RC69))))</f>
        <v>0</v>
      </c>
      <c r="RE69" s="20" t="n">
        <f aca="false">IF(H_Direct=1,IF(AME68&lt;=0,0,IF(DE69&lt;=0,MIN(MAX(0,AB69-SUM(PR69:RD69)),AME68),MIN(MAX(0,AB69-SUM(PR69:RD69)),AME68-G69*MAX(0,DE69*AME68-(YD69+ABQ69))))),MIN(GR69,MAX(0,AB69-SUM(PR69:RD69))))</f>
        <v>0</v>
      </c>
      <c r="RF69" s="20" t="n">
        <f aca="false">IF(H_Direct=1,IF(AMF68&lt;=0,0,IF(DF69&lt;=0,MIN(MAX(0,AB69-SUM(PR69:RE69)),AMF68),MIN(MAX(0,AB69-SUM(PR69:RE69)),AMF68-G69*MAX(0,DF69*AMF68-(YE69+ABR69))))),MIN(GS69,MAX(0,AB69-SUM(PR69:RE69))))</f>
        <v>0</v>
      </c>
      <c r="RG69" s="20" t="n">
        <f aca="false">IF(H_Direct=1,IF(AMG68&lt;=0,0,IF(DG69&lt;=0,MIN(MAX(0,AB69-SUM(PR69:RF69)),AMG68),MIN(MAX(0,AB69-SUM(PR69:RF69)),AMG68-G69*MAX(0,DG69*AMG68-(YF69+ABS69))))),MIN(GT69,MAX(0,AB69-SUM(PR69:RF69))))</f>
        <v>0</v>
      </c>
      <c r="RH69" s="20" t="n">
        <f aca="false">IF(H_Direct=1,IF(AMH68&lt;=0,0,IF(DH69&lt;=0,MIN(MAX(0,AB69-SUM(PR69:RG69)),AMH68),MIN(MAX(0,AB69-SUM(PR69:RG69)),AMH68-G69*MAX(0,DH69*AMH68-(YG69+ABT69))))),MIN(GU69,MAX(0,AB69-SUM(PR69:RG69))))</f>
        <v>0</v>
      </c>
      <c r="RI69" s="20" t="n">
        <f aca="false">IF(H_Direct=1,IF(AMI68&lt;=0,0,IF(DI69&lt;=0,MIN(MAX(0,AB69-SUM(PR69:RH69)),AMI68),MIN(MAX(0,AB69-SUM(PR69:RH69)),AMI68-G69*MAX(0,DI69*AMI68-(YH69+ABU69))))),MIN(GV69,MAX(0,AB69-SUM(PR69:RH69))))</f>
        <v>0</v>
      </c>
      <c r="RJ69" s="20" t="n">
        <f aca="false">IF(H_Direct=1,IF(AMJ68&lt;=0,0,IF(DJ69&lt;=0,MIN(MAX(0,AB69-SUM(PR69:RI69)),AMJ68),MIN(MAX(0,AB69-SUM(PR69:RI69)),AMJ68-G69*MAX(0,DJ69*AMJ68-(YI69+ABV69))))),MIN(GW69,MAX(0,AB69-SUM(PR69:RI69))))</f>
        <v>0</v>
      </c>
      <c r="RK69" s="20" t="n">
        <f aca="false">IF(H_Direct=1,IF(AMK68&lt;=0,0,IF(DK69&lt;=0,MIN(MAX(0,AB69-SUM(PR69:RJ69)),AMK68),MIN(MAX(0,AB69-SUM(PR69:RJ69)),AMK68-G69*MAX(0,DK69*AMK68-(YJ69+ABW69))))),MIN(GX69,MAX(0,AB69-SUM(PR69:RJ69))))</f>
        <v>0</v>
      </c>
      <c r="RL69" s="20" t="n">
        <f aca="false">IF(H_Direct=1,IF(AML68&lt;=0,0,IF(DL69&lt;=0,MIN(MAX(0,AB69-SUM(PR69:RK69)),AML68),MIN(MAX(0,AB69-SUM(PR69:RK69)),AML68-G69*MAX(0,DL69*AML68-(YK69+ABX69))))),MIN(GY69,MAX(0,AB69-SUM(PR69:RK69))))</f>
        <v>0</v>
      </c>
      <c r="RM69" s="20" t="n">
        <f aca="false">IF(H_Direct=1,IF(AMM68&lt;=0,0,IF(DM69&lt;=0,MIN(MAX(0,AB69-SUM(PR69:RL69)),AMM68),MIN(MAX(0,AB69-SUM(PR69:RL69)),AMM68-G69*MAX(0,DM69*AMM68-(YL69+ABY69))))),MIN(GZ69,MAX(0,AB69-SUM(PR69:RL69))))</f>
        <v>0</v>
      </c>
      <c r="RN69" s="20" t="n">
        <f aca="false">IF(H_Direct=1,IF(AMN68&lt;=0,0,IF(DN69&lt;=0,MIN(MAX(0,AB69-SUM(PR69:RM69)),AMN68),MIN(MAX(0,AB69-SUM(PR69:RM69)),AMN68-G69*MAX(0,DN69*AMN68-(YM69+ABZ69))))),MIN(HA69,MAX(0,AB69-SUM(PR69:RM69))))</f>
        <v>0</v>
      </c>
      <c r="RO69" s="20" t="n">
        <f aca="false">IF(H_Direct=1,IF(AMO68&lt;=0,0,IF(DO69&lt;=0,MIN(MAX(0,AB69-SUM(PR69:RN69)),AMO68),MIN(MAX(0,AB69-SUM(PR69:RN69)),AMO68-G69*MAX(0,DO69*AMO68-(YN69+ACA69))))),MIN(HB69,MAX(0,AB69-SUM(PR69:RN69))))</f>
        <v>0</v>
      </c>
      <c r="RP69" s="20" t="n">
        <f aca="false">IF(H_Direct=1,IF(AMP68&lt;=0,0,IF(DP69&lt;=0,MIN(MAX(0,AB69-SUM(PR69:RO69)),AMP68),MIN(MAX(0,AB69-SUM(PR69:RO69)),AMP68-G69*MAX(0,DP69*AMP68-(YO69+ACB69))))),MIN(HC69,MAX(0,AB69-SUM(PR69:RO69))))</f>
        <v>0</v>
      </c>
      <c r="RQ69" s="20" t="n">
        <f aca="false">IF(H_Direct=1,IF(AMQ68&lt;=0,0,IF(DQ69&lt;=0,MIN(MAX(0,AB69-SUM(PR69:RP69)),AMQ68),MIN(MAX(0,AB69-SUM(PR69:RP69)),AMQ68-G69*MAX(0,DQ69*AMQ68-(YP69+ACC69))))),MIN(HD69,MAX(0,AB69-SUM(PR69:RP69))))</f>
        <v>0</v>
      </c>
      <c r="RR69" s="20" t="n">
        <f aca="false">IF(H_Direct=1,IF(AMR68&lt;=0,0,IF(DR69&lt;=0,MIN(MAX(0,AB69-SUM(PR69:RQ69)),AMR68),MIN(MAX(0,AB69-SUM(PR69:RQ69)),AMR68-G69*MAX(0,DR69*AMR68-(YQ69+ACD69))))),MIN(HE69,MAX(0,AB69-SUM(PR69:RQ69))))</f>
        <v>0</v>
      </c>
      <c r="RS69" s="20" t="n">
        <f aca="false">IF(H_Direct=1,IF(AMS68&lt;=0,0,IF(DS69&lt;=0,MIN(MAX(0,AB69-SUM(PR69:RR69)),AMS68),MIN(MAX(0,AB69-SUM(PR69:RR69)),AMS68-G69*MAX(0,DS69*AMS68-(YR69+ACE69))))),MIN(HF69,MAX(0,AB69-SUM(PR69:RR69))))</f>
        <v>0</v>
      </c>
      <c r="RT69" s="20" t="n">
        <f aca="false">IF(H_Direct=1,IF(AMT68&lt;=0,0,IF(DT69&lt;=0,MIN(MAX(0,AB69-SUM(PR69:RS69)),AMT68),MIN(MAX(0,AB69-SUM(PR69:RS69)),AMT68-G69*MAX(0,DT69*AMT68-(YS69+ACF69))))),MIN(HG69,MAX(0,AB69-SUM(PR69:RS69))))</f>
        <v>0</v>
      </c>
      <c r="RU69" s="20" t="n">
        <f aca="false">IF(H_Direct=1,IF(AMU68&lt;=0,0,IF(DU69&lt;=0,MIN(MAX(0,AB69-SUM(PR69:RT69)),AMU68),MIN(MAX(0,AB69-SUM(PR69:RT69)),AMU68-G69*MAX(0,DU69*AMU68-(YT69+ACG69))))),MIN(HH69,MAX(0,AB69-SUM(PR69:RT69))))</f>
        <v>0</v>
      </c>
      <c r="RV69" s="20" t="n">
        <f aca="false">IF(H_Direct=1,IF(AMV68&lt;=0,0,IF(DV69&lt;=0,MIN(MAX(0,AB69-SUM(PR69:RU69)),AMV68),MIN(MAX(0,AB69-SUM(PR69:RU69)),AMV68-G69*MAX(0,DV69*AMV68-(YU69+ACH69))))),MIN(HI69,MAX(0,AB69-SUM(PR69:RU69))))</f>
        <v>0</v>
      </c>
      <c r="RW69" s="20" t="n">
        <f aca="false">IF(H_Direct=1,IF(AMW68&lt;=0,0,IF(DW69&lt;=0,MIN(MAX(0,AB69-SUM(PR69:RV69)),AMW68),MIN(MAX(0,AB69-SUM(PR69:RV69)),AMW68-G69*MAX(0,DW69*AMW68-(YV69+ACI69))))),MIN(HJ69,MAX(0,AB69-SUM(PR69:RV69))))</f>
        <v>0</v>
      </c>
      <c r="RX69" s="20" t="n">
        <f aca="false">IF(H_Direct=1,IF(AMX68&lt;=0,0,IF(DX69&lt;=0,MIN(MAX(0,AB69-SUM(PR69:RW69)),AMX68),MIN(MAX(0,AB69-SUM(PR69:RW69)),AMX68-G69*MAX(0,DX69*AMX68-(YW69+ACJ69))))),MIN(HK69,MAX(0,AB69-SUM(PR69:RW69))))</f>
        <v>0</v>
      </c>
      <c r="RY69" s="20" t="n">
        <f aca="false">IF(H_Direct=1,IF(AMY68&lt;=0,0,IF(DY69&lt;=0,MIN(MAX(0,AB69-SUM(PR69:RX69)),AMY68),MIN(MAX(0,AB69-SUM(PR69:RX69)),AMY68-G69*MAX(0,DY69*AMY68-(YX69+ACK69))))),MIN(HL69,MAX(0,AB69-SUM(PR69:RX69))))</f>
        <v>0</v>
      </c>
      <c r="RZ69" s="20" t="n">
        <f aca="false">IF(H_Direct=1,IF(AMZ68&lt;=0,0,IF(DZ69&lt;=0,MIN(MAX(0,AB69-SUM(PR69:RY69)),AMZ68),MIN(MAX(0,AB69-SUM(PR69:RY69)),AMZ68-G69*MAX(0,DZ69*AMZ68-(YY69+ACL69))))),MIN(HM69,MAX(0,AB69-SUM(PR69:RY69))))</f>
        <v>0</v>
      </c>
      <c r="SA69" s="20" t="n">
        <f aca="false">IF(H_Direct=1,IF(ANA68&lt;=0,0,IF(EA69&lt;=0,MIN(MAX(0,AB69-SUM(PR69:RZ69)),ANA68),MIN(MAX(0,AB69-SUM(PR69:RZ69)),ANA68-G69*MAX(0,EA69*ANA68-(YZ69+ACM69))))),MIN(HN69,MAX(0,AB69-SUM(PR69:RZ69))))</f>
        <v>0</v>
      </c>
      <c r="SB69" s="20" t="n">
        <f aca="false">IF(H_Direct=1,IF((P69+S69)&lt;=0,0,IF(EB69&lt;=0,MIN(MAX(0,AB69-SUM(PR69:SA69)),(P69+S69)),MIN(MAX(0,AB69-SUM(PR69:SA69)),(P69+S69)-G69*MAX(0,EB69*(P69+S69)-(ZA69+ACN69))))),MIN(HO69,MAX(0,AB69-SUM(PR69:SA69))))</f>
        <v>0</v>
      </c>
      <c r="SC69" s="20" t="n">
        <v>0</v>
      </c>
      <c r="SD69" s="20" t="n">
        <v>0</v>
      </c>
      <c r="SE69" s="20" t="n">
        <v>0</v>
      </c>
      <c r="SF69" s="20" t="n">
        <v>0</v>
      </c>
      <c r="SG69" s="20" t="n">
        <v>0</v>
      </c>
      <c r="SH69" s="20" t="n">
        <v>0</v>
      </c>
      <c r="SI69" s="20" t="n">
        <v>0</v>
      </c>
      <c r="SJ69" s="20" t="n">
        <v>0</v>
      </c>
      <c r="SK69" s="20" t="n">
        <v>0</v>
      </c>
      <c r="SL69" s="20" t="n">
        <v>0</v>
      </c>
      <c r="SM69" s="20" t="n">
        <v>0</v>
      </c>
      <c r="SN69" s="20" t="n">
        <v>0</v>
      </c>
      <c r="SO69" s="20" t="n">
        <v>0</v>
      </c>
      <c r="SP69" s="20" t="n">
        <v>0</v>
      </c>
      <c r="SQ69" s="20" t="n">
        <v>0</v>
      </c>
      <c r="SR69" s="20" t="n">
        <v>0</v>
      </c>
      <c r="SS69" s="20" t="n">
        <v>0</v>
      </c>
      <c r="ST69" s="20" t="n">
        <v>0</v>
      </c>
      <c r="SU69" s="20" t="n">
        <v>0</v>
      </c>
      <c r="SV69" s="20" t="n">
        <v>0</v>
      </c>
      <c r="SW69" s="20" t="n">
        <v>0</v>
      </c>
      <c r="SX69" s="20" t="n">
        <v>0</v>
      </c>
      <c r="SY69" s="20" t="n">
        <v>0</v>
      </c>
      <c r="SZ69" s="20" t="n">
        <v>0</v>
      </c>
      <c r="TA69" s="20" t="n">
        <v>0</v>
      </c>
      <c r="TB69" s="20" t="n">
        <v>0</v>
      </c>
      <c r="TC69" s="20" t="n">
        <v>0</v>
      </c>
      <c r="TD69" s="20" t="n">
        <v>0</v>
      </c>
      <c r="TE69" s="20" t="n">
        <f aca="false">IF(AKR68&lt;=0,0,IF(H_Direct=1,IF(BR69&lt;=0,PR69,IF(PR69&lt;=(H69+I69)/BR69,PR69,(PR69-G69*(H69+I69))/(1-G69*BR69))),PR69/(1-MAX(0,BR69)*H_Exit)))</f>
        <v>0</v>
      </c>
      <c r="TF69" s="20" t="n">
        <f aca="false">IF(AKS68&lt;=0,0,IF(H_Direct=1,IF(BS69&lt;=0,PS69,IF(PS69&lt;=(WR69+AAE69)/BS69,PS69,(PS69-G69*(WR69+AAE69))/(1-G69*BS69))),PS69/(1-MAX(0,BS69)*H_Exit)))</f>
        <v>0</v>
      </c>
      <c r="TG69" s="20" t="n">
        <f aca="false">IF(AKT68&lt;=0,0,IF(H_Direct=1,IF(BT69&lt;=0,PT69,IF(PT69&lt;=(WS69+AAF69)/BT69,PT69,(PT69-G69*(WS69+AAF69))/(1-G69*BT69))),PT69/(1-MAX(0,BT69)*H_Exit)))</f>
        <v>0</v>
      </c>
      <c r="TH69" s="20" t="n">
        <f aca="false">IF(AKU68&lt;=0,0,IF(H_Direct=1,IF(BU69&lt;=0,PU69,IF(PU69&lt;=(WT69+AAG69)/BU69,PU69,(PU69-G69*(WT69+AAG69))/(1-G69*BU69))),PU69/(1-MAX(0,BU69)*H_Exit)))</f>
        <v>0</v>
      </c>
      <c r="TI69" s="20" t="n">
        <f aca="false">IF(AKV68&lt;=0,0,IF(H_Direct=1,IF(BV69&lt;=0,PV69,IF(PV69&lt;=(WU69+AAH69)/BV69,PV69,(PV69-G69*(WU69+AAH69))/(1-G69*BV69))),PV69/(1-MAX(0,BV69)*H_Exit)))</f>
        <v>0</v>
      </c>
      <c r="TJ69" s="20" t="n">
        <f aca="false">IF(AKW68&lt;=0,0,IF(H_Direct=1,IF(BW69&lt;=0,PW69,IF(PW69&lt;=(WV69+AAI69)/BW69,PW69,(PW69-G69*(WV69+AAI69))/(1-G69*BW69))),PW69/(1-MAX(0,BW69)*H_Exit)))</f>
        <v>0</v>
      </c>
      <c r="TK69" s="20" t="n">
        <f aca="false">IF(AKX68&lt;=0,0,IF(H_Direct=1,IF(BX69&lt;=0,PX69,IF(PX69&lt;=(WW69+AAJ69)/BX69,PX69,(PX69-G69*(WW69+AAJ69))/(1-G69*BX69))),PX69/(1-MAX(0,BX69)*H_Exit)))</f>
        <v>0</v>
      </c>
      <c r="TL69" s="20" t="n">
        <f aca="false">IF(AKY68&lt;=0,0,IF(H_Direct=1,IF(BY69&lt;=0,PY69,IF(PY69&lt;=(WX69+AAK69)/BY69,PY69,(PY69-G69*(WX69+AAK69))/(1-G69*BY69))),PY69/(1-MAX(0,BY69)*H_Exit)))</f>
        <v>0</v>
      </c>
      <c r="TM69" s="20" t="n">
        <f aca="false">IF(AKZ68&lt;=0,0,IF(H_Direct=1,IF(BZ69&lt;=0,PZ69,IF(PZ69&lt;=(WY69+AAL69)/BZ69,PZ69,(PZ69-G69*(WY69+AAL69))/(1-G69*BZ69))),PZ69/(1-MAX(0,BZ69)*H_Exit)))</f>
        <v>0</v>
      </c>
      <c r="TN69" s="20" t="n">
        <f aca="false">IF(ALA68&lt;=0,0,IF(H_Direct=1,IF(CA69&lt;=0,QA69,IF(QA69&lt;=(WZ69+AAM69)/CA69,QA69,(QA69-G69*(WZ69+AAM69))/(1-G69*CA69))),QA69/(1-MAX(0,CA69)*H_Exit)))</f>
        <v>0</v>
      </c>
      <c r="TO69" s="20" t="n">
        <f aca="false">IF(ALB68&lt;=0,0,IF(H_Direct=1,IF(CB69&lt;=0,QB69,IF(QB69&lt;=(XA69+AAN69)/CB69,QB69,(QB69-G69*(XA69+AAN69))/(1-G69*CB69))),QB69/(1-MAX(0,CB69)*H_Exit)))</f>
        <v>0</v>
      </c>
      <c r="TP69" s="20" t="n">
        <f aca="false">IF(ALC68&lt;=0,0,IF(H_Direct=1,IF(CC69&lt;=0,QC69,IF(QC69&lt;=(XB69+AAO69)/CC69,QC69,(QC69-G69*(XB69+AAO69))/(1-G69*CC69))),QC69/(1-MAX(0,CC69)*H_Exit)))</f>
        <v>0</v>
      </c>
      <c r="TQ69" s="20" t="n">
        <f aca="false">IF(ALD68&lt;=0,0,IF(H_Direct=1,IF(CD69&lt;=0,QD69,IF(QD69&lt;=(XC69+AAP69)/CD69,QD69,(QD69-G69*(XC69+AAP69))/(1-G69*CD69))),QD69/(1-MAX(0,CD69)*H_Exit)))</f>
        <v>0</v>
      </c>
      <c r="TR69" s="20" t="n">
        <f aca="false">IF(ALE68&lt;=0,0,IF(H_Direct=1,IF(CE69&lt;=0,QE69,IF(QE69&lt;=(XD69+AAQ69)/CE69,QE69,(QE69-G69*(XD69+AAQ69))/(1-G69*CE69))),QE69/(1-MAX(0,CE69)*H_Exit)))</f>
        <v>0</v>
      </c>
      <c r="TS69" s="20" t="n">
        <f aca="false">IF(ALF68&lt;=0,0,IF(H_Direct=1,IF(CF69&lt;=0,QF69,IF(QF69&lt;=(XE69+AAR69)/CF69,QF69,(QF69-G69*(XE69+AAR69))/(1-G69*CF69))),QF69/(1-MAX(0,CF69)*H_Exit)))</f>
        <v>0</v>
      </c>
      <c r="TT69" s="20" t="n">
        <f aca="false">IF(ALG68&lt;=0,0,IF(H_Direct=1,IF(CG69&lt;=0,QG69,IF(QG69&lt;=(XF69+AAS69)/CG69,QG69,(QG69-G69*(XF69+AAS69))/(1-G69*CG69))),QG69/(1-MAX(0,CG69)*H_Exit)))</f>
        <v>0</v>
      </c>
      <c r="TU69" s="20" t="n">
        <f aca="false">IF(ALH68&lt;=0,0,IF(H_Direct=1,IF(CH69&lt;=0,QH69,IF(QH69&lt;=(XG69+AAT69)/CH69,QH69,(QH69-G69*(XG69+AAT69))/(1-G69*CH69))),QH69/(1-MAX(0,CH69)*H_Exit)))</f>
        <v>0</v>
      </c>
      <c r="TV69" s="20" t="n">
        <f aca="false">IF(ALI68&lt;=0,0,IF(H_Direct=1,IF(CI69&lt;=0,QI69,IF(QI69&lt;=(XH69+AAU69)/CI69,QI69,(QI69-G69*(XH69+AAU69))/(1-G69*CI69))),QI69/(1-MAX(0,CI69)*H_Exit)))</f>
        <v>0</v>
      </c>
      <c r="TW69" s="20" t="n">
        <f aca="false">IF(ALJ68&lt;=0,0,IF(H_Direct=1,IF(CJ69&lt;=0,QJ69,IF(QJ69&lt;=(XI69+AAV69)/CJ69,QJ69,(QJ69-G69*(XI69+AAV69))/(1-G69*CJ69))),QJ69/(1-MAX(0,CJ69)*H_Exit)))</f>
        <v>0</v>
      </c>
      <c r="TX69" s="20" t="n">
        <f aca="false">IF(ALK68&lt;=0,0,IF(H_Direct=1,IF(CK69&lt;=0,QK69,IF(QK69&lt;=(XJ69+AAW69)/CK69,QK69,(QK69-G69*(XJ69+AAW69))/(1-G69*CK69))),QK69/(1-MAX(0,CK69)*H_Exit)))</f>
        <v>0</v>
      </c>
      <c r="TY69" s="20" t="n">
        <f aca="false">IF(ALL68&lt;=0,0,IF(H_Direct=1,IF(CL69&lt;=0,QL69,IF(QL69&lt;=(XK69+AAX69)/CL69,QL69,(QL69-G69*(XK69+AAX69))/(1-G69*CL69))),QL69/(1-MAX(0,CL69)*H_Exit)))</f>
        <v>0</v>
      </c>
      <c r="TZ69" s="20" t="n">
        <f aca="false">IF(ALM68&lt;=0,0,IF(H_Direct=1,IF(CM69&lt;=0,QM69,IF(QM69&lt;=(XL69+AAY69)/CM69,QM69,(QM69-G69*(XL69+AAY69))/(1-G69*CM69))),QM69/(1-MAX(0,CM69)*H_Exit)))</f>
        <v>0</v>
      </c>
      <c r="UA69" s="20" t="n">
        <f aca="false">IF(ALN68&lt;=0,0,IF(H_Direct=1,IF(CN69&lt;=0,QN69,IF(QN69&lt;=(XM69+AAZ69)/CN69,QN69,(QN69-G69*(XM69+AAZ69))/(1-G69*CN69))),QN69/(1-MAX(0,CN69)*H_Exit)))</f>
        <v>0</v>
      </c>
      <c r="UB69" s="20" t="n">
        <f aca="false">IF(ALO68&lt;=0,0,IF(H_Direct=1,IF(CO69&lt;=0,QO69,IF(QO69&lt;=(XN69+ABA69)/CO69,QO69,(QO69-G69*(XN69+ABA69))/(1-G69*CO69))),QO69/(1-MAX(0,CO69)*H_Exit)))</f>
        <v>0</v>
      </c>
      <c r="UC69" s="20" t="n">
        <f aca="false">IF(ALP68&lt;=0,0,IF(H_Direct=1,IF(CP69&lt;=0,QP69,IF(QP69&lt;=(XO69+ABB69)/CP69,QP69,(QP69-G69*(XO69+ABB69))/(1-G69*CP69))),QP69/(1-MAX(0,CP69)*H_Exit)))</f>
        <v>0</v>
      </c>
      <c r="UD69" s="20" t="n">
        <f aca="false">IF(ALQ68&lt;=0,0,IF(H_Direct=1,IF(CQ69&lt;=0,QQ69,IF(QQ69&lt;=(XP69+ABC69)/CQ69,QQ69,(QQ69-G69*(XP69+ABC69))/(1-G69*CQ69))),QQ69/(1-MAX(0,CQ69)*H_Exit)))</f>
        <v>0</v>
      </c>
      <c r="UE69" s="20" t="n">
        <f aca="false">IF(ALR68&lt;=0,0,IF(H_Direct=1,IF(CR69&lt;=0,QR69,IF(QR69&lt;=(XQ69+ABD69)/CR69,QR69,(QR69-G69*(XQ69+ABD69))/(1-G69*CR69))),QR69/(1-MAX(0,CR69)*H_Exit)))</f>
        <v>0</v>
      </c>
      <c r="UF69" s="20" t="n">
        <f aca="false">IF(ALS68&lt;=0,0,IF(H_Direct=1,IF(CS69&lt;=0,QS69,IF(QS69&lt;=(XR69+ABE69)/CS69,QS69,(QS69-G69*(XR69+ABE69))/(1-G69*CS69))),QS69/(1-MAX(0,CS69)*H_Exit)))</f>
        <v>0</v>
      </c>
      <c r="UG69" s="20" t="n">
        <f aca="false">IF(ALT68&lt;=0,0,IF(H_Direct=1,IF(CT69&lt;=0,QT69,IF(QT69&lt;=(XS69+ABF69)/CT69,QT69,(QT69-G69*(XS69+ABF69))/(1-G69*CT69))),QT69/(1-MAX(0,CT69)*H_Exit)))</f>
        <v>0</v>
      </c>
      <c r="UH69" s="20" t="n">
        <f aca="false">IF(ALU68&lt;=0,0,IF(H_Direct=1,IF(CU69&lt;=0,QU69,IF(QU69&lt;=(XT69+ABG69)/CU69,QU69,(QU69-G69*(XT69+ABG69))/(1-G69*CU69))),QU69/(1-MAX(0,CU69)*H_Exit)))</f>
        <v>0</v>
      </c>
      <c r="UI69" s="20" t="n">
        <f aca="false">IF(ALV68&lt;=0,0,IF(H_Direct=1,IF(CV69&lt;=0,QV69,IF(QV69&lt;=(XU69+ABH69)/CV69,QV69,(QV69-G69*(XU69+ABH69))/(1-G69*CV69))),QV69/(1-MAX(0,CV69)*H_Exit)))</f>
        <v>0</v>
      </c>
      <c r="UJ69" s="20" t="n">
        <f aca="false">IF(ALW68&lt;=0,0,IF(H_Direct=1,IF(CW69&lt;=0,QW69,IF(QW69&lt;=(XV69+ABI69)/CW69,QW69,(QW69-G69*(XV69+ABI69))/(1-G69*CW69))),QW69/(1-MAX(0,CW69)*H_Exit)))</f>
        <v>0</v>
      </c>
      <c r="UK69" s="20" t="n">
        <f aca="false">IF(ALX68&lt;=0,0,IF(H_Direct=1,IF(CX69&lt;=0,QX69,IF(QX69&lt;=(XW69+ABJ69)/CX69,QX69,(QX69-G69*(XW69+ABJ69))/(1-G69*CX69))),QX69/(1-MAX(0,CX69)*H_Exit)))</f>
        <v>0</v>
      </c>
      <c r="UL69" s="20" t="n">
        <f aca="false">IF(ALY68&lt;=0,0,IF(H_Direct=1,IF(CY69&lt;=0,QY69,IF(QY69&lt;=(XX69+ABK69)/CY69,QY69,(QY69-G69*(XX69+ABK69))/(1-G69*CY69))),QY69/(1-MAX(0,CY69)*H_Exit)))</f>
        <v>0</v>
      </c>
      <c r="UM69" s="20" t="n">
        <f aca="false">IF(ALZ68&lt;=0,0,IF(H_Direct=1,IF(CZ69&lt;=0,QZ69,IF(QZ69&lt;=(XY69+ABL69)/CZ69,QZ69,(QZ69-G69*(XY69+ABL69))/(1-G69*CZ69))),QZ69/(1-MAX(0,CZ69)*H_Exit)))</f>
        <v>0</v>
      </c>
      <c r="UN69" s="20" t="n">
        <f aca="false">IF(AMA68&lt;=0,0,IF(H_Direct=1,IF(DA69&lt;=0,RA69,IF(RA69&lt;=(XZ69+ABM69)/DA69,RA69,(RA69-G69*(XZ69+ABM69))/(1-G69*DA69))),RA69/(1-MAX(0,DA69)*H_Exit)))</f>
        <v>0</v>
      </c>
      <c r="UO69" s="20" t="n">
        <f aca="false">IF(AMB68&lt;=0,0,IF(H_Direct=1,IF(DB69&lt;=0,RB69,IF(RB69&lt;=(YA69+ABN69)/DB69,RB69,(RB69-G69*(YA69+ABN69))/(1-G69*DB69))),RB69/(1-MAX(0,DB69)*H_Exit)))</f>
        <v>0</v>
      </c>
      <c r="UP69" s="20" t="n">
        <f aca="false">IF(AMC68&lt;=0,0,IF(H_Direct=1,IF(DC69&lt;=0,RC69,IF(RC69&lt;=(YB69+ABO69)/DC69,RC69,(RC69-G69*(YB69+ABO69))/(1-G69*DC69))),RC69/(1-MAX(0,DC69)*H_Exit)))</f>
        <v>0</v>
      </c>
      <c r="UQ69" s="20" t="n">
        <f aca="false">IF(AMD68&lt;=0,0,IF(H_Direct=1,IF(DD69&lt;=0,RD69,IF(RD69&lt;=(YC69+ABP69)/DD69,RD69,(RD69-G69*(YC69+ABP69))/(1-G69*DD69))),RD69/(1-MAX(0,DD69)*H_Exit)))</f>
        <v>0</v>
      </c>
      <c r="UR69" s="20" t="n">
        <f aca="false">IF(AME68&lt;=0,0,IF(H_Direct=1,IF(DE69&lt;=0,RE69,IF(RE69&lt;=(YD69+ABQ69)/DE69,RE69,(RE69-G69*(YD69+ABQ69))/(1-G69*DE69))),RE69/(1-MAX(0,DE69)*H_Exit)))</f>
        <v>0</v>
      </c>
      <c r="US69" s="20" t="n">
        <f aca="false">IF(AMF68&lt;=0,0,IF(H_Direct=1,IF(DF69&lt;=0,RF69,IF(RF69&lt;=(YE69+ABR69)/DF69,RF69,(RF69-G69*(YE69+ABR69))/(1-G69*DF69))),RF69/(1-MAX(0,DF69)*H_Exit)))</f>
        <v>0</v>
      </c>
      <c r="UT69" s="20" t="n">
        <f aca="false">IF(AMG68&lt;=0,0,IF(H_Direct=1,IF(DG69&lt;=0,RG69,IF(RG69&lt;=(YF69+ABS69)/DG69,RG69,(RG69-G69*(YF69+ABS69))/(1-G69*DG69))),RG69/(1-MAX(0,DG69)*H_Exit)))</f>
        <v>0</v>
      </c>
      <c r="UU69" s="20" t="n">
        <f aca="false">IF(AMH68&lt;=0,0,IF(H_Direct=1,IF(DH69&lt;=0,RH69,IF(RH69&lt;=(YG69+ABT69)/DH69,RH69,(RH69-G69*(YG69+ABT69))/(1-G69*DH69))),RH69/(1-MAX(0,DH69)*H_Exit)))</f>
        <v>0</v>
      </c>
      <c r="UV69" s="20" t="n">
        <f aca="false">IF(AMI68&lt;=0,0,IF(H_Direct=1,IF(DI69&lt;=0,RI69,IF(RI69&lt;=(YH69+ABU69)/DI69,RI69,(RI69-G69*(YH69+ABU69))/(1-G69*DI69))),RI69/(1-MAX(0,DI69)*H_Exit)))</f>
        <v>0</v>
      </c>
      <c r="UW69" s="20" t="n">
        <f aca="false">IF(AMJ68&lt;=0,0,IF(H_Direct=1,IF(DJ69&lt;=0,RJ69,IF(RJ69&lt;=(YI69+ABV69)/DJ69,RJ69,(RJ69-G69*(YI69+ABV69))/(1-G69*DJ69))),RJ69/(1-MAX(0,DJ69)*H_Exit)))</f>
        <v>0</v>
      </c>
      <c r="UX69" s="20" t="n">
        <f aca="false">IF(AMK68&lt;=0,0,IF(H_Direct=1,IF(DK69&lt;=0,RK69,IF(RK69&lt;=(YJ69+ABW69)/DK69,RK69,(RK69-G69*(YJ69+ABW69))/(1-G69*DK69))),RK69/(1-MAX(0,DK69)*H_Exit)))</f>
        <v>0</v>
      </c>
      <c r="UY69" s="20" t="n">
        <f aca="false">IF(AML68&lt;=0,0,IF(H_Direct=1,IF(DL69&lt;=0,RL69,IF(RL69&lt;=(YK69+ABX69)/DL69,RL69,(RL69-G69*(YK69+ABX69))/(1-G69*DL69))),RL69/(1-MAX(0,DL69)*H_Exit)))</f>
        <v>0</v>
      </c>
      <c r="UZ69" s="20" t="n">
        <f aca="false">IF(AMM68&lt;=0,0,IF(H_Direct=1,IF(DM69&lt;=0,RM69,IF(RM69&lt;=(YL69+ABY69)/DM69,RM69,(RM69-G69*(YL69+ABY69))/(1-G69*DM69))),RM69/(1-MAX(0,DM69)*H_Exit)))</f>
        <v>0</v>
      </c>
      <c r="VA69" s="20" t="n">
        <f aca="false">IF(AMN68&lt;=0,0,IF(H_Direct=1,IF(DN69&lt;=0,RN69,IF(RN69&lt;=(YM69+ABZ69)/DN69,RN69,(RN69-G69*(YM69+ABZ69))/(1-G69*DN69))),RN69/(1-MAX(0,DN69)*H_Exit)))</f>
        <v>0</v>
      </c>
      <c r="VB69" s="20" t="n">
        <f aca="false">IF(AMO68&lt;=0,0,IF(H_Direct=1,IF(DO69&lt;=0,RO69,IF(RO69&lt;=(YN69+ACA69)/DO69,RO69,(RO69-G69*(YN69+ACA69))/(1-G69*DO69))),RO69/(1-MAX(0,DO69)*H_Exit)))</f>
        <v>0</v>
      </c>
      <c r="VC69" s="20" t="n">
        <f aca="false">IF(AMP68&lt;=0,0,IF(H_Direct=1,IF(DP69&lt;=0,RP69,IF(RP69&lt;=(YO69+ACB69)/DP69,RP69,(RP69-G69*(YO69+ACB69))/(1-G69*DP69))),RP69/(1-MAX(0,DP69)*H_Exit)))</f>
        <v>0</v>
      </c>
      <c r="VD69" s="20" t="n">
        <f aca="false">IF(AMQ68&lt;=0,0,IF(H_Direct=1,IF(DQ69&lt;=0,RQ69,IF(RQ69&lt;=(YP69+ACC69)/DQ69,RQ69,(RQ69-G69*(YP69+ACC69))/(1-G69*DQ69))),RQ69/(1-MAX(0,DQ69)*H_Exit)))</f>
        <v>0</v>
      </c>
      <c r="VE69" s="20" t="n">
        <f aca="false">IF(AMR68&lt;=0,0,IF(H_Direct=1,IF(DR69&lt;=0,RR69,IF(RR69&lt;=(YQ69+ACD69)/DR69,RR69,(RR69-G69*(YQ69+ACD69))/(1-G69*DR69))),RR69/(1-MAX(0,DR69)*H_Exit)))</f>
        <v>0</v>
      </c>
      <c r="VF69" s="20" t="n">
        <f aca="false">IF(AMS68&lt;=0,0,IF(H_Direct=1,IF(DS69&lt;=0,RS69,IF(RS69&lt;=(YR69+ACE69)/DS69,RS69,(RS69-G69*(YR69+ACE69))/(1-G69*DS69))),RS69/(1-MAX(0,DS69)*H_Exit)))</f>
        <v>0</v>
      </c>
      <c r="VG69" s="20" t="n">
        <f aca="false">IF(AMT68&lt;=0,0,IF(H_Direct=1,IF(DT69&lt;=0,RT69,IF(RT69&lt;=(YS69+ACF69)/DT69,RT69,(RT69-G69*(YS69+ACF69))/(1-G69*DT69))),RT69/(1-MAX(0,DT69)*H_Exit)))</f>
        <v>0</v>
      </c>
      <c r="VH69" s="20" t="n">
        <f aca="false">IF(AMU68&lt;=0,0,IF(H_Direct=1,IF(DU69&lt;=0,RU69,IF(RU69&lt;=(YT69+ACG69)/DU69,RU69,(RU69-G69*(YT69+ACG69))/(1-G69*DU69))),RU69/(1-MAX(0,DU69)*H_Exit)))</f>
        <v>0</v>
      </c>
      <c r="VI69" s="20" t="n">
        <f aca="false">IF(AMV68&lt;=0,0,IF(H_Direct=1,IF(DV69&lt;=0,RV69,IF(RV69&lt;=(YU69+ACH69)/DV69,RV69,(RV69-G69*(YU69+ACH69))/(1-G69*DV69))),RV69/(1-MAX(0,DV69)*H_Exit)))</f>
        <v>0</v>
      </c>
      <c r="VJ69" s="20" t="n">
        <f aca="false">IF(AMW68&lt;=0,0,IF(H_Direct=1,IF(DW69&lt;=0,RW69,IF(RW69&lt;=(YV69+ACI69)/DW69,RW69,(RW69-G69*(YV69+ACI69))/(1-G69*DW69))),RW69/(1-MAX(0,DW69)*H_Exit)))</f>
        <v>0</v>
      </c>
      <c r="VK69" s="20" t="n">
        <f aca="false">IF(AMX68&lt;=0,0,IF(H_Direct=1,IF(DX69&lt;=0,RX69,IF(RX69&lt;=(YW69+ACJ69)/DX69,RX69,(RX69-G69*(YW69+ACJ69))/(1-G69*DX69))),RX69/(1-MAX(0,DX69)*H_Exit)))</f>
        <v>0</v>
      </c>
      <c r="VL69" s="20" t="n">
        <f aca="false">IF(AMY68&lt;=0,0,IF(H_Direct=1,IF(DY69&lt;=0,RY69,IF(RY69&lt;=(YX69+ACK69)/DY69,RY69,(RY69-G69*(YX69+ACK69))/(1-G69*DY69))),RY69/(1-MAX(0,DY69)*H_Exit)))</f>
        <v>0</v>
      </c>
      <c r="VM69" s="20" t="n">
        <f aca="false">IF(AMZ68&lt;=0,0,IF(H_Direct=1,IF(DZ69&lt;=0,RZ69,IF(RZ69&lt;=(YY69+ACL69)/DZ69,RZ69,(RZ69-G69*(YY69+ACL69))/(1-G69*DZ69))),RZ69/(1-MAX(0,DZ69)*H_Exit)))</f>
        <v>0</v>
      </c>
      <c r="VN69" s="20" t="n">
        <f aca="false">IF(ANA68&lt;=0,0,IF(H_Direct=1,IF(EA69&lt;=0,SA69,IF(SA69&lt;=(YZ69+ACM69)/EA69,SA69,(SA69-G69*(YZ69+ACM69))/(1-G69*EA69))),SA69/(1-MAX(0,EA69)*H_Exit)))</f>
        <v>0</v>
      </c>
      <c r="VO69" s="20" t="n">
        <f aca="false">IF((P69+S69)&lt;=0,0,IF(H_Direct=1,IF(EB69&lt;=0,SB69,IF(SB69&lt;=(ZA69+ACN69)/EB69,SB69,(SB69-G69*(ZA69+ACN69))/(1-G69*EB69))),SB69/(1-MAX(0,EB69)*H_Exit)))</f>
        <v>0</v>
      </c>
      <c r="VP69" s="20" t="n">
        <v>0</v>
      </c>
      <c r="VQ69" s="20" t="n">
        <v>0</v>
      </c>
      <c r="VR69" s="20" t="n">
        <v>0</v>
      </c>
      <c r="VS69" s="20" t="n">
        <v>0</v>
      </c>
      <c r="VT69" s="20" t="n">
        <v>0</v>
      </c>
      <c r="VU69" s="20" t="n">
        <v>0</v>
      </c>
      <c r="VV69" s="20" t="n">
        <v>0</v>
      </c>
      <c r="VW69" s="20" t="n">
        <v>0</v>
      </c>
      <c r="VX69" s="20" t="n">
        <v>0</v>
      </c>
      <c r="VY69" s="20" t="n">
        <v>0</v>
      </c>
      <c r="VZ69" s="20" t="n">
        <v>0</v>
      </c>
      <c r="WA69" s="20" t="n">
        <v>0</v>
      </c>
      <c r="WB69" s="20" t="n">
        <v>0</v>
      </c>
      <c r="WC69" s="20" t="n">
        <v>0</v>
      </c>
      <c r="WD69" s="20" t="n">
        <v>0</v>
      </c>
      <c r="WE69" s="20" t="n">
        <v>0</v>
      </c>
      <c r="WF69" s="20" t="n">
        <v>0</v>
      </c>
      <c r="WG69" s="20" t="n">
        <v>0</v>
      </c>
      <c r="WH69" s="20" t="n">
        <v>0</v>
      </c>
      <c r="WI69" s="20" t="n">
        <v>0</v>
      </c>
      <c r="WJ69" s="20" t="n">
        <v>0</v>
      </c>
      <c r="WK69" s="20" t="n">
        <v>0</v>
      </c>
      <c r="WL69" s="20" t="n">
        <v>0</v>
      </c>
      <c r="WM69" s="20" t="n">
        <v>0</v>
      </c>
      <c r="WN69" s="20" t="n">
        <v>0</v>
      </c>
      <c r="WO69" s="20" t="n">
        <v>0</v>
      </c>
      <c r="WP69" s="20" t="n">
        <v>0</v>
      </c>
      <c r="WQ69" s="20" t="n">
        <v>0</v>
      </c>
      <c r="WR69" s="20" t="n">
        <f aca="false">IF(AND(H_Direct=1,BR69&gt;0),MAX(0,H69-(MIN(BR69*TE69,(H69+I69))-MIN(MIN(BR69*TE69,(H69+I69)),I69))),H69)</f>
        <v>1270</v>
      </c>
      <c r="WS69" s="20" t="n">
        <f aca="false">IF(AND(H_Direct=1,BS69&gt;0),MAX(0,WR69-(MIN(BS69*TF69,(WR69+AAE69))-MIN(MIN(BS69*TF69,(WR69+AAE69)),AAE69))),WR69)</f>
        <v>1270</v>
      </c>
      <c r="WT69" s="20" t="n">
        <f aca="false">IF(AND(H_Direct=1,BT69&gt;0),MAX(0,WS69-(MIN(BT69*TG69,(WS69+AAF69))-MIN(MIN(BT69*TG69,(WS69+AAF69)),AAF69))),WS69)</f>
        <v>1270</v>
      </c>
      <c r="WU69" s="20" t="n">
        <f aca="false">IF(AND(H_Direct=1,BU69&gt;0),MAX(0,WT69-(MIN(BU69*TH69,(WT69+AAG69))-MIN(MIN(BU69*TH69,(WT69+AAG69)),AAG69))),WT69)</f>
        <v>1270</v>
      </c>
      <c r="WV69" s="20" t="n">
        <f aca="false">IF(AND(H_Direct=1,BV69&gt;0),MAX(0,WU69-(MIN(BV69*TI69,(WU69+AAH69))-MIN(MIN(BV69*TI69,(WU69+AAH69)),AAH69))),WU69)</f>
        <v>1270</v>
      </c>
      <c r="WW69" s="20" t="n">
        <f aca="false">IF(AND(H_Direct=1,BW69&gt;0),MAX(0,WV69-(MIN(BW69*TJ69,(WV69+AAI69))-MIN(MIN(BW69*TJ69,(WV69+AAI69)),AAI69))),WV69)</f>
        <v>1270</v>
      </c>
      <c r="WX69" s="20" t="n">
        <f aca="false">IF(AND(H_Direct=1,BX69&gt;0),MAX(0,WW69-(MIN(BX69*TK69,(WW69+AAJ69))-MIN(MIN(BX69*TK69,(WW69+AAJ69)),AAJ69))),WW69)</f>
        <v>1270</v>
      </c>
      <c r="WY69" s="20" t="n">
        <f aca="false">IF(AND(H_Direct=1,BY69&gt;0),MAX(0,WX69-(MIN(BY69*TL69,(WX69+AAK69))-MIN(MIN(BY69*TL69,(WX69+AAK69)),AAK69))),WX69)</f>
        <v>1270</v>
      </c>
      <c r="WZ69" s="20" t="n">
        <f aca="false">IF(AND(H_Direct=1,BZ69&gt;0),MAX(0,WY69-(MIN(BZ69*TM69,(WY69+AAL69))-MIN(MIN(BZ69*TM69,(WY69+AAL69)),AAL69))),WY69)</f>
        <v>1270</v>
      </c>
      <c r="XA69" s="20" t="n">
        <f aca="false">IF(AND(H_Direct=1,CA69&gt;0),MAX(0,WZ69-(MIN(CA69*TN69,(WZ69+AAM69))-MIN(MIN(CA69*TN69,(WZ69+AAM69)),AAM69))),WZ69)</f>
        <v>1270</v>
      </c>
      <c r="XB69" s="20" t="n">
        <f aca="false">IF(AND(H_Direct=1,CB69&gt;0),MAX(0,XA69-(MIN(CB69*TO69,(XA69+AAN69))-MIN(MIN(CB69*TO69,(XA69+AAN69)),AAN69))),XA69)</f>
        <v>1270</v>
      </c>
      <c r="XC69" s="20" t="n">
        <f aca="false">IF(AND(H_Direct=1,CC69&gt;0),MAX(0,XB69-(MIN(CC69*TP69,(XB69+AAO69))-MIN(MIN(CC69*TP69,(XB69+AAO69)),AAO69))),XB69)</f>
        <v>1270</v>
      </c>
      <c r="XD69" s="20" t="n">
        <f aca="false">IF(AND(H_Direct=1,CD69&gt;0),MAX(0,XC69-(MIN(CD69*TQ69,(XC69+AAP69))-MIN(MIN(CD69*TQ69,(XC69+AAP69)),AAP69))),XC69)</f>
        <v>1270</v>
      </c>
      <c r="XE69" s="20" t="n">
        <f aca="false">IF(AND(H_Direct=1,CE69&gt;0),MAX(0,XD69-(MIN(CE69*TR69,(XD69+AAQ69))-MIN(MIN(CE69*TR69,(XD69+AAQ69)),AAQ69))),XD69)</f>
        <v>1270</v>
      </c>
      <c r="XF69" s="20" t="n">
        <f aca="false">IF(AND(H_Direct=1,CF69&gt;0),MAX(0,XE69-(MIN(CF69*TS69,(XE69+AAR69))-MIN(MIN(CF69*TS69,(XE69+AAR69)),AAR69))),XE69)</f>
        <v>1270</v>
      </c>
      <c r="XG69" s="20" t="n">
        <f aca="false">IF(AND(H_Direct=1,CG69&gt;0),MAX(0,XF69-(MIN(CG69*TT69,(XF69+AAS69))-MIN(MIN(CG69*TT69,(XF69+AAS69)),AAS69))),XF69)</f>
        <v>1270</v>
      </c>
      <c r="XH69" s="20" t="n">
        <f aca="false">IF(AND(H_Direct=1,CH69&gt;0),MAX(0,XG69-(MIN(CH69*TU69,(XG69+AAT69))-MIN(MIN(CH69*TU69,(XG69+AAT69)),AAT69))),XG69)</f>
        <v>1270</v>
      </c>
      <c r="XI69" s="20" t="n">
        <f aca="false">IF(AND(H_Direct=1,CI69&gt;0),MAX(0,XH69-(MIN(CI69*TV69,(XH69+AAU69))-MIN(MIN(CI69*TV69,(XH69+AAU69)),AAU69))),XH69)</f>
        <v>1270</v>
      </c>
      <c r="XJ69" s="20" t="n">
        <f aca="false">IF(AND(H_Direct=1,CJ69&gt;0),MAX(0,XI69-(MIN(CJ69*TW69,(XI69+AAV69))-MIN(MIN(CJ69*TW69,(XI69+AAV69)),AAV69))),XI69)</f>
        <v>1270</v>
      </c>
      <c r="XK69" s="20" t="n">
        <f aca="false">IF(AND(H_Direct=1,CK69&gt;0),MAX(0,XJ69-(MIN(CK69*TX69,(XJ69+AAW69))-MIN(MIN(CK69*TX69,(XJ69+AAW69)),AAW69))),XJ69)</f>
        <v>1270</v>
      </c>
      <c r="XL69" s="20" t="n">
        <f aca="false">IF(AND(H_Direct=1,CL69&gt;0),MAX(0,XK69-(MIN(CL69*TY69,(XK69+AAX69))-MIN(MIN(CL69*TY69,(XK69+AAX69)),AAX69))),XK69)</f>
        <v>1270</v>
      </c>
      <c r="XM69" s="20" t="n">
        <f aca="false">IF(AND(H_Direct=1,CM69&gt;0),MAX(0,XL69-(MIN(CM69*TZ69,(XL69+AAY69))-MIN(MIN(CM69*TZ69,(XL69+AAY69)),AAY69))),XL69)</f>
        <v>1270</v>
      </c>
      <c r="XN69" s="20" t="n">
        <f aca="false">IF(AND(H_Direct=1,CN69&gt;0),MAX(0,XM69-(MIN(CN69*UA69,(XM69+AAZ69))-MIN(MIN(CN69*UA69,(XM69+AAZ69)),AAZ69))),XM69)</f>
        <v>1270</v>
      </c>
      <c r="XO69" s="20" t="n">
        <f aca="false">IF(AND(H_Direct=1,CO69&gt;0),MAX(0,XN69-(MIN(CO69*UB69,(XN69+ABA69))-MIN(MIN(CO69*UB69,(XN69+ABA69)),ABA69))),XN69)</f>
        <v>1270</v>
      </c>
      <c r="XP69" s="20" t="n">
        <f aca="false">IF(AND(H_Direct=1,CP69&gt;0),MAX(0,XO69-(MIN(CP69*UC69,(XO69+ABB69))-MIN(MIN(CP69*UC69,(XO69+ABB69)),ABB69))),XO69)</f>
        <v>1270</v>
      </c>
      <c r="XQ69" s="20" t="n">
        <f aca="false">IF(AND(H_Direct=1,CQ69&gt;0),MAX(0,XP69-(MIN(CQ69*UD69,(XP69+ABC69))-MIN(MIN(CQ69*UD69,(XP69+ABC69)),ABC69))),XP69)</f>
        <v>1270</v>
      </c>
      <c r="XR69" s="20" t="n">
        <f aca="false">IF(AND(H_Direct=1,CR69&gt;0),MAX(0,XQ69-(MIN(CR69*UE69,(XQ69+ABD69))-MIN(MIN(CR69*UE69,(XQ69+ABD69)),ABD69))),XQ69)</f>
        <v>1270</v>
      </c>
      <c r="XS69" s="20" t="n">
        <f aca="false">IF(AND(H_Direct=1,CS69&gt;0),MAX(0,XR69-(MIN(CS69*UF69,(XR69+ABE69))-MIN(MIN(CS69*UF69,(XR69+ABE69)),ABE69))),XR69)</f>
        <v>1270</v>
      </c>
      <c r="XT69" s="20" t="n">
        <f aca="false">IF(AND(H_Direct=1,CT69&gt;0),MAX(0,XS69-(MIN(CT69*UG69,(XS69+ABF69))-MIN(MIN(CT69*UG69,(XS69+ABF69)),ABF69))),XS69)</f>
        <v>1270</v>
      </c>
      <c r="XU69" s="20" t="n">
        <f aca="false">IF(AND(H_Direct=1,CU69&gt;0),MAX(0,XT69-(MIN(CU69*UH69,(XT69+ABG69))-MIN(MIN(CU69*UH69,(XT69+ABG69)),ABG69))),XT69)</f>
        <v>1270</v>
      </c>
      <c r="XV69" s="20" t="n">
        <f aca="false">IF(AND(H_Direct=1,CV69&gt;0),MAX(0,XU69-(MIN(CV69*UI69,(XU69+ABH69))-MIN(MIN(CV69*UI69,(XU69+ABH69)),ABH69))),XU69)</f>
        <v>1270</v>
      </c>
      <c r="XW69" s="20" t="n">
        <f aca="false">IF(AND(H_Direct=1,CW69&gt;0),MAX(0,XV69-(MIN(CW69*UJ69,(XV69+ABI69))-MIN(MIN(CW69*UJ69,(XV69+ABI69)),ABI69))),XV69)</f>
        <v>1270</v>
      </c>
      <c r="XX69" s="20" t="n">
        <f aca="false">IF(AND(H_Direct=1,CX69&gt;0),MAX(0,XW69-(MIN(CX69*UK69,(XW69+ABJ69))-MIN(MIN(CX69*UK69,(XW69+ABJ69)),ABJ69))),XW69)</f>
        <v>1270</v>
      </c>
      <c r="XY69" s="20" t="n">
        <f aca="false">IF(AND(H_Direct=1,CY69&gt;0),MAX(0,XX69-(MIN(CY69*UL69,(XX69+ABK69))-MIN(MIN(CY69*UL69,(XX69+ABK69)),ABK69))),XX69)</f>
        <v>1270</v>
      </c>
      <c r="XZ69" s="20" t="n">
        <f aca="false">IF(AND(H_Direct=1,CZ69&gt;0),MAX(0,XY69-(MIN(CZ69*UM69,(XY69+ABL69))-MIN(MIN(CZ69*UM69,(XY69+ABL69)),ABL69))),XY69)</f>
        <v>1270</v>
      </c>
      <c r="YA69" s="20" t="n">
        <f aca="false">IF(AND(H_Direct=1,DA69&gt;0),MAX(0,XZ69-(MIN(DA69*UN69,(XZ69+ABM69))-MIN(MIN(DA69*UN69,(XZ69+ABM69)),ABM69))),XZ69)</f>
        <v>1270</v>
      </c>
      <c r="YB69" s="20" t="n">
        <f aca="false">IF(AND(H_Direct=1,DB69&gt;0),MAX(0,YA69-(MIN(DB69*UO69,(YA69+ABN69))-MIN(MIN(DB69*UO69,(YA69+ABN69)),ABN69))),YA69)</f>
        <v>1270</v>
      </c>
      <c r="YC69" s="20" t="n">
        <f aca="false">IF(AND(H_Direct=1,DC69&gt;0),MAX(0,YB69-(MIN(DC69*UP69,(YB69+ABO69))-MIN(MIN(DC69*UP69,(YB69+ABO69)),ABO69))),YB69)</f>
        <v>1270</v>
      </c>
      <c r="YD69" s="20" t="n">
        <f aca="false">IF(AND(H_Direct=1,DD69&gt;0),MAX(0,YC69-(MIN(DD69*UQ69,(YC69+ABP69))-MIN(MIN(DD69*UQ69,(YC69+ABP69)),ABP69))),YC69)</f>
        <v>1270</v>
      </c>
      <c r="YE69" s="20" t="n">
        <f aca="false">IF(AND(H_Direct=1,DE69&gt;0),MAX(0,YD69-(MIN(DE69*UR69,(YD69+ABQ69))-MIN(MIN(DE69*UR69,(YD69+ABQ69)),ABQ69))),YD69)</f>
        <v>1270</v>
      </c>
      <c r="YF69" s="20" t="n">
        <f aca="false">IF(AND(H_Direct=1,DF69&gt;0),MAX(0,YE69-(MIN(DF69*US69,(YE69+ABR69))-MIN(MIN(DF69*US69,(YE69+ABR69)),ABR69))),YE69)</f>
        <v>1270</v>
      </c>
      <c r="YG69" s="20" t="n">
        <f aca="false">IF(AND(H_Direct=1,DG69&gt;0),MAX(0,YF69-(MIN(DG69*UT69,(YF69+ABS69))-MIN(MIN(DG69*UT69,(YF69+ABS69)),ABS69))),YF69)</f>
        <v>1270</v>
      </c>
      <c r="YH69" s="20" t="n">
        <f aca="false">IF(AND(H_Direct=1,DH69&gt;0),MAX(0,YG69-(MIN(DH69*UU69,(YG69+ABT69))-MIN(MIN(DH69*UU69,(YG69+ABT69)),ABT69))),YG69)</f>
        <v>1270</v>
      </c>
      <c r="YI69" s="20" t="n">
        <f aca="false">IF(AND(H_Direct=1,DI69&gt;0),MAX(0,YH69-(MIN(DI69*UV69,(YH69+ABU69))-MIN(MIN(DI69*UV69,(YH69+ABU69)),ABU69))),YH69)</f>
        <v>1270</v>
      </c>
      <c r="YJ69" s="20" t="n">
        <f aca="false">IF(AND(H_Direct=1,DJ69&gt;0),MAX(0,YI69-(MIN(DJ69*UW69,(YI69+ABV69))-MIN(MIN(DJ69*UW69,(YI69+ABV69)),ABV69))),YI69)</f>
        <v>1270</v>
      </c>
      <c r="YK69" s="20" t="n">
        <f aca="false">IF(AND(H_Direct=1,DK69&gt;0),MAX(0,YJ69-(MIN(DK69*UX69,(YJ69+ABW69))-MIN(MIN(DK69*UX69,(YJ69+ABW69)),ABW69))),YJ69)</f>
        <v>1270</v>
      </c>
      <c r="YL69" s="20" t="n">
        <f aca="false">IF(AND(H_Direct=1,DL69&gt;0),MAX(0,YK69-(MIN(DL69*UY69,(YK69+ABX69))-MIN(MIN(DL69*UY69,(YK69+ABX69)),ABX69))),YK69)</f>
        <v>1270</v>
      </c>
      <c r="YM69" s="20" t="n">
        <f aca="false">IF(AND(H_Direct=1,DM69&gt;0),MAX(0,YL69-(MIN(DM69*UZ69,(YL69+ABY69))-MIN(MIN(DM69*UZ69,(YL69+ABY69)),ABY69))),YL69)</f>
        <v>1270</v>
      </c>
      <c r="YN69" s="20" t="n">
        <f aca="false">IF(AND(H_Direct=1,DN69&gt;0),MAX(0,YM69-(MIN(DN69*VA69,(YM69+ABZ69))-MIN(MIN(DN69*VA69,(YM69+ABZ69)),ABZ69))),YM69)</f>
        <v>1270</v>
      </c>
      <c r="YO69" s="20" t="n">
        <f aca="false">IF(AND(H_Direct=1,DO69&gt;0),MAX(0,YN69-(MIN(DO69*VB69,(YN69+ACA69))-MIN(MIN(DO69*VB69,(YN69+ACA69)),ACA69))),YN69)</f>
        <v>1270</v>
      </c>
      <c r="YP69" s="20" t="n">
        <f aca="false">IF(AND(H_Direct=1,DP69&gt;0),MAX(0,YO69-(MIN(DP69*VC69,(YO69+ACB69))-MIN(MIN(DP69*VC69,(YO69+ACB69)),ACB69))),YO69)</f>
        <v>1270</v>
      </c>
      <c r="YQ69" s="20" t="n">
        <f aca="false">IF(AND(H_Direct=1,DQ69&gt;0),MAX(0,YP69-(MIN(DQ69*VD69,(YP69+ACC69))-MIN(MIN(DQ69*VD69,(YP69+ACC69)),ACC69))),YP69)</f>
        <v>1270</v>
      </c>
      <c r="YR69" s="20" t="n">
        <f aca="false">IF(AND(H_Direct=1,DR69&gt;0),MAX(0,YQ69-(MIN(DR69*VE69,(YQ69+ACD69))-MIN(MIN(DR69*VE69,(YQ69+ACD69)),ACD69))),YQ69)</f>
        <v>1270</v>
      </c>
      <c r="YS69" s="20" t="n">
        <f aca="false">IF(AND(H_Direct=1,DS69&gt;0),MAX(0,YR69-(MIN(DS69*VF69,(YR69+ACE69))-MIN(MIN(DS69*VF69,(YR69+ACE69)),ACE69))),YR69)</f>
        <v>1270</v>
      </c>
      <c r="YT69" s="20" t="n">
        <f aca="false">IF(AND(H_Direct=1,DT69&gt;0),MAX(0,YS69-(MIN(DT69*VG69,(YS69+ACF69))-MIN(MIN(DT69*VG69,(YS69+ACF69)),ACF69))),YS69)</f>
        <v>1270</v>
      </c>
      <c r="YU69" s="20" t="n">
        <f aca="false">IF(AND(H_Direct=1,DU69&gt;0),MAX(0,YT69-(MIN(DU69*VH69,(YT69+ACG69))-MIN(MIN(DU69*VH69,(YT69+ACG69)),ACG69))),YT69)</f>
        <v>1270</v>
      </c>
      <c r="YV69" s="20" t="n">
        <f aca="false">IF(AND(H_Direct=1,DV69&gt;0),MAX(0,YU69-(MIN(DV69*VI69,(YU69+ACH69))-MIN(MIN(DV69*VI69,(YU69+ACH69)),ACH69))),YU69)</f>
        <v>1270</v>
      </c>
      <c r="YW69" s="20" t="n">
        <f aca="false">IF(AND(H_Direct=1,DW69&gt;0),MAX(0,YV69-(MIN(DW69*VJ69,(YV69+ACI69))-MIN(MIN(DW69*VJ69,(YV69+ACI69)),ACI69))),YV69)</f>
        <v>1270</v>
      </c>
      <c r="YX69" s="20" t="n">
        <f aca="false">IF(AND(H_Direct=1,DX69&gt;0),MAX(0,YW69-(MIN(DX69*VK69,(YW69+ACJ69))-MIN(MIN(DX69*VK69,(YW69+ACJ69)),ACJ69))),YW69)</f>
        <v>1270</v>
      </c>
      <c r="YY69" s="20" t="n">
        <f aca="false">IF(AND(H_Direct=1,DY69&gt;0),MAX(0,YX69-(MIN(DY69*VL69,(YX69+ACK69))-MIN(MIN(DY69*VL69,(YX69+ACK69)),ACK69))),YX69)</f>
        <v>1270</v>
      </c>
      <c r="YZ69" s="20" t="n">
        <f aca="false">IF(AND(H_Direct=1,DZ69&gt;0),MAX(0,YY69-(MIN(DZ69*VM69,(YY69+ACL69))-MIN(MIN(DZ69*VM69,(YY69+ACL69)),ACL69))),YY69)</f>
        <v>1270</v>
      </c>
      <c r="ZA69" s="20" t="n">
        <f aca="false">IF(AND(H_Direct=1,EA69&gt;0),MAX(0,YZ69-(MIN(EA69*VN69,(YZ69+ACM69))-MIN(MIN(EA69*VN69,(YZ69+ACM69)),ACM69))),YZ69)</f>
        <v>1270</v>
      </c>
      <c r="ZB69" s="20" t="n">
        <f aca="false">IF(AND(H_Direct=1,EB69&gt;0),MAX(0,ZA69-(MIN(EB69*VO69,(ZA69+ACN69))-MIN(MIN(EB69*VO69,(ZA69+ACN69)),ACN69))),ZA69)</f>
        <v>1270</v>
      </c>
      <c r="ZC69" s="20" t="n">
        <f aca="false">ZB69</f>
        <v>1270</v>
      </c>
      <c r="ZD69" s="20" t="n">
        <f aca="false">ZC69</f>
        <v>1270</v>
      </c>
      <c r="ZE69" s="20" t="n">
        <f aca="false">ZD69</f>
        <v>1270</v>
      </c>
      <c r="ZF69" s="20" t="n">
        <f aca="false">ZE69</f>
        <v>1270</v>
      </c>
      <c r="ZG69" s="20" t="n">
        <f aca="false">ZF69</f>
        <v>1270</v>
      </c>
      <c r="ZH69" s="20" t="n">
        <f aca="false">ZG69</f>
        <v>1270</v>
      </c>
      <c r="ZI69" s="20" t="n">
        <f aca="false">ZH69</f>
        <v>1270</v>
      </c>
      <c r="ZJ69" s="20" t="n">
        <f aca="false">ZI69</f>
        <v>1270</v>
      </c>
      <c r="ZK69" s="20" t="n">
        <f aca="false">ZJ69</f>
        <v>1270</v>
      </c>
      <c r="ZL69" s="20" t="n">
        <f aca="false">ZK69</f>
        <v>1270</v>
      </c>
      <c r="ZM69" s="20" t="n">
        <f aca="false">ZL69</f>
        <v>1270</v>
      </c>
      <c r="ZN69" s="20" t="n">
        <f aca="false">ZM69</f>
        <v>1270</v>
      </c>
      <c r="ZO69" s="20" t="n">
        <f aca="false">ZN69</f>
        <v>1270</v>
      </c>
      <c r="ZP69" s="20" t="n">
        <f aca="false">ZO69</f>
        <v>1270</v>
      </c>
      <c r="ZQ69" s="20" t="n">
        <f aca="false">ZP69</f>
        <v>1270</v>
      </c>
      <c r="ZR69" s="20" t="n">
        <f aca="false">ZQ69</f>
        <v>1270</v>
      </c>
      <c r="ZS69" s="20" t="n">
        <f aca="false">ZR69</f>
        <v>1270</v>
      </c>
      <c r="ZT69" s="20" t="n">
        <f aca="false">ZS69</f>
        <v>1270</v>
      </c>
      <c r="ZU69" s="20" t="n">
        <f aca="false">ZT69</f>
        <v>1270</v>
      </c>
      <c r="ZV69" s="20" t="n">
        <f aca="false">ZU69</f>
        <v>1270</v>
      </c>
      <c r="ZW69" s="20" t="n">
        <f aca="false">ZV69</f>
        <v>1270</v>
      </c>
      <c r="ZX69" s="20" t="n">
        <f aca="false">ZW69</f>
        <v>1270</v>
      </c>
      <c r="ZY69" s="20" t="n">
        <f aca="false">ZX69</f>
        <v>1270</v>
      </c>
      <c r="ZZ69" s="20" t="n">
        <f aca="false">ZY69</f>
        <v>1270</v>
      </c>
      <c r="AAA69" s="20" t="n">
        <f aca="false">ZZ69</f>
        <v>1270</v>
      </c>
      <c r="AAB69" s="20" t="n">
        <f aca="false">AAA69</f>
        <v>1270</v>
      </c>
      <c r="AAC69" s="20" t="n">
        <f aca="false">AAB69</f>
        <v>1270</v>
      </c>
      <c r="AAD69" s="20" t="n">
        <f aca="false">AAC69</f>
        <v>1270</v>
      </c>
      <c r="AAE69" s="20" t="n">
        <f aca="false">IF(H_Direct=1,IF(BR69&lt;=0,I69-BR69*TE69,I69-MIN(MIN(BR69*TE69,(H69+I69)),I69)),I69)</f>
        <v>0</v>
      </c>
      <c r="AAF69" s="20" t="n">
        <f aca="false">IF(H_Direct=1,IF(BS69&lt;=0,AAE69-BS69*TF69,AAE69-MIN(MIN(BS69*TF69,(WR69+AAE69)),AAE69)),AAE69)</f>
        <v>0</v>
      </c>
      <c r="AAG69" s="20" t="n">
        <f aca="false">IF(H_Direct=1,IF(BT69&lt;=0,AAF69-BT69*TG69,AAF69-MIN(MIN(BT69*TG69,(WS69+AAF69)),AAF69)),AAF69)</f>
        <v>0</v>
      </c>
      <c r="AAH69" s="20" t="n">
        <f aca="false">IF(H_Direct=1,IF(BU69&lt;=0,AAG69-BU69*TH69,AAG69-MIN(MIN(BU69*TH69,(WT69+AAG69)),AAG69)),AAG69)</f>
        <v>0</v>
      </c>
      <c r="AAI69" s="20" t="n">
        <f aca="false">IF(H_Direct=1,IF(BV69&lt;=0,AAH69-BV69*TI69,AAH69-MIN(MIN(BV69*TI69,(WU69+AAH69)),AAH69)),AAH69)</f>
        <v>0</v>
      </c>
      <c r="AAJ69" s="20" t="n">
        <f aca="false">IF(H_Direct=1,IF(BW69&lt;=0,AAI69-BW69*TJ69,AAI69-MIN(MIN(BW69*TJ69,(WV69+AAI69)),AAI69)),AAI69)</f>
        <v>0</v>
      </c>
      <c r="AAK69" s="20" t="n">
        <f aca="false">IF(H_Direct=1,IF(BX69&lt;=0,AAJ69-BX69*TK69,AAJ69-MIN(MIN(BX69*TK69,(WW69+AAJ69)),AAJ69)),AAJ69)</f>
        <v>0</v>
      </c>
      <c r="AAL69" s="20" t="n">
        <f aca="false">IF(H_Direct=1,IF(BY69&lt;=0,AAK69-BY69*TL69,AAK69-MIN(MIN(BY69*TL69,(WX69+AAK69)),AAK69)),AAK69)</f>
        <v>0</v>
      </c>
      <c r="AAM69" s="20" t="n">
        <f aca="false">IF(H_Direct=1,IF(BZ69&lt;=0,AAL69-BZ69*TM69,AAL69-MIN(MIN(BZ69*TM69,(WY69+AAL69)),AAL69)),AAL69)</f>
        <v>0</v>
      </c>
      <c r="AAN69" s="20" t="n">
        <f aca="false">IF(H_Direct=1,IF(CA69&lt;=0,AAM69-CA69*TN69,AAM69-MIN(MIN(CA69*TN69,(WZ69+AAM69)),AAM69)),AAM69)</f>
        <v>0</v>
      </c>
      <c r="AAO69" s="20" t="n">
        <f aca="false">IF(H_Direct=1,IF(CB69&lt;=0,AAN69-CB69*TO69,AAN69-MIN(MIN(CB69*TO69,(XA69+AAN69)),AAN69)),AAN69)</f>
        <v>0</v>
      </c>
      <c r="AAP69" s="20" t="n">
        <f aca="false">IF(H_Direct=1,IF(CC69&lt;=0,AAO69-CC69*TP69,AAO69-MIN(MIN(CC69*TP69,(XB69+AAO69)),AAO69)),AAO69)</f>
        <v>0</v>
      </c>
      <c r="AAQ69" s="20" t="n">
        <f aca="false">IF(H_Direct=1,IF(CD69&lt;=0,AAP69-CD69*TQ69,AAP69-MIN(MIN(CD69*TQ69,(XC69+AAP69)),AAP69)),AAP69)</f>
        <v>0</v>
      </c>
      <c r="AAR69" s="20" t="n">
        <f aca="false">IF(H_Direct=1,IF(CE69&lt;=0,AAQ69-CE69*TR69,AAQ69-MIN(MIN(CE69*TR69,(XD69+AAQ69)),AAQ69)),AAQ69)</f>
        <v>0</v>
      </c>
      <c r="AAS69" s="20" t="n">
        <f aca="false">IF(H_Direct=1,IF(CF69&lt;=0,AAR69-CF69*TS69,AAR69-MIN(MIN(CF69*TS69,(XE69+AAR69)),AAR69)),AAR69)</f>
        <v>0</v>
      </c>
      <c r="AAT69" s="20" t="n">
        <f aca="false">IF(H_Direct=1,IF(CG69&lt;=0,AAS69-CG69*TT69,AAS69-MIN(MIN(CG69*TT69,(XF69+AAS69)),AAS69)),AAS69)</f>
        <v>0</v>
      </c>
      <c r="AAU69" s="20" t="n">
        <f aca="false">IF(H_Direct=1,IF(CH69&lt;=0,AAT69-CH69*TU69,AAT69-MIN(MIN(CH69*TU69,(XG69+AAT69)),AAT69)),AAT69)</f>
        <v>0</v>
      </c>
      <c r="AAV69" s="20" t="n">
        <f aca="false">IF(H_Direct=1,IF(CI69&lt;=0,AAU69-CI69*TV69,AAU69-MIN(MIN(CI69*TV69,(XH69+AAU69)),AAU69)),AAU69)</f>
        <v>0</v>
      </c>
      <c r="AAW69" s="20" t="n">
        <f aca="false">IF(H_Direct=1,IF(CJ69&lt;=0,AAV69-CJ69*TW69,AAV69-MIN(MIN(CJ69*TW69,(XI69+AAV69)),AAV69)),AAV69)</f>
        <v>0</v>
      </c>
      <c r="AAX69" s="20" t="n">
        <f aca="false">IF(H_Direct=1,IF(CK69&lt;=0,AAW69-CK69*TX69,AAW69-MIN(MIN(CK69*TX69,(XJ69+AAW69)),AAW69)),AAW69)</f>
        <v>0</v>
      </c>
      <c r="AAY69" s="20" t="n">
        <f aca="false">IF(H_Direct=1,IF(CL69&lt;=0,AAX69-CL69*TY69,AAX69-MIN(MIN(CL69*TY69,(XK69+AAX69)),AAX69)),AAX69)</f>
        <v>0</v>
      </c>
      <c r="AAZ69" s="20" t="n">
        <f aca="false">IF(H_Direct=1,IF(CM69&lt;=0,AAY69-CM69*TZ69,AAY69-MIN(MIN(CM69*TZ69,(XL69+AAY69)),AAY69)),AAY69)</f>
        <v>0</v>
      </c>
      <c r="ABA69" s="20" t="n">
        <f aca="false">IF(H_Direct=1,IF(CN69&lt;=0,AAZ69-CN69*UA69,AAZ69-MIN(MIN(CN69*UA69,(XM69+AAZ69)),AAZ69)),AAZ69)</f>
        <v>0</v>
      </c>
      <c r="ABB69" s="20" t="n">
        <f aca="false">IF(H_Direct=1,IF(CO69&lt;=0,ABA69-CO69*UB69,ABA69-MIN(MIN(CO69*UB69,(XN69+ABA69)),ABA69)),ABA69)</f>
        <v>0</v>
      </c>
      <c r="ABC69" s="20" t="n">
        <f aca="false">IF(H_Direct=1,IF(CP69&lt;=0,ABB69-CP69*UC69,ABB69-MIN(MIN(CP69*UC69,(XO69+ABB69)),ABB69)),ABB69)</f>
        <v>0</v>
      </c>
      <c r="ABD69" s="20" t="n">
        <f aca="false">IF(H_Direct=1,IF(CQ69&lt;=0,ABC69-CQ69*UD69,ABC69-MIN(MIN(CQ69*UD69,(XP69+ABC69)),ABC69)),ABC69)</f>
        <v>0</v>
      </c>
      <c r="ABE69" s="20" t="n">
        <f aca="false">IF(H_Direct=1,IF(CR69&lt;=0,ABD69-CR69*UE69,ABD69-MIN(MIN(CR69*UE69,(XQ69+ABD69)),ABD69)),ABD69)</f>
        <v>0</v>
      </c>
      <c r="ABF69" s="20" t="n">
        <f aca="false">IF(H_Direct=1,IF(CS69&lt;=0,ABE69-CS69*UF69,ABE69-MIN(MIN(CS69*UF69,(XR69+ABE69)),ABE69)),ABE69)</f>
        <v>0</v>
      </c>
      <c r="ABG69" s="20" t="n">
        <f aca="false">IF(H_Direct=1,IF(CT69&lt;=0,ABF69-CT69*UG69,ABF69-MIN(MIN(CT69*UG69,(XS69+ABF69)),ABF69)),ABF69)</f>
        <v>0</v>
      </c>
      <c r="ABH69" s="20" t="n">
        <f aca="false">IF(H_Direct=1,IF(CU69&lt;=0,ABG69-CU69*UH69,ABG69-MIN(MIN(CU69*UH69,(XT69+ABG69)),ABG69)),ABG69)</f>
        <v>0</v>
      </c>
      <c r="ABI69" s="20" t="n">
        <f aca="false">IF(H_Direct=1,IF(CV69&lt;=0,ABH69-CV69*UI69,ABH69-MIN(MIN(CV69*UI69,(XU69+ABH69)),ABH69)),ABH69)</f>
        <v>0</v>
      </c>
      <c r="ABJ69" s="20" t="n">
        <f aca="false">IF(H_Direct=1,IF(CW69&lt;=0,ABI69-CW69*UJ69,ABI69-MIN(MIN(CW69*UJ69,(XV69+ABI69)),ABI69)),ABI69)</f>
        <v>0</v>
      </c>
      <c r="ABK69" s="20" t="n">
        <f aca="false">IF(H_Direct=1,IF(CX69&lt;=0,ABJ69-CX69*UK69,ABJ69-MIN(MIN(CX69*UK69,(XW69+ABJ69)),ABJ69)),ABJ69)</f>
        <v>0</v>
      </c>
      <c r="ABL69" s="20" t="n">
        <f aca="false">IF(H_Direct=1,IF(CY69&lt;=0,ABK69-CY69*UL69,ABK69-MIN(MIN(CY69*UL69,(XX69+ABK69)),ABK69)),ABK69)</f>
        <v>0</v>
      </c>
      <c r="ABM69" s="20" t="n">
        <f aca="false">IF(H_Direct=1,IF(CZ69&lt;=0,ABL69-CZ69*UM69,ABL69-MIN(MIN(CZ69*UM69,(XY69+ABL69)),ABL69)),ABL69)</f>
        <v>0</v>
      </c>
      <c r="ABN69" s="20" t="n">
        <f aca="false">IF(H_Direct=1,IF(DA69&lt;=0,ABM69-DA69*UN69,ABM69-MIN(MIN(DA69*UN69,(XZ69+ABM69)),ABM69)),ABM69)</f>
        <v>0</v>
      </c>
      <c r="ABO69" s="20" t="n">
        <f aca="false">IF(H_Direct=1,IF(DB69&lt;=0,ABN69-DB69*UO69,ABN69-MIN(MIN(DB69*UO69,(YA69+ABN69)),ABN69)),ABN69)</f>
        <v>0</v>
      </c>
      <c r="ABP69" s="20" t="n">
        <f aca="false">IF(H_Direct=1,IF(DC69&lt;=0,ABO69-DC69*UP69,ABO69-MIN(MIN(DC69*UP69,(YB69+ABO69)),ABO69)),ABO69)</f>
        <v>0</v>
      </c>
      <c r="ABQ69" s="20" t="n">
        <f aca="false">IF(H_Direct=1,IF(DD69&lt;=0,ABP69-DD69*UQ69,ABP69-MIN(MIN(DD69*UQ69,(YC69+ABP69)),ABP69)),ABP69)</f>
        <v>0</v>
      </c>
      <c r="ABR69" s="20" t="n">
        <f aca="false">IF(H_Direct=1,IF(DE69&lt;=0,ABQ69-DE69*UR69,ABQ69-MIN(MIN(DE69*UR69,(YD69+ABQ69)),ABQ69)),ABQ69)</f>
        <v>0</v>
      </c>
      <c r="ABS69" s="20" t="n">
        <f aca="false">IF(H_Direct=1,IF(DF69&lt;=0,ABR69-DF69*US69,ABR69-MIN(MIN(DF69*US69,(YE69+ABR69)),ABR69)),ABR69)</f>
        <v>0</v>
      </c>
      <c r="ABT69" s="20" t="n">
        <f aca="false">IF(H_Direct=1,IF(DG69&lt;=0,ABS69-DG69*UT69,ABS69-MIN(MIN(DG69*UT69,(YF69+ABS69)),ABS69)),ABS69)</f>
        <v>0</v>
      </c>
      <c r="ABU69" s="20" t="n">
        <f aca="false">IF(H_Direct=1,IF(DH69&lt;=0,ABT69-DH69*UU69,ABT69-MIN(MIN(DH69*UU69,(YG69+ABT69)),ABT69)),ABT69)</f>
        <v>0</v>
      </c>
      <c r="ABV69" s="20" t="n">
        <f aca="false">IF(H_Direct=1,IF(DI69&lt;=0,ABU69-DI69*UV69,ABU69-MIN(MIN(DI69*UV69,(YH69+ABU69)),ABU69)),ABU69)</f>
        <v>0</v>
      </c>
      <c r="ABW69" s="20" t="n">
        <f aca="false">IF(H_Direct=1,IF(DJ69&lt;=0,ABV69-DJ69*UW69,ABV69-MIN(MIN(DJ69*UW69,(YI69+ABV69)),ABV69)),ABV69)</f>
        <v>0</v>
      </c>
      <c r="ABX69" s="20" t="n">
        <f aca="false">IF(H_Direct=1,IF(DK69&lt;=0,ABW69-DK69*UX69,ABW69-MIN(MIN(DK69*UX69,(YJ69+ABW69)),ABW69)),ABW69)</f>
        <v>0</v>
      </c>
      <c r="ABY69" s="20" t="n">
        <f aca="false">IF(H_Direct=1,IF(DL69&lt;=0,ABX69-DL69*UY69,ABX69-MIN(MIN(DL69*UY69,(YK69+ABX69)),ABX69)),ABX69)</f>
        <v>0</v>
      </c>
      <c r="ABZ69" s="20" t="n">
        <f aca="false">IF(H_Direct=1,IF(DM69&lt;=0,ABY69-DM69*UZ69,ABY69-MIN(MIN(DM69*UZ69,(YL69+ABY69)),ABY69)),ABY69)</f>
        <v>0</v>
      </c>
      <c r="ACA69" s="20" t="n">
        <f aca="false">IF(H_Direct=1,IF(DN69&lt;=0,ABZ69-DN69*VA69,ABZ69-MIN(MIN(DN69*VA69,(YM69+ABZ69)),ABZ69)),ABZ69)</f>
        <v>0</v>
      </c>
      <c r="ACB69" s="20" t="n">
        <f aca="false">IF(H_Direct=1,IF(DO69&lt;=0,ACA69-DO69*VB69,ACA69-MIN(MIN(DO69*VB69,(YN69+ACA69)),ACA69)),ACA69)</f>
        <v>0</v>
      </c>
      <c r="ACC69" s="20" t="n">
        <f aca="false">IF(H_Direct=1,IF(DP69&lt;=0,ACB69-DP69*VC69,ACB69-MIN(MIN(DP69*VC69,(YO69+ACB69)),ACB69)),ACB69)</f>
        <v>0</v>
      </c>
      <c r="ACD69" s="20" t="n">
        <f aca="false">IF(H_Direct=1,IF(DQ69&lt;=0,ACC69-DQ69*VD69,ACC69-MIN(MIN(DQ69*VD69,(YP69+ACC69)),ACC69)),ACC69)</f>
        <v>0</v>
      </c>
      <c r="ACE69" s="20" t="n">
        <f aca="false">IF(H_Direct=1,IF(DR69&lt;=0,ACD69-DR69*VE69,ACD69-MIN(MIN(DR69*VE69,(YQ69+ACD69)),ACD69)),ACD69)</f>
        <v>0</v>
      </c>
      <c r="ACF69" s="20" t="n">
        <f aca="false">IF(H_Direct=1,IF(DS69&lt;=0,ACE69-DS69*VF69,ACE69-MIN(MIN(DS69*VF69,(YR69+ACE69)),ACE69)),ACE69)</f>
        <v>0</v>
      </c>
      <c r="ACG69" s="20" t="n">
        <f aca="false">IF(H_Direct=1,IF(DT69&lt;=0,ACF69-DT69*VG69,ACF69-MIN(MIN(DT69*VG69,(YS69+ACF69)),ACF69)),ACF69)</f>
        <v>0</v>
      </c>
      <c r="ACH69" s="20" t="n">
        <f aca="false">IF(H_Direct=1,IF(DU69&lt;=0,ACG69-DU69*VH69,ACG69-MIN(MIN(DU69*VH69,(YT69+ACG69)),ACG69)),ACG69)</f>
        <v>0</v>
      </c>
      <c r="ACI69" s="20" t="n">
        <f aca="false">IF(H_Direct=1,IF(DV69&lt;=0,ACH69-DV69*VI69,ACH69-MIN(MIN(DV69*VI69,(YU69+ACH69)),ACH69)),ACH69)</f>
        <v>0</v>
      </c>
      <c r="ACJ69" s="20" t="n">
        <f aca="false">IF(H_Direct=1,IF(DW69&lt;=0,ACI69-DW69*VJ69,ACI69-MIN(MIN(DW69*VJ69,(YV69+ACI69)),ACI69)),ACI69)</f>
        <v>0</v>
      </c>
      <c r="ACK69" s="20" t="n">
        <f aca="false">IF(H_Direct=1,IF(DX69&lt;=0,ACJ69-DX69*VK69,ACJ69-MIN(MIN(DX69*VK69,(YW69+ACJ69)),ACJ69)),ACJ69)</f>
        <v>0</v>
      </c>
      <c r="ACL69" s="20" t="n">
        <f aca="false">IF(H_Direct=1,IF(DY69&lt;=0,ACK69-DY69*VL69,ACK69-MIN(MIN(DY69*VL69,(YX69+ACK69)),ACK69)),ACK69)</f>
        <v>0</v>
      </c>
      <c r="ACM69" s="20" t="n">
        <f aca="false">IF(H_Direct=1,IF(DZ69&lt;=0,ACL69-DZ69*VM69,ACL69-MIN(MIN(DZ69*VM69,(YY69+ACL69)),ACL69)),ACL69)</f>
        <v>0</v>
      </c>
      <c r="ACN69" s="20" t="n">
        <f aca="false">IF(H_Direct=1,IF(EA69&lt;=0,ACM69-EA69*VN69,ACM69-MIN(MIN(EA69*VN69,(YZ69+ACM69)),ACM69)),ACM69)</f>
        <v>0</v>
      </c>
      <c r="ACO69" s="20" t="n">
        <f aca="false">IF(H_Direct=1,IF(EB69&lt;=0,ACN69-EB69*VO69,ACN69-MIN(MIN(EB69*VO69,(ZA69+ACN69)),ACN69)),ACN69)</f>
        <v>0</v>
      </c>
      <c r="ACP69" s="20" t="n">
        <f aca="false">ACO69</f>
        <v>0</v>
      </c>
      <c r="ACQ69" s="20" t="n">
        <f aca="false">ACP69</f>
        <v>0</v>
      </c>
      <c r="ACR69" s="20" t="n">
        <f aca="false">ACQ69</f>
        <v>0</v>
      </c>
      <c r="ACS69" s="20" t="n">
        <f aca="false">ACR69</f>
        <v>0</v>
      </c>
      <c r="ACT69" s="20" t="n">
        <f aca="false">ACS69</f>
        <v>0</v>
      </c>
      <c r="ACU69" s="20" t="n">
        <f aca="false">ACT69</f>
        <v>0</v>
      </c>
      <c r="ACV69" s="20" t="n">
        <f aca="false">ACU69</f>
        <v>0</v>
      </c>
      <c r="ACW69" s="20" t="n">
        <f aca="false">ACV69</f>
        <v>0</v>
      </c>
      <c r="ACX69" s="20" t="n">
        <f aca="false">ACW69</f>
        <v>0</v>
      </c>
      <c r="ACY69" s="20" t="n">
        <f aca="false">ACX69</f>
        <v>0</v>
      </c>
      <c r="ACZ69" s="20" t="n">
        <f aca="false">ACY69</f>
        <v>0</v>
      </c>
      <c r="ADA69" s="20" t="n">
        <f aca="false">ACZ69</f>
        <v>0</v>
      </c>
      <c r="ADB69" s="20" t="n">
        <f aca="false">ADA69</f>
        <v>0</v>
      </c>
      <c r="ADC69" s="20" t="n">
        <f aca="false">ADB69</f>
        <v>0</v>
      </c>
      <c r="ADD69" s="20" t="n">
        <f aca="false">ADC69</f>
        <v>0</v>
      </c>
      <c r="ADE69" s="20" t="n">
        <f aca="false">ADD69</f>
        <v>0</v>
      </c>
      <c r="ADF69" s="20" t="n">
        <f aca="false">ADE69</f>
        <v>0</v>
      </c>
      <c r="ADG69" s="20" t="n">
        <f aca="false">ADF69</f>
        <v>0</v>
      </c>
      <c r="ADH69" s="20" t="n">
        <f aca="false">ADG69</f>
        <v>0</v>
      </c>
      <c r="ADI69" s="20" t="n">
        <f aca="false">ADH69</f>
        <v>0</v>
      </c>
      <c r="ADJ69" s="20" t="n">
        <f aca="false">ADI69</f>
        <v>0</v>
      </c>
      <c r="ADK69" s="20" t="n">
        <f aca="false">ADJ69</f>
        <v>0</v>
      </c>
      <c r="ADL69" s="20" t="n">
        <f aca="false">ADK69</f>
        <v>0</v>
      </c>
      <c r="ADM69" s="20" t="n">
        <f aca="false">ADL69</f>
        <v>0</v>
      </c>
      <c r="ADN69" s="20" t="n">
        <f aca="false">ADM69</f>
        <v>0</v>
      </c>
      <c r="ADO69" s="20" t="n">
        <f aca="false">ADN69</f>
        <v>0</v>
      </c>
      <c r="ADP69" s="20" t="n">
        <f aca="false">ADO69</f>
        <v>0</v>
      </c>
      <c r="ADQ69" s="20" t="n">
        <f aca="false">ADP69</f>
        <v>0</v>
      </c>
      <c r="ADR69" s="20" t="n">
        <f aca="false">(AKR68-TE69+0)*(1+BQ69)</f>
        <v>0</v>
      </c>
      <c r="ADS69" s="20" t="n">
        <f aca="false">(AKS68-TF69+0)*(1+BQ69)</f>
        <v>0</v>
      </c>
      <c r="ADT69" s="20" t="n">
        <f aca="false">(AKT68-TG69+0)*(1+BQ69)</f>
        <v>0</v>
      </c>
      <c r="ADU69" s="20" t="n">
        <f aca="false">(AKU68-TH69+0)*(1+BQ69)</f>
        <v>0</v>
      </c>
      <c r="ADV69" s="20" t="n">
        <f aca="false">(AKV68-TI69+0)*(1+BQ69)</f>
        <v>0</v>
      </c>
      <c r="ADW69" s="20" t="n">
        <f aca="false">(AKW68-TJ69+0)*(1+BQ69)</f>
        <v>0</v>
      </c>
      <c r="ADX69" s="20" t="n">
        <f aca="false">(AKX68-TK69+0)*(1+BQ69)</f>
        <v>0</v>
      </c>
      <c r="ADY69" s="20" t="n">
        <f aca="false">(AKY68-TL69+0)*(1+BQ69)</f>
        <v>0</v>
      </c>
      <c r="ADZ69" s="20" t="n">
        <f aca="false">(AKZ68-TM69+0)*(1+BQ69)</f>
        <v>0</v>
      </c>
      <c r="AEA69" s="20" t="n">
        <f aca="false">(ALA68-TN69+0)*(1+BQ69)</f>
        <v>0</v>
      </c>
      <c r="AEB69" s="20" t="n">
        <f aca="false">(ALB68-TO69+0)*(1+BQ69)</f>
        <v>0</v>
      </c>
      <c r="AEC69" s="20" t="n">
        <f aca="false">(ALC68-TP69+0)*(1+BQ69)</f>
        <v>0</v>
      </c>
      <c r="AED69" s="20" t="n">
        <f aca="false">(ALD68-TQ69+0)*(1+BQ69)</f>
        <v>0</v>
      </c>
      <c r="AEE69" s="20" t="n">
        <f aca="false">(ALE68-TR69+0)*(1+BQ69)</f>
        <v>0</v>
      </c>
      <c r="AEF69" s="20" t="n">
        <f aca="false">(ALF68-TS69+0)*(1+BQ69)</f>
        <v>0</v>
      </c>
      <c r="AEG69" s="20" t="n">
        <f aca="false">(ALG68-TT69+0)*(1+BQ69)</f>
        <v>0</v>
      </c>
      <c r="AEH69" s="20" t="n">
        <f aca="false">(ALH68-TU69+0)*(1+BQ69)</f>
        <v>0</v>
      </c>
      <c r="AEI69" s="20" t="n">
        <f aca="false">(ALI68-TV69+0)*(1+BQ69)</f>
        <v>0</v>
      </c>
      <c r="AEJ69" s="20" t="n">
        <f aca="false">(ALJ68-TW69+0)*(1+BQ69)</f>
        <v>0</v>
      </c>
      <c r="AEK69" s="20" t="n">
        <f aca="false">(ALK68-TX69+0)*(1+BQ69)</f>
        <v>0</v>
      </c>
      <c r="AEL69" s="20" t="n">
        <f aca="false">(ALL68-TY69+0)*(1+BQ69)</f>
        <v>0</v>
      </c>
      <c r="AEM69" s="20" t="n">
        <f aca="false">(ALM68-TZ69+0)*(1+BQ69)</f>
        <v>0</v>
      </c>
      <c r="AEN69" s="20" t="n">
        <f aca="false">(ALN68-UA69+0)*(1+BQ69)</f>
        <v>0</v>
      </c>
      <c r="AEO69" s="20" t="n">
        <f aca="false">(ALO68-UB69+0)*(1+BQ69)</f>
        <v>0</v>
      </c>
      <c r="AEP69" s="20" t="n">
        <f aca="false">(ALP68-UC69+0)*(1+BQ69)</f>
        <v>0</v>
      </c>
      <c r="AEQ69" s="20" t="n">
        <f aca="false">(ALQ68-UD69+0)*(1+BQ69)</f>
        <v>0</v>
      </c>
      <c r="AER69" s="20" t="n">
        <f aca="false">(ALR68-UE69+0)*(1+BQ69)</f>
        <v>0</v>
      </c>
      <c r="AES69" s="20" t="n">
        <f aca="false">(ALS68-UF69+0)*(1+BQ69)</f>
        <v>0</v>
      </c>
      <c r="AET69" s="20" t="n">
        <f aca="false">(ALT68-UG69+0)*(1+BQ69)</f>
        <v>0</v>
      </c>
      <c r="AEU69" s="20" t="n">
        <f aca="false">(ALU68-UH69+0)*(1+BQ69)</f>
        <v>0</v>
      </c>
      <c r="AEV69" s="20" t="n">
        <f aca="false">(ALV68-UI69+0)*(1+BQ69)</f>
        <v>0</v>
      </c>
      <c r="AEW69" s="20" t="n">
        <f aca="false">(ALW68-UJ69+0)*(1+BQ69)</f>
        <v>0</v>
      </c>
      <c r="AEX69" s="20" t="n">
        <f aca="false">(ALX68-UK69+0)*(1+BQ69)</f>
        <v>0</v>
      </c>
      <c r="AEY69" s="20" t="n">
        <f aca="false">(ALY68-UL69+0)*(1+BQ69)</f>
        <v>0</v>
      </c>
      <c r="AEZ69" s="20" t="n">
        <f aca="false">(ALZ68-UM69+0)*(1+BQ69)</f>
        <v>0</v>
      </c>
      <c r="AFA69" s="20" t="n">
        <f aca="false">(AMA68-UN69+0)*(1+BQ69)</f>
        <v>0</v>
      </c>
      <c r="AFB69" s="20" t="n">
        <f aca="false">(AMB68-UO69+0)*(1+BQ69)</f>
        <v>0</v>
      </c>
      <c r="AFC69" s="20" t="n">
        <f aca="false">(AMC68-UP69+0)*(1+BQ69)</f>
        <v>0</v>
      </c>
      <c r="AFD69" s="20" t="n">
        <f aca="false">(AMD68-UQ69+0)*(1+BQ69)</f>
        <v>0</v>
      </c>
      <c r="AFE69" s="20" t="n">
        <f aca="false">(AME68-UR69+0)*(1+BQ69)</f>
        <v>0</v>
      </c>
      <c r="AFF69" s="20" t="n">
        <f aca="false">(AMF68-US69+0)*(1+BQ69)</f>
        <v>0</v>
      </c>
      <c r="AFG69" s="20" t="n">
        <f aca="false">(AMG68-UT69+0)*(1+BQ69)</f>
        <v>0</v>
      </c>
      <c r="AFH69" s="20" t="n">
        <f aca="false">(AMH68-UU69+0)*(1+BQ69)</f>
        <v>0</v>
      </c>
      <c r="AFI69" s="20" t="n">
        <f aca="false">(AMI68-UV69+0)*(1+BQ69)</f>
        <v>0</v>
      </c>
      <c r="AFJ69" s="20" t="n">
        <f aca="false">(AMJ68-UW69+0)*(1+BQ69)</f>
        <v>0</v>
      </c>
      <c r="AFK69" s="20" t="n">
        <f aca="false">(AMK68-UX69+0)*(1+BQ69)</f>
        <v>0</v>
      </c>
      <c r="AFL69" s="20" t="n">
        <f aca="false">(AML68-UY69+0)*(1+BQ69)</f>
        <v>0</v>
      </c>
      <c r="AFM69" s="20" t="n">
        <f aca="false">(AMM68-UZ69+0)*(1+BQ69)</f>
        <v>0</v>
      </c>
      <c r="AFN69" s="20" t="n">
        <f aca="false">(AMN68-VA69+0)*(1+BQ69)</f>
        <v>0</v>
      </c>
      <c r="AFO69" s="20" t="n">
        <f aca="false">(AMO68-VB69+0)*(1+BQ69)</f>
        <v>0</v>
      </c>
      <c r="AFP69" s="20" t="n">
        <f aca="false">(AMP68-VC69+0)*(1+BQ69)</f>
        <v>0</v>
      </c>
      <c r="AFQ69" s="20" t="n">
        <f aca="false">(AMQ68-VD69+0)*(1+BQ69)</f>
        <v>0</v>
      </c>
      <c r="AFR69" s="20" t="n">
        <f aca="false">(AMR68-VE69+0)*(1+BQ69)</f>
        <v>0</v>
      </c>
      <c r="AFS69" s="20" t="n">
        <f aca="false">(AMS68-VF69+0)*(1+BQ69)</f>
        <v>0</v>
      </c>
      <c r="AFT69" s="20" t="n">
        <f aca="false">(AMT68-VG69+0)*(1+BQ69)</f>
        <v>0</v>
      </c>
      <c r="AFU69" s="20" t="n">
        <f aca="false">(AMU68-VH69+0)*(1+BQ69)</f>
        <v>0</v>
      </c>
      <c r="AFV69" s="20" t="n">
        <f aca="false">(AMV68-VI69+0)*(1+BQ69)</f>
        <v>0</v>
      </c>
      <c r="AFW69" s="20" t="n">
        <f aca="false">(AMW68-VJ69+0)*(1+BQ69)</f>
        <v>0</v>
      </c>
      <c r="AFX69" s="20" t="n">
        <f aca="false">(AMX68-VK69+0)*(1+BQ69)</f>
        <v>0</v>
      </c>
      <c r="AFY69" s="20" t="n">
        <f aca="false">(AMY68-VL69+0)*(1+BQ69)</f>
        <v>0</v>
      </c>
      <c r="AFZ69" s="20" t="n">
        <f aca="false">(AMZ68-VM69+0)*(1+BQ69)</f>
        <v>0</v>
      </c>
      <c r="AGA69" s="20" t="n">
        <f aca="false">(ANA68-VN69+0)*(1+BQ69)</f>
        <v>0</v>
      </c>
      <c r="AGB69" s="20" t="n">
        <f aca="false">((P69+S69)-VO69+BE69)*(1+BQ69)</f>
        <v>0</v>
      </c>
      <c r="AGC69" s="20" t="n">
        <v>0</v>
      </c>
      <c r="AGD69" s="20" t="n">
        <v>0</v>
      </c>
      <c r="AGE69" s="20" t="n">
        <v>0</v>
      </c>
      <c r="AGF69" s="20" t="n">
        <v>0</v>
      </c>
      <c r="AGG69" s="20" t="n">
        <v>0</v>
      </c>
      <c r="AGH69" s="20" t="n">
        <v>0</v>
      </c>
      <c r="AGI69" s="20" t="n">
        <v>0</v>
      </c>
      <c r="AGJ69" s="20" t="n">
        <v>0</v>
      </c>
      <c r="AGK69" s="20" t="n">
        <v>0</v>
      </c>
      <c r="AGL69" s="20" t="n">
        <v>0</v>
      </c>
      <c r="AGM69" s="20" t="n">
        <v>0</v>
      </c>
      <c r="AGN69" s="20" t="n">
        <v>0</v>
      </c>
      <c r="AGO69" s="20" t="n">
        <v>0</v>
      </c>
      <c r="AGP69" s="20" t="n">
        <v>0</v>
      </c>
      <c r="AGQ69" s="20" t="n">
        <v>0</v>
      </c>
      <c r="AGR69" s="20" t="n">
        <v>0</v>
      </c>
      <c r="AGS69" s="20" t="n">
        <v>0</v>
      </c>
      <c r="AGT69" s="20" t="n">
        <v>0</v>
      </c>
      <c r="AGU69" s="20" t="n">
        <v>0</v>
      </c>
      <c r="AGV69" s="20" t="n">
        <v>0</v>
      </c>
      <c r="AGW69" s="20" t="n">
        <v>0</v>
      </c>
      <c r="AGX69" s="20" t="n">
        <v>0</v>
      </c>
      <c r="AGY69" s="20" t="n">
        <v>0</v>
      </c>
      <c r="AGZ69" s="20" t="n">
        <v>0</v>
      </c>
      <c r="AHA69" s="20" t="n">
        <v>0</v>
      </c>
      <c r="AHB69" s="20" t="n">
        <v>0</v>
      </c>
      <c r="AHC69" s="20" t="n">
        <v>0</v>
      </c>
      <c r="AHD69" s="20" t="n">
        <v>0</v>
      </c>
      <c r="AHE69" s="20" t="n">
        <f aca="false">IF(AKR68&gt;0,AOE68-AOE68*TE69/AKR68,0)+0</f>
        <v>0</v>
      </c>
      <c r="AHF69" s="20" t="n">
        <f aca="false">IF(AKS68&gt;0,AOF68-AOF68*TF69/AKS68,0)+0</f>
        <v>0</v>
      </c>
      <c r="AHG69" s="20" t="n">
        <f aca="false">IF(AKT68&gt;0,AOG68-AOG68*TG69/AKT68,0)+0</f>
        <v>0</v>
      </c>
      <c r="AHH69" s="20" t="n">
        <f aca="false">IF(AKU68&gt;0,AOH68-AOH68*TH69/AKU68,0)+0</f>
        <v>0</v>
      </c>
      <c r="AHI69" s="20" t="n">
        <f aca="false">IF(AKV68&gt;0,AOI68-AOI68*TI69/AKV68,0)+0</f>
        <v>0</v>
      </c>
      <c r="AHJ69" s="20" t="n">
        <f aca="false">IF(AKW68&gt;0,AOJ68-AOJ68*TJ69/AKW68,0)+0</f>
        <v>0</v>
      </c>
      <c r="AHK69" s="20" t="n">
        <f aca="false">IF(AKX68&gt;0,AOK68-AOK68*TK69/AKX68,0)+0</f>
        <v>0</v>
      </c>
      <c r="AHL69" s="20" t="n">
        <f aca="false">IF(AKY68&gt;0,AOL68-AOL68*TL69/AKY68,0)+0</f>
        <v>0</v>
      </c>
      <c r="AHM69" s="20" t="n">
        <f aca="false">IF(AKZ68&gt;0,AOM68-AOM68*TM69/AKZ68,0)+0</f>
        <v>0</v>
      </c>
      <c r="AHN69" s="20" t="n">
        <f aca="false">IF(ALA68&gt;0,AON68-AON68*TN69/ALA68,0)+0</f>
        <v>0</v>
      </c>
      <c r="AHO69" s="20" t="n">
        <f aca="false">IF(ALB68&gt;0,AOO68-AOO68*TO69/ALB68,0)+0</f>
        <v>0</v>
      </c>
      <c r="AHP69" s="20" t="n">
        <f aca="false">IF(ALC68&gt;0,AOP68-AOP68*TP69/ALC68,0)+0</f>
        <v>0</v>
      </c>
      <c r="AHQ69" s="20" t="n">
        <f aca="false">IF(ALD68&gt;0,AOQ68-AOQ68*TQ69/ALD68,0)+0</f>
        <v>0</v>
      </c>
      <c r="AHR69" s="20" t="n">
        <f aca="false">IF(ALE68&gt;0,AOR68-AOR68*TR69/ALE68,0)+0</f>
        <v>0</v>
      </c>
      <c r="AHS69" s="20" t="n">
        <f aca="false">IF(ALF68&gt;0,AOS68-AOS68*TS69/ALF68,0)+0</f>
        <v>0</v>
      </c>
      <c r="AHT69" s="20" t="n">
        <f aca="false">IF(ALG68&gt;0,AOT68-AOT68*TT69/ALG68,0)+0</f>
        <v>0</v>
      </c>
      <c r="AHU69" s="20" t="n">
        <f aca="false">IF(ALH68&gt;0,AOU68-AOU68*TU69/ALH68,0)+0</f>
        <v>0</v>
      </c>
      <c r="AHV69" s="20" t="n">
        <f aca="false">IF(ALI68&gt;0,AOV68-AOV68*TV69/ALI68,0)+0</f>
        <v>0</v>
      </c>
      <c r="AHW69" s="20" t="n">
        <f aca="false">IF(ALJ68&gt;0,AOW68-AOW68*TW69/ALJ68,0)+0</f>
        <v>0</v>
      </c>
      <c r="AHX69" s="20" t="n">
        <f aca="false">IF(ALK68&gt;0,AOX68-AOX68*TX69/ALK68,0)+0</f>
        <v>0</v>
      </c>
      <c r="AHY69" s="20" t="n">
        <f aca="false">IF(ALL68&gt;0,AOY68-AOY68*TY69/ALL68,0)+0</f>
        <v>0</v>
      </c>
      <c r="AHZ69" s="20" t="n">
        <f aca="false">IF(ALM68&gt;0,AOZ68-AOZ68*TZ69/ALM68,0)+0</f>
        <v>0</v>
      </c>
      <c r="AIA69" s="20" t="n">
        <f aca="false">IF(ALN68&gt;0,APA68-APA68*UA69/ALN68,0)+0</f>
        <v>0</v>
      </c>
      <c r="AIB69" s="20" t="n">
        <f aca="false">IF(ALO68&gt;0,APB68-APB68*UB69/ALO68,0)+0</f>
        <v>0</v>
      </c>
      <c r="AIC69" s="20" t="n">
        <f aca="false">IF(ALP68&gt;0,APC68-APC68*UC69/ALP68,0)+0</f>
        <v>0</v>
      </c>
      <c r="AID69" s="20" t="n">
        <f aca="false">IF(ALQ68&gt;0,APD68-APD68*UD69/ALQ68,0)+0</f>
        <v>0</v>
      </c>
      <c r="AIE69" s="20" t="n">
        <f aca="false">IF(ALR68&gt;0,APE68-APE68*UE69/ALR68,0)+0</f>
        <v>0</v>
      </c>
      <c r="AIF69" s="20" t="n">
        <f aca="false">IF(ALS68&gt;0,APF68-APF68*UF69/ALS68,0)+0</f>
        <v>0</v>
      </c>
      <c r="AIG69" s="20" t="n">
        <f aca="false">IF(ALT68&gt;0,APG68-APG68*UG69/ALT68,0)+0</f>
        <v>0</v>
      </c>
      <c r="AIH69" s="20" t="n">
        <f aca="false">IF(ALU68&gt;0,APH68-APH68*UH69/ALU68,0)+0</f>
        <v>0</v>
      </c>
      <c r="AII69" s="20" t="n">
        <f aca="false">IF(ALV68&gt;0,API68-API68*UI69/ALV68,0)+0</f>
        <v>0</v>
      </c>
      <c r="AIJ69" s="20" t="n">
        <f aca="false">IF(ALW68&gt;0,APJ68-APJ68*UJ69/ALW68,0)+0</f>
        <v>0</v>
      </c>
      <c r="AIK69" s="20" t="n">
        <f aca="false">IF(ALX68&gt;0,APK68-APK68*UK69/ALX68,0)+0</f>
        <v>0</v>
      </c>
      <c r="AIL69" s="20" t="n">
        <f aca="false">IF(ALY68&gt;0,APL68-APL68*UL69/ALY68,0)+0</f>
        <v>0</v>
      </c>
      <c r="AIM69" s="20" t="n">
        <f aca="false">IF(ALZ68&gt;0,APM68-APM68*UM69/ALZ68,0)+0</f>
        <v>0</v>
      </c>
      <c r="AIN69" s="20" t="n">
        <f aca="false">IF(AMA68&gt;0,APN68-APN68*UN69/AMA68,0)+0</f>
        <v>0</v>
      </c>
      <c r="AIO69" s="20" t="n">
        <f aca="false">IF(AMB68&gt;0,APO68-APO68*UO69/AMB68,0)+0</f>
        <v>0</v>
      </c>
      <c r="AIP69" s="20" t="n">
        <f aca="false">IF(AMC68&gt;0,APP68-APP68*UP69/AMC68,0)+0</f>
        <v>0</v>
      </c>
      <c r="AIQ69" s="20" t="n">
        <f aca="false">IF(AMD68&gt;0,APQ68-APQ68*UQ69/AMD68,0)+0</f>
        <v>0</v>
      </c>
      <c r="AIR69" s="20" t="n">
        <f aca="false">IF(AME68&gt;0,APR68-APR68*UR69/AME68,0)+0</f>
        <v>0</v>
      </c>
      <c r="AIS69" s="20" t="n">
        <f aca="false">IF(AMF68&gt;0,APS68-APS68*US69/AMF68,0)+0</f>
        <v>0</v>
      </c>
      <c r="AIT69" s="20" t="n">
        <f aca="false">IF(AMG68&gt;0,APT68-APT68*UT69/AMG68,0)+0</f>
        <v>0</v>
      </c>
      <c r="AIU69" s="20" t="n">
        <f aca="false">IF(AMH68&gt;0,APU68-APU68*UU69/AMH68,0)+0</f>
        <v>0</v>
      </c>
      <c r="AIV69" s="20" t="n">
        <f aca="false">IF(AMI68&gt;0,APV68-APV68*UV69/AMI68,0)+0</f>
        <v>0</v>
      </c>
      <c r="AIW69" s="20" t="n">
        <f aca="false">IF(AMJ68&gt;0,APW68-APW68*UW69/AMJ68,0)+0</f>
        <v>0</v>
      </c>
      <c r="AIX69" s="20" t="n">
        <f aca="false">IF(AMK68&gt;0,APX68-APX68*UX69/AMK68,0)+0</f>
        <v>0</v>
      </c>
      <c r="AIY69" s="20" t="n">
        <f aca="false">IF(AML68&gt;0,APY68-APY68*UY69/AML68,0)+0</f>
        <v>0</v>
      </c>
      <c r="AIZ69" s="20" t="n">
        <f aca="false">IF(AMM68&gt;0,APZ68-APZ68*UZ69/AMM68,0)+0</f>
        <v>0</v>
      </c>
      <c r="AJA69" s="20" t="n">
        <f aca="false">IF(AMN68&gt;0,AQA68-AQA68*VA69/AMN68,0)+0</f>
        <v>0</v>
      </c>
      <c r="AJB69" s="20" t="n">
        <f aca="false">IF(AMO68&gt;0,AQB68-AQB68*VB69/AMO68,0)+0</f>
        <v>0</v>
      </c>
      <c r="AJC69" s="20" t="n">
        <f aca="false">IF(AMP68&gt;0,AQC68-AQC68*VC69/AMP68,0)+0</f>
        <v>0</v>
      </c>
      <c r="AJD69" s="20" t="n">
        <f aca="false">IF(AMQ68&gt;0,AQD68-AQD68*VD69/AMQ68,0)+0</f>
        <v>0</v>
      </c>
      <c r="AJE69" s="20" t="n">
        <f aca="false">IF(AMR68&gt;0,AQE68-AQE68*VE69/AMR68,0)+0</f>
        <v>0</v>
      </c>
      <c r="AJF69" s="20" t="n">
        <f aca="false">IF(AMS68&gt;0,AQF68-AQF68*VF69/AMS68,0)+0</f>
        <v>0</v>
      </c>
      <c r="AJG69" s="20" t="n">
        <f aca="false">IF(AMT68&gt;0,AQG68-AQG68*VG69/AMT68,0)+0</f>
        <v>0</v>
      </c>
      <c r="AJH69" s="20" t="n">
        <f aca="false">IF(AMU68&gt;0,AQH68-AQH68*VH69/AMU68,0)+0</f>
        <v>0</v>
      </c>
      <c r="AJI69" s="20" t="n">
        <f aca="false">IF(AMV68&gt;0,AQI68-AQI68*VI69/AMV68,0)+0</f>
        <v>0</v>
      </c>
      <c r="AJJ69" s="20" t="n">
        <f aca="false">IF(AMW68&gt;0,AQJ68-AQJ68*VJ69/AMW68,0)+0</f>
        <v>0</v>
      </c>
      <c r="AJK69" s="20" t="n">
        <f aca="false">IF(AMX68&gt;0,AQK68-AQK68*VK69/AMX68,0)+0</f>
        <v>0</v>
      </c>
      <c r="AJL69" s="20" t="n">
        <f aca="false">IF(AMY68&gt;0,AQL68-AQL68*VL69/AMY68,0)+0</f>
        <v>0</v>
      </c>
      <c r="AJM69" s="20" t="n">
        <f aca="false">IF(AMZ68&gt;0,AQM68-AQM68*VM69/AMZ68,0)+0</f>
        <v>0</v>
      </c>
      <c r="AJN69" s="20" t="n">
        <f aca="false">IF(ANA68&gt;0,AQN68-AQN68*VN69/ANA68,0)+0</f>
        <v>0</v>
      </c>
      <c r="AJO69" s="20" t="n">
        <f aca="false">IF((P69+S69)&gt;0,(P69+S69)-(P69+S69)*VO69/(P69+S69),0)+BE69</f>
        <v>0</v>
      </c>
      <c r="AJP69" s="20" t="n">
        <v>0</v>
      </c>
      <c r="AJQ69" s="20" t="n">
        <v>0</v>
      </c>
      <c r="AJR69" s="20" t="n">
        <v>0</v>
      </c>
      <c r="AJS69" s="20" t="n">
        <v>0</v>
      </c>
      <c r="AJT69" s="20" t="n">
        <v>0</v>
      </c>
      <c r="AJU69" s="20" t="n">
        <v>0</v>
      </c>
      <c r="AJV69" s="20" t="n">
        <v>0</v>
      </c>
      <c r="AJW69" s="20" t="n">
        <v>0</v>
      </c>
      <c r="AJX69" s="20" t="n">
        <v>0</v>
      </c>
      <c r="AJY69" s="20" t="n">
        <v>0</v>
      </c>
      <c r="AJZ69" s="20" t="n">
        <v>0</v>
      </c>
      <c r="AKA69" s="20" t="n">
        <v>0</v>
      </c>
      <c r="AKB69" s="20" t="n">
        <v>0</v>
      </c>
      <c r="AKC69" s="20" t="n">
        <v>0</v>
      </c>
      <c r="AKD69" s="20" t="n">
        <v>0</v>
      </c>
      <c r="AKE69" s="20" t="n">
        <v>0</v>
      </c>
      <c r="AKF69" s="20" t="n">
        <v>0</v>
      </c>
      <c r="AKG69" s="20" t="n">
        <v>0</v>
      </c>
      <c r="AKH69" s="20" t="n">
        <v>0</v>
      </c>
      <c r="AKI69" s="20" t="n">
        <v>0</v>
      </c>
      <c r="AKJ69" s="20" t="n">
        <v>0</v>
      </c>
      <c r="AKK69" s="20" t="n">
        <v>0</v>
      </c>
      <c r="AKL69" s="20" t="n">
        <v>0</v>
      </c>
      <c r="AKM69" s="20" t="n">
        <v>0</v>
      </c>
      <c r="AKN69" s="20" t="n">
        <v>0</v>
      </c>
      <c r="AKO69" s="20" t="n">
        <v>0</v>
      </c>
      <c r="AKP69" s="20" t="n">
        <v>0</v>
      </c>
      <c r="AKQ69" s="20" t="n">
        <v>0</v>
      </c>
      <c r="AKR69" s="20" t="n">
        <f aca="false">ADR69-AVE69</f>
        <v>0</v>
      </c>
      <c r="AKS69" s="20" t="n">
        <f aca="false">ADS69-AVF69</f>
        <v>0</v>
      </c>
      <c r="AKT69" s="20" t="n">
        <f aca="false">ADT69-AVG69</f>
        <v>0</v>
      </c>
      <c r="AKU69" s="20" t="n">
        <f aca="false">ADU69-AVH69</f>
        <v>0</v>
      </c>
      <c r="AKV69" s="20" t="n">
        <f aca="false">ADV69-AVI69</f>
        <v>0</v>
      </c>
      <c r="AKW69" s="20" t="n">
        <f aca="false">ADW69-AVJ69</f>
        <v>0</v>
      </c>
      <c r="AKX69" s="20" t="n">
        <f aca="false">ADX69-AVK69</f>
        <v>0</v>
      </c>
      <c r="AKY69" s="20" t="n">
        <f aca="false">ADY69-AVL69</f>
        <v>0</v>
      </c>
      <c r="AKZ69" s="20" t="n">
        <f aca="false">ADZ69-AVM69</f>
        <v>0</v>
      </c>
      <c r="ALA69" s="20" t="n">
        <f aca="false">AEA69-AVN69</f>
        <v>0</v>
      </c>
      <c r="ALB69" s="20" t="n">
        <f aca="false">AEB69-AVO69</f>
        <v>0</v>
      </c>
      <c r="ALC69" s="20" t="n">
        <f aca="false">AEC69-AVP69</f>
        <v>0</v>
      </c>
      <c r="ALD69" s="20" t="n">
        <f aca="false">AED69-AVQ69</f>
        <v>0</v>
      </c>
      <c r="ALE69" s="20" t="n">
        <f aca="false">AEE69-AVR69</f>
        <v>0</v>
      </c>
      <c r="ALF69" s="20" t="n">
        <f aca="false">AEF69-AVS69</f>
        <v>0</v>
      </c>
      <c r="ALG69" s="20" t="n">
        <f aca="false">AEG69-AVT69</f>
        <v>0</v>
      </c>
      <c r="ALH69" s="20" t="n">
        <f aca="false">AEH69-AVU69</f>
        <v>0</v>
      </c>
      <c r="ALI69" s="20" t="n">
        <f aca="false">AEI69-AVV69</f>
        <v>0</v>
      </c>
      <c r="ALJ69" s="20" t="n">
        <f aca="false">AEJ69-AVW69</f>
        <v>0</v>
      </c>
      <c r="ALK69" s="20" t="n">
        <f aca="false">AEK69-AVX69</f>
        <v>0</v>
      </c>
      <c r="ALL69" s="20" t="n">
        <f aca="false">AEL69-AVY69</f>
        <v>0</v>
      </c>
      <c r="ALM69" s="20" t="n">
        <f aca="false">AEM69-AVZ69</f>
        <v>0</v>
      </c>
      <c r="ALN69" s="20" t="n">
        <f aca="false">AEN69-AWA69</f>
        <v>0</v>
      </c>
      <c r="ALO69" s="20" t="n">
        <f aca="false">AEO69-AWB69</f>
        <v>0</v>
      </c>
      <c r="ALP69" s="20" t="n">
        <f aca="false">AEP69-AWC69</f>
        <v>0</v>
      </c>
      <c r="ALQ69" s="20" t="n">
        <f aca="false">AEQ69-AWD69</f>
        <v>0</v>
      </c>
      <c r="ALR69" s="20" t="n">
        <f aca="false">AER69-AWE69</f>
        <v>0</v>
      </c>
      <c r="ALS69" s="20" t="n">
        <f aca="false">AES69-AWF69</f>
        <v>0</v>
      </c>
      <c r="ALT69" s="20" t="n">
        <f aca="false">AET69-AWG69</f>
        <v>0</v>
      </c>
      <c r="ALU69" s="20" t="n">
        <f aca="false">AEU69-AWH69</f>
        <v>0</v>
      </c>
      <c r="ALV69" s="20" t="n">
        <f aca="false">AEV69-AWI69</f>
        <v>0</v>
      </c>
      <c r="ALW69" s="20" t="n">
        <f aca="false">AEW69-AWJ69</f>
        <v>0</v>
      </c>
      <c r="ALX69" s="20" t="n">
        <f aca="false">AEX69-AWK69</f>
        <v>0</v>
      </c>
      <c r="ALY69" s="20" t="n">
        <f aca="false">AEY69-AWL69</f>
        <v>0</v>
      </c>
      <c r="ALZ69" s="20" t="n">
        <f aca="false">AEZ69-AWM69</f>
        <v>0</v>
      </c>
      <c r="AMA69" s="20" t="n">
        <f aca="false">AFA69-AWN69</f>
        <v>0</v>
      </c>
      <c r="AMB69" s="20" t="n">
        <f aca="false">AFB69-AWO69</f>
        <v>0</v>
      </c>
      <c r="AMC69" s="20" t="n">
        <f aca="false">AFC69-AWP69</f>
        <v>0</v>
      </c>
      <c r="AMD69" s="20" t="n">
        <f aca="false">AFD69-AWQ69</f>
        <v>0</v>
      </c>
      <c r="AME69" s="20" t="n">
        <f aca="false">AFE69-AWR69</f>
        <v>0</v>
      </c>
      <c r="AMF69" s="20" t="n">
        <f aca="false">AFF69-AWS69</f>
        <v>0</v>
      </c>
      <c r="AMG69" s="20" t="n">
        <f aca="false">AFG69-AWT69</f>
        <v>0</v>
      </c>
      <c r="AMH69" s="20" t="n">
        <f aca="false">AFH69-AWU69</f>
        <v>0</v>
      </c>
      <c r="AMI69" s="20" t="n">
        <f aca="false">AFI69-AWV69</f>
        <v>0</v>
      </c>
      <c r="AMJ69" s="20" t="n">
        <f aca="false">AFJ69-AWW69</f>
        <v>0</v>
      </c>
      <c r="AMK69" s="20" t="n">
        <f aca="false">AFK69-AWX69</f>
        <v>0</v>
      </c>
      <c r="AML69" s="20" t="n">
        <f aca="false">AFL69-AWY69</f>
        <v>0</v>
      </c>
      <c r="AMM69" s="20" t="n">
        <f aca="false">AFM69-AWZ69</f>
        <v>0</v>
      </c>
      <c r="AMN69" s="20" t="n">
        <f aca="false">AFN69-AXA69</f>
        <v>0</v>
      </c>
      <c r="AMO69" s="20" t="n">
        <f aca="false">AFO69-AXB69</f>
        <v>0</v>
      </c>
      <c r="AMP69" s="20" t="n">
        <f aca="false">AFP69-AXC69</f>
        <v>0</v>
      </c>
      <c r="AMQ69" s="20" t="n">
        <f aca="false">AFQ69-AXD69</f>
        <v>0</v>
      </c>
      <c r="AMR69" s="20" t="n">
        <f aca="false">AFR69-AXE69</f>
        <v>0</v>
      </c>
      <c r="AMS69" s="20" t="n">
        <f aca="false">AFS69-AXF69</f>
        <v>0</v>
      </c>
      <c r="AMT69" s="20" t="n">
        <f aca="false">AFT69-AXG69</f>
        <v>0</v>
      </c>
      <c r="AMU69" s="20" t="n">
        <f aca="false">AFU69-AXH69</f>
        <v>0</v>
      </c>
      <c r="AMV69" s="20" t="n">
        <f aca="false">AFV69-AXI69</f>
        <v>0</v>
      </c>
      <c r="AMW69" s="20" t="n">
        <f aca="false">AFW69-AXJ69</f>
        <v>0</v>
      </c>
      <c r="AMX69" s="20" t="n">
        <f aca="false">AFX69-AXK69</f>
        <v>0</v>
      </c>
      <c r="AMY69" s="20" t="n">
        <f aca="false">AFY69-AXL69</f>
        <v>0</v>
      </c>
      <c r="AMZ69" s="20" t="n">
        <f aca="false">AFZ69-AXM69</f>
        <v>0</v>
      </c>
      <c r="ANA69" s="20" t="n">
        <f aca="false">AGA69-AXN69</f>
        <v>0</v>
      </c>
      <c r="ANB69" s="20" t="n">
        <f aca="false">AGB69-AXO69</f>
        <v>0</v>
      </c>
      <c r="ANC69" s="20" t="n">
        <v>0</v>
      </c>
      <c r="AND69" s="20" t="n">
        <v>0</v>
      </c>
      <c r="ANE69" s="20" t="n">
        <v>0</v>
      </c>
      <c r="ANF69" s="20" t="n">
        <v>0</v>
      </c>
      <c r="ANG69" s="20" t="n">
        <v>0</v>
      </c>
      <c r="ANH69" s="20" t="n">
        <v>0</v>
      </c>
      <c r="ANI69" s="20" t="n">
        <v>0</v>
      </c>
      <c r="ANJ69" s="20" t="n">
        <v>0</v>
      </c>
      <c r="ANK69" s="20" t="n">
        <v>0</v>
      </c>
      <c r="ANL69" s="20" t="n">
        <v>0</v>
      </c>
      <c r="ANM69" s="20" t="n">
        <v>0</v>
      </c>
      <c r="ANN69" s="20" t="n">
        <v>0</v>
      </c>
      <c r="ANO69" s="20" t="n">
        <v>0</v>
      </c>
      <c r="ANP69" s="20" t="n">
        <v>0</v>
      </c>
      <c r="ANQ69" s="20" t="n">
        <v>0</v>
      </c>
      <c r="ANR69" s="20" t="n">
        <v>0</v>
      </c>
      <c r="ANS69" s="20" t="n">
        <v>0</v>
      </c>
      <c r="ANT69" s="20" t="n">
        <v>0</v>
      </c>
      <c r="ANU69" s="20" t="n">
        <v>0</v>
      </c>
      <c r="ANV69" s="20" t="n">
        <v>0</v>
      </c>
      <c r="ANW69" s="20" t="n">
        <v>0</v>
      </c>
      <c r="ANX69" s="20" t="n">
        <v>0</v>
      </c>
      <c r="ANY69" s="20" t="n">
        <v>0</v>
      </c>
      <c r="ANZ69" s="20" t="n">
        <v>0</v>
      </c>
      <c r="AOA69" s="20" t="n">
        <v>0</v>
      </c>
      <c r="AOB69" s="20" t="n">
        <v>0</v>
      </c>
      <c r="AOC69" s="20" t="n">
        <v>0</v>
      </c>
      <c r="AOD69" s="20" t="n">
        <v>0</v>
      </c>
      <c r="AOE69" s="20" t="n">
        <f aca="false">IF(AND(H_Direct=0,H_TaxEvt=1,ARR68+1&gt;=H_Deemed),AKR69,AHE69)</f>
        <v>0</v>
      </c>
      <c r="AOF69" s="20" t="n">
        <f aca="false">IF(AND(H_Direct=0,H_TaxEvt=1,ARS68+1&gt;=H_Deemed),AKS69,AHF69)</f>
        <v>0</v>
      </c>
      <c r="AOG69" s="20" t="n">
        <f aca="false">IF(AND(H_Direct=0,H_TaxEvt=1,ART68+1&gt;=H_Deemed),AKT69,AHG69)</f>
        <v>0</v>
      </c>
      <c r="AOH69" s="20" t="n">
        <f aca="false">IF(AND(H_Direct=0,H_TaxEvt=1,ARU68+1&gt;=H_Deemed),AKU69,AHH69)</f>
        <v>0</v>
      </c>
      <c r="AOI69" s="20" t="n">
        <f aca="false">IF(AND(H_Direct=0,H_TaxEvt=1,ARV68+1&gt;=H_Deemed),AKV69,AHI69)</f>
        <v>0</v>
      </c>
      <c r="AOJ69" s="20" t="n">
        <f aca="false">IF(AND(H_Direct=0,H_TaxEvt=1,ARW68+1&gt;=H_Deemed),AKW69,AHJ69)</f>
        <v>0</v>
      </c>
      <c r="AOK69" s="20" t="n">
        <f aca="false">IF(AND(H_Direct=0,H_TaxEvt=1,ARX68+1&gt;=H_Deemed),AKX69,AHK69)</f>
        <v>0</v>
      </c>
      <c r="AOL69" s="20" t="n">
        <f aca="false">IF(AND(H_Direct=0,H_TaxEvt=1,ARY68+1&gt;=H_Deemed),AKY69,AHL69)</f>
        <v>0</v>
      </c>
      <c r="AOM69" s="20" t="n">
        <f aca="false">IF(AND(H_Direct=0,H_TaxEvt=1,ARZ68+1&gt;=H_Deemed),AKZ69,AHM69)</f>
        <v>0</v>
      </c>
      <c r="AON69" s="20" t="n">
        <f aca="false">IF(AND(H_Direct=0,H_TaxEvt=1,ASA68+1&gt;=H_Deemed),ALA69,AHN69)</f>
        <v>0</v>
      </c>
      <c r="AOO69" s="20" t="n">
        <f aca="false">IF(AND(H_Direct=0,H_TaxEvt=1,ASB68+1&gt;=H_Deemed),ALB69,AHO69)</f>
        <v>0</v>
      </c>
      <c r="AOP69" s="20" t="n">
        <f aca="false">IF(AND(H_Direct=0,H_TaxEvt=1,ASC68+1&gt;=H_Deemed),ALC69,AHP69)</f>
        <v>0</v>
      </c>
      <c r="AOQ69" s="20" t="n">
        <f aca="false">IF(AND(H_Direct=0,H_TaxEvt=1,ASD68+1&gt;=H_Deemed),ALD69,AHQ69)</f>
        <v>0</v>
      </c>
      <c r="AOR69" s="20" t="n">
        <f aca="false">IF(AND(H_Direct=0,H_TaxEvt=1,ASE68+1&gt;=H_Deemed),ALE69,AHR69)</f>
        <v>0</v>
      </c>
      <c r="AOS69" s="20" t="n">
        <f aca="false">IF(AND(H_Direct=0,H_TaxEvt=1,ASF68+1&gt;=H_Deemed),ALF69,AHS69)</f>
        <v>0</v>
      </c>
      <c r="AOT69" s="20" t="n">
        <f aca="false">IF(AND(H_Direct=0,H_TaxEvt=1,ASG68+1&gt;=H_Deemed),ALG69,AHT69)</f>
        <v>0</v>
      </c>
      <c r="AOU69" s="20" t="n">
        <f aca="false">IF(AND(H_Direct=0,H_TaxEvt=1,ASH68+1&gt;=H_Deemed),ALH69,AHU69)</f>
        <v>0</v>
      </c>
      <c r="AOV69" s="20" t="n">
        <f aca="false">IF(AND(H_Direct=0,H_TaxEvt=1,ASI68+1&gt;=H_Deemed),ALI69,AHV69)</f>
        <v>0</v>
      </c>
      <c r="AOW69" s="20" t="n">
        <f aca="false">IF(AND(H_Direct=0,H_TaxEvt=1,ASJ68+1&gt;=H_Deemed),ALJ69,AHW69)</f>
        <v>0</v>
      </c>
      <c r="AOX69" s="20" t="n">
        <f aca="false">IF(AND(H_Direct=0,H_TaxEvt=1,ASK68+1&gt;=H_Deemed),ALK69,AHX69)</f>
        <v>0</v>
      </c>
      <c r="AOY69" s="20" t="n">
        <f aca="false">IF(AND(H_Direct=0,H_TaxEvt=1,ASL68+1&gt;=H_Deemed),ALL69,AHY69)</f>
        <v>0</v>
      </c>
      <c r="AOZ69" s="20" t="n">
        <f aca="false">IF(AND(H_Direct=0,H_TaxEvt=1,ASM68+1&gt;=H_Deemed),ALM69,AHZ69)</f>
        <v>0</v>
      </c>
      <c r="APA69" s="20" t="n">
        <f aca="false">IF(AND(H_Direct=0,H_TaxEvt=1,ASN68+1&gt;=H_Deemed),ALN69,AIA69)</f>
        <v>0</v>
      </c>
      <c r="APB69" s="20" t="n">
        <f aca="false">IF(AND(H_Direct=0,H_TaxEvt=1,ASO68+1&gt;=H_Deemed),ALO69,AIB69)</f>
        <v>0</v>
      </c>
      <c r="APC69" s="20" t="n">
        <f aca="false">IF(AND(H_Direct=0,H_TaxEvt=1,ASP68+1&gt;=H_Deemed),ALP69,AIC69)</f>
        <v>0</v>
      </c>
      <c r="APD69" s="20" t="n">
        <f aca="false">IF(AND(H_Direct=0,H_TaxEvt=1,ASQ68+1&gt;=H_Deemed),ALQ69,AID69)</f>
        <v>0</v>
      </c>
      <c r="APE69" s="20" t="n">
        <f aca="false">IF(AND(H_Direct=0,H_TaxEvt=1,ASR68+1&gt;=H_Deemed),ALR69,AIE69)</f>
        <v>0</v>
      </c>
      <c r="APF69" s="20" t="n">
        <f aca="false">IF(AND(H_Direct=0,H_TaxEvt=1,ASS68+1&gt;=H_Deemed),ALS69,AIF69)</f>
        <v>0</v>
      </c>
      <c r="APG69" s="20" t="n">
        <f aca="false">IF(AND(H_Direct=0,H_TaxEvt=1,AST68+1&gt;=H_Deemed),ALT69,AIG69)</f>
        <v>0</v>
      </c>
      <c r="APH69" s="20" t="n">
        <f aca="false">IF(AND(H_Direct=0,H_TaxEvt=1,ASU68+1&gt;=H_Deemed),ALU69,AIH69)</f>
        <v>0</v>
      </c>
      <c r="API69" s="20" t="n">
        <f aca="false">IF(AND(H_Direct=0,H_TaxEvt=1,ASV68+1&gt;=H_Deemed),ALV69,AII69)</f>
        <v>0</v>
      </c>
      <c r="APJ69" s="20" t="n">
        <f aca="false">IF(AND(H_Direct=0,H_TaxEvt=1,ASW68+1&gt;=H_Deemed),ALW69,AIJ69)</f>
        <v>0</v>
      </c>
      <c r="APK69" s="20" t="n">
        <f aca="false">IF(AND(H_Direct=0,H_TaxEvt=1,ASX68+1&gt;=H_Deemed),ALX69,AIK69)</f>
        <v>0</v>
      </c>
      <c r="APL69" s="20" t="n">
        <f aca="false">IF(AND(H_Direct=0,H_TaxEvt=1,ASY68+1&gt;=H_Deemed),ALY69,AIL69)</f>
        <v>0</v>
      </c>
      <c r="APM69" s="20" t="n">
        <f aca="false">IF(AND(H_Direct=0,H_TaxEvt=1,ASZ68+1&gt;=H_Deemed),ALZ69,AIM69)</f>
        <v>0</v>
      </c>
      <c r="APN69" s="20" t="n">
        <f aca="false">IF(AND(H_Direct=0,H_TaxEvt=1,ATA68+1&gt;=H_Deemed),AMA69,AIN69)</f>
        <v>0</v>
      </c>
      <c r="APO69" s="20" t="n">
        <f aca="false">IF(AND(H_Direct=0,H_TaxEvt=1,ATB68+1&gt;=H_Deemed),AMB69,AIO69)</f>
        <v>0</v>
      </c>
      <c r="APP69" s="20" t="n">
        <f aca="false">IF(AND(H_Direct=0,H_TaxEvt=1,ATC68+1&gt;=H_Deemed),AMC69,AIP69)</f>
        <v>0</v>
      </c>
      <c r="APQ69" s="20" t="n">
        <f aca="false">IF(AND(H_Direct=0,H_TaxEvt=1,ATD68+1&gt;=H_Deemed),AMD69,AIQ69)</f>
        <v>0</v>
      </c>
      <c r="APR69" s="20" t="n">
        <f aca="false">IF(AND(H_Direct=0,H_TaxEvt=1,ATE68+1&gt;=H_Deemed),AME69,AIR69)</f>
        <v>0</v>
      </c>
      <c r="APS69" s="20" t="n">
        <f aca="false">IF(AND(H_Direct=0,H_TaxEvt=1,ATF68+1&gt;=H_Deemed),AMF69,AIS69)</f>
        <v>0</v>
      </c>
      <c r="APT69" s="20" t="n">
        <f aca="false">IF(AND(H_Direct=0,H_TaxEvt=1,ATG68+1&gt;=H_Deemed),AMG69,AIT69)</f>
        <v>0</v>
      </c>
      <c r="APU69" s="20" t="n">
        <f aca="false">IF(AND(H_Direct=0,H_TaxEvt=1,ATH68+1&gt;=H_Deemed),AMH69,AIU69)</f>
        <v>0</v>
      </c>
      <c r="APV69" s="20" t="n">
        <f aca="false">IF(AND(H_Direct=0,H_TaxEvt=1,ATI68+1&gt;=H_Deemed),AMI69,AIV69)</f>
        <v>0</v>
      </c>
      <c r="APW69" s="20" t="n">
        <f aca="false">IF(AND(H_Direct=0,H_TaxEvt=1,ATJ68+1&gt;=H_Deemed),AMJ69,AIW69)</f>
        <v>0</v>
      </c>
      <c r="APX69" s="20" t="n">
        <f aca="false">IF(AND(H_Direct=0,H_TaxEvt=1,ATK68+1&gt;=H_Deemed),AMK69,AIX69)</f>
        <v>0</v>
      </c>
      <c r="APY69" s="20" t="n">
        <f aca="false">IF(AND(H_Direct=0,H_TaxEvt=1,ATL68+1&gt;=H_Deemed),AML69,AIY69)</f>
        <v>0</v>
      </c>
      <c r="APZ69" s="20" t="n">
        <f aca="false">IF(AND(H_Direct=0,H_TaxEvt=1,ATM68+1&gt;=H_Deemed),AMM69,AIZ69)</f>
        <v>0</v>
      </c>
      <c r="AQA69" s="20" t="n">
        <f aca="false">IF(AND(H_Direct=0,H_TaxEvt=1,ATN68+1&gt;=H_Deemed),AMN69,AJA69)</f>
        <v>0</v>
      </c>
      <c r="AQB69" s="20" t="n">
        <f aca="false">IF(AND(H_Direct=0,H_TaxEvt=1,ATO68+1&gt;=H_Deemed),AMO69,AJB69)</f>
        <v>0</v>
      </c>
      <c r="AQC69" s="20" t="n">
        <f aca="false">IF(AND(H_Direct=0,H_TaxEvt=1,ATP68+1&gt;=H_Deemed),AMP69,AJC69)</f>
        <v>0</v>
      </c>
      <c r="AQD69" s="20" t="n">
        <f aca="false">IF(AND(H_Direct=0,H_TaxEvt=1,ATQ68+1&gt;=H_Deemed),AMQ69,AJD69)</f>
        <v>0</v>
      </c>
      <c r="AQE69" s="20" t="n">
        <f aca="false">IF(AND(H_Direct=0,H_TaxEvt=1,ATR68+1&gt;=H_Deemed),AMR69,AJE69)</f>
        <v>0</v>
      </c>
      <c r="AQF69" s="20" t="n">
        <f aca="false">IF(AND(H_Direct=0,H_TaxEvt=1,ATS68+1&gt;=H_Deemed),AMS69,AJF69)</f>
        <v>0</v>
      </c>
      <c r="AQG69" s="20" t="n">
        <f aca="false">IF(AND(H_Direct=0,H_TaxEvt=1,ATT68+1&gt;=H_Deemed),AMT69,AJG69)</f>
        <v>0</v>
      </c>
      <c r="AQH69" s="20" t="n">
        <f aca="false">IF(AND(H_Direct=0,H_TaxEvt=1,ATU68+1&gt;=H_Deemed),AMU69,AJH69)</f>
        <v>0</v>
      </c>
      <c r="AQI69" s="20" t="n">
        <f aca="false">IF(AND(H_Direct=0,H_TaxEvt=1,ATV68+1&gt;=H_Deemed),AMV69,AJI69)</f>
        <v>0</v>
      </c>
      <c r="AQJ69" s="20" t="n">
        <f aca="false">IF(AND(H_Direct=0,H_TaxEvt=1,ATW68+1&gt;=H_Deemed),AMW69,AJJ69)</f>
        <v>0</v>
      </c>
      <c r="AQK69" s="20" t="n">
        <f aca="false">IF(AND(H_Direct=0,H_TaxEvt=1,ATX68+1&gt;=H_Deemed),AMX69,AJK69)</f>
        <v>0</v>
      </c>
      <c r="AQL69" s="20" t="n">
        <f aca="false">IF(AND(H_Direct=0,H_TaxEvt=1,ATY68+1&gt;=H_Deemed),AMY69,AJL69)</f>
        <v>0</v>
      </c>
      <c r="AQM69" s="20" t="n">
        <f aca="false">IF(AND(H_Direct=0,H_TaxEvt=1,ATZ68+1&gt;=H_Deemed),AMZ69,AJM69)</f>
        <v>0</v>
      </c>
      <c r="AQN69" s="20" t="n">
        <f aca="false">IF(AND(H_Direct=0,H_TaxEvt=1,AUA68+1&gt;=H_Deemed),ANA69,AJN69)</f>
        <v>0</v>
      </c>
      <c r="AQO69" s="20" t="n">
        <f aca="false">IF(AND(H_Direct=0,H_TaxEvt=1,0+1&gt;=H_Deemed),ANB69,AJO69)</f>
        <v>0</v>
      </c>
      <c r="AQP69" s="20" t="n">
        <v>0</v>
      </c>
      <c r="AQQ69" s="20" t="n">
        <v>0</v>
      </c>
      <c r="AQR69" s="20" t="n">
        <v>0</v>
      </c>
      <c r="AQS69" s="20" t="n">
        <v>0</v>
      </c>
      <c r="AQT69" s="20" t="n">
        <v>0</v>
      </c>
      <c r="AQU69" s="20" t="n">
        <v>0</v>
      </c>
      <c r="AQV69" s="20" t="n">
        <v>0</v>
      </c>
      <c r="AQW69" s="20" t="n">
        <v>0</v>
      </c>
      <c r="AQX69" s="20" t="n">
        <v>0</v>
      </c>
      <c r="AQY69" s="20" t="n">
        <v>0</v>
      </c>
      <c r="AQZ69" s="20" t="n">
        <v>0</v>
      </c>
      <c r="ARA69" s="20" t="n">
        <v>0</v>
      </c>
      <c r="ARB69" s="20" t="n">
        <v>0</v>
      </c>
      <c r="ARC69" s="20" t="n">
        <v>0</v>
      </c>
      <c r="ARD69" s="20" t="n">
        <v>0</v>
      </c>
      <c r="ARE69" s="20" t="n">
        <v>0</v>
      </c>
      <c r="ARF69" s="20" t="n">
        <v>0</v>
      </c>
      <c r="ARG69" s="20" t="n">
        <v>0</v>
      </c>
      <c r="ARH69" s="20" t="n">
        <v>0</v>
      </c>
      <c r="ARI69" s="20" t="n">
        <v>0</v>
      </c>
      <c r="ARJ69" s="20" t="n">
        <v>0</v>
      </c>
      <c r="ARK69" s="20" t="n">
        <v>0</v>
      </c>
      <c r="ARL69" s="20" t="n">
        <v>0</v>
      </c>
      <c r="ARM69" s="20" t="n">
        <v>0</v>
      </c>
      <c r="ARN69" s="20" t="n">
        <v>0</v>
      </c>
      <c r="ARO69" s="20" t="n">
        <v>0</v>
      </c>
      <c r="ARP69" s="20" t="n">
        <v>0</v>
      </c>
      <c r="ARQ69" s="20" t="n">
        <v>0</v>
      </c>
      <c r="ARR69" s="20" t="n">
        <f aca="false">IF(AND(H_Direct=0,H_TaxEvt=1),IF(ARR68+1&gt;=H_Deemed,0,ARR68+1),ARR68)</f>
        <v>6</v>
      </c>
      <c r="ARS69" s="20" t="n">
        <f aca="false">IF(AND(H_Direct=0,H_TaxEvt=1),IF(ARS68+1&gt;=H_Deemed,0,ARS68+1),ARS68)</f>
        <v>6</v>
      </c>
      <c r="ART69" s="20" t="n">
        <f aca="false">IF(AND(H_Direct=0,H_TaxEvt=1),IF(ART68+1&gt;=H_Deemed,0,ART68+1),ART68)</f>
        <v>5</v>
      </c>
      <c r="ARU69" s="20" t="n">
        <f aca="false">IF(AND(H_Direct=0,H_TaxEvt=1),IF(ARU68+1&gt;=H_Deemed,0,ARU68+1),ARU68)</f>
        <v>4</v>
      </c>
      <c r="ARV69" s="20" t="n">
        <f aca="false">IF(AND(H_Direct=0,H_TaxEvt=1),IF(ARV68+1&gt;=H_Deemed,0,ARV68+1),ARV68)</f>
        <v>3</v>
      </c>
      <c r="ARW69" s="20" t="n">
        <f aca="false">IF(AND(H_Direct=0,H_TaxEvt=1),IF(ARW68+1&gt;=H_Deemed,0,ARW68+1),ARW68)</f>
        <v>2</v>
      </c>
      <c r="ARX69" s="20" t="n">
        <f aca="false">IF(AND(H_Direct=0,H_TaxEvt=1),IF(ARX68+1&gt;=H_Deemed,0,ARX68+1),ARX68)</f>
        <v>1</v>
      </c>
      <c r="ARY69" s="20" t="n">
        <f aca="false">IF(AND(H_Direct=0,H_TaxEvt=1),IF(ARY68+1&gt;=H_Deemed,0,ARY68+1),ARY68)</f>
        <v>0</v>
      </c>
      <c r="ARZ69" s="20" t="n">
        <f aca="false">IF(AND(H_Direct=0,H_TaxEvt=1),IF(ARZ68+1&gt;=H_Deemed,0,ARZ68+1),ARZ68)</f>
        <v>7</v>
      </c>
      <c r="ASA69" s="20" t="n">
        <f aca="false">IF(AND(H_Direct=0,H_TaxEvt=1),IF(ASA68+1&gt;=H_Deemed,0,ASA68+1),ASA68)</f>
        <v>6</v>
      </c>
      <c r="ASB69" s="20" t="n">
        <f aca="false">IF(AND(H_Direct=0,H_TaxEvt=1),IF(ASB68+1&gt;=H_Deemed,0,ASB68+1),ASB68)</f>
        <v>5</v>
      </c>
      <c r="ASC69" s="20" t="n">
        <f aca="false">IF(AND(H_Direct=0,H_TaxEvt=1),IF(ASC68+1&gt;=H_Deemed,0,ASC68+1),ASC68)</f>
        <v>4</v>
      </c>
      <c r="ASD69" s="20" t="n">
        <f aca="false">IF(AND(H_Direct=0,H_TaxEvt=1),IF(ASD68+1&gt;=H_Deemed,0,ASD68+1),ASD68)</f>
        <v>3</v>
      </c>
      <c r="ASE69" s="20" t="n">
        <f aca="false">IF(AND(H_Direct=0,H_TaxEvt=1),IF(ASE68+1&gt;=H_Deemed,0,ASE68+1),ASE68)</f>
        <v>2</v>
      </c>
      <c r="ASF69" s="20" t="n">
        <f aca="false">IF(AND(H_Direct=0,H_TaxEvt=1),IF(ASF68+1&gt;=H_Deemed,0,ASF68+1),ASF68)</f>
        <v>1</v>
      </c>
      <c r="ASG69" s="20" t="n">
        <f aca="false">IF(AND(H_Direct=0,H_TaxEvt=1),IF(ASG68+1&gt;=H_Deemed,0,ASG68+1),ASG68)</f>
        <v>0</v>
      </c>
      <c r="ASH69" s="20" t="n">
        <f aca="false">IF(AND(H_Direct=0,H_TaxEvt=1),IF(ASH68+1&gt;=H_Deemed,0,ASH68+1),ASH68)</f>
        <v>7</v>
      </c>
      <c r="ASI69" s="20" t="n">
        <f aca="false">IF(AND(H_Direct=0,H_TaxEvt=1),IF(ASI68+1&gt;=H_Deemed,0,ASI68+1),ASI68)</f>
        <v>6</v>
      </c>
      <c r="ASJ69" s="20" t="n">
        <f aca="false">IF(AND(H_Direct=0,H_TaxEvt=1),IF(ASJ68+1&gt;=H_Deemed,0,ASJ68+1),ASJ68)</f>
        <v>5</v>
      </c>
      <c r="ASK69" s="20" t="n">
        <f aca="false">IF(AND(H_Direct=0,H_TaxEvt=1),IF(ASK68+1&gt;=H_Deemed,0,ASK68+1),ASK68)</f>
        <v>4</v>
      </c>
      <c r="ASL69" s="20" t="n">
        <f aca="false">IF(AND(H_Direct=0,H_TaxEvt=1),IF(ASL68+1&gt;=H_Deemed,0,ASL68+1),ASL68)</f>
        <v>3</v>
      </c>
      <c r="ASM69" s="20" t="n">
        <f aca="false">IF(AND(H_Direct=0,H_TaxEvt=1),IF(ASM68+1&gt;=H_Deemed,0,ASM68+1),ASM68)</f>
        <v>2</v>
      </c>
      <c r="ASN69" s="20" t="n">
        <f aca="false">IF(AND(H_Direct=0,H_TaxEvt=1),IF(ASN68+1&gt;=H_Deemed,0,ASN68+1),ASN68)</f>
        <v>1</v>
      </c>
      <c r="ASO69" s="20" t="n">
        <f aca="false">IF(AND(H_Direct=0,H_TaxEvt=1),IF(ASO68+1&gt;=H_Deemed,0,ASO68+1),ASO68)</f>
        <v>0</v>
      </c>
      <c r="ASP69" s="20" t="n">
        <f aca="false">IF(AND(H_Direct=0,H_TaxEvt=1),IF(ASP68+1&gt;=H_Deemed,0,ASP68+1),ASP68)</f>
        <v>7</v>
      </c>
      <c r="ASQ69" s="20" t="n">
        <f aca="false">IF(AND(H_Direct=0,H_TaxEvt=1),IF(ASQ68+1&gt;=H_Deemed,0,ASQ68+1),ASQ68)</f>
        <v>6</v>
      </c>
      <c r="ASR69" s="20" t="n">
        <f aca="false">IF(AND(H_Direct=0,H_TaxEvt=1),IF(ASR68+1&gt;=H_Deemed,0,ASR68+1),ASR68)</f>
        <v>5</v>
      </c>
      <c r="ASS69" s="20" t="n">
        <f aca="false">IF(AND(H_Direct=0,H_TaxEvt=1),IF(ASS68+1&gt;=H_Deemed,0,ASS68+1),ASS68)</f>
        <v>4</v>
      </c>
      <c r="AST69" s="20" t="n">
        <f aca="false">IF(AND(H_Direct=0,H_TaxEvt=1),IF(AST68+1&gt;=H_Deemed,0,AST68+1),AST68)</f>
        <v>3</v>
      </c>
      <c r="ASU69" s="20" t="n">
        <f aca="false">IF(AND(H_Direct=0,H_TaxEvt=1),IF(ASU68+1&gt;=H_Deemed,0,ASU68+1),ASU68)</f>
        <v>2</v>
      </c>
      <c r="ASV69" s="20" t="n">
        <f aca="false">IF(AND(H_Direct=0,H_TaxEvt=1),IF(ASV68+1&gt;=H_Deemed,0,ASV68+1),ASV68)</f>
        <v>1</v>
      </c>
      <c r="ASW69" s="20" t="n">
        <f aca="false">IF(AND(H_Direct=0,H_TaxEvt=1),IF(ASW68+1&gt;=H_Deemed,0,ASW68+1),ASW68)</f>
        <v>0</v>
      </c>
      <c r="ASX69" s="20" t="n">
        <f aca="false">IF(AND(H_Direct=0,H_TaxEvt=1),IF(ASX68+1&gt;=H_Deemed,0,ASX68+1),ASX68)</f>
        <v>7</v>
      </c>
      <c r="ASY69" s="20" t="n">
        <f aca="false">IF(AND(H_Direct=0,H_TaxEvt=1),IF(ASY68+1&gt;=H_Deemed,0,ASY68+1),ASY68)</f>
        <v>6</v>
      </c>
      <c r="ASZ69" s="20" t="n">
        <f aca="false">IF(AND(H_Direct=0,H_TaxEvt=1),IF(ASZ68+1&gt;=H_Deemed,0,ASZ68+1),ASZ68)</f>
        <v>5</v>
      </c>
      <c r="ATA69" s="20" t="n">
        <f aca="false">IF(AND(H_Direct=0,H_TaxEvt=1),IF(ATA68+1&gt;=H_Deemed,0,ATA68+1),ATA68)</f>
        <v>4</v>
      </c>
      <c r="ATB69" s="20" t="n">
        <f aca="false">IF(AND(H_Direct=0,H_TaxEvt=1),IF(ATB68+1&gt;=H_Deemed,0,ATB68+1),ATB68)</f>
        <v>3</v>
      </c>
      <c r="ATC69" s="20" t="n">
        <f aca="false">IF(AND(H_Direct=0,H_TaxEvt=1),IF(ATC68+1&gt;=H_Deemed,0,ATC68+1),ATC68)</f>
        <v>2</v>
      </c>
      <c r="ATD69" s="20" t="n">
        <f aca="false">IF(AND(H_Direct=0,H_TaxEvt=1),IF(ATD68+1&gt;=H_Deemed,0,ATD68+1),ATD68)</f>
        <v>1</v>
      </c>
      <c r="ATE69" s="20" t="n">
        <f aca="false">IF(AND(H_Direct=0,H_TaxEvt=1),IF(ATE68+1&gt;=H_Deemed,0,ATE68+1),ATE68)</f>
        <v>0</v>
      </c>
      <c r="ATF69" s="20" t="n">
        <f aca="false">IF(AND(H_Direct=0,H_TaxEvt=1),IF(ATF68+1&gt;=H_Deemed,0,ATF68+1),ATF68)</f>
        <v>7</v>
      </c>
      <c r="ATG69" s="20" t="n">
        <f aca="false">IF(AND(H_Direct=0,H_TaxEvt=1),IF(ATG68+1&gt;=H_Deemed,0,ATG68+1),ATG68)</f>
        <v>6</v>
      </c>
      <c r="ATH69" s="20" t="n">
        <f aca="false">IF(AND(H_Direct=0,H_TaxEvt=1),IF(ATH68+1&gt;=H_Deemed,0,ATH68+1),ATH68)</f>
        <v>5</v>
      </c>
      <c r="ATI69" s="20" t="n">
        <f aca="false">IF(AND(H_Direct=0,H_TaxEvt=1),IF(ATI68+1&gt;=H_Deemed,0,ATI68+1),ATI68)</f>
        <v>4</v>
      </c>
      <c r="ATJ69" s="20" t="n">
        <f aca="false">IF(AND(H_Direct=0,H_TaxEvt=1),IF(ATJ68+1&gt;=H_Deemed,0,ATJ68+1),ATJ68)</f>
        <v>3</v>
      </c>
      <c r="ATK69" s="20" t="n">
        <f aca="false">IF(AND(H_Direct=0,H_TaxEvt=1),IF(ATK68+1&gt;=H_Deemed,0,ATK68+1),ATK68)</f>
        <v>2</v>
      </c>
      <c r="ATL69" s="20" t="n">
        <f aca="false">IF(AND(H_Direct=0,H_TaxEvt=1),IF(ATL68+1&gt;=H_Deemed,0,ATL68+1),ATL68)</f>
        <v>1</v>
      </c>
      <c r="ATM69" s="20" t="n">
        <f aca="false">IF(AND(H_Direct=0,H_TaxEvt=1),IF(ATM68+1&gt;=H_Deemed,0,ATM68+1),ATM68)</f>
        <v>0</v>
      </c>
      <c r="ATN69" s="20" t="n">
        <f aca="false">IF(AND(H_Direct=0,H_TaxEvt=1),IF(ATN68+1&gt;=H_Deemed,0,ATN68+1),ATN68)</f>
        <v>7</v>
      </c>
      <c r="ATO69" s="20" t="n">
        <f aca="false">IF(AND(H_Direct=0,H_TaxEvt=1),IF(ATO68+1&gt;=H_Deemed,0,ATO68+1),ATO68)</f>
        <v>6</v>
      </c>
      <c r="ATP69" s="20" t="n">
        <f aca="false">IF(AND(H_Direct=0,H_TaxEvt=1),IF(ATP68+1&gt;=H_Deemed,0,ATP68+1),ATP68)</f>
        <v>5</v>
      </c>
      <c r="ATQ69" s="20" t="n">
        <f aca="false">IF(AND(H_Direct=0,H_TaxEvt=1),IF(ATQ68+1&gt;=H_Deemed,0,ATQ68+1),ATQ68)</f>
        <v>4</v>
      </c>
      <c r="ATR69" s="20" t="n">
        <f aca="false">IF(AND(H_Direct=0,H_TaxEvt=1),IF(ATR68+1&gt;=H_Deemed,0,ATR68+1),ATR68)</f>
        <v>3</v>
      </c>
      <c r="ATS69" s="20" t="n">
        <f aca="false">IF(AND(H_Direct=0,H_TaxEvt=1),IF(ATS68+1&gt;=H_Deemed,0,ATS68+1),ATS68)</f>
        <v>2</v>
      </c>
      <c r="ATT69" s="20" t="n">
        <f aca="false">IF(AND(H_Direct=0,H_TaxEvt=1),IF(ATT68+1&gt;=H_Deemed,0,ATT68+1),ATT68)</f>
        <v>1</v>
      </c>
      <c r="ATU69" s="20" t="n">
        <f aca="false">IF(AND(H_Direct=0,H_TaxEvt=1),IF(ATU68+1&gt;=H_Deemed,0,ATU68+1),ATU68)</f>
        <v>0</v>
      </c>
      <c r="ATV69" s="20" t="n">
        <f aca="false">IF(AND(H_Direct=0,H_TaxEvt=1),IF(ATV68+1&gt;=H_Deemed,0,ATV68+1),ATV68)</f>
        <v>7</v>
      </c>
      <c r="ATW69" s="20" t="n">
        <f aca="false">IF(AND(H_Direct=0,H_TaxEvt=1),IF(ATW68+1&gt;=H_Deemed,0,ATW68+1),ATW68)</f>
        <v>6</v>
      </c>
      <c r="ATX69" s="20" t="n">
        <f aca="false">IF(AND(H_Direct=0,H_TaxEvt=1),IF(ATX68+1&gt;=H_Deemed,0,ATX68+1),ATX68)</f>
        <v>5</v>
      </c>
      <c r="ATY69" s="20" t="n">
        <f aca="false">IF(AND(H_Direct=0,H_TaxEvt=1),IF(ATY68+1&gt;=H_Deemed,0,ATY68+1),ATY68)</f>
        <v>4</v>
      </c>
      <c r="ATZ69" s="20" t="n">
        <f aca="false">IF(AND(H_Direct=0,H_TaxEvt=1),IF(ATZ68+1&gt;=H_Deemed,0,ATZ68+1),ATZ68)</f>
        <v>3</v>
      </c>
      <c r="AUA69" s="20" t="n">
        <f aca="false">IF(AND(H_Direct=0,H_TaxEvt=1),IF(AUA68+1&gt;=H_Deemed,0,AUA68+1),AUA68)</f>
        <v>2</v>
      </c>
      <c r="AUB69" s="20" t="n">
        <f aca="false">IF(AND(H_Direct=0,H_TaxEvt=1),IF(0+1&gt;=H_Deemed,0,0+1),0)</f>
        <v>1</v>
      </c>
      <c r="AUC69" s="20" t="n">
        <v>0</v>
      </c>
      <c r="AUD69" s="20" t="n">
        <v>0</v>
      </c>
      <c r="AUE69" s="20" t="n">
        <v>0</v>
      </c>
      <c r="AUF69" s="20" t="n">
        <v>0</v>
      </c>
      <c r="AUG69" s="20" t="n">
        <v>0</v>
      </c>
      <c r="AUH69" s="20" t="n">
        <v>0</v>
      </c>
      <c r="AUI69" s="20" t="n">
        <v>0</v>
      </c>
      <c r="AUJ69" s="20" t="n">
        <v>0</v>
      </c>
      <c r="AUK69" s="20" t="n">
        <v>0</v>
      </c>
      <c r="AUL69" s="20" t="n">
        <v>0</v>
      </c>
      <c r="AUM69" s="20" t="n">
        <v>0</v>
      </c>
      <c r="AUN69" s="20" t="n">
        <v>0</v>
      </c>
      <c r="AUO69" s="20" t="n">
        <v>0</v>
      </c>
      <c r="AUP69" s="20" t="n">
        <v>0</v>
      </c>
      <c r="AUQ69" s="20" t="n">
        <v>0</v>
      </c>
      <c r="AUR69" s="20" t="n">
        <v>0</v>
      </c>
      <c r="AUS69" s="20" t="n">
        <v>0</v>
      </c>
      <c r="AUT69" s="20" t="n">
        <v>0</v>
      </c>
      <c r="AUU69" s="20" t="n">
        <v>0</v>
      </c>
      <c r="AUV69" s="20" t="n">
        <v>0</v>
      </c>
      <c r="AUW69" s="20" t="n">
        <v>0</v>
      </c>
      <c r="AUX69" s="20" t="n">
        <v>0</v>
      </c>
      <c r="AUY69" s="20" t="n">
        <v>0</v>
      </c>
      <c r="AUZ69" s="20" t="n">
        <v>0</v>
      </c>
      <c r="AVA69" s="20" t="n">
        <v>0</v>
      </c>
      <c r="AVB69" s="20" t="n">
        <v>0</v>
      </c>
      <c r="AVC69" s="20" t="n">
        <v>0</v>
      </c>
      <c r="AVD69" s="20" t="n">
        <v>0</v>
      </c>
      <c r="AVE69" s="20" t="n">
        <f aca="false">IF(AND(H_Direct=0,H_TaxEvt=1,ARR68+1&gt;=H_Deemed),MAX(0,ADR69-AHE69)*H_Exit,0)</f>
        <v>0</v>
      </c>
      <c r="AVF69" s="20" t="n">
        <f aca="false">IF(AND(H_Direct=0,H_TaxEvt=1,ARS68+1&gt;=H_Deemed),MAX(0,ADS69-AHF69)*H_Exit,0)</f>
        <v>0</v>
      </c>
      <c r="AVG69" s="20" t="n">
        <f aca="false">IF(AND(H_Direct=0,H_TaxEvt=1,ART68+1&gt;=H_Deemed),MAX(0,ADT69-AHG69)*H_Exit,0)</f>
        <v>0</v>
      </c>
      <c r="AVH69" s="20" t="n">
        <f aca="false">IF(AND(H_Direct=0,H_TaxEvt=1,ARU68+1&gt;=H_Deemed),MAX(0,ADU69-AHH69)*H_Exit,0)</f>
        <v>0</v>
      </c>
      <c r="AVI69" s="20" t="n">
        <f aca="false">IF(AND(H_Direct=0,H_TaxEvt=1,ARV68+1&gt;=H_Deemed),MAX(0,ADV69-AHI69)*H_Exit,0)</f>
        <v>0</v>
      </c>
      <c r="AVJ69" s="20" t="n">
        <f aca="false">IF(AND(H_Direct=0,H_TaxEvt=1,ARW68+1&gt;=H_Deemed),MAX(0,ADW69-AHJ69)*H_Exit,0)</f>
        <v>0</v>
      </c>
      <c r="AVK69" s="20" t="n">
        <f aca="false">IF(AND(H_Direct=0,H_TaxEvt=1,ARX68+1&gt;=H_Deemed),MAX(0,ADX69-AHK69)*H_Exit,0)</f>
        <v>0</v>
      </c>
      <c r="AVL69" s="20" t="n">
        <f aca="false">IF(AND(H_Direct=0,H_TaxEvt=1,ARY68+1&gt;=H_Deemed),MAX(0,ADY69-AHL69)*H_Exit,0)</f>
        <v>0</v>
      </c>
      <c r="AVM69" s="20" t="n">
        <f aca="false">IF(AND(H_Direct=0,H_TaxEvt=1,ARZ68+1&gt;=H_Deemed),MAX(0,ADZ69-AHM69)*H_Exit,0)</f>
        <v>0</v>
      </c>
      <c r="AVN69" s="20" t="n">
        <f aca="false">IF(AND(H_Direct=0,H_TaxEvt=1,ASA68+1&gt;=H_Deemed),MAX(0,AEA69-AHN69)*H_Exit,0)</f>
        <v>0</v>
      </c>
      <c r="AVO69" s="20" t="n">
        <f aca="false">IF(AND(H_Direct=0,H_TaxEvt=1,ASB68+1&gt;=H_Deemed),MAX(0,AEB69-AHO69)*H_Exit,0)</f>
        <v>0</v>
      </c>
      <c r="AVP69" s="20" t="n">
        <f aca="false">IF(AND(H_Direct=0,H_TaxEvt=1,ASC68+1&gt;=H_Deemed),MAX(0,AEC69-AHP69)*H_Exit,0)</f>
        <v>0</v>
      </c>
      <c r="AVQ69" s="20" t="n">
        <f aca="false">IF(AND(H_Direct=0,H_TaxEvt=1,ASD68+1&gt;=H_Deemed),MAX(0,AED69-AHQ69)*H_Exit,0)</f>
        <v>0</v>
      </c>
      <c r="AVR69" s="20" t="n">
        <f aca="false">IF(AND(H_Direct=0,H_TaxEvt=1,ASE68+1&gt;=H_Deemed),MAX(0,AEE69-AHR69)*H_Exit,0)</f>
        <v>0</v>
      </c>
      <c r="AVS69" s="20" t="n">
        <f aca="false">IF(AND(H_Direct=0,H_TaxEvt=1,ASF68+1&gt;=H_Deemed),MAX(0,AEF69-AHS69)*H_Exit,0)</f>
        <v>0</v>
      </c>
      <c r="AVT69" s="20" t="n">
        <f aca="false">IF(AND(H_Direct=0,H_TaxEvt=1,ASG68+1&gt;=H_Deemed),MAX(0,AEG69-AHT69)*H_Exit,0)</f>
        <v>0</v>
      </c>
      <c r="AVU69" s="20" t="n">
        <f aca="false">IF(AND(H_Direct=0,H_TaxEvt=1,ASH68+1&gt;=H_Deemed),MAX(0,AEH69-AHU69)*H_Exit,0)</f>
        <v>0</v>
      </c>
      <c r="AVV69" s="20" t="n">
        <f aca="false">IF(AND(H_Direct=0,H_TaxEvt=1,ASI68+1&gt;=H_Deemed),MAX(0,AEI69-AHV69)*H_Exit,0)</f>
        <v>0</v>
      </c>
      <c r="AVW69" s="20" t="n">
        <f aca="false">IF(AND(H_Direct=0,H_TaxEvt=1,ASJ68+1&gt;=H_Deemed),MAX(0,AEJ69-AHW69)*H_Exit,0)</f>
        <v>0</v>
      </c>
      <c r="AVX69" s="20" t="n">
        <f aca="false">IF(AND(H_Direct=0,H_TaxEvt=1,ASK68+1&gt;=H_Deemed),MAX(0,AEK69-AHX69)*H_Exit,0)</f>
        <v>0</v>
      </c>
      <c r="AVY69" s="20" t="n">
        <f aca="false">IF(AND(H_Direct=0,H_TaxEvt=1,ASL68+1&gt;=H_Deemed),MAX(0,AEL69-AHY69)*H_Exit,0)</f>
        <v>0</v>
      </c>
      <c r="AVZ69" s="20" t="n">
        <f aca="false">IF(AND(H_Direct=0,H_TaxEvt=1,ASM68+1&gt;=H_Deemed),MAX(0,AEM69-AHZ69)*H_Exit,0)</f>
        <v>0</v>
      </c>
      <c r="AWA69" s="20" t="n">
        <f aca="false">IF(AND(H_Direct=0,H_TaxEvt=1,ASN68+1&gt;=H_Deemed),MAX(0,AEN69-AIA69)*H_Exit,0)</f>
        <v>0</v>
      </c>
      <c r="AWB69" s="20" t="n">
        <f aca="false">IF(AND(H_Direct=0,H_TaxEvt=1,ASO68+1&gt;=H_Deemed),MAX(0,AEO69-AIB69)*H_Exit,0)</f>
        <v>0</v>
      </c>
      <c r="AWC69" s="20" t="n">
        <f aca="false">IF(AND(H_Direct=0,H_TaxEvt=1,ASP68+1&gt;=H_Deemed),MAX(0,AEP69-AIC69)*H_Exit,0)</f>
        <v>0</v>
      </c>
      <c r="AWD69" s="20" t="n">
        <f aca="false">IF(AND(H_Direct=0,H_TaxEvt=1,ASQ68+1&gt;=H_Deemed),MAX(0,AEQ69-AID69)*H_Exit,0)</f>
        <v>0</v>
      </c>
      <c r="AWE69" s="20" t="n">
        <f aca="false">IF(AND(H_Direct=0,H_TaxEvt=1,ASR68+1&gt;=H_Deemed),MAX(0,AER69-AIE69)*H_Exit,0)</f>
        <v>0</v>
      </c>
      <c r="AWF69" s="20" t="n">
        <f aca="false">IF(AND(H_Direct=0,H_TaxEvt=1,ASS68+1&gt;=H_Deemed),MAX(0,AES69-AIF69)*H_Exit,0)</f>
        <v>0</v>
      </c>
      <c r="AWG69" s="20" t="n">
        <f aca="false">IF(AND(H_Direct=0,H_TaxEvt=1,AST68+1&gt;=H_Deemed),MAX(0,AET69-AIG69)*H_Exit,0)</f>
        <v>0</v>
      </c>
      <c r="AWH69" s="20" t="n">
        <f aca="false">IF(AND(H_Direct=0,H_TaxEvt=1,ASU68+1&gt;=H_Deemed),MAX(0,AEU69-AIH69)*H_Exit,0)</f>
        <v>0</v>
      </c>
      <c r="AWI69" s="20" t="n">
        <f aca="false">IF(AND(H_Direct=0,H_TaxEvt=1,ASV68+1&gt;=H_Deemed),MAX(0,AEV69-AII69)*H_Exit,0)</f>
        <v>0</v>
      </c>
      <c r="AWJ69" s="20" t="n">
        <f aca="false">IF(AND(H_Direct=0,H_TaxEvt=1,ASW68+1&gt;=H_Deemed),MAX(0,AEW69-AIJ69)*H_Exit,0)</f>
        <v>0</v>
      </c>
      <c r="AWK69" s="20" t="n">
        <f aca="false">IF(AND(H_Direct=0,H_TaxEvt=1,ASX68+1&gt;=H_Deemed),MAX(0,AEX69-AIK69)*H_Exit,0)</f>
        <v>0</v>
      </c>
      <c r="AWL69" s="20" t="n">
        <f aca="false">IF(AND(H_Direct=0,H_TaxEvt=1,ASY68+1&gt;=H_Deemed),MAX(0,AEY69-AIL69)*H_Exit,0)</f>
        <v>0</v>
      </c>
      <c r="AWM69" s="20" t="n">
        <f aca="false">IF(AND(H_Direct=0,H_TaxEvt=1,ASZ68+1&gt;=H_Deemed),MAX(0,AEZ69-AIM69)*H_Exit,0)</f>
        <v>0</v>
      </c>
      <c r="AWN69" s="20" t="n">
        <f aca="false">IF(AND(H_Direct=0,H_TaxEvt=1,ATA68+1&gt;=H_Deemed),MAX(0,AFA69-AIN69)*H_Exit,0)</f>
        <v>0</v>
      </c>
      <c r="AWO69" s="20" t="n">
        <f aca="false">IF(AND(H_Direct=0,H_TaxEvt=1,ATB68+1&gt;=H_Deemed),MAX(0,AFB69-AIO69)*H_Exit,0)</f>
        <v>0</v>
      </c>
      <c r="AWP69" s="20" t="n">
        <f aca="false">IF(AND(H_Direct=0,H_TaxEvt=1,ATC68+1&gt;=H_Deemed),MAX(0,AFC69-AIP69)*H_Exit,0)</f>
        <v>0</v>
      </c>
      <c r="AWQ69" s="20" t="n">
        <f aca="false">IF(AND(H_Direct=0,H_TaxEvt=1,ATD68+1&gt;=H_Deemed),MAX(0,AFD69-AIQ69)*H_Exit,0)</f>
        <v>0</v>
      </c>
      <c r="AWR69" s="20" t="n">
        <f aca="false">IF(AND(H_Direct=0,H_TaxEvt=1,ATE68+1&gt;=H_Deemed),MAX(0,AFE69-AIR69)*H_Exit,0)</f>
        <v>0</v>
      </c>
      <c r="AWS69" s="20" t="n">
        <f aca="false">IF(AND(H_Direct=0,H_TaxEvt=1,ATF68+1&gt;=H_Deemed),MAX(0,AFF69-AIS69)*H_Exit,0)</f>
        <v>0</v>
      </c>
      <c r="AWT69" s="20" t="n">
        <f aca="false">IF(AND(H_Direct=0,H_TaxEvt=1,ATG68+1&gt;=H_Deemed),MAX(0,AFG69-AIT69)*H_Exit,0)</f>
        <v>0</v>
      </c>
      <c r="AWU69" s="20" t="n">
        <f aca="false">IF(AND(H_Direct=0,H_TaxEvt=1,ATH68+1&gt;=H_Deemed),MAX(0,AFH69-AIU69)*H_Exit,0)</f>
        <v>0</v>
      </c>
      <c r="AWV69" s="20" t="n">
        <f aca="false">IF(AND(H_Direct=0,H_TaxEvt=1,ATI68+1&gt;=H_Deemed),MAX(0,AFI69-AIV69)*H_Exit,0)</f>
        <v>0</v>
      </c>
      <c r="AWW69" s="20" t="n">
        <f aca="false">IF(AND(H_Direct=0,H_TaxEvt=1,ATJ68+1&gt;=H_Deemed),MAX(0,AFJ69-AIW69)*H_Exit,0)</f>
        <v>0</v>
      </c>
      <c r="AWX69" s="20" t="n">
        <f aca="false">IF(AND(H_Direct=0,H_TaxEvt=1,ATK68+1&gt;=H_Deemed),MAX(0,AFK69-AIX69)*H_Exit,0)</f>
        <v>0</v>
      </c>
      <c r="AWY69" s="20" t="n">
        <f aca="false">IF(AND(H_Direct=0,H_TaxEvt=1,ATL68+1&gt;=H_Deemed),MAX(0,AFL69-AIY69)*H_Exit,0)</f>
        <v>0</v>
      </c>
      <c r="AWZ69" s="20" t="n">
        <f aca="false">IF(AND(H_Direct=0,H_TaxEvt=1,ATM68+1&gt;=H_Deemed),MAX(0,AFM69-AIZ69)*H_Exit,0)</f>
        <v>0</v>
      </c>
      <c r="AXA69" s="20" t="n">
        <f aca="false">IF(AND(H_Direct=0,H_TaxEvt=1,ATN68+1&gt;=H_Deemed),MAX(0,AFN69-AJA69)*H_Exit,0)</f>
        <v>0</v>
      </c>
      <c r="AXB69" s="20" t="n">
        <f aca="false">IF(AND(H_Direct=0,H_TaxEvt=1,ATO68+1&gt;=H_Deemed),MAX(0,AFO69-AJB69)*H_Exit,0)</f>
        <v>0</v>
      </c>
      <c r="AXC69" s="20" t="n">
        <f aca="false">IF(AND(H_Direct=0,H_TaxEvt=1,ATP68+1&gt;=H_Deemed),MAX(0,AFP69-AJC69)*H_Exit,0)</f>
        <v>0</v>
      </c>
      <c r="AXD69" s="20" t="n">
        <f aca="false">IF(AND(H_Direct=0,H_TaxEvt=1,ATQ68+1&gt;=H_Deemed),MAX(0,AFQ69-AJD69)*H_Exit,0)</f>
        <v>0</v>
      </c>
      <c r="AXE69" s="20" t="n">
        <f aca="false">IF(AND(H_Direct=0,H_TaxEvt=1,ATR68+1&gt;=H_Deemed),MAX(0,AFR69-AJE69)*H_Exit,0)</f>
        <v>0</v>
      </c>
      <c r="AXF69" s="20" t="n">
        <f aca="false">IF(AND(H_Direct=0,H_TaxEvt=1,ATS68+1&gt;=H_Deemed),MAX(0,AFS69-AJF69)*H_Exit,0)</f>
        <v>0</v>
      </c>
      <c r="AXG69" s="20" t="n">
        <f aca="false">IF(AND(H_Direct=0,H_TaxEvt=1,ATT68+1&gt;=H_Deemed),MAX(0,AFT69-AJG69)*H_Exit,0)</f>
        <v>0</v>
      </c>
      <c r="AXH69" s="20" t="n">
        <f aca="false">IF(AND(H_Direct=0,H_TaxEvt=1,ATU68+1&gt;=H_Deemed),MAX(0,AFU69-AJH69)*H_Exit,0)</f>
        <v>0</v>
      </c>
      <c r="AXI69" s="20" t="n">
        <f aca="false">IF(AND(H_Direct=0,H_TaxEvt=1,ATV68+1&gt;=H_Deemed),MAX(0,AFV69-AJI69)*H_Exit,0)</f>
        <v>0</v>
      </c>
      <c r="AXJ69" s="20" t="n">
        <f aca="false">IF(AND(H_Direct=0,H_TaxEvt=1,ATW68+1&gt;=H_Deemed),MAX(0,AFW69-AJJ69)*H_Exit,0)</f>
        <v>0</v>
      </c>
      <c r="AXK69" s="20" t="n">
        <f aca="false">IF(AND(H_Direct=0,H_TaxEvt=1,ATX68+1&gt;=H_Deemed),MAX(0,AFX69-AJK69)*H_Exit,0)</f>
        <v>0</v>
      </c>
      <c r="AXL69" s="20" t="n">
        <f aca="false">IF(AND(H_Direct=0,H_TaxEvt=1,ATY68+1&gt;=H_Deemed),MAX(0,AFY69-AJL69)*H_Exit,0)</f>
        <v>0</v>
      </c>
      <c r="AXM69" s="20" t="n">
        <f aca="false">IF(AND(H_Direct=0,H_TaxEvt=1,ATZ68+1&gt;=H_Deemed),MAX(0,AFZ69-AJM69)*H_Exit,0)</f>
        <v>0</v>
      </c>
      <c r="AXN69" s="20" t="n">
        <f aca="false">IF(AND(H_Direct=0,H_TaxEvt=1,AUA68+1&gt;=H_Deemed),MAX(0,AGA69-AJN69)*H_Exit,0)</f>
        <v>0</v>
      </c>
      <c r="AXO69" s="20" t="n">
        <f aca="false">IF(AND(H_Direct=0,H_TaxEvt=1,0+1&gt;=H_Deemed),MAX(0,AGB69-AJO69)*H_Exit,0)</f>
        <v>0</v>
      </c>
      <c r="AXP69" s="20" t="n">
        <v>0</v>
      </c>
      <c r="AXQ69" s="20" t="n">
        <v>0</v>
      </c>
      <c r="AXR69" s="20" t="n">
        <v>0</v>
      </c>
      <c r="AXS69" s="20" t="n">
        <v>0</v>
      </c>
      <c r="AXT69" s="20" t="n">
        <v>0</v>
      </c>
      <c r="AXU69" s="20" t="n">
        <v>0</v>
      </c>
      <c r="AXV69" s="20" t="n">
        <v>0</v>
      </c>
      <c r="AXW69" s="20" t="n">
        <v>0</v>
      </c>
      <c r="AXX69" s="20" t="n">
        <v>0</v>
      </c>
      <c r="AXY69" s="20" t="n">
        <v>0</v>
      </c>
      <c r="AXZ69" s="20" t="n">
        <v>0</v>
      </c>
      <c r="AYA69" s="20" t="n">
        <v>0</v>
      </c>
      <c r="AYB69" s="20" t="n">
        <v>0</v>
      </c>
      <c r="AYC69" s="20" t="n">
        <v>0</v>
      </c>
      <c r="AYD69" s="20" t="n">
        <v>0</v>
      </c>
      <c r="AYE69" s="20" t="n">
        <v>0</v>
      </c>
      <c r="AYF69" s="20" t="n">
        <v>0</v>
      </c>
      <c r="AYG69" s="20" t="n">
        <v>0</v>
      </c>
      <c r="AYH69" s="20" t="n">
        <v>0</v>
      </c>
      <c r="AYI69" s="20" t="n">
        <v>0</v>
      </c>
      <c r="AYJ69" s="20" t="n">
        <v>0</v>
      </c>
      <c r="AYK69" s="20" t="n">
        <v>0</v>
      </c>
      <c r="AYL69" s="20" t="n">
        <v>0</v>
      </c>
      <c r="AYM69" s="20" t="n">
        <v>0</v>
      </c>
      <c r="AYN69" s="20" t="n">
        <v>0</v>
      </c>
      <c r="AYO69" s="20" t="n">
        <v>0</v>
      </c>
      <c r="AYP69" s="20" t="n">
        <v>0</v>
      </c>
      <c r="AYQ69" s="20" t="n">
        <v>0</v>
      </c>
    </row>
    <row r="70" customFormat="false" ht="15" hidden="false" customHeight="false" outlineLevel="0" collapsed="false">
      <c r="B70" s="20" t="n">
        <v>62</v>
      </c>
      <c r="C70" s="20" t="n">
        <f aca="false">'Plan cashflow'!C70</f>
        <v>0</v>
      </c>
      <c r="D70" s="20" t="n">
        <f aca="false">'Plan cashflow'!D70</f>
        <v>100</v>
      </c>
      <c r="E70" s="20" t="n">
        <f aca="false">AS_Year0+62</f>
        <v>2088</v>
      </c>
      <c r="F70" s="50" t="n">
        <f aca="false">'Plan cashflow'!F70</f>
        <v>3.41358443221538</v>
      </c>
      <c r="G70" s="59" t="n">
        <f aca="true">IF(MAX(TODAY(),DATE(E70,1,1))&gt;=H_CGTfrom,H_CGT1,H_CGT0)</f>
        <v>0.31</v>
      </c>
      <c r="H70" s="20" t="n">
        <f aca="false">H_Exempt*H_Persons</f>
        <v>1270</v>
      </c>
      <c r="I70" s="20" t="n">
        <f aca="false">AX69</f>
        <v>0</v>
      </c>
      <c r="J70" s="60" t="n">
        <f aca="false">BF69</f>
        <v>0</v>
      </c>
      <c r="K70" s="60" t="n">
        <f aca="false">BG69</f>
        <v>0</v>
      </c>
      <c r="L70" s="20" t="n">
        <f aca="false">IF(AND(In_polLump&gt;0,In_polLumpAge&gt;0,D70=In_polLumpAge),In_polLump,0)</f>
        <v>0</v>
      </c>
      <c r="M70" s="20" t="n">
        <f aca="false">IF(AND(In_homeUse="Yes, I'd downsize",In_downAge&gt;0,D70=In_downAge,OR(In_home="Own outright",In_home="Own with mortgage"),In_homeValue&gt;0),MAX(0,MAX(0,In_homeValue-In_downValue)*F70*0.9-'Plan cashflow'!HR69),0)</f>
        <v>0</v>
      </c>
      <c r="N70" s="20" t="n">
        <f aca="false">'Plan pay &amp; tax'!Y296</f>
        <v>0</v>
      </c>
      <c r="O70" s="20" t="n">
        <f aca="false">L70+M70+(1-H_Sh)*N70</f>
        <v>0</v>
      </c>
      <c r="P70" s="20" t="n">
        <f aca="false">H_Sh*N70</f>
        <v>0</v>
      </c>
      <c r="Q70" s="20" t="n">
        <f aca="false">'Plan cashflow'!UL70</f>
        <v>0</v>
      </c>
      <c r="R70" s="20" t="n">
        <f aca="false">(1-H_Sh)*Q70</f>
        <v>0</v>
      </c>
      <c r="S70" s="20" t="n">
        <f aca="false">H_Sh*Q70</f>
        <v>0</v>
      </c>
      <c r="T70" s="20" t="n">
        <f aca="false">J70+K70+O70</f>
        <v>0</v>
      </c>
      <c r="U70" s="20" t="n">
        <f aca="false">T70+R70</f>
        <v>0</v>
      </c>
      <c r="V70" s="60" t="n">
        <f aca="false">SUM(FE70:IQ70)</f>
        <v>0</v>
      </c>
      <c r="W70" s="60" t="n">
        <f aca="false">IF(AJ70&lt;=0,0,IF(AL70&lt;=0,AJ70,AJ70-G70*MAX(0,AL70*AJ70-(AY70+AZ70))))</f>
        <v>0</v>
      </c>
      <c r="X70" s="60" t="n">
        <f aca="false">IF(AR70&lt;=0,0,IF(AT70&lt;=0,AR70,AR70-G70*MAX(0,AT70*AR70-(BA70+BB70))))</f>
        <v>0</v>
      </c>
      <c r="Y70" s="60" t="n">
        <f aca="false">T70+V70-S70+W70+X70</f>
        <v>0</v>
      </c>
      <c r="Z70" s="60" t="n">
        <f aca="false">'Plan cashflow'!UK70</f>
        <v>0</v>
      </c>
      <c r="AA70" s="20" t="n">
        <f aca="false">MIN(Z70,U70)</f>
        <v>0</v>
      </c>
      <c r="AB70" s="20" t="n">
        <f aca="false">Z70-AA70</f>
        <v>0</v>
      </c>
      <c r="AC70" s="20" t="n">
        <f aca="false">MIN(AA70,J70+O70+R70)</f>
        <v>0</v>
      </c>
      <c r="AD70" s="20" t="n">
        <f aca="false">AA70-AC70</f>
        <v>0</v>
      </c>
      <c r="AE70" s="20" t="n">
        <f aca="false">J70+O70+R70-AC70</f>
        <v>0</v>
      </c>
      <c r="AF70" s="20" t="n">
        <f aca="false">K70-AD70</f>
        <v>0</v>
      </c>
      <c r="AG70" s="20" t="n">
        <f aca="false">SUM(PR70:TD70)</f>
        <v>0</v>
      </c>
      <c r="AH70" s="20" t="n">
        <f aca="false">SUM(TE70:WQ70)</f>
        <v>0</v>
      </c>
      <c r="AI70" s="20" t="n">
        <f aca="false">MAX(0,AB70-AG70)</f>
        <v>0</v>
      </c>
      <c r="AJ70" s="57" t="n">
        <f aca="false">BI69</f>
        <v>0</v>
      </c>
      <c r="AK70" s="20" t="n">
        <f aca="false">BJ69</f>
        <v>0</v>
      </c>
      <c r="AL70" s="20" t="n">
        <f aca="false">IF(AJ70&gt;0,(AJ70-AK70)/AJ70,0)</f>
        <v>0</v>
      </c>
      <c r="AM70" s="20" t="n">
        <f aca="false">IF(AJ70&lt;=0,0,IF(AL70&lt;=0,MIN(AI70,AJ70),MIN(AI70,AJ70-G70*MAX(0,AL70*AJ70-(AAD70+ADQ70)))))</f>
        <v>0</v>
      </c>
      <c r="AN70" s="20" t="n">
        <f aca="false">IF(AJ70&lt;=0,0,IF(AL70&lt;=0,AM70,IF(AM70&lt;=(AAD70+ADQ70)/AL70,AM70,(AM70-G70*(AAD70+ADQ70))/(1-G70*AL70))))</f>
        <v>0</v>
      </c>
      <c r="AO70" s="20" t="n">
        <f aca="false">IF(AL70&gt;0,MAX(0,AAD70-(MIN(AL70*AN70,(AAD70+ADQ70))-MIN(MIN(AL70*AN70,(AAD70+ADQ70)),ADQ70))),AAD70)</f>
        <v>1270</v>
      </c>
      <c r="AP70" s="20" t="n">
        <f aca="false">IF(AL70&lt;=0,ADQ70-AL70*AN70,ADQ70-MIN(MIN(AL70*AN70,(AAD70+ADQ70)),ADQ70))</f>
        <v>0</v>
      </c>
      <c r="AQ70" s="20" t="n">
        <f aca="false">MAX(0,AI70-AM70)</f>
        <v>0</v>
      </c>
      <c r="AR70" s="57" t="n">
        <f aca="false">BK69</f>
        <v>0</v>
      </c>
      <c r="AS70" s="20" t="n">
        <f aca="false">BL69</f>
        <v>0</v>
      </c>
      <c r="AT70" s="20" t="n">
        <f aca="false">IF(AR70&gt;0,(AR70-AS70)/AR70,0)</f>
        <v>0</v>
      </c>
      <c r="AU70" s="20" t="n">
        <f aca="false">IF(AR70&lt;=0,0,IF(AT70&lt;=0,MIN(AQ70,AR70),MIN(AQ70,AR70-G70*MAX(0,AT70*AR70-(AO70+AP70)))))</f>
        <v>0</v>
      </c>
      <c r="AV70" s="20" t="n">
        <f aca="false">IF(AR70&lt;=0,0,IF(AT70&lt;=0,AU70,IF(AU70&lt;=(AO70+AP70)/AT70,AU70,(AU70-G70*(AO70+AP70))/(1-G70*AT70))))</f>
        <v>0</v>
      </c>
      <c r="AW70" s="20" t="n">
        <f aca="false">IF(AT70&gt;0,MAX(0,AO70-(MIN(AT70*AV70,(AO70+AP70))-MIN(MIN(AT70*AV70,(AO70+AP70)),AP70))),AO70)</f>
        <v>1270</v>
      </c>
      <c r="AX70" s="20" t="n">
        <f aca="false">IF(AT70&lt;=0,AP70-AT70*AV70,AP70-MIN(MIN(AT70*AV70,(AO70+AP70)),AP70))</f>
        <v>0</v>
      </c>
      <c r="AY70" s="20" t="n">
        <f aca="false">MD70</f>
        <v>1270</v>
      </c>
      <c r="AZ70" s="20" t="n">
        <f aca="false">PQ70</f>
        <v>0</v>
      </c>
      <c r="BA70" s="20" t="n">
        <f aca="false">IF(AL70&gt;0,MAX(0,AY70-(MIN(AL70*AJ70,AY70+AZ70)-MIN(MIN(AL70*AJ70,AY70+AZ70),AZ70))),AY70)</f>
        <v>1270</v>
      </c>
      <c r="BB70" s="20" t="n">
        <f aca="false">IF(AL70&lt;=0,AZ70-AL70*AJ70,AZ70-MIN(MIN(AL70*AJ70,AY70+AZ70),AZ70))</f>
        <v>0</v>
      </c>
      <c r="BC70" s="20" t="n">
        <f aca="false">'Plan cashflow'!UM70</f>
        <v>0</v>
      </c>
      <c r="BD70" s="20" t="n">
        <f aca="false">(1-H_Sh)*BC70</f>
        <v>0</v>
      </c>
      <c r="BE70" s="20" t="n">
        <f aca="false">H_Sh*BC70</f>
        <v>0</v>
      </c>
      <c r="BF70" s="60" t="n">
        <f aca="false">(AE70+BD70)*(1+AS_Cash)</f>
        <v>0</v>
      </c>
      <c r="BG70" s="60" t="n">
        <f aca="false">AF70*(1+AS_Cash)</f>
        <v>0</v>
      </c>
      <c r="BH70" s="60" t="n">
        <f aca="false">SUM(AKR70:AOD70)</f>
        <v>0</v>
      </c>
      <c r="BI70" s="60" t="n">
        <f aca="false">(AJ70-AN70)*(1+AS_Infl)</f>
        <v>0</v>
      </c>
      <c r="BJ70" s="20" t="n">
        <f aca="false">IF(AJ70&gt;0,AK70-AK70*AN70/AJ70,0)</f>
        <v>0</v>
      </c>
      <c r="BK70" s="60" t="n">
        <f aca="false">(AR70-AV70)*(1+BQ70)</f>
        <v>0</v>
      </c>
      <c r="BL70" s="20" t="n">
        <f aca="false">IF(AR70&gt;0,AS70-AS70*AV70/AR70,0)</f>
        <v>0</v>
      </c>
      <c r="BM70" s="60" t="n">
        <f aca="false">BF70+BG70+BH70+BI70+BK70</f>
        <v>0</v>
      </c>
      <c r="BN70" s="60" t="n">
        <f aca="false">(AH70-AG70)+(AN70-AM70)+(AV70-AU70)</f>
        <v>0</v>
      </c>
      <c r="BO70" s="20" t="n">
        <f aca="false">(AE70+BD70+AF70+MAX(0,'Plan cashflow'!QH70)+IF(Slot1_Rate=AS_Cash,'Plan cashflow'!QM70/(1+AS_Cash),0)+IF(Slot2_Rate=AS_Cash,'Plan cashflow'!QQ70/(1+AS_Cash),0)+IF(Slot3_Rate=AS_Cash,'Plan cashflow'!QU70/(1+AS_Cash),0)+IF(Slot4_Rate=AS_Cash,'Plan cashflow'!QY70/(1+AS_Cash),0)+IF(Slot5_Rate=AS_Cash,'Plan cashflow'!RC70/(1+AS_Cash),0)+IF(Slot6_Rate=AS_Cash,'Plan cashflow'!RG70/(1+AS_Cash),0)+IF(Slot7_Rate=AS_Cash,'Plan cashflow'!RK70/(1+AS_Cash),0)+IF(Slot8_Rate=AS_Cash,'Plan cashflow'!RO70/(1+AS_Cash),0)+IF(Slot9_Rate=AS_Cash,'Plan cashflow'!RS70/(1+AS_Cash),0)+IF(Slot10_Rate=AS_Cash,'Plan cashflow'!RW70/(1+AS_Cash),0)+IF(Slot11_Rate=AS_Cash,'Plan cashflow'!SA70/(1+AS_Cash),0)+IF(Slot12_Rate=AS_Cash,'Plan cashflow'!SE70/(1+AS_Cash),0)+IF(Slot13_Rate=AS_Cash,'Plan cashflow'!SI70/(1+AS_Cash),0)+IF(Slot14_Rate=AS_Cash,'Plan cashflow'!SM70/(1+AS_Cash),0)+IF(Slot15_Rate=AS_Cash,'Plan cashflow'!SQ70/(1+AS_Cash),0)+IF(Slot16_Rate=AS_Cash,'Plan cashflow'!SU70/(1+AS_Cash),0)+IF(Slot17_Rate=AS_Cash,'Plan cashflow'!SY70/(1+AS_Cash),0)+IF(Slot18_Rate=AS_Cash,'Plan cashflow'!TC70/(1+AS_Cash),0)+IF(Slot19_Rate=AS_Cash,'Plan cashflow'!TG70/(1+AS_Cash),0)+IF(Slot20_Rate=AS_Cash,'Plan cashflow'!TK70/(1+AS_Cash),0))*AS_Cash*H_DIRT/(1-H_DIRT)</f>
        <v>0</v>
      </c>
      <c r="BP70" s="60" t="n">
        <f aca="false">SUM(AVE70:AYQ70)</f>
        <v>0</v>
      </c>
      <c r="BQ70" s="54" t="n">
        <f aca="false">IF(H_TaxEvt=1,H_InvG,AS_Inv)</f>
        <v>0.04</v>
      </c>
      <c r="BR70" s="20" t="n">
        <f aca="false">IF(AKR69&gt;0,(AKR69-AOE69)/AKR69,0)</f>
        <v>0</v>
      </c>
      <c r="BS70" s="20" t="n">
        <f aca="false">IF(AKS69&gt;0,(AKS69-AOF69)/AKS69,0)</f>
        <v>0</v>
      </c>
      <c r="BT70" s="20" t="n">
        <f aca="false">IF(AKT69&gt;0,(AKT69-AOG69)/AKT69,0)</f>
        <v>0</v>
      </c>
      <c r="BU70" s="20" t="n">
        <f aca="false">IF(AKU69&gt;0,(AKU69-AOH69)/AKU69,0)</f>
        <v>0</v>
      </c>
      <c r="BV70" s="20" t="n">
        <f aca="false">IF(AKV69&gt;0,(AKV69-AOI69)/AKV69,0)</f>
        <v>0</v>
      </c>
      <c r="BW70" s="20" t="n">
        <f aca="false">IF(AKW69&gt;0,(AKW69-AOJ69)/AKW69,0)</f>
        <v>0</v>
      </c>
      <c r="BX70" s="20" t="n">
        <f aca="false">IF(AKX69&gt;0,(AKX69-AOK69)/AKX69,0)</f>
        <v>0</v>
      </c>
      <c r="BY70" s="20" t="n">
        <f aca="false">IF(AKY69&gt;0,(AKY69-AOL69)/AKY69,0)</f>
        <v>0</v>
      </c>
      <c r="BZ70" s="20" t="n">
        <f aca="false">IF(AKZ69&gt;0,(AKZ69-AOM69)/AKZ69,0)</f>
        <v>0</v>
      </c>
      <c r="CA70" s="20" t="n">
        <f aca="false">IF(ALA69&gt;0,(ALA69-AON69)/ALA69,0)</f>
        <v>0</v>
      </c>
      <c r="CB70" s="20" t="n">
        <f aca="false">IF(ALB69&gt;0,(ALB69-AOO69)/ALB69,0)</f>
        <v>0</v>
      </c>
      <c r="CC70" s="20" t="n">
        <f aca="false">IF(ALC69&gt;0,(ALC69-AOP69)/ALC69,0)</f>
        <v>0</v>
      </c>
      <c r="CD70" s="20" t="n">
        <f aca="false">IF(ALD69&gt;0,(ALD69-AOQ69)/ALD69,0)</f>
        <v>0</v>
      </c>
      <c r="CE70" s="20" t="n">
        <f aca="false">IF(ALE69&gt;0,(ALE69-AOR69)/ALE69,0)</f>
        <v>0</v>
      </c>
      <c r="CF70" s="20" t="n">
        <f aca="false">IF(ALF69&gt;0,(ALF69-AOS69)/ALF69,0)</f>
        <v>0</v>
      </c>
      <c r="CG70" s="20" t="n">
        <f aca="false">IF(ALG69&gt;0,(ALG69-AOT69)/ALG69,0)</f>
        <v>0</v>
      </c>
      <c r="CH70" s="20" t="n">
        <f aca="false">IF(ALH69&gt;0,(ALH69-AOU69)/ALH69,0)</f>
        <v>0</v>
      </c>
      <c r="CI70" s="20" t="n">
        <f aca="false">IF(ALI69&gt;0,(ALI69-AOV69)/ALI69,0)</f>
        <v>0</v>
      </c>
      <c r="CJ70" s="20" t="n">
        <f aca="false">IF(ALJ69&gt;0,(ALJ69-AOW69)/ALJ69,0)</f>
        <v>0</v>
      </c>
      <c r="CK70" s="20" t="n">
        <f aca="false">IF(ALK69&gt;0,(ALK69-AOX69)/ALK69,0)</f>
        <v>0</v>
      </c>
      <c r="CL70" s="20" t="n">
        <f aca="false">IF(ALL69&gt;0,(ALL69-AOY69)/ALL69,0)</f>
        <v>0</v>
      </c>
      <c r="CM70" s="20" t="n">
        <f aca="false">IF(ALM69&gt;0,(ALM69-AOZ69)/ALM69,0)</f>
        <v>0</v>
      </c>
      <c r="CN70" s="20" t="n">
        <f aca="false">IF(ALN69&gt;0,(ALN69-APA69)/ALN69,0)</f>
        <v>0</v>
      </c>
      <c r="CO70" s="20" t="n">
        <f aca="false">IF(ALO69&gt;0,(ALO69-APB69)/ALO69,0)</f>
        <v>0</v>
      </c>
      <c r="CP70" s="20" t="n">
        <f aca="false">IF(ALP69&gt;0,(ALP69-APC69)/ALP69,0)</f>
        <v>0</v>
      </c>
      <c r="CQ70" s="20" t="n">
        <f aca="false">IF(ALQ69&gt;0,(ALQ69-APD69)/ALQ69,0)</f>
        <v>0</v>
      </c>
      <c r="CR70" s="20" t="n">
        <f aca="false">IF(ALR69&gt;0,(ALR69-APE69)/ALR69,0)</f>
        <v>0</v>
      </c>
      <c r="CS70" s="20" t="n">
        <f aca="false">IF(ALS69&gt;0,(ALS69-APF69)/ALS69,0)</f>
        <v>0</v>
      </c>
      <c r="CT70" s="20" t="n">
        <f aca="false">IF(ALT69&gt;0,(ALT69-APG69)/ALT69,0)</f>
        <v>0</v>
      </c>
      <c r="CU70" s="20" t="n">
        <f aca="false">IF(ALU69&gt;0,(ALU69-APH69)/ALU69,0)</f>
        <v>0</v>
      </c>
      <c r="CV70" s="20" t="n">
        <f aca="false">IF(ALV69&gt;0,(ALV69-API69)/ALV69,0)</f>
        <v>0</v>
      </c>
      <c r="CW70" s="20" t="n">
        <f aca="false">IF(ALW69&gt;0,(ALW69-APJ69)/ALW69,0)</f>
        <v>0</v>
      </c>
      <c r="CX70" s="20" t="n">
        <f aca="false">IF(ALX69&gt;0,(ALX69-APK69)/ALX69,0)</f>
        <v>0</v>
      </c>
      <c r="CY70" s="20" t="n">
        <f aca="false">IF(ALY69&gt;0,(ALY69-APL69)/ALY69,0)</f>
        <v>0</v>
      </c>
      <c r="CZ70" s="20" t="n">
        <f aca="false">IF(ALZ69&gt;0,(ALZ69-APM69)/ALZ69,0)</f>
        <v>0</v>
      </c>
      <c r="DA70" s="20" t="n">
        <f aca="false">IF(AMA69&gt;0,(AMA69-APN69)/AMA69,0)</f>
        <v>0</v>
      </c>
      <c r="DB70" s="20" t="n">
        <f aca="false">IF(AMB69&gt;0,(AMB69-APO69)/AMB69,0)</f>
        <v>0</v>
      </c>
      <c r="DC70" s="20" t="n">
        <f aca="false">IF(AMC69&gt;0,(AMC69-APP69)/AMC69,0)</f>
        <v>0</v>
      </c>
      <c r="DD70" s="20" t="n">
        <f aca="false">IF(AMD69&gt;0,(AMD69-APQ69)/AMD69,0)</f>
        <v>0</v>
      </c>
      <c r="DE70" s="20" t="n">
        <f aca="false">IF(AME69&gt;0,(AME69-APR69)/AME69,0)</f>
        <v>0</v>
      </c>
      <c r="DF70" s="20" t="n">
        <f aca="false">IF(AMF69&gt;0,(AMF69-APS69)/AMF69,0)</f>
        <v>0</v>
      </c>
      <c r="DG70" s="20" t="n">
        <f aca="false">IF(AMG69&gt;0,(AMG69-APT69)/AMG69,0)</f>
        <v>0</v>
      </c>
      <c r="DH70" s="20" t="n">
        <f aca="false">IF(AMH69&gt;0,(AMH69-APU69)/AMH69,0)</f>
        <v>0</v>
      </c>
      <c r="DI70" s="20" t="n">
        <f aca="false">IF(AMI69&gt;0,(AMI69-APV69)/AMI69,0)</f>
        <v>0</v>
      </c>
      <c r="DJ70" s="20" t="n">
        <f aca="false">IF(AMJ69&gt;0,(AMJ69-APW69)/AMJ69,0)</f>
        <v>0</v>
      </c>
      <c r="DK70" s="20" t="n">
        <f aca="false">IF(AMK69&gt;0,(AMK69-APX69)/AMK69,0)</f>
        <v>0</v>
      </c>
      <c r="DL70" s="20" t="n">
        <f aca="false">IF(AML69&gt;0,(AML69-APY69)/AML69,0)</f>
        <v>0</v>
      </c>
      <c r="DM70" s="20" t="n">
        <f aca="false">IF(AMM69&gt;0,(AMM69-APZ69)/AMM69,0)</f>
        <v>0</v>
      </c>
      <c r="DN70" s="20" t="n">
        <f aca="false">IF(AMN69&gt;0,(AMN69-AQA69)/AMN69,0)</f>
        <v>0</v>
      </c>
      <c r="DO70" s="20" t="n">
        <f aca="false">IF(AMO69&gt;0,(AMO69-AQB69)/AMO69,0)</f>
        <v>0</v>
      </c>
      <c r="DP70" s="20" t="n">
        <f aca="false">IF(AMP69&gt;0,(AMP69-AQC69)/AMP69,0)</f>
        <v>0</v>
      </c>
      <c r="DQ70" s="20" t="n">
        <f aca="false">IF(AMQ69&gt;0,(AMQ69-AQD69)/AMQ69,0)</f>
        <v>0</v>
      </c>
      <c r="DR70" s="20" t="n">
        <f aca="false">IF(AMR69&gt;0,(AMR69-AQE69)/AMR69,0)</f>
        <v>0</v>
      </c>
      <c r="DS70" s="20" t="n">
        <f aca="false">IF(AMS69&gt;0,(AMS69-AQF69)/AMS69,0)</f>
        <v>0</v>
      </c>
      <c r="DT70" s="20" t="n">
        <f aca="false">IF(AMT69&gt;0,(AMT69-AQG69)/AMT69,0)</f>
        <v>0</v>
      </c>
      <c r="DU70" s="20" t="n">
        <f aca="false">IF(AMU69&gt;0,(AMU69-AQH69)/AMU69,0)</f>
        <v>0</v>
      </c>
      <c r="DV70" s="20" t="n">
        <f aca="false">IF(AMV69&gt;0,(AMV69-AQI69)/AMV69,0)</f>
        <v>0</v>
      </c>
      <c r="DW70" s="20" t="n">
        <f aca="false">IF(AMW69&gt;0,(AMW69-AQJ69)/AMW69,0)</f>
        <v>0</v>
      </c>
      <c r="DX70" s="20" t="n">
        <f aca="false">IF(AMX69&gt;0,(AMX69-AQK69)/AMX69,0)</f>
        <v>0</v>
      </c>
      <c r="DY70" s="20" t="n">
        <f aca="false">IF(AMY69&gt;0,(AMY69-AQL69)/AMY69,0)</f>
        <v>0</v>
      </c>
      <c r="DZ70" s="20" t="n">
        <f aca="false">IF(AMZ69&gt;0,(AMZ69-AQM69)/AMZ69,0)</f>
        <v>0</v>
      </c>
      <c r="EA70" s="20" t="n">
        <f aca="false">IF(ANA69&gt;0,(ANA69-AQN69)/ANA69,0)</f>
        <v>0</v>
      </c>
      <c r="EB70" s="20" t="n">
        <f aca="false">IF(ANB69&gt;0,(ANB69-AQO69)/ANB69,0)</f>
        <v>0</v>
      </c>
      <c r="EC70" s="20" t="n">
        <f aca="false">IF((P70+S70)&gt;0,((P70+S70)-(P70+S70))/(P70+S70),0)</f>
        <v>0</v>
      </c>
      <c r="ED70" s="20" t="n">
        <v>0</v>
      </c>
      <c r="EE70" s="20" t="n">
        <v>0</v>
      </c>
      <c r="EF70" s="20" t="n">
        <v>0</v>
      </c>
      <c r="EG70" s="20" t="n">
        <v>0</v>
      </c>
      <c r="EH70" s="20" t="n">
        <v>0</v>
      </c>
      <c r="EI70" s="20" t="n">
        <v>0</v>
      </c>
      <c r="EJ70" s="20" t="n">
        <v>0</v>
      </c>
      <c r="EK70" s="20" t="n">
        <v>0</v>
      </c>
      <c r="EL70" s="20" t="n">
        <v>0</v>
      </c>
      <c r="EM70" s="20" t="n">
        <v>0</v>
      </c>
      <c r="EN70" s="20" t="n">
        <v>0</v>
      </c>
      <c r="EO70" s="20" t="n">
        <v>0</v>
      </c>
      <c r="EP70" s="20" t="n">
        <v>0</v>
      </c>
      <c r="EQ70" s="20" t="n">
        <v>0</v>
      </c>
      <c r="ER70" s="20" t="n">
        <v>0</v>
      </c>
      <c r="ES70" s="20" t="n">
        <v>0</v>
      </c>
      <c r="ET70" s="20" t="n">
        <v>0</v>
      </c>
      <c r="EU70" s="20" t="n">
        <v>0</v>
      </c>
      <c r="EV70" s="20" t="n">
        <v>0</v>
      </c>
      <c r="EW70" s="20" t="n">
        <v>0</v>
      </c>
      <c r="EX70" s="20" t="n">
        <v>0</v>
      </c>
      <c r="EY70" s="20" t="n">
        <v>0</v>
      </c>
      <c r="EZ70" s="20" t="n">
        <v>0</v>
      </c>
      <c r="FA70" s="20" t="n">
        <v>0</v>
      </c>
      <c r="FB70" s="20" t="n">
        <v>0</v>
      </c>
      <c r="FC70" s="20" t="n">
        <v>0</v>
      </c>
      <c r="FD70" s="20" t="n">
        <v>0</v>
      </c>
      <c r="FE70" s="20" t="n">
        <f aca="false">IF(H_Direct=1,IF(AKR69&lt;=0,0,IF(BR70&lt;=0,AKR69,AKR69-G70*MAX(0,BR70*AKR69-(H70+I70)))),AKR69*(1-MAX(0,BR70)*H_Exit))</f>
        <v>0</v>
      </c>
      <c r="FF70" s="20" t="n">
        <f aca="false">IF(H_Direct=1,IF(AKS69&lt;=0,0,IF(BS70&lt;=0,AKS69,AKS69-G70*MAX(0,BS70*AKS69-(IR70+ME70)))),AKS69*(1-MAX(0,BS70)*H_Exit))</f>
        <v>0</v>
      </c>
      <c r="FG70" s="20" t="n">
        <f aca="false">IF(H_Direct=1,IF(AKT69&lt;=0,0,IF(BT70&lt;=0,AKT69,AKT69-G70*MAX(0,BT70*AKT69-(IS70+MF70)))),AKT69*(1-MAX(0,BT70)*H_Exit))</f>
        <v>0</v>
      </c>
      <c r="FH70" s="20" t="n">
        <f aca="false">IF(H_Direct=1,IF(AKU69&lt;=0,0,IF(BU70&lt;=0,AKU69,AKU69-G70*MAX(0,BU70*AKU69-(IT70+MG70)))),AKU69*(1-MAX(0,BU70)*H_Exit))</f>
        <v>0</v>
      </c>
      <c r="FI70" s="20" t="n">
        <f aca="false">IF(H_Direct=1,IF(AKV69&lt;=0,0,IF(BV70&lt;=0,AKV69,AKV69-G70*MAX(0,BV70*AKV69-(IU70+MH70)))),AKV69*(1-MAX(0,BV70)*H_Exit))</f>
        <v>0</v>
      </c>
      <c r="FJ70" s="20" t="n">
        <f aca="false">IF(H_Direct=1,IF(AKW69&lt;=0,0,IF(BW70&lt;=0,AKW69,AKW69-G70*MAX(0,BW70*AKW69-(IV70+MI70)))),AKW69*(1-MAX(0,BW70)*H_Exit))</f>
        <v>0</v>
      </c>
      <c r="FK70" s="20" t="n">
        <f aca="false">IF(H_Direct=1,IF(AKX69&lt;=0,0,IF(BX70&lt;=0,AKX69,AKX69-G70*MAX(0,BX70*AKX69-(IW70+MJ70)))),AKX69*(1-MAX(0,BX70)*H_Exit))</f>
        <v>0</v>
      </c>
      <c r="FL70" s="20" t="n">
        <f aca="false">IF(H_Direct=1,IF(AKY69&lt;=0,0,IF(BY70&lt;=0,AKY69,AKY69-G70*MAX(0,BY70*AKY69-(IX70+MK70)))),AKY69*(1-MAX(0,BY70)*H_Exit))</f>
        <v>0</v>
      </c>
      <c r="FM70" s="20" t="n">
        <f aca="false">IF(H_Direct=1,IF(AKZ69&lt;=0,0,IF(BZ70&lt;=0,AKZ69,AKZ69-G70*MAX(0,BZ70*AKZ69-(IY70+ML70)))),AKZ69*(1-MAX(0,BZ70)*H_Exit))</f>
        <v>0</v>
      </c>
      <c r="FN70" s="20" t="n">
        <f aca="false">IF(H_Direct=1,IF(ALA69&lt;=0,0,IF(CA70&lt;=0,ALA69,ALA69-G70*MAX(0,CA70*ALA69-(IZ70+MM70)))),ALA69*(1-MAX(0,CA70)*H_Exit))</f>
        <v>0</v>
      </c>
      <c r="FO70" s="20" t="n">
        <f aca="false">IF(H_Direct=1,IF(ALB69&lt;=0,0,IF(CB70&lt;=0,ALB69,ALB69-G70*MAX(0,CB70*ALB69-(JA70+MN70)))),ALB69*(1-MAX(0,CB70)*H_Exit))</f>
        <v>0</v>
      </c>
      <c r="FP70" s="20" t="n">
        <f aca="false">IF(H_Direct=1,IF(ALC69&lt;=0,0,IF(CC70&lt;=0,ALC69,ALC69-G70*MAX(0,CC70*ALC69-(JB70+MO70)))),ALC69*(1-MAX(0,CC70)*H_Exit))</f>
        <v>0</v>
      </c>
      <c r="FQ70" s="20" t="n">
        <f aca="false">IF(H_Direct=1,IF(ALD69&lt;=0,0,IF(CD70&lt;=0,ALD69,ALD69-G70*MAX(0,CD70*ALD69-(JC70+MP70)))),ALD69*(1-MAX(0,CD70)*H_Exit))</f>
        <v>0</v>
      </c>
      <c r="FR70" s="20" t="n">
        <f aca="false">IF(H_Direct=1,IF(ALE69&lt;=0,0,IF(CE70&lt;=0,ALE69,ALE69-G70*MAX(0,CE70*ALE69-(JD70+MQ70)))),ALE69*(1-MAX(0,CE70)*H_Exit))</f>
        <v>0</v>
      </c>
      <c r="FS70" s="20" t="n">
        <f aca="false">IF(H_Direct=1,IF(ALF69&lt;=0,0,IF(CF70&lt;=0,ALF69,ALF69-G70*MAX(0,CF70*ALF69-(JE70+MR70)))),ALF69*(1-MAX(0,CF70)*H_Exit))</f>
        <v>0</v>
      </c>
      <c r="FT70" s="20" t="n">
        <f aca="false">IF(H_Direct=1,IF(ALG69&lt;=0,0,IF(CG70&lt;=0,ALG69,ALG69-G70*MAX(0,CG70*ALG69-(JF70+MS70)))),ALG69*(1-MAX(0,CG70)*H_Exit))</f>
        <v>0</v>
      </c>
      <c r="FU70" s="20" t="n">
        <f aca="false">IF(H_Direct=1,IF(ALH69&lt;=0,0,IF(CH70&lt;=0,ALH69,ALH69-G70*MAX(0,CH70*ALH69-(JG70+MT70)))),ALH69*(1-MAX(0,CH70)*H_Exit))</f>
        <v>0</v>
      </c>
      <c r="FV70" s="20" t="n">
        <f aca="false">IF(H_Direct=1,IF(ALI69&lt;=0,0,IF(CI70&lt;=0,ALI69,ALI69-G70*MAX(0,CI70*ALI69-(JH70+MU70)))),ALI69*(1-MAX(0,CI70)*H_Exit))</f>
        <v>0</v>
      </c>
      <c r="FW70" s="20" t="n">
        <f aca="false">IF(H_Direct=1,IF(ALJ69&lt;=0,0,IF(CJ70&lt;=0,ALJ69,ALJ69-G70*MAX(0,CJ70*ALJ69-(JI70+MV70)))),ALJ69*(1-MAX(0,CJ70)*H_Exit))</f>
        <v>0</v>
      </c>
      <c r="FX70" s="20" t="n">
        <f aca="false">IF(H_Direct=1,IF(ALK69&lt;=0,0,IF(CK70&lt;=0,ALK69,ALK69-G70*MAX(0,CK70*ALK69-(JJ70+MW70)))),ALK69*(1-MAX(0,CK70)*H_Exit))</f>
        <v>0</v>
      </c>
      <c r="FY70" s="20" t="n">
        <f aca="false">IF(H_Direct=1,IF(ALL69&lt;=0,0,IF(CL70&lt;=0,ALL69,ALL69-G70*MAX(0,CL70*ALL69-(JK70+MX70)))),ALL69*(1-MAX(0,CL70)*H_Exit))</f>
        <v>0</v>
      </c>
      <c r="FZ70" s="20" t="n">
        <f aca="false">IF(H_Direct=1,IF(ALM69&lt;=0,0,IF(CM70&lt;=0,ALM69,ALM69-G70*MAX(0,CM70*ALM69-(JL70+MY70)))),ALM69*(1-MAX(0,CM70)*H_Exit))</f>
        <v>0</v>
      </c>
      <c r="GA70" s="20" t="n">
        <f aca="false">IF(H_Direct=1,IF(ALN69&lt;=0,0,IF(CN70&lt;=0,ALN69,ALN69-G70*MAX(0,CN70*ALN69-(JM70+MZ70)))),ALN69*(1-MAX(0,CN70)*H_Exit))</f>
        <v>0</v>
      </c>
      <c r="GB70" s="20" t="n">
        <f aca="false">IF(H_Direct=1,IF(ALO69&lt;=0,0,IF(CO70&lt;=0,ALO69,ALO69-G70*MAX(0,CO70*ALO69-(JN70+NA70)))),ALO69*(1-MAX(0,CO70)*H_Exit))</f>
        <v>0</v>
      </c>
      <c r="GC70" s="20" t="n">
        <f aca="false">IF(H_Direct=1,IF(ALP69&lt;=0,0,IF(CP70&lt;=0,ALP69,ALP69-G70*MAX(0,CP70*ALP69-(JO70+NB70)))),ALP69*(1-MAX(0,CP70)*H_Exit))</f>
        <v>0</v>
      </c>
      <c r="GD70" s="20" t="n">
        <f aca="false">IF(H_Direct=1,IF(ALQ69&lt;=0,0,IF(CQ70&lt;=0,ALQ69,ALQ69-G70*MAX(0,CQ70*ALQ69-(JP70+NC70)))),ALQ69*(1-MAX(0,CQ70)*H_Exit))</f>
        <v>0</v>
      </c>
      <c r="GE70" s="20" t="n">
        <f aca="false">IF(H_Direct=1,IF(ALR69&lt;=0,0,IF(CR70&lt;=0,ALR69,ALR69-G70*MAX(0,CR70*ALR69-(JQ70+ND70)))),ALR69*(1-MAX(0,CR70)*H_Exit))</f>
        <v>0</v>
      </c>
      <c r="GF70" s="20" t="n">
        <f aca="false">IF(H_Direct=1,IF(ALS69&lt;=0,0,IF(CS70&lt;=0,ALS69,ALS69-G70*MAX(0,CS70*ALS69-(JR70+NE70)))),ALS69*(1-MAX(0,CS70)*H_Exit))</f>
        <v>0</v>
      </c>
      <c r="GG70" s="20" t="n">
        <f aca="false">IF(H_Direct=1,IF(ALT69&lt;=0,0,IF(CT70&lt;=0,ALT69,ALT69-G70*MAX(0,CT70*ALT69-(JS70+NF70)))),ALT69*(1-MAX(0,CT70)*H_Exit))</f>
        <v>0</v>
      </c>
      <c r="GH70" s="20" t="n">
        <f aca="false">IF(H_Direct=1,IF(ALU69&lt;=0,0,IF(CU70&lt;=0,ALU69,ALU69-G70*MAX(0,CU70*ALU69-(JT70+NG70)))),ALU69*(1-MAX(0,CU70)*H_Exit))</f>
        <v>0</v>
      </c>
      <c r="GI70" s="20" t="n">
        <f aca="false">IF(H_Direct=1,IF(ALV69&lt;=0,0,IF(CV70&lt;=0,ALV69,ALV69-G70*MAX(0,CV70*ALV69-(JU70+NH70)))),ALV69*(1-MAX(0,CV70)*H_Exit))</f>
        <v>0</v>
      </c>
      <c r="GJ70" s="20" t="n">
        <f aca="false">IF(H_Direct=1,IF(ALW69&lt;=0,0,IF(CW70&lt;=0,ALW69,ALW69-G70*MAX(0,CW70*ALW69-(JV70+NI70)))),ALW69*(1-MAX(0,CW70)*H_Exit))</f>
        <v>0</v>
      </c>
      <c r="GK70" s="20" t="n">
        <f aca="false">IF(H_Direct=1,IF(ALX69&lt;=0,0,IF(CX70&lt;=0,ALX69,ALX69-G70*MAX(0,CX70*ALX69-(JW70+NJ70)))),ALX69*(1-MAX(0,CX70)*H_Exit))</f>
        <v>0</v>
      </c>
      <c r="GL70" s="20" t="n">
        <f aca="false">IF(H_Direct=1,IF(ALY69&lt;=0,0,IF(CY70&lt;=0,ALY69,ALY69-G70*MAX(0,CY70*ALY69-(JX70+NK70)))),ALY69*(1-MAX(0,CY70)*H_Exit))</f>
        <v>0</v>
      </c>
      <c r="GM70" s="20" t="n">
        <f aca="false">IF(H_Direct=1,IF(ALZ69&lt;=0,0,IF(CZ70&lt;=0,ALZ69,ALZ69-G70*MAX(0,CZ70*ALZ69-(JY70+NL70)))),ALZ69*(1-MAX(0,CZ70)*H_Exit))</f>
        <v>0</v>
      </c>
      <c r="GN70" s="20" t="n">
        <f aca="false">IF(H_Direct=1,IF(AMA69&lt;=0,0,IF(DA70&lt;=0,AMA69,AMA69-G70*MAX(0,DA70*AMA69-(JZ70+NM70)))),AMA69*(1-MAX(0,DA70)*H_Exit))</f>
        <v>0</v>
      </c>
      <c r="GO70" s="20" t="n">
        <f aca="false">IF(H_Direct=1,IF(AMB69&lt;=0,0,IF(DB70&lt;=0,AMB69,AMB69-G70*MAX(0,DB70*AMB69-(KA70+NN70)))),AMB69*(1-MAX(0,DB70)*H_Exit))</f>
        <v>0</v>
      </c>
      <c r="GP70" s="20" t="n">
        <f aca="false">IF(H_Direct=1,IF(AMC69&lt;=0,0,IF(DC70&lt;=0,AMC69,AMC69-G70*MAX(0,DC70*AMC69-(KB70+NO70)))),AMC69*(1-MAX(0,DC70)*H_Exit))</f>
        <v>0</v>
      </c>
      <c r="GQ70" s="20" t="n">
        <f aca="false">IF(H_Direct=1,IF(AMD69&lt;=0,0,IF(DD70&lt;=0,AMD69,AMD69-G70*MAX(0,DD70*AMD69-(KC70+NP70)))),AMD69*(1-MAX(0,DD70)*H_Exit))</f>
        <v>0</v>
      </c>
      <c r="GR70" s="20" t="n">
        <f aca="false">IF(H_Direct=1,IF(AME69&lt;=0,0,IF(DE70&lt;=0,AME69,AME69-G70*MAX(0,DE70*AME69-(KD70+NQ70)))),AME69*(1-MAX(0,DE70)*H_Exit))</f>
        <v>0</v>
      </c>
      <c r="GS70" s="20" t="n">
        <f aca="false">IF(H_Direct=1,IF(AMF69&lt;=0,0,IF(DF70&lt;=0,AMF69,AMF69-G70*MAX(0,DF70*AMF69-(KE70+NR70)))),AMF69*(1-MAX(0,DF70)*H_Exit))</f>
        <v>0</v>
      </c>
      <c r="GT70" s="20" t="n">
        <f aca="false">IF(H_Direct=1,IF(AMG69&lt;=0,0,IF(DG70&lt;=0,AMG69,AMG69-G70*MAX(0,DG70*AMG69-(KF70+NS70)))),AMG69*(1-MAX(0,DG70)*H_Exit))</f>
        <v>0</v>
      </c>
      <c r="GU70" s="20" t="n">
        <f aca="false">IF(H_Direct=1,IF(AMH69&lt;=0,0,IF(DH70&lt;=0,AMH69,AMH69-G70*MAX(0,DH70*AMH69-(KG70+NT70)))),AMH69*(1-MAX(0,DH70)*H_Exit))</f>
        <v>0</v>
      </c>
      <c r="GV70" s="20" t="n">
        <f aca="false">IF(H_Direct=1,IF(AMI69&lt;=0,0,IF(DI70&lt;=0,AMI69,AMI69-G70*MAX(0,DI70*AMI69-(KH70+NU70)))),AMI69*(1-MAX(0,DI70)*H_Exit))</f>
        <v>0</v>
      </c>
      <c r="GW70" s="20" t="n">
        <f aca="false">IF(H_Direct=1,IF(AMJ69&lt;=0,0,IF(DJ70&lt;=0,AMJ69,AMJ69-G70*MAX(0,DJ70*AMJ69-(KI70+NV70)))),AMJ69*(1-MAX(0,DJ70)*H_Exit))</f>
        <v>0</v>
      </c>
      <c r="GX70" s="20" t="n">
        <f aca="false">IF(H_Direct=1,IF(AMK69&lt;=0,0,IF(DK70&lt;=0,AMK69,AMK69-G70*MAX(0,DK70*AMK69-(KJ70+NW70)))),AMK69*(1-MAX(0,DK70)*H_Exit))</f>
        <v>0</v>
      </c>
      <c r="GY70" s="20" t="n">
        <f aca="false">IF(H_Direct=1,IF(AML69&lt;=0,0,IF(DL70&lt;=0,AML69,AML69-G70*MAX(0,DL70*AML69-(KK70+NX70)))),AML69*(1-MAX(0,DL70)*H_Exit))</f>
        <v>0</v>
      </c>
      <c r="GZ70" s="20" t="n">
        <f aca="false">IF(H_Direct=1,IF(AMM69&lt;=0,0,IF(DM70&lt;=0,AMM69,AMM69-G70*MAX(0,DM70*AMM69-(KL70+NY70)))),AMM69*(1-MAX(0,DM70)*H_Exit))</f>
        <v>0</v>
      </c>
      <c r="HA70" s="20" t="n">
        <f aca="false">IF(H_Direct=1,IF(AMN69&lt;=0,0,IF(DN70&lt;=0,AMN69,AMN69-G70*MAX(0,DN70*AMN69-(KM70+NZ70)))),AMN69*(1-MAX(0,DN70)*H_Exit))</f>
        <v>0</v>
      </c>
      <c r="HB70" s="20" t="n">
        <f aca="false">IF(H_Direct=1,IF(AMO69&lt;=0,0,IF(DO70&lt;=0,AMO69,AMO69-G70*MAX(0,DO70*AMO69-(KN70+OA70)))),AMO69*(1-MAX(0,DO70)*H_Exit))</f>
        <v>0</v>
      </c>
      <c r="HC70" s="20" t="n">
        <f aca="false">IF(H_Direct=1,IF(AMP69&lt;=0,0,IF(DP70&lt;=0,AMP69,AMP69-G70*MAX(0,DP70*AMP69-(KO70+OB70)))),AMP69*(1-MAX(0,DP70)*H_Exit))</f>
        <v>0</v>
      </c>
      <c r="HD70" s="20" t="n">
        <f aca="false">IF(H_Direct=1,IF(AMQ69&lt;=0,0,IF(DQ70&lt;=0,AMQ69,AMQ69-G70*MAX(0,DQ70*AMQ69-(KP70+OC70)))),AMQ69*(1-MAX(0,DQ70)*H_Exit))</f>
        <v>0</v>
      </c>
      <c r="HE70" s="20" t="n">
        <f aca="false">IF(H_Direct=1,IF(AMR69&lt;=0,0,IF(DR70&lt;=0,AMR69,AMR69-G70*MAX(0,DR70*AMR69-(KQ70+OD70)))),AMR69*(1-MAX(0,DR70)*H_Exit))</f>
        <v>0</v>
      </c>
      <c r="HF70" s="20" t="n">
        <f aca="false">IF(H_Direct=1,IF(AMS69&lt;=0,0,IF(DS70&lt;=0,AMS69,AMS69-G70*MAX(0,DS70*AMS69-(KR70+OE70)))),AMS69*(1-MAX(0,DS70)*H_Exit))</f>
        <v>0</v>
      </c>
      <c r="HG70" s="20" t="n">
        <f aca="false">IF(H_Direct=1,IF(AMT69&lt;=0,0,IF(DT70&lt;=0,AMT69,AMT69-G70*MAX(0,DT70*AMT69-(KS70+OF70)))),AMT69*(1-MAX(0,DT70)*H_Exit))</f>
        <v>0</v>
      </c>
      <c r="HH70" s="20" t="n">
        <f aca="false">IF(H_Direct=1,IF(AMU69&lt;=0,0,IF(DU70&lt;=0,AMU69,AMU69-G70*MAX(0,DU70*AMU69-(KT70+OG70)))),AMU69*(1-MAX(0,DU70)*H_Exit))</f>
        <v>0</v>
      </c>
      <c r="HI70" s="20" t="n">
        <f aca="false">IF(H_Direct=1,IF(AMV69&lt;=0,0,IF(DV70&lt;=0,AMV69,AMV69-G70*MAX(0,DV70*AMV69-(KU70+OH70)))),AMV69*(1-MAX(0,DV70)*H_Exit))</f>
        <v>0</v>
      </c>
      <c r="HJ70" s="20" t="n">
        <f aca="false">IF(H_Direct=1,IF(AMW69&lt;=0,0,IF(DW70&lt;=0,AMW69,AMW69-G70*MAX(0,DW70*AMW69-(KV70+OI70)))),AMW69*(1-MAX(0,DW70)*H_Exit))</f>
        <v>0</v>
      </c>
      <c r="HK70" s="20" t="n">
        <f aca="false">IF(H_Direct=1,IF(AMX69&lt;=0,0,IF(DX70&lt;=0,AMX69,AMX69-G70*MAX(0,DX70*AMX69-(KW70+OJ70)))),AMX69*(1-MAX(0,DX70)*H_Exit))</f>
        <v>0</v>
      </c>
      <c r="HL70" s="20" t="n">
        <f aca="false">IF(H_Direct=1,IF(AMY69&lt;=0,0,IF(DY70&lt;=0,AMY69,AMY69-G70*MAX(0,DY70*AMY69-(KX70+OK70)))),AMY69*(1-MAX(0,DY70)*H_Exit))</f>
        <v>0</v>
      </c>
      <c r="HM70" s="20" t="n">
        <f aca="false">IF(H_Direct=1,IF(AMZ69&lt;=0,0,IF(DZ70&lt;=0,AMZ69,AMZ69-G70*MAX(0,DZ70*AMZ69-(KY70+OL70)))),AMZ69*(1-MAX(0,DZ70)*H_Exit))</f>
        <v>0</v>
      </c>
      <c r="HN70" s="20" t="n">
        <f aca="false">IF(H_Direct=1,IF(ANA69&lt;=0,0,IF(EA70&lt;=0,ANA69,ANA69-G70*MAX(0,EA70*ANA69-(KZ70+OM70)))),ANA69*(1-MAX(0,EA70)*H_Exit))</f>
        <v>0</v>
      </c>
      <c r="HO70" s="20" t="n">
        <f aca="false">IF(H_Direct=1,IF(ANB69&lt;=0,0,IF(EB70&lt;=0,ANB69,ANB69-G70*MAX(0,EB70*ANB69-(LA70+ON70)))),ANB69*(1-MAX(0,EB70)*H_Exit))</f>
        <v>0</v>
      </c>
      <c r="HP70" s="20" t="n">
        <f aca="false">IF(H_Direct=1,IF((P70+S70)&lt;=0,0,IF(EC70&lt;=0,(P70+S70),(P70+S70)-G70*MAX(0,EC70*(P70+S70)-(LB70+OO70)))),(P70+S70)*(1-MAX(0,EC70)*H_Exit))</f>
        <v>0</v>
      </c>
      <c r="HQ70" s="20" t="n">
        <v>0</v>
      </c>
      <c r="HR70" s="20" t="n">
        <v>0</v>
      </c>
      <c r="HS70" s="20" t="n">
        <v>0</v>
      </c>
      <c r="HT70" s="20" t="n">
        <v>0</v>
      </c>
      <c r="HU70" s="20" t="n">
        <v>0</v>
      </c>
      <c r="HV70" s="20" t="n">
        <v>0</v>
      </c>
      <c r="HW70" s="20" t="n">
        <v>0</v>
      </c>
      <c r="HX70" s="20" t="n">
        <v>0</v>
      </c>
      <c r="HY70" s="20" t="n">
        <v>0</v>
      </c>
      <c r="HZ70" s="20" t="n">
        <v>0</v>
      </c>
      <c r="IA70" s="20" t="n">
        <v>0</v>
      </c>
      <c r="IB70" s="20" t="n">
        <v>0</v>
      </c>
      <c r="IC70" s="20" t="n">
        <v>0</v>
      </c>
      <c r="ID70" s="20" t="n">
        <v>0</v>
      </c>
      <c r="IE70" s="20" t="n">
        <v>0</v>
      </c>
      <c r="IF70" s="20" t="n">
        <v>0</v>
      </c>
      <c r="IG70" s="20" t="n">
        <v>0</v>
      </c>
      <c r="IH70" s="20" t="n">
        <v>0</v>
      </c>
      <c r="II70" s="20" t="n">
        <v>0</v>
      </c>
      <c r="IJ70" s="20" t="n">
        <v>0</v>
      </c>
      <c r="IK70" s="20" t="n">
        <v>0</v>
      </c>
      <c r="IL70" s="20" t="n">
        <v>0</v>
      </c>
      <c r="IM70" s="20" t="n">
        <v>0</v>
      </c>
      <c r="IN70" s="20" t="n">
        <v>0</v>
      </c>
      <c r="IO70" s="20" t="n">
        <v>0</v>
      </c>
      <c r="IP70" s="20" t="n">
        <v>0</v>
      </c>
      <c r="IQ70" s="20" t="n">
        <v>0</v>
      </c>
      <c r="IR70" s="20" t="n">
        <f aca="false">IF(AND(H_Direct=1,BR70&gt;0),MAX(0,H70-(MIN(BR70*AKR69,H70+I70)-MIN(MIN(BR70*AKR69,H70+I70),I70))),H70)</f>
        <v>1270</v>
      </c>
      <c r="IS70" s="20" t="n">
        <f aca="false">IF(AND(H_Direct=1,BS70&gt;0),MAX(0,IR70-(MIN(BS70*AKS69,IR70+ME70)-MIN(MIN(BS70*AKS69,IR70+ME70),ME70))),IR70)</f>
        <v>1270</v>
      </c>
      <c r="IT70" s="20" t="n">
        <f aca="false">IF(AND(H_Direct=1,BT70&gt;0),MAX(0,IS70-(MIN(BT70*AKT69,IS70+MF70)-MIN(MIN(BT70*AKT69,IS70+MF70),MF70))),IS70)</f>
        <v>1270</v>
      </c>
      <c r="IU70" s="20" t="n">
        <f aca="false">IF(AND(H_Direct=1,BU70&gt;0),MAX(0,IT70-(MIN(BU70*AKU69,IT70+MG70)-MIN(MIN(BU70*AKU69,IT70+MG70),MG70))),IT70)</f>
        <v>1270</v>
      </c>
      <c r="IV70" s="20" t="n">
        <f aca="false">IF(AND(H_Direct=1,BV70&gt;0),MAX(0,IU70-(MIN(BV70*AKV69,IU70+MH70)-MIN(MIN(BV70*AKV69,IU70+MH70),MH70))),IU70)</f>
        <v>1270</v>
      </c>
      <c r="IW70" s="20" t="n">
        <f aca="false">IF(AND(H_Direct=1,BW70&gt;0),MAX(0,IV70-(MIN(BW70*AKW69,IV70+MI70)-MIN(MIN(BW70*AKW69,IV70+MI70),MI70))),IV70)</f>
        <v>1270</v>
      </c>
      <c r="IX70" s="20" t="n">
        <f aca="false">IF(AND(H_Direct=1,BX70&gt;0),MAX(0,IW70-(MIN(BX70*AKX69,IW70+MJ70)-MIN(MIN(BX70*AKX69,IW70+MJ70),MJ70))),IW70)</f>
        <v>1270</v>
      </c>
      <c r="IY70" s="20" t="n">
        <f aca="false">IF(AND(H_Direct=1,BY70&gt;0),MAX(0,IX70-(MIN(BY70*AKY69,IX70+MK70)-MIN(MIN(BY70*AKY69,IX70+MK70),MK70))),IX70)</f>
        <v>1270</v>
      </c>
      <c r="IZ70" s="20" t="n">
        <f aca="false">IF(AND(H_Direct=1,BZ70&gt;0),MAX(0,IY70-(MIN(BZ70*AKZ69,IY70+ML70)-MIN(MIN(BZ70*AKZ69,IY70+ML70),ML70))),IY70)</f>
        <v>1270</v>
      </c>
      <c r="JA70" s="20" t="n">
        <f aca="false">IF(AND(H_Direct=1,CA70&gt;0),MAX(0,IZ70-(MIN(CA70*ALA69,IZ70+MM70)-MIN(MIN(CA70*ALA69,IZ70+MM70),MM70))),IZ70)</f>
        <v>1270</v>
      </c>
      <c r="JB70" s="20" t="n">
        <f aca="false">IF(AND(H_Direct=1,CB70&gt;0),MAX(0,JA70-(MIN(CB70*ALB69,JA70+MN70)-MIN(MIN(CB70*ALB69,JA70+MN70),MN70))),JA70)</f>
        <v>1270</v>
      </c>
      <c r="JC70" s="20" t="n">
        <f aca="false">IF(AND(H_Direct=1,CC70&gt;0),MAX(0,JB70-(MIN(CC70*ALC69,JB70+MO70)-MIN(MIN(CC70*ALC69,JB70+MO70),MO70))),JB70)</f>
        <v>1270</v>
      </c>
      <c r="JD70" s="20" t="n">
        <f aca="false">IF(AND(H_Direct=1,CD70&gt;0),MAX(0,JC70-(MIN(CD70*ALD69,JC70+MP70)-MIN(MIN(CD70*ALD69,JC70+MP70),MP70))),JC70)</f>
        <v>1270</v>
      </c>
      <c r="JE70" s="20" t="n">
        <f aca="false">IF(AND(H_Direct=1,CE70&gt;0),MAX(0,JD70-(MIN(CE70*ALE69,JD70+MQ70)-MIN(MIN(CE70*ALE69,JD70+MQ70),MQ70))),JD70)</f>
        <v>1270</v>
      </c>
      <c r="JF70" s="20" t="n">
        <f aca="false">IF(AND(H_Direct=1,CF70&gt;0),MAX(0,JE70-(MIN(CF70*ALF69,JE70+MR70)-MIN(MIN(CF70*ALF69,JE70+MR70),MR70))),JE70)</f>
        <v>1270</v>
      </c>
      <c r="JG70" s="20" t="n">
        <f aca="false">IF(AND(H_Direct=1,CG70&gt;0),MAX(0,JF70-(MIN(CG70*ALG69,JF70+MS70)-MIN(MIN(CG70*ALG69,JF70+MS70),MS70))),JF70)</f>
        <v>1270</v>
      </c>
      <c r="JH70" s="20" t="n">
        <f aca="false">IF(AND(H_Direct=1,CH70&gt;0),MAX(0,JG70-(MIN(CH70*ALH69,JG70+MT70)-MIN(MIN(CH70*ALH69,JG70+MT70),MT70))),JG70)</f>
        <v>1270</v>
      </c>
      <c r="JI70" s="20" t="n">
        <f aca="false">IF(AND(H_Direct=1,CI70&gt;0),MAX(0,JH70-(MIN(CI70*ALI69,JH70+MU70)-MIN(MIN(CI70*ALI69,JH70+MU70),MU70))),JH70)</f>
        <v>1270</v>
      </c>
      <c r="JJ70" s="20" t="n">
        <f aca="false">IF(AND(H_Direct=1,CJ70&gt;0),MAX(0,JI70-(MIN(CJ70*ALJ69,JI70+MV70)-MIN(MIN(CJ70*ALJ69,JI70+MV70),MV70))),JI70)</f>
        <v>1270</v>
      </c>
      <c r="JK70" s="20" t="n">
        <f aca="false">IF(AND(H_Direct=1,CK70&gt;0),MAX(0,JJ70-(MIN(CK70*ALK69,JJ70+MW70)-MIN(MIN(CK70*ALK69,JJ70+MW70),MW70))),JJ70)</f>
        <v>1270</v>
      </c>
      <c r="JL70" s="20" t="n">
        <f aca="false">IF(AND(H_Direct=1,CL70&gt;0),MAX(0,JK70-(MIN(CL70*ALL69,JK70+MX70)-MIN(MIN(CL70*ALL69,JK70+MX70),MX70))),JK70)</f>
        <v>1270</v>
      </c>
      <c r="JM70" s="20" t="n">
        <f aca="false">IF(AND(H_Direct=1,CM70&gt;0),MAX(0,JL70-(MIN(CM70*ALM69,JL70+MY70)-MIN(MIN(CM70*ALM69,JL70+MY70),MY70))),JL70)</f>
        <v>1270</v>
      </c>
      <c r="JN70" s="20" t="n">
        <f aca="false">IF(AND(H_Direct=1,CN70&gt;0),MAX(0,JM70-(MIN(CN70*ALN69,JM70+MZ70)-MIN(MIN(CN70*ALN69,JM70+MZ70),MZ70))),JM70)</f>
        <v>1270</v>
      </c>
      <c r="JO70" s="20" t="n">
        <f aca="false">IF(AND(H_Direct=1,CO70&gt;0),MAX(0,JN70-(MIN(CO70*ALO69,JN70+NA70)-MIN(MIN(CO70*ALO69,JN70+NA70),NA70))),JN70)</f>
        <v>1270</v>
      </c>
      <c r="JP70" s="20" t="n">
        <f aca="false">IF(AND(H_Direct=1,CP70&gt;0),MAX(0,JO70-(MIN(CP70*ALP69,JO70+NB70)-MIN(MIN(CP70*ALP69,JO70+NB70),NB70))),JO70)</f>
        <v>1270</v>
      </c>
      <c r="JQ70" s="20" t="n">
        <f aca="false">IF(AND(H_Direct=1,CQ70&gt;0),MAX(0,JP70-(MIN(CQ70*ALQ69,JP70+NC70)-MIN(MIN(CQ70*ALQ69,JP70+NC70),NC70))),JP70)</f>
        <v>1270</v>
      </c>
      <c r="JR70" s="20" t="n">
        <f aca="false">IF(AND(H_Direct=1,CR70&gt;0),MAX(0,JQ70-(MIN(CR70*ALR69,JQ70+ND70)-MIN(MIN(CR70*ALR69,JQ70+ND70),ND70))),JQ70)</f>
        <v>1270</v>
      </c>
      <c r="JS70" s="20" t="n">
        <f aca="false">IF(AND(H_Direct=1,CS70&gt;0),MAX(0,JR70-(MIN(CS70*ALS69,JR70+NE70)-MIN(MIN(CS70*ALS69,JR70+NE70),NE70))),JR70)</f>
        <v>1270</v>
      </c>
      <c r="JT70" s="20" t="n">
        <f aca="false">IF(AND(H_Direct=1,CT70&gt;0),MAX(0,JS70-(MIN(CT70*ALT69,JS70+NF70)-MIN(MIN(CT70*ALT69,JS70+NF70),NF70))),JS70)</f>
        <v>1270</v>
      </c>
      <c r="JU70" s="20" t="n">
        <f aca="false">IF(AND(H_Direct=1,CU70&gt;0),MAX(0,JT70-(MIN(CU70*ALU69,JT70+NG70)-MIN(MIN(CU70*ALU69,JT70+NG70),NG70))),JT70)</f>
        <v>1270</v>
      </c>
      <c r="JV70" s="20" t="n">
        <f aca="false">IF(AND(H_Direct=1,CV70&gt;0),MAX(0,JU70-(MIN(CV70*ALV69,JU70+NH70)-MIN(MIN(CV70*ALV69,JU70+NH70),NH70))),JU70)</f>
        <v>1270</v>
      </c>
      <c r="JW70" s="20" t="n">
        <f aca="false">IF(AND(H_Direct=1,CW70&gt;0),MAX(0,JV70-(MIN(CW70*ALW69,JV70+NI70)-MIN(MIN(CW70*ALW69,JV70+NI70),NI70))),JV70)</f>
        <v>1270</v>
      </c>
      <c r="JX70" s="20" t="n">
        <f aca="false">IF(AND(H_Direct=1,CX70&gt;0),MAX(0,JW70-(MIN(CX70*ALX69,JW70+NJ70)-MIN(MIN(CX70*ALX69,JW70+NJ70),NJ70))),JW70)</f>
        <v>1270</v>
      </c>
      <c r="JY70" s="20" t="n">
        <f aca="false">IF(AND(H_Direct=1,CY70&gt;0),MAX(0,JX70-(MIN(CY70*ALY69,JX70+NK70)-MIN(MIN(CY70*ALY69,JX70+NK70),NK70))),JX70)</f>
        <v>1270</v>
      </c>
      <c r="JZ70" s="20" t="n">
        <f aca="false">IF(AND(H_Direct=1,CZ70&gt;0),MAX(0,JY70-(MIN(CZ70*ALZ69,JY70+NL70)-MIN(MIN(CZ70*ALZ69,JY70+NL70),NL70))),JY70)</f>
        <v>1270</v>
      </c>
      <c r="KA70" s="20" t="n">
        <f aca="false">IF(AND(H_Direct=1,DA70&gt;0),MAX(0,JZ70-(MIN(DA70*AMA69,JZ70+NM70)-MIN(MIN(DA70*AMA69,JZ70+NM70),NM70))),JZ70)</f>
        <v>1270</v>
      </c>
      <c r="KB70" s="20" t="n">
        <f aca="false">IF(AND(H_Direct=1,DB70&gt;0),MAX(0,KA70-(MIN(DB70*AMB69,KA70+NN70)-MIN(MIN(DB70*AMB69,KA70+NN70),NN70))),KA70)</f>
        <v>1270</v>
      </c>
      <c r="KC70" s="20" t="n">
        <f aca="false">IF(AND(H_Direct=1,DC70&gt;0),MAX(0,KB70-(MIN(DC70*AMC69,KB70+NO70)-MIN(MIN(DC70*AMC69,KB70+NO70),NO70))),KB70)</f>
        <v>1270</v>
      </c>
      <c r="KD70" s="20" t="n">
        <f aca="false">IF(AND(H_Direct=1,DD70&gt;0),MAX(0,KC70-(MIN(DD70*AMD69,KC70+NP70)-MIN(MIN(DD70*AMD69,KC70+NP70),NP70))),KC70)</f>
        <v>1270</v>
      </c>
      <c r="KE70" s="20" t="n">
        <f aca="false">IF(AND(H_Direct=1,DE70&gt;0),MAX(0,KD70-(MIN(DE70*AME69,KD70+NQ70)-MIN(MIN(DE70*AME69,KD70+NQ70),NQ70))),KD70)</f>
        <v>1270</v>
      </c>
      <c r="KF70" s="20" t="n">
        <f aca="false">IF(AND(H_Direct=1,DF70&gt;0),MAX(0,KE70-(MIN(DF70*AMF69,KE70+NR70)-MIN(MIN(DF70*AMF69,KE70+NR70),NR70))),KE70)</f>
        <v>1270</v>
      </c>
      <c r="KG70" s="20" t="n">
        <f aca="false">IF(AND(H_Direct=1,DG70&gt;0),MAX(0,KF70-(MIN(DG70*AMG69,KF70+NS70)-MIN(MIN(DG70*AMG69,KF70+NS70),NS70))),KF70)</f>
        <v>1270</v>
      </c>
      <c r="KH70" s="20" t="n">
        <f aca="false">IF(AND(H_Direct=1,DH70&gt;0),MAX(0,KG70-(MIN(DH70*AMH69,KG70+NT70)-MIN(MIN(DH70*AMH69,KG70+NT70),NT70))),KG70)</f>
        <v>1270</v>
      </c>
      <c r="KI70" s="20" t="n">
        <f aca="false">IF(AND(H_Direct=1,DI70&gt;0),MAX(0,KH70-(MIN(DI70*AMI69,KH70+NU70)-MIN(MIN(DI70*AMI69,KH70+NU70),NU70))),KH70)</f>
        <v>1270</v>
      </c>
      <c r="KJ70" s="20" t="n">
        <f aca="false">IF(AND(H_Direct=1,DJ70&gt;0),MAX(0,KI70-(MIN(DJ70*AMJ69,KI70+NV70)-MIN(MIN(DJ70*AMJ69,KI70+NV70),NV70))),KI70)</f>
        <v>1270</v>
      </c>
      <c r="KK70" s="20" t="n">
        <f aca="false">IF(AND(H_Direct=1,DK70&gt;0),MAX(0,KJ70-(MIN(DK70*AMK69,KJ70+NW70)-MIN(MIN(DK70*AMK69,KJ70+NW70),NW70))),KJ70)</f>
        <v>1270</v>
      </c>
      <c r="KL70" s="20" t="n">
        <f aca="false">IF(AND(H_Direct=1,DL70&gt;0),MAX(0,KK70-(MIN(DL70*AML69,KK70+NX70)-MIN(MIN(DL70*AML69,KK70+NX70),NX70))),KK70)</f>
        <v>1270</v>
      </c>
      <c r="KM70" s="20" t="n">
        <f aca="false">IF(AND(H_Direct=1,DM70&gt;0),MAX(0,KL70-(MIN(DM70*AMM69,KL70+NY70)-MIN(MIN(DM70*AMM69,KL70+NY70),NY70))),KL70)</f>
        <v>1270</v>
      </c>
      <c r="KN70" s="20" t="n">
        <f aca="false">IF(AND(H_Direct=1,DN70&gt;0),MAX(0,KM70-(MIN(DN70*AMN69,KM70+NZ70)-MIN(MIN(DN70*AMN69,KM70+NZ70),NZ70))),KM70)</f>
        <v>1270</v>
      </c>
      <c r="KO70" s="20" t="n">
        <f aca="false">IF(AND(H_Direct=1,DO70&gt;0),MAX(0,KN70-(MIN(DO70*AMO69,KN70+OA70)-MIN(MIN(DO70*AMO69,KN70+OA70),OA70))),KN70)</f>
        <v>1270</v>
      </c>
      <c r="KP70" s="20" t="n">
        <f aca="false">IF(AND(H_Direct=1,DP70&gt;0),MAX(0,KO70-(MIN(DP70*AMP69,KO70+OB70)-MIN(MIN(DP70*AMP69,KO70+OB70),OB70))),KO70)</f>
        <v>1270</v>
      </c>
      <c r="KQ70" s="20" t="n">
        <f aca="false">IF(AND(H_Direct=1,DQ70&gt;0),MAX(0,KP70-(MIN(DQ70*AMQ69,KP70+OC70)-MIN(MIN(DQ70*AMQ69,KP70+OC70),OC70))),KP70)</f>
        <v>1270</v>
      </c>
      <c r="KR70" s="20" t="n">
        <f aca="false">IF(AND(H_Direct=1,DR70&gt;0),MAX(0,KQ70-(MIN(DR70*AMR69,KQ70+OD70)-MIN(MIN(DR70*AMR69,KQ70+OD70),OD70))),KQ70)</f>
        <v>1270</v>
      </c>
      <c r="KS70" s="20" t="n">
        <f aca="false">IF(AND(H_Direct=1,DS70&gt;0),MAX(0,KR70-(MIN(DS70*AMS69,KR70+OE70)-MIN(MIN(DS70*AMS69,KR70+OE70),OE70))),KR70)</f>
        <v>1270</v>
      </c>
      <c r="KT70" s="20" t="n">
        <f aca="false">IF(AND(H_Direct=1,DT70&gt;0),MAX(0,KS70-(MIN(DT70*AMT69,KS70+OF70)-MIN(MIN(DT70*AMT69,KS70+OF70),OF70))),KS70)</f>
        <v>1270</v>
      </c>
      <c r="KU70" s="20" t="n">
        <f aca="false">IF(AND(H_Direct=1,DU70&gt;0),MAX(0,KT70-(MIN(DU70*AMU69,KT70+OG70)-MIN(MIN(DU70*AMU69,KT70+OG70),OG70))),KT70)</f>
        <v>1270</v>
      </c>
      <c r="KV70" s="20" t="n">
        <f aca="false">IF(AND(H_Direct=1,DV70&gt;0),MAX(0,KU70-(MIN(DV70*AMV69,KU70+OH70)-MIN(MIN(DV70*AMV69,KU70+OH70),OH70))),KU70)</f>
        <v>1270</v>
      </c>
      <c r="KW70" s="20" t="n">
        <f aca="false">IF(AND(H_Direct=1,DW70&gt;0),MAX(0,KV70-(MIN(DW70*AMW69,KV70+OI70)-MIN(MIN(DW70*AMW69,KV70+OI70),OI70))),KV70)</f>
        <v>1270</v>
      </c>
      <c r="KX70" s="20" t="n">
        <f aca="false">IF(AND(H_Direct=1,DX70&gt;0),MAX(0,KW70-(MIN(DX70*AMX69,KW70+OJ70)-MIN(MIN(DX70*AMX69,KW70+OJ70),OJ70))),KW70)</f>
        <v>1270</v>
      </c>
      <c r="KY70" s="20" t="n">
        <f aca="false">IF(AND(H_Direct=1,DY70&gt;0),MAX(0,KX70-(MIN(DY70*AMY69,KX70+OK70)-MIN(MIN(DY70*AMY69,KX70+OK70),OK70))),KX70)</f>
        <v>1270</v>
      </c>
      <c r="KZ70" s="20" t="n">
        <f aca="false">IF(AND(H_Direct=1,DZ70&gt;0),MAX(0,KY70-(MIN(DZ70*AMZ69,KY70+OL70)-MIN(MIN(DZ70*AMZ69,KY70+OL70),OL70))),KY70)</f>
        <v>1270</v>
      </c>
      <c r="LA70" s="20" t="n">
        <f aca="false">IF(AND(H_Direct=1,EA70&gt;0),MAX(0,KZ70-(MIN(EA70*ANA69,KZ70+OM70)-MIN(MIN(EA70*ANA69,KZ70+OM70),OM70))),KZ70)</f>
        <v>1270</v>
      </c>
      <c r="LB70" s="20" t="n">
        <f aca="false">IF(AND(H_Direct=1,EB70&gt;0),MAX(0,LA70-(MIN(EB70*ANB69,LA70+ON70)-MIN(MIN(EB70*ANB69,LA70+ON70),ON70))),LA70)</f>
        <v>1270</v>
      </c>
      <c r="LC70" s="20" t="n">
        <f aca="false">IF(AND(H_Direct=1,EC70&gt;0),MAX(0,LB70-(MIN(EC70*(P70+S70),LB70+OO70)-MIN(MIN(EC70*(P70+S70),LB70+OO70),OO70))),LB70)</f>
        <v>1270</v>
      </c>
      <c r="LD70" s="20" t="n">
        <f aca="false">LC70</f>
        <v>1270</v>
      </c>
      <c r="LE70" s="20" t="n">
        <f aca="false">LD70</f>
        <v>1270</v>
      </c>
      <c r="LF70" s="20" t="n">
        <f aca="false">LE70</f>
        <v>1270</v>
      </c>
      <c r="LG70" s="20" t="n">
        <f aca="false">LF70</f>
        <v>1270</v>
      </c>
      <c r="LH70" s="20" t="n">
        <f aca="false">LG70</f>
        <v>1270</v>
      </c>
      <c r="LI70" s="20" t="n">
        <f aca="false">LH70</f>
        <v>1270</v>
      </c>
      <c r="LJ70" s="20" t="n">
        <f aca="false">LI70</f>
        <v>1270</v>
      </c>
      <c r="LK70" s="20" t="n">
        <f aca="false">LJ70</f>
        <v>1270</v>
      </c>
      <c r="LL70" s="20" t="n">
        <f aca="false">LK70</f>
        <v>1270</v>
      </c>
      <c r="LM70" s="20" t="n">
        <f aca="false">LL70</f>
        <v>1270</v>
      </c>
      <c r="LN70" s="20" t="n">
        <f aca="false">LM70</f>
        <v>1270</v>
      </c>
      <c r="LO70" s="20" t="n">
        <f aca="false">LN70</f>
        <v>1270</v>
      </c>
      <c r="LP70" s="20" t="n">
        <f aca="false">LO70</f>
        <v>1270</v>
      </c>
      <c r="LQ70" s="20" t="n">
        <f aca="false">LP70</f>
        <v>1270</v>
      </c>
      <c r="LR70" s="20" t="n">
        <f aca="false">LQ70</f>
        <v>1270</v>
      </c>
      <c r="LS70" s="20" t="n">
        <f aca="false">LR70</f>
        <v>1270</v>
      </c>
      <c r="LT70" s="20" t="n">
        <f aca="false">LS70</f>
        <v>1270</v>
      </c>
      <c r="LU70" s="20" t="n">
        <f aca="false">LT70</f>
        <v>1270</v>
      </c>
      <c r="LV70" s="20" t="n">
        <f aca="false">LU70</f>
        <v>1270</v>
      </c>
      <c r="LW70" s="20" t="n">
        <f aca="false">LV70</f>
        <v>1270</v>
      </c>
      <c r="LX70" s="20" t="n">
        <f aca="false">LW70</f>
        <v>1270</v>
      </c>
      <c r="LY70" s="20" t="n">
        <f aca="false">LX70</f>
        <v>1270</v>
      </c>
      <c r="LZ70" s="20" t="n">
        <f aca="false">LY70</f>
        <v>1270</v>
      </c>
      <c r="MA70" s="20" t="n">
        <f aca="false">LZ70</f>
        <v>1270</v>
      </c>
      <c r="MB70" s="20" t="n">
        <f aca="false">MA70</f>
        <v>1270</v>
      </c>
      <c r="MC70" s="20" t="n">
        <f aca="false">MB70</f>
        <v>1270</v>
      </c>
      <c r="MD70" s="20" t="n">
        <f aca="false">MC70</f>
        <v>1270</v>
      </c>
      <c r="ME70" s="20" t="n">
        <f aca="false">IF(H_Direct=1,IF(BR70&lt;=0,I70-BR70*AKR69,I70-MIN(MIN(BR70*AKR69,H70+I70),I70)),I70)</f>
        <v>0</v>
      </c>
      <c r="MF70" s="20" t="n">
        <f aca="false">IF(H_Direct=1,IF(BS70&lt;=0,ME70-BS70*AKS69,ME70-MIN(MIN(BS70*AKS69,IR70+ME70),ME70)),ME70)</f>
        <v>0</v>
      </c>
      <c r="MG70" s="20" t="n">
        <f aca="false">IF(H_Direct=1,IF(BT70&lt;=0,MF70-BT70*AKT69,MF70-MIN(MIN(BT70*AKT69,IS70+MF70),MF70)),MF70)</f>
        <v>0</v>
      </c>
      <c r="MH70" s="20" t="n">
        <f aca="false">IF(H_Direct=1,IF(BU70&lt;=0,MG70-BU70*AKU69,MG70-MIN(MIN(BU70*AKU69,IT70+MG70),MG70)),MG70)</f>
        <v>0</v>
      </c>
      <c r="MI70" s="20" t="n">
        <f aca="false">IF(H_Direct=1,IF(BV70&lt;=0,MH70-BV70*AKV69,MH70-MIN(MIN(BV70*AKV69,IU70+MH70),MH70)),MH70)</f>
        <v>0</v>
      </c>
      <c r="MJ70" s="20" t="n">
        <f aca="false">IF(H_Direct=1,IF(BW70&lt;=0,MI70-BW70*AKW69,MI70-MIN(MIN(BW70*AKW69,IV70+MI70),MI70)),MI70)</f>
        <v>0</v>
      </c>
      <c r="MK70" s="20" t="n">
        <f aca="false">IF(H_Direct=1,IF(BX70&lt;=0,MJ70-BX70*AKX69,MJ70-MIN(MIN(BX70*AKX69,IW70+MJ70),MJ70)),MJ70)</f>
        <v>0</v>
      </c>
      <c r="ML70" s="20" t="n">
        <f aca="false">IF(H_Direct=1,IF(BY70&lt;=0,MK70-BY70*AKY69,MK70-MIN(MIN(BY70*AKY69,IX70+MK70),MK70)),MK70)</f>
        <v>0</v>
      </c>
      <c r="MM70" s="20" t="n">
        <f aca="false">IF(H_Direct=1,IF(BZ70&lt;=0,ML70-BZ70*AKZ69,ML70-MIN(MIN(BZ70*AKZ69,IY70+ML70),ML70)),ML70)</f>
        <v>0</v>
      </c>
      <c r="MN70" s="20" t="n">
        <f aca="false">IF(H_Direct=1,IF(CA70&lt;=0,MM70-CA70*ALA69,MM70-MIN(MIN(CA70*ALA69,IZ70+MM70),MM70)),MM70)</f>
        <v>0</v>
      </c>
      <c r="MO70" s="20" t="n">
        <f aca="false">IF(H_Direct=1,IF(CB70&lt;=0,MN70-CB70*ALB69,MN70-MIN(MIN(CB70*ALB69,JA70+MN70),MN70)),MN70)</f>
        <v>0</v>
      </c>
      <c r="MP70" s="20" t="n">
        <f aca="false">IF(H_Direct=1,IF(CC70&lt;=0,MO70-CC70*ALC69,MO70-MIN(MIN(CC70*ALC69,JB70+MO70),MO70)),MO70)</f>
        <v>0</v>
      </c>
      <c r="MQ70" s="20" t="n">
        <f aca="false">IF(H_Direct=1,IF(CD70&lt;=0,MP70-CD70*ALD69,MP70-MIN(MIN(CD70*ALD69,JC70+MP70),MP70)),MP70)</f>
        <v>0</v>
      </c>
      <c r="MR70" s="20" t="n">
        <f aca="false">IF(H_Direct=1,IF(CE70&lt;=0,MQ70-CE70*ALE69,MQ70-MIN(MIN(CE70*ALE69,JD70+MQ70),MQ70)),MQ70)</f>
        <v>0</v>
      </c>
      <c r="MS70" s="20" t="n">
        <f aca="false">IF(H_Direct=1,IF(CF70&lt;=0,MR70-CF70*ALF69,MR70-MIN(MIN(CF70*ALF69,JE70+MR70),MR70)),MR70)</f>
        <v>0</v>
      </c>
      <c r="MT70" s="20" t="n">
        <f aca="false">IF(H_Direct=1,IF(CG70&lt;=0,MS70-CG70*ALG69,MS70-MIN(MIN(CG70*ALG69,JF70+MS70),MS70)),MS70)</f>
        <v>0</v>
      </c>
      <c r="MU70" s="20" t="n">
        <f aca="false">IF(H_Direct=1,IF(CH70&lt;=0,MT70-CH70*ALH69,MT70-MIN(MIN(CH70*ALH69,JG70+MT70),MT70)),MT70)</f>
        <v>0</v>
      </c>
      <c r="MV70" s="20" t="n">
        <f aca="false">IF(H_Direct=1,IF(CI70&lt;=0,MU70-CI70*ALI69,MU70-MIN(MIN(CI70*ALI69,JH70+MU70),MU70)),MU70)</f>
        <v>0</v>
      </c>
      <c r="MW70" s="20" t="n">
        <f aca="false">IF(H_Direct=1,IF(CJ70&lt;=0,MV70-CJ70*ALJ69,MV70-MIN(MIN(CJ70*ALJ69,JI70+MV70),MV70)),MV70)</f>
        <v>0</v>
      </c>
      <c r="MX70" s="20" t="n">
        <f aca="false">IF(H_Direct=1,IF(CK70&lt;=0,MW70-CK70*ALK69,MW70-MIN(MIN(CK70*ALK69,JJ70+MW70),MW70)),MW70)</f>
        <v>0</v>
      </c>
      <c r="MY70" s="20" t="n">
        <f aca="false">IF(H_Direct=1,IF(CL70&lt;=0,MX70-CL70*ALL69,MX70-MIN(MIN(CL70*ALL69,JK70+MX70),MX70)),MX70)</f>
        <v>0</v>
      </c>
      <c r="MZ70" s="20" t="n">
        <f aca="false">IF(H_Direct=1,IF(CM70&lt;=0,MY70-CM70*ALM69,MY70-MIN(MIN(CM70*ALM69,JL70+MY70),MY70)),MY70)</f>
        <v>0</v>
      </c>
      <c r="NA70" s="20" t="n">
        <f aca="false">IF(H_Direct=1,IF(CN70&lt;=0,MZ70-CN70*ALN69,MZ70-MIN(MIN(CN70*ALN69,JM70+MZ70),MZ70)),MZ70)</f>
        <v>0</v>
      </c>
      <c r="NB70" s="20" t="n">
        <f aca="false">IF(H_Direct=1,IF(CO70&lt;=0,NA70-CO70*ALO69,NA70-MIN(MIN(CO70*ALO69,JN70+NA70),NA70)),NA70)</f>
        <v>0</v>
      </c>
      <c r="NC70" s="20" t="n">
        <f aca="false">IF(H_Direct=1,IF(CP70&lt;=0,NB70-CP70*ALP69,NB70-MIN(MIN(CP70*ALP69,JO70+NB70),NB70)),NB70)</f>
        <v>0</v>
      </c>
      <c r="ND70" s="20" t="n">
        <f aca="false">IF(H_Direct=1,IF(CQ70&lt;=0,NC70-CQ70*ALQ69,NC70-MIN(MIN(CQ70*ALQ69,JP70+NC70),NC70)),NC70)</f>
        <v>0</v>
      </c>
      <c r="NE70" s="20" t="n">
        <f aca="false">IF(H_Direct=1,IF(CR70&lt;=0,ND70-CR70*ALR69,ND70-MIN(MIN(CR70*ALR69,JQ70+ND70),ND70)),ND70)</f>
        <v>0</v>
      </c>
      <c r="NF70" s="20" t="n">
        <f aca="false">IF(H_Direct=1,IF(CS70&lt;=0,NE70-CS70*ALS69,NE70-MIN(MIN(CS70*ALS69,JR70+NE70),NE70)),NE70)</f>
        <v>0</v>
      </c>
      <c r="NG70" s="20" t="n">
        <f aca="false">IF(H_Direct=1,IF(CT70&lt;=0,NF70-CT70*ALT69,NF70-MIN(MIN(CT70*ALT69,JS70+NF70),NF70)),NF70)</f>
        <v>0</v>
      </c>
      <c r="NH70" s="20" t="n">
        <f aca="false">IF(H_Direct=1,IF(CU70&lt;=0,NG70-CU70*ALU69,NG70-MIN(MIN(CU70*ALU69,JT70+NG70),NG70)),NG70)</f>
        <v>0</v>
      </c>
      <c r="NI70" s="20" t="n">
        <f aca="false">IF(H_Direct=1,IF(CV70&lt;=0,NH70-CV70*ALV69,NH70-MIN(MIN(CV70*ALV69,JU70+NH70),NH70)),NH70)</f>
        <v>0</v>
      </c>
      <c r="NJ70" s="20" t="n">
        <f aca="false">IF(H_Direct=1,IF(CW70&lt;=0,NI70-CW70*ALW69,NI70-MIN(MIN(CW70*ALW69,JV70+NI70),NI70)),NI70)</f>
        <v>0</v>
      </c>
      <c r="NK70" s="20" t="n">
        <f aca="false">IF(H_Direct=1,IF(CX70&lt;=0,NJ70-CX70*ALX69,NJ70-MIN(MIN(CX70*ALX69,JW70+NJ70),NJ70)),NJ70)</f>
        <v>0</v>
      </c>
      <c r="NL70" s="20" t="n">
        <f aca="false">IF(H_Direct=1,IF(CY70&lt;=0,NK70-CY70*ALY69,NK70-MIN(MIN(CY70*ALY69,JX70+NK70),NK70)),NK70)</f>
        <v>0</v>
      </c>
      <c r="NM70" s="20" t="n">
        <f aca="false">IF(H_Direct=1,IF(CZ70&lt;=0,NL70-CZ70*ALZ69,NL70-MIN(MIN(CZ70*ALZ69,JY70+NL70),NL70)),NL70)</f>
        <v>0</v>
      </c>
      <c r="NN70" s="20" t="n">
        <f aca="false">IF(H_Direct=1,IF(DA70&lt;=0,NM70-DA70*AMA69,NM70-MIN(MIN(DA70*AMA69,JZ70+NM70),NM70)),NM70)</f>
        <v>0</v>
      </c>
      <c r="NO70" s="20" t="n">
        <f aca="false">IF(H_Direct=1,IF(DB70&lt;=0,NN70-DB70*AMB69,NN70-MIN(MIN(DB70*AMB69,KA70+NN70),NN70)),NN70)</f>
        <v>0</v>
      </c>
      <c r="NP70" s="20" t="n">
        <f aca="false">IF(H_Direct=1,IF(DC70&lt;=0,NO70-DC70*AMC69,NO70-MIN(MIN(DC70*AMC69,KB70+NO70),NO70)),NO70)</f>
        <v>0</v>
      </c>
      <c r="NQ70" s="20" t="n">
        <f aca="false">IF(H_Direct=1,IF(DD70&lt;=0,NP70-DD70*AMD69,NP70-MIN(MIN(DD70*AMD69,KC70+NP70),NP70)),NP70)</f>
        <v>0</v>
      </c>
      <c r="NR70" s="20" t="n">
        <f aca="false">IF(H_Direct=1,IF(DE70&lt;=0,NQ70-DE70*AME69,NQ70-MIN(MIN(DE70*AME69,KD70+NQ70),NQ70)),NQ70)</f>
        <v>0</v>
      </c>
      <c r="NS70" s="20" t="n">
        <f aca="false">IF(H_Direct=1,IF(DF70&lt;=0,NR70-DF70*AMF69,NR70-MIN(MIN(DF70*AMF69,KE70+NR70),NR70)),NR70)</f>
        <v>0</v>
      </c>
      <c r="NT70" s="20" t="n">
        <f aca="false">IF(H_Direct=1,IF(DG70&lt;=0,NS70-DG70*AMG69,NS70-MIN(MIN(DG70*AMG69,KF70+NS70),NS70)),NS70)</f>
        <v>0</v>
      </c>
      <c r="NU70" s="20" t="n">
        <f aca="false">IF(H_Direct=1,IF(DH70&lt;=0,NT70-DH70*AMH69,NT70-MIN(MIN(DH70*AMH69,KG70+NT70),NT70)),NT70)</f>
        <v>0</v>
      </c>
      <c r="NV70" s="20" t="n">
        <f aca="false">IF(H_Direct=1,IF(DI70&lt;=0,NU70-DI70*AMI69,NU70-MIN(MIN(DI70*AMI69,KH70+NU70),NU70)),NU70)</f>
        <v>0</v>
      </c>
      <c r="NW70" s="20" t="n">
        <f aca="false">IF(H_Direct=1,IF(DJ70&lt;=0,NV70-DJ70*AMJ69,NV70-MIN(MIN(DJ70*AMJ69,KI70+NV70),NV70)),NV70)</f>
        <v>0</v>
      </c>
      <c r="NX70" s="20" t="n">
        <f aca="false">IF(H_Direct=1,IF(DK70&lt;=0,NW70-DK70*AMK69,NW70-MIN(MIN(DK70*AMK69,KJ70+NW70),NW70)),NW70)</f>
        <v>0</v>
      </c>
      <c r="NY70" s="20" t="n">
        <f aca="false">IF(H_Direct=1,IF(DL70&lt;=0,NX70-DL70*AML69,NX70-MIN(MIN(DL70*AML69,KK70+NX70),NX70)),NX70)</f>
        <v>0</v>
      </c>
      <c r="NZ70" s="20" t="n">
        <f aca="false">IF(H_Direct=1,IF(DM70&lt;=0,NY70-DM70*AMM69,NY70-MIN(MIN(DM70*AMM69,KL70+NY70),NY70)),NY70)</f>
        <v>0</v>
      </c>
      <c r="OA70" s="20" t="n">
        <f aca="false">IF(H_Direct=1,IF(DN70&lt;=0,NZ70-DN70*AMN69,NZ70-MIN(MIN(DN70*AMN69,KM70+NZ70),NZ70)),NZ70)</f>
        <v>0</v>
      </c>
      <c r="OB70" s="20" t="n">
        <f aca="false">IF(H_Direct=1,IF(DO70&lt;=0,OA70-DO70*AMO69,OA70-MIN(MIN(DO70*AMO69,KN70+OA70),OA70)),OA70)</f>
        <v>0</v>
      </c>
      <c r="OC70" s="20" t="n">
        <f aca="false">IF(H_Direct=1,IF(DP70&lt;=0,OB70-DP70*AMP69,OB70-MIN(MIN(DP70*AMP69,KO70+OB70),OB70)),OB70)</f>
        <v>0</v>
      </c>
      <c r="OD70" s="20" t="n">
        <f aca="false">IF(H_Direct=1,IF(DQ70&lt;=0,OC70-DQ70*AMQ69,OC70-MIN(MIN(DQ70*AMQ69,KP70+OC70),OC70)),OC70)</f>
        <v>0</v>
      </c>
      <c r="OE70" s="20" t="n">
        <f aca="false">IF(H_Direct=1,IF(DR70&lt;=0,OD70-DR70*AMR69,OD70-MIN(MIN(DR70*AMR69,KQ70+OD70),OD70)),OD70)</f>
        <v>0</v>
      </c>
      <c r="OF70" s="20" t="n">
        <f aca="false">IF(H_Direct=1,IF(DS70&lt;=0,OE70-DS70*AMS69,OE70-MIN(MIN(DS70*AMS69,KR70+OE70),OE70)),OE70)</f>
        <v>0</v>
      </c>
      <c r="OG70" s="20" t="n">
        <f aca="false">IF(H_Direct=1,IF(DT70&lt;=0,OF70-DT70*AMT69,OF70-MIN(MIN(DT70*AMT69,KS70+OF70),OF70)),OF70)</f>
        <v>0</v>
      </c>
      <c r="OH70" s="20" t="n">
        <f aca="false">IF(H_Direct=1,IF(DU70&lt;=0,OG70-DU70*AMU69,OG70-MIN(MIN(DU70*AMU69,KT70+OG70),OG70)),OG70)</f>
        <v>0</v>
      </c>
      <c r="OI70" s="20" t="n">
        <f aca="false">IF(H_Direct=1,IF(DV70&lt;=0,OH70-DV70*AMV69,OH70-MIN(MIN(DV70*AMV69,KU70+OH70),OH70)),OH70)</f>
        <v>0</v>
      </c>
      <c r="OJ70" s="20" t="n">
        <f aca="false">IF(H_Direct=1,IF(DW70&lt;=0,OI70-DW70*AMW69,OI70-MIN(MIN(DW70*AMW69,KV70+OI70),OI70)),OI70)</f>
        <v>0</v>
      </c>
      <c r="OK70" s="20" t="n">
        <f aca="false">IF(H_Direct=1,IF(DX70&lt;=0,OJ70-DX70*AMX69,OJ70-MIN(MIN(DX70*AMX69,KW70+OJ70),OJ70)),OJ70)</f>
        <v>0</v>
      </c>
      <c r="OL70" s="20" t="n">
        <f aca="false">IF(H_Direct=1,IF(DY70&lt;=0,OK70-DY70*AMY69,OK70-MIN(MIN(DY70*AMY69,KX70+OK70),OK70)),OK70)</f>
        <v>0</v>
      </c>
      <c r="OM70" s="20" t="n">
        <f aca="false">IF(H_Direct=1,IF(DZ70&lt;=0,OL70-DZ70*AMZ69,OL70-MIN(MIN(DZ70*AMZ69,KY70+OL70),OL70)),OL70)</f>
        <v>0</v>
      </c>
      <c r="ON70" s="20" t="n">
        <f aca="false">IF(H_Direct=1,IF(EA70&lt;=0,OM70-EA70*ANA69,OM70-MIN(MIN(EA70*ANA69,KZ70+OM70),OM70)),OM70)</f>
        <v>0</v>
      </c>
      <c r="OO70" s="20" t="n">
        <f aca="false">IF(H_Direct=1,IF(EB70&lt;=0,ON70-EB70*ANB69,ON70-MIN(MIN(EB70*ANB69,LA70+ON70),ON70)),ON70)</f>
        <v>0</v>
      </c>
      <c r="OP70" s="20" t="n">
        <f aca="false">IF(H_Direct=1,IF(EC70&lt;=0,OO70-EC70*(P70+S70),OO70-MIN(MIN(EC70*(P70+S70),LB70+OO70),OO70)),OO70)</f>
        <v>0</v>
      </c>
      <c r="OQ70" s="20" t="n">
        <f aca="false">OP70</f>
        <v>0</v>
      </c>
      <c r="OR70" s="20" t="n">
        <f aca="false">OQ70</f>
        <v>0</v>
      </c>
      <c r="OS70" s="20" t="n">
        <f aca="false">OR70</f>
        <v>0</v>
      </c>
      <c r="OT70" s="20" t="n">
        <f aca="false">OS70</f>
        <v>0</v>
      </c>
      <c r="OU70" s="20" t="n">
        <f aca="false">OT70</f>
        <v>0</v>
      </c>
      <c r="OV70" s="20" t="n">
        <f aca="false">OU70</f>
        <v>0</v>
      </c>
      <c r="OW70" s="20" t="n">
        <f aca="false">OV70</f>
        <v>0</v>
      </c>
      <c r="OX70" s="20" t="n">
        <f aca="false">OW70</f>
        <v>0</v>
      </c>
      <c r="OY70" s="20" t="n">
        <f aca="false">OX70</f>
        <v>0</v>
      </c>
      <c r="OZ70" s="20" t="n">
        <f aca="false">OY70</f>
        <v>0</v>
      </c>
      <c r="PA70" s="20" t="n">
        <f aca="false">OZ70</f>
        <v>0</v>
      </c>
      <c r="PB70" s="20" t="n">
        <f aca="false">PA70</f>
        <v>0</v>
      </c>
      <c r="PC70" s="20" t="n">
        <f aca="false">PB70</f>
        <v>0</v>
      </c>
      <c r="PD70" s="20" t="n">
        <f aca="false">PC70</f>
        <v>0</v>
      </c>
      <c r="PE70" s="20" t="n">
        <f aca="false">PD70</f>
        <v>0</v>
      </c>
      <c r="PF70" s="20" t="n">
        <f aca="false">PE70</f>
        <v>0</v>
      </c>
      <c r="PG70" s="20" t="n">
        <f aca="false">PF70</f>
        <v>0</v>
      </c>
      <c r="PH70" s="20" t="n">
        <f aca="false">PG70</f>
        <v>0</v>
      </c>
      <c r="PI70" s="20" t="n">
        <f aca="false">PH70</f>
        <v>0</v>
      </c>
      <c r="PJ70" s="20" t="n">
        <f aca="false">PI70</f>
        <v>0</v>
      </c>
      <c r="PK70" s="20" t="n">
        <f aca="false">PJ70</f>
        <v>0</v>
      </c>
      <c r="PL70" s="20" t="n">
        <f aca="false">PK70</f>
        <v>0</v>
      </c>
      <c r="PM70" s="20" t="n">
        <f aca="false">PL70</f>
        <v>0</v>
      </c>
      <c r="PN70" s="20" t="n">
        <f aca="false">PM70</f>
        <v>0</v>
      </c>
      <c r="PO70" s="20" t="n">
        <f aca="false">PN70</f>
        <v>0</v>
      </c>
      <c r="PP70" s="20" t="n">
        <f aca="false">PO70</f>
        <v>0</v>
      </c>
      <c r="PQ70" s="20" t="n">
        <f aca="false">PP70</f>
        <v>0</v>
      </c>
      <c r="PR70" s="20" t="n">
        <f aca="false">IF(H_Direct=1,IF(AKR69&lt;=0,0,IF(BR70&lt;=0,MIN(MAX(0,AB70),AKR69),MIN(MAX(0,AB70),AKR69-G70*MAX(0,BR70*AKR69-(H70+I70))))),MIN(FE70,MAX(0,AB70)))</f>
        <v>0</v>
      </c>
      <c r="PS70" s="20" t="n">
        <f aca="false">IF(H_Direct=1,IF(AKS69&lt;=0,0,IF(BS70&lt;=0,MIN(MAX(0,AB70-SUM(PR70:PR70)),AKS69),MIN(MAX(0,AB70-SUM(PR70:PR70)),AKS69-G70*MAX(0,BS70*AKS69-(WR70+AAE70))))),MIN(FF70,MAX(0,AB70-SUM(PR70:PR70))))</f>
        <v>0</v>
      </c>
      <c r="PT70" s="20" t="n">
        <f aca="false">IF(H_Direct=1,IF(AKT69&lt;=0,0,IF(BT70&lt;=0,MIN(MAX(0,AB70-SUM(PR70:PS70)),AKT69),MIN(MAX(0,AB70-SUM(PR70:PS70)),AKT69-G70*MAX(0,BT70*AKT69-(WS70+AAF70))))),MIN(FG70,MAX(0,AB70-SUM(PR70:PS70))))</f>
        <v>0</v>
      </c>
      <c r="PU70" s="20" t="n">
        <f aca="false">IF(H_Direct=1,IF(AKU69&lt;=0,0,IF(BU70&lt;=0,MIN(MAX(0,AB70-SUM(PR70:PT70)),AKU69),MIN(MAX(0,AB70-SUM(PR70:PT70)),AKU69-G70*MAX(0,BU70*AKU69-(WT70+AAG70))))),MIN(FH70,MAX(0,AB70-SUM(PR70:PT70))))</f>
        <v>0</v>
      </c>
      <c r="PV70" s="20" t="n">
        <f aca="false">IF(H_Direct=1,IF(AKV69&lt;=0,0,IF(BV70&lt;=0,MIN(MAX(0,AB70-SUM(PR70:PU70)),AKV69),MIN(MAX(0,AB70-SUM(PR70:PU70)),AKV69-G70*MAX(0,BV70*AKV69-(WU70+AAH70))))),MIN(FI70,MAX(0,AB70-SUM(PR70:PU70))))</f>
        <v>0</v>
      </c>
      <c r="PW70" s="20" t="n">
        <f aca="false">IF(H_Direct=1,IF(AKW69&lt;=0,0,IF(BW70&lt;=0,MIN(MAX(0,AB70-SUM(PR70:PV70)),AKW69),MIN(MAX(0,AB70-SUM(PR70:PV70)),AKW69-G70*MAX(0,BW70*AKW69-(WV70+AAI70))))),MIN(FJ70,MAX(0,AB70-SUM(PR70:PV70))))</f>
        <v>0</v>
      </c>
      <c r="PX70" s="20" t="n">
        <f aca="false">IF(H_Direct=1,IF(AKX69&lt;=0,0,IF(BX70&lt;=0,MIN(MAX(0,AB70-SUM(PR70:PW70)),AKX69),MIN(MAX(0,AB70-SUM(PR70:PW70)),AKX69-G70*MAX(0,BX70*AKX69-(WW70+AAJ70))))),MIN(FK70,MAX(0,AB70-SUM(PR70:PW70))))</f>
        <v>0</v>
      </c>
      <c r="PY70" s="20" t="n">
        <f aca="false">IF(H_Direct=1,IF(AKY69&lt;=0,0,IF(BY70&lt;=0,MIN(MAX(0,AB70-SUM(PR70:PX70)),AKY69),MIN(MAX(0,AB70-SUM(PR70:PX70)),AKY69-G70*MAX(0,BY70*AKY69-(WX70+AAK70))))),MIN(FL70,MAX(0,AB70-SUM(PR70:PX70))))</f>
        <v>0</v>
      </c>
      <c r="PZ70" s="20" t="n">
        <f aca="false">IF(H_Direct=1,IF(AKZ69&lt;=0,0,IF(BZ70&lt;=0,MIN(MAX(0,AB70-SUM(PR70:PY70)),AKZ69),MIN(MAX(0,AB70-SUM(PR70:PY70)),AKZ69-G70*MAX(0,BZ70*AKZ69-(WY70+AAL70))))),MIN(FM70,MAX(0,AB70-SUM(PR70:PY70))))</f>
        <v>0</v>
      </c>
      <c r="QA70" s="20" t="n">
        <f aca="false">IF(H_Direct=1,IF(ALA69&lt;=0,0,IF(CA70&lt;=0,MIN(MAX(0,AB70-SUM(PR70:PZ70)),ALA69),MIN(MAX(0,AB70-SUM(PR70:PZ70)),ALA69-G70*MAX(0,CA70*ALA69-(WZ70+AAM70))))),MIN(FN70,MAX(0,AB70-SUM(PR70:PZ70))))</f>
        <v>0</v>
      </c>
      <c r="QB70" s="20" t="n">
        <f aca="false">IF(H_Direct=1,IF(ALB69&lt;=0,0,IF(CB70&lt;=0,MIN(MAX(0,AB70-SUM(PR70:QA70)),ALB69),MIN(MAX(0,AB70-SUM(PR70:QA70)),ALB69-G70*MAX(0,CB70*ALB69-(XA70+AAN70))))),MIN(FO70,MAX(0,AB70-SUM(PR70:QA70))))</f>
        <v>0</v>
      </c>
      <c r="QC70" s="20" t="n">
        <f aca="false">IF(H_Direct=1,IF(ALC69&lt;=0,0,IF(CC70&lt;=0,MIN(MAX(0,AB70-SUM(PR70:QB70)),ALC69),MIN(MAX(0,AB70-SUM(PR70:QB70)),ALC69-G70*MAX(0,CC70*ALC69-(XB70+AAO70))))),MIN(FP70,MAX(0,AB70-SUM(PR70:QB70))))</f>
        <v>0</v>
      </c>
      <c r="QD70" s="20" t="n">
        <f aca="false">IF(H_Direct=1,IF(ALD69&lt;=0,0,IF(CD70&lt;=0,MIN(MAX(0,AB70-SUM(PR70:QC70)),ALD69),MIN(MAX(0,AB70-SUM(PR70:QC70)),ALD69-G70*MAX(0,CD70*ALD69-(XC70+AAP70))))),MIN(FQ70,MAX(0,AB70-SUM(PR70:QC70))))</f>
        <v>0</v>
      </c>
      <c r="QE70" s="20" t="n">
        <f aca="false">IF(H_Direct=1,IF(ALE69&lt;=0,0,IF(CE70&lt;=0,MIN(MAX(0,AB70-SUM(PR70:QD70)),ALE69),MIN(MAX(0,AB70-SUM(PR70:QD70)),ALE69-G70*MAX(0,CE70*ALE69-(XD70+AAQ70))))),MIN(FR70,MAX(0,AB70-SUM(PR70:QD70))))</f>
        <v>0</v>
      </c>
      <c r="QF70" s="20" t="n">
        <f aca="false">IF(H_Direct=1,IF(ALF69&lt;=0,0,IF(CF70&lt;=0,MIN(MAX(0,AB70-SUM(PR70:QE70)),ALF69),MIN(MAX(0,AB70-SUM(PR70:QE70)),ALF69-G70*MAX(0,CF70*ALF69-(XE70+AAR70))))),MIN(FS70,MAX(0,AB70-SUM(PR70:QE70))))</f>
        <v>0</v>
      </c>
      <c r="QG70" s="20" t="n">
        <f aca="false">IF(H_Direct=1,IF(ALG69&lt;=0,0,IF(CG70&lt;=0,MIN(MAX(0,AB70-SUM(PR70:QF70)),ALG69),MIN(MAX(0,AB70-SUM(PR70:QF70)),ALG69-G70*MAX(0,CG70*ALG69-(XF70+AAS70))))),MIN(FT70,MAX(0,AB70-SUM(PR70:QF70))))</f>
        <v>0</v>
      </c>
      <c r="QH70" s="20" t="n">
        <f aca="false">IF(H_Direct=1,IF(ALH69&lt;=0,0,IF(CH70&lt;=0,MIN(MAX(0,AB70-SUM(PR70:QG70)),ALH69),MIN(MAX(0,AB70-SUM(PR70:QG70)),ALH69-G70*MAX(0,CH70*ALH69-(XG70+AAT70))))),MIN(FU70,MAX(0,AB70-SUM(PR70:QG70))))</f>
        <v>0</v>
      </c>
      <c r="QI70" s="20" t="n">
        <f aca="false">IF(H_Direct=1,IF(ALI69&lt;=0,0,IF(CI70&lt;=0,MIN(MAX(0,AB70-SUM(PR70:QH70)),ALI69),MIN(MAX(0,AB70-SUM(PR70:QH70)),ALI69-G70*MAX(0,CI70*ALI69-(XH70+AAU70))))),MIN(FV70,MAX(0,AB70-SUM(PR70:QH70))))</f>
        <v>0</v>
      </c>
      <c r="QJ70" s="20" t="n">
        <f aca="false">IF(H_Direct=1,IF(ALJ69&lt;=0,0,IF(CJ70&lt;=0,MIN(MAX(0,AB70-SUM(PR70:QI70)),ALJ69),MIN(MAX(0,AB70-SUM(PR70:QI70)),ALJ69-G70*MAX(0,CJ70*ALJ69-(XI70+AAV70))))),MIN(FW70,MAX(0,AB70-SUM(PR70:QI70))))</f>
        <v>0</v>
      </c>
      <c r="QK70" s="20" t="n">
        <f aca="false">IF(H_Direct=1,IF(ALK69&lt;=0,0,IF(CK70&lt;=0,MIN(MAX(0,AB70-SUM(PR70:QJ70)),ALK69),MIN(MAX(0,AB70-SUM(PR70:QJ70)),ALK69-G70*MAX(0,CK70*ALK69-(XJ70+AAW70))))),MIN(FX70,MAX(0,AB70-SUM(PR70:QJ70))))</f>
        <v>0</v>
      </c>
      <c r="QL70" s="20" t="n">
        <f aca="false">IF(H_Direct=1,IF(ALL69&lt;=0,0,IF(CL70&lt;=0,MIN(MAX(0,AB70-SUM(PR70:QK70)),ALL69),MIN(MAX(0,AB70-SUM(PR70:QK70)),ALL69-G70*MAX(0,CL70*ALL69-(XK70+AAX70))))),MIN(FY70,MAX(0,AB70-SUM(PR70:QK70))))</f>
        <v>0</v>
      </c>
      <c r="QM70" s="20" t="n">
        <f aca="false">IF(H_Direct=1,IF(ALM69&lt;=0,0,IF(CM70&lt;=0,MIN(MAX(0,AB70-SUM(PR70:QL70)),ALM69),MIN(MAX(0,AB70-SUM(PR70:QL70)),ALM69-G70*MAX(0,CM70*ALM69-(XL70+AAY70))))),MIN(FZ70,MAX(0,AB70-SUM(PR70:QL70))))</f>
        <v>0</v>
      </c>
      <c r="QN70" s="20" t="n">
        <f aca="false">IF(H_Direct=1,IF(ALN69&lt;=0,0,IF(CN70&lt;=0,MIN(MAX(0,AB70-SUM(PR70:QM70)),ALN69),MIN(MAX(0,AB70-SUM(PR70:QM70)),ALN69-G70*MAX(0,CN70*ALN69-(XM70+AAZ70))))),MIN(GA70,MAX(0,AB70-SUM(PR70:QM70))))</f>
        <v>0</v>
      </c>
      <c r="QO70" s="20" t="n">
        <f aca="false">IF(H_Direct=1,IF(ALO69&lt;=0,0,IF(CO70&lt;=0,MIN(MAX(0,AB70-SUM(PR70:QN70)),ALO69),MIN(MAX(0,AB70-SUM(PR70:QN70)),ALO69-G70*MAX(0,CO70*ALO69-(XN70+ABA70))))),MIN(GB70,MAX(0,AB70-SUM(PR70:QN70))))</f>
        <v>0</v>
      </c>
      <c r="QP70" s="20" t="n">
        <f aca="false">IF(H_Direct=1,IF(ALP69&lt;=0,0,IF(CP70&lt;=0,MIN(MAX(0,AB70-SUM(PR70:QO70)),ALP69),MIN(MAX(0,AB70-SUM(PR70:QO70)),ALP69-G70*MAX(0,CP70*ALP69-(XO70+ABB70))))),MIN(GC70,MAX(0,AB70-SUM(PR70:QO70))))</f>
        <v>0</v>
      </c>
      <c r="QQ70" s="20" t="n">
        <f aca="false">IF(H_Direct=1,IF(ALQ69&lt;=0,0,IF(CQ70&lt;=0,MIN(MAX(0,AB70-SUM(PR70:QP70)),ALQ69),MIN(MAX(0,AB70-SUM(PR70:QP70)),ALQ69-G70*MAX(0,CQ70*ALQ69-(XP70+ABC70))))),MIN(GD70,MAX(0,AB70-SUM(PR70:QP70))))</f>
        <v>0</v>
      </c>
      <c r="QR70" s="20" t="n">
        <f aca="false">IF(H_Direct=1,IF(ALR69&lt;=0,0,IF(CR70&lt;=0,MIN(MAX(0,AB70-SUM(PR70:QQ70)),ALR69),MIN(MAX(0,AB70-SUM(PR70:QQ70)),ALR69-G70*MAX(0,CR70*ALR69-(XQ70+ABD70))))),MIN(GE70,MAX(0,AB70-SUM(PR70:QQ70))))</f>
        <v>0</v>
      </c>
      <c r="QS70" s="20" t="n">
        <f aca="false">IF(H_Direct=1,IF(ALS69&lt;=0,0,IF(CS70&lt;=0,MIN(MAX(0,AB70-SUM(PR70:QR70)),ALS69),MIN(MAX(0,AB70-SUM(PR70:QR70)),ALS69-G70*MAX(0,CS70*ALS69-(XR70+ABE70))))),MIN(GF70,MAX(0,AB70-SUM(PR70:QR70))))</f>
        <v>0</v>
      </c>
      <c r="QT70" s="20" t="n">
        <f aca="false">IF(H_Direct=1,IF(ALT69&lt;=0,0,IF(CT70&lt;=0,MIN(MAX(0,AB70-SUM(PR70:QS70)),ALT69),MIN(MAX(0,AB70-SUM(PR70:QS70)),ALT69-G70*MAX(0,CT70*ALT69-(XS70+ABF70))))),MIN(GG70,MAX(0,AB70-SUM(PR70:QS70))))</f>
        <v>0</v>
      </c>
      <c r="QU70" s="20" t="n">
        <f aca="false">IF(H_Direct=1,IF(ALU69&lt;=0,0,IF(CU70&lt;=0,MIN(MAX(0,AB70-SUM(PR70:QT70)),ALU69),MIN(MAX(0,AB70-SUM(PR70:QT70)),ALU69-G70*MAX(0,CU70*ALU69-(XT70+ABG70))))),MIN(GH70,MAX(0,AB70-SUM(PR70:QT70))))</f>
        <v>0</v>
      </c>
      <c r="QV70" s="20" t="n">
        <f aca="false">IF(H_Direct=1,IF(ALV69&lt;=0,0,IF(CV70&lt;=0,MIN(MAX(0,AB70-SUM(PR70:QU70)),ALV69),MIN(MAX(0,AB70-SUM(PR70:QU70)),ALV69-G70*MAX(0,CV70*ALV69-(XU70+ABH70))))),MIN(GI70,MAX(0,AB70-SUM(PR70:QU70))))</f>
        <v>0</v>
      </c>
      <c r="QW70" s="20" t="n">
        <f aca="false">IF(H_Direct=1,IF(ALW69&lt;=0,0,IF(CW70&lt;=0,MIN(MAX(0,AB70-SUM(PR70:QV70)),ALW69),MIN(MAX(0,AB70-SUM(PR70:QV70)),ALW69-G70*MAX(0,CW70*ALW69-(XV70+ABI70))))),MIN(GJ70,MAX(0,AB70-SUM(PR70:QV70))))</f>
        <v>0</v>
      </c>
      <c r="QX70" s="20" t="n">
        <f aca="false">IF(H_Direct=1,IF(ALX69&lt;=0,0,IF(CX70&lt;=0,MIN(MAX(0,AB70-SUM(PR70:QW70)),ALX69),MIN(MAX(0,AB70-SUM(PR70:QW70)),ALX69-G70*MAX(0,CX70*ALX69-(XW70+ABJ70))))),MIN(GK70,MAX(0,AB70-SUM(PR70:QW70))))</f>
        <v>0</v>
      </c>
      <c r="QY70" s="20" t="n">
        <f aca="false">IF(H_Direct=1,IF(ALY69&lt;=0,0,IF(CY70&lt;=0,MIN(MAX(0,AB70-SUM(PR70:QX70)),ALY69),MIN(MAX(0,AB70-SUM(PR70:QX70)),ALY69-G70*MAX(0,CY70*ALY69-(XX70+ABK70))))),MIN(GL70,MAX(0,AB70-SUM(PR70:QX70))))</f>
        <v>0</v>
      </c>
      <c r="QZ70" s="20" t="n">
        <f aca="false">IF(H_Direct=1,IF(ALZ69&lt;=0,0,IF(CZ70&lt;=0,MIN(MAX(0,AB70-SUM(PR70:QY70)),ALZ69),MIN(MAX(0,AB70-SUM(PR70:QY70)),ALZ69-G70*MAX(0,CZ70*ALZ69-(XY70+ABL70))))),MIN(GM70,MAX(0,AB70-SUM(PR70:QY70))))</f>
        <v>0</v>
      </c>
      <c r="RA70" s="20" t="n">
        <f aca="false">IF(H_Direct=1,IF(AMA69&lt;=0,0,IF(DA70&lt;=0,MIN(MAX(0,AB70-SUM(PR70:QZ70)),AMA69),MIN(MAX(0,AB70-SUM(PR70:QZ70)),AMA69-G70*MAX(0,DA70*AMA69-(XZ70+ABM70))))),MIN(GN70,MAX(0,AB70-SUM(PR70:QZ70))))</f>
        <v>0</v>
      </c>
      <c r="RB70" s="20" t="n">
        <f aca="false">IF(H_Direct=1,IF(AMB69&lt;=0,0,IF(DB70&lt;=0,MIN(MAX(0,AB70-SUM(PR70:RA70)),AMB69),MIN(MAX(0,AB70-SUM(PR70:RA70)),AMB69-G70*MAX(0,DB70*AMB69-(YA70+ABN70))))),MIN(GO70,MAX(0,AB70-SUM(PR70:RA70))))</f>
        <v>0</v>
      </c>
      <c r="RC70" s="20" t="n">
        <f aca="false">IF(H_Direct=1,IF(AMC69&lt;=0,0,IF(DC70&lt;=0,MIN(MAX(0,AB70-SUM(PR70:RB70)),AMC69),MIN(MAX(0,AB70-SUM(PR70:RB70)),AMC69-G70*MAX(0,DC70*AMC69-(YB70+ABO70))))),MIN(GP70,MAX(0,AB70-SUM(PR70:RB70))))</f>
        <v>0</v>
      </c>
      <c r="RD70" s="20" t="n">
        <f aca="false">IF(H_Direct=1,IF(AMD69&lt;=0,0,IF(DD70&lt;=0,MIN(MAX(0,AB70-SUM(PR70:RC70)),AMD69),MIN(MAX(0,AB70-SUM(PR70:RC70)),AMD69-G70*MAX(0,DD70*AMD69-(YC70+ABP70))))),MIN(GQ70,MAX(0,AB70-SUM(PR70:RC70))))</f>
        <v>0</v>
      </c>
      <c r="RE70" s="20" t="n">
        <f aca="false">IF(H_Direct=1,IF(AME69&lt;=0,0,IF(DE70&lt;=0,MIN(MAX(0,AB70-SUM(PR70:RD70)),AME69),MIN(MAX(0,AB70-SUM(PR70:RD70)),AME69-G70*MAX(0,DE70*AME69-(YD70+ABQ70))))),MIN(GR70,MAX(0,AB70-SUM(PR70:RD70))))</f>
        <v>0</v>
      </c>
      <c r="RF70" s="20" t="n">
        <f aca="false">IF(H_Direct=1,IF(AMF69&lt;=0,0,IF(DF70&lt;=0,MIN(MAX(0,AB70-SUM(PR70:RE70)),AMF69),MIN(MAX(0,AB70-SUM(PR70:RE70)),AMF69-G70*MAX(0,DF70*AMF69-(YE70+ABR70))))),MIN(GS70,MAX(0,AB70-SUM(PR70:RE70))))</f>
        <v>0</v>
      </c>
      <c r="RG70" s="20" t="n">
        <f aca="false">IF(H_Direct=1,IF(AMG69&lt;=0,0,IF(DG70&lt;=0,MIN(MAX(0,AB70-SUM(PR70:RF70)),AMG69),MIN(MAX(0,AB70-SUM(PR70:RF70)),AMG69-G70*MAX(0,DG70*AMG69-(YF70+ABS70))))),MIN(GT70,MAX(0,AB70-SUM(PR70:RF70))))</f>
        <v>0</v>
      </c>
      <c r="RH70" s="20" t="n">
        <f aca="false">IF(H_Direct=1,IF(AMH69&lt;=0,0,IF(DH70&lt;=0,MIN(MAX(0,AB70-SUM(PR70:RG70)),AMH69),MIN(MAX(0,AB70-SUM(PR70:RG70)),AMH69-G70*MAX(0,DH70*AMH69-(YG70+ABT70))))),MIN(GU70,MAX(0,AB70-SUM(PR70:RG70))))</f>
        <v>0</v>
      </c>
      <c r="RI70" s="20" t="n">
        <f aca="false">IF(H_Direct=1,IF(AMI69&lt;=0,0,IF(DI70&lt;=0,MIN(MAX(0,AB70-SUM(PR70:RH70)),AMI69),MIN(MAX(0,AB70-SUM(PR70:RH70)),AMI69-G70*MAX(0,DI70*AMI69-(YH70+ABU70))))),MIN(GV70,MAX(0,AB70-SUM(PR70:RH70))))</f>
        <v>0</v>
      </c>
      <c r="RJ70" s="20" t="n">
        <f aca="false">IF(H_Direct=1,IF(AMJ69&lt;=0,0,IF(DJ70&lt;=0,MIN(MAX(0,AB70-SUM(PR70:RI70)),AMJ69),MIN(MAX(0,AB70-SUM(PR70:RI70)),AMJ69-G70*MAX(0,DJ70*AMJ69-(YI70+ABV70))))),MIN(GW70,MAX(0,AB70-SUM(PR70:RI70))))</f>
        <v>0</v>
      </c>
      <c r="RK70" s="20" t="n">
        <f aca="false">IF(H_Direct=1,IF(AMK69&lt;=0,0,IF(DK70&lt;=0,MIN(MAX(0,AB70-SUM(PR70:RJ70)),AMK69),MIN(MAX(0,AB70-SUM(PR70:RJ70)),AMK69-G70*MAX(0,DK70*AMK69-(YJ70+ABW70))))),MIN(GX70,MAX(0,AB70-SUM(PR70:RJ70))))</f>
        <v>0</v>
      </c>
      <c r="RL70" s="20" t="n">
        <f aca="false">IF(H_Direct=1,IF(AML69&lt;=0,0,IF(DL70&lt;=0,MIN(MAX(0,AB70-SUM(PR70:RK70)),AML69),MIN(MAX(0,AB70-SUM(PR70:RK70)),AML69-G70*MAX(0,DL70*AML69-(YK70+ABX70))))),MIN(GY70,MAX(0,AB70-SUM(PR70:RK70))))</f>
        <v>0</v>
      </c>
      <c r="RM70" s="20" t="n">
        <f aca="false">IF(H_Direct=1,IF(AMM69&lt;=0,0,IF(DM70&lt;=0,MIN(MAX(0,AB70-SUM(PR70:RL70)),AMM69),MIN(MAX(0,AB70-SUM(PR70:RL70)),AMM69-G70*MAX(0,DM70*AMM69-(YL70+ABY70))))),MIN(GZ70,MAX(0,AB70-SUM(PR70:RL70))))</f>
        <v>0</v>
      </c>
      <c r="RN70" s="20" t="n">
        <f aca="false">IF(H_Direct=1,IF(AMN69&lt;=0,0,IF(DN70&lt;=0,MIN(MAX(0,AB70-SUM(PR70:RM70)),AMN69),MIN(MAX(0,AB70-SUM(PR70:RM70)),AMN69-G70*MAX(0,DN70*AMN69-(YM70+ABZ70))))),MIN(HA70,MAX(0,AB70-SUM(PR70:RM70))))</f>
        <v>0</v>
      </c>
      <c r="RO70" s="20" t="n">
        <f aca="false">IF(H_Direct=1,IF(AMO69&lt;=0,0,IF(DO70&lt;=0,MIN(MAX(0,AB70-SUM(PR70:RN70)),AMO69),MIN(MAX(0,AB70-SUM(PR70:RN70)),AMO69-G70*MAX(0,DO70*AMO69-(YN70+ACA70))))),MIN(HB70,MAX(0,AB70-SUM(PR70:RN70))))</f>
        <v>0</v>
      </c>
      <c r="RP70" s="20" t="n">
        <f aca="false">IF(H_Direct=1,IF(AMP69&lt;=0,0,IF(DP70&lt;=0,MIN(MAX(0,AB70-SUM(PR70:RO70)),AMP69),MIN(MAX(0,AB70-SUM(PR70:RO70)),AMP69-G70*MAX(0,DP70*AMP69-(YO70+ACB70))))),MIN(HC70,MAX(0,AB70-SUM(PR70:RO70))))</f>
        <v>0</v>
      </c>
      <c r="RQ70" s="20" t="n">
        <f aca="false">IF(H_Direct=1,IF(AMQ69&lt;=0,0,IF(DQ70&lt;=0,MIN(MAX(0,AB70-SUM(PR70:RP70)),AMQ69),MIN(MAX(0,AB70-SUM(PR70:RP70)),AMQ69-G70*MAX(0,DQ70*AMQ69-(YP70+ACC70))))),MIN(HD70,MAX(0,AB70-SUM(PR70:RP70))))</f>
        <v>0</v>
      </c>
      <c r="RR70" s="20" t="n">
        <f aca="false">IF(H_Direct=1,IF(AMR69&lt;=0,0,IF(DR70&lt;=0,MIN(MAX(0,AB70-SUM(PR70:RQ70)),AMR69),MIN(MAX(0,AB70-SUM(PR70:RQ70)),AMR69-G70*MAX(0,DR70*AMR69-(YQ70+ACD70))))),MIN(HE70,MAX(0,AB70-SUM(PR70:RQ70))))</f>
        <v>0</v>
      </c>
      <c r="RS70" s="20" t="n">
        <f aca="false">IF(H_Direct=1,IF(AMS69&lt;=0,0,IF(DS70&lt;=0,MIN(MAX(0,AB70-SUM(PR70:RR70)),AMS69),MIN(MAX(0,AB70-SUM(PR70:RR70)),AMS69-G70*MAX(0,DS70*AMS69-(YR70+ACE70))))),MIN(HF70,MAX(0,AB70-SUM(PR70:RR70))))</f>
        <v>0</v>
      </c>
      <c r="RT70" s="20" t="n">
        <f aca="false">IF(H_Direct=1,IF(AMT69&lt;=0,0,IF(DT70&lt;=0,MIN(MAX(0,AB70-SUM(PR70:RS70)),AMT69),MIN(MAX(0,AB70-SUM(PR70:RS70)),AMT69-G70*MAX(0,DT70*AMT69-(YS70+ACF70))))),MIN(HG70,MAX(0,AB70-SUM(PR70:RS70))))</f>
        <v>0</v>
      </c>
      <c r="RU70" s="20" t="n">
        <f aca="false">IF(H_Direct=1,IF(AMU69&lt;=0,0,IF(DU70&lt;=0,MIN(MAX(0,AB70-SUM(PR70:RT70)),AMU69),MIN(MAX(0,AB70-SUM(PR70:RT70)),AMU69-G70*MAX(0,DU70*AMU69-(YT70+ACG70))))),MIN(HH70,MAX(0,AB70-SUM(PR70:RT70))))</f>
        <v>0</v>
      </c>
      <c r="RV70" s="20" t="n">
        <f aca="false">IF(H_Direct=1,IF(AMV69&lt;=0,0,IF(DV70&lt;=0,MIN(MAX(0,AB70-SUM(PR70:RU70)),AMV69),MIN(MAX(0,AB70-SUM(PR70:RU70)),AMV69-G70*MAX(0,DV70*AMV69-(YU70+ACH70))))),MIN(HI70,MAX(0,AB70-SUM(PR70:RU70))))</f>
        <v>0</v>
      </c>
      <c r="RW70" s="20" t="n">
        <f aca="false">IF(H_Direct=1,IF(AMW69&lt;=0,0,IF(DW70&lt;=0,MIN(MAX(0,AB70-SUM(PR70:RV70)),AMW69),MIN(MAX(0,AB70-SUM(PR70:RV70)),AMW69-G70*MAX(0,DW70*AMW69-(YV70+ACI70))))),MIN(HJ70,MAX(0,AB70-SUM(PR70:RV70))))</f>
        <v>0</v>
      </c>
      <c r="RX70" s="20" t="n">
        <f aca="false">IF(H_Direct=1,IF(AMX69&lt;=0,0,IF(DX70&lt;=0,MIN(MAX(0,AB70-SUM(PR70:RW70)),AMX69),MIN(MAX(0,AB70-SUM(PR70:RW70)),AMX69-G70*MAX(0,DX70*AMX69-(YW70+ACJ70))))),MIN(HK70,MAX(0,AB70-SUM(PR70:RW70))))</f>
        <v>0</v>
      </c>
      <c r="RY70" s="20" t="n">
        <f aca="false">IF(H_Direct=1,IF(AMY69&lt;=0,0,IF(DY70&lt;=0,MIN(MAX(0,AB70-SUM(PR70:RX70)),AMY69),MIN(MAX(0,AB70-SUM(PR70:RX70)),AMY69-G70*MAX(0,DY70*AMY69-(YX70+ACK70))))),MIN(HL70,MAX(0,AB70-SUM(PR70:RX70))))</f>
        <v>0</v>
      </c>
      <c r="RZ70" s="20" t="n">
        <f aca="false">IF(H_Direct=1,IF(AMZ69&lt;=0,0,IF(DZ70&lt;=0,MIN(MAX(0,AB70-SUM(PR70:RY70)),AMZ69),MIN(MAX(0,AB70-SUM(PR70:RY70)),AMZ69-G70*MAX(0,DZ70*AMZ69-(YY70+ACL70))))),MIN(HM70,MAX(0,AB70-SUM(PR70:RY70))))</f>
        <v>0</v>
      </c>
      <c r="SA70" s="20" t="n">
        <f aca="false">IF(H_Direct=1,IF(ANA69&lt;=0,0,IF(EA70&lt;=0,MIN(MAX(0,AB70-SUM(PR70:RZ70)),ANA69),MIN(MAX(0,AB70-SUM(PR70:RZ70)),ANA69-G70*MAX(0,EA70*ANA69-(YZ70+ACM70))))),MIN(HN70,MAX(0,AB70-SUM(PR70:RZ70))))</f>
        <v>0</v>
      </c>
      <c r="SB70" s="20" t="n">
        <f aca="false">IF(H_Direct=1,IF(ANB69&lt;=0,0,IF(EB70&lt;=0,MIN(MAX(0,AB70-SUM(PR70:SA70)),ANB69),MIN(MAX(0,AB70-SUM(PR70:SA70)),ANB69-G70*MAX(0,EB70*ANB69-(ZA70+ACN70))))),MIN(HO70,MAX(0,AB70-SUM(PR70:SA70))))</f>
        <v>0</v>
      </c>
      <c r="SC70" s="20" t="n">
        <f aca="false">IF(H_Direct=1,IF((P70+S70)&lt;=0,0,IF(EC70&lt;=0,MIN(MAX(0,AB70-SUM(PR70:SB70)),(P70+S70)),MIN(MAX(0,AB70-SUM(PR70:SB70)),(P70+S70)-G70*MAX(0,EC70*(P70+S70)-(ZB70+ACO70))))),MIN(HP70,MAX(0,AB70-SUM(PR70:SB70))))</f>
        <v>0</v>
      </c>
      <c r="SD70" s="20" t="n">
        <v>0</v>
      </c>
      <c r="SE70" s="20" t="n">
        <v>0</v>
      </c>
      <c r="SF70" s="20" t="n">
        <v>0</v>
      </c>
      <c r="SG70" s="20" t="n">
        <v>0</v>
      </c>
      <c r="SH70" s="20" t="n">
        <v>0</v>
      </c>
      <c r="SI70" s="20" t="n">
        <v>0</v>
      </c>
      <c r="SJ70" s="20" t="n">
        <v>0</v>
      </c>
      <c r="SK70" s="20" t="n">
        <v>0</v>
      </c>
      <c r="SL70" s="20" t="n">
        <v>0</v>
      </c>
      <c r="SM70" s="20" t="n">
        <v>0</v>
      </c>
      <c r="SN70" s="20" t="n">
        <v>0</v>
      </c>
      <c r="SO70" s="20" t="n">
        <v>0</v>
      </c>
      <c r="SP70" s="20" t="n">
        <v>0</v>
      </c>
      <c r="SQ70" s="20" t="n">
        <v>0</v>
      </c>
      <c r="SR70" s="20" t="n">
        <v>0</v>
      </c>
      <c r="SS70" s="20" t="n">
        <v>0</v>
      </c>
      <c r="ST70" s="20" t="n">
        <v>0</v>
      </c>
      <c r="SU70" s="20" t="n">
        <v>0</v>
      </c>
      <c r="SV70" s="20" t="n">
        <v>0</v>
      </c>
      <c r="SW70" s="20" t="n">
        <v>0</v>
      </c>
      <c r="SX70" s="20" t="n">
        <v>0</v>
      </c>
      <c r="SY70" s="20" t="n">
        <v>0</v>
      </c>
      <c r="SZ70" s="20" t="n">
        <v>0</v>
      </c>
      <c r="TA70" s="20" t="n">
        <v>0</v>
      </c>
      <c r="TB70" s="20" t="n">
        <v>0</v>
      </c>
      <c r="TC70" s="20" t="n">
        <v>0</v>
      </c>
      <c r="TD70" s="20" t="n">
        <v>0</v>
      </c>
      <c r="TE70" s="20" t="n">
        <f aca="false">IF(AKR69&lt;=0,0,IF(H_Direct=1,IF(BR70&lt;=0,PR70,IF(PR70&lt;=(H70+I70)/BR70,PR70,(PR70-G70*(H70+I70))/(1-G70*BR70))),PR70/(1-MAX(0,BR70)*H_Exit)))</f>
        <v>0</v>
      </c>
      <c r="TF70" s="20" t="n">
        <f aca="false">IF(AKS69&lt;=0,0,IF(H_Direct=1,IF(BS70&lt;=0,PS70,IF(PS70&lt;=(WR70+AAE70)/BS70,PS70,(PS70-G70*(WR70+AAE70))/(1-G70*BS70))),PS70/(1-MAX(0,BS70)*H_Exit)))</f>
        <v>0</v>
      </c>
      <c r="TG70" s="20" t="n">
        <f aca="false">IF(AKT69&lt;=0,0,IF(H_Direct=1,IF(BT70&lt;=0,PT70,IF(PT70&lt;=(WS70+AAF70)/BT70,PT70,(PT70-G70*(WS70+AAF70))/(1-G70*BT70))),PT70/(1-MAX(0,BT70)*H_Exit)))</f>
        <v>0</v>
      </c>
      <c r="TH70" s="20" t="n">
        <f aca="false">IF(AKU69&lt;=0,0,IF(H_Direct=1,IF(BU70&lt;=0,PU70,IF(PU70&lt;=(WT70+AAG70)/BU70,PU70,(PU70-G70*(WT70+AAG70))/(1-G70*BU70))),PU70/(1-MAX(0,BU70)*H_Exit)))</f>
        <v>0</v>
      </c>
      <c r="TI70" s="20" t="n">
        <f aca="false">IF(AKV69&lt;=0,0,IF(H_Direct=1,IF(BV70&lt;=0,PV70,IF(PV70&lt;=(WU70+AAH70)/BV70,PV70,(PV70-G70*(WU70+AAH70))/(1-G70*BV70))),PV70/(1-MAX(0,BV70)*H_Exit)))</f>
        <v>0</v>
      </c>
      <c r="TJ70" s="20" t="n">
        <f aca="false">IF(AKW69&lt;=0,0,IF(H_Direct=1,IF(BW70&lt;=0,PW70,IF(PW70&lt;=(WV70+AAI70)/BW70,PW70,(PW70-G70*(WV70+AAI70))/(1-G70*BW70))),PW70/(1-MAX(0,BW70)*H_Exit)))</f>
        <v>0</v>
      </c>
      <c r="TK70" s="20" t="n">
        <f aca="false">IF(AKX69&lt;=0,0,IF(H_Direct=1,IF(BX70&lt;=0,PX70,IF(PX70&lt;=(WW70+AAJ70)/BX70,PX70,(PX70-G70*(WW70+AAJ70))/(1-G70*BX70))),PX70/(1-MAX(0,BX70)*H_Exit)))</f>
        <v>0</v>
      </c>
      <c r="TL70" s="20" t="n">
        <f aca="false">IF(AKY69&lt;=0,0,IF(H_Direct=1,IF(BY70&lt;=0,PY70,IF(PY70&lt;=(WX70+AAK70)/BY70,PY70,(PY70-G70*(WX70+AAK70))/(1-G70*BY70))),PY70/(1-MAX(0,BY70)*H_Exit)))</f>
        <v>0</v>
      </c>
      <c r="TM70" s="20" t="n">
        <f aca="false">IF(AKZ69&lt;=0,0,IF(H_Direct=1,IF(BZ70&lt;=0,PZ70,IF(PZ70&lt;=(WY70+AAL70)/BZ70,PZ70,(PZ70-G70*(WY70+AAL70))/(1-G70*BZ70))),PZ70/(1-MAX(0,BZ70)*H_Exit)))</f>
        <v>0</v>
      </c>
      <c r="TN70" s="20" t="n">
        <f aca="false">IF(ALA69&lt;=0,0,IF(H_Direct=1,IF(CA70&lt;=0,QA70,IF(QA70&lt;=(WZ70+AAM70)/CA70,QA70,(QA70-G70*(WZ70+AAM70))/(1-G70*CA70))),QA70/(1-MAX(0,CA70)*H_Exit)))</f>
        <v>0</v>
      </c>
      <c r="TO70" s="20" t="n">
        <f aca="false">IF(ALB69&lt;=0,0,IF(H_Direct=1,IF(CB70&lt;=0,QB70,IF(QB70&lt;=(XA70+AAN70)/CB70,QB70,(QB70-G70*(XA70+AAN70))/(1-G70*CB70))),QB70/(1-MAX(0,CB70)*H_Exit)))</f>
        <v>0</v>
      </c>
      <c r="TP70" s="20" t="n">
        <f aca="false">IF(ALC69&lt;=0,0,IF(H_Direct=1,IF(CC70&lt;=0,QC70,IF(QC70&lt;=(XB70+AAO70)/CC70,QC70,(QC70-G70*(XB70+AAO70))/(1-G70*CC70))),QC70/(1-MAX(0,CC70)*H_Exit)))</f>
        <v>0</v>
      </c>
      <c r="TQ70" s="20" t="n">
        <f aca="false">IF(ALD69&lt;=0,0,IF(H_Direct=1,IF(CD70&lt;=0,QD70,IF(QD70&lt;=(XC70+AAP70)/CD70,QD70,(QD70-G70*(XC70+AAP70))/(1-G70*CD70))),QD70/(1-MAX(0,CD70)*H_Exit)))</f>
        <v>0</v>
      </c>
      <c r="TR70" s="20" t="n">
        <f aca="false">IF(ALE69&lt;=0,0,IF(H_Direct=1,IF(CE70&lt;=0,QE70,IF(QE70&lt;=(XD70+AAQ70)/CE70,QE70,(QE70-G70*(XD70+AAQ70))/(1-G70*CE70))),QE70/(1-MAX(0,CE70)*H_Exit)))</f>
        <v>0</v>
      </c>
      <c r="TS70" s="20" t="n">
        <f aca="false">IF(ALF69&lt;=0,0,IF(H_Direct=1,IF(CF70&lt;=0,QF70,IF(QF70&lt;=(XE70+AAR70)/CF70,QF70,(QF70-G70*(XE70+AAR70))/(1-G70*CF70))),QF70/(1-MAX(0,CF70)*H_Exit)))</f>
        <v>0</v>
      </c>
      <c r="TT70" s="20" t="n">
        <f aca="false">IF(ALG69&lt;=0,0,IF(H_Direct=1,IF(CG70&lt;=0,QG70,IF(QG70&lt;=(XF70+AAS70)/CG70,QG70,(QG70-G70*(XF70+AAS70))/(1-G70*CG70))),QG70/(1-MAX(0,CG70)*H_Exit)))</f>
        <v>0</v>
      </c>
      <c r="TU70" s="20" t="n">
        <f aca="false">IF(ALH69&lt;=0,0,IF(H_Direct=1,IF(CH70&lt;=0,QH70,IF(QH70&lt;=(XG70+AAT70)/CH70,QH70,(QH70-G70*(XG70+AAT70))/(1-G70*CH70))),QH70/(1-MAX(0,CH70)*H_Exit)))</f>
        <v>0</v>
      </c>
      <c r="TV70" s="20" t="n">
        <f aca="false">IF(ALI69&lt;=0,0,IF(H_Direct=1,IF(CI70&lt;=0,QI70,IF(QI70&lt;=(XH70+AAU70)/CI70,QI70,(QI70-G70*(XH70+AAU70))/(1-G70*CI70))),QI70/(1-MAX(0,CI70)*H_Exit)))</f>
        <v>0</v>
      </c>
      <c r="TW70" s="20" t="n">
        <f aca="false">IF(ALJ69&lt;=0,0,IF(H_Direct=1,IF(CJ70&lt;=0,QJ70,IF(QJ70&lt;=(XI70+AAV70)/CJ70,QJ70,(QJ70-G70*(XI70+AAV70))/(1-G70*CJ70))),QJ70/(1-MAX(0,CJ70)*H_Exit)))</f>
        <v>0</v>
      </c>
      <c r="TX70" s="20" t="n">
        <f aca="false">IF(ALK69&lt;=0,0,IF(H_Direct=1,IF(CK70&lt;=0,QK70,IF(QK70&lt;=(XJ70+AAW70)/CK70,QK70,(QK70-G70*(XJ70+AAW70))/(1-G70*CK70))),QK70/(1-MAX(0,CK70)*H_Exit)))</f>
        <v>0</v>
      </c>
      <c r="TY70" s="20" t="n">
        <f aca="false">IF(ALL69&lt;=0,0,IF(H_Direct=1,IF(CL70&lt;=0,QL70,IF(QL70&lt;=(XK70+AAX70)/CL70,QL70,(QL70-G70*(XK70+AAX70))/(1-G70*CL70))),QL70/(1-MAX(0,CL70)*H_Exit)))</f>
        <v>0</v>
      </c>
      <c r="TZ70" s="20" t="n">
        <f aca="false">IF(ALM69&lt;=0,0,IF(H_Direct=1,IF(CM70&lt;=0,QM70,IF(QM70&lt;=(XL70+AAY70)/CM70,QM70,(QM70-G70*(XL70+AAY70))/(1-G70*CM70))),QM70/(1-MAX(0,CM70)*H_Exit)))</f>
        <v>0</v>
      </c>
      <c r="UA70" s="20" t="n">
        <f aca="false">IF(ALN69&lt;=0,0,IF(H_Direct=1,IF(CN70&lt;=0,QN70,IF(QN70&lt;=(XM70+AAZ70)/CN70,QN70,(QN70-G70*(XM70+AAZ70))/(1-G70*CN70))),QN70/(1-MAX(0,CN70)*H_Exit)))</f>
        <v>0</v>
      </c>
      <c r="UB70" s="20" t="n">
        <f aca="false">IF(ALO69&lt;=0,0,IF(H_Direct=1,IF(CO70&lt;=0,QO70,IF(QO70&lt;=(XN70+ABA70)/CO70,QO70,(QO70-G70*(XN70+ABA70))/(1-G70*CO70))),QO70/(1-MAX(0,CO70)*H_Exit)))</f>
        <v>0</v>
      </c>
      <c r="UC70" s="20" t="n">
        <f aca="false">IF(ALP69&lt;=0,0,IF(H_Direct=1,IF(CP70&lt;=0,QP70,IF(QP70&lt;=(XO70+ABB70)/CP70,QP70,(QP70-G70*(XO70+ABB70))/(1-G70*CP70))),QP70/(1-MAX(0,CP70)*H_Exit)))</f>
        <v>0</v>
      </c>
      <c r="UD70" s="20" t="n">
        <f aca="false">IF(ALQ69&lt;=0,0,IF(H_Direct=1,IF(CQ70&lt;=0,QQ70,IF(QQ70&lt;=(XP70+ABC70)/CQ70,QQ70,(QQ70-G70*(XP70+ABC70))/(1-G70*CQ70))),QQ70/(1-MAX(0,CQ70)*H_Exit)))</f>
        <v>0</v>
      </c>
      <c r="UE70" s="20" t="n">
        <f aca="false">IF(ALR69&lt;=0,0,IF(H_Direct=1,IF(CR70&lt;=0,QR70,IF(QR70&lt;=(XQ70+ABD70)/CR70,QR70,(QR70-G70*(XQ70+ABD70))/(1-G70*CR70))),QR70/(1-MAX(0,CR70)*H_Exit)))</f>
        <v>0</v>
      </c>
      <c r="UF70" s="20" t="n">
        <f aca="false">IF(ALS69&lt;=0,0,IF(H_Direct=1,IF(CS70&lt;=0,QS70,IF(QS70&lt;=(XR70+ABE70)/CS70,QS70,(QS70-G70*(XR70+ABE70))/(1-G70*CS70))),QS70/(1-MAX(0,CS70)*H_Exit)))</f>
        <v>0</v>
      </c>
      <c r="UG70" s="20" t="n">
        <f aca="false">IF(ALT69&lt;=0,0,IF(H_Direct=1,IF(CT70&lt;=0,QT70,IF(QT70&lt;=(XS70+ABF70)/CT70,QT70,(QT70-G70*(XS70+ABF70))/(1-G70*CT70))),QT70/(1-MAX(0,CT70)*H_Exit)))</f>
        <v>0</v>
      </c>
      <c r="UH70" s="20" t="n">
        <f aca="false">IF(ALU69&lt;=0,0,IF(H_Direct=1,IF(CU70&lt;=0,QU70,IF(QU70&lt;=(XT70+ABG70)/CU70,QU70,(QU70-G70*(XT70+ABG70))/(1-G70*CU70))),QU70/(1-MAX(0,CU70)*H_Exit)))</f>
        <v>0</v>
      </c>
      <c r="UI70" s="20" t="n">
        <f aca="false">IF(ALV69&lt;=0,0,IF(H_Direct=1,IF(CV70&lt;=0,QV70,IF(QV70&lt;=(XU70+ABH70)/CV70,QV70,(QV70-G70*(XU70+ABH70))/(1-G70*CV70))),QV70/(1-MAX(0,CV70)*H_Exit)))</f>
        <v>0</v>
      </c>
      <c r="UJ70" s="20" t="n">
        <f aca="false">IF(ALW69&lt;=0,0,IF(H_Direct=1,IF(CW70&lt;=0,QW70,IF(QW70&lt;=(XV70+ABI70)/CW70,QW70,(QW70-G70*(XV70+ABI70))/(1-G70*CW70))),QW70/(1-MAX(0,CW70)*H_Exit)))</f>
        <v>0</v>
      </c>
      <c r="UK70" s="20" t="n">
        <f aca="false">IF(ALX69&lt;=0,0,IF(H_Direct=1,IF(CX70&lt;=0,QX70,IF(QX70&lt;=(XW70+ABJ70)/CX70,QX70,(QX70-G70*(XW70+ABJ70))/(1-G70*CX70))),QX70/(1-MAX(0,CX70)*H_Exit)))</f>
        <v>0</v>
      </c>
      <c r="UL70" s="20" t="n">
        <f aca="false">IF(ALY69&lt;=0,0,IF(H_Direct=1,IF(CY70&lt;=0,QY70,IF(QY70&lt;=(XX70+ABK70)/CY70,QY70,(QY70-G70*(XX70+ABK70))/(1-G70*CY70))),QY70/(1-MAX(0,CY70)*H_Exit)))</f>
        <v>0</v>
      </c>
      <c r="UM70" s="20" t="n">
        <f aca="false">IF(ALZ69&lt;=0,0,IF(H_Direct=1,IF(CZ70&lt;=0,QZ70,IF(QZ70&lt;=(XY70+ABL70)/CZ70,QZ70,(QZ70-G70*(XY70+ABL70))/(1-G70*CZ70))),QZ70/(1-MAX(0,CZ70)*H_Exit)))</f>
        <v>0</v>
      </c>
      <c r="UN70" s="20" t="n">
        <f aca="false">IF(AMA69&lt;=0,0,IF(H_Direct=1,IF(DA70&lt;=0,RA70,IF(RA70&lt;=(XZ70+ABM70)/DA70,RA70,(RA70-G70*(XZ70+ABM70))/(1-G70*DA70))),RA70/(1-MAX(0,DA70)*H_Exit)))</f>
        <v>0</v>
      </c>
      <c r="UO70" s="20" t="n">
        <f aca="false">IF(AMB69&lt;=0,0,IF(H_Direct=1,IF(DB70&lt;=0,RB70,IF(RB70&lt;=(YA70+ABN70)/DB70,RB70,(RB70-G70*(YA70+ABN70))/(1-G70*DB70))),RB70/(1-MAX(0,DB70)*H_Exit)))</f>
        <v>0</v>
      </c>
      <c r="UP70" s="20" t="n">
        <f aca="false">IF(AMC69&lt;=0,0,IF(H_Direct=1,IF(DC70&lt;=0,RC70,IF(RC70&lt;=(YB70+ABO70)/DC70,RC70,(RC70-G70*(YB70+ABO70))/(1-G70*DC70))),RC70/(1-MAX(0,DC70)*H_Exit)))</f>
        <v>0</v>
      </c>
      <c r="UQ70" s="20" t="n">
        <f aca="false">IF(AMD69&lt;=0,0,IF(H_Direct=1,IF(DD70&lt;=0,RD70,IF(RD70&lt;=(YC70+ABP70)/DD70,RD70,(RD70-G70*(YC70+ABP70))/(1-G70*DD70))),RD70/(1-MAX(0,DD70)*H_Exit)))</f>
        <v>0</v>
      </c>
      <c r="UR70" s="20" t="n">
        <f aca="false">IF(AME69&lt;=0,0,IF(H_Direct=1,IF(DE70&lt;=0,RE70,IF(RE70&lt;=(YD70+ABQ70)/DE70,RE70,(RE70-G70*(YD70+ABQ70))/(1-G70*DE70))),RE70/(1-MAX(0,DE70)*H_Exit)))</f>
        <v>0</v>
      </c>
      <c r="US70" s="20" t="n">
        <f aca="false">IF(AMF69&lt;=0,0,IF(H_Direct=1,IF(DF70&lt;=0,RF70,IF(RF70&lt;=(YE70+ABR70)/DF70,RF70,(RF70-G70*(YE70+ABR70))/(1-G70*DF70))),RF70/(1-MAX(0,DF70)*H_Exit)))</f>
        <v>0</v>
      </c>
      <c r="UT70" s="20" t="n">
        <f aca="false">IF(AMG69&lt;=0,0,IF(H_Direct=1,IF(DG70&lt;=0,RG70,IF(RG70&lt;=(YF70+ABS70)/DG70,RG70,(RG70-G70*(YF70+ABS70))/(1-G70*DG70))),RG70/(1-MAX(0,DG70)*H_Exit)))</f>
        <v>0</v>
      </c>
      <c r="UU70" s="20" t="n">
        <f aca="false">IF(AMH69&lt;=0,0,IF(H_Direct=1,IF(DH70&lt;=0,RH70,IF(RH70&lt;=(YG70+ABT70)/DH70,RH70,(RH70-G70*(YG70+ABT70))/(1-G70*DH70))),RH70/(1-MAX(0,DH70)*H_Exit)))</f>
        <v>0</v>
      </c>
      <c r="UV70" s="20" t="n">
        <f aca="false">IF(AMI69&lt;=0,0,IF(H_Direct=1,IF(DI70&lt;=0,RI70,IF(RI70&lt;=(YH70+ABU70)/DI70,RI70,(RI70-G70*(YH70+ABU70))/(1-G70*DI70))),RI70/(1-MAX(0,DI70)*H_Exit)))</f>
        <v>0</v>
      </c>
      <c r="UW70" s="20" t="n">
        <f aca="false">IF(AMJ69&lt;=0,0,IF(H_Direct=1,IF(DJ70&lt;=0,RJ70,IF(RJ70&lt;=(YI70+ABV70)/DJ70,RJ70,(RJ70-G70*(YI70+ABV70))/(1-G70*DJ70))),RJ70/(1-MAX(0,DJ70)*H_Exit)))</f>
        <v>0</v>
      </c>
      <c r="UX70" s="20" t="n">
        <f aca="false">IF(AMK69&lt;=0,0,IF(H_Direct=1,IF(DK70&lt;=0,RK70,IF(RK70&lt;=(YJ70+ABW70)/DK70,RK70,(RK70-G70*(YJ70+ABW70))/(1-G70*DK70))),RK70/(1-MAX(0,DK70)*H_Exit)))</f>
        <v>0</v>
      </c>
      <c r="UY70" s="20" t="n">
        <f aca="false">IF(AML69&lt;=0,0,IF(H_Direct=1,IF(DL70&lt;=0,RL70,IF(RL70&lt;=(YK70+ABX70)/DL70,RL70,(RL70-G70*(YK70+ABX70))/(1-G70*DL70))),RL70/(1-MAX(0,DL70)*H_Exit)))</f>
        <v>0</v>
      </c>
      <c r="UZ70" s="20" t="n">
        <f aca="false">IF(AMM69&lt;=0,0,IF(H_Direct=1,IF(DM70&lt;=0,RM70,IF(RM70&lt;=(YL70+ABY70)/DM70,RM70,(RM70-G70*(YL70+ABY70))/(1-G70*DM70))),RM70/(1-MAX(0,DM70)*H_Exit)))</f>
        <v>0</v>
      </c>
      <c r="VA70" s="20" t="n">
        <f aca="false">IF(AMN69&lt;=0,0,IF(H_Direct=1,IF(DN70&lt;=0,RN70,IF(RN70&lt;=(YM70+ABZ70)/DN70,RN70,(RN70-G70*(YM70+ABZ70))/(1-G70*DN70))),RN70/(1-MAX(0,DN70)*H_Exit)))</f>
        <v>0</v>
      </c>
      <c r="VB70" s="20" t="n">
        <f aca="false">IF(AMO69&lt;=0,0,IF(H_Direct=1,IF(DO70&lt;=0,RO70,IF(RO70&lt;=(YN70+ACA70)/DO70,RO70,(RO70-G70*(YN70+ACA70))/(1-G70*DO70))),RO70/(1-MAX(0,DO70)*H_Exit)))</f>
        <v>0</v>
      </c>
      <c r="VC70" s="20" t="n">
        <f aca="false">IF(AMP69&lt;=0,0,IF(H_Direct=1,IF(DP70&lt;=0,RP70,IF(RP70&lt;=(YO70+ACB70)/DP70,RP70,(RP70-G70*(YO70+ACB70))/(1-G70*DP70))),RP70/(1-MAX(0,DP70)*H_Exit)))</f>
        <v>0</v>
      </c>
      <c r="VD70" s="20" t="n">
        <f aca="false">IF(AMQ69&lt;=0,0,IF(H_Direct=1,IF(DQ70&lt;=0,RQ70,IF(RQ70&lt;=(YP70+ACC70)/DQ70,RQ70,(RQ70-G70*(YP70+ACC70))/(1-G70*DQ70))),RQ70/(1-MAX(0,DQ70)*H_Exit)))</f>
        <v>0</v>
      </c>
      <c r="VE70" s="20" t="n">
        <f aca="false">IF(AMR69&lt;=0,0,IF(H_Direct=1,IF(DR70&lt;=0,RR70,IF(RR70&lt;=(YQ70+ACD70)/DR70,RR70,(RR70-G70*(YQ70+ACD70))/(1-G70*DR70))),RR70/(1-MAX(0,DR70)*H_Exit)))</f>
        <v>0</v>
      </c>
      <c r="VF70" s="20" t="n">
        <f aca="false">IF(AMS69&lt;=0,0,IF(H_Direct=1,IF(DS70&lt;=0,RS70,IF(RS70&lt;=(YR70+ACE70)/DS70,RS70,(RS70-G70*(YR70+ACE70))/(1-G70*DS70))),RS70/(1-MAX(0,DS70)*H_Exit)))</f>
        <v>0</v>
      </c>
      <c r="VG70" s="20" t="n">
        <f aca="false">IF(AMT69&lt;=0,0,IF(H_Direct=1,IF(DT70&lt;=0,RT70,IF(RT70&lt;=(YS70+ACF70)/DT70,RT70,(RT70-G70*(YS70+ACF70))/(1-G70*DT70))),RT70/(1-MAX(0,DT70)*H_Exit)))</f>
        <v>0</v>
      </c>
      <c r="VH70" s="20" t="n">
        <f aca="false">IF(AMU69&lt;=0,0,IF(H_Direct=1,IF(DU70&lt;=0,RU70,IF(RU70&lt;=(YT70+ACG70)/DU70,RU70,(RU70-G70*(YT70+ACG70))/(1-G70*DU70))),RU70/(1-MAX(0,DU70)*H_Exit)))</f>
        <v>0</v>
      </c>
      <c r="VI70" s="20" t="n">
        <f aca="false">IF(AMV69&lt;=0,0,IF(H_Direct=1,IF(DV70&lt;=0,RV70,IF(RV70&lt;=(YU70+ACH70)/DV70,RV70,(RV70-G70*(YU70+ACH70))/(1-G70*DV70))),RV70/(1-MAX(0,DV70)*H_Exit)))</f>
        <v>0</v>
      </c>
      <c r="VJ70" s="20" t="n">
        <f aca="false">IF(AMW69&lt;=0,0,IF(H_Direct=1,IF(DW70&lt;=0,RW70,IF(RW70&lt;=(YV70+ACI70)/DW70,RW70,(RW70-G70*(YV70+ACI70))/(1-G70*DW70))),RW70/(1-MAX(0,DW70)*H_Exit)))</f>
        <v>0</v>
      </c>
      <c r="VK70" s="20" t="n">
        <f aca="false">IF(AMX69&lt;=0,0,IF(H_Direct=1,IF(DX70&lt;=0,RX70,IF(RX70&lt;=(YW70+ACJ70)/DX70,RX70,(RX70-G70*(YW70+ACJ70))/(1-G70*DX70))),RX70/(1-MAX(0,DX70)*H_Exit)))</f>
        <v>0</v>
      </c>
      <c r="VL70" s="20" t="n">
        <f aca="false">IF(AMY69&lt;=0,0,IF(H_Direct=1,IF(DY70&lt;=0,RY70,IF(RY70&lt;=(YX70+ACK70)/DY70,RY70,(RY70-G70*(YX70+ACK70))/(1-G70*DY70))),RY70/(1-MAX(0,DY70)*H_Exit)))</f>
        <v>0</v>
      </c>
      <c r="VM70" s="20" t="n">
        <f aca="false">IF(AMZ69&lt;=0,0,IF(H_Direct=1,IF(DZ70&lt;=0,RZ70,IF(RZ70&lt;=(YY70+ACL70)/DZ70,RZ70,(RZ70-G70*(YY70+ACL70))/(1-G70*DZ70))),RZ70/(1-MAX(0,DZ70)*H_Exit)))</f>
        <v>0</v>
      </c>
      <c r="VN70" s="20" t="n">
        <f aca="false">IF(ANA69&lt;=0,0,IF(H_Direct=1,IF(EA70&lt;=0,SA70,IF(SA70&lt;=(YZ70+ACM70)/EA70,SA70,(SA70-G70*(YZ70+ACM70))/(1-G70*EA70))),SA70/(1-MAX(0,EA70)*H_Exit)))</f>
        <v>0</v>
      </c>
      <c r="VO70" s="20" t="n">
        <f aca="false">IF(ANB69&lt;=0,0,IF(H_Direct=1,IF(EB70&lt;=0,SB70,IF(SB70&lt;=(ZA70+ACN70)/EB70,SB70,(SB70-G70*(ZA70+ACN70))/(1-G70*EB70))),SB70/(1-MAX(0,EB70)*H_Exit)))</f>
        <v>0</v>
      </c>
      <c r="VP70" s="20" t="n">
        <f aca="false">IF((P70+S70)&lt;=0,0,IF(H_Direct=1,IF(EC70&lt;=0,SC70,IF(SC70&lt;=(ZB70+ACO70)/EC70,SC70,(SC70-G70*(ZB70+ACO70))/(1-G70*EC70))),SC70/(1-MAX(0,EC70)*H_Exit)))</f>
        <v>0</v>
      </c>
      <c r="VQ70" s="20" t="n">
        <v>0</v>
      </c>
      <c r="VR70" s="20" t="n">
        <v>0</v>
      </c>
      <c r="VS70" s="20" t="n">
        <v>0</v>
      </c>
      <c r="VT70" s="20" t="n">
        <v>0</v>
      </c>
      <c r="VU70" s="20" t="n">
        <v>0</v>
      </c>
      <c r="VV70" s="20" t="n">
        <v>0</v>
      </c>
      <c r="VW70" s="20" t="n">
        <v>0</v>
      </c>
      <c r="VX70" s="20" t="n">
        <v>0</v>
      </c>
      <c r="VY70" s="20" t="n">
        <v>0</v>
      </c>
      <c r="VZ70" s="20" t="n">
        <v>0</v>
      </c>
      <c r="WA70" s="20" t="n">
        <v>0</v>
      </c>
      <c r="WB70" s="20" t="n">
        <v>0</v>
      </c>
      <c r="WC70" s="20" t="n">
        <v>0</v>
      </c>
      <c r="WD70" s="20" t="n">
        <v>0</v>
      </c>
      <c r="WE70" s="20" t="n">
        <v>0</v>
      </c>
      <c r="WF70" s="20" t="n">
        <v>0</v>
      </c>
      <c r="WG70" s="20" t="n">
        <v>0</v>
      </c>
      <c r="WH70" s="20" t="n">
        <v>0</v>
      </c>
      <c r="WI70" s="20" t="n">
        <v>0</v>
      </c>
      <c r="WJ70" s="20" t="n">
        <v>0</v>
      </c>
      <c r="WK70" s="20" t="n">
        <v>0</v>
      </c>
      <c r="WL70" s="20" t="n">
        <v>0</v>
      </c>
      <c r="WM70" s="20" t="n">
        <v>0</v>
      </c>
      <c r="WN70" s="20" t="n">
        <v>0</v>
      </c>
      <c r="WO70" s="20" t="n">
        <v>0</v>
      </c>
      <c r="WP70" s="20" t="n">
        <v>0</v>
      </c>
      <c r="WQ70" s="20" t="n">
        <v>0</v>
      </c>
      <c r="WR70" s="20" t="n">
        <f aca="false">IF(AND(H_Direct=1,BR70&gt;0),MAX(0,H70-(MIN(BR70*TE70,(H70+I70))-MIN(MIN(BR70*TE70,(H70+I70)),I70))),H70)</f>
        <v>1270</v>
      </c>
      <c r="WS70" s="20" t="n">
        <f aca="false">IF(AND(H_Direct=1,BS70&gt;0),MAX(0,WR70-(MIN(BS70*TF70,(WR70+AAE70))-MIN(MIN(BS70*TF70,(WR70+AAE70)),AAE70))),WR70)</f>
        <v>1270</v>
      </c>
      <c r="WT70" s="20" t="n">
        <f aca="false">IF(AND(H_Direct=1,BT70&gt;0),MAX(0,WS70-(MIN(BT70*TG70,(WS70+AAF70))-MIN(MIN(BT70*TG70,(WS70+AAF70)),AAF70))),WS70)</f>
        <v>1270</v>
      </c>
      <c r="WU70" s="20" t="n">
        <f aca="false">IF(AND(H_Direct=1,BU70&gt;0),MAX(0,WT70-(MIN(BU70*TH70,(WT70+AAG70))-MIN(MIN(BU70*TH70,(WT70+AAG70)),AAG70))),WT70)</f>
        <v>1270</v>
      </c>
      <c r="WV70" s="20" t="n">
        <f aca="false">IF(AND(H_Direct=1,BV70&gt;0),MAX(0,WU70-(MIN(BV70*TI70,(WU70+AAH70))-MIN(MIN(BV70*TI70,(WU70+AAH70)),AAH70))),WU70)</f>
        <v>1270</v>
      </c>
      <c r="WW70" s="20" t="n">
        <f aca="false">IF(AND(H_Direct=1,BW70&gt;0),MAX(0,WV70-(MIN(BW70*TJ70,(WV70+AAI70))-MIN(MIN(BW70*TJ70,(WV70+AAI70)),AAI70))),WV70)</f>
        <v>1270</v>
      </c>
      <c r="WX70" s="20" t="n">
        <f aca="false">IF(AND(H_Direct=1,BX70&gt;0),MAX(0,WW70-(MIN(BX70*TK70,(WW70+AAJ70))-MIN(MIN(BX70*TK70,(WW70+AAJ70)),AAJ70))),WW70)</f>
        <v>1270</v>
      </c>
      <c r="WY70" s="20" t="n">
        <f aca="false">IF(AND(H_Direct=1,BY70&gt;0),MAX(0,WX70-(MIN(BY70*TL70,(WX70+AAK70))-MIN(MIN(BY70*TL70,(WX70+AAK70)),AAK70))),WX70)</f>
        <v>1270</v>
      </c>
      <c r="WZ70" s="20" t="n">
        <f aca="false">IF(AND(H_Direct=1,BZ70&gt;0),MAX(0,WY70-(MIN(BZ70*TM70,(WY70+AAL70))-MIN(MIN(BZ70*TM70,(WY70+AAL70)),AAL70))),WY70)</f>
        <v>1270</v>
      </c>
      <c r="XA70" s="20" t="n">
        <f aca="false">IF(AND(H_Direct=1,CA70&gt;0),MAX(0,WZ70-(MIN(CA70*TN70,(WZ70+AAM70))-MIN(MIN(CA70*TN70,(WZ70+AAM70)),AAM70))),WZ70)</f>
        <v>1270</v>
      </c>
      <c r="XB70" s="20" t="n">
        <f aca="false">IF(AND(H_Direct=1,CB70&gt;0),MAX(0,XA70-(MIN(CB70*TO70,(XA70+AAN70))-MIN(MIN(CB70*TO70,(XA70+AAN70)),AAN70))),XA70)</f>
        <v>1270</v>
      </c>
      <c r="XC70" s="20" t="n">
        <f aca="false">IF(AND(H_Direct=1,CC70&gt;0),MAX(0,XB70-(MIN(CC70*TP70,(XB70+AAO70))-MIN(MIN(CC70*TP70,(XB70+AAO70)),AAO70))),XB70)</f>
        <v>1270</v>
      </c>
      <c r="XD70" s="20" t="n">
        <f aca="false">IF(AND(H_Direct=1,CD70&gt;0),MAX(0,XC70-(MIN(CD70*TQ70,(XC70+AAP70))-MIN(MIN(CD70*TQ70,(XC70+AAP70)),AAP70))),XC70)</f>
        <v>1270</v>
      </c>
      <c r="XE70" s="20" t="n">
        <f aca="false">IF(AND(H_Direct=1,CE70&gt;0),MAX(0,XD70-(MIN(CE70*TR70,(XD70+AAQ70))-MIN(MIN(CE70*TR70,(XD70+AAQ70)),AAQ70))),XD70)</f>
        <v>1270</v>
      </c>
      <c r="XF70" s="20" t="n">
        <f aca="false">IF(AND(H_Direct=1,CF70&gt;0),MAX(0,XE70-(MIN(CF70*TS70,(XE70+AAR70))-MIN(MIN(CF70*TS70,(XE70+AAR70)),AAR70))),XE70)</f>
        <v>1270</v>
      </c>
      <c r="XG70" s="20" t="n">
        <f aca="false">IF(AND(H_Direct=1,CG70&gt;0),MAX(0,XF70-(MIN(CG70*TT70,(XF70+AAS70))-MIN(MIN(CG70*TT70,(XF70+AAS70)),AAS70))),XF70)</f>
        <v>1270</v>
      </c>
      <c r="XH70" s="20" t="n">
        <f aca="false">IF(AND(H_Direct=1,CH70&gt;0),MAX(0,XG70-(MIN(CH70*TU70,(XG70+AAT70))-MIN(MIN(CH70*TU70,(XG70+AAT70)),AAT70))),XG70)</f>
        <v>1270</v>
      </c>
      <c r="XI70" s="20" t="n">
        <f aca="false">IF(AND(H_Direct=1,CI70&gt;0),MAX(0,XH70-(MIN(CI70*TV70,(XH70+AAU70))-MIN(MIN(CI70*TV70,(XH70+AAU70)),AAU70))),XH70)</f>
        <v>1270</v>
      </c>
      <c r="XJ70" s="20" t="n">
        <f aca="false">IF(AND(H_Direct=1,CJ70&gt;0),MAX(0,XI70-(MIN(CJ70*TW70,(XI70+AAV70))-MIN(MIN(CJ70*TW70,(XI70+AAV70)),AAV70))),XI70)</f>
        <v>1270</v>
      </c>
      <c r="XK70" s="20" t="n">
        <f aca="false">IF(AND(H_Direct=1,CK70&gt;0),MAX(0,XJ70-(MIN(CK70*TX70,(XJ70+AAW70))-MIN(MIN(CK70*TX70,(XJ70+AAW70)),AAW70))),XJ70)</f>
        <v>1270</v>
      </c>
      <c r="XL70" s="20" t="n">
        <f aca="false">IF(AND(H_Direct=1,CL70&gt;0),MAX(0,XK70-(MIN(CL70*TY70,(XK70+AAX70))-MIN(MIN(CL70*TY70,(XK70+AAX70)),AAX70))),XK70)</f>
        <v>1270</v>
      </c>
      <c r="XM70" s="20" t="n">
        <f aca="false">IF(AND(H_Direct=1,CM70&gt;0),MAX(0,XL70-(MIN(CM70*TZ70,(XL70+AAY70))-MIN(MIN(CM70*TZ70,(XL70+AAY70)),AAY70))),XL70)</f>
        <v>1270</v>
      </c>
      <c r="XN70" s="20" t="n">
        <f aca="false">IF(AND(H_Direct=1,CN70&gt;0),MAX(0,XM70-(MIN(CN70*UA70,(XM70+AAZ70))-MIN(MIN(CN70*UA70,(XM70+AAZ70)),AAZ70))),XM70)</f>
        <v>1270</v>
      </c>
      <c r="XO70" s="20" t="n">
        <f aca="false">IF(AND(H_Direct=1,CO70&gt;0),MAX(0,XN70-(MIN(CO70*UB70,(XN70+ABA70))-MIN(MIN(CO70*UB70,(XN70+ABA70)),ABA70))),XN70)</f>
        <v>1270</v>
      </c>
      <c r="XP70" s="20" t="n">
        <f aca="false">IF(AND(H_Direct=1,CP70&gt;0),MAX(0,XO70-(MIN(CP70*UC70,(XO70+ABB70))-MIN(MIN(CP70*UC70,(XO70+ABB70)),ABB70))),XO70)</f>
        <v>1270</v>
      </c>
      <c r="XQ70" s="20" t="n">
        <f aca="false">IF(AND(H_Direct=1,CQ70&gt;0),MAX(0,XP70-(MIN(CQ70*UD70,(XP70+ABC70))-MIN(MIN(CQ70*UD70,(XP70+ABC70)),ABC70))),XP70)</f>
        <v>1270</v>
      </c>
      <c r="XR70" s="20" t="n">
        <f aca="false">IF(AND(H_Direct=1,CR70&gt;0),MAX(0,XQ70-(MIN(CR70*UE70,(XQ70+ABD70))-MIN(MIN(CR70*UE70,(XQ70+ABD70)),ABD70))),XQ70)</f>
        <v>1270</v>
      </c>
      <c r="XS70" s="20" t="n">
        <f aca="false">IF(AND(H_Direct=1,CS70&gt;0),MAX(0,XR70-(MIN(CS70*UF70,(XR70+ABE70))-MIN(MIN(CS70*UF70,(XR70+ABE70)),ABE70))),XR70)</f>
        <v>1270</v>
      </c>
      <c r="XT70" s="20" t="n">
        <f aca="false">IF(AND(H_Direct=1,CT70&gt;0),MAX(0,XS70-(MIN(CT70*UG70,(XS70+ABF70))-MIN(MIN(CT70*UG70,(XS70+ABF70)),ABF70))),XS70)</f>
        <v>1270</v>
      </c>
      <c r="XU70" s="20" t="n">
        <f aca="false">IF(AND(H_Direct=1,CU70&gt;0),MAX(0,XT70-(MIN(CU70*UH70,(XT70+ABG70))-MIN(MIN(CU70*UH70,(XT70+ABG70)),ABG70))),XT70)</f>
        <v>1270</v>
      </c>
      <c r="XV70" s="20" t="n">
        <f aca="false">IF(AND(H_Direct=1,CV70&gt;0),MAX(0,XU70-(MIN(CV70*UI70,(XU70+ABH70))-MIN(MIN(CV70*UI70,(XU70+ABH70)),ABH70))),XU70)</f>
        <v>1270</v>
      </c>
      <c r="XW70" s="20" t="n">
        <f aca="false">IF(AND(H_Direct=1,CW70&gt;0),MAX(0,XV70-(MIN(CW70*UJ70,(XV70+ABI70))-MIN(MIN(CW70*UJ70,(XV70+ABI70)),ABI70))),XV70)</f>
        <v>1270</v>
      </c>
      <c r="XX70" s="20" t="n">
        <f aca="false">IF(AND(H_Direct=1,CX70&gt;0),MAX(0,XW70-(MIN(CX70*UK70,(XW70+ABJ70))-MIN(MIN(CX70*UK70,(XW70+ABJ70)),ABJ70))),XW70)</f>
        <v>1270</v>
      </c>
      <c r="XY70" s="20" t="n">
        <f aca="false">IF(AND(H_Direct=1,CY70&gt;0),MAX(0,XX70-(MIN(CY70*UL70,(XX70+ABK70))-MIN(MIN(CY70*UL70,(XX70+ABK70)),ABK70))),XX70)</f>
        <v>1270</v>
      </c>
      <c r="XZ70" s="20" t="n">
        <f aca="false">IF(AND(H_Direct=1,CZ70&gt;0),MAX(0,XY70-(MIN(CZ70*UM70,(XY70+ABL70))-MIN(MIN(CZ70*UM70,(XY70+ABL70)),ABL70))),XY70)</f>
        <v>1270</v>
      </c>
      <c r="YA70" s="20" t="n">
        <f aca="false">IF(AND(H_Direct=1,DA70&gt;0),MAX(0,XZ70-(MIN(DA70*UN70,(XZ70+ABM70))-MIN(MIN(DA70*UN70,(XZ70+ABM70)),ABM70))),XZ70)</f>
        <v>1270</v>
      </c>
      <c r="YB70" s="20" t="n">
        <f aca="false">IF(AND(H_Direct=1,DB70&gt;0),MAX(0,YA70-(MIN(DB70*UO70,(YA70+ABN70))-MIN(MIN(DB70*UO70,(YA70+ABN70)),ABN70))),YA70)</f>
        <v>1270</v>
      </c>
      <c r="YC70" s="20" t="n">
        <f aca="false">IF(AND(H_Direct=1,DC70&gt;0),MAX(0,YB70-(MIN(DC70*UP70,(YB70+ABO70))-MIN(MIN(DC70*UP70,(YB70+ABO70)),ABO70))),YB70)</f>
        <v>1270</v>
      </c>
      <c r="YD70" s="20" t="n">
        <f aca="false">IF(AND(H_Direct=1,DD70&gt;0),MAX(0,YC70-(MIN(DD70*UQ70,(YC70+ABP70))-MIN(MIN(DD70*UQ70,(YC70+ABP70)),ABP70))),YC70)</f>
        <v>1270</v>
      </c>
      <c r="YE70" s="20" t="n">
        <f aca="false">IF(AND(H_Direct=1,DE70&gt;0),MAX(0,YD70-(MIN(DE70*UR70,(YD70+ABQ70))-MIN(MIN(DE70*UR70,(YD70+ABQ70)),ABQ70))),YD70)</f>
        <v>1270</v>
      </c>
      <c r="YF70" s="20" t="n">
        <f aca="false">IF(AND(H_Direct=1,DF70&gt;0),MAX(0,YE70-(MIN(DF70*US70,(YE70+ABR70))-MIN(MIN(DF70*US70,(YE70+ABR70)),ABR70))),YE70)</f>
        <v>1270</v>
      </c>
      <c r="YG70" s="20" t="n">
        <f aca="false">IF(AND(H_Direct=1,DG70&gt;0),MAX(0,YF70-(MIN(DG70*UT70,(YF70+ABS70))-MIN(MIN(DG70*UT70,(YF70+ABS70)),ABS70))),YF70)</f>
        <v>1270</v>
      </c>
      <c r="YH70" s="20" t="n">
        <f aca="false">IF(AND(H_Direct=1,DH70&gt;0),MAX(0,YG70-(MIN(DH70*UU70,(YG70+ABT70))-MIN(MIN(DH70*UU70,(YG70+ABT70)),ABT70))),YG70)</f>
        <v>1270</v>
      </c>
      <c r="YI70" s="20" t="n">
        <f aca="false">IF(AND(H_Direct=1,DI70&gt;0),MAX(0,YH70-(MIN(DI70*UV70,(YH70+ABU70))-MIN(MIN(DI70*UV70,(YH70+ABU70)),ABU70))),YH70)</f>
        <v>1270</v>
      </c>
      <c r="YJ70" s="20" t="n">
        <f aca="false">IF(AND(H_Direct=1,DJ70&gt;0),MAX(0,YI70-(MIN(DJ70*UW70,(YI70+ABV70))-MIN(MIN(DJ70*UW70,(YI70+ABV70)),ABV70))),YI70)</f>
        <v>1270</v>
      </c>
      <c r="YK70" s="20" t="n">
        <f aca="false">IF(AND(H_Direct=1,DK70&gt;0),MAX(0,YJ70-(MIN(DK70*UX70,(YJ70+ABW70))-MIN(MIN(DK70*UX70,(YJ70+ABW70)),ABW70))),YJ70)</f>
        <v>1270</v>
      </c>
      <c r="YL70" s="20" t="n">
        <f aca="false">IF(AND(H_Direct=1,DL70&gt;0),MAX(0,YK70-(MIN(DL70*UY70,(YK70+ABX70))-MIN(MIN(DL70*UY70,(YK70+ABX70)),ABX70))),YK70)</f>
        <v>1270</v>
      </c>
      <c r="YM70" s="20" t="n">
        <f aca="false">IF(AND(H_Direct=1,DM70&gt;0),MAX(0,YL70-(MIN(DM70*UZ70,(YL70+ABY70))-MIN(MIN(DM70*UZ70,(YL70+ABY70)),ABY70))),YL70)</f>
        <v>1270</v>
      </c>
      <c r="YN70" s="20" t="n">
        <f aca="false">IF(AND(H_Direct=1,DN70&gt;0),MAX(0,YM70-(MIN(DN70*VA70,(YM70+ABZ70))-MIN(MIN(DN70*VA70,(YM70+ABZ70)),ABZ70))),YM70)</f>
        <v>1270</v>
      </c>
      <c r="YO70" s="20" t="n">
        <f aca="false">IF(AND(H_Direct=1,DO70&gt;0),MAX(0,YN70-(MIN(DO70*VB70,(YN70+ACA70))-MIN(MIN(DO70*VB70,(YN70+ACA70)),ACA70))),YN70)</f>
        <v>1270</v>
      </c>
      <c r="YP70" s="20" t="n">
        <f aca="false">IF(AND(H_Direct=1,DP70&gt;0),MAX(0,YO70-(MIN(DP70*VC70,(YO70+ACB70))-MIN(MIN(DP70*VC70,(YO70+ACB70)),ACB70))),YO70)</f>
        <v>1270</v>
      </c>
      <c r="YQ70" s="20" t="n">
        <f aca="false">IF(AND(H_Direct=1,DQ70&gt;0),MAX(0,YP70-(MIN(DQ70*VD70,(YP70+ACC70))-MIN(MIN(DQ70*VD70,(YP70+ACC70)),ACC70))),YP70)</f>
        <v>1270</v>
      </c>
      <c r="YR70" s="20" t="n">
        <f aca="false">IF(AND(H_Direct=1,DR70&gt;0),MAX(0,YQ70-(MIN(DR70*VE70,(YQ70+ACD70))-MIN(MIN(DR70*VE70,(YQ70+ACD70)),ACD70))),YQ70)</f>
        <v>1270</v>
      </c>
      <c r="YS70" s="20" t="n">
        <f aca="false">IF(AND(H_Direct=1,DS70&gt;0),MAX(0,YR70-(MIN(DS70*VF70,(YR70+ACE70))-MIN(MIN(DS70*VF70,(YR70+ACE70)),ACE70))),YR70)</f>
        <v>1270</v>
      </c>
      <c r="YT70" s="20" t="n">
        <f aca="false">IF(AND(H_Direct=1,DT70&gt;0),MAX(0,YS70-(MIN(DT70*VG70,(YS70+ACF70))-MIN(MIN(DT70*VG70,(YS70+ACF70)),ACF70))),YS70)</f>
        <v>1270</v>
      </c>
      <c r="YU70" s="20" t="n">
        <f aca="false">IF(AND(H_Direct=1,DU70&gt;0),MAX(0,YT70-(MIN(DU70*VH70,(YT70+ACG70))-MIN(MIN(DU70*VH70,(YT70+ACG70)),ACG70))),YT70)</f>
        <v>1270</v>
      </c>
      <c r="YV70" s="20" t="n">
        <f aca="false">IF(AND(H_Direct=1,DV70&gt;0),MAX(0,YU70-(MIN(DV70*VI70,(YU70+ACH70))-MIN(MIN(DV70*VI70,(YU70+ACH70)),ACH70))),YU70)</f>
        <v>1270</v>
      </c>
      <c r="YW70" s="20" t="n">
        <f aca="false">IF(AND(H_Direct=1,DW70&gt;0),MAX(0,YV70-(MIN(DW70*VJ70,(YV70+ACI70))-MIN(MIN(DW70*VJ70,(YV70+ACI70)),ACI70))),YV70)</f>
        <v>1270</v>
      </c>
      <c r="YX70" s="20" t="n">
        <f aca="false">IF(AND(H_Direct=1,DX70&gt;0),MAX(0,YW70-(MIN(DX70*VK70,(YW70+ACJ70))-MIN(MIN(DX70*VK70,(YW70+ACJ70)),ACJ70))),YW70)</f>
        <v>1270</v>
      </c>
      <c r="YY70" s="20" t="n">
        <f aca="false">IF(AND(H_Direct=1,DY70&gt;0),MAX(0,YX70-(MIN(DY70*VL70,(YX70+ACK70))-MIN(MIN(DY70*VL70,(YX70+ACK70)),ACK70))),YX70)</f>
        <v>1270</v>
      </c>
      <c r="YZ70" s="20" t="n">
        <f aca="false">IF(AND(H_Direct=1,DZ70&gt;0),MAX(0,YY70-(MIN(DZ70*VM70,(YY70+ACL70))-MIN(MIN(DZ70*VM70,(YY70+ACL70)),ACL70))),YY70)</f>
        <v>1270</v>
      </c>
      <c r="ZA70" s="20" t="n">
        <f aca="false">IF(AND(H_Direct=1,EA70&gt;0),MAX(0,YZ70-(MIN(EA70*VN70,(YZ70+ACM70))-MIN(MIN(EA70*VN70,(YZ70+ACM70)),ACM70))),YZ70)</f>
        <v>1270</v>
      </c>
      <c r="ZB70" s="20" t="n">
        <f aca="false">IF(AND(H_Direct=1,EB70&gt;0),MAX(0,ZA70-(MIN(EB70*VO70,(ZA70+ACN70))-MIN(MIN(EB70*VO70,(ZA70+ACN70)),ACN70))),ZA70)</f>
        <v>1270</v>
      </c>
      <c r="ZC70" s="20" t="n">
        <f aca="false">IF(AND(H_Direct=1,EC70&gt;0),MAX(0,ZB70-(MIN(EC70*VP70,(ZB70+ACO70))-MIN(MIN(EC70*VP70,(ZB70+ACO70)),ACO70))),ZB70)</f>
        <v>1270</v>
      </c>
      <c r="ZD70" s="20" t="n">
        <f aca="false">ZC70</f>
        <v>1270</v>
      </c>
      <c r="ZE70" s="20" t="n">
        <f aca="false">ZD70</f>
        <v>1270</v>
      </c>
      <c r="ZF70" s="20" t="n">
        <f aca="false">ZE70</f>
        <v>1270</v>
      </c>
      <c r="ZG70" s="20" t="n">
        <f aca="false">ZF70</f>
        <v>1270</v>
      </c>
      <c r="ZH70" s="20" t="n">
        <f aca="false">ZG70</f>
        <v>1270</v>
      </c>
      <c r="ZI70" s="20" t="n">
        <f aca="false">ZH70</f>
        <v>1270</v>
      </c>
      <c r="ZJ70" s="20" t="n">
        <f aca="false">ZI70</f>
        <v>1270</v>
      </c>
      <c r="ZK70" s="20" t="n">
        <f aca="false">ZJ70</f>
        <v>1270</v>
      </c>
      <c r="ZL70" s="20" t="n">
        <f aca="false">ZK70</f>
        <v>1270</v>
      </c>
      <c r="ZM70" s="20" t="n">
        <f aca="false">ZL70</f>
        <v>1270</v>
      </c>
      <c r="ZN70" s="20" t="n">
        <f aca="false">ZM70</f>
        <v>1270</v>
      </c>
      <c r="ZO70" s="20" t="n">
        <f aca="false">ZN70</f>
        <v>1270</v>
      </c>
      <c r="ZP70" s="20" t="n">
        <f aca="false">ZO70</f>
        <v>1270</v>
      </c>
      <c r="ZQ70" s="20" t="n">
        <f aca="false">ZP70</f>
        <v>1270</v>
      </c>
      <c r="ZR70" s="20" t="n">
        <f aca="false">ZQ70</f>
        <v>1270</v>
      </c>
      <c r="ZS70" s="20" t="n">
        <f aca="false">ZR70</f>
        <v>1270</v>
      </c>
      <c r="ZT70" s="20" t="n">
        <f aca="false">ZS70</f>
        <v>1270</v>
      </c>
      <c r="ZU70" s="20" t="n">
        <f aca="false">ZT70</f>
        <v>1270</v>
      </c>
      <c r="ZV70" s="20" t="n">
        <f aca="false">ZU70</f>
        <v>1270</v>
      </c>
      <c r="ZW70" s="20" t="n">
        <f aca="false">ZV70</f>
        <v>1270</v>
      </c>
      <c r="ZX70" s="20" t="n">
        <f aca="false">ZW70</f>
        <v>1270</v>
      </c>
      <c r="ZY70" s="20" t="n">
        <f aca="false">ZX70</f>
        <v>1270</v>
      </c>
      <c r="ZZ70" s="20" t="n">
        <f aca="false">ZY70</f>
        <v>1270</v>
      </c>
      <c r="AAA70" s="20" t="n">
        <f aca="false">ZZ70</f>
        <v>1270</v>
      </c>
      <c r="AAB70" s="20" t="n">
        <f aca="false">AAA70</f>
        <v>1270</v>
      </c>
      <c r="AAC70" s="20" t="n">
        <f aca="false">AAB70</f>
        <v>1270</v>
      </c>
      <c r="AAD70" s="20" t="n">
        <f aca="false">AAC70</f>
        <v>1270</v>
      </c>
      <c r="AAE70" s="20" t="n">
        <f aca="false">IF(H_Direct=1,IF(BR70&lt;=0,I70-BR70*TE70,I70-MIN(MIN(BR70*TE70,(H70+I70)),I70)),I70)</f>
        <v>0</v>
      </c>
      <c r="AAF70" s="20" t="n">
        <f aca="false">IF(H_Direct=1,IF(BS70&lt;=0,AAE70-BS70*TF70,AAE70-MIN(MIN(BS70*TF70,(WR70+AAE70)),AAE70)),AAE70)</f>
        <v>0</v>
      </c>
      <c r="AAG70" s="20" t="n">
        <f aca="false">IF(H_Direct=1,IF(BT70&lt;=0,AAF70-BT70*TG70,AAF70-MIN(MIN(BT70*TG70,(WS70+AAF70)),AAF70)),AAF70)</f>
        <v>0</v>
      </c>
      <c r="AAH70" s="20" t="n">
        <f aca="false">IF(H_Direct=1,IF(BU70&lt;=0,AAG70-BU70*TH70,AAG70-MIN(MIN(BU70*TH70,(WT70+AAG70)),AAG70)),AAG70)</f>
        <v>0</v>
      </c>
      <c r="AAI70" s="20" t="n">
        <f aca="false">IF(H_Direct=1,IF(BV70&lt;=0,AAH70-BV70*TI70,AAH70-MIN(MIN(BV70*TI70,(WU70+AAH70)),AAH70)),AAH70)</f>
        <v>0</v>
      </c>
      <c r="AAJ70" s="20" t="n">
        <f aca="false">IF(H_Direct=1,IF(BW70&lt;=0,AAI70-BW70*TJ70,AAI70-MIN(MIN(BW70*TJ70,(WV70+AAI70)),AAI70)),AAI70)</f>
        <v>0</v>
      </c>
      <c r="AAK70" s="20" t="n">
        <f aca="false">IF(H_Direct=1,IF(BX70&lt;=0,AAJ70-BX70*TK70,AAJ70-MIN(MIN(BX70*TK70,(WW70+AAJ70)),AAJ70)),AAJ70)</f>
        <v>0</v>
      </c>
      <c r="AAL70" s="20" t="n">
        <f aca="false">IF(H_Direct=1,IF(BY70&lt;=0,AAK70-BY70*TL70,AAK70-MIN(MIN(BY70*TL70,(WX70+AAK70)),AAK70)),AAK70)</f>
        <v>0</v>
      </c>
      <c r="AAM70" s="20" t="n">
        <f aca="false">IF(H_Direct=1,IF(BZ70&lt;=0,AAL70-BZ70*TM70,AAL70-MIN(MIN(BZ70*TM70,(WY70+AAL70)),AAL70)),AAL70)</f>
        <v>0</v>
      </c>
      <c r="AAN70" s="20" t="n">
        <f aca="false">IF(H_Direct=1,IF(CA70&lt;=0,AAM70-CA70*TN70,AAM70-MIN(MIN(CA70*TN70,(WZ70+AAM70)),AAM70)),AAM70)</f>
        <v>0</v>
      </c>
      <c r="AAO70" s="20" t="n">
        <f aca="false">IF(H_Direct=1,IF(CB70&lt;=0,AAN70-CB70*TO70,AAN70-MIN(MIN(CB70*TO70,(XA70+AAN70)),AAN70)),AAN70)</f>
        <v>0</v>
      </c>
      <c r="AAP70" s="20" t="n">
        <f aca="false">IF(H_Direct=1,IF(CC70&lt;=0,AAO70-CC70*TP70,AAO70-MIN(MIN(CC70*TP70,(XB70+AAO70)),AAO70)),AAO70)</f>
        <v>0</v>
      </c>
      <c r="AAQ70" s="20" t="n">
        <f aca="false">IF(H_Direct=1,IF(CD70&lt;=0,AAP70-CD70*TQ70,AAP70-MIN(MIN(CD70*TQ70,(XC70+AAP70)),AAP70)),AAP70)</f>
        <v>0</v>
      </c>
      <c r="AAR70" s="20" t="n">
        <f aca="false">IF(H_Direct=1,IF(CE70&lt;=0,AAQ70-CE70*TR70,AAQ70-MIN(MIN(CE70*TR70,(XD70+AAQ70)),AAQ70)),AAQ70)</f>
        <v>0</v>
      </c>
      <c r="AAS70" s="20" t="n">
        <f aca="false">IF(H_Direct=1,IF(CF70&lt;=0,AAR70-CF70*TS70,AAR70-MIN(MIN(CF70*TS70,(XE70+AAR70)),AAR70)),AAR70)</f>
        <v>0</v>
      </c>
      <c r="AAT70" s="20" t="n">
        <f aca="false">IF(H_Direct=1,IF(CG70&lt;=0,AAS70-CG70*TT70,AAS70-MIN(MIN(CG70*TT70,(XF70+AAS70)),AAS70)),AAS70)</f>
        <v>0</v>
      </c>
      <c r="AAU70" s="20" t="n">
        <f aca="false">IF(H_Direct=1,IF(CH70&lt;=0,AAT70-CH70*TU70,AAT70-MIN(MIN(CH70*TU70,(XG70+AAT70)),AAT70)),AAT70)</f>
        <v>0</v>
      </c>
      <c r="AAV70" s="20" t="n">
        <f aca="false">IF(H_Direct=1,IF(CI70&lt;=0,AAU70-CI70*TV70,AAU70-MIN(MIN(CI70*TV70,(XH70+AAU70)),AAU70)),AAU70)</f>
        <v>0</v>
      </c>
      <c r="AAW70" s="20" t="n">
        <f aca="false">IF(H_Direct=1,IF(CJ70&lt;=0,AAV70-CJ70*TW70,AAV70-MIN(MIN(CJ70*TW70,(XI70+AAV70)),AAV70)),AAV70)</f>
        <v>0</v>
      </c>
      <c r="AAX70" s="20" t="n">
        <f aca="false">IF(H_Direct=1,IF(CK70&lt;=0,AAW70-CK70*TX70,AAW70-MIN(MIN(CK70*TX70,(XJ70+AAW70)),AAW70)),AAW70)</f>
        <v>0</v>
      </c>
      <c r="AAY70" s="20" t="n">
        <f aca="false">IF(H_Direct=1,IF(CL70&lt;=0,AAX70-CL70*TY70,AAX70-MIN(MIN(CL70*TY70,(XK70+AAX70)),AAX70)),AAX70)</f>
        <v>0</v>
      </c>
      <c r="AAZ70" s="20" t="n">
        <f aca="false">IF(H_Direct=1,IF(CM70&lt;=0,AAY70-CM70*TZ70,AAY70-MIN(MIN(CM70*TZ70,(XL70+AAY70)),AAY70)),AAY70)</f>
        <v>0</v>
      </c>
      <c r="ABA70" s="20" t="n">
        <f aca="false">IF(H_Direct=1,IF(CN70&lt;=0,AAZ70-CN70*UA70,AAZ70-MIN(MIN(CN70*UA70,(XM70+AAZ70)),AAZ70)),AAZ70)</f>
        <v>0</v>
      </c>
      <c r="ABB70" s="20" t="n">
        <f aca="false">IF(H_Direct=1,IF(CO70&lt;=0,ABA70-CO70*UB70,ABA70-MIN(MIN(CO70*UB70,(XN70+ABA70)),ABA70)),ABA70)</f>
        <v>0</v>
      </c>
      <c r="ABC70" s="20" t="n">
        <f aca="false">IF(H_Direct=1,IF(CP70&lt;=0,ABB70-CP70*UC70,ABB70-MIN(MIN(CP70*UC70,(XO70+ABB70)),ABB70)),ABB70)</f>
        <v>0</v>
      </c>
      <c r="ABD70" s="20" t="n">
        <f aca="false">IF(H_Direct=1,IF(CQ70&lt;=0,ABC70-CQ70*UD70,ABC70-MIN(MIN(CQ70*UD70,(XP70+ABC70)),ABC70)),ABC70)</f>
        <v>0</v>
      </c>
      <c r="ABE70" s="20" t="n">
        <f aca="false">IF(H_Direct=1,IF(CR70&lt;=0,ABD70-CR70*UE70,ABD70-MIN(MIN(CR70*UE70,(XQ70+ABD70)),ABD70)),ABD70)</f>
        <v>0</v>
      </c>
      <c r="ABF70" s="20" t="n">
        <f aca="false">IF(H_Direct=1,IF(CS70&lt;=0,ABE70-CS70*UF70,ABE70-MIN(MIN(CS70*UF70,(XR70+ABE70)),ABE70)),ABE70)</f>
        <v>0</v>
      </c>
      <c r="ABG70" s="20" t="n">
        <f aca="false">IF(H_Direct=1,IF(CT70&lt;=0,ABF70-CT70*UG70,ABF70-MIN(MIN(CT70*UG70,(XS70+ABF70)),ABF70)),ABF70)</f>
        <v>0</v>
      </c>
      <c r="ABH70" s="20" t="n">
        <f aca="false">IF(H_Direct=1,IF(CU70&lt;=0,ABG70-CU70*UH70,ABG70-MIN(MIN(CU70*UH70,(XT70+ABG70)),ABG70)),ABG70)</f>
        <v>0</v>
      </c>
      <c r="ABI70" s="20" t="n">
        <f aca="false">IF(H_Direct=1,IF(CV70&lt;=0,ABH70-CV70*UI70,ABH70-MIN(MIN(CV70*UI70,(XU70+ABH70)),ABH70)),ABH70)</f>
        <v>0</v>
      </c>
      <c r="ABJ70" s="20" t="n">
        <f aca="false">IF(H_Direct=1,IF(CW70&lt;=0,ABI70-CW70*UJ70,ABI70-MIN(MIN(CW70*UJ70,(XV70+ABI70)),ABI70)),ABI70)</f>
        <v>0</v>
      </c>
      <c r="ABK70" s="20" t="n">
        <f aca="false">IF(H_Direct=1,IF(CX70&lt;=0,ABJ70-CX70*UK70,ABJ70-MIN(MIN(CX70*UK70,(XW70+ABJ70)),ABJ70)),ABJ70)</f>
        <v>0</v>
      </c>
      <c r="ABL70" s="20" t="n">
        <f aca="false">IF(H_Direct=1,IF(CY70&lt;=0,ABK70-CY70*UL70,ABK70-MIN(MIN(CY70*UL70,(XX70+ABK70)),ABK70)),ABK70)</f>
        <v>0</v>
      </c>
      <c r="ABM70" s="20" t="n">
        <f aca="false">IF(H_Direct=1,IF(CZ70&lt;=0,ABL70-CZ70*UM70,ABL70-MIN(MIN(CZ70*UM70,(XY70+ABL70)),ABL70)),ABL70)</f>
        <v>0</v>
      </c>
      <c r="ABN70" s="20" t="n">
        <f aca="false">IF(H_Direct=1,IF(DA70&lt;=0,ABM70-DA70*UN70,ABM70-MIN(MIN(DA70*UN70,(XZ70+ABM70)),ABM70)),ABM70)</f>
        <v>0</v>
      </c>
      <c r="ABO70" s="20" t="n">
        <f aca="false">IF(H_Direct=1,IF(DB70&lt;=0,ABN70-DB70*UO70,ABN70-MIN(MIN(DB70*UO70,(YA70+ABN70)),ABN70)),ABN70)</f>
        <v>0</v>
      </c>
      <c r="ABP70" s="20" t="n">
        <f aca="false">IF(H_Direct=1,IF(DC70&lt;=0,ABO70-DC70*UP70,ABO70-MIN(MIN(DC70*UP70,(YB70+ABO70)),ABO70)),ABO70)</f>
        <v>0</v>
      </c>
      <c r="ABQ70" s="20" t="n">
        <f aca="false">IF(H_Direct=1,IF(DD70&lt;=0,ABP70-DD70*UQ70,ABP70-MIN(MIN(DD70*UQ70,(YC70+ABP70)),ABP70)),ABP70)</f>
        <v>0</v>
      </c>
      <c r="ABR70" s="20" t="n">
        <f aca="false">IF(H_Direct=1,IF(DE70&lt;=0,ABQ70-DE70*UR70,ABQ70-MIN(MIN(DE70*UR70,(YD70+ABQ70)),ABQ70)),ABQ70)</f>
        <v>0</v>
      </c>
      <c r="ABS70" s="20" t="n">
        <f aca="false">IF(H_Direct=1,IF(DF70&lt;=0,ABR70-DF70*US70,ABR70-MIN(MIN(DF70*US70,(YE70+ABR70)),ABR70)),ABR70)</f>
        <v>0</v>
      </c>
      <c r="ABT70" s="20" t="n">
        <f aca="false">IF(H_Direct=1,IF(DG70&lt;=0,ABS70-DG70*UT70,ABS70-MIN(MIN(DG70*UT70,(YF70+ABS70)),ABS70)),ABS70)</f>
        <v>0</v>
      </c>
      <c r="ABU70" s="20" t="n">
        <f aca="false">IF(H_Direct=1,IF(DH70&lt;=0,ABT70-DH70*UU70,ABT70-MIN(MIN(DH70*UU70,(YG70+ABT70)),ABT70)),ABT70)</f>
        <v>0</v>
      </c>
      <c r="ABV70" s="20" t="n">
        <f aca="false">IF(H_Direct=1,IF(DI70&lt;=0,ABU70-DI70*UV70,ABU70-MIN(MIN(DI70*UV70,(YH70+ABU70)),ABU70)),ABU70)</f>
        <v>0</v>
      </c>
      <c r="ABW70" s="20" t="n">
        <f aca="false">IF(H_Direct=1,IF(DJ70&lt;=0,ABV70-DJ70*UW70,ABV70-MIN(MIN(DJ70*UW70,(YI70+ABV70)),ABV70)),ABV70)</f>
        <v>0</v>
      </c>
      <c r="ABX70" s="20" t="n">
        <f aca="false">IF(H_Direct=1,IF(DK70&lt;=0,ABW70-DK70*UX70,ABW70-MIN(MIN(DK70*UX70,(YJ70+ABW70)),ABW70)),ABW70)</f>
        <v>0</v>
      </c>
      <c r="ABY70" s="20" t="n">
        <f aca="false">IF(H_Direct=1,IF(DL70&lt;=0,ABX70-DL70*UY70,ABX70-MIN(MIN(DL70*UY70,(YK70+ABX70)),ABX70)),ABX70)</f>
        <v>0</v>
      </c>
      <c r="ABZ70" s="20" t="n">
        <f aca="false">IF(H_Direct=1,IF(DM70&lt;=0,ABY70-DM70*UZ70,ABY70-MIN(MIN(DM70*UZ70,(YL70+ABY70)),ABY70)),ABY70)</f>
        <v>0</v>
      </c>
      <c r="ACA70" s="20" t="n">
        <f aca="false">IF(H_Direct=1,IF(DN70&lt;=0,ABZ70-DN70*VA70,ABZ70-MIN(MIN(DN70*VA70,(YM70+ABZ70)),ABZ70)),ABZ70)</f>
        <v>0</v>
      </c>
      <c r="ACB70" s="20" t="n">
        <f aca="false">IF(H_Direct=1,IF(DO70&lt;=0,ACA70-DO70*VB70,ACA70-MIN(MIN(DO70*VB70,(YN70+ACA70)),ACA70)),ACA70)</f>
        <v>0</v>
      </c>
      <c r="ACC70" s="20" t="n">
        <f aca="false">IF(H_Direct=1,IF(DP70&lt;=0,ACB70-DP70*VC70,ACB70-MIN(MIN(DP70*VC70,(YO70+ACB70)),ACB70)),ACB70)</f>
        <v>0</v>
      </c>
      <c r="ACD70" s="20" t="n">
        <f aca="false">IF(H_Direct=1,IF(DQ70&lt;=0,ACC70-DQ70*VD70,ACC70-MIN(MIN(DQ70*VD70,(YP70+ACC70)),ACC70)),ACC70)</f>
        <v>0</v>
      </c>
      <c r="ACE70" s="20" t="n">
        <f aca="false">IF(H_Direct=1,IF(DR70&lt;=0,ACD70-DR70*VE70,ACD70-MIN(MIN(DR70*VE70,(YQ70+ACD70)),ACD70)),ACD70)</f>
        <v>0</v>
      </c>
      <c r="ACF70" s="20" t="n">
        <f aca="false">IF(H_Direct=1,IF(DS70&lt;=0,ACE70-DS70*VF70,ACE70-MIN(MIN(DS70*VF70,(YR70+ACE70)),ACE70)),ACE70)</f>
        <v>0</v>
      </c>
      <c r="ACG70" s="20" t="n">
        <f aca="false">IF(H_Direct=1,IF(DT70&lt;=0,ACF70-DT70*VG70,ACF70-MIN(MIN(DT70*VG70,(YS70+ACF70)),ACF70)),ACF70)</f>
        <v>0</v>
      </c>
      <c r="ACH70" s="20" t="n">
        <f aca="false">IF(H_Direct=1,IF(DU70&lt;=0,ACG70-DU70*VH70,ACG70-MIN(MIN(DU70*VH70,(YT70+ACG70)),ACG70)),ACG70)</f>
        <v>0</v>
      </c>
      <c r="ACI70" s="20" t="n">
        <f aca="false">IF(H_Direct=1,IF(DV70&lt;=0,ACH70-DV70*VI70,ACH70-MIN(MIN(DV70*VI70,(YU70+ACH70)),ACH70)),ACH70)</f>
        <v>0</v>
      </c>
      <c r="ACJ70" s="20" t="n">
        <f aca="false">IF(H_Direct=1,IF(DW70&lt;=0,ACI70-DW70*VJ70,ACI70-MIN(MIN(DW70*VJ70,(YV70+ACI70)),ACI70)),ACI70)</f>
        <v>0</v>
      </c>
      <c r="ACK70" s="20" t="n">
        <f aca="false">IF(H_Direct=1,IF(DX70&lt;=0,ACJ70-DX70*VK70,ACJ70-MIN(MIN(DX70*VK70,(YW70+ACJ70)),ACJ70)),ACJ70)</f>
        <v>0</v>
      </c>
      <c r="ACL70" s="20" t="n">
        <f aca="false">IF(H_Direct=1,IF(DY70&lt;=0,ACK70-DY70*VL70,ACK70-MIN(MIN(DY70*VL70,(YX70+ACK70)),ACK70)),ACK70)</f>
        <v>0</v>
      </c>
      <c r="ACM70" s="20" t="n">
        <f aca="false">IF(H_Direct=1,IF(DZ70&lt;=0,ACL70-DZ70*VM70,ACL70-MIN(MIN(DZ70*VM70,(YY70+ACL70)),ACL70)),ACL70)</f>
        <v>0</v>
      </c>
      <c r="ACN70" s="20" t="n">
        <f aca="false">IF(H_Direct=1,IF(EA70&lt;=0,ACM70-EA70*VN70,ACM70-MIN(MIN(EA70*VN70,(YZ70+ACM70)),ACM70)),ACM70)</f>
        <v>0</v>
      </c>
      <c r="ACO70" s="20" t="n">
        <f aca="false">IF(H_Direct=1,IF(EB70&lt;=0,ACN70-EB70*VO70,ACN70-MIN(MIN(EB70*VO70,(ZA70+ACN70)),ACN70)),ACN70)</f>
        <v>0</v>
      </c>
      <c r="ACP70" s="20" t="n">
        <f aca="false">IF(H_Direct=1,IF(EC70&lt;=0,ACO70-EC70*VP70,ACO70-MIN(MIN(EC70*VP70,(ZB70+ACO70)),ACO70)),ACO70)</f>
        <v>0</v>
      </c>
      <c r="ACQ70" s="20" t="n">
        <f aca="false">ACP70</f>
        <v>0</v>
      </c>
      <c r="ACR70" s="20" t="n">
        <f aca="false">ACQ70</f>
        <v>0</v>
      </c>
      <c r="ACS70" s="20" t="n">
        <f aca="false">ACR70</f>
        <v>0</v>
      </c>
      <c r="ACT70" s="20" t="n">
        <f aca="false">ACS70</f>
        <v>0</v>
      </c>
      <c r="ACU70" s="20" t="n">
        <f aca="false">ACT70</f>
        <v>0</v>
      </c>
      <c r="ACV70" s="20" t="n">
        <f aca="false">ACU70</f>
        <v>0</v>
      </c>
      <c r="ACW70" s="20" t="n">
        <f aca="false">ACV70</f>
        <v>0</v>
      </c>
      <c r="ACX70" s="20" t="n">
        <f aca="false">ACW70</f>
        <v>0</v>
      </c>
      <c r="ACY70" s="20" t="n">
        <f aca="false">ACX70</f>
        <v>0</v>
      </c>
      <c r="ACZ70" s="20" t="n">
        <f aca="false">ACY70</f>
        <v>0</v>
      </c>
      <c r="ADA70" s="20" t="n">
        <f aca="false">ACZ70</f>
        <v>0</v>
      </c>
      <c r="ADB70" s="20" t="n">
        <f aca="false">ADA70</f>
        <v>0</v>
      </c>
      <c r="ADC70" s="20" t="n">
        <f aca="false">ADB70</f>
        <v>0</v>
      </c>
      <c r="ADD70" s="20" t="n">
        <f aca="false">ADC70</f>
        <v>0</v>
      </c>
      <c r="ADE70" s="20" t="n">
        <f aca="false">ADD70</f>
        <v>0</v>
      </c>
      <c r="ADF70" s="20" t="n">
        <f aca="false">ADE70</f>
        <v>0</v>
      </c>
      <c r="ADG70" s="20" t="n">
        <f aca="false">ADF70</f>
        <v>0</v>
      </c>
      <c r="ADH70" s="20" t="n">
        <f aca="false">ADG70</f>
        <v>0</v>
      </c>
      <c r="ADI70" s="20" t="n">
        <f aca="false">ADH70</f>
        <v>0</v>
      </c>
      <c r="ADJ70" s="20" t="n">
        <f aca="false">ADI70</f>
        <v>0</v>
      </c>
      <c r="ADK70" s="20" t="n">
        <f aca="false">ADJ70</f>
        <v>0</v>
      </c>
      <c r="ADL70" s="20" t="n">
        <f aca="false">ADK70</f>
        <v>0</v>
      </c>
      <c r="ADM70" s="20" t="n">
        <f aca="false">ADL70</f>
        <v>0</v>
      </c>
      <c r="ADN70" s="20" t="n">
        <f aca="false">ADM70</f>
        <v>0</v>
      </c>
      <c r="ADO70" s="20" t="n">
        <f aca="false">ADN70</f>
        <v>0</v>
      </c>
      <c r="ADP70" s="20" t="n">
        <f aca="false">ADO70</f>
        <v>0</v>
      </c>
      <c r="ADQ70" s="20" t="n">
        <f aca="false">ADP70</f>
        <v>0</v>
      </c>
      <c r="ADR70" s="20" t="n">
        <f aca="false">(AKR69-TE70+0)*(1+BQ70)</f>
        <v>0</v>
      </c>
      <c r="ADS70" s="20" t="n">
        <f aca="false">(AKS69-TF70+0)*(1+BQ70)</f>
        <v>0</v>
      </c>
      <c r="ADT70" s="20" t="n">
        <f aca="false">(AKT69-TG70+0)*(1+BQ70)</f>
        <v>0</v>
      </c>
      <c r="ADU70" s="20" t="n">
        <f aca="false">(AKU69-TH70+0)*(1+BQ70)</f>
        <v>0</v>
      </c>
      <c r="ADV70" s="20" t="n">
        <f aca="false">(AKV69-TI70+0)*(1+BQ70)</f>
        <v>0</v>
      </c>
      <c r="ADW70" s="20" t="n">
        <f aca="false">(AKW69-TJ70+0)*(1+BQ70)</f>
        <v>0</v>
      </c>
      <c r="ADX70" s="20" t="n">
        <f aca="false">(AKX69-TK70+0)*(1+BQ70)</f>
        <v>0</v>
      </c>
      <c r="ADY70" s="20" t="n">
        <f aca="false">(AKY69-TL70+0)*(1+BQ70)</f>
        <v>0</v>
      </c>
      <c r="ADZ70" s="20" t="n">
        <f aca="false">(AKZ69-TM70+0)*(1+BQ70)</f>
        <v>0</v>
      </c>
      <c r="AEA70" s="20" t="n">
        <f aca="false">(ALA69-TN70+0)*(1+BQ70)</f>
        <v>0</v>
      </c>
      <c r="AEB70" s="20" t="n">
        <f aca="false">(ALB69-TO70+0)*(1+BQ70)</f>
        <v>0</v>
      </c>
      <c r="AEC70" s="20" t="n">
        <f aca="false">(ALC69-TP70+0)*(1+BQ70)</f>
        <v>0</v>
      </c>
      <c r="AED70" s="20" t="n">
        <f aca="false">(ALD69-TQ70+0)*(1+BQ70)</f>
        <v>0</v>
      </c>
      <c r="AEE70" s="20" t="n">
        <f aca="false">(ALE69-TR70+0)*(1+BQ70)</f>
        <v>0</v>
      </c>
      <c r="AEF70" s="20" t="n">
        <f aca="false">(ALF69-TS70+0)*(1+BQ70)</f>
        <v>0</v>
      </c>
      <c r="AEG70" s="20" t="n">
        <f aca="false">(ALG69-TT70+0)*(1+BQ70)</f>
        <v>0</v>
      </c>
      <c r="AEH70" s="20" t="n">
        <f aca="false">(ALH69-TU70+0)*(1+BQ70)</f>
        <v>0</v>
      </c>
      <c r="AEI70" s="20" t="n">
        <f aca="false">(ALI69-TV70+0)*(1+BQ70)</f>
        <v>0</v>
      </c>
      <c r="AEJ70" s="20" t="n">
        <f aca="false">(ALJ69-TW70+0)*(1+BQ70)</f>
        <v>0</v>
      </c>
      <c r="AEK70" s="20" t="n">
        <f aca="false">(ALK69-TX70+0)*(1+BQ70)</f>
        <v>0</v>
      </c>
      <c r="AEL70" s="20" t="n">
        <f aca="false">(ALL69-TY70+0)*(1+BQ70)</f>
        <v>0</v>
      </c>
      <c r="AEM70" s="20" t="n">
        <f aca="false">(ALM69-TZ70+0)*(1+BQ70)</f>
        <v>0</v>
      </c>
      <c r="AEN70" s="20" t="n">
        <f aca="false">(ALN69-UA70+0)*(1+BQ70)</f>
        <v>0</v>
      </c>
      <c r="AEO70" s="20" t="n">
        <f aca="false">(ALO69-UB70+0)*(1+BQ70)</f>
        <v>0</v>
      </c>
      <c r="AEP70" s="20" t="n">
        <f aca="false">(ALP69-UC70+0)*(1+BQ70)</f>
        <v>0</v>
      </c>
      <c r="AEQ70" s="20" t="n">
        <f aca="false">(ALQ69-UD70+0)*(1+BQ70)</f>
        <v>0</v>
      </c>
      <c r="AER70" s="20" t="n">
        <f aca="false">(ALR69-UE70+0)*(1+BQ70)</f>
        <v>0</v>
      </c>
      <c r="AES70" s="20" t="n">
        <f aca="false">(ALS69-UF70+0)*(1+BQ70)</f>
        <v>0</v>
      </c>
      <c r="AET70" s="20" t="n">
        <f aca="false">(ALT69-UG70+0)*(1+BQ70)</f>
        <v>0</v>
      </c>
      <c r="AEU70" s="20" t="n">
        <f aca="false">(ALU69-UH70+0)*(1+BQ70)</f>
        <v>0</v>
      </c>
      <c r="AEV70" s="20" t="n">
        <f aca="false">(ALV69-UI70+0)*(1+BQ70)</f>
        <v>0</v>
      </c>
      <c r="AEW70" s="20" t="n">
        <f aca="false">(ALW69-UJ70+0)*(1+BQ70)</f>
        <v>0</v>
      </c>
      <c r="AEX70" s="20" t="n">
        <f aca="false">(ALX69-UK70+0)*(1+BQ70)</f>
        <v>0</v>
      </c>
      <c r="AEY70" s="20" t="n">
        <f aca="false">(ALY69-UL70+0)*(1+BQ70)</f>
        <v>0</v>
      </c>
      <c r="AEZ70" s="20" t="n">
        <f aca="false">(ALZ69-UM70+0)*(1+BQ70)</f>
        <v>0</v>
      </c>
      <c r="AFA70" s="20" t="n">
        <f aca="false">(AMA69-UN70+0)*(1+BQ70)</f>
        <v>0</v>
      </c>
      <c r="AFB70" s="20" t="n">
        <f aca="false">(AMB69-UO70+0)*(1+BQ70)</f>
        <v>0</v>
      </c>
      <c r="AFC70" s="20" t="n">
        <f aca="false">(AMC69-UP70+0)*(1+BQ70)</f>
        <v>0</v>
      </c>
      <c r="AFD70" s="20" t="n">
        <f aca="false">(AMD69-UQ70+0)*(1+BQ70)</f>
        <v>0</v>
      </c>
      <c r="AFE70" s="20" t="n">
        <f aca="false">(AME69-UR70+0)*(1+BQ70)</f>
        <v>0</v>
      </c>
      <c r="AFF70" s="20" t="n">
        <f aca="false">(AMF69-US70+0)*(1+BQ70)</f>
        <v>0</v>
      </c>
      <c r="AFG70" s="20" t="n">
        <f aca="false">(AMG69-UT70+0)*(1+BQ70)</f>
        <v>0</v>
      </c>
      <c r="AFH70" s="20" t="n">
        <f aca="false">(AMH69-UU70+0)*(1+BQ70)</f>
        <v>0</v>
      </c>
      <c r="AFI70" s="20" t="n">
        <f aca="false">(AMI69-UV70+0)*(1+BQ70)</f>
        <v>0</v>
      </c>
      <c r="AFJ70" s="20" t="n">
        <f aca="false">(AMJ69-UW70+0)*(1+BQ70)</f>
        <v>0</v>
      </c>
      <c r="AFK70" s="20" t="n">
        <f aca="false">(AMK69-UX70+0)*(1+BQ70)</f>
        <v>0</v>
      </c>
      <c r="AFL70" s="20" t="n">
        <f aca="false">(AML69-UY70+0)*(1+BQ70)</f>
        <v>0</v>
      </c>
      <c r="AFM70" s="20" t="n">
        <f aca="false">(AMM69-UZ70+0)*(1+BQ70)</f>
        <v>0</v>
      </c>
      <c r="AFN70" s="20" t="n">
        <f aca="false">(AMN69-VA70+0)*(1+BQ70)</f>
        <v>0</v>
      </c>
      <c r="AFO70" s="20" t="n">
        <f aca="false">(AMO69-VB70+0)*(1+BQ70)</f>
        <v>0</v>
      </c>
      <c r="AFP70" s="20" t="n">
        <f aca="false">(AMP69-VC70+0)*(1+BQ70)</f>
        <v>0</v>
      </c>
      <c r="AFQ70" s="20" t="n">
        <f aca="false">(AMQ69-VD70+0)*(1+BQ70)</f>
        <v>0</v>
      </c>
      <c r="AFR70" s="20" t="n">
        <f aca="false">(AMR69-VE70+0)*(1+BQ70)</f>
        <v>0</v>
      </c>
      <c r="AFS70" s="20" t="n">
        <f aca="false">(AMS69-VF70+0)*(1+BQ70)</f>
        <v>0</v>
      </c>
      <c r="AFT70" s="20" t="n">
        <f aca="false">(AMT69-VG70+0)*(1+BQ70)</f>
        <v>0</v>
      </c>
      <c r="AFU70" s="20" t="n">
        <f aca="false">(AMU69-VH70+0)*(1+BQ70)</f>
        <v>0</v>
      </c>
      <c r="AFV70" s="20" t="n">
        <f aca="false">(AMV69-VI70+0)*(1+BQ70)</f>
        <v>0</v>
      </c>
      <c r="AFW70" s="20" t="n">
        <f aca="false">(AMW69-VJ70+0)*(1+BQ70)</f>
        <v>0</v>
      </c>
      <c r="AFX70" s="20" t="n">
        <f aca="false">(AMX69-VK70+0)*(1+BQ70)</f>
        <v>0</v>
      </c>
      <c r="AFY70" s="20" t="n">
        <f aca="false">(AMY69-VL70+0)*(1+BQ70)</f>
        <v>0</v>
      </c>
      <c r="AFZ70" s="20" t="n">
        <f aca="false">(AMZ69-VM70+0)*(1+BQ70)</f>
        <v>0</v>
      </c>
      <c r="AGA70" s="20" t="n">
        <f aca="false">(ANA69-VN70+0)*(1+BQ70)</f>
        <v>0</v>
      </c>
      <c r="AGB70" s="20" t="n">
        <f aca="false">(ANB69-VO70+0)*(1+BQ70)</f>
        <v>0</v>
      </c>
      <c r="AGC70" s="20" t="n">
        <f aca="false">((P70+S70)-VP70+BE70)*(1+BQ70)</f>
        <v>0</v>
      </c>
      <c r="AGD70" s="20" t="n">
        <v>0</v>
      </c>
      <c r="AGE70" s="20" t="n">
        <v>0</v>
      </c>
      <c r="AGF70" s="20" t="n">
        <v>0</v>
      </c>
      <c r="AGG70" s="20" t="n">
        <v>0</v>
      </c>
      <c r="AGH70" s="20" t="n">
        <v>0</v>
      </c>
      <c r="AGI70" s="20" t="n">
        <v>0</v>
      </c>
      <c r="AGJ70" s="20" t="n">
        <v>0</v>
      </c>
      <c r="AGK70" s="20" t="n">
        <v>0</v>
      </c>
      <c r="AGL70" s="20" t="n">
        <v>0</v>
      </c>
      <c r="AGM70" s="20" t="n">
        <v>0</v>
      </c>
      <c r="AGN70" s="20" t="n">
        <v>0</v>
      </c>
      <c r="AGO70" s="20" t="n">
        <v>0</v>
      </c>
      <c r="AGP70" s="20" t="n">
        <v>0</v>
      </c>
      <c r="AGQ70" s="20" t="n">
        <v>0</v>
      </c>
      <c r="AGR70" s="20" t="n">
        <v>0</v>
      </c>
      <c r="AGS70" s="20" t="n">
        <v>0</v>
      </c>
      <c r="AGT70" s="20" t="n">
        <v>0</v>
      </c>
      <c r="AGU70" s="20" t="n">
        <v>0</v>
      </c>
      <c r="AGV70" s="20" t="n">
        <v>0</v>
      </c>
      <c r="AGW70" s="20" t="n">
        <v>0</v>
      </c>
      <c r="AGX70" s="20" t="n">
        <v>0</v>
      </c>
      <c r="AGY70" s="20" t="n">
        <v>0</v>
      </c>
      <c r="AGZ70" s="20" t="n">
        <v>0</v>
      </c>
      <c r="AHA70" s="20" t="n">
        <v>0</v>
      </c>
      <c r="AHB70" s="20" t="n">
        <v>0</v>
      </c>
      <c r="AHC70" s="20" t="n">
        <v>0</v>
      </c>
      <c r="AHD70" s="20" t="n">
        <v>0</v>
      </c>
      <c r="AHE70" s="20" t="n">
        <f aca="false">IF(AKR69&gt;0,AOE69-AOE69*TE70/AKR69,0)+0</f>
        <v>0</v>
      </c>
      <c r="AHF70" s="20" t="n">
        <f aca="false">IF(AKS69&gt;0,AOF69-AOF69*TF70/AKS69,0)+0</f>
        <v>0</v>
      </c>
      <c r="AHG70" s="20" t="n">
        <f aca="false">IF(AKT69&gt;0,AOG69-AOG69*TG70/AKT69,0)+0</f>
        <v>0</v>
      </c>
      <c r="AHH70" s="20" t="n">
        <f aca="false">IF(AKU69&gt;0,AOH69-AOH69*TH70/AKU69,0)+0</f>
        <v>0</v>
      </c>
      <c r="AHI70" s="20" t="n">
        <f aca="false">IF(AKV69&gt;0,AOI69-AOI69*TI70/AKV69,0)+0</f>
        <v>0</v>
      </c>
      <c r="AHJ70" s="20" t="n">
        <f aca="false">IF(AKW69&gt;0,AOJ69-AOJ69*TJ70/AKW69,0)+0</f>
        <v>0</v>
      </c>
      <c r="AHK70" s="20" t="n">
        <f aca="false">IF(AKX69&gt;0,AOK69-AOK69*TK70/AKX69,0)+0</f>
        <v>0</v>
      </c>
      <c r="AHL70" s="20" t="n">
        <f aca="false">IF(AKY69&gt;0,AOL69-AOL69*TL70/AKY69,0)+0</f>
        <v>0</v>
      </c>
      <c r="AHM70" s="20" t="n">
        <f aca="false">IF(AKZ69&gt;0,AOM69-AOM69*TM70/AKZ69,0)+0</f>
        <v>0</v>
      </c>
      <c r="AHN70" s="20" t="n">
        <f aca="false">IF(ALA69&gt;0,AON69-AON69*TN70/ALA69,0)+0</f>
        <v>0</v>
      </c>
      <c r="AHO70" s="20" t="n">
        <f aca="false">IF(ALB69&gt;0,AOO69-AOO69*TO70/ALB69,0)+0</f>
        <v>0</v>
      </c>
      <c r="AHP70" s="20" t="n">
        <f aca="false">IF(ALC69&gt;0,AOP69-AOP69*TP70/ALC69,0)+0</f>
        <v>0</v>
      </c>
      <c r="AHQ70" s="20" t="n">
        <f aca="false">IF(ALD69&gt;0,AOQ69-AOQ69*TQ70/ALD69,0)+0</f>
        <v>0</v>
      </c>
      <c r="AHR70" s="20" t="n">
        <f aca="false">IF(ALE69&gt;0,AOR69-AOR69*TR70/ALE69,0)+0</f>
        <v>0</v>
      </c>
      <c r="AHS70" s="20" t="n">
        <f aca="false">IF(ALF69&gt;0,AOS69-AOS69*TS70/ALF69,0)+0</f>
        <v>0</v>
      </c>
      <c r="AHT70" s="20" t="n">
        <f aca="false">IF(ALG69&gt;0,AOT69-AOT69*TT70/ALG69,0)+0</f>
        <v>0</v>
      </c>
      <c r="AHU70" s="20" t="n">
        <f aca="false">IF(ALH69&gt;0,AOU69-AOU69*TU70/ALH69,0)+0</f>
        <v>0</v>
      </c>
      <c r="AHV70" s="20" t="n">
        <f aca="false">IF(ALI69&gt;0,AOV69-AOV69*TV70/ALI69,0)+0</f>
        <v>0</v>
      </c>
      <c r="AHW70" s="20" t="n">
        <f aca="false">IF(ALJ69&gt;0,AOW69-AOW69*TW70/ALJ69,0)+0</f>
        <v>0</v>
      </c>
      <c r="AHX70" s="20" t="n">
        <f aca="false">IF(ALK69&gt;0,AOX69-AOX69*TX70/ALK69,0)+0</f>
        <v>0</v>
      </c>
      <c r="AHY70" s="20" t="n">
        <f aca="false">IF(ALL69&gt;0,AOY69-AOY69*TY70/ALL69,0)+0</f>
        <v>0</v>
      </c>
      <c r="AHZ70" s="20" t="n">
        <f aca="false">IF(ALM69&gt;0,AOZ69-AOZ69*TZ70/ALM69,0)+0</f>
        <v>0</v>
      </c>
      <c r="AIA70" s="20" t="n">
        <f aca="false">IF(ALN69&gt;0,APA69-APA69*UA70/ALN69,0)+0</f>
        <v>0</v>
      </c>
      <c r="AIB70" s="20" t="n">
        <f aca="false">IF(ALO69&gt;0,APB69-APB69*UB70/ALO69,0)+0</f>
        <v>0</v>
      </c>
      <c r="AIC70" s="20" t="n">
        <f aca="false">IF(ALP69&gt;0,APC69-APC69*UC70/ALP69,0)+0</f>
        <v>0</v>
      </c>
      <c r="AID70" s="20" t="n">
        <f aca="false">IF(ALQ69&gt;0,APD69-APD69*UD70/ALQ69,0)+0</f>
        <v>0</v>
      </c>
      <c r="AIE70" s="20" t="n">
        <f aca="false">IF(ALR69&gt;0,APE69-APE69*UE70/ALR69,0)+0</f>
        <v>0</v>
      </c>
      <c r="AIF70" s="20" t="n">
        <f aca="false">IF(ALS69&gt;0,APF69-APF69*UF70/ALS69,0)+0</f>
        <v>0</v>
      </c>
      <c r="AIG70" s="20" t="n">
        <f aca="false">IF(ALT69&gt;0,APG69-APG69*UG70/ALT69,0)+0</f>
        <v>0</v>
      </c>
      <c r="AIH70" s="20" t="n">
        <f aca="false">IF(ALU69&gt;0,APH69-APH69*UH70/ALU69,0)+0</f>
        <v>0</v>
      </c>
      <c r="AII70" s="20" t="n">
        <f aca="false">IF(ALV69&gt;0,API69-API69*UI70/ALV69,0)+0</f>
        <v>0</v>
      </c>
      <c r="AIJ70" s="20" t="n">
        <f aca="false">IF(ALW69&gt;0,APJ69-APJ69*UJ70/ALW69,0)+0</f>
        <v>0</v>
      </c>
      <c r="AIK70" s="20" t="n">
        <f aca="false">IF(ALX69&gt;0,APK69-APK69*UK70/ALX69,0)+0</f>
        <v>0</v>
      </c>
      <c r="AIL70" s="20" t="n">
        <f aca="false">IF(ALY69&gt;0,APL69-APL69*UL70/ALY69,0)+0</f>
        <v>0</v>
      </c>
      <c r="AIM70" s="20" t="n">
        <f aca="false">IF(ALZ69&gt;0,APM69-APM69*UM70/ALZ69,0)+0</f>
        <v>0</v>
      </c>
      <c r="AIN70" s="20" t="n">
        <f aca="false">IF(AMA69&gt;0,APN69-APN69*UN70/AMA69,0)+0</f>
        <v>0</v>
      </c>
      <c r="AIO70" s="20" t="n">
        <f aca="false">IF(AMB69&gt;0,APO69-APO69*UO70/AMB69,0)+0</f>
        <v>0</v>
      </c>
      <c r="AIP70" s="20" t="n">
        <f aca="false">IF(AMC69&gt;0,APP69-APP69*UP70/AMC69,0)+0</f>
        <v>0</v>
      </c>
      <c r="AIQ70" s="20" t="n">
        <f aca="false">IF(AMD69&gt;0,APQ69-APQ69*UQ70/AMD69,0)+0</f>
        <v>0</v>
      </c>
      <c r="AIR70" s="20" t="n">
        <f aca="false">IF(AME69&gt;0,APR69-APR69*UR70/AME69,0)+0</f>
        <v>0</v>
      </c>
      <c r="AIS70" s="20" t="n">
        <f aca="false">IF(AMF69&gt;0,APS69-APS69*US70/AMF69,0)+0</f>
        <v>0</v>
      </c>
      <c r="AIT70" s="20" t="n">
        <f aca="false">IF(AMG69&gt;0,APT69-APT69*UT70/AMG69,0)+0</f>
        <v>0</v>
      </c>
      <c r="AIU70" s="20" t="n">
        <f aca="false">IF(AMH69&gt;0,APU69-APU69*UU70/AMH69,0)+0</f>
        <v>0</v>
      </c>
      <c r="AIV70" s="20" t="n">
        <f aca="false">IF(AMI69&gt;0,APV69-APV69*UV70/AMI69,0)+0</f>
        <v>0</v>
      </c>
      <c r="AIW70" s="20" t="n">
        <f aca="false">IF(AMJ69&gt;0,APW69-APW69*UW70/AMJ69,0)+0</f>
        <v>0</v>
      </c>
      <c r="AIX70" s="20" t="n">
        <f aca="false">IF(AMK69&gt;0,APX69-APX69*UX70/AMK69,0)+0</f>
        <v>0</v>
      </c>
      <c r="AIY70" s="20" t="n">
        <f aca="false">IF(AML69&gt;0,APY69-APY69*UY70/AML69,0)+0</f>
        <v>0</v>
      </c>
      <c r="AIZ70" s="20" t="n">
        <f aca="false">IF(AMM69&gt;0,APZ69-APZ69*UZ70/AMM69,0)+0</f>
        <v>0</v>
      </c>
      <c r="AJA70" s="20" t="n">
        <f aca="false">IF(AMN69&gt;0,AQA69-AQA69*VA70/AMN69,0)+0</f>
        <v>0</v>
      </c>
      <c r="AJB70" s="20" t="n">
        <f aca="false">IF(AMO69&gt;0,AQB69-AQB69*VB70/AMO69,0)+0</f>
        <v>0</v>
      </c>
      <c r="AJC70" s="20" t="n">
        <f aca="false">IF(AMP69&gt;0,AQC69-AQC69*VC70/AMP69,0)+0</f>
        <v>0</v>
      </c>
      <c r="AJD70" s="20" t="n">
        <f aca="false">IF(AMQ69&gt;0,AQD69-AQD69*VD70/AMQ69,0)+0</f>
        <v>0</v>
      </c>
      <c r="AJE70" s="20" t="n">
        <f aca="false">IF(AMR69&gt;0,AQE69-AQE69*VE70/AMR69,0)+0</f>
        <v>0</v>
      </c>
      <c r="AJF70" s="20" t="n">
        <f aca="false">IF(AMS69&gt;0,AQF69-AQF69*VF70/AMS69,0)+0</f>
        <v>0</v>
      </c>
      <c r="AJG70" s="20" t="n">
        <f aca="false">IF(AMT69&gt;0,AQG69-AQG69*VG70/AMT69,0)+0</f>
        <v>0</v>
      </c>
      <c r="AJH70" s="20" t="n">
        <f aca="false">IF(AMU69&gt;0,AQH69-AQH69*VH70/AMU69,0)+0</f>
        <v>0</v>
      </c>
      <c r="AJI70" s="20" t="n">
        <f aca="false">IF(AMV69&gt;0,AQI69-AQI69*VI70/AMV69,0)+0</f>
        <v>0</v>
      </c>
      <c r="AJJ70" s="20" t="n">
        <f aca="false">IF(AMW69&gt;0,AQJ69-AQJ69*VJ70/AMW69,0)+0</f>
        <v>0</v>
      </c>
      <c r="AJK70" s="20" t="n">
        <f aca="false">IF(AMX69&gt;0,AQK69-AQK69*VK70/AMX69,0)+0</f>
        <v>0</v>
      </c>
      <c r="AJL70" s="20" t="n">
        <f aca="false">IF(AMY69&gt;0,AQL69-AQL69*VL70/AMY69,0)+0</f>
        <v>0</v>
      </c>
      <c r="AJM70" s="20" t="n">
        <f aca="false">IF(AMZ69&gt;0,AQM69-AQM69*VM70/AMZ69,0)+0</f>
        <v>0</v>
      </c>
      <c r="AJN70" s="20" t="n">
        <f aca="false">IF(ANA69&gt;0,AQN69-AQN69*VN70/ANA69,0)+0</f>
        <v>0</v>
      </c>
      <c r="AJO70" s="20" t="n">
        <f aca="false">IF(ANB69&gt;0,AQO69-AQO69*VO70/ANB69,0)+0</f>
        <v>0</v>
      </c>
      <c r="AJP70" s="20" t="n">
        <f aca="false">IF((P70+S70)&gt;0,(P70+S70)-(P70+S70)*VP70/(P70+S70),0)+BE70</f>
        <v>0</v>
      </c>
      <c r="AJQ70" s="20" t="n">
        <v>0</v>
      </c>
      <c r="AJR70" s="20" t="n">
        <v>0</v>
      </c>
      <c r="AJS70" s="20" t="n">
        <v>0</v>
      </c>
      <c r="AJT70" s="20" t="n">
        <v>0</v>
      </c>
      <c r="AJU70" s="20" t="n">
        <v>0</v>
      </c>
      <c r="AJV70" s="20" t="n">
        <v>0</v>
      </c>
      <c r="AJW70" s="20" t="n">
        <v>0</v>
      </c>
      <c r="AJX70" s="20" t="n">
        <v>0</v>
      </c>
      <c r="AJY70" s="20" t="n">
        <v>0</v>
      </c>
      <c r="AJZ70" s="20" t="n">
        <v>0</v>
      </c>
      <c r="AKA70" s="20" t="n">
        <v>0</v>
      </c>
      <c r="AKB70" s="20" t="n">
        <v>0</v>
      </c>
      <c r="AKC70" s="20" t="n">
        <v>0</v>
      </c>
      <c r="AKD70" s="20" t="n">
        <v>0</v>
      </c>
      <c r="AKE70" s="20" t="n">
        <v>0</v>
      </c>
      <c r="AKF70" s="20" t="n">
        <v>0</v>
      </c>
      <c r="AKG70" s="20" t="n">
        <v>0</v>
      </c>
      <c r="AKH70" s="20" t="n">
        <v>0</v>
      </c>
      <c r="AKI70" s="20" t="n">
        <v>0</v>
      </c>
      <c r="AKJ70" s="20" t="n">
        <v>0</v>
      </c>
      <c r="AKK70" s="20" t="n">
        <v>0</v>
      </c>
      <c r="AKL70" s="20" t="n">
        <v>0</v>
      </c>
      <c r="AKM70" s="20" t="n">
        <v>0</v>
      </c>
      <c r="AKN70" s="20" t="n">
        <v>0</v>
      </c>
      <c r="AKO70" s="20" t="n">
        <v>0</v>
      </c>
      <c r="AKP70" s="20" t="n">
        <v>0</v>
      </c>
      <c r="AKQ70" s="20" t="n">
        <v>0</v>
      </c>
      <c r="AKR70" s="20" t="n">
        <f aca="false">ADR70-AVE70</f>
        <v>0</v>
      </c>
      <c r="AKS70" s="20" t="n">
        <f aca="false">ADS70-AVF70</f>
        <v>0</v>
      </c>
      <c r="AKT70" s="20" t="n">
        <f aca="false">ADT70-AVG70</f>
        <v>0</v>
      </c>
      <c r="AKU70" s="20" t="n">
        <f aca="false">ADU70-AVH70</f>
        <v>0</v>
      </c>
      <c r="AKV70" s="20" t="n">
        <f aca="false">ADV70-AVI70</f>
        <v>0</v>
      </c>
      <c r="AKW70" s="20" t="n">
        <f aca="false">ADW70-AVJ70</f>
        <v>0</v>
      </c>
      <c r="AKX70" s="20" t="n">
        <f aca="false">ADX70-AVK70</f>
        <v>0</v>
      </c>
      <c r="AKY70" s="20" t="n">
        <f aca="false">ADY70-AVL70</f>
        <v>0</v>
      </c>
      <c r="AKZ70" s="20" t="n">
        <f aca="false">ADZ70-AVM70</f>
        <v>0</v>
      </c>
      <c r="ALA70" s="20" t="n">
        <f aca="false">AEA70-AVN70</f>
        <v>0</v>
      </c>
      <c r="ALB70" s="20" t="n">
        <f aca="false">AEB70-AVO70</f>
        <v>0</v>
      </c>
      <c r="ALC70" s="20" t="n">
        <f aca="false">AEC70-AVP70</f>
        <v>0</v>
      </c>
      <c r="ALD70" s="20" t="n">
        <f aca="false">AED70-AVQ70</f>
        <v>0</v>
      </c>
      <c r="ALE70" s="20" t="n">
        <f aca="false">AEE70-AVR70</f>
        <v>0</v>
      </c>
      <c r="ALF70" s="20" t="n">
        <f aca="false">AEF70-AVS70</f>
        <v>0</v>
      </c>
      <c r="ALG70" s="20" t="n">
        <f aca="false">AEG70-AVT70</f>
        <v>0</v>
      </c>
      <c r="ALH70" s="20" t="n">
        <f aca="false">AEH70-AVU70</f>
        <v>0</v>
      </c>
      <c r="ALI70" s="20" t="n">
        <f aca="false">AEI70-AVV70</f>
        <v>0</v>
      </c>
      <c r="ALJ70" s="20" t="n">
        <f aca="false">AEJ70-AVW70</f>
        <v>0</v>
      </c>
      <c r="ALK70" s="20" t="n">
        <f aca="false">AEK70-AVX70</f>
        <v>0</v>
      </c>
      <c r="ALL70" s="20" t="n">
        <f aca="false">AEL70-AVY70</f>
        <v>0</v>
      </c>
      <c r="ALM70" s="20" t="n">
        <f aca="false">AEM70-AVZ70</f>
        <v>0</v>
      </c>
      <c r="ALN70" s="20" t="n">
        <f aca="false">AEN70-AWA70</f>
        <v>0</v>
      </c>
      <c r="ALO70" s="20" t="n">
        <f aca="false">AEO70-AWB70</f>
        <v>0</v>
      </c>
      <c r="ALP70" s="20" t="n">
        <f aca="false">AEP70-AWC70</f>
        <v>0</v>
      </c>
      <c r="ALQ70" s="20" t="n">
        <f aca="false">AEQ70-AWD70</f>
        <v>0</v>
      </c>
      <c r="ALR70" s="20" t="n">
        <f aca="false">AER70-AWE70</f>
        <v>0</v>
      </c>
      <c r="ALS70" s="20" t="n">
        <f aca="false">AES70-AWF70</f>
        <v>0</v>
      </c>
      <c r="ALT70" s="20" t="n">
        <f aca="false">AET70-AWG70</f>
        <v>0</v>
      </c>
      <c r="ALU70" s="20" t="n">
        <f aca="false">AEU70-AWH70</f>
        <v>0</v>
      </c>
      <c r="ALV70" s="20" t="n">
        <f aca="false">AEV70-AWI70</f>
        <v>0</v>
      </c>
      <c r="ALW70" s="20" t="n">
        <f aca="false">AEW70-AWJ70</f>
        <v>0</v>
      </c>
      <c r="ALX70" s="20" t="n">
        <f aca="false">AEX70-AWK70</f>
        <v>0</v>
      </c>
      <c r="ALY70" s="20" t="n">
        <f aca="false">AEY70-AWL70</f>
        <v>0</v>
      </c>
      <c r="ALZ70" s="20" t="n">
        <f aca="false">AEZ70-AWM70</f>
        <v>0</v>
      </c>
      <c r="AMA70" s="20" t="n">
        <f aca="false">AFA70-AWN70</f>
        <v>0</v>
      </c>
      <c r="AMB70" s="20" t="n">
        <f aca="false">AFB70-AWO70</f>
        <v>0</v>
      </c>
      <c r="AMC70" s="20" t="n">
        <f aca="false">AFC70-AWP70</f>
        <v>0</v>
      </c>
      <c r="AMD70" s="20" t="n">
        <f aca="false">AFD70-AWQ70</f>
        <v>0</v>
      </c>
      <c r="AME70" s="20" t="n">
        <f aca="false">AFE70-AWR70</f>
        <v>0</v>
      </c>
      <c r="AMF70" s="20" t="n">
        <f aca="false">AFF70-AWS70</f>
        <v>0</v>
      </c>
      <c r="AMG70" s="20" t="n">
        <f aca="false">AFG70-AWT70</f>
        <v>0</v>
      </c>
      <c r="AMH70" s="20" t="n">
        <f aca="false">AFH70-AWU70</f>
        <v>0</v>
      </c>
      <c r="AMI70" s="20" t="n">
        <f aca="false">AFI70-AWV70</f>
        <v>0</v>
      </c>
      <c r="AMJ70" s="20" t="n">
        <f aca="false">AFJ70-AWW70</f>
        <v>0</v>
      </c>
      <c r="AMK70" s="20" t="n">
        <f aca="false">AFK70-AWX70</f>
        <v>0</v>
      </c>
      <c r="AML70" s="20" t="n">
        <f aca="false">AFL70-AWY70</f>
        <v>0</v>
      </c>
      <c r="AMM70" s="20" t="n">
        <f aca="false">AFM70-AWZ70</f>
        <v>0</v>
      </c>
      <c r="AMN70" s="20" t="n">
        <f aca="false">AFN70-AXA70</f>
        <v>0</v>
      </c>
      <c r="AMO70" s="20" t="n">
        <f aca="false">AFO70-AXB70</f>
        <v>0</v>
      </c>
      <c r="AMP70" s="20" t="n">
        <f aca="false">AFP70-AXC70</f>
        <v>0</v>
      </c>
      <c r="AMQ70" s="20" t="n">
        <f aca="false">AFQ70-AXD70</f>
        <v>0</v>
      </c>
      <c r="AMR70" s="20" t="n">
        <f aca="false">AFR70-AXE70</f>
        <v>0</v>
      </c>
      <c r="AMS70" s="20" t="n">
        <f aca="false">AFS70-AXF70</f>
        <v>0</v>
      </c>
      <c r="AMT70" s="20" t="n">
        <f aca="false">AFT70-AXG70</f>
        <v>0</v>
      </c>
      <c r="AMU70" s="20" t="n">
        <f aca="false">AFU70-AXH70</f>
        <v>0</v>
      </c>
      <c r="AMV70" s="20" t="n">
        <f aca="false">AFV70-AXI70</f>
        <v>0</v>
      </c>
      <c r="AMW70" s="20" t="n">
        <f aca="false">AFW70-AXJ70</f>
        <v>0</v>
      </c>
      <c r="AMX70" s="20" t="n">
        <f aca="false">AFX70-AXK70</f>
        <v>0</v>
      </c>
      <c r="AMY70" s="20" t="n">
        <f aca="false">AFY70-AXL70</f>
        <v>0</v>
      </c>
      <c r="AMZ70" s="20" t="n">
        <f aca="false">AFZ70-AXM70</f>
        <v>0</v>
      </c>
      <c r="ANA70" s="20" t="n">
        <f aca="false">AGA70-AXN70</f>
        <v>0</v>
      </c>
      <c r="ANB70" s="20" t="n">
        <f aca="false">AGB70-AXO70</f>
        <v>0</v>
      </c>
      <c r="ANC70" s="20" t="n">
        <f aca="false">AGC70-AXP70</f>
        <v>0</v>
      </c>
      <c r="AND70" s="20" t="n">
        <v>0</v>
      </c>
      <c r="ANE70" s="20" t="n">
        <v>0</v>
      </c>
      <c r="ANF70" s="20" t="n">
        <v>0</v>
      </c>
      <c r="ANG70" s="20" t="n">
        <v>0</v>
      </c>
      <c r="ANH70" s="20" t="n">
        <v>0</v>
      </c>
      <c r="ANI70" s="20" t="n">
        <v>0</v>
      </c>
      <c r="ANJ70" s="20" t="n">
        <v>0</v>
      </c>
      <c r="ANK70" s="20" t="n">
        <v>0</v>
      </c>
      <c r="ANL70" s="20" t="n">
        <v>0</v>
      </c>
      <c r="ANM70" s="20" t="n">
        <v>0</v>
      </c>
      <c r="ANN70" s="20" t="n">
        <v>0</v>
      </c>
      <c r="ANO70" s="20" t="n">
        <v>0</v>
      </c>
      <c r="ANP70" s="20" t="n">
        <v>0</v>
      </c>
      <c r="ANQ70" s="20" t="n">
        <v>0</v>
      </c>
      <c r="ANR70" s="20" t="n">
        <v>0</v>
      </c>
      <c r="ANS70" s="20" t="n">
        <v>0</v>
      </c>
      <c r="ANT70" s="20" t="n">
        <v>0</v>
      </c>
      <c r="ANU70" s="20" t="n">
        <v>0</v>
      </c>
      <c r="ANV70" s="20" t="n">
        <v>0</v>
      </c>
      <c r="ANW70" s="20" t="n">
        <v>0</v>
      </c>
      <c r="ANX70" s="20" t="n">
        <v>0</v>
      </c>
      <c r="ANY70" s="20" t="n">
        <v>0</v>
      </c>
      <c r="ANZ70" s="20" t="n">
        <v>0</v>
      </c>
      <c r="AOA70" s="20" t="n">
        <v>0</v>
      </c>
      <c r="AOB70" s="20" t="n">
        <v>0</v>
      </c>
      <c r="AOC70" s="20" t="n">
        <v>0</v>
      </c>
      <c r="AOD70" s="20" t="n">
        <v>0</v>
      </c>
      <c r="AOE70" s="20" t="n">
        <f aca="false">IF(AND(H_Direct=0,H_TaxEvt=1,ARR69+1&gt;=H_Deemed),AKR70,AHE70)</f>
        <v>0</v>
      </c>
      <c r="AOF70" s="20" t="n">
        <f aca="false">IF(AND(H_Direct=0,H_TaxEvt=1,ARS69+1&gt;=H_Deemed),AKS70,AHF70)</f>
        <v>0</v>
      </c>
      <c r="AOG70" s="20" t="n">
        <f aca="false">IF(AND(H_Direct=0,H_TaxEvt=1,ART69+1&gt;=H_Deemed),AKT70,AHG70)</f>
        <v>0</v>
      </c>
      <c r="AOH70" s="20" t="n">
        <f aca="false">IF(AND(H_Direct=0,H_TaxEvt=1,ARU69+1&gt;=H_Deemed),AKU70,AHH70)</f>
        <v>0</v>
      </c>
      <c r="AOI70" s="20" t="n">
        <f aca="false">IF(AND(H_Direct=0,H_TaxEvt=1,ARV69+1&gt;=H_Deemed),AKV70,AHI70)</f>
        <v>0</v>
      </c>
      <c r="AOJ70" s="20" t="n">
        <f aca="false">IF(AND(H_Direct=0,H_TaxEvt=1,ARW69+1&gt;=H_Deemed),AKW70,AHJ70)</f>
        <v>0</v>
      </c>
      <c r="AOK70" s="20" t="n">
        <f aca="false">IF(AND(H_Direct=0,H_TaxEvt=1,ARX69+1&gt;=H_Deemed),AKX70,AHK70)</f>
        <v>0</v>
      </c>
      <c r="AOL70" s="20" t="n">
        <f aca="false">IF(AND(H_Direct=0,H_TaxEvt=1,ARY69+1&gt;=H_Deemed),AKY70,AHL70)</f>
        <v>0</v>
      </c>
      <c r="AOM70" s="20" t="n">
        <f aca="false">IF(AND(H_Direct=0,H_TaxEvt=1,ARZ69+1&gt;=H_Deemed),AKZ70,AHM70)</f>
        <v>0</v>
      </c>
      <c r="AON70" s="20" t="n">
        <f aca="false">IF(AND(H_Direct=0,H_TaxEvt=1,ASA69+1&gt;=H_Deemed),ALA70,AHN70)</f>
        <v>0</v>
      </c>
      <c r="AOO70" s="20" t="n">
        <f aca="false">IF(AND(H_Direct=0,H_TaxEvt=1,ASB69+1&gt;=H_Deemed),ALB70,AHO70)</f>
        <v>0</v>
      </c>
      <c r="AOP70" s="20" t="n">
        <f aca="false">IF(AND(H_Direct=0,H_TaxEvt=1,ASC69+1&gt;=H_Deemed),ALC70,AHP70)</f>
        <v>0</v>
      </c>
      <c r="AOQ70" s="20" t="n">
        <f aca="false">IF(AND(H_Direct=0,H_TaxEvt=1,ASD69+1&gt;=H_Deemed),ALD70,AHQ70)</f>
        <v>0</v>
      </c>
      <c r="AOR70" s="20" t="n">
        <f aca="false">IF(AND(H_Direct=0,H_TaxEvt=1,ASE69+1&gt;=H_Deemed),ALE70,AHR70)</f>
        <v>0</v>
      </c>
      <c r="AOS70" s="20" t="n">
        <f aca="false">IF(AND(H_Direct=0,H_TaxEvt=1,ASF69+1&gt;=H_Deemed),ALF70,AHS70)</f>
        <v>0</v>
      </c>
      <c r="AOT70" s="20" t="n">
        <f aca="false">IF(AND(H_Direct=0,H_TaxEvt=1,ASG69+1&gt;=H_Deemed),ALG70,AHT70)</f>
        <v>0</v>
      </c>
      <c r="AOU70" s="20" t="n">
        <f aca="false">IF(AND(H_Direct=0,H_TaxEvt=1,ASH69+1&gt;=H_Deemed),ALH70,AHU70)</f>
        <v>0</v>
      </c>
      <c r="AOV70" s="20" t="n">
        <f aca="false">IF(AND(H_Direct=0,H_TaxEvt=1,ASI69+1&gt;=H_Deemed),ALI70,AHV70)</f>
        <v>0</v>
      </c>
      <c r="AOW70" s="20" t="n">
        <f aca="false">IF(AND(H_Direct=0,H_TaxEvt=1,ASJ69+1&gt;=H_Deemed),ALJ70,AHW70)</f>
        <v>0</v>
      </c>
      <c r="AOX70" s="20" t="n">
        <f aca="false">IF(AND(H_Direct=0,H_TaxEvt=1,ASK69+1&gt;=H_Deemed),ALK70,AHX70)</f>
        <v>0</v>
      </c>
      <c r="AOY70" s="20" t="n">
        <f aca="false">IF(AND(H_Direct=0,H_TaxEvt=1,ASL69+1&gt;=H_Deemed),ALL70,AHY70)</f>
        <v>0</v>
      </c>
      <c r="AOZ70" s="20" t="n">
        <f aca="false">IF(AND(H_Direct=0,H_TaxEvt=1,ASM69+1&gt;=H_Deemed),ALM70,AHZ70)</f>
        <v>0</v>
      </c>
      <c r="APA70" s="20" t="n">
        <f aca="false">IF(AND(H_Direct=0,H_TaxEvt=1,ASN69+1&gt;=H_Deemed),ALN70,AIA70)</f>
        <v>0</v>
      </c>
      <c r="APB70" s="20" t="n">
        <f aca="false">IF(AND(H_Direct=0,H_TaxEvt=1,ASO69+1&gt;=H_Deemed),ALO70,AIB70)</f>
        <v>0</v>
      </c>
      <c r="APC70" s="20" t="n">
        <f aca="false">IF(AND(H_Direct=0,H_TaxEvt=1,ASP69+1&gt;=H_Deemed),ALP70,AIC70)</f>
        <v>0</v>
      </c>
      <c r="APD70" s="20" t="n">
        <f aca="false">IF(AND(H_Direct=0,H_TaxEvt=1,ASQ69+1&gt;=H_Deemed),ALQ70,AID70)</f>
        <v>0</v>
      </c>
      <c r="APE70" s="20" t="n">
        <f aca="false">IF(AND(H_Direct=0,H_TaxEvt=1,ASR69+1&gt;=H_Deemed),ALR70,AIE70)</f>
        <v>0</v>
      </c>
      <c r="APF70" s="20" t="n">
        <f aca="false">IF(AND(H_Direct=0,H_TaxEvt=1,ASS69+1&gt;=H_Deemed),ALS70,AIF70)</f>
        <v>0</v>
      </c>
      <c r="APG70" s="20" t="n">
        <f aca="false">IF(AND(H_Direct=0,H_TaxEvt=1,AST69+1&gt;=H_Deemed),ALT70,AIG70)</f>
        <v>0</v>
      </c>
      <c r="APH70" s="20" t="n">
        <f aca="false">IF(AND(H_Direct=0,H_TaxEvt=1,ASU69+1&gt;=H_Deemed),ALU70,AIH70)</f>
        <v>0</v>
      </c>
      <c r="API70" s="20" t="n">
        <f aca="false">IF(AND(H_Direct=0,H_TaxEvt=1,ASV69+1&gt;=H_Deemed),ALV70,AII70)</f>
        <v>0</v>
      </c>
      <c r="APJ70" s="20" t="n">
        <f aca="false">IF(AND(H_Direct=0,H_TaxEvt=1,ASW69+1&gt;=H_Deemed),ALW70,AIJ70)</f>
        <v>0</v>
      </c>
      <c r="APK70" s="20" t="n">
        <f aca="false">IF(AND(H_Direct=0,H_TaxEvt=1,ASX69+1&gt;=H_Deemed),ALX70,AIK70)</f>
        <v>0</v>
      </c>
      <c r="APL70" s="20" t="n">
        <f aca="false">IF(AND(H_Direct=0,H_TaxEvt=1,ASY69+1&gt;=H_Deemed),ALY70,AIL70)</f>
        <v>0</v>
      </c>
      <c r="APM70" s="20" t="n">
        <f aca="false">IF(AND(H_Direct=0,H_TaxEvt=1,ASZ69+1&gt;=H_Deemed),ALZ70,AIM70)</f>
        <v>0</v>
      </c>
      <c r="APN70" s="20" t="n">
        <f aca="false">IF(AND(H_Direct=0,H_TaxEvt=1,ATA69+1&gt;=H_Deemed),AMA70,AIN70)</f>
        <v>0</v>
      </c>
      <c r="APO70" s="20" t="n">
        <f aca="false">IF(AND(H_Direct=0,H_TaxEvt=1,ATB69+1&gt;=H_Deemed),AMB70,AIO70)</f>
        <v>0</v>
      </c>
      <c r="APP70" s="20" t="n">
        <f aca="false">IF(AND(H_Direct=0,H_TaxEvt=1,ATC69+1&gt;=H_Deemed),AMC70,AIP70)</f>
        <v>0</v>
      </c>
      <c r="APQ70" s="20" t="n">
        <f aca="false">IF(AND(H_Direct=0,H_TaxEvt=1,ATD69+1&gt;=H_Deemed),AMD70,AIQ70)</f>
        <v>0</v>
      </c>
      <c r="APR70" s="20" t="n">
        <f aca="false">IF(AND(H_Direct=0,H_TaxEvt=1,ATE69+1&gt;=H_Deemed),AME70,AIR70)</f>
        <v>0</v>
      </c>
      <c r="APS70" s="20" t="n">
        <f aca="false">IF(AND(H_Direct=0,H_TaxEvt=1,ATF69+1&gt;=H_Deemed),AMF70,AIS70)</f>
        <v>0</v>
      </c>
      <c r="APT70" s="20" t="n">
        <f aca="false">IF(AND(H_Direct=0,H_TaxEvt=1,ATG69+1&gt;=H_Deemed),AMG70,AIT70)</f>
        <v>0</v>
      </c>
      <c r="APU70" s="20" t="n">
        <f aca="false">IF(AND(H_Direct=0,H_TaxEvt=1,ATH69+1&gt;=H_Deemed),AMH70,AIU70)</f>
        <v>0</v>
      </c>
      <c r="APV70" s="20" t="n">
        <f aca="false">IF(AND(H_Direct=0,H_TaxEvt=1,ATI69+1&gt;=H_Deemed),AMI70,AIV70)</f>
        <v>0</v>
      </c>
      <c r="APW70" s="20" t="n">
        <f aca="false">IF(AND(H_Direct=0,H_TaxEvt=1,ATJ69+1&gt;=H_Deemed),AMJ70,AIW70)</f>
        <v>0</v>
      </c>
      <c r="APX70" s="20" t="n">
        <f aca="false">IF(AND(H_Direct=0,H_TaxEvt=1,ATK69+1&gt;=H_Deemed),AMK70,AIX70)</f>
        <v>0</v>
      </c>
      <c r="APY70" s="20" t="n">
        <f aca="false">IF(AND(H_Direct=0,H_TaxEvt=1,ATL69+1&gt;=H_Deemed),AML70,AIY70)</f>
        <v>0</v>
      </c>
      <c r="APZ70" s="20" t="n">
        <f aca="false">IF(AND(H_Direct=0,H_TaxEvt=1,ATM69+1&gt;=H_Deemed),AMM70,AIZ70)</f>
        <v>0</v>
      </c>
      <c r="AQA70" s="20" t="n">
        <f aca="false">IF(AND(H_Direct=0,H_TaxEvt=1,ATN69+1&gt;=H_Deemed),AMN70,AJA70)</f>
        <v>0</v>
      </c>
      <c r="AQB70" s="20" t="n">
        <f aca="false">IF(AND(H_Direct=0,H_TaxEvt=1,ATO69+1&gt;=H_Deemed),AMO70,AJB70)</f>
        <v>0</v>
      </c>
      <c r="AQC70" s="20" t="n">
        <f aca="false">IF(AND(H_Direct=0,H_TaxEvt=1,ATP69+1&gt;=H_Deemed),AMP70,AJC70)</f>
        <v>0</v>
      </c>
      <c r="AQD70" s="20" t="n">
        <f aca="false">IF(AND(H_Direct=0,H_TaxEvt=1,ATQ69+1&gt;=H_Deemed),AMQ70,AJD70)</f>
        <v>0</v>
      </c>
      <c r="AQE70" s="20" t="n">
        <f aca="false">IF(AND(H_Direct=0,H_TaxEvt=1,ATR69+1&gt;=H_Deemed),AMR70,AJE70)</f>
        <v>0</v>
      </c>
      <c r="AQF70" s="20" t="n">
        <f aca="false">IF(AND(H_Direct=0,H_TaxEvt=1,ATS69+1&gt;=H_Deemed),AMS70,AJF70)</f>
        <v>0</v>
      </c>
      <c r="AQG70" s="20" t="n">
        <f aca="false">IF(AND(H_Direct=0,H_TaxEvt=1,ATT69+1&gt;=H_Deemed),AMT70,AJG70)</f>
        <v>0</v>
      </c>
      <c r="AQH70" s="20" t="n">
        <f aca="false">IF(AND(H_Direct=0,H_TaxEvt=1,ATU69+1&gt;=H_Deemed),AMU70,AJH70)</f>
        <v>0</v>
      </c>
      <c r="AQI70" s="20" t="n">
        <f aca="false">IF(AND(H_Direct=0,H_TaxEvt=1,ATV69+1&gt;=H_Deemed),AMV70,AJI70)</f>
        <v>0</v>
      </c>
      <c r="AQJ70" s="20" t="n">
        <f aca="false">IF(AND(H_Direct=0,H_TaxEvt=1,ATW69+1&gt;=H_Deemed),AMW70,AJJ70)</f>
        <v>0</v>
      </c>
      <c r="AQK70" s="20" t="n">
        <f aca="false">IF(AND(H_Direct=0,H_TaxEvt=1,ATX69+1&gt;=H_Deemed),AMX70,AJK70)</f>
        <v>0</v>
      </c>
      <c r="AQL70" s="20" t="n">
        <f aca="false">IF(AND(H_Direct=0,H_TaxEvt=1,ATY69+1&gt;=H_Deemed),AMY70,AJL70)</f>
        <v>0</v>
      </c>
      <c r="AQM70" s="20" t="n">
        <f aca="false">IF(AND(H_Direct=0,H_TaxEvt=1,ATZ69+1&gt;=H_Deemed),AMZ70,AJM70)</f>
        <v>0</v>
      </c>
      <c r="AQN70" s="20" t="n">
        <f aca="false">IF(AND(H_Direct=0,H_TaxEvt=1,AUA69+1&gt;=H_Deemed),ANA70,AJN70)</f>
        <v>0</v>
      </c>
      <c r="AQO70" s="20" t="n">
        <f aca="false">IF(AND(H_Direct=0,H_TaxEvt=1,AUB69+1&gt;=H_Deemed),ANB70,AJO70)</f>
        <v>0</v>
      </c>
      <c r="AQP70" s="20" t="n">
        <f aca="false">IF(AND(H_Direct=0,H_TaxEvt=1,0+1&gt;=H_Deemed),ANC70,AJP70)</f>
        <v>0</v>
      </c>
      <c r="AQQ70" s="20" t="n">
        <v>0</v>
      </c>
      <c r="AQR70" s="20" t="n">
        <v>0</v>
      </c>
      <c r="AQS70" s="20" t="n">
        <v>0</v>
      </c>
      <c r="AQT70" s="20" t="n">
        <v>0</v>
      </c>
      <c r="AQU70" s="20" t="n">
        <v>0</v>
      </c>
      <c r="AQV70" s="20" t="n">
        <v>0</v>
      </c>
      <c r="AQW70" s="20" t="n">
        <v>0</v>
      </c>
      <c r="AQX70" s="20" t="n">
        <v>0</v>
      </c>
      <c r="AQY70" s="20" t="n">
        <v>0</v>
      </c>
      <c r="AQZ70" s="20" t="n">
        <v>0</v>
      </c>
      <c r="ARA70" s="20" t="n">
        <v>0</v>
      </c>
      <c r="ARB70" s="20" t="n">
        <v>0</v>
      </c>
      <c r="ARC70" s="20" t="n">
        <v>0</v>
      </c>
      <c r="ARD70" s="20" t="n">
        <v>0</v>
      </c>
      <c r="ARE70" s="20" t="n">
        <v>0</v>
      </c>
      <c r="ARF70" s="20" t="n">
        <v>0</v>
      </c>
      <c r="ARG70" s="20" t="n">
        <v>0</v>
      </c>
      <c r="ARH70" s="20" t="n">
        <v>0</v>
      </c>
      <c r="ARI70" s="20" t="n">
        <v>0</v>
      </c>
      <c r="ARJ70" s="20" t="n">
        <v>0</v>
      </c>
      <c r="ARK70" s="20" t="n">
        <v>0</v>
      </c>
      <c r="ARL70" s="20" t="n">
        <v>0</v>
      </c>
      <c r="ARM70" s="20" t="n">
        <v>0</v>
      </c>
      <c r="ARN70" s="20" t="n">
        <v>0</v>
      </c>
      <c r="ARO70" s="20" t="n">
        <v>0</v>
      </c>
      <c r="ARP70" s="20" t="n">
        <v>0</v>
      </c>
      <c r="ARQ70" s="20" t="n">
        <v>0</v>
      </c>
      <c r="ARR70" s="20" t="n">
        <f aca="false">IF(AND(H_Direct=0,H_TaxEvt=1),IF(ARR69+1&gt;=H_Deemed,0,ARR69+1),ARR69)</f>
        <v>7</v>
      </c>
      <c r="ARS70" s="20" t="n">
        <f aca="false">IF(AND(H_Direct=0,H_TaxEvt=1),IF(ARS69+1&gt;=H_Deemed,0,ARS69+1),ARS69)</f>
        <v>7</v>
      </c>
      <c r="ART70" s="20" t="n">
        <f aca="false">IF(AND(H_Direct=0,H_TaxEvt=1),IF(ART69+1&gt;=H_Deemed,0,ART69+1),ART69)</f>
        <v>6</v>
      </c>
      <c r="ARU70" s="20" t="n">
        <f aca="false">IF(AND(H_Direct=0,H_TaxEvt=1),IF(ARU69+1&gt;=H_Deemed,0,ARU69+1),ARU69)</f>
        <v>5</v>
      </c>
      <c r="ARV70" s="20" t="n">
        <f aca="false">IF(AND(H_Direct=0,H_TaxEvt=1),IF(ARV69+1&gt;=H_Deemed,0,ARV69+1),ARV69)</f>
        <v>4</v>
      </c>
      <c r="ARW70" s="20" t="n">
        <f aca="false">IF(AND(H_Direct=0,H_TaxEvt=1),IF(ARW69+1&gt;=H_Deemed,0,ARW69+1),ARW69)</f>
        <v>3</v>
      </c>
      <c r="ARX70" s="20" t="n">
        <f aca="false">IF(AND(H_Direct=0,H_TaxEvt=1),IF(ARX69+1&gt;=H_Deemed,0,ARX69+1),ARX69)</f>
        <v>2</v>
      </c>
      <c r="ARY70" s="20" t="n">
        <f aca="false">IF(AND(H_Direct=0,H_TaxEvt=1),IF(ARY69+1&gt;=H_Deemed,0,ARY69+1),ARY69)</f>
        <v>1</v>
      </c>
      <c r="ARZ70" s="20" t="n">
        <f aca="false">IF(AND(H_Direct=0,H_TaxEvt=1),IF(ARZ69+1&gt;=H_Deemed,0,ARZ69+1),ARZ69)</f>
        <v>0</v>
      </c>
      <c r="ASA70" s="20" t="n">
        <f aca="false">IF(AND(H_Direct=0,H_TaxEvt=1),IF(ASA69+1&gt;=H_Deemed,0,ASA69+1),ASA69)</f>
        <v>7</v>
      </c>
      <c r="ASB70" s="20" t="n">
        <f aca="false">IF(AND(H_Direct=0,H_TaxEvt=1),IF(ASB69+1&gt;=H_Deemed,0,ASB69+1),ASB69)</f>
        <v>6</v>
      </c>
      <c r="ASC70" s="20" t="n">
        <f aca="false">IF(AND(H_Direct=0,H_TaxEvt=1),IF(ASC69+1&gt;=H_Deemed,0,ASC69+1),ASC69)</f>
        <v>5</v>
      </c>
      <c r="ASD70" s="20" t="n">
        <f aca="false">IF(AND(H_Direct=0,H_TaxEvt=1),IF(ASD69+1&gt;=H_Deemed,0,ASD69+1),ASD69)</f>
        <v>4</v>
      </c>
      <c r="ASE70" s="20" t="n">
        <f aca="false">IF(AND(H_Direct=0,H_TaxEvt=1),IF(ASE69+1&gt;=H_Deemed,0,ASE69+1),ASE69)</f>
        <v>3</v>
      </c>
      <c r="ASF70" s="20" t="n">
        <f aca="false">IF(AND(H_Direct=0,H_TaxEvt=1),IF(ASF69+1&gt;=H_Deemed,0,ASF69+1),ASF69)</f>
        <v>2</v>
      </c>
      <c r="ASG70" s="20" t="n">
        <f aca="false">IF(AND(H_Direct=0,H_TaxEvt=1),IF(ASG69+1&gt;=H_Deemed,0,ASG69+1),ASG69)</f>
        <v>1</v>
      </c>
      <c r="ASH70" s="20" t="n">
        <f aca="false">IF(AND(H_Direct=0,H_TaxEvt=1),IF(ASH69+1&gt;=H_Deemed,0,ASH69+1),ASH69)</f>
        <v>0</v>
      </c>
      <c r="ASI70" s="20" t="n">
        <f aca="false">IF(AND(H_Direct=0,H_TaxEvt=1),IF(ASI69+1&gt;=H_Deemed,0,ASI69+1),ASI69)</f>
        <v>7</v>
      </c>
      <c r="ASJ70" s="20" t="n">
        <f aca="false">IF(AND(H_Direct=0,H_TaxEvt=1),IF(ASJ69+1&gt;=H_Deemed,0,ASJ69+1),ASJ69)</f>
        <v>6</v>
      </c>
      <c r="ASK70" s="20" t="n">
        <f aca="false">IF(AND(H_Direct=0,H_TaxEvt=1),IF(ASK69+1&gt;=H_Deemed,0,ASK69+1),ASK69)</f>
        <v>5</v>
      </c>
      <c r="ASL70" s="20" t="n">
        <f aca="false">IF(AND(H_Direct=0,H_TaxEvt=1),IF(ASL69+1&gt;=H_Deemed,0,ASL69+1),ASL69)</f>
        <v>4</v>
      </c>
      <c r="ASM70" s="20" t="n">
        <f aca="false">IF(AND(H_Direct=0,H_TaxEvt=1),IF(ASM69+1&gt;=H_Deemed,0,ASM69+1),ASM69)</f>
        <v>3</v>
      </c>
      <c r="ASN70" s="20" t="n">
        <f aca="false">IF(AND(H_Direct=0,H_TaxEvt=1),IF(ASN69+1&gt;=H_Deemed,0,ASN69+1),ASN69)</f>
        <v>2</v>
      </c>
      <c r="ASO70" s="20" t="n">
        <f aca="false">IF(AND(H_Direct=0,H_TaxEvt=1),IF(ASO69+1&gt;=H_Deemed,0,ASO69+1),ASO69)</f>
        <v>1</v>
      </c>
      <c r="ASP70" s="20" t="n">
        <f aca="false">IF(AND(H_Direct=0,H_TaxEvt=1),IF(ASP69+1&gt;=H_Deemed,0,ASP69+1),ASP69)</f>
        <v>0</v>
      </c>
      <c r="ASQ70" s="20" t="n">
        <f aca="false">IF(AND(H_Direct=0,H_TaxEvt=1),IF(ASQ69+1&gt;=H_Deemed,0,ASQ69+1),ASQ69)</f>
        <v>7</v>
      </c>
      <c r="ASR70" s="20" t="n">
        <f aca="false">IF(AND(H_Direct=0,H_TaxEvt=1),IF(ASR69+1&gt;=H_Deemed,0,ASR69+1),ASR69)</f>
        <v>6</v>
      </c>
      <c r="ASS70" s="20" t="n">
        <f aca="false">IF(AND(H_Direct=0,H_TaxEvt=1),IF(ASS69+1&gt;=H_Deemed,0,ASS69+1),ASS69)</f>
        <v>5</v>
      </c>
      <c r="AST70" s="20" t="n">
        <f aca="false">IF(AND(H_Direct=0,H_TaxEvt=1),IF(AST69+1&gt;=H_Deemed,0,AST69+1),AST69)</f>
        <v>4</v>
      </c>
      <c r="ASU70" s="20" t="n">
        <f aca="false">IF(AND(H_Direct=0,H_TaxEvt=1),IF(ASU69+1&gt;=H_Deemed,0,ASU69+1),ASU69)</f>
        <v>3</v>
      </c>
      <c r="ASV70" s="20" t="n">
        <f aca="false">IF(AND(H_Direct=0,H_TaxEvt=1),IF(ASV69+1&gt;=H_Deemed,0,ASV69+1),ASV69)</f>
        <v>2</v>
      </c>
      <c r="ASW70" s="20" t="n">
        <f aca="false">IF(AND(H_Direct=0,H_TaxEvt=1),IF(ASW69+1&gt;=H_Deemed,0,ASW69+1),ASW69)</f>
        <v>1</v>
      </c>
      <c r="ASX70" s="20" t="n">
        <f aca="false">IF(AND(H_Direct=0,H_TaxEvt=1),IF(ASX69+1&gt;=H_Deemed,0,ASX69+1),ASX69)</f>
        <v>0</v>
      </c>
      <c r="ASY70" s="20" t="n">
        <f aca="false">IF(AND(H_Direct=0,H_TaxEvt=1),IF(ASY69+1&gt;=H_Deemed,0,ASY69+1),ASY69)</f>
        <v>7</v>
      </c>
      <c r="ASZ70" s="20" t="n">
        <f aca="false">IF(AND(H_Direct=0,H_TaxEvt=1),IF(ASZ69+1&gt;=H_Deemed,0,ASZ69+1),ASZ69)</f>
        <v>6</v>
      </c>
      <c r="ATA70" s="20" t="n">
        <f aca="false">IF(AND(H_Direct=0,H_TaxEvt=1),IF(ATA69+1&gt;=H_Deemed,0,ATA69+1),ATA69)</f>
        <v>5</v>
      </c>
      <c r="ATB70" s="20" t="n">
        <f aca="false">IF(AND(H_Direct=0,H_TaxEvt=1),IF(ATB69+1&gt;=H_Deemed,0,ATB69+1),ATB69)</f>
        <v>4</v>
      </c>
      <c r="ATC70" s="20" t="n">
        <f aca="false">IF(AND(H_Direct=0,H_TaxEvt=1),IF(ATC69+1&gt;=H_Deemed,0,ATC69+1),ATC69)</f>
        <v>3</v>
      </c>
      <c r="ATD70" s="20" t="n">
        <f aca="false">IF(AND(H_Direct=0,H_TaxEvt=1),IF(ATD69+1&gt;=H_Deemed,0,ATD69+1),ATD69)</f>
        <v>2</v>
      </c>
      <c r="ATE70" s="20" t="n">
        <f aca="false">IF(AND(H_Direct=0,H_TaxEvt=1),IF(ATE69+1&gt;=H_Deemed,0,ATE69+1),ATE69)</f>
        <v>1</v>
      </c>
      <c r="ATF70" s="20" t="n">
        <f aca="false">IF(AND(H_Direct=0,H_TaxEvt=1),IF(ATF69+1&gt;=H_Deemed,0,ATF69+1),ATF69)</f>
        <v>0</v>
      </c>
      <c r="ATG70" s="20" t="n">
        <f aca="false">IF(AND(H_Direct=0,H_TaxEvt=1),IF(ATG69+1&gt;=H_Deemed,0,ATG69+1),ATG69)</f>
        <v>7</v>
      </c>
      <c r="ATH70" s="20" t="n">
        <f aca="false">IF(AND(H_Direct=0,H_TaxEvt=1),IF(ATH69+1&gt;=H_Deemed,0,ATH69+1),ATH69)</f>
        <v>6</v>
      </c>
      <c r="ATI70" s="20" t="n">
        <f aca="false">IF(AND(H_Direct=0,H_TaxEvt=1),IF(ATI69+1&gt;=H_Deemed,0,ATI69+1),ATI69)</f>
        <v>5</v>
      </c>
      <c r="ATJ70" s="20" t="n">
        <f aca="false">IF(AND(H_Direct=0,H_TaxEvt=1),IF(ATJ69+1&gt;=H_Deemed,0,ATJ69+1),ATJ69)</f>
        <v>4</v>
      </c>
      <c r="ATK70" s="20" t="n">
        <f aca="false">IF(AND(H_Direct=0,H_TaxEvt=1),IF(ATK69+1&gt;=H_Deemed,0,ATK69+1),ATK69)</f>
        <v>3</v>
      </c>
      <c r="ATL70" s="20" t="n">
        <f aca="false">IF(AND(H_Direct=0,H_TaxEvt=1),IF(ATL69+1&gt;=H_Deemed,0,ATL69+1),ATL69)</f>
        <v>2</v>
      </c>
      <c r="ATM70" s="20" t="n">
        <f aca="false">IF(AND(H_Direct=0,H_TaxEvt=1),IF(ATM69+1&gt;=H_Deemed,0,ATM69+1),ATM69)</f>
        <v>1</v>
      </c>
      <c r="ATN70" s="20" t="n">
        <f aca="false">IF(AND(H_Direct=0,H_TaxEvt=1),IF(ATN69+1&gt;=H_Deemed,0,ATN69+1),ATN69)</f>
        <v>0</v>
      </c>
      <c r="ATO70" s="20" t="n">
        <f aca="false">IF(AND(H_Direct=0,H_TaxEvt=1),IF(ATO69+1&gt;=H_Deemed,0,ATO69+1),ATO69)</f>
        <v>7</v>
      </c>
      <c r="ATP70" s="20" t="n">
        <f aca="false">IF(AND(H_Direct=0,H_TaxEvt=1),IF(ATP69+1&gt;=H_Deemed,0,ATP69+1),ATP69)</f>
        <v>6</v>
      </c>
      <c r="ATQ70" s="20" t="n">
        <f aca="false">IF(AND(H_Direct=0,H_TaxEvt=1),IF(ATQ69+1&gt;=H_Deemed,0,ATQ69+1),ATQ69)</f>
        <v>5</v>
      </c>
      <c r="ATR70" s="20" t="n">
        <f aca="false">IF(AND(H_Direct=0,H_TaxEvt=1),IF(ATR69+1&gt;=H_Deemed,0,ATR69+1),ATR69)</f>
        <v>4</v>
      </c>
      <c r="ATS70" s="20" t="n">
        <f aca="false">IF(AND(H_Direct=0,H_TaxEvt=1),IF(ATS69+1&gt;=H_Deemed,0,ATS69+1),ATS69)</f>
        <v>3</v>
      </c>
      <c r="ATT70" s="20" t="n">
        <f aca="false">IF(AND(H_Direct=0,H_TaxEvt=1),IF(ATT69+1&gt;=H_Deemed,0,ATT69+1),ATT69)</f>
        <v>2</v>
      </c>
      <c r="ATU70" s="20" t="n">
        <f aca="false">IF(AND(H_Direct=0,H_TaxEvt=1),IF(ATU69+1&gt;=H_Deemed,0,ATU69+1),ATU69)</f>
        <v>1</v>
      </c>
      <c r="ATV70" s="20" t="n">
        <f aca="false">IF(AND(H_Direct=0,H_TaxEvt=1),IF(ATV69+1&gt;=H_Deemed,0,ATV69+1),ATV69)</f>
        <v>0</v>
      </c>
      <c r="ATW70" s="20" t="n">
        <f aca="false">IF(AND(H_Direct=0,H_TaxEvt=1),IF(ATW69+1&gt;=H_Deemed,0,ATW69+1),ATW69)</f>
        <v>7</v>
      </c>
      <c r="ATX70" s="20" t="n">
        <f aca="false">IF(AND(H_Direct=0,H_TaxEvt=1),IF(ATX69+1&gt;=H_Deemed,0,ATX69+1),ATX69)</f>
        <v>6</v>
      </c>
      <c r="ATY70" s="20" t="n">
        <f aca="false">IF(AND(H_Direct=0,H_TaxEvt=1),IF(ATY69+1&gt;=H_Deemed,0,ATY69+1),ATY69)</f>
        <v>5</v>
      </c>
      <c r="ATZ70" s="20" t="n">
        <f aca="false">IF(AND(H_Direct=0,H_TaxEvt=1),IF(ATZ69+1&gt;=H_Deemed,0,ATZ69+1),ATZ69)</f>
        <v>4</v>
      </c>
      <c r="AUA70" s="20" t="n">
        <f aca="false">IF(AND(H_Direct=0,H_TaxEvt=1),IF(AUA69+1&gt;=H_Deemed,0,AUA69+1),AUA69)</f>
        <v>3</v>
      </c>
      <c r="AUB70" s="20" t="n">
        <f aca="false">IF(AND(H_Direct=0,H_TaxEvt=1),IF(AUB69+1&gt;=H_Deemed,0,AUB69+1),AUB69)</f>
        <v>2</v>
      </c>
      <c r="AUC70" s="20" t="n">
        <f aca="false">IF(AND(H_Direct=0,H_TaxEvt=1),IF(0+1&gt;=H_Deemed,0,0+1),0)</f>
        <v>1</v>
      </c>
      <c r="AUD70" s="20" t="n">
        <v>0</v>
      </c>
      <c r="AUE70" s="20" t="n">
        <v>0</v>
      </c>
      <c r="AUF70" s="20" t="n">
        <v>0</v>
      </c>
      <c r="AUG70" s="20" t="n">
        <v>0</v>
      </c>
      <c r="AUH70" s="20" t="n">
        <v>0</v>
      </c>
      <c r="AUI70" s="20" t="n">
        <v>0</v>
      </c>
      <c r="AUJ70" s="20" t="n">
        <v>0</v>
      </c>
      <c r="AUK70" s="20" t="n">
        <v>0</v>
      </c>
      <c r="AUL70" s="20" t="n">
        <v>0</v>
      </c>
      <c r="AUM70" s="20" t="n">
        <v>0</v>
      </c>
      <c r="AUN70" s="20" t="n">
        <v>0</v>
      </c>
      <c r="AUO70" s="20" t="n">
        <v>0</v>
      </c>
      <c r="AUP70" s="20" t="n">
        <v>0</v>
      </c>
      <c r="AUQ70" s="20" t="n">
        <v>0</v>
      </c>
      <c r="AUR70" s="20" t="n">
        <v>0</v>
      </c>
      <c r="AUS70" s="20" t="n">
        <v>0</v>
      </c>
      <c r="AUT70" s="20" t="n">
        <v>0</v>
      </c>
      <c r="AUU70" s="20" t="n">
        <v>0</v>
      </c>
      <c r="AUV70" s="20" t="n">
        <v>0</v>
      </c>
      <c r="AUW70" s="20" t="n">
        <v>0</v>
      </c>
      <c r="AUX70" s="20" t="n">
        <v>0</v>
      </c>
      <c r="AUY70" s="20" t="n">
        <v>0</v>
      </c>
      <c r="AUZ70" s="20" t="n">
        <v>0</v>
      </c>
      <c r="AVA70" s="20" t="n">
        <v>0</v>
      </c>
      <c r="AVB70" s="20" t="n">
        <v>0</v>
      </c>
      <c r="AVC70" s="20" t="n">
        <v>0</v>
      </c>
      <c r="AVD70" s="20" t="n">
        <v>0</v>
      </c>
      <c r="AVE70" s="20" t="n">
        <f aca="false">IF(AND(H_Direct=0,H_TaxEvt=1,ARR69+1&gt;=H_Deemed),MAX(0,ADR70-AHE70)*H_Exit,0)</f>
        <v>0</v>
      </c>
      <c r="AVF70" s="20" t="n">
        <f aca="false">IF(AND(H_Direct=0,H_TaxEvt=1,ARS69+1&gt;=H_Deemed),MAX(0,ADS70-AHF70)*H_Exit,0)</f>
        <v>0</v>
      </c>
      <c r="AVG70" s="20" t="n">
        <f aca="false">IF(AND(H_Direct=0,H_TaxEvt=1,ART69+1&gt;=H_Deemed),MAX(0,ADT70-AHG70)*H_Exit,0)</f>
        <v>0</v>
      </c>
      <c r="AVH70" s="20" t="n">
        <f aca="false">IF(AND(H_Direct=0,H_TaxEvt=1,ARU69+1&gt;=H_Deemed),MAX(0,ADU70-AHH70)*H_Exit,0)</f>
        <v>0</v>
      </c>
      <c r="AVI70" s="20" t="n">
        <f aca="false">IF(AND(H_Direct=0,H_TaxEvt=1,ARV69+1&gt;=H_Deemed),MAX(0,ADV70-AHI70)*H_Exit,0)</f>
        <v>0</v>
      </c>
      <c r="AVJ70" s="20" t="n">
        <f aca="false">IF(AND(H_Direct=0,H_TaxEvt=1,ARW69+1&gt;=H_Deemed),MAX(0,ADW70-AHJ70)*H_Exit,0)</f>
        <v>0</v>
      </c>
      <c r="AVK70" s="20" t="n">
        <f aca="false">IF(AND(H_Direct=0,H_TaxEvt=1,ARX69+1&gt;=H_Deemed),MAX(0,ADX70-AHK70)*H_Exit,0)</f>
        <v>0</v>
      </c>
      <c r="AVL70" s="20" t="n">
        <f aca="false">IF(AND(H_Direct=0,H_TaxEvt=1,ARY69+1&gt;=H_Deemed),MAX(0,ADY70-AHL70)*H_Exit,0)</f>
        <v>0</v>
      </c>
      <c r="AVM70" s="20" t="n">
        <f aca="false">IF(AND(H_Direct=0,H_TaxEvt=1,ARZ69+1&gt;=H_Deemed),MAX(0,ADZ70-AHM70)*H_Exit,0)</f>
        <v>0</v>
      </c>
      <c r="AVN70" s="20" t="n">
        <f aca="false">IF(AND(H_Direct=0,H_TaxEvt=1,ASA69+1&gt;=H_Deemed),MAX(0,AEA70-AHN70)*H_Exit,0)</f>
        <v>0</v>
      </c>
      <c r="AVO70" s="20" t="n">
        <f aca="false">IF(AND(H_Direct=0,H_TaxEvt=1,ASB69+1&gt;=H_Deemed),MAX(0,AEB70-AHO70)*H_Exit,0)</f>
        <v>0</v>
      </c>
      <c r="AVP70" s="20" t="n">
        <f aca="false">IF(AND(H_Direct=0,H_TaxEvt=1,ASC69+1&gt;=H_Deemed),MAX(0,AEC70-AHP70)*H_Exit,0)</f>
        <v>0</v>
      </c>
      <c r="AVQ70" s="20" t="n">
        <f aca="false">IF(AND(H_Direct=0,H_TaxEvt=1,ASD69+1&gt;=H_Deemed),MAX(0,AED70-AHQ70)*H_Exit,0)</f>
        <v>0</v>
      </c>
      <c r="AVR70" s="20" t="n">
        <f aca="false">IF(AND(H_Direct=0,H_TaxEvt=1,ASE69+1&gt;=H_Deemed),MAX(0,AEE70-AHR70)*H_Exit,0)</f>
        <v>0</v>
      </c>
      <c r="AVS70" s="20" t="n">
        <f aca="false">IF(AND(H_Direct=0,H_TaxEvt=1,ASF69+1&gt;=H_Deemed),MAX(0,AEF70-AHS70)*H_Exit,0)</f>
        <v>0</v>
      </c>
      <c r="AVT70" s="20" t="n">
        <f aca="false">IF(AND(H_Direct=0,H_TaxEvt=1,ASG69+1&gt;=H_Deemed),MAX(0,AEG70-AHT70)*H_Exit,0)</f>
        <v>0</v>
      </c>
      <c r="AVU70" s="20" t="n">
        <f aca="false">IF(AND(H_Direct=0,H_TaxEvt=1,ASH69+1&gt;=H_Deemed),MAX(0,AEH70-AHU70)*H_Exit,0)</f>
        <v>0</v>
      </c>
      <c r="AVV70" s="20" t="n">
        <f aca="false">IF(AND(H_Direct=0,H_TaxEvt=1,ASI69+1&gt;=H_Deemed),MAX(0,AEI70-AHV70)*H_Exit,0)</f>
        <v>0</v>
      </c>
      <c r="AVW70" s="20" t="n">
        <f aca="false">IF(AND(H_Direct=0,H_TaxEvt=1,ASJ69+1&gt;=H_Deemed),MAX(0,AEJ70-AHW70)*H_Exit,0)</f>
        <v>0</v>
      </c>
      <c r="AVX70" s="20" t="n">
        <f aca="false">IF(AND(H_Direct=0,H_TaxEvt=1,ASK69+1&gt;=H_Deemed),MAX(0,AEK70-AHX70)*H_Exit,0)</f>
        <v>0</v>
      </c>
      <c r="AVY70" s="20" t="n">
        <f aca="false">IF(AND(H_Direct=0,H_TaxEvt=1,ASL69+1&gt;=H_Deemed),MAX(0,AEL70-AHY70)*H_Exit,0)</f>
        <v>0</v>
      </c>
      <c r="AVZ70" s="20" t="n">
        <f aca="false">IF(AND(H_Direct=0,H_TaxEvt=1,ASM69+1&gt;=H_Deemed),MAX(0,AEM70-AHZ70)*H_Exit,0)</f>
        <v>0</v>
      </c>
      <c r="AWA70" s="20" t="n">
        <f aca="false">IF(AND(H_Direct=0,H_TaxEvt=1,ASN69+1&gt;=H_Deemed),MAX(0,AEN70-AIA70)*H_Exit,0)</f>
        <v>0</v>
      </c>
      <c r="AWB70" s="20" t="n">
        <f aca="false">IF(AND(H_Direct=0,H_TaxEvt=1,ASO69+1&gt;=H_Deemed),MAX(0,AEO70-AIB70)*H_Exit,0)</f>
        <v>0</v>
      </c>
      <c r="AWC70" s="20" t="n">
        <f aca="false">IF(AND(H_Direct=0,H_TaxEvt=1,ASP69+1&gt;=H_Deemed),MAX(0,AEP70-AIC70)*H_Exit,0)</f>
        <v>0</v>
      </c>
      <c r="AWD70" s="20" t="n">
        <f aca="false">IF(AND(H_Direct=0,H_TaxEvt=1,ASQ69+1&gt;=H_Deemed),MAX(0,AEQ70-AID70)*H_Exit,0)</f>
        <v>0</v>
      </c>
      <c r="AWE70" s="20" t="n">
        <f aca="false">IF(AND(H_Direct=0,H_TaxEvt=1,ASR69+1&gt;=H_Deemed),MAX(0,AER70-AIE70)*H_Exit,0)</f>
        <v>0</v>
      </c>
      <c r="AWF70" s="20" t="n">
        <f aca="false">IF(AND(H_Direct=0,H_TaxEvt=1,ASS69+1&gt;=H_Deemed),MAX(0,AES70-AIF70)*H_Exit,0)</f>
        <v>0</v>
      </c>
      <c r="AWG70" s="20" t="n">
        <f aca="false">IF(AND(H_Direct=0,H_TaxEvt=1,AST69+1&gt;=H_Deemed),MAX(0,AET70-AIG70)*H_Exit,0)</f>
        <v>0</v>
      </c>
      <c r="AWH70" s="20" t="n">
        <f aca="false">IF(AND(H_Direct=0,H_TaxEvt=1,ASU69+1&gt;=H_Deemed),MAX(0,AEU70-AIH70)*H_Exit,0)</f>
        <v>0</v>
      </c>
      <c r="AWI70" s="20" t="n">
        <f aca="false">IF(AND(H_Direct=0,H_TaxEvt=1,ASV69+1&gt;=H_Deemed),MAX(0,AEV70-AII70)*H_Exit,0)</f>
        <v>0</v>
      </c>
      <c r="AWJ70" s="20" t="n">
        <f aca="false">IF(AND(H_Direct=0,H_TaxEvt=1,ASW69+1&gt;=H_Deemed),MAX(0,AEW70-AIJ70)*H_Exit,0)</f>
        <v>0</v>
      </c>
      <c r="AWK70" s="20" t="n">
        <f aca="false">IF(AND(H_Direct=0,H_TaxEvt=1,ASX69+1&gt;=H_Deemed),MAX(0,AEX70-AIK70)*H_Exit,0)</f>
        <v>0</v>
      </c>
      <c r="AWL70" s="20" t="n">
        <f aca="false">IF(AND(H_Direct=0,H_TaxEvt=1,ASY69+1&gt;=H_Deemed),MAX(0,AEY70-AIL70)*H_Exit,0)</f>
        <v>0</v>
      </c>
      <c r="AWM70" s="20" t="n">
        <f aca="false">IF(AND(H_Direct=0,H_TaxEvt=1,ASZ69+1&gt;=H_Deemed),MAX(0,AEZ70-AIM70)*H_Exit,0)</f>
        <v>0</v>
      </c>
      <c r="AWN70" s="20" t="n">
        <f aca="false">IF(AND(H_Direct=0,H_TaxEvt=1,ATA69+1&gt;=H_Deemed),MAX(0,AFA70-AIN70)*H_Exit,0)</f>
        <v>0</v>
      </c>
      <c r="AWO70" s="20" t="n">
        <f aca="false">IF(AND(H_Direct=0,H_TaxEvt=1,ATB69+1&gt;=H_Deemed),MAX(0,AFB70-AIO70)*H_Exit,0)</f>
        <v>0</v>
      </c>
      <c r="AWP70" s="20" t="n">
        <f aca="false">IF(AND(H_Direct=0,H_TaxEvt=1,ATC69+1&gt;=H_Deemed),MAX(0,AFC70-AIP70)*H_Exit,0)</f>
        <v>0</v>
      </c>
      <c r="AWQ70" s="20" t="n">
        <f aca="false">IF(AND(H_Direct=0,H_TaxEvt=1,ATD69+1&gt;=H_Deemed),MAX(0,AFD70-AIQ70)*H_Exit,0)</f>
        <v>0</v>
      </c>
      <c r="AWR70" s="20" t="n">
        <f aca="false">IF(AND(H_Direct=0,H_TaxEvt=1,ATE69+1&gt;=H_Deemed),MAX(0,AFE70-AIR70)*H_Exit,0)</f>
        <v>0</v>
      </c>
      <c r="AWS70" s="20" t="n">
        <f aca="false">IF(AND(H_Direct=0,H_TaxEvt=1,ATF69+1&gt;=H_Deemed),MAX(0,AFF70-AIS70)*H_Exit,0)</f>
        <v>0</v>
      </c>
      <c r="AWT70" s="20" t="n">
        <f aca="false">IF(AND(H_Direct=0,H_TaxEvt=1,ATG69+1&gt;=H_Deemed),MAX(0,AFG70-AIT70)*H_Exit,0)</f>
        <v>0</v>
      </c>
      <c r="AWU70" s="20" t="n">
        <f aca="false">IF(AND(H_Direct=0,H_TaxEvt=1,ATH69+1&gt;=H_Deemed),MAX(0,AFH70-AIU70)*H_Exit,0)</f>
        <v>0</v>
      </c>
      <c r="AWV70" s="20" t="n">
        <f aca="false">IF(AND(H_Direct=0,H_TaxEvt=1,ATI69+1&gt;=H_Deemed),MAX(0,AFI70-AIV70)*H_Exit,0)</f>
        <v>0</v>
      </c>
      <c r="AWW70" s="20" t="n">
        <f aca="false">IF(AND(H_Direct=0,H_TaxEvt=1,ATJ69+1&gt;=H_Deemed),MAX(0,AFJ70-AIW70)*H_Exit,0)</f>
        <v>0</v>
      </c>
      <c r="AWX70" s="20" t="n">
        <f aca="false">IF(AND(H_Direct=0,H_TaxEvt=1,ATK69+1&gt;=H_Deemed),MAX(0,AFK70-AIX70)*H_Exit,0)</f>
        <v>0</v>
      </c>
      <c r="AWY70" s="20" t="n">
        <f aca="false">IF(AND(H_Direct=0,H_TaxEvt=1,ATL69+1&gt;=H_Deemed),MAX(0,AFL70-AIY70)*H_Exit,0)</f>
        <v>0</v>
      </c>
      <c r="AWZ70" s="20" t="n">
        <f aca="false">IF(AND(H_Direct=0,H_TaxEvt=1,ATM69+1&gt;=H_Deemed),MAX(0,AFM70-AIZ70)*H_Exit,0)</f>
        <v>0</v>
      </c>
      <c r="AXA70" s="20" t="n">
        <f aca="false">IF(AND(H_Direct=0,H_TaxEvt=1,ATN69+1&gt;=H_Deemed),MAX(0,AFN70-AJA70)*H_Exit,0)</f>
        <v>0</v>
      </c>
      <c r="AXB70" s="20" t="n">
        <f aca="false">IF(AND(H_Direct=0,H_TaxEvt=1,ATO69+1&gt;=H_Deemed),MAX(0,AFO70-AJB70)*H_Exit,0)</f>
        <v>0</v>
      </c>
      <c r="AXC70" s="20" t="n">
        <f aca="false">IF(AND(H_Direct=0,H_TaxEvt=1,ATP69+1&gt;=H_Deemed),MAX(0,AFP70-AJC70)*H_Exit,0)</f>
        <v>0</v>
      </c>
      <c r="AXD70" s="20" t="n">
        <f aca="false">IF(AND(H_Direct=0,H_TaxEvt=1,ATQ69+1&gt;=H_Deemed),MAX(0,AFQ70-AJD70)*H_Exit,0)</f>
        <v>0</v>
      </c>
      <c r="AXE70" s="20" t="n">
        <f aca="false">IF(AND(H_Direct=0,H_TaxEvt=1,ATR69+1&gt;=H_Deemed),MAX(0,AFR70-AJE70)*H_Exit,0)</f>
        <v>0</v>
      </c>
      <c r="AXF70" s="20" t="n">
        <f aca="false">IF(AND(H_Direct=0,H_TaxEvt=1,ATS69+1&gt;=H_Deemed),MAX(0,AFS70-AJF70)*H_Exit,0)</f>
        <v>0</v>
      </c>
      <c r="AXG70" s="20" t="n">
        <f aca="false">IF(AND(H_Direct=0,H_TaxEvt=1,ATT69+1&gt;=H_Deemed),MAX(0,AFT70-AJG70)*H_Exit,0)</f>
        <v>0</v>
      </c>
      <c r="AXH70" s="20" t="n">
        <f aca="false">IF(AND(H_Direct=0,H_TaxEvt=1,ATU69+1&gt;=H_Deemed),MAX(0,AFU70-AJH70)*H_Exit,0)</f>
        <v>0</v>
      </c>
      <c r="AXI70" s="20" t="n">
        <f aca="false">IF(AND(H_Direct=0,H_TaxEvt=1,ATV69+1&gt;=H_Deemed),MAX(0,AFV70-AJI70)*H_Exit,0)</f>
        <v>0</v>
      </c>
      <c r="AXJ70" s="20" t="n">
        <f aca="false">IF(AND(H_Direct=0,H_TaxEvt=1,ATW69+1&gt;=H_Deemed),MAX(0,AFW70-AJJ70)*H_Exit,0)</f>
        <v>0</v>
      </c>
      <c r="AXK70" s="20" t="n">
        <f aca="false">IF(AND(H_Direct=0,H_TaxEvt=1,ATX69+1&gt;=H_Deemed),MAX(0,AFX70-AJK70)*H_Exit,0)</f>
        <v>0</v>
      </c>
      <c r="AXL70" s="20" t="n">
        <f aca="false">IF(AND(H_Direct=0,H_TaxEvt=1,ATY69+1&gt;=H_Deemed),MAX(0,AFY70-AJL70)*H_Exit,0)</f>
        <v>0</v>
      </c>
      <c r="AXM70" s="20" t="n">
        <f aca="false">IF(AND(H_Direct=0,H_TaxEvt=1,ATZ69+1&gt;=H_Deemed),MAX(0,AFZ70-AJM70)*H_Exit,0)</f>
        <v>0</v>
      </c>
      <c r="AXN70" s="20" t="n">
        <f aca="false">IF(AND(H_Direct=0,H_TaxEvt=1,AUA69+1&gt;=H_Deemed),MAX(0,AGA70-AJN70)*H_Exit,0)</f>
        <v>0</v>
      </c>
      <c r="AXO70" s="20" t="n">
        <f aca="false">IF(AND(H_Direct=0,H_TaxEvt=1,AUB69+1&gt;=H_Deemed),MAX(0,AGB70-AJO70)*H_Exit,0)</f>
        <v>0</v>
      </c>
      <c r="AXP70" s="20" t="n">
        <f aca="false">IF(AND(H_Direct=0,H_TaxEvt=1,0+1&gt;=H_Deemed),MAX(0,AGC70-AJP70)*H_Exit,0)</f>
        <v>0</v>
      </c>
      <c r="AXQ70" s="20" t="n">
        <v>0</v>
      </c>
      <c r="AXR70" s="20" t="n">
        <v>0</v>
      </c>
      <c r="AXS70" s="20" t="n">
        <v>0</v>
      </c>
      <c r="AXT70" s="20" t="n">
        <v>0</v>
      </c>
      <c r="AXU70" s="20" t="n">
        <v>0</v>
      </c>
      <c r="AXV70" s="20" t="n">
        <v>0</v>
      </c>
      <c r="AXW70" s="20" t="n">
        <v>0</v>
      </c>
      <c r="AXX70" s="20" t="n">
        <v>0</v>
      </c>
      <c r="AXY70" s="20" t="n">
        <v>0</v>
      </c>
      <c r="AXZ70" s="20" t="n">
        <v>0</v>
      </c>
      <c r="AYA70" s="20" t="n">
        <v>0</v>
      </c>
      <c r="AYB70" s="20" t="n">
        <v>0</v>
      </c>
      <c r="AYC70" s="20" t="n">
        <v>0</v>
      </c>
      <c r="AYD70" s="20" t="n">
        <v>0</v>
      </c>
      <c r="AYE70" s="20" t="n">
        <v>0</v>
      </c>
      <c r="AYF70" s="20" t="n">
        <v>0</v>
      </c>
      <c r="AYG70" s="20" t="n">
        <v>0</v>
      </c>
      <c r="AYH70" s="20" t="n">
        <v>0</v>
      </c>
      <c r="AYI70" s="20" t="n">
        <v>0</v>
      </c>
      <c r="AYJ70" s="20" t="n">
        <v>0</v>
      </c>
      <c r="AYK70" s="20" t="n">
        <v>0</v>
      </c>
      <c r="AYL70" s="20" t="n">
        <v>0</v>
      </c>
      <c r="AYM70" s="20" t="n">
        <v>0</v>
      </c>
      <c r="AYN70" s="20" t="n">
        <v>0</v>
      </c>
      <c r="AYO70" s="20" t="n">
        <v>0</v>
      </c>
      <c r="AYP70" s="20" t="n">
        <v>0</v>
      </c>
      <c r="AYQ70" s="20" t="n">
        <v>0</v>
      </c>
    </row>
    <row r="71" customFormat="false" ht="15" hidden="false" customHeight="false" outlineLevel="0" collapsed="false">
      <c r="B71" s="20" t="n">
        <v>63</v>
      </c>
      <c r="C71" s="20" t="n">
        <f aca="false">'Plan cashflow'!C71</f>
        <v>0</v>
      </c>
      <c r="D71" s="20" t="n">
        <f aca="false">'Plan cashflow'!D71</f>
        <v>101</v>
      </c>
      <c r="E71" s="20" t="n">
        <f aca="false">AS_Year0+63</f>
        <v>2089</v>
      </c>
      <c r="F71" s="50" t="n">
        <f aca="false">'Plan cashflow'!F71</f>
        <v>3.48185612085969</v>
      </c>
      <c r="G71" s="59" t="n">
        <f aca="true">IF(MAX(TODAY(),DATE(E71,1,1))&gt;=H_CGTfrom,H_CGT1,H_CGT0)</f>
        <v>0.31</v>
      </c>
      <c r="H71" s="20" t="n">
        <f aca="false">H_Exempt*H_Persons</f>
        <v>1270</v>
      </c>
      <c r="I71" s="20" t="n">
        <f aca="false">AX70</f>
        <v>0</v>
      </c>
      <c r="J71" s="60" t="n">
        <f aca="false">BF70</f>
        <v>0</v>
      </c>
      <c r="K71" s="60" t="n">
        <f aca="false">BG70</f>
        <v>0</v>
      </c>
      <c r="L71" s="20" t="n">
        <f aca="false">IF(AND(In_polLump&gt;0,In_polLumpAge&gt;0,D71=In_polLumpAge),In_polLump,0)</f>
        <v>0</v>
      </c>
      <c r="M71" s="20" t="n">
        <f aca="false">IF(AND(In_homeUse="Yes, I'd downsize",In_downAge&gt;0,D71=In_downAge,OR(In_home="Own outright",In_home="Own with mortgage"),In_homeValue&gt;0),MAX(0,MAX(0,In_homeValue-In_downValue)*F71*0.9-'Plan cashflow'!HR70),0)</f>
        <v>0</v>
      </c>
      <c r="N71" s="20" t="n">
        <f aca="false">'Plan pay &amp; tax'!Y297</f>
        <v>0</v>
      </c>
      <c r="O71" s="20" t="n">
        <f aca="false">L71+M71+(1-H_Sh)*N71</f>
        <v>0</v>
      </c>
      <c r="P71" s="20" t="n">
        <f aca="false">H_Sh*N71</f>
        <v>0</v>
      </c>
      <c r="Q71" s="20" t="n">
        <f aca="false">'Plan cashflow'!UL71</f>
        <v>0</v>
      </c>
      <c r="R71" s="20" t="n">
        <f aca="false">(1-H_Sh)*Q71</f>
        <v>0</v>
      </c>
      <c r="S71" s="20" t="n">
        <f aca="false">H_Sh*Q71</f>
        <v>0</v>
      </c>
      <c r="T71" s="20" t="n">
        <f aca="false">J71+K71+O71</f>
        <v>0</v>
      </c>
      <c r="U71" s="20" t="n">
        <f aca="false">T71+R71</f>
        <v>0</v>
      </c>
      <c r="V71" s="60" t="n">
        <f aca="false">SUM(FE71:IQ71)</f>
        <v>0</v>
      </c>
      <c r="W71" s="60" t="n">
        <f aca="false">IF(AJ71&lt;=0,0,IF(AL71&lt;=0,AJ71,AJ71-G71*MAX(0,AL71*AJ71-(AY71+AZ71))))</f>
        <v>0</v>
      </c>
      <c r="X71" s="60" t="n">
        <f aca="false">IF(AR71&lt;=0,0,IF(AT71&lt;=0,AR71,AR71-G71*MAX(0,AT71*AR71-(BA71+BB71))))</f>
        <v>0</v>
      </c>
      <c r="Y71" s="60" t="n">
        <f aca="false">T71+V71-S71+W71+X71</f>
        <v>0</v>
      </c>
      <c r="Z71" s="60" t="n">
        <f aca="false">'Plan cashflow'!UK71</f>
        <v>0</v>
      </c>
      <c r="AA71" s="20" t="n">
        <f aca="false">MIN(Z71,U71)</f>
        <v>0</v>
      </c>
      <c r="AB71" s="20" t="n">
        <f aca="false">Z71-AA71</f>
        <v>0</v>
      </c>
      <c r="AC71" s="20" t="n">
        <f aca="false">MIN(AA71,J71+O71+R71)</f>
        <v>0</v>
      </c>
      <c r="AD71" s="20" t="n">
        <f aca="false">AA71-AC71</f>
        <v>0</v>
      </c>
      <c r="AE71" s="20" t="n">
        <f aca="false">J71+O71+R71-AC71</f>
        <v>0</v>
      </c>
      <c r="AF71" s="20" t="n">
        <f aca="false">K71-AD71</f>
        <v>0</v>
      </c>
      <c r="AG71" s="20" t="n">
        <f aca="false">SUM(PR71:TD71)</f>
        <v>0</v>
      </c>
      <c r="AH71" s="20" t="n">
        <f aca="false">SUM(TE71:WQ71)</f>
        <v>0</v>
      </c>
      <c r="AI71" s="20" t="n">
        <f aca="false">MAX(0,AB71-AG71)</f>
        <v>0</v>
      </c>
      <c r="AJ71" s="57" t="n">
        <f aca="false">BI70</f>
        <v>0</v>
      </c>
      <c r="AK71" s="20" t="n">
        <f aca="false">BJ70</f>
        <v>0</v>
      </c>
      <c r="AL71" s="20" t="n">
        <f aca="false">IF(AJ71&gt;0,(AJ71-AK71)/AJ71,0)</f>
        <v>0</v>
      </c>
      <c r="AM71" s="20" t="n">
        <f aca="false">IF(AJ71&lt;=0,0,IF(AL71&lt;=0,MIN(AI71,AJ71),MIN(AI71,AJ71-G71*MAX(0,AL71*AJ71-(AAD71+ADQ71)))))</f>
        <v>0</v>
      </c>
      <c r="AN71" s="20" t="n">
        <f aca="false">IF(AJ71&lt;=0,0,IF(AL71&lt;=0,AM71,IF(AM71&lt;=(AAD71+ADQ71)/AL71,AM71,(AM71-G71*(AAD71+ADQ71))/(1-G71*AL71))))</f>
        <v>0</v>
      </c>
      <c r="AO71" s="20" t="n">
        <f aca="false">IF(AL71&gt;0,MAX(0,AAD71-(MIN(AL71*AN71,(AAD71+ADQ71))-MIN(MIN(AL71*AN71,(AAD71+ADQ71)),ADQ71))),AAD71)</f>
        <v>1270</v>
      </c>
      <c r="AP71" s="20" t="n">
        <f aca="false">IF(AL71&lt;=0,ADQ71-AL71*AN71,ADQ71-MIN(MIN(AL71*AN71,(AAD71+ADQ71)),ADQ71))</f>
        <v>0</v>
      </c>
      <c r="AQ71" s="20" t="n">
        <f aca="false">MAX(0,AI71-AM71)</f>
        <v>0</v>
      </c>
      <c r="AR71" s="57" t="n">
        <f aca="false">BK70</f>
        <v>0</v>
      </c>
      <c r="AS71" s="20" t="n">
        <f aca="false">BL70</f>
        <v>0</v>
      </c>
      <c r="AT71" s="20" t="n">
        <f aca="false">IF(AR71&gt;0,(AR71-AS71)/AR71,0)</f>
        <v>0</v>
      </c>
      <c r="AU71" s="20" t="n">
        <f aca="false">IF(AR71&lt;=0,0,IF(AT71&lt;=0,MIN(AQ71,AR71),MIN(AQ71,AR71-G71*MAX(0,AT71*AR71-(AO71+AP71)))))</f>
        <v>0</v>
      </c>
      <c r="AV71" s="20" t="n">
        <f aca="false">IF(AR71&lt;=0,0,IF(AT71&lt;=0,AU71,IF(AU71&lt;=(AO71+AP71)/AT71,AU71,(AU71-G71*(AO71+AP71))/(1-G71*AT71))))</f>
        <v>0</v>
      </c>
      <c r="AW71" s="20" t="n">
        <f aca="false">IF(AT71&gt;0,MAX(0,AO71-(MIN(AT71*AV71,(AO71+AP71))-MIN(MIN(AT71*AV71,(AO71+AP71)),AP71))),AO71)</f>
        <v>1270</v>
      </c>
      <c r="AX71" s="20" t="n">
        <f aca="false">IF(AT71&lt;=0,AP71-AT71*AV71,AP71-MIN(MIN(AT71*AV71,(AO71+AP71)),AP71))</f>
        <v>0</v>
      </c>
      <c r="AY71" s="20" t="n">
        <f aca="false">MD71</f>
        <v>1270</v>
      </c>
      <c r="AZ71" s="20" t="n">
        <f aca="false">PQ71</f>
        <v>0</v>
      </c>
      <c r="BA71" s="20" t="n">
        <f aca="false">IF(AL71&gt;0,MAX(0,AY71-(MIN(AL71*AJ71,AY71+AZ71)-MIN(MIN(AL71*AJ71,AY71+AZ71),AZ71))),AY71)</f>
        <v>1270</v>
      </c>
      <c r="BB71" s="20" t="n">
        <f aca="false">IF(AL71&lt;=0,AZ71-AL71*AJ71,AZ71-MIN(MIN(AL71*AJ71,AY71+AZ71),AZ71))</f>
        <v>0</v>
      </c>
      <c r="BC71" s="20" t="n">
        <f aca="false">'Plan cashflow'!UM71</f>
        <v>0</v>
      </c>
      <c r="BD71" s="20" t="n">
        <f aca="false">(1-H_Sh)*BC71</f>
        <v>0</v>
      </c>
      <c r="BE71" s="20" t="n">
        <f aca="false">H_Sh*BC71</f>
        <v>0</v>
      </c>
      <c r="BF71" s="60" t="n">
        <f aca="false">(AE71+BD71)*(1+AS_Cash)</f>
        <v>0</v>
      </c>
      <c r="BG71" s="60" t="n">
        <f aca="false">AF71*(1+AS_Cash)</f>
        <v>0</v>
      </c>
      <c r="BH71" s="60" t="n">
        <f aca="false">SUM(AKR71:AOD71)</f>
        <v>0</v>
      </c>
      <c r="BI71" s="60" t="n">
        <f aca="false">(AJ71-AN71)*(1+AS_Infl)</f>
        <v>0</v>
      </c>
      <c r="BJ71" s="20" t="n">
        <f aca="false">IF(AJ71&gt;0,AK71-AK71*AN71/AJ71,0)</f>
        <v>0</v>
      </c>
      <c r="BK71" s="60" t="n">
        <f aca="false">(AR71-AV71)*(1+BQ71)</f>
        <v>0</v>
      </c>
      <c r="BL71" s="20" t="n">
        <f aca="false">IF(AR71&gt;0,AS71-AS71*AV71/AR71,0)</f>
        <v>0</v>
      </c>
      <c r="BM71" s="60" t="n">
        <f aca="false">BF71+BG71+BH71+BI71+BK71</f>
        <v>0</v>
      </c>
      <c r="BN71" s="60" t="n">
        <f aca="false">(AH71-AG71)+(AN71-AM71)+(AV71-AU71)</f>
        <v>0</v>
      </c>
      <c r="BO71" s="20" t="n">
        <f aca="false">(AE71+BD71+AF71+MAX(0,'Plan cashflow'!QH71)+IF(Slot1_Rate=AS_Cash,'Plan cashflow'!QM71/(1+AS_Cash),0)+IF(Slot2_Rate=AS_Cash,'Plan cashflow'!QQ71/(1+AS_Cash),0)+IF(Slot3_Rate=AS_Cash,'Plan cashflow'!QU71/(1+AS_Cash),0)+IF(Slot4_Rate=AS_Cash,'Plan cashflow'!QY71/(1+AS_Cash),0)+IF(Slot5_Rate=AS_Cash,'Plan cashflow'!RC71/(1+AS_Cash),0)+IF(Slot6_Rate=AS_Cash,'Plan cashflow'!RG71/(1+AS_Cash),0)+IF(Slot7_Rate=AS_Cash,'Plan cashflow'!RK71/(1+AS_Cash),0)+IF(Slot8_Rate=AS_Cash,'Plan cashflow'!RO71/(1+AS_Cash),0)+IF(Slot9_Rate=AS_Cash,'Plan cashflow'!RS71/(1+AS_Cash),0)+IF(Slot10_Rate=AS_Cash,'Plan cashflow'!RW71/(1+AS_Cash),0)+IF(Slot11_Rate=AS_Cash,'Plan cashflow'!SA71/(1+AS_Cash),0)+IF(Slot12_Rate=AS_Cash,'Plan cashflow'!SE71/(1+AS_Cash),0)+IF(Slot13_Rate=AS_Cash,'Plan cashflow'!SI71/(1+AS_Cash),0)+IF(Slot14_Rate=AS_Cash,'Plan cashflow'!SM71/(1+AS_Cash),0)+IF(Slot15_Rate=AS_Cash,'Plan cashflow'!SQ71/(1+AS_Cash),0)+IF(Slot16_Rate=AS_Cash,'Plan cashflow'!SU71/(1+AS_Cash),0)+IF(Slot17_Rate=AS_Cash,'Plan cashflow'!SY71/(1+AS_Cash),0)+IF(Slot18_Rate=AS_Cash,'Plan cashflow'!TC71/(1+AS_Cash),0)+IF(Slot19_Rate=AS_Cash,'Plan cashflow'!TG71/(1+AS_Cash),0)+IF(Slot20_Rate=AS_Cash,'Plan cashflow'!TK71/(1+AS_Cash),0))*AS_Cash*H_DIRT/(1-H_DIRT)</f>
        <v>0</v>
      </c>
      <c r="BP71" s="60" t="n">
        <f aca="false">SUM(AVE71:AYQ71)</f>
        <v>0</v>
      </c>
      <c r="BQ71" s="54" t="n">
        <f aca="false">IF(H_TaxEvt=1,H_InvG,AS_Inv)</f>
        <v>0.04</v>
      </c>
      <c r="BR71" s="20" t="n">
        <f aca="false">IF(AKR70&gt;0,(AKR70-AOE70)/AKR70,0)</f>
        <v>0</v>
      </c>
      <c r="BS71" s="20" t="n">
        <f aca="false">IF(AKS70&gt;0,(AKS70-AOF70)/AKS70,0)</f>
        <v>0</v>
      </c>
      <c r="BT71" s="20" t="n">
        <f aca="false">IF(AKT70&gt;0,(AKT70-AOG70)/AKT70,0)</f>
        <v>0</v>
      </c>
      <c r="BU71" s="20" t="n">
        <f aca="false">IF(AKU70&gt;0,(AKU70-AOH70)/AKU70,0)</f>
        <v>0</v>
      </c>
      <c r="BV71" s="20" t="n">
        <f aca="false">IF(AKV70&gt;0,(AKV70-AOI70)/AKV70,0)</f>
        <v>0</v>
      </c>
      <c r="BW71" s="20" t="n">
        <f aca="false">IF(AKW70&gt;0,(AKW70-AOJ70)/AKW70,0)</f>
        <v>0</v>
      </c>
      <c r="BX71" s="20" t="n">
        <f aca="false">IF(AKX70&gt;0,(AKX70-AOK70)/AKX70,0)</f>
        <v>0</v>
      </c>
      <c r="BY71" s="20" t="n">
        <f aca="false">IF(AKY70&gt;0,(AKY70-AOL70)/AKY70,0)</f>
        <v>0</v>
      </c>
      <c r="BZ71" s="20" t="n">
        <f aca="false">IF(AKZ70&gt;0,(AKZ70-AOM70)/AKZ70,0)</f>
        <v>0</v>
      </c>
      <c r="CA71" s="20" t="n">
        <f aca="false">IF(ALA70&gt;0,(ALA70-AON70)/ALA70,0)</f>
        <v>0</v>
      </c>
      <c r="CB71" s="20" t="n">
        <f aca="false">IF(ALB70&gt;0,(ALB70-AOO70)/ALB70,0)</f>
        <v>0</v>
      </c>
      <c r="CC71" s="20" t="n">
        <f aca="false">IF(ALC70&gt;0,(ALC70-AOP70)/ALC70,0)</f>
        <v>0</v>
      </c>
      <c r="CD71" s="20" t="n">
        <f aca="false">IF(ALD70&gt;0,(ALD70-AOQ70)/ALD70,0)</f>
        <v>0</v>
      </c>
      <c r="CE71" s="20" t="n">
        <f aca="false">IF(ALE70&gt;0,(ALE70-AOR70)/ALE70,0)</f>
        <v>0</v>
      </c>
      <c r="CF71" s="20" t="n">
        <f aca="false">IF(ALF70&gt;0,(ALF70-AOS70)/ALF70,0)</f>
        <v>0</v>
      </c>
      <c r="CG71" s="20" t="n">
        <f aca="false">IF(ALG70&gt;0,(ALG70-AOT70)/ALG70,0)</f>
        <v>0</v>
      </c>
      <c r="CH71" s="20" t="n">
        <f aca="false">IF(ALH70&gt;0,(ALH70-AOU70)/ALH70,0)</f>
        <v>0</v>
      </c>
      <c r="CI71" s="20" t="n">
        <f aca="false">IF(ALI70&gt;0,(ALI70-AOV70)/ALI70,0)</f>
        <v>0</v>
      </c>
      <c r="CJ71" s="20" t="n">
        <f aca="false">IF(ALJ70&gt;0,(ALJ70-AOW70)/ALJ70,0)</f>
        <v>0</v>
      </c>
      <c r="CK71" s="20" t="n">
        <f aca="false">IF(ALK70&gt;0,(ALK70-AOX70)/ALK70,0)</f>
        <v>0</v>
      </c>
      <c r="CL71" s="20" t="n">
        <f aca="false">IF(ALL70&gt;0,(ALL70-AOY70)/ALL70,0)</f>
        <v>0</v>
      </c>
      <c r="CM71" s="20" t="n">
        <f aca="false">IF(ALM70&gt;0,(ALM70-AOZ70)/ALM70,0)</f>
        <v>0</v>
      </c>
      <c r="CN71" s="20" t="n">
        <f aca="false">IF(ALN70&gt;0,(ALN70-APA70)/ALN70,0)</f>
        <v>0</v>
      </c>
      <c r="CO71" s="20" t="n">
        <f aca="false">IF(ALO70&gt;0,(ALO70-APB70)/ALO70,0)</f>
        <v>0</v>
      </c>
      <c r="CP71" s="20" t="n">
        <f aca="false">IF(ALP70&gt;0,(ALP70-APC70)/ALP70,0)</f>
        <v>0</v>
      </c>
      <c r="CQ71" s="20" t="n">
        <f aca="false">IF(ALQ70&gt;0,(ALQ70-APD70)/ALQ70,0)</f>
        <v>0</v>
      </c>
      <c r="CR71" s="20" t="n">
        <f aca="false">IF(ALR70&gt;0,(ALR70-APE70)/ALR70,0)</f>
        <v>0</v>
      </c>
      <c r="CS71" s="20" t="n">
        <f aca="false">IF(ALS70&gt;0,(ALS70-APF70)/ALS70,0)</f>
        <v>0</v>
      </c>
      <c r="CT71" s="20" t="n">
        <f aca="false">IF(ALT70&gt;0,(ALT70-APG70)/ALT70,0)</f>
        <v>0</v>
      </c>
      <c r="CU71" s="20" t="n">
        <f aca="false">IF(ALU70&gt;0,(ALU70-APH70)/ALU70,0)</f>
        <v>0</v>
      </c>
      <c r="CV71" s="20" t="n">
        <f aca="false">IF(ALV70&gt;0,(ALV70-API70)/ALV70,0)</f>
        <v>0</v>
      </c>
      <c r="CW71" s="20" t="n">
        <f aca="false">IF(ALW70&gt;0,(ALW70-APJ70)/ALW70,0)</f>
        <v>0</v>
      </c>
      <c r="CX71" s="20" t="n">
        <f aca="false">IF(ALX70&gt;0,(ALX70-APK70)/ALX70,0)</f>
        <v>0</v>
      </c>
      <c r="CY71" s="20" t="n">
        <f aca="false">IF(ALY70&gt;0,(ALY70-APL70)/ALY70,0)</f>
        <v>0</v>
      </c>
      <c r="CZ71" s="20" t="n">
        <f aca="false">IF(ALZ70&gt;0,(ALZ70-APM70)/ALZ70,0)</f>
        <v>0</v>
      </c>
      <c r="DA71" s="20" t="n">
        <f aca="false">IF(AMA70&gt;0,(AMA70-APN70)/AMA70,0)</f>
        <v>0</v>
      </c>
      <c r="DB71" s="20" t="n">
        <f aca="false">IF(AMB70&gt;0,(AMB70-APO70)/AMB70,0)</f>
        <v>0</v>
      </c>
      <c r="DC71" s="20" t="n">
        <f aca="false">IF(AMC70&gt;0,(AMC70-APP70)/AMC70,0)</f>
        <v>0</v>
      </c>
      <c r="DD71" s="20" t="n">
        <f aca="false">IF(AMD70&gt;0,(AMD70-APQ70)/AMD70,0)</f>
        <v>0</v>
      </c>
      <c r="DE71" s="20" t="n">
        <f aca="false">IF(AME70&gt;0,(AME70-APR70)/AME70,0)</f>
        <v>0</v>
      </c>
      <c r="DF71" s="20" t="n">
        <f aca="false">IF(AMF70&gt;0,(AMF70-APS70)/AMF70,0)</f>
        <v>0</v>
      </c>
      <c r="DG71" s="20" t="n">
        <f aca="false">IF(AMG70&gt;0,(AMG70-APT70)/AMG70,0)</f>
        <v>0</v>
      </c>
      <c r="DH71" s="20" t="n">
        <f aca="false">IF(AMH70&gt;0,(AMH70-APU70)/AMH70,0)</f>
        <v>0</v>
      </c>
      <c r="DI71" s="20" t="n">
        <f aca="false">IF(AMI70&gt;0,(AMI70-APV70)/AMI70,0)</f>
        <v>0</v>
      </c>
      <c r="DJ71" s="20" t="n">
        <f aca="false">IF(AMJ70&gt;0,(AMJ70-APW70)/AMJ70,0)</f>
        <v>0</v>
      </c>
      <c r="DK71" s="20" t="n">
        <f aca="false">IF(AMK70&gt;0,(AMK70-APX70)/AMK70,0)</f>
        <v>0</v>
      </c>
      <c r="DL71" s="20" t="n">
        <f aca="false">IF(AML70&gt;0,(AML70-APY70)/AML70,0)</f>
        <v>0</v>
      </c>
      <c r="DM71" s="20" t="n">
        <f aca="false">IF(AMM70&gt;0,(AMM70-APZ70)/AMM70,0)</f>
        <v>0</v>
      </c>
      <c r="DN71" s="20" t="n">
        <f aca="false">IF(AMN70&gt;0,(AMN70-AQA70)/AMN70,0)</f>
        <v>0</v>
      </c>
      <c r="DO71" s="20" t="n">
        <f aca="false">IF(AMO70&gt;0,(AMO70-AQB70)/AMO70,0)</f>
        <v>0</v>
      </c>
      <c r="DP71" s="20" t="n">
        <f aca="false">IF(AMP70&gt;0,(AMP70-AQC70)/AMP70,0)</f>
        <v>0</v>
      </c>
      <c r="DQ71" s="20" t="n">
        <f aca="false">IF(AMQ70&gt;0,(AMQ70-AQD70)/AMQ70,0)</f>
        <v>0</v>
      </c>
      <c r="DR71" s="20" t="n">
        <f aca="false">IF(AMR70&gt;0,(AMR70-AQE70)/AMR70,0)</f>
        <v>0</v>
      </c>
      <c r="DS71" s="20" t="n">
        <f aca="false">IF(AMS70&gt;0,(AMS70-AQF70)/AMS70,0)</f>
        <v>0</v>
      </c>
      <c r="DT71" s="20" t="n">
        <f aca="false">IF(AMT70&gt;0,(AMT70-AQG70)/AMT70,0)</f>
        <v>0</v>
      </c>
      <c r="DU71" s="20" t="n">
        <f aca="false">IF(AMU70&gt;0,(AMU70-AQH70)/AMU70,0)</f>
        <v>0</v>
      </c>
      <c r="DV71" s="20" t="n">
        <f aca="false">IF(AMV70&gt;0,(AMV70-AQI70)/AMV70,0)</f>
        <v>0</v>
      </c>
      <c r="DW71" s="20" t="n">
        <f aca="false">IF(AMW70&gt;0,(AMW70-AQJ70)/AMW70,0)</f>
        <v>0</v>
      </c>
      <c r="DX71" s="20" t="n">
        <f aca="false">IF(AMX70&gt;0,(AMX70-AQK70)/AMX70,0)</f>
        <v>0</v>
      </c>
      <c r="DY71" s="20" t="n">
        <f aca="false">IF(AMY70&gt;0,(AMY70-AQL70)/AMY70,0)</f>
        <v>0</v>
      </c>
      <c r="DZ71" s="20" t="n">
        <f aca="false">IF(AMZ70&gt;0,(AMZ70-AQM70)/AMZ70,0)</f>
        <v>0</v>
      </c>
      <c r="EA71" s="20" t="n">
        <f aca="false">IF(ANA70&gt;0,(ANA70-AQN70)/ANA70,0)</f>
        <v>0</v>
      </c>
      <c r="EB71" s="20" t="n">
        <f aca="false">IF(ANB70&gt;0,(ANB70-AQO70)/ANB70,0)</f>
        <v>0</v>
      </c>
      <c r="EC71" s="20" t="n">
        <f aca="false">IF(ANC70&gt;0,(ANC70-AQP70)/ANC70,0)</f>
        <v>0</v>
      </c>
      <c r="ED71" s="20" t="n">
        <f aca="false">IF((P71+S71)&gt;0,((P71+S71)-(P71+S71))/(P71+S71),0)</f>
        <v>0</v>
      </c>
      <c r="EE71" s="20" t="n">
        <v>0</v>
      </c>
      <c r="EF71" s="20" t="n">
        <v>0</v>
      </c>
      <c r="EG71" s="20" t="n">
        <v>0</v>
      </c>
      <c r="EH71" s="20" t="n">
        <v>0</v>
      </c>
      <c r="EI71" s="20" t="n">
        <v>0</v>
      </c>
      <c r="EJ71" s="20" t="n">
        <v>0</v>
      </c>
      <c r="EK71" s="20" t="n">
        <v>0</v>
      </c>
      <c r="EL71" s="20" t="n">
        <v>0</v>
      </c>
      <c r="EM71" s="20" t="n">
        <v>0</v>
      </c>
      <c r="EN71" s="20" t="n">
        <v>0</v>
      </c>
      <c r="EO71" s="20" t="n">
        <v>0</v>
      </c>
      <c r="EP71" s="20" t="n">
        <v>0</v>
      </c>
      <c r="EQ71" s="20" t="n">
        <v>0</v>
      </c>
      <c r="ER71" s="20" t="n">
        <v>0</v>
      </c>
      <c r="ES71" s="20" t="n">
        <v>0</v>
      </c>
      <c r="ET71" s="20" t="n">
        <v>0</v>
      </c>
      <c r="EU71" s="20" t="n">
        <v>0</v>
      </c>
      <c r="EV71" s="20" t="n">
        <v>0</v>
      </c>
      <c r="EW71" s="20" t="n">
        <v>0</v>
      </c>
      <c r="EX71" s="20" t="n">
        <v>0</v>
      </c>
      <c r="EY71" s="20" t="n">
        <v>0</v>
      </c>
      <c r="EZ71" s="20" t="n">
        <v>0</v>
      </c>
      <c r="FA71" s="20" t="n">
        <v>0</v>
      </c>
      <c r="FB71" s="20" t="n">
        <v>0</v>
      </c>
      <c r="FC71" s="20" t="n">
        <v>0</v>
      </c>
      <c r="FD71" s="20" t="n">
        <v>0</v>
      </c>
      <c r="FE71" s="20" t="n">
        <f aca="false">IF(H_Direct=1,IF(AKR70&lt;=0,0,IF(BR71&lt;=0,AKR70,AKR70-G71*MAX(0,BR71*AKR70-(H71+I71)))),AKR70*(1-MAX(0,BR71)*H_Exit))</f>
        <v>0</v>
      </c>
      <c r="FF71" s="20" t="n">
        <f aca="false">IF(H_Direct=1,IF(AKS70&lt;=0,0,IF(BS71&lt;=0,AKS70,AKS70-G71*MAX(0,BS71*AKS70-(IR71+ME71)))),AKS70*(1-MAX(0,BS71)*H_Exit))</f>
        <v>0</v>
      </c>
      <c r="FG71" s="20" t="n">
        <f aca="false">IF(H_Direct=1,IF(AKT70&lt;=0,0,IF(BT71&lt;=0,AKT70,AKT70-G71*MAX(0,BT71*AKT70-(IS71+MF71)))),AKT70*(1-MAX(0,BT71)*H_Exit))</f>
        <v>0</v>
      </c>
      <c r="FH71" s="20" t="n">
        <f aca="false">IF(H_Direct=1,IF(AKU70&lt;=0,0,IF(BU71&lt;=0,AKU70,AKU70-G71*MAX(0,BU71*AKU70-(IT71+MG71)))),AKU70*(1-MAX(0,BU71)*H_Exit))</f>
        <v>0</v>
      </c>
      <c r="FI71" s="20" t="n">
        <f aca="false">IF(H_Direct=1,IF(AKV70&lt;=0,0,IF(BV71&lt;=0,AKV70,AKV70-G71*MAX(0,BV71*AKV70-(IU71+MH71)))),AKV70*(1-MAX(0,BV71)*H_Exit))</f>
        <v>0</v>
      </c>
      <c r="FJ71" s="20" t="n">
        <f aca="false">IF(H_Direct=1,IF(AKW70&lt;=0,0,IF(BW71&lt;=0,AKW70,AKW70-G71*MAX(0,BW71*AKW70-(IV71+MI71)))),AKW70*(1-MAX(0,BW71)*H_Exit))</f>
        <v>0</v>
      </c>
      <c r="FK71" s="20" t="n">
        <f aca="false">IF(H_Direct=1,IF(AKX70&lt;=0,0,IF(BX71&lt;=0,AKX70,AKX70-G71*MAX(0,BX71*AKX70-(IW71+MJ71)))),AKX70*(1-MAX(0,BX71)*H_Exit))</f>
        <v>0</v>
      </c>
      <c r="FL71" s="20" t="n">
        <f aca="false">IF(H_Direct=1,IF(AKY70&lt;=0,0,IF(BY71&lt;=0,AKY70,AKY70-G71*MAX(0,BY71*AKY70-(IX71+MK71)))),AKY70*(1-MAX(0,BY71)*H_Exit))</f>
        <v>0</v>
      </c>
      <c r="FM71" s="20" t="n">
        <f aca="false">IF(H_Direct=1,IF(AKZ70&lt;=0,0,IF(BZ71&lt;=0,AKZ70,AKZ70-G71*MAX(0,BZ71*AKZ70-(IY71+ML71)))),AKZ70*(1-MAX(0,BZ71)*H_Exit))</f>
        <v>0</v>
      </c>
      <c r="FN71" s="20" t="n">
        <f aca="false">IF(H_Direct=1,IF(ALA70&lt;=0,0,IF(CA71&lt;=0,ALA70,ALA70-G71*MAX(0,CA71*ALA70-(IZ71+MM71)))),ALA70*(1-MAX(0,CA71)*H_Exit))</f>
        <v>0</v>
      </c>
      <c r="FO71" s="20" t="n">
        <f aca="false">IF(H_Direct=1,IF(ALB70&lt;=0,0,IF(CB71&lt;=0,ALB70,ALB70-G71*MAX(0,CB71*ALB70-(JA71+MN71)))),ALB70*(1-MAX(0,CB71)*H_Exit))</f>
        <v>0</v>
      </c>
      <c r="FP71" s="20" t="n">
        <f aca="false">IF(H_Direct=1,IF(ALC70&lt;=0,0,IF(CC71&lt;=0,ALC70,ALC70-G71*MAX(0,CC71*ALC70-(JB71+MO71)))),ALC70*(1-MAX(0,CC71)*H_Exit))</f>
        <v>0</v>
      </c>
      <c r="FQ71" s="20" t="n">
        <f aca="false">IF(H_Direct=1,IF(ALD70&lt;=0,0,IF(CD71&lt;=0,ALD70,ALD70-G71*MAX(0,CD71*ALD70-(JC71+MP71)))),ALD70*(1-MAX(0,CD71)*H_Exit))</f>
        <v>0</v>
      </c>
      <c r="FR71" s="20" t="n">
        <f aca="false">IF(H_Direct=1,IF(ALE70&lt;=0,0,IF(CE71&lt;=0,ALE70,ALE70-G71*MAX(0,CE71*ALE70-(JD71+MQ71)))),ALE70*(1-MAX(0,CE71)*H_Exit))</f>
        <v>0</v>
      </c>
      <c r="FS71" s="20" t="n">
        <f aca="false">IF(H_Direct=1,IF(ALF70&lt;=0,0,IF(CF71&lt;=0,ALF70,ALF70-G71*MAX(0,CF71*ALF70-(JE71+MR71)))),ALF70*(1-MAX(0,CF71)*H_Exit))</f>
        <v>0</v>
      </c>
      <c r="FT71" s="20" t="n">
        <f aca="false">IF(H_Direct=1,IF(ALG70&lt;=0,0,IF(CG71&lt;=0,ALG70,ALG70-G71*MAX(0,CG71*ALG70-(JF71+MS71)))),ALG70*(1-MAX(0,CG71)*H_Exit))</f>
        <v>0</v>
      </c>
      <c r="FU71" s="20" t="n">
        <f aca="false">IF(H_Direct=1,IF(ALH70&lt;=0,0,IF(CH71&lt;=0,ALH70,ALH70-G71*MAX(0,CH71*ALH70-(JG71+MT71)))),ALH70*(1-MAX(0,CH71)*H_Exit))</f>
        <v>0</v>
      </c>
      <c r="FV71" s="20" t="n">
        <f aca="false">IF(H_Direct=1,IF(ALI70&lt;=0,0,IF(CI71&lt;=0,ALI70,ALI70-G71*MAX(0,CI71*ALI70-(JH71+MU71)))),ALI70*(1-MAX(0,CI71)*H_Exit))</f>
        <v>0</v>
      </c>
      <c r="FW71" s="20" t="n">
        <f aca="false">IF(H_Direct=1,IF(ALJ70&lt;=0,0,IF(CJ71&lt;=0,ALJ70,ALJ70-G71*MAX(0,CJ71*ALJ70-(JI71+MV71)))),ALJ70*(1-MAX(0,CJ71)*H_Exit))</f>
        <v>0</v>
      </c>
      <c r="FX71" s="20" t="n">
        <f aca="false">IF(H_Direct=1,IF(ALK70&lt;=0,0,IF(CK71&lt;=0,ALK70,ALK70-G71*MAX(0,CK71*ALK70-(JJ71+MW71)))),ALK70*(1-MAX(0,CK71)*H_Exit))</f>
        <v>0</v>
      </c>
      <c r="FY71" s="20" t="n">
        <f aca="false">IF(H_Direct=1,IF(ALL70&lt;=0,0,IF(CL71&lt;=0,ALL70,ALL70-G71*MAX(0,CL71*ALL70-(JK71+MX71)))),ALL70*(1-MAX(0,CL71)*H_Exit))</f>
        <v>0</v>
      </c>
      <c r="FZ71" s="20" t="n">
        <f aca="false">IF(H_Direct=1,IF(ALM70&lt;=0,0,IF(CM71&lt;=0,ALM70,ALM70-G71*MAX(0,CM71*ALM70-(JL71+MY71)))),ALM70*(1-MAX(0,CM71)*H_Exit))</f>
        <v>0</v>
      </c>
      <c r="GA71" s="20" t="n">
        <f aca="false">IF(H_Direct=1,IF(ALN70&lt;=0,0,IF(CN71&lt;=0,ALN70,ALN70-G71*MAX(0,CN71*ALN70-(JM71+MZ71)))),ALN70*(1-MAX(0,CN71)*H_Exit))</f>
        <v>0</v>
      </c>
      <c r="GB71" s="20" t="n">
        <f aca="false">IF(H_Direct=1,IF(ALO70&lt;=0,0,IF(CO71&lt;=0,ALO70,ALO70-G71*MAX(0,CO71*ALO70-(JN71+NA71)))),ALO70*(1-MAX(0,CO71)*H_Exit))</f>
        <v>0</v>
      </c>
      <c r="GC71" s="20" t="n">
        <f aca="false">IF(H_Direct=1,IF(ALP70&lt;=0,0,IF(CP71&lt;=0,ALP70,ALP70-G71*MAX(0,CP71*ALP70-(JO71+NB71)))),ALP70*(1-MAX(0,CP71)*H_Exit))</f>
        <v>0</v>
      </c>
      <c r="GD71" s="20" t="n">
        <f aca="false">IF(H_Direct=1,IF(ALQ70&lt;=0,0,IF(CQ71&lt;=0,ALQ70,ALQ70-G71*MAX(0,CQ71*ALQ70-(JP71+NC71)))),ALQ70*(1-MAX(0,CQ71)*H_Exit))</f>
        <v>0</v>
      </c>
      <c r="GE71" s="20" t="n">
        <f aca="false">IF(H_Direct=1,IF(ALR70&lt;=0,0,IF(CR71&lt;=0,ALR70,ALR70-G71*MAX(0,CR71*ALR70-(JQ71+ND71)))),ALR70*(1-MAX(0,CR71)*H_Exit))</f>
        <v>0</v>
      </c>
      <c r="GF71" s="20" t="n">
        <f aca="false">IF(H_Direct=1,IF(ALS70&lt;=0,0,IF(CS71&lt;=0,ALS70,ALS70-G71*MAX(0,CS71*ALS70-(JR71+NE71)))),ALS70*(1-MAX(0,CS71)*H_Exit))</f>
        <v>0</v>
      </c>
      <c r="GG71" s="20" t="n">
        <f aca="false">IF(H_Direct=1,IF(ALT70&lt;=0,0,IF(CT71&lt;=0,ALT70,ALT70-G71*MAX(0,CT71*ALT70-(JS71+NF71)))),ALT70*(1-MAX(0,CT71)*H_Exit))</f>
        <v>0</v>
      </c>
      <c r="GH71" s="20" t="n">
        <f aca="false">IF(H_Direct=1,IF(ALU70&lt;=0,0,IF(CU71&lt;=0,ALU70,ALU70-G71*MAX(0,CU71*ALU70-(JT71+NG71)))),ALU70*(1-MAX(0,CU71)*H_Exit))</f>
        <v>0</v>
      </c>
      <c r="GI71" s="20" t="n">
        <f aca="false">IF(H_Direct=1,IF(ALV70&lt;=0,0,IF(CV71&lt;=0,ALV70,ALV70-G71*MAX(0,CV71*ALV70-(JU71+NH71)))),ALV70*(1-MAX(0,CV71)*H_Exit))</f>
        <v>0</v>
      </c>
      <c r="GJ71" s="20" t="n">
        <f aca="false">IF(H_Direct=1,IF(ALW70&lt;=0,0,IF(CW71&lt;=0,ALW70,ALW70-G71*MAX(0,CW71*ALW70-(JV71+NI71)))),ALW70*(1-MAX(0,CW71)*H_Exit))</f>
        <v>0</v>
      </c>
      <c r="GK71" s="20" t="n">
        <f aca="false">IF(H_Direct=1,IF(ALX70&lt;=0,0,IF(CX71&lt;=0,ALX70,ALX70-G71*MAX(0,CX71*ALX70-(JW71+NJ71)))),ALX70*(1-MAX(0,CX71)*H_Exit))</f>
        <v>0</v>
      </c>
      <c r="GL71" s="20" t="n">
        <f aca="false">IF(H_Direct=1,IF(ALY70&lt;=0,0,IF(CY71&lt;=0,ALY70,ALY70-G71*MAX(0,CY71*ALY70-(JX71+NK71)))),ALY70*(1-MAX(0,CY71)*H_Exit))</f>
        <v>0</v>
      </c>
      <c r="GM71" s="20" t="n">
        <f aca="false">IF(H_Direct=1,IF(ALZ70&lt;=0,0,IF(CZ71&lt;=0,ALZ70,ALZ70-G71*MAX(0,CZ71*ALZ70-(JY71+NL71)))),ALZ70*(1-MAX(0,CZ71)*H_Exit))</f>
        <v>0</v>
      </c>
      <c r="GN71" s="20" t="n">
        <f aca="false">IF(H_Direct=1,IF(AMA70&lt;=0,0,IF(DA71&lt;=0,AMA70,AMA70-G71*MAX(0,DA71*AMA70-(JZ71+NM71)))),AMA70*(1-MAX(0,DA71)*H_Exit))</f>
        <v>0</v>
      </c>
      <c r="GO71" s="20" t="n">
        <f aca="false">IF(H_Direct=1,IF(AMB70&lt;=0,0,IF(DB71&lt;=0,AMB70,AMB70-G71*MAX(0,DB71*AMB70-(KA71+NN71)))),AMB70*(1-MAX(0,DB71)*H_Exit))</f>
        <v>0</v>
      </c>
      <c r="GP71" s="20" t="n">
        <f aca="false">IF(H_Direct=1,IF(AMC70&lt;=0,0,IF(DC71&lt;=0,AMC70,AMC70-G71*MAX(0,DC71*AMC70-(KB71+NO71)))),AMC70*(1-MAX(0,DC71)*H_Exit))</f>
        <v>0</v>
      </c>
      <c r="GQ71" s="20" t="n">
        <f aca="false">IF(H_Direct=1,IF(AMD70&lt;=0,0,IF(DD71&lt;=0,AMD70,AMD70-G71*MAX(0,DD71*AMD70-(KC71+NP71)))),AMD70*(1-MAX(0,DD71)*H_Exit))</f>
        <v>0</v>
      </c>
      <c r="GR71" s="20" t="n">
        <f aca="false">IF(H_Direct=1,IF(AME70&lt;=0,0,IF(DE71&lt;=0,AME70,AME70-G71*MAX(0,DE71*AME70-(KD71+NQ71)))),AME70*(1-MAX(0,DE71)*H_Exit))</f>
        <v>0</v>
      </c>
      <c r="GS71" s="20" t="n">
        <f aca="false">IF(H_Direct=1,IF(AMF70&lt;=0,0,IF(DF71&lt;=0,AMF70,AMF70-G71*MAX(0,DF71*AMF70-(KE71+NR71)))),AMF70*(1-MAX(0,DF71)*H_Exit))</f>
        <v>0</v>
      </c>
      <c r="GT71" s="20" t="n">
        <f aca="false">IF(H_Direct=1,IF(AMG70&lt;=0,0,IF(DG71&lt;=0,AMG70,AMG70-G71*MAX(0,DG71*AMG70-(KF71+NS71)))),AMG70*(1-MAX(0,DG71)*H_Exit))</f>
        <v>0</v>
      </c>
      <c r="GU71" s="20" t="n">
        <f aca="false">IF(H_Direct=1,IF(AMH70&lt;=0,0,IF(DH71&lt;=0,AMH70,AMH70-G71*MAX(0,DH71*AMH70-(KG71+NT71)))),AMH70*(1-MAX(0,DH71)*H_Exit))</f>
        <v>0</v>
      </c>
      <c r="GV71" s="20" t="n">
        <f aca="false">IF(H_Direct=1,IF(AMI70&lt;=0,0,IF(DI71&lt;=0,AMI70,AMI70-G71*MAX(0,DI71*AMI70-(KH71+NU71)))),AMI70*(1-MAX(0,DI71)*H_Exit))</f>
        <v>0</v>
      </c>
      <c r="GW71" s="20" t="n">
        <f aca="false">IF(H_Direct=1,IF(AMJ70&lt;=0,0,IF(DJ71&lt;=0,AMJ70,AMJ70-G71*MAX(0,DJ71*AMJ70-(KI71+NV71)))),AMJ70*(1-MAX(0,DJ71)*H_Exit))</f>
        <v>0</v>
      </c>
      <c r="GX71" s="20" t="n">
        <f aca="false">IF(H_Direct=1,IF(AMK70&lt;=0,0,IF(DK71&lt;=0,AMK70,AMK70-G71*MAX(0,DK71*AMK70-(KJ71+NW71)))),AMK70*(1-MAX(0,DK71)*H_Exit))</f>
        <v>0</v>
      </c>
      <c r="GY71" s="20" t="n">
        <f aca="false">IF(H_Direct=1,IF(AML70&lt;=0,0,IF(DL71&lt;=0,AML70,AML70-G71*MAX(0,DL71*AML70-(KK71+NX71)))),AML70*(1-MAX(0,DL71)*H_Exit))</f>
        <v>0</v>
      </c>
      <c r="GZ71" s="20" t="n">
        <f aca="false">IF(H_Direct=1,IF(AMM70&lt;=0,0,IF(DM71&lt;=0,AMM70,AMM70-G71*MAX(0,DM71*AMM70-(KL71+NY71)))),AMM70*(1-MAX(0,DM71)*H_Exit))</f>
        <v>0</v>
      </c>
      <c r="HA71" s="20" t="n">
        <f aca="false">IF(H_Direct=1,IF(AMN70&lt;=0,0,IF(DN71&lt;=0,AMN70,AMN70-G71*MAX(0,DN71*AMN70-(KM71+NZ71)))),AMN70*(1-MAX(0,DN71)*H_Exit))</f>
        <v>0</v>
      </c>
      <c r="HB71" s="20" t="n">
        <f aca="false">IF(H_Direct=1,IF(AMO70&lt;=0,0,IF(DO71&lt;=0,AMO70,AMO70-G71*MAX(0,DO71*AMO70-(KN71+OA71)))),AMO70*(1-MAX(0,DO71)*H_Exit))</f>
        <v>0</v>
      </c>
      <c r="HC71" s="20" t="n">
        <f aca="false">IF(H_Direct=1,IF(AMP70&lt;=0,0,IF(DP71&lt;=0,AMP70,AMP70-G71*MAX(0,DP71*AMP70-(KO71+OB71)))),AMP70*(1-MAX(0,DP71)*H_Exit))</f>
        <v>0</v>
      </c>
      <c r="HD71" s="20" t="n">
        <f aca="false">IF(H_Direct=1,IF(AMQ70&lt;=0,0,IF(DQ71&lt;=0,AMQ70,AMQ70-G71*MAX(0,DQ71*AMQ70-(KP71+OC71)))),AMQ70*(1-MAX(0,DQ71)*H_Exit))</f>
        <v>0</v>
      </c>
      <c r="HE71" s="20" t="n">
        <f aca="false">IF(H_Direct=1,IF(AMR70&lt;=0,0,IF(DR71&lt;=0,AMR70,AMR70-G71*MAX(0,DR71*AMR70-(KQ71+OD71)))),AMR70*(1-MAX(0,DR71)*H_Exit))</f>
        <v>0</v>
      </c>
      <c r="HF71" s="20" t="n">
        <f aca="false">IF(H_Direct=1,IF(AMS70&lt;=0,0,IF(DS71&lt;=0,AMS70,AMS70-G71*MAX(0,DS71*AMS70-(KR71+OE71)))),AMS70*(1-MAX(0,DS71)*H_Exit))</f>
        <v>0</v>
      </c>
      <c r="HG71" s="20" t="n">
        <f aca="false">IF(H_Direct=1,IF(AMT70&lt;=0,0,IF(DT71&lt;=0,AMT70,AMT70-G71*MAX(0,DT71*AMT70-(KS71+OF71)))),AMT70*(1-MAX(0,DT71)*H_Exit))</f>
        <v>0</v>
      </c>
      <c r="HH71" s="20" t="n">
        <f aca="false">IF(H_Direct=1,IF(AMU70&lt;=0,0,IF(DU71&lt;=0,AMU70,AMU70-G71*MAX(0,DU71*AMU70-(KT71+OG71)))),AMU70*(1-MAX(0,DU71)*H_Exit))</f>
        <v>0</v>
      </c>
      <c r="HI71" s="20" t="n">
        <f aca="false">IF(H_Direct=1,IF(AMV70&lt;=0,0,IF(DV71&lt;=0,AMV70,AMV70-G71*MAX(0,DV71*AMV70-(KU71+OH71)))),AMV70*(1-MAX(0,DV71)*H_Exit))</f>
        <v>0</v>
      </c>
      <c r="HJ71" s="20" t="n">
        <f aca="false">IF(H_Direct=1,IF(AMW70&lt;=0,0,IF(DW71&lt;=0,AMW70,AMW70-G71*MAX(0,DW71*AMW70-(KV71+OI71)))),AMW70*(1-MAX(0,DW71)*H_Exit))</f>
        <v>0</v>
      </c>
      <c r="HK71" s="20" t="n">
        <f aca="false">IF(H_Direct=1,IF(AMX70&lt;=0,0,IF(DX71&lt;=0,AMX70,AMX70-G71*MAX(0,DX71*AMX70-(KW71+OJ71)))),AMX70*(1-MAX(0,DX71)*H_Exit))</f>
        <v>0</v>
      </c>
      <c r="HL71" s="20" t="n">
        <f aca="false">IF(H_Direct=1,IF(AMY70&lt;=0,0,IF(DY71&lt;=0,AMY70,AMY70-G71*MAX(0,DY71*AMY70-(KX71+OK71)))),AMY70*(1-MAX(0,DY71)*H_Exit))</f>
        <v>0</v>
      </c>
      <c r="HM71" s="20" t="n">
        <f aca="false">IF(H_Direct=1,IF(AMZ70&lt;=0,0,IF(DZ71&lt;=0,AMZ70,AMZ70-G71*MAX(0,DZ71*AMZ70-(KY71+OL71)))),AMZ70*(1-MAX(0,DZ71)*H_Exit))</f>
        <v>0</v>
      </c>
      <c r="HN71" s="20" t="n">
        <f aca="false">IF(H_Direct=1,IF(ANA70&lt;=0,0,IF(EA71&lt;=0,ANA70,ANA70-G71*MAX(0,EA71*ANA70-(KZ71+OM71)))),ANA70*(1-MAX(0,EA71)*H_Exit))</f>
        <v>0</v>
      </c>
      <c r="HO71" s="20" t="n">
        <f aca="false">IF(H_Direct=1,IF(ANB70&lt;=0,0,IF(EB71&lt;=0,ANB70,ANB70-G71*MAX(0,EB71*ANB70-(LA71+ON71)))),ANB70*(1-MAX(0,EB71)*H_Exit))</f>
        <v>0</v>
      </c>
      <c r="HP71" s="20" t="n">
        <f aca="false">IF(H_Direct=1,IF(ANC70&lt;=0,0,IF(EC71&lt;=0,ANC70,ANC70-G71*MAX(0,EC71*ANC70-(LB71+OO71)))),ANC70*(1-MAX(0,EC71)*H_Exit))</f>
        <v>0</v>
      </c>
      <c r="HQ71" s="20" t="n">
        <f aca="false">IF(H_Direct=1,IF((P71+S71)&lt;=0,0,IF(ED71&lt;=0,(P71+S71),(P71+S71)-G71*MAX(0,ED71*(P71+S71)-(LC71+OP71)))),(P71+S71)*(1-MAX(0,ED71)*H_Exit))</f>
        <v>0</v>
      </c>
      <c r="HR71" s="20" t="n">
        <v>0</v>
      </c>
      <c r="HS71" s="20" t="n">
        <v>0</v>
      </c>
      <c r="HT71" s="20" t="n">
        <v>0</v>
      </c>
      <c r="HU71" s="20" t="n">
        <v>0</v>
      </c>
      <c r="HV71" s="20" t="n">
        <v>0</v>
      </c>
      <c r="HW71" s="20" t="n">
        <v>0</v>
      </c>
      <c r="HX71" s="20" t="n">
        <v>0</v>
      </c>
      <c r="HY71" s="20" t="n">
        <v>0</v>
      </c>
      <c r="HZ71" s="20" t="n">
        <v>0</v>
      </c>
      <c r="IA71" s="20" t="n">
        <v>0</v>
      </c>
      <c r="IB71" s="20" t="n">
        <v>0</v>
      </c>
      <c r="IC71" s="20" t="n">
        <v>0</v>
      </c>
      <c r="ID71" s="20" t="n">
        <v>0</v>
      </c>
      <c r="IE71" s="20" t="n">
        <v>0</v>
      </c>
      <c r="IF71" s="20" t="n">
        <v>0</v>
      </c>
      <c r="IG71" s="20" t="n">
        <v>0</v>
      </c>
      <c r="IH71" s="20" t="n">
        <v>0</v>
      </c>
      <c r="II71" s="20" t="n">
        <v>0</v>
      </c>
      <c r="IJ71" s="20" t="n">
        <v>0</v>
      </c>
      <c r="IK71" s="20" t="n">
        <v>0</v>
      </c>
      <c r="IL71" s="20" t="n">
        <v>0</v>
      </c>
      <c r="IM71" s="20" t="n">
        <v>0</v>
      </c>
      <c r="IN71" s="20" t="n">
        <v>0</v>
      </c>
      <c r="IO71" s="20" t="n">
        <v>0</v>
      </c>
      <c r="IP71" s="20" t="n">
        <v>0</v>
      </c>
      <c r="IQ71" s="20" t="n">
        <v>0</v>
      </c>
      <c r="IR71" s="20" t="n">
        <f aca="false">IF(AND(H_Direct=1,BR71&gt;0),MAX(0,H71-(MIN(BR71*AKR70,H71+I71)-MIN(MIN(BR71*AKR70,H71+I71),I71))),H71)</f>
        <v>1270</v>
      </c>
      <c r="IS71" s="20" t="n">
        <f aca="false">IF(AND(H_Direct=1,BS71&gt;0),MAX(0,IR71-(MIN(BS71*AKS70,IR71+ME71)-MIN(MIN(BS71*AKS70,IR71+ME71),ME71))),IR71)</f>
        <v>1270</v>
      </c>
      <c r="IT71" s="20" t="n">
        <f aca="false">IF(AND(H_Direct=1,BT71&gt;0),MAX(0,IS71-(MIN(BT71*AKT70,IS71+MF71)-MIN(MIN(BT71*AKT70,IS71+MF71),MF71))),IS71)</f>
        <v>1270</v>
      </c>
      <c r="IU71" s="20" t="n">
        <f aca="false">IF(AND(H_Direct=1,BU71&gt;0),MAX(0,IT71-(MIN(BU71*AKU70,IT71+MG71)-MIN(MIN(BU71*AKU70,IT71+MG71),MG71))),IT71)</f>
        <v>1270</v>
      </c>
      <c r="IV71" s="20" t="n">
        <f aca="false">IF(AND(H_Direct=1,BV71&gt;0),MAX(0,IU71-(MIN(BV71*AKV70,IU71+MH71)-MIN(MIN(BV71*AKV70,IU71+MH71),MH71))),IU71)</f>
        <v>1270</v>
      </c>
      <c r="IW71" s="20" t="n">
        <f aca="false">IF(AND(H_Direct=1,BW71&gt;0),MAX(0,IV71-(MIN(BW71*AKW70,IV71+MI71)-MIN(MIN(BW71*AKW70,IV71+MI71),MI71))),IV71)</f>
        <v>1270</v>
      </c>
      <c r="IX71" s="20" t="n">
        <f aca="false">IF(AND(H_Direct=1,BX71&gt;0),MAX(0,IW71-(MIN(BX71*AKX70,IW71+MJ71)-MIN(MIN(BX71*AKX70,IW71+MJ71),MJ71))),IW71)</f>
        <v>1270</v>
      </c>
      <c r="IY71" s="20" t="n">
        <f aca="false">IF(AND(H_Direct=1,BY71&gt;0),MAX(0,IX71-(MIN(BY71*AKY70,IX71+MK71)-MIN(MIN(BY71*AKY70,IX71+MK71),MK71))),IX71)</f>
        <v>1270</v>
      </c>
      <c r="IZ71" s="20" t="n">
        <f aca="false">IF(AND(H_Direct=1,BZ71&gt;0),MAX(0,IY71-(MIN(BZ71*AKZ70,IY71+ML71)-MIN(MIN(BZ71*AKZ70,IY71+ML71),ML71))),IY71)</f>
        <v>1270</v>
      </c>
      <c r="JA71" s="20" t="n">
        <f aca="false">IF(AND(H_Direct=1,CA71&gt;0),MAX(0,IZ71-(MIN(CA71*ALA70,IZ71+MM71)-MIN(MIN(CA71*ALA70,IZ71+MM71),MM71))),IZ71)</f>
        <v>1270</v>
      </c>
      <c r="JB71" s="20" t="n">
        <f aca="false">IF(AND(H_Direct=1,CB71&gt;0),MAX(0,JA71-(MIN(CB71*ALB70,JA71+MN71)-MIN(MIN(CB71*ALB70,JA71+MN71),MN71))),JA71)</f>
        <v>1270</v>
      </c>
      <c r="JC71" s="20" t="n">
        <f aca="false">IF(AND(H_Direct=1,CC71&gt;0),MAX(0,JB71-(MIN(CC71*ALC70,JB71+MO71)-MIN(MIN(CC71*ALC70,JB71+MO71),MO71))),JB71)</f>
        <v>1270</v>
      </c>
      <c r="JD71" s="20" t="n">
        <f aca="false">IF(AND(H_Direct=1,CD71&gt;0),MAX(0,JC71-(MIN(CD71*ALD70,JC71+MP71)-MIN(MIN(CD71*ALD70,JC71+MP71),MP71))),JC71)</f>
        <v>1270</v>
      </c>
      <c r="JE71" s="20" t="n">
        <f aca="false">IF(AND(H_Direct=1,CE71&gt;0),MAX(0,JD71-(MIN(CE71*ALE70,JD71+MQ71)-MIN(MIN(CE71*ALE70,JD71+MQ71),MQ71))),JD71)</f>
        <v>1270</v>
      </c>
      <c r="JF71" s="20" t="n">
        <f aca="false">IF(AND(H_Direct=1,CF71&gt;0),MAX(0,JE71-(MIN(CF71*ALF70,JE71+MR71)-MIN(MIN(CF71*ALF70,JE71+MR71),MR71))),JE71)</f>
        <v>1270</v>
      </c>
      <c r="JG71" s="20" t="n">
        <f aca="false">IF(AND(H_Direct=1,CG71&gt;0),MAX(0,JF71-(MIN(CG71*ALG70,JF71+MS71)-MIN(MIN(CG71*ALG70,JF71+MS71),MS71))),JF71)</f>
        <v>1270</v>
      </c>
      <c r="JH71" s="20" t="n">
        <f aca="false">IF(AND(H_Direct=1,CH71&gt;0),MAX(0,JG71-(MIN(CH71*ALH70,JG71+MT71)-MIN(MIN(CH71*ALH70,JG71+MT71),MT71))),JG71)</f>
        <v>1270</v>
      </c>
      <c r="JI71" s="20" t="n">
        <f aca="false">IF(AND(H_Direct=1,CI71&gt;0),MAX(0,JH71-(MIN(CI71*ALI70,JH71+MU71)-MIN(MIN(CI71*ALI70,JH71+MU71),MU71))),JH71)</f>
        <v>1270</v>
      </c>
      <c r="JJ71" s="20" t="n">
        <f aca="false">IF(AND(H_Direct=1,CJ71&gt;0),MAX(0,JI71-(MIN(CJ71*ALJ70,JI71+MV71)-MIN(MIN(CJ71*ALJ70,JI71+MV71),MV71))),JI71)</f>
        <v>1270</v>
      </c>
      <c r="JK71" s="20" t="n">
        <f aca="false">IF(AND(H_Direct=1,CK71&gt;0),MAX(0,JJ71-(MIN(CK71*ALK70,JJ71+MW71)-MIN(MIN(CK71*ALK70,JJ71+MW71),MW71))),JJ71)</f>
        <v>1270</v>
      </c>
      <c r="JL71" s="20" t="n">
        <f aca="false">IF(AND(H_Direct=1,CL71&gt;0),MAX(0,JK71-(MIN(CL71*ALL70,JK71+MX71)-MIN(MIN(CL71*ALL70,JK71+MX71),MX71))),JK71)</f>
        <v>1270</v>
      </c>
      <c r="JM71" s="20" t="n">
        <f aca="false">IF(AND(H_Direct=1,CM71&gt;0),MAX(0,JL71-(MIN(CM71*ALM70,JL71+MY71)-MIN(MIN(CM71*ALM70,JL71+MY71),MY71))),JL71)</f>
        <v>1270</v>
      </c>
      <c r="JN71" s="20" t="n">
        <f aca="false">IF(AND(H_Direct=1,CN71&gt;0),MAX(0,JM71-(MIN(CN71*ALN70,JM71+MZ71)-MIN(MIN(CN71*ALN70,JM71+MZ71),MZ71))),JM71)</f>
        <v>1270</v>
      </c>
      <c r="JO71" s="20" t="n">
        <f aca="false">IF(AND(H_Direct=1,CO71&gt;0),MAX(0,JN71-(MIN(CO71*ALO70,JN71+NA71)-MIN(MIN(CO71*ALO70,JN71+NA71),NA71))),JN71)</f>
        <v>1270</v>
      </c>
      <c r="JP71" s="20" t="n">
        <f aca="false">IF(AND(H_Direct=1,CP71&gt;0),MAX(0,JO71-(MIN(CP71*ALP70,JO71+NB71)-MIN(MIN(CP71*ALP70,JO71+NB71),NB71))),JO71)</f>
        <v>1270</v>
      </c>
      <c r="JQ71" s="20" t="n">
        <f aca="false">IF(AND(H_Direct=1,CQ71&gt;0),MAX(0,JP71-(MIN(CQ71*ALQ70,JP71+NC71)-MIN(MIN(CQ71*ALQ70,JP71+NC71),NC71))),JP71)</f>
        <v>1270</v>
      </c>
      <c r="JR71" s="20" t="n">
        <f aca="false">IF(AND(H_Direct=1,CR71&gt;0),MAX(0,JQ71-(MIN(CR71*ALR70,JQ71+ND71)-MIN(MIN(CR71*ALR70,JQ71+ND71),ND71))),JQ71)</f>
        <v>1270</v>
      </c>
      <c r="JS71" s="20" t="n">
        <f aca="false">IF(AND(H_Direct=1,CS71&gt;0),MAX(0,JR71-(MIN(CS71*ALS70,JR71+NE71)-MIN(MIN(CS71*ALS70,JR71+NE71),NE71))),JR71)</f>
        <v>1270</v>
      </c>
      <c r="JT71" s="20" t="n">
        <f aca="false">IF(AND(H_Direct=1,CT71&gt;0),MAX(0,JS71-(MIN(CT71*ALT70,JS71+NF71)-MIN(MIN(CT71*ALT70,JS71+NF71),NF71))),JS71)</f>
        <v>1270</v>
      </c>
      <c r="JU71" s="20" t="n">
        <f aca="false">IF(AND(H_Direct=1,CU71&gt;0),MAX(0,JT71-(MIN(CU71*ALU70,JT71+NG71)-MIN(MIN(CU71*ALU70,JT71+NG71),NG71))),JT71)</f>
        <v>1270</v>
      </c>
      <c r="JV71" s="20" t="n">
        <f aca="false">IF(AND(H_Direct=1,CV71&gt;0),MAX(0,JU71-(MIN(CV71*ALV70,JU71+NH71)-MIN(MIN(CV71*ALV70,JU71+NH71),NH71))),JU71)</f>
        <v>1270</v>
      </c>
      <c r="JW71" s="20" t="n">
        <f aca="false">IF(AND(H_Direct=1,CW71&gt;0),MAX(0,JV71-(MIN(CW71*ALW70,JV71+NI71)-MIN(MIN(CW71*ALW70,JV71+NI71),NI71))),JV71)</f>
        <v>1270</v>
      </c>
      <c r="JX71" s="20" t="n">
        <f aca="false">IF(AND(H_Direct=1,CX71&gt;0),MAX(0,JW71-(MIN(CX71*ALX70,JW71+NJ71)-MIN(MIN(CX71*ALX70,JW71+NJ71),NJ71))),JW71)</f>
        <v>1270</v>
      </c>
      <c r="JY71" s="20" t="n">
        <f aca="false">IF(AND(H_Direct=1,CY71&gt;0),MAX(0,JX71-(MIN(CY71*ALY70,JX71+NK71)-MIN(MIN(CY71*ALY70,JX71+NK71),NK71))),JX71)</f>
        <v>1270</v>
      </c>
      <c r="JZ71" s="20" t="n">
        <f aca="false">IF(AND(H_Direct=1,CZ71&gt;0),MAX(0,JY71-(MIN(CZ71*ALZ70,JY71+NL71)-MIN(MIN(CZ71*ALZ70,JY71+NL71),NL71))),JY71)</f>
        <v>1270</v>
      </c>
      <c r="KA71" s="20" t="n">
        <f aca="false">IF(AND(H_Direct=1,DA71&gt;0),MAX(0,JZ71-(MIN(DA71*AMA70,JZ71+NM71)-MIN(MIN(DA71*AMA70,JZ71+NM71),NM71))),JZ71)</f>
        <v>1270</v>
      </c>
      <c r="KB71" s="20" t="n">
        <f aca="false">IF(AND(H_Direct=1,DB71&gt;0),MAX(0,KA71-(MIN(DB71*AMB70,KA71+NN71)-MIN(MIN(DB71*AMB70,KA71+NN71),NN71))),KA71)</f>
        <v>1270</v>
      </c>
      <c r="KC71" s="20" t="n">
        <f aca="false">IF(AND(H_Direct=1,DC71&gt;0),MAX(0,KB71-(MIN(DC71*AMC70,KB71+NO71)-MIN(MIN(DC71*AMC70,KB71+NO71),NO71))),KB71)</f>
        <v>1270</v>
      </c>
      <c r="KD71" s="20" t="n">
        <f aca="false">IF(AND(H_Direct=1,DD71&gt;0),MAX(0,KC71-(MIN(DD71*AMD70,KC71+NP71)-MIN(MIN(DD71*AMD70,KC71+NP71),NP71))),KC71)</f>
        <v>1270</v>
      </c>
      <c r="KE71" s="20" t="n">
        <f aca="false">IF(AND(H_Direct=1,DE71&gt;0),MAX(0,KD71-(MIN(DE71*AME70,KD71+NQ71)-MIN(MIN(DE71*AME70,KD71+NQ71),NQ71))),KD71)</f>
        <v>1270</v>
      </c>
      <c r="KF71" s="20" t="n">
        <f aca="false">IF(AND(H_Direct=1,DF71&gt;0),MAX(0,KE71-(MIN(DF71*AMF70,KE71+NR71)-MIN(MIN(DF71*AMF70,KE71+NR71),NR71))),KE71)</f>
        <v>1270</v>
      </c>
      <c r="KG71" s="20" t="n">
        <f aca="false">IF(AND(H_Direct=1,DG71&gt;0),MAX(0,KF71-(MIN(DG71*AMG70,KF71+NS71)-MIN(MIN(DG71*AMG70,KF71+NS71),NS71))),KF71)</f>
        <v>1270</v>
      </c>
      <c r="KH71" s="20" t="n">
        <f aca="false">IF(AND(H_Direct=1,DH71&gt;0),MAX(0,KG71-(MIN(DH71*AMH70,KG71+NT71)-MIN(MIN(DH71*AMH70,KG71+NT71),NT71))),KG71)</f>
        <v>1270</v>
      </c>
      <c r="KI71" s="20" t="n">
        <f aca="false">IF(AND(H_Direct=1,DI71&gt;0),MAX(0,KH71-(MIN(DI71*AMI70,KH71+NU71)-MIN(MIN(DI71*AMI70,KH71+NU71),NU71))),KH71)</f>
        <v>1270</v>
      </c>
      <c r="KJ71" s="20" t="n">
        <f aca="false">IF(AND(H_Direct=1,DJ71&gt;0),MAX(0,KI71-(MIN(DJ71*AMJ70,KI71+NV71)-MIN(MIN(DJ71*AMJ70,KI71+NV71),NV71))),KI71)</f>
        <v>1270</v>
      </c>
      <c r="KK71" s="20" t="n">
        <f aca="false">IF(AND(H_Direct=1,DK71&gt;0),MAX(0,KJ71-(MIN(DK71*AMK70,KJ71+NW71)-MIN(MIN(DK71*AMK70,KJ71+NW71),NW71))),KJ71)</f>
        <v>1270</v>
      </c>
      <c r="KL71" s="20" t="n">
        <f aca="false">IF(AND(H_Direct=1,DL71&gt;0),MAX(0,KK71-(MIN(DL71*AML70,KK71+NX71)-MIN(MIN(DL71*AML70,KK71+NX71),NX71))),KK71)</f>
        <v>1270</v>
      </c>
      <c r="KM71" s="20" t="n">
        <f aca="false">IF(AND(H_Direct=1,DM71&gt;0),MAX(0,KL71-(MIN(DM71*AMM70,KL71+NY71)-MIN(MIN(DM71*AMM70,KL71+NY71),NY71))),KL71)</f>
        <v>1270</v>
      </c>
      <c r="KN71" s="20" t="n">
        <f aca="false">IF(AND(H_Direct=1,DN71&gt;0),MAX(0,KM71-(MIN(DN71*AMN70,KM71+NZ71)-MIN(MIN(DN71*AMN70,KM71+NZ71),NZ71))),KM71)</f>
        <v>1270</v>
      </c>
      <c r="KO71" s="20" t="n">
        <f aca="false">IF(AND(H_Direct=1,DO71&gt;0),MAX(0,KN71-(MIN(DO71*AMO70,KN71+OA71)-MIN(MIN(DO71*AMO70,KN71+OA71),OA71))),KN71)</f>
        <v>1270</v>
      </c>
      <c r="KP71" s="20" t="n">
        <f aca="false">IF(AND(H_Direct=1,DP71&gt;0),MAX(0,KO71-(MIN(DP71*AMP70,KO71+OB71)-MIN(MIN(DP71*AMP70,KO71+OB71),OB71))),KO71)</f>
        <v>1270</v>
      </c>
      <c r="KQ71" s="20" t="n">
        <f aca="false">IF(AND(H_Direct=1,DQ71&gt;0),MAX(0,KP71-(MIN(DQ71*AMQ70,KP71+OC71)-MIN(MIN(DQ71*AMQ70,KP71+OC71),OC71))),KP71)</f>
        <v>1270</v>
      </c>
      <c r="KR71" s="20" t="n">
        <f aca="false">IF(AND(H_Direct=1,DR71&gt;0),MAX(0,KQ71-(MIN(DR71*AMR70,KQ71+OD71)-MIN(MIN(DR71*AMR70,KQ71+OD71),OD71))),KQ71)</f>
        <v>1270</v>
      </c>
      <c r="KS71" s="20" t="n">
        <f aca="false">IF(AND(H_Direct=1,DS71&gt;0),MAX(0,KR71-(MIN(DS71*AMS70,KR71+OE71)-MIN(MIN(DS71*AMS70,KR71+OE71),OE71))),KR71)</f>
        <v>1270</v>
      </c>
      <c r="KT71" s="20" t="n">
        <f aca="false">IF(AND(H_Direct=1,DT71&gt;0),MAX(0,KS71-(MIN(DT71*AMT70,KS71+OF71)-MIN(MIN(DT71*AMT70,KS71+OF71),OF71))),KS71)</f>
        <v>1270</v>
      </c>
      <c r="KU71" s="20" t="n">
        <f aca="false">IF(AND(H_Direct=1,DU71&gt;0),MAX(0,KT71-(MIN(DU71*AMU70,KT71+OG71)-MIN(MIN(DU71*AMU70,KT71+OG71),OG71))),KT71)</f>
        <v>1270</v>
      </c>
      <c r="KV71" s="20" t="n">
        <f aca="false">IF(AND(H_Direct=1,DV71&gt;0),MAX(0,KU71-(MIN(DV71*AMV70,KU71+OH71)-MIN(MIN(DV71*AMV70,KU71+OH71),OH71))),KU71)</f>
        <v>1270</v>
      </c>
      <c r="KW71" s="20" t="n">
        <f aca="false">IF(AND(H_Direct=1,DW71&gt;0),MAX(0,KV71-(MIN(DW71*AMW70,KV71+OI71)-MIN(MIN(DW71*AMW70,KV71+OI71),OI71))),KV71)</f>
        <v>1270</v>
      </c>
      <c r="KX71" s="20" t="n">
        <f aca="false">IF(AND(H_Direct=1,DX71&gt;0),MAX(0,KW71-(MIN(DX71*AMX70,KW71+OJ71)-MIN(MIN(DX71*AMX70,KW71+OJ71),OJ71))),KW71)</f>
        <v>1270</v>
      </c>
      <c r="KY71" s="20" t="n">
        <f aca="false">IF(AND(H_Direct=1,DY71&gt;0),MAX(0,KX71-(MIN(DY71*AMY70,KX71+OK71)-MIN(MIN(DY71*AMY70,KX71+OK71),OK71))),KX71)</f>
        <v>1270</v>
      </c>
      <c r="KZ71" s="20" t="n">
        <f aca="false">IF(AND(H_Direct=1,DZ71&gt;0),MAX(0,KY71-(MIN(DZ71*AMZ70,KY71+OL71)-MIN(MIN(DZ71*AMZ70,KY71+OL71),OL71))),KY71)</f>
        <v>1270</v>
      </c>
      <c r="LA71" s="20" t="n">
        <f aca="false">IF(AND(H_Direct=1,EA71&gt;0),MAX(0,KZ71-(MIN(EA71*ANA70,KZ71+OM71)-MIN(MIN(EA71*ANA70,KZ71+OM71),OM71))),KZ71)</f>
        <v>1270</v>
      </c>
      <c r="LB71" s="20" t="n">
        <f aca="false">IF(AND(H_Direct=1,EB71&gt;0),MAX(0,LA71-(MIN(EB71*ANB70,LA71+ON71)-MIN(MIN(EB71*ANB70,LA71+ON71),ON71))),LA71)</f>
        <v>1270</v>
      </c>
      <c r="LC71" s="20" t="n">
        <f aca="false">IF(AND(H_Direct=1,EC71&gt;0),MAX(0,LB71-(MIN(EC71*ANC70,LB71+OO71)-MIN(MIN(EC71*ANC70,LB71+OO71),OO71))),LB71)</f>
        <v>1270</v>
      </c>
      <c r="LD71" s="20" t="n">
        <f aca="false">IF(AND(H_Direct=1,ED71&gt;0),MAX(0,LC71-(MIN(ED71*(P71+S71),LC71+OP71)-MIN(MIN(ED71*(P71+S71),LC71+OP71),OP71))),LC71)</f>
        <v>1270</v>
      </c>
      <c r="LE71" s="20" t="n">
        <f aca="false">LD71</f>
        <v>1270</v>
      </c>
      <c r="LF71" s="20" t="n">
        <f aca="false">LE71</f>
        <v>1270</v>
      </c>
      <c r="LG71" s="20" t="n">
        <f aca="false">LF71</f>
        <v>1270</v>
      </c>
      <c r="LH71" s="20" t="n">
        <f aca="false">LG71</f>
        <v>1270</v>
      </c>
      <c r="LI71" s="20" t="n">
        <f aca="false">LH71</f>
        <v>1270</v>
      </c>
      <c r="LJ71" s="20" t="n">
        <f aca="false">LI71</f>
        <v>1270</v>
      </c>
      <c r="LK71" s="20" t="n">
        <f aca="false">LJ71</f>
        <v>1270</v>
      </c>
      <c r="LL71" s="20" t="n">
        <f aca="false">LK71</f>
        <v>1270</v>
      </c>
      <c r="LM71" s="20" t="n">
        <f aca="false">LL71</f>
        <v>1270</v>
      </c>
      <c r="LN71" s="20" t="n">
        <f aca="false">LM71</f>
        <v>1270</v>
      </c>
      <c r="LO71" s="20" t="n">
        <f aca="false">LN71</f>
        <v>1270</v>
      </c>
      <c r="LP71" s="20" t="n">
        <f aca="false">LO71</f>
        <v>1270</v>
      </c>
      <c r="LQ71" s="20" t="n">
        <f aca="false">LP71</f>
        <v>1270</v>
      </c>
      <c r="LR71" s="20" t="n">
        <f aca="false">LQ71</f>
        <v>1270</v>
      </c>
      <c r="LS71" s="20" t="n">
        <f aca="false">LR71</f>
        <v>1270</v>
      </c>
      <c r="LT71" s="20" t="n">
        <f aca="false">LS71</f>
        <v>1270</v>
      </c>
      <c r="LU71" s="20" t="n">
        <f aca="false">LT71</f>
        <v>1270</v>
      </c>
      <c r="LV71" s="20" t="n">
        <f aca="false">LU71</f>
        <v>1270</v>
      </c>
      <c r="LW71" s="20" t="n">
        <f aca="false">LV71</f>
        <v>1270</v>
      </c>
      <c r="LX71" s="20" t="n">
        <f aca="false">LW71</f>
        <v>1270</v>
      </c>
      <c r="LY71" s="20" t="n">
        <f aca="false">LX71</f>
        <v>1270</v>
      </c>
      <c r="LZ71" s="20" t="n">
        <f aca="false">LY71</f>
        <v>1270</v>
      </c>
      <c r="MA71" s="20" t="n">
        <f aca="false">LZ71</f>
        <v>1270</v>
      </c>
      <c r="MB71" s="20" t="n">
        <f aca="false">MA71</f>
        <v>1270</v>
      </c>
      <c r="MC71" s="20" t="n">
        <f aca="false">MB71</f>
        <v>1270</v>
      </c>
      <c r="MD71" s="20" t="n">
        <f aca="false">MC71</f>
        <v>1270</v>
      </c>
      <c r="ME71" s="20" t="n">
        <f aca="false">IF(H_Direct=1,IF(BR71&lt;=0,I71-BR71*AKR70,I71-MIN(MIN(BR71*AKR70,H71+I71),I71)),I71)</f>
        <v>0</v>
      </c>
      <c r="MF71" s="20" t="n">
        <f aca="false">IF(H_Direct=1,IF(BS71&lt;=0,ME71-BS71*AKS70,ME71-MIN(MIN(BS71*AKS70,IR71+ME71),ME71)),ME71)</f>
        <v>0</v>
      </c>
      <c r="MG71" s="20" t="n">
        <f aca="false">IF(H_Direct=1,IF(BT71&lt;=0,MF71-BT71*AKT70,MF71-MIN(MIN(BT71*AKT70,IS71+MF71),MF71)),MF71)</f>
        <v>0</v>
      </c>
      <c r="MH71" s="20" t="n">
        <f aca="false">IF(H_Direct=1,IF(BU71&lt;=0,MG71-BU71*AKU70,MG71-MIN(MIN(BU71*AKU70,IT71+MG71),MG71)),MG71)</f>
        <v>0</v>
      </c>
      <c r="MI71" s="20" t="n">
        <f aca="false">IF(H_Direct=1,IF(BV71&lt;=0,MH71-BV71*AKV70,MH71-MIN(MIN(BV71*AKV70,IU71+MH71),MH71)),MH71)</f>
        <v>0</v>
      </c>
      <c r="MJ71" s="20" t="n">
        <f aca="false">IF(H_Direct=1,IF(BW71&lt;=0,MI71-BW71*AKW70,MI71-MIN(MIN(BW71*AKW70,IV71+MI71),MI71)),MI71)</f>
        <v>0</v>
      </c>
      <c r="MK71" s="20" t="n">
        <f aca="false">IF(H_Direct=1,IF(BX71&lt;=0,MJ71-BX71*AKX70,MJ71-MIN(MIN(BX71*AKX70,IW71+MJ71),MJ71)),MJ71)</f>
        <v>0</v>
      </c>
      <c r="ML71" s="20" t="n">
        <f aca="false">IF(H_Direct=1,IF(BY71&lt;=0,MK71-BY71*AKY70,MK71-MIN(MIN(BY71*AKY70,IX71+MK71),MK71)),MK71)</f>
        <v>0</v>
      </c>
      <c r="MM71" s="20" t="n">
        <f aca="false">IF(H_Direct=1,IF(BZ71&lt;=0,ML71-BZ71*AKZ70,ML71-MIN(MIN(BZ71*AKZ70,IY71+ML71),ML71)),ML71)</f>
        <v>0</v>
      </c>
      <c r="MN71" s="20" t="n">
        <f aca="false">IF(H_Direct=1,IF(CA71&lt;=0,MM71-CA71*ALA70,MM71-MIN(MIN(CA71*ALA70,IZ71+MM71),MM71)),MM71)</f>
        <v>0</v>
      </c>
      <c r="MO71" s="20" t="n">
        <f aca="false">IF(H_Direct=1,IF(CB71&lt;=0,MN71-CB71*ALB70,MN71-MIN(MIN(CB71*ALB70,JA71+MN71),MN71)),MN71)</f>
        <v>0</v>
      </c>
      <c r="MP71" s="20" t="n">
        <f aca="false">IF(H_Direct=1,IF(CC71&lt;=0,MO71-CC71*ALC70,MO71-MIN(MIN(CC71*ALC70,JB71+MO71),MO71)),MO71)</f>
        <v>0</v>
      </c>
      <c r="MQ71" s="20" t="n">
        <f aca="false">IF(H_Direct=1,IF(CD71&lt;=0,MP71-CD71*ALD70,MP71-MIN(MIN(CD71*ALD70,JC71+MP71),MP71)),MP71)</f>
        <v>0</v>
      </c>
      <c r="MR71" s="20" t="n">
        <f aca="false">IF(H_Direct=1,IF(CE71&lt;=0,MQ71-CE71*ALE70,MQ71-MIN(MIN(CE71*ALE70,JD71+MQ71),MQ71)),MQ71)</f>
        <v>0</v>
      </c>
      <c r="MS71" s="20" t="n">
        <f aca="false">IF(H_Direct=1,IF(CF71&lt;=0,MR71-CF71*ALF70,MR71-MIN(MIN(CF71*ALF70,JE71+MR71),MR71)),MR71)</f>
        <v>0</v>
      </c>
      <c r="MT71" s="20" t="n">
        <f aca="false">IF(H_Direct=1,IF(CG71&lt;=0,MS71-CG71*ALG70,MS71-MIN(MIN(CG71*ALG70,JF71+MS71),MS71)),MS71)</f>
        <v>0</v>
      </c>
      <c r="MU71" s="20" t="n">
        <f aca="false">IF(H_Direct=1,IF(CH71&lt;=0,MT71-CH71*ALH70,MT71-MIN(MIN(CH71*ALH70,JG71+MT71),MT71)),MT71)</f>
        <v>0</v>
      </c>
      <c r="MV71" s="20" t="n">
        <f aca="false">IF(H_Direct=1,IF(CI71&lt;=0,MU71-CI71*ALI70,MU71-MIN(MIN(CI71*ALI70,JH71+MU71),MU71)),MU71)</f>
        <v>0</v>
      </c>
      <c r="MW71" s="20" t="n">
        <f aca="false">IF(H_Direct=1,IF(CJ71&lt;=0,MV71-CJ71*ALJ70,MV71-MIN(MIN(CJ71*ALJ70,JI71+MV71),MV71)),MV71)</f>
        <v>0</v>
      </c>
      <c r="MX71" s="20" t="n">
        <f aca="false">IF(H_Direct=1,IF(CK71&lt;=0,MW71-CK71*ALK70,MW71-MIN(MIN(CK71*ALK70,JJ71+MW71),MW71)),MW71)</f>
        <v>0</v>
      </c>
      <c r="MY71" s="20" t="n">
        <f aca="false">IF(H_Direct=1,IF(CL71&lt;=0,MX71-CL71*ALL70,MX71-MIN(MIN(CL71*ALL70,JK71+MX71),MX71)),MX71)</f>
        <v>0</v>
      </c>
      <c r="MZ71" s="20" t="n">
        <f aca="false">IF(H_Direct=1,IF(CM71&lt;=0,MY71-CM71*ALM70,MY71-MIN(MIN(CM71*ALM70,JL71+MY71),MY71)),MY71)</f>
        <v>0</v>
      </c>
      <c r="NA71" s="20" t="n">
        <f aca="false">IF(H_Direct=1,IF(CN71&lt;=0,MZ71-CN71*ALN70,MZ71-MIN(MIN(CN71*ALN70,JM71+MZ71),MZ71)),MZ71)</f>
        <v>0</v>
      </c>
      <c r="NB71" s="20" t="n">
        <f aca="false">IF(H_Direct=1,IF(CO71&lt;=0,NA71-CO71*ALO70,NA71-MIN(MIN(CO71*ALO70,JN71+NA71),NA71)),NA71)</f>
        <v>0</v>
      </c>
      <c r="NC71" s="20" t="n">
        <f aca="false">IF(H_Direct=1,IF(CP71&lt;=0,NB71-CP71*ALP70,NB71-MIN(MIN(CP71*ALP70,JO71+NB71),NB71)),NB71)</f>
        <v>0</v>
      </c>
      <c r="ND71" s="20" t="n">
        <f aca="false">IF(H_Direct=1,IF(CQ71&lt;=0,NC71-CQ71*ALQ70,NC71-MIN(MIN(CQ71*ALQ70,JP71+NC71),NC71)),NC71)</f>
        <v>0</v>
      </c>
      <c r="NE71" s="20" t="n">
        <f aca="false">IF(H_Direct=1,IF(CR71&lt;=0,ND71-CR71*ALR70,ND71-MIN(MIN(CR71*ALR70,JQ71+ND71),ND71)),ND71)</f>
        <v>0</v>
      </c>
      <c r="NF71" s="20" t="n">
        <f aca="false">IF(H_Direct=1,IF(CS71&lt;=0,NE71-CS71*ALS70,NE71-MIN(MIN(CS71*ALS70,JR71+NE71),NE71)),NE71)</f>
        <v>0</v>
      </c>
      <c r="NG71" s="20" t="n">
        <f aca="false">IF(H_Direct=1,IF(CT71&lt;=0,NF71-CT71*ALT70,NF71-MIN(MIN(CT71*ALT70,JS71+NF71),NF71)),NF71)</f>
        <v>0</v>
      </c>
      <c r="NH71" s="20" t="n">
        <f aca="false">IF(H_Direct=1,IF(CU71&lt;=0,NG71-CU71*ALU70,NG71-MIN(MIN(CU71*ALU70,JT71+NG71),NG71)),NG71)</f>
        <v>0</v>
      </c>
      <c r="NI71" s="20" t="n">
        <f aca="false">IF(H_Direct=1,IF(CV71&lt;=0,NH71-CV71*ALV70,NH71-MIN(MIN(CV71*ALV70,JU71+NH71),NH71)),NH71)</f>
        <v>0</v>
      </c>
      <c r="NJ71" s="20" t="n">
        <f aca="false">IF(H_Direct=1,IF(CW71&lt;=0,NI71-CW71*ALW70,NI71-MIN(MIN(CW71*ALW70,JV71+NI71),NI71)),NI71)</f>
        <v>0</v>
      </c>
      <c r="NK71" s="20" t="n">
        <f aca="false">IF(H_Direct=1,IF(CX71&lt;=0,NJ71-CX71*ALX70,NJ71-MIN(MIN(CX71*ALX70,JW71+NJ71),NJ71)),NJ71)</f>
        <v>0</v>
      </c>
      <c r="NL71" s="20" t="n">
        <f aca="false">IF(H_Direct=1,IF(CY71&lt;=0,NK71-CY71*ALY70,NK71-MIN(MIN(CY71*ALY70,JX71+NK71),NK71)),NK71)</f>
        <v>0</v>
      </c>
      <c r="NM71" s="20" t="n">
        <f aca="false">IF(H_Direct=1,IF(CZ71&lt;=0,NL71-CZ71*ALZ70,NL71-MIN(MIN(CZ71*ALZ70,JY71+NL71),NL71)),NL71)</f>
        <v>0</v>
      </c>
      <c r="NN71" s="20" t="n">
        <f aca="false">IF(H_Direct=1,IF(DA71&lt;=0,NM71-DA71*AMA70,NM71-MIN(MIN(DA71*AMA70,JZ71+NM71),NM71)),NM71)</f>
        <v>0</v>
      </c>
      <c r="NO71" s="20" t="n">
        <f aca="false">IF(H_Direct=1,IF(DB71&lt;=0,NN71-DB71*AMB70,NN71-MIN(MIN(DB71*AMB70,KA71+NN71),NN71)),NN71)</f>
        <v>0</v>
      </c>
      <c r="NP71" s="20" t="n">
        <f aca="false">IF(H_Direct=1,IF(DC71&lt;=0,NO71-DC71*AMC70,NO71-MIN(MIN(DC71*AMC70,KB71+NO71),NO71)),NO71)</f>
        <v>0</v>
      </c>
      <c r="NQ71" s="20" t="n">
        <f aca="false">IF(H_Direct=1,IF(DD71&lt;=0,NP71-DD71*AMD70,NP71-MIN(MIN(DD71*AMD70,KC71+NP71),NP71)),NP71)</f>
        <v>0</v>
      </c>
      <c r="NR71" s="20" t="n">
        <f aca="false">IF(H_Direct=1,IF(DE71&lt;=0,NQ71-DE71*AME70,NQ71-MIN(MIN(DE71*AME70,KD71+NQ71),NQ71)),NQ71)</f>
        <v>0</v>
      </c>
      <c r="NS71" s="20" t="n">
        <f aca="false">IF(H_Direct=1,IF(DF71&lt;=0,NR71-DF71*AMF70,NR71-MIN(MIN(DF71*AMF70,KE71+NR71),NR71)),NR71)</f>
        <v>0</v>
      </c>
      <c r="NT71" s="20" t="n">
        <f aca="false">IF(H_Direct=1,IF(DG71&lt;=0,NS71-DG71*AMG70,NS71-MIN(MIN(DG71*AMG70,KF71+NS71),NS71)),NS71)</f>
        <v>0</v>
      </c>
      <c r="NU71" s="20" t="n">
        <f aca="false">IF(H_Direct=1,IF(DH71&lt;=0,NT71-DH71*AMH70,NT71-MIN(MIN(DH71*AMH70,KG71+NT71),NT71)),NT71)</f>
        <v>0</v>
      </c>
      <c r="NV71" s="20" t="n">
        <f aca="false">IF(H_Direct=1,IF(DI71&lt;=0,NU71-DI71*AMI70,NU71-MIN(MIN(DI71*AMI70,KH71+NU71),NU71)),NU71)</f>
        <v>0</v>
      </c>
      <c r="NW71" s="20" t="n">
        <f aca="false">IF(H_Direct=1,IF(DJ71&lt;=0,NV71-DJ71*AMJ70,NV71-MIN(MIN(DJ71*AMJ70,KI71+NV71),NV71)),NV71)</f>
        <v>0</v>
      </c>
      <c r="NX71" s="20" t="n">
        <f aca="false">IF(H_Direct=1,IF(DK71&lt;=0,NW71-DK71*AMK70,NW71-MIN(MIN(DK71*AMK70,KJ71+NW71),NW71)),NW71)</f>
        <v>0</v>
      </c>
      <c r="NY71" s="20" t="n">
        <f aca="false">IF(H_Direct=1,IF(DL71&lt;=0,NX71-DL71*AML70,NX71-MIN(MIN(DL71*AML70,KK71+NX71),NX71)),NX71)</f>
        <v>0</v>
      </c>
      <c r="NZ71" s="20" t="n">
        <f aca="false">IF(H_Direct=1,IF(DM71&lt;=0,NY71-DM71*AMM70,NY71-MIN(MIN(DM71*AMM70,KL71+NY71),NY71)),NY71)</f>
        <v>0</v>
      </c>
      <c r="OA71" s="20" t="n">
        <f aca="false">IF(H_Direct=1,IF(DN71&lt;=0,NZ71-DN71*AMN70,NZ71-MIN(MIN(DN71*AMN70,KM71+NZ71),NZ71)),NZ71)</f>
        <v>0</v>
      </c>
      <c r="OB71" s="20" t="n">
        <f aca="false">IF(H_Direct=1,IF(DO71&lt;=0,OA71-DO71*AMO70,OA71-MIN(MIN(DO71*AMO70,KN71+OA71),OA71)),OA71)</f>
        <v>0</v>
      </c>
      <c r="OC71" s="20" t="n">
        <f aca="false">IF(H_Direct=1,IF(DP71&lt;=0,OB71-DP71*AMP70,OB71-MIN(MIN(DP71*AMP70,KO71+OB71),OB71)),OB71)</f>
        <v>0</v>
      </c>
      <c r="OD71" s="20" t="n">
        <f aca="false">IF(H_Direct=1,IF(DQ71&lt;=0,OC71-DQ71*AMQ70,OC71-MIN(MIN(DQ71*AMQ70,KP71+OC71),OC71)),OC71)</f>
        <v>0</v>
      </c>
      <c r="OE71" s="20" t="n">
        <f aca="false">IF(H_Direct=1,IF(DR71&lt;=0,OD71-DR71*AMR70,OD71-MIN(MIN(DR71*AMR70,KQ71+OD71),OD71)),OD71)</f>
        <v>0</v>
      </c>
      <c r="OF71" s="20" t="n">
        <f aca="false">IF(H_Direct=1,IF(DS71&lt;=0,OE71-DS71*AMS70,OE71-MIN(MIN(DS71*AMS70,KR71+OE71),OE71)),OE71)</f>
        <v>0</v>
      </c>
      <c r="OG71" s="20" t="n">
        <f aca="false">IF(H_Direct=1,IF(DT71&lt;=0,OF71-DT71*AMT70,OF71-MIN(MIN(DT71*AMT70,KS71+OF71),OF71)),OF71)</f>
        <v>0</v>
      </c>
      <c r="OH71" s="20" t="n">
        <f aca="false">IF(H_Direct=1,IF(DU71&lt;=0,OG71-DU71*AMU70,OG71-MIN(MIN(DU71*AMU70,KT71+OG71),OG71)),OG71)</f>
        <v>0</v>
      </c>
      <c r="OI71" s="20" t="n">
        <f aca="false">IF(H_Direct=1,IF(DV71&lt;=0,OH71-DV71*AMV70,OH71-MIN(MIN(DV71*AMV70,KU71+OH71),OH71)),OH71)</f>
        <v>0</v>
      </c>
      <c r="OJ71" s="20" t="n">
        <f aca="false">IF(H_Direct=1,IF(DW71&lt;=0,OI71-DW71*AMW70,OI71-MIN(MIN(DW71*AMW70,KV71+OI71),OI71)),OI71)</f>
        <v>0</v>
      </c>
      <c r="OK71" s="20" t="n">
        <f aca="false">IF(H_Direct=1,IF(DX71&lt;=0,OJ71-DX71*AMX70,OJ71-MIN(MIN(DX71*AMX70,KW71+OJ71),OJ71)),OJ71)</f>
        <v>0</v>
      </c>
      <c r="OL71" s="20" t="n">
        <f aca="false">IF(H_Direct=1,IF(DY71&lt;=0,OK71-DY71*AMY70,OK71-MIN(MIN(DY71*AMY70,KX71+OK71),OK71)),OK71)</f>
        <v>0</v>
      </c>
      <c r="OM71" s="20" t="n">
        <f aca="false">IF(H_Direct=1,IF(DZ71&lt;=0,OL71-DZ71*AMZ70,OL71-MIN(MIN(DZ71*AMZ70,KY71+OL71),OL71)),OL71)</f>
        <v>0</v>
      </c>
      <c r="ON71" s="20" t="n">
        <f aca="false">IF(H_Direct=1,IF(EA71&lt;=0,OM71-EA71*ANA70,OM71-MIN(MIN(EA71*ANA70,KZ71+OM71),OM71)),OM71)</f>
        <v>0</v>
      </c>
      <c r="OO71" s="20" t="n">
        <f aca="false">IF(H_Direct=1,IF(EB71&lt;=0,ON71-EB71*ANB70,ON71-MIN(MIN(EB71*ANB70,LA71+ON71),ON71)),ON71)</f>
        <v>0</v>
      </c>
      <c r="OP71" s="20" t="n">
        <f aca="false">IF(H_Direct=1,IF(EC71&lt;=0,OO71-EC71*ANC70,OO71-MIN(MIN(EC71*ANC70,LB71+OO71),OO71)),OO71)</f>
        <v>0</v>
      </c>
      <c r="OQ71" s="20" t="n">
        <f aca="false">IF(H_Direct=1,IF(ED71&lt;=0,OP71-ED71*(P71+S71),OP71-MIN(MIN(ED71*(P71+S71),LC71+OP71),OP71)),OP71)</f>
        <v>0</v>
      </c>
      <c r="OR71" s="20" t="n">
        <f aca="false">OQ71</f>
        <v>0</v>
      </c>
      <c r="OS71" s="20" t="n">
        <f aca="false">OR71</f>
        <v>0</v>
      </c>
      <c r="OT71" s="20" t="n">
        <f aca="false">OS71</f>
        <v>0</v>
      </c>
      <c r="OU71" s="20" t="n">
        <f aca="false">OT71</f>
        <v>0</v>
      </c>
      <c r="OV71" s="20" t="n">
        <f aca="false">OU71</f>
        <v>0</v>
      </c>
      <c r="OW71" s="20" t="n">
        <f aca="false">OV71</f>
        <v>0</v>
      </c>
      <c r="OX71" s="20" t="n">
        <f aca="false">OW71</f>
        <v>0</v>
      </c>
      <c r="OY71" s="20" t="n">
        <f aca="false">OX71</f>
        <v>0</v>
      </c>
      <c r="OZ71" s="20" t="n">
        <f aca="false">OY71</f>
        <v>0</v>
      </c>
      <c r="PA71" s="20" t="n">
        <f aca="false">OZ71</f>
        <v>0</v>
      </c>
      <c r="PB71" s="20" t="n">
        <f aca="false">PA71</f>
        <v>0</v>
      </c>
      <c r="PC71" s="20" t="n">
        <f aca="false">PB71</f>
        <v>0</v>
      </c>
      <c r="PD71" s="20" t="n">
        <f aca="false">PC71</f>
        <v>0</v>
      </c>
      <c r="PE71" s="20" t="n">
        <f aca="false">PD71</f>
        <v>0</v>
      </c>
      <c r="PF71" s="20" t="n">
        <f aca="false">PE71</f>
        <v>0</v>
      </c>
      <c r="PG71" s="20" t="n">
        <f aca="false">PF71</f>
        <v>0</v>
      </c>
      <c r="PH71" s="20" t="n">
        <f aca="false">PG71</f>
        <v>0</v>
      </c>
      <c r="PI71" s="20" t="n">
        <f aca="false">PH71</f>
        <v>0</v>
      </c>
      <c r="PJ71" s="20" t="n">
        <f aca="false">PI71</f>
        <v>0</v>
      </c>
      <c r="PK71" s="20" t="n">
        <f aca="false">PJ71</f>
        <v>0</v>
      </c>
      <c r="PL71" s="20" t="n">
        <f aca="false">PK71</f>
        <v>0</v>
      </c>
      <c r="PM71" s="20" t="n">
        <f aca="false">PL71</f>
        <v>0</v>
      </c>
      <c r="PN71" s="20" t="n">
        <f aca="false">PM71</f>
        <v>0</v>
      </c>
      <c r="PO71" s="20" t="n">
        <f aca="false">PN71</f>
        <v>0</v>
      </c>
      <c r="PP71" s="20" t="n">
        <f aca="false">PO71</f>
        <v>0</v>
      </c>
      <c r="PQ71" s="20" t="n">
        <f aca="false">PP71</f>
        <v>0</v>
      </c>
      <c r="PR71" s="20" t="n">
        <f aca="false">IF(H_Direct=1,IF(AKR70&lt;=0,0,IF(BR71&lt;=0,MIN(MAX(0,AB71),AKR70),MIN(MAX(0,AB71),AKR70-G71*MAX(0,BR71*AKR70-(H71+I71))))),MIN(FE71,MAX(0,AB71)))</f>
        <v>0</v>
      </c>
      <c r="PS71" s="20" t="n">
        <f aca="false">IF(H_Direct=1,IF(AKS70&lt;=0,0,IF(BS71&lt;=0,MIN(MAX(0,AB71-SUM(PR71:PR71)),AKS70),MIN(MAX(0,AB71-SUM(PR71:PR71)),AKS70-G71*MAX(0,BS71*AKS70-(WR71+AAE71))))),MIN(FF71,MAX(0,AB71-SUM(PR71:PR71))))</f>
        <v>0</v>
      </c>
      <c r="PT71" s="20" t="n">
        <f aca="false">IF(H_Direct=1,IF(AKT70&lt;=0,0,IF(BT71&lt;=0,MIN(MAX(0,AB71-SUM(PR71:PS71)),AKT70),MIN(MAX(0,AB71-SUM(PR71:PS71)),AKT70-G71*MAX(0,BT71*AKT70-(WS71+AAF71))))),MIN(FG71,MAX(0,AB71-SUM(PR71:PS71))))</f>
        <v>0</v>
      </c>
      <c r="PU71" s="20" t="n">
        <f aca="false">IF(H_Direct=1,IF(AKU70&lt;=0,0,IF(BU71&lt;=0,MIN(MAX(0,AB71-SUM(PR71:PT71)),AKU70),MIN(MAX(0,AB71-SUM(PR71:PT71)),AKU70-G71*MAX(0,BU71*AKU70-(WT71+AAG71))))),MIN(FH71,MAX(0,AB71-SUM(PR71:PT71))))</f>
        <v>0</v>
      </c>
      <c r="PV71" s="20" t="n">
        <f aca="false">IF(H_Direct=1,IF(AKV70&lt;=0,0,IF(BV71&lt;=0,MIN(MAX(0,AB71-SUM(PR71:PU71)),AKV70),MIN(MAX(0,AB71-SUM(PR71:PU71)),AKV70-G71*MAX(0,BV71*AKV70-(WU71+AAH71))))),MIN(FI71,MAX(0,AB71-SUM(PR71:PU71))))</f>
        <v>0</v>
      </c>
      <c r="PW71" s="20" t="n">
        <f aca="false">IF(H_Direct=1,IF(AKW70&lt;=0,0,IF(BW71&lt;=0,MIN(MAX(0,AB71-SUM(PR71:PV71)),AKW70),MIN(MAX(0,AB71-SUM(PR71:PV71)),AKW70-G71*MAX(0,BW71*AKW70-(WV71+AAI71))))),MIN(FJ71,MAX(0,AB71-SUM(PR71:PV71))))</f>
        <v>0</v>
      </c>
      <c r="PX71" s="20" t="n">
        <f aca="false">IF(H_Direct=1,IF(AKX70&lt;=0,0,IF(BX71&lt;=0,MIN(MAX(0,AB71-SUM(PR71:PW71)),AKX70),MIN(MAX(0,AB71-SUM(PR71:PW71)),AKX70-G71*MAX(0,BX71*AKX70-(WW71+AAJ71))))),MIN(FK71,MAX(0,AB71-SUM(PR71:PW71))))</f>
        <v>0</v>
      </c>
      <c r="PY71" s="20" t="n">
        <f aca="false">IF(H_Direct=1,IF(AKY70&lt;=0,0,IF(BY71&lt;=0,MIN(MAX(0,AB71-SUM(PR71:PX71)),AKY70),MIN(MAX(0,AB71-SUM(PR71:PX71)),AKY70-G71*MAX(0,BY71*AKY70-(WX71+AAK71))))),MIN(FL71,MAX(0,AB71-SUM(PR71:PX71))))</f>
        <v>0</v>
      </c>
      <c r="PZ71" s="20" t="n">
        <f aca="false">IF(H_Direct=1,IF(AKZ70&lt;=0,0,IF(BZ71&lt;=0,MIN(MAX(0,AB71-SUM(PR71:PY71)),AKZ70),MIN(MAX(0,AB71-SUM(PR71:PY71)),AKZ70-G71*MAX(0,BZ71*AKZ70-(WY71+AAL71))))),MIN(FM71,MAX(0,AB71-SUM(PR71:PY71))))</f>
        <v>0</v>
      </c>
      <c r="QA71" s="20" t="n">
        <f aca="false">IF(H_Direct=1,IF(ALA70&lt;=0,0,IF(CA71&lt;=0,MIN(MAX(0,AB71-SUM(PR71:PZ71)),ALA70),MIN(MAX(0,AB71-SUM(PR71:PZ71)),ALA70-G71*MAX(0,CA71*ALA70-(WZ71+AAM71))))),MIN(FN71,MAX(0,AB71-SUM(PR71:PZ71))))</f>
        <v>0</v>
      </c>
      <c r="QB71" s="20" t="n">
        <f aca="false">IF(H_Direct=1,IF(ALB70&lt;=0,0,IF(CB71&lt;=0,MIN(MAX(0,AB71-SUM(PR71:QA71)),ALB70),MIN(MAX(0,AB71-SUM(PR71:QA71)),ALB70-G71*MAX(0,CB71*ALB70-(XA71+AAN71))))),MIN(FO71,MAX(0,AB71-SUM(PR71:QA71))))</f>
        <v>0</v>
      </c>
      <c r="QC71" s="20" t="n">
        <f aca="false">IF(H_Direct=1,IF(ALC70&lt;=0,0,IF(CC71&lt;=0,MIN(MAX(0,AB71-SUM(PR71:QB71)),ALC70),MIN(MAX(0,AB71-SUM(PR71:QB71)),ALC70-G71*MAX(0,CC71*ALC70-(XB71+AAO71))))),MIN(FP71,MAX(0,AB71-SUM(PR71:QB71))))</f>
        <v>0</v>
      </c>
      <c r="QD71" s="20" t="n">
        <f aca="false">IF(H_Direct=1,IF(ALD70&lt;=0,0,IF(CD71&lt;=0,MIN(MAX(0,AB71-SUM(PR71:QC71)),ALD70),MIN(MAX(0,AB71-SUM(PR71:QC71)),ALD70-G71*MAX(0,CD71*ALD70-(XC71+AAP71))))),MIN(FQ71,MAX(0,AB71-SUM(PR71:QC71))))</f>
        <v>0</v>
      </c>
      <c r="QE71" s="20" t="n">
        <f aca="false">IF(H_Direct=1,IF(ALE70&lt;=0,0,IF(CE71&lt;=0,MIN(MAX(0,AB71-SUM(PR71:QD71)),ALE70),MIN(MAX(0,AB71-SUM(PR71:QD71)),ALE70-G71*MAX(0,CE71*ALE70-(XD71+AAQ71))))),MIN(FR71,MAX(0,AB71-SUM(PR71:QD71))))</f>
        <v>0</v>
      </c>
      <c r="QF71" s="20" t="n">
        <f aca="false">IF(H_Direct=1,IF(ALF70&lt;=0,0,IF(CF71&lt;=0,MIN(MAX(0,AB71-SUM(PR71:QE71)),ALF70),MIN(MAX(0,AB71-SUM(PR71:QE71)),ALF70-G71*MAX(0,CF71*ALF70-(XE71+AAR71))))),MIN(FS71,MAX(0,AB71-SUM(PR71:QE71))))</f>
        <v>0</v>
      </c>
      <c r="QG71" s="20" t="n">
        <f aca="false">IF(H_Direct=1,IF(ALG70&lt;=0,0,IF(CG71&lt;=0,MIN(MAX(0,AB71-SUM(PR71:QF71)),ALG70),MIN(MAX(0,AB71-SUM(PR71:QF71)),ALG70-G71*MAX(0,CG71*ALG70-(XF71+AAS71))))),MIN(FT71,MAX(0,AB71-SUM(PR71:QF71))))</f>
        <v>0</v>
      </c>
      <c r="QH71" s="20" t="n">
        <f aca="false">IF(H_Direct=1,IF(ALH70&lt;=0,0,IF(CH71&lt;=0,MIN(MAX(0,AB71-SUM(PR71:QG71)),ALH70),MIN(MAX(0,AB71-SUM(PR71:QG71)),ALH70-G71*MAX(0,CH71*ALH70-(XG71+AAT71))))),MIN(FU71,MAX(0,AB71-SUM(PR71:QG71))))</f>
        <v>0</v>
      </c>
      <c r="QI71" s="20" t="n">
        <f aca="false">IF(H_Direct=1,IF(ALI70&lt;=0,0,IF(CI71&lt;=0,MIN(MAX(0,AB71-SUM(PR71:QH71)),ALI70),MIN(MAX(0,AB71-SUM(PR71:QH71)),ALI70-G71*MAX(0,CI71*ALI70-(XH71+AAU71))))),MIN(FV71,MAX(0,AB71-SUM(PR71:QH71))))</f>
        <v>0</v>
      </c>
      <c r="QJ71" s="20" t="n">
        <f aca="false">IF(H_Direct=1,IF(ALJ70&lt;=0,0,IF(CJ71&lt;=0,MIN(MAX(0,AB71-SUM(PR71:QI71)),ALJ70),MIN(MAX(0,AB71-SUM(PR71:QI71)),ALJ70-G71*MAX(0,CJ71*ALJ70-(XI71+AAV71))))),MIN(FW71,MAX(0,AB71-SUM(PR71:QI71))))</f>
        <v>0</v>
      </c>
      <c r="QK71" s="20" t="n">
        <f aca="false">IF(H_Direct=1,IF(ALK70&lt;=0,0,IF(CK71&lt;=0,MIN(MAX(0,AB71-SUM(PR71:QJ71)),ALK70),MIN(MAX(0,AB71-SUM(PR71:QJ71)),ALK70-G71*MAX(0,CK71*ALK70-(XJ71+AAW71))))),MIN(FX71,MAX(0,AB71-SUM(PR71:QJ71))))</f>
        <v>0</v>
      </c>
      <c r="QL71" s="20" t="n">
        <f aca="false">IF(H_Direct=1,IF(ALL70&lt;=0,0,IF(CL71&lt;=0,MIN(MAX(0,AB71-SUM(PR71:QK71)),ALL70),MIN(MAX(0,AB71-SUM(PR71:QK71)),ALL70-G71*MAX(0,CL71*ALL70-(XK71+AAX71))))),MIN(FY71,MAX(0,AB71-SUM(PR71:QK71))))</f>
        <v>0</v>
      </c>
      <c r="QM71" s="20" t="n">
        <f aca="false">IF(H_Direct=1,IF(ALM70&lt;=0,0,IF(CM71&lt;=0,MIN(MAX(0,AB71-SUM(PR71:QL71)),ALM70),MIN(MAX(0,AB71-SUM(PR71:QL71)),ALM70-G71*MAX(0,CM71*ALM70-(XL71+AAY71))))),MIN(FZ71,MAX(0,AB71-SUM(PR71:QL71))))</f>
        <v>0</v>
      </c>
      <c r="QN71" s="20" t="n">
        <f aca="false">IF(H_Direct=1,IF(ALN70&lt;=0,0,IF(CN71&lt;=0,MIN(MAX(0,AB71-SUM(PR71:QM71)),ALN70),MIN(MAX(0,AB71-SUM(PR71:QM71)),ALN70-G71*MAX(0,CN71*ALN70-(XM71+AAZ71))))),MIN(GA71,MAX(0,AB71-SUM(PR71:QM71))))</f>
        <v>0</v>
      </c>
      <c r="QO71" s="20" t="n">
        <f aca="false">IF(H_Direct=1,IF(ALO70&lt;=0,0,IF(CO71&lt;=0,MIN(MAX(0,AB71-SUM(PR71:QN71)),ALO70),MIN(MAX(0,AB71-SUM(PR71:QN71)),ALO70-G71*MAX(0,CO71*ALO70-(XN71+ABA71))))),MIN(GB71,MAX(0,AB71-SUM(PR71:QN71))))</f>
        <v>0</v>
      </c>
      <c r="QP71" s="20" t="n">
        <f aca="false">IF(H_Direct=1,IF(ALP70&lt;=0,0,IF(CP71&lt;=0,MIN(MAX(0,AB71-SUM(PR71:QO71)),ALP70),MIN(MAX(0,AB71-SUM(PR71:QO71)),ALP70-G71*MAX(0,CP71*ALP70-(XO71+ABB71))))),MIN(GC71,MAX(0,AB71-SUM(PR71:QO71))))</f>
        <v>0</v>
      </c>
      <c r="QQ71" s="20" t="n">
        <f aca="false">IF(H_Direct=1,IF(ALQ70&lt;=0,0,IF(CQ71&lt;=0,MIN(MAX(0,AB71-SUM(PR71:QP71)),ALQ70),MIN(MAX(0,AB71-SUM(PR71:QP71)),ALQ70-G71*MAX(0,CQ71*ALQ70-(XP71+ABC71))))),MIN(GD71,MAX(0,AB71-SUM(PR71:QP71))))</f>
        <v>0</v>
      </c>
      <c r="QR71" s="20" t="n">
        <f aca="false">IF(H_Direct=1,IF(ALR70&lt;=0,0,IF(CR71&lt;=0,MIN(MAX(0,AB71-SUM(PR71:QQ71)),ALR70),MIN(MAX(0,AB71-SUM(PR71:QQ71)),ALR70-G71*MAX(0,CR71*ALR70-(XQ71+ABD71))))),MIN(GE71,MAX(0,AB71-SUM(PR71:QQ71))))</f>
        <v>0</v>
      </c>
      <c r="QS71" s="20" t="n">
        <f aca="false">IF(H_Direct=1,IF(ALS70&lt;=0,0,IF(CS71&lt;=0,MIN(MAX(0,AB71-SUM(PR71:QR71)),ALS70),MIN(MAX(0,AB71-SUM(PR71:QR71)),ALS70-G71*MAX(0,CS71*ALS70-(XR71+ABE71))))),MIN(GF71,MAX(0,AB71-SUM(PR71:QR71))))</f>
        <v>0</v>
      </c>
      <c r="QT71" s="20" t="n">
        <f aca="false">IF(H_Direct=1,IF(ALT70&lt;=0,0,IF(CT71&lt;=0,MIN(MAX(0,AB71-SUM(PR71:QS71)),ALT70),MIN(MAX(0,AB71-SUM(PR71:QS71)),ALT70-G71*MAX(0,CT71*ALT70-(XS71+ABF71))))),MIN(GG71,MAX(0,AB71-SUM(PR71:QS71))))</f>
        <v>0</v>
      </c>
      <c r="QU71" s="20" t="n">
        <f aca="false">IF(H_Direct=1,IF(ALU70&lt;=0,0,IF(CU71&lt;=0,MIN(MAX(0,AB71-SUM(PR71:QT71)),ALU70),MIN(MAX(0,AB71-SUM(PR71:QT71)),ALU70-G71*MAX(0,CU71*ALU70-(XT71+ABG71))))),MIN(GH71,MAX(0,AB71-SUM(PR71:QT71))))</f>
        <v>0</v>
      </c>
      <c r="QV71" s="20" t="n">
        <f aca="false">IF(H_Direct=1,IF(ALV70&lt;=0,0,IF(CV71&lt;=0,MIN(MAX(0,AB71-SUM(PR71:QU71)),ALV70),MIN(MAX(0,AB71-SUM(PR71:QU71)),ALV70-G71*MAX(0,CV71*ALV70-(XU71+ABH71))))),MIN(GI71,MAX(0,AB71-SUM(PR71:QU71))))</f>
        <v>0</v>
      </c>
      <c r="QW71" s="20" t="n">
        <f aca="false">IF(H_Direct=1,IF(ALW70&lt;=0,0,IF(CW71&lt;=0,MIN(MAX(0,AB71-SUM(PR71:QV71)),ALW70),MIN(MAX(0,AB71-SUM(PR71:QV71)),ALW70-G71*MAX(0,CW71*ALW70-(XV71+ABI71))))),MIN(GJ71,MAX(0,AB71-SUM(PR71:QV71))))</f>
        <v>0</v>
      </c>
      <c r="QX71" s="20" t="n">
        <f aca="false">IF(H_Direct=1,IF(ALX70&lt;=0,0,IF(CX71&lt;=0,MIN(MAX(0,AB71-SUM(PR71:QW71)),ALX70),MIN(MAX(0,AB71-SUM(PR71:QW71)),ALX70-G71*MAX(0,CX71*ALX70-(XW71+ABJ71))))),MIN(GK71,MAX(0,AB71-SUM(PR71:QW71))))</f>
        <v>0</v>
      </c>
      <c r="QY71" s="20" t="n">
        <f aca="false">IF(H_Direct=1,IF(ALY70&lt;=0,0,IF(CY71&lt;=0,MIN(MAX(0,AB71-SUM(PR71:QX71)),ALY70),MIN(MAX(0,AB71-SUM(PR71:QX71)),ALY70-G71*MAX(0,CY71*ALY70-(XX71+ABK71))))),MIN(GL71,MAX(0,AB71-SUM(PR71:QX71))))</f>
        <v>0</v>
      </c>
      <c r="QZ71" s="20" t="n">
        <f aca="false">IF(H_Direct=1,IF(ALZ70&lt;=0,0,IF(CZ71&lt;=0,MIN(MAX(0,AB71-SUM(PR71:QY71)),ALZ70),MIN(MAX(0,AB71-SUM(PR71:QY71)),ALZ70-G71*MAX(0,CZ71*ALZ70-(XY71+ABL71))))),MIN(GM71,MAX(0,AB71-SUM(PR71:QY71))))</f>
        <v>0</v>
      </c>
      <c r="RA71" s="20" t="n">
        <f aca="false">IF(H_Direct=1,IF(AMA70&lt;=0,0,IF(DA71&lt;=0,MIN(MAX(0,AB71-SUM(PR71:QZ71)),AMA70),MIN(MAX(0,AB71-SUM(PR71:QZ71)),AMA70-G71*MAX(0,DA71*AMA70-(XZ71+ABM71))))),MIN(GN71,MAX(0,AB71-SUM(PR71:QZ71))))</f>
        <v>0</v>
      </c>
      <c r="RB71" s="20" t="n">
        <f aca="false">IF(H_Direct=1,IF(AMB70&lt;=0,0,IF(DB71&lt;=0,MIN(MAX(0,AB71-SUM(PR71:RA71)),AMB70),MIN(MAX(0,AB71-SUM(PR71:RA71)),AMB70-G71*MAX(0,DB71*AMB70-(YA71+ABN71))))),MIN(GO71,MAX(0,AB71-SUM(PR71:RA71))))</f>
        <v>0</v>
      </c>
      <c r="RC71" s="20" t="n">
        <f aca="false">IF(H_Direct=1,IF(AMC70&lt;=0,0,IF(DC71&lt;=0,MIN(MAX(0,AB71-SUM(PR71:RB71)),AMC70),MIN(MAX(0,AB71-SUM(PR71:RB71)),AMC70-G71*MAX(0,DC71*AMC70-(YB71+ABO71))))),MIN(GP71,MAX(0,AB71-SUM(PR71:RB71))))</f>
        <v>0</v>
      </c>
      <c r="RD71" s="20" t="n">
        <f aca="false">IF(H_Direct=1,IF(AMD70&lt;=0,0,IF(DD71&lt;=0,MIN(MAX(0,AB71-SUM(PR71:RC71)),AMD70),MIN(MAX(0,AB71-SUM(PR71:RC71)),AMD70-G71*MAX(0,DD71*AMD70-(YC71+ABP71))))),MIN(GQ71,MAX(0,AB71-SUM(PR71:RC71))))</f>
        <v>0</v>
      </c>
      <c r="RE71" s="20" t="n">
        <f aca="false">IF(H_Direct=1,IF(AME70&lt;=0,0,IF(DE71&lt;=0,MIN(MAX(0,AB71-SUM(PR71:RD71)),AME70),MIN(MAX(0,AB71-SUM(PR71:RD71)),AME70-G71*MAX(0,DE71*AME70-(YD71+ABQ71))))),MIN(GR71,MAX(0,AB71-SUM(PR71:RD71))))</f>
        <v>0</v>
      </c>
      <c r="RF71" s="20" t="n">
        <f aca="false">IF(H_Direct=1,IF(AMF70&lt;=0,0,IF(DF71&lt;=0,MIN(MAX(0,AB71-SUM(PR71:RE71)),AMF70),MIN(MAX(0,AB71-SUM(PR71:RE71)),AMF70-G71*MAX(0,DF71*AMF70-(YE71+ABR71))))),MIN(GS71,MAX(0,AB71-SUM(PR71:RE71))))</f>
        <v>0</v>
      </c>
      <c r="RG71" s="20" t="n">
        <f aca="false">IF(H_Direct=1,IF(AMG70&lt;=0,0,IF(DG71&lt;=0,MIN(MAX(0,AB71-SUM(PR71:RF71)),AMG70),MIN(MAX(0,AB71-SUM(PR71:RF71)),AMG70-G71*MAX(0,DG71*AMG70-(YF71+ABS71))))),MIN(GT71,MAX(0,AB71-SUM(PR71:RF71))))</f>
        <v>0</v>
      </c>
      <c r="RH71" s="20" t="n">
        <f aca="false">IF(H_Direct=1,IF(AMH70&lt;=0,0,IF(DH71&lt;=0,MIN(MAX(0,AB71-SUM(PR71:RG71)),AMH70),MIN(MAX(0,AB71-SUM(PR71:RG71)),AMH70-G71*MAX(0,DH71*AMH70-(YG71+ABT71))))),MIN(GU71,MAX(0,AB71-SUM(PR71:RG71))))</f>
        <v>0</v>
      </c>
      <c r="RI71" s="20" t="n">
        <f aca="false">IF(H_Direct=1,IF(AMI70&lt;=0,0,IF(DI71&lt;=0,MIN(MAX(0,AB71-SUM(PR71:RH71)),AMI70),MIN(MAX(0,AB71-SUM(PR71:RH71)),AMI70-G71*MAX(0,DI71*AMI70-(YH71+ABU71))))),MIN(GV71,MAX(0,AB71-SUM(PR71:RH71))))</f>
        <v>0</v>
      </c>
      <c r="RJ71" s="20" t="n">
        <f aca="false">IF(H_Direct=1,IF(AMJ70&lt;=0,0,IF(DJ71&lt;=0,MIN(MAX(0,AB71-SUM(PR71:RI71)),AMJ70),MIN(MAX(0,AB71-SUM(PR71:RI71)),AMJ70-G71*MAX(0,DJ71*AMJ70-(YI71+ABV71))))),MIN(GW71,MAX(0,AB71-SUM(PR71:RI71))))</f>
        <v>0</v>
      </c>
      <c r="RK71" s="20" t="n">
        <f aca="false">IF(H_Direct=1,IF(AMK70&lt;=0,0,IF(DK71&lt;=0,MIN(MAX(0,AB71-SUM(PR71:RJ71)),AMK70),MIN(MAX(0,AB71-SUM(PR71:RJ71)),AMK70-G71*MAX(0,DK71*AMK70-(YJ71+ABW71))))),MIN(GX71,MAX(0,AB71-SUM(PR71:RJ71))))</f>
        <v>0</v>
      </c>
      <c r="RL71" s="20" t="n">
        <f aca="false">IF(H_Direct=1,IF(AML70&lt;=0,0,IF(DL71&lt;=0,MIN(MAX(0,AB71-SUM(PR71:RK71)),AML70),MIN(MAX(0,AB71-SUM(PR71:RK71)),AML70-G71*MAX(0,DL71*AML70-(YK71+ABX71))))),MIN(GY71,MAX(0,AB71-SUM(PR71:RK71))))</f>
        <v>0</v>
      </c>
      <c r="RM71" s="20" t="n">
        <f aca="false">IF(H_Direct=1,IF(AMM70&lt;=0,0,IF(DM71&lt;=0,MIN(MAX(0,AB71-SUM(PR71:RL71)),AMM70),MIN(MAX(0,AB71-SUM(PR71:RL71)),AMM70-G71*MAX(0,DM71*AMM70-(YL71+ABY71))))),MIN(GZ71,MAX(0,AB71-SUM(PR71:RL71))))</f>
        <v>0</v>
      </c>
      <c r="RN71" s="20" t="n">
        <f aca="false">IF(H_Direct=1,IF(AMN70&lt;=0,0,IF(DN71&lt;=0,MIN(MAX(0,AB71-SUM(PR71:RM71)),AMN70),MIN(MAX(0,AB71-SUM(PR71:RM71)),AMN70-G71*MAX(0,DN71*AMN70-(YM71+ABZ71))))),MIN(HA71,MAX(0,AB71-SUM(PR71:RM71))))</f>
        <v>0</v>
      </c>
      <c r="RO71" s="20" t="n">
        <f aca="false">IF(H_Direct=1,IF(AMO70&lt;=0,0,IF(DO71&lt;=0,MIN(MAX(0,AB71-SUM(PR71:RN71)),AMO70),MIN(MAX(0,AB71-SUM(PR71:RN71)),AMO70-G71*MAX(0,DO71*AMO70-(YN71+ACA71))))),MIN(HB71,MAX(0,AB71-SUM(PR71:RN71))))</f>
        <v>0</v>
      </c>
      <c r="RP71" s="20" t="n">
        <f aca="false">IF(H_Direct=1,IF(AMP70&lt;=0,0,IF(DP71&lt;=0,MIN(MAX(0,AB71-SUM(PR71:RO71)),AMP70),MIN(MAX(0,AB71-SUM(PR71:RO71)),AMP70-G71*MAX(0,DP71*AMP70-(YO71+ACB71))))),MIN(HC71,MAX(0,AB71-SUM(PR71:RO71))))</f>
        <v>0</v>
      </c>
      <c r="RQ71" s="20" t="n">
        <f aca="false">IF(H_Direct=1,IF(AMQ70&lt;=0,0,IF(DQ71&lt;=0,MIN(MAX(0,AB71-SUM(PR71:RP71)),AMQ70),MIN(MAX(0,AB71-SUM(PR71:RP71)),AMQ70-G71*MAX(0,DQ71*AMQ70-(YP71+ACC71))))),MIN(HD71,MAX(0,AB71-SUM(PR71:RP71))))</f>
        <v>0</v>
      </c>
      <c r="RR71" s="20" t="n">
        <f aca="false">IF(H_Direct=1,IF(AMR70&lt;=0,0,IF(DR71&lt;=0,MIN(MAX(0,AB71-SUM(PR71:RQ71)),AMR70),MIN(MAX(0,AB71-SUM(PR71:RQ71)),AMR70-G71*MAX(0,DR71*AMR70-(YQ71+ACD71))))),MIN(HE71,MAX(0,AB71-SUM(PR71:RQ71))))</f>
        <v>0</v>
      </c>
      <c r="RS71" s="20" t="n">
        <f aca="false">IF(H_Direct=1,IF(AMS70&lt;=0,0,IF(DS71&lt;=0,MIN(MAX(0,AB71-SUM(PR71:RR71)),AMS70),MIN(MAX(0,AB71-SUM(PR71:RR71)),AMS70-G71*MAX(0,DS71*AMS70-(YR71+ACE71))))),MIN(HF71,MAX(0,AB71-SUM(PR71:RR71))))</f>
        <v>0</v>
      </c>
      <c r="RT71" s="20" t="n">
        <f aca="false">IF(H_Direct=1,IF(AMT70&lt;=0,0,IF(DT71&lt;=0,MIN(MAX(0,AB71-SUM(PR71:RS71)),AMT70),MIN(MAX(0,AB71-SUM(PR71:RS71)),AMT70-G71*MAX(0,DT71*AMT70-(YS71+ACF71))))),MIN(HG71,MAX(0,AB71-SUM(PR71:RS71))))</f>
        <v>0</v>
      </c>
      <c r="RU71" s="20" t="n">
        <f aca="false">IF(H_Direct=1,IF(AMU70&lt;=0,0,IF(DU71&lt;=0,MIN(MAX(0,AB71-SUM(PR71:RT71)),AMU70),MIN(MAX(0,AB71-SUM(PR71:RT71)),AMU70-G71*MAX(0,DU71*AMU70-(YT71+ACG71))))),MIN(HH71,MAX(0,AB71-SUM(PR71:RT71))))</f>
        <v>0</v>
      </c>
      <c r="RV71" s="20" t="n">
        <f aca="false">IF(H_Direct=1,IF(AMV70&lt;=0,0,IF(DV71&lt;=0,MIN(MAX(0,AB71-SUM(PR71:RU71)),AMV70),MIN(MAX(0,AB71-SUM(PR71:RU71)),AMV70-G71*MAX(0,DV71*AMV70-(YU71+ACH71))))),MIN(HI71,MAX(0,AB71-SUM(PR71:RU71))))</f>
        <v>0</v>
      </c>
      <c r="RW71" s="20" t="n">
        <f aca="false">IF(H_Direct=1,IF(AMW70&lt;=0,0,IF(DW71&lt;=0,MIN(MAX(0,AB71-SUM(PR71:RV71)),AMW70),MIN(MAX(0,AB71-SUM(PR71:RV71)),AMW70-G71*MAX(0,DW71*AMW70-(YV71+ACI71))))),MIN(HJ71,MAX(0,AB71-SUM(PR71:RV71))))</f>
        <v>0</v>
      </c>
      <c r="RX71" s="20" t="n">
        <f aca="false">IF(H_Direct=1,IF(AMX70&lt;=0,0,IF(DX71&lt;=0,MIN(MAX(0,AB71-SUM(PR71:RW71)),AMX70),MIN(MAX(0,AB71-SUM(PR71:RW71)),AMX70-G71*MAX(0,DX71*AMX70-(YW71+ACJ71))))),MIN(HK71,MAX(0,AB71-SUM(PR71:RW71))))</f>
        <v>0</v>
      </c>
      <c r="RY71" s="20" t="n">
        <f aca="false">IF(H_Direct=1,IF(AMY70&lt;=0,0,IF(DY71&lt;=0,MIN(MAX(0,AB71-SUM(PR71:RX71)),AMY70),MIN(MAX(0,AB71-SUM(PR71:RX71)),AMY70-G71*MAX(0,DY71*AMY70-(YX71+ACK71))))),MIN(HL71,MAX(0,AB71-SUM(PR71:RX71))))</f>
        <v>0</v>
      </c>
      <c r="RZ71" s="20" t="n">
        <f aca="false">IF(H_Direct=1,IF(AMZ70&lt;=0,0,IF(DZ71&lt;=0,MIN(MAX(0,AB71-SUM(PR71:RY71)),AMZ70),MIN(MAX(0,AB71-SUM(PR71:RY71)),AMZ70-G71*MAX(0,DZ71*AMZ70-(YY71+ACL71))))),MIN(HM71,MAX(0,AB71-SUM(PR71:RY71))))</f>
        <v>0</v>
      </c>
      <c r="SA71" s="20" t="n">
        <f aca="false">IF(H_Direct=1,IF(ANA70&lt;=0,0,IF(EA71&lt;=0,MIN(MAX(0,AB71-SUM(PR71:RZ71)),ANA70),MIN(MAX(0,AB71-SUM(PR71:RZ71)),ANA70-G71*MAX(0,EA71*ANA70-(YZ71+ACM71))))),MIN(HN71,MAX(0,AB71-SUM(PR71:RZ71))))</f>
        <v>0</v>
      </c>
      <c r="SB71" s="20" t="n">
        <f aca="false">IF(H_Direct=1,IF(ANB70&lt;=0,0,IF(EB71&lt;=0,MIN(MAX(0,AB71-SUM(PR71:SA71)),ANB70),MIN(MAX(0,AB71-SUM(PR71:SA71)),ANB70-G71*MAX(0,EB71*ANB70-(ZA71+ACN71))))),MIN(HO71,MAX(0,AB71-SUM(PR71:SA71))))</f>
        <v>0</v>
      </c>
      <c r="SC71" s="20" t="n">
        <f aca="false">IF(H_Direct=1,IF(ANC70&lt;=0,0,IF(EC71&lt;=0,MIN(MAX(0,AB71-SUM(PR71:SB71)),ANC70),MIN(MAX(0,AB71-SUM(PR71:SB71)),ANC70-G71*MAX(0,EC71*ANC70-(ZB71+ACO71))))),MIN(HP71,MAX(0,AB71-SUM(PR71:SB71))))</f>
        <v>0</v>
      </c>
      <c r="SD71" s="20" t="n">
        <f aca="false">IF(H_Direct=1,IF((P71+S71)&lt;=0,0,IF(ED71&lt;=0,MIN(MAX(0,AB71-SUM(PR71:SC71)),(P71+S71)),MIN(MAX(0,AB71-SUM(PR71:SC71)),(P71+S71)-G71*MAX(0,ED71*(P71+S71)-(ZC71+ACP71))))),MIN(HQ71,MAX(0,AB71-SUM(PR71:SC71))))</f>
        <v>0</v>
      </c>
      <c r="SE71" s="20" t="n">
        <v>0</v>
      </c>
      <c r="SF71" s="20" t="n">
        <v>0</v>
      </c>
      <c r="SG71" s="20" t="n">
        <v>0</v>
      </c>
      <c r="SH71" s="20" t="n">
        <v>0</v>
      </c>
      <c r="SI71" s="20" t="n">
        <v>0</v>
      </c>
      <c r="SJ71" s="20" t="n">
        <v>0</v>
      </c>
      <c r="SK71" s="20" t="n">
        <v>0</v>
      </c>
      <c r="SL71" s="20" t="n">
        <v>0</v>
      </c>
      <c r="SM71" s="20" t="n">
        <v>0</v>
      </c>
      <c r="SN71" s="20" t="n">
        <v>0</v>
      </c>
      <c r="SO71" s="20" t="n">
        <v>0</v>
      </c>
      <c r="SP71" s="20" t="n">
        <v>0</v>
      </c>
      <c r="SQ71" s="20" t="n">
        <v>0</v>
      </c>
      <c r="SR71" s="20" t="n">
        <v>0</v>
      </c>
      <c r="SS71" s="20" t="n">
        <v>0</v>
      </c>
      <c r="ST71" s="20" t="n">
        <v>0</v>
      </c>
      <c r="SU71" s="20" t="n">
        <v>0</v>
      </c>
      <c r="SV71" s="20" t="n">
        <v>0</v>
      </c>
      <c r="SW71" s="20" t="n">
        <v>0</v>
      </c>
      <c r="SX71" s="20" t="n">
        <v>0</v>
      </c>
      <c r="SY71" s="20" t="n">
        <v>0</v>
      </c>
      <c r="SZ71" s="20" t="n">
        <v>0</v>
      </c>
      <c r="TA71" s="20" t="n">
        <v>0</v>
      </c>
      <c r="TB71" s="20" t="n">
        <v>0</v>
      </c>
      <c r="TC71" s="20" t="n">
        <v>0</v>
      </c>
      <c r="TD71" s="20" t="n">
        <v>0</v>
      </c>
      <c r="TE71" s="20" t="n">
        <f aca="false">IF(AKR70&lt;=0,0,IF(H_Direct=1,IF(BR71&lt;=0,PR71,IF(PR71&lt;=(H71+I71)/BR71,PR71,(PR71-G71*(H71+I71))/(1-G71*BR71))),PR71/(1-MAX(0,BR71)*H_Exit)))</f>
        <v>0</v>
      </c>
      <c r="TF71" s="20" t="n">
        <f aca="false">IF(AKS70&lt;=0,0,IF(H_Direct=1,IF(BS71&lt;=0,PS71,IF(PS71&lt;=(WR71+AAE71)/BS71,PS71,(PS71-G71*(WR71+AAE71))/(1-G71*BS71))),PS71/(1-MAX(0,BS71)*H_Exit)))</f>
        <v>0</v>
      </c>
      <c r="TG71" s="20" t="n">
        <f aca="false">IF(AKT70&lt;=0,0,IF(H_Direct=1,IF(BT71&lt;=0,PT71,IF(PT71&lt;=(WS71+AAF71)/BT71,PT71,(PT71-G71*(WS71+AAF71))/(1-G71*BT71))),PT71/(1-MAX(0,BT71)*H_Exit)))</f>
        <v>0</v>
      </c>
      <c r="TH71" s="20" t="n">
        <f aca="false">IF(AKU70&lt;=0,0,IF(H_Direct=1,IF(BU71&lt;=0,PU71,IF(PU71&lt;=(WT71+AAG71)/BU71,PU71,(PU71-G71*(WT71+AAG71))/(1-G71*BU71))),PU71/(1-MAX(0,BU71)*H_Exit)))</f>
        <v>0</v>
      </c>
      <c r="TI71" s="20" t="n">
        <f aca="false">IF(AKV70&lt;=0,0,IF(H_Direct=1,IF(BV71&lt;=0,PV71,IF(PV71&lt;=(WU71+AAH71)/BV71,PV71,(PV71-G71*(WU71+AAH71))/(1-G71*BV71))),PV71/(1-MAX(0,BV71)*H_Exit)))</f>
        <v>0</v>
      </c>
      <c r="TJ71" s="20" t="n">
        <f aca="false">IF(AKW70&lt;=0,0,IF(H_Direct=1,IF(BW71&lt;=0,PW71,IF(PW71&lt;=(WV71+AAI71)/BW71,PW71,(PW71-G71*(WV71+AAI71))/(1-G71*BW71))),PW71/(1-MAX(0,BW71)*H_Exit)))</f>
        <v>0</v>
      </c>
      <c r="TK71" s="20" t="n">
        <f aca="false">IF(AKX70&lt;=0,0,IF(H_Direct=1,IF(BX71&lt;=0,PX71,IF(PX71&lt;=(WW71+AAJ71)/BX71,PX71,(PX71-G71*(WW71+AAJ71))/(1-G71*BX71))),PX71/(1-MAX(0,BX71)*H_Exit)))</f>
        <v>0</v>
      </c>
      <c r="TL71" s="20" t="n">
        <f aca="false">IF(AKY70&lt;=0,0,IF(H_Direct=1,IF(BY71&lt;=0,PY71,IF(PY71&lt;=(WX71+AAK71)/BY71,PY71,(PY71-G71*(WX71+AAK71))/(1-G71*BY71))),PY71/(1-MAX(0,BY71)*H_Exit)))</f>
        <v>0</v>
      </c>
      <c r="TM71" s="20" t="n">
        <f aca="false">IF(AKZ70&lt;=0,0,IF(H_Direct=1,IF(BZ71&lt;=0,PZ71,IF(PZ71&lt;=(WY71+AAL71)/BZ71,PZ71,(PZ71-G71*(WY71+AAL71))/(1-G71*BZ71))),PZ71/(1-MAX(0,BZ71)*H_Exit)))</f>
        <v>0</v>
      </c>
      <c r="TN71" s="20" t="n">
        <f aca="false">IF(ALA70&lt;=0,0,IF(H_Direct=1,IF(CA71&lt;=0,QA71,IF(QA71&lt;=(WZ71+AAM71)/CA71,QA71,(QA71-G71*(WZ71+AAM71))/(1-G71*CA71))),QA71/(1-MAX(0,CA71)*H_Exit)))</f>
        <v>0</v>
      </c>
      <c r="TO71" s="20" t="n">
        <f aca="false">IF(ALB70&lt;=0,0,IF(H_Direct=1,IF(CB71&lt;=0,QB71,IF(QB71&lt;=(XA71+AAN71)/CB71,QB71,(QB71-G71*(XA71+AAN71))/(1-G71*CB71))),QB71/(1-MAX(0,CB71)*H_Exit)))</f>
        <v>0</v>
      </c>
      <c r="TP71" s="20" t="n">
        <f aca="false">IF(ALC70&lt;=0,0,IF(H_Direct=1,IF(CC71&lt;=0,QC71,IF(QC71&lt;=(XB71+AAO71)/CC71,QC71,(QC71-G71*(XB71+AAO71))/(1-G71*CC71))),QC71/(1-MAX(0,CC71)*H_Exit)))</f>
        <v>0</v>
      </c>
      <c r="TQ71" s="20" t="n">
        <f aca="false">IF(ALD70&lt;=0,0,IF(H_Direct=1,IF(CD71&lt;=0,QD71,IF(QD71&lt;=(XC71+AAP71)/CD71,QD71,(QD71-G71*(XC71+AAP71))/(1-G71*CD71))),QD71/(1-MAX(0,CD71)*H_Exit)))</f>
        <v>0</v>
      </c>
      <c r="TR71" s="20" t="n">
        <f aca="false">IF(ALE70&lt;=0,0,IF(H_Direct=1,IF(CE71&lt;=0,QE71,IF(QE71&lt;=(XD71+AAQ71)/CE71,QE71,(QE71-G71*(XD71+AAQ71))/(1-G71*CE71))),QE71/(1-MAX(0,CE71)*H_Exit)))</f>
        <v>0</v>
      </c>
      <c r="TS71" s="20" t="n">
        <f aca="false">IF(ALF70&lt;=0,0,IF(H_Direct=1,IF(CF71&lt;=0,QF71,IF(QF71&lt;=(XE71+AAR71)/CF71,QF71,(QF71-G71*(XE71+AAR71))/(1-G71*CF71))),QF71/(1-MAX(0,CF71)*H_Exit)))</f>
        <v>0</v>
      </c>
      <c r="TT71" s="20" t="n">
        <f aca="false">IF(ALG70&lt;=0,0,IF(H_Direct=1,IF(CG71&lt;=0,QG71,IF(QG71&lt;=(XF71+AAS71)/CG71,QG71,(QG71-G71*(XF71+AAS71))/(1-G71*CG71))),QG71/(1-MAX(0,CG71)*H_Exit)))</f>
        <v>0</v>
      </c>
      <c r="TU71" s="20" t="n">
        <f aca="false">IF(ALH70&lt;=0,0,IF(H_Direct=1,IF(CH71&lt;=0,QH71,IF(QH71&lt;=(XG71+AAT71)/CH71,QH71,(QH71-G71*(XG71+AAT71))/(1-G71*CH71))),QH71/(1-MAX(0,CH71)*H_Exit)))</f>
        <v>0</v>
      </c>
      <c r="TV71" s="20" t="n">
        <f aca="false">IF(ALI70&lt;=0,0,IF(H_Direct=1,IF(CI71&lt;=0,QI71,IF(QI71&lt;=(XH71+AAU71)/CI71,QI71,(QI71-G71*(XH71+AAU71))/(1-G71*CI71))),QI71/(1-MAX(0,CI71)*H_Exit)))</f>
        <v>0</v>
      </c>
      <c r="TW71" s="20" t="n">
        <f aca="false">IF(ALJ70&lt;=0,0,IF(H_Direct=1,IF(CJ71&lt;=0,QJ71,IF(QJ71&lt;=(XI71+AAV71)/CJ71,QJ71,(QJ71-G71*(XI71+AAV71))/(1-G71*CJ71))),QJ71/(1-MAX(0,CJ71)*H_Exit)))</f>
        <v>0</v>
      </c>
      <c r="TX71" s="20" t="n">
        <f aca="false">IF(ALK70&lt;=0,0,IF(H_Direct=1,IF(CK71&lt;=0,QK71,IF(QK71&lt;=(XJ71+AAW71)/CK71,QK71,(QK71-G71*(XJ71+AAW71))/(1-G71*CK71))),QK71/(1-MAX(0,CK71)*H_Exit)))</f>
        <v>0</v>
      </c>
      <c r="TY71" s="20" t="n">
        <f aca="false">IF(ALL70&lt;=0,0,IF(H_Direct=1,IF(CL71&lt;=0,QL71,IF(QL71&lt;=(XK71+AAX71)/CL71,QL71,(QL71-G71*(XK71+AAX71))/(1-G71*CL71))),QL71/(1-MAX(0,CL71)*H_Exit)))</f>
        <v>0</v>
      </c>
      <c r="TZ71" s="20" t="n">
        <f aca="false">IF(ALM70&lt;=0,0,IF(H_Direct=1,IF(CM71&lt;=0,QM71,IF(QM71&lt;=(XL71+AAY71)/CM71,QM71,(QM71-G71*(XL71+AAY71))/(1-G71*CM71))),QM71/(1-MAX(0,CM71)*H_Exit)))</f>
        <v>0</v>
      </c>
      <c r="UA71" s="20" t="n">
        <f aca="false">IF(ALN70&lt;=0,0,IF(H_Direct=1,IF(CN71&lt;=0,QN71,IF(QN71&lt;=(XM71+AAZ71)/CN71,QN71,(QN71-G71*(XM71+AAZ71))/(1-G71*CN71))),QN71/(1-MAX(0,CN71)*H_Exit)))</f>
        <v>0</v>
      </c>
      <c r="UB71" s="20" t="n">
        <f aca="false">IF(ALO70&lt;=0,0,IF(H_Direct=1,IF(CO71&lt;=0,QO71,IF(QO71&lt;=(XN71+ABA71)/CO71,QO71,(QO71-G71*(XN71+ABA71))/(1-G71*CO71))),QO71/(1-MAX(0,CO71)*H_Exit)))</f>
        <v>0</v>
      </c>
      <c r="UC71" s="20" t="n">
        <f aca="false">IF(ALP70&lt;=0,0,IF(H_Direct=1,IF(CP71&lt;=0,QP71,IF(QP71&lt;=(XO71+ABB71)/CP71,QP71,(QP71-G71*(XO71+ABB71))/(1-G71*CP71))),QP71/(1-MAX(0,CP71)*H_Exit)))</f>
        <v>0</v>
      </c>
      <c r="UD71" s="20" t="n">
        <f aca="false">IF(ALQ70&lt;=0,0,IF(H_Direct=1,IF(CQ71&lt;=0,QQ71,IF(QQ71&lt;=(XP71+ABC71)/CQ71,QQ71,(QQ71-G71*(XP71+ABC71))/(1-G71*CQ71))),QQ71/(1-MAX(0,CQ71)*H_Exit)))</f>
        <v>0</v>
      </c>
      <c r="UE71" s="20" t="n">
        <f aca="false">IF(ALR70&lt;=0,0,IF(H_Direct=1,IF(CR71&lt;=0,QR71,IF(QR71&lt;=(XQ71+ABD71)/CR71,QR71,(QR71-G71*(XQ71+ABD71))/(1-G71*CR71))),QR71/(1-MAX(0,CR71)*H_Exit)))</f>
        <v>0</v>
      </c>
      <c r="UF71" s="20" t="n">
        <f aca="false">IF(ALS70&lt;=0,0,IF(H_Direct=1,IF(CS71&lt;=0,QS71,IF(QS71&lt;=(XR71+ABE71)/CS71,QS71,(QS71-G71*(XR71+ABE71))/(1-G71*CS71))),QS71/(1-MAX(0,CS71)*H_Exit)))</f>
        <v>0</v>
      </c>
      <c r="UG71" s="20" t="n">
        <f aca="false">IF(ALT70&lt;=0,0,IF(H_Direct=1,IF(CT71&lt;=0,QT71,IF(QT71&lt;=(XS71+ABF71)/CT71,QT71,(QT71-G71*(XS71+ABF71))/(1-G71*CT71))),QT71/(1-MAX(0,CT71)*H_Exit)))</f>
        <v>0</v>
      </c>
      <c r="UH71" s="20" t="n">
        <f aca="false">IF(ALU70&lt;=0,0,IF(H_Direct=1,IF(CU71&lt;=0,QU71,IF(QU71&lt;=(XT71+ABG71)/CU71,QU71,(QU71-G71*(XT71+ABG71))/(1-G71*CU71))),QU71/(1-MAX(0,CU71)*H_Exit)))</f>
        <v>0</v>
      </c>
      <c r="UI71" s="20" t="n">
        <f aca="false">IF(ALV70&lt;=0,0,IF(H_Direct=1,IF(CV71&lt;=0,QV71,IF(QV71&lt;=(XU71+ABH71)/CV71,QV71,(QV71-G71*(XU71+ABH71))/(1-G71*CV71))),QV71/(1-MAX(0,CV71)*H_Exit)))</f>
        <v>0</v>
      </c>
      <c r="UJ71" s="20" t="n">
        <f aca="false">IF(ALW70&lt;=0,0,IF(H_Direct=1,IF(CW71&lt;=0,QW71,IF(QW71&lt;=(XV71+ABI71)/CW71,QW71,(QW71-G71*(XV71+ABI71))/(1-G71*CW71))),QW71/(1-MAX(0,CW71)*H_Exit)))</f>
        <v>0</v>
      </c>
      <c r="UK71" s="20" t="n">
        <f aca="false">IF(ALX70&lt;=0,0,IF(H_Direct=1,IF(CX71&lt;=0,QX71,IF(QX71&lt;=(XW71+ABJ71)/CX71,QX71,(QX71-G71*(XW71+ABJ71))/(1-G71*CX71))),QX71/(1-MAX(0,CX71)*H_Exit)))</f>
        <v>0</v>
      </c>
      <c r="UL71" s="20" t="n">
        <f aca="false">IF(ALY70&lt;=0,0,IF(H_Direct=1,IF(CY71&lt;=0,QY71,IF(QY71&lt;=(XX71+ABK71)/CY71,QY71,(QY71-G71*(XX71+ABK71))/(1-G71*CY71))),QY71/(1-MAX(0,CY71)*H_Exit)))</f>
        <v>0</v>
      </c>
      <c r="UM71" s="20" t="n">
        <f aca="false">IF(ALZ70&lt;=0,0,IF(H_Direct=1,IF(CZ71&lt;=0,QZ71,IF(QZ71&lt;=(XY71+ABL71)/CZ71,QZ71,(QZ71-G71*(XY71+ABL71))/(1-G71*CZ71))),QZ71/(1-MAX(0,CZ71)*H_Exit)))</f>
        <v>0</v>
      </c>
      <c r="UN71" s="20" t="n">
        <f aca="false">IF(AMA70&lt;=0,0,IF(H_Direct=1,IF(DA71&lt;=0,RA71,IF(RA71&lt;=(XZ71+ABM71)/DA71,RA71,(RA71-G71*(XZ71+ABM71))/(1-G71*DA71))),RA71/(1-MAX(0,DA71)*H_Exit)))</f>
        <v>0</v>
      </c>
      <c r="UO71" s="20" t="n">
        <f aca="false">IF(AMB70&lt;=0,0,IF(H_Direct=1,IF(DB71&lt;=0,RB71,IF(RB71&lt;=(YA71+ABN71)/DB71,RB71,(RB71-G71*(YA71+ABN71))/(1-G71*DB71))),RB71/(1-MAX(0,DB71)*H_Exit)))</f>
        <v>0</v>
      </c>
      <c r="UP71" s="20" t="n">
        <f aca="false">IF(AMC70&lt;=0,0,IF(H_Direct=1,IF(DC71&lt;=0,RC71,IF(RC71&lt;=(YB71+ABO71)/DC71,RC71,(RC71-G71*(YB71+ABO71))/(1-G71*DC71))),RC71/(1-MAX(0,DC71)*H_Exit)))</f>
        <v>0</v>
      </c>
      <c r="UQ71" s="20" t="n">
        <f aca="false">IF(AMD70&lt;=0,0,IF(H_Direct=1,IF(DD71&lt;=0,RD71,IF(RD71&lt;=(YC71+ABP71)/DD71,RD71,(RD71-G71*(YC71+ABP71))/(1-G71*DD71))),RD71/(1-MAX(0,DD71)*H_Exit)))</f>
        <v>0</v>
      </c>
      <c r="UR71" s="20" t="n">
        <f aca="false">IF(AME70&lt;=0,0,IF(H_Direct=1,IF(DE71&lt;=0,RE71,IF(RE71&lt;=(YD71+ABQ71)/DE71,RE71,(RE71-G71*(YD71+ABQ71))/(1-G71*DE71))),RE71/(1-MAX(0,DE71)*H_Exit)))</f>
        <v>0</v>
      </c>
      <c r="US71" s="20" t="n">
        <f aca="false">IF(AMF70&lt;=0,0,IF(H_Direct=1,IF(DF71&lt;=0,RF71,IF(RF71&lt;=(YE71+ABR71)/DF71,RF71,(RF71-G71*(YE71+ABR71))/(1-G71*DF71))),RF71/(1-MAX(0,DF71)*H_Exit)))</f>
        <v>0</v>
      </c>
      <c r="UT71" s="20" t="n">
        <f aca="false">IF(AMG70&lt;=0,0,IF(H_Direct=1,IF(DG71&lt;=0,RG71,IF(RG71&lt;=(YF71+ABS71)/DG71,RG71,(RG71-G71*(YF71+ABS71))/(1-G71*DG71))),RG71/(1-MAX(0,DG71)*H_Exit)))</f>
        <v>0</v>
      </c>
      <c r="UU71" s="20" t="n">
        <f aca="false">IF(AMH70&lt;=0,0,IF(H_Direct=1,IF(DH71&lt;=0,RH71,IF(RH71&lt;=(YG71+ABT71)/DH71,RH71,(RH71-G71*(YG71+ABT71))/(1-G71*DH71))),RH71/(1-MAX(0,DH71)*H_Exit)))</f>
        <v>0</v>
      </c>
      <c r="UV71" s="20" t="n">
        <f aca="false">IF(AMI70&lt;=0,0,IF(H_Direct=1,IF(DI71&lt;=0,RI71,IF(RI71&lt;=(YH71+ABU71)/DI71,RI71,(RI71-G71*(YH71+ABU71))/(1-G71*DI71))),RI71/(1-MAX(0,DI71)*H_Exit)))</f>
        <v>0</v>
      </c>
      <c r="UW71" s="20" t="n">
        <f aca="false">IF(AMJ70&lt;=0,0,IF(H_Direct=1,IF(DJ71&lt;=0,RJ71,IF(RJ71&lt;=(YI71+ABV71)/DJ71,RJ71,(RJ71-G71*(YI71+ABV71))/(1-G71*DJ71))),RJ71/(1-MAX(0,DJ71)*H_Exit)))</f>
        <v>0</v>
      </c>
      <c r="UX71" s="20" t="n">
        <f aca="false">IF(AMK70&lt;=0,0,IF(H_Direct=1,IF(DK71&lt;=0,RK71,IF(RK71&lt;=(YJ71+ABW71)/DK71,RK71,(RK71-G71*(YJ71+ABW71))/(1-G71*DK71))),RK71/(1-MAX(0,DK71)*H_Exit)))</f>
        <v>0</v>
      </c>
      <c r="UY71" s="20" t="n">
        <f aca="false">IF(AML70&lt;=0,0,IF(H_Direct=1,IF(DL71&lt;=0,RL71,IF(RL71&lt;=(YK71+ABX71)/DL71,RL71,(RL71-G71*(YK71+ABX71))/(1-G71*DL71))),RL71/(1-MAX(0,DL71)*H_Exit)))</f>
        <v>0</v>
      </c>
      <c r="UZ71" s="20" t="n">
        <f aca="false">IF(AMM70&lt;=0,0,IF(H_Direct=1,IF(DM71&lt;=0,RM71,IF(RM71&lt;=(YL71+ABY71)/DM71,RM71,(RM71-G71*(YL71+ABY71))/(1-G71*DM71))),RM71/(1-MAX(0,DM71)*H_Exit)))</f>
        <v>0</v>
      </c>
      <c r="VA71" s="20" t="n">
        <f aca="false">IF(AMN70&lt;=0,0,IF(H_Direct=1,IF(DN71&lt;=0,RN71,IF(RN71&lt;=(YM71+ABZ71)/DN71,RN71,(RN71-G71*(YM71+ABZ71))/(1-G71*DN71))),RN71/(1-MAX(0,DN71)*H_Exit)))</f>
        <v>0</v>
      </c>
      <c r="VB71" s="20" t="n">
        <f aca="false">IF(AMO70&lt;=0,0,IF(H_Direct=1,IF(DO71&lt;=0,RO71,IF(RO71&lt;=(YN71+ACA71)/DO71,RO71,(RO71-G71*(YN71+ACA71))/(1-G71*DO71))),RO71/(1-MAX(0,DO71)*H_Exit)))</f>
        <v>0</v>
      </c>
      <c r="VC71" s="20" t="n">
        <f aca="false">IF(AMP70&lt;=0,0,IF(H_Direct=1,IF(DP71&lt;=0,RP71,IF(RP71&lt;=(YO71+ACB71)/DP71,RP71,(RP71-G71*(YO71+ACB71))/(1-G71*DP71))),RP71/(1-MAX(0,DP71)*H_Exit)))</f>
        <v>0</v>
      </c>
      <c r="VD71" s="20" t="n">
        <f aca="false">IF(AMQ70&lt;=0,0,IF(H_Direct=1,IF(DQ71&lt;=0,RQ71,IF(RQ71&lt;=(YP71+ACC71)/DQ71,RQ71,(RQ71-G71*(YP71+ACC71))/(1-G71*DQ71))),RQ71/(1-MAX(0,DQ71)*H_Exit)))</f>
        <v>0</v>
      </c>
      <c r="VE71" s="20" t="n">
        <f aca="false">IF(AMR70&lt;=0,0,IF(H_Direct=1,IF(DR71&lt;=0,RR71,IF(RR71&lt;=(YQ71+ACD71)/DR71,RR71,(RR71-G71*(YQ71+ACD71))/(1-G71*DR71))),RR71/(1-MAX(0,DR71)*H_Exit)))</f>
        <v>0</v>
      </c>
      <c r="VF71" s="20" t="n">
        <f aca="false">IF(AMS70&lt;=0,0,IF(H_Direct=1,IF(DS71&lt;=0,RS71,IF(RS71&lt;=(YR71+ACE71)/DS71,RS71,(RS71-G71*(YR71+ACE71))/(1-G71*DS71))),RS71/(1-MAX(0,DS71)*H_Exit)))</f>
        <v>0</v>
      </c>
      <c r="VG71" s="20" t="n">
        <f aca="false">IF(AMT70&lt;=0,0,IF(H_Direct=1,IF(DT71&lt;=0,RT71,IF(RT71&lt;=(YS71+ACF71)/DT71,RT71,(RT71-G71*(YS71+ACF71))/(1-G71*DT71))),RT71/(1-MAX(0,DT71)*H_Exit)))</f>
        <v>0</v>
      </c>
      <c r="VH71" s="20" t="n">
        <f aca="false">IF(AMU70&lt;=0,0,IF(H_Direct=1,IF(DU71&lt;=0,RU71,IF(RU71&lt;=(YT71+ACG71)/DU71,RU71,(RU71-G71*(YT71+ACG71))/(1-G71*DU71))),RU71/(1-MAX(0,DU71)*H_Exit)))</f>
        <v>0</v>
      </c>
      <c r="VI71" s="20" t="n">
        <f aca="false">IF(AMV70&lt;=0,0,IF(H_Direct=1,IF(DV71&lt;=0,RV71,IF(RV71&lt;=(YU71+ACH71)/DV71,RV71,(RV71-G71*(YU71+ACH71))/(1-G71*DV71))),RV71/(1-MAX(0,DV71)*H_Exit)))</f>
        <v>0</v>
      </c>
      <c r="VJ71" s="20" t="n">
        <f aca="false">IF(AMW70&lt;=0,0,IF(H_Direct=1,IF(DW71&lt;=0,RW71,IF(RW71&lt;=(YV71+ACI71)/DW71,RW71,(RW71-G71*(YV71+ACI71))/(1-G71*DW71))),RW71/(1-MAX(0,DW71)*H_Exit)))</f>
        <v>0</v>
      </c>
      <c r="VK71" s="20" t="n">
        <f aca="false">IF(AMX70&lt;=0,0,IF(H_Direct=1,IF(DX71&lt;=0,RX71,IF(RX71&lt;=(YW71+ACJ71)/DX71,RX71,(RX71-G71*(YW71+ACJ71))/(1-G71*DX71))),RX71/(1-MAX(0,DX71)*H_Exit)))</f>
        <v>0</v>
      </c>
      <c r="VL71" s="20" t="n">
        <f aca="false">IF(AMY70&lt;=0,0,IF(H_Direct=1,IF(DY71&lt;=0,RY71,IF(RY71&lt;=(YX71+ACK71)/DY71,RY71,(RY71-G71*(YX71+ACK71))/(1-G71*DY71))),RY71/(1-MAX(0,DY71)*H_Exit)))</f>
        <v>0</v>
      </c>
      <c r="VM71" s="20" t="n">
        <f aca="false">IF(AMZ70&lt;=0,0,IF(H_Direct=1,IF(DZ71&lt;=0,RZ71,IF(RZ71&lt;=(YY71+ACL71)/DZ71,RZ71,(RZ71-G71*(YY71+ACL71))/(1-G71*DZ71))),RZ71/(1-MAX(0,DZ71)*H_Exit)))</f>
        <v>0</v>
      </c>
      <c r="VN71" s="20" t="n">
        <f aca="false">IF(ANA70&lt;=0,0,IF(H_Direct=1,IF(EA71&lt;=0,SA71,IF(SA71&lt;=(YZ71+ACM71)/EA71,SA71,(SA71-G71*(YZ71+ACM71))/(1-G71*EA71))),SA71/(1-MAX(0,EA71)*H_Exit)))</f>
        <v>0</v>
      </c>
      <c r="VO71" s="20" t="n">
        <f aca="false">IF(ANB70&lt;=0,0,IF(H_Direct=1,IF(EB71&lt;=0,SB71,IF(SB71&lt;=(ZA71+ACN71)/EB71,SB71,(SB71-G71*(ZA71+ACN71))/(1-G71*EB71))),SB71/(1-MAX(0,EB71)*H_Exit)))</f>
        <v>0</v>
      </c>
      <c r="VP71" s="20" t="n">
        <f aca="false">IF(ANC70&lt;=0,0,IF(H_Direct=1,IF(EC71&lt;=0,SC71,IF(SC71&lt;=(ZB71+ACO71)/EC71,SC71,(SC71-G71*(ZB71+ACO71))/(1-G71*EC71))),SC71/(1-MAX(0,EC71)*H_Exit)))</f>
        <v>0</v>
      </c>
      <c r="VQ71" s="20" t="n">
        <f aca="false">IF((P71+S71)&lt;=0,0,IF(H_Direct=1,IF(ED71&lt;=0,SD71,IF(SD71&lt;=(ZC71+ACP71)/ED71,SD71,(SD71-G71*(ZC71+ACP71))/(1-G71*ED71))),SD71/(1-MAX(0,ED71)*H_Exit)))</f>
        <v>0</v>
      </c>
      <c r="VR71" s="20" t="n">
        <v>0</v>
      </c>
      <c r="VS71" s="20" t="n">
        <v>0</v>
      </c>
      <c r="VT71" s="20" t="n">
        <v>0</v>
      </c>
      <c r="VU71" s="20" t="n">
        <v>0</v>
      </c>
      <c r="VV71" s="20" t="n">
        <v>0</v>
      </c>
      <c r="VW71" s="20" t="n">
        <v>0</v>
      </c>
      <c r="VX71" s="20" t="n">
        <v>0</v>
      </c>
      <c r="VY71" s="20" t="n">
        <v>0</v>
      </c>
      <c r="VZ71" s="20" t="n">
        <v>0</v>
      </c>
      <c r="WA71" s="20" t="n">
        <v>0</v>
      </c>
      <c r="WB71" s="20" t="n">
        <v>0</v>
      </c>
      <c r="WC71" s="20" t="n">
        <v>0</v>
      </c>
      <c r="WD71" s="20" t="n">
        <v>0</v>
      </c>
      <c r="WE71" s="20" t="n">
        <v>0</v>
      </c>
      <c r="WF71" s="20" t="n">
        <v>0</v>
      </c>
      <c r="WG71" s="20" t="n">
        <v>0</v>
      </c>
      <c r="WH71" s="20" t="n">
        <v>0</v>
      </c>
      <c r="WI71" s="20" t="n">
        <v>0</v>
      </c>
      <c r="WJ71" s="20" t="n">
        <v>0</v>
      </c>
      <c r="WK71" s="20" t="n">
        <v>0</v>
      </c>
      <c r="WL71" s="20" t="n">
        <v>0</v>
      </c>
      <c r="WM71" s="20" t="n">
        <v>0</v>
      </c>
      <c r="WN71" s="20" t="n">
        <v>0</v>
      </c>
      <c r="WO71" s="20" t="n">
        <v>0</v>
      </c>
      <c r="WP71" s="20" t="n">
        <v>0</v>
      </c>
      <c r="WQ71" s="20" t="n">
        <v>0</v>
      </c>
      <c r="WR71" s="20" t="n">
        <f aca="false">IF(AND(H_Direct=1,BR71&gt;0),MAX(0,H71-(MIN(BR71*TE71,(H71+I71))-MIN(MIN(BR71*TE71,(H71+I71)),I71))),H71)</f>
        <v>1270</v>
      </c>
      <c r="WS71" s="20" t="n">
        <f aca="false">IF(AND(H_Direct=1,BS71&gt;0),MAX(0,WR71-(MIN(BS71*TF71,(WR71+AAE71))-MIN(MIN(BS71*TF71,(WR71+AAE71)),AAE71))),WR71)</f>
        <v>1270</v>
      </c>
      <c r="WT71" s="20" t="n">
        <f aca="false">IF(AND(H_Direct=1,BT71&gt;0),MAX(0,WS71-(MIN(BT71*TG71,(WS71+AAF71))-MIN(MIN(BT71*TG71,(WS71+AAF71)),AAF71))),WS71)</f>
        <v>1270</v>
      </c>
      <c r="WU71" s="20" t="n">
        <f aca="false">IF(AND(H_Direct=1,BU71&gt;0),MAX(0,WT71-(MIN(BU71*TH71,(WT71+AAG71))-MIN(MIN(BU71*TH71,(WT71+AAG71)),AAG71))),WT71)</f>
        <v>1270</v>
      </c>
      <c r="WV71" s="20" t="n">
        <f aca="false">IF(AND(H_Direct=1,BV71&gt;0),MAX(0,WU71-(MIN(BV71*TI71,(WU71+AAH71))-MIN(MIN(BV71*TI71,(WU71+AAH71)),AAH71))),WU71)</f>
        <v>1270</v>
      </c>
      <c r="WW71" s="20" t="n">
        <f aca="false">IF(AND(H_Direct=1,BW71&gt;0),MAX(0,WV71-(MIN(BW71*TJ71,(WV71+AAI71))-MIN(MIN(BW71*TJ71,(WV71+AAI71)),AAI71))),WV71)</f>
        <v>1270</v>
      </c>
      <c r="WX71" s="20" t="n">
        <f aca="false">IF(AND(H_Direct=1,BX71&gt;0),MAX(0,WW71-(MIN(BX71*TK71,(WW71+AAJ71))-MIN(MIN(BX71*TK71,(WW71+AAJ71)),AAJ71))),WW71)</f>
        <v>1270</v>
      </c>
      <c r="WY71" s="20" t="n">
        <f aca="false">IF(AND(H_Direct=1,BY71&gt;0),MAX(0,WX71-(MIN(BY71*TL71,(WX71+AAK71))-MIN(MIN(BY71*TL71,(WX71+AAK71)),AAK71))),WX71)</f>
        <v>1270</v>
      </c>
      <c r="WZ71" s="20" t="n">
        <f aca="false">IF(AND(H_Direct=1,BZ71&gt;0),MAX(0,WY71-(MIN(BZ71*TM71,(WY71+AAL71))-MIN(MIN(BZ71*TM71,(WY71+AAL71)),AAL71))),WY71)</f>
        <v>1270</v>
      </c>
      <c r="XA71" s="20" t="n">
        <f aca="false">IF(AND(H_Direct=1,CA71&gt;0),MAX(0,WZ71-(MIN(CA71*TN71,(WZ71+AAM71))-MIN(MIN(CA71*TN71,(WZ71+AAM71)),AAM71))),WZ71)</f>
        <v>1270</v>
      </c>
      <c r="XB71" s="20" t="n">
        <f aca="false">IF(AND(H_Direct=1,CB71&gt;0),MAX(0,XA71-(MIN(CB71*TO71,(XA71+AAN71))-MIN(MIN(CB71*TO71,(XA71+AAN71)),AAN71))),XA71)</f>
        <v>1270</v>
      </c>
      <c r="XC71" s="20" t="n">
        <f aca="false">IF(AND(H_Direct=1,CC71&gt;0),MAX(0,XB71-(MIN(CC71*TP71,(XB71+AAO71))-MIN(MIN(CC71*TP71,(XB71+AAO71)),AAO71))),XB71)</f>
        <v>1270</v>
      </c>
      <c r="XD71" s="20" t="n">
        <f aca="false">IF(AND(H_Direct=1,CD71&gt;0),MAX(0,XC71-(MIN(CD71*TQ71,(XC71+AAP71))-MIN(MIN(CD71*TQ71,(XC71+AAP71)),AAP71))),XC71)</f>
        <v>1270</v>
      </c>
      <c r="XE71" s="20" t="n">
        <f aca="false">IF(AND(H_Direct=1,CE71&gt;0),MAX(0,XD71-(MIN(CE71*TR71,(XD71+AAQ71))-MIN(MIN(CE71*TR71,(XD71+AAQ71)),AAQ71))),XD71)</f>
        <v>1270</v>
      </c>
      <c r="XF71" s="20" t="n">
        <f aca="false">IF(AND(H_Direct=1,CF71&gt;0),MAX(0,XE71-(MIN(CF71*TS71,(XE71+AAR71))-MIN(MIN(CF71*TS71,(XE71+AAR71)),AAR71))),XE71)</f>
        <v>1270</v>
      </c>
      <c r="XG71" s="20" t="n">
        <f aca="false">IF(AND(H_Direct=1,CG71&gt;0),MAX(0,XF71-(MIN(CG71*TT71,(XF71+AAS71))-MIN(MIN(CG71*TT71,(XF71+AAS71)),AAS71))),XF71)</f>
        <v>1270</v>
      </c>
      <c r="XH71" s="20" t="n">
        <f aca="false">IF(AND(H_Direct=1,CH71&gt;0),MAX(0,XG71-(MIN(CH71*TU71,(XG71+AAT71))-MIN(MIN(CH71*TU71,(XG71+AAT71)),AAT71))),XG71)</f>
        <v>1270</v>
      </c>
      <c r="XI71" s="20" t="n">
        <f aca="false">IF(AND(H_Direct=1,CI71&gt;0),MAX(0,XH71-(MIN(CI71*TV71,(XH71+AAU71))-MIN(MIN(CI71*TV71,(XH71+AAU71)),AAU71))),XH71)</f>
        <v>1270</v>
      </c>
      <c r="XJ71" s="20" t="n">
        <f aca="false">IF(AND(H_Direct=1,CJ71&gt;0),MAX(0,XI71-(MIN(CJ71*TW71,(XI71+AAV71))-MIN(MIN(CJ71*TW71,(XI71+AAV71)),AAV71))),XI71)</f>
        <v>1270</v>
      </c>
      <c r="XK71" s="20" t="n">
        <f aca="false">IF(AND(H_Direct=1,CK71&gt;0),MAX(0,XJ71-(MIN(CK71*TX71,(XJ71+AAW71))-MIN(MIN(CK71*TX71,(XJ71+AAW71)),AAW71))),XJ71)</f>
        <v>1270</v>
      </c>
      <c r="XL71" s="20" t="n">
        <f aca="false">IF(AND(H_Direct=1,CL71&gt;0),MAX(0,XK71-(MIN(CL71*TY71,(XK71+AAX71))-MIN(MIN(CL71*TY71,(XK71+AAX71)),AAX71))),XK71)</f>
        <v>1270</v>
      </c>
      <c r="XM71" s="20" t="n">
        <f aca="false">IF(AND(H_Direct=1,CM71&gt;0),MAX(0,XL71-(MIN(CM71*TZ71,(XL71+AAY71))-MIN(MIN(CM71*TZ71,(XL71+AAY71)),AAY71))),XL71)</f>
        <v>1270</v>
      </c>
      <c r="XN71" s="20" t="n">
        <f aca="false">IF(AND(H_Direct=1,CN71&gt;0),MAX(0,XM71-(MIN(CN71*UA71,(XM71+AAZ71))-MIN(MIN(CN71*UA71,(XM71+AAZ71)),AAZ71))),XM71)</f>
        <v>1270</v>
      </c>
      <c r="XO71" s="20" t="n">
        <f aca="false">IF(AND(H_Direct=1,CO71&gt;0),MAX(0,XN71-(MIN(CO71*UB71,(XN71+ABA71))-MIN(MIN(CO71*UB71,(XN71+ABA71)),ABA71))),XN71)</f>
        <v>1270</v>
      </c>
      <c r="XP71" s="20" t="n">
        <f aca="false">IF(AND(H_Direct=1,CP71&gt;0),MAX(0,XO71-(MIN(CP71*UC71,(XO71+ABB71))-MIN(MIN(CP71*UC71,(XO71+ABB71)),ABB71))),XO71)</f>
        <v>1270</v>
      </c>
      <c r="XQ71" s="20" t="n">
        <f aca="false">IF(AND(H_Direct=1,CQ71&gt;0),MAX(0,XP71-(MIN(CQ71*UD71,(XP71+ABC71))-MIN(MIN(CQ71*UD71,(XP71+ABC71)),ABC71))),XP71)</f>
        <v>1270</v>
      </c>
      <c r="XR71" s="20" t="n">
        <f aca="false">IF(AND(H_Direct=1,CR71&gt;0),MAX(0,XQ71-(MIN(CR71*UE71,(XQ71+ABD71))-MIN(MIN(CR71*UE71,(XQ71+ABD71)),ABD71))),XQ71)</f>
        <v>1270</v>
      </c>
      <c r="XS71" s="20" t="n">
        <f aca="false">IF(AND(H_Direct=1,CS71&gt;0),MAX(0,XR71-(MIN(CS71*UF71,(XR71+ABE71))-MIN(MIN(CS71*UF71,(XR71+ABE71)),ABE71))),XR71)</f>
        <v>1270</v>
      </c>
      <c r="XT71" s="20" t="n">
        <f aca="false">IF(AND(H_Direct=1,CT71&gt;0),MAX(0,XS71-(MIN(CT71*UG71,(XS71+ABF71))-MIN(MIN(CT71*UG71,(XS71+ABF71)),ABF71))),XS71)</f>
        <v>1270</v>
      </c>
      <c r="XU71" s="20" t="n">
        <f aca="false">IF(AND(H_Direct=1,CU71&gt;0),MAX(0,XT71-(MIN(CU71*UH71,(XT71+ABG71))-MIN(MIN(CU71*UH71,(XT71+ABG71)),ABG71))),XT71)</f>
        <v>1270</v>
      </c>
      <c r="XV71" s="20" t="n">
        <f aca="false">IF(AND(H_Direct=1,CV71&gt;0),MAX(0,XU71-(MIN(CV71*UI71,(XU71+ABH71))-MIN(MIN(CV71*UI71,(XU71+ABH71)),ABH71))),XU71)</f>
        <v>1270</v>
      </c>
      <c r="XW71" s="20" t="n">
        <f aca="false">IF(AND(H_Direct=1,CW71&gt;0),MAX(0,XV71-(MIN(CW71*UJ71,(XV71+ABI71))-MIN(MIN(CW71*UJ71,(XV71+ABI71)),ABI71))),XV71)</f>
        <v>1270</v>
      </c>
      <c r="XX71" s="20" t="n">
        <f aca="false">IF(AND(H_Direct=1,CX71&gt;0),MAX(0,XW71-(MIN(CX71*UK71,(XW71+ABJ71))-MIN(MIN(CX71*UK71,(XW71+ABJ71)),ABJ71))),XW71)</f>
        <v>1270</v>
      </c>
      <c r="XY71" s="20" t="n">
        <f aca="false">IF(AND(H_Direct=1,CY71&gt;0),MAX(0,XX71-(MIN(CY71*UL71,(XX71+ABK71))-MIN(MIN(CY71*UL71,(XX71+ABK71)),ABK71))),XX71)</f>
        <v>1270</v>
      </c>
      <c r="XZ71" s="20" t="n">
        <f aca="false">IF(AND(H_Direct=1,CZ71&gt;0),MAX(0,XY71-(MIN(CZ71*UM71,(XY71+ABL71))-MIN(MIN(CZ71*UM71,(XY71+ABL71)),ABL71))),XY71)</f>
        <v>1270</v>
      </c>
      <c r="YA71" s="20" t="n">
        <f aca="false">IF(AND(H_Direct=1,DA71&gt;0),MAX(0,XZ71-(MIN(DA71*UN71,(XZ71+ABM71))-MIN(MIN(DA71*UN71,(XZ71+ABM71)),ABM71))),XZ71)</f>
        <v>1270</v>
      </c>
      <c r="YB71" s="20" t="n">
        <f aca="false">IF(AND(H_Direct=1,DB71&gt;0),MAX(0,YA71-(MIN(DB71*UO71,(YA71+ABN71))-MIN(MIN(DB71*UO71,(YA71+ABN71)),ABN71))),YA71)</f>
        <v>1270</v>
      </c>
      <c r="YC71" s="20" t="n">
        <f aca="false">IF(AND(H_Direct=1,DC71&gt;0),MAX(0,YB71-(MIN(DC71*UP71,(YB71+ABO71))-MIN(MIN(DC71*UP71,(YB71+ABO71)),ABO71))),YB71)</f>
        <v>1270</v>
      </c>
      <c r="YD71" s="20" t="n">
        <f aca="false">IF(AND(H_Direct=1,DD71&gt;0),MAX(0,YC71-(MIN(DD71*UQ71,(YC71+ABP71))-MIN(MIN(DD71*UQ71,(YC71+ABP71)),ABP71))),YC71)</f>
        <v>1270</v>
      </c>
      <c r="YE71" s="20" t="n">
        <f aca="false">IF(AND(H_Direct=1,DE71&gt;0),MAX(0,YD71-(MIN(DE71*UR71,(YD71+ABQ71))-MIN(MIN(DE71*UR71,(YD71+ABQ71)),ABQ71))),YD71)</f>
        <v>1270</v>
      </c>
      <c r="YF71" s="20" t="n">
        <f aca="false">IF(AND(H_Direct=1,DF71&gt;0),MAX(0,YE71-(MIN(DF71*US71,(YE71+ABR71))-MIN(MIN(DF71*US71,(YE71+ABR71)),ABR71))),YE71)</f>
        <v>1270</v>
      </c>
      <c r="YG71" s="20" t="n">
        <f aca="false">IF(AND(H_Direct=1,DG71&gt;0),MAX(0,YF71-(MIN(DG71*UT71,(YF71+ABS71))-MIN(MIN(DG71*UT71,(YF71+ABS71)),ABS71))),YF71)</f>
        <v>1270</v>
      </c>
      <c r="YH71" s="20" t="n">
        <f aca="false">IF(AND(H_Direct=1,DH71&gt;0),MAX(0,YG71-(MIN(DH71*UU71,(YG71+ABT71))-MIN(MIN(DH71*UU71,(YG71+ABT71)),ABT71))),YG71)</f>
        <v>1270</v>
      </c>
      <c r="YI71" s="20" t="n">
        <f aca="false">IF(AND(H_Direct=1,DI71&gt;0),MAX(0,YH71-(MIN(DI71*UV71,(YH71+ABU71))-MIN(MIN(DI71*UV71,(YH71+ABU71)),ABU71))),YH71)</f>
        <v>1270</v>
      </c>
      <c r="YJ71" s="20" t="n">
        <f aca="false">IF(AND(H_Direct=1,DJ71&gt;0),MAX(0,YI71-(MIN(DJ71*UW71,(YI71+ABV71))-MIN(MIN(DJ71*UW71,(YI71+ABV71)),ABV71))),YI71)</f>
        <v>1270</v>
      </c>
      <c r="YK71" s="20" t="n">
        <f aca="false">IF(AND(H_Direct=1,DK71&gt;0),MAX(0,YJ71-(MIN(DK71*UX71,(YJ71+ABW71))-MIN(MIN(DK71*UX71,(YJ71+ABW71)),ABW71))),YJ71)</f>
        <v>1270</v>
      </c>
      <c r="YL71" s="20" t="n">
        <f aca="false">IF(AND(H_Direct=1,DL71&gt;0),MAX(0,YK71-(MIN(DL71*UY71,(YK71+ABX71))-MIN(MIN(DL71*UY71,(YK71+ABX71)),ABX71))),YK71)</f>
        <v>1270</v>
      </c>
      <c r="YM71" s="20" t="n">
        <f aca="false">IF(AND(H_Direct=1,DM71&gt;0),MAX(0,YL71-(MIN(DM71*UZ71,(YL71+ABY71))-MIN(MIN(DM71*UZ71,(YL71+ABY71)),ABY71))),YL71)</f>
        <v>1270</v>
      </c>
      <c r="YN71" s="20" t="n">
        <f aca="false">IF(AND(H_Direct=1,DN71&gt;0),MAX(0,YM71-(MIN(DN71*VA71,(YM71+ABZ71))-MIN(MIN(DN71*VA71,(YM71+ABZ71)),ABZ71))),YM71)</f>
        <v>1270</v>
      </c>
      <c r="YO71" s="20" t="n">
        <f aca="false">IF(AND(H_Direct=1,DO71&gt;0),MAX(0,YN71-(MIN(DO71*VB71,(YN71+ACA71))-MIN(MIN(DO71*VB71,(YN71+ACA71)),ACA71))),YN71)</f>
        <v>1270</v>
      </c>
      <c r="YP71" s="20" t="n">
        <f aca="false">IF(AND(H_Direct=1,DP71&gt;0),MAX(0,YO71-(MIN(DP71*VC71,(YO71+ACB71))-MIN(MIN(DP71*VC71,(YO71+ACB71)),ACB71))),YO71)</f>
        <v>1270</v>
      </c>
      <c r="YQ71" s="20" t="n">
        <f aca="false">IF(AND(H_Direct=1,DQ71&gt;0),MAX(0,YP71-(MIN(DQ71*VD71,(YP71+ACC71))-MIN(MIN(DQ71*VD71,(YP71+ACC71)),ACC71))),YP71)</f>
        <v>1270</v>
      </c>
      <c r="YR71" s="20" t="n">
        <f aca="false">IF(AND(H_Direct=1,DR71&gt;0),MAX(0,YQ71-(MIN(DR71*VE71,(YQ71+ACD71))-MIN(MIN(DR71*VE71,(YQ71+ACD71)),ACD71))),YQ71)</f>
        <v>1270</v>
      </c>
      <c r="YS71" s="20" t="n">
        <f aca="false">IF(AND(H_Direct=1,DS71&gt;0),MAX(0,YR71-(MIN(DS71*VF71,(YR71+ACE71))-MIN(MIN(DS71*VF71,(YR71+ACE71)),ACE71))),YR71)</f>
        <v>1270</v>
      </c>
      <c r="YT71" s="20" t="n">
        <f aca="false">IF(AND(H_Direct=1,DT71&gt;0),MAX(0,YS71-(MIN(DT71*VG71,(YS71+ACF71))-MIN(MIN(DT71*VG71,(YS71+ACF71)),ACF71))),YS71)</f>
        <v>1270</v>
      </c>
      <c r="YU71" s="20" t="n">
        <f aca="false">IF(AND(H_Direct=1,DU71&gt;0),MAX(0,YT71-(MIN(DU71*VH71,(YT71+ACG71))-MIN(MIN(DU71*VH71,(YT71+ACG71)),ACG71))),YT71)</f>
        <v>1270</v>
      </c>
      <c r="YV71" s="20" t="n">
        <f aca="false">IF(AND(H_Direct=1,DV71&gt;0),MAX(0,YU71-(MIN(DV71*VI71,(YU71+ACH71))-MIN(MIN(DV71*VI71,(YU71+ACH71)),ACH71))),YU71)</f>
        <v>1270</v>
      </c>
      <c r="YW71" s="20" t="n">
        <f aca="false">IF(AND(H_Direct=1,DW71&gt;0),MAX(0,YV71-(MIN(DW71*VJ71,(YV71+ACI71))-MIN(MIN(DW71*VJ71,(YV71+ACI71)),ACI71))),YV71)</f>
        <v>1270</v>
      </c>
      <c r="YX71" s="20" t="n">
        <f aca="false">IF(AND(H_Direct=1,DX71&gt;0),MAX(0,YW71-(MIN(DX71*VK71,(YW71+ACJ71))-MIN(MIN(DX71*VK71,(YW71+ACJ71)),ACJ71))),YW71)</f>
        <v>1270</v>
      </c>
      <c r="YY71" s="20" t="n">
        <f aca="false">IF(AND(H_Direct=1,DY71&gt;0),MAX(0,YX71-(MIN(DY71*VL71,(YX71+ACK71))-MIN(MIN(DY71*VL71,(YX71+ACK71)),ACK71))),YX71)</f>
        <v>1270</v>
      </c>
      <c r="YZ71" s="20" t="n">
        <f aca="false">IF(AND(H_Direct=1,DZ71&gt;0),MAX(0,YY71-(MIN(DZ71*VM71,(YY71+ACL71))-MIN(MIN(DZ71*VM71,(YY71+ACL71)),ACL71))),YY71)</f>
        <v>1270</v>
      </c>
      <c r="ZA71" s="20" t="n">
        <f aca="false">IF(AND(H_Direct=1,EA71&gt;0),MAX(0,YZ71-(MIN(EA71*VN71,(YZ71+ACM71))-MIN(MIN(EA71*VN71,(YZ71+ACM71)),ACM71))),YZ71)</f>
        <v>1270</v>
      </c>
      <c r="ZB71" s="20" t="n">
        <f aca="false">IF(AND(H_Direct=1,EB71&gt;0),MAX(0,ZA71-(MIN(EB71*VO71,(ZA71+ACN71))-MIN(MIN(EB71*VO71,(ZA71+ACN71)),ACN71))),ZA71)</f>
        <v>1270</v>
      </c>
      <c r="ZC71" s="20" t="n">
        <f aca="false">IF(AND(H_Direct=1,EC71&gt;0),MAX(0,ZB71-(MIN(EC71*VP71,(ZB71+ACO71))-MIN(MIN(EC71*VP71,(ZB71+ACO71)),ACO71))),ZB71)</f>
        <v>1270</v>
      </c>
      <c r="ZD71" s="20" t="n">
        <f aca="false">IF(AND(H_Direct=1,ED71&gt;0),MAX(0,ZC71-(MIN(ED71*VQ71,(ZC71+ACP71))-MIN(MIN(ED71*VQ71,(ZC71+ACP71)),ACP71))),ZC71)</f>
        <v>1270</v>
      </c>
      <c r="ZE71" s="20" t="n">
        <f aca="false">ZD71</f>
        <v>1270</v>
      </c>
      <c r="ZF71" s="20" t="n">
        <f aca="false">ZE71</f>
        <v>1270</v>
      </c>
      <c r="ZG71" s="20" t="n">
        <f aca="false">ZF71</f>
        <v>1270</v>
      </c>
      <c r="ZH71" s="20" t="n">
        <f aca="false">ZG71</f>
        <v>1270</v>
      </c>
      <c r="ZI71" s="20" t="n">
        <f aca="false">ZH71</f>
        <v>1270</v>
      </c>
      <c r="ZJ71" s="20" t="n">
        <f aca="false">ZI71</f>
        <v>1270</v>
      </c>
      <c r="ZK71" s="20" t="n">
        <f aca="false">ZJ71</f>
        <v>1270</v>
      </c>
      <c r="ZL71" s="20" t="n">
        <f aca="false">ZK71</f>
        <v>1270</v>
      </c>
      <c r="ZM71" s="20" t="n">
        <f aca="false">ZL71</f>
        <v>1270</v>
      </c>
      <c r="ZN71" s="20" t="n">
        <f aca="false">ZM71</f>
        <v>1270</v>
      </c>
      <c r="ZO71" s="20" t="n">
        <f aca="false">ZN71</f>
        <v>1270</v>
      </c>
      <c r="ZP71" s="20" t="n">
        <f aca="false">ZO71</f>
        <v>1270</v>
      </c>
      <c r="ZQ71" s="20" t="n">
        <f aca="false">ZP71</f>
        <v>1270</v>
      </c>
      <c r="ZR71" s="20" t="n">
        <f aca="false">ZQ71</f>
        <v>1270</v>
      </c>
      <c r="ZS71" s="20" t="n">
        <f aca="false">ZR71</f>
        <v>1270</v>
      </c>
      <c r="ZT71" s="20" t="n">
        <f aca="false">ZS71</f>
        <v>1270</v>
      </c>
      <c r="ZU71" s="20" t="n">
        <f aca="false">ZT71</f>
        <v>1270</v>
      </c>
      <c r="ZV71" s="20" t="n">
        <f aca="false">ZU71</f>
        <v>1270</v>
      </c>
      <c r="ZW71" s="20" t="n">
        <f aca="false">ZV71</f>
        <v>1270</v>
      </c>
      <c r="ZX71" s="20" t="n">
        <f aca="false">ZW71</f>
        <v>1270</v>
      </c>
      <c r="ZY71" s="20" t="n">
        <f aca="false">ZX71</f>
        <v>1270</v>
      </c>
      <c r="ZZ71" s="20" t="n">
        <f aca="false">ZY71</f>
        <v>1270</v>
      </c>
      <c r="AAA71" s="20" t="n">
        <f aca="false">ZZ71</f>
        <v>1270</v>
      </c>
      <c r="AAB71" s="20" t="n">
        <f aca="false">AAA71</f>
        <v>1270</v>
      </c>
      <c r="AAC71" s="20" t="n">
        <f aca="false">AAB71</f>
        <v>1270</v>
      </c>
      <c r="AAD71" s="20" t="n">
        <f aca="false">AAC71</f>
        <v>1270</v>
      </c>
      <c r="AAE71" s="20" t="n">
        <f aca="false">IF(H_Direct=1,IF(BR71&lt;=0,I71-BR71*TE71,I71-MIN(MIN(BR71*TE71,(H71+I71)),I71)),I71)</f>
        <v>0</v>
      </c>
      <c r="AAF71" s="20" t="n">
        <f aca="false">IF(H_Direct=1,IF(BS71&lt;=0,AAE71-BS71*TF71,AAE71-MIN(MIN(BS71*TF71,(WR71+AAE71)),AAE71)),AAE71)</f>
        <v>0</v>
      </c>
      <c r="AAG71" s="20" t="n">
        <f aca="false">IF(H_Direct=1,IF(BT71&lt;=0,AAF71-BT71*TG71,AAF71-MIN(MIN(BT71*TG71,(WS71+AAF71)),AAF71)),AAF71)</f>
        <v>0</v>
      </c>
      <c r="AAH71" s="20" t="n">
        <f aca="false">IF(H_Direct=1,IF(BU71&lt;=0,AAG71-BU71*TH71,AAG71-MIN(MIN(BU71*TH71,(WT71+AAG71)),AAG71)),AAG71)</f>
        <v>0</v>
      </c>
      <c r="AAI71" s="20" t="n">
        <f aca="false">IF(H_Direct=1,IF(BV71&lt;=0,AAH71-BV71*TI71,AAH71-MIN(MIN(BV71*TI71,(WU71+AAH71)),AAH71)),AAH71)</f>
        <v>0</v>
      </c>
      <c r="AAJ71" s="20" t="n">
        <f aca="false">IF(H_Direct=1,IF(BW71&lt;=0,AAI71-BW71*TJ71,AAI71-MIN(MIN(BW71*TJ71,(WV71+AAI71)),AAI71)),AAI71)</f>
        <v>0</v>
      </c>
      <c r="AAK71" s="20" t="n">
        <f aca="false">IF(H_Direct=1,IF(BX71&lt;=0,AAJ71-BX71*TK71,AAJ71-MIN(MIN(BX71*TK71,(WW71+AAJ71)),AAJ71)),AAJ71)</f>
        <v>0</v>
      </c>
      <c r="AAL71" s="20" t="n">
        <f aca="false">IF(H_Direct=1,IF(BY71&lt;=0,AAK71-BY71*TL71,AAK71-MIN(MIN(BY71*TL71,(WX71+AAK71)),AAK71)),AAK71)</f>
        <v>0</v>
      </c>
      <c r="AAM71" s="20" t="n">
        <f aca="false">IF(H_Direct=1,IF(BZ71&lt;=0,AAL71-BZ71*TM71,AAL71-MIN(MIN(BZ71*TM71,(WY71+AAL71)),AAL71)),AAL71)</f>
        <v>0</v>
      </c>
      <c r="AAN71" s="20" t="n">
        <f aca="false">IF(H_Direct=1,IF(CA71&lt;=0,AAM71-CA71*TN71,AAM71-MIN(MIN(CA71*TN71,(WZ71+AAM71)),AAM71)),AAM71)</f>
        <v>0</v>
      </c>
      <c r="AAO71" s="20" t="n">
        <f aca="false">IF(H_Direct=1,IF(CB71&lt;=0,AAN71-CB71*TO71,AAN71-MIN(MIN(CB71*TO71,(XA71+AAN71)),AAN71)),AAN71)</f>
        <v>0</v>
      </c>
      <c r="AAP71" s="20" t="n">
        <f aca="false">IF(H_Direct=1,IF(CC71&lt;=0,AAO71-CC71*TP71,AAO71-MIN(MIN(CC71*TP71,(XB71+AAO71)),AAO71)),AAO71)</f>
        <v>0</v>
      </c>
      <c r="AAQ71" s="20" t="n">
        <f aca="false">IF(H_Direct=1,IF(CD71&lt;=0,AAP71-CD71*TQ71,AAP71-MIN(MIN(CD71*TQ71,(XC71+AAP71)),AAP71)),AAP71)</f>
        <v>0</v>
      </c>
      <c r="AAR71" s="20" t="n">
        <f aca="false">IF(H_Direct=1,IF(CE71&lt;=0,AAQ71-CE71*TR71,AAQ71-MIN(MIN(CE71*TR71,(XD71+AAQ71)),AAQ71)),AAQ71)</f>
        <v>0</v>
      </c>
      <c r="AAS71" s="20" t="n">
        <f aca="false">IF(H_Direct=1,IF(CF71&lt;=0,AAR71-CF71*TS71,AAR71-MIN(MIN(CF71*TS71,(XE71+AAR71)),AAR71)),AAR71)</f>
        <v>0</v>
      </c>
      <c r="AAT71" s="20" t="n">
        <f aca="false">IF(H_Direct=1,IF(CG71&lt;=0,AAS71-CG71*TT71,AAS71-MIN(MIN(CG71*TT71,(XF71+AAS71)),AAS71)),AAS71)</f>
        <v>0</v>
      </c>
      <c r="AAU71" s="20" t="n">
        <f aca="false">IF(H_Direct=1,IF(CH71&lt;=0,AAT71-CH71*TU71,AAT71-MIN(MIN(CH71*TU71,(XG71+AAT71)),AAT71)),AAT71)</f>
        <v>0</v>
      </c>
      <c r="AAV71" s="20" t="n">
        <f aca="false">IF(H_Direct=1,IF(CI71&lt;=0,AAU71-CI71*TV71,AAU71-MIN(MIN(CI71*TV71,(XH71+AAU71)),AAU71)),AAU71)</f>
        <v>0</v>
      </c>
      <c r="AAW71" s="20" t="n">
        <f aca="false">IF(H_Direct=1,IF(CJ71&lt;=0,AAV71-CJ71*TW71,AAV71-MIN(MIN(CJ71*TW71,(XI71+AAV71)),AAV71)),AAV71)</f>
        <v>0</v>
      </c>
      <c r="AAX71" s="20" t="n">
        <f aca="false">IF(H_Direct=1,IF(CK71&lt;=0,AAW71-CK71*TX71,AAW71-MIN(MIN(CK71*TX71,(XJ71+AAW71)),AAW71)),AAW71)</f>
        <v>0</v>
      </c>
      <c r="AAY71" s="20" t="n">
        <f aca="false">IF(H_Direct=1,IF(CL71&lt;=0,AAX71-CL71*TY71,AAX71-MIN(MIN(CL71*TY71,(XK71+AAX71)),AAX71)),AAX71)</f>
        <v>0</v>
      </c>
      <c r="AAZ71" s="20" t="n">
        <f aca="false">IF(H_Direct=1,IF(CM71&lt;=0,AAY71-CM71*TZ71,AAY71-MIN(MIN(CM71*TZ71,(XL71+AAY71)),AAY71)),AAY71)</f>
        <v>0</v>
      </c>
      <c r="ABA71" s="20" t="n">
        <f aca="false">IF(H_Direct=1,IF(CN71&lt;=0,AAZ71-CN71*UA71,AAZ71-MIN(MIN(CN71*UA71,(XM71+AAZ71)),AAZ71)),AAZ71)</f>
        <v>0</v>
      </c>
      <c r="ABB71" s="20" t="n">
        <f aca="false">IF(H_Direct=1,IF(CO71&lt;=0,ABA71-CO71*UB71,ABA71-MIN(MIN(CO71*UB71,(XN71+ABA71)),ABA71)),ABA71)</f>
        <v>0</v>
      </c>
      <c r="ABC71" s="20" t="n">
        <f aca="false">IF(H_Direct=1,IF(CP71&lt;=0,ABB71-CP71*UC71,ABB71-MIN(MIN(CP71*UC71,(XO71+ABB71)),ABB71)),ABB71)</f>
        <v>0</v>
      </c>
      <c r="ABD71" s="20" t="n">
        <f aca="false">IF(H_Direct=1,IF(CQ71&lt;=0,ABC71-CQ71*UD71,ABC71-MIN(MIN(CQ71*UD71,(XP71+ABC71)),ABC71)),ABC71)</f>
        <v>0</v>
      </c>
      <c r="ABE71" s="20" t="n">
        <f aca="false">IF(H_Direct=1,IF(CR71&lt;=0,ABD71-CR71*UE71,ABD71-MIN(MIN(CR71*UE71,(XQ71+ABD71)),ABD71)),ABD71)</f>
        <v>0</v>
      </c>
      <c r="ABF71" s="20" t="n">
        <f aca="false">IF(H_Direct=1,IF(CS71&lt;=0,ABE71-CS71*UF71,ABE71-MIN(MIN(CS71*UF71,(XR71+ABE71)),ABE71)),ABE71)</f>
        <v>0</v>
      </c>
      <c r="ABG71" s="20" t="n">
        <f aca="false">IF(H_Direct=1,IF(CT71&lt;=0,ABF71-CT71*UG71,ABF71-MIN(MIN(CT71*UG71,(XS71+ABF71)),ABF71)),ABF71)</f>
        <v>0</v>
      </c>
      <c r="ABH71" s="20" t="n">
        <f aca="false">IF(H_Direct=1,IF(CU71&lt;=0,ABG71-CU71*UH71,ABG71-MIN(MIN(CU71*UH71,(XT71+ABG71)),ABG71)),ABG71)</f>
        <v>0</v>
      </c>
      <c r="ABI71" s="20" t="n">
        <f aca="false">IF(H_Direct=1,IF(CV71&lt;=0,ABH71-CV71*UI71,ABH71-MIN(MIN(CV71*UI71,(XU71+ABH71)),ABH71)),ABH71)</f>
        <v>0</v>
      </c>
      <c r="ABJ71" s="20" t="n">
        <f aca="false">IF(H_Direct=1,IF(CW71&lt;=0,ABI71-CW71*UJ71,ABI71-MIN(MIN(CW71*UJ71,(XV71+ABI71)),ABI71)),ABI71)</f>
        <v>0</v>
      </c>
      <c r="ABK71" s="20" t="n">
        <f aca="false">IF(H_Direct=1,IF(CX71&lt;=0,ABJ71-CX71*UK71,ABJ71-MIN(MIN(CX71*UK71,(XW71+ABJ71)),ABJ71)),ABJ71)</f>
        <v>0</v>
      </c>
      <c r="ABL71" s="20" t="n">
        <f aca="false">IF(H_Direct=1,IF(CY71&lt;=0,ABK71-CY71*UL71,ABK71-MIN(MIN(CY71*UL71,(XX71+ABK71)),ABK71)),ABK71)</f>
        <v>0</v>
      </c>
      <c r="ABM71" s="20" t="n">
        <f aca="false">IF(H_Direct=1,IF(CZ71&lt;=0,ABL71-CZ71*UM71,ABL71-MIN(MIN(CZ71*UM71,(XY71+ABL71)),ABL71)),ABL71)</f>
        <v>0</v>
      </c>
      <c r="ABN71" s="20" t="n">
        <f aca="false">IF(H_Direct=1,IF(DA71&lt;=0,ABM71-DA71*UN71,ABM71-MIN(MIN(DA71*UN71,(XZ71+ABM71)),ABM71)),ABM71)</f>
        <v>0</v>
      </c>
      <c r="ABO71" s="20" t="n">
        <f aca="false">IF(H_Direct=1,IF(DB71&lt;=0,ABN71-DB71*UO71,ABN71-MIN(MIN(DB71*UO71,(YA71+ABN71)),ABN71)),ABN71)</f>
        <v>0</v>
      </c>
      <c r="ABP71" s="20" t="n">
        <f aca="false">IF(H_Direct=1,IF(DC71&lt;=0,ABO71-DC71*UP71,ABO71-MIN(MIN(DC71*UP71,(YB71+ABO71)),ABO71)),ABO71)</f>
        <v>0</v>
      </c>
      <c r="ABQ71" s="20" t="n">
        <f aca="false">IF(H_Direct=1,IF(DD71&lt;=0,ABP71-DD71*UQ71,ABP71-MIN(MIN(DD71*UQ71,(YC71+ABP71)),ABP71)),ABP71)</f>
        <v>0</v>
      </c>
      <c r="ABR71" s="20" t="n">
        <f aca="false">IF(H_Direct=1,IF(DE71&lt;=0,ABQ71-DE71*UR71,ABQ71-MIN(MIN(DE71*UR71,(YD71+ABQ71)),ABQ71)),ABQ71)</f>
        <v>0</v>
      </c>
      <c r="ABS71" s="20" t="n">
        <f aca="false">IF(H_Direct=1,IF(DF71&lt;=0,ABR71-DF71*US71,ABR71-MIN(MIN(DF71*US71,(YE71+ABR71)),ABR71)),ABR71)</f>
        <v>0</v>
      </c>
      <c r="ABT71" s="20" t="n">
        <f aca="false">IF(H_Direct=1,IF(DG71&lt;=0,ABS71-DG71*UT71,ABS71-MIN(MIN(DG71*UT71,(YF71+ABS71)),ABS71)),ABS71)</f>
        <v>0</v>
      </c>
      <c r="ABU71" s="20" t="n">
        <f aca="false">IF(H_Direct=1,IF(DH71&lt;=0,ABT71-DH71*UU71,ABT71-MIN(MIN(DH71*UU71,(YG71+ABT71)),ABT71)),ABT71)</f>
        <v>0</v>
      </c>
      <c r="ABV71" s="20" t="n">
        <f aca="false">IF(H_Direct=1,IF(DI71&lt;=0,ABU71-DI71*UV71,ABU71-MIN(MIN(DI71*UV71,(YH71+ABU71)),ABU71)),ABU71)</f>
        <v>0</v>
      </c>
      <c r="ABW71" s="20" t="n">
        <f aca="false">IF(H_Direct=1,IF(DJ71&lt;=0,ABV71-DJ71*UW71,ABV71-MIN(MIN(DJ71*UW71,(YI71+ABV71)),ABV71)),ABV71)</f>
        <v>0</v>
      </c>
      <c r="ABX71" s="20" t="n">
        <f aca="false">IF(H_Direct=1,IF(DK71&lt;=0,ABW71-DK71*UX71,ABW71-MIN(MIN(DK71*UX71,(YJ71+ABW71)),ABW71)),ABW71)</f>
        <v>0</v>
      </c>
      <c r="ABY71" s="20" t="n">
        <f aca="false">IF(H_Direct=1,IF(DL71&lt;=0,ABX71-DL71*UY71,ABX71-MIN(MIN(DL71*UY71,(YK71+ABX71)),ABX71)),ABX71)</f>
        <v>0</v>
      </c>
      <c r="ABZ71" s="20" t="n">
        <f aca="false">IF(H_Direct=1,IF(DM71&lt;=0,ABY71-DM71*UZ71,ABY71-MIN(MIN(DM71*UZ71,(YL71+ABY71)),ABY71)),ABY71)</f>
        <v>0</v>
      </c>
      <c r="ACA71" s="20" t="n">
        <f aca="false">IF(H_Direct=1,IF(DN71&lt;=0,ABZ71-DN71*VA71,ABZ71-MIN(MIN(DN71*VA71,(YM71+ABZ71)),ABZ71)),ABZ71)</f>
        <v>0</v>
      </c>
      <c r="ACB71" s="20" t="n">
        <f aca="false">IF(H_Direct=1,IF(DO71&lt;=0,ACA71-DO71*VB71,ACA71-MIN(MIN(DO71*VB71,(YN71+ACA71)),ACA71)),ACA71)</f>
        <v>0</v>
      </c>
      <c r="ACC71" s="20" t="n">
        <f aca="false">IF(H_Direct=1,IF(DP71&lt;=0,ACB71-DP71*VC71,ACB71-MIN(MIN(DP71*VC71,(YO71+ACB71)),ACB71)),ACB71)</f>
        <v>0</v>
      </c>
      <c r="ACD71" s="20" t="n">
        <f aca="false">IF(H_Direct=1,IF(DQ71&lt;=0,ACC71-DQ71*VD71,ACC71-MIN(MIN(DQ71*VD71,(YP71+ACC71)),ACC71)),ACC71)</f>
        <v>0</v>
      </c>
      <c r="ACE71" s="20" t="n">
        <f aca="false">IF(H_Direct=1,IF(DR71&lt;=0,ACD71-DR71*VE71,ACD71-MIN(MIN(DR71*VE71,(YQ71+ACD71)),ACD71)),ACD71)</f>
        <v>0</v>
      </c>
      <c r="ACF71" s="20" t="n">
        <f aca="false">IF(H_Direct=1,IF(DS71&lt;=0,ACE71-DS71*VF71,ACE71-MIN(MIN(DS71*VF71,(YR71+ACE71)),ACE71)),ACE71)</f>
        <v>0</v>
      </c>
      <c r="ACG71" s="20" t="n">
        <f aca="false">IF(H_Direct=1,IF(DT71&lt;=0,ACF71-DT71*VG71,ACF71-MIN(MIN(DT71*VG71,(YS71+ACF71)),ACF71)),ACF71)</f>
        <v>0</v>
      </c>
      <c r="ACH71" s="20" t="n">
        <f aca="false">IF(H_Direct=1,IF(DU71&lt;=0,ACG71-DU71*VH71,ACG71-MIN(MIN(DU71*VH71,(YT71+ACG71)),ACG71)),ACG71)</f>
        <v>0</v>
      </c>
      <c r="ACI71" s="20" t="n">
        <f aca="false">IF(H_Direct=1,IF(DV71&lt;=0,ACH71-DV71*VI71,ACH71-MIN(MIN(DV71*VI71,(YU71+ACH71)),ACH71)),ACH71)</f>
        <v>0</v>
      </c>
      <c r="ACJ71" s="20" t="n">
        <f aca="false">IF(H_Direct=1,IF(DW71&lt;=0,ACI71-DW71*VJ71,ACI71-MIN(MIN(DW71*VJ71,(YV71+ACI71)),ACI71)),ACI71)</f>
        <v>0</v>
      </c>
      <c r="ACK71" s="20" t="n">
        <f aca="false">IF(H_Direct=1,IF(DX71&lt;=0,ACJ71-DX71*VK71,ACJ71-MIN(MIN(DX71*VK71,(YW71+ACJ71)),ACJ71)),ACJ71)</f>
        <v>0</v>
      </c>
      <c r="ACL71" s="20" t="n">
        <f aca="false">IF(H_Direct=1,IF(DY71&lt;=0,ACK71-DY71*VL71,ACK71-MIN(MIN(DY71*VL71,(YX71+ACK71)),ACK71)),ACK71)</f>
        <v>0</v>
      </c>
      <c r="ACM71" s="20" t="n">
        <f aca="false">IF(H_Direct=1,IF(DZ71&lt;=0,ACL71-DZ71*VM71,ACL71-MIN(MIN(DZ71*VM71,(YY71+ACL71)),ACL71)),ACL71)</f>
        <v>0</v>
      </c>
      <c r="ACN71" s="20" t="n">
        <f aca="false">IF(H_Direct=1,IF(EA71&lt;=0,ACM71-EA71*VN71,ACM71-MIN(MIN(EA71*VN71,(YZ71+ACM71)),ACM71)),ACM71)</f>
        <v>0</v>
      </c>
      <c r="ACO71" s="20" t="n">
        <f aca="false">IF(H_Direct=1,IF(EB71&lt;=0,ACN71-EB71*VO71,ACN71-MIN(MIN(EB71*VO71,(ZA71+ACN71)),ACN71)),ACN71)</f>
        <v>0</v>
      </c>
      <c r="ACP71" s="20" t="n">
        <f aca="false">IF(H_Direct=1,IF(EC71&lt;=0,ACO71-EC71*VP71,ACO71-MIN(MIN(EC71*VP71,(ZB71+ACO71)),ACO71)),ACO71)</f>
        <v>0</v>
      </c>
      <c r="ACQ71" s="20" t="n">
        <f aca="false">IF(H_Direct=1,IF(ED71&lt;=0,ACP71-ED71*VQ71,ACP71-MIN(MIN(ED71*VQ71,(ZC71+ACP71)),ACP71)),ACP71)</f>
        <v>0</v>
      </c>
      <c r="ACR71" s="20" t="n">
        <f aca="false">ACQ71</f>
        <v>0</v>
      </c>
      <c r="ACS71" s="20" t="n">
        <f aca="false">ACR71</f>
        <v>0</v>
      </c>
      <c r="ACT71" s="20" t="n">
        <f aca="false">ACS71</f>
        <v>0</v>
      </c>
      <c r="ACU71" s="20" t="n">
        <f aca="false">ACT71</f>
        <v>0</v>
      </c>
      <c r="ACV71" s="20" t="n">
        <f aca="false">ACU71</f>
        <v>0</v>
      </c>
      <c r="ACW71" s="20" t="n">
        <f aca="false">ACV71</f>
        <v>0</v>
      </c>
      <c r="ACX71" s="20" t="n">
        <f aca="false">ACW71</f>
        <v>0</v>
      </c>
      <c r="ACY71" s="20" t="n">
        <f aca="false">ACX71</f>
        <v>0</v>
      </c>
      <c r="ACZ71" s="20" t="n">
        <f aca="false">ACY71</f>
        <v>0</v>
      </c>
      <c r="ADA71" s="20" t="n">
        <f aca="false">ACZ71</f>
        <v>0</v>
      </c>
      <c r="ADB71" s="20" t="n">
        <f aca="false">ADA71</f>
        <v>0</v>
      </c>
      <c r="ADC71" s="20" t="n">
        <f aca="false">ADB71</f>
        <v>0</v>
      </c>
      <c r="ADD71" s="20" t="n">
        <f aca="false">ADC71</f>
        <v>0</v>
      </c>
      <c r="ADE71" s="20" t="n">
        <f aca="false">ADD71</f>
        <v>0</v>
      </c>
      <c r="ADF71" s="20" t="n">
        <f aca="false">ADE71</f>
        <v>0</v>
      </c>
      <c r="ADG71" s="20" t="n">
        <f aca="false">ADF71</f>
        <v>0</v>
      </c>
      <c r="ADH71" s="20" t="n">
        <f aca="false">ADG71</f>
        <v>0</v>
      </c>
      <c r="ADI71" s="20" t="n">
        <f aca="false">ADH71</f>
        <v>0</v>
      </c>
      <c r="ADJ71" s="20" t="n">
        <f aca="false">ADI71</f>
        <v>0</v>
      </c>
      <c r="ADK71" s="20" t="n">
        <f aca="false">ADJ71</f>
        <v>0</v>
      </c>
      <c r="ADL71" s="20" t="n">
        <f aca="false">ADK71</f>
        <v>0</v>
      </c>
      <c r="ADM71" s="20" t="n">
        <f aca="false">ADL71</f>
        <v>0</v>
      </c>
      <c r="ADN71" s="20" t="n">
        <f aca="false">ADM71</f>
        <v>0</v>
      </c>
      <c r="ADO71" s="20" t="n">
        <f aca="false">ADN71</f>
        <v>0</v>
      </c>
      <c r="ADP71" s="20" t="n">
        <f aca="false">ADO71</f>
        <v>0</v>
      </c>
      <c r="ADQ71" s="20" t="n">
        <f aca="false">ADP71</f>
        <v>0</v>
      </c>
      <c r="ADR71" s="20" t="n">
        <f aca="false">(AKR70-TE71+0)*(1+BQ71)</f>
        <v>0</v>
      </c>
      <c r="ADS71" s="20" t="n">
        <f aca="false">(AKS70-TF71+0)*(1+BQ71)</f>
        <v>0</v>
      </c>
      <c r="ADT71" s="20" t="n">
        <f aca="false">(AKT70-TG71+0)*(1+BQ71)</f>
        <v>0</v>
      </c>
      <c r="ADU71" s="20" t="n">
        <f aca="false">(AKU70-TH71+0)*(1+BQ71)</f>
        <v>0</v>
      </c>
      <c r="ADV71" s="20" t="n">
        <f aca="false">(AKV70-TI71+0)*(1+BQ71)</f>
        <v>0</v>
      </c>
      <c r="ADW71" s="20" t="n">
        <f aca="false">(AKW70-TJ71+0)*(1+BQ71)</f>
        <v>0</v>
      </c>
      <c r="ADX71" s="20" t="n">
        <f aca="false">(AKX70-TK71+0)*(1+BQ71)</f>
        <v>0</v>
      </c>
      <c r="ADY71" s="20" t="n">
        <f aca="false">(AKY70-TL71+0)*(1+BQ71)</f>
        <v>0</v>
      </c>
      <c r="ADZ71" s="20" t="n">
        <f aca="false">(AKZ70-TM71+0)*(1+BQ71)</f>
        <v>0</v>
      </c>
      <c r="AEA71" s="20" t="n">
        <f aca="false">(ALA70-TN71+0)*(1+BQ71)</f>
        <v>0</v>
      </c>
      <c r="AEB71" s="20" t="n">
        <f aca="false">(ALB70-TO71+0)*(1+BQ71)</f>
        <v>0</v>
      </c>
      <c r="AEC71" s="20" t="n">
        <f aca="false">(ALC70-TP71+0)*(1+BQ71)</f>
        <v>0</v>
      </c>
      <c r="AED71" s="20" t="n">
        <f aca="false">(ALD70-TQ71+0)*(1+BQ71)</f>
        <v>0</v>
      </c>
      <c r="AEE71" s="20" t="n">
        <f aca="false">(ALE70-TR71+0)*(1+BQ71)</f>
        <v>0</v>
      </c>
      <c r="AEF71" s="20" t="n">
        <f aca="false">(ALF70-TS71+0)*(1+BQ71)</f>
        <v>0</v>
      </c>
      <c r="AEG71" s="20" t="n">
        <f aca="false">(ALG70-TT71+0)*(1+BQ71)</f>
        <v>0</v>
      </c>
      <c r="AEH71" s="20" t="n">
        <f aca="false">(ALH70-TU71+0)*(1+BQ71)</f>
        <v>0</v>
      </c>
      <c r="AEI71" s="20" t="n">
        <f aca="false">(ALI70-TV71+0)*(1+BQ71)</f>
        <v>0</v>
      </c>
      <c r="AEJ71" s="20" t="n">
        <f aca="false">(ALJ70-TW71+0)*(1+BQ71)</f>
        <v>0</v>
      </c>
      <c r="AEK71" s="20" t="n">
        <f aca="false">(ALK70-TX71+0)*(1+BQ71)</f>
        <v>0</v>
      </c>
      <c r="AEL71" s="20" t="n">
        <f aca="false">(ALL70-TY71+0)*(1+BQ71)</f>
        <v>0</v>
      </c>
      <c r="AEM71" s="20" t="n">
        <f aca="false">(ALM70-TZ71+0)*(1+BQ71)</f>
        <v>0</v>
      </c>
      <c r="AEN71" s="20" t="n">
        <f aca="false">(ALN70-UA71+0)*(1+BQ71)</f>
        <v>0</v>
      </c>
      <c r="AEO71" s="20" t="n">
        <f aca="false">(ALO70-UB71+0)*(1+BQ71)</f>
        <v>0</v>
      </c>
      <c r="AEP71" s="20" t="n">
        <f aca="false">(ALP70-UC71+0)*(1+BQ71)</f>
        <v>0</v>
      </c>
      <c r="AEQ71" s="20" t="n">
        <f aca="false">(ALQ70-UD71+0)*(1+BQ71)</f>
        <v>0</v>
      </c>
      <c r="AER71" s="20" t="n">
        <f aca="false">(ALR70-UE71+0)*(1+BQ71)</f>
        <v>0</v>
      </c>
      <c r="AES71" s="20" t="n">
        <f aca="false">(ALS70-UF71+0)*(1+BQ71)</f>
        <v>0</v>
      </c>
      <c r="AET71" s="20" t="n">
        <f aca="false">(ALT70-UG71+0)*(1+BQ71)</f>
        <v>0</v>
      </c>
      <c r="AEU71" s="20" t="n">
        <f aca="false">(ALU70-UH71+0)*(1+BQ71)</f>
        <v>0</v>
      </c>
      <c r="AEV71" s="20" t="n">
        <f aca="false">(ALV70-UI71+0)*(1+BQ71)</f>
        <v>0</v>
      </c>
      <c r="AEW71" s="20" t="n">
        <f aca="false">(ALW70-UJ71+0)*(1+BQ71)</f>
        <v>0</v>
      </c>
      <c r="AEX71" s="20" t="n">
        <f aca="false">(ALX70-UK71+0)*(1+BQ71)</f>
        <v>0</v>
      </c>
      <c r="AEY71" s="20" t="n">
        <f aca="false">(ALY70-UL71+0)*(1+BQ71)</f>
        <v>0</v>
      </c>
      <c r="AEZ71" s="20" t="n">
        <f aca="false">(ALZ70-UM71+0)*(1+BQ71)</f>
        <v>0</v>
      </c>
      <c r="AFA71" s="20" t="n">
        <f aca="false">(AMA70-UN71+0)*(1+BQ71)</f>
        <v>0</v>
      </c>
      <c r="AFB71" s="20" t="n">
        <f aca="false">(AMB70-UO71+0)*(1+BQ71)</f>
        <v>0</v>
      </c>
      <c r="AFC71" s="20" t="n">
        <f aca="false">(AMC70-UP71+0)*(1+BQ71)</f>
        <v>0</v>
      </c>
      <c r="AFD71" s="20" t="n">
        <f aca="false">(AMD70-UQ71+0)*(1+BQ71)</f>
        <v>0</v>
      </c>
      <c r="AFE71" s="20" t="n">
        <f aca="false">(AME70-UR71+0)*(1+BQ71)</f>
        <v>0</v>
      </c>
      <c r="AFF71" s="20" t="n">
        <f aca="false">(AMF70-US71+0)*(1+BQ71)</f>
        <v>0</v>
      </c>
      <c r="AFG71" s="20" t="n">
        <f aca="false">(AMG70-UT71+0)*(1+BQ71)</f>
        <v>0</v>
      </c>
      <c r="AFH71" s="20" t="n">
        <f aca="false">(AMH70-UU71+0)*(1+BQ71)</f>
        <v>0</v>
      </c>
      <c r="AFI71" s="20" t="n">
        <f aca="false">(AMI70-UV71+0)*(1+BQ71)</f>
        <v>0</v>
      </c>
      <c r="AFJ71" s="20" t="n">
        <f aca="false">(AMJ70-UW71+0)*(1+BQ71)</f>
        <v>0</v>
      </c>
      <c r="AFK71" s="20" t="n">
        <f aca="false">(AMK70-UX71+0)*(1+BQ71)</f>
        <v>0</v>
      </c>
      <c r="AFL71" s="20" t="n">
        <f aca="false">(AML70-UY71+0)*(1+BQ71)</f>
        <v>0</v>
      </c>
      <c r="AFM71" s="20" t="n">
        <f aca="false">(AMM70-UZ71+0)*(1+BQ71)</f>
        <v>0</v>
      </c>
      <c r="AFN71" s="20" t="n">
        <f aca="false">(AMN70-VA71+0)*(1+BQ71)</f>
        <v>0</v>
      </c>
      <c r="AFO71" s="20" t="n">
        <f aca="false">(AMO70-VB71+0)*(1+BQ71)</f>
        <v>0</v>
      </c>
      <c r="AFP71" s="20" t="n">
        <f aca="false">(AMP70-VC71+0)*(1+BQ71)</f>
        <v>0</v>
      </c>
      <c r="AFQ71" s="20" t="n">
        <f aca="false">(AMQ70-VD71+0)*(1+BQ71)</f>
        <v>0</v>
      </c>
      <c r="AFR71" s="20" t="n">
        <f aca="false">(AMR70-VE71+0)*(1+BQ71)</f>
        <v>0</v>
      </c>
      <c r="AFS71" s="20" t="n">
        <f aca="false">(AMS70-VF71+0)*(1+BQ71)</f>
        <v>0</v>
      </c>
      <c r="AFT71" s="20" t="n">
        <f aca="false">(AMT70-VG71+0)*(1+BQ71)</f>
        <v>0</v>
      </c>
      <c r="AFU71" s="20" t="n">
        <f aca="false">(AMU70-VH71+0)*(1+BQ71)</f>
        <v>0</v>
      </c>
      <c r="AFV71" s="20" t="n">
        <f aca="false">(AMV70-VI71+0)*(1+BQ71)</f>
        <v>0</v>
      </c>
      <c r="AFW71" s="20" t="n">
        <f aca="false">(AMW70-VJ71+0)*(1+BQ71)</f>
        <v>0</v>
      </c>
      <c r="AFX71" s="20" t="n">
        <f aca="false">(AMX70-VK71+0)*(1+BQ71)</f>
        <v>0</v>
      </c>
      <c r="AFY71" s="20" t="n">
        <f aca="false">(AMY70-VL71+0)*(1+BQ71)</f>
        <v>0</v>
      </c>
      <c r="AFZ71" s="20" t="n">
        <f aca="false">(AMZ70-VM71+0)*(1+BQ71)</f>
        <v>0</v>
      </c>
      <c r="AGA71" s="20" t="n">
        <f aca="false">(ANA70-VN71+0)*(1+BQ71)</f>
        <v>0</v>
      </c>
      <c r="AGB71" s="20" t="n">
        <f aca="false">(ANB70-VO71+0)*(1+BQ71)</f>
        <v>0</v>
      </c>
      <c r="AGC71" s="20" t="n">
        <f aca="false">(ANC70-VP71+0)*(1+BQ71)</f>
        <v>0</v>
      </c>
      <c r="AGD71" s="20" t="n">
        <f aca="false">((P71+S71)-VQ71+BE71)*(1+BQ71)</f>
        <v>0</v>
      </c>
      <c r="AGE71" s="20" t="n">
        <v>0</v>
      </c>
      <c r="AGF71" s="20" t="n">
        <v>0</v>
      </c>
      <c r="AGG71" s="20" t="n">
        <v>0</v>
      </c>
      <c r="AGH71" s="20" t="n">
        <v>0</v>
      </c>
      <c r="AGI71" s="20" t="n">
        <v>0</v>
      </c>
      <c r="AGJ71" s="20" t="n">
        <v>0</v>
      </c>
      <c r="AGK71" s="20" t="n">
        <v>0</v>
      </c>
      <c r="AGL71" s="20" t="n">
        <v>0</v>
      </c>
      <c r="AGM71" s="20" t="n">
        <v>0</v>
      </c>
      <c r="AGN71" s="20" t="n">
        <v>0</v>
      </c>
      <c r="AGO71" s="20" t="n">
        <v>0</v>
      </c>
      <c r="AGP71" s="20" t="n">
        <v>0</v>
      </c>
      <c r="AGQ71" s="20" t="n">
        <v>0</v>
      </c>
      <c r="AGR71" s="20" t="n">
        <v>0</v>
      </c>
      <c r="AGS71" s="20" t="n">
        <v>0</v>
      </c>
      <c r="AGT71" s="20" t="n">
        <v>0</v>
      </c>
      <c r="AGU71" s="20" t="n">
        <v>0</v>
      </c>
      <c r="AGV71" s="20" t="n">
        <v>0</v>
      </c>
      <c r="AGW71" s="20" t="n">
        <v>0</v>
      </c>
      <c r="AGX71" s="20" t="n">
        <v>0</v>
      </c>
      <c r="AGY71" s="20" t="n">
        <v>0</v>
      </c>
      <c r="AGZ71" s="20" t="n">
        <v>0</v>
      </c>
      <c r="AHA71" s="20" t="n">
        <v>0</v>
      </c>
      <c r="AHB71" s="20" t="n">
        <v>0</v>
      </c>
      <c r="AHC71" s="20" t="n">
        <v>0</v>
      </c>
      <c r="AHD71" s="20" t="n">
        <v>0</v>
      </c>
      <c r="AHE71" s="20" t="n">
        <f aca="false">IF(AKR70&gt;0,AOE70-AOE70*TE71/AKR70,0)+0</f>
        <v>0</v>
      </c>
      <c r="AHF71" s="20" t="n">
        <f aca="false">IF(AKS70&gt;0,AOF70-AOF70*TF71/AKS70,0)+0</f>
        <v>0</v>
      </c>
      <c r="AHG71" s="20" t="n">
        <f aca="false">IF(AKT70&gt;0,AOG70-AOG70*TG71/AKT70,0)+0</f>
        <v>0</v>
      </c>
      <c r="AHH71" s="20" t="n">
        <f aca="false">IF(AKU70&gt;0,AOH70-AOH70*TH71/AKU70,0)+0</f>
        <v>0</v>
      </c>
      <c r="AHI71" s="20" t="n">
        <f aca="false">IF(AKV70&gt;0,AOI70-AOI70*TI71/AKV70,0)+0</f>
        <v>0</v>
      </c>
      <c r="AHJ71" s="20" t="n">
        <f aca="false">IF(AKW70&gt;0,AOJ70-AOJ70*TJ71/AKW70,0)+0</f>
        <v>0</v>
      </c>
      <c r="AHK71" s="20" t="n">
        <f aca="false">IF(AKX70&gt;0,AOK70-AOK70*TK71/AKX70,0)+0</f>
        <v>0</v>
      </c>
      <c r="AHL71" s="20" t="n">
        <f aca="false">IF(AKY70&gt;0,AOL70-AOL70*TL71/AKY70,0)+0</f>
        <v>0</v>
      </c>
      <c r="AHM71" s="20" t="n">
        <f aca="false">IF(AKZ70&gt;0,AOM70-AOM70*TM71/AKZ70,0)+0</f>
        <v>0</v>
      </c>
      <c r="AHN71" s="20" t="n">
        <f aca="false">IF(ALA70&gt;0,AON70-AON70*TN71/ALA70,0)+0</f>
        <v>0</v>
      </c>
      <c r="AHO71" s="20" t="n">
        <f aca="false">IF(ALB70&gt;0,AOO70-AOO70*TO71/ALB70,0)+0</f>
        <v>0</v>
      </c>
      <c r="AHP71" s="20" t="n">
        <f aca="false">IF(ALC70&gt;0,AOP70-AOP70*TP71/ALC70,0)+0</f>
        <v>0</v>
      </c>
      <c r="AHQ71" s="20" t="n">
        <f aca="false">IF(ALD70&gt;0,AOQ70-AOQ70*TQ71/ALD70,0)+0</f>
        <v>0</v>
      </c>
      <c r="AHR71" s="20" t="n">
        <f aca="false">IF(ALE70&gt;0,AOR70-AOR70*TR71/ALE70,0)+0</f>
        <v>0</v>
      </c>
      <c r="AHS71" s="20" t="n">
        <f aca="false">IF(ALF70&gt;0,AOS70-AOS70*TS71/ALF70,0)+0</f>
        <v>0</v>
      </c>
      <c r="AHT71" s="20" t="n">
        <f aca="false">IF(ALG70&gt;0,AOT70-AOT70*TT71/ALG70,0)+0</f>
        <v>0</v>
      </c>
      <c r="AHU71" s="20" t="n">
        <f aca="false">IF(ALH70&gt;0,AOU70-AOU70*TU71/ALH70,0)+0</f>
        <v>0</v>
      </c>
      <c r="AHV71" s="20" t="n">
        <f aca="false">IF(ALI70&gt;0,AOV70-AOV70*TV71/ALI70,0)+0</f>
        <v>0</v>
      </c>
      <c r="AHW71" s="20" t="n">
        <f aca="false">IF(ALJ70&gt;0,AOW70-AOW70*TW71/ALJ70,0)+0</f>
        <v>0</v>
      </c>
      <c r="AHX71" s="20" t="n">
        <f aca="false">IF(ALK70&gt;0,AOX70-AOX70*TX71/ALK70,0)+0</f>
        <v>0</v>
      </c>
      <c r="AHY71" s="20" t="n">
        <f aca="false">IF(ALL70&gt;0,AOY70-AOY70*TY71/ALL70,0)+0</f>
        <v>0</v>
      </c>
      <c r="AHZ71" s="20" t="n">
        <f aca="false">IF(ALM70&gt;0,AOZ70-AOZ70*TZ71/ALM70,0)+0</f>
        <v>0</v>
      </c>
      <c r="AIA71" s="20" t="n">
        <f aca="false">IF(ALN70&gt;0,APA70-APA70*UA71/ALN70,0)+0</f>
        <v>0</v>
      </c>
      <c r="AIB71" s="20" t="n">
        <f aca="false">IF(ALO70&gt;0,APB70-APB70*UB71/ALO70,0)+0</f>
        <v>0</v>
      </c>
      <c r="AIC71" s="20" t="n">
        <f aca="false">IF(ALP70&gt;0,APC70-APC70*UC71/ALP70,0)+0</f>
        <v>0</v>
      </c>
      <c r="AID71" s="20" t="n">
        <f aca="false">IF(ALQ70&gt;0,APD70-APD70*UD71/ALQ70,0)+0</f>
        <v>0</v>
      </c>
      <c r="AIE71" s="20" t="n">
        <f aca="false">IF(ALR70&gt;0,APE70-APE70*UE71/ALR70,0)+0</f>
        <v>0</v>
      </c>
      <c r="AIF71" s="20" t="n">
        <f aca="false">IF(ALS70&gt;0,APF70-APF70*UF71/ALS70,0)+0</f>
        <v>0</v>
      </c>
      <c r="AIG71" s="20" t="n">
        <f aca="false">IF(ALT70&gt;0,APG70-APG70*UG71/ALT70,0)+0</f>
        <v>0</v>
      </c>
      <c r="AIH71" s="20" t="n">
        <f aca="false">IF(ALU70&gt;0,APH70-APH70*UH71/ALU70,0)+0</f>
        <v>0</v>
      </c>
      <c r="AII71" s="20" t="n">
        <f aca="false">IF(ALV70&gt;0,API70-API70*UI71/ALV70,0)+0</f>
        <v>0</v>
      </c>
      <c r="AIJ71" s="20" t="n">
        <f aca="false">IF(ALW70&gt;0,APJ70-APJ70*UJ71/ALW70,0)+0</f>
        <v>0</v>
      </c>
      <c r="AIK71" s="20" t="n">
        <f aca="false">IF(ALX70&gt;0,APK70-APK70*UK71/ALX70,0)+0</f>
        <v>0</v>
      </c>
      <c r="AIL71" s="20" t="n">
        <f aca="false">IF(ALY70&gt;0,APL70-APL70*UL71/ALY70,0)+0</f>
        <v>0</v>
      </c>
      <c r="AIM71" s="20" t="n">
        <f aca="false">IF(ALZ70&gt;0,APM70-APM70*UM71/ALZ70,0)+0</f>
        <v>0</v>
      </c>
      <c r="AIN71" s="20" t="n">
        <f aca="false">IF(AMA70&gt;0,APN70-APN70*UN71/AMA70,0)+0</f>
        <v>0</v>
      </c>
      <c r="AIO71" s="20" t="n">
        <f aca="false">IF(AMB70&gt;0,APO70-APO70*UO71/AMB70,0)+0</f>
        <v>0</v>
      </c>
      <c r="AIP71" s="20" t="n">
        <f aca="false">IF(AMC70&gt;0,APP70-APP70*UP71/AMC70,0)+0</f>
        <v>0</v>
      </c>
      <c r="AIQ71" s="20" t="n">
        <f aca="false">IF(AMD70&gt;0,APQ70-APQ70*UQ71/AMD70,0)+0</f>
        <v>0</v>
      </c>
      <c r="AIR71" s="20" t="n">
        <f aca="false">IF(AME70&gt;0,APR70-APR70*UR71/AME70,0)+0</f>
        <v>0</v>
      </c>
      <c r="AIS71" s="20" t="n">
        <f aca="false">IF(AMF70&gt;0,APS70-APS70*US71/AMF70,0)+0</f>
        <v>0</v>
      </c>
      <c r="AIT71" s="20" t="n">
        <f aca="false">IF(AMG70&gt;0,APT70-APT70*UT71/AMG70,0)+0</f>
        <v>0</v>
      </c>
      <c r="AIU71" s="20" t="n">
        <f aca="false">IF(AMH70&gt;0,APU70-APU70*UU71/AMH70,0)+0</f>
        <v>0</v>
      </c>
      <c r="AIV71" s="20" t="n">
        <f aca="false">IF(AMI70&gt;0,APV70-APV70*UV71/AMI70,0)+0</f>
        <v>0</v>
      </c>
      <c r="AIW71" s="20" t="n">
        <f aca="false">IF(AMJ70&gt;0,APW70-APW70*UW71/AMJ70,0)+0</f>
        <v>0</v>
      </c>
      <c r="AIX71" s="20" t="n">
        <f aca="false">IF(AMK70&gt;0,APX70-APX70*UX71/AMK70,0)+0</f>
        <v>0</v>
      </c>
      <c r="AIY71" s="20" t="n">
        <f aca="false">IF(AML70&gt;0,APY70-APY70*UY71/AML70,0)+0</f>
        <v>0</v>
      </c>
      <c r="AIZ71" s="20" t="n">
        <f aca="false">IF(AMM70&gt;0,APZ70-APZ70*UZ71/AMM70,0)+0</f>
        <v>0</v>
      </c>
      <c r="AJA71" s="20" t="n">
        <f aca="false">IF(AMN70&gt;0,AQA70-AQA70*VA71/AMN70,0)+0</f>
        <v>0</v>
      </c>
      <c r="AJB71" s="20" t="n">
        <f aca="false">IF(AMO70&gt;0,AQB70-AQB70*VB71/AMO70,0)+0</f>
        <v>0</v>
      </c>
      <c r="AJC71" s="20" t="n">
        <f aca="false">IF(AMP70&gt;0,AQC70-AQC70*VC71/AMP70,0)+0</f>
        <v>0</v>
      </c>
      <c r="AJD71" s="20" t="n">
        <f aca="false">IF(AMQ70&gt;0,AQD70-AQD70*VD71/AMQ70,0)+0</f>
        <v>0</v>
      </c>
      <c r="AJE71" s="20" t="n">
        <f aca="false">IF(AMR70&gt;0,AQE70-AQE70*VE71/AMR70,0)+0</f>
        <v>0</v>
      </c>
      <c r="AJF71" s="20" t="n">
        <f aca="false">IF(AMS70&gt;0,AQF70-AQF70*VF71/AMS70,0)+0</f>
        <v>0</v>
      </c>
      <c r="AJG71" s="20" t="n">
        <f aca="false">IF(AMT70&gt;0,AQG70-AQG70*VG71/AMT70,0)+0</f>
        <v>0</v>
      </c>
      <c r="AJH71" s="20" t="n">
        <f aca="false">IF(AMU70&gt;0,AQH70-AQH70*VH71/AMU70,0)+0</f>
        <v>0</v>
      </c>
      <c r="AJI71" s="20" t="n">
        <f aca="false">IF(AMV70&gt;0,AQI70-AQI70*VI71/AMV70,0)+0</f>
        <v>0</v>
      </c>
      <c r="AJJ71" s="20" t="n">
        <f aca="false">IF(AMW70&gt;0,AQJ70-AQJ70*VJ71/AMW70,0)+0</f>
        <v>0</v>
      </c>
      <c r="AJK71" s="20" t="n">
        <f aca="false">IF(AMX70&gt;0,AQK70-AQK70*VK71/AMX70,0)+0</f>
        <v>0</v>
      </c>
      <c r="AJL71" s="20" t="n">
        <f aca="false">IF(AMY70&gt;0,AQL70-AQL70*VL71/AMY70,0)+0</f>
        <v>0</v>
      </c>
      <c r="AJM71" s="20" t="n">
        <f aca="false">IF(AMZ70&gt;0,AQM70-AQM70*VM71/AMZ70,0)+0</f>
        <v>0</v>
      </c>
      <c r="AJN71" s="20" t="n">
        <f aca="false">IF(ANA70&gt;0,AQN70-AQN70*VN71/ANA70,0)+0</f>
        <v>0</v>
      </c>
      <c r="AJO71" s="20" t="n">
        <f aca="false">IF(ANB70&gt;0,AQO70-AQO70*VO71/ANB70,0)+0</f>
        <v>0</v>
      </c>
      <c r="AJP71" s="20" t="n">
        <f aca="false">IF(ANC70&gt;0,AQP70-AQP70*VP71/ANC70,0)+0</f>
        <v>0</v>
      </c>
      <c r="AJQ71" s="20" t="n">
        <f aca="false">IF((P71+S71)&gt;0,(P71+S71)-(P71+S71)*VQ71/(P71+S71),0)+BE71</f>
        <v>0</v>
      </c>
      <c r="AJR71" s="20" t="n">
        <v>0</v>
      </c>
      <c r="AJS71" s="20" t="n">
        <v>0</v>
      </c>
      <c r="AJT71" s="20" t="n">
        <v>0</v>
      </c>
      <c r="AJU71" s="20" t="n">
        <v>0</v>
      </c>
      <c r="AJV71" s="20" t="n">
        <v>0</v>
      </c>
      <c r="AJW71" s="20" t="n">
        <v>0</v>
      </c>
      <c r="AJX71" s="20" t="n">
        <v>0</v>
      </c>
      <c r="AJY71" s="20" t="n">
        <v>0</v>
      </c>
      <c r="AJZ71" s="20" t="n">
        <v>0</v>
      </c>
      <c r="AKA71" s="20" t="n">
        <v>0</v>
      </c>
      <c r="AKB71" s="20" t="n">
        <v>0</v>
      </c>
      <c r="AKC71" s="20" t="n">
        <v>0</v>
      </c>
      <c r="AKD71" s="20" t="n">
        <v>0</v>
      </c>
      <c r="AKE71" s="20" t="n">
        <v>0</v>
      </c>
      <c r="AKF71" s="20" t="n">
        <v>0</v>
      </c>
      <c r="AKG71" s="20" t="n">
        <v>0</v>
      </c>
      <c r="AKH71" s="20" t="n">
        <v>0</v>
      </c>
      <c r="AKI71" s="20" t="n">
        <v>0</v>
      </c>
      <c r="AKJ71" s="20" t="n">
        <v>0</v>
      </c>
      <c r="AKK71" s="20" t="n">
        <v>0</v>
      </c>
      <c r="AKL71" s="20" t="n">
        <v>0</v>
      </c>
      <c r="AKM71" s="20" t="n">
        <v>0</v>
      </c>
      <c r="AKN71" s="20" t="n">
        <v>0</v>
      </c>
      <c r="AKO71" s="20" t="n">
        <v>0</v>
      </c>
      <c r="AKP71" s="20" t="n">
        <v>0</v>
      </c>
      <c r="AKQ71" s="20" t="n">
        <v>0</v>
      </c>
      <c r="AKR71" s="20" t="n">
        <f aca="false">ADR71-AVE71</f>
        <v>0</v>
      </c>
      <c r="AKS71" s="20" t="n">
        <f aca="false">ADS71-AVF71</f>
        <v>0</v>
      </c>
      <c r="AKT71" s="20" t="n">
        <f aca="false">ADT71-AVG71</f>
        <v>0</v>
      </c>
      <c r="AKU71" s="20" t="n">
        <f aca="false">ADU71-AVH71</f>
        <v>0</v>
      </c>
      <c r="AKV71" s="20" t="n">
        <f aca="false">ADV71-AVI71</f>
        <v>0</v>
      </c>
      <c r="AKW71" s="20" t="n">
        <f aca="false">ADW71-AVJ71</f>
        <v>0</v>
      </c>
      <c r="AKX71" s="20" t="n">
        <f aca="false">ADX71-AVK71</f>
        <v>0</v>
      </c>
      <c r="AKY71" s="20" t="n">
        <f aca="false">ADY71-AVL71</f>
        <v>0</v>
      </c>
      <c r="AKZ71" s="20" t="n">
        <f aca="false">ADZ71-AVM71</f>
        <v>0</v>
      </c>
      <c r="ALA71" s="20" t="n">
        <f aca="false">AEA71-AVN71</f>
        <v>0</v>
      </c>
      <c r="ALB71" s="20" t="n">
        <f aca="false">AEB71-AVO71</f>
        <v>0</v>
      </c>
      <c r="ALC71" s="20" t="n">
        <f aca="false">AEC71-AVP71</f>
        <v>0</v>
      </c>
      <c r="ALD71" s="20" t="n">
        <f aca="false">AED71-AVQ71</f>
        <v>0</v>
      </c>
      <c r="ALE71" s="20" t="n">
        <f aca="false">AEE71-AVR71</f>
        <v>0</v>
      </c>
      <c r="ALF71" s="20" t="n">
        <f aca="false">AEF71-AVS71</f>
        <v>0</v>
      </c>
      <c r="ALG71" s="20" t="n">
        <f aca="false">AEG71-AVT71</f>
        <v>0</v>
      </c>
      <c r="ALH71" s="20" t="n">
        <f aca="false">AEH71-AVU71</f>
        <v>0</v>
      </c>
      <c r="ALI71" s="20" t="n">
        <f aca="false">AEI71-AVV71</f>
        <v>0</v>
      </c>
      <c r="ALJ71" s="20" t="n">
        <f aca="false">AEJ71-AVW71</f>
        <v>0</v>
      </c>
      <c r="ALK71" s="20" t="n">
        <f aca="false">AEK71-AVX71</f>
        <v>0</v>
      </c>
      <c r="ALL71" s="20" t="n">
        <f aca="false">AEL71-AVY71</f>
        <v>0</v>
      </c>
      <c r="ALM71" s="20" t="n">
        <f aca="false">AEM71-AVZ71</f>
        <v>0</v>
      </c>
      <c r="ALN71" s="20" t="n">
        <f aca="false">AEN71-AWA71</f>
        <v>0</v>
      </c>
      <c r="ALO71" s="20" t="n">
        <f aca="false">AEO71-AWB71</f>
        <v>0</v>
      </c>
      <c r="ALP71" s="20" t="n">
        <f aca="false">AEP71-AWC71</f>
        <v>0</v>
      </c>
      <c r="ALQ71" s="20" t="n">
        <f aca="false">AEQ71-AWD71</f>
        <v>0</v>
      </c>
      <c r="ALR71" s="20" t="n">
        <f aca="false">AER71-AWE71</f>
        <v>0</v>
      </c>
      <c r="ALS71" s="20" t="n">
        <f aca="false">AES71-AWF71</f>
        <v>0</v>
      </c>
      <c r="ALT71" s="20" t="n">
        <f aca="false">AET71-AWG71</f>
        <v>0</v>
      </c>
      <c r="ALU71" s="20" t="n">
        <f aca="false">AEU71-AWH71</f>
        <v>0</v>
      </c>
      <c r="ALV71" s="20" t="n">
        <f aca="false">AEV71-AWI71</f>
        <v>0</v>
      </c>
      <c r="ALW71" s="20" t="n">
        <f aca="false">AEW71-AWJ71</f>
        <v>0</v>
      </c>
      <c r="ALX71" s="20" t="n">
        <f aca="false">AEX71-AWK71</f>
        <v>0</v>
      </c>
      <c r="ALY71" s="20" t="n">
        <f aca="false">AEY71-AWL71</f>
        <v>0</v>
      </c>
      <c r="ALZ71" s="20" t="n">
        <f aca="false">AEZ71-AWM71</f>
        <v>0</v>
      </c>
      <c r="AMA71" s="20" t="n">
        <f aca="false">AFA71-AWN71</f>
        <v>0</v>
      </c>
      <c r="AMB71" s="20" t="n">
        <f aca="false">AFB71-AWO71</f>
        <v>0</v>
      </c>
      <c r="AMC71" s="20" t="n">
        <f aca="false">AFC71-AWP71</f>
        <v>0</v>
      </c>
      <c r="AMD71" s="20" t="n">
        <f aca="false">AFD71-AWQ71</f>
        <v>0</v>
      </c>
      <c r="AME71" s="20" t="n">
        <f aca="false">AFE71-AWR71</f>
        <v>0</v>
      </c>
      <c r="AMF71" s="20" t="n">
        <f aca="false">AFF71-AWS71</f>
        <v>0</v>
      </c>
      <c r="AMG71" s="20" t="n">
        <f aca="false">AFG71-AWT71</f>
        <v>0</v>
      </c>
      <c r="AMH71" s="20" t="n">
        <f aca="false">AFH71-AWU71</f>
        <v>0</v>
      </c>
      <c r="AMI71" s="20" t="n">
        <f aca="false">AFI71-AWV71</f>
        <v>0</v>
      </c>
      <c r="AMJ71" s="20" t="n">
        <f aca="false">AFJ71-AWW71</f>
        <v>0</v>
      </c>
      <c r="AMK71" s="20" t="n">
        <f aca="false">AFK71-AWX71</f>
        <v>0</v>
      </c>
      <c r="AML71" s="20" t="n">
        <f aca="false">AFL71-AWY71</f>
        <v>0</v>
      </c>
      <c r="AMM71" s="20" t="n">
        <f aca="false">AFM71-AWZ71</f>
        <v>0</v>
      </c>
      <c r="AMN71" s="20" t="n">
        <f aca="false">AFN71-AXA71</f>
        <v>0</v>
      </c>
      <c r="AMO71" s="20" t="n">
        <f aca="false">AFO71-AXB71</f>
        <v>0</v>
      </c>
      <c r="AMP71" s="20" t="n">
        <f aca="false">AFP71-AXC71</f>
        <v>0</v>
      </c>
      <c r="AMQ71" s="20" t="n">
        <f aca="false">AFQ71-AXD71</f>
        <v>0</v>
      </c>
      <c r="AMR71" s="20" t="n">
        <f aca="false">AFR71-AXE71</f>
        <v>0</v>
      </c>
      <c r="AMS71" s="20" t="n">
        <f aca="false">AFS71-AXF71</f>
        <v>0</v>
      </c>
      <c r="AMT71" s="20" t="n">
        <f aca="false">AFT71-AXG71</f>
        <v>0</v>
      </c>
      <c r="AMU71" s="20" t="n">
        <f aca="false">AFU71-AXH71</f>
        <v>0</v>
      </c>
      <c r="AMV71" s="20" t="n">
        <f aca="false">AFV71-AXI71</f>
        <v>0</v>
      </c>
      <c r="AMW71" s="20" t="n">
        <f aca="false">AFW71-AXJ71</f>
        <v>0</v>
      </c>
      <c r="AMX71" s="20" t="n">
        <f aca="false">AFX71-AXK71</f>
        <v>0</v>
      </c>
      <c r="AMY71" s="20" t="n">
        <f aca="false">AFY71-AXL71</f>
        <v>0</v>
      </c>
      <c r="AMZ71" s="20" t="n">
        <f aca="false">AFZ71-AXM71</f>
        <v>0</v>
      </c>
      <c r="ANA71" s="20" t="n">
        <f aca="false">AGA71-AXN71</f>
        <v>0</v>
      </c>
      <c r="ANB71" s="20" t="n">
        <f aca="false">AGB71-AXO71</f>
        <v>0</v>
      </c>
      <c r="ANC71" s="20" t="n">
        <f aca="false">AGC71-AXP71</f>
        <v>0</v>
      </c>
      <c r="AND71" s="20" t="n">
        <f aca="false">AGD71-AXQ71</f>
        <v>0</v>
      </c>
      <c r="ANE71" s="20" t="n">
        <v>0</v>
      </c>
      <c r="ANF71" s="20" t="n">
        <v>0</v>
      </c>
      <c r="ANG71" s="20" t="n">
        <v>0</v>
      </c>
      <c r="ANH71" s="20" t="n">
        <v>0</v>
      </c>
      <c r="ANI71" s="20" t="n">
        <v>0</v>
      </c>
      <c r="ANJ71" s="20" t="n">
        <v>0</v>
      </c>
      <c r="ANK71" s="20" t="n">
        <v>0</v>
      </c>
      <c r="ANL71" s="20" t="n">
        <v>0</v>
      </c>
      <c r="ANM71" s="20" t="n">
        <v>0</v>
      </c>
      <c r="ANN71" s="20" t="n">
        <v>0</v>
      </c>
      <c r="ANO71" s="20" t="n">
        <v>0</v>
      </c>
      <c r="ANP71" s="20" t="n">
        <v>0</v>
      </c>
      <c r="ANQ71" s="20" t="n">
        <v>0</v>
      </c>
      <c r="ANR71" s="20" t="n">
        <v>0</v>
      </c>
      <c r="ANS71" s="20" t="n">
        <v>0</v>
      </c>
      <c r="ANT71" s="20" t="n">
        <v>0</v>
      </c>
      <c r="ANU71" s="20" t="n">
        <v>0</v>
      </c>
      <c r="ANV71" s="20" t="n">
        <v>0</v>
      </c>
      <c r="ANW71" s="20" t="n">
        <v>0</v>
      </c>
      <c r="ANX71" s="20" t="n">
        <v>0</v>
      </c>
      <c r="ANY71" s="20" t="n">
        <v>0</v>
      </c>
      <c r="ANZ71" s="20" t="n">
        <v>0</v>
      </c>
      <c r="AOA71" s="20" t="n">
        <v>0</v>
      </c>
      <c r="AOB71" s="20" t="n">
        <v>0</v>
      </c>
      <c r="AOC71" s="20" t="n">
        <v>0</v>
      </c>
      <c r="AOD71" s="20" t="n">
        <v>0</v>
      </c>
      <c r="AOE71" s="20" t="n">
        <f aca="false">IF(AND(H_Direct=0,H_TaxEvt=1,ARR70+1&gt;=H_Deemed),AKR71,AHE71)</f>
        <v>0</v>
      </c>
      <c r="AOF71" s="20" t="n">
        <f aca="false">IF(AND(H_Direct=0,H_TaxEvt=1,ARS70+1&gt;=H_Deemed),AKS71,AHF71)</f>
        <v>0</v>
      </c>
      <c r="AOG71" s="20" t="n">
        <f aca="false">IF(AND(H_Direct=0,H_TaxEvt=1,ART70+1&gt;=H_Deemed),AKT71,AHG71)</f>
        <v>0</v>
      </c>
      <c r="AOH71" s="20" t="n">
        <f aca="false">IF(AND(H_Direct=0,H_TaxEvt=1,ARU70+1&gt;=H_Deemed),AKU71,AHH71)</f>
        <v>0</v>
      </c>
      <c r="AOI71" s="20" t="n">
        <f aca="false">IF(AND(H_Direct=0,H_TaxEvt=1,ARV70+1&gt;=H_Deemed),AKV71,AHI71)</f>
        <v>0</v>
      </c>
      <c r="AOJ71" s="20" t="n">
        <f aca="false">IF(AND(H_Direct=0,H_TaxEvt=1,ARW70+1&gt;=H_Deemed),AKW71,AHJ71)</f>
        <v>0</v>
      </c>
      <c r="AOK71" s="20" t="n">
        <f aca="false">IF(AND(H_Direct=0,H_TaxEvt=1,ARX70+1&gt;=H_Deemed),AKX71,AHK71)</f>
        <v>0</v>
      </c>
      <c r="AOL71" s="20" t="n">
        <f aca="false">IF(AND(H_Direct=0,H_TaxEvt=1,ARY70+1&gt;=H_Deemed),AKY71,AHL71)</f>
        <v>0</v>
      </c>
      <c r="AOM71" s="20" t="n">
        <f aca="false">IF(AND(H_Direct=0,H_TaxEvt=1,ARZ70+1&gt;=H_Deemed),AKZ71,AHM71)</f>
        <v>0</v>
      </c>
      <c r="AON71" s="20" t="n">
        <f aca="false">IF(AND(H_Direct=0,H_TaxEvt=1,ASA70+1&gt;=H_Deemed),ALA71,AHN71)</f>
        <v>0</v>
      </c>
      <c r="AOO71" s="20" t="n">
        <f aca="false">IF(AND(H_Direct=0,H_TaxEvt=1,ASB70+1&gt;=H_Deemed),ALB71,AHO71)</f>
        <v>0</v>
      </c>
      <c r="AOP71" s="20" t="n">
        <f aca="false">IF(AND(H_Direct=0,H_TaxEvt=1,ASC70+1&gt;=H_Deemed),ALC71,AHP71)</f>
        <v>0</v>
      </c>
      <c r="AOQ71" s="20" t="n">
        <f aca="false">IF(AND(H_Direct=0,H_TaxEvt=1,ASD70+1&gt;=H_Deemed),ALD71,AHQ71)</f>
        <v>0</v>
      </c>
      <c r="AOR71" s="20" t="n">
        <f aca="false">IF(AND(H_Direct=0,H_TaxEvt=1,ASE70+1&gt;=H_Deemed),ALE71,AHR71)</f>
        <v>0</v>
      </c>
      <c r="AOS71" s="20" t="n">
        <f aca="false">IF(AND(H_Direct=0,H_TaxEvt=1,ASF70+1&gt;=H_Deemed),ALF71,AHS71)</f>
        <v>0</v>
      </c>
      <c r="AOT71" s="20" t="n">
        <f aca="false">IF(AND(H_Direct=0,H_TaxEvt=1,ASG70+1&gt;=H_Deemed),ALG71,AHT71)</f>
        <v>0</v>
      </c>
      <c r="AOU71" s="20" t="n">
        <f aca="false">IF(AND(H_Direct=0,H_TaxEvt=1,ASH70+1&gt;=H_Deemed),ALH71,AHU71)</f>
        <v>0</v>
      </c>
      <c r="AOV71" s="20" t="n">
        <f aca="false">IF(AND(H_Direct=0,H_TaxEvt=1,ASI70+1&gt;=H_Deemed),ALI71,AHV71)</f>
        <v>0</v>
      </c>
      <c r="AOW71" s="20" t="n">
        <f aca="false">IF(AND(H_Direct=0,H_TaxEvt=1,ASJ70+1&gt;=H_Deemed),ALJ71,AHW71)</f>
        <v>0</v>
      </c>
      <c r="AOX71" s="20" t="n">
        <f aca="false">IF(AND(H_Direct=0,H_TaxEvt=1,ASK70+1&gt;=H_Deemed),ALK71,AHX71)</f>
        <v>0</v>
      </c>
      <c r="AOY71" s="20" t="n">
        <f aca="false">IF(AND(H_Direct=0,H_TaxEvt=1,ASL70+1&gt;=H_Deemed),ALL71,AHY71)</f>
        <v>0</v>
      </c>
      <c r="AOZ71" s="20" t="n">
        <f aca="false">IF(AND(H_Direct=0,H_TaxEvt=1,ASM70+1&gt;=H_Deemed),ALM71,AHZ71)</f>
        <v>0</v>
      </c>
      <c r="APA71" s="20" t="n">
        <f aca="false">IF(AND(H_Direct=0,H_TaxEvt=1,ASN70+1&gt;=H_Deemed),ALN71,AIA71)</f>
        <v>0</v>
      </c>
      <c r="APB71" s="20" t="n">
        <f aca="false">IF(AND(H_Direct=0,H_TaxEvt=1,ASO70+1&gt;=H_Deemed),ALO71,AIB71)</f>
        <v>0</v>
      </c>
      <c r="APC71" s="20" t="n">
        <f aca="false">IF(AND(H_Direct=0,H_TaxEvt=1,ASP70+1&gt;=H_Deemed),ALP71,AIC71)</f>
        <v>0</v>
      </c>
      <c r="APD71" s="20" t="n">
        <f aca="false">IF(AND(H_Direct=0,H_TaxEvt=1,ASQ70+1&gt;=H_Deemed),ALQ71,AID71)</f>
        <v>0</v>
      </c>
      <c r="APE71" s="20" t="n">
        <f aca="false">IF(AND(H_Direct=0,H_TaxEvt=1,ASR70+1&gt;=H_Deemed),ALR71,AIE71)</f>
        <v>0</v>
      </c>
      <c r="APF71" s="20" t="n">
        <f aca="false">IF(AND(H_Direct=0,H_TaxEvt=1,ASS70+1&gt;=H_Deemed),ALS71,AIF71)</f>
        <v>0</v>
      </c>
      <c r="APG71" s="20" t="n">
        <f aca="false">IF(AND(H_Direct=0,H_TaxEvt=1,AST70+1&gt;=H_Deemed),ALT71,AIG71)</f>
        <v>0</v>
      </c>
      <c r="APH71" s="20" t="n">
        <f aca="false">IF(AND(H_Direct=0,H_TaxEvt=1,ASU70+1&gt;=H_Deemed),ALU71,AIH71)</f>
        <v>0</v>
      </c>
      <c r="API71" s="20" t="n">
        <f aca="false">IF(AND(H_Direct=0,H_TaxEvt=1,ASV70+1&gt;=H_Deemed),ALV71,AII71)</f>
        <v>0</v>
      </c>
      <c r="APJ71" s="20" t="n">
        <f aca="false">IF(AND(H_Direct=0,H_TaxEvt=1,ASW70+1&gt;=H_Deemed),ALW71,AIJ71)</f>
        <v>0</v>
      </c>
      <c r="APK71" s="20" t="n">
        <f aca="false">IF(AND(H_Direct=0,H_TaxEvt=1,ASX70+1&gt;=H_Deemed),ALX71,AIK71)</f>
        <v>0</v>
      </c>
      <c r="APL71" s="20" t="n">
        <f aca="false">IF(AND(H_Direct=0,H_TaxEvt=1,ASY70+1&gt;=H_Deemed),ALY71,AIL71)</f>
        <v>0</v>
      </c>
      <c r="APM71" s="20" t="n">
        <f aca="false">IF(AND(H_Direct=0,H_TaxEvt=1,ASZ70+1&gt;=H_Deemed),ALZ71,AIM71)</f>
        <v>0</v>
      </c>
      <c r="APN71" s="20" t="n">
        <f aca="false">IF(AND(H_Direct=0,H_TaxEvt=1,ATA70+1&gt;=H_Deemed),AMA71,AIN71)</f>
        <v>0</v>
      </c>
      <c r="APO71" s="20" t="n">
        <f aca="false">IF(AND(H_Direct=0,H_TaxEvt=1,ATB70+1&gt;=H_Deemed),AMB71,AIO71)</f>
        <v>0</v>
      </c>
      <c r="APP71" s="20" t="n">
        <f aca="false">IF(AND(H_Direct=0,H_TaxEvt=1,ATC70+1&gt;=H_Deemed),AMC71,AIP71)</f>
        <v>0</v>
      </c>
      <c r="APQ71" s="20" t="n">
        <f aca="false">IF(AND(H_Direct=0,H_TaxEvt=1,ATD70+1&gt;=H_Deemed),AMD71,AIQ71)</f>
        <v>0</v>
      </c>
      <c r="APR71" s="20" t="n">
        <f aca="false">IF(AND(H_Direct=0,H_TaxEvt=1,ATE70+1&gt;=H_Deemed),AME71,AIR71)</f>
        <v>0</v>
      </c>
      <c r="APS71" s="20" t="n">
        <f aca="false">IF(AND(H_Direct=0,H_TaxEvt=1,ATF70+1&gt;=H_Deemed),AMF71,AIS71)</f>
        <v>0</v>
      </c>
      <c r="APT71" s="20" t="n">
        <f aca="false">IF(AND(H_Direct=0,H_TaxEvt=1,ATG70+1&gt;=H_Deemed),AMG71,AIT71)</f>
        <v>0</v>
      </c>
      <c r="APU71" s="20" t="n">
        <f aca="false">IF(AND(H_Direct=0,H_TaxEvt=1,ATH70+1&gt;=H_Deemed),AMH71,AIU71)</f>
        <v>0</v>
      </c>
      <c r="APV71" s="20" t="n">
        <f aca="false">IF(AND(H_Direct=0,H_TaxEvt=1,ATI70+1&gt;=H_Deemed),AMI71,AIV71)</f>
        <v>0</v>
      </c>
      <c r="APW71" s="20" t="n">
        <f aca="false">IF(AND(H_Direct=0,H_TaxEvt=1,ATJ70+1&gt;=H_Deemed),AMJ71,AIW71)</f>
        <v>0</v>
      </c>
      <c r="APX71" s="20" t="n">
        <f aca="false">IF(AND(H_Direct=0,H_TaxEvt=1,ATK70+1&gt;=H_Deemed),AMK71,AIX71)</f>
        <v>0</v>
      </c>
      <c r="APY71" s="20" t="n">
        <f aca="false">IF(AND(H_Direct=0,H_TaxEvt=1,ATL70+1&gt;=H_Deemed),AML71,AIY71)</f>
        <v>0</v>
      </c>
      <c r="APZ71" s="20" t="n">
        <f aca="false">IF(AND(H_Direct=0,H_TaxEvt=1,ATM70+1&gt;=H_Deemed),AMM71,AIZ71)</f>
        <v>0</v>
      </c>
      <c r="AQA71" s="20" t="n">
        <f aca="false">IF(AND(H_Direct=0,H_TaxEvt=1,ATN70+1&gt;=H_Deemed),AMN71,AJA71)</f>
        <v>0</v>
      </c>
      <c r="AQB71" s="20" t="n">
        <f aca="false">IF(AND(H_Direct=0,H_TaxEvt=1,ATO70+1&gt;=H_Deemed),AMO71,AJB71)</f>
        <v>0</v>
      </c>
      <c r="AQC71" s="20" t="n">
        <f aca="false">IF(AND(H_Direct=0,H_TaxEvt=1,ATP70+1&gt;=H_Deemed),AMP71,AJC71)</f>
        <v>0</v>
      </c>
      <c r="AQD71" s="20" t="n">
        <f aca="false">IF(AND(H_Direct=0,H_TaxEvt=1,ATQ70+1&gt;=H_Deemed),AMQ71,AJD71)</f>
        <v>0</v>
      </c>
      <c r="AQE71" s="20" t="n">
        <f aca="false">IF(AND(H_Direct=0,H_TaxEvt=1,ATR70+1&gt;=H_Deemed),AMR71,AJE71)</f>
        <v>0</v>
      </c>
      <c r="AQF71" s="20" t="n">
        <f aca="false">IF(AND(H_Direct=0,H_TaxEvt=1,ATS70+1&gt;=H_Deemed),AMS71,AJF71)</f>
        <v>0</v>
      </c>
      <c r="AQG71" s="20" t="n">
        <f aca="false">IF(AND(H_Direct=0,H_TaxEvt=1,ATT70+1&gt;=H_Deemed),AMT71,AJG71)</f>
        <v>0</v>
      </c>
      <c r="AQH71" s="20" t="n">
        <f aca="false">IF(AND(H_Direct=0,H_TaxEvt=1,ATU70+1&gt;=H_Deemed),AMU71,AJH71)</f>
        <v>0</v>
      </c>
      <c r="AQI71" s="20" t="n">
        <f aca="false">IF(AND(H_Direct=0,H_TaxEvt=1,ATV70+1&gt;=H_Deemed),AMV71,AJI71)</f>
        <v>0</v>
      </c>
      <c r="AQJ71" s="20" t="n">
        <f aca="false">IF(AND(H_Direct=0,H_TaxEvt=1,ATW70+1&gt;=H_Deemed),AMW71,AJJ71)</f>
        <v>0</v>
      </c>
      <c r="AQK71" s="20" t="n">
        <f aca="false">IF(AND(H_Direct=0,H_TaxEvt=1,ATX70+1&gt;=H_Deemed),AMX71,AJK71)</f>
        <v>0</v>
      </c>
      <c r="AQL71" s="20" t="n">
        <f aca="false">IF(AND(H_Direct=0,H_TaxEvt=1,ATY70+1&gt;=H_Deemed),AMY71,AJL71)</f>
        <v>0</v>
      </c>
      <c r="AQM71" s="20" t="n">
        <f aca="false">IF(AND(H_Direct=0,H_TaxEvt=1,ATZ70+1&gt;=H_Deemed),AMZ71,AJM71)</f>
        <v>0</v>
      </c>
      <c r="AQN71" s="20" t="n">
        <f aca="false">IF(AND(H_Direct=0,H_TaxEvt=1,AUA70+1&gt;=H_Deemed),ANA71,AJN71)</f>
        <v>0</v>
      </c>
      <c r="AQO71" s="20" t="n">
        <f aca="false">IF(AND(H_Direct=0,H_TaxEvt=1,AUB70+1&gt;=H_Deemed),ANB71,AJO71)</f>
        <v>0</v>
      </c>
      <c r="AQP71" s="20" t="n">
        <f aca="false">IF(AND(H_Direct=0,H_TaxEvt=1,AUC70+1&gt;=H_Deemed),ANC71,AJP71)</f>
        <v>0</v>
      </c>
      <c r="AQQ71" s="20" t="n">
        <f aca="false">IF(AND(H_Direct=0,H_TaxEvt=1,0+1&gt;=H_Deemed),AND71,AJQ71)</f>
        <v>0</v>
      </c>
      <c r="AQR71" s="20" t="n">
        <v>0</v>
      </c>
      <c r="AQS71" s="20" t="n">
        <v>0</v>
      </c>
      <c r="AQT71" s="20" t="n">
        <v>0</v>
      </c>
      <c r="AQU71" s="20" t="n">
        <v>0</v>
      </c>
      <c r="AQV71" s="20" t="n">
        <v>0</v>
      </c>
      <c r="AQW71" s="20" t="n">
        <v>0</v>
      </c>
      <c r="AQX71" s="20" t="n">
        <v>0</v>
      </c>
      <c r="AQY71" s="20" t="n">
        <v>0</v>
      </c>
      <c r="AQZ71" s="20" t="n">
        <v>0</v>
      </c>
      <c r="ARA71" s="20" t="n">
        <v>0</v>
      </c>
      <c r="ARB71" s="20" t="n">
        <v>0</v>
      </c>
      <c r="ARC71" s="20" t="n">
        <v>0</v>
      </c>
      <c r="ARD71" s="20" t="n">
        <v>0</v>
      </c>
      <c r="ARE71" s="20" t="n">
        <v>0</v>
      </c>
      <c r="ARF71" s="20" t="n">
        <v>0</v>
      </c>
      <c r="ARG71" s="20" t="n">
        <v>0</v>
      </c>
      <c r="ARH71" s="20" t="n">
        <v>0</v>
      </c>
      <c r="ARI71" s="20" t="n">
        <v>0</v>
      </c>
      <c r="ARJ71" s="20" t="n">
        <v>0</v>
      </c>
      <c r="ARK71" s="20" t="n">
        <v>0</v>
      </c>
      <c r="ARL71" s="20" t="n">
        <v>0</v>
      </c>
      <c r="ARM71" s="20" t="n">
        <v>0</v>
      </c>
      <c r="ARN71" s="20" t="n">
        <v>0</v>
      </c>
      <c r="ARO71" s="20" t="n">
        <v>0</v>
      </c>
      <c r="ARP71" s="20" t="n">
        <v>0</v>
      </c>
      <c r="ARQ71" s="20" t="n">
        <v>0</v>
      </c>
      <c r="ARR71" s="20" t="n">
        <f aca="false">IF(AND(H_Direct=0,H_TaxEvt=1),IF(ARR70+1&gt;=H_Deemed,0,ARR70+1),ARR70)</f>
        <v>0</v>
      </c>
      <c r="ARS71" s="20" t="n">
        <f aca="false">IF(AND(H_Direct=0,H_TaxEvt=1),IF(ARS70+1&gt;=H_Deemed,0,ARS70+1),ARS70)</f>
        <v>0</v>
      </c>
      <c r="ART71" s="20" t="n">
        <f aca="false">IF(AND(H_Direct=0,H_TaxEvt=1),IF(ART70+1&gt;=H_Deemed,0,ART70+1),ART70)</f>
        <v>7</v>
      </c>
      <c r="ARU71" s="20" t="n">
        <f aca="false">IF(AND(H_Direct=0,H_TaxEvt=1),IF(ARU70+1&gt;=H_Deemed,0,ARU70+1),ARU70)</f>
        <v>6</v>
      </c>
      <c r="ARV71" s="20" t="n">
        <f aca="false">IF(AND(H_Direct=0,H_TaxEvt=1),IF(ARV70+1&gt;=H_Deemed,0,ARV70+1),ARV70)</f>
        <v>5</v>
      </c>
      <c r="ARW71" s="20" t="n">
        <f aca="false">IF(AND(H_Direct=0,H_TaxEvt=1),IF(ARW70+1&gt;=H_Deemed,0,ARW70+1),ARW70)</f>
        <v>4</v>
      </c>
      <c r="ARX71" s="20" t="n">
        <f aca="false">IF(AND(H_Direct=0,H_TaxEvt=1),IF(ARX70+1&gt;=H_Deemed,0,ARX70+1),ARX70)</f>
        <v>3</v>
      </c>
      <c r="ARY71" s="20" t="n">
        <f aca="false">IF(AND(H_Direct=0,H_TaxEvt=1),IF(ARY70+1&gt;=H_Deemed,0,ARY70+1),ARY70)</f>
        <v>2</v>
      </c>
      <c r="ARZ71" s="20" t="n">
        <f aca="false">IF(AND(H_Direct=0,H_TaxEvt=1),IF(ARZ70+1&gt;=H_Deemed,0,ARZ70+1),ARZ70)</f>
        <v>1</v>
      </c>
      <c r="ASA71" s="20" t="n">
        <f aca="false">IF(AND(H_Direct=0,H_TaxEvt=1),IF(ASA70+1&gt;=H_Deemed,0,ASA70+1),ASA70)</f>
        <v>0</v>
      </c>
      <c r="ASB71" s="20" t="n">
        <f aca="false">IF(AND(H_Direct=0,H_TaxEvt=1),IF(ASB70+1&gt;=H_Deemed,0,ASB70+1),ASB70)</f>
        <v>7</v>
      </c>
      <c r="ASC71" s="20" t="n">
        <f aca="false">IF(AND(H_Direct=0,H_TaxEvt=1),IF(ASC70+1&gt;=H_Deemed,0,ASC70+1),ASC70)</f>
        <v>6</v>
      </c>
      <c r="ASD71" s="20" t="n">
        <f aca="false">IF(AND(H_Direct=0,H_TaxEvt=1),IF(ASD70+1&gt;=H_Deemed,0,ASD70+1),ASD70)</f>
        <v>5</v>
      </c>
      <c r="ASE71" s="20" t="n">
        <f aca="false">IF(AND(H_Direct=0,H_TaxEvt=1),IF(ASE70+1&gt;=H_Deemed,0,ASE70+1),ASE70)</f>
        <v>4</v>
      </c>
      <c r="ASF71" s="20" t="n">
        <f aca="false">IF(AND(H_Direct=0,H_TaxEvt=1),IF(ASF70+1&gt;=H_Deemed,0,ASF70+1),ASF70)</f>
        <v>3</v>
      </c>
      <c r="ASG71" s="20" t="n">
        <f aca="false">IF(AND(H_Direct=0,H_TaxEvt=1),IF(ASG70+1&gt;=H_Deemed,0,ASG70+1),ASG70)</f>
        <v>2</v>
      </c>
      <c r="ASH71" s="20" t="n">
        <f aca="false">IF(AND(H_Direct=0,H_TaxEvt=1),IF(ASH70+1&gt;=H_Deemed,0,ASH70+1),ASH70)</f>
        <v>1</v>
      </c>
      <c r="ASI71" s="20" t="n">
        <f aca="false">IF(AND(H_Direct=0,H_TaxEvt=1),IF(ASI70+1&gt;=H_Deemed,0,ASI70+1),ASI70)</f>
        <v>0</v>
      </c>
      <c r="ASJ71" s="20" t="n">
        <f aca="false">IF(AND(H_Direct=0,H_TaxEvt=1),IF(ASJ70+1&gt;=H_Deemed,0,ASJ70+1),ASJ70)</f>
        <v>7</v>
      </c>
      <c r="ASK71" s="20" t="n">
        <f aca="false">IF(AND(H_Direct=0,H_TaxEvt=1),IF(ASK70+1&gt;=H_Deemed,0,ASK70+1),ASK70)</f>
        <v>6</v>
      </c>
      <c r="ASL71" s="20" t="n">
        <f aca="false">IF(AND(H_Direct=0,H_TaxEvt=1),IF(ASL70+1&gt;=H_Deemed,0,ASL70+1),ASL70)</f>
        <v>5</v>
      </c>
      <c r="ASM71" s="20" t="n">
        <f aca="false">IF(AND(H_Direct=0,H_TaxEvt=1),IF(ASM70+1&gt;=H_Deemed,0,ASM70+1),ASM70)</f>
        <v>4</v>
      </c>
      <c r="ASN71" s="20" t="n">
        <f aca="false">IF(AND(H_Direct=0,H_TaxEvt=1),IF(ASN70+1&gt;=H_Deemed,0,ASN70+1),ASN70)</f>
        <v>3</v>
      </c>
      <c r="ASO71" s="20" t="n">
        <f aca="false">IF(AND(H_Direct=0,H_TaxEvt=1),IF(ASO70+1&gt;=H_Deemed,0,ASO70+1),ASO70)</f>
        <v>2</v>
      </c>
      <c r="ASP71" s="20" t="n">
        <f aca="false">IF(AND(H_Direct=0,H_TaxEvt=1),IF(ASP70+1&gt;=H_Deemed,0,ASP70+1),ASP70)</f>
        <v>1</v>
      </c>
      <c r="ASQ71" s="20" t="n">
        <f aca="false">IF(AND(H_Direct=0,H_TaxEvt=1),IF(ASQ70+1&gt;=H_Deemed,0,ASQ70+1),ASQ70)</f>
        <v>0</v>
      </c>
      <c r="ASR71" s="20" t="n">
        <f aca="false">IF(AND(H_Direct=0,H_TaxEvt=1),IF(ASR70+1&gt;=H_Deemed,0,ASR70+1),ASR70)</f>
        <v>7</v>
      </c>
      <c r="ASS71" s="20" t="n">
        <f aca="false">IF(AND(H_Direct=0,H_TaxEvt=1),IF(ASS70+1&gt;=H_Deemed,0,ASS70+1),ASS70)</f>
        <v>6</v>
      </c>
      <c r="AST71" s="20" t="n">
        <f aca="false">IF(AND(H_Direct=0,H_TaxEvt=1),IF(AST70+1&gt;=H_Deemed,0,AST70+1),AST70)</f>
        <v>5</v>
      </c>
      <c r="ASU71" s="20" t="n">
        <f aca="false">IF(AND(H_Direct=0,H_TaxEvt=1),IF(ASU70+1&gt;=H_Deemed,0,ASU70+1),ASU70)</f>
        <v>4</v>
      </c>
      <c r="ASV71" s="20" t="n">
        <f aca="false">IF(AND(H_Direct=0,H_TaxEvt=1),IF(ASV70+1&gt;=H_Deemed,0,ASV70+1),ASV70)</f>
        <v>3</v>
      </c>
      <c r="ASW71" s="20" t="n">
        <f aca="false">IF(AND(H_Direct=0,H_TaxEvt=1),IF(ASW70+1&gt;=H_Deemed,0,ASW70+1),ASW70)</f>
        <v>2</v>
      </c>
      <c r="ASX71" s="20" t="n">
        <f aca="false">IF(AND(H_Direct=0,H_TaxEvt=1),IF(ASX70+1&gt;=H_Deemed,0,ASX70+1),ASX70)</f>
        <v>1</v>
      </c>
      <c r="ASY71" s="20" t="n">
        <f aca="false">IF(AND(H_Direct=0,H_TaxEvt=1),IF(ASY70+1&gt;=H_Deemed,0,ASY70+1),ASY70)</f>
        <v>0</v>
      </c>
      <c r="ASZ71" s="20" t="n">
        <f aca="false">IF(AND(H_Direct=0,H_TaxEvt=1),IF(ASZ70+1&gt;=H_Deemed,0,ASZ70+1),ASZ70)</f>
        <v>7</v>
      </c>
      <c r="ATA71" s="20" t="n">
        <f aca="false">IF(AND(H_Direct=0,H_TaxEvt=1),IF(ATA70+1&gt;=H_Deemed,0,ATA70+1),ATA70)</f>
        <v>6</v>
      </c>
      <c r="ATB71" s="20" t="n">
        <f aca="false">IF(AND(H_Direct=0,H_TaxEvt=1),IF(ATB70+1&gt;=H_Deemed,0,ATB70+1),ATB70)</f>
        <v>5</v>
      </c>
      <c r="ATC71" s="20" t="n">
        <f aca="false">IF(AND(H_Direct=0,H_TaxEvt=1),IF(ATC70+1&gt;=H_Deemed,0,ATC70+1),ATC70)</f>
        <v>4</v>
      </c>
      <c r="ATD71" s="20" t="n">
        <f aca="false">IF(AND(H_Direct=0,H_TaxEvt=1),IF(ATD70+1&gt;=H_Deemed,0,ATD70+1),ATD70)</f>
        <v>3</v>
      </c>
      <c r="ATE71" s="20" t="n">
        <f aca="false">IF(AND(H_Direct=0,H_TaxEvt=1),IF(ATE70+1&gt;=H_Deemed,0,ATE70+1),ATE70)</f>
        <v>2</v>
      </c>
      <c r="ATF71" s="20" t="n">
        <f aca="false">IF(AND(H_Direct=0,H_TaxEvt=1),IF(ATF70+1&gt;=H_Deemed,0,ATF70+1),ATF70)</f>
        <v>1</v>
      </c>
      <c r="ATG71" s="20" t="n">
        <f aca="false">IF(AND(H_Direct=0,H_TaxEvt=1),IF(ATG70+1&gt;=H_Deemed,0,ATG70+1),ATG70)</f>
        <v>0</v>
      </c>
      <c r="ATH71" s="20" t="n">
        <f aca="false">IF(AND(H_Direct=0,H_TaxEvt=1),IF(ATH70+1&gt;=H_Deemed,0,ATH70+1),ATH70)</f>
        <v>7</v>
      </c>
      <c r="ATI71" s="20" t="n">
        <f aca="false">IF(AND(H_Direct=0,H_TaxEvt=1),IF(ATI70+1&gt;=H_Deemed,0,ATI70+1),ATI70)</f>
        <v>6</v>
      </c>
      <c r="ATJ71" s="20" t="n">
        <f aca="false">IF(AND(H_Direct=0,H_TaxEvt=1),IF(ATJ70+1&gt;=H_Deemed,0,ATJ70+1),ATJ70)</f>
        <v>5</v>
      </c>
      <c r="ATK71" s="20" t="n">
        <f aca="false">IF(AND(H_Direct=0,H_TaxEvt=1),IF(ATK70+1&gt;=H_Deemed,0,ATK70+1),ATK70)</f>
        <v>4</v>
      </c>
      <c r="ATL71" s="20" t="n">
        <f aca="false">IF(AND(H_Direct=0,H_TaxEvt=1),IF(ATL70+1&gt;=H_Deemed,0,ATL70+1),ATL70)</f>
        <v>3</v>
      </c>
      <c r="ATM71" s="20" t="n">
        <f aca="false">IF(AND(H_Direct=0,H_TaxEvt=1),IF(ATM70+1&gt;=H_Deemed,0,ATM70+1),ATM70)</f>
        <v>2</v>
      </c>
      <c r="ATN71" s="20" t="n">
        <f aca="false">IF(AND(H_Direct=0,H_TaxEvt=1),IF(ATN70+1&gt;=H_Deemed,0,ATN70+1),ATN70)</f>
        <v>1</v>
      </c>
      <c r="ATO71" s="20" t="n">
        <f aca="false">IF(AND(H_Direct=0,H_TaxEvt=1),IF(ATO70+1&gt;=H_Deemed,0,ATO70+1),ATO70)</f>
        <v>0</v>
      </c>
      <c r="ATP71" s="20" t="n">
        <f aca="false">IF(AND(H_Direct=0,H_TaxEvt=1),IF(ATP70+1&gt;=H_Deemed,0,ATP70+1),ATP70)</f>
        <v>7</v>
      </c>
      <c r="ATQ71" s="20" t="n">
        <f aca="false">IF(AND(H_Direct=0,H_TaxEvt=1),IF(ATQ70+1&gt;=H_Deemed,0,ATQ70+1),ATQ70)</f>
        <v>6</v>
      </c>
      <c r="ATR71" s="20" t="n">
        <f aca="false">IF(AND(H_Direct=0,H_TaxEvt=1),IF(ATR70+1&gt;=H_Deemed,0,ATR70+1),ATR70)</f>
        <v>5</v>
      </c>
      <c r="ATS71" s="20" t="n">
        <f aca="false">IF(AND(H_Direct=0,H_TaxEvt=1),IF(ATS70+1&gt;=H_Deemed,0,ATS70+1),ATS70)</f>
        <v>4</v>
      </c>
      <c r="ATT71" s="20" t="n">
        <f aca="false">IF(AND(H_Direct=0,H_TaxEvt=1),IF(ATT70+1&gt;=H_Deemed,0,ATT70+1),ATT70)</f>
        <v>3</v>
      </c>
      <c r="ATU71" s="20" t="n">
        <f aca="false">IF(AND(H_Direct=0,H_TaxEvt=1),IF(ATU70+1&gt;=H_Deemed,0,ATU70+1),ATU70)</f>
        <v>2</v>
      </c>
      <c r="ATV71" s="20" t="n">
        <f aca="false">IF(AND(H_Direct=0,H_TaxEvt=1),IF(ATV70+1&gt;=H_Deemed,0,ATV70+1),ATV70)</f>
        <v>1</v>
      </c>
      <c r="ATW71" s="20" t="n">
        <f aca="false">IF(AND(H_Direct=0,H_TaxEvt=1),IF(ATW70+1&gt;=H_Deemed,0,ATW70+1),ATW70)</f>
        <v>0</v>
      </c>
      <c r="ATX71" s="20" t="n">
        <f aca="false">IF(AND(H_Direct=0,H_TaxEvt=1),IF(ATX70+1&gt;=H_Deemed,0,ATX70+1),ATX70)</f>
        <v>7</v>
      </c>
      <c r="ATY71" s="20" t="n">
        <f aca="false">IF(AND(H_Direct=0,H_TaxEvt=1),IF(ATY70+1&gt;=H_Deemed,0,ATY70+1),ATY70)</f>
        <v>6</v>
      </c>
      <c r="ATZ71" s="20" t="n">
        <f aca="false">IF(AND(H_Direct=0,H_TaxEvt=1),IF(ATZ70+1&gt;=H_Deemed,0,ATZ70+1),ATZ70)</f>
        <v>5</v>
      </c>
      <c r="AUA71" s="20" t="n">
        <f aca="false">IF(AND(H_Direct=0,H_TaxEvt=1),IF(AUA70+1&gt;=H_Deemed,0,AUA70+1),AUA70)</f>
        <v>4</v>
      </c>
      <c r="AUB71" s="20" t="n">
        <f aca="false">IF(AND(H_Direct=0,H_TaxEvt=1),IF(AUB70+1&gt;=H_Deemed,0,AUB70+1),AUB70)</f>
        <v>3</v>
      </c>
      <c r="AUC71" s="20" t="n">
        <f aca="false">IF(AND(H_Direct=0,H_TaxEvt=1),IF(AUC70+1&gt;=H_Deemed,0,AUC70+1),AUC70)</f>
        <v>2</v>
      </c>
      <c r="AUD71" s="20" t="n">
        <f aca="false">IF(AND(H_Direct=0,H_TaxEvt=1),IF(0+1&gt;=H_Deemed,0,0+1),0)</f>
        <v>1</v>
      </c>
      <c r="AUE71" s="20" t="n">
        <v>0</v>
      </c>
      <c r="AUF71" s="20" t="n">
        <v>0</v>
      </c>
      <c r="AUG71" s="20" t="n">
        <v>0</v>
      </c>
      <c r="AUH71" s="20" t="n">
        <v>0</v>
      </c>
      <c r="AUI71" s="20" t="n">
        <v>0</v>
      </c>
      <c r="AUJ71" s="20" t="n">
        <v>0</v>
      </c>
      <c r="AUK71" s="20" t="n">
        <v>0</v>
      </c>
      <c r="AUL71" s="20" t="n">
        <v>0</v>
      </c>
      <c r="AUM71" s="20" t="n">
        <v>0</v>
      </c>
      <c r="AUN71" s="20" t="n">
        <v>0</v>
      </c>
      <c r="AUO71" s="20" t="n">
        <v>0</v>
      </c>
      <c r="AUP71" s="20" t="n">
        <v>0</v>
      </c>
      <c r="AUQ71" s="20" t="n">
        <v>0</v>
      </c>
      <c r="AUR71" s="20" t="n">
        <v>0</v>
      </c>
      <c r="AUS71" s="20" t="n">
        <v>0</v>
      </c>
      <c r="AUT71" s="20" t="n">
        <v>0</v>
      </c>
      <c r="AUU71" s="20" t="n">
        <v>0</v>
      </c>
      <c r="AUV71" s="20" t="n">
        <v>0</v>
      </c>
      <c r="AUW71" s="20" t="n">
        <v>0</v>
      </c>
      <c r="AUX71" s="20" t="n">
        <v>0</v>
      </c>
      <c r="AUY71" s="20" t="n">
        <v>0</v>
      </c>
      <c r="AUZ71" s="20" t="n">
        <v>0</v>
      </c>
      <c r="AVA71" s="20" t="n">
        <v>0</v>
      </c>
      <c r="AVB71" s="20" t="n">
        <v>0</v>
      </c>
      <c r="AVC71" s="20" t="n">
        <v>0</v>
      </c>
      <c r="AVD71" s="20" t="n">
        <v>0</v>
      </c>
      <c r="AVE71" s="20" t="n">
        <f aca="false">IF(AND(H_Direct=0,H_TaxEvt=1,ARR70+1&gt;=H_Deemed),MAX(0,ADR71-AHE71)*H_Exit,0)</f>
        <v>0</v>
      </c>
      <c r="AVF71" s="20" t="n">
        <f aca="false">IF(AND(H_Direct=0,H_TaxEvt=1,ARS70+1&gt;=H_Deemed),MAX(0,ADS71-AHF71)*H_Exit,0)</f>
        <v>0</v>
      </c>
      <c r="AVG71" s="20" t="n">
        <f aca="false">IF(AND(H_Direct=0,H_TaxEvt=1,ART70+1&gt;=H_Deemed),MAX(0,ADT71-AHG71)*H_Exit,0)</f>
        <v>0</v>
      </c>
      <c r="AVH71" s="20" t="n">
        <f aca="false">IF(AND(H_Direct=0,H_TaxEvt=1,ARU70+1&gt;=H_Deemed),MAX(0,ADU71-AHH71)*H_Exit,0)</f>
        <v>0</v>
      </c>
      <c r="AVI71" s="20" t="n">
        <f aca="false">IF(AND(H_Direct=0,H_TaxEvt=1,ARV70+1&gt;=H_Deemed),MAX(0,ADV71-AHI71)*H_Exit,0)</f>
        <v>0</v>
      </c>
      <c r="AVJ71" s="20" t="n">
        <f aca="false">IF(AND(H_Direct=0,H_TaxEvt=1,ARW70+1&gt;=H_Deemed),MAX(0,ADW71-AHJ71)*H_Exit,0)</f>
        <v>0</v>
      </c>
      <c r="AVK71" s="20" t="n">
        <f aca="false">IF(AND(H_Direct=0,H_TaxEvt=1,ARX70+1&gt;=H_Deemed),MAX(0,ADX71-AHK71)*H_Exit,0)</f>
        <v>0</v>
      </c>
      <c r="AVL71" s="20" t="n">
        <f aca="false">IF(AND(H_Direct=0,H_TaxEvt=1,ARY70+1&gt;=H_Deemed),MAX(0,ADY71-AHL71)*H_Exit,0)</f>
        <v>0</v>
      </c>
      <c r="AVM71" s="20" t="n">
        <f aca="false">IF(AND(H_Direct=0,H_TaxEvt=1,ARZ70+1&gt;=H_Deemed),MAX(0,ADZ71-AHM71)*H_Exit,0)</f>
        <v>0</v>
      </c>
      <c r="AVN71" s="20" t="n">
        <f aca="false">IF(AND(H_Direct=0,H_TaxEvt=1,ASA70+1&gt;=H_Deemed),MAX(0,AEA71-AHN71)*H_Exit,0)</f>
        <v>0</v>
      </c>
      <c r="AVO71" s="20" t="n">
        <f aca="false">IF(AND(H_Direct=0,H_TaxEvt=1,ASB70+1&gt;=H_Deemed),MAX(0,AEB71-AHO71)*H_Exit,0)</f>
        <v>0</v>
      </c>
      <c r="AVP71" s="20" t="n">
        <f aca="false">IF(AND(H_Direct=0,H_TaxEvt=1,ASC70+1&gt;=H_Deemed),MAX(0,AEC71-AHP71)*H_Exit,0)</f>
        <v>0</v>
      </c>
      <c r="AVQ71" s="20" t="n">
        <f aca="false">IF(AND(H_Direct=0,H_TaxEvt=1,ASD70+1&gt;=H_Deemed),MAX(0,AED71-AHQ71)*H_Exit,0)</f>
        <v>0</v>
      </c>
      <c r="AVR71" s="20" t="n">
        <f aca="false">IF(AND(H_Direct=0,H_TaxEvt=1,ASE70+1&gt;=H_Deemed),MAX(0,AEE71-AHR71)*H_Exit,0)</f>
        <v>0</v>
      </c>
      <c r="AVS71" s="20" t="n">
        <f aca="false">IF(AND(H_Direct=0,H_TaxEvt=1,ASF70+1&gt;=H_Deemed),MAX(0,AEF71-AHS71)*H_Exit,0)</f>
        <v>0</v>
      </c>
      <c r="AVT71" s="20" t="n">
        <f aca="false">IF(AND(H_Direct=0,H_TaxEvt=1,ASG70+1&gt;=H_Deemed),MAX(0,AEG71-AHT71)*H_Exit,0)</f>
        <v>0</v>
      </c>
      <c r="AVU71" s="20" t="n">
        <f aca="false">IF(AND(H_Direct=0,H_TaxEvt=1,ASH70+1&gt;=H_Deemed),MAX(0,AEH71-AHU71)*H_Exit,0)</f>
        <v>0</v>
      </c>
      <c r="AVV71" s="20" t="n">
        <f aca="false">IF(AND(H_Direct=0,H_TaxEvt=1,ASI70+1&gt;=H_Deemed),MAX(0,AEI71-AHV71)*H_Exit,0)</f>
        <v>0</v>
      </c>
      <c r="AVW71" s="20" t="n">
        <f aca="false">IF(AND(H_Direct=0,H_TaxEvt=1,ASJ70+1&gt;=H_Deemed),MAX(0,AEJ71-AHW71)*H_Exit,0)</f>
        <v>0</v>
      </c>
      <c r="AVX71" s="20" t="n">
        <f aca="false">IF(AND(H_Direct=0,H_TaxEvt=1,ASK70+1&gt;=H_Deemed),MAX(0,AEK71-AHX71)*H_Exit,0)</f>
        <v>0</v>
      </c>
      <c r="AVY71" s="20" t="n">
        <f aca="false">IF(AND(H_Direct=0,H_TaxEvt=1,ASL70+1&gt;=H_Deemed),MAX(0,AEL71-AHY71)*H_Exit,0)</f>
        <v>0</v>
      </c>
      <c r="AVZ71" s="20" t="n">
        <f aca="false">IF(AND(H_Direct=0,H_TaxEvt=1,ASM70+1&gt;=H_Deemed),MAX(0,AEM71-AHZ71)*H_Exit,0)</f>
        <v>0</v>
      </c>
      <c r="AWA71" s="20" t="n">
        <f aca="false">IF(AND(H_Direct=0,H_TaxEvt=1,ASN70+1&gt;=H_Deemed),MAX(0,AEN71-AIA71)*H_Exit,0)</f>
        <v>0</v>
      </c>
      <c r="AWB71" s="20" t="n">
        <f aca="false">IF(AND(H_Direct=0,H_TaxEvt=1,ASO70+1&gt;=H_Deemed),MAX(0,AEO71-AIB71)*H_Exit,0)</f>
        <v>0</v>
      </c>
      <c r="AWC71" s="20" t="n">
        <f aca="false">IF(AND(H_Direct=0,H_TaxEvt=1,ASP70+1&gt;=H_Deemed),MAX(0,AEP71-AIC71)*H_Exit,0)</f>
        <v>0</v>
      </c>
      <c r="AWD71" s="20" t="n">
        <f aca="false">IF(AND(H_Direct=0,H_TaxEvt=1,ASQ70+1&gt;=H_Deemed),MAX(0,AEQ71-AID71)*H_Exit,0)</f>
        <v>0</v>
      </c>
      <c r="AWE71" s="20" t="n">
        <f aca="false">IF(AND(H_Direct=0,H_TaxEvt=1,ASR70+1&gt;=H_Deemed),MAX(0,AER71-AIE71)*H_Exit,0)</f>
        <v>0</v>
      </c>
      <c r="AWF71" s="20" t="n">
        <f aca="false">IF(AND(H_Direct=0,H_TaxEvt=1,ASS70+1&gt;=H_Deemed),MAX(0,AES71-AIF71)*H_Exit,0)</f>
        <v>0</v>
      </c>
      <c r="AWG71" s="20" t="n">
        <f aca="false">IF(AND(H_Direct=0,H_TaxEvt=1,AST70+1&gt;=H_Deemed),MAX(0,AET71-AIG71)*H_Exit,0)</f>
        <v>0</v>
      </c>
      <c r="AWH71" s="20" t="n">
        <f aca="false">IF(AND(H_Direct=0,H_TaxEvt=1,ASU70+1&gt;=H_Deemed),MAX(0,AEU71-AIH71)*H_Exit,0)</f>
        <v>0</v>
      </c>
      <c r="AWI71" s="20" t="n">
        <f aca="false">IF(AND(H_Direct=0,H_TaxEvt=1,ASV70+1&gt;=H_Deemed),MAX(0,AEV71-AII71)*H_Exit,0)</f>
        <v>0</v>
      </c>
      <c r="AWJ71" s="20" t="n">
        <f aca="false">IF(AND(H_Direct=0,H_TaxEvt=1,ASW70+1&gt;=H_Deemed),MAX(0,AEW71-AIJ71)*H_Exit,0)</f>
        <v>0</v>
      </c>
      <c r="AWK71" s="20" t="n">
        <f aca="false">IF(AND(H_Direct=0,H_TaxEvt=1,ASX70+1&gt;=H_Deemed),MAX(0,AEX71-AIK71)*H_Exit,0)</f>
        <v>0</v>
      </c>
      <c r="AWL71" s="20" t="n">
        <f aca="false">IF(AND(H_Direct=0,H_TaxEvt=1,ASY70+1&gt;=H_Deemed),MAX(0,AEY71-AIL71)*H_Exit,0)</f>
        <v>0</v>
      </c>
      <c r="AWM71" s="20" t="n">
        <f aca="false">IF(AND(H_Direct=0,H_TaxEvt=1,ASZ70+1&gt;=H_Deemed),MAX(0,AEZ71-AIM71)*H_Exit,0)</f>
        <v>0</v>
      </c>
      <c r="AWN71" s="20" t="n">
        <f aca="false">IF(AND(H_Direct=0,H_TaxEvt=1,ATA70+1&gt;=H_Deemed),MAX(0,AFA71-AIN71)*H_Exit,0)</f>
        <v>0</v>
      </c>
      <c r="AWO71" s="20" t="n">
        <f aca="false">IF(AND(H_Direct=0,H_TaxEvt=1,ATB70+1&gt;=H_Deemed),MAX(0,AFB71-AIO71)*H_Exit,0)</f>
        <v>0</v>
      </c>
      <c r="AWP71" s="20" t="n">
        <f aca="false">IF(AND(H_Direct=0,H_TaxEvt=1,ATC70+1&gt;=H_Deemed),MAX(0,AFC71-AIP71)*H_Exit,0)</f>
        <v>0</v>
      </c>
      <c r="AWQ71" s="20" t="n">
        <f aca="false">IF(AND(H_Direct=0,H_TaxEvt=1,ATD70+1&gt;=H_Deemed),MAX(0,AFD71-AIQ71)*H_Exit,0)</f>
        <v>0</v>
      </c>
      <c r="AWR71" s="20" t="n">
        <f aca="false">IF(AND(H_Direct=0,H_TaxEvt=1,ATE70+1&gt;=H_Deemed),MAX(0,AFE71-AIR71)*H_Exit,0)</f>
        <v>0</v>
      </c>
      <c r="AWS71" s="20" t="n">
        <f aca="false">IF(AND(H_Direct=0,H_TaxEvt=1,ATF70+1&gt;=H_Deemed),MAX(0,AFF71-AIS71)*H_Exit,0)</f>
        <v>0</v>
      </c>
      <c r="AWT71" s="20" t="n">
        <f aca="false">IF(AND(H_Direct=0,H_TaxEvt=1,ATG70+1&gt;=H_Deemed),MAX(0,AFG71-AIT71)*H_Exit,0)</f>
        <v>0</v>
      </c>
      <c r="AWU71" s="20" t="n">
        <f aca="false">IF(AND(H_Direct=0,H_TaxEvt=1,ATH70+1&gt;=H_Deemed),MAX(0,AFH71-AIU71)*H_Exit,0)</f>
        <v>0</v>
      </c>
      <c r="AWV71" s="20" t="n">
        <f aca="false">IF(AND(H_Direct=0,H_TaxEvt=1,ATI70+1&gt;=H_Deemed),MAX(0,AFI71-AIV71)*H_Exit,0)</f>
        <v>0</v>
      </c>
      <c r="AWW71" s="20" t="n">
        <f aca="false">IF(AND(H_Direct=0,H_TaxEvt=1,ATJ70+1&gt;=H_Deemed),MAX(0,AFJ71-AIW71)*H_Exit,0)</f>
        <v>0</v>
      </c>
      <c r="AWX71" s="20" t="n">
        <f aca="false">IF(AND(H_Direct=0,H_TaxEvt=1,ATK70+1&gt;=H_Deemed),MAX(0,AFK71-AIX71)*H_Exit,0)</f>
        <v>0</v>
      </c>
      <c r="AWY71" s="20" t="n">
        <f aca="false">IF(AND(H_Direct=0,H_TaxEvt=1,ATL70+1&gt;=H_Deemed),MAX(0,AFL71-AIY71)*H_Exit,0)</f>
        <v>0</v>
      </c>
      <c r="AWZ71" s="20" t="n">
        <f aca="false">IF(AND(H_Direct=0,H_TaxEvt=1,ATM70+1&gt;=H_Deemed),MAX(0,AFM71-AIZ71)*H_Exit,0)</f>
        <v>0</v>
      </c>
      <c r="AXA71" s="20" t="n">
        <f aca="false">IF(AND(H_Direct=0,H_TaxEvt=1,ATN70+1&gt;=H_Deemed),MAX(0,AFN71-AJA71)*H_Exit,0)</f>
        <v>0</v>
      </c>
      <c r="AXB71" s="20" t="n">
        <f aca="false">IF(AND(H_Direct=0,H_TaxEvt=1,ATO70+1&gt;=H_Deemed),MAX(0,AFO71-AJB71)*H_Exit,0)</f>
        <v>0</v>
      </c>
      <c r="AXC71" s="20" t="n">
        <f aca="false">IF(AND(H_Direct=0,H_TaxEvt=1,ATP70+1&gt;=H_Deemed),MAX(0,AFP71-AJC71)*H_Exit,0)</f>
        <v>0</v>
      </c>
      <c r="AXD71" s="20" t="n">
        <f aca="false">IF(AND(H_Direct=0,H_TaxEvt=1,ATQ70+1&gt;=H_Deemed),MAX(0,AFQ71-AJD71)*H_Exit,0)</f>
        <v>0</v>
      </c>
      <c r="AXE71" s="20" t="n">
        <f aca="false">IF(AND(H_Direct=0,H_TaxEvt=1,ATR70+1&gt;=H_Deemed),MAX(0,AFR71-AJE71)*H_Exit,0)</f>
        <v>0</v>
      </c>
      <c r="AXF71" s="20" t="n">
        <f aca="false">IF(AND(H_Direct=0,H_TaxEvt=1,ATS70+1&gt;=H_Deemed),MAX(0,AFS71-AJF71)*H_Exit,0)</f>
        <v>0</v>
      </c>
      <c r="AXG71" s="20" t="n">
        <f aca="false">IF(AND(H_Direct=0,H_TaxEvt=1,ATT70+1&gt;=H_Deemed),MAX(0,AFT71-AJG71)*H_Exit,0)</f>
        <v>0</v>
      </c>
      <c r="AXH71" s="20" t="n">
        <f aca="false">IF(AND(H_Direct=0,H_TaxEvt=1,ATU70+1&gt;=H_Deemed),MAX(0,AFU71-AJH71)*H_Exit,0)</f>
        <v>0</v>
      </c>
      <c r="AXI71" s="20" t="n">
        <f aca="false">IF(AND(H_Direct=0,H_TaxEvt=1,ATV70+1&gt;=H_Deemed),MAX(0,AFV71-AJI71)*H_Exit,0)</f>
        <v>0</v>
      </c>
      <c r="AXJ71" s="20" t="n">
        <f aca="false">IF(AND(H_Direct=0,H_TaxEvt=1,ATW70+1&gt;=H_Deemed),MAX(0,AFW71-AJJ71)*H_Exit,0)</f>
        <v>0</v>
      </c>
      <c r="AXK71" s="20" t="n">
        <f aca="false">IF(AND(H_Direct=0,H_TaxEvt=1,ATX70+1&gt;=H_Deemed),MAX(0,AFX71-AJK71)*H_Exit,0)</f>
        <v>0</v>
      </c>
      <c r="AXL71" s="20" t="n">
        <f aca="false">IF(AND(H_Direct=0,H_TaxEvt=1,ATY70+1&gt;=H_Deemed),MAX(0,AFY71-AJL71)*H_Exit,0)</f>
        <v>0</v>
      </c>
      <c r="AXM71" s="20" t="n">
        <f aca="false">IF(AND(H_Direct=0,H_TaxEvt=1,ATZ70+1&gt;=H_Deemed),MAX(0,AFZ71-AJM71)*H_Exit,0)</f>
        <v>0</v>
      </c>
      <c r="AXN71" s="20" t="n">
        <f aca="false">IF(AND(H_Direct=0,H_TaxEvt=1,AUA70+1&gt;=H_Deemed),MAX(0,AGA71-AJN71)*H_Exit,0)</f>
        <v>0</v>
      </c>
      <c r="AXO71" s="20" t="n">
        <f aca="false">IF(AND(H_Direct=0,H_TaxEvt=1,AUB70+1&gt;=H_Deemed),MAX(0,AGB71-AJO71)*H_Exit,0)</f>
        <v>0</v>
      </c>
      <c r="AXP71" s="20" t="n">
        <f aca="false">IF(AND(H_Direct=0,H_TaxEvt=1,AUC70+1&gt;=H_Deemed),MAX(0,AGC71-AJP71)*H_Exit,0)</f>
        <v>0</v>
      </c>
      <c r="AXQ71" s="20" t="n">
        <f aca="false">IF(AND(H_Direct=0,H_TaxEvt=1,0+1&gt;=H_Deemed),MAX(0,AGD71-AJQ71)*H_Exit,0)</f>
        <v>0</v>
      </c>
      <c r="AXR71" s="20" t="n">
        <v>0</v>
      </c>
      <c r="AXS71" s="20" t="n">
        <v>0</v>
      </c>
      <c r="AXT71" s="20" t="n">
        <v>0</v>
      </c>
      <c r="AXU71" s="20" t="n">
        <v>0</v>
      </c>
      <c r="AXV71" s="20" t="n">
        <v>0</v>
      </c>
      <c r="AXW71" s="20" t="n">
        <v>0</v>
      </c>
      <c r="AXX71" s="20" t="n">
        <v>0</v>
      </c>
      <c r="AXY71" s="20" t="n">
        <v>0</v>
      </c>
      <c r="AXZ71" s="20" t="n">
        <v>0</v>
      </c>
      <c r="AYA71" s="20" t="n">
        <v>0</v>
      </c>
      <c r="AYB71" s="20" t="n">
        <v>0</v>
      </c>
      <c r="AYC71" s="20" t="n">
        <v>0</v>
      </c>
      <c r="AYD71" s="20" t="n">
        <v>0</v>
      </c>
      <c r="AYE71" s="20" t="n">
        <v>0</v>
      </c>
      <c r="AYF71" s="20" t="n">
        <v>0</v>
      </c>
      <c r="AYG71" s="20" t="n">
        <v>0</v>
      </c>
      <c r="AYH71" s="20" t="n">
        <v>0</v>
      </c>
      <c r="AYI71" s="20" t="n">
        <v>0</v>
      </c>
      <c r="AYJ71" s="20" t="n">
        <v>0</v>
      </c>
      <c r="AYK71" s="20" t="n">
        <v>0</v>
      </c>
      <c r="AYL71" s="20" t="n">
        <v>0</v>
      </c>
      <c r="AYM71" s="20" t="n">
        <v>0</v>
      </c>
      <c r="AYN71" s="20" t="n">
        <v>0</v>
      </c>
      <c r="AYO71" s="20" t="n">
        <v>0</v>
      </c>
      <c r="AYP71" s="20" t="n">
        <v>0</v>
      </c>
      <c r="AYQ71" s="20" t="n">
        <v>0</v>
      </c>
    </row>
    <row r="72" customFormat="false" ht="15" hidden="false" customHeight="false" outlineLevel="0" collapsed="false">
      <c r="B72" s="20" t="n">
        <v>64</v>
      </c>
      <c r="C72" s="20" t="n">
        <f aca="false">'Plan cashflow'!C72</f>
        <v>0</v>
      </c>
      <c r="D72" s="20" t="n">
        <f aca="false">'Plan cashflow'!D72</f>
        <v>102</v>
      </c>
      <c r="E72" s="20" t="n">
        <f aca="false">AS_Year0+64</f>
        <v>2090</v>
      </c>
      <c r="F72" s="50" t="n">
        <f aca="false">'Plan cashflow'!F72</f>
        <v>3.55149324327688</v>
      </c>
      <c r="G72" s="59" t="n">
        <f aca="true">IF(MAX(TODAY(),DATE(E72,1,1))&gt;=H_CGTfrom,H_CGT1,H_CGT0)</f>
        <v>0.31</v>
      </c>
      <c r="H72" s="20" t="n">
        <f aca="false">H_Exempt*H_Persons</f>
        <v>1270</v>
      </c>
      <c r="I72" s="20" t="n">
        <f aca="false">AX71</f>
        <v>0</v>
      </c>
      <c r="J72" s="60" t="n">
        <f aca="false">BF71</f>
        <v>0</v>
      </c>
      <c r="K72" s="60" t="n">
        <f aca="false">BG71</f>
        <v>0</v>
      </c>
      <c r="L72" s="20" t="n">
        <f aca="false">IF(AND(In_polLump&gt;0,In_polLumpAge&gt;0,D72=In_polLumpAge),In_polLump,0)</f>
        <v>0</v>
      </c>
      <c r="M72" s="20" t="n">
        <f aca="false">IF(AND(In_homeUse="Yes, I'd downsize",In_downAge&gt;0,D72=In_downAge,OR(In_home="Own outright",In_home="Own with mortgage"),In_homeValue&gt;0),MAX(0,MAX(0,In_homeValue-In_downValue)*F72*0.9-'Plan cashflow'!HR71),0)</f>
        <v>0</v>
      </c>
      <c r="N72" s="20" t="n">
        <f aca="false">'Plan pay &amp; tax'!Y298</f>
        <v>0</v>
      </c>
      <c r="O72" s="20" t="n">
        <f aca="false">L72+M72+(1-H_Sh)*N72</f>
        <v>0</v>
      </c>
      <c r="P72" s="20" t="n">
        <f aca="false">H_Sh*N72</f>
        <v>0</v>
      </c>
      <c r="Q72" s="20" t="n">
        <f aca="false">'Plan cashflow'!UL72</f>
        <v>0</v>
      </c>
      <c r="R72" s="20" t="n">
        <f aca="false">(1-H_Sh)*Q72</f>
        <v>0</v>
      </c>
      <c r="S72" s="20" t="n">
        <f aca="false">H_Sh*Q72</f>
        <v>0</v>
      </c>
      <c r="T72" s="20" t="n">
        <f aca="false">J72+K72+O72</f>
        <v>0</v>
      </c>
      <c r="U72" s="20" t="n">
        <f aca="false">T72+R72</f>
        <v>0</v>
      </c>
      <c r="V72" s="60" t="n">
        <f aca="false">SUM(FE72:IQ72)</f>
        <v>0</v>
      </c>
      <c r="W72" s="60" t="n">
        <f aca="false">IF(AJ72&lt;=0,0,IF(AL72&lt;=0,AJ72,AJ72-G72*MAX(0,AL72*AJ72-(AY72+AZ72))))</f>
        <v>0</v>
      </c>
      <c r="X72" s="60" t="n">
        <f aca="false">IF(AR72&lt;=0,0,IF(AT72&lt;=0,AR72,AR72-G72*MAX(0,AT72*AR72-(BA72+BB72))))</f>
        <v>0</v>
      </c>
      <c r="Y72" s="60" t="n">
        <f aca="false">T72+V72-S72+W72+X72</f>
        <v>0</v>
      </c>
      <c r="Z72" s="60" t="n">
        <f aca="false">'Plan cashflow'!UK72</f>
        <v>0</v>
      </c>
      <c r="AA72" s="20" t="n">
        <f aca="false">MIN(Z72,U72)</f>
        <v>0</v>
      </c>
      <c r="AB72" s="20" t="n">
        <f aca="false">Z72-AA72</f>
        <v>0</v>
      </c>
      <c r="AC72" s="20" t="n">
        <f aca="false">MIN(AA72,J72+O72+R72)</f>
        <v>0</v>
      </c>
      <c r="AD72" s="20" t="n">
        <f aca="false">AA72-AC72</f>
        <v>0</v>
      </c>
      <c r="AE72" s="20" t="n">
        <f aca="false">J72+O72+R72-AC72</f>
        <v>0</v>
      </c>
      <c r="AF72" s="20" t="n">
        <f aca="false">K72-AD72</f>
        <v>0</v>
      </c>
      <c r="AG72" s="20" t="n">
        <f aca="false">SUM(PR72:TD72)</f>
        <v>0</v>
      </c>
      <c r="AH72" s="20" t="n">
        <f aca="false">SUM(TE72:WQ72)</f>
        <v>0</v>
      </c>
      <c r="AI72" s="20" t="n">
        <f aca="false">MAX(0,AB72-AG72)</f>
        <v>0</v>
      </c>
      <c r="AJ72" s="57" t="n">
        <f aca="false">BI71</f>
        <v>0</v>
      </c>
      <c r="AK72" s="20" t="n">
        <f aca="false">BJ71</f>
        <v>0</v>
      </c>
      <c r="AL72" s="20" t="n">
        <f aca="false">IF(AJ72&gt;0,(AJ72-AK72)/AJ72,0)</f>
        <v>0</v>
      </c>
      <c r="AM72" s="20" t="n">
        <f aca="false">IF(AJ72&lt;=0,0,IF(AL72&lt;=0,MIN(AI72,AJ72),MIN(AI72,AJ72-G72*MAX(0,AL72*AJ72-(AAD72+ADQ72)))))</f>
        <v>0</v>
      </c>
      <c r="AN72" s="20" t="n">
        <f aca="false">IF(AJ72&lt;=0,0,IF(AL72&lt;=0,AM72,IF(AM72&lt;=(AAD72+ADQ72)/AL72,AM72,(AM72-G72*(AAD72+ADQ72))/(1-G72*AL72))))</f>
        <v>0</v>
      </c>
      <c r="AO72" s="20" t="n">
        <f aca="false">IF(AL72&gt;0,MAX(0,AAD72-(MIN(AL72*AN72,(AAD72+ADQ72))-MIN(MIN(AL72*AN72,(AAD72+ADQ72)),ADQ72))),AAD72)</f>
        <v>1270</v>
      </c>
      <c r="AP72" s="20" t="n">
        <f aca="false">IF(AL72&lt;=0,ADQ72-AL72*AN72,ADQ72-MIN(MIN(AL72*AN72,(AAD72+ADQ72)),ADQ72))</f>
        <v>0</v>
      </c>
      <c r="AQ72" s="20" t="n">
        <f aca="false">MAX(0,AI72-AM72)</f>
        <v>0</v>
      </c>
      <c r="AR72" s="57" t="n">
        <f aca="false">BK71</f>
        <v>0</v>
      </c>
      <c r="AS72" s="20" t="n">
        <f aca="false">BL71</f>
        <v>0</v>
      </c>
      <c r="AT72" s="20" t="n">
        <f aca="false">IF(AR72&gt;0,(AR72-AS72)/AR72,0)</f>
        <v>0</v>
      </c>
      <c r="AU72" s="20" t="n">
        <f aca="false">IF(AR72&lt;=0,0,IF(AT72&lt;=0,MIN(AQ72,AR72),MIN(AQ72,AR72-G72*MAX(0,AT72*AR72-(AO72+AP72)))))</f>
        <v>0</v>
      </c>
      <c r="AV72" s="20" t="n">
        <f aca="false">IF(AR72&lt;=0,0,IF(AT72&lt;=0,AU72,IF(AU72&lt;=(AO72+AP72)/AT72,AU72,(AU72-G72*(AO72+AP72))/(1-G72*AT72))))</f>
        <v>0</v>
      </c>
      <c r="AW72" s="20" t="n">
        <f aca="false">IF(AT72&gt;0,MAX(0,AO72-(MIN(AT72*AV72,(AO72+AP72))-MIN(MIN(AT72*AV72,(AO72+AP72)),AP72))),AO72)</f>
        <v>1270</v>
      </c>
      <c r="AX72" s="20" t="n">
        <f aca="false">IF(AT72&lt;=0,AP72-AT72*AV72,AP72-MIN(MIN(AT72*AV72,(AO72+AP72)),AP72))</f>
        <v>0</v>
      </c>
      <c r="AY72" s="20" t="n">
        <f aca="false">MD72</f>
        <v>1270</v>
      </c>
      <c r="AZ72" s="20" t="n">
        <f aca="false">PQ72</f>
        <v>0</v>
      </c>
      <c r="BA72" s="20" t="n">
        <f aca="false">IF(AL72&gt;0,MAX(0,AY72-(MIN(AL72*AJ72,AY72+AZ72)-MIN(MIN(AL72*AJ72,AY72+AZ72),AZ72))),AY72)</f>
        <v>1270</v>
      </c>
      <c r="BB72" s="20" t="n">
        <f aca="false">IF(AL72&lt;=0,AZ72-AL72*AJ72,AZ72-MIN(MIN(AL72*AJ72,AY72+AZ72),AZ72))</f>
        <v>0</v>
      </c>
      <c r="BC72" s="20" t="n">
        <f aca="false">'Plan cashflow'!UM72</f>
        <v>0</v>
      </c>
      <c r="BD72" s="20" t="n">
        <f aca="false">(1-H_Sh)*BC72</f>
        <v>0</v>
      </c>
      <c r="BE72" s="20" t="n">
        <f aca="false">H_Sh*BC72</f>
        <v>0</v>
      </c>
      <c r="BF72" s="60" t="n">
        <f aca="false">(AE72+BD72)*(1+AS_Cash)</f>
        <v>0</v>
      </c>
      <c r="BG72" s="60" t="n">
        <f aca="false">AF72*(1+AS_Cash)</f>
        <v>0</v>
      </c>
      <c r="BH72" s="60" t="n">
        <f aca="false">SUM(AKR72:AOD72)</f>
        <v>0</v>
      </c>
      <c r="BI72" s="60" t="n">
        <f aca="false">(AJ72-AN72)*(1+AS_Infl)</f>
        <v>0</v>
      </c>
      <c r="BJ72" s="20" t="n">
        <f aca="false">IF(AJ72&gt;0,AK72-AK72*AN72/AJ72,0)</f>
        <v>0</v>
      </c>
      <c r="BK72" s="60" t="n">
        <f aca="false">(AR72-AV72)*(1+BQ72)</f>
        <v>0</v>
      </c>
      <c r="BL72" s="20" t="n">
        <f aca="false">IF(AR72&gt;0,AS72-AS72*AV72/AR72,0)</f>
        <v>0</v>
      </c>
      <c r="BM72" s="60" t="n">
        <f aca="false">BF72+BG72+BH72+BI72+BK72</f>
        <v>0</v>
      </c>
      <c r="BN72" s="60" t="n">
        <f aca="false">(AH72-AG72)+(AN72-AM72)+(AV72-AU72)</f>
        <v>0</v>
      </c>
      <c r="BO72" s="20" t="n">
        <f aca="false">(AE72+BD72+AF72+MAX(0,'Plan cashflow'!QH72)+IF(Slot1_Rate=AS_Cash,'Plan cashflow'!QM72/(1+AS_Cash),0)+IF(Slot2_Rate=AS_Cash,'Plan cashflow'!QQ72/(1+AS_Cash),0)+IF(Slot3_Rate=AS_Cash,'Plan cashflow'!QU72/(1+AS_Cash),0)+IF(Slot4_Rate=AS_Cash,'Plan cashflow'!QY72/(1+AS_Cash),0)+IF(Slot5_Rate=AS_Cash,'Plan cashflow'!RC72/(1+AS_Cash),0)+IF(Slot6_Rate=AS_Cash,'Plan cashflow'!RG72/(1+AS_Cash),0)+IF(Slot7_Rate=AS_Cash,'Plan cashflow'!RK72/(1+AS_Cash),0)+IF(Slot8_Rate=AS_Cash,'Plan cashflow'!RO72/(1+AS_Cash),0)+IF(Slot9_Rate=AS_Cash,'Plan cashflow'!RS72/(1+AS_Cash),0)+IF(Slot10_Rate=AS_Cash,'Plan cashflow'!RW72/(1+AS_Cash),0)+IF(Slot11_Rate=AS_Cash,'Plan cashflow'!SA72/(1+AS_Cash),0)+IF(Slot12_Rate=AS_Cash,'Plan cashflow'!SE72/(1+AS_Cash),0)+IF(Slot13_Rate=AS_Cash,'Plan cashflow'!SI72/(1+AS_Cash),0)+IF(Slot14_Rate=AS_Cash,'Plan cashflow'!SM72/(1+AS_Cash),0)+IF(Slot15_Rate=AS_Cash,'Plan cashflow'!SQ72/(1+AS_Cash),0)+IF(Slot16_Rate=AS_Cash,'Plan cashflow'!SU72/(1+AS_Cash),0)+IF(Slot17_Rate=AS_Cash,'Plan cashflow'!SY72/(1+AS_Cash),0)+IF(Slot18_Rate=AS_Cash,'Plan cashflow'!TC72/(1+AS_Cash),0)+IF(Slot19_Rate=AS_Cash,'Plan cashflow'!TG72/(1+AS_Cash),0)+IF(Slot20_Rate=AS_Cash,'Plan cashflow'!TK72/(1+AS_Cash),0))*AS_Cash*H_DIRT/(1-H_DIRT)</f>
        <v>0</v>
      </c>
      <c r="BP72" s="60" t="n">
        <f aca="false">SUM(AVE72:AYQ72)</f>
        <v>0</v>
      </c>
      <c r="BQ72" s="54" t="n">
        <f aca="false">IF(H_TaxEvt=1,H_InvG,AS_Inv)</f>
        <v>0.04</v>
      </c>
      <c r="BR72" s="20" t="n">
        <f aca="false">IF(AKR71&gt;0,(AKR71-AOE71)/AKR71,0)</f>
        <v>0</v>
      </c>
      <c r="BS72" s="20" t="n">
        <f aca="false">IF(AKS71&gt;0,(AKS71-AOF71)/AKS71,0)</f>
        <v>0</v>
      </c>
      <c r="BT72" s="20" t="n">
        <f aca="false">IF(AKT71&gt;0,(AKT71-AOG71)/AKT71,0)</f>
        <v>0</v>
      </c>
      <c r="BU72" s="20" t="n">
        <f aca="false">IF(AKU71&gt;0,(AKU71-AOH71)/AKU71,0)</f>
        <v>0</v>
      </c>
      <c r="BV72" s="20" t="n">
        <f aca="false">IF(AKV71&gt;0,(AKV71-AOI71)/AKV71,0)</f>
        <v>0</v>
      </c>
      <c r="BW72" s="20" t="n">
        <f aca="false">IF(AKW71&gt;0,(AKW71-AOJ71)/AKW71,0)</f>
        <v>0</v>
      </c>
      <c r="BX72" s="20" t="n">
        <f aca="false">IF(AKX71&gt;0,(AKX71-AOK71)/AKX71,0)</f>
        <v>0</v>
      </c>
      <c r="BY72" s="20" t="n">
        <f aca="false">IF(AKY71&gt;0,(AKY71-AOL71)/AKY71,0)</f>
        <v>0</v>
      </c>
      <c r="BZ72" s="20" t="n">
        <f aca="false">IF(AKZ71&gt;0,(AKZ71-AOM71)/AKZ71,0)</f>
        <v>0</v>
      </c>
      <c r="CA72" s="20" t="n">
        <f aca="false">IF(ALA71&gt;0,(ALA71-AON71)/ALA71,0)</f>
        <v>0</v>
      </c>
      <c r="CB72" s="20" t="n">
        <f aca="false">IF(ALB71&gt;0,(ALB71-AOO71)/ALB71,0)</f>
        <v>0</v>
      </c>
      <c r="CC72" s="20" t="n">
        <f aca="false">IF(ALC71&gt;0,(ALC71-AOP71)/ALC71,0)</f>
        <v>0</v>
      </c>
      <c r="CD72" s="20" t="n">
        <f aca="false">IF(ALD71&gt;0,(ALD71-AOQ71)/ALD71,0)</f>
        <v>0</v>
      </c>
      <c r="CE72" s="20" t="n">
        <f aca="false">IF(ALE71&gt;0,(ALE71-AOR71)/ALE71,0)</f>
        <v>0</v>
      </c>
      <c r="CF72" s="20" t="n">
        <f aca="false">IF(ALF71&gt;0,(ALF71-AOS71)/ALF71,0)</f>
        <v>0</v>
      </c>
      <c r="CG72" s="20" t="n">
        <f aca="false">IF(ALG71&gt;0,(ALG71-AOT71)/ALG71,0)</f>
        <v>0</v>
      </c>
      <c r="CH72" s="20" t="n">
        <f aca="false">IF(ALH71&gt;0,(ALH71-AOU71)/ALH71,0)</f>
        <v>0</v>
      </c>
      <c r="CI72" s="20" t="n">
        <f aca="false">IF(ALI71&gt;0,(ALI71-AOV71)/ALI71,0)</f>
        <v>0</v>
      </c>
      <c r="CJ72" s="20" t="n">
        <f aca="false">IF(ALJ71&gt;0,(ALJ71-AOW71)/ALJ71,0)</f>
        <v>0</v>
      </c>
      <c r="CK72" s="20" t="n">
        <f aca="false">IF(ALK71&gt;0,(ALK71-AOX71)/ALK71,0)</f>
        <v>0</v>
      </c>
      <c r="CL72" s="20" t="n">
        <f aca="false">IF(ALL71&gt;0,(ALL71-AOY71)/ALL71,0)</f>
        <v>0</v>
      </c>
      <c r="CM72" s="20" t="n">
        <f aca="false">IF(ALM71&gt;0,(ALM71-AOZ71)/ALM71,0)</f>
        <v>0</v>
      </c>
      <c r="CN72" s="20" t="n">
        <f aca="false">IF(ALN71&gt;0,(ALN71-APA71)/ALN71,0)</f>
        <v>0</v>
      </c>
      <c r="CO72" s="20" t="n">
        <f aca="false">IF(ALO71&gt;0,(ALO71-APB71)/ALO71,0)</f>
        <v>0</v>
      </c>
      <c r="CP72" s="20" t="n">
        <f aca="false">IF(ALP71&gt;0,(ALP71-APC71)/ALP71,0)</f>
        <v>0</v>
      </c>
      <c r="CQ72" s="20" t="n">
        <f aca="false">IF(ALQ71&gt;0,(ALQ71-APD71)/ALQ71,0)</f>
        <v>0</v>
      </c>
      <c r="CR72" s="20" t="n">
        <f aca="false">IF(ALR71&gt;0,(ALR71-APE71)/ALR71,0)</f>
        <v>0</v>
      </c>
      <c r="CS72" s="20" t="n">
        <f aca="false">IF(ALS71&gt;0,(ALS71-APF71)/ALS71,0)</f>
        <v>0</v>
      </c>
      <c r="CT72" s="20" t="n">
        <f aca="false">IF(ALT71&gt;0,(ALT71-APG71)/ALT71,0)</f>
        <v>0</v>
      </c>
      <c r="CU72" s="20" t="n">
        <f aca="false">IF(ALU71&gt;0,(ALU71-APH71)/ALU71,0)</f>
        <v>0</v>
      </c>
      <c r="CV72" s="20" t="n">
        <f aca="false">IF(ALV71&gt;0,(ALV71-API71)/ALV71,0)</f>
        <v>0</v>
      </c>
      <c r="CW72" s="20" t="n">
        <f aca="false">IF(ALW71&gt;0,(ALW71-APJ71)/ALW71,0)</f>
        <v>0</v>
      </c>
      <c r="CX72" s="20" t="n">
        <f aca="false">IF(ALX71&gt;0,(ALX71-APK71)/ALX71,0)</f>
        <v>0</v>
      </c>
      <c r="CY72" s="20" t="n">
        <f aca="false">IF(ALY71&gt;0,(ALY71-APL71)/ALY71,0)</f>
        <v>0</v>
      </c>
      <c r="CZ72" s="20" t="n">
        <f aca="false">IF(ALZ71&gt;0,(ALZ71-APM71)/ALZ71,0)</f>
        <v>0</v>
      </c>
      <c r="DA72" s="20" t="n">
        <f aca="false">IF(AMA71&gt;0,(AMA71-APN71)/AMA71,0)</f>
        <v>0</v>
      </c>
      <c r="DB72" s="20" t="n">
        <f aca="false">IF(AMB71&gt;0,(AMB71-APO71)/AMB71,0)</f>
        <v>0</v>
      </c>
      <c r="DC72" s="20" t="n">
        <f aca="false">IF(AMC71&gt;0,(AMC71-APP71)/AMC71,0)</f>
        <v>0</v>
      </c>
      <c r="DD72" s="20" t="n">
        <f aca="false">IF(AMD71&gt;0,(AMD71-APQ71)/AMD71,0)</f>
        <v>0</v>
      </c>
      <c r="DE72" s="20" t="n">
        <f aca="false">IF(AME71&gt;0,(AME71-APR71)/AME71,0)</f>
        <v>0</v>
      </c>
      <c r="DF72" s="20" t="n">
        <f aca="false">IF(AMF71&gt;0,(AMF71-APS71)/AMF71,0)</f>
        <v>0</v>
      </c>
      <c r="DG72" s="20" t="n">
        <f aca="false">IF(AMG71&gt;0,(AMG71-APT71)/AMG71,0)</f>
        <v>0</v>
      </c>
      <c r="DH72" s="20" t="n">
        <f aca="false">IF(AMH71&gt;0,(AMH71-APU71)/AMH71,0)</f>
        <v>0</v>
      </c>
      <c r="DI72" s="20" t="n">
        <f aca="false">IF(AMI71&gt;0,(AMI71-APV71)/AMI71,0)</f>
        <v>0</v>
      </c>
      <c r="DJ72" s="20" t="n">
        <f aca="false">IF(AMJ71&gt;0,(AMJ71-APW71)/AMJ71,0)</f>
        <v>0</v>
      </c>
      <c r="DK72" s="20" t="n">
        <f aca="false">IF(AMK71&gt;0,(AMK71-APX71)/AMK71,0)</f>
        <v>0</v>
      </c>
      <c r="DL72" s="20" t="n">
        <f aca="false">IF(AML71&gt;0,(AML71-APY71)/AML71,0)</f>
        <v>0</v>
      </c>
      <c r="DM72" s="20" t="n">
        <f aca="false">IF(AMM71&gt;0,(AMM71-APZ71)/AMM71,0)</f>
        <v>0</v>
      </c>
      <c r="DN72" s="20" t="n">
        <f aca="false">IF(AMN71&gt;0,(AMN71-AQA71)/AMN71,0)</f>
        <v>0</v>
      </c>
      <c r="DO72" s="20" t="n">
        <f aca="false">IF(AMO71&gt;0,(AMO71-AQB71)/AMO71,0)</f>
        <v>0</v>
      </c>
      <c r="DP72" s="20" t="n">
        <f aca="false">IF(AMP71&gt;0,(AMP71-AQC71)/AMP71,0)</f>
        <v>0</v>
      </c>
      <c r="DQ72" s="20" t="n">
        <f aca="false">IF(AMQ71&gt;0,(AMQ71-AQD71)/AMQ71,0)</f>
        <v>0</v>
      </c>
      <c r="DR72" s="20" t="n">
        <f aca="false">IF(AMR71&gt;0,(AMR71-AQE71)/AMR71,0)</f>
        <v>0</v>
      </c>
      <c r="DS72" s="20" t="n">
        <f aca="false">IF(AMS71&gt;0,(AMS71-AQF71)/AMS71,0)</f>
        <v>0</v>
      </c>
      <c r="DT72" s="20" t="n">
        <f aca="false">IF(AMT71&gt;0,(AMT71-AQG71)/AMT71,0)</f>
        <v>0</v>
      </c>
      <c r="DU72" s="20" t="n">
        <f aca="false">IF(AMU71&gt;0,(AMU71-AQH71)/AMU71,0)</f>
        <v>0</v>
      </c>
      <c r="DV72" s="20" t="n">
        <f aca="false">IF(AMV71&gt;0,(AMV71-AQI71)/AMV71,0)</f>
        <v>0</v>
      </c>
      <c r="DW72" s="20" t="n">
        <f aca="false">IF(AMW71&gt;0,(AMW71-AQJ71)/AMW71,0)</f>
        <v>0</v>
      </c>
      <c r="DX72" s="20" t="n">
        <f aca="false">IF(AMX71&gt;0,(AMX71-AQK71)/AMX71,0)</f>
        <v>0</v>
      </c>
      <c r="DY72" s="20" t="n">
        <f aca="false">IF(AMY71&gt;0,(AMY71-AQL71)/AMY71,0)</f>
        <v>0</v>
      </c>
      <c r="DZ72" s="20" t="n">
        <f aca="false">IF(AMZ71&gt;0,(AMZ71-AQM71)/AMZ71,0)</f>
        <v>0</v>
      </c>
      <c r="EA72" s="20" t="n">
        <f aca="false">IF(ANA71&gt;0,(ANA71-AQN71)/ANA71,0)</f>
        <v>0</v>
      </c>
      <c r="EB72" s="20" t="n">
        <f aca="false">IF(ANB71&gt;0,(ANB71-AQO71)/ANB71,0)</f>
        <v>0</v>
      </c>
      <c r="EC72" s="20" t="n">
        <f aca="false">IF(ANC71&gt;0,(ANC71-AQP71)/ANC71,0)</f>
        <v>0</v>
      </c>
      <c r="ED72" s="20" t="n">
        <f aca="false">IF(AND71&gt;0,(AND71-AQQ71)/AND71,0)</f>
        <v>0</v>
      </c>
      <c r="EE72" s="20" t="n">
        <f aca="false">IF((P72+S72)&gt;0,((P72+S72)-(P72+S72))/(P72+S72),0)</f>
        <v>0</v>
      </c>
      <c r="EF72" s="20" t="n">
        <v>0</v>
      </c>
      <c r="EG72" s="20" t="n">
        <v>0</v>
      </c>
      <c r="EH72" s="20" t="n">
        <v>0</v>
      </c>
      <c r="EI72" s="20" t="n">
        <v>0</v>
      </c>
      <c r="EJ72" s="20" t="n">
        <v>0</v>
      </c>
      <c r="EK72" s="20" t="n">
        <v>0</v>
      </c>
      <c r="EL72" s="20" t="n">
        <v>0</v>
      </c>
      <c r="EM72" s="20" t="n">
        <v>0</v>
      </c>
      <c r="EN72" s="20" t="n">
        <v>0</v>
      </c>
      <c r="EO72" s="20" t="n">
        <v>0</v>
      </c>
      <c r="EP72" s="20" t="n">
        <v>0</v>
      </c>
      <c r="EQ72" s="20" t="n">
        <v>0</v>
      </c>
      <c r="ER72" s="20" t="n">
        <v>0</v>
      </c>
      <c r="ES72" s="20" t="n">
        <v>0</v>
      </c>
      <c r="ET72" s="20" t="n">
        <v>0</v>
      </c>
      <c r="EU72" s="20" t="n">
        <v>0</v>
      </c>
      <c r="EV72" s="20" t="n">
        <v>0</v>
      </c>
      <c r="EW72" s="20" t="n">
        <v>0</v>
      </c>
      <c r="EX72" s="20" t="n">
        <v>0</v>
      </c>
      <c r="EY72" s="20" t="n">
        <v>0</v>
      </c>
      <c r="EZ72" s="20" t="n">
        <v>0</v>
      </c>
      <c r="FA72" s="20" t="n">
        <v>0</v>
      </c>
      <c r="FB72" s="20" t="n">
        <v>0</v>
      </c>
      <c r="FC72" s="20" t="n">
        <v>0</v>
      </c>
      <c r="FD72" s="20" t="n">
        <v>0</v>
      </c>
      <c r="FE72" s="20" t="n">
        <f aca="false">IF(H_Direct=1,IF(AKR71&lt;=0,0,IF(BR72&lt;=0,AKR71,AKR71-G72*MAX(0,BR72*AKR71-(H72+I72)))),AKR71*(1-MAX(0,BR72)*H_Exit))</f>
        <v>0</v>
      </c>
      <c r="FF72" s="20" t="n">
        <f aca="false">IF(H_Direct=1,IF(AKS71&lt;=0,0,IF(BS72&lt;=0,AKS71,AKS71-G72*MAX(0,BS72*AKS71-(IR72+ME72)))),AKS71*(1-MAX(0,BS72)*H_Exit))</f>
        <v>0</v>
      </c>
      <c r="FG72" s="20" t="n">
        <f aca="false">IF(H_Direct=1,IF(AKT71&lt;=0,0,IF(BT72&lt;=0,AKT71,AKT71-G72*MAX(0,BT72*AKT71-(IS72+MF72)))),AKT71*(1-MAX(0,BT72)*H_Exit))</f>
        <v>0</v>
      </c>
      <c r="FH72" s="20" t="n">
        <f aca="false">IF(H_Direct=1,IF(AKU71&lt;=0,0,IF(BU72&lt;=0,AKU71,AKU71-G72*MAX(0,BU72*AKU71-(IT72+MG72)))),AKU71*(1-MAX(0,BU72)*H_Exit))</f>
        <v>0</v>
      </c>
      <c r="FI72" s="20" t="n">
        <f aca="false">IF(H_Direct=1,IF(AKV71&lt;=0,0,IF(BV72&lt;=0,AKV71,AKV71-G72*MAX(0,BV72*AKV71-(IU72+MH72)))),AKV71*(1-MAX(0,BV72)*H_Exit))</f>
        <v>0</v>
      </c>
      <c r="FJ72" s="20" t="n">
        <f aca="false">IF(H_Direct=1,IF(AKW71&lt;=0,0,IF(BW72&lt;=0,AKW71,AKW71-G72*MAX(0,BW72*AKW71-(IV72+MI72)))),AKW71*(1-MAX(0,BW72)*H_Exit))</f>
        <v>0</v>
      </c>
      <c r="FK72" s="20" t="n">
        <f aca="false">IF(H_Direct=1,IF(AKX71&lt;=0,0,IF(BX72&lt;=0,AKX71,AKX71-G72*MAX(0,BX72*AKX71-(IW72+MJ72)))),AKX71*(1-MAX(0,BX72)*H_Exit))</f>
        <v>0</v>
      </c>
      <c r="FL72" s="20" t="n">
        <f aca="false">IF(H_Direct=1,IF(AKY71&lt;=0,0,IF(BY72&lt;=0,AKY71,AKY71-G72*MAX(0,BY72*AKY71-(IX72+MK72)))),AKY71*(1-MAX(0,BY72)*H_Exit))</f>
        <v>0</v>
      </c>
      <c r="FM72" s="20" t="n">
        <f aca="false">IF(H_Direct=1,IF(AKZ71&lt;=0,0,IF(BZ72&lt;=0,AKZ71,AKZ71-G72*MAX(0,BZ72*AKZ71-(IY72+ML72)))),AKZ71*(1-MAX(0,BZ72)*H_Exit))</f>
        <v>0</v>
      </c>
      <c r="FN72" s="20" t="n">
        <f aca="false">IF(H_Direct=1,IF(ALA71&lt;=0,0,IF(CA72&lt;=0,ALA71,ALA71-G72*MAX(0,CA72*ALA71-(IZ72+MM72)))),ALA71*(1-MAX(0,CA72)*H_Exit))</f>
        <v>0</v>
      </c>
      <c r="FO72" s="20" t="n">
        <f aca="false">IF(H_Direct=1,IF(ALB71&lt;=0,0,IF(CB72&lt;=0,ALB71,ALB71-G72*MAX(0,CB72*ALB71-(JA72+MN72)))),ALB71*(1-MAX(0,CB72)*H_Exit))</f>
        <v>0</v>
      </c>
      <c r="FP72" s="20" t="n">
        <f aca="false">IF(H_Direct=1,IF(ALC71&lt;=0,0,IF(CC72&lt;=0,ALC71,ALC71-G72*MAX(0,CC72*ALC71-(JB72+MO72)))),ALC71*(1-MAX(0,CC72)*H_Exit))</f>
        <v>0</v>
      </c>
      <c r="FQ72" s="20" t="n">
        <f aca="false">IF(H_Direct=1,IF(ALD71&lt;=0,0,IF(CD72&lt;=0,ALD71,ALD71-G72*MAX(0,CD72*ALD71-(JC72+MP72)))),ALD71*(1-MAX(0,CD72)*H_Exit))</f>
        <v>0</v>
      </c>
      <c r="FR72" s="20" t="n">
        <f aca="false">IF(H_Direct=1,IF(ALE71&lt;=0,0,IF(CE72&lt;=0,ALE71,ALE71-G72*MAX(0,CE72*ALE71-(JD72+MQ72)))),ALE71*(1-MAX(0,CE72)*H_Exit))</f>
        <v>0</v>
      </c>
      <c r="FS72" s="20" t="n">
        <f aca="false">IF(H_Direct=1,IF(ALF71&lt;=0,0,IF(CF72&lt;=0,ALF71,ALF71-G72*MAX(0,CF72*ALF71-(JE72+MR72)))),ALF71*(1-MAX(0,CF72)*H_Exit))</f>
        <v>0</v>
      </c>
      <c r="FT72" s="20" t="n">
        <f aca="false">IF(H_Direct=1,IF(ALG71&lt;=0,0,IF(CG72&lt;=0,ALG71,ALG71-G72*MAX(0,CG72*ALG71-(JF72+MS72)))),ALG71*(1-MAX(0,CG72)*H_Exit))</f>
        <v>0</v>
      </c>
      <c r="FU72" s="20" t="n">
        <f aca="false">IF(H_Direct=1,IF(ALH71&lt;=0,0,IF(CH72&lt;=0,ALH71,ALH71-G72*MAX(0,CH72*ALH71-(JG72+MT72)))),ALH71*(1-MAX(0,CH72)*H_Exit))</f>
        <v>0</v>
      </c>
      <c r="FV72" s="20" t="n">
        <f aca="false">IF(H_Direct=1,IF(ALI71&lt;=0,0,IF(CI72&lt;=0,ALI71,ALI71-G72*MAX(0,CI72*ALI71-(JH72+MU72)))),ALI71*(1-MAX(0,CI72)*H_Exit))</f>
        <v>0</v>
      </c>
      <c r="FW72" s="20" t="n">
        <f aca="false">IF(H_Direct=1,IF(ALJ71&lt;=0,0,IF(CJ72&lt;=0,ALJ71,ALJ71-G72*MAX(0,CJ72*ALJ71-(JI72+MV72)))),ALJ71*(1-MAX(0,CJ72)*H_Exit))</f>
        <v>0</v>
      </c>
      <c r="FX72" s="20" t="n">
        <f aca="false">IF(H_Direct=1,IF(ALK71&lt;=0,0,IF(CK72&lt;=0,ALK71,ALK71-G72*MAX(0,CK72*ALK71-(JJ72+MW72)))),ALK71*(1-MAX(0,CK72)*H_Exit))</f>
        <v>0</v>
      </c>
      <c r="FY72" s="20" t="n">
        <f aca="false">IF(H_Direct=1,IF(ALL71&lt;=0,0,IF(CL72&lt;=0,ALL71,ALL71-G72*MAX(0,CL72*ALL71-(JK72+MX72)))),ALL71*(1-MAX(0,CL72)*H_Exit))</f>
        <v>0</v>
      </c>
      <c r="FZ72" s="20" t="n">
        <f aca="false">IF(H_Direct=1,IF(ALM71&lt;=0,0,IF(CM72&lt;=0,ALM71,ALM71-G72*MAX(0,CM72*ALM71-(JL72+MY72)))),ALM71*(1-MAX(0,CM72)*H_Exit))</f>
        <v>0</v>
      </c>
      <c r="GA72" s="20" t="n">
        <f aca="false">IF(H_Direct=1,IF(ALN71&lt;=0,0,IF(CN72&lt;=0,ALN71,ALN71-G72*MAX(0,CN72*ALN71-(JM72+MZ72)))),ALN71*(1-MAX(0,CN72)*H_Exit))</f>
        <v>0</v>
      </c>
      <c r="GB72" s="20" t="n">
        <f aca="false">IF(H_Direct=1,IF(ALO71&lt;=0,0,IF(CO72&lt;=0,ALO71,ALO71-G72*MAX(0,CO72*ALO71-(JN72+NA72)))),ALO71*(1-MAX(0,CO72)*H_Exit))</f>
        <v>0</v>
      </c>
      <c r="GC72" s="20" t="n">
        <f aca="false">IF(H_Direct=1,IF(ALP71&lt;=0,0,IF(CP72&lt;=0,ALP71,ALP71-G72*MAX(0,CP72*ALP71-(JO72+NB72)))),ALP71*(1-MAX(0,CP72)*H_Exit))</f>
        <v>0</v>
      </c>
      <c r="GD72" s="20" t="n">
        <f aca="false">IF(H_Direct=1,IF(ALQ71&lt;=0,0,IF(CQ72&lt;=0,ALQ71,ALQ71-G72*MAX(0,CQ72*ALQ71-(JP72+NC72)))),ALQ71*(1-MAX(0,CQ72)*H_Exit))</f>
        <v>0</v>
      </c>
      <c r="GE72" s="20" t="n">
        <f aca="false">IF(H_Direct=1,IF(ALR71&lt;=0,0,IF(CR72&lt;=0,ALR71,ALR71-G72*MAX(0,CR72*ALR71-(JQ72+ND72)))),ALR71*(1-MAX(0,CR72)*H_Exit))</f>
        <v>0</v>
      </c>
      <c r="GF72" s="20" t="n">
        <f aca="false">IF(H_Direct=1,IF(ALS71&lt;=0,0,IF(CS72&lt;=0,ALS71,ALS71-G72*MAX(0,CS72*ALS71-(JR72+NE72)))),ALS71*(1-MAX(0,CS72)*H_Exit))</f>
        <v>0</v>
      </c>
      <c r="GG72" s="20" t="n">
        <f aca="false">IF(H_Direct=1,IF(ALT71&lt;=0,0,IF(CT72&lt;=0,ALT71,ALT71-G72*MAX(0,CT72*ALT71-(JS72+NF72)))),ALT71*(1-MAX(0,CT72)*H_Exit))</f>
        <v>0</v>
      </c>
      <c r="GH72" s="20" t="n">
        <f aca="false">IF(H_Direct=1,IF(ALU71&lt;=0,0,IF(CU72&lt;=0,ALU71,ALU71-G72*MAX(0,CU72*ALU71-(JT72+NG72)))),ALU71*(1-MAX(0,CU72)*H_Exit))</f>
        <v>0</v>
      </c>
      <c r="GI72" s="20" t="n">
        <f aca="false">IF(H_Direct=1,IF(ALV71&lt;=0,0,IF(CV72&lt;=0,ALV71,ALV71-G72*MAX(0,CV72*ALV71-(JU72+NH72)))),ALV71*(1-MAX(0,CV72)*H_Exit))</f>
        <v>0</v>
      </c>
      <c r="GJ72" s="20" t="n">
        <f aca="false">IF(H_Direct=1,IF(ALW71&lt;=0,0,IF(CW72&lt;=0,ALW71,ALW71-G72*MAX(0,CW72*ALW71-(JV72+NI72)))),ALW71*(1-MAX(0,CW72)*H_Exit))</f>
        <v>0</v>
      </c>
      <c r="GK72" s="20" t="n">
        <f aca="false">IF(H_Direct=1,IF(ALX71&lt;=0,0,IF(CX72&lt;=0,ALX71,ALX71-G72*MAX(0,CX72*ALX71-(JW72+NJ72)))),ALX71*(1-MAX(0,CX72)*H_Exit))</f>
        <v>0</v>
      </c>
      <c r="GL72" s="20" t="n">
        <f aca="false">IF(H_Direct=1,IF(ALY71&lt;=0,0,IF(CY72&lt;=0,ALY71,ALY71-G72*MAX(0,CY72*ALY71-(JX72+NK72)))),ALY71*(1-MAX(0,CY72)*H_Exit))</f>
        <v>0</v>
      </c>
      <c r="GM72" s="20" t="n">
        <f aca="false">IF(H_Direct=1,IF(ALZ71&lt;=0,0,IF(CZ72&lt;=0,ALZ71,ALZ71-G72*MAX(0,CZ72*ALZ71-(JY72+NL72)))),ALZ71*(1-MAX(0,CZ72)*H_Exit))</f>
        <v>0</v>
      </c>
      <c r="GN72" s="20" t="n">
        <f aca="false">IF(H_Direct=1,IF(AMA71&lt;=0,0,IF(DA72&lt;=0,AMA71,AMA71-G72*MAX(0,DA72*AMA71-(JZ72+NM72)))),AMA71*(1-MAX(0,DA72)*H_Exit))</f>
        <v>0</v>
      </c>
      <c r="GO72" s="20" t="n">
        <f aca="false">IF(H_Direct=1,IF(AMB71&lt;=0,0,IF(DB72&lt;=0,AMB71,AMB71-G72*MAX(0,DB72*AMB71-(KA72+NN72)))),AMB71*(1-MAX(0,DB72)*H_Exit))</f>
        <v>0</v>
      </c>
      <c r="GP72" s="20" t="n">
        <f aca="false">IF(H_Direct=1,IF(AMC71&lt;=0,0,IF(DC72&lt;=0,AMC71,AMC71-G72*MAX(0,DC72*AMC71-(KB72+NO72)))),AMC71*(1-MAX(0,DC72)*H_Exit))</f>
        <v>0</v>
      </c>
      <c r="GQ72" s="20" t="n">
        <f aca="false">IF(H_Direct=1,IF(AMD71&lt;=0,0,IF(DD72&lt;=0,AMD71,AMD71-G72*MAX(0,DD72*AMD71-(KC72+NP72)))),AMD71*(1-MAX(0,DD72)*H_Exit))</f>
        <v>0</v>
      </c>
      <c r="GR72" s="20" t="n">
        <f aca="false">IF(H_Direct=1,IF(AME71&lt;=0,0,IF(DE72&lt;=0,AME71,AME71-G72*MAX(0,DE72*AME71-(KD72+NQ72)))),AME71*(1-MAX(0,DE72)*H_Exit))</f>
        <v>0</v>
      </c>
      <c r="GS72" s="20" t="n">
        <f aca="false">IF(H_Direct=1,IF(AMF71&lt;=0,0,IF(DF72&lt;=0,AMF71,AMF71-G72*MAX(0,DF72*AMF71-(KE72+NR72)))),AMF71*(1-MAX(0,DF72)*H_Exit))</f>
        <v>0</v>
      </c>
      <c r="GT72" s="20" t="n">
        <f aca="false">IF(H_Direct=1,IF(AMG71&lt;=0,0,IF(DG72&lt;=0,AMG71,AMG71-G72*MAX(0,DG72*AMG71-(KF72+NS72)))),AMG71*(1-MAX(0,DG72)*H_Exit))</f>
        <v>0</v>
      </c>
      <c r="GU72" s="20" t="n">
        <f aca="false">IF(H_Direct=1,IF(AMH71&lt;=0,0,IF(DH72&lt;=0,AMH71,AMH71-G72*MAX(0,DH72*AMH71-(KG72+NT72)))),AMH71*(1-MAX(0,DH72)*H_Exit))</f>
        <v>0</v>
      </c>
      <c r="GV72" s="20" t="n">
        <f aca="false">IF(H_Direct=1,IF(AMI71&lt;=0,0,IF(DI72&lt;=0,AMI71,AMI71-G72*MAX(0,DI72*AMI71-(KH72+NU72)))),AMI71*(1-MAX(0,DI72)*H_Exit))</f>
        <v>0</v>
      </c>
      <c r="GW72" s="20" t="n">
        <f aca="false">IF(H_Direct=1,IF(AMJ71&lt;=0,0,IF(DJ72&lt;=0,AMJ71,AMJ71-G72*MAX(0,DJ72*AMJ71-(KI72+NV72)))),AMJ71*(1-MAX(0,DJ72)*H_Exit))</f>
        <v>0</v>
      </c>
      <c r="GX72" s="20" t="n">
        <f aca="false">IF(H_Direct=1,IF(AMK71&lt;=0,0,IF(DK72&lt;=0,AMK71,AMK71-G72*MAX(0,DK72*AMK71-(KJ72+NW72)))),AMK71*(1-MAX(0,DK72)*H_Exit))</f>
        <v>0</v>
      </c>
      <c r="GY72" s="20" t="n">
        <f aca="false">IF(H_Direct=1,IF(AML71&lt;=0,0,IF(DL72&lt;=0,AML71,AML71-G72*MAX(0,DL72*AML71-(KK72+NX72)))),AML71*(1-MAX(0,DL72)*H_Exit))</f>
        <v>0</v>
      </c>
      <c r="GZ72" s="20" t="n">
        <f aca="false">IF(H_Direct=1,IF(AMM71&lt;=0,0,IF(DM72&lt;=0,AMM71,AMM71-G72*MAX(0,DM72*AMM71-(KL72+NY72)))),AMM71*(1-MAX(0,DM72)*H_Exit))</f>
        <v>0</v>
      </c>
      <c r="HA72" s="20" t="n">
        <f aca="false">IF(H_Direct=1,IF(AMN71&lt;=0,0,IF(DN72&lt;=0,AMN71,AMN71-G72*MAX(0,DN72*AMN71-(KM72+NZ72)))),AMN71*(1-MAX(0,DN72)*H_Exit))</f>
        <v>0</v>
      </c>
      <c r="HB72" s="20" t="n">
        <f aca="false">IF(H_Direct=1,IF(AMO71&lt;=0,0,IF(DO72&lt;=0,AMO71,AMO71-G72*MAX(0,DO72*AMO71-(KN72+OA72)))),AMO71*(1-MAX(0,DO72)*H_Exit))</f>
        <v>0</v>
      </c>
      <c r="HC72" s="20" t="n">
        <f aca="false">IF(H_Direct=1,IF(AMP71&lt;=0,0,IF(DP72&lt;=0,AMP71,AMP71-G72*MAX(0,DP72*AMP71-(KO72+OB72)))),AMP71*(1-MAX(0,DP72)*H_Exit))</f>
        <v>0</v>
      </c>
      <c r="HD72" s="20" t="n">
        <f aca="false">IF(H_Direct=1,IF(AMQ71&lt;=0,0,IF(DQ72&lt;=0,AMQ71,AMQ71-G72*MAX(0,DQ72*AMQ71-(KP72+OC72)))),AMQ71*(1-MAX(0,DQ72)*H_Exit))</f>
        <v>0</v>
      </c>
      <c r="HE72" s="20" t="n">
        <f aca="false">IF(H_Direct=1,IF(AMR71&lt;=0,0,IF(DR72&lt;=0,AMR71,AMR71-G72*MAX(0,DR72*AMR71-(KQ72+OD72)))),AMR71*(1-MAX(0,DR72)*H_Exit))</f>
        <v>0</v>
      </c>
      <c r="HF72" s="20" t="n">
        <f aca="false">IF(H_Direct=1,IF(AMS71&lt;=0,0,IF(DS72&lt;=0,AMS71,AMS71-G72*MAX(0,DS72*AMS71-(KR72+OE72)))),AMS71*(1-MAX(0,DS72)*H_Exit))</f>
        <v>0</v>
      </c>
      <c r="HG72" s="20" t="n">
        <f aca="false">IF(H_Direct=1,IF(AMT71&lt;=0,0,IF(DT72&lt;=0,AMT71,AMT71-G72*MAX(0,DT72*AMT71-(KS72+OF72)))),AMT71*(1-MAX(0,DT72)*H_Exit))</f>
        <v>0</v>
      </c>
      <c r="HH72" s="20" t="n">
        <f aca="false">IF(H_Direct=1,IF(AMU71&lt;=0,0,IF(DU72&lt;=0,AMU71,AMU71-G72*MAX(0,DU72*AMU71-(KT72+OG72)))),AMU71*(1-MAX(0,DU72)*H_Exit))</f>
        <v>0</v>
      </c>
      <c r="HI72" s="20" t="n">
        <f aca="false">IF(H_Direct=1,IF(AMV71&lt;=0,0,IF(DV72&lt;=0,AMV71,AMV71-G72*MAX(0,DV72*AMV71-(KU72+OH72)))),AMV71*(1-MAX(0,DV72)*H_Exit))</f>
        <v>0</v>
      </c>
      <c r="HJ72" s="20" t="n">
        <f aca="false">IF(H_Direct=1,IF(AMW71&lt;=0,0,IF(DW72&lt;=0,AMW71,AMW71-G72*MAX(0,DW72*AMW71-(KV72+OI72)))),AMW71*(1-MAX(0,DW72)*H_Exit))</f>
        <v>0</v>
      </c>
      <c r="HK72" s="20" t="n">
        <f aca="false">IF(H_Direct=1,IF(AMX71&lt;=0,0,IF(DX72&lt;=0,AMX71,AMX71-G72*MAX(0,DX72*AMX71-(KW72+OJ72)))),AMX71*(1-MAX(0,DX72)*H_Exit))</f>
        <v>0</v>
      </c>
      <c r="HL72" s="20" t="n">
        <f aca="false">IF(H_Direct=1,IF(AMY71&lt;=0,0,IF(DY72&lt;=0,AMY71,AMY71-G72*MAX(0,DY72*AMY71-(KX72+OK72)))),AMY71*(1-MAX(0,DY72)*H_Exit))</f>
        <v>0</v>
      </c>
      <c r="HM72" s="20" t="n">
        <f aca="false">IF(H_Direct=1,IF(AMZ71&lt;=0,0,IF(DZ72&lt;=0,AMZ71,AMZ71-G72*MAX(0,DZ72*AMZ71-(KY72+OL72)))),AMZ71*(1-MAX(0,DZ72)*H_Exit))</f>
        <v>0</v>
      </c>
      <c r="HN72" s="20" t="n">
        <f aca="false">IF(H_Direct=1,IF(ANA71&lt;=0,0,IF(EA72&lt;=0,ANA71,ANA71-G72*MAX(0,EA72*ANA71-(KZ72+OM72)))),ANA71*(1-MAX(0,EA72)*H_Exit))</f>
        <v>0</v>
      </c>
      <c r="HO72" s="20" t="n">
        <f aca="false">IF(H_Direct=1,IF(ANB71&lt;=0,0,IF(EB72&lt;=0,ANB71,ANB71-G72*MAX(0,EB72*ANB71-(LA72+ON72)))),ANB71*(1-MAX(0,EB72)*H_Exit))</f>
        <v>0</v>
      </c>
      <c r="HP72" s="20" t="n">
        <f aca="false">IF(H_Direct=1,IF(ANC71&lt;=0,0,IF(EC72&lt;=0,ANC71,ANC71-G72*MAX(0,EC72*ANC71-(LB72+OO72)))),ANC71*(1-MAX(0,EC72)*H_Exit))</f>
        <v>0</v>
      </c>
      <c r="HQ72" s="20" t="n">
        <f aca="false">IF(H_Direct=1,IF(AND71&lt;=0,0,IF(ED72&lt;=0,AND71,AND71-G72*MAX(0,ED72*AND71-(LC72+OP72)))),AND71*(1-MAX(0,ED72)*H_Exit))</f>
        <v>0</v>
      </c>
      <c r="HR72" s="20" t="n">
        <f aca="false">IF(H_Direct=1,IF((P72+S72)&lt;=0,0,IF(EE72&lt;=0,(P72+S72),(P72+S72)-G72*MAX(0,EE72*(P72+S72)-(LD72+OQ72)))),(P72+S72)*(1-MAX(0,EE72)*H_Exit))</f>
        <v>0</v>
      </c>
      <c r="HS72" s="20" t="n">
        <v>0</v>
      </c>
      <c r="HT72" s="20" t="n">
        <v>0</v>
      </c>
      <c r="HU72" s="20" t="n">
        <v>0</v>
      </c>
      <c r="HV72" s="20" t="n">
        <v>0</v>
      </c>
      <c r="HW72" s="20" t="n">
        <v>0</v>
      </c>
      <c r="HX72" s="20" t="n">
        <v>0</v>
      </c>
      <c r="HY72" s="20" t="n">
        <v>0</v>
      </c>
      <c r="HZ72" s="20" t="n">
        <v>0</v>
      </c>
      <c r="IA72" s="20" t="n">
        <v>0</v>
      </c>
      <c r="IB72" s="20" t="n">
        <v>0</v>
      </c>
      <c r="IC72" s="20" t="n">
        <v>0</v>
      </c>
      <c r="ID72" s="20" t="n">
        <v>0</v>
      </c>
      <c r="IE72" s="20" t="n">
        <v>0</v>
      </c>
      <c r="IF72" s="20" t="n">
        <v>0</v>
      </c>
      <c r="IG72" s="20" t="n">
        <v>0</v>
      </c>
      <c r="IH72" s="20" t="n">
        <v>0</v>
      </c>
      <c r="II72" s="20" t="n">
        <v>0</v>
      </c>
      <c r="IJ72" s="20" t="n">
        <v>0</v>
      </c>
      <c r="IK72" s="20" t="n">
        <v>0</v>
      </c>
      <c r="IL72" s="20" t="n">
        <v>0</v>
      </c>
      <c r="IM72" s="20" t="n">
        <v>0</v>
      </c>
      <c r="IN72" s="20" t="n">
        <v>0</v>
      </c>
      <c r="IO72" s="20" t="n">
        <v>0</v>
      </c>
      <c r="IP72" s="20" t="n">
        <v>0</v>
      </c>
      <c r="IQ72" s="20" t="n">
        <v>0</v>
      </c>
      <c r="IR72" s="20" t="n">
        <f aca="false">IF(AND(H_Direct=1,BR72&gt;0),MAX(0,H72-(MIN(BR72*AKR71,H72+I72)-MIN(MIN(BR72*AKR71,H72+I72),I72))),H72)</f>
        <v>1270</v>
      </c>
      <c r="IS72" s="20" t="n">
        <f aca="false">IF(AND(H_Direct=1,BS72&gt;0),MAX(0,IR72-(MIN(BS72*AKS71,IR72+ME72)-MIN(MIN(BS72*AKS71,IR72+ME72),ME72))),IR72)</f>
        <v>1270</v>
      </c>
      <c r="IT72" s="20" t="n">
        <f aca="false">IF(AND(H_Direct=1,BT72&gt;0),MAX(0,IS72-(MIN(BT72*AKT71,IS72+MF72)-MIN(MIN(BT72*AKT71,IS72+MF72),MF72))),IS72)</f>
        <v>1270</v>
      </c>
      <c r="IU72" s="20" t="n">
        <f aca="false">IF(AND(H_Direct=1,BU72&gt;0),MAX(0,IT72-(MIN(BU72*AKU71,IT72+MG72)-MIN(MIN(BU72*AKU71,IT72+MG72),MG72))),IT72)</f>
        <v>1270</v>
      </c>
      <c r="IV72" s="20" t="n">
        <f aca="false">IF(AND(H_Direct=1,BV72&gt;0),MAX(0,IU72-(MIN(BV72*AKV71,IU72+MH72)-MIN(MIN(BV72*AKV71,IU72+MH72),MH72))),IU72)</f>
        <v>1270</v>
      </c>
      <c r="IW72" s="20" t="n">
        <f aca="false">IF(AND(H_Direct=1,BW72&gt;0),MAX(0,IV72-(MIN(BW72*AKW71,IV72+MI72)-MIN(MIN(BW72*AKW71,IV72+MI72),MI72))),IV72)</f>
        <v>1270</v>
      </c>
      <c r="IX72" s="20" t="n">
        <f aca="false">IF(AND(H_Direct=1,BX72&gt;0),MAX(0,IW72-(MIN(BX72*AKX71,IW72+MJ72)-MIN(MIN(BX72*AKX71,IW72+MJ72),MJ72))),IW72)</f>
        <v>1270</v>
      </c>
      <c r="IY72" s="20" t="n">
        <f aca="false">IF(AND(H_Direct=1,BY72&gt;0),MAX(0,IX72-(MIN(BY72*AKY71,IX72+MK72)-MIN(MIN(BY72*AKY71,IX72+MK72),MK72))),IX72)</f>
        <v>1270</v>
      </c>
      <c r="IZ72" s="20" t="n">
        <f aca="false">IF(AND(H_Direct=1,BZ72&gt;0),MAX(0,IY72-(MIN(BZ72*AKZ71,IY72+ML72)-MIN(MIN(BZ72*AKZ71,IY72+ML72),ML72))),IY72)</f>
        <v>1270</v>
      </c>
      <c r="JA72" s="20" t="n">
        <f aca="false">IF(AND(H_Direct=1,CA72&gt;0),MAX(0,IZ72-(MIN(CA72*ALA71,IZ72+MM72)-MIN(MIN(CA72*ALA71,IZ72+MM72),MM72))),IZ72)</f>
        <v>1270</v>
      </c>
      <c r="JB72" s="20" t="n">
        <f aca="false">IF(AND(H_Direct=1,CB72&gt;0),MAX(0,JA72-(MIN(CB72*ALB71,JA72+MN72)-MIN(MIN(CB72*ALB71,JA72+MN72),MN72))),JA72)</f>
        <v>1270</v>
      </c>
      <c r="JC72" s="20" t="n">
        <f aca="false">IF(AND(H_Direct=1,CC72&gt;0),MAX(0,JB72-(MIN(CC72*ALC71,JB72+MO72)-MIN(MIN(CC72*ALC71,JB72+MO72),MO72))),JB72)</f>
        <v>1270</v>
      </c>
      <c r="JD72" s="20" t="n">
        <f aca="false">IF(AND(H_Direct=1,CD72&gt;0),MAX(0,JC72-(MIN(CD72*ALD71,JC72+MP72)-MIN(MIN(CD72*ALD71,JC72+MP72),MP72))),JC72)</f>
        <v>1270</v>
      </c>
      <c r="JE72" s="20" t="n">
        <f aca="false">IF(AND(H_Direct=1,CE72&gt;0),MAX(0,JD72-(MIN(CE72*ALE71,JD72+MQ72)-MIN(MIN(CE72*ALE71,JD72+MQ72),MQ72))),JD72)</f>
        <v>1270</v>
      </c>
      <c r="JF72" s="20" t="n">
        <f aca="false">IF(AND(H_Direct=1,CF72&gt;0),MAX(0,JE72-(MIN(CF72*ALF71,JE72+MR72)-MIN(MIN(CF72*ALF71,JE72+MR72),MR72))),JE72)</f>
        <v>1270</v>
      </c>
      <c r="JG72" s="20" t="n">
        <f aca="false">IF(AND(H_Direct=1,CG72&gt;0),MAX(0,JF72-(MIN(CG72*ALG71,JF72+MS72)-MIN(MIN(CG72*ALG71,JF72+MS72),MS72))),JF72)</f>
        <v>1270</v>
      </c>
      <c r="JH72" s="20" t="n">
        <f aca="false">IF(AND(H_Direct=1,CH72&gt;0),MAX(0,JG72-(MIN(CH72*ALH71,JG72+MT72)-MIN(MIN(CH72*ALH71,JG72+MT72),MT72))),JG72)</f>
        <v>1270</v>
      </c>
      <c r="JI72" s="20" t="n">
        <f aca="false">IF(AND(H_Direct=1,CI72&gt;0),MAX(0,JH72-(MIN(CI72*ALI71,JH72+MU72)-MIN(MIN(CI72*ALI71,JH72+MU72),MU72))),JH72)</f>
        <v>1270</v>
      </c>
      <c r="JJ72" s="20" t="n">
        <f aca="false">IF(AND(H_Direct=1,CJ72&gt;0),MAX(0,JI72-(MIN(CJ72*ALJ71,JI72+MV72)-MIN(MIN(CJ72*ALJ71,JI72+MV72),MV72))),JI72)</f>
        <v>1270</v>
      </c>
      <c r="JK72" s="20" t="n">
        <f aca="false">IF(AND(H_Direct=1,CK72&gt;0),MAX(0,JJ72-(MIN(CK72*ALK71,JJ72+MW72)-MIN(MIN(CK72*ALK71,JJ72+MW72),MW72))),JJ72)</f>
        <v>1270</v>
      </c>
      <c r="JL72" s="20" t="n">
        <f aca="false">IF(AND(H_Direct=1,CL72&gt;0),MAX(0,JK72-(MIN(CL72*ALL71,JK72+MX72)-MIN(MIN(CL72*ALL71,JK72+MX72),MX72))),JK72)</f>
        <v>1270</v>
      </c>
      <c r="JM72" s="20" t="n">
        <f aca="false">IF(AND(H_Direct=1,CM72&gt;0),MAX(0,JL72-(MIN(CM72*ALM71,JL72+MY72)-MIN(MIN(CM72*ALM71,JL72+MY72),MY72))),JL72)</f>
        <v>1270</v>
      </c>
      <c r="JN72" s="20" t="n">
        <f aca="false">IF(AND(H_Direct=1,CN72&gt;0),MAX(0,JM72-(MIN(CN72*ALN71,JM72+MZ72)-MIN(MIN(CN72*ALN71,JM72+MZ72),MZ72))),JM72)</f>
        <v>1270</v>
      </c>
      <c r="JO72" s="20" t="n">
        <f aca="false">IF(AND(H_Direct=1,CO72&gt;0),MAX(0,JN72-(MIN(CO72*ALO71,JN72+NA72)-MIN(MIN(CO72*ALO71,JN72+NA72),NA72))),JN72)</f>
        <v>1270</v>
      </c>
      <c r="JP72" s="20" t="n">
        <f aca="false">IF(AND(H_Direct=1,CP72&gt;0),MAX(0,JO72-(MIN(CP72*ALP71,JO72+NB72)-MIN(MIN(CP72*ALP71,JO72+NB72),NB72))),JO72)</f>
        <v>1270</v>
      </c>
      <c r="JQ72" s="20" t="n">
        <f aca="false">IF(AND(H_Direct=1,CQ72&gt;0),MAX(0,JP72-(MIN(CQ72*ALQ71,JP72+NC72)-MIN(MIN(CQ72*ALQ71,JP72+NC72),NC72))),JP72)</f>
        <v>1270</v>
      </c>
      <c r="JR72" s="20" t="n">
        <f aca="false">IF(AND(H_Direct=1,CR72&gt;0),MAX(0,JQ72-(MIN(CR72*ALR71,JQ72+ND72)-MIN(MIN(CR72*ALR71,JQ72+ND72),ND72))),JQ72)</f>
        <v>1270</v>
      </c>
      <c r="JS72" s="20" t="n">
        <f aca="false">IF(AND(H_Direct=1,CS72&gt;0),MAX(0,JR72-(MIN(CS72*ALS71,JR72+NE72)-MIN(MIN(CS72*ALS71,JR72+NE72),NE72))),JR72)</f>
        <v>1270</v>
      </c>
      <c r="JT72" s="20" t="n">
        <f aca="false">IF(AND(H_Direct=1,CT72&gt;0),MAX(0,JS72-(MIN(CT72*ALT71,JS72+NF72)-MIN(MIN(CT72*ALT71,JS72+NF72),NF72))),JS72)</f>
        <v>1270</v>
      </c>
      <c r="JU72" s="20" t="n">
        <f aca="false">IF(AND(H_Direct=1,CU72&gt;0),MAX(0,JT72-(MIN(CU72*ALU71,JT72+NG72)-MIN(MIN(CU72*ALU71,JT72+NG72),NG72))),JT72)</f>
        <v>1270</v>
      </c>
      <c r="JV72" s="20" t="n">
        <f aca="false">IF(AND(H_Direct=1,CV72&gt;0),MAX(0,JU72-(MIN(CV72*ALV71,JU72+NH72)-MIN(MIN(CV72*ALV71,JU72+NH72),NH72))),JU72)</f>
        <v>1270</v>
      </c>
      <c r="JW72" s="20" t="n">
        <f aca="false">IF(AND(H_Direct=1,CW72&gt;0),MAX(0,JV72-(MIN(CW72*ALW71,JV72+NI72)-MIN(MIN(CW72*ALW71,JV72+NI72),NI72))),JV72)</f>
        <v>1270</v>
      </c>
      <c r="JX72" s="20" t="n">
        <f aca="false">IF(AND(H_Direct=1,CX72&gt;0),MAX(0,JW72-(MIN(CX72*ALX71,JW72+NJ72)-MIN(MIN(CX72*ALX71,JW72+NJ72),NJ72))),JW72)</f>
        <v>1270</v>
      </c>
      <c r="JY72" s="20" t="n">
        <f aca="false">IF(AND(H_Direct=1,CY72&gt;0),MAX(0,JX72-(MIN(CY72*ALY71,JX72+NK72)-MIN(MIN(CY72*ALY71,JX72+NK72),NK72))),JX72)</f>
        <v>1270</v>
      </c>
      <c r="JZ72" s="20" t="n">
        <f aca="false">IF(AND(H_Direct=1,CZ72&gt;0),MAX(0,JY72-(MIN(CZ72*ALZ71,JY72+NL72)-MIN(MIN(CZ72*ALZ71,JY72+NL72),NL72))),JY72)</f>
        <v>1270</v>
      </c>
      <c r="KA72" s="20" t="n">
        <f aca="false">IF(AND(H_Direct=1,DA72&gt;0),MAX(0,JZ72-(MIN(DA72*AMA71,JZ72+NM72)-MIN(MIN(DA72*AMA71,JZ72+NM72),NM72))),JZ72)</f>
        <v>1270</v>
      </c>
      <c r="KB72" s="20" t="n">
        <f aca="false">IF(AND(H_Direct=1,DB72&gt;0),MAX(0,KA72-(MIN(DB72*AMB71,KA72+NN72)-MIN(MIN(DB72*AMB71,KA72+NN72),NN72))),KA72)</f>
        <v>1270</v>
      </c>
      <c r="KC72" s="20" t="n">
        <f aca="false">IF(AND(H_Direct=1,DC72&gt;0),MAX(0,KB72-(MIN(DC72*AMC71,KB72+NO72)-MIN(MIN(DC72*AMC71,KB72+NO72),NO72))),KB72)</f>
        <v>1270</v>
      </c>
      <c r="KD72" s="20" t="n">
        <f aca="false">IF(AND(H_Direct=1,DD72&gt;0),MAX(0,KC72-(MIN(DD72*AMD71,KC72+NP72)-MIN(MIN(DD72*AMD71,KC72+NP72),NP72))),KC72)</f>
        <v>1270</v>
      </c>
      <c r="KE72" s="20" t="n">
        <f aca="false">IF(AND(H_Direct=1,DE72&gt;0),MAX(0,KD72-(MIN(DE72*AME71,KD72+NQ72)-MIN(MIN(DE72*AME71,KD72+NQ72),NQ72))),KD72)</f>
        <v>1270</v>
      </c>
      <c r="KF72" s="20" t="n">
        <f aca="false">IF(AND(H_Direct=1,DF72&gt;0),MAX(0,KE72-(MIN(DF72*AMF71,KE72+NR72)-MIN(MIN(DF72*AMF71,KE72+NR72),NR72))),KE72)</f>
        <v>1270</v>
      </c>
      <c r="KG72" s="20" t="n">
        <f aca="false">IF(AND(H_Direct=1,DG72&gt;0),MAX(0,KF72-(MIN(DG72*AMG71,KF72+NS72)-MIN(MIN(DG72*AMG71,KF72+NS72),NS72))),KF72)</f>
        <v>1270</v>
      </c>
      <c r="KH72" s="20" t="n">
        <f aca="false">IF(AND(H_Direct=1,DH72&gt;0),MAX(0,KG72-(MIN(DH72*AMH71,KG72+NT72)-MIN(MIN(DH72*AMH71,KG72+NT72),NT72))),KG72)</f>
        <v>1270</v>
      </c>
      <c r="KI72" s="20" t="n">
        <f aca="false">IF(AND(H_Direct=1,DI72&gt;0),MAX(0,KH72-(MIN(DI72*AMI71,KH72+NU72)-MIN(MIN(DI72*AMI71,KH72+NU72),NU72))),KH72)</f>
        <v>1270</v>
      </c>
      <c r="KJ72" s="20" t="n">
        <f aca="false">IF(AND(H_Direct=1,DJ72&gt;0),MAX(0,KI72-(MIN(DJ72*AMJ71,KI72+NV72)-MIN(MIN(DJ72*AMJ71,KI72+NV72),NV72))),KI72)</f>
        <v>1270</v>
      </c>
      <c r="KK72" s="20" t="n">
        <f aca="false">IF(AND(H_Direct=1,DK72&gt;0),MAX(0,KJ72-(MIN(DK72*AMK71,KJ72+NW72)-MIN(MIN(DK72*AMK71,KJ72+NW72),NW72))),KJ72)</f>
        <v>1270</v>
      </c>
      <c r="KL72" s="20" t="n">
        <f aca="false">IF(AND(H_Direct=1,DL72&gt;0),MAX(0,KK72-(MIN(DL72*AML71,KK72+NX72)-MIN(MIN(DL72*AML71,KK72+NX72),NX72))),KK72)</f>
        <v>1270</v>
      </c>
      <c r="KM72" s="20" t="n">
        <f aca="false">IF(AND(H_Direct=1,DM72&gt;0),MAX(0,KL72-(MIN(DM72*AMM71,KL72+NY72)-MIN(MIN(DM72*AMM71,KL72+NY72),NY72))),KL72)</f>
        <v>1270</v>
      </c>
      <c r="KN72" s="20" t="n">
        <f aca="false">IF(AND(H_Direct=1,DN72&gt;0),MAX(0,KM72-(MIN(DN72*AMN71,KM72+NZ72)-MIN(MIN(DN72*AMN71,KM72+NZ72),NZ72))),KM72)</f>
        <v>1270</v>
      </c>
      <c r="KO72" s="20" t="n">
        <f aca="false">IF(AND(H_Direct=1,DO72&gt;0),MAX(0,KN72-(MIN(DO72*AMO71,KN72+OA72)-MIN(MIN(DO72*AMO71,KN72+OA72),OA72))),KN72)</f>
        <v>1270</v>
      </c>
      <c r="KP72" s="20" t="n">
        <f aca="false">IF(AND(H_Direct=1,DP72&gt;0),MAX(0,KO72-(MIN(DP72*AMP71,KO72+OB72)-MIN(MIN(DP72*AMP71,KO72+OB72),OB72))),KO72)</f>
        <v>1270</v>
      </c>
      <c r="KQ72" s="20" t="n">
        <f aca="false">IF(AND(H_Direct=1,DQ72&gt;0),MAX(0,KP72-(MIN(DQ72*AMQ71,KP72+OC72)-MIN(MIN(DQ72*AMQ71,KP72+OC72),OC72))),KP72)</f>
        <v>1270</v>
      </c>
      <c r="KR72" s="20" t="n">
        <f aca="false">IF(AND(H_Direct=1,DR72&gt;0),MAX(0,KQ72-(MIN(DR72*AMR71,KQ72+OD72)-MIN(MIN(DR72*AMR71,KQ72+OD72),OD72))),KQ72)</f>
        <v>1270</v>
      </c>
      <c r="KS72" s="20" t="n">
        <f aca="false">IF(AND(H_Direct=1,DS72&gt;0),MAX(0,KR72-(MIN(DS72*AMS71,KR72+OE72)-MIN(MIN(DS72*AMS71,KR72+OE72),OE72))),KR72)</f>
        <v>1270</v>
      </c>
      <c r="KT72" s="20" t="n">
        <f aca="false">IF(AND(H_Direct=1,DT72&gt;0),MAX(0,KS72-(MIN(DT72*AMT71,KS72+OF72)-MIN(MIN(DT72*AMT71,KS72+OF72),OF72))),KS72)</f>
        <v>1270</v>
      </c>
      <c r="KU72" s="20" t="n">
        <f aca="false">IF(AND(H_Direct=1,DU72&gt;0),MAX(0,KT72-(MIN(DU72*AMU71,KT72+OG72)-MIN(MIN(DU72*AMU71,KT72+OG72),OG72))),KT72)</f>
        <v>1270</v>
      </c>
      <c r="KV72" s="20" t="n">
        <f aca="false">IF(AND(H_Direct=1,DV72&gt;0),MAX(0,KU72-(MIN(DV72*AMV71,KU72+OH72)-MIN(MIN(DV72*AMV71,KU72+OH72),OH72))),KU72)</f>
        <v>1270</v>
      </c>
      <c r="KW72" s="20" t="n">
        <f aca="false">IF(AND(H_Direct=1,DW72&gt;0),MAX(0,KV72-(MIN(DW72*AMW71,KV72+OI72)-MIN(MIN(DW72*AMW71,KV72+OI72),OI72))),KV72)</f>
        <v>1270</v>
      </c>
      <c r="KX72" s="20" t="n">
        <f aca="false">IF(AND(H_Direct=1,DX72&gt;0),MAX(0,KW72-(MIN(DX72*AMX71,KW72+OJ72)-MIN(MIN(DX72*AMX71,KW72+OJ72),OJ72))),KW72)</f>
        <v>1270</v>
      </c>
      <c r="KY72" s="20" t="n">
        <f aca="false">IF(AND(H_Direct=1,DY72&gt;0),MAX(0,KX72-(MIN(DY72*AMY71,KX72+OK72)-MIN(MIN(DY72*AMY71,KX72+OK72),OK72))),KX72)</f>
        <v>1270</v>
      </c>
      <c r="KZ72" s="20" t="n">
        <f aca="false">IF(AND(H_Direct=1,DZ72&gt;0),MAX(0,KY72-(MIN(DZ72*AMZ71,KY72+OL72)-MIN(MIN(DZ72*AMZ71,KY72+OL72),OL72))),KY72)</f>
        <v>1270</v>
      </c>
      <c r="LA72" s="20" t="n">
        <f aca="false">IF(AND(H_Direct=1,EA72&gt;0),MAX(0,KZ72-(MIN(EA72*ANA71,KZ72+OM72)-MIN(MIN(EA72*ANA71,KZ72+OM72),OM72))),KZ72)</f>
        <v>1270</v>
      </c>
      <c r="LB72" s="20" t="n">
        <f aca="false">IF(AND(H_Direct=1,EB72&gt;0),MAX(0,LA72-(MIN(EB72*ANB71,LA72+ON72)-MIN(MIN(EB72*ANB71,LA72+ON72),ON72))),LA72)</f>
        <v>1270</v>
      </c>
      <c r="LC72" s="20" t="n">
        <f aca="false">IF(AND(H_Direct=1,EC72&gt;0),MAX(0,LB72-(MIN(EC72*ANC71,LB72+OO72)-MIN(MIN(EC72*ANC71,LB72+OO72),OO72))),LB72)</f>
        <v>1270</v>
      </c>
      <c r="LD72" s="20" t="n">
        <f aca="false">IF(AND(H_Direct=1,ED72&gt;0),MAX(0,LC72-(MIN(ED72*AND71,LC72+OP72)-MIN(MIN(ED72*AND71,LC72+OP72),OP72))),LC72)</f>
        <v>1270</v>
      </c>
      <c r="LE72" s="20" t="n">
        <f aca="false">IF(AND(H_Direct=1,EE72&gt;0),MAX(0,LD72-(MIN(EE72*(P72+S72),LD72+OQ72)-MIN(MIN(EE72*(P72+S72),LD72+OQ72),OQ72))),LD72)</f>
        <v>1270</v>
      </c>
      <c r="LF72" s="20" t="n">
        <f aca="false">LE72</f>
        <v>1270</v>
      </c>
      <c r="LG72" s="20" t="n">
        <f aca="false">LF72</f>
        <v>1270</v>
      </c>
      <c r="LH72" s="20" t="n">
        <f aca="false">LG72</f>
        <v>1270</v>
      </c>
      <c r="LI72" s="20" t="n">
        <f aca="false">LH72</f>
        <v>1270</v>
      </c>
      <c r="LJ72" s="20" t="n">
        <f aca="false">LI72</f>
        <v>1270</v>
      </c>
      <c r="LK72" s="20" t="n">
        <f aca="false">LJ72</f>
        <v>1270</v>
      </c>
      <c r="LL72" s="20" t="n">
        <f aca="false">LK72</f>
        <v>1270</v>
      </c>
      <c r="LM72" s="20" t="n">
        <f aca="false">LL72</f>
        <v>1270</v>
      </c>
      <c r="LN72" s="20" t="n">
        <f aca="false">LM72</f>
        <v>1270</v>
      </c>
      <c r="LO72" s="20" t="n">
        <f aca="false">LN72</f>
        <v>1270</v>
      </c>
      <c r="LP72" s="20" t="n">
        <f aca="false">LO72</f>
        <v>1270</v>
      </c>
      <c r="LQ72" s="20" t="n">
        <f aca="false">LP72</f>
        <v>1270</v>
      </c>
      <c r="LR72" s="20" t="n">
        <f aca="false">LQ72</f>
        <v>1270</v>
      </c>
      <c r="LS72" s="20" t="n">
        <f aca="false">LR72</f>
        <v>1270</v>
      </c>
      <c r="LT72" s="20" t="n">
        <f aca="false">LS72</f>
        <v>1270</v>
      </c>
      <c r="LU72" s="20" t="n">
        <f aca="false">LT72</f>
        <v>1270</v>
      </c>
      <c r="LV72" s="20" t="n">
        <f aca="false">LU72</f>
        <v>1270</v>
      </c>
      <c r="LW72" s="20" t="n">
        <f aca="false">LV72</f>
        <v>1270</v>
      </c>
      <c r="LX72" s="20" t="n">
        <f aca="false">LW72</f>
        <v>1270</v>
      </c>
      <c r="LY72" s="20" t="n">
        <f aca="false">LX72</f>
        <v>1270</v>
      </c>
      <c r="LZ72" s="20" t="n">
        <f aca="false">LY72</f>
        <v>1270</v>
      </c>
      <c r="MA72" s="20" t="n">
        <f aca="false">LZ72</f>
        <v>1270</v>
      </c>
      <c r="MB72" s="20" t="n">
        <f aca="false">MA72</f>
        <v>1270</v>
      </c>
      <c r="MC72" s="20" t="n">
        <f aca="false">MB72</f>
        <v>1270</v>
      </c>
      <c r="MD72" s="20" t="n">
        <f aca="false">MC72</f>
        <v>1270</v>
      </c>
      <c r="ME72" s="20" t="n">
        <f aca="false">IF(H_Direct=1,IF(BR72&lt;=0,I72-BR72*AKR71,I72-MIN(MIN(BR72*AKR71,H72+I72),I72)),I72)</f>
        <v>0</v>
      </c>
      <c r="MF72" s="20" t="n">
        <f aca="false">IF(H_Direct=1,IF(BS72&lt;=0,ME72-BS72*AKS71,ME72-MIN(MIN(BS72*AKS71,IR72+ME72),ME72)),ME72)</f>
        <v>0</v>
      </c>
      <c r="MG72" s="20" t="n">
        <f aca="false">IF(H_Direct=1,IF(BT72&lt;=0,MF72-BT72*AKT71,MF72-MIN(MIN(BT72*AKT71,IS72+MF72),MF72)),MF72)</f>
        <v>0</v>
      </c>
      <c r="MH72" s="20" t="n">
        <f aca="false">IF(H_Direct=1,IF(BU72&lt;=0,MG72-BU72*AKU71,MG72-MIN(MIN(BU72*AKU71,IT72+MG72),MG72)),MG72)</f>
        <v>0</v>
      </c>
      <c r="MI72" s="20" t="n">
        <f aca="false">IF(H_Direct=1,IF(BV72&lt;=0,MH72-BV72*AKV71,MH72-MIN(MIN(BV72*AKV71,IU72+MH72),MH72)),MH72)</f>
        <v>0</v>
      </c>
      <c r="MJ72" s="20" t="n">
        <f aca="false">IF(H_Direct=1,IF(BW72&lt;=0,MI72-BW72*AKW71,MI72-MIN(MIN(BW72*AKW71,IV72+MI72),MI72)),MI72)</f>
        <v>0</v>
      </c>
      <c r="MK72" s="20" t="n">
        <f aca="false">IF(H_Direct=1,IF(BX72&lt;=0,MJ72-BX72*AKX71,MJ72-MIN(MIN(BX72*AKX71,IW72+MJ72),MJ72)),MJ72)</f>
        <v>0</v>
      </c>
      <c r="ML72" s="20" t="n">
        <f aca="false">IF(H_Direct=1,IF(BY72&lt;=0,MK72-BY72*AKY71,MK72-MIN(MIN(BY72*AKY71,IX72+MK72),MK72)),MK72)</f>
        <v>0</v>
      </c>
      <c r="MM72" s="20" t="n">
        <f aca="false">IF(H_Direct=1,IF(BZ72&lt;=0,ML72-BZ72*AKZ71,ML72-MIN(MIN(BZ72*AKZ71,IY72+ML72),ML72)),ML72)</f>
        <v>0</v>
      </c>
      <c r="MN72" s="20" t="n">
        <f aca="false">IF(H_Direct=1,IF(CA72&lt;=0,MM72-CA72*ALA71,MM72-MIN(MIN(CA72*ALA71,IZ72+MM72),MM72)),MM72)</f>
        <v>0</v>
      </c>
      <c r="MO72" s="20" t="n">
        <f aca="false">IF(H_Direct=1,IF(CB72&lt;=0,MN72-CB72*ALB71,MN72-MIN(MIN(CB72*ALB71,JA72+MN72),MN72)),MN72)</f>
        <v>0</v>
      </c>
      <c r="MP72" s="20" t="n">
        <f aca="false">IF(H_Direct=1,IF(CC72&lt;=0,MO72-CC72*ALC71,MO72-MIN(MIN(CC72*ALC71,JB72+MO72),MO72)),MO72)</f>
        <v>0</v>
      </c>
      <c r="MQ72" s="20" t="n">
        <f aca="false">IF(H_Direct=1,IF(CD72&lt;=0,MP72-CD72*ALD71,MP72-MIN(MIN(CD72*ALD71,JC72+MP72),MP72)),MP72)</f>
        <v>0</v>
      </c>
      <c r="MR72" s="20" t="n">
        <f aca="false">IF(H_Direct=1,IF(CE72&lt;=0,MQ72-CE72*ALE71,MQ72-MIN(MIN(CE72*ALE71,JD72+MQ72),MQ72)),MQ72)</f>
        <v>0</v>
      </c>
      <c r="MS72" s="20" t="n">
        <f aca="false">IF(H_Direct=1,IF(CF72&lt;=0,MR72-CF72*ALF71,MR72-MIN(MIN(CF72*ALF71,JE72+MR72),MR72)),MR72)</f>
        <v>0</v>
      </c>
      <c r="MT72" s="20" t="n">
        <f aca="false">IF(H_Direct=1,IF(CG72&lt;=0,MS72-CG72*ALG71,MS72-MIN(MIN(CG72*ALG71,JF72+MS72),MS72)),MS72)</f>
        <v>0</v>
      </c>
      <c r="MU72" s="20" t="n">
        <f aca="false">IF(H_Direct=1,IF(CH72&lt;=0,MT72-CH72*ALH71,MT72-MIN(MIN(CH72*ALH71,JG72+MT72),MT72)),MT72)</f>
        <v>0</v>
      </c>
      <c r="MV72" s="20" t="n">
        <f aca="false">IF(H_Direct=1,IF(CI72&lt;=0,MU72-CI72*ALI71,MU72-MIN(MIN(CI72*ALI71,JH72+MU72),MU72)),MU72)</f>
        <v>0</v>
      </c>
      <c r="MW72" s="20" t="n">
        <f aca="false">IF(H_Direct=1,IF(CJ72&lt;=0,MV72-CJ72*ALJ71,MV72-MIN(MIN(CJ72*ALJ71,JI72+MV72),MV72)),MV72)</f>
        <v>0</v>
      </c>
      <c r="MX72" s="20" t="n">
        <f aca="false">IF(H_Direct=1,IF(CK72&lt;=0,MW72-CK72*ALK71,MW72-MIN(MIN(CK72*ALK71,JJ72+MW72),MW72)),MW72)</f>
        <v>0</v>
      </c>
      <c r="MY72" s="20" t="n">
        <f aca="false">IF(H_Direct=1,IF(CL72&lt;=0,MX72-CL72*ALL71,MX72-MIN(MIN(CL72*ALL71,JK72+MX72),MX72)),MX72)</f>
        <v>0</v>
      </c>
      <c r="MZ72" s="20" t="n">
        <f aca="false">IF(H_Direct=1,IF(CM72&lt;=0,MY72-CM72*ALM71,MY72-MIN(MIN(CM72*ALM71,JL72+MY72),MY72)),MY72)</f>
        <v>0</v>
      </c>
      <c r="NA72" s="20" t="n">
        <f aca="false">IF(H_Direct=1,IF(CN72&lt;=0,MZ72-CN72*ALN71,MZ72-MIN(MIN(CN72*ALN71,JM72+MZ72),MZ72)),MZ72)</f>
        <v>0</v>
      </c>
      <c r="NB72" s="20" t="n">
        <f aca="false">IF(H_Direct=1,IF(CO72&lt;=0,NA72-CO72*ALO71,NA72-MIN(MIN(CO72*ALO71,JN72+NA72),NA72)),NA72)</f>
        <v>0</v>
      </c>
      <c r="NC72" s="20" t="n">
        <f aca="false">IF(H_Direct=1,IF(CP72&lt;=0,NB72-CP72*ALP71,NB72-MIN(MIN(CP72*ALP71,JO72+NB72),NB72)),NB72)</f>
        <v>0</v>
      </c>
      <c r="ND72" s="20" t="n">
        <f aca="false">IF(H_Direct=1,IF(CQ72&lt;=0,NC72-CQ72*ALQ71,NC72-MIN(MIN(CQ72*ALQ71,JP72+NC72),NC72)),NC72)</f>
        <v>0</v>
      </c>
      <c r="NE72" s="20" t="n">
        <f aca="false">IF(H_Direct=1,IF(CR72&lt;=0,ND72-CR72*ALR71,ND72-MIN(MIN(CR72*ALR71,JQ72+ND72),ND72)),ND72)</f>
        <v>0</v>
      </c>
      <c r="NF72" s="20" t="n">
        <f aca="false">IF(H_Direct=1,IF(CS72&lt;=0,NE72-CS72*ALS71,NE72-MIN(MIN(CS72*ALS71,JR72+NE72),NE72)),NE72)</f>
        <v>0</v>
      </c>
      <c r="NG72" s="20" t="n">
        <f aca="false">IF(H_Direct=1,IF(CT72&lt;=0,NF72-CT72*ALT71,NF72-MIN(MIN(CT72*ALT71,JS72+NF72),NF72)),NF72)</f>
        <v>0</v>
      </c>
      <c r="NH72" s="20" t="n">
        <f aca="false">IF(H_Direct=1,IF(CU72&lt;=0,NG72-CU72*ALU71,NG72-MIN(MIN(CU72*ALU71,JT72+NG72),NG72)),NG72)</f>
        <v>0</v>
      </c>
      <c r="NI72" s="20" t="n">
        <f aca="false">IF(H_Direct=1,IF(CV72&lt;=0,NH72-CV72*ALV71,NH72-MIN(MIN(CV72*ALV71,JU72+NH72),NH72)),NH72)</f>
        <v>0</v>
      </c>
      <c r="NJ72" s="20" t="n">
        <f aca="false">IF(H_Direct=1,IF(CW72&lt;=0,NI72-CW72*ALW71,NI72-MIN(MIN(CW72*ALW71,JV72+NI72),NI72)),NI72)</f>
        <v>0</v>
      </c>
      <c r="NK72" s="20" t="n">
        <f aca="false">IF(H_Direct=1,IF(CX72&lt;=0,NJ72-CX72*ALX71,NJ72-MIN(MIN(CX72*ALX71,JW72+NJ72),NJ72)),NJ72)</f>
        <v>0</v>
      </c>
      <c r="NL72" s="20" t="n">
        <f aca="false">IF(H_Direct=1,IF(CY72&lt;=0,NK72-CY72*ALY71,NK72-MIN(MIN(CY72*ALY71,JX72+NK72),NK72)),NK72)</f>
        <v>0</v>
      </c>
      <c r="NM72" s="20" t="n">
        <f aca="false">IF(H_Direct=1,IF(CZ72&lt;=0,NL72-CZ72*ALZ71,NL72-MIN(MIN(CZ72*ALZ71,JY72+NL72),NL72)),NL72)</f>
        <v>0</v>
      </c>
      <c r="NN72" s="20" t="n">
        <f aca="false">IF(H_Direct=1,IF(DA72&lt;=0,NM72-DA72*AMA71,NM72-MIN(MIN(DA72*AMA71,JZ72+NM72),NM72)),NM72)</f>
        <v>0</v>
      </c>
      <c r="NO72" s="20" t="n">
        <f aca="false">IF(H_Direct=1,IF(DB72&lt;=0,NN72-DB72*AMB71,NN72-MIN(MIN(DB72*AMB71,KA72+NN72),NN72)),NN72)</f>
        <v>0</v>
      </c>
      <c r="NP72" s="20" t="n">
        <f aca="false">IF(H_Direct=1,IF(DC72&lt;=0,NO72-DC72*AMC71,NO72-MIN(MIN(DC72*AMC71,KB72+NO72),NO72)),NO72)</f>
        <v>0</v>
      </c>
      <c r="NQ72" s="20" t="n">
        <f aca="false">IF(H_Direct=1,IF(DD72&lt;=0,NP72-DD72*AMD71,NP72-MIN(MIN(DD72*AMD71,KC72+NP72),NP72)),NP72)</f>
        <v>0</v>
      </c>
      <c r="NR72" s="20" t="n">
        <f aca="false">IF(H_Direct=1,IF(DE72&lt;=0,NQ72-DE72*AME71,NQ72-MIN(MIN(DE72*AME71,KD72+NQ72),NQ72)),NQ72)</f>
        <v>0</v>
      </c>
      <c r="NS72" s="20" t="n">
        <f aca="false">IF(H_Direct=1,IF(DF72&lt;=0,NR72-DF72*AMF71,NR72-MIN(MIN(DF72*AMF71,KE72+NR72),NR72)),NR72)</f>
        <v>0</v>
      </c>
      <c r="NT72" s="20" t="n">
        <f aca="false">IF(H_Direct=1,IF(DG72&lt;=0,NS72-DG72*AMG71,NS72-MIN(MIN(DG72*AMG71,KF72+NS72),NS72)),NS72)</f>
        <v>0</v>
      </c>
      <c r="NU72" s="20" t="n">
        <f aca="false">IF(H_Direct=1,IF(DH72&lt;=0,NT72-DH72*AMH71,NT72-MIN(MIN(DH72*AMH71,KG72+NT72),NT72)),NT72)</f>
        <v>0</v>
      </c>
      <c r="NV72" s="20" t="n">
        <f aca="false">IF(H_Direct=1,IF(DI72&lt;=0,NU72-DI72*AMI71,NU72-MIN(MIN(DI72*AMI71,KH72+NU72),NU72)),NU72)</f>
        <v>0</v>
      </c>
      <c r="NW72" s="20" t="n">
        <f aca="false">IF(H_Direct=1,IF(DJ72&lt;=0,NV72-DJ72*AMJ71,NV72-MIN(MIN(DJ72*AMJ71,KI72+NV72),NV72)),NV72)</f>
        <v>0</v>
      </c>
      <c r="NX72" s="20" t="n">
        <f aca="false">IF(H_Direct=1,IF(DK72&lt;=0,NW72-DK72*AMK71,NW72-MIN(MIN(DK72*AMK71,KJ72+NW72),NW72)),NW72)</f>
        <v>0</v>
      </c>
      <c r="NY72" s="20" t="n">
        <f aca="false">IF(H_Direct=1,IF(DL72&lt;=0,NX72-DL72*AML71,NX72-MIN(MIN(DL72*AML71,KK72+NX72),NX72)),NX72)</f>
        <v>0</v>
      </c>
      <c r="NZ72" s="20" t="n">
        <f aca="false">IF(H_Direct=1,IF(DM72&lt;=0,NY72-DM72*AMM71,NY72-MIN(MIN(DM72*AMM71,KL72+NY72),NY72)),NY72)</f>
        <v>0</v>
      </c>
      <c r="OA72" s="20" t="n">
        <f aca="false">IF(H_Direct=1,IF(DN72&lt;=0,NZ72-DN72*AMN71,NZ72-MIN(MIN(DN72*AMN71,KM72+NZ72),NZ72)),NZ72)</f>
        <v>0</v>
      </c>
      <c r="OB72" s="20" t="n">
        <f aca="false">IF(H_Direct=1,IF(DO72&lt;=0,OA72-DO72*AMO71,OA72-MIN(MIN(DO72*AMO71,KN72+OA72),OA72)),OA72)</f>
        <v>0</v>
      </c>
      <c r="OC72" s="20" t="n">
        <f aca="false">IF(H_Direct=1,IF(DP72&lt;=0,OB72-DP72*AMP71,OB72-MIN(MIN(DP72*AMP71,KO72+OB72),OB72)),OB72)</f>
        <v>0</v>
      </c>
      <c r="OD72" s="20" t="n">
        <f aca="false">IF(H_Direct=1,IF(DQ72&lt;=0,OC72-DQ72*AMQ71,OC72-MIN(MIN(DQ72*AMQ71,KP72+OC72),OC72)),OC72)</f>
        <v>0</v>
      </c>
      <c r="OE72" s="20" t="n">
        <f aca="false">IF(H_Direct=1,IF(DR72&lt;=0,OD72-DR72*AMR71,OD72-MIN(MIN(DR72*AMR71,KQ72+OD72),OD72)),OD72)</f>
        <v>0</v>
      </c>
      <c r="OF72" s="20" t="n">
        <f aca="false">IF(H_Direct=1,IF(DS72&lt;=0,OE72-DS72*AMS71,OE72-MIN(MIN(DS72*AMS71,KR72+OE72),OE72)),OE72)</f>
        <v>0</v>
      </c>
      <c r="OG72" s="20" t="n">
        <f aca="false">IF(H_Direct=1,IF(DT72&lt;=0,OF72-DT72*AMT71,OF72-MIN(MIN(DT72*AMT71,KS72+OF72),OF72)),OF72)</f>
        <v>0</v>
      </c>
      <c r="OH72" s="20" t="n">
        <f aca="false">IF(H_Direct=1,IF(DU72&lt;=0,OG72-DU72*AMU71,OG72-MIN(MIN(DU72*AMU71,KT72+OG72),OG72)),OG72)</f>
        <v>0</v>
      </c>
      <c r="OI72" s="20" t="n">
        <f aca="false">IF(H_Direct=1,IF(DV72&lt;=0,OH72-DV72*AMV71,OH72-MIN(MIN(DV72*AMV71,KU72+OH72),OH72)),OH72)</f>
        <v>0</v>
      </c>
      <c r="OJ72" s="20" t="n">
        <f aca="false">IF(H_Direct=1,IF(DW72&lt;=0,OI72-DW72*AMW71,OI72-MIN(MIN(DW72*AMW71,KV72+OI72),OI72)),OI72)</f>
        <v>0</v>
      </c>
      <c r="OK72" s="20" t="n">
        <f aca="false">IF(H_Direct=1,IF(DX72&lt;=0,OJ72-DX72*AMX71,OJ72-MIN(MIN(DX72*AMX71,KW72+OJ72),OJ72)),OJ72)</f>
        <v>0</v>
      </c>
      <c r="OL72" s="20" t="n">
        <f aca="false">IF(H_Direct=1,IF(DY72&lt;=0,OK72-DY72*AMY71,OK72-MIN(MIN(DY72*AMY71,KX72+OK72),OK72)),OK72)</f>
        <v>0</v>
      </c>
      <c r="OM72" s="20" t="n">
        <f aca="false">IF(H_Direct=1,IF(DZ72&lt;=0,OL72-DZ72*AMZ71,OL72-MIN(MIN(DZ72*AMZ71,KY72+OL72),OL72)),OL72)</f>
        <v>0</v>
      </c>
      <c r="ON72" s="20" t="n">
        <f aca="false">IF(H_Direct=1,IF(EA72&lt;=0,OM72-EA72*ANA71,OM72-MIN(MIN(EA72*ANA71,KZ72+OM72),OM72)),OM72)</f>
        <v>0</v>
      </c>
      <c r="OO72" s="20" t="n">
        <f aca="false">IF(H_Direct=1,IF(EB72&lt;=0,ON72-EB72*ANB71,ON72-MIN(MIN(EB72*ANB71,LA72+ON72),ON72)),ON72)</f>
        <v>0</v>
      </c>
      <c r="OP72" s="20" t="n">
        <f aca="false">IF(H_Direct=1,IF(EC72&lt;=0,OO72-EC72*ANC71,OO72-MIN(MIN(EC72*ANC71,LB72+OO72),OO72)),OO72)</f>
        <v>0</v>
      </c>
      <c r="OQ72" s="20" t="n">
        <f aca="false">IF(H_Direct=1,IF(ED72&lt;=0,OP72-ED72*AND71,OP72-MIN(MIN(ED72*AND71,LC72+OP72),OP72)),OP72)</f>
        <v>0</v>
      </c>
      <c r="OR72" s="20" t="n">
        <f aca="false">IF(H_Direct=1,IF(EE72&lt;=0,OQ72-EE72*(P72+S72),OQ72-MIN(MIN(EE72*(P72+S72),LD72+OQ72),OQ72)),OQ72)</f>
        <v>0</v>
      </c>
      <c r="OS72" s="20" t="n">
        <f aca="false">OR72</f>
        <v>0</v>
      </c>
      <c r="OT72" s="20" t="n">
        <f aca="false">OS72</f>
        <v>0</v>
      </c>
      <c r="OU72" s="20" t="n">
        <f aca="false">OT72</f>
        <v>0</v>
      </c>
      <c r="OV72" s="20" t="n">
        <f aca="false">OU72</f>
        <v>0</v>
      </c>
      <c r="OW72" s="20" t="n">
        <f aca="false">OV72</f>
        <v>0</v>
      </c>
      <c r="OX72" s="20" t="n">
        <f aca="false">OW72</f>
        <v>0</v>
      </c>
      <c r="OY72" s="20" t="n">
        <f aca="false">OX72</f>
        <v>0</v>
      </c>
      <c r="OZ72" s="20" t="n">
        <f aca="false">OY72</f>
        <v>0</v>
      </c>
      <c r="PA72" s="20" t="n">
        <f aca="false">OZ72</f>
        <v>0</v>
      </c>
      <c r="PB72" s="20" t="n">
        <f aca="false">PA72</f>
        <v>0</v>
      </c>
      <c r="PC72" s="20" t="n">
        <f aca="false">PB72</f>
        <v>0</v>
      </c>
      <c r="PD72" s="20" t="n">
        <f aca="false">PC72</f>
        <v>0</v>
      </c>
      <c r="PE72" s="20" t="n">
        <f aca="false">PD72</f>
        <v>0</v>
      </c>
      <c r="PF72" s="20" t="n">
        <f aca="false">PE72</f>
        <v>0</v>
      </c>
      <c r="PG72" s="20" t="n">
        <f aca="false">PF72</f>
        <v>0</v>
      </c>
      <c r="PH72" s="20" t="n">
        <f aca="false">PG72</f>
        <v>0</v>
      </c>
      <c r="PI72" s="20" t="n">
        <f aca="false">PH72</f>
        <v>0</v>
      </c>
      <c r="PJ72" s="20" t="n">
        <f aca="false">PI72</f>
        <v>0</v>
      </c>
      <c r="PK72" s="20" t="n">
        <f aca="false">PJ72</f>
        <v>0</v>
      </c>
      <c r="PL72" s="20" t="n">
        <f aca="false">PK72</f>
        <v>0</v>
      </c>
      <c r="PM72" s="20" t="n">
        <f aca="false">PL72</f>
        <v>0</v>
      </c>
      <c r="PN72" s="20" t="n">
        <f aca="false">PM72</f>
        <v>0</v>
      </c>
      <c r="PO72" s="20" t="n">
        <f aca="false">PN72</f>
        <v>0</v>
      </c>
      <c r="PP72" s="20" t="n">
        <f aca="false">PO72</f>
        <v>0</v>
      </c>
      <c r="PQ72" s="20" t="n">
        <f aca="false">PP72</f>
        <v>0</v>
      </c>
      <c r="PR72" s="20" t="n">
        <f aca="false">IF(H_Direct=1,IF(AKR71&lt;=0,0,IF(BR72&lt;=0,MIN(MAX(0,AB72),AKR71),MIN(MAX(0,AB72),AKR71-G72*MAX(0,BR72*AKR71-(H72+I72))))),MIN(FE72,MAX(0,AB72)))</f>
        <v>0</v>
      </c>
      <c r="PS72" s="20" t="n">
        <f aca="false">IF(H_Direct=1,IF(AKS71&lt;=0,0,IF(BS72&lt;=0,MIN(MAX(0,AB72-SUM(PR72:PR72)),AKS71),MIN(MAX(0,AB72-SUM(PR72:PR72)),AKS71-G72*MAX(0,BS72*AKS71-(WR72+AAE72))))),MIN(FF72,MAX(0,AB72-SUM(PR72:PR72))))</f>
        <v>0</v>
      </c>
      <c r="PT72" s="20" t="n">
        <f aca="false">IF(H_Direct=1,IF(AKT71&lt;=0,0,IF(BT72&lt;=0,MIN(MAX(0,AB72-SUM(PR72:PS72)),AKT71),MIN(MAX(0,AB72-SUM(PR72:PS72)),AKT71-G72*MAX(0,BT72*AKT71-(WS72+AAF72))))),MIN(FG72,MAX(0,AB72-SUM(PR72:PS72))))</f>
        <v>0</v>
      </c>
      <c r="PU72" s="20" t="n">
        <f aca="false">IF(H_Direct=1,IF(AKU71&lt;=0,0,IF(BU72&lt;=0,MIN(MAX(0,AB72-SUM(PR72:PT72)),AKU71),MIN(MAX(0,AB72-SUM(PR72:PT72)),AKU71-G72*MAX(0,BU72*AKU71-(WT72+AAG72))))),MIN(FH72,MAX(0,AB72-SUM(PR72:PT72))))</f>
        <v>0</v>
      </c>
      <c r="PV72" s="20" t="n">
        <f aca="false">IF(H_Direct=1,IF(AKV71&lt;=0,0,IF(BV72&lt;=0,MIN(MAX(0,AB72-SUM(PR72:PU72)),AKV71),MIN(MAX(0,AB72-SUM(PR72:PU72)),AKV71-G72*MAX(0,BV72*AKV71-(WU72+AAH72))))),MIN(FI72,MAX(0,AB72-SUM(PR72:PU72))))</f>
        <v>0</v>
      </c>
      <c r="PW72" s="20" t="n">
        <f aca="false">IF(H_Direct=1,IF(AKW71&lt;=0,0,IF(BW72&lt;=0,MIN(MAX(0,AB72-SUM(PR72:PV72)),AKW71),MIN(MAX(0,AB72-SUM(PR72:PV72)),AKW71-G72*MAX(0,BW72*AKW71-(WV72+AAI72))))),MIN(FJ72,MAX(0,AB72-SUM(PR72:PV72))))</f>
        <v>0</v>
      </c>
      <c r="PX72" s="20" t="n">
        <f aca="false">IF(H_Direct=1,IF(AKX71&lt;=0,0,IF(BX72&lt;=0,MIN(MAX(0,AB72-SUM(PR72:PW72)),AKX71),MIN(MAX(0,AB72-SUM(PR72:PW72)),AKX71-G72*MAX(0,BX72*AKX71-(WW72+AAJ72))))),MIN(FK72,MAX(0,AB72-SUM(PR72:PW72))))</f>
        <v>0</v>
      </c>
      <c r="PY72" s="20" t="n">
        <f aca="false">IF(H_Direct=1,IF(AKY71&lt;=0,0,IF(BY72&lt;=0,MIN(MAX(0,AB72-SUM(PR72:PX72)),AKY71),MIN(MAX(0,AB72-SUM(PR72:PX72)),AKY71-G72*MAX(0,BY72*AKY71-(WX72+AAK72))))),MIN(FL72,MAX(0,AB72-SUM(PR72:PX72))))</f>
        <v>0</v>
      </c>
      <c r="PZ72" s="20" t="n">
        <f aca="false">IF(H_Direct=1,IF(AKZ71&lt;=0,0,IF(BZ72&lt;=0,MIN(MAX(0,AB72-SUM(PR72:PY72)),AKZ71),MIN(MAX(0,AB72-SUM(PR72:PY72)),AKZ71-G72*MAX(0,BZ72*AKZ71-(WY72+AAL72))))),MIN(FM72,MAX(0,AB72-SUM(PR72:PY72))))</f>
        <v>0</v>
      </c>
      <c r="QA72" s="20" t="n">
        <f aca="false">IF(H_Direct=1,IF(ALA71&lt;=0,0,IF(CA72&lt;=0,MIN(MAX(0,AB72-SUM(PR72:PZ72)),ALA71),MIN(MAX(0,AB72-SUM(PR72:PZ72)),ALA71-G72*MAX(0,CA72*ALA71-(WZ72+AAM72))))),MIN(FN72,MAX(0,AB72-SUM(PR72:PZ72))))</f>
        <v>0</v>
      </c>
      <c r="QB72" s="20" t="n">
        <f aca="false">IF(H_Direct=1,IF(ALB71&lt;=0,0,IF(CB72&lt;=0,MIN(MAX(0,AB72-SUM(PR72:QA72)),ALB71),MIN(MAX(0,AB72-SUM(PR72:QA72)),ALB71-G72*MAX(0,CB72*ALB71-(XA72+AAN72))))),MIN(FO72,MAX(0,AB72-SUM(PR72:QA72))))</f>
        <v>0</v>
      </c>
      <c r="QC72" s="20" t="n">
        <f aca="false">IF(H_Direct=1,IF(ALC71&lt;=0,0,IF(CC72&lt;=0,MIN(MAX(0,AB72-SUM(PR72:QB72)),ALC71),MIN(MAX(0,AB72-SUM(PR72:QB72)),ALC71-G72*MAX(0,CC72*ALC71-(XB72+AAO72))))),MIN(FP72,MAX(0,AB72-SUM(PR72:QB72))))</f>
        <v>0</v>
      </c>
      <c r="QD72" s="20" t="n">
        <f aca="false">IF(H_Direct=1,IF(ALD71&lt;=0,0,IF(CD72&lt;=0,MIN(MAX(0,AB72-SUM(PR72:QC72)),ALD71),MIN(MAX(0,AB72-SUM(PR72:QC72)),ALD71-G72*MAX(0,CD72*ALD71-(XC72+AAP72))))),MIN(FQ72,MAX(0,AB72-SUM(PR72:QC72))))</f>
        <v>0</v>
      </c>
      <c r="QE72" s="20" t="n">
        <f aca="false">IF(H_Direct=1,IF(ALE71&lt;=0,0,IF(CE72&lt;=0,MIN(MAX(0,AB72-SUM(PR72:QD72)),ALE71),MIN(MAX(0,AB72-SUM(PR72:QD72)),ALE71-G72*MAX(0,CE72*ALE71-(XD72+AAQ72))))),MIN(FR72,MAX(0,AB72-SUM(PR72:QD72))))</f>
        <v>0</v>
      </c>
      <c r="QF72" s="20" t="n">
        <f aca="false">IF(H_Direct=1,IF(ALF71&lt;=0,0,IF(CF72&lt;=0,MIN(MAX(0,AB72-SUM(PR72:QE72)),ALF71),MIN(MAX(0,AB72-SUM(PR72:QE72)),ALF71-G72*MAX(0,CF72*ALF71-(XE72+AAR72))))),MIN(FS72,MAX(0,AB72-SUM(PR72:QE72))))</f>
        <v>0</v>
      </c>
      <c r="QG72" s="20" t="n">
        <f aca="false">IF(H_Direct=1,IF(ALG71&lt;=0,0,IF(CG72&lt;=0,MIN(MAX(0,AB72-SUM(PR72:QF72)),ALG71),MIN(MAX(0,AB72-SUM(PR72:QF72)),ALG71-G72*MAX(0,CG72*ALG71-(XF72+AAS72))))),MIN(FT72,MAX(0,AB72-SUM(PR72:QF72))))</f>
        <v>0</v>
      </c>
      <c r="QH72" s="20" t="n">
        <f aca="false">IF(H_Direct=1,IF(ALH71&lt;=0,0,IF(CH72&lt;=0,MIN(MAX(0,AB72-SUM(PR72:QG72)),ALH71),MIN(MAX(0,AB72-SUM(PR72:QG72)),ALH71-G72*MAX(0,CH72*ALH71-(XG72+AAT72))))),MIN(FU72,MAX(0,AB72-SUM(PR72:QG72))))</f>
        <v>0</v>
      </c>
      <c r="QI72" s="20" t="n">
        <f aca="false">IF(H_Direct=1,IF(ALI71&lt;=0,0,IF(CI72&lt;=0,MIN(MAX(0,AB72-SUM(PR72:QH72)),ALI71),MIN(MAX(0,AB72-SUM(PR72:QH72)),ALI71-G72*MAX(0,CI72*ALI71-(XH72+AAU72))))),MIN(FV72,MAX(0,AB72-SUM(PR72:QH72))))</f>
        <v>0</v>
      </c>
      <c r="QJ72" s="20" t="n">
        <f aca="false">IF(H_Direct=1,IF(ALJ71&lt;=0,0,IF(CJ72&lt;=0,MIN(MAX(0,AB72-SUM(PR72:QI72)),ALJ71),MIN(MAX(0,AB72-SUM(PR72:QI72)),ALJ71-G72*MAX(0,CJ72*ALJ71-(XI72+AAV72))))),MIN(FW72,MAX(0,AB72-SUM(PR72:QI72))))</f>
        <v>0</v>
      </c>
      <c r="QK72" s="20" t="n">
        <f aca="false">IF(H_Direct=1,IF(ALK71&lt;=0,0,IF(CK72&lt;=0,MIN(MAX(0,AB72-SUM(PR72:QJ72)),ALK71),MIN(MAX(0,AB72-SUM(PR72:QJ72)),ALK71-G72*MAX(0,CK72*ALK71-(XJ72+AAW72))))),MIN(FX72,MAX(0,AB72-SUM(PR72:QJ72))))</f>
        <v>0</v>
      </c>
      <c r="QL72" s="20" t="n">
        <f aca="false">IF(H_Direct=1,IF(ALL71&lt;=0,0,IF(CL72&lt;=0,MIN(MAX(0,AB72-SUM(PR72:QK72)),ALL71),MIN(MAX(0,AB72-SUM(PR72:QK72)),ALL71-G72*MAX(0,CL72*ALL71-(XK72+AAX72))))),MIN(FY72,MAX(0,AB72-SUM(PR72:QK72))))</f>
        <v>0</v>
      </c>
      <c r="QM72" s="20" t="n">
        <f aca="false">IF(H_Direct=1,IF(ALM71&lt;=0,0,IF(CM72&lt;=0,MIN(MAX(0,AB72-SUM(PR72:QL72)),ALM71),MIN(MAX(0,AB72-SUM(PR72:QL72)),ALM71-G72*MAX(0,CM72*ALM71-(XL72+AAY72))))),MIN(FZ72,MAX(0,AB72-SUM(PR72:QL72))))</f>
        <v>0</v>
      </c>
      <c r="QN72" s="20" t="n">
        <f aca="false">IF(H_Direct=1,IF(ALN71&lt;=0,0,IF(CN72&lt;=0,MIN(MAX(0,AB72-SUM(PR72:QM72)),ALN71),MIN(MAX(0,AB72-SUM(PR72:QM72)),ALN71-G72*MAX(0,CN72*ALN71-(XM72+AAZ72))))),MIN(GA72,MAX(0,AB72-SUM(PR72:QM72))))</f>
        <v>0</v>
      </c>
      <c r="QO72" s="20" t="n">
        <f aca="false">IF(H_Direct=1,IF(ALO71&lt;=0,0,IF(CO72&lt;=0,MIN(MAX(0,AB72-SUM(PR72:QN72)),ALO71),MIN(MAX(0,AB72-SUM(PR72:QN72)),ALO71-G72*MAX(0,CO72*ALO71-(XN72+ABA72))))),MIN(GB72,MAX(0,AB72-SUM(PR72:QN72))))</f>
        <v>0</v>
      </c>
      <c r="QP72" s="20" t="n">
        <f aca="false">IF(H_Direct=1,IF(ALP71&lt;=0,0,IF(CP72&lt;=0,MIN(MAX(0,AB72-SUM(PR72:QO72)),ALP71),MIN(MAX(0,AB72-SUM(PR72:QO72)),ALP71-G72*MAX(0,CP72*ALP71-(XO72+ABB72))))),MIN(GC72,MAX(0,AB72-SUM(PR72:QO72))))</f>
        <v>0</v>
      </c>
      <c r="QQ72" s="20" t="n">
        <f aca="false">IF(H_Direct=1,IF(ALQ71&lt;=0,0,IF(CQ72&lt;=0,MIN(MAX(0,AB72-SUM(PR72:QP72)),ALQ71),MIN(MAX(0,AB72-SUM(PR72:QP72)),ALQ71-G72*MAX(0,CQ72*ALQ71-(XP72+ABC72))))),MIN(GD72,MAX(0,AB72-SUM(PR72:QP72))))</f>
        <v>0</v>
      </c>
      <c r="QR72" s="20" t="n">
        <f aca="false">IF(H_Direct=1,IF(ALR71&lt;=0,0,IF(CR72&lt;=0,MIN(MAX(0,AB72-SUM(PR72:QQ72)),ALR71),MIN(MAX(0,AB72-SUM(PR72:QQ72)),ALR71-G72*MAX(0,CR72*ALR71-(XQ72+ABD72))))),MIN(GE72,MAX(0,AB72-SUM(PR72:QQ72))))</f>
        <v>0</v>
      </c>
      <c r="QS72" s="20" t="n">
        <f aca="false">IF(H_Direct=1,IF(ALS71&lt;=0,0,IF(CS72&lt;=0,MIN(MAX(0,AB72-SUM(PR72:QR72)),ALS71),MIN(MAX(0,AB72-SUM(PR72:QR72)),ALS71-G72*MAX(0,CS72*ALS71-(XR72+ABE72))))),MIN(GF72,MAX(0,AB72-SUM(PR72:QR72))))</f>
        <v>0</v>
      </c>
      <c r="QT72" s="20" t="n">
        <f aca="false">IF(H_Direct=1,IF(ALT71&lt;=0,0,IF(CT72&lt;=0,MIN(MAX(0,AB72-SUM(PR72:QS72)),ALT71),MIN(MAX(0,AB72-SUM(PR72:QS72)),ALT71-G72*MAX(0,CT72*ALT71-(XS72+ABF72))))),MIN(GG72,MAX(0,AB72-SUM(PR72:QS72))))</f>
        <v>0</v>
      </c>
      <c r="QU72" s="20" t="n">
        <f aca="false">IF(H_Direct=1,IF(ALU71&lt;=0,0,IF(CU72&lt;=0,MIN(MAX(0,AB72-SUM(PR72:QT72)),ALU71),MIN(MAX(0,AB72-SUM(PR72:QT72)),ALU71-G72*MAX(0,CU72*ALU71-(XT72+ABG72))))),MIN(GH72,MAX(0,AB72-SUM(PR72:QT72))))</f>
        <v>0</v>
      </c>
      <c r="QV72" s="20" t="n">
        <f aca="false">IF(H_Direct=1,IF(ALV71&lt;=0,0,IF(CV72&lt;=0,MIN(MAX(0,AB72-SUM(PR72:QU72)),ALV71),MIN(MAX(0,AB72-SUM(PR72:QU72)),ALV71-G72*MAX(0,CV72*ALV71-(XU72+ABH72))))),MIN(GI72,MAX(0,AB72-SUM(PR72:QU72))))</f>
        <v>0</v>
      </c>
      <c r="QW72" s="20" t="n">
        <f aca="false">IF(H_Direct=1,IF(ALW71&lt;=0,0,IF(CW72&lt;=0,MIN(MAX(0,AB72-SUM(PR72:QV72)),ALW71),MIN(MAX(0,AB72-SUM(PR72:QV72)),ALW71-G72*MAX(0,CW72*ALW71-(XV72+ABI72))))),MIN(GJ72,MAX(0,AB72-SUM(PR72:QV72))))</f>
        <v>0</v>
      </c>
      <c r="QX72" s="20" t="n">
        <f aca="false">IF(H_Direct=1,IF(ALX71&lt;=0,0,IF(CX72&lt;=0,MIN(MAX(0,AB72-SUM(PR72:QW72)),ALX71),MIN(MAX(0,AB72-SUM(PR72:QW72)),ALX71-G72*MAX(0,CX72*ALX71-(XW72+ABJ72))))),MIN(GK72,MAX(0,AB72-SUM(PR72:QW72))))</f>
        <v>0</v>
      </c>
      <c r="QY72" s="20" t="n">
        <f aca="false">IF(H_Direct=1,IF(ALY71&lt;=0,0,IF(CY72&lt;=0,MIN(MAX(0,AB72-SUM(PR72:QX72)),ALY71),MIN(MAX(0,AB72-SUM(PR72:QX72)),ALY71-G72*MAX(0,CY72*ALY71-(XX72+ABK72))))),MIN(GL72,MAX(0,AB72-SUM(PR72:QX72))))</f>
        <v>0</v>
      </c>
      <c r="QZ72" s="20" t="n">
        <f aca="false">IF(H_Direct=1,IF(ALZ71&lt;=0,0,IF(CZ72&lt;=0,MIN(MAX(0,AB72-SUM(PR72:QY72)),ALZ71),MIN(MAX(0,AB72-SUM(PR72:QY72)),ALZ71-G72*MAX(0,CZ72*ALZ71-(XY72+ABL72))))),MIN(GM72,MAX(0,AB72-SUM(PR72:QY72))))</f>
        <v>0</v>
      </c>
      <c r="RA72" s="20" t="n">
        <f aca="false">IF(H_Direct=1,IF(AMA71&lt;=0,0,IF(DA72&lt;=0,MIN(MAX(0,AB72-SUM(PR72:QZ72)),AMA71),MIN(MAX(0,AB72-SUM(PR72:QZ72)),AMA71-G72*MAX(0,DA72*AMA71-(XZ72+ABM72))))),MIN(GN72,MAX(0,AB72-SUM(PR72:QZ72))))</f>
        <v>0</v>
      </c>
      <c r="RB72" s="20" t="n">
        <f aca="false">IF(H_Direct=1,IF(AMB71&lt;=0,0,IF(DB72&lt;=0,MIN(MAX(0,AB72-SUM(PR72:RA72)),AMB71),MIN(MAX(0,AB72-SUM(PR72:RA72)),AMB71-G72*MAX(0,DB72*AMB71-(YA72+ABN72))))),MIN(GO72,MAX(0,AB72-SUM(PR72:RA72))))</f>
        <v>0</v>
      </c>
      <c r="RC72" s="20" t="n">
        <f aca="false">IF(H_Direct=1,IF(AMC71&lt;=0,0,IF(DC72&lt;=0,MIN(MAX(0,AB72-SUM(PR72:RB72)),AMC71),MIN(MAX(0,AB72-SUM(PR72:RB72)),AMC71-G72*MAX(0,DC72*AMC71-(YB72+ABO72))))),MIN(GP72,MAX(0,AB72-SUM(PR72:RB72))))</f>
        <v>0</v>
      </c>
      <c r="RD72" s="20" t="n">
        <f aca="false">IF(H_Direct=1,IF(AMD71&lt;=0,0,IF(DD72&lt;=0,MIN(MAX(0,AB72-SUM(PR72:RC72)),AMD71),MIN(MAX(0,AB72-SUM(PR72:RC72)),AMD71-G72*MAX(0,DD72*AMD71-(YC72+ABP72))))),MIN(GQ72,MAX(0,AB72-SUM(PR72:RC72))))</f>
        <v>0</v>
      </c>
      <c r="RE72" s="20" t="n">
        <f aca="false">IF(H_Direct=1,IF(AME71&lt;=0,0,IF(DE72&lt;=0,MIN(MAX(0,AB72-SUM(PR72:RD72)),AME71),MIN(MAX(0,AB72-SUM(PR72:RD72)),AME71-G72*MAX(0,DE72*AME71-(YD72+ABQ72))))),MIN(GR72,MAX(0,AB72-SUM(PR72:RD72))))</f>
        <v>0</v>
      </c>
      <c r="RF72" s="20" t="n">
        <f aca="false">IF(H_Direct=1,IF(AMF71&lt;=0,0,IF(DF72&lt;=0,MIN(MAX(0,AB72-SUM(PR72:RE72)),AMF71),MIN(MAX(0,AB72-SUM(PR72:RE72)),AMF71-G72*MAX(0,DF72*AMF71-(YE72+ABR72))))),MIN(GS72,MAX(0,AB72-SUM(PR72:RE72))))</f>
        <v>0</v>
      </c>
      <c r="RG72" s="20" t="n">
        <f aca="false">IF(H_Direct=1,IF(AMG71&lt;=0,0,IF(DG72&lt;=0,MIN(MAX(0,AB72-SUM(PR72:RF72)),AMG71),MIN(MAX(0,AB72-SUM(PR72:RF72)),AMG71-G72*MAX(0,DG72*AMG71-(YF72+ABS72))))),MIN(GT72,MAX(0,AB72-SUM(PR72:RF72))))</f>
        <v>0</v>
      </c>
      <c r="RH72" s="20" t="n">
        <f aca="false">IF(H_Direct=1,IF(AMH71&lt;=0,0,IF(DH72&lt;=0,MIN(MAX(0,AB72-SUM(PR72:RG72)),AMH71),MIN(MAX(0,AB72-SUM(PR72:RG72)),AMH71-G72*MAX(0,DH72*AMH71-(YG72+ABT72))))),MIN(GU72,MAX(0,AB72-SUM(PR72:RG72))))</f>
        <v>0</v>
      </c>
      <c r="RI72" s="20" t="n">
        <f aca="false">IF(H_Direct=1,IF(AMI71&lt;=0,0,IF(DI72&lt;=0,MIN(MAX(0,AB72-SUM(PR72:RH72)),AMI71),MIN(MAX(0,AB72-SUM(PR72:RH72)),AMI71-G72*MAX(0,DI72*AMI71-(YH72+ABU72))))),MIN(GV72,MAX(0,AB72-SUM(PR72:RH72))))</f>
        <v>0</v>
      </c>
      <c r="RJ72" s="20" t="n">
        <f aca="false">IF(H_Direct=1,IF(AMJ71&lt;=0,0,IF(DJ72&lt;=0,MIN(MAX(0,AB72-SUM(PR72:RI72)),AMJ71),MIN(MAX(0,AB72-SUM(PR72:RI72)),AMJ71-G72*MAX(0,DJ72*AMJ71-(YI72+ABV72))))),MIN(GW72,MAX(0,AB72-SUM(PR72:RI72))))</f>
        <v>0</v>
      </c>
      <c r="RK72" s="20" t="n">
        <f aca="false">IF(H_Direct=1,IF(AMK71&lt;=0,0,IF(DK72&lt;=0,MIN(MAX(0,AB72-SUM(PR72:RJ72)),AMK71),MIN(MAX(0,AB72-SUM(PR72:RJ72)),AMK71-G72*MAX(0,DK72*AMK71-(YJ72+ABW72))))),MIN(GX72,MAX(0,AB72-SUM(PR72:RJ72))))</f>
        <v>0</v>
      </c>
      <c r="RL72" s="20" t="n">
        <f aca="false">IF(H_Direct=1,IF(AML71&lt;=0,0,IF(DL72&lt;=0,MIN(MAX(0,AB72-SUM(PR72:RK72)),AML71),MIN(MAX(0,AB72-SUM(PR72:RK72)),AML71-G72*MAX(0,DL72*AML71-(YK72+ABX72))))),MIN(GY72,MAX(0,AB72-SUM(PR72:RK72))))</f>
        <v>0</v>
      </c>
      <c r="RM72" s="20" t="n">
        <f aca="false">IF(H_Direct=1,IF(AMM71&lt;=0,0,IF(DM72&lt;=0,MIN(MAX(0,AB72-SUM(PR72:RL72)),AMM71),MIN(MAX(0,AB72-SUM(PR72:RL72)),AMM71-G72*MAX(0,DM72*AMM71-(YL72+ABY72))))),MIN(GZ72,MAX(0,AB72-SUM(PR72:RL72))))</f>
        <v>0</v>
      </c>
      <c r="RN72" s="20" t="n">
        <f aca="false">IF(H_Direct=1,IF(AMN71&lt;=0,0,IF(DN72&lt;=0,MIN(MAX(0,AB72-SUM(PR72:RM72)),AMN71),MIN(MAX(0,AB72-SUM(PR72:RM72)),AMN71-G72*MAX(0,DN72*AMN71-(YM72+ABZ72))))),MIN(HA72,MAX(0,AB72-SUM(PR72:RM72))))</f>
        <v>0</v>
      </c>
      <c r="RO72" s="20" t="n">
        <f aca="false">IF(H_Direct=1,IF(AMO71&lt;=0,0,IF(DO72&lt;=0,MIN(MAX(0,AB72-SUM(PR72:RN72)),AMO71),MIN(MAX(0,AB72-SUM(PR72:RN72)),AMO71-G72*MAX(0,DO72*AMO71-(YN72+ACA72))))),MIN(HB72,MAX(0,AB72-SUM(PR72:RN72))))</f>
        <v>0</v>
      </c>
      <c r="RP72" s="20" t="n">
        <f aca="false">IF(H_Direct=1,IF(AMP71&lt;=0,0,IF(DP72&lt;=0,MIN(MAX(0,AB72-SUM(PR72:RO72)),AMP71),MIN(MAX(0,AB72-SUM(PR72:RO72)),AMP71-G72*MAX(0,DP72*AMP71-(YO72+ACB72))))),MIN(HC72,MAX(0,AB72-SUM(PR72:RO72))))</f>
        <v>0</v>
      </c>
      <c r="RQ72" s="20" t="n">
        <f aca="false">IF(H_Direct=1,IF(AMQ71&lt;=0,0,IF(DQ72&lt;=0,MIN(MAX(0,AB72-SUM(PR72:RP72)),AMQ71),MIN(MAX(0,AB72-SUM(PR72:RP72)),AMQ71-G72*MAX(0,DQ72*AMQ71-(YP72+ACC72))))),MIN(HD72,MAX(0,AB72-SUM(PR72:RP72))))</f>
        <v>0</v>
      </c>
      <c r="RR72" s="20" t="n">
        <f aca="false">IF(H_Direct=1,IF(AMR71&lt;=0,0,IF(DR72&lt;=0,MIN(MAX(0,AB72-SUM(PR72:RQ72)),AMR71),MIN(MAX(0,AB72-SUM(PR72:RQ72)),AMR71-G72*MAX(0,DR72*AMR71-(YQ72+ACD72))))),MIN(HE72,MAX(0,AB72-SUM(PR72:RQ72))))</f>
        <v>0</v>
      </c>
      <c r="RS72" s="20" t="n">
        <f aca="false">IF(H_Direct=1,IF(AMS71&lt;=0,0,IF(DS72&lt;=0,MIN(MAX(0,AB72-SUM(PR72:RR72)),AMS71),MIN(MAX(0,AB72-SUM(PR72:RR72)),AMS71-G72*MAX(0,DS72*AMS71-(YR72+ACE72))))),MIN(HF72,MAX(0,AB72-SUM(PR72:RR72))))</f>
        <v>0</v>
      </c>
      <c r="RT72" s="20" t="n">
        <f aca="false">IF(H_Direct=1,IF(AMT71&lt;=0,0,IF(DT72&lt;=0,MIN(MAX(0,AB72-SUM(PR72:RS72)),AMT71),MIN(MAX(0,AB72-SUM(PR72:RS72)),AMT71-G72*MAX(0,DT72*AMT71-(YS72+ACF72))))),MIN(HG72,MAX(0,AB72-SUM(PR72:RS72))))</f>
        <v>0</v>
      </c>
      <c r="RU72" s="20" t="n">
        <f aca="false">IF(H_Direct=1,IF(AMU71&lt;=0,0,IF(DU72&lt;=0,MIN(MAX(0,AB72-SUM(PR72:RT72)),AMU71),MIN(MAX(0,AB72-SUM(PR72:RT72)),AMU71-G72*MAX(0,DU72*AMU71-(YT72+ACG72))))),MIN(HH72,MAX(0,AB72-SUM(PR72:RT72))))</f>
        <v>0</v>
      </c>
      <c r="RV72" s="20" t="n">
        <f aca="false">IF(H_Direct=1,IF(AMV71&lt;=0,0,IF(DV72&lt;=0,MIN(MAX(0,AB72-SUM(PR72:RU72)),AMV71),MIN(MAX(0,AB72-SUM(PR72:RU72)),AMV71-G72*MAX(0,DV72*AMV71-(YU72+ACH72))))),MIN(HI72,MAX(0,AB72-SUM(PR72:RU72))))</f>
        <v>0</v>
      </c>
      <c r="RW72" s="20" t="n">
        <f aca="false">IF(H_Direct=1,IF(AMW71&lt;=0,0,IF(DW72&lt;=0,MIN(MAX(0,AB72-SUM(PR72:RV72)),AMW71),MIN(MAX(0,AB72-SUM(PR72:RV72)),AMW71-G72*MAX(0,DW72*AMW71-(YV72+ACI72))))),MIN(HJ72,MAX(0,AB72-SUM(PR72:RV72))))</f>
        <v>0</v>
      </c>
      <c r="RX72" s="20" t="n">
        <f aca="false">IF(H_Direct=1,IF(AMX71&lt;=0,0,IF(DX72&lt;=0,MIN(MAX(0,AB72-SUM(PR72:RW72)),AMX71),MIN(MAX(0,AB72-SUM(PR72:RW72)),AMX71-G72*MAX(0,DX72*AMX71-(YW72+ACJ72))))),MIN(HK72,MAX(0,AB72-SUM(PR72:RW72))))</f>
        <v>0</v>
      </c>
      <c r="RY72" s="20" t="n">
        <f aca="false">IF(H_Direct=1,IF(AMY71&lt;=0,0,IF(DY72&lt;=0,MIN(MAX(0,AB72-SUM(PR72:RX72)),AMY71),MIN(MAX(0,AB72-SUM(PR72:RX72)),AMY71-G72*MAX(0,DY72*AMY71-(YX72+ACK72))))),MIN(HL72,MAX(0,AB72-SUM(PR72:RX72))))</f>
        <v>0</v>
      </c>
      <c r="RZ72" s="20" t="n">
        <f aca="false">IF(H_Direct=1,IF(AMZ71&lt;=0,0,IF(DZ72&lt;=0,MIN(MAX(0,AB72-SUM(PR72:RY72)),AMZ71),MIN(MAX(0,AB72-SUM(PR72:RY72)),AMZ71-G72*MAX(0,DZ72*AMZ71-(YY72+ACL72))))),MIN(HM72,MAX(0,AB72-SUM(PR72:RY72))))</f>
        <v>0</v>
      </c>
      <c r="SA72" s="20" t="n">
        <f aca="false">IF(H_Direct=1,IF(ANA71&lt;=0,0,IF(EA72&lt;=0,MIN(MAX(0,AB72-SUM(PR72:RZ72)),ANA71),MIN(MAX(0,AB72-SUM(PR72:RZ72)),ANA71-G72*MAX(0,EA72*ANA71-(YZ72+ACM72))))),MIN(HN72,MAX(0,AB72-SUM(PR72:RZ72))))</f>
        <v>0</v>
      </c>
      <c r="SB72" s="20" t="n">
        <f aca="false">IF(H_Direct=1,IF(ANB71&lt;=0,0,IF(EB72&lt;=0,MIN(MAX(0,AB72-SUM(PR72:SA72)),ANB71),MIN(MAX(0,AB72-SUM(PR72:SA72)),ANB71-G72*MAX(0,EB72*ANB71-(ZA72+ACN72))))),MIN(HO72,MAX(0,AB72-SUM(PR72:SA72))))</f>
        <v>0</v>
      </c>
      <c r="SC72" s="20" t="n">
        <f aca="false">IF(H_Direct=1,IF(ANC71&lt;=0,0,IF(EC72&lt;=0,MIN(MAX(0,AB72-SUM(PR72:SB72)),ANC71),MIN(MAX(0,AB72-SUM(PR72:SB72)),ANC71-G72*MAX(0,EC72*ANC71-(ZB72+ACO72))))),MIN(HP72,MAX(0,AB72-SUM(PR72:SB72))))</f>
        <v>0</v>
      </c>
      <c r="SD72" s="20" t="n">
        <f aca="false">IF(H_Direct=1,IF(AND71&lt;=0,0,IF(ED72&lt;=0,MIN(MAX(0,AB72-SUM(PR72:SC72)),AND71),MIN(MAX(0,AB72-SUM(PR72:SC72)),AND71-G72*MAX(0,ED72*AND71-(ZC72+ACP72))))),MIN(HQ72,MAX(0,AB72-SUM(PR72:SC72))))</f>
        <v>0</v>
      </c>
      <c r="SE72" s="20" t="n">
        <f aca="false">IF(H_Direct=1,IF((P72+S72)&lt;=0,0,IF(EE72&lt;=0,MIN(MAX(0,AB72-SUM(PR72:SD72)),(P72+S72)),MIN(MAX(0,AB72-SUM(PR72:SD72)),(P72+S72)-G72*MAX(0,EE72*(P72+S72)-(ZD72+ACQ72))))),MIN(HR72,MAX(0,AB72-SUM(PR72:SD72))))</f>
        <v>0</v>
      </c>
      <c r="SF72" s="20" t="n">
        <v>0</v>
      </c>
      <c r="SG72" s="20" t="n">
        <v>0</v>
      </c>
      <c r="SH72" s="20" t="n">
        <v>0</v>
      </c>
      <c r="SI72" s="20" t="n">
        <v>0</v>
      </c>
      <c r="SJ72" s="20" t="n">
        <v>0</v>
      </c>
      <c r="SK72" s="20" t="n">
        <v>0</v>
      </c>
      <c r="SL72" s="20" t="n">
        <v>0</v>
      </c>
      <c r="SM72" s="20" t="n">
        <v>0</v>
      </c>
      <c r="SN72" s="20" t="n">
        <v>0</v>
      </c>
      <c r="SO72" s="20" t="n">
        <v>0</v>
      </c>
      <c r="SP72" s="20" t="n">
        <v>0</v>
      </c>
      <c r="SQ72" s="20" t="n">
        <v>0</v>
      </c>
      <c r="SR72" s="20" t="n">
        <v>0</v>
      </c>
      <c r="SS72" s="20" t="n">
        <v>0</v>
      </c>
      <c r="ST72" s="20" t="n">
        <v>0</v>
      </c>
      <c r="SU72" s="20" t="n">
        <v>0</v>
      </c>
      <c r="SV72" s="20" t="n">
        <v>0</v>
      </c>
      <c r="SW72" s="20" t="n">
        <v>0</v>
      </c>
      <c r="SX72" s="20" t="n">
        <v>0</v>
      </c>
      <c r="SY72" s="20" t="n">
        <v>0</v>
      </c>
      <c r="SZ72" s="20" t="n">
        <v>0</v>
      </c>
      <c r="TA72" s="20" t="n">
        <v>0</v>
      </c>
      <c r="TB72" s="20" t="n">
        <v>0</v>
      </c>
      <c r="TC72" s="20" t="n">
        <v>0</v>
      </c>
      <c r="TD72" s="20" t="n">
        <v>0</v>
      </c>
      <c r="TE72" s="20" t="n">
        <f aca="false">IF(AKR71&lt;=0,0,IF(H_Direct=1,IF(BR72&lt;=0,PR72,IF(PR72&lt;=(H72+I72)/BR72,PR72,(PR72-G72*(H72+I72))/(1-G72*BR72))),PR72/(1-MAX(0,BR72)*H_Exit)))</f>
        <v>0</v>
      </c>
      <c r="TF72" s="20" t="n">
        <f aca="false">IF(AKS71&lt;=0,0,IF(H_Direct=1,IF(BS72&lt;=0,PS72,IF(PS72&lt;=(WR72+AAE72)/BS72,PS72,(PS72-G72*(WR72+AAE72))/(1-G72*BS72))),PS72/(1-MAX(0,BS72)*H_Exit)))</f>
        <v>0</v>
      </c>
      <c r="TG72" s="20" t="n">
        <f aca="false">IF(AKT71&lt;=0,0,IF(H_Direct=1,IF(BT72&lt;=0,PT72,IF(PT72&lt;=(WS72+AAF72)/BT72,PT72,(PT72-G72*(WS72+AAF72))/(1-G72*BT72))),PT72/(1-MAX(0,BT72)*H_Exit)))</f>
        <v>0</v>
      </c>
      <c r="TH72" s="20" t="n">
        <f aca="false">IF(AKU71&lt;=0,0,IF(H_Direct=1,IF(BU72&lt;=0,PU72,IF(PU72&lt;=(WT72+AAG72)/BU72,PU72,(PU72-G72*(WT72+AAG72))/(1-G72*BU72))),PU72/(1-MAX(0,BU72)*H_Exit)))</f>
        <v>0</v>
      </c>
      <c r="TI72" s="20" t="n">
        <f aca="false">IF(AKV71&lt;=0,0,IF(H_Direct=1,IF(BV72&lt;=0,PV72,IF(PV72&lt;=(WU72+AAH72)/BV72,PV72,(PV72-G72*(WU72+AAH72))/(1-G72*BV72))),PV72/(1-MAX(0,BV72)*H_Exit)))</f>
        <v>0</v>
      </c>
      <c r="TJ72" s="20" t="n">
        <f aca="false">IF(AKW71&lt;=0,0,IF(H_Direct=1,IF(BW72&lt;=0,PW72,IF(PW72&lt;=(WV72+AAI72)/BW72,PW72,(PW72-G72*(WV72+AAI72))/(1-G72*BW72))),PW72/(1-MAX(0,BW72)*H_Exit)))</f>
        <v>0</v>
      </c>
      <c r="TK72" s="20" t="n">
        <f aca="false">IF(AKX71&lt;=0,0,IF(H_Direct=1,IF(BX72&lt;=0,PX72,IF(PX72&lt;=(WW72+AAJ72)/BX72,PX72,(PX72-G72*(WW72+AAJ72))/(1-G72*BX72))),PX72/(1-MAX(0,BX72)*H_Exit)))</f>
        <v>0</v>
      </c>
      <c r="TL72" s="20" t="n">
        <f aca="false">IF(AKY71&lt;=0,0,IF(H_Direct=1,IF(BY72&lt;=0,PY72,IF(PY72&lt;=(WX72+AAK72)/BY72,PY72,(PY72-G72*(WX72+AAK72))/(1-G72*BY72))),PY72/(1-MAX(0,BY72)*H_Exit)))</f>
        <v>0</v>
      </c>
      <c r="TM72" s="20" t="n">
        <f aca="false">IF(AKZ71&lt;=0,0,IF(H_Direct=1,IF(BZ72&lt;=0,PZ72,IF(PZ72&lt;=(WY72+AAL72)/BZ72,PZ72,(PZ72-G72*(WY72+AAL72))/(1-G72*BZ72))),PZ72/(1-MAX(0,BZ72)*H_Exit)))</f>
        <v>0</v>
      </c>
      <c r="TN72" s="20" t="n">
        <f aca="false">IF(ALA71&lt;=0,0,IF(H_Direct=1,IF(CA72&lt;=0,QA72,IF(QA72&lt;=(WZ72+AAM72)/CA72,QA72,(QA72-G72*(WZ72+AAM72))/(1-G72*CA72))),QA72/(1-MAX(0,CA72)*H_Exit)))</f>
        <v>0</v>
      </c>
      <c r="TO72" s="20" t="n">
        <f aca="false">IF(ALB71&lt;=0,0,IF(H_Direct=1,IF(CB72&lt;=0,QB72,IF(QB72&lt;=(XA72+AAN72)/CB72,QB72,(QB72-G72*(XA72+AAN72))/(1-G72*CB72))),QB72/(1-MAX(0,CB72)*H_Exit)))</f>
        <v>0</v>
      </c>
      <c r="TP72" s="20" t="n">
        <f aca="false">IF(ALC71&lt;=0,0,IF(H_Direct=1,IF(CC72&lt;=0,QC72,IF(QC72&lt;=(XB72+AAO72)/CC72,QC72,(QC72-G72*(XB72+AAO72))/(1-G72*CC72))),QC72/(1-MAX(0,CC72)*H_Exit)))</f>
        <v>0</v>
      </c>
      <c r="TQ72" s="20" t="n">
        <f aca="false">IF(ALD71&lt;=0,0,IF(H_Direct=1,IF(CD72&lt;=0,QD72,IF(QD72&lt;=(XC72+AAP72)/CD72,QD72,(QD72-G72*(XC72+AAP72))/(1-G72*CD72))),QD72/(1-MAX(0,CD72)*H_Exit)))</f>
        <v>0</v>
      </c>
      <c r="TR72" s="20" t="n">
        <f aca="false">IF(ALE71&lt;=0,0,IF(H_Direct=1,IF(CE72&lt;=0,QE72,IF(QE72&lt;=(XD72+AAQ72)/CE72,QE72,(QE72-G72*(XD72+AAQ72))/(1-G72*CE72))),QE72/(1-MAX(0,CE72)*H_Exit)))</f>
        <v>0</v>
      </c>
      <c r="TS72" s="20" t="n">
        <f aca="false">IF(ALF71&lt;=0,0,IF(H_Direct=1,IF(CF72&lt;=0,QF72,IF(QF72&lt;=(XE72+AAR72)/CF72,QF72,(QF72-G72*(XE72+AAR72))/(1-G72*CF72))),QF72/(1-MAX(0,CF72)*H_Exit)))</f>
        <v>0</v>
      </c>
      <c r="TT72" s="20" t="n">
        <f aca="false">IF(ALG71&lt;=0,0,IF(H_Direct=1,IF(CG72&lt;=0,QG72,IF(QG72&lt;=(XF72+AAS72)/CG72,QG72,(QG72-G72*(XF72+AAS72))/(1-G72*CG72))),QG72/(1-MAX(0,CG72)*H_Exit)))</f>
        <v>0</v>
      </c>
      <c r="TU72" s="20" t="n">
        <f aca="false">IF(ALH71&lt;=0,0,IF(H_Direct=1,IF(CH72&lt;=0,QH72,IF(QH72&lt;=(XG72+AAT72)/CH72,QH72,(QH72-G72*(XG72+AAT72))/(1-G72*CH72))),QH72/(1-MAX(0,CH72)*H_Exit)))</f>
        <v>0</v>
      </c>
      <c r="TV72" s="20" t="n">
        <f aca="false">IF(ALI71&lt;=0,0,IF(H_Direct=1,IF(CI72&lt;=0,QI72,IF(QI72&lt;=(XH72+AAU72)/CI72,QI72,(QI72-G72*(XH72+AAU72))/(1-G72*CI72))),QI72/(1-MAX(0,CI72)*H_Exit)))</f>
        <v>0</v>
      </c>
      <c r="TW72" s="20" t="n">
        <f aca="false">IF(ALJ71&lt;=0,0,IF(H_Direct=1,IF(CJ72&lt;=0,QJ72,IF(QJ72&lt;=(XI72+AAV72)/CJ72,QJ72,(QJ72-G72*(XI72+AAV72))/(1-G72*CJ72))),QJ72/(1-MAX(0,CJ72)*H_Exit)))</f>
        <v>0</v>
      </c>
      <c r="TX72" s="20" t="n">
        <f aca="false">IF(ALK71&lt;=0,0,IF(H_Direct=1,IF(CK72&lt;=0,QK72,IF(QK72&lt;=(XJ72+AAW72)/CK72,QK72,(QK72-G72*(XJ72+AAW72))/(1-G72*CK72))),QK72/(1-MAX(0,CK72)*H_Exit)))</f>
        <v>0</v>
      </c>
      <c r="TY72" s="20" t="n">
        <f aca="false">IF(ALL71&lt;=0,0,IF(H_Direct=1,IF(CL72&lt;=0,QL72,IF(QL72&lt;=(XK72+AAX72)/CL72,QL72,(QL72-G72*(XK72+AAX72))/(1-G72*CL72))),QL72/(1-MAX(0,CL72)*H_Exit)))</f>
        <v>0</v>
      </c>
      <c r="TZ72" s="20" t="n">
        <f aca="false">IF(ALM71&lt;=0,0,IF(H_Direct=1,IF(CM72&lt;=0,QM72,IF(QM72&lt;=(XL72+AAY72)/CM72,QM72,(QM72-G72*(XL72+AAY72))/(1-G72*CM72))),QM72/(1-MAX(0,CM72)*H_Exit)))</f>
        <v>0</v>
      </c>
      <c r="UA72" s="20" t="n">
        <f aca="false">IF(ALN71&lt;=0,0,IF(H_Direct=1,IF(CN72&lt;=0,QN72,IF(QN72&lt;=(XM72+AAZ72)/CN72,QN72,(QN72-G72*(XM72+AAZ72))/(1-G72*CN72))),QN72/(1-MAX(0,CN72)*H_Exit)))</f>
        <v>0</v>
      </c>
      <c r="UB72" s="20" t="n">
        <f aca="false">IF(ALO71&lt;=0,0,IF(H_Direct=1,IF(CO72&lt;=0,QO72,IF(QO72&lt;=(XN72+ABA72)/CO72,QO72,(QO72-G72*(XN72+ABA72))/(1-G72*CO72))),QO72/(1-MAX(0,CO72)*H_Exit)))</f>
        <v>0</v>
      </c>
      <c r="UC72" s="20" t="n">
        <f aca="false">IF(ALP71&lt;=0,0,IF(H_Direct=1,IF(CP72&lt;=0,QP72,IF(QP72&lt;=(XO72+ABB72)/CP72,QP72,(QP72-G72*(XO72+ABB72))/(1-G72*CP72))),QP72/(1-MAX(0,CP72)*H_Exit)))</f>
        <v>0</v>
      </c>
      <c r="UD72" s="20" t="n">
        <f aca="false">IF(ALQ71&lt;=0,0,IF(H_Direct=1,IF(CQ72&lt;=0,QQ72,IF(QQ72&lt;=(XP72+ABC72)/CQ72,QQ72,(QQ72-G72*(XP72+ABC72))/(1-G72*CQ72))),QQ72/(1-MAX(0,CQ72)*H_Exit)))</f>
        <v>0</v>
      </c>
      <c r="UE72" s="20" t="n">
        <f aca="false">IF(ALR71&lt;=0,0,IF(H_Direct=1,IF(CR72&lt;=0,QR72,IF(QR72&lt;=(XQ72+ABD72)/CR72,QR72,(QR72-G72*(XQ72+ABD72))/(1-G72*CR72))),QR72/(1-MAX(0,CR72)*H_Exit)))</f>
        <v>0</v>
      </c>
      <c r="UF72" s="20" t="n">
        <f aca="false">IF(ALS71&lt;=0,0,IF(H_Direct=1,IF(CS72&lt;=0,QS72,IF(QS72&lt;=(XR72+ABE72)/CS72,QS72,(QS72-G72*(XR72+ABE72))/(1-G72*CS72))),QS72/(1-MAX(0,CS72)*H_Exit)))</f>
        <v>0</v>
      </c>
      <c r="UG72" s="20" t="n">
        <f aca="false">IF(ALT71&lt;=0,0,IF(H_Direct=1,IF(CT72&lt;=0,QT72,IF(QT72&lt;=(XS72+ABF72)/CT72,QT72,(QT72-G72*(XS72+ABF72))/(1-G72*CT72))),QT72/(1-MAX(0,CT72)*H_Exit)))</f>
        <v>0</v>
      </c>
      <c r="UH72" s="20" t="n">
        <f aca="false">IF(ALU71&lt;=0,0,IF(H_Direct=1,IF(CU72&lt;=0,QU72,IF(QU72&lt;=(XT72+ABG72)/CU72,QU72,(QU72-G72*(XT72+ABG72))/(1-G72*CU72))),QU72/(1-MAX(0,CU72)*H_Exit)))</f>
        <v>0</v>
      </c>
      <c r="UI72" s="20" t="n">
        <f aca="false">IF(ALV71&lt;=0,0,IF(H_Direct=1,IF(CV72&lt;=0,QV72,IF(QV72&lt;=(XU72+ABH72)/CV72,QV72,(QV72-G72*(XU72+ABH72))/(1-G72*CV72))),QV72/(1-MAX(0,CV72)*H_Exit)))</f>
        <v>0</v>
      </c>
      <c r="UJ72" s="20" t="n">
        <f aca="false">IF(ALW71&lt;=0,0,IF(H_Direct=1,IF(CW72&lt;=0,QW72,IF(QW72&lt;=(XV72+ABI72)/CW72,QW72,(QW72-G72*(XV72+ABI72))/(1-G72*CW72))),QW72/(1-MAX(0,CW72)*H_Exit)))</f>
        <v>0</v>
      </c>
      <c r="UK72" s="20" t="n">
        <f aca="false">IF(ALX71&lt;=0,0,IF(H_Direct=1,IF(CX72&lt;=0,QX72,IF(QX72&lt;=(XW72+ABJ72)/CX72,QX72,(QX72-G72*(XW72+ABJ72))/(1-G72*CX72))),QX72/(1-MAX(0,CX72)*H_Exit)))</f>
        <v>0</v>
      </c>
      <c r="UL72" s="20" t="n">
        <f aca="false">IF(ALY71&lt;=0,0,IF(H_Direct=1,IF(CY72&lt;=0,QY72,IF(QY72&lt;=(XX72+ABK72)/CY72,QY72,(QY72-G72*(XX72+ABK72))/(1-G72*CY72))),QY72/(1-MAX(0,CY72)*H_Exit)))</f>
        <v>0</v>
      </c>
      <c r="UM72" s="20" t="n">
        <f aca="false">IF(ALZ71&lt;=0,0,IF(H_Direct=1,IF(CZ72&lt;=0,QZ72,IF(QZ72&lt;=(XY72+ABL72)/CZ72,QZ72,(QZ72-G72*(XY72+ABL72))/(1-G72*CZ72))),QZ72/(1-MAX(0,CZ72)*H_Exit)))</f>
        <v>0</v>
      </c>
      <c r="UN72" s="20" t="n">
        <f aca="false">IF(AMA71&lt;=0,0,IF(H_Direct=1,IF(DA72&lt;=0,RA72,IF(RA72&lt;=(XZ72+ABM72)/DA72,RA72,(RA72-G72*(XZ72+ABM72))/(1-G72*DA72))),RA72/(1-MAX(0,DA72)*H_Exit)))</f>
        <v>0</v>
      </c>
      <c r="UO72" s="20" t="n">
        <f aca="false">IF(AMB71&lt;=0,0,IF(H_Direct=1,IF(DB72&lt;=0,RB72,IF(RB72&lt;=(YA72+ABN72)/DB72,RB72,(RB72-G72*(YA72+ABN72))/(1-G72*DB72))),RB72/(1-MAX(0,DB72)*H_Exit)))</f>
        <v>0</v>
      </c>
      <c r="UP72" s="20" t="n">
        <f aca="false">IF(AMC71&lt;=0,0,IF(H_Direct=1,IF(DC72&lt;=0,RC72,IF(RC72&lt;=(YB72+ABO72)/DC72,RC72,(RC72-G72*(YB72+ABO72))/(1-G72*DC72))),RC72/(1-MAX(0,DC72)*H_Exit)))</f>
        <v>0</v>
      </c>
      <c r="UQ72" s="20" t="n">
        <f aca="false">IF(AMD71&lt;=0,0,IF(H_Direct=1,IF(DD72&lt;=0,RD72,IF(RD72&lt;=(YC72+ABP72)/DD72,RD72,(RD72-G72*(YC72+ABP72))/(1-G72*DD72))),RD72/(1-MAX(0,DD72)*H_Exit)))</f>
        <v>0</v>
      </c>
      <c r="UR72" s="20" t="n">
        <f aca="false">IF(AME71&lt;=0,0,IF(H_Direct=1,IF(DE72&lt;=0,RE72,IF(RE72&lt;=(YD72+ABQ72)/DE72,RE72,(RE72-G72*(YD72+ABQ72))/(1-G72*DE72))),RE72/(1-MAX(0,DE72)*H_Exit)))</f>
        <v>0</v>
      </c>
      <c r="US72" s="20" t="n">
        <f aca="false">IF(AMF71&lt;=0,0,IF(H_Direct=1,IF(DF72&lt;=0,RF72,IF(RF72&lt;=(YE72+ABR72)/DF72,RF72,(RF72-G72*(YE72+ABR72))/(1-G72*DF72))),RF72/(1-MAX(0,DF72)*H_Exit)))</f>
        <v>0</v>
      </c>
      <c r="UT72" s="20" t="n">
        <f aca="false">IF(AMG71&lt;=0,0,IF(H_Direct=1,IF(DG72&lt;=0,RG72,IF(RG72&lt;=(YF72+ABS72)/DG72,RG72,(RG72-G72*(YF72+ABS72))/(1-G72*DG72))),RG72/(1-MAX(0,DG72)*H_Exit)))</f>
        <v>0</v>
      </c>
      <c r="UU72" s="20" t="n">
        <f aca="false">IF(AMH71&lt;=0,0,IF(H_Direct=1,IF(DH72&lt;=0,RH72,IF(RH72&lt;=(YG72+ABT72)/DH72,RH72,(RH72-G72*(YG72+ABT72))/(1-G72*DH72))),RH72/(1-MAX(0,DH72)*H_Exit)))</f>
        <v>0</v>
      </c>
      <c r="UV72" s="20" t="n">
        <f aca="false">IF(AMI71&lt;=0,0,IF(H_Direct=1,IF(DI72&lt;=0,RI72,IF(RI72&lt;=(YH72+ABU72)/DI72,RI72,(RI72-G72*(YH72+ABU72))/(1-G72*DI72))),RI72/(1-MAX(0,DI72)*H_Exit)))</f>
        <v>0</v>
      </c>
      <c r="UW72" s="20" t="n">
        <f aca="false">IF(AMJ71&lt;=0,0,IF(H_Direct=1,IF(DJ72&lt;=0,RJ72,IF(RJ72&lt;=(YI72+ABV72)/DJ72,RJ72,(RJ72-G72*(YI72+ABV72))/(1-G72*DJ72))),RJ72/(1-MAX(0,DJ72)*H_Exit)))</f>
        <v>0</v>
      </c>
      <c r="UX72" s="20" t="n">
        <f aca="false">IF(AMK71&lt;=0,0,IF(H_Direct=1,IF(DK72&lt;=0,RK72,IF(RK72&lt;=(YJ72+ABW72)/DK72,RK72,(RK72-G72*(YJ72+ABW72))/(1-G72*DK72))),RK72/(1-MAX(0,DK72)*H_Exit)))</f>
        <v>0</v>
      </c>
      <c r="UY72" s="20" t="n">
        <f aca="false">IF(AML71&lt;=0,0,IF(H_Direct=1,IF(DL72&lt;=0,RL72,IF(RL72&lt;=(YK72+ABX72)/DL72,RL72,(RL72-G72*(YK72+ABX72))/(1-G72*DL72))),RL72/(1-MAX(0,DL72)*H_Exit)))</f>
        <v>0</v>
      </c>
      <c r="UZ72" s="20" t="n">
        <f aca="false">IF(AMM71&lt;=0,0,IF(H_Direct=1,IF(DM72&lt;=0,RM72,IF(RM72&lt;=(YL72+ABY72)/DM72,RM72,(RM72-G72*(YL72+ABY72))/(1-G72*DM72))),RM72/(1-MAX(0,DM72)*H_Exit)))</f>
        <v>0</v>
      </c>
      <c r="VA72" s="20" t="n">
        <f aca="false">IF(AMN71&lt;=0,0,IF(H_Direct=1,IF(DN72&lt;=0,RN72,IF(RN72&lt;=(YM72+ABZ72)/DN72,RN72,(RN72-G72*(YM72+ABZ72))/(1-G72*DN72))),RN72/(1-MAX(0,DN72)*H_Exit)))</f>
        <v>0</v>
      </c>
      <c r="VB72" s="20" t="n">
        <f aca="false">IF(AMO71&lt;=0,0,IF(H_Direct=1,IF(DO72&lt;=0,RO72,IF(RO72&lt;=(YN72+ACA72)/DO72,RO72,(RO72-G72*(YN72+ACA72))/(1-G72*DO72))),RO72/(1-MAX(0,DO72)*H_Exit)))</f>
        <v>0</v>
      </c>
      <c r="VC72" s="20" t="n">
        <f aca="false">IF(AMP71&lt;=0,0,IF(H_Direct=1,IF(DP72&lt;=0,RP72,IF(RP72&lt;=(YO72+ACB72)/DP72,RP72,(RP72-G72*(YO72+ACB72))/(1-G72*DP72))),RP72/(1-MAX(0,DP72)*H_Exit)))</f>
        <v>0</v>
      </c>
      <c r="VD72" s="20" t="n">
        <f aca="false">IF(AMQ71&lt;=0,0,IF(H_Direct=1,IF(DQ72&lt;=0,RQ72,IF(RQ72&lt;=(YP72+ACC72)/DQ72,RQ72,(RQ72-G72*(YP72+ACC72))/(1-G72*DQ72))),RQ72/(1-MAX(0,DQ72)*H_Exit)))</f>
        <v>0</v>
      </c>
      <c r="VE72" s="20" t="n">
        <f aca="false">IF(AMR71&lt;=0,0,IF(H_Direct=1,IF(DR72&lt;=0,RR72,IF(RR72&lt;=(YQ72+ACD72)/DR72,RR72,(RR72-G72*(YQ72+ACD72))/(1-G72*DR72))),RR72/(1-MAX(0,DR72)*H_Exit)))</f>
        <v>0</v>
      </c>
      <c r="VF72" s="20" t="n">
        <f aca="false">IF(AMS71&lt;=0,0,IF(H_Direct=1,IF(DS72&lt;=0,RS72,IF(RS72&lt;=(YR72+ACE72)/DS72,RS72,(RS72-G72*(YR72+ACE72))/(1-G72*DS72))),RS72/(1-MAX(0,DS72)*H_Exit)))</f>
        <v>0</v>
      </c>
      <c r="VG72" s="20" t="n">
        <f aca="false">IF(AMT71&lt;=0,0,IF(H_Direct=1,IF(DT72&lt;=0,RT72,IF(RT72&lt;=(YS72+ACF72)/DT72,RT72,(RT72-G72*(YS72+ACF72))/(1-G72*DT72))),RT72/(1-MAX(0,DT72)*H_Exit)))</f>
        <v>0</v>
      </c>
      <c r="VH72" s="20" t="n">
        <f aca="false">IF(AMU71&lt;=0,0,IF(H_Direct=1,IF(DU72&lt;=0,RU72,IF(RU72&lt;=(YT72+ACG72)/DU72,RU72,(RU72-G72*(YT72+ACG72))/(1-G72*DU72))),RU72/(1-MAX(0,DU72)*H_Exit)))</f>
        <v>0</v>
      </c>
      <c r="VI72" s="20" t="n">
        <f aca="false">IF(AMV71&lt;=0,0,IF(H_Direct=1,IF(DV72&lt;=0,RV72,IF(RV72&lt;=(YU72+ACH72)/DV72,RV72,(RV72-G72*(YU72+ACH72))/(1-G72*DV72))),RV72/(1-MAX(0,DV72)*H_Exit)))</f>
        <v>0</v>
      </c>
      <c r="VJ72" s="20" t="n">
        <f aca="false">IF(AMW71&lt;=0,0,IF(H_Direct=1,IF(DW72&lt;=0,RW72,IF(RW72&lt;=(YV72+ACI72)/DW72,RW72,(RW72-G72*(YV72+ACI72))/(1-G72*DW72))),RW72/(1-MAX(0,DW72)*H_Exit)))</f>
        <v>0</v>
      </c>
      <c r="VK72" s="20" t="n">
        <f aca="false">IF(AMX71&lt;=0,0,IF(H_Direct=1,IF(DX72&lt;=0,RX72,IF(RX72&lt;=(YW72+ACJ72)/DX72,RX72,(RX72-G72*(YW72+ACJ72))/(1-G72*DX72))),RX72/(1-MAX(0,DX72)*H_Exit)))</f>
        <v>0</v>
      </c>
      <c r="VL72" s="20" t="n">
        <f aca="false">IF(AMY71&lt;=0,0,IF(H_Direct=1,IF(DY72&lt;=0,RY72,IF(RY72&lt;=(YX72+ACK72)/DY72,RY72,(RY72-G72*(YX72+ACK72))/(1-G72*DY72))),RY72/(1-MAX(0,DY72)*H_Exit)))</f>
        <v>0</v>
      </c>
      <c r="VM72" s="20" t="n">
        <f aca="false">IF(AMZ71&lt;=0,0,IF(H_Direct=1,IF(DZ72&lt;=0,RZ72,IF(RZ72&lt;=(YY72+ACL72)/DZ72,RZ72,(RZ72-G72*(YY72+ACL72))/(1-G72*DZ72))),RZ72/(1-MAX(0,DZ72)*H_Exit)))</f>
        <v>0</v>
      </c>
      <c r="VN72" s="20" t="n">
        <f aca="false">IF(ANA71&lt;=0,0,IF(H_Direct=1,IF(EA72&lt;=0,SA72,IF(SA72&lt;=(YZ72+ACM72)/EA72,SA72,(SA72-G72*(YZ72+ACM72))/(1-G72*EA72))),SA72/(1-MAX(0,EA72)*H_Exit)))</f>
        <v>0</v>
      </c>
      <c r="VO72" s="20" t="n">
        <f aca="false">IF(ANB71&lt;=0,0,IF(H_Direct=1,IF(EB72&lt;=0,SB72,IF(SB72&lt;=(ZA72+ACN72)/EB72,SB72,(SB72-G72*(ZA72+ACN72))/(1-G72*EB72))),SB72/(1-MAX(0,EB72)*H_Exit)))</f>
        <v>0</v>
      </c>
      <c r="VP72" s="20" t="n">
        <f aca="false">IF(ANC71&lt;=0,0,IF(H_Direct=1,IF(EC72&lt;=0,SC72,IF(SC72&lt;=(ZB72+ACO72)/EC72,SC72,(SC72-G72*(ZB72+ACO72))/(1-G72*EC72))),SC72/(1-MAX(0,EC72)*H_Exit)))</f>
        <v>0</v>
      </c>
      <c r="VQ72" s="20" t="n">
        <f aca="false">IF(AND71&lt;=0,0,IF(H_Direct=1,IF(ED72&lt;=0,SD72,IF(SD72&lt;=(ZC72+ACP72)/ED72,SD72,(SD72-G72*(ZC72+ACP72))/(1-G72*ED72))),SD72/(1-MAX(0,ED72)*H_Exit)))</f>
        <v>0</v>
      </c>
      <c r="VR72" s="20" t="n">
        <f aca="false">IF((P72+S72)&lt;=0,0,IF(H_Direct=1,IF(EE72&lt;=0,SE72,IF(SE72&lt;=(ZD72+ACQ72)/EE72,SE72,(SE72-G72*(ZD72+ACQ72))/(1-G72*EE72))),SE72/(1-MAX(0,EE72)*H_Exit)))</f>
        <v>0</v>
      </c>
      <c r="VS72" s="20" t="n">
        <v>0</v>
      </c>
      <c r="VT72" s="20" t="n">
        <v>0</v>
      </c>
      <c r="VU72" s="20" t="n">
        <v>0</v>
      </c>
      <c r="VV72" s="20" t="n">
        <v>0</v>
      </c>
      <c r="VW72" s="20" t="n">
        <v>0</v>
      </c>
      <c r="VX72" s="20" t="n">
        <v>0</v>
      </c>
      <c r="VY72" s="20" t="n">
        <v>0</v>
      </c>
      <c r="VZ72" s="20" t="n">
        <v>0</v>
      </c>
      <c r="WA72" s="20" t="n">
        <v>0</v>
      </c>
      <c r="WB72" s="20" t="n">
        <v>0</v>
      </c>
      <c r="WC72" s="20" t="n">
        <v>0</v>
      </c>
      <c r="WD72" s="20" t="n">
        <v>0</v>
      </c>
      <c r="WE72" s="20" t="n">
        <v>0</v>
      </c>
      <c r="WF72" s="20" t="n">
        <v>0</v>
      </c>
      <c r="WG72" s="20" t="n">
        <v>0</v>
      </c>
      <c r="WH72" s="20" t="n">
        <v>0</v>
      </c>
      <c r="WI72" s="20" t="n">
        <v>0</v>
      </c>
      <c r="WJ72" s="20" t="n">
        <v>0</v>
      </c>
      <c r="WK72" s="20" t="n">
        <v>0</v>
      </c>
      <c r="WL72" s="20" t="n">
        <v>0</v>
      </c>
      <c r="WM72" s="20" t="n">
        <v>0</v>
      </c>
      <c r="WN72" s="20" t="n">
        <v>0</v>
      </c>
      <c r="WO72" s="20" t="n">
        <v>0</v>
      </c>
      <c r="WP72" s="20" t="n">
        <v>0</v>
      </c>
      <c r="WQ72" s="20" t="n">
        <v>0</v>
      </c>
      <c r="WR72" s="20" t="n">
        <f aca="false">IF(AND(H_Direct=1,BR72&gt;0),MAX(0,H72-(MIN(BR72*TE72,(H72+I72))-MIN(MIN(BR72*TE72,(H72+I72)),I72))),H72)</f>
        <v>1270</v>
      </c>
      <c r="WS72" s="20" t="n">
        <f aca="false">IF(AND(H_Direct=1,BS72&gt;0),MAX(0,WR72-(MIN(BS72*TF72,(WR72+AAE72))-MIN(MIN(BS72*TF72,(WR72+AAE72)),AAE72))),WR72)</f>
        <v>1270</v>
      </c>
      <c r="WT72" s="20" t="n">
        <f aca="false">IF(AND(H_Direct=1,BT72&gt;0),MAX(0,WS72-(MIN(BT72*TG72,(WS72+AAF72))-MIN(MIN(BT72*TG72,(WS72+AAF72)),AAF72))),WS72)</f>
        <v>1270</v>
      </c>
      <c r="WU72" s="20" t="n">
        <f aca="false">IF(AND(H_Direct=1,BU72&gt;0),MAX(0,WT72-(MIN(BU72*TH72,(WT72+AAG72))-MIN(MIN(BU72*TH72,(WT72+AAG72)),AAG72))),WT72)</f>
        <v>1270</v>
      </c>
      <c r="WV72" s="20" t="n">
        <f aca="false">IF(AND(H_Direct=1,BV72&gt;0),MAX(0,WU72-(MIN(BV72*TI72,(WU72+AAH72))-MIN(MIN(BV72*TI72,(WU72+AAH72)),AAH72))),WU72)</f>
        <v>1270</v>
      </c>
      <c r="WW72" s="20" t="n">
        <f aca="false">IF(AND(H_Direct=1,BW72&gt;0),MAX(0,WV72-(MIN(BW72*TJ72,(WV72+AAI72))-MIN(MIN(BW72*TJ72,(WV72+AAI72)),AAI72))),WV72)</f>
        <v>1270</v>
      </c>
      <c r="WX72" s="20" t="n">
        <f aca="false">IF(AND(H_Direct=1,BX72&gt;0),MAX(0,WW72-(MIN(BX72*TK72,(WW72+AAJ72))-MIN(MIN(BX72*TK72,(WW72+AAJ72)),AAJ72))),WW72)</f>
        <v>1270</v>
      </c>
      <c r="WY72" s="20" t="n">
        <f aca="false">IF(AND(H_Direct=1,BY72&gt;0),MAX(0,WX72-(MIN(BY72*TL72,(WX72+AAK72))-MIN(MIN(BY72*TL72,(WX72+AAK72)),AAK72))),WX72)</f>
        <v>1270</v>
      </c>
      <c r="WZ72" s="20" t="n">
        <f aca="false">IF(AND(H_Direct=1,BZ72&gt;0),MAX(0,WY72-(MIN(BZ72*TM72,(WY72+AAL72))-MIN(MIN(BZ72*TM72,(WY72+AAL72)),AAL72))),WY72)</f>
        <v>1270</v>
      </c>
      <c r="XA72" s="20" t="n">
        <f aca="false">IF(AND(H_Direct=1,CA72&gt;0),MAX(0,WZ72-(MIN(CA72*TN72,(WZ72+AAM72))-MIN(MIN(CA72*TN72,(WZ72+AAM72)),AAM72))),WZ72)</f>
        <v>1270</v>
      </c>
      <c r="XB72" s="20" t="n">
        <f aca="false">IF(AND(H_Direct=1,CB72&gt;0),MAX(0,XA72-(MIN(CB72*TO72,(XA72+AAN72))-MIN(MIN(CB72*TO72,(XA72+AAN72)),AAN72))),XA72)</f>
        <v>1270</v>
      </c>
      <c r="XC72" s="20" t="n">
        <f aca="false">IF(AND(H_Direct=1,CC72&gt;0),MAX(0,XB72-(MIN(CC72*TP72,(XB72+AAO72))-MIN(MIN(CC72*TP72,(XB72+AAO72)),AAO72))),XB72)</f>
        <v>1270</v>
      </c>
      <c r="XD72" s="20" t="n">
        <f aca="false">IF(AND(H_Direct=1,CD72&gt;0),MAX(0,XC72-(MIN(CD72*TQ72,(XC72+AAP72))-MIN(MIN(CD72*TQ72,(XC72+AAP72)),AAP72))),XC72)</f>
        <v>1270</v>
      </c>
      <c r="XE72" s="20" t="n">
        <f aca="false">IF(AND(H_Direct=1,CE72&gt;0),MAX(0,XD72-(MIN(CE72*TR72,(XD72+AAQ72))-MIN(MIN(CE72*TR72,(XD72+AAQ72)),AAQ72))),XD72)</f>
        <v>1270</v>
      </c>
      <c r="XF72" s="20" t="n">
        <f aca="false">IF(AND(H_Direct=1,CF72&gt;0),MAX(0,XE72-(MIN(CF72*TS72,(XE72+AAR72))-MIN(MIN(CF72*TS72,(XE72+AAR72)),AAR72))),XE72)</f>
        <v>1270</v>
      </c>
      <c r="XG72" s="20" t="n">
        <f aca="false">IF(AND(H_Direct=1,CG72&gt;0),MAX(0,XF72-(MIN(CG72*TT72,(XF72+AAS72))-MIN(MIN(CG72*TT72,(XF72+AAS72)),AAS72))),XF72)</f>
        <v>1270</v>
      </c>
      <c r="XH72" s="20" t="n">
        <f aca="false">IF(AND(H_Direct=1,CH72&gt;0),MAX(0,XG72-(MIN(CH72*TU72,(XG72+AAT72))-MIN(MIN(CH72*TU72,(XG72+AAT72)),AAT72))),XG72)</f>
        <v>1270</v>
      </c>
      <c r="XI72" s="20" t="n">
        <f aca="false">IF(AND(H_Direct=1,CI72&gt;0),MAX(0,XH72-(MIN(CI72*TV72,(XH72+AAU72))-MIN(MIN(CI72*TV72,(XH72+AAU72)),AAU72))),XH72)</f>
        <v>1270</v>
      </c>
      <c r="XJ72" s="20" t="n">
        <f aca="false">IF(AND(H_Direct=1,CJ72&gt;0),MAX(0,XI72-(MIN(CJ72*TW72,(XI72+AAV72))-MIN(MIN(CJ72*TW72,(XI72+AAV72)),AAV72))),XI72)</f>
        <v>1270</v>
      </c>
      <c r="XK72" s="20" t="n">
        <f aca="false">IF(AND(H_Direct=1,CK72&gt;0),MAX(0,XJ72-(MIN(CK72*TX72,(XJ72+AAW72))-MIN(MIN(CK72*TX72,(XJ72+AAW72)),AAW72))),XJ72)</f>
        <v>1270</v>
      </c>
      <c r="XL72" s="20" t="n">
        <f aca="false">IF(AND(H_Direct=1,CL72&gt;0),MAX(0,XK72-(MIN(CL72*TY72,(XK72+AAX72))-MIN(MIN(CL72*TY72,(XK72+AAX72)),AAX72))),XK72)</f>
        <v>1270</v>
      </c>
      <c r="XM72" s="20" t="n">
        <f aca="false">IF(AND(H_Direct=1,CM72&gt;0),MAX(0,XL72-(MIN(CM72*TZ72,(XL72+AAY72))-MIN(MIN(CM72*TZ72,(XL72+AAY72)),AAY72))),XL72)</f>
        <v>1270</v>
      </c>
      <c r="XN72" s="20" t="n">
        <f aca="false">IF(AND(H_Direct=1,CN72&gt;0),MAX(0,XM72-(MIN(CN72*UA72,(XM72+AAZ72))-MIN(MIN(CN72*UA72,(XM72+AAZ72)),AAZ72))),XM72)</f>
        <v>1270</v>
      </c>
      <c r="XO72" s="20" t="n">
        <f aca="false">IF(AND(H_Direct=1,CO72&gt;0),MAX(0,XN72-(MIN(CO72*UB72,(XN72+ABA72))-MIN(MIN(CO72*UB72,(XN72+ABA72)),ABA72))),XN72)</f>
        <v>1270</v>
      </c>
      <c r="XP72" s="20" t="n">
        <f aca="false">IF(AND(H_Direct=1,CP72&gt;0),MAX(0,XO72-(MIN(CP72*UC72,(XO72+ABB72))-MIN(MIN(CP72*UC72,(XO72+ABB72)),ABB72))),XO72)</f>
        <v>1270</v>
      </c>
      <c r="XQ72" s="20" t="n">
        <f aca="false">IF(AND(H_Direct=1,CQ72&gt;0),MAX(0,XP72-(MIN(CQ72*UD72,(XP72+ABC72))-MIN(MIN(CQ72*UD72,(XP72+ABC72)),ABC72))),XP72)</f>
        <v>1270</v>
      </c>
      <c r="XR72" s="20" t="n">
        <f aca="false">IF(AND(H_Direct=1,CR72&gt;0),MAX(0,XQ72-(MIN(CR72*UE72,(XQ72+ABD72))-MIN(MIN(CR72*UE72,(XQ72+ABD72)),ABD72))),XQ72)</f>
        <v>1270</v>
      </c>
      <c r="XS72" s="20" t="n">
        <f aca="false">IF(AND(H_Direct=1,CS72&gt;0),MAX(0,XR72-(MIN(CS72*UF72,(XR72+ABE72))-MIN(MIN(CS72*UF72,(XR72+ABE72)),ABE72))),XR72)</f>
        <v>1270</v>
      </c>
      <c r="XT72" s="20" t="n">
        <f aca="false">IF(AND(H_Direct=1,CT72&gt;0),MAX(0,XS72-(MIN(CT72*UG72,(XS72+ABF72))-MIN(MIN(CT72*UG72,(XS72+ABF72)),ABF72))),XS72)</f>
        <v>1270</v>
      </c>
      <c r="XU72" s="20" t="n">
        <f aca="false">IF(AND(H_Direct=1,CU72&gt;0),MAX(0,XT72-(MIN(CU72*UH72,(XT72+ABG72))-MIN(MIN(CU72*UH72,(XT72+ABG72)),ABG72))),XT72)</f>
        <v>1270</v>
      </c>
      <c r="XV72" s="20" t="n">
        <f aca="false">IF(AND(H_Direct=1,CV72&gt;0),MAX(0,XU72-(MIN(CV72*UI72,(XU72+ABH72))-MIN(MIN(CV72*UI72,(XU72+ABH72)),ABH72))),XU72)</f>
        <v>1270</v>
      </c>
      <c r="XW72" s="20" t="n">
        <f aca="false">IF(AND(H_Direct=1,CW72&gt;0),MAX(0,XV72-(MIN(CW72*UJ72,(XV72+ABI72))-MIN(MIN(CW72*UJ72,(XV72+ABI72)),ABI72))),XV72)</f>
        <v>1270</v>
      </c>
      <c r="XX72" s="20" t="n">
        <f aca="false">IF(AND(H_Direct=1,CX72&gt;0),MAX(0,XW72-(MIN(CX72*UK72,(XW72+ABJ72))-MIN(MIN(CX72*UK72,(XW72+ABJ72)),ABJ72))),XW72)</f>
        <v>1270</v>
      </c>
      <c r="XY72" s="20" t="n">
        <f aca="false">IF(AND(H_Direct=1,CY72&gt;0),MAX(0,XX72-(MIN(CY72*UL72,(XX72+ABK72))-MIN(MIN(CY72*UL72,(XX72+ABK72)),ABK72))),XX72)</f>
        <v>1270</v>
      </c>
      <c r="XZ72" s="20" t="n">
        <f aca="false">IF(AND(H_Direct=1,CZ72&gt;0),MAX(0,XY72-(MIN(CZ72*UM72,(XY72+ABL72))-MIN(MIN(CZ72*UM72,(XY72+ABL72)),ABL72))),XY72)</f>
        <v>1270</v>
      </c>
      <c r="YA72" s="20" t="n">
        <f aca="false">IF(AND(H_Direct=1,DA72&gt;0),MAX(0,XZ72-(MIN(DA72*UN72,(XZ72+ABM72))-MIN(MIN(DA72*UN72,(XZ72+ABM72)),ABM72))),XZ72)</f>
        <v>1270</v>
      </c>
      <c r="YB72" s="20" t="n">
        <f aca="false">IF(AND(H_Direct=1,DB72&gt;0),MAX(0,YA72-(MIN(DB72*UO72,(YA72+ABN72))-MIN(MIN(DB72*UO72,(YA72+ABN72)),ABN72))),YA72)</f>
        <v>1270</v>
      </c>
      <c r="YC72" s="20" t="n">
        <f aca="false">IF(AND(H_Direct=1,DC72&gt;0),MAX(0,YB72-(MIN(DC72*UP72,(YB72+ABO72))-MIN(MIN(DC72*UP72,(YB72+ABO72)),ABO72))),YB72)</f>
        <v>1270</v>
      </c>
      <c r="YD72" s="20" t="n">
        <f aca="false">IF(AND(H_Direct=1,DD72&gt;0),MAX(0,YC72-(MIN(DD72*UQ72,(YC72+ABP72))-MIN(MIN(DD72*UQ72,(YC72+ABP72)),ABP72))),YC72)</f>
        <v>1270</v>
      </c>
      <c r="YE72" s="20" t="n">
        <f aca="false">IF(AND(H_Direct=1,DE72&gt;0),MAX(0,YD72-(MIN(DE72*UR72,(YD72+ABQ72))-MIN(MIN(DE72*UR72,(YD72+ABQ72)),ABQ72))),YD72)</f>
        <v>1270</v>
      </c>
      <c r="YF72" s="20" t="n">
        <f aca="false">IF(AND(H_Direct=1,DF72&gt;0),MAX(0,YE72-(MIN(DF72*US72,(YE72+ABR72))-MIN(MIN(DF72*US72,(YE72+ABR72)),ABR72))),YE72)</f>
        <v>1270</v>
      </c>
      <c r="YG72" s="20" t="n">
        <f aca="false">IF(AND(H_Direct=1,DG72&gt;0),MAX(0,YF72-(MIN(DG72*UT72,(YF72+ABS72))-MIN(MIN(DG72*UT72,(YF72+ABS72)),ABS72))),YF72)</f>
        <v>1270</v>
      </c>
      <c r="YH72" s="20" t="n">
        <f aca="false">IF(AND(H_Direct=1,DH72&gt;0),MAX(0,YG72-(MIN(DH72*UU72,(YG72+ABT72))-MIN(MIN(DH72*UU72,(YG72+ABT72)),ABT72))),YG72)</f>
        <v>1270</v>
      </c>
      <c r="YI72" s="20" t="n">
        <f aca="false">IF(AND(H_Direct=1,DI72&gt;0),MAX(0,YH72-(MIN(DI72*UV72,(YH72+ABU72))-MIN(MIN(DI72*UV72,(YH72+ABU72)),ABU72))),YH72)</f>
        <v>1270</v>
      </c>
      <c r="YJ72" s="20" t="n">
        <f aca="false">IF(AND(H_Direct=1,DJ72&gt;0),MAX(0,YI72-(MIN(DJ72*UW72,(YI72+ABV72))-MIN(MIN(DJ72*UW72,(YI72+ABV72)),ABV72))),YI72)</f>
        <v>1270</v>
      </c>
      <c r="YK72" s="20" t="n">
        <f aca="false">IF(AND(H_Direct=1,DK72&gt;0),MAX(0,YJ72-(MIN(DK72*UX72,(YJ72+ABW72))-MIN(MIN(DK72*UX72,(YJ72+ABW72)),ABW72))),YJ72)</f>
        <v>1270</v>
      </c>
      <c r="YL72" s="20" t="n">
        <f aca="false">IF(AND(H_Direct=1,DL72&gt;0),MAX(0,YK72-(MIN(DL72*UY72,(YK72+ABX72))-MIN(MIN(DL72*UY72,(YK72+ABX72)),ABX72))),YK72)</f>
        <v>1270</v>
      </c>
      <c r="YM72" s="20" t="n">
        <f aca="false">IF(AND(H_Direct=1,DM72&gt;0),MAX(0,YL72-(MIN(DM72*UZ72,(YL72+ABY72))-MIN(MIN(DM72*UZ72,(YL72+ABY72)),ABY72))),YL72)</f>
        <v>1270</v>
      </c>
      <c r="YN72" s="20" t="n">
        <f aca="false">IF(AND(H_Direct=1,DN72&gt;0),MAX(0,YM72-(MIN(DN72*VA72,(YM72+ABZ72))-MIN(MIN(DN72*VA72,(YM72+ABZ72)),ABZ72))),YM72)</f>
        <v>1270</v>
      </c>
      <c r="YO72" s="20" t="n">
        <f aca="false">IF(AND(H_Direct=1,DO72&gt;0),MAX(0,YN72-(MIN(DO72*VB72,(YN72+ACA72))-MIN(MIN(DO72*VB72,(YN72+ACA72)),ACA72))),YN72)</f>
        <v>1270</v>
      </c>
      <c r="YP72" s="20" t="n">
        <f aca="false">IF(AND(H_Direct=1,DP72&gt;0),MAX(0,YO72-(MIN(DP72*VC72,(YO72+ACB72))-MIN(MIN(DP72*VC72,(YO72+ACB72)),ACB72))),YO72)</f>
        <v>1270</v>
      </c>
      <c r="YQ72" s="20" t="n">
        <f aca="false">IF(AND(H_Direct=1,DQ72&gt;0),MAX(0,YP72-(MIN(DQ72*VD72,(YP72+ACC72))-MIN(MIN(DQ72*VD72,(YP72+ACC72)),ACC72))),YP72)</f>
        <v>1270</v>
      </c>
      <c r="YR72" s="20" t="n">
        <f aca="false">IF(AND(H_Direct=1,DR72&gt;0),MAX(0,YQ72-(MIN(DR72*VE72,(YQ72+ACD72))-MIN(MIN(DR72*VE72,(YQ72+ACD72)),ACD72))),YQ72)</f>
        <v>1270</v>
      </c>
      <c r="YS72" s="20" t="n">
        <f aca="false">IF(AND(H_Direct=1,DS72&gt;0),MAX(0,YR72-(MIN(DS72*VF72,(YR72+ACE72))-MIN(MIN(DS72*VF72,(YR72+ACE72)),ACE72))),YR72)</f>
        <v>1270</v>
      </c>
      <c r="YT72" s="20" t="n">
        <f aca="false">IF(AND(H_Direct=1,DT72&gt;0),MAX(0,YS72-(MIN(DT72*VG72,(YS72+ACF72))-MIN(MIN(DT72*VG72,(YS72+ACF72)),ACF72))),YS72)</f>
        <v>1270</v>
      </c>
      <c r="YU72" s="20" t="n">
        <f aca="false">IF(AND(H_Direct=1,DU72&gt;0),MAX(0,YT72-(MIN(DU72*VH72,(YT72+ACG72))-MIN(MIN(DU72*VH72,(YT72+ACG72)),ACG72))),YT72)</f>
        <v>1270</v>
      </c>
      <c r="YV72" s="20" t="n">
        <f aca="false">IF(AND(H_Direct=1,DV72&gt;0),MAX(0,YU72-(MIN(DV72*VI72,(YU72+ACH72))-MIN(MIN(DV72*VI72,(YU72+ACH72)),ACH72))),YU72)</f>
        <v>1270</v>
      </c>
      <c r="YW72" s="20" t="n">
        <f aca="false">IF(AND(H_Direct=1,DW72&gt;0),MAX(0,YV72-(MIN(DW72*VJ72,(YV72+ACI72))-MIN(MIN(DW72*VJ72,(YV72+ACI72)),ACI72))),YV72)</f>
        <v>1270</v>
      </c>
      <c r="YX72" s="20" t="n">
        <f aca="false">IF(AND(H_Direct=1,DX72&gt;0),MAX(0,YW72-(MIN(DX72*VK72,(YW72+ACJ72))-MIN(MIN(DX72*VK72,(YW72+ACJ72)),ACJ72))),YW72)</f>
        <v>1270</v>
      </c>
      <c r="YY72" s="20" t="n">
        <f aca="false">IF(AND(H_Direct=1,DY72&gt;0),MAX(0,YX72-(MIN(DY72*VL72,(YX72+ACK72))-MIN(MIN(DY72*VL72,(YX72+ACK72)),ACK72))),YX72)</f>
        <v>1270</v>
      </c>
      <c r="YZ72" s="20" t="n">
        <f aca="false">IF(AND(H_Direct=1,DZ72&gt;0),MAX(0,YY72-(MIN(DZ72*VM72,(YY72+ACL72))-MIN(MIN(DZ72*VM72,(YY72+ACL72)),ACL72))),YY72)</f>
        <v>1270</v>
      </c>
      <c r="ZA72" s="20" t="n">
        <f aca="false">IF(AND(H_Direct=1,EA72&gt;0),MAX(0,YZ72-(MIN(EA72*VN72,(YZ72+ACM72))-MIN(MIN(EA72*VN72,(YZ72+ACM72)),ACM72))),YZ72)</f>
        <v>1270</v>
      </c>
      <c r="ZB72" s="20" t="n">
        <f aca="false">IF(AND(H_Direct=1,EB72&gt;0),MAX(0,ZA72-(MIN(EB72*VO72,(ZA72+ACN72))-MIN(MIN(EB72*VO72,(ZA72+ACN72)),ACN72))),ZA72)</f>
        <v>1270</v>
      </c>
      <c r="ZC72" s="20" t="n">
        <f aca="false">IF(AND(H_Direct=1,EC72&gt;0),MAX(0,ZB72-(MIN(EC72*VP72,(ZB72+ACO72))-MIN(MIN(EC72*VP72,(ZB72+ACO72)),ACO72))),ZB72)</f>
        <v>1270</v>
      </c>
      <c r="ZD72" s="20" t="n">
        <f aca="false">IF(AND(H_Direct=1,ED72&gt;0),MAX(0,ZC72-(MIN(ED72*VQ72,(ZC72+ACP72))-MIN(MIN(ED72*VQ72,(ZC72+ACP72)),ACP72))),ZC72)</f>
        <v>1270</v>
      </c>
      <c r="ZE72" s="20" t="n">
        <f aca="false">IF(AND(H_Direct=1,EE72&gt;0),MAX(0,ZD72-(MIN(EE72*VR72,(ZD72+ACQ72))-MIN(MIN(EE72*VR72,(ZD72+ACQ72)),ACQ72))),ZD72)</f>
        <v>1270</v>
      </c>
      <c r="ZF72" s="20" t="n">
        <f aca="false">ZE72</f>
        <v>1270</v>
      </c>
      <c r="ZG72" s="20" t="n">
        <f aca="false">ZF72</f>
        <v>1270</v>
      </c>
      <c r="ZH72" s="20" t="n">
        <f aca="false">ZG72</f>
        <v>1270</v>
      </c>
      <c r="ZI72" s="20" t="n">
        <f aca="false">ZH72</f>
        <v>1270</v>
      </c>
      <c r="ZJ72" s="20" t="n">
        <f aca="false">ZI72</f>
        <v>1270</v>
      </c>
      <c r="ZK72" s="20" t="n">
        <f aca="false">ZJ72</f>
        <v>1270</v>
      </c>
      <c r="ZL72" s="20" t="n">
        <f aca="false">ZK72</f>
        <v>1270</v>
      </c>
      <c r="ZM72" s="20" t="n">
        <f aca="false">ZL72</f>
        <v>1270</v>
      </c>
      <c r="ZN72" s="20" t="n">
        <f aca="false">ZM72</f>
        <v>1270</v>
      </c>
      <c r="ZO72" s="20" t="n">
        <f aca="false">ZN72</f>
        <v>1270</v>
      </c>
      <c r="ZP72" s="20" t="n">
        <f aca="false">ZO72</f>
        <v>1270</v>
      </c>
      <c r="ZQ72" s="20" t="n">
        <f aca="false">ZP72</f>
        <v>1270</v>
      </c>
      <c r="ZR72" s="20" t="n">
        <f aca="false">ZQ72</f>
        <v>1270</v>
      </c>
      <c r="ZS72" s="20" t="n">
        <f aca="false">ZR72</f>
        <v>1270</v>
      </c>
      <c r="ZT72" s="20" t="n">
        <f aca="false">ZS72</f>
        <v>1270</v>
      </c>
      <c r="ZU72" s="20" t="n">
        <f aca="false">ZT72</f>
        <v>1270</v>
      </c>
      <c r="ZV72" s="20" t="n">
        <f aca="false">ZU72</f>
        <v>1270</v>
      </c>
      <c r="ZW72" s="20" t="n">
        <f aca="false">ZV72</f>
        <v>1270</v>
      </c>
      <c r="ZX72" s="20" t="n">
        <f aca="false">ZW72</f>
        <v>1270</v>
      </c>
      <c r="ZY72" s="20" t="n">
        <f aca="false">ZX72</f>
        <v>1270</v>
      </c>
      <c r="ZZ72" s="20" t="n">
        <f aca="false">ZY72</f>
        <v>1270</v>
      </c>
      <c r="AAA72" s="20" t="n">
        <f aca="false">ZZ72</f>
        <v>1270</v>
      </c>
      <c r="AAB72" s="20" t="n">
        <f aca="false">AAA72</f>
        <v>1270</v>
      </c>
      <c r="AAC72" s="20" t="n">
        <f aca="false">AAB72</f>
        <v>1270</v>
      </c>
      <c r="AAD72" s="20" t="n">
        <f aca="false">AAC72</f>
        <v>1270</v>
      </c>
      <c r="AAE72" s="20" t="n">
        <f aca="false">IF(H_Direct=1,IF(BR72&lt;=0,I72-BR72*TE72,I72-MIN(MIN(BR72*TE72,(H72+I72)),I72)),I72)</f>
        <v>0</v>
      </c>
      <c r="AAF72" s="20" t="n">
        <f aca="false">IF(H_Direct=1,IF(BS72&lt;=0,AAE72-BS72*TF72,AAE72-MIN(MIN(BS72*TF72,(WR72+AAE72)),AAE72)),AAE72)</f>
        <v>0</v>
      </c>
      <c r="AAG72" s="20" t="n">
        <f aca="false">IF(H_Direct=1,IF(BT72&lt;=0,AAF72-BT72*TG72,AAF72-MIN(MIN(BT72*TG72,(WS72+AAF72)),AAF72)),AAF72)</f>
        <v>0</v>
      </c>
      <c r="AAH72" s="20" t="n">
        <f aca="false">IF(H_Direct=1,IF(BU72&lt;=0,AAG72-BU72*TH72,AAG72-MIN(MIN(BU72*TH72,(WT72+AAG72)),AAG72)),AAG72)</f>
        <v>0</v>
      </c>
      <c r="AAI72" s="20" t="n">
        <f aca="false">IF(H_Direct=1,IF(BV72&lt;=0,AAH72-BV72*TI72,AAH72-MIN(MIN(BV72*TI72,(WU72+AAH72)),AAH72)),AAH72)</f>
        <v>0</v>
      </c>
      <c r="AAJ72" s="20" t="n">
        <f aca="false">IF(H_Direct=1,IF(BW72&lt;=0,AAI72-BW72*TJ72,AAI72-MIN(MIN(BW72*TJ72,(WV72+AAI72)),AAI72)),AAI72)</f>
        <v>0</v>
      </c>
      <c r="AAK72" s="20" t="n">
        <f aca="false">IF(H_Direct=1,IF(BX72&lt;=0,AAJ72-BX72*TK72,AAJ72-MIN(MIN(BX72*TK72,(WW72+AAJ72)),AAJ72)),AAJ72)</f>
        <v>0</v>
      </c>
      <c r="AAL72" s="20" t="n">
        <f aca="false">IF(H_Direct=1,IF(BY72&lt;=0,AAK72-BY72*TL72,AAK72-MIN(MIN(BY72*TL72,(WX72+AAK72)),AAK72)),AAK72)</f>
        <v>0</v>
      </c>
      <c r="AAM72" s="20" t="n">
        <f aca="false">IF(H_Direct=1,IF(BZ72&lt;=0,AAL72-BZ72*TM72,AAL72-MIN(MIN(BZ72*TM72,(WY72+AAL72)),AAL72)),AAL72)</f>
        <v>0</v>
      </c>
      <c r="AAN72" s="20" t="n">
        <f aca="false">IF(H_Direct=1,IF(CA72&lt;=0,AAM72-CA72*TN72,AAM72-MIN(MIN(CA72*TN72,(WZ72+AAM72)),AAM72)),AAM72)</f>
        <v>0</v>
      </c>
      <c r="AAO72" s="20" t="n">
        <f aca="false">IF(H_Direct=1,IF(CB72&lt;=0,AAN72-CB72*TO72,AAN72-MIN(MIN(CB72*TO72,(XA72+AAN72)),AAN72)),AAN72)</f>
        <v>0</v>
      </c>
      <c r="AAP72" s="20" t="n">
        <f aca="false">IF(H_Direct=1,IF(CC72&lt;=0,AAO72-CC72*TP72,AAO72-MIN(MIN(CC72*TP72,(XB72+AAO72)),AAO72)),AAO72)</f>
        <v>0</v>
      </c>
      <c r="AAQ72" s="20" t="n">
        <f aca="false">IF(H_Direct=1,IF(CD72&lt;=0,AAP72-CD72*TQ72,AAP72-MIN(MIN(CD72*TQ72,(XC72+AAP72)),AAP72)),AAP72)</f>
        <v>0</v>
      </c>
      <c r="AAR72" s="20" t="n">
        <f aca="false">IF(H_Direct=1,IF(CE72&lt;=0,AAQ72-CE72*TR72,AAQ72-MIN(MIN(CE72*TR72,(XD72+AAQ72)),AAQ72)),AAQ72)</f>
        <v>0</v>
      </c>
      <c r="AAS72" s="20" t="n">
        <f aca="false">IF(H_Direct=1,IF(CF72&lt;=0,AAR72-CF72*TS72,AAR72-MIN(MIN(CF72*TS72,(XE72+AAR72)),AAR72)),AAR72)</f>
        <v>0</v>
      </c>
      <c r="AAT72" s="20" t="n">
        <f aca="false">IF(H_Direct=1,IF(CG72&lt;=0,AAS72-CG72*TT72,AAS72-MIN(MIN(CG72*TT72,(XF72+AAS72)),AAS72)),AAS72)</f>
        <v>0</v>
      </c>
      <c r="AAU72" s="20" t="n">
        <f aca="false">IF(H_Direct=1,IF(CH72&lt;=0,AAT72-CH72*TU72,AAT72-MIN(MIN(CH72*TU72,(XG72+AAT72)),AAT72)),AAT72)</f>
        <v>0</v>
      </c>
      <c r="AAV72" s="20" t="n">
        <f aca="false">IF(H_Direct=1,IF(CI72&lt;=0,AAU72-CI72*TV72,AAU72-MIN(MIN(CI72*TV72,(XH72+AAU72)),AAU72)),AAU72)</f>
        <v>0</v>
      </c>
      <c r="AAW72" s="20" t="n">
        <f aca="false">IF(H_Direct=1,IF(CJ72&lt;=0,AAV72-CJ72*TW72,AAV72-MIN(MIN(CJ72*TW72,(XI72+AAV72)),AAV72)),AAV72)</f>
        <v>0</v>
      </c>
      <c r="AAX72" s="20" t="n">
        <f aca="false">IF(H_Direct=1,IF(CK72&lt;=0,AAW72-CK72*TX72,AAW72-MIN(MIN(CK72*TX72,(XJ72+AAW72)),AAW72)),AAW72)</f>
        <v>0</v>
      </c>
      <c r="AAY72" s="20" t="n">
        <f aca="false">IF(H_Direct=1,IF(CL72&lt;=0,AAX72-CL72*TY72,AAX72-MIN(MIN(CL72*TY72,(XK72+AAX72)),AAX72)),AAX72)</f>
        <v>0</v>
      </c>
      <c r="AAZ72" s="20" t="n">
        <f aca="false">IF(H_Direct=1,IF(CM72&lt;=0,AAY72-CM72*TZ72,AAY72-MIN(MIN(CM72*TZ72,(XL72+AAY72)),AAY72)),AAY72)</f>
        <v>0</v>
      </c>
      <c r="ABA72" s="20" t="n">
        <f aca="false">IF(H_Direct=1,IF(CN72&lt;=0,AAZ72-CN72*UA72,AAZ72-MIN(MIN(CN72*UA72,(XM72+AAZ72)),AAZ72)),AAZ72)</f>
        <v>0</v>
      </c>
      <c r="ABB72" s="20" t="n">
        <f aca="false">IF(H_Direct=1,IF(CO72&lt;=0,ABA72-CO72*UB72,ABA72-MIN(MIN(CO72*UB72,(XN72+ABA72)),ABA72)),ABA72)</f>
        <v>0</v>
      </c>
      <c r="ABC72" s="20" t="n">
        <f aca="false">IF(H_Direct=1,IF(CP72&lt;=0,ABB72-CP72*UC72,ABB72-MIN(MIN(CP72*UC72,(XO72+ABB72)),ABB72)),ABB72)</f>
        <v>0</v>
      </c>
      <c r="ABD72" s="20" t="n">
        <f aca="false">IF(H_Direct=1,IF(CQ72&lt;=0,ABC72-CQ72*UD72,ABC72-MIN(MIN(CQ72*UD72,(XP72+ABC72)),ABC72)),ABC72)</f>
        <v>0</v>
      </c>
      <c r="ABE72" s="20" t="n">
        <f aca="false">IF(H_Direct=1,IF(CR72&lt;=0,ABD72-CR72*UE72,ABD72-MIN(MIN(CR72*UE72,(XQ72+ABD72)),ABD72)),ABD72)</f>
        <v>0</v>
      </c>
      <c r="ABF72" s="20" t="n">
        <f aca="false">IF(H_Direct=1,IF(CS72&lt;=0,ABE72-CS72*UF72,ABE72-MIN(MIN(CS72*UF72,(XR72+ABE72)),ABE72)),ABE72)</f>
        <v>0</v>
      </c>
      <c r="ABG72" s="20" t="n">
        <f aca="false">IF(H_Direct=1,IF(CT72&lt;=0,ABF72-CT72*UG72,ABF72-MIN(MIN(CT72*UG72,(XS72+ABF72)),ABF72)),ABF72)</f>
        <v>0</v>
      </c>
      <c r="ABH72" s="20" t="n">
        <f aca="false">IF(H_Direct=1,IF(CU72&lt;=0,ABG72-CU72*UH72,ABG72-MIN(MIN(CU72*UH72,(XT72+ABG72)),ABG72)),ABG72)</f>
        <v>0</v>
      </c>
      <c r="ABI72" s="20" t="n">
        <f aca="false">IF(H_Direct=1,IF(CV72&lt;=0,ABH72-CV72*UI72,ABH72-MIN(MIN(CV72*UI72,(XU72+ABH72)),ABH72)),ABH72)</f>
        <v>0</v>
      </c>
      <c r="ABJ72" s="20" t="n">
        <f aca="false">IF(H_Direct=1,IF(CW72&lt;=0,ABI72-CW72*UJ72,ABI72-MIN(MIN(CW72*UJ72,(XV72+ABI72)),ABI72)),ABI72)</f>
        <v>0</v>
      </c>
      <c r="ABK72" s="20" t="n">
        <f aca="false">IF(H_Direct=1,IF(CX72&lt;=0,ABJ72-CX72*UK72,ABJ72-MIN(MIN(CX72*UK72,(XW72+ABJ72)),ABJ72)),ABJ72)</f>
        <v>0</v>
      </c>
      <c r="ABL72" s="20" t="n">
        <f aca="false">IF(H_Direct=1,IF(CY72&lt;=0,ABK72-CY72*UL72,ABK72-MIN(MIN(CY72*UL72,(XX72+ABK72)),ABK72)),ABK72)</f>
        <v>0</v>
      </c>
      <c r="ABM72" s="20" t="n">
        <f aca="false">IF(H_Direct=1,IF(CZ72&lt;=0,ABL72-CZ72*UM72,ABL72-MIN(MIN(CZ72*UM72,(XY72+ABL72)),ABL72)),ABL72)</f>
        <v>0</v>
      </c>
      <c r="ABN72" s="20" t="n">
        <f aca="false">IF(H_Direct=1,IF(DA72&lt;=0,ABM72-DA72*UN72,ABM72-MIN(MIN(DA72*UN72,(XZ72+ABM72)),ABM72)),ABM72)</f>
        <v>0</v>
      </c>
      <c r="ABO72" s="20" t="n">
        <f aca="false">IF(H_Direct=1,IF(DB72&lt;=0,ABN72-DB72*UO72,ABN72-MIN(MIN(DB72*UO72,(YA72+ABN72)),ABN72)),ABN72)</f>
        <v>0</v>
      </c>
      <c r="ABP72" s="20" t="n">
        <f aca="false">IF(H_Direct=1,IF(DC72&lt;=0,ABO72-DC72*UP72,ABO72-MIN(MIN(DC72*UP72,(YB72+ABO72)),ABO72)),ABO72)</f>
        <v>0</v>
      </c>
      <c r="ABQ72" s="20" t="n">
        <f aca="false">IF(H_Direct=1,IF(DD72&lt;=0,ABP72-DD72*UQ72,ABP72-MIN(MIN(DD72*UQ72,(YC72+ABP72)),ABP72)),ABP72)</f>
        <v>0</v>
      </c>
      <c r="ABR72" s="20" t="n">
        <f aca="false">IF(H_Direct=1,IF(DE72&lt;=0,ABQ72-DE72*UR72,ABQ72-MIN(MIN(DE72*UR72,(YD72+ABQ72)),ABQ72)),ABQ72)</f>
        <v>0</v>
      </c>
      <c r="ABS72" s="20" t="n">
        <f aca="false">IF(H_Direct=1,IF(DF72&lt;=0,ABR72-DF72*US72,ABR72-MIN(MIN(DF72*US72,(YE72+ABR72)),ABR72)),ABR72)</f>
        <v>0</v>
      </c>
      <c r="ABT72" s="20" t="n">
        <f aca="false">IF(H_Direct=1,IF(DG72&lt;=0,ABS72-DG72*UT72,ABS72-MIN(MIN(DG72*UT72,(YF72+ABS72)),ABS72)),ABS72)</f>
        <v>0</v>
      </c>
      <c r="ABU72" s="20" t="n">
        <f aca="false">IF(H_Direct=1,IF(DH72&lt;=0,ABT72-DH72*UU72,ABT72-MIN(MIN(DH72*UU72,(YG72+ABT72)),ABT72)),ABT72)</f>
        <v>0</v>
      </c>
      <c r="ABV72" s="20" t="n">
        <f aca="false">IF(H_Direct=1,IF(DI72&lt;=0,ABU72-DI72*UV72,ABU72-MIN(MIN(DI72*UV72,(YH72+ABU72)),ABU72)),ABU72)</f>
        <v>0</v>
      </c>
      <c r="ABW72" s="20" t="n">
        <f aca="false">IF(H_Direct=1,IF(DJ72&lt;=0,ABV72-DJ72*UW72,ABV72-MIN(MIN(DJ72*UW72,(YI72+ABV72)),ABV72)),ABV72)</f>
        <v>0</v>
      </c>
      <c r="ABX72" s="20" t="n">
        <f aca="false">IF(H_Direct=1,IF(DK72&lt;=0,ABW72-DK72*UX72,ABW72-MIN(MIN(DK72*UX72,(YJ72+ABW72)),ABW72)),ABW72)</f>
        <v>0</v>
      </c>
      <c r="ABY72" s="20" t="n">
        <f aca="false">IF(H_Direct=1,IF(DL72&lt;=0,ABX72-DL72*UY72,ABX72-MIN(MIN(DL72*UY72,(YK72+ABX72)),ABX72)),ABX72)</f>
        <v>0</v>
      </c>
      <c r="ABZ72" s="20" t="n">
        <f aca="false">IF(H_Direct=1,IF(DM72&lt;=0,ABY72-DM72*UZ72,ABY72-MIN(MIN(DM72*UZ72,(YL72+ABY72)),ABY72)),ABY72)</f>
        <v>0</v>
      </c>
      <c r="ACA72" s="20" t="n">
        <f aca="false">IF(H_Direct=1,IF(DN72&lt;=0,ABZ72-DN72*VA72,ABZ72-MIN(MIN(DN72*VA72,(YM72+ABZ72)),ABZ72)),ABZ72)</f>
        <v>0</v>
      </c>
      <c r="ACB72" s="20" t="n">
        <f aca="false">IF(H_Direct=1,IF(DO72&lt;=0,ACA72-DO72*VB72,ACA72-MIN(MIN(DO72*VB72,(YN72+ACA72)),ACA72)),ACA72)</f>
        <v>0</v>
      </c>
      <c r="ACC72" s="20" t="n">
        <f aca="false">IF(H_Direct=1,IF(DP72&lt;=0,ACB72-DP72*VC72,ACB72-MIN(MIN(DP72*VC72,(YO72+ACB72)),ACB72)),ACB72)</f>
        <v>0</v>
      </c>
      <c r="ACD72" s="20" t="n">
        <f aca="false">IF(H_Direct=1,IF(DQ72&lt;=0,ACC72-DQ72*VD72,ACC72-MIN(MIN(DQ72*VD72,(YP72+ACC72)),ACC72)),ACC72)</f>
        <v>0</v>
      </c>
      <c r="ACE72" s="20" t="n">
        <f aca="false">IF(H_Direct=1,IF(DR72&lt;=0,ACD72-DR72*VE72,ACD72-MIN(MIN(DR72*VE72,(YQ72+ACD72)),ACD72)),ACD72)</f>
        <v>0</v>
      </c>
      <c r="ACF72" s="20" t="n">
        <f aca="false">IF(H_Direct=1,IF(DS72&lt;=0,ACE72-DS72*VF72,ACE72-MIN(MIN(DS72*VF72,(YR72+ACE72)),ACE72)),ACE72)</f>
        <v>0</v>
      </c>
      <c r="ACG72" s="20" t="n">
        <f aca="false">IF(H_Direct=1,IF(DT72&lt;=0,ACF72-DT72*VG72,ACF72-MIN(MIN(DT72*VG72,(YS72+ACF72)),ACF72)),ACF72)</f>
        <v>0</v>
      </c>
      <c r="ACH72" s="20" t="n">
        <f aca="false">IF(H_Direct=1,IF(DU72&lt;=0,ACG72-DU72*VH72,ACG72-MIN(MIN(DU72*VH72,(YT72+ACG72)),ACG72)),ACG72)</f>
        <v>0</v>
      </c>
      <c r="ACI72" s="20" t="n">
        <f aca="false">IF(H_Direct=1,IF(DV72&lt;=0,ACH72-DV72*VI72,ACH72-MIN(MIN(DV72*VI72,(YU72+ACH72)),ACH72)),ACH72)</f>
        <v>0</v>
      </c>
      <c r="ACJ72" s="20" t="n">
        <f aca="false">IF(H_Direct=1,IF(DW72&lt;=0,ACI72-DW72*VJ72,ACI72-MIN(MIN(DW72*VJ72,(YV72+ACI72)),ACI72)),ACI72)</f>
        <v>0</v>
      </c>
      <c r="ACK72" s="20" t="n">
        <f aca="false">IF(H_Direct=1,IF(DX72&lt;=0,ACJ72-DX72*VK72,ACJ72-MIN(MIN(DX72*VK72,(YW72+ACJ72)),ACJ72)),ACJ72)</f>
        <v>0</v>
      </c>
      <c r="ACL72" s="20" t="n">
        <f aca="false">IF(H_Direct=1,IF(DY72&lt;=0,ACK72-DY72*VL72,ACK72-MIN(MIN(DY72*VL72,(YX72+ACK72)),ACK72)),ACK72)</f>
        <v>0</v>
      </c>
      <c r="ACM72" s="20" t="n">
        <f aca="false">IF(H_Direct=1,IF(DZ72&lt;=0,ACL72-DZ72*VM72,ACL72-MIN(MIN(DZ72*VM72,(YY72+ACL72)),ACL72)),ACL72)</f>
        <v>0</v>
      </c>
      <c r="ACN72" s="20" t="n">
        <f aca="false">IF(H_Direct=1,IF(EA72&lt;=0,ACM72-EA72*VN72,ACM72-MIN(MIN(EA72*VN72,(YZ72+ACM72)),ACM72)),ACM72)</f>
        <v>0</v>
      </c>
      <c r="ACO72" s="20" t="n">
        <f aca="false">IF(H_Direct=1,IF(EB72&lt;=0,ACN72-EB72*VO72,ACN72-MIN(MIN(EB72*VO72,(ZA72+ACN72)),ACN72)),ACN72)</f>
        <v>0</v>
      </c>
      <c r="ACP72" s="20" t="n">
        <f aca="false">IF(H_Direct=1,IF(EC72&lt;=0,ACO72-EC72*VP72,ACO72-MIN(MIN(EC72*VP72,(ZB72+ACO72)),ACO72)),ACO72)</f>
        <v>0</v>
      </c>
      <c r="ACQ72" s="20" t="n">
        <f aca="false">IF(H_Direct=1,IF(ED72&lt;=0,ACP72-ED72*VQ72,ACP72-MIN(MIN(ED72*VQ72,(ZC72+ACP72)),ACP72)),ACP72)</f>
        <v>0</v>
      </c>
      <c r="ACR72" s="20" t="n">
        <f aca="false">IF(H_Direct=1,IF(EE72&lt;=0,ACQ72-EE72*VR72,ACQ72-MIN(MIN(EE72*VR72,(ZD72+ACQ72)),ACQ72)),ACQ72)</f>
        <v>0</v>
      </c>
      <c r="ACS72" s="20" t="n">
        <f aca="false">ACR72</f>
        <v>0</v>
      </c>
      <c r="ACT72" s="20" t="n">
        <f aca="false">ACS72</f>
        <v>0</v>
      </c>
      <c r="ACU72" s="20" t="n">
        <f aca="false">ACT72</f>
        <v>0</v>
      </c>
      <c r="ACV72" s="20" t="n">
        <f aca="false">ACU72</f>
        <v>0</v>
      </c>
      <c r="ACW72" s="20" t="n">
        <f aca="false">ACV72</f>
        <v>0</v>
      </c>
      <c r="ACX72" s="20" t="n">
        <f aca="false">ACW72</f>
        <v>0</v>
      </c>
      <c r="ACY72" s="20" t="n">
        <f aca="false">ACX72</f>
        <v>0</v>
      </c>
      <c r="ACZ72" s="20" t="n">
        <f aca="false">ACY72</f>
        <v>0</v>
      </c>
      <c r="ADA72" s="20" t="n">
        <f aca="false">ACZ72</f>
        <v>0</v>
      </c>
      <c r="ADB72" s="20" t="n">
        <f aca="false">ADA72</f>
        <v>0</v>
      </c>
      <c r="ADC72" s="20" t="n">
        <f aca="false">ADB72</f>
        <v>0</v>
      </c>
      <c r="ADD72" s="20" t="n">
        <f aca="false">ADC72</f>
        <v>0</v>
      </c>
      <c r="ADE72" s="20" t="n">
        <f aca="false">ADD72</f>
        <v>0</v>
      </c>
      <c r="ADF72" s="20" t="n">
        <f aca="false">ADE72</f>
        <v>0</v>
      </c>
      <c r="ADG72" s="20" t="n">
        <f aca="false">ADF72</f>
        <v>0</v>
      </c>
      <c r="ADH72" s="20" t="n">
        <f aca="false">ADG72</f>
        <v>0</v>
      </c>
      <c r="ADI72" s="20" t="n">
        <f aca="false">ADH72</f>
        <v>0</v>
      </c>
      <c r="ADJ72" s="20" t="n">
        <f aca="false">ADI72</f>
        <v>0</v>
      </c>
      <c r="ADK72" s="20" t="n">
        <f aca="false">ADJ72</f>
        <v>0</v>
      </c>
      <c r="ADL72" s="20" t="n">
        <f aca="false">ADK72</f>
        <v>0</v>
      </c>
      <c r="ADM72" s="20" t="n">
        <f aca="false">ADL72</f>
        <v>0</v>
      </c>
      <c r="ADN72" s="20" t="n">
        <f aca="false">ADM72</f>
        <v>0</v>
      </c>
      <c r="ADO72" s="20" t="n">
        <f aca="false">ADN72</f>
        <v>0</v>
      </c>
      <c r="ADP72" s="20" t="n">
        <f aca="false">ADO72</f>
        <v>0</v>
      </c>
      <c r="ADQ72" s="20" t="n">
        <f aca="false">ADP72</f>
        <v>0</v>
      </c>
      <c r="ADR72" s="20" t="n">
        <f aca="false">(AKR71-TE72+0)*(1+BQ72)</f>
        <v>0</v>
      </c>
      <c r="ADS72" s="20" t="n">
        <f aca="false">(AKS71-TF72+0)*(1+BQ72)</f>
        <v>0</v>
      </c>
      <c r="ADT72" s="20" t="n">
        <f aca="false">(AKT71-TG72+0)*(1+BQ72)</f>
        <v>0</v>
      </c>
      <c r="ADU72" s="20" t="n">
        <f aca="false">(AKU71-TH72+0)*(1+BQ72)</f>
        <v>0</v>
      </c>
      <c r="ADV72" s="20" t="n">
        <f aca="false">(AKV71-TI72+0)*(1+BQ72)</f>
        <v>0</v>
      </c>
      <c r="ADW72" s="20" t="n">
        <f aca="false">(AKW71-TJ72+0)*(1+BQ72)</f>
        <v>0</v>
      </c>
      <c r="ADX72" s="20" t="n">
        <f aca="false">(AKX71-TK72+0)*(1+BQ72)</f>
        <v>0</v>
      </c>
      <c r="ADY72" s="20" t="n">
        <f aca="false">(AKY71-TL72+0)*(1+BQ72)</f>
        <v>0</v>
      </c>
      <c r="ADZ72" s="20" t="n">
        <f aca="false">(AKZ71-TM72+0)*(1+BQ72)</f>
        <v>0</v>
      </c>
      <c r="AEA72" s="20" t="n">
        <f aca="false">(ALA71-TN72+0)*(1+BQ72)</f>
        <v>0</v>
      </c>
      <c r="AEB72" s="20" t="n">
        <f aca="false">(ALB71-TO72+0)*(1+BQ72)</f>
        <v>0</v>
      </c>
      <c r="AEC72" s="20" t="n">
        <f aca="false">(ALC71-TP72+0)*(1+BQ72)</f>
        <v>0</v>
      </c>
      <c r="AED72" s="20" t="n">
        <f aca="false">(ALD71-TQ72+0)*(1+BQ72)</f>
        <v>0</v>
      </c>
      <c r="AEE72" s="20" t="n">
        <f aca="false">(ALE71-TR72+0)*(1+BQ72)</f>
        <v>0</v>
      </c>
      <c r="AEF72" s="20" t="n">
        <f aca="false">(ALF71-TS72+0)*(1+BQ72)</f>
        <v>0</v>
      </c>
      <c r="AEG72" s="20" t="n">
        <f aca="false">(ALG71-TT72+0)*(1+BQ72)</f>
        <v>0</v>
      </c>
      <c r="AEH72" s="20" t="n">
        <f aca="false">(ALH71-TU72+0)*(1+BQ72)</f>
        <v>0</v>
      </c>
      <c r="AEI72" s="20" t="n">
        <f aca="false">(ALI71-TV72+0)*(1+BQ72)</f>
        <v>0</v>
      </c>
      <c r="AEJ72" s="20" t="n">
        <f aca="false">(ALJ71-TW72+0)*(1+BQ72)</f>
        <v>0</v>
      </c>
      <c r="AEK72" s="20" t="n">
        <f aca="false">(ALK71-TX72+0)*(1+BQ72)</f>
        <v>0</v>
      </c>
      <c r="AEL72" s="20" t="n">
        <f aca="false">(ALL71-TY72+0)*(1+BQ72)</f>
        <v>0</v>
      </c>
      <c r="AEM72" s="20" t="n">
        <f aca="false">(ALM71-TZ72+0)*(1+BQ72)</f>
        <v>0</v>
      </c>
      <c r="AEN72" s="20" t="n">
        <f aca="false">(ALN71-UA72+0)*(1+BQ72)</f>
        <v>0</v>
      </c>
      <c r="AEO72" s="20" t="n">
        <f aca="false">(ALO71-UB72+0)*(1+BQ72)</f>
        <v>0</v>
      </c>
      <c r="AEP72" s="20" t="n">
        <f aca="false">(ALP71-UC72+0)*(1+BQ72)</f>
        <v>0</v>
      </c>
      <c r="AEQ72" s="20" t="n">
        <f aca="false">(ALQ71-UD72+0)*(1+BQ72)</f>
        <v>0</v>
      </c>
      <c r="AER72" s="20" t="n">
        <f aca="false">(ALR71-UE72+0)*(1+BQ72)</f>
        <v>0</v>
      </c>
      <c r="AES72" s="20" t="n">
        <f aca="false">(ALS71-UF72+0)*(1+BQ72)</f>
        <v>0</v>
      </c>
      <c r="AET72" s="20" t="n">
        <f aca="false">(ALT71-UG72+0)*(1+BQ72)</f>
        <v>0</v>
      </c>
      <c r="AEU72" s="20" t="n">
        <f aca="false">(ALU71-UH72+0)*(1+BQ72)</f>
        <v>0</v>
      </c>
      <c r="AEV72" s="20" t="n">
        <f aca="false">(ALV71-UI72+0)*(1+BQ72)</f>
        <v>0</v>
      </c>
      <c r="AEW72" s="20" t="n">
        <f aca="false">(ALW71-UJ72+0)*(1+BQ72)</f>
        <v>0</v>
      </c>
      <c r="AEX72" s="20" t="n">
        <f aca="false">(ALX71-UK72+0)*(1+BQ72)</f>
        <v>0</v>
      </c>
      <c r="AEY72" s="20" t="n">
        <f aca="false">(ALY71-UL72+0)*(1+BQ72)</f>
        <v>0</v>
      </c>
      <c r="AEZ72" s="20" t="n">
        <f aca="false">(ALZ71-UM72+0)*(1+BQ72)</f>
        <v>0</v>
      </c>
      <c r="AFA72" s="20" t="n">
        <f aca="false">(AMA71-UN72+0)*(1+BQ72)</f>
        <v>0</v>
      </c>
      <c r="AFB72" s="20" t="n">
        <f aca="false">(AMB71-UO72+0)*(1+BQ72)</f>
        <v>0</v>
      </c>
      <c r="AFC72" s="20" t="n">
        <f aca="false">(AMC71-UP72+0)*(1+BQ72)</f>
        <v>0</v>
      </c>
      <c r="AFD72" s="20" t="n">
        <f aca="false">(AMD71-UQ72+0)*(1+BQ72)</f>
        <v>0</v>
      </c>
      <c r="AFE72" s="20" t="n">
        <f aca="false">(AME71-UR72+0)*(1+BQ72)</f>
        <v>0</v>
      </c>
      <c r="AFF72" s="20" t="n">
        <f aca="false">(AMF71-US72+0)*(1+BQ72)</f>
        <v>0</v>
      </c>
      <c r="AFG72" s="20" t="n">
        <f aca="false">(AMG71-UT72+0)*(1+BQ72)</f>
        <v>0</v>
      </c>
      <c r="AFH72" s="20" t="n">
        <f aca="false">(AMH71-UU72+0)*(1+BQ72)</f>
        <v>0</v>
      </c>
      <c r="AFI72" s="20" t="n">
        <f aca="false">(AMI71-UV72+0)*(1+BQ72)</f>
        <v>0</v>
      </c>
      <c r="AFJ72" s="20" t="n">
        <f aca="false">(AMJ71-UW72+0)*(1+BQ72)</f>
        <v>0</v>
      </c>
      <c r="AFK72" s="20" t="n">
        <f aca="false">(AMK71-UX72+0)*(1+BQ72)</f>
        <v>0</v>
      </c>
      <c r="AFL72" s="20" t="n">
        <f aca="false">(AML71-UY72+0)*(1+BQ72)</f>
        <v>0</v>
      </c>
      <c r="AFM72" s="20" t="n">
        <f aca="false">(AMM71-UZ72+0)*(1+BQ72)</f>
        <v>0</v>
      </c>
      <c r="AFN72" s="20" t="n">
        <f aca="false">(AMN71-VA72+0)*(1+BQ72)</f>
        <v>0</v>
      </c>
      <c r="AFO72" s="20" t="n">
        <f aca="false">(AMO71-VB72+0)*(1+BQ72)</f>
        <v>0</v>
      </c>
      <c r="AFP72" s="20" t="n">
        <f aca="false">(AMP71-VC72+0)*(1+BQ72)</f>
        <v>0</v>
      </c>
      <c r="AFQ72" s="20" t="n">
        <f aca="false">(AMQ71-VD72+0)*(1+BQ72)</f>
        <v>0</v>
      </c>
      <c r="AFR72" s="20" t="n">
        <f aca="false">(AMR71-VE72+0)*(1+BQ72)</f>
        <v>0</v>
      </c>
      <c r="AFS72" s="20" t="n">
        <f aca="false">(AMS71-VF72+0)*(1+BQ72)</f>
        <v>0</v>
      </c>
      <c r="AFT72" s="20" t="n">
        <f aca="false">(AMT71-VG72+0)*(1+BQ72)</f>
        <v>0</v>
      </c>
      <c r="AFU72" s="20" t="n">
        <f aca="false">(AMU71-VH72+0)*(1+BQ72)</f>
        <v>0</v>
      </c>
      <c r="AFV72" s="20" t="n">
        <f aca="false">(AMV71-VI72+0)*(1+BQ72)</f>
        <v>0</v>
      </c>
      <c r="AFW72" s="20" t="n">
        <f aca="false">(AMW71-VJ72+0)*(1+BQ72)</f>
        <v>0</v>
      </c>
      <c r="AFX72" s="20" t="n">
        <f aca="false">(AMX71-VK72+0)*(1+BQ72)</f>
        <v>0</v>
      </c>
      <c r="AFY72" s="20" t="n">
        <f aca="false">(AMY71-VL72+0)*(1+BQ72)</f>
        <v>0</v>
      </c>
      <c r="AFZ72" s="20" t="n">
        <f aca="false">(AMZ71-VM72+0)*(1+BQ72)</f>
        <v>0</v>
      </c>
      <c r="AGA72" s="20" t="n">
        <f aca="false">(ANA71-VN72+0)*(1+BQ72)</f>
        <v>0</v>
      </c>
      <c r="AGB72" s="20" t="n">
        <f aca="false">(ANB71-VO72+0)*(1+BQ72)</f>
        <v>0</v>
      </c>
      <c r="AGC72" s="20" t="n">
        <f aca="false">(ANC71-VP72+0)*(1+BQ72)</f>
        <v>0</v>
      </c>
      <c r="AGD72" s="20" t="n">
        <f aca="false">(AND71-VQ72+0)*(1+BQ72)</f>
        <v>0</v>
      </c>
      <c r="AGE72" s="20" t="n">
        <f aca="false">((P72+S72)-VR72+BE72)*(1+BQ72)</f>
        <v>0</v>
      </c>
      <c r="AGF72" s="20" t="n">
        <v>0</v>
      </c>
      <c r="AGG72" s="20" t="n">
        <v>0</v>
      </c>
      <c r="AGH72" s="20" t="n">
        <v>0</v>
      </c>
      <c r="AGI72" s="20" t="n">
        <v>0</v>
      </c>
      <c r="AGJ72" s="20" t="n">
        <v>0</v>
      </c>
      <c r="AGK72" s="20" t="n">
        <v>0</v>
      </c>
      <c r="AGL72" s="20" t="n">
        <v>0</v>
      </c>
      <c r="AGM72" s="20" t="n">
        <v>0</v>
      </c>
      <c r="AGN72" s="20" t="n">
        <v>0</v>
      </c>
      <c r="AGO72" s="20" t="n">
        <v>0</v>
      </c>
      <c r="AGP72" s="20" t="n">
        <v>0</v>
      </c>
      <c r="AGQ72" s="20" t="n">
        <v>0</v>
      </c>
      <c r="AGR72" s="20" t="n">
        <v>0</v>
      </c>
      <c r="AGS72" s="20" t="n">
        <v>0</v>
      </c>
      <c r="AGT72" s="20" t="n">
        <v>0</v>
      </c>
      <c r="AGU72" s="20" t="n">
        <v>0</v>
      </c>
      <c r="AGV72" s="20" t="n">
        <v>0</v>
      </c>
      <c r="AGW72" s="20" t="n">
        <v>0</v>
      </c>
      <c r="AGX72" s="20" t="n">
        <v>0</v>
      </c>
      <c r="AGY72" s="20" t="n">
        <v>0</v>
      </c>
      <c r="AGZ72" s="20" t="n">
        <v>0</v>
      </c>
      <c r="AHA72" s="20" t="n">
        <v>0</v>
      </c>
      <c r="AHB72" s="20" t="n">
        <v>0</v>
      </c>
      <c r="AHC72" s="20" t="n">
        <v>0</v>
      </c>
      <c r="AHD72" s="20" t="n">
        <v>0</v>
      </c>
      <c r="AHE72" s="20" t="n">
        <f aca="false">IF(AKR71&gt;0,AOE71-AOE71*TE72/AKR71,0)+0</f>
        <v>0</v>
      </c>
      <c r="AHF72" s="20" t="n">
        <f aca="false">IF(AKS71&gt;0,AOF71-AOF71*TF72/AKS71,0)+0</f>
        <v>0</v>
      </c>
      <c r="AHG72" s="20" t="n">
        <f aca="false">IF(AKT71&gt;0,AOG71-AOG71*TG72/AKT71,0)+0</f>
        <v>0</v>
      </c>
      <c r="AHH72" s="20" t="n">
        <f aca="false">IF(AKU71&gt;0,AOH71-AOH71*TH72/AKU71,0)+0</f>
        <v>0</v>
      </c>
      <c r="AHI72" s="20" t="n">
        <f aca="false">IF(AKV71&gt;0,AOI71-AOI71*TI72/AKV71,0)+0</f>
        <v>0</v>
      </c>
      <c r="AHJ72" s="20" t="n">
        <f aca="false">IF(AKW71&gt;0,AOJ71-AOJ71*TJ72/AKW71,0)+0</f>
        <v>0</v>
      </c>
      <c r="AHK72" s="20" t="n">
        <f aca="false">IF(AKX71&gt;0,AOK71-AOK71*TK72/AKX71,0)+0</f>
        <v>0</v>
      </c>
      <c r="AHL72" s="20" t="n">
        <f aca="false">IF(AKY71&gt;0,AOL71-AOL71*TL72/AKY71,0)+0</f>
        <v>0</v>
      </c>
      <c r="AHM72" s="20" t="n">
        <f aca="false">IF(AKZ71&gt;0,AOM71-AOM71*TM72/AKZ71,0)+0</f>
        <v>0</v>
      </c>
      <c r="AHN72" s="20" t="n">
        <f aca="false">IF(ALA71&gt;0,AON71-AON71*TN72/ALA71,0)+0</f>
        <v>0</v>
      </c>
      <c r="AHO72" s="20" t="n">
        <f aca="false">IF(ALB71&gt;0,AOO71-AOO71*TO72/ALB71,0)+0</f>
        <v>0</v>
      </c>
      <c r="AHP72" s="20" t="n">
        <f aca="false">IF(ALC71&gt;0,AOP71-AOP71*TP72/ALC71,0)+0</f>
        <v>0</v>
      </c>
      <c r="AHQ72" s="20" t="n">
        <f aca="false">IF(ALD71&gt;0,AOQ71-AOQ71*TQ72/ALD71,0)+0</f>
        <v>0</v>
      </c>
      <c r="AHR72" s="20" t="n">
        <f aca="false">IF(ALE71&gt;0,AOR71-AOR71*TR72/ALE71,0)+0</f>
        <v>0</v>
      </c>
      <c r="AHS72" s="20" t="n">
        <f aca="false">IF(ALF71&gt;0,AOS71-AOS71*TS72/ALF71,0)+0</f>
        <v>0</v>
      </c>
      <c r="AHT72" s="20" t="n">
        <f aca="false">IF(ALG71&gt;0,AOT71-AOT71*TT72/ALG71,0)+0</f>
        <v>0</v>
      </c>
      <c r="AHU72" s="20" t="n">
        <f aca="false">IF(ALH71&gt;0,AOU71-AOU71*TU72/ALH71,0)+0</f>
        <v>0</v>
      </c>
      <c r="AHV72" s="20" t="n">
        <f aca="false">IF(ALI71&gt;0,AOV71-AOV71*TV72/ALI71,0)+0</f>
        <v>0</v>
      </c>
      <c r="AHW72" s="20" t="n">
        <f aca="false">IF(ALJ71&gt;0,AOW71-AOW71*TW72/ALJ71,0)+0</f>
        <v>0</v>
      </c>
      <c r="AHX72" s="20" t="n">
        <f aca="false">IF(ALK71&gt;0,AOX71-AOX71*TX72/ALK71,0)+0</f>
        <v>0</v>
      </c>
      <c r="AHY72" s="20" t="n">
        <f aca="false">IF(ALL71&gt;0,AOY71-AOY71*TY72/ALL71,0)+0</f>
        <v>0</v>
      </c>
      <c r="AHZ72" s="20" t="n">
        <f aca="false">IF(ALM71&gt;0,AOZ71-AOZ71*TZ72/ALM71,0)+0</f>
        <v>0</v>
      </c>
      <c r="AIA72" s="20" t="n">
        <f aca="false">IF(ALN71&gt;0,APA71-APA71*UA72/ALN71,0)+0</f>
        <v>0</v>
      </c>
      <c r="AIB72" s="20" t="n">
        <f aca="false">IF(ALO71&gt;0,APB71-APB71*UB72/ALO71,0)+0</f>
        <v>0</v>
      </c>
      <c r="AIC72" s="20" t="n">
        <f aca="false">IF(ALP71&gt;0,APC71-APC71*UC72/ALP71,0)+0</f>
        <v>0</v>
      </c>
      <c r="AID72" s="20" t="n">
        <f aca="false">IF(ALQ71&gt;0,APD71-APD71*UD72/ALQ71,0)+0</f>
        <v>0</v>
      </c>
      <c r="AIE72" s="20" t="n">
        <f aca="false">IF(ALR71&gt;0,APE71-APE71*UE72/ALR71,0)+0</f>
        <v>0</v>
      </c>
      <c r="AIF72" s="20" t="n">
        <f aca="false">IF(ALS71&gt;0,APF71-APF71*UF72/ALS71,0)+0</f>
        <v>0</v>
      </c>
      <c r="AIG72" s="20" t="n">
        <f aca="false">IF(ALT71&gt;0,APG71-APG71*UG72/ALT71,0)+0</f>
        <v>0</v>
      </c>
      <c r="AIH72" s="20" t="n">
        <f aca="false">IF(ALU71&gt;0,APH71-APH71*UH72/ALU71,0)+0</f>
        <v>0</v>
      </c>
      <c r="AII72" s="20" t="n">
        <f aca="false">IF(ALV71&gt;0,API71-API71*UI72/ALV71,0)+0</f>
        <v>0</v>
      </c>
      <c r="AIJ72" s="20" t="n">
        <f aca="false">IF(ALW71&gt;0,APJ71-APJ71*UJ72/ALW71,0)+0</f>
        <v>0</v>
      </c>
      <c r="AIK72" s="20" t="n">
        <f aca="false">IF(ALX71&gt;0,APK71-APK71*UK72/ALX71,0)+0</f>
        <v>0</v>
      </c>
      <c r="AIL72" s="20" t="n">
        <f aca="false">IF(ALY71&gt;0,APL71-APL71*UL72/ALY71,0)+0</f>
        <v>0</v>
      </c>
      <c r="AIM72" s="20" t="n">
        <f aca="false">IF(ALZ71&gt;0,APM71-APM71*UM72/ALZ71,0)+0</f>
        <v>0</v>
      </c>
      <c r="AIN72" s="20" t="n">
        <f aca="false">IF(AMA71&gt;0,APN71-APN71*UN72/AMA71,0)+0</f>
        <v>0</v>
      </c>
      <c r="AIO72" s="20" t="n">
        <f aca="false">IF(AMB71&gt;0,APO71-APO71*UO72/AMB71,0)+0</f>
        <v>0</v>
      </c>
      <c r="AIP72" s="20" t="n">
        <f aca="false">IF(AMC71&gt;0,APP71-APP71*UP72/AMC71,0)+0</f>
        <v>0</v>
      </c>
      <c r="AIQ72" s="20" t="n">
        <f aca="false">IF(AMD71&gt;0,APQ71-APQ71*UQ72/AMD71,0)+0</f>
        <v>0</v>
      </c>
      <c r="AIR72" s="20" t="n">
        <f aca="false">IF(AME71&gt;0,APR71-APR71*UR72/AME71,0)+0</f>
        <v>0</v>
      </c>
      <c r="AIS72" s="20" t="n">
        <f aca="false">IF(AMF71&gt;0,APS71-APS71*US72/AMF71,0)+0</f>
        <v>0</v>
      </c>
      <c r="AIT72" s="20" t="n">
        <f aca="false">IF(AMG71&gt;0,APT71-APT71*UT72/AMG71,0)+0</f>
        <v>0</v>
      </c>
      <c r="AIU72" s="20" t="n">
        <f aca="false">IF(AMH71&gt;0,APU71-APU71*UU72/AMH71,0)+0</f>
        <v>0</v>
      </c>
      <c r="AIV72" s="20" t="n">
        <f aca="false">IF(AMI71&gt;0,APV71-APV71*UV72/AMI71,0)+0</f>
        <v>0</v>
      </c>
      <c r="AIW72" s="20" t="n">
        <f aca="false">IF(AMJ71&gt;0,APW71-APW71*UW72/AMJ71,0)+0</f>
        <v>0</v>
      </c>
      <c r="AIX72" s="20" t="n">
        <f aca="false">IF(AMK71&gt;0,APX71-APX71*UX72/AMK71,0)+0</f>
        <v>0</v>
      </c>
      <c r="AIY72" s="20" t="n">
        <f aca="false">IF(AML71&gt;0,APY71-APY71*UY72/AML71,0)+0</f>
        <v>0</v>
      </c>
      <c r="AIZ72" s="20" t="n">
        <f aca="false">IF(AMM71&gt;0,APZ71-APZ71*UZ72/AMM71,0)+0</f>
        <v>0</v>
      </c>
      <c r="AJA72" s="20" t="n">
        <f aca="false">IF(AMN71&gt;0,AQA71-AQA71*VA72/AMN71,0)+0</f>
        <v>0</v>
      </c>
      <c r="AJB72" s="20" t="n">
        <f aca="false">IF(AMO71&gt;0,AQB71-AQB71*VB72/AMO71,0)+0</f>
        <v>0</v>
      </c>
      <c r="AJC72" s="20" t="n">
        <f aca="false">IF(AMP71&gt;0,AQC71-AQC71*VC72/AMP71,0)+0</f>
        <v>0</v>
      </c>
      <c r="AJD72" s="20" t="n">
        <f aca="false">IF(AMQ71&gt;0,AQD71-AQD71*VD72/AMQ71,0)+0</f>
        <v>0</v>
      </c>
      <c r="AJE72" s="20" t="n">
        <f aca="false">IF(AMR71&gt;0,AQE71-AQE71*VE72/AMR71,0)+0</f>
        <v>0</v>
      </c>
      <c r="AJF72" s="20" t="n">
        <f aca="false">IF(AMS71&gt;0,AQF71-AQF71*VF72/AMS71,0)+0</f>
        <v>0</v>
      </c>
      <c r="AJG72" s="20" t="n">
        <f aca="false">IF(AMT71&gt;0,AQG71-AQG71*VG72/AMT71,0)+0</f>
        <v>0</v>
      </c>
      <c r="AJH72" s="20" t="n">
        <f aca="false">IF(AMU71&gt;0,AQH71-AQH71*VH72/AMU71,0)+0</f>
        <v>0</v>
      </c>
      <c r="AJI72" s="20" t="n">
        <f aca="false">IF(AMV71&gt;0,AQI71-AQI71*VI72/AMV71,0)+0</f>
        <v>0</v>
      </c>
      <c r="AJJ72" s="20" t="n">
        <f aca="false">IF(AMW71&gt;0,AQJ71-AQJ71*VJ72/AMW71,0)+0</f>
        <v>0</v>
      </c>
      <c r="AJK72" s="20" t="n">
        <f aca="false">IF(AMX71&gt;0,AQK71-AQK71*VK72/AMX71,0)+0</f>
        <v>0</v>
      </c>
      <c r="AJL72" s="20" t="n">
        <f aca="false">IF(AMY71&gt;0,AQL71-AQL71*VL72/AMY71,0)+0</f>
        <v>0</v>
      </c>
      <c r="AJM72" s="20" t="n">
        <f aca="false">IF(AMZ71&gt;0,AQM71-AQM71*VM72/AMZ71,0)+0</f>
        <v>0</v>
      </c>
      <c r="AJN72" s="20" t="n">
        <f aca="false">IF(ANA71&gt;0,AQN71-AQN71*VN72/ANA71,0)+0</f>
        <v>0</v>
      </c>
      <c r="AJO72" s="20" t="n">
        <f aca="false">IF(ANB71&gt;0,AQO71-AQO71*VO72/ANB71,0)+0</f>
        <v>0</v>
      </c>
      <c r="AJP72" s="20" t="n">
        <f aca="false">IF(ANC71&gt;0,AQP71-AQP71*VP72/ANC71,0)+0</f>
        <v>0</v>
      </c>
      <c r="AJQ72" s="20" t="n">
        <f aca="false">IF(AND71&gt;0,AQQ71-AQQ71*VQ72/AND71,0)+0</f>
        <v>0</v>
      </c>
      <c r="AJR72" s="20" t="n">
        <f aca="false">IF((P72+S72)&gt;0,(P72+S72)-(P72+S72)*VR72/(P72+S72),0)+BE72</f>
        <v>0</v>
      </c>
      <c r="AJS72" s="20" t="n">
        <v>0</v>
      </c>
      <c r="AJT72" s="20" t="n">
        <v>0</v>
      </c>
      <c r="AJU72" s="20" t="n">
        <v>0</v>
      </c>
      <c r="AJV72" s="20" t="n">
        <v>0</v>
      </c>
      <c r="AJW72" s="20" t="n">
        <v>0</v>
      </c>
      <c r="AJX72" s="20" t="n">
        <v>0</v>
      </c>
      <c r="AJY72" s="20" t="n">
        <v>0</v>
      </c>
      <c r="AJZ72" s="20" t="n">
        <v>0</v>
      </c>
      <c r="AKA72" s="20" t="n">
        <v>0</v>
      </c>
      <c r="AKB72" s="20" t="n">
        <v>0</v>
      </c>
      <c r="AKC72" s="20" t="n">
        <v>0</v>
      </c>
      <c r="AKD72" s="20" t="n">
        <v>0</v>
      </c>
      <c r="AKE72" s="20" t="n">
        <v>0</v>
      </c>
      <c r="AKF72" s="20" t="n">
        <v>0</v>
      </c>
      <c r="AKG72" s="20" t="n">
        <v>0</v>
      </c>
      <c r="AKH72" s="20" t="n">
        <v>0</v>
      </c>
      <c r="AKI72" s="20" t="n">
        <v>0</v>
      </c>
      <c r="AKJ72" s="20" t="n">
        <v>0</v>
      </c>
      <c r="AKK72" s="20" t="n">
        <v>0</v>
      </c>
      <c r="AKL72" s="20" t="n">
        <v>0</v>
      </c>
      <c r="AKM72" s="20" t="n">
        <v>0</v>
      </c>
      <c r="AKN72" s="20" t="n">
        <v>0</v>
      </c>
      <c r="AKO72" s="20" t="n">
        <v>0</v>
      </c>
      <c r="AKP72" s="20" t="n">
        <v>0</v>
      </c>
      <c r="AKQ72" s="20" t="n">
        <v>0</v>
      </c>
      <c r="AKR72" s="20" t="n">
        <f aca="false">ADR72-AVE72</f>
        <v>0</v>
      </c>
      <c r="AKS72" s="20" t="n">
        <f aca="false">ADS72-AVF72</f>
        <v>0</v>
      </c>
      <c r="AKT72" s="20" t="n">
        <f aca="false">ADT72-AVG72</f>
        <v>0</v>
      </c>
      <c r="AKU72" s="20" t="n">
        <f aca="false">ADU72-AVH72</f>
        <v>0</v>
      </c>
      <c r="AKV72" s="20" t="n">
        <f aca="false">ADV72-AVI72</f>
        <v>0</v>
      </c>
      <c r="AKW72" s="20" t="n">
        <f aca="false">ADW72-AVJ72</f>
        <v>0</v>
      </c>
      <c r="AKX72" s="20" t="n">
        <f aca="false">ADX72-AVK72</f>
        <v>0</v>
      </c>
      <c r="AKY72" s="20" t="n">
        <f aca="false">ADY72-AVL72</f>
        <v>0</v>
      </c>
      <c r="AKZ72" s="20" t="n">
        <f aca="false">ADZ72-AVM72</f>
        <v>0</v>
      </c>
      <c r="ALA72" s="20" t="n">
        <f aca="false">AEA72-AVN72</f>
        <v>0</v>
      </c>
      <c r="ALB72" s="20" t="n">
        <f aca="false">AEB72-AVO72</f>
        <v>0</v>
      </c>
      <c r="ALC72" s="20" t="n">
        <f aca="false">AEC72-AVP72</f>
        <v>0</v>
      </c>
      <c r="ALD72" s="20" t="n">
        <f aca="false">AED72-AVQ72</f>
        <v>0</v>
      </c>
      <c r="ALE72" s="20" t="n">
        <f aca="false">AEE72-AVR72</f>
        <v>0</v>
      </c>
      <c r="ALF72" s="20" t="n">
        <f aca="false">AEF72-AVS72</f>
        <v>0</v>
      </c>
      <c r="ALG72" s="20" t="n">
        <f aca="false">AEG72-AVT72</f>
        <v>0</v>
      </c>
      <c r="ALH72" s="20" t="n">
        <f aca="false">AEH72-AVU72</f>
        <v>0</v>
      </c>
      <c r="ALI72" s="20" t="n">
        <f aca="false">AEI72-AVV72</f>
        <v>0</v>
      </c>
      <c r="ALJ72" s="20" t="n">
        <f aca="false">AEJ72-AVW72</f>
        <v>0</v>
      </c>
      <c r="ALK72" s="20" t="n">
        <f aca="false">AEK72-AVX72</f>
        <v>0</v>
      </c>
      <c r="ALL72" s="20" t="n">
        <f aca="false">AEL72-AVY72</f>
        <v>0</v>
      </c>
      <c r="ALM72" s="20" t="n">
        <f aca="false">AEM72-AVZ72</f>
        <v>0</v>
      </c>
      <c r="ALN72" s="20" t="n">
        <f aca="false">AEN72-AWA72</f>
        <v>0</v>
      </c>
      <c r="ALO72" s="20" t="n">
        <f aca="false">AEO72-AWB72</f>
        <v>0</v>
      </c>
      <c r="ALP72" s="20" t="n">
        <f aca="false">AEP72-AWC72</f>
        <v>0</v>
      </c>
      <c r="ALQ72" s="20" t="n">
        <f aca="false">AEQ72-AWD72</f>
        <v>0</v>
      </c>
      <c r="ALR72" s="20" t="n">
        <f aca="false">AER72-AWE72</f>
        <v>0</v>
      </c>
      <c r="ALS72" s="20" t="n">
        <f aca="false">AES72-AWF72</f>
        <v>0</v>
      </c>
      <c r="ALT72" s="20" t="n">
        <f aca="false">AET72-AWG72</f>
        <v>0</v>
      </c>
      <c r="ALU72" s="20" t="n">
        <f aca="false">AEU72-AWH72</f>
        <v>0</v>
      </c>
      <c r="ALV72" s="20" t="n">
        <f aca="false">AEV72-AWI72</f>
        <v>0</v>
      </c>
      <c r="ALW72" s="20" t="n">
        <f aca="false">AEW72-AWJ72</f>
        <v>0</v>
      </c>
      <c r="ALX72" s="20" t="n">
        <f aca="false">AEX72-AWK72</f>
        <v>0</v>
      </c>
      <c r="ALY72" s="20" t="n">
        <f aca="false">AEY72-AWL72</f>
        <v>0</v>
      </c>
      <c r="ALZ72" s="20" t="n">
        <f aca="false">AEZ72-AWM72</f>
        <v>0</v>
      </c>
      <c r="AMA72" s="20" t="n">
        <f aca="false">AFA72-AWN72</f>
        <v>0</v>
      </c>
      <c r="AMB72" s="20" t="n">
        <f aca="false">AFB72-AWO72</f>
        <v>0</v>
      </c>
      <c r="AMC72" s="20" t="n">
        <f aca="false">AFC72-AWP72</f>
        <v>0</v>
      </c>
      <c r="AMD72" s="20" t="n">
        <f aca="false">AFD72-AWQ72</f>
        <v>0</v>
      </c>
      <c r="AME72" s="20" t="n">
        <f aca="false">AFE72-AWR72</f>
        <v>0</v>
      </c>
      <c r="AMF72" s="20" t="n">
        <f aca="false">AFF72-AWS72</f>
        <v>0</v>
      </c>
      <c r="AMG72" s="20" t="n">
        <f aca="false">AFG72-AWT72</f>
        <v>0</v>
      </c>
      <c r="AMH72" s="20" t="n">
        <f aca="false">AFH72-AWU72</f>
        <v>0</v>
      </c>
      <c r="AMI72" s="20" t="n">
        <f aca="false">AFI72-AWV72</f>
        <v>0</v>
      </c>
      <c r="AMJ72" s="20" t="n">
        <f aca="false">AFJ72-AWW72</f>
        <v>0</v>
      </c>
      <c r="AMK72" s="20" t="n">
        <f aca="false">AFK72-AWX72</f>
        <v>0</v>
      </c>
      <c r="AML72" s="20" t="n">
        <f aca="false">AFL72-AWY72</f>
        <v>0</v>
      </c>
      <c r="AMM72" s="20" t="n">
        <f aca="false">AFM72-AWZ72</f>
        <v>0</v>
      </c>
      <c r="AMN72" s="20" t="n">
        <f aca="false">AFN72-AXA72</f>
        <v>0</v>
      </c>
      <c r="AMO72" s="20" t="n">
        <f aca="false">AFO72-AXB72</f>
        <v>0</v>
      </c>
      <c r="AMP72" s="20" t="n">
        <f aca="false">AFP72-AXC72</f>
        <v>0</v>
      </c>
      <c r="AMQ72" s="20" t="n">
        <f aca="false">AFQ72-AXD72</f>
        <v>0</v>
      </c>
      <c r="AMR72" s="20" t="n">
        <f aca="false">AFR72-AXE72</f>
        <v>0</v>
      </c>
      <c r="AMS72" s="20" t="n">
        <f aca="false">AFS72-AXF72</f>
        <v>0</v>
      </c>
      <c r="AMT72" s="20" t="n">
        <f aca="false">AFT72-AXG72</f>
        <v>0</v>
      </c>
      <c r="AMU72" s="20" t="n">
        <f aca="false">AFU72-AXH72</f>
        <v>0</v>
      </c>
      <c r="AMV72" s="20" t="n">
        <f aca="false">AFV72-AXI72</f>
        <v>0</v>
      </c>
      <c r="AMW72" s="20" t="n">
        <f aca="false">AFW72-AXJ72</f>
        <v>0</v>
      </c>
      <c r="AMX72" s="20" t="n">
        <f aca="false">AFX72-AXK72</f>
        <v>0</v>
      </c>
      <c r="AMY72" s="20" t="n">
        <f aca="false">AFY72-AXL72</f>
        <v>0</v>
      </c>
      <c r="AMZ72" s="20" t="n">
        <f aca="false">AFZ72-AXM72</f>
        <v>0</v>
      </c>
      <c r="ANA72" s="20" t="n">
        <f aca="false">AGA72-AXN72</f>
        <v>0</v>
      </c>
      <c r="ANB72" s="20" t="n">
        <f aca="false">AGB72-AXO72</f>
        <v>0</v>
      </c>
      <c r="ANC72" s="20" t="n">
        <f aca="false">AGC72-AXP72</f>
        <v>0</v>
      </c>
      <c r="AND72" s="20" t="n">
        <f aca="false">AGD72-AXQ72</f>
        <v>0</v>
      </c>
      <c r="ANE72" s="20" t="n">
        <f aca="false">AGE72-AXR72</f>
        <v>0</v>
      </c>
      <c r="ANF72" s="20" t="n">
        <v>0</v>
      </c>
      <c r="ANG72" s="20" t="n">
        <v>0</v>
      </c>
      <c r="ANH72" s="20" t="n">
        <v>0</v>
      </c>
      <c r="ANI72" s="20" t="n">
        <v>0</v>
      </c>
      <c r="ANJ72" s="20" t="n">
        <v>0</v>
      </c>
      <c r="ANK72" s="20" t="n">
        <v>0</v>
      </c>
      <c r="ANL72" s="20" t="n">
        <v>0</v>
      </c>
      <c r="ANM72" s="20" t="n">
        <v>0</v>
      </c>
      <c r="ANN72" s="20" t="n">
        <v>0</v>
      </c>
      <c r="ANO72" s="20" t="n">
        <v>0</v>
      </c>
      <c r="ANP72" s="20" t="n">
        <v>0</v>
      </c>
      <c r="ANQ72" s="20" t="n">
        <v>0</v>
      </c>
      <c r="ANR72" s="20" t="n">
        <v>0</v>
      </c>
      <c r="ANS72" s="20" t="n">
        <v>0</v>
      </c>
      <c r="ANT72" s="20" t="n">
        <v>0</v>
      </c>
      <c r="ANU72" s="20" t="n">
        <v>0</v>
      </c>
      <c r="ANV72" s="20" t="n">
        <v>0</v>
      </c>
      <c r="ANW72" s="20" t="n">
        <v>0</v>
      </c>
      <c r="ANX72" s="20" t="n">
        <v>0</v>
      </c>
      <c r="ANY72" s="20" t="n">
        <v>0</v>
      </c>
      <c r="ANZ72" s="20" t="n">
        <v>0</v>
      </c>
      <c r="AOA72" s="20" t="n">
        <v>0</v>
      </c>
      <c r="AOB72" s="20" t="n">
        <v>0</v>
      </c>
      <c r="AOC72" s="20" t="n">
        <v>0</v>
      </c>
      <c r="AOD72" s="20" t="n">
        <v>0</v>
      </c>
      <c r="AOE72" s="20" t="n">
        <f aca="false">IF(AND(H_Direct=0,H_TaxEvt=1,ARR71+1&gt;=H_Deemed),AKR72,AHE72)</f>
        <v>0</v>
      </c>
      <c r="AOF72" s="20" t="n">
        <f aca="false">IF(AND(H_Direct=0,H_TaxEvt=1,ARS71+1&gt;=H_Deemed),AKS72,AHF72)</f>
        <v>0</v>
      </c>
      <c r="AOG72" s="20" t="n">
        <f aca="false">IF(AND(H_Direct=0,H_TaxEvt=1,ART71+1&gt;=H_Deemed),AKT72,AHG72)</f>
        <v>0</v>
      </c>
      <c r="AOH72" s="20" t="n">
        <f aca="false">IF(AND(H_Direct=0,H_TaxEvt=1,ARU71+1&gt;=H_Deemed),AKU72,AHH72)</f>
        <v>0</v>
      </c>
      <c r="AOI72" s="20" t="n">
        <f aca="false">IF(AND(H_Direct=0,H_TaxEvt=1,ARV71+1&gt;=H_Deemed),AKV72,AHI72)</f>
        <v>0</v>
      </c>
      <c r="AOJ72" s="20" t="n">
        <f aca="false">IF(AND(H_Direct=0,H_TaxEvt=1,ARW71+1&gt;=H_Deemed),AKW72,AHJ72)</f>
        <v>0</v>
      </c>
      <c r="AOK72" s="20" t="n">
        <f aca="false">IF(AND(H_Direct=0,H_TaxEvt=1,ARX71+1&gt;=H_Deemed),AKX72,AHK72)</f>
        <v>0</v>
      </c>
      <c r="AOL72" s="20" t="n">
        <f aca="false">IF(AND(H_Direct=0,H_TaxEvt=1,ARY71+1&gt;=H_Deemed),AKY72,AHL72)</f>
        <v>0</v>
      </c>
      <c r="AOM72" s="20" t="n">
        <f aca="false">IF(AND(H_Direct=0,H_TaxEvt=1,ARZ71+1&gt;=H_Deemed),AKZ72,AHM72)</f>
        <v>0</v>
      </c>
      <c r="AON72" s="20" t="n">
        <f aca="false">IF(AND(H_Direct=0,H_TaxEvt=1,ASA71+1&gt;=H_Deemed),ALA72,AHN72)</f>
        <v>0</v>
      </c>
      <c r="AOO72" s="20" t="n">
        <f aca="false">IF(AND(H_Direct=0,H_TaxEvt=1,ASB71+1&gt;=H_Deemed),ALB72,AHO72)</f>
        <v>0</v>
      </c>
      <c r="AOP72" s="20" t="n">
        <f aca="false">IF(AND(H_Direct=0,H_TaxEvt=1,ASC71+1&gt;=H_Deemed),ALC72,AHP72)</f>
        <v>0</v>
      </c>
      <c r="AOQ72" s="20" t="n">
        <f aca="false">IF(AND(H_Direct=0,H_TaxEvt=1,ASD71+1&gt;=H_Deemed),ALD72,AHQ72)</f>
        <v>0</v>
      </c>
      <c r="AOR72" s="20" t="n">
        <f aca="false">IF(AND(H_Direct=0,H_TaxEvt=1,ASE71+1&gt;=H_Deemed),ALE72,AHR72)</f>
        <v>0</v>
      </c>
      <c r="AOS72" s="20" t="n">
        <f aca="false">IF(AND(H_Direct=0,H_TaxEvt=1,ASF71+1&gt;=H_Deemed),ALF72,AHS72)</f>
        <v>0</v>
      </c>
      <c r="AOT72" s="20" t="n">
        <f aca="false">IF(AND(H_Direct=0,H_TaxEvt=1,ASG71+1&gt;=H_Deemed),ALG72,AHT72)</f>
        <v>0</v>
      </c>
      <c r="AOU72" s="20" t="n">
        <f aca="false">IF(AND(H_Direct=0,H_TaxEvt=1,ASH71+1&gt;=H_Deemed),ALH72,AHU72)</f>
        <v>0</v>
      </c>
      <c r="AOV72" s="20" t="n">
        <f aca="false">IF(AND(H_Direct=0,H_TaxEvt=1,ASI71+1&gt;=H_Deemed),ALI72,AHV72)</f>
        <v>0</v>
      </c>
      <c r="AOW72" s="20" t="n">
        <f aca="false">IF(AND(H_Direct=0,H_TaxEvt=1,ASJ71+1&gt;=H_Deemed),ALJ72,AHW72)</f>
        <v>0</v>
      </c>
      <c r="AOX72" s="20" t="n">
        <f aca="false">IF(AND(H_Direct=0,H_TaxEvt=1,ASK71+1&gt;=H_Deemed),ALK72,AHX72)</f>
        <v>0</v>
      </c>
      <c r="AOY72" s="20" t="n">
        <f aca="false">IF(AND(H_Direct=0,H_TaxEvt=1,ASL71+1&gt;=H_Deemed),ALL72,AHY72)</f>
        <v>0</v>
      </c>
      <c r="AOZ72" s="20" t="n">
        <f aca="false">IF(AND(H_Direct=0,H_TaxEvt=1,ASM71+1&gt;=H_Deemed),ALM72,AHZ72)</f>
        <v>0</v>
      </c>
      <c r="APA72" s="20" t="n">
        <f aca="false">IF(AND(H_Direct=0,H_TaxEvt=1,ASN71+1&gt;=H_Deemed),ALN72,AIA72)</f>
        <v>0</v>
      </c>
      <c r="APB72" s="20" t="n">
        <f aca="false">IF(AND(H_Direct=0,H_TaxEvt=1,ASO71+1&gt;=H_Deemed),ALO72,AIB72)</f>
        <v>0</v>
      </c>
      <c r="APC72" s="20" t="n">
        <f aca="false">IF(AND(H_Direct=0,H_TaxEvt=1,ASP71+1&gt;=H_Deemed),ALP72,AIC72)</f>
        <v>0</v>
      </c>
      <c r="APD72" s="20" t="n">
        <f aca="false">IF(AND(H_Direct=0,H_TaxEvt=1,ASQ71+1&gt;=H_Deemed),ALQ72,AID72)</f>
        <v>0</v>
      </c>
      <c r="APE72" s="20" t="n">
        <f aca="false">IF(AND(H_Direct=0,H_TaxEvt=1,ASR71+1&gt;=H_Deemed),ALR72,AIE72)</f>
        <v>0</v>
      </c>
      <c r="APF72" s="20" t="n">
        <f aca="false">IF(AND(H_Direct=0,H_TaxEvt=1,ASS71+1&gt;=H_Deemed),ALS72,AIF72)</f>
        <v>0</v>
      </c>
      <c r="APG72" s="20" t="n">
        <f aca="false">IF(AND(H_Direct=0,H_TaxEvt=1,AST71+1&gt;=H_Deemed),ALT72,AIG72)</f>
        <v>0</v>
      </c>
      <c r="APH72" s="20" t="n">
        <f aca="false">IF(AND(H_Direct=0,H_TaxEvt=1,ASU71+1&gt;=H_Deemed),ALU72,AIH72)</f>
        <v>0</v>
      </c>
      <c r="API72" s="20" t="n">
        <f aca="false">IF(AND(H_Direct=0,H_TaxEvt=1,ASV71+1&gt;=H_Deemed),ALV72,AII72)</f>
        <v>0</v>
      </c>
      <c r="APJ72" s="20" t="n">
        <f aca="false">IF(AND(H_Direct=0,H_TaxEvt=1,ASW71+1&gt;=H_Deemed),ALW72,AIJ72)</f>
        <v>0</v>
      </c>
      <c r="APK72" s="20" t="n">
        <f aca="false">IF(AND(H_Direct=0,H_TaxEvt=1,ASX71+1&gt;=H_Deemed),ALX72,AIK72)</f>
        <v>0</v>
      </c>
      <c r="APL72" s="20" t="n">
        <f aca="false">IF(AND(H_Direct=0,H_TaxEvt=1,ASY71+1&gt;=H_Deemed),ALY72,AIL72)</f>
        <v>0</v>
      </c>
      <c r="APM72" s="20" t="n">
        <f aca="false">IF(AND(H_Direct=0,H_TaxEvt=1,ASZ71+1&gt;=H_Deemed),ALZ72,AIM72)</f>
        <v>0</v>
      </c>
      <c r="APN72" s="20" t="n">
        <f aca="false">IF(AND(H_Direct=0,H_TaxEvt=1,ATA71+1&gt;=H_Deemed),AMA72,AIN72)</f>
        <v>0</v>
      </c>
      <c r="APO72" s="20" t="n">
        <f aca="false">IF(AND(H_Direct=0,H_TaxEvt=1,ATB71+1&gt;=H_Deemed),AMB72,AIO72)</f>
        <v>0</v>
      </c>
      <c r="APP72" s="20" t="n">
        <f aca="false">IF(AND(H_Direct=0,H_TaxEvt=1,ATC71+1&gt;=H_Deemed),AMC72,AIP72)</f>
        <v>0</v>
      </c>
      <c r="APQ72" s="20" t="n">
        <f aca="false">IF(AND(H_Direct=0,H_TaxEvt=1,ATD71+1&gt;=H_Deemed),AMD72,AIQ72)</f>
        <v>0</v>
      </c>
      <c r="APR72" s="20" t="n">
        <f aca="false">IF(AND(H_Direct=0,H_TaxEvt=1,ATE71+1&gt;=H_Deemed),AME72,AIR72)</f>
        <v>0</v>
      </c>
      <c r="APS72" s="20" t="n">
        <f aca="false">IF(AND(H_Direct=0,H_TaxEvt=1,ATF71+1&gt;=H_Deemed),AMF72,AIS72)</f>
        <v>0</v>
      </c>
      <c r="APT72" s="20" t="n">
        <f aca="false">IF(AND(H_Direct=0,H_TaxEvt=1,ATG71+1&gt;=H_Deemed),AMG72,AIT72)</f>
        <v>0</v>
      </c>
      <c r="APU72" s="20" t="n">
        <f aca="false">IF(AND(H_Direct=0,H_TaxEvt=1,ATH71+1&gt;=H_Deemed),AMH72,AIU72)</f>
        <v>0</v>
      </c>
      <c r="APV72" s="20" t="n">
        <f aca="false">IF(AND(H_Direct=0,H_TaxEvt=1,ATI71+1&gt;=H_Deemed),AMI72,AIV72)</f>
        <v>0</v>
      </c>
      <c r="APW72" s="20" t="n">
        <f aca="false">IF(AND(H_Direct=0,H_TaxEvt=1,ATJ71+1&gt;=H_Deemed),AMJ72,AIW72)</f>
        <v>0</v>
      </c>
      <c r="APX72" s="20" t="n">
        <f aca="false">IF(AND(H_Direct=0,H_TaxEvt=1,ATK71+1&gt;=H_Deemed),AMK72,AIX72)</f>
        <v>0</v>
      </c>
      <c r="APY72" s="20" t="n">
        <f aca="false">IF(AND(H_Direct=0,H_TaxEvt=1,ATL71+1&gt;=H_Deemed),AML72,AIY72)</f>
        <v>0</v>
      </c>
      <c r="APZ72" s="20" t="n">
        <f aca="false">IF(AND(H_Direct=0,H_TaxEvt=1,ATM71+1&gt;=H_Deemed),AMM72,AIZ72)</f>
        <v>0</v>
      </c>
      <c r="AQA72" s="20" t="n">
        <f aca="false">IF(AND(H_Direct=0,H_TaxEvt=1,ATN71+1&gt;=H_Deemed),AMN72,AJA72)</f>
        <v>0</v>
      </c>
      <c r="AQB72" s="20" t="n">
        <f aca="false">IF(AND(H_Direct=0,H_TaxEvt=1,ATO71+1&gt;=H_Deemed),AMO72,AJB72)</f>
        <v>0</v>
      </c>
      <c r="AQC72" s="20" t="n">
        <f aca="false">IF(AND(H_Direct=0,H_TaxEvt=1,ATP71+1&gt;=H_Deemed),AMP72,AJC72)</f>
        <v>0</v>
      </c>
      <c r="AQD72" s="20" t="n">
        <f aca="false">IF(AND(H_Direct=0,H_TaxEvt=1,ATQ71+1&gt;=H_Deemed),AMQ72,AJD72)</f>
        <v>0</v>
      </c>
      <c r="AQE72" s="20" t="n">
        <f aca="false">IF(AND(H_Direct=0,H_TaxEvt=1,ATR71+1&gt;=H_Deemed),AMR72,AJE72)</f>
        <v>0</v>
      </c>
      <c r="AQF72" s="20" t="n">
        <f aca="false">IF(AND(H_Direct=0,H_TaxEvt=1,ATS71+1&gt;=H_Deemed),AMS72,AJF72)</f>
        <v>0</v>
      </c>
      <c r="AQG72" s="20" t="n">
        <f aca="false">IF(AND(H_Direct=0,H_TaxEvt=1,ATT71+1&gt;=H_Deemed),AMT72,AJG72)</f>
        <v>0</v>
      </c>
      <c r="AQH72" s="20" t="n">
        <f aca="false">IF(AND(H_Direct=0,H_TaxEvt=1,ATU71+1&gt;=H_Deemed),AMU72,AJH72)</f>
        <v>0</v>
      </c>
      <c r="AQI72" s="20" t="n">
        <f aca="false">IF(AND(H_Direct=0,H_TaxEvt=1,ATV71+1&gt;=H_Deemed),AMV72,AJI72)</f>
        <v>0</v>
      </c>
      <c r="AQJ72" s="20" t="n">
        <f aca="false">IF(AND(H_Direct=0,H_TaxEvt=1,ATW71+1&gt;=H_Deemed),AMW72,AJJ72)</f>
        <v>0</v>
      </c>
      <c r="AQK72" s="20" t="n">
        <f aca="false">IF(AND(H_Direct=0,H_TaxEvt=1,ATX71+1&gt;=H_Deemed),AMX72,AJK72)</f>
        <v>0</v>
      </c>
      <c r="AQL72" s="20" t="n">
        <f aca="false">IF(AND(H_Direct=0,H_TaxEvt=1,ATY71+1&gt;=H_Deemed),AMY72,AJL72)</f>
        <v>0</v>
      </c>
      <c r="AQM72" s="20" t="n">
        <f aca="false">IF(AND(H_Direct=0,H_TaxEvt=1,ATZ71+1&gt;=H_Deemed),AMZ72,AJM72)</f>
        <v>0</v>
      </c>
      <c r="AQN72" s="20" t="n">
        <f aca="false">IF(AND(H_Direct=0,H_TaxEvt=1,AUA71+1&gt;=H_Deemed),ANA72,AJN72)</f>
        <v>0</v>
      </c>
      <c r="AQO72" s="20" t="n">
        <f aca="false">IF(AND(H_Direct=0,H_TaxEvt=1,AUB71+1&gt;=H_Deemed),ANB72,AJO72)</f>
        <v>0</v>
      </c>
      <c r="AQP72" s="20" t="n">
        <f aca="false">IF(AND(H_Direct=0,H_TaxEvt=1,AUC71+1&gt;=H_Deemed),ANC72,AJP72)</f>
        <v>0</v>
      </c>
      <c r="AQQ72" s="20" t="n">
        <f aca="false">IF(AND(H_Direct=0,H_TaxEvt=1,AUD71+1&gt;=H_Deemed),AND72,AJQ72)</f>
        <v>0</v>
      </c>
      <c r="AQR72" s="20" t="n">
        <f aca="false">IF(AND(H_Direct=0,H_TaxEvt=1,0+1&gt;=H_Deemed),ANE72,AJR72)</f>
        <v>0</v>
      </c>
      <c r="AQS72" s="20" t="n">
        <v>0</v>
      </c>
      <c r="AQT72" s="20" t="n">
        <v>0</v>
      </c>
      <c r="AQU72" s="20" t="n">
        <v>0</v>
      </c>
      <c r="AQV72" s="20" t="n">
        <v>0</v>
      </c>
      <c r="AQW72" s="20" t="n">
        <v>0</v>
      </c>
      <c r="AQX72" s="20" t="n">
        <v>0</v>
      </c>
      <c r="AQY72" s="20" t="n">
        <v>0</v>
      </c>
      <c r="AQZ72" s="20" t="n">
        <v>0</v>
      </c>
      <c r="ARA72" s="20" t="n">
        <v>0</v>
      </c>
      <c r="ARB72" s="20" t="n">
        <v>0</v>
      </c>
      <c r="ARC72" s="20" t="n">
        <v>0</v>
      </c>
      <c r="ARD72" s="20" t="n">
        <v>0</v>
      </c>
      <c r="ARE72" s="20" t="n">
        <v>0</v>
      </c>
      <c r="ARF72" s="20" t="n">
        <v>0</v>
      </c>
      <c r="ARG72" s="20" t="n">
        <v>0</v>
      </c>
      <c r="ARH72" s="20" t="n">
        <v>0</v>
      </c>
      <c r="ARI72" s="20" t="n">
        <v>0</v>
      </c>
      <c r="ARJ72" s="20" t="n">
        <v>0</v>
      </c>
      <c r="ARK72" s="20" t="n">
        <v>0</v>
      </c>
      <c r="ARL72" s="20" t="n">
        <v>0</v>
      </c>
      <c r="ARM72" s="20" t="n">
        <v>0</v>
      </c>
      <c r="ARN72" s="20" t="n">
        <v>0</v>
      </c>
      <c r="ARO72" s="20" t="n">
        <v>0</v>
      </c>
      <c r="ARP72" s="20" t="n">
        <v>0</v>
      </c>
      <c r="ARQ72" s="20" t="n">
        <v>0</v>
      </c>
      <c r="ARR72" s="20" t="n">
        <f aca="false">IF(AND(H_Direct=0,H_TaxEvt=1),IF(ARR71+1&gt;=H_Deemed,0,ARR71+1),ARR71)</f>
        <v>1</v>
      </c>
      <c r="ARS72" s="20" t="n">
        <f aca="false">IF(AND(H_Direct=0,H_TaxEvt=1),IF(ARS71+1&gt;=H_Deemed,0,ARS71+1),ARS71)</f>
        <v>1</v>
      </c>
      <c r="ART72" s="20" t="n">
        <f aca="false">IF(AND(H_Direct=0,H_TaxEvt=1),IF(ART71+1&gt;=H_Deemed,0,ART71+1),ART71)</f>
        <v>0</v>
      </c>
      <c r="ARU72" s="20" t="n">
        <f aca="false">IF(AND(H_Direct=0,H_TaxEvt=1),IF(ARU71+1&gt;=H_Deemed,0,ARU71+1),ARU71)</f>
        <v>7</v>
      </c>
      <c r="ARV72" s="20" t="n">
        <f aca="false">IF(AND(H_Direct=0,H_TaxEvt=1),IF(ARV71+1&gt;=H_Deemed,0,ARV71+1),ARV71)</f>
        <v>6</v>
      </c>
      <c r="ARW72" s="20" t="n">
        <f aca="false">IF(AND(H_Direct=0,H_TaxEvt=1),IF(ARW71+1&gt;=H_Deemed,0,ARW71+1),ARW71)</f>
        <v>5</v>
      </c>
      <c r="ARX72" s="20" t="n">
        <f aca="false">IF(AND(H_Direct=0,H_TaxEvt=1),IF(ARX71+1&gt;=H_Deemed,0,ARX71+1),ARX71)</f>
        <v>4</v>
      </c>
      <c r="ARY72" s="20" t="n">
        <f aca="false">IF(AND(H_Direct=0,H_TaxEvt=1),IF(ARY71+1&gt;=H_Deemed,0,ARY71+1),ARY71)</f>
        <v>3</v>
      </c>
      <c r="ARZ72" s="20" t="n">
        <f aca="false">IF(AND(H_Direct=0,H_TaxEvt=1),IF(ARZ71+1&gt;=H_Deemed,0,ARZ71+1),ARZ71)</f>
        <v>2</v>
      </c>
      <c r="ASA72" s="20" t="n">
        <f aca="false">IF(AND(H_Direct=0,H_TaxEvt=1),IF(ASA71+1&gt;=H_Deemed,0,ASA71+1),ASA71)</f>
        <v>1</v>
      </c>
      <c r="ASB72" s="20" t="n">
        <f aca="false">IF(AND(H_Direct=0,H_TaxEvt=1),IF(ASB71+1&gt;=H_Deemed,0,ASB71+1),ASB71)</f>
        <v>0</v>
      </c>
      <c r="ASC72" s="20" t="n">
        <f aca="false">IF(AND(H_Direct=0,H_TaxEvt=1),IF(ASC71+1&gt;=H_Deemed,0,ASC71+1),ASC71)</f>
        <v>7</v>
      </c>
      <c r="ASD72" s="20" t="n">
        <f aca="false">IF(AND(H_Direct=0,H_TaxEvt=1),IF(ASD71+1&gt;=H_Deemed,0,ASD71+1),ASD71)</f>
        <v>6</v>
      </c>
      <c r="ASE72" s="20" t="n">
        <f aca="false">IF(AND(H_Direct=0,H_TaxEvt=1),IF(ASE71+1&gt;=H_Deemed,0,ASE71+1),ASE71)</f>
        <v>5</v>
      </c>
      <c r="ASF72" s="20" t="n">
        <f aca="false">IF(AND(H_Direct=0,H_TaxEvt=1),IF(ASF71+1&gt;=H_Deemed,0,ASF71+1),ASF71)</f>
        <v>4</v>
      </c>
      <c r="ASG72" s="20" t="n">
        <f aca="false">IF(AND(H_Direct=0,H_TaxEvt=1),IF(ASG71+1&gt;=H_Deemed,0,ASG71+1),ASG71)</f>
        <v>3</v>
      </c>
      <c r="ASH72" s="20" t="n">
        <f aca="false">IF(AND(H_Direct=0,H_TaxEvt=1),IF(ASH71+1&gt;=H_Deemed,0,ASH71+1),ASH71)</f>
        <v>2</v>
      </c>
      <c r="ASI72" s="20" t="n">
        <f aca="false">IF(AND(H_Direct=0,H_TaxEvt=1),IF(ASI71+1&gt;=H_Deemed,0,ASI71+1),ASI71)</f>
        <v>1</v>
      </c>
      <c r="ASJ72" s="20" t="n">
        <f aca="false">IF(AND(H_Direct=0,H_TaxEvt=1),IF(ASJ71+1&gt;=H_Deemed,0,ASJ71+1),ASJ71)</f>
        <v>0</v>
      </c>
      <c r="ASK72" s="20" t="n">
        <f aca="false">IF(AND(H_Direct=0,H_TaxEvt=1),IF(ASK71+1&gt;=H_Deemed,0,ASK71+1),ASK71)</f>
        <v>7</v>
      </c>
      <c r="ASL72" s="20" t="n">
        <f aca="false">IF(AND(H_Direct=0,H_TaxEvt=1),IF(ASL71+1&gt;=H_Deemed,0,ASL71+1),ASL71)</f>
        <v>6</v>
      </c>
      <c r="ASM72" s="20" t="n">
        <f aca="false">IF(AND(H_Direct=0,H_TaxEvt=1),IF(ASM71+1&gt;=H_Deemed,0,ASM71+1),ASM71)</f>
        <v>5</v>
      </c>
      <c r="ASN72" s="20" t="n">
        <f aca="false">IF(AND(H_Direct=0,H_TaxEvt=1),IF(ASN71+1&gt;=H_Deemed,0,ASN71+1),ASN71)</f>
        <v>4</v>
      </c>
      <c r="ASO72" s="20" t="n">
        <f aca="false">IF(AND(H_Direct=0,H_TaxEvt=1),IF(ASO71+1&gt;=H_Deemed,0,ASO71+1),ASO71)</f>
        <v>3</v>
      </c>
      <c r="ASP72" s="20" t="n">
        <f aca="false">IF(AND(H_Direct=0,H_TaxEvt=1),IF(ASP71+1&gt;=H_Deemed,0,ASP71+1),ASP71)</f>
        <v>2</v>
      </c>
      <c r="ASQ72" s="20" t="n">
        <f aca="false">IF(AND(H_Direct=0,H_TaxEvt=1),IF(ASQ71+1&gt;=H_Deemed,0,ASQ71+1),ASQ71)</f>
        <v>1</v>
      </c>
      <c r="ASR72" s="20" t="n">
        <f aca="false">IF(AND(H_Direct=0,H_TaxEvt=1),IF(ASR71+1&gt;=H_Deemed,0,ASR71+1),ASR71)</f>
        <v>0</v>
      </c>
      <c r="ASS72" s="20" t="n">
        <f aca="false">IF(AND(H_Direct=0,H_TaxEvt=1),IF(ASS71+1&gt;=H_Deemed,0,ASS71+1),ASS71)</f>
        <v>7</v>
      </c>
      <c r="AST72" s="20" t="n">
        <f aca="false">IF(AND(H_Direct=0,H_TaxEvt=1),IF(AST71+1&gt;=H_Deemed,0,AST71+1),AST71)</f>
        <v>6</v>
      </c>
      <c r="ASU72" s="20" t="n">
        <f aca="false">IF(AND(H_Direct=0,H_TaxEvt=1),IF(ASU71+1&gt;=H_Deemed,0,ASU71+1),ASU71)</f>
        <v>5</v>
      </c>
      <c r="ASV72" s="20" t="n">
        <f aca="false">IF(AND(H_Direct=0,H_TaxEvt=1),IF(ASV71+1&gt;=H_Deemed,0,ASV71+1),ASV71)</f>
        <v>4</v>
      </c>
      <c r="ASW72" s="20" t="n">
        <f aca="false">IF(AND(H_Direct=0,H_TaxEvt=1),IF(ASW71+1&gt;=H_Deemed,0,ASW71+1),ASW71)</f>
        <v>3</v>
      </c>
      <c r="ASX72" s="20" t="n">
        <f aca="false">IF(AND(H_Direct=0,H_TaxEvt=1),IF(ASX71+1&gt;=H_Deemed,0,ASX71+1),ASX71)</f>
        <v>2</v>
      </c>
      <c r="ASY72" s="20" t="n">
        <f aca="false">IF(AND(H_Direct=0,H_TaxEvt=1),IF(ASY71+1&gt;=H_Deemed,0,ASY71+1),ASY71)</f>
        <v>1</v>
      </c>
      <c r="ASZ72" s="20" t="n">
        <f aca="false">IF(AND(H_Direct=0,H_TaxEvt=1),IF(ASZ71+1&gt;=H_Deemed,0,ASZ71+1),ASZ71)</f>
        <v>0</v>
      </c>
      <c r="ATA72" s="20" t="n">
        <f aca="false">IF(AND(H_Direct=0,H_TaxEvt=1),IF(ATA71+1&gt;=H_Deemed,0,ATA71+1),ATA71)</f>
        <v>7</v>
      </c>
      <c r="ATB72" s="20" t="n">
        <f aca="false">IF(AND(H_Direct=0,H_TaxEvt=1),IF(ATB71+1&gt;=H_Deemed,0,ATB71+1),ATB71)</f>
        <v>6</v>
      </c>
      <c r="ATC72" s="20" t="n">
        <f aca="false">IF(AND(H_Direct=0,H_TaxEvt=1),IF(ATC71+1&gt;=H_Deemed,0,ATC71+1),ATC71)</f>
        <v>5</v>
      </c>
      <c r="ATD72" s="20" t="n">
        <f aca="false">IF(AND(H_Direct=0,H_TaxEvt=1),IF(ATD71+1&gt;=H_Deemed,0,ATD71+1),ATD71)</f>
        <v>4</v>
      </c>
      <c r="ATE72" s="20" t="n">
        <f aca="false">IF(AND(H_Direct=0,H_TaxEvt=1),IF(ATE71+1&gt;=H_Deemed,0,ATE71+1),ATE71)</f>
        <v>3</v>
      </c>
      <c r="ATF72" s="20" t="n">
        <f aca="false">IF(AND(H_Direct=0,H_TaxEvt=1),IF(ATF71+1&gt;=H_Deemed,0,ATF71+1),ATF71)</f>
        <v>2</v>
      </c>
      <c r="ATG72" s="20" t="n">
        <f aca="false">IF(AND(H_Direct=0,H_TaxEvt=1),IF(ATG71+1&gt;=H_Deemed,0,ATG71+1),ATG71)</f>
        <v>1</v>
      </c>
      <c r="ATH72" s="20" t="n">
        <f aca="false">IF(AND(H_Direct=0,H_TaxEvt=1),IF(ATH71+1&gt;=H_Deemed,0,ATH71+1),ATH71)</f>
        <v>0</v>
      </c>
      <c r="ATI72" s="20" t="n">
        <f aca="false">IF(AND(H_Direct=0,H_TaxEvt=1),IF(ATI71+1&gt;=H_Deemed,0,ATI71+1),ATI71)</f>
        <v>7</v>
      </c>
      <c r="ATJ72" s="20" t="n">
        <f aca="false">IF(AND(H_Direct=0,H_TaxEvt=1),IF(ATJ71+1&gt;=H_Deemed,0,ATJ71+1),ATJ71)</f>
        <v>6</v>
      </c>
      <c r="ATK72" s="20" t="n">
        <f aca="false">IF(AND(H_Direct=0,H_TaxEvt=1),IF(ATK71+1&gt;=H_Deemed,0,ATK71+1),ATK71)</f>
        <v>5</v>
      </c>
      <c r="ATL72" s="20" t="n">
        <f aca="false">IF(AND(H_Direct=0,H_TaxEvt=1),IF(ATL71+1&gt;=H_Deemed,0,ATL71+1),ATL71)</f>
        <v>4</v>
      </c>
      <c r="ATM72" s="20" t="n">
        <f aca="false">IF(AND(H_Direct=0,H_TaxEvt=1),IF(ATM71+1&gt;=H_Deemed,0,ATM71+1),ATM71)</f>
        <v>3</v>
      </c>
      <c r="ATN72" s="20" t="n">
        <f aca="false">IF(AND(H_Direct=0,H_TaxEvt=1),IF(ATN71+1&gt;=H_Deemed,0,ATN71+1),ATN71)</f>
        <v>2</v>
      </c>
      <c r="ATO72" s="20" t="n">
        <f aca="false">IF(AND(H_Direct=0,H_TaxEvt=1),IF(ATO71+1&gt;=H_Deemed,0,ATO71+1),ATO71)</f>
        <v>1</v>
      </c>
      <c r="ATP72" s="20" t="n">
        <f aca="false">IF(AND(H_Direct=0,H_TaxEvt=1),IF(ATP71+1&gt;=H_Deemed,0,ATP71+1),ATP71)</f>
        <v>0</v>
      </c>
      <c r="ATQ72" s="20" t="n">
        <f aca="false">IF(AND(H_Direct=0,H_TaxEvt=1),IF(ATQ71+1&gt;=H_Deemed,0,ATQ71+1),ATQ71)</f>
        <v>7</v>
      </c>
      <c r="ATR72" s="20" t="n">
        <f aca="false">IF(AND(H_Direct=0,H_TaxEvt=1),IF(ATR71+1&gt;=H_Deemed,0,ATR71+1),ATR71)</f>
        <v>6</v>
      </c>
      <c r="ATS72" s="20" t="n">
        <f aca="false">IF(AND(H_Direct=0,H_TaxEvt=1),IF(ATS71+1&gt;=H_Deemed,0,ATS71+1),ATS71)</f>
        <v>5</v>
      </c>
      <c r="ATT72" s="20" t="n">
        <f aca="false">IF(AND(H_Direct=0,H_TaxEvt=1),IF(ATT71+1&gt;=H_Deemed,0,ATT71+1),ATT71)</f>
        <v>4</v>
      </c>
      <c r="ATU72" s="20" t="n">
        <f aca="false">IF(AND(H_Direct=0,H_TaxEvt=1),IF(ATU71+1&gt;=H_Deemed,0,ATU71+1),ATU71)</f>
        <v>3</v>
      </c>
      <c r="ATV72" s="20" t="n">
        <f aca="false">IF(AND(H_Direct=0,H_TaxEvt=1),IF(ATV71+1&gt;=H_Deemed,0,ATV71+1),ATV71)</f>
        <v>2</v>
      </c>
      <c r="ATW72" s="20" t="n">
        <f aca="false">IF(AND(H_Direct=0,H_TaxEvt=1),IF(ATW71+1&gt;=H_Deemed,0,ATW71+1),ATW71)</f>
        <v>1</v>
      </c>
      <c r="ATX72" s="20" t="n">
        <f aca="false">IF(AND(H_Direct=0,H_TaxEvt=1),IF(ATX71+1&gt;=H_Deemed,0,ATX71+1),ATX71)</f>
        <v>0</v>
      </c>
      <c r="ATY72" s="20" t="n">
        <f aca="false">IF(AND(H_Direct=0,H_TaxEvt=1),IF(ATY71+1&gt;=H_Deemed,0,ATY71+1),ATY71)</f>
        <v>7</v>
      </c>
      <c r="ATZ72" s="20" t="n">
        <f aca="false">IF(AND(H_Direct=0,H_TaxEvt=1),IF(ATZ71+1&gt;=H_Deemed,0,ATZ71+1),ATZ71)</f>
        <v>6</v>
      </c>
      <c r="AUA72" s="20" t="n">
        <f aca="false">IF(AND(H_Direct=0,H_TaxEvt=1),IF(AUA71+1&gt;=H_Deemed,0,AUA71+1),AUA71)</f>
        <v>5</v>
      </c>
      <c r="AUB72" s="20" t="n">
        <f aca="false">IF(AND(H_Direct=0,H_TaxEvt=1),IF(AUB71+1&gt;=H_Deemed,0,AUB71+1),AUB71)</f>
        <v>4</v>
      </c>
      <c r="AUC72" s="20" t="n">
        <f aca="false">IF(AND(H_Direct=0,H_TaxEvt=1),IF(AUC71+1&gt;=H_Deemed,0,AUC71+1),AUC71)</f>
        <v>3</v>
      </c>
      <c r="AUD72" s="20" t="n">
        <f aca="false">IF(AND(H_Direct=0,H_TaxEvt=1),IF(AUD71+1&gt;=H_Deemed,0,AUD71+1),AUD71)</f>
        <v>2</v>
      </c>
      <c r="AUE72" s="20" t="n">
        <f aca="false">IF(AND(H_Direct=0,H_TaxEvt=1),IF(0+1&gt;=H_Deemed,0,0+1),0)</f>
        <v>1</v>
      </c>
      <c r="AUF72" s="20" t="n">
        <v>0</v>
      </c>
      <c r="AUG72" s="20" t="n">
        <v>0</v>
      </c>
      <c r="AUH72" s="20" t="n">
        <v>0</v>
      </c>
      <c r="AUI72" s="20" t="n">
        <v>0</v>
      </c>
      <c r="AUJ72" s="20" t="n">
        <v>0</v>
      </c>
      <c r="AUK72" s="20" t="n">
        <v>0</v>
      </c>
      <c r="AUL72" s="20" t="n">
        <v>0</v>
      </c>
      <c r="AUM72" s="20" t="n">
        <v>0</v>
      </c>
      <c r="AUN72" s="20" t="n">
        <v>0</v>
      </c>
      <c r="AUO72" s="20" t="n">
        <v>0</v>
      </c>
      <c r="AUP72" s="20" t="n">
        <v>0</v>
      </c>
      <c r="AUQ72" s="20" t="n">
        <v>0</v>
      </c>
      <c r="AUR72" s="20" t="n">
        <v>0</v>
      </c>
      <c r="AUS72" s="20" t="n">
        <v>0</v>
      </c>
      <c r="AUT72" s="20" t="n">
        <v>0</v>
      </c>
      <c r="AUU72" s="20" t="n">
        <v>0</v>
      </c>
      <c r="AUV72" s="20" t="n">
        <v>0</v>
      </c>
      <c r="AUW72" s="20" t="n">
        <v>0</v>
      </c>
      <c r="AUX72" s="20" t="n">
        <v>0</v>
      </c>
      <c r="AUY72" s="20" t="n">
        <v>0</v>
      </c>
      <c r="AUZ72" s="20" t="n">
        <v>0</v>
      </c>
      <c r="AVA72" s="20" t="n">
        <v>0</v>
      </c>
      <c r="AVB72" s="20" t="n">
        <v>0</v>
      </c>
      <c r="AVC72" s="20" t="n">
        <v>0</v>
      </c>
      <c r="AVD72" s="20" t="n">
        <v>0</v>
      </c>
      <c r="AVE72" s="20" t="n">
        <f aca="false">IF(AND(H_Direct=0,H_TaxEvt=1,ARR71+1&gt;=H_Deemed),MAX(0,ADR72-AHE72)*H_Exit,0)</f>
        <v>0</v>
      </c>
      <c r="AVF72" s="20" t="n">
        <f aca="false">IF(AND(H_Direct=0,H_TaxEvt=1,ARS71+1&gt;=H_Deemed),MAX(0,ADS72-AHF72)*H_Exit,0)</f>
        <v>0</v>
      </c>
      <c r="AVG72" s="20" t="n">
        <f aca="false">IF(AND(H_Direct=0,H_TaxEvt=1,ART71+1&gt;=H_Deemed),MAX(0,ADT72-AHG72)*H_Exit,0)</f>
        <v>0</v>
      </c>
      <c r="AVH72" s="20" t="n">
        <f aca="false">IF(AND(H_Direct=0,H_TaxEvt=1,ARU71+1&gt;=H_Deemed),MAX(0,ADU72-AHH72)*H_Exit,0)</f>
        <v>0</v>
      </c>
      <c r="AVI72" s="20" t="n">
        <f aca="false">IF(AND(H_Direct=0,H_TaxEvt=1,ARV71+1&gt;=H_Deemed),MAX(0,ADV72-AHI72)*H_Exit,0)</f>
        <v>0</v>
      </c>
      <c r="AVJ72" s="20" t="n">
        <f aca="false">IF(AND(H_Direct=0,H_TaxEvt=1,ARW71+1&gt;=H_Deemed),MAX(0,ADW72-AHJ72)*H_Exit,0)</f>
        <v>0</v>
      </c>
      <c r="AVK72" s="20" t="n">
        <f aca="false">IF(AND(H_Direct=0,H_TaxEvt=1,ARX71+1&gt;=H_Deemed),MAX(0,ADX72-AHK72)*H_Exit,0)</f>
        <v>0</v>
      </c>
      <c r="AVL72" s="20" t="n">
        <f aca="false">IF(AND(H_Direct=0,H_TaxEvt=1,ARY71+1&gt;=H_Deemed),MAX(0,ADY72-AHL72)*H_Exit,0)</f>
        <v>0</v>
      </c>
      <c r="AVM72" s="20" t="n">
        <f aca="false">IF(AND(H_Direct=0,H_TaxEvt=1,ARZ71+1&gt;=H_Deemed),MAX(0,ADZ72-AHM72)*H_Exit,0)</f>
        <v>0</v>
      </c>
      <c r="AVN72" s="20" t="n">
        <f aca="false">IF(AND(H_Direct=0,H_TaxEvt=1,ASA71+1&gt;=H_Deemed),MAX(0,AEA72-AHN72)*H_Exit,0)</f>
        <v>0</v>
      </c>
      <c r="AVO72" s="20" t="n">
        <f aca="false">IF(AND(H_Direct=0,H_TaxEvt=1,ASB71+1&gt;=H_Deemed),MAX(0,AEB72-AHO72)*H_Exit,0)</f>
        <v>0</v>
      </c>
      <c r="AVP72" s="20" t="n">
        <f aca="false">IF(AND(H_Direct=0,H_TaxEvt=1,ASC71+1&gt;=H_Deemed),MAX(0,AEC72-AHP72)*H_Exit,0)</f>
        <v>0</v>
      </c>
      <c r="AVQ72" s="20" t="n">
        <f aca="false">IF(AND(H_Direct=0,H_TaxEvt=1,ASD71+1&gt;=H_Deemed),MAX(0,AED72-AHQ72)*H_Exit,0)</f>
        <v>0</v>
      </c>
      <c r="AVR72" s="20" t="n">
        <f aca="false">IF(AND(H_Direct=0,H_TaxEvt=1,ASE71+1&gt;=H_Deemed),MAX(0,AEE72-AHR72)*H_Exit,0)</f>
        <v>0</v>
      </c>
      <c r="AVS72" s="20" t="n">
        <f aca="false">IF(AND(H_Direct=0,H_TaxEvt=1,ASF71+1&gt;=H_Deemed),MAX(0,AEF72-AHS72)*H_Exit,0)</f>
        <v>0</v>
      </c>
      <c r="AVT72" s="20" t="n">
        <f aca="false">IF(AND(H_Direct=0,H_TaxEvt=1,ASG71+1&gt;=H_Deemed),MAX(0,AEG72-AHT72)*H_Exit,0)</f>
        <v>0</v>
      </c>
      <c r="AVU72" s="20" t="n">
        <f aca="false">IF(AND(H_Direct=0,H_TaxEvt=1,ASH71+1&gt;=H_Deemed),MAX(0,AEH72-AHU72)*H_Exit,0)</f>
        <v>0</v>
      </c>
      <c r="AVV72" s="20" t="n">
        <f aca="false">IF(AND(H_Direct=0,H_TaxEvt=1,ASI71+1&gt;=H_Deemed),MAX(0,AEI72-AHV72)*H_Exit,0)</f>
        <v>0</v>
      </c>
      <c r="AVW72" s="20" t="n">
        <f aca="false">IF(AND(H_Direct=0,H_TaxEvt=1,ASJ71+1&gt;=H_Deemed),MAX(0,AEJ72-AHW72)*H_Exit,0)</f>
        <v>0</v>
      </c>
      <c r="AVX72" s="20" t="n">
        <f aca="false">IF(AND(H_Direct=0,H_TaxEvt=1,ASK71+1&gt;=H_Deemed),MAX(0,AEK72-AHX72)*H_Exit,0)</f>
        <v>0</v>
      </c>
      <c r="AVY72" s="20" t="n">
        <f aca="false">IF(AND(H_Direct=0,H_TaxEvt=1,ASL71+1&gt;=H_Deemed),MAX(0,AEL72-AHY72)*H_Exit,0)</f>
        <v>0</v>
      </c>
      <c r="AVZ72" s="20" t="n">
        <f aca="false">IF(AND(H_Direct=0,H_TaxEvt=1,ASM71+1&gt;=H_Deemed),MAX(0,AEM72-AHZ72)*H_Exit,0)</f>
        <v>0</v>
      </c>
      <c r="AWA72" s="20" t="n">
        <f aca="false">IF(AND(H_Direct=0,H_TaxEvt=1,ASN71+1&gt;=H_Deemed),MAX(0,AEN72-AIA72)*H_Exit,0)</f>
        <v>0</v>
      </c>
      <c r="AWB72" s="20" t="n">
        <f aca="false">IF(AND(H_Direct=0,H_TaxEvt=1,ASO71+1&gt;=H_Deemed),MAX(0,AEO72-AIB72)*H_Exit,0)</f>
        <v>0</v>
      </c>
      <c r="AWC72" s="20" t="n">
        <f aca="false">IF(AND(H_Direct=0,H_TaxEvt=1,ASP71+1&gt;=H_Deemed),MAX(0,AEP72-AIC72)*H_Exit,0)</f>
        <v>0</v>
      </c>
      <c r="AWD72" s="20" t="n">
        <f aca="false">IF(AND(H_Direct=0,H_TaxEvt=1,ASQ71+1&gt;=H_Deemed),MAX(0,AEQ72-AID72)*H_Exit,0)</f>
        <v>0</v>
      </c>
      <c r="AWE72" s="20" t="n">
        <f aca="false">IF(AND(H_Direct=0,H_TaxEvt=1,ASR71+1&gt;=H_Deemed),MAX(0,AER72-AIE72)*H_Exit,0)</f>
        <v>0</v>
      </c>
      <c r="AWF72" s="20" t="n">
        <f aca="false">IF(AND(H_Direct=0,H_TaxEvt=1,ASS71+1&gt;=H_Deemed),MAX(0,AES72-AIF72)*H_Exit,0)</f>
        <v>0</v>
      </c>
      <c r="AWG72" s="20" t="n">
        <f aca="false">IF(AND(H_Direct=0,H_TaxEvt=1,AST71+1&gt;=H_Deemed),MAX(0,AET72-AIG72)*H_Exit,0)</f>
        <v>0</v>
      </c>
      <c r="AWH72" s="20" t="n">
        <f aca="false">IF(AND(H_Direct=0,H_TaxEvt=1,ASU71+1&gt;=H_Deemed),MAX(0,AEU72-AIH72)*H_Exit,0)</f>
        <v>0</v>
      </c>
      <c r="AWI72" s="20" t="n">
        <f aca="false">IF(AND(H_Direct=0,H_TaxEvt=1,ASV71+1&gt;=H_Deemed),MAX(0,AEV72-AII72)*H_Exit,0)</f>
        <v>0</v>
      </c>
      <c r="AWJ72" s="20" t="n">
        <f aca="false">IF(AND(H_Direct=0,H_TaxEvt=1,ASW71+1&gt;=H_Deemed),MAX(0,AEW72-AIJ72)*H_Exit,0)</f>
        <v>0</v>
      </c>
      <c r="AWK72" s="20" t="n">
        <f aca="false">IF(AND(H_Direct=0,H_TaxEvt=1,ASX71+1&gt;=H_Deemed),MAX(0,AEX72-AIK72)*H_Exit,0)</f>
        <v>0</v>
      </c>
      <c r="AWL72" s="20" t="n">
        <f aca="false">IF(AND(H_Direct=0,H_TaxEvt=1,ASY71+1&gt;=H_Deemed),MAX(0,AEY72-AIL72)*H_Exit,0)</f>
        <v>0</v>
      </c>
      <c r="AWM72" s="20" t="n">
        <f aca="false">IF(AND(H_Direct=0,H_TaxEvt=1,ASZ71+1&gt;=H_Deemed),MAX(0,AEZ72-AIM72)*H_Exit,0)</f>
        <v>0</v>
      </c>
      <c r="AWN72" s="20" t="n">
        <f aca="false">IF(AND(H_Direct=0,H_TaxEvt=1,ATA71+1&gt;=H_Deemed),MAX(0,AFA72-AIN72)*H_Exit,0)</f>
        <v>0</v>
      </c>
      <c r="AWO72" s="20" t="n">
        <f aca="false">IF(AND(H_Direct=0,H_TaxEvt=1,ATB71+1&gt;=H_Deemed),MAX(0,AFB72-AIO72)*H_Exit,0)</f>
        <v>0</v>
      </c>
      <c r="AWP72" s="20" t="n">
        <f aca="false">IF(AND(H_Direct=0,H_TaxEvt=1,ATC71+1&gt;=H_Deemed),MAX(0,AFC72-AIP72)*H_Exit,0)</f>
        <v>0</v>
      </c>
      <c r="AWQ72" s="20" t="n">
        <f aca="false">IF(AND(H_Direct=0,H_TaxEvt=1,ATD71+1&gt;=H_Deemed),MAX(0,AFD72-AIQ72)*H_Exit,0)</f>
        <v>0</v>
      </c>
      <c r="AWR72" s="20" t="n">
        <f aca="false">IF(AND(H_Direct=0,H_TaxEvt=1,ATE71+1&gt;=H_Deemed),MAX(0,AFE72-AIR72)*H_Exit,0)</f>
        <v>0</v>
      </c>
      <c r="AWS72" s="20" t="n">
        <f aca="false">IF(AND(H_Direct=0,H_TaxEvt=1,ATF71+1&gt;=H_Deemed),MAX(0,AFF72-AIS72)*H_Exit,0)</f>
        <v>0</v>
      </c>
      <c r="AWT72" s="20" t="n">
        <f aca="false">IF(AND(H_Direct=0,H_TaxEvt=1,ATG71+1&gt;=H_Deemed),MAX(0,AFG72-AIT72)*H_Exit,0)</f>
        <v>0</v>
      </c>
      <c r="AWU72" s="20" t="n">
        <f aca="false">IF(AND(H_Direct=0,H_TaxEvt=1,ATH71+1&gt;=H_Deemed),MAX(0,AFH72-AIU72)*H_Exit,0)</f>
        <v>0</v>
      </c>
      <c r="AWV72" s="20" t="n">
        <f aca="false">IF(AND(H_Direct=0,H_TaxEvt=1,ATI71+1&gt;=H_Deemed),MAX(0,AFI72-AIV72)*H_Exit,0)</f>
        <v>0</v>
      </c>
      <c r="AWW72" s="20" t="n">
        <f aca="false">IF(AND(H_Direct=0,H_TaxEvt=1,ATJ71+1&gt;=H_Deemed),MAX(0,AFJ72-AIW72)*H_Exit,0)</f>
        <v>0</v>
      </c>
      <c r="AWX72" s="20" t="n">
        <f aca="false">IF(AND(H_Direct=0,H_TaxEvt=1,ATK71+1&gt;=H_Deemed),MAX(0,AFK72-AIX72)*H_Exit,0)</f>
        <v>0</v>
      </c>
      <c r="AWY72" s="20" t="n">
        <f aca="false">IF(AND(H_Direct=0,H_TaxEvt=1,ATL71+1&gt;=H_Deemed),MAX(0,AFL72-AIY72)*H_Exit,0)</f>
        <v>0</v>
      </c>
      <c r="AWZ72" s="20" t="n">
        <f aca="false">IF(AND(H_Direct=0,H_TaxEvt=1,ATM71+1&gt;=H_Deemed),MAX(0,AFM72-AIZ72)*H_Exit,0)</f>
        <v>0</v>
      </c>
      <c r="AXA72" s="20" t="n">
        <f aca="false">IF(AND(H_Direct=0,H_TaxEvt=1,ATN71+1&gt;=H_Deemed),MAX(0,AFN72-AJA72)*H_Exit,0)</f>
        <v>0</v>
      </c>
      <c r="AXB72" s="20" t="n">
        <f aca="false">IF(AND(H_Direct=0,H_TaxEvt=1,ATO71+1&gt;=H_Deemed),MAX(0,AFO72-AJB72)*H_Exit,0)</f>
        <v>0</v>
      </c>
      <c r="AXC72" s="20" t="n">
        <f aca="false">IF(AND(H_Direct=0,H_TaxEvt=1,ATP71+1&gt;=H_Deemed),MAX(0,AFP72-AJC72)*H_Exit,0)</f>
        <v>0</v>
      </c>
      <c r="AXD72" s="20" t="n">
        <f aca="false">IF(AND(H_Direct=0,H_TaxEvt=1,ATQ71+1&gt;=H_Deemed),MAX(0,AFQ72-AJD72)*H_Exit,0)</f>
        <v>0</v>
      </c>
      <c r="AXE72" s="20" t="n">
        <f aca="false">IF(AND(H_Direct=0,H_TaxEvt=1,ATR71+1&gt;=H_Deemed),MAX(0,AFR72-AJE72)*H_Exit,0)</f>
        <v>0</v>
      </c>
      <c r="AXF72" s="20" t="n">
        <f aca="false">IF(AND(H_Direct=0,H_TaxEvt=1,ATS71+1&gt;=H_Deemed),MAX(0,AFS72-AJF72)*H_Exit,0)</f>
        <v>0</v>
      </c>
      <c r="AXG72" s="20" t="n">
        <f aca="false">IF(AND(H_Direct=0,H_TaxEvt=1,ATT71+1&gt;=H_Deemed),MAX(0,AFT72-AJG72)*H_Exit,0)</f>
        <v>0</v>
      </c>
      <c r="AXH72" s="20" t="n">
        <f aca="false">IF(AND(H_Direct=0,H_TaxEvt=1,ATU71+1&gt;=H_Deemed),MAX(0,AFU72-AJH72)*H_Exit,0)</f>
        <v>0</v>
      </c>
      <c r="AXI72" s="20" t="n">
        <f aca="false">IF(AND(H_Direct=0,H_TaxEvt=1,ATV71+1&gt;=H_Deemed),MAX(0,AFV72-AJI72)*H_Exit,0)</f>
        <v>0</v>
      </c>
      <c r="AXJ72" s="20" t="n">
        <f aca="false">IF(AND(H_Direct=0,H_TaxEvt=1,ATW71+1&gt;=H_Deemed),MAX(0,AFW72-AJJ72)*H_Exit,0)</f>
        <v>0</v>
      </c>
      <c r="AXK72" s="20" t="n">
        <f aca="false">IF(AND(H_Direct=0,H_TaxEvt=1,ATX71+1&gt;=H_Deemed),MAX(0,AFX72-AJK72)*H_Exit,0)</f>
        <v>0</v>
      </c>
      <c r="AXL72" s="20" t="n">
        <f aca="false">IF(AND(H_Direct=0,H_TaxEvt=1,ATY71+1&gt;=H_Deemed),MAX(0,AFY72-AJL72)*H_Exit,0)</f>
        <v>0</v>
      </c>
      <c r="AXM72" s="20" t="n">
        <f aca="false">IF(AND(H_Direct=0,H_TaxEvt=1,ATZ71+1&gt;=H_Deemed),MAX(0,AFZ72-AJM72)*H_Exit,0)</f>
        <v>0</v>
      </c>
      <c r="AXN72" s="20" t="n">
        <f aca="false">IF(AND(H_Direct=0,H_TaxEvt=1,AUA71+1&gt;=H_Deemed),MAX(0,AGA72-AJN72)*H_Exit,0)</f>
        <v>0</v>
      </c>
      <c r="AXO72" s="20" t="n">
        <f aca="false">IF(AND(H_Direct=0,H_TaxEvt=1,AUB71+1&gt;=H_Deemed),MAX(0,AGB72-AJO72)*H_Exit,0)</f>
        <v>0</v>
      </c>
      <c r="AXP72" s="20" t="n">
        <f aca="false">IF(AND(H_Direct=0,H_TaxEvt=1,AUC71+1&gt;=H_Deemed),MAX(0,AGC72-AJP72)*H_Exit,0)</f>
        <v>0</v>
      </c>
      <c r="AXQ72" s="20" t="n">
        <f aca="false">IF(AND(H_Direct=0,H_TaxEvt=1,AUD71+1&gt;=H_Deemed),MAX(0,AGD72-AJQ72)*H_Exit,0)</f>
        <v>0</v>
      </c>
      <c r="AXR72" s="20" t="n">
        <f aca="false">IF(AND(H_Direct=0,H_TaxEvt=1,0+1&gt;=H_Deemed),MAX(0,AGE72-AJR72)*H_Exit,0)</f>
        <v>0</v>
      </c>
      <c r="AXS72" s="20" t="n">
        <v>0</v>
      </c>
      <c r="AXT72" s="20" t="n">
        <v>0</v>
      </c>
      <c r="AXU72" s="20" t="n">
        <v>0</v>
      </c>
      <c r="AXV72" s="20" t="n">
        <v>0</v>
      </c>
      <c r="AXW72" s="20" t="n">
        <v>0</v>
      </c>
      <c r="AXX72" s="20" t="n">
        <v>0</v>
      </c>
      <c r="AXY72" s="20" t="n">
        <v>0</v>
      </c>
      <c r="AXZ72" s="20" t="n">
        <v>0</v>
      </c>
      <c r="AYA72" s="20" t="n">
        <v>0</v>
      </c>
      <c r="AYB72" s="20" t="n">
        <v>0</v>
      </c>
      <c r="AYC72" s="20" t="n">
        <v>0</v>
      </c>
      <c r="AYD72" s="20" t="n">
        <v>0</v>
      </c>
      <c r="AYE72" s="20" t="n">
        <v>0</v>
      </c>
      <c r="AYF72" s="20" t="n">
        <v>0</v>
      </c>
      <c r="AYG72" s="20" t="n">
        <v>0</v>
      </c>
      <c r="AYH72" s="20" t="n">
        <v>0</v>
      </c>
      <c r="AYI72" s="20" t="n">
        <v>0</v>
      </c>
      <c r="AYJ72" s="20" t="n">
        <v>0</v>
      </c>
      <c r="AYK72" s="20" t="n">
        <v>0</v>
      </c>
      <c r="AYL72" s="20" t="n">
        <v>0</v>
      </c>
      <c r="AYM72" s="20" t="n">
        <v>0</v>
      </c>
      <c r="AYN72" s="20" t="n">
        <v>0</v>
      </c>
      <c r="AYO72" s="20" t="n">
        <v>0</v>
      </c>
      <c r="AYP72" s="20" t="n">
        <v>0</v>
      </c>
      <c r="AYQ72" s="20" t="n">
        <v>0</v>
      </c>
    </row>
    <row r="73" customFormat="false" ht="15" hidden="false" customHeight="false" outlineLevel="0" collapsed="false">
      <c r="B73" s="20" t="n">
        <v>65</v>
      </c>
      <c r="C73" s="20" t="n">
        <f aca="false">'Plan cashflow'!C73</f>
        <v>0</v>
      </c>
      <c r="D73" s="20" t="n">
        <f aca="false">'Plan cashflow'!D73</f>
        <v>103</v>
      </c>
      <c r="E73" s="20" t="n">
        <f aca="false">AS_Year0+65</f>
        <v>2091</v>
      </c>
      <c r="F73" s="50" t="n">
        <f aca="false">'Plan cashflow'!F73</f>
        <v>3.62252310814242</v>
      </c>
      <c r="G73" s="59" t="n">
        <f aca="true">IF(MAX(TODAY(),DATE(E73,1,1))&gt;=H_CGTfrom,H_CGT1,H_CGT0)</f>
        <v>0.31</v>
      </c>
      <c r="H73" s="20" t="n">
        <f aca="false">H_Exempt*H_Persons</f>
        <v>1270</v>
      </c>
      <c r="I73" s="20" t="n">
        <f aca="false">AX72</f>
        <v>0</v>
      </c>
      <c r="J73" s="60" t="n">
        <f aca="false">BF72</f>
        <v>0</v>
      </c>
      <c r="K73" s="60" t="n">
        <f aca="false">BG72</f>
        <v>0</v>
      </c>
      <c r="L73" s="20" t="n">
        <f aca="false">IF(AND(In_polLump&gt;0,In_polLumpAge&gt;0,D73=In_polLumpAge),In_polLump,0)</f>
        <v>0</v>
      </c>
      <c r="M73" s="20" t="n">
        <f aca="false">IF(AND(In_homeUse="Yes, I'd downsize",In_downAge&gt;0,D73=In_downAge,OR(In_home="Own outright",In_home="Own with mortgage"),In_homeValue&gt;0),MAX(0,MAX(0,In_homeValue-In_downValue)*F73*0.9-'Plan cashflow'!HR72),0)</f>
        <v>0</v>
      </c>
      <c r="N73" s="20" t="n">
        <f aca="false">'Plan pay &amp; tax'!Y299</f>
        <v>0</v>
      </c>
      <c r="O73" s="20" t="n">
        <f aca="false">L73+M73+(1-H_Sh)*N73</f>
        <v>0</v>
      </c>
      <c r="P73" s="20" t="n">
        <f aca="false">H_Sh*N73</f>
        <v>0</v>
      </c>
      <c r="Q73" s="20" t="n">
        <f aca="false">'Plan cashflow'!UL73</f>
        <v>0</v>
      </c>
      <c r="R73" s="20" t="n">
        <f aca="false">(1-H_Sh)*Q73</f>
        <v>0</v>
      </c>
      <c r="S73" s="20" t="n">
        <f aca="false">H_Sh*Q73</f>
        <v>0</v>
      </c>
      <c r="T73" s="20" t="n">
        <f aca="false">J73+K73+O73</f>
        <v>0</v>
      </c>
      <c r="U73" s="20" t="n">
        <f aca="false">T73+R73</f>
        <v>0</v>
      </c>
      <c r="V73" s="60" t="n">
        <f aca="false">SUM(FE73:IQ73)</f>
        <v>0</v>
      </c>
      <c r="W73" s="60" t="n">
        <f aca="false">IF(AJ73&lt;=0,0,IF(AL73&lt;=0,AJ73,AJ73-G73*MAX(0,AL73*AJ73-(AY73+AZ73))))</f>
        <v>0</v>
      </c>
      <c r="X73" s="60" t="n">
        <f aca="false">IF(AR73&lt;=0,0,IF(AT73&lt;=0,AR73,AR73-G73*MAX(0,AT73*AR73-(BA73+BB73))))</f>
        <v>0</v>
      </c>
      <c r="Y73" s="60" t="n">
        <f aca="false">T73+V73-S73+W73+X73</f>
        <v>0</v>
      </c>
      <c r="Z73" s="60" t="n">
        <f aca="false">'Plan cashflow'!UK73</f>
        <v>0</v>
      </c>
      <c r="AA73" s="20" t="n">
        <f aca="false">MIN(Z73,U73)</f>
        <v>0</v>
      </c>
      <c r="AB73" s="20" t="n">
        <f aca="false">Z73-AA73</f>
        <v>0</v>
      </c>
      <c r="AC73" s="20" t="n">
        <f aca="false">MIN(AA73,J73+O73+R73)</f>
        <v>0</v>
      </c>
      <c r="AD73" s="20" t="n">
        <f aca="false">AA73-AC73</f>
        <v>0</v>
      </c>
      <c r="AE73" s="20" t="n">
        <f aca="false">J73+O73+R73-AC73</f>
        <v>0</v>
      </c>
      <c r="AF73" s="20" t="n">
        <f aca="false">K73-AD73</f>
        <v>0</v>
      </c>
      <c r="AG73" s="20" t="n">
        <f aca="false">SUM(PR73:TD73)</f>
        <v>0</v>
      </c>
      <c r="AH73" s="20" t="n">
        <f aca="false">SUM(TE73:WQ73)</f>
        <v>0</v>
      </c>
      <c r="AI73" s="20" t="n">
        <f aca="false">MAX(0,AB73-AG73)</f>
        <v>0</v>
      </c>
      <c r="AJ73" s="57" t="n">
        <f aca="false">BI72</f>
        <v>0</v>
      </c>
      <c r="AK73" s="20" t="n">
        <f aca="false">BJ72</f>
        <v>0</v>
      </c>
      <c r="AL73" s="20" t="n">
        <f aca="false">IF(AJ73&gt;0,(AJ73-AK73)/AJ73,0)</f>
        <v>0</v>
      </c>
      <c r="AM73" s="20" t="n">
        <f aca="false">IF(AJ73&lt;=0,0,IF(AL73&lt;=0,MIN(AI73,AJ73),MIN(AI73,AJ73-G73*MAX(0,AL73*AJ73-(AAD73+ADQ73)))))</f>
        <v>0</v>
      </c>
      <c r="AN73" s="20" t="n">
        <f aca="false">IF(AJ73&lt;=0,0,IF(AL73&lt;=0,AM73,IF(AM73&lt;=(AAD73+ADQ73)/AL73,AM73,(AM73-G73*(AAD73+ADQ73))/(1-G73*AL73))))</f>
        <v>0</v>
      </c>
      <c r="AO73" s="20" t="n">
        <f aca="false">IF(AL73&gt;0,MAX(0,AAD73-(MIN(AL73*AN73,(AAD73+ADQ73))-MIN(MIN(AL73*AN73,(AAD73+ADQ73)),ADQ73))),AAD73)</f>
        <v>1270</v>
      </c>
      <c r="AP73" s="20" t="n">
        <f aca="false">IF(AL73&lt;=0,ADQ73-AL73*AN73,ADQ73-MIN(MIN(AL73*AN73,(AAD73+ADQ73)),ADQ73))</f>
        <v>0</v>
      </c>
      <c r="AQ73" s="20" t="n">
        <f aca="false">MAX(0,AI73-AM73)</f>
        <v>0</v>
      </c>
      <c r="AR73" s="57" t="n">
        <f aca="false">BK72</f>
        <v>0</v>
      </c>
      <c r="AS73" s="20" t="n">
        <f aca="false">BL72</f>
        <v>0</v>
      </c>
      <c r="AT73" s="20" t="n">
        <f aca="false">IF(AR73&gt;0,(AR73-AS73)/AR73,0)</f>
        <v>0</v>
      </c>
      <c r="AU73" s="20" t="n">
        <f aca="false">IF(AR73&lt;=0,0,IF(AT73&lt;=0,MIN(AQ73,AR73),MIN(AQ73,AR73-G73*MAX(0,AT73*AR73-(AO73+AP73)))))</f>
        <v>0</v>
      </c>
      <c r="AV73" s="20" t="n">
        <f aca="false">IF(AR73&lt;=0,0,IF(AT73&lt;=0,AU73,IF(AU73&lt;=(AO73+AP73)/AT73,AU73,(AU73-G73*(AO73+AP73))/(1-G73*AT73))))</f>
        <v>0</v>
      </c>
      <c r="AW73" s="20" t="n">
        <f aca="false">IF(AT73&gt;0,MAX(0,AO73-(MIN(AT73*AV73,(AO73+AP73))-MIN(MIN(AT73*AV73,(AO73+AP73)),AP73))),AO73)</f>
        <v>1270</v>
      </c>
      <c r="AX73" s="20" t="n">
        <f aca="false">IF(AT73&lt;=0,AP73-AT73*AV73,AP73-MIN(MIN(AT73*AV73,(AO73+AP73)),AP73))</f>
        <v>0</v>
      </c>
      <c r="AY73" s="20" t="n">
        <f aca="false">MD73</f>
        <v>1270</v>
      </c>
      <c r="AZ73" s="20" t="n">
        <f aca="false">PQ73</f>
        <v>0</v>
      </c>
      <c r="BA73" s="20" t="n">
        <f aca="false">IF(AL73&gt;0,MAX(0,AY73-(MIN(AL73*AJ73,AY73+AZ73)-MIN(MIN(AL73*AJ73,AY73+AZ73),AZ73))),AY73)</f>
        <v>1270</v>
      </c>
      <c r="BB73" s="20" t="n">
        <f aca="false">IF(AL73&lt;=0,AZ73-AL73*AJ73,AZ73-MIN(MIN(AL73*AJ73,AY73+AZ73),AZ73))</f>
        <v>0</v>
      </c>
      <c r="BC73" s="20" t="n">
        <f aca="false">'Plan cashflow'!UM73</f>
        <v>0</v>
      </c>
      <c r="BD73" s="20" t="n">
        <f aca="false">(1-H_Sh)*BC73</f>
        <v>0</v>
      </c>
      <c r="BE73" s="20" t="n">
        <f aca="false">H_Sh*BC73</f>
        <v>0</v>
      </c>
      <c r="BF73" s="60" t="n">
        <f aca="false">(AE73+BD73)*(1+AS_Cash)</f>
        <v>0</v>
      </c>
      <c r="BG73" s="60" t="n">
        <f aca="false">AF73*(1+AS_Cash)</f>
        <v>0</v>
      </c>
      <c r="BH73" s="60" t="n">
        <f aca="false">SUM(AKR73:AOD73)</f>
        <v>0</v>
      </c>
      <c r="BI73" s="60" t="n">
        <f aca="false">(AJ73-AN73)*(1+AS_Infl)</f>
        <v>0</v>
      </c>
      <c r="BJ73" s="20" t="n">
        <f aca="false">IF(AJ73&gt;0,AK73-AK73*AN73/AJ73,0)</f>
        <v>0</v>
      </c>
      <c r="BK73" s="60" t="n">
        <f aca="false">(AR73-AV73)*(1+BQ73)</f>
        <v>0</v>
      </c>
      <c r="BL73" s="20" t="n">
        <f aca="false">IF(AR73&gt;0,AS73-AS73*AV73/AR73,0)</f>
        <v>0</v>
      </c>
      <c r="BM73" s="60" t="n">
        <f aca="false">BF73+BG73+BH73+BI73+BK73</f>
        <v>0</v>
      </c>
      <c r="BN73" s="60" t="n">
        <f aca="false">(AH73-AG73)+(AN73-AM73)+(AV73-AU73)</f>
        <v>0</v>
      </c>
      <c r="BO73" s="20" t="n">
        <f aca="false">(AE73+BD73+AF73+MAX(0,'Plan cashflow'!QH73)+IF(Slot1_Rate=AS_Cash,'Plan cashflow'!QM73/(1+AS_Cash),0)+IF(Slot2_Rate=AS_Cash,'Plan cashflow'!QQ73/(1+AS_Cash),0)+IF(Slot3_Rate=AS_Cash,'Plan cashflow'!QU73/(1+AS_Cash),0)+IF(Slot4_Rate=AS_Cash,'Plan cashflow'!QY73/(1+AS_Cash),0)+IF(Slot5_Rate=AS_Cash,'Plan cashflow'!RC73/(1+AS_Cash),0)+IF(Slot6_Rate=AS_Cash,'Plan cashflow'!RG73/(1+AS_Cash),0)+IF(Slot7_Rate=AS_Cash,'Plan cashflow'!RK73/(1+AS_Cash),0)+IF(Slot8_Rate=AS_Cash,'Plan cashflow'!RO73/(1+AS_Cash),0)+IF(Slot9_Rate=AS_Cash,'Plan cashflow'!RS73/(1+AS_Cash),0)+IF(Slot10_Rate=AS_Cash,'Plan cashflow'!RW73/(1+AS_Cash),0)+IF(Slot11_Rate=AS_Cash,'Plan cashflow'!SA73/(1+AS_Cash),0)+IF(Slot12_Rate=AS_Cash,'Plan cashflow'!SE73/(1+AS_Cash),0)+IF(Slot13_Rate=AS_Cash,'Plan cashflow'!SI73/(1+AS_Cash),0)+IF(Slot14_Rate=AS_Cash,'Plan cashflow'!SM73/(1+AS_Cash),0)+IF(Slot15_Rate=AS_Cash,'Plan cashflow'!SQ73/(1+AS_Cash),0)+IF(Slot16_Rate=AS_Cash,'Plan cashflow'!SU73/(1+AS_Cash),0)+IF(Slot17_Rate=AS_Cash,'Plan cashflow'!SY73/(1+AS_Cash),0)+IF(Slot18_Rate=AS_Cash,'Plan cashflow'!TC73/(1+AS_Cash),0)+IF(Slot19_Rate=AS_Cash,'Plan cashflow'!TG73/(1+AS_Cash),0)+IF(Slot20_Rate=AS_Cash,'Plan cashflow'!TK73/(1+AS_Cash),0))*AS_Cash*H_DIRT/(1-H_DIRT)</f>
        <v>0</v>
      </c>
      <c r="BP73" s="60" t="n">
        <f aca="false">SUM(AVE73:AYQ73)</f>
        <v>0</v>
      </c>
      <c r="BQ73" s="54" t="n">
        <f aca="false">IF(H_TaxEvt=1,H_InvG,AS_Inv)</f>
        <v>0.04</v>
      </c>
      <c r="BR73" s="20" t="n">
        <f aca="false">IF(AKR72&gt;0,(AKR72-AOE72)/AKR72,0)</f>
        <v>0</v>
      </c>
      <c r="BS73" s="20" t="n">
        <f aca="false">IF(AKS72&gt;0,(AKS72-AOF72)/AKS72,0)</f>
        <v>0</v>
      </c>
      <c r="BT73" s="20" t="n">
        <f aca="false">IF(AKT72&gt;0,(AKT72-AOG72)/AKT72,0)</f>
        <v>0</v>
      </c>
      <c r="BU73" s="20" t="n">
        <f aca="false">IF(AKU72&gt;0,(AKU72-AOH72)/AKU72,0)</f>
        <v>0</v>
      </c>
      <c r="BV73" s="20" t="n">
        <f aca="false">IF(AKV72&gt;0,(AKV72-AOI72)/AKV72,0)</f>
        <v>0</v>
      </c>
      <c r="BW73" s="20" t="n">
        <f aca="false">IF(AKW72&gt;0,(AKW72-AOJ72)/AKW72,0)</f>
        <v>0</v>
      </c>
      <c r="BX73" s="20" t="n">
        <f aca="false">IF(AKX72&gt;0,(AKX72-AOK72)/AKX72,0)</f>
        <v>0</v>
      </c>
      <c r="BY73" s="20" t="n">
        <f aca="false">IF(AKY72&gt;0,(AKY72-AOL72)/AKY72,0)</f>
        <v>0</v>
      </c>
      <c r="BZ73" s="20" t="n">
        <f aca="false">IF(AKZ72&gt;0,(AKZ72-AOM72)/AKZ72,0)</f>
        <v>0</v>
      </c>
      <c r="CA73" s="20" t="n">
        <f aca="false">IF(ALA72&gt;0,(ALA72-AON72)/ALA72,0)</f>
        <v>0</v>
      </c>
      <c r="CB73" s="20" t="n">
        <f aca="false">IF(ALB72&gt;0,(ALB72-AOO72)/ALB72,0)</f>
        <v>0</v>
      </c>
      <c r="CC73" s="20" t="n">
        <f aca="false">IF(ALC72&gt;0,(ALC72-AOP72)/ALC72,0)</f>
        <v>0</v>
      </c>
      <c r="CD73" s="20" t="n">
        <f aca="false">IF(ALD72&gt;0,(ALD72-AOQ72)/ALD72,0)</f>
        <v>0</v>
      </c>
      <c r="CE73" s="20" t="n">
        <f aca="false">IF(ALE72&gt;0,(ALE72-AOR72)/ALE72,0)</f>
        <v>0</v>
      </c>
      <c r="CF73" s="20" t="n">
        <f aca="false">IF(ALF72&gt;0,(ALF72-AOS72)/ALF72,0)</f>
        <v>0</v>
      </c>
      <c r="CG73" s="20" t="n">
        <f aca="false">IF(ALG72&gt;0,(ALG72-AOT72)/ALG72,0)</f>
        <v>0</v>
      </c>
      <c r="CH73" s="20" t="n">
        <f aca="false">IF(ALH72&gt;0,(ALH72-AOU72)/ALH72,0)</f>
        <v>0</v>
      </c>
      <c r="CI73" s="20" t="n">
        <f aca="false">IF(ALI72&gt;0,(ALI72-AOV72)/ALI72,0)</f>
        <v>0</v>
      </c>
      <c r="CJ73" s="20" t="n">
        <f aca="false">IF(ALJ72&gt;0,(ALJ72-AOW72)/ALJ72,0)</f>
        <v>0</v>
      </c>
      <c r="CK73" s="20" t="n">
        <f aca="false">IF(ALK72&gt;0,(ALK72-AOX72)/ALK72,0)</f>
        <v>0</v>
      </c>
      <c r="CL73" s="20" t="n">
        <f aca="false">IF(ALL72&gt;0,(ALL72-AOY72)/ALL72,0)</f>
        <v>0</v>
      </c>
      <c r="CM73" s="20" t="n">
        <f aca="false">IF(ALM72&gt;0,(ALM72-AOZ72)/ALM72,0)</f>
        <v>0</v>
      </c>
      <c r="CN73" s="20" t="n">
        <f aca="false">IF(ALN72&gt;0,(ALN72-APA72)/ALN72,0)</f>
        <v>0</v>
      </c>
      <c r="CO73" s="20" t="n">
        <f aca="false">IF(ALO72&gt;0,(ALO72-APB72)/ALO72,0)</f>
        <v>0</v>
      </c>
      <c r="CP73" s="20" t="n">
        <f aca="false">IF(ALP72&gt;0,(ALP72-APC72)/ALP72,0)</f>
        <v>0</v>
      </c>
      <c r="CQ73" s="20" t="n">
        <f aca="false">IF(ALQ72&gt;0,(ALQ72-APD72)/ALQ72,0)</f>
        <v>0</v>
      </c>
      <c r="CR73" s="20" t="n">
        <f aca="false">IF(ALR72&gt;0,(ALR72-APE72)/ALR72,0)</f>
        <v>0</v>
      </c>
      <c r="CS73" s="20" t="n">
        <f aca="false">IF(ALS72&gt;0,(ALS72-APF72)/ALS72,0)</f>
        <v>0</v>
      </c>
      <c r="CT73" s="20" t="n">
        <f aca="false">IF(ALT72&gt;0,(ALT72-APG72)/ALT72,0)</f>
        <v>0</v>
      </c>
      <c r="CU73" s="20" t="n">
        <f aca="false">IF(ALU72&gt;0,(ALU72-APH72)/ALU72,0)</f>
        <v>0</v>
      </c>
      <c r="CV73" s="20" t="n">
        <f aca="false">IF(ALV72&gt;0,(ALV72-API72)/ALV72,0)</f>
        <v>0</v>
      </c>
      <c r="CW73" s="20" t="n">
        <f aca="false">IF(ALW72&gt;0,(ALW72-APJ72)/ALW72,0)</f>
        <v>0</v>
      </c>
      <c r="CX73" s="20" t="n">
        <f aca="false">IF(ALX72&gt;0,(ALX72-APK72)/ALX72,0)</f>
        <v>0</v>
      </c>
      <c r="CY73" s="20" t="n">
        <f aca="false">IF(ALY72&gt;0,(ALY72-APL72)/ALY72,0)</f>
        <v>0</v>
      </c>
      <c r="CZ73" s="20" t="n">
        <f aca="false">IF(ALZ72&gt;0,(ALZ72-APM72)/ALZ72,0)</f>
        <v>0</v>
      </c>
      <c r="DA73" s="20" t="n">
        <f aca="false">IF(AMA72&gt;0,(AMA72-APN72)/AMA72,0)</f>
        <v>0</v>
      </c>
      <c r="DB73" s="20" t="n">
        <f aca="false">IF(AMB72&gt;0,(AMB72-APO72)/AMB72,0)</f>
        <v>0</v>
      </c>
      <c r="DC73" s="20" t="n">
        <f aca="false">IF(AMC72&gt;0,(AMC72-APP72)/AMC72,0)</f>
        <v>0</v>
      </c>
      <c r="DD73" s="20" t="n">
        <f aca="false">IF(AMD72&gt;0,(AMD72-APQ72)/AMD72,0)</f>
        <v>0</v>
      </c>
      <c r="DE73" s="20" t="n">
        <f aca="false">IF(AME72&gt;0,(AME72-APR72)/AME72,0)</f>
        <v>0</v>
      </c>
      <c r="DF73" s="20" t="n">
        <f aca="false">IF(AMF72&gt;0,(AMF72-APS72)/AMF72,0)</f>
        <v>0</v>
      </c>
      <c r="DG73" s="20" t="n">
        <f aca="false">IF(AMG72&gt;0,(AMG72-APT72)/AMG72,0)</f>
        <v>0</v>
      </c>
      <c r="DH73" s="20" t="n">
        <f aca="false">IF(AMH72&gt;0,(AMH72-APU72)/AMH72,0)</f>
        <v>0</v>
      </c>
      <c r="DI73" s="20" t="n">
        <f aca="false">IF(AMI72&gt;0,(AMI72-APV72)/AMI72,0)</f>
        <v>0</v>
      </c>
      <c r="DJ73" s="20" t="n">
        <f aca="false">IF(AMJ72&gt;0,(AMJ72-APW72)/AMJ72,0)</f>
        <v>0</v>
      </c>
      <c r="DK73" s="20" t="n">
        <f aca="false">IF(AMK72&gt;0,(AMK72-APX72)/AMK72,0)</f>
        <v>0</v>
      </c>
      <c r="DL73" s="20" t="n">
        <f aca="false">IF(AML72&gt;0,(AML72-APY72)/AML72,0)</f>
        <v>0</v>
      </c>
      <c r="DM73" s="20" t="n">
        <f aca="false">IF(AMM72&gt;0,(AMM72-APZ72)/AMM72,0)</f>
        <v>0</v>
      </c>
      <c r="DN73" s="20" t="n">
        <f aca="false">IF(AMN72&gt;0,(AMN72-AQA72)/AMN72,0)</f>
        <v>0</v>
      </c>
      <c r="DO73" s="20" t="n">
        <f aca="false">IF(AMO72&gt;0,(AMO72-AQB72)/AMO72,0)</f>
        <v>0</v>
      </c>
      <c r="DP73" s="20" t="n">
        <f aca="false">IF(AMP72&gt;0,(AMP72-AQC72)/AMP72,0)</f>
        <v>0</v>
      </c>
      <c r="DQ73" s="20" t="n">
        <f aca="false">IF(AMQ72&gt;0,(AMQ72-AQD72)/AMQ72,0)</f>
        <v>0</v>
      </c>
      <c r="DR73" s="20" t="n">
        <f aca="false">IF(AMR72&gt;0,(AMR72-AQE72)/AMR72,0)</f>
        <v>0</v>
      </c>
      <c r="DS73" s="20" t="n">
        <f aca="false">IF(AMS72&gt;0,(AMS72-AQF72)/AMS72,0)</f>
        <v>0</v>
      </c>
      <c r="DT73" s="20" t="n">
        <f aca="false">IF(AMT72&gt;0,(AMT72-AQG72)/AMT72,0)</f>
        <v>0</v>
      </c>
      <c r="DU73" s="20" t="n">
        <f aca="false">IF(AMU72&gt;0,(AMU72-AQH72)/AMU72,0)</f>
        <v>0</v>
      </c>
      <c r="DV73" s="20" t="n">
        <f aca="false">IF(AMV72&gt;0,(AMV72-AQI72)/AMV72,0)</f>
        <v>0</v>
      </c>
      <c r="DW73" s="20" t="n">
        <f aca="false">IF(AMW72&gt;0,(AMW72-AQJ72)/AMW72,0)</f>
        <v>0</v>
      </c>
      <c r="DX73" s="20" t="n">
        <f aca="false">IF(AMX72&gt;0,(AMX72-AQK72)/AMX72,0)</f>
        <v>0</v>
      </c>
      <c r="DY73" s="20" t="n">
        <f aca="false">IF(AMY72&gt;0,(AMY72-AQL72)/AMY72,0)</f>
        <v>0</v>
      </c>
      <c r="DZ73" s="20" t="n">
        <f aca="false">IF(AMZ72&gt;0,(AMZ72-AQM72)/AMZ72,0)</f>
        <v>0</v>
      </c>
      <c r="EA73" s="20" t="n">
        <f aca="false">IF(ANA72&gt;0,(ANA72-AQN72)/ANA72,0)</f>
        <v>0</v>
      </c>
      <c r="EB73" s="20" t="n">
        <f aca="false">IF(ANB72&gt;0,(ANB72-AQO72)/ANB72,0)</f>
        <v>0</v>
      </c>
      <c r="EC73" s="20" t="n">
        <f aca="false">IF(ANC72&gt;0,(ANC72-AQP72)/ANC72,0)</f>
        <v>0</v>
      </c>
      <c r="ED73" s="20" t="n">
        <f aca="false">IF(AND72&gt;0,(AND72-AQQ72)/AND72,0)</f>
        <v>0</v>
      </c>
      <c r="EE73" s="20" t="n">
        <f aca="false">IF(ANE72&gt;0,(ANE72-AQR72)/ANE72,0)</f>
        <v>0</v>
      </c>
      <c r="EF73" s="20" t="n">
        <f aca="false">IF((P73+S73)&gt;0,((P73+S73)-(P73+S73))/(P73+S73),0)</f>
        <v>0</v>
      </c>
      <c r="EG73" s="20" t="n">
        <v>0</v>
      </c>
      <c r="EH73" s="20" t="n">
        <v>0</v>
      </c>
      <c r="EI73" s="20" t="n">
        <v>0</v>
      </c>
      <c r="EJ73" s="20" t="n">
        <v>0</v>
      </c>
      <c r="EK73" s="20" t="n">
        <v>0</v>
      </c>
      <c r="EL73" s="20" t="n">
        <v>0</v>
      </c>
      <c r="EM73" s="20" t="n">
        <v>0</v>
      </c>
      <c r="EN73" s="20" t="n">
        <v>0</v>
      </c>
      <c r="EO73" s="20" t="n">
        <v>0</v>
      </c>
      <c r="EP73" s="20" t="n">
        <v>0</v>
      </c>
      <c r="EQ73" s="20" t="n">
        <v>0</v>
      </c>
      <c r="ER73" s="20" t="n">
        <v>0</v>
      </c>
      <c r="ES73" s="20" t="n">
        <v>0</v>
      </c>
      <c r="ET73" s="20" t="n">
        <v>0</v>
      </c>
      <c r="EU73" s="20" t="n">
        <v>0</v>
      </c>
      <c r="EV73" s="20" t="n">
        <v>0</v>
      </c>
      <c r="EW73" s="20" t="n">
        <v>0</v>
      </c>
      <c r="EX73" s="20" t="n">
        <v>0</v>
      </c>
      <c r="EY73" s="20" t="n">
        <v>0</v>
      </c>
      <c r="EZ73" s="20" t="n">
        <v>0</v>
      </c>
      <c r="FA73" s="20" t="n">
        <v>0</v>
      </c>
      <c r="FB73" s="20" t="n">
        <v>0</v>
      </c>
      <c r="FC73" s="20" t="n">
        <v>0</v>
      </c>
      <c r="FD73" s="20" t="n">
        <v>0</v>
      </c>
      <c r="FE73" s="20" t="n">
        <f aca="false">IF(H_Direct=1,IF(AKR72&lt;=0,0,IF(BR73&lt;=0,AKR72,AKR72-G73*MAX(0,BR73*AKR72-(H73+I73)))),AKR72*(1-MAX(0,BR73)*H_Exit))</f>
        <v>0</v>
      </c>
      <c r="FF73" s="20" t="n">
        <f aca="false">IF(H_Direct=1,IF(AKS72&lt;=0,0,IF(BS73&lt;=0,AKS72,AKS72-G73*MAX(0,BS73*AKS72-(IR73+ME73)))),AKS72*(1-MAX(0,BS73)*H_Exit))</f>
        <v>0</v>
      </c>
      <c r="FG73" s="20" t="n">
        <f aca="false">IF(H_Direct=1,IF(AKT72&lt;=0,0,IF(BT73&lt;=0,AKT72,AKT72-G73*MAX(0,BT73*AKT72-(IS73+MF73)))),AKT72*(1-MAX(0,BT73)*H_Exit))</f>
        <v>0</v>
      </c>
      <c r="FH73" s="20" t="n">
        <f aca="false">IF(H_Direct=1,IF(AKU72&lt;=0,0,IF(BU73&lt;=0,AKU72,AKU72-G73*MAX(0,BU73*AKU72-(IT73+MG73)))),AKU72*(1-MAX(0,BU73)*H_Exit))</f>
        <v>0</v>
      </c>
      <c r="FI73" s="20" t="n">
        <f aca="false">IF(H_Direct=1,IF(AKV72&lt;=0,0,IF(BV73&lt;=0,AKV72,AKV72-G73*MAX(0,BV73*AKV72-(IU73+MH73)))),AKV72*(1-MAX(0,BV73)*H_Exit))</f>
        <v>0</v>
      </c>
      <c r="FJ73" s="20" t="n">
        <f aca="false">IF(H_Direct=1,IF(AKW72&lt;=0,0,IF(BW73&lt;=0,AKW72,AKW72-G73*MAX(0,BW73*AKW72-(IV73+MI73)))),AKW72*(1-MAX(0,BW73)*H_Exit))</f>
        <v>0</v>
      </c>
      <c r="FK73" s="20" t="n">
        <f aca="false">IF(H_Direct=1,IF(AKX72&lt;=0,0,IF(BX73&lt;=0,AKX72,AKX72-G73*MAX(0,BX73*AKX72-(IW73+MJ73)))),AKX72*(1-MAX(0,BX73)*H_Exit))</f>
        <v>0</v>
      </c>
      <c r="FL73" s="20" t="n">
        <f aca="false">IF(H_Direct=1,IF(AKY72&lt;=0,0,IF(BY73&lt;=0,AKY72,AKY72-G73*MAX(0,BY73*AKY72-(IX73+MK73)))),AKY72*(1-MAX(0,BY73)*H_Exit))</f>
        <v>0</v>
      </c>
      <c r="FM73" s="20" t="n">
        <f aca="false">IF(H_Direct=1,IF(AKZ72&lt;=0,0,IF(BZ73&lt;=0,AKZ72,AKZ72-G73*MAX(0,BZ73*AKZ72-(IY73+ML73)))),AKZ72*(1-MAX(0,BZ73)*H_Exit))</f>
        <v>0</v>
      </c>
      <c r="FN73" s="20" t="n">
        <f aca="false">IF(H_Direct=1,IF(ALA72&lt;=0,0,IF(CA73&lt;=0,ALA72,ALA72-G73*MAX(0,CA73*ALA72-(IZ73+MM73)))),ALA72*(1-MAX(0,CA73)*H_Exit))</f>
        <v>0</v>
      </c>
      <c r="FO73" s="20" t="n">
        <f aca="false">IF(H_Direct=1,IF(ALB72&lt;=0,0,IF(CB73&lt;=0,ALB72,ALB72-G73*MAX(0,CB73*ALB72-(JA73+MN73)))),ALB72*(1-MAX(0,CB73)*H_Exit))</f>
        <v>0</v>
      </c>
      <c r="FP73" s="20" t="n">
        <f aca="false">IF(H_Direct=1,IF(ALC72&lt;=0,0,IF(CC73&lt;=0,ALC72,ALC72-G73*MAX(0,CC73*ALC72-(JB73+MO73)))),ALC72*(1-MAX(0,CC73)*H_Exit))</f>
        <v>0</v>
      </c>
      <c r="FQ73" s="20" t="n">
        <f aca="false">IF(H_Direct=1,IF(ALD72&lt;=0,0,IF(CD73&lt;=0,ALD72,ALD72-G73*MAX(0,CD73*ALD72-(JC73+MP73)))),ALD72*(1-MAX(0,CD73)*H_Exit))</f>
        <v>0</v>
      </c>
      <c r="FR73" s="20" t="n">
        <f aca="false">IF(H_Direct=1,IF(ALE72&lt;=0,0,IF(CE73&lt;=0,ALE72,ALE72-G73*MAX(0,CE73*ALE72-(JD73+MQ73)))),ALE72*(1-MAX(0,CE73)*H_Exit))</f>
        <v>0</v>
      </c>
      <c r="FS73" s="20" t="n">
        <f aca="false">IF(H_Direct=1,IF(ALF72&lt;=0,0,IF(CF73&lt;=0,ALF72,ALF72-G73*MAX(0,CF73*ALF72-(JE73+MR73)))),ALF72*(1-MAX(0,CF73)*H_Exit))</f>
        <v>0</v>
      </c>
      <c r="FT73" s="20" t="n">
        <f aca="false">IF(H_Direct=1,IF(ALG72&lt;=0,0,IF(CG73&lt;=0,ALG72,ALG72-G73*MAX(0,CG73*ALG72-(JF73+MS73)))),ALG72*(1-MAX(0,CG73)*H_Exit))</f>
        <v>0</v>
      </c>
      <c r="FU73" s="20" t="n">
        <f aca="false">IF(H_Direct=1,IF(ALH72&lt;=0,0,IF(CH73&lt;=0,ALH72,ALH72-G73*MAX(0,CH73*ALH72-(JG73+MT73)))),ALH72*(1-MAX(0,CH73)*H_Exit))</f>
        <v>0</v>
      </c>
      <c r="FV73" s="20" t="n">
        <f aca="false">IF(H_Direct=1,IF(ALI72&lt;=0,0,IF(CI73&lt;=0,ALI72,ALI72-G73*MAX(0,CI73*ALI72-(JH73+MU73)))),ALI72*(1-MAX(0,CI73)*H_Exit))</f>
        <v>0</v>
      </c>
      <c r="FW73" s="20" t="n">
        <f aca="false">IF(H_Direct=1,IF(ALJ72&lt;=0,0,IF(CJ73&lt;=0,ALJ72,ALJ72-G73*MAX(0,CJ73*ALJ72-(JI73+MV73)))),ALJ72*(1-MAX(0,CJ73)*H_Exit))</f>
        <v>0</v>
      </c>
      <c r="FX73" s="20" t="n">
        <f aca="false">IF(H_Direct=1,IF(ALK72&lt;=0,0,IF(CK73&lt;=0,ALK72,ALK72-G73*MAX(0,CK73*ALK72-(JJ73+MW73)))),ALK72*(1-MAX(0,CK73)*H_Exit))</f>
        <v>0</v>
      </c>
      <c r="FY73" s="20" t="n">
        <f aca="false">IF(H_Direct=1,IF(ALL72&lt;=0,0,IF(CL73&lt;=0,ALL72,ALL72-G73*MAX(0,CL73*ALL72-(JK73+MX73)))),ALL72*(1-MAX(0,CL73)*H_Exit))</f>
        <v>0</v>
      </c>
      <c r="FZ73" s="20" t="n">
        <f aca="false">IF(H_Direct=1,IF(ALM72&lt;=0,0,IF(CM73&lt;=0,ALM72,ALM72-G73*MAX(0,CM73*ALM72-(JL73+MY73)))),ALM72*(1-MAX(0,CM73)*H_Exit))</f>
        <v>0</v>
      </c>
      <c r="GA73" s="20" t="n">
        <f aca="false">IF(H_Direct=1,IF(ALN72&lt;=0,0,IF(CN73&lt;=0,ALN72,ALN72-G73*MAX(0,CN73*ALN72-(JM73+MZ73)))),ALN72*(1-MAX(0,CN73)*H_Exit))</f>
        <v>0</v>
      </c>
      <c r="GB73" s="20" t="n">
        <f aca="false">IF(H_Direct=1,IF(ALO72&lt;=0,0,IF(CO73&lt;=0,ALO72,ALO72-G73*MAX(0,CO73*ALO72-(JN73+NA73)))),ALO72*(1-MAX(0,CO73)*H_Exit))</f>
        <v>0</v>
      </c>
      <c r="GC73" s="20" t="n">
        <f aca="false">IF(H_Direct=1,IF(ALP72&lt;=0,0,IF(CP73&lt;=0,ALP72,ALP72-G73*MAX(0,CP73*ALP72-(JO73+NB73)))),ALP72*(1-MAX(0,CP73)*H_Exit))</f>
        <v>0</v>
      </c>
      <c r="GD73" s="20" t="n">
        <f aca="false">IF(H_Direct=1,IF(ALQ72&lt;=0,0,IF(CQ73&lt;=0,ALQ72,ALQ72-G73*MAX(0,CQ73*ALQ72-(JP73+NC73)))),ALQ72*(1-MAX(0,CQ73)*H_Exit))</f>
        <v>0</v>
      </c>
      <c r="GE73" s="20" t="n">
        <f aca="false">IF(H_Direct=1,IF(ALR72&lt;=0,0,IF(CR73&lt;=0,ALR72,ALR72-G73*MAX(0,CR73*ALR72-(JQ73+ND73)))),ALR72*(1-MAX(0,CR73)*H_Exit))</f>
        <v>0</v>
      </c>
      <c r="GF73" s="20" t="n">
        <f aca="false">IF(H_Direct=1,IF(ALS72&lt;=0,0,IF(CS73&lt;=0,ALS72,ALS72-G73*MAX(0,CS73*ALS72-(JR73+NE73)))),ALS72*(1-MAX(0,CS73)*H_Exit))</f>
        <v>0</v>
      </c>
      <c r="GG73" s="20" t="n">
        <f aca="false">IF(H_Direct=1,IF(ALT72&lt;=0,0,IF(CT73&lt;=0,ALT72,ALT72-G73*MAX(0,CT73*ALT72-(JS73+NF73)))),ALT72*(1-MAX(0,CT73)*H_Exit))</f>
        <v>0</v>
      </c>
      <c r="GH73" s="20" t="n">
        <f aca="false">IF(H_Direct=1,IF(ALU72&lt;=0,0,IF(CU73&lt;=0,ALU72,ALU72-G73*MAX(0,CU73*ALU72-(JT73+NG73)))),ALU72*(1-MAX(0,CU73)*H_Exit))</f>
        <v>0</v>
      </c>
      <c r="GI73" s="20" t="n">
        <f aca="false">IF(H_Direct=1,IF(ALV72&lt;=0,0,IF(CV73&lt;=0,ALV72,ALV72-G73*MAX(0,CV73*ALV72-(JU73+NH73)))),ALV72*(1-MAX(0,CV73)*H_Exit))</f>
        <v>0</v>
      </c>
      <c r="GJ73" s="20" t="n">
        <f aca="false">IF(H_Direct=1,IF(ALW72&lt;=0,0,IF(CW73&lt;=0,ALW72,ALW72-G73*MAX(0,CW73*ALW72-(JV73+NI73)))),ALW72*(1-MAX(0,CW73)*H_Exit))</f>
        <v>0</v>
      </c>
      <c r="GK73" s="20" t="n">
        <f aca="false">IF(H_Direct=1,IF(ALX72&lt;=0,0,IF(CX73&lt;=0,ALX72,ALX72-G73*MAX(0,CX73*ALX72-(JW73+NJ73)))),ALX72*(1-MAX(0,CX73)*H_Exit))</f>
        <v>0</v>
      </c>
      <c r="GL73" s="20" t="n">
        <f aca="false">IF(H_Direct=1,IF(ALY72&lt;=0,0,IF(CY73&lt;=0,ALY72,ALY72-G73*MAX(0,CY73*ALY72-(JX73+NK73)))),ALY72*(1-MAX(0,CY73)*H_Exit))</f>
        <v>0</v>
      </c>
      <c r="GM73" s="20" t="n">
        <f aca="false">IF(H_Direct=1,IF(ALZ72&lt;=0,0,IF(CZ73&lt;=0,ALZ72,ALZ72-G73*MAX(0,CZ73*ALZ72-(JY73+NL73)))),ALZ72*(1-MAX(0,CZ73)*H_Exit))</f>
        <v>0</v>
      </c>
      <c r="GN73" s="20" t="n">
        <f aca="false">IF(H_Direct=1,IF(AMA72&lt;=0,0,IF(DA73&lt;=0,AMA72,AMA72-G73*MAX(0,DA73*AMA72-(JZ73+NM73)))),AMA72*(1-MAX(0,DA73)*H_Exit))</f>
        <v>0</v>
      </c>
      <c r="GO73" s="20" t="n">
        <f aca="false">IF(H_Direct=1,IF(AMB72&lt;=0,0,IF(DB73&lt;=0,AMB72,AMB72-G73*MAX(0,DB73*AMB72-(KA73+NN73)))),AMB72*(1-MAX(0,DB73)*H_Exit))</f>
        <v>0</v>
      </c>
      <c r="GP73" s="20" t="n">
        <f aca="false">IF(H_Direct=1,IF(AMC72&lt;=0,0,IF(DC73&lt;=0,AMC72,AMC72-G73*MAX(0,DC73*AMC72-(KB73+NO73)))),AMC72*(1-MAX(0,DC73)*H_Exit))</f>
        <v>0</v>
      </c>
      <c r="GQ73" s="20" t="n">
        <f aca="false">IF(H_Direct=1,IF(AMD72&lt;=0,0,IF(DD73&lt;=0,AMD72,AMD72-G73*MAX(0,DD73*AMD72-(KC73+NP73)))),AMD72*(1-MAX(0,DD73)*H_Exit))</f>
        <v>0</v>
      </c>
      <c r="GR73" s="20" t="n">
        <f aca="false">IF(H_Direct=1,IF(AME72&lt;=0,0,IF(DE73&lt;=0,AME72,AME72-G73*MAX(0,DE73*AME72-(KD73+NQ73)))),AME72*(1-MAX(0,DE73)*H_Exit))</f>
        <v>0</v>
      </c>
      <c r="GS73" s="20" t="n">
        <f aca="false">IF(H_Direct=1,IF(AMF72&lt;=0,0,IF(DF73&lt;=0,AMF72,AMF72-G73*MAX(0,DF73*AMF72-(KE73+NR73)))),AMF72*(1-MAX(0,DF73)*H_Exit))</f>
        <v>0</v>
      </c>
      <c r="GT73" s="20" t="n">
        <f aca="false">IF(H_Direct=1,IF(AMG72&lt;=0,0,IF(DG73&lt;=0,AMG72,AMG72-G73*MAX(0,DG73*AMG72-(KF73+NS73)))),AMG72*(1-MAX(0,DG73)*H_Exit))</f>
        <v>0</v>
      </c>
      <c r="GU73" s="20" t="n">
        <f aca="false">IF(H_Direct=1,IF(AMH72&lt;=0,0,IF(DH73&lt;=0,AMH72,AMH72-G73*MAX(0,DH73*AMH72-(KG73+NT73)))),AMH72*(1-MAX(0,DH73)*H_Exit))</f>
        <v>0</v>
      </c>
      <c r="GV73" s="20" t="n">
        <f aca="false">IF(H_Direct=1,IF(AMI72&lt;=0,0,IF(DI73&lt;=0,AMI72,AMI72-G73*MAX(0,DI73*AMI72-(KH73+NU73)))),AMI72*(1-MAX(0,DI73)*H_Exit))</f>
        <v>0</v>
      </c>
      <c r="GW73" s="20" t="n">
        <f aca="false">IF(H_Direct=1,IF(AMJ72&lt;=0,0,IF(DJ73&lt;=0,AMJ72,AMJ72-G73*MAX(0,DJ73*AMJ72-(KI73+NV73)))),AMJ72*(1-MAX(0,DJ73)*H_Exit))</f>
        <v>0</v>
      </c>
      <c r="GX73" s="20" t="n">
        <f aca="false">IF(H_Direct=1,IF(AMK72&lt;=0,0,IF(DK73&lt;=0,AMK72,AMK72-G73*MAX(0,DK73*AMK72-(KJ73+NW73)))),AMK72*(1-MAX(0,DK73)*H_Exit))</f>
        <v>0</v>
      </c>
      <c r="GY73" s="20" t="n">
        <f aca="false">IF(H_Direct=1,IF(AML72&lt;=0,0,IF(DL73&lt;=0,AML72,AML72-G73*MAX(0,DL73*AML72-(KK73+NX73)))),AML72*(1-MAX(0,DL73)*H_Exit))</f>
        <v>0</v>
      </c>
      <c r="GZ73" s="20" t="n">
        <f aca="false">IF(H_Direct=1,IF(AMM72&lt;=0,0,IF(DM73&lt;=0,AMM72,AMM72-G73*MAX(0,DM73*AMM72-(KL73+NY73)))),AMM72*(1-MAX(0,DM73)*H_Exit))</f>
        <v>0</v>
      </c>
      <c r="HA73" s="20" t="n">
        <f aca="false">IF(H_Direct=1,IF(AMN72&lt;=0,0,IF(DN73&lt;=0,AMN72,AMN72-G73*MAX(0,DN73*AMN72-(KM73+NZ73)))),AMN72*(1-MAX(0,DN73)*H_Exit))</f>
        <v>0</v>
      </c>
      <c r="HB73" s="20" t="n">
        <f aca="false">IF(H_Direct=1,IF(AMO72&lt;=0,0,IF(DO73&lt;=0,AMO72,AMO72-G73*MAX(0,DO73*AMO72-(KN73+OA73)))),AMO72*(1-MAX(0,DO73)*H_Exit))</f>
        <v>0</v>
      </c>
      <c r="HC73" s="20" t="n">
        <f aca="false">IF(H_Direct=1,IF(AMP72&lt;=0,0,IF(DP73&lt;=0,AMP72,AMP72-G73*MAX(0,DP73*AMP72-(KO73+OB73)))),AMP72*(1-MAX(0,DP73)*H_Exit))</f>
        <v>0</v>
      </c>
      <c r="HD73" s="20" t="n">
        <f aca="false">IF(H_Direct=1,IF(AMQ72&lt;=0,0,IF(DQ73&lt;=0,AMQ72,AMQ72-G73*MAX(0,DQ73*AMQ72-(KP73+OC73)))),AMQ72*(1-MAX(0,DQ73)*H_Exit))</f>
        <v>0</v>
      </c>
      <c r="HE73" s="20" t="n">
        <f aca="false">IF(H_Direct=1,IF(AMR72&lt;=0,0,IF(DR73&lt;=0,AMR72,AMR72-G73*MAX(0,DR73*AMR72-(KQ73+OD73)))),AMR72*(1-MAX(0,DR73)*H_Exit))</f>
        <v>0</v>
      </c>
      <c r="HF73" s="20" t="n">
        <f aca="false">IF(H_Direct=1,IF(AMS72&lt;=0,0,IF(DS73&lt;=0,AMS72,AMS72-G73*MAX(0,DS73*AMS72-(KR73+OE73)))),AMS72*(1-MAX(0,DS73)*H_Exit))</f>
        <v>0</v>
      </c>
      <c r="HG73" s="20" t="n">
        <f aca="false">IF(H_Direct=1,IF(AMT72&lt;=0,0,IF(DT73&lt;=0,AMT72,AMT72-G73*MAX(0,DT73*AMT72-(KS73+OF73)))),AMT72*(1-MAX(0,DT73)*H_Exit))</f>
        <v>0</v>
      </c>
      <c r="HH73" s="20" t="n">
        <f aca="false">IF(H_Direct=1,IF(AMU72&lt;=0,0,IF(DU73&lt;=0,AMU72,AMU72-G73*MAX(0,DU73*AMU72-(KT73+OG73)))),AMU72*(1-MAX(0,DU73)*H_Exit))</f>
        <v>0</v>
      </c>
      <c r="HI73" s="20" t="n">
        <f aca="false">IF(H_Direct=1,IF(AMV72&lt;=0,0,IF(DV73&lt;=0,AMV72,AMV72-G73*MAX(0,DV73*AMV72-(KU73+OH73)))),AMV72*(1-MAX(0,DV73)*H_Exit))</f>
        <v>0</v>
      </c>
      <c r="HJ73" s="20" t="n">
        <f aca="false">IF(H_Direct=1,IF(AMW72&lt;=0,0,IF(DW73&lt;=0,AMW72,AMW72-G73*MAX(0,DW73*AMW72-(KV73+OI73)))),AMW72*(1-MAX(0,DW73)*H_Exit))</f>
        <v>0</v>
      </c>
      <c r="HK73" s="20" t="n">
        <f aca="false">IF(H_Direct=1,IF(AMX72&lt;=0,0,IF(DX73&lt;=0,AMX72,AMX72-G73*MAX(0,DX73*AMX72-(KW73+OJ73)))),AMX72*(1-MAX(0,DX73)*H_Exit))</f>
        <v>0</v>
      </c>
      <c r="HL73" s="20" t="n">
        <f aca="false">IF(H_Direct=1,IF(AMY72&lt;=0,0,IF(DY73&lt;=0,AMY72,AMY72-G73*MAX(0,DY73*AMY72-(KX73+OK73)))),AMY72*(1-MAX(0,DY73)*H_Exit))</f>
        <v>0</v>
      </c>
      <c r="HM73" s="20" t="n">
        <f aca="false">IF(H_Direct=1,IF(AMZ72&lt;=0,0,IF(DZ73&lt;=0,AMZ72,AMZ72-G73*MAX(0,DZ73*AMZ72-(KY73+OL73)))),AMZ72*(1-MAX(0,DZ73)*H_Exit))</f>
        <v>0</v>
      </c>
      <c r="HN73" s="20" t="n">
        <f aca="false">IF(H_Direct=1,IF(ANA72&lt;=0,0,IF(EA73&lt;=0,ANA72,ANA72-G73*MAX(0,EA73*ANA72-(KZ73+OM73)))),ANA72*(1-MAX(0,EA73)*H_Exit))</f>
        <v>0</v>
      </c>
      <c r="HO73" s="20" t="n">
        <f aca="false">IF(H_Direct=1,IF(ANB72&lt;=0,0,IF(EB73&lt;=0,ANB72,ANB72-G73*MAX(0,EB73*ANB72-(LA73+ON73)))),ANB72*(1-MAX(0,EB73)*H_Exit))</f>
        <v>0</v>
      </c>
      <c r="HP73" s="20" t="n">
        <f aca="false">IF(H_Direct=1,IF(ANC72&lt;=0,0,IF(EC73&lt;=0,ANC72,ANC72-G73*MAX(0,EC73*ANC72-(LB73+OO73)))),ANC72*(1-MAX(0,EC73)*H_Exit))</f>
        <v>0</v>
      </c>
      <c r="HQ73" s="20" t="n">
        <f aca="false">IF(H_Direct=1,IF(AND72&lt;=0,0,IF(ED73&lt;=0,AND72,AND72-G73*MAX(0,ED73*AND72-(LC73+OP73)))),AND72*(1-MAX(0,ED73)*H_Exit))</f>
        <v>0</v>
      </c>
      <c r="HR73" s="20" t="n">
        <f aca="false">IF(H_Direct=1,IF(ANE72&lt;=0,0,IF(EE73&lt;=0,ANE72,ANE72-G73*MAX(0,EE73*ANE72-(LD73+OQ73)))),ANE72*(1-MAX(0,EE73)*H_Exit))</f>
        <v>0</v>
      </c>
      <c r="HS73" s="20" t="n">
        <f aca="false">IF(H_Direct=1,IF((P73+S73)&lt;=0,0,IF(EF73&lt;=0,(P73+S73),(P73+S73)-G73*MAX(0,EF73*(P73+S73)-(LE73+OR73)))),(P73+S73)*(1-MAX(0,EF73)*H_Exit))</f>
        <v>0</v>
      </c>
      <c r="HT73" s="20" t="n">
        <v>0</v>
      </c>
      <c r="HU73" s="20" t="n">
        <v>0</v>
      </c>
      <c r="HV73" s="20" t="n">
        <v>0</v>
      </c>
      <c r="HW73" s="20" t="n">
        <v>0</v>
      </c>
      <c r="HX73" s="20" t="n">
        <v>0</v>
      </c>
      <c r="HY73" s="20" t="n">
        <v>0</v>
      </c>
      <c r="HZ73" s="20" t="n">
        <v>0</v>
      </c>
      <c r="IA73" s="20" t="n">
        <v>0</v>
      </c>
      <c r="IB73" s="20" t="n">
        <v>0</v>
      </c>
      <c r="IC73" s="20" t="n">
        <v>0</v>
      </c>
      <c r="ID73" s="20" t="n">
        <v>0</v>
      </c>
      <c r="IE73" s="20" t="n">
        <v>0</v>
      </c>
      <c r="IF73" s="20" t="n">
        <v>0</v>
      </c>
      <c r="IG73" s="20" t="n">
        <v>0</v>
      </c>
      <c r="IH73" s="20" t="n">
        <v>0</v>
      </c>
      <c r="II73" s="20" t="n">
        <v>0</v>
      </c>
      <c r="IJ73" s="20" t="n">
        <v>0</v>
      </c>
      <c r="IK73" s="20" t="n">
        <v>0</v>
      </c>
      <c r="IL73" s="20" t="n">
        <v>0</v>
      </c>
      <c r="IM73" s="20" t="n">
        <v>0</v>
      </c>
      <c r="IN73" s="20" t="n">
        <v>0</v>
      </c>
      <c r="IO73" s="20" t="n">
        <v>0</v>
      </c>
      <c r="IP73" s="20" t="n">
        <v>0</v>
      </c>
      <c r="IQ73" s="20" t="n">
        <v>0</v>
      </c>
      <c r="IR73" s="20" t="n">
        <f aca="false">IF(AND(H_Direct=1,BR73&gt;0),MAX(0,H73-(MIN(BR73*AKR72,H73+I73)-MIN(MIN(BR73*AKR72,H73+I73),I73))),H73)</f>
        <v>1270</v>
      </c>
      <c r="IS73" s="20" t="n">
        <f aca="false">IF(AND(H_Direct=1,BS73&gt;0),MAX(0,IR73-(MIN(BS73*AKS72,IR73+ME73)-MIN(MIN(BS73*AKS72,IR73+ME73),ME73))),IR73)</f>
        <v>1270</v>
      </c>
      <c r="IT73" s="20" t="n">
        <f aca="false">IF(AND(H_Direct=1,BT73&gt;0),MAX(0,IS73-(MIN(BT73*AKT72,IS73+MF73)-MIN(MIN(BT73*AKT72,IS73+MF73),MF73))),IS73)</f>
        <v>1270</v>
      </c>
      <c r="IU73" s="20" t="n">
        <f aca="false">IF(AND(H_Direct=1,BU73&gt;0),MAX(0,IT73-(MIN(BU73*AKU72,IT73+MG73)-MIN(MIN(BU73*AKU72,IT73+MG73),MG73))),IT73)</f>
        <v>1270</v>
      </c>
      <c r="IV73" s="20" t="n">
        <f aca="false">IF(AND(H_Direct=1,BV73&gt;0),MAX(0,IU73-(MIN(BV73*AKV72,IU73+MH73)-MIN(MIN(BV73*AKV72,IU73+MH73),MH73))),IU73)</f>
        <v>1270</v>
      </c>
      <c r="IW73" s="20" t="n">
        <f aca="false">IF(AND(H_Direct=1,BW73&gt;0),MAX(0,IV73-(MIN(BW73*AKW72,IV73+MI73)-MIN(MIN(BW73*AKW72,IV73+MI73),MI73))),IV73)</f>
        <v>1270</v>
      </c>
      <c r="IX73" s="20" t="n">
        <f aca="false">IF(AND(H_Direct=1,BX73&gt;0),MAX(0,IW73-(MIN(BX73*AKX72,IW73+MJ73)-MIN(MIN(BX73*AKX72,IW73+MJ73),MJ73))),IW73)</f>
        <v>1270</v>
      </c>
      <c r="IY73" s="20" t="n">
        <f aca="false">IF(AND(H_Direct=1,BY73&gt;0),MAX(0,IX73-(MIN(BY73*AKY72,IX73+MK73)-MIN(MIN(BY73*AKY72,IX73+MK73),MK73))),IX73)</f>
        <v>1270</v>
      </c>
      <c r="IZ73" s="20" t="n">
        <f aca="false">IF(AND(H_Direct=1,BZ73&gt;0),MAX(0,IY73-(MIN(BZ73*AKZ72,IY73+ML73)-MIN(MIN(BZ73*AKZ72,IY73+ML73),ML73))),IY73)</f>
        <v>1270</v>
      </c>
      <c r="JA73" s="20" t="n">
        <f aca="false">IF(AND(H_Direct=1,CA73&gt;0),MAX(0,IZ73-(MIN(CA73*ALA72,IZ73+MM73)-MIN(MIN(CA73*ALA72,IZ73+MM73),MM73))),IZ73)</f>
        <v>1270</v>
      </c>
      <c r="JB73" s="20" t="n">
        <f aca="false">IF(AND(H_Direct=1,CB73&gt;0),MAX(0,JA73-(MIN(CB73*ALB72,JA73+MN73)-MIN(MIN(CB73*ALB72,JA73+MN73),MN73))),JA73)</f>
        <v>1270</v>
      </c>
      <c r="JC73" s="20" t="n">
        <f aca="false">IF(AND(H_Direct=1,CC73&gt;0),MAX(0,JB73-(MIN(CC73*ALC72,JB73+MO73)-MIN(MIN(CC73*ALC72,JB73+MO73),MO73))),JB73)</f>
        <v>1270</v>
      </c>
      <c r="JD73" s="20" t="n">
        <f aca="false">IF(AND(H_Direct=1,CD73&gt;0),MAX(0,JC73-(MIN(CD73*ALD72,JC73+MP73)-MIN(MIN(CD73*ALD72,JC73+MP73),MP73))),JC73)</f>
        <v>1270</v>
      </c>
      <c r="JE73" s="20" t="n">
        <f aca="false">IF(AND(H_Direct=1,CE73&gt;0),MAX(0,JD73-(MIN(CE73*ALE72,JD73+MQ73)-MIN(MIN(CE73*ALE72,JD73+MQ73),MQ73))),JD73)</f>
        <v>1270</v>
      </c>
      <c r="JF73" s="20" t="n">
        <f aca="false">IF(AND(H_Direct=1,CF73&gt;0),MAX(0,JE73-(MIN(CF73*ALF72,JE73+MR73)-MIN(MIN(CF73*ALF72,JE73+MR73),MR73))),JE73)</f>
        <v>1270</v>
      </c>
      <c r="JG73" s="20" t="n">
        <f aca="false">IF(AND(H_Direct=1,CG73&gt;0),MAX(0,JF73-(MIN(CG73*ALG72,JF73+MS73)-MIN(MIN(CG73*ALG72,JF73+MS73),MS73))),JF73)</f>
        <v>1270</v>
      </c>
      <c r="JH73" s="20" t="n">
        <f aca="false">IF(AND(H_Direct=1,CH73&gt;0),MAX(0,JG73-(MIN(CH73*ALH72,JG73+MT73)-MIN(MIN(CH73*ALH72,JG73+MT73),MT73))),JG73)</f>
        <v>1270</v>
      </c>
      <c r="JI73" s="20" t="n">
        <f aca="false">IF(AND(H_Direct=1,CI73&gt;0),MAX(0,JH73-(MIN(CI73*ALI72,JH73+MU73)-MIN(MIN(CI73*ALI72,JH73+MU73),MU73))),JH73)</f>
        <v>1270</v>
      </c>
      <c r="JJ73" s="20" t="n">
        <f aca="false">IF(AND(H_Direct=1,CJ73&gt;0),MAX(0,JI73-(MIN(CJ73*ALJ72,JI73+MV73)-MIN(MIN(CJ73*ALJ72,JI73+MV73),MV73))),JI73)</f>
        <v>1270</v>
      </c>
      <c r="JK73" s="20" t="n">
        <f aca="false">IF(AND(H_Direct=1,CK73&gt;0),MAX(0,JJ73-(MIN(CK73*ALK72,JJ73+MW73)-MIN(MIN(CK73*ALK72,JJ73+MW73),MW73))),JJ73)</f>
        <v>1270</v>
      </c>
      <c r="JL73" s="20" t="n">
        <f aca="false">IF(AND(H_Direct=1,CL73&gt;0),MAX(0,JK73-(MIN(CL73*ALL72,JK73+MX73)-MIN(MIN(CL73*ALL72,JK73+MX73),MX73))),JK73)</f>
        <v>1270</v>
      </c>
      <c r="JM73" s="20" t="n">
        <f aca="false">IF(AND(H_Direct=1,CM73&gt;0),MAX(0,JL73-(MIN(CM73*ALM72,JL73+MY73)-MIN(MIN(CM73*ALM72,JL73+MY73),MY73))),JL73)</f>
        <v>1270</v>
      </c>
      <c r="JN73" s="20" t="n">
        <f aca="false">IF(AND(H_Direct=1,CN73&gt;0),MAX(0,JM73-(MIN(CN73*ALN72,JM73+MZ73)-MIN(MIN(CN73*ALN72,JM73+MZ73),MZ73))),JM73)</f>
        <v>1270</v>
      </c>
      <c r="JO73" s="20" t="n">
        <f aca="false">IF(AND(H_Direct=1,CO73&gt;0),MAX(0,JN73-(MIN(CO73*ALO72,JN73+NA73)-MIN(MIN(CO73*ALO72,JN73+NA73),NA73))),JN73)</f>
        <v>1270</v>
      </c>
      <c r="JP73" s="20" t="n">
        <f aca="false">IF(AND(H_Direct=1,CP73&gt;0),MAX(0,JO73-(MIN(CP73*ALP72,JO73+NB73)-MIN(MIN(CP73*ALP72,JO73+NB73),NB73))),JO73)</f>
        <v>1270</v>
      </c>
      <c r="JQ73" s="20" t="n">
        <f aca="false">IF(AND(H_Direct=1,CQ73&gt;0),MAX(0,JP73-(MIN(CQ73*ALQ72,JP73+NC73)-MIN(MIN(CQ73*ALQ72,JP73+NC73),NC73))),JP73)</f>
        <v>1270</v>
      </c>
      <c r="JR73" s="20" t="n">
        <f aca="false">IF(AND(H_Direct=1,CR73&gt;0),MAX(0,JQ73-(MIN(CR73*ALR72,JQ73+ND73)-MIN(MIN(CR73*ALR72,JQ73+ND73),ND73))),JQ73)</f>
        <v>1270</v>
      </c>
      <c r="JS73" s="20" t="n">
        <f aca="false">IF(AND(H_Direct=1,CS73&gt;0),MAX(0,JR73-(MIN(CS73*ALS72,JR73+NE73)-MIN(MIN(CS73*ALS72,JR73+NE73),NE73))),JR73)</f>
        <v>1270</v>
      </c>
      <c r="JT73" s="20" t="n">
        <f aca="false">IF(AND(H_Direct=1,CT73&gt;0),MAX(0,JS73-(MIN(CT73*ALT72,JS73+NF73)-MIN(MIN(CT73*ALT72,JS73+NF73),NF73))),JS73)</f>
        <v>1270</v>
      </c>
      <c r="JU73" s="20" t="n">
        <f aca="false">IF(AND(H_Direct=1,CU73&gt;0),MAX(0,JT73-(MIN(CU73*ALU72,JT73+NG73)-MIN(MIN(CU73*ALU72,JT73+NG73),NG73))),JT73)</f>
        <v>1270</v>
      </c>
      <c r="JV73" s="20" t="n">
        <f aca="false">IF(AND(H_Direct=1,CV73&gt;0),MAX(0,JU73-(MIN(CV73*ALV72,JU73+NH73)-MIN(MIN(CV73*ALV72,JU73+NH73),NH73))),JU73)</f>
        <v>1270</v>
      </c>
      <c r="JW73" s="20" t="n">
        <f aca="false">IF(AND(H_Direct=1,CW73&gt;0),MAX(0,JV73-(MIN(CW73*ALW72,JV73+NI73)-MIN(MIN(CW73*ALW72,JV73+NI73),NI73))),JV73)</f>
        <v>1270</v>
      </c>
      <c r="JX73" s="20" t="n">
        <f aca="false">IF(AND(H_Direct=1,CX73&gt;0),MAX(0,JW73-(MIN(CX73*ALX72,JW73+NJ73)-MIN(MIN(CX73*ALX72,JW73+NJ73),NJ73))),JW73)</f>
        <v>1270</v>
      </c>
      <c r="JY73" s="20" t="n">
        <f aca="false">IF(AND(H_Direct=1,CY73&gt;0),MAX(0,JX73-(MIN(CY73*ALY72,JX73+NK73)-MIN(MIN(CY73*ALY72,JX73+NK73),NK73))),JX73)</f>
        <v>1270</v>
      </c>
      <c r="JZ73" s="20" t="n">
        <f aca="false">IF(AND(H_Direct=1,CZ73&gt;0),MAX(0,JY73-(MIN(CZ73*ALZ72,JY73+NL73)-MIN(MIN(CZ73*ALZ72,JY73+NL73),NL73))),JY73)</f>
        <v>1270</v>
      </c>
      <c r="KA73" s="20" t="n">
        <f aca="false">IF(AND(H_Direct=1,DA73&gt;0),MAX(0,JZ73-(MIN(DA73*AMA72,JZ73+NM73)-MIN(MIN(DA73*AMA72,JZ73+NM73),NM73))),JZ73)</f>
        <v>1270</v>
      </c>
      <c r="KB73" s="20" t="n">
        <f aca="false">IF(AND(H_Direct=1,DB73&gt;0),MAX(0,KA73-(MIN(DB73*AMB72,KA73+NN73)-MIN(MIN(DB73*AMB72,KA73+NN73),NN73))),KA73)</f>
        <v>1270</v>
      </c>
      <c r="KC73" s="20" t="n">
        <f aca="false">IF(AND(H_Direct=1,DC73&gt;0),MAX(0,KB73-(MIN(DC73*AMC72,KB73+NO73)-MIN(MIN(DC73*AMC72,KB73+NO73),NO73))),KB73)</f>
        <v>1270</v>
      </c>
      <c r="KD73" s="20" t="n">
        <f aca="false">IF(AND(H_Direct=1,DD73&gt;0),MAX(0,KC73-(MIN(DD73*AMD72,KC73+NP73)-MIN(MIN(DD73*AMD72,KC73+NP73),NP73))),KC73)</f>
        <v>1270</v>
      </c>
      <c r="KE73" s="20" t="n">
        <f aca="false">IF(AND(H_Direct=1,DE73&gt;0),MAX(0,KD73-(MIN(DE73*AME72,KD73+NQ73)-MIN(MIN(DE73*AME72,KD73+NQ73),NQ73))),KD73)</f>
        <v>1270</v>
      </c>
      <c r="KF73" s="20" t="n">
        <f aca="false">IF(AND(H_Direct=1,DF73&gt;0),MAX(0,KE73-(MIN(DF73*AMF72,KE73+NR73)-MIN(MIN(DF73*AMF72,KE73+NR73),NR73))),KE73)</f>
        <v>1270</v>
      </c>
      <c r="KG73" s="20" t="n">
        <f aca="false">IF(AND(H_Direct=1,DG73&gt;0),MAX(0,KF73-(MIN(DG73*AMG72,KF73+NS73)-MIN(MIN(DG73*AMG72,KF73+NS73),NS73))),KF73)</f>
        <v>1270</v>
      </c>
      <c r="KH73" s="20" t="n">
        <f aca="false">IF(AND(H_Direct=1,DH73&gt;0),MAX(0,KG73-(MIN(DH73*AMH72,KG73+NT73)-MIN(MIN(DH73*AMH72,KG73+NT73),NT73))),KG73)</f>
        <v>1270</v>
      </c>
      <c r="KI73" s="20" t="n">
        <f aca="false">IF(AND(H_Direct=1,DI73&gt;0),MAX(0,KH73-(MIN(DI73*AMI72,KH73+NU73)-MIN(MIN(DI73*AMI72,KH73+NU73),NU73))),KH73)</f>
        <v>1270</v>
      </c>
      <c r="KJ73" s="20" t="n">
        <f aca="false">IF(AND(H_Direct=1,DJ73&gt;0),MAX(0,KI73-(MIN(DJ73*AMJ72,KI73+NV73)-MIN(MIN(DJ73*AMJ72,KI73+NV73),NV73))),KI73)</f>
        <v>1270</v>
      </c>
      <c r="KK73" s="20" t="n">
        <f aca="false">IF(AND(H_Direct=1,DK73&gt;0),MAX(0,KJ73-(MIN(DK73*AMK72,KJ73+NW73)-MIN(MIN(DK73*AMK72,KJ73+NW73),NW73))),KJ73)</f>
        <v>1270</v>
      </c>
      <c r="KL73" s="20" t="n">
        <f aca="false">IF(AND(H_Direct=1,DL73&gt;0),MAX(0,KK73-(MIN(DL73*AML72,KK73+NX73)-MIN(MIN(DL73*AML72,KK73+NX73),NX73))),KK73)</f>
        <v>1270</v>
      </c>
      <c r="KM73" s="20" t="n">
        <f aca="false">IF(AND(H_Direct=1,DM73&gt;0),MAX(0,KL73-(MIN(DM73*AMM72,KL73+NY73)-MIN(MIN(DM73*AMM72,KL73+NY73),NY73))),KL73)</f>
        <v>1270</v>
      </c>
      <c r="KN73" s="20" t="n">
        <f aca="false">IF(AND(H_Direct=1,DN73&gt;0),MAX(0,KM73-(MIN(DN73*AMN72,KM73+NZ73)-MIN(MIN(DN73*AMN72,KM73+NZ73),NZ73))),KM73)</f>
        <v>1270</v>
      </c>
      <c r="KO73" s="20" t="n">
        <f aca="false">IF(AND(H_Direct=1,DO73&gt;0),MAX(0,KN73-(MIN(DO73*AMO72,KN73+OA73)-MIN(MIN(DO73*AMO72,KN73+OA73),OA73))),KN73)</f>
        <v>1270</v>
      </c>
      <c r="KP73" s="20" t="n">
        <f aca="false">IF(AND(H_Direct=1,DP73&gt;0),MAX(0,KO73-(MIN(DP73*AMP72,KO73+OB73)-MIN(MIN(DP73*AMP72,KO73+OB73),OB73))),KO73)</f>
        <v>1270</v>
      </c>
      <c r="KQ73" s="20" t="n">
        <f aca="false">IF(AND(H_Direct=1,DQ73&gt;0),MAX(0,KP73-(MIN(DQ73*AMQ72,KP73+OC73)-MIN(MIN(DQ73*AMQ72,KP73+OC73),OC73))),KP73)</f>
        <v>1270</v>
      </c>
      <c r="KR73" s="20" t="n">
        <f aca="false">IF(AND(H_Direct=1,DR73&gt;0),MAX(0,KQ73-(MIN(DR73*AMR72,KQ73+OD73)-MIN(MIN(DR73*AMR72,KQ73+OD73),OD73))),KQ73)</f>
        <v>1270</v>
      </c>
      <c r="KS73" s="20" t="n">
        <f aca="false">IF(AND(H_Direct=1,DS73&gt;0),MAX(0,KR73-(MIN(DS73*AMS72,KR73+OE73)-MIN(MIN(DS73*AMS72,KR73+OE73),OE73))),KR73)</f>
        <v>1270</v>
      </c>
      <c r="KT73" s="20" t="n">
        <f aca="false">IF(AND(H_Direct=1,DT73&gt;0),MAX(0,KS73-(MIN(DT73*AMT72,KS73+OF73)-MIN(MIN(DT73*AMT72,KS73+OF73),OF73))),KS73)</f>
        <v>1270</v>
      </c>
      <c r="KU73" s="20" t="n">
        <f aca="false">IF(AND(H_Direct=1,DU73&gt;0),MAX(0,KT73-(MIN(DU73*AMU72,KT73+OG73)-MIN(MIN(DU73*AMU72,KT73+OG73),OG73))),KT73)</f>
        <v>1270</v>
      </c>
      <c r="KV73" s="20" t="n">
        <f aca="false">IF(AND(H_Direct=1,DV73&gt;0),MAX(0,KU73-(MIN(DV73*AMV72,KU73+OH73)-MIN(MIN(DV73*AMV72,KU73+OH73),OH73))),KU73)</f>
        <v>1270</v>
      </c>
      <c r="KW73" s="20" t="n">
        <f aca="false">IF(AND(H_Direct=1,DW73&gt;0),MAX(0,KV73-(MIN(DW73*AMW72,KV73+OI73)-MIN(MIN(DW73*AMW72,KV73+OI73),OI73))),KV73)</f>
        <v>1270</v>
      </c>
      <c r="KX73" s="20" t="n">
        <f aca="false">IF(AND(H_Direct=1,DX73&gt;0),MAX(0,KW73-(MIN(DX73*AMX72,KW73+OJ73)-MIN(MIN(DX73*AMX72,KW73+OJ73),OJ73))),KW73)</f>
        <v>1270</v>
      </c>
      <c r="KY73" s="20" t="n">
        <f aca="false">IF(AND(H_Direct=1,DY73&gt;0),MAX(0,KX73-(MIN(DY73*AMY72,KX73+OK73)-MIN(MIN(DY73*AMY72,KX73+OK73),OK73))),KX73)</f>
        <v>1270</v>
      </c>
      <c r="KZ73" s="20" t="n">
        <f aca="false">IF(AND(H_Direct=1,DZ73&gt;0),MAX(0,KY73-(MIN(DZ73*AMZ72,KY73+OL73)-MIN(MIN(DZ73*AMZ72,KY73+OL73),OL73))),KY73)</f>
        <v>1270</v>
      </c>
      <c r="LA73" s="20" t="n">
        <f aca="false">IF(AND(H_Direct=1,EA73&gt;0),MAX(0,KZ73-(MIN(EA73*ANA72,KZ73+OM73)-MIN(MIN(EA73*ANA72,KZ73+OM73),OM73))),KZ73)</f>
        <v>1270</v>
      </c>
      <c r="LB73" s="20" t="n">
        <f aca="false">IF(AND(H_Direct=1,EB73&gt;0),MAX(0,LA73-(MIN(EB73*ANB72,LA73+ON73)-MIN(MIN(EB73*ANB72,LA73+ON73),ON73))),LA73)</f>
        <v>1270</v>
      </c>
      <c r="LC73" s="20" t="n">
        <f aca="false">IF(AND(H_Direct=1,EC73&gt;0),MAX(0,LB73-(MIN(EC73*ANC72,LB73+OO73)-MIN(MIN(EC73*ANC72,LB73+OO73),OO73))),LB73)</f>
        <v>1270</v>
      </c>
      <c r="LD73" s="20" t="n">
        <f aca="false">IF(AND(H_Direct=1,ED73&gt;0),MAX(0,LC73-(MIN(ED73*AND72,LC73+OP73)-MIN(MIN(ED73*AND72,LC73+OP73),OP73))),LC73)</f>
        <v>1270</v>
      </c>
      <c r="LE73" s="20" t="n">
        <f aca="false">IF(AND(H_Direct=1,EE73&gt;0),MAX(0,LD73-(MIN(EE73*ANE72,LD73+OQ73)-MIN(MIN(EE73*ANE72,LD73+OQ73),OQ73))),LD73)</f>
        <v>1270</v>
      </c>
      <c r="LF73" s="20" t="n">
        <f aca="false">IF(AND(H_Direct=1,EF73&gt;0),MAX(0,LE73-(MIN(EF73*(P73+S73),LE73+OR73)-MIN(MIN(EF73*(P73+S73),LE73+OR73),OR73))),LE73)</f>
        <v>1270</v>
      </c>
      <c r="LG73" s="20" t="n">
        <f aca="false">LF73</f>
        <v>1270</v>
      </c>
      <c r="LH73" s="20" t="n">
        <f aca="false">LG73</f>
        <v>1270</v>
      </c>
      <c r="LI73" s="20" t="n">
        <f aca="false">LH73</f>
        <v>1270</v>
      </c>
      <c r="LJ73" s="20" t="n">
        <f aca="false">LI73</f>
        <v>1270</v>
      </c>
      <c r="LK73" s="20" t="n">
        <f aca="false">LJ73</f>
        <v>1270</v>
      </c>
      <c r="LL73" s="20" t="n">
        <f aca="false">LK73</f>
        <v>1270</v>
      </c>
      <c r="LM73" s="20" t="n">
        <f aca="false">LL73</f>
        <v>1270</v>
      </c>
      <c r="LN73" s="20" t="n">
        <f aca="false">LM73</f>
        <v>1270</v>
      </c>
      <c r="LO73" s="20" t="n">
        <f aca="false">LN73</f>
        <v>1270</v>
      </c>
      <c r="LP73" s="20" t="n">
        <f aca="false">LO73</f>
        <v>1270</v>
      </c>
      <c r="LQ73" s="20" t="n">
        <f aca="false">LP73</f>
        <v>1270</v>
      </c>
      <c r="LR73" s="20" t="n">
        <f aca="false">LQ73</f>
        <v>1270</v>
      </c>
      <c r="LS73" s="20" t="n">
        <f aca="false">LR73</f>
        <v>1270</v>
      </c>
      <c r="LT73" s="20" t="n">
        <f aca="false">LS73</f>
        <v>1270</v>
      </c>
      <c r="LU73" s="20" t="n">
        <f aca="false">LT73</f>
        <v>1270</v>
      </c>
      <c r="LV73" s="20" t="n">
        <f aca="false">LU73</f>
        <v>1270</v>
      </c>
      <c r="LW73" s="20" t="n">
        <f aca="false">LV73</f>
        <v>1270</v>
      </c>
      <c r="LX73" s="20" t="n">
        <f aca="false">LW73</f>
        <v>1270</v>
      </c>
      <c r="LY73" s="20" t="n">
        <f aca="false">LX73</f>
        <v>1270</v>
      </c>
      <c r="LZ73" s="20" t="n">
        <f aca="false">LY73</f>
        <v>1270</v>
      </c>
      <c r="MA73" s="20" t="n">
        <f aca="false">LZ73</f>
        <v>1270</v>
      </c>
      <c r="MB73" s="20" t="n">
        <f aca="false">MA73</f>
        <v>1270</v>
      </c>
      <c r="MC73" s="20" t="n">
        <f aca="false">MB73</f>
        <v>1270</v>
      </c>
      <c r="MD73" s="20" t="n">
        <f aca="false">MC73</f>
        <v>1270</v>
      </c>
      <c r="ME73" s="20" t="n">
        <f aca="false">IF(H_Direct=1,IF(BR73&lt;=0,I73-BR73*AKR72,I73-MIN(MIN(BR73*AKR72,H73+I73),I73)),I73)</f>
        <v>0</v>
      </c>
      <c r="MF73" s="20" t="n">
        <f aca="false">IF(H_Direct=1,IF(BS73&lt;=0,ME73-BS73*AKS72,ME73-MIN(MIN(BS73*AKS72,IR73+ME73),ME73)),ME73)</f>
        <v>0</v>
      </c>
      <c r="MG73" s="20" t="n">
        <f aca="false">IF(H_Direct=1,IF(BT73&lt;=0,MF73-BT73*AKT72,MF73-MIN(MIN(BT73*AKT72,IS73+MF73),MF73)),MF73)</f>
        <v>0</v>
      </c>
      <c r="MH73" s="20" t="n">
        <f aca="false">IF(H_Direct=1,IF(BU73&lt;=0,MG73-BU73*AKU72,MG73-MIN(MIN(BU73*AKU72,IT73+MG73),MG73)),MG73)</f>
        <v>0</v>
      </c>
      <c r="MI73" s="20" t="n">
        <f aca="false">IF(H_Direct=1,IF(BV73&lt;=0,MH73-BV73*AKV72,MH73-MIN(MIN(BV73*AKV72,IU73+MH73),MH73)),MH73)</f>
        <v>0</v>
      </c>
      <c r="MJ73" s="20" t="n">
        <f aca="false">IF(H_Direct=1,IF(BW73&lt;=0,MI73-BW73*AKW72,MI73-MIN(MIN(BW73*AKW72,IV73+MI73),MI73)),MI73)</f>
        <v>0</v>
      </c>
      <c r="MK73" s="20" t="n">
        <f aca="false">IF(H_Direct=1,IF(BX73&lt;=0,MJ73-BX73*AKX72,MJ73-MIN(MIN(BX73*AKX72,IW73+MJ73),MJ73)),MJ73)</f>
        <v>0</v>
      </c>
      <c r="ML73" s="20" t="n">
        <f aca="false">IF(H_Direct=1,IF(BY73&lt;=0,MK73-BY73*AKY72,MK73-MIN(MIN(BY73*AKY72,IX73+MK73),MK73)),MK73)</f>
        <v>0</v>
      </c>
      <c r="MM73" s="20" t="n">
        <f aca="false">IF(H_Direct=1,IF(BZ73&lt;=0,ML73-BZ73*AKZ72,ML73-MIN(MIN(BZ73*AKZ72,IY73+ML73),ML73)),ML73)</f>
        <v>0</v>
      </c>
      <c r="MN73" s="20" t="n">
        <f aca="false">IF(H_Direct=1,IF(CA73&lt;=0,MM73-CA73*ALA72,MM73-MIN(MIN(CA73*ALA72,IZ73+MM73),MM73)),MM73)</f>
        <v>0</v>
      </c>
      <c r="MO73" s="20" t="n">
        <f aca="false">IF(H_Direct=1,IF(CB73&lt;=0,MN73-CB73*ALB72,MN73-MIN(MIN(CB73*ALB72,JA73+MN73),MN73)),MN73)</f>
        <v>0</v>
      </c>
      <c r="MP73" s="20" t="n">
        <f aca="false">IF(H_Direct=1,IF(CC73&lt;=0,MO73-CC73*ALC72,MO73-MIN(MIN(CC73*ALC72,JB73+MO73),MO73)),MO73)</f>
        <v>0</v>
      </c>
      <c r="MQ73" s="20" t="n">
        <f aca="false">IF(H_Direct=1,IF(CD73&lt;=0,MP73-CD73*ALD72,MP73-MIN(MIN(CD73*ALD72,JC73+MP73),MP73)),MP73)</f>
        <v>0</v>
      </c>
      <c r="MR73" s="20" t="n">
        <f aca="false">IF(H_Direct=1,IF(CE73&lt;=0,MQ73-CE73*ALE72,MQ73-MIN(MIN(CE73*ALE72,JD73+MQ73),MQ73)),MQ73)</f>
        <v>0</v>
      </c>
      <c r="MS73" s="20" t="n">
        <f aca="false">IF(H_Direct=1,IF(CF73&lt;=0,MR73-CF73*ALF72,MR73-MIN(MIN(CF73*ALF72,JE73+MR73),MR73)),MR73)</f>
        <v>0</v>
      </c>
      <c r="MT73" s="20" t="n">
        <f aca="false">IF(H_Direct=1,IF(CG73&lt;=0,MS73-CG73*ALG72,MS73-MIN(MIN(CG73*ALG72,JF73+MS73),MS73)),MS73)</f>
        <v>0</v>
      </c>
      <c r="MU73" s="20" t="n">
        <f aca="false">IF(H_Direct=1,IF(CH73&lt;=0,MT73-CH73*ALH72,MT73-MIN(MIN(CH73*ALH72,JG73+MT73),MT73)),MT73)</f>
        <v>0</v>
      </c>
      <c r="MV73" s="20" t="n">
        <f aca="false">IF(H_Direct=1,IF(CI73&lt;=0,MU73-CI73*ALI72,MU73-MIN(MIN(CI73*ALI72,JH73+MU73),MU73)),MU73)</f>
        <v>0</v>
      </c>
      <c r="MW73" s="20" t="n">
        <f aca="false">IF(H_Direct=1,IF(CJ73&lt;=0,MV73-CJ73*ALJ72,MV73-MIN(MIN(CJ73*ALJ72,JI73+MV73),MV73)),MV73)</f>
        <v>0</v>
      </c>
      <c r="MX73" s="20" t="n">
        <f aca="false">IF(H_Direct=1,IF(CK73&lt;=0,MW73-CK73*ALK72,MW73-MIN(MIN(CK73*ALK72,JJ73+MW73),MW73)),MW73)</f>
        <v>0</v>
      </c>
      <c r="MY73" s="20" t="n">
        <f aca="false">IF(H_Direct=1,IF(CL73&lt;=0,MX73-CL73*ALL72,MX73-MIN(MIN(CL73*ALL72,JK73+MX73),MX73)),MX73)</f>
        <v>0</v>
      </c>
      <c r="MZ73" s="20" t="n">
        <f aca="false">IF(H_Direct=1,IF(CM73&lt;=0,MY73-CM73*ALM72,MY73-MIN(MIN(CM73*ALM72,JL73+MY73),MY73)),MY73)</f>
        <v>0</v>
      </c>
      <c r="NA73" s="20" t="n">
        <f aca="false">IF(H_Direct=1,IF(CN73&lt;=0,MZ73-CN73*ALN72,MZ73-MIN(MIN(CN73*ALN72,JM73+MZ73),MZ73)),MZ73)</f>
        <v>0</v>
      </c>
      <c r="NB73" s="20" t="n">
        <f aca="false">IF(H_Direct=1,IF(CO73&lt;=0,NA73-CO73*ALO72,NA73-MIN(MIN(CO73*ALO72,JN73+NA73),NA73)),NA73)</f>
        <v>0</v>
      </c>
      <c r="NC73" s="20" t="n">
        <f aca="false">IF(H_Direct=1,IF(CP73&lt;=0,NB73-CP73*ALP72,NB73-MIN(MIN(CP73*ALP72,JO73+NB73),NB73)),NB73)</f>
        <v>0</v>
      </c>
      <c r="ND73" s="20" t="n">
        <f aca="false">IF(H_Direct=1,IF(CQ73&lt;=0,NC73-CQ73*ALQ72,NC73-MIN(MIN(CQ73*ALQ72,JP73+NC73),NC73)),NC73)</f>
        <v>0</v>
      </c>
      <c r="NE73" s="20" t="n">
        <f aca="false">IF(H_Direct=1,IF(CR73&lt;=0,ND73-CR73*ALR72,ND73-MIN(MIN(CR73*ALR72,JQ73+ND73),ND73)),ND73)</f>
        <v>0</v>
      </c>
      <c r="NF73" s="20" t="n">
        <f aca="false">IF(H_Direct=1,IF(CS73&lt;=0,NE73-CS73*ALS72,NE73-MIN(MIN(CS73*ALS72,JR73+NE73),NE73)),NE73)</f>
        <v>0</v>
      </c>
      <c r="NG73" s="20" t="n">
        <f aca="false">IF(H_Direct=1,IF(CT73&lt;=0,NF73-CT73*ALT72,NF73-MIN(MIN(CT73*ALT72,JS73+NF73),NF73)),NF73)</f>
        <v>0</v>
      </c>
      <c r="NH73" s="20" t="n">
        <f aca="false">IF(H_Direct=1,IF(CU73&lt;=0,NG73-CU73*ALU72,NG73-MIN(MIN(CU73*ALU72,JT73+NG73),NG73)),NG73)</f>
        <v>0</v>
      </c>
      <c r="NI73" s="20" t="n">
        <f aca="false">IF(H_Direct=1,IF(CV73&lt;=0,NH73-CV73*ALV72,NH73-MIN(MIN(CV73*ALV72,JU73+NH73),NH73)),NH73)</f>
        <v>0</v>
      </c>
      <c r="NJ73" s="20" t="n">
        <f aca="false">IF(H_Direct=1,IF(CW73&lt;=0,NI73-CW73*ALW72,NI73-MIN(MIN(CW73*ALW72,JV73+NI73),NI73)),NI73)</f>
        <v>0</v>
      </c>
      <c r="NK73" s="20" t="n">
        <f aca="false">IF(H_Direct=1,IF(CX73&lt;=0,NJ73-CX73*ALX72,NJ73-MIN(MIN(CX73*ALX72,JW73+NJ73),NJ73)),NJ73)</f>
        <v>0</v>
      </c>
      <c r="NL73" s="20" t="n">
        <f aca="false">IF(H_Direct=1,IF(CY73&lt;=0,NK73-CY73*ALY72,NK73-MIN(MIN(CY73*ALY72,JX73+NK73),NK73)),NK73)</f>
        <v>0</v>
      </c>
      <c r="NM73" s="20" t="n">
        <f aca="false">IF(H_Direct=1,IF(CZ73&lt;=0,NL73-CZ73*ALZ72,NL73-MIN(MIN(CZ73*ALZ72,JY73+NL73),NL73)),NL73)</f>
        <v>0</v>
      </c>
      <c r="NN73" s="20" t="n">
        <f aca="false">IF(H_Direct=1,IF(DA73&lt;=0,NM73-DA73*AMA72,NM73-MIN(MIN(DA73*AMA72,JZ73+NM73),NM73)),NM73)</f>
        <v>0</v>
      </c>
      <c r="NO73" s="20" t="n">
        <f aca="false">IF(H_Direct=1,IF(DB73&lt;=0,NN73-DB73*AMB72,NN73-MIN(MIN(DB73*AMB72,KA73+NN73),NN73)),NN73)</f>
        <v>0</v>
      </c>
      <c r="NP73" s="20" t="n">
        <f aca="false">IF(H_Direct=1,IF(DC73&lt;=0,NO73-DC73*AMC72,NO73-MIN(MIN(DC73*AMC72,KB73+NO73),NO73)),NO73)</f>
        <v>0</v>
      </c>
      <c r="NQ73" s="20" t="n">
        <f aca="false">IF(H_Direct=1,IF(DD73&lt;=0,NP73-DD73*AMD72,NP73-MIN(MIN(DD73*AMD72,KC73+NP73),NP73)),NP73)</f>
        <v>0</v>
      </c>
      <c r="NR73" s="20" t="n">
        <f aca="false">IF(H_Direct=1,IF(DE73&lt;=0,NQ73-DE73*AME72,NQ73-MIN(MIN(DE73*AME72,KD73+NQ73),NQ73)),NQ73)</f>
        <v>0</v>
      </c>
      <c r="NS73" s="20" t="n">
        <f aca="false">IF(H_Direct=1,IF(DF73&lt;=0,NR73-DF73*AMF72,NR73-MIN(MIN(DF73*AMF72,KE73+NR73),NR73)),NR73)</f>
        <v>0</v>
      </c>
      <c r="NT73" s="20" t="n">
        <f aca="false">IF(H_Direct=1,IF(DG73&lt;=0,NS73-DG73*AMG72,NS73-MIN(MIN(DG73*AMG72,KF73+NS73),NS73)),NS73)</f>
        <v>0</v>
      </c>
      <c r="NU73" s="20" t="n">
        <f aca="false">IF(H_Direct=1,IF(DH73&lt;=0,NT73-DH73*AMH72,NT73-MIN(MIN(DH73*AMH72,KG73+NT73),NT73)),NT73)</f>
        <v>0</v>
      </c>
      <c r="NV73" s="20" t="n">
        <f aca="false">IF(H_Direct=1,IF(DI73&lt;=0,NU73-DI73*AMI72,NU73-MIN(MIN(DI73*AMI72,KH73+NU73),NU73)),NU73)</f>
        <v>0</v>
      </c>
      <c r="NW73" s="20" t="n">
        <f aca="false">IF(H_Direct=1,IF(DJ73&lt;=0,NV73-DJ73*AMJ72,NV73-MIN(MIN(DJ73*AMJ72,KI73+NV73),NV73)),NV73)</f>
        <v>0</v>
      </c>
      <c r="NX73" s="20" t="n">
        <f aca="false">IF(H_Direct=1,IF(DK73&lt;=0,NW73-DK73*AMK72,NW73-MIN(MIN(DK73*AMK72,KJ73+NW73),NW73)),NW73)</f>
        <v>0</v>
      </c>
      <c r="NY73" s="20" t="n">
        <f aca="false">IF(H_Direct=1,IF(DL73&lt;=0,NX73-DL73*AML72,NX73-MIN(MIN(DL73*AML72,KK73+NX73),NX73)),NX73)</f>
        <v>0</v>
      </c>
      <c r="NZ73" s="20" t="n">
        <f aca="false">IF(H_Direct=1,IF(DM73&lt;=0,NY73-DM73*AMM72,NY73-MIN(MIN(DM73*AMM72,KL73+NY73),NY73)),NY73)</f>
        <v>0</v>
      </c>
      <c r="OA73" s="20" t="n">
        <f aca="false">IF(H_Direct=1,IF(DN73&lt;=0,NZ73-DN73*AMN72,NZ73-MIN(MIN(DN73*AMN72,KM73+NZ73),NZ73)),NZ73)</f>
        <v>0</v>
      </c>
      <c r="OB73" s="20" t="n">
        <f aca="false">IF(H_Direct=1,IF(DO73&lt;=0,OA73-DO73*AMO72,OA73-MIN(MIN(DO73*AMO72,KN73+OA73),OA73)),OA73)</f>
        <v>0</v>
      </c>
      <c r="OC73" s="20" t="n">
        <f aca="false">IF(H_Direct=1,IF(DP73&lt;=0,OB73-DP73*AMP72,OB73-MIN(MIN(DP73*AMP72,KO73+OB73),OB73)),OB73)</f>
        <v>0</v>
      </c>
      <c r="OD73" s="20" t="n">
        <f aca="false">IF(H_Direct=1,IF(DQ73&lt;=0,OC73-DQ73*AMQ72,OC73-MIN(MIN(DQ73*AMQ72,KP73+OC73),OC73)),OC73)</f>
        <v>0</v>
      </c>
      <c r="OE73" s="20" t="n">
        <f aca="false">IF(H_Direct=1,IF(DR73&lt;=0,OD73-DR73*AMR72,OD73-MIN(MIN(DR73*AMR72,KQ73+OD73),OD73)),OD73)</f>
        <v>0</v>
      </c>
      <c r="OF73" s="20" t="n">
        <f aca="false">IF(H_Direct=1,IF(DS73&lt;=0,OE73-DS73*AMS72,OE73-MIN(MIN(DS73*AMS72,KR73+OE73),OE73)),OE73)</f>
        <v>0</v>
      </c>
      <c r="OG73" s="20" t="n">
        <f aca="false">IF(H_Direct=1,IF(DT73&lt;=0,OF73-DT73*AMT72,OF73-MIN(MIN(DT73*AMT72,KS73+OF73),OF73)),OF73)</f>
        <v>0</v>
      </c>
      <c r="OH73" s="20" t="n">
        <f aca="false">IF(H_Direct=1,IF(DU73&lt;=0,OG73-DU73*AMU72,OG73-MIN(MIN(DU73*AMU72,KT73+OG73),OG73)),OG73)</f>
        <v>0</v>
      </c>
      <c r="OI73" s="20" t="n">
        <f aca="false">IF(H_Direct=1,IF(DV73&lt;=0,OH73-DV73*AMV72,OH73-MIN(MIN(DV73*AMV72,KU73+OH73),OH73)),OH73)</f>
        <v>0</v>
      </c>
      <c r="OJ73" s="20" t="n">
        <f aca="false">IF(H_Direct=1,IF(DW73&lt;=0,OI73-DW73*AMW72,OI73-MIN(MIN(DW73*AMW72,KV73+OI73),OI73)),OI73)</f>
        <v>0</v>
      </c>
      <c r="OK73" s="20" t="n">
        <f aca="false">IF(H_Direct=1,IF(DX73&lt;=0,OJ73-DX73*AMX72,OJ73-MIN(MIN(DX73*AMX72,KW73+OJ73),OJ73)),OJ73)</f>
        <v>0</v>
      </c>
      <c r="OL73" s="20" t="n">
        <f aca="false">IF(H_Direct=1,IF(DY73&lt;=0,OK73-DY73*AMY72,OK73-MIN(MIN(DY73*AMY72,KX73+OK73),OK73)),OK73)</f>
        <v>0</v>
      </c>
      <c r="OM73" s="20" t="n">
        <f aca="false">IF(H_Direct=1,IF(DZ73&lt;=0,OL73-DZ73*AMZ72,OL73-MIN(MIN(DZ73*AMZ72,KY73+OL73),OL73)),OL73)</f>
        <v>0</v>
      </c>
      <c r="ON73" s="20" t="n">
        <f aca="false">IF(H_Direct=1,IF(EA73&lt;=0,OM73-EA73*ANA72,OM73-MIN(MIN(EA73*ANA72,KZ73+OM73),OM73)),OM73)</f>
        <v>0</v>
      </c>
      <c r="OO73" s="20" t="n">
        <f aca="false">IF(H_Direct=1,IF(EB73&lt;=0,ON73-EB73*ANB72,ON73-MIN(MIN(EB73*ANB72,LA73+ON73),ON73)),ON73)</f>
        <v>0</v>
      </c>
      <c r="OP73" s="20" t="n">
        <f aca="false">IF(H_Direct=1,IF(EC73&lt;=0,OO73-EC73*ANC72,OO73-MIN(MIN(EC73*ANC72,LB73+OO73),OO73)),OO73)</f>
        <v>0</v>
      </c>
      <c r="OQ73" s="20" t="n">
        <f aca="false">IF(H_Direct=1,IF(ED73&lt;=0,OP73-ED73*AND72,OP73-MIN(MIN(ED73*AND72,LC73+OP73),OP73)),OP73)</f>
        <v>0</v>
      </c>
      <c r="OR73" s="20" t="n">
        <f aca="false">IF(H_Direct=1,IF(EE73&lt;=0,OQ73-EE73*ANE72,OQ73-MIN(MIN(EE73*ANE72,LD73+OQ73),OQ73)),OQ73)</f>
        <v>0</v>
      </c>
      <c r="OS73" s="20" t="n">
        <f aca="false">IF(H_Direct=1,IF(EF73&lt;=0,OR73-EF73*(P73+S73),OR73-MIN(MIN(EF73*(P73+S73),LE73+OR73),OR73)),OR73)</f>
        <v>0</v>
      </c>
      <c r="OT73" s="20" t="n">
        <f aca="false">OS73</f>
        <v>0</v>
      </c>
      <c r="OU73" s="20" t="n">
        <f aca="false">OT73</f>
        <v>0</v>
      </c>
      <c r="OV73" s="20" t="n">
        <f aca="false">OU73</f>
        <v>0</v>
      </c>
      <c r="OW73" s="20" t="n">
        <f aca="false">OV73</f>
        <v>0</v>
      </c>
      <c r="OX73" s="20" t="n">
        <f aca="false">OW73</f>
        <v>0</v>
      </c>
      <c r="OY73" s="20" t="n">
        <f aca="false">OX73</f>
        <v>0</v>
      </c>
      <c r="OZ73" s="20" t="n">
        <f aca="false">OY73</f>
        <v>0</v>
      </c>
      <c r="PA73" s="20" t="n">
        <f aca="false">OZ73</f>
        <v>0</v>
      </c>
      <c r="PB73" s="20" t="n">
        <f aca="false">PA73</f>
        <v>0</v>
      </c>
      <c r="PC73" s="20" t="n">
        <f aca="false">PB73</f>
        <v>0</v>
      </c>
      <c r="PD73" s="20" t="n">
        <f aca="false">PC73</f>
        <v>0</v>
      </c>
      <c r="PE73" s="20" t="n">
        <f aca="false">PD73</f>
        <v>0</v>
      </c>
      <c r="PF73" s="20" t="n">
        <f aca="false">PE73</f>
        <v>0</v>
      </c>
      <c r="PG73" s="20" t="n">
        <f aca="false">PF73</f>
        <v>0</v>
      </c>
      <c r="PH73" s="20" t="n">
        <f aca="false">PG73</f>
        <v>0</v>
      </c>
      <c r="PI73" s="20" t="n">
        <f aca="false">PH73</f>
        <v>0</v>
      </c>
      <c r="PJ73" s="20" t="n">
        <f aca="false">PI73</f>
        <v>0</v>
      </c>
      <c r="PK73" s="20" t="n">
        <f aca="false">PJ73</f>
        <v>0</v>
      </c>
      <c r="PL73" s="20" t="n">
        <f aca="false">PK73</f>
        <v>0</v>
      </c>
      <c r="PM73" s="20" t="n">
        <f aca="false">PL73</f>
        <v>0</v>
      </c>
      <c r="PN73" s="20" t="n">
        <f aca="false">PM73</f>
        <v>0</v>
      </c>
      <c r="PO73" s="20" t="n">
        <f aca="false">PN73</f>
        <v>0</v>
      </c>
      <c r="PP73" s="20" t="n">
        <f aca="false">PO73</f>
        <v>0</v>
      </c>
      <c r="PQ73" s="20" t="n">
        <f aca="false">PP73</f>
        <v>0</v>
      </c>
      <c r="PR73" s="20" t="n">
        <f aca="false">IF(H_Direct=1,IF(AKR72&lt;=0,0,IF(BR73&lt;=0,MIN(MAX(0,AB73),AKR72),MIN(MAX(0,AB73),AKR72-G73*MAX(0,BR73*AKR72-(H73+I73))))),MIN(FE73,MAX(0,AB73)))</f>
        <v>0</v>
      </c>
      <c r="PS73" s="20" t="n">
        <f aca="false">IF(H_Direct=1,IF(AKS72&lt;=0,0,IF(BS73&lt;=0,MIN(MAX(0,AB73-SUM(PR73:PR73)),AKS72),MIN(MAX(0,AB73-SUM(PR73:PR73)),AKS72-G73*MAX(0,BS73*AKS72-(WR73+AAE73))))),MIN(FF73,MAX(0,AB73-SUM(PR73:PR73))))</f>
        <v>0</v>
      </c>
      <c r="PT73" s="20" t="n">
        <f aca="false">IF(H_Direct=1,IF(AKT72&lt;=0,0,IF(BT73&lt;=0,MIN(MAX(0,AB73-SUM(PR73:PS73)),AKT72),MIN(MAX(0,AB73-SUM(PR73:PS73)),AKT72-G73*MAX(0,BT73*AKT72-(WS73+AAF73))))),MIN(FG73,MAX(0,AB73-SUM(PR73:PS73))))</f>
        <v>0</v>
      </c>
      <c r="PU73" s="20" t="n">
        <f aca="false">IF(H_Direct=1,IF(AKU72&lt;=0,0,IF(BU73&lt;=0,MIN(MAX(0,AB73-SUM(PR73:PT73)),AKU72),MIN(MAX(0,AB73-SUM(PR73:PT73)),AKU72-G73*MAX(0,BU73*AKU72-(WT73+AAG73))))),MIN(FH73,MAX(0,AB73-SUM(PR73:PT73))))</f>
        <v>0</v>
      </c>
      <c r="PV73" s="20" t="n">
        <f aca="false">IF(H_Direct=1,IF(AKV72&lt;=0,0,IF(BV73&lt;=0,MIN(MAX(0,AB73-SUM(PR73:PU73)),AKV72),MIN(MAX(0,AB73-SUM(PR73:PU73)),AKV72-G73*MAX(0,BV73*AKV72-(WU73+AAH73))))),MIN(FI73,MAX(0,AB73-SUM(PR73:PU73))))</f>
        <v>0</v>
      </c>
      <c r="PW73" s="20" t="n">
        <f aca="false">IF(H_Direct=1,IF(AKW72&lt;=0,0,IF(BW73&lt;=0,MIN(MAX(0,AB73-SUM(PR73:PV73)),AKW72),MIN(MAX(0,AB73-SUM(PR73:PV73)),AKW72-G73*MAX(0,BW73*AKW72-(WV73+AAI73))))),MIN(FJ73,MAX(0,AB73-SUM(PR73:PV73))))</f>
        <v>0</v>
      </c>
      <c r="PX73" s="20" t="n">
        <f aca="false">IF(H_Direct=1,IF(AKX72&lt;=0,0,IF(BX73&lt;=0,MIN(MAX(0,AB73-SUM(PR73:PW73)),AKX72),MIN(MAX(0,AB73-SUM(PR73:PW73)),AKX72-G73*MAX(0,BX73*AKX72-(WW73+AAJ73))))),MIN(FK73,MAX(0,AB73-SUM(PR73:PW73))))</f>
        <v>0</v>
      </c>
      <c r="PY73" s="20" t="n">
        <f aca="false">IF(H_Direct=1,IF(AKY72&lt;=0,0,IF(BY73&lt;=0,MIN(MAX(0,AB73-SUM(PR73:PX73)),AKY72),MIN(MAX(0,AB73-SUM(PR73:PX73)),AKY72-G73*MAX(0,BY73*AKY72-(WX73+AAK73))))),MIN(FL73,MAX(0,AB73-SUM(PR73:PX73))))</f>
        <v>0</v>
      </c>
      <c r="PZ73" s="20" t="n">
        <f aca="false">IF(H_Direct=1,IF(AKZ72&lt;=0,0,IF(BZ73&lt;=0,MIN(MAX(0,AB73-SUM(PR73:PY73)),AKZ72),MIN(MAX(0,AB73-SUM(PR73:PY73)),AKZ72-G73*MAX(0,BZ73*AKZ72-(WY73+AAL73))))),MIN(FM73,MAX(0,AB73-SUM(PR73:PY73))))</f>
        <v>0</v>
      </c>
      <c r="QA73" s="20" t="n">
        <f aca="false">IF(H_Direct=1,IF(ALA72&lt;=0,0,IF(CA73&lt;=0,MIN(MAX(0,AB73-SUM(PR73:PZ73)),ALA72),MIN(MAX(0,AB73-SUM(PR73:PZ73)),ALA72-G73*MAX(0,CA73*ALA72-(WZ73+AAM73))))),MIN(FN73,MAX(0,AB73-SUM(PR73:PZ73))))</f>
        <v>0</v>
      </c>
      <c r="QB73" s="20" t="n">
        <f aca="false">IF(H_Direct=1,IF(ALB72&lt;=0,0,IF(CB73&lt;=0,MIN(MAX(0,AB73-SUM(PR73:QA73)),ALB72),MIN(MAX(0,AB73-SUM(PR73:QA73)),ALB72-G73*MAX(0,CB73*ALB72-(XA73+AAN73))))),MIN(FO73,MAX(0,AB73-SUM(PR73:QA73))))</f>
        <v>0</v>
      </c>
      <c r="QC73" s="20" t="n">
        <f aca="false">IF(H_Direct=1,IF(ALC72&lt;=0,0,IF(CC73&lt;=0,MIN(MAX(0,AB73-SUM(PR73:QB73)),ALC72),MIN(MAX(0,AB73-SUM(PR73:QB73)),ALC72-G73*MAX(0,CC73*ALC72-(XB73+AAO73))))),MIN(FP73,MAX(0,AB73-SUM(PR73:QB73))))</f>
        <v>0</v>
      </c>
      <c r="QD73" s="20" t="n">
        <f aca="false">IF(H_Direct=1,IF(ALD72&lt;=0,0,IF(CD73&lt;=0,MIN(MAX(0,AB73-SUM(PR73:QC73)),ALD72),MIN(MAX(0,AB73-SUM(PR73:QC73)),ALD72-G73*MAX(0,CD73*ALD72-(XC73+AAP73))))),MIN(FQ73,MAX(0,AB73-SUM(PR73:QC73))))</f>
        <v>0</v>
      </c>
      <c r="QE73" s="20" t="n">
        <f aca="false">IF(H_Direct=1,IF(ALE72&lt;=0,0,IF(CE73&lt;=0,MIN(MAX(0,AB73-SUM(PR73:QD73)),ALE72),MIN(MAX(0,AB73-SUM(PR73:QD73)),ALE72-G73*MAX(0,CE73*ALE72-(XD73+AAQ73))))),MIN(FR73,MAX(0,AB73-SUM(PR73:QD73))))</f>
        <v>0</v>
      </c>
      <c r="QF73" s="20" t="n">
        <f aca="false">IF(H_Direct=1,IF(ALF72&lt;=0,0,IF(CF73&lt;=0,MIN(MAX(0,AB73-SUM(PR73:QE73)),ALF72),MIN(MAX(0,AB73-SUM(PR73:QE73)),ALF72-G73*MAX(0,CF73*ALF72-(XE73+AAR73))))),MIN(FS73,MAX(0,AB73-SUM(PR73:QE73))))</f>
        <v>0</v>
      </c>
      <c r="QG73" s="20" t="n">
        <f aca="false">IF(H_Direct=1,IF(ALG72&lt;=0,0,IF(CG73&lt;=0,MIN(MAX(0,AB73-SUM(PR73:QF73)),ALG72),MIN(MAX(0,AB73-SUM(PR73:QF73)),ALG72-G73*MAX(0,CG73*ALG72-(XF73+AAS73))))),MIN(FT73,MAX(0,AB73-SUM(PR73:QF73))))</f>
        <v>0</v>
      </c>
      <c r="QH73" s="20" t="n">
        <f aca="false">IF(H_Direct=1,IF(ALH72&lt;=0,0,IF(CH73&lt;=0,MIN(MAX(0,AB73-SUM(PR73:QG73)),ALH72),MIN(MAX(0,AB73-SUM(PR73:QG73)),ALH72-G73*MAX(0,CH73*ALH72-(XG73+AAT73))))),MIN(FU73,MAX(0,AB73-SUM(PR73:QG73))))</f>
        <v>0</v>
      </c>
      <c r="QI73" s="20" t="n">
        <f aca="false">IF(H_Direct=1,IF(ALI72&lt;=0,0,IF(CI73&lt;=0,MIN(MAX(0,AB73-SUM(PR73:QH73)),ALI72),MIN(MAX(0,AB73-SUM(PR73:QH73)),ALI72-G73*MAX(0,CI73*ALI72-(XH73+AAU73))))),MIN(FV73,MAX(0,AB73-SUM(PR73:QH73))))</f>
        <v>0</v>
      </c>
      <c r="QJ73" s="20" t="n">
        <f aca="false">IF(H_Direct=1,IF(ALJ72&lt;=0,0,IF(CJ73&lt;=0,MIN(MAX(0,AB73-SUM(PR73:QI73)),ALJ72),MIN(MAX(0,AB73-SUM(PR73:QI73)),ALJ72-G73*MAX(0,CJ73*ALJ72-(XI73+AAV73))))),MIN(FW73,MAX(0,AB73-SUM(PR73:QI73))))</f>
        <v>0</v>
      </c>
      <c r="QK73" s="20" t="n">
        <f aca="false">IF(H_Direct=1,IF(ALK72&lt;=0,0,IF(CK73&lt;=0,MIN(MAX(0,AB73-SUM(PR73:QJ73)),ALK72),MIN(MAX(0,AB73-SUM(PR73:QJ73)),ALK72-G73*MAX(0,CK73*ALK72-(XJ73+AAW73))))),MIN(FX73,MAX(0,AB73-SUM(PR73:QJ73))))</f>
        <v>0</v>
      </c>
      <c r="QL73" s="20" t="n">
        <f aca="false">IF(H_Direct=1,IF(ALL72&lt;=0,0,IF(CL73&lt;=0,MIN(MAX(0,AB73-SUM(PR73:QK73)),ALL72),MIN(MAX(0,AB73-SUM(PR73:QK73)),ALL72-G73*MAX(0,CL73*ALL72-(XK73+AAX73))))),MIN(FY73,MAX(0,AB73-SUM(PR73:QK73))))</f>
        <v>0</v>
      </c>
      <c r="QM73" s="20" t="n">
        <f aca="false">IF(H_Direct=1,IF(ALM72&lt;=0,0,IF(CM73&lt;=0,MIN(MAX(0,AB73-SUM(PR73:QL73)),ALM72),MIN(MAX(0,AB73-SUM(PR73:QL73)),ALM72-G73*MAX(0,CM73*ALM72-(XL73+AAY73))))),MIN(FZ73,MAX(0,AB73-SUM(PR73:QL73))))</f>
        <v>0</v>
      </c>
      <c r="QN73" s="20" t="n">
        <f aca="false">IF(H_Direct=1,IF(ALN72&lt;=0,0,IF(CN73&lt;=0,MIN(MAX(0,AB73-SUM(PR73:QM73)),ALN72),MIN(MAX(0,AB73-SUM(PR73:QM73)),ALN72-G73*MAX(0,CN73*ALN72-(XM73+AAZ73))))),MIN(GA73,MAX(0,AB73-SUM(PR73:QM73))))</f>
        <v>0</v>
      </c>
      <c r="QO73" s="20" t="n">
        <f aca="false">IF(H_Direct=1,IF(ALO72&lt;=0,0,IF(CO73&lt;=0,MIN(MAX(0,AB73-SUM(PR73:QN73)),ALO72),MIN(MAX(0,AB73-SUM(PR73:QN73)),ALO72-G73*MAX(0,CO73*ALO72-(XN73+ABA73))))),MIN(GB73,MAX(0,AB73-SUM(PR73:QN73))))</f>
        <v>0</v>
      </c>
      <c r="QP73" s="20" t="n">
        <f aca="false">IF(H_Direct=1,IF(ALP72&lt;=0,0,IF(CP73&lt;=0,MIN(MAX(0,AB73-SUM(PR73:QO73)),ALP72),MIN(MAX(0,AB73-SUM(PR73:QO73)),ALP72-G73*MAX(0,CP73*ALP72-(XO73+ABB73))))),MIN(GC73,MAX(0,AB73-SUM(PR73:QO73))))</f>
        <v>0</v>
      </c>
      <c r="QQ73" s="20" t="n">
        <f aca="false">IF(H_Direct=1,IF(ALQ72&lt;=0,0,IF(CQ73&lt;=0,MIN(MAX(0,AB73-SUM(PR73:QP73)),ALQ72),MIN(MAX(0,AB73-SUM(PR73:QP73)),ALQ72-G73*MAX(0,CQ73*ALQ72-(XP73+ABC73))))),MIN(GD73,MAX(0,AB73-SUM(PR73:QP73))))</f>
        <v>0</v>
      </c>
      <c r="QR73" s="20" t="n">
        <f aca="false">IF(H_Direct=1,IF(ALR72&lt;=0,0,IF(CR73&lt;=0,MIN(MAX(0,AB73-SUM(PR73:QQ73)),ALR72),MIN(MAX(0,AB73-SUM(PR73:QQ73)),ALR72-G73*MAX(0,CR73*ALR72-(XQ73+ABD73))))),MIN(GE73,MAX(0,AB73-SUM(PR73:QQ73))))</f>
        <v>0</v>
      </c>
      <c r="QS73" s="20" t="n">
        <f aca="false">IF(H_Direct=1,IF(ALS72&lt;=0,0,IF(CS73&lt;=0,MIN(MAX(0,AB73-SUM(PR73:QR73)),ALS72),MIN(MAX(0,AB73-SUM(PR73:QR73)),ALS72-G73*MAX(0,CS73*ALS72-(XR73+ABE73))))),MIN(GF73,MAX(0,AB73-SUM(PR73:QR73))))</f>
        <v>0</v>
      </c>
      <c r="QT73" s="20" t="n">
        <f aca="false">IF(H_Direct=1,IF(ALT72&lt;=0,0,IF(CT73&lt;=0,MIN(MAX(0,AB73-SUM(PR73:QS73)),ALT72),MIN(MAX(0,AB73-SUM(PR73:QS73)),ALT72-G73*MAX(0,CT73*ALT72-(XS73+ABF73))))),MIN(GG73,MAX(0,AB73-SUM(PR73:QS73))))</f>
        <v>0</v>
      </c>
      <c r="QU73" s="20" t="n">
        <f aca="false">IF(H_Direct=1,IF(ALU72&lt;=0,0,IF(CU73&lt;=0,MIN(MAX(0,AB73-SUM(PR73:QT73)),ALU72),MIN(MAX(0,AB73-SUM(PR73:QT73)),ALU72-G73*MAX(0,CU73*ALU72-(XT73+ABG73))))),MIN(GH73,MAX(0,AB73-SUM(PR73:QT73))))</f>
        <v>0</v>
      </c>
      <c r="QV73" s="20" t="n">
        <f aca="false">IF(H_Direct=1,IF(ALV72&lt;=0,0,IF(CV73&lt;=0,MIN(MAX(0,AB73-SUM(PR73:QU73)),ALV72),MIN(MAX(0,AB73-SUM(PR73:QU73)),ALV72-G73*MAX(0,CV73*ALV72-(XU73+ABH73))))),MIN(GI73,MAX(0,AB73-SUM(PR73:QU73))))</f>
        <v>0</v>
      </c>
      <c r="QW73" s="20" t="n">
        <f aca="false">IF(H_Direct=1,IF(ALW72&lt;=0,0,IF(CW73&lt;=0,MIN(MAX(0,AB73-SUM(PR73:QV73)),ALW72),MIN(MAX(0,AB73-SUM(PR73:QV73)),ALW72-G73*MAX(0,CW73*ALW72-(XV73+ABI73))))),MIN(GJ73,MAX(0,AB73-SUM(PR73:QV73))))</f>
        <v>0</v>
      </c>
      <c r="QX73" s="20" t="n">
        <f aca="false">IF(H_Direct=1,IF(ALX72&lt;=0,0,IF(CX73&lt;=0,MIN(MAX(0,AB73-SUM(PR73:QW73)),ALX72),MIN(MAX(0,AB73-SUM(PR73:QW73)),ALX72-G73*MAX(0,CX73*ALX72-(XW73+ABJ73))))),MIN(GK73,MAX(0,AB73-SUM(PR73:QW73))))</f>
        <v>0</v>
      </c>
      <c r="QY73" s="20" t="n">
        <f aca="false">IF(H_Direct=1,IF(ALY72&lt;=0,0,IF(CY73&lt;=0,MIN(MAX(0,AB73-SUM(PR73:QX73)),ALY72),MIN(MAX(0,AB73-SUM(PR73:QX73)),ALY72-G73*MAX(0,CY73*ALY72-(XX73+ABK73))))),MIN(GL73,MAX(0,AB73-SUM(PR73:QX73))))</f>
        <v>0</v>
      </c>
      <c r="QZ73" s="20" t="n">
        <f aca="false">IF(H_Direct=1,IF(ALZ72&lt;=0,0,IF(CZ73&lt;=0,MIN(MAX(0,AB73-SUM(PR73:QY73)),ALZ72),MIN(MAX(0,AB73-SUM(PR73:QY73)),ALZ72-G73*MAX(0,CZ73*ALZ72-(XY73+ABL73))))),MIN(GM73,MAX(0,AB73-SUM(PR73:QY73))))</f>
        <v>0</v>
      </c>
      <c r="RA73" s="20" t="n">
        <f aca="false">IF(H_Direct=1,IF(AMA72&lt;=0,0,IF(DA73&lt;=0,MIN(MAX(0,AB73-SUM(PR73:QZ73)),AMA72),MIN(MAX(0,AB73-SUM(PR73:QZ73)),AMA72-G73*MAX(0,DA73*AMA72-(XZ73+ABM73))))),MIN(GN73,MAX(0,AB73-SUM(PR73:QZ73))))</f>
        <v>0</v>
      </c>
      <c r="RB73" s="20" t="n">
        <f aca="false">IF(H_Direct=1,IF(AMB72&lt;=0,0,IF(DB73&lt;=0,MIN(MAX(0,AB73-SUM(PR73:RA73)),AMB72),MIN(MAX(0,AB73-SUM(PR73:RA73)),AMB72-G73*MAX(0,DB73*AMB72-(YA73+ABN73))))),MIN(GO73,MAX(0,AB73-SUM(PR73:RA73))))</f>
        <v>0</v>
      </c>
      <c r="RC73" s="20" t="n">
        <f aca="false">IF(H_Direct=1,IF(AMC72&lt;=0,0,IF(DC73&lt;=0,MIN(MAX(0,AB73-SUM(PR73:RB73)),AMC72),MIN(MAX(0,AB73-SUM(PR73:RB73)),AMC72-G73*MAX(0,DC73*AMC72-(YB73+ABO73))))),MIN(GP73,MAX(0,AB73-SUM(PR73:RB73))))</f>
        <v>0</v>
      </c>
      <c r="RD73" s="20" t="n">
        <f aca="false">IF(H_Direct=1,IF(AMD72&lt;=0,0,IF(DD73&lt;=0,MIN(MAX(0,AB73-SUM(PR73:RC73)),AMD72),MIN(MAX(0,AB73-SUM(PR73:RC73)),AMD72-G73*MAX(0,DD73*AMD72-(YC73+ABP73))))),MIN(GQ73,MAX(0,AB73-SUM(PR73:RC73))))</f>
        <v>0</v>
      </c>
      <c r="RE73" s="20" t="n">
        <f aca="false">IF(H_Direct=1,IF(AME72&lt;=0,0,IF(DE73&lt;=0,MIN(MAX(0,AB73-SUM(PR73:RD73)),AME72),MIN(MAX(0,AB73-SUM(PR73:RD73)),AME72-G73*MAX(0,DE73*AME72-(YD73+ABQ73))))),MIN(GR73,MAX(0,AB73-SUM(PR73:RD73))))</f>
        <v>0</v>
      </c>
      <c r="RF73" s="20" t="n">
        <f aca="false">IF(H_Direct=1,IF(AMF72&lt;=0,0,IF(DF73&lt;=0,MIN(MAX(0,AB73-SUM(PR73:RE73)),AMF72),MIN(MAX(0,AB73-SUM(PR73:RE73)),AMF72-G73*MAX(0,DF73*AMF72-(YE73+ABR73))))),MIN(GS73,MAX(0,AB73-SUM(PR73:RE73))))</f>
        <v>0</v>
      </c>
      <c r="RG73" s="20" t="n">
        <f aca="false">IF(H_Direct=1,IF(AMG72&lt;=0,0,IF(DG73&lt;=0,MIN(MAX(0,AB73-SUM(PR73:RF73)),AMG72),MIN(MAX(0,AB73-SUM(PR73:RF73)),AMG72-G73*MAX(0,DG73*AMG72-(YF73+ABS73))))),MIN(GT73,MAX(0,AB73-SUM(PR73:RF73))))</f>
        <v>0</v>
      </c>
      <c r="RH73" s="20" t="n">
        <f aca="false">IF(H_Direct=1,IF(AMH72&lt;=0,0,IF(DH73&lt;=0,MIN(MAX(0,AB73-SUM(PR73:RG73)),AMH72),MIN(MAX(0,AB73-SUM(PR73:RG73)),AMH72-G73*MAX(0,DH73*AMH72-(YG73+ABT73))))),MIN(GU73,MAX(0,AB73-SUM(PR73:RG73))))</f>
        <v>0</v>
      </c>
      <c r="RI73" s="20" t="n">
        <f aca="false">IF(H_Direct=1,IF(AMI72&lt;=0,0,IF(DI73&lt;=0,MIN(MAX(0,AB73-SUM(PR73:RH73)),AMI72),MIN(MAX(0,AB73-SUM(PR73:RH73)),AMI72-G73*MAX(0,DI73*AMI72-(YH73+ABU73))))),MIN(GV73,MAX(0,AB73-SUM(PR73:RH73))))</f>
        <v>0</v>
      </c>
      <c r="RJ73" s="20" t="n">
        <f aca="false">IF(H_Direct=1,IF(AMJ72&lt;=0,0,IF(DJ73&lt;=0,MIN(MAX(0,AB73-SUM(PR73:RI73)),AMJ72),MIN(MAX(0,AB73-SUM(PR73:RI73)),AMJ72-G73*MAX(0,DJ73*AMJ72-(YI73+ABV73))))),MIN(GW73,MAX(0,AB73-SUM(PR73:RI73))))</f>
        <v>0</v>
      </c>
      <c r="RK73" s="20" t="n">
        <f aca="false">IF(H_Direct=1,IF(AMK72&lt;=0,0,IF(DK73&lt;=0,MIN(MAX(0,AB73-SUM(PR73:RJ73)),AMK72),MIN(MAX(0,AB73-SUM(PR73:RJ73)),AMK72-G73*MAX(0,DK73*AMK72-(YJ73+ABW73))))),MIN(GX73,MAX(0,AB73-SUM(PR73:RJ73))))</f>
        <v>0</v>
      </c>
      <c r="RL73" s="20" t="n">
        <f aca="false">IF(H_Direct=1,IF(AML72&lt;=0,0,IF(DL73&lt;=0,MIN(MAX(0,AB73-SUM(PR73:RK73)),AML72),MIN(MAX(0,AB73-SUM(PR73:RK73)),AML72-G73*MAX(0,DL73*AML72-(YK73+ABX73))))),MIN(GY73,MAX(0,AB73-SUM(PR73:RK73))))</f>
        <v>0</v>
      </c>
      <c r="RM73" s="20" t="n">
        <f aca="false">IF(H_Direct=1,IF(AMM72&lt;=0,0,IF(DM73&lt;=0,MIN(MAX(0,AB73-SUM(PR73:RL73)),AMM72),MIN(MAX(0,AB73-SUM(PR73:RL73)),AMM72-G73*MAX(0,DM73*AMM72-(YL73+ABY73))))),MIN(GZ73,MAX(0,AB73-SUM(PR73:RL73))))</f>
        <v>0</v>
      </c>
      <c r="RN73" s="20" t="n">
        <f aca="false">IF(H_Direct=1,IF(AMN72&lt;=0,0,IF(DN73&lt;=0,MIN(MAX(0,AB73-SUM(PR73:RM73)),AMN72),MIN(MAX(0,AB73-SUM(PR73:RM73)),AMN72-G73*MAX(0,DN73*AMN72-(YM73+ABZ73))))),MIN(HA73,MAX(0,AB73-SUM(PR73:RM73))))</f>
        <v>0</v>
      </c>
      <c r="RO73" s="20" t="n">
        <f aca="false">IF(H_Direct=1,IF(AMO72&lt;=0,0,IF(DO73&lt;=0,MIN(MAX(0,AB73-SUM(PR73:RN73)),AMO72),MIN(MAX(0,AB73-SUM(PR73:RN73)),AMO72-G73*MAX(0,DO73*AMO72-(YN73+ACA73))))),MIN(HB73,MAX(0,AB73-SUM(PR73:RN73))))</f>
        <v>0</v>
      </c>
      <c r="RP73" s="20" t="n">
        <f aca="false">IF(H_Direct=1,IF(AMP72&lt;=0,0,IF(DP73&lt;=0,MIN(MAX(0,AB73-SUM(PR73:RO73)),AMP72),MIN(MAX(0,AB73-SUM(PR73:RO73)),AMP72-G73*MAX(0,DP73*AMP72-(YO73+ACB73))))),MIN(HC73,MAX(0,AB73-SUM(PR73:RO73))))</f>
        <v>0</v>
      </c>
      <c r="RQ73" s="20" t="n">
        <f aca="false">IF(H_Direct=1,IF(AMQ72&lt;=0,0,IF(DQ73&lt;=0,MIN(MAX(0,AB73-SUM(PR73:RP73)),AMQ72),MIN(MAX(0,AB73-SUM(PR73:RP73)),AMQ72-G73*MAX(0,DQ73*AMQ72-(YP73+ACC73))))),MIN(HD73,MAX(0,AB73-SUM(PR73:RP73))))</f>
        <v>0</v>
      </c>
      <c r="RR73" s="20" t="n">
        <f aca="false">IF(H_Direct=1,IF(AMR72&lt;=0,0,IF(DR73&lt;=0,MIN(MAX(0,AB73-SUM(PR73:RQ73)),AMR72),MIN(MAX(0,AB73-SUM(PR73:RQ73)),AMR72-G73*MAX(0,DR73*AMR72-(YQ73+ACD73))))),MIN(HE73,MAX(0,AB73-SUM(PR73:RQ73))))</f>
        <v>0</v>
      </c>
      <c r="RS73" s="20" t="n">
        <f aca="false">IF(H_Direct=1,IF(AMS72&lt;=0,0,IF(DS73&lt;=0,MIN(MAX(0,AB73-SUM(PR73:RR73)),AMS72),MIN(MAX(0,AB73-SUM(PR73:RR73)),AMS72-G73*MAX(0,DS73*AMS72-(YR73+ACE73))))),MIN(HF73,MAX(0,AB73-SUM(PR73:RR73))))</f>
        <v>0</v>
      </c>
      <c r="RT73" s="20" t="n">
        <f aca="false">IF(H_Direct=1,IF(AMT72&lt;=0,0,IF(DT73&lt;=0,MIN(MAX(0,AB73-SUM(PR73:RS73)),AMT72),MIN(MAX(0,AB73-SUM(PR73:RS73)),AMT72-G73*MAX(0,DT73*AMT72-(YS73+ACF73))))),MIN(HG73,MAX(0,AB73-SUM(PR73:RS73))))</f>
        <v>0</v>
      </c>
      <c r="RU73" s="20" t="n">
        <f aca="false">IF(H_Direct=1,IF(AMU72&lt;=0,0,IF(DU73&lt;=0,MIN(MAX(0,AB73-SUM(PR73:RT73)),AMU72),MIN(MAX(0,AB73-SUM(PR73:RT73)),AMU72-G73*MAX(0,DU73*AMU72-(YT73+ACG73))))),MIN(HH73,MAX(0,AB73-SUM(PR73:RT73))))</f>
        <v>0</v>
      </c>
      <c r="RV73" s="20" t="n">
        <f aca="false">IF(H_Direct=1,IF(AMV72&lt;=0,0,IF(DV73&lt;=0,MIN(MAX(0,AB73-SUM(PR73:RU73)),AMV72),MIN(MAX(0,AB73-SUM(PR73:RU73)),AMV72-G73*MAX(0,DV73*AMV72-(YU73+ACH73))))),MIN(HI73,MAX(0,AB73-SUM(PR73:RU73))))</f>
        <v>0</v>
      </c>
      <c r="RW73" s="20" t="n">
        <f aca="false">IF(H_Direct=1,IF(AMW72&lt;=0,0,IF(DW73&lt;=0,MIN(MAX(0,AB73-SUM(PR73:RV73)),AMW72),MIN(MAX(0,AB73-SUM(PR73:RV73)),AMW72-G73*MAX(0,DW73*AMW72-(YV73+ACI73))))),MIN(HJ73,MAX(0,AB73-SUM(PR73:RV73))))</f>
        <v>0</v>
      </c>
      <c r="RX73" s="20" t="n">
        <f aca="false">IF(H_Direct=1,IF(AMX72&lt;=0,0,IF(DX73&lt;=0,MIN(MAX(0,AB73-SUM(PR73:RW73)),AMX72),MIN(MAX(0,AB73-SUM(PR73:RW73)),AMX72-G73*MAX(0,DX73*AMX72-(YW73+ACJ73))))),MIN(HK73,MAX(0,AB73-SUM(PR73:RW73))))</f>
        <v>0</v>
      </c>
      <c r="RY73" s="20" t="n">
        <f aca="false">IF(H_Direct=1,IF(AMY72&lt;=0,0,IF(DY73&lt;=0,MIN(MAX(0,AB73-SUM(PR73:RX73)),AMY72),MIN(MAX(0,AB73-SUM(PR73:RX73)),AMY72-G73*MAX(0,DY73*AMY72-(YX73+ACK73))))),MIN(HL73,MAX(0,AB73-SUM(PR73:RX73))))</f>
        <v>0</v>
      </c>
      <c r="RZ73" s="20" t="n">
        <f aca="false">IF(H_Direct=1,IF(AMZ72&lt;=0,0,IF(DZ73&lt;=0,MIN(MAX(0,AB73-SUM(PR73:RY73)),AMZ72),MIN(MAX(0,AB73-SUM(PR73:RY73)),AMZ72-G73*MAX(0,DZ73*AMZ72-(YY73+ACL73))))),MIN(HM73,MAX(0,AB73-SUM(PR73:RY73))))</f>
        <v>0</v>
      </c>
      <c r="SA73" s="20" t="n">
        <f aca="false">IF(H_Direct=1,IF(ANA72&lt;=0,0,IF(EA73&lt;=0,MIN(MAX(0,AB73-SUM(PR73:RZ73)),ANA72),MIN(MAX(0,AB73-SUM(PR73:RZ73)),ANA72-G73*MAX(0,EA73*ANA72-(YZ73+ACM73))))),MIN(HN73,MAX(0,AB73-SUM(PR73:RZ73))))</f>
        <v>0</v>
      </c>
      <c r="SB73" s="20" t="n">
        <f aca="false">IF(H_Direct=1,IF(ANB72&lt;=0,0,IF(EB73&lt;=0,MIN(MAX(0,AB73-SUM(PR73:SA73)),ANB72),MIN(MAX(0,AB73-SUM(PR73:SA73)),ANB72-G73*MAX(0,EB73*ANB72-(ZA73+ACN73))))),MIN(HO73,MAX(0,AB73-SUM(PR73:SA73))))</f>
        <v>0</v>
      </c>
      <c r="SC73" s="20" t="n">
        <f aca="false">IF(H_Direct=1,IF(ANC72&lt;=0,0,IF(EC73&lt;=0,MIN(MAX(0,AB73-SUM(PR73:SB73)),ANC72),MIN(MAX(0,AB73-SUM(PR73:SB73)),ANC72-G73*MAX(0,EC73*ANC72-(ZB73+ACO73))))),MIN(HP73,MAX(0,AB73-SUM(PR73:SB73))))</f>
        <v>0</v>
      </c>
      <c r="SD73" s="20" t="n">
        <f aca="false">IF(H_Direct=1,IF(AND72&lt;=0,0,IF(ED73&lt;=0,MIN(MAX(0,AB73-SUM(PR73:SC73)),AND72),MIN(MAX(0,AB73-SUM(PR73:SC73)),AND72-G73*MAX(0,ED73*AND72-(ZC73+ACP73))))),MIN(HQ73,MAX(0,AB73-SUM(PR73:SC73))))</f>
        <v>0</v>
      </c>
      <c r="SE73" s="20" t="n">
        <f aca="false">IF(H_Direct=1,IF(ANE72&lt;=0,0,IF(EE73&lt;=0,MIN(MAX(0,AB73-SUM(PR73:SD73)),ANE72),MIN(MAX(0,AB73-SUM(PR73:SD73)),ANE72-G73*MAX(0,EE73*ANE72-(ZD73+ACQ73))))),MIN(HR73,MAX(0,AB73-SUM(PR73:SD73))))</f>
        <v>0</v>
      </c>
      <c r="SF73" s="20" t="n">
        <f aca="false">IF(H_Direct=1,IF((P73+S73)&lt;=0,0,IF(EF73&lt;=0,MIN(MAX(0,AB73-SUM(PR73:SE73)),(P73+S73)),MIN(MAX(0,AB73-SUM(PR73:SE73)),(P73+S73)-G73*MAX(0,EF73*(P73+S73)-(ZE73+ACR73))))),MIN(HS73,MAX(0,AB73-SUM(PR73:SE73))))</f>
        <v>0</v>
      </c>
      <c r="SG73" s="20" t="n">
        <v>0</v>
      </c>
      <c r="SH73" s="20" t="n">
        <v>0</v>
      </c>
      <c r="SI73" s="20" t="n">
        <v>0</v>
      </c>
      <c r="SJ73" s="20" t="n">
        <v>0</v>
      </c>
      <c r="SK73" s="20" t="n">
        <v>0</v>
      </c>
      <c r="SL73" s="20" t="n">
        <v>0</v>
      </c>
      <c r="SM73" s="20" t="n">
        <v>0</v>
      </c>
      <c r="SN73" s="20" t="n">
        <v>0</v>
      </c>
      <c r="SO73" s="20" t="n">
        <v>0</v>
      </c>
      <c r="SP73" s="20" t="n">
        <v>0</v>
      </c>
      <c r="SQ73" s="20" t="n">
        <v>0</v>
      </c>
      <c r="SR73" s="20" t="n">
        <v>0</v>
      </c>
      <c r="SS73" s="20" t="n">
        <v>0</v>
      </c>
      <c r="ST73" s="20" t="n">
        <v>0</v>
      </c>
      <c r="SU73" s="20" t="n">
        <v>0</v>
      </c>
      <c r="SV73" s="20" t="n">
        <v>0</v>
      </c>
      <c r="SW73" s="20" t="n">
        <v>0</v>
      </c>
      <c r="SX73" s="20" t="n">
        <v>0</v>
      </c>
      <c r="SY73" s="20" t="n">
        <v>0</v>
      </c>
      <c r="SZ73" s="20" t="n">
        <v>0</v>
      </c>
      <c r="TA73" s="20" t="n">
        <v>0</v>
      </c>
      <c r="TB73" s="20" t="n">
        <v>0</v>
      </c>
      <c r="TC73" s="20" t="n">
        <v>0</v>
      </c>
      <c r="TD73" s="20" t="n">
        <v>0</v>
      </c>
      <c r="TE73" s="20" t="n">
        <f aca="false">IF(AKR72&lt;=0,0,IF(H_Direct=1,IF(BR73&lt;=0,PR73,IF(PR73&lt;=(H73+I73)/BR73,PR73,(PR73-G73*(H73+I73))/(1-G73*BR73))),PR73/(1-MAX(0,BR73)*H_Exit)))</f>
        <v>0</v>
      </c>
      <c r="TF73" s="20" t="n">
        <f aca="false">IF(AKS72&lt;=0,0,IF(H_Direct=1,IF(BS73&lt;=0,PS73,IF(PS73&lt;=(WR73+AAE73)/BS73,PS73,(PS73-G73*(WR73+AAE73))/(1-G73*BS73))),PS73/(1-MAX(0,BS73)*H_Exit)))</f>
        <v>0</v>
      </c>
      <c r="TG73" s="20" t="n">
        <f aca="false">IF(AKT72&lt;=0,0,IF(H_Direct=1,IF(BT73&lt;=0,PT73,IF(PT73&lt;=(WS73+AAF73)/BT73,PT73,(PT73-G73*(WS73+AAF73))/(1-G73*BT73))),PT73/(1-MAX(0,BT73)*H_Exit)))</f>
        <v>0</v>
      </c>
      <c r="TH73" s="20" t="n">
        <f aca="false">IF(AKU72&lt;=0,0,IF(H_Direct=1,IF(BU73&lt;=0,PU73,IF(PU73&lt;=(WT73+AAG73)/BU73,PU73,(PU73-G73*(WT73+AAG73))/(1-G73*BU73))),PU73/(1-MAX(0,BU73)*H_Exit)))</f>
        <v>0</v>
      </c>
      <c r="TI73" s="20" t="n">
        <f aca="false">IF(AKV72&lt;=0,0,IF(H_Direct=1,IF(BV73&lt;=0,PV73,IF(PV73&lt;=(WU73+AAH73)/BV73,PV73,(PV73-G73*(WU73+AAH73))/(1-G73*BV73))),PV73/(1-MAX(0,BV73)*H_Exit)))</f>
        <v>0</v>
      </c>
      <c r="TJ73" s="20" t="n">
        <f aca="false">IF(AKW72&lt;=0,0,IF(H_Direct=1,IF(BW73&lt;=0,PW73,IF(PW73&lt;=(WV73+AAI73)/BW73,PW73,(PW73-G73*(WV73+AAI73))/(1-G73*BW73))),PW73/(1-MAX(0,BW73)*H_Exit)))</f>
        <v>0</v>
      </c>
      <c r="TK73" s="20" t="n">
        <f aca="false">IF(AKX72&lt;=0,0,IF(H_Direct=1,IF(BX73&lt;=0,PX73,IF(PX73&lt;=(WW73+AAJ73)/BX73,PX73,(PX73-G73*(WW73+AAJ73))/(1-G73*BX73))),PX73/(1-MAX(0,BX73)*H_Exit)))</f>
        <v>0</v>
      </c>
      <c r="TL73" s="20" t="n">
        <f aca="false">IF(AKY72&lt;=0,0,IF(H_Direct=1,IF(BY73&lt;=0,PY73,IF(PY73&lt;=(WX73+AAK73)/BY73,PY73,(PY73-G73*(WX73+AAK73))/(1-G73*BY73))),PY73/(1-MAX(0,BY73)*H_Exit)))</f>
        <v>0</v>
      </c>
      <c r="TM73" s="20" t="n">
        <f aca="false">IF(AKZ72&lt;=0,0,IF(H_Direct=1,IF(BZ73&lt;=0,PZ73,IF(PZ73&lt;=(WY73+AAL73)/BZ73,PZ73,(PZ73-G73*(WY73+AAL73))/(1-G73*BZ73))),PZ73/(1-MAX(0,BZ73)*H_Exit)))</f>
        <v>0</v>
      </c>
      <c r="TN73" s="20" t="n">
        <f aca="false">IF(ALA72&lt;=0,0,IF(H_Direct=1,IF(CA73&lt;=0,QA73,IF(QA73&lt;=(WZ73+AAM73)/CA73,QA73,(QA73-G73*(WZ73+AAM73))/(1-G73*CA73))),QA73/(1-MAX(0,CA73)*H_Exit)))</f>
        <v>0</v>
      </c>
      <c r="TO73" s="20" t="n">
        <f aca="false">IF(ALB72&lt;=0,0,IF(H_Direct=1,IF(CB73&lt;=0,QB73,IF(QB73&lt;=(XA73+AAN73)/CB73,QB73,(QB73-G73*(XA73+AAN73))/(1-G73*CB73))),QB73/(1-MAX(0,CB73)*H_Exit)))</f>
        <v>0</v>
      </c>
      <c r="TP73" s="20" t="n">
        <f aca="false">IF(ALC72&lt;=0,0,IF(H_Direct=1,IF(CC73&lt;=0,QC73,IF(QC73&lt;=(XB73+AAO73)/CC73,QC73,(QC73-G73*(XB73+AAO73))/(1-G73*CC73))),QC73/(1-MAX(0,CC73)*H_Exit)))</f>
        <v>0</v>
      </c>
      <c r="TQ73" s="20" t="n">
        <f aca="false">IF(ALD72&lt;=0,0,IF(H_Direct=1,IF(CD73&lt;=0,QD73,IF(QD73&lt;=(XC73+AAP73)/CD73,QD73,(QD73-G73*(XC73+AAP73))/(1-G73*CD73))),QD73/(1-MAX(0,CD73)*H_Exit)))</f>
        <v>0</v>
      </c>
      <c r="TR73" s="20" t="n">
        <f aca="false">IF(ALE72&lt;=0,0,IF(H_Direct=1,IF(CE73&lt;=0,QE73,IF(QE73&lt;=(XD73+AAQ73)/CE73,QE73,(QE73-G73*(XD73+AAQ73))/(1-G73*CE73))),QE73/(1-MAX(0,CE73)*H_Exit)))</f>
        <v>0</v>
      </c>
      <c r="TS73" s="20" t="n">
        <f aca="false">IF(ALF72&lt;=0,0,IF(H_Direct=1,IF(CF73&lt;=0,QF73,IF(QF73&lt;=(XE73+AAR73)/CF73,QF73,(QF73-G73*(XE73+AAR73))/(1-G73*CF73))),QF73/(1-MAX(0,CF73)*H_Exit)))</f>
        <v>0</v>
      </c>
      <c r="TT73" s="20" t="n">
        <f aca="false">IF(ALG72&lt;=0,0,IF(H_Direct=1,IF(CG73&lt;=0,QG73,IF(QG73&lt;=(XF73+AAS73)/CG73,QG73,(QG73-G73*(XF73+AAS73))/(1-G73*CG73))),QG73/(1-MAX(0,CG73)*H_Exit)))</f>
        <v>0</v>
      </c>
      <c r="TU73" s="20" t="n">
        <f aca="false">IF(ALH72&lt;=0,0,IF(H_Direct=1,IF(CH73&lt;=0,QH73,IF(QH73&lt;=(XG73+AAT73)/CH73,QH73,(QH73-G73*(XG73+AAT73))/(1-G73*CH73))),QH73/(1-MAX(0,CH73)*H_Exit)))</f>
        <v>0</v>
      </c>
      <c r="TV73" s="20" t="n">
        <f aca="false">IF(ALI72&lt;=0,0,IF(H_Direct=1,IF(CI73&lt;=0,QI73,IF(QI73&lt;=(XH73+AAU73)/CI73,QI73,(QI73-G73*(XH73+AAU73))/(1-G73*CI73))),QI73/(1-MAX(0,CI73)*H_Exit)))</f>
        <v>0</v>
      </c>
      <c r="TW73" s="20" t="n">
        <f aca="false">IF(ALJ72&lt;=0,0,IF(H_Direct=1,IF(CJ73&lt;=0,QJ73,IF(QJ73&lt;=(XI73+AAV73)/CJ73,QJ73,(QJ73-G73*(XI73+AAV73))/(1-G73*CJ73))),QJ73/(1-MAX(0,CJ73)*H_Exit)))</f>
        <v>0</v>
      </c>
      <c r="TX73" s="20" t="n">
        <f aca="false">IF(ALK72&lt;=0,0,IF(H_Direct=1,IF(CK73&lt;=0,QK73,IF(QK73&lt;=(XJ73+AAW73)/CK73,QK73,(QK73-G73*(XJ73+AAW73))/(1-G73*CK73))),QK73/(1-MAX(0,CK73)*H_Exit)))</f>
        <v>0</v>
      </c>
      <c r="TY73" s="20" t="n">
        <f aca="false">IF(ALL72&lt;=0,0,IF(H_Direct=1,IF(CL73&lt;=0,QL73,IF(QL73&lt;=(XK73+AAX73)/CL73,QL73,(QL73-G73*(XK73+AAX73))/(1-G73*CL73))),QL73/(1-MAX(0,CL73)*H_Exit)))</f>
        <v>0</v>
      </c>
      <c r="TZ73" s="20" t="n">
        <f aca="false">IF(ALM72&lt;=0,0,IF(H_Direct=1,IF(CM73&lt;=0,QM73,IF(QM73&lt;=(XL73+AAY73)/CM73,QM73,(QM73-G73*(XL73+AAY73))/(1-G73*CM73))),QM73/(1-MAX(0,CM73)*H_Exit)))</f>
        <v>0</v>
      </c>
      <c r="UA73" s="20" t="n">
        <f aca="false">IF(ALN72&lt;=0,0,IF(H_Direct=1,IF(CN73&lt;=0,QN73,IF(QN73&lt;=(XM73+AAZ73)/CN73,QN73,(QN73-G73*(XM73+AAZ73))/(1-G73*CN73))),QN73/(1-MAX(0,CN73)*H_Exit)))</f>
        <v>0</v>
      </c>
      <c r="UB73" s="20" t="n">
        <f aca="false">IF(ALO72&lt;=0,0,IF(H_Direct=1,IF(CO73&lt;=0,QO73,IF(QO73&lt;=(XN73+ABA73)/CO73,QO73,(QO73-G73*(XN73+ABA73))/(1-G73*CO73))),QO73/(1-MAX(0,CO73)*H_Exit)))</f>
        <v>0</v>
      </c>
      <c r="UC73" s="20" t="n">
        <f aca="false">IF(ALP72&lt;=0,0,IF(H_Direct=1,IF(CP73&lt;=0,QP73,IF(QP73&lt;=(XO73+ABB73)/CP73,QP73,(QP73-G73*(XO73+ABB73))/(1-G73*CP73))),QP73/(1-MAX(0,CP73)*H_Exit)))</f>
        <v>0</v>
      </c>
      <c r="UD73" s="20" t="n">
        <f aca="false">IF(ALQ72&lt;=0,0,IF(H_Direct=1,IF(CQ73&lt;=0,QQ73,IF(QQ73&lt;=(XP73+ABC73)/CQ73,QQ73,(QQ73-G73*(XP73+ABC73))/(1-G73*CQ73))),QQ73/(1-MAX(0,CQ73)*H_Exit)))</f>
        <v>0</v>
      </c>
      <c r="UE73" s="20" t="n">
        <f aca="false">IF(ALR72&lt;=0,0,IF(H_Direct=1,IF(CR73&lt;=0,QR73,IF(QR73&lt;=(XQ73+ABD73)/CR73,QR73,(QR73-G73*(XQ73+ABD73))/(1-G73*CR73))),QR73/(1-MAX(0,CR73)*H_Exit)))</f>
        <v>0</v>
      </c>
      <c r="UF73" s="20" t="n">
        <f aca="false">IF(ALS72&lt;=0,0,IF(H_Direct=1,IF(CS73&lt;=0,QS73,IF(QS73&lt;=(XR73+ABE73)/CS73,QS73,(QS73-G73*(XR73+ABE73))/(1-G73*CS73))),QS73/(1-MAX(0,CS73)*H_Exit)))</f>
        <v>0</v>
      </c>
      <c r="UG73" s="20" t="n">
        <f aca="false">IF(ALT72&lt;=0,0,IF(H_Direct=1,IF(CT73&lt;=0,QT73,IF(QT73&lt;=(XS73+ABF73)/CT73,QT73,(QT73-G73*(XS73+ABF73))/(1-G73*CT73))),QT73/(1-MAX(0,CT73)*H_Exit)))</f>
        <v>0</v>
      </c>
      <c r="UH73" s="20" t="n">
        <f aca="false">IF(ALU72&lt;=0,0,IF(H_Direct=1,IF(CU73&lt;=0,QU73,IF(QU73&lt;=(XT73+ABG73)/CU73,QU73,(QU73-G73*(XT73+ABG73))/(1-G73*CU73))),QU73/(1-MAX(0,CU73)*H_Exit)))</f>
        <v>0</v>
      </c>
      <c r="UI73" s="20" t="n">
        <f aca="false">IF(ALV72&lt;=0,0,IF(H_Direct=1,IF(CV73&lt;=0,QV73,IF(QV73&lt;=(XU73+ABH73)/CV73,QV73,(QV73-G73*(XU73+ABH73))/(1-G73*CV73))),QV73/(1-MAX(0,CV73)*H_Exit)))</f>
        <v>0</v>
      </c>
      <c r="UJ73" s="20" t="n">
        <f aca="false">IF(ALW72&lt;=0,0,IF(H_Direct=1,IF(CW73&lt;=0,QW73,IF(QW73&lt;=(XV73+ABI73)/CW73,QW73,(QW73-G73*(XV73+ABI73))/(1-G73*CW73))),QW73/(1-MAX(0,CW73)*H_Exit)))</f>
        <v>0</v>
      </c>
      <c r="UK73" s="20" t="n">
        <f aca="false">IF(ALX72&lt;=0,0,IF(H_Direct=1,IF(CX73&lt;=0,QX73,IF(QX73&lt;=(XW73+ABJ73)/CX73,QX73,(QX73-G73*(XW73+ABJ73))/(1-G73*CX73))),QX73/(1-MAX(0,CX73)*H_Exit)))</f>
        <v>0</v>
      </c>
      <c r="UL73" s="20" t="n">
        <f aca="false">IF(ALY72&lt;=0,0,IF(H_Direct=1,IF(CY73&lt;=0,QY73,IF(QY73&lt;=(XX73+ABK73)/CY73,QY73,(QY73-G73*(XX73+ABK73))/(1-G73*CY73))),QY73/(1-MAX(0,CY73)*H_Exit)))</f>
        <v>0</v>
      </c>
      <c r="UM73" s="20" t="n">
        <f aca="false">IF(ALZ72&lt;=0,0,IF(H_Direct=1,IF(CZ73&lt;=0,QZ73,IF(QZ73&lt;=(XY73+ABL73)/CZ73,QZ73,(QZ73-G73*(XY73+ABL73))/(1-G73*CZ73))),QZ73/(1-MAX(0,CZ73)*H_Exit)))</f>
        <v>0</v>
      </c>
      <c r="UN73" s="20" t="n">
        <f aca="false">IF(AMA72&lt;=0,0,IF(H_Direct=1,IF(DA73&lt;=0,RA73,IF(RA73&lt;=(XZ73+ABM73)/DA73,RA73,(RA73-G73*(XZ73+ABM73))/(1-G73*DA73))),RA73/(1-MAX(0,DA73)*H_Exit)))</f>
        <v>0</v>
      </c>
      <c r="UO73" s="20" t="n">
        <f aca="false">IF(AMB72&lt;=0,0,IF(H_Direct=1,IF(DB73&lt;=0,RB73,IF(RB73&lt;=(YA73+ABN73)/DB73,RB73,(RB73-G73*(YA73+ABN73))/(1-G73*DB73))),RB73/(1-MAX(0,DB73)*H_Exit)))</f>
        <v>0</v>
      </c>
      <c r="UP73" s="20" t="n">
        <f aca="false">IF(AMC72&lt;=0,0,IF(H_Direct=1,IF(DC73&lt;=0,RC73,IF(RC73&lt;=(YB73+ABO73)/DC73,RC73,(RC73-G73*(YB73+ABO73))/(1-G73*DC73))),RC73/(1-MAX(0,DC73)*H_Exit)))</f>
        <v>0</v>
      </c>
      <c r="UQ73" s="20" t="n">
        <f aca="false">IF(AMD72&lt;=0,0,IF(H_Direct=1,IF(DD73&lt;=0,RD73,IF(RD73&lt;=(YC73+ABP73)/DD73,RD73,(RD73-G73*(YC73+ABP73))/(1-G73*DD73))),RD73/(1-MAX(0,DD73)*H_Exit)))</f>
        <v>0</v>
      </c>
      <c r="UR73" s="20" t="n">
        <f aca="false">IF(AME72&lt;=0,0,IF(H_Direct=1,IF(DE73&lt;=0,RE73,IF(RE73&lt;=(YD73+ABQ73)/DE73,RE73,(RE73-G73*(YD73+ABQ73))/(1-G73*DE73))),RE73/(1-MAX(0,DE73)*H_Exit)))</f>
        <v>0</v>
      </c>
      <c r="US73" s="20" t="n">
        <f aca="false">IF(AMF72&lt;=0,0,IF(H_Direct=1,IF(DF73&lt;=0,RF73,IF(RF73&lt;=(YE73+ABR73)/DF73,RF73,(RF73-G73*(YE73+ABR73))/(1-G73*DF73))),RF73/(1-MAX(0,DF73)*H_Exit)))</f>
        <v>0</v>
      </c>
      <c r="UT73" s="20" t="n">
        <f aca="false">IF(AMG72&lt;=0,0,IF(H_Direct=1,IF(DG73&lt;=0,RG73,IF(RG73&lt;=(YF73+ABS73)/DG73,RG73,(RG73-G73*(YF73+ABS73))/(1-G73*DG73))),RG73/(1-MAX(0,DG73)*H_Exit)))</f>
        <v>0</v>
      </c>
      <c r="UU73" s="20" t="n">
        <f aca="false">IF(AMH72&lt;=0,0,IF(H_Direct=1,IF(DH73&lt;=0,RH73,IF(RH73&lt;=(YG73+ABT73)/DH73,RH73,(RH73-G73*(YG73+ABT73))/(1-G73*DH73))),RH73/(1-MAX(0,DH73)*H_Exit)))</f>
        <v>0</v>
      </c>
      <c r="UV73" s="20" t="n">
        <f aca="false">IF(AMI72&lt;=0,0,IF(H_Direct=1,IF(DI73&lt;=0,RI73,IF(RI73&lt;=(YH73+ABU73)/DI73,RI73,(RI73-G73*(YH73+ABU73))/(1-G73*DI73))),RI73/(1-MAX(0,DI73)*H_Exit)))</f>
        <v>0</v>
      </c>
      <c r="UW73" s="20" t="n">
        <f aca="false">IF(AMJ72&lt;=0,0,IF(H_Direct=1,IF(DJ73&lt;=0,RJ73,IF(RJ73&lt;=(YI73+ABV73)/DJ73,RJ73,(RJ73-G73*(YI73+ABV73))/(1-G73*DJ73))),RJ73/(1-MAX(0,DJ73)*H_Exit)))</f>
        <v>0</v>
      </c>
      <c r="UX73" s="20" t="n">
        <f aca="false">IF(AMK72&lt;=0,0,IF(H_Direct=1,IF(DK73&lt;=0,RK73,IF(RK73&lt;=(YJ73+ABW73)/DK73,RK73,(RK73-G73*(YJ73+ABW73))/(1-G73*DK73))),RK73/(1-MAX(0,DK73)*H_Exit)))</f>
        <v>0</v>
      </c>
      <c r="UY73" s="20" t="n">
        <f aca="false">IF(AML72&lt;=0,0,IF(H_Direct=1,IF(DL73&lt;=0,RL73,IF(RL73&lt;=(YK73+ABX73)/DL73,RL73,(RL73-G73*(YK73+ABX73))/(1-G73*DL73))),RL73/(1-MAX(0,DL73)*H_Exit)))</f>
        <v>0</v>
      </c>
      <c r="UZ73" s="20" t="n">
        <f aca="false">IF(AMM72&lt;=0,0,IF(H_Direct=1,IF(DM73&lt;=0,RM73,IF(RM73&lt;=(YL73+ABY73)/DM73,RM73,(RM73-G73*(YL73+ABY73))/(1-G73*DM73))),RM73/(1-MAX(0,DM73)*H_Exit)))</f>
        <v>0</v>
      </c>
      <c r="VA73" s="20" t="n">
        <f aca="false">IF(AMN72&lt;=0,0,IF(H_Direct=1,IF(DN73&lt;=0,RN73,IF(RN73&lt;=(YM73+ABZ73)/DN73,RN73,(RN73-G73*(YM73+ABZ73))/(1-G73*DN73))),RN73/(1-MAX(0,DN73)*H_Exit)))</f>
        <v>0</v>
      </c>
      <c r="VB73" s="20" t="n">
        <f aca="false">IF(AMO72&lt;=0,0,IF(H_Direct=1,IF(DO73&lt;=0,RO73,IF(RO73&lt;=(YN73+ACA73)/DO73,RO73,(RO73-G73*(YN73+ACA73))/(1-G73*DO73))),RO73/(1-MAX(0,DO73)*H_Exit)))</f>
        <v>0</v>
      </c>
      <c r="VC73" s="20" t="n">
        <f aca="false">IF(AMP72&lt;=0,0,IF(H_Direct=1,IF(DP73&lt;=0,RP73,IF(RP73&lt;=(YO73+ACB73)/DP73,RP73,(RP73-G73*(YO73+ACB73))/(1-G73*DP73))),RP73/(1-MAX(0,DP73)*H_Exit)))</f>
        <v>0</v>
      </c>
      <c r="VD73" s="20" t="n">
        <f aca="false">IF(AMQ72&lt;=0,0,IF(H_Direct=1,IF(DQ73&lt;=0,RQ73,IF(RQ73&lt;=(YP73+ACC73)/DQ73,RQ73,(RQ73-G73*(YP73+ACC73))/(1-G73*DQ73))),RQ73/(1-MAX(0,DQ73)*H_Exit)))</f>
        <v>0</v>
      </c>
      <c r="VE73" s="20" t="n">
        <f aca="false">IF(AMR72&lt;=0,0,IF(H_Direct=1,IF(DR73&lt;=0,RR73,IF(RR73&lt;=(YQ73+ACD73)/DR73,RR73,(RR73-G73*(YQ73+ACD73))/(1-G73*DR73))),RR73/(1-MAX(0,DR73)*H_Exit)))</f>
        <v>0</v>
      </c>
      <c r="VF73" s="20" t="n">
        <f aca="false">IF(AMS72&lt;=0,0,IF(H_Direct=1,IF(DS73&lt;=0,RS73,IF(RS73&lt;=(YR73+ACE73)/DS73,RS73,(RS73-G73*(YR73+ACE73))/(1-G73*DS73))),RS73/(1-MAX(0,DS73)*H_Exit)))</f>
        <v>0</v>
      </c>
      <c r="VG73" s="20" t="n">
        <f aca="false">IF(AMT72&lt;=0,0,IF(H_Direct=1,IF(DT73&lt;=0,RT73,IF(RT73&lt;=(YS73+ACF73)/DT73,RT73,(RT73-G73*(YS73+ACF73))/(1-G73*DT73))),RT73/(1-MAX(0,DT73)*H_Exit)))</f>
        <v>0</v>
      </c>
      <c r="VH73" s="20" t="n">
        <f aca="false">IF(AMU72&lt;=0,0,IF(H_Direct=1,IF(DU73&lt;=0,RU73,IF(RU73&lt;=(YT73+ACG73)/DU73,RU73,(RU73-G73*(YT73+ACG73))/(1-G73*DU73))),RU73/(1-MAX(0,DU73)*H_Exit)))</f>
        <v>0</v>
      </c>
      <c r="VI73" s="20" t="n">
        <f aca="false">IF(AMV72&lt;=0,0,IF(H_Direct=1,IF(DV73&lt;=0,RV73,IF(RV73&lt;=(YU73+ACH73)/DV73,RV73,(RV73-G73*(YU73+ACH73))/(1-G73*DV73))),RV73/(1-MAX(0,DV73)*H_Exit)))</f>
        <v>0</v>
      </c>
      <c r="VJ73" s="20" t="n">
        <f aca="false">IF(AMW72&lt;=0,0,IF(H_Direct=1,IF(DW73&lt;=0,RW73,IF(RW73&lt;=(YV73+ACI73)/DW73,RW73,(RW73-G73*(YV73+ACI73))/(1-G73*DW73))),RW73/(1-MAX(0,DW73)*H_Exit)))</f>
        <v>0</v>
      </c>
      <c r="VK73" s="20" t="n">
        <f aca="false">IF(AMX72&lt;=0,0,IF(H_Direct=1,IF(DX73&lt;=0,RX73,IF(RX73&lt;=(YW73+ACJ73)/DX73,RX73,(RX73-G73*(YW73+ACJ73))/(1-G73*DX73))),RX73/(1-MAX(0,DX73)*H_Exit)))</f>
        <v>0</v>
      </c>
      <c r="VL73" s="20" t="n">
        <f aca="false">IF(AMY72&lt;=0,0,IF(H_Direct=1,IF(DY73&lt;=0,RY73,IF(RY73&lt;=(YX73+ACK73)/DY73,RY73,(RY73-G73*(YX73+ACK73))/(1-G73*DY73))),RY73/(1-MAX(0,DY73)*H_Exit)))</f>
        <v>0</v>
      </c>
      <c r="VM73" s="20" t="n">
        <f aca="false">IF(AMZ72&lt;=0,0,IF(H_Direct=1,IF(DZ73&lt;=0,RZ73,IF(RZ73&lt;=(YY73+ACL73)/DZ73,RZ73,(RZ73-G73*(YY73+ACL73))/(1-G73*DZ73))),RZ73/(1-MAX(0,DZ73)*H_Exit)))</f>
        <v>0</v>
      </c>
      <c r="VN73" s="20" t="n">
        <f aca="false">IF(ANA72&lt;=0,0,IF(H_Direct=1,IF(EA73&lt;=0,SA73,IF(SA73&lt;=(YZ73+ACM73)/EA73,SA73,(SA73-G73*(YZ73+ACM73))/(1-G73*EA73))),SA73/(1-MAX(0,EA73)*H_Exit)))</f>
        <v>0</v>
      </c>
      <c r="VO73" s="20" t="n">
        <f aca="false">IF(ANB72&lt;=0,0,IF(H_Direct=1,IF(EB73&lt;=0,SB73,IF(SB73&lt;=(ZA73+ACN73)/EB73,SB73,(SB73-G73*(ZA73+ACN73))/(1-G73*EB73))),SB73/(1-MAX(0,EB73)*H_Exit)))</f>
        <v>0</v>
      </c>
      <c r="VP73" s="20" t="n">
        <f aca="false">IF(ANC72&lt;=0,0,IF(H_Direct=1,IF(EC73&lt;=0,SC73,IF(SC73&lt;=(ZB73+ACO73)/EC73,SC73,(SC73-G73*(ZB73+ACO73))/(1-G73*EC73))),SC73/(1-MAX(0,EC73)*H_Exit)))</f>
        <v>0</v>
      </c>
      <c r="VQ73" s="20" t="n">
        <f aca="false">IF(AND72&lt;=0,0,IF(H_Direct=1,IF(ED73&lt;=0,SD73,IF(SD73&lt;=(ZC73+ACP73)/ED73,SD73,(SD73-G73*(ZC73+ACP73))/(1-G73*ED73))),SD73/(1-MAX(0,ED73)*H_Exit)))</f>
        <v>0</v>
      </c>
      <c r="VR73" s="20" t="n">
        <f aca="false">IF(ANE72&lt;=0,0,IF(H_Direct=1,IF(EE73&lt;=0,SE73,IF(SE73&lt;=(ZD73+ACQ73)/EE73,SE73,(SE73-G73*(ZD73+ACQ73))/(1-G73*EE73))),SE73/(1-MAX(0,EE73)*H_Exit)))</f>
        <v>0</v>
      </c>
      <c r="VS73" s="20" t="n">
        <f aca="false">IF((P73+S73)&lt;=0,0,IF(H_Direct=1,IF(EF73&lt;=0,SF73,IF(SF73&lt;=(ZE73+ACR73)/EF73,SF73,(SF73-G73*(ZE73+ACR73))/(1-G73*EF73))),SF73/(1-MAX(0,EF73)*H_Exit)))</f>
        <v>0</v>
      </c>
      <c r="VT73" s="20" t="n">
        <v>0</v>
      </c>
      <c r="VU73" s="20" t="n">
        <v>0</v>
      </c>
      <c r="VV73" s="20" t="n">
        <v>0</v>
      </c>
      <c r="VW73" s="20" t="n">
        <v>0</v>
      </c>
      <c r="VX73" s="20" t="n">
        <v>0</v>
      </c>
      <c r="VY73" s="20" t="n">
        <v>0</v>
      </c>
      <c r="VZ73" s="20" t="n">
        <v>0</v>
      </c>
      <c r="WA73" s="20" t="n">
        <v>0</v>
      </c>
      <c r="WB73" s="20" t="n">
        <v>0</v>
      </c>
      <c r="WC73" s="20" t="n">
        <v>0</v>
      </c>
      <c r="WD73" s="20" t="n">
        <v>0</v>
      </c>
      <c r="WE73" s="20" t="n">
        <v>0</v>
      </c>
      <c r="WF73" s="20" t="n">
        <v>0</v>
      </c>
      <c r="WG73" s="20" t="n">
        <v>0</v>
      </c>
      <c r="WH73" s="20" t="n">
        <v>0</v>
      </c>
      <c r="WI73" s="20" t="n">
        <v>0</v>
      </c>
      <c r="WJ73" s="20" t="n">
        <v>0</v>
      </c>
      <c r="WK73" s="20" t="n">
        <v>0</v>
      </c>
      <c r="WL73" s="20" t="n">
        <v>0</v>
      </c>
      <c r="WM73" s="20" t="n">
        <v>0</v>
      </c>
      <c r="WN73" s="20" t="n">
        <v>0</v>
      </c>
      <c r="WO73" s="20" t="n">
        <v>0</v>
      </c>
      <c r="WP73" s="20" t="n">
        <v>0</v>
      </c>
      <c r="WQ73" s="20" t="n">
        <v>0</v>
      </c>
      <c r="WR73" s="20" t="n">
        <f aca="false">IF(AND(H_Direct=1,BR73&gt;0),MAX(0,H73-(MIN(BR73*TE73,(H73+I73))-MIN(MIN(BR73*TE73,(H73+I73)),I73))),H73)</f>
        <v>1270</v>
      </c>
      <c r="WS73" s="20" t="n">
        <f aca="false">IF(AND(H_Direct=1,BS73&gt;0),MAX(0,WR73-(MIN(BS73*TF73,(WR73+AAE73))-MIN(MIN(BS73*TF73,(WR73+AAE73)),AAE73))),WR73)</f>
        <v>1270</v>
      </c>
      <c r="WT73" s="20" t="n">
        <f aca="false">IF(AND(H_Direct=1,BT73&gt;0),MAX(0,WS73-(MIN(BT73*TG73,(WS73+AAF73))-MIN(MIN(BT73*TG73,(WS73+AAF73)),AAF73))),WS73)</f>
        <v>1270</v>
      </c>
      <c r="WU73" s="20" t="n">
        <f aca="false">IF(AND(H_Direct=1,BU73&gt;0),MAX(0,WT73-(MIN(BU73*TH73,(WT73+AAG73))-MIN(MIN(BU73*TH73,(WT73+AAG73)),AAG73))),WT73)</f>
        <v>1270</v>
      </c>
      <c r="WV73" s="20" t="n">
        <f aca="false">IF(AND(H_Direct=1,BV73&gt;0),MAX(0,WU73-(MIN(BV73*TI73,(WU73+AAH73))-MIN(MIN(BV73*TI73,(WU73+AAH73)),AAH73))),WU73)</f>
        <v>1270</v>
      </c>
      <c r="WW73" s="20" t="n">
        <f aca="false">IF(AND(H_Direct=1,BW73&gt;0),MAX(0,WV73-(MIN(BW73*TJ73,(WV73+AAI73))-MIN(MIN(BW73*TJ73,(WV73+AAI73)),AAI73))),WV73)</f>
        <v>1270</v>
      </c>
      <c r="WX73" s="20" t="n">
        <f aca="false">IF(AND(H_Direct=1,BX73&gt;0),MAX(0,WW73-(MIN(BX73*TK73,(WW73+AAJ73))-MIN(MIN(BX73*TK73,(WW73+AAJ73)),AAJ73))),WW73)</f>
        <v>1270</v>
      </c>
      <c r="WY73" s="20" t="n">
        <f aca="false">IF(AND(H_Direct=1,BY73&gt;0),MAX(0,WX73-(MIN(BY73*TL73,(WX73+AAK73))-MIN(MIN(BY73*TL73,(WX73+AAK73)),AAK73))),WX73)</f>
        <v>1270</v>
      </c>
      <c r="WZ73" s="20" t="n">
        <f aca="false">IF(AND(H_Direct=1,BZ73&gt;0),MAX(0,WY73-(MIN(BZ73*TM73,(WY73+AAL73))-MIN(MIN(BZ73*TM73,(WY73+AAL73)),AAL73))),WY73)</f>
        <v>1270</v>
      </c>
      <c r="XA73" s="20" t="n">
        <f aca="false">IF(AND(H_Direct=1,CA73&gt;0),MAX(0,WZ73-(MIN(CA73*TN73,(WZ73+AAM73))-MIN(MIN(CA73*TN73,(WZ73+AAM73)),AAM73))),WZ73)</f>
        <v>1270</v>
      </c>
      <c r="XB73" s="20" t="n">
        <f aca="false">IF(AND(H_Direct=1,CB73&gt;0),MAX(0,XA73-(MIN(CB73*TO73,(XA73+AAN73))-MIN(MIN(CB73*TO73,(XA73+AAN73)),AAN73))),XA73)</f>
        <v>1270</v>
      </c>
      <c r="XC73" s="20" t="n">
        <f aca="false">IF(AND(H_Direct=1,CC73&gt;0),MAX(0,XB73-(MIN(CC73*TP73,(XB73+AAO73))-MIN(MIN(CC73*TP73,(XB73+AAO73)),AAO73))),XB73)</f>
        <v>1270</v>
      </c>
      <c r="XD73" s="20" t="n">
        <f aca="false">IF(AND(H_Direct=1,CD73&gt;0),MAX(0,XC73-(MIN(CD73*TQ73,(XC73+AAP73))-MIN(MIN(CD73*TQ73,(XC73+AAP73)),AAP73))),XC73)</f>
        <v>1270</v>
      </c>
      <c r="XE73" s="20" t="n">
        <f aca="false">IF(AND(H_Direct=1,CE73&gt;0),MAX(0,XD73-(MIN(CE73*TR73,(XD73+AAQ73))-MIN(MIN(CE73*TR73,(XD73+AAQ73)),AAQ73))),XD73)</f>
        <v>1270</v>
      </c>
      <c r="XF73" s="20" t="n">
        <f aca="false">IF(AND(H_Direct=1,CF73&gt;0),MAX(0,XE73-(MIN(CF73*TS73,(XE73+AAR73))-MIN(MIN(CF73*TS73,(XE73+AAR73)),AAR73))),XE73)</f>
        <v>1270</v>
      </c>
      <c r="XG73" s="20" t="n">
        <f aca="false">IF(AND(H_Direct=1,CG73&gt;0),MAX(0,XF73-(MIN(CG73*TT73,(XF73+AAS73))-MIN(MIN(CG73*TT73,(XF73+AAS73)),AAS73))),XF73)</f>
        <v>1270</v>
      </c>
      <c r="XH73" s="20" t="n">
        <f aca="false">IF(AND(H_Direct=1,CH73&gt;0),MAX(0,XG73-(MIN(CH73*TU73,(XG73+AAT73))-MIN(MIN(CH73*TU73,(XG73+AAT73)),AAT73))),XG73)</f>
        <v>1270</v>
      </c>
      <c r="XI73" s="20" t="n">
        <f aca="false">IF(AND(H_Direct=1,CI73&gt;0),MAX(0,XH73-(MIN(CI73*TV73,(XH73+AAU73))-MIN(MIN(CI73*TV73,(XH73+AAU73)),AAU73))),XH73)</f>
        <v>1270</v>
      </c>
      <c r="XJ73" s="20" t="n">
        <f aca="false">IF(AND(H_Direct=1,CJ73&gt;0),MAX(0,XI73-(MIN(CJ73*TW73,(XI73+AAV73))-MIN(MIN(CJ73*TW73,(XI73+AAV73)),AAV73))),XI73)</f>
        <v>1270</v>
      </c>
      <c r="XK73" s="20" t="n">
        <f aca="false">IF(AND(H_Direct=1,CK73&gt;0),MAX(0,XJ73-(MIN(CK73*TX73,(XJ73+AAW73))-MIN(MIN(CK73*TX73,(XJ73+AAW73)),AAW73))),XJ73)</f>
        <v>1270</v>
      </c>
      <c r="XL73" s="20" t="n">
        <f aca="false">IF(AND(H_Direct=1,CL73&gt;0),MAX(0,XK73-(MIN(CL73*TY73,(XK73+AAX73))-MIN(MIN(CL73*TY73,(XK73+AAX73)),AAX73))),XK73)</f>
        <v>1270</v>
      </c>
      <c r="XM73" s="20" t="n">
        <f aca="false">IF(AND(H_Direct=1,CM73&gt;0),MAX(0,XL73-(MIN(CM73*TZ73,(XL73+AAY73))-MIN(MIN(CM73*TZ73,(XL73+AAY73)),AAY73))),XL73)</f>
        <v>1270</v>
      </c>
      <c r="XN73" s="20" t="n">
        <f aca="false">IF(AND(H_Direct=1,CN73&gt;0),MAX(0,XM73-(MIN(CN73*UA73,(XM73+AAZ73))-MIN(MIN(CN73*UA73,(XM73+AAZ73)),AAZ73))),XM73)</f>
        <v>1270</v>
      </c>
      <c r="XO73" s="20" t="n">
        <f aca="false">IF(AND(H_Direct=1,CO73&gt;0),MAX(0,XN73-(MIN(CO73*UB73,(XN73+ABA73))-MIN(MIN(CO73*UB73,(XN73+ABA73)),ABA73))),XN73)</f>
        <v>1270</v>
      </c>
      <c r="XP73" s="20" t="n">
        <f aca="false">IF(AND(H_Direct=1,CP73&gt;0),MAX(0,XO73-(MIN(CP73*UC73,(XO73+ABB73))-MIN(MIN(CP73*UC73,(XO73+ABB73)),ABB73))),XO73)</f>
        <v>1270</v>
      </c>
      <c r="XQ73" s="20" t="n">
        <f aca="false">IF(AND(H_Direct=1,CQ73&gt;0),MAX(0,XP73-(MIN(CQ73*UD73,(XP73+ABC73))-MIN(MIN(CQ73*UD73,(XP73+ABC73)),ABC73))),XP73)</f>
        <v>1270</v>
      </c>
      <c r="XR73" s="20" t="n">
        <f aca="false">IF(AND(H_Direct=1,CR73&gt;0),MAX(0,XQ73-(MIN(CR73*UE73,(XQ73+ABD73))-MIN(MIN(CR73*UE73,(XQ73+ABD73)),ABD73))),XQ73)</f>
        <v>1270</v>
      </c>
      <c r="XS73" s="20" t="n">
        <f aca="false">IF(AND(H_Direct=1,CS73&gt;0),MAX(0,XR73-(MIN(CS73*UF73,(XR73+ABE73))-MIN(MIN(CS73*UF73,(XR73+ABE73)),ABE73))),XR73)</f>
        <v>1270</v>
      </c>
      <c r="XT73" s="20" t="n">
        <f aca="false">IF(AND(H_Direct=1,CT73&gt;0),MAX(0,XS73-(MIN(CT73*UG73,(XS73+ABF73))-MIN(MIN(CT73*UG73,(XS73+ABF73)),ABF73))),XS73)</f>
        <v>1270</v>
      </c>
      <c r="XU73" s="20" t="n">
        <f aca="false">IF(AND(H_Direct=1,CU73&gt;0),MAX(0,XT73-(MIN(CU73*UH73,(XT73+ABG73))-MIN(MIN(CU73*UH73,(XT73+ABG73)),ABG73))),XT73)</f>
        <v>1270</v>
      </c>
      <c r="XV73" s="20" t="n">
        <f aca="false">IF(AND(H_Direct=1,CV73&gt;0),MAX(0,XU73-(MIN(CV73*UI73,(XU73+ABH73))-MIN(MIN(CV73*UI73,(XU73+ABH73)),ABH73))),XU73)</f>
        <v>1270</v>
      </c>
      <c r="XW73" s="20" t="n">
        <f aca="false">IF(AND(H_Direct=1,CW73&gt;0),MAX(0,XV73-(MIN(CW73*UJ73,(XV73+ABI73))-MIN(MIN(CW73*UJ73,(XV73+ABI73)),ABI73))),XV73)</f>
        <v>1270</v>
      </c>
      <c r="XX73" s="20" t="n">
        <f aca="false">IF(AND(H_Direct=1,CX73&gt;0),MAX(0,XW73-(MIN(CX73*UK73,(XW73+ABJ73))-MIN(MIN(CX73*UK73,(XW73+ABJ73)),ABJ73))),XW73)</f>
        <v>1270</v>
      </c>
      <c r="XY73" s="20" t="n">
        <f aca="false">IF(AND(H_Direct=1,CY73&gt;0),MAX(0,XX73-(MIN(CY73*UL73,(XX73+ABK73))-MIN(MIN(CY73*UL73,(XX73+ABK73)),ABK73))),XX73)</f>
        <v>1270</v>
      </c>
      <c r="XZ73" s="20" t="n">
        <f aca="false">IF(AND(H_Direct=1,CZ73&gt;0),MAX(0,XY73-(MIN(CZ73*UM73,(XY73+ABL73))-MIN(MIN(CZ73*UM73,(XY73+ABL73)),ABL73))),XY73)</f>
        <v>1270</v>
      </c>
      <c r="YA73" s="20" t="n">
        <f aca="false">IF(AND(H_Direct=1,DA73&gt;0),MAX(0,XZ73-(MIN(DA73*UN73,(XZ73+ABM73))-MIN(MIN(DA73*UN73,(XZ73+ABM73)),ABM73))),XZ73)</f>
        <v>1270</v>
      </c>
      <c r="YB73" s="20" t="n">
        <f aca="false">IF(AND(H_Direct=1,DB73&gt;0),MAX(0,YA73-(MIN(DB73*UO73,(YA73+ABN73))-MIN(MIN(DB73*UO73,(YA73+ABN73)),ABN73))),YA73)</f>
        <v>1270</v>
      </c>
      <c r="YC73" s="20" t="n">
        <f aca="false">IF(AND(H_Direct=1,DC73&gt;0),MAX(0,YB73-(MIN(DC73*UP73,(YB73+ABO73))-MIN(MIN(DC73*UP73,(YB73+ABO73)),ABO73))),YB73)</f>
        <v>1270</v>
      </c>
      <c r="YD73" s="20" t="n">
        <f aca="false">IF(AND(H_Direct=1,DD73&gt;0),MAX(0,YC73-(MIN(DD73*UQ73,(YC73+ABP73))-MIN(MIN(DD73*UQ73,(YC73+ABP73)),ABP73))),YC73)</f>
        <v>1270</v>
      </c>
      <c r="YE73" s="20" t="n">
        <f aca="false">IF(AND(H_Direct=1,DE73&gt;0),MAX(0,YD73-(MIN(DE73*UR73,(YD73+ABQ73))-MIN(MIN(DE73*UR73,(YD73+ABQ73)),ABQ73))),YD73)</f>
        <v>1270</v>
      </c>
      <c r="YF73" s="20" t="n">
        <f aca="false">IF(AND(H_Direct=1,DF73&gt;0),MAX(0,YE73-(MIN(DF73*US73,(YE73+ABR73))-MIN(MIN(DF73*US73,(YE73+ABR73)),ABR73))),YE73)</f>
        <v>1270</v>
      </c>
      <c r="YG73" s="20" t="n">
        <f aca="false">IF(AND(H_Direct=1,DG73&gt;0),MAX(0,YF73-(MIN(DG73*UT73,(YF73+ABS73))-MIN(MIN(DG73*UT73,(YF73+ABS73)),ABS73))),YF73)</f>
        <v>1270</v>
      </c>
      <c r="YH73" s="20" t="n">
        <f aca="false">IF(AND(H_Direct=1,DH73&gt;0),MAX(0,YG73-(MIN(DH73*UU73,(YG73+ABT73))-MIN(MIN(DH73*UU73,(YG73+ABT73)),ABT73))),YG73)</f>
        <v>1270</v>
      </c>
      <c r="YI73" s="20" t="n">
        <f aca="false">IF(AND(H_Direct=1,DI73&gt;0),MAX(0,YH73-(MIN(DI73*UV73,(YH73+ABU73))-MIN(MIN(DI73*UV73,(YH73+ABU73)),ABU73))),YH73)</f>
        <v>1270</v>
      </c>
      <c r="YJ73" s="20" t="n">
        <f aca="false">IF(AND(H_Direct=1,DJ73&gt;0),MAX(0,YI73-(MIN(DJ73*UW73,(YI73+ABV73))-MIN(MIN(DJ73*UW73,(YI73+ABV73)),ABV73))),YI73)</f>
        <v>1270</v>
      </c>
      <c r="YK73" s="20" t="n">
        <f aca="false">IF(AND(H_Direct=1,DK73&gt;0),MAX(0,YJ73-(MIN(DK73*UX73,(YJ73+ABW73))-MIN(MIN(DK73*UX73,(YJ73+ABW73)),ABW73))),YJ73)</f>
        <v>1270</v>
      </c>
      <c r="YL73" s="20" t="n">
        <f aca="false">IF(AND(H_Direct=1,DL73&gt;0),MAX(0,YK73-(MIN(DL73*UY73,(YK73+ABX73))-MIN(MIN(DL73*UY73,(YK73+ABX73)),ABX73))),YK73)</f>
        <v>1270</v>
      </c>
      <c r="YM73" s="20" t="n">
        <f aca="false">IF(AND(H_Direct=1,DM73&gt;0),MAX(0,YL73-(MIN(DM73*UZ73,(YL73+ABY73))-MIN(MIN(DM73*UZ73,(YL73+ABY73)),ABY73))),YL73)</f>
        <v>1270</v>
      </c>
      <c r="YN73" s="20" t="n">
        <f aca="false">IF(AND(H_Direct=1,DN73&gt;0),MAX(0,YM73-(MIN(DN73*VA73,(YM73+ABZ73))-MIN(MIN(DN73*VA73,(YM73+ABZ73)),ABZ73))),YM73)</f>
        <v>1270</v>
      </c>
      <c r="YO73" s="20" t="n">
        <f aca="false">IF(AND(H_Direct=1,DO73&gt;0),MAX(0,YN73-(MIN(DO73*VB73,(YN73+ACA73))-MIN(MIN(DO73*VB73,(YN73+ACA73)),ACA73))),YN73)</f>
        <v>1270</v>
      </c>
      <c r="YP73" s="20" t="n">
        <f aca="false">IF(AND(H_Direct=1,DP73&gt;0),MAX(0,YO73-(MIN(DP73*VC73,(YO73+ACB73))-MIN(MIN(DP73*VC73,(YO73+ACB73)),ACB73))),YO73)</f>
        <v>1270</v>
      </c>
      <c r="YQ73" s="20" t="n">
        <f aca="false">IF(AND(H_Direct=1,DQ73&gt;0),MAX(0,YP73-(MIN(DQ73*VD73,(YP73+ACC73))-MIN(MIN(DQ73*VD73,(YP73+ACC73)),ACC73))),YP73)</f>
        <v>1270</v>
      </c>
      <c r="YR73" s="20" t="n">
        <f aca="false">IF(AND(H_Direct=1,DR73&gt;0),MAX(0,YQ73-(MIN(DR73*VE73,(YQ73+ACD73))-MIN(MIN(DR73*VE73,(YQ73+ACD73)),ACD73))),YQ73)</f>
        <v>1270</v>
      </c>
      <c r="YS73" s="20" t="n">
        <f aca="false">IF(AND(H_Direct=1,DS73&gt;0),MAX(0,YR73-(MIN(DS73*VF73,(YR73+ACE73))-MIN(MIN(DS73*VF73,(YR73+ACE73)),ACE73))),YR73)</f>
        <v>1270</v>
      </c>
      <c r="YT73" s="20" t="n">
        <f aca="false">IF(AND(H_Direct=1,DT73&gt;0),MAX(0,YS73-(MIN(DT73*VG73,(YS73+ACF73))-MIN(MIN(DT73*VG73,(YS73+ACF73)),ACF73))),YS73)</f>
        <v>1270</v>
      </c>
      <c r="YU73" s="20" t="n">
        <f aca="false">IF(AND(H_Direct=1,DU73&gt;0),MAX(0,YT73-(MIN(DU73*VH73,(YT73+ACG73))-MIN(MIN(DU73*VH73,(YT73+ACG73)),ACG73))),YT73)</f>
        <v>1270</v>
      </c>
      <c r="YV73" s="20" t="n">
        <f aca="false">IF(AND(H_Direct=1,DV73&gt;0),MAX(0,YU73-(MIN(DV73*VI73,(YU73+ACH73))-MIN(MIN(DV73*VI73,(YU73+ACH73)),ACH73))),YU73)</f>
        <v>1270</v>
      </c>
      <c r="YW73" s="20" t="n">
        <f aca="false">IF(AND(H_Direct=1,DW73&gt;0),MAX(0,YV73-(MIN(DW73*VJ73,(YV73+ACI73))-MIN(MIN(DW73*VJ73,(YV73+ACI73)),ACI73))),YV73)</f>
        <v>1270</v>
      </c>
      <c r="YX73" s="20" t="n">
        <f aca="false">IF(AND(H_Direct=1,DX73&gt;0),MAX(0,YW73-(MIN(DX73*VK73,(YW73+ACJ73))-MIN(MIN(DX73*VK73,(YW73+ACJ73)),ACJ73))),YW73)</f>
        <v>1270</v>
      </c>
      <c r="YY73" s="20" t="n">
        <f aca="false">IF(AND(H_Direct=1,DY73&gt;0),MAX(0,YX73-(MIN(DY73*VL73,(YX73+ACK73))-MIN(MIN(DY73*VL73,(YX73+ACK73)),ACK73))),YX73)</f>
        <v>1270</v>
      </c>
      <c r="YZ73" s="20" t="n">
        <f aca="false">IF(AND(H_Direct=1,DZ73&gt;0),MAX(0,YY73-(MIN(DZ73*VM73,(YY73+ACL73))-MIN(MIN(DZ73*VM73,(YY73+ACL73)),ACL73))),YY73)</f>
        <v>1270</v>
      </c>
      <c r="ZA73" s="20" t="n">
        <f aca="false">IF(AND(H_Direct=1,EA73&gt;0),MAX(0,YZ73-(MIN(EA73*VN73,(YZ73+ACM73))-MIN(MIN(EA73*VN73,(YZ73+ACM73)),ACM73))),YZ73)</f>
        <v>1270</v>
      </c>
      <c r="ZB73" s="20" t="n">
        <f aca="false">IF(AND(H_Direct=1,EB73&gt;0),MAX(0,ZA73-(MIN(EB73*VO73,(ZA73+ACN73))-MIN(MIN(EB73*VO73,(ZA73+ACN73)),ACN73))),ZA73)</f>
        <v>1270</v>
      </c>
      <c r="ZC73" s="20" t="n">
        <f aca="false">IF(AND(H_Direct=1,EC73&gt;0),MAX(0,ZB73-(MIN(EC73*VP73,(ZB73+ACO73))-MIN(MIN(EC73*VP73,(ZB73+ACO73)),ACO73))),ZB73)</f>
        <v>1270</v>
      </c>
      <c r="ZD73" s="20" t="n">
        <f aca="false">IF(AND(H_Direct=1,ED73&gt;0),MAX(0,ZC73-(MIN(ED73*VQ73,(ZC73+ACP73))-MIN(MIN(ED73*VQ73,(ZC73+ACP73)),ACP73))),ZC73)</f>
        <v>1270</v>
      </c>
      <c r="ZE73" s="20" t="n">
        <f aca="false">IF(AND(H_Direct=1,EE73&gt;0),MAX(0,ZD73-(MIN(EE73*VR73,(ZD73+ACQ73))-MIN(MIN(EE73*VR73,(ZD73+ACQ73)),ACQ73))),ZD73)</f>
        <v>1270</v>
      </c>
      <c r="ZF73" s="20" t="n">
        <f aca="false">IF(AND(H_Direct=1,EF73&gt;0),MAX(0,ZE73-(MIN(EF73*VS73,(ZE73+ACR73))-MIN(MIN(EF73*VS73,(ZE73+ACR73)),ACR73))),ZE73)</f>
        <v>1270</v>
      </c>
      <c r="ZG73" s="20" t="n">
        <f aca="false">ZF73</f>
        <v>1270</v>
      </c>
      <c r="ZH73" s="20" t="n">
        <f aca="false">ZG73</f>
        <v>1270</v>
      </c>
      <c r="ZI73" s="20" t="n">
        <f aca="false">ZH73</f>
        <v>1270</v>
      </c>
      <c r="ZJ73" s="20" t="n">
        <f aca="false">ZI73</f>
        <v>1270</v>
      </c>
      <c r="ZK73" s="20" t="n">
        <f aca="false">ZJ73</f>
        <v>1270</v>
      </c>
      <c r="ZL73" s="20" t="n">
        <f aca="false">ZK73</f>
        <v>1270</v>
      </c>
      <c r="ZM73" s="20" t="n">
        <f aca="false">ZL73</f>
        <v>1270</v>
      </c>
      <c r="ZN73" s="20" t="n">
        <f aca="false">ZM73</f>
        <v>1270</v>
      </c>
      <c r="ZO73" s="20" t="n">
        <f aca="false">ZN73</f>
        <v>1270</v>
      </c>
      <c r="ZP73" s="20" t="n">
        <f aca="false">ZO73</f>
        <v>1270</v>
      </c>
      <c r="ZQ73" s="20" t="n">
        <f aca="false">ZP73</f>
        <v>1270</v>
      </c>
      <c r="ZR73" s="20" t="n">
        <f aca="false">ZQ73</f>
        <v>1270</v>
      </c>
      <c r="ZS73" s="20" t="n">
        <f aca="false">ZR73</f>
        <v>1270</v>
      </c>
      <c r="ZT73" s="20" t="n">
        <f aca="false">ZS73</f>
        <v>1270</v>
      </c>
      <c r="ZU73" s="20" t="n">
        <f aca="false">ZT73</f>
        <v>1270</v>
      </c>
      <c r="ZV73" s="20" t="n">
        <f aca="false">ZU73</f>
        <v>1270</v>
      </c>
      <c r="ZW73" s="20" t="n">
        <f aca="false">ZV73</f>
        <v>1270</v>
      </c>
      <c r="ZX73" s="20" t="n">
        <f aca="false">ZW73</f>
        <v>1270</v>
      </c>
      <c r="ZY73" s="20" t="n">
        <f aca="false">ZX73</f>
        <v>1270</v>
      </c>
      <c r="ZZ73" s="20" t="n">
        <f aca="false">ZY73</f>
        <v>1270</v>
      </c>
      <c r="AAA73" s="20" t="n">
        <f aca="false">ZZ73</f>
        <v>1270</v>
      </c>
      <c r="AAB73" s="20" t="n">
        <f aca="false">AAA73</f>
        <v>1270</v>
      </c>
      <c r="AAC73" s="20" t="n">
        <f aca="false">AAB73</f>
        <v>1270</v>
      </c>
      <c r="AAD73" s="20" t="n">
        <f aca="false">AAC73</f>
        <v>1270</v>
      </c>
      <c r="AAE73" s="20" t="n">
        <f aca="false">IF(H_Direct=1,IF(BR73&lt;=0,I73-BR73*TE73,I73-MIN(MIN(BR73*TE73,(H73+I73)),I73)),I73)</f>
        <v>0</v>
      </c>
      <c r="AAF73" s="20" t="n">
        <f aca="false">IF(H_Direct=1,IF(BS73&lt;=0,AAE73-BS73*TF73,AAE73-MIN(MIN(BS73*TF73,(WR73+AAE73)),AAE73)),AAE73)</f>
        <v>0</v>
      </c>
      <c r="AAG73" s="20" t="n">
        <f aca="false">IF(H_Direct=1,IF(BT73&lt;=0,AAF73-BT73*TG73,AAF73-MIN(MIN(BT73*TG73,(WS73+AAF73)),AAF73)),AAF73)</f>
        <v>0</v>
      </c>
      <c r="AAH73" s="20" t="n">
        <f aca="false">IF(H_Direct=1,IF(BU73&lt;=0,AAG73-BU73*TH73,AAG73-MIN(MIN(BU73*TH73,(WT73+AAG73)),AAG73)),AAG73)</f>
        <v>0</v>
      </c>
      <c r="AAI73" s="20" t="n">
        <f aca="false">IF(H_Direct=1,IF(BV73&lt;=0,AAH73-BV73*TI73,AAH73-MIN(MIN(BV73*TI73,(WU73+AAH73)),AAH73)),AAH73)</f>
        <v>0</v>
      </c>
      <c r="AAJ73" s="20" t="n">
        <f aca="false">IF(H_Direct=1,IF(BW73&lt;=0,AAI73-BW73*TJ73,AAI73-MIN(MIN(BW73*TJ73,(WV73+AAI73)),AAI73)),AAI73)</f>
        <v>0</v>
      </c>
      <c r="AAK73" s="20" t="n">
        <f aca="false">IF(H_Direct=1,IF(BX73&lt;=0,AAJ73-BX73*TK73,AAJ73-MIN(MIN(BX73*TK73,(WW73+AAJ73)),AAJ73)),AAJ73)</f>
        <v>0</v>
      </c>
      <c r="AAL73" s="20" t="n">
        <f aca="false">IF(H_Direct=1,IF(BY73&lt;=0,AAK73-BY73*TL73,AAK73-MIN(MIN(BY73*TL73,(WX73+AAK73)),AAK73)),AAK73)</f>
        <v>0</v>
      </c>
      <c r="AAM73" s="20" t="n">
        <f aca="false">IF(H_Direct=1,IF(BZ73&lt;=0,AAL73-BZ73*TM73,AAL73-MIN(MIN(BZ73*TM73,(WY73+AAL73)),AAL73)),AAL73)</f>
        <v>0</v>
      </c>
      <c r="AAN73" s="20" t="n">
        <f aca="false">IF(H_Direct=1,IF(CA73&lt;=0,AAM73-CA73*TN73,AAM73-MIN(MIN(CA73*TN73,(WZ73+AAM73)),AAM73)),AAM73)</f>
        <v>0</v>
      </c>
      <c r="AAO73" s="20" t="n">
        <f aca="false">IF(H_Direct=1,IF(CB73&lt;=0,AAN73-CB73*TO73,AAN73-MIN(MIN(CB73*TO73,(XA73+AAN73)),AAN73)),AAN73)</f>
        <v>0</v>
      </c>
      <c r="AAP73" s="20" t="n">
        <f aca="false">IF(H_Direct=1,IF(CC73&lt;=0,AAO73-CC73*TP73,AAO73-MIN(MIN(CC73*TP73,(XB73+AAO73)),AAO73)),AAO73)</f>
        <v>0</v>
      </c>
      <c r="AAQ73" s="20" t="n">
        <f aca="false">IF(H_Direct=1,IF(CD73&lt;=0,AAP73-CD73*TQ73,AAP73-MIN(MIN(CD73*TQ73,(XC73+AAP73)),AAP73)),AAP73)</f>
        <v>0</v>
      </c>
      <c r="AAR73" s="20" t="n">
        <f aca="false">IF(H_Direct=1,IF(CE73&lt;=0,AAQ73-CE73*TR73,AAQ73-MIN(MIN(CE73*TR73,(XD73+AAQ73)),AAQ73)),AAQ73)</f>
        <v>0</v>
      </c>
      <c r="AAS73" s="20" t="n">
        <f aca="false">IF(H_Direct=1,IF(CF73&lt;=0,AAR73-CF73*TS73,AAR73-MIN(MIN(CF73*TS73,(XE73+AAR73)),AAR73)),AAR73)</f>
        <v>0</v>
      </c>
      <c r="AAT73" s="20" t="n">
        <f aca="false">IF(H_Direct=1,IF(CG73&lt;=0,AAS73-CG73*TT73,AAS73-MIN(MIN(CG73*TT73,(XF73+AAS73)),AAS73)),AAS73)</f>
        <v>0</v>
      </c>
      <c r="AAU73" s="20" t="n">
        <f aca="false">IF(H_Direct=1,IF(CH73&lt;=0,AAT73-CH73*TU73,AAT73-MIN(MIN(CH73*TU73,(XG73+AAT73)),AAT73)),AAT73)</f>
        <v>0</v>
      </c>
      <c r="AAV73" s="20" t="n">
        <f aca="false">IF(H_Direct=1,IF(CI73&lt;=0,AAU73-CI73*TV73,AAU73-MIN(MIN(CI73*TV73,(XH73+AAU73)),AAU73)),AAU73)</f>
        <v>0</v>
      </c>
      <c r="AAW73" s="20" t="n">
        <f aca="false">IF(H_Direct=1,IF(CJ73&lt;=0,AAV73-CJ73*TW73,AAV73-MIN(MIN(CJ73*TW73,(XI73+AAV73)),AAV73)),AAV73)</f>
        <v>0</v>
      </c>
      <c r="AAX73" s="20" t="n">
        <f aca="false">IF(H_Direct=1,IF(CK73&lt;=0,AAW73-CK73*TX73,AAW73-MIN(MIN(CK73*TX73,(XJ73+AAW73)),AAW73)),AAW73)</f>
        <v>0</v>
      </c>
      <c r="AAY73" s="20" t="n">
        <f aca="false">IF(H_Direct=1,IF(CL73&lt;=0,AAX73-CL73*TY73,AAX73-MIN(MIN(CL73*TY73,(XK73+AAX73)),AAX73)),AAX73)</f>
        <v>0</v>
      </c>
      <c r="AAZ73" s="20" t="n">
        <f aca="false">IF(H_Direct=1,IF(CM73&lt;=0,AAY73-CM73*TZ73,AAY73-MIN(MIN(CM73*TZ73,(XL73+AAY73)),AAY73)),AAY73)</f>
        <v>0</v>
      </c>
      <c r="ABA73" s="20" t="n">
        <f aca="false">IF(H_Direct=1,IF(CN73&lt;=0,AAZ73-CN73*UA73,AAZ73-MIN(MIN(CN73*UA73,(XM73+AAZ73)),AAZ73)),AAZ73)</f>
        <v>0</v>
      </c>
      <c r="ABB73" s="20" t="n">
        <f aca="false">IF(H_Direct=1,IF(CO73&lt;=0,ABA73-CO73*UB73,ABA73-MIN(MIN(CO73*UB73,(XN73+ABA73)),ABA73)),ABA73)</f>
        <v>0</v>
      </c>
      <c r="ABC73" s="20" t="n">
        <f aca="false">IF(H_Direct=1,IF(CP73&lt;=0,ABB73-CP73*UC73,ABB73-MIN(MIN(CP73*UC73,(XO73+ABB73)),ABB73)),ABB73)</f>
        <v>0</v>
      </c>
      <c r="ABD73" s="20" t="n">
        <f aca="false">IF(H_Direct=1,IF(CQ73&lt;=0,ABC73-CQ73*UD73,ABC73-MIN(MIN(CQ73*UD73,(XP73+ABC73)),ABC73)),ABC73)</f>
        <v>0</v>
      </c>
      <c r="ABE73" s="20" t="n">
        <f aca="false">IF(H_Direct=1,IF(CR73&lt;=0,ABD73-CR73*UE73,ABD73-MIN(MIN(CR73*UE73,(XQ73+ABD73)),ABD73)),ABD73)</f>
        <v>0</v>
      </c>
      <c r="ABF73" s="20" t="n">
        <f aca="false">IF(H_Direct=1,IF(CS73&lt;=0,ABE73-CS73*UF73,ABE73-MIN(MIN(CS73*UF73,(XR73+ABE73)),ABE73)),ABE73)</f>
        <v>0</v>
      </c>
      <c r="ABG73" s="20" t="n">
        <f aca="false">IF(H_Direct=1,IF(CT73&lt;=0,ABF73-CT73*UG73,ABF73-MIN(MIN(CT73*UG73,(XS73+ABF73)),ABF73)),ABF73)</f>
        <v>0</v>
      </c>
      <c r="ABH73" s="20" t="n">
        <f aca="false">IF(H_Direct=1,IF(CU73&lt;=0,ABG73-CU73*UH73,ABG73-MIN(MIN(CU73*UH73,(XT73+ABG73)),ABG73)),ABG73)</f>
        <v>0</v>
      </c>
      <c r="ABI73" s="20" t="n">
        <f aca="false">IF(H_Direct=1,IF(CV73&lt;=0,ABH73-CV73*UI73,ABH73-MIN(MIN(CV73*UI73,(XU73+ABH73)),ABH73)),ABH73)</f>
        <v>0</v>
      </c>
      <c r="ABJ73" s="20" t="n">
        <f aca="false">IF(H_Direct=1,IF(CW73&lt;=0,ABI73-CW73*UJ73,ABI73-MIN(MIN(CW73*UJ73,(XV73+ABI73)),ABI73)),ABI73)</f>
        <v>0</v>
      </c>
      <c r="ABK73" s="20" t="n">
        <f aca="false">IF(H_Direct=1,IF(CX73&lt;=0,ABJ73-CX73*UK73,ABJ73-MIN(MIN(CX73*UK73,(XW73+ABJ73)),ABJ73)),ABJ73)</f>
        <v>0</v>
      </c>
      <c r="ABL73" s="20" t="n">
        <f aca="false">IF(H_Direct=1,IF(CY73&lt;=0,ABK73-CY73*UL73,ABK73-MIN(MIN(CY73*UL73,(XX73+ABK73)),ABK73)),ABK73)</f>
        <v>0</v>
      </c>
      <c r="ABM73" s="20" t="n">
        <f aca="false">IF(H_Direct=1,IF(CZ73&lt;=0,ABL73-CZ73*UM73,ABL73-MIN(MIN(CZ73*UM73,(XY73+ABL73)),ABL73)),ABL73)</f>
        <v>0</v>
      </c>
      <c r="ABN73" s="20" t="n">
        <f aca="false">IF(H_Direct=1,IF(DA73&lt;=0,ABM73-DA73*UN73,ABM73-MIN(MIN(DA73*UN73,(XZ73+ABM73)),ABM73)),ABM73)</f>
        <v>0</v>
      </c>
      <c r="ABO73" s="20" t="n">
        <f aca="false">IF(H_Direct=1,IF(DB73&lt;=0,ABN73-DB73*UO73,ABN73-MIN(MIN(DB73*UO73,(YA73+ABN73)),ABN73)),ABN73)</f>
        <v>0</v>
      </c>
      <c r="ABP73" s="20" t="n">
        <f aca="false">IF(H_Direct=1,IF(DC73&lt;=0,ABO73-DC73*UP73,ABO73-MIN(MIN(DC73*UP73,(YB73+ABO73)),ABO73)),ABO73)</f>
        <v>0</v>
      </c>
      <c r="ABQ73" s="20" t="n">
        <f aca="false">IF(H_Direct=1,IF(DD73&lt;=0,ABP73-DD73*UQ73,ABP73-MIN(MIN(DD73*UQ73,(YC73+ABP73)),ABP73)),ABP73)</f>
        <v>0</v>
      </c>
      <c r="ABR73" s="20" t="n">
        <f aca="false">IF(H_Direct=1,IF(DE73&lt;=0,ABQ73-DE73*UR73,ABQ73-MIN(MIN(DE73*UR73,(YD73+ABQ73)),ABQ73)),ABQ73)</f>
        <v>0</v>
      </c>
      <c r="ABS73" s="20" t="n">
        <f aca="false">IF(H_Direct=1,IF(DF73&lt;=0,ABR73-DF73*US73,ABR73-MIN(MIN(DF73*US73,(YE73+ABR73)),ABR73)),ABR73)</f>
        <v>0</v>
      </c>
      <c r="ABT73" s="20" t="n">
        <f aca="false">IF(H_Direct=1,IF(DG73&lt;=0,ABS73-DG73*UT73,ABS73-MIN(MIN(DG73*UT73,(YF73+ABS73)),ABS73)),ABS73)</f>
        <v>0</v>
      </c>
      <c r="ABU73" s="20" t="n">
        <f aca="false">IF(H_Direct=1,IF(DH73&lt;=0,ABT73-DH73*UU73,ABT73-MIN(MIN(DH73*UU73,(YG73+ABT73)),ABT73)),ABT73)</f>
        <v>0</v>
      </c>
      <c r="ABV73" s="20" t="n">
        <f aca="false">IF(H_Direct=1,IF(DI73&lt;=0,ABU73-DI73*UV73,ABU73-MIN(MIN(DI73*UV73,(YH73+ABU73)),ABU73)),ABU73)</f>
        <v>0</v>
      </c>
      <c r="ABW73" s="20" t="n">
        <f aca="false">IF(H_Direct=1,IF(DJ73&lt;=0,ABV73-DJ73*UW73,ABV73-MIN(MIN(DJ73*UW73,(YI73+ABV73)),ABV73)),ABV73)</f>
        <v>0</v>
      </c>
      <c r="ABX73" s="20" t="n">
        <f aca="false">IF(H_Direct=1,IF(DK73&lt;=0,ABW73-DK73*UX73,ABW73-MIN(MIN(DK73*UX73,(YJ73+ABW73)),ABW73)),ABW73)</f>
        <v>0</v>
      </c>
      <c r="ABY73" s="20" t="n">
        <f aca="false">IF(H_Direct=1,IF(DL73&lt;=0,ABX73-DL73*UY73,ABX73-MIN(MIN(DL73*UY73,(YK73+ABX73)),ABX73)),ABX73)</f>
        <v>0</v>
      </c>
      <c r="ABZ73" s="20" t="n">
        <f aca="false">IF(H_Direct=1,IF(DM73&lt;=0,ABY73-DM73*UZ73,ABY73-MIN(MIN(DM73*UZ73,(YL73+ABY73)),ABY73)),ABY73)</f>
        <v>0</v>
      </c>
      <c r="ACA73" s="20" t="n">
        <f aca="false">IF(H_Direct=1,IF(DN73&lt;=0,ABZ73-DN73*VA73,ABZ73-MIN(MIN(DN73*VA73,(YM73+ABZ73)),ABZ73)),ABZ73)</f>
        <v>0</v>
      </c>
      <c r="ACB73" s="20" t="n">
        <f aca="false">IF(H_Direct=1,IF(DO73&lt;=0,ACA73-DO73*VB73,ACA73-MIN(MIN(DO73*VB73,(YN73+ACA73)),ACA73)),ACA73)</f>
        <v>0</v>
      </c>
      <c r="ACC73" s="20" t="n">
        <f aca="false">IF(H_Direct=1,IF(DP73&lt;=0,ACB73-DP73*VC73,ACB73-MIN(MIN(DP73*VC73,(YO73+ACB73)),ACB73)),ACB73)</f>
        <v>0</v>
      </c>
      <c r="ACD73" s="20" t="n">
        <f aca="false">IF(H_Direct=1,IF(DQ73&lt;=0,ACC73-DQ73*VD73,ACC73-MIN(MIN(DQ73*VD73,(YP73+ACC73)),ACC73)),ACC73)</f>
        <v>0</v>
      </c>
      <c r="ACE73" s="20" t="n">
        <f aca="false">IF(H_Direct=1,IF(DR73&lt;=0,ACD73-DR73*VE73,ACD73-MIN(MIN(DR73*VE73,(YQ73+ACD73)),ACD73)),ACD73)</f>
        <v>0</v>
      </c>
      <c r="ACF73" s="20" t="n">
        <f aca="false">IF(H_Direct=1,IF(DS73&lt;=0,ACE73-DS73*VF73,ACE73-MIN(MIN(DS73*VF73,(YR73+ACE73)),ACE73)),ACE73)</f>
        <v>0</v>
      </c>
      <c r="ACG73" s="20" t="n">
        <f aca="false">IF(H_Direct=1,IF(DT73&lt;=0,ACF73-DT73*VG73,ACF73-MIN(MIN(DT73*VG73,(YS73+ACF73)),ACF73)),ACF73)</f>
        <v>0</v>
      </c>
      <c r="ACH73" s="20" t="n">
        <f aca="false">IF(H_Direct=1,IF(DU73&lt;=0,ACG73-DU73*VH73,ACG73-MIN(MIN(DU73*VH73,(YT73+ACG73)),ACG73)),ACG73)</f>
        <v>0</v>
      </c>
      <c r="ACI73" s="20" t="n">
        <f aca="false">IF(H_Direct=1,IF(DV73&lt;=0,ACH73-DV73*VI73,ACH73-MIN(MIN(DV73*VI73,(YU73+ACH73)),ACH73)),ACH73)</f>
        <v>0</v>
      </c>
      <c r="ACJ73" s="20" t="n">
        <f aca="false">IF(H_Direct=1,IF(DW73&lt;=0,ACI73-DW73*VJ73,ACI73-MIN(MIN(DW73*VJ73,(YV73+ACI73)),ACI73)),ACI73)</f>
        <v>0</v>
      </c>
      <c r="ACK73" s="20" t="n">
        <f aca="false">IF(H_Direct=1,IF(DX73&lt;=0,ACJ73-DX73*VK73,ACJ73-MIN(MIN(DX73*VK73,(YW73+ACJ73)),ACJ73)),ACJ73)</f>
        <v>0</v>
      </c>
      <c r="ACL73" s="20" t="n">
        <f aca="false">IF(H_Direct=1,IF(DY73&lt;=0,ACK73-DY73*VL73,ACK73-MIN(MIN(DY73*VL73,(YX73+ACK73)),ACK73)),ACK73)</f>
        <v>0</v>
      </c>
      <c r="ACM73" s="20" t="n">
        <f aca="false">IF(H_Direct=1,IF(DZ73&lt;=0,ACL73-DZ73*VM73,ACL73-MIN(MIN(DZ73*VM73,(YY73+ACL73)),ACL73)),ACL73)</f>
        <v>0</v>
      </c>
      <c r="ACN73" s="20" t="n">
        <f aca="false">IF(H_Direct=1,IF(EA73&lt;=0,ACM73-EA73*VN73,ACM73-MIN(MIN(EA73*VN73,(YZ73+ACM73)),ACM73)),ACM73)</f>
        <v>0</v>
      </c>
      <c r="ACO73" s="20" t="n">
        <f aca="false">IF(H_Direct=1,IF(EB73&lt;=0,ACN73-EB73*VO73,ACN73-MIN(MIN(EB73*VO73,(ZA73+ACN73)),ACN73)),ACN73)</f>
        <v>0</v>
      </c>
      <c r="ACP73" s="20" t="n">
        <f aca="false">IF(H_Direct=1,IF(EC73&lt;=0,ACO73-EC73*VP73,ACO73-MIN(MIN(EC73*VP73,(ZB73+ACO73)),ACO73)),ACO73)</f>
        <v>0</v>
      </c>
      <c r="ACQ73" s="20" t="n">
        <f aca="false">IF(H_Direct=1,IF(ED73&lt;=0,ACP73-ED73*VQ73,ACP73-MIN(MIN(ED73*VQ73,(ZC73+ACP73)),ACP73)),ACP73)</f>
        <v>0</v>
      </c>
      <c r="ACR73" s="20" t="n">
        <f aca="false">IF(H_Direct=1,IF(EE73&lt;=0,ACQ73-EE73*VR73,ACQ73-MIN(MIN(EE73*VR73,(ZD73+ACQ73)),ACQ73)),ACQ73)</f>
        <v>0</v>
      </c>
      <c r="ACS73" s="20" t="n">
        <f aca="false">IF(H_Direct=1,IF(EF73&lt;=0,ACR73-EF73*VS73,ACR73-MIN(MIN(EF73*VS73,(ZE73+ACR73)),ACR73)),ACR73)</f>
        <v>0</v>
      </c>
      <c r="ACT73" s="20" t="n">
        <f aca="false">ACS73</f>
        <v>0</v>
      </c>
      <c r="ACU73" s="20" t="n">
        <f aca="false">ACT73</f>
        <v>0</v>
      </c>
      <c r="ACV73" s="20" t="n">
        <f aca="false">ACU73</f>
        <v>0</v>
      </c>
      <c r="ACW73" s="20" t="n">
        <f aca="false">ACV73</f>
        <v>0</v>
      </c>
      <c r="ACX73" s="20" t="n">
        <f aca="false">ACW73</f>
        <v>0</v>
      </c>
      <c r="ACY73" s="20" t="n">
        <f aca="false">ACX73</f>
        <v>0</v>
      </c>
      <c r="ACZ73" s="20" t="n">
        <f aca="false">ACY73</f>
        <v>0</v>
      </c>
      <c r="ADA73" s="20" t="n">
        <f aca="false">ACZ73</f>
        <v>0</v>
      </c>
      <c r="ADB73" s="20" t="n">
        <f aca="false">ADA73</f>
        <v>0</v>
      </c>
      <c r="ADC73" s="20" t="n">
        <f aca="false">ADB73</f>
        <v>0</v>
      </c>
      <c r="ADD73" s="20" t="n">
        <f aca="false">ADC73</f>
        <v>0</v>
      </c>
      <c r="ADE73" s="20" t="n">
        <f aca="false">ADD73</f>
        <v>0</v>
      </c>
      <c r="ADF73" s="20" t="n">
        <f aca="false">ADE73</f>
        <v>0</v>
      </c>
      <c r="ADG73" s="20" t="n">
        <f aca="false">ADF73</f>
        <v>0</v>
      </c>
      <c r="ADH73" s="20" t="n">
        <f aca="false">ADG73</f>
        <v>0</v>
      </c>
      <c r="ADI73" s="20" t="n">
        <f aca="false">ADH73</f>
        <v>0</v>
      </c>
      <c r="ADJ73" s="20" t="n">
        <f aca="false">ADI73</f>
        <v>0</v>
      </c>
      <c r="ADK73" s="20" t="n">
        <f aca="false">ADJ73</f>
        <v>0</v>
      </c>
      <c r="ADL73" s="20" t="n">
        <f aca="false">ADK73</f>
        <v>0</v>
      </c>
      <c r="ADM73" s="20" t="n">
        <f aca="false">ADL73</f>
        <v>0</v>
      </c>
      <c r="ADN73" s="20" t="n">
        <f aca="false">ADM73</f>
        <v>0</v>
      </c>
      <c r="ADO73" s="20" t="n">
        <f aca="false">ADN73</f>
        <v>0</v>
      </c>
      <c r="ADP73" s="20" t="n">
        <f aca="false">ADO73</f>
        <v>0</v>
      </c>
      <c r="ADQ73" s="20" t="n">
        <f aca="false">ADP73</f>
        <v>0</v>
      </c>
      <c r="ADR73" s="20" t="n">
        <f aca="false">(AKR72-TE73+0)*(1+BQ73)</f>
        <v>0</v>
      </c>
      <c r="ADS73" s="20" t="n">
        <f aca="false">(AKS72-TF73+0)*(1+BQ73)</f>
        <v>0</v>
      </c>
      <c r="ADT73" s="20" t="n">
        <f aca="false">(AKT72-TG73+0)*(1+BQ73)</f>
        <v>0</v>
      </c>
      <c r="ADU73" s="20" t="n">
        <f aca="false">(AKU72-TH73+0)*(1+BQ73)</f>
        <v>0</v>
      </c>
      <c r="ADV73" s="20" t="n">
        <f aca="false">(AKV72-TI73+0)*(1+BQ73)</f>
        <v>0</v>
      </c>
      <c r="ADW73" s="20" t="n">
        <f aca="false">(AKW72-TJ73+0)*(1+BQ73)</f>
        <v>0</v>
      </c>
      <c r="ADX73" s="20" t="n">
        <f aca="false">(AKX72-TK73+0)*(1+BQ73)</f>
        <v>0</v>
      </c>
      <c r="ADY73" s="20" t="n">
        <f aca="false">(AKY72-TL73+0)*(1+BQ73)</f>
        <v>0</v>
      </c>
      <c r="ADZ73" s="20" t="n">
        <f aca="false">(AKZ72-TM73+0)*(1+BQ73)</f>
        <v>0</v>
      </c>
      <c r="AEA73" s="20" t="n">
        <f aca="false">(ALA72-TN73+0)*(1+BQ73)</f>
        <v>0</v>
      </c>
      <c r="AEB73" s="20" t="n">
        <f aca="false">(ALB72-TO73+0)*(1+BQ73)</f>
        <v>0</v>
      </c>
      <c r="AEC73" s="20" t="n">
        <f aca="false">(ALC72-TP73+0)*(1+BQ73)</f>
        <v>0</v>
      </c>
      <c r="AED73" s="20" t="n">
        <f aca="false">(ALD72-TQ73+0)*(1+BQ73)</f>
        <v>0</v>
      </c>
      <c r="AEE73" s="20" t="n">
        <f aca="false">(ALE72-TR73+0)*(1+BQ73)</f>
        <v>0</v>
      </c>
      <c r="AEF73" s="20" t="n">
        <f aca="false">(ALF72-TS73+0)*(1+BQ73)</f>
        <v>0</v>
      </c>
      <c r="AEG73" s="20" t="n">
        <f aca="false">(ALG72-TT73+0)*(1+BQ73)</f>
        <v>0</v>
      </c>
      <c r="AEH73" s="20" t="n">
        <f aca="false">(ALH72-TU73+0)*(1+BQ73)</f>
        <v>0</v>
      </c>
      <c r="AEI73" s="20" t="n">
        <f aca="false">(ALI72-TV73+0)*(1+BQ73)</f>
        <v>0</v>
      </c>
      <c r="AEJ73" s="20" t="n">
        <f aca="false">(ALJ72-TW73+0)*(1+BQ73)</f>
        <v>0</v>
      </c>
      <c r="AEK73" s="20" t="n">
        <f aca="false">(ALK72-TX73+0)*(1+BQ73)</f>
        <v>0</v>
      </c>
      <c r="AEL73" s="20" t="n">
        <f aca="false">(ALL72-TY73+0)*(1+BQ73)</f>
        <v>0</v>
      </c>
      <c r="AEM73" s="20" t="n">
        <f aca="false">(ALM72-TZ73+0)*(1+BQ73)</f>
        <v>0</v>
      </c>
      <c r="AEN73" s="20" t="n">
        <f aca="false">(ALN72-UA73+0)*(1+BQ73)</f>
        <v>0</v>
      </c>
      <c r="AEO73" s="20" t="n">
        <f aca="false">(ALO72-UB73+0)*(1+BQ73)</f>
        <v>0</v>
      </c>
      <c r="AEP73" s="20" t="n">
        <f aca="false">(ALP72-UC73+0)*(1+BQ73)</f>
        <v>0</v>
      </c>
      <c r="AEQ73" s="20" t="n">
        <f aca="false">(ALQ72-UD73+0)*(1+BQ73)</f>
        <v>0</v>
      </c>
      <c r="AER73" s="20" t="n">
        <f aca="false">(ALR72-UE73+0)*(1+BQ73)</f>
        <v>0</v>
      </c>
      <c r="AES73" s="20" t="n">
        <f aca="false">(ALS72-UF73+0)*(1+BQ73)</f>
        <v>0</v>
      </c>
      <c r="AET73" s="20" t="n">
        <f aca="false">(ALT72-UG73+0)*(1+BQ73)</f>
        <v>0</v>
      </c>
      <c r="AEU73" s="20" t="n">
        <f aca="false">(ALU72-UH73+0)*(1+BQ73)</f>
        <v>0</v>
      </c>
      <c r="AEV73" s="20" t="n">
        <f aca="false">(ALV72-UI73+0)*(1+BQ73)</f>
        <v>0</v>
      </c>
      <c r="AEW73" s="20" t="n">
        <f aca="false">(ALW72-UJ73+0)*(1+BQ73)</f>
        <v>0</v>
      </c>
      <c r="AEX73" s="20" t="n">
        <f aca="false">(ALX72-UK73+0)*(1+BQ73)</f>
        <v>0</v>
      </c>
      <c r="AEY73" s="20" t="n">
        <f aca="false">(ALY72-UL73+0)*(1+BQ73)</f>
        <v>0</v>
      </c>
      <c r="AEZ73" s="20" t="n">
        <f aca="false">(ALZ72-UM73+0)*(1+BQ73)</f>
        <v>0</v>
      </c>
      <c r="AFA73" s="20" t="n">
        <f aca="false">(AMA72-UN73+0)*(1+BQ73)</f>
        <v>0</v>
      </c>
      <c r="AFB73" s="20" t="n">
        <f aca="false">(AMB72-UO73+0)*(1+BQ73)</f>
        <v>0</v>
      </c>
      <c r="AFC73" s="20" t="n">
        <f aca="false">(AMC72-UP73+0)*(1+BQ73)</f>
        <v>0</v>
      </c>
      <c r="AFD73" s="20" t="n">
        <f aca="false">(AMD72-UQ73+0)*(1+BQ73)</f>
        <v>0</v>
      </c>
      <c r="AFE73" s="20" t="n">
        <f aca="false">(AME72-UR73+0)*(1+BQ73)</f>
        <v>0</v>
      </c>
      <c r="AFF73" s="20" t="n">
        <f aca="false">(AMF72-US73+0)*(1+BQ73)</f>
        <v>0</v>
      </c>
      <c r="AFG73" s="20" t="n">
        <f aca="false">(AMG72-UT73+0)*(1+BQ73)</f>
        <v>0</v>
      </c>
      <c r="AFH73" s="20" t="n">
        <f aca="false">(AMH72-UU73+0)*(1+BQ73)</f>
        <v>0</v>
      </c>
      <c r="AFI73" s="20" t="n">
        <f aca="false">(AMI72-UV73+0)*(1+BQ73)</f>
        <v>0</v>
      </c>
      <c r="AFJ73" s="20" t="n">
        <f aca="false">(AMJ72-UW73+0)*(1+BQ73)</f>
        <v>0</v>
      </c>
      <c r="AFK73" s="20" t="n">
        <f aca="false">(AMK72-UX73+0)*(1+BQ73)</f>
        <v>0</v>
      </c>
      <c r="AFL73" s="20" t="n">
        <f aca="false">(AML72-UY73+0)*(1+BQ73)</f>
        <v>0</v>
      </c>
      <c r="AFM73" s="20" t="n">
        <f aca="false">(AMM72-UZ73+0)*(1+BQ73)</f>
        <v>0</v>
      </c>
      <c r="AFN73" s="20" t="n">
        <f aca="false">(AMN72-VA73+0)*(1+BQ73)</f>
        <v>0</v>
      </c>
      <c r="AFO73" s="20" t="n">
        <f aca="false">(AMO72-VB73+0)*(1+BQ73)</f>
        <v>0</v>
      </c>
      <c r="AFP73" s="20" t="n">
        <f aca="false">(AMP72-VC73+0)*(1+BQ73)</f>
        <v>0</v>
      </c>
      <c r="AFQ73" s="20" t="n">
        <f aca="false">(AMQ72-VD73+0)*(1+BQ73)</f>
        <v>0</v>
      </c>
      <c r="AFR73" s="20" t="n">
        <f aca="false">(AMR72-VE73+0)*(1+BQ73)</f>
        <v>0</v>
      </c>
      <c r="AFS73" s="20" t="n">
        <f aca="false">(AMS72-VF73+0)*(1+BQ73)</f>
        <v>0</v>
      </c>
      <c r="AFT73" s="20" t="n">
        <f aca="false">(AMT72-VG73+0)*(1+BQ73)</f>
        <v>0</v>
      </c>
      <c r="AFU73" s="20" t="n">
        <f aca="false">(AMU72-VH73+0)*(1+BQ73)</f>
        <v>0</v>
      </c>
      <c r="AFV73" s="20" t="n">
        <f aca="false">(AMV72-VI73+0)*(1+BQ73)</f>
        <v>0</v>
      </c>
      <c r="AFW73" s="20" t="n">
        <f aca="false">(AMW72-VJ73+0)*(1+BQ73)</f>
        <v>0</v>
      </c>
      <c r="AFX73" s="20" t="n">
        <f aca="false">(AMX72-VK73+0)*(1+BQ73)</f>
        <v>0</v>
      </c>
      <c r="AFY73" s="20" t="n">
        <f aca="false">(AMY72-VL73+0)*(1+BQ73)</f>
        <v>0</v>
      </c>
      <c r="AFZ73" s="20" t="n">
        <f aca="false">(AMZ72-VM73+0)*(1+BQ73)</f>
        <v>0</v>
      </c>
      <c r="AGA73" s="20" t="n">
        <f aca="false">(ANA72-VN73+0)*(1+BQ73)</f>
        <v>0</v>
      </c>
      <c r="AGB73" s="20" t="n">
        <f aca="false">(ANB72-VO73+0)*(1+BQ73)</f>
        <v>0</v>
      </c>
      <c r="AGC73" s="20" t="n">
        <f aca="false">(ANC72-VP73+0)*(1+BQ73)</f>
        <v>0</v>
      </c>
      <c r="AGD73" s="20" t="n">
        <f aca="false">(AND72-VQ73+0)*(1+BQ73)</f>
        <v>0</v>
      </c>
      <c r="AGE73" s="20" t="n">
        <f aca="false">(ANE72-VR73+0)*(1+BQ73)</f>
        <v>0</v>
      </c>
      <c r="AGF73" s="20" t="n">
        <f aca="false">((P73+S73)-VS73+BE73)*(1+BQ73)</f>
        <v>0</v>
      </c>
      <c r="AGG73" s="20" t="n">
        <v>0</v>
      </c>
      <c r="AGH73" s="20" t="n">
        <v>0</v>
      </c>
      <c r="AGI73" s="20" t="n">
        <v>0</v>
      </c>
      <c r="AGJ73" s="20" t="n">
        <v>0</v>
      </c>
      <c r="AGK73" s="20" t="n">
        <v>0</v>
      </c>
      <c r="AGL73" s="20" t="n">
        <v>0</v>
      </c>
      <c r="AGM73" s="20" t="n">
        <v>0</v>
      </c>
      <c r="AGN73" s="20" t="n">
        <v>0</v>
      </c>
      <c r="AGO73" s="20" t="n">
        <v>0</v>
      </c>
      <c r="AGP73" s="20" t="n">
        <v>0</v>
      </c>
      <c r="AGQ73" s="20" t="n">
        <v>0</v>
      </c>
      <c r="AGR73" s="20" t="n">
        <v>0</v>
      </c>
      <c r="AGS73" s="20" t="n">
        <v>0</v>
      </c>
      <c r="AGT73" s="20" t="n">
        <v>0</v>
      </c>
      <c r="AGU73" s="20" t="n">
        <v>0</v>
      </c>
      <c r="AGV73" s="20" t="n">
        <v>0</v>
      </c>
      <c r="AGW73" s="20" t="n">
        <v>0</v>
      </c>
      <c r="AGX73" s="20" t="n">
        <v>0</v>
      </c>
      <c r="AGY73" s="20" t="n">
        <v>0</v>
      </c>
      <c r="AGZ73" s="20" t="n">
        <v>0</v>
      </c>
      <c r="AHA73" s="20" t="n">
        <v>0</v>
      </c>
      <c r="AHB73" s="20" t="n">
        <v>0</v>
      </c>
      <c r="AHC73" s="20" t="n">
        <v>0</v>
      </c>
      <c r="AHD73" s="20" t="n">
        <v>0</v>
      </c>
      <c r="AHE73" s="20" t="n">
        <f aca="false">IF(AKR72&gt;0,AOE72-AOE72*TE73/AKR72,0)+0</f>
        <v>0</v>
      </c>
      <c r="AHF73" s="20" t="n">
        <f aca="false">IF(AKS72&gt;0,AOF72-AOF72*TF73/AKS72,0)+0</f>
        <v>0</v>
      </c>
      <c r="AHG73" s="20" t="n">
        <f aca="false">IF(AKT72&gt;0,AOG72-AOG72*TG73/AKT72,0)+0</f>
        <v>0</v>
      </c>
      <c r="AHH73" s="20" t="n">
        <f aca="false">IF(AKU72&gt;0,AOH72-AOH72*TH73/AKU72,0)+0</f>
        <v>0</v>
      </c>
      <c r="AHI73" s="20" t="n">
        <f aca="false">IF(AKV72&gt;0,AOI72-AOI72*TI73/AKV72,0)+0</f>
        <v>0</v>
      </c>
      <c r="AHJ73" s="20" t="n">
        <f aca="false">IF(AKW72&gt;0,AOJ72-AOJ72*TJ73/AKW72,0)+0</f>
        <v>0</v>
      </c>
      <c r="AHK73" s="20" t="n">
        <f aca="false">IF(AKX72&gt;0,AOK72-AOK72*TK73/AKX72,0)+0</f>
        <v>0</v>
      </c>
      <c r="AHL73" s="20" t="n">
        <f aca="false">IF(AKY72&gt;0,AOL72-AOL72*TL73/AKY72,0)+0</f>
        <v>0</v>
      </c>
      <c r="AHM73" s="20" t="n">
        <f aca="false">IF(AKZ72&gt;0,AOM72-AOM72*TM73/AKZ72,0)+0</f>
        <v>0</v>
      </c>
      <c r="AHN73" s="20" t="n">
        <f aca="false">IF(ALA72&gt;0,AON72-AON72*TN73/ALA72,0)+0</f>
        <v>0</v>
      </c>
      <c r="AHO73" s="20" t="n">
        <f aca="false">IF(ALB72&gt;0,AOO72-AOO72*TO73/ALB72,0)+0</f>
        <v>0</v>
      </c>
      <c r="AHP73" s="20" t="n">
        <f aca="false">IF(ALC72&gt;0,AOP72-AOP72*TP73/ALC72,0)+0</f>
        <v>0</v>
      </c>
      <c r="AHQ73" s="20" t="n">
        <f aca="false">IF(ALD72&gt;0,AOQ72-AOQ72*TQ73/ALD72,0)+0</f>
        <v>0</v>
      </c>
      <c r="AHR73" s="20" t="n">
        <f aca="false">IF(ALE72&gt;0,AOR72-AOR72*TR73/ALE72,0)+0</f>
        <v>0</v>
      </c>
      <c r="AHS73" s="20" t="n">
        <f aca="false">IF(ALF72&gt;0,AOS72-AOS72*TS73/ALF72,0)+0</f>
        <v>0</v>
      </c>
      <c r="AHT73" s="20" t="n">
        <f aca="false">IF(ALG72&gt;0,AOT72-AOT72*TT73/ALG72,0)+0</f>
        <v>0</v>
      </c>
      <c r="AHU73" s="20" t="n">
        <f aca="false">IF(ALH72&gt;0,AOU72-AOU72*TU73/ALH72,0)+0</f>
        <v>0</v>
      </c>
      <c r="AHV73" s="20" t="n">
        <f aca="false">IF(ALI72&gt;0,AOV72-AOV72*TV73/ALI72,0)+0</f>
        <v>0</v>
      </c>
      <c r="AHW73" s="20" t="n">
        <f aca="false">IF(ALJ72&gt;0,AOW72-AOW72*TW73/ALJ72,0)+0</f>
        <v>0</v>
      </c>
      <c r="AHX73" s="20" t="n">
        <f aca="false">IF(ALK72&gt;0,AOX72-AOX72*TX73/ALK72,0)+0</f>
        <v>0</v>
      </c>
      <c r="AHY73" s="20" t="n">
        <f aca="false">IF(ALL72&gt;0,AOY72-AOY72*TY73/ALL72,0)+0</f>
        <v>0</v>
      </c>
      <c r="AHZ73" s="20" t="n">
        <f aca="false">IF(ALM72&gt;0,AOZ72-AOZ72*TZ73/ALM72,0)+0</f>
        <v>0</v>
      </c>
      <c r="AIA73" s="20" t="n">
        <f aca="false">IF(ALN72&gt;0,APA72-APA72*UA73/ALN72,0)+0</f>
        <v>0</v>
      </c>
      <c r="AIB73" s="20" t="n">
        <f aca="false">IF(ALO72&gt;0,APB72-APB72*UB73/ALO72,0)+0</f>
        <v>0</v>
      </c>
      <c r="AIC73" s="20" t="n">
        <f aca="false">IF(ALP72&gt;0,APC72-APC72*UC73/ALP72,0)+0</f>
        <v>0</v>
      </c>
      <c r="AID73" s="20" t="n">
        <f aca="false">IF(ALQ72&gt;0,APD72-APD72*UD73/ALQ72,0)+0</f>
        <v>0</v>
      </c>
      <c r="AIE73" s="20" t="n">
        <f aca="false">IF(ALR72&gt;0,APE72-APE72*UE73/ALR72,0)+0</f>
        <v>0</v>
      </c>
      <c r="AIF73" s="20" t="n">
        <f aca="false">IF(ALS72&gt;0,APF72-APF72*UF73/ALS72,0)+0</f>
        <v>0</v>
      </c>
      <c r="AIG73" s="20" t="n">
        <f aca="false">IF(ALT72&gt;0,APG72-APG72*UG73/ALT72,0)+0</f>
        <v>0</v>
      </c>
      <c r="AIH73" s="20" t="n">
        <f aca="false">IF(ALU72&gt;0,APH72-APH72*UH73/ALU72,0)+0</f>
        <v>0</v>
      </c>
      <c r="AII73" s="20" t="n">
        <f aca="false">IF(ALV72&gt;0,API72-API72*UI73/ALV72,0)+0</f>
        <v>0</v>
      </c>
      <c r="AIJ73" s="20" t="n">
        <f aca="false">IF(ALW72&gt;0,APJ72-APJ72*UJ73/ALW72,0)+0</f>
        <v>0</v>
      </c>
      <c r="AIK73" s="20" t="n">
        <f aca="false">IF(ALX72&gt;0,APK72-APK72*UK73/ALX72,0)+0</f>
        <v>0</v>
      </c>
      <c r="AIL73" s="20" t="n">
        <f aca="false">IF(ALY72&gt;0,APL72-APL72*UL73/ALY72,0)+0</f>
        <v>0</v>
      </c>
      <c r="AIM73" s="20" t="n">
        <f aca="false">IF(ALZ72&gt;0,APM72-APM72*UM73/ALZ72,0)+0</f>
        <v>0</v>
      </c>
      <c r="AIN73" s="20" t="n">
        <f aca="false">IF(AMA72&gt;0,APN72-APN72*UN73/AMA72,0)+0</f>
        <v>0</v>
      </c>
      <c r="AIO73" s="20" t="n">
        <f aca="false">IF(AMB72&gt;0,APO72-APO72*UO73/AMB72,0)+0</f>
        <v>0</v>
      </c>
      <c r="AIP73" s="20" t="n">
        <f aca="false">IF(AMC72&gt;0,APP72-APP72*UP73/AMC72,0)+0</f>
        <v>0</v>
      </c>
      <c r="AIQ73" s="20" t="n">
        <f aca="false">IF(AMD72&gt;0,APQ72-APQ72*UQ73/AMD72,0)+0</f>
        <v>0</v>
      </c>
      <c r="AIR73" s="20" t="n">
        <f aca="false">IF(AME72&gt;0,APR72-APR72*UR73/AME72,0)+0</f>
        <v>0</v>
      </c>
      <c r="AIS73" s="20" t="n">
        <f aca="false">IF(AMF72&gt;0,APS72-APS72*US73/AMF72,0)+0</f>
        <v>0</v>
      </c>
      <c r="AIT73" s="20" t="n">
        <f aca="false">IF(AMG72&gt;0,APT72-APT72*UT73/AMG72,0)+0</f>
        <v>0</v>
      </c>
      <c r="AIU73" s="20" t="n">
        <f aca="false">IF(AMH72&gt;0,APU72-APU72*UU73/AMH72,0)+0</f>
        <v>0</v>
      </c>
      <c r="AIV73" s="20" t="n">
        <f aca="false">IF(AMI72&gt;0,APV72-APV72*UV73/AMI72,0)+0</f>
        <v>0</v>
      </c>
      <c r="AIW73" s="20" t="n">
        <f aca="false">IF(AMJ72&gt;0,APW72-APW72*UW73/AMJ72,0)+0</f>
        <v>0</v>
      </c>
      <c r="AIX73" s="20" t="n">
        <f aca="false">IF(AMK72&gt;0,APX72-APX72*UX73/AMK72,0)+0</f>
        <v>0</v>
      </c>
      <c r="AIY73" s="20" t="n">
        <f aca="false">IF(AML72&gt;0,APY72-APY72*UY73/AML72,0)+0</f>
        <v>0</v>
      </c>
      <c r="AIZ73" s="20" t="n">
        <f aca="false">IF(AMM72&gt;0,APZ72-APZ72*UZ73/AMM72,0)+0</f>
        <v>0</v>
      </c>
      <c r="AJA73" s="20" t="n">
        <f aca="false">IF(AMN72&gt;0,AQA72-AQA72*VA73/AMN72,0)+0</f>
        <v>0</v>
      </c>
      <c r="AJB73" s="20" t="n">
        <f aca="false">IF(AMO72&gt;0,AQB72-AQB72*VB73/AMO72,0)+0</f>
        <v>0</v>
      </c>
      <c r="AJC73" s="20" t="n">
        <f aca="false">IF(AMP72&gt;0,AQC72-AQC72*VC73/AMP72,0)+0</f>
        <v>0</v>
      </c>
      <c r="AJD73" s="20" t="n">
        <f aca="false">IF(AMQ72&gt;0,AQD72-AQD72*VD73/AMQ72,0)+0</f>
        <v>0</v>
      </c>
      <c r="AJE73" s="20" t="n">
        <f aca="false">IF(AMR72&gt;0,AQE72-AQE72*VE73/AMR72,0)+0</f>
        <v>0</v>
      </c>
      <c r="AJF73" s="20" t="n">
        <f aca="false">IF(AMS72&gt;0,AQF72-AQF72*VF73/AMS72,0)+0</f>
        <v>0</v>
      </c>
      <c r="AJG73" s="20" t="n">
        <f aca="false">IF(AMT72&gt;0,AQG72-AQG72*VG73/AMT72,0)+0</f>
        <v>0</v>
      </c>
      <c r="AJH73" s="20" t="n">
        <f aca="false">IF(AMU72&gt;0,AQH72-AQH72*VH73/AMU72,0)+0</f>
        <v>0</v>
      </c>
      <c r="AJI73" s="20" t="n">
        <f aca="false">IF(AMV72&gt;0,AQI72-AQI72*VI73/AMV72,0)+0</f>
        <v>0</v>
      </c>
      <c r="AJJ73" s="20" t="n">
        <f aca="false">IF(AMW72&gt;0,AQJ72-AQJ72*VJ73/AMW72,0)+0</f>
        <v>0</v>
      </c>
      <c r="AJK73" s="20" t="n">
        <f aca="false">IF(AMX72&gt;0,AQK72-AQK72*VK73/AMX72,0)+0</f>
        <v>0</v>
      </c>
      <c r="AJL73" s="20" t="n">
        <f aca="false">IF(AMY72&gt;0,AQL72-AQL72*VL73/AMY72,0)+0</f>
        <v>0</v>
      </c>
      <c r="AJM73" s="20" t="n">
        <f aca="false">IF(AMZ72&gt;0,AQM72-AQM72*VM73/AMZ72,0)+0</f>
        <v>0</v>
      </c>
      <c r="AJN73" s="20" t="n">
        <f aca="false">IF(ANA72&gt;0,AQN72-AQN72*VN73/ANA72,0)+0</f>
        <v>0</v>
      </c>
      <c r="AJO73" s="20" t="n">
        <f aca="false">IF(ANB72&gt;0,AQO72-AQO72*VO73/ANB72,0)+0</f>
        <v>0</v>
      </c>
      <c r="AJP73" s="20" t="n">
        <f aca="false">IF(ANC72&gt;0,AQP72-AQP72*VP73/ANC72,0)+0</f>
        <v>0</v>
      </c>
      <c r="AJQ73" s="20" t="n">
        <f aca="false">IF(AND72&gt;0,AQQ72-AQQ72*VQ73/AND72,0)+0</f>
        <v>0</v>
      </c>
      <c r="AJR73" s="20" t="n">
        <f aca="false">IF(ANE72&gt;0,AQR72-AQR72*VR73/ANE72,0)+0</f>
        <v>0</v>
      </c>
      <c r="AJS73" s="20" t="n">
        <f aca="false">IF((P73+S73)&gt;0,(P73+S73)-(P73+S73)*VS73/(P73+S73),0)+BE73</f>
        <v>0</v>
      </c>
      <c r="AJT73" s="20" t="n">
        <v>0</v>
      </c>
      <c r="AJU73" s="20" t="n">
        <v>0</v>
      </c>
      <c r="AJV73" s="20" t="n">
        <v>0</v>
      </c>
      <c r="AJW73" s="20" t="n">
        <v>0</v>
      </c>
      <c r="AJX73" s="20" t="n">
        <v>0</v>
      </c>
      <c r="AJY73" s="20" t="n">
        <v>0</v>
      </c>
      <c r="AJZ73" s="20" t="n">
        <v>0</v>
      </c>
      <c r="AKA73" s="20" t="n">
        <v>0</v>
      </c>
      <c r="AKB73" s="20" t="n">
        <v>0</v>
      </c>
      <c r="AKC73" s="20" t="n">
        <v>0</v>
      </c>
      <c r="AKD73" s="20" t="n">
        <v>0</v>
      </c>
      <c r="AKE73" s="20" t="n">
        <v>0</v>
      </c>
      <c r="AKF73" s="20" t="n">
        <v>0</v>
      </c>
      <c r="AKG73" s="20" t="n">
        <v>0</v>
      </c>
      <c r="AKH73" s="20" t="n">
        <v>0</v>
      </c>
      <c r="AKI73" s="20" t="n">
        <v>0</v>
      </c>
      <c r="AKJ73" s="20" t="n">
        <v>0</v>
      </c>
      <c r="AKK73" s="20" t="n">
        <v>0</v>
      </c>
      <c r="AKL73" s="20" t="n">
        <v>0</v>
      </c>
      <c r="AKM73" s="20" t="n">
        <v>0</v>
      </c>
      <c r="AKN73" s="20" t="n">
        <v>0</v>
      </c>
      <c r="AKO73" s="20" t="n">
        <v>0</v>
      </c>
      <c r="AKP73" s="20" t="n">
        <v>0</v>
      </c>
      <c r="AKQ73" s="20" t="n">
        <v>0</v>
      </c>
      <c r="AKR73" s="20" t="n">
        <f aca="false">ADR73-AVE73</f>
        <v>0</v>
      </c>
      <c r="AKS73" s="20" t="n">
        <f aca="false">ADS73-AVF73</f>
        <v>0</v>
      </c>
      <c r="AKT73" s="20" t="n">
        <f aca="false">ADT73-AVG73</f>
        <v>0</v>
      </c>
      <c r="AKU73" s="20" t="n">
        <f aca="false">ADU73-AVH73</f>
        <v>0</v>
      </c>
      <c r="AKV73" s="20" t="n">
        <f aca="false">ADV73-AVI73</f>
        <v>0</v>
      </c>
      <c r="AKW73" s="20" t="n">
        <f aca="false">ADW73-AVJ73</f>
        <v>0</v>
      </c>
      <c r="AKX73" s="20" t="n">
        <f aca="false">ADX73-AVK73</f>
        <v>0</v>
      </c>
      <c r="AKY73" s="20" t="n">
        <f aca="false">ADY73-AVL73</f>
        <v>0</v>
      </c>
      <c r="AKZ73" s="20" t="n">
        <f aca="false">ADZ73-AVM73</f>
        <v>0</v>
      </c>
      <c r="ALA73" s="20" t="n">
        <f aca="false">AEA73-AVN73</f>
        <v>0</v>
      </c>
      <c r="ALB73" s="20" t="n">
        <f aca="false">AEB73-AVO73</f>
        <v>0</v>
      </c>
      <c r="ALC73" s="20" t="n">
        <f aca="false">AEC73-AVP73</f>
        <v>0</v>
      </c>
      <c r="ALD73" s="20" t="n">
        <f aca="false">AED73-AVQ73</f>
        <v>0</v>
      </c>
      <c r="ALE73" s="20" t="n">
        <f aca="false">AEE73-AVR73</f>
        <v>0</v>
      </c>
      <c r="ALF73" s="20" t="n">
        <f aca="false">AEF73-AVS73</f>
        <v>0</v>
      </c>
      <c r="ALG73" s="20" t="n">
        <f aca="false">AEG73-AVT73</f>
        <v>0</v>
      </c>
      <c r="ALH73" s="20" t="n">
        <f aca="false">AEH73-AVU73</f>
        <v>0</v>
      </c>
      <c r="ALI73" s="20" t="n">
        <f aca="false">AEI73-AVV73</f>
        <v>0</v>
      </c>
      <c r="ALJ73" s="20" t="n">
        <f aca="false">AEJ73-AVW73</f>
        <v>0</v>
      </c>
      <c r="ALK73" s="20" t="n">
        <f aca="false">AEK73-AVX73</f>
        <v>0</v>
      </c>
      <c r="ALL73" s="20" t="n">
        <f aca="false">AEL73-AVY73</f>
        <v>0</v>
      </c>
      <c r="ALM73" s="20" t="n">
        <f aca="false">AEM73-AVZ73</f>
        <v>0</v>
      </c>
      <c r="ALN73" s="20" t="n">
        <f aca="false">AEN73-AWA73</f>
        <v>0</v>
      </c>
      <c r="ALO73" s="20" t="n">
        <f aca="false">AEO73-AWB73</f>
        <v>0</v>
      </c>
      <c r="ALP73" s="20" t="n">
        <f aca="false">AEP73-AWC73</f>
        <v>0</v>
      </c>
      <c r="ALQ73" s="20" t="n">
        <f aca="false">AEQ73-AWD73</f>
        <v>0</v>
      </c>
      <c r="ALR73" s="20" t="n">
        <f aca="false">AER73-AWE73</f>
        <v>0</v>
      </c>
      <c r="ALS73" s="20" t="n">
        <f aca="false">AES73-AWF73</f>
        <v>0</v>
      </c>
      <c r="ALT73" s="20" t="n">
        <f aca="false">AET73-AWG73</f>
        <v>0</v>
      </c>
      <c r="ALU73" s="20" t="n">
        <f aca="false">AEU73-AWH73</f>
        <v>0</v>
      </c>
      <c r="ALV73" s="20" t="n">
        <f aca="false">AEV73-AWI73</f>
        <v>0</v>
      </c>
      <c r="ALW73" s="20" t="n">
        <f aca="false">AEW73-AWJ73</f>
        <v>0</v>
      </c>
      <c r="ALX73" s="20" t="n">
        <f aca="false">AEX73-AWK73</f>
        <v>0</v>
      </c>
      <c r="ALY73" s="20" t="n">
        <f aca="false">AEY73-AWL73</f>
        <v>0</v>
      </c>
      <c r="ALZ73" s="20" t="n">
        <f aca="false">AEZ73-AWM73</f>
        <v>0</v>
      </c>
      <c r="AMA73" s="20" t="n">
        <f aca="false">AFA73-AWN73</f>
        <v>0</v>
      </c>
      <c r="AMB73" s="20" t="n">
        <f aca="false">AFB73-AWO73</f>
        <v>0</v>
      </c>
      <c r="AMC73" s="20" t="n">
        <f aca="false">AFC73-AWP73</f>
        <v>0</v>
      </c>
      <c r="AMD73" s="20" t="n">
        <f aca="false">AFD73-AWQ73</f>
        <v>0</v>
      </c>
      <c r="AME73" s="20" t="n">
        <f aca="false">AFE73-AWR73</f>
        <v>0</v>
      </c>
      <c r="AMF73" s="20" t="n">
        <f aca="false">AFF73-AWS73</f>
        <v>0</v>
      </c>
      <c r="AMG73" s="20" t="n">
        <f aca="false">AFG73-AWT73</f>
        <v>0</v>
      </c>
      <c r="AMH73" s="20" t="n">
        <f aca="false">AFH73-AWU73</f>
        <v>0</v>
      </c>
      <c r="AMI73" s="20" t="n">
        <f aca="false">AFI73-AWV73</f>
        <v>0</v>
      </c>
      <c r="AMJ73" s="20" t="n">
        <f aca="false">AFJ73-AWW73</f>
        <v>0</v>
      </c>
      <c r="AMK73" s="20" t="n">
        <f aca="false">AFK73-AWX73</f>
        <v>0</v>
      </c>
      <c r="AML73" s="20" t="n">
        <f aca="false">AFL73-AWY73</f>
        <v>0</v>
      </c>
      <c r="AMM73" s="20" t="n">
        <f aca="false">AFM73-AWZ73</f>
        <v>0</v>
      </c>
      <c r="AMN73" s="20" t="n">
        <f aca="false">AFN73-AXA73</f>
        <v>0</v>
      </c>
      <c r="AMO73" s="20" t="n">
        <f aca="false">AFO73-AXB73</f>
        <v>0</v>
      </c>
      <c r="AMP73" s="20" t="n">
        <f aca="false">AFP73-AXC73</f>
        <v>0</v>
      </c>
      <c r="AMQ73" s="20" t="n">
        <f aca="false">AFQ73-AXD73</f>
        <v>0</v>
      </c>
      <c r="AMR73" s="20" t="n">
        <f aca="false">AFR73-AXE73</f>
        <v>0</v>
      </c>
      <c r="AMS73" s="20" t="n">
        <f aca="false">AFS73-AXF73</f>
        <v>0</v>
      </c>
      <c r="AMT73" s="20" t="n">
        <f aca="false">AFT73-AXG73</f>
        <v>0</v>
      </c>
      <c r="AMU73" s="20" t="n">
        <f aca="false">AFU73-AXH73</f>
        <v>0</v>
      </c>
      <c r="AMV73" s="20" t="n">
        <f aca="false">AFV73-AXI73</f>
        <v>0</v>
      </c>
      <c r="AMW73" s="20" t="n">
        <f aca="false">AFW73-AXJ73</f>
        <v>0</v>
      </c>
      <c r="AMX73" s="20" t="n">
        <f aca="false">AFX73-AXK73</f>
        <v>0</v>
      </c>
      <c r="AMY73" s="20" t="n">
        <f aca="false">AFY73-AXL73</f>
        <v>0</v>
      </c>
      <c r="AMZ73" s="20" t="n">
        <f aca="false">AFZ73-AXM73</f>
        <v>0</v>
      </c>
      <c r="ANA73" s="20" t="n">
        <f aca="false">AGA73-AXN73</f>
        <v>0</v>
      </c>
      <c r="ANB73" s="20" t="n">
        <f aca="false">AGB73-AXO73</f>
        <v>0</v>
      </c>
      <c r="ANC73" s="20" t="n">
        <f aca="false">AGC73-AXP73</f>
        <v>0</v>
      </c>
      <c r="AND73" s="20" t="n">
        <f aca="false">AGD73-AXQ73</f>
        <v>0</v>
      </c>
      <c r="ANE73" s="20" t="n">
        <f aca="false">AGE73-AXR73</f>
        <v>0</v>
      </c>
      <c r="ANF73" s="20" t="n">
        <f aca="false">AGF73-AXS73</f>
        <v>0</v>
      </c>
      <c r="ANG73" s="20" t="n">
        <v>0</v>
      </c>
      <c r="ANH73" s="20" t="n">
        <v>0</v>
      </c>
      <c r="ANI73" s="20" t="n">
        <v>0</v>
      </c>
      <c r="ANJ73" s="20" t="n">
        <v>0</v>
      </c>
      <c r="ANK73" s="20" t="n">
        <v>0</v>
      </c>
      <c r="ANL73" s="20" t="n">
        <v>0</v>
      </c>
      <c r="ANM73" s="20" t="n">
        <v>0</v>
      </c>
      <c r="ANN73" s="20" t="n">
        <v>0</v>
      </c>
      <c r="ANO73" s="20" t="n">
        <v>0</v>
      </c>
      <c r="ANP73" s="20" t="n">
        <v>0</v>
      </c>
      <c r="ANQ73" s="20" t="n">
        <v>0</v>
      </c>
      <c r="ANR73" s="20" t="n">
        <v>0</v>
      </c>
      <c r="ANS73" s="20" t="n">
        <v>0</v>
      </c>
      <c r="ANT73" s="20" t="n">
        <v>0</v>
      </c>
      <c r="ANU73" s="20" t="n">
        <v>0</v>
      </c>
      <c r="ANV73" s="20" t="n">
        <v>0</v>
      </c>
      <c r="ANW73" s="20" t="n">
        <v>0</v>
      </c>
      <c r="ANX73" s="20" t="n">
        <v>0</v>
      </c>
      <c r="ANY73" s="20" t="n">
        <v>0</v>
      </c>
      <c r="ANZ73" s="20" t="n">
        <v>0</v>
      </c>
      <c r="AOA73" s="20" t="n">
        <v>0</v>
      </c>
      <c r="AOB73" s="20" t="n">
        <v>0</v>
      </c>
      <c r="AOC73" s="20" t="n">
        <v>0</v>
      </c>
      <c r="AOD73" s="20" t="n">
        <v>0</v>
      </c>
      <c r="AOE73" s="20" t="n">
        <f aca="false">IF(AND(H_Direct=0,H_TaxEvt=1,ARR72+1&gt;=H_Deemed),AKR73,AHE73)</f>
        <v>0</v>
      </c>
      <c r="AOF73" s="20" t="n">
        <f aca="false">IF(AND(H_Direct=0,H_TaxEvt=1,ARS72+1&gt;=H_Deemed),AKS73,AHF73)</f>
        <v>0</v>
      </c>
      <c r="AOG73" s="20" t="n">
        <f aca="false">IF(AND(H_Direct=0,H_TaxEvt=1,ART72+1&gt;=H_Deemed),AKT73,AHG73)</f>
        <v>0</v>
      </c>
      <c r="AOH73" s="20" t="n">
        <f aca="false">IF(AND(H_Direct=0,H_TaxEvt=1,ARU72+1&gt;=H_Deemed),AKU73,AHH73)</f>
        <v>0</v>
      </c>
      <c r="AOI73" s="20" t="n">
        <f aca="false">IF(AND(H_Direct=0,H_TaxEvt=1,ARV72+1&gt;=H_Deemed),AKV73,AHI73)</f>
        <v>0</v>
      </c>
      <c r="AOJ73" s="20" t="n">
        <f aca="false">IF(AND(H_Direct=0,H_TaxEvt=1,ARW72+1&gt;=H_Deemed),AKW73,AHJ73)</f>
        <v>0</v>
      </c>
      <c r="AOK73" s="20" t="n">
        <f aca="false">IF(AND(H_Direct=0,H_TaxEvt=1,ARX72+1&gt;=H_Deemed),AKX73,AHK73)</f>
        <v>0</v>
      </c>
      <c r="AOL73" s="20" t="n">
        <f aca="false">IF(AND(H_Direct=0,H_TaxEvt=1,ARY72+1&gt;=H_Deemed),AKY73,AHL73)</f>
        <v>0</v>
      </c>
      <c r="AOM73" s="20" t="n">
        <f aca="false">IF(AND(H_Direct=0,H_TaxEvt=1,ARZ72+1&gt;=H_Deemed),AKZ73,AHM73)</f>
        <v>0</v>
      </c>
      <c r="AON73" s="20" t="n">
        <f aca="false">IF(AND(H_Direct=0,H_TaxEvt=1,ASA72+1&gt;=H_Deemed),ALA73,AHN73)</f>
        <v>0</v>
      </c>
      <c r="AOO73" s="20" t="n">
        <f aca="false">IF(AND(H_Direct=0,H_TaxEvt=1,ASB72+1&gt;=H_Deemed),ALB73,AHO73)</f>
        <v>0</v>
      </c>
      <c r="AOP73" s="20" t="n">
        <f aca="false">IF(AND(H_Direct=0,H_TaxEvt=1,ASC72+1&gt;=H_Deemed),ALC73,AHP73)</f>
        <v>0</v>
      </c>
      <c r="AOQ73" s="20" t="n">
        <f aca="false">IF(AND(H_Direct=0,H_TaxEvt=1,ASD72+1&gt;=H_Deemed),ALD73,AHQ73)</f>
        <v>0</v>
      </c>
      <c r="AOR73" s="20" t="n">
        <f aca="false">IF(AND(H_Direct=0,H_TaxEvt=1,ASE72+1&gt;=H_Deemed),ALE73,AHR73)</f>
        <v>0</v>
      </c>
      <c r="AOS73" s="20" t="n">
        <f aca="false">IF(AND(H_Direct=0,H_TaxEvt=1,ASF72+1&gt;=H_Deemed),ALF73,AHS73)</f>
        <v>0</v>
      </c>
      <c r="AOT73" s="20" t="n">
        <f aca="false">IF(AND(H_Direct=0,H_TaxEvt=1,ASG72+1&gt;=H_Deemed),ALG73,AHT73)</f>
        <v>0</v>
      </c>
      <c r="AOU73" s="20" t="n">
        <f aca="false">IF(AND(H_Direct=0,H_TaxEvt=1,ASH72+1&gt;=H_Deemed),ALH73,AHU73)</f>
        <v>0</v>
      </c>
      <c r="AOV73" s="20" t="n">
        <f aca="false">IF(AND(H_Direct=0,H_TaxEvt=1,ASI72+1&gt;=H_Deemed),ALI73,AHV73)</f>
        <v>0</v>
      </c>
      <c r="AOW73" s="20" t="n">
        <f aca="false">IF(AND(H_Direct=0,H_TaxEvt=1,ASJ72+1&gt;=H_Deemed),ALJ73,AHW73)</f>
        <v>0</v>
      </c>
      <c r="AOX73" s="20" t="n">
        <f aca="false">IF(AND(H_Direct=0,H_TaxEvt=1,ASK72+1&gt;=H_Deemed),ALK73,AHX73)</f>
        <v>0</v>
      </c>
      <c r="AOY73" s="20" t="n">
        <f aca="false">IF(AND(H_Direct=0,H_TaxEvt=1,ASL72+1&gt;=H_Deemed),ALL73,AHY73)</f>
        <v>0</v>
      </c>
      <c r="AOZ73" s="20" t="n">
        <f aca="false">IF(AND(H_Direct=0,H_TaxEvt=1,ASM72+1&gt;=H_Deemed),ALM73,AHZ73)</f>
        <v>0</v>
      </c>
      <c r="APA73" s="20" t="n">
        <f aca="false">IF(AND(H_Direct=0,H_TaxEvt=1,ASN72+1&gt;=H_Deemed),ALN73,AIA73)</f>
        <v>0</v>
      </c>
      <c r="APB73" s="20" t="n">
        <f aca="false">IF(AND(H_Direct=0,H_TaxEvt=1,ASO72+1&gt;=H_Deemed),ALO73,AIB73)</f>
        <v>0</v>
      </c>
      <c r="APC73" s="20" t="n">
        <f aca="false">IF(AND(H_Direct=0,H_TaxEvt=1,ASP72+1&gt;=H_Deemed),ALP73,AIC73)</f>
        <v>0</v>
      </c>
      <c r="APD73" s="20" t="n">
        <f aca="false">IF(AND(H_Direct=0,H_TaxEvt=1,ASQ72+1&gt;=H_Deemed),ALQ73,AID73)</f>
        <v>0</v>
      </c>
      <c r="APE73" s="20" t="n">
        <f aca="false">IF(AND(H_Direct=0,H_TaxEvt=1,ASR72+1&gt;=H_Deemed),ALR73,AIE73)</f>
        <v>0</v>
      </c>
      <c r="APF73" s="20" t="n">
        <f aca="false">IF(AND(H_Direct=0,H_TaxEvt=1,ASS72+1&gt;=H_Deemed),ALS73,AIF73)</f>
        <v>0</v>
      </c>
      <c r="APG73" s="20" t="n">
        <f aca="false">IF(AND(H_Direct=0,H_TaxEvt=1,AST72+1&gt;=H_Deemed),ALT73,AIG73)</f>
        <v>0</v>
      </c>
      <c r="APH73" s="20" t="n">
        <f aca="false">IF(AND(H_Direct=0,H_TaxEvt=1,ASU72+1&gt;=H_Deemed),ALU73,AIH73)</f>
        <v>0</v>
      </c>
      <c r="API73" s="20" t="n">
        <f aca="false">IF(AND(H_Direct=0,H_TaxEvt=1,ASV72+1&gt;=H_Deemed),ALV73,AII73)</f>
        <v>0</v>
      </c>
      <c r="APJ73" s="20" t="n">
        <f aca="false">IF(AND(H_Direct=0,H_TaxEvt=1,ASW72+1&gt;=H_Deemed),ALW73,AIJ73)</f>
        <v>0</v>
      </c>
      <c r="APK73" s="20" t="n">
        <f aca="false">IF(AND(H_Direct=0,H_TaxEvt=1,ASX72+1&gt;=H_Deemed),ALX73,AIK73)</f>
        <v>0</v>
      </c>
      <c r="APL73" s="20" t="n">
        <f aca="false">IF(AND(H_Direct=0,H_TaxEvt=1,ASY72+1&gt;=H_Deemed),ALY73,AIL73)</f>
        <v>0</v>
      </c>
      <c r="APM73" s="20" t="n">
        <f aca="false">IF(AND(H_Direct=0,H_TaxEvt=1,ASZ72+1&gt;=H_Deemed),ALZ73,AIM73)</f>
        <v>0</v>
      </c>
      <c r="APN73" s="20" t="n">
        <f aca="false">IF(AND(H_Direct=0,H_TaxEvt=1,ATA72+1&gt;=H_Deemed),AMA73,AIN73)</f>
        <v>0</v>
      </c>
      <c r="APO73" s="20" t="n">
        <f aca="false">IF(AND(H_Direct=0,H_TaxEvt=1,ATB72+1&gt;=H_Deemed),AMB73,AIO73)</f>
        <v>0</v>
      </c>
      <c r="APP73" s="20" t="n">
        <f aca="false">IF(AND(H_Direct=0,H_TaxEvt=1,ATC72+1&gt;=H_Deemed),AMC73,AIP73)</f>
        <v>0</v>
      </c>
      <c r="APQ73" s="20" t="n">
        <f aca="false">IF(AND(H_Direct=0,H_TaxEvt=1,ATD72+1&gt;=H_Deemed),AMD73,AIQ73)</f>
        <v>0</v>
      </c>
      <c r="APR73" s="20" t="n">
        <f aca="false">IF(AND(H_Direct=0,H_TaxEvt=1,ATE72+1&gt;=H_Deemed),AME73,AIR73)</f>
        <v>0</v>
      </c>
      <c r="APS73" s="20" t="n">
        <f aca="false">IF(AND(H_Direct=0,H_TaxEvt=1,ATF72+1&gt;=H_Deemed),AMF73,AIS73)</f>
        <v>0</v>
      </c>
      <c r="APT73" s="20" t="n">
        <f aca="false">IF(AND(H_Direct=0,H_TaxEvt=1,ATG72+1&gt;=H_Deemed),AMG73,AIT73)</f>
        <v>0</v>
      </c>
      <c r="APU73" s="20" t="n">
        <f aca="false">IF(AND(H_Direct=0,H_TaxEvt=1,ATH72+1&gt;=H_Deemed),AMH73,AIU73)</f>
        <v>0</v>
      </c>
      <c r="APV73" s="20" t="n">
        <f aca="false">IF(AND(H_Direct=0,H_TaxEvt=1,ATI72+1&gt;=H_Deemed),AMI73,AIV73)</f>
        <v>0</v>
      </c>
      <c r="APW73" s="20" t="n">
        <f aca="false">IF(AND(H_Direct=0,H_TaxEvt=1,ATJ72+1&gt;=H_Deemed),AMJ73,AIW73)</f>
        <v>0</v>
      </c>
      <c r="APX73" s="20" t="n">
        <f aca="false">IF(AND(H_Direct=0,H_TaxEvt=1,ATK72+1&gt;=H_Deemed),AMK73,AIX73)</f>
        <v>0</v>
      </c>
      <c r="APY73" s="20" t="n">
        <f aca="false">IF(AND(H_Direct=0,H_TaxEvt=1,ATL72+1&gt;=H_Deemed),AML73,AIY73)</f>
        <v>0</v>
      </c>
      <c r="APZ73" s="20" t="n">
        <f aca="false">IF(AND(H_Direct=0,H_TaxEvt=1,ATM72+1&gt;=H_Deemed),AMM73,AIZ73)</f>
        <v>0</v>
      </c>
      <c r="AQA73" s="20" t="n">
        <f aca="false">IF(AND(H_Direct=0,H_TaxEvt=1,ATN72+1&gt;=H_Deemed),AMN73,AJA73)</f>
        <v>0</v>
      </c>
      <c r="AQB73" s="20" t="n">
        <f aca="false">IF(AND(H_Direct=0,H_TaxEvt=1,ATO72+1&gt;=H_Deemed),AMO73,AJB73)</f>
        <v>0</v>
      </c>
      <c r="AQC73" s="20" t="n">
        <f aca="false">IF(AND(H_Direct=0,H_TaxEvt=1,ATP72+1&gt;=H_Deemed),AMP73,AJC73)</f>
        <v>0</v>
      </c>
      <c r="AQD73" s="20" t="n">
        <f aca="false">IF(AND(H_Direct=0,H_TaxEvt=1,ATQ72+1&gt;=H_Deemed),AMQ73,AJD73)</f>
        <v>0</v>
      </c>
      <c r="AQE73" s="20" t="n">
        <f aca="false">IF(AND(H_Direct=0,H_TaxEvt=1,ATR72+1&gt;=H_Deemed),AMR73,AJE73)</f>
        <v>0</v>
      </c>
      <c r="AQF73" s="20" t="n">
        <f aca="false">IF(AND(H_Direct=0,H_TaxEvt=1,ATS72+1&gt;=H_Deemed),AMS73,AJF73)</f>
        <v>0</v>
      </c>
      <c r="AQG73" s="20" t="n">
        <f aca="false">IF(AND(H_Direct=0,H_TaxEvt=1,ATT72+1&gt;=H_Deemed),AMT73,AJG73)</f>
        <v>0</v>
      </c>
      <c r="AQH73" s="20" t="n">
        <f aca="false">IF(AND(H_Direct=0,H_TaxEvt=1,ATU72+1&gt;=H_Deemed),AMU73,AJH73)</f>
        <v>0</v>
      </c>
      <c r="AQI73" s="20" t="n">
        <f aca="false">IF(AND(H_Direct=0,H_TaxEvt=1,ATV72+1&gt;=H_Deemed),AMV73,AJI73)</f>
        <v>0</v>
      </c>
      <c r="AQJ73" s="20" t="n">
        <f aca="false">IF(AND(H_Direct=0,H_TaxEvt=1,ATW72+1&gt;=H_Deemed),AMW73,AJJ73)</f>
        <v>0</v>
      </c>
      <c r="AQK73" s="20" t="n">
        <f aca="false">IF(AND(H_Direct=0,H_TaxEvt=1,ATX72+1&gt;=H_Deemed),AMX73,AJK73)</f>
        <v>0</v>
      </c>
      <c r="AQL73" s="20" t="n">
        <f aca="false">IF(AND(H_Direct=0,H_TaxEvt=1,ATY72+1&gt;=H_Deemed),AMY73,AJL73)</f>
        <v>0</v>
      </c>
      <c r="AQM73" s="20" t="n">
        <f aca="false">IF(AND(H_Direct=0,H_TaxEvt=1,ATZ72+1&gt;=H_Deemed),AMZ73,AJM73)</f>
        <v>0</v>
      </c>
      <c r="AQN73" s="20" t="n">
        <f aca="false">IF(AND(H_Direct=0,H_TaxEvt=1,AUA72+1&gt;=H_Deemed),ANA73,AJN73)</f>
        <v>0</v>
      </c>
      <c r="AQO73" s="20" t="n">
        <f aca="false">IF(AND(H_Direct=0,H_TaxEvt=1,AUB72+1&gt;=H_Deemed),ANB73,AJO73)</f>
        <v>0</v>
      </c>
      <c r="AQP73" s="20" t="n">
        <f aca="false">IF(AND(H_Direct=0,H_TaxEvt=1,AUC72+1&gt;=H_Deemed),ANC73,AJP73)</f>
        <v>0</v>
      </c>
      <c r="AQQ73" s="20" t="n">
        <f aca="false">IF(AND(H_Direct=0,H_TaxEvt=1,AUD72+1&gt;=H_Deemed),AND73,AJQ73)</f>
        <v>0</v>
      </c>
      <c r="AQR73" s="20" t="n">
        <f aca="false">IF(AND(H_Direct=0,H_TaxEvt=1,AUE72+1&gt;=H_Deemed),ANE73,AJR73)</f>
        <v>0</v>
      </c>
      <c r="AQS73" s="20" t="n">
        <f aca="false">IF(AND(H_Direct=0,H_TaxEvt=1,0+1&gt;=H_Deemed),ANF73,AJS73)</f>
        <v>0</v>
      </c>
      <c r="AQT73" s="20" t="n">
        <v>0</v>
      </c>
      <c r="AQU73" s="20" t="n">
        <v>0</v>
      </c>
      <c r="AQV73" s="20" t="n">
        <v>0</v>
      </c>
      <c r="AQW73" s="20" t="n">
        <v>0</v>
      </c>
      <c r="AQX73" s="20" t="n">
        <v>0</v>
      </c>
      <c r="AQY73" s="20" t="n">
        <v>0</v>
      </c>
      <c r="AQZ73" s="20" t="n">
        <v>0</v>
      </c>
      <c r="ARA73" s="20" t="n">
        <v>0</v>
      </c>
      <c r="ARB73" s="20" t="n">
        <v>0</v>
      </c>
      <c r="ARC73" s="20" t="n">
        <v>0</v>
      </c>
      <c r="ARD73" s="20" t="n">
        <v>0</v>
      </c>
      <c r="ARE73" s="20" t="n">
        <v>0</v>
      </c>
      <c r="ARF73" s="20" t="n">
        <v>0</v>
      </c>
      <c r="ARG73" s="20" t="n">
        <v>0</v>
      </c>
      <c r="ARH73" s="20" t="n">
        <v>0</v>
      </c>
      <c r="ARI73" s="20" t="n">
        <v>0</v>
      </c>
      <c r="ARJ73" s="20" t="n">
        <v>0</v>
      </c>
      <c r="ARK73" s="20" t="n">
        <v>0</v>
      </c>
      <c r="ARL73" s="20" t="n">
        <v>0</v>
      </c>
      <c r="ARM73" s="20" t="n">
        <v>0</v>
      </c>
      <c r="ARN73" s="20" t="n">
        <v>0</v>
      </c>
      <c r="ARO73" s="20" t="n">
        <v>0</v>
      </c>
      <c r="ARP73" s="20" t="n">
        <v>0</v>
      </c>
      <c r="ARQ73" s="20" t="n">
        <v>0</v>
      </c>
      <c r="ARR73" s="20" t="n">
        <f aca="false">IF(AND(H_Direct=0,H_TaxEvt=1),IF(ARR72+1&gt;=H_Deemed,0,ARR72+1),ARR72)</f>
        <v>2</v>
      </c>
      <c r="ARS73" s="20" t="n">
        <f aca="false">IF(AND(H_Direct=0,H_TaxEvt=1),IF(ARS72+1&gt;=H_Deemed,0,ARS72+1),ARS72)</f>
        <v>2</v>
      </c>
      <c r="ART73" s="20" t="n">
        <f aca="false">IF(AND(H_Direct=0,H_TaxEvt=1),IF(ART72+1&gt;=H_Deemed,0,ART72+1),ART72)</f>
        <v>1</v>
      </c>
      <c r="ARU73" s="20" t="n">
        <f aca="false">IF(AND(H_Direct=0,H_TaxEvt=1),IF(ARU72+1&gt;=H_Deemed,0,ARU72+1),ARU72)</f>
        <v>0</v>
      </c>
      <c r="ARV73" s="20" t="n">
        <f aca="false">IF(AND(H_Direct=0,H_TaxEvt=1),IF(ARV72+1&gt;=H_Deemed,0,ARV72+1),ARV72)</f>
        <v>7</v>
      </c>
      <c r="ARW73" s="20" t="n">
        <f aca="false">IF(AND(H_Direct=0,H_TaxEvt=1),IF(ARW72+1&gt;=H_Deemed,0,ARW72+1),ARW72)</f>
        <v>6</v>
      </c>
      <c r="ARX73" s="20" t="n">
        <f aca="false">IF(AND(H_Direct=0,H_TaxEvt=1),IF(ARX72+1&gt;=H_Deemed,0,ARX72+1),ARX72)</f>
        <v>5</v>
      </c>
      <c r="ARY73" s="20" t="n">
        <f aca="false">IF(AND(H_Direct=0,H_TaxEvt=1),IF(ARY72+1&gt;=H_Deemed,0,ARY72+1),ARY72)</f>
        <v>4</v>
      </c>
      <c r="ARZ73" s="20" t="n">
        <f aca="false">IF(AND(H_Direct=0,H_TaxEvt=1),IF(ARZ72+1&gt;=H_Deemed,0,ARZ72+1),ARZ72)</f>
        <v>3</v>
      </c>
      <c r="ASA73" s="20" t="n">
        <f aca="false">IF(AND(H_Direct=0,H_TaxEvt=1),IF(ASA72+1&gt;=H_Deemed,0,ASA72+1),ASA72)</f>
        <v>2</v>
      </c>
      <c r="ASB73" s="20" t="n">
        <f aca="false">IF(AND(H_Direct=0,H_TaxEvt=1),IF(ASB72+1&gt;=H_Deemed,0,ASB72+1),ASB72)</f>
        <v>1</v>
      </c>
      <c r="ASC73" s="20" t="n">
        <f aca="false">IF(AND(H_Direct=0,H_TaxEvt=1),IF(ASC72+1&gt;=H_Deemed,0,ASC72+1),ASC72)</f>
        <v>0</v>
      </c>
      <c r="ASD73" s="20" t="n">
        <f aca="false">IF(AND(H_Direct=0,H_TaxEvt=1),IF(ASD72+1&gt;=H_Deemed,0,ASD72+1),ASD72)</f>
        <v>7</v>
      </c>
      <c r="ASE73" s="20" t="n">
        <f aca="false">IF(AND(H_Direct=0,H_TaxEvt=1),IF(ASE72+1&gt;=H_Deemed,0,ASE72+1),ASE72)</f>
        <v>6</v>
      </c>
      <c r="ASF73" s="20" t="n">
        <f aca="false">IF(AND(H_Direct=0,H_TaxEvt=1),IF(ASF72+1&gt;=H_Deemed,0,ASF72+1),ASF72)</f>
        <v>5</v>
      </c>
      <c r="ASG73" s="20" t="n">
        <f aca="false">IF(AND(H_Direct=0,H_TaxEvt=1),IF(ASG72+1&gt;=H_Deemed,0,ASG72+1),ASG72)</f>
        <v>4</v>
      </c>
      <c r="ASH73" s="20" t="n">
        <f aca="false">IF(AND(H_Direct=0,H_TaxEvt=1),IF(ASH72+1&gt;=H_Deemed,0,ASH72+1),ASH72)</f>
        <v>3</v>
      </c>
      <c r="ASI73" s="20" t="n">
        <f aca="false">IF(AND(H_Direct=0,H_TaxEvt=1),IF(ASI72+1&gt;=H_Deemed,0,ASI72+1),ASI72)</f>
        <v>2</v>
      </c>
      <c r="ASJ73" s="20" t="n">
        <f aca="false">IF(AND(H_Direct=0,H_TaxEvt=1),IF(ASJ72+1&gt;=H_Deemed,0,ASJ72+1),ASJ72)</f>
        <v>1</v>
      </c>
      <c r="ASK73" s="20" t="n">
        <f aca="false">IF(AND(H_Direct=0,H_TaxEvt=1),IF(ASK72+1&gt;=H_Deemed,0,ASK72+1),ASK72)</f>
        <v>0</v>
      </c>
      <c r="ASL73" s="20" t="n">
        <f aca="false">IF(AND(H_Direct=0,H_TaxEvt=1),IF(ASL72+1&gt;=H_Deemed,0,ASL72+1),ASL72)</f>
        <v>7</v>
      </c>
      <c r="ASM73" s="20" t="n">
        <f aca="false">IF(AND(H_Direct=0,H_TaxEvt=1),IF(ASM72+1&gt;=H_Deemed,0,ASM72+1),ASM72)</f>
        <v>6</v>
      </c>
      <c r="ASN73" s="20" t="n">
        <f aca="false">IF(AND(H_Direct=0,H_TaxEvt=1),IF(ASN72+1&gt;=H_Deemed,0,ASN72+1),ASN72)</f>
        <v>5</v>
      </c>
      <c r="ASO73" s="20" t="n">
        <f aca="false">IF(AND(H_Direct=0,H_TaxEvt=1),IF(ASO72+1&gt;=H_Deemed,0,ASO72+1),ASO72)</f>
        <v>4</v>
      </c>
      <c r="ASP73" s="20" t="n">
        <f aca="false">IF(AND(H_Direct=0,H_TaxEvt=1),IF(ASP72+1&gt;=H_Deemed,0,ASP72+1),ASP72)</f>
        <v>3</v>
      </c>
      <c r="ASQ73" s="20" t="n">
        <f aca="false">IF(AND(H_Direct=0,H_TaxEvt=1),IF(ASQ72+1&gt;=H_Deemed,0,ASQ72+1),ASQ72)</f>
        <v>2</v>
      </c>
      <c r="ASR73" s="20" t="n">
        <f aca="false">IF(AND(H_Direct=0,H_TaxEvt=1),IF(ASR72+1&gt;=H_Deemed,0,ASR72+1),ASR72)</f>
        <v>1</v>
      </c>
      <c r="ASS73" s="20" t="n">
        <f aca="false">IF(AND(H_Direct=0,H_TaxEvt=1),IF(ASS72+1&gt;=H_Deemed,0,ASS72+1),ASS72)</f>
        <v>0</v>
      </c>
      <c r="AST73" s="20" t="n">
        <f aca="false">IF(AND(H_Direct=0,H_TaxEvt=1),IF(AST72+1&gt;=H_Deemed,0,AST72+1),AST72)</f>
        <v>7</v>
      </c>
      <c r="ASU73" s="20" t="n">
        <f aca="false">IF(AND(H_Direct=0,H_TaxEvt=1),IF(ASU72+1&gt;=H_Deemed,0,ASU72+1),ASU72)</f>
        <v>6</v>
      </c>
      <c r="ASV73" s="20" t="n">
        <f aca="false">IF(AND(H_Direct=0,H_TaxEvt=1),IF(ASV72+1&gt;=H_Deemed,0,ASV72+1),ASV72)</f>
        <v>5</v>
      </c>
      <c r="ASW73" s="20" t="n">
        <f aca="false">IF(AND(H_Direct=0,H_TaxEvt=1),IF(ASW72+1&gt;=H_Deemed,0,ASW72+1),ASW72)</f>
        <v>4</v>
      </c>
      <c r="ASX73" s="20" t="n">
        <f aca="false">IF(AND(H_Direct=0,H_TaxEvt=1),IF(ASX72+1&gt;=H_Deemed,0,ASX72+1),ASX72)</f>
        <v>3</v>
      </c>
      <c r="ASY73" s="20" t="n">
        <f aca="false">IF(AND(H_Direct=0,H_TaxEvt=1),IF(ASY72+1&gt;=H_Deemed,0,ASY72+1),ASY72)</f>
        <v>2</v>
      </c>
      <c r="ASZ73" s="20" t="n">
        <f aca="false">IF(AND(H_Direct=0,H_TaxEvt=1),IF(ASZ72+1&gt;=H_Deemed,0,ASZ72+1),ASZ72)</f>
        <v>1</v>
      </c>
      <c r="ATA73" s="20" t="n">
        <f aca="false">IF(AND(H_Direct=0,H_TaxEvt=1),IF(ATA72+1&gt;=H_Deemed,0,ATA72+1),ATA72)</f>
        <v>0</v>
      </c>
      <c r="ATB73" s="20" t="n">
        <f aca="false">IF(AND(H_Direct=0,H_TaxEvt=1),IF(ATB72+1&gt;=H_Deemed,0,ATB72+1),ATB72)</f>
        <v>7</v>
      </c>
      <c r="ATC73" s="20" t="n">
        <f aca="false">IF(AND(H_Direct=0,H_TaxEvt=1),IF(ATC72+1&gt;=H_Deemed,0,ATC72+1),ATC72)</f>
        <v>6</v>
      </c>
      <c r="ATD73" s="20" t="n">
        <f aca="false">IF(AND(H_Direct=0,H_TaxEvt=1),IF(ATD72+1&gt;=H_Deemed,0,ATD72+1),ATD72)</f>
        <v>5</v>
      </c>
      <c r="ATE73" s="20" t="n">
        <f aca="false">IF(AND(H_Direct=0,H_TaxEvt=1),IF(ATE72+1&gt;=H_Deemed,0,ATE72+1),ATE72)</f>
        <v>4</v>
      </c>
      <c r="ATF73" s="20" t="n">
        <f aca="false">IF(AND(H_Direct=0,H_TaxEvt=1),IF(ATF72+1&gt;=H_Deemed,0,ATF72+1),ATF72)</f>
        <v>3</v>
      </c>
      <c r="ATG73" s="20" t="n">
        <f aca="false">IF(AND(H_Direct=0,H_TaxEvt=1),IF(ATG72+1&gt;=H_Deemed,0,ATG72+1),ATG72)</f>
        <v>2</v>
      </c>
      <c r="ATH73" s="20" t="n">
        <f aca="false">IF(AND(H_Direct=0,H_TaxEvt=1),IF(ATH72+1&gt;=H_Deemed,0,ATH72+1),ATH72)</f>
        <v>1</v>
      </c>
      <c r="ATI73" s="20" t="n">
        <f aca="false">IF(AND(H_Direct=0,H_TaxEvt=1),IF(ATI72+1&gt;=H_Deemed,0,ATI72+1),ATI72)</f>
        <v>0</v>
      </c>
      <c r="ATJ73" s="20" t="n">
        <f aca="false">IF(AND(H_Direct=0,H_TaxEvt=1),IF(ATJ72+1&gt;=H_Deemed,0,ATJ72+1),ATJ72)</f>
        <v>7</v>
      </c>
      <c r="ATK73" s="20" t="n">
        <f aca="false">IF(AND(H_Direct=0,H_TaxEvt=1),IF(ATK72+1&gt;=H_Deemed,0,ATK72+1),ATK72)</f>
        <v>6</v>
      </c>
      <c r="ATL73" s="20" t="n">
        <f aca="false">IF(AND(H_Direct=0,H_TaxEvt=1),IF(ATL72+1&gt;=H_Deemed,0,ATL72+1),ATL72)</f>
        <v>5</v>
      </c>
      <c r="ATM73" s="20" t="n">
        <f aca="false">IF(AND(H_Direct=0,H_TaxEvt=1),IF(ATM72+1&gt;=H_Deemed,0,ATM72+1),ATM72)</f>
        <v>4</v>
      </c>
      <c r="ATN73" s="20" t="n">
        <f aca="false">IF(AND(H_Direct=0,H_TaxEvt=1),IF(ATN72+1&gt;=H_Deemed,0,ATN72+1),ATN72)</f>
        <v>3</v>
      </c>
      <c r="ATO73" s="20" t="n">
        <f aca="false">IF(AND(H_Direct=0,H_TaxEvt=1),IF(ATO72+1&gt;=H_Deemed,0,ATO72+1),ATO72)</f>
        <v>2</v>
      </c>
      <c r="ATP73" s="20" t="n">
        <f aca="false">IF(AND(H_Direct=0,H_TaxEvt=1),IF(ATP72+1&gt;=H_Deemed,0,ATP72+1),ATP72)</f>
        <v>1</v>
      </c>
      <c r="ATQ73" s="20" t="n">
        <f aca="false">IF(AND(H_Direct=0,H_TaxEvt=1),IF(ATQ72+1&gt;=H_Deemed,0,ATQ72+1),ATQ72)</f>
        <v>0</v>
      </c>
      <c r="ATR73" s="20" t="n">
        <f aca="false">IF(AND(H_Direct=0,H_TaxEvt=1),IF(ATR72+1&gt;=H_Deemed,0,ATR72+1),ATR72)</f>
        <v>7</v>
      </c>
      <c r="ATS73" s="20" t="n">
        <f aca="false">IF(AND(H_Direct=0,H_TaxEvt=1),IF(ATS72+1&gt;=H_Deemed,0,ATS72+1),ATS72)</f>
        <v>6</v>
      </c>
      <c r="ATT73" s="20" t="n">
        <f aca="false">IF(AND(H_Direct=0,H_TaxEvt=1),IF(ATT72+1&gt;=H_Deemed,0,ATT72+1),ATT72)</f>
        <v>5</v>
      </c>
      <c r="ATU73" s="20" t="n">
        <f aca="false">IF(AND(H_Direct=0,H_TaxEvt=1),IF(ATU72+1&gt;=H_Deemed,0,ATU72+1),ATU72)</f>
        <v>4</v>
      </c>
      <c r="ATV73" s="20" t="n">
        <f aca="false">IF(AND(H_Direct=0,H_TaxEvt=1),IF(ATV72+1&gt;=H_Deemed,0,ATV72+1),ATV72)</f>
        <v>3</v>
      </c>
      <c r="ATW73" s="20" t="n">
        <f aca="false">IF(AND(H_Direct=0,H_TaxEvt=1),IF(ATW72+1&gt;=H_Deemed,0,ATW72+1),ATW72)</f>
        <v>2</v>
      </c>
      <c r="ATX73" s="20" t="n">
        <f aca="false">IF(AND(H_Direct=0,H_TaxEvt=1),IF(ATX72+1&gt;=H_Deemed,0,ATX72+1),ATX72)</f>
        <v>1</v>
      </c>
      <c r="ATY73" s="20" t="n">
        <f aca="false">IF(AND(H_Direct=0,H_TaxEvt=1),IF(ATY72+1&gt;=H_Deemed,0,ATY72+1),ATY72)</f>
        <v>0</v>
      </c>
      <c r="ATZ73" s="20" t="n">
        <f aca="false">IF(AND(H_Direct=0,H_TaxEvt=1),IF(ATZ72+1&gt;=H_Deemed,0,ATZ72+1),ATZ72)</f>
        <v>7</v>
      </c>
      <c r="AUA73" s="20" t="n">
        <f aca="false">IF(AND(H_Direct=0,H_TaxEvt=1),IF(AUA72+1&gt;=H_Deemed,0,AUA72+1),AUA72)</f>
        <v>6</v>
      </c>
      <c r="AUB73" s="20" t="n">
        <f aca="false">IF(AND(H_Direct=0,H_TaxEvt=1),IF(AUB72+1&gt;=H_Deemed,0,AUB72+1),AUB72)</f>
        <v>5</v>
      </c>
      <c r="AUC73" s="20" t="n">
        <f aca="false">IF(AND(H_Direct=0,H_TaxEvt=1),IF(AUC72+1&gt;=H_Deemed,0,AUC72+1),AUC72)</f>
        <v>4</v>
      </c>
      <c r="AUD73" s="20" t="n">
        <f aca="false">IF(AND(H_Direct=0,H_TaxEvt=1),IF(AUD72+1&gt;=H_Deemed,0,AUD72+1),AUD72)</f>
        <v>3</v>
      </c>
      <c r="AUE73" s="20" t="n">
        <f aca="false">IF(AND(H_Direct=0,H_TaxEvt=1),IF(AUE72+1&gt;=H_Deemed,0,AUE72+1),AUE72)</f>
        <v>2</v>
      </c>
      <c r="AUF73" s="20" t="n">
        <f aca="false">IF(AND(H_Direct=0,H_TaxEvt=1),IF(0+1&gt;=H_Deemed,0,0+1),0)</f>
        <v>1</v>
      </c>
      <c r="AUG73" s="20" t="n">
        <v>0</v>
      </c>
      <c r="AUH73" s="20" t="n">
        <v>0</v>
      </c>
      <c r="AUI73" s="20" t="n">
        <v>0</v>
      </c>
      <c r="AUJ73" s="20" t="n">
        <v>0</v>
      </c>
      <c r="AUK73" s="20" t="n">
        <v>0</v>
      </c>
      <c r="AUL73" s="20" t="n">
        <v>0</v>
      </c>
      <c r="AUM73" s="20" t="n">
        <v>0</v>
      </c>
      <c r="AUN73" s="20" t="n">
        <v>0</v>
      </c>
      <c r="AUO73" s="20" t="n">
        <v>0</v>
      </c>
      <c r="AUP73" s="20" t="n">
        <v>0</v>
      </c>
      <c r="AUQ73" s="20" t="n">
        <v>0</v>
      </c>
      <c r="AUR73" s="20" t="n">
        <v>0</v>
      </c>
      <c r="AUS73" s="20" t="n">
        <v>0</v>
      </c>
      <c r="AUT73" s="20" t="n">
        <v>0</v>
      </c>
      <c r="AUU73" s="20" t="n">
        <v>0</v>
      </c>
      <c r="AUV73" s="20" t="n">
        <v>0</v>
      </c>
      <c r="AUW73" s="20" t="n">
        <v>0</v>
      </c>
      <c r="AUX73" s="20" t="n">
        <v>0</v>
      </c>
      <c r="AUY73" s="20" t="n">
        <v>0</v>
      </c>
      <c r="AUZ73" s="20" t="n">
        <v>0</v>
      </c>
      <c r="AVA73" s="20" t="n">
        <v>0</v>
      </c>
      <c r="AVB73" s="20" t="n">
        <v>0</v>
      </c>
      <c r="AVC73" s="20" t="n">
        <v>0</v>
      </c>
      <c r="AVD73" s="20" t="n">
        <v>0</v>
      </c>
      <c r="AVE73" s="20" t="n">
        <f aca="false">IF(AND(H_Direct=0,H_TaxEvt=1,ARR72+1&gt;=H_Deemed),MAX(0,ADR73-AHE73)*H_Exit,0)</f>
        <v>0</v>
      </c>
      <c r="AVF73" s="20" t="n">
        <f aca="false">IF(AND(H_Direct=0,H_TaxEvt=1,ARS72+1&gt;=H_Deemed),MAX(0,ADS73-AHF73)*H_Exit,0)</f>
        <v>0</v>
      </c>
      <c r="AVG73" s="20" t="n">
        <f aca="false">IF(AND(H_Direct=0,H_TaxEvt=1,ART72+1&gt;=H_Deemed),MAX(0,ADT73-AHG73)*H_Exit,0)</f>
        <v>0</v>
      </c>
      <c r="AVH73" s="20" t="n">
        <f aca="false">IF(AND(H_Direct=0,H_TaxEvt=1,ARU72+1&gt;=H_Deemed),MAX(0,ADU73-AHH73)*H_Exit,0)</f>
        <v>0</v>
      </c>
      <c r="AVI73" s="20" t="n">
        <f aca="false">IF(AND(H_Direct=0,H_TaxEvt=1,ARV72+1&gt;=H_Deemed),MAX(0,ADV73-AHI73)*H_Exit,0)</f>
        <v>0</v>
      </c>
      <c r="AVJ73" s="20" t="n">
        <f aca="false">IF(AND(H_Direct=0,H_TaxEvt=1,ARW72+1&gt;=H_Deemed),MAX(0,ADW73-AHJ73)*H_Exit,0)</f>
        <v>0</v>
      </c>
      <c r="AVK73" s="20" t="n">
        <f aca="false">IF(AND(H_Direct=0,H_TaxEvt=1,ARX72+1&gt;=H_Deemed),MAX(0,ADX73-AHK73)*H_Exit,0)</f>
        <v>0</v>
      </c>
      <c r="AVL73" s="20" t="n">
        <f aca="false">IF(AND(H_Direct=0,H_TaxEvt=1,ARY72+1&gt;=H_Deemed),MAX(0,ADY73-AHL73)*H_Exit,0)</f>
        <v>0</v>
      </c>
      <c r="AVM73" s="20" t="n">
        <f aca="false">IF(AND(H_Direct=0,H_TaxEvt=1,ARZ72+1&gt;=H_Deemed),MAX(0,ADZ73-AHM73)*H_Exit,0)</f>
        <v>0</v>
      </c>
      <c r="AVN73" s="20" t="n">
        <f aca="false">IF(AND(H_Direct=0,H_TaxEvt=1,ASA72+1&gt;=H_Deemed),MAX(0,AEA73-AHN73)*H_Exit,0)</f>
        <v>0</v>
      </c>
      <c r="AVO73" s="20" t="n">
        <f aca="false">IF(AND(H_Direct=0,H_TaxEvt=1,ASB72+1&gt;=H_Deemed),MAX(0,AEB73-AHO73)*H_Exit,0)</f>
        <v>0</v>
      </c>
      <c r="AVP73" s="20" t="n">
        <f aca="false">IF(AND(H_Direct=0,H_TaxEvt=1,ASC72+1&gt;=H_Deemed),MAX(0,AEC73-AHP73)*H_Exit,0)</f>
        <v>0</v>
      </c>
      <c r="AVQ73" s="20" t="n">
        <f aca="false">IF(AND(H_Direct=0,H_TaxEvt=1,ASD72+1&gt;=H_Deemed),MAX(0,AED73-AHQ73)*H_Exit,0)</f>
        <v>0</v>
      </c>
      <c r="AVR73" s="20" t="n">
        <f aca="false">IF(AND(H_Direct=0,H_TaxEvt=1,ASE72+1&gt;=H_Deemed),MAX(0,AEE73-AHR73)*H_Exit,0)</f>
        <v>0</v>
      </c>
      <c r="AVS73" s="20" t="n">
        <f aca="false">IF(AND(H_Direct=0,H_TaxEvt=1,ASF72+1&gt;=H_Deemed),MAX(0,AEF73-AHS73)*H_Exit,0)</f>
        <v>0</v>
      </c>
      <c r="AVT73" s="20" t="n">
        <f aca="false">IF(AND(H_Direct=0,H_TaxEvt=1,ASG72+1&gt;=H_Deemed),MAX(0,AEG73-AHT73)*H_Exit,0)</f>
        <v>0</v>
      </c>
      <c r="AVU73" s="20" t="n">
        <f aca="false">IF(AND(H_Direct=0,H_TaxEvt=1,ASH72+1&gt;=H_Deemed),MAX(0,AEH73-AHU73)*H_Exit,0)</f>
        <v>0</v>
      </c>
      <c r="AVV73" s="20" t="n">
        <f aca="false">IF(AND(H_Direct=0,H_TaxEvt=1,ASI72+1&gt;=H_Deemed),MAX(0,AEI73-AHV73)*H_Exit,0)</f>
        <v>0</v>
      </c>
      <c r="AVW73" s="20" t="n">
        <f aca="false">IF(AND(H_Direct=0,H_TaxEvt=1,ASJ72+1&gt;=H_Deemed),MAX(0,AEJ73-AHW73)*H_Exit,0)</f>
        <v>0</v>
      </c>
      <c r="AVX73" s="20" t="n">
        <f aca="false">IF(AND(H_Direct=0,H_TaxEvt=1,ASK72+1&gt;=H_Deemed),MAX(0,AEK73-AHX73)*H_Exit,0)</f>
        <v>0</v>
      </c>
      <c r="AVY73" s="20" t="n">
        <f aca="false">IF(AND(H_Direct=0,H_TaxEvt=1,ASL72+1&gt;=H_Deemed),MAX(0,AEL73-AHY73)*H_Exit,0)</f>
        <v>0</v>
      </c>
      <c r="AVZ73" s="20" t="n">
        <f aca="false">IF(AND(H_Direct=0,H_TaxEvt=1,ASM72+1&gt;=H_Deemed),MAX(0,AEM73-AHZ73)*H_Exit,0)</f>
        <v>0</v>
      </c>
      <c r="AWA73" s="20" t="n">
        <f aca="false">IF(AND(H_Direct=0,H_TaxEvt=1,ASN72+1&gt;=H_Deemed),MAX(0,AEN73-AIA73)*H_Exit,0)</f>
        <v>0</v>
      </c>
      <c r="AWB73" s="20" t="n">
        <f aca="false">IF(AND(H_Direct=0,H_TaxEvt=1,ASO72+1&gt;=H_Deemed),MAX(0,AEO73-AIB73)*H_Exit,0)</f>
        <v>0</v>
      </c>
      <c r="AWC73" s="20" t="n">
        <f aca="false">IF(AND(H_Direct=0,H_TaxEvt=1,ASP72+1&gt;=H_Deemed),MAX(0,AEP73-AIC73)*H_Exit,0)</f>
        <v>0</v>
      </c>
      <c r="AWD73" s="20" t="n">
        <f aca="false">IF(AND(H_Direct=0,H_TaxEvt=1,ASQ72+1&gt;=H_Deemed),MAX(0,AEQ73-AID73)*H_Exit,0)</f>
        <v>0</v>
      </c>
      <c r="AWE73" s="20" t="n">
        <f aca="false">IF(AND(H_Direct=0,H_TaxEvt=1,ASR72+1&gt;=H_Deemed),MAX(0,AER73-AIE73)*H_Exit,0)</f>
        <v>0</v>
      </c>
      <c r="AWF73" s="20" t="n">
        <f aca="false">IF(AND(H_Direct=0,H_TaxEvt=1,ASS72+1&gt;=H_Deemed),MAX(0,AES73-AIF73)*H_Exit,0)</f>
        <v>0</v>
      </c>
      <c r="AWG73" s="20" t="n">
        <f aca="false">IF(AND(H_Direct=0,H_TaxEvt=1,AST72+1&gt;=H_Deemed),MAX(0,AET73-AIG73)*H_Exit,0)</f>
        <v>0</v>
      </c>
      <c r="AWH73" s="20" t="n">
        <f aca="false">IF(AND(H_Direct=0,H_TaxEvt=1,ASU72+1&gt;=H_Deemed),MAX(0,AEU73-AIH73)*H_Exit,0)</f>
        <v>0</v>
      </c>
      <c r="AWI73" s="20" t="n">
        <f aca="false">IF(AND(H_Direct=0,H_TaxEvt=1,ASV72+1&gt;=H_Deemed),MAX(0,AEV73-AII73)*H_Exit,0)</f>
        <v>0</v>
      </c>
      <c r="AWJ73" s="20" t="n">
        <f aca="false">IF(AND(H_Direct=0,H_TaxEvt=1,ASW72+1&gt;=H_Deemed),MAX(0,AEW73-AIJ73)*H_Exit,0)</f>
        <v>0</v>
      </c>
      <c r="AWK73" s="20" t="n">
        <f aca="false">IF(AND(H_Direct=0,H_TaxEvt=1,ASX72+1&gt;=H_Deemed),MAX(0,AEX73-AIK73)*H_Exit,0)</f>
        <v>0</v>
      </c>
      <c r="AWL73" s="20" t="n">
        <f aca="false">IF(AND(H_Direct=0,H_TaxEvt=1,ASY72+1&gt;=H_Deemed),MAX(0,AEY73-AIL73)*H_Exit,0)</f>
        <v>0</v>
      </c>
      <c r="AWM73" s="20" t="n">
        <f aca="false">IF(AND(H_Direct=0,H_TaxEvt=1,ASZ72+1&gt;=H_Deemed),MAX(0,AEZ73-AIM73)*H_Exit,0)</f>
        <v>0</v>
      </c>
      <c r="AWN73" s="20" t="n">
        <f aca="false">IF(AND(H_Direct=0,H_TaxEvt=1,ATA72+1&gt;=H_Deemed),MAX(0,AFA73-AIN73)*H_Exit,0)</f>
        <v>0</v>
      </c>
      <c r="AWO73" s="20" t="n">
        <f aca="false">IF(AND(H_Direct=0,H_TaxEvt=1,ATB72+1&gt;=H_Deemed),MAX(0,AFB73-AIO73)*H_Exit,0)</f>
        <v>0</v>
      </c>
      <c r="AWP73" s="20" t="n">
        <f aca="false">IF(AND(H_Direct=0,H_TaxEvt=1,ATC72+1&gt;=H_Deemed),MAX(0,AFC73-AIP73)*H_Exit,0)</f>
        <v>0</v>
      </c>
      <c r="AWQ73" s="20" t="n">
        <f aca="false">IF(AND(H_Direct=0,H_TaxEvt=1,ATD72+1&gt;=H_Deemed),MAX(0,AFD73-AIQ73)*H_Exit,0)</f>
        <v>0</v>
      </c>
      <c r="AWR73" s="20" t="n">
        <f aca="false">IF(AND(H_Direct=0,H_TaxEvt=1,ATE72+1&gt;=H_Deemed),MAX(0,AFE73-AIR73)*H_Exit,0)</f>
        <v>0</v>
      </c>
      <c r="AWS73" s="20" t="n">
        <f aca="false">IF(AND(H_Direct=0,H_TaxEvt=1,ATF72+1&gt;=H_Deemed),MAX(0,AFF73-AIS73)*H_Exit,0)</f>
        <v>0</v>
      </c>
      <c r="AWT73" s="20" t="n">
        <f aca="false">IF(AND(H_Direct=0,H_TaxEvt=1,ATG72+1&gt;=H_Deemed),MAX(0,AFG73-AIT73)*H_Exit,0)</f>
        <v>0</v>
      </c>
      <c r="AWU73" s="20" t="n">
        <f aca="false">IF(AND(H_Direct=0,H_TaxEvt=1,ATH72+1&gt;=H_Deemed),MAX(0,AFH73-AIU73)*H_Exit,0)</f>
        <v>0</v>
      </c>
      <c r="AWV73" s="20" t="n">
        <f aca="false">IF(AND(H_Direct=0,H_TaxEvt=1,ATI72+1&gt;=H_Deemed),MAX(0,AFI73-AIV73)*H_Exit,0)</f>
        <v>0</v>
      </c>
      <c r="AWW73" s="20" t="n">
        <f aca="false">IF(AND(H_Direct=0,H_TaxEvt=1,ATJ72+1&gt;=H_Deemed),MAX(0,AFJ73-AIW73)*H_Exit,0)</f>
        <v>0</v>
      </c>
      <c r="AWX73" s="20" t="n">
        <f aca="false">IF(AND(H_Direct=0,H_TaxEvt=1,ATK72+1&gt;=H_Deemed),MAX(0,AFK73-AIX73)*H_Exit,0)</f>
        <v>0</v>
      </c>
      <c r="AWY73" s="20" t="n">
        <f aca="false">IF(AND(H_Direct=0,H_TaxEvt=1,ATL72+1&gt;=H_Deemed),MAX(0,AFL73-AIY73)*H_Exit,0)</f>
        <v>0</v>
      </c>
      <c r="AWZ73" s="20" t="n">
        <f aca="false">IF(AND(H_Direct=0,H_TaxEvt=1,ATM72+1&gt;=H_Deemed),MAX(0,AFM73-AIZ73)*H_Exit,0)</f>
        <v>0</v>
      </c>
      <c r="AXA73" s="20" t="n">
        <f aca="false">IF(AND(H_Direct=0,H_TaxEvt=1,ATN72+1&gt;=H_Deemed),MAX(0,AFN73-AJA73)*H_Exit,0)</f>
        <v>0</v>
      </c>
      <c r="AXB73" s="20" t="n">
        <f aca="false">IF(AND(H_Direct=0,H_TaxEvt=1,ATO72+1&gt;=H_Deemed),MAX(0,AFO73-AJB73)*H_Exit,0)</f>
        <v>0</v>
      </c>
      <c r="AXC73" s="20" t="n">
        <f aca="false">IF(AND(H_Direct=0,H_TaxEvt=1,ATP72+1&gt;=H_Deemed),MAX(0,AFP73-AJC73)*H_Exit,0)</f>
        <v>0</v>
      </c>
      <c r="AXD73" s="20" t="n">
        <f aca="false">IF(AND(H_Direct=0,H_TaxEvt=1,ATQ72+1&gt;=H_Deemed),MAX(0,AFQ73-AJD73)*H_Exit,0)</f>
        <v>0</v>
      </c>
      <c r="AXE73" s="20" t="n">
        <f aca="false">IF(AND(H_Direct=0,H_TaxEvt=1,ATR72+1&gt;=H_Deemed),MAX(0,AFR73-AJE73)*H_Exit,0)</f>
        <v>0</v>
      </c>
      <c r="AXF73" s="20" t="n">
        <f aca="false">IF(AND(H_Direct=0,H_TaxEvt=1,ATS72+1&gt;=H_Deemed),MAX(0,AFS73-AJF73)*H_Exit,0)</f>
        <v>0</v>
      </c>
      <c r="AXG73" s="20" t="n">
        <f aca="false">IF(AND(H_Direct=0,H_TaxEvt=1,ATT72+1&gt;=H_Deemed),MAX(0,AFT73-AJG73)*H_Exit,0)</f>
        <v>0</v>
      </c>
      <c r="AXH73" s="20" t="n">
        <f aca="false">IF(AND(H_Direct=0,H_TaxEvt=1,ATU72+1&gt;=H_Deemed),MAX(0,AFU73-AJH73)*H_Exit,0)</f>
        <v>0</v>
      </c>
      <c r="AXI73" s="20" t="n">
        <f aca="false">IF(AND(H_Direct=0,H_TaxEvt=1,ATV72+1&gt;=H_Deemed),MAX(0,AFV73-AJI73)*H_Exit,0)</f>
        <v>0</v>
      </c>
      <c r="AXJ73" s="20" t="n">
        <f aca="false">IF(AND(H_Direct=0,H_TaxEvt=1,ATW72+1&gt;=H_Deemed),MAX(0,AFW73-AJJ73)*H_Exit,0)</f>
        <v>0</v>
      </c>
      <c r="AXK73" s="20" t="n">
        <f aca="false">IF(AND(H_Direct=0,H_TaxEvt=1,ATX72+1&gt;=H_Deemed),MAX(0,AFX73-AJK73)*H_Exit,0)</f>
        <v>0</v>
      </c>
      <c r="AXL73" s="20" t="n">
        <f aca="false">IF(AND(H_Direct=0,H_TaxEvt=1,ATY72+1&gt;=H_Deemed),MAX(0,AFY73-AJL73)*H_Exit,0)</f>
        <v>0</v>
      </c>
      <c r="AXM73" s="20" t="n">
        <f aca="false">IF(AND(H_Direct=0,H_TaxEvt=1,ATZ72+1&gt;=H_Deemed),MAX(0,AFZ73-AJM73)*H_Exit,0)</f>
        <v>0</v>
      </c>
      <c r="AXN73" s="20" t="n">
        <f aca="false">IF(AND(H_Direct=0,H_TaxEvt=1,AUA72+1&gt;=H_Deemed),MAX(0,AGA73-AJN73)*H_Exit,0)</f>
        <v>0</v>
      </c>
      <c r="AXO73" s="20" t="n">
        <f aca="false">IF(AND(H_Direct=0,H_TaxEvt=1,AUB72+1&gt;=H_Deemed),MAX(0,AGB73-AJO73)*H_Exit,0)</f>
        <v>0</v>
      </c>
      <c r="AXP73" s="20" t="n">
        <f aca="false">IF(AND(H_Direct=0,H_TaxEvt=1,AUC72+1&gt;=H_Deemed),MAX(0,AGC73-AJP73)*H_Exit,0)</f>
        <v>0</v>
      </c>
      <c r="AXQ73" s="20" t="n">
        <f aca="false">IF(AND(H_Direct=0,H_TaxEvt=1,AUD72+1&gt;=H_Deemed),MAX(0,AGD73-AJQ73)*H_Exit,0)</f>
        <v>0</v>
      </c>
      <c r="AXR73" s="20" t="n">
        <f aca="false">IF(AND(H_Direct=0,H_TaxEvt=1,AUE72+1&gt;=H_Deemed),MAX(0,AGE73-AJR73)*H_Exit,0)</f>
        <v>0</v>
      </c>
      <c r="AXS73" s="20" t="n">
        <f aca="false">IF(AND(H_Direct=0,H_TaxEvt=1,0+1&gt;=H_Deemed),MAX(0,AGF73-AJS73)*H_Exit,0)</f>
        <v>0</v>
      </c>
      <c r="AXT73" s="20" t="n">
        <v>0</v>
      </c>
      <c r="AXU73" s="20" t="n">
        <v>0</v>
      </c>
      <c r="AXV73" s="20" t="n">
        <v>0</v>
      </c>
      <c r="AXW73" s="20" t="n">
        <v>0</v>
      </c>
      <c r="AXX73" s="20" t="n">
        <v>0</v>
      </c>
      <c r="AXY73" s="20" t="n">
        <v>0</v>
      </c>
      <c r="AXZ73" s="20" t="n">
        <v>0</v>
      </c>
      <c r="AYA73" s="20" t="n">
        <v>0</v>
      </c>
      <c r="AYB73" s="20" t="n">
        <v>0</v>
      </c>
      <c r="AYC73" s="20" t="n">
        <v>0</v>
      </c>
      <c r="AYD73" s="20" t="n">
        <v>0</v>
      </c>
      <c r="AYE73" s="20" t="n">
        <v>0</v>
      </c>
      <c r="AYF73" s="20" t="n">
        <v>0</v>
      </c>
      <c r="AYG73" s="20" t="n">
        <v>0</v>
      </c>
      <c r="AYH73" s="20" t="n">
        <v>0</v>
      </c>
      <c r="AYI73" s="20" t="n">
        <v>0</v>
      </c>
      <c r="AYJ73" s="20" t="n">
        <v>0</v>
      </c>
      <c r="AYK73" s="20" t="n">
        <v>0</v>
      </c>
      <c r="AYL73" s="20" t="n">
        <v>0</v>
      </c>
      <c r="AYM73" s="20" t="n">
        <v>0</v>
      </c>
      <c r="AYN73" s="20" t="n">
        <v>0</v>
      </c>
      <c r="AYO73" s="20" t="n">
        <v>0</v>
      </c>
      <c r="AYP73" s="20" t="n">
        <v>0</v>
      </c>
      <c r="AYQ73" s="20" t="n">
        <v>0</v>
      </c>
    </row>
    <row r="74" customFormat="false" ht="15" hidden="false" customHeight="false" outlineLevel="0" collapsed="false">
      <c r="B74" s="20" t="n">
        <v>66</v>
      </c>
      <c r="C74" s="20" t="n">
        <f aca="false">'Plan cashflow'!C74</f>
        <v>0</v>
      </c>
      <c r="D74" s="20" t="n">
        <f aca="false">'Plan cashflow'!D74</f>
        <v>104</v>
      </c>
      <c r="E74" s="20" t="n">
        <f aca="false">AS_Year0+66</f>
        <v>2092</v>
      </c>
      <c r="F74" s="50" t="n">
        <f aca="false">'Plan cashflow'!F74</f>
        <v>3.69497357030527</v>
      </c>
      <c r="G74" s="59" t="n">
        <f aca="true">IF(MAX(TODAY(),DATE(E74,1,1))&gt;=H_CGTfrom,H_CGT1,H_CGT0)</f>
        <v>0.31</v>
      </c>
      <c r="H74" s="20" t="n">
        <f aca="false">H_Exempt*H_Persons</f>
        <v>1270</v>
      </c>
      <c r="I74" s="20" t="n">
        <f aca="false">AX73</f>
        <v>0</v>
      </c>
      <c r="J74" s="60" t="n">
        <f aca="false">BF73</f>
        <v>0</v>
      </c>
      <c r="K74" s="60" t="n">
        <f aca="false">BG73</f>
        <v>0</v>
      </c>
      <c r="L74" s="20" t="n">
        <f aca="false">IF(AND(In_polLump&gt;0,In_polLumpAge&gt;0,D74=In_polLumpAge),In_polLump,0)</f>
        <v>0</v>
      </c>
      <c r="M74" s="20" t="n">
        <f aca="false">IF(AND(In_homeUse="Yes, I'd downsize",In_downAge&gt;0,D74=In_downAge,OR(In_home="Own outright",In_home="Own with mortgage"),In_homeValue&gt;0),MAX(0,MAX(0,In_homeValue-In_downValue)*F74*0.9-'Plan cashflow'!HR73),0)</f>
        <v>0</v>
      </c>
      <c r="N74" s="20" t="n">
        <f aca="false">'Plan pay &amp; tax'!Y300</f>
        <v>0</v>
      </c>
      <c r="O74" s="20" t="n">
        <f aca="false">L74+M74+(1-H_Sh)*N74</f>
        <v>0</v>
      </c>
      <c r="P74" s="20" t="n">
        <f aca="false">H_Sh*N74</f>
        <v>0</v>
      </c>
      <c r="Q74" s="20" t="n">
        <f aca="false">'Plan cashflow'!UL74</f>
        <v>0</v>
      </c>
      <c r="R74" s="20" t="n">
        <f aca="false">(1-H_Sh)*Q74</f>
        <v>0</v>
      </c>
      <c r="S74" s="20" t="n">
        <f aca="false">H_Sh*Q74</f>
        <v>0</v>
      </c>
      <c r="T74" s="20" t="n">
        <f aca="false">J74+K74+O74</f>
        <v>0</v>
      </c>
      <c r="U74" s="20" t="n">
        <f aca="false">T74+R74</f>
        <v>0</v>
      </c>
      <c r="V74" s="60" t="n">
        <f aca="false">SUM(FE74:IQ74)</f>
        <v>0</v>
      </c>
      <c r="W74" s="60" t="n">
        <f aca="false">IF(AJ74&lt;=0,0,IF(AL74&lt;=0,AJ74,AJ74-G74*MAX(0,AL74*AJ74-(AY74+AZ74))))</f>
        <v>0</v>
      </c>
      <c r="X74" s="60" t="n">
        <f aca="false">IF(AR74&lt;=0,0,IF(AT74&lt;=0,AR74,AR74-G74*MAX(0,AT74*AR74-(BA74+BB74))))</f>
        <v>0</v>
      </c>
      <c r="Y74" s="60" t="n">
        <f aca="false">T74+V74-S74+W74+X74</f>
        <v>0</v>
      </c>
      <c r="Z74" s="60" t="n">
        <f aca="false">'Plan cashflow'!UK74</f>
        <v>0</v>
      </c>
      <c r="AA74" s="20" t="n">
        <f aca="false">MIN(Z74,U74)</f>
        <v>0</v>
      </c>
      <c r="AB74" s="20" t="n">
        <f aca="false">Z74-AA74</f>
        <v>0</v>
      </c>
      <c r="AC74" s="20" t="n">
        <f aca="false">MIN(AA74,J74+O74+R74)</f>
        <v>0</v>
      </c>
      <c r="AD74" s="20" t="n">
        <f aca="false">AA74-AC74</f>
        <v>0</v>
      </c>
      <c r="AE74" s="20" t="n">
        <f aca="false">J74+O74+R74-AC74</f>
        <v>0</v>
      </c>
      <c r="AF74" s="20" t="n">
        <f aca="false">K74-AD74</f>
        <v>0</v>
      </c>
      <c r="AG74" s="20" t="n">
        <f aca="false">SUM(PR74:TD74)</f>
        <v>0</v>
      </c>
      <c r="AH74" s="20" t="n">
        <f aca="false">SUM(TE74:WQ74)</f>
        <v>0</v>
      </c>
      <c r="AI74" s="20" t="n">
        <f aca="false">MAX(0,AB74-AG74)</f>
        <v>0</v>
      </c>
      <c r="AJ74" s="57" t="n">
        <f aca="false">BI73</f>
        <v>0</v>
      </c>
      <c r="AK74" s="20" t="n">
        <f aca="false">BJ73</f>
        <v>0</v>
      </c>
      <c r="AL74" s="20" t="n">
        <f aca="false">IF(AJ74&gt;0,(AJ74-AK74)/AJ74,0)</f>
        <v>0</v>
      </c>
      <c r="AM74" s="20" t="n">
        <f aca="false">IF(AJ74&lt;=0,0,IF(AL74&lt;=0,MIN(AI74,AJ74),MIN(AI74,AJ74-G74*MAX(0,AL74*AJ74-(AAD74+ADQ74)))))</f>
        <v>0</v>
      </c>
      <c r="AN74" s="20" t="n">
        <f aca="false">IF(AJ74&lt;=0,0,IF(AL74&lt;=0,AM74,IF(AM74&lt;=(AAD74+ADQ74)/AL74,AM74,(AM74-G74*(AAD74+ADQ74))/(1-G74*AL74))))</f>
        <v>0</v>
      </c>
      <c r="AO74" s="20" t="n">
        <f aca="false">IF(AL74&gt;0,MAX(0,AAD74-(MIN(AL74*AN74,(AAD74+ADQ74))-MIN(MIN(AL74*AN74,(AAD74+ADQ74)),ADQ74))),AAD74)</f>
        <v>1270</v>
      </c>
      <c r="AP74" s="20" t="n">
        <f aca="false">IF(AL74&lt;=0,ADQ74-AL74*AN74,ADQ74-MIN(MIN(AL74*AN74,(AAD74+ADQ74)),ADQ74))</f>
        <v>0</v>
      </c>
      <c r="AQ74" s="20" t="n">
        <f aca="false">MAX(0,AI74-AM74)</f>
        <v>0</v>
      </c>
      <c r="AR74" s="57" t="n">
        <f aca="false">BK73</f>
        <v>0</v>
      </c>
      <c r="AS74" s="20" t="n">
        <f aca="false">BL73</f>
        <v>0</v>
      </c>
      <c r="AT74" s="20" t="n">
        <f aca="false">IF(AR74&gt;0,(AR74-AS74)/AR74,0)</f>
        <v>0</v>
      </c>
      <c r="AU74" s="20" t="n">
        <f aca="false">IF(AR74&lt;=0,0,IF(AT74&lt;=0,MIN(AQ74,AR74),MIN(AQ74,AR74-G74*MAX(0,AT74*AR74-(AO74+AP74)))))</f>
        <v>0</v>
      </c>
      <c r="AV74" s="20" t="n">
        <f aca="false">IF(AR74&lt;=0,0,IF(AT74&lt;=0,AU74,IF(AU74&lt;=(AO74+AP74)/AT74,AU74,(AU74-G74*(AO74+AP74))/(1-G74*AT74))))</f>
        <v>0</v>
      </c>
      <c r="AW74" s="20" t="n">
        <f aca="false">IF(AT74&gt;0,MAX(0,AO74-(MIN(AT74*AV74,(AO74+AP74))-MIN(MIN(AT74*AV74,(AO74+AP74)),AP74))),AO74)</f>
        <v>1270</v>
      </c>
      <c r="AX74" s="20" t="n">
        <f aca="false">IF(AT74&lt;=0,AP74-AT74*AV74,AP74-MIN(MIN(AT74*AV74,(AO74+AP74)),AP74))</f>
        <v>0</v>
      </c>
      <c r="AY74" s="20" t="n">
        <f aca="false">MD74</f>
        <v>1270</v>
      </c>
      <c r="AZ74" s="20" t="n">
        <f aca="false">PQ74</f>
        <v>0</v>
      </c>
      <c r="BA74" s="20" t="n">
        <f aca="false">IF(AL74&gt;0,MAX(0,AY74-(MIN(AL74*AJ74,AY74+AZ74)-MIN(MIN(AL74*AJ74,AY74+AZ74),AZ74))),AY74)</f>
        <v>1270</v>
      </c>
      <c r="BB74" s="20" t="n">
        <f aca="false">IF(AL74&lt;=0,AZ74-AL74*AJ74,AZ74-MIN(MIN(AL74*AJ74,AY74+AZ74),AZ74))</f>
        <v>0</v>
      </c>
      <c r="BC74" s="20" t="n">
        <f aca="false">'Plan cashflow'!UM74</f>
        <v>0</v>
      </c>
      <c r="BD74" s="20" t="n">
        <f aca="false">(1-H_Sh)*BC74</f>
        <v>0</v>
      </c>
      <c r="BE74" s="20" t="n">
        <f aca="false">H_Sh*BC74</f>
        <v>0</v>
      </c>
      <c r="BF74" s="60" t="n">
        <f aca="false">(AE74+BD74)*(1+AS_Cash)</f>
        <v>0</v>
      </c>
      <c r="BG74" s="60" t="n">
        <f aca="false">AF74*(1+AS_Cash)</f>
        <v>0</v>
      </c>
      <c r="BH74" s="60" t="n">
        <f aca="false">SUM(AKR74:AOD74)</f>
        <v>0</v>
      </c>
      <c r="BI74" s="60" t="n">
        <f aca="false">(AJ74-AN74)*(1+AS_Infl)</f>
        <v>0</v>
      </c>
      <c r="BJ74" s="20" t="n">
        <f aca="false">IF(AJ74&gt;0,AK74-AK74*AN74/AJ74,0)</f>
        <v>0</v>
      </c>
      <c r="BK74" s="60" t="n">
        <f aca="false">(AR74-AV74)*(1+BQ74)</f>
        <v>0</v>
      </c>
      <c r="BL74" s="20" t="n">
        <f aca="false">IF(AR74&gt;0,AS74-AS74*AV74/AR74,0)</f>
        <v>0</v>
      </c>
      <c r="BM74" s="60" t="n">
        <f aca="false">BF74+BG74+BH74+BI74+BK74</f>
        <v>0</v>
      </c>
      <c r="BN74" s="60" t="n">
        <f aca="false">(AH74-AG74)+(AN74-AM74)+(AV74-AU74)</f>
        <v>0</v>
      </c>
      <c r="BO74" s="20" t="n">
        <f aca="false">(AE74+BD74+AF74+MAX(0,'Plan cashflow'!QH74)+IF(Slot1_Rate=AS_Cash,'Plan cashflow'!QM74/(1+AS_Cash),0)+IF(Slot2_Rate=AS_Cash,'Plan cashflow'!QQ74/(1+AS_Cash),0)+IF(Slot3_Rate=AS_Cash,'Plan cashflow'!QU74/(1+AS_Cash),0)+IF(Slot4_Rate=AS_Cash,'Plan cashflow'!QY74/(1+AS_Cash),0)+IF(Slot5_Rate=AS_Cash,'Plan cashflow'!RC74/(1+AS_Cash),0)+IF(Slot6_Rate=AS_Cash,'Plan cashflow'!RG74/(1+AS_Cash),0)+IF(Slot7_Rate=AS_Cash,'Plan cashflow'!RK74/(1+AS_Cash),0)+IF(Slot8_Rate=AS_Cash,'Plan cashflow'!RO74/(1+AS_Cash),0)+IF(Slot9_Rate=AS_Cash,'Plan cashflow'!RS74/(1+AS_Cash),0)+IF(Slot10_Rate=AS_Cash,'Plan cashflow'!RW74/(1+AS_Cash),0)+IF(Slot11_Rate=AS_Cash,'Plan cashflow'!SA74/(1+AS_Cash),0)+IF(Slot12_Rate=AS_Cash,'Plan cashflow'!SE74/(1+AS_Cash),0)+IF(Slot13_Rate=AS_Cash,'Plan cashflow'!SI74/(1+AS_Cash),0)+IF(Slot14_Rate=AS_Cash,'Plan cashflow'!SM74/(1+AS_Cash),0)+IF(Slot15_Rate=AS_Cash,'Plan cashflow'!SQ74/(1+AS_Cash),0)+IF(Slot16_Rate=AS_Cash,'Plan cashflow'!SU74/(1+AS_Cash),0)+IF(Slot17_Rate=AS_Cash,'Plan cashflow'!SY74/(1+AS_Cash),0)+IF(Slot18_Rate=AS_Cash,'Plan cashflow'!TC74/(1+AS_Cash),0)+IF(Slot19_Rate=AS_Cash,'Plan cashflow'!TG74/(1+AS_Cash),0)+IF(Slot20_Rate=AS_Cash,'Plan cashflow'!TK74/(1+AS_Cash),0))*AS_Cash*H_DIRT/(1-H_DIRT)</f>
        <v>0</v>
      </c>
      <c r="BP74" s="60" t="n">
        <f aca="false">SUM(AVE74:AYQ74)</f>
        <v>0</v>
      </c>
      <c r="BQ74" s="54" t="n">
        <f aca="false">IF(H_TaxEvt=1,H_InvG,AS_Inv)</f>
        <v>0.04</v>
      </c>
      <c r="BR74" s="20" t="n">
        <f aca="false">IF(AKR73&gt;0,(AKR73-AOE73)/AKR73,0)</f>
        <v>0</v>
      </c>
      <c r="BS74" s="20" t="n">
        <f aca="false">IF(AKS73&gt;0,(AKS73-AOF73)/AKS73,0)</f>
        <v>0</v>
      </c>
      <c r="BT74" s="20" t="n">
        <f aca="false">IF(AKT73&gt;0,(AKT73-AOG73)/AKT73,0)</f>
        <v>0</v>
      </c>
      <c r="BU74" s="20" t="n">
        <f aca="false">IF(AKU73&gt;0,(AKU73-AOH73)/AKU73,0)</f>
        <v>0</v>
      </c>
      <c r="BV74" s="20" t="n">
        <f aca="false">IF(AKV73&gt;0,(AKV73-AOI73)/AKV73,0)</f>
        <v>0</v>
      </c>
      <c r="BW74" s="20" t="n">
        <f aca="false">IF(AKW73&gt;0,(AKW73-AOJ73)/AKW73,0)</f>
        <v>0</v>
      </c>
      <c r="BX74" s="20" t="n">
        <f aca="false">IF(AKX73&gt;0,(AKX73-AOK73)/AKX73,0)</f>
        <v>0</v>
      </c>
      <c r="BY74" s="20" t="n">
        <f aca="false">IF(AKY73&gt;0,(AKY73-AOL73)/AKY73,0)</f>
        <v>0</v>
      </c>
      <c r="BZ74" s="20" t="n">
        <f aca="false">IF(AKZ73&gt;0,(AKZ73-AOM73)/AKZ73,0)</f>
        <v>0</v>
      </c>
      <c r="CA74" s="20" t="n">
        <f aca="false">IF(ALA73&gt;0,(ALA73-AON73)/ALA73,0)</f>
        <v>0</v>
      </c>
      <c r="CB74" s="20" t="n">
        <f aca="false">IF(ALB73&gt;0,(ALB73-AOO73)/ALB73,0)</f>
        <v>0</v>
      </c>
      <c r="CC74" s="20" t="n">
        <f aca="false">IF(ALC73&gt;0,(ALC73-AOP73)/ALC73,0)</f>
        <v>0</v>
      </c>
      <c r="CD74" s="20" t="n">
        <f aca="false">IF(ALD73&gt;0,(ALD73-AOQ73)/ALD73,0)</f>
        <v>0</v>
      </c>
      <c r="CE74" s="20" t="n">
        <f aca="false">IF(ALE73&gt;0,(ALE73-AOR73)/ALE73,0)</f>
        <v>0</v>
      </c>
      <c r="CF74" s="20" t="n">
        <f aca="false">IF(ALF73&gt;0,(ALF73-AOS73)/ALF73,0)</f>
        <v>0</v>
      </c>
      <c r="CG74" s="20" t="n">
        <f aca="false">IF(ALG73&gt;0,(ALG73-AOT73)/ALG73,0)</f>
        <v>0</v>
      </c>
      <c r="CH74" s="20" t="n">
        <f aca="false">IF(ALH73&gt;0,(ALH73-AOU73)/ALH73,0)</f>
        <v>0</v>
      </c>
      <c r="CI74" s="20" t="n">
        <f aca="false">IF(ALI73&gt;0,(ALI73-AOV73)/ALI73,0)</f>
        <v>0</v>
      </c>
      <c r="CJ74" s="20" t="n">
        <f aca="false">IF(ALJ73&gt;0,(ALJ73-AOW73)/ALJ73,0)</f>
        <v>0</v>
      </c>
      <c r="CK74" s="20" t="n">
        <f aca="false">IF(ALK73&gt;0,(ALK73-AOX73)/ALK73,0)</f>
        <v>0</v>
      </c>
      <c r="CL74" s="20" t="n">
        <f aca="false">IF(ALL73&gt;0,(ALL73-AOY73)/ALL73,0)</f>
        <v>0</v>
      </c>
      <c r="CM74" s="20" t="n">
        <f aca="false">IF(ALM73&gt;0,(ALM73-AOZ73)/ALM73,0)</f>
        <v>0</v>
      </c>
      <c r="CN74" s="20" t="n">
        <f aca="false">IF(ALN73&gt;0,(ALN73-APA73)/ALN73,0)</f>
        <v>0</v>
      </c>
      <c r="CO74" s="20" t="n">
        <f aca="false">IF(ALO73&gt;0,(ALO73-APB73)/ALO73,0)</f>
        <v>0</v>
      </c>
      <c r="CP74" s="20" t="n">
        <f aca="false">IF(ALP73&gt;0,(ALP73-APC73)/ALP73,0)</f>
        <v>0</v>
      </c>
      <c r="CQ74" s="20" t="n">
        <f aca="false">IF(ALQ73&gt;0,(ALQ73-APD73)/ALQ73,0)</f>
        <v>0</v>
      </c>
      <c r="CR74" s="20" t="n">
        <f aca="false">IF(ALR73&gt;0,(ALR73-APE73)/ALR73,0)</f>
        <v>0</v>
      </c>
      <c r="CS74" s="20" t="n">
        <f aca="false">IF(ALS73&gt;0,(ALS73-APF73)/ALS73,0)</f>
        <v>0</v>
      </c>
      <c r="CT74" s="20" t="n">
        <f aca="false">IF(ALT73&gt;0,(ALT73-APG73)/ALT73,0)</f>
        <v>0</v>
      </c>
      <c r="CU74" s="20" t="n">
        <f aca="false">IF(ALU73&gt;0,(ALU73-APH73)/ALU73,0)</f>
        <v>0</v>
      </c>
      <c r="CV74" s="20" t="n">
        <f aca="false">IF(ALV73&gt;0,(ALV73-API73)/ALV73,0)</f>
        <v>0</v>
      </c>
      <c r="CW74" s="20" t="n">
        <f aca="false">IF(ALW73&gt;0,(ALW73-APJ73)/ALW73,0)</f>
        <v>0</v>
      </c>
      <c r="CX74" s="20" t="n">
        <f aca="false">IF(ALX73&gt;0,(ALX73-APK73)/ALX73,0)</f>
        <v>0</v>
      </c>
      <c r="CY74" s="20" t="n">
        <f aca="false">IF(ALY73&gt;0,(ALY73-APL73)/ALY73,0)</f>
        <v>0</v>
      </c>
      <c r="CZ74" s="20" t="n">
        <f aca="false">IF(ALZ73&gt;0,(ALZ73-APM73)/ALZ73,0)</f>
        <v>0</v>
      </c>
      <c r="DA74" s="20" t="n">
        <f aca="false">IF(AMA73&gt;0,(AMA73-APN73)/AMA73,0)</f>
        <v>0</v>
      </c>
      <c r="DB74" s="20" t="n">
        <f aca="false">IF(AMB73&gt;0,(AMB73-APO73)/AMB73,0)</f>
        <v>0</v>
      </c>
      <c r="DC74" s="20" t="n">
        <f aca="false">IF(AMC73&gt;0,(AMC73-APP73)/AMC73,0)</f>
        <v>0</v>
      </c>
      <c r="DD74" s="20" t="n">
        <f aca="false">IF(AMD73&gt;0,(AMD73-APQ73)/AMD73,0)</f>
        <v>0</v>
      </c>
      <c r="DE74" s="20" t="n">
        <f aca="false">IF(AME73&gt;0,(AME73-APR73)/AME73,0)</f>
        <v>0</v>
      </c>
      <c r="DF74" s="20" t="n">
        <f aca="false">IF(AMF73&gt;0,(AMF73-APS73)/AMF73,0)</f>
        <v>0</v>
      </c>
      <c r="DG74" s="20" t="n">
        <f aca="false">IF(AMG73&gt;0,(AMG73-APT73)/AMG73,0)</f>
        <v>0</v>
      </c>
      <c r="DH74" s="20" t="n">
        <f aca="false">IF(AMH73&gt;0,(AMH73-APU73)/AMH73,0)</f>
        <v>0</v>
      </c>
      <c r="DI74" s="20" t="n">
        <f aca="false">IF(AMI73&gt;0,(AMI73-APV73)/AMI73,0)</f>
        <v>0</v>
      </c>
      <c r="DJ74" s="20" t="n">
        <f aca="false">IF(AMJ73&gt;0,(AMJ73-APW73)/AMJ73,0)</f>
        <v>0</v>
      </c>
      <c r="DK74" s="20" t="n">
        <f aca="false">IF(AMK73&gt;0,(AMK73-APX73)/AMK73,0)</f>
        <v>0</v>
      </c>
      <c r="DL74" s="20" t="n">
        <f aca="false">IF(AML73&gt;0,(AML73-APY73)/AML73,0)</f>
        <v>0</v>
      </c>
      <c r="DM74" s="20" t="n">
        <f aca="false">IF(AMM73&gt;0,(AMM73-APZ73)/AMM73,0)</f>
        <v>0</v>
      </c>
      <c r="DN74" s="20" t="n">
        <f aca="false">IF(AMN73&gt;0,(AMN73-AQA73)/AMN73,0)</f>
        <v>0</v>
      </c>
      <c r="DO74" s="20" t="n">
        <f aca="false">IF(AMO73&gt;0,(AMO73-AQB73)/AMO73,0)</f>
        <v>0</v>
      </c>
      <c r="DP74" s="20" t="n">
        <f aca="false">IF(AMP73&gt;0,(AMP73-AQC73)/AMP73,0)</f>
        <v>0</v>
      </c>
      <c r="DQ74" s="20" t="n">
        <f aca="false">IF(AMQ73&gt;0,(AMQ73-AQD73)/AMQ73,0)</f>
        <v>0</v>
      </c>
      <c r="DR74" s="20" t="n">
        <f aca="false">IF(AMR73&gt;0,(AMR73-AQE73)/AMR73,0)</f>
        <v>0</v>
      </c>
      <c r="DS74" s="20" t="n">
        <f aca="false">IF(AMS73&gt;0,(AMS73-AQF73)/AMS73,0)</f>
        <v>0</v>
      </c>
      <c r="DT74" s="20" t="n">
        <f aca="false">IF(AMT73&gt;0,(AMT73-AQG73)/AMT73,0)</f>
        <v>0</v>
      </c>
      <c r="DU74" s="20" t="n">
        <f aca="false">IF(AMU73&gt;0,(AMU73-AQH73)/AMU73,0)</f>
        <v>0</v>
      </c>
      <c r="DV74" s="20" t="n">
        <f aca="false">IF(AMV73&gt;0,(AMV73-AQI73)/AMV73,0)</f>
        <v>0</v>
      </c>
      <c r="DW74" s="20" t="n">
        <f aca="false">IF(AMW73&gt;0,(AMW73-AQJ73)/AMW73,0)</f>
        <v>0</v>
      </c>
      <c r="DX74" s="20" t="n">
        <f aca="false">IF(AMX73&gt;0,(AMX73-AQK73)/AMX73,0)</f>
        <v>0</v>
      </c>
      <c r="DY74" s="20" t="n">
        <f aca="false">IF(AMY73&gt;0,(AMY73-AQL73)/AMY73,0)</f>
        <v>0</v>
      </c>
      <c r="DZ74" s="20" t="n">
        <f aca="false">IF(AMZ73&gt;0,(AMZ73-AQM73)/AMZ73,0)</f>
        <v>0</v>
      </c>
      <c r="EA74" s="20" t="n">
        <f aca="false">IF(ANA73&gt;0,(ANA73-AQN73)/ANA73,0)</f>
        <v>0</v>
      </c>
      <c r="EB74" s="20" t="n">
        <f aca="false">IF(ANB73&gt;0,(ANB73-AQO73)/ANB73,0)</f>
        <v>0</v>
      </c>
      <c r="EC74" s="20" t="n">
        <f aca="false">IF(ANC73&gt;0,(ANC73-AQP73)/ANC73,0)</f>
        <v>0</v>
      </c>
      <c r="ED74" s="20" t="n">
        <f aca="false">IF(AND73&gt;0,(AND73-AQQ73)/AND73,0)</f>
        <v>0</v>
      </c>
      <c r="EE74" s="20" t="n">
        <f aca="false">IF(ANE73&gt;0,(ANE73-AQR73)/ANE73,0)</f>
        <v>0</v>
      </c>
      <c r="EF74" s="20" t="n">
        <f aca="false">IF(ANF73&gt;0,(ANF73-AQS73)/ANF73,0)</f>
        <v>0</v>
      </c>
      <c r="EG74" s="20" t="n">
        <f aca="false">IF((P74+S74)&gt;0,((P74+S74)-(P74+S74))/(P74+S74),0)</f>
        <v>0</v>
      </c>
      <c r="EH74" s="20" t="n">
        <v>0</v>
      </c>
      <c r="EI74" s="20" t="n">
        <v>0</v>
      </c>
      <c r="EJ74" s="20" t="n">
        <v>0</v>
      </c>
      <c r="EK74" s="20" t="n">
        <v>0</v>
      </c>
      <c r="EL74" s="20" t="n">
        <v>0</v>
      </c>
      <c r="EM74" s="20" t="n">
        <v>0</v>
      </c>
      <c r="EN74" s="20" t="n">
        <v>0</v>
      </c>
      <c r="EO74" s="20" t="n">
        <v>0</v>
      </c>
      <c r="EP74" s="20" t="n">
        <v>0</v>
      </c>
      <c r="EQ74" s="20" t="n">
        <v>0</v>
      </c>
      <c r="ER74" s="20" t="n">
        <v>0</v>
      </c>
      <c r="ES74" s="20" t="n">
        <v>0</v>
      </c>
      <c r="ET74" s="20" t="n">
        <v>0</v>
      </c>
      <c r="EU74" s="20" t="n">
        <v>0</v>
      </c>
      <c r="EV74" s="20" t="n">
        <v>0</v>
      </c>
      <c r="EW74" s="20" t="n">
        <v>0</v>
      </c>
      <c r="EX74" s="20" t="n">
        <v>0</v>
      </c>
      <c r="EY74" s="20" t="n">
        <v>0</v>
      </c>
      <c r="EZ74" s="20" t="n">
        <v>0</v>
      </c>
      <c r="FA74" s="20" t="n">
        <v>0</v>
      </c>
      <c r="FB74" s="20" t="n">
        <v>0</v>
      </c>
      <c r="FC74" s="20" t="n">
        <v>0</v>
      </c>
      <c r="FD74" s="20" t="n">
        <v>0</v>
      </c>
      <c r="FE74" s="20" t="n">
        <f aca="false">IF(H_Direct=1,IF(AKR73&lt;=0,0,IF(BR74&lt;=0,AKR73,AKR73-G74*MAX(0,BR74*AKR73-(H74+I74)))),AKR73*(1-MAX(0,BR74)*H_Exit))</f>
        <v>0</v>
      </c>
      <c r="FF74" s="20" t="n">
        <f aca="false">IF(H_Direct=1,IF(AKS73&lt;=0,0,IF(BS74&lt;=0,AKS73,AKS73-G74*MAX(0,BS74*AKS73-(IR74+ME74)))),AKS73*(1-MAX(0,BS74)*H_Exit))</f>
        <v>0</v>
      </c>
      <c r="FG74" s="20" t="n">
        <f aca="false">IF(H_Direct=1,IF(AKT73&lt;=0,0,IF(BT74&lt;=0,AKT73,AKT73-G74*MAX(0,BT74*AKT73-(IS74+MF74)))),AKT73*(1-MAX(0,BT74)*H_Exit))</f>
        <v>0</v>
      </c>
      <c r="FH74" s="20" t="n">
        <f aca="false">IF(H_Direct=1,IF(AKU73&lt;=0,0,IF(BU74&lt;=0,AKU73,AKU73-G74*MAX(0,BU74*AKU73-(IT74+MG74)))),AKU73*(1-MAX(0,BU74)*H_Exit))</f>
        <v>0</v>
      </c>
      <c r="FI74" s="20" t="n">
        <f aca="false">IF(H_Direct=1,IF(AKV73&lt;=0,0,IF(BV74&lt;=0,AKV73,AKV73-G74*MAX(0,BV74*AKV73-(IU74+MH74)))),AKV73*(1-MAX(0,BV74)*H_Exit))</f>
        <v>0</v>
      </c>
      <c r="FJ74" s="20" t="n">
        <f aca="false">IF(H_Direct=1,IF(AKW73&lt;=0,0,IF(BW74&lt;=0,AKW73,AKW73-G74*MAX(0,BW74*AKW73-(IV74+MI74)))),AKW73*(1-MAX(0,BW74)*H_Exit))</f>
        <v>0</v>
      </c>
      <c r="FK74" s="20" t="n">
        <f aca="false">IF(H_Direct=1,IF(AKX73&lt;=0,0,IF(BX74&lt;=0,AKX73,AKX73-G74*MAX(0,BX74*AKX73-(IW74+MJ74)))),AKX73*(1-MAX(0,BX74)*H_Exit))</f>
        <v>0</v>
      </c>
      <c r="FL74" s="20" t="n">
        <f aca="false">IF(H_Direct=1,IF(AKY73&lt;=0,0,IF(BY74&lt;=0,AKY73,AKY73-G74*MAX(0,BY74*AKY73-(IX74+MK74)))),AKY73*(1-MAX(0,BY74)*H_Exit))</f>
        <v>0</v>
      </c>
      <c r="FM74" s="20" t="n">
        <f aca="false">IF(H_Direct=1,IF(AKZ73&lt;=0,0,IF(BZ74&lt;=0,AKZ73,AKZ73-G74*MAX(0,BZ74*AKZ73-(IY74+ML74)))),AKZ73*(1-MAX(0,BZ74)*H_Exit))</f>
        <v>0</v>
      </c>
      <c r="FN74" s="20" t="n">
        <f aca="false">IF(H_Direct=1,IF(ALA73&lt;=0,0,IF(CA74&lt;=0,ALA73,ALA73-G74*MAX(0,CA74*ALA73-(IZ74+MM74)))),ALA73*(1-MAX(0,CA74)*H_Exit))</f>
        <v>0</v>
      </c>
      <c r="FO74" s="20" t="n">
        <f aca="false">IF(H_Direct=1,IF(ALB73&lt;=0,0,IF(CB74&lt;=0,ALB73,ALB73-G74*MAX(0,CB74*ALB73-(JA74+MN74)))),ALB73*(1-MAX(0,CB74)*H_Exit))</f>
        <v>0</v>
      </c>
      <c r="FP74" s="20" t="n">
        <f aca="false">IF(H_Direct=1,IF(ALC73&lt;=0,0,IF(CC74&lt;=0,ALC73,ALC73-G74*MAX(0,CC74*ALC73-(JB74+MO74)))),ALC73*(1-MAX(0,CC74)*H_Exit))</f>
        <v>0</v>
      </c>
      <c r="FQ74" s="20" t="n">
        <f aca="false">IF(H_Direct=1,IF(ALD73&lt;=0,0,IF(CD74&lt;=0,ALD73,ALD73-G74*MAX(0,CD74*ALD73-(JC74+MP74)))),ALD73*(1-MAX(0,CD74)*H_Exit))</f>
        <v>0</v>
      </c>
      <c r="FR74" s="20" t="n">
        <f aca="false">IF(H_Direct=1,IF(ALE73&lt;=0,0,IF(CE74&lt;=0,ALE73,ALE73-G74*MAX(0,CE74*ALE73-(JD74+MQ74)))),ALE73*(1-MAX(0,CE74)*H_Exit))</f>
        <v>0</v>
      </c>
      <c r="FS74" s="20" t="n">
        <f aca="false">IF(H_Direct=1,IF(ALF73&lt;=0,0,IF(CF74&lt;=0,ALF73,ALF73-G74*MAX(0,CF74*ALF73-(JE74+MR74)))),ALF73*(1-MAX(0,CF74)*H_Exit))</f>
        <v>0</v>
      </c>
      <c r="FT74" s="20" t="n">
        <f aca="false">IF(H_Direct=1,IF(ALG73&lt;=0,0,IF(CG74&lt;=0,ALG73,ALG73-G74*MAX(0,CG74*ALG73-(JF74+MS74)))),ALG73*(1-MAX(0,CG74)*H_Exit))</f>
        <v>0</v>
      </c>
      <c r="FU74" s="20" t="n">
        <f aca="false">IF(H_Direct=1,IF(ALH73&lt;=0,0,IF(CH74&lt;=0,ALH73,ALH73-G74*MAX(0,CH74*ALH73-(JG74+MT74)))),ALH73*(1-MAX(0,CH74)*H_Exit))</f>
        <v>0</v>
      </c>
      <c r="FV74" s="20" t="n">
        <f aca="false">IF(H_Direct=1,IF(ALI73&lt;=0,0,IF(CI74&lt;=0,ALI73,ALI73-G74*MAX(0,CI74*ALI73-(JH74+MU74)))),ALI73*(1-MAX(0,CI74)*H_Exit))</f>
        <v>0</v>
      </c>
      <c r="FW74" s="20" t="n">
        <f aca="false">IF(H_Direct=1,IF(ALJ73&lt;=0,0,IF(CJ74&lt;=0,ALJ73,ALJ73-G74*MAX(0,CJ74*ALJ73-(JI74+MV74)))),ALJ73*(1-MAX(0,CJ74)*H_Exit))</f>
        <v>0</v>
      </c>
      <c r="FX74" s="20" t="n">
        <f aca="false">IF(H_Direct=1,IF(ALK73&lt;=0,0,IF(CK74&lt;=0,ALK73,ALK73-G74*MAX(0,CK74*ALK73-(JJ74+MW74)))),ALK73*(1-MAX(0,CK74)*H_Exit))</f>
        <v>0</v>
      </c>
      <c r="FY74" s="20" t="n">
        <f aca="false">IF(H_Direct=1,IF(ALL73&lt;=0,0,IF(CL74&lt;=0,ALL73,ALL73-G74*MAX(0,CL74*ALL73-(JK74+MX74)))),ALL73*(1-MAX(0,CL74)*H_Exit))</f>
        <v>0</v>
      </c>
      <c r="FZ74" s="20" t="n">
        <f aca="false">IF(H_Direct=1,IF(ALM73&lt;=0,0,IF(CM74&lt;=0,ALM73,ALM73-G74*MAX(0,CM74*ALM73-(JL74+MY74)))),ALM73*(1-MAX(0,CM74)*H_Exit))</f>
        <v>0</v>
      </c>
      <c r="GA74" s="20" t="n">
        <f aca="false">IF(H_Direct=1,IF(ALN73&lt;=0,0,IF(CN74&lt;=0,ALN73,ALN73-G74*MAX(0,CN74*ALN73-(JM74+MZ74)))),ALN73*(1-MAX(0,CN74)*H_Exit))</f>
        <v>0</v>
      </c>
      <c r="GB74" s="20" t="n">
        <f aca="false">IF(H_Direct=1,IF(ALO73&lt;=0,0,IF(CO74&lt;=0,ALO73,ALO73-G74*MAX(0,CO74*ALO73-(JN74+NA74)))),ALO73*(1-MAX(0,CO74)*H_Exit))</f>
        <v>0</v>
      </c>
      <c r="GC74" s="20" t="n">
        <f aca="false">IF(H_Direct=1,IF(ALP73&lt;=0,0,IF(CP74&lt;=0,ALP73,ALP73-G74*MAX(0,CP74*ALP73-(JO74+NB74)))),ALP73*(1-MAX(0,CP74)*H_Exit))</f>
        <v>0</v>
      </c>
      <c r="GD74" s="20" t="n">
        <f aca="false">IF(H_Direct=1,IF(ALQ73&lt;=0,0,IF(CQ74&lt;=0,ALQ73,ALQ73-G74*MAX(0,CQ74*ALQ73-(JP74+NC74)))),ALQ73*(1-MAX(0,CQ74)*H_Exit))</f>
        <v>0</v>
      </c>
      <c r="GE74" s="20" t="n">
        <f aca="false">IF(H_Direct=1,IF(ALR73&lt;=0,0,IF(CR74&lt;=0,ALR73,ALR73-G74*MAX(0,CR74*ALR73-(JQ74+ND74)))),ALR73*(1-MAX(0,CR74)*H_Exit))</f>
        <v>0</v>
      </c>
      <c r="GF74" s="20" t="n">
        <f aca="false">IF(H_Direct=1,IF(ALS73&lt;=0,0,IF(CS74&lt;=0,ALS73,ALS73-G74*MAX(0,CS74*ALS73-(JR74+NE74)))),ALS73*(1-MAX(0,CS74)*H_Exit))</f>
        <v>0</v>
      </c>
      <c r="GG74" s="20" t="n">
        <f aca="false">IF(H_Direct=1,IF(ALT73&lt;=0,0,IF(CT74&lt;=0,ALT73,ALT73-G74*MAX(0,CT74*ALT73-(JS74+NF74)))),ALT73*(1-MAX(0,CT74)*H_Exit))</f>
        <v>0</v>
      </c>
      <c r="GH74" s="20" t="n">
        <f aca="false">IF(H_Direct=1,IF(ALU73&lt;=0,0,IF(CU74&lt;=0,ALU73,ALU73-G74*MAX(0,CU74*ALU73-(JT74+NG74)))),ALU73*(1-MAX(0,CU74)*H_Exit))</f>
        <v>0</v>
      </c>
      <c r="GI74" s="20" t="n">
        <f aca="false">IF(H_Direct=1,IF(ALV73&lt;=0,0,IF(CV74&lt;=0,ALV73,ALV73-G74*MAX(0,CV74*ALV73-(JU74+NH74)))),ALV73*(1-MAX(0,CV74)*H_Exit))</f>
        <v>0</v>
      </c>
      <c r="GJ74" s="20" t="n">
        <f aca="false">IF(H_Direct=1,IF(ALW73&lt;=0,0,IF(CW74&lt;=0,ALW73,ALW73-G74*MAX(0,CW74*ALW73-(JV74+NI74)))),ALW73*(1-MAX(0,CW74)*H_Exit))</f>
        <v>0</v>
      </c>
      <c r="GK74" s="20" t="n">
        <f aca="false">IF(H_Direct=1,IF(ALX73&lt;=0,0,IF(CX74&lt;=0,ALX73,ALX73-G74*MAX(0,CX74*ALX73-(JW74+NJ74)))),ALX73*(1-MAX(0,CX74)*H_Exit))</f>
        <v>0</v>
      </c>
      <c r="GL74" s="20" t="n">
        <f aca="false">IF(H_Direct=1,IF(ALY73&lt;=0,0,IF(CY74&lt;=0,ALY73,ALY73-G74*MAX(0,CY74*ALY73-(JX74+NK74)))),ALY73*(1-MAX(0,CY74)*H_Exit))</f>
        <v>0</v>
      </c>
      <c r="GM74" s="20" t="n">
        <f aca="false">IF(H_Direct=1,IF(ALZ73&lt;=0,0,IF(CZ74&lt;=0,ALZ73,ALZ73-G74*MAX(0,CZ74*ALZ73-(JY74+NL74)))),ALZ73*(1-MAX(0,CZ74)*H_Exit))</f>
        <v>0</v>
      </c>
      <c r="GN74" s="20" t="n">
        <f aca="false">IF(H_Direct=1,IF(AMA73&lt;=0,0,IF(DA74&lt;=0,AMA73,AMA73-G74*MAX(0,DA74*AMA73-(JZ74+NM74)))),AMA73*(1-MAX(0,DA74)*H_Exit))</f>
        <v>0</v>
      </c>
      <c r="GO74" s="20" t="n">
        <f aca="false">IF(H_Direct=1,IF(AMB73&lt;=0,0,IF(DB74&lt;=0,AMB73,AMB73-G74*MAX(0,DB74*AMB73-(KA74+NN74)))),AMB73*(1-MAX(0,DB74)*H_Exit))</f>
        <v>0</v>
      </c>
      <c r="GP74" s="20" t="n">
        <f aca="false">IF(H_Direct=1,IF(AMC73&lt;=0,0,IF(DC74&lt;=0,AMC73,AMC73-G74*MAX(0,DC74*AMC73-(KB74+NO74)))),AMC73*(1-MAX(0,DC74)*H_Exit))</f>
        <v>0</v>
      </c>
      <c r="GQ74" s="20" t="n">
        <f aca="false">IF(H_Direct=1,IF(AMD73&lt;=0,0,IF(DD74&lt;=0,AMD73,AMD73-G74*MAX(0,DD74*AMD73-(KC74+NP74)))),AMD73*(1-MAX(0,DD74)*H_Exit))</f>
        <v>0</v>
      </c>
      <c r="GR74" s="20" t="n">
        <f aca="false">IF(H_Direct=1,IF(AME73&lt;=0,0,IF(DE74&lt;=0,AME73,AME73-G74*MAX(0,DE74*AME73-(KD74+NQ74)))),AME73*(1-MAX(0,DE74)*H_Exit))</f>
        <v>0</v>
      </c>
      <c r="GS74" s="20" t="n">
        <f aca="false">IF(H_Direct=1,IF(AMF73&lt;=0,0,IF(DF74&lt;=0,AMF73,AMF73-G74*MAX(0,DF74*AMF73-(KE74+NR74)))),AMF73*(1-MAX(0,DF74)*H_Exit))</f>
        <v>0</v>
      </c>
      <c r="GT74" s="20" t="n">
        <f aca="false">IF(H_Direct=1,IF(AMG73&lt;=0,0,IF(DG74&lt;=0,AMG73,AMG73-G74*MAX(0,DG74*AMG73-(KF74+NS74)))),AMG73*(1-MAX(0,DG74)*H_Exit))</f>
        <v>0</v>
      </c>
      <c r="GU74" s="20" t="n">
        <f aca="false">IF(H_Direct=1,IF(AMH73&lt;=0,0,IF(DH74&lt;=0,AMH73,AMH73-G74*MAX(0,DH74*AMH73-(KG74+NT74)))),AMH73*(1-MAX(0,DH74)*H_Exit))</f>
        <v>0</v>
      </c>
      <c r="GV74" s="20" t="n">
        <f aca="false">IF(H_Direct=1,IF(AMI73&lt;=0,0,IF(DI74&lt;=0,AMI73,AMI73-G74*MAX(0,DI74*AMI73-(KH74+NU74)))),AMI73*(1-MAX(0,DI74)*H_Exit))</f>
        <v>0</v>
      </c>
      <c r="GW74" s="20" t="n">
        <f aca="false">IF(H_Direct=1,IF(AMJ73&lt;=0,0,IF(DJ74&lt;=0,AMJ73,AMJ73-G74*MAX(0,DJ74*AMJ73-(KI74+NV74)))),AMJ73*(1-MAX(0,DJ74)*H_Exit))</f>
        <v>0</v>
      </c>
      <c r="GX74" s="20" t="n">
        <f aca="false">IF(H_Direct=1,IF(AMK73&lt;=0,0,IF(DK74&lt;=0,AMK73,AMK73-G74*MAX(0,DK74*AMK73-(KJ74+NW74)))),AMK73*(1-MAX(0,DK74)*H_Exit))</f>
        <v>0</v>
      </c>
      <c r="GY74" s="20" t="n">
        <f aca="false">IF(H_Direct=1,IF(AML73&lt;=0,0,IF(DL74&lt;=0,AML73,AML73-G74*MAX(0,DL74*AML73-(KK74+NX74)))),AML73*(1-MAX(0,DL74)*H_Exit))</f>
        <v>0</v>
      </c>
      <c r="GZ74" s="20" t="n">
        <f aca="false">IF(H_Direct=1,IF(AMM73&lt;=0,0,IF(DM74&lt;=0,AMM73,AMM73-G74*MAX(0,DM74*AMM73-(KL74+NY74)))),AMM73*(1-MAX(0,DM74)*H_Exit))</f>
        <v>0</v>
      </c>
      <c r="HA74" s="20" t="n">
        <f aca="false">IF(H_Direct=1,IF(AMN73&lt;=0,0,IF(DN74&lt;=0,AMN73,AMN73-G74*MAX(0,DN74*AMN73-(KM74+NZ74)))),AMN73*(1-MAX(0,DN74)*H_Exit))</f>
        <v>0</v>
      </c>
      <c r="HB74" s="20" t="n">
        <f aca="false">IF(H_Direct=1,IF(AMO73&lt;=0,0,IF(DO74&lt;=0,AMO73,AMO73-G74*MAX(0,DO74*AMO73-(KN74+OA74)))),AMO73*(1-MAX(0,DO74)*H_Exit))</f>
        <v>0</v>
      </c>
      <c r="HC74" s="20" t="n">
        <f aca="false">IF(H_Direct=1,IF(AMP73&lt;=0,0,IF(DP74&lt;=0,AMP73,AMP73-G74*MAX(0,DP74*AMP73-(KO74+OB74)))),AMP73*(1-MAX(0,DP74)*H_Exit))</f>
        <v>0</v>
      </c>
      <c r="HD74" s="20" t="n">
        <f aca="false">IF(H_Direct=1,IF(AMQ73&lt;=0,0,IF(DQ74&lt;=0,AMQ73,AMQ73-G74*MAX(0,DQ74*AMQ73-(KP74+OC74)))),AMQ73*(1-MAX(0,DQ74)*H_Exit))</f>
        <v>0</v>
      </c>
      <c r="HE74" s="20" t="n">
        <f aca="false">IF(H_Direct=1,IF(AMR73&lt;=0,0,IF(DR74&lt;=0,AMR73,AMR73-G74*MAX(0,DR74*AMR73-(KQ74+OD74)))),AMR73*(1-MAX(0,DR74)*H_Exit))</f>
        <v>0</v>
      </c>
      <c r="HF74" s="20" t="n">
        <f aca="false">IF(H_Direct=1,IF(AMS73&lt;=0,0,IF(DS74&lt;=0,AMS73,AMS73-G74*MAX(0,DS74*AMS73-(KR74+OE74)))),AMS73*(1-MAX(0,DS74)*H_Exit))</f>
        <v>0</v>
      </c>
      <c r="HG74" s="20" t="n">
        <f aca="false">IF(H_Direct=1,IF(AMT73&lt;=0,0,IF(DT74&lt;=0,AMT73,AMT73-G74*MAX(0,DT74*AMT73-(KS74+OF74)))),AMT73*(1-MAX(0,DT74)*H_Exit))</f>
        <v>0</v>
      </c>
      <c r="HH74" s="20" t="n">
        <f aca="false">IF(H_Direct=1,IF(AMU73&lt;=0,0,IF(DU74&lt;=0,AMU73,AMU73-G74*MAX(0,DU74*AMU73-(KT74+OG74)))),AMU73*(1-MAX(0,DU74)*H_Exit))</f>
        <v>0</v>
      </c>
      <c r="HI74" s="20" t="n">
        <f aca="false">IF(H_Direct=1,IF(AMV73&lt;=0,0,IF(DV74&lt;=0,AMV73,AMV73-G74*MAX(0,DV74*AMV73-(KU74+OH74)))),AMV73*(1-MAX(0,DV74)*H_Exit))</f>
        <v>0</v>
      </c>
      <c r="HJ74" s="20" t="n">
        <f aca="false">IF(H_Direct=1,IF(AMW73&lt;=0,0,IF(DW74&lt;=0,AMW73,AMW73-G74*MAX(0,DW74*AMW73-(KV74+OI74)))),AMW73*(1-MAX(0,DW74)*H_Exit))</f>
        <v>0</v>
      </c>
      <c r="HK74" s="20" t="n">
        <f aca="false">IF(H_Direct=1,IF(AMX73&lt;=0,0,IF(DX74&lt;=0,AMX73,AMX73-G74*MAX(0,DX74*AMX73-(KW74+OJ74)))),AMX73*(1-MAX(0,DX74)*H_Exit))</f>
        <v>0</v>
      </c>
      <c r="HL74" s="20" t="n">
        <f aca="false">IF(H_Direct=1,IF(AMY73&lt;=0,0,IF(DY74&lt;=0,AMY73,AMY73-G74*MAX(0,DY74*AMY73-(KX74+OK74)))),AMY73*(1-MAX(0,DY74)*H_Exit))</f>
        <v>0</v>
      </c>
      <c r="HM74" s="20" t="n">
        <f aca="false">IF(H_Direct=1,IF(AMZ73&lt;=0,0,IF(DZ74&lt;=0,AMZ73,AMZ73-G74*MAX(0,DZ74*AMZ73-(KY74+OL74)))),AMZ73*(1-MAX(0,DZ74)*H_Exit))</f>
        <v>0</v>
      </c>
      <c r="HN74" s="20" t="n">
        <f aca="false">IF(H_Direct=1,IF(ANA73&lt;=0,0,IF(EA74&lt;=0,ANA73,ANA73-G74*MAX(0,EA74*ANA73-(KZ74+OM74)))),ANA73*(1-MAX(0,EA74)*H_Exit))</f>
        <v>0</v>
      </c>
      <c r="HO74" s="20" t="n">
        <f aca="false">IF(H_Direct=1,IF(ANB73&lt;=0,0,IF(EB74&lt;=0,ANB73,ANB73-G74*MAX(0,EB74*ANB73-(LA74+ON74)))),ANB73*(1-MAX(0,EB74)*H_Exit))</f>
        <v>0</v>
      </c>
      <c r="HP74" s="20" t="n">
        <f aca="false">IF(H_Direct=1,IF(ANC73&lt;=0,0,IF(EC74&lt;=0,ANC73,ANC73-G74*MAX(0,EC74*ANC73-(LB74+OO74)))),ANC73*(1-MAX(0,EC74)*H_Exit))</f>
        <v>0</v>
      </c>
      <c r="HQ74" s="20" t="n">
        <f aca="false">IF(H_Direct=1,IF(AND73&lt;=0,0,IF(ED74&lt;=0,AND73,AND73-G74*MAX(0,ED74*AND73-(LC74+OP74)))),AND73*(1-MAX(0,ED74)*H_Exit))</f>
        <v>0</v>
      </c>
      <c r="HR74" s="20" t="n">
        <f aca="false">IF(H_Direct=1,IF(ANE73&lt;=0,0,IF(EE74&lt;=0,ANE73,ANE73-G74*MAX(0,EE74*ANE73-(LD74+OQ74)))),ANE73*(1-MAX(0,EE74)*H_Exit))</f>
        <v>0</v>
      </c>
      <c r="HS74" s="20" t="n">
        <f aca="false">IF(H_Direct=1,IF(ANF73&lt;=0,0,IF(EF74&lt;=0,ANF73,ANF73-G74*MAX(0,EF74*ANF73-(LE74+OR74)))),ANF73*(1-MAX(0,EF74)*H_Exit))</f>
        <v>0</v>
      </c>
      <c r="HT74" s="20" t="n">
        <f aca="false">IF(H_Direct=1,IF((P74+S74)&lt;=0,0,IF(EG74&lt;=0,(P74+S74),(P74+S74)-G74*MAX(0,EG74*(P74+S74)-(LF74+OS74)))),(P74+S74)*(1-MAX(0,EG74)*H_Exit))</f>
        <v>0</v>
      </c>
      <c r="HU74" s="20" t="n">
        <v>0</v>
      </c>
      <c r="HV74" s="20" t="n">
        <v>0</v>
      </c>
      <c r="HW74" s="20" t="n">
        <v>0</v>
      </c>
      <c r="HX74" s="20" t="n">
        <v>0</v>
      </c>
      <c r="HY74" s="20" t="n">
        <v>0</v>
      </c>
      <c r="HZ74" s="20" t="n">
        <v>0</v>
      </c>
      <c r="IA74" s="20" t="n">
        <v>0</v>
      </c>
      <c r="IB74" s="20" t="n">
        <v>0</v>
      </c>
      <c r="IC74" s="20" t="n">
        <v>0</v>
      </c>
      <c r="ID74" s="20" t="n">
        <v>0</v>
      </c>
      <c r="IE74" s="20" t="n">
        <v>0</v>
      </c>
      <c r="IF74" s="20" t="n">
        <v>0</v>
      </c>
      <c r="IG74" s="20" t="n">
        <v>0</v>
      </c>
      <c r="IH74" s="20" t="n">
        <v>0</v>
      </c>
      <c r="II74" s="20" t="n">
        <v>0</v>
      </c>
      <c r="IJ74" s="20" t="n">
        <v>0</v>
      </c>
      <c r="IK74" s="20" t="n">
        <v>0</v>
      </c>
      <c r="IL74" s="20" t="n">
        <v>0</v>
      </c>
      <c r="IM74" s="20" t="n">
        <v>0</v>
      </c>
      <c r="IN74" s="20" t="n">
        <v>0</v>
      </c>
      <c r="IO74" s="20" t="n">
        <v>0</v>
      </c>
      <c r="IP74" s="20" t="n">
        <v>0</v>
      </c>
      <c r="IQ74" s="20" t="n">
        <v>0</v>
      </c>
      <c r="IR74" s="20" t="n">
        <f aca="false">IF(AND(H_Direct=1,BR74&gt;0),MAX(0,H74-(MIN(BR74*AKR73,H74+I74)-MIN(MIN(BR74*AKR73,H74+I74),I74))),H74)</f>
        <v>1270</v>
      </c>
      <c r="IS74" s="20" t="n">
        <f aca="false">IF(AND(H_Direct=1,BS74&gt;0),MAX(0,IR74-(MIN(BS74*AKS73,IR74+ME74)-MIN(MIN(BS74*AKS73,IR74+ME74),ME74))),IR74)</f>
        <v>1270</v>
      </c>
      <c r="IT74" s="20" t="n">
        <f aca="false">IF(AND(H_Direct=1,BT74&gt;0),MAX(0,IS74-(MIN(BT74*AKT73,IS74+MF74)-MIN(MIN(BT74*AKT73,IS74+MF74),MF74))),IS74)</f>
        <v>1270</v>
      </c>
      <c r="IU74" s="20" t="n">
        <f aca="false">IF(AND(H_Direct=1,BU74&gt;0),MAX(0,IT74-(MIN(BU74*AKU73,IT74+MG74)-MIN(MIN(BU74*AKU73,IT74+MG74),MG74))),IT74)</f>
        <v>1270</v>
      </c>
      <c r="IV74" s="20" t="n">
        <f aca="false">IF(AND(H_Direct=1,BV74&gt;0),MAX(0,IU74-(MIN(BV74*AKV73,IU74+MH74)-MIN(MIN(BV74*AKV73,IU74+MH74),MH74))),IU74)</f>
        <v>1270</v>
      </c>
      <c r="IW74" s="20" t="n">
        <f aca="false">IF(AND(H_Direct=1,BW74&gt;0),MAX(0,IV74-(MIN(BW74*AKW73,IV74+MI74)-MIN(MIN(BW74*AKW73,IV74+MI74),MI74))),IV74)</f>
        <v>1270</v>
      </c>
      <c r="IX74" s="20" t="n">
        <f aca="false">IF(AND(H_Direct=1,BX74&gt;0),MAX(0,IW74-(MIN(BX74*AKX73,IW74+MJ74)-MIN(MIN(BX74*AKX73,IW74+MJ74),MJ74))),IW74)</f>
        <v>1270</v>
      </c>
      <c r="IY74" s="20" t="n">
        <f aca="false">IF(AND(H_Direct=1,BY74&gt;0),MAX(0,IX74-(MIN(BY74*AKY73,IX74+MK74)-MIN(MIN(BY74*AKY73,IX74+MK74),MK74))),IX74)</f>
        <v>1270</v>
      </c>
      <c r="IZ74" s="20" t="n">
        <f aca="false">IF(AND(H_Direct=1,BZ74&gt;0),MAX(0,IY74-(MIN(BZ74*AKZ73,IY74+ML74)-MIN(MIN(BZ74*AKZ73,IY74+ML74),ML74))),IY74)</f>
        <v>1270</v>
      </c>
      <c r="JA74" s="20" t="n">
        <f aca="false">IF(AND(H_Direct=1,CA74&gt;0),MAX(0,IZ74-(MIN(CA74*ALA73,IZ74+MM74)-MIN(MIN(CA74*ALA73,IZ74+MM74),MM74))),IZ74)</f>
        <v>1270</v>
      </c>
      <c r="JB74" s="20" t="n">
        <f aca="false">IF(AND(H_Direct=1,CB74&gt;0),MAX(0,JA74-(MIN(CB74*ALB73,JA74+MN74)-MIN(MIN(CB74*ALB73,JA74+MN74),MN74))),JA74)</f>
        <v>1270</v>
      </c>
      <c r="JC74" s="20" t="n">
        <f aca="false">IF(AND(H_Direct=1,CC74&gt;0),MAX(0,JB74-(MIN(CC74*ALC73,JB74+MO74)-MIN(MIN(CC74*ALC73,JB74+MO74),MO74))),JB74)</f>
        <v>1270</v>
      </c>
      <c r="JD74" s="20" t="n">
        <f aca="false">IF(AND(H_Direct=1,CD74&gt;0),MAX(0,JC74-(MIN(CD74*ALD73,JC74+MP74)-MIN(MIN(CD74*ALD73,JC74+MP74),MP74))),JC74)</f>
        <v>1270</v>
      </c>
      <c r="JE74" s="20" t="n">
        <f aca="false">IF(AND(H_Direct=1,CE74&gt;0),MAX(0,JD74-(MIN(CE74*ALE73,JD74+MQ74)-MIN(MIN(CE74*ALE73,JD74+MQ74),MQ74))),JD74)</f>
        <v>1270</v>
      </c>
      <c r="JF74" s="20" t="n">
        <f aca="false">IF(AND(H_Direct=1,CF74&gt;0),MAX(0,JE74-(MIN(CF74*ALF73,JE74+MR74)-MIN(MIN(CF74*ALF73,JE74+MR74),MR74))),JE74)</f>
        <v>1270</v>
      </c>
      <c r="JG74" s="20" t="n">
        <f aca="false">IF(AND(H_Direct=1,CG74&gt;0),MAX(0,JF74-(MIN(CG74*ALG73,JF74+MS74)-MIN(MIN(CG74*ALG73,JF74+MS74),MS74))),JF74)</f>
        <v>1270</v>
      </c>
      <c r="JH74" s="20" t="n">
        <f aca="false">IF(AND(H_Direct=1,CH74&gt;0),MAX(0,JG74-(MIN(CH74*ALH73,JG74+MT74)-MIN(MIN(CH74*ALH73,JG74+MT74),MT74))),JG74)</f>
        <v>1270</v>
      </c>
      <c r="JI74" s="20" t="n">
        <f aca="false">IF(AND(H_Direct=1,CI74&gt;0),MAX(0,JH74-(MIN(CI74*ALI73,JH74+MU74)-MIN(MIN(CI74*ALI73,JH74+MU74),MU74))),JH74)</f>
        <v>1270</v>
      </c>
      <c r="JJ74" s="20" t="n">
        <f aca="false">IF(AND(H_Direct=1,CJ74&gt;0),MAX(0,JI74-(MIN(CJ74*ALJ73,JI74+MV74)-MIN(MIN(CJ74*ALJ73,JI74+MV74),MV74))),JI74)</f>
        <v>1270</v>
      </c>
      <c r="JK74" s="20" t="n">
        <f aca="false">IF(AND(H_Direct=1,CK74&gt;0),MAX(0,JJ74-(MIN(CK74*ALK73,JJ74+MW74)-MIN(MIN(CK74*ALK73,JJ74+MW74),MW74))),JJ74)</f>
        <v>1270</v>
      </c>
      <c r="JL74" s="20" t="n">
        <f aca="false">IF(AND(H_Direct=1,CL74&gt;0),MAX(0,JK74-(MIN(CL74*ALL73,JK74+MX74)-MIN(MIN(CL74*ALL73,JK74+MX74),MX74))),JK74)</f>
        <v>1270</v>
      </c>
      <c r="JM74" s="20" t="n">
        <f aca="false">IF(AND(H_Direct=1,CM74&gt;0),MAX(0,JL74-(MIN(CM74*ALM73,JL74+MY74)-MIN(MIN(CM74*ALM73,JL74+MY74),MY74))),JL74)</f>
        <v>1270</v>
      </c>
      <c r="JN74" s="20" t="n">
        <f aca="false">IF(AND(H_Direct=1,CN74&gt;0),MAX(0,JM74-(MIN(CN74*ALN73,JM74+MZ74)-MIN(MIN(CN74*ALN73,JM74+MZ74),MZ74))),JM74)</f>
        <v>1270</v>
      </c>
      <c r="JO74" s="20" t="n">
        <f aca="false">IF(AND(H_Direct=1,CO74&gt;0),MAX(0,JN74-(MIN(CO74*ALO73,JN74+NA74)-MIN(MIN(CO74*ALO73,JN74+NA74),NA74))),JN74)</f>
        <v>1270</v>
      </c>
      <c r="JP74" s="20" t="n">
        <f aca="false">IF(AND(H_Direct=1,CP74&gt;0),MAX(0,JO74-(MIN(CP74*ALP73,JO74+NB74)-MIN(MIN(CP74*ALP73,JO74+NB74),NB74))),JO74)</f>
        <v>1270</v>
      </c>
      <c r="JQ74" s="20" t="n">
        <f aca="false">IF(AND(H_Direct=1,CQ74&gt;0),MAX(0,JP74-(MIN(CQ74*ALQ73,JP74+NC74)-MIN(MIN(CQ74*ALQ73,JP74+NC74),NC74))),JP74)</f>
        <v>1270</v>
      </c>
      <c r="JR74" s="20" t="n">
        <f aca="false">IF(AND(H_Direct=1,CR74&gt;0),MAX(0,JQ74-(MIN(CR74*ALR73,JQ74+ND74)-MIN(MIN(CR74*ALR73,JQ74+ND74),ND74))),JQ74)</f>
        <v>1270</v>
      </c>
      <c r="JS74" s="20" t="n">
        <f aca="false">IF(AND(H_Direct=1,CS74&gt;0),MAX(0,JR74-(MIN(CS74*ALS73,JR74+NE74)-MIN(MIN(CS74*ALS73,JR74+NE74),NE74))),JR74)</f>
        <v>1270</v>
      </c>
      <c r="JT74" s="20" t="n">
        <f aca="false">IF(AND(H_Direct=1,CT74&gt;0),MAX(0,JS74-(MIN(CT74*ALT73,JS74+NF74)-MIN(MIN(CT74*ALT73,JS74+NF74),NF74))),JS74)</f>
        <v>1270</v>
      </c>
      <c r="JU74" s="20" t="n">
        <f aca="false">IF(AND(H_Direct=1,CU74&gt;0),MAX(0,JT74-(MIN(CU74*ALU73,JT74+NG74)-MIN(MIN(CU74*ALU73,JT74+NG74),NG74))),JT74)</f>
        <v>1270</v>
      </c>
      <c r="JV74" s="20" t="n">
        <f aca="false">IF(AND(H_Direct=1,CV74&gt;0),MAX(0,JU74-(MIN(CV74*ALV73,JU74+NH74)-MIN(MIN(CV74*ALV73,JU74+NH74),NH74))),JU74)</f>
        <v>1270</v>
      </c>
      <c r="JW74" s="20" t="n">
        <f aca="false">IF(AND(H_Direct=1,CW74&gt;0),MAX(0,JV74-(MIN(CW74*ALW73,JV74+NI74)-MIN(MIN(CW74*ALW73,JV74+NI74),NI74))),JV74)</f>
        <v>1270</v>
      </c>
      <c r="JX74" s="20" t="n">
        <f aca="false">IF(AND(H_Direct=1,CX74&gt;0),MAX(0,JW74-(MIN(CX74*ALX73,JW74+NJ74)-MIN(MIN(CX74*ALX73,JW74+NJ74),NJ74))),JW74)</f>
        <v>1270</v>
      </c>
      <c r="JY74" s="20" t="n">
        <f aca="false">IF(AND(H_Direct=1,CY74&gt;0),MAX(0,JX74-(MIN(CY74*ALY73,JX74+NK74)-MIN(MIN(CY74*ALY73,JX74+NK74),NK74))),JX74)</f>
        <v>1270</v>
      </c>
      <c r="JZ74" s="20" t="n">
        <f aca="false">IF(AND(H_Direct=1,CZ74&gt;0),MAX(0,JY74-(MIN(CZ74*ALZ73,JY74+NL74)-MIN(MIN(CZ74*ALZ73,JY74+NL74),NL74))),JY74)</f>
        <v>1270</v>
      </c>
      <c r="KA74" s="20" t="n">
        <f aca="false">IF(AND(H_Direct=1,DA74&gt;0),MAX(0,JZ74-(MIN(DA74*AMA73,JZ74+NM74)-MIN(MIN(DA74*AMA73,JZ74+NM74),NM74))),JZ74)</f>
        <v>1270</v>
      </c>
      <c r="KB74" s="20" t="n">
        <f aca="false">IF(AND(H_Direct=1,DB74&gt;0),MAX(0,KA74-(MIN(DB74*AMB73,KA74+NN74)-MIN(MIN(DB74*AMB73,KA74+NN74),NN74))),KA74)</f>
        <v>1270</v>
      </c>
      <c r="KC74" s="20" t="n">
        <f aca="false">IF(AND(H_Direct=1,DC74&gt;0),MAX(0,KB74-(MIN(DC74*AMC73,KB74+NO74)-MIN(MIN(DC74*AMC73,KB74+NO74),NO74))),KB74)</f>
        <v>1270</v>
      </c>
      <c r="KD74" s="20" t="n">
        <f aca="false">IF(AND(H_Direct=1,DD74&gt;0),MAX(0,KC74-(MIN(DD74*AMD73,KC74+NP74)-MIN(MIN(DD74*AMD73,KC74+NP74),NP74))),KC74)</f>
        <v>1270</v>
      </c>
      <c r="KE74" s="20" t="n">
        <f aca="false">IF(AND(H_Direct=1,DE74&gt;0),MAX(0,KD74-(MIN(DE74*AME73,KD74+NQ74)-MIN(MIN(DE74*AME73,KD74+NQ74),NQ74))),KD74)</f>
        <v>1270</v>
      </c>
      <c r="KF74" s="20" t="n">
        <f aca="false">IF(AND(H_Direct=1,DF74&gt;0),MAX(0,KE74-(MIN(DF74*AMF73,KE74+NR74)-MIN(MIN(DF74*AMF73,KE74+NR74),NR74))),KE74)</f>
        <v>1270</v>
      </c>
      <c r="KG74" s="20" t="n">
        <f aca="false">IF(AND(H_Direct=1,DG74&gt;0),MAX(0,KF74-(MIN(DG74*AMG73,KF74+NS74)-MIN(MIN(DG74*AMG73,KF74+NS74),NS74))),KF74)</f>
        <v>1270</v>
      </c>
      <c r="KH74" s="20" t="n">
        <f aca="false">IF(AND(H_Direct=1,DH74&gt;0),MAX(0,KG74-(MIN(DH74*AMH73,KG74+NT74)-MIN(MIN(DH74*AMH73,KG74+NT74),NT74))),KG74)</f>
        <v>1270</v>
      </c>
      <c r="KI74" s="20" t="n">
        <f aca="false">IF(AND(H_Direct=1,DI74&gt;0),MAX(0,KH74-(MIN(DI74*AMI73,KH74+NU74)-MIN(MIN(DI74*AMI73,KH74+NU74),NU74))),KH74)</f>
        <v>1270</v>
      </c>
      <c r="KJ74" s="20" t="n">
        <f aca="false">IF(AND(H_Direct=1,DJ74&gt;0),MAX(0,KI74-(MIN(DJ74*AMJ73,KI74+NV74)-MIN(MIN(DJ74*AMJ73,KI74+NV74),NV74))),KI74)</f>
        <v>1270</v>
      </c>
      <c r="KK74" s="20" t="n">
        <f aca="false">IF(AND(H_Direct=1,DK74&gt;0),MAX(0,KJ74-(MIN(DK74*AMK73,KJ74+NW74)-MIN(MIN(DK74*AMK73,KJ74+NW74),NW74))),KJ74)</f>
        <v>1270</v>
      </c>
      <c r="KL74" s="20" t="n">
        <f aca="false">IF(AND(H_Direct=1,DL74&gt;0),MAX(0,KK74-(MIN(DL74*AML73,KK74+NX74)-MIN(MIN(DL74*AML73,KK74+NX74),NX74))),KK74)</f>
        <v>1270</v>
      </c>
      <c r="KM74" s="20" t="n">
        <f aca="false">IF(AND(H_Direct=1,DM74&gt;0),MAX(0,KL74-(MIN(DM74*AMM73,KL74+NY74)-MIN(MIN(DM74*AMM73,KL74+NY74),NY74))),KL74)</f>
        <v>1270</v>
      </c>
      <c r="KN74" s="20" t="n">
        <f aca="false">IF(AND(H_Direct=1,DN74&gt;0),MAX(0,KM74-(MIN(DN74*AMN73,KM74+NZ74)-MIN(MIN(DN74*AMN73,KM74+NZ74),NZ74))),KM74)</f>
        <v>1270</v>
      </c>
      <c r="KO74" s="20" t="n">
        <f aca="false">IF(AND(H_Direct=1,DO74&gt;0),MAX(0,KN74-(MIN(DO74*AMO73,KN74+OA74)-MIN(MIN(DO74*AMO73,KN74+OA74),OA74))),KN74)</f>
        <v>1270</v>
      </c>
      <c r="KP74" s="20" t="n">
        <f aca="false">IF(AND(H_Direct=1,DP74&gt;0),MAX(0,KO74-(MIN(DP74*AMP73,KO74+OB74)-MIN(MIN(DP74*AMP73,KO74+OB74),OB74))),KO74)</f>
        <v>1270</v>
      </c>
      <c r="KQ74" s="20" t="n">
        <f aca="false">IF(AND(H_Direct=1,DQ74&gt;0),MAX(0,KP74-(MIN(DQ74*AMQ73,KP74+OC74)-MIN(MIN(DQ74*AMQ73,KP74+OC74),OC74))),KP74)</f>
        <v>1270</v>
      </c>
      <c r="KR74" s="20" t="n">
        <f aca="false">IF(AND(H_Direct=1,DR74&gt;0),MAX(0,KQ74-(MIN(DR74*AMR73,KQ74+OD74)-MIN(MIN(DR74*AMR73,KQ74+OD74),OD74))),KQ74)</f>
        <v>1270</v>
      </c>
      <c r="KS74" s="20" t="n">
        <f aca="false">IF(AND(H_Direct=1,DS74&gt;0),MAX(0,KR74-(MIN(DS74*AMS73,KR74+OE74)-MIN(MIN(DS74*AMS73,KR74+OE74),OE74))),KR74)</f>
        <v>1270</v>
      </c>
      <c r="KT74" s="20" t="n">
        <f aca="false">IF(AND(H_Direct=1,DT74&gt;0),MAX(0,KS74-(MIN(DT74*AMT73,KS74+OF74)-MIN(MIN(DT74*AMT73,KS74+OF74),OF74))),KS74)</f>
        <v>1270</v>
      </c>
      <c r="KU74" s="20" t="n">
        <f aca="false">IF(AND(H_Direct=1,DU74&gt;0),MAX(0,KT74-(MIN(DU74*AMU73,KT74+OG74)-MIN(MIN(DU74*AMU73,KT74+OG74),OG74))),KT74)</f>
        <v>1270</v>
      </c>
      <c r="KV74" s="20" t="n">
        <f aca="false">IF(AND(H_Direct=1,DV74&gt;0),MAX(0,KU74-(MIN(DV74*AMV73,KU74+OH74)-MIN(MIN(DV74*AMV73,KU74+OH74),OH74))),KU74)</f>
        <v>1270</v>
      </c>
      <c r="KW74" s="20" t="n">
        <f aca="false">IF(AND(H_Direct=1,DW74&gt;0),MAX(0,KV74-(MIN(DW74*AMW73,KV74+OI74)-MIN(MIN(DW74*AMW73,KV74+OI74),OI74))),KV74)</f>
        <v>1270</v>
      </c>
      <c r="KX74" s="20" t="n">
        <f aca="false">IF(AND(H_Direct=1,DX74&gt;0),MAX(0,KW74-(MIN(DX74*AMX73,KW74+OJ74)-MIN(MIN(DX74*AMX73,KW74+OJ74),OJ74))),KW74)</f>
        <v>1270</v>
      </c>
      <c r="KY74" s="20" t="n">
        <f aca="false">IF(AND(H_Direct=1,DY74&gt;0),MAX(0,KX74-(MIN(DY74*AMY73,KX74+OK74)-MIN(MIN(DY74*AMY73,KX74+OK74),OK74))),KX74)</f>
        <v>1270</v>
      </c>
      <c r="KZ74" s="20" t="n">
        <f aca="false">IF(AND(H_Direct=1,DZ74&gt;0),MAX(0,KY74-(MIN(DZ74*AMZ73,KY74+OL74)-MIN(MIN(DZ74*AMZ73,KY74+OL74),OL74))),KY74)</f>
        <v>1270</v>
      </c>
      <c r="LA74" s="20" t="n">
        <f aca="false">IF(AND(H_Direct=1,EA74&gt;0),MAX(0,KZ74-(MIN(EA74*ANA73,KZ74+OM74)-MIN(MIN(EA74*ANA73,KZ74+OM74),OM74))),KZ74)</f>
        <v>1270</v>
      </c>
      <c r="LB74" s="20" t="n">
        <f aca="false">IF(AND(H_Direct=1,EB74&gt;0),MAX(0,LA74-(MIN(EB74*ANB73,LA74+ON74)-MIN(MIN(EB74*ANB73,LA74+ON74),ON74))),LA74)</f>
        <v>1270</v>
      </c>
      <c r="LC74" s="20" t="n">
        <f aca="false">IF(AND(H_Direct=1,EC74&gt;0),MAX(0,LB74-(MIN(EC74*ANC73,LB74+OO74)-MIN(MIN(EC74*ANC73,LB74+OO74),OO74))),LB74)</f>
        <v>1270</v>
      </c>
      <c r="LD74" s="20" t="n">
        <f aca="false">IF(AND(H_Direct=1,ED74&gt;0),MAX(0,LC74-(MIN(ED74*AND73,LC74+OP74)-MIN(MIN(ED74*AND73,LC74+OP74),OP74))),LC74)</f>
        <v>1270</v>
      </c>
      <c r="LE74" s="20" t="n">
        <f aca="false">IF(AND(H_Direct=1,EE74&gt;0),MAX(0,LD74-(MIN(EE74*ANE73,LD74+OQ74)-MIN(MIN(EE74*ANE73,LD74+OQ74),OQ74))),LD74)</f>
        <v>1270</v>
      </c>
      <c r="LF74" s="20" t="n">
        <f aca="false">IF(AND(H_Direct=1,EF74&gt;0),MAX(0,LE74-(MIN(EF74*ANF73,LE74+OR74)-MIN(MIN(EF74*ANF73,LE74+OR74),OR74))),LE74)</f>
        <v>1270</v>
      </c>
      <c r="LG74" s="20" t="n">
        <f aca="false">IF(AND(H_Direct=1,EG74&gt;0),MAX(0,LF74-(MIN(EG74*(P74+S74),LF74+OS74)-MIN(MIN(EG74*(P74+S74),LF74+OS74),OS74))),LF74)</f>
        <v>1270</v>
      </c>
      <c r="LH74" s="20" t="n">
        <f aca="false">LG74</f>
        <v>1270</v>
      </c>
      <c r="LI74" s="20" t="n">
        <f aca="false">LH74</f>
        <v>1270</v>
      </c>
      <c r="LJ74" s="20" t="n">
        <f aca="false">LI74</f>
        <v>1270</v>
      </c>
      <c r="LK74" s="20" t="n">
        <f aca="false">LJ74</f>
        <v>1270</v>
      </c>
      <c r="LL74" s="20" t="n">
        <f aca="false">LK74</f>
        <v>1270</v>
      </c>
      <c r="LM74" s="20" t="n">
        <f aca="false">LL74</f>
        <v>1270</v>
      </c>
      <c r="LN74" s="20" t="n">
        <f aca="false">LM74</f>
        <v>1270</v>
      </c>
      <c r="LO74" s="20" t="n">
        <f aca="false">LN74</f>
        <v>1270</v>
      </c>
      <c r="LP74" s="20" t="n">
        <f aca="false">LO74</f>
        <v>1270</v>
      </c>
      <c r="LQ74" s="20" t="n">
        <f aca="false">LP74</f>
        <v>1270</v>
      </c>
      <c r="LR74" s="20" t="n">
        <f aca="false">LQ74</f>
        <v>1270</v>
      </c>
      <c r="LS74" s="20" t="n">
        <f aca="false">LR74</f>
        <v>1270</v>
      </c>
      <c r="LT74" s="20" t="n">
        <f aca="false">LS74</f>
        <v>1270</v>
      </c>
      <c r="LU74" s="20" t="n">
        <f aca="false">LT74</f>
        <v>1270</v>
      </c>
      <c r="LV74" s="20" t="n">
        <f aca="false">LU74</f>
        <v>1270</v>
      </c>
      <c r="LW74" s="20" t="n">
        <f aca="false">LV74</f>
        <v>1270</v>
      </c>
      <c r="LX74" s="20" t="n">
        <f aca="false">LW74</f>
        <v>1270</v>
      </c>
      <c r="LY74" s="20" t="n">
        <f aca="false">LX74</f>
        <v>1270</v>
      </c>
      <c r="LZ74" s="20" t="n">
        <f aca="false">LY74</f>
        <v>1270</v>
      </c>
      <c r="MA74" s="20" t="n">
        <f aca="false">LZ74</f>
        <v>1270</v>
      </c>
      <c r="MB74" s="20" t="n">
        <f aca="false">MA74</f>
        <v>1270</v>
      </c>
      <c r="MC74" s="20" t="n">
        <f aca="false">MB74</f>
        <v>1270</v>
      </c>
      <c r="MD74" s="20" t="n">
        <f aca="false">MC74</f>
        <v>1270</v>
      </c>
      <c r="ME74" s="20" t="n">
        <f aca="false">IF(H_Direct=1,IF(BR74&lt;=0,I74-BR74*AKR73,I74-MIN(MIN(BR74*AKR73,H74+I74),I74)),I74)</f>
        <v>0</v>
      </c>
      <c r="MF74" s="20" t="n">
        <f aca="false">IF(H_Direct=1,IF(BS74&lt;=0,ME74-BS74*AKS73,ME74-MIN(MIN(BS74*AKS73,IR74+ME74),ME74)),ME74)</f>
        <v>0</v>
      </c>
      <c r="MG74" s="20" t="n">
        <f aca="false">IF(H_Direct=1,IF(BT74&lt;=0,MF74-BT74*AKT73,MF74-MIN(MIN(BT74*AKT73,IS74+MF74),MF74)),MF74)</f>
        <v>0</v>
      </c>
      <c r="MH74" s="20" t="n">
        <f aca="false">IF(H_Direct=1,IF(BU74&lt;=0,MG74-BU74*AKU73,MG74-MIN(MIN(BU74*AKU73,IT74+MG74),MG74)),MG74)</f>
        <v>0</v>
      </c>
      <c r="MI74" s="20" t="n">
        <f aca="false">IF(H_Direct=1,IF(BV74&lt;=0,MH74-BV74*AKV73,MH74-MIN(MIN(BV74*AKV73,IU74+MH74),MH74)),MH74)</f>
        <v>0</v>
      </c>
      <c r="MJ74" s="20" t="n">
        <f aca="false">IF(H_Direct=1,IF(BW74&lt;=0,MI74-BW74*AKW73,MI74-MIN(MIN(BW74*AKW73,IV74+MI74),MI74)),MI74)</f>
        <v>0</v>
      </c>
      <c r="MK74" s="20" t="n">
        <f aca="false">IF(H_Direct=1,IF(BX74&lt;=0,MJ74-BX74*AKX73,MJ74-MIN(MIN(BX74*AKX73,IW74+MJ74),MJ74)),MJ74)</f>
        <v>0</v>
      </c>
      <c r="ML74" s="20" t="n">
        <f aca="false">IF(H_Direct=1,IF(BY74&lt;=0,MK74-BY74*AKY73,MK74-MIN(MIN(BY74*AKY73,IX74+MK74),MK74)),MK74)</f>
        <v>0</v>
      </c>
      <c r="MM74" s="20" t="n">
        <f aca="false">IF(H_Direct=1,IF(BZ74&lt;=0,ML74-BZ74*AKZ73,ML74-MIN(MIN(BZ74*AKZ73,IY74+ML74),ML74)),ML74)</f>
        <v>0</v>
      </c>
      <c r="MN74" s="20" t="n">
        <f aca="false">IF(H_Direct=1,IF(CA74&lt;=0,MM74-CA74*ALA73,MM74-MIN(MIN(CA74*ALA73,IZ74+MM74),MM74)),MM74)</f>
        <v>0</v>
      </c>
      <c r="MO74" s="20" t="n">
        <f aca="false">IF(H_Direct=1,IF(CB74&lt;=0,MN74-CB74*ALB73,MN74-MIN(MIN(CB74*ALB73,JA74+MN74),MN74)),MN74)</f>
        <v>0</v>
      </c>
      <c r="MP74" s="20" t="n">
        <f aca="false">IF(H_Direct=1,IF(CC74&lt;=0,MO74-CC74*ALC73,MO74-MIN(MIN(CC74*ALC73,JB74+MO74),MO74)),MO74)</f>
        <v>0</v>
      </c>
      <c r="MQ74" s="20" t="n">
        <f aca="false">IF(H_Direct=1,IF(CD74&lt;=0,MP74-CD74*ALD73,MP74-MIN(MIN(CD74*ALD73,JC74+MP74),MP74)),MP74)</f>
        <v>0</v>
      </c>
      <c r="MR74" s="20" t="n">
        <f aca="false">IF(H_Direct=1,IF(CE74&lt;=0,MQ74-CE74*ALE73,MQ74-MIN(MIN(CE74*ALE73,JD74+MQ74),MQ74)),MQ74)</f>
        <v>0</v>
      </c>
      <c r="MS74" s="20" t="n">
        <f aca="false">IF(H_Direct=1,IF(CF74&lt;=0,MR74-CF74*ALF73,MR74-MIN(MIN(CF74*ALF73,JE74+MR74),MR74)),MR74)</f>
        <v>0</v>
      </c>
      <c r="MT74" s="20" t="n">
        <f aca="false">IF(H_Direct=1,IF(CG74&lt;=0,MS74-CG74*ALG73,MS74-MIN(MIN(CG74*ALG73,JF74+MS74),MS74)),MS74)</f>
        <v>0</v>
      </c>
      <c r="MU74" s="20" t="n">
        <f aca="false">IF(H_Direct=1,IF(CH74&lt;=0,MT74-CH74*ALH73,MT74-MIN(MIN(CH74*ALH73,JG74+MT74),MT74)),MT74)</f>
        <v>0</v>
      </c>
      <c r="MV74" s="20" t="n">
        <f aca="false">IF(H_Direct=1,IF(CI74&lt;=0,MU74-CI74*ALI73,MU74-MIN(MIN(CI74*ALI73,JH74+MU74),MU74)),MU74)</f>
        <v>0</v>
      </c>
      <c r="MW74" s="20" t="n">
        <f aca="false">IF(H_Direct=1,IF(CJ74&lt;=0,MV74-CJ74*ALJ73,MV74-MIN(MIN(CJ74*ALJ73,JI74+MV74),MV74)),MV74)</f>
        <v>0</v>
      </c>
      <c r="MX74" s="20" t="n">
        <f aca="false">IF(H_Direct=1,IF(CK74&lt;=0,MW74-CK74*ALK73,MW74-MIN(MIN(CK74*ALK73,JJ74+MW74),MW74)),MW74)</f>
        <v>0</v>
      </c>
      <c r="MY74" s="20" t="n">
        <f aca="false">IF(H_Direct=1,IF(CL74&lt;=0,MX74-CL74*ALL73,MX74-MIN(MIN(CL74*ALL73,JK74+MX74),MX74)),MX74)</f>
        <v>0</v>
      </c>
      <c r="MZ74" s="20" t="n">
        <f aca="false">IF(H_Direct=1,IF(CM74&lt;=0,MY74-CM74*ALM73,MY74-MIN(MIN(CM74*ALM73,JL74+MY74),MY74)),MY74)</f>
        <v>0</v>
      </c>
      <c r="NA74" s="20" t="n">
        <f aca="false">IF(H_Direct=1,IF(CN74&lt;=0,MZ74-CN74*ALN73,MZ74-MIN(MIN(CN74*ALN73,JM74+MZ74),MZ74)),MZ74)</f>
        <v>0</v>
      </c>
      <c r="NB74" s="20" t="n">
        <f aca="false">IF(H_Direct=1,IF(CO74&lt;=0,NA74-CO74*ALO73,NA74-MIN(MIN(CO74*ALO73,JN74+NA74),NA74)),NA74)</f>
        <v>0</v>
      </c>
      <c r="NC74" s="20" t="n">
        <f aca="false">IF(H_Direct=1,IF(CP74&lt;=0,NB74-CP74*ALP73,NB74-MIN(MIN(CP74*ALP73,JO74+NB74),NB74)),NB74)</f>
        <v>0</v>
      </c>
      <c r="ND74" s="20" t="n">
        <f aca="false">IF(H_Direct=1,IF(CQ74&lt;=0,NC74-CQ74*ALQ73,NC74-MIN(MIN(CQ74*ALQ73,JP74+NC74),NC74)),NC74)</f>
        <v>0</v>
      </c>
      <c r="NE74" s="20" t="n">
        <f aca="false">IF(H_Direct=1,IF(CR74&lt;=0,ND74-CR74*ALR73,ND74-MIN(MIN(CR74*ALR73,JQ74+ND74),ND74)),ND74)</f>
        <v>0</v>
      </c>
      <c r="NF74" s="20" t="n">
        <f aca="false">IF(H_Direct=1,IF(CS74&lt;=0,NE74-CS74*ALS73,NE74-MIN(MIN(CS74*ALS73,JR74+NE74),NE74)),NE74)</f>
        <v>0</v>
      </c>
      <c r="NG74" s="20" t="n">
        <f aca="false">IF(H_Direct=1,IF(CT74&lt;=0,NF74-CT74*ALT73,NF74-MIN(MIN(CT74*ALT73,JS74+NF74),NF74)),NF74)</f>
        <v>0</v>
      </c>
      <c r="NH74" s="20" t="n">
        <f aca="false">IF(H_Direct=1,IF(CU74&lt;=0,NG74-CU74*ALU73,NG74-MIN(MIN(CU74*ALU73,JT74+NG74),NG74)),NG74)</f>
        <v>0</v>
      </c>
      <c r="NI74" s="20" t="n">
        <f aca="false">IF(H_Direct=1,IF(CV74&lt;=0,NH74-CV74*ALV73,NH74-MIN(MIN(CV74*ALV73,JU74+NH74),NH74)),NH74)</f>
        <v>0</v>
      </c>
      <c r="NJ74" s="20" t="n">
        <f aca="false">IF(H_Direct=1,IF(CW74&lt;=0,NI74-CW74*ALW73,NI74-MIN(MIN(CW74*ALW73,JV74+NI74),NI74)),NI74)</f>
        <v>0</v>
      </c>
      <c r="NK74" s="20" t="n">
        <f aca="false">IF(H_Direct=1,IF(CX74&lt;=0,NJ74-CX74*ALX73,NJ74-MIN(MIN(CX74*ALX73,JW74+NJ74),NJ74)),NJ74)</f>
        <v>0</v>
      </c>
      <c r="NL74" s="20" t="n">
        <f aca="false">IF(H_Direct=1,IF(CY74&lt;=0,NK74-CY74*ALY73,NK74-MIN(MIN(CY74*ALY73,JX74+NK74),NK74)),NK74)</f>
        <v>0</v>
      </c>
      <c r="NM74" s="20" t="n">
        <f aca="false">IF(H_Direct=1,IF(CZ74&lt;=0,NL74-CZ74*ALZ73,NL74-MIN(MIN(CZ74*ALZ73,JY74+NL74),NL74)),NL74)</f>
        <v>0</v>
      </c>
      <c r="NN74" s="20" t="n">
        <f aca="false">IF(H_Direct=1,IF(DA74&lt;=0,NM74-DA74*AMA73,NM74-MIN(MIN(DA74*AMA73,JZ74+NM74),NM74)),NM74)</f>
        <v>0</v>
      </c>
      <c r="NO74" s="20" t="n">
        <f aca="false">IF(H_Direct=1,IF(DB74&lt;=0,NN74-DB74*AMB73,NN74-MIN(MIN(DB74*AMB73,KA74+NN74),NN74)),NN74)</f>
        <v>0</v>
      </c>
      <c r="NP74" s="20" t="n">
        <f aca="false">IF(H_Direct=1,IF(DC74&lt;=0,NO74-DC74*AMC73,NO74-MIN(MIN(DC74*AMC73,KB74+NO74),NO74)),NO74)</f>
        <v>0</v>
      </c>
      <c r="NQ74" s="20" t="n">
        <f aca="false">IF(H_Direct=1,IF(DD74&lt;=0,NP74-DD74*AMD73,NP74-MIN(MIN(DD74*AMD73,KC74+NP74),NP74)),NP74)</f>
        <v>0</v>
      </c>
      <c r="NR74" s="20" t="n">
        <f aca="false">IF(H_Direct=1,IF(DE74&lt;=0,NQ74-DE74*AME73,NQ74-MIN(MIN(DE74*AME73,KD74+NQ74),NQ74)),NQ74)</f>
        <v>0</v>
      </c>
      <c r="NS74" s="20" t="n">
        <f aca="false">IF(H_Direct=1,IF(DF74&lt;=0,NR74-DF74*AMF73,NR74-MIN(MIN(DF74*AMF73,KE74+NR74),NR74)),NR74)</f>
        <v>0</v>
      </c>
      <c r="NT74" s="20" t="n">
        <f aca="false">IF(H_Direct=1,IF(DG74&lt;=0,NS74-DG74*AMG73,NS74-MIN(MIN(DG74*AMG73,KF74+NS74),NS74)),NS74)</f>
        <v>0</v>
      </c>
      <c r="NU74" s="20" t="n">
        <f aca="false">IF(H_Direct=1,IF(DH74&lt;=0,NT74-DH74*AMH73,NT74-MIN(MIN(DH74*AMH73,KG74+NT74),NT74)),NT74)</f>
        <v>0</v>
      </c>
      <c r="NV74" s="20" t="n">
        <f aca="false">IF(H_Direct=1,IF(DI74&lt;=0,NU74-DI74*AMI73,NU74-MIN(MIN(DI74*AMI73,KH74+NU74),NU74)),NU74)</f>
        <v>0</v>
      </c>
      <c r="NW74" s="20" t="n">
        <f aca="false">IF(H_Direct=1,IF(DJ74&lt;=0,NV74-DJ74*AMJ73,NV74-MIN(MIN(DJ74*AMJ73,KI74+NV74),NV74)),NV74)</f>
        <v>0</v>
      </c>
      <c r="NX74" s="20" t="n">
        <f aca="false">IF(H_Direct=1,IF(DK74&lt;=0,NW74-DK74*AMK73,NW74-MIN(MIN(DK74*AMK73,KJ74+NW74),NW74)),NW74)</f>
        <v>0</v>
      </c>
      <c r="NY74" s="20" t="n">
        <f aca="false">IF(H_Direct=1,IF(DL74&lt;=0,NX74-DL74*AML73,NX74-MIN(MIN(DL74*AML73,KK74+NX74),NX74)),NX74)</f>
        <v>0</v>
      </c>
      <c r="NZ74" s="20" t="n">
        <f aca="false">IF(H_Direct=1,IF(DM74&lt;=0,NY74-DM74*AMM73,NY74-MIN(MIN(DM74*AMM73,KL74+NY74),NY74)),NY74)</f>
        <v>0</v>
      </c>
      <c r="OA74" s="20" t="n">
        <f aca="false">IF(H_Direct=1,IF(DN74&lt;=0,NZ74-DN74*AMN73,NZ74-MIN(MIN(DN74*AMN73,KM74+NZ74),NZ74)),NZ74)</f>
        <v>0</v>
      </c>
      <c r="OB74" s="20" t="n">
        <f aca="false">IF(H_Direct=1,IF(DO74&lt;=0,OA74-DO74*AMO73,OA74-MIN(MIN(DO74*AMO73,KN74+OA74),OA74)),OA74)</f>
        <v>0</v>
      </c>
      <c r="OC74" s="20" t="n">
        <f aca="false">IF(H_Direct=1,IF(DP74&lt;=0,OB74-DP74*AMP73,OB74-MIN(MIN(DP74*AMP73,KO74+OB74),OB74)),OB74)</f>
        <v>0</v>
      </c>
      <c r="OD74" s="20" t="n">
        <f aca="false">IF(H_Direct=1,IF(DQ74&lt;=0,OC74-DQ74*AMQ73,OC74-MIN(MIN(DQ74*AMQ73,KP74+OC74),OC74)),OC74)</f>
        <v>0</v>
      </c>
      <c r="OE74" s="20" t="n">
        <f aca="false">IF(H_Direct=1,IF(DR74&lt;=0,OD74-DR74*AMR73,OD74-MIN(MIN(DR74*AMR73,KQ74+OD74),OD74)),OD74)</f>
        <v>0</v>
      </c>
      <c r="OF74" s="20" t="n">
        <f aca="false">IF(H_Direct=1,IF(DS74&lt;=0,OE74-DS74*AMS73,OE74-MIN(MIN(DS74*AMS73,KR74+OE74),OE74)),OE74)</f>
        <v>0</v>
      </c>
      <c r="OG74" s="20" t="n">
        <f aca="false">IF(H_Direct=1,IF(DT74&lt;=0,OF74-DT74*AMT73,OF74-MIN(MIN(DT74*AMT73,KS74+OF74),OF74)),OF74)</f>
        <v>0</v>
      </c>
      <c r="OH74" s="20" t="n">
        <f aca="false">IF(H_Direct=1,IF(DU74&lt;=0,OG74-DU74*AMU73,OG74-MIN(MIN(DU74*AMU73,KT74+OG74),OG74)),OG74)</f>
        <v>0</v>
      </c>
      <c r="OI74" s="20" t="n">
        <f aca="false">IF(H_Direct=1,IF(DV74&lt;=0,OH74-DV74*AMV73,OH74-MIN(MIN(DV74*AMV73,KU74+OH74),OH74)),OH74)</f>
        <v>0</v>
      </c>
      <c r="OJ74" s="20" t="n">
        <f aca="false">IF(H_Direct=1,IF(DW74&lt;=0,OI74-DW74*AMW73,OI74-MIN(MIN(DW74*AMW73,KV74+OI74),OI74)),OI74)</f>
        <v>0</v>
      </c>
      <c r="OK74" s="20" t="n">
        <f aca="false">IF(H_Direct=1,IF(DX74&lt;=0,OJ74-DX74*AMX73,OJ74-MIN(MIN(DX74*AMX73,KW74+OJ74),OJ74)),OJ74)</f>
        <v>0</v>
      </c>
      <c r="OL74" s="20" t="n">
        <f aca="false">IF(H_Direct=1,IF(DY74&lt;=0,OK74-DY74*AMY73,OK74-MIN(MIN(DY74*AMY73,KX74+OK74),OK74)),OK74)</f>
        <v>0</v>
      </c>
      <c r="OM74" s="20" t="n">
        <f aca="false">IF(H_Direct=1,IF(DZ74&lt;=0,OL74-DZ74*AMZ73,OL74-MIN(MIN(DZ74*AMZ73,KY74+OL74),OL74)),OL74)</f>
        <v>0</v>
      </c>
      <c r="ON74" s="20" t="n">
        <f aca="false">IF(H_Direct=1,IF(EA74&lt;=0,OM74-EA74*ANA73,OM74-MIN(MIN(EA74*ANA73,KZ74+OM74),OM74)),OM74)</f>
        <v>0</v>
      </c>
      <c r="OO74" s="20" t="n">
        <f aca="false">IF(H_Direct=1,IF(EB74&lt;=0,ON74-EB74*ANB73,ON74-MIN(MIN(EB74*ANB73,LA74+ON74),ON74)),ON74)</f>
        <v>0</v>
      </c>
      <c r="OP74" s="20" t="n">
        <f aca="false">IF(H_Direct=1,IF(EC74&lt;=0,OO74-EC74*ANC73,OO74-MIN(MIN(EC74*ANC73,LB74+OO74),OO74)),OO74)</f>
        <v>0</v>
      </c>
      <c r="OQ74" s="20" t="n">
        <f aca="false">IF(H_Direct=1,IF(ED74&lt;=0,OP74-ED74*AND73,OP74-MIN(MIN(ED74*AND73,LC74+OP74),OP74)),OP74)</f>
        <v>0</v>
      </c>
      <c r="OR74" s="20" t="n">
        <f aca="false">IF(H_Direct=1,IF(EE74&lt;=0,OQ74-EE74*ANE73,OQ74-MIN(MIN(EE74*ANE73,LD74+OQ74),OQ74)),OQ74)</f>
        <v>0</v>
      </c>
      <c r="OS74" s="20" t="n">
        <f aca="false">IF(H_Direct=1,IF(EF74&lt;=0,OR74-EF74*ANF73,OR74-MIN(MIN(EF74*ANF73,LE74+OR74),OR74)),OR74)</f>
        <v>0</v>
      </c>
      <c r="OT74" s="20" t="n">
        <f aca="false">IF(H_Direct=1,IF(EG74&lt;=0,OS74-EG74*(P74+S74),OS74-MIN(MIN(EG74*(P74+S74),LF74+OS74),OS74)),OS74)</f>
        <v>0</v>
      </c>
      <c r="OU74" s="20" t="n">
        <f aca="false">OT74</f>
        <v>0</v>
      </c>
      <c r="OV74" s="20" t="n">
        <f aca="false">OU74</f>
        <v>0</v>
      </c>
      <c r="OW74" s="20" t="n">
        <f aca="false">OV74</f>
        <v>0</v>
      </c>
      <c r="OX74" s="20" t="n">
        <f aca="false">OW74</f>
        <v>0</v>
      </c>
      <c r="OY74" s="20" t="n">
        <f aca="false">OX74</f>
        <v>0</v>
      </c>
      <c r="OZ74" s="20" t="n">
        <f aca="false">OY74</f>
        <v>0</v>
      </c>
      <c r="PA74" s="20" t="n">
        <f aca="false">OZ74</f>
        <v>0</v>
      </c>
      <c r="PB74" s="20" t="n">
        <f aca="false">PA74</f>
        <v>0</v>
      </c>
      <c r="PC74" s="20" t="n">
        <f aca="false">PB74</f>
        <v>0</v>
      </c>
      <c r="PD74" s="20" t="n">
        <f aca="false">PC74</f>
        <v>0</v>
      </c>
      <c r="PE74" s="20" t="n">
        <f aca="false">PD74</f>
        <v>0</v>
      </c>
      <c r="PF74" s="20" t="n">
        <f aca="false">PE74</f>
        <v>0</v>
      </c>
      <c r="PG74" s="20" t="n">
        <f aca="false">PF74</f>
        <v>0</v>
      </c>
      <c r="PH74" s="20" t="n">
        <f aca="false">PG74</f>
        <v>0</v>
      </c>
      <c r="PI74" s="20" t="n">
        <f aca="false">PH74</f>
        <v>0</v>
      </c>
      <c r="PJ74" s="20" t="n">
        <f aca="false">PI74</f>
        <v>0</v>
      </c>
      <c r="PK74" s="20" t="n">
        <f aca="false">PJ74</f>
        <v>0</v>
      </c>
      <c r="PL74" s="20" t="n">
        <f aca="false">PK74</f>
        <v>0</v>
      </c>
      <c r="PM74" s="20" t="n">
        <f aca="false">PL74</f>
        <v>0</v>
      </c>
      <c r="PN74" s="20" t="n">
        <f aca="false">PM74</f>
        <v>0</v>
      </c>
      <c r="PO74" s="20" t="n">
        <f aca="false">PN74</f>
        <v>0</v>
      </c>
      <c r="PP74" s="20" t="n">
        <f aca="false">PO74</f>
        <v>0</v>
      </c>
      <c r="PQ74" s="20" t="n">
        <f aca="false">PP74</f>
        <v>0</v>
      </c>
      <c r="PR74" s="20" t="n">
        <f aca="false">IF(H_Direct=1,IF(AKR73&lt;=0,0,IF(BR74&lt;=0,MIN(MAX(0,AB74),AKR73),MIN(MAX(0,AB74),AKR73-G74*MAX(0,BR74*AKR73-(H74+I74))))),MIN(FE74,MAX(0,AB74)))</f>
        <v>0</v>
      </c>
      <c r="PS74" s="20" t="n">
        <f aca="false">IF(H_Direct=1,IF(AKS73&lt;=0,0,IF(BS74&lt;=0,MIN(MAX(0,AB74-SUM(PR74:PR74)),AKS73),MIN(MAX(0,AB74-SUM(PR74:PR74)),AKS73-G74*MAX(0,BS74*AKS73-(WR74+AAE74))))),MIN(FF74,MAX(0,AB74-SUM(PR74:PR74))))</f>
        <v>0</v>
      </c>
      <c r="PT74" s="20" t="n">
        <f aca="false">IF(H_Direct=1,IF(AKT73&lt;=0,0,IF(BT74&lt;=0,MIN(MAX(0,AB74-SUM(PR74:PS74)),AKT73),MIN(MAX(0,AB74-SUM(PR74:PS74)),AKT73-G74*MAX(0,BT74*AKT73-(WS74+AAF74))))),MIN(FG74,MAX(0,AB74-SUM(PR74:PS74))))</f>
        <v>0</v>
      </c>
      <c r="PU74" s="20" t="n">
        <f aca="false">IF(H_Direct=1,IF(AKU73&lt;=0,0,IF(BU74&lt;=0,MIN(MAX(0,AB74-SUM(PR74:PT74)),AKU73),MIN(MAX(0,AB74-SUM(PR74:PT74)),AKU73-G74*MAX(0,BU74*AKU73-(WT74+AAG74))))),MIN(FH74,MAX(0,AB74-SUM(PR74:PT74))))</f>
        <v>0</v>
      </c>
      <c r="PV74" s="20" t="n">
        <f aca="false">IF(H_Direct=1,IF(AKV73&lt;=0,0,IF(BV74&lt;=0,MIN(MAX(0,AB74-SUM(PR74:PU74)),AKV73),MIN(MAX(0,AB74-SUM(PR74:PU74)),AKV73-G74*MAX(0,BV74*AKV73-(WU74+AAH74))))),MIN(FI74,MAX(0,AB74-SUM(PR74:PU74))))</f>
        <v>0</v>
      </c>
      <c r="PW74" s="20" t="n">
        <f aca="false">IF(H_Direct=1,IF(AKW73&lt;=0,0,IF(BW74&lt;=0,MIN(MAX(0,AB74-SUM(PR74:PV74)),AKW73),MIN(MAX(0,AB74-SUM(PR74:PV74)),AKW73-G74*MAX(0,BW74*AKW73-(WV74+AAI74))))),MIN(FJ74,MAX(0,AB74-SUM(PR74:PV74))))</f>
        <v>0</v>
      </c>
      <c r="PX74" s="20" t="n">
        <f aca="false">IF(H_Direct=1,IF(AKX73&lt;=0,0,IF(BX74&lt;=0,MIN(MAX(0,AB74-SUM(PR74:PW74)),AKX73),MIN(MAX(0,AB74-SUM(PR74:PW74)),AKX73-G74*MAX(0,BX74*AKX73-(WW74+AAJ74))))),MIN(FK74,MAX(0,AB74-SUM(PR74:PW74))))</f>
        <v>0</v>
      </c>
      <c r="PY74" s="20" t="n">
        <f aca="false">IF(H_Direct=1,IF(AKY73&lt;=0,0,IF(BY74&lt;=0,MIN(MAX(0,AB74-SUM(PR74:PX74)),AKY73),MIN(MAX(0,AB74-SUM(PR74:PX74)),AKY73-G74*MAX(0,BY74*AKY73-(WX74+AAK74))))),MIN(FL74,MAX(0,AB74-SUM(PR74:PX74))))</f>
        <v>0</v>
      </c>
      <c r="PZ74" s="20" t="n">
        <f aca="false">IF(H_Direct=1,IF(AKZ73&lt;=0,0,IF(BZ74&lt;=0,MIN(MAX(0,AB74-SUM(PR74:PY74)),AKZ73),MIN(MAX(0,AB74-SUM(PR74:PY74)),AKZ73-G74*MAX(0,BZ74*AKZ73-(WY74+AAL74))))),MIN(FM74,MAX(0,AB74-SUM(PR74:PY74))))</f>
        <v>0</v>
      </c>
      <c r="QA74" s="20" t="n">
        <f aca="false">IF(H_Direct=1,IF(ALA73&lt;=0,0,IF(CA74&lt;=0,MIN(MAX(0,AB74-SUM(PR74:PZ74)),ALA73),MIN(MAX(0,AB74-SUM(PR74:PZ74)),ALA73-G74*MAX(0,CA74*ALA73-(WZ74+AAM74))))),MIN(FN74,MAX(0,AB74-SUM(PR74:PZ74))))</f>
        <v>0</v>
      </c>
      <c r="QB74" s="20" t="n">
        <f aca="false">IF(H_Direct=1,IF(ALB73&lt;=0,0,IF(CB74&lt;=0,MIN(MAX(0,AB74-SUM(PR74:QA74)),ALB73),MIN(MAX(0,AB74-SUM(PR74:QA74)),ALB73-G74*MAX(0,CB74*ALB73-(XA74+AAN74))))),MIN(FO74,MAX(0,AB74-SUM(PR74:QA74))))</f>
        <v>0</v>
      </c>
      <c r="QC74" s="20" t="n">
        <f aca="false">IF(H_Direct=1,IF(ALC73&lt;=0,0,IF(CC74&lt;=0,MIN(MAX(0,AB74-SUM(PR74:QB74)),ALC73),MIN(MAX(0,AB74-SUM(PR74:QB74)),ALC73-G74*MAX(0,CC74*ALC73-(XB74+AAO74))))),MIN(FP74,MAX(0,AB74-SUM(PR74:QB74))))</f>
        <v>0</v>
      </c>
      <c r="QD74" s="20" t="n">
        <f aca="false">IF(H_Direct=1,IF(ALD73&lt;=0,0,IF(CD74&lt;=0,MIN(MAX(0,AB74-SUM(PR74:QC74)),ALD73),MIN(MAX(0,AB74-SUM(PR74:QC74)),ALD73-G74*MAX(0,CD74*ALD73-(XC74+AAP74))))),MIN(FQ74,MAX(0,AB74-SUM(PR74:QC74))))</f>
        <v>0</v>
      </c>
      <c r="QE74" s="20" t="n">
        <f aca="false">IF(H_Direct=1,IF(ALE73&lt;=0,0,IF(CE74&lt;=0,MIN(MAX(0,AB74-SUM(PR74:QD74)),ALE73),MIN(MAX(0,AB74-SUM(PR74:QD74)),ALE73-G74*MAX(0,CE74*ALE73-(XD74+AAQ74))))),MIN(FR74,MAX(0,AB74-SUM(PR74:QD74))))</f>
        <v>0</v>
      </c>
      <c r="QF74" s="20" t="n">
        <f aca="false">IF(H_Direct=1,IF(ALF73&lt;=0,0,IF(CF74&lt;=0,MIN(MAX(0,AB74-SUM(PR74:QE74)),ALF73),MIN(MAX(0,AB74-SUM(PR74:QE74)),ALF73-G74*MAX(0,CF74*ALF73-(XE74+AAR74))))),MIN(FS74,MAX(0,AB74-SUM(PR74:QE74))))</f>
        <v>0</v>
      </c>
      <c r="QG74" s="20" t="n">
        <f aca="false">IF(H_Direct=1,IF(ALG73&lt;=0,0,IF(CG74&lt;=0,MIN(MAX(0,AB74-SUM(PR74:QF74)),ALG73),MIN(MAX(0,AB74-SUM(PR74:QF74)),ALG73-G74*MAX(0,CG74*ALG73-(XF74+AAS74))))),MIN(FT74,MAX(0,AB74-SUM(PR74:QF74))))</f>
        <v>0</v>
      </c>
      <c r="QH74" s="20" t="n">
        <f aca="false">IF(H_Direct=1,IF(ALH73&lt;=0,0,IF(CH74&lt;=0,MIN(MAX(0,AB74-SUM(PR74:QG74)),ALH73),MIN(MAX(0,AB74-SUM(PR74:QG74)),ALH73-G74*MAX(0,CH74*ALH73-(XG74+AAT74))))),MIN(FU74,MAX(0,AB74-SUM(PR74:QG74))))</f>
        <v>0</v>
      </c>
      <c r="QI74" s="20" t="n">
        <f aca="false">IF(H_Direct=1,IF(ALI73&lt;=0,0,IF(CI74&lt;=0,MIN(MAX(0,AB74-SUM(PR74:QH74)),ALI73),MIN(MAX(0,AB74-SUM(PR74:QH74)),ALI73-G74*MAX(0,CI74*ALI73-(XH74+AAU74))))),MIN(FV74,MAX(0,AB74-SUM(PR74:QH74))))</f>
        <v>0</v>
      </c>
      <c r="QJ74" s="20" t="n">
        <f aca="false">IF(H_Direct=1,IF(ALJ73&lt;=0,0,IF(CJ74&lt;=0,MIN(MAX(0,AB74-SUM(PR74:QI74)),ALJ73),MIN(MAX(0,AB74-SUM(PR74:QI74)),ALJ73-G74*MAX(0,CJ74*ALJ73-(XI74+AAV74))))),MIN(FW74,MAX(0,AB74-SUM(PR74:QI74))))</f>
        <v>0</v>
      </c>
      <c r="QK74" s="20" t="n">
        <f aca="false">IF(H_Direct=1,IF(ALK73&lt;=0,0,IF(CK74&lt;=0,MIN(MAX(0,AB74-SUM(PR74:QJ74)),ALK73),MIN(MAX(0,AB74-SUM(PR74:QJ74)),ALK73-G74*MAX(0,CK74*ALK73-(XJ74+AAW74))))),MIN(FX74,MAX(0,AB74-SUM(PR74:QJ74))))</f>
        <v>0</v>
      </c>
      <c r="QL74" s="20" t="n">
        <f aca="false">IF(H_Direct=1,IF(ALL73&lt;=0,0,IF(CL74&lt;=0,MIN(MAX(0,AB74-SUM(PR74:QK74)),ALL73),MIN(MAX(0,AB74-SUM(PR74:QK74)),ALL73-G74*MAX(0,CL74*ALL73-(XK74+AAX74))))),MIN(FY74,MAX(0,AB74-SUM(PR74:QK74))))</f>
        <v>0</v>
      </c>
      <c r="QM74" s="20" t="n">
        <f aca="false">IF(H_Direct=1,IF(ALM73&lt;=0,0,IF(CM74&lt;=0,MIN(MAX(0,AB74-SUM(PR74:QL74)),ALM73),MIN(MAX(0,AB74-SUM(PR74:QL74)),ALM73-G74*MAX(0,CM74*ALM73-(XL74+AAY74))))),MIN(FZ74,MAX(0,AB74-SUM(PR74:QL74))))</f>
        <v>0</v>
      </c>
      <c r="QN74" s="20" t="n">
        <f aca="false">IF(H_Direct=1,IF(ALN73&lt;=0,0,IF(CN74&lt;=0,MIN(MAX(0,AB74-SUM(PR74:QM74)),ALN73),MIN(MAX(0,AB74-SUM(PR74:QM74)),ALN73-G74*MAX(0,CN74*ALN73-(XM74+AAZ74))))),MIN(GA74,MAX(0,AB74-SUM(PR74:QM74))))</f>
        <v>0</v>
      </c>
      <c r="QO74" s="20" t="n">
        <f aca="false">IF(H_Direct=1,IF(ALO73&lt;=0,0,IF(CO74&lt;=0,MIN(MAX(0,AB74-SUM(PR74:QN74)),ALO73),MIN(MAX(0,AB74-SUM(PR74:QN74)),ALO73-G74*MAX(0,CO74*ALO73-(XN74+ABA74))))),MIN(GB74,MAX(0,AB74-SUM(PR74:QN74))))</f>
        <v>0</v>
      </c>
      <c r="QP74" s="20" t="n">
        <f aca="false">IF(H_Direct=1,IF(ALP73&lt;=0,0,IF(CP74&lt;=0,MIN(MAX(0,AB74-SUM(PR74:QO74)),ALP73),MIN(MAX(0,AB74-SUM(PR74:QO74)),ALP73-G74*MAX(0,CP74*ALP73-(XO74+ABB74))))),MIN(GC74,MAX(0,AB74-SUM(PR74:QO74))))</f>
        <v>0</v>
      </c>
      <c r="QQ74" s="20" t="n">
        <f aca="false">IF(H_Direct=1,IF(ALQ73&lt;=0,0,IF(CQ74&lt;=0,MIN(MAX(0,AB74-SUM(PR74:QP74)),ALQ73),MIN(MAX(0,AB74-SUM(PR74:QP74)),ALQ73-G74*MAX(0,CQ74*ALQ73-(XP74+ABC74))))),MIN(GD74,MAX(0,AB74-SUM(PR74:QP74))))</f>
        <v>0</v>
      </c>
      <c r="QR74" s="20" t="n">
        <f aca="false">IF(H_Direct=1,IF(ALR73&lt;=0,0,IF(CR74&lt;=0,MIN(MAX(0,AB74-SUM(PR74:QQ74)),ALR73),MIN(MAX(0,AB74-SUM(PR74:QQ74)),ALR73-G74*MAX(0,CR74*ALR73-(XQ74+ABD74))))),MIN(GE74,MAX(0,AB74-SUM(PR74:QQ74))))</f>
        <v>0</v>
      </c>
      <c r="QS74" s="20" t="n">
        <f aca="false">IF(H_Direct=1,IF(ALS73&lt;=0,0,IF(CS74&lt;=0,MIN(MAX(0,AB74-SUM(PR74:QR74)),ALS73),MIN(MAX(0,AB74-SUM(PR74:QR74)),ALS73-G74*MAX(0,CS74*ALS73-(XR74+ABE74))))),MIN(GF74,MAX(0,AB74-SUM(PR74:QR74))))</f>
        <v>0</v>
      </c>
      <c r="QT74" s="20" t="n">
        <f aca="false">IF(H_Direct=1,IF(ALT73&lt;=0,0,IF(CT74&lt;=0,MIN(MAX(0,AB74-SUM(PR74:QS74)),ALT73),MIN(MAX(0,AB74-SUM(PR74:QS74)),ALT73-G74*MAX(0,CT74*ALT73-(XS74+ABF74))))),MIN(GG74,MAX(0,AB74-SUM(PR74:QS74))))</f>
        <v>0</v>
      </c>
      <c r="QU74" s="20" t="n">
        <f aca="false">IF(H_Direct=1,IF(ALU73&lt;=0,0,IF(CU74&lt;=0,MIN(MAX(0,AB74-SUM(PR74:QT74)),ALU73),MIN(MAX(0,AB74-SUM(PR74:QT74)),ALU73-G74*MAX(0,CU74*ALU73-(XT74+ABG74))))),MIN(GH74,MAX(0,AB74-SUM(PR74:QT74))))</f>
        <v>0</v>
      </c>
      <c r="QV74" s="20" t="n">
        <f aca="false">IF(H_Direct=1,IF(ALV73&lt;=0,0,IF(CV74&lt;=0,MIN(MAX(0,AB74-SUM(PR74:QU74)),ALV73),MIN(MAX(0,AB74-SUM(PR74:QU74)),ALV73-G74*MAX(0,CV74*ALV73-(XU74+ABH74))))),MIN(GI74,MAX(0,AB74-SUM(PR74:QU74))))</f>
        <v>0</v>
      </c>
      <c r="QW74" s="20" t="n">
        <f aca="false">IF(H_Direct=1,IF(ALW73&lt;=0,0,IF(CW74&lt;=0,MIN(MAX(0,AB74-SUM(PR74:QV74)),ALW73),MIN(MAX(0,AB74-SUM(PR74:QV74)),ALW73-G74*MAX(0,CW74*ALW73-(XV74+ABI74))))),MIN(GJ74,MAX(0,AB74-SUM(PR74:QV74))))</f>
        <v>0</v>
      </c>
      <c r="QX74" s="20" t="n">
        <f aca="false">IF(H_Direct=1,IF(ALX73&lt;=0,0,IF(CX74&lt;=0,MIN(MAX(0,AB74-SUM(PR74:QW74)),ALX73),MIN(MAX(0,AB74-SUM(PR74:QW74)),ALX73-G74*MAX(0,CX74*ALX73-(XW74+ABJ74))))),MIN(GK74,MAX(0,AB74-SUM(PR74:QW74))))</f>
        <v>0</v>
      </c>
      <c r="QY74" s="20" t="n">
        <f aca="false">IF(H_Direct=1,IF(ALY73&lt;=0,0,IF(CY74&lt;=0,MIN(MAX(0,AB74-SUM(PR74:QX74)),ALY73),MIN(MAX(0,AB74-SUM(PR74:QX74)),ALY73-G74*MAX(0,CY74*ALY73-(XX74+ABK74))))),MIN(GL74,MAX(0,AB74-SUM(PR74:QX74))))</f>
        <v>0</v>
      </c>
      <c r="QZ74" s="20" t="n">
        <f aca="false">IF(H_Direct=1,IF(ALZ73&lt;=0,0,IF(CZ74&lt;=0,MIN(MAX(0,AB74-SUM(PR74:QY74)),ALZ73),MIN(MAX(0,AB74-SUM(PR74:QY74)),ALZ73-G74*MAX(0,CZ74*ALZ73-(XY74+ABL74))))),MIN(GM74,MAX(0,AB74-SUM(PR74:QY74))))</f>
        <v>0</v>
      </c>
      <c r="RA74" s="20" t="n">
        <f aca="false">IF(H_Direct=1,IF(AMA73&lt;=0,0,IF(DA74&lt;=0,MIN(MAX(0,AB74-SUM(PR74:QZ74)),AMA73),MIN(MAX(0,AB74-SUM(PR74:QZ74)),AMA73-G74*MAX(0,DA74*AMA73-(XZ74+ABM74))))),MIN(GN74,MAX(0,AB74-SUM(PR74:QZ74))))</f>
        <v>0</v>
      </c>
      <c r="RB74" s="20" t="n">
        <f aca="false">IF(H_Direct=1,IF(AMB73&lt;=0,0,IF(DB74&lt;=0,MIN(MAX(0,AB74-SUM(PR74:RA74)),AMB73),MIN(MAX(0,AB74-SUM(PR74:RA74)),AMB73-G74*MAX(0,DB74*AMB73-(YA74+ABN74))))),MIN(GO74,MAX(0,AB74-SUM(PR74:RA74))))</f>
        <v>0</v>
      </c>
      <c r="RC74" s="20" t="n">
        <f aca="false">IF(H_Direct=1,IF(AMC73&lt;=0,0,IF(DC74&lt;=0,MIN(MAX(0,AB74-SUM(PR74:RB74)),AMC73),MIN(MAX(0,AB74-SUM(PR74:RB74)),AMC73-G74*MAX(0,DC74*AMC73-(YB74+ABO74))))),MIN(GP74,MAX(0,AB74-SUM(PR74:RB74))))</f>
        <v>0</v>
      </c>
      <c r="RD74" s="20" t="n">
        <f aca="false">IF(H_Direct=1,IF(AMD73&lt;=0,0,IF(DD74&lt;=0,MIN(MAX(0,AB74-SUM(PR74:RC74)),AMD73),MIN(MAX(0,AB74-SUM(PR74:RC74)),AMD73-G74*MAX(0,DD74*AMD73-(YC74+ABP74))))),MIN(GQ74,MAX(0,AB74-SUM(PR74:RC74))))</f>
        <v>0</v>
      </c>
      <c r="RE74" s="20" t="n">
        <f aca="false">IF(H_Direct=1,IF(AME73&lt;=0,0,IF(DE74&lt;=0,MIN(MAX(0,AB74-SUM(PR74:RD74)),AME73),MIN(MAX(0,AB74-SUM(PR74:RD74)),AME73-G74*MAX(0,DE74*AME73-(YD74+ABQ74))))),MIN(GR74,MAX(0,AB74-SUM(PR74:RD74))))</f>
        <v>0</v>
      </c>
      <c r="RF74" s="20" t="n">
        <f aca="false">IF(H_Direct=1,IF(AMF73&lt;=0,0,IF(DF74&lt;=0,MIN(MAX(0,AB74-SUM(PR74:RE74)),AMF73),MIN(MAX(0,AB74-SUM(PR74:RE74)),AMF73-G74*MAX(0,DF74*AMF73-(YE74+ABR74))))),MIN(GS74,MAX(0,AB74-SUM(PR74:RE74))))</f>
        <v>0</v>
      </c>
      <c r="RG74" s="20" t="n">
        <f aca="false">IF(H_Direct=1,IF(AMG73&lt;=0,0,IF(DG74&lt;=0,MIN(MAX(0,AB74-SUM(PR74:RF74)),AMG73),MIN(MAX(0,AB74-SUM(PR74:RF74)),AMG73-G74*MAX(0,DG74*AMG73-(YF74+ABS74))))),MIN(GT74,MAX(0,AB74-SUM(PR74:RF74))))</f>
        <v>0</v>
      </c>
      <c r="RH74" s="20" t="n">
        <f aca="false">IF(H_Direct=1,IF(AMH73&lt;=0,0,IF(DH74&lt;=0,MIN(MAX(0,AB74-SUM(PR74:RG74)),AMH73),MIN(MAX(0,AB74-SUM(PR74:RG74)),AMH73-G74*MAX(0,DH74*AMH73-(YG74+ABT74))))),MIN(GU74,MAX(0,AB74-SUM(PR74:RG74))))</f>
        <v>0</v>
      </c>
      <c r="RI74" s="20" t="n">
        <f aca="false">IF(H_Direct=1,IF(AMI73&lt;=0,0,IF(DI74&lt;=0,MIN(MAX(0,AB74-SUM(PR74:RH74)),AMI73),MIN(MAX(0,AB74-SUM(PR74:RH74)),AMI73-G74*MAX(0,DI74*AMI73-(YH74+ABU74))))),MIN(GV74,MAX(0,AB74-SUM(PR74:RH74))))</f>
        <v>0</v>
      </c>
      <c r="RJ74" s="20" t="n">
        <f aca="false">IF(H_Direct=1,IF(AMJ73&lt;=0,0,IF(DJ74&lt;=0,MIN(MAX(0,AB74-SUM(PR74:RI74)),AMJ73),MIN(MAX(0,AB74-SUM(PR74:RI74)),AMJ73-G74*MAX(0,DJ74*AMJ73-(YI74+ABV74))))),MIN(GW74,MAX(0,AB74-SUM(PR74:RI74))))</f>
        <v>0</v>
      </c>
      <c r="RK74" s="20" t="n">
        <f aca="false">IF(H_Direct=1,IF(AMK73&lt;=0,0,IF(DK74&lt;=0,MIN(MAX(0,AB74-SUM(PR74:RJ74)),AMK73),MIN(MAX(0,AB74-SUM(PR74:RJ74)),AMK73-G74*MAX(0,DK74*AMK73-(YJ74+ABW74))))),MIN(GX74,MAX(0,AB74-SUM(PR74:RJ74))))</f>
        <v>0</v>
      </c>
      <c r="RL74" s="20" t="n">
        <f aca="false">IF(H_Direct=1,IF(AML73&lt;=0,0,IF(DL74&lt;=0,MIN(MAX(0,AB74-SUM(PR74:RK74)),AML73),MIN(MAX(0,AB74-SUM(PR74:RK74)),AML73-G74*MAX(0,DL74*AML73-(YK74+ABX74))))),MIN(GY74,MAX(0,AB74-SUM(PR74:RK74))))</f>
        <v>0</v>
      </c>
      <c r="RM74" s="20" t="n">
        <f aca="false">IF(H_Direct=1,IF(AMM73&lt;=0,0,IF(DM74&lt;=0,MIN(MAX(0,AB74-SUM(PR74:RL74)),AMM73),MIN(MAX(0,AB74-SUM(PR74:RL74)),AMM73-G74*MAX(0,DM74*AMM73-(YL74+ABY74))))),MIN(GZ74,MAX(0,AB74-SUM(PR74:RL74))))</f>
        <v>0</v>
      </c>
      <c r="RN74" s="20" t="n">
        <f aca="false">IF(H_Direct=1,IF(AMN73&lt;=0,0,IF(DN74&lt;=0,MIN(MAX(0,AB74-SUM(PR74:RM74)),AMN73),MIN(MAX(0,AB74-SUM(PR74:RM74)),AMN73-G74*MAX(0,DN74*AMN73-(YM74+ABZ74))))),MIN(HA74,MAX(0,AB74-SUM(PR74:RM74))))</f>
        <v>0</v>
      </c>
      <c r="RO74" s="20" t="n">
        <f aca="false">IF(H_Direct=1,IF(AMO73&lt;=0,0,IF(DO74&lt;=0,MIN(MAX(0,AB74-SUM(PR74:RN74)),AMO73),MIN(MAX(0,AB74-SUM(PR74:RN74)),AMO73-G74*MAX(0,DO74*AMO73-(YN74+ACA74))))),MIN(HB74,MAX(0,AB74-SUM(PR74:RN74))))</f>
        <v>0</v>
      </c>
      <c r="RP74" s="20" t="n">
        <f aca="false">IF(H_Direct=1,IF(AMP73&lt;=0,0,IF(DP74&lt;=0,MIN(MAX(0,AB74-SUM(PR74:RO74)),AMP73),MIN(MAX(0,AB74-SUM(PR74:RO74)),AMP73-G74*MAX(0,DP74*AMP73-(YO74+ACB74))))),MIN(HC74,MAX(0,AB74-SUM(PR74:RO74))))</f>
        <v>0</v>
      </c>
      <c r="RQ74" s="20" t="n">
        <f aca="false">IF(H_Direct=1,IF(AMQ73&lt;=0,0,IF(DQ74&lt;=0,MIN(MAX(0,AB74-SUM(PR74:RP74)),AMQ73),MIN(MAX(0,AB74-SUM(PR74:RP74)),AMQ73-G74*MAX(0,DQ74*AMQ73-(YP74+ACC74))))),MIN(HD74,MAX(0,AB74-SUM(PR74:RP74))))</f>
        <v>0</v>
      </c>
      <c r="RR74" s="20" t="n">
        <f aca="false">IF(H_Direct=1,IF(AMR73&lt;=0,0,IF(DR74&lt;=0,MIN(MAX(0,AB74-SUM(PR74:RQ74)),AMR73),MIN(MAX(0,AB74-SUM(PR74:RQ74)),AMR73-G74*MAX(0,DR74*AMR73-(YQ74+ACD74))))),MIN(HE74,MAX(0,AB74-SUM(PR74:RQ74))))</f>
        <v>0</v>
      </c>
      <c r="RS74" s="20" t="n">
        <f aca="false">IF(H_Direct=1,IF(AMS73&lt;=0,0,IF(DS74&lt;=0,MIN(MAX(0,AB74-SUM(PR74:RR74)),AMS73),MIN(MAX(0,AB74-SUM(PR74:RR74)),AMS73-G74*MAX(0,DS74*AMS73-(YR74+ACE74))))),MIN(HF74,MAX(0,AB74-SUM(PR74:RR74))))</f>
        <v>0</v>
      </c>
      <c r="RT74" s="20" t="n">
        <f aca="false">IF(H_Direct=1,IF(AMT73&lt;=0,0,IF(DT74&lt;=0,MIN(MAX(0,AB74-SUM(PR74:RS74)),AMT73),MIN(MAX(0,AB74-SUM(PR74:RS74)),AMT73-G74*MAX(0,DT74*AMT73-(YS74+ACF74))))),MIN(HG74,MAX(0,AB74-SUM(PR74:RS74))))</f>
        <v>0</v>
      </c>
      <c r="RU74" s="20" t="n">
        <f aca="false">IF(H_Direct=1,IF(AMU73&lt;=0,0,IF(DU74&lt;=0,MIN(MAX(0,AB74-SUM(PR74:RT74)),AMU73),MIN(MAX(0,AB74-SUM(PR74:RT74)),AMU73-G74*MAX(0,DU74*AMU73-(YT74+ACG74))))),MIN(HH74,MAX(0,AB74-SUM(PR74:RT74))))</f>
        <v>0</v>
      </c>
      <c r="RV74" s="20" t="n">
        <f aca="false">IF(H_Direct=1,IF(AMV73&lt;=0,0,IF(DV74&lt;=0,MIN(MAX(0,AB74-SUM(PR74:RU74)),AMV73),MIN(MAX(0,AB74-SUM(PR74:RU74)),AMV73-G74*MAX(0,DV74*AMV73-(YU74+ACH74))))),MIN(HI74,MAX(0,AB74-SUM(PR74:RU74))))</f>
        <v>0</v>
      </c>
      <c r="RW74" s="20" t="n">
        <f aca="false">IF(H_Direct=1,IF(AMW73&lt;=0,0,IF(DW74&lt;=0,MIN(MAX(0,AB74-SUM(PR74:RV74)),AMW73),MIN(MAX(0,AB74-SUM(PR74:RV74)),AMW73-G74*MAX(0,DW74*AMW73-(YV74+ACI74))))),MIN(HJ74,MAX(0,AB74-SUM(PR74:RV74))))</f>
        <v>0</v>
      </c>
      <c r="RX74" s="20" t="n">
        <f aca="false">IF(H_Direct=1,IF(AMX73&lt;=0,0,IF(DX74&lt;=0,MIN(MAX(0,AB74-SUM(PR74:RW74)),AMX73),MIN(MAX(0,AB74-SUM(PR74:RW74)),AMX73-G74*MAX(0,DX74*AMX73-(YW74+ACJ74))))),MIN(HK74,MAX(0,AB74-SUM(PR74:RW74))))</f>
        <v>0</v>
      </c>
      <c r="RY74" s="20" t="n">
        <f aca="false">IF(H_Direct=1,IF(AMY73&lt;=0,0,IF(DY74&lt;=0,MIN(MAX(0,AB74-SUM(PR74:RX74)),AMY73),MIN(MAX(0,AB74-SUM(PR74:RX74)),AMY73-G74*MAX(0,DY74*AMY73-(YX74+ACK74))))),MIN(HL74,MAX(0,AB74-SUM(PR74:RX74))))</f>
        <v>0</v>
      </c>
      <c r="RZ74" s="20" t="n">
        <f aca="false">IF(H_Direct=1,IF(AMZ73&lt;=0,0,IF(DZ74&lt;=0,MIN(MAX(0,AB74-SUM(PR74:RY74)),AMZ73),MIN(MAX(0,AB74-SUM(PR74:RY74)),AMZ73-G74*MAX(0,DZ74*AMZ73-(YY74+ACL74))))),MIN(HM74,MAX(0,AB74-SUM(PR74:RY74))))</f>
        <v>0</v>
      </c>
      <c r="SA74" s="20" t="n">
        <f aca="false">IF(H_Direct=1,IF(ANA73&lt;=0,0,IF(EA74&lt;=0,MIN(MAX(0,AB74-SUM(PR74:RZ74)),ANA73),MIN(MAX(0,AB74-SUM(PR74:RZ74)),ANA73-G74*MAX(0,EA74*ANA73-(YZ74+ACM74))))),MIN(HN74,MAX(0,AB74-SUM(PR74:RZ74))))</f>
        <v>0</v>
      </c>
      <c r="SB74" s="20" t="n">
        <f aca="false">IF(H_Direct=1,IF(ANB73&lt;=0,0,IF(EB74&lt;=0,MIN(MAX(0,AB74-SUM(PR74:SA74)),ANB73),MIN(MAX(0,AB74-SUM(PR74:SA74)),ANB73-G74*MAX(0,EB74*ANB73-(ZA74+ACN74))))),MIN(HO74,MAX(0,AB74-SUM(PR74:SA74))))</f>
        <v>0</v>
      </c>
      <c r="SC74" s="20" t="n">
        <f aca="false">IF(H_Direct=1,IF(ANC73&lt;=0,0,IF(EC74&lt;=0,MIN(MAX(0,AB74-SUM(PR74:SB74)),ANC73),MIN(MAX(0,AB74-SUM(PR74:SB74)),ANC73-G74*MAX(0,EC74*ANC73-(ZB74+ACO74))))),MIN(HP74,MAX(0,AB74-SUM(PR74:SB74))))</f>
        <v>0</v>
      </c>
      <c r="SD74" s="20" t="n">
        <f aca="false">IF(H_Direct=1,IF(AND73&lt;=0,0,IF(ED74&lt;=0,MIN(MAX(0,AB74-SUM(PR74:SC74)),AND73),MIN(MAX(0,AB74-SUM(PR74:SC74)),AND73-G74*MAX(0,ED74*AND73-(ZC74+ACP74))))),MIN(HQ74,MAX(0,AB74-SUM(PR74:SC74))))</f>
        <v>0</v>
      </c>
      <c r="SE74" s="20" t="n">
        <f aca="false">IF(H_Direct=1,IF(ANE73&lt;=0,0,IF(EE74&lt;=0,MIN(MAX(0,AB74-SUM(PR74:SD74)),ANE73),MIN(MAX(0,AB74-SUM(PR74:SD74)),ANE73-G74*MAX(0,EE74*ANE73-(ZD74+ACQ74))))),MIN(HR74,MAX(0,AB74-SUM(PR74:SD74))))</f>
        <v>0</v>
      </c>
      <c r="SF74" s="20" t="n">
        <f aca="false">IF(H_Direct=1,IF(ANF73&lt;=0,0,IF(EF74&lt;=0,MIN(MAX(0,AB74-SUM(PR74:SE74)),ANF73),MIN(MAX(0,AB74-SUM(PR74:SE74)),ANF73-G74*MAX(0,EF74*ANF73-(ZE74+ACR74))))),MIN(HS74,MAX(0,AB74-SUM(PR74:SE74))))</f>
        <v>0</v>
      </c>
      <c r="SG74" s="20" t="n">
        <f aca="false">IF(H_Direct=1,IF((P74+S74)&lt;=0,0,IF(EG74&lt;=0,MIN(MAX(0,AB74-SUM(PR74:SF74)),(P74+S74)),MIN(MAX(0,AB74-SUM(PR74:SF74)),(P74+S74)-G74*MAX(0,EG74*(P74+S74)-(ZF74+ACS74))))),MIN(HT74,MAX(0,AB74-SUM(PR74:SF74))))</f>
        <v>0</v>
      </c>
      <c r="SH74" s="20" t="n">
        <v>0</v>
      </c>
      <c r="SI74" s="20" t="n">
        <v>0</v>
      </c>
      <c r="SJ74" s="20" t="n">
        <v>0</v>
      </c>
      <c r="SK74" s="20" t="n">
        <v>0</v>
      </c>
      <c r="SL74" s="20" t="n">
        <v>0</v>
      </c>
      <c r="SM74" s="20" t="n">
        <v>0</v>
      </c>
      <c r="SN74" s="20" t="n">
        <v>0</v>
      </c>
      <c r="SO74" s="20" t="n">
        <v>0</v>
      </c>
      <c r="SP74" s="20" t="n">
        <v>0</v>
      </c>
      <c r="SQ74" s="20" t="n">
        <v>0</v>
      </c>
      <c r="SR74" s="20" t="n">
        <v>0</v>
      </c>
      <c r="SS74" s="20" t="n">
        <v>0</v>
      </c>
      <c r="ST74" s="20" t="n">
        <v>0</v>
      </c>
      <c r="SU74" s="20" t="n">
        <v>0</v>
      </c>
      <c r="SV74" s="20" t="n">
        <v>0</v>
      </c>
      <c r="SW74" s="20" t="n">
        <v>0</v>
      </c>
      <c r="SX74" s="20" t="n">
        <v>0</v>
      </c>
      <c r="SY74" s="20" t="n">
        <v>0</v>
      </c>
      <c r="SZ74" s="20" t="n">
        <v>0</v>
      </c>
      <c r="TA74" s="20" t="n">
        <v>0</v>
      </c>
      <c r="TB74" s="20" t="n">
        <v>0</v>
      </c>
      <c r="TC74" s="20" t="n">
        <v>0</v>
      </c>
      <c r="TD74" s="20" t="n">
        <v>0</v>
      </c>
      <c r="TE74" s="20" t="n">
        <f aca="false">IF(AKR73&lt;=0,0,IF(H_Direct=1,IF(BR74&lt;=0,PR74,IF(PR74&lt;=(H74+I74)/BR74,PR74,(PR74-G74*(H74+I74))/(1-G74*BR74))),PR74/(1-MAX(0,BR74)*H_Exit)))</f>
        <v>0</v>
      </c>
      <c r="TF74" s="20" t="n">
        <f aca="false">IF(AKS73&lt;=0,0,IF(H_Direct=1,IF(BS74&lt;=0,PS74,IF(PS74&lt;=(WR74+AAE74)/BS74,PS74,(PS74-G74*(WR74+AAE74))/(1-G74*BS74))),PS74/(1-MAX(0,BS74)*H_Exit)))</f>
        <v>0</v>
      </c>
      <c r="TG74" s="20" t="n">
        <f aca="false">IF(AKT73&lt;=0,0,IF(H_Direct=1,IF(BT74&lt;=0,PT74,IF(PT74&lt;=(WS74+AAF74)/BT74,PT74,(PT74-G74*(WS74+AAF74))/(1-G74*BT74))),PT74/(1-MAX(0,BT74)*H_Exit)))</f>
        <v>0</v>
      </c>
      <c r="TH74" s="20" t="n">
        <f aca="false">IF(AKU73&lt;=0,0,IF(H_Direct=1,IF(BU74&lt;=0,PU74,IF(PU74&lt;=(WT74+AAG74)/BU74,PU74,(PU74-G74*(WT74+AAG74))/(1-G74*BU74))),PU74/(1-MAX(0,BU74)*H_Exit)))</f>
        <v>0</v>
      </c>
      <c r="TI74" s="20" t="n">
        <f aca="false">IF(AKV73&lt;=0,0,IF(H_Direct=1,IF(BV74&lt;=0,PV74,IF(PV74&lt;=(WU74+AAH74)/BV74,PV74,(PV74-G74*(WU74+AAH74))/(1-G74*BV74))),PV74/(1-MAX(0,BV74)*H_Exit)))</f>
        <v>0</v>
      </c>
      <c r="TJ74" s="20" t="n">
        <f aca="false">IF(AKW73&lt;=0,0,IF(H_Direct=1,IF(BW74&lt;=0,PW74,IF(PW74&lt;=(WV74+AAI74)/BW74,PW74,(PW74-G74*(WV74+AAI74))/(1-G74*BW74))),PW74/(1-MAX(0,BW74)*H_Exit)))</f>
        <v>0</v>
      </c>
      <c r="TK74" s="20" t="n">
        <f aca="false">IF(AKX73&lt;=0,0,IF(H_Direct=1,IF(BX74&lt;=0,PX74,IF(PX74&lt;=(WW74+AAJ74)/BX74,PX74,(PX74-G74*(WW74+AAJ74))/(1-G74*BX74))),PX74/(1-MAX(0,BX74)*H_Exit)))</f>
        <v>0</v>
      </c>
      <c r="TL74" s="20" t="n">
        <f aca="false">IF(AKY73&lt;=0,0,IF(H_Direct=1,IF(BY74&lt;=0,PY74,IF(PY74&lt;=(WX74+AAK74)/BY74,PY74,(PY74-G74*(WX74+AAK74))/(1-G74*BY74))),PY74/(1-MAX(0,BY74)*H_Exit)))</f>
        <v>0</v>
      </c>
      <c r="TM74" s="20" t="n">
        <f aca="false">IF(AKZ73&lt;=0,0,IF(H_Direct=1,IF(BZ74&lt;=0,PZ74,IF(PZ74&lt;=(WY74+AAL74)/BZ74,PZ74,(PZ74-G74*(WY74+AAL74))/(1-G74*BZ74))),PZ74/(1-MAX(0,BZ74)*H_Exit)))</f>
        <v>0</v>
      </c>
      <c r="TN74" s="20" t="n">
        <f aca="false">IF(ALA73&lt;=0,0,IF(H_Direct=1,IF(CA74&lt;=0,QA74,IF(QA74&lt;=(WZ74+AAM74)/CA74,QA74,(QA74-G74*(WZ74+AAM74))/(1-G74*CA74))),QA74/(1-MAX(0,CA74)*H_Exit)))</f>
        <v>0</v>
      </c>
      <c r="TO74" s="20" t="n">
        <f aca="false">IF(ALB73&lt;=0,0,IF(H_Direct=1,IF(CB74&lt;=0,QB74,IF(QB74&lt;=(XA74+AAN74)/CB74,QB74,(QB74-G74*(XA74+AAN74))/(1-G74*CB74))),QB74/(1-MAX(0,CB74)*H_Exit)))</f>
        <v>0</v>
      </c>
      <c r="TP74" s="20" t="n">
        <f aca="false">IF(ALC73&lt;=0,0,IF(H_Direct=1,IF(CC74&lt;=0,QC74,IF(QC74&lt;=(XB74+AAO74)/CC74,QC74,(QC74-G74*(XB74+AAO74))/(1-G74*CC74))),QC74/(1-MAX(0,CC74)*H_Exit)))</f>
        <v>0</v>
      </c>
      <c r="TQ74" s="20" t="n">
        <f aca="false">IF(ALD73&lt;=0,0,IF(H_Direct=1,IF(CD74&lt;=0,QD74,IF(QD74&lt;=(XC74+AAP74)/CD74,QD74,(QD74-G74*(XC74+AAP74))/(1-G74*CD74))),QD74/(1-MAX(0,CD74)*H_Exit)))</f>
        <v>0</v>
      </c>
      <c r="TR74" s="20" t="n">
        <f aca="false">IF(ALE73&lt;=0,0,IF(H_Direct=1,IF(CE74&lt;=0,QE74,IF(QE74&lt;=(XD74+AAQ74)/CE74,QE74,(QE74-G74*(XD74+AAQ74))/(1-G74*CE74))),QE74/(1-MAX(0,CE74)*H_Exit)))</f>
        <v>0</v>
      </c>
      <c r="TS74" s="20" t="n">
        <f aca="false">IF(ALF73&lt;=0,0,IF(H_Direct=1,IF(CF74&lt;=0,QF74,IF(QF74&lt;=(XE74+AAR74)/CF74,QF74,(QF74-G74*(XE74+AAR74))/(1-G74*CF74))),QF74/(1-MAX(0,CF74)*H_Exit)))</f>
        <v>0</v>
      </c>
      <c r="TT74" s="20" t="n">
        <f aca="false">IF(ALG73&lt;=0,0,IF(H_Direct=1,IF(CG74&lt;=0,QG74,IF(QG74&lt;=(XF74+AAS74)/CG74,QG74,(QG74-G74*(XF74+AAS74))/(1-G74*CG74))),QG74/(1-MAX(0,CG74)*H_Exit)))</f>
        <v>0</v>
      </c>
      <c r="TU74" s="20" t="n">
        <f aca="false">IF(ALH73&lt;=0,0,IF(H_Direct=1,IF(CH74&lt;=0,QH74,IF(QH74&lt;=(XG74+AAT74)/CH74,QH74,(QH74-G74*(XG74+AAT74))/(1-G74*CH74))),QH74/(1-MAX(0,CH74)*H_Exit)))</f>
        <v>0</v>
      </c>
      <c r="TV74" s="20" t="n">
        <f aca="false">IF(ALI73&lt;=0,0,IF(H_Direct=1,IF(CI74&lt;=0,QI74,IF(QI74&lt;=(XH74+AAU74)/CI74,QI74,(QI74-G74*(XH74+AAU74))/(1-G74*CI74))),QI74/(1-MAX(0,CI74)*H_Exit)))</f>
        <v>0</v>
      </c>
      <c r="TW74" s="20" t="n">
        <f aca="false">IF(ALJ73&lt;=0,0,IF(H_Direct=1,IF(CJ74&lt;=0,QJ74,IF(QJ74&lt;=(XI74+AAV74)/CJ74,QJ74,(QJ74-G74*(XI74+AAV74))/(1-G74*CJ74))),QJ74/(1-MAX(0,CJ74)*H_Exit)))</f>
        <v>0</v>
      </c>
      <c r="TX74" s="20" t="n">
        <f aca="false">IF(ALK73&lt;=0,0,IF(H_Direct=1,IF(CK74&lt;=0,QK74,IF(QK74&lt;=(XJ74+AAW74)/CK74,QK74,(QK74-G74*(XJ74+AAW74))/(1-G74*CK74))),QK74/(1-MAX(0,CK74)*H_Exit)))</f>
        <v>0</v>
      </c>
      <c r="TY74" s="20" t="n">
        <f aca="false">IF(ALL73&lt;=0,0,IF(H_Direct=1,IF(CL74&lt;=0,QL74,IF(QL74&lt;=(XK74+AAX74)/CL74,QL74,(QL74-G74*(XK74+AAX74))/(1-G74*CL74))),QL74/(1-MAX(0,CL74)*H_Exit)))</f>
        <v>0</v>
      </c>
      <c r="TZ74" s="20" t="n">
        <f aca="false">IF(ALM73&lt;=0,0,IF(H_Direct=1,IF(CM74&lt;=0,QM74,IF(QM74&lt;=(XL74+AAY74)/CM74,QM74,(QM74-G74*(XL74+AAY74))/(1-G74*CM74))),QM74/(1-MAX(0,CM74)*H_Exit)))</f>
        <v>0</v>
      </c>
      <c r="UA74" s="20" t="n">
        <f aca="false">IF(ALN73&lt;=0,0,IF(H_Direct=1,IF(CN74&lt;=0,QN74,IF(QN74&lt;=(XM74+AAZ74)/CN74,QN74,(QN74-G74*(XM74+AAZ74))/(1-G74*CN74))),QN74/(1-MAX(0,CN74)*H_Exit)))</f>
        <v>0</v>
      </c>
      <c r="UB74" s="20" t="n">
        <f aca="false">IF(ALO73&lt;=0,0,IF(H_Direct=1,IF(CO74&lt;=0,QO74,IF(QO74&lt;=(XN74+ABA74)/CO74,QO74,(QO74-G74*(XN74+ABA74))/(1-G74*CO74))),QO74/(1-MAX(0,CO74)*H_Exit)))</f>
        <v>0</v>
      </c>
      <c r="UC74" s="20" t="n">
        <f aca="false">IF(ALP73&lt;=0,0,IF(H_Direct=1,IF(CP74&lt;=0,QP74,IF(QP74&lt;=(XO74+ABB74)/CP74,QP74,(QP74-G74*(XO74+ABB74))/(1-G74*CP74))),QP74/(1-MAX(0,CP74)*H_Exit)))</f>
        <v>0</v>
      </c>
      <c r="UD74" s="20" t="n">
        <f aca="false">IF(ALQ73&lt;=0,0,IF(H_Direct=1,IF(CQ74&lt;=0,QQ74,IF(QQ74&lt;=(XP74+ABC74)/CQ74,QQ74,(QQ74-G74*(XP74+ABC74))/(1-G74*CQ74))),QQ74/(1-MAX(0,CQ74)*H_Exit)))</f>
        <v>0</v>
      </c>
      <c r="UE74" s="20" t="n">
        <f aca="false">IF(ALR73&lt;=0,0,IF(H_Direct=1,IF(CR74&lt;=0,QR74,IF(QR74&lt;=(XQ74+ABD74)/CR74,QR74,(QR74-G74*(XQ74+ABD74))/(1-G74*CR74))),QR74/(1-MAX(0,CR74)*H_Exit)))</f>
        <v>0</v>
      </c>
      <c r="UF74" s="20" t="n">
        <f aca="false">IF(ALS73&lt;=0,0,IF(H_Direct=1,IF(CS74&lt;=0,QS74,IF(QS74&lt;=(XR74+ABE74)/CS74,QS74,(QS74-G74*(XR74+ABE74))/(1-G74*CS74))),QS74/(1-MAX(0,CS74)*H_Exit)))</f>
        <v>0</v>
      </c>
      <c r="UG74" s="20" t="n">
        <f aca="false">IF(ALT73&lt;=0,0,IF(H_Direct=1,IF(CT74&lt;=0,QT74,IF(QT74&lt;=(XS74+ABF74)/CT74,QT74,(QT74-G74*(XS74+ABF74))/(1-G74*CT74))),QT74/(1-MAX(0,CT74)*H_Exit)))</f>
        <v>0</v>
      </c>
      <c r="UH74" s="20" t="n">
        <f aca="false">IF(ALU73&lt;=0,0,IF(H_Direct=1,IF(CU74&lt;=0,QU74,IF(QU74&lt;=(XT74+ABG74)/CU74,QU74,(QU74-G74*(XT74+ABG74))/(1-G74*CU74))),QU74/(1-MAX(0,CU74)*H_Exit)))</f>
        <v>0</v>
      </c>
      <c r="UI74" s="20" t="n">
        <f aca="false">IF(ALV73&lt;=0,0,IF(H_Direct=1,IF(CV74&lt;=0,QV74,IF(QV74&lt;=(XU74+ABH74)/CV74,QV74,(QV74-G74*(XU74+ABH74))/(1-G74*CV74))),QV74/(1-MAX(0,CV74)*H_Exit)))</f>
        <v>0</v>
      </c>
      <c r="UJ74" s="20" t="n">
        <f aca="false">IF(ALW73&lt;=0,0,IF(H_Direct=1,IF(CW74&lt;=0,QW74,IF(QW74&lt;=(XV74+ABI74)/CW74,QW74,(QW74-G74*(XV74+ABI74))/(1-G74*CW74))),QW74/(1-MAX(0,CW74)*H_Exit)))</f>
        <v>0</v>
      </c>
      <c r="UK74" s="20" t="n">
        <f aca="false">IF(ALX73&lt;=0,0,IF(H_Direct=1,IF(CX74&lt;=0,QX74,IF(QX74&lt;=(XW74+ABJ74)/CX74,QX74,(QX74-G74*(XW74+ABJ74))/(1-G74*CX74))),QX74/(1-MAX(0,CX74)*H_Exit)))</f>
        <v>0</v>
      </c>
      <c r="UL74" s="20" t="n">
        <f aca="false">IF(ALY73&lt;=0,0,IF(H_Direct=1,IF(CY74&lt;=0,QY74,IF(QY74&lt;=(XX74+ABK74)/CY74,QY74,(QY74-G74*(XX74+ABK74))/(1-G74*CY74))),QY74/(1-MAX(0,CY74)*H_Exit)))</f>
        <v>0</v>
      </c>
      <c r="UM74" s="20" t="n">
        <f aca="false">IF(ALZ73&lt;=0,0,IF(H_Direct=1,IF(CZ74&lt;=0,QZ74,IF(QZ74&lt;=(XY74+ABL74)/CZ74,QZ74,(QZ74-G74*(XY74+ABL74))/(1-G74*CZ74))),QZ74/(1-MAX(0,CZ74)*H_Exit)))</f>
        <v>0</v>
      </c>
      <c r="UN74" s="20" t="n">
        <f aca="false">IF(AMA73&lt;=0,0,IF(H_Direct=1,IF(DA74&lt;=0,RA74,IF(RA74&lt;=(XZ74+ABM74)/DA74,RA74,(RA74-G74*(XZ74+ABM74))/(1-G74*DA74))),RA74/(1-MAX(0,DA74)*H_Exit)))</f>
        <v>0</v>
      </c>
      <c r="UO74" s="20" t="n">
        <f aca="false">IF(AMB73&lt;=0,0,IF(H_Direct=1,IF(DB74&lt;=0,RB74,IF(RB74&lt;=(YA74+ABN74)/DB74,RB74,(RB74-G74*(YA74+ABN74))/(1-G74*DB74))),RB74/(1-MAX(0,DB74)*H_Exit)))</f>
        <v>0</v>
      </c>
      <c r="UP74" s="20" t="n">
        <f aca="false">IF(AMC73&lt;=0,0,IF(H_Direct=1,IF(DC74&lt;=0,RC74,IF(RC74&lt;=(YB74+ABO74)/DC74,RC74,(RC74-G74*(YB74+ABO74))/(1-G74*DC74))),RC74/(1-MAX(0,DC74)*H_Exit)))</f>
        <v>0</v>
      </c>
      <c r="UQ74" s="20" t="n">
        <f aca="false">IF(AMD73&lt;=0,0,IF(H_Direct=1,IF(DD74&lt;=0,RD74,IF(RD74&lt;=(YC74+ABP74)/DD74,RD74,(RD74-G74*(YC74+ABP74))/(1-G74*DD74))),RD74/(1-MAX(0,DD74)*H_Exit)))</f>
        <v>0</v>
      </c>
      <c r="UR74" s="20" t="n">
        <f aca="false">IF(AME73&lt;=0,0,IF(H_Direct=1,IF(DE74&lt;=0,RE74,IF(RE74&lt;=(YD74+ABQ74)/DE74,RE74,(RE74-G74*(YD74+ABQ74))/(1-G74*DE74))),RE74/(1-MAX(0,DE74)*H_Exit)))</f>
        <v>0</v>
      </c>
      <c r="US74" s="20" t="n">
        <f aca="false">IF(AMF73&lt;=0,0,IF(H_Direct=1,IF(DF74&lt;=0,RF74,IF(RF74&lt;=(YE74+ABR74)/DF74,RF74,(RF74-G74*(YE74+ABR74))/(1-G74*DF74))),RF74/(1-MAX(0,DF74)*H_Exit)))</f>
        <v>0</v>
      </c>
      <c r="UT74" s="20" t="n">
        <f aca="false">IF(AMG73&lt;=0,0,IF(H_Direct=1,IF(DG74&lt;=0,RG74,IF(RG74&lt;=(YF74+ABS74)/DG74,RG74,(RG74-G74*(YF74+ABS74))/(1-G74*DG74))),RG74/(1-MAX(0,DG74)*H_Exit)))</f>
        <v>0</v>
      </c>
      <c r="UU74" s="20" t="n">
        <f aca="false">IF(AMH73&lt;=0,0,IF(H_Direct=1,IF(DH74&lt;=0,RH74,IF(RH74&lt;=(YG74+ABT74)/DH74,RH74,(RH74-G74*(YG74+ABT74))/(1-G74*DH74))),RH74/(1-MAX(0,DH74)*H_Exit)))</f>
        <v>0</v>
      </c>
      <c r="UV74" s="20" t="n">
        <f aca="false">IF(AMI73&lt;=0,0,IF(H_Direct=1,IF(DI74&lt;=0,RI74,IF(RI74&lt;=(YH74+ABU74)/DI74,RI74,(RI74-G74*(YH74+ABU74))/(1-G74*DI74))),RI74/(1-MAX(0,DI74)*H_Exit)))</f>
        <v>0</v>
      </c>
      <c r="UW74" s="20" t="n">
        <f aca="false">IF(AMJ73&lt;=0,0,IF(H_Direct=1,IF(DJ74&lt;=0,RJ74,IF(RJ74&lt;=(YI74+ABV74)/DJ74,RJ74,(RJ74-G74*(YI74+ABV74))/(1-G74*DJ74))),RJ74/(1-MAX(0,DJ74)*H_Exit)))</f>
        <v>0</v>
      </c>
      <c r="UX74" s="20" t="n">
        <f aca="false">IF(AMK73&lt;=0,0,IF(H_Direct=1,IF(DK74&lt;=0,RK74,IF(RK74&lt;=(YJ74+ABW74)/DK74,RK74,(RK74-G74*(YJ74+ABW74))/(1-G74*DK74))),RK74/(1-MAX(0,DK74)*H_Exit)))</f>
        <v>0</v>
      </c>
      <c r="UY74" s="20" t="n">
        <f aca="false">IF(AML73&lt;=0,0,IF(H_Direct=1,IF(DL74&lt;=0,RL74,IF(RL74&lt;=(YK74+ABX74)/DL74,RL74,(RL74-G74*(YK74+ABX74))/(1-G74*DL74))),RL74/(1-MAX(0,DL74)*H_Exit)))</f>
        <v>0</v>
      </c>
      <c r="UZ74" s="20" t="n">
        <f aca="false">IF(AMM73&lt;=0,0,IF(H_Direct=1,IF(DM74&lt;=0,RM74,IF(RM74&lt;=(YL74+ABY74)/DM74,RM74,(RM74-G74*(YL74+ABY74))/(1-G74*DM74))),RM74/(1-MAX(0,DM74)*H_Exit)))</f>
        <v>0</v>
      </c>
      <c r="VA74" s="20" t="n">
        <f aca="false">IF(AMN73&lt;=0,0,IF(H_Direct=1,IF(DN74&lt;=0,RN74,IF(RN74&lt;=(YM74+ABZ74)/DN74,RN74,(RN74-G74*(YM74+ABZ74))/(1-G74*DN74))),RN74/(1-MAX(0,DN74)*H_Exit)))</f>
        <v>0</v>
      </c>
      <c r="VB74" s="20" t="n">
        <f aca="false">IF(AMO73&lt;=0,0,IF(H_Direct=1,IF(DO74&lt;=0,RO74,IF(RO74&lt;=(YN74+ACA74)/DO74,RO74,(RO74-G74*(YN74+ACA74))/(1-G74*DO74))),RO74/(1-MAX(0,DO74)*H_Exit)))</f>
        <v>0</v>
      </c>
      <c r="VC74" s="20" t="n">
        <f aca="false">IF(AMP73&lt;=0,0,IF(H_Direct=1,IF(DP74&lt;=0,RP74,IF(RP74&lt;=(YO74+ACB74)/DP74,RP74,(RP74-G74*(YO74+ACB74))/(1-G74*DP74))),RP74/(1-MAX(0,DP74)*H_Exit)))</f>
        <v>0</v>
      </c>
      <c r="VD74" s="20" t="n">
        <f aca="false">IF(AMQ73&lt;=0,0,IF(H_Direct=1,IF(DQ74&lt;=0,RQ74,IF(RQ74&lt;=(YP74+ACC74)/DQ74,RQ74,(RQ74-G74*(YP74+ACC74))/(1-G74*DQ74))),RQ74/(1-MAX(0,DQ74)*H_Exit)))</f>
        <v>0</v>
      </c>
      <c r="VE74" s="20" t="n">
        <f aca="false">IF(AMR73&lt;=0,0,IF(H_Direct=1,IF(DR74&lt;=0,RR74,IF(RR74&lt;=(YQ74+ACD74)/DR74,RR74,(RR74-G74*(YQ74+ACD74))/(1-G74*DR74))),RR74/(1-MAX(0,DR74)*H_Exit)))</f>
        <v>0</v>
      </c>
      <c r="VF74" s="20" t="n">
        <f aca="false">IF(AMS73&lt;=0,0,IF(H_Direct=1,IF(DS74&lt;=0,RS74,IF(RS74&lt;=(YR74+ACE74)/DS74,RS74,(RS74-G74*(YR74+ACE74))/(1-G74*DS74))),RS74/(1-MAX(0,DS74)*H_Exit)))</f>
        <v>0</v>
      </c>
      <c r="VG74" s="20" t="n">
        <f aca="false">IF(AMT73&lt;=0,0,IF(H_Direct=1,IF(DT74&lt;=0,RT74,IF(RT74&lt;=(YS74+ACF74)/DT74,RT74,(RT74-G74*(YS74+ACF74))/(1-G74*DT74))),RT74/(1-MAX(0,DT74)*H_Exit)))</f>
        <v>0</v>
      </c>
      <c r="VH74" s="20" t="n">
        <f aca="false">IF(AMU73&lt;=0,0,IF(H_Direct=1,IF(DU74&lt;=0,RU74,IF(RU74&lt;=(YT74+ACG74)/DU74,RU74,(RU74-G74*(YT74+ACG74))/(1-G74*DU74))),RU74/(1-MAX(0,DU74)*H_Exit)))</f>
        <v>0</v>
      </c>
      <c r="VI74" s="20" t="n">
        <f aca="false">IF(AMV73&lt;=0,0,IF(H_Direct=1,IF(DV74&lt;=0,RV74,IF(RV74&lt;=(YU74+ACH74)/DV74,RV74,(RV74-G74*(YU74+ACH74))/(1-G74*DV74))),RV74/(1-MAX(0,DV74)*H_Exit)))</f>
        <v>0</v>
      </c>
      <c r="VJ74" s="20" t="n">
        <f aca="false">IF(AMW73&lt;=0,0,IF(H_Direct=1,IF(DW74&lt;=0,RW74,IF(RW74&lt;=(YV74+ACI74)/DW74,RW74,(RW74-G74*(YV74+ACI74))/(1-G74*DW74))),RW74/(1-MAX(0,DW74)*H_Exit)))</f>
        <v>0</v>
      </c>
      <c r="VK74" s="20" t="n">
        <f aca="false">IF(AMX73&lt;=0,0,IF(H_Direct=1,IF(DX74&lt;=0,RX74,IF(RX74&lt;=(YW74+ACJ74)/DX74,RX74,(RX74-G74*(YW74+ACJ74))/(1-G74*DX74))),RX74/(1-MAX(0,DX74)*H_Exit)))</f>
        <v>0</v>
      </c>
      <c r="VL74" s="20" t="n">
        <f aca="false">IF(AMY73&lt;=0,0,IF(H_Direct=1,IF(DY74&lt;=0,RY74,IF(RY74&lt;=(YX74+ACK74)/DY74,RY74,(RY74-G74*(YX74+ACK74))/(1-G74*DY74))),RY74/(1-MAX(0,DY74)*H_Exit)))</f>
        <v>0</v>
      </c>
      <c r="VM74" s="20" t="n">
        <f aca="false">IF(AMZ73&lt;=0,0,IF(H_Direct=1,IF(DZ74&lt;=0,RZ74,IF(RZ74&lt;=(YY74+ACL74)/DZ74,RZ74,(RZ74-G74*(YY74+ACL74))/(1-G74*DZ74))),RZ74/(1-MAX(0,DZ74)*H_Exit)))</f>
        <v>0</v>
      </c>
      <c r="VN74" s="20" t="n">
        <f aca="false">IF(ANA73&lt;=0,0,IF(H_Direct=1,IF(EA74&lt;=0,SA74,IF(SA74&lt;=(YZ74+ACM74)/EA74,SA74,(SA74-G74*(YZ74+ACM74))/(1-G74*EA74))),SA74/(1-MAX(0,EA74)*H_Exit)))</f>
        <v>0</v>
      </c>
      <c r="VO74" s="20" t="n">
        <f aca="false">IF(ANB73&lt;=0,0,IF(H_Direct=1,IF(EB74&lt;=0,SB74,IF(SB74&lt;=(ZA74+ACN74)/EB74,SB74,(SB74-G74*(ZA74+ACN74))/(1-G74*EB74))),SB74/(1-MAX(0,EB74)*H_Exit)))</f>
        <v>0</v>
      </c>
      <c r="VP74" s="20" t="n">
        <f aca="false">IF(ANC73&lt;=0,0,IF(H_Direct=1,IF(EC74&lt;=0,SC74,IF(SC74&lt;=(ZB74+ACO74)/EC74,SC74,(SC74-G74*(ZB74+ACO74))/(1-G74*EC74))),SC74/(1-MAX(0,EC74)*H_Exit)))</f>
        <v>0</v>
      </c>
      <c r="VQ74" s="20" t="n">
        <f aca="false">IF(AND73&lt;=0,0,IF(H_Direct=1,IF(ED74&lt;=0,SD74,IF(SD74&lt;=(ZC74+ACP74)/ED74,SD74,(SD74-G74*(ZC74+ACP74))/(1-G74*ED74))),SD74/(1-MAX(0,ED74)*H_Exit)))</f>
        <v>0</v>
      </c>
      <c r="VR74" s="20" t="n">
        <f aca="false">IF(ANE73&lt;=0,0,IF(H_Direct=1,IF(EE74&lt;=0,SE74,IF(SE74&lt;=(ZD74+ACQ74)/EE74,SE74,(SE74-G74*(ZD74+ACQ74))/(1-G74*EE74))),SE74/(1-MAX(0,EE74)*H_Exit)))</f>
        <v>0</v>
      </c>
      <c r="VS74" s="20" t="n">
        <f aca="false">IF(ANF73&lt;=0,0,IF(H_Direct=1,IF(EF74&lt;=0,SF74,IF(SF74&lt;=(ZE74+ACR74)/EF74,SF74,(SF74-G74*(ZE74+ACR74))/(1-G74*EF74))),SF74/(1-MAX(0,EF74)*H_Exit)))</f>
        <v>0</v>
      </c>
      <c r="VT74" s="20" t="n">
        <f aca="false">IF((P74+S74)&lt;=0,0,IF(H_Direct=1,IF(EG74&lt;=0,SG74,IF(SG74&lt;=(ZF74+ACS74)/EG74,SG74,(SG74-G74*(ZF74+ACS74))/(1-G74*EG74))),SG74/(1-MAX(0,EG74)*H_Exit)))</f>
        <v>0</v>
      </c>
      <c r="VU74" s="20" t="n">
        <v>0</v>
      </c>
      <c r="VV74" s="20" t="n">
        <v>0</v>
      </c>
      <c r="VW74" s="20" t="n">
        <v>0</v>
      </c>
      <c r="VX74" s="20" t="n">
        <v>0</v>
      </c>
      <c r="VY74" s="20" t="n">
        <v>0</v>
      </c>
      <c r="VZ74" s="20" t="n">
        <v>0</v>
      </c>
      <c r="WA74" s="20" t="n">
        <v>0</v>
      </c>
      <c r="WB74" s="20" t="n">
        <v>0</v>
      </c>
      <c r="WC74" s="20" t="n">
        <v>0</v>
      </c>
      <c r="WD74" s="20" t="n">
        <v>0</v>
      </c>
      <c r="WE74" s="20" t="n">
        <v>0</v>
      </c>
      <c r="WF74" s="20" t="n">
        <v>0</v>
      </c>
      <c r="WG74" s="20" t="n">
        <v>0</v>
      </c>
      <c r="WH74" s="20" t="n">
        <v>0</v>
      </c>
      <c r="WI74" s="20" t="n">
        <v>0</v>
      </c>
      <c r="WJ74" s="20" t="n">
        <v>0</v>
      </c>
      <c r="WK74" s="20" t="n">
        <v>0</v>
      </c>
      <c r="WL74" s="20" t="n">
        <v>0</v>
      </c>
      <c r="WM74" s="20" t="n">
        <v>0</v>
      </c>
      <c r="WN74" s="20" t="n">
        <v>0</v>
      </c>
      <c r="WO74" s="20" t="n">
        <v>0</v>
      </c>
      <c r="WP74" s="20" t="n">
        <v>0</v>
      </c>
      <c r="WQ74" s="20" t="n">
        <v>0</v>
      </c>
      <c r="WR74" s="20" t="n">
        <f aca="false">IF(AND(H_Direct=1,BR74&gt;0),MAX(0,H74-(MIN(BR74*TE74,(H74+I74))-MIN(MIN(BR74*TE74,(H74+I74)),I74))),H74)</f>
        <v>1270</v>
      </c>
      <c r="WS74" s="20" t="n">
        <f aca="false">IF(AND(H_Direct=1,BS74&gt;0),MAX(0,WR74-(MIN(BS74*TF74,(WR74+AAE74))-MIN(MIN(BS74*TF74,(WR74+AAE74)),AAE74))),WR74)</f>
        <v>1270</v>
      </c>
      <c r="WT74" s="20" t="n">
        <f aca="false">IF(AND(H_Direct=1,BT74&gt;0),MAX(0,WS74-(MIN(BT74*TG74,(WS74+AAF74))-MIN(MIN(BT74*TG74,(WS74+AAF74)),AAF74))),WS74)</f>
        <v>1270</v>
      </c>
      <c r="WU74" s="20" t="n">
        <f aca="false">IF(AND(H_Direct=1,BU74&gt;0),MAX(0,WT74-(MIN(BU74*TH74,(WT74+AAG74))-MIN(MIN(BU74*TH74,(WT74+AAG74)),AAG74))),WT74)</f>
        <v>1270</v>
      </c>
      <c r="WV74" s="20" t="n">
        <f aca="false">IF(AND(H_Direct=1,BV74&gt;0),MAX(0,WU74-(MIN(BV74*TI74,(WU74+AAH74))-MIN(MIN(BV74*TI74,(WU74+AAH74)),AAH74))),WU74)</f>
        <v>1270</v>
      </c>
      <c r="WW74" s="20" t="n">
        <f aca="false">IF(AND(H_Direct=1,BW74&gt;0),MAX(0,WV74-(MIN(BW74*TJ74,(WV74+AAI74))-MIN(MIN(BW74*TJ74,(WV74+AAI74)),AAI74))),WV74)</f>
        <v>1270</v>
      </c>
      <c r="WX74" s="20" t="n">
        <f aca="false">IF(AND(H_Direct=1,BX74&gt;0),MAX(0,WW74-(MIN(BX74*TK74,(WW74+AAJ74))-MIN(MIN(BX74*TK74,(WW74+AAJ74)),AAJ74))),WW74)</f>
        <v>1270</v>
      </c>
      <c r="WY74" s="20" t="n">
        <f aca="false">IF(AND(H_Direct=1,BY74&gt;0),MAX(0,WX74-(MIN(BY74*TL74,(WX74+AAK74))-MIN(MIN(BY74*TL74,(WX74+AAK74)),AAK74))),WX74)</f>
        <v>1270</v>
      </c>
      <c r="WZ74" s="20" t="n">
        <f aca="false">IF(AND(H_Direct=1,BZ74&gt;0),MAX(0,WY74-(MIN(BZ74*TM74,(WY74+AAL74))-MIN(MIN(BZ74*TM74,(WY74+AAL74)),AAL74))),WY74)</f>
        <v>1270</v>
      </c>
      <c r="XA74" s="20" t="n">
        <f aca="false">IF(AND(H_Direct=1,CA74&gt;0),MAX(0,WZ74-(MIN(CA74*TN74,(WZ74+AAM74))-MIN(MIN(CA74*TN74,(WZ74+AAM74)),AAM74))),WZ74)</f>
        <v>1270</v>
      </c>
      <c r="XB74" s="20" t="n">
        <f aca="false">IF(AND(H_Direct=1,CB74&gt;0),MAX(0,XA74-(MIN(CB74*TO74,(XA74+AAN74))-MIN(MIN(CB74*TO74,(XA74+AAN74)),AAN74))),XA74)</f>
        <v>1270</v>
      </c>
      <c r="XC74" s="20" t="n">
        <f aca="false">IF(AND(H_Direct=1,CC74&gt;0),MAX(0,XB74-(MIN(CC74*TP74,(XB74+AAO74))-MIN(MIN(CC74*TP74,(XB74+AAO74)),AAO74))),XB74)</f>
        <v>1270</v>
      </c>
      <c r="XD74" s="20" t="n">
        <f aca="false">IF(AND(H_Direct=1,CD74&gt;0),MAX(0,XC74-(MIN(CD74*TQ74,(XC74+AAP74))-MIN(MIN(CD74*TQ74,(XC74+AAP74)),AAP74))),XC74)</f>
        <v>1270</v>
      </c>
      <c r="XE74" s="20" t="n">
        <f aca="false">IF(AND(H_Direct=1,CE74&gt;0),MAX(0,XD74-(MIN(CE74*TR74,(XD74+AAQ74))-MIN(MIN(CE74*TR74,(XD74+AAQ74)),AAQ74))),XD74)</f>
        <v>1270</v>
      </c>
      <c r="XF74" s="20" t="n">
        <f aca="false">IF(AND(H_Direct=1,CF74&gt;0),MAX(0,XE74-(MIN(CF74*TS74,(XE74+AAR74))-MIN(MIN(CF74*TS74,(XE74+AAR74)),AAR74))),XE74)</f>
        <v>1270</v>
      </c>
      <c r="XG74" s="20" t="n">
        <f aca="false">IF(AND(H_Direct=1,CG74&gt;0),MAX(0,XF74-(MIN(CG74*TT74,(XF74+AAS74))-MIN(MIN(CG74*TT74,(XF74+AAS74)),AAS74))),XF74)</f>
        <v>1270</v>
      </c>
      <c r="XH74" s="20" t="n">
        <f aca="false">IF(AND(H_Direct=1,CH74&gt;0),MAX(0,XG74-(MIN(CH74*TU74,(XG74+AAT74))-MIN(MIN(CH74*TU74,(XG74+AAT74)),AAT74))),XG74)</f>
        <v>1270</v>
      </c>
      <c r="XI74" s="20" t="n">
        <f aca="false">IF(AND(H_Direct=1,CI74&gt;0),MAX(0,XH74-(MIN(CI74*TV74,(XH74+AAU74))-MIN(MIN(CI74*TV74,(XH74+AAU74)),AAU74))),XH74)</f>
        <v>1270</v>
      </c>
      <c r="XJ74" s="20" t="n">
        <f aca="false">IF(AND(H_Direct=1,CJ74&gt;0),MAX(0,XI74-(MIN(CJ74*TW74,(XI74+AAV74))-MIN(MIN(CJ74*TW74,(XI74+AAV74)),AAV74))),XI74)</f>
        <v>1270</v>
      </c>
      <c r="XK74" s="20" t="n">
        <f aca="false">IF(AND(H_Direct=1,CK74&gt;0),MAX(0,XJ74-(MIN(CK74*TX74,(XJ74+AAW74))-MIN(MIN(CK74*TX74,(XJ74+AAW74)),AAW74))),XJ74)</f>
        <v>1270</v>
      </c>
      <c r="XL74" s="20" t="n">
        <f aca="false">IF(AND(H_Direct=1,CL74&gt;0),MAX(0,XK74-(MIN(CL74*TY74,(XK74+AAX74))-MIN(MIN(CL74*TY74,(XK74+AAX74)),AAX74))),XK74)</f>
        <v>1270</v>
      </c>
      <c r="XM74" s="20" t="n">
        <f aca="false">IF(AND(H_Direct=1,CM74&gt;0),MAX(0,XL74-(MIN(CM74*TZ74,(XL74+AAY74))-MIN(MIN(CM74*TZ74,(XL74+AAY74)),AAY74))),XL74)</f>
        <v>1270</v>
      </c>
      <c r="XN74" s="20" t="n">
        <f aca="false">IF(AND(H_Direct=1,CN74&gt;0),MAX(0,XM74-(MIN(CN74*UA74,(XM74+AAZ74))-MIN(MIN(CN74*UA74,(XM74+AAZ74)),AAZ74))),XM74)</f>
        <v>1270</v>
      </c>
      <c r="XO74" s="20" t="n">
        <f aca="false">IF(AND(H_Direct=1,CO74&gt;0),MAX(0,XN74-(MIN(CO74*UB74,(XN74+ABA74))-MIN(MIN(CO74*UB74,(XN74+ABA74)),ABA74))),XN74)</f>
        <v>1270</v>
      </c>
      <c r="XP74" s="20" t="n">
        <f aca="false">IF(AND(H_Direct=1,CP74&gt;0),MAX(0,XO74-(MIN(CP74*UC74,(XO74+ABB74))-MIN(MIN(CP74*UC74,(XO74+ABB74)),ABB74))),XO74)</f>
        <v>1270</v>
      </c>
      <c r="XQ74" s="20" t="n">
        <f aca="false">IF(AND(H_Direct=1,CQ74&gt;0),MAX(0,XP74-(MIN(CQ74*UD74,(XP74+ABC74))-MIN(MIN(CQ74*UD74,(XP74+ABC74)),ABC74))),XP74)</f>
        <v>1270</v>
      </c>
      <c r="XR74" s="20" t="n">
        <f aca="false">IF(AND(H_Direct=1,CR74&gt;0),MAX(0,XQ74-(MIN(CR74*UE74,(XQ74+ABD74))-MIN(MIN(CR74*UE74,(XQ74+ABD74)),ABD74))),XQ74)</f>
        <v>1270</v>
      </c>
      <c r="XS74" s="20" t="n">
        <f aca="false">IF(AND(H_Direct=1,CS74&gt;0),MAX(0,XR74-(MIN(CS74*UF74,(XR74+ABE74))-MIN(MIN(CS74*UF74,(XR74+ABE74)),ABE74))),XR74)</f>
        <v>1270</v>
      </c>
      <c r="XT74" s="20" t="n">
        <f aca="false">IF(AND(H_Direct=1,CT74&gt;0),MAX(0,XS74-(MIN(CT74*UG74,(XS74+ABF74))-MIN(MIN(CT74*UG74,(XS74+ABF74)),ABF74))),XS74)</f>
        <v>1270</v>
      </c>
      <c r="XU74" s="20" t="n">
        <f aca="false">IF(AND(H_Direct=1,CU74&gt;0),MAX(0,XT74-(MIN(CU74*UH74,(XT74+ABG74))-MIN(MIN(CU74*UH74,(XT74+ABG74)),ABG74))),XT74)</f>
        <v>1270</v>
      </c>
      <c r="XV74" s="20" t="n">
        <f aca="false">IF(AND(H_Direct=1,CV74&gt;0),MAX(0,XU74-(MIN(CV74*UI74,(XU74+ABH74))-MIN(MIN(CV74*UI74,(XU74+ABH74)),ABH74))),XU74)</f>
        <v>1270</v>
      </c>
      <c r="XW74" s="20" t="n">
        <f aca="false">IF(AND(H_Direct=1,CW74&gt;0),MAX(0,XV74-(MIN(CW74*UJ74,(XV74+ABI74))-MIN(MIN(CW74*UJ74,(XV74+ABI74)),ABI74))),XV74)</f>
        <v>1270</v>
      </c>
      <c r="XX74" s="20" t="n">
        <f aca="false">IF(AND(H_Direct=1,CX74&gt;0),MAX(0,XW74-(MIN(CX74*UK74,(XW74+ABJ74))-MIN(MIN(CX74*UK74,(XW74+ABJ74)),ABJ74))),XW74)</f>
        <v>1270</v>
      </c>
      <c r="XY74" s="20" t="n">
        <f aca="false">IF(AND(H_Direct=1,CY74&gt;0),MAX(0,XX74-(MIN(CY74*UL74,(XX74+ABK74))-MIN(MIN(CY74*UL74,(XX74+ABK74)),ABK74))),XX74)</f>
        <v>1270</v>
      </c>
      <c r="XZ74" s="20" t="n">
        <f aca="false">IF(AND(H_Direct=1,CZ74&gt;0),MAX(0,XY74-(MIN(CZ74*UM74,(XY74+ABL74))-MIN(MIN(CZ74*UM74,(XY74+ABL74)),ABL74))),XY74)</f>
        <v>1270</v>
      </c>
      <c r="YA74" s="20" t="n">
        <f aca="false">IF(AND(H_Direct=1,DA74&gt;0),MAX(0,XZ74-(MIN(DA74*UN74,(XZ74+ABM74))-MIN(MIN(DA74*UN74,(XZ74+ABM74)),ABM74))),XZ74)</f>
        <v>1270</v>
      </c>
      <c r="YB74" s="20" t="n">
        <f aca="false">IF(AND(H_Direct=1,DB74&gt;0),MAX(0,YA74-(MIN(DB74*UO74,(YA74+ABN74))-MIN(MIN(DB74*UO74,(YA74+ABN74)),ABN74))),YA74)</f>
        <v>1270</v>
      </c>
      <c r="YC74" s="20" t="n">
        <f aca="false">IF(AND(H_Direct=1,DC74&gt;0),MAX(0,YB74-(MIN(DC74*UP74,(YB74+ABO74))-MIN(MIN(DC74*UP74,(YB74+ABO74)),ABO74))),YB74)</f>
        <v>1270</v>
      </c>
      <c r="YD74" s="20" t="n">
        <f aca="false">IF(AND(H_Direct=1,DD74&gt;0),MAX(0,YC74-(MIN(DD74*UQ74,(YC74+ABP74))-MIN(MIN(DD74*UQ74,(YC74+ABP74)),ABP74))),YC74)</f>
        <v>1270</v>
      </c>
      <c r="YE74" s="20" t="n">
        <f aca="false">IF(AND(H_Direct=1,DE74&gt;0),MAX(0,YD74-(MIN(DE74*UR74,(YD74+ABQ74))-MIN(MIN(DE74*UR74,(YD74+ABQ74)),ABQ74))),YD74)</f>
        <v>1270</v>
      </c>
      <c r="YF74" s="20" t="n">
        <f aca="false">IF(AND(H_Direct=1,DF74&gt;0),MAX(0,YE74-(MIN(DF74*US74,(YE74+ABR74))-MIN(MIN(DF74*US74,(YE74+ABR74)),ABR74))),YE74)</f>
        <v>1270</v>
      </c>
      <c r="YG74" s="20" t="n">
        <f aca="false">IF(AND(H_Direct=1,DG74&gt;0),MAX(0,YF74-(MIN(DG74*UT74,(YF74+ABS74))-MIN(MIN(DG74*UT74,(YF74+ABS74)),ABS74))),YF74)</f>
        <v>1270</v>
      </c>
      <c r="YH74" s="20" t="n">
        <f aca="false">IF(AND(H_Direct=1,DH74&gt;0),MAX(0,YG74-(MIN(DH74*UU74,(YG74+ABT74))-MIN(MIN(DH74*UU74,(YG74+ABT74)),ABT74))),YG74)</f>
        <v>1270</v>
      </c>
      <c r="YI74" s="20" t="n">
        <f aca="false">IF(AND(H_Direct=1,DI74&gt;0),MAX(0,YH74-(MIN(DI74*UV74,(YH74+ABU74))-MIN(MIN(DI74*UV74,(YH74+ABU74)),ABU74))),YH74)</f>
        <v>1270</v>
      </c>
      <c r="YJ74" s="20" t="n">
        <f aca="false">IF(AND(H_Direct=1,DJ74&gt;0),MAX(0,YI74-(MIN(DJ74*UW74,(YI74+ABV74))-MIN(MIN(DJ74*UW74,(YI74+ABV74)),ABV74))),YI74)</f>
        <v>1270</v>
      </c>
      <c r="YK74" s="20" t="n">
        <f aca="false">IF(AND(H_Direct=1,DK74&gt;0),MAX(0,YJ74-(MIN(DK74*UX74,(YJ74+ABW74))-MIN(MIN(DK74*UX74,(YJ74+ABW74)),ABW74))),YJ74)</f>
        <v>1270</v>
      </c>
      <c r="YL74" s="20" t="n">
        <f aca="false">IF(AND(H_Direct=1,DL74&gt;0),MAX(0,YK74-(MIN(DL74*UY74,(YK74+ABX74))-MIN(MIN(DL74*UY74,(YK74+ABX74)),ABX74))),YK74)</f>
        <v>1270</v>
      </c>
      <c r="YM74" s="20" t="n">
        <f aca="false">IF(AND(H_Direct=1,DM74&gt;0),MAX(0,YL74-(MIN(DM74*UZ74,(YL74+ABY74))-MIN(MIN(DM74*UZ74,(YL74+ABY74)),ABY74))),YL74)</f>
        <v>1270</v>
      </c>
      <c r="YN74" s="20" t="n">
        <f aca="false">IF(AND(H_Direct=1,DN74&gt;0),MAX(0,YM74-(MIN(DN74*VA74,(YM74+ABZ74))-MIN(MIN(DN74*VA74,(YM74+ABZ74)),ABZ74))),YM74)</f>
        <v>1270</v>
      </c>
      <c r="YO74" s="20" t="n">
        <f aca="false">IF(AND(H_Direct=1,DO74&gt;0),MAX(0,YN74-(MIN(DO74*VB74,(YN74+ACA74))-MIN(MIN(DO74*VB74,(YN74+ACA74)),ACA74))),YN74)</f>
        <v>1270</v>
      </c>
      <c r="YP74" s="20" t="n">
        <f aca="false">IF(AND(H_Direct=1,DP74&gt;0),MAX(0,YO74-(MIN(DP74*VC74,(YO74+ACB74))-MIN(MIN(DP74*VC74,(YO74+ACB74)),ACB74))),YO74)</f>
        <v>1270</v>
      </c>
      <c r="YQ74" s="20" t="n">
        <f aca="false">IF(AND(H_Direct=1,DQ74&gt;0),MAX(0,YP74-(MIN(DQ74*VD74,(YP74+ACC74))-MIN(MIN(DQ74*VD74,(YP74+ACC74)),ACC74))),YP74)</f>
        <v>1270</v>
      </c>
      <c r="YR74" s="20" t="n">
        <f aca="false">IF(AND(H_Direct=1,DR74&gt;0),MAX(0,YQ74-(MIN(DR74*VE74,(YQ74+ACD74))-MIN(MIN(DR74*VE74,(YQ74+ACD74)),ACD74))),YQ74)</f>
        <v>1270</v>
      </c>
      <c r="YS74" s="20" t="n">
        <f aca="false">IF(AND(H_Direct=1,DS74&gt;0),MAX(0,YR74-(MIN(DS74*VF74,(YR74+ACE74))-MIN(MIN(DS74*VF74,(YR74+ACE74)),ACE74))),YR74)</f>
        <v>1270</v>
      </c>
      <c r="YT74" s="20" t="n">
        <f aca="false">IF(AND(H_Direct=1,DT74&gt;0),MAX(0,YS74-(MIN(DT74*VG74,(YS74+ACF74))-MIN(MIN(DT74*VG74,(YS74+ACF74)),ACF74))),YS74)</f>
        <v>1270</v>
      </c>
      <c r="YU74" s="20" t="n">
        <f aca="false">IF(AND(H_Direct=1,DU74&gt;0),MAX(0,YT74-(MIN(DU74*VH74,(YT74+ACG74))-MIN(MIN(DU74*VH74,(YT74+ACG74)),ACG74))),YT74)</f>
        <v>1270</v>
      </c>
      <c r="YV74" s="20" t="n">
        <f aca="false">IF(AND(H_Direct=1,DV74&gt;0),MAX(0,YU74-(MIN(DV74*VI74,(YU74+ACH74))-MIN(MIN(DV74*VI74,(YU74+ACH74)),ACH74))),YU74)</f>
        <v>1270</v>
      </c>
      <c r="YW74" s="20" t="n">
        <f aca="false">IF(AND(H_Direct=1,DW74&gt;0),MAX(0,YV74-(MIN(DW74*VJ74,(YV74+ACI74))-MIN(MIN(DW74*VJ74,(YV74+ACI74)),ACI74))),YV74)</f>
        <v>1270</v>
      </c>
      <c r="YX74" s="20" t="n">
        <f aca="false">IF(AND(H_Direct=1,DX74&gt;0),MAX(0,YW74-(MIN(DX74*VK74,(YW74+ACJ74))-MIN(MIN(DX74*VK74,(YW74+ACJ74)),ACJ74))),YW74)</f>
        <v>1270</v>
      </c>
      <c r="YY74" s="20" t="n">
        <f aca="false">IF(AND(H_Direct=1,DY74&gt;0),MAX(0,YX74-(MIN(DY74*VL74,(YX74+ACK74))-MIN(MIN(DY74*VL74,(YX74+ACK74)),ACK74))),YX74)</f>
        <v>1270</v>
      </c>
      <c r="YZ74" s="20" t="n">
        <f aca="false">IF(AND(H_Direct=1,DZ74&gt;0),MAX(0,YY74-(MIN(DZ74*VM74,(YY74+ACL74))-MIN(MIN(DZ74*VM74,(YY74+ACL74)),ACL74))),YY74)</f>
        <v>1270</v>
      </c>
      <c r="ZA74" s="20" t="n">
        <f aca="false">IF(AND(H_Direct=1,EA74&gt;0),MAX(0,YZ74-(MIN(EA74*VN74,(YZ74+ACM74))-MIN(MIN(EA74*VN74,(YZ74+ACM74)),ACM74))),YZ74)</f>
        <v>1270</v>
      </c>
      <c r="ZB74" s="20" t="n">
        <f aca="false">IF(AND(H_Direct=1,EB74&gt;0),MAX(0,ZA74-(MIN(EB74*VO74,(ZA74+ACN74))-MIN(MIN(EB74*VO74,(ZA74+ACN74)),ACN74))),ZA74)</f>
        <v>1270</v>
      </c>
      <c r="ZC74" s="20" t="n">
        <f aca="false">IF(AND(H_Direct=1,EC74&gt;0),MAX(0,ZB74-(MIN(EC74*VP74,(ZB74+ACO74))-MIN(MIN(EC74*VP74,(ZB74+ACO74)),ACO74))),ZB74)</f>
        <v>1270</v>
      </c>
      <c r="ZD74" s="20" t="n">
        <f aca="false">IF(AND(H_Direct=1,ED74&gt;0),MAX(0,ZC74-(MIN(ED74*VQ74,(ZC74+ACP74))-MIN(MIN(ED74*VQ74,(ZC74+ACP74)),ACP74))),ZC74)</f>
        <v>1270</v>
      </c>
      <c r="ZE74" s="20" t="n">
        <f aca="false">IF(AND(H_Direct=1,EE74&gt;0),MAX(0,ZD74-(MIN(EE74*VR74,(ZD74+ACQ74))-MIN(MIN(EE74*VR74,(ZD74+ACQ74)),ACQ74))),ZD74)</f>
        <v>1270</v>
      </c>
      <c r="ZF74" s="20" t="n">
        <f aca="false">IF(AND(H_Direct=1,EF74&gt;0),MAX(0,ZE74-(MIN(EF74*VS74,(ZE74+ACR74))-MIN(MIN(EF74*VS74,(ZE74+ACR74)),ACR74))),ZE74)</f>
        <v>1270</v>
      </c>
      <c r="ZG74" s="20" t="n">
        <f aca="false">IF(AND(H_Direct=1,EG74&gt;0),MAX(0,ZF74-(MIN(EG74*VT74,(ZF74+ACS74))-MIN(MIN(EG74*VT74,(ZF74+ACS74)),ACS74))),ZF74)</f>
        <v>1270</v>
      </c>
      <c r="ZH74" s="20" t="n">
        <f aca="false">ZG74</f>
        <v>1270</v>
      </c>
      <c r="ZI74" s="20" t="n">
        <f aca="false">ZH74</f>
        <v>1270</v>
      </c>
      <c r="ZJ74" s="20" t="n">
        <f aca="false">ZI74</f>
        <v>1270</v>
      </c>
      <c r="ZK74" s="20" t="n">
        <f aca="false">ZJ74</f>
        <v>1270</v>
      </c>
      <c r="ZL74" s="20" t="n">
        <f aca="false">ZK74</f>
        <v>1270</v>
      </c>
      <c r="ZM74" s="20" t="n">
        <f aca="false">ZL74</f>
        <v>1270</v>
      </c>
      <c r="ZN74" s="20" t="n">
        <f aca="false">ZM74</f>
        <v>1270</v>
      </c>
      <c r="ZO74" s="20" t="n">
        <f aca="false">ZN74</f>
        <v>1270</v>
      </c>
      <c r="ZP74" s="20" t="n">
        <f aca="false">ZO74</f>
        <v>1270</v>
      </c>
      <c r="ZQ74" s="20" t="n">
        <f aca="false">ZP74</f>
        <v>1270</v>
      </c>
      <c r="ZR74" s="20" t="n">
        <f aca="false">ZQ74</f>
        <v>1270</v>
      </c>
      <c r="ZS74" s="20" t="n">
        <f aca="false">ZR74</f>
        <v>1270</v>
      </c>
      <c r="ZT74" s="20" t="n">
        <f aca="false">ZS74</f>
        <v>1270</v>
      </c>
      <c r="ZU74" s="20" t="n">
        <f aca="false">ZT74</f>
        <v>1270</v>
      </c>
      <c r="ZV74" s="20" t="n">
        <f aca="false">ZU74</f>
        <v>1270</v>
      </c>
      <c r="ZW74" s="20" t="n">
        <f aca="false">ZV74</f>
        <v>1270</v>
      </c>
      <c r="ZX74" s="20" t="n">
        <f aca="false">ZW74</f>
        <v>1270</v>
      </c>
      <c r="ZY74" s="20" t="n">
        <f aca="false">ZX74</f>
        <v>1270</v>
      </c>
      <c r="ZZ74" s="20" t="n">
        <f aca="false">ZY74</f>
        <v>1270</v>
      </c>
      <c r="AAA74" s="20" t="n">
        <f aca="false">ZZ74</f>
        <v>1270</v>
      </c>
      <c r="AAB74" s="20" t="n">
        <f aca="false">AAA74</f>
        <v>1270</v>
      </c>
      <c r="AAC74" s="20" t="n">
        <f aca="false">AAB74</f>
        <v>1270</v>
      </c>
      <c r="AAD74" s="20" t="n">
        <f aca="false">AAC74</f>
        <v>1270</v>
      </c>
      <c r="AAE74" s="20" t="n">
        <f aca="false">IF(H_Direct=1,IF(BR74&lt;=0,I74-BR74*TE74,I74-MIN(MIN(BR74*TE74,(H74+I74)),I74)),I74)</f>
        <v>0</v>
      </c>
      <c r="AAF74" s="20" t="n">
        <f aca="false">IF(H_Direct=1,IF(BS74&lt;=0,AAE74-BS74*TF74,AAE74-MIN(MIN(BS74*TF74,(WR74+AAE74)),AAE74)),AAE74)</f>
        <v>0</v>
      </c>
      <c r="AAG74" s="20" t="n">
        <f aca="false">IF(H_Direct=1,IF(BT74&lt;=0,AAF74-BT74*TG74,AAF74-MIN(MIN(BT74*TG74,(WS74+AAF74)),AAF74)),AAF74)</f>
        <v>0</v>
      </c>
      <c r="AAH74" s="20" t="n">
        <f aca="false">IF(H_Direct=1,IF(BU74&lt;=0,AAG74-BU74*TH74,AAG74-MIN(MIN(BU74*TH74,(WT74+AAG74)),AAG74)),AAG74)</f>
        <v>0</v>
      </c>
      <c r="AAI74" s="20" t="n">
        <f aca="false">IF(H_Direct=1,IF(BV74&lt;=0,AAH74-BV74*TI74,AAH74-MIN(MIN(BV74*TI74,(WU74+AAH74)),AAH74)),AAH74)</f>
        <v>0</v>
      </c>
      <c r="AAJ74" s="20" t="n">
        <f aca="false">IF(H_Direct=1,IF(BW74&lt;=0,AAI74-BW74*TJ74,AAI74-MIN(MIN(BW74*TJ74,(WV74+AAI74)),AAI74)),AAI74)</f>
        <v>0</v>
      </c>
      <c r="AAK74" s="20" t="n">
        <f aca="false">IF(H_Direct=1,IF(BX74&lt;=0,AAJ74-BX74*TK74,AAJ74-MIN(MIN(BX74*TK74,(WW74+AAJ74)),AAJ74)),AAJ74)</f>
        <v>0</v>
      </c>
      <c r="AAL74" s="20" t="n">
        <f aca="false">IF(H_Direct=1,IF(BY74&lt;=0,AAK74-BY74*TL74,AAK74-MIN(MIN(BY74*TL74,(WX74+AAK74)),AAK74)),AAK74)</f>
        <v>0</v>
      </c>
      <c r="AAM74" s="20" t="n">
        <f aca="false">IF(H_Direct=1,IF(BZ74&lt;=0,AAL74-BZ74*TM74,AAL74-MIN(MIN(BZ74*TM74,(WY74+AAL74)),AAL74)),AAL74)</f>
        <v>0</v>
      </c>
      <c r="AAN74" s="20" t="n">
        <f aca="false">IF(H_Direct=1,IF(CA74&lt;=0,AAM74-CA74*TN74,AAM74-MIN(MIN(CA74*TN74,(WZ74+AAM74)),AAM74)),AAM74)</f>
        <v>0</v>
      </c>
      <c r="AAO74" s="20" t="n">
        <f aca="false">IF(H_Direct=1,IF(CB74&lt;=0,AAN74-CB74*TO74,AAN74-MIN(MIN(CB74*TO74,(XA74+AAN74)),AAN74)),AAN74)</f>
        <v>0</v>
      </c>
      <c r="AAP74" s="20" t="n">
        <f aca="false">IF(H_Direct=1,IF(CC74&lt;=0,AAO74-CC74*TP74,AAO74-MIN(MIN(CC74*TP74,(XB74+AAO74)),AAO74)),AAO74)</f>
        <v>0</v>
      </c>
      <c r="AAQ74" s="20" t="n">
        <f aca="false">IF(H_Direct=1,IF(CD74&lt;=0,AAP74-CD74*TQ74,AAP74-MIN(MIN(CD74*TQ74,(XC74+AAP74)),AAP74)),AAP74)</f>
        <v>0</v>
      </c>
      <c r="AAR74" s="20" t="n">
        <f aca="false">IF(H_Direct=1,IF(CE74&lt;=0,AAQ74-CE74*TR74,AAQ74-MIN(MIN(CE74*TR74,(XD74+AAQ74)),AAQ74)),AAQ74)</f>
        <v>0</v>
      </c>
      <c r="AAS74" s="20" t="n">
        <f aca="false">IF(H_Direct=1,IF(CF74&lt;=0,AAR74-CF74*TS74,AAR74-MIN(MIN(CF74*TS74,(XE74+AAR74)),AAR74)),AAR74)</f>
        <v>0</v>
      </c>
      <c r="AAT74" s="20" t="n">
        <f aca="false">IF(H_Direct=1,IF(CG74&lt;=0,AAS74-CG74*TT74,AAS74-MIN(MIN(CG74*TT74,(XF74+AAS74)),AAS74)),AAS74)</f>
        <v>0</v>
      </c>
      <c r="AAU74" s="20" t="n">
        <f aca="false">IF(H_Direct=1,IF(CH74&lt;=0,AAT74-CH74*TU74,AAT74-MIN(MIN(CH74*TU74,(XG74+AAT74)),AAT74)),AAT74)</f>
        <v>0</v>
      </c>
      <c r="AAV74" s="20" t="n">
        <f aca="false">IF(H_Direct=1,IF(CI74&lt;=0,AAU74-CI74*TV74,AAU74-MIN(MIN(CI74*TV74,(XH74+AAU74)),AAU74)),AAU74)</f>
        <v>0</v>
      </c>
      <c r="AAW74" s="20" t="n">
        <f aca="false">IF(H_Direct=1,IF(CJ74&lt;=0,AAV74-CJ74*TW74,AAV74-MIN(MIN(CJ74*TW74,(XI74+AAV74)),AAV74)),AAV74)</f>
        <v>0</v>
      </c>
      <c r="AAX74" s="20" t="n">
        <f aca="false">IF(H_Direct=1,IF(CK74&lt;=0,AAW74-CK74*TX74,AAW74-MIN(MIN(CK74*TX74,(XJ74+AAW74)),AAW74)),AAW74)</f>
        <v>0</v>
      </c>
      <c r="AAY74" s="20" t="n">
        <f aca="false">IF(H_Direct=1,IF(CL74&lt;=0,AAX74-CL74*TY74,AAX74-MIN(MIN(CL74*TY74,(XK74+AAX74)),AAX74)),AAX74)</f>
        <v>0</v>
      </c>
      <c r="AAZ74" s="20" t="n">
        <f aca="false">IF(H_Direct=1,IF(CM74&lt;=0,AAY74-CM74*TZ74,AAY74-MIN(MIN(CM74*TZ74,(XL74+AAY74)),AAY74)),AAY74)</f>
        <v>0</v>
      </c>
      <c r="ABA74" s="20" t="n">
        <f aca="false">IF(H_Direct=1,IF(CN74&lt;=0,AAZ74-CN74*UA74,AAZ74-MIN(MIN(CN74*UA74,(XM74+AAZ74)),AAZ74)),AAZ74)</f>
        <v>0</v>
      </c>
      <c r="ABB74" s="20" t="n">
        <f aca="false">IF(H_Direct=1,IF(CO74&lt;=0,ABA74-CO74*UB74,ABA74-MIN(MIN(CO74*UB74,(XN74+ABA74)),ABA74)),ABA74)</f>
        <v>0</v>
      </c>
      <c r="ABC74" s="20" t="n">
        <f aca="false">IF(H_Direct=1,IF(CP74&lt;=0,ABB74-CP74*UC74,ABB74-MIN(MIN(CP74*UC74,(XO74+ABB74)),ABB74)),ABB74)</f>
        <v>0</v>
      </c>
      <c r="ABD74" s="20" t="n">
        <f aca="false">IF(H_Direct=1,IF(CQ74&lt;=0,ABC74-CQ74*UD74,ABC74-MIN(MIN(CQ74*UD74,(XP74+ABC74)),ABC74)),ABC74)</f>
        <v>0</v>
      </c>
      <c r="ABE74" s="20" t="n">
        <f aca="false">IF(H_Direct=1,IF(CR74&lt;=0,ABD74-CR74*UE74,ABD74-MIN(MIN(CR74*UE74,(XQ74+ABD74)),ABD74)),ABD74)</f>
        <v>0</v>
      </c>
      <c r="ABF74" s="20" t="n">
        <f aca="false">IF(H_Direct=1,IF(CS74&lt;=0,ABE74-CS74*UF74,ABE74-MIN(MIN(CS74*UF74,(XR74+ABE74)),ABE74)),ABE74)</f>
        <v>0</v>
      </c>
      <c r="ABG74" s="20" t="n">
        <f aca="false">IF(H_Direct=1,IF(CT74&lt;=0,ABF74-CT74*UG74,ABF74-MIN(MIN(CT74*UG74,(XS74+ABF74)),ABF74)),ABF74)</f>
        <v>0</v>
      </c>
      <c r="ABH74" s="20" t="n">
        <f aca="false">IF(H_Direct=1,IF(CU74&lt;=0,ABG74-CU74*UH74,ABG74-MIN(MIN(CU74*UH74,(XT74+ABG74)),ABG74)),ABG74)</f>
        <v>0</v>
      </c>
      <c r="ABI74" s="20" t="n">
        <f aca="false">IF(H_Direct=1,IF(CV74&lt;=0,ABH74-CV74*UI74,ABH74-MIN(MIN(CV74*UI74,(XU74+ABH74)),ABH74)),ABH74)</f>
        <v>0</v>
      </c>
      <c r="ABJ74" s="20" t="n">
        <f aca="false">IF(H_Direct=1,IF(CW74&lt;=0,ABI74-CW74*UJ74,ABI74-MIN(MIN(CW74*UJ74,(XV74+ABI74)),ABI74)),ABI74)</f>
        <v>0</v>
      </c>
      <c r="ABK74" s="20" t="n">
        <f aca="false">IF(H_Direct=1,IF(CX74&lt;=0,ABJ74-CX74*UK74,ABJ74-MIN(MIN(CX74*UK74,(XW74+ABJ74)),ABJ74)),ABJ74)</f>
        <v>0</v>
      </c>
      <c r="ABL74" s="20" t="n">
        <f aca="false">IF(H_Direct=1,IF(CY74&lt;=0,ABK74-CY74*UL74,ABK74-MIN(MIN(CY74*UL74,(XX74+ABK74)),ABK74)),ABK74)</f>
        <v>0</v>
      </c>
      <c r="ABM74" s="20" t="n">
        <f aca="false">IF(H_Direct=1,IF(CZ74&lt;=0,ABL74-CZ74*UM74,ABL74-MIN(MIN(CZ74*UM74,(XY74+ABL74)),ABL74)),ABL74)</f>
        <v>0</v>
      </c>
      <c r="ABN74" s="20" t="n">
        <f aca="false">IF(H_Direct=1,IF(DA74&lt;=0,ABM74-DA74*UN74,ABM74-MIN(MIN(DA74*UN74,(XZ74+ABM74)),ABM74)),ABM74)</f>
        <v>0</v>
      </c>
      <c r="ABO74" s="20" t="n">
        <f aca="false">IF(H_Direct=1,IF(DB74&lt;=0,ABN74-DB74*UO74,ABN74-MIN(MIN(DB74*UO74,(YA74+ABN74)),ABN74)),ABN74)</f>
        <v>0</v>
      </c>
      <c r="ABP74" s="20" t="n">
        <f aca="false">IF(H_Direct=1,IF(DC74&lt;=0,ABO74-DC74*UP74,ABO74-MIN(MIN(DC74*UP74,(YB74+ABO74)),ABO74)),ABO74)</f>
        <v>0</v>
      </c>
      <c r="ABQ74" s="20" t="n">
        <f aca="false">IF(H_Direct=1,IF(DD74&lt;=0,ABP74-DD74*UQ74,ABP74-MIN(MIN(DD74*UQ74,(YC74+ABP74)),ABP74)),ABP74)</f>
        <v>0</v>
      </c>
      <c r="ABR74" s="20" t="n">
        <f aca="false">IF(H_Direct=1,IF(DE74&lt;=0,ABQ74-DE74*UR74,ABQ74-MIN(MIN(DE74*UR74,(YD74+ABQ74)),ABQ74)),ABQ74)</f>
        <v>0</v>
      </c>
      <c r="ABS74" s="20" t="n">
        <f aca="false">IF(H_Direct=1,IF(DF74&lt;=0,ABR74-DF74*US74,ABR74-MIN(MIN(DF74*US74,(YE74+ABR74)),ABR74)),ABR74)</f>
        <v>0</v>
      </c>
      <c r="ABT74" s="20" t="n">
        <f aca="false">IF(H_Direct=1,IF(DG74&lt;=0,ABS74-DG74*UT74,ABS74-MIN(MIN(DG74*UT74,(YF74+ABS74)),ABS74)),ABS74)</f>
        <v>0</v>
      </c>
      <c r="ABU74" s="20" t="n">
        <f aca="false">IF(H_Direct=1,IF(DH74&lt;=0,ABT74-DH74*UU74,ABT74-MIN(MIN(DH74*UU74,(YG74+ABT74)),ABT74)),ABT74)</f>
        <v>0</v>
      </c>
      <c r="ABV74" s="20" t="n">
        <f aca="false">IF(H_Direct=1,IF(DI74&lt;=0,ABU74-DI74*UV74,ABU74-MIN(MIN(DI74*UV74,(YH74+ABU74)),ABU74)),ABU74)</f>
        <v>0</v>
      </c>
      <c r="ABW74" s="20" t="n">
        <f aca="false">IF(H_Direct=1,IF(DJ74&lt;=0,ABV74-DJ74*UW74,ABV74-MIN(MIN(DJ74*UW74,(YI74+ABV74)),ABV74)),ABV74)</f>
        <v>0</v>
      </c>
      <c r="ABX74" s="20" t="n">
        <f aca="false">IF(H_Direct=1,IF(DK74&lt;=0,ABW74-DK74*UX74,ABW74-MIN(MIN(DK74*UX74,(YJ74+ABW74)),ABW74)),ABW74)</f>
        <v>0</v>
      </c>
      <c r="ABY74" s="20" t="n">
        <f aca="false">IF(H_Direct=1,IF(DL74&lt;=0,ABX74-DL74*UY74,ABX74-MIN(MIN(DL74*UY74,(YK74+ABX74)),ABX74)),ABX74)</f>
        <v>0</v>
      </c>
      <c r="ABZ74" s="20" t="n">
        <f aca="false">IF(H_Direct=1,IF(DM74&lt;=0,ABY74-DM74*UZ74,ABY74-MIN(MIN(DM74*UZ74,(YL74+ABY74)),ABY74)),ABY74)</f>
        <v>0</v>
      </c>
      <c r="ACA74" s="20" t="n">
        <f aca="false">IF(H_Direct=1,IF(DN74&lt;=0,ABZ74-DN74*VA74,ABZ74-MIN(MIN(DN74*VA74,(YM74+ABZ74)),ABZ74)),ABZ74)</f>
        <v>0</v>
      </c>
      <c r="ACB74" s="20" t="n">
        <f aca="false">IF(H_Direct=1,IF(DO74&lt;=0,ACA74-DO74*VB74,ACA74-MIN(MIN(DO74*VB74,(YN74+ACA74)),ACA74)),ACA74)</f>
        <v>0</v>
      </c>
      <c r="ACC74" s="20" t="n">
        <f aca="false">IF(H_Direct=1,IF(DP74&lt;=0,ACB74-DP74*VC74,ACB74-MIN(MIN(DP74*VC74,(YO74+ACB74)),ACB74)),ACB74)</f>
        <v>0</v>
      </c>
      <c r="ACD74" s="20" t="n">
        <f aca="false">IF(H_Direct=1,IF(DQ74&lt;=0,ACC74-DQ74*VD74,ACC74-MIN(MIN(DQ74*VD74,(YP74+ACC74)),ACC74)),ACC74)</f>
        <v>0</v>
      </c>
      <c r="ACE74" s="20" t="n">
        <f aca="false">IF(H_Direct=1,IF(DR74&lt;=0,ACD74-DR74*VE74,ACD74-MIN(MIN(DR74*VE74,(YQ74+ACD74)),ACD74)),ACD74)</f>
        <v>0</v>
      </c>
      <c r="ACF74" s="20" t="n">
        <f aca="false">IF(H_Direct=1,IF(DS74&lt;=0,ACE74-DS74*VF74,ACE74-MIN(MIN(DS74*VF74,(YR74+ACE74)),ACE74)),ACE74)</f>
        <v>0</v>
      </c>
      <c r="ACG74" s="20" t="n">
        <f aca="false">IF(H_Direct=1,IF(DT74&lt;=0,ACF74-DT74*VG74,ACF74-MIN(MIN(DT74*VG74,(YS74+ACF74)),ACF74)),ACF74)</f>
        <v>0</v>
      </c>
      <c r="ACH74" s="20" t="n">
        <f aca="false">IF(H_Direct=1,IF(DU74&lt;=0,ACG74-DU74*VH74,ACG74-MIN(MIN(DU74*VH74,(YT74+ACG74)),ACG74)),ACG74)</f>
        <v>0</v>
      </c>
      <c r="ACI74" s="20" t="n">
        <f aca="false">IF(H_Direct=1,IF(DV74&lt;=0,ACH74-DV74*VI74,ACH74-MIN(MIN(DV74*VI74,(YU74+ACH74)),ACH74)),ACH74)</f>
        <v>0</v>
      </c>
      <c r="ACJ74" s="20" t="n">
        <f aca="false">IF(H_Direct=1,IF(DW74&lt;=0,ACI74-DW74*VJ74,ACI74-MIN(MIN(DW74*VJ74,(YV74+ACI74)),ACI74)),ACI74)</f>
        <v>0</v>
      </c>
      <c r="ACK74" s="20" t="n">
        <f aca="false">IF(H_Direct=1,IF(DX74&lt;=0,ACJ74-DX74*VK74,ACJ74-MIN(MIN(DX74*VK74,(YW74+ACJ74)),ACJ74)),ACJ74)</f>
        <v>0</v>
      </c>
      <c r="ACL74" s="20" t="n">
        <f aca="false">IF(H_Direct=1,IF(DY74&lt;=0,ACK74-DY74*VL74,ACK74-MIN(MIN(DY74*VL74,(YX74+ACK74)),ACK74)),ACK74)</f>
        <v>0</v>
      </c>
      <c r="ACM74" s="20" t="n">
        <f aca="false">IF(H_Direct=1,IF(DZ74&lt;=0,ACL74-DZ74*VM74,ACL74-MIN(MIN(DZ74*VM74,(YY74+ACL74)),ACL74)),ACL74)</f>
        <v>0</v>
      </c>
      <c r="ACN74" s="20" t="n">
        <f aca="false">IF(H_Direct=1,IF(EA74&lt;=0,ACM74-EA74*VN74,ACM74-MIN(MIN(EA74*VN74,(YZ74+ACM74)),ACM74)),ACM74)</f>
        <v>0</v>
      </c>
      <c r="ACO74" s="20" t="n">
        <f aca="false">IF(H_Direct=1,IF(EB74&lt;=0,ACN74-EB74*VO74,ACN74-MIN(MIN(EB74*VO74,(ZA74+ACN74)),ACN74)),ACN74)</f>
        <v>0</v>
      </c>
      <c r="ACP74" s="20" t="n">
        <f aca="false">IF(H_Direct=1,IF(EC74&lt;=0,ACO74-EC74*VP74,ACO74-MIN(MIN(EC74*VP74,(ZB74+ACO74)),ACO74)),ACO74)</f>
        <v>0</v>
      </c>
      <c r="ACQ74" s="20" t="n">
        <f aca="false">IF(H_Direct=1,IF(ED74&lt;=0,ACP74-ED74*VQ74,ACP74-MIN(MIN(ED74*VQ74,(ZC74+ACP74)),ACP74)),ACP74)</f>
        <v>0</v>
      </c>
      <c r="ACR74" s="20" t="n">
        <f aca="false">IF(H_Direct=1,IF(EE74&lt;=0,ACQ74-EE74*VR74,ACQ74-MIN(MIN(EE74*VR74,(ZD74+ACQ74)),ACQ74)),ACQ74)</f>
        <v>0</v>
      </c>
      <c r="ACS74" s="20" t="n">
        <f aca="false">IF(H_Direct=1,IF(EF74&lt;=0,ACR74-EF74*VS74,ACR74-MIN(MIN(EF74*VS74,(ZE74+ACR74)),ACR74)),ACR74)</f>
        <v>0</v>
      </c>
      <c r="ACT74" s="20" t="n">
        <f aca="false">IF(H_Direct=1,IF(EG74&lt;=0,ACS74-EG74*VT74,ACS74-MIN(MIN(EG74*VT74,(ZF74+ACS74)),ACS74)),ACS74)</f>
        <v>0</v>
      </c>
      <c r="ACU74" s="20" t="n">
        <f aca="false">ACT74</f>
        <v>0</v>
      </c>
      <c r="ACV74" s="20" t="n">
        <f aca="false">ACU74</f>
        <v>0</v>
      </c>
      <c r="ACW74" s="20" t="n">
        <f aca="false">ACV74</f>
        <v>0</v>
      </c>
      <c r="ACX74" s="20" t="n">
        <f aca="false">ACW74</f>
        <v>0</v>
      </c>
      <c r="ACY74" s="20" t="n">
        <f aca="false">ACX74</f>
        <v>0</v>
      </c>
      <c r="ACZ74" s="20" t="n">
        <f aca="false">ACY74</f>
        <v>0</v>
      </c>
      <c r="ADA74" s="20" t="n">
        <f aca="false">ACZ74</f>
        <v>0</v>
      </c>
      <c r="ADB74" s="20" t="n">
        <f aca="false">ADA74</f>
        <v>0</v>
      </c>
      <c r="ADC74" s="20" t="n">
        <f aca="false">ADB74</f>
        <v>0</v>
      </c>
      <c r="ADD74" s="20" t="n">
        <f aca="false">ADC74</f>
        <v>0</v>
      </c>
      <c r="ADE74" s="20" t="n">
        <f aca="false">ADD74</f>
        <v>0</v>
      </c>
      <c r="ADF74" s="20" t="n">
        <f aca="false">ADE74</f>
        <v>0</v>
      </c>
      <c r="ADG74" s="20" t="n">
        <f aca="false">ADF74</f>
        <v>0</v>
      </c>
      <c r="ADH74" s="20" t="n">
        <f aca="false">ADG74</f>
        <v>0</v>
      </c>
      <c r="ADI74" s="20" t="n">
        <f aca="false">ADH74</f>
        <v>0</v>
      </c>
      <c r="ADJ74" s="20" t="n">
        <f aca="false">ADI74</f>
        <v>0</v>
      </c>
      <c r="ADK74" s="20" t="n">
        <f aca="false">ADJ74</f>
        <v>0</v>
      </c>
      <c r="ADL74" s="20" t="n">
        <f aca="false">ADK74</f>
        <v>0</v>
      </c>
      <c r="ADM74" s="20" t="n">
        <f aca="false">ADL74</f>
        <v>0</v>
      </c>
      <c r="ADN74" s="20" t="n">
        <f aca="false">ADM74</f>
        <v>0</v>
      </c>
      <c r="ADO74" s="20" t="n">
        <f aca="false">ADN74</f>
        <v>0</v>
      </c>
      <c r="ADP74" s="20" t="n">
        <f aca="false">ADO74</f>
        <v>0</v>
      </c>
      <c r="ADQ74" s="20" t="n">
        <f aca="false">ADP74</f>
        <v>0</v>
      </c>
      <c r="ADR74" s="20" t="n">
        <f aca="false">(AKR73-TE74+0)*(1+BQ74)</f>
        <v>0</v>
      </c>
      <c r="ADS74" s="20" t="n">
        <f aca="false">(AKS73-TF74+0)*(1+BQ74)</f>
        <v>0</v>
      </c>
      <c r="ADT74" s="20" t="n">
        <f aca="false">(AKT73-TG74+0)*(1+BQ74)</f>
        <v>0</v>
      </c>
      <c r="ADU74" s="20" t="n">
        <f aca="false">(AKU73-TH74+0)*(1+BQ74)</f>
        <v>0</v>
      </c>
      <c r="ADV74" s="20" t="n">
        <f aca="false">(AKV73-TI74+0)*(1+BQ74)</f>
        <v>0</v>
      </c>
      <c r="ADW74" s="20" t="n">
        <f aca="false">(AKW73-TJ74+0)*(1+BQ74)</f>
        <v>0</v>
      </c>
      <c r="ADX74" s="20" t="n">
        <f aca="false">(AKX73-TK74+0)*(1+BQ74)</f>
        <v>0</v>
      </c>
      <c r="ADY74" s="20" t="n">
        <f aca="false">(AKY73-TL74+0)*(1+BQ74)</f>
        <v>0</v>
      </c>
      <c r="ADZ74" s="20" t="n">
        <f aca="false">(AKZ73-TM74+0)*(1+BQ74)</f>
        <v>0</v>
      </c>
      <c r="AEA74" s="20" t="n">
        <f aca="false">(ALA73-TN74+0)*(1+BQ74)</f>
        <v>0</v>
      </c>
      <c r="AEB74" s="20" t="n">
        <f aca="false">(ALB73-TO74+0)*(1+BQ74)</f>
        <v>0</v>
      </c>
      <c r="AEC74" s="20" t="n">
        <f aca="false">(ALC73-TP74+0)*(1+BQ74)</f>
        <v>0</v>
      </c>
      <c r="AED74" s="20" t="n">
        <f aca="false">(ALD73-TQ74+0)*(1+BQ74)</f>
        <v>0</v>
      </c>
      <c r="AEE74" s="20" t="n">
        <f aca="false">(ALE73-TR74+0)*(1+BQ74)</f>
        <v>0</v>
      </c>
      <c r="AEF74" s="20" t="n">
        <f aca="false">(ALF73-TS74+0)*(1+BQ74)</f>
        <v>0</v>
      </c>
      <c r="AEG74" s="20" t="n">
        <f aca="false">(ALG73-TT74+0)*(1+BQ74)</f>
        <v>0</v>
      </c>
      <c r="AEH74" s="20" t="n">
        <f aca="false">(ALH73-TU74+0)*(1+BQ74)</f>
        <v>0</v>
      </c>
      <c r="AEI74" s="20" t="n">
        <f aca="false">(ALI73-TV74+0)*(1+BQ74)</f>
        <v>0</v>
      </c>
      <c r="AEJ74" s="20" t="n">
        <f aca="false">(ALJ73-TW74+0)*(1+BQ74)</f>
        <v>0</v>
      </c>
      <c r="AEK74" s="20" t="n">
        <f aca="false">(ALK73-TX74+0)*(1+BQ74)</f>
        <v>0</v>
      </c>
      <c r="AEL74" s="20" t="n">
        <f aca="false">(ALL73-TY74+0)*(1+BQ74)</f>
        <v>0</v>
      </c>
      <c r="AEM74" s="20" t="n">
        <f aca="false">(ALM73-TZ74+0)*(1+BQ74)</f>
        <v>0</v>
      </c>
      <c r="AEN74" s="20" t="n">
        <f aca="false">(ALN73-UA74+0)*(1+BQ74)</f>
        <v>0</v>
      </c>
      <c r="AEO74" s="20" t="n">
        <f aca="false">(ALO73-UB74+0)*(1+BQ74)</f>
        <v>0</v>
      </c>
      <c r="AEP74" s="20" t="n">
        <f aca="false">(ALP73-UC74+0)*(1+BQ74)</f>
        <v>0</v>
      </c>
      <c r="AEQ74" s="20" t="n">
        <f aca="false">(ALQ73-UD74+0)*(1+BQ74)</f>
        <v>0</v>
      </c>
      <c r="AER74" s="20" t="n">
        <f aca="false">(ALR73-UE74+0)*(1+BQ74)</f>
        <v>0</v>
      </c>
      <c r="AES74" s="20" t="n">
        <f aca="false">(ALS73-UF74+0)*(1+BQ74)</f>
        <v>0</v>
      </c>
      <c r="AET74" s="20" t="n">
        <f aca="false">(ALT73-UG74+0)*(1+BQ74)</f>
        <v>0</v>
      </c>
      <c r="AEU74" s="20" t="n">
        <f aca="false">(ALU73-UH74+0)*(1+BQ74)</f>
        <v>0</v>
      </c>
      <c r="AEV74" s="20" t="n">
        <f aca="false">(ALV73-UI74+0)*(1+BQ74)</f>
        <v>0</v>
      </c>
      <c r="AEW74" s="20" t="n">
        <f aca="false">(ALW73-UJ74+0)*(1+BQ74)</f>
        <v>0</v>
      </c>
      <c r="AEX74" s="20" t="n">
        <f aca="false">(ALX73-UK74+0)*(1+BQ74)</f>
        <v>0</v>
      </c>
      <c r="AEY74" s="20" t="n">
        <f aca="false">(ALY73-UL74+0)*(1+BQ74)</f>
        <v>0</v>
      </c>
      <c r="AEZ74" s="20" t="n">
        <f aca="false">(ALZ73-UM74+0)*(1+BQ74)</f>
        <v>0</v>
      </c>
      <c r="AFA74" s="20" t="n">
        <f aca="false">(AMA73-UN74+0)*(1+BQ74)</f>
        <v>0</v>
      </c>
      <c r="AFB74" s="20" t="n">
        <f aca="false">(AMB73-UO74+0)*(1+BQ74)</f>
        <v>0</v>
      </c>
      <c r="AFC74" s="20" t="n">
        <f aca="false">(AMC73-UP74+0)*(1+BQ74)</f>
        <v>0</v>
      </c>
      <c r="AFD74" s="20" t="n">
        <f aca="false">(AMD73-UQ74+0)*(1+BQ74)</f>
        <v>0</v>
      </c>
      <c r="AFE74" s="20" t="n">
        <f aca="false">(AME73-UR74+0)*(1+BQ74)</f>
        <v>0</v>
      </c>
      <c r="AFF74" s="20" t="n">
        <f aca="false">(AMF73-US74+0)*(1+BQ74)</f>
        <v>0</v>
      </c>
      <c r="AFG74" s="20" t="n">
        <f aca="false">(AMG73-UT74+0)*(1+BQ74)</f>
        <v>0</v>
      </c>
      <c r="AFH74" s="20" t="n">
        <f aca="false">(AMH73-UU74+0)*(1+BQ74)</f>
        <v>0</v>
      </c>
      <c r="AFI74" s="20" t="n">
        <f aca="false">(AMI73-UV74+0)*(1+BQ74)</f>
        <v>0</v>
      </c>
      <c r="AFJ74" s="20" t="n">
        <f aca="false">(AMJ73-UW74+0)*(1+BQ74)</f>
        <v>0</v>
      </c>
      <c r="AFK74" s="20" t="n">
        <f aca="false">(AMK73-UX74+0)*(1+BQ74)</f>
        <v>0</v>
      </c>
      <c r="AFL74" s="20" t="n">
        <f aca="false">(AML73-UY74+0)*(1+BQ74)</f>
        <v>0</v>
      </c>
      <c r="AFM74" s="20" t="n">
        <f aca="false">(AMM73-UZ74+0)*(1+BQ74)</f>
        <v>0</v>
      </c>
      <c r="AFN74" s="20" t="n">
        <f aca="false">(AMN73-VA74+0)*(1+BQ74)</f>
        <v>0</v>
      </c>
      <c r="AFO74" s="20" t="n">
        <f aca="false">(AMO73-VB74+0)*(1+BQ74)</f>
        <v>0</v>
      </c>
      <c r="AFP74" s="20" t="n">
        <f aca="false">(AMP73-VC74+0)*(1+BQ74)</f>
        <v>0</v>
      </c>
      <c r="AFQ74" s="20" t="n">
        <f aca="false">(AMQ73-VD74+0)*(1+BQ74)</f>
        <v>0</v>
      </c>
      <c r="AFR74" s="20" t="n">
        <f aca="false">(AMR73-VE74+0)*(1+BQ74)</f>
        <v>0</v>
      </c>
      <c r="AFS74" s="20" t="n">
        <f aca="false">(AMS73-VF74+0)*(1+BQ74)</f>
        <v>0</v>
      </c>
      <c r="AFT74" s="20" t="n">
        <f aca="false">(AMT73-VG74+0)*(1+BQ74)</f>
        <v>0</v>
      </c>
      <c r="AFU74" s="20" t="n">
        <f aca="false">(AMU73-VH74+0)*(1+BQ74)</f>
        <v>0</v>
      </c>
      <c r="AFV74" s="20" t="n">
        <f aca="false">(AMV73-VI74+0)*(1+BQ74)</f>
        <v>0</v>
      </c>
      <c r="AFW74" s="20" t="n">
        <f aca="false">(AMW73-VJ74+0)*(1+BQ74)</f>
        <v>0</v>
      </c>
      <c r="AFX74" s="20" t="n">
        <f aca="false">(AMX73-VK74+0)*(1+BQ74)</f>
        <v>0</v>
      </c>
      <c r="AFY74" s="20" t="n">
        <f aca="false">(AMY73-VL74+0)*(1+BQ74)</f>
        <v>0</v>
      </c>
      <c r="AFZ74" s="20" t="n">
        <f aca="false">(AMZ73-VM74+0)*(1+BQ74)</f>
        <v>0</v>
      </c>
      <c r="AGA74" s="20" t="n">
        <f aca="false">(ANA73-VN74+0)*(1+BQ74)</f>
        <v>0</v>
      </c>
      <c r="AGB74" s="20" t="n">
        <f aca="false">(ANB73-VO74+0)*(1+BQ74)</f>
        <v>0</v>
      </c>
      <c r="AGC74" s="20" t="n">
        <f aca="false">(ANC73-VP74+0)*(1+BQ74)</f>
        <v>0</v>
      </c>
      <c r="AGD74" s="20" t="n">
        <f aca="false">(AND73-VQ74+0)*(1+BQ74)</f>
        <v>0</v>
      </c>
      <c r="AGE74" s="20" t="n">
        <f aca="false">(ANE73-VR74+0)*(1+BQ74)</f>
        <v>0</v>
      </c>
      <c r="AGF74" s="20" t="n">
        <f aca="false">(ANF73-VS74+0)*(1+BQ74)</f>
        <v>0</v>
      </c>
      <c r="AGG74" s="20" t="n">
        <f aca="false">((P74+S74)-VT74+BE74)*(1+BQ74)</f>
        <v>0</v>
      </c>
      <c r="AGH74" s="20" t="n">
        <v>0</v>
      </c>
      <c r="AGI74" s="20" t="n">
        <v>0</v>
      </c>
      <c r="AGJ74" s="20" t="n">
        <v>0</v>
      </c>
      <c r="AGK74" s="20" t="n">
        <v>0</v>
      </c>
      <c r="AGL74" s="20" t="n">
        <v>0</v>
      </c>
      <c r="AGM74" s="20" t="n">
        <v>0</v>
      </c>
      <c r="AGN74" s="20" t="n">
        <v>0</v>
      </c>
      <c r="AGO74" s="20" t="n">
        <v>0</v>
      </c>
      <c r="AGP74" s="20" t="n">
        <v>0</v>
      </c>
      <c r="AGQ74" s="20" t="n">
        <v>0</v>
      </c>
      <c r="AGR74" s="20" t="n">
        <v>0</v>
      </c>
      <c r="AGS74" s="20" t="n">
        <v>0</v>
      </c>
      <c r="AGT74" s="20" t="n">
        <v>0</v>
      </c>
      <c r="AGU74" s="20" t="n">
        <v>0</v>
      </c>
      <c r="AGV74" s="20" t="n">
        <v>0</v>
      </c>
      <c r="AGW74" s="20" t="n">
        <v>0</v>
      </c>
      <c r="AGX74" s="20" t="n">
        <v>0</v>
      </c>
      <c r="AGY74" s="20" t="n">
        <v>0</v>
      </c>
      <c r="AGZ74" s="20" t="n">
        <v>0</v>
      </c>
      <c r="AHA74" s="20" t="n">
        <v>0</v>
      </c>
      <c r="AHB74" s="20" t="n">
        <v>0</v>
      </c>
      <c r="AHC74" s="20" t="n">
        <v>0</v>
      </c>
      <c r="AHD74" s="20" t="n">
        <v>0</v>
      </c>
      <c r="AHE74" s="20" t="n">
        <f aca="false">IF(AKR73&gt;0,AOE73-AOE73*TE74/AKR73,0)+0</f>
        <v>0</v>
      </c>
      <c r="AHF74" s="20" t="n">
        <f aca="false">IF(AKS73&gt;0,AOF73-AOF73*TF74/AKS73,0)+0</f>
        <v>0</v>
      </c>
      <c r="AHG74" s="20" t="n">
        <f aca="false">IF(AKT73&gt;0,AOG73-AOG73*TG74/AKT73,0)+0</f>
        <v>0</v>
      </c>
      <c r="AHH74" s="20" t="n">
        <f aca="false">IF(AKU73&gt;0,AOH73-AOH73*TH74/AKU73,0)+0</f>
        <v>0</v>
      </c>
      <c r="AHI74" s="20" t="n">
        <f aca="false">IF(AKV73&gt;0,AOI73-AOI73*TI74/AKV73,0)+0</f>
        <v>0</v>
      </c>
      <c r="AHJ74" s="20" t="n">
        <f aca="false">IF(AKW73&gt;0,AOJ73-AOJ73*TJ74/AKW73,0)+0</f>
        <v>0</v>
      </c>
      <c r="AHK74" s="20" t="n">
        <f aca="false">IF(AKX73&gt;0,AOK73-AOK73*TK74/AKX73,0)+0</f>
        <v>0</v>
      </c>
      <c r="AHL74" s="20" t="n">
        <f aca="false">IF(AKY73&gt;0,AOL73-AOL73*TL74/AKY73,0)+0</f>
        <v>0</v>
      </c>
      <c r="AHM74" s="20" t="n">
        <f aca="false">IF(AKZ73&gt;0,AOM73-AOM73*TM74/AKZ73,0)+0</f>
        <v>0</v>
      </c>
      <c r="AHN74" s="20" t="n">
        <f aca="false">IF(ALA73&gt;0,AON73-AON73*TN74/ALA73,0)+0</f>
        <v>0</v>
      </c>
      <c r="AHO74" s="20" t="n">
        <f aca="false">IF(ALB73&gt;0,AOO73-AOO73*TO74/ALB73,0)+0</f>
        <v>0</v>
      </c>
      <c r="AHP74" s="20" t="n">
        <f aca="false">IF(ALC73&gt;0,AOP73-AOP73*TP74/ALC73,0)+0</f>
        <v>0</v>
      </c>
      <c r="AHQ74" s="20" t="n">
        <f aca="false">IF(ALD73&gt;0,AOQ73-AOQ73*TQ74/ALD73,0)+0</f>
        <v>0</v>
      </c>
      <c r="AHR74" s="20" t="n">
        <f aca="false">IF(ALE73&gt;0,AOR73-AOR73*TR74/ALE73,0)+0</f>
        <v>0</v>
      </c>
      <c r="AHS74" s="20" t="n">
        <f aca="false">IF(ALF73&gt;0,AOS73-AOS73*TS74/ALF73,0)+0</f>
        <v>0</v>
      </c>
      <c r="AHT74" s="20" t="n">
        <f aca="false">IF(ALG73&gt;0,AOT73-AOT73*TT74/ALG73,0)+0</f>
        <v>0</v>
      </c>
      <c r="AHU74" s="20" t="n">
        <f aca="false">IF(ALH73&gt;0,AOU73-AOU73*TU74/ALH73,0)+0</f>
        <v>0</v>
      </c>
      <c r="AHV74" s="20" t="n">
        <f aca="false">IF(ALI73&gt;0,AOV73-AOV73*TV74/ALI73,0)+0</f>
        <v>0</v>
      </c>
      <c r="AHW74" s="20" t="n">
        <f aca="false">IF(ALJ73&gt;0,AOW73-AOW73*TW74/ALJ73,0)+0</f>
        <v>0</v>
      </c>
      <c r="AHX74" s="20" t="n">
        <f aca="false">IF(ALK73&gt;0,AOX73-AOX73*TX74/ALK73,0)+0</f>
        <v>0</v>
      </c>
      <c r="AHY74" s="20" t="n">
        <f aca="false">IF(ALL73&gt;0,AOY73-AOY73*TY74/ALL73,0)+0</f>
        <v>0</v>
      </c>
      <c r="AHZ74" s="20" t="n">
        <f aca="false">IF(ALM73&gt;0,AOZ73-AOZ73*TZ74/ALM73,0)+0</f>
        <v>0</v>
      </c>
      <c r="AIA74" s="20" t="n">
        <f aca="false">IF(ALN73&gt;0,APA73-APA73*UA74/ALN73,0)+0</f>
        <v>0</v>
      </c>
      <c r="AIB74" s="20" t="n">
        <f aca="false">IF(ALO73&gt;0,APB73-APB73*UB74/ALO73,0)+0</f>
        <v>0</v>
      </c>
      <c r="AIC74" s="20" t="n">
        <f aca="false">IF(ALP73&gt;0,APC73-APC73*UC74/ALP73,0)+0</f>
        <v>0</v>
      </c>
      <c r="AID74" s="20" t="n">
        <f aca="false">IF(ALQ73&gt;0,APD73-APD73*UD74/ALQ73,0)+0</f>
        <v>0</v>
      </c>
      <c r="AIE74" s="20" t="n">
        <f aca="false">IF(ALR73&gt;0,APE73-APE73*UE74/ALR73,0)+0</f>
        <v>0</v>
      </c>
      <c r="AIF74" s="20" t="n">
        <f aca="false">IF(ALS73&gt;0,APF73-APF73*UF74/ALS73,0)+0</f>
        <v>0</v>
      </c>
      <c r="AIG74" s="20" t="n">
        <f aca="false">IF(ALT73&gt;0,APG73-APG73*UG74/ALT73,0)+0</f>
        <v>0</v>
      </c>
      <c r="AIH74" s="20" t="n">
        <f aca="false">IF(ALU73&gt;0,APH73-APH73*UH74/ALU73,0)+0</f>
        <v>0</v>
      </c>
      <c r="AII74" s="20" t="n">
        <f aca="false">IF(ALV73&gt;0,API73-API73*UI74/ALV73,0)+0</f>
        <v>0</v>
      </c>
      <c r="AIJ74" s="20" t="n">
        <f aca="false">IF(ALW73&gt;0,APJ73-APJ73*UJ74/ALW73,0)+0</f>
        <v>0</v>
      </c>
      <c r="AIK74" s="20" t="n">
        <f aca="false">IF(ALX73&gt;0,APK73-APK73*UK74/ALX73,0)+0</f>
        <v>0</v>
      </c>
      <c r="AIL74" s="20" t="n">
        <f aca="false">IF(ALY73&gt;0,APL73-APL73*UL74/ALY73,0)+0</f>
        <v>0</v>
      </c>
      <c r="AIM74" s="20" t="n">
        <f aca="false">IF(ALZ73&gt;0,APM73-APM73*UM74/ALZ73,0)+0</f>
        <v>0</v>
      </c>
      <c r="AIN74" s="20" t="n">
        <f aca="false">IF(AMA73&gt;0,APN73-APN73*UN74/AMA73,0)+0</f>
        <v>0</v>
      </c>
      <c r="AIO74" s="20" t="n">
        <f aca="false">IF(AMB73&gt;0,APO73-APO73*UO74/AMB73,0)+0</f>
        <v>0</v>
      </c>
      <c r="AIP74" s="20" t="n">
        <f aca="false">IF(AMC73&gt;0,APP73-APP73*UP74/AMC73,0)+0</f>
        <v>0</v>
      </c>
      <c r="AIQ74" s="20" t="n">
        <f aca="false">IF(AMD73&gt;0,APQ73-APQ73*UQ74/AMD73,0)+0</f>
        <v>0</v>
      </c>
      <c r="AIR74" s="20" t="n">
        <f aca="false">IF(AME73&gt;0,APR73-APR73*UR74/AME73,0)+0</f>
        <v>0</v>
      </c>
      <c r="AIS74" s="20" t="n">
        <f aca="false">IF(AMF73&gt;0,APS73-APS73*US74/AMF73,0)+0</f>
        <v>0</v>
      </c>
      <c r="AIT74" s="20" t="n">
        <f aca="false">IF(AMG73&gt;0,APT73-APT73*UT74/AMG73,0)+0</f>
        <v>0</v>
      </c>
      <c r="AIU74" s="20" t="n">
        <f aca="false">IF(AMH73&gt;0,APU73-APU73*UU74/AMH73,0)+0</f>
        <v>0</v>
      </c>
      <c r="AIV74" s="20" t="n">
        <f aca="false">IF(AMI73&gt;0,APV73-APV73*UV74/AMI73,0)+0</f>
        <v>0</v>
      </c>
      <c r="AIW74" s="20" t="n">
        <f aca="false">IF(AMJ73&gt;0,APW73-APW73*UW74/AMJ73,0)+0</f>
        <v>0</v>
      </c>
      <c r="AIX74" s="20" t="n">
        <f aca="false">IF(AMK73&gt;0,APX73-APX73*UX74/AMK73,0)+0</f>
        <v>0</v>
      </c>
      <c r="AIY74" s="20" t="n">
        <f aca="false">IF(AML73&gt;0,APY73-APY73*UY74/AML73,0)+0</f>
        <v>0</v>
      </c>
      <c r="AIZ74" s="20" t="n">
        <f aca="false">IF(AMM73&gt;0,APZ73-APZ73*UZ74/AMM73,0)+0</f>
        <v>0</v>
      </c>
      <c r="AJA74" s="20" t="n">
        <f aca="false">IF(AMN73&gt;0,AQA73-AQA73*VA74/AMN73,0)+0</f>
        <v>0</v>
      </c>
      <c r="AJB74" s="20" t="n">
        <f aca="false">IF(AMO73&gt;0,AQB73-AQB73*VB74/AMO73,0)+0</f>
        <v>0</v>
      </c>
      <c r="AJC74" s="20" t="n">
        <f aca="false">IF(AMP73&gt;0,AQC73-AQC73*VC74/AMP73,0)+0</f>
        <v>0</v>
      </c>
      <c r="AJD74" s="20" t="n">
        <f aca="false">IF(AMQ73&gt;0,AQD73-AQD73*VD74/AMQ73,0)+0</f>
        <v>0</v>
      </c>
      <c r="AJE74" s="20" t="n">
        <f aca="false">IF(AMR73&gt;0,AQE73-AQE73*VE74/AMR73,0)+0</f>
        <v>0</v>
      </c>
      <c r="AJF74" s="20" t="n">
        <f aca="false">IF(AMS73&gt;0,AQF73-AQF73*VF74/AMS73,0)+0</f>
        <v>0</v>
      </c>
      <c r="AJG74" s="20" t="n">
        <f aca="false">IF(AMT73&gt;0,AQG73-AQG73*VG74/AMT73,0)+0</f>
        <v>0</v>
      </c>
      <c r="AJH74" s="20" t="n">
        <f aca="false">IF(AMU73&gt;0,AQH73-AQH73*VH74/AMU73,0)+0</f>
        <v>0</v>
      </c>
      <c r="AJI74" s="20" t="n">
        <f aca="false">IF(AMV73&gt;0,AQI73-AQI73*VI74/AMV73,0)+0</f>
        <v>0</v>
      </c>
      <c r="AJJ74" s="20" t="n">
        <f aca="false">IF(AMW73&gt;0,AQJ73-AQJ73*VJ74/AMW73,0)+0</f>
        <v>0</v>
      </c>
      <c r="AJK74" s="20" t="n">
        <f aca="false">IF(AMX73&gt;0,AQK73-AQK73*VK74/AMX73,0)+0</f>
        <v>0</v>
      </c>
      <c r="AJL74" s="20" t="n">
        <f aca="false">IF(AMY73&gt;0,AQL73-AQL73*VL74/AMY73,0)+0</f>
        <v>0</v>
      </c>
      <c r="AJM74" s="20" t="n">
        <f aca="false">IF(AMZ73&gt;0,AQM73-AQM73*VM74/AMZ73,0)+0</f>
        <v>0</v>
      </c>
      <c r="AJN74" s="20" t="n">
        <f aca="false">IF(ANA73&gt;0,AQN73-AQN73*VN74/ANA73,0)+0</f>
        <v>0</v>
      </c>
      <c r="AJO74" s="20" t="n">
        <f aca="false">IF(ANB73&gt;0,AQO73-AQO73*VO74/ANB73,0)+0</f>
        <v>0</v>
      </c>
      <c r="AJP74" s="20" t="n">
        <f aca="false">IF(ANC73&gt;0,AQP73-AQP73*VP74/ANC73,0)+0</f>
        <v>0</v>
      </c>
      <c r="AJQ74" s="20" t="n">
        <f aca="false">IF(AND73&gt;0,AQQ73-AQQ73*VQ74/AND73,0)+0</f>
        <v>0</v>
      </c>
      <c r="AJR74" s="20" t="n">
        <f aca="false">IF(ANE73&gt;0,AQR73-AQR73*VR74/ANE73,0)+0</f>
        <v>0</v>
      </c>
      <c r="AJS74" s="20" t="n">
        <f aca="false">IF(ANF73&gt;0,AQS73-AQS73*VS74/ANF73,0)+0</f>
        <v>0</v>
      </c>
      <c r="AJT74" s="20" t="n">
        <f aca="false">IF((P74+S74)&gt;0,(P74+S74)-(P74+S74)*VT74/(P74+S74),0)+BE74</f>
        <v>0</v>
      </c>
      <c r="AJU74" s="20" t="n">
        <v>0</v>
      </c>
      <c r="AJV74" s="20" t="n">
        <v>0</v>
      </c>
      <c r="AJW74" s="20" t="n">
        <v>0</v>
      </c>
      <c r="AJX74" s="20" t="n">
        <v>0</v>
      </c>
      <c r="AJY74" s="20" t="n">
        <v>0</v>
      </c>
      <c r="AJZ74" s="20" t="n">
        <v>0</v>
      </c>
      <c r="AKA74" s="20" t="n">
        <v>0</v>
      </c>
      <c r="AKB74" s="20" t="n">
        <v>0</v>
      </c>
      <c r="AKC74" s="20" t="n">
        <v>0</v>
      </c>
      <c r="AKD74" s="20" t="n">
        <v>0</v>
      </c>
      <c r="AKE74" s="20" t="n">
        <v>0</v>
      </c>
      <c r="AKF74" s="20" t="n">
        <v>0</v>
      </c>
      <c r="AKG74" s="20" t="n">
        <v>0</v>
      </c>
      <c r="AKH74" s="20" t="n">
        <v>0</v>
      </c>
      <c r="AKI74" s="20" t="n">
        <v>0</v>
      </c>
      <c r="AKJ74" s="20" t="n">
        <v>0</v>
      </c>
      <c r="AKK74" s="20" t="n">
        <v>0</v>
      </c>
      <c r="AKL74" s="20" t="n">
        <v>0</v>
      </c>
      <c r="AKM74" s="20" t="n">
        <v>0</v>
      </c>
      <c r="AKN74" s="20" t="n">
        <v>0</v>
      </c>
      <c r="AKO74" s="20" t="n">
        <v>0</v>
      </c>
      <c r="AKP74" s="20" t="n">
        <v>0</v>
      </c>
      <c r="AKQ74" s="20" t="n">
        <v>0</v>
      </c>
      <c r="AKR74" s="20" t="n">
        <f aca="false">ADR74-AVE74</f>
        <v>0</v>
      </c>
      <c r="AKS74" s="20" t="n">
        <f aca="false">ADS74-AVF74</f>
        <v>0</v>
      </c>
      <c r="AKT74" s="20" t="n">
        <f aca="false">ADT74-AVG74</f>
        <v>0</v>
      </c>
      <c r="AKU74" s="20" t="n">
        <f aca="false">ADU74-AVH74</f>
        <v>0</v>
      </c>
      <c r="AKV74" s="20" t="n">
        <f aca="false">ADV74-AVI74</f>
        <v>0</v>
      </c>
      <c r="AKW74" s="20" t="n">
        <f aca="false">ADW74-AVJ74</f>
        <v>0</v>
      </c>
      <c r="AKX74" s="20" t="n">
        <f aca="false">ADX74-AVK74</f>
        <v>0</v>
      </c>
      <c r="AKY74" s="20" t="n">
        <f aca="false">ADY74-AVL74</f>
        <v>0</v>
      </c>
      <c r="AKZ74" s="20" t="n">
        <f aca="false">ADZ74-AVM74</f>
        <v>0</v>
      </c>
      <c r="ALA74" s="20" t="n">
        <f aca="false">AEA74-AVN74</f>
        <v>0</v>
      </c>
      <c r="ALB74" s="20" t="n">
        <f aca="false">AEB74-AVO74</f>
        <v>0</v>
      </c>
      <c r="ALC74" s="20" t="n">
        <f aca="false">AEC74-AVP74</f>
        <v>0</v>
      </c>
      <c r="ALD74" s="20" t="n">
        <f aca="false">AED74-AVQ74</f>
        <v>0</v>
      </c>
      <c r="ALE74" s="20" t="n">
        <f aca="false">AEE74-AVR74</f>
        <v>0</v>
      </c>
      <c r="ALF74" s="20" t="n">
        <f aca="false">AEF74-AVS74</f>
        <v>0</v>
      </c>
      <c r="ALG74" s="20" t="n">
        <f aca="false">AEG74-AVT74</f>
        <v>0</v>
      </c>
      <c r="ALH74" s="20" t="n">
        <f aca="false">AEH74-AVU74</f>
        <v>0</v>
      </c>
      <c r="ALI74" s="20" t="n">
        <f aca="false">AEI74-AVV74</f>
        <v>0</v>
      </c>
      <c r="ALJ74" s="20" t="n">
        <f aca="false">AEJ74-AVW74</f>
        <v>0</v>
      </c>
      <c r="ALK74" s="20" t="n">
        <f aca="false">AEK74-AVX74</f>
        <v>0</v>
      </c>
      <c r="ALL74" s="20" t="n">
        <f aca="false">AEL74-AVY74</f>
        <v>0</v>
      </c>
      <c r="ALM74" s="20" t="n">
        <f aca="false">AEM74-AVZ74</f>
        <v>0</v>
      </c>
      <c r="ALN74" s="20" t="n">
        <f aca="false">AEN74-AWA74</f>
        <v>0</v>
      </c>
      <c r="ALO74" s="20" t="n">
        <f aca="false">AEO74-AWB74</f>
        <v>0</v>
      </c>
      <c r="ALP74" s="20" t="n">
        <f aca="false">AEP74-AWC74</f>
        <v>0</v>
      </c>
      <c r="ALQ74" s="20" t="n">
        <f aca="false">AEQ74-AWD74</f>
        <v>0</v>
      </c>
      <c r="ALR74" s="20" t="n">
        <f aca="false">AER74-AWE74</f>
        <v>0</v>
      </c>
      <c r="ALS74" s="20" t="n">
        <f aca="false">AES74-AWF74</f>
        <v>0</v>
      </c>
      <c r="ALT74" s="20" t="n">
        <f aca="false">AET74-AWG74</f>
        <v>0</v>
      </c>
      <c r="ALU74" s="20" t="n">
        <f aca="false">AEU74-AWH74</f>
        <v>0</v>
      </c>
      <c r="ALV74" s="20" t="n">
        <f aca="false">AEV74-AWI74</f>
        <v>0</v>
      </c>
      <c r="ALW74" s="20" t="n">
        <f aca="false">AEW74-AWJ74</f>
        <v>0</v>
      </c>
      <c r="ALX74" s="20" t="n">
        <f aca="false">AEX74-AWK74</f>
        <v>0</v>
      </c>
      <c r="ALY74" s="20" t="n">
        <f aca="false">AEY74-AWL74</f>
        <v>0</v>
      </c>
      <c r="ALZ74" s="20" t="n">
        <f aca="false">AEZ74-AWM74</f>
        <v>0</v>
      </c>
      <c r="AMA74" s="20" t="n">
        <f aca="false">AFA74-AWN74</f>
        <v>0</v>
      </c>
      <c r="AMB74" s="20" t="n">
        <f aca="false">AFB74-AWO74</f>
        <v>0</v>
      </c>
      <c r="AMC74" s="20" t="n">
        <f aca="false">AFC74-AWP74</f>
        <v>0</v>
      </c>
      <c r="AMD74" s="20" t="n">
        <f aca="false">AFD74-AWQ74</f>
        <v>0</v>
      </c>
      <c r="AME74" s="20" t="n">
        <f aca="false">AFE74-AWR74</f>
        <v>0</v>
      </c>
      <c r="AMF74" s="20" t="n">
        <f aca="false">AFF74-AWS74</f>
        <v>0</v>
      </c>
      <c r="AMG74" s="20" t="n">
        <f aca="false">AFG74-AWT74</f>
        <v>0</v>
      </c>
      <c r="AMH74" s="20" t="n">
        <f aca="false">AFH74-AWU74</f>
        <v>0</v>
      </c>
      <c r="AMI74" s="20" t="n">
        <f aca="false">AFI74-AWV74</f>
        <v>0</v>
      </c>
      <c r="AMJ74" s="20" t="n">
        <f aca="false">AFJ74-AWW74</f>
        <v>0</v>
      </c>
      <c r="AMK74" s="20" t="n">
        <f aca="false">AFK74-AWX74</f>
        <v>0</v>
      </c>
      <c r="AML74" s="20" t="n">
        <f aca="false">AFL74-AWY74</f>
        <v>0</v>
      </c>
      <c r="AMM74" s="20" t="n">
        <f aca="false">AFM74-AWZ74</f>
        <v>0</v>
      </c>
      <c r="AMN74" s="20" t="n">
        <f aca="false">AFN74-AXA74</f>
        <v>0</v>
      </c>
      <c r="AMO74" s="20" t="n">
        <f aca="false">AFO74-AXB74</f>
        <v>0</v>
      </c>
      <c r="AMP74" s="20" t="n">
        <f aca="false">AFP74-AXC74</f>
        <v>0</v>
      </c>
      <c r="AMQ74" s="20" t="n">
        <f aca="false">AFQ74-AXD74</f>
        <v>0</v>
      </c>
      <c r="AMR74" s="20" t="n">
        <f aca="false">AFR74-AXE74</f>
        <v>0</v>
      </c>
      <c r="AMS74" s="20" t="n">
        <f aca="false">AFS74-AXF74</f>
        <v>0</v>
      </c>
      <c r="AMT74" s="20" t="n">
        <f aca="false">AFT74-AXG74</f>
        <v>0</v>
      </c>
      <c r="AMU74" s="20" t="n">
        <f aca="false">AFU74-AXH74</f>
        <v>0</v>
      </c>
      <c r="AMV74" s="20" t="n">
        <f aca="false">AFV74-AXI74</f>
        <v>0</v>
      </c>
      <c r="AMW74" s="20" t="n">
        <f aca="false">AFW74-AXJ74</f>
        <v>0</v>
      </c>
      <c r="AMX74" s="20" t="n">
        <f aca="false">AFX74-AXK74</f>
        <v>0</v>
      </c>
      <c r="AMY74" s="20" t="n">
        <f aca="false">AFY74-AXL74</f>
        <v>0</v>
      </c>
      <c r="AMZ74" s="20" t="n">
        <f aca="false">AFZ74-AXM74</f>
        <v>0</v>
      </c>
      <c r="ANA74" s="20" t="n">
        <f aca="false">AGA74-AXN74</f>
        <v>0</v>
      </c>
      <c r="ANB74" s="20" t="n">
        <f aca="false">AGB74-AXO74</f>
        <v>0</v>
      </c>
      <c r="ANC74" s="20" t="n">
        <f aca="false">AGC74-AXP74</f>
        <v>0</v>
      </c>
      <c r="AND74" s="20" t="n">
        <f aca="false">AGD74-AXQ74</f>
        <v>0</v>
      </c>
      <c r="ANE74" s="20" t="n">
        <f aca="false">AGE74-AXR74</f>
        <v>0</v>
      </c>
      <c r="ANF74" s="20" t="n">
        <f aca="false">AGF74-AXS74</f>
        <v>0</v>
      </c>
      <c r="ANG74" s="20" t="n">
        <f aca="false">AGG74-AXT74</f>
        <v>0</v>
      </c>
      <c r="ANH74" s="20" t="n">
        <v>0</v>
      </c>
      <c r="ANI74" s="20" t="n">
        <v>0</v>
      </c>
      <c r="ANJ74" s="20" t="n">
        <v>0</v>
      </c>
      <c r="ANK74" s="20" t="n">
        <v>0</v>
      </c>
      <c r="ANL74" s="20" t="n">
        <v>0</v>
      </c>
      <c r="ANM74" s="20" t="n">
        <v>0</v>
      </c>
      <c r="ANN74" s="20" t="n">
        <v>0</v>
      </c>
      <c r="ANO74" s="20" t="n">
        <v>0</v>
      </c>
      <c r="ANP74" s="20" t="n">
        <v>0</v>
      </c>
      <c r="ANQ74" s="20" t="n">
        <v>0</v>
      </c>
      <c r="ANR74" s="20" t="n">
        <v>0</v>
      </c>
      <c r="ANS74" s="20" t="n">
        <v>0</v>
      </c>
      <c r="ANT74" s="20" t="n">
        <v>0</v>
      </c>
      <c r="ANU74" s="20" t="n">
        <v>0</v>
      </c>
      <c r="ANV74" s="20" t="n">
        <v>0</v>
      </c>
      <c r="ANW74" s="20" t="n">
        <v>0</v>
      </c>
      <c r="ANX74" s="20" t="n">
        <v>0</v>
      </c>
      <c r="ANY74" s="20" t="n">
        <v>0</v>
      </c>
      <c r="ANZ74" s="20" t="n">
        <v>0</v>
      </c>
      <c r="AOA74" s="20" t="n">
        <v>0</v>
      </c>
      <c r="AOB74" s="20" t="n">
        <v>0</v>
      </c>
      <c r="AOC74" s="20" t="n">
        <v>0</v>
      </c>
      <c r="AOD74" s="20" t="n">
        <v>0</v>
      </c>
      <c r="AOE74" s="20" t="n">
        <f aca="false">IF(AND(H_Direct=0,H_TaxEvt=1,ARR73+1&gt;=H_Deemed),AKR74,AHE74)</f>
        <v>0</v>
      </c>
      <c r="AOF74" s="20" t="n">
        <f aca="false">IF(AND(H_Direct=0,H_TaxEvt=1,ARS73+1&gt;=H_Deemed),AKS74,AHF74)</f>
        <v>0</v>
      </c>
      <c r="AOG74" s="20" t="n">
        <f aca="false">IF(AND(H_Direct=0,H_TaxEvt=1,ART73+1&gt;=H_Deemed),AKT74,AHG74)</f>
        <v>0</v>
      </c>
      <c r="AOH74" s="20" t="n">
        <f aca="false">IF(AND(H_Direct=0,H_TaxEvt=1,ARU73+1&gt;=H_Deemed),AKU74,AHH74)</f>
        <v>0</v>
      </c>
      <c r="AOI74" s="20" t="n">
        <f aca="false">IF(AND(H_Direct=0,H_TaxEvt=1,ARV73+1&gt;=H_Deemed),AKV74,AHI74)</f>
        <v>0</v>
      </c>
      <c r="AOJ74" s="20" t="n">
        <f aca="false">IF(AND(H_Direct=0,H_TaxEvt=1,ARW73+1&gt;=H_Deemed),AKW74,AHJ74)</f>
        <v>0</v>
      </c>
      <c r="AOK74" s="20" t="n">
        <f aca="false">IF(AND(H_Direct=0,H_TaxEvt=1,ARX73+1&gt;=H_Deemed),AKX74,AHK74)</f>
        <v>0</v>
      </c>
      <c r="AOL74" s="20" t="n">
        <f aca="false">IF(AND(H_Direct=0,H_TaxEvt=1,ARY73+1&gt;=H_Deemed),AKY74,AHL74)</f>
        <v>0</v>
      </c>
      <c r="AOM74" s="20" t="n">
        <f aca="false">IF(AND(H_Direct=0,H_TaxEvt=1,ARZ73+1&gt;=H_Deemed),AKZ74,AHM74)</f>
        <v>0</v>
      </c>
      <c r="AON74" s="20" t="n">
        <f aca="false">IF(AND(H_Direct=0,H_TaxEvt=1,ASA73+1&gt;=H_Deemed),ALA74,AHN74)</f>
        <v>0</v>
      </c>
      <c r="AOO74" s="20" t="n">
        <f aca="false">IF(AND(H_Direct=0,H_TaxEvt=1,ASB73+1&gt;=H_Deemed),ALB74,AHO74)</f>
        <v>0</v>
      </c>
      <c r="AOP74" s="20" t="n">
        <f aca="false">IF(AND(H_Direct=0,H_TaxEvt=1,ASC73+1&gt;=H_Deemed),ALC74,AHP74)</f>
        <v>0</v>
      </c>
      <c r="AOQ74" s="20" t="n">
        <f aca="false">IF(AND(H_Direct=0,H_TaxEvt=1,ASD73+1&gt;=H_Deemed),ALD74,AHQ74)</f>
        <v>0</v>
      </c>
      <c r="AOR74" s="20" t="n">
        <f aca="false">IF(AND(H_Direct=0,H_TaxEvt=1,ASE73+1&gt;=H_Deemed),ALE74,AHR74)</f>
        <v>0</v>
      </c>
      <c r="AOS74" s="20" t="n">
        <f aca="false">IF(AND(H_Direct=0,H_TaxEvt=1,ASF73+1&gt;=H_Deemed),ALF74,AHS74)</f>
        <v>0</v>
      </c>
      <c r="AOT74" s="20" t="n">
        <f aca="false">IF(AND(H_Direct=0,H_TaxEvt=1,ASG73+1&gt;=H_Deemed),ALG74,AHT74)</f>
        <v>0</v>
      </c>
      <c r="AOU74" s="20" t="n">
        <f aca="false">IF(AND(H_Direct=0,H_TaxEvt=1,ASH73+1&gt;=H_Deemed),ALH74,AHU74)</f>
        <v>0</v>
      </c>
      <c r="AOV74" s="20" t="n">
        <f aca="false">IF(AND(H_Direct=0,H_TaxEvt=1,ASI73+1&gt;=H_Deemed),ALI74,AHV74)</f>
        <v>0</v>
      </c>
      <c r="AOW74" s="20" t="n">
        <f aca="false">IF(AND(H_Direct=0,H_TaxEvt=1,ASJ73+1&gt;=H_Deemed),ALJ74,AHW74)</f>
        <v>0</v>
      </c>
      <c r="AOX74" s="20" t="n">
        <f aca="false">IF(AND(H_Direct=0,H_TaxEvt=1,ASK73+1&gt;=H_Deemed),ALK74,AHX74)</f>
        <v>0</v>
      </c>
      <c r="AOY74" s="20" t="n">
        <f aca="false">IF(AND(H_Direct=0,H_TaxEvt=1,ASL73+1&gt;=H_Deemed),ALL74,AHY74)</f>
        <v>0</v>
      </c>
      <c r="AOZ74" s="20" t="n">
        <f aca="false">IF(AND(H_Direct=0,H_TaxEvt=1,ASM73+1&gt;=H_Deemed),ALM74,AHZ74)</f>
        <v>0</v>
      </c>
      <c r="APA74" s="20" t="n">
        <f aca="false">IF(AND(H_Direct=0,H_TaxEvt=1,ASN73+1&gt;=H_Deemed),ALN74,AIA74)</f>
        <v>0</v>
      </c>
      <c r="APB74" s="20" t="n">
        <f aca="false">IF(AND(H_Direct=0,H_TaxEvt=1,ASO73+1&gt;=H_Deemed),ALO74,AIB74)</f>
        <v>0</v>
      </c>
      <c r="APC74" s="20" t="n">
        <f aca="false">IF(AND(H_Direct=0,H_TaxEvt=1,ASP73+1&gt;=H_Deemed),ALP74,AIC74)</f>
        <v>0</v>
      </c>
      <c r="APD74" s="20" t="n">
        <f aca="false">IF(AND(H_Direct=0,H_TaxEvt=1,ASQ73+1&gt;=H_Deemed),ALQ74,AID74)</f>
        <v>0</v>
      </c>
      <c r="APE74" s="20" t="n">
        <f aca="false">IF(AND(H_Direct=0,H_TaxEvt=1,ASR73+1&gt;=H_Deemed),ALR74,AIE74)</f>
        <v>0</v>
      </c>
      <c r="APF74" s="20" t="n">
        <f aca="false">IF(AND(H_Direct=0,H_TaxEvt=1,ASS73+1&gt;=H_Deemed),ALS74,AIF74)</f>
        <v>0</v>
      </c>
      <c r="APG74" s="20" t="n">
        <f aca="false">IF(AND(H_Direct=0,H_TaxEvt=1,AST73+1&gt;=H_Deemed),ALT74,AIG74)</f>
        <v>0</v>
      </c>
      <c r="APH74" s="20" t="n">
        <f aca="false">IF(AND(H_Direct=0,H_TaxEvt=1,ASU73+1&gt;=H_Deemed),ALU74,AIH74)</f>
        <v>0</v>
      </c>
      <c r="API74" s="20" t="n">
        <f aca="false">IF(AND(H_Direct=0,H_TaxEvt=1,ASV73+1&gt;=H_Deemed),ALV74,AII74)</f>
        <v>0</v>
      </c>
      <c r="APJ74" s="20" t="n">
        <f aca="false">IF(AND(H_Direct=0,H_TaxEvt=1,ASW73+1&gt;=H_Deemed),ALW74,AIJ74)</f>
        <v>0</v>
      </c>
      <c r="APK74" s="20" t="n">
        <f aca="false">IF(AND(H_Direct=0,H_TaxEvt=1,ASX73+1&gt;=H_Deemed),ALX74,AIK74)</f>
        <v>0</v>
      </c>
      <c r="APL74" s="20" t="n">
        <f aca="false">IF(AND(H_Direct=0,H_TaxEvt=1,ASY73+1&gt;=H_Deemed),ALY74,AIL74)</f>
        <v>0</v>
      </c>
      <c r="APM74" s="20" t="n">
        <f aca="false">IF(AND(H_Direct=0,H_TaxEvt=1,ASZ73+1&gt;=H_Deemed),ALZ74,AIM74)</f>
        <v>0</v>
      </c>
      <c r="APN74" s="20" t="n">
        <f aca="false">IF(AND(H_Direct=0,H_TaxEvt=1,ATA73+1&gt;=H_Deemed),AMA74,AIN74)</f>
        <v>0</v>
      </c>
      <c r="APO74" s="20" t="n">
        <f aca="false">IF(AND(H_Direct=0,H_TaxEvt=1,ATB73+1&gt;=H_Deemed),AMB74,AIO74)</f>
        <v>0</v>
      </c>
      <c r="APP74" s="20" t="n">
        <f aca="false">IF(AND(H_Direct=0,H_TaxEvt=1,ATC73+1&gt;=H_Deemed),AMC74,AIP74)</f>
        <v>0</v>
      </c>
      <c r="APQ74" s="20" t="n">
        <f aca="false">IF(AND(H_Direct=0,H_TaxEvt=1,ATD73+1&gt;=H_Deemed),AMD74,AIQ74)</f>
        <v>0</v>
      </c>
      <c r="APR74" s="20" t="n">
        <f aca="false">IF(AND(H_Direct=0,H_TaxEvt=1,ATE73+1&gt;=H_Deemed),AME74,AIR74)</f>
        <v>0</v>
      </c>
      <c r="APS74" s="20" t="n">
        <f aca="false">IF(AND(H_Direct=0,H_TaxEvt=1,ATF73+1&gt;=H_Deemed),AMF74,AIS74)</f>
        <v>0</v>
      </c>
      <c r="APT74" s="20" t="n">
        <f aca="false">IF(AND(H_Direct=0,H_TaxEvt=1,ATG73+1&gt;=H_Deemed),AMG74,AIT74)</f>
        <v>0</v>
      </c>
      <c r="APU74" s="20" t="n">
        <f aca="false">IF(AND(H_Direct=0,H_TaxEvt=1,ATH73+1&gt;=H_Deemed),AMH74,AIU74)</f>
        <v>0</v>
      </c>
      <c r="APV74" s="20" t="n">
        <f aca="false">IF(AND(H_Direct=0,H_TaxEvt=1,ATI73+1&gt;=H_Deemed),AMI74,AIV74)</f>
        <v>0</v>
      </c>
      <c r="APW74" s="20" t="n">
        <f aca="false">IF(AND(H_Direct=0,H_TaxEvt=1,ATJ73+1&gt;=H_Deemed),AMJ74,AIW74)</f>
        <v>0</v>
      </c>
      <c r="APX74" s="20" t="n">
        <f aca="false">IF(AND(H_Direct=0,H_TaxEvt=1,ATK73+1&gt;=H_Deemed),AMK74,AIX74)</f>
        <v>0</v>
      </c>
      <c r="APY74" s="20" t="n">
        <f aca="false">IF(AND(H_Direct=0,H_TaxEvt=1,ATL73+1&gt;=H_Deemed),AML74,AIY74)</f>
        <v>0</v>
      </c>
      <c r="APZ74" s="20" t="n">
        <f aca="false">IF(AND(H_Direct=0,H_TaxEvt=1,ATM73+1&gt;=H_Deemed),AMM74,AIZ74)</f>
        <v>0</v>
      </c>
      <c r="AQA74" s="20" t="n">
        <f aca="false">IF(AND(H_Direct=0,H_TaxEvt=1,ATN73+1&gt;=H_Deemed),AMN74,AJA74)</f>
        <v>0</v>
      </c>
      <c r="AQB74" s="20" t="n">
        <f aca="false">IF(AND(H_Direct=0,H_TaxEvt=1,ATO73+1&gt;=H_Deemed),AMO74,AJB74)</f>
        <v>0</v>
      </c>
      <c r="AQC74" s="20" t="n">
        <f aca="false">IF(AND(H_Direct=0,H_TaxEvt=1,ATP73+1&gt;=H_Deemed),AMP74,AJC74)</f>
        <v>0</v>
      </c>
      <c r="AQD74" s="20" t="n">
        <f aca="false">IF(AND(H_Direct=0,H_TaxEvt=1,ATQ73+1&gt;=H_Deemed),AMQ74,AJD74)</f>
        <v>0</v>
      </c>
      <c r="AQE74" s="20" t="n">
        <f aca="false">IF(AND(H_Direct=0,H_TaxEvt=1,ATR73+1&gt;=H_Deemed),AMR74,AJE74)</f>
        <v>0</v>
      </c>
      <c r="AQF74" s="20" t="n">
        <f aca="false">IF(AND(H_Direct=0,H_TaxEvt=1,ATS73+1&gt;=H_Deemed),AMS74,AJF74)</f>
        <v>0</v>
      </c>
      <c r="AQG74" s="20" t="n">
        <f aca="false">IF(AND(H_Direct=0,H_TaxEvt=1,ATT73+1&gt;=H_Deemed),AMT74,AJG74)</f>
        <v>0</v>
      </c>
      <c r="AQH74" s="20" t="n">
        <f aca="false">IF(AND(H_Direct=0,H_TaxEvt=1,ATU73+1&gt;=H_Deemed),AMU74,AJH74)</f>
        <v>0</v>
      </c>
      <c r="AQI74" s="20" t="n">
        <f aca="false">IF(AND(H_Direct=0,H_TaxEvt=1,ATV73+1&gt;=H_Deemed),AMV74,AJI74)</f>
        <v>0</v>
      </c>
      <c r="AQJ74" s="20" t="n">
        <f aca="false">IF(AND(H_Direct=0,H_TaxEvt=1,ATW73+1&gt;=H_Deemed),AMW74,AJJ74)</f>
        <v>0</v>
      </c>
      <c r="AQK74" s="20" t="n">
        <f aca="false">IF(AND(H_Direct=0,H_TaxEvt=1,ATX73+1&gt;=H_Deemed),AMX74,AJK74)</f>
        <v>0</v>
      </c>
      <c r="AQL74" s="20" t="n">
        <f aca="false">IF(AND(H_Direct=0,H_TaxEvt=1,ATY73+1&gt;=H_Deemed),AMY74,AJL74)</f>
        <v>0</v>
      </c>
      <c r="AQM74" s="20" t="n">
        <f aca="false">IF(AND(H_Direct=0,H_TaxEvt=1,ATZ73+1&gt;=H_Deemed),AMZ74,AJM74)</f>
        <v>0</v>
      </c>
      <c r="AQN74" s="20" t="n">
        <f aca="false">IF(AND(H_Direct=0,H_TaxEvt=1,AUA73+1&gt;=H_Deemed),ANA74,AJN74)</f>
        <v>0</v>
      </c>
      <c r="AQO74" s="20" t="n">
        <f aca="false">IF(AND(H_Direct=0,H_TaxEvt=1,AUB73+1&gt;=H_Deemed),ANB74,AJO74)</f>
        <v>0</v>
      </c>
      <c r="AQP74" s="20" t="n">
        <f aca="false">IF(AND(H_Direct=0,H_TaxEvt=1,AUC73+1&gt;=H_Deemed),ANC74,AJP74)</f>
        <v>0</v>
      </c>
      <c r="AQQ74" s="20" t="n">
        <f aca="false">IF(AND(H_Direct=0,H_TaxEvt=1,AUD73+1&gt;=H_Deemed),AND74,AJQ74)</f>
        <v>0</v>
      </c>
      <c r="AQR74" s="20" t="n">
        <f aca="false">IF(AND(H_Direct=0,H_TaxEvt=1,AUE73+1&gt;=H_Deemed),ANE74,AJR74)</f>
        <v>0</v>
      </c>
      <c r="AQS74" s="20" t="n">
        <f aca="false">IF(AND(H_Direct=0,H_TaxEvt=1,AUF73+1&gt;=H_Deemed),ANF74,AJS74)</f>
        <v>0</v>
      </c>
      <c r="AQT74" s="20" t="n">
        <f aca="false">IF(AND(H_Direct=0,H_TaxEvt=1,0+1&gt;=H_Deemed),ANG74,AJT74)</f>
        <v>0</v>
      </c>
      <c r="AQU74" s="20" t="n">
        <v>0</v>
      </c>
      <c r="AQV74" s="20" t="n">
        <v>0</v>
      </c>
      <c r="AQW74" s="20" t="n">
        <v>0</v>
      </c>
      <c r="AQX74" s="20" t="n">
        <v>0</v>
      </c>
      <c r="AQY74" s="20" t="n">
        <v>0</v>
      </c>
      <c r="AQZ74" s="20" t="n">
        <v>0</v>
      </c>
      <c r="ARA74" s="20" t="n">
        <v>0</v>
      </c>
      <c r="ARB74" s="20" t="n">
        <v>0</v>
      </c>
      <c r="ARC74" s="20" t="n">
        <v>0</v>
      </c>
      <c r="ARD74" s="20" t="n">
        <v>0</v>
      </c>
      <c r="ARE74" s="20" t="n">
        <v>0</v>
      </c>
      <c r="ARF74" s="20" t="n">
        <v>0</v>
      </c>
      <c r="ARG74" s="20" t="n">
        <v>0</v>
      </c>
      <c r="ARH74" s="20" t="n">
        <v>0</v>
      </c>
      <c r="ARI74" s="20" t="n">
        <v>0</v>
      </c>
      <c r="ARJ74" s="20" t="n">
        <v>0</v>
      </c>
      <c r="ARK74" s="20" t="n">
        <v>0</v>
      </c>
      <c r="ARL74" s="20" t="n">
        <v>0</v>
      </c>
      <c r="ARM74" s="20" t="n">
        <v>0</v>
      </c>
      <c r="ARN74" s="20" t="n">
        <v>0</v>
      </c>
      <c r="ARO74" s="20" t="n">
        <v>0</v>
      </c>
      <c r="ARP74" s="20" t="n">
        <v>0</v>
      </c>
      <c r="ARQ74" s="20" t="n">
        <v>0</v>
      </c>
      <c r="ARR74" s="20" t="n">
        <f aca="false">IF(AND(H_Direct=0,H_TaxEvt=1),IF(ARR73+1&gt;=H_Deemed,0,ARR73+1),ARR73)</f>
        <v>3</v>
      </c>
      <c r="ARS74" s="20" t="n">
        <f aca="false">IF(AND(H_Direct=0,H_TaxEvt=1),IF(ARS73+1&gt;=H_Deemed,0,ARS73+1),ARS73)</f>
        <v>3</v>
      </c>
      <c r="ART74" s="20" t="n">
        <f aca="false">IF(AND(H_Direct=0,H_TaxEvt=1),IF(ART73+1&gt;=H_Deemed,0,ART73+1),ART73)</f>
        <v>2</v>
      </c>
      <c r="ARU74" s="20" t="n">
        <f aca="false">IF(AND(H_Direct=0,H_TaxEvt=1),IF(ARU73+1&gt;=H_Deemed,0,ARU73+1),ARU73)</f>
        <v>1</v>
      </c>
      <c r="ARV74" s="20" t="n">
        <f aca="false">IF(AND(H_Direct=0,H_TaxEvt=1),IF(ARV73+1&gt;=H_Deemed,0,ARV73+1),ARV73)</f>
        <v>0</v>
      </c>
      <c r="ARW74" s="20" t="n">
        <f aca="false">IF(AND(H_Direct=0,H_TaxEvt=1),IF(ARW73+1&gt;=H_Deemed,0,ARW73+1),ARW73)</f>
        <v>7</v>
      </c>
      <c r="ARX74" s="20" t="n">
        <f aca="false">IF(AND(H_Direct=0,H_TaxEvt=1),IF(ARX73+1&gt;=H_Deemed,0,ARX73+1),ARX73)</f>
        <v>6</v>
      </c>
      <c r="ARY74" s="20" t="n">
        <f aca="false">IF(AND(H_Direct=0,H_TaxEvt=1),IF(ARY73+1&gt;=H_Deemed,0,ARY73+1),ARY73)</f>
        <v>5</v>
      </c>
      <c r="ARZ74" s="20" t="n">
        <f aca="false">IF(AND(H_Direct=0,H_TaxEvt=1),IF(ARZ73+1&gt;=H_Deemed,0,ARZ73+1),ARZ73)</f>
        <v>4</v>
      </c>
      <c r="ASA74" s="20" t="n">
        <f aca="false">IF(AND(H_Direct=0,H_TaxEvt=1),IF(ASA73+1&gt;=H_Deemed,0,ASA73+1),ASA73)</f>
        <v>3</v>
      </c>
      <c r="ASB74" s="20" t="n">
        <f aca="false">IF(AND(H_Direct=0,H_TaxEvt=1),IF(ASB73+1&gt;=H_Deemed,0,ASB73+1),ASB73)</f>
        <v>2</v>
      </c>
      <c r="ASC74" s="20" t="n">
        <f aca="false">IF(AND(H_Direct=0,H_TaxEvt=1),IF(ASC73+1&gt;=H_Deemed,0,ASC73+1),ASC73)</f>
        <v>1</v>
      </c>
      <c r="ASD74" s="20" t="n">
        <f aca="false">IF(AND(H_Direct=0,H_TaxEvt=1),IF(ASD73+1&gt;=H_Deemed,0,ASD73+1),ASD73)</f>
        <v>0</v>
      </c>
      <c r="ASE74" s="20" t="n">
        <f aca="false">IF(AND(H_Direct=0,H_TaxEvt=1),IF(ASE73+1&gt;=H_Deemed,0,ASE73+1),ASE73)</f>
        <v>7</v>
      </c>
      <c r="ASF74" s="20" t="n">
        <f aca="false">IF(AND(H_Direct=0,H_TaxEvt=1),IF(ASF73+1&gt;=H_Deemed,0,ASF73+1),ASF73)</f>
        <v>6</v>
      </c>
      <c r="ASG74" s="20" t="n">
        <f aca="false">IF(AND(H_Direct=0,H_TaxEvt=1),IF(ASG73+1&gt;=H_Deemed,0,ASG73+1),ASG73)</f>
        <v>5</v>
      </c>
      <c r="ASH74" s="20" t="n">
        <f aca="false">IF(AND(H_Direct=0,H_TaxEvt=1),IF(ASH73+1&gt;=H_Deemed,0,ASH73+1),ASH73)</f>
        <v>4</v>
      </c>
      <c r="ASI74" s="20" t="n">
        <f aca="false">IF(AND(H_Direct=0,H_TaxEvt=1),IF(ASI73+1&gt;=H_Deemed,0,ASI73+1),ASI73)</f>
        <v>3</v>
      </c>
      <c r="ASJ74" s="20" t="n">
        <f aca="false">IF(AND(H_Direct=0,H_TaxEvt=1),IF(ASJ73+1&gt;=H_Deemed,0,ASJ73+1),ASJ73)</f>
        <v>2</v>
      </c>
      <c r="ASK74" s="20" t="n">
        <f aca="false">IF(AND(H_Direct=0,H_TaxEvt=1),IF(ASK73+1&gt;=H_Deemed,0,ASK73+1),ASK73)</f>
        <v>1</v>
      </c>
      <c r="ASL74" s="20" t="n">
        <f aca="false">IF(AND(H_Direct=0,H_TaxEvt=1),IF(ASL73+1&gt;=H_Deemed,0,ASL73+1),ASL73)</f>
        <v>0</v>
      </c>
      <c r="ASM74" s="20" t="n">
        <f aca="false">IF(AND(H_Direct=0,H_TaxEvt=1),IF(ASM73+1&gt;=H_Deemed,0,ASM73+1),ASM73)</f>
        <v>7</v>
      </c>
      <c r="ASN74" s="20" t="n">
        <f aca="false">IF(AND(H_Direct=0,H_TaxEvt=1),IF(ASN73+1&gt;=H_Deemed,0,ASN73+1),ASN73)</f>
        <v>6</v>
      </c>
      <c r="ASO74" s="20" t="n">
        <f aca="false">IF(AND(H_Direct=0,H_TaxEvt=1),IF(ASO73+1&gt;=H_Deemed,0,ASO73+1),ASO73)</f>
        <v>5</v>
      </c>
      <c r="ASP74" s="20" t="n">
        <f aca="false">IF(AND(H_Direct=0,H_TaxEvt=1),IF(ASP73+1&gt;=H_Deemed,0,ASP73+1),ASP73)</f>
        <v>4</v>
      </c>
      <c r="ASQ74" s="20" t="n">
        <f aca="false">IF(AND(H_Direct=0,H_TaxEvt=1),IF(ASQ73+1&gt;=H_Deemed,0,ASQ73+1),ASQ73)</f>
        <v>3</v>
      </c>
      <c r="ASR74" s="20" t="n">
        <f aca="false">IF(AND(H_Direct=0,H_TaxEvt=1),IF(ASR73+1&gt;=H_Deemed,0,ASR73+1),ASR73)</f>
        <v>2</v>
      </c>
      <c r="ASS74" s="20" t="n">
        <f aca="false">IF(AND(H_Direct=0,H_TaxEvt=1),IF(ASS73+1&gt;=H_Deemed,0,ASS73+1),ASS73)</f>
        <v>1</v>
      </c>
      <c r="AST74" s="20" t="n">
        <f aca="false">IF(AND(H_Direct=0,H_TaxEvt=1),IF(AST73+1&gt;=H_Deemed,0,AST73+1),AST73)</f>
        <v>0</v>
      </c>
      <c r="ASU74" s="20" t="n">
        <f aca="false">IF(AND(H_Direct=0,H_TaxEvt=1),IF(ASU73+1&gt;=H_Deemed,0,ASU73+1),ASU73)</f>
        <v>7</v>
      </c>
      <c r="ASV74" s="20" t="n">
        <f aca="false">IF(AND(H_Direct=0,H_TaxEvt=1),IF(ASV73+1&gt;=H_Deemed,0,ASV73+1),ASV73)</f>
        <v>6</v>
      </c>
      <c r="ASW74" s="20" t="n">
        <f aca="false">IF(AND(H_Direct=0,H_TaxEvt=1),IF(ASW73+1&gt;=H_Deemed,0,ASW73+1),ASW73)</f>
        <v>5</v>
      </c>
      <c r="ASX74" s="20" t="n">
        <f aca="false">IF(AND(H_Direct=0,H_TaxEvt=1),IF(ASX73+1&gt;=H_Deemed,0,ASX73+1),ASX73)</f>
        <v>4</v>
      </c>
      <c r="ASY74" s="20" t="n">
        <f aca="false">IF(AND(H_Direct=0,H_TaxEvt=1),IF(ASY73+1&gt;=H_Deemed,0,ASY73+1),ASY73)</f>
        <v>3</v>
      </c>
      <c r="ASZ74" s="20" t="n">
        <f aca="false">IF(AND(H_Direct=0,H_TaxEvt=1),IF(ASZ73+1&gt;=H_Deemed,0,ASZ73+1),ASZ73)</f>
        <v>2</v>
      </c>
      <c r="ATA74" s="20" t="n">
        <f aca="false">IF(AND(H_Direct=0,H_TaxEvt=1),IF(ATA73+1&gt;=H_Deemed,0,ATA73+1),ATA73)</f>
        <v>1</v>
      </c>
      <c r="ATB74" s="20" t="n">
        <f aca="false">IF(AND(H_Direct=0,H_TaxEvt=1),IF(ATB73+1&gt;=H_Deemed,0,ATB73+1),ATB73)</f>
        <v>0</v>
      </c>
      <c r="ATC74" s="20" t="n">
        <f aca="false">IF(AND(H_Direct=0,H_TaxEvt=1),IF(ATC73+1&gt;=H_Deemed,0,ATC73+1),ATC73)</f>
        <v>7</v>
      </c>
      <c r="ATD74" s="20" t="n">
        <f aca="false">IF(AND(H_Direct=0,H_TaxEvt=1),IF(ATD73+1&gt;=H_Deemed,0,ATD73+1),ATD73)</f>
        <v>6</v>
      </c>
      <c r="ATE74" s="20" t="n">
        <f aca="false">IF(AND(H_Direct=0,H_TaxEvt=1),IF(ATE73+1&gt;=H_Deemed,0,ATE73+1),ATE73)</f>
        <v>5</v>
      </c>
      <c r="ATF74" s="20" t="n">
        <f aca="false">IF(AND(H_Direct=0,H_TaxEvt=1),IF(ATF73+1&gt;=H_Deemed,0,ATF73+1),ATF73)</f>
        <v>4</v>
      </c>
      <c r="ATG74" s="20" t="n">
        <f aca="false">IF(AND(H_Direct=0,H_TaxEvt=1),IF(ATG73+1&gt;=H_Deemed,0,ATG73+1),ATG73)</f>
        <v>3</v>
      </c>
      <c r="ATH74" s="20" t="n">
        <f aca="false">IF(AND(H_Direct=0,H_TaxEvt=1),IF(ATH73+1&gt;=H_Deemed,0,ATH73+1),ATH73)</f>
        <v>2</v>
      </c>
      <c r="ATI74" s="20" t="n">
        <f aca="false">IF(AND(H_Direct=0,H_TaxEvt=1),IF(ATI73+1&gt;=H_Deemed,0,ATI73+1),ATI73)</f>
        <v>1</v>
      </c>
      <c r="ATJ74" s="20" t="n">
        <f aca="false">IF(AND(H_Direct=0,H_TaxEvt=1),IF(ATJ73+1&gt;=H_Deemed,0,ATJ73+1),ATJ73)</f>
        <v>0</v>
      </c>
      <c r="ATK74" s="20" t="n">
        <f aca="false">IF(AND(H_Direct=0,H_TaxEvt=1),IF(ATK73+1&gt;=H_Deemed,0,ATK73+1),ATK73)</f>
        <v>7</v>
      </c>
      <c r="ATL74" s="20" t="n">
        <f aca="false">IF(AND(H_Direct=0,H_TaxEvt=1),IF(ATL73+1&gt;=H_Deemed,0,ATL73+1),ATL73)</f>
        <v>6</v>
      </c>
      <c r="ATM74" s="20" t="n">
        <f aca="false">IF(AND(H_Direct=0,H_TaxEvt=1),IF(ATM73+1&gt;=H_Deemed,0,ATM73+1),ATM73)</f>
        <v>5</v>
      </c>
      <c r="ATN74" s="20" t="n">
        <f aca="false">IF(AND(H_Direct=0,H_TaxEvt=1),IF(ATN73+1&gt;=H_Deemed,0,ATN73+1),ATN73)</f>
        <v>4</v>
      </c>
      <c r="ATO74" s="20" t="n">
        <f aca="false">IF(AND(H_Direct=0,H_TaxEvt=1),IF(ATO73+1&gt;=H_Deemed,0,ATO73+1),ATO73)</f>
        <v>3</v>
      </c>
      <c r="ATP74" s="20" t="n">
        <f aca="false">IF(AND(H_Direct=0,H_TaxEvt=1),IF(ATP73+1&gt;=H_Deemed,0,ATP73+1),ATP73)</f>
        <v>2</v>
      </c>
      <c r="ATQ74" s="20" t="n">
        <f aca="false">IF(AND(H_Direct=0,H_TaxEvt=1),IF(ATQ73+1&gt;=H_Deemed,0,ATQ73+1),ATQ73)</f>
        <v>1</v>
      </c>
      <c r="ATR74" s="20" t="n">
        <f aca="false">IF(AND(H_Direct=0,H_TaxEvt=1),IF(ATR73+1&gt;=H_Deemed,0,ATR73+1),ATR73)</f>
        <v>0</v>
      </c>
      <c r="ATS74" s="20" t="n">
        <f aca="false">IF(AND(H_Direct=0,H_TaxEvt=1),IF(ATS73+1&gt;=H_Deemed,0,ATS73+1),ATS73)</f>
        <v>7</v>
      </c>
      <c r="ATT74" s="20" t="n">
        <f aca="false">IF(AND(H_Direct=0,H_TaxEvt=1),IF(ATT73+1&gt;=H_Deemed,0,ATT73+1),ATT73)</f>
        <v>6</v>
      </c>
      <c r="ATU74" s="20" t="n">
        <f aca="false">IF(AND(H_Direct=0,H_TaxEvt=1),IF(ATU73+1&gt;=H_Deemed,0,ATU73+1),ATU73)</f>
        <v>5</v>
      </c>
      <c r="ATV74" s="20" t="n">
        <f aca="false">IF(AND(H_Direct=0,H_TaxEvt=1),IF(ATV73+1&gt;=H_Deemed,0,ATV73+1),ATV73)</f>
        <v>4</v>
      </c>
      <c r="ATW74" s="20" t="n">
        <f aca="false">IF(AND(H_Direct=0,H_TaxEvt=1),IF(ATW73+1&gt;=H_Deemed,0,ATW73+1),ATW73)</f>
        <v>3</v>
      </c>
      <c r="ATX74" s="20" t="n">
        <f aca="false">IF(AND(H_Direct=0,H_TaxEvt=1),IF(ATX73+1&gt;=H_Deemed,0,ATX73+1),ATX73)</f>
        <v>2</v>
      </c>
      <c r="ATY74" s="20" t="n">
        <f aca="false">IF(AND(H_Direct=0,H_TaxEvt=1),IF(ATY73+1&gt;=H_Deemed,0,ATY73+1),ATY73)</f>
        <v>1</v>
      </c>
      <c r="ATZ74" s="20" t="n">
        <f aca="false">IF(AND(H_Direct=0,H_TaxEvt=1),IF(ATZ73+1&gt;=H_Deemed,0,ATZ73+1),ATZ73)</f>
        <v>0</v>
      </c>
      <c r="AUA74" s="20" t="n">
        <f aca="false">IF(AND(H_Direct=0,H_TaxEvt=1),IF(AUA73+1&gt;=H_Deemed,0,AUA73+1),AUA73)</f>
        <v>7</v>
      </c>
      <c r="AUB74" s="20" t="n">
        <f aca="false">IF(AND(H_Direct=0,H_TaxEvt=1),IF(AUB73+1&gt;=H_Deemed,0,AUB73+1),AUB73)</f>
        <v>6</v>
      </c>
      <c r="AUC74" s="20" t="n">
        <f aca="false">IF(AND(H_Direct=0,H_TaxEvt=1),IF(AUC73+1&gt;=H_Deemed,0,AUC73+1),AUC73)</f>
        <v>5</v>
      </c>
      <c r="AUD74" s="20" t="n">
        <f aca="false">IF(AND(H_Direct=0,H_TaxEvt=1),IF(AUD73+1&gt;=H_Deemed,0,AUD73+1),AUD73)</f>
        <v>4</v>
      </c>
      <c r="AUE74" s="20" t="n">
        <f aca="false">IF(AND(H_Direct=0,H_TaxEvt=1),IF(AUE73+1&gt;=H_Deemed,0,AUE73+1),AUE73)</f>
        <v>3</v>
      </c>
      <c r="AUF74" s="20" t="n">
        <f aca="false">IF(AND(H_Direct=0,H_TaxEvt=1),IF(AUF73+1&gt;=H_Deemed,0,AUF73+1),AUF73)</f>
        <v>2</v>
      </c>
      <c r="AUG74" s="20" t="n">
        <f aca="false">IF(AND(H_Direct=0,H_TaxEvt=1),IF(0+1&gt;=H_Deemed,0,0+1),0)</f>
        <v>1</v>
      </c>
      <c r="AUH74" s="20" t="n">
        <v>0</v>
      </c>
      <c r="AUI74" s="20" t="n">
        <v>0</v>
      </c>
      <c r="AUJ74" s="20" t="n">
        <v>0</v>
      </c>
      <c r="AUK74" s="20" t="n">
        <v>0</v>
      </c>
      <c r="AUL74" s="20" t="n">
        <v>0</v>
      </c>
      <c r="AUM74" s="20" t="n">
        <v>0</v>
      </c>
      <c r="AUN74" s="20" t="n">
        <v>0</v>
      </c>
      <c r="AUO74" s="20" t="n">
        <v>0</v>
      </c>
      <c r="AUP74" s="20" t="n">
        <v>0</v>
      </c>
      <c r="AUQ74" s="20" t="n">
        <v>0</v>
      </c>
      <c r="AUR74" s="20" t="n">
        <v>0</v>
      </c>
      <c r="AUS74" s="20" t="n">
        <v>0</v>
      </c>
      <c r="AUT74" s="20" t="n">
        <v>0</v>
      </c>
      <c r="AUU74" s="20" t="n">
        <v>0</v>
      </c>
      <c r="AUV74" s="20" t="n">
        <v>0</v>
      </c>
      <c r="AUW74" s="20" t="n">
        <v>0</v>
      </c>
      <c r="AUX74" s="20" t="n">
        <v>0</v>
      </c>
      <c r="AUY74" s="20" t="n">
        <v>0</v>
      </c>
      <c r="AUZ74" s="20" t="n">
        <v>0</v>
      </c>
      <c r="AVA74" s="20" t="n">
        <v>0</v>
      </c>
      <c r="AVB74" s="20" t="n">
        <v>0</v>
      </c>
      <c r="AVC74" s="20" t="n">
        <v>0</v>
      </c>
      <c r="AVD74" s="20" t="n">
        <v>0</v>
      </c>
      <c r="AVE74" s="20" t="n">
        <f aca="false">IF(AND(H_Direct=0,H_TaxEvt=1,ARR73+1&gt;=H_Deemed),MAX(0,ADR74-AHE74)*H_Exit,0)</f>
        <v>0</v>
      </c>
      <c r="AVF74" s="20" t="n">
        <f aca="false">IF(AND(H_Direct=0,H_TaxEvt=1,ARS73+1&gt;=H_Deemed),MAX(0,ADS74-AHF74)*H_Exit,0)</f>
        <v>0</v>
      </c>
      <c r="AVG74" s="20" t="n">
        <f aca="false">IF(AND(H_Direct=0,H_TaxEvt=1,ART73+1&gt;=H_Deemed),MAX(0,ADT74-AHG74)*H_Exit,0)</f>
        <v>0</v>
      </c>
      <c r="AVH74" s="20" t="n">
        <f aca="false">IF(AND(H_Direct=0,H_TaxEvt=1,ARU73+1&gt;=H_Deemed),MAX(0,ADU74-AHH74)*H_Exit,0)</f>
        <v>0</v>
      </c>
      <c r="AVI74" s="20" t="n">
        <f aca="false">IF(AND(H_Direct=0,H_TaxEvt=1,ARV73+1&gt;=H_Deemed),MAX(0,ADV74-AHI74)*H_Exit,0)</f>
        <v>0</v>
      </c>
      <c r="AVJ74" s="20" t="n">
        <f aca="false">IF(AND(H_Direct=0,H_TaxEvt=1,ARW73+1&gt;=H_Deemed),MAX(0,ADW74-AHJ74)*H_Exit,0)</f>
        <v>0</v>
      </c>
      <c r="AVK74" s="20" t="n">
        <f aca="false">IF(AND(H_Direct=0,H_TaxEvt=1,ARX73+1&gt;=H_Deemed),MAX(0,ADX74-AHK74)*H_Exit,0)</f>
        <v>0</v>
      </c>
      <c r="AVL74" s="20" t="n">
        <f aca="false">IF(AND(H_Direct=0,H_TaxEvt=1,ARY73+1&gt;=H_Deemed),MAX(0,ADY74-AHL74)*H_Exit,0)</f>
        <v>0</v>
      </c>
      <c r="AVM74" s="20" t="n">
        <f aca="false">IF(AND(H_Direct=0,H_TaxEvt=1,ARZ73+1&gt;=H_Deemed),MAX(0,ADZ74-AHM74)*H_Exit,0)</f>
        <v>0</v>
      </c>
      <c r="AVN74" s="20" t="n">
        <f aca="false">IF(AND(H_Direct=0,H_TaxEvt=1,ASA73+1&gt;=H_Deemed),MAX(0,AEA74-AHN74)*H_Exit,0)</f>
        <v>0</v>
      </c>
      <c r="AVO74" s="20" t="n">
        <f aca="false">IF(AND(H_Direct=0,H_TaxEvt=1,ASB73+1&gt;=H_Deemed),MAX(0,AEB74-AHO74)*H_Exit,0)</f>
        <v>0</v>
      </c>
      <c r="AVP74" s="20" t="n">
        <f aca="false">IF(AND(H_Direct=0,H_TaxEvt=1,ASC73+1&gt;=H_Deemed),MAX(0,AEC74-AHP74)*H_Exit,0)</f>
        <v>0</v>
      </c>
      <c r="AVQ74" s="20" t="n">
        <f aca="false">IF(AND(H_Direct=0,H_TaxEvt=1,ASD73+1&gt;=H_Deemed),MAX(0,AED74-AHQ74)*H_Exit,0)</f>
        <v>0</v>
      </c>
      <c r="AVR74" s="20" t="n">
        <f aca="false">IF(AND(H_Direct=0,H_TaxEvt=1,ASE73+1&gt;=H_Deemed),MAX(0,AEE74-AHR74)*H_Exit,0)</f>
        <v>0</v>
      </c>
      <c r="AVS74" s="20" t="n">
        <f aca="false">IF(AND(H_Direct=0,H_TaxEvt=1,ASF73+1&gt;=H_Deemed),MAX(0,AEF74-AHS74)*H_Exit,0)</f>
        <v>0</v>
      </c>
      <c r="AVT74" s="20" t="n">
        <f aca="false">IF(AND(H_Direct=0,H_TaxEvt=1,ASG73+1&gt;=H_Deemed),MAX(0,AEG74-AHT74)*H_Exit,0)</f>
        <v>0</v>
      </c>
      <c r="AVU74" s="20" t="n">
        <f aca="false">IF(AND(H_Direct=0,H_TaxEvt=1,ASH73+1&gt;=H_Deemed),MAX(0,AEH74-AHU74)*H_Exit,0)</f>
        <v>0</v>
      </c>
      <c r="AVV74" s="20" t="n">
        <f aca="false">IF(AND(H_Direct=0,H_TaxEvt=1,ASI73+1&gt;=H_Deemed),MAX(0,AEI74-AHV74)*H_Exit,0)</f>
        <v>0</v>
      </c>
      <c r="AVW74" s="20" t="n">
        <f aca="false">IF(AND(H_Direct=0,H_TaxEvt=1,ASJ73+1&gt;=H_Deemed),MAX(0,AEJ74-AHW74)*H_Exit,0)</f>
        <v>0</v>
      </c>
      <c r="AVX74" s="20" t="n">
        <f aca="false">IF(AND(H_Direct=0,H_TaxEvt=1,ASK73+1&gt;=H_Deemed),MAX(0,AEK74-AHX74)*H_Exit,0)</f>
        <v>0</v>
      </c>
      <c r="AVY74" s="20" t="n">
        <f aca="false">IF(AND(H_Direct=0,H_TaxEvt=1,ASL73+1&gt;=H_Deemed),MAX(0,AEL74-AHY74)*H_Exit,0)</f>
        <v>0</v>
      </c>
      <c r="AVZ74" s="20" t="n">
        <f aca="false">IF(AND(H_Direct=0,H_TaxEvt=1,ASM73+1&gt;=H_Deemed),MAX(0,AEM74-AHZ74)*H_Exit,0)</f>
        <v>0</v>
      </c>
      <c r="AWA74" s="20" t="n">
        <f aca="false">IF(AND(H_Direct=0,H_TaxEvt=1,ASN73+1&gt;=H_Deemed),MAX(0,AEN74-AIA74)*H_Exit,0)</f>
        <v>0</v>
      </c>
      <c r="AWB74" s="20" t="n">
        <f aca="false">IF(AND(H_Direct=0,H_TaxEvt=1,ASO73+1&gt;=H_Deemed),MAX(0,AEO74-AIB74)*H_Exit,0)</f>
        <v>0</v>
      </c>
      <c r="AWC74" s="20" t="n">
        <f aca="false">IF(AND(H_Direct=0,H_TaxEvt=1,ASP73+1&gt;=H_Deemed),MAX(0,AEP74-AIC74)*H_Exit,0)</f>
        <v>0</v>
      </c>
      <c r="AWD74" s="20" t="n">
        <f aca="false">IF(AND(H_Direct=0,H_TaxEvt=1,ASQ73+1&gt;=H_Deemed),MAX(0,AEQ74-AID74)*H_Exit,0)</f>
        <v>0</v>
      </c>
      <c r="AWE74" s="20" t="n">
        <f aca="false">IF(AND(H_Direct=0,H_TaxEvt=1,ASR73+1&gt;=H_Deemed),MAX(0,AER74-AIE74)*H_Exit,0)</f>
        <v>0</v>
      </c>
      <c r="AWF74" s="20" t="n">
        <f aca="false">IF(AND(H_Direct=0,H_TaxEvt=1,ASS73+1&gt;=H_Deemed),MAX(0,AES74-AIF74)*H_Exit,0)</f>
        <v>0</v>
      </c>
      <c r="AWG74" s="20" t="n">
        <f aca="false">IF(AND(H_Direct=0,H_TaxEvt=1,AST73+1&gt;=H_Deemed),MAX(0,AET74-AIG74)*H_Exit,0)</f>
        <v>0</v>
      </c>
      <c r="AWH74" s="20" t="n">
        <f aca="false">IF(AND(H_Direct=0,H_TaxEvt=1,ASU73+1&gt;=H_Deemed),MAX(0,AEU74-AIH74)*H_Exit,0)</f>
        <v>0</v>
      </c>
      <c r="AWI74" s="20" t="n">
        <f aca="false">IF(AND(H_Direct=0,H_TaxEvt=1,ASV73+1&gt;=H_Deemed),MAX(0,AEV74-AII74)*H_Exit,0)</f>
        <v>0</v>
      </c>
      <c r="AWJ74" s="20" t="n">
        <f aca="false">IF(AND(H_Direct=0,H_TaxEvt=1,ASW73+1&gt;=H_Deemed),MAX(0,AEW74-AIJ74)*H_Exit,0)</f>
        <v>0</v>
      </c>
      <c r="AWK74" s="20" t="n">
        <f aca="false">IF(AND(H_Direct=0,H_TaxEvt=1,ASX73+1&gt;=H_Deemed),MAX(0,AEX74-AIK74)*H_Exit,0)</f>
        <v>0</v>
      </c>
      <c r="AWL74" s="20" t="n">
        <f aca="false">IF(AND(H_Direct=0,H_TaxEvt=1,ASY73+1&gt;=H_Deemed),MAX(0,AEY74-AIL74)*H_Exit,0)</f>
        <v>0</v>
      </c>
      <c r="AWM74" s="20" t="n">
        <f aca="false">IF(AND(H_Direct=0,H_TaxEvt=1,ASZ73+1&gt;=H_Deemed),MAX(0,AEZ74-AIM74)*H_Exit,0)</f>
        <v>0</v>
      </c>
      <c r="AWN74" s="20" t="n">
        <f aca="false">IF(AND(H_Direct=0,H_TaxEvt=1,ATA73+1&gt;=H_Deemed),MAX(0,AFA74-AIN74)*H_Exit,0)</f>
        <v>0</v>
      </c>
      <c r="AWO74" s="20" t="n">
        <f aca="false">IF(AND(H_Direct=0,H_TaxEvt=1,ATB73+1&gt;=H_Deemed),MAX(0,AFB74-AIO74)*H_Exit,0)</f>
        <v>0</v>
      </c>
      <c r="AWP74" s="20" t="n">
        <f aca="false">IF(AND(H_Direct=0,H_TaxEvt=1,ATC73+1&gt;=H_Deemed),MAX(0,AFC74-AIP74)*H_Exit,0)</f>
        <v>0</v>
      </c>
      <c r="AWQ74" s="20" t="n">
        <f aca="false">IF(AND(H_Direct=0,H_TaxEvt=1,ATD73+1&gt;=H_Deemed),MAX(0,AFD74-AIQ74)*H_Exit,0)</f>
        <v>0</v>
      </c>
      <c r="AWR74" s="20" t="n">
        <f aca="false">IF(AND(H_Direct=0,H_TaxEvt=1,ATE73+1&gt;=H_Deemed),MAX(0,AFE74-AIR74)*H_Exit,0)</f>
        <v>0</v>
      </c>
      <c r="AWS74" s="20" t="n">
        <f aca="false">IF(AND(H_Direct=0,H_TaxEvt=1,ATF73+1&gt;=H_Deemed),MAX(0,AFF74-AIS74)*H_Exit,0)</f>
        <v>0</v>
      </c>
      <c r="AWT74" s="20" t="n">
        <f aca="false">IF(AND(H_Direct=0,H_TaxEvt=1,ATG73+1&gt;=H_Deemed),MAX(0,AFG74-AIT74)*H_Exit,0)</f>
        <v>0</v>
      </c>
      <c r="AWU74" s="20" t="n">
        <f aca="false">IF(AND(H_Direct=0,H_TaxEvt=1,ATH73+1&gt;=H_Deemed),MAX(0,AFH74-AIU74)*H_Exit,0)</f>
        <v>0</v>
      </c>
      <c r="AWV74" s="20" t="n">
        <f aca="false">IF(AND(H_Direct=0,H_TaxEvt=1,ATI73+1&gt;=H_Deemed),MAX(0,AFI74-AIV74)*H_Exit,0)</f>
        <v>0</v>
      </c>
      <c r="AWW74" s="20" t="n">
        <f aca="false">IF(AND(H_Direct=0,H_TaxEvt=1,ATJ73+1&gt;=H_Deemed),MAX(0,AFJ74-AIW74)*H_Exit,0)</f>
        <v>0</v>
      </c>
      <c r="AWX74" s="20" t="n">
        <f aca="false">IF(AND(H_Direct=0,H_TaxEvt=1,ATK73+1&gt;=H_Deemed),MAX(0,AFK74-AIX74)*H_Exit,0)</f>
        <v>0</v>
      </c>
      <c r="AWY74" s="20" t="n">
        <f aca="false">IF(AND(H_Direct=0,H_TaxEvt=1,ATL73+1&gt;=H_Deemed),MAX(0,AFL74-AIY74)*H_Exit,0)</f>
        <v>0</v>
      </c>
      <c r="AWZ74" s="20" t="n">
        <f aca="false">IF(AND(H_Direct=0,H_TaxEvt=1,ATM73+1&gt;=H_Deemed),MAX(0,AFM74-AIZ74)*H_Exit,0)</f>
        <v>0</v>
      </c>
      <c r="AXA74" s="20" t="n">
        <f aca="false">IF(AND(H_Direct=0,H_TaxEvt=1,ATN73+1&gt;=H_Deemed),MAX(0,AFN74-AJA74)*H_Exit,0)</f>
        <v>0</v>
      </c>
      <c r="AXB74" s="20" t="n">
        <f aca="false">IF(AND(H_Direct=0,H_TaxEvt=1,ATO73+1&gt;=H_Deemed),MAX(0,AFO74-AJB74)*H_Exit,0)</f>
        <v>0</v>
      </c>
      <c r="AXC74" s="20" t="n">
        <f aca="false">IF(AND(H_Direct=0,H_TaxEvt=1,ATP73+1&gt;=H_Deemed),MAX(0,AFP74-AJC74)*H_Exit,0)</f>
        <v>0</v>
      </c>
      <c r="AXD74" s="20" t="n">
        <f aca="false">IF(AND(H_Direct=0,H_TaxEvt=1,ATQ73+1&gt;=H_Deemed),MAX(0,AFQ74-AJD74)*H_Exit,0)</f>
        <v>0</v>
      </c>
      <c r="AXE74" s="20" t="n">
        <f aca="false">IF(AND(H_Direct=0,H_TaxEvt=1,ATR73+1&gt;=H_Deemed),MAX(0,AFR74-AJE74)*H_Exit,0)</f>
        <v>0</v>
      </c>
      <c r="AXF74" s="20" t="n">
        <f aca="false">IF(AND(H_Direct=0,H_TaxEvt=1,ATS73+1&gt;=H_Deemed),MAX(0,AFS74-AJF74)*H_Exit,0)</f>
        <v>0</v>
      </c>
      <c r="AXG74" s="20" t="n">
        <f aca="false">IF(AND(H_Direct=0,H_TaxEvt=1,ATT73+1&gt;=H_Deemed),MAX(0,AFT74-AJG74)*H_Exit,0)</f>
        <v>0</v>
      </c>
      <c r="AXH74" s="20" t="n">
        <f aca="false">IF(AND(H_Direct=0,H_TaxEvt=1,ATU73+1&gt;=H_Deemed),MAX(0,AFU74-AJH74)*H_Exit,0)</f>
        <v>0</v>
      </c>
      <c r="AXI74" s="20" t="n">
        <f aca="false">IF(AND(H_Direct=0,H_TaxEvt=1,ATV73+1&gt;=H_Deemed),MAX(0,AFV74-AJI74)*H_Exit,0)</f>
        <v>0</v>
      </c>
      <c r="AXJ74" s="20" t="n">
        <f aca="false">IF(AND(H_Direct=0,H_TaxEvt=1,ATW73+1&gt;=H_Deemed),MAX(0,AFW74-AJJ74)*H_Exit,0)</f>
        <v>0</v>
      </c>
      <c r="AXK74" s="20" t="n">
        <f aca="false">IF(AND(H_Direct=0,H_TaxEvt=1,ATX73+1&gt;=H_Deemed),MAX(0,AFX74-AJK74)*H_Exit,0)</f>
        <v>0</v>
      </c>
      <c r="AXL74" s="20" t="n">
        <f aca="false">IF(AND(H_Direct=0,H_TaxEvt=1,ATY73+1&gt;=H_Deemed),MAX(0,AFY74-AJL74)*H_Exit,0)</f>
        <v>0</v>
      </c>
      <c r="AXM74" s="20" t="n">
        <f aca="false">IF(AND(H_Direct=0,H_TaxEvt=1,ATZ73+1&gt;=H_Deemed),MAX(0,AFZ74-AJM74)*H_Exit,0)</f>
        <v>0</v>
      </c>
      <c r="AXN74" s="20" t="n">
        <f aca="false">IF(AND(H_Direct=0,H_TaxEvt=1,AUA73+1&gt;=H_Deemed),MAX(0,AGA74-AJN74)*H_Exit,0)</f>
        <v>0</v>
      </c>
      <c r="AXO74" s="20" t="n">
        <f aca="false">IF(AND(H_Direct=0,H_TaxEvt=1,AUB73+1&gt;=H_Deemed),MAX(0,AGB74-AJO74)*H_Exit,0)</f>
        <v>0</v>
      </c>
      <c r="AXP74" s="20" t="n">
        <f aca="false">IF(AND(H_Direct=0,H_TaxEvt=1,AUC73+1&gt;=H_Deemed),MAX(0,AGC74-AJP74)*H_Exit,0)</f>
        <v>0</v>
      </c>
      <c r="AXQ74" s="20" t="n">
        <f aca="false">IF(AND(H_Direct=0,H_TaxEvt=1,AUD73+1&gt;=H_Deemed),MAX(0,AGD74-AJQ74)*H_Exit,0)</f>
        <v>0</v>
      </c>
      <c r="AXR74" s="20" t="n">
        <f aca="false">IF(AND(H_Direct=0,H_TaxEvt=1,AUE73+1&gt;=H_Deemed),MAX(0,AGE74-AJR74)*H_Exit,0)</f>
        <v>0</v>
      </c>
      <c r="AXS74" s="20" t="n">
        <f aca="false">IF(AND(H_Direct=0,H_TaxEvt=1,AUF73+1&gt;=H_Deemed),MAX(0,AGF74-AJS74)*H_Exit,0)</f>
        <v>0</v>
      </c>
      <c r="AXT74" s="20" t="n">
        <f aca="false">IF(AND(H_Direct=0,H_TaxEvt=1,0+1&gt;=H_Deemed),MAX(0,AGG74-AJT74)*H_Exit,0)</f>
        <v>0</v>
      </c>
      <c r="AXU74" s="20" t="n">
        <v>0</v>
      </c>
      <c r="AXV74" s="20" t="n">
        <v>0</v>
      </c>
      <c r="AXW74" s="20" t="n">
        <v>0</v>
      </c>
      <c r="AXX74" s="20" t="n">
        <v>0</v>
      </c>
      <c r="AXY74" s="20" t="n">
        <v>0</v>
      </c>
      <c r="AXZ74" s="20" t="n">
        <v>0</v>
      </c>
      <c r="AYA74" s="20" t="n">
        <v>0</v>
      </c>
      <c r="AYB74" s="20" t="n">
        <v>0</v>
      </c>
      <c r="AYC74" s="20" t="n">
        <v>0</v>
      </c>
      <c r="AYD74" s="20" t="n">
        <v>0</v>
      </c>
      <c r="AYE74" s="20" t="n">
        <v>0</v>
      </c>
      <c r="AYF74" s="20" t="n">
        <v>0</v>
      </c>
      <c r="AYG74" s="20" t="n">
        <v>0</v>
      </c>
      <c r="AYH74" s="20" t="n">
        <v>0</v>
      </c>
      <c r="AYI74" s="20" t="n">
        <v>0</v>
      </c>
      <c r="AYJ74" s="20" t="n">
        <v>0</v>
      </c>
      <c r="AYK74" s="20" t="n">
        <v>0</v>
      </c>
      <c r="AYL74" s="20" t="n">
        <v>0</v>
      </c>
      <c r="AYM74" s="20" t="n">
        <v>0</v>
      </c>
      <c r="AYN74" s="20" t="n">
        <v>0</v>
      </c>
      <c r="AYO74" s="20" t="n">
        <v>0</v>
      </c>
      <c r="AYP74" s="20" t="n">
        <v>0</v>
      </c>
      <c r="AYQ74" s="20" t="n">
        <v>0</v>
      </c>
    </row>
    <row r="75" customFormat="false" ht="15" hidden="false" customHeight="false" outlineLevel="0" collapsed="false">
      <c r="B75" s="20" t="n">
        <v>67</v>
      </c>
      <c r="C75" s="20" t="n">
        <f aca="false">'Plan cashflow'!C75</f>
        <v>0</v>
      </c>
      <c r="D75" s="20" t="n">
        <f aca="false">'Plan cashflow'!D75</f>
        <v>105</v>
      </c>
      <c r="E75" s="20" t="n">
        <f aca="false">AS_Year0+67</f>
        <v>2093</v>
      </c>
      <c r="F75" s="50" t="n">
        <f aca="false">'Plan cashflow'!F75</f>
        <v>3.76887304171137</v>
      </c>
      <c r="G75" s="59" t="n">
        <f aca="true">IF(MAX(TODAY(),DATE(E75,1,1))&gt;=H_CGTfrom,H_CGT1,H_CGT0)</f>
        <v>0.31</v>
      </c>
      <c r="H75" s="20" t="n">
        <f aca="false">H_Exempt*H_Persons</f>
        <v>1270</v>
      </c>
      <c r="I75" s="20" t="n">
        <f aca="false">AX74</f>
        <v>0</v>
      </c>
      <c r="J75" s="60" t="n">
        <f aca="false">BF74</f>
        <v>0</v>
      </c>
      <c r="K75" s="60" t="n">
        <f aca="false">BG74</f>
        <v>0</v>
      </c>
      <c r="L75" s="20" t="n">
        <f aca="false">IF(AND(In_polLump&gt;0,In_polLumpAge&gt;0,D75=In_polLumpAge),In_polLump,0)</f>
        <v>0</v>
      </c>
      <c r="M75" s="20" t="n">
        <f aca="false">IF(AND(In_homeUse="Yes, I'd downsize",In_downAge&gt;0,D75=In_downAge,OR(In_home="Own outright",In_home="Own with mortgage"),In_homeValue&gt;0),MAX(0,MAX(0,In_homeValue-In_downValue)*F75*0.9-'Plan cashflow'!HR74),0)</f>
        <v>0</v>
      </c>
      <c r="N75" s="20" t="n">
        <f aca="false">'Plan pay &amp; tax'!Y301</f>
        <v>0</v>
      </c>
      <c r="O75" s="20" t="n">
        <f aca="false">L75+M75+(1-H_Sh)*N75</f>
        <v>0</v>
      </c>
      <c r="P75" s="20" t="n">
        <f aca="false">H_Sh*N75</f>
        <v>0</v>
      </c>
      <c r="Q75" s="20" t="n">
        <f aca="false">'Plan cashflow'!UL75</f>
        <v>0</v>
      </c>
      <c r="R75" s="20" t="n">
        <f aca="false">(1-H_Sh)*Q75</f>
        <v>0</v>
      </c>
      <c r="S75" s="20" t="n">
        <f aca="false">H_Sh*Q75</f>
        <v>0</v>
      </c>
      <c r="T75" s="20" t="n">
        <f aca="false">J75+K75+O75</f>
        <v>0</v>
      </c>
      <c r="U75" s="20" t="n">
        <f aca="false">T75+R75</f>
        <v>0</v>
      </c>
      <c r="V75" s="60" t="n">
        <f aca="false">SUM(FE75:IQ75)</f>
        <v>0</v>
      </c>
      <c r="W75" s="60" t="n">
        <f aca="false">IF(AJ75&lt;=0,0,IF(AL75&lt;=0,AJ75,AJ75-G75*MAX(0,AL75*AJ75-(AY75+AZ75))))</f>
        <v>0</v>
      </c>
      <c r="X75" s="60" t="n">
        <f aca="false">IF(AR75&lt;=0,0,IF(AT75&lt;=0,AR75,AR75-G75*MAX(0,AT75*AR75-(BA75+BB75))))</f>
        <v>0</v>
      </c>
      <c r="Y75" s="60" t="n">
        <f aca="false">T75+V75-S75+W75+X75</f>
        <v>0</v>
      </c>
      <c r="Z75" s="60" t="n">
        <f aca="false">'Plan cashflow'!UK75</f>
        <v>0</v>
      </c>
      <c r="AA75" s="20" t="n">
        <f aca="false">MIN(Z75,U75)</f>
        <v>0</v>
      </c>
      <c r="AB75" s="20" t="n">
        <f aca="false">Z75-AA75</f>
        <v>0</v>
      </c>
      <c r="AC75" s="20" t="n">
        <f aca="false">MIN(AA75,J75+O75+R75)</f>
        <v>0</v>
      </c>
      <c r="AD75" s="20" t="n">
        <f aca="false">AA75-AC75</f>
        <v>0</v>
      </c>
      <c r="AE75" s="20" t="n">
        <f aca="false">J75+O75+R75-AC75</f>
        <v>0</v>
      </c>
      <c r="AF75" s="20" t="n">
        <f aca="false">K75-AD75</f>
        <v>0</v>
      </c>
      <c r="AG75" s="20" t="n">
        <f aca="false">SUM(PR75:TD75)</f>
        <v>0</v>
      </c>
      <c r="AH75" s="20" t="n">
        <f aca="false">SUM(TE75:WQ75)</f>
        <v>0</v>
      </c>
      <c r="AI75" s="20" t="n">
        <f aca="false">MAX(0,AB75-AG75)</f>
        <v>0</v>
      </c>
      <c r="AJ75" s="57" t="n">
        <f aca="false">BI74</f>
        <v>0</v>
      </c>
      <c r="AK75" s="20" t="n">
        <f aca="false">BJ74</f>
        <v>0</v>
      </c>
      <c r="AL75" s="20" t="n">
        <f aca="false">IF(AJ75&gt;0,(AJ75-AK75)/AJ75,0)</f>
        <v>0</v>
      </c>
      <c r="AM75" s="20" t="n">
        <f aca="false">IF(AJ75&lt;=0,0,IF(AL75&lt;=0,MIN(AI75,AJ75),MIN(AI75,AJ75-G75*MAX(0,AL75*AJ75-(AAD75+ADQ75)))))</f>
        <v>0</v>
      </c>
      <c r="AN75" s="20" t="n">
        <f aca="false">IF(AJ75&lt;=0,0,IF(AL75&lt;=0,AM75,IF(AM75&lt;=(AAD75+ADQ75)/AL75,AM75,(AM75-G75*(AAD75+ADQ75))/(1-G75*AL75))))</f>
        <v>0</v>
      </c>
      <c r="AO75" s="20" t="n">
        <f aca="false">IF(AL75&gt;0,MAX(0,AAD75-(MIN(AL75*AN75,(AAD75+ADQ75))-MIN(MIN(AL75*AN75,(AAD75+ADQ75)),ADQ75))),AAD75)</f>
        <v>1270</v>
      </c>
      <c r="AP75" s="20" t="n">
        <f aca="false">IF(AL75&lt;=0,ADQ75-AL75*AN75,ADQ75-MIN(MIN(AL75*AN75,(AAD75+ADQ75)),ADQ75))</f>
        <v>0</v>
      </c>
      <c r="AQ75" s="20" t="n">
        <f aca="false">MAX(0,AI75-AM75)</f>
        <v>0</v>
      </c>
      <c r="AR75" s="57" t="n">
        <f aca="false">BK74</f>
        <v>0</v>
      </c>
      <c r="AS75" s="20" t="n">
        <f aca="false">BL74</f>
        <v>0</v>
      </c>
      <c r="AT75" s="20" t="n">
        <f aca="false">IF(AR75&gt;0,(AR75-AS75)/AR75,0)</f>
        <v>0</v>
      </c>
      <c r="AU75" s="20" t="n">
        <f aca="false">IF(AR75&lt;=0,0,IF(AT75&lt;=0,MIN(AQ75,AR75),MIN(AQ75,AR75-G75*MAX(0,AT75*AR75-(AO75+AP75)))))</f>
        <v>0</v>
      </c>
      <c r="AV75" s="20" t="n">
        <f aca="false">IF(AR75&lt;=0,0,IF(AT75&lt;=0,AU75,IF(AU75&lt;=(AO75+AP75)/AT75,AU75,(AU75-G75*(AO75+AP75))/(1-G75*AT75))))</f>
        <v>0</v>
      </c>
      <c r="AW75" s="20" t="n">
        <f aca="false">IF(AT75&gt;0,MAX(0,AO75-(MIN(AT75*AV75,(AO75+AP75))-MIN(MIN(AT75*AV75,(AO75+AP75)),AP75))),AO75)</f>
        <v>1270</v>
      </c>
      <c r="AX75" s="20" t="n">
        <f aca="false">IF(AT75&lt;=0,AP75-AT75*AV75,AP75-MIN(MIN(AT75*AV75,(AO75+AP75)),AP75))</f>
        <v>0</v>
      </c>
      <c r="AY75" s="20" t="n">
        <f aca="false">MD75</f>
        <v>1270</v>
      </c>
      <c r="AZ75" s="20" t="n">
        <f aca="false">PQ75</f>
        <v>0</v>
      </c>
      <c r="BA75" s="20" t="n">
        <f aca="false">IF(AL75&gt;0,MAX(0,AY75-(MIN(AL75*AJ75,AY75+AZ75)-MIN(MIN(AL75*AJ75,AY75+AZ75),AZ75))),AY75)</f>
        <v>1270</v>
      </c>
      <c r="BB75" s="20" t="n">
        <f aca="false">IF(AL75&lt;=0,AZ75-AL75*AJ75,AZ75-MIN(MIN(AL75*AJ75,AY75+AZ75),AZ75))</f>
        <v>0</v>
      </c>
      <c r="BC75" s="20" t="n">
        <f aca="false">'Plan cashflow'!UM75</f>
        <v>0</v>
      </c>
      <c r="BD75" s="20" t="n">
        <f aca="false">(1-H_Sh)*BC75</f>
        <v>0</v>
      </c>
      <c r="BE75" s="20" t="n">
        <f aca="false">H_Sh*BC75</f>
        <v>0</v>
      </c>
      <c r="BF75" s="60" t="n">
        <f aca="false">(AE75+BD75)*(1+AS_Cash)</f>
        <v>0</v>
      </c>
      <c r="BG75" s="60" t="n">
        <f aca="false">AF75*(1+AS_Cash)</f>
        <v>0</v>
      </c>
      <c r="BH75" s="60" t="n">
        <f aca="false">SUM(AKR75:AOD75)</f>
        <v>0</v>
      </c>
      <c r="BI75" s="60" t="n">
        <f aca="false">(AJ75-AN75)*(1+AS_Infl)</f>
        <v>0</v>
      </c>
      <c r="BJ75" s="20" t="n">
        <f aca="false">IF(AJ75&gt;0,AK75-AK75*AN75/AJ75,0)</f>
        <v>0</v>
      </c>
      <c r="BK75" s="60" t="n">
        <f aca="false">(AR75-AV75)*(1+BQ75)</f>
        <v>0</v>
      </c>
      <c r="BL75" s="20" t="n">
        <f aca="false">IF(AR75&gt;0,AS75-AS75*AV75/AR75,0)</f>
        <v>0</v>
      </c>
      <c r="BM75" s="60" t="n">
        <f aca="false">BF75+BG75+BH75+BI75+BK75</f>
        <v>0</v>
      </c>
      <c r="BN75" s="60" t="n">
        <f aca="false">(AH75-AG75)+(AN75-AM75)+(AV75-AU75)</f>
        <v>0</v>
      </c>
      <c r="BO75" s="20" t="n">
        <f aca="false">(AE75+BD75+AF75+MAX(0,'Plan cashflow'!QH75)+IF(Slot1_Rate=AS_Cash,'Plan cashflow'!QM75/(1+AS_Cash),0)+IF(Slot2_Rate=AS_Cash,'Plan cashflow'!QQ75/(1+AS_Cash),0)+IF(Slot3_Rate=AS_Cash,'Plan cashflow'!QU75/(1+AS_Cash),0)+IF(Slot4_Rate=AS_Cash,'Plan cashflow'!QY75/(1+AS_Cash),0)+IF(Slot5_Rate=AS_Cash,'Plan cashflow'!RC75/(1+AS_Cash),0)+IF(Slot6_Rate=AS_Cash,'Plan cashflow'!RG75/(1+AS_Cash),0)+IF(Slot7_Rate=AS_Cash,'Plan cashflow'!RK75/(1+AS_Cash),0)+IF(Slot8_Rate=AS_Cash,'Plan cashflow'!RO75/(1+AS_Cash),0)+IF(Slot9_Rate=AS_Cash,'Plan cashflow'!RS75/(1+AS_Cash),0)+IF(Slot10_Rate=AS_Cash,'Plan cashflow'!RW75/(1+AS_Cash),0)+IF(Slot11_Rate=AS_Cash,'Plan cashflow'!SA75/(1+AS_Cash),0)+IF(Slot12_Rate=AS_Cash,'Plan cashflow'!SE75/(1+AS_Cash),0)+IF(Slot13_Rate=AS_Cash,'Plan cashflow'!SI75/(1+AS_Cash),0)+IF(Slot14_Rate=AS_Cash,'Plan cashflow'!SM75/(1+AS_Cash),0)+IF(Slot15_Rate=AS_Cash,'Plan cashflow'!SQ75/(1+AS_Cash),0)+IF(Slot16_Rate=AS_Cash,'Plan cashflow'!SU75/(1+AS_Cash),0)+IF(Slot17_Rate=AS_Cash,'Plan cashflow'!SY75/(1+AS_Cash),0)+IF(Slot18_Rate=AS_Cash,'Plan cashflow'!TC75/(1+AS_Cash),0)+IF(Slot19_Rate=AS_Cash,'Plan cashflow'!TG75/(1+AS_Cash),0)+IF(Slot20_Rate=AS_Cash,'Plan cashflow'!TK75/(1+AS_Cash),0))*AS_Cash*H_DIRT/(1-H_DIRT)</f>
        <v>0</v>
      </c>
      <c r="BP75" s="60" t="n">
        <f aca="false">SUM(AVE75:AYQ75)</f>
        <v>0</v>
      </c>
      <c r="BQ75" s="54" t="n">
        <f aca="false">IF(H_TaxEvt=1,H_InvG,AS_Inv)</f>
        <v>0.04</v>
      </c>
      <c r="BR75" s="20" t="n">
        <f aca="false">IF(AKR74&gt;0,(AKR74-AOE74)/AKR74,0)</f>
        <v>0</v>
      </c>
      <c r="BS75" s="20" t="n">
        <f aca="false">IF(AKS74&gt;0,(AKS74-AOF74)/AKS74,0)</f>
        <v>0</v>
      </c>
      <c r="BT75" s="20" t="n">
        <f aca="false">IF(AKT74&gt;0,(AKT74-AOG74)/AKT74,0)</f>
        <v>0</v>
      </c>
      <c r="BU75" s="20" t="n">
        <f aca="false">IF(AKU74&gt;0,(AKU74-AOH74)/AKU74,0)</f>
        <v>0</v>
      </c>
      <c r="BV75" s="20" t="n">
        <f aca="false">IF(AKV74&gt;0,(AKV74-AOI74)/AKV74,0)</f>
        <v>0</v>
      </c>
      <c r="BW75" s="20" t="n">
        <f aca="false">IF(AKW74&gt;0,(AKW74-AOJ74)/AKW74,0)</f>
        <v>0</v>
      </c>
      <c r="BX75" s="20" t="n">
        <f aca="false">IF(AKX74&gt;0,(AKX74-AOK74)/AKX74,0)</f>
        <v>0</v>
      </c>
      <c r="BY75" s="20" t="n">
        <f aca="false">IF(AKY74&gt;0,(AKY74-AOL74)/AKY74,0)</f>
        <v>0</v>
      </c>
      <c r="BZ75" s="20" t="n">
        <f aca="false">IF(AKZ74&gt;0,(AKZ74-AOM74)/AKZ74,0)</f>
        <v>0</v>
      </c>
      <c r="CA75" s="20" t="n">
        <f aca="false">IF(ALA74&gt;0,(ALA74-AON74)/ALA74,0)</f>
        <v>0</v>
      </c>
      <c r="CB75" s="20" t="n">
        <f aca="false">IF(ALB74&gt;0,(ALB74-AOO74)/ALB74,0)</f>
        <v>0</v>
      </c>
      <c r="CC75" s="20" t="n">
        <f aca="false">IF(ALC74&gt;0,(ALC74-AOP74)/ALC74,0)</f>
        <v>0</v>
      </c>
      <c r="CD75" s="20" t="n">
        <f aca="false">IF(ALD74&gt;0,(ALD74-AOQ74)/ALD74,0)</f>
        <v>0</v>
      </c>
      <c r="CE75" s="20" t="n">
        <f aca="false">IF(ALE74&gt;0,(ALE74-AOR74)/ALE74,0)</f>
        <v>0</v>
      </c>
      <c r="CF75" s="20" t="n">
        <f aca="false">IF(ALF74&gt;0,(ALF74-AOS74)/ALF74,0)</f>
        <v>0</v>
      </c>
      <c r="CG75" s="20" t="n">
        <f aca="false">IF(ALG74&gt;0,(ALG74-AOT74)/ALG74,0)</f>
        <v>0</v>
      </c>
      <c r="CH75" s="20" t="n">
        <f aca="false">IF(ALH74&gt;0,(ALH74-AOU74)/ALH74,0)</f>
        <v>0</v>
      </c>
      <c r="CI75" s="20" t="n">
        <f aca="false">IF(ALI74&gt;0,(ALI74-AOV74)/ALI74,0)</f>
        <v>0</v>
      </c>
      <c r="CJ75" s="20" t="n">
        <f aca="false">IF(ALJ74&gt;0,(ALJ74-AOW74)/ALJ74,0)</f>
        <v>0</v>
      </c>
      <c r="CK75" s="20" t="n">
        <f aca="false">IF(ALK74&gt;0,(ALK74-AOX74)/ALK74,0)</f>
        <v>0</v>
      </c>
      <c r="CL75" s="20" t="n">
        <f aca="false">IF(ALL74&gt;0,(ALL74-AOY74)/ALL74,0)</f>
        <v>0</v>
      </c>
      <c r="CM75" s="20" t="n">
        <f aca="false">IF(ALM74&gt;0,(ALM74-AOZ74)/ALM74,0)</f>
        <v>0</v>
      </c>
      <c r="CN75" s="20" t="n">
        <f aca="false">IF(ALN74&gt;0,(ALN74-APA74)/ALN74,0)</f>
        <v>0</v>
      </c>
      <c r="CO75" s="20" t="n">
        <f aca="false">IF(ALO74&gt;0,(ALO74-APB74)/ALO74,0)</f>
        <v>0</v>
      </c>
      <c r="CP75" s="20" t="n">
        <f aca="false">IF(ALP74&gt;0,(ALP74-APC74)/ALP74,0)</f>
        <v>0</v>
      </c>
      <c r="CQ75" s="20" t="n">
        <f aca="false">IF(ALQ74&gt;0,(ALQ74-APD74)/ALQ74,0)</f>
        <v>0</v>
      </c>
      <c r="CR75" s="20" t="n">
        <f aca="false">IF(ALR74&gt;0,(ALR74-APE74)/ALR74,0)</f>
        <v>0</v>
      </c>
      <c r="CS75" s="20" t="n">
        <f aca="false">IF(ALS74&gt;0,(ALS74-APF74)/ALS74,0)</f>
        <v>0</v>
      </c>
      <c r="CT75" s="20" t="n">
        <f aca="false">IF(ALT74&gt;0,(ALT74-APG74)/ALT74,0)</f>
        <v>0</v>
      </c>
      <c r="CU75" s="20" t="n">
        <f aca="false">IF(ALU74&gt;0,(ALU74-APH74)/ALU74,0)</f>
        <v>0</v>
      </c>
      <c r="CV75" s="20" t="n">
        <f aca="false">IF(ALV74&gt;0,(ALV74-API74)/ALV74,0)</f>
        <v>0</v>
      </c>
      <c r="CW75" s="20" t="n">
        <f aca="false">IF(ALW74&gt;0,(ALW74-APJ74)/ALW74,0)</f>
        <v>0</v>
      </c>
      <c r="CX75" s="20" t="n">
        <f aca="false">IF(ALX74&gt;0,(ALX74-APK74)/ALX74,0)</f>
        <v>0</v>
      </c>
      <c r="CY75" s="20" t="n">
        <f aca="false">IF(ALY74&gt;0,(ALY74-APL74)/ALY74,0)</f>
        <v>0</v>
      </c>
      <c r="CZ75" s="20" t="n">
        <f aca="false">IF(ALZ74&gt;0,(ALZ74-APM74)/ALZ74,0)</f>
        <v>0</v>
      </c>
      <c r="DA75" s="20" t="n">
        <f aca="false">IF(AMA74&gt;0,(AMA74-APN74)/AMA74,0)</f>
        <v>0</v>
      </c>
      <c r="DB75" s="20" t="n">
        <f aca="false">IF(AMB74&gt;0,(AMB74-APO74)/AMB74,0)</f>
        <v>0</v>
      </c>
      <c r="DC75" s="20" t="n">
        <f aca="false">IF(AMC74&gt;0,(AMC74-APP74)/AMC74,0)</f>
        <v>0</v>
      </c>
      <c r="DD75" s="20" t="n">
        <f aca="false">IF(AMD74&gt;0,(AMD74-APQ74)/AMD74,0)</f>
        <v>0</v>
      </c>
      <c r="DE75" s="20" t="n">
        <f aca="false">IF(AME74&gt;0,(AME74-APR74)/AME74,0)</f>
        <v>0</v>
      </c>
      <c r="DF75" s="20" t="n">
        <f aca="false">IF(AMF74&gt;0,(AMF74-APS74)/AMF74,0)</f>
        <v>0</v>
      </c>
      <c r="DG75" s="20" t="n">
        <f aca="false">IF(AMG74&gt;0,(AMG74-APT74)/AMG74,0)</f>
        <v>0</v>
      </c>
      <c r="DH75" s="20" t="n">
        <f aca="false">IF(AMH74&gt;0,(AMH74-APU74)/AMH74,0)</f>
        <v>0</v>
      </c>
      <c r="DI75" s="20" t="n">
        <f aca="false">IF(AMI74&gt;0,(AMI74-APV74)/AMI74,0)</f>
        <v>0</v>
      </c>
      <c r="DJ75" s="20" t="n">
        <f aca="false">IF(AMJ74&gt;0,(AMJ74-APW74)/AMJ74,0)</f>
        <v>0</v>
      </c>
      <c r="DK75" s="20" t="n">
        <f aca="false">IF(AMK74&gt;0,(AMK74-APX74)/AMK74,0)</f>
        <v>0</v>
      </c>
      <c r="DL75" s="20" t="n">
        <f aca="false">IF(AML74&gt;0,(AML74-APY74)/AML74,0)</f>
        <v>0</v>
      </c>
      <c r="DM75" s="20" t="n">
        <f aca="false">IF(AMM74&gt;0,(AMM74-APZ74)/AMM74,0)</f>
        <v>0</v>
      </c>
      <c r="DN75" s="20" t="n">
        <f aca="false">IF(AMN74&gt;0,(AMN74-AQA74)/AMN74,0)</f>
        <v>0</v>
      </c>
      <c r="DO75" s="20" t="n">
        <f aca="false">IF(AMO74&gt;0,(AMO74-AQB74)/AMO74,0)</f>
        <v>0</v>
      </c>
      <c r="DP75" s="20" t="n">
        <f aca="false">IF(AMP74&gt;0,(AMP74-AQC74)/AMP74,0)</f>
        <v>0</v>
      </c>
      <c r="DQ75" s="20" t="n">
        <f aca="false">IF(AMQ74&gt;0,(AMQ74-AQD74)/AMQ74,0)</f>
        <v>0</v>
      </c>
      <c r="DR75" s="20" t="n">
        <f aca="false">IF(AMR74&gt;0,(AMR74-AQE74)/AMR74,0)</f>
        <v>0</v>
      </c>
      <c r="DS75" s="20" t="n">
        <f aca="false">IF(AMS74&gt;0,(AMS74-AQF74)/AMS74,0)</f>
        <v>0</v>
      </c>
      <c r="DT75" s="20" t="n">
        <f aca="false">IF(AMT74&gt;0,(AMT74-AQG74)/AMT74,0)</f>
        <v>0</v>
      </c>
      <c r="DU75" s="20" t="n">
        <f aca="false">IF(AMU74&gt;0,(AMU74-AQH74)/AMU74,0)</f>
        <v>0</v>
      </c>
      <c r="DV75" s="20" t="n">
        <f aca="false">IF(AMV74&gt;0,(AMV74-AQI74)/AMV74,0)</f>
        <v>0</v>
      </c>
      <c r="DW75" s="20" t="n">
        <f aca="false">IF(AMW74&gt;0,(AMW74-AQJ74)/AMW74,0)</f>
        <v>0</v>
      </c>
      <c r="DX75" s="20" t="n">
        <f aca="false">IF(AMX74&gt;0,(AMX74-AQK74)/AMX74,0)</f>
        <v>0</v>
      </c>
      <c r="DY75" s="20" t="n">
        <f aca="false">IF(AMY74&gt;0,(AMY74-AQL74)/AMY74,0)</f>
        <v>0</v>
      </c>
      <c r="DZ75" s="20" t="n">
        <f aca="false">IF(AMZ74&gt;0,(AMZ74-AQM74)/AMZ74,0)</f>
        <v>0</v>
      </c>
      <c r="EA75" s="20" t="n">
        <f aca="false">IF(ANA74&gt;0,(ANA74-AQN74)/ANA74,0)</f>
        <v>0</v>
      </c>
      <c r="EB75" s="20" t="n">
        <f aca="false">IF(ANB74&gt;0,(ANB74-AQO74)/ANB74,0)</f>
        <v>0</v>
      </c>
      <c r="EC75" s="20" t="n">
        <f aca="false">IF(ANC74&gt;0,(ANC74-AQP74)/ANC74,0)</f>
        <v>0</v>
      </c>
      <c r="ED75" s="20" t="n">
        <f aca="false">IF(AND74&gt;0,(AND74-AQQ74)/AND74,0)</f>
        <v>0</v>
      </c>
      <c r="EE75" s="20" t="n">
        <f aca="false">IF(ANE74&gt;0,(ANE74-AQR74)/ANE74,0)</f>
        <v>0</v>
      </c>
      <c r="EF75" s="20" t="n">
        <f aca="false">IF(ANF74&gt;0,(ANF74-AQS74)/ANF74,0)</f>
        <v>0</v>
      </c>
      <c r="EG75" s="20" t="n">
        <f aca="false">IF(ANG74&gt;0,(ANG74-AQT74)/ANG74,0)</f>
        <v>0</v>
      </c>
      <c r="EH75" s="20" t="n">
        <f aca="false">IF((P75+S75)&gt;0,((P75+S75)-(P75+S75))/(P75+S75),0)</f>
        <v>0</v>
      </c>
      <c r="EI75" s="20" t="n">
        <v>0</v>
      </c>
      <c r="EJ75" s="20" t="n">
        <v>0</v>
      </c>
      <c r="EK75" s="20" t="n">
        <v>0</v>
      </c>
      <c r="EL75" s="20" t="n">
        <v>0</v>
      </c>
      <c r="EM75" s="20" t="n">
        <v>0</v>
      </c>
      <c r="EN75" s="20" t="n">
        <v>0</v>
      </c>
      <c r="EO75" s="20" t="n">
        <v>0</v>
      </c>
      <c r="EP75" s="20" t="n">
        <v>0</v>
      </c>
      <c r="EQ75" s="20" t="n">
        <v>0</v>
      </c>
      <c r="ER75" s="20" t="n">
        <v>0</v>
      </c>
      <c r="ES75" s="20" t="n">
        <v>0</v>
      </c>
      <c r="ET75" s="20" t="n">
        <v>0</v>
      </c>
      <c r="EU75" s="20" t="n">
        <v>0</v>
      </c>
      <c r="EV75" s="20" t="n">
        <v>0</v>
      </c>
      <c r="EW75" s="20" t="n">
        <v>0</v>
      </c>
      <c r="EX75" s="20" t="n">
        <v>0</v>
      </c>
      <c r="EY75" s="20" t="n">
        <v>0</v>
      </c>
      <c r="EZ75" s="20" t="n">
        <v>0</v>
      </c>
      <c r="FA75" s="20" t="n">
        <v>0</v>
      </c>
      <c r="FB75" s="20" t="n">
        <v>0</v>
      </c>
      <c r="FC75" s="20" t="n">
        <v>0</v>
      </c>
      <c r="FD75" s="20" t="n">
        <v>0</v>
      </c>
      <c r="FE75" s="20" t="n">
        <f aca="false">IF(H_Direct=1,IF(AKR74&lt;=0,0,IF(BR75&lt;=0,AKR74,AKR74-G75*MAX(0,BR75*AKR74-(H75+I75)))),AKR74*(1-MAX(0,BR75)*H_Exit))</f>
        <v>0</v>
      </c>
      <c r="FF75" s="20" t="n">
        <f aca="false">IF(H_Direct=1,IF(AKS74&lt;=0,0,IF(BS75&lt;=0,AKS74,AKS74-G75*MAX(0,BS75*AKS74-(IR75+ME75)))),AKS74*(1-MAX(0,BS75)*H_Exit))</f>
        <v>0</v>
      </c>
      <c r="FG75" s="20" t="n">
        <f aca="false">IF(H_Direct=1,IF(AKT74&lt;=0,0,IF(BT75&lt;=0,AKT74,AKT74-G75*MAX(0,BT75*AKT74-(IS75+MF75)))),AKT74*(1-MAX(0,BT75)*H_Exit))</f>
        <v>0</v>
      </c>
      <c r="FH75" s="20" t="n">
        <f aca="false">IF(H_Direct=1,IF(AKU74&lt;=0,0,IF(BU75&lt;=0,AKU74,AKU74-G75*MAX(0,BU75*AKU74-(IT75+MG75)))),AKU74*(1-MAX(0,BU75)*H_Exit))</f>
        <v>0</v>
      </c>
      <c r="FI75" s="20" t="n">
        <f aca="false">IF(H_Direct=1,IF(AKV74&lt;=0,0,IF(BV75&lt;=0,AKV74,AKV74-G75*MAX(0,BV75*AKV74-(IU75+MH75)))),AKV74*(1-MAX(0,BV75)*H_Exit))</f>
        <v>0</v>
      </c>
      <c r="FJ75" s="20" t="n">
        <f aca="false">IF(H_Direct=1,IF(AKW74&lt;=0,0,IF(BW75&lt;=0,AKW74,AKW74-G75*MAX(0,BW75*AKW74-(IV75+MI75)))),AKW74*(1-MAX(0,BW75)*H_Exit))</f>
        <v>0</v>
      </c>
      <c r="FK75" s="20" t="n">
        <f aca="false">IF(H_Direct=1,IF(AKX74&lt;=0,0,IF(BX75&lt;=0,AKX74,AKX74-G75*MAX(0,BX75*AKX74-(IW75+MJ75)))),AKX74*(1-MAX(0,BX75)*H_Exit))</f>
        <v>0</v>
      </c>
      <c r="FL75" s="20" t="n">
        <f aca="false">IF(H_Direct=1,IF(AKY74&lt;=0,0,IF(BY75&lt;=0,AKY74,AKY74-G75*MAX(0,BY75*AKY74-(IX75+MK75)))),AKY74*(1-MAX(0,BY75)*H_Exit))</f>
        <v>0</v>
      </c>
      <c r="FM75" s="20" t="n">
        <f aca="false">IF(H_Direct=1,IF(AKZ74&lt;=0,0,IF(BZ75&lt;=0,AKZ74,AKZ74-G75*MAX(0,BZ75*AKZ74-(IY75+ML75)))),AKZ74*(1-MAX(0,BZ75)*H_Exit))</f>
        <v>0</v>
      </c>
      <c r="FN75" s="20" t="n">
        <f aca="false">IF(H_Direct=1,IF(ALA74&lt;=0,0,IF(CA75&lt;=0,ALA74,ALA74-G75*MAX(0,CA75*ALA74-(IZ75+MM75)))),ALA74*(1-MAX(0,CA75)*H_Exit))</f>
        <v>0</v>
      </c>
      <c r="FO75" s="20" t="n">
        <f aca="false">IF(H_Direct=1,IF(ALB74&lt;=0,0,IF(CB75&lt;=0,ALB74,ALB74-G75*MAX(0,CB75*ALB74-(JA75+MN75)))),ALB74*(1-MAX(0,CB75)*H_Exit))</f>
        <v>0</v>
      </c>
      <c r="FP75" s="20" t="n">
        <f aca="false">IF(H_Direct=1,IF(ALC74&lt;=0,0,IF(CC75&lt;=0,ALC74,ALC74-G75*MAX(0,CC75*ALC74-(JB75+MO75)))),ALC74*(1-MAX(0,CC75)*H_Exit))</f>
        <v>0</v>
      </c>
      <c r="FQ75" s="20" t="n">
        <f aca="false">IF(H_Direct=1,IF(ALD74&lt;=0,0,IF(CD75&lt;=0,ALD74,ALD74-G75*MAX(0,CD75*ALD74-(JC75+MP75)))),ALD74*(1-MAX(0,CD75)*H_Exit))</f>
        <v>0</v>
      </c>
      <c r="FR75" s="20" t="n">
        <f aca="false">IF(H_Direct=1,IF(ALE74&lt;=0,0,IF(CE75&lt;=0,ALE74,ALE74-G75*MAX(0,CE75*ALE74-(JD75+MQ75)))),ALE74*(1-MAX(0,CE75)*H_Exit))</f>
        <v>0</v>
      </c>
      <c r="FS75" s="20" t="n">
        <f aca="false">IF(H_Direct=1,IF(ALF74&lt;=0,0,IF(CF75&lt;=0,ALF74,ALF74-G75*MAX(0,CF75*ALF74-(JE75+MR75)))),ALF74*(1-MAX(0,CF75)*H_Exit))</f>
        <v>0</v>
      </c>
      <c r="FT75" s="20" t="n">
        <f aca="false">IF(H_Direct=1,IF(ALG74&lt;=0,0,IF(CG75&lt;=0,ALG74,ALG74-G75*MAX(0,CG75*ALG74-(JF75+MS75)))),ALG74*(1-MAX(0,CG75)*H_Exit))</f>
        <v>0</v>
      </c>
      <c r="FU75" s="20" t="n">
        <f aca="false">IF(H_Direct=1,IF(ALH74&lt;=0,0,IF(CH75&lt;=0,ALH74,ALH74-G75*MAX(0,CH75*ALH74-(JG75+MT75)))),ALH74*(1-MAX(0,CH75)*H_Exit))</f>
        <v>0</v>
      </c>
      <c r="FV75" s="20" t="n">
        <f aca="false">IF(H_Direct=1,IF(ALI74&lt;=0,0,IF(CI75&lt;=0,ALI74,ALI74-G75*MAX(0,CI75*ALI74-(JH75+MU75)))),ALI74*(1-MAX(0,CI75)*H_Exit))</f>
        <v>0</v>
      </c>
      <c r="FW75" s="20" t="n">
        <f aca="false">IF(H_Direct=1,IF(ALJ74&lt;=0,0,IF(CJ75&lt;=0,ALJ74,ALJ74-G75*MAX(0,CJ75*ALJ74-(JI75+MV75)))),ALJ74*(1-MAX(0,CJ75)*H_Exit))</f>
        <v>0</v>
      </c>
      <c r="FX75" s="20" t="n">
        <f aca="false">IF(H_Direct=1,IF(ALK74&lt;=0,0,IF(CK75&lt;=0,ALK74,ALK74-G75*MAX(0,CK75*ALK74-(JJ75+MW75)))),ALK74*(1-MAX(0,CK75)*H_Exit))</f>
        <v>0</v>
      </c>
      <c r="FY75" s="20" t="n">
        <f aca="false">IF(H_Direct=1,IF(ALL74&lt;=0,0,IF(CL75&lt;=0,ALL74,ALL74-G75*MAX(0,CL75*ALL74-(JK75+MX75)))),ALL74*(1-MAX(0,CL75)*H_Exit))</f>
        <v>0</v>
      </c>
      <c r="FZ75" s="20" t="n">
        <f aca="false">IF(H_Direct=1,IF(ALM74&lt;=0,0,IF(CM75&lt;=0,ALM74,ALM74-G75*MAX(0,CM75*ALM74-(JL75+MY75)))),ALM74*(1-MAX(0,CM75)*H_Exit))</f>
        <v>0</v>
      </c>
      <c r="GA75" s="20" t="n">
        <f aca="false">IF(H_Direct=1,IF(ALN74&lt;=0,0,IF(CN75&lt;=0,ALN74,ALN74-G75*MAX(0,CN75*ALN74-(JM75+MZ75)))),ALN74*(1-MAX(0,CN75)*H_Exit))</f>
        <v>0</v>
      </c>
      <c r="GB75" s="20" t="n">
        <f aca="false">IF(H_Direct=1,IF(ALO74&lt;=0,0,IF(CO75&lt;=0,ALO74,ALO74-G75*MAX(0,CO75*ALO74-(JN75+NA75)))),ALO74*(1-MAX(0,CO75)*H_Exit))</f>
        <v>0</v>
      </c>
      <c r="GC75" s="20" t="n">
        <f aca="false">IF(H_Direct=1,IF(ALP74&lt;=0,0,IF(CP75&lt;=0,ALP74,ALP74-G75*MAX(0,CP75*ALP74-(JO75+NB75)))),ALP74*(1-MAX(0,CP75)*H_Exit))</f>
        <v>0</v>
      </c>
      <c r="GD75" s="20" t="n">
        <f aca="false">IF(H_Direct=1,IF(ALQ74&lt;=0,0,IF(CQ75&lt;=0,ALQ74,ALQ74-G75*MAX(0,CQ75*ALQ74-(JP75+NC75)))),ALQ74*(1-MAX(0,CQ75)*H_Exit))</f>
        <v>0</v>
      </c>
      <c r="GE75" s="20" t="n">
        <f aca="false">IF(H_Direct=1,IF(ALR74&lt;=0,0,IF(CR75&lt;=0,ALR74,ALR74-G75*MAX(0,CR75*ALR74-(JQ75+ND75)))),ALR74*(1-MAX(0,CR75)*H_Exit))</f>
        <v>0</v>
      </c>
      <c r="GF75" s="20" t="n">
        <f aca="false">IF(H_Direct=1,IF(ALS74&lt;=0,0,IF(CS75&lt;=0,ALS74,ALS74-G75*MAX(0,CS75*ALS74-(JR75+NE75)))),ALS74*(1-MAX(0,CS75)*H_Exit))</f>
        <v>0</v>
      </c>
      <c r="GG75" s="20" t="n">
        <f aca="false">IF(H_Direct=1,IF(ALT74&lt;=0,0,IF(CT75&lt;=0,ALT74,ALT74-G75*MAX(0,CT75*ALT74-(JS75+NF75)))),ALT74*(1-MAX(0,CT75)*H_Exit))</f>
        <v>0</v>
      </c>
      <c r="GH75" s="20" t="n">
        <f aca="false">IF(H_Direct=1,IF(ALU74&lt;=0,0,IF(CU75&lt;=0,ALU74,ALU74-G75*MAX(0,CU75*ALU74-(JT75+NG75)))),ALU74*(1-MAX(0,CU75)*H_Exit))</f>
        <v>0</v>
      </c>
      <c r="GI75" s="20" t="n">
        <f aca="false">IF(H_Direct=1,IF(ALV74&lt;=0,0,IF(CV75&lt;=0,ALV74,ALV74-G75*MAX(0,CV75*ALV74-(JU75+NH75)))),ALV74*(1-MAX(0,CV75)*H_Exit))</f>
        <v>0</v>
      </c>
      <c r="GJ75" s="20" t="n">
        <f aca="false">IF(H_Direct=1,IF(ALW74&lt;=0,0,IF(CW75&lt;=0,ALW74,ALW74-G75*MAX(0,CW75*ALW74-(JV75+NI75)))),ALW74*(1-MAX(0,CW75)*H_Exit))</f>
        <v>0</v>
      </c>
      <c r="GK75" s="20" t="n">
        <f aca="false">IF(H_Direct=1,IF(ALX74&lt;=0,0,IF(CX75&lt;=0,ALX74,ALX74-G75*MAX(0,CX75*ALX74-(JW75+NJ75)))),ALX74*(1-MAX(0,CX75)*H_Exit))</f>
        <v>0</v>
      </c>
      <c r="GL75" s="20" t="n">
        <f aca="false">IF(H_Direct=1,IF(ALY74&lt;=0,0,IF(CY75&lt;=0,ALY74,ALY74-G75*MAX(0,CY75*ALY74-(JX75+NK75)))),ALY74*(1-MAX(0,CY75)*H_Exit))</f>
        <v>0</v>
      </c>
      <c r="GM75" s="20" t="n">
        <f aca="false">IF(H_Direct=1,IF(ALZ74&lt;=0,0,IF(CZ75&lt;=0,ALZ74,ALZ74-G75*MAX(0,CZ75*ALZ74-(JY75+NL75)))),ALZ74*(1-MAX(0,CZ75)*H_Exit))</f>
        <v>0</v>
      </c>
      <c r="GN75" s="20" t="n">
        <f aca="false">IF(H_Direct=1,IF(AMA74&lt;=0,0,IF(DA75&lt;=0,AMA74,AMA74-G75*MAX(0,DA75*AMA74-(JZ75+NM75)))),AMA74*(1-MAX(0,DA75)*H_Exit))</f>
        <v>0</v>
      </c>
      <c r="GO75" s="20" t="n">
        <f aca="false">IF(H_Direct=1,IF(AMB74&lt;=0,0,IF(DB75&lt;=0,AMB74,AMB74-G75*MAX(0,DB75*AMB74-(KA75+NN75)))),AMB74*(1-MAX(0,DB75)*H_Exit))</f>
        <v>0</v>
      </c>
      <c r="GP75" s="20" t="n">
        <f aca="false">IF(H_Direct=1,IF(AMC74&lt;=0,0,IF(DC75&lt;=0,AMC74,AMC74-G75*MAX(0,DC75*AMC74-(KB75+NO75)))),AMC74*(1-MAX(0,DC75)*H_Exit))</f>
        <v>0</v>
      </c>
      <c r="GQ75" s="20" t="n">
        <f aca="false">IF(H_Direct=1,IF(AMD74&lt;=0,0,IF(DD75&lt;=0,AMD74,AMD74-G75*MAX(0,DD75*AMD74-(KC75+NP75)))),AMD74*(1-MAX(0,DD75)*H_Exit))</f>
        <v>0</v>
      </c>
      <c r="GR75" s="20" t="n">
        <f aca="false">IF(H_Direct=1,IF(AME74&lt;=0,0,IF(DE75&lt;=0,AME74,AME74-G75*MAX(0,DE75*AME74-(KD75+NQ75)))),AME74*(1-MAX(0,DE75)*H_Exit))</f>
        <v>0</v>
      </c>
      <c r="GS75" s="20" t="n">
        <f aca="false">IF(H_Direct=1,IF(AMF74&lt;=0,0,IF(DF75&lt;=0,AMF74,AMF74-G75*MAX(0,DF75*AMF74-(KE75+NR75)))),AMF74*(1-MAX(0,DF75)*H_Exit))</f>
        <v>0</v>
      </c>
      <c r="GT75" s="20" t="n">
        <f aca="false">IF(H_Direct=1,IF(AMG74&lt;=0,0,IF(DG75&lt;=0,AMG74,AMG74-G75*MAX(0,DG75*AMG74-(KF75+NS75)))),AMG74*(1-MAX(0,DG75)*H_Exit))</f>
        <v>0</v>
      </c>
      <c r="GU75" s="20" t="n">
        <f aca="false">IF(H_Direct=1,IF(AMH74&lt;=0,0,IF(DH75&lt;=0,AMH74,AMH74-G75*MAX(0,DH75*AMH74-(KG75+NT75)))),AMH74*(1-MAX(0,DH75)*H_Exit))</f>
        <v>0</v>
      </c>
      <c r="GV75" s="20" t="n">
        <f aca="false">IF(H_Direct=1,IF(AMI74&lt;=0,0,IF(DI75&lt;=0,AMI74,AMI74-G75*MAX(0,DI75*AMI74-(KH75+NU75)))),AMI74*(1-MAX(0,DI75)*H_Exit))</f>
        <v>0</v>
      </c>
      <c r="GW75" s="20" t="n">
        <f aca="false">IF(H_Direct=1,IF(AMJ74&lt;=0,0,IF(DJ75&lt;=0,AMJ74,AMJ74-G75*MAX(0,DJ75*AMJ74-(KI75+NV75)))),AMJ74*(1-MAX(0,DJ75)*H_Exit))</f>
        <v>0</v>
      </c>
      <c r="GX75" s="20" t="n">
        <f aca="false">IF(H_Direct=1,IF(AMK74&lt;=0,0,IF(DK75&lt;=0,AMK74,AMK74-G75*MAX(0,DK75*AMK74-(KJ75+NW75)))),AMK74*(1-MAX(0,DK75)*H_Exit))</f>
        <v>0</v>
      </c>
      <c r="GY75" s="20" t="n">
        <f aca="false">IF(H_Direct=1,IF(AML74&lt;=0,0,IF(DL75&lt;=0,AML74,AML74-G75*MAX(0,DL75*AML74-(KK75+NX75)))),AML74*(1-MAX(0,DL75)*H_Exit))</f>
        <v>0</v>
      </c>
      <c r="GZ75" s="20" t="n">
        <f aca="false">IF(H_Direct=1,IF(AMM74&lt;=0,0,IF(DM75&lt;=0,AMM74,AMM74-G75*MAX(0,DM75*AMM74-(KL75+NY75)))),AMM74*(1-MAX(0,DM75)*H_Exit))</f>
        <v>0</v>
      </c>
      <c r="HA75" s="20" t="n">
        <f aca="false">IF(H_Direct=1,IF(AMN74&lt;=0,0,IF(DN75&lt;=0,AMN74,AMN74-G75*MAX(0,DN75*AMN74-(KM75+NZ75)))),AMN74*(1-MAX(0,DN75)*H_Exit))</f>
        <v>0</v>
      </c>
      <c r="HB75" s="20" t="n">
        <f aca="false">IF(H_Direct=1,IF(AMO74&lt;=0,0,IF(DO75&lt;=0,AMO74,AMO74-G75*MAX(0,DO75*AMO74-(KN75+OA75)))),AMO74*(1-MAX(0,DO75)*H_Exit))</f>
        <v>0</v>
      </c>
      <c r="HC75" s="20" t="n">
        <f aca="false">IF(H_Direct=1,IF(AMP74&lt;=0,0,IF(DP75&lt;=0,AMP74,AMP74-G75*MAX(0,DP75*AMP74-(KO75+OB75)))),AMP74*(1-MAX(0,DP75)*H_Exit))</f>
        <v>0</v>
      </c>
      <c r="HD75" s="20" t="n">
        <f aca="false">IF(H_Direct=1,IF(AMQ74&lt;=0,0,IF(DQ75&lt;=0,AMQ74,AMQ74-G75*MAX(0,DQ75*AMQ74-(KP75+OC75)))),AMQ74*(1-MAX(0,DQ75)*H_Exit))</f>
        <v>0</v>
      </c>
      <c r="HE75" s="20" t="n">
        <f aca="false">IF(H_Direct=1,IF(AMR74&lt;=0,0,IF(DR75&lt;=0,AMR74,AMR74-G75*MAX(0,DR75*AMR74-(KQ75+OD75)))),AMR74*(1-MAX(0,DR75)*H_Exit))</f>
        <v>0</v>
      </c>
      <c r="HF75" s="20" t="n">
        <f aca="false">IF(H_Direct=1,IF(AMS74&lt;=0,0,IF(DS75&lt;=0,AMS74,AMS74-G75*MAX(0,DS75*AMS74-(KR75+OE75)))),AMS74*(1-MAX(0,DS75)*H_Exit))</f>
        <v>0</v>
      </c>
      <c r="HG75" s="20" t="n">
        <f aca="false">IF(H_Direct=1,IF(AMT74&lt;=0,0,IF(DT75&lt;=0,AMT74,AMT74-G75*MAX(0,DT75*AMT74-(KS75+OF75)))),AMT74*(1-MAX(0,DT75)*H_Exit))</f>
        <v>0</v>
      </c>
      <c r="HH75" s="20" t="n">
        <f aca="false">IF(H_Direct=1,IF(AMU74&lt;=0,0,IF(DU75&lt;=0,AMU74,AMU74-G75*MAX(0,DU75*AMU74-(KT75+OG75)))),AMU74*(1-MAX(0,DU75)*H_Exit))</f>
        <v>0</v>
      </c>
      <c r="HI75" s="20" t="n">
        <f aca="false">IF(H_Direct=1,IF(AMV74&lt;=0,0,IF(DV75&lt;=0,AMV74,AMV74-G75*MAX(0,DV75*AMV74-(KU75+OH75)))),AMV74*(1-MAX(0,DV75)*H_Exit))</f>
        <v>0</v>
      </c>
      <c r="HJ75" s="20" t="n">
        <f aca="false">IF(H_Direct=1,IF(AMW74&lt;=0,0,IF(DW75&lt;=0,AMW74,AMW74-G75*MAX(0,DW75*AMW74-(KV75+OI75)))),AMW74*(1-MAX(0,DW75)*H_Exit))</f>
        <v>0</v>
      </c>
      <c r="HK75" s="20" t="n">
        <f aca="false">IF(H_Direct=1,IF(AMX74&lt;=0,0,IF(DX75&lt;=0,AMX74,AMX74-G75*MAX(0,DX75*AMX74-(KW75+OJ75)))),AMX74*(1-MAX(0,DX75)*H_Exit))</f>
        <v>0</v>
      </c>
      <c r="HL75" s="20" t="n">
        <f aca="false">IF(H_Direct=1,IF(AMY74&lt;=0,0,IF(DY75&lt;=0,AMY74,AMY74-G75*MAX(0,DY75*AMY74-(KX75+OK75)))),AMY74*(1-MAX(0,DY75)*H_Exit))</f>
        <v>0</v>
      </c>
      <c r="HM75" s="20" t="n">
        <f aca="false">IF(H_Direct=1,IF(AMZ74&lt;=0,0,IF(DZ75&lt;=0,AMZ74,AMZ74-G75*MAX(0,DZ75*AMZ74-(KY75+OL75)))),AMZ74*(1-MAX(0,DZ75)*H_Exit))</f>
        <v>0</v>
      </c>
      <c r="HN75" s="20" t="n">
        <f aca="false">IF(H_Direct=1,IF(ANA74&lt;=0,0,IF(EA75&lt;=0,ANA74,ANA74-G75*MAX(0,EA75*ANA74-(KZ75+OM75)))),ANA74*(1-MAX(0,EA75)*H_Exit))</f>
        <v>0</v>
      </c>
      <c r="HO75" s="20" t="n">
        <f aca="false">IF(H_Direct=1,IF(ANB74&lt;=0,0,IF(EB75&lt;=0,ANB74,ANB74-G75*MAX(0,EB75*ANB74-(LA75+ON75)))),ANB74*(1-MAX(0,EB75)*H_Exit))</f>
        <v>0</v>
      </c>
      <c r="HP75" s="20" t="n">
        <f aca="false">IF(H_Direct=1,IF(ANC74&lt;=0,0,IF(EC75&lt;=0,ANC74,ANC74-G75*MAX(0,EC75*ANC74-(LB75+OO75)))),ANC74*(1-MAX(0,EC75)*H_Exit))</f>
        <v>0</v>
      </c>
      <c r="HQ75" s="20" t="n">
        <f aca="false">IF(H_Direct=1,IF(AND74&lt;=0,0,IF(ED75&lt;=0,AND74,AND74-G75*MAX(0,ED75*AND74-(LC75+OP75)))),AND74*(1-MAX(0,ED75)*H_Exit))</f>
        <v>0</v>
      </c>
      <c r="HR75" s="20" t="n">
        <f aca="false">IF(H_Direct=1,IF(ANE74&lt;=0,0,IF(EE75&lt;=0,ANE74,ANE74-G75*MAX(0,EE75*ANE74-(LD75+OQ75)))),ANE74*(1-MAX(0,EE75)*H_Exit))</f>
        <v>0</v>
      </c>
      <c r="HS75" s="20" t="n">
        <f aca="false">IF(H_Direct=1,IF(ANF74&lt;=0,0,IF(EF75&lt;=0,ANF74,ANF74-G75*MAX(0,EF75*ANF74-(LE75+OR75)))),ANF74*(1-MAX(0,EF75)*H_Exit))</f>
        <v>0</v>
      </c>
      <c r="HT75" s="20" t="n">
        <f aca="false">IF(H_Direct=1,IF(ANG74&lt;=0,0,IF(EG75&lt;=0,ANG74,ANG74-G75*MAX(0,EG75*ANG74-(LF75+OS75)))),ANG74*(1-MAX(0,EG75)*H_Exit))</f>
        <v>0</v>
      </c>
      <c r="HU75" s="20" t="n">
        <f aca="false">IF(H_Direct=1,IF((P75+S75)&lt;=0,0,IF(EH75&lt;=0,(P75+S75),(P75+S75)-G75*MAX(0,EH75*(P75+S75)-(LG75+OT75)))),(P75+S75)*(1-MAX(0,EH75)*H_Exit))</f>
        <v>0</v>
      </c>
      <c r="HV75" s="20" t="n">
        <v>0</v>
      </c>
      <c r="HW75" s="20" t="n">
        <v>0</v>
      </c>
      <c r="HX75" s="20" t="n">
        <v>0</v>
      </c>
      <c r="HY75" s="20" t="n">
        <v>0</v>
      </c>
      <c r="HZ75" s="20" t="n">
        <v>0</v>
      </c>
      <c r="IA75" s="20" t="n">
        <v>0</v>
      </c>
      <c r="IB75" s="20" t="n">
        <v>0</v>
      </c>
      <c r="IC75" s="20" t="n">
        <v>0</v>
      </c>
      <c r="ID75" s="20" t="n">
        <v>0</v>
      </c>
      <c r="IE75" s="20" t="n">
        <v>0</v>
      </c>
      <c r="IF75" s="20" t="n">
        <v>0</v>
      </c>
      <c r="IG75" s="20" t="n">
        <v>0</v>
      </c>
      <c r="IH75" s="20" t="n">
        <v>0</v>
      </c>
      <c r="II75" s="20" t="n">
        <v>0</v>
      </c>
      <c r="IJ75" s="20" t="n">
        <v>0</v>
      </c>
      <c r="IK75" s="20" t="n">
        <v>0</v>
      </c>
      <c r="IL75" s="20" t="n">
        <v>0</v>
      </c>
      <c r="IM75" s="20" t="n">
        <v>0</v>
      </c>
      <c r="IN75" s="20" t="n">
        <v>0</v>
      </c>
      <c r="IO75" s="20" t="n">
        <v>0</v>
      </c>
      <c r="IP75" s="20" t="n">
        <v>0</v>
      </c>
      <c r="IQ75" s="20" t="n">
        <v>0</v>
      </c>
      <c r="IR75" s="20" t="n">
        <f aca="false">IF(AND(H_Direct=1,BR75&gt;0),MAX(0,H75-(MIN(BR75*AKR74,H75+I75)-MIN(MIN(BR75*AKR74,H75+I75),I75))),H75)</f>
        <v>1270</v>
      </c>
      <c r="IS75" s="20" t="n">
        <f aca="false">IF(AND(H_Direct=1,BS75&gt;0),MAX(0,IR75-(MIN(BS75*AKS74,IR75+ME75)-MIN(MIN(BS75*AKS74,IR75+ME75),ME75))),IR75)</f>
        <v>1270</v>
      </c>
      <c r="IT75" s="20" t="n">
        <f aca="false">IF(AND(H_Direct=1,BT75&gt;0),MAX(0,IS75-(MIN(BT75*AKT74,IS75+MF75)-MIN(MIN(BT75*AKT74,IS75+MF75),MF75))),IS75)</f>
        <v>1270</v>
      </c>
      <c r="IU75" s="20" t="n">
        <f aca="false">IF(AND(H_Direct=1,BU75&gt;0),MAX(0,IT75-(MIN(BU75*AKU74,IT75+MG75)-MIN(MIN(BU75*AKU74,IT75+MG75),MG75))),IT75)</f>
        <v>1270</v>
      </c>
      <c r="IV75" s="20" t="n">
        <f aca="false">IF(AND(H_Direct=1,BV75&gt;0),MAX(0,IU75-(MIN(BV75*AKV74,IU75+MH75)-MIN(MIN(BV75*AKV74,IU75+MH75),MH75))),IU75)</f>
        <v>1270</v>
      </c>
      <c r="IW75" s="20" t="n">
        <f aca="false">IF(AND(H_Direct=1,BW75&gt;0),MAX(0,IV75-(MIN(BW75*AKW74,IV75+MI75)-MIN(MIN(BW75*AKW74,IV75+MI75),MI75))),IV75)</f>
        <v>1270</v>
      </c>
      <c r="IX75" s="20" t="n">
        <f aca="false">IF(AND(H_Direct=1,BX75&gt;0),MAX(0,IW75-(MIN(BX75*AKX74,IW75+MJ75)-MIN(MIN(BX75*AKX74,IW75+MJ75),MJ75))),IW75)</f>
        <v>1270</v>
      </c>
      <c r="IY75" s="20" t="n">
        <f aca="false">IF(AND(H_Direct=1,BY75&gt;0),MAX(0,IX75-(MIN(BY75*AKY74,IX75+MK75)-MIN(MIN(BY75*AKY74,IX75+MK75),MK75))),IX75)</f>
        <v>1270</v>
      </c>
      <c r="IZ75" s="20" t="n">
        <f aca="false">IF(AND(H_Direct=1,BZ75&gt;0),MAX(0,IY75-(MIN(BZ75*AKZ74,IY75+ML75)-MIN(MIN(BZ75*AKZ74,IY75+ML75),ML75))),IY75)</f>
        <v>1270</v>
      </c>
      <c r="JA75" s="20" t="n">
        <f aca="false">IF(AND(H_Direct=1,CA75&gt;0),MAX(0,IZ75-(MIN(CA75*ALA74,IZ75+MM75)-MIN(MIN(CA75*ALA74,IZ75+MM75),MM75))),IZ75)</f>
        <v>1270</v>
      </c>
      <c r="JB75" s="20" t="n">
        <f aca="false">IF(AND(H_Direct=1,CB75&gt;0),MAX(0,JA75-(MIN(CB75*ALB74,JA75+MN75)-MIN(MIN(CB75*ALB74,JA75+MN75),MN75))),JA75)</f>
        <v>1270</v>
      </c>
      <c r="JC75" s="20" t="n">
        <f aca="false">IF(AND(H_Direct=1,CC75&gt;0),MAX(0,JB75-(MIN(CC75*ALC74,JB75+MO75)-MIN(MIN(CC75*ALC74,JB75+MO75),MO75))),JB75)</f>
        <v>1270</v>
      </c>
      <c r="JD75" s="20" t="n">
        <f aca="false">IF(AND(H_Direct=1,CD75&gt;0),MAX(0,JC75-(MIN(CD75*ALD74,JC75+MP75)-MIN(MIN(CD75*ALD74,JC75+MP75),MP75))),JC75)</f>
        <v>1270</v>
      </c>
      <c r="JE75" s="20" t="n">
        <f aca="false">IF(AND(H_Direct=1,CE75&gt;0),MAX(0,JD75-(MIN(CE75*ALE74,JD75+MQ75)-MIN(MIN(CE75*ALE74,JD75+MQ75),MQ75))),JD75)</f>
        <v>1270</v>
      </c>
      <c r="JF75" s="20" t="n">
        <f aca="false">IF(AND(H_Direct=1,CF75&gt;0),MAX(0,JE75-(MIN(CF75*ALF74,JE75+MR75)-MIN(MIN(CF75*ALF74,JE75+MR75),MR75))),JE75)</f>
        <v>1270</v>
      </c>
      <c r="JG75" s="20" t="n">
        <f aca="false">IF(AND(H_Direct=1,CG75&gt;0),MAX(0,JF75-(MIN(CG75*ALG74,JF75+MS75)-MIN(MIN(CG75*ALG74,JF75+MS75),MS75))),JF75)</f>
        <v>1270</v>
      </c>
      <c r="JH75" s="20" t="n">
        <f aca="false">IF(AND(H_Direct=1,CH75&gt;0),MAX(0,JG75-(MIN(CH75*ALH74,JG75+MT75)-MIN(MIN(CH75*ALH74,JG75+MT75),MT75))),JG75)</f>
        <v>1270</v>
      </c>
      <c r="JI75" s="20" t="n">
        <f aca="false">IF(AND(H_Direct=1,CI75&gt;0),MAX(0,JH75-(MIN(CI75*ALI74,JH75+MU75)-MIN(MIN(CI75*ALI74,JH75+MU75),MU75))),JH75)</f>
        <v>1270</v>
      </c>
      <c r="JJ75" s="20" t="n">
        <f aca="false">IF(AND(H_Direct=1,CJ75&gt;0),MAX(0,JI75-(MIN(CJ75*ALJ74,JI75+MV75)-MIN(MIN(CJ75*ALJ74,JI75+MV75),MV75))),JI75)</f>
        <v>1270</v>
      </c>
      <c r="JK75" s="20" t="n">
        <f aca="false">IF(AND(H_Direct=1,CK75&gt;0),MAX(0,JJ75-(MIN(CK75*ALK74,JJ75+MW75)-MIN(MIN(CK75*ALK74,JJ75+MW75),MW75))),JJ75)</f>
        <v>1270</v>
      </c>
      <c r="JL75" s="20" t="n">
        <f aca="false">IF(AND(H_Direct=1,CL75&gt;0),MAX(0,JK75-(MIN(CL75*ALL74,JK75+MX75)-MIN(MIN(CL75*ALL74,JK75+MX75),MX75))),JK75)</f>
        <v>1270</v>
      </c>
      <c r="JM75" s="20" t="n">
        <f aca="false">IF(AND(H_Direct=1,CM75&gt;0),MAX(0,JL75-(MIN(CM75*ALM74,JL75+MY75)-MIN(MIN(CM75*ALM74,JL75+MY75),MY75))),JL75)</f>
        <v>1270</v>
      </c>
      <c r="JN75" s="20" t="n">
        <f aca="false">IF(AND(H_Direct=1,CN75&gt;0),MAX(0,JM75-(MIN(CN75*ALN74,JM75+MZ75)-MIN(MIN(CN75*ALN74,JM75+MZ75),MZ75))),JM75)</f>
        <v>1270</v>
      </c>
      <c r="JO75" s="20" t="n">
        <f aca="false">IF(AND(H_Direct=1,CO75&gt;0),MAX(0,JN75-(MIN(CO75*ALO74,JN75+NA75)-MIN(MIN(CO75*ALO74,JN75+NA75),NA75))),JN75)</f>
        <v>1270</v>
      </c>
      <c r="JP75" s="20" t="n">
        <f aca="false">IF(AND(H_Direct=1,CP75&gt;0),MAX(0,JO75-(MIN(CP75*ALP74,JO75+NB75)-MIN(MIN(CP75*ALP74,JO75+NB75),NB75))),JO75)</f>
        <v>1270</v>
      </c>
      <c r="JQ75" s="20" t="n">
        <f aca="false">IF(AND(H_Direct=1,CQ75&gt;0),MAX(0,JP75-(MIN(CQ75*ALQ74,JP75+NC75)-MIN(MIN(CQ75*ALQ74,JP75+NC75),NC75))),JP75)</f>
        <v>1270</v>
      </c>
      <c r="JR75" s="20" t="n">
        <f aca="false">IF(AND(H_Direct=1,CR75&gt;0),MAX(0,JQ75-(MIN(CR75*ALR74,JQ75+ND75)-MIN(MIN(CR75*ALR74,JQ75+ND75),ND75))),JQ75)</f>
        <v>1270</v>
      </c>
      <c r="JS75" s="20" t="n">
        <f aca="false">IF(AND(H_Direct=1,CS75&gt;0),MAX(0,JR75-(MIN(CS75*ALS74,JR75+NE75)-MIN(MIN(CS75*ALS74,JR75+NE75),NE75))),JR75)</f>
        <v>1270</v>
      </c>
      <c r="JT75" s="20" t="n">
        <f aca="false">IF(AND(H_Direct=1,CT75&gt;0),MAX(0,JS75-(MIN(CT75*ALT74,JS75+NF75)-MIN(MIN(CT75*ALT74,JS75+NF75),NF75))),JS75)</f>
        <v>1270</v>
      </c>
      <c r="JU75" s="20" t="n">
        <f aca="false">IF(AND(H_Direct=1,CU75&gt;0),MAX(0,JT75-(MIN(CU75*ALU74,JT75+NG75)-MIN(MIN(CU75*ALU74,JT75+NG75),NG75))),JT75)</f>
        <v>1270</v>
      </c>
      <c r="JV75" s="20" t="n">
        <f aca="false">IF(AND(H_Direct=1,CV75&gt;0),MAX(0,JU75-(MIN(CV75*ALV74,JU75+NH75)-MIN(MIN(CV75*ALV74,JU75+NH75),NH75))),JU75)</f>
        <v>1270</v>
      </c>
      <c r="JW75" s="20" t="n">
        <f aca="false">IF(AND(H_Direct=1,CW75&gt;0),MAX(0,JV75-(MIN(CW75*ALW74,JV75+NI75)-MIN(MIN(CW75*ALW74,JV75+NI75),NI75))),JV75)</f>
        <v>1270</v>
      </c>
      <c r="JX75" s="20" t="n">
        <f aca="false">IF(AND(H_Direct=1,CX75&gt;0),MAX(0,JW75-(MIN(CX75*ALX74,JW75+NJ75)-MIN(MIN(CX75*ALX74,JW75+NJ75),NJ75))),JW75)</f>
        <v>1270</v>
      </c>
      <c r="JY75" s="20" t="n">
        <f aca="false">IF(AND(H_Direct=1,CY75&gt;0),MAX(0,JX75-(MIN(CY75*ALY74,JX75+NK75)-MIN(MIN(CY75*ALY74,JX75+NK75),NK75))),JX75)</f>
        <v>1270</v>
      </c>
      <c r="JZ75" s="20" t="n">
        <f aca="false">IF(AND(H_Direct=1,CZ75&gt;0),MAX(0,JY75-(MIN(CZ75*ALZ74,JY75+NL75)-MIN(MIN(CZ75*ALZ74,JY75+NL75),NL75))),JY75)</f>
        <v>1270</v>
      </c>
      <c r="KA75" s="20" t="n">
        <f aca="false">IF(AND(H_Direct=1,DA75&gt;0),MAX(0,JZ75-(MIN(DA75*AMA74,JZ75+NM75)-MIN(MIN(DA75*AMA74,JZ75+NM75),NM75))),JZ75)</f>
        <v>1270</v>
      </c>
      <c r="KB75" s="20" t="n">
        <f aca="false">IF(AND(H_Direct=1,DB75&gt;0),MAX(0,KA75-(MIN(DB75*AMB74,KA75+NN75)-MIN(MIN(DB75*AMB74,KA75+NN75),NN75))),KA75)</f>
        <v>1270</v>
      </c>
      <c r="KC75" s="20" t="n">
        <f aca="false">IF(AND(H_Direct=1,DC75&gt;0),MAX(0,KB75-(MIN(DC75*AMC74,KB75+NO75)-MIN(MIN(DC75*AMC74,KB75+NO75),NO75))),KB75)</f>
        <v>1270</v>
      </c>
      <c r="KD75" s="20" t="n">
        <f aca="false">IF(AND(H_Direct=1,DD75&gt;0),MAX(0,KC75-(MIN(DD75*AMD74,KC75+NP75)-MIN(MIN(DD75*AMD74,KC75+NP75),NP75))),KC75)</f>
        <v>1270</v>
      </c>
      <c r="KE75" s="20" t="n">
        <f aca="false">IF(AND(H_Direct=1,DE75&gt;0),MAX(0,KD75-(MIN(DE75*AME74,KD75+NQ75)-MIN(MIN(DE75*AME74,KD75+NQ75),NQ75))),KD75)</f>
        <v>1270</v>
      </c>
      <c r="KF75" s="20" t="n">
        <f aca="false">IF(AND(H_Direct=1,DF75&gt;0),MAX(0,KE75-(MIN(DF75*AMF74,KE75+NR75)-MIN(MIN(DF75*AMF74,KE75+NR75),NR75))),KE75)</f>
        <v>1270</v>
      </c>
      <c r="KG75" s="20" t="n">
        <f aca="false">IF(AND(H_Direct=1,DG75&gt;0),MAX(0,KF75-(MIN(DG75*AMG74,KF75+NS75)-MIN(MIN(DG75*AMG74,KF75+NS75),NS75))),KF75)</f>
        <v>1270</v>
      </c>
      <c r="KH75" s="20" t="n">
        <f aca="false">IF(AND(H_Direct=1,DH75&gt;0),MAX(0,KG75-(MIN(DH75*AMH74,KG75+NT75)-MIN(MIN(DH75*AMH74,KG75+NT75),NT75))),KG75)</f>
        <v>1270</v>
      </c>
      <c r="KI75" s="20" t="n">
        <f aca="false">IF(AND(H_Direct=1,DI75&gt;0),MAX(0,KH75-(MIN(DI75*AMI74,KH75+NU75)-MIN(MIN(DI75*AMI74,KH75+NU75),NU75))),KH75)</f>
        <v>1270</v>
      </c>
      <c r="KJ75" s="20" t="n">
        <f aca="false">IF(AND(H_Direct=1,DJ75&gt;0),MAX(0,KI75-(MIN(DJ75*AMJ74,KI75+NV75)-MIN(MIN(DJ75*AMJ74,KI75+NV75),NV75))),KI75)</f>
        <v>1270</v>
      </c>
      <c r="KK75" s="20" t="n">
        <f aca="false">IF(AND(H_Direct=1,DK75&gt;0),MAX(0,KJ75-(MIN(DK75*AMK74,KJ75+NW75)-MIN(MIN(DK75*AMK74,KJ75+NW75),NW75))),KJ75)</f>
        <v>1270</v>
      </c>
      <c r="KL75" s="20" t="n">
        <f aca="false">IF(AND(H_Direct=1,DL75&gt;0),MAX(0,KK75-(MIN(DL75*AML74,KK75+NX75)-MIN(MIN(DL75*AML74,KK75+NX75),NX75))),KK75)</f>
        <v>1270</v>
      </c>
      <c r="KM75" s="20" t="n">
        <f aca="false">IF(AND(H_Direct=1,DM75&gt;0),MAX(0,KL75-(MIN(DM75*AMM74,KL75+NY75)-MIN(MIN(DM75*AMM74,KL75+NY75),NY75))),KL75)</f>
        <v>1270</v>
      </c>
      <c r="KN75" s="20" t="n">
        <f aca="false">IF(AND(H_Direct=1,DN75&gt;0),MAX(0,KM75-(MIN(DN75*AMN74,KM75+NZ75)-MIN(MIN(DN75*AMN74,KM75+NZ75),NZ75))),KM75)</f>
        <v>1270</v>
      </c>
      <c r="KO75" s="20" t="n">
        <f aca="false">IF(AND(H_Direct=1,DO75&gt;0),MAX(0,KN75-(MIN(DO75*AMO74,KN75+OA75)-MIN(MIN(DO75*AMO74,KN75+OA75),OA75))),KN75)</f>
        <v>1270</v>
      </c>
      <c r="KP75" s="20" t="n">
        <f aca="false">IF(AND(H_Direct=1,DP75&gt;0),MAX(0,KO75-(MIN(DP75*AMP74,KO75+OB75)-MIN(MIN(DP75*AMP74,KO75+OB75),OB75))),KO75)</f>
        <v>1270</v>
      </c>
      <c r="KQ75" s="20" t="n">
        <f aca="false">IF(AND(H_Direct=1,DQ75&gt;0),MAX(0,KP75-(MIN(DQ75*AMQ74,KP75+OC75)-MIN(MIN(DQ75*AMQ74,KP75+OC75),OC75))),KP75)</f>
        <v>1270</v>
      </c>
      <c r="KR75" s="20" t="n">
        <f aca="false">IF(AND(H_Direct=1,DR75&gt;0),MAX(0,KQ75-(MIN(DR75*AMR74,KQ75+OD75)-MIN(MIN(DR75*AMR74,KQ75+OD75),OD75))),KQ75)</f>
        <v>1270</v>
      </c>
      <c r="KS75" s="20" t="n">
        <f aca="false">IF(AND(H_Direct=1,DS75&gt;0),MAX(0,KR75-(MIN(DS75*AMS74,KR75+OE75)-MIN(MIN(DS75*AMS74,KR75+OE75),OE75))),KR75)</f>
        <v>1270</v>
      </c>
      <c r="KT75" s="20" t="n">
        <f aca="false">IF(AND(H_Direct=1,DT75&gt;0),MAX(0,KS75-(MIN(DT75*AMT74,KS75+OF75)-MIN(MIN(DT75*AMT74,KS75+OF75),OF75))),KS75)</f>
        <v>1270</v>
      </c>
      <c r="KU75" s="20" t="n">
        <f aca="false">IF(AND(H_Direct=1,DU75&gt;0),MAX(0,KT75-(MIN(DU75*AMU74,KT75+OG75)-MIN(MIN(DU75*AMU74,KT75+OG75),OG75))),KT75)</f>
        <v>1270</v>
      </c>
      <c r="KV75" s="20" t="n">
        <f aca="false">IF(AND(H_Direct=1,DV75&gt;0),MAX(0,KU75-(MIN(DV75*AMV74,KU75+OH75)-MIN(MIN(DV75*AMV74,KU75+OH75),OH75))),KU75)</f>
        <v>1270</v>
      </c>
      <c r="KW75" s="20" t="n">
        <f aca="false">IF(AND(H_Direct=1,DW75&gt;0),MAX(0,KV75-(MIN(DW75*AMW74,KV75+OI75)-MIN(MIN(DW75*AMW74,KV75+OI75),OI75))),KV75)</f>
        <v>1270</v>
      </c>
      <c r="KX75" s="20" t="n">
        <f aca="false">IF(AND(H_Direct=1,DX75&gt;0),MAX(0,KW75-(MIN(DX75*AMX74,KW75+OJ75)-MIN(MIN(DX75*AMX74,KW75+OJ75),OJ75))),KW75)</f>
        <v>1270</v>
      </c>
      <c r="KY75" s="20" t="n">
        <f aca="false">IF(AND(H_Direct=1,DY75&gt;0),MAX(0,KX75-(MIN(DY75*AMY74,KX75+OK75)-MIN(MIN(DY75*AMY74,KX75+OK75),OK75))),KX75)</f>
        <v>1270</v>
      </c>
      <c r="KZ75" s="20" t="n">
        <f aca="false">IF(AND(H_Direct=1,DZ75&gt;0),MAX(0,KY75-(MIN(DZ75*AMZ74,KY75+OL75)-MIN(MIN(DZ75*AMZ74,KY75+OL75),OL75))),KY75)</f>
        <v>1270</v>
      </c>
      <c r="LA75" s="20" t="n">
        <f aca="false">IF(AND(H_Direct=1,EA75&gt;0),MAX(0,KZ75-(MIN(EA75*ANA74,KZ75+OM75)-MIN(MIN(EA75*ANA74,KZ75+OM75),OM75))),KZ75)</f>
        <v>1270</v>
      </c>
      <c r="LB75" s="20" t="n">
        <f aca="false">IF(AND(H_Direct=1,EB75&gt;0),MAX(0,LA75-(MIN(EB75*ANB74,LA75+ON75)-MIN(MIN(EB75*ANB74,LA75+ON75),ON75))),LA75)</f>
        <v>1270</v>
      </c>
      <c r="LC75" s="20" t="n">
        <f aca="false">IF(AND(H_Direct=1,EC75&gt;0),MAX(0,LB75-(MIN(EC75*ANC74,LB75+OO75)-MIN(MIN(EC75*ANC74,LB75+OO75),OO75))),LB75)</f>
        <v>1270</v>
      </c>
      <c r="LD75" s="20" t="n">
        <f aca="false">IF(AND(H_Direct=1,ED75&gt;0),MAX(0,LC75-(MIN(ED75*AND74,LC75+OP75)-MIN(MIN(ED75*AND74,LC75+OP75),OP75))),LC75)</f>
        <v>1270</v>
      </c>
      <c r="LE75" s="20" t="n">
        <f aca="false">IF(AND(H_Direct=1,EE75&gt;0),MAX(0,LD75-(MIN(EE75*ANE74,LD75+OQ75)-MIN(MIN(EE75*ANE74,LD75+OQ75),OQ75))),LD75)</f>
        <v>1270</v>
      </c>
      <c r="LF75" s="20" t="n">
        <f aca="false">IF(AND(H_Direct=1,EF75&gt;0),MAX(0,LE75-(MIN(EF75*ANF74,LE75+OR75)-MIN(MIN(EF75*ANF74,LE75+OR75),OR75))),LE75)</f>
        <v>1270</v>
      </c>
      <c r="LG75" s="20" t="n">
        <f aca="false">IF(AND(H_Direct=1,EG75&gt;0),MAX(0,LF75-(MIN(EG75*ANG74,LF75+OS75)-MIN(MIN(EG75*ANG74,LF75+OS75),OS75))),LF75)</f>
        <v>1270</v>
      </c>
      <c r="LH75" s="20" t="n">
        <f aca="false">IF(AND(H_Direct=1,EH75&gt;0),MAX(0,LG75-(MIN(EH75*(P75+S75),LG75+OT75)-MIN(MIN(EH75*(P75+S75),LG75+OT75),OT75))),LG75)</f>
        <v>1270</v>
      </c>
      <c r="LI75" s="20" t="n">
        <f aca="false">LH75</f>
        <v>1270</v>
      </c>
      <c r="LJ75" s="20" t="n">
        <f aca="false">LI75</f>
        <v>1270</v>
      </c>
      <c r="LK75" s="20" t="n">
        <f aca="false">LJ75</f>
        <v>1270</v>
      </c>
      <c r="LL75" s="20" t="n">
        <f aca="false">LK75</f>
        <v>1270</v>
      </c>
      <c r="LM75" s="20" t="n">
        <f aca="false">LL75</f>
        <v>1270</v>
      </c>
      <c r="LN75" s="20" t="n">
        <f aca="false">LM75</f>
        <v>1270</v>
      </c>
      <c r="LO75" s="20" t="n">
        <f aca="false">LN75</f>
        <v>1270</v>
      </c>
      <c r="LP75" s="20" t="n">
        <f aca="false">LO75</f>
        <v>1270</v>
      </c>
      <c r="LQ75" s="20" t="n">
        <f aca="false">LP75</f>
        <v>1270</v>
      </c>
      <c r="LR75" s="20" t="n">
        <f aca="false">LQ75</f>
        <v>1270</v>
      </c>
      <c r="LS75" s="20" t="n">
        <f aca="false">LR75</f>
        <v>1270</v>
      </c>
      <c r="LT75" s="20" t="n">
        <f aca="false">LS75</f>
        <v>1270</v>
      </c>
      <c r="LU75" s="20" t="n">
        <f aca="false">LT75</f>
        <v>1270</v>
      </c>
      <c r="LV75" s="20" t="n">
        <f aca="false">LU75</f>
        <v>1270</v>
      </c>
      <c r="LW75" s="20" t="n">
        <f aca="false">LV75</f>
        <v>1270</v>
      </c>
      <c r="LX75" s="20" t="n">
        <f aca="false">LW75</f>
        <v>1270</v>
      </c>
      <c r="LY75" s="20" t="n">
        <f aca="false">LX75</f>
        <v>1270</v>
      </c>
      <c r="LZ75" s="20" t="n">
        <f aca="false">LY75</f>
        <v>1270</v>
      </c>
      <c r="MA75" s="20" t="n">
        <f aca="false">LZ75</f>
        <v>1270</v>
      </c>
      <c r="MB75" s="20" t="n">
        <f aca="false">MA75</f>
        <v>1270</v>
      </c>
      <c r="MC75" s="20" t="n">
        <f aca="false">MB75</f>
        <v>1270</v>
      </c>
      <c r="MD75" s="20" t="n">
        <f aca="false">MC75</f>
        <v>1270</v>
      </c>
      <c r="ME75" s="20" t="n">
        <f aca="false">IF(H_Direct=1,IF(BR75&lt;=0,I75-BR75*AKR74,I75-MIN(MIN(BR75*AKR74,H75+I75),I75)),I75)</f>
        <v>0</v>
      </c>
      <c r="MF75" s="20" t="n">
        <f aca="false">IF(H_Direct=1,IF(BS75&lt;=0,ME75-BS75*AKS74,ME75-MIN(MIN(BS75*AKS74,IR75+ME75),ME75)),ME75)</f>
        <v>0</v>
      </c>
      <c r="MG75" s="20" t="n">
        <f aca="false">IF(H_Direct=1,IF(BT75&lt;=0,MF75-BT75*AKT74,MF75-MIN(MIN(BT75*AKT74,IS75+MF75),MF75)),MF75)</f>
        <v>0</v>
      </c>
      <c r="MH75" s="20" t="n">
        <f aca="false">IF(H_Direct=1,IF(BU75&lt;=0,MG75-BU75*AKU74,MG75-MIN(MIN(BU75*AKU74,IT75+MG75),MG75)),MG75)</f>
        <v>0</v>
      </c>
      <c r="MI75" s="20" t="n">
        <f aca="false">IF(H_Direct=1,IF(BV75&lt;=0,MH75-BV75*AKV74,MH75-MIN(MIN(BV75*AKV74,IU75+MH75),MH75)),MH75)</f>
        <v>0</v>
      </c>
      <c r="MJ75" s="20" t="n">
        <f aca="false">IF(H_Direct=1,IF(BW75&lt;=0,MI75-BW75*AKW74,MI75-MIN(MIN(BW75*AKW74,IV75+MI75),MI75)),MI75)</f>
        <v>0</v>
      </c>
      <c r="MK75" s="20" t="n">
        <f aca="false">IF(H_Direct=1,IF(BX75&lt;=0,MJ75-BX75*AKX74,MJ75-MIN(MIN(BX75*AKX74,IW75+MJ75),MJ75)),MJ75)</f>
        <v>0</v>
      </c>
      <c r="ML75" s="20" t="n">
        <f aca="false">IF(H_Direct=1,IF(BY75&lt;=0,MK75-BY75*AKY74,MK75-MIN(MIN(BY75*AKY74,IX75+MK75),MK75)),MK75)</f>
        <v>0</v>
      </c>
      <c r="MM75" s="20" t="n">
        <f aca="false">IF(H_Direct=1,IF(BZ75&lt;=0,ML75-BZ75*AKZ74,ML75-MIN(MIN(BZ75*AKZ74,IY75+ML75),ML75)),ML75)</f>
        <v>0</v>
      </c>
      <c r="MN75" s="20" t="n">
        <f aca="false">IF(H_Direct=1,IF(CA75&lt;=0,MM75-CA75*ALA74,MM75-MIN(MIN(CA75*ALA74,IZ75+MM75),MM75)),MM75)</f>
        <v>0</v>
      </c>
      <c r="MO75" s="20" t="n">
        <f aca="false">IF(H_Direct=1,IF(CB75&lt;=0,MN75-CB75*ALB74,MN75-MIN(MIN(CB75*ALB74,JA75+MN75),MN75)),MN75)</f>
        <v>0</v>
      </c>
      <c r="MP75" s="20" t="n">
        <f aca="false">IF(H_Direct=1,IF(CC75&lt;=0,MO75-CC75*ALC74,MO75-MIN(MIN(CC75*ALC74,JB75+MO75),MO75)),MO75)</f>
        <v>0</v>
      </c>
      <c r="MQ75" s="20" t="n">
        <f aca="false">IF(H_Direct=1,IF(CD75&lt;=0,MP75-CD75*ALD74,MP75-MIN(MIN(CD75*ALD74,JC75+MP75),MP75)),MP75)</f>
        <v>0</v>
      </c>
      <c r="MR75" s="20" t="n">
        <f aca="false">IF(H_Direct=1,IF(CE75&lt;=0,MQ75-CE75*ALE74,MQ75-MIN(MIN(CE75*ALE74,JD75+MQ75),MQ75)),MQ75)</f>
        <v>0</v>
      </c>
      <c r="MS75" s="20" t="n">
        <f aca="false">IF(H_Direct=1,IF(CF75&lt;=0,MR75-CF75*ALF74,MR75-MIN(MIN(CF75*ALF74,JE75+MR75),MR75)),MR75)</f>
        <v>0</v>
      </c>
      <c r="MT75" s="20" t="n">
        <f aca="false">IF(H_Direct=1,IF(CG75&lt;=0,MS75-CG75*ALG74,MS75-MIN(MIN(CG75*ALG74,JF75+MS75),MS75)),MS75)</f>
        <v>0</v>
      </c>
      <c r="MU75" s="20" t="n">
        <f aca="false">IF(H_Direct=1,IF(CH75&lt;=0,MT75-CH75*ALH74,MT75-MIN(MIN(CH75*ALH74,JG75+MT75),MT75)),MT75)</f>
        <v>0</v>
      </c>
      <c r="MV75" s="20" t="n">
        <f aca="false">IF(H_Direct=1,IF(CI75&lt;=0,MU75-CI75*ALI74,MU75-MIN(MIN(CI75*ALI74,JH75+MU75),MU75)),MU75)</f>
        <v>0</v>
      </c>
      <c r="MW75" s="20" t="n">
        <f aca="false">IF(H_Direct=1,IF(CJ75&lt;=0,MV75-CJ75*ALJ74,MV75-MIN(MIN(CJ75*ALJ74,JI75+MV75),MV75)),MV75)</f>
        <v>0</v>
      </c>
      <c r="MX75" s="20" t="n">
        <f aca="false">IF(H_Direct=1,IF(CK75&lt;=0,MW75-CK75*ALK74,MW75-MIN(MIN(CK75*ALK74,JJ75+MW75),MW75)),MW75)</f>
        <v>0</v>
      </c>
      <c r="MY75" s="20" t="n">
        <f aca="false">IF(H_Direct=1,IF(CL75&lt;=0,MX75-CL75*ALL74,MX75-MIN(MIN(CL75*ALL74,JK75+MX75),MX75)),MX75)</f>
        <v>0</v>
      </c>
      <c r="MZ75" s="20" t="n">
        <f aca="false">IF(H_Direct=1,IF(CM75&lt;=0,MY75-CM75*ALM74,MY75-MIN(MIN(CM75*ALM74,JL75+MY75),MY75)),MY75)</f>
        <v>0</v>
      </c>
      <c r="NA75" s="20" t="n">
        <f aca="false">IF(H_Direct=1,IF(CN75&lt;=0,MZ75-CN75*ALN74,MZ75-MIN(MIN(CN75*ALN74,JM75+MZ75),MZ75)),MZ75)</f>
        <v>0</v>
      </c>
      <c r="NB75" s="20" t="n">
        <f aca="false">IF(H_Direct=1,IF(CO75&lt;=0,NA75-CO75*ALO74,NA75-MIN(MIN(CO75*ALO74,JN75+NA75),NA75)),NA75)</f>
        <v>0</v>
      </c>
      <c r="NC75" s="20" t="n">
        <f aca="false">IF(H_Direct=1,IF(CP75&lt;=0,NB75-CP75*ALP74,NB75-MIN(MIN(CP75*ALP74,JO75+NB75),NB75)),NB75)</f>
        <v>0</v>
      </c>
      <c r="ND75" s="20" t="n">
        <f aca="false">IF(H_Direct=1,IF(CQ75&lt;=0,NC75-CQ75*ALQ74,NC75-MIN(MIN(CQ75*ALQ74,JP75+NC75),NC75)),NC75)</f>
        <v>0</v>
      </c>
      <c r="NE75" s="20" t="n">
        <f aca="false">IF(H_Direct=1,IF(CR75&lt;=0,ND75-CR75*ALR74,ND75-MIN(MIN(CR75*ALR74,JQ75+ND75),ND75)),ND75)</f>
        <v>0</v>
      </c>
      <c r="NF75" s="20" t="n">
        <f aca="false">IF(H_Direct=1,IF(CS75&lt;=0,NE75-CS75*ALS74,NE75-MIN(MIN(CS75*ALS74,JR75+NE75),NE75)),NE75)</f>
        <v>0</v>
      </c>
      <c r="NG75" s="20" t="n">
        <f aca="false">IF(H_Direct=1,IF(CT75&lt;=0,NF75-CT75*ALT74,NF75-MIN(MIN(CT75*ALT74,JS75+NF75),NF75)),NF75)</f>
        <v>0</v>
      </c>
      <c r="NH75" s="20" t="n">
        <f aca="false">IF(H_Direct=1,IF(CU75&lt;=0,NG75-CU75*ALU74,NG75-MIN(MIN(CU75*ALU74,JT75+NG75),NG75)),NG75)</f>
        <v>0</v>
      </c>
      <c r="NI75" s="20" t="n">
        <f aca="false">IF(H_Direct=1,IF(CV75&lt;=0,NH75-CV75*ALV74,NH75-MIN(MIN(CV75*ALV74,JU75+NH75),NH75)),NH75)</f>
        <v>0</v>
      </c>
      <c r="NJ75" s="20" t="n">
        <f aca="false">IF(H_Direct=1,IF(CW75&lt;=0,NI75-CW75*ALW74,NI75-MIN(MIN(CW75*ALW74,JV75+NI75),NI75)),NI75)</f>
        <v>0</v>
      </c>
      <c r="NK75" s="20" t="n">
        <f aca="false">IF(H_Direct=1,IF(CX75&lt;=0,NJ75-CX75*ALX74,NJ75-MIN(MIN(CX75*ALX74,JW75+NJ75),NJ75)),NJ75)</f>
        <v>0</v>
      </c>
      <c r="NL75" s="20" t="n">
        <f aca="false">IF(H_Direct=1,IF(CY75&lt;=0,NK75-CY75*ALY74,NK75-MIN(MIN(CY75*ALY74,JX75+NK75),NK75)),NK75)</f>
        <v>0</v>
      </c>
      <c r="NM75" s="20" t="n">
        <f aca="false">IF(H_Direct=1,IF(CZ75&lt;=0,NL75-CZ75*ALZ74,NL75-MIN(MIN(CZ75*ALZ74,JY75+NL75),NL75)),NL75)</f>
        <v>0</v>
      </c>
      <c r="NN75" s="20" t="n">
        <f aca="false">IF(H_Direct=1,IF(DA75&lt;=0,NM75-DA75*AMA74,NM75-MIN(MIN(DA75*AMA74,JZ75+NM75),NM75)),NM75)</f>
        <v>0</v>
      </c>
      <c r="NO75" s="20" t="n">
        <f aca="false">IF(H_Direct=1,IF(DB75&lt;=0,NN75-DB75*AMB74,NN75-MIN(MIN(DB75*AMB74,KA75+NN75),NN75)),NN75)</f>
        <v>0</v>
      </c>
      <c r="NP75" s="20" t="n">
        <f aca="false">IF(H_Direct=1,IF(DC75&lt;=0,NO75-DC75*AMC74,NO75-MIN(MIN(DC75*AMC74,KB75+NO75),NO75)),NO75)</f>
        <v>0</v>
      </c>
      <c r="NQ75" s="20" t="n">
        <f aca="false">IF(H_Direct=1,IF(DD75&lt;=0,NP75-DD75*AMD74,NP75-MIN(MIN(DD75*AMD74,KC75+NP75),NP75)),NP75)</f>
        <v>0</v>
      </c>
      <c r="NR75" s="20" t="n">
        <f aca="false">IF(H_Direct=1,IF(DE75&lt;=0,NQ75-DE75*AME74,NQ75-MIN(MIN(DE75*AME74,KD75+NQ75),NQ75)),NQ75)</f>
        <v>0</v>
      </c>
      <c r="NS75" s="20" t="n">
        <f aca="false">IF(H_Direct=1,IF(DF75&lt;=0,NR75-DF75*AMF74,NR75-MIN(MIN(DF75*AMF74,KE75+NR75),NR75)),NR75)</f>
        <v>0</v>
      </c>
      <c r="NT75" s="20" t="n">
        <f aca="false">IF(H_Direct=1,IF(DG75&lt;=0,NS75-DG75*AMG74,NS75-MIN(MIN(DG75*AMG74,KF75+NS75),NS75)),NS75)</f>
        <v>0</v>
      </c>
      <c r="NU75" s="20" t="n">
        <f aca="false">IF(H_Direct=1,IF(DH75&lt;=0,NT75-DH75*AMH74,NT75-MIN(MIN(DH75*AMH74,KG75+NT75),NT75)),NT75)</f>
        <v>0</v>
      </c>
      <c r="NV75" s="20" t="n">
        <f aca="false">IF(H_Direct=1,IF(DI75&lt;=0,NU75-DI75*AMI74,NU75-MIN(MIN(DI75*AMI74,KH75+NU75),NU75)),NU75)</f>
        <v>0</v>
      </c>
      <c r="NW75" s="20" t="n">
        <f aca="false">IF(H_Direct=1,IF(DJ75&lt;=0,NV75-DJ75*AMJ74,NV75-MIN(MIN(DJ75*AMJ74,KI75+NV75),NV75)),NV75)</f>
        <v>0</v>
      </c>
      <c r="NX75" s="20" t="n">
        <f aca="false">IF(H_Direct=1,IF(DK75&lt;=0,NW75-DK75*AMK74,NW75-MIN(MIN(DK75*AMK74,KJ75+NW75),NW75)),NW75)</f>
        <v>0</v>
      </c>
      <c r="NY75" s="20" t="n">
        <f aca="false">IF(H_Direct=1,IF(DL75&lt;=0,NX75-DL75*AML74,NX75-MIN(MIN(DL75*AML74,KK75+NX75),NX75)),NX75)</f>
        <v>0</v>
      </c>
      <c r="NZ75" s="20" t="n">
        <f aca="false">IF(H_Direct=1,IF(DM75&lt;=0,NY75-DM75*AMM74,NY75-MIN(MIN(DM75*AMM74,KL75+NY75),NY75)),NY75)</f>
        <v>0</v>
      </c>
      <c r="OA75" s="20" t="n">
        <f aca="false">IF(H_Direct=1,IF(DN75&lt;=0,NZ75-DN75*AMN74,NZ75-MIN(MIN(DN75*AMN74,KM75+NZ75),NZ75)),NZ75)</f>
        <v>0</v>
      </c>
      <c r="OB75" s="20" t="n">
        <f aca="false">IF(H_Direct=1,IF(DO75&lt;=0,OA75-DO75*AMO74,OA75-MIN(MIN(DO75*AMO74,KN75+OA75),OA75)),OA75)</f>
        <v>0</v>
      </c>
      <c r="OC75" s="20" t="n">
        <f aca="false">IF(H_Direct=1,IF(DP75&lt;=0,OB75-DP75*AMP74,OB75-MIN(MIN(DP75*AMP74,KO75+OB75),OB75)),OB75)</f>
        <v>0</v>
      </c>
      <c r="OD75" s="20" t="n">
        <f aca="false">IF(H_Direct=1,IF(DQ75&lt;=0,OC75-DQ75*AMQ74,OC75-MIN(MIN(DQ75*AMQ74,KP75+OC75),OC75)),OC75)</f>
        <v>0</v>
      </c>
      <c r="OE75" s="20" t="n">
        <f aca="false">IF(H_Direct=1,IF(DR75&lt;=0,OD75-DR75*AMR74,OD75-MIN(MIN(DR75*AMR74,KQ75+OD75),OD75)),OD75)</f>
        <v>0</v>
      </c>
      <c r="OF75" s="20" t="n">
        <f aca="false">IF(H_Direct=1,IF(DS75&lt;=0,OE75-DS75*AMS74,OE75-MIN(MIN(DS75*AMS74,KR75+OE75),OE75)),OE75)</f>
        <v>0</v>
      </c>
      <c r="OG75" s="20" t="n">
        <f aca="false">IF(H_Direct=1,IF(DT75&lt;=0,OF75-DT75*AMT74,OF75-MIN(MIN(DT75*AMT74,KS75+OF75),OF75)),OF75)</f>
        <v>0</v>
      </c>
      <c r="OH75" s="20" t="n">
        <f aca="false">IF(H_Direct=1,IF(DU75&lt;=0,OG75-DU75*AMU74,OG75-MIN(MIN(DU75*AMU74,KT75+OG75),OG75)),OG75)</f>
        <v>0</v>
      </c>
      <c r="OI75" s="20" t="n">
        <f aca="false">IF(H_Direct=1,IF(DV75&lt;=0,OH75-DV75*AMV74,OH75-MIN(MIN(DV75*AMV74,KU75+OH75),OH75)),OH75)</f>
        <v>0</v>
      </c>
      <c r="OJ75" s="20" t="n">
        <f aca="false">IF(H_Direct=1,IF(DW75&lt;=0,OI75-DW75*AMW74,OI75-MIN(MIN(DW75*AMW74,KV75+OI75),OI75)),OI75)</f>
        <v>0</v>
      </c>
      <c r="OK75" s="20" t="n">
        <f aca="false">IF(H_Direct=1,IF(DX75&lt;=0,OJ75-DX75*AMX74,OJ75-MIN(MIN(DX75*AMX74,KW75+OJ75),OJ75)),OJ75)</f>
        <v>0</v>
      </c>
      <c r="OL75" s="20" t="n">
        <f aca="false">IF(H_Direct=1,IF(DY75&lt;=0,OK75-DY75*AMY74,OK75-MIN(MIN(DY75*AMY74,KX75+OK75),OK75)),OK75)</f>
        <v>0</v>
      </c>
      <c r="OM75" s="20" t="n">
        <f aca="false">IF(H_Direct=1,IF(DZ75&lt;=0,OL75-DZ75*AMZ74,OL75-MIN(MIN(DZ75*AMZ74,KY75+OL75),OL75)),OL75)</f>
        <v>0</v>
      </c>
      <c r="ON75" s="20" t="n">
        <f aca="false">IF(H_Direct=1,IF(EA75&lt;=0,OM75-EA75*ANA74,OM75-MIN(MIN(EA75*ANA74,KZ75+OM75),OM75)),OM75)</f>
        <v>0</v>
      </c>
      <c r="OO75" s="20" t="n">
        <f aca="false">IF(H_Direct=1,IF(EB75&lt;=0,ON75-EB75*ANB74,ON75-MIN(MIN(EB75*ANB74,LA75+ON75),ON75)),ON75)</f>
        <v>0</v>
      </c>
      <c r="OP75" s="20" t="n">
        <f aca="false">IF(H_Direct=1,IF(EC75&lt;=0,OO75-EC75*ANC74,OO75-MIN(MIN(EC75*ANC74,LB75+OO75),OO75)),OO75)</f>
        <v>0</v>
      </c>
      <c r="OQ75" s="20" t="n">
        <f aca="false">IF(H_Direct=1,IF(ED75&lt;=0,OP75-ED75*AND74,OP75-MIN(MIN(ED75*AND74,LC75+OP75),OP75)),OP75)</f>
        <v>0</v>
      </c>
      <c r="OR75" s="20" t="n">
        <f aca="false">IF(H_Direct=1,IF(EE75&lt;=0,OQ75-EE75*ANE74,OQ75-MIN(MIN(EE75*ANE74,LD75+OQ75),OQ75)),OQ75)</f>
        <v>0</v>
      </c>
      <c r="OS75" s="20" t="n">
        <f aca="false">IF(H_Direct=1,IF(EF75&lt;=0,OR75-EF75*ANF74,OR75-MIN(MIN(EF75*ANF74,LE75+OR75),OR75)),OR75)</f>
        <v>0</v>
      </c>
      <c r="OT75" s="20" t="n">
        <f aca="false">IF(H_Direct=1,IF(EG75&lt;=0,OS75-EG75*ANG74,OS75-MIN(MIN(EG75*ANG74,LF75+OS75),OS75)),OS75)</f>
        <v>0</v>
      </c>
      <c r="OU75" s="20" t="n">
        <f aca="false">IF(H_Direct=1,IF(EH75&lt;=0,OT75-EH75*(P75+S75),OT75-MIN(MIN(EH75*(P75+S75),LG75+OT75),OT75)),OT75)</f>
        <v>0</v>
      </c>
      <c r="OV75" s="20" t="n">
        <f aca="false">OU75</f>
        <v>0</v>
      </c>
      <c r="OW75" s="20" t="n">
        <f aca="false">OV75</f>
        <v>0</v>
      </c>
      <c r="OX75" s="20" t="n">
        <f aca="false">OW75</f>
        <v>0</v>
      </c>
      <c r="OY75" s="20" t="n">
        <f aca="false">OX75</f>
        <v>0</v>
      </c>
      <c r="OZ75" s="20" t="n">
        <f aca="false">OY75</f>
        <v>0</v>
      </c>
      <c r="PA75" s="20" t="n">
        <f aca="false">OZ75</f>
        <v>0</v>
      </c>
      <c r="PB75" s="20" t="n">
        <f aca="false">PA75</f>
        <v>0</v>
      </c>
      <c r="PC75" s="20" t="n">
        <f aca="false">PB75</f>
        <v>0</v>
      </c>
      <c r="PD75" s="20" t="n">
        <f aca="false">PC75</f>
        <v>0</v>
      </c>
      <c r="PE75" s="20" t="n">
        <f aca="false">PD75</f>
        <v>0</v>
      </c>
      <c r="PF75" s="20" t="n">
        <f aca="false">PE75</f>
        <v>0</v>
      </c>
      <c r="PG75" s="20" t="n">
        <f aca="false">PF75</f>
        <v>0</v>
      </c>
      <c r="PH75" s="20" t="n">
        <f aca="false">PG75</f>
        <v>0</v>
      </c>
      <c r="PI75" s="20" t="n">
        <f aca="false">PH75</f>
        <v>0</v>
      </c>
      <c r="PJ75" s="20" t="n">
        <f aca="false">PI75</f>
        <v>0</v>
      </c>
      <c r="PK75" s="20" t="n">
        <f aca="false">PJ75</f>
        <v>0</v>
      </c>
      <c r="PL75" s="20" t="n">
        <f aca="false">PK75</f>
        <v>0</v>
      </c>
      <c r="PM75" s="20" t="n">
        <f aca="false">PL75</f>
        <v>0</v>
      </c>
      <c r="PN75" s="20" t="n">
        <f aca="false">PM75</f>
        <v>0</v>
      </c>
      <c r="PO75" s="20" t="n">
        <f aca="false">PN75</f>
        <v>0</v>
      </c>
      <c r="PP75" s="20" t="n">
        <f aca="false">PO75</f>
        <v>0</v>
      </c>
      <c r="PQ75" s="20" t="n">
        <f aca="false">PP75</f>
        <v>0</v>
      </c>
      <c r="PR75" s="20" t="n">
        <f aca="false">IF(H_Direct=1,IF(AKR74&lt;=0,0,IF(BR75&lt;=0,MIN(MAX(0,AB75),AKR74),MIN(MAX(0,AB75),AKR74-G75*MAX(0,BR75*AKR74-(H75+I75))))),MIN(FE75,MAX(0,AB75)))</f>
        <v>0</v>
      </c>
      <c r="PS75" s="20" t="n">
        <f aca="false">IF(H_Direct=1,IF(AKS74&lt;=0,0,IF(BS75&lt;=0,MIN(MAX(0,AB75-SUM(PR75:PR75)),AKS74),MIN(MAX(0,AB75-SUM(PR75:PR75)),AKS74-G75*MAX(0,BS75*AKS74-(WR75+AAE75))))),MIN(FF75,MAX(0,AB75-SUM(PR75:PR75))))</f>
        <v>0</v>
      </c>
      <c r="PT75" s="20" t="n">
        <f aca="false">IF(H_Direct=1,IF(AKT74&lt;=0,0,IF(BT75&lt;=0,MIN(MAX(0,AB75-SUM(PR75:PS75)),AKT74),MIN(MAX(0,AB75-SUM(PR75:PS75)),AKT74-G75*MAX(0,BT75*AKT74-(WS75+AAF75))))),MIN(FG75,MAX(0,AB75-SUM(PR75:PS75))))</f>
        <v>0</v>
      </c>
      <c r="PU75" s="20" t="n">
        <f aca="false">IF(H_Direct=1,IF(AKU74&lt;=0,0,IF(BU75&lt;=0,MIN(MAX(0,AB75-SUM(PR75:PT75)),AKU74),MIN(MAX(0,AB75-SUM(PR75:PT75)),AKU74-G75*MAX(0,BU75*AKU74-(WT75+AAG75))))),MIN(FH75,MAX(0,AB75-SUM(PR75:PT75))))</f>
        <v>0</v>
      </c>
      <c r="PV75" s="20" t="n">
        <f aca="false">IF(H_Direct=1,IF(AKV74&lt;=0,0,IF(BV75&lt;=0,MIN(MAX(0,AB75-SUM(PR75:PU75)),AKV74),MIN(MAX(0,AB75-SUM(PR75:PU75)),AKV74-G75*MAX(0,BV75*AKV74-(WU75+AAH75))))),MIN(FI75,MAX(0,AB75-SUM(PR75:PU75))))</f>
        <v>0</v>
      </c>
      <c r="PW75" s="20" t="n">
        <f aca="false">IF(H_Direct=1,IF(AKW74&lt;=0,0,IF(BW75&lt;=0,MIN(MAX(0,AB75-SUM(PR75:PV75)),AKW74),MIN(MAX(0,AB75-SUM(PR75:PV75)),AKW74-G75*MAX(0,BW75*AKW74-(WV75+AAI75))))),MIN(FJ75,MAX(0,AB75-SUM(PR75:PV75))))</f>
        <v>0</v>
      </c>
      <c r="PX75" s="20" t="n">
        <f aca="false">IF(H_Direct=1,IF(AKX74&lt;=0,0,IF(BX75&lt;=0,MIN(MAX(0,AB75-SUM(PR75:PW75)),AKX74),MIN(MAX(0,AB75-SUM(PR75:PW75)),AKX74-G75*MAX(0,BX75*AKX74-(WW75+AAJ75))))),MIN(FK75,MAX(0,AB75-SUM(PR75:PW75))))</f>
        <v>0</v>
      </c>
      <c r="PY75" s="20" t="n">
        <f aca="false">IF(H_Direct=1,IF(AKY74&lt;=0,0,IF(BY75&lt;=0,MIN(MAX(0,AB75-SUM(PR75:PX75)),AKY74),MIN(MAX(0,AB75-SUM(PR75:PX75)),AKY74-G75*MAX(0,BY75*AKY74-(WX75+AAK75))))),MIN(FL75,MAX(0,AB75-SUM(PR75:PX75))))</f>
        <v>0</v>
      </c>
      <c r="PZ75" s="20" t="n">
        <f aca="false">IF(H_Direct=1,IF(AKZ74&lt;=0,0,IF(BZ75&lt;=0,MIN(MAX(0,AB75-SUM(PR75:PY75)),AKZ74),MIN(MAX(0,AB75-SUM(PR75:PY75)),AKZ74-G75*MAX(0,BZ75*AKZ74-(WY75+AAL75))))),MIN(FM75,MAX(0,AB75-SUM(PR75:PY75))))</f>
        <v>0</v>
      </c>
      <c r="QA75" s="20" t="n">
        <f aca="false">IF(H_Direct=1,IF(ALA74&lt;=0,0,IF(CA75&lt;=0,MIN(MAX(0,AB75-SUM(PR75:PZ75)),ALA74),MIN(MAX(0,AB75-SUM(PR75:PZ75)),ALA74-G75*MAX(0,CA75*ALA74-(WZ75+AAM75))))),MIN(FN75,MAX(0,AB75-SUM(PR75:PZ75))))</f>
        <v>0</v>
      </c>
      <c r="QB75" s="20" t="n">
        <f aca="false">IF(H_Direct=1,IF(ALB74&lt;=0,0,IF(CB75&lt;=0,MIN(MAX(0,AB75-SUM(PR75:QA75)),ALB74),MIN(MAX(0,AB75-SUM(PR75:QA75)),ALB74-G75*MAX(0,CB75*ALB74-(XA75+AAN75))))),MIN(FO75,MAX(0,AB75-SUM(PR75:QA75))))</f>
        <v>0</v>
      </c>
      <c r="QC75" s="20" t="n">
        <f aca="false">IF(H_Direct=1,IF(ALC74&lt;=0,0,IF(CC75&lt;=0,MIN(MAX(0,AB75-SUM(PR75:QB75)),ALC74),MIN(MAX(0,AB75-SUM(PR75:QB75)),ALC74-G75*MAX(0,CC75*ALC74-(XB75+AAO75))))),MIN(FP75,MAX(0,AB75-SUM(PR75:QB75))))</f>
        <v>0</v>
      </c>
      <c r="QD75" s="20" t="n">
        <f aca="false">IF(H_Direct=1,IF(ALD74&lt;=0,0,IF(CD75&lt;=0,MIN(MAX(0,AB75-SUM(PR75:QC75)),ALD74),MIN(MAX(0,AB75-SUM(PR75:QC75)),ALD74-G75*MAX(0,CD75*ALD74-(XC75+AAP75))))),MIN(FQ75,MAX(0,AB75-SUM(PR75:QC75))))</f>
        <v>0</v>
      </c>
      <c r="QE75" s="20" t="n">
        <f aca="false">IF(H_Direct=1,IF(ALE74&lt;=0,0,IF(CE75&lt;=0,MIN(MAX(0,AB75-SUM(PR75:QD75)),ALE74),MIN(MAX(0,AB75-SUM(PR75:QD75)),ALE74-G75*MAX(0,CE75*ALE74-(XD75+AAQ75))))),MIN(FR75,MAX(0,AB75-SUM(PR75:QD75))))</f>
        <v>0</v>
      </c>
      <c r="QF75" s="20" t="n">
        <f aca="false">IF(H_Direct=1,IF(ALF74&lt;=0,0,IF(CF75&lt;=0,MIN(MAX(0,AB75-SUM(PR75:QE75)),ALF74),MIN(MAX(0,AB75-SUM(PR75:QE75)),ALF74-G75*MAX(0,CF75*ALF74-(XE75+AAR75))))),MIN(FS75,MAX(0,AB75-SUM(PR75:QE75))))</f>
        <v>0</v>
      </c>
      <c r="QG75" s="20" t="n">
        <f aca="false">IF(H_Direct=1,IF(ALG74&lt;=0,0,IF(CG75&lt;=0,MIN(MAX(0,AB75-SUM(PR75:QF75)),ALG74),MIN(MAX(0,AB75-SUM(PR75:QF75)),ALG74-G75*MAX(0,CG75*ALG74-(XF75+AAS75))))),MIN(FT75,MAX(0,AB75-SUM(PR75:QF75))))</f>
        <v>0</v>
      </c>
      <c r="QH75" s="20" t="n">
        <f aca="false">IF(H_Direct=1,IF(ALH74&lt;=0,0,IF(CH75&lt;=0,MIN(MAX(0,AB75-SUM(PR75:QG75)),ALH74),MIN(MAX(0,AB75-SUM(PR75:QG75)),ALH74-G75*MAX(0,CH75*ALH74-(XG75+AAT75))))),MIN(FU75,MAX(0,AB75-SUM(PR75:QG75))))</f>
        <v>0</v>
      </c>
      <c r="QI75" s="20" t="n">
        <f aca="false">IF(H_Direct=1,IF(ALI74&lt;=0,0,IF(CI75&lt;=0,MIN(MAX(0,AB75-SUM(PR75:QH75)),ALI74),MIN(MAX(0,AB75-SUM(PR75:QH75)),ALI74-G75*MAX(0,CI75*ALI74-(XH75+AAU75))))),MIN(FV75,MAX(0,AB75-SUM(PR75:QH75))))</f>
        <v>0</v>
      </c>
      <c r="QJ75" s="20" t="n">
        <f aca="false">IF(H_Direct=1,IF(ALJ74&lt;=0,0,IF(CJ75&lt;=0,MIN(MAX(0,AB75-SUM(PR75:QI75)),ALJ74),MIN(MAX(0,AB75-SUM(PR75:QI75)),ALJ74-G75*MAX(0,CJ75*ALJ74-(XI75+AAV75))))),MIN(FW75,MAX(0,AB75-SUM(PR75:QI75))))</f>
        <v>0</v>
      </c>
      <c r="QK75" s="20" t="n">
        <f aca="false">IF(H_Direct=1,IF(ALK74&lt;=0,0,IF(CK75&lt;=0,MIN(MAX(0,AB75-SUM(PR75:QJ75)),ALK74),MIN(MAX(0,AB75-SUM(PR75:QJ75)),ALK74-G75*MAX(0,CK75*ALK74-(XJ75+AAW75))))),MIN(FX75,MAX(0,AB75-SUM(PR75:QJ75))))</f>
        <v>0</v>
      </c>
      <c r="QL75" s="20" t="n">
        <f aca="false">IF(H_Direct=1,IF(ALL74&lt;=0,0,IF(CL75&lt;=0,MIN(MAX(0,AB75-SUM(PR75:QK75)),ALL74),MIN(MAX(0,AB75-SUM(PR75:QK75)),ALL74-G75*MAX(0,CL75*ALL74-(XK75+AAX75))))),MIN(FY75,MAX(0,AB75-SUM(PR75:QK75))))</f>
        <v>0</v>
      </c>
      <c r="QM75" s="20" t="n">
        <f aca="false">IF(H_Direct=1,IF(ALM74&lt;=0,0,IF(CM75&lt;=0,MIN(MAX(0,AB75-SUM(PR75:QL75)),ALM74),MIN(MAX(0,AB75-SUM(PR75:QL75)),ALM74-G75*MAX(0,CM75*ALM74-(XL75+AAY75))))),MIN(FZ75,MAX(0,AB75-SUM(PR75:QL75))))</f>
        <v>0</v>
      </c>
      <c r="QN75" s="20" t="n">
        <f aca="false">IF(H_Direct=1,IF(ALN74&lt;=0,0,IF(CN75&lt;=0,MIN(MAX(0,AB75-SUM(PR75:QM75)),ALN74),MIN(MAX(0,AB75-SUM(PR75:QM75)),ALN74-G75*MAX(0,CN75*ALN74-(XM75+AAZ75))))),MIN(GA75,MAX(0,AB75-SUM(PR75:QM75))))</f>
        <v>0</v>
      </c>
      <c r="QO75" s="20" t="n">
        <f aca="false">IF(H_Direct=1,IF(ALO74&lt;=0,0,IF(CO75&lt;=0,MIN(MAX(0,AB75-SUM(PR75:QN75)),ALO74),MIN(MAX(0,AB75-SUM(PR75:QN75)),ALO74-G75*MAX(0,CO75*ALO74-(XN75+ABA75))))),MIN(GB75,MAX(0,AB75-SUM(PR75:QN75))))</f>
        <v>0</v>
      </c>
      <c r="QP75" s="20" t="n">
        <f aca="false">IF(H_Direct=1,IF(ALP74&lt;=0,0,IF(CP75&lt;=0,MIN(MAX(0,AB75-SUM(PR75:QO75)),ALP74),MIN(MAX(0,AB75-SUM(PR75:QO75)),ALP74-G75*MAX(0,CP75*ALP74-(XO75+ABB75))))),MIN(GC75,MAX(0,AB75-SUM(PR75:QO75))))</f>
        <v>0</v>
      </c>
      <c r="QQ75" s="20" t="n">
        <f aca="false">IF(H_Direct=1,IF(ALQ74&lt;=0,0,IF(CQ75&lt;=0,MIN(MAX(0,AB75-SUM(PR75:QP75)),ALQ74),MIN(MAX(0,AB75-SUM(PR75:QP75)),ALQ74-G75*MAX(0,CQ75*ALQ74-(XP75+ABC75))))),MIN(GD75,MAX(0,AB75-SUM(PR75:QP75))))</f>
        <v>0</v>
      </c>
      <c r="QR75" s="20" t="n">
        <f aca="false">IF(H_Direct=1,IF(ALR74&lt;=0,0,IF(CR75&lt;=0,MIN(MAX(0,AB75-SUM(PR75:QQ75)),ALR74),MIN(MAX(0,AB75-SUM(PR75:QQ75)),ALR74-G75*MAX(0,CR75*ALR74-(XQ75+ABD75))))),MIN(GE75,MAX(0,AB75-SUM(PR75:QQ75))))</f>
        <v>0</v>
      </c>
      <c r="QS75" s="20" t="n">
        <f aca="false">IF(H_Direct=1,IF(ALS74&lt;=0,0,IF(CS75&lt;=0,MIN(MAX(0,AB75-SUM(PR75:QR75)),ALS74),MIN(MAX(0,AB75-SUM(PR75:QR75)),ALS74-G75*MAX(0,CS75*ALS74-(XR75+ABE75))))),MIN(GF75,MAX(0,AB75-SUM(PR75:QR75))))</f>
        <v>0</v>
      </c>
      <c r="QT75" s="20" t="n">
        <f aca="false">IF(H_Direct=1,IF(ALT74&lt;=0,0,IF(CT75&lt;=0,MIN(MAX(0,AB75-SUM(PR75:QS75)),ALT74),MIN(MAX(0,AB75-SUM(PR75:QS75)),ALT74-G75*MAX(0,CT75*ALT74-(XS75+ABF75))))),MIN(GG75,MAX(0,AB75-SUM(PR75:QS75))))</f>
        <v>0</v>
      </c>
      <c r="QU75" s="20" t="n">
        <f aca="false">IF(H_Direct=1,IF(ALU74&lt;=0,0,IF(CU75&lt;=0,MIN(MAX(0,AB75-SUM(PR75:QT75)),ALU74),MIN(MAX(0,AB75-SUM(PR75:QT75)),ALU74-G75*MAX(0,CU75*ALU74-(XT75+ABG75))))),MIN(GH75,MAX(0,AB75-SUM(PR75:QT75))))</f>
        <v>0</v>
      </c>
      <c r="QV75" s="20" t="n">
        <f aca="false">IF(H_Direct=1,IF(ALV74&lt;=0,0,IF(CV75&lt;=0,MIN(MAX(0,AB75-SUM(PR75:QU75)),ALV74),MIN(MAX(0,AB75-SUM(PR75:QU75)),ALV74-G75*MAX(0,CV75*ALV74-(XU75+ABH75))))),MIN(GI75,MAX(0,AB75-SUM(PR75:QU75))))</f>
        <v>0</v>
      </c>
      <c r="QW75" s="20" t="n">
        <f aca="false">IF(H_Direct=1,IF(ALW74&lt;=0,0,IF(CW75&lt;=0,MIN(MAX(0,AB75-SUM(PR75:QV75)),ALW74),MIN(MAX(0,AB75-SUM(PR75:QV75)),ALW74-G75*MAX(0,CW75*ALW74-(XV75+ABI75))))),MIN(GJ75,MAX(0,AB75-SUM(PR75:QV75))))</f>
        <v>0</v>
      </c>
      <c r="QX75" s="20" t="n">
        <f aca="false">IF(H_Direct=1,IF(ALX74&lt;=0,0,IF(CX75&lt;=0,MIN(MAX(0,AB75-SUM(PR75:QW75)),ALX74),MIN(MAX(0,AB75-SUM(PR75:QW75)),ALX74-G75*MAX(0,CX75*ALX74-(XW75+ABJ75))))),MIN(GK75,MAX(0,AB75-SUM(PR75:QW75))))</f>
        <v>0</v>
      </c>
      <c r="QY75" s="20" t="n">
        <f aca="false">IF(H_Direct=1,IF(ALY74&lt;=0,0,IF(CY75&lt;=0,MIN(MAX(0,AB75-SUM(PR75:QX75)),ALY74),MIN(MAX(0,AB75-SUM(PR75:QX75)),ALY74-G75*MAX(0,CY75*ALY74-(XX75+ABK75))))),MIN(GL75,MAX(0,AB75-SUM(PR75:QX75))))</f>
        <v>0</v>
      </c>
      <c r="QZ75" s="20" t="n">
        <f aca="false">IF(H_Direct=1,IF(ALZ74&lt;=0,0,IF(CZ75&lt;=0,MIN(MAX(0,AB75-SUM(PR75:QY75)),ALZ74),MIN(MAX(0,AB75-SUM(PR75:QY75)),ALZ74-G75*MAX(0,CZ75*ALZ74-(XY75+ABL75))))),MIN(GM75,MAX(0,AB75-SUM(PR75:QY75))))</f>
        <v>0</v>
      </c>
      <c r="RA75" s="20" t="n">
        <f aca="false">IF(H_Direct=1,IF(AMA74&lt;=0,0,IF(DA75&lt;=0,MIN(MAX(0,AB75-SUM(PR75:QZ75)),AMA74),MIN(MAX(0,AB75-SUM(PR75:QZ75)),AMA74-G75*MAX(0,DA75*AMA74-(XZ75+ABM75))))),MIN(GN75,MAX(0,AB75-SUM(PR75:QZ75))))</f>
        <v>0</v>
      </c>
      <c r="RB75" s="20" t="n">
        <f aca="false">IF(H_Direct=1,IF(AMB74&lt;=0,0,IF(DB75&lt;=0,MIN(MAX(0,AB75-SUM(PR75:RA75)),AMB74),MIN(MAX(0,AB75-SUM(PR75:RA75)),AMB74-G75*MAX(0,DB75*AMB74-(YA75+ABN75))))),MIN(GO75,MAX(0,AB75-SUM(PR75:RA75))))</f>
        <v>0</v>
      </c>
      <c r="RC75" s="20" t="n">
        <f aca="false">IF(H_Direct=1,IF(AMC74&lt;=0,0,IF(DC75&lt;=0,MIN(MAX(0,AB75-SUM(PR75:RB75)),AMC74),MIN(MAX(0,AB75-SUM(PR75:RB75)),AMC74-G75*MAX(0,DC75*AMC74-(YB75+ABO75))))),MIN(GP75,MAX(0,AB75-SUM(PR75:RB75))))</f>
        <v>0</v>
      </c>
      <c r="RD75" s="20" t="n">
        <f aca="false">IF(H_Direct=1,IF(AMD74&lt;=0,0,IF(DD75&lt;=0,MIN(MAX(0,AB75-SUM(PR75:RC75)),AMD74),MIN(MAX(0,AB75-SUM(PR75:RC75)),AMD74-G75*MAX(0,DD75*AMD74-(YC75+ABP75))))),MIN(GQ75,MAX(0,AB75-SUM(PR75:RC75))))</f>
        <v>0</v>
      </c>
      <c r="RE75" s="20" t="n">
        <f aca="false">IF(H_Direct=1,IF(AME74&lt;=0,0,IF(DE75&lt;=0,MIN(MAX(0,AB75-SUM(PR75:RD75)),AME74),MIN(MAX(0,AB75-SUM(PR75:RD75)),AME74-G75*MAX(0,DE75*AME74-(YD75+ABQ75))))),MIN(GR75,MAX(0,AB75-SUM(PR75:RD75))))</f>
        <v>0</v>
      </c>
      <c r="RF75" s="20" t="n">
        <f aca="false">IF(H_Direct=1,IF(AMF74&lt;=0,0,IF(DF75&lt;=0,MIN(MAX(0,AB75-SUM(PR75:RE75)),AMF74),MIN(MAX(0,AB75-SUM(PR75:RE75)),AMF74-G75*MAX(0,DF75*AMF74-(YE75+ABR75))))),MIN(GS75,MAX(0,AB75-SUM(PR75:RE75))))</f>
        <v>0</v>
      </c>
      <c r="RG75" s="20" t="n">
        <f aca="false">IF(H_Direct=1,IF(AMG74&lt;=0,0,IF(DG75&lt;=0,MIN(MAX(0,AB75-SUM(PR75:RF75)),AMG74),MIN(MAX(0,AB75-SUM(PR75:RF75)),AMG74-G75*MAX(0,DG75*AMG74-(YF75+ABS75))))),MIN(GT75,MAX(0,AB75-SUM(PR75:RF75))))</f>
        <v>0</v>
      </c>
      <c r="RH75" s="20" t="n">
        <f aca="false">IF(H_Direct=1,IF(AMH74&lt;=0,0,IF(DH75&lt;=0,MIN(MAX(0,AB75-SUM(PR75:RG75)),AMH74),MIN(MAX(0,AB75-SUM(PR75:RG75)),AMH74-G75*MAX(0,DH75*AMH74-(YG75+ABT75))))),MIN(GU75,MAX(0,AB75-SUM(PR75:RG75))))</f>
        <v>0</v>
      </c>
      <c r="RI75" s="20" t="n">
        <f aca="false">IF(H_Direct=1,IF(AMI74&lt;=0,0,IF(DI75&lt;=0,MIN(MAX(0,AB75-SUM(PR75:RH75)),AMI74),MIN(MAX(0,AB75-SUM(PR75:RH75)),AMI74-G75*MAX(0,DI75*AMI74-(YH75+ABU75))))),MIN(GV75,MAX(0,AB75-SUM(PR75:RH75))))</f>
        <v>0</v>
      </c>
      <c r="RJ75" s="20" t="n">
        <f aca="false">IF(H_Direct=1,IF(AMJ74&lt;=0,0,IF(DJ75&lt;=0,MIN(MAX(0,AB75-SUM(PR75:RI75)),AMJ74),MIN(MAX(0,AB75-SUM(PR75:RI75)),AMJ74-G75*MAX(0,DJ75*AMJ74-(YI75+ABV75))))),MIN(GW75,MAX(0,AB75-SUM(PR75:RI75))))</f>
        <v>0</v>
      </c>
      <c r="RK75" s="20" t="n">
        <f aca="false">IF(H_Direct=1,IF(AMK74&lt;=0,0,IF(DK75&lt;=0,MIN(MAX(0,AB75-SUM(PR75:RJ75)),AMK74),MIN(MAX(0,AB75-SUM(PR75:RJ75)),AMK74-G75*MAX(0,DK75*AMK74-(YJ75+ABW75))))),MIN(GX75,MAX(0,AB75-SUM(PR75:RJ75))))</f>
        <v>0</v>
      </c>
      <c r="RL75" s="20" t="n">
        <f aca="false">IF(H_Direct=1,IF(AML74&lt;=0,0,IF(DL75&lt;=0,MIN(MAX(0,AB75-SUM(PR75:RK75)),AML74),MIN(MAX(0,AB75-SUM(PR75:RK75)),AML74-G75*MAX(0,DL75*AML74-(YK75+ABX75))))),MIN(GY75,MAX(0,AB75-SUM(PR75:RK75))))</f>
        <v>0</v>
      </c>
      <c r="RM75" s="20" t="n">
        <f aca="false">IF(H_Direct=1,IF(AMM74&lt;=0,0,IF(DM75&lt;=0,MIN(MAX(0,AB75-SUM(PR75:RL75)),AMM74),MIN(MAX(0,AB75-SUM(PR75:RL75)),AMM74-G75*MAX(0,DM75*AMM74-(YL75+ABY75))))),MIN(GZ75,MAX(0,AB75-SUM(PR75:RL75))))</f>
        <v>0</v>
      </c>
      <c r="RN75" s="20" t="n">
        <f aca="false">IF(H_Direct=1,IF(AMN74&lt;=0,0,IF(DN75&lt;=0,MIN(MAX(0,AB75-SUM(PR75:RM75)),AMN74),MIN(MAX(0,AB75-SUM(PR75:RM75)),AMN74-G75*MAX(0,DN75*AMN74-(YM75+ABZ75))))),MIN(HA75,MAX(0,AB75-SUM(PR75:RM75))))</f>
        <v>0</v>
      </c>
      <c r="RO75" s="20" t="n">
        <f aca="false">IF(H_Direct=1,IF(AMO74&lt;=0,0,IF(DO75&lt;=0,MIN(MAX(0,AB75-SUM(PR75:RN75)),AMO74),MIN(MAX(0,AB75-SUM(PR75:RN75)),AMO74-G75*MAX(0,DO75*AMO74-(YN75+ACA75))))),MIN(HB75,MAX(0,AB75-SUM(PR75:RN75))))</f>
        <v>0</v>
      </c>
      <c r="RP75" s="20" t="n">
        <f aca="false">IF(H_Direct=1,IF(AMP74&lt;=0,0,IF(DP75&lt;=0,MIN(MAX(0,AB75-SUM(PR75:RO75)),AMP74),MIN(MAX(0,AB75-SUM(PR75:RO75)),AMP74-G75*MAX(0,DP75*AMP74-(YO75+ACB75))))),MIN(HC75,MAX(0,AB75-SUM(PR75:RO75))))</f>
        <v>0</v>
      </c>
      <c r="RQ75" s="20" t="n">
        <f aca="false">IF(H_Direct=1,IF(AMQ74&lt;=0,0,IF(DQ75&lt;=0,MIN(MAX(0,AB75-SUM(PR75:RP75)),AMQ74),MIN(MAX(0,AB75-SUM(PR75:RP75)),AMQ74-G75*MAX(0,DQ75*AMQ74-(YP75+ACC75))))),MIN(HD75,MAX(0,AB75-SUM(PR75:RP75))))</f>
        <v>0</v>
      </c>
      <c r="RR75" s="20" t="n">
        <f aca="false">IF(H_Direct=1,IF(AMR74&lt;=0,0,IF(DR75&lt;=0,MIN(MAX(0,AB75-SUM(PR75:RQ75)),AMR74),MIN(MAX(0,AB75-SUM(PR75:RQ75)),AMR74-G75*MAX(0,DR75*AMR74-(YQ75+ACD75))))),MIN(HE75,MAX(0,AB75-SUM(PR75:RQ75))))</f>
        <v>0</v>
      </c>
      <c r="RS75" s="20" t="n">
        <f aca="false">IF(H_Direct=1,IF(AMS74&lt;=0,0,IF(DS75&lt;=0,MIN(MAX(0,AB75-SUM(PR75:RR75)),AMS74),MIN(MAX(0,AB75-SUM(PR75:RR75)),AMS74-G75*MAX(0,DS75*AMS74-(YR75+ACE75))))),MIN(HF75,MAX(0,AB75-SUM(PR75:RR75))))</f>
        <v>0</v>
      </c>
      <c r="RT75" s="20" t="n">
        <f aca="false">IF(H_Direct=1,IF(AMT74&lt;=0,0,IF(DT75&lt;=0,MIN(MAX(0,AB75-SUM(PR75:RS75)),AMT74),MIN(MAX(0,AB75-SUM(PR75:RS75)),AMT74-G75*MAX(0,DT75*AMT74-(YS75+ACF75))))),MIN(HG75,MAX(0,AB75-SUM(PR75:RS75))))</f>
        <v>0</v>
      </c>
      <c r="RU75" s="20" t="n">
        <f aca="false">IF(H_Direct=1,IF(AMU74&lt;=0,0,IF(DU75&lt;=0,MIN(MAX(0,AB75-SUM(PR75:RT75)),AMU74),MIN(MAX(0,AB75-SUM(PR75:RT75)),AMU74-G75*MAX(0,DU75*AMU74-(YT75+ACG75))))),MIN(HH75,MAX(0,AB75-SUM(PR75:RT75))))</f>
        <v>0</v>
      </c>
      <c r="RV75" s="20" t="n">
        <f aca="false">IF(H_Direct=1,IF(AMV74&lt;=0,0,IF(DV75&lt;=0,MIN(MAX(0,AB75-SUM(PR75:RU75)),AMV74),MIN(MAX(0,AB75-SUM(PR75:RU75)),AMV74-G75*MAX(0,DV75*AMV74-(YU75+ACH75))))),MIN(HI75,MAX(0,AB75-SUM(PR75:RU75))))</f>
        <v>0</v>
      </c>
      <c r="RW75" s="20" t="n">
        <f aca="false">IF(H_Direct=1,IF(AMW74&lt;=0,0,IF(DW75&lt;=0,MIN(MAX(0,AB75-SUM(PR75:RV75)),AMW74),MIN(MAX(0,AB75-SUM(PR75:RV75)),AMW74-G75*MAX(0,DW75*AMW74-(YV75+ACI75))))),MIN(HJ75,MAX(0,AB75-SUM(PR75:RV75))))</f>
        <v>0</v>
      </c>
      <c r="RX75" s="20" t="n">
        <f aca="false">IF(H_Direct=1,IF(AMX74&lt;=0,0,IF(DX75&lt;=0,MIN(MAX(0,AB75-SUM(PR75:RW75)),AMX74),MIN(MAX(0,AB75-SUM(PR75:RW75)),AMX74-G75*MAX(0,DX75*AMX74-(YW75+ACJ75))))),MIN(HK75,MAX(0,AB75-SUM(PR75:RW75))))</f>
        <v>0</v>
      </c>
      <c r="RY75" s="20" t="n">
        <f aca="false">IF(H_Direct=1,IF(AMY74&lt;=0,0,IF(DY75&lt;=0,MIN(MAX(0,AB75-SUM(PR75:RX75)),AMY74),MIN(MAX(0,AB75-SUM(PR75:RX75)),AMY74-G75*MAX(0,DY75*AMY74-(YX75+ACK75))))),MIN(HL75,MAX(0,AB75-SUM(PR75:RX75))))</f>
        <v>0</v>
      </c>
      <c r="RZ75" s="20" t="n">
        <f aca="false">IF(H_Direct=1,IF(AMZ74&lt;=0,0,IF(DZ75&lt;=0,MIN(MAX(0,AB75-SUM(PR75:RY75)),AMZ74),MIN(MAX(0,AB75-SUM(PR75:RY75)),AMZ74-G75*MAX(0,DZ75*AMZ74-(YY75+ACL75))))),MIN(HM75,MAX(0,AB75-SUM(PR75:RY75))))</f>
        <v>0</v>
      </c>
      <c r="SA75" s="20" t="n">
        <f aca="false">IF(H_Direct=1,IF(ANA74&lt;=0,0,IF(EA75&lt;=0,MIN(MAX(0,AB75-SUM(PR75:RZ75)),ANA74),MIN(MAX(0,AB75-SUM(PR75:RZ75)),ANA74-G75*MAX(0,EA75*ANA74-(YZ75+ACM75))))),MIN(HN75,MAX(0,AB75-SUM(PR75:RZ75))))</f>
        <v>0</v>
      </c>
      <c r="SB75" s="20" t="n">
        <f aca="false">IF(H_Direct=1,IF(ANB74&lt;=0,0,IF(EB75&lt;=0,MIN(MAX(0,AB75-SUM(PR75:SA75)),ANB74),MIN(MAX(0,AB75-SUM(PR75:SA75)),ANB74-G75*MAX(0,EB75*ANB74-(ZA75+ACN75))))),MIN(HO75,MAX(0,AB75-SUM(PR75:SA75))))</f>
        <v>0</v>
      </c>
      <c r="SC75" s="20" t="n">
        <f aca="false">IF(H_Direct=1,IF(ANC74&lt;=0,0,IF(EC75&lt;=0,MIN(MAX(0,AB75-SUM(PR75:SB75)),ANC74),MIN(MAX(0,AB75-SUM(PR75:SB75)),ANC74-G75*MAX(0,EC75*ANC74-(ZB75+ACO75))))),MIN(HP75,MAX(0,AB75-SUM(PR75:SB75))))</f>
        <v>0</v>
      </c>
      <c r="SD75" s="20" t="n">
        <f aca="false">IF(H_Direct=1,IF(AND74&lt;=0,0,IF(ED75&lt;=0,MIN(MAX(0,AB75-SUM(PR75:SC75)),AND74),MIN(MAX(0,AB75-SUM(PR75:SC75)),AND74-G75*MAX(0,ED75*AND74-(ZC75+ACP75))))),MIN(HQ75,MAX(0,AB75-SUM(PR75:SC75))))</f>
        <v>0</v>
      </c>
      <c r="SE75" s="20" t="n">
        <f aca="false">IF(H_Direct=1,IF(ANE74&lt;=0,0,IF(EE75&lt;=0,MIN(MAX(0,AB75-SUM(PR75:SD75)),ANE74),MIN(MAX(0,AB75-SUM(PR75:SD75)),ANE74-G75*MAX(0,EE75*ANE74-(ZD75+ACQ75))))),MIN(HR75,MAX(0,AB75-SUM(PR75:SD75))))</f>
        <v>0</v>
      </c>
      <c r="SF75" s="20" t="n">
        <f aca="false">IF(H_Direct=1,IF(ANF74&lt;=0,0,IF(EF75&lt;=0,MIN(MAX(0,AB75-SUM(PR75:SE75)),ANF74),MIN(MAX(0,AB75-SUM(PR75:SE75)),ANF74-G75*MAX(0,EF75*ANF74-(ZE75+ACR75))))),MIN(HS75,MAX(0,AB75-SUM(PR75:SE75))))</f>
        <v>0</v>
      </c>
      <c r="SG75" s="20" t="n">
        <f aca="false">IF(H_Direct=1,IF(ANG74&lt;=0,0,IF(EG75&lt;=0,MIN(MAX(0,AB75-SUM(PR75:SF75)),ANG74),MIN(MAX(0,AB75-SUM(PR75:SF75)),ANG74-G75*MAX(0,EG75*ANG74-(ZF75+ACS75))))),MIN(HT75,MAX(0,AB75-SUM(PR75:SF75))))</f>
        <v>0</v>
      </c>
      <c r="SH75" s="20" t="n">
        <f aca="false">IF(H_Direct=1,IF((P75+S75)&lt;=0,0,IF(EH75&lt;=0,MIN(MAX(0,AB75-SUM(PR75:SG75)),(P75+S75)),MIN(MAX(0,AB75-SUM(PR75:SG75)),(P75+S75)-G75*MAX(0,EH75*(P75+S75)-(ZG75+ACT75))))),MIN(HU75,MAX(0,AB75-SUM(PR75:SG75))))</f>
        <v>0</v>
      </c>
      <c r="SI75" s="20" t="n">
        <v>0</v>
      </c>
      <c r="SJ75" s="20" t="n">
        <v>0</v>
      </c>
      <c r="SK75" s="20" t="n">
        <v>0</v>
      </c>
      <c r="SL75" s="20" t="n">
        <v>0</v>
      </c>
      <c r="SM75" s="20" t="n">
        <v>0</v>
      </c>
      <c r="SN75" s="20" t="n">
        <v>0</v>
      </c>
      <c r="SO75" s="20" t="n">
        <v>0</v>
      </c>
      <c r="SP75" s="20" t="n">
        <v>0</v>
      </c>
      <c r="SQ75" s="20" t="n">
        <v>0</v>
      </c>
      <c r="SR75" s="20" t="n">
        <v>0</v>
      </c>
      <c r="SS75" s="20" t="n">
        <v>0</v>
      </c>
      <c r="ST75" s="20" t="n">
        <v>0</v>
      </c>
      <c r="SU75" s="20" t="n">
        <v>0</v>
      </c>
      <c r="SV75" s="20" t="n">
        <v>0</v>
      </c>
      <c r="SW75" s="20" t="n">
        <v>0</v>
      </c>
      <c r="SX75" s="20" t="n">
        <v>0</v>
      </c>
      <c r="SY75" s="20" t="n">
        <v>0</v>
      </c>
      <c r="SZ75" s="20" t="n">
        <v>0</v>
      </c>
      <c r="TA75" s="20" t="n">
        <v>0</v>
      </c>
      <c r="TB75" s="20" t="n">
        <v>0</v>
      </c>
      <c r="TC75" s="20" t="n">
        <v>0</v>
      </c>
      <c r="TD75" s="20" t="n">
        <v>0</v>
      </c>
      <c r="TE75" s="20" t="n">
        <f aca="false">IF(AKR74&lt;=0,0,IF(H_Direct=1,IF(BR75&lt;=0,PR75,IF(PR75&lt;=(H75+I75)/BR75,PR75,(PR75-G75*(H75+I75))/(1-G75*BR75))),PR75/(1-MAX(0,BR75)*H_Exit)))</f>
        <v>0</v>
      </c>
      <c r="TF75" s="20" t="n">
        <f aca="false">IF(AKS74&lt;=0,0,IF(H_Direct=1,IF(BS75&lt;=0,PS75,IF(PS75&lt;=(WR75+AAE75)/BS75,PS75,(PS75-G75*(WR75+AAE75))/(1-G75*BS75))),PS75/(1-MAX(0,BS75)*H_Exit)))</f>
        <v>0</v>
      </c>
      <c r="TG75" s="20" t="n">
        <f aca="false">IF(AKT74&lt;=0,0,IF(H_Direct=1,IF(BT75&lt;=0,PT75,IF(PT75&lt;=(WS75+AAF75)/BT75,PT75,(PT75-G75*(WS75+AAF75))/(1-G75*BT75))),PT75/(1-MAX(0,BT75)*H_Exit)))</f>
        <v>0</v>
      </c>
      <c r="TH75" s="20" t="n">
        <f aca="false">IF(AKU74&lt;=0,0,IF(H_Direct=1,IF(BU75&lt;=0,PU75,IF(PU75&lt;=(WT75+AAG75)/BU75,PU75,(PU75-G75*(WT75+AAG75))/(1-G75*BU75))),PU75/(1-MAX(0,BU75)*H_Exit)))</f>
        <v>0</v>
      </c>
      <c r="TI75" s="20" t="n">
        <f aca="false">IF(AKV74&lt;=0,0,IF(H_Direct=1,IF(BV75&lt;=0,PV75,IF(PV75&lt;=(WU75+AAH75)/BV75,PV75,(PV75-G75*(WU75+AAH75))/(1-G75*BV75))),PV75/(1-MAX(0,BV75)*H_Exit)))</f>
        <v>0</v>
      </c>
      <c r="TJ75" s="20" t="n">
        <f aca="false">IF(AKW74&lt;=0,0,IF(H_Direct=1,IF(BW75&lt;=0,PW75,IF(PW75&lt;=(WV75+AAI75)/BW75,PW75,(PW75-G75*(WV75+AAI75))/(1-G75*BW75))),PW75/(1-MAX(0,BW75)*H_Exit)))</f>
        <v>0</v>
      </c>
      <c r="TK75" s="20" t="n">
        <f aca="false">IF(AKX74&lt;=0,0,IF(H_Direct=1,IF(BX75&lt;=0,PX75,IF(PX75&lt;=(WW75+AAJ75)/BX75,PX75,(PX75-G75*(WW75+AAJ75))/(1-G75*BX75))),PX75/(1-MAX(0,BX75)*H_Exit)))</f>
        <v>0</v>
      </c>
      <c r="TL75" s="20" t="n">
        <f aca="false">IF(AKY74&lt;=0,0,IF(H_Direct=1,IF(BY75&lt;=0,PY75,IF(PY75&lt;=(WX75+AAK75)/BY75,PY75,(PY75-G75*(WX75+AAK75))/(1-G75*BY75))),PY75/(1-MAX(0,BY75)*H_Exit)))</f>
        <v>0</v>
      </c>
      <c r="TM75" s="20" t="n">
        <f aca="false">IF(AKZ74&lt;=0,0,IF(H_Direct=1,IF(BZ75&lt;=0,PZ75,IF(PZ75&lt;=(WY75+AAL75)/BZ75,PZ75,(PZ75-G75*(WY75+AAL75))/(1-G75*BZ75))),PZ75/(1-MAX(0,BZ75)*H_Exit)))</f>
        <v>0</v>
      </c>
      <c r="TN75" s="20" t="n">
        <f aca="false">IF(ALA74&lt;=0,0,IF(H_Direct=1,IF(CA75&lt;=0,QA75,IF(QA75&lt;=(WZ75+AAM75)/CA75,QA75,(QA75-G75*(WZ75+AAM75))/(1-G75*CA75))),QA75/(1-MAX(0,CA75)*H_Exit)))</f>
        <v>0</v>
      </c>
      <c r="TO75" s="20" t="n">
        <f aca="false">IF(ALB74&lt;=0,0,IF(H_Direct=1,IF(CB75&lt;=0,QB75,IF(QB75&lt;=(XA75+AAN75)/CB75,QB75,(QB75-G75*(XA75+AAN75))/(1-G75*CB75))),QB75/(1-MAX(0,CB75)*H_Exit)))</f>
        <v>0</v>
      </c>
      <c r="TP75" s="20" t="n">
        <f aca="false">IF(ALC74&lt;=0,0,IF(H_Direct=1,IF(CC75&lt;=0,QC75,IF(QC75&lt;=(XB75+AAO75)/CC75,QC75,(QC75-G75*(XB75+AAO75))/(1-G75*CC75))),QC75/(1-MAX(0,CC75)*H_Exit)))</f>
        <v>0</v>
      </c>
      <c r="TQ75" s="20" t="n">
        <f aca="false">IF(ALD74&lt;=0,0,IF(H_Direct=1,IF(CD75&lt;=0,QD75,IF(QD75&lt;=(XC75+AAP75)/CD75,QD75,(QD75-G75*(XC75+AAP75))/(1-G75*CD75))),QD75/(1-MAX(0,CD75)*H_Exit)))</f>
        <v>0</v>
      </c>
      <c r="TR75" s="20" t="n">
        <f aca="false">IF(ALE74&lt;=0,0,IF(H_Direct=1,IF(CE75&lt;=0,QE75,IF(QE75&lt;=(XD75+AAQ75)/CE75,QE75,(QE75-G75*(XD75+AAQ75))/(1-G75*CE75))),QE75/(1-MAX(0,CE75)*H_Exit)))</f>
        <v>0</v>
      </c>
      <c r="TS75" s="20" t="n">
        <f aca="false">IF(ALF74&lt;=0,0,IF(H_Direct=1,IF(CF75&lt;=0,QF75,IF(QF75&lt;=(XE75+AAR75)/CF75,QF75,(QF75-G75*(XE75+AAR75))/(1-G75*CF75))),QF75/(1-MAX(0,CF75)*H_Exit)))</f>
        <v>0</v>
      </c>
      <c r="TT75" s="20" t="n">
        <f aca="false">IF(ALG74&lt;=0,0,IF(H_Direct=1,IF(CG75&lt;=0,QG75,IF(QG75&lt;=(XF75+AAS75)/CG75,QG75,(QG75-G75*(XF75+AAS75))/(1-G75*CG75))),QG75/(1-MAX(0,CG75)*H_Exit)))</f>
        <v>0</v>
      </c>
      <c r="TU75" s="20" t="n">
        <f aca="false">IF(ALH74&lt;=0,0,IF(H_Direct=1,IF(CH75&lt;=0,QH75,IF(QH75&lt;=(XG75+AAT75)/CH75,QH75,(QH75-G75*(XG75+AAT75))/(1-G75*CH75))),QH75/(1-MAX(0,CH75)*H_Exit)))</f>
        <v>0</v>
      </c>
      <c r="TV75" s="20" t="n">
        <f aca="false">IF(ALI74&lt;=0,0,IF(H_Direct=1,IF(CI75&lt;=0,QI75,IF(QI75&lt;=(XH75+AAU75)/CI75,QI75,(QI75-G75*(XH75+AAU75))/(1-G75*CI75))),QI75/(1-MAX(0,CI75)*H_Exit)))</f>
        <v>0</v>
      </c>
      <c r="TW75" s="20" t="n">
        <f aca="false">IF(ALJ74&lt;=0,0,IF(H_Direct=1,IF(CJ75&lt;=0,QJ75,IF(QJ75&lt;=(XI75+AAV75)/CJ75,QJ75,(QJ75-G75*(XI75+AAV75))/(1-G75*CJ75))),QJ75/(1-MAX(0,CJ75)*H_Exit)))</f>
        <v>0</v>
      </c>
      <c r="TX75" s="20" t="n">
        <f aca="false">IF(ALK74&lt;=0,0,IF(H_Direct=1,IF(CK75&lt;=0,QK75,IF(QK75&lt;=(XJ75+AAW75)/CK75,QK75,(QK75-G75*(XJ75+AAW75))/(1-G75*CK75))),QK75/(1-MAX(0,CK75)*H_Exit)))</f>
        <v>0</v>
      </c>
      <c r="TY75" s="20" t="n">
        <f aca="false">IF(ALL74&lt;=0,0,IF(H_Direct=1,IF(CL75&lt;=0,QL75,IF(QL75&lt;=(XK75+AAX75)/CL75,QL75,(QL75-G75*(XK75+AAX75))/(1-G75*CL75))),QL75/(1-MAX(0,CL75)*H_Exit)))</f>
        <v>0</v>
      </c>
      <c r="TZ75" s="20" t="n">
        <f aca="false">IF(ALM74&lt;=0,0,IF(H_Direct=1,IF(CM75&lt;=0,QM75,IF(QM75&lt;=(XL75+AAY75)/CM75,QM75,(QM75-G75*(XL75+AAY75))/(1-G75*CM75))),QM75/(1-MAX(0,CM75)*H_Exit)))</f>
        <v>0</v>
      </c>
      <c r="UA75" s="20" t="n">
        <f aca="false">IF(ALN74&lt;=0,0,IF(H_Direct=1,IF(CN75&lt;=0,QN75,IF(QN75&lt;=(XM75+AAZ75)/CN75,QN75,(QN75-G75*(XM75+AAZ75))/(1-G75*CN75))),QN75/(1-MAX(0,CN75)*H_Exit)))</f>
        <v>0</v>
      </c>
      <c r="UB75" s="20" t="n">
        <f aca="false">IF(ALO74&lt;=0,0,IF(H_Direct=1,IF(CO75&lt;=0,QO75,IF(QO75&lt;=(XN75+ABA75)/CO75,QO75,(QO75-G75*(XN75+ABA75))/(1-G75*CO75))),QO75/(1-MAX(0,CO75)*H_Exit)))</f>
        <v>0</v>
      </c>
      <c r="UC75" s="20" t="n">
        <f aca="false">IF(ALP74&lt;=0,0,IF(H_Direct=1,IF(CP75&lt;=0,QP75,IF(QP75&lt;=(XO75+ABB75)/CP75,QP75,(QP75-G75*(XO75+ABB75))/(1-G75*CP75))),QP75/(1-MAX(0,CP75)*H_Exit)))</f>
        <v>0</v>
      </c>
      <c r="UD75" s="20" t="n">
        <f aca="false">IF(ALQ74&lt;=0,0,IF(H_Direct=1,IF(CQ75&lt;=0,QQ75,IF(QQ75&lt;=(XP75+ABC75)/CQ75,QQ75,(QQ75-G75*(XP75+ABC75))/(1-G75*CQ75))),QQ75/(1-MAX(0,CQ75)*H_Exit)))</f>
        <v>0</v>
      </c>
      <c r="UE75" s="20" t="n">
        <f aca="false">IF(ALR74&lt;=0,0,IF(H_Direct=1,IF(CR75&lt;=0,QR75,IF(QR75&lt;=(XQ75+ABD75)/CR75,QR75,(QR75-G75*(XQ75+ABD75))/(1-G75*CR75))),QR75/(1-MAX(0,CR75)*H_Exit)))</f>
        <v>0</v>
      </c>
      <c r="UF75" s="20" t="n">
        <f aca="false">IF(ALS74&lt;=0,0,IF(H_Direct=1,IF(CS75&lt;=0,QS75,IF(QS75&lt;=(XR75+ABE75)/CS75,QS75,(QS75-G75*(XR75+ABE75))/(1-G75*CS75))),QS75/(1-MAX(0,CS75)*H_Exit)))</f>
        <v>0</v>
      </c>
      <c r="UG75" s="20" t="n">
        <f aca="false">IF(ALT74&lt;=0,0,IF(H_Direct=1,IF(CT75&lt;=0,QT75,IF(QT75&lt;=(XS75+ABF75)/CT75,QT75,(QT75-G75*(XS75+ABF75))/(1-G75*CT75))),QT75/(1-MAX(0,CT75)*H_Exit)))</f>
        <v>0</v>
      </c>
      <c r="UH75" s="20" t="n">
        <f aca="false">IF(ALU74&lt;=0,0,IF(H_Direct=1,IF(CU75&lt;=0,QU75,IF(QU75&lt;=(XT75+ABG75)/CU75,QU75,(QU75-G75*(XT75+ABG75))/(1-G75*CU75))),QU75/(1-MAX(0,CU75)*H_Exit)))</f>
        <v>0</v>
      </c>
      <c r="UI75" s="20" t="n">
        <f aca="false">IF(ALV74&lt;=0,0,IF(H_Direct=1,IF(CV75&lt;=0,QV75,IF(QV75&lt;=(XU75+ABH75)/CV75,QV75,(QV75-G75*(XU75+ABH75))/(1-G75*CV75))),QV75/(1-MAX(0,CV75)*H_Exit)))</f>
        <v>0</v>
      </c>
      <c r="UJ75" s="20" t="n">
        <f aca="false">IF(ALW74&lt;=0,0,IF(H_Direct=1,IF(CW75&lt;=0,QW75,IF(QW75&lt;=(XV75+ABI75)/CW75,QW75,(QW75-G75*(XV75+ABI75))/(1-G75*CW75))),QW75/(1-MAX(0,CW75)*H_Exit)))</f>
        <v>0</v>
      </c>
      <c r="UK75" s="20" t="n">
        <f aca="false">IF(ALX74&lt;=0,0,IF(H_Direct=1,IF(CX75&lt;=0,QX75,IF(QX75&lt;=(XW75+ABJ75)/CX75,QX75,(QX75-G75*(XW75+ABJ75))/(1-G75*CX75))),QX75/(1-MAX(0,CX75)*H_Exit)))</f>
        <v>0</v>
      </c>
      <c r="UL75" s="20" t="n">
        <f aca="false">IF(ALY74&lt;=0,0,IF(H_Direct=1,IF(CY75&lt;=0,QY75,IF(QY75&lt;=(XX75+ABK75)/CY75,QY75,(QY75-G75*(XX75+ABK75))/(1-G75*CY75))),QY75/(1-MAX(0,CY75)*H_Exit)))</f>
        <v>0</v>
      </c>
      <c r="UM75" s="20" t="n">
        <f aca="false">IF(ALZ74&lt;=0,0,IF(H_Direct=1,IF(CZ75&lt;=0,QZ75,IF(QZ75&lt;=(XY75+ABL75)/CZ75,QZ75,(QZ75-G75*(XY75+ABL75))/(1-G75*CZ75))),QZ75/(1-MAX(0,CZ75)*H_Exit)))</f>
        <v>0</v>
      </c>
      <c r="UN75" s="20" t="n">
        <f aca="false">IF(AMA74&lt;=0,0,IF(H_Direct=1,IF(DA75&lt;=0,RA75,IF(RA75&lt;=(XZ75+ABM75)/DA75,RA75,(RA75-G75*(XZ75+ABM75))/(1-G75*DA75))),RA75/(1-MAX(0,DA75)*H_Exit)))</f>
        <v>0</v>
      </c>
      <c r="UO75" s="20" t="n">
        <f aca="false">IF(AMB74&lt;=0,0,IF(H_Direct=1,IF(DB75&lt;=0,RB75,IF(RB75&lt;=(YA75+ABN75)/DB75,RB75,(RB75-G75*(YA75+ABN75))/(1-G75*DB75))),RB75/(1-MAX(0,DB75)*H_Exit)))</f>
        <v>0</v>
      </c>
      <c r="UP75" s="20" t="n">
        <f aca="false">IF(AMC74&lt;=0,0,IF(H_Direct=1,IF(DC75&lt;=0,RC75,IF(RC75&lt;=(YB75+ABO75)/DC75,RC75,(RC75-G75*(YB75+ABO75))/(1-G75*DC75))),RC75/(1-MAX(0,DC75)*H_Exit)))</f>
        <v>0</v>
      </c>
      <c r="UQ75" s="20" t="n">
        <f aca="false">IF(AMD74&lt;=0,0,IF(H_Direct=1,IF(DD75&lt;=0,RD75,IF(RD75&lt;=(YC75+ABP75)/DD75,RD75,(RD75-G75*(YC75+ABP75))/(1-G75*DD75))),RD75/(1-MAX(0,DD75)*H_Exit)))</f>
        <v>0</v>
      </c>
      <c r="UR75" s="20" t="n">
        <f aca="false">IF(AME74&lt;=0,0,IF(H_Direct=1,IF(DE75&lt;=0,RE75,IF(RE75&lt;=(YD75+ABQ75)/DE75,RE75,(RE75-G75*(YD75+ABQ75))/(1-G75*DE75))),RE75/(1-MAX(0,DE75)*H_Exit)))</f>
        <v>0</v>
      </c>
      <c r="US75" s="20" t="n">
        <f aca="false">IF(AMF74&lt;=0,0,IF(H_Direct=1,IF(DF75&lt;=0,RF75,IF(RF75&lt;=(YE75+ABR75)/DF75,RF75,(RF75-G75*(YE75+ABR75))/(1-G75*DF75))),RF75/(1-MAX(0,DF75)*H_Exit)))</f>
        <v>0</v>
      </c>
      <c r="UT75" s="20" t="n">
        <f aca="false">IF(AMG74&lt;=0,0,IF(H_Direct=1,IF(DG75&lt;=0,RG75,IF(RG75&lt;=(YF75+ABS75)/DG75,RG75,(RG75-G75*(YF75+ABS75))/(1-G75*DG75))),RG75/(1-MAX(0,DG75)*H_Exit)))</f>
        <v>0</v>
      </c>
      <c r="UU75" s="20" t="n">
        <f aca="false">IF(AMH74&lt;=0,0,IF(H_Direct=1,IF(DH75&lt;=0,RH75,IF(RH75&lt;=(YG75+ABT75)/DH75,RH75,(RH75-G75*(YG75+ABT75))/(1-G75*DH75))),RH75/(1-MAX(0,DH75)*H_Exit)))</f>
        <v>0</v>
      </c>
      <c r="UV75" s="20" t="n">
        <f aca="false">IF(AMI74&lt;=0,0,IF(H_Direct=1,IF(DI75&lt;=0,RI75,IF(RI75&lt;=(YH75+ABU75)/DI75,RI75,(RI75-G75*(YH75+ABU75))/(1-G75*DI75))),RI75/(1-MAX(0,DI75)*H_Exit)))</f>
        <v>0</v>
      </c>
      <c r="UW75" s="20" t="n">
        <f aca="false">IF(AMJ74&lt;=0,0,IF(H_Direct=1,IF(DJ75&lt;=0,RJ75,IF(RJ75&lt;=(YI75+ABV75)/DJ75,RJ75,(RJ75-G75*(YI75+ABV75))/(1-G75*DJ75))),RJ75/(1-MAX(0,DJ75)*H_Exit)))</f>
        <v>0</v>
      </c>
      <c r="UX75" s="20" t="n">
        <f aca="false">IF(AMK74&lt;=0,0,IF(H_Direct=1,IF(DK75&lt;=0,RK75,IF(RK75&lt;=(YJ75+ABW75)/DK75,RK75,(RK75-G75*(YJ75+ABW75))/(1-G75*DK75))),RK75/(1-MAX(0,DK75)*H_Exit)))</f>
        <v>0</v>
      </c>
      <c r="UY75" s="20" t="n">
        <f aca="false">IF(AML74&lt;=0,0,IF(H_Direct=1,IF(DL75&lt;=0,RL75,IF(RL75&lt;=(YK75+ABX75)/DL75,RL75,(RL75-G75*(YK75+ABX75))/(1-G75*DL75))),RL75/(1-MAX(0,DL75)*H_Exit)))</f>
        <v>0</v>
      </c>
      <c r="UZ75" s="20" t="n">
        <f aca="false">IF(AMM74&lt;=0,0,IF(H_Direct=1,IF(DM75&lt;=0,RM75,IF(RM75&lt;=(YL75+ABY75)/DM75,RM75,(RM75-G75*(YL75+ABY75))/(1-G75*DM75))),RM75/(1-MAX(0,DM75)*H_Exit)))</f>
        <v>0</v>
      </c>
      <c r="VA75" s="20" t="n">
        <f aca="false">IF(AMN74&lt;=0,0,IF(H_Direct=1,IF(DN75&lt;=0,RN75,IF(RN75&lt;=(YM75+ABZ75)/DN75,RN75,(RN75-G75*(YM75+ABZ75))/(1-G75*DN75))),RN75/(1-MAX(0,DN75)*H_Exit)))</f>
        <v>0</v>
      </c>
      <c r="VB75" s="20" t="n">
        <f aca="false">IF(AMO74&lt;=0,0,IF(H_Direct=1,IF(DO75&lt;=0,RO75,IF(RO75&lt;=(YN75+ACA75)/DO75,RO75,(RO75-G75*(YN75+ACA75))/(1-G75*DO75))),RO75/(1-MAX(0,DO75)*H_Exit)))</f>
        <v>0</v>
      </c>
      <c r="VC75" s="20" t="n">
        <f aca="false">IF(AMP74&lt;=0,0,IF(H_Direct=1,IF(DP75&lt;=0,RP75,IF(RP75&lt;=(YO75+ACB75)/DP75,RP75,(RP75-G75*(YO75+ACB75))/(1-G75*DP75))),RP75/(1-MAX(0,DP75)*H_Exit)))</f>
        <v>0</v>
      </c>
      <c r="VD75" s="20" t="n">
        <f aca="false">IF(AMQ74&lt;=0,0,IF(H_Direct=1,IF(DQ75&lt;=0,RQ75,IF(RQ75&lt;=(YP75+ACC75)/DQ75,RQ75,(RQ75-G75*(YP75+ACC75))/(1-G75*DQ75))),RQ75/(1-MAX(0,DQ75)*H_Exit)))</f>
        <v>0</v>
      </c>
      <c r="VE75" s="20" t="n">
        <f aca="false">IF(AMR74&lt;=0,0,IF(H_Direct=1,IF(DR75&lt;=0,RR75,IF(RR75&lt;=(YQ75+ACD75)/DR75,RR75,(RR75-G75*(YQ75+ACD75))/(1-G75*DR75))),RR75/(1-MAX(0,DR75)*H_Exit)))</f>
        <v>0</v>
      </c>
      <c r="VF75" s="20" t="n">
        <f aca="false">IF(AMS74&lt;=0,0,IF(H_Direct=1,IF(DS75&lt;=0,RS75,IF(RS75&lt;=(YR75+ACE75)/DS75,RS75,(RS75-G75*(YR75+ACE75))/(1-G75*DS75))),RS75/(1-MAX(0,DS75)*H_Exit)))</f>
        <v>0</v>
      </c>
      <c r="VG75" s="20" t="n">
        <f aca="false">IF(AMT74&lt;=0,0,IF(H_Direct=1,IF(DT75&lt;=0,RT75,IF(RT75&lt;=(YS75+ACF75)/DT75,RT75,(RT75-G75*(YS75+ACF75))/(1-G75*DT75))),RT75/(1-MAX(0,DT75)*H_Exit)))</f>
        <v>0</v>
      </c>
      <c r="VH75" s="20" t="n">
        <f aca="false">IF(AMU74&lt;=0,0,IF(H_Direct=1,IF(DU75&lt;=0,RU75,IF(RU75&lt;=(YT75+ACG75)/DU75,RU75,(RU75-G75*(YT75+ACG75))/(1-G75*DU75))),RU75/(1-MAX(0,DU75)*H_Exit)))</f>
        <v>0</v>
      </c>
      <c r="VI75" s="20" t="n">
        <f aca="false">IF(AMV74&lt;=0,0,IF(H_Direct=1,IF(DV75&lt;=0,RV75,IF(RV75&lt;=(YU75+ACH75)/DV75,RV75,(RV75-G75*(YU75+ACH75))/(1-G75*DV75))),RV75/(1-MAX(0,DV75)*H_Exit)))</f>
        <v>0</v>
      </c>
      <c r="VJ75" s="20" t="n">
        <f aca="false">IF(AMW74&lt;=0,0,IF(H_Direct=1,IF(DW75&lt;=0,RW75,IF(RW75&lt;=(YV75+ACI75)/DW75,RW75,(RW75-G75*(YV75+ACI75))/(1-G75*DW75))),RW75/(1-MAX(0,DW75)*H_Exit)))</f>
        <v>0</v>
      </c>
      <c r="VK75" s="20" t="n">
        <f aca="false">IF(AMX74&lt;=0,0,IF(H_Direct=1,IF(DX75&lt;=0,RX75,IF(RX75&lt;=(YW75+ACJ75)/DX75,RX75,(RX75-G75*(YW75+ACJ75))/(1-G75*DX75))),RX75/(1-MAX(0,DX75)*H_Exit)))</f>
        <v>0</v>
      </c>
      <c r="VL75" s="20" t="n">
        <f aca="false">IF(AMY74&lt;=0,0,IF(H_Direct=1,IF(DY75&lt;=0,RY75,IF(RY75&lt;=(YX75+ACK75)/DY75,RY75,(RY75-G75*(YX75+ACK75))/(1-G75*DY75))),RY75/(1-MAX(0,DY75)*H_Exit)))</f>
        <v>0</v>
      </c>
      <c r="VM75" s="20" t="n">
        <f aca="false">IF(AMZ74&lt;=0,0,IF(H_Direct=1,IF(DZ75&lt;=0,RZ75,IF(RZ75&lt;=(YY75+ACL75)/DZ75,RZ75,(RZ75-G75*(YY75+ACL75))/(1-G75*DZ75))),RZ75/(1-MAX(0,DZ75)*H_Exit)))</f>
        <v>0</v>
      </c>
      <c r="VN75" s="20" t="n">
        <f aca="false">IF(ANA74&lt;=0,0,IF(H_Direct=1,IF(EA75&lt;=0,SA75,IF(SA75&lt;=(YZ75+ACM75)/EA75,SA75,(SA75-G75*(YZ75+ACM75))/(1-G75*EA75))),SA75/(1-MAX(0,EA75)*H_Exit)))</f>
        <v>0</v>
      </c>
      <c r="VO75" s="20" t="n">
        <f aca="false">IF(ANB74&lt;=0,0,IF(H_Direct=1,IF(EB75&lt;=0,SB75,IF(SB75&lt;=(ZA75+ACN75)/EB75,SB75,(SB75-G75*(ZA75+ACN75))/(1-G75*EB75))),SB75/(1-MAX(0,EB75)*H_Exit)))</f>
        <v>0</v>
      </c>
      <c r="VP75" s="20" t="n">
        <f aca="false">IF(ANC74&lt;=0,0,IF(H_Direct=1,IF(EC75&lt;=0,SC75,IF(SC75&lt;=(ZB75+ACO75)/EC75,SC75,(SC75-G75*(ZB75+ACO75))/(1-G75*EC75))),SC75/(1-MAX(0,EC75)*H_Exit)))</f>
        <v>0</v>
      </c>
      <c r="VQ75" s="20" t="n">
        <f aca="false">IF(AND74&lt;=0,0,IF(H_Direct=1,IF(ED75&lt;=0,SD75,IF(SD75&lt;=(ZC75+ACP75)/ED75,SD75,(SD75-G75*(ZC75+ACP75))/(1-G75*ED75))),SD75/(1-MAX(0,ED75)*H_Exit)))</f>
        <v>0</v>
      </c>
      <c r="VR75" s="20" t="n">
        <f aca="false">IF(ANE74&lt;=0,0,IF(H_Direct=1,IF(EE75&lt;=0,SE75,IF(SE75&lt;=(ZD75+ACQ75)/EE75,SE75,(SE75-G75*(ZD75+ACQ75))/(1-G75*EE75))),SE75/(1-MAX(0,EE75)*H_Exit)))</f>
        <v>0</v>
      </c>
      <c r="VS75" s="20" t="n">
        <f aca="false">IF(ANF74&lt;=0,0,IF(H_Direct=1,IF(EF75&lt;=0,SF75,IF(SF75&lt;=(ZE75+ACR75)/EF75,SF75,(SF75-G75*(ZE75+ACR75))/(1-G75*EF75))),SF75/(1-MAX(0,EF75)*H_Exit)))</f>
        <v>0</v>
      </c>
      <c r="VT75" s="20" t="n">
        <f aca="false">IF(ANG74&lt;=0,0,IF(H_Direct=1,IF(EG75&lt;=0,SG75,IF(SG75&lt;=(ZF75+ACS75)/EG75,SG75,(SG75-G75*(ZF75+ACS75))/(1-G75*EG75))),SG75/(1-MAX(0,EG75)*H_Exit)))</f>
        <v>0</v>
      </c>
      <c r="VU75" s="20" t="n">
        <f aca="false">IF((P75+S75)&lt;=0,0,IF(H_Direct=1,IF(EH75&lt;=0,SH75,IF(SH75&lt;=(ZG75+ACT75)/EH75,SH75,(SH75-G75*(ZG75+ACT75))/(1-G75*EH75))),SH75/(1-MAX(0,EH75)*H_Exit)))</f>
        <v>0</v>
      </c>
      <c r="VV75" s="20" t="n">
        <v>0</v>
      </c>
      <c r="VW75" s="20" t="n">
        <v>0</v>
      </c>
      <c r="VX75" s="20" t="n">
        <v>0</v>
      </c>
      <c r="VY75" s="20" t="n">
        <v>0</v>
      </c>
      <c r="VZ75" s="20" t="n">
        <v>0</v>
      </c>
      <c r="WA75" s="20" t="n">
        <v>0</v>
      </c>
      <c r="WB75" s="20" t="n">
        <v>0</v>
      </c>
      <c r="WC75" s="20" t="n">
        <v>0</v>
      </c>
      <c r="WD75" s="20" t="n">
        <v>0</v>
      </c>
      <c r="WE75" s="20" t="n">
        <v>0</v>
      </c>
      <c r="WF75" s="20" t="n">
        <v>0</v>
      </c>
      <c r="WG75" s="20" t="n">
        <v>0</v>
      </c>
      <c r="WH75" s="20" t="n">
        <v>0</v>
      </c>
      <c r="WI75" s="20" t="n">
        <v>0</v>
      </c>
      <c r="WJ75" s="20" t="n">
        <v>0</v>
      </c>
      <c r="WK75" s="20" t="n">
        <v>0</v>
      </c>
      <c r="WL75" s="20" t="n">
        <v>0</v>
      </c>
      <c r="WM75" s="20" t="n">
        <v>0</v>
      </c>
      <c r="WN75" s="20" t="n">
        <v>0</v>
      </c>
      <c r="WO75" s="20" t="n">
        <v>0</v>
      </c>
      <c r="WP75" s="20" t="n">
        <v>0</v>
      </c>
      <c r="WQ75" s="20" t="n">
        <v>0</v>
      </c>
      <c r="WR75" s="20" t="n">
        <f aca="false">IF(AND(H_Direct=1,BR75&gt;0),MAX(0,H75-(MIN(BR75*TE75,(H75+I75))-MIN(MIN(BR75*TE75,(H75+I75)),I75))),H75)</f>
        <v>1270</v>
      </c>
      <c r="WS75" s="20" t="n">
        <f aca="false">IF(AND(H_Direct=1,BS75&gt;0),MAX(0,WR75-(MIN(BS75*TF75,(WR75+AAE75))-MIN(MIN(BS75*TF75,(WR75+AAE75)),AAE75))),WR75)</f>
        <v>1270</v>
      </c>
      <c r="WT75" s="20" t="n">
        <f aca="false">IF(AND(H_Direct=1,BT75&gt;0),MAX(0,WS75-(MIN(BT75*TG75,(WS75+AAF75))-MIN(MIN(BT75*TG75,(WS75+AAF75)),AAF75))),WS75)</f>
        <v>1270</v>
      </c>
      <c r="WU75" s="20" t="n">
        <f aca="false">IF(AND(H_Direct=1,BU75&gt;0),MAX(0,WT75-(MIN(BU75*TH75,(WT75+AAG75))-MIN(MIN(BU75*TH75,(WT75+AAG75)),AAG75))),WT75)</f>
        <v>1270</v>
      </c>
      <c r="WV75" s="20" t="n">
        <f aca="false">IF(AND(H_Direct=1,BV75&gt;0),MAX(0,WU75-(MIN(BV75*TI75,(WU75+AAH75))-MIN(MIN(BV75*TI75,(WU75+AAH75)),AAH75))),WU75)</f>
        <v>1270</v>
      </c>
      <c r="WW75" s="20" t="n">
        <f aca="false">IF(AND(H_Direct=1,BW75&gt;0),MAX(0,WV75-(MIN(BW75*TJ75,(WV75+AAI75))-MIN(MIN(BW75*TJ75,(WV75+AAI75)),AAI75))),WV75)</f>
        <v>1270</v>
      </c>
      <c r="WX75" s="20" t="n">
        <f aca="false">IF(AND(H_Direct=1,BX75&gt;0),MAX(0,WW75-(MIN(BX75*TK75,(WW75+AAJ75))-MIN(MIN(BX75*TK75,(WW75+AAJ75)),AAJ75))),WW75)</f>
        <v>1270</v>
      </c>
      <c r="WY75" s="20" t="n">
        <f aca="false">IF(AND(H_Direct=1,BY75&gt;0),MAX(0,WX75-(MIN(BY75*TL75,(WX75+AAK75))-MIN(MIN(BY75*TL75,(WX75+AAK75)),AAK75))),WX75)</f>
        <v>1270</v>
      </c>
      <c r="WZ75" s="20" t="n">
        <f aca="false">IF(AND(H_Direct=1,BZ75&gt;0),MAX(0,WY75-(MIN(BZ75*TM75,(WY75+AAL75))-MIN(MIN(BZ75*TM75,(WY75+AAL75)),AAL75))),WY75)</f>
        <v>1270</v>
      </c>
      <c r="XA75" s="20" t="n">
        <f aca="false">IF(AND(H_Direct=1,CA75&gt;0),MAX(0,WZ75-(MIN(CA75*TN75,(WZ75+AAM75))-MIN(MIN(CA75*TN75,(WZ75+AAM75)),AAM75))),WZ75)</f>
        <v>1270</v>
      </c>
      <c r="XB75" s="20" t="n">
        <f aca="false">IF(AND(H_Direct=1,CB75&gt;0),MAX(0,XA75-(MIN(CB75*TO75,(XA75+AAN75))-MIN(MIN(CB75*TO75,(XA75+AAN75)),AAN75))),XA75)</f>
        <v>1270</v>
      </c>
      <c r="XC75" s="20" t="n">
        <f aca="false">IF(AND(H_Direct=1,CC75&gt;0),MAX(0,XB75-(MIN(CC75*TP75,(XB75+AAO75))-MIN(MIN(CC75*TP75,(XB75+AAO75)),AAO75))),XB75)</f>
        <v>1270</v>
      </c>
      <c r="XD75" s="20" t="n">
        <f aca="false">IF(AND(H_Direct=1,CD75&gt;0),MAX(0,XC75-(MIN(CD75*TQ75,(XC75+AAP75))-MIN(MIN(CD75*TQ75,(XC75+AAP75)),AAP75))),XC75)</f>
        <v>1270</v>
      </c>
      <c r="XE75" s="20" t="n">
        <f aca="false">IF(AND(H_Direct=1,CE75&gt;0),MAX(0,XD75-(MIN(CE75*TR75,(XD75+AAQ75))-MIN(MIN(CE75*TR75,(XD75+AAQ75)),AAQ75))),XD75)</f>
        <v>1270</v>
      </c>
      <c r="XF75" s="20" t="n">
        <f aca="false">IF(AND(H_Direct=1,CF75&gt;0),MAX(0,XE75-(MIN(CF75*TS75,(XE75+AAR75))-MIN(MIN(CF75*TS75,(XE75+AAR75)),AAR75))),XE75)</f>
        <v>1270</v>
      </c>
      <c r="XG75" s="20" t="n">
        <f aca="false">IF(AND(H_Direct=1,CG75&gt;0),MAX(0,XF75-(MIN(CG75*TT75,(XF75+AAS75))-MIN(MIN(CG75*TT75,(XF75+AAS75)),AAS75))),XF75)</f>
        <v>1270</v>
      </c>
      <c r="XH75" s="20" t="n">
        <f aca="false">IF(AND(H_Direct=1,CH75&gt;0),MAX(0,XG75-(MIN(CH75*TU75,(XG75+AAT75))-MIN(MIN(CH75*TU75,(XG75+AAT75)),AAT75))),XG75)</f>
        <v>1270</v>
      </c>
      <c r="XI75" s="20" t="n">
        <f aca="false">IF(AND(H_Direct=1,CI75&gt;0),MAX(0,XH75-(MIN(CI75*TV75,(XH75+AAU75))-MIN(MIN(CI75*TV75,(XH75+AAU75)),AAU75))),XH75)</f>
        <v>1270</v>
      </c>
      <c r="XJ75" s="20" t="n">
        <f aca="false">IF(AND(H_Direct=1,CJ75&gt;0),MAX(0,XI75-(MIN(CJ75*TW75,(XI75+AAV75))-MIN(MIN(CJ75*TW75,(XI75+AAV75)),AAV75))),XI75)</f>
        <v>1270</v>
      </c>
      <c r="XK75" s="20" t="n">
        <f aca="false">IF(AND(H_Direct=1,CK75&gt;0),MAX(0,XJ75-(MIN(CK75*TX75,(XJ75+AAW75))-MIN(MIN(CK75*TX75,(XJ75+AAW75)),AAW75))),XJ75)</f>
        <v>1270</v>
      </c>
      <c r="XL75" s="20" t="n">
        <f aca="false">IF(AND(H_Direct=1,CL75&gt;0),MAX(0,XK75-(MIN(CL75*TY75,(XK75+AAX75))-MIN(MIN(CL75*TY75,(XK75+AAX75)),AAX75))),XK75)</f>
        <v>1270</v>
      </c>
      <c r="XM75" s="20" t="n">
        <f aca="false">IF(AND(H_Direct=1,CM75&gt;0),MAX(0,XL75-(MIN(CM75*TZ75,(XL75+AAY75))-MIN(MIN(CM75*TZ75,(XL75+AAY75)),AAY75))),XL75)</f>
        <v>1270</v>
      </c>
      <c r="XN75" s="20" t="n">
        <f aca="false">IF(AND(H_Direct=1,CN75&gt;0),MAX(0,XM75-(MIN(CN75*UA75,(XM75+AAZ75))-MIN(MIN(CN75*UA75,(XM75+AAZ75)),AAZ75))),XM75)</f>
        <v>1270</v>
      </c>
      <c r="XO75" s="20" t="n">
        <f aca="false">IF(AND(H_Direct=1,CO75&gt;0),MAX(0,XN75-(MIN(CO75*UB75,(XN75+ABA75))-MIN(MIN(CO75*UB75,(XN75+ABA75)),ABA75))),XN75)</f>
        <v>1270</v>
      </c>
      <c r="XP75" s="20" t="n">
        <f aca="false">IF(AND(H_Direct=1,CP75&gt;0),MAX(0,XO75-(MIN(CP75*UC75,(XO75+ABB75))-MIN(MIN(CP75*UC75,(XO75+ABB75)),ABB75))),XO75)</f>
        <v>1270</v>
      </c>
      <c r="XQ75" s="20" t="n">
        <f aca="false">IF(AND(H_Direct=1,CQ75&gt;0),MAX(0,XP75-(MIN(CQ75*UD75,(XP75+ABC75))-MIN(MIN(CQ75*UD75,(XP75+ABC75)),ABC75))),XP75)</f>
        <v>1270</v>
      </c>
      <c r="XR75" s="20" t="n">
        <f aca="false">IF(AND(H_Direct=1,CR75&gt;0),MAX(0,XQ75-(MIN(CR75*UE75,(XQ75+ABD75))-MIN(MIN(CR75*UE75,(XQ75+ABD75)),ABD75))),XQ75)</f>
        <v>1270</v>
      </c>
      <c r="XS75" s="20" t="n">
        <f aca="false">IF(AND(H_Direct=1,CS75&gt;0),MAX(0,XR75-(MIN(CS75*UF75,(XR75+ABE75))-MIN(MIN(CS75*UF75,(XR75+ABE75)),ABE75))),XR75)</f>
        <v>1270</v>
      </c>
      <c r="XT75" s="20" t="n">
        <f aca="false">IF(AND(H_Direct=1,CT75&gt;0),MAX(0,XS75-(MIN(CT75*UG75,(XS75+ABF75))-MIN(MIN(CT75*UG75,(XS75+ABF75)),ABF75))),XS75)</f>
        <v>1270</v>
      </c>
      <c r="XU75" s="20" t="n">
        <f aca="false">IF(AND(H_Direct=1,CU75&gt;0),MAX(0,XT75-(MIN(CU75*UH75,(XT75+ABG75))-MIN(MIN(CU75*UH75,(XT75+ABG75)),ABG75))),XT75)</f>
        <v>1270</v>
      </c>
      <c r="XV75" s="20" t="n">
        <f aca="false">IF(AND(H_Direct=1,CV75&gt;0),MAX(0,XU75-(MIN(CV75*UI75,(XU75+ABH75))-MIN(MIN(CV75*UI75,(XU75+ABH75)),ABH75))),XU75)</f>
        <v>1270</v>
      </c>
      <c r="XW75" s="20" t="n">
        <f aca="false">IF(AND(H_Direct=1,CW75&gt;0),MAX(0,XV75-(MIN(CW75*UJ75,(XV75+ABI75))-MIN(MIN(CW75*UJ75,(XV75+ABI75)),ABI75))),XV75)</f>
        <v>1270</v>
      </c>
      <c r="XX75" s="20" t="n">
        <f aca="false">IF(AND(H_Direct=1,CX75&gt;0),MAX(0,XW75-(MIN(CX75*UK75,(XW75+ABJ75))-MIN(MIN(CX75*UK75,(XW75+ABJ75)),ABJ75))),XW75)</f>
        <v>1270</v>
      </c>
      <c r="XY75" s="20" t="n">
        <f aca="false">IF(AND(H_Direct=1,CY75&gt;0),MAX(0,XX75-(MIN(CY75*UL75,(XX75+ABK75))-MIN(MIN(CY75*UL75,(XX75+ABK75)),ABK75))),XX75)</f>
        <v>1270</v>
      </c>
      <c r="XZ75" s="20" t="n">
        <f aca="false">IF(AND(H_Direct=1,CZ75&gt;0),MAX(0,XY75-(MIN(CZ75*UM75,(XY75+ABL75))-MIN(MIN(CZ75*UM75,(XY75+ABL75)),ABL75))),XY75)</f>
        <v>1270</v>
      </c>
      <c r="YA75" s="20" t="n">
        <f aca="false">IF(AND(H_Direct=1,DA75&gt;0),MAX(0,XZ75-(MIN(DA75*UN75,(XZ75+ABM75))-MIN(MIN(DA75*UN75,(XZ75+ABM75)),ABM75))),XZ75)</f>
        <v>1270</v>
      </c>
      <c r="YB75" s="20" t="n">
        <f aca="false">IF(AND(H_Direct=1,DB75&gt;0),MAX(0,YA75-(MIN(DB75*UO75,(YA75+ABN75))-MIN(MIN(DB75*UO75,(YA75+ABN75)),ABN75))),YA75)</f>
        <v>1270</v>
      </c>
      <c r="YC75" s="20" t="n">
        <f aca="false">IF(AND(H_Direct=1,DC75&gt;0),MAX(0,YB75-(MIN(DC75*UP75,(YB75+ABO75))-MIN(MIN(DC75*UP75,(YB75+ABO75)),ABO75))),YB75)</f>
        <v>1270</v>
      </c>
      <c r="YD75" s="20" t="n">
        <f aca="false">IF(AND(H_Direct=1,DD75&gt;0),MAX(0,YC75-(MIN(DD75*UQ75,(YC75+ABP75))-MIN(MIN(DD75*UQ75,(YC75+ABP75)),ABP75))),YC75)</f>
        <v>1270</v>
      </c>
      <c r="YE75" s="20" t="n">
        <f aca="false">IF(AND(H_Direct=1,DE75&gt;0),MAX(0,YD75-(MIN(DE75*UR75,(YD75+ABQ75))-MIN(MIN(DE75*UR75,(YD75+ABQ75)),ABQ75))),YD75)</f>
        <v>1270</v>
      </c>
      <c r="YF75" s="20" t="n">
        <f aca="false">IF(AND(H_Direct=1,DF75&gt;0),MAX(0,YE75-(MIN(DF75*US75,(YE75+ABR75))-MIN(MIN(DF75*US75,(YE75+ABR75)),ABR75))),YE75)</f>
        <v>1270</v>
      </c>
      <c r="YG75" s="20" t="n">
        <f aca="false">IF(AND(H_Direct=1,DG75&gt;0),MAX(0,YF75-(MIN(DG75*UT75,(YF75+ABS75))-MIN(MIN(DG75*UT75,(YF75+ABS75)),ABS75))),YF75)</f>
        <v>1270</v>
      </c>
      <c r="YH75" s="20" t="n">
        <f aca="false">IF(AND(H_Direct=1,DH75&gt;0),MAX(0,YG75-(MIN(DH75*UU75,(YG75+ABT75))-MIN(MIN(DH75*UU75,(YG75+ABT75)),ABT75))),YG75)</f>
        <v>1270</v>
      </c>
      <c r="YI75" s="20" t="n">
        <f aca="false">IF(AND(H_Direct=1,DI75&gt;0),MAX(0,YH75-(MIN(DI75*UV75,(YH75+ABU75))-MIN(MIN(DI75*UV75,(YH75+ABU75)),ABU75))),YH75)</f>
        <v>1270</v>
      </c>
      <c r="YJ75" s="20" t="n">
        <f aca="false">IF(AND(H_Direct=1,DJ75&gt;0),MAX(0,YI75-(MIN(DJ75*UW75,(YI75+ABV75))-MIN(MIN(DJ75*UW75,(YI75+ABV75)),ABV75))),YI75)</f>
        <v>1270</v>
      </c>
      <c r="YK75" s="20" t="n">
        <f aca="false">IF(AND(H_Direct=1,DK75&gt;0),MAX(0,YJ75-(MIN(DK75*UX75,(YJ75+ABW75))-MIN(MIN(DK75*UX75,(YJ75+ABW75)),ABW75))),YJ75)</f>
        <v>1270</v>
      </c>
      <c r="YL75" s="20" t="n">
        <f aca="false">IF(AND(H_Direct=1,DL75&gt;0),MAX(0,YK75-(MIN(DL75*UY75,(YK75+ABX75))-MIN(MIN(DL75*UY75,(YK75+ABX75)),ABX75))),YK75)</f>
        <v>1270</v>
      </c>
      <c r="YM75" s="20" t="n">
        <f aca="false">IF(AND(H_Direct=1,DM75&gt;0),MAX(0,YL75-(MIN(DM75*UZ75,(YL75+ABY75))-MIN(MIN(DM75*UZ75,(YL75+ABY75)),ABY75))),YL75)</f>
        <v>1270</v>
      </c>
      <c r="YN75" s="20" t="n">
        <f aca="false">IF(AND(H_Direct=1,DN75&gt;0),MAX(0,YM75-(MIN(DN75*VA75,(YM75+ABZ75))-MIN(MIN(DN75*VA75,(YM75+ABZ75)),ABZ75))),YM75)</f>
        <v>1270</v>
      </c>
      <c r="YO75" s="20" t="n">
        <f aca="false">IF(AND(H_Direct=1,DO75&gt;0),MAX(0,YN75-(MIN(DO75*VB75,(YN75+ACA75))-MIN(MIN(DO75*VB75,(YN75+ACA75)),ACA75))),YN75)</f>
        <v>1270</v>
      </c>
      <c r="YP75" s="20" t="n">
        <f aca="false">IF(AND(H_Direct=1,DP75&gt;0),MAX(0,YO75-(MIN(DP75*VC75,(YO75+ACB75))-MIN(MIN(DP75*VC75,(YO75+ACB75)),ACB75))),YO75)</f>
        <v>1270</v>
      </c>
      <c r="YQ75" s="20" t="n">
        <f aca="false">IF(AND(H_Direct=1,DQ75&gt;0),MAX(0,YP75-(MIN(DQ75*VD75,(YP75+ACC75))-MIN(MIN(DQ75*VD75,(YP75+ACC75)),ACC75))),YP75)</f>
        <v>1270</v>
      </c>
      <c r="YR75" s="20" t="n">
        <f aca="false">IF(AND(H_Direct=1,DR75&gt;0),MAX(0,YQ75-(MIN(DR75*VE75,(YQ75+ACD75))-MIN(MIN(DR75*VE75,(YQ75+ACD75)),ACD75))),YQ75)</f>
        <v>1270</v>
      </c>
      <c r="YS75" s="20" t="n">
        <f aca="false">IF(AND(H_Direct=1,DS75&gt;0),MAX(0,YR75-(MIN(DS75*VF75,(YR75+ACE75))-MIN(MIN(DS75*VF75,(YR75+ACE75)),ACE75))),YR75)</f>
        <v>1270</v>
      </c>
      <c r="YT75" s="20" t="n">
        <f aca="false">IF(AND(H_Direct=1,DT75&gt;0),MAX(0,YS75-(MIN(DT75*VG75,(YS75+ACF75))-MIN(MIN(DT75*VG75,(YS75+ACF75)),ACF75))),YS75)</f>
        <v>1270</v>
      </c>
      <c r="YU75" s="20" t="n">
        <f aca="false">IF(AND(H_Direct=1,DU75&gt;0),MAX(0,YT75-(MIN(DU75*VH75,(YT75+ACG75))-MIN(MIN(DU75*VH75,(YT75+ACG75)),ACG75))),YT75)</f>
        <v>1270</v>
      </c>
      <c r="YV75" s="20" t="n">
        <f aca="false">IF(AND(H_Direct=1,DV75&gt;0),MAX(0,YU75-(MIN(DV75*VI75,(YU75+ACH75))-MIN(MIN(DV75*VI75,(YU75+ACH75)),ACH75))),YU75)</f>
        <v>1270</v>
      </c>
      <c r="YW75" s="20" t="n">
        <f aca="false">IF(AND(H_Direct=1,DW75&gt;0),MAX(0,YV75-(MIN(DW75*VJ75,(YV75+ACI75))-MIN(MIN(DW75*VJ75,(YV75+ACI75)),ACI75))),YV75)</f>
        <v>1270</v>
      </c>
      <c r="YX75" s="20" t="n">
        <f aca="false">IF(AND(H_Direct=1,DX75&gt;0),MAX(0,YW75-(MIN(DX75*VK75,(YW75+ACJ75))-MIN(MIN(DX75*VK75,(YW75+ACJ75)),ACJ75))),YW75)</f>
        <v>1270</v>
      </c>
      <c r="YY75" s="20" t="n">
        <f aca="false">IF(AND(H_Direct=1,DY75&gt;0),MAX(0,YX75-(MIN(DY75*VL75,(YX75+ACK75))-MIN(MIN(DY75*VL75,(YX75+ACK75)),ACK75))),YX75)</f>
        <v>1270</v>
      </c>
      <c r="YZ75" s="20" t="n">
        <f aca="false">IF(AND(H_Direct=1,DZ75&gt;0),MAX(0,YY75-(MIN(DZ75*VM75,(YY75+ACL75))-MIN(MIN(DZ75*VM75,(YY75+ACL75)),ACL75))),YY75)</f>
        <v>1270</v>
      </c>
      <c r="ZA75" s="20" t="n">
        <f aca="false">IF(AND(H_Direct=1,EA75&gt;0),MAX(0,YZ75-(MIN(EA75*VN75,(YZ75+ACM75))-MIN(MIN(EA75*VN75,(YZ75+ACM75)),ACM75))),YZ75)</f>
        <v>1270</v>
      </c>
      <c r="ZB75" s="20" t="n">
        <f aca="false">IF(AND(H_Direct=1,EB75&gt;0),MAX(0,ZA75-(MIN(EB75*VO75,(ZA75+ACN75))-MIN(MIN(EB75*VO75,(ZA75+ACN75)),ACN75))),ZA75)</f>
        <v>1270</v>
      </c>
      <c r="ZC75" s="20" t="n">
        <f aca="false">IF(AND(H_Direct=1,EC75&gt;0),MAX(0,ZB75-(MIN(EC75*VP75,(ZB75+ACO75))-MIN(MIN(EC75*VP75,(ZB75+ACO75)),ACO75))),ZB75)</f>
        <v>1270</v>
      </c>
      <c r="ZD75" s="20" t="n">
        <f aca="false">IF(AND(H_Direct=1,ED75&gt;0),MAX(0,ZC75-(MIN(ED75*VQ75,(ZC75+ACP75))-MIN(MIN(ED75*VQ75,(ZC75+ACP75)),ACP75))),ZC75)</f>
        <v>1270</v>
      </c>
      <c r="ZE75" s="20" t="n">
        <f aca="false">IF(AND(H_Direct=1,EE75&gt;0),MAX(0,ZD75-(MIN(EE75*VR75,(ZD75+ACQ75))-MIN(MIN(EE75*VR75,(ZD75+ACQ75)),ACQ75))),ZD75)</f>
        <v>1270</v>
      </c>
      <c r="ZF75" s="20" t="n">
        <f aca="false">IF(AND(H_Direct=1,EF75&gt;0),MAX(0,ZE75-(MIN(EF75*VS75,(ZE75+ACR75))-MIN(MIN(EF75*VS75,(ZE75+ACR75)),ACR75))),ZE75)</f>
        <v>1270</v>
      </c>
      <c r="ZG75" s="20" t="n">
        <f aca="false">IF(AND(H_Direct=1,EG75&gt;0),MAX(0,ZF75-(MIN(EG75*VT75,(ZF75+ACS75))-MIN(MIN(EG75*VT75,(ZF75+ACS75)),ACS75))),ZF75)</f>
        <v>1270</v>
      </c>
      <c r="ZH75" s="20" t="n">
        <f aca="false">IF(AND(H_Direct=1,EH75&gt;0),MAX(0,ZG75-(MIN(EH75*VU75,(ZG75+ACT75))-MIN(MIN(EH75*VU75,(ZG75+ACT75)),ACT75))),ZG75)</f>
        <v>1270</v>
      </c>
      <c r="ZI75" s="20" t="n">
        <f aca="false">ZH75</f>
        <v>1270</v>
      </c>
      <c r="ZJ75" s="20" t="n">
        <f aca="false">ZI75</f>
        <v>1270</v>
      </c>
      <c r="ZK75" s="20" t="n">
        <f aca="false">ZJ75</f>
        <v>1270</v>
      </c>
      <c r="ZL75" s="20" t="n">
        <f aca="false">ZK75</f>
        <v>1270</v>
      </c>
      <c r="ZM75" s="20" t="n">
        <f aca="false">ZL75</f>
        <v>1270</v>
      </c>
      <c r="ZN75" s="20" t="n">
        <f aca="false">ZM75</f>
        <v>1270</v>
      </c>
      <c r="ZO75" s="20" t="n">
        <f aca="false">ZN75</f>
        <v>1270</v>
      </c>
      <c r="ZP75" s="20" t="n">
        <f aca="false">ZO75</f>
        <v>1270</v>
      </c>
      <c r="ZQ75" s="20" t="n">
        <f aca="false">ZP75</f>
        <v>1270</v>
      </c>
      <c r="ZR75" s="20" t="n">
        <f aca="false">ZQ75</f>
        <v>1270</v>
      </c>
      <c r="ZS75" s="20" t="n">
        <f aca="false">ZR75</f>
        <v>1270</v>
      </c>
      <c r="ZT75" s="20" t="n">
        <f aca="false">ZS75</f>
        <v>1270</v>
      </c>
      <c r="ZU75" s="20" t="n">
        <f aca="false">ZT75</f>
        <v>1270</v>
      </c>
      <c r="ZV75" s="20" t="n">
        <f aca="false">ZU75</f>
        <v>1270</v>
      </c>
      <c r="ZW75" s="20" t="n">
        <f aca="false">ZV75</f>
        <v>1270</v>
      </c>
      <c r="ZX75" s="20" t="n">
        <f aca="false">ZW75</f>
        <v>1270</v>
      </c>
      <c r="ZY75" s="20" t="n">
        <f aca="false">ZX75</f>
        <v>1270</v>
      </c>
      <c r="ZZ75" s="20" t="n">
        <f aca="false">ZY75</f>
        <v>1270</v>
      </c>
      <c r="AAA75" s="20" t="n">
        <f aca="false">ZZ75</f>
        <v>1270</v>
      </c>
      <c r="AAB75" s="20" t="n">
        <f aca="false">AAA75</f>
        <v>1270</v>
      </c>
      <c r="AAC75" s="20" t="n">
        <f aca="false">AAB75</f>
        <v>1270</v>
      </c>
      <c r="AAD75" s="20" t="n">
        <f aca="false">AAC75</f>
        <v>1270</v>
      </c>
      <c r="AAE75" s="20" t="n">
        <f aca="false">IF(H_Direct=1,IF(BR75&lt;=0,I75-BR75*TE75,I75-MIN(MIN(BR75*TE75,(H75+I75)),I75)),I75)</f>
        <v>0</v>
      </c>
      <c r="AAF75" s="20" t="n">
        <f aca="false">IF(H_Direct=1,IF(BS75&lt;=0,AAE75-BS75*TF75,AAE75-MIN(MIN(BS75*TF75,(WR75+AAE75)),AAE75)),AAE75)</f>
        <v>0</v>
      </c>
      <c r="AAG75" s="20" t="n">
        <f aca="false">IF(H_Direct=1,IF(BT75&lt;=0,AAF75-BT75*TG75,AAF75-MIN(MIN(BT75*TG75,(WS75+AAF75)),AAF75)),AAF75)</f>
        <v>0</v>
      </c>
      <c r="AAH75" s="20" t="n">
        <f aca="false">IF(H_Direct=1,IF(BU75&lt;=0,AAG75-BU75*TH75,AAG75-MIN(MIN(BU75*TH75,(WT75+AAG75)),AAG75)),AAG75)</f>
        <v>0</v>
      </c>
      <c r="AAI75" s="20" t="n">
        <f aca="false">IF(H_Direct=1,IF(BV75&lt;=0,AAH75-BV75*TI75,AAH75-MIN(MIN(BV75*TI75,(WU75+AAH75)),AAH75)),AAH75)</f>
        <v>0</v>
      </c>
      <c r="AAJ75" s="20" t="n">
        <f aca="false">IF(H_Direct=1,IF(BW75&lt;=0,AAI75-BW75*TJ75,AAI75-MIN(MIN(BW75*TJ75,(WV75+AAI75)),AAI75)),AAI75)</f>
        <v>0</v>
      </c>
      <c r="AAK75" s="20" t="n">
        <f aca="false">IF(H_Direct=1,IF(BX75&lt;=0,AAJ75-BX75*TK75,AAJ75-MIN(MIN(BX75*TK75,(WW75+AAJ75)),AAJ75)),AAJ75)</f>
        <v>0</v>
      </c>
      <c r="AAL75" s="20" t="n">
        <f aca="false">IF(H_Direct=1,IF(BY75&lt;=0,AAK75-BY75*TL75,AAK75-MIN(MIN(BY75*TL75,(WX75+AAK75)),AAK75)),AAK75)</f>
        <v>0</v>
      </c>
      <c r="AAM75" s="20" t="n">
        <f aca="false">IF(H_Direct=1,IF(BZ75&lt;=0,AAL75-BZ75*TM75,AAL75-MIN(MIN(BZ75*TM75,(WY75+AAL75)),AAL75)),AAL75)</f>
        <v>0</v>
      </c>
      <c r="AAN75" s="20" t="n">
        <f aca="false">IF(H_Direct=1,IF(CA75&lt;=0,AAM75-CA75*TN75,AAM75-MIN(MIN(CA75*TN75,(WZ75+AAM75)),AAM75)),AAM75)</f>
        <v>0</v>
      </c>
      <c r="AAO75" s="20" t="n">
        <f aca="false">IF(H_Direct=1,IF(CB75&lt;=0,AAN75-CB75*TO75,AAN75-MIN(MIN(CB75*TO75,(XA75+AAN75)),AAN75)),AAN75)</f>
        <v>0</v>
      </c>
      <c r="AAP75" s="20" t="n">
        <f aca="false">IF(H_Direct=1,IF(CC75&lt;=0,AAO75-CC75*TP75,AAO75-MIN(MIN(CC75*TP75,(XB75+AAO75)),AAO75)),AAO75)</f>
        <v>0</v>
      </c>
      <c r="AAQ75" s="20" t="n">
        <f aca="false">IF(H_Direct=1,IF(CD75&lt;=0,AAP75-CD75*TQ75,AAP75-MIN(MIN(CD75*TQ75,(XC75+AAP75)),AAP75)),AAP75)</f>
        <v>0</v>
      </c>
      <c r="AAR75" s="20" t="n">
        <f aca="false">IF(H_Direct=1,IF(CE75&lt;=0,AAQ75-CE75*TR75,AAQ75-MIN(MIN(CE75*TR75,(XD75+AAQ75)),AAQ75)),AAQ75)</f>
        <v>0</v>
      </c>
      <c r="AAS75" s="20" t="n">
        <f aca="false">IF(H_Direct=1,IF(CF75&lt;=0,AAR75-CF75*TS75,AAR75-MIN(MIN(CF75*TS75,(XE75+AAR75)),AAR75)),AAR75)</f>
        <v>0</v>
      </c>
      <c r="AAT75" s="20" t="n">
        <f aca="false">IF(H_Direct=1,IF(CG75&lt;=0,AAS75-CG75*TT75,AAS75-MIN(MIN(CG75*TT75,(XF75+AAS75)),AAS75)),AAS75)</f>
        <v>0</v>
      </c>
      <c r="AAU75" s="20" t="n">
        <f aca="false">IF(H_Direct=1,IF(CH75&lt;=0,AAT75-CH75*TU75,AAT75-MIN(MIN(CH75*TU75,(XG75+AAT75)),AAT75)),AAT75)</f>
        <v>0</v>
      </c>
      <c r="AAV75" s="20" t="n">
        <f aca="false">IF(H_Direct=1,IF(CI75&lt;=0,AAU75-CI75*TV75,AAU75-MIN(MIN(CI75*TV75,(XH75+AAU75)),AAU75)),AAU75)</f>
        <v>0</v>
      </c>
      <c r="AAW75" s="20" t="n">
        <f aca="false">IF(H_Direct=1,IF(CJ75&lt;=0,AAV75-CJ75*TW75,AAV75-MIN(MIN(CJ75*TW75,(XI75+AAV75)),AAV75)),AAV75)</f>
        <v>0</v>
      </c>
      <c r="AAX75" s="20" t="n">
        <f aca="false">IF(H_Direct=1,IF(CK75&lt;=0,AAW75-CK75*TX75,AAW75-MIN(MIN(CK75*TX75,(XJ75+AAW75)),AAW75)),AAW75)</f>
        <v>0</v>
      </c>
      <c r="AAY75" s="20" t="n">
        <f aca="false">IF(H_Direct=1,IF(CL75&lt;=0,AAX75-CL75*TY75,AAX75-MIN(MIN(CL75*TY75,(XK75+AAX75)),AAX75)),AAX75)</f>
        <v>0</v>
      </c>
      <c r="AAZ75" s="20" t="n">
        <f aca="false">IF(H_Direct=1,IF(CM75&lt;=0,AAY75-CM75*TZ75,AAY75-MIN(MIN(CM75*TZ75,(XL75+AAY75)),AAY75)),AAY75)</f>
        <v>0</v>
      </c>
      <c r="ABA75" s="20" t="n">
        <f aca="false">IF(H_Direct=1,IF(CN75&lt;=0,AAZ75-CN75*UA75,AAZ75-MIN(MIN(CN75*UA75,(XM75+AAZ75)),AAZ75)),AAZ75)</f>
        <v>0</v>
      </c>
      <c r="ABB75" s="20" t="n">
        <f aca="false">IF(H_Direct=1,IF(CO75&lt;=0,ABA75-CO75*UB75,ABA75-MIN(MIN(CO75*UB75,(XN75+ABA75)),ABA75)),ABA75)</f>
        <v>0</v>
      </c>
      <c r="ABC75" s="20" t="n">
        <f aca="false">IF(H_Direct=1,IF(CP75&lt;=0,ABB75-CP75*UC75,ABB75-MIN(MIN(CP75*UC75,(XO75+ABB75)),ABB75)),ABB75)</f>
        <v>0</v>
      </c>
      <c r="ABD75" s="20" t="n">
        <f aca="false">IF(H_Direct=1,IF(CQ75&lt;=0,ABC75-CQ75*UD75,ABC75-MIN(MIN(CQ75*UD75,(XP75+ABC75)),ABC75)),ABC75)</f>
        <v>0</v>
      </c>
      <c r="ABE75" s="20" t="n">
        <f aca="false">IF(H_Direct=1,IF(CR75&lt;=0,ABD75-CR75*UE75,ABD75-MIN(MIN(CR75*UE75,(XQ75+ABD75)),ABD75)),ABD75)</f>
        <v>0</v>
      </c>
      <c r="ABF75" s="20" t="n">
        <f aca="false">IF(H_Direct=1,IF(CS75&lt;=0,ABE75-CS75*UF75,ABE75-MIN(MIN(CS75*UF75,(XR75+ABE75)),ABE75)),ABE75)</f>
        <v>0</v>
      </c>
      <c r="ABG75" s="20" t="n">
        <f aca="false">IF(H_Direct=1,IF(CT75&lt;=0,ABF75-CT75*UG75,ABF75-MIN(MIN(CT75*UG75,(XS75+ABF75)),ABF75)),ABF75)</f>
        <v>0</v>
      </c>
      <c r="ABH75" s="20" t="n">
        <f aca="false">IF(H_Direct=1,IF(CU75&lt;=0,ABG75-CU75*UH75,ABG75-MIN(MIN(CU75*UH75,(XT75+ABG75)),ABG75)),ABG75)</f>
        <v>0</v>
      </c>
      <c r="ABI75" s="20" t="n">
        <f aca="false">IF(H_Direct=1,IF(CV75&lt;=0,ABH75-CV75*UI75,ABH75-MIN(MIN(CV75*UI75,(XU75+ABH75)),ABH75)),ABH75)</f>
        <v>0</v>
      </c>
      <c r="ABJ75" s="20" t="n">
        <f aca="false">IF(H_Direct=1,IF(CW75&lt;=0,ABI75-CW75*UJ75,ABI75-MIN(MIN(CW75*UJ75,(XV75+ABI75)),ABI75)),ABI75)</f>
        <v>0</v>
      </c>
      <c r="ABK75" s="20" t="n">
        <f aca="false">IF(H_Direct=1,IF(CX75&lt;=0,ABJ75-CX75*UK75,ABJ75-MIN(MIN(CX75*UK75,(XW75+ABJ75)),ABJ75)),ABJ75)</f>
        <v>0</v>
      </c>
      <c r="ABL75" s="20" t="n">
        <f aca="false">IF(H_Direct=1,IF(CY75&lt;=0,ABK75-CY75*UL75,ABK75-MIN(MIN(CY75*UL75,(XX75+ABK75)),ABK75)),ABK75)</f>
        <v>0</v>
      </c>
      <c r="ABM75" s="20" t="n">
        <f aca="false">IF(H_Direct=1,IF(CZ75&lt;=0,ABL75-CZ75*UM75,ABL75-MIN(MIN(CZ75*UM75,(XY75+ABL75)),ABL75)),ABL75)</f>
        <v>0</v>
      </c>
      <c r="ABN75" s="20" t="n">
        <f aca="false">IF(H_Direct=1,IF(DA75&lt;=0,ABM75-DA75*UN75,ABM75-MIN(MIN(DA75*UN75,(XZ75+ABM75)),ABM75)),ABM75)</f>
        <v>0</v>
      </c>
      <c r="ABO75" s="20" t="n">
        <f aca="false">IF(H_Direct=1,IF(DB75&lt;=0,ABN75-DB75*UO75,ABN75-MIN(MIN(DB75*UO75,(YA75+ABN75)),ABN75)),ABN75)</f>
        <v>0</v>
      </c>
      <c r="ABP75" s="20" t="n">
        <f aca="false">IF(H_Direct=1,IF(DC75&lt;=0,ABO75-DC75*UP75,ABO75-MIN(MIN(DC75*UP75,(YB75+ABO75)),ABO75)),ABO75)</f>
        <v>0</v>
      </c>
      <c r="ABQ75" s="20" t="n">
        <f aca="false">IF(H_Direct=1,IF(DD75&lt;=0,ABP75-DD75*UQ75,ABP75-MIN(MIN(DD75*UQ75,(YC75+ABP75)),ABP75)),ABP75)</f>
        <v>0</v>
      </c>
      <c r="ABR75" s="20" t="n">
        <f aca="false">IF(H_Direct=1,IF(DE75&lt;=0,ABQ75-DE75*UR75,ABQ75-MIN(MIN(DE75*UR75,(YD75+ABQ75)),ABQ75)),ABQ75)</f>
        <v>0</v>
      </c>
      <c r="ABS75" s="20" t="n">
        <f aca="false">IF(H_Direct=1,IF(DF75&lt;=0,ABR75-DF75*US75,ABR75-MIN(MIN(DF75*US75,(YE75+ABR75)),ABR75)),ABR75)</f>
        <v>0</v>
      </c>
      <c r="ABT75" s="20" t="n">
        <f aca="false">IF(H_Direct=1,IF(DG75&lt;=0,ABS75-DG75*UT75,ABS75-MIN(MIN(DG75*UT75,(YF75+ABS75)),ABS75)),ABS75)</f>
        <v>0</v>
      </c>
      <c r="ABU75" s="20" t="n">
        <f aca="false">IF(H_Direct=1,IF(DH75&lt;=0,ABT75-DH75*UU75,ABT75-MIN(MIN(DH75*UU75,(YG75+ABT75)),ABT75)),ABT75)</f>
        <v>0</v>
      </c>
      <c r="ABV75" s="20" t="n">
        <f aca="false">IF(H_Direct=1,IF(DI75&lt;=0,ABU75-DI75*UV75,ABU75-MIN(MIN(DI75*UV75,(YH75+ABU75)),ABU75)),ABU75)</f>
        <v>0</v>
      </c>
      <c r="ABW75" s="20" t="n">
        <f aca="false">IF(H_Direct=1,IF(DJ75&lt;=0,ABV75-DJ75*UW75,ABV75-MIN(MIN(DJ75*UW75,(YI75+ABV75)),ABV75)),ABV75)</f>
        <v>0</v>
      </c>
      <c r="ABX75" s="20" t="n">
        <f aca="false">IF(H_Direct=1,IF(DK75&lt;=0,ABW75-DK75*UX75,ABW75-MIN(MIN(DK75*UX75,(YJ75+ABW75)),ABW75)),ABW75)</f>
        <v>0</v>
      </c>
      <c r="ABY75" s="20" t="n">
        <f aca="false">IF(H_Direct=1,IF(DL75&lt;=0,ABX75-DL75*UY75,ABX75-MIN(MIN(DL75*UY75,(YK75+ABX75)),ABX75)),ABX75)</f>
        <v>0</v>
      </c>
      <c r="ABZ75" s="20" t="n">
        <f aca="false">IF(H_Direct=1,IF(DM75&lt;=0,ABY75-DM75*UZ75,ABY75-MIN(MIN(DM75*UZ75,(YL75+ABY75)),ABY75)),ABY75)</f>
        <v>0</v>
      </c>
      <c r="ACA75" s="20" t="n">
        <f aca="false">IF(H_Direct=1,IF(DN75&lt;=0,ABZ75-DN75*VA75,ABZ75-MIN(MIN(DN75*VA75,(YM75+ABZ75)),ABZ75)),ABZ75)</f>
        <v>0</v>
      </c>
      <c r="ACB75" s="20" t="n">
        <f aca="false">IF(H_Direct=1,IF(DO75&lt;=0,ACA75-DO75*VB75,ACA75-MIN(MIN(DO75*VB75,(YN75+ACA75)),ACA75)),ACA75)</f>
        <v>0</v>
      </c>
      <c r="ACC75" s="20" t="n">
        <f aca="false">IF(H_Direct=1,IF(DP75&lt;=0,ACB75-DP75*VC75,ACB75-MIN(MIN(DP75*VC75,(YO75+ACB75)),ACB75)),ACB75)</f>
        <v>0</v>
      </c>
      <c r="ACD75" s="20" t="n">
        <f aca="false">IF(H_Direct=1,IF(DQ75&lt;=0,ACC75-DQ75*VD75,ACC75-MIN(MIN(DQ75*VD75,(YP75+ACC75)),ACC75)),ACC75)</f>
        <v>0</v>
      </c>
      <c r="ACE75" s="20" t="n">
        <f aca="false">IF(H_Direct=1,IF(DR75&lt;=0,ACD75-DR75*VE75,ACD75-MIN(MIN(DR75*VE75,(YQ75+ACD75)),ACD75)),ACD75)</f>
        <v>0</v>
      </c>
      <c r="ACF75" s="20" t="n">
        <f aca="false">IF(H_Direct=1,IF(DS75&lt;=0,ACE75-DS75*VF75,ACE75-MIN(MIN(DS75*VF75,(YR75+ACE75)),ACE75)),ACE75)</f>
        <v>0</v>
      </c>
      <c r="ACG75" s="20" t="n">
        <f aca="false">IF(H_Direct=1,IF(DT75&lt;=0,ACF75-DT75*VG75,ACF75-MIN(MIN(DT75*VG75,(YS75+ACF75)),ACF75)),ACF75)</f>
        <v>0</v>
      </c>
      <c r="ACH75" s="20" t="n">
        <f aca="false">IF(H_Direct=1,IF(DU75&lt;=0,ACG75-DU75*VH75,ACG75-MIN(MIN(DU75*VH75,(YT75+ACG75)),ACG75)),ACG75)</f>
        <v>0</v>
      </c>
      <c r="ACI75" s="20" t="n">
        <f aca="false">IF(H_Direct=1,IF(DV75&lt;=0,ACH75-DV75*VI75,ACH75-MIN(MIN(DV75*VI75,(YU75+ACH75)),ACH75)),ACH75)</f>
        <v>0</v>
      </c>
      <c r="ACJ75" s="20" t="n">
        <f aca="false">IF(H_Direct=1,IF(DW75&lt;=0,ACI75-DW75*VJ75,ACI75-MIN(MIN(DW75*VJ75,(YV75+ACI75)),ACI75)),ACI75)</f>
        <v>0</v>
      </c>
      <c r="ACK75" s="20" t="n">
        <f aca="false">IF(H_Direct=1,IF(DX75&lt;=0,ACJ75-DX75*VK75,ACJ75-MIN(MIN(DX75*VK75,(YW75+ACJ75)),ACJ75)),ACJ75)</f>
        <v>0</v>
      </c>
      <c r="ACL75" s="20" t="n">
        <f aca="false">IF(H_Direct=1,IF(DY75&lt;=0,ACK75-DY75*VL75,ACK75-MIN(MIN(DY75*VL75,(YX75+ACK75)),ACK75)),ACK75)</f>
        <v>0</v>
      </c>
      <c r="ACM75" s="20" t="n">
        <f aca="false">IF(H_Direct=1,IF(DZ75&lt;=0,ACL75-DZ75*VM75,ACL75-MIN(MIN(DZ75*VM75,(YY75+ACL75)),ACL75)),ACL75)</f>
        <v>0</v>
      </c>
      <c r="ACN75" s="20" t="n">
        <f aca="false">IF(H_Direct=1,IF(EA75&lt;=0,ACM75-EA75*VN75,ACM75-MIN(MIN(EA75*VN75,(YZ75+ACM75)),ACM75)),ACM75)</f>
        <v>0</v>
      </c>
      <c r="ACO75" s="20" t="n">
        <f aca="false">IF(H_Direct=1,IF(EB75&lt;=0,ACN75-EB75*VO75,ACN75-MIN(MIN(EB75*VO75,(ZA75+ACN75)),ACN75)),ACN75)</f>
        <v>0</v>
      </c>
      <c r="ACP75" s="20" t="n">
        <f aca="false">IF(H_Direct=1,IF(EC75&lt;=0,ACO75-EC75*VP75,ACO75-MIN(MIN(EC75*VP75,(ZB75+ACO75)),ACO75)),ACO75)</f>
        <v>0</v>
      </c>
      <c r="ACQ75" s="20" t="n">
        <f aca="false">IF(H_Direct=1,IF(ED75&lt;=0,ACP75-ED75*VQ75,ACP75-MIN(MIN(ED75*VQ75,(ZC75+ACP75)),ACP75)),ACP75)</f>
        <v>0</v>
      </c>
      <c r="ACR75" s="20" t="n">
        <f aca="false">IF(H_Direct=1,IF(EE75&lt;=0,ACQ75-EE75*VR75,ACQ75-MIN(MIN(EE75*VR75,(ZD75+ACQ75)),ACQ75)),ACQ75)</f>
        <v>0</v>
      </c>
      <c r="ACS75" s="20" t="n">
        <f aca="false">IF(H_Direct=1,IF(EF75&lt;=0,ACR75-EF75*VS75,ACR75-MIN(MIN(EF75*VS75,(ZE75+ACR75)),ACR75)),ACR75)</f>
        <v>0</v>
      </c>
      <c r="ACT75" s="20" t="n">
        <f aca="false">IF(H_Direct=1,IF(EG75&lt;=0,ACS75-EG75*VT75,ACS75-MIN(MIN(EG75*VT75,(ZF75+ACS75)),ACS75)),ACS75)</f>
        <v>0</v>
      </c>
      <c r="ACU75" s="20" t="n">
        <f aca="false">IF(H_Direct=1,IF(EH75&lt;=0,ACT75-EH75*VU75,ACT75-MIN(MIN(EH75*VU75,(ZG75+ACT75)),ACT75)),ACT75)</f>
        <v>0</v>
      </c>
      <c r="ACV75" s="20" t="n">
        <f aca="false">ACU75</f>
        <v>0</v>
      </c>
      <c r="ACW75" s="20" t="n">
        <f aca="false">ACV75</f>
        <v>0</v>
      </c>
      <c r="ACX75" s="20" t="n">
        <f aca="false">ACW75</f>
        <v>0</v>
      </c>
      <c r="ACY75" s="20" t="n">
        <f aca="false">ACX75</f>
        <v>0</v>
      </c>
      <c r="ACZ75" s="20" t="n">
        <f aca="false">ACY75</f>
        <v>0</v>
      </c>
      <c r="ADA75" s="20" t="n">
        <f aca="false">ACZ75</f>
        <v>0</v>
      </c>
      <c r="ADB75" s="20" t="n">
        <f aca="false">ADA75</f>
        <v>0</v>
      </c>
      <c r="ADC75" s="20" t="n">
        <f aca="false">ADB75</f>
        <v>0</v>
      </c>
      <c r="ADD75" s="20" t="n">
        <f aca="false">ADC75</f>
        <v>0</v>
      </c>
      <c r="ADE75" s="20" t="n">
        <f aca="false">ADD75</f>
        <v>0</v>
      </c>
      <c r="ADF75" s="20" t="n">
        <f aca="false">ADE75</f>
        <v>0</v>
      </c>
      <c r="ADG75" s="20" t="n">
        <f aca="false">ADF75</f>
        <v>0</v>
      </c>
      <c r="ADH75" s="20" t="n">
        <f aca="false">ADG75</f>
        <v>0</v>
      </c>
      <c r="ADI75" s="20" t="n">
        <f aca="false">ADH75</f>
        <v>0</v>
      </c>
      <c r="ADJ75" s="20" t="n">
        <f aca="false">ADI75</f>
        <v>0</v>
      </c>
      <c r="ADK75" s="20" t="n">
        <f aca="false">ADJ75</f>
        <v>0</v>
      </c>
      <c r="ADL75" s="20" t="n">
        <f aca="false">ADK75</f>
        <v>0</v>
      </c>
      <c r="ADM75" s="20" t="n">
        <f aca="false">ADL75</f>
        <v>0</v>
      </c>
      <c r="ADN75" s="20" t="n">
        <f aca="false">ADM75</f>
        <v>0</v>
      </c>
      <c r="ADO75" s="20" t="n">
        <f aca="false">ADN75</f>
        <v>0</v>
      </c>
      <c r="ADP75" s="20" t="n">
        <f aca="false">ADO75</f>
        <v>0</v>
      </c>
      <c r="ADQ75" s="20" t="n">
        <f aca="false">ADP75</f>
        <v>0</v>
      </c>
      <c r="ADR75" s="20" t="n">
        <f aca="false">(AKR74-TE75+0)*(1+BQ75)</f>
        <v>0</v>
      </c>
      <c r="ADS75" s="20" t="n">
        <f aca="false">(AKS74-TF75+0)*(1+BQ75)</f>
        <v>0</v>
      </c>
      <c r="ADT75" s="20" t="n">
        <f aca="false">(AKT74-TG75+0)*(1+BQ75)</f>
        <v>0</v>
      </c>
      <c r="ADU75" s="20" t="n">
        <f aca="false">(AKU74-TH75+0)*(1+BQ75)</f>
        <v>0</v>
      </c>
      <c r="ADV75" s="20" t="n">
        <f aca="false">(AKV74-TI75+0)*(1+BQ75)</f>
        <v>0</v>
      </c>
      <c r="ADW75" s="20" t="n">
        <f aca="false">(AKW74-TJ75+0)*(1+BQ75)</f>
        <v>0</v>
      </c>
      <c r="ADX75" s="20" t="n">
        <f aca="false">(AKX74-TK75+0)*(1+BQ75)</f>
        <v>0</v>
      </c>
      <c r="ADY75" s="20" t="n">
        <f aca="false">(AKY74-TL75+0)*(1+BQ75)</f>
        <v>0</v>
      </c>
      <c r="ADZ75" s="20" t="n">
        <f aca="false">(AKZ74-TM75+0)*(1+BQ75)</f>
        <v>0</v>
      </c>
      <c r="AEA75" s="20" t="n">
        <f aca="false">(ALA74-TN75+0)*(1+BQ75)</f>
        <v>0</v>
      </c>
      <c r="AEB75" s="20" t="n">
        <f aca="false">(ALB74-TO75+0)*(1+BQ75)</f>
        <v>0</v>
      </c>
      <c r="AEC75" s="20" t="n">
        <f aca="false">(ALC74-TP75+0)*(1+BQ75)</f>
        <v>0</v>
      </c>
      <c r="AED75" s="20" t="n">
        <f aca="false">(ALD74-TQ75+0)*(1+BQ75)</f>
        <v>0</v>
      </c>
      <c r="AEE75" s="20" t="n">
        <f aca="false">(ALE74-TR75+0)*(1+BQ75)</f>
        <v>0</v>
      </c>
      <c r="AEF75" s="20" t="n">
        <f aca="false">(ALF74-TS75+0)*(1+BQ75)</f>
        <v>0</v>
      </c>
      <c r="AEG75" s="20" t="n">
        <f aca="false">(ALG74-TT75+0)*(1+BQ75)</f>
        <v>0</v>
      </c>
      <c r="AEH75" s="20" t="n">
        <f aca="false">(ALH74-TU75+0)*(1+BQ75)</f>
        <v>0</v>
      </c>
      <c r="AEI75" s="20" t="n">
        <f aca="false">(ALI74-TV75+0)*(1+BQ75)</f>
        <v>0</v>
      </c>
      <c r="AEJ75" s="20" t="n">
        <f aca="false">(ALJ74-TW75+0)*(1+BQ75)</f>
        <v>0</v>
      </c>
      <c r="AEK75" s="20" t="n">
        <f aca="false">(ALK74-TX75+0)*(1+BQ75)</f>
        <v>0</v>
      </c>
      <c r="AEL75" s="20" t="n">
        <f aca="false">(ALL74-TY75+0)*(1+BQ75)</f>
        <v>0</v>
      </c>
      <c r="AEM75" s="20" t="n">
        <f aca="false">(ALM74-TZ75+0)*(1+BQ75)</f>
        <v>0</v>
      </c>
      <c r="AEN75" s="20" t="n">
        <f aca="false">(ALN74-UA75+0)*(1+BQ75)</f>
        <v>0</v>
      </c>
      <c r="AEO75" s="20" t="n">
        <f aca="false">(ALO74-UB75+0)*(1+BQ75)</f>
        <v>0</v>
      </c>
      <c r="AEP75" s="20" t="n">
        <f aca="false">(ALP74-UC75+0)*(1+BQ75)</f>
        <v>0</v>
      </c>
      <c r="AEQ75" s="20" t="n">
        <f aca="false">(ALQ74-UD75+0)*(1+BQ75)</f>
        <v>0</v>
      </c>
      <c r="AER75" s="20" t="n">
        <f aca="false">(ALR74-UE75+0)*(1+BQ75)</f>
        <v>0</v>
      </c>
      <c r="AES75" s="20" t="n">
        <f aca="false">(ALS74-UF75+0)*(1+BQ75)</f>
        <v>0</v>
      </c>
      <c r="AET75" s="20" t="n">
        <f aca="false">(ALT74-UG75+0)*(1+BQ75)</f>
        <v>0</v>
      </c>
      <c r="AEU75" s="20" t="n">
        <f aca="false">(ALU74-UH75+0)*(1+BQ75)</f>
        <v>0</v>
      </c>
      <c r="AEV75" s="20" t="n">
        <f aca="false">(ALV74-UI75+0)*(1+BQ75)</f>
        <v>0</v>
      </c>
      <c r="AEW75" s="20" t="n">
        <f aca="false">(ALW74-UJ75+0)*(1+BQ75)</f>
        <v>0</v>
      </c>
      <c r="AEX75" s="20" t="n">
        <f aca="false">(ALX74-UK75+0)*(1+BQ75)</f>
        <v>0</v>
      </c>
      <c r="AEY75" s="20" t="n">
        <f aca="false">(ALY74-UL75+0)*(1+BQ75)</f>
        <v>0</v>
      </c>
      <c r="AEZ75" s="20" t="n">
        <f aca="false">(ALZ74-UM75+0)*(1+BQ75)</f>
        <v>0</v>
      </c>
      <c r="AFA75" s="20" t="n">
        <f aca="false">(AMA74-UN75+0)*(1+BQ75)</f>
        <v>0</v>
      </c>
      <c r="AFB75" s="20" t="n">
        <f aca="false">(AMB74-UO75+0)*(1+BQ75)</f>
        <v>0</v>
      </c>
      <c r="AFC75" s="20" t="n">
        <f aca="false">(AMC74-UP75+0)*(1+BQ75)</f>
        <v>0</v>
      </c>
      <c r="AFD75" s="20" t="n">
        <f aca="false">(AMD74-UQ75+0)*(1+BQ75)</f>
        <v>0</v>
      </c>
      <c r="AFE75" s="20" t="n">
        <f aca="false">(AME74-UR75+0)*(1+BQ75)</f>
        <v>0</v>
      </c>
      <c r="AFF75" s="20" t="n">
        <f aca="false">(AMF74-US75+0)*(1+BQ75)</f>
        <v>0</v>
      </c>
      <c r="AFG75" s="20" t="n">
        <f aca="false">(AMG74-UT75+0)*(1+BQ75)</f>
        <v>0</v>
      </c>
      <c r="AFH75" s="20" t="n">
        <f aca="false">(AMH74-UU75+0)*(1+BQ75)</f>
        <v>0</v>
      </c>
      <c r="AFI75" s="20" t="n">
        <f aca="false">(AMI74-UV75+0)*(1+BQ75)</f>
        <v>0</v>
      </c>
      <c r="AFJ75" s="20" t="n">
        <f aca="false">(AMJ74-UW75+0)*(1+BQ75)</f>
        <v>0</v>
      </c>
      <c r="AFK75" s="20" t="n">
        <f aca="false">(AMK74-UX75+0)*(1+BQ75)</f>
        <v>0</v>
      </c>
      <c r="AFL75" s="20" t="n">
        <f aca="false">(AML74-UY75+0)*(1+BQ75)</f>
        <v>0</v>
      </c>
      <c r="AFM75" s="20" t="n">
        <f aca="false">(AMM74-UZ75+0)*(1+BQ75)</f>
        <v>0</v>
      </c>
      <c r="AFN75" s="20" t="n">
        <f aca="false">(AMN74-VA75+0)*(1+BQ75)</f>
        <v>0</v>
      </c>
      <c r="AFO75" s="20" t="n">
        <f aca="false">(AMO74-VB75+0)*(1+BQ75)</f>
        <v>0</v>
      </c>
      <c r="AFP75" s="20" t="n">
        <f aca="false">(AMP74-VC75+0)*(1+BQ75)</f>
        <v>0</v>
      </c>
      <c r="AFQ75" s="20" t="n">
        <f aca="false">(AMQ74-VD75+0)*(1+BQ75)</f>
        <v>0</v>
      </c>
      <c r="AFR75" s="20" t="n">
        <f aca="false">(AMR74-VE75+0)*(1+BQ75)</f>
        <v>0</v>
      </c>
      <c r="AFS75" s="20" t="n">
        <f aca="false">(AMS74-VF75+0)*(1+BQ75)</f>
        <v>0</v>
      </c>
      <c r="AFT75" s="20" t="n">
        <f aca="false">(AMT74-VG75+0)*(1+BQ75)</f>
        <v>0</v>
      </c>
      <c r="AFU75" s="20" t="n">
        <f aca="false">(AMU74-VH75+0)*(1+BQ75)</f>
        <v>0</v>
      </c>
      <c r="AFV75" s="20" t="n">
        <f aca="false">(AMV74-VI75+0)*(1+BQ75)</f>
        <v>0</v>
      </c>
      <c r="AFW75" s="20" t="n">
        <f aca="false">(AMW74-VJ75+0)*(1+BQ75)</f>
        <v>0</v>
      </c>
      <c r="AFX75" s="20" t="n">
        <f aca="false">(AMX74-VK75+0)*(1+BQ75)</f>
        <v>0</v>
      </c>
      <c r="AFY75" s="20" t="n">
        <f aca="false">(AMY74-VL75+0)*(1+BQ75)</f>
        <v>0</v>
      </c>
      <c r="AFZ75" s="20" t="n">
        <f aca="false">(AMZ74-VM75+0)*(1+BQ75)</f>
        <v>0</v>
      </c>
      <c r="AGA75" s="20" t="n">
        <f aca="false">(ANA74-VN75+0)*(1+BQ75)</f>
        <v>0</v>
      </c>
      <c r="AGB75" s="20" t="n">
        <f aca="false">(ANB74-VO75+0)*(1+BQ75)</f>
        <v>0</v>
      </c>
      <c r="AGC75" s="20" t="n">
        <f aca="false">(ANC74-VP75+0)*(1+BQ75)</f>
        <v>0</v>
      </c>
      <c r="AGD75" s="20" t="n">
        <f aca="false">(AND74-VQ75+0)*(1+BQ75)</f>
        <v>0</v>
      </c>
      <c r="AGE75" s="20" t="n">
        <f aca="false">(ANE74-VR75+0)*(1+BQ75)</f>
        <v>0</v>
      </c>
      <c r="AGF75" s="20" t="n">
        <f aca="false">(ANF74-VS75+0)*(1+BQ75)</f>
        <v>0</v>
      </c>
      <c r="AGG75" s="20" t="n">
        <f aca="false">(ANG74-VT75+0)*(1+BQ75)</f>
        <v>0</v>
      </c>
      <c r="AGH75" s="20" t="n">
        <f aca="false">((P75+S75)-VU75+BE75)*(1+BQ75)</f>
        <v>0</v>
      </c>
      <c r="AGI75" s="20" t="n">
        <v>0</v>
      </c>
      <c r="AGJ75" s="20" t="n">
        <v>0</v>
      </c>
      <c r="AGK75" s="20" t="n">
        <v>0</v>
      </c>
      <c r="AGL75" s="20" t="n">
        <v>0</v>
      </c>
      <c r="AGM75" s="20" t="n">
        <v>0</v>
      </c>
      <c r="AGN75" s="20" t="n">
        <v>0</v>
      </c>
      <c r="AGO75" s="20" t="n">
        <v>0</v>
      </c>
      <c r="AGP75" s="20" t="n">
        <v>0</v>
      </c>
      <c r="AGQ75" s="20" t="n">
        <v>0</v>
      </c>
      <c r="AGR75" s="20" t="n">
        <v>0</v>
      </c>
      <c r="AGS75" s="20" t="n">
        <v>0</v>
      </c>
      <c r="AGT75" s="20" t="n">
        <v>0</v>
      </c>
      <c r="AGU75" s="20" t="n">
        <v>0</v>
      </c>
      <c r="AGV75" s="20" t="n">
        <v>0</v>
      </c>
      <c r="AGW75" s="20" t="n">
        <v>0</v>
      </c>
      <c r="AGX75" s="20" t="n">
        <v>0</v>
      </c>
      <c r="AGY75" s="20" t="n">
        <v>0</v>
      </c>
      <c r="AGZ75" s="20" t="n">
        <v>0</v>
      </c>
      <c r="AHA75" s="20" t="n">
        <v>0</v>
      </c>
      <c r="AHB75" s="20" t="n">
        <v>0</v>
      </c>
      <c r="AHC75" s="20" t="n">
        <v>0</v>
      </c>
      <c r="AHD75" s="20" t="n">
        <v>0</v>
      </c>
      <c r="AHE75" s="20" t="n">
        <f aca="false">IF(AKR74&gt;0,AOE74-AOE74*TE75/AKR74,0)+0</f>
        <v>0</v>
      </c>
      <c r="AHF75" s="20" t="n">
        <f aca="false">IF(AKS74&gt;0,AOF74-AOF74*TF75/AKS74,0)+0</f>
        <v>0</v>
      </c>
      <c r="AHG75" s="20" t="n">
        <f aca="false">IF(AKT74&gt;0,AOG74-AOG74*TG75/AKT74,0)+0</f>
        <v>0</v>
      </c>
      <c r="AHH75" s="20" t="n">
        <f aca="false">IF(AKU74&gt;0,AOH74-AOH74*TH75/AKU74,0)+0</f>
        <v>0</v>
      </c>
      <c r="AHI75" s="20" t="n">
        <f aca="false">IF(AKV74&gt;0,AOI74-AOI74*TI75/AKV74,0)+0</f>
        <v>0</v>
      </c>
      <c r="AHJ75" s="20" t="n">
        <f aca="false">IF(AKW74&gt;0,AOJ74-AOJ74*TJ75/AKW74,0)+0</f>
        <v>0</v>
      </c>
      <c r="AHK75" s="20" t="n">
        <f aca="false">IF(AKX74&gt;0,AOK74-AOK74*TK75/AKX74,0)+0</f>
        <v>0</v>
      </c>
      <c r="AHL75" s="20" t="n">
        <f aca="false">IF(AKY74&gt;0,AOL74-AOL74*TL75/AKY74,0)+0</f>
        <v>0</v>
      </c>
      <c r="AHM75" s="20" t="n">
        <f aca="false">IF(AKZ74&gt;0,AOM74-AOM74*TM75/AKZ74,0)+0</f>
        <v>0</v>
      </c>
      <c r="AHN75" s="20" t="n">
        <f aca="false">IF(ALA74&gt;0,AON74-AON74*TN75/ALA74,0)+0</f>
        <v>0</v>
      </c>
      <c r="AHO75" s="20" t="n">
        <f aca="false">IF(ALB74&gt;0,AOO74-AOO74*TO75/ALB74,0)+0</f>
        <v>0</v>
      </c>
      <c r="AHP75" s="20" t="n">
        <f aca="false">IF(ALC74&gt;0,AOP74-AOP74*TP75/ALC74,0)+0</f>
        <v>0</v>
      </c>
      <c r="AHQ75" s="20" t="n">
        <f aca="false">IF(ALD74&gt;0,AOQ74-AOQ74*TQ75/ALD74,0)+0</f>
        <v>0</v>
      </c>
      <c r="AHR75" s="20" t="n">
        <f aca="false">IF(ALE74&gt;0,AOR74-AOR74*TR75/ALE74,0)+0</f>
        <v>0</v>
      </c>
      <c r="AHS75" s="20" t="n">
        <f aca="false">IF(ALF74&gt;0,AOS74-AOS74*TS75/ALF74,0)+0</f>
        <v>0</v>
      </c>
      <c r="AHT75" s="20" t="n">
        <f aca="false">IF(ALG74&gt;0,AOT74-AOT74*TT75/ALG74,0)+0</f>
        <v>0</v>
      </c>
      <c r="AHU75" s="20" t="n">
        <f aca="false">IF(ALH74&gt;0,AOU74-AOU74*TU75/ALH74,0)+0</f>
        <v>0</v>
      </c>
      <c r="AHV75" s="20" t="n">
        <f aca="false">IF(ALI74&gt;0,AOV74-AOV74*TV75/ALI74,0)+0</f>
        <v>0</v>
      </c>
      <c r="AHW75" s="20" t="n">
        <f aca="false">IF(ALJ74&gt;0,AOW74-AOW74*TW75/ALJ74,0)+0</f>
        <v>0</v>
      </c>
      <c r="AHX75" s="20" t="n">
        <f aca="false">IF(ALK74&gt;0,AOX74-AOX74*TX75/ALK74,0)+0</f>
        <v>0</v>
      </c>
      <c r="AHY75" s="20" t="n">
        <f aca="false">IF(ALL74&gt;0,AOY74-AOY74*TY75/ALL74,0)+0</f>
        <v>0</v>
      </c>
      <c r="AHZ75" s="20" t="n">
        <f aca="false">IF(ALM74&gt;0,AOZ74-AOZ74*TZ75/ALM74,0)+0</f>
        <v>0</v>
      </c>
      <c r="AIA75" s="20" t="n">
        <f aca="false">IF(ALN74&gt;0,APA74-APA74*UA75/ALN74,0)+0</f>
        <v>0</v>
      </c>
      <c r="AIB75" s="20" t="n">
        <f aca="false">IF(ALO74&gt;0,APB74-APB74*UB75/ALO74,0)+0</f>
        <v>0</v>
      </c>
      <c r="AIC75" s="20" t="n">
        <f aca="false">IF(ALP74&gt;0,APC74-APC74*UC75/ALP74,0)+0</f>
        <v>0</v>
      </c>
      <c r="AID75" s="20" t="n">
        <f aca="false">IF(ALQ74&gt;0,APD74-APD74*UD75/ALQ74,0)+0</f>
        <v>0</v>
      </c>
      <c r="AIE75" s="20" t="n">
        <f aca="false">IF(ALR74&gt;0,APE74-APE74*UE75/ALR74,0)+0</f>
        <v>0</v>
      </c>
      <c r="AIF75" s="20" t="n">
        <f aca="false">IF(ALS74&gt;0,APF74-APF74*UF75/ALS74,0)+0</f>
        <v>0</v>
      </c>
      <c r="AIG75" s="20" t="n">
        <f aca="false">IF(ALT74&gt;0,APG74-APG74*UG75/ALT74,0)+0</f>
        <v>0</v>
      </c>
      <c r="AIH75" s="20" t="n">
        <f aca="false">IF(ALU74&gt;0,APH74-APH74*UH75/ALU74,0)+0</f>
        <v>0</v>
      </c>
      <c r="AII75" s="20" t="n">
        <f aca="false">IF(ALV74&gt;0,API74-API74*UI75/ALV74,0)+0</f>
        <v>0</v>
      </c>
      <c r="AIJ75" s="20" t="n">
        <f aca="false">IF(ALW74&gt;0,APJ74-APJ74*UJ75/ALW74,0)+0</f>
        <v>0</v>
      </c>
      <c r="AIK75" s="20" t="n">
        <f aca="false">IF(ALX74&gt;0,APK74-APK74*UK75/ALX74,0)+0</f>
        <v>0</v>
      </c>
      <c r="AIL75" s="20" t="n">
        <f aca="false">IF(ALY74&gt;0,APL74-APL74*UL75/ALY74,0)+0</f>
        <v>0</v>
      </c>
      <c r="AIM75" s="20" t="n">
        <f aca="false">IF(ALZ74&gt;0,APM74-APM74*UM75/ALZ74,0)+0</f>
        <v>0</v>
      </c>
      <c r="AIN75" s="20" t="n">
        <f aca="false">IF(AMA74&gt;0,APN74-APN74*UN75/AMA74,0)+0</f>
        <v>0</v>
      </c>
      <c r="AIO75" s="20" t="n">
        <f aca="false">IF(AMB74&gt;0,APO74-APO74*UO75/AMB74,0)+0</f>
        <v>0</v>
      </c>
      <c r="AIP75" s="20" t="n">
        <f aca="false">IF(AMC74&gt;0,APP74-APP74*UP75/AMC74,0)+0</f>
        <v>0</v>
      </c>
      <c r="AIQ75" s="20" t="n">
        <f aca="false">IF(AMD74&gt;0,APQ74-APQ74*UQ75/AMD74,0)+0</f>
        <v>0</v>
      </c>
      <c r="AIR75" s="20" t="n">
        <f aca="false">IF(AME74&gt;0,APR74-APR74*UR75/AME74,0)+0</f>
        <v>0</v>
      </c>
      <c r="AIS75" s="20" t="n">
        <f aca="false">IF(AMF74&gt;0,APS74-APS74*US75/AMF74,0)+0</f>
        <v>0</v>
      </c>
      <c r="AIT75" s="20" t="n">
        <f aca="false">IF(AMG74&gt;0,APT74-APT74*UT75/AMG74,0)+0</f>
        <v>0</v>
      </c>
      <c r="AIU75" s="20" t="n">
        <f aca="false">IF(AMH74&gt;0,APU74-APU74*UU75/AMH74,0)+0</f>
        <v>0</v>
      </c>
      <c r="AIV75" s="20" t="n">
        <f aca="false">IF(AMI74&gt;0,APV74-APV74*UV75/AMI74,0)+0</f>
        <v>0</v>
      </c>
      <c r="AIW75" s="20" t="n">
        <f aca="false">IF(AMJ74&gt;0,APW74-APW74*UW75/AMJ74,0)+0</f>
        <v>0</v>
      </c>
      <c r="AIX75" s="20" t="n">
        <f aca="false">IF(AMK74&gt;0,APX74-APX74*UX75/AMK74,0)+0</f>
        <v>0</v>
      </c>
      <c r="AIY75" s="20" t="n">
        <f aca="false">IF(AML74&gt;0,APY74-APY74*UY75/AML74,0)+0</f>
        <v>0</v>
      </c>
      <c r="AIZ75" s="20" t="n">
        <f aca="false">IF(AMM74&gt;0,APZ74-APZ74*UZ75/AMM74,0)+0</f>
        <v>0</v>
      </c>
      <c r="AJA75" s="20" t="n">
        <f aca="false">IF(AMN74&gt;0,AQA74-AQA74*VA75/AMN74,0)+0</f>
        <v>0</v>
      </c>
      <c r="AJB75" s="20" t="n">
        <f aca="false">IF(AMO74&gt;0,AQB74-AQB74*VB75/AMO74,0)+0</f>
        <v>0</v>
      </c>
      <c r="AJC75" s="20" t="n">
        <f aca="false">IF(AMP74&gt;0,AQC74-AQC74*VC75/AMP74,0)+0</f>
        <v>0</v>
      </c>
      <c r="AJD75" s="20" t="n">
        <f aca="false">IF(AMQ74&gt;0,AQD74-AQD74*VD75/AMQ74,0)+0</f>
        <v>0</v>
      </c>
      <c r="AJE75" s="20" t="n">
        <f aca="false">IF(AMR74&gt;0,AQE74-AQE74*VE75/AMR74,0)+0</f>
        <v>0</v>
      </c>
      <c r="AJF75" s="20" t="n">
        <f aca="false">IF(AMS74&gt;0,AQF74-AQF74*VF75/AMS74,0)+0</f>
        <v>0</v>
      </c>
      <c r="AJG75" s="20" t="n">
        <f aca="false">IF(AMT74&gt;0,AQG74-AQG74*VG75/AMT74,0)+0</f>
        <v>0</v>
      </c>
      <c r="AJH75" s="20" t="n">
        <f aca="false">IF(AMU74&gt;0,AQH74-AQH74*VH75/AMU74,0)+0</f>
        <v>0</v>
      </c>
      <c r="AJI75" s="20" t="n">
        <f aca="false">IF(AMV74&gt;0,AQI74-AQI74*VI75/AMV74,0)+0</f>
        <v>0</v>
      </c>
      <c r="AJJ75" s="20" t="n">
        <f aca="false">IF(AMW74&gt;0,AQJ74-AQJ74*VJ75/AMW74,0)+0</f>
        <v>0</v>
      </c>
      <c r="AJK75" s="20" t="n">
        <f aca="false">IF(AMX74&gt;0,AQK74-AQK74*VK75/AMX74,0)+0</f>
        <v>0</v>
      </c>
      <c r="AJL75" s="20" t="n">
        <f aca="false">IF(AMY74&gt;0,AQL74-AQL74*VL75/AMY74,0)+0</f>
        <v>0</v>
      </c>
      <c r="AJM75" s="20" t="n">
        <f aca="false">IF(AMZ74&gt;0,AQM74-AQM74*VM75/AMZ74,0)+0</f>
        <v>0</v>
      </c>
      <c r="AJN75" s="20" t="n">
        <f aca="false">IF(ANA74&gt;0,AQN74-AQN74*VN75/ANA74,0)+0</f>
        <v>0</v>
      </c>
      <c r="AJO75" s="20" t="n">
        <f aca="false">IF(ANB74&gt;0,AQO74-AQO74*VO75/ANB74,0)+0</f>
        <v>0</v>
      </c>
      <c r="AJP75" s="20" t="n">
        <f aca="false">IF(ANC74&gt;0,AQP74-AQP74*VP75/ANC74,0)+0</f>
        <v>0</v>
      </c>
      <c r="AJQ75" s="20" t="n">
        <f aca="false">IF(AND74&gt;0,AQQ74-AQQ74*VQ75/AND74,0)+0</f>
        <v>0</v>
      </c>
      <c r="AJR75" s="20" t="n">
        <f aca="false">IF(ANE74&gt;0,AQR74-AQR74*VR75/ANE74,0)+0</f>
        <v>0</v>
      </c>
      <c r="AJS75" s="20" t="n">
        <f aca="false">IF(ANF74&gt;0,AQS74-AQS74*VS75/ANF74,0)+0</f>
        <v>0</v>
      </c>
      <c r="AJT75" s="20" t="n">
        <f aca="false">IF(ANG74&gt;0,AQT74-AQT74*VT75/ANG74,0)+0</f>
        <v>0</v>
      </c>
      <c r="AJU75" s="20" t="n">
        <f aca="false">IF((P75+S75)&gt;0,(P75+S75)-(P75+S75)*VU75/(P75+S75),0)+BE75</f>
        <v>0</v>
      </c>
      <c r="AJV75" s="20" t="n">
        <v>0</v>
      </c>
      <c r="AJW75" s="20" t="n">
        <v>0</v>
      </c>
      <c r="AJX75" s="20" t="n">
        <v>0</v>
      </c>
      <c r="AJY75" s="20" t="n">
        <v>0</v>
      </c>
      <c r="AJZ75" s="20" t="n">
        <v>0</v>
      </c>
      <c r="AKA75" s="20" t="n">
        <v>0</v>
      </c>
      <c r="AKB75" s="20" t="n">
        <v>0</v>
      </c>
      <c r="AKC75" s="20" t="n">
        <v>0</v>
      </c>
      <c r="AKD75" s="20" t="n">
        <v>0</v>
      </c>
      <c r="AKE75" s="20" t="n">
        <v>0</v>
      </c>
      <c r="AKF75" s="20" t="n">
        <v>0</v>
      </c>
      <c r="AKG75" s="20" t="n">
        <v>0</v>
      </c>
      <c r="AKH75" s="20" t="n">
        <v>0</v>
      </c>
      <c r="AKI75" s="20" t="n">
        <v>0</v>
      </c>
      <c r="AKJ75" s="20" t="n">
        <v>0</v>
      </c>
      <c r="AKK75" s="20" t="n">
        <v>0</v>
      </c>
      <c r="AKL75" s="20" t="n">
        <v>0</v>
      </c>
      <c r="AKM75" s="20" t="n">
        <v>0</v>
      </c>
      <c r="AKN75" s="20" t="n">
        <v>0</v>
      </c>
      <c r="AKO75" s="20" t="n">
        <v>0</v>
      </c>
      <c r="AKP75" s="20" t="n">
        <v>0</v>
      </c>
      <c r="AKQ75" s="20" t="n">
        <v>0</v>
      </c>
      <c r="AKR75" s="20" t="n">
        <f aca="false">ADR75-AVE75</f>
        <v>0</v>
      </c>
      <c r="AKS75" s="20" t="n">
        <f aca="false">ADS75-AVF75</f>
        <v>0</v>
      </c>
      <c r="AKT75" s="20" t="n">
        <f aca="false">ADT75-AVG75</f>
        <v>0</v>
      </c>
      <c r="AKU75" s="20" t="n">
        <f aca="false">ADU75-AVH75</f>
        <v>0</v>
      </c>
      <c r="AKV75" s="20" t="n">
        <f aca="false">ADV75-AVI75</f>
        <v>0</v>
      </c>
      <c r="AKW75" s="20" t="n">
        <f aca="false">ADW75-AVJ75</f>
        <v>0</v>
      </c>
      <c r="AKX75" s="20" t="n">
        <f aca="false">ADX75-AVK75</f>
        <v>0</v>
      </c>
      <c r="AKY75" s="20" t="n">
        <f aca="false">ADY75-AVL75</f>
        <v>0</v>
      </c>
      <c r="AKZ75" s="20" t="n">
        <f aca="false">ADZ75-AVM75</f>
        <v>0</v>
      </c>
      <c r="ALA75" s="20" t="n">
        <f aca="false">AEA75-AVN75</f>
        <v>0</v>
      </c>
      <c r="ALB75" s="20" t="n">
        <f aca="false">AEB75-AVO75</f>
        <v>0</v>
      </c>
      <c r="ALC75" s="20" t="n">
        <f aca="false">AEC75-AVP75</f>
        <v>0</v>
      </c>
      <c r="ALD75" s="20" t="n">
        <f aca="false">AED75-AVQ75</f>
        <v>0</v>
      </c>
      <c r="ALE75" s="20" t="n">
        <f aca="false">AEE75-AVR75</f>
        <v>0</v>
      </c>
      <c r="ALF75" s="20" t="n">
        <f aca="false">AEF75-AVS75</f>
        <v>0</v>
      </c>
      <c r="ALG75" s="20" t="n">
        <f aca="false">AEG75-AVT75</f>
        <v>0</v>
      </c>
      <c r="ALH75" s="20" t="n">
        <f aca="false">AEH75-AVU75</f>
        <v>0</v>
      </c>
      <c r="ALI75" s="20" t="n">
        <f aca="false">AEI75-AVV75</f>
        <v>0</v>
      </c>
      <c r="ALJ75" s="20" t="n">
        <f aca="false">AEJ75-AVW75</f>
        <v>0</v>
      </c>
      <c r="ALK75" s="20" t="n">
        <f aca="false">AEK75-AVX75</f>
        <v>0</v>
      </c>
      <c r="ALL75" s="20" t="n">
        <f aca="false">AEL75-AVY75</f>
        <v>0</v>
      </c>
      <c r="ALM75" s="20" t="n">
        <f aca="false">AEM75-AVZ75</f>
        <v>0</v>
      </c>
      <c r="ALN75" s="20" t="n">
        <f aca="false">AEN75-AWA75</f>
        <v>0</v>
      </c>
      <c r="ALO75" s="20" t="n">
        <f aca="false">AEO75-AWB75</f>
        <v>0</v>
      </c>
      <c r="ALP75" s="20" t="n">
        <f aca="false">AEP75-AWC75</f>
        <v>0</v>
      </c>
      <c r="ALQ75" s="20" t="n">
        <f aca="false">AEQ75-AWD75</f>
        <v>0</v>
      </c>
      <c r="ALR75" s="20" t="n">
        <f aca="false">AER75-AWE75</f>
        <v>0</v>
      </c>
      <c r="ALS75" s="20" t="n">
        <f aca="false">AES75-AWF75</f>
        <v>0</v>
      </c>
      <c r="ALT75" s="20" t="n">
        <f aca="false">AET75-AWG75</f>
        <v>0</v>
      </c>
      <c r="ALU75" s="20" t="n">
        <f aca="false">AEU75-AWH75</f>
        <v>0</v>
      </c>
      <c r="ALV75" s="20" t="n">
        <f aca="false">AEV75-AWI75</f>
        <v>0</v>
      </c>
      <c r="ALW75" s="20" t="n">
        <f aca="false">AEW75-AWJ75</f>
        <v>0</v>
      </c>
      <c r="ALX75" s="20" t="n">
        <f aca="false">AEX75-AWK75</f>
        <v>0</v>
      </c>
      <c r="ALY75" s="20" t="n">
        <f aca="false">AEY75-AWL75</f>
        <v>0</v>
      </c>
      <c r="ALZ75" s="20" t="n">
        <f aca="false">AEZ75-AWM75</f>
        <v>0</v>
      </c>
      <c r="AMA75" s="20" t="n">
        <f aca="false">AFA75-AWN75</f>
        <v>0</v>
      </c>
      <c r="AMB75" s="20" t="n">
        <f aca="false">AFB75-AWO75</f>
        <v>0</v>
      </c>
      <c r="AMC75" s="20" t="n">
        <f aca="false">AFC75-AWP75</f>
        <v>0</v>
      </c>
      <c r="AMD75" s="20" t="n">
        <f aca="false">AFD75-AWQ75</f>
        <v>0</v>
      </c>
      <c r="AME75" s="20" t="n">
        <f aca="false">AFE75-AWR75</f>
        <v>0</v>
      </c>
      <c r="AMF75" s="20" t="n">
        <f aca="false">AFF75-AWS75</f>
        <v>0</v>
      </c>
      <c r="AMG75" s="20" t="n">
        <f aca="false">AFG75-AWT75</f>
        <v>0</v>
      </c>
      <c r="AMH75" s="20" t="n">
        <f aca="false">AFH75-AWU75</f>
        <v>0</v>
      </c>
      <c r="AMI75" s="20" t="n">
        <f aca="false">AFI75-AWV75</f>
        <v>0</v>
      </c>
      <c r="AMJ75" s="20" t="n">
        <f aca="false">AFJ75-AWW75</f>
        <v>0</v>
      </c>
      <c r="AMK75" s="20" t="n">
        <f aca="false">AFK75-AWX75</f>
        <v>0</v>
      </c>
      <c r="AML75" s="20" t="n">
        <f aca="false">AFL75-AWY75</f>
        <v>0</v>
      </c>
      <c r="AMM75" s="20" t="n">
        <f aca="false">AFM75-AWZ75</f>
        <v>0</v>
      </c>
      <c r="AMN75" s="20" t="n">
        <f aca="false">AFN75-AXA75</f>
        <v>0</v>
      </c>
      <c r="AMO75" s="20" t="n">
        <f aca="false">AFO75-AXB75</f>
        <v>0</v>
      </c>
      <c r="AMP75" s="20" t="n">
        <f aca="false">AFP75-AXC75</f>
        <v>0</v>
      </c>
      <c r="AMQ75" s="20" t="n">
        <f aca="false">AFQ75-AXD75</f>
        <v>0</v>
      </c>
      <c r="AMR75" s="20" t="n">
        <f aca="false">AFR75-AXE75</f>
        <v>0</v>
      </c>
      <c r="AMS75" s="20" t="n">
        <f aca="false">AFS75-AXF75</f>
        <v>0</v>
      </c>
      <c r="AMT75" s="20" t="n">
        <f aca="false">AFT75-AXG75</f>
        <v>0</v>
      </c>
      <c r="AMU75" s="20" t="n">
        <f aca="false">AFU75-AXH75</f>
        <v>0</v>
      </c>
      <c r="AMV75" s="20" t="n">
        <f aca="false">AFV75-AXI75</f>
        <v>0</v>
      </c>
      <c r="AMW75" s="20" t="n">
        <f aca="false">AFW75-AXJ75</f>
        <v>0</v>
      </c>
      <c r="AMX75" s="20" t="n">
        <f aca="false">AFX75-AXK75</f>
        <v>0</v>
      </c>
      <c r="AMY75" s="20" t="n">
        <f aca="false">AFY75-AXL75</f>
        <v>0</v>
      </c>
      <c r="AMZ75" s="20" t="n">
        <f aca="false">AFZ75-AXM75</f>
        <v>0</v>
      </c>
      <c r="ANA75" s="20" t="n">
        <f aca="false">AGA75-AXN75</f>
        <v>0</v>
      </c>
      <c r="ANB75" s="20" t="n">
        <f aca="false">AGB75-AXO75</f>
        <v>0</v>
      </c>
      <c r="ANC75" s="20" t="n">
        <f aca="false">AGC75-AXP75</f>
        <v>0</v>
      </c>
      <c r="AND75" s="20" t="n">
        <f aca="false">AGD75-AXQ75</f>
        <v>0</v>
      </c>
      <c r="ANE75" s="20" t="n">
        <f aca="false">AGE75-AXR75</f>
        <v>0</v>
      </c>
      <c r="ANF75" s="20" t="n">
        <f aca="false">AGF75-AXS75</f>
        <v>0</v>
      </c>
      <c r="ANG75" s="20" t="n">
        <f aca="false">AGG75-AXT75</f>
        <v>0</v>
      </c>
      <c r="ANH75" s="20" t="n">
        <f aca="false">AGH75-AXU75</f>
        <v>0</v>
      </c>
      <c r="ANI75" s="20" t="n">
        <v>0</v>
      </c>
      <c r="ANJ75" s="20" t="n">
        <v>0</v>
      </c>
      <c r="ANK75" s="20" t="n">
        <v>0</v>
      </c>
      <c r="ANL75" s="20" t="n">
        <v>0</v>
      </c>
      <c r="ANM75" s="20" t="n">
        <v>0</v>
      </c>
      <c r="ANN75" s="20" t="n">
        <v>0</v>
      </c>
      <c r="ANO75" s="20" t="n">
        <v>0</v>
      </c>
      <c r="ANP75" s="20" t="n">
        <v>0</v>
      </c>
      <c r="ANQ75" s="20" t="n">
        <v>0</v>
      </c>
      <c r="ANR75" s="20" t="n">
        <v>0</v>
      </c>
      <c r="ANS75" s="20" t="n">
        <v>0</v>
      </c>
      <c r="ANT75" s="20" t="n">
        <v>0</v>
      </c>
      <c r="ANU75" s="20" t="n">
        <v>0</v>
      </c>
      <c r="ANV75" s="20" t="n">
        <v>0</v>
      </c>
      <c r="ANW75" s="20" t="n">
        <v>0</v>
      </c>
      <c r="ANX75" s="20" t="n">
        <v>0</v>
      </c>
      <c r="ANY75" s="20" t="n">
        <v>0</v>
      </c>
      <c r="ANZ75" s="20" t="n">
        <v>0</v>
      </c>
      <c r="AOA75" s="20" t="n">
        <v>0</v>
      </c>
      <c r="AOB75" s="20" t="n">
        <v>0</v>
      </c>
      <c r="AOC75" s="20" t="n">
        <v>0</v>
      </c>
      <c r="AOD75" s="20" t="n">
        <v>0</v>
      </c>
      <c r="AOE75" s="20" t="n">
        <f aca="false">IF(AND(H_Direct=0,H_TaxEvt=1,ARR74+1&gt;=H_Deemed),AKR75,AHE75)</f>
        <v>0</v>
      </c>
      <c r="AOF75" s="20" t="n">
        <f aca="false">IF(AND(H_Direct=0,H_TaxEvt=1,ARS74+1&gt;=H_Deemed),AKS75,AHF75)</f>
        <v>0</v>
      </c>
      <c r="AOG75" s="20" t="n">
        <f aca="false">IF(AND(H_Direct=0,H_TaxEvt=1,ART74+1&gt;=H_Deemed),AKT75,AHG75)</f>
        <v>0</v>
      </c>
      <c r="AOH75" s="20" t="n">
        <f aca="false">IF(AND(H_Direct=0,H_TaxEvt=1,ARU74+1&gt;=H_Deemed),AKU75,AHH75)</f>
        <v>0</v>
      </c>
      <c r="AOI75" s="20" t="n">
        <f aca="false">IF(AND(H_Direct=0,H_TaxEvt=1,ARV74+1&gt;=H_Deemed),AKV75,AHI75)</f>
        <v>0</v>
      </c>
      <c r="AOJ75" s="20" t="n">
        <f aca="false">IF(AND(H_Direct=0,H_TaxEvt=1,ARW74+1&gt;=H_Deemed),AKW75,AHJ75)</f>
        <v>0</v>
      </c>
      <c r="AOK75" s="20" t="n">
        <f aca="false">IF(AND(H_Direct=0,H_TaxEvt=1,ARX74+1&gt;=H_Deemed),AKX75,AHK75)</f>
        <v>0</v>
      </c>
      <c r="AOL75" s="20" t="n">
        <f aca="false">IF(AND(H_Direct=0,H_TaxEvt=1,ARY74+1&gt;=H_Deemed),AKY75,AHL75)</f>
        <v>0</v>
      </c>
      <c r="AOM75" s="20" t="n">
        <f aca="false">IF(AND(H_Direct=0,H_TaxEvt=1,ARZ74+1&gt;=H_Deemed),AKZ75,AHM75)</f>
        <v>0</v>
      </c>
      <c r="AON75" s="20" t="n">
        <f aca="false">IF(AND(H_Direct=0,H_TaxEvt=1,ASA74+1&gt;=H_Deemed),ALA75,AHN75)</f>
        <v>0</v>
      </c>
      <c r="AOO75" s="20" t="n">
        <f aca="false">IF(AND(H_Direct=0,H_TaxEvt=1,ASB74+1&gt;=H_Deemed),ALB75,AHO75)</f>
        <v>0</v>
      </c>
      <c r="AOP75" s="20" t="n">
        <f aca="false">IF(AND(H_Direct=0,H_TaxEvt=1,ASC74+1&gt;=H_Deemed),ALC75,AHP75)</f>
        <v>0</v>
      </c>
      <c r="AOQ75" s="20" t="n">
        <f aca="false">IF(AND(H_Direct=0,H_TaxEvt=1,ASD74+1&gt;=H_Deemed),ALD75,AHQ75)</f>
        <v>0</v>
      </c>
      <c r="AOR75" s="20" t="n">
        <f aca="false">IF(AND(H_Direct=0,H_TaxEvt=1,ASE74+1&gt;=H_Deemed),ALE75,AHR75)</f>
        <v>0</v>
      </c>
      <c r="AOS75" s="20" t="n">
        <f aca="false">IF(AND(H_Direct=0,H_TaxEvt=1,ASF74+1&gt;=H_Deemed),ALF75,AHS75)</f>
        <v>0</v>
      </c>
      <c r="AOT75" s="20" t="n">
        <f aca="false">IF(AND(H_Direct=0,H_TaxEvt=1,ASG74+1&gt;=H_Deemed),ALG75,AHT75)</f>
        <v>0</v>
      </c>
      <c r="AOU75" s="20" t="n">
        <f aca="false">IF(AND(H_Direct=0,H_TaxEvt=1,ASH74+1&gt;=H_Deemed),ALH75,AHU75)</f>
        <v>0</v>
      </c>
      <c r="AOV75" s="20" t="n">
        <f aca="false">IF(AND(H_Direct=0,H_TaxEvt=1,ASI74+1&gt;=H_Deemed),ALI75,AHV75)</f>
        <v>0</v>
      </c>
      <c r="AOW75" s="20" t="n">
        <f aca="false">IF(AND(H_Direct=0,H_TaxEvt=1,ASJ74+1&gt;=H_Deemed),ALJ75,AHW75)</f>
        <v>0</v>
      </c>
      <c r="AOX75" s="20" t="n">
        <f aca="false">IF(AND(H_Direct=0,H_TaxEvt=1,ASK74+1&gt;=H_Deemed),ALK75,AHX75)</f>
        <v>0</v>
      </c>
      <c r="AOY75" s="20" t="n">
        <f aca="false">IF(AND(H_Direct=0,H_TaxEvt=1,ASL74+1&gt;=H_Deemed),ALL75,AHY75)</f>
        <v>0</v>
      </c>
      <c r="AOZ75" s="20" t="n">
        <f aca="false">IF(AND(H_Direct=0,H_TaxEvt=1,ASM74+1&gt;=H_Deemed),ALM75,AHZ75)</f>
        <v>0</v>
      </c>
      <c r="APA75" s="20" t="n">
        <f aca="false">IF(AND(H_Direct=0,H_TaxEvt=1,ASN74+1&gt;=H_Deemed),ALN75,AIA75)</f>
        <v>0</v>
      </c>
      <c r="APB75" s="20" t="n">
        <f aca="false">IF(AND(H_Direct=0,H_TaxEvt=1,ASO74+1&gt;=H_Deemed),ALO75,AIB75)</f>
        <v>0</v>
      </c>
      <c r="APC75" s="20" t="n">
        <f aca="false">IF(AND(H_Direct=0,H_TaxEvt=1,ASP74+1&gt;=H_Deemed),ALP75,AIC75)</f>
        <v>0</v>
      </c>
      <c r="APD75" s="20" t="n">
        <f aca="false">IF(AND(H_Direct=0,H_TaxEvt=1,ASQ74+1&gt;=H_Deemed),ALQ75,AID75)</f>
        <v>0</v>
      </c>
      <c r="APE75" s="20" t="n">
        <f aca="false">IF(AND(H_Direct=0,H_TaxEvt=1,ASR74+1&gt;=H_Deemed),ALR75,AIE75)</f>
        <v>0</v>
      </c>
      <c r="APF75" s="20" t="n">
        <f aca="false">IF(AND(H_Direct=0,H_TaxEvt=1,ASS74+1&gt;=H_Deemed),ALS75,AIF75)</f>
        <v>0</v>
      </c>
      <c r="APG75" s="20" t="n">
        <f aca="false">IF(AND(H_Direct=0,H_TaxEvt=1,AST74+1&gt;=H_Deemed),ALT75,AIG75)</f>
        <v>0</v>
      </c>
      <c r="APH75" s="20" t="n">
        <f aca="false">IF(AND(H_Direct=0,H_TaxEvt=1,ASU74+1&gt;=H_Deemed),ALU75,AIH75)</f>
        <v>0</v>
      </c>
      <c r="API75" s="20" t="n">
        <f aca="false">IF(AND(H_Direct=0,H_TaxEvt=1,ASV74+1&gt;=H_Deemed),ALV75,AII75)</f>
        <v>0</v>
      </c>
      <c r="APJ75" s="20" t="n">
        <f aca="false">IF(AND(H_Direct=0,H_TaxEvt=1,ASW74+1&gt;=H_Deemed),ALW75,AIJ75)</f>
        <v>0</v>
      </c>
      <c r="APK75" s="20" t="n">
        <f aca="false">IF(AND(H_Direct=0,H_TaxEvt=1,ASX74+1&gt;=H_Deemed),ALX75,AIK75)</f>
        <v>0</v>
      </c>
      <c r="APL75" s="20" t="n">
        <f aca="false">IF(AND(H_Direct=0,H_TaxEvt=1,ASY74+1&gt;=H_Deemed),ALY75,AIL75)</f>
        <v>0</v>
      </c>
      <c r="APM75" s="20" t="n">
        <f aca="false">IF(AND(H_Direct=0,H_TaxEvt=1,ASZ74+1&gt;=H_Deemed),ALZ75,AIM75)</f>
        <v>0</v>
      </c>
      <c r="APN75" s="20" t="n">
        <f aca="false">IF(AND(H_Direct=0,H_TaxEvt=1,ATA74+1&gt;=H_Deemed),AMA75,AIN75)</f>
        <v>0</v>
      </c>
      <c r="APO75" s="20" t="n">
        <f aca="false">IF(AND(H_Direct=0,H_TaxEvt=1,ATB74+1&gt;=H_Deemed),AMB75,AIO75)</f>
        <v>0</v>
      </c>
      <c r="APP75" s="20" t="n">
        <f aca="false">IF(AND(H_Direct=0,H_TaxEvt=1,ATC74+1&gt;=H_Deemed),AMC75,AIP75)</f>
        <v>0</v>
      </c>
      <c r="APQ75" s="20" t="n">
        <f aca="false">IF(AND(H_Direct=0,H_TaxEvt=1,ATD74+1&gt;=H_Deemed),AMD75,AIQ75)</f>
        <v>0</v>
      </c>
      <c r="APR75" s="20" t="n">
        <f aca="false">IF(AND(H_Direct=0,H_TaxEvt=1,ATE74+1&gt;=H_Deemed),AME75,AIR75)</f>
        <v>0</v>
      </c>
      <c r="APS75" s="20" t="n">
        <f aca="false">IF(AND(H_Direct=0,H_TaxEvt=1,ATF74+1&gt;=H_Deemed),AMF75,AIS75)</f>
        <v>0</v>
      </c>
      <c r="APT75" s="20" t="n">
        <f aca="false">IF(AND(H_Direct=0,H_TaxEvt=1,ATG74+1&gt;=H_Deemed),AMG75,AIT75)</f>
        <v>0</v>
      </c>
      <c r="APU75" s="20" t="n">
        <f aca="false">IF(AND(H_Direct=0,H_TaxEvt=1,ATH74+1&gt;=H_Deemed),AMH75,AIU75)</f>
        <v>0</v>
      </c>
      <c r="APV75" s="20" t="n">
        <f aca="false">IF(AND(H_Direct=0,H_TaxEvt=1,ATI74+1&gt;=H_Deemed),AMI75,AIV75)</f>
        <v>0</v>
      </c>
      <c r="APW75" s="20" t="n">
        <f aca="false">IF(AND(H_Direct=0,H_TaxEvt=1,ATJ74+1&gt;=H_Deemed),AMJ75,AIW75)</f>
        <v>0</v>
      </c>
      <c r="APX75" s="20" t="n">
        <f aca="false">IF(AND(H_Direct=0,H_TaxEvt=1,ATK74+1&gt;=H_Deemed),AMK75,AIX75)</f>
        <v>0</v>
      </c>
      <c r="APY75" s="20" t="n">
        <f aca="false">IF(AND(H_Direct=0,H_TaxEvt=1,ATL74+1&gt;=H_Deemed),AML75,AIY75)</f>
        <v>0</v>
      </c>
      <c r="APZ75" s="20" t="n">
        <f aca="false">IF(AND(H_Direct=0,H_TaxEvt=1,ATM74+1&gt;=H_Deemed),AMM75,AIZ75)</f>
        <v>0</v>
      </c>
      <c r="AQA75" s="20" t="n">
        <f aca="false">IF(AND(H_Direct=0,H_TaxEvt=1,ATN74+1&gt;=H_Deemed),AMN75,AJA75)</f>
        <v>0</v>
      </c>
      <c r="AQB75" s="20" t="n">
        <f aca="false">IF(AND(H_Direct=0,H_TaxEvt=1,ATO74+1&gt;=H_Deemed),AMO75,AJB75)</f>
        <v>0</v>
      </c>
      <c r="AQC75" s="20" t="n">
        <f aca="false">IF(AND(H_Direct=0,H_TaxEvt=1,ATP74+1&gt;=H_Deemed),AMP75,AJC75)</f>
        <v>0</v>
      </c>
      <c r="AQD75" s="20" t="n">
        <f aca="false">IF(AND(H_Direct=0,H_TaxEvt=1,ATQ74+1&gt;=H_Deemed),AMQ75,AJD75)</f>
        <v>0</v>
      </c>
      <c r="AQE75" s="20" t="n">
        <f aca="false">IF(AND(H_Direct=0,H_TaxEvt=1,ATR74+1&gt;=H_Deemed),AMR75,AJE75)</f>
        <v>0</v>
      </c>
      <c r="AQF75" s="20" t="n">
        <f aca="false">IF(AND(H_Direct=0,H_TaxEvt=1,ATS74+1&gt;=H_Deemed),AMS75,AJF75)</f>
        <v>0</v>
      </c>
      <c r="AQG75" s="20" t="n">
        <f aca="false">IF(AND(H_Direct=0,H_TaxEvt=1,ATT74+1&gt;=H_Deemed),AMT75,AJG75)</f>
        <v>0</v>
      </c>
      <c r="AQH75" s="20" t="n">
        <f aca="false">IF(AND(H_Direct=0,H_TaxEvt=1,ATU74+1&gt;=H_Deemed),AMU75,AJH75)</f>
        <v>0</v>
      </c>
      <c r="AQI75" s="20" t="n">
        <f aca="false">IF(AND(H_Direct=0,H_TaxEvt=1,ATV74+1&gt;=H_Deemed),AMV75,AJI75)</f>
        <v>0</v>
      </c>
      <c r="AQJ75" s="20" t="n">
        <f aca="false">IF(AND(H_Direct=0,H_TaxEvt=1,ATW74+1&gt;=H_Deemed),AMW75,AJJ75)</f>
        <v>0</v>
      </c>
      <c r="AQK75" s="20" t="n">
        <f aca="false">IF(AND(H_Direct=0,H_TaxEvt=1,ATX74+1&gt;=H_Deemed),AMX75,AJK75)</f>
        <v>0</v>
      </c>
      <c r="AQL75" s="20" t="n">
        <f aca="false">IF(AND(H_Direct=0,H_TaxEvt=1,ATY74+1&gt;=H_Deemed),AMY75,AJL75)</f>
        <v>0</v>
      </c>
      <c r="AQM75" s="20" t="n">
        <f aca="false">IF(AND(H_Direct=0,H_TaxEvt=1,ATZ74+1&gt;=H_Deemed),AMZ75,AJM75)</f>
        <v>0</v>
      </c>
      <c r="AQN75" s="20" t="n">
        <f aca="false">IF(AND(H_Direct=0,H_TaxEvt=1,AUA74+1&gt;=H_Deemed),ANA75,AJN75)</f>
        <v>0</v>
      </c>
      <c r="AQO75" s="20" t="n">
        <f aca="false">IF(AND(H_Direct=0,H_TaxEvt=1,AUB74+1&gt;=H_Deemed),ANB75,AJO75)</f>
        <v>0</v>
      </c>
      <c r="AQP75" s="20" t="n">
        <f aca="false">IF(AND(H_Direct=0,H_TaxEvt=1,AUC74+1&gt;=H_Deemed),ANC75,AJP75)</f>
        <v>0</v>
      </c>
      <c r="AQQ75" s="20" t="n">
        <f aca="false">IF(AND(H_Direct=0,H_TaxEvt=1,AUD74+1&gt;=H_Deemed),AND75,AJQ75)</f>
        <v>0</v>
      </c>
      <c r="AQR75" s="20" t="n">
        <f aca="false">IF(AND(H_Direct=0,H_TaxEvt=1,AUE74+1&gt;=H_Deemed),ANE75,AJR75)</f>
        <v>0</v>
      </c>
      <c r="AQS75" s="20" t="n">
        <f aca="false">IF(AND(H_Direct=0,H_TaxEvt=1,AUF74+1&gt;=H_Deemed),ANF75,AJS75)</f>
        <v>0</v>
      </c>
      <c r="AQT75" s="20" t="n">
        <f aca="false">IF(AND(H_Direct=0,H_TaxEvt=1,AUG74+1&gt;=H_Deemed),ANG75,AJT75)</f>
        <v>0</v>
      </c>
      <c r="AQU75" s="20" t="n">
        <f aca="false">IF(AND(H_Direct=0,H_TaxEvt=1,0+1&gt;=H_Deemed),ANH75,AJU75)</f>
        <v>0</v>
      </c>
      <c r="AQV75" s="20" t="n">
        <v>0</v>
      </c>
      <c r="AQW75" s="20" t="n">
        <v>0</v>
      </c>
      <c r="AQX75" s="20" t="n">
        <v>0</v>
      </c>
      <c r="AQY75" s="20" t="n">
        <v>0</v>
      </c>
      <c r="AQZ75" s="20" t="n">
        <v>0</v>
      </c>
      <c r="ARA75" s="20" t="n">
        <v>0</v>
      </c>
      <c r="ARB75" s="20" t="n">
        <v>0</v>
      </c>
      <c r="ARC75" s="20" t="n">
        <v>0</v>
      </c>
      <c r="ARD75" s="20" t="n">
        <v>0</v>
      </c>
      <c r="ARE75" s="20" t="n">
        <v>0</v>
      </c>
      <c r="ARF75" s="20" t="n">
        <v>0</v>
      </c>
      <c r="ARG75" s="20" t="n">
        <v>0</v>
      </c>
      <c r="ARH75" s="20" t="n">
        <v>0</v>
      </c>
      <c r="ARI75" s="20" t="n">
        <v>0</v>
      </c>
      <c r="ARJ75" s="20" t="n">
        <v>0</v>
      </c>
      <c r="ARK75" s="20" t="n">
        <v>0</v>
      </c>
      <c r="ARL75" s="20" t="n">
        <v>0</v>
      </c>
      <c r="ARM75" s="20" t="n">
        <v>0</v>
      </c>
      <c r="ARN75" s="20" t="n">
        <v>0</v>
      </c>
      <c r="ARO75" s="20" t="n">
        <v>0</v>
      </c>
      <c r="ARP75" s="20" t="n">
        <v>0</v>
      </c>
      <c r="ARQ75" s="20" t="n">
        <v>0</v>
      </c>
      <c r="ARR75" s="20" t="n">
        <f aca="false">IF(AND(H_Direct=0,H_TaxEvt=1),IF(ARR74+1&gt;=H_Deemed,0,ARR74+1),ARR74)</f>
        <v>4</v>
      </c>
      <c r="ARS75" s="20" t="n">
        <f aca="false">IF(AND(H_Direct=0,H_TaxEvt=1),IF(ARS74+1&gt;=H_Deemed,0,ARS74+1),ARS74)</f>
        <v>4</v>
      </c>
      <c r="ART75" s="20" t="n">
        <f aca="false">IF(AND(H_Direct=0,H_TaxEvt=1),IF(ART74+1&gt;=H_Deemed,0,ART74+1),ART74)</f>
        <v>3</v>
      </c>
      <c r="ARU75" s="20" t="n">
        <f aca="false">IF(AND(H_Direct=0,H_TaxEvt=1),IF(ARU74+1&gt;=H_Deemed,0,ARU74+1),ARU74)</f>
        <v>2</v>
      </c>
      <c r="ARV75" s="20" t="n">
        <f aca="false">IF(AND(H_Direct=0,H_TaxEvt=1),IF(ARV74+1&gt;=H_Deemed,0,ARV74+1),ARV74)</f>
        <v>1</v>
      </c>
      <c r="ARW75" s="20" t="n">
        <f aca="false">IF(AND(H_Direct=0,H_TaxEvt=1),IF(ARW74+1&gt;=H_Deemed,0,ARW74+1),ARW74)</f>
        <v>0</v>
      </c>
      <c r="ARX75" s="20" t="n">
        <f aca="false">IF(AND(H_Direct=0,H_TaxEvt=1),IF(ARX74+1&gt;=H_Deemed,0,ARX74+1),ARX74)</f>
        <v>7</v>
      </c>
      <c r="ARY75" s="20" t="n">
        <f aca="false">IF(AND(H_Direct=0,H_TaxEvt=1),IF(ARY74+1&gt;=H_Deemed,0,ARY74+1),ARY74)</f>
        <v>6</v>
      </c>
      <c r="ARZ75" s="20" t="n">
        <f aca="false">IF(AND(H_Direct=0,H_TaxEvt=1),IF(ARZ74+1&gt;=H_Deemed,0,ARZ74+1),ARZ74)</f>
        <v>5</v>
      </c>
      <c r="ASA75" s="20" t="n">
        <f aca="false">IF(AND(H_Direct=0,H_TaxEvt=1),IF(ASA74+1&gt;=H_Deemed,0,ASA74+1),ASA74)</f>
        <v>4</v>
      </c>
      <c r="ASB75" s="20" t="n">
        <f aca="false">IF(AND(H_Direct=0,H_TaxEvt=1),IF(ASB74+1&gt;=H_Deemed,0,ASB74+1),ASB74)</f>
        <v>3</v>
      </c>
      <c r="ASC75" s="20" t="n">
        <f aca="false">IF(AND(H_Direct=0,H_TaxEvt=1),IF(ASC74+1&gt;=H_Deemed,0,ASC74+1),ASC74)</f>
        <v>2</v>
      </c>
      <c r="ASD75" s="20" t="n">
        <f aca="false">IF(AND(H_Direct=0,H_TaxEvt=1),IF(ASD74+1&gt;=H_Deemed,0,ASD74+1),ASD74)</f>
        <v>1</v>
      </c>
      <c r="ASE75" s="20" t="n">
        <f aca="false">IF(AND(H_Direct=0,H_TaxEvt=1),IF(ASE74+1&gt;=H_Deemed,0,ASE74+1),ASE74)</f>
        <v>0</v>
      </c>
      <c r="ASF75" s="20" t="n">
        <f aca="false">IF(AND(H_Direct=0,H_TaxEvt=1),IF(ASF74+1&gt;=H_Deemed,0,ASF74+1),ASF74)</f>
        <v>7</v>
      </c>
      <c r="ASG75" s="20" t="n">
        <f aca="false">IF(AND(H_Direct=0,H_TaxEvt=1),IF(ASG74+1&gt;=H_Deemed,0,ASG74+1),ASG74)</f>
        <v>6</v>
      </c>
      <c r="ASH75" s="20" t="n">
        <f aca="false">IF(AND(H_Direct=0,H_TaxEvt=1),IF(ASH74+1&gt;=H_Deemed,0,ASH74+1),ASH74)</f>
        <v>5</v>
      </c>
      <c r="ASI75" s="20" t="n">
        <f aca="false">IF(AND(H_Direct=0,H_TaxEvt=1),IF(ASI74+1&gt;=H_Deemed,0,ASI74+1),ASI74)</f>
        <v>4</v>
      </c>
      <c r="ASJ75" s="20" t="n">
        <f aca="false">IF(AND(H_Direct=0,H_TaxEvt=1),IF(ASJ74+1&gt;=H_Deemed,0,ASJ74+1),ASJ74)</f>
        <v>3</v>
      </c>
      <c r="ASK75" s="20" t="n">
        <f aca="false">IF(AND(H_Direct=0,H_TaxEvt=1),IF(ASK74+1&gt;=H_Deemed,0,ASK74+1),ASK74)</f>
        <v>2</v>
      </c>
      <c r="ASL75" s="20" t="n">
        <f aca="false">IF(AND(H_Direct=0,H_TaxEvt=1),IF(ASL74+1&gt;=H_Deemed,0,ASL74+1),ASL74)</f>
        <v>1</v>
      </c>
      <c r="ASM75" s="20" t="n">
        <f aca="false">IF(AND(H_Direct=0,H_TaxEvt=1),IF(ASM74+1&gt;=H_Deemed,0,ASM74+1),ASM74)</f>
        <v>0</v>
      </c>
      <c r="ASN75" s="20" t="n">
        <f aca="false">IF(AND(H_Direct=0,H_TaxEvt=1),IF(ASN74+1&gt;=H_Deemed,0,ASN74+1),ASN74)</f>
        <v>7</v>
      </c>
      <c r="ASO75" s="20" t="n">
        <f aca="false">IF(AND(H_Direct=0,H_TaxEvt=1),IF(ASO74+1&gt;=H_Deemed,0,ASO74+1),ASO74)</f>
        <v>6</v>
      </c>
      <c r="ASP75" s="20" t="n">
        <f aca="false">IF(AND(H_Direct=0,H_TaxEvt=1),IF(ASP74+1&gt;=H_Deemed,0,ASP74+1),ASP74)</f>
        <v>5</v>
      </c>
      <c r="ASQ75" s="20" t="n">
        <f aca="false">IF(AND(H_Direct=0,H_TaxEvt=1),IF(ASQ74+1&gt;=H_Deemed,0,ASQ74+1),ASQ74)</f>
        <v>4</v>
      </c>
      <c r="ASR75" s="20" t="n">
        <f aca="false">IF(AND(H_Direct=0,H_TaxEvt=1),IF(ASR74+1&gt;=H_Deemed,0,ASR74+1),ASR74)</f>
        <v>3</v>
      </c>
      <c r="ASS75" s="20" t="n">
        <f aca="false">IF(AND(H_Direct=0,H_TaxEvt=1),IF(ASS74+1&gt;=H_Deemed,0,ASS74+1),ASS74)</f>
        <v>2</v>
      </c>
      <c r="AST75" s="20" t="n">
        <f aca="false">IF(AND(H_Direct=0,H_TaxEvt=1),IF(AST74+1&gt;=H_Deemed,0,AST74+1),AST74)</f>
        <v>1</v>
      </c>
      <c r="ASU75" s="20" t="n">
        <f aca="false">IF(AND(H_Direct=0,H_TaxEvt=1),IF(ASU74+1&gt;=H_Deemed,0,ASU74+1),ASU74)</f>
        <v>0</v>
      </c>
      <c r="ASV75" s="20" t="n">
        <f aca="false">IF(AND(H_Direct=0,H_TaxEvt=1),IF(ASV74+1&gt;=H_Deemed,0,ASV74+1),ASV74)</f>
        <v>7</v>
      </c>
      <c r="ASW75" s="20" t="n">
        <f aca="false">IF(AND(H_Direct=0,H_TaxEvt=1),IF(ASW74+1&gt;=H_Deemed,0,ASW74+1),ASW74)</f>
        <v>6</v>
      </c>
      <c r="ASX75" s="20" t="n">
        <f aca="false">IF(AND(H_Direct=0,H_TaxEvt=1),IF(ASX74+1&gt;=H_Deemed,0,ASX74+1),ASX74)</f>
        <v>5</v>
      </c>
      <c r="ASY75" s="20" t="n">
        <f aca="false">IF(AND(H_Direct=0,H_TaxEvt=1),IF(ASY74+1&gt;=H_Deemed,0,ASY74+1),ASY74)</f>
        <v>4</v>
      </c>
      <c r="ASZ75" s="20" t="n">
        <f aca="false">IF(AND(H_Direct=0,H_TaxEvt=1),IF(ASZ74+1&gt;=H_Deemed,0,ASZ74+1),ASZ74)</f>
        <v>3</v>
      </c>
      <c r="ATA75" s="20" t="n">
        <f aca="false">IF(AND(H_Direct=0,H_TaxEvt=1),IF(ATA74+1&gt;=H_Deemed,0,ATA74+1),ATA74)</f>
        <v>2</v>
      </c>
      <c r="ATB75" s="20" t="n">
        <f aca="false">IF(AND(H_Direct=0,H_TaxEvt=1),IF(ATB74+1&gt;=H_Deemed,0,ATB74+1),ATB74)</f>
        <v>1</v>
      </c>
      <c r="ATC75" s="20" t="n">
        <f aca="false">IF(AND(H_Direct=0,H_TaxEvt=1),IF(ATC74+1&gt;=H_Deemed,0,ATC74+1),ATC74)</f>
        <v>0</v>
      </c>
      <c r="ATD75" s="20" t="n">
        <f aca="false">IF(AND(H_Direct=0,H_TaxEvt=1),IF(ATD74+1&gt;=H_Deemed,0,ATD74+1),ATD74)</f>
        <v>7</v>
      </c>
      <c r="ATE75" s="20" t="n">
        <f aca="false">IF(AND(H_Direct=0,H_TaxEvt=1),IF(ATE74+1&gt;=H_Deemed,0,ATE74+1),ATE74)</f>
        <v>6</v>
      </c>
      <c r="ATF75" s="20" t="n">
        <f aca="false">IF(AND(H_Direct=0,H_TaxEvt=1),IF(ATF74+1&gt;=H_Deemed,0,ATF74+1),ATF74)</f>
        <v>5</v>
      </c>
      <c r="ATG75" s="20" t="n">
        <f aca="false">IF(AND(H_Direct=0,H_TaxEvt=1),IF(ATG74+1&gt;=H_Deemed,0,ATG74+1),ATG74)</f>
        <v>4</v>
      </c>
      <c r="ATH75" s="20" t="n">
        <f aca="false">IF(AND(H_Direct=0,H_TaxEvt=1),IF(ATH74+1&gt;=H_Deemed,0,ATH74+1),ATH74)</f>
        <v>3</v>
      </c>
      <c r="ATI75" s="20" t="n">
        <f aca="false">IF(AND(H_Direct=0,H_TaxEvt=1),IF(ATI74+1&gt;=H_Deemed,0,ATI74+1),ATI74)</f>
        <v>2</v>
      </c>
      <c r="ATJ75" s="20" t="n">
        <f aca="false">IF(AND(H_Direct=0,H_TaxEvt=1),IF(ATJ74+1&gt;=H_Deemed,0,ATJ74+1),ATJ74)</f>
        <v>1</v>
      </c>
      <c r="ATK75" s="20" t="n">
        <f aca="false">IF(AND(H_Direct=0,H_TaxEvt=1),IF(ATK74+1&gt;=H_Deemed,0,ATK74+1),ATK74)</f>
        <v>0</v>
      </c>
      <c r="ATL75" s="20" t="n">
        <f aca="false">IF(AND(H_Direct=0,H_TaxEvt=1),IF(ATL74+1&gt;=H_Deemed,0,ATL74+1),ATL74)</f>
        <v>7</v>
      </c>
      <c r="ATM75" s="20" t="n">
        <f aca="false">IF(AND(H_Direct=0,H_TaxEvt=1),IF(ATM74+1&gt;=H_Deemed,0,ATM74+1),ATM74)</f>
        <v>6</v>
      </c>
      <c r="ATN75" s="20" t="n">
        <f aca="false">IF(AND(H_Direct=0,H_TaxEvt=1),IF(ATN74+1&gt;=H_Deemed,0,ATN74+1),ATN74)</f>
        <v>5</v>
      </c>
      <c r="ATO75" s="20" t="n">
        <f aca="false">IF(AND(H_Direct=0,H_TaxEvt=1),IF(ATO74+1&gt;=H_Deemed,0,ATO74+1),ATO74)</f>
        <v>4</v>
      </c>
      <c r="ATP75" s="20" t="n">
        <f aca="false">IF(AND(H_Direct=0,H_TaxEvt=1),IF(ATP74+1&gt;=H_Deemed,0,ATP74+1),ATP74)</f>
        <v>3</v>
      </c>
      <c r="ATQ75" s="20" t="n">
        <f aca="false">IF(AND(H_Direct=0,H_TaxEvt=1),IF(ATQ74+1&gt;=H_Deemed,0,ATQ74+1),ATQ74)</f>
        <v>2</v>
      </c>
      <c r="ATR75" s="20" t="n">
        <f aca="false">IF(AND(H_Direct=0,H_TaxEvt=1),IF(ATR74+1&gt;=H_Deemed,0,ATR74+1),ATR74)</f>
        <v>1</v>
      </c>
      <c r="ATS75" s="20" t="n">
        <f aca="false">IF(AND(H_Direct=0,H_TaxEvt=1),IF(ATS74+1&gt;=H_Deemed,0,ATS74+1),ATS74)</f>
        <v>0</v>
      </c>
      <c r="ATT75" s="20" t="n">
        <f aca="false">IF(AND(H_Direct=0,H_TaxEvt=1),IF(ATT74+1&gt;=H_Deemed,0,ATT74+1),ATT74)</f>
        <v>7</v>
      </c>
      <c r="ATU75" s="20" t="n">
        <f aca="false">IF(AND(H_Direct=0,H_TaxEvt=1),IF(ATU74+1&gt;=H_Deemed,0,ATU74+1),ATU74)</f>
        <v>6</v>
      </c>
      <c r="ATV75" s="20" t="n">
        <f aca="false">IF(AND(H_Direct=0,H_TaxEvt=1),IF(ATV74+1&gt;=H_Deemed,0,ATV74+1),ATV74)</f>
        <v>5</v>
      </c>
      <c r="ATW75" s="20" t="n">
        <f aca="false">IF(AND(H_Direct=0,H_TaxEvt=1),IF(ATW74+1&gt;=H_Deemed,0,ATW74+1),ATW74)</f>
        <v>4</v>
      </c>
      <c r="ATX75" s="20" t="n">
        <f aca="false">IF(AND(H_Direct=0,H_TaxEvt=1),IF(ATX74+1&gt;=H_Deemed,0,ATX74+1),ATX74)</f>
        <v>3</v>
      </c>
      <c r="ATY75" s="20" t="n">
        <f aca="false">IF(AND(H_Direct=0,H_TaxEvt=1),IF(ATY74+1&gt;=H_Deemed,0,ATY74+1),ATY74)</f>
        <v>2</v>
      </c>
      <c r="ATZ75" s="20" t="n">
        <f aca="false">IF(AND(H_Direct=0,H_TaxEvt=1),IF(ATZ74+1&gt;=H_Deemed,0,ATZ74+1),ATZ74)</f>
        <v>1</v>
      </c>
      <c r="AUA75" s="20" t="n">
        <f aca="false">IF(AND(H_Direct=0,H_TaxEvt=1),IF(AUA74+1&gt;=H_Deemed,0,AUA74+1),AUA74)</f>
        <v>0</v>
      </c>
      <c r="AUB75" s="20" t="n">
        <f aca="false">IF(AND(H_Direct=0,H_TaxEvt=1),IF(AUB74+1&gt;=H_Deemed,0,AUB74+1),AUB74)</f>
        <v>7</v>
      </c>
      <c r="AUC75" s="20" t="n">
        <f aca="false">IF(AND(H_Direct=0,H_TaxEvt=1),IF(AUC74+1&gt;=H_Deemed,0,AUC74+1),AUC74)</f>
        <v>6</v>
      </c>
      <c r="AUD75" s="20" t="n">
        <f aca="false">IF(AND(H_Direct=0,H_TaxEvt=1),IF(AUD74+1&gt;=H_Deemed,0,AUD74+1),AUD74)</f>
        <v>5</v>
      </c>
      <c r="AUE75" s="20" t="n">
        <f aca="false">IF(AND(H_Direct=0,H_TaxEvt=1),IF(AUE74+1&gt;=H_Deemed,0,AUE74+1),AUE74)</f>
        <v>4</v>
      </c>
      <c r="AUF75" s="20" t="n">
        <f aca="false">IF(AND(H_Direct=0,H_TaxEvt=1),IF(AUF74+1&gt;=H_Deemed,0,AUF74+1),AUF74)</f>
        <v>3</v>
      </c>
      <c r="AUG75" s="20" t="n">
        <f aca="false">IF(AND(H_Direct=0,H_TaxEvt=1),IF(AUG74+1&gt;=H_Deemed,0,AUG74+1),AUG74)</f>
        <v>2</v>
      </c>
      <c r="AUH75" s="20" t="n">
        <f aca="false">IF(AND(H_Direct=0,H_TaxEvt=1),IF(0+1&gt;=H_Deemed,0,0+1),0)</f>
        <v>1</v>
      </c>
      <c r="AUI75" s="20" t="n">
        <v>0</v>
      </c>
      <c r="AUJ75" s="20" t="n">
        <v>0</v>
      </c>
      <c r="AUK75" s="20" t="n">
        <v>0</v>
      </c>
      <c r="AUL75" s="20" t="n">
        <v>0</v>
      </c>
      <c r="AUM75" s="20" t="n">
        <v>0</v>
      </c>
      <c r="AUN75" s="20" t="n">
        <v>0</v>
      </c>
      <c r="AUO75" s="20" t="n">
        <v>0</v>
      </c>
      <c r="AUP75" s="20" t="n">
        <v>0</v>
      </c>
      <c r="AUQ75" s="20" t="n">
        <v>0</v>
      </c>
      <c r="AUR75" s="20" t="n">
        <v>0</v>
      </c>
      <c r="AUS75" s="20" t="n">
        <v>0</v>
      </c>
      <c r="AUT75" s="20" t="n">
        <v>0</v>
      </c>
      <c r="AUU75" s="20" t="n">
        <v>0</v>
      </c>
      <c r="AUV75" s="20" t="n">
        <v>0</v>
      </c>
      <c r="AUW75" s="20" t="n">
        <v>0</v>
      </c>
      <c r="AUX75" s="20" t="n">
        <v>0</v>
      </c>
      <c r="AUY75" s="20" t="n">
        <v>0</v>
      </c>
      <c r="AUZ75" s="20" t="n">
        <v>0</v>
      </c>
      <c r="AVA75" s="20" t="n">
        <v>0</v>
      </c>
      <c r="AVB75" s="20" t="n">
        <v>0</v>
      </c>
      <c r="AVC75" s="20" t="n">
        <v>0</v>
      </c>
      <c r="AVD75" s="20" t="n">
        <v>0</v>
      </c>
      <c r="AVE75" s="20" t="n">
        <f aca="false">IF(AND(H_Direct=0,H_TaxEvt=1,ARR74+1&gt;=H_Deemed),MAX(0,ADR75-AHE75)*H_Exit,0)</f>
        <v>0</v>
      </c>
      <c r="AVF75" s="20" t="n">
        <f aca="false">IF(AND(H_Direct=0,H_TaxEvt=1,ARS74+1&gt;=H_Deemed),MAX(0,ADS75-AHF75)*H_Exit,0)</f>
        <v>0</v>
      </c>
      <c r="AVG75" s="20" t="n">
        <f aca="false">IF(AND(H_Direct=0,H_TaxEvt=1,ART74+1&gt;=H_Deemed),MAX(0,ADT75-AHG75)*H_Exit,0)</f>
        <v>0</v>
      </c>
      <c r="AVH75" s="20" t="n">
        <f aca="false">IF(AND(H_Direct=0,H_TaxEvt=1,ARU74+1&gt;=H_Deemed),MAX(0,ADU75-AHH75)*H_Exit,0)</f>
        <v>0</v>
      </c>
      <c r="AVI75" s="20" t="n">
        <f aca="false">IF(AND(H_Direct=0,H_TaxEvt=1,ARV74+1&gt;=H_Deemed),MAX(0,ADV75-AHI75)*H_Exit,0)</f>
        <v>0</v>
      </c>
      <c r="AVJ75" s="20" t="n">
        <f aca="false">IF(AND(H_Direct=0,H_TaxEvt=1,ARW74+1&gt;=H_Deemed),MAX(0,ADW75-AHJ75)*H_Exit,0)</f>
        <v>0</v>
      </c>
      <c r="AVK75" s="20" t="n">
        <f aca="false">IF(AND(H_Direct=0,H_TaxEvt=1,ARX74+1&gt;=H_Deemed),MAX(0,ADX75-AHK75)*H_Exit,0)</f>
        <v>0</v>
      </c>
      <c r="AVL75" s="20" t="n">
        <f aca="false">IF(AND(H_Direct=0,H_TaxEvt=1,ARY74+1&gt;=H_Deemed),MAX(0,ADY75-AHL75)*H_Exit,0)</f>
        <v>0</v>
      </c>
      <c r="AVM75" s="20" t="n">
        <f aca="false">IF(AND(H_Direct=0,H_TaxEvt=1,ARZ74+1&gt;=H_Deemed),MAX(0,ADZ75-AHM75)*H_Exit,0)</f>
        <v>0</v>
      </c>
      <c r="AVN75" s="20" t="n">
        <f aca="false">IF(AND(H_Direct=0,H_TaxEvt=1,ASA74+1&gt;=H_Deemed),MAX(0,AEA75-AHN75)*H_Exit,0)</f>
        <v>0</v>
      </c>
      <c r="AVO75" s="20" t="n">
        <f aca="false">IF(AND(H_Direct=0,H_TaxEvt=1,ASB74+1&gt;=H_Deemed),MAX(0,AEB75-AHO75)*H_Exit,0)</f>
        <v>0</v>
      </c>
      <c r="AVP75" s="20" t="n">
        <f aca="false">IF(AND(H_Direct=0,H_TaxEvt=1,ASC74+1&gt;=H_Deemed),MAX(0,AEC75-AHP75)*H_Exit,0)</f>
        <v>0</v>
      </c>
      <c r="AVQ75" s="20" t="n">
        <f aca="false">IF(AND(H_Direct=0,H_TaxEvt=1,ASD74+1&gt;=H_Deemed),MAX(0,AED75-AHQ75)*H_Exit,0)</f>
        <v>0</v>
      </c>
      <c r="AVR75" s="20" t="n">
        <f aca="false">IF(AND(H_Direct=0,H_TaxEvt=1,ASE74+1&gt;=H_Deemed),MAX(0,AEE75-AHR75)*H_Exit,0)</f>
        <v>0</v>
      </c>
      <c r="AVS75" s="20" t="n">
        <f aca="false">IF(AND(H_Direct=0,H_TaxEvt=1,ASF74+1&gt;=H_Deemed),MAX(0,AEF75-AHS75)*H_Exit,0)</f>
        <v>0</v>
      </c>
      <c r="AVT75" s="20" t="n">
        <f aca="false">IF(AND(H_Direct=0,H_TaxEvt=1,ASG74+1&gt;=H_Deemed),MAX(0,AEG75-AHT75)*H_Exit,0)</f>
        <v>0</v>
      </c>
      <c r="AVU75" s="20" t="n">
        <f aca="false">IF(AND(H_Direct=0,H_TaxEvt=1,ASH74+1&gt;=H_Deemed),MAX(0,AEH75-AHU75)*H_Exit,0)</f>
        <v>0</v>
      </c>
      <c r="AVV75" s="20" t="n">
        <f aca="false">IF(AND(H_Direct=0,H_TaxEvt=1,ASI74+1&gt;=H_Deemed),MAX(0,AEI75-AHV75)*H_Exit,0)</f>
        <v>0</v>
      </c>
      <c r="AVW75" s="20" t="n">
        <f aca="false">IF(AND(H_Direct=0,H_TaxEvt=1,ASJ74+1&gt;=H_Deemed),MAX(0,AEJ75-AHW75)*H_Exit,0)</f>
        <v>0</v>
      </c>
      <c r="AVX75" s="20" t="n">
        <f aca="false">IF(AND(H_Direct=0,H_TaxEvt=1,ASK74+1&gt;=H_Deemed),MAX(0,AEK75-AHX75)*H_Exit,0)</f>
        <v>0</v>
      </c>
      <c r="AVY75" s="20" t="n">
        <f aca="false">IF(AND(H_Direct=0,H_TaxEvt=1,ASL74+1&gt;=H_Deemed),MAX(0,AEL75-AHY75)*H_Exit,0)</f>
        <v>0</v>
      </c>
      <c r="AVZ75" s="20" t="n">
        <f aca="false">IF(AND(H_Direct=0,H_TaxEvt=1,ASM74+1&gt;=H_Deemed),MAX(0,AEM75-AHZ75)*H_Exit,0)</f>
        <v>0</v>
      </c>
      <c r="AWA75" s="20" t="n">
        <f aca="false">IF(AND(H_Direct=0,H_TaxEvt=1,ASN74+1&gt;=H_Deemed),MAX(0,AEN75-AIA75)*H_Exit,0)</f>
        <v>0</v>
      </c>
      <c r="AWB75" s="20" t="n">
        <f aca="false">IF(AND(H_Direct=0,H_TaxEvt=1,ASO74+1&gt;=H_Deemed),MAX(0,AEO75-AIB75)*H_Exit,0)</f>
        <v>0</v>
      </c>
      <c r="AWC75" s="20" t="n">
        <f aca="false">IF(AND(H_Direct=0,H_TaxEvt=1,ASP74+1&gt;=H_Deemed),MAX(0,AEP75-AIC75)*H_Exit,0)</f>
        <v>0</v>
      </c>
      <c r="AWD75" s="20" t="n">
        <f aca="false">IF(AND(H_Direct=0,H_TaxEvt=1,ASQ74+1&gt;=H_Deemed),MAX(0,AEQ75-AID75)*H_Exit,0)</f>
        <v>0</v>
      </c>
      <c r="AWE75" s="20" t="n">
        <f aca="false">IF(AND(H_Direct=0,H_TaxEvt=1,ASR74+1&gt;=H_Deemed),MAX(0,AER75-AIE75)*H_Exit,0)</f>
        <v>0</v>
      </c>
      <c r="AWF75" s="20" t="n">
        <f aca="false">IF(AND(H_Direct=0,H_TaxEvt=1,ASS74+1&gt;=H_Deemed),MAX(0,AES75-AIF75)*H_Exit,0)</f>
        <v>0</v>
      </c>
      <c r="AWG75" s="20" t="n">
        <f aca="false">IF(AND(H_Direct=0,H_TaxEvt=1,AST74+1&gt;=H_Deemed),MAX(0,AET75-AIG75)*H_Exit,0)</f>
        <v>0</v>
      </c>
      <c r="AWH75" s="20" t="n">
        <f aca="false">IF(AND(H_Direct=0,H_TaxEvt=1,ASU74+1&gt;=H_Deemed),MAX(0,AEU75-AIH75)*H_Exit,0)</f>
        <v>0</v>
      </c>
      <c r="AWI75" s="20" t="n">
        <f aca="false">IF(AND(H_Direct=0,H_TaxEvt=1,ASV74+1&gt;=H_Deemed),MAX(0,AEV75-AII75)*H_Exit,0)</f>
        <v>0</v>
      </c>
      <c r="AWJ75" s="20" t="n">
        <f aca="false">IF(AND(H_Direct=0,H_TaxEvt=1,ASW74+1&gt;=H_Deemed),MAX(0,AEW75-AIJ75)*H_Exit,0)</f>
        <v>0</v>
      </c>
      <c r="AWK75" s="20" t="n">
        <f aca="false">IF(AND(H_Direct=0,H_TaxEvt=1,ASX74+1&gt;=H_Deemed),MAX(0,AEX75-AIK75)*H_Exit,0)</f>
        <v>0</v>
      </c>
      <c r="AWL75" s="20" t="n">
        <f aca="false">IF(AND(H_Direct=0,H_TaxEvt=1,ASY74+1&gt;=H_Deemed),MAX(0,AEY75-AIL75)*H_Exit,0)</f>
        <v>0</v>
      </c>
      <c r="AWM75" s="20" t="n">
        <f aca="false">IF(AND(H_Direct=0,H_TaxEvt=1,ASZ74+1&gt;=H_Deemed),MAX(0,AEZ75-AIM75)*H_Exit,0)</f>
        <v>0</v>
      </c>
      <c r="AWN75" s="20" t="n">
        <f aca="false">IF(AND(H_Direct=0,H_TaxEvt=1,ATA74+1&gt;=H_Deemed),MAX(0,AFA75-AIN75)*H_Exit,0)</f>
        <v>0</v>
      </c>
      <c r="AWO75" s="20" t="n">
        <f aca="false">IF(AND(H_Direct=0,H_TaxEvt=1,ATB74+1&gt;=H_Deemed),MAX(0,AFB75-AIO75)*H_Exit,0)</f>
        <v>0</v>
      </c>
      <c r="AWP75" s="20" t="n">
        <f aca="false">IF(AND(H_Direct=0,H_TaxEvt=1,ATC74+1&gt;=H_Deemed),MAX(0,AFC75-AIP75)*H_Exit,0)</f>
        <v>0</v>
      </c>
      <c r="AWQ75" s="20" t="n">
        <f aca="false">IF(AND(H_Direct=0,H_TaxEvt=1,ATD74+1&gt;=H_Deemed),MAX(0,AFD75-AIQ75)*H_Exit,0)</f>
        <v>0</v>
      </c>
      <c r="AWR75" s="20" t="n">
        <f aca="false">IF(AND(H_Direct=0,H_TaxEvt=1,ATE74+1&gt;=H_Deemed),MAX(0,AFE75-AIR75)*H_Exit,0)</f>
        <v>0</v>
      </c>
      <c r="AWS75" s="20" t="n">
        <f aca="false">IF(AND(H_Direct=0,H_TaxEvt=1,ATF74+1&gt;=H_Deemed),MAX(0,AFF75-AIS75)*H_Exit,0)</f>
        <v>0</v>
      </c>
      <c r="AWT75" s="20" t="n">
        <f aca="false">IF(AND(H_Direct=0,H_TaxEvt=1,ATG74+1&gt;=H_Deemed),MAX(0,AFG75-AIT75)*H_Exit,0)</f>
        <v>0</v>
      </c>
      <c r="AWU75" s="20" t="n">
        <f aca="false">IF(AND(H_Direct=0,H_TaxEvt=1,ATH74+1&gt;=H_Deemed),MAX(0,AFH75-AIU75)*H_Exit,0)</f>
        <v>0</v>
      </c>
      <c r="AWV75" s="20" t="n">
        <f aca="false">IF(AND(H_Direct=0,H_TaxEvt=1,ATI74+1&gt;=H_Deemed),MAX(0,AFI75-AIV75)*H_Exit,0)</f>
        <v>0</v>
      </c>
      <c r="AWW75" s="20" t="n">
        <f aca="false">IF(AND(H_Direct=0,H_TaxEvt=1,ATJ74+1&gt;=H_Deemed),MAX(0,AFJ75-AIW75)*H_Exit,0)</f>
        <v>0</v>
      </c>
      <c r="AWX75" s="20" t="n">
        <f aca="false">IF(AND(H_Direct=0,H_TaxEvt=1,ATK74+1&gt;=H_Deemed),MAX(0,AFK75-AIX75)*H_Exit,0)</f>
        <v>0</v>
      </c>
      <c r="AWY75" s="20" t="n">
        <f aca="false">IF(AND(H_Direct=0,H_TaxEvt=1,ATL74+1&gt;=H_Deemed),MAX(0,AFL75-AIY75)*H_Exit,0)</f>
        <v>0</v>
      </c>
      <c r="AWZ75" s="20" t="n">
        <f aca="false">IF(AND(H_Direct=0,H_TaxEvt=1,ATM74+1&gt;=H_Deemed),MAX(0,AFM75-AIZ75)*H_Exit,0)</f>
        <v>0</v>
      </c>
      <c r="AXA75" s="20" t="n">
        <f aca="false">IF(AND(H_Direct=0,H_TaxEvt=1,ATN74+1&gt;=H_Deemed),MAX(0,AFN75-AJA75)*H_Exit,0)</f>
        <v>0</v>
      </c>
      <c r="AXB75" s="20" t="n">
        <f aca="false">IF(AND(H_Direct=0,H_TaxEvt=1,ATO74+1&gt;=H_Deemed),MAX(0,AFO75-AJB75)*H_Exit,0)</f>
        <v>0</v>
      </c>
      <c r="AXC75" s="20" t="n">
        <f aca="false">IF(AND(H_Direct=0,H_TaxEvt=1,ATP74+1&gt;=H_Deemed),MAX(0,AFP75-AJC75)*H_Exit,0)</f>
        <v>0</v>
      </c>
      <c r="AXD75" s="20" t="n">
        <f aca="false">IF(AND(H_Direct=0,H_TaxEvt=1,ATQ74+1&gt;=H_Deemed),MAX(0,AFQ75-AJD75)*H_Exit,0)</f>
        <v>0</v>
      </c>
      <c r="AXE75" s="20" t="n">
        <f aca="false">IF(AND(H_Direct=0,H_TaxEvt=1,ATR74+1&gt;=H_Deemed),MAX(0,AFR75-AJE75)*H_Exit,0)</f>
        <v>0</v>
      </c>
      <c r="AXF75" s="20" t="n">
        <f aca="false">IF(AND(H_Direct=0,H_TaxEvt=1,ATS74+1&gt;=H_Deemed),MAX(0,AFS75-AJF75)*H_Exit,0)</f>
        <v>0</v>
      </c>
      <c r="AXG75" s="20" t="n">
        <f aca="false">IF(AND(H_Direct=0,H_TaxEvt=1,ATT74+1&gt;=H_Deemed),MAX(0,AFT75-AJG75)*H_Exit,0)</f>
        <v>0</v>
      </c>
      <c r="AXH75" s="20" t="n">
        <f aca="false">IF(AND(H_Direct=0,H_TaxEvt=1,ATU74+1&gt;=H_Deemed),MAX(0,AFU75-AJH75)*H_Exit,0)</f>
        <v>0</v>
      </c>
      <c r="AXI75" s="20" t="n">
        <f aca="false">IF(AND(H_Direct=0,H_TaxEvt=1,ATV74+1&gt;=H_Deemed),MAX(0,AFV75-AJI75)*H_Exit,0)</f>
        <v>0</v>
      </c>
      <c r="AXJ75" s="20" t="n">
        <f aca="false">IF(AND(H_Direct=0,H_TaxEvt=1,ATW74+1&gt;=H_Deemed),MAX(0,AFW75-AJJ75)*H_Exit,0)</f>
        <v>0</v>
      </c>
      <c r="AXK75" s="20" t="n">
        <f aca="false">IF(AND(H_Direct=0,H_TaxEvt=1,ATX74+1&gt;=H_Deemed),MAX(0,AFX75-AJK75)*H_Exit,0)</f>
        <v>0</v>
      </c>
      <c r="AXL75" s="20" t="n">
        <f aca="false">IF(AND(H_Direct=0,H_TaxEvt=1,ATY74+1&gt;=H_Deemed),MAX(0,AFY75-AJL75)*H_Exit,0)</f>
        <v>0</v>
      </c>
      <c r="AXM75" s="20" t="n">
        <f aca="false">IF(AND(H_Direct=0,H_TaxEvt=1,ATZ74+1&gt;=H_Deemed),MAX(0,AFZ75-AJM75)*H_Exit,0)</f>
        <v>0</v>
      </c>
      <c r="AXN75" s="20" t="n">
        <f aca="false">IF(AND(H_Direct=0,H_TaxEvt=1,AUA74+1&gt;=H_Deemed),MAX(0,AGA75-AJN75)*H_Exit,0)</f>
        <v>0</v>
      </c>
      <c r="AXO75" s="20" t="n">
        <f aca="false">IF(AND(H_Direct=0,H_TaxEvt=1,AUB74+1&gt;=H_Deemed),MAX(0,AGB75-AJO75)*H_Exit,0)</f>
        <v>0</v>
      </c>
      <c r="AXP75" s="20" t="n">
        <f aca="false">IF(AND(H_Direct=0,H_TaxEvt=1,AUC74+1&gt;=H_Deemed),MAX(0,AGC75-AJP75)*H_Exit,0)</f>
        <v>0</v>
      </c>
      <c r="AXQ75" s="20" t="n">
        <f aca="false">IF(AND(H_Direct=0,H_TaxEvt=1,AUD74+1&gt;=H_Deemed),MAX(0,AGD75-AJQ75)*H_Exit,0)</f>
        <v>0</v>
      </c>
      <c r="AXR75" s="20" t="n">
        <f aca="false">IF(AND(H_Direct=0,H_TaxEvt=1,AUE74+1&gt;=H_Deemed),MAX(0,AGE75-AJR75)*H_Exit,0)</f>
        <v>0</v>
      </c>
      <c r="AXS75" s="20" t="n">
        <f aca="false">IF(AND(H_Direct=0,H_TaxEvt=1,AUF74+1&gt;=H_Deemed),MAX(0,AGF75-AJS75)*H_Exit,0)</f>
        <v>0</v>
      </c>
      <c r="AXT75" s="20" t="n">
        <f aca="false">IF(AND(H_Direct=0,H_TaxEvt=1,AUG74+1&gt;=H_Deemed),MAX(0,AGG75-AJT75)*H_Exit,0)</f>
        <v>0</v>
      </c>
      <c r="AXU75" s="20" t="n">
        <f aca="false">IF(AND(H_Direct=0,H_TaxEvt=1,0+1&gt;=H_Deemed),MAX(0,AGH75-AJU75)*H_Exit,0)</f>
        <v>0</v>
      </c>
      <c r="AXV75" s="20" t="n">
        <v>0</v>
      </c>
      <c r="AXW75" s="20" t="n">
        <v>0</v>
      </c>
      <c r="AXX75" s="20" t="n">
        <v>0</v>
      </c>
      <c r="AXY75" s="20" t="n">
        <v>0</v>
      </c>
      <c r="AXZ75" s="20" t="n">
        <v>0</v>
      </c>
      <c r="AYA75" s="20" t="n">
        <v>0</v>
      </c>
      <c r="AYB75" s="20" t="n">
        <v>0</v>
      </c>
      <c r="AYC75" s="20" t="n">
        <v>0</v>
      </c>
      <c r="AYD75" s="20" t="n">
        <v>0</v>
      </c>
      <c r="AYE75" s="20" t="n">
        <v>0</v>
      </c>
      <c r="AYF75" s="20" t="n">
        <v>0</v>
      </c>
      <c r="AYG75" s="20" t="n">
        <v>0</v>
      </c>
      <c r="AYH75" s="20" t="n">
        <v>0</v>
      </c>
      <c r="AYI75" s="20" t="n">
        <v>0</v>
      </c>
      <c r="AYJ75" s="20" t="n">
        <v>0</v>
      </c>
      <c r="AYK75" s="20" t="n">
        <v>0</v>
      </c>
      <c r="AYL75" s="20" t="n">
        <v>0</v>
      </c>
      <c r="AYM75" s="20" t="n">
        <v>0</v>
      </c>
      <c r="AYN75" s="20" t="n">
        <v>0</v>
      </c>
      <c r="AYO75" s="20" t="n">
        <v>0</v>
      </c>
      <c r="AYP75" s="20" t="n">
        <v>0</v>
      </c>
      <c r="AYQ75" s="20" t="n">
        <v>0</v>
      </c>
    </row>
    <row r="76" customFormat="false" ht="15" hidden="false" customHeight="false" outlineLevel="0" collapsed="false">
      <c r="B76" s="20" t="n">
        <v>68</v>
      </c>
      <c r="C76" s="20" t="n">
        <f aca="false">'Plan cashflow'!C76</f>
        <v>0</v>
      </c>
      <c r="D76" s="20" t="n">
        <f aca="false">'Plan cashflow'!D76</f>
        <v>106</v>
      </c>
      <c r="E76" s="20" t="n">
        <f aca="false">AS_Year0+68</f>
        <v>2094</v>
      </c>
      <c r="F76" s="50" t="n">
        <f aca="false">'Plan cashflow'!F76</f>
        <v>3.8442505025456</v>
      </c>
      <c r="G76" s="59" t="n">
        <f aca="true">IF(MAX(TODAY(),DATE(E76,1,1))&gt;=H_CGTfrom,H_CGT1,H_CGT0)</f>
        <v>0.31</v>
      </c>
      <c r="H76" s="20" t="n">
        <f aca="false">H_Exempt*H_Persons</f>
        <v>1270</v>
      </c>
      <c r="I76" s="20" t="n">
        <f aca="false">AX75</f>
        <v>0</v>
      </c>
      <c r="J76" s="60" t="n">
        <f aca="false">BF75</f>
        <v>0</v>
      </c>
      <c r="K76" s="60" t="n">
        <f aca="false">BG75</f>
        <v>0</v>
      </c>
      <c r="L76" s="20" t="n">
        <f aca="false">IF(AND(In_polLump&gt;0,In_polLumpAge&gt;0,D76=In_polLumpAge),In_polLump,0)</f>
        <v>0</v>
      </c>
      <c r="M76" s="20" t="n">
        <f aca="false">IF(AND(In_homeUse="Yes, I'd downsize",In_downAge&gt;0,D76=In_downAge,OR(In_home="Own outright",In_home="Own with mortgage"),In_homeValue&gt;0),MAX(0,MAX(0,In_homeValue-In_downValue)*F76*0.9-'Plan cashflow'!HR75),0)</f>
        <v>0</v>
      </c>
      <c r="N76" s="20" t="n">
        <f aca="false">'Plan pay &amp; tax'!Y302</f>
        <v>0</v>
      </c>
      <c r="O76" s="20" t="n">
        <f aca="false">L76+M76+(1-H_Sh)*N76</f>
        <v>0</v>
      </c>
      <c r="P76" s="20" t="n">
        <f aca="false">H_Sh*N76</f>
        <v>0</v>
      </c>
      <c r="Q76" s="20" t="n">
        <f aca="false">'Plan cashflow'!UL76</f>
        <v>0</v>
      </c>
      <c r="R76" s="20" t="n">
        <f aca="false">(1-H_Sh)*Q76</f>
        <v>0</v>
      </c>
      <c r="S76" s="20" t="n">
        <f aca="false">H_Sh*Q76</f>
        <v>0</v>
      </c>
      <c r="T76" s="20" t="n">
        <f aca="false">J76+K76+O76</f>
        <v>0</v>
      </c>
      <c r="U76" s="20" t="n">
        <f aca="false">T76+R76</f>
        <v>0</v>
      </c>
      <c r="V76" s="60" t="n">
        <f aca="false">SUM(FE76:IQ76)</f>
        <v>0</v>
      </c>
      <c r="W76" s="60" t="n">
        <f aca="false">IF(AJ76&lt;=0,0,IF(AL76&lt;=0,AJ76,AJ76-G76*MAX(0,AL76*AJ76-(AY76+AZ76))))</f>
        <v>0</v>
      </c>
      <c r="X76" s="60" t="n">
        <f aca="false">IF(AR76&lt;=0,0,IF(AT76&lt;=0,AR76,AR76-G76*MAX(0,AT76*AR76-(BA76+BB76))))</f>
        <v>0</v>
      </c>
      <c r="Y76" s="60" t="n">
        <f aca="false">T76+V76-S76+W76+X76</f>
        <v>0</v>
      </c>
      <c r="Z76" s="60" t="n">
        <f aca="false">'Plan cashflow'!UK76</f>
        <v>0</v>
      </c>
      <c r="AA76" s="20" t="n">
        <f aca="false">MIN(Z76,U76)</f>
        <v>0</v>
      </c>
      <c r="AB76" s="20" t="n">
        <f aca="false">Z76-AA76</f>
        <v>0</v>
      </c>
      <c r="AC76" s="20" t="n">
        <f aca="false">MIN(AA76,J76+O76+R76)</f>
        <v>0</v>
      </c>
      <c r="AD76" s="20" t="n">
        <f aca="false">AA76-AC76</f>
        <v>0</v>
      </c>
      <c r="AE76" s="20" t="n">
        <f aca="false">J76+O76+R76-AC76</f>
        <v>0</v>
      </c>
      <c r="AF76" s="20" t="n">
        <f aca="false">K76-AD76</f>
        <v>0</v>
      </c>
      <c r="AG76" s="20" t="n">
        <f aca="false">SUM(PR76:TD76)</f>
        <v>0</v>
      </c>
      <c r="AH76" s="20" t="n">
        <f aca="false">SUM(TE76:WQ76)</f>
        <v>0</v>
      </c>
      <c r="AI76" s="20" t="n">
        <f aca="false">MAX(0,AB76-AG76)</f>
        <v>0</v>
      </c>
      <c r="AJ76" s="57" t="n">
        <f aca="false">BI75</f>
        <v>0</v>
      </c>
      <c r="AK76" s="20" t="n">
        <f aca="false">BJ75</f>
        <v>0</v>
      </c>
      <c r="AL76" s="20" t="n">
        <f aca="false">IF(AJ76&gt;0,(AJ76-AK76)/AJ76,0)</f>
        <v>0</v>
      </c>
      <c r="AM76" s="20" t="n">
        <f aca="false">IF(AJ76&lt;=0,0,IF(AL76&lt;=0,MIN(AI76,AJ76),MIN(AI76,AJ76-G76*MAX(0,AL76*AJ76-(AAD76+ADQ76)))))</f>
        <v>0</v>
      </c>
      <c r="AN76" s="20" t="n">
        <f aca="false">IF(AJ76&lt;=0,0,IF(AL76&lt;=0,AM76,IF(AM76&lt;=(AAD76+ADQ76)/AL76,AM76,(AM76-G76*(AAD76+ADQ76))/(1-G76*AL76))))</f>
        <v>0</v>
      </c>
      <c r="AO76" s="20" t="n">
        <f aca="false">IF(AL76&gt;0,MAX(0,AAD76-(MIN(AL76*AN76,(AAD76+ADQ76))-MIN(MIN(AL76*AN76,(AAD76+ADQ76)),ADQ76))),AAD76)</f>
        <v>1270</v>
      </c>
      <c r="AP76" s="20" t="n">
        <f aca="false">IF(AL76&lt;=0,ADQ76-AL76*AN76,ADQ76-MIN(MIN(AL76*AN76,(AAD76+ADQ76)),ADQ76))</f>
        <v>0</v>
      </c>
      <c r="AQ76" s="20" t="n">
        <f aca="false">MAX(0,AI76-AM76)</f>
        <v>0</v>
      </c>
      <c r="AR76" s="57" t="n">
        <f aca="false">BK75</f>
        <v>0</v>
      </c>
      <c r="AS76" s="20" t="n">
        <f aca="false">BL75</f>
        <v>0</v>
      </c>
      <c r="AT76" s="20" t="n">
        <f aca="false">IF(AR76&gt;0,(AR76-AS76)/AR76,0)</f>
        <v>0</v>
      </c>
      <c r="AU76" s="20" t="n">
        <f aca="false">IF(AR76&lt;=0,0,IF(AT76&lt;=0,MIN(AQ76,AR76),MIN(AQ76,AR76-G76*MAX(0,AT76*AR76-(AO76+AP76)))))</f>
        <v>0</v>
      </c>
      <c r="AV76" s="20" t="n">
        <f aca="false">IF(AR76&lt;=0,0,IF(AT76&lt;=0,AU76,IF(AU76&lt;=(AO76+AP76)/AT76,AU76,(AU76-G76*(AO76+AP76))/(1-G76*AT76))))</f>
        <v>0</v>
      </c>
      <c r="AW76" s="20" t="n">
        <f aca="false">IF(AT76&gt;0,MAX(0,AO76-(MIN(AT76*AV76,(AO76+AP76))-MIN(MIN(AT76*AV76,(AO76+AP76)),AP76))),AO76)</f>
        <v>1270</v>
      </c>
      <c r="AX76" s="20" t="n">
        <f aca="false">IF(AT76&lt;=0,AP76-AT76*AV76,AP76-MIN(MIN(AT76*AV76,(AO76+AP76)),AP76))</f>
        <v>0</v>
      </c>
      <c r="AY76" s="20" t="n">
        <f aca="false">MD76</f>
        <v>1270</v>
      </c>
      <c r="AZ76" s="20" t="n">
        <f aca="false">PQ76</f>
        <v>0</v>
      </c>
      <c r="BA76" s="20" t="n">
        <f aca="false">IF(AL76&gt;0,MAX(0,AY76-(MIN(AL76*AJ76,AY76+AZ76)-MIN(MIN(AL76*AJ76,AY76+AZ76),AZ76))),AY76)</f>
        <v>1270</v>
      </c>
      <c r="BB76" s="20" t="n">
        <f aca="false">IF(AL76&lt;=0,AZ76-AL76*AJ76,AZ76-MIN(MIN(AL76*AJ76,AY76+AZ76),AZ76))</f>
        <v>0</v>
      </c>
      <c r="BC76" s="20" t="n">
        <f aca="false">'Plan cashflow'!UM76</f>
        <v>0</v>
      </c>
      <c r="BD76" s="20" t="n">
        <f aca="false">(1-H_Sh)*BC76</f>
        <v>0</v>
      </c>
      <c r="BE76" s="20" t="n">
        <f aca="false">H_Sh*BC76</f>
        <v>0</v>
      </c>
      <c r="BF76" s="60" t="n">
        <f aca="false">(AE76+BD76)*(1+AS_Cash)</f>
        <v>0</v>
      </c>
      <c r="BG76" s="60" t="n">
        <f aca="false">AF76*(1+AS_Cash)</f>
        <v>0</v>
      </c>
      <c r="BH76" s="60" t="n">
        <f aca="false">SUM(AKR76:AOD76)</f>
        <v>0</v>
      </c>
      <c r="BI76" s="60" t="n">
        <f aca="false">(AJ76-AN76)*(1+AS_Infl)</f>
        <v>0</v>
      </c>
      <c r="BJ76" s="20" t="n">
        <f aca="false">IF(AJ76&gt;0,AK76-AK76*AN76/AJ76,0)</f>
        <v>0</v>
      </c>
      <c r="BK76" s="60" t="n">
        <f aca="false">(AR76-AV76)*(1+BQ76)</f>
        <v>0</v>
      </c>
      <c r="BL76" s="20" t="n">
        <f aca="false">IF(AR76&gt;0,AS76-AS76*AV76/AR76,0)</f>
        <v>0</v>
      </c>
      <c r="BM76" s="60" t="n">
        <f aca="false">BF76+BG76+BH76+BI76+BK76</f>
        <v>0</v>
      </c>
      <c r="BN76" s="60" t="n">
        <f aca="false">(AH76-AG76)+(AN76-AM76)+(AV76-AU76)</f>
        <v>0</v>
      </c>
      <c r="BO76" s="20" t="n">
        <f aca="false">(AE76+BD76+AF76+MAX(0,'Plan cashflow'!QH76)+IF(Slot1_Rate=AS_Cash,'Plan cashflow'!QM76/(1+AS_Cash),0)+IF(Slot2_Rate=AS_Cash,'Plan cashflow'!QQ76/(1+AS_Cash),0)+IF(Slot3_Rate=AS_Cash,'Plan cashflow'!QU76/(1+AS_Cash),0)+IF(Slot4_Rate=AS_Cash,'Plan cashflow'!QY76/(1+AS_Cash),0)+IF(Slot5_Rate=AS_Cash,'Plan cashflow'!RC76/(1+AS_Cash),0)+IF(Slot6_Rate=AS_Cash,'Plan cashflow'!RG76/(1+AS_Cash),0)+IF(Slot7_Rate=AS_Cash,'Plan cashflow'!RK76/(1+AS_Cash),0)+IF(Slot8_Rate=AS_Cash,'Plan cashflow'!RO76/(1+AS_Cash),0)+IF(Slot9_Rate=AS_Cash,'Plan cashflow'!RS76/(1+AS_Cash),0)+IF(Slot10_Rate=AS_Cash,'Plan cashflow'!RW76/(1+AS_Cash),0)+IF(Slot11_Rate=AS_Cash,'Plan cashflow'!SA76/(1+AS_Cash),0)+IF(Slot12_Rate=AS_Cash,'Plan cashflow'!SE76/(1+AS_Cash),0)+IF(Slot13_Rate=AS_Cash,'Plan cashflow'!SI76/(1+AS_Cash),0)+IF(Slot14_Rate=AS_Cash,'Plan cashflow'!SM76/(1+AS_Cash),0)+IF(Slot15_Rate=AS_Cash,'Plan cashflow'!SQ76/(1+AS_Cash),0)+IF(Slot16_Rate=AS_Cash,'Plan cashflow'!SU76/(1+AS_Cash),0)+IF(Slot17_Rate=AS_Cash,'Plan cashflow'!SY76/(1+AS_Cash),0)+IF(Slot18_Rate=AS_Cash,'Plan cashflow'!TC76/(1+AS_Cash),0)+IF(Slot19_Rate=AS_Cash,'Plan cashflow'!TG76/(1+AS_Cash),0)+IF(Slot20_Rate=AS_Cash,'Plan cashflow'!TK76/(1+AS_Cash),0))*AS_Cash*H_DIRT/(1-H_DIRT)</f>
        <v>0</v>
      </c>
      <c r="BP76" s="60" t="n">
        <f aca="false">SUM(AVE76:AYQ76)</f>
        <v>0</v>
      </c>
      <c r="BQ76" s="54" t="n">
        <f aca="false">IF(H_TaxEvt=1,H_InvG,AS_Inv)</f>
        <v>0.04</v>
      </c>
      <c r="BR76" s="20" t="n">
        <f aca="false">IF(AKR75&gt;0,(AKR75-AOE75)/AKR75,0)</f>
        <v>0</v>
      </c>
      <c r="BS76" s="20" t="n">
        <f aca="false">IF(AKS75&gt;0,(AKS75-AOF75)/AKS75,0)</f>
        <v>0</v>
      </c>
      <c r="BT76" s="20" t="n">
        <f aca="false">IF(AKT75&gt;0,(AKT75-AOG75)/AKT75,0)</f>
        <v>0</v>
      </c>
      <c r="BU76" s="20" t="n">
        <f aca="false">IF(AKU75&gt;0,(AKU75-AOH75)/AKU75,0)</f>
        <v>0</v>
      </c>
      <c r="BV76" s="20" t="n">
        <f aca="false">IF(AKV75&gt;0,(AKV75-AOI75)/AKV75,0)</f>
        <v>0</v>
      </c>
      <c r="BW76" s="20" t="n">
        <f aca="false">IF(AKW75&gt;0,(AKW75-AOJ75)/AKW75,0)</f>
        <v>0</v>
      </c>
      <c r="BX76" s="20" t="n">
        <f aca="false">IF(AKX75&gt;0,(AKX75-AOK75)/AKX75,0)</f>
        <v>0</v>
      </c>
      <c r="BY76" s="20" t="n">
        <f aca="false">IF(AKY75&gt;0,(AKY75-AOL75)/AKY75,0)</f>
        <v>0</v>
      </c>
      <c r="BZ76" s="20" t="n">
        <f aca="false">IF(AKZ75&gt;0,(AKZ75-AOM75)/AKZ75,0)</f>
        <v>0</v>
      </c>
      <c r="CA76" s="20" t="n">
        <f aca="false">IF(ALA75&gt;0,(ALA75-AON75)/ALA75,0)</f>
        <v>0</v>
      </c>
      <c r="CB76" s="20" t="n">
        <f aca="false">IF(ALB75&gt;0,(ALB75-AOO75)/ALB75,0)</f>
        <v>0</v>
      </c>
      <c r="CC76" s="20" t="n">
        <f aca="false">IF(ALC75&gt;0,(ALC75-AOP75)/ALC75,0)</f>
        <v>0</v>
      </c>
      <c r="CD76" s="20" t="n">
        <f aca="false">IF(ALD75&gt;0,(ALD75-AOQ75)/ALD75,0)</f>
        <v>0</v>
      </c>
      <c r="CE76" s="20" t="n">
        <f aca="false">IF(ALE75&gt;0,(ALE75-AOR75)/ALE75,0)</f>
        <v>0</v>
      </c>
      <c r="CF76" s="20" t="n">
        <f aca="false">IF(ALF75&gt;0,(ALF75-AOS75)/ALF75,0)</f>
        <v>0</v>
      </c>
      <c r="CG76" s="20" t="n">
        <f aca="false">IF(ALG75&gt;0,(ALG75-AOT75)/ALG75,0)</f>
        <v>0</v>
      </c>
      <c r="CH76" s="20" t="n">
        <f aca="false">IF(ALH75&gt;0,(ALH75-AOU75)/ALH75,0)</f>
        <v>0</v>
      </c>
      <c r="CI76" s="20" t="n">
        <f aca="false">IF(ALI75&gt;0,(ALI75-AOV75)/ALI75,0)</f>
        <v>0</v>
      </c>
      <c r="CJ76" s="20" t="n">
        <f aca="false">IF(ALJ75&gt;0,(ALJ75-AOW75)/ALJ75,0)</f>
        <v>0</v>
      </c>
      <c r="CK76" s="20" t="n">
        <f aca="false">IF(ALK75&gt;0,(ALK75-AOX75)/ALK75,0)</f>
        <v>0</v>
      </c>
      <c r="CL76" s="20" t="n">
        <f aca="false">IF(ALL75&gt;0,(ALL75-AOY75)/ALL75,0)</f>
        <v>0</v>
      </c>
      <c r="CM76" s="20" t="n">
        <f aca="false">IF(ALM75&gt;0,(ALM75-AOZ75)/ALM75,0)</f>
        <v>0</v>
      </c>
      <c r="CN76" s="20" t="n">
        <f aca="false">IF(ALN75&gt;0,(ALN75-APA75)/ALN75,0)</f>
        <v>0</v>
      </c>
      <c r="CO76" s="20" t="n">
        <f aca="false">IF(ALO75&gt;0,(ALO75-APB75)/ALO75,0)</f>
        <v>0</v>
      </c>
      <c r="CP76" s="20" t="n">
        <f aca="false">IF(ALP75&gt;0,(ALP75-APC75)/ALP75,0)</f>
        <v>0</v>
      </c>
      <c r="CQ76" s="20" t="n">
        <f aca="false">IF(ALQ75&gt;0,(ALQ75-APD75)/ALQ75,0)</f>
        <v>0</v>
      </c>
      <c r="CR76" s="20" t="n">
        <f aca="false">IF(ALR75&gt;0,(ALR75-APE75)/ALR75,0)</f>
        <v>0</v>
      </c>
      <c r="CS76" s="20" t="n">
        <f aca="false">IF(ALS75&gt;0,(ALS75-APF75)/ALS75,0)</f>
        <v>0</v>
      </c>
      <c r="CT76" s="20" t="n">
        <f aca="false">IF(ALT75&gt;0,(ALT75-APG75)/ALT75,0)</f>
        <v>0</v>
      </c>
      <c r="CU76" s="20" t="n">
        <f aca="false">IF(ALU75&gt;0,(ALU75-APH75)/ALU75,0)</f>
        <v>0</v>
      </c>
      <c r="CV76" s="20" t="n">
        <f aca="false">IF(ALV75&gt;0,(ALV75-API75)/ALV75,0)</f>
        <v>0</v>
      </c>
      <c r="CW76" s="20" t="n">
        <f aca="false">IF(ALW75&gt;0,(ALW75-APJ75)/ALW75,0)</f>
        <v>0</v>
      </c>
      <c r="CX76" s="20" t="n">
        <f aca="false">IF(ALX75&gt;0,(ALX75-APK75)/ALX75,0)</f>
        <v>0</v>
      </c>
      <c r="CY76" s="20" t="n">
        <f aca="false">IF(ALY75&gt;0,(ALY75-APL75)/ALY75,0)</f>
        <v>0</v>
      </c>
      <c r="CZ76" s="20" t="n">
        <f aca="false">IF(ALZ75&gt;0,(ALZ75-APM75)/ALZ75,0)</f>
        <v>0</v>
      </c>
      <c r="DA76" s="20" t="n">
        <f aca="false">IF(AMA75&gt;0,(AMA75-APN75)/AMA75,0)</f>
        <v>0</v>
      </c>
      <c r="DB76" s="20" t="n">
        <f aca="false">IF(AMB75&gt;0,(AMB75-APO75)/AMB75,0)</f>
        <v>0</v>
      </c>
      <c r="DC76" s="20" t="n">
        <f aca="false">IF(AMC75&gt;0,(AMC75-APP75)/AMC75,0)</f>
        <v>0</v>
      </c>
      <c r="DD76" s="20" t="n">
        <f aca="false">IF(AMD75&gt;0,(AMD75-APQ75)/AMD75,0)</f>
        <v>0</v>
      </c>
      <c r="DE76" s="20" t="n">
        <f aca="false">IF(AME75&gt;0,(AME75-APR75)/AME75,0)</f>
        <v>0</v>
      </c>
      <c r="DF76" s="20" t="n">
        <f aca="false">IF(AMF75&gt;0,(AMF75-APS75)/AMF75,0)</f>
        <v>0</v>
      </c>
      <c r="DG76" s="20" t="n">
        <f aca="false">IF(AMG75&gt;0,(AMG75-APT75)/AMG75,0)</f>
        <v>0</v>
      </c>
      <c r="DH76" s="20" t="n">
        <f aca="false">IF(AMH75&gt;0,(AMH75-APU75)/AMH75,0)</f>
        <v>0</v>
      </c>
      <c r="DI76" s="20" t="n">
        <f aca="false">IF(AMI75&gt;0,(AMI75-APV75)/AMI75,0)</f>
        <v>0</v>
      </c>
      <c r="DJ76" s="20" t="n">
        <f aca="false">IF(AMJ75&gt;0,(AMJ75-APW75)/AMJ75,0)</f>
        <v>0</v>
      </c>
      <c r="DK76" s="20" t="n">
        <f aca="false">IF(AMK75&gt;0,(AMK75-APX75)/AMK75,0)</f>
        <v>0</v>
      </c>
      <c r="DL76" s="20" t="n">
        <f aca="false">IF(AML75&gt;0,(AML75-APY75)/AML75,0)</f>
        <v>0</v>
      </c>
      <c r="DM76" s="20" t="n">
        <f aca="false">IF(AMM75&gt;0,(AMM75-APZ75)/AMM75,0)</f>
        <v>0</v>
      </c>
      <c r="DN76" s="20" t="n">
        <f aca="false">IF(AMN75&gt;0,(AMN75-AQA75)/AMN75,0)</f>
        <v>0</v>
      </c>
      <c r="DO76" s="20" t="n">
        <f aca="false">IF(AMO75&gt;0,(AMO75-AQB75)/AMO75,0)</f>
        <v>0</v>
      </c>
      <c r="DP76" s="20" t="n">
        <f aca="false">IF(AMP75&gt;0,(AMP75-AQC75)/AMP75,0)</f>
        <v>0</v>
      </c>
      <c r="DQ76" s="20" t="n">
        <f aca="false">IF(AMQ75&gt;0,(AMQ75-AQD75)/AMQ75,0)</f>
        <v>0</v>
      </c>
      <c r="DR76" s="20" t="n">
        <f aca="false">IF(AMR75&gt;0,(AMR75-AQE75)/AMR75,0)</f>
        <v>0</v>
      </c>
      <c r="DS76" s="20" t="n">
        <f aca="false">IF(AMS75&gt;0,(AMS75-AQF75)/AMS75,0)</f>
        <v>0</v>
      </c>
      <c r="DT76" s="20" t="n">
        <f aca="false">IF(AMT75&gt;0,(AMT75-AQG75)/AMT75,0)</f>
        <v>0</v>
      </c>
      <c r="DU76" s="20" t="n">
        <f aca="false">IF(AMU75&gt;0,(AMU75-AQH75)/AMU75,0)</f>
        <v>0</v>
      </c>
      <c r="DV76" s="20" t="n">
        <f aca="false">IF(AMV75&gt;0,(AMV75-AQI75)/AMV75,0)</f>
        <v>0</v>
      </c>
      <c r="DW76" s="20" t="n">
        <f aca="false">IF(AMW75&gt;0,(AMW75-AQJ75)/AMW75,0)</f>
        <v>0</v>
      </c>
      <c r="DX76" s="20" t="n">
        <f aca="false">IF(AMX75&gt;0,(AMX75-AQK75)/AMX75,0)</f>
        <v>0</v>
      </c>
      <c r="DY76" s="20" t="n">
        <f aca="false">IF(AMY75&gt;0,(AMY75-AQL75)/AMY75,0)</f>
        <v>0</v>
      </c>
      <c r="DZ76" s="20" t="n">
        <f aca="false">IF(AMZ75&gt;0,(AMZ75-AQM75)/AMZ75,0)</f>
        <v>0</v>
      </c>
      <c r="EA76" s="20" t="n">
        <f aca="false">IF(ANA75&gt;0,(ANA75-AQN75)/ANA75,0)</f>
        <v>0</v>
      </c>
      <c r="EB76" s="20" t="n">
        <f aca="false">IF(ANB75&gt;0,(ANB75-AQO75)/ANB75,0)</f>
        <v>0</v>
      </c>
      <c r="EC76" s="20" t="n">
        <f aca="false">IF(ANC75&gt;0,(ANC75-AQP75)/ANC75,0)</f>
        <v>0</v>
      </c>
      <c r="ED76" s="20" t="n">
        <f aca="false">IF(AND75&gt;0,(AND75-AQQ75)/AND75,0)</f>
        <v>0</v>
      </c>
      <c r="EE76" s="20" t="n">
        <f aca="false">IF(ANE75&gt;0,(ANE75-AQR75)/ANE75,0)</f>
        <v>0</v>
      </c>
      <c r="EF76" s="20" t="n">
        <f aca="false">IF(ANF75&gt;0,(ANF75-AQS75)/ANF75,0)</f>
        <v>0</v>
      </c>
      <c r="EG76" s="20" t="n">
        <f aca="false">IF(ANG75&gt;0,(ANG75-AQT75)/ANG75,0)</f>
        <v>0</v>
      </c>
      <c r="EH76" s="20" t="n">
        <f aca="false">IF(ANH75&gt;0,(ANH75-AQU75)/ANH75,0)</f>
        <v>0</v>
      </c>
      <c r="EI76" s="20" t="n">
        <f aca="false">IF((P76+S76)&gt;0,((P76+S76)-(P76+S76))/(P76+S76),0)</f>
        <v>0</v>
      </c>
      <c r="EJ76" s="20" t="n">
        <v>0</v>
      </c>
      <c r="EK76" s="20" t="n">
        <v>0</v>
      </c>
      <c r="EL76" s="20" t="n">
        <v>0</v>
      </c>
      <c r="EM76" s="20" t="n">
        <v>0</v>
      </c>
      <c r="EN76" s="20" t="n">
        <v>0</v>
      </c>
      <c r="EO76" s="20" t="n">
        <v>0</v>
      </c>
      <c r="EP76" s="20" t="n">
        <v>0</v>
      </c>
      <c r="EQ76" s="20" t="n">
        <v>0</v>
      </c>
      <c r="ER76" s="20" t="n">
        <v>0</v>
      </c>
      <c r="ES76" s="20" t="n">
        <v>0</v>
      </c>
      <c r="ET76" s="20" t="n">
        <v>0</v>
      </c>
      <c r="EU76" s="20" t="n">
        <v>0</v>
      </c>
      <c r="EV76" s="20" t="n">
        <v>0</v>
      </c>
      <c r="EW76" s="20" t="n">
        <v>0</v>
      </c>
      <c r="EX76" s="20" t="n">
        <v>0</v>
      </c>
      <c r="EY76" s="20" t="n">
        <v>0</v>
      </c>
      <c r="EZ76" s="20" t="n">
        <v>0</v>
      </c>
      <c r="FA76" s="20" t="n">
        <v>0</v>
      </c>
      <c r="FB76" s="20" t="n">
        <v>0</v>
      </c>
      <c r="FC76" s="20" t="n">
        <v>0</v>
      </c>
      <c r="FD76" s="20" t="n">
        <v>0</v>
      </c>
      <c r="FE76" s="20" t="n">
        <f aca="false">IF(H_Direct=1,IF(AKR75&lt;=0,0,IF(BR76&lt;=0,AKR75,AKR75-G76*MAX(0,BR76*AKR75-(H76+I76)))),AKR75*(1-MAX(0,BR76)*H_Exit))</f>
        <v>0</v>
      </c>
      <c r="FF76" s="20" t="n">
        <f aca="false">IF(H_Direct=1,IF(AKS75&lt;=0,0,IF(BS76&lt;=0,AKS75,AKS75-G76*MAX(0,BS76*AKS75-(IR76+ME76)))),AKS75*(1-MAX(0,BS76)*H_Exit))</f>
        <v>0</v>
      </c>
      <c r="FG76" s="20" t="n">
        <f aca="false">IF(H_Direct=1,IF(AKT75&lt;=0,0,IF(BT76&lt;=0,AKT75,AKT75-G76*MAX(0,BT76*AKT75-(IS76+MF76)))),AKT75*(1-MAX(0,BT76)*H_Exit))</f>
        <v>0</v>
      </c>
      <c r="FH76" s="20" t="n">
        <f aca="false">IF(H_Direct=1,IF(AKU75&lt;=0,0,IF(BU76&lt;=0,AKU75,AKU75-G76*MAX(0,BU76*AKU75-(IT76+MG76)))),AKU75*(1-MAX(0,BU76)*H_Exit))</f>
        <v>0</v>
      </c>
      <c r="FI76" s="20" t="n">
        <f aca="false">IF(H_Direct=1,IF(AKV75&lt;=0,0,IF(BV76&lt;=0,AKV75,AKV75-G76*MAX(0,BV76*AKV75-(IU76+MH76)))),AKV75*(1-MAX(0,BV76)*H_Exit))</f>
        <v>0</v>
      </c>
      <c r="FJ76" s="20" t="n">
        <f aca="false">IF(H_Direct=1,IF(AKW75&lt;=0,0,IF(BW76&lt;=0,AKW75,AKW75-G76*MAX(0,BW76*AKW75-(IV76+MI76)))),AKW75*(1-MAX(0,BW76)*H_Exit))</f>
        <v>0</v>
      </c>
      <c r="FK76" s="20" t="n">
        <f aca="false">IF(H_Direct=1,IF(AKX75&lt;=0,0,IF(BX76&lt;=0,AKX75,AKX75-G76*MAX(0,BX76*AKX75-(IW76+MJ76)))),AKX75*(1-MAX(0,BX76)*H_Exit))</f>
        <v>0</v>
      </c>
      <c r="FL76" s="20" t="n">
        <f aca="false">IF(H_Direct=1,IF(AKY75&lt;=0,0,IF(BY76&lt;=0,AKY75,AKY75-G76*MAX(0,BY76*AKY75-(IX76+MK76)))),AKY75*(1-MAX(0,BY76)*H_Exit))</f>
        <v>0</v>
      </c>
      <c r="FM76" s="20" t="n">
        <f aca="false">IF(H_Direct=1,IF(AKZ75&lt;=0,0,IF(BZ76&lt;=0,AKZ75,AKZ75-G76*MAX(0,BZ76*AKZ75-(IY76+ML76)))),AKZ75*(1-MAX(0,BZ76)*H_Exit))</f>
        <v>0</v>
      </c>
      <c r="FN76" s="20" t="n">
        <f aca="false">IF(H_Direct=1,IF(ALA75&lt;=0,0,IF(CA76&lt;=0,ALA75,ALA75-G76*MAX(0,CA76*ALA75-(IZ76+MM76)))),ALA75*(1-MAX(0,CA76)*H_Exit))</f>
        <v>0</v>
      </c>
      <c r="FO76" s="20" t="n">
        <f aca="false">IF(H_Direct=1,IF(ALB75&lt;=0,0,IF(CB76&lt;=0,ALB75,ALB75-G76*MAX(0,CB76*ALB75-(JA76+MN76)))),ALB75*(1-MAX(0,CB76)*H_Exit))</f>
        <v>0</v>
      </c>
      <c r="FP76" s="20" t="n">
        <f aca="false">IF(H_Direct=1,IF(ALC75&lt;=0,0,IF(CC76&lt;=0,ALC75,ALC75-G76*MAX(0,CC76*ALC75-(JB76+MO76)))),ALC75*(1-MAX(0,CC76)*H_Exit))</f>
        <v>0</v>
      </c>
      <c r="FQ76" s="20" t="n">
        <f aca="false">IF(H_Direct=1,IF(ALD75&lt;=0,0,IF(CD76&lt;=0,ALD75,ALD75-G76*MAX(0,CD76*ALD75-(JC76+MP76)))),ALD75*(1-MAX(0,CD76)*H_Exit))</f>
        <v>0</v>
      </c>
      <c r="FR76" s="20" t="n">
        <f aca="false">IF(H_Direct=1,IF(ALE75&lt;=0,0,IF(CE76&lt;=0,ALE75,ALE75-G76*MAX(0,CE76*ALE75-(JD76+MQ76)))),ALE75*(1-MAX(0,CE76)*H_Exit))</f>
        <v>0</v>
      </c>
      <c r="FS76" s="20" t="n">
        <f aca="false">IF(H_Direct=1,IF(ALF75&lt;=0,0,IF(CF76&lt;=0,ALF75,ALF75-G76*MAX(0,CF76*ALF75-(JE76+MR76)))),ALF75*(1-MAX(0,CF76)*H_Exit))</f>
        <v>0</v>
      </c>
      <c r="FT76" s="20" t="n">
        <f aca="false">IF(H_Direct=1,IF(ALG75&lt;=0,0,IF(CG76&lt;=0,ALG75,ALG75-G76*MAX(0,CG76*ALG75-(JF76+MS76)))),ALG75*(1-MAX(0,CG76)*H_Exit))</f>
        <v>0</v>
      </c>
      <c r="FU76" s="20" t="n">
        <f aca="false">IF(H_Direct=1,IF(ALH75&lt;=0,0,IF(CH76&lt;=0,ALH75,ALH75-G76*MAX(0,CH76*ALH75-(JG76+MT76)))),ALH75*(1-MAX(0,CH76)*H_Exit))</f>
        <v>0</v>
      </c>
      <c r="FV76" s="20" t="n">
        <f aca="false">IF(H_Direct=1,IF(ALI75&lt;=0,0,IF(CI76&lt;=0,ALI75,ALI75-G76*MAX(0,CI76*ALI75-(JH76+MU76)))),ALI75*(1-MAX(0,CI76)*H_Exit))</f>
        <v>0</v>
      </c>
      <c r="FW76" s="20" t="n">
        <f aca="false">IF(H_Direct=1,IF(ALJ75&lt;=0,0,IF(CJ76&lt;=0,ALJ75,ALJ75-G76*MAX(0,CJ76*ALJ75-(JI76+MV76)))),ALJ75*(1-MAX(0,CJ76)*H_Exit))</f>
        <v>0</v>
      </c>
      <c r="FX76" s="20" t="n">
        <f aca="false">IF(H_Direct=1,IF(ALK75&lt;=0,0,IF(CK76&lt;=0,ALK75,ALK75-G76*MAX(0,CK76*ALK75-(JJ76+MW76)))),ALK75*(1-MAX(0,CK76)*H_Exit))</f>
        <v>0</v>
      </c>
      <c r="FY76" s="20" t="n">
        <f aca="false">IF(H_Direct=1,IF(ALL75&lt;=0,0,IF(CL76&lt;=0,ALL75,ALL75-G76*MAX(0,CL76*ALL75-(JK76+MX76)))),ALL75*(1-MAX(0,CL76)*H_Exit))</f>
        <v>0</v>
      </c>
      <c r="FZ76" s="20" t="n">
        <f aca="false">IF(H_Direct=1,IF(ALM75&lt;=0,0,IF(CM76&lt;=0,ALM75,ALM75-G76*MAX(0,CM76*ALM75-(JL76+MY76)))),ALM75*(1-MAX(0,CM76)*H_Exit))</f>
        <v>0</v>
      </c>
      <c r="GA76" s="20" t="n">
        <f aca="false">IF(H_Direct=1,IF(ALN75&lt;=0,0,IF(CN76&lt;=0,ALN75,ALN75-G76*MAX(0,CN76*ALN75-(JM76+MZ76)))),ALN75*(1-MAX(0,CN76)*H_Exit))</f>
        <v>0</v>
      </c>
      <c r="GB76" s="20" t="n">
        <f aca="false">IF(H_Direct=1,IF(ALO75&lt;=0,0,IF(CO76&lt;=0,ALO75,ALO75-G76*MAX(0,CO76*ALO75-(JN76+NA76)))),ALO75*(1-MAX(0,CO76)*H_Exit))</f>
        <v>0</v>
      </c>
      <c r="GC76" s="20" t="n">
        <f aca="false">IF(H_Direct=1,IF(ALP75&lt;=0,0,IF(CP76&lt;=0,ALP75,ALP75-G76*MAX(0,CP76*ALP75-(JO76+NB76)))),ALP75*(1-MAX(0,CP76)*H_Exit))</f>
        <v>0</v>
      </c>
      <c r="GD76" s="20" t="n">
        <f aca="false">IF(H_Direct=1,IF(ALQ75&lt;=0,0,IF(CQ76&lt;=0,ALQ75,ALQ75-G76*MAX(0,CQ76*ALQ75-(JP76+NC76)))),ALQ75*(1-MAX(0,CQ76)*H_Exit))</f>
        <v>0</v>
      </c>
      <c r="GE76" s="20" t="n">
        <f aca="false">IF(H_Direct=1,IF(ALR75&lt;=0,0,IF(CR76&lt;=0,ALR75,ALR75-G76*MAX(0,CR76*ALR75-(JQ76+ND76)))),ALR75*(1-MAX(0,CR76)*H_Exit))</f>
        <v>0</v>
      </c>
      <c r="GF76" s="20" t="n">
        <f aca="false">IF(H_Direct=1,IF(ALS75&lt;=0,0,IF(CS76&lt;=0,ALS75,ALS75-G76*MAX(0,CS76*ALS75-(JR76+NE76)))),ALS75*(1-MAX(0,CS76)*H_Exit))</f>
        <v>0</v>
      </c>
      <c r="GG76" s="20" t="n">
        <f aca="false">IF(H_Direct=1,IF(ALT75&lt;=0,0,IF(CT76&lt;=0,ALT75,ALT75-G76*MAX(0,CT76*ALT75-(JS76+NF76)))),ALT75*(1-MAX(0,CT76)*H_Exit))</f>
        <v>0</v>
      </c>
      <c r="GH76" s="20" t="n">
        <f aca="false">IF(H_Direct=1,IF(ALU75&lt;=0,0,IF(CU76&lt;=0,ALU75,ALU75-G76*MAX(0,CU76*ALU75-(JT76+NG76)))),ALU75*(1-MAX(0,CU76)*H_Exit))</f>
        <v>0</v>
      </c>
      <c r="GI76" s="20" t="n">
        <f aca="false">IF(H_Direct=1,IF(ALV75&lt;=0,0,IF(CV76&lt;=0,ALV75,ALV75-G76*MAX(0,CV76*ALV75-(JU76+NH76)))),ALV75*(1-MAX(0,CV76)*H_Exit))</f>
        <v>0</v>
      </c>
      <c r="GJ76" s="20" t="n">
        <f aca="false">IF(H_Direct=1,IF(ALW75&lt;=0,0,IF(CW76&lt;=0,ALW75,ALW75-G76*MAX(0,CW76*ALW75-(JV76+NI76)))),ALW75*(1-MAX(0,CW76)*H_Exit))</f>
        <v>0</v>
      </c>
      <c r="GK76" s="20" t="n">
        <f aca="false">IF(H_Direct=1,IF(ALX75&lt;=0,0,IF(CX76&lt;=0,ALX75,ALX75-G76*MAX(0,CX76*ALX75-(JW76+NJ76)))),ALX75*(1-MAX(0,CX76)*H_Exit))</f>
        <v>0</v>
      </c>
      <c r="GL76" s="20" t="n">
        <f aca="false">IF(H_Direct=1,IF(ALY75&lt;=0,0,IF(CY76&lt;=0,ALY75,ALY75-G76*MAX(0,CY76*ALY75-(JX76+NK76)))),ALY75*(1-MAX(0,CY76)*H_Exit))</f>
        <v>0</v>
      </c>
      <c r="GM76" s="20" t="n">
        <f aca="false">IF(H_Direct=1,IF(ALZ75&lt;=0,0,IF(CZ76&lt;=0,ALZ75,ALZ75-G76*MAX(0,CZ76*ALZ75-(JY76+NL76)))),ALZ75*(1-MAX(0,CZ76)*H_Exit))</f>
        <v>0</v>
      </c>
      <c r="GN76" s="20" t="n">
        <f aca="false">IF(H_Direct=1,IF(AMA75&lt;=0,0,IF(DA76&lt;=0,AMA75,AMA75-G76*MAX(0,DA76*AMA75-(JZ76+NM76)))),AMA75*(1-MAX(0,DA76)*H_Exit))</f>
        <v>0</v>
      </c>
      <c r="GO76" s="20" t="n">
        <f aca="false">IF(H_Direct=1,IF(AMB75&lt;=0,0,IF(DB76&lt;=0,AMB75,AMB75-G76*MAX(0,DB76*AMB75-(KA76+NN76)))),AMB75*(1-MAX(0,DB76)*H_Exit))</f>
        <v>0</v>
      </c>
      <c r="GP76" s="20" t="n">
        <f aca="false">IF(H_Direct=1,IF(AMC75&lt;=0,0,IF(DC76&lt;=0,AMC75,AMC75-G76*MAX(0,DC76*AMC75-(KB76+NO76)))),AMC75*(1-MAX(0,DC76)*H_Exit))</f>
        <v>0</v>
      </c>
      <c r="GQ76" s="20" t="n">
        <f aca="false">IF(H_Direct=1,IF(AMD75&lt;=0,0,IF(DD76&lt;=0,AMD75,AMD75-G76*MAX(0,DD76*AMD75-(KC76+NP76)))),AMD75*(1-MAX(0,DD76)*H_Exit))</f>
        <v>0</v>
      </c>
      <c r="GR76" s="20" t="n">
        <f aca="false">IF(H_Direct=1,IF(AME75&lt;=0,0,IF(DE76&lt;=0,AME75,AME75-G76*MAX(0,DE76*AME75-(KD76+NQ76)))),AME75*(1-MAX(0,DE76)*H_Exit))</f>
        <v>0</v>
      </c>
      <c r="GS76" s="20" t="n">
        <f aca="false">IF(H_Direct=1,IF(AMF75&lt;=0,0,IF(DF76&lt;=0,AMF75,AMF75-G76*MAX(0,DF76*AMF75-(KE76+NR76)))),AMF75*(1-MAX(0,DF76)*H_Exit))</f>
        <v>0</v>
      </c>
      <c r="GT76" s="20" t="n">
        <f aca="false">IF(H_Direct=1,IF(AMG75&lt;=0,0,IF(DG76&lt;=0,AMG75,AMG75-G76*MAX(0,DG76*AMG75-(KF76+NS76)))),AMG75*(1-MAX(0,DG76)*H_Exit))</f>
        <v>0</v>
      </c>
      <c r="GU76" s="20" t="n">
        <f aca="false">IF(H_Direct=1,IF(AMH75&lt;=0,0,IF(DH76&lt;=0,AMH75,AMH75-G76*MAX(0,DH76*AMH75-(KG76+NT76)))),AMH75*(1-MAX(0,DH76)*H_Exit))</f>
        <v>0</v>
      </c>
      <c r="GV76" s="20" t="n">
        <f aca="false">IF(H_Direct=1,IF(AMI75&lt;=0,0,IF(DI76&lt;=0,AMI75,AMI75-G76*MAX(0,DI76*AMI75-(KH76+NU76)))),AMI75*(1-MAX(0,DI76)*H_Exit))</f>
        <v>0</v>
      </c>
      <c r="GW76" s="20" t="n">
        <f aca="false">IF(H_Direct=1,IF(AMJ75&lt;=0,0,IF(DJ76&lt;=0,AMJ75,AMJ75-G76*MAX(0,DJ76*AMJ75-(KI76+NV76)))),AMJ75*(1-MAX(0,DJ76)*H_Exit))</f>
        <v>0</v>
      </c>
      <c r="GX76" s="20" t="n">
        <f aca="false">IF(H_Direct=1,IF(AMK75&lt;=0,0,IF(DK76&lt;=0,AMK75,AMK75-G76*MAX(0,DK76*AMK75-(KJ76+NW76)))),AMK75*(1-MAX(0,DK76)*H_Exit))</f>
        <v>0</v>
      </c>
      <c r="GY76" s="20" t="n">
        <f aca="false">IF(H_Direct=1,IF(AML75&lt;=0,0,IF(DL76&lt;=0,AML75,AML75-G76*MAX(0,DL76*AML75-(KK76+NX76)))),AML75*(1-MAX(0,DL76)*H_Exit))</f>
        <v>0</v>
      </c>
      <c r="GZ76" s="20" t="n">
        <f aca="false">IF(H_Direct=1,IF(AMM75&lt;=0,0,IF(DM76&lt;=0,AMM75,AMM75-G76*MAX(0,DM76*AMM75-(KL76+NY76)))),AMM75*(1-MAX(0,DM76)*H_Exit))</f>
        <v>0</v>
      </c>
      <c r="HA76" s="20" t="n">
        <f aca="false">IF(H_Direct=1,IF(AMN75&lt;=0,0,IF(DN76&lt;=0,AMN75,AMN75-G76*MAX(0,DN76*AMN75-(KM76+NZ76)))),AMN75*(1-MAX(0,DN76)*H_Exit))</f>
        <v>0</v>
      </c>
      <c r="HB76" s="20" t="n">
        <f aca="false">IF(H_Direct=1,IF(AMO75&lt;=0,0,IF(DO76&lt;=0,AMO75,AMO75-G76*MAX(0,DO76*AMO75-(KN76+OA76)))),AMO75*(1-MAX(0,DO76)*H_Exit))</f>
        <v>0</v>
      </c>
      <c r="HC76" s="20" t="n">
        <f aca="false">IF(H_Direct=1,IF(AMP75&lt;=0,0,IF(DP76&lt;=0,AMP75,AMP75-G76*MAX(0,DP76*AMP75-(KO76+OB76)))),AMP75*(1-MAX(0,DP76)*H_Exit))</f>
        <v>0</v>
      </c>
      <c r="HD76" s="20" t="n">
        <f aca="false">IF(H_Direct=1,IF(AMQ75&lt;=0,0,IF(DQ76&lt;=0,AMQ75,AMQ75-G76*MAX(0,DQ76*AMQ75-(KP76+OC76)))),AMQ75*(1-MAX(0,DQ76)*H_Exit))</f>
        <v>0</v>
      </c>
      <c r="HE76" s="20" t="n">
        <f aca="false">IF(H_Direct=1,IF(AMR75&lt;=0,0,IF(DR76&lt;=0,AMR75,AMR75-G76*MAX(0,DR76*AMR75-(KQ76+OD76)))),AMR75*(1-MAX(0,DR76)*H_Exit))</f>
        <v>0</v>
      </c>
      <c r="HF76" s="20" t="n">
        <f aca="false">IF(H_Direct=1,IF(AMS75&lt;=0,0,IF(DS76&lt;=0,AMS75,AMS75-G76*MAX(0,DS76*AMS75-(KR76+OE76)))),AMS75*(1-MAX(0,DS76)*H_Exit))</f>
        <v>0</v>
      </c>
      <c r="HG76" s="20" t="n">
        <f aca="false">IF(H_Direct=1,IF(AMT75&lt;=0,0,IF(DT76&lt;=0,AMT75,AMT75-G76*MAX(0,DT76*AMT75-(KS76+OF76)))),AMT75*(1-MAX(0,DT76)*H_Exit))</f>
        <v>0</v>
      </c>
      <c r="HH76" s="20" t="n">
        <f aca="false">IF(H_Direct=1,IF(AMU75&lt;=0,0,IF(DU76&lt;=0,AMU75,AMU75-G76*MAX(0,DU76*AMU75-(KT76+OG76)))),AMU75*(1-MAX(0,DU76)*H_Exit))</f>
        <v>0</v>
      </c>
      <c r="HI76" s="20" t="n">
        <f aca="false">IF(H_Direct=1,IF(AMV75&lt;=0,0,IF(DV76&lt;=0,AMV75,AMV75-G76*MAX(0,DV76*AMV75-(KU76+OH76)))),AMV75*(1-MAX(0,DV76)*H_Exit))</f>
        <v>0</v>
      </c>
      <c r="HJ76" s="20" t="n">
        <f aca="false">IF(H_Direct=1,IF(AMW75&lt;=0,0,IF(DW76&lt;=0,AMW75,AMW75-G76*MAX(0,DW76*AMW75-(KV76+OI76)))),AMW75*(1-MAX(0,DW76)*H_Exit))</f>
        <v>0</v>
      </c>
      <c r="HK76" s="20" t="n">
        <f aca="false">IF(H_Direct=1,IF(AMX75&lt;=0,0,IF(DX76&lt;=0,AMX75,AMX75-G76*MAX(0,DX76*AMX75-(KW76+OJ76)))),AMX75*(1-MAX(0,DX76)*H_Exit))</f>
        <v>0</v>
      </c>
      <c r="HL76" s="20" t="n">
        <f aca="false">IF(H_Direct=1,IF(AMY75&lt;=0,0,IF(DY76&lt;=0,AMY75,AMY75-G76*MAX(0,DY76*AMY75-(KX76+OK76)))),AMY75*(1-MAX(0,DY76)*H_Exit))</f>
        <v>0</v>
      </c>
      <c r="HM76" s="20" t="n">
        <f aca="false">IF(H_Direct=1,IF(AMZ75&lt;=0,0,IF(DZ76&lt;=0,AMZ75,AMZ75-G76*MAX(0,DZ76*AMZ75-(KY76+OL76)))),AMZ75*(1-MAX(0,DZ76)*H_Exit))</f>
        <v>0</v>
      </c>
      <c r="HN76" s="20" t="n">
        <f aca="false">IF(H_Direct=1,IF(ANA75&lt;=0,0,IF(EA76&lt;=0,ANA75,ANA75-G76*MAX(0,EA76*ANA75-(KZ76+OM76)))),ANA75*(1-MAX(0,EA76)*H_Exit))</f>
        <v>0</v>
      </c>
      <c r="HO76" s="20" t="n">
        <f aca="false">IF(H_Direct=1,IF(ANB75&lt;=0,0,IF(EB76&lt;=0,ANB75,ANB75-G76*MAX(0,EB76*ANB75-(LA76+ON76)))),ANB75*(1-MAX(0,EB76)*H_Exit))</f>
        <v>0</v>
      </c>
      <c r="HP76" s="20" t="n">
        <f aca="false">IF(H_Direct=1,IF(ANC75&lt;=0,0,IF(EC76&lt;=0,ANC75,ANC75-G76*MAX(0,EC76*ANC75-(LB76+OO76)))),ANC75*(1-MAX(0,EC76)*H_Exit))</f>
        <v>0</v>
      </c>
      <c r="HQ76" s="20" t="n">
        <f aca="false">IF(H_Direct=1,IF(AND75&lt;=0,0,IF(ED76&lt;=0,AND75,AND75-G76*MAX(0,ED76*AND75-(LC76+OP76)))),AND75*(1-MAX(0,ED76)*H_Exit))</f>
        <v>0</v>
      </c>
      <c r="HR76" s="20" t="n">
        <f aca="false">IF(H_Direct=1,IF(ANE75&lt;=0,0,IF(EE76&lt;=0,ANE75,ANE75-G76*MAX(0,EE76*ANE75-(LD76+OQ76)))),ANE75*(1-MAX(0,EE76)*H_Exit))</f>
        <v>0</v>
      </c>
      <c r="HS76" s="20" t="n">
        <f aca="false">IF(H_Direct=1,IF(ANF75&lt;=0,0,IF(EF76&lt;=0,ANF75,ANF75-G76*MAX(0,EF76*ANF75-(LE76+OR76)))),ANF75*(1-MAX(0,EF76)*H_Exit))</f>
        <v>0</v>
      </c>
      <c r="HT76" s="20" t="n">
        <f aca="false">IF(H_Direct=1,IF(ANG75&lt;=0,0,IF(EG76&lt;=0,ANG75,ANG75-G76*MAX(0,EG76*ANG75-(LF76+OS76)))),ANG75*(1-MAX(0,EG76)*H_Exit))</f>
        <v>0</v>
      </c>
      <c r="HU76" s="20" t="n">
        <f aca="false">IF(H_Direct=1,IF(ANH75&lt;=0,0,IF(EH76&lt;=0,ANH75,ANH75-G76*MAX(0,EH76*ANH75-(LG76+OT76)))),ANH75*(1-MAX(0,EH76)*H_Exit))</f>
        <v>0</v>
      </c>
      <c r="HV76" s="20" t="n">
        <f aca="false">IF(H_Direct=1,IF((P76+S76)&lt;=0,0,IF(EI76&lt;=0,(P76+S76),(P76+S76)-G76*MAX(0,EI76*(P76+S76)-(LH76+OU76)))),(P76+S76)*(1-MAX(0,EI76)*H_Exit))</f>
        <v>0</v>
      </c>
      <c r="HW76" s="20" t="n">
        <v>0</v>
      </c>
      <c r="HX76" s="20" t="n">
        <v>0</v>
      </c>
      <c r="HY76" s="20" t="n">
        <v>0</v>
      </c>
      <c r="HZ76" s="20" t="n">
        <v>0</v>
      </c>
      <c r="IA76" s="20" t="n">
        <v>0</v>
      </c>
      <c r="IB76" s="20" t="n">
        <v>0</v>
      </c>
      <c r="IC76" s="20" t="n">
        <v>0</v>
      </c>
      <c r="ID76" s="20" t="n">
        <v>0</v>
      </c>
      <c r="IE76" s="20" t="n">
        <v>0</v>
      </c>
      <c r="IF76" s="20" t="n">
        <v>0</v>
      </c>
      <c r="IG76" s="20" t="n">
        <v>0</v>
      </c>
      <c r="IH76" s="20" t="n">
        <v>0</v>
      </c>
      <c r="II76" s="20" t="n">
        <v>0</v>
      </c>
      <c r="IJ76" s="20" t="n">
        <v>0</v>
      </c>
      <c r="IK76" s="20" t="n">
        <v>0</v>
      </c>
      <c r="IL76" s="20" t="n">
        <v>0</v>
      </c>
      <c r="IM76" s="20" t="n">
        <v>0</v>
      </c>
      <c r="IN76" s="20" t="n">
        <v>0</v>
      </c>
      <c r="IO76" s="20" t="n">
        <v>0</v>
      </c>
      <c r="IP76" s="20" t="n">
        <v>0</v>
      </c>
      <c r="IQ76" s="20" t="n">
        <v>0</v>
      </c>
      <c r="IR76" s="20" t="n">
        <f aca="false">IF(AND(H_Direct=1,BR76&gt;0),MAX(0,H76-(MIN(BR76*AKR75,H76+I76)-MIN(MIN(BR76*AKR75,H76+I76),I76))),H76)</f>
        <v>1270</v>
      </c>
      <c r="IS76" s="20" t="n">
        <f aca="false">IF(AND(H_Direct=1,BS76&gt;0),MAX(0,IR76-(MIN(BS76*AKS75,IR76+ME76)-MIN(MIN(BS76*AKS75,IR76+ME76),ME76))),IR76)</f>
        <v>1270</v>
      </c>
      <c r="IT76" s="20" t="n">
        <f aca="false">IF(AND(H_Direct=1,BT76&gt;0),MAX(0,IS76-(MIN(BT76*AKT75,IS76+MF76)-MIN(MIN(BT76*AKT75,IS76+MF76),MF76))),IS76)</f>
        <v>1270</v>
      </c>
      <c r="IU76" s="20" t="n">
        <f aca="false">IF(AND(H_Direct=1,BU76&gt;0),MAX(0,IT76-(MIN(BU76*AKU75,IT76+MG76)-MIN(MIN(BU76*AKU75,IT76+MG76),MG76))),IT76)</f>
        <v>1270</v>
      </c>
      <c r="IV76" s="20" t="n">
        <f aca="false">IF(AND(H_Direct=1,BV76&gt;0),MAX(0,IU76-(MIN(BV76*AKV75,IU76+MH76)-MIN(MIN(BV76*AKV75,IU76+MH76),MH76))),IU76)</f>
        <v>1270</v>
      </c>
      <c r="IW76" s="20" t="n">
        <f aca="false">IF(AND(H_Direct=1,BW76&gt;0),MAX(0,IV76-(MIN(BW76*AKW75,IV76+MI76)-MIN(MIN(BW76*AKW75,IV76+MI76),MI76))),IV76)</f>
        <v>1270</v>
      </c>
      <c r="IX76" s="20" t="n">
        <f aca="false">IF(AND(H_Direct=1,BX76&gt;0),MAX(0,IW76-(MIN(BX76*AKX75,IW76+MJ76)-MIN(MIN(BX76*AKX75,IW76+MJ76),MJ76))),IW76)</f>
        <v>1270</v>
      </c>
      <c r="IY76" s="20" t="n">
        <f aca="false">IF(AND(H_Direct=1,BY76&gt;0),MAX(0,IX76-(MIN(BY76*AKY75,IX76+MK76)-MIN(MIN(BY76*AKY75,IX76+MK76),MK76))),IX76)</f>
        <v>1270</v>
      </c>
      <c r="IZ76" s="20" t="n">
        <f aca="false">IF(AND(H_Direct=1,BZ76&gt;0),MAX(0,IY76-(MIN(BZ76*AKZ75,IY76+ML76)-MIN(MIN(BZ76*AKZ75,IY76+ML76),ML76))),IY76)</f>
        <v>1270</v>
      </c>
      <c r="JA76" s="20" t="n">
        <f aca="false">IF(AND(H_Direct=1,CA76&gt;0),MAX(0,IZ76-(MIN(CA76*ALA75,IZ76+MM76)-MIN(MIN(CA76*ALA75,IZ76+MM76),MM76))),IZ76)</f>
        <v>1270</v>
      </c>
      <c r="JB76" s="20" t="n">
        <f aca="false">IF(AND(H_Direct=1,CB76&gt;0),MAX(0,JA76-(MIN(CB76*ALB75,JA76+MN76)-MIN(MIN(CB76*ALB75,JA76+MN76),MN76))),JA76)</f>
        <v>1270</v>
      </c>
      <c r="JC76" s="20" t="n">
        <f aca="false">IF(AND(H_Direct=1,CC76&gt;0),MAX(0,JB76-(MIN(CC76*ALC75,JB76+MO76)-MIN(MIN(CC76*ALC75,JB76+MO76),MO76))),JB76)</f>
        <v>1270</v>
      </c>
      <c r="JD76" s="20" t="n">
        <f aca="false">IF(AND(H_Direct=1,CD76&gt;0),MAX(0,JC76-(MIN(CD76*ALD75,JC76+MP76)-MIN(MIN(CD76*ALD75,JC76+MP76),MP76))),JC76)</f>
        <v>1270</v>
      </c>
      <c r="JE76" s="20" t="n">
        <f aca="false">IF(AND(H_Direct=1,CE76&gt;0),MAX(0,JD76-(MIN(CE76*ALE75,JD76+MQ76)-MIN(MIN(CE76*ALE75,JD76+MQ76),MQ76))),JD76)</f>
        <v>1270</v>
      </c>
      <c r="JF76" s="20" t="n">
        <f aca="false">IF(AND(H_Direct=1,CF76&gt;0),MAX(0,JE76-(MIN(CF76*ALF75,JE76+MR76)-MIN(MIN(CF76*ALF75,JE76+MR76),MR76))),JE76)</f>
        <v>1270</v>
      </c>
      <c r="JG76" s="20" t="n">
        <f aca="false">IF(AND(H_Direct=1,CG76&gt;0),MAX(0,JF76-(MIN(CG76*ALG75,JF76+MS76)-MIN(MIN(CG76*ALG75,JF76+MS76),MS76))),JF76)</f>
        <v>1270</v>
      </c>
      <c r="JH76" s="20" t="n">
        <f aca="false">IF(AND(H_Direct=1,CH76&gt;0),MAX(0,JG76-(MIN(CH76*ALH75,JG76+MT76)-MIN(MIN(CH76*ALH75,JG76+MT76),MT76))),JG76)</f>
        <v>1270</v>
      </c>
      <c r="JI76" s="20" t="n">
        <f aca="false">IF(AND(H_Direct=1,CI76&gt;0),MAX(0,JH76-(MIN(CI76*ALI75,JH76+MU76)-MIN(MIN(CI76*ALI75,JH76+MU76),MU76))),JH76)</f>
        <v>1270</v>
      </c>
      <c r="JJ76" s="20" t="n">
        <f aca="false">IF(AND(H_Direct=1,CJ76&gt;0),MAX(0,JI76-(MIN(CJ76*ALJ75,JI76+MV76)-MIN(MIN(CJ76*ALJ75,JI76+MV76),MV76))),JI76)</f>
        <v>1270</v>
      </c>
      <c r="JK76" s="20" t="n">
        <f aca="false">IF(AND(H_Direct=1,CK76&gt;0),MAX(0,JJ76-(MIN(CK76*ALK75,JJ76+MW76)-MIN(MIN(CK76*ALK75,JJ76+MW76),MW76))),JJ76)</f>
        <v>1270</v>
      </c>
      <c r="JL76" s="20" t="n">
        <f aca="false">IF(AND(H_Direct=1,CL76&gt;0),MAX(0,JK76-(MIN(CL76*ALL75,JK76+MX76)-MIN(MIN(CL76*ALL75,JK76+MX76),MX76))),JK76)</f>
        <v>1270</v>
      </c>
      <c r="JM76" s="20" t="n">
        <f aca="false">IF(AND(H_Direct=1,CM76&gt;0),MAX(0,JL76-(MIN(CM76*ALM75,JL76+MY76)-MIN(MIN(CM76*ALM75,JL76+MY76),MY76))),JL76)</f>
        <v>1270</v>
      </c>
      <c r="JN76" s="20" t="n">
        <f aca="false">IF(AND(H_Direct=1,CN76&gt;0),MAX(0,JM76-(MIN(CN76*ALN75,JM76+MZ76)-MIN(MIN(CN76*ALN75,JM76+MZ76),MZ76))),JM76)</f>
        <v>1270</v>
      </c>
      <c r="JO76" s="20" t="n">
        <f aca="false">IF(AND(H_Direct=1,CO76&gt;0),MAX(0,JN76-(MIN(CO76*ALO75,JN76+NA76)-MIN(MIN(CO76*ALO75,JN76+NA76),NA76))),JN76)</f>
        <v>1270</v>
      </c>
      <c r="JP76" s="20" t="n">
        <f aca="false">IF(AND(H_Direct=1,CP76&gt;0),MAX(0,JO76-(MIN(CP76*ALP75,JO76+NB76)-MIN(MIN(CP76*ALP75,JO76+NB76),NB76))),JO76)</f>
        <v>1270</v>
      </c>
      <c r="JQ76" s="20" t="n">
        <f aca="false">IF(AND(H_Direct=1,CQ76&gt;0),MAX(0,JP76-(MIN(CQ76*ALQ75,JP76+NC76)-MIN(MIN(CQ76*ALQ75,JP76+NC76),NC76))),JP76)</f>
        <v>1270</v>
      </c>
      <c r="JR76" s="20" t="n">
        <f aca="false">IF(AND(H_Direct=1,CR76&gt;0),MAX(0,JQ76-(MIN(CR76*ALR75,JQ76+ND76)-MIN(MIN(CR76*ALR75,JQ76+ND76),ND76))),JQ76)</f>
        <v>1270</v>
      </c>
      <c r="JS76" s="20" t="n">
        <f aca="false">IF(AND(H_Direct=1,CS76&gt;0),MAX(0,JR76-(MIN(CS76*ALS75,JR76+NE76)-MIN(MIN(CS76*ALS75,JR76+NE76),NE76))),JR76)</f>
        <v>1270</v>
      </c>
      <c r="JT76" s="20" t="n">
        <f aca="false">IF(AND(H_Direct=1,CT76&gt;0),MAX(0,JS76-(MIN(CT76*ALT75,JS76+NF76)-MIN(MIN(CT76*ALT75,JS76+NF76),NF76))),JS76)</f>
        <v>1270</v>
      </c>
      <c r="JU76" s="20" t="n">
        <f aca="false">IF(AND(H_Direct=1,CU76&gt;0),MAX(0,JT76-(MIN(CU76*ALU75,JT76+NG76)-MIN(MIN(CU76*ALU75,JT76+NG76),NG76))),JT76)</f>
        <v>1270</v>
      </c>
      <c r="JV76" s="20" t="n">
        <f aca="false">IF(AND(H_Direct=1,CV76&gt;0),MAX(0,JU76-(MIN(CV76*ALV75,JU76+NH76)-MIN(MIN(CV76*ALV75,JU76+NH76),NH76))),JU76)</f>
        <v>1270</v>
      </c>
      <c r="JW76" s="20" t="n">
        <f aca="false">IF(AND(H_Direct=1,CW76&gt;0),MAX(0,JV76-(MIN(CW76*ALW75,JV76+NI76)-MIN(MIN(CW76*ALW75,JV76+NI76),NI76))),JV76)</f>
        <v>1270</v>
      </c>
      <c r="JX76" s="20" t="n">
        <f aca="false">IF(AND(H_Direct=1,CX76&gt;0),MAX(0,JW76-(MIN(CX76*ALX75,JW76+NJ76)-MIN(MIN(CX76*ALX75,JW76+NJ76),NJ76))),JW76)</f>
        <v>1270</v>
      </c>
      <c r="JY76" s="20" t="n">
        <f aca="false">IF(AND(H_Direct=1,CY76&gt;0),MAX(0,JX76-(MIN(CY76*ALY75,JX76+NK76)-MIN(MIN(CY76*ALY75,JX76+NK76),NK76))),JX76)</f>
        <v>1270</v>
      </c>
      <c r="JZ76" s="20" t="n">
        <f aca="false">IF(AND(H_Direct=1,CZ76&gt;0),MAX(0,JY76-(MIN(CZ76*ALZ75,JY76+NL76)-MIN(MIN(CZ76*ALZ75,JY76+NL76),NL76))),JY76)</f>
        <v>1270</v>
      </c>
      <c r="KA76" s="20" t="n">
        <f aca="false">IF(AND(H_Direct=1,DA76&gt;0),MAX(0,JZ76-(MIN(DA76*AMA75,JZ76+NM76)-MIN(MIN(DA76*AMA75,JZ76+NM76),NM76))),JZ76)</f>
        <v>1270</v>
      </c>
      <c r="KB76" s="20" t="n">
        <f aca="false">IF(AND(H_Direct=1,DB76&gt;0),MAX(0,KA76-(MIN(DB76*AMB75,KA76+NN76)-MIN(MIN(DB76*AMB75,KA76+NN76),NN76))),KA76)</f>
        <v>1270</v>
      </c>
      <c r="KC76" s="20" t="n">
        <f aca="false">IF(AND(H_Direct=1,DC76&gt;0),MAX(0,KB76-(MIN(DC76*AMC75,KB76+NO76)-MIN(MIN(DC76*AMC75,KB76+NO76),NO76))),KB76)</f>
        <v>1270</v>
      </c>
      <c r="KD76" s="20" t="n">
        <f aca="false">IF(AND(H_Direct=1,DD76&gt;0),MAX(0,KC76-(MIN(DD76*AMD75,KC76+NP76)-MIN(MIN(DD76*AMD75,KC76+NP76),NP76))),KC76)</f>
        <v>1270</v>
      </c>
      <c r="KE76" s="20" t="n">
        <f aca="false">IF(AND(H_Direct=1,DE76&gt;0),MAX(0,KD76-(MIN(DE76*AME75,KD76+NQ76)-MIN(MIN(DE76*AME75,KD76+NQ76),NQ76))),KD76)</f>
        <v>1270</v>
      </c>
      <c r="KF76" s="20" t="n">
        <f aca="false">IF(AND(H_Direct=1,DF76&gt;0),MAX(0,KE76-(MIN(DF76*AMF75,KE76+NR76)-MIN(MIN(DF76*AMF75,KE76+NR76),NR76))),KE76)</f>
        <v>1270</v>
      </c>
      <c r="KG76" s="20" t="n">
        <f aca="false">IF(AND(H_Direct=1,DG76&gt;0),MAX(0,KF76-(MIN(DG76*AMG75,KF76+NS76)-MIN(MIN(DG76*AMG75,KF76+NS76),NS76))),KF76)</f>
        <v>1270</v>
      </c>
      <c r="KH76" s="20" t="n">
        <f aca="false">IF(AND(H_Direct=1,DH76&gt;0),MAX(0,KG76-(MIN(DH76*AMH75,KG76+NT76)-MIN(MIN(DH76*AMH75,KG76+NT76),NT76))),KG76)</f>
        <v>1270</v>
      </c>
      <c r="KI76" s="20" t="n">
        <f aca="false">IF(AND(H_Direct=1,DI76&gt;0),MAX(0,KH76-(MIN(DI76*AMI75,KH76+NU76)-MIN(MIN(DI76*AMI75,KH76+NU76),NU76))),KH76)</f>
        <v>1270</v>
      </c>
      <c r="KJ76" s="20" t="n">
        <f aca="false">IF(AND(H_Direct=1,DJ76&gt;0),MAX(0,KI76-(MIN(DJ76*AMJ75,KI76+NV76)-MIN(MIN(DJ76*AMJ75,KI76+NV76),NV76))),KI76)</f>
        <v>1270</v>
      </c>
      <c r="KK76" s="20" t="n">
        <f aca="false">IF(AND(H_Direct=1,DK76&gt;0),MAX(0,KJ76-(MIN(DK76*AMK75,KJ76+NW76)-MIN(MIN(DK76*AMK75,KJ76+NW76),NW76))),KJ76)</f>
        <v>1270</v>
      </c>
      <c r="KL76" s="20" t="n">
        <f aca="false">IF(AND(H_Direct=1,DL76&gt;0),MAX(0,KK76-(MIN(DL76*AML75,KK76+NX76)-MIN(MIN(DL76*AML75,KK76+NX76),NX76))),KK76)</f>
        <v>1270</v>
      </c>
      <c r="KM76" s="20" t="n">
        <f aca="false">IF(AND(H_Direct=1,DM76&gt;0),MAX(0,KL76-(MIN(DM76*AMM75,KL76+NY76)-MIN(MIN(DM76*AMM75,KL76+NY76),NY76))),KL76)</f>
        <v>1270</v>
      </c>
      <c r="KN76" s="20" t="n">
        <f aca="false">IF(AND(H_Direct=1,DN76&gt;0),MAX(0,KM76-(MIN(DN76*AMN75,KM76+NZ76)-MIN(MIN(DN76*AMN75,KM76+NZ76),NZ76))),KM76)</f>
        <v>1270</v>
      </c>
      <c r="KO76" s="20" t="n">
        <f aca="false">IF(AND(H_Direct=1,DO76&gt;0),MAX(0,KN76-(MIN(DO76*AMO75,KN76+OA76)-MIN(MIN(DO76*AMO75,KN76+OA76),OA76))),KN76)</f>
        <v>1270</v>
      </c>
      <c r="KP76" s="20" t="n">
        <f aca="false">IF(AND(H_Direct=1,DP76&gt;0),MAX(0,KO76-(MIN(DP76*AMP75,KO76+OB76)-MIN(MIN(DP76*AMP75,KO76+OB76),OB76))),KO76)</f>
        <v>1270</v>
      </c>
      <c r="KQ76" s="20" t="n">
        <f aca="false">IF(AND(H_Direct=1,DQ76&gt;0),MAX(0,KP76-(MIN(DQ76*AMQ75,KP76+OC76)-MIN(MIN(DQ76*AMQ75,KP76+OC76),OC76))),KP76)</f>
        <v>1270</v>
      </c>
      <c r="KR76" s="20" t="n">
        <f aca="false">IF(AND(H_Direct=1,DR76&gt;0),MAX(0,KQ76-(MIN(DR76*AMR75,KQ76+OD76)-MIN(MIN(DR76*AMR75,KQ76+OD76),OD76))),KQ76)</f>
        <v>1270</v>
      </c>
      <c r="KS76" s="20" t="n">
        <f aca="false">IF(AND(H_Direct=1,DS76&gt;0),MAX(0,KR76-(MIN(DS76*AMS75,KR76+OE76)-MIN(MIN(DS76*AMS75,KR76+OE76),OE76))),KR76)</f>
        <v>1270</v>
      </c>
      <c r="KT76" s="20" t="n">
        <f aca="false">IF(AND(H_Direct=1,DT76&gt;0),MAX(0,KS76-(MIN(DT76*AMT75,KS76+OF76)-MIN(MIN(DT76*AMT75,KS76+OF76),OF76))),KS76)</f>
        <v>1270</v>
      </c>
      <c r="KU76" s="20" t="n">
        <f aca="false">IF(AND(H_Direct=1,DU76&gt;0),MAX(0,KT76-(MIN(DU76*AMU75,KT76+OG76)-MIN(MIN(DU76*AMU75,KT76+OG76),OG76))),KT76)</f>
        <v>1270</v>
      </c>
      <c r="KV76" s="20" t="n">
        <f aca="false">IF(AND(H_Direct=1,DV76&gt;0),MAX(0,KU76-(MIN(DV76*AMV75,KU76+OH76)-MIN(MIN(DV76*AMV75,KU76+OH76),OH76))),KU76)</f>
        <v>1270</v>
      </c>
      <c r="KW76" s="20" t="n">
        <f aca="false">IF(AND(H_Direct=1,DW76&gt;0),MAX(0,KV76-(MIN(DW76*AMW75,KV76+OI76)-MIN(MIN(DW76*AMW75,KV76+OI76),OI76))),KV76)</f>
        <v>1270</v>
      </c>
      <c r="KX76" s="20" t="n">
        <f aca="false">IF(AND(H_Direct=1,DX76&gt;0),MAX(0,KW76-(MIN(DX76*AMX75,KW76+OJ76)-MIN(MIN(DX76*AMX75,KW76+OJ76),OJ76))),KW76)</f>
        <v>1270</v>
      </c>
      <c r="KY76" s="20" t="n">
        <f aca="false">IF(AND(H_Direct=1,DY76&gt;0),MAX(0,KX76-(MIN(DY76*AMY75,KX76+OK76)-MIN(MIN(DY76*AMY75,KX76+OK76),OK76))),KX76)</f>
        <v>1270</v>
      </c>
      <c r="KZ76" s="20" t="n">
        <f aca="false">IF(AND(H_Direct=1,DZ76&gt;0),MAX(0,KY76-(MIN(DZ76*AMZ75,KY76+OL76)-MIN(MIN(DZ76*AMZ75,KY76+OL76),OL76))),KY76)</f>
        <v>1270</v>
      </c>
      <c r="LA76" s="20" t="n">
        <f aca="false">IF(AND(H_Direct=1,EA76&gt;0),MAX(0,KZ76-(MIN(EA76*ANA75,KZ76+OM76)-MIN(MIN(EA76*ANA75,KZ76+OM76),OM76))),KZ76)</f>
        <v>1270</v>
      </c>
      <c r="LB76" s="20" t="n">
        <f aca="false">IF(AND(H_Direct=1,EB76&gt;0),MAX(0,LA76-(MIN(EB76*ANB75,LA76+ON76)-MIN(MIN(EB76*ANB75,LA76+ON76),ON76))),LA76)</f>
        <v>1270</v>
      </c>
      <c r="LC76" s="20" t="n">
        <f aca="false">IF(AND(H_Direct=1,EC76&gt;0),MAX(0,LB76-(MIN(EC76*ANC75,LB76+OO76)-MIN(MIN(EC76*ANC75,LB76+OO76),OO76))),LB76)</f>
        <v>1270</v>
      </c>
      <c r="LD76" s="20" t="n">
        <f aca="false">IF(AND(H_Direct=1,ED76&gt;0),MAX(0,LC76-(MIN(ED76*AND75,LC76+OP76)-MIN(MIN(ED76*AND75,LC76+OP76),OP76))),LC76)</f>
        <v>1270</v>
      </c>
      <c r="LE76" s="20" t="n">
        <f aca="false">IF(AND(H_Direct=1,EE76&gt;0),MAX(0,LD76-(MIN(EE76*ANE75,LD76+OQ76)-MIN(MIN(EE76*ANE75,LD76+OQ76),OQ76))),LD76)</f>
        <v>1270</v>
      </c>
      <c r="LF76" s="20" t="n">
        <f aca="false">IF(AND(H_Direct=1,EF76&gt;0),MAX(0,LE76-(MIN(EF76*ANF75,LE76+OR76)-MIN(MIN(EF76*ANF75,LE76+OR76),OR76))),LE76)</f>
        <v>1270</v>
      </c>
      <c r="LG76" s="20" t="n">
        <f aca="false">IF(AND(H_Direct=1,EG76&gt;0),MAX(0,LF76-(MIN(EG76*ANG75,LF76+OS76)-MIN(MIN(EG76*ANG75,LF76+OS76),OS76))),LF76)</f>
        <v>1270</v>
      </c>
      <c r="LH76" s="20" t="n">
        <f aca="false">IF(AND(H_Direct=1,EH76&gt;0),MAX(0,LG76-(MIN(EH76*ANH75,LG76+OT76)-MIN(MIN(EH76*ANH75,LG76+OT76),OT76))),LG76)</f>
        <v>1270</v>
      </c>
      <c r="LI76" s="20" t="n">
        <f aca="false">IF(AND(H_Direct=1,EI76&gt;0),MAX(0,LH76-(MIN(EI76*(P76+S76),LH76+OU76)-MIN(MIN(EI76*(P76+S76),LH76+OU76),OU76))),LH76)</f>
        <v>1270</v>
      </c>
      <c r="LJ76" s="20" t="n">
        <f aca="false">LI76</f>
        <v>1270</v>
      </c>
      <c r="LK76" s="20" t="n">
        <f aca="false">LJ76</f>
        <v>1270</v>
      </c>
      <c r="LL76" s="20" t="n">
        <f aca="false">LK76</f>
        <v>1270</v>
      </c>
      <c r="LM76" s="20" t="n">
        <f aca="false">LL76</f>
        <v>1270</v>
      </c>
      <c r="LN76" s="20" t="n">
        <f aca="false">LM76</f>
        <v>1270</v>
      </c>
      <c r="LO76" s="20" t="n">
        <f aca="false">LN76</f>
        <v>1270</v>
      </c>
      <c r="LP76" s="20" t="n">
        <f aca="false">LO76</f>
        <v>1270</v>
      </c>
      <c r="LQ76" s="20" t="n">
        <f aca="false">LP76</f>
        <v>1270</v>
      </c>
      <c r="LR76" s="20" t="n">
        <f aca="false">LQ76</f>
        <v>1270</v>
      </c>
      <c r="LS76" s="20" t="n">
        <f aca="false">LR76</f>
        <v>1270</v>
      </c>
      <c r="LT76" s="20" t="n">
        <f aca="false">LS76</f>
        <v>1270</v>
      </c>
      <c r="LU76" s="20" t="n">
        <f aca="false">LT76</f>
        <v>1270</v>
      </c>
      <c r="LV76" s="20" t="n">
        <f aca="false">LU76</f>
        <v>1270</v>
      </c>
      <c r="LW76" s="20" t="n">
        <f aca="false">LV76</f>
        <v>1270</v>
      </c>
      <c r="LX76" s="20" t="n">
        <f aca="false">LW76</f>
        <v>1270</v>
      </c>
      <c r="LY76" s="20" t="n">
        <f aca="false">LX76</f>
        <v>1270</v>
      </c>
      <c r="LZ76" s="20" t="n">
        <f aca="false">LY76</f>
        <v>1270</v>
      </c>
      <c r="MA76" s="20" t="n">
        <f aca="false">LZ76</f>
        <v>1270</v>
      </c>
      <c r="MB76" s="20" t="n">
        <f aca="false">MA76</f>
        <v>1270</v>
      </c>
      <c r="MC76" s="20" t="n">
        <f aca="false">MB76</f>
        <v>1270</v>
      </c>
      <c r="MD76" s="20" t="n">
        <f aca="false">MC76</f>
        <v>1270</v>
      </c>
      <c r="ME76" s="20" t="n">
        <f aca="false">IF(H_Direct=1,IF(BR76&lt;=0,I76-BR76*AKR75,I76-MIN(MIN(BR76*AKR75,H76+I76),I76)),I76)</f>
        <v>0</v>
      </c>
      <c r="MF76" s="20" t="n">
        <f aca="false">IF(H_Direct=1,IF(BS76&lt;=0,ME76-BS76*AKS75,ME76-MIN(MIN(BS76*AKS75,IR76+ME76),ME76)),ME76)</f>
        <v>0</v>
      </c>
      <c r="MG76" s="20" t="n">
        <f aca="false">IF(H_Direct=1,IF(BT76&lt;=0,MF76-BT76*AKT75,MF76-MIN(MIN(BT76*AKT75,IS76+MF76),MF76)),MF76)</f>
        <v>0</v>
      </c>
      <c r="MH76" s="20" t="n">
        <f aca="false">IF(H_Direct=1,IF(BU76&lt;=0,MG76-BU76*AKU75,MG76-MIN(MIN(BU76*AKU75,IT76+MG76),MG76)),MG76)</f>
        <v>0</v>
      </c>
      <c r="MI76" s="20" t="n">
        <f aca="false">IF(H_Direct=1,IF(BV76&lt;=0,MH76-BV76*AKV75,MH76-MIN(MIN(BV76*AKV75,IU76+MH76),MH76)),MH76)</f>
        <v>0</v>
      </c>
      <c r="MJ76" s="20" t="n">
        <f aca="false">IF(H_Direct=1,IF(BW76&lt;=0,MI76-BW76*AKW75,MI76-MIN(MIN(BW76*AKW75,IV76+MI76),MI76)),MI76)</f>
        <v>0</v>
      </c>
      <c r="MK76" s="20" t="n">
        <f aca="false">IF(H_Direct=1,IF(BX76&lt;=0,MJ76-BX76*AKX75,MJ76-MIN(MIN(BX76*AKX75,IW76+MJ76),MJ76)),MJ76)</f>
        <v>0</v>
      </c>
      <c r="ML76" s="20" t="n">
        <f aca="false">IF(H_Direct=1,IF(BY76&lt;=0,MK76-BY76*AKY75,MK76-MIN(MIN(BY76*AKY75,IX76+MK76),MK76)),MK76)</f>
        <v>0</v>
      </c>
      <c r="MM76" s="20" t="n">
        <f aca="false">IF(H_Direct=1,IF(BZ76&lt;=0,ML76-BZ76*AKZ75,ML76-MIN(MIN(BZ76*AKZ75,IY76+ML76),ML76)),ML76)</f>
        <v>0</v>
      </c>
      <c r="MN76" s="20" t="n">
        <f aca="false">IF(H_Direct=1,IF(CA76&lt;=0,MM76-CA76*ALA75,MM76-MIN(MIN(CA76*ALA75,IZ76+MM76),MM76)),MM76)</f>
        <v>0</v>
      </c>
      <c r="MO76" s="20" t="n">
        <f aca="false">IF(H_Direct=1,IF(CB76&lt;=0,MN76-CB76*ALB75,MN76-MIN(MIN(CB76*ALB75,JA76+MN76),MN76)),MN76)</f>
        <v>0</v>
      </c>
      <c r="MP76" s="20" t="n">
        <f aca="false">IF(H_Direct=1,IF(CC76&lt;=0,MO76-CC76*ALC75,MO76-MIN(MIN(CC76*ALC75,JB76+MO76),MO76)),MO76)</f>
        <v>0</v>
      </c>
      <c r="MQ76" s="20" t="n">
        <f aca="false">IF(H_Direct=1,IF(CD76&lt;=0,MP76-CD76*ALD75,MP76-MIN(MIN(CD76*ALD75,JC76+MP76),MP76)),MP76)</f>
        <v>0</v>
      </c>
      <c r="MR76" s="20" t="n">
        <f aca="false">IF(H_Direct=1,IF(CE76&lt;=0,MQ76-CE76*ALE75,MQ76-MIN(MIN(CE76*ALE75,JD76+MQ76),MQ76)),MQ76)</f>
        <v>0</v>
      </c>
      <c r="MS76" s="20" t="n">
        <f aca="false">IF(H_Direct=1,IF(CF76&lt;=0,MR76-CF76*ALF75,MR76-MIN(MIN(CF76*ALF75,JE76+MR76),MR76)),MR76)</f>
        <v>0</v>
      </c>
      <c r="MT76" s="20" t="n">
        <f aca="false">IF(H_Direct=1,IF(CG76&lt;=0,MS76-CG76*ALG75,MS76-MIN(MIN(CG76*ALG75,JF76+MS76),MS76)),MS76)</f>
        <v>0</v>
      </c>
      <c r="MU76" s="20" t="n">
        <f aca="false">IF(H_Direct=1,IF(CH76&lt;=0,MT76-CH76*ALH75,MT76-MIN(MIN(CH76*ALH75,JG76+MT76),MT76)),MT76)</f>
        <v>0</v>
      </c>
      <c r="MV76" s="20" t="n">
        <f aca="false">IF(H_Direct=1,IF(CI76&lt;=0,MU76-CI76*ALI75,MU76-MIN(MIN(CI76*ALI75,JH76+MU76),MU76)),MU76)</f>
        <v>0</v>
      </c>
      <c r="MW76" s="20" t="n">
        <f aca="false">IF(H_Direct=1,IF(CJ76&lt;=0,MV76-CJ76*ALJ75,MV76-MIN(MIN(CJ76*ALJ75,JI76+MV76),MV76)),MV76)</f>
        <v>0</v>
      </c>
      <c r="MX76" s="20" t="n">
        <f aca="false">IF(H_Direct=1,IF(CK76&lt;=0,MW76-CK76*ALK75,MW76-MIN(MIN(CK76*ALK75,JJ76+MW76),MW76)),MW76)</f>
        <v>0</v>
      </c>
      <c r="MY76" s="20" t="n">
        <f aca="false">IF(H_Direct=1,IF(CL76&lt;=0,MX76-CL76*ALL75,MX76-MIN(MIN(CL76*ALL75,JK76+MX76),MX76)),MX76)</f>
        <v>0</v>
      </c>
      <c r="MZ76" s="20" t="n">
        <f aca="false">IF(H_Direct=1,IF(CM76&lt;=0,MY76-CM76*ALM75,MY76-MIN(MIN(CM76*ALM75,JL76+MY76),MY76)),MY76)</f>
        <v>0</v>
      </c>
      <c r="NA76" s="20" t="n">
        <f aca="false">IF(H_Direct=1,IF(CN76&lt;=0,MZ76-CN76*ALN75,MZ76-MIN(MIN(CN76*ALN75,JM76+MZ76),MZ76)),MZ76)</f>
        <v>0</v>
      </c>
      <c r="NB76" s="20" t="n">
        <f aca="false">IF(H_Direct=1,IF(CO76&lt;=0,NA76-CO76*ALO75,NA76-MIN(MIN(CO76*ALO75,JN76+NA76),NA76)),NA76)</f>
        <v>0</v>
      </c>
      <c r="NC76" s="20" t="n">
        <f aca="false">IF(H_Direct=1,IF(CP76&lt;=0,NB76-CP76*ALP75,NB76-MIN(MIN(CP76*ALP75,JO76+NB76),NB76)),NB76)</f>
        <v>0</v>
      </c>
      <c r="ND76" s="20" t="n">
        <f aca="false">IF(H_Direct=1,IF(CQ76&lt;=0,NC76-CQ76*ALQ75,NC76-MIN(MIN(CQ76*ALQ75,JP76+NC76),NC76)),NC76)</f>
        <v>0</v>
      </c>
      <c r="NE76" s="20" t="n">
        <f aca="false">IF(H_Direct=1,IF(CR76&lt;=0,ND76-CR76*ALR75,ND76-MIN(MIN(CR76*ALR75,JQ76+ND76),ND76)),ND76)</f>
        <v>0</v>
      </c>
      <c r="NF76" s="20" t="n">
        <f aca="false">IF(H_Direct=1,IF(CS76&lt;=0,NE76-CS76*ALS75,NE76-MIN(MIN(CS76*ALS75,JR76+NE76),NE76)),NE76)</f>
        <v>0</v>
      </c>
      <c r="NG76" s="20" t="n">
        <f aca="false">IF(H_Direct=1,IF(CT76&lt;=0,NF76-CT76*ALT75,NF76-MIN(MIN(CT76*ALT75,JS76+NF76),NF76)),NF76)</f>
        <v>0</v>
      </c>
      <c r="NH76" s="20" t="n">
        <f aca="false">IF(H_Direct=1,IF(CU76&lt;=0,NG76-CU76*ALU75,NG76-MIN(MIN(CU76*ALU75,JT76+NG76),NG76)),NG76)</f>
        <v>0</v>
      </c>
      <c r="NI76" s="20" t="n">
        <f aca="false">IF(H_Direct=1,IF(CV76&lt;=0,NH76-CV76*ALV75,NH76-MIN(MIN(CV76*ALV75,JU76+NH76),NH76)),NH76)</f>
        <v>0</v>
      </c>
      <c r="NJ76" s="20" t="n">
        <f aca="false">IF(H_Direct=1,IF(CW76&lt;=0,NI76-CW76*ALW75,NI76-MIN(MIN(CW76*ALW75,JV76+NI76),NI76)),NI76)</f>
        <v>0</v>
      </c>
      <c r="NK76" s="20" t="n">
        <f aca="false">IF(H_Direct=1,IF(CX76&lt;=0,NJ76-CX76*ALX75,NJ76-MIN(MIN(CX76*ALX75,JW76+NJ76),NJ76)),NJ76)</f>
        <v>0</v>
      </c>
      <c r="NL76" s="20" t="n">
        <f aca="false">IF(H_Direct=1,IF(CY76&lt;=0,NK76-CY76*ALY75,NK76-MIN(MIN(CY76*ALY75,JX76+NK76),NK76)),NK76)</f>
        <v>0</v>
      </c>
      <c r="NM76" s="20" t="n">
        <f aca="false">IF(H_Direct=1,IF(CZ76&lt;=0,NL76-CZ76*ALZ75,NL76-MIN(MIN(CZ76*ALZ75,JY76+NL76),NL76)),NL76)</f>
        <v>0</v>
      </c>
      <c r="NN76" s="20" t="n">
        <f aca="false">IF(H_Direct=1,IF(DA76&lt;=0,NM76-DA76*AMA75,NM76-MIN(MIN(DA76*AMA75,JZ76+NM76),NM76)),NM76)</f>
        <v>0</v>
      </c>
      <c r="NO76" s="20" t="n">
        <f aca="false">IF(H_Direct=1,IF(DB76&lt;=0,NN76-DB76*AMB75,NN76-MIN(MIN(DB76*AMB75,KA76+NN76),NN76)),NN76)</f>
        <v>0</v>
      </c>
      <c r="NP76" s="20" t="n">
        <f aca="false">IF(H_Direct=1,IF(DC76&lt;=0,NO76-DC76*AMC75,NO76-MIN(MIN(DC76*AMC75,KB76+NO76),NO76)),NO76)</f>
        <v>0</v>
      </c>
      <c r="NQ76" s="20" t="n">
        <f aca="false">IF(H_Direct=1,IF(DD76&lt;=0,NP76-DD76*AMD75,NP76-MIN(MIN(DD76*AMD75,KC76+NP76),NP76)),NP76)</f>
        <v>0</v>
      </c>
      <c r="NR76" s="20" t="n">
        <f aca="false">IF(H_Direct=1,IF(DE76&lt;=0,NQ76-DE76*AME75,NQ76-MIN(MIN(DE76*AME75,KD76+NQ76),NQ76)),NQ76)</f>
        <v>0</v>
      </c>
      <c r="NS76" s="20" t="n">
        <f aca="false">IF(H_Direct=1,IF(DF76&lt;=0,NR76-DF76*AMF75,NR76-MIN(MIN(DF76*AMF75,KE76+NR76),NR76)),NR76)</f>
        <v>0</v>
      </c>
      <c r="NT76" s="20" t="n">
        <f aca="false">IF(H_Direct=1,IF(DG76&lt;=0,NS76-DG76*AMG75,NS76-MIN(MIN(DG76*AMG75,KF76+NS76),NS76)),NS76)</f>
        <v>0</v>
      </c>
      <c r="NU76" s="20" t="n">
        <f aca="false">IF(H_Direct=1,IF(DH76&lt;=0,NT76-DH76*AMH75,NT76-MIN(MIN(DH76*AMH75,KG76+NT76),NT76)),NT76)</f>
        <v>0</v>
      </c>
      <c r="NV76" s="20" t="n">
        <f aca="false">IF(H_Direct=1,IF(DI76&lt;=0,NU76-DI76*AMI75,NU76-MIN(MIN(DI76*AMI75,KH76+NU76),NU76)),NU76)</f>
        <v>0</v>
      </c>
      <c r="NW76" s="20" t="n">
        <f aca="false">IF(H_Direct=1,IF(DJ76&lt;=0,NV76-DJ76*AMJ75,NV76-MIN(MIN(DJ76*AMJ75,KI76+NV76),NV76)),NV76)</f>
        <v>0</v>
      </c>
      <c r="NX76" s="20" t="n">
        <f aca="false">IF(H_Direct=1,IF(DK76&lt;=0,NW76-DK76*AMK75,NW76-MIN(MIN(DK76*AMK75,KJ76+NW76),NW76)),NW76)</f>
        <v>0</v>
      </c>
      <c r="NY76" s="20" t="n">
        <f aca="false">IF(H_Direct=1,IF(DL76&lt;=0,NX76-DL76*AML75,NX76-MIN(MIN(DL76*AML75,KK76+NX76),NX76)),NX76)</f>
        <v>0</v>
      </c>
      <c r="NZ76" s="20" t="n">
        <f aca="false">IF(H_Direct=1,IF(DM76&lt;=0,NY76-DM76*AMM75,NY76-MIN(MIN(DM76*AMM75,KL76+NY76),NY76)),NY76)</f>
        <v>0</v>
      </c>
      <c r="OA76" s="20" t="n">
        <f aca="false">IF(H_Direct=1,IF(DN76&lt;=0,NZ76-DN76*AMN75,NZ76-MIN(MIN(DN76*AMN75,KM76+NZ76),NZ76)),NZ76)</f>
        <v>0</v>
      </c>
      <c r="OB76" s="20" t="n">
        <f aca="false">IF(H_Direct=1,IF(DO76&lt;=0,OA76-DO76*AMO75,OA76-MIN(MIN(DO76*AMO75,KN76+OA76),OA76)),OA76)</f>
        <v>0</v>
      </c>
      <c r="OC76" s="20" t="n">
        <f aca="false">IF(H_Direct=1,IF(DP76&lt;=0,OB76-DP76*AMP75,OB76-MIN(MIN(DP76*AMP75,KO76+OB76),OB76)),OB76)</f>
        <v>0</v>
      </c>
      <c r="OD76" s="20" t="n">
        <f aca="false">IF(H_Direct=1,IF(DQ76&lt;=0,OC76-DQ76*AMQ75,OC76-MIN(MIN(DQ76*AMQ75,KP76+OC76),OC76)),OC76)</f>
        <v>0</v>
      </c>
      <c r="OE76" s="20" t="n">
        <f aca="false">IF(H_Direct=1,IF(DR76&lt;=0,OD76-DR76*AMR75,OD76-MIN(MIN(DR76*AMR75,KQ76+OD76),OD76)),OD76)</f>
        <v>0</v>
      </c>
      <c r="OF76" s="20" t="n">
        <f aca="false">IF(H_Direct=1,IF(DS76&lt;=0,OE76-DS76*AMS75,OE76-MIN(MIN(DS76*AMS75,KR76+OE76),OE76)),OE76)</f>
        <v>0</v>
      </c>
      <c r="OG76" s="20" t="n">
        <f aca="false">IF(H_Direct=1,IF(DT76&lt;=0,OF76-DT76*AMT75,OF76-MIN(MIN(DT76*AMT75,KS76+OF76),OF76)),OF76)</f>
        <v>0</v>
      </c>
      <c r="OH76" s="20" t="n">
        <f aca="false">IF(H_Direct=1,IF(DU76&lt;=0,OG76-DU76*AMU75,OG76-MIN(MIN(DU76*AMU75,KT76+OG76),OG76)),OG76)</f>
        <v>0</v>
      </c>
      <c r="OI76" s="20" t="n">
        <f aca="false">IF(H_Direct=1,IF(DV76&lt;=0,OH76-DV76*AMV75,OH76-MIN(MIN(DV76*AMV75,KU76+OH76),OH76)),OH76)</f>
        <v>0</v>
      </c>
      <c r="OJ76" s="20" t="n">
        <f aca="false">IF(H_Direct=1,IF(DW76&lt;=0,OI76-DW76*AMW75,OI76-MIN(MIN(DW76*AMW75,KV76+OI76),OI76)),OI76)</f>
        <v>0</v>
      </c>
      <c r="OK76" s="20" t="n">
        <f aca="false">IF(H_Direct=1,IF(DX76&lt;=0,OJ76-DX76*AMX75,OJ76-MIN(MIN(DX76*AMX75,KW76+OJ76),OJ76)),OJ76)</f>
        <v>0</v>
      </c>
      <c r="OL76" s="20" t="n">
        <f aca="false">IF(H_Direct=1,IF(DY76&lt;=0,OK76-DY76*AMY75,OK76-MIN(MIN(DY76*AMY75,KX76+OK76),OK76)),OK76)</f>
        <v>0</v>
      </c>
      <c r="OM76" s="20" t="n">
        <f aca="false">IF(H_Direct=1,IF(DZ76&lt;=0,OL76-DZ76*AMZ75,OL76-MIN(MIN(DZ76*AMZ75,KY76+OL76),OL76)),OL76)</f>
        <v>0</v>
      </c>
      <c r="ON76" s="20" t="n">
        <f aca="false">IF(H_Direct=1,IF(EA76&lt;=0,OM76-EA76*ANA75,OM76-MIN(MIN(EA76*ANA75,KZ76+OM76),OM76)),OM76)</f>
        <v>0</v>
      </c>
      <c r="OO76" s="20" t="n">
        <f aca="false">IF(H_Direct=1,IF(EB76&lt;=0,ON76-EB76*ANB75,ON76-MIN(MIN(EB76*ANB75,LA76+ON76),ON76)),ON76)</f>
        <v>0</v>
      </c>
      <c r="OP76" s="20" t="n">
        <f aca="false">IF(H_Direct=1,IF(EC76&lt;=0,OO76-EC76*ANC75,OO76-MIN(MIN(EC76*ANC75,LB76+OO76),OO76)),OO76)</f>
        <v>0</v>
      </c>
      <c r="OQ76" s="20" t="n">
        <f aca="false">IF(H_Direct=1,IF(ED76&lt;=0,OP76-ED76*AND75,OP76-MIN(MIN(ED76*AND75,LC76+OP76),OP76)),OP76)</f>
        <v>0</v>
      </c>
      <c r="OR76" s="20" t="n">
        <f aca="false">IF(H_Direct=1,IF(EE76&lt;=0,OQ76-EE76*ANE75,OQ76-MIN(MIN(EE76*ANE75,LD76+OQ76),OQ76)),OQ76)</f>
        <v>0</v>
      </c>
      <c r="OS76" s="20" t="n">
        <f aca="false">IF(H_Direct=1,IF(EF76&lt;=0,OR76-EF76*ANF75,OR76-MIN(MIN(EF76*ANF75,LE76+OR76),OR76)),OR76)</f>
        <v>0</v>
      </c>
      <c r="OT76" s="20" t="n">
        <f aca="false">IF(H_Direct=1,IF(EG76&lt;=0,OS76-EG76*ANG75,OS76-MIN(MIN(EG76*ANG75,LF76+OS76),OS76)),OS76)</f>
        <v>0</v>
      </c>
      <c r="OU76" s="20" t="n">
        <f aca="false">IF(H_Direct=1,IF(EH76&lt;=0,OT76-EH76*ANH75,OT76-MIN(MIN(EH76*ANH75,LG76+OT76),OT76)),OT76)</f>
        <v>0</v>
      </c>
      <c r="OV76" s="20" t="n">
        <f aca="false">IF(H_Direct=1,IF(EI76&lt;=0,OU76-EI76*(P76+S76),OU76-MIN(MIN(EI76*(P76+S76),LH76+OU76),OU76)),OU76)</f>
        <v>0</v>
      </c>
      <c r="OW76" s="20" t="n">
        <f aca="false">OV76</f>
        <v>0</v>
      </c>
      <c r="OX76" s="20" t="n">
        <f aca="false">OW76</f>
        <v>0</v>
      </c>
      <c r="OY76" s="20" t="n">
        <f aca="false">OX76</f>
        <v>0</v>
      </c>
      <c r="OZ76" s="20" t="n">
        <f aca="false">OY76</f>
        <v>0</v>
      </c>
      <c r="PA76" s="20" t="n">
        <f aca="false">OZ76</f>
        <v>0</v>
      </c>
      <c r="PB76" s="20" t="n">
        <f aca="false">PA76</f>
        <v>0</v>
      </c>
      <c r="PC76" s="20" t="n">
        <f aca="false">PB76</f>
        <v>0</v>
      </c>
      <c r="PD76" s="20" t="n">
        <f aca="false">PC76</f>
        <v>0</v>
      </c>
      <c r="PE76" s="20" t="n">
        <f aca="false">PD76</f>
        <v>0</v>
      </c>
      <c r="PF76" s="20" t="n">
        <f aca="false">PE76</f>
        <v>0</v>
      </c>
      <c r="PG76" s="20" t="n">
        <f aca="false">PF76</f>
        <v>0</v>
      </c>
      <c r="PH76" s="20" t="n">
        <f aca="false">PG76</f>
        <v>0</v>
      </c>
      <c r="PI76" s="20" t="n">
        <f aca="false">PH76</f>
        <v>0</v>
      </c>
      <c r="PJ76" s="20" t="n">
        <f aca="false">PI76</f>
        <v>0</v>
      </c>
      <c r="PK76" s="20" t="n">
        <f aca="false">PJ76</f>
        <v>0</v>
      </c>
      <c r="PL76" s="20" t="n">
        <f aca="false">PK76</f>
        <v>0</v>
      </c>
      <c r="PM76" s="20" t="n">
        <f aca="false">PL76</f>
        <v>0</v>
      </c>
      <c r="PN76" s="20" t="n">
        <f aca="false">PM76</f>
        <v>0</v>
      </c>
      <c r="PO76" s="20" t="n">
        <f aca="false">PN76</f>
        <v>0</v>
      </c>
      <c r="PP76" s="20" t="n">
        <f aca="false">PO76</f>
        <v>0</v>
      </c>
      <c r="PQ76" s="20" t="n">
        <f aca="false">PP76</f>
        <v>0</v>
      </c>
      <c r="PR76" s="20" t="n">
        <f aca="false">IF(H_Direct=1,IF(AKR75&lt;=0,0,IF(BR76&lt;=0,MIN(MAX(0,AB76),AKR75),MIN(MAX(0,AB76),AKR75-G76*MAX(0,BR76*AKR75-(H76+I76))))),MIN(FE76,MAX(0,AB76)))</f>
        <v>0</v>
      </c>
      <c r="PS76" s="20" t="n">
        <f aca="false">IF(H_Direct=1,IF(AKS75&lt;=0,0,IF(BS76&lt;=0,MIN(MAX(0,AB76-SUM(PR76:PR76)),AKS75),MIN(MAX(0,AB76-SUM(PR76:PR76)),AKS75-G76*MAX(0,BS76*AKS75-(WR76+AAE76))))),MIN(FF76,MAX(0,AB76-SUM(PR76:PR76))))</f>
        <v>0</v>
      </c>
      <c r="PT76" s="20" t="n">
        <f aca="false">IF(H_Direct=1,IF(AKT75&lt;=0,0,IF(BT76&lt;=0,MIN(MAX(0,AB76-SUM(PR76:PS76)),AKT75),MIN(MAX(0,AB76-SUM(PR76:PS76)),AKT75-G76*MAX(0,BT76*AKT75-(WS76+AAF76))))),MIN(FG76,MAX(0,AB76-SUM(PR76:PS76))))</f>
        <v>0</v>
      </c>
      <c r="PU76" s="20" t="n">
        <f aca="false">IF(H_Direct=1,IF(AKU75&lt;=0,0,IF(BU76&lt;=0,MIN(MAX(0,AB76-SUM(PR76:PT76)),AKU75),MIN(MAX(0,AB76-SUM(PR76:PT76)),AKU75-G76*MAX(0,BU76*AKU75-(WT76+AAG76))))),MIN(FH76,MAX(0,AB76-SUM(PR76:PT76))))</f>
        <v>0</v>
      </c>
      <c r="PV76" s="20" t="n">
        <f aca="false">IF(H_Direct=1,IF(AKV75&lt;=0,0,IF(BV76&lt;=0,MIN(MAX(0,AB76-SUM(PR76:PU76)),AKV75),MIN(MAX(0,AB76-SUM(PR76:PU76)),AKV75-G76*MAX(0,BV76*AKV75-(WU76+AAH76))))),MIN(FI76,MAX(0,AB76-SUM(PR76:PU76))))</f>
        <v>0</v>
      </c>
      <c r="PW76" s="20" t="n">
        <f aca="false">IF(H_Direct=1,IF(AKW75&lt;=0,0,IF(BW76&lt;=0,MIN(MAX(0,AB76-SUM(PR76:PV76)),AKW75),MIN(MAX(0,AB76-SUM(PR76:PV76)),AKW75-G76*MAX(0,BW76*AKW75-(WV76+AAI76))))),MIN(FJ76,MAX(0,AB76-SUM(PR76:PV76))))</f>
        <v>0</v>
      </c>
      <c r="PX76" s="20" t="n">
        <f aca="false">IF(H_Direct=1,IF(AKX75&lt;=0,0,IF(BX76&lt;=0,MIN(MAX(0,AB76-SUM(PR76:PW76)),AKX75),MIN(MAX(0,AB76-SUM(PR76:PW76)),AKX75-G76*MAX(0,BX76*AKX75-(WW76+AAJ76))))),MIN(FK76,MAX(0,AB76-SUM(PR76:PW76))))</f>
        <v>0</v>
      </c>
      <c r="PY76" s="20" t="n">
        <f aca="false">IF(H_Direct=1,IF(AKY75&lt;=0,0,IF(BY76&lt;=0,MIN(MAX(0,AB76-SUM(PR76:PX76)),AKY75),MIN(MAX(0,AB76-SUM(PR76:PX76)),AKY75-G76*MAX(0,BY76*AKY75-(WX76+AAK76))))),MIN(FL76,MAX(0,AB76-SUM(PR76:PX76))))</f>
        <v>0</v>
      </c>
      <c r="PZ76" s="20" t="n">
        <f aca="false">IF(H_Direct=1,IF(AKZ75&lt;=0,0,IF(BZ76&lt;=0,MIN(MAX(0,AB76-SUM(PR76:PY76)),AKZ75),MIN(MAX(0,AB76-SUM(PR76:PY76)),AKZ75-G76*MAX(0,BZ76*AKZ75-(WY76+AAL76))))),MIN(FM76,MAX(0,AB76-SUM(PR76:PY76))))</f>
        <v>0</v>
      </c>
      <c r="QA76" s="20" t="n">
        <f aca="false">IF(H_Direct=1,IF(ALA75&lt;=0,0,IF(CA76&lt;=0,MIN(MAX(0,AB76-SUM(PR76:PZ76)),ALA75),MIN(MAX(0,AB76-SUM(PR76:PZ76)),ALA75-G76*MAX(0,CA76*ALA75-(WZ76+AAM76))))),MIN(FN76,MAX(0,AB76-SUM(PR76:PZ76))))</f>
        <v>0</v>
      </c>
      <c r="QB76" s="20" t="n">
        <f aca="false">IF(H_Direct=1,IF(ALB75&lt;=0,0,IF(CB76&lt;=0,MIN(MAX(0,AB76-SUM(PR76:QA76)),ALB75),MIN(MAX(0,AB76-SUM(PR76:QA76)),ALB75-G76*MAX(0,CB76*ALB75-(XA76+AAN76))))),MIN(FO76,MAX(0,AB76-SUM(PR76:QA76))))</f>
        <v>0</v>
      </c>
      <c r="QC76" s="20" t="n">
        <f aca="false">IF(H_Direct=1,IF(ALC75&lt;=0,0,IF(CC76&lt;=0,MIN(MAX(0,AB76-SUM(PR76:QB76)),ALC75),MIN(MAX(0,AB76-SUM(PR76:QB76)),ALC75-G76*MAX(0,CC76*ALC75-(XB76+AAO76))))),MIN(FP76,MAX(0,AB76-SUM(PR76:QB76))))</f>
        <v>0</v>
      </c>
      <c r="QD76" s="20" t="n">
        <f aca="false">IF(H_Direct=1,IF(ALD75&lt;=0,0,IF(CD76&lt;=0,MIN(MAX(0,AB76-SUM(PR76:QC76)),ALD75),MIN(MAX(0,AB76-SUM(PR76:QC76)),ALD75-G76*MAX(0,CD76*ALD75-(XC76+AAP76))))),MIN(FQ76,MAX(0,AB76-SUM(PR76:QC76))))</f>
        <v>0</v>
      </c>
      <c r="QE76" s="20" t="n">
        <f aca="false">IF(H_Direct=1,IF(ALE75&lt;=0,0,IF(CE76&lt;=0,MIN(MAX(0,AB76-SUM(PR76:QD76)),ALE75),MIN(MAX(0,AB76-SUM(PR76:QD76)),ALE75-G76*MAX(0,CE76*ALE75-(XD76+AAQ76))))),MIN(FR76,MAX(0,AB76-SUM(PR76:QD76))))</f>
        <v>0</v>
      </c>
      <c r="QF76" s="20" t="n">
        <f aca="false">IF(H_Direct=1,IF(ALF75&lt;=0,0,IF(CF76&lt;=0,MIN(MAX(0,AB76-SUM(PR76:QE76)),ALF75),MIN(MAX(0,AB76-SUM(PR76:QE76)),ALF75-G76*MAX(0,CF76*ALF75-(XE76+AAR76))))),MIN(FS76,MAX(0,AB76-SUM(PR76:QE76))))</f>
        <v>0</v>
      </c>
      <c r="QG76" s="20" t="n">
        <f aca="false">IF(H_Direct=1,IF(ALG75&lt;=0,0,IF(CG76&lt;=0,MIN(MAX(0,AB76-SUM(PR76:QF76)),ALG75),MIN(MAX(0,AB76-SUM(PR76:QF76)),ALG75-G76*MAX(0,CG76*ALG75-(XF76+AAS76))))),MIN(FT76,MAX(0,AB76-SUM(PR76:QF76))))</f>
        <v>0</v>
      </c>
      <c r="QH76" s="20" t="n">
        <f aca="false">IF(H_Direct=1,IF(ALH75&lt;=0,0,IF(CH76&lt;=0,MIN(MAX(0,AB76-SUM(PR76:QG76)),ALH75),MIN(MAX(0,AB76-SUM(PR76:QG76)),ALH75-G76*MAX(0,CH76*ALH75-(XG76+AAT76))))),MIN(FU76,MAX(0,AB76-SUM(PR76:QG76))))</f>
        <v>0</v>
      </c>
      <c r="QI76" s="20" t="n">
        <f aca="false">IF(H_Direct=1,IF(ALI75&lt;=0,0,IF(CI76&lt;=0,MIN(MAX(0,AB76-SUM(PR76:QH76)),ALI75),MIN(MAX(0,AB76-SUM(PR76:QH76)),ALI75-G76*MAX(0,CI76*ALI75-(XH76+AAU76))))),MIN(FV76,MAX(0,AB76-SUM(PR76:QH76))))</f>
        <v>0</v>
      </c>
      <c r="QJ76" s="20" t="n">
        <f aca="false">IF(H_Direct=1,IF(ALJ75&lt;=0,0,IF(CJ76&lt;=0,MIN(MAX(0,AB76-SUM(PR76:QI76)),ALJ75),MIN(MAX(0,AB76-SUM(PR76:QI76)),ALJ75-G76*MAX(0,CJ76*ALJ75-(XI76+AAV76))))),MIN(FW76,MAX(0,AB76-SUM(PR76:QI76))))</f>
        <v>0</v>
      </c>
      <c r="QK76" s="20" t="n">
        <f aca="false">IF(H_Direct=1,IF(ALK75&lt;=0,0,IF(CK76&lt;=0,MIN(MAX(0,AB76-SUM(PR76:QJ76)),ALK75),MIN(MAX(0,AB76-SUM(PR76:QJ76)),ALK75-G76*MAX(0,CK76*ALK75-(XJ76+AAW76))))),MIN(FX76,MAX(0,AB76-SUM(PR76:QJ76))))</f>
        <v>0</v>
      </c>
      <c r="QL76" s="20" t="n">
        <f aca="false">IF(H_Direct=1,IF(ALL75&lt;=0,0,IF(CL76&lt;=0,MIN(MAX(0,AB76-SUM(PR76:QK76)),ALL75),MIN(MAX(0,AB76-SUM(PR76:QK76)),ALL75-G76*MAX(0,CL76*ALL75-(XK76+AAX76))))),MIN(FY76,MAX(0,AB76-SUM(PR76:QK76))))</f>
        <v>0</v>
      </c>
      <c r="QM76" s="20" t="n">
        <f aca="false">IF(H_Direct=1,IF(ALM75&lt;=0,0,IF(CM76&lt;=0,MIN(MAX(0,AB76-SUM(PR76:QL76)),ALM75),MIN(MAX(0,AB76-SUM(PR76:QL76)),ALM75-G76*MAX(0,CM76*ALM75-(XL76+AAY76))))),MIN(FZ76,MAX(0,AB76-SUM(PR76:QL76))))</f>
        <v>0</v>
      </c>
      <c r="QN76" s="20" t="n">
        <f aca="false">IF(H_Direct=1,IF(ALN75&lt;=0,0,IF(CN76&lt;=0,MIN(MAX(0,AB76-SUM(PR76:QM76)),ALN75),MIN(MAX(0,AB76-SUM(PR76:QM76)),ALN75-G76*MAX(0,CN76*ALN75-(XM76+AAZ76))))),MIN(GA76,MAX(0,AB76-SUM(PR76:QM76))))</f>
        <v>0</v>
      </c>
      <c r="QO76" s="20" t="n">
        <f aca="false">IF(H_Direct=1,IF(ALO75&lt;=0,0,IF(CO76&lt;=0,MIN(MAX(0,AB76-SUM(PR76:QN76)),ALO75),MIN(MAX(0,AB76-SUM(PR76:QN76)),ALO75-G76*MAX(0,CO76*ALO75-(XN76+ABA76))))),MIN(GB76,MAX(0,AB76-SUM(PR76:QN76))))</f>
        <v>0</v>
      </c>
      <c r="QP76" s="20" t="n">
        <f aca="false">IF(H_Direct=1,IF(ALP75&lt;=0,0,IF(CP76&lt;=0,MIN(MAX(0,AB76-SUM(PR76:QO76)),ALP75),MIN(MAX(0,AB76-SUM(PR76:QO76)),ALP75-G76*MAX(0,CP76*ALP75-(XO76+ABB76))))),MIN(GC76,MAX(0,AB76-SUM(PR76:QO76))))</f>
        <v>0</v>
      </c>
      <c r="QQ76" s="20" t="n">
        <f aca="false">IF(H_Direct=1,IF(ALQ75&lt;=0,0,IF(CQ76&lt;=0,MIN(MAX(0,AB76-SUM(PR76:QP76)),ALQ75),MIN(MAX(0,AB76-SUM(PR76:QP76)),ALQ75-G76*MAX(0,CQ76*ALQ75-(XP76+ABC76))))),MIN(GD76,MAX(0,AB76-SUM(PR76:QP76))))</f>
        <v>0</v>
      </c>
      <c r="QR76" s="20" t="n">
        <f aca="false">IF(H_Direct=1,IF(ALR75&lt;=0,0,IF(CR76&lt;=0,MIN(MAX(0,AB76-SUM(PR76:QQ76)),ALR75),MIN(MAX(0,AB76-SUM(PR76:QQ76)),ALR75-G76*MAX(0,CR76*ALR75-(XQ76+ABD76))))),MIN(GE76,MAX(0,AB76-SUM(PR76:QQ76))))</f>
        <v>0</v>
      </c>
      <c r="QS76" s="20" t="n">
        <f aca="false">IF(H_Direct=1,IF(ALS75&lt;=0,0,IF(CS76&lt;=0,MIN(MAX(0,AB76-SUM(PR76:QR76)),ALS75),MIN(MAX(0,AB76-SUM(PR76:QR76)),ALS75-G76*MAX(0,CS76*ALS75-(XR76+ABE76))))),MIN(GF76,MAX(0,AB76-SUM(PR76:QR76))))</f>
        <v>0</v>
      </c>
      <c r="QT76" s="20" t="n">
        <f aca="false">IF(H_Direct=1,IF(ALT75&lt;=0,0,IF(CT76&lt;=0,MIN(MAX(0,AB76-SUM(PR76:QS76)),ALT75),MIN(MAX(0,AB76-SUM(PR76:QS76)),ALT75-G76*MAX(0,CT76*ALT75-(XS76+ABF76))))),MIN(GG76,MAX(0,AB76-SUM(PR76:QS76))))</f>
        <v>0</v>
      </c>
      <c r="QU76" s="20" t="n">
        <f aca="false">IF(H_Direct=1,IF(ALU75&lt;=0,0,IF(CU76&lt;=0,MIN(MAX(0,AB76-SUM(PR76:QT76)),ALU75),MIN(MAX(0,AB76-SUM(PR76:QT76)),ALU75-G76*MAX(0,CU76*ALU75-(XT76+ABG76))))),MIN(GH76,MAX(0,AB76-SUM(PR76:QT76))))</f>
        <v>0</v>
      </c>
      <c r="QV76" s="20" t="n">
        <f aca="false">IF(H_Direct=1,IF(ALV75&lt;=0,0,IF(CV76&lt;=0,MIN(MAX(0,AB76-SUM(PR76:QU76)),ALV75),MIN(MAX(0,AB76-SUM(PR76:QU76)),ALV75-G76*MAX(0,CV76*ALV75-(XU76+ABH76))))),MIN(GI76,MAX(0,AB76-SUM(PR76:QU76))))</f>
        <v>0</v>
      </c>
      <c r="QW76" s="20" t="n">
        <f aca="false">IF(H_Direct=1,IF(ALW75&lt;=0,0,IF(CW76&lt;=0,MIN(MAX(0,AB76-SUM(PR76:QV76)),ALW75),MIN(MAX(0,AB76-SUM(PR76:QV76)),ALW75-G76*MAX(0,CW76*ALW75-(XV76+ABI76))))),MIN(GJ76,MAX(0,AB76-SUM(PR76:QV76))))</f>
        <v>0</v>
      </c>
      <c r="QX76" s="20" t="n">
        <f aca="false">IF(H_Direct=1,IF(ALX75&lt;=0,0,IF(CX76&lt;=0,MIN(MAX(0,AB76-SUM(PR76:QW76)),ALX75),MIN(MAX(0,AB76-SUM(PR76:QW76)),ALX75-G76*MAX(0,CX76*ALX75-(XW76+ABJ76))))),MIN(GK76,MAX(0,AB76-SUM(PR76:QW76))))</f>
        <v>0</v>
      </c>
      <c r="QY76" s="20" t="n">
        <f aca="false">IF(H_Direct=1,IF(ALY75&lt;=0,0,IF(CY76&lt;=0,MIN(MAX(0,AB76-SUM(PR76:QX76)),ALY75),MIN(MAX(0,AB76-SUM(PR76:QX76)),ALY75-G76*MAX(0,CY76*ALY75-(XX76+ABK76))))),MIN(GL76,MAX(0,AB76-SUM(PR76:QX76))))</f>
        <v>0</v>
      </c>
      <c r="QZ76" s="20" t="n">
        <f aca="false">IF(H_Direct=1,IF(ALZ75&lt;=0,0,IF(CZ76&lt;=0,MIN(MAX(0,AB76-SUM(PR76:QY76)),ALZ75),MIN(MAX(0,AB76-SUM(PR76:QY76)),ALZ75-G76*MAX(0,CZ76*ALZ75-(XY76+ABL76))))),MIN(GM76,MAX(0,AB76-SUM(PR76:QY76))))</f>
        <v>0</v>
      </c>
      <c r="RA76" s="20" t="n">
        <f aca="false">IF(H_Direct=1,IF(AMA75&lt;=0,0,IF(DA76&lt;=0,MIN(MAX(0,AB76-SUM(PR76:QZ76)),AMA75),MIN(MAX(0,AB76-SUM(PR76:QZ76)),AMA75-G76*MAX(0,DA76*AMA75-(XZ76+ABM76))))),MIN(GN76,MAX(0,AB76-SUM(PR76:QZ76))))</f>
        <v>0</v>
      </c>
      <c r="RB76" s="20" t="n">
        <f aca="false">IF(H_Direct=1,IF(AMB75&lt;=0,0,IF(DB76&lt;=0,MIN(MAX(0,AB76-SUM(PR76:RA76)),AMB75),MIN(MAX(0,AB76-SUM(PR76:RA76)),AMB75-G76*MAX(0,DB76*AMB75-(YA76+ABN76))))),MIN(GO76,MAX(0,AB76-SUM(PR76:RA76))))</f>
        <v>0</v>
      </c>
      <c r="RC76" s="20" t="n">
        <f aca="false">IF(H_Direct=1,IF(AMC75&lt;=0,0,IF(DC76&lt;=0,MIN(MAX(0,AB76-SUM(PR76:RB76)),AMC75),MIN(MAX(0,AB76-SUM(PR76:RB76)),AMC75-G76*MAX(0,DC76*AMC75-(YB76+ABO76))))),MIN(GP76,MAX(0,AB76-SUM(PR76:RB76))))</f>
        <v>0</v>
      </c>
      <c r="RD76" s="20" t="n">
        <f aca="false">IF(H_Direct=1,IF(AMD75&lt;=0,0,IF(DD76&lt;=0,MIN(MAX(0,AB76-SUM(PR76:RC76)),AMD75),MIN(MAX(0,AB76-SUM(PR76:RC76)),AMD75-G76*MAX(0,DD76*AMD75-(YC76+ABP76))))),MIN(GQ76,MAX(0,AB76-SUM(PR76:RC76))))</f>
        <v>0</v>
      </c>
      <c r="RE76" s="20" t="n">
        <f aca="false">IF(H_Direct=1,IF(AME75&lt;=0,0,IF(DE76&lt;=0,MIN(MAX(0,AB76-SUM(PR76:RD76)),AME75),MIN(MAX(0,AB76-SUM(PR76:RD76)),AME75-G76*MAX(0,DE76*AME75-(YD76+ABQ76))))),MIN(GR76,MAX(0,AB76-SUM(PR76:RD76))))</f>
        <v>0</v>
      </c>
      <c r="RF76" s="20" t="n">
        <f aca="false">IF(H_Direct=1,IF(AMF75&lt;=0,0,IF(DF76&lt;=0,MIN(MAX(0,AB76-SUM(PR76:RE76)),AMF75),MIN(MAX(0,AB76-SUM(PR76:RE76)),AMF75-G76*MAX(0,DF76*AMF75-(YE76+ABR76))))),MIN(GS76,MAX(0,AB76-SUM(PR76:RE76))))</f>
        <v>0</v>
      </c>
      <c r="RG76" s="20" t="n">
        <f aca="false">IF(H_Direct=1,IF(AMG75&lt;=0,0,IF(DG76&lt;=0,MIN(MAX(0,AB76-SUM(PR76:RF76)),AMG75),MIN(MAX(0,AB76-SUM(PR76:RF76)),AMG75-G76*MAX(0,DG76*AMG75-(YF76+ABS76))))),MIN(GT76,MAX(0,AB76-SUM(PR76:RF76))))</f>
        <v>0</v>
      </c>
      <c r="RH76" s="20" t="n">
        <f aca="false">IF(H_Direct=1,IF(AMH75&lt;=0,0,IF(DH76&lt;=0,MIN(MAX(0,AB76-SUM(PR76:RG76)),AMH75),MIN(MAX(0,AB76-SUM(PR76:RG76)),AMH75-G76*MAX(0,DH76*AMH75-(YG76+ABT76))))),MIN(GU76,MAX(0,AB76-SUM(PR76:RG76))))</f>
        <v>0</v>
      </c>
      <c r="RI76" s="20" t="n">
        <f aca="false">IF(H_Direct=1,IF(AMI75&lt;=0,0,IF(DI76&lt;=0,MIN(MAX(0,AB76-SUM(PR76:RH76)),AMI75),MIN(MAX(0,AB76-SUM(PR76:RH76)),AMI75-G76*MAX(0,DI76*AMI75-(YH76+ABU76))))),MIN(GV76,MAX(0,AB76-SUM(PR76:RH76))))</f>
        <v>0</v>
      </c>
      <c r="RJ76" s="20" t="n">
        <f aca="false">IF(H_Direct=1,IF(AMJ75&lt;=0,0,IF(DJ76&lt;=0,MIN(MAX(0,AB76-SUM(PR76:RI76)),AMJ75),MIN(MAX(0,AB76-SUM(PR76:RI76)),AMJ75-G76*MAX(0,DJ76*AMJ75-(YI76+ABV76))))),MIN(GW76,MAX(0,AB76-SUM(PR76:RI76))))</f>
        <v>0</v>
      </c>
      <c r="RK76" s="20" t="n">
        <f aca="false">IF(H_Direct=1,IF(AMK75&lt;=0,0,IF(DK76&lt;=0,MIN(MAX(0,AB76-SUM(PR76:RJ76)),AMK75),MIN(MAX(0,AB76-SUM(PR76:RJ76)),AMK75-G76*MAX(0,DK76*AMK75-(YJ76+ABW76))))),MIN(GX76,MAX(0,AB76-SUM(PR76:RJ76))))</f>
        <v>0</v>
      </c>
      <c r="RL76" s="20" t="n">
        <f aca="false">IF(H_Direct=1,IF(AML75&lt;=0,0,IF(DL76&lt;=0,MIN(MAX(0,AB76-SUM(PR76:RK76)),AML75),MIN(MAX(0,AB76-SUM(PR76:RK76)),AML75-G76*MAX(0,DL76*AML75-(YK76+ABX76))))),MIN(GY76,MAX(0,AB76-SUM(PR76:RK76))))</f>
        <v>0</v>
      </c>
      <c r="RM76" s="20" t="n">
        <f aca="false">IF(H_Direct=1,IF(AMM75&lt;=0,0,IF(DM76&lt;=0,MIN(MAX(0,AB76-SUM(PR76:RL76)),AMM75),MIN(MAX(0,AB76-SUM(PR76:RL76)),AMM75-G76*MAX(0,DM76*AMM75-(YL76+ABY76))))),MIN(GZ76,MAX(0,AB76-SUM(PR76:RL76))))</f>
        <v>0</v>
      </c>
      <c r="RN76" s="20" t="n">
        <f aca="false">IF(H_Direct=1,IF(AMN75&lt;=0,0,IF(DN76&lt;=0,MIN(MAX(0,AB76-SUM(PR76:RM76)),AMN75),MIN(MAX(0,AB76-SUM(PR76:RM76)),AMN75-G76*MAX(0,DN76*AMN75-(YM76+ABZ76))))),MIN(HA76,MAX(0,AB76-SUM(PR76:RM76))))</f>
        <v>0</v>
      </c>
      <c r="RO76" s="20" t="n">
        <f aca="false">IF(H_Direct=1,IF(AMO75&lt;=0,0,IF(DO76&lt;=0,MIN(MAX(0,AB76-SUM(PR76:RN76)),AMO75),MIN(MAX(0,AB76-SUM(PR76:RN76)),AMO75-G76*MAX(0,DO76*AMO75-(YN76+ACA76))))),MIN(HB76,MAX(0,AB76-SUM(PR76:RN76))))</f>
        <v>0</v>
      </c>
      <c r="RP76" s="20" t="n">
        <f aca="false">IF(H_Direct=1,IF(AMP75&lt;=0,0,IF(DP76&lt;=0,MIN(MAX(0,AB76-SUM(PR76:RO76)),AMP75),MIN(MAX(0,AB76-SUM(PR76:RO76)),AMP75-G76*MAX(0,DP76*AMP75-(YO76+ACB76))))),MIN(HC76,MAX(0,AB76-SUM(PR76:RO76))))</f>
        <v>0</v>
      </c>
      <c r="RQ76" s="20" t="n">
        <f aca="false">IF(H_Direct=1,IF(AMQ75&lt;=0,0,IF(DQ76&lt;=0,MIN(MAX(0,AB76-SUM(PR76:RP76)),AMQ75),MIN(MAX(0,AB76-SUM(PR76:RP76)),AMQ75-G76*MAX(0,DQ76*AMQ75-(YP76+ACC76))))),MIN(HD76,MAX(0,AB76-SUM(PR76:RP76))))</f>
        <v>0</v>
      </c>
      <c r="RR76" s="20" t="n">
        <f aca="false">IF(H_Direct=1,IF(AMR75&lt;=0,0,IF(DR76&lt;=0,MIN(MAX(0,AB76-SUM(PR76:RQ76)),AMR75),MIN(MAX(0,AB76-SUM(PR76:RQ76)),AMR75-G76*MAX(0,DR76*AMR75-(YQ76+ACD76))))),MIN(HE76,MAX(0,AB76-SUM(PR76:RQ76))))</f>
        <v>0</v>
      </c>
      <c r="RS76" s="20" t="n">
        <f aca="false">IF(H_Direct=1,IF(AMS75&lt;=0,0,IF(DS76&lt;=0,MIN(MAX(0,AB76-SUM(PR76:RR76)),AMS75),MIN(MAX(0,AB76-SUM(PR76:RR76)),AMS75-G76*MAX(0,DS76*AMS75-(YR76+ACE76))))),MIN(HF76,MAX(0,AB76-SUM(PR76:RR76))))</f>
        <v>0</v>
      </c>
      <c r="RT76" s="20" t="n">
        <f aca="false">IF(H_Direct=1,IF(AMT75&lt;=0,0,IF(DT76&lt;=0,MIN(MAX(0,AB76-SUM(PR76:RS76)),AMT75),MIN(MAX(0,AB76-SUM(PR76:RS76)),AMT75-G76*MAX(0,DT76*AMT75-(YS76+ACF76))))),MIN(HG76,MAX(0,AB76-SUM(PR76:RS76))))</f>
        <v>0</v>
      </c>
      <c r="RU76" s="20" t="n">
        <f aca="false">IF(H_Direct=1,IF(AMU75&lt;=0,0,IF(DU76&lt;=0,MIN(MAX(0,AB76-SUM(PR76:RT76)),AMU75),MIN(MAX(0,AB76-SUM(PR76:RT76)),AMU75-G76*MAX(0,DU76*AMU75-(YT76+ACG76))))),MIN(HH76,MAX(0,AB76-SUM(PR76:RT76))))</f>
        <v>0</v>
      </c>
      <c r="RV76" s="20" t="n">
        <f aca="false">IF(H_Direct=1,IF(AMV75&lt;=0,0,IF(DV76&lt;=0,MIN(MAX(0,AB76-SUM(PR76:RU76)),AMV75),MIN(MAX(0,AB76-SUM(PR76:RU76)),AMV75-G76*MAX(0,DV76*AMV75-(YU76+ACH76))))),MIN(HI76,MAX(0,AB76-SUM(PR76:RU76))))</f>
        <v>0</v>
      </c>
      <c r="RW76" s="20" t="n">
        <f aca="false">IF(H_Direct=1,IF(AMW75&lt;=0,0,IF(DW76&lt;=0,MIN(MAX(0,AB76-SUM(PR76:RV76)),AMW75),MIN(MAX(0,AB76-SUM(PR76:RV76)),AMW75-G76*MAX(0,DW76*AMW75-(YV76+ACI76))))),MIN(HJ76,MAX(0,AB76-SUM(PR76:RV76))))</f>
        <v>0</v>
      </c>
      <c r="RX76" s="20" t="n">
        <f aca="false">IF(H_Direct=1,IF(AMX75&lt;=0,0,IF(DX76&lt;=0,MIN(MAX(0,AB76-SUM(PR76:RW76)),AMX75),MIN(MAX(0,AB76-SUM(PR76:RW76)),AMX75-G76*MAX(0,DX76*AMX75-(YW76+ACJ76))))),MIN(HK76,MAX(0,AB76-SUM(PR76:RW76))))</f>
        <v>0</v>
      </c>
      <c r="RY76" s="20" t="n">
        <f aca="false">IF(H_Direct=1,IF(AMY75&lt;=0,0,IF(DY76&lt;=0,MIN(MAX(0,AB76-SUM(PR76:RX76)),AMY75),MIN(MAX(0,AB76-SUM(PR76:RX76)),AMY75-G76*MAX(0,DY76*AMY75-(YX76+ACK76))))),MIN(HL76,MAX(0,AB76-SUM(PR76:RX76))))</f>
        <v>0</v>
      </c>
      <c r="RZ76" s="20" t="n">
        <f aca="false">IF(H_Direct=1,IF(AMZ75&lt;=0,0,IF(DZ76&lt;=0,MIN(MAX(0,AB76-SUM(PR76:RY76)),AMZ75),MIN(MAX(0,AB76-SUM(PR76:RY76)),AMZ75-G76*MAX(0,DZ76*AMZ75-(YY76+ACL76))))),MIN(HM76,MAX(0,AB76-SUM(PR76:RY76))))</f>
        <v>0</v>
      </c>
      <c r="SA76" s="20" t="n">
        <f aca="false">IF(H_Direct=1,IF(ANA75&lt;=0,0,IF(EA76&lt;=0,MIN(MAX(0,AB76-SUM(PR76:RZ76)),ANA75),MIN(MAX(0,AB76-SUM(PR76:RZ76)),ANA75-G76*MAX(0,EA76*ANA75-(YZ76+ACM76))))),MIN(HN76,MAX(0,AB76-SUM(PR76:RZ76))))</f>
        <v>0</v>
      </c>
      <c r="SB76" s="20" t="n">
        <f aca="false">IF(H_Direct=1,IF(ANB75&lt;=0,0,IF(EB76&lt;=0,MIN(MAX(0,AB76-SUM(PR76:SA76)),ANB75),MIN(MAX(0,AB76-SUM(PR76:SA76)),ANB75-G76*MAX(0,EB76*ANB75-(ZA76+ACN76))))),MIN(HO76,MAX(0,AB76-SUM(PR76:SA76))))</f>
        <v>0</v>
      </c>
      <c r="SC76" s="20" t="n">
        <f aca="false">IF(H_Direct=1,IF(ANC75&lt;=0,0,IF(EC76&lt;=0,MIN(MAX(0,AB76-SUM(PR76:SB76)),ANC75),MIN(MAX(0,AB76-SUM(PR76:SB76)),ANC75-G76*MAX(0,EC76*ANC75-(ZB76+ACO76))))),MIN(HP76,MAX(0,AB76-SUM(PR76:SB76))))</f>
        <v>0</v>
      </c>
      <c r="SD76" s="20" t="n">
        <f aca="false">IF(H_Direct=1,IF(AND75&lt;=0,0,IF(ED76&lt;=0,MIN(MAX(0,AB76-SUM(PR76:SC76)),AND75),MIN(MAX(0,AB76-SUM(PR76:SC76)),AND75-G76*MAX(0,ED76*AND75-(ZC76+ACP76))))),MIN(HQ76,MAX(0,AB76-SUM(PR76:SC76))))</f>
        <v>0</v>
      </c>
      <c r="SE76" s="20" t="n">
        <f aca="false">IF(H_Direct=1,IF(ANE75&lt;=0,0,IF(EE76&lt;=0,MIN(MAX(0,AB76-SUM(PR76:SD76)),ANE75),MIN(MAX(0,AB76-SUM(PR76:SD76)),ANE75-G76*MAX(0,EE76*ANE75-(ZD76+ACQ76))))),MIN(HR76,MAX(0,AB76-SUM(PR76:SD76))))</f>
        <v>0</v>
      </c>
      <c r="SF76" s="20" t="n">
        <f aca="false">IF(H_Direct=1,IF(ANF75&lt;=0,0,IF(EF76&lt;=0,MIN(MAX(0,AB76-SUM(PR76:SE76)),ANF75),MIN(MAX(0,AB76-SUM(PR76:SE76)),ANF75-G76*MAX(0,EF76*ANF75-(ZE76+ACR76))))),MIN(HS76,MAX(0,AB76-SUM(PR76:SE76))))</f>
        <v>0</v>
      </c>
      <c r="SG76" s="20" t="n">
        <f aca="false">IF(H_Direct=1,IF(ANG75&lt;=0,0,IF(EG76&lt;=0,MIN(MAX(0,AB76-SUM(PR76:SF76)),ANG75),MIN(MAX(0,AB76-SUM(PR76:SF76)),ANG75-G76*MAX(0,EG76*ANG75-(ZF76+ACS76))))),MIN(HT76,MAX(0,AB76-SUM(PR76:SF76))))</f>
        <v>0</v>
      </c>
      <c r="SH76" s="20" t="n">
        <f aca="false">IF(H_Direct=1,IF(ANH75&lt;=0,0,IF(EH76&lt;=0,MIN(MAX(0,AB76-SUM(PR76:SG76)),ANH75),MIN(MAX(0,AB76-SUM(PR76:SG76)),ANH75-G76*MAX(0,EH76*ANH75-(ZG76+ACT76))))),MIN(HU76,MAX(0,AB76-SUM(PR76:SG76))))</f>
        <v>0</v>
      </c>
      <c r="SI76" s="20" t="n">
        <f aca="false">IF(H_Direct=1,IF((P76+S76)&lt;=0,0,IF(EI76&lt;=0,MIN(MAX(0,AB76-SUM(PR76:SH76)),(P76+S76)),MIN(MAX(0,AB76-SUM(PR76:SH76)),(P76+S76)-G76*MAX(0,EI76*(P76+S76)-(ZH76+ACU76))))),MIN(HV76,MAX(0,AB76-SUM(PR76:SH76))))</f>
        <v>0</v>
      </c>
      <c r="SJ76" s="20" t="n">
        <v>0</v>
      </c>
      <c r="SK76" s="20" t="n">
        <v>0</v>
      </c>
      <c r="SL76" s="20" t="n">
        <v>0</v>
      </c>
      <c r="SM76" s="20" t="n">
        <v>0</v>
      </c>
      <c r="SN76" s="20" t="n">
        <v>0</v>
      </c>
      <c r="SO76" s="20" t="n">
        <v>0</v>
      </c>
      <c r="SP76" s="20" t="n">
        <v>0</v>
      </c>
      <c r="SQ76" s="20" t="n">
        <v>0</v>
      </c>
      <c r="SR76" s="20" t="n">
        <v>0</v>
      </c>
      <c r="SS76" s="20" t="n">
        <v>0</v>
      </c>
      <c r="ST76" s="20" t="n">
        <v>0</v>
      </c>
      <c r="SU76" s="20" t="n">
        <v>0</v>
      </c>
      <c r="SV76" s="20" t="n">
        <v>0</v>
      </c>
      <c r="SW76" s="20" t="n">
        <v>0</v>
      </c>
      <c r="SX76" s="20" t="n">
        <v>0</v>
      </c>
      <c r="SY76" s="20" t="n">
        <v>0</v>
      </c>
      <c r="SZ76" s="20" t="n">
        <v>0</v>
      </c>
      <c r="TA76" s="20" t="n">
        <v>0</v>
      </c>
      <c r="TB76" s="20" t="n">
        <v>0</v>
      </c>
      <c r="TC76" s="20" t="n">
        <v>0</v>
      </c>
      <c r="TD76" s="20" t="n">
        <v>0</v>
      </c>
      <c r="TE76" s="20" t="n">
        <f aca="false">IF(AKR75&lt;=0,0,IF(H_Direct=1,IF(BR76&lt;=0,PR76,IF(PR76&lt;=(H76+I76)/BR76,PR76,(PR76-G76*(H76+I76))/(1-G76*BR76))),PR76/(1-MAX(0,BR76)*H_Exit)))</f>
        <v>0</v>
      </c>
      <c r="TF76" s="20" t="n">
        <f aca="false">IF(AKS75&lt;=0,0,IF(H_Direct=1,IF(BS76&lt;=0,PS76,IF(PS76&lt;=(WR76+AAE76)/BS76,PS76,(PS76-G76*(WR76+AAE76))/(1-G76*BS76))),PS76/(1-MAX(0,BS76)*H_Exit)))</f>
        <v>0</v>
      </c>
      <c r="TG76" s="20" t="n">
        <f aca="false">IF(AKT75&lt;=0,0,IF(H_Direct=1,IF(BT76&lt;=0,PT76,IF(PT76&lt;=(WS76+AAF76)/BT76,PT76,(PT76-G76*(WS76+AAF76))/(1-G76*BT76))),PT76/(1-MAX(0,BT76)*H_Exit)))</f>
        <v>0</v>
      </c>
      <c r="TH76" s="20" t="n">
        <f aca="false">IF(AKU75&lt;=0,0,IF(H_Direct=1,IF(BU76&lt;=0,PU76,IF(PU76&lt;=(WT76+AAG76)/BU76,PU76,(PU76-G76*(WT76+AAG76))/(1-G76*BU76))),PU76/(1-MAX(0,BU76)*H_Exit)))</f>
        <v>0</v>
      </c>
      <c r="TI76" s="20" t="n">
        <f aca="false">IF(AKV75&lt;=0,0,IF(H_Direct=1,IF(BV76&lt;=0,PV76,IF(PV76&lt;=(WU76+AAH76)/BV76,PV76,(PV76-G76*(WU76+AAH76))/(1-G76*BV76))),PV76/(1-MAX(0,BV76)*H_Exit)))</f>
        <v>0</v>
      </c>
      <c r="TJ76" s="20" t="n">
        <f aca="false">IF(AKW75&lt;=0,0,IF(H_Direct=1,IF(BW76&lt;=0,PW76,IF(PW76&lt;=(WV76+AAI76)/BW76,PW76,(PW76-G76*(WV76+AAI76))/(1-G76*BW76))),PW76/(1-MAX(0,BW76)*H_Exit)))</f>
        <v>0</v>
      </c>
      <c r="TK76" s="20" t="n">
        <f aca="false">IF(AKX75&lt;=0,0,IF(H_Direct=1,IF(BX76&lt;=0,PX76,IF(PX76&lt;=(WW76+AAJ76)/BX76,PX76,(PX76-G76*(WW76+AAJ76))/(1-G76*BX76))),PX76/(1-MAX(0,BX76)*H_Exit)))</f>
        <v>0</v>
      </c>
      <c r="TL76" s="20" t="n">
        <f aca="false">IF(AKY75&lt;=0,0,IF(H_Direct=1,IF(BY76&lt;=0,PY76,IF(PY76&lt;=(WX76+AAK76)/BY76,PY76,(PY76-G76*(WX76+AAK76))/(1-G76*BY76))),PY76/(1-MAX(0,BY76)*H_Exit)))</f>
        <v>0</v>
      </c>
      <c r="TM76" s="20" t="n">
        <f aca="false">IF(AKZ75&lt;=0,0,IF(H_Direct=1,IF(BZ76&lt;=0,PZ76,IF(PZ76&lt;=(WY76+AAL76)/BZ76,PZ76,(PZ76-G76*(WY76+AAL76))/(1-G76*BZ76))),PZ76/(1-MAX(0,BZ76)*H_Exit)))</f>
        <v>0</v>
      </c>
      <c r="TN76" s="20" t="n">
        <f aca="false">IF(ALA75&lt;=0,0,IF(H_Direct=1,IF(CA76&lt;=0,QA76,IF(QA76&lt;=(WZ76+AAM76)/CA76,QA76,(QA76-G76*(WZ76+AAM76))/(1-G76*CA76))),QA76/(1-MAX(0,CA76)*H_Exit)))</f>
        <v>0</v>
      </c>
      <c r="TO76" s="20" t="n">
        <f aca="false">IF(ALB75&lt;=0,0,IF(H_Direct=1,IF(CB76&lt;=0,QB76,IF(QB76&lt;=(XA76+AAN76)/CB76,QB76,(QB76-G76*(XA76+AAN76))/(1-G76*CB76))),QB76/(1-MAX(0,CB76)*H_Exit)))</f>
        <v>0</v>
      </c>
      <c r="TP76" s="20" t="n">
        <f aca="false">IF(ALC75&lt;=0,0,IF(H_Direct=1,IF(CC76&lt;=0,QC76,IF(QC76&lt;=(XB76+AAO76)/CC76,QC76,(QC76-G76*(XB76+AAO76))/(1-G76*CC76))),QC76/(1-MAX(0,CC76)*H_Exit)))</f>
        <v>0</v>
      </c>
      <c r="TQ76" s="20" t="n">
        <f aca="false">IF(ALD75&lt;=0,0,IF(H_Direct=1,IF(CD76&lt;=0,QD76,IF(QD76&lt;=(XC76+AAP76)/CD76,QD76,(QD76-G76*(XC76+AAP76))/(1-G76*CD76))),QD76/(1-MAX(0,CD76)*H_Exit)))</f>
        <v>0</v>
      </c>
      <c r="TR76" s="20" t="n">
        <f aca="false">IF(ALE75&lt;=0,0,IF(H_Direct=1,IF(CE76&lt;=0,QE76,IF(QE76&lt;=(XD76+AAQ76)/CE76,QE76,(QE76-G76*(XD76+AAQ76))/(1-G76*CE76))),QE76/(1-MAX(0,CE76)*H_Exit)))</f>
        <v>0</v>
      </c>
      <c r="TS76" s="20" t="n">
        <f aca="false">IF(ALF75&lt;=0,0,IF(H_Direct=1,IF(CF76&lt;=0,QF76,IF(QF76&lt;=(XE76+AAR76)/CF76,QF76,(QF76-G76*(XE76+AAR76))/(1-G76*CF76))),QF76/(1-MAX(0,CF76)*H_Exit)))</f>
        <v>0</v>
      </c>
      <c r="TT76" s="20" t="n">
        <f aca="false">IF(ALG75&lt;=0,0,IF(H_Direct=1,IF(CG76&lt;=0,QG76,IF(QG76&lt;=(XF76+AAS76)/CG76,QG76,(QG76-G76*(XF76+AAS76))/(1-G76*CG76))),QG76/(1-MAX(0,CG76)*H_Exit)))</f>
        <v>0</v>
      </c>
      <c r="TU76" s="20" t="n">
        <f aca="false">IF(ALH75&lt;=0,0,IF(H_Direct=1,IF(CH76&lt;=0,QH76,IF(QH76&lt;=(XG76+AAT76)/CH76,QH76,(QH76-G76*(XG76+AAT76))/(1-G76*CH76))),QH76/(1-MAX(0,CH76)*H_Exit)))</f>
        <v>0</v>
      </c>
      <c r="TV76" s="20" t="n">
        <f aca="false">IF(ALI75&lt;=0,0,IF(H_Direct=1,IF(CI76&lt;=0,QI76,IF(QI76&lt;=(XH76+AAU76)/CI76,QI76,(QI76-G76*(XH76+AAU76))/(1-G76*CI76))),QI76/(1-MAX(0,CI76)*H_Exit)))</f>
        <v>0</v>
      </c>
      <c r="TW76" s="20" t="n">
        <f aca="false">IF(ALJ75&lt;=0,0,IF(H_Direct=1,IF(CJ76&lt;=0,QJ76,IF(QJ76&lt;=(XI76+AAV76)/CJ76,QJ76,(QJ76-G76*(XI76+AAV76))/(1-G76*CJ76))),QJ76/(1-MAX(0,CJ76)*H_Exit)))</f>
        <v>0</v>
      </c>
      <c r="TX76" s="20" t="n">
        <f aca="false">IF(ALK75&lt;=0,0,IF(H_Direct=1,IF(CK76&lt;=0,QK76,IF(QK76&lt;=(XJ76+AAW76)/CK76,QK76,(QK76-G76*(XJ76+AAW76))/(1-G76*CK76))),QK76/(1-MAX(0,CK76)*H_Exit)))</f>
        <v>0</v>
      </c>
      <c r="TY76" s="20" t="n">
        <f aca="false">IF(ALL75&lt;=0,0,IF(H_Direct=1,IF(CL76&lt;=0,QL76,IF(QL76&lt;=(XK76+AAX76)/CL76,QL76,(QL76-G76*(XK76+AAX76))/(1-G76*CL76))),QL76/(1-MAX(0,CL76)*H_Exit)))</f>
        <v>0</v>
      </c>
      <c r="TZ76" s="20" t="n">
        <f aca="false">IF(ALM75&lt;=0,0,IF(H_Direct=1,IF(CM76&lt;=0,QM76,IF(QM76&lt;=(XL76+AAY76)/CM76,QM76,(QM76-G76*(XL76+AAY76))/(1-G76*CM76))),QM76/(1-MAX(0,CM76)*H_Exit)))</f>
        <v>0</v>
      </c>
      <c r="UA76" s="20" t="n">
        <f aca="false">IF(ALN75&lt;=0,0,IF(H_Direct=1,IF(CN76&lt;=0,QN76,IF(QN76&lt;=(XM76+AAZ76)/CN76,QN76,(QN76-G76*(XM76+AAZ76))/(1-G76*CN76))),QN76/(1-MAX(0,CN76)*H_Exit)))</f>
        <v>0</v>
      </c>
      <c r="UB76" s="20" t="n">
        <f aca="false">IF(ALO75&lt;=0,0,IF(H_Direct=1,IF(CO76&lt;=0,QO76,IF(QO76&lt;=(XN76+ABA76)/CO76,QO76,(QO76-G76*(XN76+ABA76))/(1-G76*CO76))),QO76/(1-MAX(0,CO76)*H_Exit)))</f>
        <v>0</v>
      </c>
      <c r="UC76" s="20" t="n">
        <f aca="false">IF(ALP75&lt;=0,0,IF(H_Direct=1,IF(CP76&lt;=0,QP76,IF(QP76&lt;=(XO76+ABB76)/CP76,QP76,(QP76-G76*(XO76+ABB76))/(1-G76*CP76))),QP76/(1-MAX(0,CP76)*H_Exit)))</f>
        <v>0</v>
      </c>
      <c r="UD76" s="20" t="n">
        <f aca="false">IF(ALQ75&lt;=0,0,IF(H_Direct=1,IF(CQ76&lt;=0,QQ76,IF(QQ76&lt;=(XP76+ABC76)/CQ76,QQ76,(QQ76-G76*(XP76+ABC76))/(1-G76*CQ76))),QQ76/(1-MAX(0,CQ76)*H_Exit)))</f>
        <v>0</v>
      </c>
      <c r="UE76" s="20" t="n">
        <f aca="false">IF(ALR75&lt;=0,0,IF(H_Direct=1,IF(CR76&lt;=0,QR76,IF(QR76&lt;=(XQ76+ABD76)/CR76,QR76,(QR76-G76*(XQ76+ABD76))/(1-G76*CR76))),QR76/(1-MAX(0,CR76)*H_Exit)))</f>
        <v>0</v>
      </c>
      <c r="UF76" s="20" t="n">
        <f aca="false">IF(ALS75&lt;=0,0,IF(H_Direct=1,IF(CS76&lt;=0,QS76,IF(QS76&lt;=(XR76+ABE76)/CS76,QS76,(QS76-G76*(XR76+ABE76))/(1-G76*CS76))),QS76/(1-MAX(0,CS76)*H_Exit)))</f>
        <v>0</v>
      </c>
      <c r="UG76" s="20" t="n">
        <f aca="false">IF(ALT75&lt;=0,0,IF(H_Direct=1,IF(CT76&lt;=0,QT76,IF(QT76&lt;=(XS76+ABF76)/CT76,QT76,(QT76-G76*(XS76+ABF76))/(1-G76*CT76))),QT76/(1-MAX(0,CT76)*H_Exit)))</f>
        <v>0</v>
      </c>
      <c r="UH76" s="20" t="n">
        <f aca="false">IF(ALU75&lt;=0,0,IF(H_Direct=1,IF(CU76&lt;=0,QU76,IF(QU76&lt;=(XT76+ABG76)/CU76,QU76,(QU76-G76*(XT76+ABG76))/(1-G76*CU76))),QU76/(1-MAX(0,CU76)*H_Exit)))</f>
        <v>0</v>
      </c>
      <c r="UI76" s="20" t="n">
        <f aca="false">IF(ALV75&lt;=0,0,IF(H_Direct=1,IF(CV76&lt;=0,QV76,IF(QV76&lt;=(XU76+ABH76)/CV76,QV76,(QV76-G76*(XU76+ABH76))/(1-G76*CV76))),QV76/(1-MAX(0,CV76)*H_Exit)))</f>
        <v>0</v>
      </c>
      <c r="UJ76" s="20" t="n">
        <f aca="false">IF(ALW75&lt;=0,0,IF(H_Direct=1,IF(CW76&lt;=0,QW76,IF(QW76&lt;=(XV76+ABI76)/CW76,QW76,(QW76-G76*(XV76+ABI76))/(1-G76*CW76))),QW76/(1-MAX(0,CW76)*H_Exit)))</f>
        <v>0</v>
      </c>
      <c r="UK76" s="20" t="n">
        <f aca="false">IF(ALX75&lt;=0,0,IF(H_Direct=1,IF(CX76&lt;=0,QX76,IF(QX76&lt;=(XW76+ABJ76)/CX76,QX76,(QX76-G76*(XW76+ABJ76))/(1-G76*CX76))),QX76/(1-MAX(0,CX76)*H_Exit)))</f>
        <v>0</v>
      </c>
      <c r="UL76" s="20" t="n">
        <f aca="false">IF(ALY75&lt;=0,0,IF(H_Direct=1,IF(CY76&lt;=0,QY76,IF(QY76&lt;=(XX76+ABK76)/CY76,QY76,(QY76-G76*(XX76+ABK76))/(1-G76*CY76))),QY76/(1-MAX(0,CY76)*H_Exit)))</f>
        <v>0</v>
      </c>
      <c r="UM76" s="20" t="n">
        <f aca="false">IF(ALZ75&lt;=0,0,IF(H_Direct=1,IF(CZ76&lt;=0,QZ76,IF(QZ76&lt;=(XY76+ABL76)/CZ76,QZ76,(QZ76-G76*(XY76+ABL76))/(1-G76*CZ76))),QZ76/(1-MAX(0,CZ76)*H_Exit)))</f>
        <v>0</v>
      </c>
      <c r="UN76" s="20" t="n">
        <f aca="false">IF(AMA75&lt;=0,0,IF(H_Direct=1,IF(DA76&lt;=0,RA76,IF(RA76&lt;=(XZ76+ABM76)/DA76,RA76,(RA76-G76*(XZ76+ABM76))/(1-G76*DA76))),RA76/(1-MAX(0,DA76)*H_Exit)))</f>
        <v>0</v>
      </c>
      <c r="UO76" s="20" t="n">
        <f aca="false">IF(AMB75&lt;=0,0,IF(H_Direct=1,IF(DB76&lt;=0,RB76,IF(RB76&lt;=(YA76+ABN76)/DB76,RB76,(RB76-G76*(YA76+ABN76))/(1-G76*DB76))),RB76/(1-MAX(0,DB76)*H_Exit)))</f>
        <v>0</v>
      </c>
      <c r="UP76" s="20" t="n">
        <f aca="false">IF(AMC75&lt;=0,0,IF(H_Direct=1,IF(DC76&lt;=0,RC76,IF(RC76&lt;=(YB76+ABO76)/DC76,RC76,(RC76-G76*(YB76+ABO76))/(1-G76*DC76))),RC76/(1-MAX(0,DC76)*H_Exit)))</f>
        <v>0</v>
      </c>
      <c r="UQ76" s="20" t="n">
        <f aca="false">IF(AMD75&lt;=0,0,IF(H_Direct=1,IF(DD76&lt;=0,RD76,IF(RD76&lt;=(YC76+ABP76)/DD76,RD76,(RD76-G76*(YC76+ABP76))/(1-G76*DD76))),RD76/(1-MAX(0,DD76)*H_Exit)))</f>
        <v>0</v>
      </c>
      <c r="UR76" s="20" t="n">
        <f aca="false">IF(AME75&lt;=0,0,IF(H_Direct=1,IF(DE76&lt;=0,RE76,IF(RE76&lt;=(YD76+ABQ76)/DE76,RE76,(RE76-G76*(YD76+ABQ76))/(1-G76*DE76))),RE76/(1-MAX(0,DE76)*H_Exit)))</f>
        <v>0</v>
      </c>
      <c r="US76" s="20" t="n">
        <f aca="false">IF(AMF75&lt;=0,0,IF(H_Direct=1,IF(DF76&lt;=0,RF76,IF(RF76&lt;=(YE76+ABR76)/DF76,RF76,(RF76-G76*(YE76+ABR76))/(1-G76*DF76))),RF76/(1-MAX(0,DF76)*H_Exit)))</f>
        <v>0</v>
      </c>
      <c r="UT76" s="20" t="n">
        <f aca="false">IF(AMG75&lt;=0,0,IF(H_Direct=1,IF(DG76&lt;=0,RG76,IF(RG76&lt;=(YF76+ABS76)/DG76,RG76,(RG76-G76*(YF76+ABS76))/(1-G76*DG76))),RG76/(1-MAX(0,DG76)*H_Exit)))</f>
        <v>0</v>
      </c>
      <c r="UU76" s="20" t="n">
        <f aca="false">IF(AMH75&lt;=0,0,IF(H_Direct=1,IF(DH76&lt;=0,RH76,IF(RH76&lt;=(YG76+ABT76)/DH76,RH76,(RH76-G76*(YG76+ABT76))/(1-G76*DH76))),RH76/(1-MAX(0,DH76)*H_Exit)))</f>
        <v>0</v>
      </c>
      <c r="UV76" s="20" t="n">
        <f aca="false">IF(AMI75&lt;=0,0,IF(H_Direct=1,IF(DI76&lt;=0,RI76,IF(RI76&lt;=(YH76+ABU76)/DI76,RI76,(RI76-G76*(YH76+ABU76))/(1-G76*DI76))),RI76/(1-MAX(0,DI76)*H_Exit)))</f>
        <v>0</v>
      </c>
      <c r="UW76" s="20" t="n">
        <f aca="false">IF(AMJ75&lt;=0,0,IF(H_Direct=1,IF(DJ76&lt;=0,RJ76,IF(RJ76&lt;=(YI76+ABV76)/DJ76,RJ76,(RJ76-G76*(YI76+ABV76))/(1-G76*DJ76))),RJ76/(1-MAX(0,DJ76)*H_Exit)))</f>
        <v>0</v>
      </c>
      <c r="UX76" s="20" t="n">
        <f aca="false">IF(AMK75&lt;=0,0,IF(H_Direct=1,IF(DK76&lt;=0,RK76,IF(RK76&lt;=(YJ76+ABW76)/DK76,RK76,(RK76-G76*(YJ76+ABW76))/(1-G76*DK76))),RK76/(1-MAX(0,DK76)*H_Exit)))</f>
        <v>0</v>
      </c>
      <c r="UY76" s="20" t="n">
        <f aca="false">IF(AML75&lt;=0,0,IF(H_Direct=1,IF(DL76&lt;=0,RL76,IF(RL76&lt;=(YK76+ABX76)/DL76,RL76,(RL76-G76*(YK76+ABX76))/(1-G76*DL76))),RL76/(1-MAX(0,DL76)*H_Exit)))</f>
        <v>0</v>
      </c>
      <c r="UZ76" s="20" t="n">
        <f aca="false">IF(AMM75&lt;=0,0,IF(H_Direct=1,IF(DM76&lt;=0,RM76,IF(RM76&lt;=(YL76+ABY76)/DM76,RM76,(RM76-G76*(YL76+ABY76))/(1-G76*DM76))),RM76/(1-MAX(0,DM76)*H_Exit)))</f>
        <v>0</v>
      </c>
      <c r="VA76" s="20" t="n">
        <f aca="false">IF(AMN75&lt;=0,0,IF(H_Direct=1,IF(DN76&lt;=0,RN76,IF(RN76&lt;=(YM76+ABZ76)/DN76,RN76,(RN76-G76*(YM76+ABZ76))/(1-G76*DN76))),RN76/(1-MAX(0,DN76)*H_Exit)))</f>
        <v>0</v>
      </c>
      <c r="VB76" s="20" t="n">
        <f aca="false">IF(AMO75&lt;=0,0,IF(H_Direct=1,IF(DO76&lt;=0,RO76,IF(RO76&lt;=(YN76+ACA76)/DO76,RO76,(RO76-G76*(YN76+ACA76))/(1-G76*DO76))),RO76/(1-MAX(0,DO76)*H_Exit)))</f>
        <v>0</v>
      </c>
      <c r="VC76" s="20" t="n">
        <f aca="false">IF(AMP75&lt;=0,0,IF(H_Direct=1,IF(DP76&lt;=0,RP76,IF(RP76&lt;=(YO76+ACB76)/DP76,RP76,(RP76-G76*(YO76+ACB76))/(1-G76*DP76))),RP76/(1-MAX(0,DP76)*H_Exit)))</f>
        <v>0</v>
      </c>
      <c r="VD76" s="20" t="n">
        <f aca="false">IF(AMQ75&lt;=0,0,IF(H_Direct=1,IF(DQ76&lt;=0,RQ76,IF(RQ76&lt;=(YP76+ACC76)/DQ76,RQ76,(RQ76-G76*(YP76+ACC76))/(1-G76*DQ76))),RQ76/(1-MAX(0,DQ76)*H_Exit)))</f>
        <v>0</v>
      </c>
      <c r="VE76" s="20" t="n">
        <f aca="false">IF(AMR75&lt;=0,0,IF(H_Direct=1,IF(DR76&lt;=0,RR76,IF(RR76&lt;=(YQ76+ACD76)/DR76,RR76,(RR76-G76*(YQ76+ACD76))/(1-G76*DR76))),RR76/(1-MAX(0,DR76)*H_Exit)))</f>
        <v>0</v>
      </c>
      <c r="VF76" s="20" t="n">
        <f aca="false">IF(AMS75&lt;=0,0,IF(H_Direct=1,IF(DS76&lt;=0,RS76,IF(RS76&lt;=(YR76+ACE76)/DS76,RS76,(RS76-G76*(YR76+ACE76))/(1-G76*DS76))),RS76/(1-MAX(0,DS76)*H_Exit)))</f>
        <v>0</v>
      </c>
      <c r="VG76" s="20" t="n">
        <f aca="false">IF(AMT75&lt;=0,0,IF(H_Direct=1,IF(DT76&lt;=0,RT76,IF(RT76&lt;=(YS76+ACF76)/DT76,RT76,(RT76-G76*(YS76+ACF76))/(1-G76*DT76))),RT76/(1-MAX(0,DT76)*H_Exit)))</f>
        <v>0</v>
      </c>
      <c r="VH76" s="20" t="n">
        <f aca="false">IF(AMU75&lt;=0,0,IF(H_Direct=1,IF(DU76&lt;=0,RU76,IF(RU76&lt;=(YT76+ACG76)/DU76,RU76,(RU76-G76*(YT76+ACG76))/(1-G76*DU76))),RU76/(1-MAX(0,DU76)*H_Exit)))</f>
        <v>0</v>
      </c>
      <c r="VI76" s="20" t="n">
        <f aca="false">IF(AMV75&lt;=0,0,IF(H_Direct=1,IF(DV76&lt;=0,RV76,IF(RV76&lt;=(YU76+ACH76)/DV76,RV76,(RV76-G76*(YU76+ACH76))/(1-G76*DV76))),RV76/(1-MAX(0,DV76)*H_Exit)))</f>
        <v>0</v>
      </c>
      <c r="VJ76" s="20" t="n">
        <f aca="false">IF(AMW75&lt;=0,0,IF(H_Direct=1,IF(DW76&lt;=0,RW76,IF(RW76&lt;=(YV76+ACI76)/DW76,RW76,(RW76-G76*(YV76+ACI76))/(1-G76*DW76))),RW76/(1-MAX(0,DW76)*H_Exit)))</f>
        <v>0</v>
      </c>
      <c r="VK76" s="20" t="n">
        <f aca="false">IF(AMX75&lt;=0,0,IF(H_Direct=1,IF(DX76&lt;=0,RX76,IF(RX76&lt;=(YW76+ACJ76)/DX76,RX76,(RX76-G76*(YW76+ACJ76))/(1-G76*DX76))),RX76/(1-MAX(0,DX76)*H_Exit)))</f>
        <v>0</v>
      </c>
      <c r="VL76" s="20" t="n">
        <f aca="false">IF(AMY75&lt;=0,0,IF(H_Direct=1,IF(DY76&lt;=0,RY76,IF(RY76&lt;=(YX76+ACK76)/DY76,RY76,(RY76-G76*(YX76+ACK76))/(1-G76*DY76))),RY76/(1-MAX(0,DY76)*H_Exit)))</f>
        <v>0</v>
      </c>
      <c r="VM76" s="20" t="n">
        <f aca="false">IF(AMZ75&lt;=0,0,IF(H_Direct=1,IF(DZ76&lt;=0,RZ76,IF(RZ76&lt;=(YY76+ACL76)/DZ76,RZ76,(RZ76-G76*(YY76+ACL76))/(1-G76*DZ76))),RZ76/(1-MAX(0,DZ76)*H_Exit)))</f>
        <v>0</v>
      </c>
      <c r="VN76" s="20" t="n">
        <f aca="false">IF(ANA75&lt;=0,0,IF(H_Direct=1,IF(EA76&lt;=0,SA76,IF(SA76&lt;=(YZ76+ACM76)/EA76,SA76,(SA76-G76*(YZ76+ACM76))/(1-G76*EA76))),SA76/(1-MAX(0,EA76)*H_Exit)))</f>
        <v>0</v>
      </c>
      <c r="VO76" s="20" t="n">
        <f aca="false">IF(ANB75&lt;=0,0,IF(H_Direct=1,IF(EB76&lt;=0,SB76,IF(SB76&lt;=(ZA76+ACN76)/EB76,SB76,(SB76-G76*(ZA76+ACN76))/(1-G76*EB76))),SB76/(1-MAX(0,EB76)*H_Exit)))</f>
        <v>0</v>
      </c>
      <c r="VP76" s="20" t="n">
        <f aca="false">IF(ANC75&lt;=0,0,IF(H_Direct=1,IF(EC76&lt;=0,SC76,IF(SC76&lt;=(ZB76+ACO76)/EC76,SC76,(SC76-G76*(ZB76+ACO76))/(1-G76*EC76))),SC76/(1-MAX(0,EC76)*H_Exit)))</f>
        <v>0</v>
      </c>
      <c r="VQ76" s="20" t="n">
        <f aca="false">IF(AND75&lt;=0,0,IF(H_Direct=1,IF(ED76&lt;=0,SD76,IF(SD76&lt;=(ZC76+ACP76)/ED76,SD76,(SD76-G76*(ZC76+ACP76))/(1-G76*ED76))),SD76/(1-MAX(0,ED76)*H_Exit)))</f>
        <v>0</v>
      </c>
      <c r="VR76" s="20" t="n">
        <f aca="false">IF(ANE75&lt;=0,0,IF(H_Direct=1,IF(EE76&lt;=0,SE76,IF(SE76&lt;=(ZD76+ACQ76)/EE76,SE76,(SE76-G76*(ZD76+ACQ76))/(1-G76*EE76))),SE76/(1-MAX(0,EE76)*H_Exit)))</f>
        <v>0</v>
      </c>
      <c r="VS76" s="20" t="n">
        <f aca="false">IF(ANF75&lt;=0,0,IF(H_Direct=1,IF(EF76&lt;=0,SF76,IF(SF76&lt;=(ZE76+ACR76)/EF76,SF76,(SF76-G76*(ZE76+ACR76))/(1-G76*EF76))),SF76/(1-MAX(0,EF76)*H_Exit)))</f>
        <v>0</v>
      </c>
      <c r="VT76" s="20" t="n">
        <f aca="false">IF(ANG75&lt;=0,0,IF(H_Direct=1,IF(EG76&lt;=0,SG76,IF(SG76&lt;=(ZF76+ACS76)/EG76,SG76,(SG76-G76*(ZF76+ACS76))/(1-G76*EG76))),SG76/(1-MAX(0,EG76)*H_Exit)))</f>
        <v>0</v>
      </c>
      <c r="VU76" s="20" t="n">
        <f aca="false">IF(ANH75&lt;=0,0,IF(H_Direct=1,IF(EH76&lt;=0,SH76,IF(SH76&lt;=(ZG76+ACT76)/EH76,SH76,(SH76-G76*(ZG76+ACT76))/(1-G76*EH76))),SH76/(1-MAX(0,EH76)*H_Exit)))</f>
        <v>0</v>
      </c>
      <c r="VV76" s="20" t="n">
        <f aca="false">IF((P76+S76)&lt;=0,0,IF(H_Direct=1,IF(EI76&lt;=0,SI76,IF(SI76&lt;=(ZH76+ACU76)/EI76,SI76,(SI76-G76*(ZH76+ACU76))/(1-G76*EI76))),SI76/(1-MAX(0,EI76)*H_Exit)))</f>
        <v>0</v>
      </c>
      <c r="VW76" s="20" t="n">
        <v>0</v>
      </c>
      <c r="VX76" s="20" t="n">
        <v>0</v>
      </c>
      <c r="VY76" s="20" t="n">
        <v>0</v>
      </c>
      <c r="VZ76" s="20" t="n">
        <v>0</v>
      </c>
      <c r="WA76" s="20" t="n">
        <v>0</v>
      </c>
      <c r="WB76" s="20" t="n">
        <v>0</v>
      </c>
      <c r="WC76" s="20" t="n">
        <v>0</v>
      </c>
      <c r="WD76" s="20" t="n">
        <v>0</v>
      </c>
      <c r="WE76" s="20" t="n">
        <v>0</v>
      </c>
      <c r="WF76" s="20" t="n">
        <v>0</v>
      </c>
      <c r="WG76" s="20" t="n">
        <v>0</v>
      </c>
      <c r="WH76" s="20" t="n">
        <v>0</v>
      </c>
      <c r="WI76" s="20" t="n">
        <v>0</v>
      </c>
      <c r="WJ76" s="20" t="n">
        <v>0</v>
      </c>
      <c r="WK76" s="20" t="n">
        <v>0</v>
      </c>
      <c r="WL76" s="20" t="n">
        <v>0</v>
      </c>
      <c r="WM76" s="20" t="n">
        <v>0</v>
      </c>
      <c r="WN76" s="20" t="n">
        <v>0</v>
      </c>
      <c r="WO76" s="20" t="n">
        <v>0</v>
      </c>
      <c r="WP76" s="20" t="n">
        <v>0</v>
      </c>
      <c r="WQ76" s="20" t="n">
        <v>0</v>
      </c>
      <c r="WR76" s="20" t="n">
        <f aca="false">IF(AND(H_Direct=1,BR76&gt;0),MAX(0,H76-(MIN(BR76*TE76,(H76+I76))-MIN(MIN(BR76*TE76,(H76+I76)),I76))),H76)</f>
        <v>1270</v>
      </c>
      <c r="WS76" s="20" t="n">
        <f aca="false">IF(AND(H_Direct=1,BS76&gt;0),MAX(0,WR76-(MIN(BS76*TF76,(WR76+AAE76))-MIN(MIN(BS76*TF76,(WR76+AAE76)),AAE76))),WR76)</f>
        <v>1270</v>
      </c>
      <c r="WT76" s="20" t="n">
        <f aca="false">IF(AND(H_Direct=1,BT76&gt;0),MAX(0,WS76-(MIN(BT76*TG76,(WS76+AAF76))-MIN(MIN(BT76*TG76,(WS76+AAF76)),AAF76))),WS76)</f>
        <v>1270</v>
      </c>
      <c r="WU76" s="20" t="n">
        <f aca="false">IF(AND(H_Direct=1,BU76&gt;0),MAX(0,WT76-(MIN(BU76*TH76,(WT76+AAG76))-MIN(MIN(BU76*TH76,(WT76+AAG76)),AAG76))),WT76)</f>
        <v>1270</v>
      </c>
      <c r="WV76" s="20" t="n">
        <f aca="false">IF(AND(H_Direct=1,BV76&gt;0),MAX(0,WU76-(MIN(BV76*TI76,(WU76+AAH76))-MIN(MIN(BV76*TI76,(WU76+AAH76)),AAH76))),WU76)</f>
        <v>1270</v>
      </c>
      <c r="WW76" s="20" t="n">
        <f aca="false">IF(AND(H_Direct=1,BW76&gt;0),MAX(0,WV76-(MIN(BW76*TJ76,(WV76+AAI76))-MIN(MIN(BW76*TJ76,(WV76+AAI76)),AAI76))),WV76)</f>
        <v>1270</v>
      </c>
      <c r="WX76" s="20" t="n">
        <f aca="false">IF(AND(H_Direct=1,BX76&gt;0),MAX(0,WW76-(MIN(BX76*TK76,(WW76+AAJ76))-MIN(MIN(BX76*TK76,(WW76+AAJ76)),AAJ76))),WW76)</f>
        <v>1270</v>
      </c>
      <c r="WY76" s="20" t="n">
        <f aca="false">IF(AND(H_Direct=1,BY76&gt;0),MAX(0,WX76-(MIN(BY76*TL76,(WX76+AAK76))-MIN(MIN(BY76*TL76,(WX76+AAK76)),AAK76))),WX76)</f>
        <v>1270</v>
      </c>
      <c r="WZ76" s="20" t="n">
        <f aca="false">IF(AND(H_Direct=1,BZ76&gt;0),MAX(0,WY76-(MIN(BZ76*TM76,(WY76+AAL76))-MIN(MIN(BZ76*TM76,(WY76+AAL76)),AAL76))),WY76)</f>
        <v>1270</v>
      </c>
      <c r="XA76" s="20" t="n">
        <f aca="false">IF(AND(H_Direct=1,CA76&gt;0),MAX(0,WZ76-(MIN(CA76*TN76,(WZ76+AAM76))-MIN(MIN(CA76*TN76,(WZ76+AAM76)),AAM76))),WZ76)</f>
        <v>1270</v>
      </c>
      <c r="XB76" s="20" t="n">
        <f aca="false">IF(AND(H_Direct=1,CB76&gt;0),MAX(0,XA76-(MIN(CB76*TO76,(XA76+AAN76))-MIN(MIN(CB76*TO76,(XA76+AAN76)),AAN76))),XA76)</f>
        <v>1270</v>
      </c>
      <c r="XC76" s="20" t="n">
        <f aca="false">IF(AND(H_Direct=1,CC76&gt;0),MAX(0,XB76-(MIN(CC76*TP76,(XB76+AAO76))-MIN(MIN(CC76*TP76,(XB76+AAO76)),AAO76))),XB76)</f>
        <v>1270</v>
      </c>
      <c r="XD76" s="20" t="n">
        <f aca="false">IF(AND(H_Direct=1,CD76&gt;0),MAX(0,XC76-(MIN(CD76*TQ76,(XC76+AAP76))-MIN(MIN(CD76*TQ76,(XC76+AAP76)),AAP76))),XC76)</f>
        <v>1270</v>
      </c>
      <c r="XE76" s="20" t="n">
        <f aca="false">IF(AND(H_Direct=1,CE76&gt;0),MAX(0,XD76-(MIN(CE76*TR76,(XD76+AAQ76))-MIN(MIN(CE76*TR76,(XD76+AAQ76)),AAQ76))),XD76)</f>
        <v>1270</v>
      </c>
      <c r="XF76" s="20" t="n">
        <f aca="false">IF(AND(H_Direct=1,CF76&gt;0),MAX(0,XE76-(MIN(CF76*TS76,(XE76+AAR76))-MIN(MIN(CF76*TS76,(XE76+AAR76)),AAR76))),XE76)</f>
        <v>1270</v>
      </c>
      <c r="XG76" s="20" t="n">
        <f aca="false">IF(AND(H_Direct=1,CG76&gt;0),MAX(0,XF76-(MIN(CG76*TT76,(XF76+AAS76))-MIN(MIN(CG76*TT76,(XF76+AAS76)),AAS76))),XF76)</f>
        <v>1270</v>
      </c>
      <c r="XH76" s="20" t="n">
        <f aca="false">IF(AND(H_Direct=1,CH76&gt;0),MAX(0,XG76-(MIN(CH76*TU76,(XG76+AAT76))-MIN(MIN(CH76*TU76,(XG76+AAT76)),AAT76))),XG76)</f>
        <v>1270</v>
      </c>
      <c r="XI76" s="20" t="n">
        <f aca="false">IF(AND(H_Direct=1,CI76&gt;0),MAX(0,XH76-(MIN(CI76*TV76,(XH76+AAU76))-MIN(MIN(CI76*TV76,(XH76+AAU76)),AAU76))),XH76)</f>
        <v>1270</v>
      </c>
      <c r="XJ76" s="20" t="n">
        <f aca="false">IF(AND(H_Direct=1,CJ76&gt;0),MAX(0,XI76-(MIN(CJ76*TW76,(XI76+AAV76))-MIN(MIN(CJ76*TW76,(XI76+AAV76)),AAV76))),XI76)</f>
        <v>1270</v>
      </c>
      <c r="XK76" s="20" t="n">
        <f aca="false">IF(AND(H_Direct=1,CK76&gt;0),MAX(0,XJ76-(MIN(CK76*TX76,(XJ76+AAW76))-MIN(MIN(CK76*TX76,(XJ76+AAW76)),AAW76))),XJ76)</f>
        <v>1270</v>
      </c>
      <c r="XL76" s="20" t="n">
        <f aca="false">IF(AND(H_Direct=1,CL76&gt;0),MAX(0,XK76-(MIN(CL76*TY76,(XK76+AAX76))-MIN(MIN(CL76*TY76,(XK76+AAX76)),AAX76))),XK76)</f>
        <v>1270</v>
      </c>
      <c r="XM76" s="20" t="n">
        <f aca="false">IF(AND(H_Direct=1,CM76&gt;0),MAX(0,XL76-(MIN(CM76*TZ76,(XL76+AAY76))-MIN(MIN(CM76*TZ76,(XL76+AAY76)),AAY76))),XL76)</f>
        <v>1270</v>
      </c>
      <c r="XN76" s="20" t="n">
        <f aca="false">IF(AND(H_Direct=1,CN76&gt;0),MAX(0,XM76-(MIN(CN76*UA76,(XM76+AAZ76))-MIN(MIN(CN76*UA76,(XM76+AAZ76)),AAZ76))),XM76)</f>
        <v>1270</v>
      </c>
      <c r="XO76" s="20" t="n">
        <f aca="false">IF(AND(H_Direct=1,CO76&gt;0),MAX(0,XN76-(MIN(CO76*UB76,(XN76+ABA76))-MIN(MIN(CO76*UB76,(XN76+ABA76)),ABA76))),XN76)</f>
        <v>1270</v>
      </c>
      <c r="XP76" s="20" t="n">
        <f aca="false">IF(AND(H_Direct=1,CP76&gt;0),MAX(0,XO76-(MIN(CP76*UC76,(XO76+ABB76))-MIN(MIN(CP76*UC76,(XO76+ABB76)),ABB76))),XO76)</f>
        <v>1270</v>
      </c>
      <c r="XQ76" s="20" t="n">
        <f aca="false">IF(AND(H_Direct=1,CQ76&gt;0),MAX(0,XP76-(MIN(CQ76*UD76,(XP76+ABC76))-MIN(MIN(CQ76*UD76,(XP76+ABC76)),ABC76))),XP76)</f>
        <v>1270</v>
      </c>
      <c r="XR76" s="20" t="n">
        <f aca="false">IF(AND(H_Direct=1,CR76&gt;0),MAX(0,XQ76-(MIN(CR76*UE76,(XQ76+ABD76))-MIN(MIN(CR76*UE76,(XQ76+ABD76)),ABD76))),XQ76)</f>
        <v>1270</v>
      </c>
      <c r="XS76" s="20" t="n">
        <f aca="false">IF(AND(H_Direct=1,CS76&gt;0),MAX(0,XR76-(MIN(CS76*UF76,(XR76+ABE76))-MIN(MIN(CS76*UF76,(XR76+ABE76)),ABE76))),XR76)</f>
        <v>1270</v>
      </c>
      <c r="XT76" s="20" t="n">
        <f aca="false">IF(AND(H_Direct=1,CT76&gt;0),MAX(0,XS76-(MIN(CT76*UG76,(XS76+ABF76))-MIN(MIN(CT76*UG76,(XS76+ABF76)),ABF76))),XS76)</f>
        <v>1270</v>
      </c>
      <c r="XU76" s="20" t="n">
        <f aca="false">IF(AND(H_Direct=1,CU76&gt;0),MAX(0,XT76-(MIN(CU76*UH76,(XT76+ABG76))-MIN(MIN(CU76*UH76,(XT76+ABG76)),ABG76))),XT76)</f>
        <v>1270</v>
      </c>
      <c r="XV76" s="20" t="n">
        <f aca="false">IF(AND(H_Direct=1,CV76&gt;0),MAX(0,XU76-(MIN(CV76*UI76,(XU76+ABH76))-MIN(MIN(CV76*UI76,(XU76+ABH76)),ABH76))),XU76)</f>
        <v>1270</v>
      </c>
      <c r="XW76" s="20" t="n">
        <f aca="false">IF(AND(H_Direct=1,CW76&gt;0),MAX(0,XV76-(MIN(CW76*UJ76,(XV76+ABI76))-MIN(MIN(CW76*UJ76,(XV76+ABI76)),ABI76))),XV76)</f>
        <v>1270</v>
      </c>
      <c r="XX76" s="20" t="n">
        <f aca="false">IF(AND(H_Direct=1,CX76&gt;0),MAX(0,XW76-(MIN(CX76*UK76,(XW76+ABJ76))-MIN(MIN(CX76*UK76,(XW76+ABJ76)),ABJ76))),XW76)</f>
        <v>1270</v>
      </c>
      <c r="XY76" s="20" t="n">
        <f aca="false">IF(AND(H_Direct=1,CY76&gt;0),MAX(0,XX76-(MIN(CY76*UL76,(XX76+ABK76))-MIN(MIN(CY76*UL76,(XX76+ABK76)),ABK76))),XX76)</f>
        <v>1270</v>
      </c>
      <c r="XZ76" s="20" t="n">
        <f aca="false">IF(AND(H_Direct=1,CZ76&gt;0),MAX(0,XY76-(MIN(CZ76*UM76,(XY76+ABL76))-MIN(MIN(CZ76*UM76,(XY76+ABL76)),ABL76))),XY76)</f>
        <v>1270</v>
      </c>
      <c r="YA76" s="20" t="n">
        <f aca="false">IF(AND(H_Direct=1,DA76&gt;0),MAX(0,XZ76-(MIN(DA76*UN76,(XZ76+ABM76))-MIN(MIN(DA76*UN76,(XZ76+ABM76)),ABM76))),XZ76)</f>
        <v>1270</v>
      </c>
      <c r="YB76" s="20" t="n">
        <f aca="false">IF(AND(H_Direct=1,DB76&gt;0),MAX(0,YA76-(MIN(DB76*UO76,(YA76+ABN76))-MIN(MIN(DB76*UO76,(YA76+ABN76)),ABN76))),YA76)</f>
        <v>1270</v>
      </c>
      <c r="YC76" s="20" t="n">
        <f aca="false">IF(AND(H_Direct=1,DC76&gt;0),MAX(0,YB76-(MIN(DC76*UP76,(YB76+ABO76))-MIN(MIN(DC76*UP76,(YB76+ABO76)),ABO76))),YB76)</f>
        <v>1270</v>
      </c>
      <c r="YD76" s="20" t="n">
        <f aca="false">IF(AND(H_Direct=1,DD76&gt;0),MAX(0,YC76-(MIN(DD76*UQ76,(YC76+ABP76))-MIN(MIN(DD76*UQ76,(YC76+ABP76)),ABP76))),YC76)</f>
        <v>1270</v>
      </c>
      <c r="YE76" s="20" t="n">
        <f aca="false">IF(AND(H_Direct=1,DE76&gt;0),MAX(0,YD76-(MIN(DE76*UR76,(YD76+ABQ76))-MIN(MIN(DE76*UR76,(YD76+ABQ76)),ABQ76))),YD76)</f>
        <v>1270</v>
      </c>
      <c r="YF76" s="20" t="n">
        <f aca="false">IF(AND(H_Direct=1,DF76&gt;0),MAX(0,YE76-(MIN(DF76*US76,(YE76+ABR76))-MIN(MIN(DF76*US76,(YE76+ABR76)),ABR76))),YE76)</f>
        <v>1270</v>
      </c>
      <c r="YG76" s="20" t="n">
        <f aca="false">IF(AND(H_Direct=1,DG76&gt;0),MAX(0,YF76-(MIN(DG76*UT76,(YF76+ABS76))-MIN(MIN(DG76*UT76,(YF76+ABS76)),ABS76))),YF76)</f>
        <v>1270</v>
      </c>
      <c r="YH76" s="20" t="n">
        <f aca="false">IF(AND(H_Direct=1,DH76&gt;0),MAX(0,YG76-(MIN(DH76*UU76,(YG76+ABT76))-MIN(MIN(DH76*UU76,(YG76+ABT76)),ABT76))),YG76)</f>
        <v>1270</v>
      </c>
      <c r="YI76" s="20" t="n">
        <f aca="false">IF(AND(H_Direct=1,DI76&gt;0),MAX(0,YH76-(MIN(DI76*UV76,(YH76+ABU76))-MIN(MIN(DI76*UV76,(YH76+ABU76)),ABU76))),YH76)</f>
        <v>1270</v>
      </c>
      <c r="YJ76" s="20" t="n">
        <f aca="false">IF(AND(H_Direct=1,DJ76&gt;0),MAX(0,YI76-(MIN(DJ76*UW76,(YI76+ABV76))-MIN(MIN(DJ76*UW76,(YI76+ABV76)),ABV76))),YI76)</f>
        <v>1270</v>
      </c>
      <c r="YK76" s="20" t="n">
        <f aca="false">IF(AND(H_Direct=1,DK76&gt;0),MAX(0,YJ76-(MIN(DK76*UX76,(YJ76+ABW76))-MIN(MIN(DK76*UX76,(YJ76+ABW76)),ABW76))),YJ76)</f>
        <v>1270</v>
      </c>
      <c r="YL76" s="20" t="n">
        <f aca="false">IF(AND(H_Direct=1,DL76&gt;0),MAX(0,YK76-(MIN(DL76*UY76,(YK76+ABX76))-MIN(MIN(DL76*UY76,(YK76+ABX76)),ABX76))),YK76)</f>
        <v>1270</v>
      </c>
      <c r="YM76" s="20" t="n">
        <f aca="false">IF(AND(H_Direct=1,DM76&gt;0),MAX(0,YL76-(MIN(DM76*UZ76,(YL76+ABY76))-MIN(MIN(DM76*UZ76,(YL76+ABY76)),ABY76))),YL76)</f>
        <v>1270</v>
      </c>
      <c r="YN76" s="20" t="n">
        <f aca="false">IF(AND(H_Direct=1,DN76&gt;0),MAX(0,YM76-(MIN(DN76*VA76,(YM76+ABZ76))-MIN(MIN(DN76*VA76,(YM76+ABZ76)),ABZ76))),YM76)</f>
        <v>1270</v>
      </c>
      <c r="YO76" s="20" t="n">
        <f aca="false">IF(AND(H_Direct=1,DO76&gt;0),MAX(0,YN76-(MIN(DO76*VB76,(YN76+ACA76))-MIN(MIN(DO76*VB76,(YN76+ACA76)),ACA76))),YN76)</f>
        <v>1270</v>
      </c>
      <c r="YP76" s="20" t="n">
        <f aca="false">IF(AND(H_Direct=1,DP76&gt;0),MAX(0,YO76-(MIN(DP76*VC76,(YO76+ACB76))-MIN(MIN(DP76*VC76,(YO76+ACB76)),ACB76))),YO76)</f>
        <v>1270</v>
      </c>
      <c r="YQ76" s="20" t="n">
        <f aca="false">IF(AND(H_Direct=1,DQ76&gt;0),MAX(0,YP76-(MIN(DQ76*VD76,(YP76+ACC76))-MIN(MIN(DQ76*VD76,(YP76+ACC76)),ACC76))),YP76)</f>
        <v>1270</v>
      </c>
      <c r="YR76" s="20" t="n">
        <f aca="false">IF(AND(H_Direct=1,DR76&gt;0),MAX(0,YQ76-(MIN(DR76*VE76,(YQ76+ACD76))-MIN(MIN(DR76*VE76,(YQ76+ACD76)),ACD76))),YQ76)</f>
        <v>1270</v>
      </c>
      <c r="YS76" s="20" t="n">
        <f aca="false">IF(AND(H_Direct=1,DS76&gt;0),MAX(0,YR76-(MIN(DS76*VF76,(YR76+ACE76))-MIN(MIN(DS76*VF76,(YR76+ACE76)),ACE76))),YR76)</f>
        <v>1270</v>
      </c>
      <c r="YT76" s="20" t="n">
        <f aca="false">IF(AND(H_Direct=1,DT76&gt;0),MAX(0,YS76-(MIN(DT76*VG76,(YS76+ACF76))-MIN(MIN(DT76*VG76,(YS76+ACF76)),ACF76))),YS76)</f>
        <v>1270</v>
      </c>
      <c r="YU76" s="20" t="n">
        <f aca="false">IF(AND(H_Direct=1,DU76&gt;0),MAX(0,YT76-(MIN(DU76*VH76,(YT76+ACG76))-MIN(MIN(DU76*VH76,(YT76+ACG76)),ACG76))),YT76)</f>
        <v>1270</v>
      </c>
      <c r="YV76" s="20" t="n">
        <f aca="false">IF(AND(H_Direct=1,DV76&gt;0),MAX(0,YU76-(MIN(DV76*VI76,(YU76+ACH76))-MIN(MIN(DV76*VI76,(YU76+ACH76)),ACH76))),YU76)</f>
        <v>1270</v>
      </c>
      <c r="YW76" s="20" t="n">
        <f aca="false">IF(AND(H_Direct=1,DW76&gt;0),MAX(0,YV76-(MIN(DW76*VJ76,(YV76+ACI76))-MIN(MIN(DW76*VJ76,(YV76+ACI76)),ACI76))),YV76)</f>
        <v>1270</v>
      </c>
      <c r="YX76" s="20" t="n">
        <f aca="false">IF(AND(H_Direct=1,DX76&gt;0),MAX(0,YW76-(MIN(DX76*VK76,(YW76+ACJ76))-MIN(MIN(DX76*VK76,(YW76+ACJ76)),ACJ76))),YW76)</f>
        <v>1270</v>
      </c>
      <c r="YY76" s="20" t="n">
        <f aca="false">IF(AND(H_Direct=1,DY76&gt;0),MAX(0,YX76-(MIN(DY76*VL76,(YX76+ACK76))-MIN(MIN(DY76*VL76,(YX76+ACK76)),ACK76))),YX76)</f>
        <v>1270</v>
      </c>
      <c r="YZ76" s="20" t="n">
        <f aca="false">IF(AND(H_Direct=1,DZ76&gt;0),MAX(0,YY76-(MIN(DZ76*VM76,(YY76+ACL76))-MIN(MIN(DZ76*VM76,(YY76+ACL76)),ACL76))),YY76)</f>
        <v>1270</v>
      </c>
      <c r="ZA76" s="20" t="n">
        <f aca="false">IF(AND(H_Direct=1,EA76&gt;0),MAX(0,YZ76-(MIN(EA76*VN76,(YZ76+ACM76))-MIN(MIN(EA76*VN76,(YZ76+ACM76)),ACM76))),YZ76)</f>
        <v>1270</v>
      </c>
      <c r="ZB76" s="20" t="n">
        <f aca="false">IF(AND(H_Direct=1,EB76&gt;0),MAX(0,ZA76-(MIN(EB76*VO76,(ZA76+ACN76))-MIN(MIN(EB76*VO76,(ZA76+ACN76)),ACN76))),ZA76)</f>
        <v>1270</v>
      </c>
      <c r="ZC76" s="20" t="n">
        <f aca="false">IF(AND(H_Direct=1,EC76&gt;0),MAX(0,ZB76-(MIN(EC76*VP76,(ZB76+ACO76))-MIN(MIN(EC76*VP76,(ZB76+ACO76)),ACO76))),ZB76)</f>
        <v>1270</v>
      </c>
      <c r="ZD76" s="20" t="n">
        <f aca="false">IF(AND(H_Direct=1,ED76&gt;0),MAX(0,ZC76-(MIN(ED76*VQ76,(ZC76+ACP76))-MIN(MIN(ED76*VQ76,(ZC76+ACP76)),ACP76))),ZC76)</f>
        <v>1270</v>
      </c>
      <c r="ZE76" s="20" t="n">
        <f aca="false">IF(AND(H_Direct=1,EE76&gt;0),MAX(0,ZD76-(MIN(EE76*VR76,(ZD76+ACQ76))-MIN(MIN(EE76*VR76,(ZD76+ACQ76)),ACQ76))),ZD76)</f>
        <v>1270</v>
      </c>
      <c r="ZF76" s="20" t="n">
        <f aca="false">IF(AND(H_Direct=1,EF76&gt;0),MAX(0,ZE76-(MIN(EF76*VS76,(ZE76+ACR76))-MIN(MIN(EF76*VS76,(ZE76+ACR76)),ACR76))),ZE76)</f>
        <v>1270</v>
      </c>
      <c r="ZG76" s="20" t="n">
        <f aca="false">IF(AND(H_Direct=1,EG76&gt;0),MAX(0,ZF76-(MIN(EG76*VT76,(ZF76+ACS76))-MIN(MIN(EG76*VT76,(ZF76+ACS76)),ACS76))),ZF76)</f>
        <v>1270</v>
      </c>
      <c r="ZH76" s="20" t="n">
        <f aca="false">IF(AND(H_Direct=1,EH76&gt;0),MAX(0,ZG76-(MIN(EH76*VU76,(ZG76+ACT76))-MIN(MIN(EH76*VU76,(ZG76+ACT76)),ACT76))),ZG76)</f>
        <v>1270</v>
      </c>
      <c r="ZI76" s="20" t="n">
        <f aca="false">IF(AND(H_Direct=1,EI76&gt;0),MAX(0,ZH76-(MIN(EI76*VV76,(ZH76+ACU76))-MIN(MIN(EI76*VV76,(ZH76+ACU76)),ACU76))),ZH76)</f>
        <v>1270</v>
      </c>
      <c r="ZJ76" s="20" t="n">
        <f aca="false">ZI76</f>
        <v>1270</v>
      </c>
      <c r="ZK76" s="20" t="n">
        <f aca="false">ZJ76</f>
        <v>1270</v>
      </c>
      <c r="ZL76" s="20" t="n">
        <f aca="false">ZK76</f>
        <v>1270</v>
      </c>
      <c r="ZM76" s="20" t="n">
        <f aca="false">ZL76</f>
        <v>1270</v>
      </c>
      <c r="ZN76" s="20" t="n">
        <f aca="false">ZM76</f>
        <v>1270</v>
      </c>
      <c r="ZO76" s="20" t="n">
        <f aca="false">ZN76</f>
        <v>1270</v>
      </c>
      <c r="ZP76" s="20" t="n">
        <f aca="false">ZO76</f>
        <v>1270</v>
      </c>
      <c r="ZQ76" s="20" t="n">
        <f aca="false">ZP76</f>
        <v>1270</v>
      </c>
      <c r="ZR76" s="20" t="n">
        <f aca="false">ZQ76</f>
        <v>1270</v>
      </c>
      <c r="ZS76" s="20" t="n">
        <f aca="false">ZR76</f>
        <v>1270</v>
      </c>
      <c r="ZT76" s="20" t="n">
        <f aca="false">ZS76</f>
        <v>1270</v>
      </c>
      <c r="ZU76" s="20" t="n">
        <f aca="false">ZT76</f>
        <v>1270</v>
      </c>
      <c r="ZV76" s="20" t="n">
        <f aca="false">ZU76</f>
        <v>1270</v>
      </c>
      <c r="ZW76" s="20" t="n">
        <f aca="false">ZV76</f>
        <v>1270</v>
      </c>
      <c r="ZX76" s="20" t="n">
        <f aca="false">ZW76</f>
        <v>1270</v>
      </c>
      <c r="ZY76" s="20" t="n">
        <f aca="false">ZX76</f>
        <v>1270</v>
      </c>
      <c r="ZZ76" s="20" t="n">
        <f aca="false">ZY76</f>
        <v>1270</v>
      </c>
      <c r="AAA76" s="20" t="n">
        <f aca="false">ZZ76</f>
        <v>1270</v>
      </c>
      <c r="AAB76" s="20" t="n">
        <f aca="false">AAA76</f>
        <v>1270</v>
      </c>
      <c r="AAC76" s="20" t="n">
        <f aca="false">AAB76</f>
        <v>1270</v>
      </c>
      <c r="AAD76" s="20" t="n">
        <f aca="false">AAC76</f>
        <v>1270</v>
      </c>
      <c r="AAE76" s="20" t="n">
        <f aca="false">IF(H_Direct=1,IF(BR76&lt;=0,I76-BR76*TE76,I76-MIN(MIN(BR76*TE76,(H76+I76)),I76)),I76)</f>
        <v>0</v>
      </c>
      <c r="AAF76" s="20" t="n">
        <f aca="false">IF(H_Direct=1,IF(BS76&lt;=0,AAE76-BS76*TF76,AAE76-MIN(MIN(BS76*TF76,(WR76+AAE76)),AAE76)),AAE76)</f>
        <v>0</v>
      </c>
      <c r="AAG76" s="20" t="n">
        <f aca="false">IF(H_Direct=1,IF(BT76&lt;=0,AAF76-BT76*TG76,AAF76-MIN(MIN(BT76*TG76,(WS76+AAF76)),AAF76)),AAF76)</f>
        <v>0</v>
      </c>
      <c r="AAH76" s="20" t="n">
        <f aca="false">IF(H_Direct=1,IF(BU76&lt;=0,AAG76-BU76*TH76,AAG76-MIN(MIN(BU76*TH76,(WT76+AAG76)),AAG76)),AAG76)</f>
        <v>0</v>
      </c>
      <c r="AAI76" s="20" t="n">
        <f aca="false">IF(H_Direct=1,IF(BV76&lt;=0,AAH76-BV76*TI76,AAH76-MIN(MIN(BV76*TI76,(WU76+AAH76)),AAH76)),AAH76)</f>
        <v>0</v>
      </c>
      <c r="AAJ76" s="20" t="n">
        <f aca="false">IF(H_Direct=1,IF(BW76&lt;=0,AAI76-BW76*TJ76,AAI76-MIN(MIN(BW76*TJ76,(WV76+AAI76)),AAI76)),AAI76)</f>
        <v>0</v>
      </c>
      <c r="AAK76" s="20" t="n">
        <f aca="false">IF(H_Direct=1,IF(BX76&lt;=0,AAJ76-BX76*TK76,AAJ76-MIN(MIN(BX76*TK76,(WW76+AAJ76)),AAJ76)),AAJ76)</f>
        <v>0</v>
      </c>
      <c r="AAL76" s="20" t="n">
        <f aca="false">IF(H_Direct=1,IF(BY76&lt;=0,AAK76-BY76*TL76,AAK76-MIN(MIN(BY76*TL76,(WX76+AAK76)),AAK76)),AAK76)</f>
        <v>0</v>
      </c>
      <c r="AAM76" s="20" t="n">
        <f aca="false">IF(H_Direct=1,IF(BZ76&lt;=0,AAL76-BZ76*TM76,AAL76-MIN(MIN(BZ76*TM76,(WY76+AAL76)),AAL76)),AAL76)</f>
        <v>0</v>
      </c>
      <c r="AAN76" s="20" t="n">
        <f aca="false">IF(H_Direct=1,IF(CA76&lt;=0,AAM76-CA76*TN76,AAM76-MIN(MIN(CA76*TN76,(WZ76+AAM76)),AAM76)),AAM76)</f>
        <v>0</v>
      </c>
      <c r="AAO76" s="20" t="n">
        <f aca="false">IF(H_Direct=1,IF(CB76&lt;=0,AAN76-CB76*TO76,AAN76-MIN(MIN(CB76*TO76,(XA76+AAN76)),AAN76)),AAN76)</f>
        <v>0</v>
      </c>
      <c r="AAP76" s="20" t="n">
        <f aca="false">IF(H_Direct=1,IF(CC76&lt;=0,AAO76-CC76*TP76,AAO76-MIN(MIN(CC76*TP76,(XB76+AAO76)),AAO76)),AAO76)</f>
        <v>0</v>
      </c>
      <c r="AAQ76" s="20" t="n">
        <f aca="false">IF(H_Direct=1,IF(CD76&lt;=0,AAP76-CD76*TQ76,AAP76-MIN(MIN(CD76*TQ76,(XC76+AAP76)),AAP76)),AAP76)</f>
        <v>0</v>
      </c>
      <c r="AAR76" s="20" t="n">
        <f aca="false">IF(H_Direct=1,IF(CE76&lt;=0,AAQ76-CE76*TR76,AAQ76-MIN(MIN(CE76*TR76,(XD76+AAQ76)),AAQ76)),AAQ76)</f>
        <v>0</v>
      </c>
      <c r="AAS76" s="20" t="n">
        <f aca="false">IF(H_Direct=1,IF(CF76&lt;=0,AAR76-CF76*TS76,AAR76-MIN(MIN(CF76*TS76,(XE76+AAR76)),AAR76)),AAR76)</f>
        <v>0</v>
      </c>
      <c r="AAT76" s="20" t="n">
        <f aca="false">IF(H_Direct=1,IF(CG76&lt;=0,AAS76-CG76*TT76,AAS76-MIN(MIN(CG76*TT76,(XF76+AAS76)),AAS76)),AAS76)</f>
        <v>0</v>
      </c>
      <c r="AAU76" s="20" t="n">
        <f aca="false">IF(H_Direct=1,IF(CH76&lt;=0,AAT76-CH76*TU76,AAT76-MIN(MIN(CH76*TU76,(XG76+AAT76)),AAT76)),AAT76)</f>
        <v>0</v>
      </c>
      <c r="AAV76" s="20" t="n">
        <f aca="false">IF(H_Direct=1,IF(CI76&lt;=0,AAU76-CI76*TV76,AAU76-MIN(MIN(CI76*TV76,(XH76+AAU76)),AAU76)),AAU76)</f>
        <v>0</v>
      </c>
      <c r="AAW76" s="20" t="n">
        <f aca="false">IF(H_Direct=1,IF(CJ76&lt;=0,AAV76-CJ76*TW76,AAV76-MIN(MIN(CJ76*TW76,(XI76+AAV76)),AAV76)),AAV76)</f>
        <v>0</v>
      </c>
      <c r="AAX76" s="20" t="n">
        <f aca="false">IF(H_Direct=1,IF(CK76&lt;=0,AAW76-CK76*TX76,AAW76-MIN(MIN(CK76*TX76,(XJ76+AAW76)),AAW76)),AAW76)</f>
        <v>0</v>
      </c>
      <c r="AAY76" s="20" t="n">
        <f aca="false">IF(H_Direct=1,IF(CL76&lt;=0,AAX76-CL76*TY76,AAX76-MIN(MIN(CL76*TY76,(XK76+AAX76)),AAX76)),AAX76)</f>
        <v>0</v>
      </c>
      <c r="AAZ76" s="20" t="n">
        <f aca="false">IF(H_Direct=1,IF(CM76&lt;=0,AAY76-CM76*TZ76,AAY76-MIN(MIN(CM76*TZ76,(XL76+AAY76)),AAY76)),AAY76)</f>
        <v>0</v>
      </c>
      <c r="ABA76" s="20" t="n">
        <f aca="false">IF(H_Direct=1,IF(CN76&lt;=0,AAZ76-CN76*UA76,AAZ76-MIN(MIN(CN76*UA76,(XM76+AAZ76)),AAZ76)),AAZ76)</f>
        <v>0</v>
      </c>
      <c r="ABB76" s="20" t="n">
        <f aca="false">IF(H_Direct=1,IF(CO76&lt;=0,ABA76-CO76*UB76,ABA76-MIN(MIN(CO76*UB76,(XN76+ABA76)),ABA76)),ABA76)</f>
        <v>0</v>
      </c>
      <c r="ABC76" s="20" t="n">
        <f aca="false">IF(H_Direct=1,IF(CP76&lt;=0,ABB76-CP76*UC76,ABB76-MIN(MIN(CP76*UC76,(XO76+ABB76)),ABB76)),ABB76)</f>
        <v>0</v>
      </c>
      <c r="ABD76" s="20" t="n">
        <f aca="false">IF(H_Direct=1,IF(CQ76&lt;=0,ABC76-CQ76*UD76,ABC76-MIN(MIN(CQ76*UD76,(XP76+ABC76)),ABC76)),ABC76)</f>
        <v>0</v>
      </c>
      <c r="ABE76" s="20" t="n">
        <f aca="false">IF(H_Direct=1,IF(CR76&lt;=0,ABD76-CR76*UE76,ABD76-MIN(MIN(CR76*UE76,(XQ76+ABD76)),ABD76)),ABD76)</f>
        <v>0</v>
      </c>
      <c r="ABF76" s="20" t="n">
        <f aca="false">IF(H_Direct=1,IF(CS76&lt;=0,ABE76-CS76*UF76,ABE76-MIN(MIN(CS76*UF76,(XR76+ABE76)),ABE76)),ABE76)</f>
        <v>0</v>
      </c>
      <c r="ABG76" s="20" t="n">
        <f aca="false">IF(H_Direct=1,IF(CT76&lt;=0,ABF76-CT76*UG76,ABF76-MIN(MIN(CT76*UG76,(XS76+ABF76)),ABF76)),ABF76)</f>
        <v>0</v>
      </c>
      <c r="ABH76" s="20" t="n">
        <f aca="false">IF(H_Direct=1,IF(CU76&lt;=0,ABG76-CU76*UH76,ABG76-MIN(MIN(CU76*UH76,(XT76+ABG76)),ABG76)),ABG76)</f>
        <v>0</v>
      </c>
      <c r="ABI76" s="20" t="n">
        <f aca="false">IF(H_Direct=1,IF(CV76&lt;=0,ABH76-CV76*UI76,ABH76-MIN(MIN(CV76*UI76,(XU76+ABH76)),ABH76)),ABH76)</f>
        <v>0</v>
      </c>
      <c r="ABJ76" s="20" t="n">
        <f aca="false">IF(H_Direct=1,IF(CW76&lt;=0,ABI76-CW76*UJ76,ABI76-MIN(MIN(CW76*UJ76,(XV76+ABI76)),ABI76)),ABI76)</f>
        <v>0</v>
      </c>
      <c r="ABK76" s="20" t="n">
        <f aca="false">IF(H_Direct=1,IF(CX76&lt;=0,ABJ76-CX76*UK76,ABJ76-MIN(MIN(CX76*UK76,(XW76+ABJ76)),ABJ76)),ABJ76)</f>
        <v>0</v>
      </c>
      <c r="ABL76" s="20" t="n">
        <f aca="false">IF(H_Direct=1,IF(CY76&lt;=0,ABK76-CY76*UL76,ABK76-MIN(MIN(CY76*UL76,(XX76+ABK76)),ABK76)),ABK76)</f>
        <v>0</v>
      </c>
      <c r="ABM76" s="20" t="n">
        <f aca="false">IF(H_Direct=1,IF(CZ76&lt;=0,ABL76-CZ76*UM76,ABL76-MIN(MIN(CZ76*UM76,(XY76+ABL76)),ABL76)),ABL76)</f>
        <v>0</v>
      </c>
      <c r="ABN76" s="20" t="n">
        <f aca="false">IF(H_Direct=1,IF(DA76&lt;=0,ABM76-DA76*UN76,ABM76-MIN(MIN(DA76*UN76,(XZ76+ABM76)),ABM76)),ABM76)</f>
        <v>0</v>
      </c>
      <c r="ABO76" s="20" t="n">
        <f aca="false">IF(H_Direct=1,IF(DB76&lt;=0,ABN76-DB76*UO76,ABN76-MIN(MIN(DB76*UO76,(YA76+ABN76)),ABN76)),ABN76)</f>
        <v>0</v>
      </c>
      <c r="ABP76" s="20" t="n">
        <f aca="false">IF(H_Direct=1,IF(DC76&lt;=0,ABO76-DC76*UP76,ABO76-MIN(MIN(DC76*UP76,(YB76+ABO76)),ABO76)),ABO76)</f>
        <v>0</v>
      </c>
      <c r="ABQ76" s="20" t="n">
        <f aca="false">IF(H_Direct=1,IF(DD76&lt;=0,ABP76-DD76*UQ76,ABP76-MIN(MIN(DD76*UQ76,(YC76+ABP76)),ABP76)),ABP76)</f>
        <v>0</v>
      </c>
      <c r="ABR76" s="20" t="n">
        <f aca="false">IF(H_Direct=1,IF(DE76&lt;=0,ABQ76-DE76*UR76,ABQ76-MIN(MIN(DE76*UR76,(YD76+ABQ76)),ABQ76)),ABQ76)</f>
        <v>0</v>
      </c>
      <c r="ABS76" s="20" t="n">
        <f aca="false">IF(H_Direct=1,IF(DF76&lt;=0,ABR76-DF76*US76,ABR76-MIN(MIN(DF76*US76,(YE76+ABR76)),ABR76)),ABR76)</f>
        <v>0</v>
      </c>
      <c r="ABT76" s="20" t="n">
        <f aca="false">IF(H_Direct=1,IF(DG76&lt;=0,ABS76-DG76*UT76,ABS76-MIN(MIN(DG76*UT76,(YF76+ABS76)),ABS76)),ABS76)</f>
        <v>0</v>
      </c>
      <c r="ABU76" s="20" t="n">
        <f aca="false">IF(H_Direct=1,IF(DH76&lt;=0,ABT76-DH76*UU76,ABT76-MIN(MIN(DH76*UU76,(YG76+ABT76)),ABT76)),ABT76)</f>
        <v>0</v>
      </c>
      <c r="ABV76" s="20" t="n">
        <f aca="false">IF(H_Direct=1,IF(DI76&lt;=0,ABU76-DI76*UV76,ABU76-MIN(MIN(DI76*UV76,(YH76+ABU76)),ABU76)),ABU76)</f>
        <v>0</v>
      </c>
      <c r="ABW76" s="20" t="n">
        <f aca="false">IF(H_Direct=1,IF(DJ76&lt;=0,ABV76-DJ76*UW76,ABV76-MIN(MIN(DJ76*UW76,(YI76+ABV76)),ABV76)),ABV76)</f>
        <v>0</v>
      </c>
      <c r="ABX76" s="20" t="n">
        <f aca="false">IF(H_Direct=1,IF(DK76&lt;=0,ABW76-DK76*UX76,ABW76-MIN(MIN(DK76*UX76,(YJ76+ABW76)),ABW76)),ABW76)</f>
        <v>0</v>
      </c>
      <c r="ABY76" s="20" t="n">
        <f aca="false">IF(H_Direct=1,IF(DL76&lt;=0,ABX76-DL76*UY76,ABX76-MIN(MIN(DL76*UY76,(YK76+ABX76)),ABX76)),ABX76)</f>
        <v>0</v>
      </c>
      <c r="ABZ76" s="20" t="n">
        <f aca="false">IF(H_Direct=1,IF(DM76&lt;=0,ABY76-DM76*UZ76,ABY76-MIN(MIN(DM76*UZ76,(YL76+ABY76)),ABY76)),ABY76)</f>
        <v>0</v>
      </c>
      <c r="ACA76" s="20" t="n">
        <f aca="false">IF(H_Direct=1,IF(DN76&lt;=0,ABZ76-DN76*VA76,ABZ76-MIN(MIN(DN76*VA76,(YM76+ABZ76)),ABZ76)),ABZ76)</f>
        <v>0</v>
      </c>
      <c r="ACB76" s="20" t="n">
        <f aca="false">IF(H_Direct=1,IF(DO76&lt;=0,ACA76-DO76*VB76,ACA76-MIN(MIN(DO76*VB76,(YN76+ACA76)),ACA76)),ACA76)</f>
        <v>0</v>
      </c>
      <c r="ACC76" s="20" t="n">
        <f aca="false">IF(H_Direct=1,IF(DP76&lt;=0,ACB76-DP76*VC76,ACB76-MIN(MIN(DP76*VC76,(YO76+ACB76)),ACB76)),ACB76)</f>
        <v>0</v>
      </c>
      <c r="ACD76" s="20" t="n">
        <f aca="false">IF(H_Direct=1,IF(DQ76&lt;=0,ACC76-DQ76*VD76,ACC76-MIN(MIN(DQ76*VD76,(YP76+ACC76)),ACC76)),ACC76)</f>
        <v>0</v>
      </c>
      <c r="ACE76" s="20" t="n">
        <f aca="false">IF(H_Direct=1,IF(DR76&lt;=0,ACD76-DR76*VE76,ACD76-MIN(MIN(DR76*VE76,(YQ76+ACD76)),ACD76)),ACD76)</f>
        <v>0</v>
      </c>
      <c r="ACF76" s="20" t="n">
        <f aca="false">IF(H_Direct=1,IF(DS76&lt;=0,ACE76-DS76*VF76,ACE76-MIN(MIN(DS76*VF76,(YR76+ACE76)),ACE76)),ACE76)</f>
        <v>0</v>
      </c>
      <c r="ACG76" s="20" t="n">
        <f aca="false">IF(H_Direct=1,IF(DT76&lt;=0,ACF76-DT76*VG76,ACF76-MIN(MIN(DT76*VG76,(YS76+ACF76)),ACF76)),ACF76)</f>
        <v>0</v>
      </c>
      <c r="ACH76" s="20" t="n">
        <f aca="false">IF(H_Direct=1,IF(DU76&lt;=0,ACG76-DU76*VH76,ACG76-MIN(MIN(DU76*VH76,(YT76+ACG76)),ACG76)),ACG76)</f>
        <v>0</v>
      </c>
      <c r="ACI76" s="20" t="n">
        <f aca="false">IF(H_Direct=1,IF(DV76&lt;=0,ACH76-DV76*VI76,ACH76-MIN(MIN(DV76*VI76,(YU76+ACH76)),ACH76)),ACH76)</f>
        <v>0</v>
      </c>
      <c r="ACJ76" s="20" t="n">
        <f aca="false">IF(H_Direct=1,IF(DW76&lt;=0,ACI76-DW76*VJ76,ACI76-MIN(MIN(DW76*VJ76,(YV76+ACI76)),ACI76)),ACI76)</f>
        <v>0</v>
      </c>
      <c r="ACK76" s="20" t="n">
        <f aca="false">IF(H_Direct=1,IF(DX76&lt;=0,ACJ76-DX76*VK76,ACJ76-MIN(MIN(DX76*VK76,(YW76+ACJ76)),ACJ76)),ACJ76)</f>
        <v>0</v>
      </c>
      <c r="ACL76" s="20" t="n">
        <f aca="false">IF(H_Direct=1,IF(DY76&lt;=0,ACK76-DY76*VL76,ACK76-MIN(MIN(DY76*VL76,(YX76+ACK76)),ACK76)),ACK76)</f>
        <v>0</v>
      </c>
      <c r="ACM76" s="20" t="n">
        <f aca="false">IF(H_Direct=1,IF(DZ76&lt;=0,ACL76-DZ76*VM76,ACL76-MIN(MIN(DZ76*VM76,(YY76+ACL76)),ACL76)),ACL76)</f>
        <v>0</v>
      </c>
      <c r="ACN76" s="20" t="n">
        <f aca="false">IF(H_Direct=1,IF(EA76&lt;=0,ACM76-EA76*VN76,ACM76-MIN(MIN(EA76*VN76,(YZ76+ACM76)),ACM76)),ACM76)</f>
        <v>0</v>
      </c>
      <c r="ACO76" s="20" t="n">
        <f aca="false">IF(H_Direct=1,IF(EB76&lt;=0,ACN76-EB76*VO76,ACN76-MIN(MIN(EB76*VO76,(ZA76+ACN76)),ACN76)),ACN76)</f>
        <v>0</v>
      </c>
      <c r="ACP76" s="20" t="n">
        <f aca="false">IF(H_Direct=1,IF(EC76&lt;=0,ACO76-EC76*VP76,ACO76-MIN(MIN(EC76*VP76,(ZB76+ACO76)),ACO76)),ACO76)</f>
        <v>0</v>
      </c>
      <c r="ACQ76" s="20" t="n">
        <f aca="false">IF(H_Direct=1,IF(ED76&lt;=0,ACP76-ED76*VQ76,ACP76-MIN(MIN(ED76*VQ76,(ZC76+ACP76)),ACP76)),ACP76)</f>
        <v>0</v>
      </c>
      <c r="ACR76" s="20" t="n">
        <f aca="false">IF(H_Direct=1,IF(EE76&lt;=0,ACQ76-EE76*VR76,ACQ76-MIN(MIN(EE76*VR76,(ZD76+ACQ76)),ACQ76)),ACQ76)</f>
        <v>0</v>
      </c>
      <c r="ACS76" s="20" t="n">
        <f aca="false">IF(H_Direct=1,IF(EF76&lt;=0,ACR76-EF76*VS76,ACR76-MIN(MIN(EF76*VS76,(ZE76+ACR76)),ACR76)),ACR76)</f>
        <v>0</v>
      </c>
      <c r="ACT76" s="20" t="n">
        <f aca="false">IF(H_Direct=1,IF(EG76&lt;=0,ACS76-EG76*VT76,ACS76-MIN(MIN(EG76*VT76,(ZF76+ACS76)),ACS76)),ACS76)</f>
        <v>0</v>
      </c>
      <c r="ACU76" s="20" t="n">
        <f aca="false">IF(H_Direct=1,IF(EH76&lt;=0,ACT76-EH76*VU76,ACT76-MIN(MIN(EH76*VU76,(ZG76+ACT76)),ACT76)),ACT76)</f>
        <v>0</v>
      </c>
      <c r="ACV76" s="20" t="n">
        <f aca="false">IF(H_Direct=1,IF(EI76&lt;=0,ACU76-EI76*VV76,ACU76-MIN(MIN(EI76*VV76,(ZH76+ACU76)),ACU76)),ACU76)</f>
        <v>0</v>
      </c>
      <c r="ACW76" s="20" t="n">
        <f aca="false">ACV76</f>
        <v>0</v>
      </c>
      <c r="ACX76" s="20" t="n">
        <f aca="false">ACW76</f>
        <v>0</v>
      </c>
      <c r="ACY76" s="20" t="n">
        <f aca="false">ACX76</f>
        <v>0</v>
      </c>
      <c r="ACZ76" s="20" t="n">
        <f aca="false">ACY76</f>
        <v>0</v>
      </c>
      <c r="ADA76" s="20" t="n">
        <f aca="false">ACZ76</f>
        <v>0</v>
      </c>
      <c r="ADB76" s="20" t="n">
        <f aca="false">ADA76</f>
        <v>0</v>
      </c>
      <c r="ADC76" s="20" t="n">
        <f aca="false">ADB76</f>
        <v>0</v>
      </c>
      <c r="ADD76" s="20" t="n">
        <f aca="false">ADC76</f>
        <v>0</v>
      </c>
      <c r="ADE76" s="20" t="n">
        <f aca="false">ADD76</f>
        <v>0</v>
      </c>
      <c r="ADF76" s="20" t="n">
        <f aca="false">ADE76</f>
        <v>0</v>
      </c>
      <c r="ADG76" s="20" t="n">
        <f aca="false">ADF76</f>
        <v>0</v>
      </c>
      <c r="ADH76" s="20" t="n">
        <f aca="false">ADG76</f>
        <v>0</v>
      </c>
      <c r="ADI76" s="20" t="n">
        <f aca="false">ADH76</f>
        <v>0</v>
      </c>
      <c r="ADJ76" s="20" t="n">
        <f aca="false">ADI76</f>
        <v>0</v>
      </c>
      <c r="ADK76" s="20" t="n">
        <f aca="false">ADJ76</f>
        <v>0</v>
      </c>
      <c r="ADL76" s="20" t="n">
        <f aca="false">ADK76</f>
        <v>0</v>
      </c>
      <c r="ADM76" s="20" t="n">
        <f aca="false">ADL76</f>
        <v>0</v>
      </c>
      <c r="ADN76" s="20" t="n">
        <f aca="false">ADM76</f>
        <v>0</v>
      </c>
      <c r="ADO76" s="20" t="n">
        <f aca="false">ADN76</f>
        <v>0</v>
      </c>
      <c r="ADP76" s="20" t="n">
        <f aca="false">ADO76</f>
        <v>0</v>
      </c>
      <c r="ADQ76" s="20" t="n">
        <f aca="false">ADP76</f>
        <v>0</v>
      </c>
      <c r="ADR76" s="20" t="n">
        <f aca="false">(AKR75-TE76+0)*(1+BQ76)</f>
        <v>0</v>
      </c>
      <c r="ADS76" s="20" t="n">
        <f aca="false">(AKS75-TF76+0)*(1+BQ76)</f>
        <v>0</v>
      </c>
      <c r="ADT76" s="20" t="n">
        <f aca="false">(AKT75-TG76+0)*(1+BQ76)</f>
        <v>0</v>
      </c>
      <c r="ADU76" s="20" t="n">
        <f aca="false">(AKU75-TH76+0)*(1+BQ76)</f>
        <v>0</v>
      </c>
      <c r="ADV76" s="20" t="n">
        <f aca="false">(AKV75-TI76+0)*(1+BQ76)</f>
        <v>0</v>
      </c>
      <c r="ADW76" s="20" t="n">
        <f aca="false">(AKW75-TJ76+0)*(1+BQ76)</f>
        <v>0</v>
      </c>
      <c r="ADX76" s="20" t="n">
        <f aca="false">(AKX75-TK76+0)*(1+BQ76)</f>
        <v>0</v>
      </c>
      <c r="ADY76" s="20" t="n">
        <f aca="false">(AKY75-TL76+0)*(1+BQ76)</f>
        <v>0</v>
      </c>
      <c r="ADZ76" s="20" t="n">
        <f aca="false">(AKZ75-TM76+0)*(1+BQ76)</f>
        <v>0</v>
      </c>
      <c r="AEA76" s="20" t="n">
        <f aca="false">(ALA75-TN76+0)*(1+BQ76)</f>
        <v>0</v>
      </c>
      <c r="AEB76" s="20" t="n">
        <f aca="false">(ALB75-TO76+0)*(1+BQ76)</f>
        <v>0</v>
      </c>
      <c r="AEC76" s="20" t="n">
        <f aca="false">(ALC75-TP76+0)*(1+BQ76)</f>
        <v>0</v>
      </c>
      <c r="AED76" s="20" t="n">
        <f aca="false">(ALD75-TQ76+0)*(1+BQ76)</f>
        <v>0</v>
      </c>
      <c r="AEE76" s="20" t="n">
        <f aca="false">(ALE75-TR76+0)*(1+BQ76)</f>
        <v>0</v>
      </c>
      <c r="AEF76" s="20" t="n">
        <f aca="false">(ALF75-TS76+0)*(1+BQ76)</f>
        <v>0</v>
      </c>
      <c r="AEG76" s="20" t="n">
        <f aca="false">(ALG75-TT76+0)*(1+BQ76)</f>
        <v>0</v>
      </c>
      <c r="AEH76" s="20" t="n">
        <f aca="false">(ALH75-TU76+0)*(1+BQ76)</f>
        <v>0</v>
      </c>
      <c r="AEI76" s="20" t="n">
        <f aca="false">(ALI75-TV76+0)*(1+BQ76)</f>
        <v>0</v>
      </c>
      <c r="AEJ76" s="20" t="n">
        <f aca="false">(ALJ75-TW76+0)*(1+BQ76)</f>
        <v>0</v>
      </c>
      <c r="AEK76" s="20" t="n">
        <f aca="false">(ALK75-TX76+0)*(1+BQ76)</f>
        <v>0</v>
      </c>
      <c r="AEL76" s="20" t="n">
        <f aca="false">(ALL75-TY76+0)*(1+BQ76)</f>
        <v>0</v>
      </c>
      <c r="AEM76" s="20" t="n">
        <f aca="false">(ALM75-TZ76+0)*(1+BQ76)</f>
        <v>0</v>
      </c>
      <c r="AEN76" s="20" t="n">
        <f aca="false">(ALN75-UA76+0)*(1+BQ76)</f>
        <v>0</v>
      </c>
      <c r="AEO76" s="20" t="n">
        <f aca="false">(ALO75-UB76+0)*(1+BQ76)</f>
        <v>0</v>
      </c>
      <c r="AEP76" s="20" t="n">
        <f aca="false">(ALP75-UC76+0)*(1+BQ76)</f>
        <v>0</v>
      </c>
      <c r="AEQ76" s="20" t="n">
        <f aca="false">(ALQ75-UD76+0)*(1+BQ76)</f>
        <v>0</v>
      </c>
      <c r="AER76" s="20" t="n">
        <f aca="false">(ALR75-UE76+0)*(1+BQ76)</f>
        <v>0</v>
      </c>
      <c r="AES76" s="20" t="n">
        <f aca="false">(ALS75-UF76+0)*(1+BQ76)</f>
        <v>0</v>
      </c>
      <c r="AET76" s="20" t="n">
        <f aca="false">(ALT75-UG76+0)*(1+BQ76)</f>
        <v>0</v>
      </c>
      <c r="AEU76" s="20" t="n">
        <f aca="false">(ALU75-UH76+0)*(1+BQ76)</f>
        <v>0</v>
      </c>
      <c r="AEV76" s="20" t="n">
        <f aca="false">(ALV75-UI76+0)*(1+BQ76)</f>
        <v>0</v>
      </c>
      <c r="AEW76" s="20" t="n">
        <f aca="false">(ALW75-UJ76+0)*(1+BQ76)</f>
        <v>0</v>
      </c>
      <c r="AEX76" s="20" t="n">
        <f aca="false">(ALX75-UK76+0)*(1+BQ76)</f>
        <v>0</v>
      </c>
      <c r="AEY76" s="20" t="n">
        <f aca="false">(ALY75-UL76+0)*(1+BQ76)</f>
        <v>0</v>
      </c>
      <c r="AEZ76" s="20" t="n">
        <f aca="false">(ALZ75-UM76+0)*(1+BQ76)</f>
        <v>0</v>
      </c>
      <c r="AFA76" s="20" t="n">
        <f aca="false">(AMA75-UN76+0)*(1+BQ76)</f>
        <v>0</v>
      </c>
      <c r="AFB76" s="20" t="n">
        <f aca="false">(AMB75-UO76+0)*(1+BQ76)</f>
        <v>0</v>
      </c>
      <c r="AFC76" s="20" t="n">
        <f aca="false">(AMC75-UP76+0)*(1+BQ76)</f>
        <v>0</v>
      </c>
      <c r="AFD76" s="20" t="n">
        <f aca="false">(AMD75-UQ76+0)*(1+BQ76)</f>
        <v>0</v>
      </c>
      <c r="AFE76" s="20" t="n">
        <f aca="false">(AME75-UR76+0)*(1+BQ76)</f>
        <v>0</v>
      </c>
      <c r="AFF76" s="20" t="n">
        <f aca="false">(AMF75-US76+0)*(1+BQ76)</f>
        <v>0</v>
      </c>
      <c r="AFG76" s="20" t="n">
        <f aca="false">(AMG75-UT76+0)*(1+BQ76)</f>
        <v>0</v>
      </c>
      <c r="AFH76" s="20" t="n">
        <f aca="false">(AMH75-UU76+0)*(1+BQ76)</f>
        <v>0</v>
      </c>
      <c r="AFI76" s="20" t="n">
        <f aca="false">(AMI75-UV76+0)*(1+BQ76)</f>
        <v>0</v>
      </c>
      <c r="AFJ76" s="20" t="n">
        <f aca="false">(AMJ75-UW76+0)*(1+BQ76)</f>
        <v>0</v>
      </c>
      <c r="AFK76" s="20" t="n">
        <f aca="false">(AMK75-UX76+0)*(1+BQ76)</f>
        <v>0</v>
      </c>
      <c r="AFL76" s="20" t="n">
        <f aca="false">(AML75-UY76+0)*(1+BQ76)</f>
        <v>0</v>
      </c>
      <c r="AFM76" s="20" t="n">
        <f aca="false">(AMM75-UZ76+0)*(1+BQ76)</f>
        <v>0</v>
      </c>
      <c r="AFN76" s="20" t="n">
        <f aca="false">(AMN75-VA76+0)*(1+BQ76)</f>
        <v>0</v>
      </c>
      <c r="AFO76" s="20" t="n">
        <f aca="false">(AMO75-VB76+0)*(1+BQ76)</f>
        <v>0</v>
      </c>
      <c r="AFP76" s="20" t="n">
        <f aca="false">(AMP75-VC76+0)*(1+BQ76)</f>
        <v>0</v>
      </c>
      <c r="AFQ76" s="20" t="n">
        <f aca="false">(AMQ75-VD76+0)*(1+BQ76)</f>
        <v>0</v>
      </c>
      <c r="AFR76" s="20" t="n">
        <f aca="false">(AMR75-VE76+0)*(1+BQ76)</f>
        <v>0</v>
      </c>
      <c r="AFS76" s="20" t="n">
        <f aca="false">(AMS75-VF76+0)*(1+BQ76)</f>
        <v>0</v>
      </c>
      <c r="AFT76" s="20" t="n">
        <f aca="false">(AMT75-VG76+0)*(1+BQ76)</f>
        <v>0</v>
      </c>
      <c r="AFU76" s="20" t="n">
        <f aca="false">(AMU75-VH76+0)*(1+BQ76)</f>
        <v>0</v>
      </c>
      <c r="AFV76" s="20" t="n">
        <f aca="false">(AMV75-VI76+0)*(1+BQ76)</f>
        <v>0</v>
      </c>
      <c r="AFW76" s="20" t="n">
        <f aca="false">(AMW75-VJ76+0)*(1+BQ76)</f>
        <v>0</v>
      </c>
      <c r="AFX76" s="20" t="n">
        <f aca="false">(AMX75-VK76+0)*(1+BQ76)</f>
        <v>0</v>
      </c>
      <c r="AFY76" s="20" t="n">
        <f aca="false">(AMY75-VL76+0)*(1+BQ76)</f>
        <v>0</v>
      </c>
      <c r="AFZ76" s="20" t="n">
        <f aca="false">(AMZ75-VM76+0)*(1+BQ76)</f>
        <v>0</v>
      </c>
      <c r="AGA76" s="20" t="n">
        <f aca="false">(ANA75-VN76+0)*(1+BQ76)</f>
        <v>0</v>
      </c>
      <c r="AGB76" s="20" t="n">
        <f aca="false">(ANB75-VO76+0)*(1+BQ76)</f>
        <v>0</v>
      </c>
      <c r="AGC76" s="20" t="n">
        <f aca="false">(ANC75-VP76+0)*(1+BQ76)</f>
        <v>0</v>
      </c>
      <c r="AGD76" s="20" t="n">
        <f aca="false">(AND75-VQ76+0)*(1+BQ76)</f>
        <v>0</v>
      </c>
      <c r="AGE76" s="20" t="n">
        <f aca="false">(ANE75-VR76+0)*(1+BQ76)</f>
        <v>0</v>
      </c>
      <c r="AGF76" s="20" t="n">
        <f aca="false">(ANF75-VS76+0)*(1+BQ76)</f>
        <v>0</v>
      </c>
      <c r="AGG76" s="20" t="n">
        <f aca="false">(ANG75-VT76+0)*(1+BQ76)</f>
        <v>0</v>
      </c>
      <c r="AGH76" s="20" t="n">
        <f aca="false">(ANH75-VU76+0)*(1+BQ76)</f>
        <v>0</v>
      </c>
      <c r="AGI76" s="20" t="n">
        <f aca="false">((P76+S76)-VV76+BE76)*(1+BQ76)</f>
        <v>0</v>
      </c>
      <c r="AGJ76" s="20" t="n">
        <v>0</v>
      </c>
      <c r="AGK76" s="20" t="n">
        <v>0</v>
      </c>
      <c r="AGL76" s="20" t="n">
        <v>0</v>
      </c>
      <c r="AGM76" s="20" t="n">
        <v>0</v>
      </c>
      <c r="AGN76" s="20" t="n">
        <v>0</v>
      </c>
      <c r="AGO76" s="20" t="n">
        <v>0</v>
      </c>
      <c r="AGP76" s="20" t="n">
        <v>0</v>
      </c>
      <c r="AGQ76" s="20" t="n">
        <v>0</v>
      </c>
      <c r="AGR76" s="20" t="n">
        <v>0</v>
      </c>
      <c r="AGS76" s="20" t="n">
        <v>0</v>
      </c>
      <c r="AGT76" s="20" t="n">
        <v>0</v>
      </c>
      <c r="AGU76" s="20" t="n">
        <v>0</v>
      </c>
      <c r="AGV76" s="20" t="n">
        <v>0</v>
      </c>
      <c r="AGW76" s="20" t="n">
        <v>0</v>
      </c>
      <c r="AGX76" s="20" t="n">
        <v>0</v>
      </c>
      <c r="AGY76" s="20" t="n">
        <v>0</v>
      </c>
      <c r="AGZ76" s="20" t="n">
        <v>0</v>
      </c>
      <c r="AHA76" s="20" t="n">
        <v>0</v>
      </c>
      <c r="AHB76" s="20" t="n">
        <v>0</v>
      </c>
      <c r="AHC76" s="20" t="n">
        <v>0</v>
      </c>
      <c r="AHD76" s="20" t="n">
        <v>0</v>
      </c>
      <c r="AHE76" s="20" t="n">
        <f aca="false">IF(AKR75&gt;0,AOE75-AOE75*TE76/AKR75,0)+0</f>
        <v>0</v>
      </c>
      <c r="AHF76" s="20" t="n">
        <f aca="false">IF(AKS75&gt;0,AOF75-AOF75*TF76/AKS75,0)+0</f>
        <v>0</v>
      </c>
      <c r="AHG76" s="20" t="n">
        <f aca="false">IF(AKT75&gt;0,AOG75-AOG75*TG76/AKT75,0)+0</f>
        <v>0</v>
      </c>
      <c r="AHH76" s="20" t="n">
        <f aca="false">IF(AKU75&gt;0,AOH75-AOH75*TH76/AKU75,0)+0</f>
        <v>0</v>
      </c>
      <c r="AHI76" s="20" t="n">
        <f aca="false">IF(AKV75&gt;0,AOI75-AOI75*TI76/AKV75,0)+0</f>
        <v>0</v>
      </c>
      <c r="AHJ76" s="20" t="n">
        <f aca="false">IF(AKW75&gt;0,AOJ75-AOJ75*TJ76/AKW75,0)+0</f>
        <v>0</v>
      </c>
      <c r="AHK76" s="20" t="n">
        <f aca="false">IF(AKX75&gt;0,AOK75-AOK75*TK76/AKX75,0)+0</f>
        <v>0</v>
      </c>
      <c r="AHL76" s="20" t="n">
        <f aca="false">IF(AKY75&gt;0,AOL75-AOL75*TL76/AKY75,0)+0</f>
        <v>0</v>
      </c>
      <c r="AHM76" s="20" t="n">
        <f aca="false">IF(AKZ75&gt;0,AOM75-AOM75*TM76/AKZ75,0)+0</f>
        <v>0</v>
      </c>
      <c r="AHN76" s="20" t="n">
        <f aca="false">IF(ALA75&gt;0,AON75-AON75*TN76/ALA75,0)+0</f>
        <v>0</v>
      </c>
      <c r="AHO76" s="20" t="n">
        <f aca="false">IF(ALB75&gt;0,AOO75-AOO75*TO76/ALB75,0)+0</f>
        <v>0</v>
      </c>
      <c r="AHP76" s="20" t="n">
        <f aca="false">IF(ALC75&gt;0,AOP75-AOP75*TP76/ALC75,0)+0</f>
        <v>0</v>
      </c>
      <c r="AHQ76" s="20" t="n">
        <f aca="false">IF(ALD75&gt;0,AOQ75-AOQ75*TQ76/ALD75,0)+0</f>
        <v>0</v>
      </c>
      <c r="AHR76" s="20" t="n">
        <f aca="false">IF(ALE75&gt;0,AOR75-AOR75*TR76/ALE75,0)+0</f>
        <v>0</v>
      </c>
      <c r="AHS76" s="20" t="n">
        <f aca="false">IF(ALF75&gt;0,AOS75-AOS75*TS76/ALF75,0)+0</f>
        <v>0</v>
      </c>
      <c r="AHT76" s="20" t="n">
        <f aca="false">IF(ALG75&gt;0,AOT75-AOT75*TT76/ALG75,0)+0</f>
        <v>0</v>
      </c>
      <c r="AHU76" s="20" t="n">
        <f aca="false">IF(ALH75&gt;0,AOU75-AOU75*TU76/ALH75,0)+0</f>
        <v>0</v>
      </c>
      <c r="AHV76" s="20" t="n">
        <f aca="false">IF(ALI75&gt;0,AOV75-AOV75*TV76/ALI75,0)+0</f>
        <v>0</v>
      </c>
      <c r="AHW76" s="20" t="n">
        <f aca="false">IF(ALJ75&gt;0,AOW75-AOW75*TW76/ALJ75,0)+0</f>
        <v>0</v>
      </c>
      <c r="AHX76" s="20" t="n">
        <f aca="false">IF(ALK75&gt;0,AOX75-AOX75*TX76/ALK75,0)+0</f>
        <v>0</v>
      </c>
      <c r="AHY76" s="20" t="n">
        <f aca="false">IF(ALL75&gt;0,AOY75-AOY75*TY76/ALL75,0)+0</f>
        <v>0</v>
      </c>
      <c r="AHZ76" s="20" t="n">
        <f aca="false">IF(ALM75&gt;0,AOZ75-AOZ75*TZ76/ALM75,0)+0</f>
        <v>0</v>
      </c>
      <c r="AIA76" s="20" t="n">
        <f aca="false">IF(ALN75&gt;0,APA75-APA75*UA76/ALN75,0)+0</f>
        <v>0</v>
      </c>
      <c r="AIB76" s="20" t="n">
        <f aca="false">IF(ALO75&gt;0,APB75-APB75*UB76/ALO75,0)+0</f>
        <v>0</v>
      </c>
      <c r="AIC76" s="20" t="n">
        <f aca="false">IF(ALP75&gt;0,APC75-APC75*UC76/ALP75,0)+0</f>
        <v>0</v>
      </c>
      <c r="AID76" s="20" t="n">
        <f aca="false">IF(ALQ75&gt;0,APD75-APD75*UD76/ALQ75,0)+0</f>
        <v>0</v>
      </c>
      <c r="AIE76" s="20" t="n">
        <f aca="false">IF(ALR75&gt;0,APE75-APE75*UE76/ALR75,0)+0</f>
        <v>0</v>
      </c>
      <c r="AIF76" s="20" t="n">
        <f aca="false">IF(ALS75&gt;0,APF75-APF75*UF76/ALS75,0)+0</f>
        <v>0</v>
      </c>
      <c r="AIG76" s="20" t="n">
        <f aca="false">IF(ALT75&gt;0,APG75-APG75*UG76/ALT75,0)+0</f>
        <v>0</v>
      </c>
      <c r="AIH76" s="20" t="n">
        <f aca="false">IF(ALU75&gt;0,APH75-APH75*UH76/ALU75,0)+0</f>
        <v>0</v>
      </c>
      <c r="AII76" s="20" t="n">
        <f aca="false">IF(ALV75&gt;0,API75-API75*UI76/ALV75,0)+0</f>
        <v>0</v>
      </c>
      <c r="AIJ76" s="20" t="n">
        <f aca="false">IF(ALW75&gt;0,APJ75-APJ75*UJ76/ALW75,0)+0</f>
        <v>0</v>
      </c>
      <c r="AIK76" s="20" t="n">
        <f aca="false">IF(ALX75&gt;0,APK75-APK75*UK76/ALX75,0)+0</f>
        <v>0</v>
      </c>
      <c r="AIL76" s="20" t="n">
        <f aca="false">IF(ALY75&gt;0,APL75-APL75*UL76/ALY75,0)+0</f>
        <v>0</v>
      </c>
      <c r="AIM76" s="20" t="n">
        <f aca="false">IF(ALZ75&gt;0,APM75-APM75*UM76/ALZ75,0)+0</f>
        <v>0</v>
      </c>
      <c r="AIN76" s="20" t="n">
        <f aca="false">IF(AMA75&gt;0,APN75-APN75*UN76/AMA75,0)+0</f>
        <v>0</v>
      </c>
      <c r="AIO76" s="20" t="n">
        <f aca="false">IF(AMB75&gt;0,APO75-APO75*UO76/AMB75,0)+0</f>
        <v>0</v>
      </c>
      <c r="AIP76" s="20" t="n">
        <f aca="false">IF(AMC75&gt;0,APP75-APP75*UP76/AMC75,0)+0</f>
        <v>0</v>
      </c>
      <c r="AIQ76" s="20" t="n">
        <f aca="false">IF(AMD75&gt;0,APQ75-APQ75*UQ76/AMD75,0)+0</f>
        <v>0</v>
      </c>
      <c r="AIR76" s="20" t="n">
        <f aca="false">IF(AME75&gt;0,APR75-APR75*UR76/AME75,0)+0</f>
        <v>0</v>
      </c>
      <c r="AIS76" s="20" t="n">
        <f aca="false">IF(AMF75&gt;0,APS75-APS75*US76/AMF75,0)+0</f>
        <v>0</v>
      </c>
      <c r="AIT76" s="20" t="n">
        <f aca="false">IF(AMG75&gt;0,APT75-APT75*UT76/AMG75,0)+0</f>
        <v>0</v>
      </c>
      <c r="AIU76" s="20" t="n">
        <f aca="false">IF(AMH75&gt;0,APU75-APU75*UU76/AMH75,0)+0</f>
        <v>0</v>
      </c>
      <c r="AIV76" s="20" t="n">
        <f aca="false">IF(AMI75&gt;0,APV75-APV75*UV76/AMI75,0)+0</f>
        <v>0</v>
      </c>
      <c r="AIW76" s="20" t="n">
        <f aca="false">IF(AMJ75&gt;0,APW75-APW75*UW76/AMJ75,0)+0</f>
        <v>0</v>
      </c>
      <c r="AIX76" s="20" t="n">
        <f aca="false">IF(AMK75&gt;0,APX75-APX75*UX76/AMK75,0)+0</f>
        <v>0</v>
      </c>
      <c r="AIY76" s="20" t="n">
        <f aca="false">IF(AML75&gt;0,APY75-APY75*UY76/AML75,0)+0</f>
        <v>0</v>
      </c>
      <c r="AIZ76" s="20" t="n">
        <f aca="false">IF(AMM75&gt;0,APZ75-APZ75*UZ76/AMM75,0)+0</f>
        <v>0</v>
      </c>
      <c r="AJA76" s="20" t="n">
        <f aca="false">IF(AMN75&gt;0,AQA75-AQA75*VA76/AMN75,0)+0</f>
        <v>0</v>
      </c>
      <c r="AJB76" s="20" t="n">
        <f aca="false">IF(AMO75&gt;0,AQB75-AQB75*VB76/AMO75,0)+0</f>
        <v>0</v>
      </c>
      <c r="AJC76" s="20" t="n">
        <f aca="false">IF(AMP75&gt;0,AQC75-AQC75*VC76/AMP75,0)+0</f>
        <v>0</v>
      </c>
      <c r="AJD76" s="20" t="n">
        <f aca="false">IF(AMQ75&gt;0,AQD75-AQD75*VD76/AMQ75,0)+0</f>
        <v>0</v>
      </c>
      <c r="AJE76" s="20" t="n">
        <f aca="false">IF(AMR75&gt;0,AQE75-AQE75*VE76/AMR75,0)+0</f>
        <v>0</v>
      </c>
      <c r="AJF76" s="20" t="n">
        <f aca="false">IF(AMS75&gt;0,AQF75-AQF75*VF76/AMS75,0)+0</f>
        <v>0</v>
      </c>
      <c r="AJG76" s="20" t="n">
        <f aca="false">IF(AMT75&gt;0,AQG75-AQG75*VG76/AMT75,0)+0</f>
        <v>0</v>
      </c>
      <c r="AJH76" s="20" t="n">
        <f aca="false">IF(AMU75&gt;0,AQH75-AQH75*VH76/AMU75,0)+0</f>
        <v>0</v>
      </c>
      <c r="AJI76" s="20" t="n">
        <f aca="false">IF(AMV75&gt;0,AQI75-AQI75*VI76/AMV75,0)+0</f>
        <v>0</v>
      </c>
      <c r="AJJ76" s="20" t="n">
        <f aca="false">IF(AMW75&gt;0,AQJ75-AQJ75*VJ76/AMW75,0)+0</f>
        <v>0</v>
      </c>
      <c r="AJK76" s="20" t="n">
        <f aca="false">IF(AMX75&gt;0,AQK75-AQK75*VK76/AMX75,0)+0</f>
        <v>0</v>
      </c>
      <c r="AJL76" s="20" t="n">
        <f aca="false">IF(AMY75&gt;0,AQL75-AQL75*VL76/AMY75,0)+0</f>
        <v>0</v>
      </c>
      <c r="AJM76" s="20" t="n">
        <f aca="false">IF(AMZ75&gt;0,AQM75-AQM75*VM76/AMZ75,0)+0</f>
        <v>0</v>
      </c>
      <c r="AJN76" s="20" t="n">
        <f aca="false">IF(ANA75&gt;0,AQN75-AQN75*VN76/ANA75,0)+0</f>
        <v>0</v>
      </c>
      <c r="AJO76" s="20" t="n">
        <f aca="false">IF(ANB75&gt;0,AQO75-AQO75*VO76/ANB75,0)+0</f>
        <v>0</v>
      </c>
      <c r="AJP76" s="20" t="n">
        <f aca="false">IF(ANC75&gt;0,AQP75-AQP75*VP76/ANC75,0)+0</f>
        <v>0</v>
      </c>
      <c r="AJQ76" s="20" t="n">
        <f aca="false">IF(AND75&gt;0,AQQ75-AQQ75*VQ76/AND75,0)+0</f>
        <v>0</v>
      </c>
      <c r="AJR76" s="20" t="n">
        <f aca="false">IF(ANE75&gt;0,AQR75-AQR75*VR76/ANE75,0)+0</f>
        <v>0</v>
      </c>
      <c r="AJS76" s="20" t="n">
        <f aca="false">IF(ANF75&gt;0,AQS75-AQS75*VS76/ANF75,0)+0</f>
        <v>0</v>
      </c>
      <c r="AJT76" s="20" t="n">
        <f aca="false">IF(ANG75&gt;0,AQT75-AQT75*VT76/ANG75,0)+0</f>
        <v>0</v>
      </c>
      <c r="AJU76" s="20" t="n">
        <f aca="false">IF(ANH75&gt;0,AQU75-AQU75*VU76/ANH75,0)+0</f>
        <v>0</v>
      </c>
      <c r="AJV76" s="20" t="n">
        <f aca="false">IF((P76+S76)&gt;0,(P76+S76)-(P76+S76)*VV76/(P76+S76),0)+BE76</f>
        <v>0</v>
      </c>
      <c r="AJW76" s="20" t="n">
        <v>0</v>
      </c>
      <c r="AJX76" s="20" t="n">
        <v>0</v>
      </c>
      <c r="AJY76" s="20" t="n">
        <v>0</v>
      </c>
      <c r="AJZ76" s="20" t="n">
        <v>0</v>
      </c>
      <c r="AKA76" s="20" t="n">
        <v>0</v>
      </c>
      <c r="AKB76" s="20" t="n">
        <v>0</v>
      </c>
      <c r="AKC76" s="20" t="n">
        <v>0</v>
      </c>
      <c r="AKD76" s="20" t="n">
        <v>0</v>
      </c>
      <c r="AKE76" s="20" t="n">
        <v>0</v>
      </c>
      <c r="AKF76" s="20" t="n">
        <v>0</v>
      </c>
      <c r="AKG76" s="20" t="n">
        <v>0</v>
      </c>
      <c r="AKH76" s="20" t="n">
        <v>0</v>
      </c>
      <c r="AKI76" s="20" t="n">
        <v>0</v>
      </c>
      <c r="AKJ76" s="20" t="n">
        <v>0</v>
      </c>
      <c r="AKK76" s="20" t="n">
        <v>0</v>
      </c>
      <c r="AKL76" s="20" t="n">
        <v>0</v>
      </c>
      <c r="AKM76" s="20" t="n">
        <v>0</v>
      </c>
      <c r="AKN76" s="20" t="n">
        <v>0</v>
      </c>
      <c r="AKO76" s="20" t="n">
        <v>0</v>
      </c>
      <c r="AKP76" s="20" t="n">
        <v>0</v>
      </c>
      <c r="AKQ76" s="20" t="n">
        <v>0</v>
      </c>
      <c r="AKR76" s="20" t="n">
        <f aca="false">ADR76-AVE76</f>
        <v>0</v>
      </c>
      <c r="AKS76" s="20" t="n">
        <f aca="false">ADS76-AVF76</f>
        <v>0</v>
      </c>
      <c r="AKT76" s="20" t="n">
        <f aca="false">ADT76-AVG76</f>
        <v>0</v>
      </c>
      <c r="AKU76" s="20" t="n">
        <f aca="false">ADU76-AVH76</f>
        <v>0</v>
      </c>
      <c r="AKV76" s="20" t="n">
        <f aca="false">ADV76-AVI76</f>
        <v>0</v>
      </c>
      <c r="AKW76" s="20" t="n">
        <f aca="false">ADW76-AVJ76</f>
        <v>0</v>
      </c>
      <c r="AKX76" s="20" t="n">
        <f aca="false">ADX76-AVK76</f>
        <v>0</v>
      </c>
      <c r="AKY76" s="20" t="n">
        <f aca="false">ADY76-AVL76</f>
        <v>0</v>
      </c>
      <c r="AKZ76" s="20" t="n">
        <f aca="false">ADZ76-AVM76</f>
        <v>0</v>
      </c>
      <c r="ALA76" s="20" t="n">
        <f aca="false">AEA76-AVN76</f>
        <v>0</v>
      </c>
      <c r="ALB76" s="20" t="n">
        <f aca="false">AEB76-AVO76</f>
        <v>0</v>
      </c>
      <c r="ALC76" s="20" t="n">
        <f aca="false">AEC76-AVP76</f>
        <v>0</v>
      </c>
      <c r="ALD76" s="20" t="n">
        <f aca="false">AED76-AVQ76</f>
        <v>0</v>
      </c>
      <c r="ALE76" s="20" t="n">
        <f aca="false">AEE76-AVR76</f>
        <v>0</v>
      </c>
      <c r="ALF76" s="20" t="n">
        <f aca="false">AEF76-AVS76</f>
        <v>0</v>
      </c>
      <c r="ALG76" s="20" t="n">
        <f aca="false">AEG76-AVT76</f>
        <v>0</v>
      </c>
      <c r="ALH76" s="20" t="n">
        <f aca="false">AEH76-AVU76</f>
        <v>0</v>
      </c>
      <c r="ALI76" s="20" t="n">
        <f aca="false">AEI76-AVV76</f>
        <v>0</v>
      </c>
      <c r="ALJ76" s="20" t="n">
        <f aca="false">AEJ76-AVW76</f>
        <v>0</v>
      </c>
      <c r="ALK76" s="20" t="n">
        <f aca="false">AEK76-AVX76</f>
        <v>0</v>
      </c>
      <c r="ALL76" s="20" t="n">
        <f aca="false">AEL76-AVY76</f>
        <v>0</v>
      </c>
      <c r="ALM76" s="20" t="n">
        <f aca="false">AEM76-AVZ76</f>
        <v>0</v>
      </c>
      <c r="ALN76" s="20" t="n">
        <f aca="false">AEN76-AWA76</f>
        <v>0</v>
      </c>
      <c r="ALO76" s="20" t="n">
        <f aca="false">AEO76-AWB76</f>
        <v>0</v>
      </c>
      <c r="ALP76" s="20" t="n">
        <f aca="false">AEP76-AWC76</f>
        <v>0</v>
      </c>
      <c r="ALQ76" s="20" t="n">
        <f aca="false">AEQ76-AWD76</f>
        <v>0</v>
      </c>
      <c r="ALR76" s="20" t="n">
        <f aca="false">AER76-AWE76</f>
        <v>0</v>
      </c>
      <c r="ALS76" s="20" t="n">
        <f aca="false">AES76-AWF76</f>
        <v>0</v>
      </c>
      <c r="ALT76" s="20" t="n">
        <f aca="false">AET76-AWG76</f>
        <v>0</v>
      </c>
      <c r="ALU76" s="20" t="n">
        <f aca="false">AEU76-AWH76</f>
        <v>0</v>
      </c>
      <c r="ALV76" s="20" t="n">
        <f aca="false">AEV76-AWI76</f>
        <v>0</v>
      </c>
      <c r="ALW76" s="20" t="n">
        <f aca="false">AEW76-AWJ76</f>
        <v>0</v>
      </c>
      <c r="ALX76" s="20" t="n">
        <f aca="false">AEX76-AWK76</f>
        <v>0</v>
      </c>
      <c r="ALY76" s="20" t="n">
        <f aca="false">AEY76-AWL76</f>
        <v>0</v>
      </c>
      <c r="ALZ76" s="20" t="n">
        <f aca="false">AEZ76-AWM76</f>
        <v>0</v>
      </c>
      <c r="AMA76" s="20" t="n">
        <f aca="false">AFA76-AWN76</f>
        <v>0</v>
      </c>
      <c r="AMB76" s="20" t="n">
        <f aca="false">AFB76-AWO76</f>
        <v>0</v>
      </c>
      <c r="AMC76" s="20" t="n">
        <f aca="false">AFC76-AWP76</f>
        <v>0</v>
      </c>
      <c r="AMD76" s="20" t="n">
        <f aca="false">AFD76-AWQ76</f>
        <v>0</v>
      </c>
      <c r="AME76" s="20" t="n">
        <f aca="false">AFE76-AWR76</f>
        <v>0</v>
      </c>
      <c r="AMF76" s="20" t="n">
        <f aca="false">AFF76-AWS76</f>
        <v>0</v>
      </c>
      <c r="AMG76" s="20" t="n">
        <f aca="false">AFG76-AWT76</f>
        <v>0</v>
      </c>
      <c r="AMH76" s="20" t="n">
        <f aca="false">AFH76-AWU76</f>
        <v>0</v>
      </c>
      <c r="AMI76" s="20" t="n">
        <f aca="false">AFI76-AWV76</f>
        <v>0</v>
      </c>
      <c r="AMJ76" s="20" t="n">
        <f aca="false">AFJ76-AWW76</f>
        <v>0</v>
      </c>
      <c r="AMK76" s="20" t="n">
        <f aca="false">AFK76-AWX76</f>
        <v>0</v>
      </c>
      <c r="AML76" s="20" t="n">
        <f aca="false">AFL76-AWY76</f>
        <v>0</v>
      </c>
      <c r="AMM76" s="20" t="n">
        <f aca="false">AFM76-AWZ76</f>
        <v>0</v>
      </c>
      <c r="AMN76" s="20" t="n">
        <f aca="false">AFN76-AXA76</f>
        <v>0</v>
      </c>
      <c r="AMO76" s="20" t="n">
        <f aca="false">AFO76-AXB76</f>
        <v>0</v>
      </c>
      <c r="AMP76" s="20" t="n">
        <f aca="false">AFP76-AXC76</f>
        <v>0</v>
      </c>
      <c r="AMQ76" s="20" t="n">
        <f aca="false">AFQ76-AXD76</f>
        <v>0</v>
      </c>
      <c r="AMR76" s="20" t="n">
        <f aca="false">AFR76-AXE76</f>
        <v>0</v>
      </c>
      <c r="AMS76" s="20" t="n">
        <f aca="false">AFS76-AXF76</f>
        <v>0</v>
      </c>
      <c r="AMT76" s="20" t="n">
        <f aca="false">AFT76-AXG76</f>
        <v>0</v>
      </c>
      <c r="AMU76" s="20" t="n">
        <f aca="false">AFU76-AXH76</f>
        <v>0</v>
      </c>
      <c r="AMV76" s="20" t="n">
        <f aca="false">AFV76-AXI76</f>
        <v>0</v>
      </c>
      <c r="AMW76" s="20" t="n">
        <f aca="false">AFW76-AXJ76</f>
        <v>0</v>
      </c>
      <c r="AMX76" s="20" t="n">
        <f aca="false">AFX76-AXK76</f>
        <v>0</v>
      </c>
      <c r="AMY76" s="20" t="n">
        <f aca="false">AFY76-AXL76</f>
        <v>0</v>
      </c>
      <c r="AMZ76" s="20" t="n">
        <f aca="false">AFZ76-AXM76</f>
        <v>0</v>
      </c>
      <c r="ANA76" s="20" t="n">
        <f aca="false">AGA76-AXN76</f>
        <v>0</v>
      </c>
      <c r="ANB76" s="20" t="n">
        <f aca="false">AGB76-AXO76</f>
        <v>0</v>
      </c>
      <c r="ANC76" s="20" t="n">
        <f aca="false">AGC76-AXP76</f>
        <v>0</v>
      </c>
      <c r="AND76" s="20" t="n">
        <f aca="false">AGD76-AXQ76</f>
        <v>0</v>
      </c>
      <c r="ANE76" s="20" t="n">
        <f aca="false">AGE76-AXR76</f>
        <v>0</v>
      </c>
      <c r="ANF76" s="20" t="n">
        <f aca="false">AGF76-AXS76</f>
        <v>0</v>
      </c>
      <c r="ANG76" s="20" t="n">
        <f aca="false">AGG76-AXT76</f>
        <v>0</v>
      </c>
      <c r="ANH76" s="20" t="n">
        <f aca="false">AGH76-AXU76</f>
        <v>0</v>
      </c>
      <c r="ANI76" s="20" t="n">
        <f aca="false">AGI76-AXV76</f>
        <v>0</v>
      </c>
      <c r="ANJ76" s="20" t="n">
        <v>0</v>
      </c>
      <c r="ANK76" s="20" t="n">
        <v>0</v>
      </c>
      <c r="ANL76" s="20" t="n">
        <v>0</v>
      </c>
      <c r="ANM76" s="20" t="n">
        <v>0</v>
      </c>
      <c r="ANN76" s="20" t="n">
        <v>0</v>
      </c>
      <c r="ANO76" s="20" t="n">
        <v>0</v>
      </c>
      <c r="ANP76" s="20" t="n">
        <v>0</v>
      </c>
      <c r="ANQ76" s="20" t="n">
        <v>0</v>
      </c>
      <c r="ANR76" s="20" t="n">
        <v>0</v>
      </c>
      <c r="ANS76" s="20" t="n">
        <v>0</v>
      </c>
      <c r="ANT76" s="20" t="n">
        <v>0</v>
      </c>
      <c r="ANU76" s="20" t="n">
        <v>0</v>
      </c>
      <c r="ANV76" s="20" t="n">
        <v>0</v>
      </c>
      <c r="ANW76" s="20" t="n">
        <v>0</v>
      </c>
      <c r="ANX76" s="20" t="n">
        <v>0</v>
      </c>
      <c r="ANY76" s="20" t="n">
        <v>0</v>
      </c>
      <c r="ANZ76" s="20" t="n">
        <v>0</v>
      </c>
      <c r="AOA76" s="20" t="n">
        <v>0</v>
      </c>
      <c r="AOB76" s="20" t="n">
        <v>0</v>
      </c>
      <c r="AOC76" s="20" t="n">
        <v>0</v>
      </c>
      <c r="AOD76" s="20" t="n">
        <v>0</v>
      </c>
      <c r="AOE76" s="20" t="n">
        <f aca="false">IF(AND(H_Direct=0,H_TaxEvt=1,ARR75+1&gt;=H_Deemed),AKR76,AHE76)</f>
        <v>0</v>
      </c>
      <c r="AOF76" s="20" t="n">
        <f aca="false">IF(AND(H_Direct=0,H_TaxEvt=1,ARS75+1&gt;=H_Deemed),AKS76,AHF76)</f>
        <v>0</v>
      </c>
      <c r="AOG76" s="20" t="n">
        <f aca="false">IF(AND(H_Direct=0,H_TaxEvt=1,ART75+1&gt;=H_Deemed),AKT76,AHG76)</f>
        <v>0</v>
      </c>
      <c r="AOH76" s="20" t="n">
        <f aca="false">IF(AND(H_Direct=0,H_TaxEvt=1,ARU75+1&gt;=H_Deemed),AKU76,AHH76)</f>
        <v>0</v>
      </c>
      <c r="AOI76" s="20" t="n">
        <f aca="false">IF(AND(H_Direct=0,H_TaxEvt=1,ARV75+1&gt;=H_Deemed),AKV76,AHI76)</f>
        <v>0</v>
      </c>
      <c r="AOJ76" s="20" t="n">
        <f aca="false">IF(AND(H_Direct=0,H_TaxEvt=1,ARW75+1&gt;=H_Deemed),AKW76,AHJ76)</f>
        <v>0</v>
      </c>
      <c r="AOK76" s="20" t="n">
        <f aca="false">IF(AND(H_Direct=0,H_TaxEvt=1,ARX75+1&gt;=H_Deemed),AKX76,AHK76)</f>
        <v>0</v>
      </c>
      <c r="AOL76" s="20" t="n">
        <f aca="false">IF(AND(H_Direct=0,H_TaxEvt=1,ARY75+1&gt;=H_Deemed),AKY76,AHL76)</f>
        <v>0</v>
      </c>
      <c r="AOM76" s="20" t="n">
        <f aca="false">IF(AND(H_Direct=0,H_TaxEvt=1,ARZ75+1&gt;=H_Deemed),AKZ76,AHM76)</f>
        <v>0</v>
      </c>
      <c r="AON76" s="20" t="n">
        <f aca="false">IF(AND(H_Direct=0,H_TaxEvt=1,ASA75+1&gt;=H_Deemed),ALA76,AHN76)</f>
        <v>0</v>
      </c>
      <c r="AOO76" s="20" t="n">
        <f aca="false">IF(AND(H_Direct=0,H_TaxEvt=1,ASB75+1&gt;=H_Deemed),ALB76,AHO76)</f>
        <v>0</v>
      </c>
      <c r="AOP76" s="20" t="n">
        <f aca="false">IF(AND(H_Direct=0,H_TaxEvt=1,ASC75+1&gt;=H_Deemed),ALC76,AHP76)</f>
        <v>0</v>
      </c>
      <c r="AOQ76" s="20" t="n">
        <f aca="false">IF(AND(H_Direct=0,H_TaxEvt=1,ASD75+1&gt;=H_Deemed),ALD76,AHQ76)</f>
        <v>0</v>
      </c>
      <c r="AOR76" s="20" t="n">
        <f aca="false">IF(AND(H_Direct=0,H_TaxEvt=1,ASE75+1&gt;=H_Deemed),ALE76,AHR76)</f>
        <v>0</v>
      </c>
      <c r="AOS76" s="20" t="n">
        <f aca="false">IF(AND(H_Direct=0,H_TaxEvt=1,ASF75+1&gt;=H_Deemed),ALF76,AHS76)</f>
        <v>0</v>
      </c>
      <c r="AOT76" s="20" t="n">
        <f aca="false">IF(AND(H_Direct=0,H_TaxEvt=1,ASG75+1&gt;=H_Deemed),ALG76,AHT76)</f>
        <v>0</v>
      </c>
      <c r="AOU76" s="20" t="n">
        <f aca="false">IF(AND(H_Direct=0,H_TaxEvt=1,ASH75+1&gt;=H_Deemed),ALH76,AHU76)</f>
        <v>0</v>
      </c>
      <c r="AOV76" s="20" t="n">
        <f aca="false">IF(AND(H_Direct=0,H_TaxEvt=1,ASI75+1&gt;=H_Deemed),ALI76,AHV76)</f>
        <v>0</v>
      </c>
      <c r="AOW76" s="20" t="n">
        <f aca="false">IF(AND(H_Direct=0,H_TaxEvt=1,ASJ75+1&gt;=H_Deemed),ALJ76,AHW76)</f>
        <v>0</v>
      </c>
      <c r="AOX76" s="20" t="n">
        <f aca="false">IF(AND(H_Direct=0,H_TaxEvt=1,ASK75+1&gt;=H_Deemed),ALK76,AHX76)</f>
        <v>0</v>
      </c>
      <c r="AOY76" s="20" t="n">
        <f aca="false">IF(AND(H_Direct=0,H_TaxEvt=1,ASL75+1&gt;=H_Deemed),ALL76,AHY76)</f>
        <v>0</v>
      </c>
      <c r="AOZ76" s="20" t="n">
        <f aca="false">IF(AND(H_Direct=0,H_TaxEvt=1,ASM75+1&gt;=H_Deemed),ALM76,AHZ76)</f>
        <v>0</v>
      </c>
      <c r="APA76" s="20" t="n">
        <f aca="false">IF(AND(H_Direct=0,H_TaxEvt=1,ASN75+1&gt;=H_Deemed),ALN76,AIA76)</f>
        <v>0</v>
      </c>
      <c r="APB76" s="20" t="n">
        <f aca="false">IF(AND(H_Direct=0,H_TaxEvt=1,ASO75+1&gt;=H_Deemed),ALO76,AIB76)</f>
        <v>0</v>
      </c>
      <c r="APC76" s="20" t="n">
        <f aca="false">IF(AND(H_Direct=0,H_TaxEvt=1,ASP75+1&gt;=H_Deemed),ALP76,AIC76)</f>
        <v>0</v>
      </c>
      <c r="APD76" s="20" t="n">
        <f aca="false">IF(AND(H_Direct=0,H_TaxEvt=1,ASQ75+1&gt;=H_Deemed),ALQ76,AID76)</f>
        <v>0</v>
      </c>
      <c r="APE76" s="20" t="n">
        <f aca="false">IF(AND(H_Direct=0,H_TaxEvt=1,ASR75+1&gt;=H_Deemed),ALR76,AIE76)</f>
        <v>0</v>
      </c>
      <c r="APF76" s="20" t="n">
        <f aca="false">IF(AND(H_Direct=0,H_TaxEvt=1,ASS75+1&gt;=H_Deemed),ALS76,AIF76)</f>
        <v>0</v>
      </c>
      <c r="APG76" s="20" t="n">
        <f aca="false">IF(AND(H_Direct=0,H_TaxEvt=1,AST75+1&gt;=H_Deemed),ALT76,AIG76)</f>
        <v>0</v>
      </c>
      <c r="APH76" s="20" t="n">
        <f aca="false">IF(AND(H_Direct=0,H_TaxEvt=1,ASU75+1&gt;=H_Deemed),ALU76,AIH76)</f>
        <v>0</v>
      </c>
      <c r="API76" s="20" t="n">
        <f aca="false">IF(AND(H_Direct=0,H_TaxEvt=1,ASV75+1&gt;=H_Deemed),ALV76,AII76)</f>
        <v>0</v>
      </c>
      <c r="APJ76" s="20" t="n">
        <f aca="false">IF(AND(H_Direct=0,H_TaxEvt=1,ASW75+1&gt;=H_Deemed),ALW76,AIJ76)</f>
        <v>0</v>
      </c>
      <c r="APK76" s="20" t="n">
        <f aca="false">IF(AND(H_Direct=0,H_TaxEvt=1,ASX75+1&gt;=H_Deemed),ALX76,AIK76)</f>
        <v>0</v>
      </c>
      <c r="APL76" s="20" t="n">
        <f aca="false">IF(AND(H_Direct=0,H_TaxEvt=1,ASY75+1&gt;=H_Deemed),ALY76,AIL76)</f>
        <v>0</v>
      </c>
      <c r="APM76" s="20" t="n">
        <f aca="false">IF(AND(H_Direct=0,H_TaxEvt=1,ASZ75+1&gt;=H_Deemed),ALZ76,AIM76)</f>
        <v>0</v>
      </c>
      <c r="APN76" s="20" t="n">
        <f aca="false">IF(AND(H_Direct=0,H_TaxEvt=1,ATA75+1&gt;=H_Deemed),AMA76,AIN76)</f>
        <v>0</v>
      </c>
      <c r="APO76" s="20" t="n">
        <f aca="false">IF(AND(H_Direct=0,H_TaxEvt=1,ATB75+1&gt;=H_Deemed),AMB76,AIO76)</f>
        <v>0</v>
      </c>
      <c r="APP76" s="20" t="n">
        <f aca="false">IF(AND(H_Direct=0,H_TaxEvt=1,ATC75+1&gt;=H_Deemed),AMC76,AIP76)</f>
        <v>0</v>
      </c>
      <c r="APQ76" s="20" t="n">
        <f aca="false">IF(AND(H_Direct=0,H_TaxEvt=1,ATD75+1&gt;=H_Deemed),AMD76,AIQ76)</f>
        <v>0</v>
      </c>
      <c r="APR76" s="20" t="n">
        <f aca="false">IF(AND(H_Direct=0,H_TaxEvt=1,ATE75+1&gt;=H_Deemed),AME76,AIR76)</f>
        <v>0</v>
      </c>
      <c r="APS76" s="20" t="n">
        <f aca="false">IF(AND(H_Direct=0,H_TaxEvt=1,ATF75+1&gt;=H_Deemed),AMF76,AIS76)</f>
        <v>0</v>
      </c>
      <c r="APT76" s="20" t="n">
        <f aca="false">IF(AND(H_Direct=0,H_TaxEvt=1,ATG75+1&gt;=H_Deemed),AMG76,AIT76)</f>
        <v>0</v>
      </c>
      <c r="APU76" s="20" t="n">
        <f aca="false">IF(AND(H_Direct=0,H_TaxEvt=1,ATH75+1&gt;=H_Deemed),AMH76,AIU76)</f>
        <v>0</v>
      </c>
      <c r="APV76" s="20" t="n">
        <f aca="false">IF(AND(H_Direct=0,H_TaxEvt=1,ATI75+1&gt;=H_Deemed),AMI76,AIV76)</f>
        <v>0</v>
      </c>
      <c r="APW76" s="20" t="n">
        <f aca="false">IF(AND(H_Direct=0,H_TaxEvt=1,ATJ75+1&gt;=H_Deemed),AMJ76,AIW76)</f>
        <v>0</v>
      </c>
      <c r="APX76" s="20" t="n">
        <f aca="false">IF(AND(H_Direct=0,H_TaxEvt=1,ATK75+1&gt;=H_Deemed),AMK76,AIX76)</f>
        <v>0</v>
      </c>
      <c r="APY76" s="20" t="n">
        <f aca="false">IF(AND(H_Direct=0,H_TaxEvt=1,ATL75+1&gt;=H_Deemed),AML76,AIY76)</f>
        <v>0</v>
      </c>
      <c r="APZ76" s="20" t="n">
        <f aca="false">IF(AND(H_Direct=0,H_TaxEvt=1,ATM75+1&gt;=H_Deemed),AMM76,AIZ76)</f>
        <v>0</v>
      </c>
      <c r="AQA76" s="20" t="n">
        <f aca="false">IF(AND(H_Direct=0,H_TaxEvt=1,ATN75+1&gt;=H_Deemed),AMN76,AJA76)</f>
        <v>0</v>
      </c>
      <c r="AQB76" s="20" t="n">
        <f aca="false">IF(AND(H_Direct=0,H_TaxEvt=1,ATO75+1&gt;=H_Deemed),AMO76,AJB76)</f>
        <v>0</v>
      </c>
      <c r="AQC76" s="20" t="n">
        <f aca="false">IF(AND(H_Direct=0,H_TaxEvt=1,ATP75+1&gt;=H_Deemed),AMP76,AJC76)</f>
        <v>0</v>
      </c>
      <c r="AQD76" s="20" t="n">
        <f aca="false">IF(AND(H_Direct=0,H_TaxEvt=1,ATQ75+1&gt;=H_Deemed),AMQ76,AJD76)</f>
        <v>0</v>
      </c>
      <c r="AQE76" s="20" t="n">
        <f aca="false">IF(AND(H_Direct=0,H_TaxEvt=1,ATR75+1&gt;=H_Deemed),AMR76,AJE76)</f>
        <v>0</v>
      </c>
      <c r="AQF76" s="20" t="n">
        <f aca="false">IF(AND(H_Direct=0,H_TaxEvt=1,ATS75+1&gt;=H_Deemed),AMS76,AJF76)</f>
        <v>0</v>
      </c>
      <c r="AQG76" s="20" t="n">
        <f aca="false">IF(AND(H_Direct=0,H_TaxEvt=1,ATT75+1&gt;=H_Deemed),AMT76,AJG76)</f>
        <v>0</v>
      </c>
      <c r="AQH76" s="20" t="n">
        <f aca="false">IF(AND(H_Direct=0,H_TaxEvt=1,ATU75+1&gt;=H_Deemed),AMU76,AJH76)</f>
        <v>0</v>
      </c>
      <c r="AQI76" s="20" t="n">
        <f aca="false">IF(AND(H_Direct=0,H_TaxEvt=1,ATV75+1&gt;=H_Deemed),AMV76,AJI76)</f>
        <v>0</v>
      </c>
      <c r="AQJ76" s="20" t="n">
        <f aca="false">IF(AND(H_Direct=0,H_TaxEvt=1,ATW75+1&gt;=H_Deemed),AMW76,AJJ76)</f>
        <v>0</v>
      </c>
      <c r="AQK76" s="20" t="n">
        <f aca="false">IF(AND(H_Direct=0,H_TaxEvt=1,ATX75+1&gt;=H_Deemed),AMX76,AJK76)</f>
        <v>0</v>
      </c>
      <c r="AQL76" s="20" t="n">
        <f aca="false">IF(AND(H_Direct=0,H_TaxEvt=1,ATY75+1&gt;=H_Deemed),AMY76,AJL76)</f>
        <v>0</v>
      </c>
      <c r="AQM76" s="20" t="n">
        <f aca="false">IF(AND(H_Direct=0,H_TaxEvt=1,ATZ75+1&gt;=H_Deemed),AMZ76,AJM76)</f>
        <v>0</v>
      </c>
      <c r="AQN76" s="20" t="n">
        <f aca="false">IF(AND(H_Direct=0,H_TaxEvt=1,AUA75+1&gt;=H_Deemed),ANA76,AJN76)</f>
        <v>0</v>
      </c>
      <c r="AQO76" s="20" t="n">
        <f aca="false">IF(AND(H_Direct=0,H_TaxEvt=1,AUB75+1&gt;=H_Deemed),ANB76,AJO76)</f>
        <v>0</v>
      </c>
      <c r="AQP76" s="20" t="n">
        <f aca="false">IF(AND(H_Direct=0,H_TaxEvt=1,AUC75+1&gt;=H_Deemed),ANC76,AJP76)</f>
        <v>0</v>
      </c>
      <c r="AQQ76" s="20" t="n">
        <f aca="false">IF(AND(H_Direct=0,H_TaxEvt=1,AUD75+1&gt;=H_Deemed),AND76,AJQ76)</f>
        <v>0</v>
      </c>
      <c r="AQR76" s="20" t="n">
        <f aca="false">IF(AND(H_Direct=0,H_TaxEvt=1,AUE75+1&gt;=H_Deemed),ANE76,AJR76)</f>
        <v>0</v>
      </c>
      <c r="AQS76" s="20" t="n">
        <f aca="false">IF(AND(H_Direct=0,H_TaxEvt=1,AUF75+1&gt;=H_Deemed),ANF76,AJS76)</f>
        <v>0</v>
      </c>
      <c r="AQT76" s="20" t="n">
        <f aca="false">IF(AND(H_Direct=0,H_TaxEvt=1,AUG75+1&gt;=H_Deemed),ANG76,AJT76)</f>
        <v>0</v>
      </c>
      <c r="AQU76" s="20" t="n">
        <f aca="false">IF(AND(H_Direct=0,H_TaxEvt=1,AUH75+1&gt;=H_Deemed),ANH76,AJU76)</f>
        <v>0</v>
      </c>
      <c r="AQV76" s="20" t="n">
        <f aca="false">IF(AND(H_Direct=0,H_TaxEvt=1,0+1&gt;=H_Deemed),ANI76,AJV76)</f>
        <v>0</v>
      </c>
      <c r="AQW76" s="20" t="n">
        <v>0</v>
      </c>
      <c r="AQX76" s="20" t="n">
        <v>0</v>
      </c>
      <c r="AQY76" s="20" t="n">
        <v>0</v>
      </c>
      <c r="AQZ76" s="20" t="n">
        <v>0</v>
      </c>
      <c r="ARA76" s="20" t="n">
        <v>0</v>
      </c>
      <c r="ARB76" s="20" t="n">
        <v>0</v>
      </c>
      <c r="ARC76" s="20" t="n">
        <v>0</v>
      </c>
      <c r="ARD76" s="20" t="n">
        <v>0</v>
      </c>
      <c r="ARE76" s="20" t="n">
        <v>0</v>
      </c>
      <c r="ARF76" s="20" t="n">
        <v>0</v>
      </c>
      <c r="ARG76" s="20" t="n">
        <v>0</v>
      </c>
      <c r="ARH76" s="20" t="n">
        <v>0</v>
      </c>
      <c r="ARI76" s="20" t="n">
        <v>0</v>
      </c>
      <c r="ARJ76" s="20" t="n">
        <v>0</v>
      </c>
      <c r="ARK76" s="20" t="n">
        <v>0</v>
      </c>
      <c r="ARL76" s="20" t="n">
        <v>0</v>
      </c>
      <c r="ARM76" s="20" t="n">
        <v>0</v>
      </c>
      <c r="ARN76" s="20" t="n">
        <v>0</v>
      </c>
      <c r="ARO76" s="20" t="n">
        <v>0</v>
      </c>
      <c r="ARP76" s="20" t="n">
        <v>0</v>
      </c>
      <c r="ARQ76" s="20" t="n">
        <v>0</v>
      </c>
      <c r="ARR76" s="20" t="n">
        <f aca="false">IF(AND(H_Direct=0,H_TaxEvt=1),IF(ARR75+1&gt;=H_Deemed,0,ARR75+1),ARR75)</f>
        <v>5</v>
      </c>
      <c r="ARS76" s="20" t="n">
        <f aca="false">IF(AND(H_Direct=0,H_TaxEvt=1),IF(ARS75+1&gt;=H_Deemed,0,ARS75+1),ARS75)</f>
        <v>5</v>
      </c>
      <c r="ART76" s="20" t="n">
        <f aca="false">IF(AND(H_Direct=0,H_TaxEvt=1),IF(ART75+1&gt;=H_Deemed,0,ART75+1),ART75)</f>
        <v>4</v>
      </c>
      <c r="ARU76" s="20" t="n">
        <f aca="false">IF(AND(H_Direct=0,H_TaxEvt=1),IF(ARU75+1&gt;=H_Deemed,0,ARU75+1),ARU75)</f>
        <v>3</v>
      </c>
      <c r="ARV76" s="20" t="n">
        <f aca="false">IF(AND(H_Direct=0,H_TaxEvt=1),IF(ARV75+1&gt;=H_Deemed,0,ARV75+1),ARV75)</f>
        <v>2</v>
      </c>
      <c r="ARW76" s="20" t="n">
        <f aca="false">IF(AND(H_Direct=0,H_TaxEvt=1),IF(ARW75+1&gt;=H_Deemed,0,ARW75+1),ARW75)</f>
        <v>1</v>
      </c>
      <c r="ARX76" s="20" t="n">
        <f aca="false">IF(AND(H_Direct=0,H_TaxEvt=1),IF(ARX75+1&gt;=H_Deemed,0,ARX75+1),ARX75)</f>
        <v>0</v>
      </c>
      <c r="ARY76" s="20" t="n">
        <f aca="false">IF(AND(H_Direct=0,H_TaxEvt=1),IF(ARY75+1&gt;=H_Deemed,0,ARY75+1),ARY75)</f>
        <v>7</v>
      </c>
      <c r="ARZ76" s="20" t="n">
        <f aca="false">IF(AND(H_Direct=0,H_TaxEvt=1),IF(ARZ75+1&gt;=H_Deemed,0,ARZ75+1),ARZ75)</f>
        <v>6</v>
      </c>
      <c r="ASA76" s="20" t="n">
        <f aca="false">IF(AND(H_Direct=0,H_TaxEvt=1),IF(ASA75+1&gt;=H_Deemed,0,ASA75+1),ASA75)</f>
        <v>5</v>
      </c>
      <c r="ASB76" s="20" t="n">
        <f aca="false">IF(AND(H_Direct=0,H_TaxEvt=1),IF(ASB75+1&gt;=H_Deemed,0,ASB75+1),ASB75)</f>
        <v>4</v>
      </c>
      <c r="ASC76" s="20" t="n">
        <f aca="false">IF(AND(H_Direct=0,H_TaxEvt=1),IF(ASC75+1&gt;=H_Deemed,0,ASC75+1),ASC75)</f>
        <v>3</v>
      </c>
      <c r="ASD76" s="20" t="n">
        <f aca="false">IF(AND(H_Direct=0,H_TaxEvt=1),IF(ASD75+1&gt;=H_Deemed,0,ASD75+1),ASD75)</f>
        <v>2</v>
      </c>
      <c r="ASE76" s="20" t="n">
        <f aca="false">IF(AND(H_Direct=0,H_TaxEvt=1),IF(ASE75+1&gt;=H_Deemed,0,ASE75+1),ASE75)</f>
        <v>1</v>
      </c>
      <c r="ASF76" s="20" t="n">
        <f aca="false">IF(AND(H_Direct=0,H_TaxEvt=1),IF(ASF75+1&gt;=H_Deemed,0,ASF75+1),ASF75)</f>
        <v>0</v>
      </c>
      <c r="ASG76" s="20" t="n">
        <f aca="false">IF(AND(H_Direct=0,H_TaxEvt=1),IF(ASG75+1&gt;=H_Deemed,0,ASG75+1),ASG75)</f>
        <v>7</v>
      </c>
      <c r="ASH76" s="20" t="n">
        <f aca="false">IF(AND(H_Direct=0,H_TaxEvt=1),IF(ASH75+1&gt;=H_Deemed,0,ASH75+1),ASH75)</f>
        <v>6</v>
      </c>
      <c r="ASI76" s="20" t="n">
        <f aca="false">IF(AND(H_Direct=0,H_TaxEvt=1),IF(ASI75+1&gt;=H_Deemed,0,ASI75+1),ASI75)</f>
        <v>5</v>
      </c>
      <c r="ASJ76" s="20" t="n">
        <f aca="false">IF(AND(H_Direct=0,H_TaxEvt=1),IF(ASJ75+1&gt;=H_Deemed,0,ASJ75+1),ASJ75)</f>
        <v>4</v>
      </c>
      <c r="ASK76" s="20" t="n">
        <f aca="false">IF(AND(H_Direct=0,H_TaxEvt=1),IF(ASK75+1&gt;=H_Deemed,0,ASK75+1),ASK75)</f>
        <v>3</v>
      </c>
      <c r="ASL76" s="20" t="n">
        <f aca="false">IF(AND(H_Direct=0,H_TaxEvt=1),IF(ASL75+1&gt;=H_Deemed,0,ASL75+1),ASL75)</f>
        <v>2</v>
      </c>
      <c r="ASM76" s="20" t="n">
        <f aca="false">IF(AND(H_Direct=0,H_TaxEvt=1),IF(ASM75+1&gt;=H_Deemed,0,ASM75+1),ASM75)</f>
        <v>1</v>
      </c>
      <c r="ASN76" s="20" t="n">
        <f aca="false">IF(AND(H_Direct=0,H_TaxEvt=1),IF(ASN75+1&gt;=H_Deemed,0,ASN75+1),ASN75)</f>
        <v>0</v>
      </c>
      <c r="ASO76" s="20" t="n">
        <f aca="false">IF(AND(H_Direct=0,H_TaxEvt=1),IF(ASO75+1&gt;=H_Deemed,0,ASO75+1),ASO75)</f>
        <v>7</v>
      </c>
      <c r="ASP76" s="20" t="n">
        <f aca="false">IF(AND(H_Direct=0,H_TaxEvt=1),IF(ASP75+1&gt;=H_Deemed,0,ASP75+1),ASP75)</f>
        <v>6</v>
      </c>
      <c r="ASQ76" s="20" t="n">
        <f aca="false">IF(AND(H_Direct=0,H_TaxEvt=1),IF(ASQ75+1&gt;=H_Deemed,0,ASQ75+1),ASQ75)</f>
        <v>5</v>
      </c>
      <c r="ASR76" s="20" t="n">
        <f aca="false">IF(AND(H_Direct=0,H_TaxEvt=1),IF(ASR75+1&gt;=H_Deemed,0,ASR75+1),ASR75)</f>
        <v>4</v>
      </c>
      <c r="ASS76" s="20" t="n">
        <f aca="false">IF(AND(H_Direct=0,H_TaxEvt=1),IF(ASS75+1&gt;=H_Deemed,0,ASS75+1),ASS75)</f>
        <v>3</v>
      </c>
      <c r="AST76" s="20" t="n">
        <f aca="false">IF(AND(H_Direct=0,H_TaxEvt=1),IF(AST75+1&gt;=H_Deemed,0,AST75+1),AST75)</f>
        <v>2</v>
      </c>
      <c r="ASU76" s="20" t="n">
        <f aca="false">IF(AND(H_Direct=0,H_TaxEvt=1),IF(ASU75+1&gt;=H_Deemed,0,ASU75+1),ASU75)</f>
        <v>1</v>
      </c>
      <c r="ASV76" s="20" t="n">
        <f aca="false">IF(AND(H_Direct=0,H_TaxEvt=1),IF(ASV75+1&gt;=H_Deemed,0,ASV75+1),ASV75)</f>
        <v>0</v>
      </c>
      <c r="ASW76" s="20" t="n">
        <f aca="false">IF(AND(H_Direct=0,H_TaxEvt=1),IF(ASW75+1&gt;=H_Deemed,0,ASW75+1),ASW75)</f>
        <v>7</v>
      </c>
      <c r="ASX76" s="20" t="n">
        <f aca="false">IF(AND(H_Direct=0,H_TaxEvt=1),IF(ASX75+1&gt;=H_Deemed,0,ASX75+1),ASX75)</f>
        <v>6</v>
      </c>
      <c r="ASY76" s="20" t="n">
        <f aca="false">IF(AND(H_Direct=0,H_TaxEvt=1),IF(ASY75+1&gt;=H_Deemed,0,ASY75+1),ASY75)</f>
        <v>5</v>
      </c>
      <c r="ASZ76" s="20" t="n">
        <f aca="false">IF(AND(H_Direct=0,H_TaxEvt=1),IF(ASZ75+1&gt;=H_Deemed,0,ASZ75+1),ASZ75)</f>
        <v>4</v>
      </c>
      <c r="ATA76" s="20" t="n">
        <f aca="false">IF(AND(H_Direct=0,H_TaxEvt=1),IF(ATA75+1&gt;=H_Deemed,0,ATA75+1),ATA75)</f>
        <v>3</v>
      </c>
      <c r="ATB76" s="20" t="n">
        <f aca="false">IF(AND(H_Direct=0,H_TaxEvt=1),IF(ATB75+1&gt;=H_Deemed,0,ATB75+1),ATB75)</f>
        <v>2</v>
      </c>
      <c r="ATC76" s="20" t="n">
        <f aca="false">IF(AND(H_Direct=0,H_TaxEvt=1),IF(ATC75+1&gt;=H_Deemed,0,ATC75+1),ATC75)</f>
        <v>1</v>
      </c>
      <c r="ATD76" s="20" t="n">
        <f aca="false">IF(AND(H_Direct=0,H_TaxEvt=1),IF(ATD75+1&gt;=H_Deemed,0,ATD75+1),ATD75)</f>
        <v>0</v>
      </c>
      <c r="ATE76" s="20" t="n">
        <f aca="false">IF(AND(H_Direct=0,H_TaxEvt=1),IF(ATE75+1&gt;=H_Deemed,0,ATE75+1),ATE75)</f>
        <v>7</v>
      </c>
      <c r="ATF76" s="20" t="n">
        <f aca="false">IF(AND(H_Direct=0,H_TaxEvt=1),IF(ATF75+1&gt;=H_Deemed,0,ATF75+1),ATF75)</f>
        <v>6</v>
      </c>
      <c r="ATG76" s="20" t="n">
        <f aca="false">IF(AND(H_Direct=0,H_TaxEvt=1),IF(ATG75+1&gt;=H_Deemed,0,ATG75+1),ATG75)</f>
        <v>5</v>
      </c>
      <c r="ATH76" s="20" t="n">
        <f aca="false">IF(AND(H_Direct=0,H_TaxEvt=1),IF(ATH75+1&gt;=H_Deemed,0,ATH75+1),ATH75)</f>
        <v>4</v>
      </c>
      <c r="ATI76" s="20" t="n">
        <f aca="false">IF(AND(H_Direct=0,H_TaxEvt=1),IF(ATI75+1&gt;=H_Deemed,0,ATI75+1),ATI75)</f>
        <v>3</v>
      </c>
      <c r="ATJ76" s="20" t="n">
        <f aca="false">IF(AND(H_Direct=0,H_TaxEvt=1),IF(ATJ75+1&gt;=H_Deemed,0,ATJ75+1),ATJ75)</f>
        <v>2</v>
      </c>
      <c r="ATK76" s="20" t="n">
        <f aca="false">IF(AND(H_Direct=0,H_TaxEvt=1),IF(ATK75+1&gt;=H_Deemed,0,ATK75+1),ATK75)</f>
        <v>1</v>
      </c>
      <c r="ATL76" s="20" t="n">
        <f aca="false">IF(AND(H_Direct=0,H_TaxEvt=1),IF(ATL75+1&gt;=H_Deemed,0,ATL75+1),ATL75)</f>
        <v>0</v>
      </c>
      <c r="ATM76" s="20" t="n">
        <f aca="false">IF(AND(H_Direct=0,H_TaxEvt=1),IF(ATM75+1&gt;=H_Deemed,0,ATM75+1),ATM75)</f>
        <v>7</v>
      </c>
      <c r="ATN76" s="20" t="n">
        <f aca="false">IF(AND(H_Direct=0,H_TaxEvt=1),IF(ATN75+1&gt;=H_Deemed,0,ATN75+1),ATN75)</f>
        <v>6</v>
      </c>
      <c r="ATO76" s="20" t="n">
        <f aca="false">IF(AND(H_Direct=0,H_TaxEvt=1),IF(ATO75+1&gt;=H_Deemed,0,ATO75+1),ATO75)</f>
        <v>5</v>
      </c>
      <c r="ATP76" s="20" t="n">
        <f aca="false">IF(AND(H_Direct=0,H_TaxEvt=1),IF(ATP75+1&gt;=H_Deemed,0,ATP75+1),ATP75)</f>
        <v>4</v>
      </c>
      <c r="ATQ76" s="20" t="n">
        <f aca="false">IF(AND(H_Direct=0,H_TaxEvt=1),IF(ATQ75+1&gt;=H_Deemed,0,ATQ75+1),ATQ75)</f>
        <v>3</v>
      </c>
      <c r="ATR76" s="20" t="n">
        <f aca="false">IF(AND(H_Direct=0,H_TaxEvt=1),IF(ATR75+1&gt;=H_Deemed,0,ATR75+1),ATR75)</f>
        <v>2</v>
      </c>
      <c r="ATS76" s="20" t="n">
        <f aca="false">IF(AND(H_Direct=0,H_TaxEvt=1),IF(ATS75+1&gt;=H_Deemed,0,ATS75+1),ATS75)</f>
        <v>1</v>
      </c>
      <c r="ATT76" s="20" t="n">
        <f aca="false">IF(AND(H_Direct=0,H_TaxEvt=1),IF(ATT75+1&gt;=H_Deemed,0,ATT75+1),ATT75)</f>
        <v>0</v>
      </c>
      <c r="ATU76" s="20" t="n">
        <f aca="false">IF(AND(H_Direct=0,H_TaxEvt=1),IF(ATU75+1&gt;=H_Deemed,0,ATU75+1),ATU75)</f>
        <v>7</v>
      </c>
      <c r="ATV76" s="20" t="n">
        <f aca="false">IF(AND(H_Direct=0,H_TaxEvt=1),IF(ATV75+1&gt;=H_Deemed,0,ATV75+1),ATV75)</f>
        <v>6</v>
      </c>
      <c r="ATW76" s="20" t="n">
        <f aca="false">IF(AND(H_Direct=0,H_TaxEvt=1),IF(ATW75+1&gt;=H_Deemed,0,ATW75+1),ATW75)</f>
        <v>5</v>
      </c>
      <c r="ATX76" s="20" t="n">
        <f aca="false">IF(AND(H_Direct=0,H_TaxEvt=1),IF(ATX75+1&gt;=H_Deemed,0,ATX75+1),ATX75)</f>
        <v>4</v>
      </c>
      <c r="ATY76" s="20" t="n">
        <f aca="false">IF(AND(H_Direct=0,H_TaxEvt=1),IF(ATY75+1&gt;=H_Deemed,0,ATY75+1),ATY75)</f>
        <v>3</v>
      </c>
      <c r="ATZ76" s="20" t="n">
        <f aca="false">IF(AND(H_Direct=0,H_TaxEvt=1),IF(ATZ75+1&gt;=H_Deemed,0,ATZ75+1),ATZ75)</f>
        <v>2</v>
      </c>
      <c r="AUA76" s="20" t="n">
        <f aca="false">IF(AND(H_Direct=0,H_TaxEvt=1),IF(AUA75+1&gt;=H_Deemed,0,AUA75+1),AUA75)</f>
        <v>1</v>
      </c>
      <c r="AUB76" s="20" t="n">
        <f aca="false">IF(AND(H_Direct=0,H_TaxEvt=1),IF(AUB75+1&gt;=H_Deemed,0,AUB75+1),AUB75)</f>
        <v>0</v>
      </c>
      <c r="AUC76" s="20" t="n">
        <f aca="false">IF(AND(H_Direct=0,H_TaxEvt=1),IF(AUC75+1&gt;=H_Deemed,0,AUC75+1),AUC75)</f>
        <v>7</v>
      </c>
      <c r="AUD76" s="20" t="n">
        <f aca="false">IF(AND(H_Direct=0,H_TaxEvt=1),IF(AUD75+1&gt;=H_Deemed,0,AUD75+1),AUD75)</f>
        <v>6</v>
      </c>
      <c r="AUE76" s="20" t="n">
        <f aca="false">IF(AND(H_Direct=0,H_TaxEvt=1),IF(AUE75+1&gt;=H_Deemed,0,AUE75+1),AUE75)</f>
        <v>5</v>
      </c>
      <c r="AUF76" s="20" t="n">
        <f aca="false">IF(AND(H_Direct=0,H_TaxEvt=1),IF(AUF75+1&gt;=H_Deemed,0,AUF75+1),AUF75)</f>
        <v>4</v>
      </c>
      <c r="AUG76" s="20" t="n">
        <f aca="false">IF(AND(H_Direct=0,H_TaxEvt=1),IF(AUG75+1&gt;=H_Deemed,0,AUG75+1),AUG75)</f>
        <v>3</v>
      </c>
      <c r="AUH76" s="20" t="n">
        <f aca="false">IF(AND(H_Direct=0,H_TaxEvt=1),IF(AUH75+1&gt;=H_Deemed,0,AUH75+1),AUH75)</f>
        <v>2</v>
      </c>
      <c r="AUI76" s="20" t="n">
        <f aca="false">IF(AND(H_Direct=0,H_TaxEvt=1),IF(0+1&gt;=H_Deemed,0,0+1),0)</f>
        <v>1</v>
      </c>
      <c r="AUJ76" s="20" t="n">
        <v>0</v>
      </c>
      <c r="AUK76" s="20" t="n">
        <v>0</v>
      </c>
      <c r="AUL76" s="20" t="n">
        <v>0</v>
      </c>
      <c r="AUM76" s="20" t="n">
        <v>0</v>
      </c>
      <c r="AUN76" s="20" t="n">
        <v>0</v>
      </c>
      <c r="AUO76" s="20" t="n">
        <v>0</v>
      </c>
      <c r="AUP76" s="20" t="n">
        <v>0</v>
      </c>
      <c r="AUQ76" s="20" t="n">
        <v>0</v>
      </c>
      <c r="AUR76" s="20" t="n">
        <v>0</v>
      </c>
      <c r="AUS76" s="20" t="n">
        <v>0</v>
      </c>
      <c r="AUT76" s="20" t="n">
        <v>0</v>
      </c>
      <c r="AUU76" s="20" t="n">
        <v>0</v>
      </c>
      <c r="AUV76" s="20" t="n">
        <v>0</v>
      </c>
      <c r="AUW76" s="20" t="n">
        <v>0</v>
      </c>
      <c r="AUX76" s="20" t="n">
        <v>0</v>
      </c>
      <c r="AUY76" s="20" t="n">
        <v>0</v>
      </c>
      <c r="AUZ76" s="20" t="n">
        <v>0</v>
      </c>
      <c r="AVA76" s="20" t="n">
        <v>0</v>
      </c>
      <c r="AVB76" s="20" t="n">
        <v>0</v>
      </c>
      <c r="AVC76" s="20" t="n">
        <v>0</v>
      </c>
      <c r="AVD76" s="20" t="n">
        <v>0</v>
      </c>
      <c r="AVE76" s="20" t="n">
        <f aca="false">IF(AND(H_Direct=0,H_TaxEvt=1,ARR75+1&gt;=H_Deemed),MAX(0,ADR76-AHE76)*H_Exit,0)</f>
        <v>0</v>
      </c>
      <c r="AVF76" s="20" t="n">
        <f aca="false">IF(AND(H_Direct=0,H_TaxEvt=1,ARS75+1&gt;=H_Deemed),MAX(0,ADS76-AHF76)*H_Exit,0)</f>
        <v>0</v>
      </c>
      <c r="AVG76" s="20" t="n">
        <f aca="false">IF(AND(H_Direct=0,H_TaxEvt=1,ART75+1&gt;=H_Deemed),MAX(0,ADT76-AHG76)*H_Exit,0)</f>
        <v>0</v>
      </c>
      <c r="AVH76" s="20" t="n">
        <f aca="false">IF(AND(H_Direct=0,H_TaxEvt=1,ARU75+1&gt;=H_Deemed),MAX(0,ADU76-AHH76)*H_Exit,0)</f>
        <v>0</v>
      </c>
      <c r="AVI76" s="20" t="n">
        <f aca="false">IF(AND(H_Direct=0,H_TaxEvt=1,ARV75+1&gt;=H_Deemed),MAX(0,ADV76-AHI76)*H_Exit,0)</f>
        <v>0</v>
      </c>
      <c r="AVJ76" s="20" t="n">
        <f aca="false">IF(AND(H_Direct=0,H_TaxEvt=1,ARW75+1&gt;=H_Deemed),MAX(0,ADW76-AHJ76)*H_Exit,0)</f>
        <v>0</v>
      </c>
      <c r="AVK76" s="20" t="n">
        <f aca="false">IF(AND(H_Direct=0,H_TaxEvt=1,ARX75+1&gt;=H_Deemed),MAX(0,ADX76-AHK76)*H_Exit,0)</f>
        <v>0</v>
      </c>
      <c r="AVL76" s="20" t="n">
        <f aca="false">IF(AND(H_Direct=0,H_TaxEvt=1,ARY75+1&gt;=H_Deemed),MAX(0,ADY76-AHL76)*H_Exit,0)</f>
        <v>0</v>
      </c>
      <c r="AVM76" s="20" t="n">
        <f aca="false">IF(AND(H_Direct=0,H_TaxEvt=1,ARZ75+1&gt;=H_Deemed),MAX(0,ADZ76-AHM76)*H_Exit,0)</f>
        <v>0</v>
      </c>
      <c r="AVN76" s="20" t="n">
        <f aca="false">IF(AND(H_Direct=0,H_TaxEvt=1,ASA75+1&gt;=H_Deemed),MAX(0,AEA76-AHN76)*H_Exit,0)</f>
        <v>0</v>
      </c>
      <c r="AVO76" s="20" t="n">
        <f aca="false">IF(AND(H_Direct=0,H_TaxEvt=1,ASB75+1&gt;=H_Deemed),MAX(0,AEB76-AHO76)*H_Exit,0)</f>
        <v>0</v>
      </c>
      <c r="AVP76" s="20" t="n">
        <f aca="false">IF(AND(H_Direct=0,H_TaxEvt=1,ASC75+1&gt;=H_Deemed),MAX(0,AEC76-AHP76)*H_Exit,0)</f>
        <v>0</v>
      </c>
      <c r="AVQ76" s="20" t="n">
        <f aca="false">IF(AND(H_Direct=0,H_TaxEvt=1,ASD75+1&gt;=H_Deemed),MAX(0,AED76-AHQ76)*H_Exit,0)</f>
        <v>0</v>
      </c>
      <c r="AVR76" s="20" t="n">
        <f aca="false">IF(AND(H_Direct=0,H_TaxEvt=1,ASE75+1&gt;=H_Deemed),MAX(0,AEE76-AHR76)*H_Exit,0)</f>
        <v>0</v>
      </c>
      <c r="AVS76" s="20" t="n">
        <f aca="false">IF(AND(H_Direct=0,H_TaxEvt=1,ASF75+1&gt;=H_Deemed),MAX(0,AEF76-AHS76)*H_Exit,0)</f>
        <v>0</v>
      </c>
      <c r="AVT76" s="20" t="n">
        <f aca="false">IF(AND(H_Direct=0,H_TaxEvt=1,ASG75+1&gt;=H_Deemed),MAX(0,AEG76-AHT76)*H_Exit,0)</f>
        <v>0</v>
      </c>
      <c r="AVU76" s="20" t="n">
        <f aca="false">IF(AND(H_Direct=0,H_TaxEvt=1,ASH75+1&gt;=H_Deemed),MAX(0,AEH76-AHU76)*H_Exit,0)</f>
        <v>0</v>
      </c>
      <c r="AVV76" s="20" t="n">
        <f aca="false">IF(AND(H_Direct=0,H_TaxEvt=1,ASI75+1&gt;=H_Deemed),MAX(0,AEI76-AHV76)*H_Exit,0)</f>
        <v>0</v>
      </c>
      <c r="AVW76" s="20" t="n">
        <f aca="false">IF(AND(H_Direct=0,H_TaxEvt=1,ASJ75+1&gt;=H_Deemed),MAX(0,AEJ76-AHW76)*H_Exit,0)</f>
        <v>0</v>
      </c>
      <c r="AVX76" s="20" t="n">
        <f aca="false">IF(AND(H_Direct=0,H_TaxEvt=1,ASK75+1&gt;=H_Deemed),MAX(0,AEK76-AHX76)*H_Exit,0)</f>
        <v>0</v>
      </c>
      <c r="AVY76" s="20" t="n">
        <f aca="false">IF(AND(H_Direct=0,H_TaxEvt=1,ASL75+1&gt;=H_Deemed),MAX(0,AEL76-AHY76)*H_Exit,0)</f>
        <v>0</v>
      </c>
      <c r="AVZ76" s="20" t="n">
        <f aca="false">IF(AND(H_Direct=0,H_TaxEvt=1,ASM75+1&gt;=H_Deemed),MAX(0,AEM76-AHZ76)*H_Exit,0)</f>
        <v>0</v>
      </c>
      <c r="AWA76" s="20" t="n">
        <f aca="false">IF(AND(H_Direct=0,H_TaxEvt=1,ASN75+1&gt;=H_Deemed),MAX(0,AEN76-AIA76)*H_Exit,0)</f>
        <v>0</v>
      </c>
      <c r="AWB76" s="20" t="n">
        <f aca="false">IF(AND(H_Direct=0,H_TaxEvt=1,ASO75+1&gt;=H_Deemed),MAX(0,AEO76-AIB76)*H_Exit,0)</f>
        <v>0</v>
      </c>
      <c r="AWC76" s="20" t="n">
        <f aca="false">IF(AND(H_Direct=0,H_TaxEvt=1,ASP75+1&gt;=H_Deemed),MAX(0,AEP76-AIC76)*H_Exit,0)</f>
        <v>0</v>
      </c>
      <c r="AWD76" s="20" t="n">
        <f aca="false">IF(AND(H_Direct=0,H_TaxEvt=1,ASQ75+1&gt;=H_Deemed),MAX(0,AEQ76-AID76)*H_Exit,0)</f>
        <v>0</v>
      </c>
      <c r="AWE76" s="20" t="n">
        <f aca="false">IF(AND(H_Direct=0,H_TaxEvt=1,ASR75+1&gt;=H_Deemed),MAX(0,AER76-AIE76)*H_Exit,0)</f>
        <v>0</v>
      </c>
      <c r="AWF76" s="20" t="n">
        <f aca="false">IF(AND(H_Direct=0,H_TaxEvt=1,ASS75+1&gt;=H_Deemed),MAX(0,AES76-AIF76)*H_Exit,0)</f>
        <v>0</v>
      </c>
      <c r="AWG76" s="20" t="n">
        <f aca="false">IF(AND(H_Direct=0,H_TaxEvt=1,AST75+1&gt;=H_Deemed),MAX(0,AET76-AIG76)*H_Exit,0)</f>
        <v>0</v>
      </c>
      <c r="AWH76" s="20" t="n">
        <f aca="false">IF(AND(H_Direct=0,H_TaxEvt=1,ASU75+1&gt;=H_Deemed),MAX(0,AEU76-AIH76)*H_Exit,0)</f>
        <v>0</v>
      </c>
      <c r="AWI76" s="20" t="n">
        <f aca="false">IF(AND(H_Direct=0,H_TaxEvt=1,ASV75+1&gt;=H_Deemed),MAX(0,AEV76-AII76)*H_Exit,0)</f>
        <v>0</v>
      </c>
      <c r="AWJ76" s="20" t="n">
        <f aca="false">IF(AND(H_Direct=0,H_TaxEvt=1,ASW75+1&gt;=H_Deemed),MAX(0,AEW76-AIJ76)*H_Exit,0)</f>
        <v>0</v>
      </c>
      <c r="AWK76" s="20" t="n">
        <f aca="false">IF(AND(H_Direct=0,H_TaxEvt=1,ASX75+1&gt;=H_Deemed),MAX(0,AEX76-AIK76)*H_Exit,0)</f>
        <v>0</v>
      </c>
      <c r="AWL76" s="20" t="n">
        <f aca="false">IF(AND(H_Direct=0,H_TaxEvt=1,ASY75+1&gt;=H_Deemed),MAX(0,AEY76-AIL76)*H_Exit,0)</f>
        <v>0</v>
      </c>
      <c r="AWM76" s="20" t="n">
        <f aca="false">IF(AND(H_Direct=0,H_TaxEvt=1,ASZ75+1&gt;=H_Deemed),MAX(0,AEZ76-AIM76)*H_Exit,0)</f>
        <v>0</v>
      </c>
      <c r="AWN76" s="20" t="n">
        <f aca="false">IF(AND(H_Direct=0,H_TaxEvt=1,ATA75+1&gt;=H_Deemed),MAX(0,AFA76-AIN76)*H_Exit,0)</f>
        <v>0</v>
      </c>
      <c r="AWO76" s="20" t="n">
        <f aca="false">IF(AND(H_Direct=0,H_TaxEvt=1,ATB75+1&gt;=H_Deemed),MAX(0,AFB76-AIO76)*H_Exit,0)</f>
        <v>0</v>
      </c>
      <c r="AWP76" s="20" t="n">
        <f aca="false">IF(AND(H_Direct=0,H_TaxEvt=1,ATC75+1&gt;=H_Deemed),MAX(0,AFC76-AIP76)*H_Exit,0)</f>
        <v>0</v>
      </c>
      <c r="AWQ76" s="20" t="n">
        <f aca="false">IF(AND(H_Direct=0,H_TaxEvt=1,ATD75+1&gt;=H_Deemed),MAX(0,AFD76-AIQ76)*H_Exit,0)</f>
        <v>0</v>
      </c>
      <c r="AWR76" s="20" t="n">
        <f aca="false">IF(AND(H_Direct=0,H_TaxEvt=1,ATE75+1&gt;=H_Deemed),MAX(0,AFE76-AIR76)*H_Exit,0)</f>
        <v>0</v>
      </c>
      <c r="AWS76" s="20" t="n">
        <f aca="false">IF(AND(H_Direct=0,H_TaxEvt=1,ATF75+1&gt;=H_Deemed),MAX(0,AFF76-AIS76)*H_Exit,0)</f>
        <v>0</v>
      </c>
      <c r="AWT76" s="20" t="n">
        <f aca="false">IF(AND(H_Direct=0,H_TaxEvt=1,ATG75+1&gt;=H_Deemed),MAX(0,AFG76-AIT76)*H_Exit,0)</f>
        <v>0</v>
      </c>
      <c r="AWU76" s="20" t="n">
        <f aca="false">IF(AND(H_Direct=0,H_TaxEvt=1,ATH75+1&gt;=H_Deemed),MAX(0,AFH76-AIU76)*H_Exit,0)</f>
        <v>0</v>
      </c>
      <c r="AWV76" s="20" t="n">
        <f aca="false">IF(AND(H_Direct=0,H_TaxEvt=1,ATI75+1&gt;=H_Deemed),MAX(0,AFI76-AIV76)*H_Exit,0)</f>
        <v>0</v>
      </c>
      <c r="AWW76" s="20" t="n">
        <f aca="false">IF(AND(H_Direct=0,H_TaxEvt=1,ATJ75+1&gt;=H_Deemed),MAX(0,AFJ76-AIW76)*H_Exit,0)</f>
        <v>0</v>
      </c>
      <c r="AWX76" s="20" t="n">
        <f aca="false">IF(AND(H_Direct=0,H_TaxEvt=1,ATK75+1&gt;=H_Deemed),MAX(0,AFK76-AIX76)*H_Exit,0)</f>
        <v>0</v>
      </c>
      <c r="AWY76" s="20" t="n">
        <f aca="false">IF(AND(H_Direct=0,H_TaxEvt=1,ATL75+1&gt;=H_Deemed),MAX(0,AFL76-AIY76)*H_Exit,0)</f>
        <v>0</v>
      </c>
      <c r="AWZ76" s="20" t="n">
        <f aca="false">IF(AND(H_Direct=0,H_TaxEvt=1,ATM75+1&gt;=H_Deemed),MAX(0,AFM76-AIZ76)*H_Exit,0)</f>
        <v>0</v>
      </c>
      <c r="AXA76" s="20" t="n">
        <f aca="false">IF(AND(H_Direct=0,H_TaxEvt=1,ATN75+1&gt;=H_Deemed),MAX(0,AFN76-AJA76)*H_Exit,0)</f>
        <v>0</v>
      </c>
      <c r="AXB76" s="20" t="n">
        <f aca="false">IF(AND(H_Direct=0,H_TaxEvt=1,ATO75+1&gt;=H_Deemed),MAX(0,AFO76-AJB76)*H_Exit,0)</f>
        <v>0</v>
      </c>
      <c r="AXC76" s="20" t="n">
        <f aca="false">IF(AND(H_Direct=0,H_TaxEvt=1,ATP75+1&gt;=H_Deemed),MAX(0,AFP76-AJC76)*H_Exit,0)</f>
        <v>0</v>
      </c>
      <c r="AXD76" s="20" t="n">
        <f aca="false">IF(AND(H_Direct=0,H_TaxEvt=1,ATQ75+1&gt;=H_Deemed),MAX(0,AFQ76-AJD76)*H_Exit,0)</f>
        <v>0</v>
      </c>
      <c r="AXE76" s="20" t="n">
        <f aca="false">IF(AND(H_Direct=0,H_TaxEvt=1,ATR75+1&gt;=H_Deemed),MAX(0,AFR76-AJE76)*H_Exit,0)</f>
        <v>0</v>
      </c>
      <c r="AXF76" s="20" t="n">
        <f aca="false">IF(AND(H_Direct=0,H_TaxEvt=1,ATS75+1&gt;=H_Deemed),MAX(0,AFS76-AJF76)*H_Exit,0)</f>
        <v>0</v>
      </c>
      <c r="AXG76" s="20" t="n">
        <f aca="false">IF(AND(H_Direct=0,H_TaxEvt=1,ATT75+1&gt;=H_Deemed),MAX(0,AFT76-AJG76)*H_Exit,0)</f>
        <v>0</v>
      </c>
      <c r="AXH76" s="20" t="n">
        <f aca="false">IF(AND(H_Direct=0,H_TaxEvt=1,ATU75+1&gt;=H_Deemed),MAX(0,AFU76-AJH76)*H_Exit,0)</f>
        <v>0</v>
      </c>
      <c r="AXI76" s="20" t="n">
        <f aca="false">IF(AND(H_Direct=0,H_TaxEvt=1,ATV75+1&gt;=H_Deemed),MAX(0,AFV76-AJI76)*H_Exit,0)</f>
        <v>0</v>
      </c>
      <c r="AXJ76" s="20" t="n">
        <f aca="false">IF(AND(H_Direct=0,H_TaxEvt=1,ATW75+1&gt;=H_Deemed),MAX(0,AFW76-AJJ76)*H_Exit,0)</f>
        <v>0</v>
      </c>
      <c r="AXK76" s="20" t="n">
        <f aca="false">IF(AND(H_Direct=0,H_TaxEvt=1,ATX75+1&gt;=H_Deemed),MAX(0,AFX76-AJK76)*H_Exit,0)</f>
        <v>0</v>
      </c>
      <c r="AXL76" s="20" t="n">
        <f aca="false">IF(AND(H_Direct=0,H_TaxEvt=1,ATY75+1&gt;=H_Deemed),MAX(0,AFY76-AJL76)*H_Exit,0)</f>
        <v>0</v>
      </c>
      <c r="AXM76" s="20" t="n">
        <f aca="false">IF(AND(H_Direct=0,H_TaxEvt=1,ATZ75+1&gt;=H_Deemed),MAX(0,AFZ76-AJM76)*H_Exit,0)</f>
        <v>0</v>
      </c>
      <c r="AXN76" s="20" t="n">
        <f aca="false">IF(AND(H_Direct=0,H_TaxEvt=1,AUA75+1&gt;=H_Deemed),MAX(0,AGA76-AJN76)*H_Exit,0)</f>
        <v>0</v>
      </c>
      <c r="AXO76" s="20" t="n">
        <f aca="false">IF(AND(H_Direct=0,H_TaxEvt=1,AUB75+1&gt;=H_Deemed),MAX(0,AGB76-AJO76)*H_Exit,0)</f>
        <v>0</v>
      </c>
      <c r="AXP76" s="20" t="n">
        <f aca="false">IF(AND(H_Direct=0,H_TaxEvt=1,AUC75+1&gt;=H_Deemed),MAX(0,AGC76-AJP76)*H_Exit,0)</f>
        <v>0</v>
      </c>
      <c r="AXQ76" s="20" t="n">
        <f aca="false">IF(AND(H_Direct=0,H_TaxEvt=1,AUD75+1&gt;=H_Deemed),MAX(0,AGD76-AJQ76)*H_Exit,0)</f>
        <v>0</v>
      </c>
      <c r="AXR76" s="20" t="n">
        <f aca="false">IF(AND(H_Direct=0,H_TaxEvt=1,AUE75+1&gt;=H_Deemed),MAX(0,AGE76-AJR76)*H_Exit,0)</f>
        <v>0</v>
      </c>
      <c r="AXS76" s="20" t="n">
        <f aca="false">IF(AND(H_Direct=0,H_TaxEvt=1,AUF75+1&gt;=H_Deemed),MAX(0,AGF76-AJS76)*H_Exit,0)</f>
        <v>0</v>
      </c>
      <c r="AXT76" s="20" t="n">
        <f aca="false">IF(AND(H_Direct=0,H_TaxEvt=1,AUG75+1&gt;=H_Deemed),MAX(0,AGG76-AJT76)*H_Exit,0)</f>
        <v>0</v>
      </c>
      <c r="AXU76" s="20" t="n">
        <f aca="false">IF(AND(H_Direct=0,H_TaxEvt=1,AUH75+1&gt;=H_Deemed),MAX(0,AGH76-AJU76)*H_Exit,0)</f>
        <v>0</v>
      </c>
      <c r="AXV76" s="20" t="n">
        <f aca="false">IF(AND(H_Direct=0,H_TaxEvt=1,0+1&gt;=H_Deemed),MAX(0,AGI76-AJV76)*H_Exit,0)</f>
        <v>0</v>
      </c>
      <c r="AXW76" s="20" t="n">
        <v>0</v>
      </c>
      <c r="AXX76" s="20" t="n">
        <v>0</v>
      </c>
      <c r="AXY76" s="20" t="n">
        <v>0</v>
      </c>
      <c r="AXZ76" s="20" t="n">
        <v>0</v>
      </c>
      <c r="AYA76" s="20" t="n">
        <v>0</v>
      </c>
      <c r="AYB76" s="20" t="n">
        <v>0</v>
      </c>
      <c r="AYC76" s="20" t="n">
        <v>0</v>
      </c>
      <c r="AYD76" s="20" t="n">
        <v>0</v>
      </c>
      <c r="AYE76" s="20" t="n">
        <v>0</v>
      </c>
      <c r="AYF76" s="20" t="n">
        <v>0</v>
      </c>
      <c r="AYG76" s="20" t="n">
        <v>0</v>
      </c>
      <c r="AYH76" s="20" t="n">
        <v>0</v>
      </c>
      <c r="AYI76" s="20" t="n">
        <v>0</v>
      </c>
      <c r="AYJ76" s="20" t="n">
        <v>0</v>
      </c>
      <c r="AYK76" s="20" t="n">
        <v>0</v>
      </c>
      <c r="AYL76" s="20" t="n">
        <v>0</v>
      </c>
      <c r="AYM76" s="20" t="n">
        <v>0</v>
      </c>
      <c r="AYN76" s="20" t="n">
        <v>0</v>
      </c>
      <c r="AYO76" s="20" t="n">
        <v>0</v>
      </c>
      <c r="AYP76" s="20" t="n">
        <v>0</v>
      </c>
      <c r="AYQ76" s="20" t="n">
        <v>0</v>
      </c>
    </row>
    <row r="77" customFormat="false" ht="15" hidden="false" customHeight="false" outlineLevel="0" collapsed="false">
      <c r="B77" s="20" t="n">
        <v>69</v>
      </c>
      <c r="C77" s="20" t="n">
        <f aca="false">'Plan cashflow'!C77</f>
        <v>0</v>
      </c>
      <c r="D77" s="20" t="n">
        <f aca="false">'Plan cashflow'!D77</f>
        <v>107</v>
      </c>
      <c r="E77" s="20" t="n">
        <f aca="false">AS_Year0+69</f>
        <v>2095</v>
      </c>
      <c r="F77" s="50" t="n">
        <f aca="false">'Plan cashflow'!F77</f>
        <v>3.92113551259651</v>
      </c>
      <c r="G77" s="59" t="n">
        <f aca="true">IF(MAX(TODAY(),DATE(E77,1,1))&gt;=H_CGTfrom,H_CGT1,H_CGT0)</f>
        <v>0.31</v>
      </c>
      <c r="H77" s="20" t="n">
        <f aca="false">H_Exempt*H_Persons</f>
        <v>1270</v>
      </c>
      <c r="I77" s="20" t="n">
        <f aca="false">AX76</f>
        <v>0</v>
      </c>
      <c r="J77" s="60" t="n">
        <f aca="false">BF76</f>
        <v>0</v>
      </c>
      <c r="K77" s="60" t="n">
        <f aca="false">BG76</f>
        <v>0</v>
      </c>
      <c r="L77" s="20" t="n">
        <f aca="false">IF(AND(In_polLump&gt;0,In_polLumpAge&gt;0,D77=In_polLumpAge),In_polLump,0)</f>
        <v>0</v>
      </c>
      <c r="M77" s="20" t="n">
        <f aca="false">IF(AND(In_homeUse="Yes, I'd downsize",In_downAge&gt;0,D77=In_downAge,OR(In_home="Own outright",In_home="Own with mortgage"),In_homeValue&gt;0),MAX(0,MAX(0,In_homeValue-In_downValue)*F77*0.9-'Plan cashflow'!HR76),0)</f>
        <v>0</v>
      </c>
      <c r="N77" s="20" t="n">
        <f aca="false">'Plan pay &amp; tax'!Y303</f>
        <v>0</v>
      </c>
      <c r="O77" s="20" t="n">
        <f aca="false">L77+M77+(1-H_Sh)*N77</f>
        <v>0</v>
      </c>
      <c r="P77" s="20" t="n">
        <f aca="false">H_Sh*N77</f>
        <v>0</v>
      </c>
      <c r="Q77" s="20" t="n">
        <f aca="false">'Plan cashflow'!UL77</f>
        <v>0</v>
      </c>
      <c r="R77" s="20" t="n">
        <f aca="false">(1-H_Sh)*Q77</f>
        <v>0</v>
      </c>
      <c r="S77" s="20" t="n">
        <f aca="false">H_Sh*Q77</f>
        <v>0</v>
      </c>
      <c r="T77" s="20" t="n">
        <f aca="false">J77+K77+O77</f>
        <v>0</v>
      </c>
      <c r="U77" s="20" t="n">
        <f aca="false">T77+R77</f>
        <v>0</v>
      </c>
      <c r="V77" s="60" t="n">
        <f aca="false">SUM(FE77:IQ77)</f>
        <v>0</v>
      </c>
      <c r="W77" s="60" t="n">
        <f aca="false">IF(AJ77&lt;=0,0,IF(AL77&lt;=0,AJ77,AJ77-G77*MAX(0,AL77*AJ77-(AY77+AZ77))))</f>
        <v>0</v>
      </c>
      <c r="X77" s="60" t="n">
        <f aca="false">IF(AR77&lt;=0,0,IF(AT77&lt;=0,AR77,AR77-G77*MAX(0,AT77*AR77-(BA77+BB77))))</f>
        <v>0</v>
      </c>
      <c r="Y77" s="60" t="n">
        <f aca="false">T77+V77-S77+W77+X77</f>
        <v>0</v>
      </c>
      <c r="Z77" s="60" t="n">
        <f aca="false">'Plan cashflow'!UK77</f>
        <v>0</v>
      </c>
      <c r="AA77" s="20" t="n">
        <f aca="false">MIN(Z77,U77)</f>
        <v>0</v>
      </c>
      <c r="AB77" s="20" t="n">
        <f aca="false">Z77-AA77</f>
        <v>0</v>
      </c>
      <c r="AC77" s="20" t="n">
        <f aca="false">MIN(AA77,J77+O77+R77)</f>
        <v>0</v>
      </c>
      <c r="AD77" s="20" t="n">
        <f aca="false">AA77-AC77</f>
        <v>0</v>
      </c>
      <c r="AE77" s="20" t="n">
        <f aca="false">J77+O77+R77-AC77</f>
        <v>0</v>
      </c>
      <c r="AF77" s="20" t="n">
        <f aca="false">K77-AD77</f>
        <v>0</v>
      </c>
      <c r="AG77" s="20" t="n">
        <f aca="false">SUM(PR77:TD77)</f>
        <v>0</v>
      </c>
      <c r="AH77" s="20" t="n">
        <f aca="false">SUM(TE77:WQ77)</f>
        <v>0</v>
      </c>
      <c r="AI77" s="20" t="n">
        <f aca="false">MAX(0,AB77-AG77)</f>
        <v>0</v>
      </c>
      <c r="AJ77" s="57" t="n">
        <f aca="false">BI76</f>
        <v>0</v>
      </c>
      <c r="AK77" s="20" t="n">
        <f aca="false">BJ76</f>
        <v>0</v>
      </c>
      <c r="AL77" s="20" t="n">
        <f aca="false">IF(AJ77&gt;0,(AJ77-AK77)/AJ77,0)</f>
        <v>0</v>
      </c>
      <c r="AM77" s="20" t="n">
        <f aca="false">IF(AJ77&lt;=0,0,IF(AL77&lt;=0,MIN(AI77,AJ77),MIN(AI77,AJ77-G77*MAX(0,AL77*AJ77-(AAD77+ADQ77)))))</f>
        <v>0</v>
      </c>
      <c r="AN77" s="20" t="n">
        <f aca="false">IF(AJ77&lt;=0,0,IF(AL77&lt;=0,AM77,IF(AM77&lt;=(AAD77+ADQ77)/AL77,AM77,(AM77-G77*(AAD77+ADQ77))/(1-G77*AL77))))</f>
        <v>0</v>
      </c>
      <c r="AO77" s="20" t="n">
        <f aca="false">IF(AL77&gt;0,MAX(0,AAD77-(MIN(AL77*AN77,(AAD77+ADQ77))-MIN(MIN(AL77*AN77,(AAD77+ADQ77)),ADQ77))),AAD77)</f>
        <v>1270</v>
      </c>
      <c r="AP77" s="20" t="n">
        <f aca="false">IF(AL77&lt;=0,ADQ77-AL77*AN77,ADQ77-MIN(MIN(AL77*AN77,(AAD77+ADQ77)),ADQ77))</f>
        <v>0</v>
      </c>
      <c r="AQ77" s="20" t="n">
        <f aca="false">MAX(0,AI77-AM77)</f>
        <v>0</v>
      </c>
      <c r="AR77" s="57" t="n">
        <f aca="false">BK76</f>
        <v>0</v>
      </c>
      <c r="AS77" s="20" t="n">
        <f aca="false">BL76</f>
        <v>0</v>
      </c>
      <c r="AT77" s="20" t="n">
        <f aca="false">IF(AR77&gt;0,(AR77-AS77)/AR77,0)</f>
        <v>0</v>
      </c>
      <c r="AU77" s="20" t="n">
        <f aca="false">IF(AR77&lt;=0,0,IF(AT77&lt;=0,MIN(AQ77,AR77),MIN(AQ77,AR77-G77*MAX(0,AT77*AR77-(AO77+AP77)))))</f>
        <v>0</v>
      </c>
      <c r="AV77" s="20" t="n">
        <f aca="false">IF(AR77&lt;=0,0,IF(AT77&lt;=0,AU77,IF(AU77&lt;=(AO77+AP77)/AT77,AU77,(AU77-G77*(AO77+AP77))/(1-G77*AT77))))</f>
        <v>0</v>
      </c>
      <c r="AW77" s="20" t="n">
        <f aca="false">IF(AT77&gt;0,MAX(0,AO77-(MIN(AT77*AV77,(AO77+AP77))-MIN(MIN(AT77*AV77,(AO77+AP77)),AP77))),AO77)</f>
        <v>1270</v>
      </c>
      <c r="AX77" s="20" t="n">
        <f aca="false">IF(AT77&lt;=0,AP77-AT77*AV77,AP77-MIN(MIN(AT77*AV77,(AO77+AP77)),AP77))</f>
        <v>0</v>
      </c>
      <c r="AY77" s="20" t="n">
        <f aca="false">MD77</f>
        <v>1270</v>
      </c>
      <c r="AZ77" s="20" t="n">
        <f aca="false">PQ77</f>
        <v>0</v>
      </c>
      <c r="BA77" s="20" t="n">
        <f aca="false">IF(AL77&gt;0,MAX(0,AY77-(MIN(AL77*AJ77,AY77+AZ77)-MIN(MIN(AL77*AJ77,AY77+AZ77),AZ77))),AY77)</f>
        <v>1270</v>
      </c>
      <c r="BB77" s="20" t="n">
        <f aca="false">IF(AL77&lt;=0,AZ77-AL77*AJ77,AZ77-MIN(MIN(AL77*AJ77,AY77+AZ77),AZ77))</f>
        <v>0</v>
      </c>
      <c r="BC77" s="20" t="n">
        <f aca="false">'Plan cashflow'!UM77</f>
        <v>0</v>
      </c>
      <c r="BD77" s="20" t="n">
        <f aca="false">(1-H_Sh)*BC77</f>
        <v>0</v>
      </c>
      <c r="BE77" s="20" t="n">
        <f aca="false">H_Sh*BC77</f>
        <v>0</v>
      </c>
      <c r="BF77" s="60" t="n">
        <f aca="false">(AE77+BD77)*(1+AS_Cash)</f>
        <v>0</v>
      </c>
      <c r="BG77" s="60" t="n">
        <f aca="false">AF77*(1+AS_Cash)</f>
        <v>0</v>
      </c>
      <c r="BH77" s="60" t="n">
        <f aca="false">SUM(AKR77:AOD77)</f>
        <v>0</v>
      </c>
      <c r="BI77" s="60" t="n">
        <f aca="false">(AJ77-AN77)*(1+AS_Infl)</f>
        <v>0</v>
      </c>
      <c r="BJ77" s="20" t="n">
        <f aca="false">IF(AJ77&gt;0,AK77-AK77*AN77/AJ77,0)</f>
        <v>0</v>
      </c>
      <c r="BK77" s="60" t="n">
        <f aca="false">(AR77-AV77)*(1+BQ77)</f>
        <v>0</v>
      </c>
      <c r="BL77" s="20" t="n">
        <f aca="false">IF(AR77&gt;0,AS77-AS77*AV77/AR77,0)</f>
        <v>0</v>
      </c>
      <c r="BM77" s="60" t="n">
        <f aca="false">BF77+BG77+BH77+BI77+BK77</f>
        <v>0</v>
      </c>
      <c r="BN77" s="60" t="n">
        <f aca="false">(AH77-AG77)+(AN77-AM77)+(AV77-AU77)</f>
        <v>0</v>
      </c>
      <c r="BO77" s="20" t="n">
        <f aca="false">(AE77+BD77+AF77+MAX(0,'Plan cashflow'!QH77)+IF(Slot1_Rate=AS_Cash,'Plan cashflow'!QM77/(1+AS_Cash),0)+IF(Slot2_Rate=AS_Cash,'Plan cashflow'!QQ77/(1+AS_Cash),0)+IF(Slot3_Rate=AS_Cash,'Plan cashflow'!QU77/(1+AS_Cash),0)+IF(Slot4_Rate=AS_Cash,'Plan cashflow'!QY77/(1+AS_Cash),0)+IF(Slot5_Rate=AS_Cash,'Plan cashflow'!RC77/(1+AS_Cash),0)+IF(Slot6_Rate=AS_Cash,'Plan cashflow'!RG77/(1+AS_Cash),0)+IF(Slot7_Rate=AS_Cash,'Plan cashflow'!RK77/(1+AS_Cash),0)+IF(Slot8_Rate=AS_Cash,'Plan cashflow'!RO77/(1+AS_Cash),0)+IF(Slot9_Rate=AS_Cash,'Plan cashflow'!RS77/(1+AS_Cash),0)+IF(Slot10_Rate=AS_Cash,'Plan cashflow'!RW77/(1+AS_Cash),0)+IF(Slot11_Rate=AS_Cash,'Plan cashflow'!SA77/(1+AS_Cash),0)+IF(Slot12_Rate=AS_Cash,'Plan cashflow'!SE77/(1+AS_Cash),0)+IF(Slot13_Rate=AS_Cash,'Plan cashflow'!SI77/(1+AS_Cash),0)+IF(Slot14_Rate=AS_Cash,'Plan cashflow'!SM77/(1+AS_Cash),0)+IF(Slot15_Rate=AS_Cash,'Plan cashflow'!SQ77/(1+AS_Cash),0)+IF(Slot16_Rate=AS_Cash,'Plan cashflow'!SU77/(1+AS_Cash),0)+IF(Slot17_Rate=AS_Cash,'Plan cashflow'!SY77/(1+AS_Cash),0)+IF(Slot18_Rate=AS_Cash,'Plan cashflow'!TC77/(1+AS_Cash),0)+IF(Slot19_Rate=AS_Cash,'Plan cashflow'!TG77/(1+AS_Cash),0)+IF(Slot20_Rate=AS_Cash,'Plan cashflow'!TK77/(1+AS_Cash),0))*AS_Cash*H_DIRT/(1-H_DIRT)</f>
        <v>0</v>
      </c>
      <c r="BP77" s="60" t="n">
        <f aca="false">SUM(AVE77:AYQ77)</f>
        <v>0</v>
      </c>
      <c r="BQ77" s="54" t="n">
        <f aca="false">IF(H_TaxEvt=1,H_InvG,AS_Inv)</f>
        <v>0.04</v>
      </c>
      <c r="BR77" s="20" t="n">
        <f aca="false">IF(AKR76&gt;0,(AKR76-AOE76)/AKR76,0)</f>
        <v>0</v>
      </c>
      <c r="BS77" s="20" t="n">
        <f aca="false">IF(AKS76&gt;0,(AKS76-AOF76)/AKS76,0)</f>
        <v>0</v>
      </c>
      <c r="BT77" s="20" t="n">
        <f aca="false">IF(AKT76&gt;0,(AKT76-AOG76)/AKT76,0)</f>
        <v>0</v>
      </c>
      <c r="BU77" s="20" t="n">
        <f aca="false">IF(AKU76&gt;0,(AKU76-AOH76)/AKU76,0)</f>
        <v>0</v>
      </c>
      <c r="BV77" s="20" t="n">
        <f aca="false">IF(AKV76&gt;0,(AKV76-AOI76)/AKV76,0)</f>
        <v>0</v>
      </c>
      <c r="BW77" s="20" t="n">
        <f aca="false">IF(AKW76&gt;0,(AKW76-AOJ76)/AKW76,0)</f>
        <v>0</v>
      </c>
      <c r="BX77" s="20" t="n">
        <f aca="false">IF(AKX76&gt;0,(AKX76-AOK76)/AKX76,0)</f>
        <v>0</v>
      </c>
      <c r="BY77" s="20" t="n">
        <f aca="false">IF(AKY76&gt;0,(AKY76-AOL76)/AKY76,0)</f>
        <v>0</v>
      </c>
      <c r="BZ77" s="20" t="n">
        <f aca="false">IF(AKZ76&gt;0,(AKZ76-AOM76)/AKZ76,0)</f>
        <v>0</v>
      </c>
      <c r="CA77" s="20" t="n">
        <f aca="false">IF(ALA76&gt;0,(ALA76-AON76)/ALA76,0)</f>
        <v>0</v>
      </c>
      <c r="CB77" s="20" t="n">
        <f aca="false">IF(ALB76&gt;0,(ALB76-AOO76)/ALB76,0)</f>
        <v>0</v>
      </c>
      <c r="CC77" s="20" t="n">
        <f aca="false">IF(ALC76&gt;0,(ALC76-AOP76)/ALC76,0)</f>
        <v>0</v>
      </c>
      <c r="CD77" s="20" t="n">
        <f aca="false">IF(ALD76&gt;0,(ALD76-AOQ76)/ALD76,0)</f>
        <v>0</v>
      </c>
      <c r="CE77" s="20" t="n">
        <f aca="false">IF(ALE76&gt;0,(ALE76-AOR76)/ALE76,0)</f>
        <v>0</v>
      </c>
      <c r="CF77" s="20" t="n">
        <f aca="false">IF(ALF76&gt;0,(ALF76-AOS76)/ALF76,0)</f>
        <v>0</v>
      </c>
      <c r="CG77" s="20" t="n">
        <f aca="false">IF(ALG76&gt;0,(ALG76-AOT76)/ALG76,0)</f>
        <v>0</v>
      </c>
      <c r="CH77" s="20" t="n">
        <f aca="false">IF(ALH76&gt;0,(ALH76-AOU76)/ALH76,0)</f>
        <v>0</v>
      </c>
      <c r="CI77" s="20" t="n">
        <f aca="false">IF(ALI76&gt;0,(ALI76-AOV76)/ALI76,0)</f>
        <v>0</v>
      </c>
      <c r="CJ77" s="20" t="n">
        <f aca="false">IF(ALJ76&gt;0,(ALJ76-AOW76)/ALJ76,0)</f>
        <v>0</v>
      </c>
      <c r="CK77" s="20" t="n">
        <f aca="false">IF(ALK76&gt;0,(ALK76-AOX76)/ALK76,0)</f>
        <v>0</v>
      </c>
      <c r="CL77" s="20" t="n">
        <f aca="false">IF(ALL76&gt;0,(ALL76-AOY76)/ALL76,0)</f>
        <v>0</v>
      </c>
      <c r="CM77" s="20" t="n">
        <f aca="false">IF(ALM76&gt;0,(ALM76-AOZ76)/ALM76,0)</f>
        <v>0</v>
      </c>
      <c r="CN77" s="20" t="n">
        <f aca="false">IF(ALN76&gt;0,(ALN76-APA76)/ALN76,0)</f>
        <v>0</v>
      </c>
      <c r="CO77" s="20" t="n">
        <f aca="false">IF(ALO76&gt;0,(ALO76-APB76)/ALO76,0)</f>
        <v>0</v>
      </c>
      <c r="CP77" s="20" t="n">
        <f aca="false">IF(ALP76&gt;0,(ALP76-APC76)/ALP76,0)</f>
        <v>0</v>
      </c>
      <c r="CQ77" s="20" t="n">
        <f aca="false">IF(ALQ76&gt;0,(ALQ76-APD76)/ALQ76,0)</f>
        <v>0</v>
      </c>
      <c r="CR77" s="20" t="n">
        <f aca="false">IF(ALR76&gt;0,(ALR76-APE76)/ALR76,0)</f>
        <v>0</v>
      </c>
      <c r="CS77" s="20" t="n">
        <f aca="false">IF(ALS76&gt;0,(ALS76-APF76)/ALS76,0)</f>
        <v>0</v>
      </c>
      <c r="CT77" s="20" t="n">
        <f aca="false">IF(ALT76&gt;0,(ALT76-APG76)/ALT76,0)</f>
        <v>0</v>
      </c>
      <c r="CU77" s="20" t="n">
        <f aca="false">IF(ALU76&gt;0,(ALU76-APH76)/ALU76,0)</f>
        <v>0</v>
      </c>
      <c r="CV77" s="20" t="n">
        <f aca="false">IF(ALV76&gt;0,(ALV76-API76)/ALV76,0)</f>
        <v>0</v>
      </c>
      <c r="CW77" s="20" t="n">
        <f aca="false">IF(ALW76&gt;0,(ALW76-APJ76)/ALW76,0)</f>
        <v>0</v>
      </c>
      <c r="CX77" s="20" t="n">
        <f aca="false">IF(ALX76&gt;0,(ALX76-APK76)/ALX76,0)</f>
        <v>0</v>
      </c>
      <c r="CY77" s="20" t="n">
        <f aca="false">IF(ALY76&gt;0,(ALY76-APL76)/ALY76,0)</f>
        <v>0</v>
      </c>
      <c r="CZ77" s="20" t="n">
        <f aca="false">IF(ALZ76&gt;0,(ALZ76-APM76)/ALZ76,0)</f>
        <v>0</v>
      </c>
      <c r="DA77" s="20" t="n">
        <f aca="false">IF(AMA76&gt;0,(AMA76-APN76)/AMA76,0)</f>
        <v>0</v>
      </c>
      <c r="DB77" s="20" t="n">
        <f aca="false">IF(AMB76&gt;0,(AMB76-APO76)/AMB76,0)</f>
        <v>0</v>
      </c>
      <c r="DC77" s="20" t="n">
        <f aca="false">IF(AMC76&gt;0,(AMC76-APP76)/AMC76,0)</f>
        <v>0</v>
      </c>
      <c r="DD77" s="20" t="n">
        <f aca="false">IF(AMD76&gt;0,(AMD76-APQ76)/AMD76,0)</f>
        <v>0</v>
      </c>
      <c r="DE77" s="20" t="n">
        <f aca="false">IF(AME76&gt;0,(AME76-APR76)/AME76,0)</f>
        <v>0</v>
      </c>
      <c r="DF77" s="20" t="n">
        <f aca="false">IF(AMF76&gt;0,(AMF76-APS76)/AMF76,0)</f>
        <v>0</v>
      </c>
      <c r="DG77" s="20" t="n">
        <f aca="false">IF(AMG76&gt;0,(AMG76-APT76)/AMG76,0)</f>
        <v>0</v>
      </c>
      <c r="DH77" s="20" t="n">
        <f aca="false">IF(AMH76&gt;0,(AMH76-APU76)/AMH76,0)</f>
        <v>0</v>
      </c>
      <c r="DI77" s="20" t="n">
        <f aca="false">IF(AMI76&gt;0,(AMI76-APV76)/AMI76,0)</f>
        <v>0</v>
      </c>
      <c r="DJ77" s="20" t="n">
        <f aca="false">IF(AMJ76&gt;0,(AMJ76-APW76)/AMJ76,0)</f>
        <v>0</v>
      </c>
      <c r="DK77" s="20" t="n">
        <f aca="false">IF(AMK76&gt;0,(AMK76-APX76)/AMK76,0)</f>
        <v>0</v>
      </c>
      <c r="DL77" s="20" t="n">
        <f aca="false">IF(AML76&gt;0,(AML76-APY76)/AML76,0)</f>
        <v>0</v>
      </c>
      <c r="DM77" s="20" t="n">
        <f aca="false">IF(AMM76&gt;0,(AMM76-APZ76)/AMM76,0)</f>
        <v>0</v>
      </c>
      <c r="DN77" s="20" t="n">
        <f aca="false">IF(AMN76&gt;0,(AMN76-AQA76)/AMN76,0)</f>
        <v>0</v>
      </c>
      <c r="DO77" s="20" t="n">
        <f aca="false">IF(AMO76&gt;0,(AMO76-AQB76)/AMO76,0)</f>
        <v>0</v>
      </c>
      <c r="DP77" s="20" t="n">
        <f aca="false">IF(AMP76&gt;0,(AMP76-AQC76)/AMP76,0)</f>
        <v>0</v>
      </c>
      <c r="DQ77" s="20" t="n">
        <f aca="false">IF(AMQ76&gt;0,(AMQ76-AQD76)/AMQ76,0)</f>
        <v>0</v>
      </c>
      <c r="DR77" s="20" t="n">
        <f aca="false">IF(AMR76&gt;0,(AMR76-AQE76)/AMR76,0)</f>
        <v>0</v>
      </c>
      <c r="DS77" s="20" t="n">
        <f aca="false">IF(AMS76&gt;0,(AMS76-AQF76)/AMS76,0)</f>
        <v>0</v>
      </c>
      <c r="DT77" s="20" t="n">
        <f aca="false">IF(AMT76&gt;0,(AMT76-AQG76)/AMT76,0)</f>
        <v>0</v>
      </c>
      <c r="DU77" s="20" t="n">
        <f aca="false">IF(AMU76&gt;0,(AMU76-AQH76)/AMU76,0)</f>
        <v>0</v>
      </c>
      <c r="DV77" s="20" t="n">
        <f aca="false">IF(AMV76&gt;0,(AMV76-AQI76)/AMV76,0)</f>
        <v>0</v>
      </c>
      <c r="DW77" s="20" t="n">
        <f aca="false">IF(AMW76&gt;0,(AMW76-AQJ76)/AMW76,0)</f>
        <v>0</v>
      </c>
      <c r="DX77" s="20" t="n">
        <f aca="false">IF(AMX76&gt;0,(AMX76-AQK76)/AMX76,0)</f>
        <v>0</v>
      </c>
      <c r="DY77" s="20" t="n">
        <f aca="false">IF(AMY76&gt;0,(AMY76-AQL76)/AMY76,0)</f>
        <v>0</v>
      </c>
      <c r="DZ77" s="20" t="n">
        <f aca="false">IF(AMZ76&gt;0,(AMZ76-AQM76)/AMZ76,0)</f>
        <v>0</v>
      </c>
      <c r="EA77" s="20" t="n">
        <f aca="false">IF(ANA76&gt;0,(ANA76-AQN76)/ANA76,0)</f>
        <v>0</v>
      </c>
      <c r="EB77" s="20" t="n">
        <f aca="false">IF(ANB76&gt;0,(ANB76-AQO76)/ANB76,0)</f>
        <v>0</v>
      </c>
      <c r="EC77" s="20" t="n">
        <f aca="false">IF(ANC76&gt;0,(ANC76-AQP76)/ANC76,0)</f>
        <v>0</v>
      </c>
      <c r="ED77" s="20" t="n">
        <f aca="false">IF(AND76&gt;0,(AND76-AQQ76)/AND76,0)</f>
        <v>0</v>
      </c>
      <c r="EE77" s="20" t="n">
        <f aca="false">IF(ANE76&gt;0,(ANE76-AQR76)/ANE76,0)</f>
        <v>0</v>
      </c>
      <c r="EF77" s="20" t="n">
        <f aca="false">IF(ANF76&gt;0,(ANF76-AQS76)/ANF76,0)</f>
        <v>0</v>
      </c>
      <c r="EG77" s="20" t="n">
        <f aca="false">IF(ANG76&gt;0,(ANG76-AQT76)/ANG76,0)</f>
        <v>0</v>
      </c>
      <c r="EH77" s="20" t="n">
        <f aca="false">IF(ANH76&gt;0,(ANH76-AQU76)/ANH76,0)</f>
        <v>0</v>
      </c>
      <c r="EI77" s="20" t="n">
        <f aca="false">IF(ANI76&gt;0,(ANI76-AQV76)/ANI76,0)</f>
        <v>0</v>
      </c>
      <c r="EJ77" s="20" t="n">
        <f aca="false">IF((P77+S77)&gt;0,((P77+S77)-(P77+S77))/(P77+S77),0)</f>
        <v>0</v>
      </c>
      <c r="EK77" s="20" t="n">
        <v>0</v>
      </c>
      <c r="EL77" s="20" t="n">
        <v>0</v>
      </c>
      <c r="EM77" s="20" t="n">
        <v>0</v>
      </c>
      <c r="EN77" s="20" t="n">
        <v>0</v>
      </c>
      <c r="EO77" s="20" t="n">
        <v>0</v>
      </c>
      <c r="EP77" s="20" t="n">
        <v>0</v>
      </c>
      <c r="EQ77" s="20" t="n">
        <v>0</v>
      </c>
      <c r="ER77" s="20" t="n">
        <v>0</v>
      </c>
      <c r="ES77" s="20" t="n">
        <v>0</v>
      </c>
      <c r="ET77" s="20" t="n">
        <v>0</v>
      </c>
      <c r="EU77" s="20" t="n">
        <v>0</v>
      </c>
      <c r="EV77" s="20" t="n">
        <v>0</v>
      </c>
      <c r="EW77" s="20" t="n">
        <v>0</v>
      </c>
      <c r="EX77" s="20" t="n">
        <v>0</v>
      </c>
      <c r="EY77" s="20" t="n">
        <v>0</v>
      </c>
      <c r="EZ77" s="20" t="n">
        <v>0</v>
      </c>
      <c r="FA77" s="20" t="n">
        <v>0</v>
      </c>
      <c r="FB77" s="20" t="n">
        <v>0</v>
      </c>
      <c r="FC77" s="20" t="n">
        <v>0</v>
      </c>
      <c r="FD77" s="20" t="n">
        <v>0</v>
      </c>
      <c r="FE77" s="20" t="n">
        <f aca="false">IF(H_Direct=1,IF(AKR76&lt;=0,0,IF(BR77&lt;=0,AKR76,AKR76-G77*MAX(0,BR77*AKR76-(H77+I77)))),AKR76*(1-MAX(0,BR77)*H_Exit))</f>
        <v>0</v>
      </c>
      <c r="FF77" s="20" t="n">
        <f aca="false">IF(H_Direct=1,IF(AKS76&lt;=0,0,IF(BS77&lt;=0,AKS76,AKS76-G77*MAX(0,BS77*AKS76-(IR77+ME77)))),AKS76*(1-MAX(0,BS77)*H_Exit))</f>
        <v>0</v>
      </c>
      <c r="FG77" s="20" t="n">
        <f aca="false">IF(H_Direct=1,IF(AKT76&lt;=0,0,IF(BT77&lt;=0,AKT76,AKT76-G77*MAX(0,BT77*AKT76-(IS77+MF77)))),AKT76*(1-MAX(0,BT77)*H_Exit))</f>
        <v>0</v>
      </c>
      <c r="FH77" s="20" t="n">
        <f aca="false">IF(H_Direct=1,IF(AKU76&lt;=0,0,IF(BU77&lt;=0,AKU76,AKU76-G77*MAX(0,BU77*AKU76-(IT77+MG77)))),AKU76*(1-MAX(0,BU77)*H_Exit))</f>
        <v>0</v>
      </c>
      <c r="FI77" s="20" t="n">
        <f aca="false">IF(H_Direct=1,IF(AKV76&lt;=0,0,IF(BV77&lt;=0,AKV76,AKV76-G77*MAX(0,BV77*AKV76-(IU77+MH77)))),AKV76*(1-MAX(0,BV77)*H_Exit))</f>
        <v>0</v>
      </c>
      <c r="FJ77" s="20" t="n">
        <f aca="false">IF(H_Direct=1,IF(AKW76&lt;=0,0,IF(BW77&lt;=0,AKW76,AKW76-G77*MAX(0,BW77*AKW76-(IV77+MI77)))),AKW76*(1-MAX(0,BW77)*H_Exit))</f>
        <v>0</v>
      </c>
      <c r="FK77" s="20" t="n">
        <f aca="false">IF(H_Direct=1,IF(AKX76&lt;=0,0,IF(BX77&lt;=0,AKX76,AKX76-G77*MAX(0,BX77*AKX76-(IW77+MJ77)))),AKX76*(1-MAX(0,BX77)*H_Exit))</f>
        <v>0</v>
      </c>
      <c r="FL77" s="20" t="n">
        <f aca="false">IF(H_Direct=1,IF(AKY76&lt;=0,0,IF(BY77&lt;=0,AKY76,AKY76-G77*MAX(0,BY77*AKY76-(IX77+MK77)))),AKY76*(1-MAX(0,BY77)*H_Exit))</f>
        <v>0</v>
      </c>
      <c r="FM77" s="20" t="n">
        <f aca="false">IF(H_Direct=1,IF(AKZ76&lt;=0,0,IF(BZ77&lt;=0,AKZ76,AKZ76-G77*MAX(0,BZ77*AKZ76-(IY77+ML77)))),AKZ76*(1-MAX(0,BZ77)*H_Exit))</f>
        <v>0</v>
      </c>
      <c r="FN77" s="20" t="n">
        <f aca="false">IF(H_Direct=1,IF(ALA76&lt;=0,0,IF(CA77&lt;=0,ALA76,ALA76-G77*MAX(0,CA77*ALA76-(IZ77+MM77)))),ALA76*(1-MAX(0,CA77)*H_Exit))</f>
        <v>0</v>
      </c>
      <c r="FO77" s="20" t="n">
        <f aca="false">IF(H_Direct=1,IF(ALB76&lt;=0,0,IF(CB77&lt;=0,ALB76,ALB76-G77*MAX(0,CB77*ALB76-(JA77+MN77)))),ALB76*(1-MAX(0,CB77)*H_Exit))</f>
        <v>0</v>
      </c>
      <c r="FP77" s="20" t="n">
        <f aca="false">IF(H_Direct=1,IF(ALC76&lt;=0,0,IF(CC77&lt;=0,ALC76,ALC76-G77*MAX(0,CC77*ALC76-(JB77+MO77)))),ALC76*(1-MAX(0,CC77)*H_Exit))</f>
        <v>0</v>
      </c>
      <c r="FQ77" s="20" t="n">
        <f aca="false">IF(H_Direct=1,IF(ALD76&lt;=0,0,IF(CD77&lt;=0,ALD76,ALD76-G77*MAX(0,CD77*ALD76-(JC77+MP77)))),ALD76*(1-MAX(0,CD77)*H_Exit))</f>
        <v>0</v>
      </c>
      <c r="FR77" s="20" t="n">
        <f aca="false">IF(H_Direct=1,IF(ALE76&lt;=0,0,IF(CE77&lt;=0,ALE76,ALE76-G77*MAX(0,CE77*ALE76-(JD77+MQ77)))),ALE76*(1-MAX(0,CE77)*H_Exit))</f>
        <v>0</v>
      </c>
      <c r="FS77" s="20" t="n">
        <f aca="false">IF(H_Direct=1,IF(ALF76&lt;=0,0,IF(CF77&lt;=0,ALF76,ALF76-G77*MAX(0,CF77*ALF76-(JE77+MR77)))),ALF76*(1-MAX(0,CF77)*H_Exit))</f>
        <v>0</v>
      </c>
      <c r="FT77" s="20" t="n">
        <f aca="false">IF(H_Direct=1,IF(ALG76&lt;=0,0,IF(CG77&lt;=0,ALG76,ALG76-G77*MAX(0,CG77*ALG76-(JF77+MS77)))),ALG76*(1-MAX(0,CG77)*H_Exit))</f>
        <v>0</v>
      </c>
      <c r="FU77" s="20" t="n">
        <f aca="false">IF(H_Direct=1,IF(ALH76&lt;=0,0,IF(CH77&lt;=0,ALH76,ALH76-G77*MAX(0,CH77*ALH76-(JG77+MT77)))),ALH76*(1-MAX(0,CH77)*H_Exit))</f>
        <v>0</v>
      </c>
      <c r="FV77" s="20" t="n">
        <f aca="false">IF(H_Direct=1,IF(ALI76&lt;=0,0,IF(CI77&lt;=0,ALI76,ALI76-G77*MAX(0,CI77*ALI76-(JH77+MU77)))),ALI76*(1-MAX(0,CI77)*H_Exit))</f>
        <v>0</v>
      </c>
      <c r="FW77" s="20" t="n">
        <f aca="false">IF(H_Direct=1,IF(ALJ76&lt;=0,0,IF(CJ77&lt;=0,ALJ76,ALJ76-G77*MAX(0,CJ77*ALJ76-(JI77+MV77)))),ALJ76*(1-MAX(0,CJ77)*H_Exit))</f>
        <v>0</v>
      </c>
      <c r="FX77" s="20" t="n">
        <f aca="false">IF(H_Direct=1,IF(ALK76&lt;=0,0,IF(CK77&lt;=0,ALK76,ALK76-G77*MAX(0,CK77*ALK76-(JJ77+MW77)))),ALK76*(1-MAX(0,CK77)*H_Exit))</f>
        <v>0</v>
      </c>
      <c r="FY77" s="20" t="n">
        <f aca="false">IF(H_Direct=1,IF(ALL76&lt;=0,0,IF(CL77&lt;=0,ALL76,ALL76-G77*MAX(0,CL77*ALL76-(JK77+MX77)))),ALL76*(1-MAX(0,CL77)*H_Exit))</f>
        <v>0</v>
      </c>
      <c r="FZ77" s="20" t="n">
        <f aca="false">IF(H_Direct=1,IF(ALM76&lt;=0,0,IF(CM77&lt;=0,ALM76,ALM76-G77*MAX(0,CM77*ALM76-(JL77+MY77)))),ALM76*(1-MAX(0,CM77)*H_Exit))</f>
        <v>0</v>
      </c>
      <c r="GA77" s="20" t="n">
        <f aca="false">IF(H_Direct=1,IF(ALN76&lt;=0,0,IF(CN77&lt;=0,ALN76,ALN76-G77*MAX(0,CN77*ALN76-(JM77+MZ77)))),ALN76*(1-MAX(0,CN77)*H_Exit))</f>
        <v>0</v>
      </c>
      <c r="GB77" s="20" t="n">
        <f aca="false">IF(H_Direct=1,IF(ALO76&lt;=0,0,IF(CO77&lt;=0,ALO76,ALO76-G77*MAX(0,CO77*ALO76-(JN77+NA77)))),ALO76*(1-MAX(0,CO77)*H_Exit))</f>
        <v>0</v>
      </c>
      <c r="GC77" s="20" t="n">
        <f aca="false">IF(H_Direct=1,IF(ALP76&lt;=0,0,IF(CP77&lt;=0,ALP76,ALP76-G77*MAX(0,CP77*ALP76-(JO77+NB77)))),ALP76*(1-MAX(0,CP77)*H_Exit))</f>
        <v>0</v>
      </c>
      <c r="GD77" s="20" t="n">
        <f aca="false">IF(H_Direct=1,IF(ALQ76&lt;=0,0,IF(CQ77&lt;=0,ALQ76,ALQ76-G77*MAX(0,CQ77*ALQ76-(JP77+NC77)))),ALQ76*(1-MAX(0,CQ77)*H_Exit))</f>
        <v>0</v>
      </c>
      <c r="GE77" s="20" t="n">
        <f aca="false">IF(H_Direct=1,IF(ALR76&lt;=0,0,IF(CR77&lt;=0,ALR76,ALR76-G77*MAX(0,CR77*ALR76-(JQ77+ND77)))),ALR76*(1-MAX(0,CR77)*H_Exit))</f>
        <v>0</v>
      </c>
      <c r="GF77" s="20" t="n">
        <f aca="false">IF(H_Direct=1,IF(ALS76&lt;=0,0,IF(CS77&lt;=0,ALS76,ALS76-G77*MAX(0,CS77*ALS76-(JR77+NE77)))),ALS76*(1-MAX(0,CS77)*H_Exit))</f>
        <v>0</v>
      </c>
      <c r="GG77" s="20" t="n">
        <f aca="false">IF(H_Direct=1,IF(ALT76&lt;=0,0,IF(CT77&lt;=0,ALT76,ALT76-G77*MAX(0,CT77*ALT76-(JS77+NF77)))),ALT76*(1-MAX(0,CT77)*H_Exit))</f>
        <v>0</v>
      </c>
      <c r="GH77" s="20" t="n">
        <f aca="false">IF(H_Direct=1,IF(ALU76&lt;=0,0,IF(CU77&lt;=0,ALU76,ALU76-G77*MAX(0,CU77*ALU76-(JT77+NG77)))),ALU76*(1-MAX(0,CU77)*H_Exit))</f>
        <v>0</v>
      </c>
      <c r="GI77" s="20" t="n">
        <f aca="false">IF(H_Direct=1,IF(ALV76&lt;=0,0,IF(CV77&lt;=0,ALV76,ALV76-G77*MAX(0,CV77*ALV76-(JU77+NH77)))),ALV76*(1-MAX(0,CV77)*H_Exit))</f>
        <v>0</v>
      </c>
      <c r="GJ77" s="20" t="n">
        <f aca="false">IF(H_Direct=1,IF(ALW76&lt;=0,0,IF(CW77&lt;=0,ALW76,ALW76-G77*MAX(0,CW77*ALW76-(JV77+NI77)))),ALW76*(1-MAX(0,CW77)*H_Exit))</f>
        <v>0</v>
      </c>
      <c r="GK77" s="20" t="n">
        <f aca="false">IF(H_Direct=1,IF(ALX76&lt;=0,0,IF(CX77&lt;=0,ALX76,ALX76-G77*MAX(0,CX77*ALX76-(JW77+NJ77)))),ALX76*(1-MAX(0,CX77)*H_Exit))</f>
        <v>0</v>
      </c>
      <c r="GL77" s="20" t="n">
        <f aca="false">IF(H_Direct=1,IF(ALY76&lt;=0,0,IF(CY77&lt;=0,ALY76,ALY76-G77*MAX(0,CY77*ALY76-(JX77+NK77)))),ALY76*(1-MAX(0,CY77)*H_Exit))</f>
        <v>0</v>
      </c>
      <c r="GM77" s="20" t="n">
        <f aca="false">IF(H_Direct=1,IF(ALZ76&lt;=0,0,IF(CZ77&lt;=0,ALZ76,ALZ76-G77*MAX(0,CZ77*ALZ76-(JY77+NL77)))),ALZ76*(1-MAX(0,CZ77)*H_Exit))</f>
        <v>0</v>
      </c>
      <c r="GN77" s="20" t="n">
        <f aca="false">IF(H_Direct=1,IF(AMA76&lt;=0,0,IF(DA77&lt;=0,AMA76,AMA76-G77*MAX(0,DA77*AMA76-(JZ77+NM77)))),AMA76*(1-MAX(0,DA77)*H_Exit))</f>
        <v>0</v>
      </c>
      <c r="GO77" s="20" t="n">
        <f aca="false">IF(H_Direct=1,IF(AMB76&lt;=0,0,IF(DB77&lt;=0,AMB76,AMB76-G77*MAX(0,DB77*AMB76-(KA77+NN77)))),AMB76*(1-MAX(0,DB77)*H_Exit))</f>
        <v>0</v>
      </c>
      <c r="GP77" s="20" t="n">
        <f aca="false">IF(H_Direct=1,IF(AMC76&lt;=0,0,IF(DC77&lt;=0,AMC76,AMC76-G77*MAX(0,DC77*AMC76-(KB77+NO77)))),AMC76*(1-MAX(0,DC77)*H_Exit))</f>
        <v>0</v>
      </c>
      <c r="GQ77" s="20" t="n">
        <f aca="false">IF(H_Direct=1,IF(AMD76&lt;=0,0,IF(DD77&lt;=0,AMD76,AMD76-G77*MAX(0,DD77*AMD76-(KC77+NP77)))),AMD76*(1-MAX(0,DD77)*H_Exit))</f>
        <v>0</v>
      </c>
      <c r="GR77" s="20" t="n">
        <f aca="false">IF(H_Direct=1,IF(AME76&lt;=0,0,IF(DE77&lt;=0,AME76,AME76-G77*MAX(0,DE77*AME76-(KD77+NQ77)))),AME76*(1-MAX(0,DE77)*H_Exit))</f>
        <v>0</v>
      </c>
      <c r="GS77" s="20" t="n">
        <f aca="false">IF(H_Direct=1,IF(AMF76&lt;=0,0,IF(DF77&lt;=0,AMF76,AMF76-G77*MAX(0,DF77*AMF76-(KE77+NR77)))),AMF76*(1-MAX(0,DF77)*H_Exit))</f>
        <v>0</v>
      </c>
      <c r="GT77" s="20" t="n">
        <f aca="false">IF(H_Direct=1,IF(AMG76&lt;=0,0,IF(DG77&lt;=0,AMG76,AMG76-G77*MAX(0,DG77*AMG76-(KF77+NS77)))),AMG76*(1-MAX(0,DG77)*H_Exit))</f>
        <v>0</v>
      </c>
      <c r="GU77" s="20" t="n">
        <f aca="false">IF(H_Direct=1,IF(AMH76&lt;=0,0,IF(DH77&lt;=0,AMH76,AMH76-G77*MAX(0,DH77*AMH76-(KG77+NT77)))),AMH76*(1-MAX(0,DH77)*H_Exit))</f>
        <v>0</v>
      </c>
      <c r="GV77" s="20" t="n">
        <f aca="false">IF(H_Direct=1,IF(AMI76&lt;=0,0,IF(DI77&lt;=0,AMI76,AMI76-G77*MAX(0,DI77*AMI76-(KH77+NU77)))),AMI76*(1-MAX(0,DI77)*H_Exit))</f>
        <v>0</v>
      </c>
      <c r="GW77" s="20" t="n">
        <f aca="false">IF(H_Direct=1,IF(AMJ76&lt;=0,0,IF(DJ77&lt;=0,AMJ76,AMJ76-G77*MAX(0,DJ77*AMJ76-(KI77+NV77)))),AMJ76*(1-MAX(0,DJ77)*H_Exit))</f>
        <v>0</v>
      </c>
      <c r="GX77" s="20" t="n">
        <f aca="false">IF(H_Direct=1,IF(AMK76&lt;=0,0,IF(DK77&lt;=0,AMK76,AMK76-G77*MAX(0,DK77*AMK76-(KJ77+NW77)))),AMK76*(1-MAX(0,DK77)*H_Exit))</f>
        <v>0</v>
      </c>
      <c r="GY77" s="20" t="n">
        <f aca="false">IF(H_Direct=1,IF(AML76&lt;=0,0,IF(DL77&lt;=0,AML76,AML76-G77*MAX(0,DL77*AML76-(KK77+NX77)))),AML76*(1-MAX(0,DL77)*H_Exit))</f>
        <v>0</v>
      </c>
      <c r="GZ77" s="20" t="n">
        <f aca="false">IF(H_Direct=1,IF(AMM76&lt;=0,0,IF(DM77&lt;=0,AMM76,AMM76-G77*MAX(0,DM77*AMM76-(KL77+NY77)))),AMM76*(1-MAX(0,DM77)*H_Exit))</f>
        <v>0</v>
      </c>
      <c r="HA77" s="20" t="n">
        <f aca="false">IF(H_Direct=1,IF(AMN76&lt;=0,0,IF(DN77&lt;=0,AMN76,AMN76-G77*MAX(0,DN77*AMN76-(KM77+NZ77)))),AMN76*(1-MAX(0,DN77)*H_Exit))</f>
        <v>0</v>
      </c>
      <c r="HB77" s="20" t="n">
        <f aca="false">IF(H_Direct=1,IF(AMO76&lt;=0,0,IF(DO77&lt;=0,AMO76,AMO76-G77*MAX(0,DO77*AMO76-(KN77+OA77)))),AMO76*(1-MAX(0,DO77)*H_Exit))</f>
        <v>0</v>
      </c>
      <c r="HC77" s="20" t="n">
        <f aca="false">IF(H_Direct=1,IF(AMP76&lt;=0,0,IF(DP77&lt;=0,AMP76,AMP76-G77*MAX(0,DP77*AMP76-(KO77+OB77)))),AMP76*(1-MAX(0,DP77)*H_Exit))</f>
        <v>0</v>
      </c>
      <c r="HD77" s="20" t="n">
        <f aca="false">IF(H_Direct=1,IF(AMQ76&lt;=0,0,IF(DQ77&lt;=0,AMQ76,AMQ76-G77*MAX(0,DQ77*AMQ76-(KP77+OC77)))),AMQ76*(1-MAX(0,DQ77)*H_Exit))</f>
        <v>0</v>
      </c>
      <c r="HE77" s="20" t="n">
        <f aca="false">IF(H_Direct=1,IF(AMR76&lt;=0,0,IF(DR77&lt;=0,AMR76,AMR76-G77*MAX(0,DR77*AMR76-(KQ77+OD77)))),AMR76*(1-MAX(0,DR77)*H_Exit))</f>
        <v>0</v>
      </c>
      <c r="HF77" s="20" t="n">
        <f aca="false">IF(H_Direct=1,IF(AMS76&lt;=0,0,IF(DS77&lt;=0,AMS76,AMS76-G77*MAX(0,DS77*AMS76-(KR77+OE77)))),AMS76*(1-MAX(0,DS77)*H_Exit))</f>
        <v>0</v>
      </c>
      <c r="HG77" s="20" t="n">
        <f aca="false">IF(H_Direct=1,IF(AMT76&lt;=0,0,IF(DT77&lt;=0,AMT76,AMT76-G77*MAX(0,DT77*AMT76-(KS77+OF77)))),AMT76*(1-MAX(0,DT77)*H_Exit))</f>
        <v>0</v>
      </c>
      <c r="HH77" s="20" t="n">
        <f aca="false">IF(H_Direct=1,IF(AMU76&lt;=0,0,IF(DU77&lt;=0,AMU76,AMU76-G77*MAX(0,DU77*AMU76-(KT77+OG77)))),AMU76*(1-MAX(0,DU77)*H_Exit))</f>
        <v>0</v>
      </c>
      <c r="HI77" s="20" t="n">
        <f aca="false">IF(H_Direct=1,IF(AMV76&lt;=0,0,IF(DV77&lt;=0,AMV76,AMV76-G77*MAX(0,DV77*AMV76-(KU77+OH77)))),AMV76*(1-MAX(0,DV77)*H_Exit))</f>
        <v>0</v>
      </c>
      <c r="HJ77" s="20" t="n">
        <f aca="false">IF(H_Direct=1,IF(AMW76&lt;=0,0,IF(DW77&lt;=0,AMW76,AMW76-G77*MAX(0,DW77*AMW76-(KV77+OI77)))),AMW76*(1-MAX(0,DW77)*H_Exit))</f>
        <v>0</v>
      </c>
      <c r="HK77" s="20" t="n">
        <f aca="false">IF(H_Direct=1,IF(AMX76&lt;=0,0,IF(DX77&lt;=0,AMX76,AMX76-G77*MAX(0,DX77*AMX76-(KW77+OJ77)))),AMX76*(1-MAX(0,DX77)*H_Exit))</f>
        <v>0</v>
      </c>
      <c r="HL77" s="20" t="n">
        <f aca="false">IF(H_Direct=1,IF(AMY76&lt;=0,0,IF(DY77&lt;=0,AMY76,AMY76-G77*MAX(0,DY77*AMY76-(KX77+OK77)))),AMY76*(1-MAX(0,DY77)*H_Exit))</f>
        <v>0</v>
      </c>
      <c r="HM77" s="20" t="n">
        <f aca="false">IF(H_Direct=1,IF(AMZ76&lt;=0,0,IF(DZ77&lt;=0,AMZ76,AMZ76-G77*MAX(0,DZ77*AMZ76-(KY77+OL77)))),AMZ76*(1-MAX(0,DZ77)*H_Exit))</f>
        <v>0</v>
      </c>
      <c r="HN77" s="20" t="n">
        <f aca="false">IF(H_Direct=1,IF(ANA76&lt;=0,0,IF(EA77&lt;=0,ANA76,ANA76-G77*MAX(0,EA77*ANA76-(KZ77+OM77)))),ANA76*(1-MAX(0,EA77)*H_Exit))</f>
        <v>0</v>
      </c>
      <c r="HO77" s="20" t="n">
        <f aca="false">IF(H_Direct=1,IF(ANB76&lt;=0,0,IF(EB77&lt;=0,ANB76,ANB76-G77*MAX(0,EB77*ANB76-(LA77+ON77)))),ANB76*(1-MAX(0,EB77)*H_Exit))</f>
        <v>0</v>
      </c>
      <c r="HP77" s="20" t="n">
        <f aca="false">IF(H_Direct=1,IF(ANC76&lt;=0,0,IF(EC77&lt;=0,ANC76,ANC76-G77*MAX(0,EC77*ANC76-(LB77+OO77)))),ANC76*(1-MAX(0,EC77)*H_Exit))</f>
        <v>0</v>
      </c>
      <c r="HQ77" s="20" t="n">
        <f aca="false">IF(H_Direct=1,IF(AND76&lt;=0,0,IF(ED77&lt;=0,AND76,AND76-G77*MAX(0,ED77*AND76-(LC77+OP77)))),AND76*(1-MAX(0,ED77)*H_Exit))</f>
        <v>0</v>
      </c>
      <c r="HR77" s="20" t="n">
        <f aca="false">IF(H_Direct=1,IF(ANE76&lt;=0,0,IF(EE77&lt;=0,ANE76,ANE76-G77*MAX(0,EE77*ANE76-(LD77+OQ77)))),ANE76*(1-MAX(0,EE77)*H_Exit))</f>
        <v>0</v>
      </c>
      <c r="HS77" s="20" t="n">
        <f aca="false">IF(H_Direct=1,IF(ANF76&lt;=0,0,IF(EF77&lt;=0,ANF76,ANF76-G77*MAX(0,EF77*ANF76-(LE77+OR77)))),ANF76*(1-MAX(0,EF77)*H_Exit))</f>
        <v>0</v>
      </c>
      <c r="HT77" s="20" t="n">
        <f aca="false">IF(H_Direct=1,IF(ANG76&lt;=0,0,IF(EG77&lt;=0,ANG76,ANG76-G77*MAX(0,EG77*ANG76-(LF77+OS77)))),ANG76*(1-MAX(0,EG77)*H_Exit))</f>
        <v>0</v>
      </c>
      <c r="HU77" s="20" t="n">
        <f aca="false">IF(H_Direct=1,IF(ANH76&lt;=0,0,IF(EH77&lt;=0,ANH76,ANH76-G77*MAX(0,EH77*ANH76-(LG77+OT77)))),ANH76*(1-MAX(0,EH77)*H_Exit))</f>
        <v>0</v>
      </c>
      <c r="HV77" s="20" t="n">
        <f aca="false">IF(H_Direct=1,IF(ANI76&lt;=0,0,IF(EI77&lt;=0,ANI76,ANI76-G77*MAX(0,EI77*ANI76-(LH77+OU77)))),ANI76*(1-MAX(0,EI77)*H_Exit))</f>
        <v>0</v>
      </c>
      <c r="HW77" s="20" t="n">
        <f aca="false">IF(H_Direct=1,IF((P77+S77)&lt;=0,0,IF(EJ77&lt;=0,(P77+S77),(P77+S77)-G77*MAX(0,EJ77*(P77+S77)-(LI77+OV77)))),(P77+S77)*(1-MAX(0,EJ77)*H_Exit))</f>
        <v>0</v>
      </c>
      <c r="HX77" s="20" t="n">
        <v>0</v>
      </c>
      <c r="HY77" s="20" t="n">
        <v>0</v>
      </c>
      <c r="HZ77" s="20" t="n">
        <v>0</v>
      </c>
      <c r="IA77" s="20" t="n">
        <v>0</v>
      </c>
      <c r="IB77" s="20" t="n">
        <v>0</v>
      </c>
      <c r="IC77" s="20" t="n">
        <v>0</v>
      </c>
      <c r="ID77" s="20" t="n">
        <v>0</v>
      </c>
      <c r="IE77" s="20" t="n">
        <v>0</v>
      </c>
      <c r="IF77" s="20" t="n">
        <v>0</v>
      </c>
      <c r="IG77" s="20" t="n">
        <v>0</v>
      </c>
      <c r="IH77" s="20" t="n">
        <v>0</v>
      </c>
      <c r="II77" s="20" t="n">
        <v>0</v>
      </c>
      <c r="IJ77" s="20" t="n">
        <v>0</v>
      </c>
      <c r="IK77" s="20" t="n">
        <v>0</v>
      </c>
      <c r="IL77" s="20" t="n">
        <v>0</v>
      </c>
      <c r="IM77" s="20" t="n">
        <v>0</v>
      </c>
      <c r="IN77" s="20" t="n">
        <v>0</v>
      </c>
      <c r="IO77" s="20" t="n">
        <v>0</v>
      </c>
      <c r="IP77" s="20" t="n">
        <v>0</v>
      </c>
      <c r="IQ77" s="20" t="n">
        <v>0</v>
      </c>
      <c r="IR77" s="20" t="n">
        <f aca="false">IF(AND(H_Direct=1,BR77&gt;0),MAX(0,H77-(MIN(BR77*AKR76,H77+I77)-MIN(MIN(BR77*AKR76,H77+I77),I77))),H77)</f>
        <v>1270</v>
      </c>
      <c r="IS77" s="20" t="n">
        <f aca="false">IF(AND(H_Direct=1,BS77&gt;0),MAX(0,IR77-(MIN(BS77*AKS76,IR77+ME77)-MIN(MIN(BS77*AKS76,IR77+ME77),ME77))),IR77)</f>
        <v>1270</v>
      </c>
      <c r="IT77" s="20" t="n">
        <f aca="false">IF(AND(H_Direct=1,BT77&gt;0),MAX(0,IS77-(MIN(BT77*AKT76,IS77+MF77)-MIN(MIN(BT77*AKT76,IS77+MF77),MF77))),IS77)</f>
        <v>1270</v>
      </c>
      <c r="IU77" s="20" t="n">
        <f aca="false">IF(AND(H_Direct=1,BU77&gt;0),MAX(0,IT77-(MIN(BU77*AKU76,IT77+MG77)-MIN(MIN(BU77*AKU76,IT77+MG77),MG77))),IT77)</f>
        <v>1270</v>
      </c>
      <c r="IV77" s="20" t="n">
        <f aca="false">IF(AND(H_Direct=1,BV77&gt;0),MAX(0,IU77-(MIN(BV77*AKV76,IU77+MH77)-MIN(MIN(BV77*AKV76,IU77+MH77),MH77))),IU77)</f>
        <v>1270</v>
      </c>
      <c r="IW77" s="20" t="n">
        <f aca="false">IF(AND(H_Direct=1,BW77&gt;0),MAX(0,IV77-(MIN(BW77*AKW76,IV77+MI77)-MIN(MIN(BW77*AKW76,IV77+MI77),MI77))),IV77)</f>
        <v>1270</v>
      </c>
      <c r="IX77" s="20" t="n">
        <f aca="false">IF(AND(H_Direct=1,BX77&gt;0),MAX(0,IW77-(MIN(BX77*AKX76,IW77+MJ77)-MIN(MIN(BX77*AKX76,IW77+MJ77),MJ77))),IW77)</f>
        <v>1270</v>
      </c>
      <c r="IY77" s="20" t="n">
        <f aca="false">IF(AND(H_Direct=1,BY77&gt;0),MAX(0,IX77-(MIN(BY77*AKY76,IX77+MK77)-MIN(MIN(BY77*AKY76,IX77+MK77),MK77))),IX77)</f>
        <v>1270</v>
      </c>
      <c r="IZ77" s="20" t="n">
        <f aca="false">IF(AND(H_Direct=1,BZ77&gt;0),MAX(0,IY77-(MIN(BZ77*AKZ76,IY77+ML77)-MIN(MIN(BZ77*AKZ76,IY77+ML77),ML77))),IY77)</f>
        <v>1270</v>
      </c>
      <c r="JA77" s="20" t="n">
        <f aca="false">IF(AND(H_Direct=1,CA77&gt;0),MAX(0,IZ77-(MIN(CA77*ALA76,IZ77+MM77)-MIN(MIN(CA77*ALA76,IZ77+MM77),MM77))),IZ77)</f>
        <v>1270</v>
      </c>
      <c r="JB77" s="20" t="n">
        <f aca="false">IF(AND(H_Direct=1,CB77&gt;0),MAX(0,JA77-(MIN(CB77*ALB76,JA77+MN77)-MIN(MIN(CB77*ALB76,JA77+MN77),MN77))),JA77)</f>
        <v>1270</v>
      </c>
      <c r="JC77" s="20" t="n">
        <f aca="false">IF(AND(H_Direct=1,CC77&gt;0),MAX(0,JB77-(MIN(CC77*ALC76,JB77+MO77)-MIN(MIN(CC77*ALC76,JB77+MO77),MO77))),JB77)</f>
        <v>1270</v>
      </c>
      <c r="JD77" s="20" t="n">
        <f aca="false">IF(AND(H_Direct=1,CD77&gt;0),MAX(0,JC77-(MIN(CD77*ALD76,JC77+MP77)-MIN(MIN(CD77*ALD76,JC77+MP77),MP77))),JC77)</f>
        <v>1270</v>
      </c>
      <c r="JE77" s="20" t="n">
        <f aca="false">IF(AND(H_Direct=1,CE77&gt;0),MAX(0,JD77-(MIN(CE77*ALE76,JD77+MQ77)-MIN(MIN(CE77*ALE76,JD77+MQ77),MQ77))),JD77)</f>
        <v>1270</v>
      </c>
      <c r="JF77" s="20" t="n">
        <f aca="false">IF(AND(H_Direct=1,CF77&gt;0),MAX(0,JE77-(MIN(CF77*ALF76,JE77+MR77)-MIN(MIN(CF77*ALF76,JE77+MR77),MR77))),JE77)</f>
        <v>1270</v>
      </c>
      <c r="JG77" s="20" t="n">
        <f aca="false">IF(AND(H_Direct=1,CG77&gt;0),MAX(0,JF77-(MIN(CG77*ALG76,JF77+MS77)-MIN(MIN(CG77*ALG76,JF77+MS77),MS77))),JF77)</f>
        <v>1270</v>
      </c>
      <c r="JH77" s="20" t="n">
        <f aca="false">IF(AND(H_Direct=1,CH77&gt;0),MAX(0,JG77-(MIN(CH77*ALH76,JG77+MT77)-MIN(MIN(CH77*ALH76,JG77+MT77),MT77))),JG77)</f>
        <v>1270</v>
      </c>
      <c r="JI77" s="20" t="n">
        <f aca="false">IF(AND(H_Direct=1,CI77&gt;0),MAX(0,JH77-(MIN(CI77*ALI76,JH77+MU77)-MIN(MIN(CI77*ALI76,JH77+MU77),MU77))),JH77)</f>
        <v>1270</v>
      </c>
      <c r="JJ77" s="20" t="n">
        <f aca="false">IF(AND(H_Direct=1,CJ77&gt;0),MAX(0,JI77-(MIN(CJ77*ALJ76,JI77+MV77)-MIN(MIN(CJ77*ALJ76,JI77+MV77),MV77))),JI77)</f>
        <v>1270</v>
      </c>
      <c r="JK77" s="20" t="n">
        <f aca="false">IF(AND(H_Direct=1,CK77&gt;0),MAX(0,JJ77-(MIN(CK77*ALK76,JJ77+MW77)-MIN(MIN(CK77*ALK76,JJ77+MW77),MW77))),JJ77)</f>
        <v>1270</v>
      </c>
      <c r="JL77" s="20" t="n">
        <f aca="false">IF(AND(H_Direct=1,CL77&gt;0),MAX(0,JK77-(MIN(CL77*ALL76,JK77+MX77)-MIN(MIN(CL77*ALL76,JK77+MX77),MX77))),JK77)</f>
        <v>1270</v>
      </c>
      <c r="JM77" s="20" t="n">
        <f aca="false">IF(AND(H_Direct=1,CM77&gt;0),MAX(0,JL77-(MIN(CM77*ALM76,JL77+MY77)-MIN(MIN(CM77*ALM76,JL77+MY77),MY77))),JL77)</f>
        <v>1270</v>
      </c>
      <c r="JN77" s="20" t="n">
        <f aca="false">IF(AND(H_Direct=1,CN77&gt;0),MAX(0,JM77-(MIN(CN77*ALN76,JM77+MZ77)-MIN(MIN(CN77*ALN76,JM77+MZ77),MZ77))),JM77)</f>
        <v>1270</v>
      </c>
      <c r="JO77" s="20" t="n">
        <f aca="false">IF(AND(H_Direct=1,CO77&gt;0),MAX(0,JN77-(MIN(CO77*ALO76,JN77+NA77)-MIN(MIN(CO77*ALO76,JN77+NA77),NA77))),JN77)</f>
        <v>1270</v>
      </c>
      <c r="JP77" s="20" t="n">
        <f aca="false">IF(AND(H_Direct=1,CP77&gt;0),MAX(0,JO77-(MIN(CP77*ALP76,JO77+NB77)-MIN(MIN(CP77*ALP76,JO77+NB77),NB77))),JO77)</f>
        <v>1270</v>
      </c>
      <c r="JQ77" s="20" t="n">
        <f aca="false">IF(AND(H_Direct=1,CQ77&gt;0),MAX(0,JP77-(MIN(CQ77*ALQ76,JP77+NC77)-MIN(MIN(CQ77*ALQ76,JP77+NC77),NC77))),JP77)</f>
        <v>1270</v>
      </c>
      <c r="JR77" s="20" t="n">
        <f aca="false">IF(AND(H_Direct=1,CR77&gt;0),MAX(0,JQ77-(MIN(CR77*ALR76,JQ77+ND77)-MIN(MIN(CR77*ALR76,JQ77+ND77),ND77))),JQ77)</f>
        <v>1270</v>
      </c>
      <c r="JS77" s="20" t="n">
        <f aca="false">IF(AND(H_Direct=1,CS77&gt;0),MAX(0,JR77-(MIN(CS77*ALS76,JR77+NE77)-MIN(MIN(CS77*ALS76,JR77+NE77),NE77))),JR77)</f>
        <v>1270</v>
      </c>
      <c r="JT77" s="20" t="n">
        <f aca="false">IF(AND(H_Direct=1,CT77&gt;0),MAX(0,JS77-(MIN(CT77*ALT76,JS77+NF77)-MIN(MIN(CT77*ALT76,JS77+NF77),NF77))),JS77)</f>
        <v>1270</v>
      </c>
      <c r="JU77" s="20" t="n">
        <f aca="false">IF(AND(H_Direct=1,CU77&gt;0),MAX(0,JT77-(MIN(CU77*ALU76,JT77+NG77)-MIN(MIN(CU77*ALU76,JT77+NG77),NG77))),JT77)</f>
        <v>1270</v>
      </c>
      <c r="JV77" s="20" t="n">
        <f aca="false">IF(AND(H_Direct=1,CV77&gt;0),MAX(0,JU77-(MIN(CV77*ALV76,JU77+NH77)-MIN(MIN(CV77*ALV76,JU77+NH77),NH77))),JU77)</f>
        <v>1270</v>
      </c>
      <c r="JW77" s="20" t="n">
        <f aca="false">IF(AND(H_Direct=1,CW77&gt;0),MAX(0,JV77-(MIN(CW77*ALW76,JV77+NI77)-MIN(MIN(CW77*ALW76,JV77+NI77),NI77))),JV77)</f>
        <v>1270</v>
      </c>
      <c r="JX77" s="20" t="n">
        <f aca="false">IF(AND(H_Direct=1,CX77&gt;0),MAX(0,JW77-(MIN(CX77*ALX76,JW77+NJ77)-MIN(MIN(CX77*ALX76,JW77+NJ77),NJ77))),JW77)</f>
        <v>1270</v>
      </c>
      <c r="JY77" s="20" t="n">
        <f aca="false">IF(AND(H_Direct=1,CY77&gt;0),MAX(0,JX77-(MIN(CY77*ALY76,JX77+NK77)-MIN(MIN(CY77*ALY76,JX77+NK77),NK77))),JX77)</f>
        <v>1270</v>
      </c>
      <c r="JZ77" s="20" t="n">
        <f aca="false">IF(AND(H_Direct=1,CZ77&gt;0),MAX(0,JY77-(MIN(CZ77*ALZ76,JY77+NL77)-MIN(MIN(CZ77*ALZ76,JY77+NL77),NL77))),JY77)</f>
        <v>1270</v>
      </c>
      <c r="KA77" s="20" t="n">
        <f aca="false">IF(AND(H_Direct=1,DA77&gt;0),MAX(0,JZ77-(MIN(DA77*AMA76,JZ77+NM77)-MIN(MIN(DA77*AMA76,JZ77+NM77),NM77))),JZ77)</f>
        <v>1270</v>
      </c>
      <c r="KB77" s="20" t="n">
        <f aca="false">IF(AND(H_Direct=1,DB77&gt;0),MAX(0,KA77-(MIN(DB77*AMB76,KA77+NN77)-MIN(MIN(DB77*AMB76,KA77+NN77),NN77))),KA77)</f>
        <v>1270</v>
      </c>
      <c r="KC77" s="20" t="n">
        <f aca="false">IF(AND(H_Direct=1,DC77&gt;0),MAX(0,KB77-(MIN(DC77*AMC76,KB77+NO77)-MIN(MIN(DC77*AMC76,KB77+NO77),NO77))),KB77)</f>
        <v>1270</v>
      </c>
      <c r="KD77" s="20" t="n">
        <f aca="false">IF(AND(H_Direct=1,DD77&gt;0),MAX(0,KC77-(MIN(DD77*AMD76,KC77+NP77)-MIN(MIN(DD77*AMD76,KC77+NP77),NP77))),KC77)</f>
        <v>1270</v>
      </c>
      <c r="KE77" s="20" t="n">
        <f aca="false">IF(AND(H_Direct=1,DE77&gt;0),MAX(0,KD77-(MIN(DE77*AME76,KD77+NQ77)-MIN(MIN(DE77*AME76,KD77+NQ77),NQ77))),KD77)</f>
        <v>1270</v>
      </c>
      <c r="KF77" s="20" t="n">
        <f aca="false">IF(AND(H_Direct=1,DF77&gt;0),MAX(0,KE77-(MIN(DF77*AMF76,KE77+NR77)-MIN(MIN(DF77*AMF76,KE77+NR77),NR77))),KE77)</f>
        <v>1270</v>
      </c>
      <c r="KG77" s="20" t="n">
        <f aca="false">IF(AND(H_Direct=1,DG77&gt;0),MAX(0,KF77-(MIN(DG77*AMG76,KF77+NS77)-MIN(MIN(DG77*AMG76,KF77+NS77),NS77))),KF77)</f>
        <v>1270</v>
      </c>
      <c r="KH77" s="20" t="n">
        <f aca="false">IF(AND(H_Direct=1,DH77&gt;0),MAX(0,KG77-(MIN(DH77*AMH76,KG77+NT77)-MIN(MIN(DH77*AMH76,KG77+NT77),NT77))),KG77)</f>
        <v>1270</v>
      </c>
      <c r="KI77" s="20" t="n">
        <f aca="false">IF(AND(H_Direct=1,DI77&gt;0),MAX(0,KH77-(MIN(DI77*AMI76,KH77+NU77)-MIN(MIN(DI77*AMI76,KH77+NU77),NU77))),KH77)</f>
        <v>1270</v>
      </c>
      <c r="KJ77" s="20" t="n">
        <f aca="false">IF(AND(H_Direct=1,DJ77&gt;0),MAX(0,KI77-(MIN(DJ77*AMJ76,KI77+NV77)-MIN(MIN(DJ77*AMJ76,KI77+NV77),NV77))),KI77)</f>
        <v>1270</v>
      </c>
      <c r="KK77" s="20" t="n">
        <f aca="false">IF(AND(H_Direct=1,DK77&gt;0),MAX(0,KJ77-(MIN(DK77*AMK76,KJ77+NW77)-MIN(MIN(DK77*AMK76,KJ77+NW77),NW77))),KJ77)</f>
        <v>1270</v>
      </c>
      <c r="KL77" s="20" t="n">
        <f aca="false">IF(AND(H_Direct=1,DL77&gt;0),MAX(0,KK77-(MIN(DL77*AML76,KK77+NX77)-MIN(MIN(DL77*AML76,KK77+NX77),NX77))),KK77)</f>
        <v>1270</v>
      </c>
      <c r="KM77" s="20" t="n">
        <f aca="false">IF(AND(H_Direct=1,DM77&gt;0),MAX(0,KL77-(MIN(DM77*AMM76,KL77+NY77)-MIN(MIN(DM77*AMM76,KL77+NY77),NY77))),KL77)</f>
        <v>1270</v>
      </c>
      <c r="KN77" s="20" t="n">
        <f aca="false">IF(AND(H_Direct=1,DN77&gt;0),MAX(0,KM77-(MIN(DN77*AMN76,KM77+NZ77)-MIN(MIN(DN77*AMN76,KM77+NZ77),NZ77))),KM77)</f>
        <v>1270</v>
      </c>
      <c r="KO77" s="20" t="n">
        <f aca="false">IF(AND(H_Direct=1,DO77&gt;0),MAX(0,KN77-(MIN(DO77*AMO76,KN77+OA77)-MIN(MIN(DO77*AMO76,KN77+OA77),OA77))),KN77)</f>
        <v>1270</v>
      </c>
      <c r="KP77" s="20" t="n">
        <f aca="false">IF(AND(H_Direct=1,DP77&gt;0),MAX(0,KO77-(MIN(DP77*AMP76,KO77+OB77)-MIN(MIN(DP77*AMP76,KO77+OB77),OB77))),KO77)</f>
        <v>1270</v>
      </c>
      <c r="KQ77" s="20" t="n">
        <f aca="false">IF(AND(H_Direct=1,DQ77&gt;0),MAX(0,KP77-(MIN(DQ77*AMQ76,KP77+OC77)-MIN(MIN(DQ77*AMQ76,KP77+OC77),OC77))),KP77)</f>
        <v>1270</v>
      </c>
      <c r="KR77" s="20" t="n">
        <f aca="false">IF(AND(H_Direct=1,DR77&gt;0),MAX(0,KQ77-(MIN(DR77*AMR76,KQ77+OD77)-MIN(MIN(DR77*AMR76,KQ77+OD77),OD77))),KQ77)</f>
        <v>1270</v>
      </c>
      <c r="KS77" s="20" t="n">
        <f aca="false">IF(AND(H_Direct=1,DS77&gt;0),MAX(0,KR77-(MIN(DS77*AMS76,KR77+OE77)-MIN(MIN(DS77*AMS76,KR77+OE77),OE77))),KR77)</f>
        <v>1270</v>
      </c>
      <c r="KT77" s="20" t="n">
        <f aca="false">IF(AND(H_Direct=1,DT77&gt;0),MAX(0,KS77-(MIN(DT77*AMT76,KS77+OF77)-MIN(MIN(DT77*AMT76,KS77+OF77),OF77))),KS77)</f>
        <v>1270</v>
      </c>
      <c r="KU77" s="20" t="n">
        <f aca="false">IF(AND(H_Direct=1,DU77&gt;0),MAX(0,KT77-(MIN(DU77*AMU76,KT77+OG77)-MIN(MIN(DU77*AMU76,KT77+OG77),OG77))),KT77)</f>
        <v>1270</v>
      </c>
      <c r="KV77" s="20" t="n">
        <f aca="false">IF(AND(H_Direct=1,DV77&gt;0),MAX(0,KU77-(MIN(DV77*AMV76,KU77+OH77)-MIN(MIN(DV77*AMV76,KU77+OH77),OH77))),KU77)</f>
        <v>1270</v>
      </c>
      <c r="KW77" s="20" t="n">
        <f aca="false">IF(AND(H_Direct=1,DW77&gt;0),MAX(0,KV77-(MIN(DW77*AMW76,KV77+OI77)-MIN(MIN(DW77*AMW76,KV77+OI77),OI77))),KV77)</f>
        <v>1270</v>
      </c>
      <c r="KX77" s="20" t="n">
        <f aca="false">IF(AND(H_Direct=1,DX77&gt;0),MAX(0,KW77-(MIN(DX77*AMX76,KW77+OJ77)-MIN(MIN(DX77*AMX76,KW77+OJ77),OJ77))),KW77)</f>
        <v>1270</v>
      </c>
      <c r="KY77" s="20" t="n">
        <f aca="false">IF(AND(H_Direct=1,DY77&gt;0),MAX(0,KX77-(MIN(DY77*AMY76,KX77+OK77)-MIN(MIN(DY77*AMY76,KX77+OK77),OK77))),KX77)</f>
        <v>1270</v>
      </c>
      <c r="KZ77" s="20" t="n">
        <f aca="false">IF(AND(H_Direct=1,DZ77&gt;0),MAX(0,KY77-(MIN(DZ77*AMZ76,KY77+OL77)-MIN(MIN(DZ77*AMZ76,KY77+OL77),OL77))),KY77)</f>
        <v>1270</v>
      </c>
      <c r="LA77" s="20" t="n">
        <f aca="false">IF(AND(H_Direct=1,EA77&gt;0),MAX(0,KZ77-(MIN(EA77*ANA76,KZ77+OM77)-MIN(MIN(EA77*ANA76,KZ77+OM77),OM77))),KZ77)</f>
        <v>1270</v>
      </c>
      <c r="LB77" s="20" t="n">
        <f aca="false">IF(AND(H_Direct=1,EB77&gt;0),MAX(0,LA77-(MIN(EB77*ANB76,LA77+ON77)-MIN(MIN(EB77*ANB76,LA77+ON77),ON77))),LA77)</f>
        <v>1270</v>
      </c>
      <c r="LC77" s="20" t="n">
        <f aca="false">IF(AND(H_Direct=1,EC77&gt;0),MAX(0,LB77-(MIN(EC77*ANC76,LB77+OO77)-MIN(MIN(EC77*ANC76,LB77+OO77),OO77))),LB77)</f>
        <v>1270</v>
      </c>
      <c r="LD77" s="20" t="n">
        <f aca="false">IF(AND(H_Direct=1,ED77&gt;0),MAX(0,LC77-(MIN(ED77*AND76,LC77+OP77)-MIN(MIN(ED77*AND76,LC77+OP77),OP77))),LC77)</f>
        <v>1270</v>
      </c>
      <c r="LE77" s="20" t="n">
        <f aca="false">IF(AND(H_Direct=1,EE77&gt;0),MAX(0,LD77-(MIN(EE77*ANE76,LD77+OQ77)-MIN(MIN(EE77*ANE76,LD77+OQ77),OQ77))),LD77)</f>
        <v>1270</v>
      </c>
      <c r="LF77" s="20" t="n">
        <f aca="false">IF(AND(H_Direct=1,EF77&gt;0),MAX(0,LE77-(MIN(EF77*ANF76,LE77+OR77)-MIN(MIN(EF77*ANF76,LE77+OR77),OR77))),LE77)</f>
        <v>1270</v>
      </c>
      <c r="LG77" s="20" t="n">
        <f aca="false">IF(AND(H_Direct=1,EG77&gt;0),MAX(0,LF77-(MIN(EG77*ANG76,LF77+OS77)-MIN(MIN(EG77*ANG76,LF77+OS77),OS77))),LF77)</f>
        <v>1270</v>
      </c>
      <c r="LH77" s="20" t="n">
        <f aca="false">IF(AND(H_Direct=1,EH77&gt;0),MAX(0,LG77-(MIN(EH77*ANH76,LG77+OT77)-MIN(MIN(EH77*ANH76,LG77+OT77),OT77))),LG77)</f>
        <v>1270</v>
      </c>
      <c r="LI77" s="20" t="n">
        <f aca="false">IF(AND(H_Direct=1,EI77&gt;0),MAX(0,LH77-(MIN(EI77*ANI76,LH77+OU77)-MIN(MIN(EI77*ANI76,LH77+OU77),OU77))),LH77)</f>
        <v>1270</v>
      </c>
      <c r="LJ77" s="20" t="n">
        <f aca="false">IF(AND(H_Direct=1,EJ77&gt;0),MAX(0,LI77-(MIN(EJ77*(P77+S77),LI77+OV77)-MIN(MIN(EJ77*(P77+S77),LI77+OV77),OV77))),LI77)</f>
        <v>1270</v>
      </c>
      <c r="LK77" s="20" t="n">
        <f aca="false">LJ77</f>
        <v>1270</v>
      </c>
      <c r="LL77" s="20" t="n">
        <f aca="false">LK77</f>
        <v>1270</v>
      </c>
      <c r="LM77" s="20" t="n">
        <f aca="false">LL77</f>
        <v>1270</v>
      </c>
      <c r="LN77" s="20" t="n">
        <f aca="false">LM77</f>
        <v>1270</v>
      </c>
      <c r="LO77" s="20" t="n">
        <f aca="false">LN77</f>
        <v>1270</v>
      </c>
      <c r="LP77" s="20" t="n">
        <f aca="false">LO77</f>
        <v>1270</v>
      </c>
      <c r="LQ77" s="20" t="n">
        <f aca="false">LP77</f>
        <v>1270</v>
      </c>
      <c r="LR77" s="20" t="n">
        <f aca="false">LQ77</f>
        <v>1270</v>
      </c>
      <c r="LS77" s="20" t="n">
        <f aca="false">LR77</f>
        <v>1270</v>
      </c>
      <c r="LT77" s="20" t="n">
        <f aca="false">LS77</f>
        <v>1270</v>
      </c>
      <c r="LU77" s="20" t="n">
        <f aca="false">LT77</f>
        <v>1270</v>
      </c>
      <c r="LV77" s="20" t="n">
        <f aca="false">LU77</f>
        <v>1270</v>
      </c>
      <c r="LW77" s="20" t="n">
        <f aca="false">LV77</f>
        <v>1270</v>
      </c>
      <c r="LX77" s="20" t="n">
        <f aca="false">LW77</f>
        <v>1270</v>
      </c>
      <c r="LY77" s="20" t="n">
        <f aca="false">LX77</f>
        <v>1270</v>
      </c>
      <c r="LZ77" s="20" t="n">
        <f aca="false">LY77</f>
        <v>1270</v>
      </c>
      <c r="MA77" s="20" t="n">
        <f aca="false">LZ77</f>
        <v>1270</v>
      </c>
      <c r="MB77" s="20" t="n">
        <f aca="false">MA77</f>
        <v>1270</v>
      </c>
      <c r="MC77" s="20" t="n">
        <f aca="false">MB77</f>
        <v>1270</v>
      </c>
      <c r="MD77" s="20" t="n">
        <f aca="false">MC77</f>
        <v>1270</v>
      </c>
      <c r="ME77" s="20" t="n">
        <f aca="false">IF(H_Direct=1,IF(BR77&lt;=0,I77-BR77*AKR76,I77-MIN(MIN(BR77*AKR76,H77+I77),I77)),I77)</f>
        <v>0</v>
      </c>
      <c r="MF77" s="20" t="n">
        <f aca="false">IF(H_Direct=1,IF(BS77&lt;=0,ME77-BS77*AKS76,ME77-MIN(MIN(BS77*AKS76,IR77+ME77),ME77)),ME77)</f>
        <v>0</v>
      </c>
      <c r="MG77" s="20" t="n">
        <f aca="false">IF(H_Direct=1,IF(BT77&lt;=0,MF77-BT77*AKT76,MF77-MIN(MIN(BT77*AKT76,IS77+MF77),MF77)),MF77)</f>
        <v>0</v>
      </c>
      <c r="MH77" s="20" t="n">
        <f aca="false">IF(H_Direct=1,IF(BU77&lt;=0,MG77-BU77*AKU76,MG77-MIN(MIN(BU77*AKU76,IT77+MG77),MG77)),MG77)</f>
        <v>0</v>
      </c>
      <c r="MI77" s="20" t="n">
        <f aca="false">IF(H_Direct=1,IF(BV77&lt;=0,MH77-BV77*AKV76,MH77-MIN(MIN(BV77*AKV76,IU77+MH77),MH77)),MH77)</f>
        <v>0</v>
      </c>
      <c r="MJ77" s="20" t="n">
        <f aca="false">IF(H_Direct=1,IF(BW77&lt;=0,MI77-BW77*AKW76,MI77-MIN(MIN(BW77*AKW76,IV77+MI77),MI77)),MI77)</f>
        <v>0</v>
      </c>
      <c r="MK77" s="20" t="n">
        <f aca="false">IF(H_Direct=1,IF(BX77&lt;=0,MJ77-BX77*AKX76,MJ77-MIN(MIN(BX77*AKX76,IW77+MJ77),MJ77)),MJ77)</f>
        <v>0</v>
      </c>
      <c r="ML77" s="20" t="n">
        <f aca="false">IF(H_Direct=1,IF(BY77&lt;=0,MK77-BY77*AKY76,MK77-MIN(MIN(BY77*AKY76,IX77+MK77),MK77)),MK77)</f>
        <v>0</v>
      </c>
      <c r="MM77" s="20" t="n">
        <f aca="false">IF(H_Direct=1,IF(BZ77&lt;=0,ML77-BZ77*AKZ76,ML77-MIN(MIN(BZ77*AKZ76,IY77+ML77),ML77)),ML77)</f>
        <v>0</v>
      </c>
      <c r="MN77" s="20" t="n">
        <f aca="false">IF(H_Direct=1,IF(CA77&lt;=0,MM77-CA77*ALA76,MM77-MIN(MIN(CA77*ALA76,IZ77+MM77),MM77)),MM77)</f>
        <v>0</v>
      </c>
      <c r="MO77" s="20" t="n">
        <f aca="false">IF(H_Direct=1,IF(CB77&lt;=0,MN77-CB77*ALB76,MN77-MIN(MIN(CB77*ALB76,JA77+MN77),MN77)),MN77)</f>
        <v>0</v>
      </c>
      <c r="MP77" s="20" t="n">
        <f aca="false">IF(H_Direct=1,IF(CC77&lt;=0,MO77-CC77*ALC76,MO77-MIN(MIN(CC77*ALC76,JB77+MO77),MO77)),MO77)</f>
        <v>0</v>
      </c>
      <c r="MQ77" s="20" t="n">
        <f aca="false">IF(H_Direct=1,IF(CD77&lt;=0,MP77-CD77*ALD76,MP77-MIN(MIN(CD77*ALD76,JC77+MP77),MP77)),MP77)</f>
        <v>0</v>
      </c>
      <c r="MR77" s="20" t="n">
        <f aca="false">IF(H_Direct=1,IF(CE77&lt;=0,MQ77-CE77*ALE76,MQ77-MIN(MIN(CE77*ALE76,JD77+MQ77),MQ77)),MQ77)</f>
        <v>0</v>
      </c>
      <c r="MS77" s="20" t="n">
        <f aca="false">IF(H_Direct=1,IF(CF77&lt;=0,MR77-CF77*ALF76,MR77-MIN(MIN(CF77*ALF76,JE77+MR77),MR77)),MR77)</f>
        <v>0</v>
      </c>
      <c r="MT77" s="20" t="n">
        <f aca="false">IF(H_Direct=1,IF(CG77&lt;=0,MS77-CG77*ALG76,MS77-MIN(MIN(CG77*ALG76,JF77+MS77),MS77)),MS77)</f>
        <v>0</v>
      </c>
      <c r="MU77" s="20" t="n">
        <f aca="false">IF(H_Direct=1,IF(CH77&lt;=0,MT77-CH77*ALH76,MT77-MIN(MIN(CH77*ALH76,JG77+MT77),MT77)),MT77)</f>
        <v>0</v>
      </c>
      <c r="MV77" s="20" t="n">
        <f aca="false">IF(H_Direct=1,IF(CI77&lt;=0,MU77-CI77*ALI76,MU77-MIN(MIN(CI77*ALI76,JH77+MU77),MU77)),MU77)</f>
        <v>0</v>
      </c>
      <c r="MW77" s="20" t="n">
        <f aca="false">IF(H_Direct=1,IF(CJ77&lt;=0,MV77-CJ77*ALJ76,MV77-MIN(MIN(CJ77*ALJ76,JI77+MV77),MV77)),MV77)</f>
        <v>0</v>
      </c>
      <c r="MX77" s="20" t="n">
        <f aca="false">IF(H_Direct=1,IF(CK77&lt;=0,MW77-CK77*ALK76,MW77-MIN(MIN(CK77*ALK76,JJ77+MW77),MW77)),MW77)</f>
        <v>0</v>
      </c>
      <c r="MY77" s="20" t="n">
        <f aca="false">IF(H_Direct=1,IF(CL77&lt;=0,MX77-CL77*ALL76,MX77-MIN(MIN(CL77*ALL76,JK77+MX77),MX77)),MX77)</f>
        <v>0</v>
      </c>
      <c r="MZ77" s="20" t="n">
        <f aca="false">IF(H_Direct=1,IF(CM77&lt;=0,MY77-CM77*ALM76,MY77-MIN(MIN(CM77*ALM76,JL77+MY77),MY77)),MY77)</f>
        <v>0</v>
      </c>
      <c r="NA77" s="20" t="n">
        <f aca="false">IF(H_Direct=1,IF(CN77&lt;=0,MZ77-CN77*ALN76,MZ77-MIN(MIN(CN77*ALN76,JM77+MZ77),MZ77)),MZ77)</f>
        <v>0</v>
      </c>
      <c r="NB77" s="20" t="n">
        <f aca="false">IF(H_Direct=1,IF(CO77&lt;=0,NA77-CO77*ALO76,NA77-MIN(MIN(CO77*ALO76,JN77+NA77),NA77)),NA77)</f>
        <v>0</v>
      </c>
      <c r="NC77" s="20" t="n">
        <f aca="false">IF(H_Direct=1,IF(CP77&lt;=0,NB77-CP77*ALP76,NB77-MIN(MIN(CP77*ALP76,JO77+NB77),NB77)),NB77)</f>
        <v>0</v>
      </c>
      <c r="ND77" s="20" t="n">
        <f aca="false">IF(H_Direct=1,IF(CQ77&lt;=0,NC77-CQ77*ALQ76,NC77-MIN(MIN(CQ77*ALQ76,JP77+NC77),NC77)),NC77)</f>
        <v>0</v>
      </c>
      <c r="NE77" s="20" t="n">
        <f aca="false">IF(H_Direct=1,IF(CR77&lt;=0,ND77-CR77*ALR76,ND77-MIN(MIN(CR77*ALR76,JQ77+ND77),ND77)),ND77)</f>
        <v>0</v>
      </c>
      <c r="NF77" s="20" t="n">
        <f aca="false">IF(H_Direct=1,IF(CS77&lt;=0,NE77-CS77*ALS76,NE77-MIN(MIN(CS77*ALS76,JR77+NE77),NE77)),NE77)</f>
        <v>0</v>
      </c>
      <c r="NG77" s="20" t="n">
        <f aca="false">IF(H_Direct=1,IF(CT77&lt;=0,NF77-CT77*ALT76,NF77-MIN(MIN(CT77*ALT76,JS77+NF77),NF77)),NF77)</f>
        <v>0</v>
      </c>
      <c r="NH77" s="20" t="n">
        <f aca="false">IF(H_Direct=1,IF(CU77&lt;=0,NG77-CU77*ALU76,NG77-MIN(MIN(CU77*ALU76,JT77+NG77),NG77)),NG77)</f>
        <v>0</v>
      </c>
      <c r="NI77" s="20" t="n">
        <f aca="false">IF(H_Direct=1,IF(CV77&lt;=0,NH77-CV77*ALV76,NH77-MIN(MIN(CV77*ALV76,JU77+NH77),NH77)),NH77)</f>
        <v>0</v>
      </c>
      <c r="NJ77" s="20" t="n">
        <f aca="false">IF(H_Direct=1,IF(CW77&lt;=0,NI77-CW77*ALW76,NI77-MIN(MIN(CW77*ALW76,JV77+NI77),NI77)),NI77)</f>
        <v>0</v>
      </c>
      <c r="NK77" s="20" t="n">
        <f aca="false">IF(H_Direct=1,IF(CX77&lt;=0,NJ77-CX77*ALX76,NJ77-MIN(MIN(CX77*ALX76,JW77+NJ77),NJ77)),NJ77)</f>
        <v>0</v>
      </c>
      <c r="NL77" s="20" t="n">
        <f aca="false">IF(H_Direct=1,IF(CY77&lt;=0,NK77-CY77*ALY76,NK77-MIN(MIN(CY77*ALY76,JX77+NK77),NK77)),NK77)</f>
        <v>0</v>
      </c>
      <c r="NM77" s="20" t="n">
        <f aca="false">IF(H_Direct=1,IF(CZ77&lt;=0,NL77-CZ77*ALZ76,NL77-MIN(MIN(CZ77*ALZ76,JY77+NL77),NL77)),NL77)</f>
        <v>0</v>
      </c>
      <c r="NN77" s="20" t="n">
        <f aca="false">IF(H_Direct=1,IF(DA77&lt;=0,NM77-DA77*AMA76,NM77-MIN(MIN(DA77*AMA76,JZ77+NM77),NM77)),NM77)</f>
        <v>0</v>
      </c>
      <c r="NO77" s="20" t="n">
        <f aca="false">IF(H_Direct=1,IF(DB77&lt;=0,NN77-DB77*AMB76,NN77-MIN(MIN(DB77*AMB76,KA77+NN77),NN77)),NN77)</f>
        <v>0</v>
      </c>
      <c r="NP77" s="20" t="n">
        <f aca="false">IF(H_Direct=1,IF(DC77&lt;=0,NO77-DC77*AMC76,NO77-MIN(MIN(DC77*AMC76,KB77+NO77),NO77)),NO77)</f>
        <v>0</v>
      </c>
      <c r="NQ77" s="20" t="n">
        <f aca="false">IF(H_Direct=1,IF(DD77&lt;=0,NP77-DD77*AMD76,NP77-MIN(MIN(DD77*AMD76,KC77+NP77),NP77)),NP77)</f>
        <v>0</v>
      </c>
      <c r="NR77" s="20" t="n">
        <f aca="false">IF(H_Direct=1,IF(DE77&lt;=0,NQ77-DE77*AME76,NQ77-MIN(MIN(DE77*AME76,KD77+NQ77),NQ77)),NQ77)</f>
        <v>0</v>
      </c>
      <c r="NS77" s="20" t="n">
        <f aca="false">IF(H_Direct=1,IF(DF77&lt;=0,NR77-DF77*AMF76,NR77-MIN(MIN(DF77*AMF76,KE77+NR77),NR77)),NR77)</f>
        <v>0</v>
      </c>
      <c r="NT77" s="20" t="n">
        <f aca="false">IF(H_Direct=1,IF(DG77&lt;=0,NS77-DG77*AMG76,NS77-MIN(MIN(DG77*AMG76,KF77+NS77),NS77)),NS77)</f>
        <v>0</v>
      </c>
      <c r="NU77" s="20" t="n">
        <f aca="false">IF(H_Direct=1,IF(DH77&lt;=0,NT77-DH77*AMH76,NT77-MIN(MIN(DH77*AMH76,KG77+NT77),NT77)),NT77)</f>
        <v>0</v>
      </c>
      <c r="NV77" s="20" t="n">
        <f aca="false">IF(H_Direct=1,IF(DI77&lt;=0,NU77-DI77*AMI76,NU77-MIN(MIN(DI77*AMI76,KH77+NU77),NU77)),NU77)</f>
        <v>0</v>
      </c>
      <c r="NW77" s="20" t="n">
        <f aca="false">IF(H_Direct=1,IF(DJ77&lt;=0,NV77-DJ77*AMJ76,NV77-MIN(MIN(DJ77*AMJ76,KI77+NV77),NV77)),NV77)</f>
        <v>0</v>
      </c>
      <c r="NX77" s="20" t="n">
        <f aca="false">IF(H_Direct=1,IF(DK77&lt;=0,NW77-DK77*AMK76,NW77-MIN(MIN(DK77*AMK76,KJ77+NW77),NW77)),NW77)</f>
        <v>0</v>
      </c>
      <c r="NY77" s="20" t="n">
        <f aca="false">IF(H_Direct=1,IF(DL77&lt;=0,NX77-DL77*AML76,NX77-MIN(MIN(DL77*AML76,KK77+NX77),NX77)),NX77)</f>
        <v>0</v>
      </c>
      <c r="NZ77" s="20" t="n">
        <f aca="false">IF(H_Direct=1,IF(DM77&lt;=0,NY77-DM77*AMM76,NY77-MIN(MIN(DM77*AMM76,KL77+NY77),NY77)),NY77)</f>
        <v>0</v>
      </c>
      <c r="OA77" s="20" t="n">
        <f aca="false">IF(H_Direct=1,IF(DN77&lt;=0,NZ77-DN77*AMN76,NZ77-MIN(MIN(DN77*AMN76,KM77+NZ77),NZ77)),NZ77)</f>
        <v>0</v>
      </c>
      <c r="OB77" s="20" t="n">
        <f aca="false">IF(H_Direct=1,IF(DO77&lt;=0,OA77-DO77*AMO76,OA77-MIN(MIN(DO77*AMO76,KN77+OA77),OA77)),OA77)</f>
        <v>0</v>
      </c>
      <c r="OC77" s="20" t="n">
        <f aca="false">IF(H_Direct=1,IF(DP77&lt;=0,OB77-DP77*AMP76,OB77-MIN(MIN(DP77*AMP76,KO77+OB77),OB77)),OB77)</f>
        <v>0</v>
      </c>
      <c r="OD77" s="20" t="n">
        <f aca="false">IF(H_Direct=1,IF(DQ77&lt;=0,OC77-DQ77*AMQ76,OC77-MIN(MIN(DQ77*AMQ76,KP77+OC77),OC77)),OC77)</f>
        <v>0</v>
      </c>
      <c r="OE77" s="20" t="n">
        <f aca="false">IF(H_Direct=1,IF(DR77&lt;=0,OD77-DR77*AMR76,OD77-MIN(MIN(DR77*AMR76,KQ77+OD77),OD77)),OD77)</f>
        <v>0</v>
      </c>
      <c r="OF77" s="20" t="n">
        <f aca="false">IF(H_Direct=1,IF(DS77&lt;=0,OE77-DS77*AMS76,OE77-MIN(MIN(DS77*AMS76,KR77+OE77),OE77)),OE77)</f>
        <v>0</v>
      </c>
      <c r="OG77" s="20" t="n">
        <f aca="false">IF(H_Direct=1,IF(DT77&lt;=0,OF77-DT77*AMT76,OF77-MIN(MIN(DT77*AMT76,KS77+OF77),OF77)),OF77)</f>
        <v>0</v>
      </c>
      <c r="OH77" s="20" t="n">
        <f aca="false">IF(H_Direct=1,IF(DU77&lt;=0,OG77-DU77*AMU76,OG77-MIN(MIN(DU77*AMU76,KT77+OG77),OG77)),OG77)</f>
        <v>0</v>
      </c>
      <c r="OI77" s="20" t="n">
        <f aca="false">IF(H_Direct=1,IF(DV77&lt;=0,OH77-DV77*AMV76,OH77-MIN(MIN(DV77*AMV76,KU77+OH77),OH77)),OH77)</f>
        <v>0</v>
      </c>
      <c r="OJ77" s="20" t="n">
        <f aca="false">IF(H_Direct=1,IF(DW77&lt;=0,OI77-DW77*AMW76,OI77-MIN(MIN(DW77*AMW76,KV77+OI77),OI77)),OI77)</f>
        <v>0</v>
      </c>
      <c r="OK77" s="20" t="n">
        <f aca="false">IF(H_Direct=1,IF(DX77&lt;=0,OJ77-DX77*AMX76,OJ77-MIN(MIN(DX77*AMX76,KW77+OJ77),OJ77)),OJ77)</f>
        <v>0</v>
      </c>
      <c r="OL77" s="20" t="n">
        <f aca="false">IF(H_Direct=1,IF(DY77&lt;=0,OK77-DY77*AMY76,OK77-MIN(MIN(DY77*AMY76,KX77+OK77),OK77)),OK77)</f>
        <v>0</v>
      </c>
      <c r="OM77" s="20" t="n">
        <f aca="false">IF(H_Direct=1,IF(DZ77&lt;=0,OL77-DZ77*AMZ76,OL77-MIN(MIN(DZ77*AMZ76,KY77+OL77),OL77)),OL77)</f>
        <v>0</v>
      </c>
      <c r="ON77" s="20" t="n">
        <f aca="false">IF(H_Direct=1,IF(EA77&lt;=0,OM77-EA77*ANA76,OM77-MIN(MIN(EA77*ANA76,KZ77+OM77),OM77)),OM77)</f>
        <v>0</v>
      </c>
      <c r="OO77" s="20" t="n">
        <f aca="false">IF(H_Direct=1,IF(EB77&lt;=0,ON77-EB77*ANB76,ON77-MIN(MIN(EB77*ANB76,LA77+ON77),ON77)),ON77)</f>
        <v>0</v>
      </c>
      <c r="OP77" s="20" t="n">
        <f aca="false">IF(H_Direct=1,IF(EC77&lt;=0,OO77-EC77*ANC76,OO77-MIN(MIN(EC77*ANC76,LB77+OO77),OO77)),OO77)</f>
        <v>0</v>
      </c>
      <c r="OQ77" s="20" t="n">
        <f aca="false">IF(H_Direct=1,IF(ED77&lt;=0,OP77-ED77*AND76,OP77-MIN(MIN(ED77*AND76,LC77+OP77),OP77)),OP77)</f>
        <v>0</v>
      </c>
      <c r="OR77" s="20" t="n">
        <f aca="false">IF(H_Direct=1,IF(EE77&lt;=0,OQ77-EE77*ANE76,OQ77-MIN(MIN(EE77*ANE76,LD77+OQ77),OQ77)),OQ77)</f>
        <v>0</v>
      </c>
      <c r="OS77" s="20" t="n">
        <f aca="false">IF(H_Direct=1,IF(EF77&lt;=0,OR77-EF77*ANF76,OR77-MIN(MIN(EF77*ANF76,LE77+OR77),OR77)),OR77)</f>
        <v>0</v>
      </c>
      <c r="OT77" s="20" t="n">
        <f aca="false">IF(H_Direct=1,IF(EG77&lt;=0,OS77-EG77*ANG76,OS77-MIN(MIN(EG77*ANG76,LF77+OS77),OS77)),OS77)</f>
        <v>0</v>
      </c>
      <c r="OU77" s="20" t="n">
        <f aca="false">IF(H_Direct=1,IF(EH77&lt;=0,OT77-EH77*ANH76,OT77-MIN(MIN(EH77*ANH76,LG77+OT77),OT77)),OT77)</f>
        <v>0</v>
      </c>
      <c r="OV77" s="20" t="n">
        <f aca="false">IF(H_Direct=1,IF(EI77&lt;=0,OU77-EI77*ANI76,OU77-MIN(MIN(EI77*ANI76,LH77+OU77),OU77)),OU77)</f>
        <v>0</v>
      </c>
      <c r="OW77" s="20" t="n">
        <f aca="false">IF(H_Direct=1,IF(EJ77&lt;=0,OV77-EJ77*(P77+S77),OV77-MIN(MIN(EJ77*(P77+S77),LI77+OV77),OV77)),OV77)</f>
        <v>0</v>
      </c>
      <c r="OX77" s="20" t="n">
        <f aca="false">OW77</f>
        <v>0</v>
      </c>
      <c r="OY77" s="20" t="n">
        <f aca="false">OX77</f>
        <v>0</v>
      </c>
      <c r="OZ77" s="20" t="n">
        <f aca="false">OY77</f>
        <v>0</v>
      </c>
      <c r="PA77" s="20" t="n">
        <f aca="false">OZ77</f>
        <v>0</v>
      </c>
      <c r="PB77" s="20" t="n">
        <f aca="false">PA77</f>
        <v>0</v>
      </c>
      <c r="PC77" s="20" t="n">
        <f aca="false">PB77</f>
        <v>0</v>
      </c>
      <c r="PD77" s="20" t="n">
        <f aca="false">PC77</f>
        <v>0</v>
      </c>
      <c r="PE77" s="20" t="n">
        <f aca="false">PD77</f>
        <v>0</v>
      </c>
      <c r="PF77" s="20" t="n">
        <f aca="false">PE77</f>
        <v>0</v>
      </c>
      <c r="PG77" s="20" t="n">
        <f aca="false">PF77</f>
        <v>0</v>
      </c>
      <c r="PH77" s="20" t="n">
        <f aca="false">PG77</f>
        <v>0</v>
      </c>
      <c r="PI77" s="20" t="n">
        <f aca="false">PH77</f>
        <v>0</v>
      </c>
      <c r="PJ77" s="20" t="n">
        <f aca="false">PI77</f>
        <v>0</v>
      </c>
      <c r="PK77" s="20" t="n">
        <f aca="false">PJ77</f>
        <v>0</v>
      </c>
      <c r="PL77" s="20" t="n">
        <f aca="false">PK77</f>
        <v>0</v>
      </c>
      <c r="PM77" s="20" t="n">
        <f aca="false">PL77</f>
        <v>0</v>
      </c>
      <c r="PN77" s="20" t="n">
        <f aca="false">PM77</f>
        <v>0</v>
      </c>
      <c r="PO77" s="20" t="n">
        <f aca="false">PN77</f>
        <v>0</v>
      </c>
      <c r="PP77" s="20" t="n">
        <f aca="false">PO77</f>
        <v>0</v>
      </c>
      <c r="PQ77" s="20" t="n">
        <f aca="false">PP77</f>
        <v>0</v>
      </c>
      <c r="PR77" s="20" t="n">
        <f aca="false">IF(H_Direct=1,IF(AKR76&lt;=0,0,IF(BR77&lt;=0,MIN(MAX(0,AB77),AKR76),MIN(MAX(0,AB77),AKR76-G77*MAX(0,BR77*AKR76-(H77+I77))))),MIN(FE77,MAX(0,AB77)))</f>
        <v>0</v>
      </c>
      <c r="PS77" s="20" t="n">
        <f aca="false">IF(H_Direct=1,IF(AKS76&lt;=0,0,IF(BS77&lt;=0,MIN(MAX(0,AB77-SUM(PR77:PR77)),AKS76),MIN(MAX(0,AB77-SUM(PR77:PR77)),AKS76-G77*MAX(0,BS77*AKS76-(WR77+AAE77))))),MIN(FF77,MAX(0,AB77-SUM(PR77:PR77))))</f>
        <v>0</v>
      </c>
      <c r="PT77" s="20" t="n">
        <f aca="false">IF(H_Direct=1,IF(AKT76&lt;=0,0,IF(BT77&lt;=0,MIN(MAX(0,AB77-SUM(PR77:PS77)),AKT76),MIN(MAX(0,AB77-SUM(PR77:PS77)),AKT76-G77*MAX(0,BT77*AKT76-(WS77+AAF77))))),MIN(FG77,MAX(0,AB77-SUM(PR77:PS77))))</f>
        <v>0</v>
      </c>
      <c r="PU77" s="20" t="n">
        <f aca="false">IF(H_Direct=1,IF(AKU76&lt;=0,0,IF(BU77&lt;=0,MIN(MAX(0,AB77-SUM(PR77:PT77)),AKU76),MIN(MAX(0,AB77-SUM(PR77:PT77)),AKU76-G77*MAX(0,BU77*AKU76-(WT77+AAG77))))),MIN(FH77,MAX(0,AB77-SUM(PR77:PT77))))</f>
        <v>0</v>
      </c>
      <c r="PV77" s="20" t="n">
        <f aca="false">IF(H_Direct=1,IF(AKV76&lt;=0,0,IF(BV77&lt;=0,MIN(MAX(0,AB77-SUM(PR77:PU77)),AKV76),MIN(MAX(0,AB77-SUM(PR77:PU77)),AKV76-G77*MAX(0,BV77*AKV76-(WU77+AAH77))))),MIN(FI77,MAX(0,AB77-SUM(PR77:PU77))))</f>
        <v>0</v>
      </c>
      <c r="PW77" s="20" t="n">
        <f aca="false">IF(H_Direct=1,IF(AKW76&lt;=0,0,IF(BW77&lt;=0,MIN(MAX(0,AB77-SUM(PR77:PV77)),AKW76),MIN(MAX(0,AB77-SUM(PR77:PV77)),AKW76-G77*MAX(0,BW77*AKW76-(WV77+AAI77))))),MIN(FJ77,MAX(0,AB77-SUM(PR77:PV77))))</f>
        <v>0</v>
      </c>
      <c r="PX77" s="20" t="n">
        <f aca="false">IF(H_Direct=1,IF(AKX76&lt;=0,0,IF(BX77&lt;=0,MIN(MAX(0,AB77-SUM(PR77:PW77)),AKX76),MIN(MAX(0,AB77-SUM(PR77:PW77)),AKX76-G77*MAX(0,BX77*AKX76-(WW77+AAJ77))))),MIN(FK77,MAX(0,AB77-SUM(PR77:PW77))))</f>
        <v>0</v>
      </c>
      <c r="PY77" s="20" t="n">
        <f aca="false">IF(H_Direct=1,IF(AKY76&lt;=0,0,IF(BY77&lt;=0,MIN(MAX(0,AB77-SUM(PR77:PX77)),AKY76),MIN(MAX(0,AB77-SUM(PR77:PX77)),AKY76-G77*MAX(0,BY77*AKY76-(WX77+AAK77))))),MIN(FL77,MAX(0,AB77-SUM(PR77:PX77))))</f>
        <v>0</v>
      </c>
      <c r="PZ77" s="20" t="n">
        <f aca="false">IF(H_Direct=1,IF(AKZ76&lt;=0,0,IF(BZ77&lt;=0,MIN(MAX(0,AB77-SUM(PR77:PY77)),AKZ76),MIN(MAX(0,AB77-SUM(PR77:PY77)),AKZ76-G77*MAX(0,BZ77*AKZ76-(WY77+AAL77))))),MIN(FM77,MAX(0,AB77-SUM(PR77:PY77))))</f>
        <v>0</v>
      </c>
      <c r="QA77" s="20" t="n">
        <f aca="false">IF(H_Direct=1,IF(ALA76&lt;=0,0,IF(CA77&lt;=0,MIN(MAX(0,AB77-SUM(PR77:PZ77)),ALA76),MIN(MAX(0,AB77-SUM(PR77:PZ77)),ALA76-G77*MAX(0,CA77*ALA76-(WZ77+AAM77))))),MIN(FN77,MAX(0,AB77-SUM(PR77:PZ77))))</f>
        <v>0</v>
      </c>
      <c r="QB77" s="20" t="n">
        <f aca="false">IF(H_Direct=1,IF(ALB76&lt;=0,0,IF(CB77&lt;=0,MIN(MAX(0,AB77-SUM(PR77:QA77)),ALB76),MIN(MAX(0,AB77-SUM(PR77:QA77)),ALB76-G77*MAX(0,CB77*ALB76-(XA77+AAN77))))),MIN(FO77,MAX(0,AB77-SUM(PR77:QA77))))</f>
        <v>0</v>
      </c>
      <c r="QC77" s="20" t="n">
        <f aca="false">IF(H_Direct=1,IF(ALC76&lt;=0,0,IF(CC77&lt;=0,MIN(MAX(0,AB77-SUM(PR77:QB77)),ALC76),MIN(MAX(0,AB77-SUM(PR77:QB77)),ALC76-G77*MAX(0,CC77*ALC76-(XB77+AAO77))))),MIN(FP77,MAX(0,AB77-SUM(PR77:QB77))))</f>
        <v>0</v>
      </c>
      <c r="QD77" s="20" t="n">
        <f aca="false">IF(H_Direct=1,IF(ALD76&lt;=0,0,IF(CD77&lt;=0,MIN(MAX(0,AB77-SUM(PR77:QC77)),ALD76),MIN(MAX(0,AB77-SUM(PR77:QC77)),ALD76-G77*MAX(0,CD77*ALD76-(XC77+AAP77))))),MIN(FQ77,MAX(0,AB77-SUM(PR77:QC77))))</f>
        <v>0</v>
      </c>
      <c r="QE77" s="20" t="n">
        <f aca="false">IF(H_Direct=1,IF(ALE76&lt;=0,0,IF(CE77&lt;=0,MIN(MAX(0,AB77-SUM(PR77:QD77)),ALE76),MIN(MAX(0,AB77-SUM(PR77:QD77)),ALE76-G77*MAX(0,CE77*ALE76-(XD77+AAQ77))))),MIN(FR77,MAX(0,AB77-SUM(PR77:QD77))))</f>
        <v>0</v>
      </c>
      <c r="QF77" s="20" t="n">
        <f aca="false">IF(H_Direct=1,IF(ALF76&lt;=0,0,IF(CF77&lt;=0,MIN(MAX(0,AB77-SUM(PR77:QE77)),ALF76),MIN(MAX(0,AB77-SUM(PR77:QE77)),ALF76-G77*MAX(0,CF77*ALF76-(XE77+AAR77))))),MIN(FS77,MAX(0,AB77-SUM(PR77:QE77))))</f>
        <v>0</v>
      </c>
      <c r="QG77" s="20" t="n">
        <f aca="false">IF(H_Direct=1,IF(ALG76&lt;=0,0,IF(CG77&lt;=0,MIN(MAX(0,AB77-SUM(PR77:QF77)),ALG76),MIN(MAX(0,AB77-SUM(PR77:QF77)),ALG76-G77*MAX(0,CG77*ALG76-(XF77+AAS77))))),MIN(FT77,MAX(0,AB77-SUM(PR77:QF77))))</f>
        <v>0</v>
      </c>
      <c r="QH77" s="20" t="n">
        <f aca="false">IF(H_Direct=1,IF(ALH76&lt;=0,0,IF(CH77&lt;=0,MIN(MAX(0,AB77-SUM(PR77:QG77)),ALH76),MIN(MAX(0,AB77-SUM(PR77:QG77)),ALH76-G77*MAX(0,CH77*ALH76-(XG77+AAT77))))),MIN(FU77,MAX(0,AB77-SUM(PR77:QG77))))</f>
        <v>0</v>
      </c>
      <c r="QI77" s="20" t="n">
        <f aca="false">IF(H_Direct=1,IF(ALI76&lt;=0,0,IF(CI77&lt;=0,MIN(MAX(0,AB77-SUM(PR77:QH77)),ALI76),MIN(MAX(0,AB77-SUM(PR77:QH77)),ALI76-G77*MAX(0,CI77*ALI76-(XH77+AAU77))))),MIN(FV77,MAX(0,AB77-SUM(PR77:QH77))))</f>
        <v>0</v>
      </c>
      <c r="QJ77" s="20" t="n">
        <f aca="false">IF(H_Direct=1,IF(ALJ76&lt;=0,0,IF(CJ77&lt;=0,MIN(MAX(0,AB77-SUM(PR77:QI77)),ALJ76),MIN(MAX(0,AB77-SUM(PR77:QI77)),ALJ76-G77*MAX(0,CJ77*ALJ76-(XI77+AAV77))))),MIN(FW77,MAX(0,AB77-SUM(PR77:QI77))))</f>
        <v>0</v>
      </c>
      <c r="QK77" s="20" t="n">
        <f aca="false">IF(H_Direct=1,IF(ALK76&lt;=0,0,IF(CK77&lt;=0,MIN(MAX(0,AB77-SUM(PR77:QJ77)),ALK76),MIN(MAX(0,AB77-SUM(PR77:QJ77)),ALK76-G77*MAX(0,CK77*ALK76-(XJ77+AAW77))))),MIN(FX77,MAX(0,AB77-SUM(PR77:QJ77))))</f>
        <v>0</v>
      </c>
      <c r="QL77" s="20" t="n">
        <f aca="false">IF(H_Direct=1,IF(ALL76&lt;=0,0,IF(CL77&lt;=0,MIN(MAX(0,AB77-SUM(PR77:QK77)),ALL76),MIN(MAX(0,AB77-SUM(PR77:QK77)),ALL76-G77*MAX(0,CL77*ALL76-(XK77+AAX77))))),MIN(FY77,MAX(0,AB77-SUM(PR77:QK77))))</f>
        <v>0</v>
      </c>
      <c r="QM77" s="20" t="n">
        <f aca="false">IF(H_Direct=1,IF(ALM76&lt;=0,0,IF(CM77&lt;=0,MIN(MAX(0,AB77-SUM(PR77:QL77)),ALM76),MIN(MAX(0,AB77-SUM(PR77:QL77)),ALM76-G77*MAX(0,CM77*ALM76-(XL77+AAY77))))),MIN(FZ77,MAX(0,AB77-SUM(PR77:QL77))))</f>
        <v>0</v>
      </c>
      <c r="QN77" s="20" t="n">
        <f aca="false">IF(H_Direct=1,IF(ALN76&lt;=0,0,IF(CN77&lt;=0,MIN(MAX(0,AB77-SUM(PR77:QM77)),ALN76),MIN(MAX(0,AB77-SUM(PR77:QM77)),ALN76-G77*MAX(0,CN77*ALN76-(XM77+AAZ77))))),MIN(GA77,MAX(0,AB77-SUM(PR77:QM77))))</f>
        <v>0</v>
      </c>
      <c r="QO77" s="20" t="n">
        <f aca="false">IF(H_Direct=1,IF(ALO76&lt;=0,0,IF(CO77&lt;=0,MIN(MAX(0,AB77-SUM(PR77:QN77)),ALO76),MIN(MAX(0,AB77-SUM(PR77:QN77)),ALO76-G77*MAX(0,CO77*ALO76-(XN77+ABA77))))),MIN(GB77,MAX(0,AB77-SUM(PR77:QN77))))</f>
        <v>0</v>
      </c>
      <c r="QP77" s="20" t="n">
        <f aca="false">IF(H_Direct=1,IF(ALP76&lt;=0,0,IF(CP77&lt;=0,MIN(MAX(0,AB77-SUM(PR77:QO77)),ALP76),MIN(MAX(0,AB77-SUM(PR77:QO77)),ALP76-G77*MAX(0,CP77*ALP76-(XO77+ABB77))))),MIN(GC77,MAX(0,AB77-SUM(PR77:QO77))))</f>
        <v>0</v>
      </c>
      <c r="QQ77" s="20" t="n">
        <f aca="false">IF(H_Direct=1,IF(ALQ76&lt;=0,0,IF(CQ77&lt;=0,MIN(MAX(0,AB77-SUM(PR77:QP77)),ALQ76),MIN(MAX(0,AB77-SUM(PR77:QP77)),ALQ76-G77*MAX(0,CQ77*ALQ76-(XP77+ABC77))))),MIN(GD77,MAX(0,AB77-SUM(PR77:QP77))))</f>
        <v>0</v>
      </c>
      <c r="QR77" s="20" t="n">
        <f aca="false">IF(H_Direct=1,IF(ALR76&lt;=0,0,IF(CR77&lt;=0,MIN(MAX(0,AB77-SUM(PR77:QQ77)),ALR76),MIN(MAX(0,AB77-SUM(PR77:QQ77)),ALR76-G77*MAX(0,CR77*ALR76-(XQ77+ABD77))))),MIN(GE77,MAX(0,AB77-SUM(PR77:QQ77))))</f>
        <v>0</v>
      </c>
      <c r="QS77" s="20" t="n">
        <f aca="false">IF(H_Direct=1,IF(ALS76&lt;=0,0,IF(CS77&lt;=0,MIN(MAX(0,AB77-SUM(PR77:QR77)),ALS76),MIN(MAX(0,AB77-SUM(PR77:QR77)),ALS76-G77*MAX(0,CS77*ALS76-(XR77+ABE77))))),MIN(GF77,MAX(0,AB77-SUM(PR77:QR77))))</f>
        <v>0</v>
      </c>
      <c r="QT77" s="20" t="n">
        <f aca="false">IF(H_Direct=1,IF(ALT76&lt;=0,0,IF(CT77&lt;=0,MIN(MAX(0,AB77-SUM(PR77:QS77)),ALT76),MIN(MAX(0,AB77-SUM(PR77:QS77)),ALT76-G77*MAX(0,CT77*ALT76-(XS77+ABF77))))),MIN(GG77,MAX(0,AB77-SUM(PR77:QS77))))</f>
        <v>0</v>
      </c>
      <c r="QU77" s="20" t="n">
        <f aca="false">IF(H_Direct=1,IF(ALU76&lt;=0,0,IF(CU77&lt;=0,MIN(MAX(0,AB77-SUM(PR77:QT77)),ALU76),MIN(MAX(0,AB77-SUM(PR77:QT77)),ALU76-G77*MAX(0,CU77*ALU76-(XT77+ABG77))))),MIN(GH77,MAX(0,AB77-SUM(PR77:QT77))))</f>
        <v>0</v>
      </c>
      <c r="QV77" s="20" t="n">
        <f aca="false">IF(H_Direct=1,IF(ALV76&lt;=0,0,IF(CV77&lt;=0,MIN(MAX(0,AB77-SUM(PR77:QU77)),ALV76),MIN(MAX(0,AB77-SUM(PR77:QU77)),ALV76-G77*MAX(0,CV77*ALV76-(XU77+ABH77))))),MIN(GI77,MAX(0,AB77-SUM(PR77:QU77))))</f>
        <v>0</v>
      </c>
      <c r="QW77" s="20" t="n">
        <f aca="false">IF(H_Direct=1,IF(ALW76&lt;=0,0,IF(CW77&lt;=0,MIN(MAX(0,AB77-SUM(PR77:QV77)),ALW76),MIN(MAX(0,AB77-SUM(PR77:QV77)),ALW76-G77*MAX(0,CW77*ALW76-(XV77+ABI77))))),MIN(GJ77,MAX(0,AB77-SUM(PR77:QV77))))</f>
        <v>0</v>
      </c>
      <c r="QX77" s="20" t="n">
        <f aca="false">IF(H_Direct=1,IF(ALX76&lt;=0,0,IF(CX77&lt;=0,MIN(MAX(0,AB77-SUM(PR77:QW77)),ALX76),MIN(MAX(0,AB77-SUM(PR77:QW77)),ALX76-G77*MAX(0,CX77*ALX76-(XW77+ABJ77))))),MIN(GK77,MAX(0,AB77-SUM(PR77:QW77))))</f>
        <v>0</v>
      </c>
      <c r="QY77" s="20" t="n">
        <f aca="false">IF(H_Direct=1,IF(ALY76&lt;=0,0,IF(CY77&lt;=0,MIN(MAX(0,AB77-SUM(PR77:QX77)),ALY76),MIN(MAX(0,AB77-SUM(PR77:QX77)),ALY76-G77*MAX(0,CY77*ALY76-(XX77+ABK77))))),MIN(GL77,MAX(0,AB77-SUM(PR77:QX77))))</f>
        <v>0</v>
      </c>
      <c r="QZ77" s="20" t="n">
        <f aca="false">IF(H_Direct=1,IF(ALZ76&lt;=0,0,IF(CZ77&lt;=0,MIN(MAX(0,AB77-SUM(PR77:QY77)),ALZ76),MIN(MAX(0,AB77-SUM(PR77:QY77)),ALZ76-G77*MAX(0,CZ77*ALZ76-(XY77+ABL77))))),MIN(GM77,MAX(0,AB77-SUM(PR77:QY77))))</f>
        <v>0</v>
      </c>
      <c r="RA77" s="20" t="n">
        <f aca="false">IF(H_Direct=1,IF(AMA76&lt;=0,0,IF(DA77&lt;=0,MIN(MAX(0,AB77-SUM(PR77:QZ77)),AMA76),MIN(MAX(0,AB77-SUM(PR77:QZ77)),AMA76-G77*MAX(0,DA77*AMA76-(XZ77+ABM77))))),MIN(GN77,MAX(0,AB77-SUM(PR77:QZ77))))</f>
        <v>0</v>
      </c>
      <c r="RB77" s="20" t="n">
        <f aca="false">IF(H_Direct=1,IF(AMB76&lt;=0,0,IF(DB77&lt;=0,MIN(MAX(0,AB77-SUM(PR77:RA77)),AMB76),MIN(MAX(0,AB77-SUM(PR77:RA77)),AMB76-G77*MAX(0,DB77*AMB76-(YA77+ABN77))))),MIN(GO77,MAX(0,AB77-SUM(PR77:RA77))))</f>
        <v>0</v>
      </c>
      <c r="RC77" s="20" t="n">
        <f aca="false">IF(H_Direct=1,IF(AMC76&lt;=0,0,IF(DC77&lt;=0,MIN(MAX(0,AB77-SUM(PR77:RB77)),AMC76),MIN(MAX(0,AB77-SUM(PR77:RB77)),AMC76-G77*MAX(0,DC77*AMC76-(YB77+ABO77))))),MIN(GP77,MAX(0,AB77-SUM(PR77:RB77))))</f>
        <v>0</v>
      </c>
      <c r="RD77" s="20" t="n">
        <f aca="false">IF(H_Direct=1,IF(AMD76&lt;=0,0,IF(DD77&lt;=0,MIN(MAX(0,AB77-SUM(PR77:RC77)),AMD76),MIN(MAX(0,AB77-SUM(PR77:RC77)),AMD76-G77*MAX(0,DD77*AMD76-(YC77+ABP77))))),MIN(GQ77,MAX(0,AB77-SUM(PR77:RC77))))</f>
        <v>0</v>
      </c>
      <c r="RE77" s="20" t="n">
        <f aca="false">IF(H_Direct=1,IF(AME76&lt;=0,0,IF(DE77&lt;=0,MIN(MAX(0,AB77-SUM(PR77:RD77)),AME76),MIN(MAX(0,AB77-SUM(PR77:RD77)),AME76-G77*MAX(0,DE77*AME76-(YD77+ABQ77))))),MIN(GR77,MAX(0,AB77-SUM(PR77:RD77))))</f>
        <v>0</v>
      </c>
      <c r="RF77" s="20" t="n">
        <f aca="false">IF(H_Direct=1,IF(AMF76&lt;=0,0,IF(DF77&lt;=0,MIN(MAX(0,AB77-SUM(PR77:RE77)),AMF76),MIN(MAX(0,AB77-SUM(PR77:RE77)),AMF76-G77*MAX(0,DF77*AMF76-(YE77+ABR77))))),MIN(GS77,MAX(0,AB77-SUM(PR77:RE77))))</f>
        <v>0</v>
      </c>
      <c r="RG77" s="20" t="n">
        <f aca="false">IF(H_Direct=1,IF(AMG76&lt;=0,0,IF(DG77&lt;=0,MIN(MAX(0,AB77-SUM(PR77:RF77)),AMG76),MIN(MAX(0,AB77-SUM(PR77:RF77)),AMG76-G77*MAX(0,DG77*AMG76-(YF77+ABS77))))),MIN(GT77,MAX(0,AB77-SUM(PR77:RF77))))</f>
        <v>0</v>
      </c>
      <c r="RH77" s="20" t="n">
        <f aca="false">IF(H_Direct=1,IF(AMH76&lt;=0,0,IF(DH77&lt;=0,MIN(MAX(0,AB77-SUM(PR77:RG77)),AMH76),MIN(MAX(0,AB77-SUM(PR77:RG77)),AMH76-G77*MAX(0,DH77*AMH76-(YG77+ABT77))))),MIN(GU77,MAX(0,AB77-SUM(PR77:RG77))))</f>
        <v>0</v>
      </c>
      <c r="RI77" s="20" t="n">
        <f aca="false">IF(H_Direct=1,IF(AMI76&lt;=0,0,IF(DI77&lt;=0,MIN(MAX(0,AB77-SUM(PR77:RH77)),AMI76),MIN(MAX(0,AB77-SUM(PR77:RH77)),AMI76-G77*MAX(0,DI77*AMI76-(YH77+ABU77))))),MIN(GV77,MAX(0,AB77-SUM(PR77:RH77))))</f>
        <v>0</v>
      </c>
      <c r="RJ77" s="20" t="n">
        <f aca="false">IF(H_Direct=1,IF(AMJ76&lt;=0,0,IF(DJ77&lt;=0,MIN(MAX(0,AB77-SUM(PR77:RI77)),AMJ76),MIN(MAX(0,AB77-SUM(PR77:RI77)),AMJ76-G77*MAX(0,DJ77*AMJ76-(YI77+ABV77))))),MIN(GW77,MAX(0,AB77-SUM(PR77:RI77))))</f>
        <v>0</v>
      </c>
      <c r="RK77" s="20" t="n">
        <f aca="false">IF(H_Direct=1,IF(AMK76&lt;=0,0,IF(DK77&lt;=0,MIN(MAX(0,AB77-SUM(PR77:RJ77)),AMK76),MIN(MAX(0,AB77-SUM(PR77:RJ77)),AMK76-G77*MAX(0,DK77*AMK76-(YJ77+ABW77))))),MIN(GX77,MAX(0,AB77-SUM(PR77:RJ77))))</f>
        <v>0</v>
      </c>
      <c r="RL77" s="20" t="n">
        <f aca="false">IF(H_Direct=1,IF(AML76&lt;=0,0,IF(DL77&lt;=0,MIN(MAX(0,AB77-SUM(PR77:RK77)),AML76),MIN(MAX(0,AB77-SUM(PR77:RK77)),AML76-G77*MAX(0,DL77*AML76-(YK77+ABX77))))),MIN(GY77,MAX(0,AB77-SUM(PR77:RK77))))</f>
        <v>0</v>
      </c>
      <c r="RM77" s="20" t="n">
        <f aca="false">IF(H_Direct=1,IF(AMM76&lt;=0,0,IF(DM77&lt;=0,MIN(MAX(0,AB77-SUM(PR77:RL77)),AMM76),MIN(MAX(0,AB77-SUM(PR77:RL77)),AMM76-G77*MAX(0,DM77*AMM76-(YL77+ABY77))))),MIN(GZ77,MAX(0,AB77-SUM(PR77:RL77))))</f>
        <v>0</v>
      </c>
      <c r="RN77" s="20" t="n">
        <f aca="false">IF(H_Direct=1,IF(AMN76&lt;=0,0,IF(DN77&lt;=0,MIN(MAX(0,AB77-SUM(PR77:RM77)),AMN76),MIN(MAX(0,AB77-SUM(PR77:RM77)),AMN76-G77*MAX(0,DN77*AMN76-(YM77+ABZ77))))),MIN(HA77,MAX(0,AB77-SUM(PR77:RM77))))</f>
        <v>0</v>
      </c>
      <c r="RO77" s="20" t="n">
        <f aca="false">IF(H_Direct=1,IF(AMO76&lt;=0,0,IF(DO77&lt;=0,MIN(MAX(0,AB77-SUM(PR77:RN77)),AMO76),MIN(MAX(0,AB77-SUM(PR77:RN77)),AMO76-G77*MAX(0,DO77*AMO76-(YN77+ACA77))))),MIN(HB77,MAX(0,AB77-SUM(PR77:RN77))))</f>
        <v>0</v>
      </c>
      <c r="RP77" s="20" t="n">
        <f aca="false">IF(H_Direct=1,IF(AMP76&lt;=0,0,IF(DP77&lt;=0,MIN(MAX(0,AB77-SUM(PR77:RO77)),AMP76),MIN(MAX(0,AB77-SUM(PR77:RO77)),AMP76-G77*MAX(0,DP77*AMP76-(YO77+ACB77))))),MIN(HC77,MAX(0,AB77-SUM(PR77:RO77))))</f>
        <v>0</v>
      </c>
      <c r="RQ77" s="20" t="n">
        <f aca="false">IF(H_Direct=1,IF(AMQ76&lt;=0,0,IF(DQ77&lt;=0,MIN(MAX(0,AB77-SUM(PR77:RP77)),AMQ76),MIN(MAX(0,AB77-SUM(PR77:RP77)),AMQ76-G77*MAX(0,DQ77*AMQ76-(YP77+ACC77))))),MIN(HD77,MAX(0,AB77-SUM(PR77:RP77))))</f>
        <v>0</v>
      </c>
      <c r="RR77" s="20" t="n">
        <f aca="false">IF(H_Direct=1,IF(AMR76&lt;=0,0,IF(DR77&lt;=0,MIN(MAX(0,AB77-SUM(PR77:RQ77)),AMR76),MIN(MAX(0,AB77-SUM(PR77:RQ77)),AMR76-G77*MAX(0,DR77*AMR76-(YQ77+ACD77))))),MIN(HE77,MAX(0,AB77-SUM(PR77:RQ77))))</f>
        <v>0</v>
      </c>
      <c r="RS77" s="20" t="n">
        <f aca="false">IF(H_Direct=1,IF(AMS76&lt;=0,0,IF(DS77&lt;=0,MIN(MAX(0,AB77-SUM(PR77:RR77)),AMS76),MIN(MAX(0,AB77-SUM(PR77:RR77)),AMS76-G77*MAX(0,DS77*AMS76-(YR77+ACE77))))),MIN(HF77,MAX(0,AB77-SUM(PR77:RR77))))</f>
        <v>0</v>
      </c>
      <c r="RT77" s="20" t="n">
        <f aca="false">IF(H_Direct=1,IF(AMT76&lt;=0,0,IF(DT77&lt;=0,MIN(MAX(0,AB77-SUM(PR77:RS77)),AMT76),MIN(MAX(0,AB77-SUM(PR77:RS77)),AMT76-G77*MAX(0,DT77*AMT76-(YS77+ACF77))))),MIN(HG77,MAX(0,AB77-SUM(PR77:RS77))))</f>
        <v>0</v>
      </c>
      <c r="RU77" s="20" t="n">
        <f aca="false">IF(H_Direct=1,IF(AMU76&lt;=0,0,IF(DU77&lt;=0,MIN(MAX(0,AB77-SUM(PR77:RT77)),AMU76),MIN(MAX(0,AB77-SUM(PR77:RT77)),AMU76-G77*MAX(0,DU77*AMU76-(YT77+ACG77))))),MIN(HH77,MAX(0,AB77-SUM(PR77:RT77))))</f>
        <v>0</v>
      </c>
      <c r="RV77" s="20" t="n">
        <f aca="false">IF(H_Direct=1,IF(AMV76&lt;=0,0,IF(DV77&lt;=0,MIN(MAX(0,AB77-SUM(PR77:RU77)),AMV76),MIN(MAX(0,AB77-SUM(PR77:RU77)),AMV76-G77*MAX(0,DV77*AMV76-(YU77+ACH77))))),MIN(HI77,MAX(0,AB77-SUM(PR77:RU77))))</f>
        <v>0</v>
      </c>
      <c r="RW77" s="20" t="n">
        <f aca="false">IF(H_Direct=1,IF(AMW76&lt;=0,0,IF(DW77&lt;=0,MIN(MAX(0,AB77-SUM(PR77:RV77)),AMW76),MIN(MAX(0,AB77-SUM(PR77:RV77)),AMW76-G77*MAX(0,DW77*AMW76-(YV77+ACI77))))),MIN(HJ77,MAX(0,AB77-SUM(PR77:RV77))))</f>
        <v>0</v>
      </c>
      <c r="RX77" s="20" t="n">
        <f aca="false">IF(H_Direct=1,IF(AMX76&lt;=0,0,IF(DX77&lt;=0,MIN(MAX(0,AB77-SUM(PR77:RW77)),AMX76),MIN(MAX(0,AB77-SUM(PR77:RW77)),AMX76-G77*MAX(0,DX77*AMX76-(YW77+ACJ77))))),MIN(HK77,MAX(0,AB77-SUM(PR77:RW77))))</f>
        <v>0</v>
      </c>
      <c r="RY77" s="20" t="n">
        <f aca="false">IF(H_Direct=1,IF(AMY76&lt;=0,0,IF(DY77&lt;=0,MIN(MAX(0,AB77-SUM(PR77:RX77)),AMY76),MIN(MAX(0,AB77-SUM(PR77:RX77)),AMY76-G77*MAX(0,DY77*AMY76-(YX77+ACK77))))),MIN(HL77,MAX(0,AB77-SUM(PR77:RX77))))</f>
        <v>0</v>
      </c>
      <c r="RZ77" s="20" t="n">
        <f aca="false">IF(H_Direct=1,IF(AMZ76&lt;=0,0,IF(DZ77&lt;=0,MIN(MAX(0,AB77-SUM(PR77:RY77)),AMZ76),MIN(MAX(0,AB77-SUM(PR77:RY77)),AMZ76-G77*MAX(0,DZ77*AMZ76-(YY77+ACL77))))),MIN(HM77,MAX(0,AB77-SUM(PR77:RY77))))</f>
        <v>0</v>
      </c>
      <c r="SA77" s="20" t="n">
        <f aca="false">IF(H_Direct=1,IF(ANA76&lt;=0,0,IF(EA77&lt;=0,MIN(MAX(0,AB77-SUM(PR77:RZ77)),ANA76),MIN(MAX(0,AB77-SUM(PR77:RZ77)),ANA76-G77*MAX(0,EA77*ANA76-(YZ77+ACM77))))),MIN(HN77,MAX(0,AB77-SUM(PR77:RZ77))))</f>
        <v>0</v>
      </c>
      <c r="SB77" s="20" t="n">
        <f aca="false">IF(H_Direct=1,IF(ANB76&lt;=0,0,IF(EB77&lt;=0,MIN(MAX(0,AB77-SUM(PR77:SA77)),ANB76),MIN(MAX(0,AB77-SUM(PR77:SA77)),ANB76-G77*MAX(0,EB77*ANB76-(ZA77+ACN77))))),MIN(HO77,MAX(0,AB77-SUM(PR77:SA77))))</f>
        <v>0</v>
      </c>
      <c r="SC77" s="20" t="n">
        <f aca="false">IF(H_Direct=1,IF(ANC76&lt;=0,0,IF(EC77&lt;=0,MIN(MAX(0,AB77-SUM(PR77:SB77)),ANC76),MIN(MAX(0,AB77-SUM(PR77:SB77)),ANC76-G77*MAX(0,EC77*ANC76-(ZB77+ACO77))))),MIN(HP77,MAX(0,AB77-SUM(PR77:SB77))))</f>
        <v>0</v>
      </c>
      <c r="SD77" s="20" t="n">
        <f aca="false">IF(H_Direct=1,IF(AND76&lt;=0,0,IF(ED77&lt;=0,MIN(MAX(0,AB77-SUM(PR77:SC77)),AND76),MIN(MAX(0,AB77-SUM(PR77:SC77)),AND76-G77*MAX(0,ED77*AND76-(ZC77+ACP77))))),MIN(HQ77,MAX(0,AB77-SUM(PR77:SC77))))</f>
        <v>0</v>
      </c>
      <c r="SE77" s="20" t="n">
        <f aca="false">IF(H_Direct=1,IF(ANE76&lt;=0,0,IF(EE77&lt;=0,MIN(MAX(0,AB77-SUM(PR77:SD77)),ANE76),MIN(MAX(0,AB77-SUM(PR77:SD77)),ANE76-G77*MAX(0,EE77*ANE76-(ZD77+ACQ77))))),MIN(HR77,MAX(0,AB77-SUM(PR77:SD77))))</f>
        <v>0</v>
      </c>
      <c r="SF77" s="20" t="n">
        <f aca="false">IF(H_Direct=1,IF(ANF76&lt;=0,0,IF(EF77&lt;=0,MIN(MAX(0,AB77-SUM(PR77:SE77)),ANF76),MIN(MAX(0,AB77-SUM(PR77:SE77)),ANF76-G77*MAX(0,EF77*ANF76-(ZE77+ACR77))))),MIN(HS77,MAX(0,AB77-SUM(PR77:SE77))))</f>
        <v>0</v>
      </c>
      <c r="SG77" s="20" t="n">
        <f aca="false">IF(H_Direct=1,IF(ANG76&lt;=0,0,IF(EG77&lt;=0,MIN(MAX(0,AB77-SUM(PR77:SF77)),ANG76),MIN(MAX(0,AB77-SUM(PR77:SF77)),ANG76-G77*MAX(0,EG77*ANG76-(ZF77+ACS77))))),MIN(HT77,MAX(0,AB77-SUM(PR77:SF77))))</f>
        <v>0</v>
      </c>
      <c r="SH77" s="20" t="n">
        <f aca="false">IF(H_Direct=1,IF(ANH76&lt;=0,0,IF(EH77&lt;=0,MIN(MAX(0,AB77-SUM(PR77:SG77)),ANH76),MIN(MAX(0,AB77-SUM(PR77:SG77)),ANH76-G77*MAX(0,EH77*ANH76-(ZG77+ACT77))))),MIN(HU77,MAX(0,AB77-SUM(PR77:SG77))))</f>
        <v>0</v>
      </c>
      <c r="SI77" s="20" t="n">
        <f aca="false">IF(H_Direct=1,IF(ANI76&lt;=0,0,IF(EI77&lt;=0,MIN(MAX(0,AB77-SUM(PR77:SH77)),ANI76),MIN(MAX(0,AB77-SUM(PR77:SH77)),ANI76-G77*MAX(0,EI77*ANI76-(ZH77+ACU77))))),MIN(HV77,MAX(0,AB77-SUM(PR77:SH77))))</f>
        <v>0</v>
      </c>
      <c r="SJ77" s="20" t="n">
        <f aca="false">IF(H_Direct=1,IF((P77+S77)&lt;=0,0,IF(EJ77&lt;=0,MIN(MAX(0,AB77-SUM(PR77:SI77)),(P77+S77)),MIN(MAX(0,AB77-SUM(PR77:SI77)),(P77+S77)-G77*MAX(0,EJ77*(P77+S77)-(ZI77+ACV77))))),MIN(HW77,MAX(0,AB77-SUM(PR77:SI77))))</f>
        <v>0</v>
      </c>
      <c r="SK77" s="20" t="n">
        <v>0</v>
      </c>
      <c r="SL77" s="20" t="n">
        <v>0</v>
      </c>
      <c r="SM77" s="20" t="n">
        <v>0</v>
      </c>
      <c r="SN77" s="20" t="n">
        <v>0</v>
      </c>
      <c r="SO77" s="20" t="n">
        <v>0</v>
      </c>
      <c r="SP77" s="20" t="n">
        <v>0</v>
      </c>
      <c r="SQ77" s="20" t="n">
        <v>0</v>
      </c>
      <c r="SR77" s="20" t="n">
        <v>0</v>
      </c>
      <c r="SS77" s="20" t="n">
        <v>0</v>
      </c>
      <c r="ST77" s="20" t="n">
        <v>0</v>
      </c>
      <c r="SU77" s="20" t="n">
        <v>0</v>
      </c>
      <c r="SV77" s="20" t="n">
        <v>0</v>
      </c>
      <c r="SW77" s="20" t="n">
        <v>0</v>
      </c>
      <c r="SX77" s="20" t="n">
        <v>0</v>
      </c>
      <c r="SY77" s="20" t="n">
        <v>0</v>
      </c>
      <c r="SZ77" s="20" t="n">
        <v>0</v>
      </c>
      <c r="TA77" s="20" t="n">
        <v>0</v>
      </c>
      <c r="TB77" s="20" t="n">
        <v>0</v>
      </c>
      <c r="TC77" s="20" t="n">
        <v>0</v>
      </c>
      <c r="TD77" s="20" t="n">
        <v>0</v>
      </c>
      <c r="TE77" s="20" t="n">
        <f aca="false">IF(AKR76&lt;=0,0,IF(H_Direct=1,IF(BR77&lt;=0,PR77,IF(PR77&lt;=(H77+I77)/BR77,PR77,(PR77-G77*(H77+I77))/(1-G77*BR77))),PR77/(1-MAX(0,BR77)*H_Exit)))</f>
        <v>0</v>
      </c>
      <c r="TF77" s="20" t="n">
        <f aca="false">IF(AKS76&lt;=0,0,IF(H_Direct=1,IF(BS77&lt;=0,PS77,IF(PS77&lt;=(WR77+AAE77)/BS77,PS77,(PS77-G77*(WR77+AAE77))/(1-G77*BS77))),PS77/(1-MAX(0,BS77)*H_Exit)))</f>
        <v>0</v>
      </c>
      <c r="TG77" s="20" t="n">
        <f aca="false">IF(AKT76&lt;=0,0,IF(H_Direct=1,IF(BT77&lt;=0,PT77,IF(PT77&lt;=(WS77+AAF77)/BT77,PT77,(PT77-G77*(WS77+AAF77))/(1-G77*BT77))),PT77/(1-MAX(0,BT77)*H_Exit)))</f>
        <v>0</v>
      </c>
      <c r="TH77" s="20" t="n">
        <f aca="false">IF(AKU76&lt;=0,0,IF(H_Direct=1,IF(BU77&lt;=0,PU77,IF(PU77&lt;=(WT77+AAG77)/BU77,PU77,(PU77-G77*(WT77+AAG77))/(1-G77*BU77))),PU77/(1-MAX(0,BU77)*H_Exit)))</f>
        <v>0</v>
      </c>
      <c r="TI77" s="20" t="n">
        <f aca="false">IF(AKV76&lt;=0,0,IF(H_Direct=1,IF(BV77&lt;=0,PV77,IF(PV77&lt;=(WU77+AAH77)/BV77,PV77,(PV77-G77*(WU77+AAH77))/(1-G77*BV77))),PV77/(1-MAX(0,BV77)*H_Exit)))</f>
        <v>0</v>
      </c>
      <c r="TJ77" s="20" t="n">
        <f aca="false">IF(AKW76&lt;=0,0,IF(H_Direct=1,IF(BW77&lt;=0,PW77,IF(PW77&lt;=(WV77+AAI77)/BW77,PW77,(PW77-G77*(WV77+AAI77))/(1-G77*BW77))),PW77/(1-MAX(0,BW77)*H_Exit)))</f>
        <v>0</v>
      </c>
      <c r="TK77" s="20" t="n">
        <f aca="false">IF(AKX76&lt;=0,0,IF(H_Direct=1,IF(BX77&lt;=0,PX77,IF(PX77&lt;=(WW77+AAJ77)/BX77,PX77,(PX77-G77*(WW77+AAJ77))/(1-G77*BX77))),PX77/(1-MAX(0,BX77)*H_Exit)))</f>
        <v>0</v>
      </c>
      <c r="TL77" s="20" t="n">
        <f aca="false">IF(AKY76&lt;=0,0,IF(H_Direct=1,IF(BY77&lt;=0,PY77,IF(PY77&lt;=(WX77+AAK77)/BY77,PY77,(PY77-G77*(WX77+AAK77))/(1-G77*BY77))),PY77/(1-MAX(0,BY77)*H_Exit)))</f>
        <v>0</v>
      </c>
      <c r="TM77" s="20" t="n">
        <f aca="false">IF(AKZ76&lt;=0,0,IF(H_Direct=1,IF(BZ77&lt;=0,PZ77,IF(PZ77&lt;=(WY77+AAL77)/BZ77,PZ77,(PZ77-G77*(WY77+AAL77))/(1-G77*BZ77))),PZ77/(1-MAX(0,BZ77)*H_Exit)))</f>
        <v>0</v>
      </c>
      <c r="TN77" s="20" t="n">
        <f aca="false">IF(ALA76&lt;=0,0,IF(H_Direct=1,IF(CA77&lt;=0,QA77,IF(QA77&lt;=(WZ77+AAM77)/CA77,QA77,(QA77-G77*(WZ77+AAM77))/(1-G77*CA77))),QA77/(1-MAX(0,CA77)*H_Exit)))</f>
        <v>0</v>
      </c>
      <c r="TO77" s="20" t="n">
        <f aca="false">IF(ALB76&lt;=0,0,IF(H_Direct=1,IF(CB77&lt;=0,QB77,IF(QB77&lt;=(XA77+AAN77)/CB77,QB77,(QB77-G77*(XA77+AAN77))/(1-G77*CB77))),QB77/(1-MAX(0,CB77)*H_Exit)))</f>
        <v>0</v>
      </c>
      <c r="TP77" s="20" t="n">
        <f aca="false">IF(ALC76&lt;=0,0,IF(H_Direct=1,IF(CC77&lt;=0,QC77,IF(QC77&lt;=(XB77+AAO77)/CC77,QC77,(QC77-G77*(XB77+AAO77))/(1-G77*CC77))),QC77/(1-MAX(0,CC77)*H_Exit)))</f>
        <v>0</v>
      </c>
      <c r="TQ77" s="20" t="n">
        <f aca="false">IF(ALD76&lt;=0,0,IF(H_Direct=1,IF(CD77&lt;=0,QD77,IF(QD77&lt;=(XC77+AAP77)/CD77,QD77,(QD77-G77*(XC77+AAP77))/(1-G77*CD77))),QD77/(1-MAX(0,CD77)*H_Exit)))</f>
        <v>0</v>
      </c>
      <c r="TR77" s="20" t="n">
        <f aca="false">IF(ALE76&lt;=0,0,IF(H_Direct=1,IF(CE77&lt;=0,QE77,IF(QE77&lt;=(XD77+AAQ77)/CE77,QE77,(QE77-G77*(XD77+AAQ77))/(1-G77*CE77))),QE77/(1-MAX(0,CE77)*H_Exit)))</f>
        <v>0</v>
      </c>
      <c r="TS77" s="20" t="n">
        <f aca="false">IF(ALF76&lt;=0,0,IF(H_Direct=1,IF(CF77&lt;=0,QF77,IF(QF77&lt;=(XE77+AAR77)/CF77,QF77,(QF77-G77*(XE77+AAR77))/(1-G77*CF77))),QF77/(1-MAX(0,CF77)*H_Exit)))</f>
        <v>0</v>
      </c>
      <c r="TT77" s="20" t="n">
        <f aca="false">IF(ALG76&lt;=0,0,IF(H_Direct=1,IF(CG77&lt;=0,QG77,IF(QG77&lt;=(XF77+AAS77)/CG77,QG77,(QG77-G77*(XF77+AAS77))/(1-G77*CG77))),QG77/(1-MAX(0,CG77)*H_Exit)))</f>
        <v>0</v>
      </c>
      <c r="TU77" s="20" t="n">
        <f aca="false">IF(ALH76&lt;=0,0,IF(H_Direct=1,IF(CH77&lt;=0,QH77,IF(QH77&lt;=(XG77+AAT77)/CH77,QH77,(QH77-G77*(XG77+AAT77))/(1-G77*CH77))),QH77/(1-MAX(0,CH77)*H_Exit)))</f>
        <v>0</v>
      </c>
      <c r="TV77" s="20" t="n">
        <f aca="false">IF(ALI76&lt;=0,0,IF(H_Direct=1,IF(CI77&lt;=0,QI77,IF(QI77&lt;=(XH77+AAU77)/CI77,QI77,(QI77-G77*(XH77+AAU77))/(1-G77*CI77))),QI77/(1-MAX(0,CI77)*H_Exit)))</f>
        <v>0</v>
      </c>
      <c r="TW77" s="20" t="n">
        <f aca="false">IF(ALJ76&lt;=0,0,IF(H_Direct=1,IF(CJ77&lt;=0,QJ77,IF(QJ77&lt;=(XI77+AAV77)/CJ77,QJ77,(QJ77-G77*(XI77+AAV77))/(1-G77*CJ77))),QJ77/(1-MAX(0,CJ77)*H_Exit)))</f>
        <v>0</v>
      </c>
      <c r="TX77" s="20" t="n">
        <f aca="false">IF(ALK76&lt;=0,0,IF(H_Direct=1,IF(CK77&lt;=0,QK77,IF(QK77&lt;=(XJ77+AAW77)/CK77,QK77,(QK77-G77*(XJ77+AAW77))/(1-G77*CK77))),QK77/(1-MAX(0,CK77)*H_Exit)))</f>
        <v>0</v>
      </c>
      <c r="TY77" s="20" t="n">
        <f aca="false">IF(ALL76&lt;=0,0,IF(H_Direct=1,IF(CL77&lt;=0,QL77,IF(QL77&lt;=(XK77+AAX77)/CL77,QL77,(QL77-G77*(XK77+AAX77))/(1-G77*CL77))),QL77/(1-MAX(0,CL77)*H_Exit)))</f>
        <v>0</v>
      </c>
      <c r="TZ77" s="20" t="n">
        <f aca="false">IF(ALM76&lt;=0,0,IF(H_Direct=1,IF(CM77&lt;=0,QM77,IF(QM77&lt;=(XL77+AAY77)/CM77,QM77,(QM77-G77*(XL77+AAY77))/(1-G77*CM77))),QM77/(1-MAX(0,CM77)*H_Exit)))</f>
        <v>0</v>
      </c>
      <c r="UA77" s="20" t="n">
        <f aca="false">IF(ALN76&lt;=0,0,IF(H_Direct=1,IF(CN77&lt;=0,QN77,IF(QN77&lt;=(XM77+AAZ77)/CN77,QN77,(QN77-G77*(XM77+AAZ77))/(1-G77*CN77))),QN77/(1-MAX(0,CN77)*H_Exit)))</f>
        <v>0</v>
      </c>
      <c r="UB77" s="20" t="n">
        <f aca="false">IF(ALO76&lt;=0,0,IF(H_Direct=1,IF(CO77&lt;=0,QO77,IF(QO77&lt;=(XN77+ABA77)/CO77,QO77,(QO77-G77*(XN77+ABA77))/(1-G77*CO77))),QO77/(1-MAX(0,CO77)*H_Exit)))</f>
        <v>0</v>
      </c>
      <c r="UC77" s="20" t="n">
        <f aca="false">IF(ALP76&lt;=0,0,IF(H_Direct=1,IF(CP77&lt;=0,QP77,IF(QP77&lt;=(XO77+ABB77)/CP77,QP77,(QP77-G77*(XO77+ABB77))/(1-G77*CP77))),QP77/(1-MAX(0,CP77)*H_Exit)))</f>
        <v>0</v>
      </c>
      <c r="UD77" s="20" t="n">
        <f aca="false">IF(ALQ76&lt;=0,0,IF(H_Direct=1,IF(CQ77&lt;=0,QQ77,IF(QQ77&lt;=(XP77+ABC77)/CQ77,QQ77,(QQ77-G77*(XP77+ABC77))/(1-G77*CQ77))),QQ77/(1-MAX(0,CQ77)*H_Exit)))</f>
        <v>0</v>
      </c>
      <c r="UE77" s="20" t="n">
        <f aca="false">IF(ALR76&lt;=0,0,IF(H_Direct=1,IF(CR77&lt;=0,QR77,IF(QR77&lt;=(XQ77+ABD77)/CR77,QR77,(QR77-G77*(XQ77+ABD77))/(1-G77*CR77))),QR77/(1-MAX(0,CR77)*H_Exit)))</f>
        <v>0</v>
      </c>
      <c r="UF77" s="20" t="n">
        <f aca="false">IF(ALS76&lt;=0,0,IF(H_Direct=1,IF(CS77&lt;=0,QS77,IF(QS77&lt;=(XR77+ABE77)/CS77,QS77,(QS77-G77*(XR77+ABE77))/(1-G77*CS77))),QS77/(1-MAX(0,CS77)*H_Exit)))</f>
        <v>0</v>
      </c>
      <c r="UG77" s="20" t="n">
        <f aca="false">IF(ALT76&lt;=0,0,IF(H_Direct=1,IF(CT77&lt;=0,QT77,IF(QT77&lt;=(XS77+ABF77)/CT77,QT77,(QT77-G77*(XS77+ABF77))/(1-G77*CT77))),QT77/(1-MAX(0,CT77)*H_Exit)))</f>
        <v>0</v>
      </c>
      <c r="UH77" s="20" t="n">
        <f aca="false">IF(ALU76&lt;=0,0,IF(H_Direct=1,IF(CU77&lt;=0,QU77,IF(QU77&lt;=(XT77+ABG77)/CU77,QU77,(QU77-G77*(XT77+ABG77))/(1-G77*CU77))),QU77/(1-MAX(0,CU77)*H_Exit)))</f>
        <v>0</v>
      </c>
      <c r="UI77" s="20" t="n">
        <f aca="false">IF(ALV76&lt;=0,0,IF(H_Direct=1,IF(CV77&lt;=0,QV77,IF(QV77&lt;=(XU77+ABH77)/CV77,QV77,(QV77-G77*(XU77+ABH77))/(1-G77*CV77))),QV77/(1-MAX(0,CV77)*H_Exit)))</f>
        <v>0</v>
      </c>
      <c r="UJ77" s="20" t="n">
        <f aca="false">IF(ALW76&lt;=0,0,IF(H_Direct=1,IF(CW77&lt;=0,QW77,IF(QW77&lt;=(XV77+ABI77)/CW77,QW77,(QW77-G77*(XV77+ABI77))/(1-G77*CW77))),QW77/(1-MAX(0,CW77)*H_Exit)))</f>
        <v>0</v>
      </c>
      <c r="UK77" s="20" t="n">
        <f aca="false">IF(ALX76&lt;=0,0,IF(H_Direct=1,IF(CX77&lt;=0,QX77,IF(QX77&lt;=(XW77+ABJ77)/CX77,QX77,(QX77-G77*(XW77+ABJ77))/(1-G77*CX77))),QX77/(1-MAX(0,CX77)*H_Exit)))</f>
        <v>0</v>
      </c>
      <c r="UL77" s="20" t="n">
        <f aca="false">IF(ALY76&lt;=0,0,IF(H_Direct=1,IF(CY77&lt;=0,QY77,IF(QY77&lt;=(XX77+ABK77)/CY77,QY77,(QY77-G77*(XX77+ABK77))/(1-G77*CY77))),QY77/(1-MAX(0,CY77)*H_Exit)))</f>
        <v>0</v>
      </c>
      <c r="UM77" s="20" t="n">
        <f aca="false">IF(ALZ76&lt;=0,0,IF(H_Direct=1,IF(CZ77&lt;=0,QZ77,IF(QZ77&lt;=(XY77+ABL77)/CZ77,QZ77,(QZ77-G77*(XY77+ABL77))/(1-G77*CZ77))),QZ77/(1-MAX(0,CZ77)*H_Exit)))</f>
        <v>0</v>
      </c>
      <c r="UN77" s="20" t="n">
        <f aca="false">IF(AMA76&lt;=0,0,IF(H_Direct=1,IF(DA77&lt;=0,RA77,IF(RA77&lt;=(XZ77+ABM77)/DA77,RA77,(RA77-G77*(XZ77+ABM77))/(1-G77*DA77))),RA77/(1-MAX(0,DA77)*H_Exit)))</f>
        <v>0</v>
      </c>
      <c r="UO77" s="20" t="n">
        <f aca="false">IF(AMB76&lt;=0,0,IF(H_Direct=1,IF(DB77&lt;=0,RB77,IF(RB77&lt;=(YA77+ABN77)/DB77,RB77,(RB77-G77*(YA77+ABN77))/(1-G77*DB77))),RB77/(1-MAX(0,DB77)*H_Exit)))</f>
        <v>0</v>
      </c>
      <c r="UP77" s="20" t="n">
        <f aca="false">IF(AMC76&lt;=0,0,IF(H_Direct=1,IF(DC77&lt;=0,RC77,IF(RC77&lt;=(YB77+ABO77)/DC77,RC77,(RC77-G77*(YB77+ABO77))/(1-G77*DC77))),RC77/(1-MAX(0,DC77)*H_Exit)))</f>
        <v>0</v>
      </c>
      <c r="UQ77" s="20" t="n">
        <f aca="false">IF(AMD76&lt;=0,0,IF(H_Direct=1,IF(DD77&lt;=0,RD77,IF(RD77&lt;=(YC77+ABP77)/DD77,RD77,(RD77-G77*(YC77+ABP77))/(1-G77*DD77))),RD77/(1-MAX(0,DD77)*H_Exit)))</f>
        <v>0</v>
      </c>
      <c r="UR77" s="20" t="n">
        <f aca="false">IF(AME76&lt;=0,0,IF(H_Direct=1,IF(DE77&lt;=0,RE77,IF(RE77&lt;=(YD77+ABQ77)/DE77,RE77,(RE77-G77*(YD77+ABQ77))/(1-G77*DE77))),RE77/(1-MAX(0,DE77)*H_Exit)))</f>
        <v>0</v>
      </c>
      <c r="US77" s="20" t="n">
        <f aca="false">IF(AMF76&lt;=0,0,IF(H_Direct=1,IF(DF77&lt;=0,RF77,IF(RF77&lt;=(YE77+ABR77)/DF77,RF77,(RF77-G77*(YE77+ABR77))/(1-G77*DF77))),RF77/(1-MAX(0,DF77)*H_Exit)))</f>
        <v>0</v>
      </c>
      <c r="UT77" s="20" t="n">
        <f aca="false">IF(AMG76&lt;=0,0,IF(H_Direct=1,IF(DG77&lt;=0,RG77,IF(RG77&lt;=(YF77+ABS77)/DG77,RG77,(RG77-G77*(YF77+ABS77))/(1-G77*DG77))),RG77/(1-MAX(0,DG77)*H_Exit)))</f>
        <v>0</v>
      </c>
      <c r="UU77" s="20" t="n">
        <f aca="false">IF(AMH76&lt;=0,0,IF(H_Direct=1,IF(DH77&lt;=0,RH77,IF(RH77&lt;=(YG77+ABT77)/DH77,RH77,(RH77-G77*(YG77+ABT77))/(1-G77*DH77))),RH77/(1-MAX(0,DH77)*H_Exit)))</f>
        <v>0</v>
      </c>
      <c r="UV77" s="20" t="n">
        <f aca="false">IF(AMI76&lt;=0,0,IF(H_Direct=1,IF(DI77&lt;=0,RI77,IF(RI77&lt;=(YH77+ABU77)/DI77,RI77,(RI77-G77*(YH77+ABU77))/(1-G77*DI77))),RI77/(1-MAX(0,DI77)*H_Exit)))</f>
        <v>0</v>
      </c>
      <c r="UW77" s="20" t="n">
        <f aca="false">IF(AMJ76&lt;=0,0,IF(H_Direct=1,IF(DJ77&lt;=0,RJ77,IF(RJ77&lt;=(YI77+ABV77)/DJ77,RJ77,(RJ77-G77*(YI77+ABV77))/(1-G77*DJ77))),RJ77/(1-MAX(0,DJ77)*H_Exit)))</f>
        <v>0</v>
      </c>
      <c r="UX77" s="20" t="n">
        <f aca="false">IF(AMK76&lt;=0,0,IF(H_Direct=1,IF(DK77&lt;=0,RK77,IF(RK77&lt;=(YJ77+ABW77)/DK77,RK77,(RK77-G77*(YJ77+ABW77))/(1-G77*DK77))),RK77/(1-MAX(0,DK77)*H_Exit)))</f>
        <v>0</v>
      </c>
      <c r="UY77" s="20" t="n">
        <f aca="false">IF(AML76&lt;=0,0,IF(H_Direct=1,IF(DL77&lt;=0,RL77,IF(RL77&lt;=(YK77+ABX77)/DL77,RL77,(RL77-G77*(YK77+ABX77))/(1-G77*DL77))),RL77/(1-MAX(0,DL77)*H_Exit)))</f>
        <v>0</v>
      </c>
      <c r="UZ77" s="20" t="n">
        <f aca="false">IF(AMM76&lt;=0,0,IF(H_Direct=1,IF(DM77&lt;=0,RM77,IF(RM77&lt;=(YL77+ABY77)/DM77,RM77,(RM77-G77*(YL77+ABY77))/(1-G77*DM77))),RM77/(1-MAX(0,DM77)*H_Exit)))</f>
        <v>0</v>
      </c>
      <c r="VA77" s="20" t="n">
        <f aca="false">IF(AMN76&lt;=0,0,IF(H_Direct=1,IF(DN77&lt;=0,RN77,IF(RN77&lt;=(YM77+ABZ77)/DN77,RN77,(RN77-G77*(YM77+ABZ77))/(1-G77*DN77))),RN77/(1-MAX(0,DN77)*H_Exit)))</f>
        <v>0</v>
      </c>
      <c r="VB77" s="20" t="n">
        <f aca="false">IF(AMO76&lt;=0,0,IF(H_Direct=1,IF(DO77&lt;=0,RO77,IF(RO77&lt;=(YN77+ACA77)/DO77,RO77,(RO77-G77*(YN77+ACA77))/(1-G77*DO77))),RO77/(1-MAX(0,DO77)*H_Exit)))</f>
        <v>0</v>
      </c>
      <c r="VC77" s="20" t="n">
        <f aca="false">IF(AMP76&lt;=0,0,IF(H_Direct=1,IF(DP77&lt;=0,RP77,IF(RP77&lt;=(YO77+ACB77)/DP77,RP77,(RP77-G77*(YO77+ACB77))/(1-G77*DP77))),RP77/(1-MAX(0,DP77)*H_Exit)))</f>
        <v>0</v>
      </c>
      <c r="VD77" s="20" t="n">
        <f aca="false">IF(AMQ76&lt;=0,0,IF(H_Direct=1,IF(DQ77&lt;=0,RQ77,IF(RQ77&lt;=(YP77+ACC77)/DQ77,RQ77,(RQ77-G77*(YP77+ACC77))/(1-G77*DQ77))),RQ77/(1-MAX(0,DQ77)*H_Exit)))</f>
        <v>0</v>
      </c>
      <c r="VE77" s="20" t="n">
        <f aca="false">IF(AMR76&lt;=0,0,IF(H_Direct=1,IF(DR77&lt;=0,RR77,IF(RR77&lt;=(YQ77+ACD77)/DR77,RR77,(RR77-G77*(YQ77+ACD77))/(1-G77*DR77))),RR77/(1-MAX(0,DR77)*H_Exit)))</f>
        <v>0</v>
      </c>
      <c r="VF77" s="20" t="n">
        <f aca="false">IF(AMS76&lt;=0,0,IF(H_Direct=1,IF(DS77&lt;=0,RS77,IF(RS77&lt;=(YR77+ACE77)/DS77,RS77,(RS77-G77*(YR77+ACE77))/(1-G77*DS77))),RS77/(1-MAX(0,DS77)*H_Exit)))</f>
        <v>0</v>
      </c>
      <c r="VG77" s="20" t="n">
        <f aca="false">IF(AMT76&lt;=0,0,IF(H_Direct=1,IF(DT77&lt;=0,RT77,IF(RT77&lt;=(YS77+ACF77)/DT77,RT77,(RT77-G77*(YS77+ACF77))/(1-G77*DT77))),RT77/(1-MAX(0,DT77)*H_Exit)))</f>
        <v>0</v>
      </c>
      <c r="VH77" s="20" t="n">
        <f aca="false">IF(AMU76&lt;=0,0,IF(H_Direct=1,IF(DU77&lt;=0,RU77,IF(RU77&lt;=(YT77+ACG77)/DU77,RU77,(RU77-G77*(YT77+ACG77))/(1-G77*DU77))),RU77/(1-MAX(0,DU77)*H_Exit)))</f>
        <v>0</v>
      </c>
      <c r="VI77" s="20" t="n">
        <f aca="false">IF(AMV76&lt;=0,0,IF(H_Direct=1,IF(DV77&lt;=0,RV77,IF(RV77&lt;=(YU77+ACH77)/DV77,RV77,(RV77-G77*(YU77+ACH77))/(1-G77*DV77))),RV77/(1-MAX(0,DV77)*H_Exit)))</f>
        <v>0</v>
      </c>
      <c r="VJ77" s="20" t="n">
        <f aca="false">IF(AMW76&lt;=0,0,IF(H_Direct=1,IF(DW77&lt;=0,RW77,IF(RW77&lt;=(YV77+ACI77)/DW77,RW77,(RW77-G77*(YV77+ACI77))/(1-G77*DW77))),RW77/(1-MAX(0,DW77)*H_Exit)))</f>
        <v>0</v>
      </c>
      <c r="VK77" s="20" t="n">
        <f aca="false">IF(AMX76&lt;=0,0,IF(H_Direct=1,IF(DX77&lt;=0,RX77,IF(RX77&lt;=(YW77+ACJ77)/DX77,RX77,(RX77-G77*(YW77+ACJ77))/(1-G77*DX77))),RX77/(1-MAX(0,DX77)*H_Exit)))</f>
        <v>0</v>
      </c>
      <c r="VL77" s="20" t="n">
        <f aca="false">IF(AMY76&lt;=0,0,IF(H_Direct=1,IF(DY77&lt;=0,RY77,IF(RY77&lt;=(YX77+ACK77)/DY77,RY77,(RY77-G77*(YX77+ACK77))/(1-G77*DY77))),RY77/(1-MAX(0,DY77)*H_Exit)))</f>
        <v>0</v>
      </c>
      <c r="VM77" s="20" t="n">
        <f aca="false">IF(AMZ76&lt;=0,0,IF(H_Direct=1,IF(DZ77&lt;=0,RZ77,IF(RZ77&lt;=(YY77+ACL77)/DZ77,RZ77,(RZ77-G77*(YY77+ACL77))/(1-G77*DZ77))),RZ77/(1-MAX(0,DZ77)*H_Exit)))</f>
        <v>0</v>
      </c>
      <c r="VN77" s="20" t="n">
        <f aca="false">IF(ANA76&lt;=0,0,IF(H_Direct=1,IF(EA77&lt;=0,SA77,IF(SA77&lt;=(YZ77+ACM77)/EA77,SA77,(SA77-G77*(YZ77+ACM77))/(1-G77*EA77))),SA77/(1-MAX(0,EA77)*H_Exit)))</f>
        <v>0</v>
      </c>
      <c r="VO77" s="20" t="n">
        <f aca="false">IF(ANB76&lt;=0,0,IF(H_Direct=1,IF(EB77&lt;=0,SB77,IF(SB77&lt;=(ZA77+ACN77)/EB77,SB77,(SB77-G77*(ZA77+ACN77))/(1-G77*EB77))),SB77/(1-MAX(0,EB77)*H_Exit)))</f>
        <v>0</v>
      </c>
      <c r="VP77" s="20" t="n">
        <f aca="false">IF(ANC76&lt;=0,0,IF(H_Direct=1,IF(EC77&lt;=0,SC77,IF(SC77&lt;=(ZB77+ACO77)/EC77,SC77,(SC77-G77*(ZB77+ACO77))/(1-G77*EC77))),SC77/(1-MAX(0,EC77)*H_Exit)))</f>
        <v>0</v>
      </c>
      <c r="VQ77" s="20" t="n">
        <f aca="false">IF(AND76&lt;=0,0,IF(H_Direct=1,IF(ED77&lt;=0,SD77,IF(SD77&lt;=(ZC77+ACP77)/ED77,SD77,(SD77-G77*(ZC77+ACP77))/(1-G77*ED77))),SD77/(1-MAX(0,ED77)*H_Exit)))</f>
        <v>0</v>
      </c>
      <c r="VR77" s="20" t="n">
        <f aca="false">IF(ANE76&lt;=0,0,IF(H_Direct=1,IF(EE77&lt;=0,SE77,IF(SE77&lt;=(ZD77+ACQ77)/EE77,SE77,(SE77-G77*(ZD77+ACQ77))/(1-G77*EE77))),SE77/(1-MAX(0,EE77)*H_Exit)))</f>
        <v>0</v>
      </c>
      <c r="VS77" s="20" t="n">
        <f aca="false">IF(ANF76&lt;=0,0,IF(H_Direct=1,IF(EF77&lt;=0,SF77,IF(SF77&lt;=(ZE77+ACR77)/EF77,SF77,(SF77-G77*(ZE77+ACR77))/(1-G77*EF77))),SF77/(1-MAX(0,EF77)*H_Exit)))</f>
        <v>0</v>
      </c>
      <c r="VT77" s="20" t="n">
        <f aca="false">IF(ANG76&lt;=0,0,IF(H_Direct=1,IF(EG77&lt;=0,SG77,IF(SG77&lt;=(ZF77+ACS77)/EG77,SG77,(SG77-G77*(ZF77+ACS77))/(1-G77*EG77))),SG77/(1-MAX(0,EG77)*H_Exit)))</f>
        <v>0</v>
      </c>
      <c r="VU77" s="20" t="n">
        <f aca="false">IF(ANH76&lt;=0,0,IF(H_Direct=1,IF(EH77&lt;=0,SH77,IF(SH77&lt;=(ZG77+ACT77)/EH77,SH77,(SH77-G77*(ZG77+ACT77))/(1-G77*EH77))),SH77/(1-MAX(0,EH77)*H_Exit)))</f>
        <v>0</v>
      </c>
      <c r="VV77" s="20" t="n">
        <f aca="false">IF(ANI76&lt;=0,0,IF(H_Direct=1,IF(EI77&lt;=0,SI77,IF(SI77&lt;=(ZH77+ACU77)/EI77,SI77,(SI77-G77*(ZH77+ACU77))/(1-G77*EI77))),SI77/(1-MAX(0,EI77)*H_Exit)))</f>
        <v>0</v>
      </c>
      <c r="VW77" s="20" t="n">
        <f aca="false">IF((P77+S77)&lt;=0,0,IF(H_Direct=1,IF(EJ77&lt;=0,SJ77,IF(SJ77&lt;=(ZI77+ACV77)/EJ77,SJ77,(SJ77-G77*(ZI77+ACV77))/(1-G77*EJ77))),SJ77/(1-MAX(0,EJ77)*H_Exit)))</f>
        <v>0</v>
      </c>
      <c r="VX77" s="20" t="n">
        <v>0</v>
      </c>
      <c r="VY77" s="20" t="n">
        <v>0</v>
      </c>
      <c r="VZ77" s="20" t="n">
        <v>0</v>
      </c>
      <c r="WA77" s="20" t="n">
        <v>0</v>
      </c>
      <c r="WB77" s="20" t="n">
        <v>0</v>
      </c>
      <c r="WC77" s="20" t="n">
        <v>0</v>
      </c>
      <c r="WD77" s="20" t="n">
        <v>0</v>
      </c>
      <c r="WE77" s="20" t="n">
        <v>0</v>
      </c>
      <c r="WF77" s="20" t="n">
        <v>0</v>
      </c>
      <c r="WG77" s="20" t="n">
        <v>0</v>
      </c>
      <c r="WH77" s="20" t="n">
        <v>0</v>
      </c>
      <c r="WI77" s="20" t="n">
        <v>0</v>
      </c>
      <c r="WJ77" s="20" t="n">
        <v>0</v>
      </c>
      <c r="WK77" s="20" t="n">
        <v>0</v>
      </c>
      <c r="WL77" s="20" t="n">
        <v>0</v>
      </c>
      <c r="WM77" s="20" t="n">
        <v>0</v>
      </c>
      <c r="WN77" s="20" t="n">
        <v>0</v>
      </c>
      <c r="WO77" s="20" t="n">
        <v>0</v>
      </c>
      <c r="WP77" s="20" t="n">
        <v>0</v>
      </c>
      <c r="WQ77" s="20" t="n">
        <v>0</v>
      </c>
      <c r="WR77" s="20" t="n">
        <f aca="false">IF(AND(H_Direct=1,BR77&gt;0),MAX(0,H77-(MIN(BR77*TE77,(H77+I77))-MIN(MIN(BR77*TE77,(H77+I77)),I77))),H77)</f>
        <v>1270</v>
      </c>
      <c r="WS77" s="20" t="n">
        <f aca="false">IF(AND(H_Direct=1,BS77&gt;0),MAX(0,WR77-(MIN(BS77*TF77,(WR77+AAE77))-MIN(MIN(BS77*TF77,(WR77+AAE77)),AAE77))),WR77)</f>
        <v>1270</v>
      </c>
      <c r="WT77" s="20" t="n">
        <f aca="false">IF(AND(H_Direct=1,BT77&gt;0),MAX(0,WS77-(MIN(BT77*TG77,(WS77+AAF77))-MIN(MIN(BT77*TG77,(WS77+AAF77)),AAF77))),WS77)</f>
        <v>1270</v>
      </c>
      <c r="WU77" s="20" t="n">
        <f aca="false">IF(AND(H_Direct=1,BU77&gt;0),MAX(0,WT77-(MIN(BU77*TH77,(WT77+AAG77))-MIN(MIN(BU77*TH77,(WT77+AAG77)),AAG77))),WT77)</f>
        <v>1270</v>
      </c>
      <c r="WV77" s="20" t="n">
        <f aca="false">IF(AND(H_Direct=1,BV77&gt;0),MAX(0,WU77-(MIN(BV77*TI77,(WU77+AAH77))-MIN(MIN(BV77*TI77,(WU77+AAH77)),AAH77))),WU77)</f>
        <v>1270</v>
      </c>
      <c r="WW77" s="20" t="n">
        <f aca="false">IF(AND(H_Direct=1,BW77&gt;0),MAX(0,WV77-(MIN(BW77*TJ77,(WV77+AAI77))-MIN(MIN(BW77*TJ77,(WV77+AAI77)),AAI77))),WV77)</f>
        <v>1270</v>
      </c>
      <c r="WX77" s="20" t="n">
        <f aca="false">IF(AND(H_Direct=1,BX77&gt;0),MAX(0,WW77-(MIN(BX77*TK77,(WW77+AAJ77))-MIN(MIN(BX77*TK77,(WW77+AAJ77)),AAJ77))),WW77)</f>
        <v>1270</v>
      </c>
      <c r="WY77" s="20" t="n">
        <f aca="false">IF(AND(H_Direct=1,BY77&gt;0),MAX(0,WX77-(MIN(BY77*TL77,(WX77+AAK77))-MIN(MIN(BY77*TL77,(WX77+AAK77)),AAK77))),WX77)</f>
        <v>1270</v>
      </c>
      <c r="WZ77" s="20" t="n">
        <f aca="false">IF(AND(H_Direct=1,BZ77&gt;0),MAX(0,WY77-(MIN(BZ77*TM77,(WY77+AAL77))-MIN(MIN(BZ77*TM77,(WY77+AAL77)),AAL77))),WY77)</f>
        <v>1270</v>
      </c>
      <c r="XA77" s="20" t="n">
        <f aca="false">IF(AND(H_Direct=1,CA77&gt;0),MAX(0,WZ77-(MIN(CA77*TN77,(WZ77+AAM77))-MIN(MIN(CA77*TN77,(WZ77+AAM77)),AAM77))),WZ77)</f>
        <v>1270</v>
      </c>
      <c r="XB77" s="20" t="n">
        <f aca="false">IF(AND(H_Direct=1,CB77&gt;0),MAX(0,XA77-(MIN(CB77*TO77,(XA77+AAN77))-MIN(MIN(CB77*TO77,(XA77+AAN77)),AAN77))),XA77)</f>
        <v>1270</v>
      </c>
      <c r="XC77" s="20" t="n">
        <f aca="false">IF(AND(H_Direct=1,CC77&gt;0),MAX(0,XB77-(MIN(CC77*TP77,(XB77+AAO77))-MIN(MIN(CC77*TP77,(XB77+AAO77)),AAO77))),XB77)</f>
        <v>1270</v>
      </c>
      <c r="XD77" s="20" t="n">
        <f aca="false">IF(AND(H_Direct=1,CD77&gt;0),MAX(0,XC77-(MIN(CD77*TQ77,(XC77+AAP77))-MIN(MIN(CD77*TQ77,(XC77+AAP77)),AAP77))),XC77)</f>
        <v>1270</v>
      </c>
      <c r="XE77" s="20" t="n">
        <f aca="false">IF(AND(H_Direct=1,CE77&gt;0),MAX(0,XD77-(MIN(CE77*TR77,(XD77+AAQ77))-MIN(MIN(CE77*TR77,(XD77+AAQ77)),AAQ77))),XD77)</f>
        <v>1270</v>
      </c>
      <c r="XF77" s="20" t="n">
        <f aca="false">IF(AND(H_Direct=1,CF77&gt;0),MAX(0,XE77-(MIN(CF77*TS77,(XE77+AAR77))-MIN(MIN(CF77*TS77,(XE77+AAR77)),AAR77))),XE77)</f>
        <v>1270</v>
      </c>
      <c r="XG77" s="20" t="n">
        <f aca="false">IF(AND(H_Direct=1,CG77&gt;0),MAX(0,XF77-(MIN(CG77*TT77,(XF77+AAS77))-MIN(MIN(CG77*TT77,(XF77+AAS77)),AAS77))),XF77)</f>
        <v>1270</v>
      </c>
      <c r="XH77" s="20" t="n">
        <f aca="false">IF(AND(H_Direct=1,CH77&gt;0),MAX(0,XG77-(MIN(CH77*TU77,(XG77+AAT77))-MIN(MIN(CH77*TU77,(XG77+AAT77)),AAT77))),XG77)</f>
        <v>1270</v>
      </c>
      <c r="XI77" s="20" t="n">
        <f aca="false">IF(AND(H_Direct=1,CI77&gt;0),MAX(0,XH77-(MIN(CI77*TV77,(XH77+AAU77))-MIN(MIN(CI77*TV77,(XH77+AAU77)),AAU77))),XH77)</f>
        <v>1270</v>
      </c>
      <c r="XJ77" s="20" t="n">
        <f aca="false">IF(AND(H_Direct=1,CJ77&gt;0),MAX(0,XI77-(MIN(CJ77*TW77,(XI77+AAV77))-MIN(MIN(CJ77*TW77,(XI77+AAV77)),AAV77))),XI77)</f>
        <v>1270</v>
      </c>
      <c r="XK77" s="20" t="n">
        <f aca="false">IF(AND(H_Direct=1,CK77&gt;0),MAX(0,XJ77-(MIN(CK77*TX77,(XJ77+AAW77))-MIN(MIN(CK77*TX77,(XJ77+AAW77)),AAW77))),XJ77)</f>
        <v>1270</v>
      </c>
      <c r="XL77" s="20" t="n">
        <f aca="false">IF(AND(H_Direct=1,CL77&gt;0),MAX(0,XK77-(MIN(CL77*TY77,(XK77+AAX77))-MIN(MIN(CL77*TY77,(XK77+AAX77)),AAX77))),XK77)</f>
        <v>1270</v>
      </c>
      <c r="XM77" s="20" t="n">
        <f aca="false">IF(AND(H_Direct=1,CM77&gt;0),MAX(0,XL77-(MIN(CM77*TZ77,(XL77+AAY77))-MIN(MIN(CM77*TZ77,(XL77+AAY77)),AAY77))),XL77)</f>
        <v>1270</v>
      </c>
      <c r="XN77" s="20" t="n">
        <f aca="false">IF(AND(H_Direct=1,CN77&gt;0),MAX(0,XM77-(MIN(CN77*UA77,(XM77+AAZ77))-MIN(MIN(CN77*UA77,(XM77+AAZ77)),AAZ77))),XM77)</f>
        <v>1270</v>
      </c>
      <c r="XO77" s="20" t="n">
        <f aca="false">IF(AND(H_Direct=1,CO77&gt;0),MAX(0,XN77-(MIN(CO77*UB77,(XN77+ABA77))-MIN(MIN(CO77*UB77,(XN77+ABA77)),ABA77))),XN77)</f>
        <v>1270</v>
      </c>
      <c r="XP77" s="20" t="n">
        <f aca="false">IF(AND(H_Direct=1,CP77&gt;0),MAX(0,XO77-(MIN(CP77*UC77,(XO77+ABB77))-MIN(MIN(CP77*UC77,(XO77+ABB77)),ABB77))),XO77)</f>
        <v>1270</v>
      </c>
      <c r="XQ77" s="20" t="n">
        <f aca="false">IF(AND(H_Direct=1,CQ77&gt;0),MAX(0,XP77-(MIN(CQ77*UD77,(XP77+ABC77))-MIN(MIN(CQ77*UD77,(XP77+ABC77)),ABC77))),XP77)</f>
        <v>1270</v>
      </c>
      <c r="XR77" s="20" t="n">
        <f aca="false">IF(AND(H_Direct=1,CR77&gt;0),MAX(0,XQ77-(MIN(CR77*UE77,(XQ77+ABD77))-MIN(MIN(CR77*UE77,(XQ77+ABD77)),ABD77))),XQ77)</f>
        <v>1270</v>
      </c>
      <c r="XS77" s="20" t="n">
        <f aca="false">IF(AND(H_Direct=1,CS77&gt;0),MAX(0,XR77-(MIN(CS77*UF77,(XR77+ABE77))-MIN(MIN(CS77*UF77,(XR77+ABE77)),ABE77))),XR77)</f>
        <v>1270</v>
      </c>
      <c r="XT77" s="20" t="n">
        <f aca="false">IF(AND(H_Direct=1,CT77&gt;0),MAX(0,XS77-(MIN(CT77*UG77,(XS77+ABF77))-MIN(MIN(CT77*UG77,(XS77+ABF77)),ABF77))),XS77)</f>
        <v>1270</v>
      </c>
      <c r="XU77" s="20" t="n">
        <f aca="false">IF(AND(H_Direct=1,CU77&gt;0),MAX(0,XT77-(MIN(CU77*UH77,(XT77+ABG77))-MIN(MIN(CU77*UH77,(XT77+ABG77)),ABG77))),XT77)</f>
        <v>1270</v>
      </c>
      <c r="XV77" s="20" t="n">
        <f aca="false">IF(AND(H_Direct=1,CV77&gt;0),MAX(0,XU77-(MIN(CV77*UI77,(XU77+ABH77))-MIN(MIN(CV77*UI77,(XU77+ABH77)),ABH77))),XU77)</f>
        <v>1270</v>
      </c>
      <c r="XW77" s="20" t="n">
        <f aca="false">IF(AND(H_Direct=1,CW77&gt;0),MAX(0,XV77-(MIN(CW77*UJ77,(XV77+ABI77))-MIN(MIN(CW77*UJ77,(XV77+ABI77)),ABI77))),XV77)</f>
        <v>1270</v>
      </c>
      <c r="XX77" s="20" t="n">
        <f aca="false">IF(AND(H_Direct=1,CX77&gt;0),MAX(0,XW77-(MIN(CX77*UK77,(XW77+ABJ77))-MIN(MIN(CX77*UK77,(XW77+ABJ77)),ABJ77))),XW77)</f>
        <v>1270</v>
      </c>
      <c r="XY77" s="20" t="n">
        <f aca="false">IF(AND(H_Direct=1,CY77&gt;0),MAX(0,XX77-(MIN(CY77*UL77,(XX77+ABK77))-MIN(MIN(CY77*UL77,(XX77+ABK77)),ABK77))),XX77)</f>
        <v>1270</v>
      </c>
      <c r="XZ77" s="20" t="n">
        <f aca="false">IF(AND(H_Direct=1,CZ77&gt;0),MAX(0,XY77-(MIN(CZ77*UM77,(XY77+ABL77))-MIN(MIN(CZ77*UM77,(XY77+ABL77)),ABL77))),XY77)</f>
        <v>1270</v>
      </c>
      <c r="YA77" s="20" t="n">
        <f aca="false">IF(AND(H_Direct=1,DA77&gt;0),MAX(0,XZ77-(MIN(DA77*UN77,(XZ77+ABM77))-MIN(MIN(DA77*UN77,(XZ77+ABM77)),ABM77))),XZ77)</f>
        <v>1270</v>
      </c>
      <c r="YB77" s="20" t="n">
        <f aca="false">IF(AND(H_Direct=1,DB77&gt;0),MAX(0,YA77-(MIN(DB77*UO77,(YA77+ABN77))-MIN(MIN(DB77*UO77,(YA77+ABN77)),ABN77))),YA77)</f>
        <v>1270</v>
      </c>
      <c r="YC77" s="20" t="n">
        <f aca="false">IF(AND(H_Direct=1,DC77&gt;0),MAX(0,YB77-(MIN(DC77*UP77,(YB77+ABO77))-MIN(MIN(DC77*UP77,(YB77+ABO77)),ABO77))),YB77)</f>
        <v>1270</v>
      </c>
      <c r="YD77" s="20" t="n">
        <f aca="false">IF(AND(H_Direct=1,DD77&gt;0),MAX(0,YC77-(MIN(DD77*UQ77,(YC77+ABP77))-MIN(MIN(DD77*UQ77,(YC77+ABP77)),ABP77))),YC77)</f>
        <v>1270</v>
      </c>
      <c r="YE77" s="20" t="n">
        <f aca="false">IF(AND(H_Direct=1,DE77&gt;0),MAX(0,YD77-(MIN(DE77*UR77,(YD77+ABQ77))-MIN(MIN(DE77*UR77,(YD77+ABQ77)),ABQ77))),YD77)</f>
        <v>1270</v>
      </c>
      <c r="YF77" s="20" t="n">
        <f aca="false">IF(AND(H_Direct=1,DF77&gt;0),MAX(0,YE77-(MIN(DF77*US77,(YE77+ABR77))-MIN(MIN(DF77*US77,(YE77+ABR77)),ABR77))),YE77)</f>
        <v>1270</v>
      </c>
      <c r="YG77" s="20" t="n">
        <f aca="false">IF(AND(H_Direct=1,DG77&gt;0),MAX(0,YF77-(MIN(DG77*UT77,(YF77+ABS77))-MIN(MIN(DG77*UT77,(YF77+ABS77)),ABS77))),YF77)</f>
        <v>1270</v>
      </c>
      <c r="YH77" s="20" t="n">
        <f aca="false">IF(AND(H_Direct=1,DH77&gt;0),MAX(0,YG77-(MIN(DH77*UU77,(YG77+ABT77))-MIN(MIN(DH77*UU77,(YG77+ABT77)),ABT77))),YG77)</f>
        <v>1270</v>
      </c>
      <c r="YI77" s="20" t="n">
        <f aca="false">IF(AND(H_Direct=1,DI77&gt;0),MAX(0,YH77-(MIN(DI77*UV77,(YH77+ABU77))-MIN(MIN(DI77*UV77,(YH77+ABU77)),ABU77))),YH77)</f>
        <v>1270</v>
      </c>
      <c r="YJ77" s="20" t="n">
        <f aca="false">IF(AND(H_Direct=1,DJ77&gt;0),MAX(0,YI77-(MIN(DJ77*UW77,(YI77+ABV77))-MIN(MIN(DJ77*UW77,(YI77+ABV77)),ABV77))),YI77)</f>
        <v>1270</v>
      </c>
      <c r="YK77" s="20" t="n">
        <f aca="false">IF(AND(H_Direct=1,DK77&gt;0),MAX(0,YJ77-(MIN(DK77*UX77,(YJ77+ABW77))-MIN(MIN(DK77*UX77,(YJ77+ABW77)),ABW77))),YJ77)</f>
        <v>1270</v>
      </c>
      <c r="YL77" s="20" t="n">
        <f aca="false">IF(AND(H_Direct=1,DL77&gt;0),MAX(0,YK77-(MIN(DL77*UY77,(YK77+ABX77))-MIN(MIN(DL77*UY77,(YK77+ABX77)),ABX77))),YK77)</f>
        <v>1270</v>
      </c>
      <c r="YM77" s="20" t="n">
        <f aca="false">IF(AND(H_Direct=1,DM77&gt;0),MAX(0,YL77-(MIN(DM77*UZ77,(YL77+ABY77))-MIN(MIN(DM77*UZ77,(YL77+ABY77)),ABY77))),YL77)</f>
        <v>1270</v>
      </c>
      <c r="YN77" s="20" t="n">
        <f aca="false">IF(AND(H_Direct=1,DN77&gt;0),MAX(0,YM77-(MIN(DN77*VA77,(YM77+ABZ77))-MIN(MIN(DN77*VA77,(YM77+ABZ77)),ABZ77))),YM77)</f>
        <v>1270</v>
      </c>
      <c r="YO77" s="20" t="n">
        <f aca="false">IF(AND(H_Direct=1,DO77&gt;0),MAX(0,YN77-(MIN(DO77*VB77,(YN77+ACA77))-MIN(MIN(DO77*VB77,(YN77+ACA77)),ACA77))),YN77)</f>
        <v>1270</v>
      </c>
      <c r="YP77" s="20" t="n">
        <f aca="false">IF(AND(H_Direct=1,DP77&gt;0),MAX(0,YO77-(MIN(DP77*VC77,(YO77+ACB77))-MIN(MIN(DP77*VC77,(YO77+ACB77)),ACB77))),YO77)</f>
        <v>1270</v>
      </c>
      <c r="YQ77" s="20" t="n">
        <f aca="false">IF(AND(H_Direct=1,DQ77&gt;0),MAX(0,YP77-(MIN(DQ77*VD77,(YP77+ACC77))-MIN(MIN(DQ77*VD77,(YP77+ACC77)),ACC77))),YP77)</f>
        <v>1270</v>
      </c>
      <c r="YR77" s="20" t="n">
        <f aca="false">IF(AND(H_Direct=1,DR77&gt;0),MAX(0,YQ77-(MIN(DR77*VE77,(YQ77+ACD77))-MIN(MIN(DR77*VE77,(YQ77+ACD77)),ACD77))),YQ77)</f>
        <v>1270</v>
      </c>
      <c r="YS77" s="20" t="n">
        <f aca="false">IF(AND(H_Direct=1,DS77&gt;0),MAX(0,YR77-(MIN(DS77*VF77,(YR77+ACE77))-MIN(MIN(DS77*VF77,(YR77+ACE77)),ACE77))),YR77)</f>
        <v>1270</v>
      </c>
      <c r="YT77" s="20" t="n">
        <f aca="false">IF(AND(H_Direct=1,DT77&gt;0),MAX(0,YS77-(MIN(DT77*VG77,(YS77+ACF77))-MIN(MIN(DT77*VG77,(YS77+ACF77)),ACF77))),YS77)</f>
        <v>1270</v>
      </c>
      <c r="YU77" s="20" t="n">
        <f aca="false">IF(AND(H_Direct=1,DU77&gt;0),MAX(0,YT77-(MIN(DU77*VH77,(YT77+ACG77))-MIN(MIN(DU77*VH77,(YT77+ACG77)),ACG77))),YT77)</f>
        <v>1270</v>
      </c>
      <c r="YV77" s="20" t="n">
        <f aca="false">IF(AND(H_Direct=1,DV77&gt;0),MAX(0,YU77-(MIN(DV77*VI77,(YU77+ACH77))-MIN(MIN(DV77*VI77,(YU77+ACH77)),ACH77))),YU77)</f>
        <v>1270</v>
      </c>
      <c r="YW77" s="20" t="n">
        <f aca="false">IF(AND(H_Direct=1,DW77&gt;0),MAX(0,YV77-(MIN(DW77*VJ77,(YV77+ACI77))-MIN(MIN(DW77*VJ77,(YV77+ACI77)),ACI77))),YV77)</f>
        <v>1270</v>
      </c>
      <c r="YX77" s="20" t="n">
        <f aca="false">IF(AND(H_Direct=1,DX77&gt;0),MAX(0,YW77-(MIN(DX77*VK77,(YW77+ACJ77))-MIN(MIN(DX77*VK77,(YW77+ACJ77)),ACJ77))),YW77)</f>
        <v>1270</v>
      </c>
      <c r="YY77" s="20" t="n">
        <f aca="false">IF(AND(H_Direct=1,DY77&gt;0),MAX(0,YX77-(MIN(DY77*VL77,(YX77+ACK77))-MIN(MIN(DY77*VL77,(YX77+ACK77)),ACK77))),YX77)</f>
        <v>1270</v>
      </c>
      <c r="YZ77" s="20" t="n">
        <f aca="false">IF(AND(H_Direct=1,DZ77&gt;0),MAX(0,YY77-(MIN(DZ77*VM77,(YY77+ACL77))-MIN(MIN(DZ77*VM77,(YY77+ACL77)),ACL77))),YY77)</f>
        <v>1270</v>
      </c>
      <c r="ZA77" s="20" t="n">
        <f aca="false">IF(AND(H_Direct=1,EA77&gt;0),MAX(0,YZ77-(MIN(EA77*VN77,(YZ77+ACM77))-MIN(MIN(EA77*VN77,(YZ77+ACM77)),ACM77))),YZ77)</f>
        <v>1270</v>
      </c>
      <c r="ZB77" s="20" t="n">
        <f aca="false">IF(AND(H_Direct=1,EB77&gt;0),MAX(0,ZA77-(MIN(EB77*VO77,(ZA77+ACN77))-MIN(MIN(EB77*VO77,(ZA77+ACN77)),ACN77))),ZA77)</f>
        <v>1270</v>
      </c>
      <c r="ZC77" s="20" t="n">
        <f aca="false">IF(AND(H_Direct=1,EC77&gt;0),MAX(0,ZB77-(MIN(EC77*VP77,(ZB77+ACO77))-MIN(MIN(EC77*VP77,(ZB77+ACO77)),ACO77))),ZB77)</f>
        <v>1270</v>
      </c>
      <c r="ZD77" s="20" t="n">
        <f aca="false">IF(AND(H_Direct=1,ED77&gt;0),MAX(0,ZC77-(MIN(ED77*VQ77,(ZC77+ACP77))-MIN(MIN(ED77*VQ77,(ZC77+ACP77)),ACP77))),ZC77)</f>
        <v>1270</v>
      </c>
      <c r="ZE77" s="20" t="n">
        <f aca="false">IF(AND(H_Direct=1,EE77&gt;0),MAX(0,ZD77-(MIN(EE77*VR77,(ZD77+ACQ77))-MIN(MIN(EE77*VR77,(ZD77+ACQ77)),ACQ77))),ZD77)</f>
        <v>1270</v>
      </c>
      <c r="ZF77" s="20" t="n">
        <f aca="false">IF(AND(H_Direct=1,EF77&gt;0),MAX(0,ZE77-(MIN(EF77*VS77,(ZE77+ACR77))-MIN(MIN(EF77*VS77,(ZE77+ACR77)),ACR77))),ZE77)</f>
        <v>1270</v>
      </c>
      <c r="ZG77" s="20" t="n">
        <f aca="false">IF(AND(H_Direct=1,EG77&gt;0),MAX(0,ZF77-(MIN(EG77*VT77,(ZF77+ACS77))-MIN(MIN(EG77*VT77,(ZF77+ACS77)),ACS77))),ZF77)</f>
        <v>1270</v>
      </c>
      <c r="ZH77" s="20" t="n">
        <f aca="false">IF(AND(H_Direct=1,EH77&gt;0),MAX(0,ZG77-(MIN(EH77*VU77,(ZG77+ACT77))-MIN(MIN(EH77*VU77,(ZG77+ACT77)),ACT77))),ZG77)</f>
        <v>1270</v>
      </c>
      <c r="ZI77" s="20" t="n">
        <f aca="false">IF(AND(H_Direct=1,EI77&gt;0),MAX(0,ZH77-(MIN(EI77*VV77,(ZH77+ACU77))-MIN(MIN(EI77*VV77,(ZH77+ACU77)),ACU77))),ZH77)</f>
        <v>1270</v>
      </c>
      <c r="ZJ77" s="20" t="n">
        <f aca="false">IF(AND(H_Direct=1,EJ77&gt;0),MAX(0,ZI77-(MIN(EJ77*VW77,(ZI77+ACV77))-MIN(MIN(EJ77*VW77,(ZI77+ACV77)),ACV77))),ZI77)</f>
        <v>1270</v>
      </c>
      <c r="ZK77" s="20" t="n">
        <f aca="false">ZJ77</f>
        <v>1270</v>
      </c>
      <c r="ZL77" s="20" t="n">
        <f aca="false">ZK77</f>
        <v>1270</v>
      </c>
      <c r="ZM77" s="20" t="n">
        <f aca="false">ZL77</f>
        <v>1270</v>
      </c>
      <c r="ZN77" s="20" t="n">
        <f aca="false">ZM77</f>
        <v>1270</v>
      </c>
      <c r="ZO77" s="20" t="n">
        <f aca="false">ZN77</f>
        <v>1270</v>
      </c>
      <c r="ZP77" s="20" t="n">
        <f aca="false">ZO77</f>
        <v>1270</v>
      </c>
      <c r="ZQ77" s="20" t="n">
        <f aca="false">ZP77</f>
        <v>1270</v>
      </c>
      <c r="ZR77" s="20" t="n">
        <f aca="false">ZQ77</f>
        <v>1270</v>
      </c>
      <c r="ZS77" s="20" t="n">
        <f aca="false">ZR77</f>
        <v>1270</v>
      </c>
      <c r="ZT77" s="20" t="n">
        <f aca="false">ZS77</f>
        <v>1270</v>
      </c>
      <c r="ZU77" s="20" t="n">
        <f aca="false">ZT77</f>
        <v>1270</v>
      </c>
      <c r="ZV77" s="20" t="n">
        <f aca="false">ZU77</f>
        <v>1270</v>
      </c>
      <c r="ZW77" s="20" t="n">
        <f aca="false">ZV77</f>
        <v>1270</v>
      </c>
      <c r="ZX77" s="20" t="n">
        <f aca="false">ZW77</f>
        <v>1270</v>
      </c>
      <c r="ZY77" s="20" t="n">
        <f aca="false">ZX77</f>
        <v>1270</v>
      </c>
      <c r="ZZ77" s="20" t="n">
        <f aca="false">ZY77</f>
        <v>1270</v>
      </c>
      <c r="AAA77" s="20" t="n">
        <f aca="false">ZZ77</f>
        <v>1270</v>
      </c>
      <c r="AAB77" s="20" t="n">
        <f aca="false">AAA77</f>
        <v>1270</v>
      </c>
      <c r="AAC77" s="20" t="n">
        <f aca="false">AAB77</f>
        <v>1270</v>
      </c>
      <c r="AAD77" s="20" t="n">
        <f aca="false">AAC77</f>
        <v>1270</v>
      </c>
      <c r="AAE77" s="20" t="n">
        <f aca="false">IF(H_Direct=1,IF(BR77&lt;=0,I77-BR77*TE77,I77-MIN(MIN(BR77*TE77,(H77+I77)),I77)),I77)</f>
        <v>0</v>
      </c>
      <c r="AAF77" s="20" t="n">
        <f aca="false">IF(H_Direct=1,IF(BS77&lt;=0,AAE77-BS77*TF77,AAE77-MIN(MIN(BS77*TF77,(WR77+AAE77)),AAE77)),AAE77)</f>
        <v>0</v>
      </c>
      <c r="AAG77" s="20" t="n">
        <f aca="false">IF(H_Direct=1,IF(BT77&lt;=0,AAF77-BT77*TG77,AAF77-MIN(MIN(BT77*TG77,(WS77+AAF77)),AAF77)),AAF77)</f>
        <v>0</v>
      </c>
      <c r="AAH77" s="20" t="n">
        <f aca="false">IF(H_Direct=1,IF(BU77&lt;=0,AAG77-BU77*TH77,AAG77-MIN(MIN(BU77*TH77,(WT77+AAG77)),AAG77)),AAG77)</f>
        <v>0</v>
      </c>
      <c r="AAI77" s="20" t="n">
        <f aca="false">IF(H_Direct=1,IF(BV77&lt;=0,AAH77-BV77*TI77,AAH77-MIN(MIN(BV77*TI77,(WU77+AAH77)),AAH77)),AAH77)</f>
        <v>0</v>
      </c>
      <c r="AAJ77" s="20" t="n">
        <f aca="false">IF(H_Direct=1,IF(BW77&lt;=0,AAI77-BW77*TJ77,AAI77-MIN(MIN(BW77*TJ77,(WV77+AAI77)),AAI77)),AAI77)</f>
        <v>0</v>
      </c>
      <c r="AAK77" s="20" t="n">
        <f aca="false">IF(H_Direct=1,IF(BX77&lt;=0,AAJ77-BX77*TK77,AAJ77-MIN(MIN(BX77*TK77,(WW77+AAJ77)),AAJ77)),AAJ77)</f>
        <v>0</v>
      </c>
      <c r="AAL77" s="20" t="n">
        <f aca="false">IF(H_Direct=1,IF(BY77&lt;=0,AAK77-BY77*TL77,AAK77-MIN(MIN(BY77*TL77,(WX77+AAK77)),AAK77)),AAK77)</f>
        <v>0</v>
      </c>
      <c r="AAM77" s="20" t="n">
        <f aca="false">IF(H_Direct=1,IF(BZ77&lt;=0,AAL77-BZ77*TM77,AAL77-MIN(MIN(BZ77*TM77,(WY77+AAL77)),AAL77)),AAL77)</f>
        <v>0</v>
      </c>
      <c r="AAN77" s="20" t="n">
        <f aca="false">IF(H_Direct=1,IF(CA77&lt;=0,AAM77-CA77*TN77,AAM77-MIN(MIN(CA77*TN77,(WZ77+AAM77)),AAM77)),AAM77)</f>
        <v>0</v>
      </c>
      <c r="AAO77" s="20" t="n">
        <f aca="false">IF(H_Direct=1,IF(CB77&lt;=0,AAN77-CB77*TO77,AAN77-MIN(MIN(CB77*TO77,(XA77+AAN77)),AAN77)),AAN77)</f>
        <v>0</v>
      </c>
      <c r="AAP77" s="20" t="n">
        <f aca="false">IF(H_Direct=1,IF(CC77&lt;=0,AAO77-CC77*TP77,AAO77-MIN(MIN(CC77*TP77,(XB77+AAO77)),AAO77)),AAO77)</f>
        <v>0</v>
      </c>
      <c r="AAQ77" s="20" t="n">
        <f aca="false">IF(H_Direct=1,IF(CD77&lt;=0,AAP77-CD77*TQ77,AAP77-MIN(MIN(CD77*TQ77,(XC77+AAP77)),AAP77)),AAP77)</f>
        <v>0</v>
      </c>
      <c r="AAR77" s="20" t="n">
        <f aca="false">IF(H_Direct=1,IF(CE77&lt;=0,AAQ77-CE77*TR77,AAQ77-MIN(MIN(CE77*TR77,(XD77+AAQ77)),AAQ77)),AAQ77)</f>
        <v>0</v>
      </c>
      <c r="AAS77" s="20" t="n">
        <f aca="false">IF(H_Direct=1,IF(CF77&lt;=0,AAR77-CF77*TS77,AAR77-MIN(MIN(CF77*TS77,(XE77+AAR77)),AAR77)),AAR77)</f>
        <v>0</v>
      </c>
      <c r="AAT77" s="20" t="n">
        <f aca="false">IF(H_Direct=1,IF(CG77&lt;=0,AAS77-CG77*TT77,AAS77-MIN(MIN(CG77*TT77,(XF77+AAS77)),AAS77)),AAS77)</f>
        <v>0</v>
      </c>
      <c r="AAU77" s="20" t="n">
        <f aca="false">IF(H_Direct=1,IF(CH77&lt;=0,AAT77-CH77*TU77,AAT77-MIN(MIN(CH77*TU77,(XG77+AAT77)),AAT77)),AAT77)</f>
        <v>0</v>
      </c>
      <c r="AAV77" s="20" t="n">
        <f aca="false">IF(H_Direct=1,IF(CI77&lt;=0,AAU77-CI77*TV77,AAU77-MIN(MIN(CI77*TV77,(XH77+AAU77)),AAU77)),AAU77)</f>
        <v>0</v>
      </c>
      <c r="AAW77" s="20" t="n">
        <f aca="false">IF(H_Direct=1,IF(CJ77&lt;=0,AAV77-CJ77*TW77,AAV77-MIN(MIN(CJ77*TW77,(XI77+AAV77)),AAV77)),AAV77)</f>
        <v>0</v>
      </c>
      <c r="AAX77" s="20" t="n">
        <f aca="false">IF(H_Direct=1,IF(CK77&lt;=0,AAW77-CK77*TX77,AAW77-MIN(MIN(CK77*TX77,(XJ77+AAW77)),AAW77)),AAW77)</f>
        <v>0</v>
      </c>
      <c r="AAY77" s="20" t="n">
        <f aca="false">IF(H_Direct=1,IF(CL77&lt;=0,AAX77-CL77*TY77,AAX77-MIN(MIN(CL77*TY77,(XK77+AAX77)),AAX77)),AAX77)</f>
        <v>0</v>
      </c>
      <c r="AAZ77" s="20" t="n">
        <f aca="false">IF(H_Direct=1,IF(CM77&lt;=0,AAY77-CM77*TZ77,AAY77-MIN(MIN(CM77*TZ77,(XL77+AAY77)),AAY77)),AAY77)</f>
        <v>0</v>
      </c>
      <c r="ABA77" s="20" t="n">
        <f aca="false">IF(H_Direct=1,IF(CN77&lt;=0,AAZ77-CN77*UA77,AAZ77-MIN(MIN(CN77*UA77,(XM77+AAZ77)),AAZ77)),AAZ77)</f>
        <v>0</v>
      </c>
      <c r="ABB77" s="20" t="n">
        <f aca="false">IF(H_Direct=1,IF(CO77&lt;=0,ABA77-CO77*UB77,ABA77-MIN(MIN(CO77*UB77,(XN77+ABA77)),ABA77)),ABA77)</f>
        <v>0</v>
      </c>
      <c r="ABC77" s="20" t="n">
        <f aca="false">IF(H_Direct=1,IF(CP77&lt;=0,ABB77-CP77*UC77,ABB77-MIN(MIN(CP77*UC77,(XO77+ABB77)),ABB77)),ABB77)</f>
        <v>0</v>
      </c>
      <c r="ABD77" s="20" t="n">
        <f aca="false">IF(H_Direct=1,IF(CQ77&lt;=0,ABC77-CQ77*UD77,ABC77-MIN(MIN(CQ77*UD77,(XP77+ABC77)),ABC77)),ABC77)</f>
        <v>0</v>
      </c>
      <c r="ABE77" s="20" t="n">
        <f aca="false">IF(H_Direct=1,IF(CR77&lt;=0,ABD77-CR77*UE77,ABD77-MIN(MIN(CR77*UE77,(XQ77+ABD77)),ABD77)),ABD77)</f>
        <v>0</v>
      </c>
      <c r="ABF77" s="20" t="n">
        <f aca="false">IF(H_Direct=1,IF(CS77&lt;=0,ABE77-CS77*UF77,ABE77-MIN(MIN(CS77*UF77,(XR77+ABE77)),ABE77)),ABE77)</f>
        <v>0</v>
      </c>
      <c r="ABG77" s="20" t="n">
        <f aca="false">IF(H_Direct=1,IF(CT77&lt;=0,ABF77-CT77*UG77,ABF77-MIN(MIN(CT77*UG77,(XS77+ABF77)),ABF77)),ABF77)</f>
        <v>0</v>
      </c>
      <c r="ABH77" s="20" t="n">
        <f aca="false">IF(H_Direct=1,IF(CU77&lt;=0,ABG77-CU77*UH77,ABG77-MIN(MIN(CU77*UH77,(XT77+ABG77)),ABG77)),ABG77)</f>
        <v>0</v>
      </c>
      <c r="ABI77" s="20" t="n">
        <f aca="false">IF(H_Direct=1,IF(CV77&lt;=0,ABH77-CV77*UI77,ABH77-MIN(MIN(CV77*UI77,(XU77+ABH77)),ABH77)),ABH77)</f>
        <v>0</v>
      </c>
      <c r="ABJ77" s="20" t="n">
        <f aca="false">IF(H_Direct=1,IF(CW77&lt;=0,ABI77-CW77*UJ77,ABI77-MIN(MIN(CW77*UJ77,(XV77+ABI77)),ABI77)),ABI77)</f>
        <v>0</v>
      </c>
      <c r="ABK77" s="20" t="n">
        <f aca="false">IF(H_Direct=1,IF(CX77&lt;=0,ABJ77-CX77*UK77,ABJ77-MIN(MIN(CX77*UK77,(XW77+ABJ77)),ABJ77)),ABJ77)</f>
        <v>0</v>
      </c>
      <c r="ABL77" s="20" t="n">
        <f aca="false">IF(H_Direct=1,IF(CY77&lt;=0,ABK77-CY77*UL77,ABK77-MIN(MIN(CY77*UL77,(XX77+ABK77)),ABK77)),ABK77)</f>
        <v>0</v>
      </c>
      <c r="ABM77" s="20" t="n">
        <f aca="false">IF(H_Direct=1,IF(CZ77&lt;=0,ABL77-CZ77*UM77,ABL77-MIN(MIN(CZ77*UM77,(XY77+ABL77)),ABL77)),ABL77)</f>
        <v>0</v>
      </c>
      <c r="ABN77" s="20" t="n">
        <f aca="false">IF(H_Direct=1,IF(DA77&lt;=0,ABM77-DA77*UN77,ABM77-MIN(MIN(DA77*UN77,(XZ77+ABM77)),ABM77)),ABM77)</f>
        <v>0</v>
      </c>
      <c r="ABO77" s="20" t="n">
        <f aca="false">IF(H_Direct=1,IF(DB77&lt;=0,ABN77-DB77*UO77,ABN77-MIN(MIN(DB77*UO77,(YA77+ABN77)),ABN77)),ABN77)</f>
        <v>0</v>
      </c>
      <c r="ABP77" s="20" t="n">
        <f aca="false">IF(H_Direct=1,IF(DC77&lt;=0,ABO77-DC77*UP77,ABO77-MIN(MIN(DC77*UP77,(YB77+ABO77)),ABO77)),ABO77)</f>
        <v>0</v>
      </c>
      <c r="ABQ77" s="20" t="n">
        <f aca="false">IF(H_Direct=1,IF(DD77&lt;=0,ABP77-DD77*UQ77,ABP77-MIN(MIN(DD77*UQ77,(YC77+ABP77)),ABP77)),ABP77)</f>
        <v>0</v>
      </c>
      <c r="ABR77" s="20" t="n">
        <f aca="false">IF(H_Direct=1,IF(DE77&lt;=0,ABQ77-DE77*UR77,ABQ77-MIN(MIN(DE77*UR77,(YD77+ABQ77)),ABQ77)),ABQ77)</f>
        <v>0</v>
      </c>
      <c r="ABS77" s="20" t="n">
        <f aca="false">IF(H_Direct=1,IF(DF77&lt;=0,ABR77-DF77*US77,ABR77-MIN(MIN(DF77*US77,(YE77+ABR77)),ABR77)),ABR77)</f>
        <v>0</v>
      </c>
      <c r="ABT77" s="20" t="n">
        <f aca="false">IF(H_Direct=1,IF(DG77&lt;=0,ABS77-DG77*UT77,ABS77-MIN(MIN(DG77*UT77,(YF77+ABS77)),ABS77)),ABS77)</f>
        <v>0</v>
      </c>
      <c r="ABU77" s="20" t="n">
        <f aca="false">IF(H_Direct=1,IF(DH77&lt;=0,ABT77-DH77*UU77,ABT77-MIN(MIN(DH77*UU77,(YG77+ABT77)),ABT77)),ABT77)</f>
        <v>0</v>
      </c>
      <c r="ABV77" s="20" t="n">
        <f aca="false">IF(H_Direct=1,IF(DI77&lt;=0,ABU77-DI77*UV77,ABU77-MIN(MIN(DI77*UV77,(YH77+ABU77)),ABU77)),ABU77)</f>
        <v>0</v>
      </c>
      <c r="ABW77" s="20" t="n">
        <f aca="false">IF(H_Direct=1,IF(DJ77&lt;=0,ABV77-DJ77*UW77,ABV77-MIN(MIN(DJ77*UW77,(YI77+ABV77)),ABV77)),ABV77)</f>
        <v>0</v>
      </c>
      <c r="ABX77" s="20" t="n">
        <f aca="false">IF(H_Direct=1,IF(DK77&lt;=0,ABW77-DK77*UX77,ABW77-MIN(MIN(DK77*UX77,(YJ77+ABW77)),ABW77)),ABW77)</f>
        <v>0</v>
      </c>
      <c r="ABY77" s="20" t="n">
        <f aca="false">IF(H_Direct=1,IF(DL77&lt;=0,ABX77-DL77*UY77,ABX77-MIN(MIN(DL77*UY77,(YK77+ABX77)),ABX77)),ABX77)</f>
        <v>0</v>
      </c>
      <c r="ABZ77" s="20" t="n">
        <f aca="false">IF(H_Direct=1,IF(DM77&lt;=0,ABY77-DM77*UZ77,ABY77-MIN(MIN(DM77*UZ77,(YL77+ABY77)),ABY77)),ABY77)</f>
        <v>0</v>
      </c>
      <c r="ACA77" s="20" t="n">
        <f aca="false">IF(H_Direct=1,IF(DN77&lt;=0,ABZ77-DN77*VA77,ABZ77-MIN(MIN(DN77*VA77,(YM77+ABZ77)),ABZ77)),ABZ77)</f>
        <v>0</v>
      </c>
      <c r="ACB77" s="20" t="n">
        <f aca="false">IF(H_Direct=1,IF(DO77&lt;=0,ACA77-DO77*VB77,ACA77-MIN(MIN(DO77*VB77,(YN77+ACA77)),ACA77)),ACA77)</f>
        <v>0</v>
      </c>
      <c r="ACC77" s="20" t="n">
        <f aca="false">IF(H_Direct=1,IF(DP77&lt;=0,ACB77-DP77*VC77,ACB77-MIN(MIN(DP77*VC77,(YO77+ACB77)),ACB77)),ACB77)</f>
        <v>0</v>
      </c>
      <c r="ACD77" s="20" t="n">
        <f aca="false">IF(H_Direct=1,IF(DQ77&lt;=0,ACC77-DQ77*VD77,ACC77-MIN(MIN(DQ77*VD77,(YP77+ACC77)),ACC77)),ACC77)</f>
        <v>0</v>
      </c>
      <c r="ACE77" s="20" t="n">
        <f aca="false">IF(H_Direct=1,IF(DR77&lt;=0,ACD77-DR77*VE77,ACD77-MIN(MIN(DR77*VE77,(YQ77+ACD77)),ACD77)),ACD77)</f>
        <v>0</v>
      </c>
      <c r="ACF77" s="20" t="n">
        <f aca="false">IF(H_Direct=1,IF(DS77&lt;=0,ACE77-DS77*VF77,ACE77-MIN(MIN(DS77*VF77,(YR77+ACE77)),ACE77)),ACE77)</f>
        <v>0</v>
      </c>
      <c r="ACG77" s="20" t="n">
        <f aca="false">IF(H_Direct=1,IF(DT77&lt;=0,ACF77-DT77*VG77,ACF77-MIN(MIN(DT77*VG77,(YS77+ACF77)),ACF77)),ACF77)</f>
        <v>0</v>
      </c>
      <c r="ACH77" s="20" t="n">
        <f aca="false">IF(H_Direct=1,IF(DU77&lt;=0,ACG77-DU77*VH77,ACG77-MIN(MIN(DU77*VH77,(YT77+ACG77)),ACG77)),ACG77)</f>
        <v>0</v>
      </c>
      <c r="ACI77" s="20" t="n">
        <f aca="false">IF(H_Direct=1,IF(DV77&lt;=0,ACH77-DV77*VI77,ACH77-MIN(MIN(DV77*VI77,(YU77+ACH77)),ACH77)),ACH77)</f>
        <v>0</v>
      </c>
      <c r="ACJ77" s="20" t="n">
        <f aca="false">IF(H_Direct=1,IF(DW77&lt;=0,ACI77-DW77*VJ77,ACI77-MIN(MIN(DW77*VJ77,(YV77+ACI77)),ACI77)),ACI77)</f>
        <v>0</v>
      </c>
      <c r="ACK77" s="20" t="n">
        <f aca="false">IF(H_Direct=1,IF(DX77&lt;=0,ACJ77-DX77*VK77,ACJ77-MIN(MIN(DX77*VK77,(YW77+ACJ77)),ACJ77)),ACJ77)</f>
        <v>0</v>
      </c>
      <c r="ACL77" s="20" t="n">
        <f aca="false">IF(H_Direct=1,IF(DY77&lt;=0,ACK77-DY77*VL77,ACK77-MIN(MIN(DY77*VL77,(YX77+ACK77)),ACK77)),ACK77)</f>
        <v>0</v>
      </c>
      <c r="ACM77" s="20" t="n">
        <f aca="false">IF(H_Direct=1,IF(DZ77&lt;=0,ACL77-DZ77*VM77,ACL77-MIN(MIN(DZ77*VM77,(YY77+ACL77)),ACL77)),ACL77)</f>
        <v>0</v>
      </c>
      <c r="ACN77" s="20" t="n">
        <f aca="false">IF(H_Direct=1,IF(EA77&lt;=0,ACM77-EA77*VN77,ACM77-MIN(MIN(EA77*VN77,(YZ77+ACM77)),ACM77)),ACM77)</f>
        <v>0</v>
      </c>
      <c r="ACO77" s="20" t="n">
        <f aca="false">IF(H_Direct=1,IF(EB77&lt;=0,ACN77-EB77*VO77,ACN77-MIN(MIN(EB77*VO77,(ZA77+ACN77)),ACN77)),ACN77)</f>
        <v>0</v>
      </c>
      <c r="ACP77" s="20" t="n">
        <f aca="false">IF(H_Direct=1,IF(EC77&lt;=0,ACO77-EC77*VP77,ACO77-MIN(MIN(EC77*VP77,(ZB77+ACO77)),ACO77)),ACO77)</f>
        <v>0</v>
      </c>
      <c r="ACQ77" s="20" t="n">
        <f aca="false">IF(H_Direct=1,IF(ED77&lt;=0,ACP77-ED77*VQ77,ACP77-MIN(MIN(ED77*VQ77,(ZC77+ACP77)),ACP77)),ACP77)</f>
        <v>0</v>
      </c>
      <c r="ACR77" s="20" t="n">
        <f aca="false">IF(H_Direct=1,IF(EE77&lt;=0,ACQ77-EE77*VR77,ACQ77-MIN(MIN(EE77*VR77,(ZD77+ACQ77)),ACQ77)),ACQ77)</f>
        <v>0</v>
      </c>
      <c r="ACS77" s="20" t="n">
        <f aca="false">IF(H_Direct=1,IF(EF77&lt;=0,ACR77-EF77*VS77,ACR77-MIN(MIN(EF77*VS77,(ZE77+ACR77)),ACR77)),ACR77)</f>
        <v>0</v>
      </c>
      <c r="ACT77" s="20" t="n">
        <f aca="false">IF(H_Direct=1,IF(EG77&lt;=0,ACS77-EG77*VT77,ACS77-MIN(MIN(EG77*VT77,(ZF77+ACS77)),ACS77)),ACS77)</f>
        <v>0</v>
      </c>
      <c r="ACU77" s="20" t="n">
        <f aca="false">IF(H_Direct=1,IF(EH77&lt;=0,ACT77-EH77*VU77,ACT77-MIN(MIN(EH77*VU77,(ZG77+ACT77)),ACT77)),ACT77)</f>
        <v>0</v>
      </c>
      <c r="ACV77" s="20" t="n">
        <f aca="false">IF(H_Direct=1,IF(EI77&lt;=0,ACU77-EI77*VV77,ACU77-MIN(MIN(EI77*VV77,(ZH77+ACU77)),ACU77)),ACU77)</f>
        <v>0</v>
      </c>
      <c r="ACW77" s="20" t="n">
        <f aca="false">IF(H_Direct=1,IF(EJ77&lt;=0,ACV77-EJ77*VW77,ACV77-MIN(MIN(EJ77*VW77,(ZI77+ACV77)),ACV77)),ACV77)</f>
        <v>0</v>
      </c>
      <c r="ACX77" s="20" t="n">
        <f aca="false">ACW77</f>
        <v>0</v>
      </c>
      <c r="ACY77" s="20" t="n">
        <f aca="false">ACX77</f>
        <v>0</v>
      </c>
      <c r="ACZ77" s="20" t="n">
        <f aca="false">ACY77</f>
        <v>0</v>
      </c>
      <c r="ADA77" s="20" t="n">
        <f aca="false">ACZ77</f>
        <v>0</v>
      </c>
      <c r="ADB77" s="20" t="n">
        <f aca="false">ADA77</f>
        <v>0</v>
      </c>
      <c r="ADC77" s="20" t="n">
        <f aca="false">ADB77</f>
        <v>0</v>
      </c>
      <c r="ADD77" s="20" t="n">
        <f aca="false">ADC77</f>
        <v>0</v>
      </c>
      <c r="ADE77" s="20" t="n">
        <f aca="false">ADD77</f>
        <v>0</v>
      </c>
      <c r="ADF77" s="20" t="n">
        <f aca="false">ADE77</f>
        <v>0</v>
      </c>
      <c r="ADG77" s="20" t="n">
        <f aca="false">ADF77</f>
        <v>0</v>
      </c>
      <c r="ADH77" s="20" t="n">
        <f aca="false">ADG77</f>
        <v>0</v>
      </c>
      <c r="ADI77" s="20" t="n">
        <f aca="false">ADH77</f>
        <v>0</v>
      </c>
      <c r="ADJ77" s="20" t="n">
        <f aca="false">ADI77</f>
        <v>0</v>
      </c>
      <c r="ADK77" s="20" t="n">
        <f aca="false">ADJ77</f>
        <v>0</v>
      </c>
      <c r="ADL77" s="20" t="n">
        <f aca="false">ADK77</f>
        <v>0</v>
      </c>
      <c r="ADM77" s="20" t="n">
        <f aca="false">ADL77</f>
        <v>0</v>
      </c>
      <c r="ADN77" s="20" t="n">
        <f aca="false">ADM77</f>
        <v>0</v>
      </c>
      <c r="ADO77" s="20" t="n">
        <f aca="false">ADN77</f>
        <v>0</v>
      </c>
      <c r="ADP77" s="20" t="n">
        <f aca="false">ADO77</f>
        <v>0</v>
      </c>
      <c r="ADQ77" s="20" t="n">
        <f aca="false">ADP77</f>
        <v>0</v>
      </c>
      <c r="ADR77" s="20" t="n">
        <f aca="false">(AKR76-TE77+0)*(1+BQ77)</f>
        <v>0</v>
      </c>
      <c r="ADS77" s="20" t="n">
        <f aca="false">(AKS76-TF77+0)*(1+BQ77)</f>
        <v>0</v>
      </c>
      <c r="ADT77" s="20" t="n">
        <f aca="false">(AKT76-TG77+0)*(1+BQ77)</f>
        <v>0</v>
      </c>
      <c r="ADU77" s="20" t="n">
        <f aca="false">(AKU76-TH77+0)*(1+BQ77)</f>
        <v>0</v>
      </c>
      <c r="ADV77" s="20" t="n">
        <f aca="false">(AKV76-TI77+0)*(1+BQ77)</f>
        <v>0</v>
      </c>
      <c r="ADW77" s="20" t="n">
        <f aca="false">(AKW76-TJ77+0)*(1+BQ77)</f>
        <v>0</v>
      </c>
      <c r="ADX77" s="20" t="n">
        <f aca="false">(AKX76-TK77+0)*(1+BQ77)</f>
        <v>0</v>
      </c>
      <c r="ADY77" s="20" t="n">
        <f aca="false">(AKY76-TL77+0)*(1+BQ77)</f>
        <v>0</v>
      </c>
      <c r="ADZ77" s="20" t="n">
        <f aca="false">(AKZ76-TM77+0)*(1+BQ77)</f>
        <v>0</v>
      </c>
      <c r="AEA77" s="20" t="n">
        <f aca="false">(ALA76-TN77+0)*(1+BQ77)</f>
        <v>0</v>
      </c>
      <c r="AEB77" s="20" t="n">
        <f aca="false">(ALB76-TO77+0)*(1+BQ77)</f>
        <v>0</v>
      </c>
      <c r="AEC77" s="20" t="n">
        <f aca="false">(ALC76-TP77+0)*(1+BQ77)</f>
        <v>0</v>
      </c>
      <c r="AED77" s="20" t="n">
        <f aca="false">(ALD76-TQ77+0)*(1+BQ77)</f>
        <v>0</v>
      </c>
      <c r="AEE77" s="20" t="n">
        <f aca="false">(ALE76-TR77+0)*(1+BQ77)</f>
        <v>0</v>
      </c>
      <c r="AEF77" s="20" t="n">
        <f aca="false">(ALF76-TS77+0)*(1+BQ77)</f>
        <v>0</v>
      </c>
      <c r="AEG77" s="20" t="n">
        <f aca="false">(ALG76-TT77+0)*(1+BQ77)</f>
        <v>0</v>
      </c>
      <c r="AEH77" s="20" t="n">
        <f aca="false">(ALH76-TU77+0)*(1+BQ77)</f>
        <v>0</v>
      </c>
      <c r="AEI77" s="20" t="n">
        <f aca="false">(ALI76-TV77+0)*(1+BQ77)</f>
        <v>0</v>
      </c>
      <c r="AEJ77" s="20" t="n">
        <f aca="false">(ALJ76-TW77+0)*(1+BQ77)</f>
        <v>0</v>
      </c>
      <c r="AEK77" s="20" t="n">
        <f aca="false">(ALK76-TX77+0)*(1+BQ77)</f>
        <v>0</v>
      </c>
      <c r="AEL77" s="20" t="n">
        <f aca="false">(ALL76-TY77+0)*(1+BQ77)</f>
        <v>0</v>
      </c>
      <c r="AEM77" s="20" t="n">
        <f aca="false">(ALM76-TZ77+0)*(1+BQ77)</f>
        <v>0</v>
      </c>
      <c r="AEN77" s="20" t="n">
        <f aca="false">(ALN76-UA77+0)*(1+BQ77)</f>
        <v>0</v>
      </c>
      <c r="AEO77" s="20" t="n">
        <f aca="false">(ALO76-UB77+0)*(1+BQ77)</f>
        <v>0</v>
      </c>
      <c r="AEP77" s="20" t="n">
        <f aca="false">(ALP76-UC77+0)*(1+BQ77)</f>
        <v>0</v>
      </c>
      <c r="AEQ77" s="20" t="n">
        <f aca="false">(ALQ76-UD77+0)*(1+BQ77)</f>
        <v>0</v>
      </c>
      <c r="AER77" s="20" t="n">
        <f aca="false">(ALR76-UE77+0)*(1+BQ77)</f>
        <v>0</v>
      </c>
      <c r="AES77" s="20" t="n">
        <f aca="false">(ALS76-UF77+0)*(1+BQ77)</f>
        <v>0</v>
      </c>
      <c r="AET77" s="20" t="n">
        <f aca="false">(ALT76-UG77+0)*(1+BQ77)</f>
        <v>0</v>
      </c>
      <c r="AEU77" s="20" t="n">
        <f aca="false">(ALU76-UH77+0)*(1+BQ77)</f>
        <v>0</v>
      </c>
      <c r="AEV77" s="20" t="n">
        <f aca="false">(ALV76-UI77+0)*(1+BQ77)</f>
        <v>0</v>
      </c>
      <c r="AEW77" s="20" t="n">
        <f aca="false">(ALW76-UJ77+0)*(1+BQ77)</f>
        <v>0</v>
      </c>
      <c r="AEX77" s="20" t="n">
        <f aca="false">(ALX76-UK77+0)*(1+BQ77)</f>
        <v>0</v>
      </c>
      <c r="AEY77" s="20" t="n">
        <f aca="false">(ALY76-UL77+0)*(1+BQ77)</f>
        <v>0</v>
      </c>
      <c r="AEZ77" s="20" t="n">
        <f aca="false">(ALZ76-UM77+0)*(1+BQ77)</f>
        <v>0</v>
      </c>
      <c r="AFA77" s="20" t="n">
        <f aca="false">(AMA76-UN77+0)*(1+BQ77)</f>
        <v>0</v>
      </c>
      <c r="AFB77" s="20" t="n">
        <f aca="false">(AMB76-UO77+0)*(1+BQ77)</f>
        <v>0</v>
      </c>
      <c r="AFC77" s="20" t="n">
        <f aca="false">(AMC76-UP77+0)*(1+BQ77)</f>
        <v>0</v>
      </c>
      <c r="AFD77" s="20" t="n">
        <f aca="false">(AMD76-UQ77+0)*(1+BQ77)</f>
        <v>0</v>
      </c>
      <c r="AFE77" s="20" t="n">
        <f aca="false">(AME76-UR77+0)*(1+BQ77)</f>
        <v>0</v>
      </c>
      <c r="AFF77" s="20" t="n">
        <f aca="false">(AMF76-US77+0)*(1+BQ77)</f>
        <v>0</v>
      </c>
      <c r="AFG77" s="20" t="n">
        <f aca="false">(AMG76-UT77+0)*(1+BQ77)</f>
        <v>0</v>
      </c>
      <c r="AFH77" s="20" t="n">
        <f aca="false">(AMH76-UU77+0)*(1+BQ77)</f>
        <v>0</v>
      </c>
      <c r="AFI77" s="20" t="n">
        <f aca="false">(AMI76-UV77+0)*(1+BQ77)</f>
        <v>0</v>
      </c>
      <c r="AFJ77" s="20" t="n">
        <f aca="false">(AMJ76-UW77+0)*(1+BQ77)</f>
        <v>0</v>
      </c>
      <c r="AFK77" s="20" t="n">
        <f aca="false">(AMK76-UX77+0)*(1+BQ77)</f>
        <v>0</v>
      </c>
      <c r="AFL77" s="20" t="n">
        <f aca="false">(AML76-UY77+0)*(1+BQ77)</f>
        <v>0</v>
      </c>
      <c r="AFM77" s="20" t="n">
        <f aca="false">(AMM76-UZ77+0)*(1+BQ77)</f>
        <v>0</v>
      </c>
      <c r="AFN77" s="20" t="n">
        <f aca="false">(AMN76-VA77+0)*(1+BQ77)</f>
        <v>0</v>
      </c>
      <c r="AFO77" s="20" t="n">
        <f aca="false">(AMO76-VB77+0)*(1+BQ77)</f>
        <v>0</v>
      </c>
      <c r="AFP77" s="20" t="n">
        <f aca="false">(AMP76-VC77+0)*(1+BQ77)</f>
        <v>0</v>
      </c>
      <c r="AFQ77" s="20" t="n">
        <f aca="false">(AMQ76-VD77+0)*(1+BQ77)</f>
        <v>0</v>
      </c>
      <c r="AFR77" s="20" t="n">
        <f aca="false">(AMR76-VE77+0)*(1+BQ77)</f>
        <v>0</v>
      </c>
      <c r="AFS77" s="20" t="n">
        <f aca="false">(AMS76-VF77+0)*(1+BQ77)</f>
        <v>0</v>
      </c>
      <c r="AFT77" s="20" t="n">
        <f aca="false">(AMT76-VG77+0)*(1+BQ77)</f>
        <v>0</v>
      </c>
      <c r="AFU77" s="20" t="n">
        <f aca="false">(AMU76-VH77+0)*(1+BQ77)</f>
        <v>0</v>
      </c>
      <c r="AFV77" s="20" t="n">
        <f aca="false">(AMV76-VI77+0)*(1+BQ77)</f>
        <v>0</v>
      </c>
      <c r="AFW77" s="20" t="n">
        <f aca="false">(AMW76-VJ77+0)*(1+BQ77)</f>
        <v>0</v>
      </c>
      <c r="AFX77" s="20" t="n">
        <f aca="false">(AMX76-VK77+0)*(1+BQ77)</f>
        <v>0</v>
      </c>
      <c r="AFY77" s="20" t="n">
        <f aca="false">(AMY76-VL77+0)*(1+BQ77)</f>
        <v>0</v>
      </c>
      <c r="AFZ77" s="20" t="n">
        <f aca="false">(AMZ76-VM77+0)*(1+BQ77)</f>
        <v>0</v>
      </c>
      <c r="AGA77" s="20" t="n">
        <f aca="false">(ANA76-VN77+0)*(1+BQ77)</f>
        <v>0</v>
      </c>
      <c r="AGB77" s="20" t="n">
        <f aca="false">(ANB76-VO77+0)*(1+BQ77)</f>
        <v>0</v>
      </c>
      <c r="AGC77" s="20" t="n">
        <f aca="false">(ANC76-VP77+0)*(1+BQ77)</f>
        <v>0</v>
      </c>
      <c r="AGD77" s="20" t="n">
        <f aca="false">(AND76-VQ77+0)*(1+BQ77)</f>
        <v>0</v>
      </c>
      <c r="AGE77" s="20" t="n">
        <f aca="false">(ANE76-VR77+0)*(1+BQ77)</f>
        <v>0</v>
      </c>
      <c r="AGF77" s="20" t="n">
        <f aca="false">(ANF76-VS77+0)*(1+BQ77)</f>
        <v>0</v>
      </c>
      <c r="AGG77" s="20" t="n">
        <f aca="false">(ANG76-VT77+0)*(1+BQ77)</f>
        <v>0</v>
      </c>
      <c r="AGH77" s="20" t="n">
        <f aca="false">(ANH76-VU77+0)*(1+BQ77)</f>
        <v>0</v>
      </c>
      <c r="AGI77" s="20" t="n">
        <f aca="false">(ANI76-VV77+0)*(1+BQ77)</f>
        <v>0</v>
      </c>
      <c r="AGJ77" s="20" t="n">
        <f aca="false">((P77+S77)-VW77+BE77)*(1+BQ77)</f>
        <v>0</v>
      </c>
      <c r="AGK77" s="20" t="n">
        <v>0</v>
      </c>
      <c r="AGL77" s="20" t="n">
        <v>0</v>
      </c>
      <c r="AGM77" s="20" t="n">
        <v>0</v>
      </c>
      <c r="AGN77" s="20" t="n">
        <v>0</v>
      </c>
      <c r="AGO77" s="20" t="n">
        <v>0</v>
      </c>
      <c r="AGP77" s="20" t="n">
        <v>0</v>
      </c>
      <c r="AGQ77" s="20" t="n">
        <v>0</v>
      </c>
      <c r="AGR77" s="20" t="n">
        <v>0</v>
      </c>
      <c r="AGS77" s="20" t="n">
        <v>0</v>
      </c>
      <c r="AGT77" s="20" t="n">
        <v>0</v>
      </c>
      <c r="AGU77" s="20" t="n">
        <v>0</v>
      </c>
      <c r="AGV77" s="20" t="n">
        <v>0</v>
      </c>
      <c r="AGW77" s="20" t="n">
        <v>0</v>
      </c>
      <c r="AGX77" s="20" t="n">
        <v>0</v>
      </c>
      <c r="AGY77" s="20" t="n">
        <v>0</v>
      </c>
      <c r="AGZ77" s="20" t="n">
        <v>0</v>
      </c>
      <c r="AHA77" s="20" t="n">
        <v>0</v>
      </c>
      <c r="AHB77" s="20" t="n">
        <v>0</v>
      </c>
      <c r="AHC77" s="20" t="n">
        <v>0</v>
      </c>
      <c r="AHD77" s="20" t="n">
        <v>0</v>
      </c>
      <c r="AHE77" s="20" t="n">
        <f aca="false">IF(AKR76&gt;0,AOE76-AOE76*TE77/AKR76,0)+0</f>
        <v>0</v>
      </c>
      <c r="AHF77" s="20" t="n">
        <f aca="false">IF(AKS76&gt;0,AOF76-AOF76*TF77/AKS76,0)+0</f>
        <v>0</v>
      </c>
      <c r="AHG77" s="20" t="n">
        <f aca="false">IF(AKT76&gt;0,AOG76-AOG76*TG77/AKT76,0)+0</f>
        <v>0</v>
      </c>
      <c r="AHH77" s="20" t="n">
        <f aca="false">IF(AKU76&gt;0,AOH76-AOH76*TH77/AKU76,0)+0</f>
        <v>0</v>
      </c>
      <c r="AHI77" s="20" t="n">
        <f aca="false">IF(AKV76&gt;0,AOI76-AOI76*TI77/AKV76,0)+0</f>
        <v>0</v>
      </c>
      <c r="AHJ77" s="20" t="n">
        <f aca="false">IF(AKW76&gt;0,AOJ76-AOJ76*TJ77/AKW76,0)+0</f>
        <v>0</v>
      </c>
      <c r="AHK77" s="20" t="n">
        <f aca="false">IF(AKX76&gt;0,AOK76-AOK76*TK77/AKX76,0)+0</f>
        <v>0</v>
      </c>
      <c r="AHL77" s="20" t="n">
        <f aca="false">IF(AKY76&gt;0,AOL76-AOL76*TL77/AKY76,0)+0</f>
        <v>0</v>
      </c>
      <c r="AHM77" s="20" t="n">
        <f aca="false">IF(AKZ76&gt;0,AOM76-AOM76*TM77/AKZ76,0)+0</f>
        <v>0</v>
      </c>
      <c r="AHN77" s="20" t="n">
        <f aca="false">IF(ALA76&gt;0,AON76-AON76*TN77/ALA76,0)+0</f>
        <v>0</v>
      </c>
      <c r="AHO77" s="20" t="n">
        <f aca="false">IF(ALB76&gt;0,AOO76-AOO76*TO77/ALB76,0)+0</f>
        <v>0</v>
      </c>
      <c r="AHP77" s="20" t="n">
        <f aca="false">IF(ALC76&gt;0,AOP76-AOP76*TP77/ALC76,0)+0</f>
        <v>0</v>
      </c>
      <c r="AHQ77" s="20" t="n">
        <f aca="false">IF(ALD76&gt;0,AOQ76-AOQ76*TQ77/ALD76,0)+0</f>
        <v>0</v>
      </c>
      <c r="AHR77" s="20" t="n">
        <f aca="false">IF(ALE76&gt;0,AOR76-AOR76*TR77/ALE76,0)+0</f>
        <v>0</v>
      </c>
      <c r="AHS77" s="20" t="n">
        <f aca="false">IF(ALF76&gt;0,AOS76-AOS76*TS77/ALF76,0)+0</f>
        <v>0</v>
      </c>
      <c r="AHT77" s="20" t="n">
        <f aca="false">IF(ALG76&gt;0,AOT76-AOT76*TT77/ALG76,0)+0</f>
        <v>0</v>
      </c>
      <c r="AHU77" s="20" t="n">
        <f aca="false">IF(ALH76&gt;0,AOU76-AOU76*TU77/ALH76,0)+0</f>
        <v>0</v>
      </c>
      <c r="AHV77" s="20" t="n">
        <f aca="false">IF(ALI76&gt;0,AOV76-AOV76*TV77/ALI76,0)+0</f>
        <v>0</v>
      </c>
      <c r="AHW77" s="20" t="n">
        <f aca="false">IF(ALJ76&gt;0,AOW76-AOW76*TW77/ALJ76,0)+0</f>
        <v>0</v>
      </c>
      <c r="AHX77" s="20" t="n">
        <f aca="false">IF(ALK76&gt;0,AOX76-AOX76*TX77/ALK76,0)+0</f>
        <v>0</v>
      </c>
      <c r="AHY77" s="20" t="n">
        <f aca="false">IF(ALL76&gt;0,AOY76-AOY76*TY77/ALL76,0)+0</f>
        <v>0</v>
      </c>
      <c r="AHZ77" s="20" t="n">
        <f aca="false">IF(ALM76&gt;0,AOZ76-AOZ76*TZ77/ALM76,0)+0</f>
        <v>0</v>
      </c>
      <c r="AIA77" s="20" t="n">
        <f aca="false">IF(ALN76&gt;0,APA76-APA76*UA77/ALN76,0)+0</f>
        <v>0</v>
      </c>
      <c r="AIB77" s="20" t="n">
        <f aca="false">IF(ALO76&gt;0,APB76-APB76*UB77/ALO76,0)+0</f>
        <v>0</v>
      </c>
      <c r="AIC77" s="20" t="n">
        <f aca="false">IF(ALP76&gt;0,APC76-APC76*UC77/ALP76,0)+0</f>
        <v>0</v>
      </c>
      <c r="AID77" s="20" t="n">
        <f aca="false">IF(ALQ76&gt;0,APD76-APD76*UD77/ALQ76,0)+0</f>
        <v>0</v>
      </c>
      <c r="AIE77" s="20" t="n">
        <f aca="false">IF(ALR76&gt;0,APE76-APE76*UE77/ALR76,0)+0</f>
        <v>0</v>
      </c>
      <c r="AIF77" s="20" t="n">
        <f aca="false">IF(ALS76&gt;0,APF76-APF76*UF77/ALS76,0)+0</f>
        <v>0</v>
      </c>
      <c r="AIG77" s="20" t="n">
        <f aca="false">IF(ALT76&gt;0,APG76-APG76*UG77/ALT76,0)+0</f>
        <v>0</v>
      </c>
      <c r="AIH77" s="20" t="n">
        <f aca="false">IF(ALU76&gt;0,APH76-APH76*UH77/ALU76,0)+0</f>
        <v>0</v>
      </c>
      <c r="AII77" s="20" t="n">
        <f aca="false">IF(ALV76&gt;0,API76-API76*UI77/ALV76,0)+0</f>
        <v>0</v>
      </c>
      <c r="AIJ77" s="20" t="n">
        <f aca="false">IF(ALW76&gt;0,APJ76-APJ76*UJ77/ALW76,0)+0</f>
        <v>0</v>
      </c>
      <c r="AIK77" s="20" t="n">
        <f aca="false">IF(ALX76&gt;0,APK76-APK76*UK77/ALX76,0)+0</f>
        <v>0</v>
      </c>
      <c r="AIL77" s="20" t="n">
        <f aca="false">IF(ALY76&gt;0,APL76-APL76*UL77/ALY76,0)+0</f>
        <v>0</v>
      </c>
      <c r="AIM77" s="20" t="n">
        <f aca="false">IF(ALZ76&gt;0,APM76-APM76*UM77/ALZ76,0)+0</f>
        <v>0</v>
      </c>
      <c r="AIN77" s="20" t="n">
        <f aca="false">IF(AMA76&gt;0,APN76-APN76*UN77/AMA76,0)+0</f>
        <v>0</v>
      </c>
      <c r="AIO77" s="20" t="n">
        <f aca="false">IF(AMB76&gt;0,APO76-APO76*UO77/AMB76,0)+0</f>
        <v>0</v>
      </c>
      <c r="AIP77" s="20" t="n">
        <f aca="false">IF(AMC76&gt;0,APP76-APP76*UP77/AMC76,0)+0</f>
        <v>0</v>
      </c>
      <c r="AIQ77" s="20" t="n">
        <f aca="false">IF(AMD76&gt;0,APQ76-APQ76*UQ77/AMD76,0)+0</f>
        <v>0</v>
      </c>
      <c r="AIR77" s="20" t="n">
        <f aca="false">IF(AME76&gt;0,APR76-APR76*UR77/AME76,0)+0</f>
        <v>0</v>
      </c>
      <c r="AIS77" s="20" t="n">
        <f aca="false">IF(AMF76&gt;0,APS76-APS76*US77/AMF76,0)+0</f>
        <v>0</v>
      </c>
      <c r="AIT77" s="20" t="n">
        <f aca="false">IF(AMG76&gt;0,APT76-APT76*UT77/AMG76,0)+0</f>
        <v>0</v>
      </c>
      <c r="AIU77" s="20" t="n">
        <f aca="false">IF(AMH76&gt;0,APU76-APU76*UU77/AMH76,0)+0</f>
        <v>0</v>
      </c>
      <c r="AIV77" s="20" t="n">
        <f aca="false">IF(AMI76&gt;0,APV76-APV76*UV77/AMI76,0)+0</f>
        <v>0</v>
      </c>
      <c r="AIW77" s="20" t="n">
        <f aca="false">IF(AMJ76&gt;0,APW76-APW76*UW77/AMJ76,0)+0</f>
        <v>0</v>
      </c>
      <c r="AIX77" s="20" t="n">
        <f aca="false">IF(AMK76&gt;0,APX76-APX76*UX77/AMK76,0)+0</f>
        <v>0</v>
      </c>
      <c r="AIY77" s="20" t="n">
        <f aca="false">IF(AML76&gt;0,APY76-APY76*UY77/AML76,0)+0</f>
        <v>0</v>
      </c>
      <c r="AIZ77" s="20" t="n">
        <f aca="false">IF(AMM76&gt;0,APZ76-APZ76*UZ77/AMM76,0)+0</f>
        <v>0</v>
      </c>
      <c r="AJA77" s="20" t="n">
        <f aca="false">IF(AMN76&gt;0,AQA76-AQA76*VA77/AMN76,0)+0</f>
        <v>0</v>
      </c>
      <c r="AJB77" s="20" t="n">
        <f aca="false">IF(AMO76&gt;0,AQB76-AQB76*VB77/AMO76,0)+0</f>
        <v>0</v>
      </c>
      <c r="AJC77" s="20" t="n">
        <f aca="false">IF(AMP76&gt;0,AQC76-AQC76*VC77/AMP76,0)+0</f>
        <v>0</v>
      </c>
      <c r="AJD77" s="20" t="n">
        <f aca="false">IF(AMQ76&gt;0,AQD76-AQD76*VD77/AMQ76,0)+0</f>
        <v>0</v>
      </c>
      <c r="AJE77" s="20" t="n">
        <f aca="false">IF(AMR76&gt;0,AQE76-AQE76*VE77/AMR76,0)+0</f>
        <v>0</v>
      </c>
      <c r="AJF77" s="20" t="n">
        <f aca="false">IF(AMS76&gt;0,AQF76-AQF76*VF77/AMS76,0)+0</f>
        <v>0</v>
      </c>
      <c r="AJG77" s="20" t="n">
        <f aca="false">IF(AMT76&gt;0,AQG76-AQG76*VG77/AMT76,0)+0</f>
        <v>0</v>
      </c>
      <c r="AJH77" s="20" t="n">
        <f aca="false">IF(AMU76&gt;0,AQH76-AQH76*VH77/AMU76,0)+0</f>
        <v>0</v>
      </c>
      <c r="AJI77" s="20" t="n">
        <f aca="false">IF(AMV76&gt;0,AQI76-AQI76*VI77/AMV76,0)+0</f>
        <v>0</v>
      </c>
      <c r="AJJ77" s="20" t="n">
        <f aca="false">IF(AMW76&gt;0,AQJ76-AQJ76*VJ77/AMW76,0)+0</f>
        <v>0</v>
      </c>
      <c r="AJK77" s="20" t="n">
        <f aca="false">IF(AMX76&gt;0,AQK76-AQK76*VK77/AMX76,0)+0</f>
        <v>0</v>
      </c>
      <c r="AJL77" s="20" t="n">
        <f aca="false">IF(AMY76&gt;0,AQL76-AQL76*VL77/AMY76,0)+0</f>
        <v>0</v>
      </c>
      <c r="AJM77" s="20" t="n">
        <f aca="false">IF(AMZ76&gt;0,AQM76-AQM76*VM77/AMZ76,0)+0</f>
        <v>0</v>
      </c>
      <c r="AJN77" s="20" t="n">
        <f aca="false">IF(ANA76&gt;0,AQN76-AQN76*VN77/ANA76,0)+0</f>
        <v>0</v>
      </c>
      <c r="AJO77" s="20" t="n">
        <f aca="false">IF(ANB76&gt;0,AQO76-AQO76*VO77/ANB76,0)+0</f>
        <v>0</v>
      </c>
      <c r="AJP77" s="20" t="n">
        <f aca="false">IF(ANC76&gt;0,AQP76-AQP76*VP77/ANC76,0)+0</f>
        <v>0</v>
      </c>
      <c r="AJQ77" s="20" t="n">
        <f aca="false">IF(AND76&gt;0,AQQ76-AQQ76*VQ77/AND76,0)+0</f>
        <v>0</v>
      </c>
      <c r="AJR77" s="20" t="n">
        <f aca="false">IF(ANE76&gt;0,AQR76-AQR76*VR77/ANE76,0)+0</f>
        <v>0</v>
      </c>
      <c r="AJS77" s="20" t="n">
        <f aca="false">IF(ANF76&gt;0,AQS76-AQS76*VS77/ANF76,0)+0</f>
        <v>0</v>
      </c>
      <c r="AJT77" s="20" t="n">
        <f aca="false">IF(ANG76&gt;0,AQT76-AQT76*VT77/ANG76,0)+0</f>
        <v>0</v>
      </c>
      <c r="AJU77" s="20" t="n">
        <f aca="false">IF(ANH76&gt;0,AQU76-AQU76*VU77/ANH76,0)+0</f>
        <v>0</v>
      </c>
      <c r="AJV77" s="20" t="n">
        <f aca="false">IF(ANI76&gt;0,AQV76-AQV76*VV77/ANI76,0)+0</f>
        <v>0</v>
      </c>
      <c r="AJW77" s="20" t="n">
        <f aca="false">IF((P77+S77)&gt;0,(P77+S77)-(P77+S77)*VW77/(P77+S77),0)+BE77</f>
        <v>0</v>
      </c>
      <c r="AJX77" s="20" t="n">
        <v>0</v>
      </c>
      <c r="AJY77" s="20" t="n">
        <v>0</v>
      </c>
      <c r="AJZ77" s="20" t="n">
        <v>0</v>
      </c>
      <c r="AKA77" s="20" t="n">
        <v>0</v>
      </c>
      <c r="AKB77" s="20" t="n">
        <v>0</v>
      </c>
      <c r="AKC77" s="20" t="n">
        <v>0</v>
      </c>
      <c r="AKD77" s="20" t="n">
        <v>0</v>
      </c>
      <c r="AKE77" s="20" t="n">
        <v>0</v>
      </c>
      <c r="AKF77" s="20" t="n">
        <v>0</v>
      </c>
      <c r="AKG77" s="20" t="n">
        <v>0</v>
      </c>
      <c r="AKH77" s="20" t="n">
        <v>0</v>
      </c>
      <c r="AKI77" s="20" t="n">
        <v>0</v>
      </c>
      <c r="AKJ77" s="20" t="n">
        <v>0</v>
      </c>
      <c r="AKK77" s="20" t="n">
        <v>0</v>
      </c>
      <c r="AKL77" s="20" t="n">
        <v>0</v>
      </c>
      <c r="AKM77" s="20" t="n">
        <v>0</v>
      </c>
      <c r="AKN77" s="20" t="n">
        <v>0</v>
      </c>
      <c r="AKO77" s="20" t="n">
        <v>0</v>
      </c>
      <c r="AKP77" s="20" t="n">
        <v>0</v>
      </c>
      <c r="AKQ77" s="20" t="n">
        <v>0</v>
      </c>
      <c r="AKR77" s="20" t="n">
        <f aca="false">ADR77-AVE77</f>
        <v>0</v>
      </c>
      <c r="AKS77" s="20" t="n">
        <f aca="false">ADS77-AVF77</f>
        <v>0</v>
      </c>
      <c r="AKT77" s="20" t="n">
        <f aca="false">ADT77-AVG77</f>
        <v>0</v>
      </c>
      <c r="AKU77" s="20" t="n">
        <f aca="false">ADU77-AVH77</f>
        <v>0</v>
      </c>
      <c r="AKV77" s="20" t="n">
        <f aca="false">ADV77-AVI77</f>
        <v>0</v>
      </c>
      <c r="AKW77" s="20" t="n">
        <f aca="false">ADW77-AVJ77</f>
        <v>0</v>
      </c>
      <c r="AKX77" s="20" t="n">
        <f aca="false">ADX77-AVK77</f>
        <v>0</v>
      </c>
      <c r="AKY77" s="20" t="n">
        <f aca="false">ADY77-AVL77</f>
        <v>0</v>
      </c>
      <c r="AKZ77" s="20" t="n">
        <f aca="false">ADZ77-AVM77</f>
        <v>0</v>
      </c>
      <c r="ALA77" s="20" t="n">
        <f aca="false">AEA77-AVN77</f>
        <v>0</v>
      </c>
      <c r="ALB77" s="20" t="n">
        <f aca="false">AEB77-AVO77</f>
        <v>0</v>
      </c>
      <c r="ALC77" s="20" t="n">
        <f aca="false">AEC77-AVP77</f>
        <v>0</v>
      </c>
      <c r="ALD77" s="20" t="n">
        <f aca="false">AED77-AVQ77</f>
        <v>0</v>
      </c>
      <c r="ALE77" s="20" t="n">
        <f aca="false">AEE77-AVR77</f>
        <v>0</v>
      </c>
      <c r="ALF77" s="20" t="n">
        <f aca="false">AEF77-AVS77</f>
        <v>0</v>
      </c>
      <c r="ALG77" s="20" t="n">
        <f aca="false">AEG77-AVT77</f>
        <v>0</v>
      </c>
      <c r="ALH77" s="20" t="n">
        <f aca="false">AEH77-AVU77</f>
        <v>0</v>
      </c>
      <c r="ALI77" s="20" t="n">
        <f aca="false">AEI77-AVV77</f>
        <v>0</v>
      </c>
      <c r="ALJ77" s="20" t="n">
        <f aca="false">AEJ77-AVW77</f>
        <v>0</v>
      </c>
      <c r="ALK77" s="20" t="n">
        <f aca="false">AEK77-AVX77</f>
        <v>0</v>
      </c>
      <c r="ALL77" s="20" t="n">
        <f aca="false">AEL77-AVY77</f>
        <v>0</v>
      </c>
      <c r="ALM77" s="20" t="n">
        <f aca="false">AEM77-AVZ77</f>
        <v>0</v>
      </c>
      <c r="ALN77" s="20" t="n">
        <f aca="false">AEN77-AWA77</f>
        <v>0</v>
      </c>
      <c r="ALO77" s="20" t="n">
        <f aca="false">AEO77-AWB77</f>
        <v>0</v>
      </c>
      <c r="ALP77" s="20" t="n">
        <f aca="false">AEP77-AWC77</f>
        <v>0</v>
      </c>
      <c r="ALQ77" s="20" t="n">
        <f aca="false">AEQ77-AWD77</f>
        <v>0</v>
      </c>
      <c r="ALR77" s="20" t="n">
        <f aca="false">AER77-AWE77</f>
        <v>0</v>
      </c>
      <c r="ALS77" s="20" t="n">
        <f aca="false">AES77-AWF77</f>
        <v>0</v>
      </c>
      <c r="ALT77" s="20" t="n">
        <f aca="false">AET77-AWG77</f>
        <v>0</v>
      </c>
      <c r="ALU77" s="20" t="n">
        <f aca="false">AEU77-AWH77</f>
        <v>0</v>
      </c>
      <c r="ALV77" s="20" t="n">
        <f aca="false">AEV77-AWI77</f>
        <v>0</v>
      </c>
      <c r="ALW77" s="20" t="n">
        <f aca="false">AEW77-AWJ77</f>
        <v>0</v>
      </c>
      <c r="ALX77" s="20" t="n">
        <f aca="false">AEX77-AWK77</f>
        <v>0</v>
      </c>
      <c r="ALY77" s="20" t="n">
        <f aca="false">AEY77-AWL77</f>
        <v>0</v>
      </c>
      <c r="ALZ77" s="20" t="n">
        <f aca="false">AEZ77-AWM77</f>
        <v>0</v>
      </c>
      <c r="AMA77" s="20" t="n">
        <f aca="false">AFA77-AWN77</f>
        <v>0</v>
      </c>
      <c r="AMB77" s="20" t="n">
        <f aca="false">AFB77-AWO77</f>
        <v>0</v>
      </c>
      <c r="AMC77" s="20" t="n">
        <f aca="false">AFC77-AWP77</f>
        <v>0</v>
      </c>
      <c r="AMD77" s="20" t="n">
        <f aca="false">AFD77-AWQ77</f>
        <v>0</v>
      </c>
      <c r="AME77" s="20" t="n">
        <f aca="false">AFE77-AWR77</f>
        <v>0</v>
      </c>
      <c r="AMF77" s="20" t="n">
        <f aca="false">AFF77-AWS77</f>
        <v>0</v>
      </c>
      <c r="AMG77" s="20" t="n">
        <f aca="false">AFG77-AWT77</f>
        <v>0</v>
      </c>
      <c r="AMH77" s="20" t="n">
        <f aca="false">AFH77-AWU77</f>
        <v>0</v>
      </c>
      <c r="AMI77" s="20" t="n">
        <f aca="false">AFI77-AWV77</f>
        <v>0</v>
      </c>
      <c r="AMJ77" s="20" t="n">
        <f aca="false">AFJ77-AWW77</f>
        <v>0</v>
      </c>
      <c r="AMK77" s="20" t="n">
        <f aca="false">AFK77-AWX77</f>
        <v>0</v>
      </c>
      <c r="AML77" s="20" t="n">
        <f aca="false">AFL77-AWY77</f>
        <v>0</v>
      </c>
      <c r="AMM77" s="20" t="n">
        <f aca="false">AFM77-AWZ77</f>
        <v>0</v>
      </c>
      <c r="AMN77" s="20" t="n">
        <f aca="false">AFN77-AXA77</f>
        <v>0</v>
      </c>
      <c r="AMO77" s="20" t="n">
        <f aca="false">AFO77-AXB77</f>
        <v>0</v>
      </c>
      <c r="AMP77" s="20" t="n">
        <f aca="false">AFP77-AXC77</f>
        <v>0</v>
      </c>
      <c r="AMQ77" s="20" t="n">
        <f aca="false">AFQ77-AXD77</f>
        <v>0</v>
      </c>
      <c r="AMR77" s="20" t="n">
        <f aca="false">AFR77-AXE77</f>
        <v>0</v>
      </c>
      <c r="AMS77" s="20" t="n">
        <f aca="false">AFS77-AXF77</f>
        <v>0</v>
      </c>
      <c r="AMT77" s="20" t="n">
        <f aca="false">AFT77-AXG77</f>
        <v>0</v>
      </c>
      <c r="AMU77" s="20" t="n">
        <f aca="false">AFU77-AXH77</f>
        <v>0</v>
      </c>
      <c r="AMV77" s="20" t="n">
        <f aca="false">AFV77-AXI77</f>
        <v>0</v>
      </c>
      <c r="AMW77" s="20" t="n">
        <f aca="false">AFW77-AXJ77</f>
        <v>0</v>
      </c>
      <c r="AMX77" s="20" t="n">
        <f aca="false">AFX77-AXK77</f>
        <v>0</v>
      </c>
      <c r="AMY77" s="20" t="n">
        <f aca="false">AFY77-AXL77</f>
        <v>0</v>
      </c>
      <c r="AMZ77" s="20" t="n">
        <f aca="false">AFZ77-AXM77</f>
        <v>0</v>
      </c>
      <c r="ANA77" s="20" t="n">
        <f aca="false">AGA77-AXN77</f>
        <v>0</v>
      </c>
      <c r="ANB77" s="20" t="n">
        <f aca="false">AGB77-AXO77</f>
        <v>0</v>
      </c>
      <c r="ANC77" s="20" t="n">
        <f aca="false">AGC77-AXP77</f>
        <v>0</v>
      </c>
      <c r="AND77" s="20" t="n">
        <f aca="false">AGD77-AXQ77</f>
        <v>0</v>
      </c>
      <c r="ANE77" s="20" t="n">
        <f aca="false">AGE77-AXR77</f>
        <v>0</v>
      </c>
      <c r="ANF77" s="20" t="n">
        <f aca="false">AGF77-AXS77</f>
        <v>0</v>
      </c>
      <c r="ANG77" s="20" t="n">
        <f aca="false">AGG77-AXT77</f>
        <v>0</v>
      </c>
      <c r="ANH77" s="20" t="n">
        <f aca="false">AGH77-AXU77</f>
        <v>0</v>
      </c>
      <c r="ANI77" s="20" t="n">
        <f aca="false">AGI77-AXV77</f>
        <v>0</v>
      </c>
      <c r="ANJ77" s="20" t="n">
        <f aca="false">AGJ77-AXW77</f>
        <v>0</v>
      </c>
      <c r="ANK77" s="20" t="n">
        <v>0</v>
      </c>
      <c r="ANL77" s="20" t="n">
        <v>0</v>
      </c>
      <c r="ANM77" s="20" t="n">
        <v>0</v>
      </c>
      <c r="ANN77" s="20" t="n">
        <v>0</v>
      </c>
      <c r="ANO77" s="20" t="n">
        <v>0</v>
      </c>
      <c r="ANP77" s="20" t="n">
        <v>0</v>
      </c>
      <c r="ANQ77" s="20" t="n">
        <v>0</v>
      </c>
      <c r="ANR77" s="20" t="n">
        <v>0</v>
      </c>
      <c r="ANS77" s="20" t="n">
        <v>0</v>
      </c>
      <c r="ANT77" s="20" t="n">
        <v>0</v>
      </c>
      <c r="ANU77" s="20" t="n">
        <v>0</v>
      </c>
      <c r="ANV77" s="20" t="n">
        <v>0</v>
      </c>
      <c r="ANW77" s="20" t="n">
        <v>0</v>
      </c>
      <c r="ANX77" s="20" t="n">
        <v>0</v>
      </c>
      <c r="ANY77" s="20" t="n">
        <v>0</v>
      </c>
      <c r="ANZ77" s="20" t="n">
        <v>0</v>
      </c>
      <c r="AOA77" s="20" t="n">
        <v>0</v>
      </c>
      <c r="AOB77" s="20" t="n">
        <v>0</v>
      </c>
      <c r="AOC77" s="20" t="n">
        <v>0</v>
      </c>
      <c r="AOD77" s="20" t="n">
        <v>0</v>
      </c>
      <c r="AOE77" s="20" t="n">
        <f aca="false">IF(AND(H_Direct=0,H_TaxEvt=1,ARR76+1&gt;=H_Deemed),AKR77,AHE77)</f>
        <v>0</v>
      </c>
      <c r="AOF77" s="20" t="n">
        <f aca="false">IF(AND(H_Direct=0,H_TaxEvt=1,ARS76+1&gt;=H_Deemed),AKS77,AHF77)</f>
        <v>0</v>
      </c>
      <c r="AOG77" s="20" t="n">
        <f aca="false">IF(AND(H_Direct=0,H_TaxEvt=1,ART76+1&gt;=H_Deemed),AKT77,AHG77)</f>
        <v>0</v>
      </c>
      <c r="AOH77" s="20" t="n">
        <f aca="false">IF(AND(H_Direct=0,H_TaxEvt=1,ARU76+1&gt;=H_Deemed),AKU77,AHH77)</f>
        <v>0</v>
      </c>
      <c r="AOI77" s="20" t="n">
        <f aca="false">IF(AND(H_Direct=0,H_TaxEvt=1,ARV76+1&gt;=H_Deemed),AKV77,AHI77)</f>
        <v>0</v>
      </c>
      <c r="AOJ77" s="20" t="n">
        <f aca="false">IF(AND(H_Direct=0,H_TaxEvt=1,ARW76+1&gt;=H_Deemed),AKW77,AHJ77)</f>
        <v>0</v>
      </c>
      <c r="AOK77" s="20" t="n">
        <f aca="false">IF(AND(H_Direct=0,H_TaxEvt=1,ARX76+1&gt;=H_Deemed),AKX77,AHK77)</f>
        <v>0</v>
      </c>
      <c r="AOL77" s="20" t="n">
        <f aca="false">IF(AND(H_Direct=0,H_TaxEvt=1,ARY76+1&gt;=H_Deemed),AKY77,AHL77)</f>
        <v>0</v>
      </c>
      <c r="AOM77" s="20" t="n">
        <f aca="false">IF(AND(H_Direct=0,H_TaxEvt=1,ARZ76+1&gt;=H_Deemed),AKZ77,AHM77)</f>
        <v>0</v>
      </c>
      <c r="AON77" s="20" t="n">
        <f aca="false">IF(AND(H_Direct=0,H_TaxEvt=1,ASA76+1&gt;=H_Deemed),ALA77,AHN77)</f>
        <v>0</v>
      </c>
      <c r="AOO77" s="20" t="n">
        <f aca="false">IF(AND(H_Direct=0,H_TaxEvt=1,ASB76+1&gt;=H_Deemed),ALB77,AHO77)</f>
        <v>0</v>
      </c>
      <c r="AOP77" s="20" t="n">
        <f aca="false">IF(AND(H_Direct=0,H_TaxEvt=1,ASC76+1&gt;=H_Deemed),ALC77,AHP77)</f>
        <v>0</v>
      </c>
      <c r="AOQ77" s="20" t="n">
        <f aca="false">IF(AND(H_Direct=0,H_TaxEvt=1,ASD76+1&gt;=H_Deemed),ALD77,AHQ77)</f>
        <v>0</v>
      </c>
      <c r="AOR77" s="20" t="n">
        <f aca="false">IF(AND(H_Direct=0,H_TaxEvt=1,ASE76+1&gt;=H_Deemed),ALE77,AHR77)</f>
        <v>0</v>
      </c>
      <c r="AOS77" s="20" t="n">
        <f aca="false">IF(AND(H_Direct=0,H_TaxEvt=1,ASF76+1&gt;=H_Deemed),ALF77,AHS77)</f>
        <v>0</v>
      </c>
      <c r="AOT77" s="20" t="n">
        <f aca="false">IF(AND(H_Direct=0,H_TaxEvt=1,ASG76+1&gt;=H_Deemed),ALG77,AHT77)</f>
        <v>0</v>
      </c>
      <c r="AOU77" s="20" t="n">
        <f aca="false">IF(AND(H_Direct=0,H_TaxEvt=1,ASH76+1&gt;=H_Deemed),ALH77,AHU77)</f>
        <v>0</v>
      </c>
      <c r="AOV77" s="20" t="n">
        <f aca="false">IF(AND(H_Direct=0,H_TaxEvt=1,ASI76+1&gt;=H_Deemed),ALI77,AHV77)</f>
        <v>0</v>
      </c>
      <c r="AOW77" s="20" t="n">
        <f aca="false">IF(AND(H_Direct=0,H_TaxEvt=1,ASJ76+1&gt;=H_Deemed),ALJ77,AHW77)</f>
        <v>0</v>
      </c>
      <c r="AOX77" s="20" t="n">
        <f aca="false">IF(AND(H_Direct=0,H_TaxEvt=1,ASK76+1&gt;=H_Deemed),ALK77,AHX77)</f>
        <v>0</v>
      </c>
      <c r="AOY77" s="20" t="n">
        <f aca="false">IF(AND(H_Direct=0,H_TaxEvt=1,ASL76+1&gt;=H_Deemed),ALL77,AHY77)</f>
        <v>0</v>
      </c>
      <c r="AOZ77" s="20" t="n">
        <f aca="false">IF(AND(H_Direct=0,H_TaxEvt=1,ASM76+1&gt;=H_Deemed),ALM77,AHZ77)</f>
        <v>0</v>
      </c>
      <c r="APA77" s="20" t="n">
        <f aca="false">IF(AND(H_Direct=0,H_TaxEvt=1,ASN76+1&gt;=H_Deemed),ALN77,AIA77)</f>
        <v>0</v>
      </c>
      <c r="APB77" s="20" t="n">
        <f aca="false">IF(AND(H_Direct=0,H_TaxEvt=1,ASO76+1&gt;=H_Deemed),ALO77,AIB77)</f>
        <v>0</v>
      </c>
      <c r="APC77" s="20" t="n">
        <f aca="false">IF(AND(H_Direct=0,H_TaxEvt=1,ASP76+1&gt;=H_Deemed),ALP77,AIC77)</f>
        <v>0</v>
      </c>
      <c r="APD77" s="20" t="n">
        <f aca="false">IF(AND(H_Direct=0,H_TaxEvt=1,ASQ76+1&gt;=H_Deemed),ALQ77,AID77)</f>
        <v>0</v>
      </c>
      <c r="APE77" s="20" t="n">
        <f aca="false">IF(AND(H_Direct=0,H_TaxEvt=1,ASR76+1&gt;=H_Deemed),ALR77,AIE77)</f>
        <v>0</v>
      </c>
      <c r="APF77" s="20" t="n">
        <f aca="false">IF(AND(H_Direct=0,H_TaxEvt=1,ASS76+1&gt;=H_Deemed),ALS77,AIF77)</f>
        <v>0</v>
      </c>
      <c r="APG77" s="20" t="n">
        <f aca="false">IF(AND(H_Direct=0,H_TaxEvt=1,AST76+1&gt;=H_Deemed),ALT77,AIG77)</f>
        <v>0</v>
      </c>
      <c r="APH77" s="20" t="n">
        <f aca="false">IF(AND(H_Direct=0,H_TaxEvt=1,ASU76+1&gt;=H_Deemed),ALU77,AIH77)</f>
        <v>0</v>
      </c>
      <c r="API77" s="20" t="n">
        <f aca="false">IF(AND(H_Direct=0,H_TaxEvt=1,ASV76+1&gt;=H_Deemed),ALV77,AII77)</f>
        <v>0</v>
      </c>
      <c r="APJ77" s="20" t="n">
        <f aca="false">IF(AND(H_Direct=0,H_TaxEvt=1,ASW76+1&gt;=H_Deemed),ALW77,AIJ77)</f>
        <v>0</v>
      </c>
      <c r="APK77" s="20" t="n">
        <f aca="false">IF(AND(H_Direct=0,H_TaxEvt=1,ASX76+1&gt;=H_Deemed),ALX77,AIK77)</f>
        <v>0</v>
      </c>
      <c r="APL77" s="20" t="n">
        <f aca="false">IF(AND(H_Direct=0,H_TaxEvt=1,ASY76+1&gt;=H_Deemed),ALY77,AIL77)</f>
        <v>0</v>
      </c>
      <c r="APM77" s="20" t="n">
        <f aca="false">IF(AND(H_Direct=0,H_TaxEvt=1,ASZ76+1&gt;=H_Deemed),ALZ77,AIM77)</f>
        <v>0</v>
      </c>
      <c r="APN77" s="20" t="n">
        <f aca="false">IF(AND(H_Direct=0,H_TaxEvt=1,ATA76+1&gt;=H_Deemed),AMA77,AIN77)</f>
        <v>0</v>
      </c>
      <c r="APO77" s="20" t="n">
        <f aca="false">IF(AND(H_Direct=0,H_TaxEvt=1,ATB76+1&gt;=H_Deemed),AMB77,AIO77)</f>
        <v>0</v>
      </c>
      <c r="APP77" s="20" t="n">
        <f aca="false">IF(AND(H_Direct=0,H_TaxEvt=1,ATC76+1&gt;=H_Deemed),AMC77,AIP77)</f>
        <v>0</v>
      </c>
      <c r="APQ77" s="20" t="n">
        <f aca="false">IF(AND(H_Direct=0,H_TaxEvt=1,ATD76+1&gt;=H_Deemed),AMD77,AIQ77)</f>
        <v>0</v>
      </c>
      <c r="APR77" s="20" t="n">
        <f aca="false">IF(AND(H_Direct=0,H_TaxEvt=1,ATE76+1&gt;=H_Deemed),AME77,AIR77)</f>
        <v>0</v>
      </c>
      <c r="APS77" s="20" t="n">
        <f aca="false">IF(AND(H_Direct=0,H_TaxEvt=1,ATF76+1&gt;=H_Deemed),AMF77,AIS77)</f>
        <v>0</v>
      </c>
      <c r="APT77" s="20" t="n">
        <f aca="false">IF(AND(H_Direct=0,H_TaxEvt=1,ATG76+1&gt;=H_Deemed),AMG77,AIT77)</f>
        <v>0</v>
      </c>
      <c r="APU77" s="20" t="n">
        <f aca="false">IF(AND(H_Direct=0,H_TaxEvt=1,ATH76+1&gt;=H_Deemed),AMH77,AIU77)</f>
        <v>0</v>
      </c>
      <c r="APV77" s="20" t="n">
        <f aca="false">IF(AND(H_Direct=0,H_TaxEvt=1,ATI76+1&gt;=H_Deemed),AMI77,AIV77)</f>
        <v>0</v>
      </c>
      <c r="APW77" s="20" t="n">
        <f aca="false">IF(AND(H_Direct=0,H_TaxEvt=1,ATJ76+1&gt;=H_Deemed),AMJ77,AIW77)</f>
        <v>0</v>
      </c>
      <c r="APX77" s="20" t="n">
        <f aca="false">IF(AND(H_Direct=0,H_TaxEvt=1,ATK76+1&gt;=H_Deemed),AMK77,AIX77)</f>
        <v>0</v>
      </c>
      <c r="APY77" s="20" t="n">
        <f aca="false">IF(AND(H_Direct=0,H_TaxEvt=1,ATL76+1&gt;=H_Deemed),AML77,AIY77)</f>
        <v>0</v>
      </c>
      <c r="APZ77" s="20" t="n">
        <f aca="false">IF(AND(H_Direct=0,H_TaxEvt=1,ATM76+1&gt;=H_Deemed),AMM77,AIZ77)</f>
        <v>0</v>
      </c>
      <c r="AQA77" s="20" t="n">
        <f aca="false">IF(AND(H_Direct=0,H_TaxEvt=1,ATN76+1&gt;=H_Deemed),AMN77,AJA77)</f>
        <v>0</v>
      </c>
      <c r="AQB77" s="20" t="n">
        <f aca="false">IF(AND(H_Direct=0,H_TaxEvt=1,ATO76+1&gt;=H_Deemed),AMO77,AJB77)</f>
        <v>0</v>
      </c>
      <c r="AQC77" s="20" t="n">
        <f aca="false">IF(AND(H_Direct=0,H_TaxEvt=1,ATP76+1&gt;=H_Deemed),AMP77,AJC77)</f>
        <v>0</v>
      </c>
      <c r="AQD77" s="20" t="n">
        <f aca="false">IF(AND(H_Direct=0,H_TaxEvt=1,ATQ76+1&gt;=H_Deemed),AMQ77,AJD77)</f>
        <v>0</v>
      </c>
      <c r="AQE77" s="20" t="n">
        <f aca="false">IF(AND(H_Direct=0,H_TaxEvt=1,ATR76+1&gt;=H_Deemed),AMR77,AJE77)</f>
        <v>0</v>
      </c>
      <c r="AQF77" s="20" t="n">
        <f aca="false">IF(AND(H_Direct=0,H_TaxEvt=1,ATS76+1&gt;=H_Deemed),AMS77,AJF77)</f>
        <v>0</v>
      </c>
      <c r="AQG77" s="20" t="n">
        <f aca="false">IF(AND(H_Direct=0,H_TaxEvt=1,ATT76+1&gt;=H_Deemed),AMT77,AJG77)</f>
        <v>0</v>
      </c>
      <c r="AQH77" s="20" t="n">
        <f aca="false">IF(AND(H_Direct=0,H_TaxEvt=1,ATU76+1&gt;=H_Deemed),AMU77,AJH77)</f>
        <v>0</v>
      </c>
      <c r="AQI77" s="20" t="n">
        <f aca="false">IF(AND(H_Direct=0,H_TaxEvt=1,ATV76+1&gt;=H_Deemed),AMV77,AJI77)</f>
        <v>0</v>
      </c>
      <c r="AQJ77" s="20" t="n">
        <f aca="false">IF(AND(H_Direct=0,H_TaxEvt=1,ATW76+1&gt;=H_Deemed),AMW77,AJJ77)</f>
        <v>0</v>
      </c>
      <c r="AQK77" s="20" t="n">
        <f aca="false">IF(AND(H_Direct=0,H_TaxEvt=1,ATX76+1&gt;=H_Deemed),AMX77,AJK77)</f>
        <v>0</v>
      </c>
      <c r="AQL77" s="20" t="n">
        <f aca="false">IF(AND(H_Direct=0,H_TaxEvt=1,ATY76+1&gt;=H_Deemed),AMY77,AJL77)</f>
        <v>0</v>
      </c>
      <c r="AQM77" s="20" t="n">
        <f aca="false">IF(AND(H_Direct=0,H_TaxEvt=1,ATZ76+1&gt;=H_Deemed),AMZ77,AJM77)</f>
        <v>0</v>
      </c>
      <c r="AQN77" s="20" t="n">
        <f aca="false">IF(AND(H_Direct=0,H_TaxEvt=1,AUA76+1&gt;=H_Deemed),ANA77,AJN77)</f>
        <v>0</v>
      </c>
      <c r="AQO77" s="20" t="n">
        <f aca="false">IF(AND(H_Direct=0,H_TaxEvt=1,AUB76+1&gt;=H_Deemed),ANB77,AJO77)</f>
        <v>0</v>
      </c>
      <c r="AQP77" s="20" t="n">
        <f aca="false">IF(AND(H_Direct=0,H_TaxEvt=1,AUC76+1&gt;=H_Deemed),ANC77,AJP77)</f>
        <v>0</v>
      </c>
      <c r="AQQ77" s="20" t="n">
        <f aca="false">IF(AND(H_Direct=0,H_TaxEvt=1,AUD76+1&gt;=H_Deemed),AND77,AJQ77)</f>
        <v>0</v>
      </c>
      <c r="AQR77" s="20" t="n">
        <f aca="false">IF(AND(H_Direct=0,H_TaxEvt=1,AUE76+1&gt;=H_Deemed),ANE77,AJR77)</f>
        <v>0</v>
      </c>
      <c r="AQS77" s="20" t="n">
        <f aca="false">IF(AND(H_Direct=0,H_TaxEvt=1,AUF76+1&gt;=H_Deemed),ANF77,AJS77)</f>
        <v>0</v>
      </c>
      <c r="AQT77" s="20" t="n">
        <f aca="false">IF(AND(H_Direct=0,H_TaxEvt=1,AUG76+1&gt;=H_Deemed),ANG77,AJT77)</f>
        <v>0</v>
      </c>
      <c r="AQU77" s="20" t="n">
        <f aca="false">IF(AND(H_Direct=0,H_TaxEvt=1,AUH76+1&gt;=H_Deemed),ANH77,AJU77)</f>
        <v>0</v>
      </c>
      <c r="AQV77" s="20" t="n">
        <f aca="false">IF(AND(H_Direct=0,H_TaxEvt=1,AUI76+1&gt;=H_Deemed),ANI77,AJV77)</f>
        <v>0</v>
      </c>
      <c r="AQW77" s="20" t="n">
        <f aca="false">IF(AND(H_Direct=0,H_TaxEvt=1,0+1&gt;=H_Deemed),ANJ77,AJW77)</f>
        <v>0</v>
      </c>
      <c r="AQX77" s="20" t="n">
        <v>0</v>
      </c>
      <c r="AQY77" s="20" t="n">
        <v>0</v>
      </c>
      <c r="AQZ77" s="20" t="n">
        <v>0</v>
      </c>
      <c r="ARA77" s="20" t="n">
        <v>0</v>
      </c>
      <c r="ARB77" s="20" t="n">
        <v>0</v>
      </c>
      <c r="ARC77" s="20" t="n">
        <v>0</v>
      </c>
      <c r="ARD77" s="20" t="n">
        <v>0</v>
      </c>
      <c r="ARE77" s="20" t="n">
        <v>0</v>
      </c>
      <c r="ARF77" s="20" t="n">
        <v>0</v>
      </c>
      <c r="ARG77" s="20" t="n">
        <v>0</v>
      </c>
      <c r="ARH77" s="20" t="n">
        <v>0</v>
      </c>
      <c r="ARI77" s="20" t="n">
        <v>0</v>
      </c>
      <c r="ARJ77" s="20" t="n">
        <v>0</v>
      </c>
      <c r="ARK77" s="20" t="n">
        <v>0</v>
      </c>
      <c r="ARL77" s="20" t="n">
        <v>0</v>
      </c>
      <c r="ARM77" s="20" t="n">
        <v>0</v>
      </c>
      <c r="ARN77" s="20" t="n">
        <v>0</v>
      </c>
      <c r="ARO77" s="20" t="n">
        <v>0</v>
      </c>
      <c r="ARP77" s="20" t="n">
        <v>0</v>
      </c>
      <c r="ARQ77" s="20" t="n">
        <v>0</v>
      </c>
      <c r="ARR77" s="20" t="n">
        <f aca="false">IF(AND(H_Direct=0,H_TaxEvt=1),IF(ARR76+1&gt;=H_Deemed,0,ARR76+1),ARR76)</f>
        <v>6</v>
      </c>
      <c r="ARS77" s="20" t="n">
        <f aca="false">IF(AND(H_Direct=0,H_TaxEvt=1),IF(ARS76+1&gt;=H_Deemed,0,ARS76+1),ARS76)</f>
        <v>6</v>
      </c>
      <c r="ART77" s="20" t="n">
        <f aca="false">IF(AND(H_Direct=0,H_TaxEvt=1),IF(ART76+1&gt;=H_Deemed,0,ART76+1),ART76)</f>
        <v>5</v>
      </c>
      <c r="ARU77" s="20" t="n">
        <f aca="false">IF(AND(H_Direct=0,H_TaxEvt=1),IF(ARU76+1&gt;=H_Deemed,0,ARU76+1),ARU76)</f>
        <v>4</v>
      </c>
      <c r="ARV77" s="20" t="n">
        <f aca="false">IF(AND(H_Direct=0,H_TaxEvt=1),IF(ARV76+1&gt;=H_Deemed,0,ARV76+1),ARV76)</f>
        <v>3</v>
      </c>
      <c r="ARW77" s="20" t="n">
        <f aca="false">IF(AND(H_Direct=0,H_TaxEvt=1),IF(ARW76+1&gt;=H_Deemed,0,ARW76+1),ARW76)</f>
        <v>2</v>
      </c>
      <c r="ARX77" s="20" t="n">
        <f aca="false">IF(AND(H_Direct=0,H_TaxEvt=1),IF(ARX76+1&gt;=H_Deemed,0,ARX76+1),ARX76)</f>
        <v>1</v>
      </c>
      <c r="ARY77" s="20" t="n">
        <f aca="false">IF(AND(H_Direct=0,H_TaxEvt=1),IF(ARY76+1&gt;=H_Deemed,0,ARY76+1),ARY76)</f>
        <v>0</v>
      </c>
      <c r="ARZ77" s="20" t="n">
        <f aca="false">IF(AND(H_Direct=0,H_TaxEvt=1),IF(ARZ76+1&gt;=H_Deemed,0,ARZ76+1),ARZ76)</f>
        <v>7</v>
      </c>
      <c r="ASA77" s="20" t="n">
        <f aca="false">IF(AND(H_Direct=0,H_TaxEvt=1),IF(ASA76+1&gt;=H_Deemed,0,ASA76+1),ASA76)</f>
        <v>6</v>
      </c>
      <c r="ASB77" s="20" t="n">
        <f aca="false">IF(AND(H_Direct=0,H_TaxEvt=1),IF(ASB76+1&gt;=H_Deemed,0,ASB76+1),ASB76)</f>
        <v>5</v>
      </c>
      <c r="ASC77" s="20" t="n">
        <f aca="false">IF(AND(H_Direct=0,H_TaxEvt=1),IF(ASC76+1&gt;=H_Deemed,0,ASC76+1),ASC76)</f>
        <v>4</v>
      </c>
      <c r="ASD77" s="20" t="n">
        <f aca="false">IF(AND(H_Direct=0,H_TaxEvt=1),IF(ASD76+1&gt;=H_Deemed,0,ASD76+1),ASD76)</f>
        <v>3</v>
      </c>
      <c r="ASE77" s="20" t="n">
        <f aca="false">IF(AND(H_Direct=0,H_TaxEvt=1),IF(ASE76+1&gt;=H_Deemed,0,ASE76+1),ASE76)</f>
        <v>2</v>
      </c>
      <c r="ASF77" s="20" t="n">
        <f aca="false">IF(AND(H_Direct=0,H_TaxEvt=1),IF(ASF76+1&gt;=H_Deemed,0,ASF76+1),ASF76)</f>
        <v>1</v>
      </c>
      <c r="ASG77" s="20" t="n">
        <f aca="false">IF(AND(H_Direct=0,H_TaxEvt=1),IF(ASG76+1&gt;=H_Deemed,0,ASG76+1),ASG76)</f>
        <v>0</v>
      </c>
      <c r="ASH77" s="20" t="n">
        <f aca="false">IF(AND(H_Direct=0,H_TaxEvt=1),IF(ASH76+1&gt;=H_Deemed,0,ASH76+1),ASH76)</f>
        <v>7</v>
      </c>
      <c r="ASI77" s="20" t="n">
        <f aca="false">IF(AND(H_Direct=0,H_TaxEvt=1),IF(ASI76+1&gt;=H_Deemed,0,ASI76+1),ASI76)</f>
        <v>6</v>
      </c>
      <c r="ASJ77" s="20" t="n">
        <f aca="false">IF(AND(H_Direct=0,H_TaxEvt=1),IF(ASJ76+1&gt;=H_Deemed,0,ASJ76+1),ASJ76)</f>
        <v>5</v>
      </c>
      <c r="ASK77" s="20" t="n">
        <f aca="false">IF(AND(H_Direct=0,H_TaxEvt=1),IF(ASK76+1&gt;=H_Deemed,0,ASK76+1),ASK76)</f>
        <v>4</v>
      </c>
      <c r="ASL77" s="20" t="n">
        <f aca="false">IF(AND(H_Direct=0,H_TaxEvt=1),IF(ASL76+1&gt;=H_Deemed,0,ASL76+1),ASL76)</f>
        <v>3</v>
      </c>
      <c r="ASM77" s="20" t="n">
        <f aca="false">IF(AND(H_Direct=0,H_TaxEvt=1),IF(ASM76+1&gt;=H_Deemed,0,ASM76+1),ASM76)</f>
        <v>2</v>
      </c>
      <c r="ASN77" s="20" t="n">
        <f aca="false">IF(AND(H_Direct=0,H_TaxEvt=1),IF(ASN76+1&gt;=H_Deemed,0,ASN76+1),ASN76)</f>
        <v>1</v>
      </c>
      <c r="ASO77" s="20" t="n">
        <f aca="false">IF(AND(H_Direct=0,H_TaxEvt=1),IF(ASO76+1&gt;=H_Deemed,0,ASO76+1),ASO76)</f>
        <v>0</v>
      </c>
      <c r="ASP77" s="20" t="n">
        <f aca="false">IF(AND(H_Direct=0,H_TaxEvt=1),IF(ASP76+1&gt;=H_Deemed,0,ASP76+1),ASP76)</f>
        <v>7</v>
      </c>
      <c r="ASQ77" s="20" t="n">
        <f aca="false">IF(AND(H_Direct=0,H_TaxEvt=1),IF(ASQ76+1&gt;=H_Deemed,0,ASQ76+1),ASQ76)</f>
        <v>6</v>
      </c>
      <c r="ASR77" s="20" t="n">
        <f aca="false">IF(AND(H_Direct=0,H_TaxEvt=1),IF(ASR76+1&gt;=H_Deemed,0,ASR76+1),ASR76)</f>
        <v>5</v>
      </c>
      <c r="ASS77" s="20" t="n">
        <f aca="false">IF(AND(H_Direct=0,H_TaxEvt=1),IF(ASS76+1&gt;=H_Deemed,0,ASS76+1),ASS76)</f>
        <v>4</v>
      </c>
      <c r="AST77" s="20" t="n">
        <f aca="false">IF(AND(H_Direct=0,H_TaxEvt=1),IF(AST76+1&gt;=H_Deemed,0,AST76+1),AST76)</f>
        <v>3</v>
      </c>
      <c r="ASU77" s="20" t="n">
        <f aca="false">IF(AND(H_Direct=0,H_TaxEvt=1),IF(ASU76+1&gt;=H_Deemed,0,ASU76+1),ASU76)</f>
        <v>2</v>
      </c>
      <c r="ASV77" s="20" t="n">
        <f aca="false">IF(AND(H_Direct=0,H_TaxEvt=1),IF(ASV76+1&gt;=H_Deemed,0,ASV76+1),ASV76)</f>
        <v>1</v>
      </c>
      <c r="ASW77" s="20" t="n">
        <f aca="false">IF(AND(H_Direct=0,H_TaxEvt=1),IF(ASW76+1&gt;=H_Deemed,0,ASW76+1),ASW76)</f>
        <v>0</v>
      </c>
      <c r="ASX77" s="20" t="n">
        <f aca="false">IF(AND(H_Direct=0,H_TaxEvt=1),IF(ASX76+1&gt;=H_Deemed,0,ASX76+1),ASX76)</f>
        <v>7</v>
      </c>
      <c r="ASY77" s="20" t="n">
        <f aca="false">IF(AND(H_Direct=0,H_TaxEvt=1),IF(ASY76+1&gt;=H_Deemed,0,ASY76+1),ASY76)</f>
        <v>6</v>
      </c>
      <c r="ASZ77" s="20" t="n">
        <f aca="false">IF(AND(H_Direct=0,H_TaxEvt=1),IF(ASZ76+1&gt;=H_Deemed,0,ASZ76+1),ASZ76)</f>
        <v>5</v>
      </c>
      <c r="ATA77" s="20" t="n">
        <f aca="false">IF(AND(H_Direct=0,H_TaxEvt=1),IF(ATA76+1&gt;=H_Deemed,0,ATA76+1),ATA76)</f>
        <v>4</v>
      </c>
      <c r="ATB77" s="20" t="n">
        <f aca="false">IF(AND(H_Direct=0,H_TaxEvt=1),IF(ATB76+1&gt;=H_Deemed,0,ATB76+1),ATB76)</f>
        <v>3</v>
      </c>
      <c r="ATC77" s="20" t="n">
        <f aca="false">IF(AND(H_Direct=0,H_TaxEvt=1),IF(ATC76+1&gt;=H_Deemed,0,ATC76+1),ATC76)</f>
        <v>2</v>
      </c>
      <c r="ATD77" s="20" t="n">
        <f aca="false">IF(AND(H_Direct=0,H_TaxEvt=1),IF(ATD76+1&gt;=H_Deemed,0,ATD76+1),ATD76)</f>
        <v>1</v>
      </c>
      <c r="ATE77" s="20" t="n">
        <f aca="false">IF(AND(H_Direct=0,H_TaxEvt=1),IF(ATE76+1&gt;=H_Deemed,0,ATE76+1),ATE76)</f>
        <v>0</v>
      </c>
      <c r="ATF77" s="20" t="n">
        <f aca="false">IF(AND(H_Direct=0,H_TaxEvt=1),IF(ATF76+1&gt;=H_Deemed,0,ATF76+1),ATF76)</f>
        <v>7</v>
      </c>
      <c r="ATG77" s="20" t="n">
        <f aca="false">IF(AND(H_Direct=0,H_TaxEvt=1),IF(ATG76+1&gt;=H_Deemed,0,ATG76+1),ATG76)</f>
        <v>6</v>
      </c>
      <c r="ATH77" s="20" t="n">
        <f aca="false">IF(AND(H_Direct=0,H_TaxEvt=1),IF(ATH76+1&gt;=H_Deemed,0,ATH76+1),ATH76)</f>
        <v>5</v>
      </c>
      <c r="ATI77" s="20" t="n">
        <f aca="false">IF(AND(H_Direct=0,H_TaxEvt=1),IF(ATI76+1&gt;=H_Deemed,0,ATI76+1),ATI76)</f>
        <v>4</v>
      </c>
      <c r="ATJ77" s="20" t="n">
        <f aca="false">IF(AND(H_Direct=0,H_TaxEvt=1),IF(ATJ76+1&gt;=H_Deemed,0,ATJ76+1),ATJ76)</f>
        <v>3</v>
      </c>
      <c r="ATK77" s="20" t="n">
        <f aca="false">IF(AND(H_Direct=0,H_TaxEvt=1),IF(ATK76+1&gt;=H_Deemed,0,ATK76+1),ATK76)</f>
        <v>2</v>
      </c>
      <c r="ATL77" s="20" t="n">
        <f aca="false">IF(AND(H_Direct=0,H_TaxEvt=1),IF(ATL76+1&gt;=H_Deemed,0,ATL76+1),ATL76)</f>
        <v>1</v>
      </c>
      <c r="ATM77" s="20" t="n">
        <f aca="false">IF(AND(H_Direct=0,H_TaxEvt=1),IF(ATM76+1&gt;=H_Deemed,0,ATM76+1),ATM76)</f>
        <v>0</v>
      </c>
      <c r="ATN77" s="20" t="n">
        <f aca="false">IF(AND(H_Direct=0,H_TaxEvt=1),IF(ATN76+1&gt;=H_Deemed,0,ATN76+1),ATN76)</f>
        <v>7</v>
      </c>
      <c r="ATO77" s="20" t="n">
        <f aca="false">IF(AND(H_Direct=0,H_TaxEvt=1),IF(ATO76+1&gt;=H_Deemed,0,ATO76+1),ATO76)</f>
        <v>6</v>
      </c>
      <c r="ATP77" s="20" t="n">
        <f aca="false">IF(AND(H_Direct=0,H_TaxEvt=1),IF(ATP76+1&gt;=H_Deemed,0,ATP76+1),ATP76)</f>
        <v>5</v>
      </c>
      <c r="ATQ77" s="20" t="n">
        <f aca="false">IF(AND(H_Direct=0,H_TaxEvt=1),IF(ATQ76+1&gt;=H_Deemed,0,ATQ76+1),ATQ76)</f>
        <v>4</v>
      </c>
      <c r="ATR77" s="20" t="n">
        <f aca="false">IF(AND(H_Direct=0,H_TaxEvt=1),IF(ATR76+1&gt;=H_Deemed,0,ATR76+1),ATR76)</f>
        <v>3</v>
      </c>
      <c r="ATS77" s="20" t="n">
        <f aca="false">IF(AND(H_Direct=0,H_TaxEvt=1),IF(ATS76+1&gt;=H_Deemed,0,ATS76+1),ATS76)</f>
        <v>2</v>
      </c>
      <c r="ATT77" s="20" t="n">
        <f aca="false">IF(AND(H_Direct=0,H_TaxEvt=1),IF(ATT76+1&gt;=H_Deemed,0,ATT76+1),ATT76)</f>
        <v>1</v>
      </c>
      <c r="ATU77" s="20" t="n">
        <f aca="false">IF(AND(H_Direct=0,H_TaxEvt=1),IF(ATU76+1&gt;=H_Deemed,0,ATU76+1),ATU76)</f>
        <v>0</v>
      </c>
      <c r="ATV77" s="20" t="n">
        <f aca="false">IF(AND(H_Direct=0,H_TaxEvt=1),IF(ATV76+1&gt;=H_Deemed,0,ATV76+1),ATV76)</f>
        <v>7</v>
      </c>
      <c r="ATW77" s="20" t="n">
        <f aca="false">IF(AND(H_Direct=0,H_TaxEvt=1),IF(ATW76+1&gt;=H_Deemed,0,ATW76+1),ATW76)</f>
        <v>6</v>
      </c>
      <c r="ATX77" s="20" t="n">
        <f aca="false">IF(AND(H_Direct=0,H_TaxEvt=1),IF(ATX76+1&gt;=H_Deemed,0,ATX76+1),ATX76)</f>
        <v>5</v>
      </c>
      <c r="ATY77" s="20" t="n">
        <f aca="false">IF(AND(H_Direct=0,H_TaxEvt=1),IF(ATY76+1&gt;=H_Deemed,0,ATY76+1),ATY76)</f>
        <v>4</v>
      </c>
      <c r="ATZ77" s="20" t="n">
        <f aca="false">IF(AND(H_Direct=0,H_TaxEvt=1),IF(ATZ76+1&gt;=H_Deemed,0,ATZ76+1),ATZ76)</f>
        <v>3</v>
      </c>
      <c r="AUA77" s="20" t="n">
        <f aca="false">IF(AND(H_Direct=0,H_TaxEvt=1),IF(AUA76+1&gt;=H_Deemed,0,AUA76+1),AUA76)</f>
        <v>2</v>
      </c>
      <c r="AUB77" s="20" t="n">
        <f aca="false">IF(AND(H_Direct=0,H_TaxEvt=1),IF(AUB76+1&gt;=H_Deemed,0,AUB76+1),AUB76)</f>
        <v>1</v>
      </c>
      <c r="AUC77" s="20" t="n">
        <f aca="false">IF(AND(H_Direct=0,H_TaxEvt=1),IF(AUC76+1&gt;=H_Deemed,0,AUC76+1),AUC76)</f>
        <v>0</v>
      </c>
      <c r="AUD77" s="20" t="n">
        <f aca="false">IF(AND(H_Direct=0,H_TaxEvt=1),IF(AUD76+1&gt;=H_Deemed,0,AUD76+1),AUD76)</f>
        <v>7</v>
      </c>
      <c r="AUE77" s="20" t="n">
        <f aca="false">IF(AND(H_Direct=0,H_TaxEvt=1),IF(AUE76+1&gt;=H_Deemed,0,AUE76+1),AUE76)</f>
        <v>6</v>
      </c>
      <c r="AUF77" s="20" t="n">
        <f aca="false">IF(AND(H_Direct=0,H_TaxEvt=1),IF(AUF76+1&gt;=H_Deemed,0,AUF76+1),AUF76)</f>
        <v>5</v>
      </c>
      <c r="AUG77" s="20" t="n">
        <f aca="false">IF(AND(H_Direct=0,H_TaxEvt=1),IF(AUG76+1&gt;=H_Deemed,0,AUG76+1),AUG76)</f>
        <v>4</v>
      </c>
      <c r="AUH77" s="20" t="n">
        <f aca="false">IF(AND(H_Direct=0,H_TaxEvt=1),IF(AUH76+1&gt;=H_Deemed,0,AUH76+1),AUH76)</f>
        <v>3</v>
      </c>
      <c r="AUI77" s="20" t="n">
        <f aca="false">IF(AND(H_Direct=0,H_TaxEvt=1),IF(AUI76+1&gt;=H_Deemed,0,AUI76+1),AUI76)</f>
        <v>2</v>
      </c>
      <c r="AUJ77" s="20" t="n">
        <f aca="false">IF(AND(H_Direct=0,H_TaxEvt=1),IF(0+1&gt;=H_Deemed,0,0+1),0)</f>
        <v>1</v>
      </c>
      <c r="AUK77" s="20" t="n">
        <v>0</v>
      </c>
      <c r="AUL77" s="20" t="n">
        <v>0</v>
      </c>
      <c r="AUM77" s="20" t="n">
        <v>0</v>
      </c>
      <c r="AUN77" s="20" t="n">
        <v>0</v>
      </c>
      <c r="AUO77" s="20" t="n">
        <v>0</v>
      </c>
      <c r="AUP77" s="20" t="n">
        <v>0</v>
      </c>
      <c r="AUQ77" s="20" t="n">
        <v>0</v>
      </c>
      <c r="AUR77" s="20" t="n">
        <v>0</v>
      </c>
      <c r="AUS77" s="20" t="n">
        <v>0</v>
      </c>
      <c r="AUT77" s="20" t="n">
        <v>0</v>
      </c>
      <c r="AUU77" s="20" t="n">
        <v>0</v>
      </c>
      <c r="AUV77" s="20" t="n">
        <v>0</v>
      </c>
      <c r="AUW77" s="20" t="n">
        <v>0</v>
      </c>
      <c r="AUX77" s="20" t="n">
        <v>0</v>
      </c>
      <c r="AUY77" s="20" t="n">
        <v>0</v>
      </c>
      <c r="AUZ77" s="20" t="n">
        <v>0</v>
      </c>
      <c r="AVA77" s="20" t="n">
        <v>0</v>
      </c>
      <c r="AVB77" s="20" t="n">
        <v>0</v>
      </c>
      <c r="AVC77" s="20" t="n">
        <v>0</v>
      </c>
      <c r="AVD77" s="20" t="n">
        <v>0</v>
      </c>
      <c r="AVE77" s="20" t="n">
        <f aca="false">IF(AND(H_Direct=0,H_TaxEvt=1,ARR76+1&gt;=H_Deemed),MAX(0,ADR77-AHE77)*H_Exit,0)</f>
        <v>0</v>
      </c>
      <c r="AVF77" s="20" t="n">
        <f aca="false">IF(AND(H_Direct=0,H_TaxEvt=1,ARS76+1&gt;=H_Deemed),MAX(0,ADS77-AHF77)*H_Exit,0)</f>
        <v>0</v>
      </c>
      <c r="AVG77" s="20" t="n">
        <f aca="false">IF(AND(H_Direct=0,H_TaxEvt=1,ART76+1&gt;=H_Deemed),MAX(0,ADT77-AHG77)*H_Exit,0)</f>
        <v>0</v>
      </c>
      <c r="AVH77" s="20" t="n">
        <f aca="false">IF(AND(H_Direct=0,H_TaxEvt=1,ARU76+1&gt;=H_Deemed),MAX(0,ADU77-AHH77)*H_Exit,0)</f>
        <v>0</v>
      </c>
      <c r="AVI77" s="20" t="n">
        <f aca="false">IF(AND(H_Direct=0,H_TaxEvt=1,ARV76+1&gt;=H_Deemed),MAX(0,ADV77-AHI77)*H_Exit,0)</f>
        <v>0</v>
      </c>
      <c r="AVJ77" s="20" t="n">
        <f aca="false">IF(AND(H_Direct=0,H_TaxEvt=1,ARW76+1&gt;=H_Deemed),MAX(0,ADW77-AHJ77)*H_Exit,0)</f>
        <v>0</v>
      </c>
      <c r="AVK77" s="20" t="n">
        <f aca="false">IF(AND(H_Direct=0,H_TaxEvt=1,ARX76+1&gt;=H_Deemed),MAX(0,ADX77-AHK77)*H_Exit,0)</f>
        <v>0</v>
      </c>
      <c r="AVL77" s="20" t="n">
        <f aca="false">IF(AND(H_Direct=0,H_TaxEvt=1,ARY76+1&gt;=H_Deemed),MAX(0,ADY77-AHL77)*H_Exit,0)</f>
        <v>0</v>
      </c>
      <c r="AVM77" s="20" t="n">
        <f aca="false">IF(AND(H_Direct=0,H_TaxEvt=1,ARZ76+1&gt;=H_Deemed),MAX(0,ADZ77-AHM77)*H_Exit,0)</f>
        <v>0</v>
      </c>
      <c r="AVN77" s="20" t="n">
        <f aca="false">IF(AND(H_Direct=0,H_TaxEvt=1,ASA76+1&gt;=H_Deemed),MAX(0,AEA77-AHN77)*H_Exit,0)</f>
        <v>0</v>
      </c>
      <c r="AVO77" s="20" t="n">
        <f aca="false">IF(AND(H_Direct=0,H_TaxEvt=1,ASB76+1&gt;=H_Deemed),MAX(0,AEB77-AHO77)*H_Exit,0)</f>
        <v>0</v>
      </c>
      <c r="AVP77" s="20" t="n">
        <f aca="false">IF(AND(H_Direct=0,H_TaxEvt=1,ASC76+1&gt;=H_Deemed),MAX(0,AEC77-AHP77)*H_Exit,0)</f>
        <v>0</v>
      </c>
      <c r="AVQ77" s="20" t="n">
        <f aca="false">IF(AND(H_Direct=0,H_TaxEvt=1,ASD76+1&gt;=H_Deemed),MAX(0,AED77-AHQ77)*H_Exit,0)</f>
        <v>0</v>
      </c>
      <c r="AVR77" s="20" t="n">
        <f aca="false">IF(AND(H_Direct=0,H_TaxEvt=1,ASE76+1&gt;=H_Deemed),MAX(0,AEE77-AHR77)*H_Exit,0)</f>
        <v>0</v>
      </c>
      <c r="AVS77" s="20" t="n">
        <f aca="false">IF(AND(H_Direct=0,H_TaxEvt=1,ASF76+1&gt;=H_Deemed),MAX(0,AEF77-AHS77)*H_Exit,0)</f>
        <v>0</v>
      </c>
      <c r="AVT77" s="20" t="n">
        <f aca="false">IF(AND(H_Direct=0,H_TaxEvt=1,ASG76+1&gt;=H_Deemed),MAX(0,AEG77-AHT77)*H_Exit,0)</f>
        <v>0</v>
      </c>
      <c r="AVU77" s="20" t="n">
        <f aca="false">IF(AND(H_Direct=0,H_TaxEvt=1,ASH76+1&gt;=H_Deemed),MAX(0,AEH77-AHU77)*H_Exit,0)</f>
        <v>0</v>
      </c>
      <c r="AVV77" s="20" t="n">
        <f aca="false">IF(AND(H_Direct=0,H_TaxEvt=1,ASI76+1&gt;=H_Deemed),MAX(0,AEI77-AHV77)*H_Exit,0)</f>
        <v>0</v>
      </c>
      <c r="AVW77" s="20" t="n">
        <f aca="false">IF(AND(H_Direct=0,H_TaxEvt=1,ASJ76+1&gt;=H_Deemed),MAX(0,AEJ77-AHW77)*H_Exit,0)</f>
        <v>0</v>
      </c>
      <c r="AVX77" s="20" t="n">
        <f aca="false">IF(AND(H_Direct=0,H_TaxEvt=1,ASK76+1&gt;=H_Deemed),MAX(0,AEK77-AHX77)*H_Exit,0)</f>
        <v>0</v>
      </c>
      <c r="AVY77" s="20" t="n">
        <f aca="false">IF(AND(H_Direct=0,H_TaxEvt=1,ASL76+1&gt;=H_Deemed),MAX(0,AEL77-AHY77)*H_Exit,0)</f>
        <v>0</v>
      </c>
      <c r="AVZ77" s="20" t="n">
        <f aca="false">IF(AND(H_Direct=0,H_TaxEvt=1,ASM76+1&gt;=H_Deemed),MAX(0,AEM77-AHZ77)*H_Exit,0)</f>
        <v>0</v>
      </c>
      <c r="AWA77" s="20" t="n">
        <f aca="false">IF(AND(H_Direct=0,H_TaxEvt=1,ASN76+1&gt;=H_Deemed),MAX(0,AEN77-AIA77)*H_Exit,0)</f>
        <v>0</v>
      </c>
      <c r="AWB77" s="20" t="n">
        <f aca="false">IF(AND(H_Direct=0,H_TaxEvt=1,ASO76+1&gt;=H_Deemed),MAX(0,AEO77-AIB77)*H_Exit,0)</f>
        <v>0</v>
      </c>
      <c r="AWC77" s="20" t="n">
        <f aca="false">IF(AND(H_Direct=0,H_TaxEvt=1,ASP76+1&gt;=H_Deemed),MAX(0,AEP77-AIC77)*H_Exit,0)</f>
        <v>0</v>
      </c>
      <c r="AWD77" s="20" t="n">
        <f aca="false">IF(AND(H_Direct=0,H_TaxEvt=1,ASQ76+1&gt;=H_Deemed),MAX(0,AEQ77-AID77)*H_Exit,0)</f>
        <v>0</v>
      </c>
      <c r="AWE77" s="20" t="n">
        <f aca="false">IF(AND(H_Direct=0,H_TaxEvt=1,ASR76+1&gt;=H_Deemed),MAX(0,AER77-AIE77)*H_Exit,0)</f>
        <v>0</v>
      </c>
      <c r="AWF77" s="20" t="n">
        <f aca="false">IF(AND(H_Direct=0,H_TaxEvt=1,ASS76+1&gt;=H_Deemed),MAX(0,AES77-AIF77)*H_Exit,0)</f>
        <v>0</v>
      </c>
      <c r="AWG77" s="20" t="n">
        <f aca="false">IF(AND(H_Direct=0,H_TaxEvt=1,AST76+1&gt;=H_Deemed),MAX(0,AET77-AIG77)*H_Exit,0)</f>
        <v>0</v>
      </c>
      <c r="AWH77" s="20" t="n">
        <f aca="false">IF(AND(H_Direct=0,H_TaxEvt=1,ASU76+1&gt;=H_Deemed),MAX(0,AEU77-AIH77)*H_Exit,0)</f>
        <v>0</v>
      </c>
      <c r="AWI77" s="20" t="n">
        <f aca="false">IF(AND(H_Direct=0,H_TaxEvt=1,ASV76+1&gt;=H_Deemed),MAX(0,AEV77-AII77)*H_Exit,0)</f>
        <v>0</v>
      </c>
      <c r="AWJ77" s="20" t="n">
        <f aca="false">IF(AND(H_Direct=0,H_TaxEvt=1,ASW76+1&gt;=H_Deemed),MAX(0,AEW77-AIJ77)*H_Exit,0)</f>
        <v>0</v>
      </c>
      <c r="AWK77" s="20" t="n">
        <f aca="false">IF(AND(H_Direct=0,H_TaxEvt=1,ASX76+1&gt;=H_Deemed),MAX(0,AEX77-AIK77)*H_Exit,0)</f>
        <v>0</v>
      </c>
      <c r="AWL77" s="20" t="n">
        <f aca="false">IF(AND(H_Direct=0,H_TaxEvt=1,ASY76+1&gt;=H_Deemed),MAX(0,AEY77-AIL77)*H_Exit,0)</f>
        <v>0</v>
      </c>
      <c r="AWM77" s="20" t="n">
        <f aca="false">IF(AND(H_Direct=0,H_TaxEvt=1,ASZ76+1&gt;=H_Deemed),MAX(0,AEZ77-AIM77)*H_Exit,0)</f>
        <v>0</v>
      </c>
      <c r="AWN77" s="20" t="n">
        <f aca="false">IF(AND(H_Direct=0,H_TaxEvt=1,ATA76+1&gt;=H_Deemed),MAX(0,AFA77-AIN77)*H_Exit,0)</f>
        <v>0</v>
      </c>
      <c r="AWO77" s="20" t="n">
        <f aca="false">IF(AND(H_Direct=0,H_TaxEvt=1,ATB76+1&gt;=H_Deemed),MAX(0,AFB77-AIO77)*H_Exit,0)</f>
        <v>0</v>
      </c>
      <c r="AWP77" s="20" t="n">
        <f aca="false">IF(AND(H_Direct=0,H_TaxEvt=1,ATC76+1&gt;=H_Deemed),MAX(0,AFC77-AIP77)*H_Exit,0)</f>
        <v>0</v>
      </c>
      <c r="AWQ77" s="20" t="n">
        <f aca="false">IF(AND(H_Direct=0,H_TaxEvt=1,ATD76+1&gt;=H_Deemed),MAX(0,AFD77-AIQ77)*H_Exit,0)</f>
        <v>0</v>
      </c>
      <c r="AWR77" s="20" t="n">
        <f aca="false">IF(AND(H_Direct=0,H_TaxEvt=1,ATE76+1&gt;=H_Deemed),MAX(0,AFE77-AIR77)*H_Exit,0)</f>
        <v>0</v>
      </c>
      <c r="AWS77" s="20" t="n">
        <f aca="false">IF(AND(H_Direct=0,H_TaxEvt=1,ATF76+1&gt;=H_Deemed),MAX(0,AFF77-AIS77)*H_Exit,0)</f>
        <v>0</v>
      </c>
      <c r="AWT77" s="20" t="n">
        <f aca="false">IF(AND(H_Direct=0,H_TaxEvt=1,ATG76+1&gt;=H_Deemed),MAX(0,AFG77-AIT77)*H_Exit,0)</f>
        <v>0</v>
      </c>
      <c r="AWU77" s="20" t="n">
        <f aca="false">IF(AND(H_Direct=0,H_TaxEvt=1,ATH76+1&gt;=H_Deemed),MAX(0,AFH77-AIU77)*H_Exit,0)</f>
        <v>0</v>
      </c>
      <c r="AWV77" s="20" t="n">
        <f aca="false">IF(AND(H_Direct=0,H_TaxEvt=1,ATI76+1&gt;=H_Deemed),MAX(0,AFI77-AIV77)*H_Exit,0)</f>
        <v>0</v>
      </c>
      <c r="AWW77" s="20" t="n">
        <f aca="false">IF(AND(H_Direct=0,H_TaxEvt=1,ATJ76+1&gt;=H_Deemed),MAX(0,AFJ77-AIW77)*H_Exit,0)</f>
        <v>0</v>
      </c>
      <c r="AWX77" s="20" t="n">
        <f aca="false">IF(AND(H_Direct=0,H_TaxEvt=1,ATK76+1&gt;=H_Deemed),MAX(0,AFK77-AIX77)*H_Exit,0)</f>
        <v>0</v>
      </c>
      <c r="AWY77" s="20" t="n">
        <f aca="false">IF(AND(H_Direct=0,H_TaxEvt=1,ATL76+1&gt;=H_Deemed),MAX(0,AFL77-AIY77)*H_Exit,0)</f>
        <v>0</v>
      </c>
      <c r="AWZ77" s="20" t="n">
        <f aca="false">IF(AND(H_Direct=0,H_TaxEvt=1,ATM76+1&gt;=H_Deemed),MAX(0,AFM77-AIZ77)*H_Exit,0)</f>
        <v>0</v>
      </c>
      <c r="AXA77" s="20" t="n">
        <f aca="false">IF(AND(H_Direct=0,H_TaxEvt=1,ATN76+1&gt;=H_Deemed),MAX(0,AFN77-AJA77)*H_Exit,0)</f>
        <v>0</v>
      </c>
      <c r="AXB77" s="20" t="n">
        <f aca="false">IF(AND(H_Direct=0,H_TaxEvt=1,ATO76+1&gt;=H_Deemed),MAX(0,AFO77-AJB77)*H_Exit,0)</f>
        <v>0</v>
      </c>
      <c r="AXC77" s="20" t="n">
        <f aca="false">IF(AND(H_Direct=0,H_TaxEvt=1,ATP76+1&gt;=H_Deemed),MAX(0,AFP77-AJC77)*H_Exit,0)</f>
        <v>0</v>
      </c>
      <c r="AXD77" s="20" t="n">
        <f aca="false">IF(AND(H_Direct=0,H_TaxEvt=1,ATQ76+1&gt;=H_Deemed),MAX(0,AFQ77-AJD77)*H_Exit,0)</f>
        <v>0</v>
      </c>
      <c r="AXE77" s="20" t="n">
        <f aca="false">IF(AND(H_Direct=0,H_TaxEvt=1,ATR76+1&gt;=H_Deemed),MAX(0,AFR77-AJE77)*H_Exit,0)</f>
        <v>0</v>
      </c>
      <c r="AXF77" s="20" t="n">
        <f aca="false">IF(AND(H_Direct=0,H_TaxEvt=1,ATS76+1&gt;=H_Deemed),MAX(0,AFS77-AJF77)*H_Exit,0)</f>
        <v>0</v>
      </c>
      <c r="AXG77" s="20" t="n">
        <f aca="false">IF(AND(H_Direct=0,H_TaxEvt=1,ATT76+1&gt;=H_Deemed),MAX(0,AFT77-AJG77)*H_Exit,0)</f>
        <v>0</v>
      </c>
      <c r="AXH77" s="20" t="n">
        <f aca="false">IF(AND(H_Direct=0,H_TaxEvt=1,ATU76+1&gt;=H_Deemed),MAX(0,AFU77-AJH77)*H_Exit,0)</f>
        <v>0</v>
      </c>
      <c r="AXI77" s="20" t="n">
        <f aca="false">IF(AND(H_Direct=0,H_TaxEvt=1,ATV76+1&gt;=H_Deemed),MAX(0,AFV77-AJI77)*H_Exit,0)</f>
        <v>0</v>
      </c>
      <c r="AXJ77" s="20" t="n">
        <f aca="false">IF(AND(H_Direct=0,H_TaxEvt=1,ATW76+1&gt;=H_Deemed),MAX(0,AFW77-AJJ77)*H_Exit,0)</f>
        <v>0</v>
      </c>
      <c r="AXK77" s="20" t="n">
        <f aca="false">IF(AND(H_Direct=0,H_TaxEvt=1,ATX76+1&gt;=H_Deemed),MAX(0,AFX77-AJK77)*H_Exit,0)</f>
        <v>0</v>
      </c>
      <c r="AXL77" s="20" t="n">
        <f aca="false">IF(AND(H_Direct=0,H_TaxEvt=1,ATY76+1&gt;=H_Deemed),MAX(0,AFY77-AJL77)*H_Exit,0)</f>
        <v>0</v>
      </c>
      <c r="AXM77" s="20" t="n">
        <f aca="false">IF(AND(H_Direct=0,H_TaxEvt=1,ATZ76+1&gt;=H_Deemed),MAX(0,AFZ77-AJM77)*H_Exit,0)</f>
        <v>0</v>
      </c>
      <c r="AXN77" s="20" t="n">
        <f aca="false">IF(AND(H_Direct=0,H_TaxEvt=1,AUA76+1&gt;=H_Deemed),MAX(0,AGA77-AJN77)*H_Exit,0)</f>
        <v>0</v>
      </c>
      <c r="AXO77" s="20" t="n">
        <f aca="false">IF(AND(H_Direct=0,H_TaxEvt=1,AUB76+1&gt;=H_Deemed),MAX(0,AGB77-AJO77)*H_Exit,0)</f>
        <v>0</v>
      </c>
      <c r="AXP77" s="20" t="n">
        <f aca="false">IF(AND(H_Direct=0,H_TaxEvt=1,AUC76+1&gt;=H_Deemed),MAX(0,AGC77-AJP77)*H_Exit,0)</f>
        <v>0</v>
      </c>
      <c r="AXQ77" s="20" t="n">
        <f aca="false">IF(AND(H_Direct=0,H_TaxEvt=1,AUD76+1&gt;=H_Deemed),MAX(0,AGD77-AJQ77)*H_Exit,0)</f>
        <v>0</v>
      </c>
      <c r="AXR77" s="20" t="n">
        <f aca="false">IF(AND(H_Direct=0,H_TaxEvt=1,AUE76+1&gt;=H_Deemed),MAX(0,AGE77-AJR77)*H_Exit,0)</f>
        <v>0</v>
      </c>
      <c r="AXS77" s="20" t="n">
        <f aca="false">IF(AND(H_Direct=0,H_TaxEvt=1,AUF76+1&gt;=H_Deemed),MAX(0,AGF77-AJS77)*H_Exit,0)</f>
        <v>0</v>
      </c>
      <c r="AXT77" s="20" t="n">
        <f aca="false">IF(AND(H_Direct=0,H_TaxEvt=1,AUG76+1&gt;=H_Deemed),MAX(0,AGG77-AJT77)*H_Exit,0)</f>
        <v>0</v>
      </c>
      <c r="AXU77" s="20" t="n">
        <f aca="false">IF(AND(H_Direct=0,H_TaxEvt=1,AUH76+1&gt;=H_Deemed),MAX(0,AGH77-AJU77)*H_Exit,0)</f>
        <v>0</v>
      </c>
      <c r="AXV77" s="20" t="n">
        <f aca="false">IF(AND(H_Direct=0,H_TaxEvt=1,AUI76+1&gt;=H_Deemed),MAX(0,AGI77-AJV77)*H_Exit,0)</f>
        <v>0</v>
      </c>
      <c r="AXW77" s="20" t="n">
        <f aca="false">IF(AND(H_Direct=0,H_TaxEvt=1,0+1&gt;=H_Deemed),MAX(0,AGJ77-AJW77)*H_Exit,0)</f>
        <v>0</v>
      </c>
      <c r="AXX77" s="20" t="n">
        <v>0</v>
      </c>
      <c r="AXY77" s="20" t="n">
        <v>0</v>
      </c>
      <c r="AXZ77" s="20" t="n">
        <v>0</v>
      </c>
      <c r="AYA77" s="20" t="n">
        <v>0</v>
      </c>
      <c r="AYB77" s="20" t="n">
        <v>0</v>
      </c>
      <c r="AYC77" s="20" t="n">
        <v>0</v>
      </c>
      <c r="AYD77" s="20" t="n">
        <v>0</v>
      </c>
      <c r="AYE77" s="20" t="n">
        <v>0</v>
      </c>
      <c r="AYF77" s="20" t="n">
        <v>0</v>
      </c>
      <c r="AYG77" s="20" t="n">
        <v>0</v>
      </c>
      <c r="AYH77" s="20" t="n">
        <v>0</v>
      </c>
      <c r="AYI77" s="20" t="n">
        <v>0</v>
      </c>
      <c r="AYJ77" s="20" t="n">
        <v>0</v>
      </c>
      <c r="AYK77" s="20" t="n">
        <v>0</v>
      </c>
      <c r="AYL77" s="20" t="n">
        <v>0</v>
      </c>
      <c r="AYM77" s="20" t="n">
        <v>0</v>
      </c>
      <c r="AYN77" s="20" t="n">
        <v>0</v>
      </c>
      <c r="AYO77" s="20" t="n">
        <v>0</v>
      </c>
      <c r="AYP77" s="20" t="n">
        <v>0</v>
      </c>
      <c r="AYQ77" s="20" t="n">
        <v>0</v>
      </c>
    </row>
    <row r="78" customFormat="false" ht="15" hidden="false" customHeight="false" outlineLevel="0" collapsed="false">
      <c r="B78" s="20" t="n">
        <v>70</v>
      </c>
      <c r="C78" s="20" t="n">
        <f aca="false">'Plan cashflow'!C78</f>
        <v>0</v>
      </c>
      <c r="D78" s="20" t="n">
        <f aca="false">'Plan cashflow'!D78</f>
        <v>108</v>
      </c>
      <c r="E78" s="20" t="n">
        <f aca="false">AS_Year0+70</f>
        <v>2096</v>
      </c>
      <c r="F78" s="50" t="n">
        <f aca="false">'Plan cashflow'!F78</f>
        <v>3.99955822284844</v>
      </c>
      <c r="G78" s="59" t="n">
        <f aca="true">IF(MAX(TODAY(),DATE(E78,1,1))&gt;=H_CGTfrom,H_CGT1,H_CGT0)</f>
        <v>0.31</v>
      </c>
      <c r="H78" s="20" t="n">
        <f aca="false">H_Exempt*H_Persons</f>
        <v>1270</v>
      </c>
      <c r="I78" s="20" t="n">
        <f aca="false">AX77</f>
        <v>0</v>
      </c>
      <c r="J78" s="60" t="n">
        <f aca="false">BF77</f>
        <v>0</v>
      </c>
      <c r="K78" s="60" t="n">
        <f aca="false">BG77</f>
        <v>0</v>
      </c>
      <c r="L78" s="20" t="n">
        <f aca="false">IF(AND(In_polLump&gt;0,In_polLumpAge&gt;0,D78=In_polLumpAge),In_polLump,0)</f>
        <v>0</v>
      </c>
      <c r="M78" s="20" t="n">
        <f aca="false">IF(AND(In_homeUse="Yes, I'd downsize",In_downAge&gt;0,D78=In_downAge,OR(In_home="Own outright",In_home="Own with mortgage"),In_homeValue&gt;0),MAX(0,MAX(0,In_homeValue-In_downValue)*F78*0.9-'Plan cashflow'!HR77),0)</f>
        <v>0</v>
      </c>
      <c r="N78" s="20" t="n">
        <f aca="false">'Plan pay &amp; tax'!Y304</f>
        <v>0</v>
      </c>
      <c r="O78" s="20" t="n">
        <f aca="false">L78+M78+(1-H_Sh)*N78</f>
        <v>0</v>
      </c>
      <c r="P78" s="20" t="n">
        <f aca="false">H_Sh*N78</f>
        <v>0</v>
      </c>
      <c r="Q78" s="20" t="n">
        <f aca="false">'Plan cashflow'!UL78</f>
        <v>0</v>
      </c>
      <c r="R78" s="20" t="n">
        <f aca="false">(1-H_Sh)*Q78</f>
        <v>0</v>
      </c>
      <c r="S78" s="20" t="n">
        <f aca="false">H_Sh*Q78</f>
        <v>0</v>
      </c>
      <c r="T78" s="20" t="n">
        <f aca="false">J78+K78+O78</f>
        <v>0</v>
      </c>
      <c r="U78" s="20" t="n">
        <f aca="false">T78+R78</f>
        <v>0</v>
      </c>
      <c r="V78" s="60" t="n">
        <f aca="false">SUM(FE78:IQ78)</f>
        <v>0</v>
      </c>
      <c r="W78" s="60" t="n">
        <f aca="false">IF(AJ78&lt;=0,0,IF(AL78&lt;=0,AJ78,AJ78-G78*MAX(0,AL78*AJ78-(AY78+AZ78))))</f>
        <v>0</v>
      </c>
      <c r="X78" s="60" t="n">
        <f aca="false">IF(AR78&lt;=0,0,IF(AT78&lt;=0,AR78,AR78-G78*MAX(0,AT78*AR78-(BA78+BB78))))</f>
        <v>0</v>
      </c>
      <c r="Y78" s="60" t="n">
        <f aca="false">T78+V78-S78+W78+X78</f>
        <v>0</v>
      </c>
      <c r="Z78" s="60" t="n">
        <f aca="false">'Plan cashflow'!UK78</f>
        <v>0</v>
      </c>
      <c r="AA78" s="20" t="n">
        <f aca="false">MIN(Z78,U78)</f>
        <v>0</v>
      </c>
      <c r="AB78" s="20" t="n">
        <f aca="false">Z78-AA78</f>
        <v>0</v>
      </c>
      <c r="AC78" s="20" t="n">
        <f aca="false">MIN(AA78,J78+O78+R78)</f>
        <v>0</v>
      </c>
      <c r="AD78" s="20" t="n">
        <f aca="false">AA78-AC78</f>
        <v>0</v>
      </c>
      <c r="AE78" s="20" t="n">
        <f aca="false">J78+O78+R78-AC78</f>
        <v>0</v>
      </c>
      <c r="AF78" s="20" t="n">
        <f aca="false">K78-AD78</f>
        <v>0</v>
      </c>
      <c r="AG78" s="20" t="n">
        <f aca="false">SUM(PR78:TD78)</f>
        <v>0</v>
      </c>
      <c r="AH78" s="20" t="n">
        <f aca="false">SUM(TE78:WQ78)</f>
        <v>0</v>
      </c>
      <c r="AI78" s="20" t="n">
        <f aca="false">MAX(0,AB78-AG78)</f>
        <v>0</v>
      </c>
      <c r="AJ78" s="57" t="n">
        <f aca="false">BI77</f>
        <v>0</v>
      </c>
      <c r="AK78" s="20" t="n">
        <f aca="false">BJ77</f>
        <v>0</v>
      </c>
      <c r="AL78" s="20" t="n">
        <f aca="false">IF(AJ78&gt;0,(AJ78-AK78)/AJ78,0)</f>
        <v>0</v>
      </c>
      <c r="AM78" s="20" t="n">
        <f aca="false">IF(AJ78&lt;=0,0,IF(AL78&lt;=0,MIN(AI78,AJ78),MIN(AI78,AJ78-G78*MAX(0,AL78*AJ78-(AAD78+ADQ78)))))</f>
        <v>0</v>
      </c>
      <c r="AN78" s="20" t="n">
        <f aca="false">IF(AJ78&lt;=0,0,IF(AL78&lt;=0,AM78,IF(AM78&lt;=(AAD78+ADQ78)/AL78,AM78,(AM78-G78*(AAD78+ADQ78))/(1-G78*AL78))))</f>
        <v>0</v>
      </c>
      <c r="AO78" s="20" t="n">
        <f aca="false">IF(AL78&gt;0,MAX(0,AAD78-(MIN(AL78*AN78,(AAD78+ADQ78))-MIN(MIN(AL78*AN78,(AAD78+ADQ78)),ADQ78))),AAD78)</f>
        <v>1270</v>
      </c>
      <c r="AP78" s="20" t="n">
        <f aca="false">IF(AL78&lt;=0,ADQ78-AL78*AN78,ADQ78-MIN(MIN(AL78*AN78,(AAD78+ADQ78)),ADQ78))</f>
        <v>0</v>
      </c>
      <c r="AQ78" s="20" t="n">
        <f aca="false">MAX(0,AI78-AM78)</f>
        <v>0</v>
      </c>
      <c r="AR78" s="57" t="n">
        <f aca="false">BK77</f>
        <v>0</v>
      </c>
      <c r="AS78" s="20" t="n">
        <f aca="false">BL77</f>
        <v>0</v>
      </c>
      <c r="AT78" s="20" t="n">
        <f aca="false">IF(AR78&gt;0,(AR78-AS78)/AR78,0)</f>
        <v>0</v>
      </c>
      <c r="AU78" s="20" t="n">
        <f aca="false">IF(AR78&lt;=0,0,IF(AT78&lt;=0,MIN(AQ78,AR78),MIN(AQ78,AR78-G78*MAX(0,AT78*AR78-(AO78+AP78)))))</f>
        <v>0</v>
      </c>
      <c r="AV78" s="20" t="n">
        <f aca="false">IF(AR78&lt;=0,0,IF(AT78&lt;=0,AU78,IF(AU78&lt;=(AO78+AP78)/AT78,AU78,(AU78-G78*(AO78+AP78))/(1-G78*AT78))))</f>
        <v>0</v>
      </c>
      <c r="AW78" s="20" t="n">
        <f aca="false">IF(AT78&gt;0,MAX(0,AO78-(MIN(AT78*AV78,(AO78+AP78))-MIN(MIN(AT78*AV78,(AO78+AP78)),AP78))),AO78)</f>
        <v>1270</v>
      </c>
      <c r="AX78" s="20" t="n">
        <f aca="false">IF(AT78&lt;=0,AP78-AT78*AV78,AP78-MIN(MIN(AT78*AV78,(AO78+AP78)),AP78))</f>
        <v>0</v>
      </c>
      <c r="AY78" s="20" t="n">
        <f aca="false">MD78</f>
        <v>1270</v>
      </c>
      <c r="AZ78" s="20" t="n">
        <f aca="false">PQ78</f>
        <v>0</v>
      </c>
      <c r="BA78" s="20" t="n">
        <f aca="false">IF(AL78&gt;0,MAX(0,AY78-(MIN(AL78*AJ78,AY78+AZ78)-MIN(MIN(AL78*AJ78,AY78+AZ78),AZ78))),AY78)</f>
        <v>1270</v>
      </c>
      <c r="BB78" s="20" t="n">
        <f aca="false">IF(AL78&lt;=0,AZ78-AL78*AJ78,AZ78-MIN(MIN(AL78*AJ78,AY78+AZ78),AZ78))</f>
        <v>0</v>
      </c>
      <c r="BC78" s="20" t="n">
        <f aca="false">'Plan cashflow'!UM78</f>
        <v>0</v>
      </c>
      <c r="BD78" s="20" t="n">
        <f aca="false">(1-H_Sh)*BC78</f>
        <v>0</v>
      </c>
      <c r="BE78" s="20" t="n">
        <f aca="false">H_Sh*BC78</f>
        <v>0</v>
      </c>
      <c r="BF78" s="60" t="n">
        <f aca="false">(AE78+BD78)*(1+AS_Cash)</f>
        <v>0</v>
      </c>
      <c r="BG78" s="60" t="n">
        <f aca="false">AF78*(1+AS_Cash)</f>
        <v>0</v>
      </c>
      <c r="BH78" s="60" t="n">
        <f aca="false">SUM(AKR78:AOD78)</f>
        <v>0</v>
      </c>
      <c r="BI78" s="60" t="n">
        <f aca="false">(AJ78-AN78)*(1+AS_Infl)</f>
        <v>0</v>
      </c>
      <c r="BJ78" s="20" t="n">
        <f aca="false">IF(AJ78&gt;0,AK78-AK78*AN78/AJ78,0)</f>
        <v>0</v>
      </c>
      <c r="BK78" s="60" t="n">
        <f aca="false">(AR78-AV78)*(1+BQ78)</f>
        <v>0</v>
      </c>
      <c r="BL78" s="20" t="n">
        <f aca="false">IF(AR78&gt;0,AS78-AS78*AV78/AR78,0)</f>
        <v>0</v>
      </c>
      <c r="BM78" s="60" t="n">
        <f aca="false">BF78+BG78+BH78+BI78+BK78</f>
        <v>0</v>
      </c>
      <c r="BN78" s="60" t="n">
        <f aca="false">(AH78-AG78)+(AN78-AM78)+(AV78-AU78)</f>
        <v>0</v>
      </c>
      <c r="BO78" s="20" t="n">
        <f aca="false">(AE78+BD78+AF78+MAX(0,'Plan cashflow'!QH78)+IF(Slot1_Rate=AS_Cash,'Plan cashflow'!QM78/(1+AS_Cash),0)+IF(Slot2_Rate=AS_Cash,'Plan cashflow'!QQ78/(1+AS_Cash),0)+IF(Slot3_Rate=AS_Cash,'Plan cashflow'!QU78/(1+AS_Cash),0)+IF(Slot4_Rate=AS_Cash,'Plan cashflow'!QY78/(1+AS_Cash),0)+IF(Slot5_Rate=AS_Cash,'Plan cashflow'!RC78/(1+AS_Cash),0)+IF(Slot6_Rate=AS_Cash,'Plan cashflow'!RG78/(1+AS_Cash),0)+IF(Slot7_Rate=AS_Cash,'Plan cashflow'!RK78/(1+AS_Cash),0)+IF(Slot8_Rate=AS_Cash,'Plan cashflow'!RO78/(1+AS_Cash),0)+IF(Slot9_Rate=AS_Cash,'Plan cashflow'!RS78/(1+AS_Cash),0)+IF(Slot10_Rate=AS_Cash,'Plan cashflow'!RW78/(1+AS_Cash),0)+IF(Slot11_Rate=AS_Cash,'Plan cashflow'!SA78/(1+AS_Cash),0)+IF(Slot12_Rate=AS_Cash,'Plan cashflow'!SE78/(1+AS_Cash),0)+IF(Slot13_Rate=AS_Cash,'Plan cashflow'!SI78/(1+AS_Cash),0)+IF(Slot14_Rate=AS_Cash,'Plan cashflow'!SM78/(1+AS_Cash),0)+IF(Slot15_Rate=AS_Cash,'Plan cashflow'!SQ78/(1+AS_Cash),0)+IF(Slot16_Rate=AS_Cash,'Plan cashflow'!SU78/(1+AS_Cash),0)+IF(Slot17_Rate=AS_Cash,'Plan cashflow'!SY78/(1+AS_Cash),0)+IF(Slot18_Rate=AS_Cash,'Plan cashflow'!TC78/(1+AS_Cash),0)+IF(Slot19_Rate=AS_Cash,'Plan cashflow'!TG78/(1+AS_Cash),0)+IF(Slot20_Rate=AS_Cash,'Plan cashflow'!TK78/(1+AS_Cash),0))*AS_Cash*H_DIRT/(1-H_DIRT)</f>
        <v>0</v>
      </c>
      <c r="BP78" s="60" t="n">
        <f aca="false">SUM(AVE78:AYQ78)</f>
        <v>0</v>
      </c>
      <c r="BQ78" s="54" t="n">
        <f aca="false">IF(H_TaxEvt=1,H_InvG,AS_Inv)</f>
        <v>0.04</v>
      </c>
      <c r="BR78" s="20" t="n">
        <f aca="false">IF(AKR77&gt;0,(AKR77-AOE77)/AKR77,0)</f>
        <v>0</v>
      </c>
      <c r="BS78" s="20" t="n">
        <f aca="false">IF(AKS77&gt;0,(AKS77-AOF77)/AKS77,0)</f>
        <v>0</v>
      </c>
      <c r="BT78" s="20" t="n">
        <f aca="false">IF(AKT77&gt;0,(AKT77-AOG77)/AKT77,0)</f>
        <v>0</v>
      </c>
      <c r="BU78" s="20" t="n">
        <f aca="false">IF(AKU77&gt;0,(AKU77-AOH77)/AKU77,0)</f>
        <v>0</v>
      </c>
      <c r="BV78" s="20" t="n">
        <f aca="false">IF(AKV77&gt;0,(AKV77-AOI77)/AKV77,0)</f>
        <v>0</v>
      </c>
      <c r="BW78" s="20" t="n">
        <f aca="false">IF(AKW77&gt;0,(AKW77-AOJ77)/AKW77,0)</f>
        <v>0</v>
      </c>
      <c r="BX78" s="20" t="n">
        <f aca="false">IF(AKX77&gt;0,(AKX77-AOK77)/AKX77,0)</f>
        <v>0</v>
      </c>
      <c r="BY78" s="20" t="n">
        <f aca="false">IF(AKY77&gt;0,(AKY77-AOL77)/AKY77,0)</f>
        <v>0</v>
      </c>
      <c r="BZ78" s="20" t="n">
        <f aca="false">IF(AKZ77&gt;0,(AKZ77-AOM77)/AKZ77,0)</f>
        <v>0</v>
      </c>
      <c r="CA78" s="20" t="n">
        <f aca="false">IF(ALA77&gt;0,(ALA77-AON77)/ALA77,0)</f>
        <v>0</v>
      </c>
      <c r="CB78" s="20" t="n">
        <f aca="false">IF(ALB77&gt;0,(ALB77-AOO77)/ALB77,0)</f>
        <v>0</v>
      </c>
      <c r="CC78" s="20" t="n">
        <f aca="false">IF(ALC77&gt;0,(ALC77-AOP77)/ALC77,0)</f>
        <v>0</v>
      </c>
      <c r="CD78" s="20" t="n">
        <f aca="false">IF(ALD77&gt;0,(ALD77-AOQ77)/ALD77,0)</f>
        <v>0</v>
      </c>
      <c r="CE78" s="20" t="n">
        <f aca="false">IF(ALE77&gt;0,(ALE77-AOR77)/ALE77,0)</f>
        <v>0</v>
      </c>
      <c r="CF78" s="20" t="n">
        <f aca="false">IF(ALF77&gt;0,(ALF77-AOS77)/ALF77,0)</f>
        <v>0</v>
      </c>
      <c r="CG78" s="20" t="n">
        <f aca="false">IF(ALG77&gt;0,(ALG77-AOT77)/ALG77,0)</f>
        <v>0</v>
      </c>
      <c r="CH78" s="20" t="n">
        <f aca="false">IF(ALH77&gt;0,(ALH77-AOU77)/ALH77,0)</f>
        <v>0</v>
      </c>
      <c r="CI78" s="20" t="n">
        <f aca="false">IF(ALI77&gt;0,(ALI77-AOV77)/ALI77,0)</f>
        <v>0</v>
      </c>
      <c r="CJ78" s="20" t="n">
        <f aca="false">IF(ALJ77&gt;0,(ALJ77-AOW77)/ALJ77,0)</f>
        <v>0</v>
      </c>
      <c r="CK78" s="20" t="n">
        <f aca="false">IF(ALK77&gt;0,(ALK77-AOX77)/ALK77,0)</f>
        <v>0</v>
      </c>
      <c r="CL78" s="20" t="n">
        <f aca="false">IF(ALL77&gt;0,(ALL77-AOY77)/ALL77,0)</f>
        <v>0</v>
      </c>
      <c r="CM78" s="20" t="n">
        <f aca="false">IF(ALM77&gt;0,(ALM77-AOZ77)/ALM77,0)</f>
        <v>0</v>
      </c>
      <c r="CN78" s="20" t="n">
        <f aca="false">IF(ALN77&gt;0,(ALN77-APA77)/ALN77,0)</f>
        <v>0</v>
      </c>
      <c r="CO78" s="20" t="n">
        <f aca="false">IF(ALO77&gt;0,(ALO77-APB77)/ALO77,0)</f>
        <v>0</v>
      </c>
      <c r="CP78" s="20" t="n">
        <f aca="false">IF(ALP77&gt;0,(ALP77-APC77)/ALP77,0)</f>
        <v>0</v>
      </c>
      <c r="CQ78" s="20" t="n">
        <f aca="false">IF(ALQ77&gt;0,(ALQ77-APD77)/ALQ77,0)</f>
        <v>0</v>
      </c>
      <c r="CR78" s="20" t="n">
        <f aca="false">IF(ALR77&gt;0,(ALR77-APE77)/ALR77,0)</f>
        <v>0</v>
      </c>
      <c r="CS78" s="20" t="n">
        <f aca="false">IF(ALS77&gt;0,(ALS77-APF77)/ALS77,0)</f>
        <v>0</v>
      </c>
      <c r="CT78" s="20" t="n">
        <f aca="false">IF(ALT77&gt;0,(ALT77-APG77)/ALT77,0)</f>
        <v>0</v>
      </c>
      <c r="CU78" s="20" t="n">
        <f aca="false">IF(ALU77&gt;0,(ALU77-APH77)/ALU77,0)</f>
        <v>0</v>
      </c>
      <c r="CV78" s="20" t="n">
        <f aca="false">IF(ALV77&gt;0,(ALV77-API77)/ALV77,0)</f>
        <v>0</v>
      </c>
      <c r="CW78" s="20" t="n">
        <f aca="false">IF(ALW77&gt;0,(ALW77-APJ77)/ALW77,0)</f>
        <v>0</v>
      </c>
      <c r="CX78" s="20" t="n">
        <f aca="false">IF(ALX77&gt;0,(ALX77-APK77)/ALX77,0)</f>
        <v>0</v>
      </c>
      <c r="CY78" s="20" t="n">
        <f aca="false">IF(ALY77&gt;0,(ALY77-APL77)/ALY77,0)</f>
        <v>0</v>
      </c>
      <c r="CZ78" s="20" t="n">
        <f aca="false">IF(ALZ77&gt;0,(ALZ77-APM77)/ALZ77,0)</f>
        <v>0</v>
      </c>
      <c r="DA78" s="20" t="n">
        <f aca="false">IF(AMA77&gt;0,(AMA77-APN77)/AMA77,0)</f>
        <v>0</v>
      </c>
      <c r="DB78" s="20" t="n">
        <f aca="false">IF(AMB77&gt;0,(AMB77-APO77)/AMB77,0)</f>
        <v>0</v>
      </c>
      <c r="DC78" s="20" t="n">
        <f aca="false">IF(AMC77&gt;0,(AMC77-APP77)/AMC77,0)</f>
        <v>0</v>
      </c>
      <c r="DD78" s="20" t="n">
        <f aca="false">IF(AMD77&gt;0,(AMD77-APQ77)/AMD77,0)</f>
        <v>0</v>
      </c>
      <c r="DE78" s="20" t="n">
        <f aca="false">IF(AME77&gt;0,(AME77-APR77)/AME77,0)</f>
        <v>0</v>
      </c>
      <c r="DF78" s="20" t="n">
        <f aca="false">IF(AMF77&gt;0,(AMF77-APS77)/AMF77,0)</f>
        <v>0</v>
      </c>
      <c r="DG78" s="20" t="n">
        <f aca="false">IF(AMG77&gt;0,(AMG77-APT77)/AMG77,0)</f>
        <v>0</v>
      </c>
      <c r="DH78" s="20" t="n">
        <f aca="false">IF(AMH77&gt;0,(AMH77-APU77)/AMH77,0)</f>
        <v>0</v>
      </c>
      <c r="DI78" s="20" t="n">
        <f aca="false">IF(AMI77&gt;0,(AMI77-APV77)/AMI77,0)</f>
        <v>0</v>
      </c>
      <c r="DJ78" s="20" t="n">
        <f aca="false">IF(AMJ77&gt;0,(AMJ77-APW77)/AMJ77,0)</f>
        <v>0</v>
      </c>
      <c r="DK78" s="20" t="n">
        <f aca="false">IF(AMK77&gt;0,(AMK77-APX77)/AMK77,0)</f>
        <v>0</v>
      </c>
      <c r="DL78" s="20" t="n">
        <f aca="false">IF(AML77&gt;0,(AML77-APY77)/AML77,0)</f>
        <v>0</v>
      </c>
      <c r="DM78" s="20" t="n">
        <f aca="false">IF(AMM77&gt;0,(AMM77-APZ77)/AMM77,0)</f>
        <v>0</v>
      </c>
      <c r="DN78" s="20" t="n">
        <f aca="false">IF(AMN77&gt;0,(AMN77-AQA77)/AMN77,0)</f>
        <v>0</v>
      </c>
      <c r="DO78" s="20" t="n">
        <f aca="false">IF(AMO77&gt;0,(AMO77-AQB77)/AMO77,0)</f>
        <v>0</v>
      </c>
      <c r="DP78" s="20" t="n">
        <f aca="false">IF(AMP77&gt;0,(AMP77-AQC77)/AMP77,0)</f>
        <v>0</v>
      </c>
      <c r="DQ78" s="20" t="n">
        <f aca="false">IF(AMQ77&gt;0,(AMQ77-AQD77)/AMQ77,0)</f>
        <v>0</v>
      </c>
      <c r="DR78" s="20" t="n">
        <f aca="false">IF(AMR77&gt;0,(AMR77-AQE77)/AMR77,0)</f>
        <v>0</v>
      </c>
      <c r="DS78" s="20" t="n">
        <f aca="false">IF(AMS77&gt;0,(AMS77-AQF77)/AMS77,0)</f>
        <v>0</v>
      </c>
      <c r="DT78" s="20" t="n">
        <f aca="false">IF(AMT77&gt;0,(AMT77-AQG77)/AMT77,0)</f>
        <v>0</v>
      </c>
      <c r="DU78" s="20" t="n">
        <f aca="false">IF(AMU77&gt;0,(AMU77-AQH77)/AMU77,0)</f>
        <v>0</v>
      </c>
      <c r="DV78" s="20" t="n">
        <f aca="false">IF(AMV77&gt;0,(AMV77-AQI77)/AMV77,0)</f>
        <v>0</v>
      </c>
      <c r="DW78" s="20" t="n">
        <f aca="false">IF(AMW77&gt;0,(AMW77-AQJ77)/AMW77,0)</f>
        <v>0</v>
      </c>
      <c r="DX78" s="20" t="n">
        <f aca="false">IF(AMX77&gt;0,(AMX77-AQK77)/AMX77,0)</f>
        <v>0</v>
      </c>
      <c r="DY78" s="20" t="n">
        <f aca="false">IF(AMY77&gt;0,(AMY77-AQL77)/AMY77,0)</f>
        <v>0</v>
      </c>
      <c r="DZ78" s="20" t="n">
        <f aca="false">IF(AMZ77&gt;0,(AMZ77-AQM77)/AMZ77,0)</f>
        <v>0</v>
      </c>
      <c r="EA78" s="20" t="n">
        <f aca="false">IF(ANA77&gt;0,(ANA77-AQN77)/ANA77,0)</f>
        <v>0</v>
      </c>
      <c r="EB78" s="20" t="n">
        <f aca="false">IF(ANB77&gt;0,(ANB77-AQO77)/ANB77,0)</f>
        <v>0</v>
      </c>
      <c r="EC78" s="20" t="n">
        <f aca="false">IF(ANC77&gt;0,(ANC77-AQP77)/ANC77,0)</f>
        <v>0</v>
      </c>
      <c r="ED78" s="20" t="n">
        <f aca="false">IF(AND77&gt;0,(AND77-AQQ77)/AND77,0)</f>
        <v>0</v>
      </c>
      <c r="EE78" s="20" t="n">
        <f aca="false">IF(ANE77&gt;0,(ANE77-AQR77)/ANE77,0)</f>
        <v>0</v>
      </c>
      <c r="EF78" s="20" t="n">
        <f aca="false">IF(ANF77&gt;0,(ANF77-AQS77)/ANF77,0)</f>
        <v>0</v>
      </c>
      <c r="EG78" s="20" t="n">
        <f aca="false">IF(ANG77&gt;0,(ANG77-AQT77)/ANG77,0)</f>
        <v>0</v>
      </c>
      <c r="EH78" s="20" t="n">
        <f aca="false">IF(ANH77&gt;0,(ANH77-AQU77)/ANH77,0)</f>
        <v>0</v>
      </c>
      <c r="EI78" s="20" t="n">
        <f aca="false">IF(ANI77&gt;0,(ANI77-AQV77)/ANI77,0)</f>
        <v>0</v>
      </c>
      <c r="EJ78" s="20" t="n">
        <f aca="false">IF(ANJ77&gt;0,(ANJ77-AQW77)/ANJ77,0)</f>
        <v>0</v>
      </c>
      <c r="EK78" s="20" t="n">
        <f aca="false">IF((P78+S78)&gt;0,((P78+S78)-(P78+S78))/(P78+S78),0)</f>
        <v>0</v>
      </c>
      <c r="EL78" s="20" t="n">
        <v>0</v>
      </c>
      <c r="EM78" s="20" t="n">
        <v>0</v>
      </c>
      <c r="EN78" s="20" t="n">
        <v>0</v>
      </c>
      <c r="EO78" s="20" t="n">
        <v>0</v>
      </c>
      <c r="EP78" s="20" t="n">
        <v>0</v>
      </c>
      <c r="EQ78" s="20" t="n">
        <v>0</v>
      </c>
      <c r="ER78" s="20" t="n">
        <v>0</v>
      </c>
      <c r="ES78" s="20" t="n">
        <v>0</v>
      </c>
      <c r="ET78" s="20" t="n">
        <v>0</v>
      </c>
      <c r="EU78" s="20" t="n">
        <v>0</v>
      </c>
      <c r="EV78" s="20" t="n">
        <v>0</v>
      </c>
      <c r="EW78" s="20" t="n">
        <v>0</v>
      </c>
      <c r="EX78" s="20" t="n">
        <v>0</v>
      </c>
      <c r="EY78" s="20" t="n">
        <v>0</v>
      </c>
      <c r="EZ78" s="20" t="n">
        <v>0</v>
      </c>
      <c r="FA78" s="20" t="n">
        <v>0</v>
      </c>
      <c r="FB78" s="20" t="n">
        <v>0</v>
      </c>
      <c r="FC78" s="20" t="n">
        <v>0</v>
      </c>
      <c r="FD78" s="20" t="n">
        <v>0</v>
      </c>
      <c r="FE78" s="20" t="n">
        <f aca="false">IF(H_Direct=1,IF(AKR77&lt;=0,0,IF(BR78&lt;=0,AKR77,AKR77-G78*MAX(0,BR78*AKR77-(H78+I78)))),AKR77*(1-MAX(0,BR78)*H_Exit))</f>
        <v>0</v>
      </c>
      <c r="FF78" s="20" t="n">
        <f aca="false">IF(H_Direct=1,IF(AKS77&lt;=0,0,IF(BS78&lt;=0,AKS77,AKS77-G78*MAX(0,BS78*AKS77-(IR78+ME78)))),AKS77*(1-MAX(0,BS78)*H_Exit))</f>
        <v>0</v>
      </c>
      <c r="FG78" s="20" t="n">
        <f aca="false">IF(H_Direct=1,IF(AKT77&lt;=0,0,IF(BT78&lt;=0,AKT77,AKT77-G78*MAX(0,BT78*AKT77-(IS78+MF78)))),AKT77*(1-MAX(0,BT78)*H_Exit))</f>
        <v>0</v>
      </c>
      <c r="FH78" s="20" t="n">
        <f aca="false">IF(H_Direct=1,IF(AKU77&lt;=0,0,IF(BU78&lt;=0,AKU77,AKU77-G78*MAX(0,BU78*AKU77-(IT78+MG78)))),AKU77*(1-MAX(0,BU78)*H_Exit))</f>
        <v>0</v>
      </c>
      <c r="FI78" s="20" t="n">
        <f aca="false">IF(H_Direct=1,IF(AKV77&lt;=0,0,IF(BV78&lt;=0,AKV77,AKV77-G78*MAX(0,BV78*AKV77-(IU78+MH78)))),AKV77*(1-MAX(0,BV78)*H_Exit))</f>
        <v>0</v>
      </c>
      <c r="FJ78" s="20" t="n">
        <f aca="false">IF(H_Direct=1,IF(AKW77&lt;=0,0,IF(BW78&lt;=0,AKW77,AKW77-G78*MAX(0,BW78*AKW77-(IV78+MI78)))),AKW77*(1-MAX(0,BW78)*H_Exit))</f>
        <v>0</v>
      </c>
      <c r="FK78" s="20" t="n">
        <f aca="false">IF(H_Direct=1,IF(AKX77&lt;=0,0,IF(BX78&lt;=0,AKX77,AKX77-G78*MAX(0,BX78*AKX77-(IW78+MJ78)))),AKX77*(1-MAX(0,BX78)*H_Exit))</f>
        <v>0</v>
      </c>
      <c r="FL78" s="20" t="n">
        <f aca="false">IF(H_Direct=1,IF(AKY77&lt;=0,0,IF(BY78&lt;=0,AKY77,AKY77-G78*MAX(0,BY78*AKY77-(IX78+MK78)))),AKY77*(1-MAX(0,BY78)*H_Exit))</f>
        <v>0</v>
      </c>
      <c r="FM78" s="20" t="n">
        <f aca="false">IF(H_Direct=1,IF(AKZ77&lt;=0,0,IF(BZ78&lt;=0,AKZ77,AKZ77-G78*MAX(0,BZ78*AKZ77-(IY78+ML78)))),AKZ77*(1-MAX(0,BZ78)*H_Exit))</f>
        <v>0</v>
      </c>
      <c r="FN78" s="20" t="n">
        <f aca="false">IF(H_Direct=1,IF(ALA77&lt;=0,0,IF(CA78&lt;=0,ALA77,ALA77-G78*MAX(0,CA78*ALA77-(IZ78+MM78)))),ALA77*(1-MAX(0,CA78)*H_Exit))</f>
        <v>0</v>
      </c>
      <c r="FO78" s="20" t="n">
        <f aca="false">IF(H_Direct=1,IF(ALB77&lt;=0,0,IF(CB78&lt;=0,ALB77,ALB77-G78*MAX(0,CB78*ALB77-(JA78+MN78)))),ALB77*(1-MAX(0,CB78)*H_Exit))</f>
        <v>0</v>
      </c>
      <c r="FP78" s="20" t="n">
        <f aca="false">IF(H_Direct=1,IF(ALC77&lt;=0,0,IF(CC78&lt;=0,ALC77,ALC77-G78*MAX(0,CC78*ALC77-(JB78+MO78)))),ALC77*(1-MAX(0,CC78)*H_Exit))</f>
        <v>0</v>
      </c>
      <c r="FQ78" s="20" t="n">
        <f aca="false">IF(H_Direct=1,IF(ALD77&lt;=0,0,IF(CD78&lt;=0,ALD77,ALD77-G78*MAX(0,CD78*ALD77-(JC78+MP78)))),ALD77*(1-MAX(0,CD78)*H_Exit))</f>
        <v>0</v>
      </c>
      <c r="FR78" s="20" t="n">
        <f aca="false">IF(H_Direct=1,IF(ALE77&lt;=0,0,IF(CE78&lt;=0,ALE77,ALE77-G78*MAX(0,CE78*ALE77-(JD78+MQ78)))),ALE77*(1-MAX(0,CE78)*H_Exit))</f>
        <v>0</v>
      </c>
      <c r="FS78" s="20" t="n">
        <f aca="false">IF(H_Direct=1,IF(ALF77&lt;=0,0,IF(CF78&lt;=0,ALF77,ALF77-G78*MAX(0,CF78*ALF77-(JE78+MR78)))),ALF77*(1-MAX(0,CF78)*H_Exit))</f>
        <v>0</v>
      </c>
      <c r="FT78" s="20" t="n">
        <f aca="false">IF(H_Direct=1,IF(ALG77&lt;=0,0,IF(CG78&lt;=0,ALG77,ALG77-G78*MAX(0,CG78*ALG77-(JF78+MS78)))),ALG77*(1-MAX(0,CG78)*H_Exit))</f>
        <v>0</v>
      </c>
      <c r="FU78" s="20" t="n">
        <f aca="false">IF(H_Direct=1,IF(ALH77&lt;=0,0,IF(CH78&lt;=0,ALH77,ALH77-G78*MAX(0,CH78*ALH77-(JG78+MT78)))),ALH77*(1-MAX(0,CH78)*H_Exit))</f>
        <v>0</v>
      </c>
      <c r="FV78" s="20" t="n">
        <f aca="false">IF(H_Direct=1,IF(ALI77&lt;=0,0,IF(CI78&lt;=0,ALI77,ALI77-G78*MAX(0,CI78*ALI77-(JH78+MU78)))),ALI77*(1-MAX(0,CI78)*H_Exit))</f>
        <v>0</v>
      </c>
      <c r="FW78" s="20" t="n">
        <f aca="false">IF(H_Direct=1,IF(ALJ77&lt;=0,0,IF(CJ78&lt;=0,ALJ77,ALJ77-G78*MAX(0,CJ78*ALJ77-(JI78+MV78)))),ALJ77*(1-MAX(0,CJ78)*H_Exit))</f>
        <v>0</v>
      </c>
      <c r="FX78" s="20" t="n">
        <f aca="false">IF(H_Direct=1,IF(ALK77&lt;=0,0,IF(CK78&lt;=0,ALK77,ALK77-G78*MAX(0,CK78*ALK77-(JJ78+MW78)))),ALK77*(1-MAX(0,CK78)*H_Exit))</f>
        <v>0</v>
      </c>
      <c r="FY78" s="20" t="n">
        <f aca="false">IF(H_Direct=1,IF(ALL77&lt;=0,0,IF(CL78&lt;=0,ALL77,ALL77-G78*MAX(0,CL78*ALL77-(JK78+MX78)))),ALL77*(1-MAX(0,CL78)*H_Exit))</f>
        <v>0</v>
      </c>
      <c r="FZ78" s="20" t="n">
        <f aca="false">IF(H_Direct=1,IF(ALM77&lt;=0,0,IF(CM78&lt;=0,ALM77,ALM77-G78*MAX(0,CM78*ALM77-(JL78+MY78)))),ALM77*(1-MAX(0,CM78)*H_Exit))</f>
        <v>0</v>
      </c>
      <c r="GA78" s="20" t="n">
        <f aca="false">IF(H_Direct=1,IF(ALN77&lt;=0,0,IF(CN78&lt;=0,ALN77,ALN77-G78*MAX(0,CN78*ALN77-(JM78+MZ78)))),ALN77*(1-MAX(0,CN78)*H_Exit))</f>
        <v>0</v>
      </c>
      <c r="GB78" s="20" t="n">
        <f aca="false">IF(H_Direct=1,IF(ALO77&lt;=0,0,IF(CO78&lt;=0,ALO77,ALO77-G78*MAX(0,CO78*ALO77-(JN78+NA78)))),ALO77*(1-MAX(0,CO78)*H_Exit))</f>
        <v>0</v>
      </c>
      <c r="GC78" s="20" t="n">
        <f aca="false">IF(H_Direct=1,IF(ALP77&lt;=0,0,IF(CP78&lt;=0,ALP77,ALP77-G78*MAX(0,CP78*ALP77-(JO78+NB78)))),ALP77*(1-MAX(0,CP78)*H_Exit))</f>
        <v>0</v>
      </c>
      <c r="GD78" s="20" t="n">
        <f aca="false">IF(H_Direct=1,IF(ALQ77&lt;=0,0,IF(CQ78&lt;=0,ALQ77,ALQ77-G78*MAX(0,CQ78*ALQ77-(JP78+NC78)))),ALQ77*(1-MAX(0,CQ78)*H_Exit))</f>
        <v>0</v>
      </c>
      <c r="GE78" s="20" t="n">
        <f aca="false">IF(H_Direct=1,IF(ALR77&lt;=0,0,IF(CR78&lt;=0,ALR77,ALR77-G78*MAX(0,CR78*ALR77-(JQ78+ND78)))),ALR77*(1-MAX(0,CR78)*H_Exit))</f>
        <v>0</v>
      </c>
      <c r="GF78" s="20" t="n">
        <f aca="false">IF(H_Direct=1,IF(ALS77&lt;=0,0,IF(CS78&lt;=0,ALS77,ALS77-G78*MAX(0,CS78*ALS77-(JR78+NE78)))),ALS77*(1-MAX(0,CS78)*H_Exit))</f>
        <v>0</v>
      </c>
      <c r="GG78" s="20" t="n">
        <f aca="false">IF(H_Direct=1,IF(ALT77&lt;=0,0,IF(CT78&lt;=0,ALT77,ALT77-G78*MAX(0,CT78*ALT77-(JS78+NF78)))),ALT77*(1-MAX(0,CT78)*H_Exit))</f>
        <v>0</v>
      </c>
      <c r="GH78" s="20" t="n">
        <f aca="false">IF(H_Direct=1,IF(ALU77&lt;=0,0,IF(CU78&lt;=0,ALU77,ALU77-G78*MAX(0,CU78*ALU77-(JT78+NG78)))),ALU77*(1-MAX(0,CU78)*H_Exit))</f>
        <v>0</v>
      </c>
      <c r="GI78" s="20" t="n">
        <f aca="false">IF(H_Direct=1,IF(ALV77&lt;=0,0,IF(CV78&lt;=0,ALV77,ALV77-G78*MAX(0,CV78*ALV77-(JU78+NH78)))),ALV77*(1-MAX(0,CV78)*H_Exit))</f>
        <v>0</v>
      </c>
      <c r="GJ78" s="20" t="n">
        <f aca="false">IF(H_Direct=1,IF(ALW77&lt;=0,0,IF(CW78&lt;=0,ALW77,ALW77-G78*MAX(0,CW78*ALW77-(JV78+NI78)))),ALW77*(1-MAX(0,CW78)*H_Exit))</f>
        <v>0</v>
      </c>
      <c r="GK78" s="20" t="n">
        <f aca="false">IF(H_Direct=1,IF(ALX77&lt;=0,0,IF(CX78&lt;=0,ALX77,ALX77-G78*MAX(0,CX78*ALX77-(JW78+NJ78)))),ALX77*(1-MAX(0,CX78)*H_Exit))</f>
        <v>0</v>
      </c>
      <c r="GL78" s="20" t="n">
        <f aca="false">IF(H_Direct=1,IF(ALY77&lt;=0,0,IF(CY78&lt;=0,ALY77,ALY77-G78*MAX(0,CY78*ALY77-(JX78+NK78)))),ALY77*(1-MAX(0,CY78)*H_Exit))</f>
        <v>0</v>
      </c>
      <c r="GM78" s="20" t="n">
        <f aca="false">IF(H_Direct=1,IF(ALZ77&lt;=0,0,IF(CZ78&lt;=0,ALZ77,ALZ77-G78*MAX(0,CZ78*ALZ77-(JY78+NL78)))),ALZ77*(1-MAX(0,CZ78)*H_Exit))</f>
        <v>0</v>
      </c>
      <c r="GN78" s="20" t="n">
        <f aca="false">IF(H_Direct=1,IF(AMA77&lt;=0,0,IF(DA78&lt;=0,AMA77,AMA77-G78*MAX(0,DA78*AMA77-(JZ78+NM78)))),AMA77*(1-MAX(0,DA78)*H_Exit))</f>
        <v>0</v>
      </c>
      <c r="GO78" s="20" t="n">
        <f aca="false">IF(H_Direct=1,IF(AMB77&lt;=0,0,IF(DB78&lt;=0,AMB77,AMB77-G78*MAX(0,DB78*AMB77-(KA78+NN78)))),AMB77*(1-MAX(0,DB78)*H_Exit))</f>
        <v>0</v>
      </c>
      <c r="GP78" s="20" t="n">
        <f aca="false">IF(H_Direct=1,IF(AMC77&lt;=0,0,IF(DC78&lt;=0,AMC77,AMC77-G78*MAX(0,DC78*AMC77-(KB78+NO78)))),AMC77*(1-MAX(0,DC78)*H_Exit))</f>
        <v>0</v>
      </c>
      <c r="GQ78" s="20" t="n">
        <f aca="false">IF(H_Direct=1,IF(AMD77&lt;=0,0,IF(DD78&lt;=0,AMD77,AMD77-G78*MAX(0,DD78*AMD77-(KC78+NP78)))),AMD77*(1-MAX(0,DD78)*H_Exit))</f>
        <v>0</v>
      </c>
      <c r="GR78" s="20" t="n">
        <f aca="false">IF(H_Direct=1,IF(AME77&lt;=0,0,IF(DE78&lt;=0,AME77,AME77-G78*MAX(0,DE78*AME77-(KD78+NQ78)))),AME77*(1-MAX(0,DE78)*H_Exit))</f>
        <v>0</v>
      </c>
      <c r="GS78" s="20" t="n">
        <f aca="false">IF(H_Direct=1,IF(AMF77&lt;=0,0,IF(DF78&lt;=0,AMF77,AMF77-G78*MAX(0,DF78*AMF77-(KE78+NR78)))),AMF77*(1-MAX(0,DF78)*H_Exit))</f>
        <v>0</v>
      </c>
      <c r="GT78" s="20" t="n">
        <f aca="false">IF(H_Direct=1,IF(AMG77&lt;=0,0,IF(DG78&lt;=0,AMG77,AMG77-G78*MAX(0,DG78*AMG77-(KF78+NS78)))),AMG77*(1-MAX(0,DG78)*H_Exit))</f>
        <v>0</v>
      </c>
      <c r="GU78" s="20" t="n">
        <f aca="false">IF(H_Direct=1,IF(AMH77&lt;=0,0,IF(DH78&lt;=0,AMH77,AMH77-G78*MAX(0,DH78*AMH77-(KG78+NT78)))),AMH77*(1-MAX(0,DH78)*H_Exit))</f>
        <v>0</v>
      </c>
      <c r="GV78" s="20" t="n">
        <f aca="false">IF(H_Direct=1,IF(AMI77&lt;=0,0,IF(DI78&lt;=0,AMI77,AMI77-G78*MAX(0,DI78*AMI77-(KH78+NU78)))),AMI77*(1-MAX(0,DI78)*H_Exit))</f>
        <v>0</v>
      </c>
      <c r="GW78" s="20" t="n">
        <f aca="false">IF(H_Direct=1,IF(AMJ77&lt;=0,0,IF(DJ78&lt;=0,AMJ77,AMJ77-G78*MAX(0,DJ78*AMJ77-(KI78+NV78)))),AMJ77*(1-MAX(0,DJ78)*H_Exit))</f>
        <v>0</v>
      </c>
      <c r="GX78" s="20" t="n">
        <f aca="false">IF(H_Direct=1,IF(AMK77&lt;=0,0,IF(DK78&lt;=0,AMK77,AMK77-G78*MAX(0,DK78*AMK77-(KJ78+NW78)))),AMK77*(1-MAX(0,DK78)*H_Exit))</f>
        <v>0</v>
      </c>
      <c r="GY78" s="20" t="n">
        <f aca="false">IF(H_Direct=1,IF(AML77&lt;=0,0,IF(DL78&lt;=0,AML77,AML77-G78*MAX(0,DL78*AML77-(KK78+NX78)))),AML77*(1-MAX(0,DL78)*H_Exit))</f>
        <v>0</v>
      </c>
      <c r="GZ78" s="20" t="n">
        <f aca="false">IF(H_Direct=1,IF(AMM77&lt;=0,0,IF(DM78&lt;=0,AMM77,AMM77-G78*MAX(0,DM78*AMM77-(KL78+NY78)))),AMM77*(1-MAX(0,DM78)*H_Exit))</f>
        <v>0</v>
      </c>
      <c r="HA78" s="20" t="n">
        <f aca="false">IF(H_Direct=1,IF(AMN77&lt;=0,0,IF(DN78&lt;=0,AMN77,AMN77-G78*MAX(0,DN78*AMN77-(KM78+NZ78)))),AMN77*(1-MAX(0,DN78)*H_Exit))</f>
        <v>0</v>
      </c>
      <c r="HB78" s="20" t="n">
        <f aca="false">IF(H_Direct=1,IF(AMO77&lt;=0,0,IF(DO78&lt;=0,AMO77,AMO77-G78*MAX(0,DO78*AMO77-(KN78+OA78)))),AMO77*(1-MAX(0,DO78)*H_Exit))</f>
        <v>0</v>
      </c>
      <c r="HC78" s="20" t="n">
        <f aca="false">IF(H_Direct=1,IF(AMP77&lt;=0,0,IF(DP78&lt;=0,AMP77,AMP77-G78*MAX(0,DP78*AMP77-(KO78+OB78)))),AMP77*(1-MAX(0,DP78)*H_Exit))</f>
        <v>0</v>
      </c>
      <c r="HD78" s="20" t="n">
        <f aca="false">IF(H_Direct=1,IF(AMQ77&lt;=0,0,IF(DQ78&lt;=0,AMQ77,AMQ77-G78*MAX(0,DQ78*AMQ77-(KP78+OC78)))),AMQ77*(1-MAX(0,DQ78)*H_Exit))</f>
        <v>0</v>
      </c>
      <c r="HE78" s="20" t="n">
        <f aca="false">IF(H_Direct=1,IF(AMR77&lt;=0,0,IF(DR78&lt;=0,AMR77,AMR77-G78*MAX(0,DR78*AMR77-(KQ78+OD78)))),AMR77*(1-MAX(0,DR78)*H_Exit))</f>
        <v>0</v>
      </c>
      <c r="HF78" s="20" t="n">
        <f aca="false">IF(H_Direct=1,IF(AMS77&lt;=0,0,IF(DS78&lt;=0,AMS77,AMS77-G78*MAX(0,DS78*AMS77-(KR78+OE78)))),AMS77*(1-MAX(0,DS78)*H_Exit))</f>
        <v>0</v>
      </c>
      <c r="HG78" s="20" t="n">
        <f aca="false">IF(H_Direct=1,IF(AMT77&lt;=0,0,IF(DT78&lt;=0,AMT77,AMT77-G78*MAX(0,DT78*AMT77-(KS78+OF78)))),AMT77*(1-MAX(0,DT78)*H_Exit))</f>
        <v>0</v>
      </c>
      <c r="HH78" s="20" t="n">
        <f aca="false">IF(H_Direct=1,IF(AMU77&lt;=0,0,IF(DU78&lt;=0,AMU77,AMU77-G78*MAX(0,DU78*AMU77-(KT78+OG78)))),AMU77*(1-MAX(0,DU78)*H_Exit))</f>
        <v>0</v>
      </c>
      <c r="HI78" s="20" t="n">
        <f aca="false">IF(H_Direct=1,IF(AMV77&lt;=0,0,IF(DV78&lt;=0,AMV77,AMV77-G78*MAX(0,DV78*AMV77-(KU78+OH78)))),AMV77*(1-MAX(0,DV78)*H_Exit))</f>
        <v>0</v>
      </c>
      <c r="HJ78" s="20" t="n">
        <f aca="false">IF(H_Direct=1,IF(AMW77&lt;=0,0,IF(DW78&lt;=0,AMW77,AMW77-G78*MAX(0,DW78*AMW77-(KV78+OI78)))),AMW77*(1-MAX(0,DW78)*H_Exit))</f>
        <v>0</v>
      </c>
      <c r="HK78" s="20" t="n">
        <f aca="false">IF(H_Direct=1,IF(AMX77&lt;=0,0,IF(DX78&lt;=0,AMX77,AMX77-G78*MAX(0,DX78*AMX77-(KW78+OJ78)))),AMX77*(1-MAX(0,DX78)*H_Exit))</f>
        <v>0</v>
      </c>
      <c r="HL78" s="20" t="n">
        <f aca="false">IF(H_Direct=1,IF(AMY77&lt;=0,0,IF(DY78&lt;=0,AMY77,AMY77-G78*MAX(0,DY78*AMY77-(KX78+OK78)))),AMY77*(1-MAX(0,DY78)*H_Exit))</f>
        <v>0</v>
      </c>
      <c r="HM78" s="20" t="n">
        <f aca="false">IF(H_Direct=1,IF(AMZ77&lt;=0,0,IF(DZ78&lt;=0,AMZ77,AMZ77-G78*MAX(0,DZ78*AMZ77-(KY78+OL78)))),AMZ77*(1-MAX(0,DZ78)*H_Exit))</f>
        <v>0</v>
      </c>
      <c r="HN78" s="20" t="n">
        <f aca="false">IF(H_Direct=1,IF(ANA77&lt;=0,0,IF(EA78&lt;=0,ANA77,ANA77-G78*MAX(0,EA78*ANA77-(KZ78+OM78)))),ANA77*(1-MAX(0,EA78)*H_Exit))</f>
        <v>0</v>
      </c>
      <c r="HO78" s="20" t="n">
        <f aca="false">IF(H_Direct=1,IF(ANB77&lt;=0,0,IF(EB78&lt;=0,ANB77,ANB77-G78*MAX(0,EB78*ANB77-(LA78+ON78)))),ANB77*(1-MAX(0,EB78)*H_Exit))</f>
        <v>0</v>
      </c>
      <c r="HP78" s="20" t="n">
        <f aca="false">IF(H_Direct=1,IF(ANC77&lt;=0,0,IF(EC78&lt;=0,ANC77,ANC77-G78*MAX(0,EC78*ANC77-(LB78+OO78)))),ANC77*(1-MAX(0,EC78)*H_Exit))</f>
        <v>0</v>
      </c>
      <c r="HQ78" s="20" t="n">
        <f aca="false">IF(H_Direct=1,IF(AND77&lt;=0,0,IF(ED78&lt;=0,AND77,AND77-G78*MAX(0,ED78*AND77-(LC78+OP78)))),AND77*(1-MAX(0,ED78)*H_Exit))</f>
        <v>0</v>
      </c>
      <c r="HR78" s="20" t="n">
        <f aca="false">IF(H_Direct=1,IF(ANE77&lt;=0,0,IF(EE78&lt;=0,ANE77,ANE77-G78*MAX(0,EE78*ANE77-(LD78+OQ78)))),ANE77*(1-MAX(0,EE78)*H_Exit))</f>
        <v>0</v>
      </c>
      <c r="HS78" s="20" t="n">
        <f aca="false">IF(H_Direct=1,IF(ANF77&lt;=0,0,IF(EF78&lt;=0,ANF77,ANF77-G78*MAX(0,EF78*ANF77-(LE78+OR78)))),ANF77*(1-MAX(0,EF78)*H_Exit))</f>
        <v>0</v>
      </c>
      <c r="HT78" s="20" t="n">
        <f aca="false">IF(H_Direct=1,IF(ANG77&lt;=0,0,IF(EG78&lt;=0,ANG77,ANG77-G78*MAX(0,EG78*ANG77-(LF78+OS78)))),ANG77*(1-MAX(0,EG78)*H_Exit))</f>
        <v>0</v>
      </c>
      <c r="HU78" s="20" t="n">
        <f aca="false">IF(H_Direct=1,IF(ANH77&lt;=0,0,IF(EH78&lt;=0,ANH77,ANH77-G78*MAX(0,EH78*ANH77-(LG78+OT78)))),ANH77*(1-MAX(0,EH78)*H_Exit))</f>
        <v>0</v>
      </c>
      <c r="HV78" s="20" t="n">
        <f aca="false">IF(H_Direct=1,IF(ANI77&lt;=0,0,IF(EI78&lt;=0,ANI77,ANI77-G78*MAX(0,EI78*ANI77-(LH78+OU78)))),ANI77*(1-MAX(0,EI78)*H_Exit))</f>
        <v>0</v>
      </c>
      <c r="HW78" s="20" t="n">
        <f aca="false">IF(H_Direct=1,IF(ANJ77&lt;=0,0,IF(EJ78&lt;=0,ANJ77,ANJ77-G78*MAX(0,EJ78*ANJ77-(LI78+OV78)))),ANJ77*(1-MAX(0,EJ78)*H_Exit))</f>
        <v>0</v>
      </c>
      <c r="HX78" s="20" t="n">
        <f aca="false">IF(H_Direct=1,IF((P78+S78)&lt;=0,0,IF(EK78&lt;=0,(P78+S78),(P78+S78)-G78*MAX(0,EK78*(P78+S78)-(LJ78+OW78)))),(P78+S78)*(1-MAX(0,EK78)*H_Exit))</f>
        <v>0</v>
      </c>
      <c r="HY78" s="20" t="n">
        <v>0</v>
      </c>
      <c r="HZ78" s="20" t="n">
        <v>0</v>
      </c>
      <c r="IA78" s="20" t="n">
        <v>0</v>
      </c>
      <c r="IB78" s="20" t="n">
        <v>0</v>
      </c>
      <c r="IC78" s="20" t="n">
        <v>0</v>
      </c>
      <c r="ID78" s="20" t="n">
        <v>0</v>
      </c>
      <c r="IE78" s="20" t="n">
        <v>0</v>
      </c>
      <c r="IF78" s="20" t="n">
        <v>0</v>
      </c>
      <c r="IG78" s="20" t="n">
        <v>0</v>
      </c>
      <c r="IH78" s="20" t="n">
        <v>0</v>
      </c>
      <c r="II78" s="20" t="n">
        <v>0</v>
      </c>
      <c r="IJ78" s="20" t="n">
        <v>0</v>
      </c>
      <c r="IK78" s="20" t="n">
        <v>0</v>
      </c>
      <c r="IL78" s="20" t="n">
        <v>0</v>
      </c>
      <c r="IM78" s="20" t="n">
        <v>0</v>
      </c>
      <c r="IN78" s="20" t="n">
        <v>0</v>
      </c>
      <c r="IO78" s="20" t="n">
        <v>0</v>
      </c>
      <c r="IP78" s="20" t="n">
        <v>0</v>
      </c>
      <c r="IQ78" s="20" t="n">
        <v>0</v>
      </c>
      <c r="IR78" s="20" t="n">
        <f aca="false">IF(AND(H_Direct=1,BR78&gt;0),MAX(0,H78-(MIN(BR78*AKR77,H78+I78)-MIN(MIN(BR78*AKR77,H78+I78),I78))),H78)</f>
        <v>1270</v>
      </c>
      <c r="IS78" s="20" t="n">
        <f aca="false">IF(AND(H_Direct=1,BS78&gt;0),MAX(0,IR78-(MIN(BS78*AKS77,IR78+ME78)-MIN(MIN(BS78*AKS77,IR78+ME78),ME78))),IR78)</f>
        <v>1270</v>
      </c>
      <c r="IT78" s="20" t="n">
        <f aca="false">IF(AND(H_Direct=1,BT78&gt;0),MAX(0,IS78-(MIN(BT78*AKT77,IS78+MF78)-MIN(MIN(BT78*AKT77,IS78+MF78),MF78))),IS78)</f>
        <v>1270</v>
      </c>
      <c r="IU78" s="20" t="n">
        <f aca="false">IF(AND(H_Direct=1,BU78&gt;0),MAX(0,IT78-(MIN(BU78*AKU77,IT78+MG78)-MIN(MIN(BU78*AKU77,IT78+MG78),MG78))),IT78)</f>
        <v>1270</v>
      </c>
      <c r="IV78" s="20" t="n">
        <f aca="false">IF(AND(H_Direct=1,BV78&gt;0),MAX(0,IU78-(MIN(BV78*AKV77,IU78+MH78)-MIN(MIN(BV78*AKV77,IU78+MH78),MH78))),IU78)</f>
        <v>1270</v>
      </c>
      <c r="IW78" s="20" t="n">
        <f aca="false">IF(AND(H_Direct=1,BW78&gt;0),MAX(0,IV78-(MIN(BW78*AKW77,IV78+MI78)-MIN(MIN(BW78*AKW77,IV78+MI78),MI78))),IV78)</f>
        <v>1270</v>
      </c>
      <c r="IX78" s="20" t="n">
        <f aca="false">IF(AND(H_Direct=1,BX78&gt;0),MAX(0,IW78-(MIN(BX78*AKX77,IW78+MJ78)-MIN(MIN(BX78*AKX77,IW78+MJ78),MJ78))),IW78)</f>
        <v>1270</v>
      </c>
      <c r="IY78" s="20" t="n">
        <f aca="false">IF(AND(H_Direct=1,BY78&gt;0),MAX(0,IX78-(MIN(BY78*AKY77,IX78+MK78)-MIN(MIN(BY78*AKY77,IX78+MK78),MK78))),IX78)</f>
        <v>1270</v>
      </c>
      <c r="IZ78" s="20" t="n">
        <f aca="false">IF(AND(H_Direct=1,BZ78&gt;0),MAX(0,IY78-(MIN(BZ78*AKZ77,IY78+ML78)-MIN(MIN(BZ78*AKZ77,IY78+ML78),ML78))),IY78)</f>
        <v>1270</v>
      </c>
      <c r="JA78" s="20" t="n">
        <f aca="false">IF(AND(H_Direct=1,CA78&gt;0),MAX(0,IZ78-(MIN(CA78*ALA77,IZ78+MM78)-MIN(MIN(CA78*ALA77,IZ78+MM78),MM78))),IZ78)</f>
        <v>1270</v>
      </c>
      <c r="JB78" s="20" t="n">
        <f aca="false">IF(AND(H_Direct=1,CB78&gt;0),MAX(0,JA78-(MIN(CB78*ALB77,JA78+MN78)-MIN(MIN(CB78*ALB77,JA78+MN78),MN78))),JA78)</f>
        <v>1270</v>
      </c>
      <c r="JC78" s="20" t="n">
        <f aca="false">IF(AND(H_Direct=1,CC78&gt;0),MAX(0,JB78-(MIN(CC78*ALC77,JB78+MO78)-MIN(MIN(CC78*ALC77,JB78+MO78),MO78))),JB78)</f>
        <v>1270</v>
      </c>
      <c r="JD78" s="20" t="n">
        <f aca="false">IF(AND(H_Direct=1,CD78&gt;0),MAX(0,JC78-(MIN(CD78*ALD77,JC78+MP78)-MIN(MIN(CD78*ALD77,JC78+MP78),MP78))),JC78)</f>
        <v>1270</v>
      </c>
      <c r="JE78" s="20" t="n">
        <f aca="false">IF(AND(H_Direct=1,CE78&gt;0),MAX(0,JD78-(MIN(CE78*ALE77,JD78+MQ78)-MIN(MIN(CE78*ALE77,JD78+MQ78),MQ78))),JD78)</f>
        <v>1270</v>
      </c>
      <c r="JF78" s="20" t="n">
        <f aca="false">IF(AND(H_Direct=1,CF78&gt;0),MAX(0,JE78-(MIN(CF78*ALF77,JE78+MR78)-MIN(MIN(CF78*ALF77,JE78+MR78),MR78))),JE78)</f>
        <v>1270</v>
      </c>
      <c r="JG78" s="20" t="n">
        <f aca="false">IF(AND(H_Direct=1,CG78&gt;0),MAX(0,JF78-(MIN(CG78*ALG77,JF78+MS78)-MIN(MIN(CG78*ALG77,JF78+MS78),MS78))),JF78)</f>
        <v>1270</v>
      </c>
      <c r="JH78" s="20" t="n">
        <f aca="false">IF(AND(H_Direct=1,CH78&gt;0),MAX(0,JG78-(MIN(CH78*ALH77,JG78+MT78)-MIN(MIN(CH78*ALH77,JG78+MT78),MT78))),JG78)</f>
        <v>1270</v>
      </c>
      <c r="JI78" s="20" t="n">
        <f aca="false">IF(AND(H_Direct=1,CI78&gt;0),MAX(0,JH78-(MIN(CI78*ALI77,JH78+MU78)-MIN(MIN(CI78*ALI77,JH78+MU78),MU78))),JH78)</f>
        <v>1270</v>
      </c>
      <c r="JJ78" s="20" t="n">
        <f aca="false">IF(AND(H_Direct=1,CJ78&gt;0),MAX(0,JI78-(MIN(CJ78*ALJ77,JI78+MV78)-MIN(MIN(CJ78*ALJ77,JI78+MV78),MV78))),JI78)</f>
        <v>1270</v>
      </c>
      <c r="JK78" s="20" t="n">
        <f aca="false">IF(AND(H_Direct=1,CK78&gt;0),MAX(0,JJ78-(MIN(CK78*ALK77,JJ78+MW78)-MIN(MIN(CK78*ALK77,JJ78+MW78),MW78))),JJ78)</f>
        <v>1270</v>
      </c>
      <c r="JL78" s="20" t="n">
        <f aca="false">IF(AND(H_Direct=1,CL78&gt;0),MAX(0,JK78-(MIN(CL78*ALL77,JK78+MX78)-MIN(MIN(CL78*ALL77,JK78+MX78),MX78))),JK78)</f>
        <v>1270</v>
      </c>
      <c r="JM78" s="20" t="n">
        <f aca="false">IF(AND(H_Direct=1,CM78&gt;0),MAX(0,JL78-(MIN(CM78*ALM77,JL78+MY78)-MIN(MIN(CM78*ALM77,JL78+MY78),MY78))),JL78)</f>
        <v>1270</v>
      </c>
      <c r="JN78" s="20" t="n">
        <f aca="false">IF(AND(H_Direct=1,CN78&gt;0),MAX(0,JM78-(MIN(CN78*ALN77,JM78+MZ78)-MIN(MIN(CN78*ALN77,JM78+MZ78),MZ78))),JM78)</f>
        <v>1270</v>
      </c>
      <c r="JO78" s="20" t="n">
        <f aca="false">IF(AND(H_Direct=1,CO78&gt;0),MAX(0,JN78-(MIN(CO78*ALO77,JN78+NA78)-MIN(MIN(CO78*ALO77,JN78+NA78),NA78))),JN78)</f>
        <v>1270</v>
      </c>
      <c r="JP78" s="20" t="n">
        <f aca="false">IF(AND(H_Direct=1,CP78&gt;0),MAX(0,JO78-(MIN(CP78*ALP77,JO78+NB78)-MIN(MIN(CP78*ALP77,JO78+NB78),NB78))),JO78)</f>
        <v>1270</v>
      </c>
      <c r="JQ78" s="20" t="n">
        <f aca="false">IF(AND(H_Direct=1,CQ78&gt;0),MAX(0,JP78-(MIN(CQ78*ALQ77,JP78+NC78)-MIN(MIN(CQ78*ALQ77,JP78+NC78),NC78))),JP78)</f>
        <v>1270</v>
      </c>
      <c r="JR78" s="20" t="n">
        <f aca="false">IF(AND(H_Direct=1,CR78&gt;0),MAX(0,JQ78-(MIN(CR78*ALR77,JQ78+ND78)-MIN(MIN(CR78*ALR77,JQ78+ND78),ND78))),JQ78)</f>
        <v>1270</v>
      </c>
      <c r="JS78" s="20" t="n">
        <f aca="false">IF(AND(H_Direct=1,CS78&gt;0),MAX(0,JR78-(MIN(CS78*ALS77,JR78+NE78)-MIN(MIN(CS78*ALS77,JR78+NE78),NE78))),JR78)</f>
        <v>1270</v>
      </c>
      <c r="JT78" s="20" t="n">
        <f aca="false">IF(AND(H_Direct=1,CT78&gt;0),MAX(0,JS78-(MIN(CT78*ALT77,JS78+NF78)-MIN(MIN(CT78*ALT77,JS78+NF78),NF78))),JS78)</f>
        <v>1270</v>
      </c>
      <c r="JU78" s="20" t="n">
        <f aca="false">IF(AND(H_Direct=1,CU78&gt;0),MAX(0,JT78-(MIN(CU78*ALU77,JT78+NG78)-MIN(MIN(CU78*ALU77,JT78+NG78),NG78))),JT78)</f>
        <v>1270</v>
      </c>
      <c r="JV78" s="20" t="n">
        <f aca="false">IF(AND(H_Direct=1,CV78&gt;0),MAX(0,JU78-(MIN(CV78*ALV77,JU78+NH78)-MIN(MIN(CV78*ALV77,JU78+NH78),NH78))),JU78)</f>
        <v>1270</v>
      </c>
      <c r="JW78" s="20" t="n">
        <f aca="false">IF(AND(H_Direct=1,CW78&gt;0),MAX(0,JV78-(MIN(CW78*ALW77,JV78+NI78)-MIN(MIN(CW78*ALW77,JV78+NI78),NI78))),JV78)</f>
        <v>1270</v>
      </c>
      <c r="JX78" s="20" t="n">
        <f aca="false">IF(AND(H_Direct=1,CX78&gt;0),MAX(0,JW78-(MIN(CX78*ALX77,JW78+NJ78)-MIN(MIN(CX78*ALX77,JW78+NJ78),NJ78))),JW78)</f>
        <v>1270</v>
      </c>
      <c r="JY78" s="20" t="n">
        <f aca="false">IF(AND(H_Direct=1,CY78&gt;0),MAX(0,JX78-(MIN(CY78*ALY77,JX78+NK78)-MIN(MIN(CY78*ALY77,JX78+NK78),NK78))),JX78)</f>
        <v>1270</v>
      </c>
      <c r="JZ78" s="20" t="n">
        <f aca="false">IF(AND(H_Direct=1,CZ78&gt;0),MAX(0,JY78-(MIN(CZ78*ALZ77,JY78+NL78)-MIN(MIN(CZ78*ALZ77,JY78+NL78),NL78))),JY78)</f>
        <v>1270</v>
      </c>
      <c r="KA78" s="20" t="n">
        <f aca="false">IF(AND(H_Direct=1,DA78&gt;0),MAX(0,JZ78-(MIN(DA78*AMA77,JZ78+NM78)-MIN(MIN(DA78*AMA77,JZ78+NM78),NM78))),JZ78)</f>
        <v>1270</v>
      </c>
      <c r="KB78" s="20" t="n">
        <f aca="false">IF(AND(H_Direct=1,DB78&gt;0),MAX(0,KA78-(MIN(DB78*AMB77,KA78+NN78)-MIN(MIN(DB78*AMB77,KA78+NN78),NN78))),KA78)</f>
        <v>1270</v>
      </c>
      <c r="KC78" s="20" t="n">
        <f aca="false">IF(AND(H_Direct=1,DC78&gt;0),MAX(0,KB78-(MIN(DC78*AMC77,KB78+NO78)-MIN(MIN(DC78*AMC77,KB78+NO78),NO78))),KB78)</f>
        <v>1270</v>
      </c>
      <c r="KD78" s="20" t="n">
        <f aca="false">IF(AND(H_Direct=1,DD78&gt;0),MAX(0,KC78-(MIN(DD78*AMD77,KC78+NP78)-MIN(MIN(DD78*AMD77,KC78+NP78),NP78))),KC78)</f>
        <v>1270</v>
      </c>
      <c r="KE78" s="20" t="n">
        <f aca="false">IF(AND(H_Direct=1,DE78&gt;0),MAX(0,KD78-(MIN(DE78*AME77,KD78+NQ78)-MIN(MIN(DE78*AME77,KD78+NQ78),NQ78))),KD78)</f>
        <v>1270</v>
      </c>
      <c r="KF78" s="20" t="n">
        <f aca="false">IF(AND(H_Direct=1,DF78&gt;0),MAX(0,KE78-(MIN(DF78*AMF77,KE78+NR78)-MIN(MIN(DF78*AMF77,KE78+NR78),NR78))),KE78)</f>
        <v>1270</v>
      </c>
      <c r="KG78" s="20" t="n">
        <f aca="false">IF(AND(H_Direct=1,DG78&gt;0),MAX(0,KF78-(MIN(DG78*AMG77,KF78+NS78)-MIN(MIN(DG78*AMG77,KF78+NS78),NS78))),KF78)</f>
        <v>1270</v>
      </c>
      <c r="KH78" s="20" t="n">
        <f aca="false">IF(AND(H_Direct=1,DH78&gt;0),MAX(0,KG78-(MIN(DH78*AMH77,KG78+NT78)-MIN(MIN(DH78*AMH77,KG78+NT78),NT78))),KG78)</f>
        <v>1270</v>
      </c>
      <c r="KI78" s="20" t="n">
        <f aca="false">IF(AND(H_Direct=1,DI78&gt;0),MAX(0,KH78-(MIN(DI78*AMI77,KH78+NU78)-MIN(MIN(DI78*AMI77,KH78+NU78),NU78))),KH78)</f>
        <v>1270</v>
      </c>
      <c r="KJ78" s="20" t="n">
        <f aca="false">IF(AND(H_Direct=1,DJ78&gt;0),MAX(0,KI78-(MIN(DJ78*AMJ77,KI78+NV78)-MIN(MIN(DJ78*AMJ77,KI78+NV78),NV78))),KI78)</f>
        <v>1270</v>
      </c>
      <c r="KK78" s="20" t="n">
        <f aca="false">IF(AND(H_Direct=1,DK78&gt;0),MAX(0,KJ78-(MIN(DK78*AMK77,KJ78+NW78)-MIN(MIN(DK78*AMK77,KJ78+NW78),NW78))),KJ78)</f>
        <v>1270</v>
      </c>
      <c r="KL78" s="20" t="n">
        <f aca="false">IF(AND(H_Direct=1,DL78&gt;0),MAX(0,KK78-(MIN(DL78*AML77,KK78+NX78)-MIN(MIN(DL78*AML77,KK78+NX78),NX78))),KK78)</f>
        <v>1270</v>
      </c>
      <c r="KM78" s="20" t="n">
        <f aca="false">IF(AND(H_Direct=1,DM78&gt;0),MAX(0,KL78-(MIN(DM78*AMM77,KL78+NY78)-MIN(MIN(DM78*AMM77,KL78+NY78),NY78))),KL78)</f>
        <v>1270</v>
      </c>
      <c r="KN78" s="20" t="n">
        <f aca="false">IF(AND(H_Direct=1,DN78&gt;0),MAX(0,KM78-(MIN(DN78*AMN77,KM78+NZ78)-MIN(MIN(DN78*AMN77,KM78+NZ78),NZ78))),KM78)</f>
        <v>1270</v>
      </c>
      <c r="KO78" s="20" t="n">
        <f aca="false">IF(AND(H_Direct=1,DO78&gt;0),MAX(0,KN78-(MIN(DO78*AMO77,KN78+OA78)-MIN(MIN(DO78*AMO77,KN78+OA78),OA78))),KN78)</f>
        <v>1270</v>
      </c>
      <c r="KP78" s="20" t="n">
        <f aca="false">IF(AND(H_Direct=1,DP78&gt;0),MAX(0,KO78-(MIN(DP78*AMP77,KO78+OB78)-MIN(MIN(DP78*AMP77,KO78+OB78),OB78))),KO78)</f>
        <v>1270</v>
      </c>
      <c r="KQ78" s="20" t="n">
        <f aca="false">IF(AND(H_Direct=1,DQ78&gt;0),MAX(0,KP78-(MIN(DQ78*AMQ77,KP78+OC78)-MIN(MIN(DQ78*AMQ77,KP78+OC78),OC78))),KP78)</f>
        <v>1270</v>
      </c>
      <c r="KR78" s="20" t="n">
        <f aca="false">IF(AND(H_Direct=1,DR78&gt;0),MAX(0,KQ78-(MIN(DR78*AMR77,KQ78+OD78)-MIN(MIN(DR78*AMR77,KQ78+OD78),OD78))),KQ78)</f>
        <v>1270</v>
      </c>
      <c r="KS78" s="20" t="n">
        <f aca="false">IF(AND(H_Direct=1,DS78&gt;0),MAX(0,KR78-(MIN(DS78*AMS77,KR78+OE78)-MIN(MIN(DS78*AMS77,KR78+OE78),OE78))),KR78)</f>
        <v>1270</v>
      </c>
      <c r="KT78" s="20" t="n">
        <f aca="false">IF(AND(H_Direct=1,DT78&gt;0),MAX(0,KS78-(MIN(DT78*AMT77,KS78+OF78)-MIN(MIN(DT78*AMT77,KS78+OF78),OF78))),KS78)</f>
        <v>1270</v>
      </c>
      <c r="KU78" s="20" t="n">
        <f aca="false">IF(AND(H_Direct=1,DU78&gt;0),MAX(0,KT78-(MIN(DU78*AMU77,KT78+OG78)-MIN(MIN(DU78*AMU77,KT78+OG78),OG78))),KT78)</f>
        <v>1270</v>
      </c>
      <c r="KV78" s="20" t="n">
        <f aca="false">IF(AND(H_Direct=1,DV78&gt;0),MAX(0,KU78-(MIN(DV78*AMV77,KU78+OH78)-MIN(MIN(DV78*AMV77,KU78+OH78),OH78))),KU78)</f>
        <v>1270</v>
      </c>
      <c r="KW78" s="20" t="n">
        <f aca="false">IF(AND(H_Direct=1,DW78&gt;0),MAX(0,KV78-(MIN(DW78*AMW77,KV78+OI78)-MIN(MIN(DW78*AMW77,KV78+OI78),OI78))),KV78)</f>
        <v>1270</v>
      </c>
      <c r="KX78" s="20" t="n">
        <f aca="false">IF(AND(H_Direct=1,DX78&gt;0),MAX(0,KW78-(MIN(DX78*AMX77,KW78+OJ78)-MIN(MIN(DX78*AMX77,KW78+OJ78),OJ78))),KW78)</f>
        <v>1270</v>
      </c>
      <c r="KY78" s="20" t="n">
        <f aca="false">IF(AND(H_Direct=1,DY78&gt;0),MAX(0,KX78-(MIN(DY78*AMY77,KX78+OK78)-MIN(MIN(DY78*AMY77,KX78+OK78),OK78))),KX78)</f>
        <v>1270</v>
      </c>
      <c r="KZ78" s="20" t="n">
        <f aca="false">IF(AND(H_Direct=1,DZ78&gt;0),MAX(0,KY78-(MIN(DZ78*AMZ77,KY78+OL78)-MIN(MIN(DZ78*AMZ77,KY78+OL78),OL78))),KY78)</f>
        <v>1270</v>
      </c>
      <c r="LA78" s="20" t="n">
        <f aca="false">IF(AND(H_Direct=1,EA78&gt;0),MAX(0,KZ78-(MIN(EA78*ANA77,KZ78+OM78)-MIN(MIN(EA78*ANA77,KZ78+OM78),OM78))),KZ78)</f>
        <v>1270</v>
      </c>
      <c r="LB78" s="20" t="n">
        <f aca="false">IF(AND(H_Direct=1,EB78&gt;0),MAX(0,LA78-(MIN(EB78*ANB77,LA78+ON78)-MIN(MIN(EB78*ANB77,LA78+ON78),ON78))),LA78)</f>
        <v>1270</v>
      </c>
      <c r="LC78" s="20" t="n">
        <f aca="false">IF(AND(H_Direct=1,EC78&gt;0),MAX(0,LB78-(MIN(EC78*ANC77,LB78+OO78)-MIN(MIN(EC78*ANC77,LB78+OO78),OO78))),LB78)</f>
        <v>1270</v>
      </c>
      <c r="LD78" s="20" t="n">
        <f aca="false">IF(AND(H_Direct=1,ED78&gt;0),MAX(0,LC78-(MIN(ED78*AND77,LC78+OP78)-MIN(MIN(ED78*AND77,LC78+OP78),OP78))),LC78)</f>
        <v>1270</v>
      </c>
      <c r="LE78" s="20" t="n">
        <f aca="false">IF(AND(H_Direct=1,EE78&gt;0),MAX(0,LD78-(MIN(EE78*ANE77,LD78+OQ78)-MIN(MIN(EE78*ANE77,LD78+OQ78),OQ78))),LD78)</f>
        <v>1270</v>
      </c>
      <c r="LF78" s="20" t="n">
        <f aca="false">IF(AND(H_Direct=1,EF78&gt;0),MAX(0,LE78-(MIN(EF78*ANF77,LE78+OR78)-MIN(MIN(EF78*ANF77,LE78+OR78),OR78))),LE78)</f>
        <v>1270</v>
      </c>
      <c r="LG78" s="20" t="n">
        <f aca="false">IF(AND(H_Direct=1,EG78&gt;0),MAX(0,LF78-(MIN(EG78*ANG77,LF78+OS78)-MIN(MIN(EG78*ANG77,LF78+OS78),OS78))),LF78)</f>
        <v>1270</v>
      </c>
      <c r="LH78" s="20" t="n">
        <f aca="false">IF(AND(H_Direct=1,EH78&gt;0),MAX(0,LG78-(MIN(EH78*ANH77,LG78+OT78)-MIN(MIN(EH78*ANH77,LG78+OT78),OT78))),LG78)</f>
        <v>1270</v>
      </c>
      <c r="LI78" s="20" t="n">
        <f aca="false">IF(AND(H_Direct=1,EI78&gt;0),MAX(0,LH78-(MIN(EI78*ANI77,LH78+OU78)-MIN(MIN(EI78*ANI77,LH78+OU78),OU78))),LH78)</f>
        <v>1270</v>
      </c>
      <c r="LJ78" s="20" t="n">
        <f aca="false">IF(AND(H_Direct=1,EJ78&gt;0),MAX(0,LI78-(MIN(EJ78*ANJ77,LI78+OV78)-MIN(MIN(EJ78*ANJ77,LI78+OV78),OV78))),LI78)</f>
        <v>1270</v>
      </c>
      <c r="LK78" s="20" t="n">
        <f aca="false">IF(AND(H_Direct=1,EK78&gt;0),MAX(0,LJ78-(MIN(EK78*(P78+S78),LJ78+OW78)-MIN(MIN(EK78*(P78+S78),LJ78+OW78),OW78))),LJ78)</f>
        <v>1270</v>
      </c>
      <c r="LL78" s="20" t="n">
        <f aca="false">LK78</f>
        <v>1270</v>
      </c>
      <c r="LM78" s="20" t="n">
        <f aca="false">LL78</f>
        <v>1270</v>
      </c>
      <c r="LN78" s="20" t="n">
        <f aca="false">LM78</f>
        <v>1270</v>
      </c>
      <c r="LO78" s="20" t="n">
        <f aca="false">LN78</f>
        <v>1270</v>
      </c>
      <c r="LP78" s="20" t="n">
        <f aca="false">LO78</f>
        <v>1270</v>
      </c>
      <c r="LQ78" s="20" t="n">
        <f aca="false">LP78</f>
        <v>1270</v>
      </c>
      <c r="LR78" s="20" t="n">
        <f aca="false">LQ78</f>
        <v>1270</v>
      </c>
      <c r="LS78" s="20" t="n">
        <f aca="false">LR78</f>
        <v>1270</v>
      </c>
      <c r="LT78" s="20" t="n">
        <f aca="false">LS78</f>
        <v>1270</v>
      </c>
      <c r="LU78" s="20" t="n">
        <f aca="false">LT78</f>
        <v>1270</v>
      </c>
      <c r="LV78" s="20" t="n">
        <f aca="false">LU78</f>
        <v>1270</v>
      </c>
      <c r="LW78" s="20" t="n">
        <f aca="false">LV78</f>
        <v>1270</v>
      </c>
      <c r="LX78" s="20" t="n">
        <f aca="false">LW78</f>
        <v>1270</v>
      </c>
      <c r="LY78" s="20" t="n">
        <f aca="false">LX78</f>
        <v>1270</v>
      </c>
      <c r="LZ78" s="20" t="n">
        <f aca="false">LY78</f>
        <v>1270</v>
      </c>
      <c r="MA78" s="20" t="n">
        <f aca="false">LZ78</f>
        <v>1270</v>
      </c>
      <c r="MB78" s="20" t="n">
        <f aca="false">MA78</f>
        <v>1270</v>
      </c>
      <c r="MC78" s="20" t="n">
        <f aca="false">MB78</f>
        <v>1270</v>
      </c>
      <c r="MD78" s="20" t="n">
        <f aca="false">MC78</f>
        <v>1270</v>
      </c>
      <c r="ME78" s="20" t="n">
        <f aca="false">IF(H_Direct=1,IF(BR78&lt;=0,I78-BR78*AKR77,I78-MIN(MIN(BR78*AKR77,H78+I78),I78)),I78)</f>
        <v>0</v>
      </c>
      <c r="MF78" s="20" t="n">
        <f aca="false">IF(H_Direct=1,IF(BS78&lt;=0,ME78-BS78*AKS77,ME78-MIN(MIN(BS78*AKS77,IR78+ME78),ME78)),ME78)</f>
        <v>0</v>
      </c>
      <c r="MG78" s="20" t="n">
        <f aca="false">IF(H_Direct=1,IF(BT78&lt;=0,MF78-BT78*AKT77,MF78-MIN(MIN(BT78*AKT77,IS78+MF78),MF78)),MF78)</f>
        <v>0</v>
      </c>
      <c r="MH78" s="20" t="n">
        <f aca="false">IF(H_Direct=1,IF(BU78&lt;=0,MG78-BU78*AKU77,MG78-MIN(MIN(BU78*AKU77,IT78+MG78),MG78)),MG78)</f>
        <v>0</v>
      </c>
      <c r="MI78" s="20" t="n">
        <f aca="false">IF(H_Direct=1,IF(BV78&lt;=0,MH78-BV78*AKV77,MH78-MIN(MIN(BV78*AKV77,IU78+MH78),MH78)),MH78)</f>
        <v>0</v>
      </c>
      <c r="MJ78" s="20" t="n">
        <f aca="false">IF(H_Direct=1,IF(BW78&lt;=0,MI78-BW78*AKW77,MI78-MIN(MIN(BW78*AKW77,IV78+MI78),MI78)),MI78)</f>
        <v>0</v>
      </c>
      <c r="MK78" s="20" t="n">
        <f aca="false">IF(H_Direct=1,IF(BX78&lt;=0,MJ78-BX78*AKX77,MJ78-MIN(MIN(BX78*AKX77,IW78+MJ78),MJ78)),MJ78)</f>
        <v>0</v>
      </c>
      <c r="ML78" s="20" t="n">
        <f aca="false">IF(H_Direct=1,IF(BY78&lt;=0,MK78-BY78*AKY77,MK78-MIN(MIN(BY78*AKY77,IX78+MK78),MK78)),MK78)</f>
        <v>0</v>
      </c>
      <c r="MM78" s="20" t="n">
        <f aca="false">IF(H_Direct=1,IF(BZ78&lt;=0,ML78-BZ78*AKZ77,ML78-MIN(MIN(BZ78*AKZ77,IY78+ML78),ML78)),ML78)</f>
        <v>0</v>
      </c>
      <c r="MN78" s="20" t="n">
        <f aca="false">IF(H_Direct=1,IF(CA78&lt;=0,MM78-CA78*ALA77,MM78-MIN(MIN(CA78*ALA77,IZ78+MM78),MM78)),MM78)</f>
        <v>0</v>
      </c>
      <c r="MO78" s="20" t="n">
        <f aca="false">IF(H_Direct=1,IF(CB78&lt;=0,MN78-CB78*ALB77,MN78-MIN(MIN(CB78*ALB77,JA78+MN78),MN78)),MN78)</f>
        <v>0</v>
      </c>
      <c r="MP78" s="20" t="n">
        <f aca="false">IF(H_Direct=1,IF(CC78&lt;=0,MO78-CC78*ALC77,MO78-MIN(MIN(CC78*ALC77,JB78+MO78),MO78)),MO78)</f>
        <v>0</v>
      </c>
      <c r="MQ78" s="20" t="n">
        <f aca="false">IF(H_Direct=1,IF(CD78&lt;=0,MP78-CD78*ALD77,MP78-MIN(MIN(CD78*ALD77,JC78+MP78),MP78)),MP78)</f>
        <v>0</v>
      </c>
      <c r="MR78" s="20" t="n">
        <f aca="false">IF(H_Direct=1,IF(CE78&lt;=0,MQ78-CE78*ALE77,MQ78-MIN(MIN(CE78*ALE77,JD78+MQ78),MQ78)),MQ78)</f>
        <v>0</v>
      </c>
      <c r="MS78" s="20" t="n">
        <f aca="false">IF(H_Direct=1,IF(CF78&lt;=0,MR78-CF78*ALF77,MR78-MIN(MIN(CF78*ALF77,JE78+MR78),MR78)),MR78)</f>
        <v>0</v>
      </c>
      <c r="MT78" s="20" t="n">
        <f aca="false">IF(H_Direct=1,IF(CG78&lt;=0,MS78-CG78*ALG77,MS78-MIN(MIN(CG78*ALG77,JF78+MS78),MS78)),MS78)</f>
        <v>0</v>
      </c>
      <c r="MU78" s="20" t="n">
        <f aca="false">IF(H_Direct=1,IF(CH78&lt;=0,MT78-CH78*ALH77,MT78-MIN(MIN(CH78*ALH77,JG78+MT78),MT78)),MT78)</f>
        <v>0</v>
      </c>
      <c r="MV78" s="20" t="n">
        <f aca="false">IF(H_Direct=1,IF(CI78&lt;=0,MU78-CI78*ALI77,MU78-MIN(MIN(CI78*ALI77,JH78+MU78),MU78)),MU78)</f>
        <v>0</v>
      </c>
      <c r="MW78" s="20" t="n">
        <f aca="false">IF(H_Direct=1,IF(CJ78&lt;=0,MV78-CJ78*ALJ77,MV78-MIN(MIN(CJ78*ALJ77,JI78+MV78),MV78)),MV78)</f>
        <v>0</v>
      </c>
      <c r="MX78" s="20" t="n">
        <f aca="false">IF(H_Direct=1,IF(CK78&lt;=0,MW78-CK78*ALK77,MW78-MIN(MIN(CK78*ALK77,JJ78+MW78),MW78)),MW78)</f>
        <v>0</v>
      </c>
      <c r="MY78" s="20" t="n">
        <f aca="false">IF(H_Direct=1,IF(CL78&lt;=0,MX78-CL78*ALL77,MX78-MIN(MIN(CL78*ALL77,JK78+MX78),MX78)),MX78)</f>
        <v>0</v>
      </c>
      <c r="MZ78" s="20" t="n">
        <f aca="false">IF(H_Direct=1,IF(CM78&lt;=0,MY78-CM78*ALM77,MY78-MIN(MIN(CM78*ALM77,JL78+MY78),MY78)),MY78)</f>
        <v>0</v>
      </c>
      <c r="NA78" s="20" t="n">
        <f aca="false">IF(H_Direct=1,IF(CN78&lt;=0,MZ78-CN78*ALN77,MZ78-MIN(MIN(CN78*ALN77,JM78+MZ78),MZ78)),MZ78)</f>
        <v>0</v>
      </c>
      <c r="NB78" s="20" t="n">
        <f aca="false">IF(H_Direct=1,IF(CO78&lt;=0,NA78-CO78*ALO77,NA78-MIN(MIN(CO78*ALO77,JN78+NA78),NA78)),NA78)</f>
        <v>0</v>
      </c>
      <c r="NC78" s="20" t="n">
        <f aca="false">IF(H_Direct=1,IF(CP78&lt;=0,NB78-CP78*ALP77,NB78-MIN(MIN(CP78*ALP77,JO78+NB78),NB78)),NB78)</f>
        <v>0</v>
      </c>
      <c r="ND78" s="20" t="n">
        <f aca="false">IF(H_Direct=1,IF(CQ78&lt;=0,NC78-CQ78*ALQ77,NC78-MIN(MIN(CQ78*ALQ77,JP78+NC78),NC78)),NC78)</f>
        <v>0</v>
      </c>
      <c r="NE78" s="20" t="n">
        <f aca="false">IF(H_Direct=1,IF(CR78&lt;=0,ND78-CR78*ALR77,ND78-MIN(MIN(CR78*ALR77,JQ78+ND78),ND78)),ND78)</f>
        <v>0</v>
      </c>
      <c r="NF78" s="20" t="n">
        <f aca="false">IF(H_Direct=1,IF(CS78&lt;=0,NE78-CS78*ALS77,NE78-MIN(MIN(CS78*ALS77,JR78+NE78),NE78)),NE78)</f>
        <v>0</v>
      </c>
      <c r="NG78" s="20" t="n">
        <f aca="false">IF(H_Direct=1,IF(CT78&lt;=0,NF78-CT78*ALT77,NF78-MIN(MIN(CT78*ALT77,JS78+NF78),NF78)),NF78)</f>
        <v>0</v>
      </c>
      <c r="NH78" s="20" t="n">
        <f aca="false">IF(H_Direct=1,IF(CU78&lt;=0,NG78-CU78*ALU77,NG78-MIN(MIN(CU78*ALU77,JT78+NG78),NG78)),NG78)</f>
        <v>0</v>
      </c>
      <c r="NI78" s="20" t="n">
        <f aca="false">IF(H_Direct=1,IF(CV78&lt;=0,NH78-CV78*ALV77,NH78-MIN(MIN(CV78*ALV77,JU78+NH78),NH78)),NH78)</f>
        <v>0</v>
      </c>
      <c r="NJ78" s="20" t="n">
        <f aca="false">IF(H_Direct=1,IF(CW78&lt;=0,NI78-CW78*ALW77,NI78-MIN(MIN(CW78*ALW77,JV78+NI78),NI78)),NI78)</f>
        <v>0</v>
      </c>
      <c r="NK78" s="20" t="n">
        <f aca="false">IF(H_Direct=1,IF(CX78&lt;=0,NJ78-CX78*ALX77,NJ78-MIN(MIN(CX78*ALX77,JW78+NJ78),NJ78)),NJ78)</f>
        <v>0</v>
      </c>
      <c r="NL78" s="20" t="n">
        <f aca="false">IF(H_Direct=1,IF(CY78&lt;=0,NK78-CY78*ALY77,NK78-MIN(MIN(CY78*ALY77,JX78+NK78),NK78)),NK78)</f>
        <v>0</v>
      </c>
      <c r="NM78" s="20" t="n">
        <f aca="false">IF(H_Direct=1,IF(CZ78&lt;=0,NL78-CZ78*ALZ77,NL78-MIN(MIN(CZ78*ALZ77,JY78+NL78),NL78)),NL78)</f>
        <v>0</v>
      </c>
      <c r="NN78" s="20" t="n">
        <f aca="false">IF(H_Direct=1,IF(DA78&lt;=0,NM78-DA78*AMA77,NM78-MIN(MIN(DA78*AMA77,JZ78+NM78),NM78)),NM78)</f>
        <v>0</v>
      </c>
      <c r="NO78" s="20" t="n">
        <f aca="false">IF(H_Direct=1,IF(DB78&lt;=0,NN78-DB78*AMB77,NN78-MIN(MIN(DB78*AMB77,KA78+NN78),NN78)),NN78)</f>
        <v>0</v>
      </c>
      <c r="NP78" s="20" t="n">
        <f aca="false">IF(H_Direct=1,IF(DC78&lt;=0,NO78-DC78*AMC77,NO78-MIN(MIN(DC78*AMC77,KB78+NO78),NO78)),NO78)</f>
        <v>0</v>
      </c>
      <c r="NQ78" s="20" t="n">
        <f aca="false">IF(H_Direct=1,IF(DD78&lt;=0,NP78-DD78*AMD77,NP78-MIN(MIN(DD78*AMD77,KC78+NP78),NP78)),NP78)</f>
        <v>0</v>
      </c>
      <c r="NR78" s="20" t="n">
        <f aca="false">IF(H_Direct=1,IF(DE78&lt;=0,NQ78-DE78*AME77,NQ78-MIN(MIN(DE78*AME77,KD78+NQ78),NQ78)),NQ78)</f>
        <v>0</v>
      </c>
      <c r="NS78" s="20" t="n">
        <f aca="false">IF(H_Direct=1,IF(DF78&lt;=0,NR78-DF78*AMF77,NR78-MIN(MIN(DF78*AMF77,KE78+NR78),NR78)),NR78)</f>
        <v>0</v>
      </c>
      <c r="NT78" s="20" t="n">
        <f aca="false">IF(H_Direct=1,IF(DG78&lt;=0,NS78-DG78*AMG77,NS78-MIN(MIN(DG78*AMG77,KF78+NS78),NS78)),NS78)</f>
        <v>0</v>
      </c>
      <c r="NU78" s="20" t="n">
        <f aca="false">IF(H_Direct=1,IF(DH78&lt;=0,NT78-DH78*AMH77,NT78-MIN(MIN(DH78*AMH77,KG78+NT78),NT78)),NT78)</f>
        <v>0</v>
      </c>
      <c r="NV78" s="20" t="n">
        <f aca="false">IF(H_Direct=1,IF(DI78&lt;=0,NU78-DI78*AMI77,NU78-MIN(MIN(DI78*AMI77,KH78+NU78),NU78)),NU78)</f>
        <v>0</v>
      </c>
      <c r="NW78" s="20" t="n">
        <f aca="false">IF(H_Direct=1,IF(DJ78&lt;=0,NV78-DJ78*AMJ77,NV78-MIN(MIN(DJ78*AMJ77,KI78+NV78),NV78)),NV78)</f>
        <v>0</v>
      </c>
      <c r="NX78" s="20" t="n">
        <f aca="false">IF(H_Direct=1,IF(DK78&lt;=0,NW78-DK78*AMK77,NW78-MIN(MIN(DK78*AMK77,KJ78+NW78),NW78)),NW78)</f>
        <v>0</v>
      </c>
      <c r="NY78" s="20" t="n">
        <f aca="false">IF(H_Direct=1,IF(DL78&lt;=0,NX78-DL78*AML77,NX78-MIN(MIN(DL78*AML77,KK78+NX78),NX78)),NX78)</f>
        <v>0</v>
      </c>
      <c r="NZ78" s="20" t="n">
        <f aca="false">IF(H_Direct=1,IF(DM78&lt;=0,NY78-DM78*AMM77,NY78-MIN(MIN(DM78*AMM77,KL78+NY78),NY78)),NY78)</f>
        <v>0</v>
      </c>
      <c r="OA78" s="20" t="n">
        <f aca="false">IF(H_Direct=1,IF(DN78&lt;=0,NZ78-DN78*AMN77,NZ78-MIN(MIN(DN78*AMN77,KM78+NZ78),NZ78)),NZ78)</f>
        <v>0</v>
      </c>
      <c r="OB78" s="20" t="n">
        <f aca="false">IF(H_Direct=1,IF(DO78&lt;=0,OA78-DO78*AMO77,OA78-MIN(MIN(DO78*AMO77,KN78+OA78),OA78)),OA78)</f>
        <v>0</v>
      </c>
      <c r="OC78" s="20" t="n">
        <f aca="false">IF(H_Direct=1,IF(DP78&lt;=0,OB78-DP78*AMP77,OB78-MIN(MIN(DP78*AMP77,KO78+OB78),OB78)),OB78)</f>
        <v>0</v>
      </c>
      <c r="OD78" s="20" t="n">
        <f aca="false">IF(H_Direct=1,IF(DQ78&lt;=0,OC78-DQ78*AMQ77,OC78-MIN(MIN(DQ78*AMQ77,KP78+OC78),OC78)),OC78)</f>
        <v>0</v>
      </c>
      <c r="OE78" s="20" t="n">
        <f aca="false">IF(H_Direct=1,IF(DR78&lt;=0,OD78-DR78*AMR77,OD78-MIN(MIN(DR78*AMR77,KQ78+OD78),OD78)),OD78)</f>
        <v>0</v>
      </c>
      <c r="OF78" s="20" t="n">
        <f aca="false">IF(H_Direct=1,IF(DS78&lt;=0,OE78-DS78*AMS77,OE78-MIN(MIN(DS78*AMS77,KR78+OE78),OE78)),OE78)</f>
        <v>0</v>
      </c>
      <c r="OG78" s="20" t="n">
        <f aca="false">IF(H_Direct=1,IF(DT78&lt;=0,OF78-DT78*AMT77,OF78-MIN(MIN(DT78*AMT77,KS78+OF78),OF78)),OF78)</f>
        <v>0</v>
      </c>
      <c r="OH78" s="20" t="n">
        <f aca="false">IF(H_Direct=1,IF(DU78&lt;=0,OG78-DU78*AMU77,OG78-MIN(MIN(DU78*AMU77,KT78+OG78),OG78)),OG78)</f>
        <v>0</v>
      </c>
      <c r="OI78" s="20" t="n">
        <f aca="false">IF(H_Direct=1,IF(DV78&lt;=0,OH78-DV78*AMV77,OH78-MIN(MIN(DV78*AMV77,KU78+OH78),OH78)),OH78)</f>
        <v>0</v>
      </c>
      <c r="OJ78" s="20" t="n">
        <f aca="false">IF(H_Direct=1,IF(DW78&lt;=0,OI78-DW78*AMW77,OI78-MIN(MIN(DW78*AMW77,KV78+OI78),OI78)),OI78)</f>
        <v>0</v>
      </c>
      <c r="OK78" s="20" t="n">
        <f aca="false">IF(H_Direct=1,IF(DX78&lt;=0,OJ78-DX78*AMX77,OJ78-MIN(MIN(DX78*AMX77,KW78+OJ78),OJ78)),OJ78)</f>
        <v>0</v>
      </c>
      <c r="OL78" s="20" t="n">
        <f aca="false">IF(H_Direct=1,IF(DY78&lt;=0,OK78-DY78*AMY77,OK78-MIN(MIN(DY78*AMY77,KX78+OK78),OK78)),OK78)</f>
        <v>0</v>
      </c>
      <c r="OM78" s="20" t="n">
        <f aca="false">IF(H_Direct=1,IF(DZ78&lt;=0,OL78-DZ78*AMZ77,OL78-MIN(MIN(DZ78*AMZ77,KY78+OL78),OL78)),OL78)</f>
        <v>0</v>
      </c>
      <c r="ON78" s="20" t="n">
        <f aca="false">IF(H_Direct=1,IF(EA78&lt;=0,OM78-EA78*ANA77,OM78-MIN(MIN(EA78*ANA77,KZ78+OM78),OM78)),OM78)</f>
        <v>0</v>
      </c>
      <c r="OO78" s="20" t="n">
        <f aca="false">IF(H_Direct=1,IF(EB78&lt;=0,ON78-EB78*ANB77,ON78-MIN(MIN(EB78*ANB77,LA78+ON78),ON78)),ON78)</f>
        <v>0</v>
      </c>
      <c r="OP78" s="20" t="n">
        <f aca="false">IF(H_Direct=1,IF(EC78&lt;=0,OO78-EC78*ANC77,OO78-MIN(MIN(EC78*ANC77,LB78+OO78),OO78)),OO78)</f>
        <v>0</v>
      </c>
      <c r="OQ78" s="20" t="n">
        <f aca="false">IF(H_Direct=1,IF(ED78&lt;=0,OP78-ED78*AND77,OP78-MIN(MIN(ED78*AND77,LC78+OP78),OP78)),OP78)</f>
        <v>0</v>
      </c>
      <c r="OR78" s="20" t="n">
        <f aca="false">IF(H_Direct=1,IF(EE78&lt;=0,OQ78-EE78*ANE77,OQ78-MIN(MIN(EE78*ANE77,LD78+OQ78),OQ78)),OQ78)</f>
        <v>0</v>
      </c>
      <c r="OS78" s="20" t="n">
        <f aca="false">IF(H_Direct=1,IF(EF78&lt;=0,OR78-EF78*ANF77,OR78-MIN(MIN(EF78*ANF77,LE78+OR78),OR78)),OR78)</f>
        <v>0</v>
      </c>
      <c r="OT78" s="20" t="n">
        <f aca="false">IF(H_Direct=1,IF(EG78&lt;=0,OS78-EG78*ANG77,OS78-MIN(MIN(EG78*ANG77,LF78+OS78),OS78)),OS78)</f>
        <v>0</v>
      </c>
      <c r="OU78" s="20" t="n">
        <f aca="false">IF(H_Direct=1,IF(EH78&lt;=0,OT78-EH78*ANH77,OT78-MIN(MIN(EH78*ANH77,LG78+OT78),OT78)),OT78)</f>
        <v>0</v>
      </c>
      <c r="OV78" s="20" t="n">
        <f aca="false">IF(H_Direct=1,IF(EI78&lt;=0,OU78-EI78*ANI77,OU78-MIN(MIN(EI78*ANI77,LH78+OU78),OU78)),OU78)</f>
        <v>0</v>
      </c>
      <c r="OW78" s="20" t="n">
        <f aca="false">IF(H_Direct=1,IF(EJ78&lt;=0,OV78-EJ78*ANJ77,OV78-MIN(MIN(EJ78*ANJ77,LI78+OV78),OV78)),OV78)</f>
        <v>0</v>
      </c>
      <c r="OX78" s="20" t="n">
        <f aca="false">IF(H_Direct=1,IF(EK78&lt;=0,OW78-EK78*(P78+S78),OW78-MIN(MIN(EK78*(P78+S78),LJ78+OW78),OW78)),OW78)</f>
        <v>0</v>
      </c>
      <c r="OY78" s="20" t="n">
        <f aca="false">OX78</f>
        <v>0</v>
      </c>
      <c r="OZ78" s="20" t="n">
        <f aca="false">OY78</f>
        <v>0</v>
      </c>
      <c r="PA78" s="20" t="n">
        <f aca="false">OZ78</f>
        <v>0</v>
      </c>
      <c r="PB78" s="20" t="n">
        <f aca="false">PA78</f>
        <v>0</v>
      </c>
      <c r="PC78" s="20" t="n">
        <f aca="false">PB78</f>
        <v>0</v>
      </c>
      <c r="PD78" s="20" t="n">
        <f aca="false">PC78</f>
        <v>0</v>
      </c>
      <c r="PE78" s="20" t="n">
        <f aca="false">PD78</f>
        <v>0</v>
      </c>
      <c r="PF78" s="20" t="n">
        <f aca="false">PE78</f>
        <v>0</v>
      </c>
      <c r="PG78" s="20" t="n">
        <f aca="false">PF78</f>
        <v>0</v>
      </c>
      <c r="PH78" s="20" t="n">
        <f aca="false">PG78</f>
        <v>0</v>
      </c>
      <c r="PI78" s="20" t="n">
        <f aca="false">PH78</f>
        <v>0</v>
      </c>
      <c r="PJ78" s="20" t="n">
        <f aca="false">PI78</f>
        <v>0</v>
      </c>
      <c r="PK78" s="20" t="n">
        <f aca="false">PJ78</f>
        <v>0</v>
      </c>
      <c r="PL78" s="20" t="n">
        <f aca="false">PK78</f>
        <v>0</v>
      </c>
      <c r="PM78" s="20" t="n">
        <f aca="false">PL78</f>
        <v>0</v>
      </c>
      <c r="PN78" s="20" t="n">
        <f aca="false">PM78</f>
        <v>0</v>
      </c>
      <c r="PO78" s="20" t="n">
        <f aca="false">PN78</f>
        <v>0</v>
      </c>
      <c r="PP78" s="20" t="n">
        <f aca="false">PO78</f>
        <v>0</v>
      </c>
      <c r="PQ78" s="20" t="n">
        <f aca="false">PP78</f>
        <v>0</v>
      </c>
      <c r="PR78" s="20" t="n">
        <f aca="false">IF(H_Direct=1,IF(AKR77&lt;=0,0,IF(BR78&lt;=0,MIN(MAX(0,AB78),AKR77),MIN(MAX(0,AB78),AKR77-G78*MAX(0,BR78*AKR77-(H78+I78))))),MIN(FE78,MAX(0,AB78)))</f>
        <v>0</v>
      </c>
      <c r="PS78" s="20" t="n">
        <f aca="false">IF(H_Direct=1,IF(AKS77&lt;=0,0,IF(BS78&lt;=0,MIN(MAX(0,AB78-SUM(PR78:PR78)),AKS77),MIN(MAX(0,AB78-SUM(PR78:PR78)),AKS77-G78*MAX(0,BS78*AKS77-(WR78+AAE78))))),MIN(FF78,MAX(0,AB78-SUM(PR78:PR78))))</f>
        <v>0</v>
      </c>
      <c r="PT78" s="20" t="n">
        <f aca="false">IF(H_Direct=1,IF(AKT77&lt;=0,0,IF(BT78&lt;=0,MIN(MAX(0,AB78-SUM(PR78:PS78)),AKT77),MIN(MAX(0,AB78-SUM(PR78:PS78)),AKT77-G78*MAX(0,BT78*AKT77-(WS78+AAF78))))),MIN(FG78,MAX(0,AB78-SUM(PR78:PS78))))</f>
        <v>0</v>
      </c>
      <c r="PU78" s="20" t="n">
        <f aca="false">IF(H_Direct=1,IF(AKU77&lt;=0,0,IF(BU78&lt;=0,MIN(MAX(0,AB78-SUM(PR78:PT78)),AKU77),MIN(MAX(0,AB78-SUM(PR78:PT78)),AKU77-G78*MAX(0,BU78*AKU77-(WT78+AAG78))))),MIN(FH78,MAX(0,AB78-SUM(PR78:PT78))))</f>
        <v>0</v>
      </c>
      <c r="PV78" s="20" t="n">
        <f aca="false">IF(H_Direct=1,IF(AKV77&lt;=0,0,IF(BV78&lt;=0,MIN(MAX(0,AB78-SUM(PR78:PU78)),AKV77),MIN(MAX(0,AB78-SUM(PR78:PU78)),AKV77-G78*MAX(0,BV78*AKV77-(WU78+AAH78))))),MIN(FI78,MAX(0,AB78-SUM(PR78:PU78))))</f>
        <v>0</v>
      </c>
      <c r="PW78" s="20" t="n">
        <f aca="false">IF(H_Direct=1,IF(AKW77&lt;=0,0,IF(BW78&lt;=0,MIN(MAX(0,AB78-SUM(PR78:PV78)),AKW77),MIN(MAX(0,AB78-SUM(PR78:PV78)),AKW77-G78*MAX(0,BW78*AKW77-(WV78+AAI78))))),MIN(FJ78,MAX(0,AB78-SUM(PR78:PV78))))</f>
        <v>0</v>
      </c>
      <c r="PX78" s="20" t="n">
        <f aca="false">IF(H_Direct=1,IF(AKX77&lt;=0,0,IF(BX78&lt;=0,MIN(MAX(0,AB78-SUM(PR78:PW78)),AKX77),MIN(MAX(0,AB78-SUM(PR78:PW78)),AKX77-G78*MAX(0,BX78*AKX77-(WW78+AAJ78))))),MIN(FK78,MAX(0,AB78-SUM(PR78:PW78))))</f>
        <v>0</v>
      </c>
      <c r="PY78" s="20" t="n">
        <f aca="false">IF(H_Direct=1,IF(AKY77&lt;=0,0,IF(BY78&lt;=0,MIN(MAX(0,AB78-SUM(PR78:PX78)),AKY77),MIN(MAX(0,AB78-SUM(PR78:PX78)),AKY77-G78*MAX(0,BY78*AKY77-(WX78+AAK78))))),MIN(FL78,MAX(0,AB78-SUM(PR78:PX78))))</f>
        <v>0</v>
      </c>
      <c r="PZ78" s="20" t="n">
        <f aca="false">IF(H_Direct=1,IF(AKZ77&lt;=0,0,IF(BZ78&lt;=0,MIN(MAX(0,AB78-SUM(PR78:PY78)),AKZ77),MIN(MAX(0,AB78-SUM(PR78:PY78)),AKZ77-G78*MAX(0,BZ78*AKZ77-(WY78+AAL78))))),MIN(FM78,MAX(0,AB78-SUM(PR78:PY78))))</f>
        <v>0</v>
      </c>
      <c r="QA78" s="20" t="n">
        <f aca="false">IF(H_Direct=1,IF(ALA77&lt;=0,0,IF(CA78&lt;=0,MIN(MAX(0,AB78-SUM(PR78:PZ78)),ALA77),MIN(MAX(0,AB78-SUM(PR78:PZ78)),ALA77-G78*MAX(0,CA78*ALA77-(WZ78+AAM78))))),MIN(FN78,MAX(0,AB78-SUM(PR78:PZ78))))</f>
        <v>0</v>
      </c>
      <c r="QB78" s="20" t="n">
        <f aca="false">IF(H_Direct=1,IF(ALB77&lt;=0,0,IF(CB78&lt;=0,MIN(MAX(0,AB78-SUM(PR78:QA78)),ALB77),MIN(MAX(0,AB78-SUM(PR78:QA78)),ALB77-G78*MAX(0,CB78*ALB77-(XA78+AAN78))))),MIN(FO78,MAX(0,AB78-SUM(PR78:QA78))))</f>
        <v>0</v>
      </c>
      <c r="QC78" s="20" t="n">
        <f aca="false">IF(H_Direct=1,IF(ALC77&lt;=0,0,IF(CC78&lt;=0,MIN(MAX(0,AB78-SUM(PR78:QB78)),ALC77),MIN(MAX(0,AB78-SUM(PR78:QB78)),ALC77-G78*MAX(0,CC78*ALC77-(XB78+AAO78))))),MIN(FP78,MAX(0,AB78-SUM(PR78:QB78))))</f>
        <v>0</v>
      </c>
      <c r="QD78" s="20" t="n">
        <f aca="false">IF(H_Direct=1,IF(ALD77&lt;=0,0,IF(CD78&lt;=0,MIN(MAX(0,AB78-SUM(PR78:QC78)),ALD77),MIN(MAX(0,AB78-SUM(PR78:QC78)),ALD77-G78*MAX(0,CD78*ALD77-(XC78+AAP78))))),MIN(FQ78,MAX(0,AB78-SUM(PR78:QC78))))</f>
        <v>0</v>
      </c>
      <c r="QE78" s="20" t="n">
        <f aca="false">IF(H_Direct=1,IF(ALE77&lt;=0,0,IF(CE78&lt;=0,MIN(MAX(0,AB78-SUM(PR78:QD78)),ALE77),MIN(MAX(0,AB78-SUM(PR78:QD78)),ALE77-G78*MAX(0,CE78*ALE77-(XD78+AAQ78))))),MIN(FR78,MAX(0,AB78-SUM(PR78:QD78))))</f>
        <v>0</v>
      </c>
      <c r="QF78" s="20" t="n">
        <f aca="false">IF(H_Direct=1,IF(ALF77&lt;=0,0,IF(CF78&lt;=0,MIN(MAX(0,AB78-SUM(PR78:QE78)),ALF77),MIN(MAX(0,AB78-SUM(PR78:QE78)),ALF77-G78*MAX(0,CF78*ALF77-(XE78+AAR78))))),MIN(FS78,MAX(0,AB78-SUM(PR78:QE78))))</f>
        <v>0</v>
      </c>
      <c r="QG78" s="20" t="n">
        <f aca="false">IF(H_Direct=1,IF(ALG77&lt;=0,0,IF(CG78&lt;=0,MIN(MAX(0,AB78-SUM(PR78:QF78)),ALG77),MIN(MAX(0,AB78-SUM(PR78:QF78)),ALG77-G78*MAX(0,CG78*ALG77-(XF78+AAS78))))),MIN(FT78,MAX(0,AB78-SUM(PR78:QF78))))</f>
        <v>0</v>
      </c>
      <c r="QH78" s="20" t="n">
        <f aca="false">IF(H_Direct=1,IF(ALH77&lt;=0,0,IF(CH78&lt;=0,MIN(MAX(0,AB78-SUM(PR78:QG78)),ALH77),MIN(MAX(0,AB78-SUM(PR78:QG78)),ALH77-G78*MAX(0,CH78*ALH77-(XG78+AAT78))))),MIN(FU78,MAX(0,AB78-SUM(PR78:QG78))))</f>
        <v>0</v>
      </c>
      <c r="QI78" s="20" t="n">
        <f aca="false">IF(H_Direct=1,IF(ALI77&lt;=0,0,IF(CI78&lt;=0,MIN(MAX(0,AB78-SUM(PR78:QH78)),ALI77),MIN(MAX(0,AB78-SUM(PR78:QH78)),ALI77-G78*MAX(0,CI78*ALI77-(XH78+AAU78))))),MIN(FV78,MAX(0,AB78-SUM(PR78:QH78))))</f>
        <v>0</v>
      </c>
      <c r="QJ78" s="20" t="n">
        <f aca="false">IF(H_Direct=1,IF(ALJ77&lt;=0,0,IF(CJ78&lt;=0,MIN(MAX(0,AB78-SUM(PR78:QI78)),ALJ77),MIN(MAX(0,AB78-SUM(PR78:QI78)),ALJ77-G78*MAX(0,CJ78*ALJ77-(XI78+AAV78))))),MIN(FW78,MAX(0,AB78-SUM(PR78:QI78))))</f>
        <v>0</v>
      </c>
      <c r="QK78" s="20" t="n">
        <f aca="false">IF(H_Direct=1,IF(ALK77&lt;=0,0,IF(CK78&lt;=0,MIN(MAX(0,AB78-SUM(PR78:QJ78)),ALK77),MIN(MAX(0,AB78-SUM(PR78:QJ78)),ALK77-G78*MAX(0,CK78*ALK77-(XJ78+AAW78))))),MIN(FX78,MAX(0,AB78-SUM(PR78:QJ78))))</f>
        <v>0</v>
      </c>
      <c r="QL78" s="20" t="n">
        <f aca="false">IF(H_Direct=1,IF(ALL77&lt;=0,0,IF(CL78&lt;=0,MIN(MAX(0,AB78-SUM(PR78:QK78)),ALL77),MIN(MAX(0,AB78-SUM(PR78:QK78)),ALL77-G78*MAX(0,CL78*ALL77-(XK78+AAX78))))),MIN(FY78,MAX(0,AB78-SUM(PR78:QK78))))</f>
        <v>0</v>
      </c>
      <c r="QM78" s="20" t="n">
        <f aca="false">IF(H_Direct=1,IF(ALM77&lt;=0,0,IF(CM78&lt;=0,MIN(MAX(0,AB78-SUM(PR78:QL78)),ALM77),MIN(MAX(0,AB78-SUM(PR78:QL78)),ALM77-G78*MAX(0,CM78*ALM77-(XL78+AAY78))))),MIN(FZ78,MAX(0,AB78-SUM(PR78:QL78))))</f>
        <v>0</v>
      </c>
      <c r="QN78" s="20" t="n">
        <f aca="false">IF(H_Direct=1,IF(ALN77&lt;=0,0,IF(CN78&lt;=0,MIN(MAX(0,AB78-SUM(PR78:QM78)),ALN77),MIN(MAX(0,AB78-SUM(PR78:QM78)),ALN77-G78*MAX(0,CN78*ALN77-(XM78+AAZ78))))),MIN(GA78,MAX(0,AB78-SUM(PR78:QM78))))</f>
        <v>0</v>
      </c>
      <c r="QO78" s="20" t="n">
        <f aca="false">IF(H_Direct=1,IF(ALO77&lt;=0,0,IF(CO78&lt;=0,MIN(MAX(0,AB78-SUM(PR78:QN78)),ALO77),MIN(MAX(0,AB78-SUM(PR78:QN78)),ALO77-G78*MAX(0,CO78*ALO77-(XN78+ABA78))))),MIN(GB78,MAX(0,AB78-SUM(PR78:QN78))))</f>
        <v>0</v>
      </c>
      <c r="QP78" s="20" t="n">
        <f aca="false">IF(H_Direct=1,IF(ALP77&lt;=0,0,IF(CP78&lt;=0,MIN(MAX(0,AB78-SUM(PR78:QO78)),ALP77),MIN(MAX(0,AB78-SUM(PR78:QO78)),ALP77-G78*MAX(0,CP78*ALP77-(XO78+ABB78))))),MIN(GC78,MAX(0,AB78-SUM(PR78:QO78))))</f>
        <v>0</v>
      </c>
      <c r="QQ78" s="20" t="n">
        <f aca="false">IF(H_Direct=1,IF(ALQ77&lt;=0,0,IF(CQ78&lt;=0,MIN(MAX(0,AB78-SUM(PR78:QP78)),ALQ77),MIN(MAX(0,AB78-SUM(PR78:QP78)),ALQ77-G78*MAX(0,CQ78*ALQ77-(XP78+ABC78))))),MIN(GD78,MAX(0,AB78-SUM(PR78:QP78))))</f>
        <v>0</v>
      </c>
      <c r="QR78" s="20" t="n">
        <f aca="false">IF(H_Direct=1,IF(ALR77&lt;=0,0,IF(CR78&lt;=0,MIN(MAX(0,AB78-SUM(PR78:QQ78)),ALR77),MIN(MAX(0,AB78-SUM(PR78:QQ78)),ALR77-G78*MAX(0,CR78*ALR77-(XQ78+ABD78))))),MIN(GE78,MAX(0,AB78-SUM(PR78:QQ78))))</f>
        <v>0</v>
      </c>
      <c r="QS78" s="20" t="n">
        <f aca="false">IF(H_Direct=1,IF(ALS77&lt;=0,0,IF(CS78&lt;=0,MIN(MAX(0,AB78-SUM(PR78:QR78)),ALS77),MIN(MAX(0,AB78-SUM(PR78:QR78)),ALS77-G78*MAX(0,CS78*ALS77-(XR78+ABE78))))),MIN(GF78,MAX(0,AB78-SUM(PR78:QR78))))</f>
        <v>0</v>
      </c>
      <c r="QT78" s="20" t="n">
        <f aca="false">IF(H_Direct=1,IF(ALT77&lt;=0,0,IF(CT78&lt;=0,MIN(MAX(0,AB78-SUM(PR78:QS78)),ALT77),MIN(MAX(0,AB78-SUM(PR78:QS78)),ALT77-G78*MAX(0,CT78*ALT77-(XS78+ABF78))))),MIN(GG78,MAX(0,AB78-SUM(PR78:QS78))))</f>
        <v>0</v>
      </c>
      <c r="QU78" s="20" t="n">
        <f aca="false">IF(H_Direct=1,IF(ALU77&lt;=0,0,IF(CU78&lt;=0,MIN(MAX(0,AB78-SUM(PR78:QT78)),ALU77),MIN(MAX(0,AB78-SUM(PR78:QT78)),ALU77-G78*MAX(0,CU78*ALU77-(XT78+ABG78))))),MIN(GH78,MAX(0,AB78-SUM(PR78:QT78))))</f>
        <v>0</v>
      </c>
      <c r="QV78" s="20" t="n">
        <f aca="false">IF(H_Direct=1,IF(ALV77&lt;=0,0,IF(CV78&lt;=0,MIN(MAX(0,AB78-SUM(PR78:QU78)),ALV77),MIN(MAX(0,AB78-SUM(PR78:QU78)),ALV77-G78*MAX(0,CV78*ALV77-(XU78+ABH78))))),MIN(GI78,MAX(0,AB78-SUM(PR78:QU78))))</f>
        <v>0</v>
      </c>
      <c r="QW78" s="20" t="n">
        <f aca="false">IF(H_Direct=1,IF(ALW77&lt;=0,0,IF(CW78&lt;=0,MIN(MAX(0,AB78-SUM(PR78:QV78)),ALW77),MIN(MAX(0,AB78-SUM(PR78:QV78)),ALW77-G78*MAX(0,CW78*ALW77-(XV78+ABI78))))),MIN(GJ78,MAX(0,AB78-SUM(PR78:QV78))))</f>
        <v>0</v>
      </c>
      <c r="QX78" s="20" t="n">
        <f aca="false">IF(H_Direct=1,IF(ALX77&lt;=0,0,IF(CX78&lt;=0,MIN(MAX(0,AB78-SUM(PR78:QW78)),ALX77),MIN(MAX(0,AB78-SUM(PR78:QW78)),ALX77-G78*MAX(0,CX78*ALX77-(XW78+ABJ78))))),MIN(GK78,MAX(0,AB78-SUM(PR78:QW78))))</f>
        <v>0</v>
      </c>
      <c r="QY78" s="20" t="n">
        <f aca="false">IF(H_Direct=1,IF(ALY77&lt;=0,0,IF(CY78&lt;=0,MIN(MAX(0,AB78-SUM(PR78:QX78)),ALY77),MIN(MAX(0,AB78-SUM(PR78:QX78)),ALY77-G78*MAX(0,CY78*ALY77-(XX78+ABK78))))),MIN(GL78,MAX(0,AB78-SUM(PR78:QX78))))</f>
        <v>0</v>
      </c>
      <c r="QZ78" s="20" t="n">
        <f aca="false">IF(H_Direct=1,IF(ALZ77&lt;=0,0,IF(CZ78&lt;=0,MIN(MAX(0,AB78-SUM(PR78:QY78)),ALZ77),MIN(MAX(0,AB78-SUM(PR78:QY78)),ALZ77-G78*MAX(0,CZ78*ALZ77-(XY78+ABL78))))),MIN(GM78,MAX(0,AB78-SUM(PR78:QY78))))</f>
        <v>0</v>
      </c>
      <c r="RA78" s="20" t="n">
        <f aca="false">IF(H_Direct=1,IF(AMA77&lt;=0,0,IF(DA78&lt;=0,MIN(MAX(0,AB78-SUM(PR78:QZ78)),AMA77),MIN(MAX(0,AB78-SUM(PR78:QZ78)),AMA77-G78*MAX(0,DA78*AMA77-(XZ78+ABM78))))),MIN(GN78,MAX(0,AB78-SUM(PR78:QZ78))))</f>
        <v>0</v>
      </c>
      <c r="RB78" s="20" t="n">
        <f aca="false">IF(H_Direct=1,IF(AMB77&lt;=0,0,IF(DB78&lt;=0,MIN(MAX(0,AB78-SUM(PR78:RA78)),AMB77),MIN(MAX(0,AB78-SUM(PR78:RA78)),AMB77-G78*MAX(0,DB78*AMB77-(YA78+ABN78))))),MIN(GO78,MAX(0,AB78-SUM(PR78:RA78))))</f>
        <v>0</v>
      </c>
      <c r="RC78" s="20" t="n">
        <f aca="false">IF(H_Direct=1,IF(AMC77&lt;=0,0,IF(DC78&lt;=0,MIN(MAX(0,AB78-SUM(PR78:RB78)),AMC77),MIN(MAX(0,AB78-SUM(PR78:RB78)),AMC77-G78*MAX(0,DC78*AMC77-(YB78+ABO78))))),MIN(GP78,MAX(0,AB78-SUM(PR78:RB78))))</f>
        <v>0</v>
      </c>
      <c r="RD78" s="20" t="n">
        <f aca="false">IF(H_Direct=1,IF(AMD77&lt;=0,0,IF(DD78&lt;=0,MIN(MAX(0,AB78-SUM(PR78:RC78)),AMD77),MIN(MAX(0,AB78-SUM(PR78:RC78)),AMD77-G78*MAX(0,DD78*AMD77-(YC78+ABP78))))),MIN(GQ78,MAX(0,AB78-SUM(PR78:RC78))))</f>
        <v>0</v>
      </c>
      <c r="RE78" s="20" t="n">
        <f aca="false">IF(H_Direct=1,IF(AME77&lt;=0,0,IF(DE78&lt;=0,MIN(MAX(0,AB78-SUM(PR78:RD78)),AME77),MIN(MAX(0,AB78-SUM(PR78:RD78)),AME77-G78*MAX(0,DE78*AME77-(YD78+ABQ78))))),MIN(GR78,MAX(0,AB78-SUM(PR78:RD78))))</f>
        <v>0</v>
      </c>
      <c r="RF78" s="20" t="n">
        <f aca="false">IF(H_Direct=1,IF(AMF77&lt;=0,0,IF(DF78&lt;=0,MIN(MAX(0,AB78-SUM(PR78:RE78)),AMF77),MIN(MAX(0,AB78-SUM(PR78:RE78)),AMF77-G78*MAX(0,DF78*AMF77-(YE78+ABR78))))),MIN(GS78,MAX(0,AB78-SUM(PR78:RE78))))</f>
        <v>0</v>
      </c>
      <c r="RG78" s="20" t="n">
        <f aca="false">IF(H_Direct=1,IF(AMG77&lt;=0,0,IF(DG78&lt;=0,MIN(MAX(0,AB78-SUM(PR78:RF78)),AMG77),MIN(MAX(0,AB78-SUM(PR78:RF78)),AMG77-G78*MAX(0,DG78*AMG77-(YF78+ABS78))))),MIN(GT78,MAX(0,AB78-SUM(PR78:RF78))))</f>
        <v>0</v>
      </c>
      <c r="RH78" s="20" t="n">
        <f aca="false">IF(H_Direct=1,IF(AMH77&lt;=0,0,IF(DH78&lt;=0,MIN(MAX(0,AB78-SUM(PR78:RG78)),AMH77),MIN(MAX(0,AB78-SUM(PR78:RG78)),AMH77-G78*MAX(0,DH78*AMH77-(YG78+ABT78))))),MIN(GU78,MAX(0,AB78-SUM(PR78:RG78))))</f>
        <v>0</v>
      </c>
      <c r="RI78" s="20" t="n">
        <f aca="false">IF(H_Direct=1,IF(AMI77&lt;=0,0,IF(DI78&lt;=0,MIN(MAX(0,AB78-SUM(PR78:RH78)),AMI77),MIN(MAX(0,AB78-SUM(PR78:RH78)),AMI77-G78*MAX(0,DI78*AMI77-(YH78+ABU78))))),MIN(GV78,MAX(0,AB78-SUM(PR78:RH78))))</f>
        <v>0</v>
      </c>
      <c r="RJ78" s="20" t="n">
        <f aca="false">IF(H_Direct=1,IF(AMJ77&lt;=0,0,IF(DJ78&lt;=0,MIN(MAX(0,AB78-SUM(PR78:RI78)),AMJ77),MIN(MAX(0,AB78-SUM(PR78:RI78)),AMJ77-G78*MAX(0,DJ78*AMJ77-(YI78+ABV78))))),MIN(GW78,MAX(0,AB78-SUM(PR78:RI78))))</f>
        <v>0</v>
      </c>
      <c r="RK78" s="20" t="n">
        <f aca="false">IF(H_Direct=1,IF(AMK77&lt;=0,0,IF(DK78&lt;=0,MIN(MAX(0,AB78-SUM(PR78:RJ78)),AMK77),MIN(MAX(0,AB78-SUM(PR78:RJ78)),AMK77-G78*MAX(0,DK78*AMK77-(YJ78+ABW78))))),MIN(GX78,MAX(0,AB78-SUM(PR78:RJ78))))</f>
        <v>0</v>
      </c>
      <c r="RL78" s="20" t="n">
        <f aca="false">IF(H_Direct=1,IF(AML77&lt;=0,0,IF(DL78&lt;=0,MIN(MAX(0,AB78-SUM(PR78:RK78)),AML77),MIN(MAX(0,AB78-SUM(PR78:RK78)),AML77-G78*MAX(0,DL78*AML77-(YK78+ABX78))))),MIN(GY78,MAX(0,AB78-SUM(PR78:RK78))))</f>
        <v>0</v>
      </c>
      <c r="RM78" s="20" t="n">
        <f aca="false">IF(H_Direct=1,IF(AMM77&lt;=0,0,IF(DM78&lt;=0,MIN(MAX(0,AB78-SUM(PR78:RL78)),AMM77),MIN(MAX(0,AB78-SUM(PR78:RL78)),AMM77-G78*MAX(0,DM78*AMM77-(YL78+ABY78))))),MIN(GZ78,MAX(0,AB78-SUM(PR78:RL78))))</f>
        <v>0</v>
      </c>
      <c r="RN78" s="20" t="n">
        <f aca="false">IF(H_Direct=1,IF(AMN77&lt;=0,0,IF(DN78&lt;=0,MIN(MAX(0,AB78-SUM(PR78:RM78)),AMN77),MIN(MAX(0,AB78-SUM(PR78:RM78)),AMN77-G78*MAX(0,DN78*AMN77-(YM78+ABZ78))))),MIN(HA78,MAX(0,AB78-SUM(PR78:RM78))))</f>
        <v>0</v>
      </c>
      <c r="RO78" s="20" t="n">
        <f aca="false">IF(H_Direct=1,IF(AMO77&lt;=0,0,IF(DO78&lt;=0,MIN(MAX(0,AB78-SUM(PR78:RN78)),AMO77),MIN(MAX(0,AB78-SUM(PR78:RN78)),AMO77-G78*MAX(0,DO78*AMO77-(YN78+ACA78))))),MIN(HB78,MAX(0,AB78-SUM(PR78:RN78))))</f>
        <v>0</v>
      </c>
      <c r="RP78" s="20" t="n">
        <f aca="false">IF(H_Direct=1,IF(AMP77&lt;=0,0,IF(DP78&lt;=0,MIN(MAX(0,AB78-SUM(PR78:RO78)),AMP77),MIN(MAX(0,AB78-SUM(PR78:RO78)),AMP77-G78*MAX(0,DP78*AMP77-(YO78+ACB78))))),MIN(HC78,MAX(0,AB78-SUM(PR78:RO78))))</f>
        <v>0</v>
      </c>
      <c r="RQ78" s="20" t="n">
        <f aca="false">IF(H_Direct=1,IF(AMQ77&lt;=0,0,IF(DQ78&lt;=0,MIN(MAX(0,AB78-SUM(PR78:RP78)),AMQ77),MIN(MAX(0,AB78-SUM(PR78:RP78)),AMQ77-G78*MAX(0,DQ78*AMQ77-(YP78+ACC78))))),MIN(HD78,MAX(0,AB78-SUM(PR78:RP78))))</f>
        <v>0</v>
      </c>
      <c r="RR78" s="20" t="n">
        <f aca="false">IF(H_Direct=1,IF(AMR77&lt;=0,0,IF(DR78&lt;=0,MIN(MAX(0,AB78-SUM(PR78:RQ78)),AMR77),MIN(MAX(0,AB78-SUM(PR78:RQ78)),AMR77-G78*MAX(0,DR78*AMR77-(YQ78+ACD78))))),MIN(HE78,MAX(0,AB78-SUM(PR78:RQ78))))</f>
        <v>0</v>
      </c>
      <c r="RS78" s="20" t="n">
        <f aca="false">IF(H_Direct=1,IF(AMS77&lt;=0,0,IF(DS78&lt;=0,MIN(MAX(0,AB78-SUM(PR78:RR78)),AMS77),MIN(MAX(0,AB78-SUM(PR78:RR78)),AMS77-G78*MAX(0,DS78*AMS77-(YR78+ACE78))))),MIN(HF78,MAX(0,AB78-SUM(PR78:RR78))))</f>
        <v>0</v>
      </c>
      <c r="RT78" s="20" t="n">
        <f aca="false">IF(H_Direct=1,IF(AMT77&lt;=0,0,IF(DT78&lt;=0,MIN(MAX(0,AB78-SUM(PR78:RS78)),AMT77),MIN(MAX(0,AB78-SUM(PR78:RS78)),AMT77-G78*MAX(0,DT78*AMT77-(YS78+ACF78))))),MIN(HG78,MAX(0,AB78-SUM(PR78:RS78))))</f>
        <v>0</v>
      </c>
      <c r="RU78" s="20" t="n">
        <f aca="false">IF(H_Direct=1,IF(AMU77&lt;=0,0,IF(DU78&lt;=0,MIN(MAX(0,AB78-SUM(PR78:RT78)),AMU77),MIN(MAX(0,AB78-SUM(PR78:RT78)),AMU77-G78*MAX(0,DU78*AMU77-(YT78+ACG78))))),MIN(HH78,MAX(0,AB78-SUM(PR78:RT78))))</f>
        <v>0</v>
      </c>
      <c r="RV78" s="20" t="n">
        <f aca="false">IF(H_Direct=1,IF(AMV77&lt;=0,0,IF(DV78&lt;=0,MIN(MAX(0,AB78-SUM(PR78:RU78)),AMV77),MIN(MAX(0,AB78-SUM(PR78:RU78)),AMV77-G78*MAX(0,DV78*AMV77-(YU78+ACH78))))),MIN(HI78,MAX(0,AB78-SUM(PR78:RU78))))</f>
        <v>0</v>
      </c>
      <c r="RW78" s="20" t="n">
        <f aca="false">IF(H_Direct=1,IF(AMW77&lt;=0,0,IF(DW78&lt;=0,MIN(MAX(0,AB78-SUM(PR78:RV78)),AMW77),MIN(MAX(0,AB78-SUM(PR78:RV78)),AMW77-G78*MAX(0,DW78*AMW77-(YV78+ACI78))))),MIN(HJ78,MAX(0,AB78-SUM(PR78:RV78))))</f>
        <v>0</v>
      </c>
      <c r="RX78" s="20" t="n">
        <f aca="false">IF(H_Direct=1,IF(AMX77&lt;=0,0,IF(DX78&lt;=0,MIN(MAX(0,AB78-SUM(PR78:RW78)),AMX77),MIN(MAX(0,AB78-SUM(PR78:RW78)),AMX77-G78*MAX(0,DX78*AMX77-(YW78+ACJ78))))),MIN(HK78,MAX(0,AB78-SUM(PR78:RW78))))</f>
        <v>0</v>
      </c>
      <c r="RY78" s="20" t="n">
        <f aca="false">IF(H_Direct=1,IF(AMY77&lt;=0,0,IF(DY78&lt;=0,MIN(MAX(0,AB78-SUM(PR78:RX78)),AMY77),MIN(MAX(0,AB78-SUM(PR78:RX78)),AMY77-G78*MAX(0,DY78*AMY77-(YX78+ACK78))))),MIN(HL78,MAX(0,AB78-SUM(PR78:RX78))))</f>
        <v>0</v>
      </c>
      <c r="RZ78" s="20" t="n">
        <f aca="false">IF(H_Direct=1,IF(AMZ77&lt;=0,0,IF(DZ78&lt;=0,MIN(MAX(0,AB78-SUM(PR78:RY78)),AMZ77),MIN(MAX(0,AB78-SUM(PR78:RY78)),AMZ77-G78*MAX(0,DZ78*AMZ77-(YY78+ACL78))))),MIN(HM78,MAX(0,AB78-SUM(PR78:RY78))))</f>
        <v>0</v>
      </c>
      <c r="SA78" s="20" t="n">
        <f aca="false">IF(H_Direct=1,IF(ANA77&lt;=0,0,IF(EA78&lt;=0,MIN(MAX(0,AB78-SUM(PR78:RZ78)),ANA77),MIN(MAX(0,AB78-SUM(PR78:RZ78)),ANA77-G78*MAX(0,EA78*ANA77-(YZ78+ACM78))))),MIN(HN78,MAX(0,AB78-SUM(PR78:RZ78))))</f>
        <v>0</v>
      </c>
      <c r="SB78" s="20" t="n">
        <f aca="false">IF(H_Direct=1,IF(ANB77&lt;=0,0,IF(EB78&lt;=0,MIN(MAX(0,AB78-SUM(PR78:SA78)),ANB77),MIN(MAX(0,AB78-SUM(PR78:SA78)),ANB77-G78*MAX(0,EB78*ANB77-(ZA78+ACN78))))),MIN(HO78,MAX(0,AB78-SUM(PR78:SA78))))</f>
        <v>0</v>
      </c>
      <c r="SC78" s="20" t="n">
        <f aca="false">IF(H_Direct=1,IF(ANC77&lt;=0,0,IF(EC78&lt;=0,MIN(MAX(0,AB78-SUM(PR78:SB78)),ANC77),MIN(MAX(0,AB78-SUM(PR78:SB78)),ANC77-G78*MAX(0,EC78*ANC77-(ZB78+ACO78))))),MIN(HP78,MAX(0,AB78-SUM(PR78:SB78))))</f>
        <v>0</v>
      </c>
      <c r="SD78" s="20" t="n">
        <f aca="false">IF(H_Direct=1,IF(AND77&lt;=0,0,IF(ED78&lt;=0,MIN(MAX(0,AB78-SUM(PR78:SC78)),AND77),MIN(MAX(0,AB78-SUM(PR78:SC78)),AND77-G78*MAX(0,ED78*AND77-(ZC78+ACP78))))),MIN(HQ78,MAX(0,AB78-SUM(PR78:SC78))))</f>
        <v>0</v>
      </c>
      <c r="SE78" s="20" t="n">
        <f aca="false">IF(H_Direct=1,IF(ANE77&lt;=0,0,IF(EE78&lt;=0,MIN(MAX(0,AB78-SUM(PR78:SD78)),ANE77),MIN(MAX(0,AB78-SUM(PR78:SD78)),ANE77-G78*MAX(0,EE78*ANE77-(ZD78+ACQ78))))),MIN(HR78,MAX(0,AB78-SUM(PR78:SD78))))</f>
        <v>0</v>
      </c>
      <c r="SF78" s="20" t="n">
        <f aca="false">IF(H_Direct=1,IF(ANF77&lt;=0,0,IF(EF78&lt;=0,MIN(MAX(0,AB78-SUM(PR78:SE78)),ANF77),MIN(MAX(0,AB78-SUM(PR78:SE78)),ANF77-G78*MAX(0,EF78*ANF77-(ZE78+ACR78))))),MIN(HS78,MAX(0,AB78-SUM(PR78:SE78))))</f>
        <v>0</v>
      </c>
      <c r="SG78" s="20" t="n">
        <f aca="false">IF(H_Direct=1,IF(ANG77&lt;=0,0,IF(EG78&lt;=0,MIN(MAX(0,AB78-SUM(PR78:SF78)),ANG77),MIN(MAX(0,AB78-SUM(PR78:SF78)),ANG77-G78*MAX(0,EG78*ANG77-(ZF78+ACS78))))),MIN(HT78,MAX(0,AB78-SUM(PR78:SF78))))</f>
        <v>0</v>
      </c>
      <c r="SH78" s="20" t="n">
        <f aca="false">IF(H_Direct=1,IF(ANH77&lt;=0,0,IF(EH78&lt;=0,MIN(MAX(0,AB78-SUM(PR78:SG78)),ANH77),MIN(MAX(0,AB78-SUM(PR78:SG78)),ANH77-G78*MAX(0,EH78*ANH77-(ZG78+ACT78))))),MIN(HU78,MAX(0,AB78-SUM(PR78:SG78))))</f>
        <v>0</v>
      </c>
      <c r="SI78" s="20" t="n">
        <f aca="false">IF(H_Direct=1,IF(ANI77&lt;=0,0,IF(EI78&lt;=0,MIN(MAX(0,AB78-SUM(PR78:SH78)),ANI77),MIN(MAX(0,AB78-SUM(PR78:SH78)),ANI77-G78*MAX(0,EI78*ANI77-(ZH78+ACU78))))),MIN(HV78,MAX(0,AB78-SUM(PR78:SH78))))</f>
        <v>0</v>
      </c>
      <c r="SJ78" s="20" t="n">
        <f aca="false">IF(H_Direct=1,IF(ANJ77&lt;=0,0,IF(EJ78&lt;=0,MIN(MAX(0,AB78-SUM(PR78:SI78)),ANJ77),MIN(MAX(0,AB78-SUM(PR78:SI78)),ANJ77-G78*MAX(0,EJ78*ANJ77-(ZI78+ACV78))))),MIN(HW78,MAX(0,AB78-SUM(PR78:SI78))))</f>
        <v>0</v>
      </c>
      <c r="SK78" s="20" t="n">
        <f aca="false">IF(H_Direct=1,IF((P78+S78)&lt;=0,0,IF(EK78&lt;=0,MIN(MAX(0,AB78-SUM(PR78:SJ78)),(P78+S78)),MIN(MAX(0,AB78-SUM(PR78:SJ78)),(P78+S78)-G78*MAX(0,EK78*(P78+S78)-(ZJ78+ACW78))))),MIN(HX78,MAX(0,AB78-SUM(PR78:SJ78))))</f>
        <v>0</v>
      </c>
      <c r="SL78" s="20" t="n">
        <v>0</v>
      </c>
      <c r="SM78" s="20" t="n">
        <v>0</v>
      </c>
      <c r="SN78" s="20" t="n">
        <v>0</v>
      </c>
      <c r="SO78" s="20" t="n">
        <v>0</v>
      </c>
      <c r="SP78" s="20" t="n">
        <v>0</v>
      </c>
      <c r="SQ78" s="20" t="n">
        <v>0</v>
      </c>
      <c r="SR78" s="20" t="n">
        <v>0</v>
      </c>
      <c r="SS78" s="20" t="n">
        <v>0</v>
      </c>
      <c r="ST78" s="20" t="n">
        <v>0</v>
      </c>
      <c r="SU78" s="20" t="n">
        <v>0</v>
      </c>
      <c r="SV78" s="20" t="n">
        <v>0</v>
      </c>
      <c r="SW78" s="20" t="n">
        <v>0</v>
      </c>
      <c r="SX78" s="20" t="n">
        <v>0</v>
      </c>
      <c r="SY78" s="20" t="n">
        <v>0</v>
      </c>
      <c r="SZ78" s="20" t="n">
        <v>0</v>
      </c>
      <c r="TA78" s="20" t="n">
        <v>0</v>
      </c>
      <c r="TB78" s="20" t="n">
        <v>0</v>
      </c>
      <c r="TC78" s="20" t="n">
        <v>0</v>
      </c>
      <c r="TD78" s="20" t="n">
        <v>0</v>
      </c>
      <c r="TE78" s="20" t="n">
        <f aca="false">IF(AKR77&lt;=0,0,IF(H_Direct=1,IF(BR78&lt;=0,PR78,IF(PR78&lt;=(H78+I78)/BR78,PR78,(PR78-G78*(H78+I78))/(1-G78*BR78))),PR78/(1-MAX(0,BR78)*H_Exit)))</f>
        <v>0</v>
      </c>
      <c r="TF78" s="20" t="n">
        <f aca="false">IF(AKS77&lt;=0,0,IF(H_Direct=1,IF(BS78&lt;=0,PS78,IF(PS78&lt;=(WR78+AAE78)/BS78,PS78,(PS78-G78*(WR78+AAE78))/(1-G78*BS78))),PS78/(1-MAX(0,BS78)*H_Exit)))</f>
        <v>0</v>
      </c>
      <c r="TG78" s="20" t="n">
        <f aca="false">IF(AKT77&lt;=0,0,IF(H_Direct=1,IF(BT78&lt;=0,PT78,IF(PT78&lt;=(WS78+AAF78)/BT78,PT78,(PT78-G78*(WS78+AAF78))/(1-G78*BT78))),PT78/(1-MAX(0,BT78)*H_Exit)))</f>
        <v>0</v>
      </c>
      <c r="TH78" s="20" t="n">
        <f aca="false">IF(AKU77&lt;=0,0,IF(H_Direct=1,IF(BU78&lt;=0,PU78,IF(PU78&lt;=(WT78+AAG78)/BU78,PU78,(PU78-G78*(WT78+AAG78))/(1-G78*BU78))),PU78/(1-MAX(0,BU78)*H_Exit)))</f>
        <v>0</v>
      </c>
      <c r="TI78" s="20" t="n">
        <f aca="false">IF(AKV77&lt;=0,0,IF(H_Direct=1,IF(BV78&lt;=0,PV78,IF(PV78&lt;=(WU78+AAH78)/BV78,PV78,(PV78-G78*(WU78+AAH78))/(1-G78*BV78))),PV78/(1-MAX(0,BV78)*H_Exit)))</f>
        <v>0</v>
      </c>
      <c r="TJ78" s="20" t="n">
        <f aca="false">IF(AKW77&lt;=0,0,IF(H_Direct=1,IF(BW78&lt;=0,PW78,IF(PW78&lt;=(WV78+AAI78)/BW78,PW78,(PW78-G78*(WV78+AAI78))/(1-G78*BW78))),PW78/(1-MAX(0,BW78)*H_Exit)))</f>
        <v>0</v>
      </c>
      <c r="TK78" s="20" t="n">
        <f aca="false">IF(AKX77&lt;=0,0,IF(H_Direct=1,IF(BX78&lt;=0,PX78,IF(PX78&lt;=(WW78+AAJ78)/BX78,PX78,(PX78-G78*(WW78+AAJ78))/(1-G78*BX78))),PX78/(1-MAX(0,BX78)*H_Exit)))</f>
        <v>0</v>
      </c>
      <c r="TL78" s="20" t="n">
        <f aca="false">IF(AKY77&lt;=0,0,IF(H_Direct=1,IF(BY78&lt;=0,PY78,IF(PY78&lt;=(WX78+AAK78)/BY78,PY78,(PY78-G78*(WX78+AAK78))/(1-G78*BY78))),PY78/(1-MAX(0,BY78)*H_Exit)))</f>
        <v>0</v>
      </c>
      <c r="TM78" s="20" t="n">
        <f aca="false">IF(AKZ77&lt;=0,0,IF(H_Direct=1,IF(BZ78&lt;=0,PZ78,IF(PZ78&lt;=(WY78+AAL78)/BZ78,PZ78,(PZ78-G78*(WY78+AAL78))/(1-G78*BZ78))),PZ78/(1-MAX(0,BZ78)*H_Exit)))</f>
        <v>0</v>
      </c>
      <c r="TN78" s="20" t="n">
        <f aca="false">IF(ALA77&lt;=0,0,IF(H_Direct=1,IF(CA78&lt;=0,QA78,IF(QA78&lt;=(WZ78+AAM78)/CA78,QA78,(QA78-G78*(WZ78+AAM78))/(1-G78*CA78))),QA78/(1-MAX(0,CA78)*H_Exit)))</f>
        <v>0</v>
      </c>
      <c r="TO78" s="20" t="n">
        <f aca="false">IF(ALB77&lt;=0,0,IF(H_Direct=1,IF(CB78&lt;=0,QB78,IF(QB78&lt;=(XA78+AAN78)/CB78,QB78,(QB78-G78*(XA78+AAN78))/(1-G78*CB78))),QB78/(1-MAX(0,CB78)*H_Exit)))</f>
        <v>0</v>
      </c>
      <c r="TP78" s="20" t="n">
        <f aca="false">IF(ALC77&lt;=0,0,IF(H_Direct=1,IF(CC78&lt;=0,QC78,IF(QC78&lt;=(XB78+AAO78)/CC78,QC78,(QC78-G78*(XB78+AAO78))/(1-G78*CC78))),QC78/(1-MAX(0,CC78)*H_Exit)))</f>
        <v>0</v>
      </c>
      <c r="TQ78" s="20" t="n">
        <f aca="false">IF(ALD77&lt;=0,0,IF(H_Direct=1,IF(CD78&lt;=0,QD78,IF(QD78&lt;=(XC78+AAP78)/CD78,QD78,(QD78-G78*(XC78+AAP78))/(1-G78*CD78))),QD78/(1-MAX(0,CD78)*H_Exit)))</f>
        <v>0</v>
      </c>
      <c r="TR78" s="20" t="n">
        <f aca="false">IF(ALE77&lt;=0,0,IF(H_Direct=1,IF(CE78&lt;=0,QE78,IF(QE78&lt;=(XD78+AAQ78)/CE78,QE78,(QE78-G78*(XD78+AAQ78))/(1-G78*CE78))),QE78/(1-MAX(0,CE78)*H_Exit)))</f>
        <v>0</v>
      </c>
      <c r="TS78" s="20" t="n">
        <f aca="false">IF(ALF77&lt;=0,0,IF(H_Direct=1,IF(CF78&lt;=0,QF78,IF(QF78&lt;=(XE78+AAR78)/CF78,QF78,(QF78-G78*(XE78+AAR78))/(1-G78*CF78))),QF78/(1-MAX(0,CF78)*H_Exit)))</f>
        <v>0</v>
      </c>
      <c r="TT78" s="20" t="n">
        <f aca="false">IF(ALG77&lt;=0,0,IF(H_Direct=1,IF(CG78&lt;=0,QG78,IF(QG78&lt;=(XF78+AAS78)/CG78,QG78,(QG78-G78*(XF78+AAS78))/(1-G78*CG78))),QG78/(1-MAX(0,CG78)*H_Exit)))</f>
        <v>0</v>
      </c>
      <c r="TU78" s="20" t="n">
        <f aca="false">IF(ALH77&lt;=0,0,IF(H_Direct=1,IF(CH78&lt;=0,QH78,IF(QH78&lt;=(XG78+AAT78)/CH78,QH78,(QH78-G78*(XG78+AAT78))/(1-G78*CH78))),QH78/(1-MAX(0,CH78)*H_Exit)))</f>
        <v>0</v>
      </c>
      <c r="TV78" s="20" t="n">
        <f aca="false">IF(ALI77&lt;=0,0,IF(H_Direct=1,IF(CI78&lt;=0,QI78,IF(QI78&lt;=(XH78+AAU78)/CI78,QI78,(QI78-G78*(XH78+AAU78))/(1-G78*CI78))),QI78/(1-MAX(0,CI78)*H_Exit)))</f>
        <v>0</v>
      </c>
      <c r="TW78" s="20" t="n">
        <f aca="false">IF(ALJ77&lt;=0,0,IF(H_Direct=1,IF(CJ78&lt;=0,QJ78,IF(QJ78&lt;=(XI78+AAV78)/CJ78,QJ78,(QJ78-G78*(XI78+AAV78))/(1-G78*CJ78))),QJ78/(1-MAX(0,CJ78)*H_Exit)))</f>
        <v>0</v>
      </c>
      <c r="TX78" s="20" t="n">
        <f aca="false">IF(ALK77&lt;=0,0,IF(H_Direct=1,IF(CK78&lt;=0,QK78,IF(QK78&lt;=(XJ78+AAW78)/CK78,QK78,(QK78-G78*(XJ78+AAW78))/(1-G78*CK78))),QK78/(1-MAX(0,CK78)*H_Exit)))</f>
        <v>0</v>
      </c>
      <c r="TY78" s="20" t="n">
        <f aca="false">IF(ALL77&lt;=0,0,IF(H_Direct=1,IF(CL78&lt;=0,QL78,IF(QL78&lt;=(XK78+AAX78)/CL78,QL78,(QL78-G78*(XK78+AAX78))/(1-G78*CL78))),QL78/(1-MAX(0,CL78)*H_Exit)))</f>
        <v>0</v>
      </c>
      <c r="TZ78" s="20" t="n">
        <f aca="false">IF(ALM77&lt;=0,0,IF(H_Direct=1,IF(CM78&lt;=0,QM78,IF(QM78&lt;=(XL78+AAY78)/CM78,QM78,(QM78-G78*(XL78+AAY78))/(1-G78*CM78))),QM78/(1-MAX(0,CM78)*H_Exit)))</f>
        <v>0</v>
      </c>
      <c r="UA78" s="20" t="n">
        <f aca="false">IF(ALN77&lt;=0,0,IF(H_Direct=1,IF(CN78&lt;=0,QN78,IF(QN78&lt;=(XM78+AAZ78)/CN78,QN78,(QN78-G78*(XM78+AAZ78))/(1-G78*CN78))),QN78/(1-MAX(0,CN78)*H_Exit)))</f>
        <v>0</v>
      </c>
      <c r="UB78" s="20" t="n">
        <f aca="false">IF(ALO77&lt;=0,0,IF(H_Direct=1,IF(CO78&lt;=0,QO78,IF(QO78&lt;=(XN78+ABA78)/CO78,QO78,(QO78-G78*(XN78+ABA78))/(1-G78*CO78))),QO78/(1-MAX(0,CO78)*H_Exit)))</f>
        <v>0</v>
      </c>
      <c r="UC78" s="20" t="n">
        <f aca="false">IF(ALP77&lt;=0,0,IF(H_Direct=1,IF(CP78&lt;=0,QP78,IF(QP78&lt;=(XO78+ABB78)/CP78,QP78,(QP78-G78*(XO78+ABB78))/(1-G78*CP78))),QP78/(1-MAX(0,CP78)*H_Exit)))</f>
        <v>0</v>
      </c>
      <c r="UD78" s="20" t="n">
        <f aca="false">IF(ALQ77&lt;=0,0,IF(H_Direct=1,IF(CQ78&lt;=0,QQ78,IF(QQ78&lt;=(XP78+ABC78)/CQ78,QQ78,(QQ78-G78*(XP78+ABC78))/(1-G78*CQ78))),QQ78/(1-MAX(0,CQ78)*H_Exit)))</f>
        <v>0</v>
      </c>
      <c r="UE78" s="20" t="n">
        <f aca="false">IF(ALR77&lt;=0,0,IF(H_Direct=1,IF(CR78&lt;=0,QR78,IF(QR78&lt;=(XQ78+ABD78)/CR78,QR78,(QR78-G78*(XQ78+ABD78))/(1-G78*CR78))),QR78/(1-MAX(0,CR78)*H_Exit)))</f>
        <v>0</v>
      </c>
      <c r="UF78" s="20" t="n">
        <f aca="false">IF(ALS77&lt;=0,0,IF(H_Direct=1,IF(CS78&lt;=0,QS78,IF(QS78&lt;=(XR78+ABE78)/CS78,QS78,(QS78-G78*(XR78+ABE78))/(1-G78*CS78))),QS78/(1-MAX(0,CS78)*H_Exit)))</f>
        <v>0</v>
      </c>
      <c r="UG78" s="20" t="n">
        <f aca="false">IF(ALT77&lt;=0,0,IF(H_Direct=1,IF(CT78&lt;=0,QT78,IF(QT78&lt;=(XS78+ABF78)/CT78,QT78,(QT78-G78*(XS78+ABF78))/(1-G78*CT78))),QT78/(1-MAX(0,CT78)*H_Exit)))</f>
        <v>0</v>
      </c>
      <c r="UH78" s="20" t="n">
        <f aca="false">IF(ALU77&lt;=0,0,IF(H_Direct=1,IF(CU78&lt;=0,QU78,IF(QU78&lt;=(XT78+ABG78)/CU78,QU78,(QU78-G78*(XT78+ABG78))/(1-G78*CU78))),QU78/(1-MAX(0,CU78)*H_Exit)))</f>
        <v>0</v>
      </c>
      <c r="UI78" s="20" t="n">
        <f aca="false">IF(ALV77&lt;=0,0,IF(H_Direct=1,IF(CV78&lt;=0,QV78,IF(QV78&lt;=(XU78+ABH78)/CV78,QV78,(QV78-G78*(XU78+ABH78))/(1-G78*CV78))),QV78/(1-MAX(0,CV78)*H_Exit)))</f>
        <v>0</v>
      </c>
      <c r="UJ78" s="20" t="n">
        <f aca="false">IF(ALW77&lt;=0,0,IF(H_Direct=1,IF(CW78&lt;=0,QW78,IF(QW78&lt;=(XV78+ABI78)/CW78,QW78,(QW78-G78*(XV78+ABI78))/(1-G78*CW78))),QW78/(1-MAX(0,CW78)*H_Exit)))</f>
        <v>0</v>
      </c>
      <c r="UK78" s="20" t="n">
        <f aca="false">IF(ALX77&lt;=0,0,IF(H_Direct=1,IF(CX78&lt;=0,QX78,IF(QX78&lt;=(XW78+ABJ78)/CX78,QX78,(QX78-G78*(XW78+ABJ78))/(1-G78*CX78))),QX78/(1-MAX(0,CX78)*H_Exit)))</f>
        <v>0</v>
      </c>
      <c r="UL78" s="20" t="n">
        <f aca="false">IF(ALY77&lt;=0,0,IF(H_Direct=1,IF(CY78&lt;=0,QY78,IF(QY78&lt;=(XX78+ABK78)/CY78,QY78,(QY78-G78*(XX78+ABK78))/(1-G78*CY78))),QY78/(1-MAX(0,CY78)*H_Exit)))</f>
        <v>0</v>
      </c>
      <c r="UM78" s="20" t="n">
        <f aca="false">IF(ALZ77&lt;=0,0,IF(H_Direct=1,IF(CZ78&lt;=0,QZ78,IF(QZ78&lt;=(XY78+ABL78)/CZ78,QZ78,(QZ78-G78*(XY78+ABL78))/(1-G78*CZ78))),QZ78/(1-MAX(0,CZ78)*H_Exit)))</f>
        <v>0</v>
      </c>
      <c r="UN78" s="20" t="n">
        <f aca="false">IF(AMA77&lt;=0,0,IF(H_Direct=1,IF(DA78&lt;=0,RA78,IF(RA78&lt;=(XZ78+ABM78)/DA78,RA78,(RA78-G78*(XZ78+ABM78))/(1-G78*DA78))),RA78/(1-MAX(0,DA78)*H_Exit)))</f>
        <v>0</v>
      </c>
      <c r="UO78" s="20" t="n">
        <f aca="false">IF(AMB77&lt;=0,0,IF(H_Direct=1,IF(DB78&lt;=0,RB78,IF(RB78&lt;=(YA78+ABN78)/DB78,RB78,(RB78-G78*(YA78+ABN78))/(1-G78*DB78))),RB78/(1-MAX(0,DB78)*H_Exit)))</f>
        <v>0</v>
      </c>
      <c r="UP78" s="20" t="n">
        <f aca="false">IF(AMC77&lt;=0,0,IF(H_Direct=1,IF(DC78&lt;=0,RC78,IF(RC78&lt;=(YB78+ABO78)/DC78,RC78,(RC78-G78*(YB78+ABO78))/(1-G78*DC78))),RC78/(1-MAX(0,DC78)*H_Exit)))</f>
        <v>0</v>
      </c>
      <c r="UQ78" s="20" t="n">
        <f aca="false">IF(AMD77&lt;=0,0,IF(H_Direct=1,IF(DD78&lt;=0,RD78,IF(RD78&lt;=(YC78+ABP78)/DD78,RD78,(RD78-G78*(YC78+ABP78))/(1-G78*DD78))),RD78/(1-MAX(0,DD78)*H_Exit)))</f>
        <v>0</v>
      </c>
      <c r="UR78" s="20" t="n">
        <f aca="false">IF(AME77&lt;=0,0,IF(H_Direct=1,IF(DE78&lt;=0,RE78,IF(RE78&lt;=(YD78+ABQ78)/DE78,RE78,(RE78-G78*(YD78+ABQ78))/(1-G78*DE78))),RE78/(1-MAX(0,DE78)*H_Exit)))</f>
        <v>0</v>
      </c>
      <c r="US78" s="20" t="n">
        <f aca="false">IF(AMF77&lt;=0,0,IF(H_Direct=1,IF(DF78&lt;=0,RF78,IF(RF78&lt;=(YE78+ABR78)/DF78,RF78,(RF78-G78*(YE78+ABR78))/(1-G78*DF78))),RF78/(1-MAX(0,DF78)*H_Exit)))</f>
        <v>0</v>
      </c>
      <c r="UT78" s="20" t="n">
        <f aca="false">IF(AMG77&lt;=0,0,IF(H_Direct=1,IF(DG78&lt;=0,RG78,IF(RG78&lt;=(YF78+ABS78)/DG78,RG78,(RG78-G78*(YF78+ABS78))/(1-G78*DG78))),RG78/(1-MAX(0,DG78)*H_Exit)))</f>
        <v>0</v>
      </c>
      <c r="UU78" s="20" t="n">
        <f aca="false">IF(AMH77&lt;=0,0,IF(H_Direct=1,IF(DH78&lt;=0,RH78,IF(RH78&lt;=(YG78+ABT78)/DH78,RH78,(RH78-G78*(YG78+ABT78))/(1-G78*DH78))),RH78/(1-MAX(0,DH78)*H_Exit)))</f>
        <v>0</v>
      </c>
      <c r="UV78" s="20" t="n">
        <f aca="false">IF(AMI77&lt;=0,0,IF(H_Direct=1,IF(DI78&lt;=0,RI78,IF(RI78&lt;=(YH78+ABU78)/DI78,RI78,(RI78-G78*(YH78+ABU78))/(1-G78*DI78))),RI78/(1-MAX(0,DI78)*H_Exit)))</f>
        <v>0</v>
      </c>
      <c r="UW78" s="20" t="n">
        <f aca="false">IF(AMJ77&lt;=0,0,IF(H_Direct=1,IF(DJ78&lt;=0,RJ78,IF(RJ78&lt;=(YI78+ABV78)/DJ78,RJ78,(RJ78-G78*(YI78+ABV78))/(1-G78*DJ78))),RJ78/(1-MAX(0,DJ78)*H_Exit)))</f>
        <v>0</v>
      </c>
      <c r="UX78" s="20" t="n">
        <f aca="false">IF(AMK77&lt;=0,0,IF(H_Direct=1,IF(DK78&lt;=0,RK78,IF(RK78&lt;=(YJ78+ABW78)/DK78,RK78,(RK78-G78*(YJ78+ABW78))/(1-G78*DK78))),RK78/(1-MAX(0,DK78)*H_Exit)))</f>
        <v>0</v>
      </c>
      <c r="UY78" s="20" t="n">
        <f aca="false">IF(AML77&lt;=0,0,IF(H_Direct=1,IF(DL78&lt;=0,RL78,IF(RL78&lt;=(YK78+ABX78)/DL78,RL78,(RL78-G78*(YK78+ABX78))/(1-G78*DL78))),RL78/(1-MAX(0,DL78)*H_Exit)))</f>
        <v>0</v>
      </c>
      <c r="UZ78" s="20" t="n">
        <f aca="false">IF(AMM77&lt;=0,0,IF(H_Direct=1,IF(DM78&lt;=0,RM78,IF(RM78&lt;=(YL78+ABY78)/DM78,RM78,(RM78-G78*(YL78+ABY78))/(1-G78*DM78))),RM78/(1-MAX(0,DM78)*H_Exit)))</f>
        <v>0</v>
      </c>
      <c r="VA78" s="20" t="n">
        <f aca="false">IF(AMN77&lt;=0,0,IF(H_Direct=1,IF(DN78&lt;=0,RN78,IF(RN78&lt;=(YM78+ABZ78)/DN78,RN78,(RN78-G78*(YM78+ABZ78))/(1-G78*DN78))),RN78/(1-MAX(0,DN78)*H_Exit)))</f>
        <v>0</v>
      </c>
      <c r="VB78" s="20" t="n">
        <f aca="false">IF(AMO77&lt;=0,0,IF(H_Direct=1,IF(DO78&lt;=0,RO78,IF(RO78&lt;=(YN78+ACA78)/DO78,RO78,(RO78-G78*(YN78+ACA78))/(1-G78*DO78))),RO78/(1-MAX(0,DO78)*H_Exit)))</f>
        <v>0</v>
      </c>
      <c r="VC78" s="20" t="n">
        <f aca="false">IF(AMP77&lt;=0,0,IF(H_Direct=1,IF(DP78&lt;=0,RP78,IF(RP78&lt;=(YO78+ACB78)/DP78,RP78,(RP78-G78*(YO78+ACB78))/(1-G78*DP78))),RP78/(1-MAX(0,DP78)*H_Exit)))</f>
        <v>0</v>
      </c>
      <c r="VD78" s="20" t="n">
        <f aca="false">IF(AMQ77&lt;=0,0,IF(H_Direct=1,IF(DQ78&lt;=0,RQ78,IF(RQ78&lt;=(YP78+ACC78)/DQ78,RQ78,(RQ78-G78*(YP78+ACC78))/(1-G78*DQ78))),RQ78/(1-MAX(0,DQ78)*H_Exit)))</f>
        <v>0</v>
      </c>
      <c r="VE78" s="20" t="n">
        <f aca="false">IF(AMR77&lt;=0,0,IF(H_Direct=1,IF(DR78&lt;=0,RR78,IF(RR78&lt;=(YQ78+ACD78)/DR78,RR78,(RR78-G78*(YQ78+ACD78))/(1-G78*DR78))),RR78/(1-MAX(0,DR78)*H_Exit)))</f>
        <v>0</v>
      </c>
      <c r="VF78" s="20" t="n">
        <f aca="false">IF(AMS77&lt;=0,0,IF(H_Direct=1,IF(DS78&lt;=0,RS78,IF(RS78&lt;=(YR78+ACE78)/DS78,RS78,(RS78-G78*(YR78+ACE78))/(1-G78*DS78))),RS78/(1-MAX(0,DS78)*H_Exit)))</f>
        <v>0</v>
      </c>
      <c r="VG78" s="20" t="n">
        <f aca="false">IF(AMT77&lt;=0,0,IF(H_Direct=1,IF(DT78&lt;=0,RT78,IF(RT78&lt;=(YS78+ACF78)/DT78,RT78,(RT78-G78*(YS78+ACF78))/(1-G78*DT78))),RT78/(1-MAX(0,DT78)*H_Exit)))</f>
        <v>0</v>
      </c>
      <c r="VH78" s="20" t="n">
        <f aca="false">IF(AMU77&lt;=0,0,IF(H_Direct=1,IF(DU78&lt;=0,RU78,IF(RU78&lt;=(YT78+ACG78)/DU78,RU78,(RU78-G78*(YT78+ACG78))/(1-G78*DU78))),RU78/(1-MAX(0,DU78)*H_Exit)))</f>
        <v>0</v>
      </c>
      <c r="VI78" s="20" t="n">
        <f aca="false">IF(AMV77&lt;=0,0,IF(H_Direct=1,IF(DV78&lt;=0,RV78,IF(RV78&lt;=(YU78+ACH78)/DV78,RV78,(RV78-G78*(YU78+ACH78))/(1-G78*DV78))),RV78/(1-MAX(0,DV78)*H_Exit)))</f>
        <v>0</v>
      </c>
      <c r="VJ78" s="20" t="n">
        <f aca="false">IF(AMW77&lt;=0,0,IF(H_Direct=1,IF(DW78&lt;=0,RW78,IF(RW78&lt;=(YV78+ACI78)/DW78,RW78,(RW78-G78*(YV78+ACI78))/(1-G78*DW78))),RW78/(1-MAX(0,DW78)*H_Exit)))</f>
        <v>0</v>
      </c>
      <c r="VK78" s="20" t="n">
        <f aca="false">IF(AMX77&lt;=0,0,IF(H_Direct=1,IF(DX78&lt;=0,RX78,IF(RX78&lt;=(YW78+ACJ78)/DX78,RX78,(RX78-G78*(YW78+ACJ78))/(1-G78*DX78))),RX78/(1-MAX(0,DX78)*H_Exit)))</f>
        <v>0</v>
      </c>
      <c r="VL78" s="20" t="n">
        <f aca="false">IF(AMY77&lt;=0,0,IF(H_Direct=1,IF(DY78&lt;=0,RY78,IF(RY78&lt;=(YX78+ACK78)/DY78,RY78,(RY78-G78*(YX78+ACK78))/(1-G78*DY78))),RY78/(1-MAX(0,DY78)*H_Exit)))</f>
        <v>0</v>
      </c>
      <c r="VM78" s="20" t="n">
        <f aca="false">IF(AMZ77&lt;=0,0,IF(H_Direct=1,IF(DZ78&lt;=0,RZ78,IF(RZ78&lt;=(YY78+ACL78)/DZ78,RZ78,(RZ78-G78*(YY78+ACL78))/(1-G78*DZ78))),RZ78/(1-MAX(0,DZ78)*H_Exit)))</f>
        <v>0</v>
      </c>
      <c r="VN78" s="20" t="n">
        <f aca="false">IF(ANA77&lt;=0,0,IF(H_Direct=1,IF(EA78&lt;=0,SA78,IF(SA78&lt;=(YZ78+ACM78)/EA78,SA78,(SA78-G78*(YZ78+ACM78))/(1-G78*EA78))),SA78/(1-MAX(0,EA78)*H_Exit)))</f>
        <v>0</v>
      </c>
      <c r="VO78" s="20" t="n">
        <f aca="false">IF(ANB77&lt;=0,0,IF(H_Direct=1,IF(EB78&lt;=0,SB78,IF(SB78&lt;=(ZA78+ACN78)/EB78,SB78,(SB78-G78*(ZA78+ACN78))/(1-G78*EB78))),SB78/(1-MAX(0,EB78)*H_Exit)))</f>
        <v>0</v>
      </c>
      <c r="VP78" s="20" t="n">
        <f aca="false">IF(ANC77&lt;=0,0,IF(H_Direct=1,IF(EC78&lt;=0,SC78,IF(SC78&lt;=(ZB78+ACO78)/EC78,SC78,(SC78-G78*(ZB78+ACO78))/(1-G78*EC78))),SC78/(1-MAX(0,EC78)*H_Exit)))</f>
        <v>0</v>
      </c>
      <c r="VQ78" s="20" t="n">
        <f aca="false">IF(AND77&lt;=0,0,IF(H_Direct=1,IF(ED78&lt;=0,SD78,IF(SD78&lt;=(ZC78+ACP78)/ED78,SD78,(SD78-G78*(ZC78+ACP78))/(1-G78*ED78))),SD78/(1-MAX(0,ED78)*H_Exit)))</f>
        <v>0</v>
      </c>
      <c r="VR78" s="20" t="n">
        <f aca="false">IF(ANE77&lt;=0,0,IF(H_Direct=1,IF(EE78&lt;=0,SE78,IF(SE78&lt;=(ZD78+ACQ78)/EE78,SE78,(SE78-G78*(ZD78+ACQ78))/(1-G78*EE78))),SE78/(1-MAX(0,EE78)*H_Exit)))</f>
        <v>0</v>
      </c>
      <c r="VS78" s="20" t="n">
        <f aca="false">IF(ANF77&lt;=0,0,IF(H_Direct=1,IF(EF78&lt;=0,SF78,IF(SF78&lt;=(ZE78+ACR78)/EF78,SF78,(SF78-G78*(ZE78+ACR78))/(1-G78*EF78))),SF78/(1-MAX(0,EF78)*H_Exit)))</f>
        <v>0</v>
      </c>
      <c r="VT78" s="20" t="n">
        <f aca="false">IF(ANG77&lt;=0,0,IF(H_Direct=1,IF(EG78&lt;=0,SG78,IF(SG78&lt;=(ZF78+ACS78)/EG78,SG78,(SG78-G78*(ZF78+ACS78))/(1-G78*EG78))),SG78/(1-MAX(0,EG78)*H_Exit)))</f>
        <v>0</v>
      </c>
      <c r="VU78" s="20" t="n">
        <f aca="false">IF(ANH77&lt;=0,0,IF(H_Direct=1,IF(EH78&lt;=0,SH78,IF(SH78&lt;=(ZG78+ACT78)/EH78,SH78,(SH78-G78*(ZG78+ACT78))/(1-G78*EH78))),SH78/(1-MAX(0,EH78)*H_Exit)))</f>
        <v>0</v>
      </c>
      <c r="VV78" s="20" t="n">
        <f aca="false">IF(ANI77&lt;=0,0,IF(H_Direct=1,IF(EI78&lt;=0,SI78,IF(SI78&lt;=(ZH78+ACU78)/EI78,SI78,(SI78-G78*(ZH78+ACU78))/(1-G78*EI78))),SI78/(1-MAX(0,EI78)*H_Exit)))</f>
        <v>0</v>
      </c>
      <c r="VW78" s="20" t="n">
        <f aca="false">IF(ANJ77&lt;=0,0,IF(H_Direct=1,IF(EJ78&lt;=0,SJ78,IF(SJ78&lt;=(ZI78+ACV78)/EJ78,SJ78,(SJ78-G78*(ZI78+ACV78))/(1-G78*EJ78))),SJ78/(1-MAX(0,EJ78)*H_Exit)))</f>
        <v>0</v>
      </c>
      <c r="VX78" s="20" t="n">
        <f aca="false">IF((P78+S78)&lt;=0,0,IF(H_Direct=1,IF(EK78&lt;=0,SK78,IF(SK78&lt;=(ZJ78+ACW78)/EK78,SK78,(SK78-G78*(ZJ78+ACW78))/(1-G78*EK78))),SK78/(1-MAX(0,EK78)*H_Exit)))</f>
        <v>0</v>
      </c>
      <c r="VY78" s="20" t="n">
        <v>0</v>
      </c>
      <c r="VZ78" s="20" t="n">
        <v>0</v>
      </c>
      <c r="WA78" s="20" t="n">
        <v>0</v>
      </c>
      <c r="WB78" s="20" t="n">
        <v>0</v>
      </c>
      <c r="WC78" s="20" t="n">
        <v>0</v>
      </c>
      <c r="WD78" s="20" t="n">
        <v>0</v>
      </c>
      <c r="WE78" s="20" t="n">
        <v>0</v>
      </c>
      <c r="WF78" s="20" t="n">
        <v>0</v>
      </c>
      <c r="WG78" s="20" t="n">
        <v>0</v>
      </c>
      <c r="WH78" s="20" t="n">
        <v>0</v>
      </c>
      <c r="WI78" s="20" t="n">
        <v>0</v>
      </c>
      <c r="WJ78" s="20" t="n">
        <v>0</v>
      </c>
      <c r="WK78" s="20" t="n">
        <v>0</v>
      </c>
      <c r="WL78" s="20" t="n">
        <v>0</v>
      </c>
      <c r="WM78" s="20" t="n">
        <v>0</v>
      </c>
      <c r="WN78" s="20" t="n">
        <v>0</v>
      </c>
      <c r="WO78" s="20" t="n">
        <v>0</v>
      </c>
      <c r="WP78" s="20" t="n">
        <v>0</v>
      </c>
      <c r="WQ78" s="20" t="n">
        <v>0</v>
      </c>
      <c r="WR78" s="20" t="n">
        <f aca="false">IF(AND(H_Direct=1,BR78&gt;0),MAX(0,H78-(MIN(BR78*TE78,(H78+I78))-MIN(MIN(BR78*TE78,(H78+I78)),I78))),H78)</f>
        <v>1270</v>
      </c>
      <c r="WS78" s="20" t="n">
        <f aca="false">IF(AND(H_Direct=1,BS78&gt;0),MAX(0,WR78-(MIN(BS78*TF78,(WR78+AAE78))-MIN(MIN(BS78*TF78,(WR78+AAE78)),AAE78))),WR78)</f>
        <v>1270</v>
      </c>
      <c r="WT78" s="20" t="n">
        <f aca="false">IF(AND(H_Direct=1,BT78&gt;0),MAX(0,WS78-(MIN(BT78*TG78,(WS78+AAF78))-MIN(MIN(BT78*TG78,(WS78+AAF78)),AAF78))),WS78)</f>
        <v>1270</v>
      </c>
      <c r="WU78" s="20" t="n">
        <f aca="false">IF(AND(H_Direct=1,BU78&gt;0),MAX(0,WT78-(MIN(BU78*TH78,(WT78+AAG78))-MIN(MIN(BU78*TH78,(WT78+AAG78)),AAG78))),WT78)</f>
        <v>1270</v>
      </c>
      <c r="WV78" s="20" t="n">
        <f aca="false">IF(AND(H_Direct=1,BV78&gt;0),MAX(0,WU78-(MIN(BV78*TI78,(WU78+AAH78))-MIN(MIN(BV78*TI78,(WU78+AAH78)),AAH78))),WU78)</f>
        <v>1270</v>
      </c>
      <c r="WW78" s="20" t="n">
        <f aca="false">IF(AND(H_Direct=1,BW78&gt;0),MAX(0,WV78-(MIN(BW78*TJ78,(WV78+AAI78))-MIN(MIN(BW78*TJ78,(WV78+AAI78)),AAI78))),WV78)</f>
        <v>1270</v>
      </c>
      <c r="WX78" s="20" t="n">
        <f aca="false">IF(AND(H_Direct=1,BX78&gt;0),MAX(0,WW78-(MIN(BX78*TK78,(WW78+AAJ78))-MIN(MIN(BX78*TK78,(WW78+AAJ78)),AAJ78))),WW78)</f>
        <v>1270</v>
      </c>
      <c r="WY78" s="20" t="n">
        <f aca="false">IF(AND(H_Direct=1,BY78&gt;0),MAX(0,WX78-(MIN(BY78*TL78,(WX78+AAK78))-MIN(MIN(BY78*TL78,(WX78+AAK78)),AAK78))),WX78)</f>
        <v>1270</v>
      </c>
      <c r="WZ78" s="20" t="n">
        <f aca="false">IF(AND(H_Direct=1,BZ78&gt;0),MAX(0,WY78-(MIN(BZ78*TM78,(WY78+AAL78))-MIN(MIN(BZ78*TM78,(WY78+AAL78)),AAL78))),WY78)</f>
        <v>1270</v>
      </c>
      <c r="XA78" s="20" t="n">
        <f aca="false">IF(AND(H_Direct=1,CA78&gt;0),MAX(0,WZ78-(MIN(CA78*TN78,(WZ78+AAM78))-MIN(MIN(CA78*TN78,(WZ78+AAM78)),AAM78))),WZ78)</f>
        <v>1270</v>
      </c>
      <c r="XB78" s="20" t="n">
        <f aca="false">IF(AND(H_Direct=1,CB78&gt;0),MAX(0,XA78-(MIN(CB78*TO78,(XA78+AAN78))-MIN(MIN(CB78*TO78,(XA78+AAN78)),AAN78))),XA78)</f>
        <v>1270</v>
      </c>
      <c r="XC78" s="20" t="n">
        <f aca="false">IF(AND(H_Direct=1,CC78&gt;0),MAX(0,XB78-(MIN(CC78*TP78,(XB78+AAO78))-MIN(MIN(CC78*TP78,(XB78+AAO78)),AAO78))),XB78)</f>
        <v>1270</v>
      </c>
      <c r="XD78" s="20" t="n">
        <f aca="false">IF(AND(H_Direct=1,CD78&gt;0),MAX(0,XC78-(MIN(CD78*TQ78,(XC78+AAP78))-MIN(MIN(CD78*TQ78,(XC78+AAP78)),AAP78))),XC78)</f>
        <v>1270</v>
      </c>
      <c r="XE78" s="20" t="n">
        <f aca="false">IF(AND(H_Direct=1,CE78&gt;0),MAX(0,XD78-(MIN(CE78*TR78,(XD78+AAQ78))-MIN(MIN(CE78*TR78,(XD78+AAQ78)),AAQ78))),XD78)</f>
        <v>1270</v>
      </c>
      <c r="XF78" s="20" t="n">
        <f aca="false">IF(AND(H_Direct=1,CF78&gt;0),MAX(0,XE78-(MIN(CF78*TS78,(XE78+AAR78))-MIN(MIN(CF78*TS78,(XE78+AAR78)),AAR78))),XE78)</f>
        <v>1270</v>
      </c>
      <c r="XG78" s="20" t="n">
        <f aca="false">IF(AND(H_Direct=1,CG78&gt;0),MAX(0,XF78-(MIN(CG78*TT78,(XF78+AAS78))-MIN(MIN(CG78*TT78,(XF78+AAS78)),AAS78))),XF78)</f>
        <v>1270</v>
      </c>
      <c r="XH78" s="20" t="n">
        <f aca="false">IF(AND(H_Direct=1,CH78&gt;0),MAX(0,XG78-(MIN(CH78*TU78,(XG78+AAT78))-MIN(MIN(CH78*TU78,(XG78+AAT78)),AAT78))),XG78)</f>
        <v>1270</v>
      </c>
      <c r="XI78" s="20" t="n">
        <f aca="false">IF(AND(H_Direct=1,CI78&gt;0),MAX(0,XH78-(MIN(CI78*TV78,(XH78+AAU78))-MIN(MIN(CI78*TV78,(XH78+AAU78)),AAU78))),XH78)</f>
        <v>1270</v>
      </c>
      <c r="XJ78" s="20" t="n">
        <f aca="false">IF(AND(H_Direct=1,CJ78&gt;0),MAX(0,XI78-(MIN(CJ78*TW78,(XI78+AAV78))-MIN(MIN(CJ78*TW78,(XI78+AAV78)),AAV78))),XI78)</f>
        <v>1270</v>
      </c>
      <c r="XK78" s="20" t="n">
        <f aca="false">IF(AND(H_Direct=1,CK78&gt;0),MAX(0,XJ78-(MIN(CK78*TX78,(XJ78+AAW78))-MIN(MIN(CK78*TX78,(XJ78+AAW78)),AAW78))),XJ78)</f>
        <v>1270</v>
      </c>
      <c r="XL78" s="20" t="n">
        <f aca="false">IF(AND(H_Direct=1,CL78&gt;0),MAX(0,XK78-(MIN(CL78*TY78,(XK78+AAX78))-MIN(MIN(CL78*TY78,(XK78+AAX78)),AAX78))),XK78)</f>
        <v>1270</v>
      </c>
      <c r="XM78" s="20" t="n">
        <f aca="false">IF(AND(H_Direct=1,CM78&gt;0),MAX(0,XL78-(MIN(CM78*TZ78,(XL78+AAY78))-MIN(MIN(CM78*TZ78,(XL78+AAY78)),AAY78))),XL78)</f>
        <v>1270</v>
      </c>
      <c r="XN78" s="20" t="n">
        <f aca="false">IF(AND(H_Direct=1,CN78&gt;0),MAX(0,XM78-(MIN(CN78*UA78,(XM78+AAZ78))-MIN(MIN(CN78*UA78,(XM78+AAZ78)),AAZ78))),XM78)</f>
        <v>1270</v>
      </c>
      <c r="XO78" s="20" t="n">
        <f aca="false">IF(AND(H_Direct=1,CO78&gt;0),MAX(0,XN78-(MIN(CO78*UB78,(XN78+ABA78))-MIN(MIN(CO78*UB78,(XN78+ABA78)),ABA78))),XN78)</f>
        <v>1270</v>
      </c>
      <c r="XP78" s="20" t="n">
        <f aca="false">IF(AND(H_Direct=1,CP78&gt;0),MAX(0,XO78-(MIN(CP78*UC78,(XO78+ABB78))-MIN(MIN(CP78*UC78,(XO78+ABB78)),ABB78))),XO78)</f>
        <v>1270</v>
      </c>
      <c r="XQ78" s="20" t="n">
        <f aca="false">IF(AND(H_Direct=1,CQ78&gt;0),MAX(0,XP78-(MIN(CQ78*UD78,(XP78+ABC78))-MIN(MIN(CQ78*UD78,(XP78+ABC78)),ABC78))),XP78)</f>
        <v>1270</v>
      </c>
      <c r="XR78" s="20" t="n">
        <f aca="false">IF(AND(H_Direct=1,CR78&gt;0),MAX(0,XQ78-(MIN(CR78*UE78,(XQ78+ABD78))-MIN(MIN(CR78*UE78,(XQ78+ABD78)),ABD78))),XQ78)</f>
        <v>1270</v>
      </c>
      <c r="XS78" s="20" t="n">
        <f aca="false">IF(AND(H_Direct=1,CS78&gt;0),MAX(0,XR78-(MIN(CS78*UF78,(XR78+ABE78))-MIN(MIN(CS78*UF78,(XR78+ABE78)),ABE78))),XR78)</f>
        <v>1270</v>
      </c>
      <c r="XT78" s="20" t="n">
        <f aca="false">IF(AND(H_Direct=1,CT78&gt;0),MAX(0,XS78-(MIN(CT78*UG78,(XS78+ABF78))-MIN(MIN(CT78*UG78,(XS78+ABF78)),ABF78))),XS78)</f>
        <v>1270</v>
      </c>
      <c r="XU78" s="20" t="n">
        <f aca="false">IF(AND(H_Direct=1,CU78&gt;0),MAX(0,XT78-(MIN(CU78*UH78,(XT78+ABG78))-MIN(MIN(CU78*UH78,(XT78+ABG78)),ABG78))),XT78)</f>
        <v>1270</v>
      </c>
      <c r="XV78" s="20" t="n">
        <f aca="false">IF(AND(H_Direct=1,CV78&gt;0),MAX(0,XU78-(MIN(CV78*UI78,(XU78+ABH78))-MIN(MIN(CV78*UI78,(XU78+ABH78)),ABH78))),XU78)</f>
        <v>1270</v>
      </c>
      <c r="XW78" s="20" t="n">
        <f aca="false">IF(AND(H_Direct=1,CW78&gt;0),MAX(0,XV78-(MIN(CW78*UJ78,(XV78+ABI78))-MIN(MIN(CW78*UJ78,(XV78+ABI78)),ABI78))),XV78)</f>
        <v>1270</v>
      </c>
      <c r="XX78" s="20" t="n">
        <f aca="false">IF(AND(H_Direct=1,CX78&gt;0),MAX(0,XW78-(MIN(CX78*UK78,(XW78+ABJ78))-MIN(MIN(CX78*UK78,(XW78+ABJ78)),ABJ78))),XW78)</f>
        <v>1270</v>
      </c>
      <c r="XY78" s="20" t="n">
        <f aca="false">IF(AND(H_Direct=1,CY78&gt;0),MAX(0,XX78-(MIN(CY78*UL78,(XX78+ABK78))-MIN(MIN(CY78*UL78,(XX78+ABK78)),ABK78))),XX78)</f>
        <v>1270</v>
      </c>
      <c r="XZ78" s="20" t="n">
        <f aca="false">IF(AND(H_Direct=1,CZ78&gt;0),MAX(0,XY78-(MIN(CZ78*UM78,(XY78+ABL78))-MIN(MIN(CZ78*UM78,(XY78+ABL78)),ABL78))),XY78)</f>
        <v>1270</v>
      </c>
      <c r="YA78" s="20" t="n">
        <f aca="false">IF(AND(H_Direct=1,DA78&gt;0),MAX(0,XZ78-(MIN(DA78*UN78,(XZ78+ABM78))-MIN(MIN(DA78*UN78,(XZ78+ABM78)),ABM78))),XZ78)</f>
        <v>1270</v>
      </c>
      <c r="YB78" s="20" t="n">
        <f aca="false">IF(AND(H_Direct=1,DB78&gt;0),MAX(0,YA78-(MIN(DB78*UO78,(YA78+ABN78))-MIN(MIN(DB78*UO78,(YA78+ABN78)),ABN78))),YA78)</f>
        <v>1270</v>
      </c>
      <c r="YC78" s="20" t="n">
        <f aca="false">IF(AND(H_Direct=1,DC78&gt;0),MAX(0,YB78-(MIN(DC78*UP78,(YB78+ABO78))-MIN(MIN(DC78*UP78,(YB78+ABO78)),ABO78))),YB78)</f>
        <v>1270</v>
      </c>
      <c r="YD78" s="20" t="n">
        <f aca="false">IF(AND(H_Direct=1,DD78&gt;0),MAX(0,YC78-(MIN(DD78*UQ78,(YC78+ABP78))-MIN(MIN(DD78*UQ78,(YC78+ABP78)),ABP78))),YC78)</f>
        <v>1270</v>
      </c>
      <c r="YE78" s="20" t="n">
        <f aca="false">IF(AND(H_Direct=1,DE78&gt;0),MAX(0,YD78-(MIN(DE78*UR78,(YD78+ABQ78))-MIN(MIN(DE78*UR78,(YD78+ABQ78)),ABQ78))),YD78)</f>
        <v>1270</v>
      </c>
      <c r="YF78" s="20" t="n">
        <f aca="false">IF(AND(H_Direct=1,DF78&gt;0),MAX(0,YE78-(MIN(DF78*US78,(YE78+ABR78))-MIN(MIN(DF78*US78,(YE78+ABR78)),ABR78))),YE78)</f>
        <v>1270</v>
      </c>
      <c r="YG78" s="20" t="n">
        <f aca="false">IF(AND(H_Direct=1,DG78&gt;0),MAX(0,YF78-(MIN(DG78*UT78,(YF78+ABS78))-MIN(MIN(DG78*UT78,(YF78+ABS78)),ABS78))),YF78)</f>
        <v>1270</v>
      </c>
      <c r="YH78" s="20" t="n">
        <f aca="false">IF(AND(H_Direct=1,DH78&gt;0),MAX(0,YG78-(MIN(DH78*UU78,(YG78+ABT78))-MIN(MIN(DH78*UU78,(YG78+ABT78)),ABT78))),YG78)</f>
        <v>1270</v>
      </c>
      <c r="YI78" s="20" t="n">
        <f aca="false">IF(AND(H_Direct=1,DI78&gt;0),MAX(0,YH78-(MIN(DI78*UV78,(YH78+ABU78))-MIN(MIN(DI78*UV78,(YH78+ABU78)),ABU78))),YH78)</f>
        <v>1270</v>
      </c>
      <c r="YJ78" s="20" t="n">
        <f aca="false">IF(AND(H_Direct=1,DJ78&gt;0),MAX(0,YI78-(MIN(DJ78*UW78,(YI78+ABV78))-MIN(MIN(DJ78*UW78,(YI78+ABV78)),ABV78))),YI78)</f>
        <v>1270</v>
      </c>
      <c r="YK78" s="20" t="n">
        <f aca="false">IF(AND(H_Direct=1,DK78&gt;0),MAX(0,YJ78-(MIN(DK78*UX78,(YJ78+ABW78))-MIN(MIN(DK78*UX78,(YJ78+ABW78)),ABW78))),YJ78)</f>
        <v>1270</v>
      </c>
      <c r="YL78" s="20" t="n">
        <f aca="false">IF(AND(H_Direct=1,DL78&gt;0),MAX(0,YK78-(MIN(DL78*UY78,(YK78+ABX78))-MIN(MIN(DL78*UY78,(YK78+ABX78)),ABX78))),YK78)</f>
        <v>1270</v>
      </c>
      <c r="YM78" s="20" t="n">
        <f aca="false">IF(AND(H_Direct=1,DM78&gt;0),MAX(0,YL78-(MIN(DM78*UZ78,(YL78+ABY78))-MIN(MIN(DM78*UZ78,(YL78+ABY78)),ABY78))),YL78)</f>
        <v>1270</v>
      </c>
      <c r="YN78" s="20" t="n">
        <f aca="false">IF(AND(H_Direct=1,DN78&gt;0),MAX(0,YM78-(MIN(DN78*VA78,(YM78+ABZ78))-MIN(MIN(DN78*VA78,(YM78+ABZ78)),ABZ78))),YM78)</f>
        <v>1270</v>
      </c>
      <c r="YO78" s="20" t="n">
        <f aca="false">IF(AND(H_Direct=1,DO78&gt;0),MAX(0,YN78-(MIN(DO78*VB78,(YN78+ACA78))-MIN(MIN(DO78*VB78,(YN78+ACA78)),ACA78))),YN78)</f>
        <v>1270</v>
      </c>
      <c r="YP78" s="20" t="n">
        <f aca="false">IF(AND(H_Direct=1,DP78&gt;0),MAX(0,YO78-(MIN(DP78*VC78,(YO78+ACB78))-MIN(MIN(DP78*VC78,(YO78+ACB78)),ACB78))),YO78)</f>
        <v>1270</v>
      </c>
      <c r="YQ78" s="20" t="n">
        <f aca="false">IF(AND(H_Direct=1,DQ78&gt;0),MAX(0,YP78-(MIN(DQ78*VD78,(YP78+ACC78))-MIN(MIN(DQ78*VD78,(YP78+ACC78)),ACC78))),YP78)</f>
        <v>1270</v>
      </c>
      <c r="YR78" s="20" t="n">
        <f aca="false">IF(AND(H_Direct=1,DR78&gt;0),MAX(0,YQ78-(MIN(DR78*VE78,(YQ78+ACD78))-MIN(MIN(DR78*VE78,(YQ78+ACD78)),ACD78))),YQ78)</f>
        <v>1270</v>
      </c>
      <c r="YS78" s="20" t="n">
        <f aca="false">IF(AND(H_Direct=1,DS78&gt;0),MAX(0,YR78-(MIN(DS78*VF78,(YR78+ACE78))-MIN(MIN(DS78*VF78,(YR78+ACE78)),ACE78))),YR78)</f>
        <v>1270</v>
      </c>
      <c r="YT78" s="20" t="n">
        <f aca="false">IF(AND(H_Direct=1,DT78&gt;0),MAX(0,YS78-(MIN(DT78*VG78,(YS78+ACF78))-MIN(MIN(DT78*VG78,(YS78+ACF78)),ACF78))),YS78)</f>
        <v>1270</v>
      </c>
      <c r="YU78" s="20" t="n">
        <f aca="false">IF(AND(H_Direct=1,DU78&gt;0),MAX(0,YT78-(MIN(DU78*VH78,(YT78+ACG78))-MIN(MIN(DU78*VH78,(YT78+ACG78)),ACG78))),YT78)</f>
        <v>1270</v>
      </c>
      <c r="YV78" s="20" t="n">
        <f aca="false">IF(AND(H_Direct=1,DV78&gt;0),MAX(0,YU78-(MIN(DV78*VI78,(YU78+ACH78))-MIN(MIN(DV78*VI78,(YU78+ACH78)),ACH78))),YU78)</f>
        <v>1270</v>
      </c>
      <c r="YW78" s="20" t="n">
        <f aca="false">IF(AND(H_Direct=1,DW78&gt;0),MAX(0,YV78-(MIN(DW78*VJ78,(YV78+ACI78))-MIN(MIN(DW78*VJ78,(YV78+ACI78)),ACI78))),YV78)</f>
        <v>1270</v>
      </c>
      <c r="YX78" s="20" t="n">
        <f aca="false">IF(AND(H_Direct=1,DX78&gt;0),MAX(0,YW78-(MIN(DX78*VK78,(YW78+ACJ78))-MIN(MIN(DX78*VK78,(YW78+ACJ78)),ACJ78))),YW78)</f>
        <v>1270</v>
      </c>
      <c r="YY78" s="20" t="n">
        <f aca="false">IF(AND(H_Direct=1,DY78&gt;0),MAX(0,YX78-(MIN(DY78*VL78,(YX78+ACK78))-MIN(MIN(DY78*VL78,(YX78+ACK78)),ACK78))),YX78)</f>
        <v>1270</v>
      </c>
      <c r="YZ78" s="20" t="n">
        <f aca="false">IF(AND(H_Direct=1,DZ78&gt;0),MAX(0,YY78-(MIN(DZ78*VM78,(YY78+ACL78))-MIN(MIN(DZ78*VM78,(YY78+ACL78)),ACL78))),YY78)</f>
        <v>1270</v>
      </c>
      <c r="ZA78" s="20" t="n">
        <f aca="false">IF(AND(H_Direct=1,EA78&gt;0),MAX(0,YZ78-(MIN(EA78*VN78,(YZ78+ACM78))-MIN(MIN(EA78*VN78,(YZ78+ACM78)),ACM78))),YZ78)</f>
        <v>1270</v>
      </c>
      <c r="ZB78" s="20" t="n">
        <f aca="false">IF(AND(H_Direct=1,EB78&gt;0),MAX(0,ZA78-(MIN(EB78*VO78,(ZA78+ACN78))-MIN(MIN(EB78*VO78,(ZA78+ACN78)),ACN78))),ZA78)</f>
        <v>1270</v>
      </c>
      <c r="ZC78" s="20" t="n">
        <f aca="false">IF(AND(H_Direct=1,EC78&gt;0),MAX(0,ZB78-(MIN(EC78*VP78,(ZB78+ACO78))-MIN(MIN(EC78*VP78,(ZB78+ACO78)),ACO78))),ZB78)</f>
        <v>1270</v>
      </c>
      <c r="ZD78" s="20" t="n">
        <f aca="false">IF(AND(H_Direct=1,ED78&gt;0),MAX(0,ZC78-(MIN(ED78*VQ78,(ZC78+ACP78))-MIN(MIN(ED78*VQ78,(ZC78+ACP78)),ACP78))),ZC78)</f>
        <v>1270</v>
      </c>
      <c r="ZE78" s="20" t="n">
        <f aca="false">IF(AND(H_Direct=1,EE78&gt;0),MAX(0,ZD78-(MIN(EE78*VR78,(ZD78+ACQ78))-MIN(MIN(EE78*VR78,(ZD78+ACQ78)),ACQ78))),ZD78)</f>
        <v>1270</v>
      </c>
      <c r="ZF78" s="20" t="n">
        <f aca="false">IF(AND(H_Direct=1,EF78&gt;0),MAX(0,ZE78-(MIN(EF78*VS78,(ZE78+ACR78))-MIN(MIN(EF78*VS78,(ZE78+ACR78)),ACR78))),ZE78)</f>
        <v>1270</v>
      </c>
      <c r="ZG78" s="20" t="n">
        <f aca="false">IF(AND(H_Direct=1,EG78&gt;0),MAX(0,ZF78-(MIN(EG78*VT78,(ZF78+ACS78))-MIN(MIN(EG78*VT78,(ZF78+ACS78)),ACS78))),ZF78)</f>
        <v>1270</v>
      </c>
      <c r="ZH78" s="20" t="n">
        <f aca="false">IF(AND(H_Direct=1,EH78&gt;0),MAX(0,ZG78-(MIN(EH78*VU78,(ZG78+ACT78))-MIN(MIN(EH78*VU78,(ZG78+ACT78)),ACT78))),ZG78)</f>
        <v>1270</v>
      </c>
      <c r="ZI78" s="20" t="n">
        <f aca="false">IF(AND(H_Direct=1,EI78&gt;0),MAX(0,ZH78-(MIN(EI78*VV78,(ZH78+ACU78))-MIN(MIN(EI78*VV78,(ZH78+ACU78)),ACU78))),ZH78)</f>
        <v>1270</v>
      </c>
      <c r="ZJ78" s="20" t="n">
        <f aca="false">IF(AND(H_Direct=1,EJ78&gt;0),MAX(0,ZI78-(MIN(EJ78*VW78,(ZI78+ACV78))-MIN(MIN(EJ78*VW78,(ZI78+ACV78)),ACV78))),ZI78)</f>
        <v>1270</v>
      </c>
      <c r="ZK78" s="20" t="n">
        <f aca="false">IF(AND(H_Direct=1,EK78&gt;0),MAX(0,ZJ78-(MIN(EK78*VX78,(ZJ78+ACW78))-MIN(MIN(EK78*VX78,(ZJ78+ACW78)),ACW78))),ZJ78)</f>
        <v>1270</v>
      </c>
      <c r="ZL78" s="20" t="n">
        <f aca="false">ZK78</f>
        <v>1270</v>
      </c>
      <c r="ZM78" s="20" t="n">
        <f aca="false">ZL78</f>
        <v>1270</v>
      </c>
      <c r="ZN78" s="20" t="n">
        <f aca="false">ZM78</f>
        <v>1270</v>
      </c>
      <c r="ZO78" s="20" t="n">
        <f aca="false">ZN78</f>
        <v>1270</v>
      </c>
      <c r="ZP78" s="20" t="n">
        <f aca="false">ZO78</f>
        <v>1270</v>
      </c>
      <c r="ZQ78" s="20" t="n">
        <f aca="false">ZP78</f>
        <v>1270</v>
      </c>
      <c r="ZR78" s="20" t="n">
        <f aca="false">ZQ78</f>
        <v>1270</v>
      </c>
      <c r="ZS78" s="20" t="n">
        <f aca="false">ZR78</f>
        <v>1270</v>
      </c>
      <c r="ZT78" s="20" t="n">
        <f aca="false">ZS78</f>
        <v>1270</v>
      </c>
      <c r="ZU78" s="20" t="n">
        <f aca="false">ZT78</f>
        <v>1270</v>
      </c>
      <c r="ZV78" s="20" t="n">
        <f aca="false">ZU78</f>
        <v>1270</v>
      </c>
      <c r="ZW78" s="20" t="n">
        <f aca="false">ZV78</f>
        <v>1270</v>
      </c>
      <c r="ZX78" s="20" t="n">
        <f aca="false">ZW78</f>
        <v>1270</v>
      </c>
      <c r="ZY78" s="20" t="n">
        <f aca="false">ZX78</f>
        <v>1270</v>
      </c>
      <c r="ZZ78" s="20" t="n">
        <f aca="false">ZY78</f>
        <v>1270</v>
      </c>
      <c r="AAA78" s="20" t="n">
        <f aca="false">ZZ78</f>
        <v>1270</v>
      </c>
      <c r="AAB78" s="20" t="n">
        <f aca="false">AAA78</f>
        <v>1270</v>
      </c>
      <c r="AAC78" s="20" t="n">
        <f aca="false">AAB78</f>
        <v>1270</v>
      </c>
      <c r="AAD78" s="20" t="n">
        <f aca="false">AAC78</f>
        <v>1270</v>
      </c>
      <c r="AAE78" s="20" t="n">
        <f aca="false">IF(H_Direct=1,IF(BR78&lt;=0,I78-BR78*TE78,I78-MIN(MIN(BR78*TE78,(H78+I78)),I78)),I78)</f>
        <v>0</v>
      </c>
      <c r="AAF78" s="20" t="n">
        <f aca="false">IF(H_Direct=1,IF(BS78&lt;=0,AAE78-BS78*TF78,AAE78-MIN(MIN(BS78*TF78,(WR78+AAE78)),AAE78)),AAE78)</f>
        <v>0</v>
      </c>
      <c r="AAG78" s="20" t="n">
        <f aca="false">IF(H_Direct=1,IF(BT78&lt;=0,AAF78-BT78*TG78,AAF78-MIN(MIN(BT78*TG78,(WS78+AAF78)),AAF78)),AAF78)</f>
        <v>0</v>
      </c>
      <c r="AAH78" s="20" t="n">
        <f aca="false">IF(H_Direct=1,IF(BU78&lt;=0,AAG78-BU78*TH78,AAG78-MIN(MIN(BU78*TH78,(WT78+AAG78)),AAG78)),AAG78)</f>
        <v>0</v>
      </c>
      <c r="AAI78" s="20" t="n">
        <f aca="false">IF(H_Direct=1,IF(BV78&lt;=0,AAH78-BV78*TI78,AAH78-MIN(MIN(BV78*TI78,(WU78+AAH78)),AAH78)),AAH78)</f>
        <v>0</v>
      </c>
      <c r="AAJ78" s="20" t="n">
        <f aca="false">IF(H_Direct=1,IF(BW78&lt;=0,AAI78-BW78*TJ78,AAI78-MIN(MIN(BW78*TJ78,(WV78+AAI78)),AAI78)),AAI78)</f>
        <v>0</v>
      </c>
      <c r="AAK78" s="20" t="n">
        <f aca="false">IF(H_Direct=1,IF(BX78&lt;=0,AAJ78-BX78*TK78,AAJ78-MIN(MIN(BX78*TK78,(WW78+AAJ78)),AAJ78)),AAJ78)</f>
        <v>0</v>
      </c>
      <c r="AAL78" s="20" t="n">
        <f aca="false">IF(H_Direct=1,IF(BY78&lt;=0,AAK78-BY78*TL78,AAK78-MIN(MIN(BY78*TL78,(WX78+AAK78)),AAK78)),AAK78)</f>
        <v>0</v>
      </c>
      <c r="AAM78" s="20" t="n">
        <f aca="false">IF(H_Direct=1,IF(BZ78&lt;=0,AAL78-BZ78*TM78,AAL78-MIN(MIN(BZ78*TM78,(WY78+AAL78)),AAL78)),AAL78)</f>
        <v>0</v>
      </c>
      <c r="AAN78" s="20" t="n">
        <f aca="false">IF(H_Direct=1,IF(CA78&lt;=0,AAM78-CA78*TN78,AAM78-MIN(MIN(CA78*TN78,(WZ78+AAM78)),AAM78)),AAM78)</f>
        <v>0</v>
      </c>
      <c r="AAO78" s="20" t="n">
        <f aca="false">IF(H_Direct=1,IF(CB78&lt;=0,AAN78-CB78*TO78,AAN78-MIN(MIN(CB78*TO78,(XA78+AAN78)),AAN78)),AAN78)</f>
        <v>0</v>
      </c>
      <c r="AAP78" s="20" t="n">
        <f aca="false">IF(H_Direct=1,IF(CC78&lt;=0,AAO78-CC78*TP78,AAO78-MIN(MIN(CC78*TP78,(XB78+AAO78)),AAO78)),AAO78)</f>
        <v>0</v>
      </c>
      <c r="AAQ78" s="20" t="n">
        <f aca="false">IF(H_Direct=1,IF(CD78&lt;=0,AAP78-CD78*TQ78,AAP78-MIN(MIN(CD78*TQ78,(XC78+AAP78)),AAP78)),AAP78)</f>
        <v>0</v>
      </c>
      <c r="AAR78" s="20" t="n">
        <f aca="false">IF(H_Direct=1,IF(CE78&lt;=0,AAQ78-CE78*TR78,AAQ78-MIN(MIN(CE78*TR78,(XD78+AAQ78)),AAQ78)),AAQ78)</f>
        <v>0</v>
      </c>
      <c r="AAS78" s="20" t="n">
        <f aca="false">IF(H_Direct=1,IF(CF78&lt;=0,AAR78-CF78*TS78,AAR78-MIN(MIN(CF78*TS78,(XE78+AAR78)),AAR78)),AAR78)</f>
        <v>0</v>
      </c>
      <c r="AAT78" s="20" t="n">
        <f aca="false">IF(H_Direct=1,IF(CG78&lt;=0,AAS78-CG78*TT78,AAS78-MIN(MIN(CG78*TT78,(XF78+AAS78)),AAS78)),AAS78)</f>
        <v>0</v>
      </c>
      <c r="AAU78" s="20" t="n">
        <f aca="false">IF(H_Direct=1,IF(CH78&lt;=0,AAT78-CH78*TU78,AAT78-MIN(MIN(CH78*TU78,(XG78+AAT78)),AAT78)),AAT78)</f>
        <v>0</v>
      </c>
      <c r="AAV78" s="20" t="n">
        <f aca="false">IF(H_Direct=1,IF(CI78&lt;=0,AAU78-CI78*TV78,AAU78-MIN(MIN(CI78*TV78,(XH78+AAU78)),AAU78)),AAU78)</f>
        <v>0</v>
      </c>
      <c r="AAW78" s="20" t="n">
        <f aca="false">IF(H_Direct=1,IF(CJ78&lt;=0,AAV78-CJ78*TW78,AAV78-MIN(MIN(CJ78*TW78,(XI78+AAV78)),AAV78)),AAV78)</f>
        <v>0</v>
      </c>
      <c r="AAX78" s="20" t="n">
        <f aca="false">IF(H_Direct=1,IF(CK78&lt;=0,AAW78-CK78*TX78,AAW78-MIN(MIN(CK78*TX78,(XJ78+AAW78)),AAW78)),AAW78)</f>
        <v>0</v>
      </c>
      <c r="AAY78" s="20" t="n">
        <f aca="false">IF(H_Direct=1,IF(CL78&lt;=0,AAX78-CL78*TY78,AAX78-MIN(MIN(CL78*TY78,(XK78+AAX78)),AAX78)),AAX78)</f>
        <v>0</v>
      </c>
      <c r="AAZ78" s="20" t="n">
        <f aca="false">IF(H_Direct=1,IF(CM78&lt;=0,AAY78-CM78*TZ78,AAY78-MIN(MIN(CM78*TZ78,(XL78+AAY78)),AAY78)),AAY78)</f>
        <v>0</v>
      </c>
      <c r="ABA78" s="20" t="n">
        <f aca="false">IF(H_Direct=1,IF(CN78&lt;=0,AAZ78-CN78*UA78,AAZ78-MIN(MIN(CN78*UA78,(XM78+AAZ78)),AAZ78)),AAZ78)</f>
        <v>0</v>
      </c>
      <c r="ABB78" s="20" t="n">
        <f aca="false">IF(H_Direct=1,IF(CO78&lt;=0,ABA78-CO78*UB78,ABA78-MIN(MIN(CO78*UB78,(XN78+ABA78)),ABA78)),ABA78)</f>
        <v>0</v>
      </c>
      <c r="ABC78" s="20" t="n">
        <f aca="false">IF(H_Direct=1,IF(CP78&lt;=0,ABB78-CP78*UC78,ABB78-MIN(MIN(CP78*UC78,(XO78+ABB78)),ABB78)),ABB78)</f>
        <v>0</v>
      </c>
      <c r="ABD78" s="20" t="n">
        <f aca="false">IF(H_Direct=1,IF(CQ78&lt;=0,ABC78-CQ78*UD78,ABC78-MIN(MIN(CQ78*UD78,(XP78+ABC78)),ABC78)),ABC78)</f>
        <v>0</v>
      </c>
      <c r="ABE78" s="20" t="n">
        <f aca="false">IF(H_Direct=1,IF(CR78&lt;=0,ABD78-CR78*UE78,ABD78-MIN(MIN(CR78*UE78,(XQ78+ABD78)),ABD78)),ABD78)</f>
        <v>0</v>
      </c>
      <c r="ABF78" s="20" t="n">
        <f aca="false">IF(H_Direct=1,IF(CS78&lt;=0,ABE78-CS78*UF78,ABE78-MIN(MIN(CS78*UF78,(XR78+ABE78)),ABE78)),ABE78)</f>
        <v>0</v>
      </c>
      <c r="ABG78" s="20" t="n">
        <f aca="false">IF(H_Direct=1,IF(CT78&lt;=0,ABF78-CT78*UG78,ABF78-MIN(MIN(CT78*UG78,(XS78+ABF78)),ABF78)),ABF78)</f>
        <v>0</v>
      </c>
      <c r="ABH78" s="20" t="n">
        <f aca="false">IF(H_Direct=1,IF(CU78&lt;=0,ABG78-CU78*UH78,ABG78-MIN(MIN(CU78*UH78,(XT78+ABG78)),ABG78)),ABG78)</f>
        <v>0</v>
      </c>
      <c r="ABI78" s="20" t="n">
        <f aca="false">IF(H_Direct=1,IF(CV78&lt;=0,ABH78-CV78*UI78,ABH78-MIN(MIN(CV78*UI78,(XU78+ABH78)),ABH78)),ABH78)</f>
        <v>0</v>
      </c>
      <c r="ABJ78" s="20" t="n">
        <f aca="false">IF(H_Direct=1,IF(CW78&lt;=0,ABI78-CW78*UJ78,ABI78-MIN(MIN(CW78*UJ78,(XV78+ABI78)),ABI78)),ABI78)</f>
        <v>0</v>
      </c>
      <c r="ABK78" s="20" t="n">
        <f aca="false">IF(H_Direct=1,IF(CX78&lt;=0,ABJ78-CX78*UK78,ABJ78-MIN(MIN(CX78*UK78,(XW78+ABJ78)),ABJ78)),ABJ78)</f>
        <v>0</v>
      </c>
      <c r="ABL78" s="20" t="n">
        <f aca="false">IF(H_Direct=1,IF(CY78&lt;=0,ABK78-CY78*UL78,ABK78-MIN(MIN(CY78*UL78,(XX78+ABK78)),ABK78)),ABK78)</f>
        <v>0</v>
      </c>
      <c r="ABM78" s="20" t="n">
        <f aca="false">IF(H_Direct=1,IF(CZ78&lt;=0,ABL78-CZ78*UM78,ABL78-MIN(MIN(CZ78*UM78,(XY78+ABL78)),ABL78)),ABL78)</f>
        <v>0</v>
      </c>
      <c r="ABN78" s="20" t="n">
        <f aca="false">IF(H_Direct=1,IF(DA78&lt;=0,ABM78-DA78*UN78,ABM78-MIN(MIN(DA78*UN78,(XZ78+ABM78)),ABM78)),ABM78)</f>
        <v>0</v>
      </c>
      <c r="ABO78" s="20" t="n">
        <f aca="false">IF(H_Direct=1,IF(DB78&lt;=0,ABN78-DB78*UO78,ABN78-MIN(MIN(DB78*UO78,(YA78+ABN78)),ABN78)),ABN78)</f>
        <v>0</v>
      </c>
      <c r="ABP78" s="20" t="n">
        <f aca="false">IF(H_Direct=1,IF(DC78&lt;=0,ABO78-DC78*UP78,ABO78-MIN(MIN(DC78*UP78,(YB78+ABO78)),ABO78)),ABO78)</f>
        <v>0</v>
      </c>
      <c r="ABQ78" s="20" t="n">
        <f aca="false">IF(H_Direct=1,IF(DD78&lt;=0,ABP78-DD78*UQ78,ABP78-MIN(MIN(DD78*UQ78,(YC78+ABP78)),ABP78)),ABP78)</f>
        <v>0</v>
      </c>
      <c r="ABR78" s="20" t="n">
        <f aca="false">IF(H_Direct=1,IF(DE78&lt;=0,ABQ78-DE78*UR78,ABQ78-MIN(MIN(DE78*UR78,(YD78+ABQ78)),ABQ78)),ABQ78)</f>
        <v>0</v>
      </c>
      <c r="ABS78" s="20" t="n">
        <f aca="false">IF(H_Direct=1,IF(DF78&lt;=0,ABR78-DF78*US78,ABR78-MIN(MIN(DF78*US78,(YE78+ABR78)),ABR78)),ABR78)</f>
        <v>0</v>
      </c>
      <c r="ABT78" s="20" t="n">
        <f aca="false">IF(H_Direct=1,IF(DG78&lt;=0,ABS78-DG78*UT78,ABS78-MIN(MIN(DG78*UT78,(YF78+ABS78)),ABS78)),ABS78)</f>
        <v>0</v>
      </c>
      <c r="ABU78" s="20" t="n">
        <f aca="false">IF(H_Direct=1,IF(DH78&lt;=0,ABT78-DH78*UU78,ABT78-MIN(MIN(DH78*UU78,(YG78+ABT78)),ABT78)),ABT78)</f>
        <v>0</v>
      </c>
      <c r="ABV78" s="20" t="n">
        <f aca="false">IF(H_Direct=1,IF(DI78&lt;=0,ABU78-DI78*UV78,ABU78-MIN(MIN(DI78*UV78,(YH78+ABU78)),ABU78)),ABU78)</f>
        <v>0</v>
      </c>
      <c r="ABW78" s="20" t="n">
        <f aca="false">IF(H_Direct=1,IF(DJ78&lt;=0,ABV78-DJ78*UW78,ABV78-MIN(MIN(DJ78*UW78,(YI78+ABV78)),ABV78)),ABV78)</f>
        <v>0</v>
      </c>
      <c r="ABX78" s="20" t="n">
        <f aca="false">IF(H_Direct=1,IF(DK78&lt;=0,ABW78-DK78*UX78,ABW78-MIN(MIN(DK78*UX78,(YJ78+ABW78)),ABW78)),ABW78)</f>
        <v>0</v>
      </c>
      <c r="ABY78" s="20" t="n">
        <f aca="false">IF(H_Direct=1,IF(DL78&lt;=0,ABX78-DL78*UY78,ABX78-MIN(MIN(DL78*UY78,(YK78+ABX78)),ABX78)),ABX78)</f>
        <v>0</v>
      </c>
      <c r="ABZ78" s="20" t="n">
        <f aca="false">IF(H_Direct=1,IF(DM78&lt;=0,ABY78-DM78*UZ78,ABY78-MIN(MIN(DM78*UZ78,(YL78+ABY78)),ABY78)),ABY78)</f>
        <v>0</v>
      </c>
      <c r="ACA78" s="20" t="n">
        <f aca="false">IF(H_Direct=1,IF(DN78&lt;=0,ABZ78-DN78*VA78,ABZ78-MIN(MIN(DN78*VA78,(YM78+ABZ78)),ABZ78)),ABZ78)</f>
        <v>0</v>
      </c>
      <c r="ACB78" s="20" t="n">
        <f aca="false">IF(H_Direct=1,IF(DO78&lt;=0,ACA78-DO78*VB78,ACA78-MIN(MIN(DO78*VB78,(YN78+ACA78)),ACA78)),ACA78)</f>
        <v>0</v>
      </c>
      <c r="ACC78" s="20" t="n">
        <f aca="false">IF(H_Direct=1,IF(DP78&lt;=0,ACB78-DP78*VC78,ACB78-MIN(MIN(DP78*VC78,(YO78+ACB78)),ACB78)),ACB78)</f>
        <v>0</v>
      </c>
      <c r="ACD78" s="20" t="n">
        <f aca="false">IF(H_Direct=1,IF(DQ78&lt;=0,ACC78-DQ78*VD78,ACC78-MIN(MIN(DQ78*VD78,(YP78+ACC78)),ACC78)),ACC78)</f>
        <v>0</v>
      </c>
      <c r="ACE78" s="20" t="n">
        <f aca="false">IF(H_Direct=1,IF(DR78&lt;=0,ACD78-DR78*VE78,ACD78-MIN(MIN(DR78*VE78,(YQ78+ACD78)),ACD78)),ACD78)</f>
        <v>0</v>
      </c>
      <c r="ACF78" s="20" t="n">
        <f aca="false">IF(H_Direct=1,IF(DS78&lt;=0,ACE78-DS78*VF78,ACE78-MIN(MIN(DS78*VF78,(YR78+ACE78)),ACE78)),ACE78)</f>
        <v>0</v>
      </c>
      <c r="ACG78" s="20" t="n">
        <f aca="false">IF(H_Direct=1,IF(DT78&lt;=0,ACF78-DT78*VG78,ACF78-MIN(MIN(DT78*VG78,(YS78+ACF78)),ACF78)),ACF78)</f>
        <v>0</v>
      </c>
      <c r="ACH78" s="20" t="n">
        <f aca="false">IF(H_Direct=1,IF(DU78&lt;=0,ACG78-DU78*VH78,ACG78-MIN(MIN(DU78*VH78,(YT78+ACG78)),ACG78)),ACG78)</f>
        <v>0</v>
      </c>
      <c r="ACI78" s="20" t="n">
        <f aca="false">IF(H_Direct=1,IF(DV78&lt;=0,ACH78-DV78*VI78,ACH78-MIN(MIN(DV78*VI78,(YU78+ACH78)),ACH78)),ACH78)</f>
        <v>0</v>
      </c>
      <c r="ACJ78" s="20" t="n">
        <f aca="false">IF(H_Direct=1,IF(DW78&lt;=0,ACI78-DW78*VJ78,ACI78-MIN(MIN(DW78*VJ78,(YV78+ACI78)),ACI78)),ACI78)</f>
        <v>0</v>
      </c>
      <c r="ACK78" s="20" t="n">
        <f aca="false">IF(H_Direct=1,IF(DX78&lt;=0,ACJ78-DX78*VK78,ACJ78-MIN(MIN(DX78*VK78,(YW78+ACJ78)),ACJ78)),ACJ78)</f>
        <v>0</v>
      </c>
      <c r="ACL78" s="20" t="n">
        <f aca="false">IF(H_Direct=1,IF(DY78&lt;=0,ACK78-DY78*VL78,ACK78-MIN(MIN(DY78*VL78,(YX78+ACK78)),ACK78)),ACK78)</f>
        <v>0</v>
      </c>
      <c r="ACM78" s="20" t="n">
        <f aca="false">IF(H_Direct=1,IF(DZ78&lt;=0,ACL78-DZ78*VM78,ACL78-MIN(MIN(DZ78*VM78,(YY78+ACL78)),ACL78)),ACL78)</f>
        <v>0</v>
      </c>
      <c r="ACN78" s="20" t="n">
        <f aca="false">IF(H_Direct=1,IF(EA78&lt;=0,ACM78-EA78*VN78,ACM78-MIN(MIN(EA78*VN78,(YZ78+ACM78)),ACM78)),ACM78)</f>
        <v>0</v>
      </c>
      <c r="ACO78" s="20" t="n">
        <f aca="false">IF(H_Direct=1,IF(EB78&lt;=0,ACN78-EB78*VO78,ACN78-MIN(MIN(EB78*VO78,(ZA78+ACN78)),ACN78)),ACN78)</f>
        <v>0</v>
      </c>
      <c r="ACP78" s="20" t="n">
        <f aca="false">IF(H_Direct=1,IF(EC78&lt;=0,ACO78-EC78*VP78,ACO78-MIN(MIN(EC78*VP78,(ZB78+ACO78)),ACO78)),ACO78)</f>
        <v>0</v>
      </c>
      <c r="ACQ78" s="20" t="n">
        <f aca="false">IF(H_Direct=1,IF(ED78&lt;=0,ACP78-ED78*VQ78,ACP78-MIN(MIN(ED78*VQ78,(ZC78+ACP78)),ACP78)),ACP78)</f>
        <v>0</v>
      </c>
      <c r="ACR78" s="20" t="n">
        <f aca="false">IF(H_Direct=1,IF(EE78&lt;=0,ACQ78-EE78*VR78,ACQ78-MIN(MIN(EE78*VR78,(ZD78+ACQ78)),ACQ78)),ACQ78)</f>
        <v>0</v>
      </c>
      <c r="ACS78" s="20" t="n">
        <f aca="false">IF(H_Direct=1,IF(EF78&lt;=0,ACR78-EF78*VS78,ACR78-MIN(MIN(EF78*VS78,(ZE78+ACR78)),ACR78)),ACR78)</f>
        <v>0</v>
      </c>
      <c r="ACT78" s="20" t="n">
        <f aca="false">IF(H_Direct=1,IF(EG78&lt;=0,ACS78-EG78*VT78,ACS78-MIN(MIN(EG78*VT78,(ZF78+ACS78)),ACS78)),ACS78)</f>
        <v>0</v>
      </c>
      <c r="ACU78" s="20" t="n">
        <f aca="false">IF(H_Direct=1,IF(EH78&lt;=0,ACT78-EH78*VU78,ACT78-MIN(MIN(EH78*VU78,(ZG78+ACT78)),ACT78)),ACT78)</f>
        <v>0</v>
      </c>
      <c r="ACV78" s="20" t="n">
        <f aca="false">IF(H_Direct=1,IF(EI78&lt;=0,ACU78-EI78*VV78,ACU78-MIN(MIN(EI78*VV78,(ZH78+ACU78)),ACU78)),ACU78)</f>
        <v>0</v>
      </c>
      <c r="ACW78" s="20" t="n">
        <f aca="false">IF(H_Direct=1,IF(EJ78&lt;=0,ACV78-EJ78*VW78,ACV78-MIN(MIN(EJ78*VW78,(ZI78+ACV78)),ACV78)),ACV78)</f>
        <v>0</v>
      </c>
      <c r="ACX78" s="20" t="n">
        <f aca="false">IF(H_Direct=1,IF(EK78&lt;=0,ACW78-EK78*VX78,ACW78-MIN(MIN(EK78*VX78,(ZJ78+ACW78)),ACW78)),ACW78)</f>
        <v>0</v>
      </c>
      <c r="ACY78" s="20" t="n">
        <f aca="false">ACX78</f>
        <v>0</v>
      </c>
      <c r="ACZ78" s="20" t="n">
        <f aca="false">ACY78</f>
        <v>0</v>
      </c>
      <c r="ADA78" s="20" t="n">
        <f aca="false">ACZ78</f>
        <v>0</v>
      </c>
      <c r="ADB78" s="20" t="n">
        <f aca="false">ADA78</f>
        <v>0</v>
      </c>
      <c r="ADC78" s="20" t="n">
        <f aca="false">ADB78</f>
        <v>0</v>
      </c>
      <c r="ADD78" s="20" t="n">
        <f aca="false">ADC78</f>
        <v>0</v>
      </c>
      <c r="ADE78" s="20" t="n">
        <f aca="false">ADD78</f>
        <v>0</v>
      </c>
      <c r="ADF78" s="20" t="n">
        <f aca="false">ADE78</f>
        <v>0</v>
      </c>
      <c r="ADG78" s="20" t="n">
        <f aca="false">ADF78</f>
        <v>0</v>
      </c>
      <c r="ADH78" s="20" t="n">
        <f aca="false">ADG78</f>
        <v>0</v>
      </c>
      <c r="ADI78" s="20" t="n">
        <f aca="false">ADH78</f>
        <v>0</v>
      </c>
      <c r="ADJ78" s="20" t="n">
        <f aca="false">ADI78</f>
        <v>0</v>
      </c>
      <c r="ADK78" s="20" t="n">
        <f aca="false">ADJ78</f>
        <v>0</v>
      </c>
      <c r="ADL78" s="20" t="n">
        <f aca="false">ADK78</f>
        <v>0</v>
      </c>
      <c r="ADM78" s="20" t="n">
        <f aca="false">ADL78</f>
        <v>0</v>
      </c>
      <c r="ADN78" s="20" t="n">
        <f aca="false">ADM78</f>
        <v>0</v>
      </c>
      <c r="ADO78" s="20" t="n">
        <f aca="false">ADN78</f>
        <v>0</v>
      </c>
      <c r="ADP78" s="20" t="n">
        <f aca="false">ADO78</f>
        <v>0</v>
      </c>
      <c r="ADQ78" s="20" t="n">
        <f aca="false">ADP78</f>
        <v>0</v>
      </c>
      <c r="ADR78" s="20" t="n">
        <f aca="false">(AKR77-TE78+0)*(1+BQ78)</f>
        <v>0</v>
      </c>
      <c r="ADS78" s="20" t="n">
        <f aca="false">(AKS77-TF78+0)*(1+BQ78)</f>
        <v>0</v>
      </c>
      <c r="ADT78" s="20" t="n">
        <f aca="false">(AKT77-TG78+0)*(1+BQ78)</f>
        <v>0</v>
      </c>
      <c r="ADU78" s="20" t="n">
        <f aca="false">(AKU77-TH78+0)*(1+BQ78)</f>
        <v>0</v>
      </c>
      <c r="ADV78" s="20" t="n">
        <f aca="false">(AKV77-TI78+0)*(1+BQ78)</f>
        <v>0</v>
      </c>
      <c r="ADW78" s="20" t="n">
        <f aca="false">(AKW77-TJ78+0)*(1+BQ78)</f>
        <v>0</v>
      </c>
      <c r="ADX78" s="20" t="n">
        <f aca="false">(AKX77-TK78+0)*(1+BQ78)</f>
        <v>0</v>
      </c>
      <c r="ADY78" s="20" t="n">
        <f aca="false">(AKY77-TL78+0)*(1+BQ78)</f>
        <v>0</v>
      </c>
      <c r="ADZ78" s="20" t="n">
        <f aca="false">(AKZ77-TM78+0)*(1+BQ78)</f>
        <v>0</v>
      </c>
      <c r="AEA78" s="20" t="n">
        <f aca="false">(ALA77-TN78+0)*(1+BQ78)</f>
        <v>0</v>
      </c>
      <c r="AEB78" s="20" t="n">
        <f aca="false">(ALB77-TO78+0)*(1+BQ78)</f>
        <v>0</v>
      </c>
      <c r="AEC78" s="20" t="n">
        <f aca="false">(ALC77-TP78+0)*(1+BQ78)</f>
        <v>0</v>
      </c>
      <c r="AED78" s="20" t="n">
        <f aca="false">(ALD77-TQ78+0)*(1+BQ78)</f>
        <v>0</v>
      </c>
      <c r="AEE78" s="20" t="n">
        <f aca="false">(ALE77-TR78+0)*(1+BQ78)</f>
        <v>0</v>
      </c>
      <c r="AEF78" s="20" t="n">
        <f aca="false">(ALF77-TS78+0)*(1+BQ78)</f>
        <v>0</v>
      </c>
      <c r="AEG78" s="20" t="n">
        <f aca="false">(ALG77-TT78+0)*(1+BQ78)</f>
        <v>0</v>
      </c>
      <c r="AEH78" s="20" t="n">
        <f aca="false">(ALH77-TU78+0)*(1+BQ78)</f>
        <v>0</v>
      </c>
      <c r="AEI78" s="20" t="n">
        <f aca="false">(ALI77-TV78+0)*(1+BQ78)</f>
        <v>0</v>
      </c>
      <c r="AEJ78" s="20" t="n">
        <f aca="false">(ALJ77-TW78+0)*(1+BQ78)</f>
        <v>0</v>
      </c>
      <c r="AEK78" s="20" t="n">
        <f aca="false">(ALK77-TX78+0)*(1+BQ78)</f>
        <v>0</v>
      </c>
      <c r="AEL78" s="20" t="n">
        <f aca="false">(ALL77-TY78+0)*(1+BQ78)</f>
        <v>0</v>
      </c>
      <c r="AEM78" s="20" t="n">
        <f aca="false">(ALM77-TZ78+0)*(1+BQ78)</f>
        <v>0</v>
      </c>
      <c r="AEN78" s="20" t="n">
        <f aca="false">(ALN77-UA78+0)*(1+BQ78)</f>
        <v>0</v>
      </c>
      <c r="AEO78" s="20" t="n">
        <f aca="false">(ALO77-UB78+0)*(1+BQ78)</f>
        <v>0</v>
      </c>
      <c r="AEP78" s="20" t="n">
        <f aca="false">(ALP77-UC78+0)*(1+BQ78)</f>
        <v>0</v>
      </c>
      <c r="AEQ78" s="20" t="n">
        <f aca="false">(ALQ77-UD78+0)*(1+BQ78)</f>
        <v>0</v>
      </c>
      <c r="AER78" s="20" t="n">
        <f aca="false">(ALR77-UE78+0)*(1+BQ78)</f>
        <v>0</v>
      </c>
      <c r="AES78" s="20" t="n">
        <f aca="false">(ALS77-UF78+0)*(1+BQ78)</f>
        <v>0</v>
      </c>
      <c r="AET78" s="20" t="n">
        <f aca="false">(ALT77-UG78+0)*(1+BQ78)</f>
        <v>0</v>
      </c>
      <c r="AEU78" s="20" t="n">
        <f aca="false">(ALU77-UH78+0)*(1+BQ78)</f>
        <v>0</v>
      </c>
      <c r="AEV78" s="20" t="n">
        <f aca="false">(ALV77-UI78+0)*(1+BQ78)</f>
        <v>0</v>
      </c>
      <c r="AEW78" s="20" t="n">
        <f aca="false">(ALW77-UJ78+0)*(1+BQ78)</f>
        <v>0</v>
      </c>
      <c r="AEX78" s="20" t="n">
        <f aca="false">(ALX77-UK78+0)*(1+BQ78)</f>
        <v>0</v>
      </c>
      <c r="AEY78" s="20" t="n">
        <f aca="false">(ALY77-UL78+0)*(1+BQ78)</f>
        <v>0</v>
      </c>
      <c r="AEZ78" s="20" t="n">
        <f aca="false">(ALZ77-UM78+0)*(1+BQ78)</f>
        <v>0</v>
      </c>
      <c r="AFA78" s="20" t="n">
        <f aca="false">(AMA77-UN78+0)*(1+BQ78)</f>
        <v>0</v>
      </c>
      <c r="AFB78" s="20" t="n">
        <f aca="false">(AMB77-UO78+0)*(1+BQ78)</f>
        <v>0</v>
      </c>
      <c r="AFC78" s="20" t="n">
        <f aca="false">(AMC77-UP78+0)*(1+BQ78)</f>
        <v>0</v>
      </c>
      <c r="AFD78" s="20" t="n">
        <f aca="false">(AMD77-UQ78+0)*(1+BQ78)</f>
        <v>0</v>
      </c>
      <c r="AFE78" s="20" t="n">
        <f aca="false">(AME77-UR78+0)*(1+BQ78)</f>
        <v>0</v>
      </c>
      <c r="AFF78" s="20" t="n">
        <f aca="false">(AMF77-US78+0)*(1+BQ78)</f>
        <v>0</v>
      </c>
      <c r="AFG78" s="20" t="n">
        <f aca="false">(AMG77-UT78+0)*(1+BQ78)</f>
        <v>0</v>
      </c>
      <c r="AFH78" s="20" t="n">
        <f aca="false">(AMH77-UU78+0)*(1+BQ78)</f>
        <v>0</v>
      </c>
      <c r="AFI78" s="20" t="n">
        <f aca="false">(AMI77-UV78+0)*(1+BQ78)</f>
        <v>0</v>
      </c>
      <c r="AFJ78" s="20" t="n">
        <f aca="false">(AMJ77-UW78+0)*(1+BQ78)</f>
        <v>0</v>
      </c>
      <c r="AFK78" s="20" t="n">
        <f aca="false">(AMK77-UX78+0)*(1+BQ78)</f>
        <v>0</v>
      </c>
      <c r="AFL78" s="20" t="n">
        <f aca="false">(AML77-UY78+0)*(1+BQ78)</f>
        <v>0</v>
      </c>
      <c r="AFM78" s="20" t="n">
        <f aca="false">(AMM77-UZ78+0)*(1+BQ78)</f>
        <v>0</v>
      </c>
      <c r="AFN78" s="20" t="n">
        <f aca="false">(AMN77-VA78+0)*(1+BQ78)</f>
        <v>0</v>
      </c>
      <c r="AFO78" s="20" t="n">
        <f aca="false">(AMO77-VB78+0)*(1+BQ78)</f>
        <v>0</v>
      </c>
      <c r="AFP78" s="20" t="n">
        <f aca="false">(AMP77-VC78+0)*(1+BQ78)</f>
        <v>0</v>
      </c>
      <c r="AFQ78" s="20" t="n">
        <f aca="false">(AMQ77-VD78+0)*(1+BQ78)</f>
        <v>0</v>
      </c>
      <c r="AFR78" s="20" t="n">
        <f aca="false">(AMR77-VE78+0)*(1+BQ78)</f>
        <v>0</v>
      </c>
      <c r="AFS78" s="20" t="n">
        <f aca="false">(AMS77-VF78+0)*(1+BQ78)</f>
        <v>0</v>
      </c>
      <c r="AFT78" s="20" t="n">
        <f aca="false">(AMT77-VG78+0)*(1+BQ78)</f>
        <v>0</v>
      </c>
      <c r="AFU78" s="20" t="n">
        <f aca="false">(AMU77-VH78+0)*(1+BQ78)</f>
        <v>0</v>
      </c>
      <c r="AFV78" s="20" t="n">
        <f aca="false">(AMV77-VI78+0)*(1+BQ78)</f>
        <v>0</v>
      </c>
      <c r="AFW78" s="20" t="n">
        <f aca="false">(AMW77-VJ78+0)*(1+BQ78)</f>
        <v>0</v>
      </c>
      <c r="AFX78" s="20" t="n">
        <f aca="false">(AMX77-VK78+0)*(1+BQ78)</f>
        <v>0</v>
      </c>
      <c r="AFY78" s="20" t="n">
        <f aca="false">(AMY77-VL78+0)*(1+BQ78)</f>
        <v>0</v>
      </c>
      <c r="AFZ78" s="20" t="n">
        <f aca="false">(AMZ77-VM78+0)*(1+BQ78)</f>
        <v>0</v>
      </c>
      <c r="AGA78" s="20" t="n">
        <f aca="false">(ANA77-VN78+0)*(1+BQ78)</f>
        <v>0</v>
      </c>
      <c r="AGB78" s="20" t="n">
        <f aca="false">(ANB77-VO78+0)*(1+BQ78)</f>
        <v>0</v>
      </c>
      <c r="AGC78" s="20" t="n">
        <f aca="false">(ANC77-VP78+0)*(1+BQ78)</f>
        <v>0</v>
      </c>
      <c r="AGD78" s="20" t="n">
        <f aca="false">(AND77-VQ78+0)*(1+BQ78)</f>
        <v>0</v>
      </c>
      <c r="AGE78" s="20" t="n">
        <f aca="false">(ANE77-VR78+0)*(1+BQ78)</f>
        <v>0</v>
      </c>
      <c r="AGF78" s="20" t="n">
        <f aca="false">(ANF77-VS78+0)*(1+BQ78)</f>
        <v>0</v>
      </c>
      <c r="AGG78" s="20" t="n">
        <f aca="false">(ANG77-VT78+0)*(1+BQ78)</f>
        <v>0</v>
      </c>
      <c r="AGH78" s="20" t="n">
        <f aca="false">(ANH77-VU78+0)*(1+BQ78)</f>
        <v>0</v>
      </c>
      <c r="AGI78" s="20" t="n">
        <f aca="false">(ANI77-VV78+0)*(1+BQ78)</f>
        <v>0</v>
      </c>
      <c r="AGJ78" s="20" t="n">
        <f aca="false">(ANJ77-VW78+0)*(1+BQ78)</f>
        <v>0</v>
      </c>
      <c r="AGK78" s="20" t="n">
        <f aca="false">((P78+S78)-VX78+BE78)*(1+BQ78)</f>
        <v>0</v>
      </c>
      <c r="AGL78" s="20" t="n">
        <v>0</v>
      </c>
      <c r="AGM78" s="20" t="n">
        <v>0</v>
      </c>
      <c r="AGN78" s="20" t="n">
        <v>0</v>
      </c>
      <c r="AGO78" s="20" t="n">
        <v>0</v>
      </c>
      <c r="AGP78" s="20" t="n">
        <v>0</v>
      </c>
      <c r="AGQ78" s="20" t="n">
        <v>0</v>
      </c>
      <c r="AGR78" s="20" t="n">
        <v>0</v>
      </c>
      <c r="AGS78" s="20" t="n">
        <v>0</v>
      </c>
      <c r="AGT78" s="20" t="n">
        <v>0</v>
      </c>
      <c r="AGU78" s="20" t="n">
        <v>0</v>
      </c>
      <c r="AGV78" s="20" t="n">
        <v>0</v>
      </c>
      <c r="AGW78" s="20" t="n">
        <v>0</v>
      </c>
      <c r="AGX78" s="20" t="n">
        <v>0</v>
      </c>
      <c r="AGY78" s="20" t="n">
        <v>0</v>
      </c>
      <c r="AGZ78" s="20" t="n">
        <v>0</v>
      </c>
      <c r="AHA78" s="20" t="n">
        <v>0</v>
      </c>
      <c r="AHB78" s="20" t="n">
        <v>0</v>
      </c>
      <c r="AHC78" s="20" t="n">
        <v>0</v>
      </c>
      <c r="AHD78" s="20" t="n">
        <v>0</v>
      </c>
      <c r="AHE78" s="20" t="n">
        <f aca="false">IF(AKR77&gt;0,AOE77-AOE77*TE78/AKR77,0)+0</f>
        <v>0</v>
      </c>
      <c r="AHF78" s="20" t="n">
        <f aca="false">IF(AKS77&gt;0,AOF77-AOF77*TF78/AKS77,0)+0</f>
        <v>0</v>
      </c>
      <c r="AHG78" s="20" t="n">
        <f aca="false">IF(AKT77&gt;0,AOG77-AOG77*TG78/AKT77,0)+0</f>
        <v>0</v>
      </c>
      <c r="AHH78" s="20" t="n">
        <f aca="false">IF(AKU77&gt;0,AOH77-AOH77*TH78/AKU77,0)+0</f>
        <v>0</v>
      </c>
      <c r="AHI78" s="20" t="n">
        <f aca="false">IF(AKV77&gt;0,AOI77-AOI77*TI78/AKV77,0)+0</f>
        <v>0</v>
      </c>
      <c r="AHJ78" s="20" t="n">
        <f aca="false">IF(AKW77&gt;0,AOJ77-AOJ77*TJ78/AKW77,0)+0</f>
        <v>0</v>
      </c>
      <c r="AHK78" s="20" t="n">
        <f aca="false">IF(AKX77&gt;0,AOK77-AOK77*TK78/AKX77,0)+0</f>
        <v>0</v>
      </c>
      <c r="AHL78" s="20" t="n">
        <f aca="false">IF(AKY77&gt;0,AOL77-AOL77*TL78/AKY77,0)+0</f>
        <v>0</v>
      </c>
      <c r="AHM78" s="20" t="n">
        <f aca="false">IF(AKZ77&gt;0,AOM77-AOM77*TM78/AKZ77,0)+0</f>
        <v>0</v>
      </c>
      <c r="AHN78" s="20" t="n">
        <f aca="false">IF(ALA77&gt;0,AON77-AON77*TN78/ALA77,0)+0</f>
        <v>0</v>
      </c>
      <c r="AHO78" s="20" t="n">
        <f aca="false">IF(ALB77&gt;0,AOO77-AOO77*TO78/ALB77,0)+0</f>
        <v>0</v>
      </c>
      <c r="AHP78" s="20" t="n">
        <f aca="false">IF(ALC77&gt;0,AOP77-AOP77*TP78/ALC77,0)+0</f>
        <v>0</v>
      </c>
      <c r="AHQ78" s="20" t="n">
        <f aca="false">IF(ALD77&gt;0,AOQ77-AOQ77*TQ78/ALD77,0)+0</f>
        <v>0</v>
      </c>
      <c r="AHR78" s="20" t="n">
        <f aca="false">IF(ALE77&gt;0,AOR77-AOR77*TR78/ALE77,0)+0</f>
        <v>0</v>
      </c>
      <c r="AHS78" s="20" t="n">
        <f aca="false">IF(ALF77&gt;0,AOS77-AOS77*TS78/ALF77,0)+0</f>
        <v>0</v>
      </c>
      <c r="AHT78" s="20" t="n">
        <f aca="false">IF(ALG77&gt;0,AOT77-AOT77*TT78/ALG77,0)+0</f>
        <v>0</v>
      </c>
      <c r="AHU78" s="20" t="n">
        <f aca="false">IF(ALH77&gt;0,AOU77-AOU77*TU78/ALH77,0)+0</f>
        <v>0</v>
      </c>
      <c r="AHV78" s="20" t="n">
        <f aca="false">IF(ALI77&gt;0,AOV77-AOV77*TV78/ALI77,0)+0</f>
        <v>0</v>
      </c>
      <c r="AHW78" s="20" t="n">
        <f aca="false">IF(ALJ77&gt;0,AOW77-AOW77*TW78/ALJ77,0)+0</f>
        <v>0</v>
      </c>
      <c r="AHX78" s="20" t="n">
        <f aca="false">IF(ALK77&gt;0,AOX77-AOX77*TX78/ALK77,0)+0</f>
        <v>0</v>
      </c>
      <c r="AHY78" s="20" t="n">
        <f aca="false">IF(ALL77&gt;0,AOY77-AOY77*TY78/ALL77,0)+0</f>
        <v>0</v>
      </c>
      <c r="AHZ78" s="20" t="n">
        <f aca="false">IF(ALM77&gt;0,AOZ77-AOZ77*TZ78/ALM77,0)+0</f>
        <v>0</v>
      </c>
      <c r="AIA78" s="20" t="n">
        <f aca="false">IF(ALN77&gt;0,APA77-APA77*UA78/ALN77,0)+0</f>
        <v>0</v>
      </c>
      <c r="AIB78" s="20" t="n">
        <f aca="false">IF(ALO77&gt;0,APB77-APB77*UB78/ALO77,0)+0</f>
        <v>0</v>
      </c>
      <c r="AIC78" s="20" t="n">
        <f aca="false">IF(ALP77&gt;0,APC77-APC77*UC78/ALP77,0)+0</f>
        <v>0</v>
      </c>
      <c r="AID78" s="20" t="n">
        <f aca="false">IF(ALQ77&gt;0,APD77-APD77*UD78/ALQ77,0)+0</f>
        <v>0</v>
      </c>
      <c r="AIE78" s="20" t="n">
        <f aca="false">IF(ALR77&gt;0,APE77-APE77*UE78/ALR77,0)+0</f>
        <v>0</v>
      </c>
      <c r="AIF78" s="20" t="n">
        <f aca="false">IF(ALS77&gt;0,APF77-APF77*UF78/ALS77,0)+0</f>
        <v>0</v>
      </c>
      <c r="AIG78" s="20" t="n">
        <f aca="false">IF(ALT77&gt;0,APG77-APG77*UG78/ALT77,0)+0</f>
        <v>0</v>
      </c>
      <c r="AIH78" s="20" t="n">
        <f aca="false">IF(ALU77&gt;0,APH77-APH77*UH78/ALU77,0)+0</f>
        <v>0</v>
      </c>
      <c r="AII78" s="20" t="n">
        <f aca="false">IF(ALV77&gt;0,API77-API77*UI78/ALV77,0)+0</f>
        <v>0</v>
      </c>
      <c r="AIJ78" s="20" t="n">
        <f aca="false">IF(ALW77&gt;0,APJ77-APJ77*UJ78/ALW77,0)+0</f>
        <v>0</v>
      </c>
      <c r="AIK78" s="20" t="n">
        <f aca="false">IF(ALX77&gt;0,APK77-APK77*UK78/ALX77,0)+0</f>
        <v>0</v>
      </c>
      <c r="AIL78" s="20" t="n">
        <f aca="false">IF(ALY77&gt;0,APL77-APL77*UL78/ALY77,0)+0</f>
        <v>0</v>
      </c>
      <c r="AIM78" s="20" t="n">
        <f aca="false">IF(ALZ77&gt;0,APM77-APM77*UM78/ALZ77,0)+0</f>
        <v>0</v>
      </c>
      <c r="AIN78" s="20" t="n">
        <f aca="false">IF(AMA77&gt;0,APN77-APN77*UN78/AMA77,0)+0</f>
        <v>0</v>
      </c>
      <c r="AIO78" s="20" t="n">
        <f aca="false">IF(AMB77&gt;0,APO77-APO77*UO78/AMB77,0)+0</f>
        <v>0</v>
      </c>
      <c r="AIP78" s="20" t="n">
        <f aca="false">IF(AMC77&gt;0,APP77-APP77*UP78/AMC77,0)+0</f>
        <v>0</v>
      </c>
      <c r="AIQ78" s="20" t="n">
        <f aca="false">IF(AMD77&gt;0,APQ77-APQ77*UQ78/AMD77,0)+0</f>
        <v>0</v>
      </c>
      <c r="AIR78" s="20" t="n">
        <f aca="false">IF(AME77&gt;0,APR77-APR77*UR78/AME77,0)+0</f>
        <v>0</v>
      </c>
      <c r="AIS78" s="20" t="n">
        <f aca="false">IF(AMF77&gt;0,APS77-APS77*US78/AMF77,0)+0</f>
        <v>0</v>
      </c>
      <c r="AIT78" s="20" t="n">
        <f aca="false">IF(AMG77&gt;0,APT77-APT77*UT78/AMG77,0)+0</f>
        <v>0</v>
      </c>
      <c r="AIU78" s="20" t="n">
        <f aca="false">IF(AMH77&gt;0,APU77-APU77*UU78/AMH77,0)+0</f>
        <v>0</v>
      </c>
      <c r="AIV78" s="20" t="n">
        <f aca="false">IF(AMI77&gt;0,APV77-APV77*UV78/AMI77,0)+0</f>
        <v>0</v>
      </c>
      <c r="AIW78" s="20" t="n">
        <f aca="false">IF(AMJ77&gt;0,APW77-APW77*UW78/AMJ77,0)+0</f>
        <v>0</v>
      </c>
      <c r="AIX78" s="20" t="n">
        <f aca="false">IF(AMK77&gt;0,APX77-APX77*UX78/AMK77,0)+0</f>
        <v>0</v>
      </c>
      <c r="AIY78" s="20" t="n">
        <f aca="false">IF(AML77&gt;0,APY77-APY77*UY78/AML77,0)+0</f>
        <v>0</v>
      </c>
      <c r="AIZ78" s="20" t="n">
        <f aca="false">IF(AMM77&gt;0,APZ77-APZ77*UZ78/AMM77,0)+0</f>
        <v>0</v>
      </c>
      <c r="AJA78" s="20" t="n">
        <f aca="false">IF(AMN77&gt;0,AQA77-AQA77*VA78/AMN77,0)+0</f>
        <v>0</v>
      </c>
      <c r="AJB78" s="20" t="n">
        <f aca="false">IF(AMO77&gt;0,AQB77-AQB77*VB78/AMO77,0)+0</f>
        <v>0</v>
      </c>
      <c r="AJC78" s="20" t="n">
        <f aca="false">IF(AMP77&gt;0,AQC77-AQC77*VC78/AMP77,0)+0</f>
        <v>0</v>
      </c>
      <c r="AJD78" s="20" t="n">
        <f aca="false">IF(AMQ77&gt;0,AQD77-AQD77*VD78/AMQ77,0)+0</f>
        <v>0</v>
      </c>
      <c r="AJE78" s="20" t="n">
        <f aca="false">IF(AMR77&gt;0,AQE77-AQE77*VE78/AMR77,0)+0</f>
        <v>0</v>
      </c>
      <c r="AJF78" s="20" t="n">
        <f aca="false">IF(AMS77&gt;0,AQF77-AQF77*VF78/AMS77,0)+0</f>
        <v>0</v>
      </c>
      <c r="AJG78" s="20" t="n">
        <f aca="false">IF(AMT77&gt;0,AQG77-AQG77*VG78/AMT77,0)+0</f>
        <v>0</v>
      </c>
      <c r="AJH78" s="20" t="n">
        <f aca="false">IF(AMU77&gt;0,AQH77-AQH77*VH78/AMU77,0)+0</f>
        <v>0</v>
      </c>
      <c r="AJI78" s="20" t="n">
        <f aca="false">IF(AMV77&gt;0,AQI77-AQI77*VI78/AMV77,0)+0</f>
        <v>0</v>
      </c>
      <c r="AJJ78" s="20" t="n">
        <f aca="false">IF(AMW77&gt;0,AQJ77-AQJ77*VJ78/AMW77,0)+0</f>
        <v>0</v>
      </c>
      <c r="AJK78" s="20" t="n">
        <f aca="false">IF(AMX77&gt;0,AQK77-AQK77*VK78/AMX77,0)+0</f>
        <v>0</v>
      </c>
      <c r="AJL78" s="20" t="n">
        <f aca="false">IF(AMY77&gt;0,AQL77-AQL77*VL78/AMY77,0)+0</f>
        <v>0</v>
      </c>
      <c r="AJM78" s="20" t="n">
        <f aca="false">IF(AMZ77&gt;0,AQM77-AQM77*VM78/AMZ77,0)+0</f>
        <v>0</v>
      </c>
      <c r="AJN78" s="20" t="n">
        <f aca="false">IF(ANA77&gt;0,AQN77-AQN77*VN78/ANA77,0)+0</f>
        <v>0</v>
      </c>
      <c r="AJO78" s="20" t="n">
        <f aca="false">IF(ANB77&gt;0,AQO77-AQO77*VO78/ANB77,0)+0</f>
        <v>0</v>
      </c>
      <c r="AJP78" s="20" t="n">
        <f aca="false">IF(ANC77&gt;0,AQP77-AQP77*VP78/ANC77,0)+0</f>
        <v>0</v>
      </c>
      <c r="AJQ78" s="20" t="n">
        <f aca="false">IF(AND77&gt;0,AQQ77-AQQ77*VQ78/AND77,0)+0</f>
        <v>0</v>
      </c>
      <c r="AJR78" s="20" t="n">
        <f aca="false">IF(ANE77&gt;0,AQR77-AQR77*VR78/ANE77,0)+0</f>
        <v>0</v>
      </c>
      <c r="AJS78" s="20" t="n">
        <f aca="false">IF(ANF77&gt;0,AQS77-AQS77*VS78/ANF77,0)+0</f>
        <v>0</v>
      </c>
      <c r="AJT78" s="20" t="n">
        <f aca="false">IF(ANG77&gt;0,AQT77-AQT77*VT78/ANG77,0)+0</f>
        <v>0</v>
      </c>
      <c r="AJU78" s="20" t="n">
        <f aca="false">IF(ANH77&gt;0,AQU77-AQU77*VU78/ANH77,0)+0</f>
        <v>0</v>
      </c>
      <c r="AJV78" s="20" t="n">
        <f aca="false">IF(ANI77&gt;0,AQV77-AQV77*VV78/ANI77,0)+0</f>
        <v>0</v>
      </c>
      <c r="AJW78" s="20" t="n">
        <f aca="false">IF(ANJ77&gt;0,AQW77-AQW77*VW78/ANJ77,0)+0</f>
        <v>0</v>
      </c>
      <c r="AJX78" s="20" t="n">
        <f aca="false">IF((P78+S78)&gt;0,(P78+S78)-(P78+S78)*VX78/(P78+S78),0)+BE78</f>
        <v>0</v>
      </c>
      <c r="AJY78" s="20" t="n">
        <v>0</v>
      </c>
      <c r="AJZ78" s="20" t="n">
        <v>0</v>
      </c>
      <c r="AKA78" s="20" t="n">
        <v>0</v>
      </c>
      <c r="AKB78" s="20" t="n">
        <v>0</v>
      </c>
      <c r="AKC78" s="20" t="n">
        <v>0</v>
      </c>
      <c r="AKD78" s="20" t="n">
        <v>0</v>
      </c>
      <c r="AKE78" s="20" t="n">
        <v>0</v>
      </c>
      <c r="AKF78" s="20" t="n">
        <v>0</v>
      </c>
      <c r="AKG78" s="20" t="n">
        <v>0</v>
      </c>
      <c r="AKH78" s="20" t="n">
        <v>0</v>
      </c>
      <c r="AKI78" s="20" t="n">
        <v>0</v>
      </c>
      <c r="AKJ78" s="20" t="n">
        <v>0</v>
      </c>
      <c r="AKK78" s="20" t="n">
        <v>0</v>
      </c>
      <c r="AKL78" s="20" t="n">
        <v>0</v>
      </c>
      <c r="AKM78" s="20" t="n">
        <v>0</v>
      </c>
      <c r="AKN78" s="20" t="n">
        <v>0</v>
      </c>
      <c r="AKO78" s="20" t="n">
        <v>0</v>
      </c>
      <c r="AKP78" s="20" t="n">
        <v>0</v>
      </c>
      <c r="AKQ78" s="20" t="n">
        <v>0</v>
      </c>
      <c r="AKR78" s="20" t="n">
        <f aca="false">ADR78-AVE78</f>
        <v>0</v>
      </c>
      <c r="AKS78" s="20" t="n">
        <f aca="false">ADS78-AVF78</f>
        <v>0</v>
      </c>
      <c r="AKT78" s="20" t="n">
        <f aca="false">ADT78-AVG78</f>
        <v>0</v>
      </c>
      <c r="AKU78" s="20" t="n">
        <f aca="false">ADU78-AVH78</f>
        <v>0</v>
      </c>
      <c r="AKV78" s="20" t="n">
        <f aca="false">ADV78-AVI78</f>
        <v>0</v>
      </c>
      <c r="AKW78" s="20" t="n">
        <f aca="false">ADW78-AVJ78</f>
        <v>0</v>
      </c>
      <c r="AKX78" s="20" t="n">
        <f aca="false">ADX78-AVK78</f>
        <v>0</v>
      </c>
      <c r="AKY78" s="20" t="n">
        <f aca="false">ADY78-AVL78</f>
        <v>0</v>
      </c>
      <c r="AKZ78" s="20" t="n">
        <f aca="false">ADZ78-AVM78</f>
        <v>0</v>
      </c>
      <c r="ALA78" s="20" t="n">
        <f aca="false">AEA78-AVN78</f>
        <v>0</v>
      </c>
      <c r="ALB78" s="20" t="n">
        <f aca="false">AEB78-AVO78</f>
        <v>0</v>
      </c>
      <c r="ALC78" s="20" t="n">
        <f aca="false">AEC78-AVP78</f>
        <v>0</v>
      </c>
      <c r="ALD78" s="20" t="n">
        <f aca="false">AED78-AVQ78</f>
        <v>0</v>
      </c>
      <c r="ALE78" s="20" t="n">
        <f aca="false">AEE78-AVR78</f>
        <v>0</v>
      </c>
      <c r="ALF78" s="20" t="n">
        <f aca="false">AEF78-AVS78</f>
        <v>0</v>
      </c>
      <c r="ALG78" s="20" t="n">
        <f aca="false">AEG78-AVT78</f>
        <v>0</v>
      </c>
      <c r="ALH78" s="20" t="n">
        <f aca="false">AEH78-AVU78</f>
        <v>0</v>
      </c>
      <c r="ALI78" s="20" t="n">
        <f aca="false">AEI78-AVV78</f>
        <v>0</v>
      </c>
      <c r="ALJ78" s="20" t="n">
        <f aca="false">AEJ78-AVW78</f>
        <v>0</v>
      </c>
      <c r="ALK78" s="20" t="n">
        <f aca="false">AEK78-AVX78</f>
        <v>0</v>
      </c>
      <c r="ALL78" s="20" t="n">
        <f aca="false">AEL78-AVY78</f>
        <v>0</v>
      </c>
      <c r="ALM78" s="20" t="n">
        <f aca="false">AEM78-AVZ78</f>
        <v>0</v>
      </c>
      <c r="ALN78" s="20" t="n">
        <f aca="false">AEN78-AWA78</f>
        <v>0</v>
      </c>
      <c r="ALO78" s="20" t="n">
        <f aca="false">AEO78-AWB78</f>
        <v>0</v>
      </c>
      <c r="ALP78" s="20" t="n">
        <f aca="false">AEP78-AWC78</f>
        <v>0</v>
      </c>
      <c r="ALQ78" s="20" t="n">
        <f aca="false">AEQ78-AWD78</f>
        <v>0</v>
      </c>
      <c r="ALR78" s="20" t="n">
        <f aca="false">AER78-AWE78</f>
        <v>0</v>
      </c>
      <c r="ALS78" s="20" t="n">
        <f aca="false">AES78-AWF78</f>
        <v>0</v>
      </c>
      <c r="ALT78" s="20" t="n">
        <f aca="false">AET78-AWG78</f>
        <v>0</v>
      </c>
      <c r="ALU78" s="20" t="n">
        <f aca="false">AEU78-AWH78</f>
        <v>0</v>
      </c>
      <c r="ALV78" s="20" t="n">
        <f aca="false">AEV78-AWI78</f>
        <v>0</v>
      </c>
      <c r="ALW78" s="20" t="n">
        <f aca="false">AEW78-AWJ78</f>
        <v>0</v>
      </c>
      <c r="ALX78" s="20" t="n">
        <f aca="false">AEX78-AWK78</f>
        <v>0</v>
      </c>
      <c r="ALY78" s="20" t="n">
        <f aca="false">AEY78-AWL78</f>
        <v>0</v>
      </c>
      <c r="ALZ78" s="20" t="n">
        <f aca="false">AEZ78-AWM78</f>
        <v>0</v>
      </c>
      <c r="AMA78" s="20" t="n">
        <f aca="false">AFA78-AWN78</f>
        <v>0</v>
      </c>
      <c r="AMB78" s="20" t="n">
        <f aca="false">AFB78-AWO78</f>
        <v>0</v>
      </c>
      <c r="AMC78" s="20" t="n">
        <f aca="false">AFC78-AWP78</f>
        <v>0</v>
      </c>
      <c r="AMD78" s="20" t="n">
        <f aca="false">AFD78-AWQ78</f>
        <v>0</v>
      </c>
      <c r="AME78" s="20" t="n">
        <f aca="false">AFE78-AWR78</f>
        <v>0</v>
      </c>
      <c r="AMF78" s="20" t="n">
        <f aca="false">AFF78-AWS78</f>
        <v>0</v>
      </c>
      <c r="AMG78" s="20" t="n">
        <f aca="false">AFG78-AWT78</f>
        <v>0</v>
      </c>
      <c r="AMH78" s="20" t="n">
        <f aca="false">AFH78-AWU78</f>
        <v>0</v>
      </c>
      <c r="AMI78" s="20" t="n">
        <f aca="false">AFI78-AWV78</f>
        <v>0</v>
      </c>
      <c r="AMJ78" s="20" t="n">
        <f aca="false">AFJ78-AWW78</f>
        <v>0</v>
      </c>
      <c r="AMK78" s="20" t="n">
        <f aca="false">AFK78-AWX78</f>
        <v>0</v>
      </c>
      <c r="AML78" s="20" t="n">
        <f aca="false">AFL78-AWY78</f>
        <v>0</v>
      </c>
      <c r="AMM78" s="20" t="n">
        <f aca="false">AFM78-AWZ78</f>
        <v>0</v>
      </c>
      <c r="AMN78" s="20" t="n">
        <f aca="false">AFN78-AXA78</f>
        <v>0</v>
      </c>
      <c r="AMO78" s="20" t="n">
        <f aca="false">AFO78-AXB78</f>
        <v>0</v>
      </c>
      <c r="AMP78" s="20" t="n">
        <f aca="false">AFP78-AXC78</f>
        <v>0</v>
      </c>
      <c r="AMQ78" s="20" t="n">
        <f aca="false">AFQ78-AXD78</f>
        <v>0</v>
      </c>
      <c r="AMR78" s="20" t="n">
        <f aca="false">AFR78-AXE78</f>
        <v>0</v>
      </c>
      <c r="AMS78" s="20" t="n">
        <f aca="false">AFS78-AXF78</f>
        <v>0</v>
      </c>
      <c r="AMT78" s="20" t="n">
        <f aca="false">AFT78-AXG78</f>
        <v>0</v>
      </c>
      <c r="AMU78" s="20" t="n">
        <f aca="false">AFU78-AXH78</f>
        <v>0</v>
      </c>
      <c r="AMV78" s="20" t="n">
        <f aca="false">AFV78-AXI78</f>
        <v>0</v>
      </c>
      <c r="AMW78" s="20" t="n">
        <f aca="false">AFW78-AXJ78</f>
        <v>0</v>
      </c>
      <c r="AMX78" s="20" t="n">
        <f aca="false">AFX78-AXK78</f>
        <v>0</v>
      </c>
      <c r="AMY78" s="20" t="n">
        <f aca="false">AFY78-AXL78</f>
        <v>0</v>
      </c>
      <c r="AMZ78" s="20" t="n">
        <f aca="false">AFZ78-AXM78</f>
        <v>0</v>
      </c>
      <c r="ANA78" s="20" t="n">
        <f aca="false">AGA78-AXN78</f>
        <v>0</v>
      </c>
      <c r="ANB78" s="20" t="n">
        <f aca="false">AGB78-AXO78</f>
        <v>0</v>
      </c>
      <c r="ANC78" s="20" t="n">
        <f aca="false">AGC78-AXP78</f>
        <v>0</v>
      </c>
      <c r="AND78" s="20" t="n">
        <f aca="false">AGD78-AXQ78</f>
        <v>0</v>
      </c>
      <c r="ANE78" s="20" t="n">
        <f aca="false">AGE78-AXR78</f>
        <v>0</v>
      </c>
      <c r="ANF78" s="20" t="n">
        <f aca="false">AGF78-AXS78</f>
        <v>0</v>
      </c>
      <c r="ANG78" s="20" t="n">
        <f aca="false">AGG78-AXT78</f>
        <v>0</v>
      </c>
      <c r="ANH78" s="20" t="n">
        <f aca="false">AGH78-AXU78</f>
        <v>0</v>
      </c>
      <c r="ANI78" s="20" t="n">
        <f aca="false">AGI78-AXV78</f>
        <v>0</v>
      </c>
      <c r="ANJ78" s="20" t="n">
        <f aca="false">AGJ78-AXW78</f>
        <v>0</v>
      </c>
      <c r="ANK78" s="20" t="n">
        <f aca="false">AGK78-AXX78</f>
        <v>0</v>
      </c>
      <c r="ANL78" s="20" t="n">
        <v>0</v>
      </c>
      <c r="ANM78" s="20" t="n">
        <v>0</v>
      </c>
      <c r="ANN78" s="20" t="n">
        <v>0</v>
      </c>
      <c r="ANO78" s="20" t="n">
        <v>0</v>
      </c>
      <c r="ANP78" s="20" t="n">
        <v>0</v>
      </c>
      <c r="ANQ78" s="20" t="n">
        <v>0</v>
      </c>
      <c r="ANR78" s="20" t="n">
        <v>0</v>
      </c>
      <c r="ANS78" s="20" t="n">
        <v>0</v>
      </c>
      <c r="ANT78" s="20" t="n">
        <v>0</v>
      </c>
      <c r="ANU78" s="20" t="n">
        <v>0</v>
      </c>
      <c r="ANV78" s="20" t="n">
        <v>0</v>
      </c>
      <c r="ANW78" s="20" t="n">
        <v>0</v>
      </c>
      <c r="ANX78" s="20" t="n">
        <v>0</v>
      </c>
      <c r="ANY78" s="20" t="n">
        <v>0</v>
      </c>
      <c r="ANZ78" s="20" t="n">
        <v>0</v>
      </c>
      <c r="AOA78" s="20" t="n">
        <v>0</v>
      </c>
      <c r="AOB78" s="20" t="n">
        <v>0</v>
      </c>
      <c r="AOC78" s="20" t="n">
        <v>0</v>
      </c>
      <c r="AOD78" s="20" t="n">
        <v>0</v>
      </c>
      <c r="AOE78" s="20" t="n">
        <f aca="false">IF(AND(H_Direct=0,H_TaxEvt=1,ARR77+1&gt;=H_Deemed),AKR78,AHE78)</f>
        <v>0</v>
      </c>
      <c r="AOF78" s="20" t="n">
        <f aca="false">IF(AND(H_Direct=0,H_TaxEvt=1,ARS77+1&gt;=H_Deemed),AKS78,AHF78)</f>
        <v>0</v>
      </c>
      <c r="AOG78" s="20" t="n">
        <f aca="false">IF(AND(H_Direct=0,H_TaxEvt=1,ART77+1&gt;=H_Deemed),AKT78,AHG78)</f>
        <v>0</v>
      </c>
      <c r="AOH78" s="20" t="n">
        <f aca="false">IF(AND(H_Direct=0,H_TaxEvt=1,ARU77+1&gt;=H_Deemed),AKU78,AHH78)</f>
        <v>0</v>
      </c>
      <c r="AOI78" s="20" t="n">
        <f aca="false">IF(AND(H_Direct=0,H_TaxEvt=1,ARV77+1&gt;=H_Deemed),AKV78,AHI78)</f>
        <v>0</v>
      </c>
      <c r="AOJ78" s="20" t="n">
        <f aca="false">IF(AND(H_Direct=0,H_TaxEvt=1,ARW77+1&gt;=H_Deemed),AKW78,AHJ78)</f>
        <v>0</v>
      </c>
      <c r="AOK78" s="20" t="n">
        <f aca="false">IF(AND(H_Direct=0,H_TaxEvt=1,ARX77+1&gt;=H_Deemed),AKX78,AHK78)</f>
        <v>0</v>
      </c>
      <c r="AOL78" s="20" t="n">
        <f aca="false">IF(AND(H_Direct=0,H_TaxEvt=1,ARY77+1&gt;=H_Deemed),AKY78,AHL78)</f>
        <v>0</v>
      </c>
      <c r="AOM78" s="20" t="n">
        <f aca="false">IF(AND(H_Direct=0,H_TaxEvt=1,ARZ77+1&gt;=H_Deemed),AKZ78,AHM78)</f>
        <v>0</v>
      </c>
      <c r="AON78" s="20" t="n">
        <f aca="false">IF(AND(H_Direct=0,H_TaxEvt=1,ASA77+1&gt;=H_Deemed),ALA78,AHN78)</f>
        <v>0</v>
      </c>
      <c r="AOO78" s="20" t="n">
        <f aca="false">IF(AND(H_Direct=0,H_TaxEvt=1,ASB77+1&gt;=H_Deemed),ALB78,AHO78)</f>
        <v>0</v>
      </c>
      <c r="AOP78" s="20" t="n">
        <f aca="false">IF(AND(H_Direct=0,H_TaxEvt=1,ASC77+1&gt;=H_Deemed),ALC78,AHP78)</f>
        <v>0</v>
      </c>
      <c r="AOQ78" s="20" t="n">
        <f aca="false">IF(AND(H_Direct=0,H_TaxEvt=1,ASD77+1&gt;=H_Deemed),ALD78,AHQ78)</f>
        <v>0</v>
      </c>
      <c r="AOR78" s="20" t="n">
        <f aca="false">IF(AND(H_Direct=0,H_TaxEvt=1,ASE77+1&gt;=H_Deemed),ALE78,AHR78)</f>
        <v>0</v>
      </c>
      <c r="AOS78" s="20" t="n">
        <f aca="false">IF(AND(H_Direct=0,H_TaxEvt=1,ASF77+1&gt;=H_Deemed),ALF78,AHS78)</f>
        <v>0</v>
      </c>
      <c r="AOT78" s="20" t="n">
        <f aca="false">IF(AND(H_Direct=0,H_TaxEvt=1,ASG77+1&gt;=H_Deemed),ALG78,AHT78)</f>
        <v>0</v>
      </c>
      <c r="AOU78" s="20" t="n">
        <f aca="false">IF(AND(H_Direct=0,H_TaxEvt=1,ASH77+1&gt;=H_Deemed),ALH78,AHU78)</f>
        <v>0</v>
      </c>
      <c r="AOV78" s="20" t="n">
        <f aca="false">IF(AND(H_Direct=0,H_TaxEvt=1,ASI77+1&gt;=H_Deemed),ALI78,AHV78)</f>
        <v>0</v>
      </c>
      <c r="AOW78" s="20" t="n">
        <f aca="false">IF(AND(H_Direct=0,H_TaxEvt=1,ASJ77+1&gt;=H_Deemed),ALJ78,AHW78)</f>
        <v>0</v>
      </c>
      <c r="AOX78" s="20" t="n">
        <f aca="false">IF(AND(H_Direct=0,H_TaxEvt=1,ASK77+1&gt;=H_Deemed),ALK78,AHX78)</f>
        <v>0</v>
      </c>
      <c r="AOY78" s="20" t="n">
        <f aca="false">IF(AND(H_Direct=0,H_TaxEvt=1,ASL77+1&gt;=H_Deemed),ALL78,AHY78)</f>
        <v>0</v>
      </c>
      <c r="AOZ78" s="20" t="n">
        <f aca="false">IF(AND(H_Direct=0,H_TaxEvt=1,ASM77+1&gt;=H_Deemed),ALM78,AHZ78)</f>
        <v>0</v>
      </c>
      <c r="APA78" s="20" t="n">
        <f aca="false">IF(AND(H_Direct=0,H_TaxEvt=1,ASN77+1&gt;=H_Deemed),ALN78,AIA78)</f>
        <v>0</v>
      </c>
      <c r="APB78" s="20" t="n">
        <f aca="false">IF(AND(H_Direct=0,H_TaxEvt=1,ASO77+1&gt;=H_Deemed),ALO78,AIB78)</f>
        <v>0</v>
      </c>
      <c r="APC78" s="20" t="n">
        <f aca="false">IF(AND(H_Direct=0,H_TaxEvt=1,ASP77+1&gt;=H_Deemed),ALP78,AIC78)</f>
        <v>0</v>
      </c>
      <c r="APD78" s="20" t="n">
        <f aca="false">IF(AND(H_Direct=0,H_TaxEvt=1,ASQ77+1&gt;=H_Deemed),ALQ78,AID78)</f>
        <v>0</v>
      </c>
      <c r="APE78" s="20" t="n">
        <f aca="false">IF(AND(H_Direct=0,H_TaxEvt=1,ASR77+1&gt;=H_Deemed),ALR78,AIE78)</f>
        <v>0</v>
      </c>
      <c r="APF78" s="20" t="n">
        <f aca="false">IF(AND(H_Direct=0,H_TaxEvt=1,ASS77+1&gt;=H_Deemed),ALS78,AIF78)</f>
        <v>0</v>
      </c>
      <c r="APG78" s="20" t="n">
        <f aca="false">IF(AND(H_Direct=0,H_TaxEvt=1,AST77+1&gt;=H_Deemed),ALT78,AIG78)</f>
        <v>0</v>
      </c>
      <c r="APH78" s="20" t="n">
        <f aca="false">IF(AND(H_Direct=0,H_TaxEvt=1,ASU77+1&gt;=H_Deemed),ALU78,AIH78)</f>
        <v>0</v>
      </c>
      <c r="API78" s="20" t="n">
        <f aca="false">IF(AND(H_Direct=0,H_TaxEvt=1,ASV77+1&gt;=H_Deemed),ALV78,AII78)</f>
        <v>0</v>
      </c>
      <c r="APJ78" s="20" t="n">
        <f aca="false">IF(AND(H_Direct=0,H_TaxEvt=1,ASW77+1&gt;=H_Deemed),ALW78,AIJ78)</f>
        <v>0</v>
      </c>
      <c r="APK78" s="20" t="n">
        <f aca="false">IF(AND(H_Direct=0,H_TaxEvt=1,ASX77+1&gt;=H_Deemed),ALX78,AIK78)</f>
        <v>0</v>
      </c>
      <c r="APL78" s="20" t="n">
        <f aca="false">IF(AND(H_Direct=0,H_TaxEvt=1,ASY77+1&gt;=H_Deemed),ALY78,AIL78)</f>
        <v>0</v>
      </c>
      <c r="APM78" s="20" t="n">
        <f aca="false">IF(AND(H_Direct=0,H_TaxEvt=1,ASZ77+1&gt;=H_Deemed),ALZ78,AIM78)</f>
        <v>0</v>
      </c>
      <c r="APN78" s="20" t="n">
        <f aca="false">IF(AND(H_Direct=0,H_TaxEvt=1,ATA77+1&gt;=H_Deemed),AMA78,AIN78)</f>
        <v>0</v>
      </c>
      <c r="APO78" s="20" t="n">
        <f aca="false">IF(AND(H_Direct=0,H_TaxEvt=1,ATB77+1&gt;=H_Deemed),AMB78,AIO78)</f>
        <v>0</v>
      </c>
      <c r="APP78" s="20" t="n">
        <f aca="false">IF(AND(H_Direct=0,H_TaxEvt=1,ATC77+1&gt;=H_Deemed),AMC78,AIP78)</f>
        <v>0</v>
      </c>
      <c r="APQ78" s="20" t="n">
        <f aca="false">IF(AND(H_Direct=0,H_TaxEvt=1,ATD77+1&gt;=H_Deemed),AMD78,AIQ78)</f>
        <v>0</v>
      </c>
      <c r="APR78" s="20" t="n">
        <f aca="false">IF(AND(H_Direct=0,H_TaxEvt=1,ATE77+1&gt;=H_Deemed),AME78,AIR78)</f>
        <v>0</v>
      </c>
      <c r="APS78" s="20" t="n">
        <f aca="false">IF(AND(H_Direct=0,H_TaxEvt=1,ATF77+1&gt;=H_Deemed),AMF78,AIS78)</f>
        <v>0</v>
      </c>
      <c r="APT78" s="20" t="n">
        <f aca="false">IF(AND(H_Direct=0,H_TaxEvt=1,ATG77+1&gt;=H_Deemed),AMG78,AIT78)</f>
        <v>0</v>
      </c>
      <c r="APU78" s="20" t="n">
        <f aca="false">IF(AND(H_Direct=0,H_TaxEvt=1,ATH77+1&gt;=H_Deemed),AMH78,AIU78)</f>
        <v>0</v>
      </c>
      <c r="APV78" s="20" t="n">
        <f aca="false">IF(AND(H_Direct=0,H_TaxEvt=1,ATI77+1&gt;=H_Deemed),AMI78,AIV78)</f>
        <v>0</v>
      </c>
      <c r="APW78" s="20" t="n">
        <f aca="false">IF(AND(H_Direct=0,H_TaxEvt=1,ATJ77+1&gt;=H_Deemed),AMJ78,AIW78)</f>
        <v>0</v>
      </c>
      <c r="APX78" s="20" t="n">
        <f aca="false">IF(AND(H_Direct=0,H_TaxEvt=1,ATK77+1&gt;=H_Deemed),AMK78,AIX78)</f>
        <v>0</v>
      </c>
      <c r="APY78" s="20" t="n">
        <f aca="false">IF(AND(H_Direct=0,H_TaxEvt=1,ATL77+1&gt;=H_Deemed),AML78,AIY78)</f>
        <v>0</v>
      </c>
      <c r="APZ78" s="20" t="n">
        <f aca="false">IF(AND(H_Direct=0,H_TaxEvt=1,ATM77+1&gt;=H_Deemed),AMM78,AIZ78)</f>
        <v>0</v>
      </c>
      <c r="AQA78" s="20" t="n">
        <f aca="false">IF(AND(H_Direct=0,H_TaxEvt=1,ATN77+1&gt;=H_Deemed),AMN78,AJA78)</f>
        <v>0</v>
      </c>
      <c r="AQB78" s="20" t="n">
        <f aca="false">IF(AND(H_Direct=0,H_TaxEvt=1,ATO77+1&gt;=H_Deemed),AMO78,AJB78)</f>
        <v>0</v>
      </c>
      <c r="AQC78" s="20" t="n">
        <f aca="false">IF(AND(H_Direct=0,H_TaxEvt=1,ATP77+1&gt;=H_Deemed),AMP78,AJC78)</f>
        <v>0</v>
      </c>
      <c r="AQD78" s="20" t="n">
        <f aca="false">IF(AND(H_Direct=0,H_TaxEvt=1,ATQ77+1&gt;=H_Deemed),AMQ78,AJD78)</f>
        <v>0</v>
      </c>
      <c r="AQE78" s="20" t="n">
        <f aca="false">IF(AND(H_Direct=0,H_TaxEvt=1,ATR77+1&gt;=H_Deemed),AMR78,AJE78)</f>
        <v>0</v>
      </c>
      <c r="AQF78" s="20" t="n">
        <f aca="false">IF(AND(H_Direct=0,H_TaxEvt=1,ATS77+1&gt;=H_Deemed),AMS78,AJF78)</f>
        <v>0</v>
      </c>
      <c r="AQG78" s="20" t="n">
        <f aca="false">IF(AND(H_Direct=0,H_TaxEvt=1,ATT77+1&gt;=H_Deemed),AMT78,AJG78)</f>
        <v>0</v>
      </c>
      <c r="AQH78" s="20" t="n">
        <f aca="false">IF(AND(H_Direct=0,H_TaxEvt=1,ATU77+1&gt;=H_Deemed),AMU78,AJH78)</f>
        <v>0</v>
      </c>
      <c r="AQI78" s="20" t="n">
        <f aca="false">IF(AND(H_Direct=0,H_TaxEvt=1,ATV77+1&gt;=H_Deemed),AMV78,AJI78)</f>
        <v>0</v>
      </c>
      <c r="AQJ78" s="20" t="n">
        <f aca="false">IF(AND(H_Direct=0,H_TaxEvt=1,ATW77+1&gt;=H_Deemed),AMW78,AJJ78)</f>
        <v>0</v>
      </c>
      <c r="AQK78" s="20" t="n">
        <f aca="false">IF(AND(H_Direct=0,H_TaxEvt=1,ATX77+1&gt;=H_Deemed),AMX78,AJK78)</f>
        <v>0</v>
      </c>
      <c r="AQL78" s="20" t="n">
        <f aca="false">IF(AND(H_Direct=0,H_TaxEvt=1,ATY77+1&gt;=H_Deemed),AMY78,AJL78)</f>
        <v>0</v>
      </c>
      <c r="AQM78" s="20" t="n">
        <f aca="false">IF(AND(H_Direct=0,H_TaxEvt=1,ATZ77+1&gt;=H_Deemed),AMZ78,AJM78)</f>
        <v>0</v>
      </c>
      <c r="AQN78" s="20" t="n">
        <f aca="false">IF(AND(H_Direct=0,H_TaxEvt=1,AUA77+1&gt;=H_Deemed),ANA78,AJN78)</f>
        <v>0</v>
      </c>
      <c r="AQO78" s="20" t="n">
        <f aca="false">IF(AND(H_Direct=0,H_TaxEvt=1,AUB77+1&gt;=H_Deemed),ANB78,AJO78)</f>
        <v>0</v>
      </c>
      <c r="AQP78" s="20" t="n">
        <f aca="false">IF(AND(H_Direct=0,H_TaxEvt=1,AUC77+1&gt;=H_Deemed),ANC78,AJP78)</f>
        <v>0</v>
      </c>
      <c r="AQQ78" s="20" t="n">
        <f aca="false">IF(AND(H_Direct=0,H_TaxEvt=1,AUD77+1&gt;=H_Deemed),AND78,AJQ78)</f>
        <v>0</v>
      </c>
      <c r="AQR78" s="20" t="n">
        <f aca="false">IF(AND(H_Direct=0,H_TaxEvt=1,AUE77+1&gt;=H_Deemed),ANE78,AJR78)</f>
        <v>0</v>
      </c>
      <c r="AQS78" s="20" t="n">
        <f aca="false">IF(AND(H_Direct=0,H_TaxEvt=1,AUF77+1&gt;=H_Deemed),ANF78,AJS78)</f>
        <v>0</v>
      </c>
      <c r="AQT78" s="20" t="n">
        <f aca="false">IF(AND(H_Direct=0,H_TaxEvt=1,AUG77+1&gt;=H_Deemed),ANG78,AJT78)</f>
        <v>0</v>
      </c>
      <c r="AQU78" s="20" t="n">
        <f aca="false">IF(AND(H_Direct=0,H_TaxEvt=1,AUH77+1&gt;=H_Deemed),ANH78,AJU78)</f>
        <v>0</v>
      </c>
      <c r="AQV78" s="20" t="n">
        <f aca="false">IF(AND(H_Direct=0,H_TaxEvt=1,AUI77+1&gt;=H_Deemed),ANI78,AJV78)</f>
        <v>0</v>
      </c>
      <c r="AQW78" s="20" t="n">
        <f aca="false">IF(AND(H_Direct=0,H_TaxEvt=1,AUJ77+1&gt;=H_Deemed),ANJ78,AJW78)</f>
        <v>0</v>
      </c>
      <c r="AQX78" s="20" t="n">
        <f aca="false">IF(AND(H_Direct=0,H_TaxEvt=1,0+1&gt;=H_Deemed),ANK78,AJX78)</f>
        <v>0</v>
      </c>
      <c r="AQY78" s="20" t="n">
        <v>0</v>
      </c>
      <c r="AQZ78" s="20" t="n">
        <v>0</v>
      </c>
      <c r="ARA78" s="20" t="n">
        <v>0</v>
      </c>
      <c r="ARB78" s="20" t="n">
        <v>0</v>
      </c>
      <c r="ARC78" s="20" t="n">
        <v>0</v>
      </c>
      <c r="ARD78" s="20" t="n">
        <v>0</v>
      </c>
      <c r="ARE78" s="20" t="n">
        <v>0</v>
      </c>
      <c r="ARF78" s="20" t="n">
        <v>0</v>
      </c>
      <c r="ARG78" s="20" t="n">
        <v>0</v>
      </c>
      <c r="ARH78" s="20" t="n">
        <v>0</v>
      </c>
      <c r="ARI78" s="20" t="n">
        <v>0</v>
      </c>
      <c r="ARJ78" s="20" t="n">
        <v>0</v>
      </c>
      <c r="ARK78" s="20" t="n">
        <v>0</v>
      </c>
      <c r="ARL78" s="20" t="n">
        <v>0</v>
      </c>
      <c r="ARM78" s="20" t="n">
        <v>0</v>
      </c>
      <c r="ARN78" s="20" t="n">
        <v>0</v>
      </c>
      <c r="ARO78" s="20" t="n">
        <v>0</v>
      </c>
      <c r="ARP78" s="20" t="n">
        <v>0</v>
      </c>
      <c r="ARQ78" s="20" t="n">
        <v>0</v>
      </c>
      <c r="ARR78" s="20" t="n">
        <f aca="false">IF(AND(H_Direct=0,H_TaxEvt=1),IF(ARR77+1&gt;=H_Deemed,0,ARR77+1),ARR77)</f>
        <v>7</v>
      </c>
      <c r="ARS78" s="20" t="n">
        <f aca="false">IF(AND(H_Direct=0,H_TaxEvt=1),IF(ARS77+1&gt;=H_Deemed,0,ARS77+1),ARS77)</f>
        <v>7</v>
      </c>
      <c r="ART78" s="20" t="n">
        <f aca="false">IF(AND(H_Direct=0,H_TaxEvt=1),IF(ART77+1&gt;=H_Deemed,0,ART77+1),ART77)</f>
        <v>6</v>
      </c>
      <c r="ARU78" s="20" t="n">
        <f aca="false">IF(AND(H_Direct=0,H_TaxEvt=1),IF(ARU77+1&gt;=H_Deemed,0,ARU77+1),ARU77)</f>
        <v>5</v>
      </c>
      <c r="ARV78" s="20" t="n">
        <f aca="false">IF(AND(H_Direct=0,H_TaxEvt=1),IF(ARV77+1&gt;=H_Deemed,0,ARV77+1),ARV77)</f>
        <v>4</v>
      </c>
      <c r="ARW78" s="20" t="n">
        <f aca="false">IF(AND(H_Direct=0,H_TaxEvt=1),IF(ARW77+1&gt;=H_Deemed,0,ARW77+1),ARW77)</f>
        <v>3</v>
      </c>
      <c r="ARX78" s="20" t="n">
        <f aca="false">IF(AND(H_Direct=0,H_TaxEvt=1),IF(ARX77+1&gt;=H_Deemed,0,ARX77+1),ARX77)</f>
        <v>2</v>
      </c>
      <c r="ARY78" s="20" t="n">
        <f aca="false">IF(AND(H_Direct=0,H_TaxEvt=1),IF(ARY77+1&gt;=H_Deemed,0,ARY77+1),ARY77)</f>
        <v>1</v>
      </c>
      <c r="ARZ78" s="20" t="n">
        <f aca="false">IF(AND(H_Direct=0,H_TaxEvt=1),IF(ARZ77+1&gt;=H_Deemed,0,ARZ77+1),ARZ77)</f>
        <v>0</v>
      </c>
      <c r="ASA78" s="20" t="n">
        <f aca="false">IF(AND(H_Direct=0,H_TaxEvt=1),IF(ASA77+1&gt;=H_Deemed,0,ASA77+1),ASA77)</f>
        <v>7</v>
      </c>
      <c r="ASB78" s="20" t="n">
        <f aca="false">IF(AND(H_Direct=0,H_TaxEvt=1),IF(ASB77+1&gt;=H_Deemed,0,ASB77+1),ASB77)</f>
        <v>6</v>
      </c>
      <c r="ASC78" s="20" t="n">
        <f aca="false">IF(AND(H_Direct=0,H_TaxEvt=1),IF(ASC77+1&gt;=H_Deemed,0,ASC77+1),ASC77)</f>
        <v>5</v>
      </c>
      <c r="ASD78" s="20" t="n">
        <f aca="false">IF(AND(H_Direct=0,H_TaxEvt=1),IF(ASD77+1&gt;=H_Deemed,0,ASD77+1),ASD77)</f>
        <v>4</v>
      </c>
      <c r="ASE78" s="20" t="n">
        <f aca="false">IF(AND(H_Direct=0,H_TaxEvt=1),IF(ASE77+1&gt;=H_Deemed,0,ASE77+1),ASE77)</f>
        <v>3</v>
      </c>
      <c r="ASF78" s="20" t="n">
        <f aca="false">IF(AND(H_Direct=0,H_TaxEvt=1),IF(ASF77+1&gt;=H_Deemed,0,ASF77+1),ASF77)</f>
        <v>2</v>
      </c>
      <c r="ASG78" s="20" t="n">
        <f aca="false">IF(AND(H_Direct=0,H_TaxEvt=1),IF(ASG77+1&gt;=H_Deemed,0,ASG77+1),ASG77)</f>
        <v>1</v>
      </c>
      <c r="ASH78" s="20" t="n">
        <f aca="false">IF(AND(H_Direct=0,H_TaxEvt=1),IF(ASH77+1&gt;=H_Deemed,0,ASH77+1),ASH77)</f>
        <v>0</v>
      </c>
      <c r="ASI78" s="20" t="n">
        <f aca="false">IF(AND(H_Direct=0,H_TaxEvt=1),IF(ASI77+1&gt;=H_Deemed,0,ASI77+1),ASI77)</f>
        <v>7</v>
      </c>
      <c r="ASJ78" s="20" t="n">
        <f aca="false">IF(AND(H_Direct=0,H_TaxEvt=1),IF(ASJ77+1&gt;=H_Deemed,0,ASJ77+1),ASJ77)</f>
        <v>6</v>
      </c>
      <c r="ASK78" s="20" t="n">
        <f aca="false">IF(AND(H_Direct=0,H_TaxEvt=1),IF(ASK77+1&gt;=H_Deemed,0,ASK77+1),ASK77)</f>
        <v>5</v>
      </c>
      <c r="ASL78" s="20" t="n">
        <f aca="false">IF(AND(H_Direct=0,H_TaxEvt=1),IF(ASL77+1&gt;=H_Deemed,0,ASL77+1),ASL77)</f>
        <v>4</v>
      </c>
      <c r="ASM78" s="20" t="n">
        <f aca="false">IF(AND(H_Direct=0,H_TaxEvt=1),IF(ASM77+1&gt;=H_Deemed,0,ASM77+1),ASM77)</f>
        <v>3</v>
      </c>
      <c r="ASN78" s="20" t="n">
        <f aca="false">IF(AND(H_Direct=0,H_TaxEvt=1),IF(ASN77+1&gt;=H_Deemed,0,ASN77+1),ASN77)</f>
        <v>2</v>
      </c>
      <c r="ASO78" s="20" t="n">
        <f aca="false">IF(AND(H_Direct=0,H_TaxEvt=1),IF(ASO77+1&gt;=H_Deemed,0,ASO77+1),ASO77)</f>
        <v>1</v>
      </c>
      <c r="ASP78" s="20" t="n">
        <f aca="false">IF(AND(H_Direct=0,H_TaxEvt=1),IF(ASP77+1&gt;=H_Deemed,0,ASP77+1),ASP77)</f>
        <v>0</v>
      </c>
      <c r="ASQ78" s="20" t="n">
        <f aca="false">IF(AND(H_Direct=0,H_TaxEvt=1),IF(ASQ77+1&gt;=H_Deemed,0,ASQ77+1),ASQ77)</f>
        <v>7</v>
      </c>
      <c r="ASR78" s="20" t="n">
        <f aca="false">IF(AND(H_Direct=0,H_TaxEvt=1),IF(ASR77+1&gt;=H_Deemed,0,ASR77+1),ASR77)</f>
        <v>6</v>
      </c>
      <c r="ASS78" s="20" t="n">
        <f aca="false">IF(AND(H_Direct=0,H_TaxEvt=1),IF(ASS77+1&gt;=H_Deemed,0,ASS77+1),ASS77)</f>
        <v>5</v>
      </c>
      <c r="AST78" s="20" t="n">
        <f aca="false">IF(AND(H_Direct=0,H_TaxEvt=1),IF(AST77+1&gt;=H_Deemed,0,AST77+1),AST77)</f>
        <v>4</v>
      </c>
      <c r="ASU78" s="20" t="n">
        <f aca="false">IF(AND(H_Direct=0,H_TaxEvt=1),IF(ASU77+1&gt;=H_Deemed,0,ASU77+1),ASU77)</f>
        <v>3</v>
      </c>
      <c r="ASV78" s="20" t="n">
        <f aca="false">IF(AND(H_Direct=0,H_TaxEvt=1),IF(ASV77+1&gt;=H_Deemed,0,ASV77+1),ASV77)</f>
        <v>2</v>
      </c>
      <c r="ASW78" s="20" t="n">
        <f aca="false">IF(AND(H_Direct=0,H_TaxEvt=1),IF(ASW77+1&gt;=H_Deemed,0,ASW77+1),ASW77)</f>
        <v>1</v>
      </c>
      <c r="ASX78" s="20" t="n">
        <f aca="false">IF(AND(H_Direct=0,H_TaxEvt=1),IF(ASX77+1&gt;=H_Deemed,0,ASX77+1),ASX77)</f>
        <v>0</v>
      </c>
      <c r="ASY78" s="20" t="n">
        <f aca="false">IF(AND(H_Direct=0,H_TaxEvt=1),IF(ASY77+1&gt;=H_Deemed,0,ASY77+1),ASY77)</f>
        <v>7</v>
      </c>
      <c r="ASZ78" s="20" t="n">
        <f aca="false">IF(AND(H_Direct=0,H_TaxEvt=1),IF(ASZ77+1&gt;=H_Deemed,0,ASZ77+1),ASZ77)</f>
        <v>6</v>
      </c>
      <c r="ATA78" s="20" t="n">
        <f aca="false">IF(AND(H_Direct=0,H_TaxEvt=1),IF(ATA77+1&gt;=H_Deemed,0,ATA77+1),ATA77)</f>
        <v>5</v>
      </c>
      <c r="ATB78" s="20" t="n">
        <f aca="false">IF(AND(H_Direct=0,H_TaxEvt=1),IF(ATB77+1&gt;=H_Deemed,0,ATB77+1),ATB77)</f>
        <v>4</v>
      </c>
      <c r="ATC78" s="20" t="n">
        <f aca="false">IF(AND(H_Direct=0,H_TaxEvt=1),IF(ATC77+1&gt;=H_Deemed,0,ATC77+1),ATC77)</f>
        <v>3</v>
      </c>
      <c r="ATD78" s="20" t="n">
        <f aca="false">IF(AND(H_Direct=0,H_TaxEvt=1),IF(ATD77+1&gt;=H_Deemed,0,ATD77+1),ATD77)</f>
        <v>2</v>
      </c>
      <c r="ATE78" s="20" t="n">
        <f aca="false">IF(AND(H_Direct=0,H_TaxEvt=1),IF(ATE77+1&gt;=H_Deemed,0,ATE77+1),ATE77)</f>
        <v>1</v>
      </c>
      <c r="ATF78" s="20" t="n">
        <f aca="false">IF(AND(H_Direct=0,H_TaxEvt=1),IF(ATF77+1&gt;=H_Deemed,0,ATF77+1),ATF77)</f>
        <v>0</v>
      </c>
      <c r="ATG78" s="20" t="n">
        <f aca="false">IF(AND(H_Direct=0,H_TaxEvt=1),IF(ATG77+1&gt;=H_Deemed,0,ATG77+1),ATG77)</f>
        <v>7</v>
      </c>
      <c r="ATH78" s="20" t="n">
        <f aca="false">IF(AND(H_Direct=0,H_TaxEvt=1),IF(ATH77+1&gt;=H_Deemed,0,ATH77+1),ATH77)</f>
        <v>6</v>
      </c>
      <c r="ATI78" s="20" t="n">
        <f aca="false">IF(AND(H_Direct=0,H_TaxEvt=1),IF(ATI77+1&gt;=H_Deemed,0,ATI77+1),ATI77)</f>
        <v>5</v>
      </c>
      <c r="ATJ78" s="20" t="n">
        <f aca="false">IF(AND(H_Direct=0,H_TaxEvt=1),IF(ATJ77+1&gt;=H_Deemed,0,ATJ77+1),ATJ77)</f>
        <v>4</v>
      </c>
      <c r="ATK78" s="20" t="n">
        <f aca="false">IF(AND(H_Direct=0,H_TaxEvt=1),IF(ATK77+1&gt;=H_Deemed,0,ATK77+1),ATK77)</f>
        <v>3</v>
      </c>
      <c r="ATL78" s="20" t="n">
        <f aca="false">IF(AND(H_Direct=0,H_TaxEvt=1),IF(ATL77+1&gt;=H_Deemed,0,ATL77+1),ATL77)</f>
        <v>2</v>
      </c>
      <c r="ATM78" s="20" t="n">
        <f aca="false">IF(AND(H_Direct=0,H_TaxEvt=1),IF(ATM77+1&gt;=H_Deemed,0,ATM77+1),ATM77)</f>
        <v>1</v>
      </c>
      <c r="ATN78" s="20" t="n">
        <f aca="false">IF(AND(H_Direct=0,H_TaxEvt=1),IF(ATN77+1&gt;=H_Deemed,0,ATN77+1),ATN77)</f>
        <v>0</v>
      </c>
      <c r="ATO78" s="20" t="n">
        <f aca="false">IF(AND(H_Direct=0,H_TaxEvt=1),IF(ATO77+1&gt;=H_Deemed,0,ATO77+1),ATO77)</f>
        <v>7</v>
      </c>
      <c r="ATP78" s="20" t="n">
        <f aca="false">IF(AND(H_Direct=0,H_TaxEvt=1),IF(ATP77+1&gt;=H_Deemed,0,ATP77+1),ATP77)</f>
        <v>6</v>
      </c>
      <c r="ATQ78" s="20" t="n">
        <f aca="false">IF(AND(H_Direct=0,H_TaxEvt=1),IF(ATQ77+1&gt;=H_Deemed,0,ATQ77+1),ATQ77)</f>
        <v>5</v>
      </c>
      <c r="ATR78" s="20" t="n">
        <f aca="false">IF(AND(H_Direct=0,H_TaxEvt=1),IF(ATR77+1&gt;=H_Deemed,0,ATR77+1),ATR77)</f>
        <v>4</v>
      </c>
      <c r="ATS78" s="20" t="n">
        <f aca="false">IF(AND(H_Direct=0,H_TaxEvt=1),IF(ATS77+1&gt;=H_Deemed,0,ATS77+1),ATS77)</f>
        <v>3</v>
      </c>
      <c r="ATT78" s="20" t="n">
        <f aca="false">IF(AND(H_Direct=0,H_TaxEvt=1),IF(ATT77+1&gt;=H_Deemed,0,ATT77+1),ATT77)</f>
        <v>2</v>
      </c>
      <c r="ATU78" s="20" t="n">
        <f aca="false">IF(AND(H_Direct=0,H_TaxEvt=1),IF(ATU77+1&gt;=H_Deemed,0,ATU77+1),ATU77)</f>
        <v>1</v>
      </c>
      <c r="ATV78" s="20" t="n">
        <f aca="false">IF(AND(H_Direct=0,H_TaxEvt=1),IF(ATV77+1&gt;=H_Deemed,0,ATV77+1),ATV77)</f>
        <v>0</v>
      </c>
      <c r="ATW78" s="20" t="n">
        <f aca="false">IF(AND(H_Direct=0,H_TaxEvt=1),IF(ATW77+1&gt;=H_Deemed,0,ATW77+1),ATW77)</f>
        <v>7</v>
      </c>
      <c r="ATX78" s="20" t="n">
        <f aca="false">IF(AND(H_Direct=0,H_TaxEvt=1),IF(ATX77+1&gt;=H_Deemed,0,ATX77+1),ATX77)</f>
        <v>6</v>
      </c>
      <c r="ATY78" s="20" t="n">
        <f aca="false">IF(AND(H_Direct=0,H_TaxEvt=1),IF(ATY77+1&gt;=H_Deemed,0,ATY77+1),ATY77)</f>
        <v>5</v>
      </c>
      <c r="ATZ78" s="20" t="n">
        <f aca="false">IF(AND(H_Direct=0,H_TaxEvt=1),IF(ATZ77+1&gt;=H_Deemed,0,ATZ77+1),ATZ77)</f>
        <v>4</v>
      </c>
      <c r="AUA78" s="20" t="n">
        <f aca="false">IF(AND(H_Direct=0,H_TaxEvt=1),IF(AUA77+1&gt;=H_Deemed,0,AUA77+1),AUA77)</f>
        <v>3</v>
      </c>
      <c r="AUB78" s="20" t="n">
        <f aca="false">IF(AND(H_Direct=0,H_TaxEvt=1),IF(AUB77+1&gt;=H_Deemed,0,AUB77+1),AUB77)</f>
        <v>2</v>
      </c>
      <c r="AUC78" s="20" t="n">
        <f aca="false">IF(AND(H_Direct=0,H_TaxEvt=1),IF(AUC77+1&gt;=H_Deemed,0,AUC77+1),AUC77)</f>
        <v>1</v>
      </c>
      <c r="AUD78" s="20" t="n">
        <f aca="false">IF(AND(H_Direct=0,H_TaxEvt=1),IF(AUD77+1&gt;=H_Deemed,0,AUD77+1),AUD77)</f>
        <v>0</v>
      </c>
      <c r="AUE78" s="20" t="n">
        <f aca="false">IF(AND(H_Direct=0,H_TaxEvt=1),IF(AUE77+1&gt;=H_Deemed,0,AUE77+1),AUE77)</f>
        <v>7</v>
      </c>
      <c r="AUF78" s="20" t="n">
        <f aca="false">IF(AND(H_Direct=0,H_TaxEvt=1),IF(AUF77+1&gt;=H_Deemed,0,AUF77+1),AUF77)</f>
        <v>6</v>
      </c>
      <c r="AUG78" s="20" t="n">
        <f aca="false">IF(AND(H_Direct=0,H_TaxEvt=1),IF(AUG77+1&gt;=H_Deemed,0,AUG77+1),AUG77)</f>
        <v>5</v>
      </c>
      <c r="AUH78" s="20" t="n">
        <f aca="false">IF(AND(H_Direct=0,H_TaxEvt=1),IF(AUH77+1&gt;=H_Deemed,0,AUH77+1),AUH77)</f>
        <v>4</v>
      </c>
      <c r="AUI78" s="20" t="n">
        <f aca="false">IF(AND(H_Direct=0,H_TaxEvt=1),IF(AUI77+1&gt;=H_Deemed,0,AUI77+1),AUI77)</f>
        <v>3</v>
      </c>
      <c r="AUJ78" s="20" t="n">
        <f aca="false">IF(AND(H_Direct=0,H_TaxEvt=1),IF(AUJ77+1&gt;=H_Deemed,0,AUJ77+1),AUJ77)</f>
        <v>2</v>
      </c>
      <c r="AUK78" s="20" t="n">
        <f aca="false">IF(AND(H_Direct=0,H_TaxEvt=1),IF(0+1&gt;=H_Deemed,0,0+1),0)</f>
        <v>1</v>
      </c>
      <c r="AUL78" s="20" t="n">
        <v>0</v>
      </c>
      <c r="AUM78" s="20" t="n">
        <v>0</v>
      </c>
      <c r="AUN78" s="20" t="n">
        <v>0</v>
      </c>
      <c r="AUO78" s="20" t="n">
        <v>0</v>
      </c>
      <c r="AUP78" s="20" t="n">
        <v>0</v>
      </c>
      <c r="AUQ78" s="20" t="n">
        <v>0</v>
      </c>
      <c r="AUR78" s="20" t="n">
        <v>0</v>
      </c>
      <c r="AUS78" s="20" t="n">
        <v>0</v>
      </c>
      <c r="AUT78" s="20" t="n">
        <v>0</v>
      </c>
      <c r="AUU78" s="20" t="n">
        <v>0</v>
      </c>
      <c r="AUV78" s="20" t="n">
        <v>0</v>
      </c>
      <c r="AUW78" s="20" t="n">
        <v>0</v>
      </c>
      <c r="AUX78" s="20" t="n">
        <v>0</v>
      </c>
      <c r="AUY78" s="20" t="n">
        <v>0</v>
      </c>
      <c r="AUZ78" s="20" t="n">
        <v>0</v>
      </c>
      <c r="AVA78" s="20" t="n">
        <v>0</v>
      </c>
      <c r="AVB78" s="20" t="n">
        <v>0</v>
      </c>
      <c r="AVC78" s="20" t="n">
        <v>0</v>
      </c>
      <c r="AVD78" s="20" t="n">
        <v>0</v>
      </c>
      <c r="AVE78" s="20" t="n">
        <f aca="false">IF(AND(H_Direct=0,H_TaxEvt=1,ARR77+1&gt;=H_Deemed),MAX(0,ADR78-AHE78)*H_Exit,0)</f>
        <v>0</v>
      </c>
      <c r="AVF78" s="20" t="n">
        <f aca="false">IF(AND(H_Direct=0,H_TaxEvt=1,ARS77+1&gt;=H_Deemed),MAX(0,ADS78-AHF78)*H_Exit,0)</f>
        <v>0</v>
      </c>
      <c r="AVG78" s="20" t="n">
        <f aca="false">IF(AND(H_Direct=0,H_TaxEvt=1,ART77+1&gt;=H_Deemed),MAX(0,ADT78-AHG78)*H_Exit,0)</f>
        <v>0</v>
      </c>
      <c r="AVH78" s="20" t="n">
        <f aca="false">IF(AND(H_Direct=0,H_TaxEvt=1,ARU77+1&gt;=H_Deemed),MAX(0,ADU78-AHH78)*H_Exit,0)</f>
        <v>0</v>
      </c>
      <c r="AVI78" s="20" t="n">
        <f aca="false">IF(AND(H_Direct=0,H_TaxEvt=1,ARV77+1&gt;=H_Deemed),MAX(0,ADV78-AHI78)*H_Exit,0)</f>
        <v>0</v>
      </c>
      <c r="AVJ78" s="20" t="n">
        <f aca="false">IF(AND(H_Direct=0,H_TaxEvt=1,ARW77+1&gt;=H_Deemed),MAX(0,ADW78-AHJ78)*H_Exit,0)</f>
        <v>0</v>
      </c>
      <c r="AVK78" s="20" t="n">
        <f aca="false">IF(AND(H_Direct=0,H_TaxEvt=1,ARX77+1&gt;=H_Deemed),MAX(0,ADX78-AHK78)*H_Exit,0)</f>
        <v>0</v>
      </c>
      <c r="AVL78" s="20" t="n">
        <f aca="false">IF(AND(H_Direct=0,H_TaxEvt=1,ARY77+1&gt;=H_Deemed),MAX(0,ADY78-AHL78)*H_Exit,0)</f>
        <v>0</v>
      </c>
      <c r="AVM78" s="20" t="n">
        <f aca="false">IF(AND(H_Direct=0,H_TaxEvt=1,ARZ77+1&gt;=H_Deemed),MAX(0,ADZ78-AHM78)*H_Exit,0)</f>
        <v>0</v>
      </c>
      <c r="AVN78" s="20" t="n">
        <f aca="false">IF(AND(H_Direct=0,H_TaxEvt=1,ASA77+1&gt;=H_Deemed),MAX(0,AEA78-AHN78)*H_Exit,0)</f>
        <v>0</v>
      </c>
      <c r="AVO78" s="20" t="n">
        <f aca="false">IF(AND(H_Direct=0,H_TaxEvt=1,ASB77+1&gt;=H_Deemed),MAX(0,AEB78-AHO78)*H_Exit,0)</f>
        <v>0</v>
      </c>
      <c r="AVP78" s="20" t="n">
        <f aca="false">IF(AND(H_Direct=0,H_TaxEvt=1,ASC77+1&gt;=H_Deemed),MAX(0,AEC78-AHP78)*H_Exit,0)</f>
        <v>0</v>
      </c>
      <c r="AVQ78" s="20" t="n">
        <f aca="false">IF(AND(H_Direct=0,H_TaxEvt=1,ASD77+1&gt;=H_Deemed),MAX(0,AED78-AHQ78)*H_Exit,0)</f>
        <v>0</v>
      </c>
      <c r="AVR78" s="20" t="n">
        <f aca="false">IF(AND(H_Direct=0,H_TaxEvt=1,ASE77+1&gt;=H_Deemed),MAX(0,AEE78-AHR78)*H_Exit,0)</f>
        <v>0</v>
      </c>
      <c r="AVS78" s="20" t="n">
        <f aca="false">IF(AND(H_Direct=0,H_TaxEvt=1,ASF77+1&gt;=H_Deemed),MAX(0,AEF78-AHS78)*H_Exit,0)</f>
        <v>0</v>
      </c>
      <c r="AVT78" s="20" t="n">
        <f aca="false">IF(AND(H_Direct=0,H_TaxEvt=1,ASG77+1&gt;=H_Deemed),MAX(0,AEG78-AHT78)*H_Exit,0)</f>
        <v>0</v>
      </c>
      <c r="AVU78" s="20" t="n">
        <f aca="false">IF(AND(H_Direct=0,H_TaxEvt=1,ASH77+1&gt;=H_Deemed),MAX(0,AEH78-AHU78)*H_Exit,0)</f>
        <v>0</v>
      </c>
      <c r="AVV78" s="20" t="n">
        <f aca="false">IF(AND(H_Direct=0,H_TaxEvt=1,ASI77+1&gt;=H_Deemed),MAX(0,AEI78-AHV78)*H_Exit,0)</f>
        <v>0</v>
      </c>
      <c r="AVW78" s="20" t="n">
        <f aca="false">IF(AND(H_Direct=0,H_TaxEvt=1,ASJ77+1&gt;=H_Deemed),MAX(0,AEJ78-AHW78)*H_Exit,0)</f>
        <v>0</v>
      </c>
      <c r="AVX78" s="20" t="n">
        <f aca="false">IF(AND(H_Direct=0,H_TaxEvt=1,ASK77+1&gt;=H_Deemed),MAX(0,AEK78-AHX78)*H_Exit,0)</f>
        <v>0</v>
      </c>
      <c r="AVY78" s="20" t="n">
        <f aca="false">IF(AND(H_Direct=0,H_TaxEvt=1,ASL77+1&gt;=H_Deemed),MAX(0,AEL78-AHY78)*H_Exit,0)</f>
        <v>0</v>
      </c>
      <c r="AVZ78" s="20" t="n">
        <f aca="false">IF(AND(H_Direct=0,H_TaxEvt=1,ASM77+1&gt;=H_Deemed),MAX(0,AEM78-AHZ78)*H_Exit,0)</f>
        <v>0</v>
      </c>
      <c r="AWA78" s="20" t="n">
        <f aca="false">IF(AND(H_Direct=0,H_TaxEvt=1,ASN77+1&gt;=H_Deemed),MAX(0,AEN78-AIA78)*H_Exit,0)</f>
        <v>0</v>
      </c>
      <c r="AWB78" s="20" t="n">
        <f aca="false">IF(AND(H_Direct=0,H_TaxEvt=1,ASO77+1&gt;=H_Deemed),MAX(0,AEO78-AIB78)*H_Exit,0)</f>
        <v>0</v>
      </c>
      <c r="AWC78" s="20" t="n">
        <f aca="false">IF(AND(H_Direct=0,H_TaxEvt=1,ASP77+1&gt;=H_Deemed),MAX(0,AEP78-AIC78)*H_Exit,0)</f>
        <v>0</v>
      </c>
      <c r="AWD78" s="20" t="n">
        <f aca="false">IF(AND(H_Direct=0,H_TaxEvt=1,ASQ77+1&gt;=H_Deemed),MAX(0,AEQ78-AID78)*H_Exit,0)</f>
        <v>0</v>
      </c>
      <c r="AWE78" s="20" t="n">
        <f aca="false">IF(AND(H_Direct=0,H_TaxEvt=1,ASR77+1&gt;=H_Deemed),MAX(0,AER78-AIE78)*H_Exit,0)</f>
        <v>0</v>
      </c>
      <c r="AWF78" s="20" t="n">
        <f aca="false">IF(AND(H_Direct=0,H_TaxEvt=1,ASS77+1&gt;=H_Deemed),MAX(0,AES78-AIF78)*H_Exit,0)</f>
        <v>0</v>
      </c>
      <c r="AWG78" s="20" t="n">
        <f aca="false">IF(AND(H_Direct=0,H_TaxEvt=1,AST77+1&gt;=H_Deemed),MAX(0,AET78-AIG78)*H_Exit,0)</f>
        <v>0</v>
      </c>
      <c r="AWH78" s="20" t="n">
        <f aca="false">IF(AND(H_Direct=0,H_TaxEvt=1,ASU77+1&gt;=H_Deemed),MAX(0,AEU78-AIH78)*H_Exit,0)</f>
        <v>0</v>
      </c>
      <c r="AWI78" s="20" t="n">
        <f aca="false">IF(AND(H_Direct=0,H_TaxEvt=1,ASV77+1&gt;=H_Deemed),MAX(0,AEV78-AII78)*H_Exit,0)</f>
        <v>0</v>
      </c>
      <c r="AWJ78" s="20" t="n">
        <f aca="false">IF(AND(H_Direct=0,H_TaxEvt=1,ASW77+1&gt;=H_Deemed),MAX(0,AEW78-AIJ78)*H_Exit,0)</f>
        <v>0</v>
      </c>
      <c r="AWK78" s="20" t="n">
        <f aca="false">IF(AND(H_Direct=0,H_TaxEvt=1,ASX77+1&gt;=H_Deemed),MAX(0,AEX78-AIK78)*H_Exit,0)</f>
        <v>0</v>
      </c>
      <c r="AWL78" s="20" t="n">
        <f aca="false">IF(AND(H_Direct=0,H_TaxEvt=1,ASY77+1&gt;=H_Deemed),MAX(0,AEY78-AIL78)*H_Exit,0)</f>
        <v>0</v>
      </c>
      <c r="AWM78" s="20" t="n">
        <f aca="false">IF(AND(H_Direct=0,H_TaxEvt=1,ASZ77+1&gt;=H_Deemed),MAX(0,AEZ78-AIM78)*H_Exit,0)</f>
        <v>0</v>
      </c>
      <c r="AWN78" s="20" t="n">
        <f aca="false">IF(AND(H_Direct=0,H_TaxEvt=1,ATA77+1&gt;=H_Deemed),MAX(0,AFA78-AIN78)*H_Exit,0)</f>
        <v>0</v>
      </c>
      <c r="AWO78" s="20" t="n">
        <f aca="false">IF(AND(H_Direct=0,H_TaxEvt=1,ATB77+1&gt;=H_Deemed),MAX(0,AFB78-AIO78)*H_Exit,0)</f>
        <v>0</v>
      </c>
      <c r="AWP78" s="20" t="n">
        <f aca="false">IF(AND(H_Direct=0,H_TaxEvt=1,ATC77+1&gt;=H_Deemed),MAX(0,AFC78-AIP78)*H_Exit,0)</f>
        <v>0</v>
      </c>
      <c r="AWQ78" s="20" t="n">
        <f aca="false">IF(AND(H_Direct=0,H_TaxEvt=1,ATD77+1&gt;=H_Deemed),MAX(0,AFD78-AIQ78)*H_Exit,0)</f>
        <v>0</v>
      </c>
      <c r="AWR78" s="20" t="n">
        <f aca="false">IF(AND(H_Direct=0,H_TaxEvt=1,ATE77+1&gt;=H_Deemed),MAX(0,AFE78-AIR78)*H_Exit,0)</f>
        <v>0</v>
      </c>
      <c r="AWS78" s="20" t="n">
        <f aca="false">IF(AND(H_Direct=0,H_TaxEvt=1,ATF77+1&gt;=H_Deemed),MAX(0,AFF78-AIS78)*H_Exit,0)</f>
        <v>0</v>
      </c>
      <c r="AWT78" s="20" t="n">
        <f aca="false">IF(AND(H_Direct=0,H_TaxEvt=1,ATG77+1&gt;=H_Deemed),MAX(0,AFG78-AIT78)*H_Exit,0)</f>
        <v>0</v>
      </c>
      <c r="AWU78" s="20" t="n">
        <f aca="false">IF(AND(H_Direct=0,H_TaxEvt=1,ATH77+1&gt;=H_Deemed),MAX(0,AFH78-AIU78)*H_Exit,0)</f>
        <v>0</v>
      </c>
      <c r="AWV78" s="20" t="n">
        <f aca="false">IF(AND(H_Direct=0,H_TaxEvt=1,ATI77+1&gt;=H_Deemed),MAX(0,AFI78-AIV78)*H_Exit,0)</f>
        <v>0</v>
      </c>
      <c r="AWW78" s="20" t="n">
        <f aca="false">IF(AND(H_Direct=0,H_TaxEvt=1,ATJ77+1&gt;=H_Deemed),MAX(0,AFJ78-AIW78)*H_Exit,0)</f>
        <v>0</v>
      </c>
      <c r="AWX78" s="20" t="n">
        <f aca="false">IF(AND(H_Direct=0,H_TaxEvt=1,ATK77+1&gt;=H_Deemed),MAX(0,AFK78-AIX78)*H_Exit,0)</f>
        <v>0</v>
      </c>
      <c r="AWY78" s="20" t="n">
        <f aca="false">IF(AND(H_Direct=0,H_TaxEvt=1,ATL77+1&gt;=H_Deemed),MAX(0,AFL78-AIY78)*H_Exit,0)</f>
        <v>0</v>
      </c>
      <c r="AWZ78" s="20" t="n">
        <f aca="false">IF(AND(H_Direct=0,H_TaxEvt=1,ATM77+1&gt;=H_Deemed),MAX(0,AFM78-AIZ78)*H_Exit,0)</f>
        <v>0</v>
      </c>
      <c r="AXA78" s="20" t="n">
        <f aca="false">IF(AND(H_Direct=0,H_TaxEvt=1,ATN77+1&gt;=H_Deemed),MAX(0,AFN78-AJA78)*H_Exit,0)</f>
        <v>0</v>
      </c>
      <c r="AXB78" s="20" t="n">
        <f aca="false">IF(AND(H_Direct=0,H_TaxEvt=1,ATO77+1&gt;=H_Deemed),MAX(0,AFO78-AJB78)*H_Exit,0)</f>
        <v>0</v>
      </c>
      <c r="AXC78" s="20" t="n">
        <f aca="false">IF(AND(H_Direct=0,H_TaxEvt=1,ATP77+1&gt;=H_Deemed),MAX(0,AFP78-AJC78)*H_Exit,0)</f>
        <v>0</v>
      </c>
      <c r="AXD78" s="20" t="n">
        <f aca="false">IF(AND(H_Direct=0,H_TaxEvt=1,ATQ77+1&gt;=H_Deemed),MAX(0,AFQ78-AJD78)*H_Exit,0)</f>
        <v>0</v>
      </c>
      <c r="AXE78" s="20" t="n">
        <f aca="false">IF(AND(H_Direct=0,H_TaxEvt=1,ATR77+1&gt;=H_Deemed),MAX(0,AFR78-AJE78)*H_Exit,0)</f>
        <v>0</v>
      </c>
      <c r="AXF78" s="20" t="n">
        <f aca="false">IF(AND(H_Direct=0,H_TaxEvt=1,ATS77+1&gt;=H_Deemed),MAX(0,AFS78-AJF78)*H_Exit,0)</f>
        <v>0</v>
      </c>
      <c r="AXG78" s="20" t="n">
        <f aca="false">IF(AND(H_Direct=0,H_TaxEvt=1,ATT77+1&gt;=H_Deemed),MAX(0,AFT78-AJG78)*H_Exit,0)</f>
        <v>0</v>
      </c>
      <c r="AXH78" s="20" t="n">
        <f aca="false">IF(AND(H_Direct=0,H_TaxEvt=1,ATU77+1&gt;=H_Deemed),MAX(0,AFU78-AJH78)*H_Exit,0)</f>
        <v>0</v>
      </c>
      <c r="AXI78" s="20" t="n">
        <f aca="false">IF(AND(H_Direct=0,H_TaxEvt=1,ATV77+1&gt;=H_Deemed),MAX(0,AFV78-AJI78)*H_Exit,0)</f>
        <v>0</v>
      </c>
      <c r="AXJ78" s="20" t="n">
        <f aca="false">IF(AND(H_Direct=0,H_TaxEvt=1,ATW77+1&gt;=H_Deemed),MAX(0,AFW78-AJJ78)*H_Exit,0)</f>
        <v>0</v>
      </c>
      <c r="AXK78" s="20" t="n">
        <f aca="false">IF(AND(H_Direct=0,H_TaxEvt=1,ATX77+1&gt;=H_Deemed),MAX(0,AFX78-AJK78)*H_Exit,0)</f>
        <v>0</v>
      </c>
      <c r="AXL78" s="20" t="n">
        <f aca="false">IF(AND(H_Direct=0,H_TaxEvt=1,ATY77+1&gt;=H_Deemed),MAX(0,AFY78-AJL78)*H_Exit,0)</f>
        <v>0</v>
      </c>
      <c r="AXM78" s="20" t="n">
        <f aca="false">IF(AND(H_Direct=0,H_TaxEvt=1,ATZ77+1&gt;=H_Deemed),MAX(0,AFZ78-AJM78)*H_Exit,0)</f>
        <v>0</v>
      </c>
      <c r="AXN78" s="20" t="n">
        <f aca="false">IF(AND(H_Direct=0,H_TaxEvt=1,AUA77+1&gt;=H_Deemed),MAX(0,AGA78-AJN78)*H_Exit,0)</f>
        <v>0</v>
      </c>
      <c r="AXO78" s="20" t="n">
        <f aca="false">IF(AND(H_Direct=0,H_TaxEvt=1,AUB77+1&gt;=H_Deemed),MAX(0,AGB78-AJO78)*H_Exit,0)</f>
        <v>0</v>
      </c>
      <c r="AXP78" s="20" t="n">
        <f aca="false">IF(AND(H_Direct=0,H_TaxEvt=1,AUC77+1&gt;=H_Deemed),MAX(0,AGC78-AJP78)*H_Exit,0)</f>
        <v>0</v>
      </c>
      <c r="AXQ78" s="20" t="n">
        <f aca="false">IF(AND(H_Direct=0,H_TaxEvt=1,AUD77+1&gt;=H_Deemed),MAX(0,AGD78-AJQ78)*H_Exit,0)</f>
        <v>0</v>
      </c>
      <c r="AXR78" s="20" t="n">
        <f aca="false">IF(AND(H_Direct=0,H_TaxEvt=1,AUE77+1&gt;=H_Deemed),MAX(0,AGE78-AJR78)*H_Exit,0)</f>
        <v>0</v>
      </c>
      <c r="AXS78" s="20" t="n">
        <f aca="false">IF(AND(H_Direct=0,H_TaxEvt=1,AUF77+1&gt;=H_Deemed),MAX(0,AGF78-AJS78)*H_Exit,0)</f>
        <v>0</v>
      </c>
      <c r="AXT78" s="20" t="n">
        <f aca="false">IF(AND(H_Direct=0,H_TaxEvt=1,AUG77+1&gt;=H_Deemed),MAX(0,AGG78-AJT78)*H_Exit,0)</f>
        <v>0</v>
      </c>
      <c r="AXU78" s="20" t="n">
        <f aca="false">IF(AND(H_Direct=0,H_TaxEvt=1,AUH77+1&gt;=H_Deemed),MAX(0,AGH78-AJU78)*H_Exit,0)</f>
        <v>0</v>
      </c>
      <c r="AXV78" s="20" t="n">
        <f aca="false">IF(AND(H_Direct=0,H_TaxEvt=1,AUI77+1&gt;=H_Deemed),MAX(0,AGI78-AJV78)*H_Exit,0)</f>
        <v>0</v>
      </c>
      <c r="AXW78" s="20" t="n">
        <f aca="false">IF(AND(H_Direct=0,H_TaxEvt=1,AUJ77+1&gt;=H_Deemed),MAX(0,AGJ78-AJW78)*H_Exit,0)</f>
        <v>0</v>
      </c>
      <c r="AXX78" s="20" t="n">
        <f aca="false">IF(AND(H_Direct=0,H_TaxEvt=1,0+1&gt;=H_Deemed),MAX(0,AGK78-AJX78)*H_Exit,0)</f>
        <v>0</v>
      </c>
      <c r="AXY78" s="20" t="n">
        <v>0</v>
      </c>
      <c r="AXZ78" s="20" t="n">
        <v>0</v>
      </c>
      <c r="AYA78" s="20" t="n">
        <v>0</v>
      </c>
      <c r="AYB78" s="20" t="n">
        <v>0</v>
      </c>
      <c r="AYC78" s="20" t="n">
        <v>0</v>
      </c>
      <c r="AYD78" s="20" t="n">
        <v>0</v>
      </c>
      <c r="AYE78" s="20" t="n">
        <v>0</v>
      </c>
      <c r="AYF78" s="20" t="n">
        <v>0</v>
      </c>
      <c r="AYG78" s="20" t="n">
        <v>0</v>
      </c>
      <c r="AYH78" s="20" t="n">
        <v>0</v>
      </c>
      <c r="AYI78" s="20" t="n">
        <v>0</v>
      </c>
      <c r="AYJ78" s="20" t="n">
        <v>0</v>
      </c>
      <c r="AYK78" s="20" t="n">
        <v>0</v>
      </c>
      <c r="AYL78" s="20" t="n">
        <v>0</v>
      </c>
      <c r="AYM78" s="20" t="n">
        <v>0</v>
      </c>
      <c r="AYN78" s="20" t="n">
        <v>0</v>
      </c>
      <c r="AYO78" s="20" t="n">
        <v>0</v>
      </c>
      <c r="AYP78" s="20" t="n">
        <v>0</v>
      </c>
      <c r="AYQ78" s="20" t="n">
        <v>0</v>
      </c>
    </row>
    <row r="79" customFormat="false" ht="15" hidden="false" customHeight="false" outlineLevel="0" collapsed="false">
      <c r="B79" s="20" t="n">
        <v>71</v>
      </c>
      <c r="C79" s="20" t="n">
        <f aca="false">'Plan cashflow'!C79</f>
        <v>0</v>
      </c>
      <c r="D79" s="20" t="n">
        <f aca="false">'Plan cashflow'!D79</f>
        <v>109</v>
      </c>
      <c r="E79" s="20" t="n">
        <f aca="false">AS_Year0+71</f>
        <v>2097</v>
      </c>
      <c r="F79" s="50" t="n">
        <f aca="false">'Plan cashflow'!F79</f>
        <v>4.07954938730541</v>
      </c>
      <c r="G79" s="59" t="n">
        <f aca="true">IF(MAX(TODAY(),DATE(E79,1,1))&gt;=H_CGTfrom,H_CGT1,H_CGT0)</f>
        <v>0.31</v>
      </c>
      <c r="H79" s="20" t="n">
        <f aca="false">H_Exempt*H_Persons</f>
        <v>1270</v>
      </c>
      <c r="I79" s="20" t="n">
        <f aca="false">AX78</f>
        <v>0</v>
      </c>
      <c r="J79" s="60" t="n">
        <f aca="false">BF78</f>
        <v>0</v>
      </c>
      <c r="K79" s="60" t="n">
        <f aca="false">BG78</f>
        <v>0</v>
      </c>
      <c r="L79" s="20" t="n">
        <f aca="false">IF(AND(In_polLump&gt;0,In_polLumpAge&gt;0,D79=In_polLumpAge),In_polLump,0)</f>
        <v>0</v>
      </c>
      <c r="M79" s="20" t="n">
        <f aca="false">IF(AND(In_homeUse="Yes, I'd downsize",In_downAge&gt;0,D79=In_downAge,OR(In_home="Own outright",In_home="Own with mortgage"),In_homeValue&gt;0),MAX(0,MAX(0,In_homeValue-In_downValue)*F79*0.9-'Plan cashflow'!HR78),0)</f>
        <v>0</v>
      </c>
      <c r="N79" s="20" t="n">
        <f aca="false">'Plan pay &amp; tax'!Y305</f>
        <v>0</v>
      </c>
      <c r="O79" s="20" t="n">
        <f aca="false">L79+M79+(1-H_Sh)*N79</f>
        <v>0</v>
      </c>
      <c r="P79" s="20" t="n">
        <f aca="false">H_Sh*N79</f>
        <v>0</v>
      </c>
      <c r="Q79" s="20" t="n">
        <f aca="false">'Plan cashflow'!UL79</f>
        <v>0</v>
      </c>
      <c r="R79" s="20" t="n">
        <f aca="false">(1-H_Sh)*Q79</f>
        <v>0</v>
      </c>
      <c r="S79" s="20" t="n">
        <f aca="false">H_Sh*Q79</f>
        <v>0</v>
      </c>
      <c r="T79" s="20" t="n">
        <f aca="false">J79+K79+O79</f>
        <v>0</v>
      </c>
      <c r="U79" s="20" t="n">
        <f aca="false">T79+R79</f>
        <v>0</v>
      </c>
      <c r="V79" s="60" t="n">
        <f aca="false">SUM(FE79:IQ79)</f>
        <v>0</v>
      </c>
      <c r="W79" s="60" t="n">
        <f aca="false">IF(AJ79&lt;=0,0,IF(AL79&lt;=0,AJ79,AJ79-G79*MAX(0,AL79*AJ79-(AY79+AZ79))))</f>
        <v>0</v>
      </c>
      <c r="X79" s="60" t="n">
        <f aca="false">IF(AR79&lt;=0,0,IF(AT79&lt;=0,AR79,AR79-G79*MAX(0,AT79*AR79-(BA79+BB79))))</f>
        <v>0</v>
      </c>
      <c r="Y79" s="60" t="n">
        <f aca="false">T79+V79-S79+W79+X79</f>
        <v>0</v>
      </c>
      <c r="Z79" s="60" t="n">
        <f aca="false">'Plan cashflow'!UK79</f>
        <v>0</v>
      </c>
      <c r="AA79" s="20" t="n">
        <f aca="false">MIN(Z79,U79)</f>
        <v>0</v>
      </c>
      <c r="AB79" s="20" t="n">
        <f aca="false">Z79-AA79</f>
        <v>0</v>
      </c>
      <c r="AC79" s="20" t="n">
        <f aca="false">MIN(AA79,J79+O79+R79)</f>
        <v>0</v>
      </c>
      <c r="AD79" s="20" t="n">
        <f aca="false">AA79-AC79</f>
        <v>0</v>
      </c>
      <c r="AE79" s="20" t="n">
        <f aca="false">J79+O79+R79-AC79</f>
        <v>0</v>
      </c>
      <c r="AF79" s="20" t="n">
        <f aca="false">K79-AD79</f>
        <v>0</v>
      </c>
      <c r="AG79" s="20" t="n">
        <f aca="false">SUM(PR79:TD79)</f>
        <v>0</v>
      </c>
      <c r="AH79" s="20" t="n">
        <f aca="false">SUM(TE79:WQ79)</f>
        <v>0</v>
      </c>
      <c r="AI79" s="20" t="n">
        <f aca="false">MAX(0,AB79-AG79)</f>
        <v>0</v>
      </c>
      <c r="AJ79" s="57" t="n">
        <f aca="false">BI78</f>
        <v>0</v>
      </c>
      <c r="AK79" s="20" t="n">
        <f aca="false">BJ78</f>
        <v>0</v>
      </c>
      <c r="AL79" s="20" t="n">
        <f aca="false">IF(AJ79&gt;0,(AJ79-AK79)/AJ79,0)</f>
        <v>0</v>
      </c>
      <c r="AM79" s="20" t="n">
        <f aca="false">IF(AJ79&lt;=0,0,IF(AL79&lt;=0,MIN(AI79,AJ79),MIN(AI79,AJ79-G79*MAX(0,AL79*AJ79-(AAD79+ADQ79)))))</f>
        <v>0</v>
      </c>
      <c r="AN79" s="20" t="n">
        <f aca="false">IF(AJ79&lt;=0,0,IF(AL79&lt;=0,AM79,IF(AM79&lt;=(AAD79+ADQ79)/AL79,AM79,(AM79-G79*(AAD79+ADQ79))/(1-G79*AL79))))</f>
        <v>0</v>
      </c>
      <c r="AO79" s="20" t="n">
        <f aca="false">IF(AL79&gt;0,MAX(0,AAD79-(MIN(AL79*AN79,(AAD79+ADQ79))-MIN(MIN(AL79*AN79,(AAD79+ADQ79)),ADQ79))),AAD79)</f>
        <v>1270</v>
      </c>
      <c r="AP79" s="20" t="n">
        <f aca="false">IF(AL79&lt;=0,ADQ79-AL79*AN79,ADQ79-MIN(MIN(AL79*AN79,(AAD79+ADQ79)),ADQ79))</f>
        <v>0</v>
      </c>
      <c r="AQ79" s="20" t="n">
        <f aca="false">MAX(0,AI79-AM79)</f>
        <v>0</v>
      </c>
      <c r="AR79" s="57" t="n">
        <f aca="false">BK78</f>
        <v>0</v>
      </c>
      <c r="AS79" s="20" t="n">
        <f aca="false">BL78</f>
        <v>0</v>
      </c>
      <c r="AT79" s="20" t="n">
        <f aca="false">IF(AR79&gt;0,(AR79-AS79)/AR79,0)</f>
        <v>0</v>
      </c>
      <c r="AU79" s="20" t="n">
        <f aca="false">IF(AR79&lt;=0,0,IF(AT79&lt;=0,MIN(AQ79,AR79),MIN(AQ79,AR79-G79*MAX(0,AT79*AR79-(AO79+AP79)))))</f>
        <v>0</v>
      </c>
      <c r="AV79" s="20" t="n">
        <f aca="false">IF(AR79&lt;=0,0,IF(AT79&lt;=0,AU79,IF(AU79&lt;=(AO79+AP79)/AT79,AU79,(AU79-G79*(AO79+AP79))/(1-G79*AT79))))</f>
        <v>0</v>
      </c>
      <c r="AW79" s="20" t="n">
        <f aca="false">IF(AT79&gt;0,MAX(0,AO79-(MIN(AT79*AV79,(AO79+AP79))-MIN(MIN(AT79*AV79,(AO79+AP79)),AP79))),AO79)</f>
        <v>1270</v>
      </c>
      <c r="AX79" s="20" t="n">
        <f aca="false">IF(AT79&lt;=0,AP79-AT79*AV79,AP79-MIN(MIN(AT79*AV79,(AO79+AP79)),AP79))</f>
        <v>0</v>
      </c>
      <c r="AY79" s="20" t="n">
        <f aca="false">MD79</f>
        <v>1270</v>
      </c>
      <c r="AZ79" s="20" t="n">
        <f aca="false">PQ79</f>
        <v>0</v>
      </c>
      <c r="BA79" s="20" t="n">
        <f aca="false">IF(AL79&gt;0,MAX(0,AY79-(MIN(AL79*AJ79,AY79+AZ79)-MIN(MIN(AL79*AJ79,AY79+AZ79),AZ79))),AY79)</f>
        <v>1270</v>
      </c>
      <c r="BB79" s="20" t="n">
        <f aca="false">IF(AL79&lt;=0,AZ79-AL79*AJ79,AZ79-MIN(MIN(AL79*AJ79,AY79+AZ79),AZ79))</f>
        <v>0</v>
      </c>
      <c r="BC79" s="20" t="n">
        <f aca="false">'Plan cashflow'!UM79</f>
        <v>0</v>
      </c>
      <c r="BD79" s="20" t="n">
        <f aca="false">(1-H_Sh)*BC79</f>
        <v>0</v>
      </c>
      <c r="BE79" s="20" t="n">
        <f aca="false">H_Sh*BC79</f>
        <v>0</v>
      </c>
      <c r="BF79" s="60" t="n">
        <f aca="false">(AE79+BD79)*(1+AS_Cash)</f>
        <v>0</v>
      </c>
      <c r="BG79" s="60" t="n">
        <f aca="false">AF79*(1+AS_Cash)</f>
        <v>0</v>
      </c>
      <c r="BH79" s="60" t="n">
        <f aca="false">SUM(AKR79:AOD79)</f>
        <v>0</v>
      </c>
      <c r="BI79" s="60" t="n">
        <f aca="false">(AJ79-AN79)*(1+AS_Infl)</f>
        <v>0</v>
      </c>
      <c r="BJ79" s="20" t="n">
        <f aca="false">IF(AJ79&gt;0,AK79-AK79*AN79/AJ79,0)</f>
        <v>0</v>
      </c>
      <c r="BK79" s="60" t="n">
        <f aca="false">(AR79-AV79)*(1+BQ79)</f>
        <v>0</v>
      </c>
      <c r="BL79" s="20" t="n">
        <f aca="false">IF(AR79&gt;0,AS79-AS79*AV79/AR79,0)</f>
        <v>0</v>
      </c>
      <c r="BM79" s="60" t="n">
        <f aca="false">BF79+BG79+BH79+BI79+BK79</f>
        <v>0</v>
      </c>
      <c r="BN79" s="60" t="n">
        <f aca="false">(AH79-AG79)+(AN79-AM79)+(AV79-AU79)</f>
        <v>0</v>
      </c>
      <c r="BO79" s="20" t="n">
        <f aca="false">(AE79+BD79+AF79+MAX(0,'Plan cashflow'!QH79)+IF(Slot1_Rate=AS_Cash,'Plan cashflow'!QM79/(1+AS_Cash),0)+IF(Slot2_Rate=AS_Cash,'Plan cashflow'!QQ79/(1+AS_Cash),0)+IF(Slot3_Rate=AS_Cash,'Plan cashflow'!QU79/(1+AS_Cash),0)+IF(Slot4_Rate=AS_Cash,'Plan cashflow'!QY79/(1+AS_Cash),0)+IF(Slot5_Rate=AS_Cash,'Plan cashflow'!RC79/(1+AS_Cash),0)+IF(Slot6_Rate=AS_Cash,'Plan cashflow'!RG79/(1+AS_Cash),0)+IF(Slot7_Rate=AS_Cash,'Plan cashflow'!RK79/(1+AS_Cash),0)+IF(Slot8_Rate=AS_Cash,'Plan cashflow'!RO79/(1+AS_Cash),0)+IF(Slot9_Rate=AS_Cash,'Plan cashflow'!RS79/(1+AS_Cash),0)+IF(Slot10_Rate=AS_Cash,'Plan cashflow'!RW79/(1+AS_Cash),0)+IF(Slot11_Rate=AS_Cash,'Plan cashflow'!SA79/(1+AS_Cash),0)+IF(Slot12_Rate=AS_Cash,'Plan cashflow'!SE79/(1+AS_Cash),0)+IF(Slot13_Rate=AS_Cash,'Plan cashflow'!SI79/(1+AS_Cash),0)+IF(Slot14_Rate=AS_Cash,'Plan cashflow'!SM79/(1+AS_Cash),0)+IF(Slot15_Rate=AS_Cash,'Plan cashflow'!SQ79/(1+AS_Cash),0)+IF(Slot16_Rate=AS_Cash,'Plan cashflow'!SU79/(1+AS_Cash),0)+IF(Slot17_Rate=AS_Cash,'Plan cashflow'!SY79/(1+AS_Cash),0)+IF(Slot18_Rate=AS_Cash,'Plan cashflow'!TC79/(1+AS_Cash),0)+IF(Slot19_Rate=AS_Cash,'Plan cashflow'!TG79/(1+AS_Cash),0)+IF(Slot20_Rate=AS_Cash,'Plan cashflow'!TK79/(1+AS_Cash),0))*AS_Cash*H_DIRT/(1-H_DIRT)</f>
        <v>0</v>
      </c>
      <c r="BP79" s="60" t="n">
        <f aca="false">SUM(AVE79:AYQ79)</f>
        <v>0</v>
      </c>
      <c r="BQ79" s="54" t="n">
        <f aca="false">IF(H_TaxEvt=1,H_InvG,AS_Inv)</f>
        <v>0.04</v>
      </c>
      <c r="BR79" s="20" t="n">
        <f aca="false">IF(AKR78&gt;0,(AKR78-AOE78)/AKR78,0)</f>
        <v>0</v>
      </c>
      <c r="BS79" s="20" t="n">
        <f aca="false">IF(AKS78&gt;0,(AKS78-AOF78)/AKS78,0)</f>
        <v>0</v>
      </c>
      <c r="BT79" s="20" t="n">
        <f aca="false">IF(AKT78&gt;0,(AKT78-AOG78)/AKT78,0)</f>
        <v>0</v>
      </c>
      <c r="BU79" s="20" t="n">
        <f aca="false">IF(AKU78&gt;0,(AKU78-AOH78)/AKU78,0)</f>
        <v>0</v>
      </c>
      <c r="BV79" s="20" t="n">
        <f aca="false">IF(AKV78&gt;0,(AKV78-AOI78)/AKV78,0)</f>
        <v>0</v>
      </c>
      <c r="BW79" s="20" t="n">
        <f aca="false">IF(AKW78&gt;0,(AKW78-AOJ78)/AKW78,0)</f>
        <v>0</v>
      </c>
      <c r="BX79" s="20" t="n">
        <f aca="false">IF(AKX78&gt;0,(AKX78-AOK78)/AKX78,0)</f>
        <v>0</v>
      </c>
      <c r="BY79" s="20" t="n">
        <f aca="false">IF(AKY78&gt;0,(AKY78-AOL78)/AKY78,0)</f>
        <v>0</v>
      </c>
      <c r="BZ79" s="20" t="n">
        <f aca="false">IF(AKZ78&gt;0,(AKZ78-AOM78)/AKZ78,0)</f>
        <v>0</v>
      </c>
      <c r="CA79" s="20" t="n">
        <f aca="false">IF(ALA78&gt;0,(ALA78-AON78)/ALA78,0)</f>
        <v>0</v>
      </c>
      <c r="CB79" s="20" t="n">
        <f aca="false">IF(ALB78&gt;0,(ALB78-AOO78)/ALB78,0)</f>
        <v>0</v>
      </c>
      <c r="CC79" s="20" t="n">
        <f aca="false">IF(ALC78&gt;0,(ALC78-AOP78)/ALC78,0)</f>
        <v>0</v>
      </c>
      <c r="CD79" s="20" t="n">
        <f aca="false">IF(ALD78&gt;0,(ALD78-AOQ78)/ALD78,0)</f>
        <v>0</v>
      </c>
      <c r="CE79" s="20" t="n">
        <f aca="false">IF(ALE78&gt;0,(ALE78-AOR78)/ALE78,0)</f>
        <v>0</v>
      </c>
      <c r="CF79" s="20" t="n">
        <f aca="false">IF(ALF78&gt;0,(ALF78-AOS78)/ALF78,0)</f>
        <v>0</v>
      </c>
      <c r="CG79" s="20" t="n">
        <f aca="false">IF(ALG78&gt;0,(ALG78-AOT78)/ALG78,0)</f>
        <v>0</v>
      </c>
      <c r="CH79" s="20" t="n">
        <f aca="false">IF(ALH78&gt;0,(ALH78-AOU78)/ALH78,0)</f>
        <v>0</v>
      </c>
      <c r="CI79" s="20" t="n">
        <f aca="false">IF(ALI78&gt;0,(ALI78-AOV78)/ALI78,0)</f>
        <v>0</v>
      </c>
      <c r="CJ79" s="20" t="n">
        <f aca="false">IF(ALJ78&gt;0,(ALJ78-AOW78)/ALJ78,0)</f>
        <v>0</v>
      </c>
      <c r="CK79" s="20" t="n">
        <f aca="false">IF(ALK78&gt;0,(ALK78-AOX78)/ALK78,0)</f>
        <v>0</v>
      </c>
      <c r="CL79" s="20" t="n">
        <f aca="false">IF(ALL78&gt;0,(ALL78-AOY78)/ALL78,0)</f>
        <v>0</v>
      </c>
      <c r="CM79" s="20" t="n">
        <f aca="false">IF(ALM78&gt;0,(ALM78-AOZ78)/ALM78,0)</f>
        <v>0</v>
      </c>
      <c r="CN79" s="20" t="n">
        <f aca="false">IF(ALN78&gt;0,(ALN78-APA78)/ALN78,0)</f>
        <v>0</v>
      </c>
      <c r="CO79" s="20" t="n">
        <f aca="false">IF(ALO78&gt;0,(ALO78-APB78)/ALO78,0)</f>
        <v>0</v>
      </c>
      <c r="CP79" s="20" t="n">
        <f aca="false">IF(ALP78&gt;0,(ALP78-APC78)/ALP78,0)</f>
        <v>0</v>
      </c>
      <c r="CQ79" s="20" t="n">
        <f aca="false">IF(ALQ78&gt;0,(ALQ78-APD78)/ALQ78,0)</f>
        <v>0</v>
      </c>
      <c r="CR79" s="20" t="n">
        <f aca="false">IF(ALR78&gt;0,(ALR78-APE78)/ALR78,0)</f>
        <v>0</v>
      </c>
      <c r="CS79" s="20" t="n">
        <f aca="false">IF(ALS78&gt;0,(ALS78-APF78)/ALS78,0)</f>
        <v>0</v>
      </c>
      <c r="CT79" s="20" t="n">
        <f aca="false">IF(ALT78&gt;0,(ALT78-APG78)/ALT78,0)</f>
        <v>0</v>
      </c>
      <c r="CU79" s="20" t="n">
        <f aca="false">IF(ALU78&gt;0,(ALU78-APH78)/ALU78,0)</f>
        <v>0</v>
      </c>
      <c r="CV79" s="20" t="n">
        <f aca="false">IF(ALV78&gt;0,(ALV78-API78)/ALV78,0)</f>
        <v>0</v>
      </c>
      <c r="CW79" s="20" t="n">
        <f aca="false">IF(ALW78&gt;0,(ALW78-APJ78)/ALW78,0)</f>
        <v>0</v>
      </c>
      <c r="CX79" s="20" t="n">
        <f aca="false">IF(ALX78&gt;0,(ALX78-APK78)/ALX78,0)</f>
        <v>0</v>
      </c>
      <c r="CY79" s="20" t="n">
        <f aca="false">IF(ALY78&gt;0,(ALY78-APL78)/ALY78,0)</f>
        <v>0</v>
      </c>
      <c r="CZ79" s="20" t="n">
        <f aca="false">IF(ALZ78&gt;0,(ALZ78-APM78)/ALZ78,0)</f>
        <v>0</v>
      </c>
      <c r="DA79" s="20" t="n">
        <f aca="false">IF(AMA78&gt;0,(AMA78-APN78)/AMA78,0)</f>
        <v>0</v>
      </c>
      <c r="DB79" s="20" t="n">
        <f aca="false">IF(AMB78&gt;0,(AMB78-APO78)/AMB78,0)</f>
        <v>0</v>
      </c>
      <c r="DC79" s="20" t="n">
        <f aca="false">IF(AMC78&gt;0,(AMC78-APP78)/AMC78,0)</f>
        <v>0</v>
      </c>
      <c r="DD79" s="20" t="n">
        <f aca="false">IF(AMD78&gt;0,(AMD78-APQ78)/AMD78,0)</f>
        <v>0</v>
      </c>
      <c r="DE79" s="20" t="n">
        <f aca="false">IF(AME78&gt;0,(AME78-APR78)/AME78,0)</f>
        <v>0</v>
      </c>
      <c r="DF79" s="20" t="n">
        <f aca="false">IF(AMF78&gt;0,(AMF78-APS78)/AMF78,0)</f>
        <v>0</v>
      </c>
      <c r="DG79" s="20" t="n">
        <f aca="false">IF(AMG78&gt;0,(AMG78-APT78)/AMG78,0)</f>
        <v>0</v>
      </c>
      <c r="DH79" s="20" t="n">
        <f aca="false">IF(AMH78&gt;0,(AMH78-APU78)/AMH78,0)</f>
        <v>0</v>
      </c>
      <c r="DI79" s="20" t="n">
        <f aca="false">IF(AMI78&gt;0,(AMI78-APV78)/AMI78,0)</f>
        <v>0</v>
      </c>
      <c r="DJ79" s="20" t="n">
        <f aca="false">IF(AMJ78&gt;0,(AMJ78-APW78)/AMJ78,0)</f>
        <v>0</v>
      </c>
      <c r="DK79" s="20" t="n">
        <f aca="false">IF(AMK78&gt;0,(AMK78-APX78)/AMK78,0)</f>
        <v>0</v>
      </c>
      <c r="DL79" s="20" t="n">
        <f aca="false">IF(AML78&gt;0,(AML78-APY78)/AML78,0)</f>
        <v>0</v>
      </c>
      <c r="DM79" s="20" t="n">
        <f aca="false">IF(AMM78&gt;0,(AMM78-APZ78)/AMM78,0)</f>
        <v>0</v>
      </c>
      <c r="DN79" s="20" t="n">
        <f aca="false">IF(AMN78&gt;0,(AMN78-AQA78)/AMN78,0)</f>
        <v>0</v>
      </c>
      <c r="DO79" s="20" t="n">
        <f aca="false">IF(AMO78&gt;0,(AMO78-AQB78)/AMO78,0)</f>
        <v>0</v>
      </c>
      <c r="DP79" s="20" t="n">
        <f aca="false">IF(AMP78&gt;0,(AMP78-AQC78)/AMP78,0)</f>
        <v>0</v>
      </c>
      <c r="DQ79" s="20" t="n">
        <f aca="false">IF(AMQ78&gt;0,(AMQ78-AQD78)/AMQ78,0)</f>
        <v>0</v>
      </c>
      <c r="DR79" s="20" t="n">
        <f aca="false">IF(AMR78&gt;0,(AMR78-AQE78)/AMR78,0)</f>
        <v>0</v>
      </c>
      <c r="DS79" s="20" t="n">
        <f aca="false">IF(AMS78&gt;0,(AMS78-AQF78)/AMS78,0)</f>
        <v>0</v>
      </c>
      <c r="DT79" s="20" t="n">
        <f aca="false">IF(AMT78&gt;0,(AMT78-AQG78)/AMT78,0)</f>
        <v>0</v>
      </c>
      <c r="DU79" s="20" t="n">
        <f aca="false">IF(AMU78&gt;0,(AMU78-AQH78)/AMU78,0)</f>
        <v>0</v>
      </c>
      <c r="DV79" s="20" t="n">
        <f aca="false">IF(AMV78&gt;0,(AMV78-AQI78)/AMV78,0)</f>
        <v>0</v>
      </c>
      <c r="DW79" s="20" t="n">
        <f aca="false">IF(AMW78&gt;0,(AMW78-AQJ78)/AMW78,0)</f>
        <v>0</v>
      </c>
      <c r="DX79" s="20" t="n">
        <f aca="false">IF(AMX78&gt;0,(AMX78-AQK78)/AMX78,0)</f>
        <v>0</v>
      </c>
      <c r="DY79" s="20" t="n">
        <f aca="false">IF(AMY78&gt;0,(AMY78-AQL78)/AMY78,0)</f>
        <v>0</v>
      </c>
      <c r="DZ79" s="20" t="n">
        <f aca="false">IF(AMZ78&gt;0,(AMZ78-AQM78)/AMZ78,0)</f>
        <v>0</v>
      </c>
      <c r="EA79" s="20" t="n">
        <f aca="false">IF(ANA78&gt;0,(ANA78-AQN78)/ANA78,0)</f>
        <v>0</v>
      </c>
      <c r="EB79" s="20" t="n">
        <f aca="false">IF(ANB78&gt;0,(ANB78-AQO78)/ANB78,0)</f>
        <v>0</v>
      </c>
      <c r="EC79" s="20" t="n">
        <f aca="false">IF(ANC78&gt;0,(ANC78-AQP78)/ANC78,0)</f>
        <v>0</v>
      </c>
      <c r="ED79" s="20" t="n">
        <f aca="false">IF(AND78&gt;0,(AND78-AQQ78)/AND78,0)</f>
        <v>0</v>
      </c>
      <c r="EE79" s="20" t="n">
        <f aca="false">IF(ANE78&gt;0,(ANE78-AQR78)/ANE78,0)</f>
        <v>0</v>
      </c>
      <c r="EF79" s="20" t="n">
        <f aca="false">IF(ANF78&gt;0,(ANF78-AQS78)/ANF78,0)</f>
        <v>0</v>
      </c>
      <c r="EG79" s="20" t="n">
        <f aca="false">IF(ANG78&gt;0,(ANG78-AQT78)/ANG78,0)</f>
        <v>0</v>
      </c>
      <c r="EH79" s="20" t="n">
        <f aca="false">IF(ANH78&gt;0,(ANH78-AQU78)/ANH78,0)</f>
        <v>0</v>
      </c>
      <c r="EI79" s="20" t="n">
        <f aca="false">IF(ANI78&gt;0,(ANI78-AQV78)/ANI78,0)</f>
        <v>0</v>
      </c>
      <c r="EJ79" s="20" t="n">
        <f aca="false">IF(ANJ78&gt;0,(ANJ78-AQW78)/ANJ78,0)</f>
        <v>0</v>
      </c>
      <c r="EK79" s="20" t="n">
        <f aca="false">IF(ANK78&gt;0,(ANK78-AQX78)/ANK78,0)</f>
        <v>0</v>
      </c>
      <c r="EL79" s="20" t="n">
        <f aca="false">IF((P79+S79)&gt;0,((P79+S79)-(P79+S79))/(P79+S79),0)</f>
        <v>0</v>
      </c>
      <c r="EM79" s="20" t="n">
        <v>0</v>
      </c>
      <c r="EN79" s="20" t="n">
        <v>0</v>
      </c>
      <c r="EO79" s="20" t="n">
        <v>0</v>
      </c>
      <c r="EP79" s="20" t="n">
        <v>0</v>
      </c>
      <c r="EQ79" s="20" t="n">
        <v>0</v>
      </c>
      <c r="ER79" s="20" t="n">
        <v>0</v>
      </c>
      <c r="ES79" s="20" t="n">
        <v>0</v>
      </c>
      <c r="ET79" s="20" t="n">
        <v>0</v>
      </c>
      <c r="EU79" s="20" t="n">
        <v>0</v>
      </c>
      <c r="EV79" s="20" t="n">
        <v>0</v>
      </c>
      <c r="EW79" s="20" t="n">
        <v>0</v>
      </c>
      <c r="EX79" s="20" t="n">
        <v>0</v>
      </c>
      <c r="EY79" s="20" t="n">
        <v>0</v>
      </c>
      <c r="EZ79" s="20" t="n">
        <v>0</v>
      </c>
      <c r="FA79" s="20" t="n">
        <v>0</v>
      </c>
      <c r="FB79" s="20" t="n">
        <v>0</v>
      </c>
      <c r="FC79" s="20" t="n">
        <v>0</v>
      </c>
      <c r="FD79" s="20" t="n">
        <v>0</v>
      </c>
      <c r="FE79" s="20" t="n">
        <f aca="false">IF(H_Direct=1,IF(AKR78&lt;=0,0,IF(BR79&lt;=0,AKR78,AKR78-G79*MAX(0,BR79*AKR78-(H79+I79)))),AKR78*(1-MAX(0,BR79)*H_Exit))</f>
        <v>0</v>
      </c>
      <c r="FF79" s="20" t="n">
        <f aca="false">IF(H_Direct=1,IF(AKS78&lt;=0,0,IF(BS79&lt;=0,AKS78,AKS78-G79*MAX(0,BS79*AKS78-(IR79+ME79)))),AKS78*(1-MAX(0,BS79)*H_Exit))</f>
        <v>0</v>
      </c>
      <c r="FG79" s="20" t="n">
        <f aca="false">IF(H_Direct=1,IF(AKT78&lt;=0,0,IF(BT79&lt;=0,AKT78,AKT78-G79*MAX(0,BT79*AKT78-(IS79+MF79)))),AKT78*(1-MAX(0,BT79)*H_Exit))</f>
        <v>0</v>
      </c>
      <c r="FH79" s="20" t="n">
        <f aca="false">IF(H_Direct=1,IF(AKU78&lt;=0,0,IF(BU79&lt;=0,AKU78,AKU78-G79*MAX(0,BU79*AKU78-(IT79+MG79)))),AKU78*(1-MAX(0,BU79)*H_Exit))</f>
        <v>0</v>
      </c>
      <c r="FI79" s="20" t="n">
        <f aca="false">IF(H_Direct=1,IF(AKV78&lt;=0,0,IF(BV79&lt;=0,AKV78,AKV78-G79*MAX(0,BV79*AKV78-(IU79+MH79)))),AKV78*(1-MAX(0,BV79)*H_Exit))</f>
        <v>0</v>
      </c>
      <c r="FJ79" s="20" t="n">
        <f aca="false">IF(H_Direct=1,IF(AKW78&lt;=0,0,IF(BW79&lt;=0,AKW78,AKW78-G79*MAX(0,BW79*AKW78-(IV79+MI79)))),AKW78*(1-MAX(0,BW79)*H_Exit))</f>
        <v>0</v>
      </c>
      <c r="FK79" s="20" t="n">
        <f aca="false">IF(H_Direct=1,IF(AKX78&lt;=0,0,IF(BX79&lt;=0,AKX78,AKX78-G79*MAX(0,BX79*AKX78-(IW79+MJ79)))),AKX78*(1-MAX(0,BX79)*H_Exit))</f>
        <v>0</v>
      </c>
      <c r="FL79" s="20" t="n">
        <f aca="false">IF(H_Direct=1,IF(AKY78&lt;=0,0,IF(BY79&lt;=0,AKY78,AKY78-G79*MAX(0,BY79*AKY78-(IX79+MK79)))),AKY78*(1-MAX(0,BY79)*H_Exit))</f>
        <v>0</v>
      </c>
      <c r="FM79" s="20" t="n">
        <f aca="false">IF(H_Direct=1,IF(AKZ78&lt;=0,0,IF(BZ79&lt;=0,AKZ78,AKZ78-G79*MAX(0,BZ79*AKZ78-(IY79+ML79)))),AKZ78*(1-MAX(0,BZ79)*H_Exit))</f>
        <v>0</v>
      </c>
      <c r="FN79" s="20" t="n">
        <f aca="false">IF(H_Direct=1,IF(ALA78&lt;=0,0,IF(CA79&lt;=0,ALA78,ALA78-G79*MAX(0,CA79*ALA78-(IZ79+MM79)))),ALA78*(1-MAX(0,CA79)*H_Exit))</f>
        <v>0</v>
      </c>
      <c r="FO79" s="20" t="n">
        <f aca="false">IF(H_Direct=1,IF(ALB78&lt;=0,0,IF(CB79&lt;=0,ALB78,ALB78-G79*MAX(0,CB79*ALB78-(JA79+MN79)))),ALB78*(1-MAX(0,CB79)*H_Exit))</f>
        <v>0</v>
      </c>
      <c r="FP79" s="20" t="n">
        <f aca="false">IF(H_Direct=1,IF(ALC78&lt;=0,0,IF(CC79&lt;=0,ALC78,ALC78-G79*MAX(0,CC79*ALC78-(JB79+MO79)))),ALC78*(1-MAX(0,CC79)*H_Exit))</f>
        <v>0</v>
      </c>
      <c r="FQ79" s="20" t="n">
        <f aca="false">IF(H_Direct=1,IF(ALD78&lt;=0,0,IF(CD79&lt;=0,ALD78,ALD78-G79*MAX(0,CD79*ALD78-(JC79+MP79)))),ALD78*(1-MAX(0,CD79)*H_Exit))</f>
        <v>0</v>
      </c>
      <c r="FR79" s="20" t="n">
        <f aca="false">IF(H_Direct=1,IF(ALE78&lt;=0,0,IF(CE79&lt;=0,ALE78,ALE78-G79*MAX(0,CE79*ALE78-(JD79+MQ79)))),ALE78*(1-MAX(0,CE79)*H_Exit))</f>
        <v>0</v>
      </c>
      <c r="FS79" s="20" t="n">
        <f aca="false">IF(H_Direct=1,IF(ALF78&lt;=0,0,IF(CF79&lt;=0,ALF78,ALF78-G79*MAX(0,CF79*ALF78-(JE79+MR79)))),ALF78*(1-MAX(0,CF79)*H_Exit))</f>
        <v>0</v>
      </c>
      <c r="FT79" s="20" t="n">
        <f aca="false">IF(H_Direct=1,IF(ALG78&lt;=0,0,IF(CG79&lt;=0,ALG78,ALG78-G79*MAX(0,CG79*ALG78-(JF79+MS79)))),ALG78*(1-MAX(0,CG79)*H_Exit))</f>
        <v>0</v>
      </c>
      <c r="FU79" s="20" t="n">
        <f aca="false">IF(H_Direct=1,IF(ALH78&lt;=0,0,IF(CH79&lt;=0,ALH78,ALH78-G79*MAX(0,CH79*ALH78-(JG79+MT79)))),ALH78*(1-MAX(0,CH79)*H_Exit))</f>
        <v>0</v>
      </c>
      <c r="FV79" s="20" t="n">
        <f aca="false">IF(H_Direct=1,IF(ALI78&lt;=0,0,IF(CI79&lt;=0,ALI78,ALI78-G79*MAX(0,CI79*ALI78-(JH79+MU79)))),ALI78*(1-MAX(0,CI79)*H_Exit))</f>
        <v>0</v>
      </c>
      <c r="FW79" s="20" t="n">
        <f aca="false">IF(H_Direct=1,IF(ALJ78&lt;=0,0,IF(CJ79&lt;=0,ALJ78,ALJ78-G79*MAX(0,CJ79*ALJ78-(JI79+MV79)))),ALJ78*(1-MAX(0,CJ79)*H_Exit))</f>
        <v>0</v>
      </c>
      <c r="FX79" s="20" t="n">
        <f aca="false">IF(H_Direct=1,IF(ALK78&lt;=0,0,IF(CK79&lt;=0,ALK78,ALK78-G79*MAX(0,CK79*ALK78-(JJ79+MW79)))),ALK78*(1-MAX(0,CK79)*H_Exit))</f>
        <v>0</v>
      </c>
      <c r="FY79" s="20" t="n">
        <f aca="false">IF(H_Direct=1,IF(ALL78&lt;=0,0,IF(CL79&lt;=0,ALL78,ALL78-G79*MAX(0,CL79*ALL78-(JK79+MX79)))),ALL78*(1-MAX(0,CL79)*H_Exit))</f>
        <v>0</v>
      </c>
      <c r="FZ79" s="20" t="n">
        <f aca="false">IF(H_Direct=1,IF(ALM78&lt;=0,0,IF(CM79&lt;=0,ALM78,ALM78-G79*MAX(0,CM79*ALM78-(JL79+MY79)))),ALM78*(1-MAX(0,CM79)*H_Exit))</f>
        <v>0</v>
      </c>
      <c r="GA79" s="20" t="n">
        <f aca="false">IF(H_Direct=1,IF(ALN78&lt;=0,0,IF(CN79&lt;=0,ALN78,ALN78-G79*MAX(0,CN79*ALN78-(JM79+MZ79)))),ALN78*(1-MAX(0,CN79)*H_Exit))</f>
        <v>0</v>
      </c>
      <c r="GB79" s="20" t="n">
        <f aca="false">IF(H_Direct=1,IF(ALO78&lt;=0,0,IF(CO79&lt;=0,ALO78,ALO78-G79*MAX(0,CO79*ALO78-(JN79+NA79)))),ALO78*(1-MAX(0,CO79)*H_Exit))</f>
        <v>0</v>
      </c>
      <c r="GC79" s="20" t="n">
        <f aca="false">IF(H_Direct=1,IF(ALP78&lt;=0,0,IF(CP79&lt;=0,ALP78,ALP78-G79*MAX(0,CP79*ALP78-(JO79+NB79)))),ALP78*(1-MAX(0,CP79)*H_Exit))</f>
        <v>0</v>
      </c>
      <c r="GD79" s="20" t="n">
        <f aca="false">IF(H_Direct=1,IF(ALQ78&lt;=0,0,IF(CQ79&lt;=0,ALQ78,ALQ78-G79*MAX(0,CQ79*ALQ78-(JP79+NC79)))),ALQ78*(1-MAX(0,CQ79)*H_Exit))</f>
        <v>0</v>
      </c>
      <c r="GE79" s="20" t="n">
        <f aca="false">IF(H_Direct=1,IF(ALR78&lt;=0,0,IF(CR79&lt;=0,ALR78,ALR78-G79*MAX(0,CR79*ALR78-(JQ79+ND79)))),ALR78*(1-MAX(0,CR79)*H_Exit))</f>
        <v>0</v>
      </c>
      <c r="GF79" s="20" t="n">
        <f aca="false">IF(H_Direct=1,IF(ALS78&lt;=0,0,IF(CS79&lt;=0,ALS78,ALS78-G79*MAX(0,CS79*ALS78-(JR79+NE79)))),ALS78*(1-MAX(0,CS79)*H_Exit))</f>
        <v>0</v>
      </c>
      <c r="GG79" s="20" t="n">
        <f aca="false">IF(H_Direct=1,IF(ALT78&lt;=0,0,IF(CT79&lt;=0,ALT78,ALT78-G79*MAX(0,CT79*ALT78-(JS79+NF79)))),ALT78*(1-MAX(0,CT79)*H_Exit))</f>
        <v>0</v>
      </c>
      <c r="GH79" s="20" t="n">
        <f aca="false">IF(H_Direct=1,IF(ALU78&lt;=0,0,IF(CU79&lt;=0,ALU78,ALU78-G79*MAX(0,CU79*ALU78-(JT79+NG79)))),ALU78*(1-MAX(0,CU79)*H_Exit))</f>
        <v>0</v>
      </c>
      <c r="GI79" s="20" t="n">
        <f aca="false">IF(H_Direct=1,IF(ALV78&lt;=0,0,IF(CV79&lt;=0,ALV78,ALV78-G79*MAX(0,CV79*ALV78-(JU79+NH79)))),ALV78*(1-MAX(0,CV79)*H_Exit))</f>
        <v>0</v>
      </c>
      <c r="GJ79" s="20" t="n">
        <f aca="false">IF(H_Direct=1,IF(ALW78&lt;=0,0,IF(CW79&lt;=0,ALW78,ALW78-G79*MAX(0,CW79*ALW78-(JV79+NI79)))),ALW78*(1-MAX(0,CW79)*H_Exit))</f>
        <v>0</v>
      </c>
      <c r="GK79" s="20" t="n">
        <f aca="false">IF(H_Direct=1,IF(ALX78&lt;=0,0,IF(CX79&lt;=0,ALX78,ALX78-G79*MAX(0,CX79*ALX78-(JW79+NJ79)))),ALX78*(1-MAX(0,CX79)*H_Exit))</f>
        <v>0</v>
      </c>
      <c r="GL79" s="20" t="n">
        <f aca="false">IF(H_Direct=1,IF(ALY78&lt;=0,0,IF(CY79&lt;=0,ALY78,ALY78-G79*MAX(0,CY79*ALY78-(JX79+NK79)))),ALY78*(1-MAX(0,CY79)*H_Exit))</f>
        <v>0</v>
      </c>
      <c r="GM79" s="20" t="n">
        <f aca="false">IF(H_Direct=1,IF(ALZ78&lt;=0,0,IF(CZ79&lt;=0,ALZ78,ALZ78-G79*MAX(0,CZ79*ALZ78-(JY79+NL79)))),ALZ78*(1-MAX(0,CZ79)*H_Exit))</f>
        <v>0</v>
      </c>
      <c r="GN79" s="20" t="n">
        <f aca="false">IF(H_Direct=1,IF(AMA78&lt;=0,0,IF(DA79&lt;=0,AMA78,AMA78-G79*MAX(0,DA79*AMA78-(JZ79+NM79)))),AMA78*(1-MAX(0,DA79)*H_Exit))</f>
        <v>0</v>
      </c>
      <c r="GO79" s="20" t="n">
        <f aca="false">IF(H_Direct=1,IF(AMB78&lt;=0,0,IF(DB79&lt;=0,AMB78,AMB78-G79*MAX(0,DB79*AMB78-(KA79+NN79)))),AMB78*(1-MAX(0,DB79)*H_Exit))</f>
        <v>0</v>
      </c>
      <c r="GP79" s="20" t="n">
        <f aca="false">IF(H_Direct=1,IF(AMC78&lt;=0,0,IF(DC79&lt;=0,AMC78,AMC78-G79*MAX(0,DC79*AMC78-(KB79+NO79)))),AMC78*(1-MAX(0,DC79)*H_Exit))</f>
        <v>0</v>
      </c>
      <c r="GQ79" s="20" t="n">
        <f aca="false">IF(H_Direct=1,IF(AMD78&lt;=0,0,IF(DD79&lt;=0,AMD78,AMD78-G79*MAX(0,DD79*AMD78-(KC79+NP79)))),AMD78*(1-MAX(0,DD79)*H_Exit))</f>
        <v>0</v>
      </c>
      <c r="GR79" s="20" t="n">
        <f aca="false">IF(H_Direct=1,IF(AME78&lt;=0,0,IF(DE79&lt;=0,AME78,AME78-G79*MAX(0,DE79*AME78-(KD79+NQ79)))),AME78*(1-MAX(0,DE79)*H_Exit))</f>
        <v>0</v>
      </c>
      <c r="GS79" s="20" t="n">
        <f aca="false">IF(H_Direct=1,IF(AMF78&lt;=0,0,IF(DF79&lt;=0,AMF78,AMF78-G79*MAX(0,DF79*AMF78-(KE79+NR79)))),AMF78*(1-MAX(0,DF79)*H_Exit))</f>
        <v>0</v>
      </c>
      <c r="GT79" s="20" t="n">
        <f aca="false">IF(H_Direct=1,IF(AMG78&lt;=0,0,IF(DG79&lt;=0,AMG78,AMG78-G79*MAX(0,DG79*AMG78-(KF79+NS79)))),AMG78*(1-MAX(0,DG79)*H_Exit))</f>
        <v>0</v>
      </c>
      <c r="GU79" s="20" t="n">
        <f aca="false">IF(H_Direct=1,IF(AMH78&lt;=0,0,IF(DH79&lt;=0,AMH78,AMH78-G79*MAX(0,DH79*AMH78-(KG79+NT79)))),AMH78*(1-MAX(0,DH79)*H_Exit))</f>
        <v>0</v>
      </c>
      <c r="GV79" s="20" t="n">
        <f aca="false">IF(H_Direct=1,IF(AMI78&lt;=0,0,IF(DI79&lt;=0,AMI78,AMI78-G79*MAX(0,DI79*AMI78-(KH79+NU79)))),AMI78*(1-MAX(0,DI79)*H_Exit))</f>
        <v>0</v>
      </c>
      <c r="GW79" s="20" t="n">
        <f aca="false">IF(H_Direct=1,IF(AMJ78&lt;=0,0,IF(DJ79&lt;=0,AMJ78,AMJ78-G79*MAX(0,DJ79*AMJ78-(KI79+NV79)))),AMJ78*(1-MAX(0,DJ79)*H_Exit))</f>
        <v>0</v>
      </c>
      <c r="GX79" s="20" t="n">
        <f aca="false">IF(H_Direct=1,IF(AMK78&lt;=0,0,IF(DK79&lt;=0,AMK78,AMK78-G79*MAX(0,DK79*AMK78-(KJ79+NW79)))),AMK78*(1-MAX(0,DK79)*H_Exit))</f>
        <v>0</v>
      </c>
      <c r="GY79" s="20" t="n">
        <f aca="false">IF(H_Direct=1,IF(AML78&lt;=0,0,IF(DL79&lt;=0,AML78,AML78-G79*MAX(0,DL79*AML78-(KK79+NX79)))),AML78*(1-MAX(0,DL79)*H_Exit))</f>
        <v>0</v>
      </c>
      <c r="GZ79" s="20" t="n">
        <f aca="false">IF(H_Direct=1,IF(AMM78&lt;=0,0,IF(DM79&lt;=0,AMM78,AMM78-G79*MAX(0,DM79*AMM78-(KL79+NY79)))),AMM78*(1-MAX(0,DM79)*H_Exit))</f>
        <v>0</v>
      </c>
      <c r="HA79" s="20" t="n">
        <f aca="false">IF(H_Direct=1,IF(AMN78&lt;=0,0,IF(DN79&lt;=0,AMN78,AMN78-G79*MAX(0,DN79*AMN78-(KM79+NZ79)))),AMN78*(1-MAX(0,DN79)*H_Exit))</f>
        <v>0</v>
      </c>
      <c r="HB79" s="20" t="n">
        <f aca="false">IF(H_Direct=1,IF(AMO78&lt;=0,0,IF(DO79&lt;=0,AMO78,AMO78-G79*MAX(0,DO79*AMO78-(KN79+OA79)))),AMO78*(1-MAX(0,DO79)*H_Exit))</f>
        <v>0</v>
      </c>
      <c r="HC79" s="20" t="n">
        <f aca="false">IF(H_Direct=1,IF(AMP78&lt;=0,0,IF(DP79&lt;=0,AMP78,AMP78-G79*MAX(0,DP79*AMP78-(KO79+OB79)))),AMP78*(1-MAX(0,DP79)*H_Exit))</f>
        <v>0</v>
      </c>
      <c r="HD79" s="20" t="n">
        <f aca="false">IF(H_Direct=1,IF(AMQ78&lt;=0,0,IF(DQ79&lt;=0,AMQ78,AMQ78-G79*MAX(0,DQ79*AMQ78-(KP79+OC79)))),AMQ78*(1-MAX(0,DQ79)*H_Exit))</f>
        <v>0</v>
      </c>
      <c r="HE79" s="20" t="n">
        <f aca="false">IF(H_Direct=1,IF(AMR78&lt;=0,0,IF(DR79&lt;=0,AMR78,AMR78-G79*MAX(0,DR79*AMR78-(KQ79+OD79)))),AMR78*(1-MAX(0,DR79)*H_Exit))</f>
        <v>0</v>
      </c>
      <c r="HF79" s="20" t="n">
        <f aca="false">IF(H_Direct=1,IF(AMS78&lt;=0,0,IF(DS79&lt;=0,AMS78,AMS78-G79*MAX(0,DS79*AMS78-(KR79+OE79)))),AMS78*(1-MAX(0,DS79)*H_Exit))</f>
        <v>0</v>
      </c>
      <c r="HG79" s="20" t="n">
        <f aca="false">IF(H_Direct=1,IF(AMT78&lt;=0,0,IF(DT79&lt;=0,AMT78,AMT78-G79*MAX(0,DT79*AMT78-(KS79+OF79)))),AMT78*(1-MAX(0,DT79)*H_Exit))</f>
        <v>0</v>
      </c>
      <c r="HH79" s="20" t="n">
        <f aca="false">IF(H_Direct=1,IF(AMU78&lt;=0,0,IF(DU79&lt;=0,AMU78,AMU78-G79*MAX(0,DU79*AMU78-(KT79+OG79)))),AMU78*(1-MAX(0,DU79)*H_Exit))</f>
        <v>0</v>
      </c>
      <c r="HI79" s="20" t="n">
        <f aca="false">IF(H_Direct=1,IF(AMV78&lt;=0,0,IF(DV79&lt;=0,AMV78,AMV78-G79*MAX(0,DV79*AMV78-(KU79+OH79)))),AMV78*(1-MAX(0,DV79)*H_Exit))</f>
        <v>0</v>
      </c>
      <c r="HJ79" s="20" t="n">
        <f aca="false">IF(H_Direct=1,IF(AMW78&lt;=0,0,IF(DW79&lt;=0,AMW78,AMW78-G79*MAX(0,DW79*AMW78-(KV79+OI79)))),AMW78*(1-MAX(0,DW79)*H_Exit))</f>
        <v>0</v>
      </c>
      <c r="HK79" s="20" t="n">
        <f aca="false">IF(H_Direct=1,IF(AMX78&lt;=0,0,IF(DX79&lt;=0,AMX78,AMX78-G79*MAX(0,DX79*AMX78-(KW79+OJ79)))),AMX78*(1-MAX(0,DX79)*H_Exit))</f>
        <v>0</v>
      </c>
      <c r="HL79" s="20" t="n">
        <f aca="false">IF(H_Direct=1,IF(AMY78&lt;=0,0,IF(DY79&lt;=0,AMY78,AMY78-G79*MAX(0,DY79*AMY78-(KX79+OK79)))),AMY78*(1-MAX(0,DY79)*H_Exit))</f>
        <v>0</v>
      </c>
      <c r="HM79" s="20" t="n">
        <f aca="false">IF(H_Direct=1,IF(AMZ78&lt;=0,0,IF(DZ79&lt;=0,AMZ78,AMZ78-G79*MAX(0,DZ79*AMZ78-(KY79+OL79)))),AMZ78*(1-MAX(0,DZ79)*H_Exit))</f>
        <v>0</v>
      </c>
      <c r="HN79" s="20" t="n">
        <f aca="false">IF(H_Direct=1,IF(ANA78&lt;=0,0,IF(EA79&lt;=0,ANA78,ANA78-G79*MAX(0,EA79*ANA78-(KZ79+OM79)))),ANA78*(1-MAX(0,EA79)*H_Exit))</f>
        <v>0</v>
      </c>
      <c r="HO79" s="20" t="n">
        <f aca="false">IF(H_Direct=1,IF(ANB78&lt;=0,0,IF(EB79&lt;=0,ANB78,ANB78-G79*MAX(0,EB79*ANB78-(LA79+ON79)))),ANB78*(1-MAX(0,EB79)*H_Exit))</f>
        <v>0</v>
      </c>
      <c r="HP79" s="20" t="n">
        <f aca="false">IF(H_Direct=1,IF(ANC78&lt;=0,0,IF(EC79&lt;=0,ANC78,ANC78-G79*MAX(0,EC79*ANC78-(LB79+OO79)))),ANC78*(1-MAX(0,EC79)*H_Exit))</f>
        <v>0</v>
      </c>
      <c r="HQ79" s="20" t="n">
        <f aca="false">IF(H_Direct=1,IF(AND78&lt;=0,0,IF(ED79&lt;=0,AND78,AND78-G79*MAX(0,ED79*AND78-(LC79+OP79)))),AND78*(1-MAX(0,ED79)*H_Exit))</f>
        <v>0</v>
      </c>
      <c r="HR79" s="20" t="n">
        <f aca="false">IF(H_Direct=1,IF(ANE78&lt;=0,0,IF(EE79&lt;=0,ANE78,ANE78-G79*MAX(0,EE79*ANE78-(LD79+OQ79)))),ANE78*(1-MAX(0,EE79)*H_Exit))</f>
        <v>0</v>
      </c>
      <c r="HS79" s="20" t="n">
        <f aca="false">IF(H_Direct=1,IF(ANF78&lt;=0,0,IF(EF79&lt;=0,ANF78,ANF78-G79*MAX(0,EF79*ANF78-(LE79+OR79)))),ANF78*(1-MAX(0,EF79)*H_Exit))</f>
        <v>0</v>
      </c>
      <c r="HT79" s="20" t="n">
        <f aca="false">IF(H_Direct=1,IF(ANG78&lt;=0,0,IF(EG79&lt;=0,ANG78,ANG78-G79*MAX(0,EG79*ANG78-(LF79+OS79)))),ANG78*(1-MAX(0,EG79)*H_Exit))</f>
        <v>0</v>
      </c>
      <c r="HU79" s="20" t="n">
        <f aca="false">IF(H_Direct=1,IF(ANH78&lt;=0,0,IF(EH79&lt;=0,ANH78,ANH78-G79*MAX(0,EH79*ANH78-(LG79+OT79)))),ANH78*(1-MAX(0,EH79)*H_Exit))</f>
        <v>0</v>
      </c>
      <c r="HV79" s="20" t="n">
        <f aca="false">IF(H_Direct=1,IF(ANI78&lt;=0,0,IF(EI79&lt;=0,ANI78,ANI78-G79*MAX(0,EI79*ANI78-(LH79+OU79)))),ANI78*(1-MAX(0,EI79)*H_Exit))</f>
        <v>0</v>
      </c>
      <c r="HW79" s="20" t="n">
        <f aca="false">IF(H_Direct=1,IF(ANJ78&lt;=0,0,IF(EJ79&lt;=0,ANJ78,ANJ78-G79*MAX(0,EJ79*ANJ78-(LI79+OV79)))),ANJ78*(1-MAX(0,EJ79)*H_Exit))</f>
        <v>0</v>
      </c>
      <c r="HX79" s="20" t="n">
        <f aca="false">IF(H_Direct=1,IF(ANK78&lt;=0,0,IF(EK79&lt;=0,ANK78,ANK78-G79*MAX(0,EK79*ANK78-(LJ79+OW79)))),ANK78*(1-MAX(0,EK79)*H_Exit))</f>
        <v>0</v>
      </c>
      <c r="HY79" s="20" t="n">
        <f aca="false">IF(H_Direct=1,IF((P79+S79)&lt;=0,0,IF(EL79&lt;=0,(P79+S79),(P79+S79)-G79*MAX(0,EL79*(P79+S79)-(LK79+OX79)))),(P79+S79)*(1-MAX(0,EL79)*H_Exit))</f>
        <v>0</v>
      </c>
      <c r="HZ79" s="20" t="n">
        <v>0</v>
      </c>
      <c r="IA79" s="20" t="n">
        <v>0</v>
      </c>
      <c r="IB79" s="20" t="n">
        <v>0</v>
      </c>
      <c r="IC79" s="20" t="n">
        <v>0</v>
      </c>
      <c r="ID79" s="20" t="n">
        <v>0</v>
      </c>
      <c r="IE79" s="20" t="n">
        <v>0</v>
      </c>
      <c r="IF79" s="20" t="n">
        <v>0</v>
      </c>
      <c r="IG79" s="20" t="n">
        <v>0</v>
      </c>
      <c r="IH79" s="20" t="n">
        <v>0</v>
      </c>
      <c r="II79" s="20" t="n">
        <v>0</v>
      </c>
      <c r="IJ79" s="20" t="n">
        <v>0</v>
      </c>
      <c r="IK79" s="20" t="n">
        <v>0</v>
      </c>
      <c r="IL79" s="20" t="n">
        <v>0</v>
      </c>
      <c r="IM79" s="20" t="n">
        <v>0</v>
      </c>
      <c r="IN79" s="20" t="n">
        <v>0</v>
      </c>
      <c r="IO79" s="20" t="n">
        <v>0</v>
      </c>
      <c r="IP79" s="20" t="n">
        <v>0</v>
      </c>
      <c r="IQ79" s="20" t="n">
        <v>0</v>
      </c>
      <c r="IR79" s="20" t="n">
        <f aca="false">IF(AND(H_Direct=1,BR79&gt;0),MAX(0,H79-(MIN(BR79*AKR78,H79+I79)-MIN(MIN(BR79*AKR78,H79+I79),I79))),H79)</f>
        <v>1270</v>
      </c>
      <c r="IS79" s="20" t="n">
        <f aca="false">IF(AND(H_Direct=1,BS79&gt;0),MAX(0,IR79-(MIN(BS79*AKS78,IR79+ME79)-MIN(MIN(BS79*AKS78,IR79+ME79),ME79))),IR79)</f>
        <v>1270</v>
      </c>
      <c r="IT79" s="20" t="n">
        <f aca="false">IF(AND(H_Direct=1,BT79&gt;0),MAX(0,IS79-(MIN(BT79*AKT78,IS79+MF79)-MIN(MIN(BT79*AKT78,IS79+MF79),MF79))),IS79)</f>
        <v>1270</v>
      </c>
      <c r="IU79" s="20" t="n">
        <f aca="false">IF(AND(H_Direct=1,BU79&gt;0),MAX(0,IT79-(MIN(BU79*AKU78,IT79+MG79)-MIN(MIN(BU79*AKU78,IT79+MG79),MG79))),IT79)</f>
        <v>1270</v>
      </c>
      <c r="IV79" s="20" t="n">
        <f aca="false">IF(AND(H_Direct=1,BV79&gt;0),MAX(0,IU79-(MIN(BV79*AKV78,IU79+MH79)-MIN(MIN(BV79*AKV78,IU79+MH79),MH79))),IU79)</f>
        <v>1270</v>
      </c>
      <c r="IW79" s="20" t="n">
        <f aca="false">IF(AND(H_Direct=1,BW79&gt;0),MAX(0,IV79-(MIN(BW79*AKW78,IV79+MI79)-MIN(MIN(BW79*AKW78,IV79+MI79),MI79))),IV79)</f>
        <v>1270</v>
      </c>
      <c r="IX79" s="20" t="n">
        <f aca="false">IF(AND(H_Direct=1,BX79&gt;0),MAX(0,IW79-(MIN(BX79*AKX78,IW79+MJ79)-MIN(MIN(BX79*AKX78,IW79+MJ79),MJ79))),IW79)</f>
        <v>1270</v>
      </c>
      <c r="IY79" s="20" t="n">
        <f aca="false">IF(AND(H_Direct=1,BY79&gt;0),MAX(0,IX79-(MIN(BY79*AKY78,IX79+MK79)-MIN(MIN(BY79*AKY78,IX79+MK79),MK79))),IX79)</f>
        <v>1270</v>
      </c>
      <c r="IZ79" s="20" t="n">
        <f aca="false">IF(AND(H_Direct=1,BZ79&gt;0),MAX(0,IY79-(MIN(BZ79*AKZ78,IY79+ML79)-MIN(MIN(BZ79*AKZ78,IY79+ML79),ML79))),IY79)</f>
        <v>1270</v>
      </c>
      <c r="JA79" s="20" t="n">
        <f aca="false">IF(AND(H_Direct=1,CA79&gt;0),MAX(0,IZ79-(MIN(CA79*ALA78,IZ79+MM79)-MIN(MIN(CA79*ALA78,IZ79+MM79),MM79))),IZ79)</f>
        <v>1270</v>
      </c>
      <c r="JB79" s="20" t="n">
        <f aca="false">IF(AND(H_Direct=1,CB79&gt;0),MAX(0,JA79-(MIN(CB79*ALB78,JA79+MN79)-MIN(MIN(CB79*ALB78,JA79+MN79),MN79))),JA79)</f>
        <v>1270</v>
      </c>
      <c r="JC79" s="20" t="n">
        <f aca="false">IF(AND(H_Direct=1,CC79&gt;0),MAX(0,JB79-(MIN(CC79*ALC78,JB79+MO79)-MIN(MIN(CC79*ALC78,JB79+MO79),MO79))),JB79)</f>
        <v>1270</v>
      </c>
      <c r="JD79" s="20" t="n">
        <f aca="false">IF(AND(H_Direct=1,CD79&gt;0),MAX(0,JC79-(MIN(CD79*ALD78,JC79+MP79)-MIN(MIN(CD79*ALD78,JC79+MP79),MP79))),JC79)</f>
        <v>1270</v>
      </c>
      <c r="JE79" s="20" t="n">
        <f aca="false">IF(AND(H_Direct=1,CE79&gt;0),MAX(0,JD79-(MIN(CE79*ALE78,JD79+MQ79)-MIN(MIN(CE79*ALE78,JD79+MQ79),MQ79))),JD79)</f>
        <v>1270</v>
      </c>
      <c r="JF79" s="20" t="n">
        <f aca="false">IF(AND(H_Direct=1,CF79&gt;0),MAX(0,JE79-(MIN(CF79*ALF78,JE79+MR79)-MIN(MIN(CF79*ALF78,JE79+MR79),MR79))),JE79)</f>
        <v>1270</v>
      </c>
      <c r="JG79" s="20" t="n">
        <f aca="false">IF(AND(H_Direct=1,CG79&gt;0),MAX(0,JF79-(MIN(CG79*ALG78,JF79+MS79)-MIN(MIN(CG79*ALG78,JF79+MS79),MS79))),JF79)</f>
        <v>1270</v>
      </c>
      <c r="JH79" s="20" t="n">
        <f aca="false">IF(AND(H_Direct=1,CH79&gt;0),MAX(0,JG79-(MIN(CH79*ALH78,JG79+MT79)-MIN(MIN(CH79*ALH78,JG79+MT79),MT79))),JG79)</f>
        <v>1270</v>
      </c>
      <c r="JI79" s="20" t="n">
        <f aca="false">IF(AND(H_Direct=1,CI79&gt;0),MAX(0,JH79-(MIN(CI79*ALI78,JH79+MU79)-MIN(MIN(CI79*ALI78,JH79+MU79),MU79))),JH79)</f>
        <v>1270</v>
      </c>
      <c r="JJ79" s="20" t="n">
        <f aca="false">IF(AND(H_Direct=1,CJ79&gt;0),MAX(0,JI79-(MIN(CJ79*ALJ78,JI79+MV79)-MIN(MIN(CJ79*ALJ78,JI79+MV79),MV79))),JI79)</f>
        <v>1270</v>
      </c>
      <c r="JK79" s="20" t="n">
        <f aca="false">IF(AND(H_Direct=1,CK79&gt;0),MAX(0,JJ79-(MIN(CK79*ALK78,JJ79+MW79)-MIN(MIN(CK79*ALK78,JJ79+MW79),MW79))),JJ79)</f>
        <v>1270</v>
      </c>
      <c r="JL79" s="20" t="n">
        <f aca="false">IF(AND(H_Direct=1,CL79&gt;0),MAX(0,JK79-(MIN(CL79*ALL78,JK79+MX79)-MIN(MIN(CL79*ALL78,JK79+MX79),MX79))),JK79)</f>
        <v>1270</v>
      </c>
      <c r="JM79" s="20" t="n">
        <f aca="false">IF(AND(H_Direct=1,CM79&gt;0),MAX(0,JL79-(MIN(CM79*ALM78,JL79+MY79)-MIN(MIN(CM79*ALM78,JL79+MY79),MY79))),JL79)</f>
        <v>1270</v>
      </c>
      <c r="JN79" s="20" t="n">
        <f aca="false">IF(AND(H_Direct=1,CN79&gt;0),MAX(0,JM79-(MIN(CN79*ALN78,JM79+MZ79)-MIN(MIN(CN79*ALN78,JM79+MZ79),MZ79))),JM79)</f>
        <v>1270</v>
      </c>
      <c r="JO79" s="20" t="n">
        <f aca="false">IF(AND(H_Direct=1,CO79&gt;0),MAX(0,JN79-(MIN(CO79*ALO78,JN79+NA79)-MIN(MIN(CO79*ALO78,JN79+NA79),NA79))),JN79)</f>
        <v>1270</v>
      </c>
      <c r="JP79" s="20" t="n">
        <f aca="false">IF(AND(H_Direct=1,CP79&gt;0),MAX(0,JO79-(MIN(CP79*ALP78,JO79+NB79)-MIN(MIN(CP79*ALP78,JO79+NB79),NB79))),JO79)</f>
        <v>1270</v>
      </c>
      <c r="JQ79" s="20" t="n">
        <f aca="false">IF(AND(H_Direct=1,CQ79&gt;0),MAX(0,JP79-(MIN(CQ79*ALQ78,JP79+NC79)-MIN(MIN(CQ79*ALQ78,JP79+NC79),NC79))),JP79)</f>
        <v>1270</v>
      </c>
      <c r="JR79" s="20" t="n">
        <f aca="false">IF(AND(H_Direct=1,CR79&gt;0),MAX(0,JQ79-(MIN(CR79*ALR78,JQ79+ND79)-MIN(MIN(CR79*ALR78,JQ79+ND79),ND79))),JQ79)</f>
        <v>1270</v>
      </c>
      <c r="JS79" s="20" t="n">
        <f aca="false">IF(AND(H_Direct=1,CS79&gt;0),MAX(0,JR79-(MIN(CS79*ALS78,JR79+NE79)-MIN(MIN(CS79*ALS78,JR79+NE79),NE79))),JR79)</f>
        <v>1270</v>
      </c>
      <c r="JT79" s="20" t="n">
        <f aca="false">IF(AND(H_Direct=1,CT79&gt;0),MAX(0,JS79-(MIN(CT79*ALT78,JS79+NF79)-MIN(MIN(CT79*ALT78,JS79+NF79),NF79))),JS79)</f>
        <v>1270</v>
      </c>
      <c r="JU79" s="20" t="n">
        <f aca="false">IF(AND(H_Direct=1,CU79&gt;0),MAX(0,JT79-(MIN(CU79*ALU78,JT79+NG79)-MIN(MIN(CU79*ALU78,JT79+NG79),NG79))),JT79)</f>
        <v>1270</v>
      </c>
      <c r="JV79" s="20" t="n">
        <f aca="false">IF(AND(H_Direct=1,CV79&gt;0),MAX(0,JU79-(MIN(CV79*ALV78,JU79+NH79)-MIN(MIN(CV79*ALV78,JU79+NH79),NH79))),JU79)</f>
        <v>1270</v>
      </c>
      <c r="JW79" s="20" t="n">
        <f aca="false">IF(AND(H_Direct=1,CW79&gt;0),MAX(0,JV79-(MIN(CW79*ALW78,JV79+NI79)-MIN(MIN(CW79*ALW78,JV79+NI79),NI79))),JV79)</f>
        <v>1270</v>
      </c>
      <c r="JX79" s="20" t="n">
        <f aca="false">IF(AND(H_Direct=1,CX79&gt;0),MAX(0,JW79-(MIN(CX79*ALX78,JW79+NJ79)-MIN(MIN(CX79*ALX78,JW79+NJ79),NJ79))),JW79)</f>
        <v>1270</v>
      </c>
      <c r="JY79" s="20" t="n">
        <f aca="false">IF(AND(H_Direct=1,CY79&gt;0),MAX(0,JX79-(MIN(CY79*ALY78,JX79+NK79)-MIN(MIN(CY79*ALY78,JX79+NK79),NK79))),JX79)</f>
        <v>1270</v>
      </c>
      <c r="JZ79" s="20" t="n">
        <f aca="false">IF(AND(H_Direct=1,CZ79&gt;0),MAX(0,JY79-(MIN(CZ79*ALZ78,JY79+NL79)-MIN(MIN(CZ79*ALZ78,JY79+NL79),NL79))),JY79)</f>
        <v>1270</v>
      </c>
      <c r="KA79" s="20" t="n">
        <f aca="false">IF(AND(H_Direct=1,DA79&gt;0),MAX(0,JZ79-(MIN(DA79*AMA78,JZ79+NM79)-MIN(MIN(DA79*AMA78,JZ79+NM79),NM79))),JZ79)</f>
        <v>1270</v>
      </c>
      <c r="KB79" s="20" t="n">
        <f aca="false">IF(AND(H_Direct=1,DB79&gt;0),MAX(0,KA79-(MIN(DB79*AMB78,KA79+NN79)-MIN(MIN(DB79*AMB78,KA79+NN79),NN79))),KA79)</f>
        <v>1270</v>
      </c>
      <c r="KC79" s="20" t="n">
        <f aca="false">IF(AND(H_Direct=1,DC79&gt;0),MAX(0,KB79-(MIN(DC79*AMC78,KB79+NO79)-MIN(MIN(DC79*AMC78,KB79+NO79),NO79))),KB79)</f>
        <v>1270</v>
      </c>
      <c r="KD79" s="20" t="n">
        <f aca="false">IF(AND(H_Direct=1,DD79&gt;0),MAX(0,KC79-(MIN(DD79*AMD78,KC79+NP79)-MIN(MIN(DD79*AMD78,KC79+NP79),NP79))),KC79)</f>
        <v>1270</v>
      </c>
      <c r="KE79" s="20" t="n">
        <f aca="false">IF(AND(H_Direct=1,DE79&gt;0),MAX(0,KD79-(MIN(DE79*AME78,KD79+NQ79)-MIN(MIN(DE79*AME78,KD79+NQ79),NQ79))),KD79)</f>
        <v>1270</v>
      </c>
      <c r="KF79" s="20" t="n">
        <f aca="false">IF(AND(H_Direct=1,DF79&gt;0),MAX(0,KE79-(MIN(DF79*AMF78,KE79+NR79)-MIN(MIN(DF79*AMF78,KE79+NR79),NR79))),KE79)</f>
        <v>1270</v>
      </c>
      <c r="KG79" s="20" t="n">
        <f aca="false">IF(AND(H_Direct=1,DG79&gt;0),MAX(0,KF79-(MIN(DG79*AMG78,KF79+NS79)-MIN(MIN(DG79*AMG78,KF79+NS79),NS79))),KF79)</f>
        <v>1270</v>
      </c>
      <c r="KH79" s="20" t="n">
        <f aca="false">IF(AND(H_Direct=1,DH79&gt;0),MAX(0,KG79-(MIN(DH79*AMH78,KG79+NT79)-MIN(MIN(DH79*AMH78,KG79+NT79),NT79))),KG79)</f>
        <v>1270</v>
      </c>
      <c r="KI79" s="20" t="n">
        <f aca="false">IF(AND(H_Direct=1,DI79&gt;0),MAX(0,KH79-(MIN(DI79*AMI78,KH79+NU79)-MIN(MIN(DI79*AMI78,KH79+NU79),NU79))),KH79)</f>
        <v>1270</v>
      </c>
      <c r="KJ79" s="20" t="n">
        <f aca="false">IF(AND(H_Direct=1,DJ79&gt;0),MAX(0,KI79-(MIN(DJ79*AMJ78,KI79+NV79)-MIN(MIN(DJ79*AMJ78,KI79+NV79),NV79))),KI79)</f>
        <v>1270</v>
      </c>
      <c r="KK79" s="20" t="n">
        <f aca="false">IF(AND(H_Direct=1,DK79&gt;0),MAX(0,KJ79-(MIN(DK79*AMK78,KJ79+NW79)-MIN(MIN(DK79*AMK78,KJ79+NW79),NW79))),KJ79)</f>
        <v>1270</v>
      </c>
      <c r="KL79" s="20" t="n">
        <f aca="false">IF(AND(H_Direct=1,DL79&gt;0),MAX(0,KK79-(MIN(DL79*AML78,KK79+NX79)-MIN(MIN(DL79*AML78,KK79+NX79),NX79))),KK79)</f>
        <v>1270</v>
      </c>
      <c r="KM79" s="20" t="n">
        <f aca="false">IF(AND(H_Direct=1,DM79&gt;0),MAX(0,KL79-(MIN(DM79*AMM78,KL79+NY79)-MIN(MIN(DM79*AMM78,KL79+NY79),NY79))),KL79)</f>
        <v>1270</v>
      </c>
      <c r="KN79" s="20" t="n">
        <f aca="false">IF(AND(H_Direct=1,DN79&gt;0),MAX(0,KM79-(MIN(DN79*AMN78,KM79+NZ79)-MIN(MIN(DN79*AMN78,KM79+NZ79),NZ79))),KM79)</f>
        <v>1270</v>
      </c>
      <c r="KO79" s="20" t="n">
        <f aca="false">IF(AND(H_Direct=1,DO79&gt;0),MAX(0,KN79-(MIN(DO79*AMO78,KN79+OA79)-MIN(MIN(DO79*AMO78,KN79+OA79),OA79))),KN79)</f>
        <v>1270</v>
      </c>
      <c r="KP79" s="20" t="n">
        <f aca="false">IF(AND(H_Direct=1,DP79&gt;0),MAX(0,KO79-(MIN(DP79*AMP78,KO79+OB79)-MIN(MIN(DP79*AMP78,KO79+OB79),OB79))),KO79)</f>
        <v>1270</v>
      </c>
      <c r="KQ79" s="20" t="n">
        <f aca="false">IF(AND(H_Direct=1,DQ79&gt;0),MAX(0,KP79-(MIN(DQ79*AMQ78,KP79+OC79)-MIN(MIN(DQ79*AMQ78,KP79+OC79),OC79))),KP79)</f>
        <v>1270</v>
      </c>
      <c r="KR79" s="20" t="n">
        <f aca="false">IF(AND(H_Direct=1,DR79&gt;0),MAX(0,KQ79-(MIN(DR79*AMR78,KQ79+OD79)-MIN(MIN(DR79*AMR78,KQ79+OD79),OD79))),KQ79)</f>
        <v>1270</v>
      </c>
      <c r="KS79" s="20" t="n">
        <f aca="false">IF(AND(H_Direct=1,DS79&gt;0),MAX(0,KR79-(MIN(DS79*AMS78,KR79+OE79)-MIN(MIN(DS79*AMS78,KR79+OE79),OE79))),KR79)</f>
        <v>1270</v>
      </c>
      <c r="KT79" s="20" t="n">
        <f aca="false">IF(AND(H_Direct=1,DT79&gt;0),MAX(0,KS79-(MIN(DT79*AMT78,KS79+OF79)-MIN(MIN(DT79*AMT78,KS79+OF79),OF79))),KS79)</f>
        <v>1270</v>
      </c>
      <c r="KU79" s="20" t="n">
        <f aca="false">IF(AND(H_Direct=1,DU79&gt;0),MAX(0,KT79-(MIN(DU79*AMU78,KT79+OG79)-MIN(MIN(DU79*AMU78,KT79+OG79),OG79))),KT79)</f>
        <v>1270</v>
      </c>
      <c r="KV79" s="20" t="n">
        <f aca="false">IF(AND(H_Direct=1,DV79&gt;0),MAX(0,KU79-(MIN(DV79*AMV78,KU79+OH79)-MIN(MIN(DV79*AMV78,KU79+OH79),OH79))),KU79)</f>
        <v>1270</v>
      </c>
      <c r="KW79" s="20" t="n">
        <f aca="false">IF(AND(H_Direct=1,DW79&gt;0),MAX(0,KV79-(MIN(DW79*AMW78,KV79+OI79)-MIN(MIN(DW79*AMW78,KV79+OI79),OI79))),KV79)</f>
        <v>1270</v>
      </c>
      <c r="KX79" s="20" t="n">
        <f aca="false">IF(AND(H_Direct=1,DX79&gt;0),MAX(0,KW79-(MIN(DX79*AMX78,KW79+OJ79)-MIN(MIN(DX79*AMX78,KW79+OJ79),OJ79))),KW79)</f>
        <v>1270</v>
      </c>
      <c r="KY79" s="20" t="n">
        <f aca="false">IF(AND(H_Direct=1,DY79&gt;0),MAX(0,KX79-(MIN(DY79*AMY78,KX79+OK79)-MIN(MIN(DY79*AMY78,KX79+OK79),OK79))),KX79)</f>
        <v>1270</v>
      </c>
      <c r="KZ79" s="20" t="n">
        <f aca="false">IF(AND(H_Direct=1,DZ79&gt;0),MAX(0,KY79-(MIN(DZ79*AMZ78,KY79+OL79)-MIN(MIN(DZ79*AMZ78,KY79+OL79),OL79))),KY79)</f>
        <v>1270</v>
      </c>
      <c r="LA79" s="20" t="n">
        <f aca="false">IF(AND(H_Direct=1,EA79&gt;0),MAX(0,KZ79-(MIN(EA79*ANA78,KZ79+OM79)-MIN(MIN(EA79*ANA78,KZ79+OM79),OM79))),KZ79)</f>
        <v>1270</v>
      </c>
      <c r="LB79" s="20" t="n">
        <f aca="false">IF(AND(H_Direct=1,EB79&gt;0),MAX(0,LA79-(MIN(EB79*ANB78,LA79+ON79)-MIN(MIN(EB79*ANB78,LA79+ON79),ON79))),LA79)</f>
        <v>1270</v>
      </c>
      <c r="LC79" s="20" t="n">
        <f aca="false">IF(AND(H_Direct=1,EC79&gt;0),MAX(0,LB79-(MIN(EC79*ANC78,LB79+OO79)-MIN(MIN(EC79*ANC78,LB79+OO79),OO79))),LB79)</f>
        <v>1270</v>
      </c>
      <c r="LD79" s="20" t="n">
        <f aca="false">IF(AND(H_Direct=1,ED79&gt;0),MAX(0,LC79-(MIN(ED79*AND78,LC79+OP79)-MIN(MIN(ED79*AND78,LC79+OP79),OP79))),LC79)</f>
        <v>1270</v>
      </c>
      <c r="LE79" s="20" t="n">
        <f aca="false">IF(AND(H_Direct=1,EE79&gt;0),MAX(0,LD79-(MIN(EE79*ANE78,LD79+OQ79)-MIN(MIN(EE79*ANE78,LD79+OQ79),OQ79))),LD79)</f>
        <v>1270</v>
      </c>
      <c r="LF79" s="20" t="n">
        <f aca="false">IF(AND(H_Direct=1,EF79&gt;0),MAX(0,LE79-(MIN(EF79*ANF78,LE79+OR79)-MIN(MIN(EF79*ANF78,LE79+OR79),OR79))),LE79)</f>
        <v>1270</v>
      </c>
      <c r="LG79" s="20" t="n">
        <f aca="false">IF(AND(H_Direct=1,EG79&gt;0),MAX(0,LF79-(MIN(EG79*ANG78,LF79+OS79)-MIN(MIN(EG79*ANG78,LF79+OS79),OS79))),LF79)</f>
        <v>1270</v>
      </c>
      <c r="LH79" s="20" t="n">
        <f aca="false">IF(AND(H_Direct=1,EH79&gt;0),MAX(0,LG79-(MIN(EH79*ANH78,LG79+OT79)-MIN(MIN(EH79*ANH78,LG79+OT79),OT79))),LG79)</f>
        <v>1270</v>
      </c>
      <c r="LI79" s="20" t="n">
        <f aca="false">IF(AND(H_Direct=1,EI79&gt;0),MAX(0,LH79-(MIN(EI79*ANI78,LH79+OU79)-MIN(MIN(EI79*ANI78,LH79+OU79),OU79))),LH79)</f>
        <v>1270</v>
      </c>
      <c r="LJ79" s="20" t="n">
        <f aca="false">IF(AND(H_Direct=1,EJ79&gt;0),MAX(0,LI79-(MIN(EJ79*ANJ78,LI79+OV79)-MIN(MIN(EJ79*ANJ78,LI79+OV79),OV79))),LI79)</f>
        <v>1270</v>
      </c>
      <c r="LK79" s="20" t="n">
        <f aca="false">IF(AND(H_Direct=1,EK79&gt;0),MAX(0,LJ79-(MIN(EK79*ANK78,LJ79+OW79)-MIN(MIN(EK79*ANK78,LJ79+OW79),OW79))),LJ79)</f>
        <v>1270</v>
      </c>
      <c r="LL79" s="20" t="n">
        <f aca="false">IF(AND(H_Direct=1,EL79&gt;0),MAX(0,LK79-(MIN(EL79*(P79+S79),LK79+OX79)-MIN(MIN(EL79*(P79+S79),LK79+OX79),OX79))),LK79)</f>
        <v>1270</v>
      </c>
      <c r="LM79" s="20" t="n">
        <f aca="false">LL79</f>
        <v>1270</v>
      </c>
      <c r="LN79" s="20" t="n">
        <f aca="false">LM79</f>
        <v>1270</v>
      </c>
      <c r="LO79" s="20" t="n">
        <f aca="false">LN79</f>
        <v>1270</v>
      </c>
      <c r="LP79" s="20" t="n">
        <f aca="false">LO79</f>
        <v>1270</v>
      </c>
      <c r="LQ79" s="20" t="n">
        <f aca="false">LP79</f>
        <v>1270</v>
      </c>
      <c r="LR79" s="20" t="n">
        <f aca="false">LQ79</f>
        <v>1270</v>
      </c>
      <c r="LS79" s="20" t="n">
        <f aca="false">LR79</f>
        <v>1270</v>
      </c>
      <c r="LT79" s="20" t="n">
        <f aca="false">LS79</f>
        <v>1270</v>
      </c>
      <c r="LU79" s="20" t="n">
        <f aca="false">LT79</f>
        <v>1270</v>
      </c>
      <c r="LV79" s="20" t="n">
        <f aca="false">LU79</f>
        <v>1270</v>
      </c>
      <c r="LW79" s="20" t="n">
        <f aca="false">LV79</f>
        <v>1270</v>
      </c>
      <c r="LX79" s="20" t="n">
        <f aca="false">LW79</f>
        <v>1270</v>
      </c>
      <c r="LY79" s="20" t="n">
        <f aca="false">LX79</f>
        <v>1270</v>
      </c>
      <c r="LZ79" s="20" t="n">
        <f aca="false">LY79</f>
        <v>1270</v>
      </c>
      <c r="MA79" s="20" t="n">
        <f aca="false">LZ79</f>
        <v>1270</v>
      </c>
      <c r="MB79" s="20" t="n">
        <f aca="false">MA79</f>
        <v>1270</v>
      </c>
      <c r="MC79" s="20" t="n">
        <f aca="false">MB79</f>
        <v>1270</v>
      </c>
      <c r="MD79" s="20" t="n">
        <f aca="false">MC79</f>
        <v>1270</v>
      </c>
      <c r="ME79" s="20" t="n">
        <f aca="false">IF(H_Direct=1,IF(BR79&lt;=0,I79-BR79*AKR78,I79-MIN(MIN(BR79*AKR78,H79+I79),I79)),I79)</f>
        <v>0</v>
      </c>
      <c r="MF79" s="20" t="n">
        <f aca="false">IF(H_Direct=1,IF(BS79&lt;=0,ME79-BS79*AKS78,ME79-MIN(MIN(BS79*AKS78,IR79+ME79),ME79)),ME79)</f>
        <v>0</v>
      </c>
      <c r="MG79" s="20" t="n">
        <f aca="false">IF(H_Direct=1,IF(BT79&lt;=0,MF79-BT79*AKT78,MF79-MIN(MIN(BT79*AKT78,IS79+MF79),MF79)),MF79)</f>
        <v>0</v>
      </c>
      <c r="MH79" s="20" t="n">
        <f aca="false">IF(H_Direct=1,IF(BU79&lt;=0,MG79-BU79*AKU78,MG79-MIN(MIN(BU79*AKU78,IT79+MG79),MG79)),MG79)</f>
        <v>0</v>
      </c>
      <c r="MI79" s="20" t="n">
        <f aca="false">IF(H_Direct=1,IF(BV79&lt;=0,MH79-BV79*AKV78,MH79-MIN(MIN(BV79*AKV78,IU79+MH79),MH79)),MH79)</f>
        <v>0</v>
      </c>
      <c r="MJ79" s="20" t="n">
        <f aca="false">IF(H_Direct=1,IF(BW79&lt;=0,MI79-BW79*AKW78,MI79-MIN(MIN(BW79*AKW78,IV79+MI79),MI79)),MI79)</f>
        <v>0</v>
      </c>
      <c r="MK79" s="20" t="n">
        <f aca="false">IF(H_Direct=1,IF(BX79&lt;=0,MJ79-BX79*AKX78,MJ79-MIN(MIN(BX79*AKX78,IW79+MJ79),MJ79)),MJ79)</f>
        <v>0</v>
      </c>
      <c r="ML79" s="20" t="n">
        <f aca="false">IF(H_Direct=1,IF(BY79&lt;=0,MK79-BY79*AKY78,MK79-MIN(MIN(BY79*AKY78,IX79+MK79),MK79)),MK79)</f>
        <v>0</v>
      </c>
      <c r="MM79" s="20" t="n">
        <f aca="false">IF(H_Direct=1,IF(BZ79&lt;=0,ML79-BZ79*AKZ78,ML79-MIN(MIN(BZ79*AKZ78,IY79+ML79),ML79)),ML79)</f>
        <v>0</v>
      </c>
      <c r="MN79" s="20" t="n">
        <f aca="false">IF(H_Direct=1,IF(CA79&lt;=0,MM79-CA79*ALA78,MM79-MIN(MIN(CA79*ALA78,IZ79+MM79),MM79)),MM79)</f>
        <v>0</v>
      </c>
      <c r="MO79" s="20" t="n">
        <f aca="false">IF(H_Direct=1,IF(CB79&lt;=0,MN79-CB79*ALB78,MN79-MIN(MIN(CB79*ALB78,JA79+MN79),MN79)),MN79)</f>
        <v>0</v>
      </c>
      <c r="MP79" s="20" t="n">
        <f aca="false">IF(H_Direct=1,IF(CC79&lt;=0,MO79-CC79*ALC78,MO79-MIN(MIN(CC79*ALC78,JB79+MO79),MO79)),MO79)</f>
        <v>0</v>
      </c>
      <c r="MQ79" s="20" t="n">
        <f aca="false">IF(H_Direct=1,IF(CD79&lt;=0,MP79-CD79*ALD78,MP79-MIN(MIN(CD79*ALD78,JC79+MP79),MP79)),MP79)</f>
        <v>0</v>
      </c>
      <c r="MR79" s="20" t="n">
        <f aca="false">IF(H_Direct=1,IF(CE79&lt;=0,MQ79-CE79*ALE78,MQ79-MIN(MIN(CE79*ALE78,JD79+MQ79),MQ79)),MQ79)</f>
        <v>0</v>
      </c>
      <c r="MS79" s="20" t="n">
        <f aca="false">IF(H_Direct=1,IF(CF79&lt;=0,MR79-CF79*ALF78,MR79-MIN(MIN(CF79*ALF78,JE79+MR79),MR79)),MR79)</f>
        <v>0</v>
      </c>
      <c r="MT79" s="20" t="n">
        <f aca="false">IF(H_Direct=1,IF(CG79&lt;=0,MS79-CG79*ALG78,MS79-MIN(MIN(CG79*ALG78,JF79+MS79),MS79)),MS79)</f>
        <v>0</v>
      </c>
      <c r="MU79" s="20" t="n">
        <f aca="false">IF(H_Direct=1,IF(CH79&lt;=0,MT79-CH79*ALH78,MT79-MIN(MIN(CH79*ALH78,JG79+MT79),MT79)),MT79)</f>
        <v>0</v>
      </c>
      <c r="MV79" s="20" t="n">
        <f aca="false">IF(H_Direct=1,IF(CI79&lt;=0,MU79-CI79*ALI78,MU79-MIN(MIN(CI79*ALI78,JH79+MU79),MU79)),MU79)</f>
        <v>0</v>
      </c>
      <c r="MW79" s="20" t="n">
        <f aca="false">IF(H_Direct=1,IF(CJ79&lt;=0,MV79-CJ79*ALJ78,MV79-MIN(MIN(CJ79*ALJ78,JI79+MV79),MV79)),MV79)</f>
        <v>0</v>
      </c>
      <c r="MX79" s="20" t="n">
        <f aca="false">IF(H_Direct=1,IF(CK79&lt;=0,MW79-CK79*ALK78,MW79-MIN(MIN(CK79*ALK78,JJ79+MW79),MW79)),MW79)</f>
        <v>0</v>
      </c>
      <c r="MY79" s="20" t="n">
        <f aca="false">IF(H_Direct=1,IF(CL79&lt;=0,MX79-CL79*ALL78,MX79-MIN(MIN(CL79*ALL78,JK79+MX79),MX79)),MX79)</f>
        <v>0</v>
      </c>
      <c r="MZ79" s="20" t="n">
        <f aca="false">IF(H_Direct=1,IF(CM79&lt;=0,MY79-CM79*ALM78,MY79-MIN(MIN(CM79*ALM78,JL79+MY79),MY79)),MY79)</f>
        <v>0</v>
      </c>
      <c r="NA79" s="20" t="n">
        <f aca="false">IF(H_Direct=1,IF(CN79&lt;=0,MZ79-CN79*ALN78,MZ79-MIN(MIN(CN79*ALN78,JM79+MZ79),MZ79)),MZ79)</f>
        <v>0</v>
      </c>
      <c r="NB79" s="20" t="n">
        <f aca="false">IF(H_Direct=1,IF(CO79&lt;=0,NA79-CO79*ALO78,NA79-MIN(MIN(CO79*ALO78,JN79+NA79),NA79)),NA79)</f>
        <v>0</v>
      </c>
      <c r="NC79" s="20" t="n">
        <f aca="false">IF(H_Direct=1,IF(CP79&lt;=0,NB79-CP79*ALP78,NB79-MIN(MIN(CP79*ALP78,JO79+NB79),NB79)),NB79)</f>
        <v>0</v>
      </c>
      <c r="ND79" s="20" t="n">
        <f aca="false">IF(H_Direct=1,IF(CQ79&lt;=0,NC79-CQ79*ALQ78,NC79-MIN(MIN(CQ79*ALQ78,JP79+NC79),NC79)),NC79)</f>
        <v>0</v>
      </c>
      <c r="NE79" s="20" t="n">
        <f aca="false">IF(H_Direct=1,IF(CR79&lt;=0,ND79-CR79*ALR78,ND79-MIN(MIN(CR79*ALR78,JQ79+ND79),ND79)),ND79)</f>
        <v>0</v>
      </c>
      <c r="NF79" s="20" t="n">
        <f aca="false">IF(H_Direct=1,IF(CS79&lt;=0,NE79-CS79*ALS78,NE79-MIN(MIN(CS79*ALS78,JR79+NE79),NE79)),NE79)</f>
        <v>0</v>
      </c>
      <c r="NG79" s="20" t="n">
        <f aca="false">IF(H_Direct=1,IF(CT79&lt;=0,NF79-CT79*ALT78,NF79-MIN(MIN(CT79*ALT78,JS79+NF79),NF79)),NF79)</f>
        <v>0</v>
      </c>
      <c r="NH79" s="20" t="n">
        <f aca="false">IF(H_Direct=1,IF(CU79&lt;=0,NG79-CU79*ALU78,NG79-MIN(MIN(CU79*ALU78,JT79+NG79),NG79)),NG79)</f>
        <v>0</v>
      </c>
      <c r="NI79" s="20" t="n">
        <f aca="false">IF(H_Direct=1,IF(CV79&lt;=0,NH79-CV79*ALV78,NH79-MIN(MIN(CV79*ALV78,JU79+NH79),NH79)),NH79)</f>
        <v>0</v>
      </c>
      <c r="NJ79" s="20" t="n">
        <f aca="false">IF(H_Direct=1,IF(CW79&lt;=0,NI79-CW79*ALW78,NI79-MIN(MIN(CW79*ALW78,JV79+NI79),NI79)),NI79)</f>
        <v>0</v>
      </c>
      <c r="NK79" s="20" t="n">
        <f aca="false">IF(H_Direct=1,IF(CX79&lt;=0,NJ79-CX79*ALX78,NJ79-MIN(MIN(CX79*ALX78,JW79+NJ79),NJ79)),NJ79)</f>
        <v>0</v>
      </c>
      <c r="NL79" s="20" t="n">
        <f aca="false">IF(H_Direct=1,IF(CY79&lt;=0,NK79-CY79*ALY78,NK79-MIN(MIN(CY79*ALY78,JX79+NK79),NK79)),NK79)</f>
        <v>0</v>
      </c>
      <c r="NM79" s="20" t="n">
        <f aca="false">IF(H_Direct=1,IF(CZ79&lt;=0,NL79-CZ79*ALZ78,NL79-MIN(MIN(CZ79*ALZ78,JY79+NL79),NL79)),NL79)</f>
        <v>0</v>
      </c>
      <c r="NN79" s="20" t="n">
        <f aca="false">IF(H_Direct=1,IF(DA79&lt;=0,NM79-DA79*AMA78,NM79-MIN(MIN(DA79*AMA78,JZ79+NM79),NM79)),NM79)</f>
        <v>0</v>
      </c>
      <c r="NO79" s="20" t="n">
        <f aca="false">IF(H_Direct=1,IF(DB79&lt;=0,NN79-DB79*AMB78,NN79-MIN(MIN(DB79*AMB78,KA79+NN79),NN79)),NN79)</f>
        <v>0</v>
      </c>
      <c r="NP79" s="20" t="n">
        <f aca="false">IF(H_Direct=1,IF(DC79&lt;=0,NO79-DC79*AMC78,NO79-MIN(MIN(DC79*AMC78,KB79+NO79),NO79)),NO79)</f>
        <v>0</v>
      </c>
      <c r="NQ79" s="20" t="n">
        <f aca="false">IF(H_Direct=1,IF(DD79&lt;=0,NP79-DD79*AMD78,NP79-MIN(MIN(DD79*AMD78,KC79+NP79),NP79)),NP79)</f>
        <v>0</v>
      </c>
      <c r="NR79" s="20" t="n">
        <f aca="false">IF(H_Direct=1,IF(DE79&lt;=0,NQ79-DE79*AME78,NQ79-MIN(MIN(DE79*AME78,KD79+NQ79),NQ79)),NQ79)</f>
        <v>0</v>
      </c>
      <c r="NS79" s="20" t="n">
        <f aca="false">IF(H_Direct=1,IF(DF79&lt;=0,NR79-DF79*AMF78,NR79-MIN(MIN(DF79*AMF78,KE79+NR79),NR79)),NR79)</f>
        <v>0</v>
      </c>
      <c r="NT79" s="20" t="n">
        <f aca="false">IF(H_Direct=1,IF(DG79&lt;=0,NS79-DG79*AMG78,NS79-MIN(MIN(DG79*AMG78,KF79+NS79),NS79)),NS79)</f>
        <v>0</v>
      </c>
      <c r="NU79" s="20" t="n">
        <f aca="false">IF(H_Direct=1,IF(DH79&lt;=0,NT79-DH79*AMH78,NT79-MIN(MIN(DH79*AMH78,KG79+NT79),NT79)),NT79)</f>
        <v>0</v>
      </c>
      <c r="NV79" s="20" t="n">
        <f aca="false">IF(H_Direct=1,IF(DI79&lt;=0,NU79-DI79*AMI78,NU79-MIN(MIN(DI79*AMI78,KH79+NU79),NU79)),NU79)</f>
        <v>0</v>
      </c>
      <c r="NW79" s="20" t="n">
        <f aca="false">IF(H_Direct=1,IF(DJ79&lt;=0,NV79-DJ79*AMJ78,NV79-MIN(MIN(DJ79*AMJ78,KI79+NV79),NV79)),NV79)</f>
        <v>0</v>
      </c>
      <c r="NX79" s="20" t="n">
        <f aca="false">IF(H_Direct=1,IF(DK79&lt;=0,NW79-DK79*AMK78,NW79-MIN(MIN(DK79*AMK78,KJ79+NW79),NW79)),NW79)</f>
        <v>0</v>
      </c>
      <c r="NY79" s="20" t="n">
        <f aca="false">IF(H_Direct=1,IF(DL79&lt;=0,NX79-DL79*AML78,NX79-MIN(MIN(DL79*AML78,KK79+NX79),NX79)),NX79)</f>
        <v>0</v>
      </c>
      <c r="NZ79" s="20" t="n">
        <f aca="false">IF(H_Direct=1,IF(DM79&lt;=0,NY79-DM79*AMM78,NY79-MIN(MIN(DM79*AMM78,KL79+NY79),NY79)),NY79)</f>
        <v>0</v>
      </c>
      <c r="OA79" s="20" t="n">
        <f aca="false">IF(H_Direct=1,IF(DN79&lt;=0,NZ79-DN79*AMN78,NZ79-MIN(MIN(DN79*AMN78,KM79+NZ79),NZ79)),NZ79)</f>
        <v>0</v>
      </c>
      <c r="OB79" s="20" t="n">
        <f aca="false">IF(H_Direct=1,IF(DO79&lt;=0,OA79-DO79*AMO78,OA79-MIN(MIN(DO79*AMO78,KN79+OA79),OA79)),OA79)</f>
        <v>0</v>
      </c>
      <c r="OC79" s="20" t="n">
        <f aca="false">IF(H_Direct=1,IF(DP79&lt;=0,OB79-DP79*AMP78,OB79-MIN(MIN(DP79*AMP78,KO79+OB79),OB79)),OB79)</f>
        <v>0</v>
      </c>
      <c r="OD79" s="20" t="n">
        <f aca="false">IF(H_Direct=1,IF(DQ79&lt;=0,OC79-DQ79*AMQ78,OC79-MIN(MIN(DQ79*AMQ78,KP79+OC79),OC79)),OC79)</f>
        <v>0</v>
      </c>
      <c r="OE79" s="20" t="n">
        <f aca="false">IF(H_Direct=1,IF(DR79&lt;=0,OD79-DR79*AMR78,OD79-MIN(MIN(DR79*AMR78,KQ79+OD79),OD79)),OD79)</f>
        <v>0</v>
      </c>
      <c r="OF79" s="20" t="n">
        <f aca="false">IF(H_Direct=1,IF(DS79&lt;=0,OE79-DS79*AMS78,OE79-MIN(MIN(DS79*AMS78,KR79+OE79),OE79)),OE79)</f>
        <v>0</v>
      </c>
      <c r="OG79" s="20" t="n">
        <f aca="false">IF(H_Direct=1,IF(DT79&lt;=0,OF79-DT79*AMT78,OF79-MIN(MIN(DT79*AMT78,KS79+OF79),OF79)),OF79)</f>
        <v>0</v>
      </c>
      <c r="OH79" s="20" t="n">
        <f aca="false">IF(H_Direct=1,IF(DU79&lt;=0,OG79-DU79*AMU78,OG79-MIN(MIN(DU79*AMU78,KT79+OG79),OG79)),OG79)</f>
        <v>0</v>
      </c>
      <c r="OI79" s="20" t="n">
        <f aca="false">IF(H_Direct=1,IF(DV79&lt;=0,OH79-DV79*AMV78,OH79-MIN(MIN(DV79*AMV78,KU79+OH79),OH79)),OH79)</f>
        <v>0</v>
      </c>
      <c r="OJ79" s="20" t="n">
        <f aca="false">IF(H_Direct=1,IF(DW79&lt;=0,OI79-DW79*AMW78,OI79-MIN(MIN(DW79*AMW78,KV79+OI79),OI79)),OI79)</f>
        <v>0</v>
      </c>
      <c r="OK79" s="20" t="n">
        <f aca="false">IF(H_Direct=1,IF(DX79&lt;=0,OJ79-DX79*AMX78,OJ79-MIN(MIN(DX79*AMX78,KW79+OJ79),OJ79)),OJ79)</f>
        <v>0</v>
      </c>
      <c r="OL79" s="20" t="n">
        <f aca="false">IF(H_Direct=1,IF(DY79&lt;=0,OK79-DY79*AMY78,OK79-MIN(MIN(DY79*AMY78,KX79+OK79),OK79)),OK79)</f>
        <v>0</v>
      </c>
      <c r="OM79" s="20" t="n">
        <f aca="false">IF(H_Direct=1,IF(DZ79&lt;=0,OL79-DZ79*AMZ78,OL79-MIN(MIN(DZ79*AMZ78,KY79+OL79),OL79)),OL79)</f>
        <v>0</v>
      </c>
      <c r="ON79" s="20" t="n">
        <f aca="false">IF(H_Direct=1,IF(EA79&lt;=0,OM79-EA79*ANA78,OM79-MIN(MIN(EA79*ANA78,KZ79+OM79),OM79)),OM79)</f>
        <v>0</v>
      </c>
      <c r="OO79" s="20" t="n">
        <f aca="false">IF(H_Direct=1,IF(EB79&lt;=0,ON79-EB79*ANB78,ON79-MIN(MIN(EB79*ANB78,LA79+ON79),ON79)),ON79)</f>
        <v>0</v>
      </c>
      <c r="OP79" s="20" t="n">
        <f aca="false">IF(H_Direct=1,IF(EC79&lt;=0,OO79-EC79*ANC78,OO79-MIN(MIN(EC79*ANC78,LB79+OO79),OO79)),OO79)</f>
        <v>0</v>
      </c>
      <c r="OQ79" s="20" t="n">
        <f aca="false">IF(H_Direct=1,IF(ED79&lt;=0,OP79-ED79*AND78,OP79-MIN(MIN(ED79*AND78,LC79+OP79),OP79)),OP79)</f>
        <v>0</v>
      </c>
      <c r="OR79" s="20" t="n">
        <f aca="false">IF(H_Direct=1,IF(EE79&lt;=0,OQ79-EE79*ANE78,OQ79-MIN(MIN(EE79*ANE78,LD79+OQ79),OQ79)),OQ79)</f>
        <v>0</v>
      </c>
      <c r="OS79" s="20" t="n">
        <f aca="false">IF(H_Direct=1,IF(EF79&lt;=0,OR79-EF79*ANF78,OR79-MIN(MIN(EF79*ANF78,LE79+OR79),OR79)),OR79)</f>
        <v>0</v>
      </c>
      <c r="OT79" s="20" t="n">
        <f aca="false">IF(H_Direct=1,IF(EG79&lt;=0,OS79-EG79*ANG78,OS79-MIN(MIN(EG79*ANG78,LF79+OS79),OS79)),OS79)</f>
        <v>0</v>
      </c>
      <c r="OU79" s="20" t="n">
        <f aca="false">IF(H_Direct=1,IF(EH79&lt;=0,OT79-EH79*ANH78,OT79-MIN(MIN(EH79*ANH78,LG79+OT79),OT79)),OT79)</f>
        <v>0</v>
      </c>
      <c r="OV79" s="20" t="n">
        <f aca="false">IF(H_Direct=1,IF(EI79&lt;=0,OU79-EI79*ANI78,OU79-MIN(MIN(EI79*ANI78,LH79+OU79),OU79)),OU79)</f>
        <v>0</v>
      </c>
      <c r="OW79" s="20" t="n">
        <f aca="false">IF(H_Direct=1,IF(EJ79&lt;=0,OV79-EJ79*ANJ78,OV79-MIN(MIN(EJ79*ANJ78,LI79+OV79),OV79)),OV79)</f>
        <v>0</v>
      </c>
      <c r="OX79" s="20" t="n">
        <f aca="false">IF(H_Direct=1,IF(EK79&lt;=0,OW79-EK79*ANK78,OW79-MIN(MIN(EK79*ANK78,LJ79+OW79),OW79)),OW79)</f>
        <v>0</v>
      </c>
      <c r="OY79" s="20" t="n">
        <f aca="false">IF(H_Direct=1,IF(EL79&lt;=0,OX79-EL79*(P79+S79),OX79-MIN(MIN(EL79*(P79+S79),LK79+OX79),OX79)),OX79)</f>
        <v>0</v>
      </c>
      <c r="OZ79" s="20" t="n">
        <f aca="false">OY79</f>
        <v>0</v>
      </c>
      <c r="PA79" s="20" t="n">
        <f aca="false">OZ79</f>
        <v>0</v>
      </c>
      <c r="PB79" s="20" t="n">
        <f aca="false">PA79</f>
        <v>0</v>
      </c>
      <c r="PC79" s="20" t="n">
        <f aca="false">PB79</f>
        <v>0</v>
      </c>
      <c r="PD79" s="20" t="n">
        <f aca="false">PC79</f>
        <v>0</v>
      </c>
      <c r="PE79" s="20" t="n">
        <f aca="false">PD79</f>
        <v>0</v>
      </c>
      <c r="PF79" s="20" t="n">
        <f aca="false">PE79</f>
        <v>0</v>
      </c>
      <c r="PG79" s="20" t="n">
        <f aca="false">PF79</f>
        <v>0</v>
      </c>
      <c r="PH79" s="20" t="n">
        <f aca="false">PG79</f>
        <v>0</v>
      </c>
      <c r="PI79" s="20" t="n">
        <f aca="false">PH79</f>
        <v>0</v>
      </c>
      <c r="PJ79" s="20" t="n">
        <f aca="false">PI79</f>
        <v>0</v>
      </c>
      <c r="PK79" s="20" t="n">
        <f aca="false">PJ79</f>
        <v>0</v>
      </c>
      <c r="PL79" s="20" t="n">
        <f aca="false">PK79</f>
        <v>0</v>
      </c>
      <c r="PM79" s="20" t="n">
        <f aca="false">PL79</f>
        <v>0</v>
      </c>
      <c r="PN79" s="20" t="n">
        <f aca="false">PM79</f>
        <v>0</v>
      </c>
      <c r="PO79" s="20" t="n">
        <f aca="false">PN79</f>
        <v>0</v>
      </c>
      <c r="PP79" s="20" t="n">
        <f aca="false">PO79</f>
        <v>0</v>
      </c>
      <c r="PQ79" s="20" t="n">
        <f aca="false">PP79</f>
        <v>0</v>
      </c>
      <c r="PR79" s="20" t="n">
        <f aca="false">IF(H_Direct=1,IF(AKR78&lt;=0,0,IF(BR79&lt;=0,MIN(MAX(0,AB79),AKR78),MIN(MAX(0,AB79),AKR78-G79*MAX(0,BR79*AKR78-(H79+I79))))),MIN(FE79,MAX(0,AB79)))</f>
        <v>0</v>
      </c>
      <c r="PS79" s="20" t="n">
        <f aca="false">IF(H_Direct=1,IF(AKS78&lt;=0,0,IF(BS79&lt;=0,MIN(MAX(0,AB79-SUM(PR79:PR79)),AKS78),MIN(MAX(0,AB79-SUM(PR79:PR79)),AKS78-G79*MAX(0,BS79*AKS78-(WR79+AAE79))))),MIN(FF79,MAX(0,AB79-SUM(PR79:PR79))))</f>
        <v>0</v>
      </c>
      <c r="PT79" s="20" t="n">
        <f aca="false">IF(H_Direct=1,IF(AKT78&lt;=0,0,IF(BT79&lt;=0,MIN(MAX(0,AB79-SUM(PR79:PS79)),AKT78),MIN(MAX(0,AB79-SUM(PR79:PS79)),AKT78-G79*MAX(0,BT79*AKT78-(WS79+AAF79))))),MIN(FG79,MAX(0,AB79-SUM(PR79:PS79))))</f>
        <v>0</v>
      </c>
      <c r="PU79" s="20" t="n">
        <f aca="false">IF(H_Direct=1,IF(AKU78&lt;=0,0,IF(BU79&lt;=0,MIN(MAX(0,AB79-SUM(PR79:PT79)),AKU78),MIN(MAX(0,AB79-SUM(PR79:PT79)),AKU78-G79*MAX(0,BU79*AKU78-(WT79+AAG79))))),MIN(FH79,MAX(0,AB79-SUM(PR79:PT79))))</f>
        <v>0</v>
      </c>
      <c r="PV79" s="20" t="n">
        <f aca="false">IF(H_Direct=1,IF(AKV78&lt;=0,0,IF(BV79&lt;=0,MIN(MAX(0,AB79-SUM(PR79:PU79)),AKV78),MIN(MAX(0,AB79-SUM(PR79:PU79)),AKV78-G79*MAX(0,BV79*AKV78-(WU79+AAH79))))),MIN(FI79,MAX(0,AB79-SUM(PR79:PU79))))</f>
        <v>0</v>
      </c>
      <c r="PW79" s="20" t="n">
        <f aca="false">IF(H_Direct=1,IF(AKW78&lt;=0,0,IF(BW79&lt;=0,MIN(MAX(0,AB79-SUM(PR79:PV79)),AKW78),MIN(MAX(0,AB79-SUM(PR79:PV79)),AKW78-G79*MAX(0,BW79*AKW78-(WV79+AAI79))))),MIN(FJ79,MAX(0,AB79-SUM(PR79:PV79))))</f>
        <v>0</v>
      </c>
      <c r="PX79" s="20" t="n">
        <f aca="false">IF(H_Direct=1,IF(AKX78&lt;=0,0,IF(BX79&lt;=0,MIN(MAX(0,AB79-SUM(PR79:PW79)),AKX78),MIN(MAX(0,AB79-SUM(PR79:PW79)),AKX78-G79*MAX(0,BX79*AKX78-(WW79+AAJ79))))),MIN(FK79,MAX(0,AB79-SUM(PR79:PW79))))</f>
        <v>0</v>
      </c>
      <c r="PY79" s="20" t="n">
        <f aca="false">IF(H_Direct=1,IF(AKY78&lt;=0,0,IF(BY79&lt;=0,MIN(MAX(0,AB79-SUM(PR79:PX79)),AKY78),MIN(MAX(0,AB79-SUM(PR79:PX79)),AKY78-G79*MAX(0,BY79*AKY78-(WX79+AAK79))))),MIN(FL79,MAX(0,AB79-SUM(PR79:PX79))))</f>
        <v>0</v>
      </c>
      <c r="PZ79" s="20" t="n">
        <f aca="false">IF(H_Direct=1,IF(AKZ78&lt;=0,0,IF(BZ79&lt;=0,MIN(MAX(0,AB79-SUM(PR79:PY79)),AKZ78),MIN(MAX(0,AB79-SUM(PR79:PY79)),AKZ78-G79*MAX(0,BZ79*AKZ78-(WY79+AAL79))))),MIN(FM79,MAX(0,AB79-SUM(PR79:PY79))))</f>
        <v>0</v>
      </c>
      <c r="QA79" s="20" t="n">
        <f aca="false">IF(H_Direct=1,IF(ALA78&lt;=0,0,IF(CA79&lt;=0,MIN(MAX(0,AB79-SUM(PR79:PZ79)),ALA78),MIN(MAX(0,AB79-SUM(PR79:PZ79)),ALA78-G79*MAX(0,CA79*ALA78-(WZ79+AAM79))))),MIN(FN79,MAX(0,AB79-SUM(PR79:PZ79))))</f>
        <v>0</v>
      </c>
      <c r="QB79" s="20" t="n">
        <f aca="false">IF(H_Direct=1,IF(ALB78&lt;=0,0,IF(CB79&lt;=0,MIN(MAX(0,AB79-SUM(PR79:QA79)),ALB78),MIN(MAX(0,AB79-SUM(PR79:QA79)),ALB78-G79*MAX(0,CB79*ALB78-(XA79+AAN79))))),MIN(FO79,MAX(0,AB79-SUM(PR79:QA79))))</f>
        <v>0</v>
      </c>
      <c r="QC79" s="20" t="n">
        <f aca="false">IF(H_Direct=1,IF(ALC78&lt;=0,0,IF(CC79&lt;=0,MIN(MAX(0,AB79-SUM(PR79:QB79)),ALC78),MIN(MAX(0,AB79-SUM(PR79:QB79)),ALC78-G79*MAX(0,CC79*ALC78-(XB79+AAO79))))),MIN(FP79,MAX(0,AB79-SUM(PR79:QB79))))</f>
        <v>0</v>
      </c>
      <c r="QD79" s="20" t="n">
        <f aca="false">IF(H_Direct=1,IF(ALD78&lt;=0,0,IF(CD79&lt;=0,MIN(MAX(0,AB79-SUM(PR79:QC79)),ALD78),MIN(MAX(0,AB79-SUM(PR79:QC79)),ALD78-G79*MAX(0,CD79*ALD78-(XC79+AAP79))))),MIN(FQ79,MAX(0,AB79-SUM(PR79:QC79))))</f>
        <v>0</v>
      </c>
      <c r="QE79" s="20" t="n">
        <f aca="false">IF(H_Direct=1,IF(ALE78&lt;=0,0,IF(CE79&lt;=0,MIN(MAX(0,AB79-SUM(PR79:QD79)),ALE78),MIN(MAX(0,AB79-SUM(PR79:QD79)),ALE78-G79*MAX(0,CE79*ALE78-(XD79+AAQ79))))),MIN(FR79,MAX(0,AB79-SUM(PR79:QD79))))</f>
        <v>0</v>
      </c>
      <c r="QF79" s="20" t="n">
        <f aca="false">IF(H_Direct=1,IF(ALF78&lt;=0,0,IF(CF79&lt;=0,MIN(MAX(0,AB79-SUM(PR79:QE79)),ALF78),MIN(MAX(0,AB79-SUM(PR79:QE79)),ALF78-G79*MAX(0,CF79*ALF78-(XE79+AAR79))))),MIN(FS79,MAX(0,AB79-SUM(PR79:QE79))))</f>
        <v>0</v>
      </c>
      <c r="QG79" s="20" t="n">
        <f aca="false">IF(H_Direct=1,IF(ALG78&lt;=0,0,IF(CG79&lt;=0,MIN(MAX(0,AB79-SUM(PR79:QF79)),ALG78),MIN(MAX(0,AB79-SUM(PR79:QF79)),ALG78-G79*MAX(0,CG79*ALG78-(XF79+AAS79))))),MIN(FT79,MAX(0,AB79-SUM(PR79:QF79))))</f>
        <v>0</v>
      </c>
      <c r="QH79" s="20" t="n">
        <f aca="false">IF(H_Direct=1,IF(ALH78&lt;=0,0,IF(CH79&lt;=0,MIN(MAX(0,AB79-SUM(PR79:QG79)),ALH78),MIN(MAX(0,AB79-SUM(PR79:QG79)),ALH78-G79*MAX(0,CH79*ALH78-(XG79+AAT79))))),MIN(FU79,MAX(0,AB79-SUM(PR79:QG79))))</f>
        <v>0</v>
      </c>
      <c r="QI79" s="20" t="n">
        <f aca="false">IF(H_Direct=1,IF(ALI78&lt;=0,0,IF(CI79&lt;=0,MIN(MAX(0,AB79-SUM(PR79:QH79)),ALI78),MIN(MAX(0,AB79-SUM(PR79:QH79)),ALI78-G79*MAX(0,CI79*ALI78-(XH79+AAU79))))),MIN(FV79,MAX(0,AB79-SUM(PR79:QH79))))</f>
        <v>0</v>
      </c>
      <c r="QJ79" s="20" t="n">
        <f aca="false">IF(H_Direct=1,IF(ALJ78&lt;=0,0,IF(CJ79&lt;=0,MIN(MAX(0,AB79-SUM(PR79:QI79)),ALJ78),MIN(MAX(0,AB79-SUM(PR79:QI79)),ALJ78-G79*MAX(0,CJ79*ALJ78-(XI79+AAV79))))),MIN(FW79,MAX(0,AB79-SUM(PR79:QI79))))</f>
        <v>0</v>
      </c>
      <c r="QK79" s="20" t="n">
        <f aca="false">IF(H_Direct=1,IF(ALK78&lt;=0,0,IF(CK79&lt;=0,MIN(MAX(0,AB79-SUM(PR79:QJ79)),ALK78),MIN(MAX(0,AB79-SUM(PR79:QJ79)),ALK78-G79*MAX(0,CK79*ALK78-(XJ79+AAW79))))),MIN(FX79,MAX(0,AB79-SUM(PR79:QJ79))))</f>
        <v>0</v>
      </c>
      <c r="QL79" s="20" t="n">
        <f aca="false">IF(H_Direct=1,IF(ALL78&lt;=0,0,IF(CL79&lt;=0,MIN(MAX(0,AB79-SUM(PR79:QK79)),ALL78),MIN(MAX(0,AB79-SUM(PR79:QK79)),ALL78-G79*MAX(0,CL79*ALL78-(XK79+AAX79))))),MIN(FY79,MAX(0,AB79-SUM(PR79:QK79))))</f>
        <v>0</v>
      </c>
      <c r="QM79" s="20" t="n">
        <f aca="false">IF(H_Direct=1,IF(ALM78&lt;=0,0,IF(CM79&lt;=0,MIN(MAX(0,AB79-SUM(PR79:QL79)),ALM78),MIN(MAX(0,AB79-SUM(PR79:QL79)),ALM78-G79*MAX(0,CM79*ALM78-(XL79+AAY79))))),MIN(FZ79,MAX(0,AB79-SUM(PR79:QL79))))</f>
        <v>0</v>
      </c>
      <c r="QN79" s="20" t="n">
        <f aca="false">IF(H_Direct=1,IF(ALN78&lt;=0,0,IF(CN79&lt;=0,MIN(MAX(0,AB79-SUM(PR79:QM79)),ALN78),MIN(MAX(0,AB79-SUM(PR79:QM79)),ALN78-G79*MAX(0,CN79*ALN78-(XM79+AAZ79))))),MIN(GA79,MAX(0,AB79-SUM(PR79:QM79))))</f>
        <v>0</v>
      </c>
      <c r="QO79" s="20" t="n">
        <f aca="false">IF(H_Direct=1,IF(ALO78&lt;=0,0,IF(CO79&lt;=0,MIN(MAX(0,AB79-SUM(PR79:QN79)),ALO78),MIN(MAX(0,AB79-SUM(PR79:QN79)),ALO78-G79*MAX(0,CO79*ALO78-(XN79+ABA79))))),MIN(GB79,MAX(0,AB79-SUM(PR79:QN79))))</f>
        <v>0</v>
      </c>
      <c r="QP79" s="20" t="n">
        <f aca="false">IF(H_Direct=1,IF(ALP78&lt;=0,0,IF(CP79&lt;=0,MIN(MAX(0,AB79-SUM(PR79:QO79)),ALP78),MIN(MAX(0,AB79-SUM(PR79:QO79)),ALP78-G79*MAX(0,CP79*ALP78-(XO79+ABB79))))),MIN(GC79,MAX(0,AB79-SUM(PR79:QO79))))</f>
        <v>0</v>
      </c>
      <c r="QQ79" s="20" t="n">
        <f aca="false">IF(H_Direct=1,IF(ALQ78&lt;=0,0,IF(CQ79&lt;=0,MIN(MAX(0,AB79-SUM(PR79:QP79)),ALQ78),MIN(MAX(0,AB79-SUM(PR79:QP79)),ALQ78-G79*MAX(0,CQ79*ALQ78-(XP79+ABC79))))),MIN(GD79,MAX(0,AB79-SUM(PR79:QP79))))</f>
        <v>0</v>
      </c>
      <c r="QR79" s="20" t="n">
        <f aca="false">IF(H_Direct=1,IF(ALR78&lt;=0,0,IF(CR79&lt;=0,MIN(MAX(0,AB79-SUM(PR79:QQ79)),ALR78),MIN(MAX(0,AB79-SUM(PR79:QQ79)),ALR78-G79*MAX(0,CR79*ALR78-(XQ79+ABD79))))),MIN(GE79,MAX(0,AB79-SUM(PR79:QQ79))))</f>
        <v>0</v>
      </c>
      <c r="QS79" s="20" t="n">
        <f aca="false">IF(H_Direct=1,IF(ALS78&lt;=0,0,IF(CS79&lt;=0,MIN(MAX(0,AB79-SUM(PR79:QR79)),ALS78),MIN(MAX(0,AB79-SUM(PR79:QR79)),ALS78-G79*MAX(0,CS79*ALS78-(XR79+ABE79))))),MIN(GF79,MAX(0,AB79-SUM(PR79:QR79))))</f>
        <v>0</v>
      </c>
      <c r="QT79" s="20" t="n">
        <f aca="false">IF(H_Direct=1,IF(ALT78&lt;=0,0,IF(CT79&lt;=0,MIN(MAX(0,AB79-SUM(PR79:QS79)),ALT78),MIN(MAX(0,AB79-SUM(PR79:QS79)),ALT78-G79*MAX(0,CT79*ALT78-(XS79+ABF79))))),MIN(GG79,MAX(0,AB79-SUM(PR79:QS79))))</f>
        <v>0</v>
      </c>
      <c r="QU79" s="20" t="n">
        <f aca="false">IF(H_Direct=1,IF(ALU78&lt;=0,0,IF(CU79&lt;=0,MIN(MAX(0,AB79-SUM(PR79:QT79)),ALU78),MIN(MAX(0,AB79-SUM(PR79:QT79)),ALU78-G79*MAX(0,CU79*ALU78-(XT79+ABG79))))),MIN(GH79,MAX(0,AB79-SUM(PR79:QT79))))</f>
        <v>0</v>
      </c>
      <c r="QV79" s="20" t="n">
        <f aca="false">IF(H_Direct=1,IF(ALV78&lt;=0,0,IF(CV79&lt;=0,MIN(MAX(0,AB79-SUM(PR79:QU79)),ALV78),MIN(MAX(0,AB79-SUM(PR79:QU79)),ALV78-G79*MAX(0,CV79*ALV78-(XU79+ABH79))))),MIN(GI79,MAX(0,AB79-SUM(PR79:QU79))))</f>
        <v>0</v>
      </c>
      <c r="QW79" s="20" t="n">
        <f aca="false">IF(H_Direct=1,IF(ALW78&lt;=0,0,IF(CW79&lt;=0,MIN(MAX(0,AB79-SUM(PR79:QV79)),ALW78),MIN(MAX(0,AB79-SUM(PR79:QV79)),ALW78-G79*MAX(0,CW79*ALW78-(XV79+ABI79))))),MIN(GJ79,MAX(0,AB79-SUM(PR79:QV79))))</f>
        <v>0</v>
      </c>
      <c r="QX79" s="20" t="n">
        <f aca="false">IF(H_Direct=1,IF(ALX78&lt;=0,0,IF(CX79&lt;=0,MIN(MAX(0,AB79-SUM(PR79:QW79)),ALX78),MIN(MAX(0,AB79-SUM(PR79:QW79)),ALX78-G79*MAX(0,CX79*ALX78-(XW79+ABJ79))))),MIN(GK79,MAX(0,AB79-SUM(PR79:QW79))))</f>
        <v>0</v>
      </c>
      <c r="QY79" s="20" t="n">
        <f aca="false">IF(H_Direct=1,IF(ALY78&lt;=0,0,IF(CY79&lt;=0,MIN(MAX(0,AB79-SUM(PR79:QX79)),ALY78),MIN(MAX(0,AB79-SUM(PR79:QX79)),ALY78-G79*MAX(0,CY79*ALY78-(XX79+ABK79))))),MIN(GL79,MAX(0,AB79-SUM(PR79:QX79))))</f>
        <v>0</v>
      </c>
      <c r="QZ79" s="20" t="n">
        <f aca="false">IF(H_Direct=1,IF(ALZ78&lt;=0,0,IF(CZ79&lt;=0,MIN(MAX(0,AB79-SUM(PR79:QY79)),ALZ78),MIN(MAX(0,AB79-SUM(PR79:QY79)),ALZ78-G79*MAX(0,CZ79*ALZ78-(XY79+ABL79))))),MIN(GM79,MAX(0,AB79-SUM(PR79:QY79))))</f>
        <v>0</v>
      </c>
      <c r="RA79" s="20" t="n">
        <f aca="false">IF(H_Direct=1,IF(AMA78&lt;=0,0,IF(DA79&lt;=0,MIN(MAX(0,AB79-SUM(PR79:QZ79)),AMA78),MIN(MAX(0,AB79-SUM(PR79:QZ79)),AMA78-G79*MAX(0,DA79*AMA78-(XZ79+ABM79))))),MIN(GN79,MAX(0,AB79-SUM(PR79:QZ79))))</f>
        <v>0</v>
      </c>
      <c r="RB79" s="20" t="n">
        <f aca="false">IF(H_Direct=1,IF(AMB78&lt;=0,0,IF(DB79&lt;=0,MIN(MAX(0,AB79-SUM(PR79:RA79)),AMB78),MIN(MAX(0,AB79-SUM(PR79:RA79)),AMB78-G79*MAX(0,DB79*AMB78-(YA79+ABN79))))),MIN(GO79,MAX(0,AB79-SUM(PR79:RA79))))</f>
        <v>0</v>
      </c>
      <c r="RC79" s="20" t="n">
        <f aca="false">IF(H_Direct=1,IF(AMC78&lt;=0,0,IF(DC79&lt;=0,MIN(MAX(0,AB79-SUM(PR79:RB79)),AMC78),MIN(MAX(0,AB79-SUM(PR79:RB79)),AMC78-G79*MAX(0,DC79*AMC78-(YB79+ABO79))))),MIN(GP79,MAX(0,AB79-SUM(PR79:RB79))))</f>
        <v>0</v>
      </c>
      <c r="RD79" s="20" t="n">
        <f aca="false">IF(H_Direct=1,IF(AMD78&lt;=0,0,IF(DD79&lt;=0,MIN(MAX(0,AB79-SUM(PR79:RC79)),AMD78),MIN(MAX(0,AB79-SUM(PR79:RC79)),AMD78-G79*MAX(0,DD79*AMD78-(YC79+ABP79))))),MIN(GQ79,MAX(0,AB79-SUM(PR79:RC79))))</f>
        <v>0</v>
      </c>
      <c r="RE79" s="20" t="n">
        <f aca="false">IF(H_Direct=1,IF(AME78&lt;=0,0,IF(DE79&lt;=0,MIN(MAX(0,AB79-SUM(PR79:RD79)),AME78),MIN(MAX(0,AB79-SUM(PR79:RD79)),AME78-G79*MAX(0,DE79*AME78-(YD79+ABQ79))))),MIN(GR79,MAX(0,AB79-SUM(PR79:RD79))))</f>
        <v>0</v>
      </c>
      <c r="RF79" s="20" t="n">
        <f aca="false">IF(H_Direct=1,IF(AMF78&lt;=0,0,IF(DF79&lt;=0,MIN(MAX(0,AB79-SUM(PR79:RE79)),AMF78),MIN(MAX(0,AB79-SUM(PR79:RE79)),AMF78-G79*MAX(0,DF79*AMF78-(YE79+ABR79))))),MIN(GS79,MAX(0,AB79-SUM(PR79:RE79))))</f>
        <v>0</v>
      </c>
      <c r="RG79" s="20" t="n">
        <f aca="false">IF(H_Direct=1,IF(AMG78&lt;=0,0,IF(DG79&lt;=0,MIN(MAX(0,AB79-SUM(PR79:RF79)),AMG78),MIN(MAX(0,AB79-SUM(PR79:RF79)),AMG78-G79*MAX(0,DG79*AMG78-(YF79+ABS79))))),MIN(GT79,MAX(0,AB79-SUM(PR79:RF79))))</f>
        <v>0</v>
      </c>
      <c r="RH79" s="20" t="n">
        <f aca="false">IF(H_Direct=1,IF(AMH78&lt;=0,0,IF(DH79&lt;=0,MIN(MAX(0,AB79-SUM(PR79:RG79)),AMH78),MIN(MAX(0,AB79-SUM(PR79:RG79)),AMH78-G79*MAX(0,DH79*AMH78-(YG79+ABT79))))),MIN(GU79,MAX(0,AB79-SUM(PR79:RG79))))</f>
        <v>0</v>
      </c>
      <c r="RI79" s="20" t="n">
        <f aca="false">IF(H_Direct=1,IF(AMI78&lt;=0,0,IF(DI79&lt;=0,MIN(MAX(0,AB79-SUM(PR79:RH79)),AMI78),MIN(MAX(0,AB79-SUM(PR79:RH79)),AMI78-G79*MAX(0,DI79*AMI78-(YH79+ABU79))))),MIN(GV79,MAX(0,AB79-SUM(PR79:RH79))))</f>
        <v>0</v>
      </c>
      <c r="RJ79" s="20" t="n">
        <f aca="false">IF(H_Direct=1,IF(AMJ78&lt;=0,0,IF(DJ79&lt;=0,MIN(MAX(0,AB79-SUM(PR79:RI79)),AMJ78),MIN(MAX(0,AB79-SUM(PR79:RI79)),AMJ78-G79*MAX(0,DJ79*AMJ78-(YI79+ABV79))))),MIN(GW79,MAX(0,AB79-SUM(PR79:RI79))))</f>
        <v>0</v>
      </c>
      <c r="RK79" s="20" t="n">
        <f aca="false">IF(H_Direct=1,IF(AMK78&lt;=0,0,IF(DK79&lt;=0,MIN(MAX(0,AB79-SUM(PR79:RJ79)),AMK78),MIN(MAX(0,AB79-SUM(PR79:RJ79)),AMK78-G79*MAX(0,DK79*AMK78-(YJ79+ABW79))))),MIN(GX79,MAX(0,AB79-SUM(PR79:RJ79))))</f>
        <v>0</v>
      </c>
      <c r="RL79" s="20" t="n">
        <f aca="false">IF(H_Direct=1,IF(AML78&lt;=0,0,IF(DL79&lt;=0,MIN(MAX(0,AB79-SUM(PR79:RK79)),AML78),MIN(MAX(0,AB79-SUM(PR79:RK79)),AML78-G79*MAX(0,DL79*AML78-(YK79+ABX79))))),MIN(GY79,MAX(0,AB79-SUM(PR79:RK79))))</f>
        <v>0</v>
      </c>
      <c r="RM79" s="20" t="n">
        <f aca="false">IF(H_Direct=1,IF(AMM78&lt;=0,0,IF(DM79&lt;=0,MIN(MAX(0,AB79-SUM(PR79:RL79)),AMM78),MIN(MAX(0,AB79-SUM(PR79:RL79)),AMM78-G79*MAX(0,DM79*AMM78-(YL79+ABY79))))),MIN(GZ79,MAX(0,AB79-SUM(PR79:RL79))))</f>
        <v>0</v>
      </c>
      <c r="RN79" s="20" t="n">
        <f aca="false">IF(H_Direct=1,IF(AMN78&lt;=0,0,IF(DN79&lt;=0,MIN(MAX(0,AB79-SUM(PR79:RM79)),AMN78),MIN(MAX(0,AB79-SUM(PR79:RM79)),AMN78-G79*MAX(0,DN79*AMN78-(YM79+ABZ79))))),MIN(HA79,MAX(0,AB79-SUM(PR79:RM79))))</f>
        <v>0</v>
      </c>
      <c r="RO79" s="20" t="n">
        <f aca="false">IF(H_Direct=1,IF(AMO78&lt;=0,0,IF(DO79&lt;=0,MIN(MAX(0,AB79-SUM(PR79:RN79)),AMO78),MIN(MAX(0,AB79-SUM(PR79:RN79)),AMO78-G79*MAX(0,DO79*AMO78-(YN79+ACA79))))),MIN(HB79,MAX(0,AB79-SUM(PR79:RN79))))</f>
        <v>0</v>
      </c>
      <c r="RP79" s="20" t="n">
        <f aca="false">IF(H_Direct=1,IF(AMP78&lt;=0,0,IF(DP79&lt;=0,MIN(MAX(0,AB79-SUM(PR79:RO79)),AMP78),MIN(MAX(0,AB79-SUM(PR79:RO79)),AMP78-G79*MAX(0,DP79*AMP78-(YO79+ACB79))))),MIN(HC79,MAX(0,AB79-SUM(PR79:RO79))))</f>
        <v>0</v>
      </c>
      <c r="RQ79" s="20" t="n">
        <f aca="false">IF(H_Direct=1,IF(AMQ78&lt;=0,0,IF(DQ79&lt;=0,MIN(MAX(0,AB79-SUM(PR79:RP79)),AMQ78),MIN(MAX(0,AB79-SUM(PR79:RP79)),AMQ78-G79*MAX(0,DQ79*AMQ78-(YP79+ACC79))))),MIN(HD79,MAX(0,AB79-SUM(PR79:RP79))))</f>
        <v>0</v>
      </c>
      <c r="RR79" s="20" t="n">
        <f aca="false">IF(H_Direct=1,IF(AMR78&lt;=0,0,IF(DR79&lt;=0,MIN(MAX(0,AB79-SUM(PR79:RQ79)),AMR78),MIN(MAX(0,AB79-SUM(PR79:RQ79)),AMR78-G79*MAX(0,DR79*AMR78-(YQ79+ACD79))))),MIN(HE79,MAX(0,AB79-SUM(PR79:RQ79))))</f>
        <v>0</v>
      </c>
      <c r="RS79" s="20" t="n">
        <f aca="false">IF(H_Direct=1,IF(AMS78&lt;=0,0,IF(DS79&lt;=0,MIN(MAX(0,AB79-SUM(PR79:RR79)),AMS78),MIN(MAX(0,AB79-SUM(PR79:RR79)),AMS78-G79*MAX(0,DS79*AMS78-(YR79+ACE79))))),MIN(HF79,MAX(0,AB79-SUM(PR79:RR79))))</f>
        <v>0</v>
      </c>
      <c r="RT79" s="20" t="n">
        <f aca="false">IF(H_Direct=1,IF(AMT78&lt;=0,0,IF(DT79&lt;=0,MIN(MAX(0,AB79-SUM(PR79:RS79)),AMT78),MIN(MAX(0,AB79-SUM(PR79:RS79)),AMT78-G79*MAX(0,DT79*AMT78-(YS79+ACF79))))),MIN(HG79,MAX(0,AB79-SUM(PR79:RS79))))</f>
        <v>0</v>
      </c>
      <c r="RU79" s="20" t="n">
        <f aca="false">IF(H_Direct=1,IF(AMU78&lt;=0,0,IF(DU79&lt;=0,MIN(MAX(0,AB79-SUM(PR79:RT79)),AMU78),MIN(MAX(0,AB79-SUM(PR79:RT79)),AMU78-G79*MAX(0,DU79*AMU78-(YT79+ACG79))))),MIN(HH79,MAX(0,AB79-SUM(PR79:RT79))))</f>
        <v>0</v>
      </c>
      <c r="RV79" s="20" t="n">
        <f aca="false">IF(H_Direct=1,IF(AMV78&lt;=0,0,IF(DV79&lt;=0,MIN(MAX(0,AB79-SUM(PR79:RU79)),AMV78),MIN(MAX(0,AB79-SUM(PR79:RU79)),AMV78-G79*MAX(0,DV79*AMV78-(YU79+ACH79))))),MIN(HI79,MAX(0,AB79-SUM(PR79:RU79))))</f>
        <v>0</v>
      </c>
      <c r="RW79" s="20" t="n">
        <f aca="false">IF(H_Direct=1,IF(AMW78&lt;=0,0,IF(DW79&lt;=0,MIN(MAX(0,AB79-SUM(PR79:RV79)),AMW78),MIN(MAX(0,AB79-SUM(PR79:RV79)),AMW78-G79*MAX(0,DW79*AMW78-(YV79+ACI79))))),MIN(HJ79,MAX(0,AB79-SUM(PR79:RV79))))</f>
        <v>0</v>
      </c>
      <c r="RX79" s="20" t="n">
        <f aca="false">IF(H_Direct=1,IF(AMX78&lt;=0,0,IF(DX79&lt;=0,MIN(MAX(0,AB79-SUM(PR79:RW79)),AMX78),MIN(MAX(0,AB79-SUM(PR79:RW79)),AMX78-G79*MAX(0,DX79*AMX78-(YW79+ACJ79))))),MIN(HK79,MAX(0,AB79-SUM(PR79:RW79))))</f>
        <v>0</v>
      </c>
      <c r="RY79" s="20" t="n">
        <f aca="false">IF(H_Direct=1,IF(AMY78&lt;=0,0,IF(DY79&lt;=0,MIN(MAX(0,AB79-SUM(PR79:RX79)),AMY78),MIN(MAX(0,AB79-SUM(PR79:RX79)),AMY78-G79*MAX(0,DY79*AMY78-(YX79+ACK79))))),MIN(HL79,MAX(0,AB79-SUM(PR79:RX79))))</f>
        <v>0</v>
      </c>
      <c r="RZ79" s="20" t="n">
        <f aca="false">IF(H_Direct=1,IF(AMZ78&lt;=0,0,IF(DZ79&lt;=0,MIN(MAX(0,AB79-SUM(PR79:RY79)),AMZ78),MIN(MAX(0,AB79-SUM(PR79:RY79)),AMZ78-G79*MAX(0,DZ79*AMZ78-(YY79+ACL79))))),MIN(HM79,MAX(0,AB79-SUM(PR79:RY79))))</f>
        <v>0</v>
      </c>
      <c r="SA79" s="20" t="n">
        <f aca="false">IF(H_Direct=1,IF(ANA78&lt;=0,0,IF(EA79&lt;=0,MIN(MAX(0,AB79-SUM(PR79:RZ79)),ANA78),MIN(MAX(0,AB79-SUM(PR79:RZ79)),ANA78-G79*MAX(0,EA79*ANA78-(YZ79+ACM79))))),MIN(HN79,MAX(0,AB79-SUM(PR79:RZ79))))</f>
        <v>0</v>
      </c>
      <c r="SB79" s="20" t="n">
        <f aca="false">IF(H_Direct=1,IF(ANB78&lt;=0,0,IF(EB79&lt;=0,MIN(MAX(0,AB79-SUM(PR79:SA79)),ANB78),MIN(MAX(0,AB79-SUM(PR79:SA79)),ANB78-G79*MAX(0,EB79*ANB78-(ZA79+ACN79))))),MIN(HO79,MAX(0,AB79-SUM(PR79:SA79))))</f>
        <v>0</v>
      </c>
      <c r="SC79" s="20" t="n">
        <f aca="false">IF(H_Direct=1,IF(ANC78&lt;=0,0,IF(EC79&lt;=0,MIN(MAX(0,AB79-SUM(PR79:SB79)),ANC78),MIN(MAX(0,AB79-SUM(PR79:SB79)),ANC78-G79*MAX(0,EC79*ANC78-(ZB79+ACO79))))),MIN(HP79,MAX(0,AB79-SUM(PR79:SB79))))</f>
        <v>0</v>
      </c>
      <c r="SD79" s="20" t="n">
        <f aca="false">IF(H_Direct=1,IF(AND78&lt;=0,0,IF(ED79&lt;=0,MIN(MAX(0,AB79-SUM(PR79:SC79)),AND78),MIN(MAX(0,AB79-SUM(PR79:SC79)),AND78-G79*MAX(0,ED79*AND78-(ZC79+ACP79))))),MIN(HQ79,MAX(0,AB79-SUM(PR79:SC79))))</f>
        <v>0</v>
      </c>
      <c r="SE79" s="20" t="n">
        <f aca="false">IF(H_Direct=1,IF(ANE78&lt;=0,0,IF(EE79&lt;=0,MIN(MAX(0,AB79-SUM(PR79:SD79)),ANE78),MIN(MAX(0,AB79-SUM(PR79:SD79)),ANE78-G79*MAX(0,EE79*ANE78-(ZD79+ACQ79))))),MIN(HR79,MAX(0,AB79-SUM(PR79:SD79))))</f>
        <v>0</v>
      </c>
      <c r="SF79" s="20" t="n">
        <f aca="false">IF(H_Direct=1,IF(ANF78&lt;=0,0,IF(EF79&lt;=0,MIN(MAX(0,AB79-SUM(PR79:SE79)),ANF78),MIN(MAX(0,AB79-SUM(PR79:SE79)),ANF78-G79*MAX(0,EF79*ANF78-(ZE79+ACR79))))),MIN(HS79,MAX(0,AB79-SUM(PR79:SE79))))</f>
        <v>0</v>
      </c>
      <c r="SG79" s="20" t="n">
        <f aca="false">IF(H_Direct=1,IF(ANG78&lt;=0,0,IF(EG79&lt;=0,MIN(MAX(0,AB79-SUM(PR79:SF79)),ANG78),MIN(MAX(0,AB79-SUM(PR79:SF79)),ANG78-G79*MAX(0,EG79*ANG78-(ZF79+ACS79))))),MIN(HT79,MAX(0,AB79-SUM(PR79:SF79))))</f>
        <v>0</v>
      </c>
      <c r="SH79" s="20" t="n">
        <f aca="false">IF(H_Direct=1,IF(ANH78&lt;=0,0,IF(EH79&lt;=0,MIN(MAX(0,AB79-SUM(PR79:SG79)),ANH78),MIN(MAX(0,AB79-SUM(PR79:SG79)),ANH78-G79*MAX(0,EH79*ANH78-(ZG79+ACT79))))),MIN(HU79,MAX(0,AB79-SUM(PR79:SG79))))</f>
        <v>0</v>
      </c>
      <c r="SI79" s="20" t="n">
        <f aca="false">IF(H_Direct=1,IF(ANI78&lt;=0,0,IF(EI79&lt;=0,MIN(MAX(0,AB79-SUM(PR79:SH79)),ANI78),MIN(MAX(0,AB79-SUM(PR79:SH79)),ANI78-G79*MAX(0,EI79*ANI78-(ZH79+ACU79))))),MIN(HV79,MAX(0,AB79-SUM(PR79:SH79))))</f>
        <v>0</v>
      </c>
      <c r="SJ79" s="20" t="n">
        <f aca="false">IF(H_Direct=1,IF(ANJ78&lt;=0,0,IF(EJ79&lt;=0,MIN(MAX(0,AB79-SUM(PR79:SI79)),ANJ78),MIN(MAX(0,AB79-SUM(PR79:SI79)),ANJ78-G79*MAX(0,EJ79*ANJ78-(ZI79+ACV79))))),MIN(HW79,MAX(0,AB79-SUM(PR79:SI79))))</f>
        <v>0</v>
      </c>
      <c r="SK79" s="20" t="n">
        <f aca="false">IF(H_Direct=1,IF(ANK78&lt;=0,0,IF(EK79&lt;=0,MIN(MAX(0,AB79-SUM(PR79:SJ79)),ANK78),MIN(MAX(0,AB79-SUM(PR79:SJ79)),ANK78-G79*MAX(0,EK79*ANK78-(ZJ79+ACW79))))),MIN(HX79,MAX(0,AB79-SUM(PR79:SJ79))))</f>
        <v>0</v>
      </c>
      <c r="SL79" s="20" t="n">
        <f aca="false">IF(H_Direct=1,IF((P79+S79)&lt;=0,0,IF(EL79&lt;=0,MIN(MAX(0,AB79-SUM(PR79:SK79)),(P79+S79)),MIN(MAX(0,AB79-SUM(PR79:SK79)),(P79+S79)-G79*MAX(0,EL79*(P79+S79)-(ZK79+ACX79))))),MIN(HY79,MAX(0,AB79-SUM(PR79:SK79))))</f>
        <v>0</v>
      </c>
      <c r="SM79" s="20" t="n">
        <v>0</v>
      </c>
      <c r="SN79" s="20" t="n">
        <v>0</v>
      </c>
      <c r="SO79" s="20" t="n">
        <v>0</v>
      </c>
      <c r="SP79" s="20" t="n">
        <v>0</v>
      </c>
      <c r="SQ79" s="20" t="n">
        <v>0</v>
      </c>
      <c r="SR79" s="20" t="n">
        <v>0</v>
      </c>
      <c r="SS79" s="20" t="n">
        <v>0</v>
      </c>
      <c r="ST79" s="20" t="n">
        <v>0</v>
      </c>
      <c r="SU79" s="20" t="n">
        <v>0</v>
      </c>
      <c r="SV79" s="20" t="n">
        <v>0</v>
      </c>
      <c r="SW79" s="20" t="n">
        <v>0</v>
      </c>
      <c r="SX79" s="20" t="n">
        <v>0</v>
      </c>
      <c r="SY79" s="20" t="n">
        <v>0</v>
      </c>
      <c r="SZ79" s="20" t="n">
        <v>0</v>
      </c>
      <c r="TA79" s="20" t="n">
        <v>0</v>
      </c>
      <c r="TB79" s="20" t="n">
        <v>0</v>
      </c>
      <c r="TC79" s="20" t="n">
        <v>0</v>
      </c>
      <c r="TD79" s="20" t="n">
        <v>0</v>
      </c>
      <c r="TE79" s="20" t="n">
        <f aca="false">IF(AKR78&lt;=0,0,IF(H_Direct=1,IF(BR79&lt;=0,PR79,IF(PR79&lt;=(H79+I79)/BR79,PR79,(PR79-G79*(H79+I79))/(1-G79*BR79))),PR79/(1-MAX(0,BR79)*H_Exit)))</f>
        <v>0</v>
      </c>
      <c r="TF79" s="20" t="n">
        <f aca="false">IF(AKS78&lt;=0,0,IF(H_Direct=1,IF(BS79&lt;=0,PS79,IF(PS79&lt;=(WR79+AAE79)/BS79,PS79,(PS79-G79*(WR79+AAE79))/(1-G79*BS79))),PS79/(1-MAX(0,BS79)*H_Exit)))</f>
        <v>0</v>
      </c>
      <c r="TG79" s="20" t="n">
        <f aca="false">IF(AKT78&lt;=0,0,IF(H_Direct=1,IF(BT79&lt;=0,PT79,IF(PT79&lt;=(WS79+AAF79)/BT79,PT79,(PT79-G79*(WS79+AAF79))/(1-G79*BT79))),PT79/(1-MAX(0,BT79)*H_Exit)))</f>
        <v>0</v>
      </c>
      <c r="TH79" s="20" t="n">
        <f aca="false">IF(AKU78&lt;=0,0,IF(H_Direct=1,IF(BU79&lt;=0,PU79,IF(PU79&lt;=(WT79+AAG79)/BU79,PU79,(PU79-G79*(WT79+AAG79))/(1-G79*BU79))),PU79/(1-MAX(0,BU79)*H_Exit)))</f>
        <v>0</v>
      </c>
      <c r="TI79" s="20" t="n">
        <f aca="false">IF(AKV78&lt;=0,0,IF(H_Direct=1,IF(BV79&lt;=0,PV79,IF(PV79&lt;=(WU79+AAH79)/BV79,PV79,(PV79-G79*(WU79+AAH79))/(1-G79*BV79))),PV79/(1-MAX(0,BV79)*H_Exit)))</f>
        <v>0</v>
      </c>
      <c r="TJ79" s="20" t="n">
        <f aca="false">IF(AKW78&lt;=0,0,IF(H_Direct=1,IF(BW79&lt;=0,PW79,IF(PW79&lt;=(WV79+AAI79)/BW79,PW79,(PW79-G79*(WV79+AAI79))/(1-G79*BW79))),PW79/(1-MAX(0,BW79)*H_Exit)))</f>
        <v>0</v>
      </c>
      <c r="TK79" s="20" t="n">
        <f aca="false">IF(AKX78&lt;=0,0,IF(H_Direct=1,IF(BX79&lt;=0,PX79,IF(PX79&lt;=(WW79+AAJ79)/BX79,PX79,(PX79-G79*(WW79+AAJ79))/(1-G79*BX79))),PX79/(1-MAX(0,BX79)*H_Exit)))</f>
        <v>0</v>
      </c>
      <c r="TL79" s="20" t="n">
        <f aca="false">IF(AKY78&lt;=0,0,IF(H_Direct=1,IF(BY79&lt;=0,PY79,IF(PY79&lt;=(WX79+AAK79)/BY79,PY79,(PY79-G79*(WX79+AAK79))/(1-G79*BY79))),PY79/(1-MAX(0,BY79)*H_Exit)))</f>
        <v>0</v>
      </c>
      <c r="TM79" s="20" t="n">
        <f aca="false">IF(AKZ78&lt;=0,0,IF(H_Direct=1,IF(BZ79&lt;=0,PZ79,IF(PZ79&lt;=(WY79+AAL79)/BZ79,PZ79,(PZ79-G79*(WY79+AAL79))/(1-G79*BZ79))),PZ79/(1-MAX(0,BZ79)*H_Exit)))</f>
        <v>0</v>
      </c>
      <c r="TN79" s="20" t="n">
        <f aca="false">IF(ALA78&lt;=0,0,IF(H_Direct=1,IF(CA79&lt;=0,QA79,IF(QA79&lt;=(WZ79+AAM79)/CA79,QA79,(QA79-G79*(WZ79+AAM79))/(1-G79*CA79))),QA79/(1-MAX(0,CA79)*H_Exit)))</f>
        <v>0</v>
      </c>
      <c r="TO79" s="20" t="n">
        <f aca="false">IF(ALB78&lt;=0,0,IF(H_Direct=1,IF(CB79&lt;=0,QB79,IF(QB79&lt;=(XA79+AAN79)/CB79,QB79,(QB79-G79*(XA79+AAN79))/(1-G79*CB79))),QB79/(1-MAX(0,CB79)*H_Exit)))</f>
        <v>0</v>
      </c>
      <c r="TP79" s="20" t="n">
        <f aca="false">IF(ALC78&lt;=0,0,IF(H_Direct=1,IF(CC79&lt;=0,QC79,IF(QC79&lt;=(XB79+AAO79)/CC79,QC79,(QC79-G79*(XB79+AAO79))/(1-G79*CC79))),QC79/(1-MAX(0,CC79)*H_Exit)))</f>
        <v>0</v>
      </c>
      <c r="TQ79" s="20" t="n">
        <f aca="false">IF(ALD78&lt;=0,0,IF(H_Direct=1,IF(CD79&lt;=0,QD79,IF(QD79&lt;=(XC79+AAP79)/CD79,QD79,(QD79-G79*(XC79+AAP79))/(1-G79*CD79))),QD79/(1-MAX(0,CD79)*H_Exit)))</f>
        <v>0</v>
      </c>
      <c r="TR79" s="20" t="n">
        <f aca="false">IF(ALE78&lt;=0,0,IF(H_Direct=1,IF(CE79&lt;=0,QE79,IF(QE79&lt;=(XD79+AAQ79)/CE79,QE79,(QE79-G79*(XD79+AAQ79))/(1-G79*CE79))),QE79/(1-MAX(0,CE79)*H_Exit)))</f>
        <v>0</v>
      </c>
      <c r="TS79" s="20" t="n">
        <f aca="false">IF(ALF78&lt;=0,0,IF(H_Direct=1,IF(CF79&lt;=0,QF79,IF(QF79&lt;=(XE79+AAR79)/CF79,QF79,(QF79-G79*(XE79+AAR79))/(1-G79*CF79))),QF79/(1-MAX(0,CF79)*H_Exit)))</f>
        <v>0</v>
      </c>
      <c r="TT79" s="20" t="n">
        <f aca="false">IF(ALG78&lt;=0,0,IF(H_Direct=1,IF(CG79&lt;=0,QG79,IF(QG79&lt;=(XF79+AAS79)/CG79,QG79,(QG79-G79*(XF79+AAS79))/(1-G79*CG79))),QG79/(1-MAX(0,CG79)*H_Exit)))</f>
        <v>0</v>
      </c>
      <c r="TU79" s="20" t="n">
        <f aca="false">IF(ALH78&lt;=0,0,IF(H_Direct=1,IF(CH79&lt;=0,QH79,IF(QH79&lt;=(XG79+AAT79)/CH79,QH79,(QH79-G79*(XG79+AAT79))/(1-G79*CH79))),QH79/(1-MAX(0,CH79)*H_Exit)))</f>
        <v>0</v>
      </c>
      <c r="TV79" s="20" t="n">
        <f aca="false">IF(ALI78&lt;=0,0,IF(H_Direct=1,IF(CI79&lt;=0,QI79,IF(QI79&lt;=(XH79+AAU79)/CI79,QI79,(QI79-G79*(XH79+AAU79))/(1-G79*CI79))),QI79/(1-MAX(0,CI79)*H_Exit)))</f>
        <v>0</v>
      </c>
      <c r="TW79" s="20" t="n">
        <f aca="false">IF(ALJ78&lt;=0,0,IF(H_Direct=1,IF(CJ79&lt;=0,QJ79,IF(QJ79&lt;=(XI79+AAV79)/CJ79,QJ79,(QJ79-G79*(XI79+AAV79))/(1-G79*CJ79))),QJ79/(1-MAX(0,CJ79)*H_Exit)))</f>
        <v>0</v>
      </c>
      <c r="TX79" s="20" t="n">
        <f aca="false">IF(ALK78&lt;=0,0,IF(H_Direct=1,IF(CK79&lt;=0,QK79,IF(QK79&lt;=(XJ79+AAW79)/CK79,QK79,(QK79-G79*(XJ79+AAW79))/(1-G79*CK79))),QK79/(1-MAX(0,CK79)*H_Exit)))</f>
        <v>0</v>
      </c>
      <c r="TY79" s="20" t="n">
        <f aca="false">IF(ALL78&lt;=0,0,IF(H_Direct=1,IF(CL79&lt;=0,QL79,IF(QL79&lt;=(XK79+AAX79)/CL79,QL79,(QL79-G79*(XK79+AAX79))/(1-G79*CL79))),QL79/(1-MAX(0,CL79)*H_Exit)))</f>
        <v>0</v>
      </c>
      <c r="TZ79" s="20" t="n">
        <f aca="false">IF(ALM78&lt;=0,0,IF(H_Direct=1,IF(CM79&lt;=0,QM79,IF(QM79&lt;=(XL79+AAY79)/CM79,QM79,(QM79-G79*(XL79+AAY79))/(1-G79*CM79))),QM79/(1-MAX(0,CM79)*H_Exit)))</f>
        <v>0</v>
      </c>
      <c r="UA79" s="20" t="n">
        <f aca="false">IF(ALN78&lt;=0,0,IF(H_Direct=1,IF(CN79&lt;=0,QN79,IF(QN79&lt;=(XM79+AAZ79)/CN79,QN79,(QN79-G79*(XM79+AAZ79))/(1-G79*CN79))),QN79/(1-MAX(0,CN79)*H_Exit)))</f>
        <v>0</v>
      </c>
      <c r="UB79" s="20" t="n">
        <f aca="false">IF(ALO78&lt;=0,0,IF(H_Direct=1,IF(CO79&lt;=0,QO79,IF(QO79&lt;=(XN79+ABA79)/CO79,QO79,(QO79-G79*(XN79+ABA79))/(1-G79*CO79))),QO79/(1-MAX(0,CO79)*H_Exit)))</f>
        <v>0</v>
      </c>
      <c r="UC79" s="20" t="n">
        <f aca="false">IF(ALP78&lt;=0,0,IF(H_Direct=1,IF(CP79&lt;=0,QP79,IF(QP79&lt;=(XO79+ABB79)/CP79,QP79,(QP79-G79*(XO79+ABB79))/(1-G79*CP79))),QP79/(1-MAX(0,CP79)*H_Exit)))</f>
        <v>0</v>
      </c>
      <c r="UD79" s="20" t="n">
        <f aca="false">IF(ALQ78&lt;=0,0,IF(H_Direct=1,IF(CQ79&lt;=0,QQ79,IF(QQ79&lt;=(XP79+ABC79)/CQ79,QQ79,(QQ79-G79*(XP79+ABC79))/(1-G79*CQ79))),QQ79/(1-MAX(0,CQ79)*H_Exit)))</f>
        <v>0</v>
      </c>
      <c r="UE79" s="20" t="n">
        <f aca="false">IF(ALR78&lt;=0,0,IF(H_Direct=1,IF(CR79&lt;=0,QR79,IF(QR79&lt;=(XQ79+ABD79)/CR79,QR79,(QR79-G79*(XQ79+ABD79))/(1-G79*CR79))),QR79/(1-MAX(0,CR79)*H_Exit)))</f>
        <v>0</v>
      </c>
      <c r="UF79" s="20" t="n">
        <f aca="false">IF(ALS78&lt;=0,0,IF(H_Direct=1,IF(CS79&lt;=0,QS79,IF(QS79&lt;=(XR79+ABE79)/CS79,QS79,(QS79-G79*(XR79+ABE79))/(1-G79*CS79))),QS79/(1-MAX(0,CS79)*H_Exit)))</f>
        <v>0</v>
      </c>
      <c r="UG79" s="20" t="n">
        <f aca="false">IF(ALT78&lt;=0,0,IF(H_Direct=1,IF(CT79&lt;=0,QT79,IF(QT79&lt;=(XS79+ABF79)/CT79,QT79,(QT79-G79*(XS79+ABF79))/(1-G79*CT79))),QT79/(1-MAX(0,CT79)*H_Exit)))</f>
        <v>0</v>
      </c>
      <c r="UH79" s="20" t="n">
        <f aca="false">IF(ALU78&lt;=0,0,IF(H_Direct=1,IF(CU79&lt;=0,QU79,IF(QU79&lt;=(XT79+ABG79)/CU79,QU79,(QU79-G79*(XT79+ABG79))/(1-G79*CU79))),QU79/(1-MAX(0,CU79)*H_Exit)))</f>
        <v>0</v>
      </c>
      <c r="UI79" s="20" t="n">
        <f aca="false">IF(ALV78&lt;=0,0,IF(H_Direct=1,IF(CV79&lt;=0,QV79,IF(QV79&lt;=(XU79+ABH79)/CV79,QV79,(QV79-G79*(XU79+ABH79))/(1-G79*CV79))),QV79/(1-MAX(0,CV79)*H_Exit)))</f>
        <v>0</v>
      </c>
      <c r="UJ79" s="20" t="n">
        <f aca="false">IF(ALW78&lt;=0,0,IF(H_Direct=1,IF(CW79&lt;=0,QW79,IF(QW79&lt;=(XV79+ABI79)/CW79,QW79,(QW79-G79*(XV79+ABI79))/(1-G79*CW79))),QW79/(1-MAX(0,CW79)*H_Exit)))</f>
        <v>0</v>
      </c>
      <c r="UK79" s="20" t="n">
        <f aca="false">IF(ALX78&lt;=0,0,IF(H_Direct=1,IF(CX79&lt;=0,QX79,IF(QX79&lt;=(XW79+ABJ79)/CX79,QX79,(QX79-G79*(XW79+ABJ79))/(1-G79*CX79))),QX79/(1-MAX(0,CX79)*H_Exit)))</f>
        <v>0</v>
      </c>
      <c r="UL79" s="20" t="n">
        <f aca="false">IF(ALY78&lt;=0,0,IF(H_Direct=1,IF(CY79&lt;=0,QY79,IF(QY79&lt;=(XX79+ABK79)/CY79,QY79,(QY79-G79*(XX79+ABK79))/(1-G79*CY79))),QY79/(1-MAX(0,CY79)*H_Exit)))</f>
        <v>0</v>
      </c>
      <c r="UM79" s="20" t="n">
        <f aca="false">IF(ALZ78&lt;=0,0,IF(H_Direct=1,IF(CZ79&lt;=0,QZ79,IF(QZ79&lt;=(XY79+ABL79)/CZ79,QZ79,(QZ79-G79*(XY79+ABL79))/(1-G79*CZ79))),QZ79/(1-MAX(0,CZ79)*H_Exit)))</f>
        <v>0</v>
      </c>
      <c r="UN79" s="20" t="n">
        <f aca="false">IF(AMA78&lt;=0,0,IF(H_Direct=1,IF(DA79&lt;=0,RA79,IF(RA79&lt;=(XZ79+ABM79)/DA79,RA79,(RA79-G79*(XZ79+ABM79))/(1-G79*DA79))),RA79/(1-MAX(0,DA79)*H_Exit)))</f>
        <v>0</v>
      </c>
      <c r="UO79" s="20" t="n">
        <f aca="false">IF(AMB78&lt;=0,0,IF(H_Direct=1,IF(DB79&lt;=0,RB79,IF(RB79&lt;=(YA79+ABN79)/DB79,RB79,(RB79-G79*(YA79+ABN79))/(1-G79*DB79))),RB79/(1-MAX(0,DB79)*H_Exit)))</f>
        <v>0</v>
      </c>
      <c r="UP79" s="20" t="n">
        <f aca="false">IF(AMC78&lt;=0,0,IF(H_Direct=1,IF(DC79&lt;=0,RC79,IF(RC79&lt;=(YB79+ABO79)/DC79,RC79,(RC79-G79*(YB79+ABO79))/(1-G79*DC79))),RC79/(1-MAX(0,DC79)*H_Exit)))</f>
        <v>0</v>
      </c>
      <c r="UQ79" s="20" t="n">
        <f aca="false">IF(AMD78&lt;=0,0,IF(H_Direct=1,IF(DD79&lt;=0,RD79,IF(RD79&lt;=(YC79+ABP79)/DD79,RD79,(RD79-G79*(YC79+ABP79))/(1-G79*DD79))),RD79/(1-MAX(0,DD79)*H_Exit)))</f>
        <v>0</v>
      </c>
      <c r="UR79" s="20" t="n">
        <f aca="false">IF(AME78&lt;=0,0,IF(H_Direct=1,IF(DE79&lt;=0,RE79,IF(RE79&lt;=(YD79+ABQ79)/DE79,RE79,(RE79-G79*(YD79+ABQ79))/(1-G79*DE79))),RE79/(1-MAX(0,DE79)*H_Exit)))</f>
        <v>0</v>
      </c>
      <c r="US79" s="20" t="n">
        <f aca="false">IF(AMF78&lt;=0,0,IF(H_Direct=1,IF(DF79&lt;=0,RF79,IF(RF79&lt;=(YE79+ABR79)/DF79,RF79,(RF79-G79*(YE79+ABR79))/(1-G79*DF79))),RF79/(1-MAX(0,DF79)*H_Exit)))</f>
        <v>0</v>
      </c>
      <c r="UT79" s="20" t="n">
        <f aca="false">IF(AMG78&lt;=0,0,IF(H_Direct=1,IF(DG79&lt;=0,RG79,IF(RG79&lt;=(YF79+ABS79)/DG79,RG79,(RG79-G79*(YF79+ABS79))/(1-G79*DG79))),RG79/(1-MAX(0,DG79)*H_Exit)))</f>
        <v>0</v>
      </c>
      <c r="UU79" s="20" t="n">
        <f aca="false">IF(AMH78&lt;=0,0,IF(H_Direct=1,IF(DH79&lt;=0,RH79,IF(RH79&lt;=(YG79+ABT79)/DH79,RH79,(RH79-G79*(YG79+ABT79))/(1-G79*DH79))),RH79/(1-MAX(0,DH79)*H_Exit)))</f>
        <v>0</v>
      </c>
      <c r="UV79" s="20" t="n">
        <f aca="false">IF(AMI78&lt;=0,0,IF(H_Direct=1,IF(DI79&lt;=0,RI79,IF(RI79&lt;=(YH79+ABU79)/DI79,RI79,(RI79-G79*(YH79+ABU79))/(1-G79*DI79))),RI79/(1-MAX(0,DI79)*H_Exit)))</f>
        <v>0</v>
      </c>
      <c r="UW79" s="20" t="n">
        <f aca="false">IF(AMJ78&lt;=0,0,IF(H_Direct=1,IF(DJ79&lt;=0,RJ79,IF(RJ79&lt;=(YI79+ABV79)/DJ79,RJ79,(RJ79-G79*(YI79+ABV79))/(1-G79*DJ79))),RJ79/(1-MAX(0,DJ79)*H_Exit)))</f>
        <v>0</v>
      </c>
      <c r="UX79" s="20" t="n">
        <f aca="false">IF(AMK78&lt;=0,0,IF(H_Direct=1,IF(DK79&lt;=0,RK79,IF(RK79&lt;=(YJ79+ABW79)/DK79,RK79,(RK79-G79*(YJ79+ABW79))/(1-G79*DK79))),RK79/(1-MAX(0,DK79)*H_Exit)))</f>
        <v>0</v>
      </c>
      <c r="UY79" s="20" t="n">
        <f aca="false">IF(AML78&lt;=0,0,IF(H_Direct=1,IF(DL79&lt;=0,RL79,IF(RL79&lt;=(YK79+ABX79)/DL79,RL79,(RL79-G79*(YK79+ABX79))/(1-G79*DL79))),RL79/(1-MAX(0,DL79)*H_Exit)))</f>
        <v>0</v>
      </c>
      <c r="UZ79" s="20" t="n">
        <f aca="false">IF(AMM78&lt;=0,0,IF(H_Direct=1,IF(DM79&lt;=0,RM79,IF(RM79&lt;=(YL79+ABY79)/DM79,RM79,(RM79-G79*(YL79+ABY79))/(1-G79*DM79))),RM79/(1-MAX(0,DM79)*H_Exit)))</f>
        <v>0</v>
      </c>
      <c r="VA79" s="20" t="n">
        <f aca="false">IF(AMN78&lt;=0,0,IF(H_Direct=1,IF(DN79&lt;=0,RN79,IF(RN79&lt;=(YM79+ABZ79)/DN79,RN79,(RN79-G79*(YM79+ABZ79))/(1-G79*DN79))),RN79/(1-MAX(0,DN79)*H_Exit)))</f>
        <v>0</v>
      </c>
      <c r="VB79" s="20" t="n">
        <f aca="false">IF(AMO78&lt;=0,0,IF(H_Direct=1,IF(DO79&lt;=0,RO79,IF(RO79&lt;=(YN79+ACA79)/DO79,RO79,(RO79-G79*(YN79+ACA79))/(1-G79*DO79))),RO79/(1-MAX(0,DO79)*H_Exit)))</f>
        <v>0</v>
      </c>
      <c r="VC79" s="20" t="n">
        <f aca="false">IF(AMP78&lt;=0,0,IF(H_Direct=1,IF(DP79&lt;=0,RP79,IF(RP79&lt;=(YO79+ACB79)/DP79,RP79,(RP79-G79*(YO79+ACB79))/(1-G79*DP79))),RP79/(1-MAX(0,DP79)*H_Exit)))</f>
        <v>0</v>
      </c>
      <c r="VD79" s="20" t="n">
        <f aca="false">IF(AMQ78&lt;=0,0,IF(H_Direct=1,IF(DQ79&lt;=0,RQ79,IF(RQ79&lt;=(YP79+ACC79)/DQ79,RQ79,(RQ79-G79*(YP79+ACC79))/(1-G79*DQ79))),RQ79/(1-MAX(0,DQ79)*H_Exit)))</f>
        <v>0</v>
      </c>
      <c r="VE79" s="20" t="n">
        <f aca="false">IF(AMR78&lt;=0,0,IF(H_Direct=1,IF(DR79&lt;=0,RR79,IF(RR79&lt;=(YQ79+ACD79)/DR79,RR79,(RR79-G79*(YQ79+ACD79))/(1-G79*DR79))),RR79/(1-MAX(0,DR79)*H_Exit)))</f>
        <v>0</v>
      </c>
      <c r="VF79" s="20" t="n">
        <f aca="false">IF(AMS78&lt;=0,0,IF(H_Direct=1,IF(DS79&lt;=0,RS79,IF(RS79&lt;=(YR79+ACE79)/DS79,RS79,(RS79-G79*(YR79+ACE79))/(1-G79*DS79))),RS79/(1-MAX(0,DS79)*H_Exit)))</f>
        <v>0</v>
      </c>
      <c r="VG79" s="20" t="n">
        <f aca="false">IF(AMT78&lt;=0,0,IF(H_Direct=1,IF(DT79&lt;=0,RT79,IF(RT79&lt;=(YS79+ACF79)/DT79,RT79,(RT79-G79*(YS79+ACF79))/(1-G79*DT79))),RT79/(1-MAX(0,DT79)*H_Exit)))</f>
        <v>0</v>
      </c>
      <c r="VH79" s="20" t="n">
        <f aca="false">IF(AMU78&lt;=0,0,IF(H_Direct=1,IF(DU79&lt;=0,RU79,IF(RU79&lt;=(YT79+ACG79)/DU79,RU79,(RU79-G79*(YT79+ACG79))/(1-G79*DU79))),RU79/(1-MAX(0,DU79)*H_Exit)))</f>
        <v>0</v>
      </c>
      <c r="VI79" s="20" t="n">
        <f aca="false">IF(AMV78&lt;=0,0,IF(H_Direct=1,IF(DV79&lt;=0,RV79,IF(RV79&lt;=(YU79+ACH79)/DV79,RV79,(RV79-G79*(YU79+ACH79))/(1-G79*DV79))),RV79/(1-MAX(0,DV79)*H_Exit)))</f>
        <v>0</v>
      </c>
      <c r="VJ79" s="20" t="n">
        <f aca="false">IF(AMW78&lt;=0,0,IF(H_Direct=1,IF(DW79&lt;=0,RW79,IF(RW79&lt;=(YV79+ACI79)/DW79,RW79,(RW79-G79*(YV79+ACI79))/(1-G79*DW79))),RW79/(1-MAX(0,DW79)*H_Exit)))</f>
        <v>0</v>
      </c>
      <c r="VK79" s="20" t="n">
        <f aca="false">IF(AMX78&lt;=0,0,IF(H_Direct=1,IF(DX79&lt;=0,RX79,IF(RX79&lt;=(YW79+ACJ79)/DX79,RX79,(RX79-G79*(YW79+ACJ79))/(1-G79*DX79))),RX79/(1-MAX(0,DX79)*H_Exit)))</f>
        <v>0</v>
      </c>
      <c r="VL79" s="20" t="n">
        <f aca="false">IF(AMY78&lt;=0,0,IF(H_Direct=1,IF(DY79&lt;=0,RY79,IF(RY79&lt;=(YX79+ACK79)/DY79,RY79,(RY79-G79*(YX79+ACK79))/(1-G79*DY79))),RY79/(1-MAX(0,DY79)*H_Exit)))</f>
        <v>0</v>
      </c>
      <c r="VM79" s="20" t="n">
        <f aca="false">IF(AMZ78&lt;=0,0,IF(H_Direct=1,IF(DZ79&lt;=0,RZ79,IF(RZ79&lt;=(YY79+ACL79)/DZ79,RZ79,(RZ79-G79*(YY79+ACL79))/(1-G79*DZ79))),RZ79/(1-MAX(0,DZ79)*H_Exit)))</f>
        <v>0</v>
      </c>
      <c r="VN79" s="20" t="n">
        <f aca="false">IF(ANA78&lt;=0,0,IF(H_Direct=1,IF(EA79&lt;=0,SA79,IF(SA79&lt;=(YZ79+ACM79)/EA79,SA79,(SA79-G79*(YZ79+ACM79))/(1-G79*EA79))),SA79/(1-MAX(0,EA79)*H_Exit)))</f>
        <v>0</v>
      </c>
      <c r="VO79" s="20" t="n">
        <f aca="false">IF(ANB78&lt;=0,0,IF(H_Direct=1,IF(EB79&lt;=0,SB79,IF(SB79&lt;=(ZA79+ACN79)/EB79,SB79,(SB79-G79*(ZA79+ACN79))/(1-G79*EB79))),SB79/(1-MAX(0,EB79)*H_Exit)))</f>
        <v>0</v>
      </c>
      <c r="VP79" s="20" t="n">
        <f aca="false">IF(ANC78&lt;=0,0,IF(H_Direct=1,IF(EC79&lt;=0,SC79,IF(SC79&lt;=(ZB79+ACO79)/EC79,SC79,(SC79-G79*(ZB79+ACO79))/(1-G79*EC79))),SC79/(1-MAX(0,EC79)*H_Exit)))</f>
        <v>0</v>
      </c>
      <c r="VQ79" s="20" t="n">
        <f aca="false">IF(AND78&lt;=0,0,IF(H_Direct=1,IF(ED79&lt;=0,SD79,IF(SD79&lt;=(ZC79+ACP79)/ED79,SD79,(SD79-G79*(ZC79+ACP79))/(1-G79*ED79))),SD79/(1-MAX(0,ED79)*H_Exit)))</f>
        <v>0</v>
      </c>
      <c r="VR79" s="20" t="n">
        <f aca="false">IF(ANE78&lt;=0,0,IF(H_Direct=1,IF(EE79&lt;=0,SE79,IF(SE79&lt;=(ZD79+ACQ79)/EE79,SE79,(SE79-G79*(ZD79+ACQ79))/(1-G79*EE79))),SE79/(1-MAX(0,EE79)*H_Exit)))</f>
        <v>0</v>
      </c>
      <c r="VS79" s="20" t="n">
        <f aca="false">IF(ANF78&lt;=0,0,IF(H_Direct=1,IF(EF79&lt;=0,SF79,IF(SF79&lt;=(ZE79+ACR79)/EF79,SF79,(SF79-G79*(ZE79+ACR79))/(1-G79*EF79))),SF79/(1-MAX(0,EF79)*H_Exit)))</f>
        <v>0</v>
      </c>
      <c r="VT79" s="20" t="n">
        <f aca="false">IF(ANG78&lt;=0,0,IF(H_Direct=1,IF(EG79&lt;=0,SG79,IF(SG79&lt;=(ZF79+ACS79)/EG79,SG79,(SG79-G79*(ZF79+ACS79))/(1-G79*EG79))),SG79/(1-MAX(0,EG79)*H_Exit)))</f>
        <v>0</v>
      </c>
      <c r="VU79" s="20" t="n">
        <f aca="false">IF(ANH78&lt;=0,0,IF(H_Direct=1,IF(EH79&lt;=0,SH79,IF(SH79&lt;=(ZG79+ACT79)/EH79,SH79,(SH79-G79*(ZG79+ACT79))/(1-G79*EH79))),SH79/(1-MAX(0,EH79)*H_Exit)))</f>
        <v>0</v>
      </c>
      <c r="VV79" s="20" t="n">
        <f aca="false">IF(ANI78&lt;=0,0,IF(H_Direct=1,IF(EI79&lt;=0,SI79,IF(SI79&lt;=(ZH79+ACU79)/EI79,SI79,(SI79-G79*(ZH79+ACU79))/(1-G79*EI79))),SI79/(1-MAX(0,EI79)*H_Exit)))</f>
        <v>0</v>
      </c>
      <c r="VW79" s="20" t="n">
        <f aca="false">IF(ANJ78&lt;=0,0,IF(H_Direct=1,IF(EJ79&lt;=0,SJ79,IF(SJ79&lt;=(ZI79+ACV79)/EJ79,SJ79,(SJ79-G79*(ZI79+ACV79))/(1-G79*EJ79))),SJ79/(1-MAX(0,EJ79)*H_Exit)))</f>
        <v>0</v>
      </c>
      <c r="VX79" s="20" t="n">
        <f aca="false">IF(ANK78&lt;=0,0,IF(H_Direct=1,IF(EK79&lt;=0,SK79,IF(SK79&lt;=(ZJ79+ACW79)/EK79,SK79,(SK79-G79*(ZJ79+ACW79))/(1-G79*EK79))),SK79/(1-MAX(0,EK79)*H_Exit)))</f>
        <v>0</v>
      </c>
      <c r="VY79" s="20" t="n">
        <f aca="false">IF((P79+S79)&lt;=0,0,IF(H_Direct=1,IF(EL79&lt;=0,SL79,IF(SL79&lt;=(ZK79+ACX79)/EL79,SL79,(SL79-G79*(ZK79+ACX79))/(1-G79*EL79))),SL79/(1-MAX(0,EL79)*H_Exit)))</f>
        <v>0</v>
      </c>
      <c r="VZ79" s="20" t="n">
        <v>0</v>
      </c>
      <c r="WA79" s="20" t="n">
        <v>0</v>
      </c>
      <c r="WB79" s="20" t="n">
        <v>0</v>
      </c>
      <c r="WC79" s="20" t="n">
        <v>0</v>
      </c>
      <c r="WD79" s="20" t="n">
        <v>0</v>
      </c>
      <c r="WE79" s="20" t="n">
        <v>0</v>
      </c>
      <c r="WF79" s="20" t="n">
        <v>0</v>
      </c>
      <c r="WG79" s="20" t="n">
        <v>0</v>
      </c>
      <c r="WH79" s="20" t="n">
        <v>0</v>
      </c>
      <c r="WI79" s="20" t="n">
        <v>0</v>
      </c>
      <c r="WJ79" s="20" t="n">
        <v>0</v>
      </c>
      <c r="WK79" s="20" t="n">
        <v>0</v>
      </c>
      <c r="WL79" s="20" t="n">
        <v>0</v>
      </c>
      <c r="WM79" s="20" t="n">
        <v>0</v>
      </c>
      <c r="WN79" s="20" t="n">
        <v>0</v>
      </c>
      <c r="WO79" s="20" t="n">
        <v>0</v>
      </c>
      <c r="WP79" s="20" t="n">
        <v>0</v>
      </c>
      <c r="WQ79" s="20" t="n">
        <v>0</v>
      </c>
      <c r="WR79" s="20" t="n">
        <f aca="false">IF(AND(H_Direct=1,BR79&gt;0),MAX(0,H79-(MIN(BR79*TE79,(H79+I79))-MIN(MIN(BR79*TE79,(H79+I79)),I79))),H79)</f>
        <v>1270</v>
      </c>
      <c r="WS79" s="20" t="n">
        <f aca="false">IF(AND(H_Direct=1,BS79&gt;0),MAX(0,WR79-(MIN(BS79*TF79,(WR79+AAE79))-MIN(MIN(BS79*TF79,(WR79+AAE79)),AAE79))),WR79)</f>
        <v>1270</v>
      </c>
      <c r="WT79" s="20" t="n">
        <f aca="false">IF(AND(H_Direct=1,BT79&gt;0),MAX(0,WS79-(MIN(BT79*TG79,(WS79+AAF79))-MIN(MIN(BT79*TG79,(WS79+AAF79)),AAF79))),WS79)</f>
        <v>1270</v>
      </c>
      <c r="WU79" s="20" t="n">
        <f aca="false">IF(AND(H_Direct=1,BU79&gt;0),MAX(0,WT79-(MIN(BU79*TH79,(WT79+AAG79))-MIN(MIN(BU79*TH79,(WT79+AAG79)),AAG79))),WT79)</f>
        <v>1270</v>
      </c>
      <c r="WV79" s="20" t="n">
        <f aca="false">IF(AND(H_Direct=1,BV79&gt;0),MAX(0,WU79-(MIN(BV79*TI79,(WU79+AAH79))-MIN(MIN(BV79*TI79,(WU79+AAH79)),AAH79))),WU79)</f>
        <v>1270</v>
      </c>
      <c r="WW79" s="20" t="n">
        <f aca="false">IF(AND(H_Direct=1,BW79&gt;0),MAX(0,WV79-(MIN(BW79*TJ79,(WV79+AAI79))-MIN(MIN(BW79*TJ79,(WV79+AAI79)),AAI79))),WV79)</f>
        <v>1270</v>
      </c>
      <c r="WX79" s="20" t="n">
        <f aca="false">IF(AND(H_Direct=1,BX79&gt;0),MAX(0,WW79-(MIN(BX79*TK79,(WW79+AAJ79))-MIN(MIN(BX79*TK79,(WW79+AAJ79)),AAJ79))),WW79)</f>
        <v>1270</v>
      </c>
      <c r="WY79" s="20" t="n">
        <f aca="false">IF(AND(H_Direct=1,BY79&gt;0),MAX(0,WX79-(MIN(BY79*TL79,(WX79+AAK79))-MIN(MIN(BY79*TL79,(WX79+AAK79)),AAK79))),WX79)</f>
        <v>1270</v>
      </c>
      <c r="WZ79" s="20" t="n">
        <f aca="false">IF(AND(H_Direct=1,BZ79&gt;0),MAX(0,WY79-(MIN(BZ79*TM79,(WY79+AAL79))-MIN(MIN(BZ79*TM79,(WY79+AAL79)),AAL79))),WY79)</f>
        <v>1270</v>
      </c>
      <c r="XA79" s="20" t="n">
        <f aca="false">IF(AND(H_Direct=1,CA79&gt;0),MAX(0,WZ79-(MIN(CA79*TN79,(WZ79+AAM79))-MIN(MIN(CA79*TN79,(WZ79+AAM79)),AAM79))),WZ79)</f>
        <v>1270</v>
      </c>
      <c r="XB79" s="20" t="n">
        <f aca="false">IF(AND(H_Direct=1,CB79&gt;0),MAX(0,XA79-(MIN(CB79*TO79,(XA79+AAN79))-MIN(MIN(CB79*TO79,(XA79+AAN79)),AAN79))),XA79)</f>
        <v>1270</v>
      </c>
      <c r="XC79" s="20" t="n">
        <f aca="false">IF(AND(H_Direct=1,CC79&gt;0),MAX(0,XB79-(MIN(CC79*TP79,(XB79+AAO79))-MIN(MIN(CC79*TP79,(XB79+AAO79)),AAO79))),XB79)</f>
        <v>1270</v>
      </c>
      <c r="XD79" s="20" t="n">
        <f aca="false">IF(AND(H_Direct=1,CD79&gt;0),MAX(0,XC79-(MIN(CD79*TQ79,(XC79+AAP79))-MIN(MIN(CD79*TQ79,(XC79+AAP79)),AAP79))),XC79)</f>
        <v>1270</v>
      </c>
      <c r="XE79" s="20" t="n">
        <f aca="false">IF(AND(H_Direct=1,CE79&gt;0),MAX(0,XD79-(MIN(CE79*TR79,(XD79+AAQ79))-MIN(MIN(CE79*TR79,(XD79+AAQ79)),AAQ79))),XD79)</f>
        <v>1270</v>
      </c>
      <c r="XF79" s="20" t="n">
        <f aca="false">IF(AND(H_Direct=1,CF79&gt;0),MAX(0,XE79-(MIN(CF79*TS79,(XE79+AAR79))-MIN(MIN(CF79*TS79,(XE79+AAR79)),AAR79))),XE79)</f>
        <v>1270</v>
      </c>
      <c r="XG79" s="20" t="n">
        <f aca="false">IF(AND(H_Direct=1,CG79&gt;0),MAX(0,XF79-(MIN(CG79*TT79,(XF79+AAS79))-MIN(MIN(CG79*TT79,(XF79+AAS79)),AAS79))),XF79)</f>
        <v>1270</v>
      </c>
      <c r="XH79" s="20" t="n">
        <f aca="false">IF(AND(H_Direct=1,CH79&gt;0),MAX(0,XG79-(MIN(CH79*TU79,(XG79+AAT79))-MIN(MIN(CH79*TU79,(XG79+AAT79)),AAT79))),XG79)</f>
        <v>1270</v>
      </c>
      <c r="XI79" s="20" t="n">
        <f aca="false">IF(AND(H_Direct=1,CI79&gt;0),MAX(0,XH79-(MIN(CI79*TV79,(XH79+AAU79))-MIN(MIN(CI79*TV79,(XH79+AAU79)),AAU79))),XH79)</f>
        <v>1270</v>
      </c>
      <c r="XJ79" s="20" t="n">
        <f aca="false">IF(AND(H_Direct=1,CJ79&gt;0),MAX(0,XI79-(MIN(CJ79*TW79,(XI79+AAV79))-MIN(MIN(CJ79*TW79,(XI79+AAV79)),AAV79))),XI79)</f>
        <v>1270</v>
      </c>
      <c r="XK79" s="20" t="n">
        <f aca="false">IF(AND(H_Direct=1,CK79&gt;0),MAX(0,XJ79-(MIN(CK79*TX79,(XJ79+AAW79))-MIN(MIN(CK79*TX79,(XJ79+AAW79)),AAW79))),XJ79)</f>
        <v>1270</v>
      </c>
      <c r="XL79" s="20" t="n">
        <f aca="false">IF(AND(H_Direct=1,CL79&gt;0),MAX(0,XK79-(MIN(CL79*TY79,(XK79+AAX79))-MIN(MIN(CL79*TY79,(XK79+AAX79)),AAX79))),XK79)</f>
        <v>1270</v>
      </c>
      <c r="XM79" s="20" t="n">
        <f aca="false">IF(AND(H_Direct=1,CM79&gt;0),MAX(0,XL79-(MIN(CM79*TZ79,(XL79+AAY79))-MIN(MIN(CM79*TZ79,(XL79+AAY79)),AAY79))),XL79)</f>
        <v>1270</v>
      </c>
      <c r="XN79" s="20" t="n">
        <f aca="false">IF(AND(H_Direct=1,CN79&gt;0),MAX(0,XM79-(MIN(CN79*UA79,(XM79+AAZ79))-MIN(MIN(CN79*UA79,(XM79+AAZ79)),AAZ79))),XM79)</f>
        <v>1270</v>
      </c>
      <c r="XO79" s="20" t="n">
        <f aca="false">IF(AND(H_Direct=1,CO79&gt;0),MAX(0,XN79-(MIN(CO79*UB79,(XN79+ABA79))-MIN(MIN(CO79*UB79,(XN79+ABA79)),ABA79))),XN79)</f>
        <v>1270</v>
      </c>
      <c r="XP79" s="20" t="n">
        <f aca="false">IF(AND(H_Direct=1,CP79&gt;0),MAX(0,XO79-(MIN(CP79*UC79,(XO79+ABB79))-MIN(MIN(CP79*UC79,(XO79+ABB79)),ABB79))),XO79)</f>
        <v>1270</v>
      </c>
      <c r="XQ79" s="20" t="n">
        <f aca="false">IF(AND(H_Direct=1,CQ79&gt;0),MAX(0,XP79-(MIN(CQ79*UD79,(XP79+ABC79))-MIN(MIN(CQ79*UD79,(XP79+ABC79)),ABC79))),XP79)</f>
        <v>1270</v>
      </c>
      <c r="XR79" s="20" t="n">
        <f aca="false">IF(AND(H_Direct=1,CR79&gt;0),MAX(0,XQ79-(MIN(CR79*UE79,(XQ79+ABD79))-MIN(MIN(CR79*UE79,(XQ79+ABD79)),ABD79))),XQ79)</f>
        <v>1270</v>
      </c>
      <c r="XS79" s="20" t="n">
        <f aca="false">IF(AND(H_Direct=1,CS79&gt;0),MAX(0,XR79-(MIN(CS79*UF79,(XR79+ABE79))-MIN(MIN(CS79*UF79,(XR79+ABE79)),ABE79))),XR79)</f>
        <v>1270</v>
      </c>
      <c r="XT79" s="20" t="n">
        <f aca="false">IF(AND(H_Direct=1,CT79&gt;0),MAX(0,XS79-(MIN(CT79*UG79,(XS79+ABF79))-MIN(MIN(CT79*UG79,(XS79+ABF79)),ABF79))),XS79)</f>
        <v>1270</v>
      </c>
      <c r="XU79" s="20" t="n">
        <f aca="false">IF(AND(H_Direct=1,CU79&gt;0),MAX(0,XT79-(MIN(CU79*UH79,(XT79+ABG79))-MIN(MIN(CU79*UH79,(XT79+ABG79)),ABG79))),XT79)</f>
        <v>1270</v>
      </c>
      <c r="XV79" s="20" t="n">
        <f aca="false">IF(AND(H_Direct=1,CV79&gt;0),MAX(0,XU79-(MIN(CV79*UI79,(XU79+ABH79))-MIN(MIN(CV79*UI79,(XU79+ABH79)),ABH79))),XU79)</f>
        <v>1270</v>
      </c>
      <c r="XW79" s="20" t="n">
        <f aca="false">IF(AND(H_Direct=1,CW79&gt;0),MAX(0,XV79-(MIN(CW79*UJ79,(XV79+ABI79))-MIN(MIN(CW79*UJ79,(XV79+ABI79)),ABI79))),XV79)</f>
        <v>1270</v>
      </c>
      <c r="XX79" s="20" t="n">
        <f aca="false">IF(AND(H_Direct=1,CX79&gt;0),MAX(0,XW79-(MIN(CX79*UK79,(XW79+ABJ79))-MIN(MIN(CX79*UK79,(XW79+ABJ79)),ABJ79))),XW79)</f>
        <v>1270</v>
      </c>
      <c r="XY79" s="20" t="n">
        <f aca="false">IF(AND(H_Direct=1,CY79&gt;0),MAX(0,XX79-(MIN(CY79*UL79,(XX79+ABK79))-MIN(MIN(CY79*UL79,(XX79+ABK79)),ABK79))),XX79)</f>
        <v>1270</v>
      </c>
      <c r="XZ79" s="20" t="n">
        <f aca="false">IF(AND(H_Direct=1,CZ79&gt;0),MAX(0,XY79-(MIN(CZ79*UM79,(XY79+ABL79))-MIN(MIN(CZ79*UM79,(XY79+ABL79)),ABL79))),XY79)</f>
        <v>1270</v>
      </c>
      <c r="YA79" s="20" t="n">
        <f aca="false">IF(AND(H_Direct=1,DA79&gt;0),MAX(0,XZ79-(MIN(DA79*UN79,(XZ79+ABM79))-MIN(MIN(DA79*UN79,(XZ79+ABM79)),ABM79))),XZ79)</f>
        <v>1270</v>
      </c>
      <c r="YB79" s="20" t="n">
        <f aca="false">IF(AND(H_Direct=1,DB79&gt;0),MAX(0,YA79-(MIN(DB79*UO79,(YA79+ABN79))-MIN(MIN(DB79*UO79,(YA79+ABN79)),ABN79))),YA79)</f>
        <v>1270</v>
      </c>
      <c r="YC79" s="20" t="n">
        <f aca="false">IF(AND(H_Direct=1,DC79&gt;0),MAX(0,YB79-(MIN(DC79*UP79,(YB79+ABO79))-MIN(MIN(DC79*UP79,(YB79+ABO79)),ABO79))),YB79)</f>
        <v>1270</v>
      </c>
      <c r="YD79" s="20" t="n">
        <f aca="false">IF(AND(H_Direct=1,DD79&gt;0),MAX(0,YC79-(MIN(DD79*UQ79,(YC79+ABP79))-MIN(MIN(DD79*UQ79,(YC79+ABP79)),ABP79))),YC79)</f>
        <v>1270</v>
      </c>
      <c r="YE79" s="20" t="n">
        <f aca="false">IF(AND(H_Direct=1,DE79&gt;0),MAX(0,YD79-(MIN(DE79*UR79,(YD79+ABQ79))-MIN(MIN(DE79*UR79,(YD79+ABQ79)),ABQ79))),YD79)</f>
        <v>1270</v>
      </c>
      <c r="YF79" s="20" t="n">
        <f aca="false">IF(AND(H_Direct=1,DF79&gt;0),MAX(0,YE79-(MIN(DF79*US79,(YE79+ABR79))-MIN(MIN(DF79*US79,(YE79+ABR79)),ABR79))),YE79)</f>
        <v>1270</v>
      </c>
      <c r="YG79" s="20" t="n">
        <f aca="false">IF(AND(H_Direct=1,DG79&gt;0),MAX(0,YF79-(MIN(DG79*UT79,(YF79+ABS79))-MIN(MIN(DG79*UT79,(YF79+ABS79)),ABS79))),YF79)</f>
        <v>1270</v>
      </c>
      <c r="YH79" s="20" t="n">
        <f aca="false">IF(AND(H_Direct=1,DH79&gt;0),MAX(0,YG79-(MIN(DH79*UU79,(YG79+ABT79))-MIN(MIN(DH79*UU79,(YG79+ABT79)),ABT79))),YG79)</f>
        <v>1270</v>
      </c>
      <c r="YI79" s="20" t="n">
        <f aca="false">IF(AND(H_Direct=1,DI79&gt;0),MAX(0,YH79-(MIN(DI79*UV79,(YH79+ABU79))-MIN(MIN(DI79*UV79,(YH79+ABU79)),ABU79))),YH79)</f>
        <v>1270</v>
      </c>
      <c r="YJ79" s="20" t="n">
        <f aca="false">IF(AND(H_Direct=1,DJ79&gt;0),MAX(0,YI79-(MIN(DJ79*UW79,(YI79+ABV79))-MIN(MIN(DJ79*UW79,(YI79+ABV79)),ABV79))),YI79)</f>
        <v>1270</v>
      </c>
      <c r="YK79" s="20" t="n">
        <f aca="false">IF(AND(H_Direct=1,DK79&gt;0),MAX(0,YJ79-(MIN(DK79*UX79,(YJ79+ABW79))-MIN(MIN(DK79*UX79,(YJ79+ABW79)),ABW79))),YJ79)</f>
        <v>1270</v>
      </c>
      <c r="YL79" s="20" t="n">
        <f aca="false">IF(AND(H_Direct=1,DL79&gt;0),MAX(0,YK79-(MIN(DL79*UY79,(YK79+ABX79))-MIN(MIN(DL79*UY79,(YK79+ABX79)),ABX79))),YK79)</f>
        <v>1270</v>
      </c>
      <c r="YM79" s="20" t="n">
        <f aca="false">IF(AND(H_Direct=1,DM79&gt;0),MAX(0,YL79-(MIN(DM79*UZ79,(YL79+ABY79))-MIN(MIN(DM79*UZ79,(YL79+ABY79)),ABY79))),YL79)</f>
        <v>1270</v>
      </c>
      <c r="YN79" s="20" t="n">
        <f aca="false">IF(AND(H_Direct=1,DN79&gt;0),MAX(0,YM79-(MIN(DN79*VA79,(YM79+ABZ79))-MIN(MIN(DN79*VA79,(YM79+ABZ79)),ABZ79))),YM79)</f>
        <v>1270</v>
      </c>
      <c r="YO79" s="20" t="n">
        <f aca="false">IF(AND(H_Direct=1,DO79&gt;0),MAX(0,YN79-(MIN(DO79*VB79,(YN79+ACA79))-MIN(MIN(DO79*VB79,(YN79+ACA79)),ACA79))),YN79)</f>
        <v>1270</v>
      </c>
      <c r="YP79" s="20" t="n">
        <f aca="false">IF(AND(H_Direct=1,DP79&gt;0),MAX(0,YO79-(MIN(DP79*VC79,(YO79+ACB79))-MIN(MIN(DP79*VC79,(YO79+ACB79)),ACB79))),YO79)</f>
        <v>1270</v>
      </c>
      <c r="YQ79" s="20" t="n">
        <f aca="false">IF(AND(H_Direct=1,DQ79&gt;0),MAX(0,YP79-(MIN(DQ79*VD79,(YP79+ACC79))-MIN(MIN(DQ79*VD79,(YP79+ACC79)),ACC79))),YP79)</f>
        <v>1270</v>
      </c>
      <c r="YR79" s="20" t="n">
        <f aca="false">IF(AND(H_Direct=1,DR79&gt;0),MAX(0,YQ79-(MIN(DR79*VE79,(YQ79+ACD79))-MIN(MIN(DR79*VE79,(YQ79+ACD79)),ACD79))),YQ79)</f>
        <v>1270</v>
      </c>
      <c r="YS79" s="20" t="n">
        <f aca="false">IF(AND(H_Direct=1,DS79&gt;0),MAX(0,YR79-(MIN(DS79*VF79,(YR79+ACE79))-MIN(MIN(DS79*VF79,(YR79+ACE79)),ACE79))),YR79)</f>
        <v>1270</v>
      </c>
      <c r="YT79" s="20" t="n">
        <f aca="false">IF(AND(H_Direct=1,DT79&gt;0),MAX(0,YS79-(MIN(DT79*VG79,(YS79+ACF79))-MIN(MIN(DT79*VG79,(YS79+ACF79)),ACF79))),YS79)</f>
        <v>1270</v>
      </c>
      <c r="YU79" s="20" t="n">
        <f aca="false">IF(AND(H_Direct=1,DU79&gt;0),MAX(0,YT79-(MIN(DU79*VH79,(YT79+ACG79))-MIN(MIN(DU79*VH79,(YT79+ACG79)),ACG79))),YT79)</f>
        <v>1270</v>
      </c>
      <c r="YV79" s="20" t="n">
        <f aca="false">IF(AND(H_Direct=1,DV79&gt;0),MAX(0,YU79-(MIN(DV79*VI79,(YU79+ACH79))-MIN(MIN(DV79*VI79,(YU79+ACH79)),ACH79))),YU79)</f>
        <v>1270</v>
      </c>
      <c r="YW79" s="20" t="n">
        <f aca="false">IF(AND(H_Direct=1,DW79&gt;0),MAX(0,YV79-(MIN(DW79*VJ79,(YV79+ACI79))-MIN(MIN(DW79*VJ79,(YV79+ACI79)),ACI79))),YV79)</f>
        <v>1270</v>
      </c>
      <c r="YX79" s="20" t="n">
        <f aca="false">IF(AND(H_Direct=1,DX79&gt;0),MAX(0,YW79-(MIN(DX79*VK79,(YW79+ACJ79))-MIN(MIN(DX79*VK79,(YW79+ACJ79)),ACJ79))),YW79)</f>
        <v>1270</v>
      </c>
      <c r="YY79" s="20" t="n">
        <f aca="false">IF(AND(H_Direct=1,DY79&gt;0),MAX(0,YX79-(MIN(DY79*VL79,(YX79+ACK79))-MIN(MIN(DY79*VL79,(YX79+ACK79)),ACK79))),YX79)</f>
        <v>1270</v>
      </c>
      <c r="YZ79" s="20" t="n">
        <f aca="false">IF(AND(H_Direct=1,DZ79&gt;0),MAX(0,YY79-(MIN(DZ79*VM79,(YY79+ACL79))-MIN(MIN(DZ79*VM79,(YY79+ACL79)),ACL79))),YY79)</f>
        <v>1270</v>
      </c>
      <c r="ZA79" s="20" t="n">
        <f aca="false">IF(AND(H_Direct=1,EA79&gt;0),MAX(0,YZ79-(MIN(EA79*VN79,(YZ79+ACM79))-MIN(MIN(EA79*VN79,(YZ79+ACM79)),ACM79))),YZ79)</f>
        <v>1270</v>
      </c>
      <c r="ZB79" s="20" t="n">
        <f aca="false">IF(AND(H_Direct=1,EB79&gt;0),MAX(0,ZA79-(MIN(EB79*VO79,(ZA79+ACN79))-MIN(MIN(EB79*VO79,(ZA79+ACN79)),ACN79))),ZA79)</f>
        <v>1270</v>
      </c>
      <c r="ZC79" s="20" t="n">
        <f aca="false">IF(AND(H_Direct=1,EC79&gt;0),MAX(0,ZB79-(MIN(EC79*VP79,(ZB79+ACO79))-MIN(MIN(EC79*VP79,(ZB79+ACO79)),ACO79))),ZB79)</f>
        <v>1270</v>
      </c>
      <c r="ZD79" s="20" t="n">
        <f aca="false">IF(AND(H_Direct=1,ED79&gt;0),MAX(0,ZC79-(MIN(ED79*VQ79,(ZC79+ACP79))-MIN(MIN(ED79*VQ79,(ZC79+ACP79)),ACP79))),ZC79)</f>
        <v>1270</v>
      </c>
      <c r="ZE79" s="20" t="n">
        <f aca="false">IF(AND(H_Direct=1,EE79&gt;0),MAX(0,ZD79-(MIN(EE79*VR79,(ZD79+ACQ79))-MIN(MIN(EE79*VR79,(ZD79+ACQ79)),ACQ79))),ZD79)</f>
        <v>1270</v>
      </c>
      <c r="ZF79" s="20" t="n">
        <f aca="false">IF(AND(H_Direct=1,EF79&gt;0),MAX(0,ZE79-(MIN(EF79*VS79,(ZE79+ACR79))-MIN(MIN(EF79*VS79,(ZE79+ACR79)),ACR79))),ZE79)</f>
        <v>1270</v>
      </c>
      <c r="ZG79" s="20" t="n">
        <f aca="false">IF(AND(H_Direct=1,EG79&gt;0),MAX(0,ZF79-(MIN(EG79*VT79,(ZF79+ACS79))-MIN(MIN(EG79*VT79,(ZF79+ACS79)),ACS79))),ZF79)</f>
        <v>1270</v>
      </c>
      <c r="ZH79" s="20" t="n">
        <f aca="false">IF(AND(H_Direct=1,EH79&gt;0),MAX(0,ZG79-(MIN(EH79*VU79,(ZG79+ACT79))-MIN(MIN(EH79*VU79,(ZG79+ACT79)),ACT79))),ZG79)</f>
        <v>1270</v>
      </c>
      <c r="ZI79" s="20" t="n">
        <f aca="false">IF(AND(H_Direct=1,EI79&gt;0),MAX(0,ZH79-(MIN(EI79*VV79,(ZH79+ACU79))-MIN(MIN(EI79*VV79,(ZH79+ACU79)),ACU79))),ZH79)</f>
        <v>1270</v>
      </c>
      <c r="ZJ79" s="20" t="n">
        <f aca="false">IF(AND(H_Direct=1,EJ79&gt;0),MAX(0,ZI79-(MIN(EJ79*VW79,(ZI79+ACV79))-MIN(MIN(EJ79*VW79,(ZI79+ACV79)),ACV79))),ZI79)</f>
        <v>1270</v>
      </c>
      <c r="ZK79" s="20" t="n">
        <f aca="false">IF(AND(H_Direct=1,EK79&gt;0),MAX(0,ZJ79-(MIN(EK79*VX79,(ZJ79+ACW79))-MIN(MIN(EK79*VX79,(ZJ79+ACW79)),ACW79))),ZJ79)</f>
        <v>1270</v>
      </c>
      <c r="ZL79" s="20" t="n">
        <f aca="false">IF(AND(H_Direct=1,EL79&gt;0),MAX(0,ZK79-(MIN(EL79*VY79,(ZK79+ACX79))-MIN(MIN(EL79*VY79,(ZK79+ACX79)),ACX79))),ZK79)</f>
        <v>1270</v>
      </c>
      <c r="ZM79" s="20" t="n">
        <f aca="false">ZL79</f>
        <v>1270</v>
      </c>
      <c r="ZN79" s="20" t="n">
        <f aca="false">ZM79</f>
        <v>1270</v>
      </c>
      <c r="ZO79" s="20" t="n">
        <f aca="false">ZN79</f>
        <v>1270</v>
      </c>
      <c r="ZP79" s="20" t="n">
        <f aca="false">ZO79</f>
        <v>1270</v>
      </c>
      <c r="ZQ79" s="20" t="n">
        <f aca="false">ZP79</f>
        <v>1270</v>
      </c>
      <c r="ZR79" s="20" t="n">
        <f aca="false">ZQ79</f>
        <v>1270</v>
      </c>
      <c r="ZS79" s="20" t="n">
        <f aca="false">ZR79</f>
        <v>1270</v>
      </c>
      <c r="ZT79" s="20" t="n">
        <f aca="false">ZS79</f>
        <v>1270</v>
      </c>
      <c r="ZU79" s="20" t="n">
        <f aca="false">ZT79</f>
        <v>1270</v>
      </c>
      <c r="ZV79" s="20" t="n">
        <f aca="false">ZU79</f>
        <v>1270</v>
      </c>
      <c r="ZW79" s="20" t="n">
        <f aca="false">ZV79</f>
        <v>1270</v>
      </c>
      <c r="ZX79" s="20" t="n">
        <f aca="false">ZW79</f>
        <v>1270</v>
      </c>
      <c r="ZY79" s="20" t="n">
        <f aca="false">ZX79</f>
        <v>1270</v>
      </c>
      <c r="ZZ79" s="20" t="n">
        <f aca="false">ZY79</f>
        <v>1270</v>
      </c>
      <c r="AAA79" s="20" t="n">
        <f aca="false">ZZ79</f>
        <v>1270</v>
      </c>
      <c r="AAB79" s="20" t="n">
        <f aca="false">AAA79</f>
        <v>1270</v>
      </c>
      <c r="AAC79" s="20" t="n">
        <f aca="false">AAB79</f>
        <v>1270</v>
      </c>
      <c r="AAD79" s="20" t="n">
        <f aca="false">AAC79</f>
        <v>1270</v>
      </c>
      <c r="AAE79" s="20" t="n">
        <f aca="false">IF(H_Direct=1,IF(BR79&lt;=0,I79-BR79*TE79,I79-MIN(MIN(BR79*TE79,(H79+I79)),I79)),I79)</f>
        <v>0</v>
      </c>
      <c r="AAF79" s="20" t="n">
        <f aca="false">IF(H_Direct=1,IF(BS79&lt;=0,AAE79-BS79*TF79,AAE79-MIN(MIN(BS79*TF79,(WR79+AAE79)),AAE79)),AAE79)</f>
        <v>0</v>
      </c>
      <c r="AAG79" s="20" t="n">
        <f aca="false">IF(H_Direct=1,IF(BT79&lt;=0,AAF79-BT79*TG79,AAF79-MIN(MIN(BT79*TG79,(WS79+AAF79)),AAF79)),AAF79)</f>
        <v>0</v>
      </c>
      <c r="AAH79" s="20" t="n">
        <f aca="false">IF(H_Direct=1,IF(BU79&lt;=0,AAG79-BU79*TH79,AAG79-MIN(MIN(BU79*TH79,(WT79+AAG79)),AAG79)),AAG79)</f>
        <v>0</v>
      </c>
      <c r="AAI79" s="20" t="n">
        <f aca="false">IF(H_Direct=1,IF(BV79&lt;=0,AAH79-BV79*TI79,AAH79-MIN(MIN(BV79*TI79,(WU79+AAH79)),AAH79)),AAH79)</f>
        <v>0</v>
      </c>
      <c r="AAJ79" s="20" t="n">
        <f aca="false">IF(H_Direct=1,IF(BW79&lt;=0,AAI79-BW79*TJ79,AAI79-MIN(MIN(BW79*TJ79,(WV79+AAI79)),AAI79)),AAI79)</f>
        <v>0</v>
      </c>
      <c r="AAK79" s="20" t="n">
        <f aca="false">IF(H_Direct=1,IF(BX79&lt;=0,AAJ79-BX79*TK79,AAJ79-MIN(MIN(BX79*TK79,(WW79+AAJ79)),AAJ79)),AAJ79)</f>
        <v>0</v>
      </c>
      <c r="AAL79" s="20" t="n">
        <f aca="false">IF(H_Direct=1,IF(BY79&lt;=0,AAK79-BY79*TL79,AAK79-MIN(MIN(BY79*TL79,(WX79+AAK79)),AAK79)),AAK79)</f>
        <v>0</v>
      </c>
      <c r="AAM79" s="20" t="n">
        <f aca="false">IF(H_Direct=1,IF(BZ79&lt;=0,AAL79-BZ79*TM79,AAL79-MIN(MIN(BZ79*TM79,(WY79+AAL79)),AAL79)),AAL79)</f>
        <v>0</v>
      </c>
      <c r="AAN79" s="20" t="n">
        <f aca="false">IF(H_Direct=1,IF(CA79&lt;=0,AAM79-CA79*TN79,AAM79-MIN(MIN(CA79*TN79,(WZ79+AAM79)),AAM79)),AAM79)</f>
        <v>0</v>
      </c>
      <c r="AAO79" s="20" t="n">
        <f aca="false">IF(H_Direct=1,IF(CB79&lt;=0,AAN79-CB79*TO79,AAN79-MIN(MIN(CB79*TO79,(XA79+AAN79)),AAN79)),AAN79)</f>
        <v>0</v>
      </c>
      <c r="AAP79" s="20" t="n">
        <f aca="false">IF(H_Direct=1,IF(CC79&lt;=0,AAO79-CC79*TP79,AAO79-MIN(MIN(CC79*TP79,(XB79+AAO79)),AAO79)),AAO79)</f>
        <v>0</v>
      </c>
      <c r="AAQ79" s="20" t="n">
        <f aca="false">IF(H_Direct=1,IF(CD79&lt;=0,AAP79-CD79*TQ79,AAP79-MIN(MIN(CD79*TQ79,(XC79+AAP79)),AAP79)),AAP79)</f>
        <v>0</v>
      </c>
      <c r="AAR79" s="20" t="n">
        <f aca="false">IF(H_Direct=1,IF(CE79&lt;=0,AAQ79-CE79*TR79,AAQ79-MIN(MIN(CE79*TR79,(XD79+AAQ79)),AAQ79)),AAQ79)</f>
        <v>0</v>
      </c>
      <c r="AAS79" s="20" t="n">
        <f aca="false">IF(H_Direct=1,IF(CF79&lt;=0,AAR79-CF79*TS79,AAR79-MIN(MIN(CF79*TS79,(XE79+AAR79)),AAR79)),AAR79)</f>
        <v>0</v>
      </c>
      <c r="AAT79" s="20" t="n">
        <f aca="false">IF(H_Direct=1,IF(CG79&lt;=0,AAS79-CG79*TT79,AAS79-MIN(MIN(CG79*TT79,(XF79+AAS79)),AAS79)),AAS79)</f>
        <v>0</v>
      </c>
      <c r="AAU79" s="20" t="n">
        <f aca="false">IF(H_Direct=1,IF(CH79&lt;=0,AAT79-CH79*TU79,AAT79-MIN(MIN(CH79*TU79,(XG79+AAT79)),AAT79)),AAT79)</f>
        <v>0</v>
      </c>
      <c r="AAV79" s="20" t="n">
        <f aca="false">IF(H_Direct=1,IF(CI79&lt;=0,AAU79-CI79*TV79,AAU79-MIN(MIN(CI79*TV79,(XH79+AAU79)),AAU79)),AAU79)</f>
        <v>0</v>
      </c>
      <c r="AAW79" s="20" t="n">
        <f aca="false">IF(H_Direct=1,IF(CJ79&lt;=0,AAV79-CJ79*TW79,AAV79-MIN(MIN(CJ79*TW79,(XI79+AAV79)),AAV79)),AAV79)</f>
        <v>0</v>
      </c>
      <c r="AAX79" s="20" t="n">
        <f aca="false">IF(H_Direct=1,IF(CK79&lt;=0,AAW79-CK79*TX79,AAW79-MIN(MIN(CK79*TX79,(XJ79+AAW79)),AAW79)),AAW79)</f>
        <v>0</v>
      </c>
      <c r="AAY79" s="20" t="n">
        <f aca="false">IF(H_Direct=1,IF(CL79&lt;=0,AAX79-CL79*TY79,AAX79-MIN(MIN(CL79*TY79,(XK79+AAX79)),AAX79)),AAX79)</f>
        <v>0</v>
      </c>
      <c r="AAZ79" s="20" t="n">
        <f aca="false">IF(H_Direct=1,IF(CM79&lt;=0,AAY79-CM79*TZ79,AAY79-MIN(MIN(CM79*TZ79,(XL79+AAY79)),AAY79)),AAY79)</f>
        <v>0</v>
      </c>
      <c r="ABA79" s="20" t="n">
        <f aca="false">IF(H_Direct=1,IF(CN79&lt;=0,AAZ79-CN79*UA79,AAZ79-MIN(MIN(CN79*UA79,(XM79+AAZ79)),AAZ79)),AAZ79)</f>
        <v>0</v>
      </c>
      <c r="ABB79" s="20" t="n">
        <f aca="false">IF(H_Direct=1,IF(CO79&lt;=0,ABA79-CO79*UB79,ABA79-MIN(MIN(CO79*UB79,(XN79+ABA79)),ABA79)),ABA79)</f>
        <v>0</v>
      </c>
      <c r="ABC79" s="20" t="n">
        <f aca="false">IF(H_Direct=1,IF(CP79&lt;=0,ABB79-CP79*UC79,ABB79-MIN(MIN(CP79*UC79,(XO79+ABB79)),ABB79)),ABB79)</f>
        <v>0</v>
      </c>
      <c r="ABD79" s="20" t="n">
        <f aca="false">IF(H_Direct=1,IF(CQ79&lt;=0,ABC79-CQ79*UD79,ABC79-MIN(MIN(CQ79*UD79,(XP79+ABC79)),ABC79)),ABC79)</f>
        <v>0</v>
      </c>
      <c r="ABE79" s="20" t="n">
        <f aca="false">IF(H_Direct=1,IF(CR79&lt;=0,ABD79-CR79*UE79,ABD79-MIN(MIN(CR79*UE79,(XQ79+ABD79)),ABD79)),ABD79)</f>
        <v>0</v>
      </c>
      <c r="ABF79" s="20" t="n">
        <f aca="false">IF(H_Direct=1,IF(CS79&lt;=0,ABE79-CS79*UF79,ABE79-MIN(MIN(CS79*UF79,(XR79+ABE79)),ABE79)),ABE79)</f>
        <v>0</v>
      </c>
      <c r="ABG79" s="20" t="n">
        <f aca="false">IF(H_Direct=1,IF(CT79&lt;=0,ABF79-CT79*UG79,ABF79-MIN(MIN(CT79*UG79,(XS79+ABF79)),ABF79)),ABF79)</f>
        <v>0</v>
      </c>
      <c r="ABH79" s="20" t="n">
        <f aca="false">IF(H_Direct=1,IF(CU79&lt;=0,ABG79-CU79*UH79,ABG79-MIN(MIN(CU79*UH79,(XT79+ABG79)),ABG79)),ABG79)</f>
        <v>0</v>
      </c>
      <c r="ABI79" s="20" t="n">
        <f aca="false">IF(H_Direct=1,IF(CV79&lt;=0,ABH79-CV79*UI79,ABH79-MIN(MIN(CV79*UI79,(XU79+ABH79)),ABH79)),ABH79)</f>
        <v>0</v>
      </c>
      <c r="ABJ79" s="20" t="n">
        <f aca="false">IF(H_Direct=1,IF(CW79&lt;=0,ABI79-CW79*UJ79,ABI79-MIN(MIN(CW79*UJ79,(XV79+ABI79)),ABI79)),ABI79)</f>
        <v>0</v>
      </c>
      <c r="ABK79" s="20" t="n">
        <f aca="false">IF(H_Direct=1,IF(CX79&lt;=0,ABJ79-CX79*UK79,ABJ79-MIN(MIN(CX79*UK79,(XW79+ABJ79)),ABJ79)),ABJ79)</f>
        <v>0</v>
      </c>
      <c r="ABL79" s="20" t="n">
        <f aca="false">IF(H_Direct=1,IF(CY79&lt;=0,ABK79-CY79*UL79,ABK79-MIN(MIN(CY79*UL79,(XX79+ABK79)),ABK79)),ABK79)</f>
        <v>0</v>
      </c>
      <c r="ABM79" s="20" t="n">
        <f aca="false">IF(H_Direct=1,IF(CZ79&lt;=0,ABL79-CZ79*UM79,ABL79-MIN(MIN(CZ79*UM79,(XY79+ABL79)),ABL79)),ABL79)</f>
        <v>0</v>
      </c>
      <c r="ABN79" s="20" t="n">
        <f aca="false">IF(H_Direct=1,IF(DA79&lt;=0,ABM79-DA79*UN79,ABM79-MIN(MIN(DA79*UN79,(XZ79+ABM79)),ABM79)),ABM79)</f>
        <v>0</v>
      </c>
      <c r="ABO79" s="20" t="n">
        <f aca="false">IF(H_Direct=1,IF(DB79&lt;=0,ABN79-DB79*UO79,ABN79-MIN(MIN(DB79*UO79,(YA79+ABN79)),ABN79)),ABN79)</f>
        <v>0</v>
      </c>
      <c r="ABP79" s="20" t="n">
        <f aca="false">IF(H_Direct=1,IF(DC79&lt;=0,ABO79-DC79*UP79,ABO79-MIN(MIN(DC79*UP79,(YB79+ABO79)),ABO79)),ABO79)</f>
        <v>0</v>
      </c>
      <c r="ABQ79" s="20" t="n">
        <f aca="false">IF(H_Direct=1,IF(DD79&lt;=0,ABP79-DD79*UQ79,ABP79-MIN(MIN(DD79*UQ79,(YC79+ABP79)),ABP79)),ABP79)</f>
        <v>0</v>
      </c>
      <c r="ABR79" s="20" t="n">
        <f aca="false">IF(H_Direct=1,IF(DE79&lt;=0,ABQ79-DE79*UR79,ABQ79-MIN(MIN(DE79*UR79,(YD79+ABQ79)),ABQ79)),ABQ79)</f>
        <v>0</v>
      </c>
      <c r="ABS79" s="20" t="n">
        <f aca="false">IF(H_Direct=1,IF(DF79&lt;=0,ABR79-DF79*US79,ABR79-MIN(MIN(DF79*US79,(YE79+ABR79)),ABR79)),ABR79)</f>
        <v>0</v>
      </c>
      <c r="ABT79" s="20" t="n">
        <f aca="false">IF(H_Direct=1,IF(DG79&lt;=0,ABS79-DG79*UT79,ABS79-MIN(MIN(DG79*UT79,(YF79+ABS79)),ABS79)),ABS79)</f>
        <v>0</v>
      </c>
      <c r="ABU79" s="20" t="n">
        <f aca="false">IF(H_Direct=1,IF(DH79&lt;=0,ABT79-DH79*UU79,ABT79-MIN(MIN(DH79*UU79,(YG79+ABT79)),ABT79)),ABT79)</f>
        <v>0</v>
      </c>
      <c r="ABV79" s="20" t="n">
        <f aca="false">IF(H_Direct=1,IF(DI79&lt;=0,ABU79-DI79*UV79,ABU79-MIN(MIN(DI79*UV79,(YH79+ABU79)),ABU79)),ABU79)</f>
        <v>0</v>
      </c>
      <c r="ABW79" s="20" t="n">
        <f aca="false">IF(H_Direct=1,IF(DJ79&lt;=0,ABV79-DJ79*UW79,ABV79-MIN(MIN(DJ79*UW79,(YI79+ABV79)),ABV79)),ABV79)</f>
        <v>0</v>
      </c>
      <c r="ABX79" s="20" t="n">
        <f aca="false">IF(H_Direct=1,IF(DK79&lt;=0,ABW79-DK79*UX79,ABW79-MIN(MIN(DK79*UX79,(YJ79+ABW79)),ABW79)),ABW79)</f>
        <v>0</v>
      </c>
      <c r="ABY79" s="20" t="n">
        <f aca="false">IF(H_Direct=1,IF(DL79&lt;=0,ABX79-DL79*UY79,ABX79-MIN(MIN(DL79*UY79,(YK79+ABX79)),ABX79)),ABX79)</f>
        <v>0</v>
      </c>
      <c r="ABZ79" s="20" t="n">
        <f aca="false">IF(H_Direct=1,IF(DM79&lt;=0,ABY79-DM79*UZ79,ABY79-MIN(MIN(DM79*UZ79,(YL79+ABY79)),ABY79)),ABY79)</f>
        <v>0</v>
      </c>
      <c r="ACA79" s="20" t="n">
        <f aca="false">IF(H_Direct=1,IF(DN79&lt;=0,ABZ79-DN79*VA79,ABZ79-MIN(MIN(DN79*VA79,(YM79+ABZ79)),ABZ79)),ABZ79)</f>
        <v>0</v>
      </c>
      <c r="ACB79" s="20" t="n">
        <f aca="false">IF(H_Direct=1,IF(DO79&lt;=0,ACA79-DO79*VB79,ACA79-MIN(MIN(DO79*VB79,(YN79+ACA79)),ACA79)),ACA79)</f>
        <v>0</v>
      </c>
      <c r="ACC79" s="20" t="n">
        <f aca="false">IF(H_Direct=1,IF(DP79&lt;=0,ACB79-DP79*VC79,ACB79-MIN(MIN(DP79*VC79,(YO79+ACB79)),ACB79)),ACB79)</f>
        <v>0</v>
      </c>
      <c r="ACD79" s="20" t="n">
        <f aca="false">IF(H_Direct=1,IF(DQ79&lt;=0,ACC79-DQ79*VD79,ACC79-MIN(MIN(DQ79*VD79,(YP79+ACC79)),ACC79)),ACC79)</f>
        <v>0</v>
      </c>
      <c r="ACE79" s="20" t="n">
        <f aca="false">IF(H_Direct=1,IF(DR79&lt;=0,ACD79-DR79*VE79,ACD79-MIN(MIN(DR79*VE79,(YQ79+ACD79)),ACD79)),ACD79)</f>
        <v>0</v>
      </c>
      <c r="ACF79" s="20" t="n">
        <f aca="false">IF(H_Direct=1,IF(DS79&lt;=0,ACE79-DS79*VF79,ACE79-MIN(MIN(DS79*VF79,(YR79+ACE79)),ACE79)),ACE79)</f>
        <v>0</v>
      </c>
      <c r="ACG79" s="20" t="n">
        <f aca="false">IF(H_Direct=1,IF(DT79&lt;=0,ACF79-DT79*VG79,ACF79-MIN(MIN(DT79*VG79,(YS79+ACF79)),ACF79)),ACF79)</f>
        <v>0</v>
      </c>
      <c r="ACH79" s="20" t="n">
        <f aca="false">IF(H_Direct=1,IF(DU79&lt;=0,ACG79-DU79*VH79,ACG79-MIN(MIN(DU79*VH79,(YT79+ACG79)),ACG79)),ACG79)</f>
        <v>0</v>
      </c>
      <c r="ACI79" s="20" t="n">
        <f aca="false">IF(H_Direct=1,IF(DV79&lt;=0,ACH79-DV79*VI79,ACH79-MIN(MIN(DV79*VI79,(YU79+ACH79)),ACH79)),ACH79)</f>
        <v>0</v>
      </c>
      <c r="ACJ79" s="20" t="n">
        <f aca="false">IF(H_Direct=1,IF(DW79&lt;=0,ACI79-DW79*VJ79,ACI79-MIN(MIN(DW79*VJ79,(YV79+ACI79)),ACI79)),ACI79)</f>
        <v>0</v>
      </c>
      <c r="ACK79" s="20" t="n">
        <f aca="false">IF(H_Direct=1,IF(DX79&lt;=0,ACJ79-DX79*VK79,ACJ79-MIN(MIN(DX79*VK79,(YW79+ACJ79)),ACJ79)),ACJ79)</f>
        <v>0</v>
      </c>
      <c r="ACL79" s="20" t="n">
        <f aca="false">IF(H_Direct=1,IF(DY79&lt;=0,ACK79-DY79*VL79,ACK79-MIN(MIN(DY79*VL79,(YX79+ACK79)),ACK79)),ACK79)</f>
        <v>0</v>
      </c>
      <c r="ACM79" s="20" t="n">
        <f aca="false">IF(H_Direct=1,IF(DZ79&lt;=0,ACL79-DZ79*VM79,ACL79-MIN(MIN(DZ79*VM79,(YY79+ACL79)),ACL79)),ACL79)</f>
        <v>0</v>
      </c>
      <c r="ACN79" s="20" t="n">
        <f aca="false">IF(H_Direct=1,IF(EA79&lt;=0,ACM79-EA79*VN79,ACM79-MIN(MIN(EA79*VN79,(YZ79+ACM79)),ACM79)),ACM79)</f>
        <v>0</v>
      </c>
      <c r="ACO79" s="20" t="n">
        <f aca="false">IF(H_Direct=1,IF(EB79&lt;=0,ACN79-EB79*VO79,ACN79-MIN(MIN(EB79*VO79,(ZA79+ACN79)),ACN79)),ACN79)</f>
        <v>0</v>
      </c>
      <c r="ACP79" s="20" t="n">
        <f aca="false">IF(H_Direct=1,IF(EC79&lt;=0,ACO79-EC79*VP79,ACO79-MIN(MIN(EC79*VP79,(ZB79+ACO79)),ACO79)),ACO79)</f>
        <v>0</v>
      </c>
      <c r="ACQ79" s="20" t="n">
        <f aca="false">IF(H_Direct=1,IF(ED79&lt;=0,ACP79-ED79*VQ79,ACP79-MIN(MIN(ED79*VQ79,(ZC79+ACP79)),ACP79)),ACP79)</f>
        <v>0</v>
      </c>
      <c r="ACR79" s="20" t="n">
        <f aca="false">IF(H_Direct=1,IF(EE79&lt;=0,ACQ79-EE79*VR79,ACQ79-MIN(MIN(EE79*VR79,(ZD79+ACQ79)),ACQ79)),ACQ79)</f>
        <v>0</v>
      </c>
      <c r="ACS79" s="20" t="n">
        <f aca="false">IF(H_Direct=1,IF(EF79&lt;=0,ACR79-EF79*VS79,ACR79-MIN(MIN(EF79*VS79,(ZE79+ACR79)),ACR79)),ACR79)</f>
        <v>0</v>
      </c>
      <c r="ACT79" s="20" t="n">
        <f aca="false">IF(H_Direct=1,IF(EG79&lt;=0,ACS79-EG79*VT79,ACS79-MIN(MIN(EG79*VT79,(ZF79+ACS79)),ACS79)),ACS79)</f>
        <v>0</v>
      </c>
      <c r="ACU79" s="20" t="n">
        <f aca="false">IF(H_Direct=1,IF(EH79&lt;=0,ACT79-EH79*VU79,ACT79-MIN(MIN(EH79*VU79,(ZG79+ACT79)),ACT79)),ACT79)</f>
        <v>0</v>
      </c>
      <c r="ACV79" s="20" t="n">
        <f aca="false">IF(H_Direct=1,IF(EI79&lt;=0,ACU79-EI79*VV79,ACU79-MIN(MIN(EI79*VV79,(ZH79+ACU79)),ACU79)),ACU79)</f>
        <v>0</v>
      </c>
      <c r="ACW79" s="20" t="n">
        <f aca="false">IF(H_Direct=1,IF(EJ79&lt;=0,ACV79-EJ79*VW79,ACV79-MIN(MIN(EJ79*VW79,(ZI79+ACV79)),ACV79)),ACV79)</f>
        <v>0</v>
      </c>
      <c r="ACX79" s="20" t="n">
        <f aca="false">IF(H_Direct=1,IF(EK79&lt;=0,ACW79-EK79*VX79,ACW79-MIN(MIN(EK79*VX79,(ZJ79+ACW79)),ACW79)),ACW79)</f>
        <v>0</v>
      </c>
      <c r="ACY79" s="20" t="n">
        <f aca="false">IF(H_Direct=1,IF(EL79&lt;=0,ACX79-EL79*VY79,ACX79-MIN(MIN(EL79*VY79,(ZK79+ACX79)),ACX79)),ACX79)</f>
        <v>0</v>
      </c>
      <c r="ACZ79" s="20" t="n">
        <f aca="false">ACY79</f>
        <v>0</v>
      </c>
      <c r="ADA79" s="20" t="n">
        <f aca="false">ACZ79</f>
        <v>0</v>
      </c>
      <c r="ADB79" s="20" t="n">
        <f aca="false">ADA79</f>
        <v>0</v>
      </c>
      <c r="ADC79" s="20" t="n">
        <f aca="false">ADB79</f>
        <v>0</v>
      </c>
      <c r="ADD79" s="20" t="n">
        <f aca="false">ADC79</f>
        <v>0</v>
      </c>
      <c r="ADE79" s="20" t="n">
        <f aca="false">ADD79</f>
        <v>0</v>
      </c>
      <c r="ADF79" s="20" t="n">
        <f aca="false">ADE79</f>
        <v>0</v>
      </c>
      <c r="ADG79" s="20" t="n">
        <f aca="false">ADF79</f>
        <v>0</v>
      </c>
      <c r="ADH79" s="20" t="n">
        <f aca="false">ADG79</f>
        <v>0</v>
      </c>
      <c r="ADI79" s="20" t="n">
        <f aca="false">ADH79</f>
        <v>0</v>
      </c>
      <c r="ADJ79" s="20" t="n">
        <f aca="false">ADI79</f>
        <v>0</v>
      </c>
      <c r="ADK79" s="20" t="n">
        <f aca="false">ADJ79</f>
        <v>0</v>
      </c>
      <c r="ADL79" s="20" t="n">
        <f aca="false">ADK79</f>
        <v>0</v>
      </c>
      <c r="ADM79" s="20" t="n">
        <f aca="false">ADL79</f>
        <v>0</v>
      </c>
      <c r="ADN79" s="20" t="n">
        <f aca="false">ADM79</f>
        <v>0</v>
      </c>
      <c r="ADO79" s="20" t="n">
        <f aca="false">ADN79</f>
        <v>0</v>
      </c>
      <c r="ADP79" s="20" t="n">
        <f aca="false">ADO79</f>
        <v>0</v>
      </c>
      <c r="ADQ79" s="20" t="n">
        <f aca="false">ADP79</f>
        <v>0</v>
      </c>
      <c r="ADR79" s="20" t="n">
        <f aca="false">(AKR78-TE79+0)*(1+BQ79)</f>
        <v>0</v>
      </c>
      <c r="ADS79" s="20" t="n">
        <f aca="false">(AKS78-TF79+0)*(1+BQ79)</f>
        <v>0</v>
      </c>
      <c r="ADT79" s="20" t="n">
        <f aca="false">(AKT78-TG79+0)*(1+BQ79)</f>
        <v>0</v>
      </c>
      <c r="ADU79" s="20" t="n">
        <f aca="false">(AKU78-TH79+0)*(1+BQ79)</f>
        <v>0</v>
      </c>
      <c r="ADV79" s="20" t="n">
        <f aca="false">(AKV78-TI79+0)*(1+BQ79)</f>
        <v>0</v>
      </c>
      <c r="ADW79" s="20" t="n">
        <f aca="false">(AKW78-TJ79+0)*(1+BQ79)</f>
        <v>0</v>
      </c>
      <c r="ADX79" s="20" t="n">
        <f aca="false">(AKX78-TK79+0)*(1+BQ79)</f>
        <v>0</v>
      </c>
      <c r="ADY79" s="20" t="n">
        <f aca="false">(AKY78-TL79+0)*(1+BQ79)</f>
        <v>0</v>
      </c>
      <c r="ADZ79" s="20" t="n">
        <f aca="false">(AKZ78-TM79+0)*(1+BQ79)</f>
        <v>0</v>
      </c>
      <c r="AEA79" s="20" t="n">
        <f aca="false">(ALA78-TN79+0)*(1+BQ79)</f>
        <v>0</v>
      </c>
      <c r="AEB79" s="20" t="n">
        <f aca="false">(ALB78-TO79+0)*(1+BQ79)</f>
        <v>0</v>
      </c>
      <c r="AEC79" s="20" t="n">
        <f aca="false">(ALC78-TP79+0)*(1+BQ79)</f>
        <v>0</v>
      </c>
      <c r="AED79" s="20" t="n">
        <f aca="false">(ALD78-TQ79+0)*(1+BQ79)</f>
        <v>0</v>
      </c>
      <c r="AEE79" s="20" t="n">
        <f aca="false">(ALE78-TR79+0)*(1+BQ79)</f>
        <v>0</v>
      </c>
      <c r="AEF79" s="20" t="n">
        <f aca="false">(ALF78-TS79+0)*(1+BQ79)</f>
        <v>0</v>
      </c>
      <c r="AEG79" s="20" t="n">
        <f aca="false">(ALG78-TT79+0)*(1+BQ79)</f>
        <v>0</v>
      </c>
      <c r="AEH79" s="20" t="n">
        <f aca="false">(ALH78-TU79+0)*(1+BQ79)</f>
        <v>0</v>
      </c>
      <c r="AEI79" s="20" t="n">
        <f aca="false">(ALI78-TV79+0)*(1+BQ79)</f>
        <v>0</v>
      </c>
      <c r="AEJ79" s="20" t="n">
        <f aca="false">(ALJ78-TW79+0)*(1+BQ79)</f>
        <v>0</v>
      </c>
      <c r="AEK79" s="20" t="n">
        <f aca="false">(ALK78-TX79+0)*(1+BQ79)</f>
        <v>0</v>
      </c>
      <c r="AEL79" s="20" t="n">
        <f aca="false">(ALL78-TY79+0)*(1+BQ79)</f>
        <v>0</v>
      </c>
      <c r="AEM79" s="20" t="n">
        <f aca="false">(ALM78-TZ79+0)*(1+BQ79)</f>
        <v>0</v>
      </c>
      <c r="AEN79" s="20" t="n">
        <f aca="false">(ALN78-UA79+0)*(1+BQ79)</f>
        <v>0</v>
      </c>
      <c r="AEO79" s="20" t="n">
        <f aca="false">(ALO78-UB79+0)*(1+BQ79)</f>
        <v>0</v>
      </c>
      <c r="AEP79" s="20" t="n">
        <f aca="false">(ALP78-UC79+0)*(1+BQ79)</f>
        <v>0</v>
      </c>
      <c r="AEQ79" s="20" t="n">
        <f aca="false">(ALQ78-UD79+0)*(1+BQ79)</f>
        <v>0</v>
      </c>
      <c r="AER79" s="20" t="n">
        <f aca="false">(ALR78-UE79+0)*(1+BQ79)</f>
        <v>0</v>
      </c>
      <c r="AES79" s="20" t="n">
        <f aca="false">(ALS78-UF79+0)*(1+BQ79)</f>
        <v>0</v>
      </c>
      <c r="AET79" s="20" t="n">
        <f aca="false">(ALT78-UG79+0)*(1+BQ79)</f>
        <v>0</v>
      </c>
      <c r="AEU79" s="20" t="n">
        <f aca="false">(ALU78-UH79+0)*(1+BQ79)</f>
        <v>0</v>
      </c>
      <c r="AEV79" s="20" t="n">
        <f aca="false">(ALV78-UI79+0)*(1+BQ79)</f>
        <v>0</v>
      </c>
      <c r="AEW79" s="20" t="n">
        <f aca="false">(ALW78-UJ79+0)*(1+BQ79)</f>
        <v>0</v>
      </c>
      <c r="AEX79" s="20" t="n">
        <f aca="false">(ALX78-UK79+0)*(1+BQ79)</f>
        <v>0</v>
      </c>
      <c r="AEY79" s="20" t="n">
        <f aca="false">(ALY78-UL79+0)*(1+BQ79)</f>
        <v>0</v>
      </c>
      <c r="AEZ79" s="20" t="n">
        <f aca="false">(ALZ78-UM79+0)*(1+BQ79)</f>
        <v>0</v>
      </c>
      <c r="AFA79" s="20" t="n">
        <f aca="false">(AMA78-UN79+0)*(1+BQ79)</f>
        <v>0</v>
      </c>
      <c r="AFB79" s="20" t="n">
        <f aca="false">(AMB78-UO79+0)*(1+BQ79)</f>
        <v>0</v>
      </c>
      <c r="AFC79" s="20" t="n">
        <f aca="false">(AMC78-UP79+0)*(1+BQ79)</f>
        <v>0</v>
      </c>
      <c r="AFD79" s="20" t="n">
        <f aca="false">(AMD78-UQ79+0)*(1+BQ79)</f>
        <v>0</v>
      </c>
      <c r="AFE79" s="20" t="n">
        <f aca="false">(AME78-UR79+0)*(1+BQ79)</f>
        <v>0</v>
      </c>
      <c r="AFF79" s="20" t="n">
        <f aca="false">(AMF78-US79+0)*(1+BQ79)</f>
        <v>0</v>
      </c>
      <c r="AFG79" s="20" t="n">
        <f aca="false">(AMG78-UT79+0)*(1+BQ79)</f>
        <v>0</v>
      </c>
      <c r="AFH79" s="20" t="n">
        <f aca="false">(AMH78-UU79+0)*(1+BQ79)</f>
        <v>0</v>
      </c>
      <c r="AFI79" s="20" t="n">
        <f aca="false">(AMI78-UV79+0)*(1+BQ79)</f>
        <v>0</v>
      </c>
      <c r="AFJ79" s="20" t="n">
        <f aca="false">(AMJ78-UW79+0)*(1+BQ79)</f>
        <v>0</v>
      </c>
      <c r="AFK79" s="20" t="n">
        <f aca="false">(AMK78-UX79+0)*(1+BQ79)</f>
        <v>0</v>
      </c>
      <c r="AFL79" s="20" t="n">
        <f aca="false">(AML78-UY79+0)*(1+BQ79)</f>
        <v>0</v>
      </c>
      <c r="AFM79" s="20" t="n">
        <f aca="false">(AMM78-UZ79+0)*(1+BQ79)</f>
        <v>0</v>
      </c>
      <c r="AFN79" s="20" t="n">
        <f aca="false">(AMN78-VA79+0)*(1+BQ79)</f>
        <v>0</v>
      </c>
      <c r="AFO79" s="20" t="n">
        <f aca="false">(AMO78-VB79+0)*(1+BQ79)</f>
        <v>0</v>
      </c>
      <c r="AFP79" s="20" t="n">
        <f aca="false">(AMP78-VC79+0)*(1+BQ79)</f>
        <v>0</v>
      </c>
      <c r="AFQ79" s="20" t="n">
        <f aca="false">(AMQ78-VD79+0)*(1+BQ79)</f>
        <v>0</v>
      </c>
      <c r="AFR79" s="20" t="n">
        <f aca="false">(AMR78-VE79+0)*(1+BQ79)</f>
        <v>0</v>
      </c>
      <c r="AFS79" s="20" t="n">
        <f aca="false">(AMS78-VF79+0)*(1+BQ79)</f>
        <v>0</v>
      </c>
      <c r="AFT79" s="20" t="n">
        <f aca="false">(AMT78-VG79+0)*(1+BQ79)</f>
        <v>0</v>
      </c>
      <c r="AFU79" s="20" t="n">
        <f aca="false">(AMU78-VH79+0)*(1+BQ79)</f>
        <v>0</v>
      </c>
      <c r="AFV79" s="20" t="n">
        <f aca="false">(AMV78-VI79+0)*(1+BQ79)</f>
        <v>0</v>
      </c>
      <c r="AFW79" s="20" t="n">
        <f aca="false">(AMW78-VJ79+0)*(1+BQ79)</f>
        <v>0</v>
      </c>
      <c r="AFX79" s="20" t="n">
        <f aca="false">(AMX78-VK79+0)*(1+BQ79)</f>
        <v>0</v>
      </c>
      <c r="AFY79" s="20" t="n">
        <f aca="false">(AMY78-VL79+0)*(1+BQ79)</f>
        <v>0</v>
      </c>
      <c r="AFZ79" s="20" t="n">
        <f aca="false">(AMZ78-VM79+0)*(1+BQ79)</f>
        <v>0</v>
      </c>
      <c r="AGA79" s="20" t="n">
        <f aca="false">(ANA78-VN79+0)*(1+BQ79)</f>
        <v>0</v>
      </c>
      <c r="AGB79" s="20" t="n">
        <f aca="false">(ANB78-VO79+0)*(1+BQ79)</f>
        <v>0</v>
      </c>
      <c r="AGC79" s="20" t="n">
        <f aca="false">(ANC78-VP79+0)*(1+BQ79)</f>
        <v>0</v>
      </c>
      <c r="AGD79" s="20" t="n">
        <f aca="false">(AND78-VQ79+0)*(1+BQ79)</f>
        <v>0</v>
      </c>
      <c r="AGE79" s="20" t="n">
        <f aca="false">(ANE78-VR79+0)*(1+BQ79)</f>
        <v>0</v>
      </c>
      <c r="AGF79" s="20" t="n">
        <f aca="false">(ANF78-VS79+0)*(1+BQ79)</f>
        <v>0</v>
      </c>
      <c r="AGG79" s="20" t="n">
        <f aca="false">(ANG78-VT79+0)*(1+BQ79)</f>
        <v>0</v>
      </c>
      <c r="AGH79" s="20" t="n">
        <f aca="false">(ANH78-VU79+0)*(1+BQ79)</f>
        <v>0</v>
      </c>
      <c r="AGI79" s="20" t="n">
        <f aca="false">(ANI78-VV79+0)*(1+BQ79)</f>
        <v>0</v>
      </c>
      <c r="AGJ79" s="20" t="n">
        <f aca="false">(ANJ78-VW79+0)*(1+BQ79)</f>
        <v>0</v>
      </c>
      <c r="AGK79" s="20" t="n">
        <f aca="false">(ANK78-VX79+0)*(1+BQ79)</f>
        <v>0</v>
      </c>
      <c r="AGL79" s="20" t="n">
        <f aca="false">((P79+S79)-VY79+BE79)*(1+BQ79)</f>
        <v>0</v>
      </c>
      <c r="AGM79" s="20" t="n">
        <v>0</v>
      </c>
      <c r="AGN79" s="20" t="n">
        <v>0</v>
      </c>
      <c r="AGO79" s="20" t="n">
        <v>0</v>
      </c>
      <c r="AGP79" s="20" t="n">
        <v>0</v>
      </c>
      <c r="AGQ79" s="20" t="n">
        <v>0</v>
      </c>
      <c r="AGR79" s="20" t="n">
        <v>0</v>
      </c>
      <c r="AGS79" s="20" t="n">
        <v>0</v>
      </c>
      <c r="AGT79" s="20" t="n">
        <v>0</v>
      </c>
      <c r="AGU79" s="20" t="n">
        <v>0</v>
      </c>
      <c r="AGV79" s="20" t="n">
        <v>0</v>
      </c>
      <c r="AGW79" s="20" t="n">
        <v>0</v>
      </c>
      <c r="AGX79" s="20" t="n">
        <v>0</v>
      </c>
      <c r="AGY79" s="20" t="n">
        <v>0</v>
      </c>
      <c r="AGZ79" s="20" t="n">
        <v>0</v>
      </c>
      <c r="AHA79" s="20" t="n">
        <v>0</v>
      </c>
      <c r="AHB79" s="20" t="n">
        <v>0</v>
      </c>
      <c r="AHC79" s="20" t="n">
        <v>0</v>
      </c>
      <c r="AHD79" s="20" t="n">
        <v>0</v>
      </c>
      <c r="AHE79" s="20" t="n">
        <f aca="false">IF(AKR78&gt;0,AOE78-AOE78*TE79/AKR78,0)+0</f>
        <v>0</v>
      </c>
      <c r="AHF79" s="20" t="n">
        <f aca="false">IF(AKS78&gt;0,AOF78-AOF78*TF79/AKS78,0)+0</f>
        <v>0</v>
      </c>
      <c r="AHG79" s="20" t="n">
        <f aca="false">IF(AKT78&gt;0,AOG78-AOG78*TG79/AKT78,0)+0</f>
        <v>0</v>
      </c>
      <c r="AHH79" s="20" t="n">
        <f aca="false">IF(AKU78&gt;0,AOH78-AOH78*TH79/AKU78,0)+0</f>
        <v>0</v>
      </c>
      <c r="AHI79" s="20" t="n">
        <f aca="false">IF(AKV78&gt;0,AOI78-AOI78*TI79/AKV78,0)+0</f>
        <v>0</v>
      </c>
      <c r="AHJ79" s="20" t="n">
        <f aca="false">IF(AKW78&gt;0,AOJ78-AOJ78*TJ79/AKW78,0)+0</f>
        <v>0</v>
      </c>
      <c r="AHK79" s="20" t="n">
        <f aca="false">IF(AKX78&gt;0,AOK78-AOK78*TK79/AKX78,0)+0</f>
        <v>0</v>
      </c>
      <c r="AHL79" s="20" t="n">
        <f aca="false">IF(AKY78&gt;0,AOL78-AOL78*TL79/AKY78,0)+0</f>
        <v>0</v>
      </c>
      <c r="AHM79" s="20" t="n">
        <f aca="false">IF(AKZ78&gt;0,AOM78-AOM78*TM79/AKZ78,0)+0</f>
        <v>0</v>
      </c>
      <c r="AHN79" s="20" t="n">
        <f aca="false">IF(ALA78&gt;0,AON78-AON78*TN79/ALA78,0)+0</f>
        <v>0</v>
      </c>
      <c r="AHO79" s="20" t="n">
        <f aca="false">IF(ALB78&gt;0,AOO78-AOO78*TO79/ALB78,0)+0</f>
        <v>0</v>
      </c>
      <c r="AHP79" s="20" t="n">
        <f aca="false">IF(ALC78&gt;0,AOP78-AOP78*TP79/ALC78,0)+0</f>
        <v>0</v>
      </c>
      <c r="AHQ79" s="20" t="n">
        <f aca="false">IF(ALD78&gt;0,AOQ78-AOQ78*TQ79/ALD78,0)+0</f>
        <v>0</v>
      </c>
      <c r="AHR79" s="20" t="n">
        <f aca="false">IF(ALE78&gt;0,AOR78-AOR78*TR79/ALE78,0)+0</f>
        <v>0</v>
      </c>
      <c r="AHS79" s="20" t="n">
        <f aca="false">IF(ALF78&gt;0,AOS78-AOS78*TS79/ALF78,0)+0</f>
        <v>0</v>
      </c>
      <c r="AHT79" s="20" t="n">
        <f aca="false">IF(ALG78&gt;0,AOT78-AOT78*TT79/ALG78,0)+0</f>
        <v>0</v>
      </c>
      <c r="AHU79" s="20" t="n">
        <f aca="false">IF(ALH78&gt;0,AOU78-AOU78*TU79/ALH78,0)+0</f>
        <v>0</v>
      </c>
      <c r="AHV79" s="20" t="n">
        <f aca="false">IF(ALI78&gt;0,AOV78-AOV78*TV79/ALI78,0)+0</f>
        <v>0</v>
      </c>
      <c r="AHW79" s="20" t="n">
        <f aca="false">IF(ALJ78&gt;0,AOW78-AOW78*TW79/ALJ78,0)+0</f>
        <v>0</v>
      </c>
      <c r="AHX79" s="20" t="n">
        <f aca="false">IF(ALK78&gt;0,AOX78-AOX78*TX79/ALK78,0)+0</f>
        <v>0</v>
      </c>
      <c r="AHY79" s="20" t="n">
        <f aca="false">IF(ALL78&gt;0,AOY78-AOY78*TY79/ALL78,0)+0</f>
        <v>0</v>
      </c>
      <c r="AHZ79" s="20" t="n">
        <f aca="false">IF(ALM78&gt;0,AOZ78-AOZ78*TZ79/ALM78,0)+0</f>
        <v>0</v>
      </c>
      <c r="AIA79" s="20" t="n">
        <f aca="false">IF(ALN78&gt;0,APA78-APA78*UA79/ALN78,0)+0</f>
        <v>0</v>
      </c>
      <c r="AIB79" s="20" t="n">
        <f aca="false">IF(ALO78&gt;0,APB78-APB78*UB79/ALO78,0)+0</f>
        <v>0</v>
      </c>
      <c r="AIC79" s="20" t="n">
        <f aca="false">IF(ALP78&gt;0,APC78-APC78*UC79/ALP78,0)+0</f>
        <v>0</v>
      </c>
      <c r="AID79" s="20" t="n">
        <f aca="false">IF(ALQ78&gt;0,APD78-APD78*UD79/ALQ78,0)+0</f>
        <v>0</v>
      </c>
      <c r="AIE79" s="20" t="n">
        <f aca="false">IF(ALR78&gt;0,APE78-APE78*UE79/ALR78,0)+0</f>
        <v>0</v>
      </c>
      <c r="AIF79" s="20" t="n">
        <f aca="false">IF(ALS78&gt;0,APF78-APF78*UF79/ALS78,0)+0</f>
        <v>0</v>
      </c>
      <c r="AIG79" s="20" t="n">
        <f aca="false">IF(ALT78&gt;0,APG78-APG78*UG79/ALT78,0)+0</f>
        <v>0</v>
      </c>
      <c r="AIH79" s="20" t="n">
        <f aca="false">IF(ALU78&gt;0,APH78-APH78*UH79/ALU78,0)+0</f>
        <v>0</v>
      </c>
      <c r="AII79" s="20" t="n">
        <f aca="false">IF(ALV78&gt;0,API78-API78*UI79/ALV78,0)+0</f>
        <v>0</v>
      </c>
      <c r="AIJ79" s="20" t="n">
        <f aca="false">IF(ALW78&gt;0,APJ78-APJ78*UJ79/ALW78,0)+0</f>
        <v>0</v>
      </c>
      <c r="AIK79" s="20" t="n">
        <f aca="false">IF(ALX78&gt;0,APK78-APK78*UK79/ALX78,0)+0</f>
        <v>0</v>
      </c>
      <c r="AIL79" s="20" t="n">
        <f aca="false">IF(ALY78&gt;0,APL78-APL78*UL79/ALY78,0)+0</f>
        <v>0</v>
      </c>
      <c r="AIM79" s="20" t="n">
        <f aca="false">IF(ALZ78&gt;0,APM78-APM78*UM79/ALZ78,0)+0</f>
        <v>0</v>
      </c>
      <c r="AIN79" s="20" t="n">
        <f aca="false">IF(AMA78&gt;0,APN78-APN78*UN79/AMA78,0)+0</f>
        <v>0</v>
      </c>
      <c r="AIO79" s="20" t="n">
        <f aca="false">IF(AMB78&gt;0,APO78-APO78*UO79/AMB78,0)+0</f>
        <v>0</v>
      </c>
      <c r="AIP79" s="20" t="n">
        <f aca="false">IF(AMC78&gt;0,APP78-APP78*UP79/AMC78,0)+0</f>
        <v>0</v>
      </c>
      <c r="AIQ79" s="20" t="n">
        <f aca="false">IF(AMD78&gt;0,APQ78-APQ78*UQ79/AMD78,0)+0</f>
        <v>0</v>
      </c>
      <c r="AIR79" s="20" t="n">
        <f aca="false">IF(AME78&gt;0,APR78-APR78*UR79/AME78,0)+0</f>
        <v>0</v>
      </c>
      <c r="AIS79" s="20" t="n">
        <f aca="false">IF(AMF78&gt;0,APS78-APS78*US79/AMF78,0)+0</f>
        <v>0</v>
      </c>
      <c r="AIT79" s="20" t="n">
        <f aca="false">IF(AMG78&gt;0,APT78-APT78*UT79/AMG78,0)+0</f>
        <v>0</v>
      </c>
      <c r="AIU79" s="20" t="n">
        <f aca="false">IF(AMH78&gt;0,APU78-APU78*UU79/AMH78,0)+0</f>
        <v>0</v>
      </c>
      <c r="AIV79" s="20" t="n">
        <f aca="false">IF(AMI78&gt;0,APV78-APV78*UV79/AMI78,0)+0</f>
        <v>0</v>
      </c>
      <c r="AIW79" s="20" t="n">
        <f aca="false">IF(AMJ78&gt;0,APW78-APW78*UW79/AMJ78,0)+0</f>
        <v>0</v>
      </c>
      <c r="AIX79" s="20" t="n">
        <f aca="false">IF(AMK78&gt;0,APX78-APX78*UX79/AMK78,0)+0</f>
        <v>0</v>
      </c>
      <c r="AIY79" s="20" t="n">
        <f aca="false">IF(AML78&gt;0,APY78-APY78*UY79/AML78,0)+0</f>
        <v>0</v>
      </c>
      <c r="AIZ79" s="20" t="n">
        <f aca="false">IF(AMM78&gt;0,APZ78-APZ78*UZ79/AMM78,0)+0</f>
        <v>0</v>
      </c>
      <c r="AJA79" s="20" t="n">
        <f aca="false">IF(AMN78&gt;0,AQA78-AQA78*VA79/AMN78,0)+0</f>
        <v>0</v>
      </c>
      <c r="AJB79" s="20" t="n">
        <f aca="false">IF(AMO78&gt;0,AQB78-AQB78*VB79/AMO78,0)+0</f>
        <v>0</v>
      </c>
      <c r="AJC79" s="20" t="n">
        <f aca="false">IF(AMP78&gt;0,AQC78-AQC78*VC79/AMP78,0)+0</f>
        <v>0</v>
      </c>
      <c r="AJD79" s="20" t="n">
        <f aca="false">IF(AMQ78&gt;0,AQD78-AQD78*VD79/AMQ78,0)+0</f>
        <v>0</v>
      </c>
      <c r="AJE79" s="20" t="n">
        <f aca="false">IF(AMR78&gt;0,AQE78-AQE78*VE79/AMR78,0)+0</f>
        <v>0</v>
      </c>
      <c r="AJF79" s="20" t="n">
        <f aca="false">IF(AMS78&gt;0,AQF78-AQF78*VF79/AMS78,0)+0</f>
        <v>0</v>
      </c>
      <c r="AJG79" s="20" t="n">
        <f aca="false">IF(AMT78&gt;0,AQG78-AQG78*VG79/AMT78,0)+0</f>
        <v>0</v>
      </c>
      <c r="AJH79" s="20" t="n">
        <f aca="false">IF(AMU78&gt;0,AQH78-AQH78*VH79/AMU78,0)+0</f>
        <v>0</v>
      </c>
      <c r="AJI79" s="20" t="n">
        <f aca="false">IF(AMV78&gt;0,AQI78-AQI78*VI79/AMV78,0)+0</f>
        <v>0</v>
      </c>
      <c r="AJJ79" s="20" t="n">
        <f aca="false">IF(AMW78&gt;0,AQJ78-AQJ78*VJ79/AMW78,0)+0</f>
        <v>0</v>
      </c>
      <c r="AJK79" s="20" t="n">
        <f aca="false">IF(AMX78&gt;0,AQK78-AQK78*VK79/AMX78,0)+0</f>
        <v>0</v>
      </c>
      <c r="AJL79" s="20" t="n">
        <f aca="false">IF(AMY78&gt;0,AQL78-AQL78*VL79/AMY78,0)+0</f>
        <v>0</v>
      </c>
      <c r="AJM79" s="20" t="n">
        <f aca="false">IF(AMZ78&gt;0,AQM78-AQM78*VM79/AMZ78,0)+0</f>
        <v>0</v>
      </c>
      <c r="AJN79" s="20" t="n">
        <f aca="false">IF(ANA78&gt;0,AQN78-AQN78*VN79/ANA78,0)+0</f>
        <v>0</v>
      </c>
      <c r="AJO79" s="20" t="n">
        <f aca="false">IF(ANB78&gt;0,AQO78-AQO78*VO79/ANB78,0)+0</f>
        <v>0</v>
      </c>
      <c r="AJP79" s="20" t="n">
        <f aca="false">IF(ANC78&gt;0,AQP78-AQP78*VP79/ANC78,0)+0</f>
        <v>0</v>
      </c>
      <c r="AJQ79" s="20" t="n">
        <f aca="false">IF(AND78&gt;0,AQQ78-AQQ78*VQ79/AND78,0)+0</f>
        <v>0</v>
      </c>
      <c r="AJR79" s="20" t="n">
        <f aca="false">IF(ANE78&gt;0,AQR78-AQR78*VR79/ANE78,0)+0</f>
        <v>0</v>
      </c>
      <c r="AJS79" s="20" t="n">
        <f aca="false">IF(ANF78&gt;0,AQS78-AQS78*VS79/ANF78,0)+0</f>
        <v>0</v>
      </c>
      <c r="AJT79" s="20" t="n">
        <f aca="false">IF(ANG78&gt;0,AQT78-AQT78*VT79/ANG78,0)+0</f>
        <v>0</v>
      </c>
      <c r="AJU79" s="20" t="n">
        <f aca="false">IF(ANH78&gt;0,AQU78-AQU78*VU79/ANH78,0)+0</f>
        <v>0</v>
      </c>
      <c r="AJV79" s="20" t="n">
        <f aca="false">IF(ANI78&gt;0,AQV78-AQV78*VV79/ANI78,0)+0</f>
        <v>0</v>
      </c>
      <c r="AJW79" s="20" t="n">
        <f aca="false">IF(ANJ78&gt;0,AQW78-AQW78*VW79/ANJ78,0)+0</f>
        <v>0</v>
      </c>
      <c r="AJX79" s="20" t="n">
        <f aca="false">IF(ANK78&gt;0,AQX78-AQX78*VX79/ANK78,0)+0</f>
        <v>0</v>
      </c>
      <c r="AJY79" s="20" t="n">
        <f aca="false">IF((P79+S79)&gt;0,(P79+S79)-(P79+S79)*VY79/(P79+S79),0)+BE79</f>
        <v>0</v>
      </c>
      <c r="AJZ79" s="20" t="n">
        <v>0</v>
      </c>
      <c r="AKA79" s="20" t="n">
        <v>0</v>
      </c>
      <c r="AKB79" s="20" t="n">
        <v>0</v>
      </c>
      <c r="AKC79" s="20" t="n">
        <v>0</v>
      </c>
      <c r="AKD79" s="20" t="n">
        <v>0</v>
      </c>
      <c r="AKE79" s="20" t="n">
        <v>0</v>
      </c>
      <c r="AKF79" s="20" t="n">
        <v>0</v>
      </c>
      <c r="AKG79" s="20" t="n">
        <v>0</v>
      </c>
      <c r="AKH79" s="20" t="n">
        <v>0</v>
      </c>
      <c r="AKI79" s="20" t="n">
        <v>0</v>
      </c>
      <c r="AKJ79" s="20" t="n">
        <v>0</v>
      </c>
      <c r="AKK79" s="20" t="n">
        <v>0</v>
      </c>
      <c r="AKL79" s="20" t="n">
        <v>0</v>
      </c>
      <c r="AKM79" s="20" t="n">
        <v>0</v>
      </c>
      <c r="AKN79" s="20" t="n">
        <v>0</v>
      </c>
      <c r="AKO79" s="20" t="n">
        <v>0</v>
      </c>
      <c r="AKP79" s="20" t="n">
        <v>0</v>
      </c>
      <c r="AKQ79" s="20" t="n">
        <v>0</v>
      </c>
      <c r="AKR79" s="20" t="n">
        <f aca="false">ADR79-AVE79</f>
        <v>0</v>
      </c>
      <c r="AKS79" s="20" t="n">
        <f aca="false">ADS79-AVF79</f>
        <v>0</v>
      </c>
      <c r="AKT79" s="20" t="n">
        <f aca="false">ADT79-AVG79</f>
        <v>0</v>
      </c>
      <c r="AKU79" s="20" t="n">
        <f aca="false">ADU79-AVH79</f>
        <v>0</v>
      </c>
      <c r="AKV79" s="20" t="n">
        <f aca="false">ADV79-AVI79</f>
        <v>0</v>
      </c>
      <c r="AKW79" s="20" t="n">
        <f aca="false">ADW79-AVJ79</f>
        <v>0</v>
      </c>
      <c r="AKX79" s="20" t="n">
        <f aca="false">ADX79-AVK79</f>
        <v>0</v>
      </c>
      <c r="AKY79" s="20" t="n">
        <f aca="false">ADY79-AVL79</f>
        <v>0</v>
      </c>
      <c r="AKZ79" s="20" t="n">
        <f aca="false">ADZ79-AVM79</f>
        <v>0</v>
      </c>
      <c r="ALA79" s="20" t="n">
        <f aca="false">AEA79-AVN79</f>
        <v>0</v>
      </c>
      <c r="ALB79" s="20" t="n">
        <f aca="false">AEB79-AVO79</f>
        <v>0</v>
      </c>
      <c r="ALC79" s="20" t="n">
        <f aca="false">AEC79-AVP79</f>
        <v>0</v>
      </c>
      <c r="ALD79" s="20" t="n">
        <f aca="false">AED79-AVQ79</f>
        <v>0</v>
      </c>
      <c r="ALE79" s="20" t="n">
        <f aca="false">AEE79-AVR79</f>
        <v>0</v>
      </c>
      <c r="ALF79" s="20" t="n">
        <f aca="false">AEF79-AVS79</f>
        <v>0</v>
      </c>
      <c r="ALG79" s="20" t="n">
        <f aca="false">AEG79-AVT79</f>
        <v>0</v>
      </c>
      <c r="ALH79" s="20" t="n">
        <f aca="false">AEH79-AVU79</f>
        <v>0</v>
      </c>
      <c r="ALI79" s="20" t="n">
        <f aca="false">AEI79-AVV79</f>
        <v>0</v>
      </c>
      <c r="ALJ79" s="20" t="n">
        <f aca="false">AEJ79-AVW79</f>
        <v>0</v>
      </c>
      <c r="ALK79" s="20" t="n">
        <f aca="false">AEK79-AVX79</f>
        <v>0</v>
      </c>
      <c r="ALL79" s="20" t="n">
        <f aca="false">AEL79-AVY79</f>
        <v>0</v>
      </c>
      <c r="ALM79" s="20" t="n">
        <f aca="false">AEM79-AVZ79</f>
        <v>0</v>
      </c>
      <c r="ALN79" s="20" t="n">
        <f aca="false">AEN79-AWA79</f>
        <v>0</v>
      </c>
      <c r="ALO79" s="20" t="n">
        <f aca="false">AEO79-AWB79</f>
        <v>0</v>
      </c>
      <c r="ALP79" s="20" t="n">
        <f aca="false">AEP79-AWC79</f>
        <v>0</v>
      </c>
      <c r="ALQ79" s="20" t="n">
        <f aca="false">AEQ79-AWD79</f>
        <v>0</v>
      </c>
      <c r="ALR79" s="20" t="n">
        <f aca="false">AER79-AWE79</f>
        <v>0</v>
      </c>
      <c r="ALS79" s="20" t="n">
        <f aca="false">AES79-AWF79</f>
        <v>0</v>
      </c>
      <c r="ALT79" s="20" t="n">
        <f aca="false">AET79-AWG79</f>
        <v>0</v>
      </c>
      <c r="ALU79" s="20" t="n">
        <f aca="false">AEU79-AWH79</f>
        <v>0</v>
      </c>
      <c r="ALV79" s="20" t="n">
        <f aca="false">AEV79-AWI79</f>
        <v>0</v>
      </c>
      <c r="ALW79" s="20" t="n">
        <f aca="false">AEW79-AWJ79</f>
        <v>0</v>
      </c>
      <c r="ALX79" s="20" t="n">
        <f aca="false">AEX79-AWK79</f>
        <v>0</v>
      </c>
      <c r="ALY79" s="20" t="n">
        <f aca="false">AEY79-AWL79</f>
        <v>0</v>
      </c>
      <c r="ALZ79" s="20" t="n">
        <f aca="false">AEZ79-AWM79</f>
        <v>0</v>
      </c>
      <c r="AMA79" s="20" t="n">
        <f aca="false">AFA79-AWN79</f>
        <v>0</v>
      </c>
      <c r="AMB79" s="20" t="n">
        <f aca="false">AFB79-AWO79</f>
        <v>0</v>
      </c>
      <c r="AMC79" s="20" t="n">
        <f aca="false">AFC79-AWP79</f>
        <v>0</v>
      </c>
      <c r="AMD79" s="20" t="n">
        <f aca="false">AFD79-AWQ79</f>
        <v>0</v>
      </c>
      <c r="AME79" s="20" t="n">
        <f aca="false">AFE79-AWR79</f>
        <v>0</v>
      </c>
      <c r="AMF79" s="20" t="n">
        <f aca="false">AFF79-AWS79</f>
        <v>0</v>
      </c>
      <c r="AMG79" s="20" t="n">
        <f aca="false">AFG79-AWT79</f>
        <v>0</v>
      </c>
      <c r="AMH79" s="20" t="n">
        <f aca="false">AFH79-AWU79</f>
        <v>0</v>
      </c>
      <c r="AMI79" s="20" t="n">
        <f aca="false">AFI79-AWV79</f>
        <v>0</v>
      </c>
      <c r="AMJ79" s="20" t="n">
        <f aca="false">AFJ79-AWW79</f>
        <v>0</v>
      </c>
      <c r="AMK79" s="20" t="n">
        <f aca="false">AFK79-AWX79</f>
        <v>0</v>
      </c>
      <c r="AML79" s="20" t="n">
        <f aca="false">AFL79-AWY79</f>
        <v>0</v>
      </c>
      <c r="AMM79" s="20" t="n">
        <f aca="false">AFM79-AWZ79</f>
        <v>0</v>
      </c>
      <c r="AMN79" s="20" t="n">
        <f aca="false">AFN79-AXA79</f>
        <v>0</v>
      </c>
      <c r="AMO79" s="20" t="n">
        <f aca="false">AFO79-AXB79</f>
        <v>0</v>
      </c>
      <c r="AMP79" s="20" t="n">
        <f aca="false">AFP79-AXC79</f>
        <v>0</v>
      </c>
      <c r="AMQ79" s="20" t="n">
        <f aca="false">AFQ79-AXD79</f>
        <v>0</v>
      </c>
      <c r="AMR79" s="20" t="n">
        <f aca="false">AFR79-AXE79</f>
        <v>0</v>
      </c>
      <c r="AMS79" s="20" t="n">
        <f aca="false">AFS79-AXF79</f>
        <v>0</v>
      </c>
      <c r="AMT79" s="20" t="n">
        <f aca="false">AFT79-AXG79</f>
        <v>0</v>
      </c>
      <c r="AMU79" s="20" t="n">
        <f aca="false">AFU79-AXH79</f>
        <v>0</v>
      </c>
      <c r="AMV79" s="20" t="n">
        <f aca="false">AFV79-AXI79</f>
        <v>0</v>
      </c>
      <c r="AMW79" s="20" t="n">
        <f aca="false">AFW79-AXJ79</f>
        <v>0</v>
      </c>
      <c r="AMX79" s="20" t="n">
        <f aca="false">AFX79-AXK79</f>
        <v>0</v>
      </c>
      <c r="AMY79" s="20" t="n">
        <f aca="false">AFY79-AXL79</f>
        <v>0</v>
      </c>
      <c r="AMZ79" s="20" t="n">
        <f aca="false">AFZ79-AXM79</f>
        <v>0</v>
      </c>
      <c r="ANA79" s="20" t="n">
        <f aca="false">AGA79-AXN79</f>
        <v>0</v>
      </c>
      <c r="ANB79" s="20" t="n">
        <f aca="false">AGB79-AXO79</f>
        <v>0</v>
      </c>
      <c r="ANC79" s="20" t="n">
        <f aca="false">AGC79-AXP79</f>
        <v>0</v>
      </c>
      <c r="AND79" s="20" t="n">
        <f aca="false">AGD79-AXQ79</f>
        <v>0</v>
      </c>
      <c r="ANE79" s="20" t="n">
        <f aca="false">AGE79-AXR79</f>
        <v>0</v>
      </c>
      <c r="ANF79" s="20" t="n">
        <f aca="false">AGF79-AXS79</f>
        <v>0</v>
      </c>
      <c r="ANG79" s="20" t="n">
        <f aca="false">AGG79-AXT79</f>
        <v>0</v>
      </c>
      <c r="ANH79" s="20" t="n">
        <f aca="false">AGH79-AXU79</f>
        <v>0</v>
      </c>
      <c r="ANI79" s="20" t="n">
        <f aca="false">AGI79-AXV79</f>
        <v>0</v>
      </c>
      <c r="ANJ79" s="20" t="n">
        <f aca="false">AGJ79-AXW79</f>
        <v>0</v>
      </c>
      <c r="ANK79" s="20" t="n">
        <f aca="false">AGK79-AXX79</f>
        <v>0</v>
      </c>
      <c r="ANL79" s="20" t="n">
        <f aca="false">AGL79-AXY79</f>
        <v>0</v>
      </c>
      <c r="ANM79" s="20" t="n">
        <v>0</v>
      </c>
      <c r="ANN79" s="20" t="n">
        <v>0</v>
      </c>
      <c r="ANO79" s="20" t="n">
        <v>0</v>
      </c>
      <c r="ANP79" s="20" t="n">
        <v>0</v>
      </c>
      <c r="ANQ79" s="20" t="n">
        <v>0</v>
      </c>
      <c r="ANR79" s="20" t="n">
        <v>0</v>
      </c>
      <c r="ANS79" s="20" t="n">
        <v>0</v>
      </c>
      <c r="ANT79" s="20" t="n">
        <v>0</v>
      </c>
      <c r="ANU79" s="20" t="n">
        <v>0</v>
      </c>
      <c r="ANV79" s="20" t="n">
        <v>0</v>
      </c>
      <c r="ANW79" s="20" t="n">
        <v>0</v>
      </c>
      <c r="ANX79" s="20" t="n">
        <v>0</v>
      </c>
      <c r="ANY79" s="20" t="n">
        <v>0</v>
      </c>
      <c r="ANZ79" s="20" t="n">
        <v>0</v>
      </c>
      <c r="AOA79" s="20" t="n">
        <v>0</v>
      </c>
      <c r="AOB79" s="20" t="n">
        <v>0</v>
      </c>
      <c r="AOC79" s="20" t="n">
        <v>0</v>
      </c>
      <c r="AOD79" s="20" t="n">
        <v>0</v>
      </c>
      <c r="AOE79" s="20" t="n">
        <f aca="false">IF(AND(H_Direct=0,H_TaxEvt=1,ARR78+1&gt;=H_Deemed),AKR79,AHE79)</f>
        <v>0</v>
      </c>
      <c r="AOF79" s="20" t="n">
        <f aca="false">IF(AND(H_Direct=0,H_TaxEvt=1,ARS78+1&gt;=H_Deemed),AKS79,AHF79)</f>
        <v>0</v>
      </c>
      <c r="AOG79" s="20" t="n">
        <f aca="false">IF(AND(H_Direct=0,H_TaxEvt=1,ART78+1&gt;=H_Deemed),AKT79,AHG79)</f>
        <v>0</v>
      </c>
      <c r="AOH79" s="20" t="n">
        <f aca="false">IF(AND(H_Direct=0,H_TaxEvt=1,ARU78+1&gt;=H_Deemed),AKU79,AHH79)</f>
        <v>0</v>
      </c>
      <c r="AOI79" s="20" t="n">
        <f aca="false">IF(AND(H_Direct=0,H_TaxEvt=1,ARV78+1&gt;=H_Deemed),AKV79,AHI79)</f>
        <v>0</v>
      </c>
      <c r="AOJ79" s="20" t="n">
        <f aca="false">IF(AND(H_Direct=0,H_TaxEvt=1,ARW78+1&gt;=H_Deemed),AKW79,AHJ79)</f>
        <v>0</v>
      </c>
      <c r="AOK79" s="20" t="n">
        <f aca="false">IF(AND(H_Direct=0,H_TaxEvt=1,ARX78+1&gt;=H_Deemed),AKX79,AHK79)</f>
        <v>0</v>
      </c>
      <c r="AOL79" s="20" t="n">
        <f aca="false">IF(AND(H_Direct=0,H_TaxEvt=1,ARY78+1&gt;=H_Deemed),AKY79,AHL79)</f>
        <v>0</v>
      </c>
      <c r="AOM79" s="20" t="n">
        <f aca="false">IF(AND(H_Direct=0,H_TaxEvt=1,ARZ78+1&gt;=H_Deemed),AKZ79,AHM79)</f>
        <v>0</v>
      </c>
      <c r="AON79" s="20" t="n">
        <f aca="false">IF(AND(H_Direct=0,H_TaxEvt=1,ASA78+1&gt;=H_Deemed),ALA79,AHN79)</f>
        <v>0</v>
      </c>
      <c r="AOO79" s="20" t="n">
        <f aca="false">IF(AND(H_Direct=0,H_TaxEvt=1,ASB78+1&gt;=H_Deemed),ALB79,AHO79)</f>
        <v>0</v>
      </c>
      <c r="AOP79" s="20" t="n">
        <f aca="false">IF(AND(H_Direct=0,H_TaxEvt=1,ASC78+1&gt;=H_Deemed),ALC79,AHP79)</f>
        <v>0</v>
      </c>
      <c r="AOQ79" s="20" t="n">
        <f aca="false">IF(AND(H_Direct=0,H_TaxEvt=1,ASD78+1&gt;=H_Deemed),ALD79,AHQ79)</f>
        <v>0</v>
      </c>
      <c r="AOR79" s="20" t="n">
        <f aca="false">IF(AND(H_Direct=0,H_TaxEvt=1,ASE78+1&gt;=H_Deemed),ALE79,AHR79)</f>
        <v>0</v>
      </c>
      <c r="AOS79" s="20" t="n">
        <f aca="false">IF(AND(H_Direct=0,H_TaxEvt=1,ASF78+1&gt;=H_Deemed),ALF79,AHS79)</f>
        <v>0</v>
      </c>
      <c r="AOT79" s="20" t="n">
        <f aca="false">IF(AND(H_Direct=0,H_TaxEvt=1,ASG78+1&gt;=H_Deemed),ALG79,AHT79)</f>
        <v>0</v>
      </c>
      <c r="AOU79" s="20" t="n">
        <f aca="false">IF(AND(H_Direct=0,H_TaxEvt=1,ASH78+1&gt;=H_Deemed),ALH79,AHU79)</f>
        <v>0</v>
      </c>
      <c r="AOV79" s="20" t="n">
        <f aca="false">IF(AND(H_Direct=0,H_TaxEvt=1,ASI78+1&gt;=H_Deemed),ALI79,AHV79)</f>
        <v>0</v>
      </c>
      <c r="AOW79" s="20" t="n">
        <f aca="false">IF(AND(H_Direct=0,H_TaxEvt=1,ASJ78+1&gt;=H_Deemed),ALJ79,AHW79)</f>
        <v>0</v>
      </c>
      <c r="AOX79" s="20" t="n">
        <f aca="false">IF(AND(H_Direct=0,H_TaxEvt=1,ASK78+1&gt;=H_Deemed),ALK79,AHX79)</f>
        <v>0</v>
      </c>
      <c r="AOY79" s="20" t="n">
        <f aca="false">IF(AND(H_Direct=0,H_TaxEvt=1,ASL78+1&gt;=H_Deemed),ALL79,AHY79)</f>
        <v>0</v>
      </c>
      <c r="AOZ79" s="20" t="n">
        <f aca="false">IF(AND(H_Direct=0,H_TaxEvt=1,ASM78+1&gt;=H_Deemed),ALM79,AHZ79)</f>
        <v>0</v>
      </c>
      <c r="APA79" s="20" t="n">
        <f aca="false">IF(AND(H_Direct=0,H_TaxEvt=1,ASN78+1&gt;=H_Deemed),ALN79,AIA79)</f>
        <v>0</v>
      </c>
      <c r="APB79" s="20" t="n">
        <f aca="false">IF(AND(H_Direct=0,H_TaxEvt=1,ASO78+1&gt;=H_Deemed),ALO79,AIB79)</f>
        <v>0</v>
      </c>
      <c r="APC79" s="20" t="n">
        <f aca="false">IF(AND(H_Direct=0,H_TaxEvt=1,ASP78+1&gt;=H_Deemed),ALP79,AIC79)</f>
        <v>0</v>
      </c>
      <c r="APD79" s="20" t="n">
        <f aca="false">IF(AND(H_Direct=0,H_TaxEvt=1,ASQ78+1&gt;=H_Deemed),ALQ79,AID79)</f>
        <v>0</v>
      </c>
      <c r="APE79" s="20" t="n">
        <f aca="false">IF(AND(H_Direct=0,H_TaxEvt=1,ASR78+1&gt;=H_Deemed),ALR79,AIE79)</f>
        <v>0</v>
      </c>
      <c r="APF79" s="20" t="n">
        <f aca="false">IF(AND(H_Direct=0,H_TaxEvt=1,ASS78+1&gt;=H_Deemed),ALS79,AIF79)</f>
        <v>0</v>
      </c>
      <c r="APG79" s="20" t="n">
        <f aca="false">IF(AND(H_Direct=0,H_TaxEvt=1,AST78+1&gt;=H_Deemed),ALT79,AIG79)</f>
        <v>0</v>
      </c>
      <c r="APH79" s="20" t="n">
        <f aca="false">IF(AND(H_Direct=0,H_TaxEvt=1,ASU78+1&gt;=H_Deemed),ALU79,AIH79)</f>
        <v>0</v>
      </c>
      <c r="API79" s="20" t="n">
        <f aca="false">IF(AND(H_Direct=0,H_TaxEvt=1,ASV78+1&gt;=H_Deemed),ALV79,AII79)</f>
        <v>0</v>
      </c>
      <c r="APJ79" s="20" t="n">
        <f aca="false">IF(AND(H_Direct=0,H_TaxEvt=1,ASW78+1&gt;=H_Deemed),ALW79,AIJ79)</f>
        <v>0</v>
      </c>
      <c r="APK79" s="20" t="n">
        <f aca="false">IF(AND(H_Direct=0,H_TaxEvt=1,ASX78+1&gt;=H_Deemed),ALX79,AIK79)</f>
        <v>0</v>
      </c>
      <c r="APL79" s="20" t="n">
        <f aca="false">IF(AND(H_Direct=0,H_TaxEvt=1,ASY78+1&gt;=H_Deemed),ALY79,AIL79)</f>
        <v>0</v>
      </c>
      <c r="APM79" s="20" t="n">
        <f aca="false">IF(AND(H_Direct=0,H_TaxEvt=1,ASZ78+1&gt;=H_Deemed),ALZ79,AIM79)</f>
        <v>0</v>
      </c>
      <c r="APN79" s="20" t="n">
        <f aca="false">IF(AND(H_Direct=0,H_TaxEvt=1,ATA78+1&gt;=H_Deemed),AMA79,AIN79)</f>
        <v>0</v>
      </c>
      <c r="APO79" s="20" t="n">
        <f aca="false">IF(AND(H_Direct=0,H_TaxEvt=1,ATB78+1&gt;=H_Deemed),AMB79,AIO79)</f>
        <v>0</v>
      </c>
      <c r="APP79" s="20" t="n">
        <f aca="false">IF(AND(H_Direct=0,H_TaxEvt=1,ATC78+1&gt;=H_Deemed),AMC79,AIP79)</f>
        <v>0</v>
      </c>
      <c r="APQ79" s="20" t="n">
        <f aca="false">IF(AND(H_Direct=0,H_TaxEvt=1,ATD78+1&gt;=H_Deemed),AMD79,AIQ79)</f>
        <v>0</v>
      </c>
      <c r="APR79" s="20" t="n">
        <f aca="false">IF(AND(H_Direct=0,H_TaxEvt=1,ATE78+1&gt;=H_Deemed),AME79,AIR79)</f>
        <v>0</v>
      </c>
      <c r="APS79" s="20" t="n">
        <f aca="false">IF(AND(H_Direct=0,H_TaxEvt=1,ATF78+1&gt;=H_Deemed),AMF79,AIS79)</f>
        <v>0</v>
      </c>
      <c r="APT79" s="20" t="n">
        <f aca="false">IF(AND(H_Direct=0,H_TaxEvt=1,ATG78+1&gt;=H_Deemed),AMG79,AIT79)</f>
        <v>0</v>
      </c>
      <c r="APU79" s="20" t="n">
        <f aca="false">IF(AND(H_Direct=0,H_TaxEvt=1,ATH78+1&gt;=H_Deemed),AMH79,AIU79)</f>
        <v>0</v>
      </c>
      <c r="APV79" s="20" t="n">
        <f aca="false">IF(AND(H_Direct=0,H_TaxEvt=1,ATI78+1&gt;=H_Deemed),AMI79,AIV79)</f>
        <v>0</v>
      </c>
      <c r="APW79" s="20" t="n">
        <f aca="false">IF(AND(H_Direct=0,H_TaxEvt=1,ATJ78+1&gt;=H_Deemed),AMJ79,AIW79)</f>
        <v>0</v>
      </c>
      <c r="APX79" s="20" t="n">
        <f aca="false">IF(AND(H_Direct=0,H_TaxEvt=1,ATK78+1&gt;=H_Deemed),AMK79,AIX79)</f>
        <v>0</v>
      </c>
      <c r="APY79" s="20" t="n">
        <f aca="false">IF(AND(H_Direct=0,H_TaxEvt=1,ATL78+1&gt;=H_Deemed),AML79,AIY79)</f>
        <v>0</v>
      </c>
      <c r="APZ79" s="20" t="n">
        <f aca="false">IF(AND(H_Direct=0,H_TaxEvt=1,ATM78+1&gt;=H_Deemed),AMM79,AIZ79)</f>
        <v>0</v>
      </c>
      <c r="AQA79" s="20" t="n">
        <f aca="false">IF(AND(H_Direct=0,H_TaxEvt=1,ATN78+1&gt;=H_Deemed),AMN79,AJA79)</f>
        <v>0</v>
      </c>
      <c r="AQB79" s="20" t="n">
        <f aca="false">IF(AND(H_Direct=0,H_TaxEvt=1,ATO78+1&gt;=H_Deemed),AMO79,AJB79)</f>
        <v>0</v>
      </c>
      <c r="AQC79" s="20" t="n">
        <f aca="false">IF(AND(H_Direct=0,H_TaxEvt=1,ATP78+1&gt;=H_Deemed),AMP79,AJC79)</f>
        <v>0</v>
      </c>
      <c r="AQD79" s="20" t="n">
        <f aca="false">IF(AND(H_Direct=0,H_TaxEvt=1,ATQ78+1&gt;=H_Deemed),AMQ79,AJD79)</f>
        <v>0</v>
      </c>
      <c r="AQE79" s="20" t="n">
        <f aca="false">IF(AND(H_Direct=0,H_TaxEvt=1,ATR78+1&gt;=H_Deemed),AMR79,AJE79)</f>
        <v>0</v>
      </c>
      <c r="AQF79" s="20" t="n">
        <f aca="false">IF(AND(H_Direct=0,H_TaxEvt=1,ATS78+1&gt;=H_Deemed),AMS79,AJF79)</f>
        <v>0</v>
      </c>
      <c r="AQG79" s="20" t="n">
        <f aca="false">IF(AND(H_Direct=0,H_TaxEvt=1,ATT78+1&gt;=H_Deemed),AMT79,AJG79)</f>
        <v>0</v>
      </c>
      <c r="AQH79" s="20" t="n">
        <f aca="false">IF(AND(H_Direct=0,H_TaxEvt=1,ATU78+1&gt;=H_Deemed),AMU79,AJH79)</f>
        <v>0</v>
      </c>
      <c r="AQI79" s="20" t="n">
        <f aca="false">IF(AND(H_Direct=0,H_TaxEvt=1,ATV78+1&gt;=H_Deemed),AMV79,AJI79)</f>
        <v>0</v>
      </c>
      <c r="AQJ79" s="20" t="n">
        <f aca="false">IF(AND(H_Direct=0,H_TaxEvt=1,ATW78+1&gt;=H_Deemed),AMW79,AJJ79)</f>
        <v>0</v>
      </c>
      <c r="AQK79" s="20" t="n">
        <f aca="false">IF(AND(H_Direct=0,H_TaxEvt=1,ATX78+1&gt;=H_Deemed),AMX79,AJK79)</f>
        <v>0</v>
      </c>
      <c r="AQL79" s="20" t="n">
        <f aca="false">IF(AND(H_Direct=0,H_TaxEvt=1,ATY78+1&gt;=H_Deemed),AMY79,AJL79)</f>
        <v>0</v>
      </c>
      <c r="AQM79" s="20" t="n">
        <f aca="false">IF(AND(H_Direct=0,H_TaxEvt=1,ATZ78+1&gt;=H_Deemed),AMZ79,AJM79)</f>
        <v>0</v>
      </c>
      <c r="AQN79" s="20" t="n">
        <f aca="false">IF(AND(H_Direct=0,H_TaxEvt=1,AUA78+1&gt;=H_Deemed),ANA79,AJN79)</f>
        <v>0</v>
      </c>
      <c r="AQO79" s="20" t="n">
        <f aca="false">IF(AND(H_Direct=0,H_TaxEvt=1,AUB78+1&gt;=H_Deemed),ANB79,AJO79)</f>
        <v>0</v>
      </c>
      <c r="AQP79" s="20" t="n">
        <f aca="false">IF(AND(H_Direct=0,H_TaxEvt=1,AUC78+1&gt;=H_Deemed),ANC79,AJP79)</f>
        <v>0</v>
      </c>
      <c r="AQQ79" s="20" t="n">
        <f aca="false">IF(AND(H_Direct=0,H_TaxEvt=1,AUD78+1&gt;=H_Deemed),AND79,AJQ79)</f>
        <v>0</v>
      </c>
      <c r="AQR79" s="20" t="n">
        <f aca="false">IF(AND(H_Direct=0,H_TaxEvt=1,AUE78+1&gt;=H_Deemed),ANE79,AJR79)</f>
        <v>0</v>
      </c>
      <c r="AQS79" s="20" t="n">
        <f aca="false">IF(AND(H_Direct=0,H_TaxEvt=1,AUF78+1&gt;=H_Deemed),ANF79,AJS79)</f>
        <v>0</v>
      </c>
      <c r="AQT79" s="20" t="n">
        <f aca="false">IF(AND(H_Direct=0,H_TaxEvt=1,AUG78+1&gt;=H_Deemed),ANG79,AJT79)</f>
        <v>0</v>
      </c>
      <c r="AQU79" s="20" t="n">
        <f aca="false">IF(AND(H_Direct=0,H_TaxEvt=1,AUH78+1&gt;=H_Deemed),ANH79,AJU79)</f>
        <v>0</v>
      </c>
      <c r="AQV79" s="20" t="n">
        <f aca="false">IF(AND(H_Direct=0,H_TaxEvt=1,AUI78+1&gt;=H_Deemed),ANI79,AJV79)</f>
        <v>0</v>
      </c>
      <c r="AQW79" s="20" t="n">
        <f aca="false">IF(AND(H_Direct=0,H_TaxEvt=1,AUJ78+1&gt;=H_Deemed),ANJ79,AJW79)</f>
        <v>0</v>
      </c>
      <c r="AQX79" s="20" t="n">
        <f aca="false">IF(AND(H_Direct=0,H_TaxEvt=1,AUK78+1&gt;=H_Deemed),ANK79,AJX79)</f>
        <v>0</v>
      </c>
      <c r="AQY79" s="20" t="n">
        <f aca="false">IF(AND(H_Direct=0,H_TaxEvt=1,0+1&gt;=H_Deemed),ANL79,AJY79)</f>
        <v>0</v>
      </c>
      <c r="AQZ79" s="20" t="n">
        <v>0</v>
      </c>
      <c r="ARA79" s="20" t="n">
        <v>0</v>
      </c>
      <c r="ARB79" s="20" t="n">
        <v>0</v>
      </c>
      <c r="ARC79" s="20" t="n">
        <v>0</v>
      </c>
      <c r="ARD79" s="20" t="n">
        <v>0</v>
      </c>
      <c r="ARE79" s="20" t="n">
        <v>0</v>
      </c>
      <c r="ARF79" s="20" t="n">
        <v>0</v>
      </c>
      <c r="ARG79" s="20" t="n">
        <v>0</v>
      </c>
      <c r="ARH79" s="20" t="n">
        <v>0</v>
      </c>
      <c r="ARI79" s="20" t="n">
        <v>0</v>
      </c>
      <c r="ARJ79" s="20" t="n">
        <v>0</v>
      </c>
      <c r="ARK79" s="20" t="n">
        <v>0</v>
      </c>
      <c r="ARL79" s="20" t="n">
        <v>0</v>
      </c>
      <c r="ARM79" s="20" t="n">
        <v>0</v>
      </c>
      <c r="ARN79" s="20" t="n">
        <v>0</v>
      </c>
      <c r="ARO79" s="20" t="n">
        <v>0</v>
      </c>
      <c r="ARP79" s="20" t="n">
        <v>0</v>
      </c>
      <c r="ARQ79" s="20" t="n">
        <v>0</v>
      </c>
      <c r="ARR79" s="20" t="n">
        <f aca="false">IF(AND(H_Direct=0,H_TaxEvt=1),IF(ARR78+1&gt;=H_Deemed,0,ARR78+1),ARR78)</f>
        <v>0</v>
      </c>
      <c r="ARS79" s="20" t="n">
        <f aca="false">IF(AND(H_Direct=0,H_TaxEvt=1),IF(ARS78+1&gt;=H_Deemed,0,ARS78+1),ARS78)</f>
        <v>0</v>
      </c>
      <c r="ART79" s="20" t="n">
        <f aca="false">IF(AND(H_Direct=0,H_TaxEvt=1),IF(ART78+1&gt;=H_Deemed,0,ART78+1),ART78)</f>
        <v>7</v>
      </c>
      <c r="ARU79" s="20" t="n">
        <f aca="false">IF(AND(H_Direct=0,H_TaxEvt=1),IF(ARU78+1&gt;=H_Deemed,0,ARU78+1),ARU78)</f>
        <v>6</v>
      </c>
      <c r="ARV79" s="20" t="n">
        <f aca="false">IF(AND(H_Direct=0,H_TaxEvt=1),IF(ARV78+1&gt;=H_Deemed,0,ARV78+1),ARV78)</f>
        <v>5</v>
      </c>
      <c r="ARW79" s="20" t="n">
        <f aca="false">IF(AND(H_Direct=0,H_TaxEvt=1),IF(ARW78+1&gt;=H_Deemed,0,ARW78+1),ARW78)</f>
        <v>4</v>
      </c>
      <c r="ARX79" s="20" t="n">
        <f aca="false">IF(AND(H_Direct=0,H_TaxEvt=1),IF(ARX78+1&gt;=H_Deemed,0,ARX78+1),ARX78)</f>
        <v>3</v>
      </c>
      <c r="ARY79" s="20" t="n">
        <f aca="false">IF(AND(H_Direct=0,H_TaxEvt=1),IF(ARY78+1&gt;=H_Deemed,0,ARY78+1),ARY78)</f>
        <v>2</v>
      </c>
      <c r="ARZ79" s="20" t="n">
        <f aca="false">IF(AND(H_Direct=0,H_TaxEvt=1),IF(ARZ78+1&gt;=H_Deemed,0,ARZ78+1),ARZ78)</f>
        <v>1</v>
      </c>
      <c r="ASA79" s="20" t="n">
        <f aca="false">IF(AND(H_Direct=0,H_TaxEvt=1),IF(ASA78+1&gt;=H_Deemed,0,ASA78+1),ASA78)</f>
        <v>0</v>
      </c>
      <c r="ASB79" s="20" t="n">
        <f aca="false">IF(AND(H_Direct=0,H_TaxEvt=1),IF(ASB78+1&gt;=H_Deemed,0,ASB78+1),ASB78)</f>
        <v>7</v>
      </c>
      <c r="ASC79" s="20" t="n">
        <f aca="false">IF(AND(H_Direct=0,H_TaxEvt=1),IF(ASC78+1&gt;=H_Deemed,0,ASC78+1),ASC78)</f>
        <v>6</v>
      </c>
      <c r="ASD79" s="20" t="n">
        <f aca="false">IF(AND(H_Direct=0,H_TaxEvt=1),IF(ASD78+1&gt;=H_Deemed,0,ASD78+1),ASD78)</f>
        <v>5</v>
      </c>
      <c r="ASE79" s="20" t="n">
        <f aca="false">IF(AND(H_Direct=0,H_TaxEvt=1),IF(ASE78+1&gt;=H_Deemed,0,ASE78+1),ASE78)</f>
        <v>4</v>
      </c>
      <c r="ASF79" s="20" t="n">
        <f aca="false">IF(AND(H_Direct=0,H_TaxEvt=1),IF(ASF78+1&gt;=H_Deemed,0,ASF78+1),ASF78)</f>
        <v>3</v>
      </c>
      <c r="ASG79" s="20" t="n">
        <f aca="false">IF(AND(H_Direct=0,H_TaxEvt=1),IF(ASG78+1&gt;=H_Deemed,0,ASG78+1),ASG78)</f>
        <v>2</v>
      </c>
      <c r="ASH79" s="20" t="n">
        <f aca="false">IF(AND(H_Direct=0,H_TaxEvt=1),IF(ASH78+1&gt;=H_Deemed,0,ASH78+1),ASH78)</f>
        <v>1</v>
      </c>
      <c r="ASI79" s="20" t="n">
        <f aca="false">IF(AND(H_Direct=0,H_TaxEvt=1),IF(ASI78+1&gt;=H_Deemed,0,ASI78+1),ASI78)</f>
        <v>0</v>
      </c>
      <c r="ASJ79" s="20" t="n">
        <f aca="false">IF(AND(H_Direct=0,H_TaxEvt=1),IF(ASJ78+1&gt;=H_Deemed,0,ASJ78+1),ASJ78)</f>
        <v>7</v>
      </c>
      <c r="ASK79" s="20" t="n">
        <f aca="false">IF(AND(H_Direct=0,H_TaxEvt=1),IF(ASK78+1&gt;=H_Deemed,0,ASK78+1),ASK78)</f>
        <v>6</v>
      </c>
      <c r="ASL79" s="20" t="n">
        <f aca="false">IF(AND(H_Direct=0,H_TaxEvt=1),IF(ASL78+1&gt;=H_Deemed,0,ASL78+1),ASL78)</f>
        <v>5</v>
      </c>
      <c r="ASM79" s="20" t="n">
        <f aca="false">IF(AND(H_Direct=0,H_TaxEvt=1),IF(ASM78+1&gt;=H_Deemed,0,ASM78+1),ASM78)</f>
        <v>4</v>
      </c>
      <c r="ASN79" s="20" t="n">
        <f aca="false">IF(AND(H_Direct=0,H_TaxEvt=1),IF(ASN78+1&gt;=H_Deemed,0,ASN78+1),ASN78)</f>
        <v>3</v>
      </c>
      <c r="ASO79" s="20" t="n">
        <f aca="false">IF(AND(H_Direct=0,H_TaxEvt=1),IF(ASO78+1&gt;=H_Deemed,0,ASO78+1),ASO78)</f>
        <v>2</v>
      </c>
      <c r="ASP79" s="20" t="n">
        <f aca="false">IF(AND(H_Direct=0,H_TaxEvt=1),IF(ASP78+1&gt;=H_Deemed,0,ASP78+1),ASP78)</f>
        <v>1</v>
      </c>
      <c r="ASQ79" s="20" t="n">
        <f aca="false">IF(AND(H_Direct=0,H_TaxEvt=1),IF(ASQ78+1&gt;=H_Deemed,0,ASQ78+1),ASQ78)</f>
        <v>0</v>
      </c>
      <c r="ASR79" s="20" t="n">
        <f aca="false">IF(AND(H_Direct=0,H_TaxEvt=1),IF(ASR78+1&gt;=H_Deemed,0,ASR78+1),ASR78)</f>
        <v>7</v>
      </c>
      <c r="ASS79" s="20" t="n">
        <f aca="false">IF(AND(H_Direct=0,H_TaxEvt=1),IF(ASS78+1&gt;=H_Deemed,0,ASS78+1),ASS78)</f>
        <v>6</v>
      </c>
      <c r="AST79" s="20" t="n">
        <f aca="false">IF(AND(H_Direct=0,H_TaxEvt=1),IF(AST78+1&gt;=H_Deemed,0,AST78+1),AST78)</f>
        <v>5</v>
      </c>
      <c r="ASU79" s="20" t="n">
        <f aca="false">IF(AND(H_Direct=0,H_TaxEvt=1),IF(ASU78+1&gt;=H_Deemed,0,ASU78+1),ASU78)</f>
        <v>4</v>
      </c>
      <c r="ASV79" s="20" t="n">
        <f aca="false">IF(AND(H_Direct=0,H_TaxEvt=1),IF(ASV78+1&gt;=H_Deemed,0,ASV78+1),ASV78)</f>
        <v>3</v>
      </c>
      <c r="ASW79" s="20" t="n">
        <f aca="false">IF(AND(H_Direct=0,H_TaxEvt=1),IF(ASW78+1&gt;=H_Deemed,0,ASW78+1),ASW78)</f>
        <v>2</v>
      </c>
      <c r="ASX79" s="20" t="n">
        <f aca="false">IF(AND(H_Direct=0,H_TaxEvt=1),IF(ASX78+1&gt;=H_Deemed,0,ASX78+1),ASX78)</f>
        <v>1</v>
      </c>
      <c r="ASY79" s="20" t="n">
        <f aca="false">IF(AND(H_Direct=0,H_TaxEvt=1),IF(ASY78+1&gt;=H_Deemed,0,ASY78+1),ASY78)</f>
        <v>0</v>
      </c>
      <c r="ASZ79" s="20" t="n">
        <f aca="false">IF(AND(H_Direct=0,H_TaxEvt=1),IF(ASZ78+1&gt;=H_Deemed,0,ASZ78+1),ASZ78)</f>
        <v>7</v>
      </c>
      <c r="ATA79" s="20" t="n">
        <f aca="false">IF(AND(H_Direct=0,H_TaxEvt=1),IF(ATA78+1&gt;=H_Deemed,0,ATA78+1),ATA78)</f>
        <v>6</v>
      </c>
      <c r="ATB79" s="20" t="n">
        <f aca="false">IF(AND(H_Direct=0,H_TaxEvt=1),IF(ATB78+1&gt;=H_Deemed,0,ATB78+1),ATB78)</f>
        <v>5</v>
      </c>
      <c r="ATC79" s="20" t="n">
        <f aca="false">IF(AND(H_Direct=0,H_TaxEvt=1),IF(ATC78+1&gt;=H_Deemed,0,ATC78+1),ATC78)</f>
        <v>4</v>
      </c>
      <c r="ATD79" s="20" t="n">
        <f aca="false">IF(AND(H_Direct=0,H_TaxEvt=1),IF(ATD78+1&gt;=H_Deemed,0,ATD78+1),ATD78)</f>
        <v>3</v>
      </c>
      <c r="ATE79" s="20" t="n">
        <f aca="false">IF(AND(H_Direct=0,H_TaxEvt=1),IF(ATE78+1&gt;=H_Deemed,0,ATE78+1),ATE78)</f>
        <v>2</v>
      </c>
      <c r="ATF79" s="20" t="n">
        <f aca="false">IF(AND(H_Direct=0,H_TaxEvt=1),IF(ATF78+1&gt;=H_Deemed,0,ATF78+1),ATF78)</f>
        <v>1</v>
      </c>
      <c r="ATG79" s="20" t="n">
        <f aca="false">IF(AND(H_Direct=0,H_TaxEvt=1),IF(ATG78+1&gt;=H_Deemed,0,ATG78+1),ATG78)</f>
        <v>0</v>
      </c>
      <c r="ATH79" s="20" t="n">
        <f aca="false">IF(AND(H_Direct=0,H_TaxEvt=1),IF(ATH78+1&gt;=H_Deemed,0,ATH78+1),ATH78)</f>
        <v>7</v>
      </c>
      <c r="ATI79" s="20" t="n">
        <f aca="false">IF(AND(H_Direct=0,H_TaxEvt=1),IF(ATI78+1&gt;=H_Deemed,0,ATI78+1),ATI78)</f>
        <v>6</v>
      </c>
      <c r="ATJ79" s="20" t="n">
        <f aca="false">IF(AND(H_Direct=0,H_TaxEvt=1),IF(ATJ78+1&gt;=H_Deemed,0,ATJ78+1),ATJ78)</f>
        <v>5</v>
      </c>
      <c r="ATK79" s="20" t="n">
        <f aca="false">IF(AND(H_Direct=0,H_TaxEvt=1),IF(ATK78+1&gt;=H_Deemed,0,ATK78+1),ATK78)</f>
        <v>4</v>
      </c>
      <c r="ATL79" s="20" t="n">
        <f aca="false">IF(AND(H_Direct=0,H_TaxEvt=1),IF(ATL78+1&gt;=H_Deemed,0,ATL78+1),ATL78)</f>
        <v>3</v>
      </c>
      <c r="ATM79" s="20" t="n">
        <f aca="false">IF(AND(H_Direct=0,H_TaxEvt=1),IF(ATM78+1&gt;=H_Deemed,0,ATM78+1),ATM78)</f>
        <v>2</v>
      </c>
      <c r="ATN79" s="20" t="n">
        <f aca="false">IF(AND(H_Direct=0,H_TaxEvt=1),IF(ATN78+1&gt;=H_Deemed,0,ATN78+1),ATN78)</f>
        <v>1</v>
      </c>
      <c r="ATO79" s="20" t="n">
        <f aca="false">IF(AND(H_Direct=0,H_TaxEvt=1),IF(ATO78+1&gt;=H_Deemed,0,ATO78+1),ATO78)</f>
        <v>0</v>
      </c>
      <c r="ATP79" s="20" t="n">
        <f aca="false">IF(AND(H_Direct=0,H_TaxEvt=1),IF(ATP78+1&gt;=H_Deemed,0,ATP78+1),ATP78)</f>
        <v>7</v>
      </c>
      <c r="ATQ79" s="20" t="n">
        <f aca="false">IF(AND(H_Direct=0,H_TaxEvt=1),IF(ATQ78+1&gt;=H_Deemed,0,ATQ78+1),ATQ78)</f>
        <v>6</v>
      </c>
      <c r="ATR79" s="20" t="n">
        <f aca="false">IF(AND(H_Direct=0,H_TaxEvt=1),IF(ATR78+1&gt;=H_Deemed,0,ATR78+1),ATR78)</f>
        <v>5</v>
      </c>
      <c r="ATS79" s="20" t="n">
        <f aca="false">IF(AND(H_Direct=0,H_TaxEvt=1),IF(ATS78+1&gt;=H_Deemed,0,ATS78+1),ATS78)</f>
        <v>4</v>
      </c>
      <c r="ATT79" s="20" t="n">
        <f aca="false">IF(AND(H_Direct=0,H_TaxEvt=1),IF(ATT78+1&gt;=H_Deemed,0,ATT78+1),ATT78)</f>
        <v>3</v>
      </c>
      <c r="ATU79" s="20" t="n">
        <f aca="false">IF(AND(H_Direct=0,H_TaxEvt=1),IF(ATU78+1&gt;=H_Deemed,0,ATU78+1),ATU78)</f>
        <v>2</v>
      </c>
      <c r="ATV79" s="20" t="n">
        <f aca="false">IF(AND(H_Direct=0,H_TaxEvt=1),IF(ATV78+1&gt;=H_Deemed,0,ATV78+1),ATV78)</f>
        <v>1</v>
      </c>
      <c r="ATW79" s="20" t="n">
        <f aca="false">IF(AND(H_Direct=0,H_TaxEvt=1),IF(ATW78+1&gt;=H_Deemed,0,ATW78+1),ATW78)</f>
        <v>0</v>
      </c>
      <c r="ATX79" s="20" t="n">
        <f aca="false">IF(AND(H_Direct=0,H_TaxEvt=1),IF(ATX78+1&gt;=H_Deemed,0,ATX78+1),ATX78)</f>
        <v>7</v>
      </c>
      <c r="ATY79" s="20" t="n">
        <f aca="false">IF(AND(H_Direct=0,H_TaxEvt=1),IF(ATY78+1&gt;=H_Deemed,0,ATY78+1),ATY78)</f>
        <v>6</v>
      </c>
      <c r="ATZ79" s="20" t="n">
        <f aca="false">IF(AND(H_Direct=0,H_TaxEvt=1),IF(ATZ78+1&gt;=H_Deemed,0,ATZ78+1),ATZ78)</f>
        <v>5</v>
      </c>
      <c r="AUA79" s="20" t="n">
        <f aca="false">IF(AND(H_Direct=0,H_TaxEvt=1),IF(AUA78+1&gt;=H_Deemed,0,AUA78+1),AUA78)</f>
        <v>4</v>
      </c>
      <c r="AUB79" s="20" t="n">
        <f aca="false">IF(AND(H_Direct=0,H_TaxEvt=1),IF(AUB78+1&gt;=H_Deemed,0,AUB78+1),AUB78)</f>
        <v>3</v>
      </c>
      <c r="AUC79" s="20" t="n">
        <f aca="false">IF(AND(H_Direct=0,H_TaxEvt=1),IF(AUC78+1&gt;=H_Deemed,0,AUC78+1),AUC78)</f>
        <v>2</v>
      </c>
      <c r="AUD79" s="20" t="n">
        <f aca="false">IF(AND(H_Direct=0,H_TaxEvt=1),IF(AUD78+1&gt;=H_Deemed,0,AUD78+1),AUD78)</f>
        <v>1</v>
      </c>
      <c r="AUE79" s="20" t="n">
        <f aca="false">IF(AND(H_Direct=0,H_TaxEvt=1),IF(AUE78+1&gt;=H_Deemed,0,AUE78+1),AUE78)</f>
        <v>0</v>
      </c>
      <c r="AUF79" s="20" t="n">
        <f aca="false">IF(AND(H_Direct=0,H_TaxEvt=1),IF(AUF78+1&gt;=H_Deemed,0,AUF78+1),AUF78)</f>
        <v>7</v>
      </c>
      <c r="AUG79" s="20" t="n">
        <f aca="false">IF(AND(H_Direct=0,H_TaxEvt=1),IF(AUG78+1&gt;=H_Deemed,0,AUG78+1),AUG78)</f>
        <v>6</v>
      </c>
      <c r="AUH79" s="20" t="n">
        <f aca="false">IF(AND(H_Direct=0,H_TaxEvt=1),IF(AUH78+1&gt;=H_Deemed,0,AUH78+1),AUH78)</f>
        <v>5</v>
      </c>
      <c r="AUI79" s="20" t="n">
        <f aca="false">IF(AND(H_Direct=0,H_TaxEvt=1),IF(AUI78+1&gt;=H_Deemed,0,AUI78+1),AUI78)</f>
        <v>4</v>
      </c>
      <c r="AUJ79" s="20" t="n">
        <f aca="false">IF(AND(H_Direct=0,H_TaxEvt=1),IF(AUJ78+1&gt;=H_Deemed,0,AUJ78+1),AUJ78)</f>
        <v>3</v>
      </c>
      <c r="AUK79" s="20" t="n">
        <f aca="false">IF(AND(H_Direct=0,H_TaxEvt=1),IF(AUK78+1&gt;=H_Deemed,0,AUK78+1),AUK78)</f>
        <v>2</v>
      </c>
      <c r="AUL79" s="20" t="n">
        <f aca="false">IF(AND(H_Direct=0,H_TaxEvt=1),IF(0+1&gt;=H_Deemed,0,0+1),0)</f>
        <v>1</v>
      </c>
      <c r="AUM79" s="20" t="n">
        <v>0</v>
      </c>
      <c r="AUN79" s="20" t="n">
        <v>0</v>
      </c>
      <c r="AUO79" s="20" t="n">
        <v>0</v>
      </c>
      <c r="AUP79" s="20" t="n">
        <v>0</v>
      </c>
      <c r="AUQ79" s="20" t="n">
        <v>0</v>
      </c>
      <c r="AUR79" s="20" t="n">
        <v>0</v>
      </c>
      <c r="AUS79" s="20" t="n">
        <v>0</v>
      </c>
      <c r="AUT79" s="20" t="n">
        <v>0</v>
      </c>
      <c r="AUU79" s="20" t="n">
        <v>0</v>
      </c>
      <c r="AUV79" s="20" t="n">
        <v>0</v>
      </c>
      <c r="AUW79" s="20" t="n">
        <v>0</v>
      </c>
      <c r="AUX79" s="20" t="n">
        <v>0</v>
      </c>
      <c r="AUY79" s="20" t="n">
        <v>0</v>
      </c>
      <c r="AUZ79" s="20" t="n">
        <v>0</v>
      </c>
      <c r="AVA79" s="20" t="n">
        <v>0</v>
      </c>
      <c r="AVB79" s="20" t="n">
        <v>0</v>
      </c>
      <c r="AVC79" s="20" t="n">
        <v>0</v>
      </c>
      <c r="AVD79" s="20" t="n">
        <v>0</v>
      </c>
      <c r="AVE79" s="20" t="n">
        <f aca="false">IF(AND(H_Direct=0,H_TaxEvt=1,ARR78+1&gt;=H_Deemed),MAX(0,ADR79-AHE79)*H_Exit,0)</f>
        <v>0</v>
      </c>
      <c r="AVF79" s="20" t="n">
        <f aca="false">IF(AND(H_Direct=0,H_TaxEvt=1,ARS78+1&gt;=H_Deemed),MAX(0,ADS79-AHF79)*H_Exit,0)</f>
        <v>0</v>
      </c>
      <c r="AVG79" s="20" t="n">
        <f aca="false">IF(AND(H_Direct=0,H_TaxEvt=1,ART78+1&gt;=H_Deemed),MAX(0,ADT79-AHG79)*H_Exit,0)</f>
        <v>0</v>
      </c>
      <c r="AVH79" s="20" t="n">
        <f aca="false">IF(AND(H_Direct=0,H_TaxEvt=1,ARU78+1&gt;=H_Deemed),MAX(0,ADU79-AHH79)*H_Exit,0)</f>
        <v>0</v>
      </c>
      <c r="AVI79" s="20" t="n">
        <f aca="false">IF(AND(H_Direct=0,H_TaxEvt=1,ARV78+1&gt;=H_Deemed),MAX(0,ADV79-AHI79)*H_Exit,0)</f>
        <v>0</v>
      </c>
      <c r="AVJ79" s="20" t="n">
        <f aca="false">IF(AND(H_Direct=0,H_TaxEvt=1,ARW78+1&gt;=H_Deemed),MAX(0,ADW79-AHJ79)*H_Exit,0)</f>
        <v>0</v>
      </c>
      <c r="AVK79" s="20" t="n">
        <f aca="false">IF(AND(H_Direct=0,H_TaxEvt=1,ARX78+1&gt;=H_Deemed),MAX(0,ADX79-AHK79)*H_Exit,0)</f>
        <v>0</v>
      </c>
      <c r="AVL79" s="20" t="n">
        <f aca="false">IF(AND(H_Direct=0,H_TaxEvt=1,ARY78+1&gt;=H_Deemed),MAX(0,ADY79-AHL79)*H_Exit,0)</f>
        <v>0</v>
      </c>
      <c r="AVM79" s="20" t="n">
        <f aca="false">IF(AND(H_Direct=0,H_TaxEvt=1,ARZ78+1&gt;=H_Deemed),MAX(0,ADZ79-AHM79)*H_Exit,0)</f>
        <v>0</v>
      </c>
      <c r="AVN79" s="20" t="n">
        <f aca="false">IF(AND(H_Direct=0,H_TaxEvt=1,ASA78+1&gt;=H_Deemed),MAX(0,AEA79-AHN79)*H_Exit,0)</f>
        <v>0</v>
      </c>
      <c r="AVO79" s="20" t="n">
        <f aca="false">IF(AND(H_Direct=0,H_TaxEvt=1,ASB78+1&gt;=H_Deemed),MAX(0,AEB79-AHO79)*H_Exit,0)</f>
        <v>0</v>
      </c>
      <c r="AVP79" s="20" t="n">
        <f aca="false">IF(AND(H_Direct=0,H_TaxEvt=1,ASC78+1&gt;=H_Deemed),MAX(0,AEC79-AHP79)*H_Exit,0)</f>
        <v>0</v>
      </c>
      <c r="AVQ79" s="20" t="n">
        <f aca="false">IF(AND(H_Direct=0,H_TaxEvt=1,ASD78+1&gt;=H_Deemed),MAX(0,AED79-AHQ79)*H_Exit,0)</f>
        <v>0</v>
      </c>
      <c r="AVR79" s="20" t="n">
        <f aca="false">IF(AND(H_Direct=0,H_TaxEvt=1,ASE78+1&gt;=H_Deemed),MAX(0,AEE79-AHR79)*H_Exit,0)</f>
        <v>0</v>
      </c>
      <c r="AVS79" s="20" t="n">
        <f aca="false">IF(AND(H_Direct=0,H_TaxEvt=1,ASF78+1&gt;=H_Deemed),MAX(0,AEF79-AHS79)*H_Exit,0)</f>
        <v>0</v>
      </c>
      <c r="AVT79" s="20" t="n">
        <f aca="false">IF(AND(H_Direct=0,H_TaxEvt=1,ASG78+1&gt;=H_Deemed),MAX(0,AEG79-AHT79)*H_Exit,0)</f>
        <v>0</v>
      </c>
      <c r="AVU79" s="20" t="n">
        <f aca="false">IF(AND(H_Direct=0,H_TaxEvt=1,ASH78+1&gt;=H_Deemed),MAX(0,AEH79-AHU79)*H_Exit,0)</f>
        <v>0</v>
      </c>
      <c r="AVV79" s="20" t="n">
        <f aca="false">IF(AND(H_Direct=0,H_TaxEvt=1,ASI78+1&gt;=H_Deemed),MAX(0,AEI79-AHV79)*H_Exit,0)</f>
        <v>0</v>
      </c>
      <c r="AVW79" s="20" t="n">
        <f aca="false">IF(AND(H_Direct=0,H_TaxEvt=1,ASJ78+1&gt;=H_Deemed),MAX(0,AEJ79-AHW79)*H_Exit,0)</f>
        <v>0</v>
      </c>
      <c r="AVX79" s="20" t="n">
        <f aca="false">IF(AND(H_Direct=0,H_TaxEvt=1,ASK78+1&gt;=H_Deemed),MAX(0,AEK79-AHX79)*H_Exit,0)</f>
        <v>0</v>
      </c>
      <c r="AVY79" s="20" t="n">
        <f aca="false">IF(AND(H_Direct=0,H_TaxEvt=1,ASL78+1&gt;=H_Deemed),MAX(0,AEL79-AHY79)*H_Exit,0)</f>
        <v>0</v>
      </c>
      <c r="AVZ79" s="20" t="n">
        <f aca="false">IF(AND(H_Direct=0,H_TaxEvt=1,ASM78+1&gt;=H_Deemed),MAX(0,AEM79-AHZ79)*H_Exit,0)</f>
        <v>0</v>
      </c>
      <c r="AWA79" s="20" t="n">
        <f aca="false">IF(AND(H_Direct=0,H_TaxEvt=1,ASN78+1&gt;=H_Deemed),MAX(0,AEN79-AIA79)*H_Exit,0)</f>
        <v>0</v>
      </c>
      <c r="AWB79" s="20" t="n">
        <f aca="false">IF(AND(H_Direct=0,H_TaxEvt=1,ASO78+1&gt;=H_Deemed),MAX(0,AEO79-AIB79)*H_Exit,0)</f>
        <v>0</v>
      </c>
      <c r="AWC79" s="20" t="n">
        <f aca="false">IF(AND(H_Direct=0,H_TaxEvt=1,ASP78+1&gt;=H_Deemed),MAX(0,AEP79-AIC79)*H_Exit,0)</f>
        <v>0</v>
      </c>
      <c r="AWD79" s="20" t="n">
        <f aca="false">IF(AND(H_Direct=0,H_TaxEvt=1,ASQ78+1&gt;=H_Deemed),MAX(0,AEQ79-AID79)*H_Exit,0)</f>
        <v>0</v>
      </c>
      <c r="AWE79" s="20" t="n">
        <f aca="false">IF(AND(H_Direct=0,H_TaxEvt=1,ASR78+1&gt;=H_Deemed),MAX(0,AER79-AIE79)*H_Exit,0)</f>
        <v>0</v>
      </c>
      <c r="AWF79" s="20" t="n">
        <f aca="false">IF(AND(H_Direct=0,H_TaxEvt=1,ASS78+1&gt;=H_Deemed),MAX(0,AES79-AIF79)*H_Exit,0)</f>
        <v>0</v>
      </c>
      <c r="AWG79" s="20" t="n">
        <f aca="false">IF(AND(H_Direct=0,H_TaxEvt=1,AST78+1&gt;=H_Deemed),MAX(0,AET79-AIG79)*H_Exit,0)</f>
        <v>0</v>
      </c>
      <c r="AWH79" s="20" t="n">
        <f aca="false">IF(AND(H_Direct=0,H_TaxEvt=1,ASU78+1&gt;=H_Deemed),MAX(0,AEU79-AIH79)*H_Exit,0)</f>
        <v>0</v>
      </c>
      <c r="AWI79" s="20" t="n">
        <f aca="false">IF(AND(H_Direct=0,H_TaxEvt=1,ASV78+1&gt;=H_Deemed),MAX(0,AEV79-AII79)*H_Exit,0)</f>
        <v>0</v>
      </c>
      <c r="AWJ79" s="20" t="n">
        <f aca="false">IF(AND(H_Direct=0,H_TaxEvt=1,ASW78+1&gt;=H_Deemed),MAX(0,AEW79-AIJ79)*H_Exit,0)</f>
        <v>0</v>
      </c>
      <c r="AWK79" s="20" t="n">
        <f aca="false">IF(AND(H_Direct=0,H_TaxEvt=1,ASX78+1&gt;=H_Deemed),MAX(0,AEX79-AIK79)*H_Exit,0)</f>
        <v>0</v>
      </c>
      <c r="AWL79" s="20" t="n">
        <f aca="false">IF(AND(H_Direct=0,H_TaxEvt=1,ASY78+1&gt;=H_Deemed),MAX(0,AEY79-AIL79)*H_Exit,0)</f>
        <v>0</v>
      </c>
      <c r="AWM79" s="20" t="n">
        <f aca="false">IF(AND(H_Direct=0,H_TaxEvt=1,ASZ78+1&gt;=H_Deemed),MAX(0,AEZ79-AIM79)*H_Exit,0)</f>
        <v>0</v>
      </c>
      <c r="AWN79" s="20" t="n">
        <f aca="false">IF(AND(H_Direct=0,H_TaxEvt=1,ATA78+1&gt;=H_Deemed),MAX(0,AFA79-AIN79)*H_Exit,0)</f>
        <v>0</v>
      </c>
      <c r="AWO79" s="20" t="n">
        <f aca="false">IF(AND(H_Direct=0,H_TaxEvt=1,ATB78+1&gt;=H_Deemed),MAX(0,AFB79-AIO79)*H_Exit,0)</f>
        <v>0</v>
      </c>
      <c r="AWP79" s="20" t="n">
        <f aca="false">IF(AND(H_Direct=0,H_TaxEvt=1,ATC78+1&gt;=H_Deemed),MAX(0,AFC79-AIP79)*H_Exit,0)</f>
        <v>0</v>
      </c>
      <c r="AWQ79" s="20" t="n">
        <f aca="false">IF(AND(H_Direct=0,H_TaxEvt=1,ATD78+1&gt;=H_Deemed),MAX(0,AFD79-AIQ79)*H_Exit,0)</f>
        <v>0</v>
      </c>
      <c r="AWR79" s="20" t="n">
        <f aca="false">IF(AND(H_Direct=0,H_TaxEvt=1,ATE78+1&gt;=H_Deemed),MAX(0,AFE79-AIR79)*H_Exit,0)</f>
        <v>0</v>
      </c>
      <c r="AWS79" s="20" t="n">
        <f aca="false">IF(AND(H_Direct=0,H_TaxEvt=1,ATF78+1&gt;=H_Deemed),MAX(0,AFF79-AIS79)*H_Exit,0)</f>
        <v>0</v>
      </c>
      <c r="AWT79" s="20" t="n">
        <f aca="false">IF(AND(H_Direct=0,H_TaxEvt=1,ATG78+1&gt;=H_Deemed),MAX(0,AFG79-AIT79)*H_Exit,0)</f>
        <v>0</v>
      </c>
      <c r="AWU79" s="20" t="n">
        <f aca="false">IF(AND(H_Direct=0,H_TaxEvt=1,ATH78+1&gt;=H_Deemed),MAX(0,AFH79-AIU79)*H_Exit,0)</f>
        <v>0</v>
      </c>
      <c r="AWV79" s="20" t="n">
        <f aca="false">IF(AND(H_Direct=0,H_TaxEvt=1,ATI78+1&gt;=H_Deemed),MAX(0,AFI79-AIV79)*H_Exit,0)</f>
        <v>0</v>
      </c>
      <c r="AWW79" s="20" t="n">
        <f aca="false">IF(AND(H_Direct=0,H_TaxEvt=1,ATJ78+1&gt;=H_Deemed),MAX(0,AFJ79-AIW79)*H_Exit,0)</f>
        <v>0</v>
      </c>
      <c r="AWX79" s="20" t="n">
        <f aca="false">IF(AND(H_Direct=0,H_TaxEvt=1,ATK78+1&gt;=H_Deemed),MAX(0,AFK79-AIX79)*H_Exit,0)</f>
        <v>0</v>
      </c>
      <c r="AWY79" s="20" t="n">
        <f aca="false">IF(AND(H_Direct=0,H_TaxEvt=1,ATL78+1&gt;=H_Deemed),MAX(0,AFL79-AIY79)*H_Exit,0)</f>
        <v>0</v>
      </c>
      <c r="AWZ79" s="20" t="n">
        <f aca="false">IF(AND(H_Direct=0,H_TaxEvt=1,ATM78+1&gt;=H_Deemed),MAX(0,AFM79-AIZ79)*H_Exit,0)</f>
        <v>0</v>
      </c>
      <c r="AXA79" s="20" t="n">
        <f aca="false">IF(AND(H_Direct=0,H_TaxEvt=1,ATN78+1&gt;=H_Deemed),MAX(0,AFN79-AJA79)*H_Exit,0)</f>
        <v>0</v>
      </c>
      <c r="AXB79" s="20" t="n">
        <f aca="false">IF(AND(H_Direct=0,H_TaxEvt=1,ATO78+1&gt;=H_Deemed),MAX(0,AFO79-AJB79)*H_Exit,0)</f>
        <v>0</v>
      </c>
      <c r="AXC79" s="20" t="n">
        <f aca="false">IF(AND(H_Direct=0,H_TaxEvt=1,ATP78+1&gt;=H_Deemed),MAX(0,AFP79-AJC79)*H_Exit,0)</f>
        <v>0</v>
      </c>
      <c r="AXD79" s="20" t="n">
        <f aca="false">IF(AND(H_Direct=0,H_TaxEvt=1,ATQ78+1&gt;=H_Deemed),MAX(0,AFQ79-AJD79)*H_Exit,0)</f>
        <v>0</v>
      </c>
      <c r="AXE79" s="20" t="n">
        <f aca="false">IF(AND(H_Direct=0,H_TaxEvt=1,ATR78+1&gt;=H_Deemed),MAX(0,AFR79-AJE79)*H_Exit,0)</f>
        <v>0</v>
      </c>
      <c r="AXF79" s="20" t="n">
        <f aca="false">IF(AND(H_Direct=0,H_TaxEvt=1,ATS78+1&gt;=H_Deemed),MAX(0,AFS79-AJF79)*H_Exit,0)</f>
        <v>0</v>
      </c>
      <c r="AXG79" s="20" t="n">
        <f aca="false">IF(AND(H_Direct=0,H_TaxEvt=1,ATT78+1&gt;=H_Deemed),MAX(0,AFT79-AJG79)*H_Exit,0)</f>
        <v>0</v>
      </c>
      <c r="AXH79" s="20" t="n">
        <f aca="false">IF(AND(H_Direct=0,H_TaxEvt=1,ATU78+1&gt;=H_Deemed),MAX(0,AFU79-AJH79)*H_Exit,0)</f>
        <v>0</v>
      </c>
      <c r="AXI79" s="20" t="n">
        <f aca="false">IF(AND(H_Direct=0,H_TaxEvt=1,ATV78+1&gt;=H_Deemed),MAX(0,AFV79-AJI79)*H_Exit,0)</f>
        <v>0</v>
      </c>
      <c r="AXJ79" s="20" t="n">
        <f aca="false">IF(AND(H_Direct=0,H_TaxEvt=1,ATW78+1&gt;=H_Deemed),MAX(0,AFW79-AJJ79)*H_Exit,0)</f>
        <v>0</v>
      </c>
      <c r="AXK79" s="20" t="n">
        <f aca="false">IF(AND(H_Direct=0,H_TaxEvt=1,ATX78+1&gt;=H_Deemed),MAX(0,AFX79-AJK79)*H_Exit,0)</f>
        <v>0</v>
      </c>
      <c r="AXL79" s="20" t="n">
        <f aca="false">IF(AND(H_Direct=0,H_TaxEvt=1,ATY78+1&gt;=H_Deemed),MAX(0,AFY79-AJL79)*H_Exit,0)</f>
        <v>0</v>
      </c>
      <c r="AXM79" s="20" t="n">
        <f aca="false">IF(AND(H_Direct=0,H_TaxEvt=1,ATZ78+1&gt;=H_Deemed),MAX(0,AFZ79-AJM79)*H_Exit,0)</f>
        <v>0</v>
      </c>
      <c r="AXN79" s="20" t="n">
        <f aca="false">IF(AND(H_Direct=0,H_TaxEvt=1,AUA78+1&gt;=H_Deemed),MAX(0,AGA79-AJN79)*H_Exit,0)</f>
        <v>0</v>
      </c>
      <c r="AXO79" s="20" t="n">
        <f aca="false">IF(AND(H_Direct=0,H_TaxEvt=1,AUB78+1&gt;=H_Deemed),MAX(0,AGB79-AJO79)*H_Exit,0)</f>
        <v>0</v>
      </c>
      <c r="AXP79" s="20" t="n">
        <f aca="false">IF(AND(H_Direct=0,H_TaxEvt=1,AUC78+1&gt;=H_Deemed),MAX(0,AGC79-AJP79)*H_Exit,0)</f>
        <v>0</v>
      </c>
      <c r="AXQ79" s="20" t="n">
        <f aca="false">IF(AND(H_Direct=0,H_TaxEvt=1,AUD78+1&gt;=H_Deemed),MAX(0,AGD79-AJQ79)*H_Exit,0)</f>
        <v>0</v>
      </c>
      <c r="AXR79" s="20" t="n">
        <f aca="false">IF(AND(H_Direct=0,H_TaxEvt=1,AUE78+1&gt;=H_Deemed),MAX(0,AGE79-AJR79)*H_Exit,0)</f>
        <v>0</v>
      </c>
      <c r="AXS79" s="20" t="n">
        <f aca="false">IF(AND(H_Direct=0,H_TaxEvt=1,AUF78+1&gt;=H_Deemed),MAX(0,AGF79-AJS79)*H_Exit,0)</f>
        <v>0</v>
      </c>
      <c r="AXT79" s="20" t="n">
        <f aca="false">IF(AND(H_Direct=0,H_TaxEvt=1,AUG78+1&gt;=H_Deemed),MAX(0,AGG79-AJT79)*H_Exit,0)</f>
        <v>0</v>
      </c>
      <c r="AXU79" s="20" t="n">
        <f aca="false">IF(AND(H_Direct=0,H_TaxEvt=1,AUH78+1&gt;=H_Deemed),MAX(0,AGH79-AJU79)*H_Exit,0)</f>
        <v>0</v>
      </c>
      <c r="AXV79" s="20" t="n">
        <f aca="false">IF(AND(H_Direct=0,H_TaxEvt=1,AUI78+1&gt;=H_Deemed),MAX(0,AGI79-AJV79)*H_Exit,0)</f>
        <v>0</v>
      </c>
      <c r="AXW79" s="20" t="n">
        <f aca="false">IF(AND(H_Direct=0,H_TaxEvt=1,AUJ78+1&gt;=H_Deemed),MAX(0,AGJ79-AJW79)*H_Exit,0)</f>
        <v>0</v>
      </c>
      <c r="AXX79" s="20" t="n">
        <f aca="false">IF(AND(H_Direct=0,H_TaxEvt=1,AUK78+1&gt;=H_Deemed),MAX(0,AGK79-AJX79)*H_Exit,0)</f>
        <v>0</v>
      </c>
      <c r="AXY79" s="20" t="n">
        <f aca="false">IF(AND(H_Direct=0,H_TaxEvt=1,0+1&gt;=H_Deemed),MAX(0,AGL79-AJY79)*H_Exit,0)</f>
        <v>0</v>
      </c>
      <c r="AXZ79" s="20" t="n">
        <v>0</v>
      </c>
      <c r="AYA79" s="20" t="n">
        <v>0</v>
      </c>
      <c r="AYB79" s="20" t="n">
        <v>0</v>
      </c>
      <c r="AYC79" s="20" t="n">
        <v>0</v>
      </c>
      <c r="AYD79" s="20" t="n">
        <v>0</v>
      </c>
      <c r="AYE79" s="20" t="n">
        <v>0</v>
      </c>
      <c r="AYF79" s="20" t="n">
        <v>0</v>
      </c>
      <c r="AYG79" s="20" t="n">
        <v>0</v>
      </c>
      <c r="AYH79" s="20" t="n">
        <v>0</v>
      </c>
      <c r="AYI79" s="20" t="n">
        <v>0</v>
      </c>
      <c r="AYJ79" s="20" t="n">
        <v>0</v>
      </c>
      <c r="AYK79" s="20" t="n">
        <v>0</v>
      </c>
      <c r="AYL79" s="20" t="n">
        <v>0</v>
      </c>
      <c r="AYM79" s="20" t="n">
        <v>0</v>
      </c>
      <c r="AYN79" s="20" t="n">
        <v>0</v>
      </c>
      <c r="AYO79" s="20" t="n">
        <v>0</v>
      </c>
      <c r="AYP79" s="20" t="n">
        <v>0</v>
      </c>
      <c r="AYQ79" s="20" t="n">
        <v>0</v>
      </c>
    </row>
    <row r="80" customFormat="false" ht="15" hidden="false" customHeight="false" outlineLevel="0" collapsed="false">
      <c r="B80" s="20" t="n">
        <v>72</v>
      </c>
      <c r="C80" s="20" t="n">
        <f aca="false">'Plan cashflow'!C80</f>
        <v>0</v>
      </c>
      <c r="D80" s="20" t="n">
        <f aca="false">'Plan cashflow'!D80</f>
        <v>110</v>
      </c>
      <c r="E80" s="20" t="n">
        <f aca="false">AS_Year0+72</f>
        <v>2098</v>
      </c>
      <c r="F80" s="50" t="n">
        <f aca="false">'Plan cashflow'!F80</f>
        <v>4.16114037505152</v>
      </c>
      <c r="G80" s="59" t="n">
        <f aca="true">IF(MAX(TODAY(),DATE(E80,1,1))&gt;=H_CGTfrom,H_CGT1,H_CGT0)</f>
        <v>0.31</v>
      </c>
      <c r="H80" s="20" t="n">
        <f aca="false">H_Exempt*H_Persons</f>
        <v>1270</v>
      </c>
      <c r="I80" s="20" t="n">
        <f aca="false">AX79</f>
        <v>0</v>
      </c>
      <c r="J80" s="60" t="n">
        <f aca="false">BF79</f>
        <v>0</v>
      </c>
      <c r="K80" s="60" t="n">
        <f aca="false">BG79</f>
        <v>0</v>
      </c>
      <c r="L80" s="20" t="n">
        <f aca="false">IF(AND(In_polLump&gt;0,In_polLumpAge&gt;0,D80=In_polLumpAge),In_polLump,0)</f>
        <v>0</v>
      </c>
      <c r="M80" s="20" t="n">
        <f aca="false">IF(AND(In_homeUse="Yes, I'd downsize",In_downAge&gt;0,D80=In_downAge,OR(In_home="Own outright",In_home="Own with mortgage"),In_homeValue&gt;0),MAX(0,MAX(0,In_homeValue-In_downValue)*F80*0.9-'Plan cashflow'!HR79),0)</f>
        <v>0</v>
      </c>
      <c r="N80" s="20" t="n">
        <f aca="false">'Plan pay &amp; tax'!Y306</f>
        <v>0</v>
      </c>
      <c r="O80" s="20" t="n">
        <f aca="false">L80+M80+(1-H_Sh)*N80</f>
        <v>0</v>
      </c>
      <c r="P80" s="20" t="n">
        <f aca="false">H_Sh*N80</f>
        <v>0</v>
      </c>
      <c r="Q80" s="20" t="n">
        <f aca="false">'Plan cashflow'!UL80</f>
        <v>0</v>
      </c>
      <c r="R80" s="20" t="n">
        <f aca="false">(1-H_Sh)*Q80</f>
        <v>0</v>
      </c>
      <c r="S80" s="20" t="n">
        <f aca="false">H_Sh*Q80</f>
        <v>0</v>
      </c>
      <c r="T80" s="20" t="n">
        <f aca="false">J80+K80+O80</f>
        <v>0</v>
      </c>
      <c r="U80" s="20" t="n">
        <f aca="false">T80+R80</f>
        <v>0</v>
      </c>
      <c r="V80" s="60" t="n">
        <f aca="false">SUM(FE80:IQ80)</f>
        <v>0</v>
      </c>
      <c r="W80" s="60" t="n">
        <f aca="false">IF(AJ80&lt;=0,0,IF(AL80&lt;=0,AJ80,AJ80-G80*MAX(0,AL80*AJ80-(AY80+AZ80))))</f>
        <v>0</v>
      </c>
      <c r="X80" s="60" t="n">
        <f aca="false">IF(AR80&lt;=0,0,IF(AT80&lt;=0,AR80,AR80-G80*MAX(0,AT80*AR80-(BA80+BB80))))</f>
        <v>0</v>
      </c>
      <c r="Y80" s="60" t="n">
        <f aca="false">T80+V80-S80+W80+X80</f>
        <v>0</v>
      </c>
      <c r="Z80" s="60" t="n">
        <f aca="false">'Plan cashflow'!UK80</f>
        <v>0</v>
      </c>
      <c r="AA80" s="20" t="n">
        <f aca="false">MIN(Z80,U80)</f>
        <v>0</v>
      </c>
      <c r="AB80" s="20" t="n">
        <f aca="false">Z80-AA80</f>
        <v>0</v>
      </c>
      <c r="AC80" s="20" t="n">
        <f aca="false">MIN(AA80,J80+O80+R80)</f>
        <v>0</v>
      </c>
      <c r="AD80" s="20" t="n">
        <f aca="false">AA80-AC80</f>
        <v>0</v>
      </c>
      <c r="AE80" s="20" t="n">
        <f aca="false">J80+O80+R80-AC80</f>
        <v>0</v>
      </c>
      <c r="AF80" s="20" t="n">
        <f aca="false">K80-AD80</f>
        <v>0</v>
      </c>
      <c r="AG80" s="20" t="n">
        <f aca="false">SUM(PR80:TD80)</f>
        <v>0</v>
      </c>
      <c r="AH80" s="20" t="n">
        <f aca="false">SUM(TE80:WQ80)</f>
        <v>0</v>
      </c>
      <c r="AI80" s="20" t="n">
        <f aca="false">MAX(0,AB80-AG80)</f>
        <v>0</v>
      </c>
      <c r="AJ80" s="57" t="n">
        <f aca="false">BI79</f>
        <v>0</v>
      </c>
      <c r="AK80" s="20" t="n">
        <f aca="false">BJ79</f>
        <v>0</v>
      </c>
      <c r="AL80" s="20" t="n">
        <f aca="false">IF(AJ80&gt;0,(AJ80-AK80)/AJ80,0)</f>
        <v>0</v>
      </c>
      <c r="AM80" s="20" t="n">
        <f aca="false">IF(AJ80&lt;=0,0,IF(AL80&lt;=0,MIN(AI80,AJ80),MIN(AI80,AJ80-G80*MAX(0,AL80*AJ80-(AAD80+ADQ80)))))</f>
        <v>0</v>
      </c>
      <c r="AN80" s="20" t="n">
        <f aca="false">IF(AJ80&lt;=0,0,IF(AL80&lt;=0,AM80,IF(AM80&lt;=(AAD80+ADQ80)/AL80,AM80,(AM80-G80*(AAD80+ADQ80))/(1-G80*AL80))))</f>
        <v>0</v>
      </c>
      <c r="AO80" s="20" t="n">
        <f aca="false">IF(AL80&gt;0,MAX(0,AAD80-(MIN(AL80*AN80,(AAD80+ADQ80))-MIN(MIN(AL80*AN80,(AAD80+ADQ80)),ADQ80))),AAD80)</f>
        <v>1270</v>
      </c>
      <c r="AP80" s="20" t="n">
        <f aca="false">IF(AL80&lt;=0,ADQ80-AL80*AN80,ADQ80-MIN(MIN(AL80*AN80,(AAD80+ADQ80)),ADQ80))</f>
        <v>0</v>
      </c>
      <c r="AQ80" s="20" t="n">
        <f aca="false">MAX(0,AI80-AM80)</f>
        <v>0</v>
      </c>
      <c r="AR80" s="57" t="n">
        <f aca="false">BK79</f>
        <v>0</v>
      </c>
      <c r="AS80" s="20" t="n">
        <f aca="false">BL79</f>
        <v>0</v>
      </c>
      <c r="AT80" s="20" t="n">
        <f aca="false">IF(AR80&gt;0,(AR80-AS80)/AR80,0)</f>
        <v>0</v>
      </c>
      <c r="AU80" s="20" t="n">
        <f aca="false">IF(AR80&lt;=0,0,IF(AT80&lt;=0,MIN(AQ80,AR80),MIN(AQ80,AR80-G80*MAX(0,AT80*AR80-(AO80+AP80)))))</f>
        <v>0</v>
      </c>
      <c r="AV80" s="20" t="n">
        <f aca="false">IF(AR80&lt;=0,0,IF(AT80&lt;=0,AU80,IF(AU80&lt;=(AO80+AP80)/AT80,AU80,(AU80-G80*(AO80+AP80))/(1-G80*AT80))))</f>
        <v>0</v>
      </c>
      <c r="AW80" s="20" t="n">
        <f aca="false">IF(AT80&gt;0,MAX(0,AO80-(MIN(AT80*AV80,(AO80+AP80))-MIN(MIN(AT80*AV80,(AO80+AP80)),AP80))),AO80)</f>
        <v>1270</v>
      </c>
      <c r="AX80" s="20" t="n">
        <f aca="false">IF(AT80&lt;=0,AP80-AT80*AV80,AP80-MIN(MIN(AT80*AV80,(AO80+AP80)),AP80))</f>
        <v>0</v>
      </c>
      <c r="AY80" s="20" t="n">
        <f aca="false">MD80</f>
        <v>1270</v>
      </c>
      <c r="AZ80" s="20" t="n">
        <f aca="false">PQ80</f>
        <v>0</v>
      </c>
      <c r="BA80" s="20" t="n">
        <f aca="false">IF(AL80&gt;0,MAX(0,AY80-(MIN(AL80*AJ80,AY80+AZ80)-MIN(MIN(AL80*AJ80,AY80+AZ80),AZ80))),AY80)</f>
        <v>1270</v>
      </c>
      <c r="BB80" s="20" t="n">
        <f aca="false">IF(AL80&lt;=0,AZ80-AL80*AJ80,AZ80-MIN(MIN(AL80*AJ80,AY80+AZ80),AZ80))</f>
        <v>0</v>
      </c>
      <c r="BC80" s="20" t="n">
        <f aca="false">'Plan cashflow'!UM80</f>
        <v>0</v>
      </c>
      <c r="BD80" s="20" t="n">
        <f aca="false">(1-H_Sh)*BC80</f>
        <v>0</v>
      </c>
      <c r="BE80" s="20" t="n">
        <f aca="false">H_Sh*BC80</f>
        <v>0</v>
      </c>
      <c r="BF80" s="60" t="n">
        <f aca="false">(AE80+BD80)*(1+AS_Cash)</f>
        <v>0</v>
      </c>
      <c r="BG80" s="60" t="n">
        <f aca="false">AF80*(1+AS_Cash)</f>
        <v>0</v>
      </c>
      <c r="BH80" s="60" t="n">
        <f aca="false">SUM(AKR80:AOD80)</f>
        <v>0</v>
      </c>
      <c r="BI80" s="60" t="n">
        <f aca="false">(AJ80-AN80)*(1+AS_Infl)</f>
        <v>0</v>
      </c>
      <c r="BJ80" s="20" t="n">
        <f aca="false">IF(AJ80&gt;0,AK80-AK80*AN80/AJ80,0)</f>
        <v>0</v>
      </c>
      <c r="BK80" s="60" t="n">
        <f aca="false">(AR80-AV80)*(1+BQ80)</f>
        <v>0</v>
      </c>
      <c r="BL80" s="20" t="n">
        <f aca="false">IF(AR80&gt;0,AS80-AS80*AV80/AR80,0)</f>
        <v>0</v>
      </c>
      <c r="BM80" s="60" t="n">
        <f aca="false">BF80+BG80+BH80+BI80+BK80</f>
        <v>0</v>
      </c>
      <c r="BN80" s="60" t="n">
        <f aca="false">(AH80-AG80)+(AN80-AM80)+(AV80-AU80)</f>
        <v>0</v>
      </c>
      <c r="BO80" s="20" t="n">
        <f aca="false">(AE80+BD80+AF80+MAX(0,'Plan cashflow'!QH80)+IF(Slot1_Rate=AS_Cash,'Plan cashflow'!QM80/(1+AS_Cash),0)+IF(Slot2_Rate=AS_Cash,'Plan cashflow'!QQ80/(1+AS_Cash),0)+IF(Slot3_Rate=AS_Cash,'Plan cashflow'!QU80/(1+AS_Cash),0)+IF(Slot4_Rate=AS_Cash,'Plan cashflow'!QY80/(1+AS_Cash),0)+IF(Slot5_Rate=AS_Cash,'Plan cashflow'!RC80/(1+AS_Cash),0)+IF(Slot6_Rate=AS_Cash,'Plan cashflow'!RG80/(1+AS_Cash),0)+IF(Slot7_Rate=AS_Cash,'Plan cashflow'!RK80/(1+AS_Cash),0)+IF(Slot8_Rate=AS_Cash,'Plan cashflow'!RO80/(1+AS_Cash),0)+IF(Slot9_Rate=AS_Cash,'Plan cashflow'!RS80/(1+AS_Cash),0)+IF(Slot10_Rate=AS_Cash,'Plan cashflow'!RW80/(1+AS_Cash),0)+IF(Slot11_Rate=AS_Cash,'Plan cashflow'!SA80/(1+AS_Cash),0)+IF(Slot12_Rate=AS_Cash,'Plan cashflow'!SE80/(1+AS_Cash),0)+IF(Slot13_Rate=AS_Cash,'Plan cashflow'!SI80/(1+AS_Cash),0)+IF(Slot14_Rate=AS_Cash,'Plan cashflow'!SM80/(1+AS_Cash),0)+IF(Slot15_Rate=AS_Cash,'Plan cashflow'!SQ80/(1+AS_Cash),0)+IF(Slot16_Rate=AS_Cash,'Plan cashflow'!SU80/(1+AS_Cash),0)+IF(Slot17_Rate=AS_Cash,'Plan cashflow'!SY80/(1+AS_Cash),0)+IF(Slot18_Rate=AS_Cash,'Plan cashflow'!TC80/(1+AS_Cash),0)+IF(Slot19_Rate=AS_Cash,'Plan cashflow'!TG80/(1+AS_Cash),0)+IF(Slot20_Rate=AS_Cash,'Plan cashflow'!TK80/(1+AS_Cash),0))*AS_Cash*H_DIRT/(1-H_DIRT)</f>
        <v>0</v>
      </c>
      <c r="BP80" s="60" t="n">
        <f aca="false">SUM(AVE80:AYQ80)</f>
        <v>0</v>
      </c>
      <c r="BQ80" s="54" t="n">
        <f aca="false">IF(H_TaxEvt=1,H_InvG,AS_Inv)</f>
        <v>0.04</v>
      </c>
      <c r="BR80" s="20" t="n">
        <f aca="false">IF(AKR79&gt;0,(AKR79-AOE79)/AKR79,0)</f>
        <v>0</v>
      </c>
      <c r="BS80" s="20" t="n">
        <f aca="false">IF(AKS79&gt;0,(AKS79-AOF79)/AKS79,0)</f>
        <v>0</v>
      </c>
      <c r="BT80" s="20" t="n">
        <f aca="false">IF(AKT79&gt;0,(AKT79-AOG79)/AKT79,0)</f>
        <v>0</v>
      </c>
      <c r="BU80" s="20" t="n">
        <f aca="false">IF(AKU79&gt;0,(AKU79-AOH79)/AKU79,0)</f>
        <v>0</v>
      </c>
      <c r="BV80" s="20" t="n">
        <f aca="false">IF(AKV79&gt;0,(AKV79-AOI79)/AKV79,0)</f>
        <v>0</v>
      </c>
      <c r="BW80" s="20" t="n">
        <f aca="false">IF(AKW79&gt;0,(AKW79-AOJ79)/AKW79,0)</f>
        <v>0</v>
      </c>
      <c r="BX80" s="20" t="n">
        <f aca="false">IF(AKX79&gt;0,(AKX79-AOK79)/AKX79,0)</f>
        <v>0</v>
      </c>
      <c r="BY80" s="20" t="n">
        <f aca="false">IF(AKY79&gt;0,(AKY79-AOL79)/AKY79,0)</f>
        <v>0</v>
      </c>
      <c r="BZ80" s="20" t="n">
        <f aca="false">IF(AKZ79&gt;0,(AKZ79-AOM79)/AKZ79,0)</f>
        <v>0</v>
      </c>
      <c r="CA80" s="20" t="n">
        <f aca="false">IF(ALA79&gt;0,(ALA79-AON79)/ALA79,0)</f>
        <v>0</v>
      </c>
      <c r="CB80" s="20" t="n">
        <f aca="false">IF(ALB79&gt;0,(ALB79-AOO79)/ALB79,0)</f>
        <v>0</v>
      </c>
      <c r="CC80" s="20" t="n">
        <f aca="false">IF(ALC79&gt;0,(ALC79-AOP79)/ALC79,0)</f>
        <v>0</v>
      </c>
      <c r="CD80" s="20" t="n">
        <f aca="false">IF(ALD79&gt;0,(ALD79-AOQ79)/ALD79,0)</f>
        <v>0</v>
      </c>
      <c r="CE80" s="20" t="n">
        <f aca="false">IF(ALE79&gt;0,(ALE79-AOR79)/ALE79,0)</f>
        <v>0</v>
      </c>
      <c r="CF80" s="20" t="n">
        <f aca="false">IF(ALF79&gt;0,(ALF79-AOS79)/ALF79,0)</f>
        <v>0</v>
      </c>
      <c r="CG80" s="20" t="n">
        <f aca="false">IF(ALG79&gt;0,(ALG79-AOT79)/ALG79,0)</f>
        <v>0</v>
      </c>
      <c r="CH80" s="20" t="n">
        <f aca="false">IF(ALH79&gt;0,(ALH79-AOU79)/ALH79,0)</f>
        <v>0</v>
      </c>
      <c r="CI80" s="20" t="n">
        <f aca="false">IF(ALI79&gt;0,(ALI79-AOV79)/ALI79,0)</f>
        <v>0</v>
      </c>
      <c r="CJ80" s="20" t="n">
        <f aca="false">IF(ALJ79&gt;0,(ALJ79-AOW79)/ALJ79,0)</f>
        <v>0</v>
      </c>
      <c r="CK80" s="20" t="n">
        <f aca="false">IF(ALK79&gt;0,(ALK79-AOX79)/ALK79,0)</f>
        <v>0</v>
      </c>
      <c r="CL80" s="20" t="n">
        <f aca="false">IF(ALL79&gt;0,(ALL79-AOY79)/ALL79,0)</f>
        <v>0</v>
      </c>
      <c r="CM80" s="20" t="n">
        <f aca="false">IF(ALM79&gt;0,(ALM79-AOZ79)/ALM79,0)</f>
        <v>0</v>
      </c>
      <c r="CN80" s="20" t="n">
        <f aca="false">IF(ALN79&gt;0,(ALN79-APA79)/ALN79,0)</f>
        <v>0</v>
      </c>
      <c r="CO80" s="20" t="n">
        <f aca="false">IF(ALO79&gt;0,(ALO79-APB79)/ALO79,0)</f>
        <v>0</v>
      </c>
      <c r="CP80" s="20" t="n">
        <f aca="false">IF(ALP79&gt;0,(ALP79-APC79)/ALP79,0)</f>
        <v>0</v>
      </c>
      <c r="CQ80" s="20" t="n">
        <f aca="false">IF(ALQ79&gt;0,(ALQ79-APD79)/ALQ79,0)</f>
        <v>0</v>
      </c>
      <c r="CR80" s="20" t="n">
        <f aca="false">IF(ALR79&gt;0,(ALR79-APE79)/ALR79,0)</f>
        <v>0</v>
      </c>
      <c r="CS80" s="20" t="n">
        <f aca="false">IF(ALS79&gt;0,(ALS79-APF79)/ALS79,0)</f>
        <v>0</v>
      </c>
      <c r="CT80" s="20" t="n">
        <f aca="false">IF(ALT79&gt;0,(ALT79-APG79)/ALT79,0)</f>
        <v>0</v>
      </c>
      <c r="CU80" s="20" t="n">
        <f aca="false">IF(ALU79&gt;0,(ALU79-APH79)/ALU79,0)</f>
        <v>0</v>
      </c>
      <c r="CV80" s="20" t="n">
        <f aca="false">IF(ALV79&gt;0,(ALV79-API79)/ALV79,0)</f>
        <v>0</v>
      </c>
      <c r="CW80" s="20" t="n">
        <f aca="false">IF(ALW79&gt;0,(ALW79-APJ79)/ALW79,0)</f>
        <v>0</v>
      </c>
      <c r="CX80" s="20" t="n">
        <f aca="false">IF(ALX79&gt;0,(ALX79-APK79)/ALX79,0)</f>
        <v>0</v>
      </c>
      <c r="CY80" s="20" t="n">
        <f aca="false">IF(ALY79&gt;0,(ALY79-APL79)/ALY79,0)</f>
        <v>0</v>
      </c>
      <c r="CZ80" s="20" t="n">
        <f aca="false">IF(ALZ79&gt;0,(ALZ79-APM79)/ALZ79,0)</f>
        <v>0</v>
      </c>
      <c r="DA80" s="20" t="n">
        <f aca="false">IF(AMA79&gt;0,(AMA79-APN79)/AMA79,0)</f>
        <v>0</v>
      </c>
      <c r="DB80" s="20" t="n">
        <f aca="false">IF(AMB79&gt;0,(AMB79-APO79)/AMB79,0)</f>
        <v>0</v>
      </c>
      <c r="DC80" s="20" t="n">
        <f aca="false">IF(AMC79&gt;0,(AMC79-APP79)/AMC79,0)</f>
        <v>0</v>
      </c>
      <c r="DD80" s="20" t="n">
        <f aca="false">IF(AMD79&gt;0,(AMD79-APQ79)/AMD79,0)</f>
        <v>0</v>
      </c>
      <c r="DE80" s="20" t="n">
        <f aca="false">IF(AME79&gt;0,(AME79-APR79)/AME79,0)</f>
        <v>0</v>
      </c>
      <c r="DF80" s="20" t="n">
        <f aca="false">IF(AMF79&gt;0,(AMF79-APS79)/AMF79,0)</f>
        <v>0</v>
      </c>
      <c r="DG80" s="20" t="n">
        <f aca="false">IF(AMG79&gt;0,(AMG79-APT79)/AMG79,0)</f>
        <v>0</v>
      </c>
      <c r="DH80" s="20" t="n">
        <f aca="false">IF(AMH79&gt;0,(AMH79-APU79)/AMH79,0)</f>
        <v>0</v>
      </c>
      <c r="DI80" s="20" t="n">
        <f aca="false">IF(AMI79&gt;0,(AMI79-APV79)/AMI79,0)</f>
        <v>0</v>
      </c>
      <c r="DJ80" s="20" t="n">
        <f aca="false">IF(AMJ79&gt;0,(AMJ79-APW79)/AMJ79,0)</f>
        <v>0</v>
      </c>
      <c r="DK80" s="20" t="n">
        <f aca="false">IF(AMK79&gt;0,(AMK79-APX79)/AMK79,0)</f>
        <v>0</v>
      </c>
      <c r="DL80" s="20" t="n">
        <f aca="false">IF(AML79&gt;0,(AML79-APY79)/AML79,0)</f>
        <v>0</v>
      </c>
      <c r="DM80" s="20" t="n">
        <f aca="false">IF(AMM79&gt;0,(AMM79-APZ79)/AMM79,0)</f>
        <v>0</v>
      </c>
      <c r="DN80" s="20" t="n">
        <f aca="false">IF(AMN79&gt;0,(AMN79-AQA79)/AMN79,0)</f>
        <v>0</v>
      </c>
      <c r="DO80" s="20" t="n">
        <f aca="false">IF(AMO79&gt;0,(AMO79-AQB79)/AMO79,0)</f>
        <v>0</v>
      </c>
      <c r="DP80" s="20" t="n">
        <f aca="false">IF(AMP79&gt;0,(AMP79-AQC79)/AMP79,0)</f>
        <v>0</v>
      </c>
      <c r="DQ80" s="20" t="n">
        <f aca="false">IF(AMQ79&gt;0,(AMQ79-AQD79)/AMQ79,0)</f>
        <v>0</v>
      </c>
      <c r="DR80" s="20" t="n">
        <f aca="false">IF(AMR79&gt;0,(AMR79-AQE79)/AMR79,0)</f>
        <v>0</v>
      </c>
      <c r="DS80" s="20" t="n">
        <f aca="false">IF(AMS79&gt;0,(AMS79-AQF79)/AMS79,0)</f>
        <v>0</v>
      </c>
      <c r="DT80" s="20" t="n">
        <f aca="false">IF(AMT79&gt;0,(AMT79-AQG79)/AMT79,0)</f>
        <v>0</v>
      </c>
      <c r="DU80" s="20" t="n">
        <f aca="false">IF(AMU79&gt;0,(AMU79-AQH79)/AMU79,0)</f>
        <v>0</v>
      </c>
      <c r="DV80" s="20" t="n">
        <f aca="false">IF(AMV79&gt;0,(AMV79-AQI79)/AMV79,0)</f>
        <v>0</v>
      </c>
      <c r="DW80" s="20" t="n">
        <f aca="false">IF(AMW79&gt;0,(AMW79-AQJ79)/AMW79,0)</f>
        <v>0</v>
      </c>
      <c r="DX80" s="20" t="n">
        <f aca="false">IF(AMX79&gt;0,(AMX79-AQK79)/AMX79,0)</f>
        <v>0</v>
      </c>
      <c r="DY80" s="20" t="n">
        <f aca="false">IF(AMY79&gt;0,(AMY79-AQL79)/AMY79,0)</f>
        <v>0</v>
      </c>
      <c r="DZ80" s="20" t="n">
        <f aca="false">IF(AMZ79&gt;0,(AMZ79-AQM79)/AMZ79,0)</f>
        <v>0</v>
      </c>
      <c r="EA80" s="20" t="n">
        <f aca="false">IF(ANA79&gt;0,(ANA79-AQN79)/ANA79,0)</f>
        <v>0</v>
      </c>
      <c r="EB80" s="20" t="n">
        <f aca="false">IF(ANB79&gt;0,(ANB79-AQO79)/ANB79,0)</f>
        <v>0</v>
      </c>
      <c r="EC80" s="20" t="n">
        <f aca="false">IF(ANC79&gt;0,(ANC79-AQP79)/ANC79,0)</f>
        <v>0</v>
      </c>
      <c r="ED80" s="20" t="n">
        <f aca="false">IF(AND79&gt;0,(AND79-AQQ79)/AND79,0)</f>
        <v>0</v>
      </c>
      <c r="EE80" s="20" t="n">
        <f aca="false">IF(ANE79&gt;0,(ANE79-AQR79)/ANE79,0)</f>
        <v>0</v>
      </c>
      <c r="EF80" s="20" t="n">
        <f aca="false">IF(ANF79&gt;0,(ANF79-AQS79)/ANF79,0)</f>
        <v>0</v>
      </c>
      <c r="EG80" s="20" t="n">
        <f aca="false">IF(ANG79&gt;0,(ANG79-AQT79)/ANG79,0)</f>
        <v>0</v>
      </c>
      <c r="EH80" s="20" t="n">
        <f aca="false">IF(ANH79&gt;0,(ANH79-AQU79)/ANH79,0)</f>
        <v>0</v>
      </c>
      <c r="EI80" s="20" t="n">
        <f aca="false">IF(ANI79&gt;0,(ANI79-AQV79)/ANI79,0)</f>
        <v>0</v>
      </c>
      <c r="EJ80" s="20" t="n">
        <f aca="false">IF(ANJ79&gt;0,(ANJ79-AQW79)/ANJ79,0)</f>
        <v>0</v>
      </c>
      <c r="EK80" s="20" t="n">
        <f aca="false">IF(ANK79&gt;0,(ANK79-AQX79)/ANK79,0)</f>
        <v>0</v>
      </c>
      <c r="EL80" s="20" t="n">
        <f aca="false">IF(ANL79&gt;0,(ANL79-AQY79)/ANL79,0)</f>
        <v>0</v>
      </c>
      <c r="EM80" s="20" t="n">
        <f aca="false">IF((P80+S80)&gt;0,((P80+S80)-(P80+S80))/(P80+S80),0)</f>
        <v>0</v>
      </c>
      <c r="EN80" s="20" t="n">
        <v>0</v>
      </c>
      <c r="EO80" s="20" t="n">
        <v>0</v>
      </c>
      <c r="EP80" s="20" t="n">
        <v>0</v>
      </c>
      <c r="EQ80" s="20" t="n">
        <v>0</v>
      </c>
      <c r="ER80" s="20" t="n">
        <v>0</v>
      </c>
      <c r="ES80" s="20" t="n">
        <v>0</v>
      </c>
      <c r="ET80" s="20" t="n">
        <v>0</v>
      </c>
      <c r="EU80" s="20" t="n">
        <v>0</v>
      </c>
      <c r="EV80" s="20" t="n">
        <v>0</v>
      </c>
      <c r="EW80" s="20" t="n">
        <v>0</v>
      </c>
      <c r="EX80" s="20" t="n">
        <v>0</v>
      </c>
      <c r="EY80" s="20" t="n">
        <v>0</v>
      </c>
      <c r="EZ80" s="20" t="n">
        <v>0</v>
      </c>
      <c r="FA80" s="20" t="n">
        <v>0</v>
      </c>
      <c r="FB80" s="20" t="n">
        <v>0</v>
      </c>
      <c r="FC80" s="20" t="n">
        <v>0</v>
      </c>
      <c r="FD80" s="20" t="n">
        <v>0</v>
      </c>
      <c r="FE80" s="20" t="n">
        <f aca="false">IF(H_Direct=1,IF(AKR79&lt;=0,0,IF(BR80&lt;=0,AKR79,AKR79-G80*MAX(0,BR80*AKR79-(H80+I80)))),AKR79*(1-MAX(0,BR80)*H_Exit))</f>
        <v>0</v>
      </c>
      <c r="FF80" s="20" t="n">
        <f aca="false">IF(H_Direct=1,IF(AKS79&lt;=0,0,IF(BS80&lt;=0,AKS79,AKS79-G80*MAX(0,BS80*AKS79-(IR80+ME80)))),AKS79*(1-MAX(0,BS80)*H_Exit))</f>
        <v>0</v>
      </c>
      <c r="FG80" s="20" t="n">
        <f aca="false">IF(H_Direct=1,IF(AKT79&lt;=0,0,IF(BT80&lt;=0,AKT79,AKT79-G80*MAX(0,BT80*AKT79-(IS80+MF80)))),AKT79*(1-MAX(0,BT80)*H_Exit))</f>
        <v>0</v>
      </c>
      <c r="FH80" s="20" t="n">
        <f aca="false">IF(H_Direct=1,IF(AKU79&lt;=0,0,IF(BU80&lt;=0,AKU79,AKU79-G80*MAX(0,BU80*AKU79-(IT80+MG80)))),AKU79*(1-MAX(0,BU80)*H_Exit))</f>
        <v>0</v>
      </c>
      <c r="FI80" s="20" t="n">
        <f aca="false">IF(H_Direct=1,IF(AKV79&lt;=0,0,IF(BV80&lt;=0,AKV79,AKV79-G80*MAX(0,BV80*AKV79-(IU80+MH80)))),AKV79*(1-MAX(0,BV80)*H_Exit))</f>
        <v>0</v>
      </c>
      <c r="FJ80" s="20" t="n">
        <f aca="false">IF(H_Direct=1,IF(AKW79&lt;=0,0,IF(BW80&lt;=0,AKW79,AKW79-G80*MAX(0,BW80*AKW79-(IV80+MI80)))),AKW79*(1-MAX(0,BW80)*H_Exit))</f>
        <v>0</v>
      </c>
      <c r="FK80" s="20" t="n">
        <f aca="false">IF(H_Direct=1,IF(AKX79&lt;=0,0,IF(BX80&lt;=0,AKX79,AKX79-G80*MAX(0,BX80*AKX79-(IW80+MJ80)))),AKX79*(1-MAX(0,BX80)*H_Exit))</f>
        <v>0</v>
      </c>
      <c r="FL80" s="20" t="n">
        <f aca="false">IF(H_Direct=1,IF(AKY79&lt;=0,0,IF(BY80&lt;=0,AKY79,AKY79-G80*MAX(0,BY80*AKY79-(IX80+MK80)))),AKY79*(1-MAX(0,BY80)*H_Exit))</f>
        <v>0</v>
      </c>
      <c r="FM80" s="20" t="n">
        <f aca="false">IF(H_Direct=1,IF(AKZ79&lt;=0,0,IF(BZ80&lt;=0,AKZ79,AKZ79-G80*MAX(0,BZ80*AKZ79-(IY80+ML80)))),AKZ79*(1-MAX(0,BZ80)*H_Exit))</f>
        <v>0</v>
      </c>
      <c r="FN80" s="20" t="n">
        <f aca="false">IF(H_Direct=1,IF(ALA79&lt;=0,0,IF(CA80&lt;=0,ALA79,ALA79-G80*MAX(0,CA80*ALA79-(IZ80+MM80)))),ALA79*(1-MAX(0,CA80)*H_Exit))</f>
        <v>0</v>
      </c>
      <c r="FO80" s="20" t="n">
        <f aca="false">IF(H_Direct=1,IF(ALB79&lt;=0,0,IF(CB80&lt;=0,ALB79,ALB79-G80*MAX(0,CB80*ALB79-(JA80+MN80)))),ALB79*(1-MAX(0,CB80)*H_Exit))</f>
        <v>0</v>
      </c>
      <c r="FP80" s="20" t="n">
        <f aca="false">IF(H_Direct=1,IF(ALC79&lt;=0,0,IF(CC80&lt;=0,ALC79,ALC79-G80*MAX(0,CC80*ALC79-(JB80+MO80)))),ALC79*(1-MAX(0,CC80)*H_Exit))</f>
        <v>0</v>
      </c>
      <c r="FQ80" s="20" t="n">
        <f aca="false">IF(H_Direct=1,IF(ALD79&lt;=0,0,IF(CD80&lt;=0,ALD79,ALD79-G80*MAX(0,CD80*ALD79-(JC80+MP80)))),ALD79*(1-MAX(0,CD80)*H_Exit))</f>
        <v>0</v>
      </c>
      <c r="FR80" s="20" t="n">
        <f aca="false">IF(H_Direct=1,IF(ALE79&lt;=0,0,IF(CE80&lt;=0,ALE79,ALE79-G80*MAX(0,CE80*ALE79-(JD80+MQ80)))),ALE79*(1-MAX(0,CE80)*H_Exit))</f>
        <v>0</v>
      </c>
      <c r="FS80" s="20" t="n">
        <f aca="false">IF(H_Direct=1,IF(ALF79&lt;=0,0,IF(CF80&lt;=0,ALF79,ALF79-G80*MAX(0,CF80*ALF79-(JE80+MR80)))),ALF79*(1-MAX(0,CF80)*H_Exit))</f>
        <v>0</v>
      </c>
      <c r="FT80" s="20" t="n">
        <f aca="false">IF(H_Direct=1,IF(ALG79&lt;=0,0,IF(CG80&lt;=0,ALG79,ALG79-G80*MAX(0,CG80*ALG79-(JF80+MS80)))),ALG79*(1-MAX(0,CG80)*H_Exit))</f>
        <v>0</v>
      </c>
      <c r="FU80" s="20" t="n">
        <f aca="false">IF(H_Direct=1,IF(ALH79&lt;=0,0,IF(CH80&lt;=0,ALH79,ALH79-G80*MAX(0,CH80*ALH79-(JG80+MT80)))),ALH79*(1-MAX(0,CH80)*H_Exit))</f>
        <v>0</v>
      </c>
      <c r="FV80" s="20" t="n">
        <f aca="false">IF(H_Direct=1,IF(ALI79&lt;=0,0,IF(CI80&lt;=0,ALI79,ALI79-G80*MAX(0,CI80*ALI79-(JH80+MU80)))),ALI79*(1-MAX(0,CI80)*H_Exit))</f>
        <v>0</v>
      </c>
      <c r="FW80" s="20" t="n">
        <f aca="false">IF(H_Direct=1,IF(ALJ79&lt;=0,0,IF(CJ80&lt;=0,ALJ79,ALJ79-G80*MAX(0,CJ80*ALJ79-(JI80+MV80)))),ALJ79*(1-MAX(0,CJ80)*H_Exit))</f>
        <v>0</v>
      </c>
      <c r="FX80" s="20" t="n">
        <f aca="false">IF(H_Direct=1,IF(ALK79&lt;=0,0,IF(CK80&lt;=0,ALK79,ALK79-G80*MAX(0,CK80*ALK79-(JJ80+MW80)))),ALK79*(1-MAX(0,CK80)*H_Exit))</f>
        <v>0</v>
      </c>
      <c r="FY80" s="20" t="n">
        <f aca="false">IF(H_Direct=1,IF(ALL79&lt;=0,0,IF(CL80&lt;=0,ALL79,ALL79-G80*MAX(0,CL80*ALL79-(JK80+MX80)))),ALL79*(1-MAX(0,CL80)*H_Exit))</f>
        <v>0</v>
      </c>
      <c r="FZ80" s="20" t="n">
        <f aca="false">IF(H_Direct=1,IF(ALM79&lt;=0,0,IF(CM80&lt;=0,ALM79,ALM79-G80*MAX(0,CM80*ALM79-(JL80+MY80)))),ALM79*(1-MAX(0,CM80)*H_Exit))</f>
        <v>0</v>
      </c>
      <c r="GA80" s="20" t="n">
        <f aca="false">IF(H_Direct=1,IF(ALN79&lt;=0,0,IF(CN80&lt;=0,ALN79,ALN79-G80*MAX(0,CN80*ALN79-(JM80+MZ80)))),ALN79*(1-MAX(0,CN80)*H_Exit))</f>
        <v>0</v>
      </c>
      <c r="GB80" s="20" t="n">
        <f aca="false">IF(H_Direct=1,IF(ALO79&lt;=0,0,IF(CO80&lt;=0,ALO79,ALO79-G80*MAX(0,CO80*ALO79-(JN80+NA80)))),ALO79*(1-MAX(0,CO80)*H_Exit))</f>
        <v>0</v>
      </c>
      <c r="GC80" s="20" t="n">
        <f aca="false">IF(H_Direct=1,IF(ALP79&lt;=0,0,IF(CP80&lt;=0,ALP79,ALP79-G80*MAX(0,CP80*ALP79-(JO80+NB80)))),ALP79*(1-MAX(0,CP80)*H_Exit))</f>
        <v>0</v>
      </c>
      <c r="GD80" s="20" t="n">
        <f aca="false">IF(H_Direct=1,IF(ALQ79&lt;=0,0,IF(CQ80&lt;=0,ALQ79,ALQ79-G80*MAX(0,CQ80*ALQ79-(JP80+NC80)))),ALQ79*(1-MAX(0,CQ80)*H_Exit))</f>
        <v>0</v>
      </c>
      <c r="GE80" s="20" t="n">
        <f aca="false">IF(H_Direct=1,IF(ALR79&lt;=0,0,IF(CR80&lt;=0,ALR79,ALR79-G80*MAX(0,CR80*ALR79-(JQ80+ND80)))),ALR79*(1-MAX(0,CR80)*H_Exit))</f>
        <v>0</v>
      </c>
      <c r="GF80" s="20" t="n">
        <f aca="false">IF(H_Direct=1,IF(ALS79&lt;=0,0,IF(CS80&lt;=0,ALS79,ALS79-G80*MAX(0,CS80*ALS79-(JR80+NE80)))),ALS79*(1-MAX(0,CS80)*H_Exit))</f>
        <v>0</v>
      </c>
      <c r="GG80" s="20" t="n">
        <f aca="false">IF(H_Direct=1,IF(ALT79&lt;=0,0,IF(CT80&lt;=0,ALT79,ALT79-G80*MAX(0,CT80*ALT79-(JS80+NF80)))),ALT79*(1-MAX(0,CT80)*H_Exit))</f>
        <v>0</v>
      </c>
      <c r="GH80" s="20" t="n">
        <f aca="false">IF(H_Direct=1,IF(ALU79&lt;=0,0,IF(CU80&lt;=0,ALU79,ALU79-G80*MAX(0,CU80*ALU79-(JT80+NG80)))),ALU79*(1-MAX(0,CU80)*H_Exit))</f>
        <v>0</v>
      </c>
      <c r="GI80" s="20" t="n">
        <f aca="false">IF(H_Direct=1,IF(ALV79&lt;=0,0,IF(CV80&lt;=0,ALV79,ALV79-G80*MAX(0,CV80*ALV79-(JU80+NH80)))),ALV79*(1-MAX(0,CV80)*H_Exit))</f>
        <v>0</v>
      </c>
      <c r="GJ80" s="20" t="n">
        <f aca="false">IF(H_Direct=1,IF(ALW79&lt;=0,0,IF(CW80&lt;=0,ALW79,ALW79-G80*MAX(0,CW80*ALW79-(JV80+NI80)))),ALW79*(1-MAX(0,CW80)*H_Exit))</f>
        <v>0</v>
      </c>
      <c r="GK80" s="20" t="n">
        <f aca="false">IF(H_Direct=1,IF(ALX79&lt;=0,0,IF(CX80&lt;=0,ALX79,ALX79-G80*MAX(0,CX80*ALX79-(JW80+NJ80)))),ALX79*(1-MAX(0,CX80)*H_Exit))</f>
        <v>0</v>
      </c>
      <c r="GL80" s="20" t="n">
        <f aca="false">IF(H_Direct=1,IF(ALY79&lt;=0,0,IF(CY80&lt;=0,ALY79,ALY79-G80*MAX(0,CY80*ALY79-(JX80+NK80)))),ALY79*(1-MAX(0,CY80)*H_Exit))</f>
        <v>0</v>
      </c>
      <c r="GM80" s="20" t="n">
        <f aca="false">IF(H_Direct=1,IF(ALZ79&lt;=0,0,IF(CZ80&lt;=0,ALZ79,ALZ79-G80*MAX(0,CZ80*ALZ79-(JY80+NL80)))),ALZ79*(1-MAX(0,CZ80)*H_Exit))</f>
        <v>0</v>
      </c>
      <c r="GN80" s="20" t="n">
        <f aca="false">IF(H_Direct=1,IF(AMA79&lt;=0,0,IF(DA80&lt;=0,AMA79,AMA79-G80*MAX(0,DA80*AMA79-(JZ80+NM80)))),AMA79*(1-MAX(0,DA80)*H_Exit))</f>
        <v>0</v>
      </c>
      <c r="GO80" s="20" t="n">
        <f aca="false">IF(H_Direct=1,IF(AMB79&lt;=0,0,IF(DB80&lt;=0,AMB79,AMB79-G80*MAX(0,DB80*AMB79-(KA80+NN80)))),AMB79*(1-MAX(0,DB80)*H_Exit))</f>
        <v>0</v>
      </c>
      <c r="GP80" s="20" t="n">
        <f aca="false">IF(H_Direct=1,IF(AMC79&lt;=0,0,IF(DC80&lt;=0,AMC79,AMC79-G80*MAX(0,DC80*AMC79-(KB80+NO80)))),AMC79*(1-MAX(0,DC80)*H_Exit))</f>
        <v>0</v>
      </c>
      <c r="GQ80" s="20" t="n">
        <f aca="false">IF(H_Direct=1,IF(AMD79&lt;=0,0,IF(DD80&lt;=0,AMD79,AMD79-G80*MAX(0,DD80*AMD79-(KC80+NP80)))),AMD79*(1-MAX(0,DD80)*H_Exit))</f>
        <v>0</v>
      </c>
      <c r="GR80" s="20" t="n">
        <f aca="false">IF(H_Direct=1,IF(AME79&lt;=0,0,IF(DE80&lt;=0,AME79,AME79-G80*MAX(0,DE80*AME79-(KD80+NQ80)))),AME79*(1-MAX(0,DE80)*H_Exit))</f>
        <v>0</v>
      </c>
      <c r="GS80" s="20" t="n">
        <f aca="false">IF(H_Direct=1,IF(AMF79&lt;=0,0,IF(DF80&lt;=0,AMF79,AMF79-G80*MAX(0,DF80*AMF79-(KE80+NR80)))),AMF79*(1-MAX(0,DF80)*H_Exit))</f>
        <v>0</v>
      </c>
      <c r="GT80" s="20" t="n">
        <f aca="false">IF(H_Direct=1,IF(AMG79&lt;=0,0,IF(DG80&lt;=0,AMG79,AMG79-G80*MAX(0,DG80*AMG79-(KF80+NS80)))),AMG79*(1-MAX(0,DG80)*H_Exit))</f>
        <v>0</v>
      </c>
      <c r="GU80" s="20" t="n">
        <f aca="false">IF(H_Direct=1,IF(AMH79&lt;=0,0,IF(DH80&lt;=0,AMH79,AMH79-G80*MAX(0,DH80*AMH79-(KG80+NT80)))),AMH79*(1-MAX(0,DH80)*H_Exit))</f>
        <v>0</v>
      </c>
      <c r="GV80" s="20" t="n">
        <f aca="false">IF(H_Direct=1,IF(AMI79&lt;=0,0,IF(DI80&lt;=0,AMI79,AMI79-G80*MAX(0,DI80*AMI79-(KH80+NU80)))),AMI79*(1-MAX(0,DI80)*H_Exit))</f>
        <v>0</v>
      </c>
      <c r="GW80" s="20" t="n">
        <f aca="false">IF(H_Direct=1,IF(AMJ79&lt;=0,0,IF(DJ80&lt;=0,AMJ79,AMJ79-G80*MAX(0,DJ80*AMJ79-(KI80+NV80)))),AMJ79*(1-MAX(0,DJ80)*H_Exit))</f>
        <v>0</v>
      </c>
      <c r="GX80" s="20" t="n">
        <f aca="false">IF(H_Direct=1,IF(AMK79&lt;=0,0,IF(DK80&lt;=0,AMK79,AMK79-G80*MAX(0,DK80*AMK79-(KJ80+NW80)))),AMK79*(1-MAX(0,DK80)*H_Exit))</f>
        <v>0</v>
      </c>
      <c r="GY80" s="20" t="n">
        <f aca="false">IF(H_Direct=1,IF(AML79&lt;=0,0,IF(DL80&lt;=0,AML79,AML79-G80*MAX(0,DL80*AML79-(KK80+NX80)))),AML79*(1-MAX(0,DL80)*H_Exit))</f>
        <v>0</v>
      </c>
      <c r="GZ80" s="20" t="n">
        <f aca="false">IF(H_Direct=1,IF(AMM79&lt;=0,0,IF(DM80&lt;=0,AMM79,AMM79-G80*MAX(0,DM80*AMM79-(KL80+NY80)))),AMM79*(1-MAX(0,DM80)*H_Exit))</f>
        <v>0</v>
      </c>
      <c r="HA80" s="20" t="n">
        <f aca="false">IF(H_Direct=1,IF(AMN79&lt;=0,0,IF(DN80&lt;=0,AMN79,AMN79-G80*MAX(0,DN80*AMN79-(KM80+NZ80)))),AMN79*(1-MAX(0,DN80)*H_Exit))</f>
        <v>0</v>
      </c>
      <c r="HB80" s="20" t="n">
        <f aca="false">IF(H_Direct=1,IF(AMO79&lt;=0,0,IF(DO80&lt;=0,AMO79,AMO79-G80*MAX(0,DO80*AMO79-(KN80+OA80)))),AMO79*(1-MAX(0,DO80)*H_Exit))</f>
        <v>0</v>
      </c>
      <c r="HC80" s="20" t="n">
        <f aca="false">IF(H_Direct=1,IF(AMP79&lt;=0,0,IF(DP80&lt;=0,AMP79,AMP79-G80*MAX(0,DP80*AMP79-(KO80+OB80)))),AMP79*(1-MAX(0,DP80)*H_Exit))</f>
        <v>0</v>
      </c>
      <c r="HD80" s="20" t="n">
        <f aca="false">IF(H_Direct=1,IF(AMQ79&lt;=0,0,IF(DQ80&lt;=0,AMQ79,AMQ79-G80*MAX(0,DQ80*AMQ79-(KP80+OC80)))),AMQ79*(1-MAX(0,DQ80)*H_Exit))</f>
        <v>0</v>
      </c>
      <c r="HE80" s="20" t="n">
        <f aca="false">IF(H_Direct=1,IF(AMR79&lt;=0,0,IF(DR80&lt;=0,AMR79,AMR79-G80*MAX(0,DR80*AMR79-(KQ80+OD80)))),AMR79*(1-MAX(0,DR80)*H_Exit))</f>
        <v>0</v>
      </c>
      <c r="HF80" s="20" t="n">
        <f aca="false">IF(H_Direct=1,IF(AMS79&lt;=0,0,IF(DS80&lt;=0,AMS79,AMS79-G80*MAX(0,DS80*AMS79-(KR80+OE80)))),AMS79*(1-MAX(0,DS80)*H_Exit))</f>
        <v>0</v>
      </c>
      <c r="HG80" s="20" t="n">
        <f aca="false">IF(H_Direct=1,IF(AMT79&lt;=0,0,IF(DT80&lt;=0,AMT79,AMT79-G80*MAX(0,DT80*AMT79-(KS80+OF80)))),AMT79*(1-MAX(0,DT80)*H_Exit))</f>
        <v>0</v>
      </c>
      <c r="HH80" s="20" t="n">
        <f aca="false">IF(H_Direct=1,IF(AMU79&lt;=0,0,IF(DU80&lt;=0,AMU79,AMU79-G80*MAX(0,DU80*AMU79-(KT80+OG80)))),AMU79*(1-MAX(0,DU80)*H_Exit))</f>
        <v>0</v>
      </c>
      <c r="HI80" s="20" t="n">
        <f aca="false">IF(H_Direct=1,IF(AMV79&lt;=0,0,IF(DV80&lt;=0,AMV79,AMV79-G80*MAX(0,DV80*AMV79-(KU80+OH80)))),AMV79*(1-MAX(0,DV80)*H_Exit))</f>
        <v>0</v>
      </c>
      <c r="HJ80" s="20" t="n">
        <f aca="false">IF(H_Direct=1,IF(AMW79&lt;=0,0,IF(DW80&lt;=0,AMW79,AMW79-G80*MAX(0,DW80*AMW79-(KV80+OI80)))),AMW79*(1-MAX(0,DW80)*H_Exit))</f>
        <v>0</v>
      </c>
      <c r="HK80" s="20" t="n">
        <f aca="false">IF(H_Direct=1,IF(AMX79&lt;=0,0,IF(DX80&lt;=0,AMX79,AMX79-G80*MAX(0,DX80*AMX79-(KW80+OJ80)))),AMX79*(1-MAX(0,DX80)*H_Exit))</f>
        <v>0</v>
      </c>
      <c r="HL80" s="20" t="n">
        <f aca="false">IF(H_Direct=1,IF(AMY79&lt;=0,0,IF(DY80&lt;=0,AMY79,AMY79-G80*MAX(0,DY80*AMY79-(KX80+OK80)))),AMY79*(1-MAX(0,DY80)*H_Exit))</f>
        <v>0</v>
      </c>
      <c r="HM80" s="20" t="n">
        <f aca="false">IF(H_Direct=1,IF(AMZ79&lt;=0,0,IF(DZ80&lt;=0,AMZ79,AMZ79-G80*MAX(0,DZ80*AMZ79-(KY80+OL80)))),AMZ79*(1-MAX(0,DZ80)*H_Exit))</f>
        <v>0</v>
      </c>
      <c r="HN80" s="20" t="n">
        <f aca="false">IF(H_Direct=1,IF(ANA79&lt;=0,0,IF(EA80&lt;=0,ANA79,ANA79-G80*MAX(0,EA80*ANA79-(KZ80+OM80)))),ANA79*(1-MAX(0,EA80)*H_Exit))</f>
        <v>0</v>
      </c>
      <c r="HO80" s="20" t="n">
        <f aca="false">IF(H_Direct=1,IF(ANB79&lt;=0,0,IF(EB80&lt;=0,ANB79,ANB79-G80*MAX(0,EB80*ANB79-(LA80+ON80)))),ANB79*(1-MAX(0,EB80)*H_Exit))</f>
        <v>0</v>
      </c>
      <c r="HP80" s="20" t="n">
        <f aca="false">IF(H_Direct=1,IF(ANC79&lt;=0,0,IF(EC80&lt;=0,ANC79,ANC79-G80*MAX(0,EC80*ANC79-(LB80+OO80)))),ANC79*(1-MAX(0,EC80)*H_Exit))</f>
        <v>0</v>
      </c>
      <c r="HQ80" s="20" t="n">
        <f aca="false">IF(H_Direct=1,IF(AND79&lt;=0,0,IF(ED80&lt;=0,AND79,AND79-G80*MAX(0,ED80*AND79-(LC80+OP80)))),AND79*(1-MAX(0,ED80)*H_Exit))</f>
        <v>0</v>
      </c>
      <c r="HR80" s="20" t="n">
        <f aca="false">IF(H_Direct=1,IF(ANE79&lt;=0,0,IF(EE80&lt;=0,ANE79,ANE79-G80*MAX(0,EE80*ANE79-(LD80+OQ80)))),ANE79*(1-MAX(0,EE80)*H_Exit))</f>
        <v>0</v>
      </c>
      <c r="HS80" s="20" t="n">
        <f aca="false">IF(H_Direct=1,IF(ANF79&lt;=0,0,IF(EF80&lt;=0,ANF79,ANF79-G80*MAX(0,EF80*ANF79-(LE80+OR80)))),ANF79*(1-MAX(0,EF80)*H_Exit))</f>
        <v>0</v>
      </c>
      <c r="HT80" s="20" t="n">
        <f aca="false">IF(H_Direct=1,IF(ANG79&lt;=0,0,IF(EG80&lt;=0,ANG79,ANG79-G80*MAX(0,EG80*ANG79-(LF80+OS80)))),ANG79*(1-MAX(0,EG80)*H_Exit))</f>
        <v>0</v>
      </c>
      <c r="HU80" s="20" t="n">
        <f aca="false">IF(H_Direct=1,IF(ANH79&lt;=0,0,IF(EH80&lt;=0,ANH79,ANH79-G80*MAX(0,EH80*ANH79-(LG80+OT80)))),ANH79*(1-MAX(0,EH80)*H_Exit))</f>
        <v>0</v>
      </c>
      <c r="HV80" s="20" t="n">
        <f aca="false">IF(H_Direct=1,IF(ANI79&lt;=0,0,IF(EI80&lt;=0,ANI79,ANI79-G80*MAX(0,EI80*ANI79-(LH80+OU80)))),ANI79*(1-MAX(0,EI80)*H_Exit))</f>
        <v>0</v>
      </c>
      <c r="HW80" s="20" t="n">
        <f aca="false">IF(H_Direct=1,IF(ANJ79&lt;=0,0,IF(EJ80&lt;=0,ANJ79,ANJ79-G80*MAX(0,EJ80*ANJ79-(LI80+OV80)))),ANJ79*(1-MAX(0,EJ80)*H_Exit))</f>
        <v>0</v>
      </c>
      <c r="HX80" s="20" t="n">
        <f aca="false">IF(H_Direct=1,IF(ANK79&lt;=0,0,IF(EK80&lt;=0,ANK79,ANK79-G80*MAX(0,EK80*ANK79-(LJ80+OW80)))),ANK79*(1-MAX(0,EK80)*H_Exit))</f>
        <v>0</v>
      </c>
      <c r="HY80" s="20" t="n">
        <f aca="false">IF(H_Direct=1,IF(ANL79&lt;=0,0,IF(EL80&lt;=0,ANL79,ANL79-G80*MAX(0,EL80*ANL79-(LK80+OX80)))),ANL79*(1-MAX(0,EL80)*H_Exit))</f>
        <v>0</v>
      </c>
      <c r="HZ80" s="20" t="n">
        <f aca="false">IF(H_Direct=1,IF((P80+S80)&lt;=0,0,IF(EM80&lt;=0,(P80+S80),(P80+S80)-G80*MAX(0,EM80*(P80+S80)-(LL80+OY80)))),(P80+S80)*(1-MAX(0,EM80)*H_Exit))</f>
        <v>0</v>
      </c>
      <c r="IA80" s="20" t="n">
        <v>0</v>
      </c>
      <c r="IB80" s="20" t="n">
        <v>0</v>
      </c>
      <c r="IC80" s="20" t="n">
        <v>0</v>
      </c>
      <c r="ID80" s="20" t="n">
        <v>0</v>
      </c>
      <c r="IE80" s="20" t="n">
        <v>0</v>
      </c>
      <c r="IF80" s="20" t="n">
        <v>0</v>
      </c>
      <c r="IG80" s="20" t="n">
        <v>0</v>
      </c>
      <c r="IH80" s="20" t="n">
        <v>0</v>
      </c>
      <c r="II80" s="20" t="n">
        <v>0</v>
      </c>
      <c r="IJ80" s="20" t="n">
        <v>0</v>
      </c>
      <c r="IK80" s="20" t="n">
        <v>0</v>
      </c>
      <c r="IL80" s="20" t="n">
        <v>0</v>
      </c>
      <c r="IM80" s="20" t="n">
        <v>0</v>
      </c>
      <c r="IN80" s="20" t="n">
        <v>0</v>
      </c>
      <c r="IO80" s="20" t="n">
        <v>0</v>
      </c>
      <c r="IP80" s="20" t="n">
        <v>0</v>
      </c>
      <c r="IQ80" s="20" t="n">
        <v>0</v>
      </c>
      <c r="IR80" s="20" t="n">
        <f aca="false">IF(AND(H_Direct=1,BR80&gt;0),MAX(0,H80-(MIN(BR80*AKR79,H80+I80)-MIN(MIN(BR80*AKR79,H80+I80),I80))),H80)</f>
        <v>1270</v>
      </c>
      <c r="IS80" s="20" t="n">
        <f aca="false">IF(AND(H_Direct=1,BS80&gt;0),MAX(0,IR80-(MIN(BS80*AKS79,IR80+ME80)-MIN(MIN(BS80*AKS79,IR80+ME80),ME80))),IR80)</f>
        <v>1270</v>
      </c>
      <c r="IT80" s="20" t="n">
        <f aca="false">IF(AND(H_Direct=1,BT80&gt;0),MAX(0,IS80-(MIN(BT80*AKT79,IS80+MF80)-MIN(MIN(BT80*AKT79,IS80+MF80),MF80))),IS80)</f>
        <v>1270</v>
      </c>
      <c r="IU80" s="20" t="n">
        <f aca="false">IF(AND(H_Direct=1,BU80&gt;0),MAX(0,IT80-(MIN(BU80*AKU79,IT80+MG80)-MIN(MIN(BU80*AKU79,IT80+MG80),MG80))),IT80)</f>
        <v>1270</v>
      </c>
      <c r="IV80" s="20" t="n">
        <f aca="false">IF(AND(H_Direct=1,BV80&gt;0),MAX(0,IU80-(MIN(BV80*AKV79,IU80+MH80)-MIN(MIN(BV80*AKV79,IU80+MH80),MH80))),IU80)</f>
        <v>1270</v>
      </c>
      <c r="IW80" s="20" t="n">
        <f aca="false">IF(AND(H_Direct=1,BW80&gt;0),MAX(0,IV80-(MIN(BW80*AKW79,IV80+MI80)-MIN(MIN(BW80*AKW79,IV80+MI80),MI80))),IV80)</f>
        <v>1270</v>
      </c>
      <c r="IX80" s="20" t="n">
        <f aca="false">IF(AND(H_Direct=1,BX80&gt;0),MAX(0,IW80-(MIN(BX80*AKX79,IW80+MJ80)-MIN(MIN(BX80*AKX79,IW80+MJ80),MJ80))),IW80)</f>
        <v>1270</v>
      </c>
      <c r="IY80" s="20" t="n">
        <f aca="false">IF(AND(H_Direct=1,BY80&gt;0),MAX(0,IX80-(MIN(BY80*AKY79,IX80+MK80)-MIN(MIN(BY80*AKY79,IX80+MK80),MK80))),IX80)</f>
        <v>1270</v>
      </c>
      <c r="IZ80" s="20" t="n">
        <f aca="false">IF(AND(H_Direct=1,BZ80&gt;0),MAX(0,IY80-(MIN(BZ80*AKZ79,IY80+ML80)-MIN(MIN(BZ80*AKZ79,IY80+ML80),ML80))),IY80)</f>
        <v>1270</v>
      </c>
      <c r="JA80" s="20" t="n">
        <f aca="false">IF(AND(H_Direct=1,CA80&gt;0),MAX(0,IZ80-(MIN(CA80*ALA79,IZ80+MM80)-MIN(MIN(CA80*ALA79,IZ80+MM80),MM80))),IZ80)</f>
        <v>1270</v>
      </c>
      <c r="JB80" s="20" t="n">
        <f aca="false">IF(AND(H_Direct=1,CB80&gt;0),MAX(0,JA80-(MIN(CB80*ALB79,JA80+MN80)-MIN(MIN(CB80*ALB79,JA80+MN80),MN80))),JA80)</f>
        <v>1270</v>
      </c>
      <c r="JC80" s="20" t="n">
        <f aca="false">IF(AND(H_Direct=1,CC80&gt;0),MAX(0,JB80-(MIN(CC80*ALC79,JB80+MO80)-MIN(MIN(CC80*ALC79,JB80+MO80),MO80))),JB80)</f>
        <v>1270</v>
      </c>
      <c r="JD80" s="20" t="n">
        <f aca="false">IF(AND(H_Direct=1,CD80&gt;0),MAX(0,JC80-(MIN(CD80*ALD79,JC80+MP80)-MIN(MIN(CD80*ALD79,JC80+MP80),MP80))),JC80)</f>
        <v>1270</v>
      </c>
      <c r="JE80" s="20" t="n">
        <f aca="false">IF(AND(H_Direct=1,CE80&gt;0),MAX(0,JD80-(MIN(CE80*ALE79,JD80+MQ80)-MIN(MIN(CE80*ALE79,JD80+MQ80),MQ80))),JD80)</f>
        <v>1270</v>
      </c>
      <c r="JF80" s="20" t="n">
        <f aca="false">IF(AND(H_Direct=1,CF80&gt;0),MAX(0,JE80-(MIN(CF80*ALF79,JE80+MR80)-MIN(MIN(CF80*ALF79,JE80+MR80),MR80))),JE80)</f>
        <v>1270</v>
      </c>
      <c r="JG80" s="20" t="n">
        <f aca="false">IF(AND(H_Direct=1,CG80&gt;0),MAX(0,JF80-(MIN(CG80*ALG79,JF80+MS80)-MIN(MIN(CG80*ALG79,JF80+MS80),MS80))),JF80)</f>
        <v>1270</v>
      </c>
      <c r="JH80" s="20" t="n">
        <f aca="false">IF(AND(H_Direct=1,CH80&gt;0),MAX(0,JG80-(MIN(CH80*ALH79,JG80+MT80)-MIN(MIN(CH80*ALH79,JG80+MT80),MT80))),JG80)</f>
        <v>1270</v>
      </c>
      <c r="JI80" s="20" t="n">
        <f aca="false">IF(AND(H_Direct=1,CI80&gt;0),MAX(0,JH80-(MIN(CI80*ALI79,JH80+MU80)-MIN(MIN(CI80*ALI79,JH80+MU80),MU80))),JH80)</f>
        <v>1270</v>
      </c>
      <c r="JJ80" s="20" t="n">
        <f aca="false">IF(AND(H_Direct=1,CJ80&gt;0),MAX(0,JI80-(MIN(CJ80*ALJ79,JI80+MV80)-MIN(MIN(CJ80*ALJ79,JI80+MV80),MV80))),JI80)</f>
        <v>1270</v>
      </c>
      <c r="JK80" s="20" t="n">
        <f aca="false">IF(AND(H_Direct=1,CK80&gt;0),MAX(0,JJ80-(MIN(CK80*ALK79,JJ80+MW80)-MIN(MIN(CK80*ALK79,JJ80+MW80),MW80))),JJ80)</f>
        <v>1270</v>
      </c>
      <c r="JL80" s="20" t="n">
        <f aca="false">IF(AND(H_Direct=1,CL80&gt;0),MAX(0,JK80-(MIN(CL80*ALL79,JK80+MX80)-MIN(MIN(CL80*ALL79,JK80+MX80),MX80))),JK80)</f>
        <v>1270</v>
      </c>
      <c r="JM80" s="20" t="n">
        <f aca="false">IF(AND(H_Direct=1,CM80&gt;0),MAX(0,JL80-(MIN(CM80*ALM79,JL80+MY80)-MIN(MIN(CM80*ALM79,JL80+MY80),MY80))),JL80)</f>
        <v>1270</v>
      </c>
      <c r="JN80" s="20" t="n">
        <f aca="false">IF(AND(H_Direct=1,CN80&gt;0),MAX(0,JM80-(MIN(CN80*ALN79,JM80+MZ80)-MIN(MIN(CN80*ALN79,JM80+MZ80),MZ80))),JM80)</f>
        <v>1270</v>
      </c>
      <c r="JO80" s="20" t="n">
        <f aca="false">IF(AND(H_Direct=1,CO80&gt;0),MAX(0,JN80-(MIN(CO80*ALO79,JN80+NA80)-MIN(MIN(CO80*ALO79,JN80+NA80),NA80))),JN80)</f>
        <v>1270</v>
      </c>
      <c r="JP80" s="20" t="n">
        <f aca="false">IF(AND(H_Direct=1,CP80&gt;0),MAX(0,JO80-(MIN(CP80*ALP79,JO80+NB80)-MIN(MIN(CP80*ALP79,JO80+NB80),NB80))),JO80)</f>
        <v>1270</v>
      </c>
      <c r="JQ80" s="20" t="n">
        <f aca="false">IF(AND(H_Direct=1,CQ80&gt;0),MAX(0,JP80-(MIN(CQ80*ALQ79,JP80+NC80)-MIN(MIN(CQ80*ALQ79,JP80+NC80),NC80))),JP80)</f>
        <v>1270</v>
      </c>
      <c r="JR80" s="20" t="n">
        <f aca="false">IF(AND(H_Direct=1,CR80&gt;0),MAX(0,JQ80-(MIN(CR80*ALR79,JQ80+ND80)-MIN(MIN(CR80*ALR79,JQ80+ND80),ND80))),JQ80)</f>
        <v>1270</v>
      </c>
      <c r="JS80" s="20" t="n">
        <f aca="false">IF(AND(H_Direct=1,CS80&gt;0),MAX(0,JR80-(MIN(CS80*ALS79,JR80+NE80)-MIN(MIN(CS80*ALS79,JR80+NE80),NE80))),JR80)</f>
        <v>1270</v>
      </c>
      <c r="JT80" s="20" t="n">
        <f aca="false">IF(AND(H_Direct=1,CT80&gt;0),MAX(0,JS80-(MIN(CT80*ALT79,JS80+NF80)-MIN(MIN(CT80*ALT79,JS80+NF80),NF80))),JS80)</f>
        <v>1270</v>
      </c>
      <c r="JU80" s="20" t="n">
        <f aca="false">IF(AND(H_Direct=1,CU80&gt;0),MAX(0,JT80-(MIN(CU80*ALU79,JT80+NG80)-MIN(MIN(CU80*ALU79,JT80+NG80),NG80))),JT80)</f>
        <v>1270</v>
      </c>
      <c r="JV80" s="20" t="n">
        <f aca="false">IF(AND(H_Direct=1,CV80&gt;0),MAX(0,JU80-(MIN(CV80*ALV79,JU80+NH80)-MIN(MIN(CV80*ALV79,JU80+NH80),NH80))),JU80)</f>
        <v>1270</v>
      </c>
      <c r="JW80" s="20" t="n">
        <f aca="false">IF(AND(H_Direct=1,CW80&gt;0),MAX(0,JV80-(MIN(CW80*ALW79,JV80+NI80)-MIN(MIN(CW80*ALW79,JV80+NI80),NI80))),JV80)</f>
        <v>1270</v>
      </c>
      <c r="JX80" s="20" t="n">
        <f aca="false">IF(AND(H_Direct=1,CX80&gt;0),MAX(0,JW80-(MIN(CX80*ALX79,JW80+NJ80)-MIN(MIN(CX80*ALX79,JW80+NJ80),NJ80))),JW80)</f>
        <v>1270</v>
      </c>
      <c r="JY80" s="20" t="n">
        <f aca="false">IF(AND(H_Direct=1,CY80&gt;0),MAX(0,JX80-(MIN(CY80*ALY79,JX80+NK80)-MIN(MIN(CY80*ALY79,JX80+NK80),NK80))),JX80)</f>
        <v>1270</v>
      </c>
      <c r="JZ80" s="20" t="n">
        <f aca="false">IF(AND(H_Direct=1,CZ80&gt;0),MAX(0,JY80-(MIN(CZ80*ALZ79,JY80+NL80)-MIN(MIN(CZ80*ALZ79,JY80+NL80),NL80))),JY80)</f>
        <v>1270</v>
      </c>
      <c r="KA80" s="20" t="n">
        <f aca="false">IF(AND(H_Direct=1,DA80&gt;0),MAX(0,JZ80-(MIN(DA80*AMA79,JZ80+NM80)-MIN(MIN(DA80*AMA79,JZ80+NM80),NM80))),JZ80)</f>
        <v>1270</v>
      </c>
      <c r="KB80" s="20" t="n">
        <f aca="false">IF(AND(H_Direct=1,DB80&gt;0),MAX(0,KA80-(MIN(DB80*AMB79,KA80+NN80)-MIN(MIN(DB80*AMB79,KA80+NN80),NN80))),KA80)</f>
        <v>1270</v>
      </c>
      <c r="KC80" s="20" t="n">
        <f aca="false">IF(AND(H_Direct=1,DC80&gt;0),MAX(0,KB80-(MIN(DC80*AMC79,KB80+NO80)-MIN(MIN(DC80*AMC79,KB80+NO80),NO80))),KB80)</f>
        <v>1270</v>
      </c>
      <c r="KD80" s="20" t="n">
        <f aca="false">IF(AND(H_Direct=1,DD80&gt;0),MAX(0,KC80-(MIN(DD80*AMD79,KC80+NP80)-MIN(MIN(DD80*AMD79,KC80+NP80),NP80))),KC80)</f>
        <v>1270</v>
      </c>
      <c r="KE80" s="20" t="n">
        <f aca="false">IF(AND(H_Direct=1,DE80&gt;0),MAX(0,KD80-(MIN(DE80*AME79,KD80+NQ80)-MIN(MIN(DE80*AME79,KD80+NQ80),NQ80))),KD80)</f>
        <v>1270</v>
      </c>
      <c r="KF80" s="20" t="n">
        <f aca="false">IF(AND(H_Direct=1,DF80&gt;0),MAX(0,KE80-(MIN(DF80*AMF79,KE80+NR80)-MIN(MIN(DF80*AMF79,KE80+NR80),NR80))),KE80)</f>
        <v>1270</v>
      </c>
      <c r="KG80" s="20" t="n">
        <f aca="false">IF(AND(H_Direct=1,DG80&gt;0),MAX(0,KF80-(MIN(DG80*AMG79,KF80+NS80)-MIN(MIN(DG80*AMG79,KF80+NS80),NS80))),KF80)</f>
        <v>1270</v>
      </c>
      <c r="KH80" s="20" t="n">
        <f aca="false">IF(AND(H_Direct=1,DH80&gt;0),MAX(0,KG80-(MIN(DH80*AMH79,KG80+NT80)-MIN(MIN(DH80*AMH79,KG80+NT80),NT80))),KG80)</f>
        <v>1270</v>
      </c>
      <c r="KI80" s="20" t="n">
        <f aca="false">IF(AND(H_Direct=1,DI80&gt;0),MAX(0,KH80-(MIN(DI80*AMI79,KH80+NU80)-MIN(MIN(DI80*AMI79,KH80+NU80),NU80))),KH80)</f>
        <v>1270</v>
      </c>
      <c r="KJ80" s="20" t="n">
        <f aca="false">IF(AND(H_Direct=1,DJ80&gt;0),MAX(0,KI80-(MIN(DJ80*AMJ79,KI80+NV80)-MIN(MIN(DJ80*AMJ79,KI80+NV80),NV80))),KI80)</f>
        <v>1270</v>
      </c>
      <c r="KK80" s="20" t="n">
        <f aca="false">IF(AND(H_Direct=1,DK80&gt;0),MAX(0,KJ80-(MIN(DK80*AMK79,KJ80+NW80)-MIN(MIN(DK80*AMK79,KJ80+NW80),NW80))),KJ80)</f>
        <v>1270</v>
      </c>
      <c r="KL80" s="20" t="n">
        <f aca="false">IF(AND(H_Direct=1,DL80&gt;0),MAX(0,KK80-(MIN(DL80*AML79,KK80+NX80)-MIN(MIN(DL80*AML79,KK80+NX80),NX80))),KK80)</f>
        <v>1270</v>
      </c>
      <c r="KM80" s="20" t="n">
        <f aca="false">IF(AND(H_Direct=1,DM80&gt;0),MAX(0,KL80-(MIN(DM80*AMM79,KL80+NY80)-MIN(MIN(DM80*AMM79,KL80+NY80),NY80))),KL80)</f>
        <v>1270</v>
      </c>
      <c r="KN80" s="20" t="n">
        <f aca="false">IF(AND(H_Direct=1,DN80&gt;0),MAX(0,KM80-(MIN(DN80*AMN79,KM80+NZ80)-MIN(MIN(DN80*AMN79,KM80+NZ80),NZ80))),KM80)</f>
        <v>1270</v>
      </c>
      <c r="KO80" s="20" t="n">
        <f aca="false">IF(AND(H_Direct=1,DO80&gt;0),MAX(0,KN80-(MIN(DO80*AMO79,KN80+OA80)-MIN(MIN(DO80*AMO79,KN80+OA80),OA80))),KN80)</f>
        <v>1270</v>
      </c>
      <c r="KP80" s="20" t="n">
        <f aca="false">IF(AND(H_Direct=1,DP80&gt;0),MAX(0,KO80-(MIN(DP80*AMP79,KO80+OB80)-MIN(MIN(DP80*AMP79,KO80+OB80),OB80))),KO80)</f>
        <v>1270</v>
      </c>
      <c r="KQ80" s="20" t="n">
        <f aca="false">IF(AND(H_Direct=1,DQ80&gt;0),MAX(0,KP80-(MIN(DQ80*AMQ79,KP80+OC80)-MIN(MIN(DQ80*AMQ79,KP80+OC80),OC80))),KP80)</f>
        <v>1270</v>
      </c>
      <c r="KR80" s="20" t="n">
        <f aca="false">IF(AND(H_Direct=1,DR80&gt;0),MAX(0,KQ80-(MIN(DR80*AMR79,KQ80+OD80)-MIN(MIN(DR80*AMR79,KQ80+OD80),OD80))),KQ80)</f>
        <v>1270</v>
      </c>
      <c r="KS80" s="20" t="n">
        <f aca="false">IF(AND(H_Direct=1,DS80&gt;0),MAX(0,KR80-(MIN(DS80*AMS79,KR80+OE80)-MIN(MIN(DS80*AMS79,KR80+OE80),OE80))),KR80)</f>
        <v>1270</v>
      </c>
      <c r="KT80" s="20" t="n">
        <f aca="false">IF(AND(H_Direct=1,DT80&gt;0),MAX(0,KS80-(MIN(DT80*AMT79,KS80+OF80)-MIN(MIN(DT80*AMT79,KS80+OF80),OF80))),KS80)</f>
        <v>1270</v>
      </c>
      <c r="KU80" s="20" t="n">
        <f aca="false">IF(AND(H_Direct=1,DU80&gt;0),MAX(0,KT80-(MIN(DU80*AMU79,KT80+OG80)-MIN(MIN(DU80*AMU79,KT80+OG80),OG80))),KT80)</f>
        <v>1270</v>
      </c>
      <c r="KV80" s="20" t="n">
        <f aca="false">IF(AND(H_Direct=1,DV80&gt;0),MAX(0,KU80-(MIN(DV80*AMV79,KU80+OH80)-MIN(MIN(DV80*AMV79,KU80+OH80),OH80))),KU80)</f>
        <v>1270</v>
      </c>
      <c r="KW80" s="20" t="n">
        <f aca="false">IF(AND(H_Direct=1,DW80&gt;0),MAX(0,KV80-(MIN(DW80*AMW79,KV80+OI80)-MIN(MIN(DW80*AMW79,KV80+OI80),OI80))),KV80)</f>
        <v>1270</v>
      </c>
      <c r="KX80" s="20" t="n">
        <f aca="false">IF(AND(H_Direct=1,DX80&gt;0),MAX(0,KW80-(MIN(DX80*AMX79,KW80+OJ80)-MIN(MIN(DX80*AMX79,KW80+OJ80),OJ80))),KW80)</f>
        <v>1270</v>
      </c>
      <c r="KY80" s="20" t="n">
        <f aca="false">IF(AND(H_Direct=1,DY80&gt;0),MAX(0,KX80-(MIN(DY80*AMY79,KX80+OK80)-MIN(MIN(DY80*AMY79,KX80+OK80),OK80))),KX80)</f>
        <v>1270</v>
      </c>
      <c r="KZ80" s="20" t="n">
        <f aca="false">IF(AND(H_Direct=1,DZ80&gt;0),MAX(0,KY80-(MIN(DZ80*AMZ79,KY80+OL80)-MIN(MIN(DZ80*AMZ79,KY80+OL80),OL80))),KY80)</f>
        <v>1270</v>
      </c>
      <c r="LA80" s="20" t="n">
        <f aca="false">IF(AND(H_Direct=1,EA80&gt;0),MAX(0,KZ80-(MIN(EA80*ANA79,KZ80+OM80)-MIN(MIN(EA80*ANA79,KZ80+OM80),OM80))),KZ80)</f>
        <v>1270</v>
      </c>
      <c r="LB80" s="20" t="n">
        <f aca="false">IF(AND(H_Direct=1,EB80&gt;0),MAX(0,LA80-(MIN(EB80*ANB79,LA80+ON80)-MIN(MIN(EB80*ANB79,LA80+ON80),ON80))),LA80)</f>
        <v>1270</v>
      </c>
      <c r="LC80" s="20" t="n">
        <f aca="false">IF(AND(H_Direct=1,EC80&gt;0),MAX(0,LB80-(MIN(EC80*ANC79,LB80+OO80)-MIN(MIN(EC80*ANC79,LB80+OO80),OO80))),LB80)</f>
        <v>1270</v>
      </c>
      <c r="LD80" s="20" t="n">
        <f aca="false">IF(AND(H_Direct=1,ED80&gt;0),MAX(0,LC80-(MIN(ED80*AND79,LC80+OP80)-MIN(MIN(ED80*AND79,LC80+OP80),OP80))),LC80)</f>
        <v>1270</v>
      </c>
      <c r="LE80" s="20" t="n">
        <f aca="false">IF(AND(H_Direct=1,EE80&gt;0),MAX(0,LD80-(MIN(EE80*ANE79,LD80+OQ80)-MIN(MIN(EE80*ANE79,LD80+OQ80),OQ80))),LD80)</f>
        <v>1270</v>
      </c>
      <c r="LF80" s="20" t="n">
        <f aca="false">IF(AND(H_Direct=1,EF80&gt;0),MAX(0,LE80-(MIN(EF80*ANF79,LE80+OR80)-MIN(MIN(EF80*ANF79,LE80+OR80),OR80))),LE80)</f>
        <v>1270</v>
      </c>
      <c r="LG80" s="20" t="n">
        <f aca="false">IF(AND(H_Direct=1,EG80&gt;0),MAX(0,LF80-(MIN(EG80*ANG79,LF80+OS80)-MIN(MIN(EG80*ANG79,LF80+OS80),OS80))),LF80)</f>
        <v>1270</v>
      </c>
      <c r="LH80" s="20" t="n">
        <f aca="false">IF(AND(H_Direct=1,EH80&gt;0),MAX(0,LG80-(MIN(EH80*ANH79,LG80+OT80)-MIN(MIN(EH80*ANH79,LG80+OT80),OT80))),LG80)</f>
        <v>1270</v>
      </c>
      <c r="LI80" s="20" t="n">
        <f aca="false">IF(AND(H_Direct=1,EI80&gt;0),MAX(0,LH80-(MIN(EI80*ANI79,LH80+OU80)-MIN(MIN(EI80*ANI79,LH80+OU80),OU80))),LH80)</f>
        <v>1270</v>
      </c>
      <c r="LJ80" s="20" t="n">
        <f aca="false">IF(AND(H_Direct=1,EJ80&gt;0),MAX(0,LI80-(MIN(EJ80*ANJ79,LI80+OV80)-MIN(MIN(EJ80*ANJ79,LI80+OV80),OV80))),LI80)</f>
        <v>1270</v>
      </c>
      <c r="LK80" s="20" t="n">
        <f aca="false">IF(AND(H_Direct=1,EK80&gt;0),MAX(0,LJ80-(MIN(EK80*ANK79,LJ80+OW80)-MIN(MIN(EK80*ANK79,LJ80+OW80),OW80))),LJ80)</f>
        <v>1270</v>
      </c>
      <c r="LL80" s="20" t="n">
        <f aca="false">IF(AND(H_Direct=1,EL80&gt;0),MAX(0,LK80-(MIN(EL80*ANL79,LK80+OX80)-MIN(MIN(EL80*ANL79,LK80+OX80),OX80))),LK80)</f>
        <v>1270</v>
      </c>
      <c r="LM80" s="20" t="n">
        <f aca="false">IF(AND(H_Direct=1,EM80&gt;0),MAX(0,LL80-(MIN(EM80*(P80+S80),LL80+OY80)-MIN(MIN(EM80*(P80+S80),LL80+OY80),OY80))),LL80)</f>
        <v>1270</v>
      </c>
      <c r="LN80" s="20" t="n">
        <f aca="false">LM80</f>
        <v>1270</v>
      </c>
      <c r="LO80" s="20" t="n">
        <f aca="false">LN80</f>
        <v>1270</v>
      </c>
      <c r="LP80" s="20" t="n">
        <f aca="false">LO80</f>
        <v>1270</v>
      </c>
      <c r="LQ80" s="20" t="n">
        <f aca="false">LP80</f>
        <v>1270</v>
      </c>
      <c r="LR80" s="20" t="n">
        <f aca="false">LQ80</f>
        <v>1270</v>
      </c>
      <c r="LS80" s="20" t="n">
        <f aca="false">LR80</f>
        <v>1270</v>
      </c>
      <c r="LT80" s="20" t="n">
        <f aca="false">LS80</f>
        <v>1270</v>
      </c>
      <c r="LU80" s="20" t="n">
        <f aca="false">LT80</f>
        <v>1270</v>
      </c>
      <c r="LV80" s="20" t="n">
        <f aca="false">LU80</f>
        <v>1270</v>
      </c>
      <c r="LW80" s="20" t="n">
        <f aca="false">LV80</f>
        <v>1270</v>
      </c>
      <c r="LX80" s="20" t="n">
        <f aca="false">LW80</f>
        <v>1270</v>
      </c>
      <c r="LY80" s="20" t="n">
        <f aca="false">LX80</f>
        <v>1270</v>
      </c>
      <c r="LZ80" s="20" t="n">
        <f aca="false">LY80</f>
        <v>1270</v>
      </c>
      <c r="MA80" s="20" t="n">
        <f aca="false">LZ80</f>
        <v>1270</v>
      </c>
      <c r="MB80" s="20" t="n">
        <f aca="false">MA80</f>
        <v>1270</v>
      </c>
      <c r="MC80" s="20" t="n">
        <f aca="false">MB80</f>
        <v>1270</v>
      </c>
      <c r="MD80" s="20" t="n">
        <f aca="false">MC80</f>
        <v>1270</v>
      </c>
      <c r="ME80" s="20" t="n">
        <f aca="false">IF(H_Direct=1,IF(BR80&lt;=0,I80-BR80*AKR79,I80-MIN(MIN(BR80*AKR79,H80+I80),I80)),I80)</f>
        <v>0</v>
      </c>
      <c r="MF80" s="20" t="n">
        <f aca="false">IF(H_Direct=1,IF(BS80&lt;=0,ME80-BS80*AKS79,ME80-MIN(MIN(BS80*AKS79,IR80+ME80),ME80)),ME80)</f>
        <v>0</v>
      </c>
      <c r="MG80" s="20" t="n">
        <f aca="false">IF(H_Direct=1,IF(BT80&lt;=0,MF80-BT80*AKT79,MF80-MIN(MIN(BT80*AKT79,IS80+MF80),MF80)),MF80)</f>
        <v>0</v>
      </c>
      <c r="MH80" s="20" t="n">
        <f aca="false">IF(H_Direct=1,IF(BU80&lt;=0,MG80-BU80*AKU79,MG80-MIN(MIN(BU80*AKU79,IT80+MG80),MG80)),MG80)</f>
        <v>0</v>
      </c>
      <c r="MI80" s="20" t="n">
        <f aca="false">IF(H_Direct=1,IF(BV80&lt;=0,MH80-BV80*AKV79,MH80-MIN(MIN(BV80*AKV79,IU80+MH80),MH80)),MH80)</f>
        <v>0</v>
      </c>
      <c r="MJ80" s="20" t="n">
        <f aca="false">IF(H_Direct=1,IF(BW80&lt;=0,MI80-BW80*AKW79,MI80-MIN(MIN(BW80*AKW79,IV80+MI80),MI80)),MI80)</f>
        <v>0</v>
      </c>
      <c r="MK80" s="20" t="n">
        <f aca="false">IF(H_Direct=1,IF(BX80&lt;=0,MJ80-BX80*AKX79,MJ80-MIN(MIN(BX80*AKX79,IW80+MJ80),MJ80)),MJ80)</f>
        <v>0</v>
      </c>
      <c r="ML80" s="20" t="n">
        <f aca="false">IF(H_Direct=1,IF(BY80&lt;=0,MK80-BY80*AKY79,MK80-MIN(MIN(BY80*AKY79,IX80+MK80),MK80)),MK80)</f>
        <v>0</v>
      </c>
      <c r="MM80" s="20" t="n">
        <f aca="false">IF(H_Direct=1,IF(BZ80&lt;=0,ML80-BZ80*AKZ79,ML80-MIN(MIN(BZ80*AKZ79,IY80+ML80),ML80)),ML80)</f>
        <v>0</v>
      </c>
      <c r="MN80" s="20" t="n">
        <f aca="false">IF(H_Direct=1,IF(CA80&lt;=0,MM80-CA80*ALA79,MM80-MIN(MIN(CA80*ALA79,IZ80+MM80),MM80)),MM80)</f>
        <v>0</v>
      </c>
      <c r="MO80" s="20" t="n">
        <f aca="false">IF(H_Direct=1,IF(CB80&lt;=0,MN80-CB80*ALB79,MN80-MIN(MIN(CB80*ALB79,JA80+MN80),MN80)),MN80)</f>
        <v>0</v>
      </c>
      <c r="MP80" s="20" t="n">
        <f aca="false">IF(H_Direct=1,IF(CC80&lt;=0,MO80-CC80*ALC79,MO80-MIN(MIN(CC80*ALC79,JB80+MO80),MO80)),MO80)</f>
        <v>0</v>
      </c>
      <c r="MQ80" s="20" t="n">
        <f aca="false">IF(H_Direct=1,IF(CD80&lt;=0,MP80-CD80*ALD79,MP80-MIN(MIN(CD80*ALD79,JC80+MP80),MP80)),MP80)</f>
        <v>0</v>
      </c>
      <c r="MR80" s="20" t="n">
        <f aca="false">IF(H_Direct=1,IF(CE80&lt;=0,MQ80-CE80*ALE79,MQ80-MIN(MIN(CE80*ALE79,JD80+MQ80),MQ80)),MQ80)</f>
        <v>0</v>
      </c>
      <c r="MS80" s="20" t="n">
        <f aca="false">IF(H_Direct=1,IF(CF80&lt;=0,MR80-CF80*ALF79,MR80-MIN(MIN(CF80*ALF79,JE80+MR80),MR80)),MR80)</f>
        <v>0</v>
      </c>
      <c r="MT80" s="20" t="n">
        <f aca="false">IF(H_Direct=1,IF(CG80&lt;=0,MS80-CG80*ALG79,MS80-MIN(MIN(CG80*ALG79,JF80+MS80),MS80)),MS80)</f>
        <v>0</v>
      </c>
      <c r="MU80" s="20" t="n">
        <f aca="false">IF(H_Direct=1,IF(CH80&lt;=0,MT80-CH80*ALH79,MT80-MIN(MIN(CH80*ALH79,JG80+MT80),MT80)),MT80)</f>
        <v>0</v>
      </c>
      <c r="MV80" s="20" t="n">
        <f aca="false">IF(H_Direct=1,IF(CI80&lt;=0,MU80-CI80*ALI79,MU80-MIN(MIN(CI80*ALI79,JH80+MU80),MU80)),MU80)</f>
        <v>0</v>
      </c>
      <c r="MW80" s="20" t="n">
        <f aca="false">IF(H_Direct=1,IF(CJ80&lt;=0,MV80-CJ80*ALJ79,MV80-MIN(MIN(CJ80*ALJ79,JI80+MV80),MV80)),MV80)</f>
        <v>0</v>
      </c>
      <c r="MX80" s="20" t="n">
        <f aca="false">IF(H_Direct=1,IF(CK80&lt;=0,MW80-CK80*ALK79,MW80-MIN(MIN(CK80*ALK79,JJ80+MW80),MW80)),MW80)</f>
        <v>0</v>
      </c>
      <c r="MY80" s="20" t="n">
        <f aca="false">IF(H_Direct=1,IF(CL80&lt;=0,MX80-CL80*ALL79,MX80-MIN(MIN(CL80*ALL79,JK80+MX80),MX80)),MX80)</f>
        <v>0</v>
      </c>
      <c r="MZ80" s="20" t="n">
        <f aca="false">IF(H_Direct=1,IF(CM80&lt;=0,MY80-CM80*ALM79,MY80-MIN(MIN(CM80*ALM79,JL80+MY80),MY80)),MY80)</f>
        <v>0</v>
      </c>
      <c r="NA80" s="20" t="n">
        <f aca="false">IF(H_Direct=1,IF(CN80&lt;=0,MZ80-CN80*ALN79,MZ80-MIN(MIN(CN80*ALN79,JM80+MZ80),MZ80)),MZ80)</f>
        <v>0</v>
      </c>
      <c r="NB80" s="20" t="n">
        <f aca="false">IF(H_Direct=1,IF(CO80&lt;=0,NA80-CO80*ALO79,NA80-MIN(MIN(CO80*ALO79,JN80+NA80),NA80)),NA80)</f>
        <v>0</v>
      </c>
      <c r="NC80" s="20" t="n">
        <f aca="false">IF(H_Direct=1,IF(CP80&lt;=0,NB80-CP80*ALP79,NB80-MIN(MIN(CP80*ALP79,JO80+NB80),NB80)),NB80)</f>
        <v>0</v>
      </c>
      <c r="ND80" s="20" t="n">
        <f aca="false">IF(H_Direct=1,IF(CQ80&lt;=0,NC80-CQ80*ALQ79,NC80-MIN(MIN(CQ80*ALQ79,JP80+NC80),NC80)),NC80)</f>
        <v>0</v>
      </c>
      <c r="NE80" s="20" t="n">
        <f aca="false">IF(H_Direct=1,IF(CR80&lt;=0,ND80-CR80*ALR79,ND80-MIN(MIN(CR80*ALR79,JQ80+ND80),ND80)),ND80)</f>
        <v>0</v>
      </c>
      <c r="NF80" s="20" t="n">
        <f aca="false">IF(H_Direct=1,IF(CS80&lt;=0,NE80-CS80*ALS79,NE80-MIN(MIN(CS80*ALS79,JR80+NE80),NE80)),NE80)</f>
        <v>0</v>
      </c>
      <c r="NG80" s="20" t="n">
        <f aca="false">IF(H_Direct=1,IF(CT80&lt;=0,NF80-CT80*ALT79,NF80-MIN(MIN(CT80*ALT79,JS80+NF80),NF80)),NF80)</f>
        <v>0</v>
      </c>
      <c r="NH80" s="20" t="n">
        <f aca="false">IF(H_Direct=1,IF(CU80&lt;=0,NG80-CU80*ALU79,NG80-MIN(MIN(CU80*ALU79,JT80+NG80),NG80)),NG80)</f>
        <v>0</v>
      </c>
      <c r="NI80" s="20" t="n">
        <f aca="false">IF(H_Direct=1,IF(CV80&lt;=0,NH80-CV80*ALV79,NH80-MIN(MIN(CV80*ALV79,JU80+NH80),NH80)),NH80)</f>
        <v>0</v>
      </c>
      <c r="NJ80" s="20" t="n">
        <f aca="false">IF(H_Direct=1,IF(CW80&lt;=0,NI80-CW80*ALW79,NI80-MIN(MIN(CW80*ALW79,JV80+NI80),NI80)),NI80)</f>
        <v>0</v>
      </c>
      <c r="NK80" s="20" t="n">
        <f aca="false">IF(H_Direct=1,IF(CX80&lt;=0,NJ80-CX80*ALX79,NJ80-MIN(MIN(CX80*ALX79,JW80+NJ80),NJ80)),NJ80)</f>
        <v>0</v>
      </c>
      <c r="NL80" s="20" t="n">
        <f aca="false">IF(H_Direct=1,IF(CY80&lt;=0,NK80-CY80*ALY79,NK80-MIN(MIN(CY80*ALY79,JX80+NK80),NK80)),NK80)</f>
        <v>0</v>
      </c>
      <c r="NM80" s="20" t="n">
        <f aca="false">IF(H_Direct=1,IF(CZ80&lt;=0,NL80-CZ80*ALZ79,NL80-MIN(MIN(CZ80*ALZ79,JY80+NL80),NL80)),NL80)</f>
        <v>0</v>
      </c>
      <c r="NN80" s="20" t="n">
        <f aca="false">IF(H_Direct=1,IF(DA80&lt;=0,NM80-DA80*AMA79,NM80-MIN(MIN(DA80*AMA79,JZ80+NM80),NM80)),NM80)</f>
        <v>0</v>
      </c>
      <c r="NO80" s="20" t="n">
        <f aca="false">IF(H_Direct=1,IF(DB80&lt;=0,NN80-DB80*AMB79,NN80-MIN(MIN(DB80*AMB79,KA80+NN80),NN80)),NN80)</f>
        <v>0</v>
      </c>
      <c r="NP80" s="20" t="n">
        <f aca="false">IF(H_Direct=1,IF(DC80&lt;=0,NO80-DC80*AMC79,NO80-MIN(MIN(DC80*AMC79,KB80+NO80),NO80)),NO80)</f>
        <v>0</v>
      </c>
      <c r="NQ80" s="20" t="n">
        <f aca="false">IF(H_Direct=1,IF(DD80&lt;=0,NP80-DD80*AMD79,NP80-MIN(MIN(DD80*AMD79,KC80+NP80),NP80)),NP80)</f>
        <v>0</v>
      </c>
      <c r="NR80" s="20" t="n">
        <f aca="false">IF(H_Direct=1,IF(DE80&lt;=0,NQ80-DE80*AME79,NQ80-MIN(MIN(DE80*AME79,KD80+NQ80),NQ80)),NQ80)</f>
        <v>0</v>
      </c>
      <c r="NS80" s="20" t="n">
        <f aca="false">IF(H_Direct=1,IF(DF80&lt;=0,NR80-DF80*AMF79,NR80-MIN(MIN(DF80*AMF79,KE80+NR80),NR80)),NR80)</f>
        <v>0</v>
      </c>
      <c r="NT80" s="20" t="n">
        <f aca="false">IF(H_Direct=1,IF(DG80&lt;=0,NS80-DG80*AMG79,NS80-MIN(MIN(DG80*AMG79,KF80+NS80),NS80)),NS80)</f>
        <v>0</v>
      </c>
      <c r="NU80" s="20" t="n">
        <f aca="false">IF(H_Direct=1,IF(DH80&lt;=0,NT80-DH80*AMH79,NT80-MIN(MIN(DH80*AMH79,KG80+NT80),NT80)),NT80)</f>
        <v>0</v>
      </c>
      <c r="NV80" s="20" t="n">
        <f aca="false">IF(H_Direct=1,IF(DI80&lt;=0,NU80-DI80*AMI79,NU80-MIN(MIN(DI80*AMI79,KH80+NU80),NU80)),NU80)</f>
        <v>0</v>
      </c>
      <c r="NW80" s="20" t="n">
        <f aca="false">IF(H_Direct=1,IF(DJ80&lt;=0,NV80-DJ80*AMJ79,NV80-MIN(MIN(DJ80*AMJ79,KI80+NV80),NV80)),NV80)</f>
        <v>0</v>
      </c>
      <c r="NX80" s="20" t="n">
        <f aca="false">IF(H_Direct=1,IF(DK80&lt;=0,NW80-DK80*AMK79,NW80-MIN(MIN(DK80*AMK79,KJ80+NW80),NW80)),NW80)</f>
        <v>0</v>
      </c>
      <c r="NY80" s="20" t="n">
        <f aca="false">IF(H_Direct=1,IF(DL80&lt;=0,NX80-DL80*AML79,NX80-MIN(MIN(DL80*AML79,KK80+NX80),NX80)),NX80)</f>
        <v>0</v>
      </c>
      <c r="NZ80" s="20" t="n">
        <f aca="false">IF(H_Direct=1,IF(DM80&lt;=0,NY80-DM80*AMM79,NY80-MIN(MIN(DM80*AMM79,KL80+NY80),NY80)),NY80)</f>
        <v>0</v>
      </c>
      <c r="OA80" s="20" t="n">
        <f aca="false">IF(H_Direct=1,IF(DN80&lt;=0,NZ80-DN80*AMN79,NZ80-MIN(MIN(DN80*AMN79,KM80+NZ80),NZ80)),NZ80)</f>
        <v>0</v>
      </c>
      <c r="OB80" s="20" t="n">
        <f aca="false">IF(H_Direct=1,IF(DO80&lt;=0,OA80-DO80*AMO79,OA80-MIN(MIN(DO80*AMO79,KN80+OA80),OA80)),OA80)</f>
        <v>0</v>
      </c>
      <c r="OC80" s="20" t="n">
        <f aca="false">IF(H_Direct=1,IF(DP80&lt;=0,OB80-DP80*AMP79,OB80-MIN(MIN(DP80*AMP79,KO80+OB80),OB80)),OB80)</f>
        <v>0</v>
      </c>
      <c r="OD80" s="20" t="n">
        <f aca="false">IF(H_Direct=1,IF(DQ80&lt;=0,OC80-DQ80*AMQ79,OC80-MIN(MIN(DQ80*AMQ79,KP80+OC80),OC80)),OC80)</f>
        <v>0</v>
      </c>
      <c r="OE80" s="20" t="n">
        <f aca="false">IF(H_Direct=1,IF(DR80&lt;=0,OD80-DR80*AMR79,OD80-MIN(MIN(DR80*AMR79,KQ80+OD80),OD80)),OD80)</f>
        <v>0</v>
      </c>
      <c r="OF80" s="20" t="n">
        <f aca="false">IF(H_Direct=1,IF(DS80&lt;=0,OE80-DS80*AMS79,OE80-MIN(MIN(DS80*AMS79,KR80+OE80),OE80)),OE80)</f>
        <v>0</v>
      </c>
      <c r="OG80" s="20" t="n">
        <f aca="false">IF(H_Direct=1,IF(DT80&lt;=0,OF80-DT80*AMT79,OF80-MIN(MIN(DT80*AMT79,KS80+OF80),OF80)),OF80)</f>
        <v>0</v>
      </c>
      <c r="OH80" s="20" t="n">
        <f aca="false">IF(H_Direct=1,IF(DU80&lt;=0,OG80-DU80*AMU79,OG80-MIN(MIN(DU80*AMU79,KT80+OG80),OG80)),OG80)</f>
        <v>0</v>
      </c>
      <c r="OI80" s="20" t="n">
        <f aca="false">IF(H_Direct=1,IF(DV80&lt;=0,OH80-DV80*AMV79,OH80-MIN(MIN(DV80*AMV79,KU80+OH80),OH80)),OH80)</f>
        <v>0</v>
      </c>
      <c r="OJ80" s="20" t="n">
        <f aca="false">IF(H_Direct=1,IF(DW80&lt;=0,OI80-DW80*AMW79,OI80-MIN(MIN(DW80*AMW79,KV80+OI80),OI80)),OI80)</f>
        <v>0</v>
      </c>
      <c r="OK80" s="20" t="n">
        <f aca="false">IF(H_Direct=1,IF(DX80&lt;=0,OJ80-DX80*AMX79,OJ80-MIN(MIN(DX80*AMX79,KW80+OJ80),OJ80)),OJ80)</f>
        <v>0</v>
      </c>
      <c r="OL80" s="20" t="n">
        <f aca="false">IF(H_Direct=1,IF(DY80&lt;=0,OK80-DY80*AMY79,OK80-MIN(MIN(DY80*AMY79,KX80+OK80),OK80)),OK80)</f>
        <v>0</v>
      </c>
      <c r="OM80" s="20" t="n">
        <f aca="false">IF(H_Direct=1,IF(DZ80&lt;=0,OL80-DZ80*AMZ79,OL80-MIN(MIN(DZ80*AMZ79,KY80+OL80),OL80)),OL80)</f>
        <v>0</v>
      </c>
      <c r="ON80" s="20" t="n">
        <f aca="false">IF(H_Direct=1,IF(EA80&lt;=0,OM80-EA80*ANA79,OM80-MIN(MIN(EA80*ANA79,KZ80+OM80),OM80)),OM80)</f>
        <v>0</v>
      </c>
      <c r="OO80" s="20" t="n">
        <f aca="false">IF(H_Direct=1,IF(EB80&lt;=0,ON80-EB80*ANB79,ON80-MIN(MIN(EB80*ANB79,LA80+ON80),ON80)),ON80)</f>
        <v>0</v>
      </c>
      <c r="OP80" s="20" t="n">
        <f aca="false">IF(H_Direct=1,IF(EC80&lt;=0,OO80-EC80*ANC79,OO80-MIN(MIN(EC80*ANC79,LB80+OO80),OO80)),OO80)</f>
        <v>0</v>
      </c>
      <c r="OQ80" s="20" t="n">
        <f aca="false">IF(H_Direct=1,IF(ED80&lt;=0,OP80-ED80*AND79,OP80-MIN(MIN(ED80*AND79,LC80+OP80),OP80)),OP80)</f>
        <v>0</v>
      </c>
      <c r="OR80" s="20" t="n">
        <f aca="false">IF(H_Direct=1,IF(EE80&lt;=0,OQ80-EE80*ANE79,OQ80-MIN(MIN(EE80*ANE79,LD80+OQ80),OQ80)),OQ80)</f>
        <v>0</v>
      </c>
      <c r="OS80" s="20" t="n">
        <f aca="false">IF(H_Direct=1,IF(EF80&lt;=0,OR80-EF80*ANF79,OR80-MIN(MIN(EF80*ANF79,LE80+OR80),OR80)),OR80)</f>
        <v>0</v>
      </c>
      <c r="OT80" s="20" t="n">
        <f aca="false">IF(H_Direct=1,IF(EG80&lt;=0,OS80-EG80*ANG79,OS80-MIN(MIN(EG80*ANG79,LF80+OS80),OS80)),OS80)</f>
        <v>0</v>
      </c>
      <c r="OU80" s="20" t="n">
        <f aca="false">IF(H_Direct=1,IF(EH80&lt;=0,OT80-EH80*ANH79,OT80-MIN(MIN(EH80*ANH79,LG80+OT80),OT80)),OT80)</f>
        <v>0</v>
      </c>
      <c r="OV80" s="20" t="n">
        <f aca="false">IF(H_Direct=1,IF(EI80&lt;=0,OU80-EI80*ANI79,OU80-MIN(MIN(EI80*ANI79,LH80+OU80),OU80)),OU80)</f>
        <v>0</v>
      </c>
      <c r="OW80" s="20" t="n">
        <f aca="false">IF(H_Direct=1,IF(EJ80&lt;=0,OV80-EJ80*ANJ79,OV80-MIN(MIN(EJ80*ANJ79,LI80+OV80),OV80)),OV80)</f>
        <v>0</v>
      </c>
      <c r="OX80" s="20" t="n">
        <f aca="false">IF(H_Direct=1,IF(EK80&lt;=0,OW80-EK80*ANK79,OW80-MIN(MIN(EK80*ANK79,LJ80+OW80),OW80)),OW80)</f>
        <v>0</v>
      </c>
      <c r="OY80" s="20" t="n">
        <f aca="false">IF(H_Direct=1,IF(EL80&lt;=0,OX80-EL80*ANL79,OX80-MIN(MIN(EL80*ANL79,LK80+OX80),OX80)),OX80)</f>
        <v>0</v>
      </c>
      <c r="OZ80" s="20" t="n">
        <f aca="false">IF(H_Direct=1,IF(EM80&lt;=0,OY80-EM80*(P80+S80),OY80-MIN(MIN(EM80*(P80+S80),LL80+OY80),OY80)),OY80)</f>
        <v>0</v>
      </c>
      <c r="PA80" s="20" t="n">
        <f aca="false">OZ80</f>
        <v>0</v>
      </c>
      <c r="PB80" s="20" t="n">
        <f aca="false">PA80</f>
        <v>0</v>
      </c>
      <c r="PC80" s="20" t="n">
        <f aca="false">PB80</f>
        <v>0</v>
      </c>
      <c r="PD80" s="20" t="n">
        <f aca="false">PC80</f>
        <v>0</v>
      </c>
      <c r="PE80" s="20" t="n">
        <f aca="false">PD80</f>
        <v>0</v>
      </c>
      <c r="PF80" s="20" t="n">
        <f aca="false">PE80</f>
        <v>0</v>
      </c>
      <c r="PG80" s="20" t="n">
        <f aca="false">PF80</f>
        <v>0</v>
      </c>
      <c r="PH80" s="20" t="n">
        <f aca="false">PG80</f>
        <v>0</v>
      </c>
      <c r="PI80" s="20" t="n">
        <f aca="false">PH80</f>
        <v>0</v>
      </c>
      <c r="PJ80" s="20" t="n">
        <f aca="false">PI80</f>
        <v>0</v>
      </c>
      <c r="PK80" s="20" t="n">
        <f aca="false">PJ80</f>
        <v>0</v>
      </c>
      <c r="PL80" s="20" t="n">
        <f aca="false">PK80</f>
        <v>0</v>
      </c>
      <c r="PM80" s="20" t="n">
        <f aca="false">PL80</f>
        <v>0</v>
      </c>
      <c r="PN80" s="20" t="n">
        <f aca="false">PM80</f>
        <v>0</v>
      </c>
      <c r="PO80" s="20" t="n">
        <f aca="false">PN80</f>
        <v>0</v>
      </c>
      <c r="PP80" s="20" t="n">
        <f aca="false">PO80</f>
        <v>0</v>
      </c>
      <c r="PQ80" s="20" t="n">
        <f aca="false">PP80</f>
        <v>0</v>
      </c>
      <c r="PR80" s="20" t="n">
        <f aca="false">IF(H_Direct=1,IF(AKR79&lt;=0,0,IF(BR80&lt;=0,MIN(MAX(0,AB80),AKR79),MIN(MAX(0,AB80),AKR79-G80*MAX(0,BR80*AKR79-(H80+I80))))),MIN(FE80,MAX(0,AB80)))</f>
        <v>0</v>
      </c>
      <c r="PS80" s="20" t="n">
        <f aca="false">IF(H_Direct=1,IF(AKS79&lt;=0,0,IF(BS80&lt;=0,MIN(MAX(0,AB80-SUM(PR80:PR80)),AKS79),MIN(MAX(0,AB80-SUM(PR80:PR80)),AKS79-G80*MAX(0,BS80*AKS79-(WR80+AAE80))))),MIN(FF80,MAX(0,AB80-SUM(PR80:PR80))))</f>
        <v>0</v>
      </c>
      <c r="PT80" s="20" t="n">
        <f aca="false">IF(H_Direct=1,IF(AKT79&lt;=0,0,IF(BT80&lt;=0,MIN(MAX(0,AB80-SUM(PR80:PS80)),AKT79),MIN(MAX(0,AB80-SUM(PR80:PS80)),AKT79-G80*MAX(0,BT80*AKT79-(WS80+AAF80))))),MIN(FG80,MAX(0,AB80-SUM(PR80:PS80))))</f>
        <v>0</v>
      </c>
      <c r="PU80" s="20" t="n">
        <f aca="false">IF(H_Direct=1,IF(AKU79&lt;=0,0,IF(BU80&lt;=0,MIN(MAX(0,AB80-SUM(PR80:PT80)),AKU79),MIN(MAX(0,AB80-SUM(PR80:PT80)),AKU79-G80*MAX(0,BU80*AKU79-(WT80+AAG80))))),MIN(FH80,MAX(0,AB80-SUM(PR80:PT80))))</f>
        <v>0</v>
      </c>
      <c r="PV80" s="20" t="n">
        <f aca="false">IF(H_Direct=1,IF(AKV79&lt;=0,0,IF(BV80&lt;=0,MIN(MAX(0,AB80-SUM(PR80:PU80)),AKV79),MIN(MAX(0,AB80-SUM(PR80:PU80)),AKV79-G80*MAX(0,BV80*AKV79-(WU80+AAH80))))),MIN(FI80,MAX(0,AB80-SUM(PR80:PU80))))</f>
        <v>0</v>
      </c>
      <c r="PW80" s="20" t="n">
        <f aca="false">IF(H_Direct=1,IF(AKW79&lt;=0,0,IF(BW80&lt;=0,MIN(MAX(0,AB80-SUM(PR80:PV80)),AKW79),MIN(MAX(0,AB80-SUM(PR80:PV80)),AKW79-G80*MAX(0,BW80*AKW79-(WV80+AAI80))))),MIN(FJ80,MAX(0,AB80-SUM(PR80:PV80))))</f>
        <v>0</v>
      </c>
      <c r="PX80" s="20" t="n">
        <f aca="false">IF(H_Direct=1,IF(AKX79&lt;=0,0,IF(BX80&lt;=0,MIN(MAX(0,AB80-SUM(PR80:PW80)),AKX79),MIN(MAX(0,AB80-SUM(PR80:PW80)),AKX79-G80*MAX(0,BX80*AKX79-(WW80+AAJ80))))),MIN(FK80,MAX(0,AB80-SUM(PR80:PW80))))</f>
        <v>0</v>
      </c>
      <c r="PY80" s="20" t="n">
        <f aca="false">IF(H_Direct=1,IF(AKY79&lt;=0,0,IF(BY80&lt;=0,MIN(MAX(0,AB80-SUM(PR80:PX80)),AKY79),MIN(MAX(0,AB80-SUM(PR80:PX80)),AKY79-G80*MAX(0,BY80*AKY79-(WX80+AAK80))))),MIN(FL80,MAX(0,AB80-SUM(PR80:PX80))))</f>
        <v>0</v>
      </c>
      <c r="PZ80" s="20" t="n">
        <f aca="false">IF(H_Direct=1,IF(AKZ79&lt;=0,0,IF(BZ80&lt;=0,MIN(MAX(0,AB80-SUM(PR80:PY80)),AKZ79),MIN(MAX(0,AB80-SUM(PR80:PY80)),AKZ79-G80*MAX(0,BZ80*AKZ79-(WY80+AAL80))))),MIN(FM80,MAX(0,AB80-SUM(PR80:PY80))))</f>
        <v>0</v>
      </c>
      <c r="QA80" s="20" t="n">
        <f aca="false">IF(H_Direct=1,IF(ALA79&lt;=0,0,IF(CA80&lt;=0,MIN(MAX(0,AB80-SUM(PR80:PZ80)),ALA79),MIN(MAX(0,AB80-SUM(PR80:PZ80)),ALA79-G80*MAX(0,CA80*ALA79-(WZ80+AAM80))))),MIN(FN80,MAX(0,AB80-SUM(PR80:PZ80))))</f>
        <v>0</v>
      </c>
      <c r="QB80" s="20" t="n">
        <f aca="false">IF(H_Direct=1,IF(ALB79&lt;=0,0,IF(CB80&lt;=0,MIN(MAX(0,AB80-SUM(PR80:QA80)),ALB79),MIN(MAX(0,AB80-SUM(PR80:QA80)),ALB79-G80*MAX(0,CB80*ALB79-(XA80+AAN80))))),MIN(FO80,MAX(0,AB80-SUM(PR80:QA80))))</f>
        <v>0</v>
      </c>
      <c r="QC80" s="20" t="n">
        <f aca="false">IF(H_Direct=1,IF(ALC79&lt;=0,0,IF(CC80&lt;=0,MIN(MAX(0,AB80-SUM(PR80:QB80)),ALC79),MIN(MAX(0,AB80-SUM(PR80:QB80)),ALC79-G80*MAX(0,CC80*ALC79-(XB80+AAO80))))),MIN(FP80,MAX(0,AB80-SUM(PR80:QB80))))</f>
        <v>0</v>
      </c>
      <c r="QD80" s="20" t="n">
        <f aca="false">IF(H_Direct=1,IF(ALD79&lt;=0,0,IF(CD80&lt;=0,MIN(MAX(0,AB80-SUM(PR80:QC80)),ALD79),MIN(MAX(0,AB80-SUM(PR80:QC80)),ALD79-G80*MAX(0,CD80*ALD79-(XC80+AAP80))))),MIN(FQ80,MAX(0,AB80-SUM(PR80:QC80))))</f>
        <v>0</v>
      </c>
      <c r="QE80" s="20" t="n">
        <f aca="false">IF(H_Direct=1,IF(ALE79&lt;=0,0,IF(CE80&lt;=0,MIN(MAX(0,AB80-SUM(PR80:QD80)),ALE79),MIN(MAX(0,AB80-SUM(PR80:QD80)),ALE79-G80*MAX(0,CE80*ALE79-(XD80+AAQ80))))),MIN(FR80,MAX(0,AB80-SUM(PR80:QD80))))</f>
        <v>0</v>
      </c>
      <c r="QF80" s="20" t="n">
        <f aca="false">IF(H_Direct=1,IF(ALF79&lt;=0,0,IF(CF80&lt;=0,MIN(MAX(0,AB80-SUM(PR80:QE80)),ALF79),MIN(MAX(0,AB80-SUM(PR80:QE80)),ALF79-G80*MAX(0,CF80*ALF79-(XE80+AAR80))))),MIN(FS80,MAX(0,AB80-SUM(PR80:QE80))))</f>
        <v>0</v>
      </c>
      <c r="QG80" s="20" t="n">
        <f aca="false">IF(H_Direct=1,IF(ALG79&lt;=0,0,IF(CG80&lt;=0,MIN(MAX(0,AB80-SUM(PR80:QF80)),ALG79),MIN(MAX(0,AB80-SUM(PR80:QF80)),ALG79-G80*MAX(0,CG80*ALG79-(XF80+AAS80))))),MIN(FT80,MAX(0,AB80-SUM(PR80:QF80))))</f>
        <v>0</v>
      </c>
      <c r="QH80" s="20" t="n">
        <f aca="false">IF(H_Direct=1,IF(ALH79&lt;=0,0,IF(CH80&lt;=0,MIN(MAX(0,AB80-SUM(PR80:QG80)),ALH79),MIN(MAX(0,AB80-SUM(PR80:QG80)),ALH79-G80*MAX(0,CH80*ALH79-(XG80+AAT80))))),MIN(FU80,MAX(0,AB80-SUM(PR80:QG80))))</f>
        <v>0</v>
      </c>
      <c r="QI80" s="20" t="n">
        <f aca="false">IF(H_Direct=1,IF(ALI79&lt;=0,0,IF(CI80&lt;=0,MIN(MAX(0,AB80-SUM(PR80:QH80)),ALI79),MIN(MAX(0,AB80-SUM(PR80:QH80)),ALI79-G80*MAX(0,CI80*ALI79-(XH80+AAU80))))),MIN(FV80,MAX(0,AB80-SUM(PR80:QH80))))</f>
        <v>0</v>
      </c>
      <c r="QJ80" s="20" t="n">
        <f aca="false">IF(H_Direct=1,IF(ALJ79&lt;=0,0,IF(CJ80&lt;=0,MIN(MAX(0,AB80-SUM(PR80:QI80)),ALJ79),MIN(MAX(0,AB80-SUM(PR80:QI80)),ALJ79-G80*MAX(0,CJ80*ALJ79-(XI80+AAV80))))),MIN(FW80,MAX(0,AB80-SUM(PR80:QI80))))</f>
        <v>0</v>
      </c>
      <c r="QK80" s="20" t="n">
        <f aca="false">IF(H_Direct=1,IF(ALK79&lt;=0,0,IF(CK80&lt;=0,MIN(MAX(0,AB80-SUM(PR80:QJ80)),ALK79),MIN(MAX(0,AB80-SUM(PR80:QJ80)),ALK79-G80*MAX(0,CK80*ALK79-(XJ80+AAW80))))),MIN(FX80,MAX(0,AB80-SUM(PR80:QJ80))))</f>
        <v>0</v>
      </c>
      <c r="QL80" s="20" t="n">
        <f aca="false">IF(H_Direct=1,IF(ALL79&lt;=0,0,IF(CL80&lt;=0,MIN(MAX(0,AB80-SUM(PR80:QK80)),ALL79),MIN(MAX(0,AB80-SUM(PR80:QK80)),ALL79-G80*MAX(0,CL80*ALL79-(XK80+AAX80))))),MIN(FY80,MAX(0,AB80-SUM(PR80:QK80))))</f>
        <v>0</v>
      </c>
      <c r="QM80" s="20" t="n">
        <f aca="false">IF(H_Direct=1,IF(ALM79&lt;=0,0,IF(CM80&lt;=0,MIN(MAX(0,AB80-SUM(PR80:QL80)),ALM79),MIN(MAX(0,AB80-SUM(PR80:QL80)),ALM79-G80*MAX(0,CM80*ALM79-(XL80+AAY80))))),MIN(FZ80,MAX(0,AB80-SUM(PR80:QL80))))</f>
        <v>0</v>
      </c>
      <c r="QN80" s="20" t="n">
        <f aca="false">IF(H_Direct=1,IF(ALN79&lt;=0,0,IF(CN80&lt;=0,MIN(MAX(0,AB80-SUM(PR80:QM80)),ALN79),MIN(MAX(0,AB80-SUM(PR80:QM80)),ALN79-G80*MAX(0,CN80*ALN79-(XM80+AAZ80))))),MIN(GA80,MAX(0,AB80-SUM(PR80:QM80))))</f>
        <v>0</v>
      </c>
      <c r="QO80" s="20" t="n">
        <f aca="false">IF(H_Direct=1,IF(ALO79&lt;=0,0,IF(CO80&lt;=0,MIN(MAX(0,AB80-SUM(PR80:QN80)),ALO79),MIN(MAX(0,AB80-SUM(PR80:QN80)),ALO79-G80*MAX(0,CO80*ALO79-(XN80+ABA80))))),MIN(GB80,MAX(0,AB80-SUM(PR80:QN80))))</f>
        <v>0</v>
      </c>
      <c r="QP80" s="20" t="n">
        <f aca="false">IF(H_Direct=1,IF(ALP79&lt;=0,0,IF(CP80&lt;=0,MIN(MAX(0,AB80-SUM(PR80:QO80)),ALP79),MIN(MAX(0,AB80-SUM(PR80:QO80)),ALP79-G80*MAX(0,CP80*ALP79-(XO80+ABB80))))),MIN(GC80,MAX(0,AB80-SUM(PR80:QO80))))</f>
        <v>0</v>
      </c>
      <c r="QQ80" s="20" t="n">
        <f aca="false">IF(H_Direct=1,IF(ALQ79&lt;=0,0,IF(CQ80&lt;=0,MIN(MAX(0,AB80-SUM(PR80:QP80)),ALQ79),MIN(MAX(0,AB80-SUM(PR80:QP80)),ALQ79-G80*MAX(0,CQ80*ALQ79-(XP80+ABC80))))),MIN(GD80,MAX(0,AB80-SUM(PR80:QP80))))</f>
        <v>0</v>
      </c>
      <c r="QR80" s="20" t="n">
        <f aca="false">IF(H_Direct=1,IF(ALR79&lt;=0,0,IF(CR80&lt;=0,MIN(MAX(0,AB80-SUM(PR80:QQ80)),ALR79),MIN(MAX(0,AB80-SUM(PR80:QQ80)),ALR79-G80*MAX(0,CR80*ALR79-(XQ80+ABD80))))),MIN(GE80,MAX(0,AB80-SUM(PR80:QQ80))))</f>
        <v>0</v>
      </c>
      <c r="QS80" s="20" t="n">
        <f aca="false">IF(H_Direct=1,IF(ALS79&lt;=0,0,IF(CS80&lt;=0,MIN(MAX(0,AB80-SUM(PR80:QR80)),ALS79),MIN(MAX(0,AB80-SUM(PR80:QR80)),ALS79-G80*MAX(0,CS80*ALS79-(XR80+ABE80))))),MIN(GF80,MAX(0,AB80-SUM(PR80:QR80))))</f>
        <v>0</v>
      </c>
      <c r="QT80" s="20" t="n">
        <f aca="false">IF(H_Direct=1,IF(ALT79&lt;=0,0,IF(CT80&lt;=0,MIN(MAX(0,AB80-SUM(PR80:QS80)),ALT79),MIN(MAX(0,AB80-SUM(PR80:QS80)),ALT79-G80*MAX(0,CT80*ALT79-(XS80+ABF80))))),MIN(GG80,MAX(0,AB80-SUM(PR80:QS80))))</f>
        <v>0</v>
      </c>
      <c r="QU80" s="20" t="n">
        <f aca="false">IF(H_Direct=1,IF(ALU79&lt;=0,0,IF(CU80&lt;=0,MIN(MAX(0,AB80-SUM(PR80:QT80)),ALU79),MIN(MAX(0,AB80-SUM(PR80:QT80)),ALU79-G80*MAX(0,CU80*ALU79-(XT80+ABG80))))),MIN(GH80,MAX(0,AB80-SUM(PR80:QT80))))</f>
        <v>0</v>
      </c>
      <c r="QV80" s="20" t="n">
        <f aca="false">IF(H_Direct=1,IF(ALV79&lt;=0,0,IF(CV80&lt;=0,MIN(MAX(0,AB80-SUM(PR80:QU80)),ALV79),MIN(MAX(0,AB80-SUM(PR80:QU80)),ALV79-G80*MAX(0,CV80*ALV79-(XU80+ABH80))))),MIN(GI80,MAX(0,AB80-SUM(PR80:QU80))))</f>
        <v>0</v>
      </c>
      <c r="QW80" s="20" t="n">
        <f aca="false">IF(H_Direct=1,IF(ALW79&lt;=0,0,IF(CW80&lt;=0,MIN(MAX(0,AB80-SUM(PR80:QV80)),ALW79),MIN(MAX(0,AB80-SUM(PR80:QV80)),ALW79-G80*MAX(0,CW80*ALW79-(XV80+ABI80))))),MIN(GJ80,MAX(0,AB80-SUM(PR80:QV80))))</f>
        <v>0</v>
      </c>
      <c r="QX80" s="20" t="n">
        <f aca="false">IF(H_Direct=1,IF(ALX79&lt;=0,0,IF(CX80&lt;=0,MIN(MAX(0,AB80-SUM(PR80:QW80)),ALX79),MIN(MAX(0,AB80-SUM(PR80:QW80)),ALX79-G80*MAX(0,CX80*ALX79-(XW80+ABJ80))))),MIN(GK80,MAX(0,AB80-SUM(PR80:QW80))))</f>
        <v>0</v>
      </c>
      <c r="QY80" s="20" t="n">
        <f aca="false">IF(H_Direct=1,IF(ALY79&lt;=0,0,IF(CY80&lt;=0,MIN(MAX(0,AB80-SUM(PR80:QX80)),ALY79),MIN(MAX(0,AB80-SUM(PR80:QX80)),ALY79-G80*MAX(0,CY80*ALY79-(XX80+ABK80))))),MIN(GL80,MAX(0,AB80-SUM(PR80:QX80))))</f>
        <v>0</v>
      </c>
      <c r="QZ80" s="20" t="n">
        <f aca="false">IF(H_Direct=1,IF(ALZ79&lt;=0,0,IF(CZ80&lt;=0,MIN(MAX(0,AB80-SUM(PR80:QY80)),ALZ79),MIN(MAX(0,AB80-SUM(PR80:QY80)),ALZ79-G80*MAX(0,CZ80*ALZ79-(XY80+ABL80))))),MIN(GM80,MAX(0,AB80-SUM(PR80:QY80))))</f>
        <v>0</v>
      </c>
      <c r="RA80" s="20" t="n">
        <f aca="false">IF(H_Direct=1,IF(AMA79&lt;=0,0,IF(DA80&lt;=0,MIN(MAX(0,AB80-SUM(PR80:QZ80)),AMA79),MIN(MAX(0,AB80-SUM(PR80:QZ80)),AMA79-G80*MAX(0,DA80*AMA79-(XZ80+ABM80))))),MIN(GN80,MAX(0,AB80-SUM(PR80:QZ80))))</f>
        <v>0</v>
      </c>
      <c r="RB80" s="20" t="n">
        <f aca="false">IF(H_Direct=1,IF(AMB79&lt;=0,0,IF(DB80&lt;=0,MIN(MAX(0,AB80-SUM(PR80:RA80)),AMB79),MIN(MAX(0,AB80-SUM(PR80:RA80)),AMB79-G80*MAX(0,DB80*AMB79-(YA80+ABN80))))),MIN(GO80,MAX(0,AB80-SUM(PR80:RA80))))</f>
        <v>0</v>
      </c>
      <c r="RC80" s="20" t="n">
        <f aca="false">IF(H_Direct=1,IF(AMC79&lt;=0,0,IF(DC80&lt;=0,MIN(MAX(0,AB80-SUM(PR80:RB80)),AMC79),MIN(MAX(0,AB80-SUM(PR80:RB80)),AMC79-G80*MAX(0,DC80*AMC79-(YB80+ABO80))))),MIN(GP80,MAX(0,AB80-SUM(PR80:RB80))))</f>
        <v>0</v>
      </c>
      <c r="RD80" s="20" t="n">
        <f aca="false">IF(H_Direct=1,IF(AMD79&lt;=0,0,IF(DD80&lt;=0,MIN(MAX(0,AB80-SUM(PR80:RC80)),AMD79),MIN(MAX(0,AB80-SUM(PR80:RC80)),AMD79-G80*MAX(0,DD80*AMD79-(YC80+ABP80))))),MIN(GQ80,MAX(0,AB80-SUM(PR80:RC80))))</f>
        <v>0</v>
      </c>
      <c r="RE80" s="20" t="n">
        <f aca="false">IF(H_Direct=1,IF(AME79&lt;=0,0,IF(DE80&lt;=0,MIN(MAX(0,AB80-SUM(PR80:RD80)),AME79),MIN(MAX(0,AB80-SUM(PR80:RD80)),AME79-G80*MAX(0,DE80*AME79-(YD80+ABQ80))))),MIN(GR80,MAX(0,AB80-SUM(PR80:RD80))))</f>
        <v>0</v>
      </c>
      <c r="RF80" s="20" t="n">
        <f aca="false">IF(H_Direct=1,IF(AMF79&lt;=0,0,IF(DF80&lt;=0,MIN(MAX(0,AB80-SUM(PR80:RE80)),AMF79),MIN(MAX(0,AB80-SUM(PR80:RE80)),AMF79-G80*MAX(0,DF80*AMF79-(YE80+ABR80))))),MIN(GS80,MAX(0,AB80-SUM(PR80:RE80))))</f>
        <v>0</v>
      </c>
      <c r="RG80" s="20" t="n">
        <f aca="false">IF(H_Direct=1,IF(AMG79&lt;=0,0,IF(DG80&lt;=0,MIN(MAX(0,AB80-SUM(PR80:RF80)),AMG79),MIN(MAX(0,AB80-SUM(PR80:RF80)),AMG79-G80*MAX(0,DG80*AMG79-(YF80+ABS80))))),MIN(GT80,MAX(0,AB80-SUM(PR80:RF80))))</f>
        <v>0</v>
      </c>
      <c r="RH80" s="20" t="n">
        <f aca="false">IF(H_Direct=1,IF(AMH79&lt;=0,0,IF(DH80&lt;=0,MIN(MAX(0,AB80-SUM(PR80:RG80)),AMH79),MIN(MAX(0,AB80-SUM(PR80:RG80)),AMH79-G80*MAX(0,DH80*AMH79-(YG80+ABT80))))),MIN(GU80,MAX(0,AB80-SUM(PR80:RG80))))</f>
        <v>0</v>
      </c>
      <c r="RI80" s="20" t="n">
        <f aca="false">IF(H_Direct=1,IF(AMI79&lt;=0,0,IF(DI80&lt;=0,MIN(MAX(0,AB80-SUM(PR80:RH80)),AMI79),MIN(MAX(0,AB80-SUM(PR80:RH80)),AMI79-G80*MAX(0,DI80*AMI79-(YH80+ABU80))))),MIN(GV80,MAX(0,AB80-SUM(PR80:RH80))))</f>
        <v>0</v>
      </c>
      <c r="RJ80" s="20" t="n">
        <f aca="false">IF(H_Direct=1,IF(AMJ79&lt;=0,0,IF(DJ80&lt;=0,MIN(MAX(0,AB80-SUM(PR80:RI80)),AMJ79),MIN(MAX(0,AB80-SUM(PR80:RI80)),AMJ79-G80*MAX(0,DJ80*AMJ79-(YI80+ABV80))))),MIN(GW80,MAX(0,AB80-SUM(PR80:RI80))))</f>
        <v>0</v>
      </c>
      <c r="RK80" s="20" t="n">
        <f aca="false">IF(H_Direct=1,IF(AMK79&lt;=0,0,IF(DK80&lt;=0,MIN(MAX(0,AB80-SUM(PR80:RJ80)),AMK79),MIN(MAX(0,AB80-SUM(PR80:RJ80)),AMK79-G80*MAX(0,DK80*AMK79-(YJ80+ABW80))))),MIN(GX80,MAX(0,AB80-SUM(PR80:RJ80))))</f>
        <v>0</v>
      </c>
      <c r="RL80" s="20" t="n">
        <f aca="false">IF(H_Direct=1,IF(AML79&lt;=0,0,IF(DL80&lt;=0,MIN(MAX(0,AB80-SUM(PR80:RK80)),AML79),MIN(MAX(0,AB80-SUM(PR80:RK80)),AML79-G80*MAX(0,DL80*AML79-(YK80+ABX80))))),MIN(GY80,MAX(0,AB80-SUM(PR80:RK80))))</f>
        <v>0</v>
      </c>
      <c r="RM80" s="20" t="n">
        <f aca="false">IF(H_Direct=1,IF(AMM79&lt;=0,0,IF(DM80&lt;=0,MIN(MAX(0,AB80-SUM(PR80:RL80)),AMM79),MIN(MAX(0,AB80-SUM(PR80:RL80)),AMM79-G80*MAX(0,DM80*AMM79-(YL80+ABY80))))),MIN(GZ80,MAX(0,AB80-SUM(PR80:RL80))))</f>
        <v>0</v>
      </c>
      <c r="RN80" s="20" t="n">
        <f aca="false">IF(H_Direct=1,IF(AMN79&lt;=0,0,IF(DN80&lt;=0,MIN(MAX(0,AB80-SUM(PR80:RM80)),AMN79),MIN(MAX(0,AB80-SUM(PR80:RM80)),AMN79-G80*MAX(0,DN80*AMN79-(YM80+ABZ80))))),MIN(HA80,MAX(0,AB80-SUM(PR80:RM80))))</f>
        <v>0</v>
      </c>
      <c r="RO80" s="20" t="n">
        <f aca="false">IF(H_Direct=1,IF(AMO79&lt;=0,0,IF(DO80&lt;=0,MIN(MAX(0,AB80-SUM(PR80:RN80)),AMO79),MIN(MAX(0,AB80-SUM(PR80:RN80)),AMO79-G80*MAX(0,DO80*AMO79-(YN80+ACA80))))),MIN(HB80,MAX(0,AB80-SUM(PR80:RN80))))</f>
        <v>0</v>
      </c>
      <c r="RP80" s="20" t="n">
        <f aca="false">IF(H_Direct=1,IF(AMP79&lt;=0,0,IF(DP80&lt;=0,MIN(MAX(0,AB80-SUM(PR80:RO80)),AMP79),MIN(MAX(0,AB80-SUM(PR80:RO80)),AMP79-G80*MAX(0,DP80*AMP79-(YO80+ACB80))))),MIN(HC80,MAX(0,AB80-SUM(PR80:RO80))))</f>
        <v>0</v>
      </c>
      <c r="RQ80" s="20" t="n">
        <f aca="false">IF(H_Direct=1,IF(AMQ79&lt;=0,0,IF(DQ80&lt;=0,MIN(MAX(0,AB80-SUM(PR80:RP80)),AMQ79),MIN(MAX(0,AB80-SUM(PR80:RP80)),AMQ79-G80*MAX(0,DQ80*AMQ79-(YP80+ACC80))))),MIN(HD80,MAX(0,AB80-SUM(PR80:RP80))))</f>
        <v>0</v>
      </c>
      <c r="RR80" s="20" t="n">
        <f aca="false">IF(H_Direct=1,IF(AMR79&lt;=0,0,IF(DR80&lt;=0,MIN(MAX(0,AB80-SUM(PR80:RQ80)),AMR79),MIN(MAX(0,AB80-SUM(PR80:RQ80)),AMR79-G80*MAX(0,DR80*AMR79-(YQ80+ACD80))))),MIN(HE80,MAX(0,AB80-SUM(PR80:RQ80))))</f>
        <v>0</v>
      </c>
      <c r="RS80" s="20" t="n">
        <f aca="false">IF(H_Direct=1,IF(AMS79&lt;=0,0,IF(DS80&lt;=0,MIN(MAX(0,AB80-SUM(PR80:RR80)),AMS79),MIN(MAX(0,AB80-SUM(PR80:RR80)),AMS79-G80*MAX(0,DS80*AMS79-(YR80+ACE80))))),MIN(HF80,MAX(0,AB80-SUM(PR80:RR80))))</f>
        <v>0</v>
      </c>
      <c r="RT80" s="20" t="n">
        <f aca="false">IF(H_Direct=1,IF(AMT79&lt;=0,0,IF(DT80&lt;=0,MIN(MAX(0,AB80-SUM(PR80:RS80)),AMT79),MIN(MAX(0,AB80-SUM(PR80:RS80)),AMT79-G80*MAX(0,DT80*AMT79-(YS80+ACF80))))),MIN(HG80,MAX(0,AB80-SUM(PR80:RS80))))</f>
        <v>0</v>
      </c>
      <c r="RU80" s="20" t="n">
        <f aca="false">IF(H_Direct=1,IF(AMU79&lt;=0,0,IF(DU80&lt;=0,MIN(MAX(0,AB80-SUM(PR80:RT80)),AMU79),MIN(MAX(0,AB80-SUM(PR80:RT80)),AMU79-G80*MAX(0,DU80*AMU79-(YT80+ACG80))))),MIN(HH80,MAX(0,AB80-SUM(PR80:RT80))))</f>
        <v>0</v>
      </c>
      <c r="RV80" s="20" t="n">
        <f aca="false">IF(H_Direct=1,IF(AMV79&lt;=0,0,IF(DV80&lt;=0,MIN(MAX(0,AB80-SUM(PR80:RU80)),AMV79),MIN(MAX(0,AB80-SUM(PR80:RU80)),AMV79-G80*MAX(0,DV80*AMV79-(YU80+ACH80))))),MIN(HI80,MAX(0,AB80-SUM(PR80:RU80))))</f>
        <v>0</v>
      </c>
      <c r="RW80" s="20" t="n">
        <f aca="false">IF(H_Direct=1,IF(AMW79&lt;=0,0,IF(DW80&lt;=0,MIN(MAX(0,AB80-SUM(PR80:RV80)),AMW79),MIN(MAX(0,AB80-SUM(PR80:RV80)),AMW79-G80*MAX(0,DW80*AMW79-(YV80+ACI80))))),MIN(HJ80,MAX(0,AB80-SUM(PR80:RV80))))</f>
        <v>0</v>
      </c>
      <c r="RX80" s="20" t="n">
        <f aca="false">IF(H_Direct=1,IF(AMX79&lt;=0,0,IF(DX80&lt;=0,MIN(MAX(0,AB80-SUM(PR80:RW80)),AMX79),MIN(MAX(0,AB80-SUM(PR80:RW80)),AMX79-G80*MAX(0,DX80*AMX79-(YW80+ACJ80))))),MIN(HK80,MAX(0,AB80-SUM(PR80:RW80))))</f>
        <v>0</v>
      </c>
      <c r="RY80" s="20" t="n">
        <f aca="false">IF(H_Direct=1,IF(AMY79&lt;=0,0,IF(DY80&lt;=0,MIN(MAX(0,AB80-SUM(PR80:RX80)),AMY79),MIN(MAX(0,AB80-SUM(PR80:RX80)),AMY79-G80*MAX(0,DY80*AMY79-(YX80+ACK80))))),MIN(HL80,MAX(0,AB80-SUM(PR80:RX80))))</f>
        <v>0</v>
      </c>
      <c r="RZ80" s="20" t="n">
        <f aca="false">IF(H_Direct=1,IF(AMZ79&lt;=0,0,IF(DZ80&lt;=0,MIN(MAX(0,AB80-SUM(PR80:RY80)),AMZ79),MIN(MAX(0,AB80-SUM(PR80:RY80)),AMZ79-G80*MAX(0,DZ80*AMZ79-(YY80+ACL80))))),MIN(HM80,MAX(0,AB80-SUM(PR80:RY80))))</f>
        <v>0</v>
      </c>
      <c r="SA80" s="20" t="n">
        <f aca="false">IF(H_Direct=1,IF(ANA79&lt;=0,0,IF(EA80&lt;=0,MIN(MAX(0,AB80-SUM(PR80:RZ80)),ANA79),MIN(MAX(0,AB80-SUM(PR80:RZ80)),ANA79-G80*MAX(0,EA80*ANA79-(YZ80+ACM80))))),MIN(HN80,MAX(0,AB80-SUM(PR80:RZ80))))</f>
        <v>0</v>
      </c>
      <c r="SB80" s="20" t="n">
        <f aca="false">IF(H_Direct=1,IF(ANB79&lt;=0,0,IF(EB80&lt;=0,MIN(MAX(0,AB80-SUM(PR80:SA80)),ANB79),MIN(MAX(0,AB80-SUM(PR80:SA80)),ANB79-G80*MAX(0,EB80*ANB79-(ZA80+ACN80))))),MIN(HO80,MAX(0,AB80-SUM(PR80:SA80))))</f>
        <v>0</v>
      </c>
      <c r="SC80" s="20" t="n">
        <f aca="false">IF(H_Direct=1,IF(ANC79&lt;=0,0,IF(EC80&lt;=0,MIN(MAX(0,AB80-SUM(PR80:SB80)),ANC79),MIN(MAX(0,AB80-SUM(PR80:SB80)),ANC79-G80*MAX(0,EC80*ANC79-(ZB80+ACO80))))),MIN(HP80,MAX(0,AB80-SUM(PR80:SB80))))</f>
        <v>0</v>
      </c>
      <c r="SD80" s="20" t="n">
        <f aca="false">IF(H_Direct=1,IF(AND79&lt;=0,0,IF(ED80&lt;=0,MIN(MAX(0,AB80-SUM(PR80:SC80)),AND79),MIN(MAX(0,AB80-SUM(PR80:SC80)),AND79-G80*MAX(0,ED80*AND79-(ZC80+ACP80))))),MIN(HQ80,MAX(0,AB80-SUM(PR80:SC80))))</f>
        <v>0</v>
      </c>
      <c r="SE80" s="20" t="n">
        <f aca="false">IF(H_Direct=1,IF(ANE79&lt;=0,0,IF(EE80&lt;=0,MIN(MAX(0,AB80-SUM(PR80:SD80)),ANE79),MIN(MAX(0,AB80-SUM(PR80:SD80)),ANE79-G80*MAX(0,EE80*ANE79-(ZD80+ACQ80))))),MIN(HR80,MAX(0,AB80-SUM(PR80:SD80))))</f>
        <v>0</v>
      </c>
      <c r="SF80" s="20" t="n">
        <f aca="false">IF(H_Direct=1,IF(ANF79&lt;=0,0,IF(EF80&lt;=0,MIN(MAX(0,AB80-SUM(PR80:SE80)),ANF79),MIN(MAX(0,AB80-SUM(PR80:SE80)),ANF79-G80*MAX(0,EF80*ANF79-(ZE80+ACR80))))),MIN(HS80,MAX(0,AB80-SUM(PR80:SE80))))</f>
        <v>0</v>
      </c>
      <c r="SG80" s="20" t="n">
        <f aca="false">IF(H_Direct=1,IF(ANG79&lt;=0,0,IF(EG80&lt;=0,MIN(MAX(0,AB80-SUM(PR80:SF80)),ANG79),MIN(MAX(0,AB80-SUM(PR80:SF80)),ANG79-G80*MAX(0,EG80*ANG79-(ZF80+ACS80))))),MIN(HT80,MAX(0,AB80-SUM(PR80:SF80))))</f>
        <v>0</v>
      </c>
      <c r="SH80" s="20" t="n">
        <f aca="false">IF(H_Direct=1,IF(ANH79&lt;=0,0,IF(EH80&lt;=0,MIN(MAX(0,AB80-SUM(PR80:SG80)),ANH79),MIN(MAX(0,AB80-SUM(PR80:SG80)),ANH79-G80*MAX(0,EH80*ANH79-(ZG80+ACT80))))),MIN(HU80,MAX(0,AB80-SUM(PR80:SG80))))</f>
        <v>0</v>
      </c>
      <c r="SI80" s="20" t="n">
        <f aca="false">IF(H_Direct=1,IF(ANI79&lt;=0,0,IF(EI80&lt;=0,MIN(MAX(0,AB80-SUM(PR80:SH80)),ANI79),MIN(MAX(0,AB80-SUM(PR80:SH80)),ANI79-G80*MAX(0,EI80*ANI79-(ZH80+ACU80))))),MIN(HV80,MAX(0,AB80-SUM(PR80:SH80))))</f>
        <v>0</v>
      </c>
      <c r="SJ80" s="20" t="n">
        <f aca="false">IF(H_Direct=1,IF(ANJ79&lt;=0,0,IF(EJ80&lt;=0,MIN(MAX(0,AB80-SUM(PR80:SI80)),ANJ79),MIN(MAX(0,AB80-SUM(PR80:SI80)),ANJ79-G80*MAX(0,EJ80*ANJ79-(ZI80+ACV80))))),MIN(HW80,MAX(0,AB80-SUM(PR80:SI80))))</f>
        <v>0</v>
      </c>
      <c r="SK80" s="20" t="n">
        <f aca="false">IF(H_Direct=1,IF(ANK79&lt;=0,0,IF(EK80&lt;=0,MIN(MAX(0,AB80-SUM(PR80:SJ80)),ANK79),MIN(MAX(0,AB80-SUM(PR80:SJ80)),ANK79-G80*MAX(0,EK80*ANK79-(ZJ80+ACW80))))),MIN(HX80,MAX(0,AB80-SUM(PR80:SJ80))))</f>
        <v>0</v>
      </c>
      <c r="SL80" s="20" t="n">
        <f aca="false">IF(H_Direct=1,IF(ANL79&lt;=0,0,IF(EL80&lt;=0,MIN(MAX(0,AB80-SUM(PR80:SK80)),ANL79),MIN(MAX(0,AB80-SUM(PR80:SK80)),ANL79-G80*MAX(0,EL80*ANL79-(ZK80+ACX80))))),MIN(HY80,MAX(0,AB80-SUM(PR80:SK80))))</f>
        <v>0</v>
      </c>
      <c r="SM80" s="20" t="n">
        <f aca="false">IF(H_Direct=1,IF((P80+S80)&lt;=0,0,IF(EM80&lt;=0,MIN(MAX(0,AB80-SUM(PR80:SL80)),(P80+S80)),MIN(MAX(0,AB80-SUM(PR80:SL80)),(P80+S80)-G80*MAX(0,EM80*(P80+S80)-(ZL80+ACY80))))),MIN(HZ80,MAX(0,AB80-SUM(PR80:SL80))))</f>
        <v>0</v>
      </c>
      <c r="SN80" s="20" t="n">
        <v>0</v>
      </c>
      <c r="SO80" s="20" t="n">
        <v>0</v>
      </c>
      <c r="SP80" s="20" t="n">
        <v>0</v>
      </c>
      <c r="SQ80" s="20" t="n">
        <v>0</v>
      </c>
      <c r="SR80" s="20" t="n">
        <v>0</v>
      </c>
      <c r="SS80" s="20" t="n">
        <v>0</v>
      </c>
      <c r="ST80" s="20" t="n">
        <v>0</v>
      </c>
      <c r="SU80" s="20" t="n">
        <v>0</v>
      </c>
      <c r="SV80" s="20" t="n">
        <v>0</v>
      </c>
      <c r="SW80" s="20" t="n">
        <v>0</v>
      </c>
      <c r="SX80" s="20" t="n">
        <v>0</v>
      </c>
      <c r="SY80" s="20" t="n">
        <v>0</v>
      </c>
      <c r="SZ80" s="20" t="n">
        <v>0</v>
      </c>
      <c r="TA80" s="20" t="n">
        <v>0</v>
      </c>
      <c r="TB80" s="20" t="n">
        <v>0</v>
      </c>
      <c r="TC80" s="20" t="n">
        <v>0</v>
      </c>
      <c r="TD80" s="20" t="n">
        <v>0</v>
      </c>
      <c r="TE80" s="20" t="n">
        <f aca="false">IF(AKR79&lt;=0,0,IF(H_Direct=1,IF(BR80&lt;=0,PR80,IF(PR80&lt;=(H80+I80)/BR80,PR80,(PR80-G80*(H80+I80))/(1-G80*BR80))),PR80/(1-MAX(0,BR80)*H_Exit)))</f>
        <v>0</v>
      </c>
      <c r="TF80" s="20" t="n">
        <f aca="false">IF(AKS79&lt;=0,0,IF(H_Direct=1,IF(BS80&lt;=0,PS80,IF(PS80&lt;=(WR80+AAE80)/BS80,PS80,(PS80-G80*(WR80+AAE80))/(1-G80*BS80))),PS80/(1-MAX(0,BS80)*H_Exit)))</f>
        <v>0</v>
      </c>
      <c r="TG80" s="20" t="n">
        <f aca="false">IF(AKT79&lt;=0,0,IF(H_Direct=1,IF(BT80&lt;=0,PT80,IF(PT80&lt;=(WS80+AAF80)/BT80,PT80,(PT80-G80*(WS80+AAF80))/(1-G80*BT80))),PT80/(1-MAX(0,BT80)*H_Exit)))</f>
        <v>0</v>
      </c>
      <c r="TH80" s="20" t="n">
        <f aca="false">IF(AKU79&lt;=0,0,IF(H_Direct=1,IF(BU80&lt;=0,PU80,IF(PU80&lt;=(WT80+AAG80)/BU80,PU80,(PU80-G80*(WT80+AAG80))/(1-G80*BU80))),PU80/(1-MAX(0,BU80)*H_Exit)))</f>
        <v>0</v>
      </c>
      <c r="TI80" s="20" t="n">
        <f aca="false">IF(AKV79&lt;=0,0,IF(H_Direct=1,IF(BV80&lt;=0,PV80,IF(PV80&lt;=(WU80+AAH80)/BV80,PV80,(PV80-G80*(WU80+AAH80))/(1-G80*BV80))),PV80/(1-MAX(0,BV80)*H_Exit)))</f>
        <v>0</v>
      </c>
      <c r="TJ80" s="20" t="n">
        <f aca="false">IF(AKW79&lt;=0,0,IF(H_Direct=1,IF(BW80&lt;=0,PW80,IF(PW80&lt;=(WV80+AAI80)/BW80,PW80,(PW80-G80*(WV80+AAI80))/(1-G80*BW80))),PW80/(1-MAX(0,BW80)*H_Exit)))</f>
        <v>0</v>
      </c>
      <c r="TK80" s="20" t="n">
        <f aca="false">IF(AKX79&lt;=0,0,IF(H_Direct=1,IF(BX80&lt;=0,PX80,IF(PX80&lt;=(WW80+AAJ80)/BX80,PX80,(PX80-G80*(WW80+AAJ80))/(1-G80*BX80))),PX80/(1-MAX(0,BX80)*H_Exit)))</f>
        <v>0</v>
      </c>
      <c r="TL80" s="20" t="n">
        <f aca="false">IF(AKY79&lt;=0,0,IF(H_Direct=1,IF(BY80&lt;=0,PY80,IF(PY80&lt;=(WX80+AAK80)/BY80,PY80,(PY80-G80*(WX80+AAK80))/(1-G80*BY80))),PY80/(1-MAX(0,BY80)*H_Exit)))</f>
        <v>0</v>
      </c>
      <c r="TM80" s="20" t="n">
        <f aca="false">IF(AKZ79&lt;=0,0,IF(H_Direct=1,IF(BZ80&lt;=0,PZ80,IF(PZ80&lt;=(WY80+AAL80)/BZ80,PZ80,(PZ80-G80*(WY80+AAL80))/(1-G80*BZ80))),PZ80/(1-MAX(0,BZ80)*H_Exit)))</f>
        <v>0</v>
      </c>
      <c r="TN80" s="20" t="n">
        <f aca="false">IF(ALA79&lt;=0,0,IF(H_Direct=1,IF(CA80&lt;=0,QA80,IF(QA80&lt;=(WZ80+AAM80)/CA80,QA80,(QA80-G80*(WZ80+AAM80))/(1-G80*CA80))),QA80/(1-MAX(0,CA80)*H_Exit)))</f>
        <v>0</v>
      </c>
      <c r="TO80" s="20" t="n">
        <f aca="false">IF(ALB79&lt;=0,0,IF(H_Direct=1,IF(CB80&lt;=0,QB80,IF(QB80&lt;=(XA80+AAN80)/CB80,QB80,(QB80-G80*(XA80+AAN80))/(1-G80*CB80))),QB80/(1-MAX(0,CB80)*H_Exit)))</f>
        <v>0</v>
      </c>
      <c r="TP80" s="20" t="n">
        <f aca="false">IF(ALC79&lt;=0,0,IF(H_Direct=1,IF(CC80&lt;=0,QC80,IF(QC80&lt;=(XB80+AAO80)/CC80,QC80,(QC80-G80*(XB80+AAO80))/(1-G80*CC80))),QC80/(1-MAX(0,CC80)*H_Exit)))</f>
        <v>0</v>
      </c>
      <c r="TQ80" s="20" t="n">
        <f aca="false">IF(ALD79&lt;=0,0,IF(H_Direct=1,IF(CD80&lt;=0,QD80,IF(QD80&lt;=(XC80+AAP80)/CD80,QD80,(QD80-G80*(XC80+AAP80))/(1-G80*CD80))),QD80/(1-MAX(0,CD80)*H_Exit)))</f>
        <v>0</v>
      </c>
      <c r="TR80" s="20" t="n">
        <f aca="false">IF(ALE79&lt;=0,0,IF(H_Direct=1,IF(CE80&lt;=0,QE80,IF(QE80&lt;=(XD80+AAQ80)/CE80,QE80,(QE80-G80*(XD80+AAQ80))/(1-G80*CE80))),QE80/(1-MAX(0,CE80)*H_Exit)))</f>
        <v>0</v>
      </c>
      <c r="TS80" s="20" t="n">
        <f aca="false">IF(ALF79&lt;=0,0,IF(H_Direct=1,IF(CF80&lt;=0,QF80,IF(QF80&lt;=(XE80+AAR80)/CF80,QF80,(QF80-G80*(XE80+AAR80))/(1-G80*CF80))),QF80/(1-MAX(0,CF80)*H_Exit)))</f>
        <v>0</v>
      </c>
      <c r="TT80" s="20" t="n">
        <f aca="false">IF(ALG79&lt;=0,0,IF(H_Direct=1,IF(CG80&lt;=0,QG80,IF(QG80&lt;=(XF80+AAS80)/CG80,QG80,(QG80-G80*(XF80+AAS80))/(1-G80*CG80))),QG80/(1-MAX(0,CG80)*H_Exit)))</f>
        <v>0</v>
      </c>
      <c r="TU80" s="20" t="n">
        <f aca="false">IF(ALH79&lt;=0,0,IF(H_Direct=1,IF(CH80&lt;=0,QH80,IF(QH80&lt;=(XG80+AAT80)/CH80,QH80,(QH80-G80*(XG80+AAT80))/(1-G80*CH80))),QH80/(1-MAX(0,CH80)*H_Exit)))</f>
        <v>0</v>
      </c>
      <c r="TV80" s="20" t="n">
        <f aca="false">IF(ALI79&lt;=0,0,IF(H_Direct=1,IF(CI80&lt;=0,QI80,IF(QI80&lt;=(XH80+AAU80)/CI80,QI80,(QI80-G80*(XH80+AAU80))/(1-G80*CI80))),QI80/(1-MAX(0,CI80)*H_Exit)))</f>
        <v>0</v>
      </c>
      <c r="TW80" s="20" t="n">
        <f aca="false">IF(ALJ79&lt;=0,0,IF(H_Direct=1,IF(CJ80&lt;=0,QJ80,IF(QJ80&lt;=(XI80+AAV80)/CJ80,QJ80,(QJ80-G80*(XI80+AAV80))/(1-G80*CJ80))),QJ80/(1-MAX(0,CJ80)*H_Exit)))</f>
        <v>0</v>
      </c>
      <c r="TX80" s="20" t="n">
        <f aca="false">IF(ALK79&lt;=0,0,IF(H_Direct=1,IF(CK80&lt;=0,QK80,IF(QK80&lt;=(XJ80+AAW80)/CK80,QK80,(QK80-G80*(XJ80+AAW80))/(1-G80*CK80))),QK80/(1-MAX(0,CK80)*H_Exit)))</f>
        <v>0</v>
      </c>
      <c r="TY80" s="20" t="n">
        <f aca="false">IF(ALL79&lt;=0,0,IF(H_Direct=1,IF(CL80&lt;=0,QL80,IF(QL80&lt;=(XK80+AAX80)/CL80,QL80,(QL80-G80*(XK80+AAX80))/(1-G80*CL80))),QL80/(1-MAX(0,CL80)*H_Exit)))</f>
        <v>0</v>
      </c>
      <c r="TZ80" s="20" t="n">
        <f aca="false">IF(ALM79&lt;=0,0,IF(H_Direct=1,IF(CM80&lt;=0,QM80,IF(QM80&lt;=(XL80+AAY80)/CM80,QM80,(QM80-G80*(XL80+AAY80))/(1-G80*CM80))),QM80/(1-MAX(0,CM80)*H_Exit)))</f>
        <v>0</v>
      </c>
      <c r="UA80" s="20" t="n">
        <f aca="false">IF(ALN79&lt;=0,0,IF(H_Direct=1,IF(CN80&lt;=0,QN80,IF(QN80&lt;=(XM80+AAZ80)/CN80,QN80,(QN80-G80*(XM80+AAZ80))/(1-G80*CN80))),QN80/(1-MAX(0,CN80)*H_Exit)))</f>
        <v>0</v>
      </c>
      <c r="UB80" s="20" t="n">
        <f aca="false">IF(ALO79&lt;=0,0,IF(H_Direct=1,IF(CO80&lt;=0,QO80,IF(QO80&lt;=(XN80+ABA80)/CO80,QO80,(QO80-G80*(XN80+ABA80))/(1-G80*CO80))),QO80/(1-MAX(0,CO80)*H_Exit)))</f>
        <v>0</v>
      </c>
      <c r="UC80" s="20" t="n">
        <f aca="false">IF(ALP79&lt;=0,0,IF(H_Direct=1,IF(CP80&lt;=0,QP80,IF(QP80&lt;=(XO80+ABB80)/CP80,QP80,(QP80-G80*(XO80+ABB80))/(1-G80*CP80))),QP80/(1-MAX(0,CP80)*H_Exit)))</f>
        <v>0</v>
      </c>
      <c r="UD80" s="20" t="n">
        <f aca="false">IF(ALQ79&lt;=0,0,IF(H_Direct=1,IF(CQ80&lt;=0,QQ80,IF(QQ80&lt;=(XP80+ABC80)/CQ80,QQ80,(QQ80-G80*(XP80+ABC80))/(1-G80*CQ80))),QQ80/(1-MAX(0,CQ80)*H_Exit)))</f>
        <v>0</v>
      </c>
      <c r="UE80" s="20" t="n">
        <f aca="false">IF(ALR79&lt;=0,0,IF(H_Direct=1,IF(CR80&lt;=0,QR80,IF(QR80&lt;=(XQ80+ABD80)/CR80,QR80,(QR80-G80*(XQ80+ABD80))/(1-G80*CR80))),QR80/(1-MAX(0,CR80)*H_Exit)))</f>
        <v>0</v>
      </c>
      <c r="UF80" s="20" t="n">
        <f aca="false">IF(ALS79&lt;=0,0,IF(H_Direct=1,IF(CS80&lt;=0,QS80,IF(QS80&lt;=(XR80+ABE80)/CS80,QS80,(QS80-G80*(XR80+ABE80))/(1-G80*CS80))),QS80/(1-MAX(0,CS80)*H_Exit)))</f>
        <v>0</v>
      </c>
      <c r="UG80" s="20" t="n">
        <f aca="false">IF(ALT79&lt;=0,0,IF(H_Direct=1,IF(CT80&lt;=0,QT80,IF(QT80&lt;=(XS80+ABF80)/CT80,QT80,(QT80-G80*(XS80+ABF80))/(1-G80*CT80))),QT80/(1-MAX(0,CT80)*H_Exit)))</f>
        <v>0</v>
      </c>
      <c r="UH80" s="20" t="n">
        <f aca="false">IF(ALU79&lt;=0,0,IF(H_Direct=1,IF(CU80&lt;=0,QU80,IF(QU80&lt;=(XT80+ABG80)/CU80,QU80,(QU80-G80*(XT80+ABG80))/(1-G80*CU80))),QU80/(1-MAX(0,CU80)*H_Exit)))</f>
        <v>0</v>
      </c>
      <c r="UI80" s="20" t="n">
        <f aca="false">IF(ALV79&lt;=0,0,IF(H_Direct=1,IF(CV80&lt;=0,QV80,IF(QV80&lt;=(XU80+ABH80)/CV80,QV80,(QV80-G80*(XU80+ABH80))/(1-G80*CV80))),QV80/(1-MAX(0,CV80)*H_Exit)))</f>
        <v>0</v>
      </c>
      <c r="UJ80" s="20" t="n">
        <f aca="false">IF(ALW79&lt;=0,0,IF(H_Direct=1,IF(CW80&lt;=0,QW80,IF(QW80&lt;=(XV80+ABI80)/CW80,QW80,(QW80-G80*(XV80+ABI80))/(1-G80*CW80))),QW80/(1-MAX(0,CW80)*H_Exit)))</f>
        <v>0</v>
      </c>
      <c r="UK80" s="20" t="n">
        <f aca="false">IF(ALX79&lt;=0,0,IF(H_Direct=1,IF(CX80&lt;=0,QX80,IF(QX80&lt;=(XW80+ABJ80)/CX80,QX80,(QX80-G80*(XW80+ABJ80))/(1-G80*CX80))),QX80/(1-MAX(0,CX80)*H_Exit)))</f>
        <v>0</v>
      </c>
      <c r="UL80" s="20" t="n">
        <f aca="false">IF(ALY79&lt;=0,0,IF(H_Direct=1,IF(CY80&lt;=0,QY80,IF(QY80&lt;=(XX80+ABK80)/CY80,QY80,(QY80-G80*(XX80+ABK80))/(1-G80*CY80))),QY80/(1-MAX(0,CY80)*H_Exit)))</f>
        <v>0</v>
      </c>
      <c r="UM80" s="20" t="n">
        <f aca="false">IF(ALZ79&lt;=0,0,IF(H_Direct=1,IF(CZ80&lt;=0,QZ80,IF(QZ80&lt;=(XY80+ABL80)/CZ80,QZ80,(QZ80-G80*(XY80+ABL80))/(1-G80*CZ80))),QZ80/(1-MAX(0,CZ80)*H_Exit)))</f>
        <v>0</v>
      </c>
      <c r="UN80" s="20" t="n">
        <f aca="false">IF(AMA79&lt;=0,0,IF(H_Direct=1,IF(DA80&lt;=0,RA80,IF(RA80&lt;=(XZ80+ABM80)/DA80,RA80,(RA80-G80*(XZ80+ABM80))/(1-G80*DA80))),RA80/(1-MAX(0,DA80)*H_Exit)))</f>
        <v>0</v>
      </c>
      <c r="UO80" s="20" t="n">
        <f aca="false">IF(AMB79&lt;=0,0,IF(H_Direct=1,IF(DB80&lt;=0,RB80,IF(RB80&lt;=(YA80+ABN80)/DB80,RB80,(RB80-G80*(YA80+ABN80))/(1-G80*DB80))),RB80/(1-MAX(0,DB80)*H_Exit)))</f>
        <v>0</v>
      </c>
      <c r="UP80" s="20" t="n">
        <f aca="false">IF(AMC79&lt;=0,0,IF(H_Direct=1,IF(DC80&lt;=0,RC80,IF(RC80&lt;=(YB80+ABO80)/DC80,RC80,(RC80-G80*(YB80+ABO80))/(1-G80*DC80))),RC80/(1-MAX(0,DC80)*H_Exit)))</f>
        <v>0</v>
      </c>
      <c r="UQ80" s="20" t="n">
        <f aca="false">IF(AMD79&lt;=0,0,IF(H_Direct=1,IF(DD80&lt;=0,RD80,IF(RD80&lt;=(YC80+ABP80)/DD80,RD80,(RD80-G80*(YC80+ABP80))/(1-G80*DD80))),RD80/(1-MAX(0,DD80)*H_Exit)))</f>
        <v>0</v>
      </c>
      <c r="UR80" s="20" t="n">
        <f aca="false">IF(AME79&lt;=0,0,IF(H_Direct=1,IF(DE80&lt;=0,RE80,IF(RE80&lt;=(YD80+ABQ80)/DE80,RE80,(RE80-G80*(YD80+ABQ80))/(1-G80*DE80))),RE80/(1-MAX(0,DE80)*H_Exit)))</f>
        <v>0</v>
      </c>
      <c r="US80" s="20" t="n">
        <f aca="false">IF(AMF79&lt;=0,0,IF(H_Direct=1,IF(DF80&lt;=0,RF80,IF(RF80&lt;=(YE80+ABR80)/DF80,RF80,(RF80-G80*(YE80+ABR80))/(1-G80*DF80))),RF80/(1-MAX(0,DF80)*H_Exit)))</f>
        <v>0</v>
      </c>
      <c r="UT80" s="20" t="n">
        <f aca="false">IF(AMG79&lt;=0,0,IF(H_Direct=1,IF(DG80&lt;=0,RG80,IF(RG80&lt;=(YF80+ABS80)/DG80,RG80,(RG80-G80*(YF80+ABS80))/(1-G80*DG80))),RG80/(1-MAX(0,DG80)*H_Exit)))</f>
        <v>0</v>
      </c>
      <c r="UU80" s="20" t="n">
        <f aca="false">IF(AMH79&lt;=0,0,IF(H_Direct=1,IF(DH80&lt;=0,RH80,IF(RH80&lt;=(YG80+ABT80)/DH80,RH80,(RH80-G80*(YG80+ABT80))/(1-G80*DH80))),RH80/(1-MAX(0,DH80)*H_Exit)))</f>
        <v>0</v>
      </c>
      <c r="UV80" s="20" t="n">
        <f aca="false">IF(AMI79&lt;=0,0,IF(H_Direct=1,IF(DI80&lt;=0,RI80,IF(RI80&lt;=(YH80+ABU80)/DI80,RI80,(RI80-G80*(YH80+ABU80))/(1-G80*DI80))),RI80/(1-MAX(0,DI80)*H_Exit)))</f>
        <v>0</v>
      </c>
      <c r="UW80" s="20" t="n">
        <f aca="false">IF(AMJ79&lt;=0,0,IF(H_Direct=1,IF(DJ80&lt;=0,RJ80,IF(RJ80&lt;=(YI80+ABV80)/DJ80,RJ80,(RJ80-G80*(YI80+ABV80))/(1-G80*DJ80))),RJ80/(1-MAX(0,DJ80)*H_Exit)))</f>
        <v>0</v>
      </c>
      <c r="UX80" s="20" t="n">
        <f aca="false">IF(AMK79&lt;=0,0,IF(H_Direct=1,IF(DK80&lt;=0,RK80,IF(RK80&lt;=(YJ80+ABW80)/DK80,RK80,(RK80-G80*(YJ80+ABW80))/(1-G80*DK80))),RK80/(1-MAX(0,DK80)*H_Exit)))</f>
        <v>0</v>
      </c>
      <c r="UY80" s="20" t="n">
        <f aca="false">IF(AML79&lt;=0,0,IF(H_Direct=1,IF(DL80&lt;=0,RL80,IF(RL80&lt;=(YK80+ABX80)/DL80,RL80,(RL80-G80*(YK80+ABX80))/(1-G80*DL80))),RL80/(1-MAX(0,DL80)*H_Exit)))</f>
        <v>0</v>
      </c>
      <c r="UZ80" s="20" t="n">
        <f aca="false">IF(AMM79&lt;=0,0,IF(H_Direct=1,IF(DM80&lt;=0,RM80,IF(RM80&lt;=(YL80+ABY80)/DM80,RM80,(RM80-G80*(YL80+ABY80))/(1-G80*DM80))),RM80/(1-MAX(0,DM80)*H_Exit)))</f>
        <v>0</v>
      </c>
      <c r="VA80" s="20" t="n">
        <f aca="false">IF(AMN79&lt;=0,0,IF(H_Direct=1,IF(DN80&lt;=0,RN80,IF(RN80&lt;=(YM80+ABZ80)/DN80,RN80,(RN80-G80*(YM80+ABZ80))/(1-G80*DN80))),RN80/(1-MAX(0,DN80)*H_Exit)))</f>
        <v>0</v>
      </c>
      <c r="VB80" s="20" t="n">
        <f aca="false">IF(AMO79&lt;=0,0,IF(H_Direct=1,IF(DO80&lt;=0,RO80,IF(RO80&lt;=(YN80+ACA80)/DO80,RO80,(RO80-G80*(YN80+ACA80))/(1-G80*DO80))),RO80/(1-MAX(0,DO80)*H_Exit)))</f>
        <v>0</v>
      </c>
      <c r="VC80" s="20" t="n">
        <f aca="false">IF(AMP79&lt;=0,0,IF(H_Direct=1,IF(DP80&lt;=0,RP80,IF(RP80&lt;=(YO80+ACB80)/DP80,RP80,(RP80-G80*(YO80+ACB80))/(1-G80*DP80))),RP80/(1-MAX(0,DP80)*H_Exit)))</f>
        <v>0</v>
      </c>
      <c r="VD80" s="20" t="n">
        <f aca="false">IF(AMQ79&lt;=0,0,IF(H_Direct=1,IF(DQ80&lt;=0,RQ80,IF(RQ80&lt;=(YP80+ACC80)/DQ80,RQ80,(RQ80-G80*(YP80+ACC80))/(1-G80*DQ80))),RQ80/(1-MAX(0,DQ80)*H_Exit)))</f>
        <v>0</v>
      </c>
      <c r="VE80" s="20" t="n">
        <f aca="false">IF(AMR79&lt;=0,0,IF(H_Direct=1,IF(DR80&lt;=0,RR80,IF(RR80&lt;=(YQ80+ACD80)/DR80,RR80,(RR80-G80*(YQ80+ACD80))/(1-G80*DR80))),RR80/(1-MAX(0,DR80)*H_Exit)))</f>
        <v>0</v>
      </c>
      <c r="VF80" s="20" t="n">
        <f aca="false">IF(AMS79&lt;=0,0,IF(H_Direct=1,IF(DS80&lt;=0,RS80,IF(RS80&lt;=(YR80+ACE80)/DS80,RS80,(RS80-G80*(YR80+ACE80))/(1-G80*DS80))),RS80/(1-MAX(0,DS80)*H_Exit)))</f>
        <v>0</v>
      </c>
      <c r="VG80" s="20" t="n">
        <f aca="false">IF(AMT79&lt;=0,0,IF(H_Direct=1,IF(DT80&lt;=0,RT80,IF(RT80&lt;=(YS80+ACF80)/DT80,RT80,(RT80-G80*(YS80+ACF80))/(1-G80*DT80))),RT80/(1-MAX(0,DT80)*H_Exit)))</f>
        <v>0</v>
      </c>
      <c r="VH80" s="20" t="n">
        <f aca="false">IF(AMU79&lt;=0,0,IF(H_Direct=1,IF(DU80&lt;=0,RU80,IF(RU80&lt;=(YT80+ACG80)/DU80,RU80,(RU80-G80*(YT80+ACG80))/(1-G80*DU80))),RU80/(1-MAX(0,DU80)*H_Exit)))</f>
        <v>0</v>
      </c>
      <c r="VI80" s="20" t="n">
        <f aca="false">IF(AMV79&lt;=0,0,IF(H_Direct=1,IF(DV80&lt;=0,RV80,IF(RV80&lt;=(YU80+ACH80)/DV80,RV80,(RV80-G80*(YU80+ACH80))/(1-G80*DV80))),RV80/(1-MAX(0,DV80)*H_Exit)))</f>
        <v>0</v>
      </c>
      <c r="VJ80" s="20" t="n">
        <f aca="false">IF(AMW79&lt;=0,0,IF(H_Direct=1,IF(DW80&lt;=0,RW80,IF(RW80&lt;=(YV80+ACI80)/DW80,RW80,(RW80-G80*(YV80+ACI80))/(1-G80*DW80))),RW80/(1-MAX(0,DW80)*H_Exit)))</f>
        <v>0</v>
      </c>
      <c r="VK80" s="20" t="n">
        <f aca="false">IF(AMX79&lt;=0,0,IF(H_Direct=1,IF(DX80&lt;=0,RX80,IF(RX80&lt;=(YW80+ACJ80)/DX80,RX80,(RX80-G80*(YW80+ACJ80))/(1-G80*DX80))),RX80/(1-MAX(0,DX80)*H_Exit)))</f>
        <v>0</v>
      </c>
      <c r="VL80" s="20" t="n">
        <f aca="false">IF(AMY79&lt;=0,0,IF(H_Direct=1,IF(DY80&lt;=0,RY80,IF(RY80&lt;=(YX80+ACK80)/DY80,RY80,(RY80-G80*(YX80+ACK80))/(1-G80*DY80))),RY80/(1-MAX(0,DY80)*H_Exit)))</f>
        <v>0</v>
      </c>
      <c r="VM80" s="20" t="n">
        <f aca="false">IF(AMZ79&lt;=0,0,IF(H_Direct=1,IF(DZ80&lt;=0,RZ80,IF(RZ80&lt;=(YY80+ACL80)/DZ80,RZ80,(RZ80-G80*(YY80+ACL80))/(1-G80*DZ80))),RZ80/(1-MAX(0,DZ80)*H_Exit)))</f>
        <v>0</v>
      </c>
      <c r="VN80" s="20" t="n">
        <f aca="false">IF(ANA79&lt;=0,0,IF(H_Direct=1,IF(EA80&lt;=0,SA80,IF(SA80&lt;=(YZ80+ACM80)/EA80,SA80,(SA80-G80*(YZ80+ACM80))/(1-G80*EA80))),SA80/(1-MAX(0,EA80)*H_Exit)))</f>
        <v>0</v>
      </c>
      <c r="VO80" s="20" t="n">
        <f aca="false">IF(ANB79&lt;=0,0,IF(H_Direct=1,IF(EB80&lt;=0,SB80,IF(SB80&lt;=(ZA80+ACN80)/EB80,SB80,(SB80-G80*(ZA80+ACN80))/(1-G80*EB80))),SB80/(1-MAX(0,EB80)*H_Exit)))</f>
        <v>0</v>
      </c>
      <c r="VP80" s="20" t="n">
        <f aca="false">IF(ANC79&lt;=0,0,IF(H_Direct=1,IF(EC80&lt;=0,SC80,IF(SC80&lt;=(ZB80+ACO80)/EC80,SC80,(SC80-G80*(ZB80+ACO80))/(1-G80*EC80))),SC80/(1-MAX(0,EC80)*H_Exit)))</f>
        <v>0</v>
      </c>
      <c r="VQ80" s="20" t="n">
        <f aca="false">IF(AND79&lt;=0,0,IF(H_Direct=1,IF(ED80&lt;=0,SD80,IF(SD80&lt;=(ZC80+ACP80)/ED80,SD80,(SD80-G80*(ZC80+ACP80))/(1-G80*ED80))),SD80/(1-MAX(0,ED80)*H_Exit)))</f>
        <v>0</v>
      </c>
      <c r="VR80" s="20" t="n">
        <f aca="false">IF(ANE79&lt;=0,0,IF(H_Direct=1,IF(EE80&lt;=0,SE80,IF(SE80&lt;=(ZD80+ACQ80)/EE80,SE80,(SE80-G80*(ZD80+ACQ80))/(1-G80*EE80))),SE80/(1-MAX(0,EE80)*H_Exit)))</f>
        <v>0</v>
      </c>
      <c r="VS80" s="20" t="n">
        <f aca="false">IF(ANF79&lt;=0,0,IF(H_Direct=1,IF(EF80&lt;=0,SF80,IF(SF80&lt;=(ZE80+ACR80)/EF80,SF80,(SF80-G80*(ZE80+ACR80))/(1-G80*EF80))),SF80/(1-MAX(0,EF80)*H_Exit)))</f>
        <v>0</v>
      </c>
      <c r="VT80" s="20" t="n">
        <f aca="false">IF(ANG79&lt;=0,0,IF(H_Direct=1,IF(EG80&lt;=0,SG80,IF(SG80&lt;=(ZF80+ACS80)/EG80,SG80,(SG80-G80*(ZF80+ACS80))/(1-G80*EG80))),SG80/(1-MAX(0,EG80)*H_Exit)))</f>
        <v>0</v>
      </c>
      <c r="VU80" s="20" t="n">
        <f aca="false">IF(ANH79&lt;=0,0,IF(H_Direct=1,IF(EH80&lt;=0,SH80,IF(SH80&lt;=(ZG80+ACT80)/EH80,SH80,(SH80-G80*(ZG80+ACT80))/(1-G80*EH80))),SH80/(1-MAX(0,EH80)*H_Exit)))</f>
        <v>0</v>
      </c>
      <c r="VV80" s="20" t="n">
        <f aca="false">IF(ANI79&lt;=0,0,IF(H_Direct=1,IF(EI80&lt;=0,SI80,IF(SI80&lt;=(ZH80+ACU80)/EI80,SI80,(SI80-G80*(ZH80+ACU80))/(1-G80*EI80))),SI80/(1-MAX(0,EI80)*H_Exit)))</f>
        <v>0</v>
      </c>
      <c r="VW80" s="20" t="n">
        <f aca="false">IF(ANJ79&lt;=0,0,IF(H_Direct=1,IF(EJ80&lt;=0,SJ80,IF(SJ80&lt;=(ZI80+ACV80)/EJ80,SJ80,(SJ80-G80*(ZI80+ACV80))/(1-G80*EJ80))),SJ80/(1-MAX(0,EJ80)*H_Exit)))</f>
        <v>0</v>
      </c>
      <c r="VX80" s="20" t="n">
        <f aca="false">IF(ANK79&lt;=0,0,IF(H_Direct=1,IF(EK80&lt;=0,SK80,IF(SK80&lt;=(ZJ80+ACW80)/EK80,SK80,(SK80-G80*(ZJ80+ACW80))/(1-G80*EK80))),SK80/(1-MAX(0,EK80)*H_Exit)))</f>
        <v>0</v>
      </c>
      <c r="VY80" s="20" t="n">
        <f aca="false">IF(ANL79&lt;=0,0,IF(H_Direct=1,IF(EL80&lt;=0,SL80,IF(SL80&lt;=(ZK80+ACX80)/EL80,SL80,(SL80-G80*(ZK80+ACX80))/(1-G80*EL80))),SL80/(1-MAX(0,EL80)*H_Exit)))</f>
        <v>0</v>
      </c>
      <c r="VZ80" s="20" t="n">
        <f aca="false">IF((P80+S80)&lt;=0,0,IF(H_Direct=1,IF(EM80&lt;=0,SM80,IF(SM80&lt;=(ZL80+ACY80)/EM80,SM80,(SM80-G80*(ZL80+ACY80))/(1-G80*EM80))),SM80/(1-MAX(0,EM80)*H_Exit)))</f>
        <v>0</v>
      </c>
      <c r="WA80" s="20" t="n">
        <v>0</v>
      </c>
      <c r="WB80" s="20" t="n">
        <v>0</v>
      </c>
      <c r="WC80" s="20" t="n">
        <v>0</v>
      </c>
      <c r="WD80" s="20" t="n">
        <v>0</v>
      </c>
      <c r="WE80" s="20" t="n">
        <v>0</v>
      </c>
      <c r="WF80" s="20" t="n">
        <v>0</v>
      </c>
      <c r="WG80" s="20" t="n">
        <v>0</v>
      </c>
      <c r="WH80" s="20" t="n">
        <v>0</v>
      </c>
      <c r="WI80" s="20" t="n">
        <v>0</v>
      </c>
      <c r="WJ80" s="20" t="n">
        <v>0</v>
      </c>
      <c r="WK80" s="20" t="n">
        <v>0</v>
      </c>
      <c r="WL80" s="20" t="n">
        <v>0</v>
      </c>
      <c r="WM80" s="20" t="n">
        <v>0</v>
      </c>
      <c r="WN80" s="20" t="n">
        <v>0</v>
      </c>
      <c r="WO80" s="20" t="n">
        <v>0</v>
      </c>
      <c r="WP80" s="20" t="n">
        <v>0</v>
      </c>
      <c r="WQ80" s="20" t="n">
        <v>0</v>
      </c>
      <c r="WR80" s="20" t="n">
        <f aca="false">IF(AND(H_Direct=1,BR80&gt;0),MAX(0,H80-(MIN(BR80*TE80,(H80+I80))-MIN(MIN(BR80*TE80,(H80+I80)),I80))),H80)</f>
        <v>1270</v>
      </c>
      <c r="WS80" s="20" t="n">
        <f aca="false">IF(AND(H_Direct=1,BS80&gt;0),MAX(0,WR80-(MIN(BS80*TF80,(WR80+AAE80))-MIN(MIN(BS80*TF80,(WR80+AAE80)),AAE80))),WR80)</f>
        <v>1270</v>
      </c>
      <c r="WT80" s="20" t="n">
        <f aca="false">IF(AND(H_Direct=1,BT80&gt;0),MAX(0,WS80-(MIN(BT80*TG80,(WS80+AAF80))-MIN(MIN(BT80*TG80,(WS80+AAF80)),AAF80))),WS80)</f>
        <v>1270</v>
      </c>
      <c r="WU80" s="20" t="n">
        <f aca="false">IF(AND(H_Direct=1,BU80&gt;0),MAX(0,WT80-(MIN(BU80*TH80,(WT80+AAG80))-MIN(MIN(BU80*TH80,(WT80+AAG80)),AAG80))),WT80)</f>
        <v>1270</v>
      </c>
      <c r="WV80" s="20" t="n">
        <f aca="false">IF(AND(H_Direct=1,BV80&gt;0),MAX(0,WU80-(MIN(BV80*TI80,(WU80+AAH80))-MIN(MIN(BV80*TI80,(WU80+AAH80)),AAH80))),WU80)</f>
        <v>1270</v>
      </c>
      <c r="WW80" s="20" t="n">
        <f aca="false">IF(AND(H_Direct=1,BW80&gt;0),MAX(0,WV80-(MIN(BW80*TJ80,(WV80+AAI80))-MIN(MIN(BW80*TJ80,(WV80+AAI80)),AAI80))),WV80)</f>
        <v>1270</v>
      </c>
      <c r="WX80" s="20" t="n">
        <f aca="false">IF(AND(H_Direct=1,BX80&gt;0),MAX(0,WW80-(MIN(BX80*TK80,(WW80+AAJ80))-MIN(MIN(BX80*TK80,(WW80+AAJ80)),AAJ80))),WW80)</f>
        <v>1270</v>
      </c>
      <c r="WY80" s="20" t="n">
        <f aca="false">IF(AND(H_Direct=1,BY80&gt;0),MAX(0,WX80-(MIN(BY80*TL80,(WX80+AAK80))-MIN(MIN(BY80*TL80,(WX80+AAK80)),AAK80))),WX80)</f>
        <v>1270</v>
      </c>
      <c r="WZ80" s="20" t="n">
        <f aca="false">IF(AND(H_Direct=1,BZ80&gt;0),MAX(0,WY80-(MIN(BZ80*TM80,(WY80+AAL80))-MIN(MIN(BZ80*TM80,(WY80+AAL80)),AAL80))),WY80)</f>
        <v>1270</v>
      </c>
      <c r="XA80" s="20" t="n">
        <f aca="false">IF(AND(H_Direct=1,CA80&gt;0),MAX(0,WZ80-(MIN(CA80*TN80,(WZ80+AAM80))-MIN(MIN(CA80*TN80,(WZ80+AAM80)),AAM80))),WZ80)</f>
        <v>1270</v>
      </c>
      <c r="XB80" s="20" t="n">
        <f aca="false">IF(AND(H_Direct=1,CB80&gt;0),MAX(0,XA80-(MIN(CB80*TO80,(XA80+AAN80))-MIN(MIN(CB80*TO80,(XA80+AAN80)),AAN80))),XA80)</f>
        <v>1270</v>
      </c>
      <c r="XC80" s="20" t="n">
        <f aca="false">IF(AND(H_Direct=1,CC80&gt;0),MAX(0,XB80-(MIN(CC80*TP80,(XB80+AAO80))-MIN(MIN(CC80*TP80,(XB80+AAO80)),AAO80))),XB80)</f>
        <v>1270</v>
      </c>
      <c r="XD80" s="20" t="n">
        <f aca="false">IF(AND(H_Direct=1,CD80&gt;0),MAX(0,XC80-(MIN(CD80*TQ80,(XC80+AAP80))-MIN(MIN(CD80*TQ80,(XC80+AAP80)),AAP80))),XC80)</f>
        <v>1270</v>
      </c>
      <c r="XE80" s="20" t="n">
        <f aca="false">IF(AND(H_Direct=1,CE80&gt;0),MAX(0,XD80-(MIN(CE80*TR80,(XD80+AAQ80))-MIN(MIN(CE80*TR80,(XD80+AAQ80)),AAQ80))),XD80)</f>
        <v>1270</v>
      </c>
      <c r="XF80" s="20" t="n">
        <f aca="false">IF(AND(H_Direct=1,CF80&gt;0),MAX(0,XE80-(MIN(CF80*TS80,(XE80+AAR80))-MIN(MIN(CF80*TS80,(XE80+AAR80)),AAR80))),XE80)</f>
        <v>1270</v>
      </c>
      <c r="XG80" s="20" t="n">
        <f aca="false">IF(AND(H_Direct=1,CG80&gt;0),MAX(0,XF80-(MIN(CG80*TT80,(XF80+AAS80))-MIN(MIN(CG80*TT80,(XF80+AAS80)),AAS80))),XF80)</f>
        <v>1270</v>
      </c>
      <c r="XH80" s="20" t="n">
        <f aca="false">IF(AND(H_Direct=1,CH80&gt;0),MAX(0,XG80-(MIN(CH80*TU80,(XG80+AAT80))-MIN(MIN(CH80*TU80,(XG80+AAT80)),AAT80))),XG80)</f>
        <v>1270</v>
      </c>
      <c r="XI80" s="20" t="n">
        <f aca="false">IF(AND(H_Direct=1,CI80&gt;0),MAX(0,XH80-(MIN(CI80*TV80,(XH80+AAU80))-MIN(MIN(CI80*TV80,(XH80+AAU80)),AAU80))),XH80)</f>
        <v>1270</v>
      </c>
      <c r="XJ80" s="20" t="n">
        <f aca="false">IF(AND(H_Direct=1,CJ80&gt;0),MAX(0,XI80-(MIN(CJ80*TW80,(XI80+AAV80))-MIN(MIN(CJ80*TW80,(XI80+AAV80)),AAV80))),XI80)</f>
        <v>1270</v>
      </c>
      <c r="XK80" s="20" t="n">
        <f aca="false">IF(AND(H_Direct=1,CK80&gt;0),MAX(0,XJ80-(MIN(CK80*TX80,(XJ80+AAW80))-MIN(MIN(CK80*TX80,(XJ80+AAW80)),AAW80))),XJ80)</f>
        <v>1270</v>
      </c>
      <c r="XL80" s="20" t="n">
        <f aca="false">IF(AND(H_Direct=1,CL80&gt;0),MAX(0,XK80-(MIN(CL80*TY80,(XK80+AAX80))-MIN(MIN(CL80*TY80,(XK80+AAX80)),AAX80))),XK80)</f>
        <v>1270</v>
      </c>
      <c r="XM80" s="20" t="n">
        <f aca="false">IF(AND(H_Direct=1,CM80&gt;0),MAX(0,XL80-(MIN(CM80*TZ80,(XL80+AAY80))-MIN(MIN(CM80*TZ80,(XL80+AAY80)),AAY80))),XL80)</f>
        <v>1270</v>
      </c>
      <c r="XN80" s="20" t="n">
        <f aca="false">IF(AND(H_Direct=1,CN80&gt;0),MAX(0,XM80-(MIN(CN80*UA80,(XM80+AAZ80))-MIN(MIN(CN80*UA80,(XM80+AAZ80)),AAZ80))),XM80)</f>
        <v>1270</v>
      </c>
      <c r="XO80" s="20" t="n">
        <f aca="false">IF(AND(H_Direct=1,CO80&gt;0),MAX(0,XN80-(MIN(CO80*UB80,(XN80+ABA80))-MIN(MIN(CO80*UB80,(XN80+ABA80)),ABA80))),XN80)</f>
        <v>1270</v>
      </c>
      <c r="XP80" s="20" t="n">
        <f aca="false">IF(AND(H_Direct=1,CP80&gt;0),MAX(0,XO80-(MIN(CP80*UC80,(XO80+ABB80))-MIN(MIN(CP80*UC80,(XO80+ABB80)),ABB80))),XO80)</f>
        <v>1270</v>
      </c>
      <c r="XQ80" s="20" t="n">
        <f aca="false">IF(AND(H_Direct=1,CQ80&gt;0),MAX(0,XP80-(MIN(CQ80*UD80,(XP80+ABC80))-MIN(MIN(CQ80*UD80,(XP80+ABC80)),ABC80))),XP80)</f>
        <v>1270</v>
      </c>
      <c r="XR80" s="20" t="n">
        <f aca="false">IF(AND(H_Direct=1,CR80&gt;0),MAX(0,XQ80-(MIN(CR80*UE80,(XQ80+ABD80))-MIN(MIN(CR80*UE80,(XQ80+ABD80)),ABD80))),XQ80)</f>
        <v>1270</v>
      </c>
      <c r="XS80" s="20" t="n">
        <f aca="false">IF(AND(H_Direct=1,CS80&gt;0),MAX(0,XR80-(MIN(CS80*UF80,(XR80+ABE80))-MIN(MIN(CS80*UF80,(XR80+ABE80)),ABE80))),XR80)</f>
        <v>1270</v>
      </c>
      <c r="XT80" s="20" t="n">
        <f aca="false">IF(AND(H_Direct=1,CT80&gt;0),MAX(0,XS80-(MIN(CT80*UG80,(XS80+ABF80))-MIN(MIN(CT80*UG80,(XS80+ABF80)),ABF80))),XS80)</f>
        <v>1270</v>
      </c>
      <c r="XU80" s="20" t="n">
        <f aca="false">IF(AND(H_Direct=1,CU80&gt;0),MAX(0,XT80-(MIN(CU80*UH80,(XT80+ABG80))-MIN(MIN(CU80*UH80,(XT80+ABG80)),ABG80))),XT80)</f>
        <v>1270</v>
      </c>
      <c r="XV80" s="20" t="n">
        <f aca="false">IF(AND(H_Direct=1,CV80&gt;0),MAX(0,XU80-(MIN(CV80*UI80,(XU80+ABH80))-MIN(MIN(CV80*UI80,(XU80+ABH80)),ABH80))),XU80)</f>
        <v>1270</v>
      </c>
      <c r="XW80" s="20" t="n">
        <f aca="false">IF(AND(H_Direct=1,CW80&gt;0),MAX(0,XV80-(MIN(CW80*UJ80,(XV80+ABI80))-MIN(MIN(CW80*UJ80,(XV80+ABI80)),ABI80))),XV80)</f>
        <v>1270</v>
      </c>
      <c r="XX80" s="20" t="n">
        <f aca="false">IF(AND(H_Direct=1,CX80&gt;0),MAX(0,XW80-(MIN(CX80*UK80,(XW80+ABJ80))-MIN(MIN(CX80*UK80,(XW80+ABJ80)),ABJ80))),XW80)</f>
        <v>1270</v>
      </c>
      <c r="XY80" s="20" t="n">
        <f aca="false">IF(AND(H_Direct=1,CY80&gt;0),MAX(0,XX80-(MIN(CY80*UL80,(XX80+ABK80))-MIN(MIN(CY80*UL80,(XX80+ABK80)),ABK80))),XX80)</f>
        <v>1270</v>
      </c>
      <c r="XZ80" s="20" t="n">
        <f aca="false">IF(AND(H_Direct=1,CZ80&gt;0),MAX(0,XY80-(MIN(CZ80*UM80,(XY80+ABL80))-MIN(MIN(CZ80*UM80,(XY80+ABL80)),ABL80))),XY80)</f>
        <v>1270</v>
      </c>
      <c r="YA80" s="20" t="n">
        <f aca="false">IF(AND(H_Direct=1,DA80&gt;0),MAX(0,XZ80-(MIN(DA80*UN80,(XZ80+ABM80))-MIN(MIN(DA80*UN80,(XZ80+ABM80)),ABM80))),XZ80)</f>
        <v>1270</v>
      </c>
      <c r="YB80" s="20" t="n">
        <f aca="false">IF(AND(H_Direct=1,DB80&gt;0),MAX(0,YA80-(MIN(DB80*UO80,(YA80+ABN80))-MIN(MIN(DB80*UO80,(YA80+ABN80)),ABN80))),YA80)</f>
        <v>1270</v>
      </c>
      <c r="YC80" s="20" t="n">
        <f aca="false">IF(AND(H_Direct=1,DC80&gt;0),MAX(0,YB80-(MIN(DC80*UP80,(YB80+ABO80))-MIN(MIN(DC80*UP80,(YB80+ABO80)),ABO80))),YB80)</f>
        <v>1270</v>
      </c>
      <c r="YD80" s="20" t="n">
        <f aca="false">IF(AND(H_Direct=1,DD80&gt;0),MAX(0,YC80-(MIN(DD80*UQ80,(YC80+ABP80))-MIN(MIN(DD80*UQ80,(YC80+ABP80)),ABP80))),YC80)</f>
        <v>1270</v>
      </c>
      <c r="YE80" s="20" t="n">
        <f aca="false">IF(AND(H_Direct=1,DE80&gt;0),MAX(0,YD80-(MIN(DE80*UR80,(YD80+ABQ80))-MIN(MIN(DE80*UR80,(YD80+ABQ80)),ABQ80))),YD80)</f>
        <v>1270</v>
      </c>
      <c r="YF80" s="20" t="n">
        <f aca="false">IF(AND(H_Direct=1,DF80&gt;0),MAX(0,YE80-(MIN(DF80*US80,(YE80+ABR80))-MIN(MIN(DF80*US80,(YE80+ABR80)),ABR80))),YE80)</f>
        <v>1270</v>
      </c>
      <c r="YG80" s="20" t="n">
        <f aca="false">IF(AND(H_Direct=1,DG80&gt;0),MAX(0,YF80-(MIN(DG80*UT80,(YF80+ABS80))-MIN(MIN(DG80*UT80,(YF80+ABS80)),ABS80))),YF80)</f>
        <v>1270</v>
      </c>
      <c r="YH80" s="20" t="n">
        <f aca="false">IF(AND(H_Direct=1,DH80&gt;0),MAX(0,YG80-(MIN(DH80*UU80,(YG80+ABT80))-MIN(MIN(DH80*UU80,(YG80+ABT80)),ABT80))),YG80)</f>
        <v>1270</v>
      </c>
      <c r="YI80" s="20" t="n">
        <f aca="false">IF(AND(H_Direct=1,DI80&gt;0),MAX(0,YH80-(MIN(DI80*UV80,(YH80+ABU80))-MIN(MIN(DI80*UV80,(YH80+ABU80)),ABU80))),YH80)</f>
        <v>1270</v>
      </c>
      <c r="YJ80" s="20" t="n">
        <f aca="false">IF(AND(H_Direct=1,DJ80&gt;0),MAX(0,YI80-(MIN(DJ80*UW80,(YI80+ABV80))-MIN(MIN(DJ80*UW80,(YI80+ABV80)),ABV80))),YI80)</f>
        <v>1270</v>
      </c>
      <c r="YK80" s="20" t="n">
        <f aca="false">IF(AND(H_Direct=1,DK80&gt;0),MAX(0,YJ80-(MIN(DK80*UX80,(YJ80+ABW80))-MIN(MIN(DK80*UX80,(YJ80+ABW80)),ABW80))),YJ80)</f>
        <v>1270</v>
      </c>
      <c r="YL80" s="20" t="n">
        <f aca="false">IF(AND(H_Direct=1,DL80&gt;0),MAX(0,YK80-(MIN(DL80*UY80,(YK80+ABX80))-MIN(MIN(DL80*UY80,(YK80+ABX80)),ABX80))),YK80)</f>
        <v>1270</v>
      </c>
      <c r="YM80" s="20" t="n">
        <f aca="false">IF(AND(H_Direct=1,DM80&gt;0),MAX(0,YL80-(MIN(DM80*UZ80,(YL80+ABY80))-MIN(MIN(DM80*UZ80,(YL80+ABY80)),ABY80))),YL80)</f>
        <v>1270</v>
      </c>
      <c r="YN80" s="20" t="n">
        <f aca="false">IF(AND(H_Direct=1,DN80&gt;0),MAX(0,YM80-(MIN(DN80*VA80,(YM80+ABZ80))-MIN(MIN(DN80*VA80,(YM80+ABZ80)),ABZ80))),YM80)</f>
        <v>1270</v>
      </c>
      <c r="YO80" s="20" t="n">
        <f aca="false">IF(AND(H_Direct=1,DO80&gt;0),MAX(0,YN80-(MIN(DO80*VB80,(YN80+ACA80))-MIN(MIN(DO80*VB80,(YN80+ACA80)),ACA80))),YN80)</f>
        <v>1270</v>
      </c>
      <c r="YP80" s="20" t="n">
        <f aca="false">IF(AND(H_Direct=1,DP80&gt;0),MAX(0,YO80-(MIN(DP80*VC80,(YO80+ACB80))-MIN(MIN(DP80*VC80,(YO80+ACB80)),ACB80))),YO80)</f>
        <v>1270</v>
      </c>
      <c r="YQ80" s="20" t="n">
        <f aca="false">IF(AND(H_Direct=1,DQ80&gt;0),MAX(0,YP80-(MIN(DQ80*VD80,(YP80+ACC80))-MIN(MIN(DQ80*VD80,(YP80+ACC80)),ACC80))),YP80)</f>
        <v>1270</v>
      </c>
      <c r="YR80" s="20" t="n">
        <f aca="false">IF(AND(H_Direct=1,DR80&gt;0),MAX(0,YQ80-(MIN(DR80*VE80,(YQ80+ACD80))-MIN(MIN(DR80*VE80,(YQ80+ACD80)),ACD80))),YQ80)</f>
        <v>1270</v>
      </c>
      <c r="YS80" s="20" t="n">
        <f aca="false">IF(AND(H_Direct=1,DS80&gt;0),MAX(0,YR80-(MIN(DS80*VF80,(YR80+ACE80))-MIN(MIN(DS80*VF80,(YR80+ACE80)),ACE80))),YR80)</f>
        <v>1270</v>
      </c>
      <c r="YT80" s="20" t="n">
        <f aca="false">IF(AND(H_Direct=1,DT80&gt;0),MAX(0,YS80-(MIN(DT80*VG80,(YS80+ACF80))-MIN(MIN(DT80*VG80,(YS80+ACF80)),ACF80))),YS80)</f>
        <v>1270</v>
      </c>
      <c r="YU80" s="20" t="n">
        <f aca="false">IF(AND(H_Direct=1,DU80&gt;0),MAX(0,YT80-(MIN(DU80*VH80,(YT80+ACG80))-MIN(MIN(DU80*VH80,(YT80+ACG80)),ACG80))),YT80)</f>
        <v>1270</v>
      </c>
      <c r="YV80" s="20" t="n">
        <f aca="false">IF(AND(H_Direct=1,DV80&gt;0),MAX(0,YU80-(MIN(DV80*VI80,(YU80+ACH80))-MIN(MIN(DV80*VI80,(YU80+ACH80)),ACH80))),YU80)</f>
        <v>1270</v>
      </c>
      <c r="YW80" s="20" t="n">
        <f aca="false">IF(AND(H_Direct=1,DW80&gt;0),MAX(0,YV80-(MIN(DW80*VJ80,(YV80+ACI80))-MIN(MIN(DW80*VJ80,(YV80+ACI80)),ACI80))),YV80)</f>
        <v>1270</v>
      </c>
      <c r="YX80" s="20" t="n">
        <f aca="false">IF(AND(H_Direct=1,DX80&gt;0),MAX(0,YW80-(MIN(DX80*VK80,(YW80+ACJ80))-MIN(MIN(DX80*VK80,(YW80+ACJ80)),ACJ80))),YW80)</f>
        <v>1270</v>
      </c>
      <c r="YY80" s="20" t="n">
        <f aca="false">IF(AND(H_Direct=1,DY80&gt;0),MAX(0,YX80-(MIN(DY80*VL80,(YX80+ACK80))-MIN(MIN(DY80*VL80,(YX80+ACK80)),ACK80))),YX80)</f>
        <v>1270</v>
      </c>
      <c r="YZ80" s="20" t="n">
        <f aca="false">IF(AND(H_Direct=1,DZ80&gt;0),MAX(0,YY80-(MIN(DZ80*VM80,(YY80+ACL80))-MIN(MIN(DZ80*VM80,(YY80+ACL80)),ACL80))),YY80)</f>
        <v>1270</v>
      </c>
      <c r="ZA80" s="20" t="n">
        <f aca="false">IF(AND(H_Direct=1,EA80&gt;0),MAX(0,YZ80-(MIN(EA80*VN80,(YZ80+ACM80))-MIN(MIN(EA80*VN80,(YZ80+ACM80)),ACM80))),YZ80)</f>
        <v>1270</v>
      </c>
      <c r="ZB80" s="20" t="n">
        <f aca="false">IF(AND(H_Direct=1,EB80&gt;0),MAX(0,ZA80-(MIN(EB80*VO80,(ZA80+ACN80))-MIN(MIN(EB80*VO80,(ZA80+ACN80)),ACN80))),ZA80)</f>
        <v>1270</v>
      </c>
      <c r="ZC80" s="20" t="n">
        <f aca="false">IF(AND(H_Direct=1,EC80&gt;0),MAX(0,ZB80-(MIN(EC80*VP80,(ZB80+ACO80))-MIN(MIN(EC80*VP80,(ZB80+ACO80)),ACO80))),ZB80)</f>
        <v>1270</v>
      </c>
      <c r="ZD80" s="20" t="n">
        <f aca="false">IF(AND(H_Direct=1,ED80&gt;0),MAX(0,ZC80-(MIN(ED80*VQ80,(ZC80+ACP80))-MIN(MIN(ED80*VQ80,(ZC80+ACP80)),ACP80))),ZC80)</f>
        <v>1270</v>
      </c>
      <c r="ZE80" s="20" t="n">
        <f aca="false">IF(AND(H_Direct=1,EE80&gt;0),MAX(0,ZD80-(MIN(EE80*VR80,(ZD80+ACQ80))-MIN(MIN(EE80*VR80,(ZD80+ACQ80)),ACQ80))),ZD80)</f>
        <v>1270</v>
      </c>
      <c r="ZF80" s="20" t="n">
        <f aca="false">IF(AND(H_Direct=1,EF80&gt;0),MAX(0,ZE80-(MIN(EF80*VS80,(ZE80+ACR80))-MIN(MIN(EF80*VS80,(ZE80+ACR80)),ACR80))),ZE80)</f>
        <v>1270</v>
      </c>
      <c r="ZG80" s="20" t="n">
        <f aca="false">IF(AND(H_Direct=1,EG80&gt;0),MAX(0,ZF80-(MIN(EG80*VT80,(ZF80+ACS80))-MIN(MIN(EG80*VT80,(ZF80+ACS80)),ACS80))),ZF80)</f>
        <v>1270</v>
      </c>
      <c r="ZH80" s="20" t="n">
        <f aca="false">IF(AND(H_Direct=1,EH80&gt;0),MAX(0,ZG80-(MIN(EH80*VU80,(ZG80+ACT80))-MIN(MIN(EH80*VU80,(ZG80+ACT80)),ACT80))),ZG80)</f>
        <v>1270</v>
      </c>
      <c r="ZI80" s="20" t="n">
        <f aca="false">IF(AND(H_Direct=1,EI80&gt;0),MAX(0,ZH80-(MIN(EI80*VV80,(ZH80+ACU80))-MIN(MIN(EI80*VV80,(ZH80+ACU80)),ACU80))),ZH80)</f>
        <v>1270</v>
      </c>
      <c r="ZJ80" s="20" t="n">
        <f aca="false">IF(AND(H_Direct=1,EJ80&gt;0),MAX(0,ZI80-(MIN(EJ80*VW80,(ZI80+ACV80))-MIN(MIN(EJ80*VW80,(ZI80+ACV80)),ACV80))),ZI80)</f>
        <v>1270</v>
      </c>
      <c r="ZK80" s="20" t="n">
        <f aca="false">IF(AND(H_Direct=1,EK80&gt;0),MAX(0,ZJ80-(MIN(EK80*VX80,(ZJ80+ACW80))-MIN(MIN(EK80*VX80,(ZJ80+ACW80)),ACW80))),ZJ80)</f>
        <v>1270</v>
      </c>
      <c r="ZL80" s="20" t="n">
        <f aca="false">IF(AND(H_Direct=1,EL80&gt;0),MAX(0,ZK80-(MIN(EL80*VY80,(ZK80+ACX80))-MIN(MIN(EL80*VY80,(ZK80+ACX80)),ACX80))),ZK80)</f>
        <v>1270</v>
      </c>
      <c r="ZM80" s="20" t="n">
        <f aca="false">IF(AND(H_Direct=1,EM80&gt;0),MAX(0,ZL80-(MIN(EM80*VZ80,(ZL80+ACY80))-MIN(MIN(EM80*VZ80,(ZL80+ACY80)),ACY80))),ZL80)</f>
        <v>1270</v>
      </c>
      <c r="ZN80" s="20" t="n">
        <f aca="false">ZM80</f>
        <v>1270</v>
      </c>
      <c r="ZO80" s="20" t="n">
        <f aca="false">ZN80</f>
        <v>1270</v>
      </c>
      <c r="ZP80" s="20" t="n">
        <f aca="false">ZO80</f>
        <v>1270</v>
      </c>
      <c r="ZQ80" s="20" t="n">
        <f aca="false">ZP80</f>
        <v>1270</v>
      </c>
      <c r="ZR80" s="20" t="n">
        <f aca="false">ZQ80</f>
        <v>1270</v>
      </c>
      <c r="ZS80" s="20" t="n">
        <f aca="false">ZR80</f>
        <v>1270</v>
      </c>
      <c r="ZT80" s="20" t="n">
        <f aca="false">ZS80</f>
        <v>1270</v>
      </c>
      <c r="ZU80" s="20" t="n">
        <f aca="false">ZT80</f>
        <v>1270</v>
      </c>
      <c r="ZV80" s="20" t="n">
        <f aca="false">ZU80</f>
        <v>1270</v>
      </c>
      <c r="ZW80" s="20" t="n">
        <f aca="false">ZV80</f>
        <v>1270</v>
      </c>
      <c r="ZX80" s="20" t="n">
        <f aca="false">ZW80</f>
        <v>1270</v>
      </c>
      <c r="ZY80" s="20" t="n">
        <f aca="false">ZX80</f>
        <v>1270</v>
      </c>
      <c r="ZZ80" s="20" t="n">
        <f aca="false">ZY80</f>
        <v>1270</v>
      </c>
      <c r="AAA80" s="20" t="n">
        <f aca="false">ZZ80</f>
        <v>1270</v>
      </c>
      <c r="AAB80" s="20" t="n">
        <f aca="false">AAA80</f>
        <v>1270</v>
      </c>
      <c r="AAC80" s="20" t="n">
        <f aca="false">AAB80</f>
        <v>1270</v>
      </c>
      <c r="AAD80" s="20" t="n">
        <f aca="false">AAC80</f>
        <v>1270</v>
      </c>
      <c r="AAE80" s="20" t="n">
        <f aca="false">IF(H_Direct=1,IF(BR80&lt;=0,I80-BR80*TE80,I80-MIN(MIN(BR80*TE80,(H80+I80)),I80)),I80)</f>
        <v>0</v>
      </c>
      <c r="AAF80" s="20" t="n">
        <f aca="false">IF(H_Direct=1,IF(BS80&lt;=0,AAE80-BS80*TF80,AAE80-MIN(MIN(BS80*TF80,(WR80+AAE80)),AAE80)),AAE80)</f>
        <v>0</v>
      </c>
      <c r="AAG80" s="20" t="n">
        <f aca="false">IF(H_Direct=1,IF(BT80&lt;=0,AAF80-BT80*TG80,AAF80-MIN(MIN(BT80*TG80,(WS80+AAF80)),AAF80)),AAF80)</f>
        <v>0</v>
      </c>
      <c r="AAH80" s="20" t="n">
        <f aca="false">IF(H_Direct=1,IF(BU80&lt;=0,AAG80-BU80*TH80,AAG80-MIN(MIN(BU80*TH80,(WT80+AAG80)),AAG80)),AAG80)</f>
        <v>0</v>
      </c>
      <c r="AAI80" s="20" t="n">
        <f aca="false">IF(H_Direct=1,IF(BV80&lt;=0,AAH80-BV80*TI80,AAH80-MIN(MIN(BV80*TI80,(WU80+AAH80)),AAH80)),AAH80)</f>
        <v>0</v>
      </c>
      <c r="AAJ80" s="20" t="n">
        <f aca="false">IF(H_Direct=1,IF(BW80&lt;=0,AAI80-BW80*TJ80,AAI80-MIN(MIN(BW80*TJ80,(WV80+AAI80)),AAI80)),AAI80)</f>
        <v>0</v>
      </c>
      <c r="AAK80" s="20" t="n">
        <f aca="false">IF(H_Direct=1,IF(BX80&lt;=0,AAJ80-BX80*TK80,AAJ80-MIN(MIN(BX80*TK80,(WW80+AAJ80)),AAJ80)),AAJ80)</f>
        <v>0</v>
      </c>
      <c r="AAL80" s="20" t="n">
        <f aca="false">IF(H_Direct=1,IF(BY80&lt;=0,AAK80-BY80*TL80,AAK80-MIN(MIN(BY80*TL80,(WX80+AAK80)),AAK80)),AAK80)</f>
        <v>0</v>
      </c>
      <c r="AAM80" s="20" t="n">
        <f aca="false">IF(H_Direct=1,IF(BZ80&lt;=0,AAL80-BZ80*TM80,AAL80-MIN(MIN(BZ80*TM80,(WY80+AAL80)),AAL80)),AAL80)</f>
        <v>0</v>
      </c>
      <c r="AAN80" s="20" t="n">
        <f aca="false">IF(H_Direct=1,IF(CA80&lt;=0,AAM80-CA80*TN80,AAM80-MIN(MIN(CA80*TN80,(WZ80+AAM80)),AAM80)),AAM80)</f>
        <v>0</v>
      </c>
      <c r="AAO80" s="20" t="n">
        <f aca="false">IF(H_Direct=1,IF(CB80&lt;=0,AAN80-CB80*TO80,AAN80-MIN(MIN(CB80*TO80,(XA80+AAN80)),AAN80)),AAN80)</f>
        <v>0</v>
      </c>
      <c r="AAP80" s="20" t="n">
        <f aca="false">IF(H_Direct=1,IF(CC80&lt;=0,AAO80-CC80*TP80,AAO80-MIN(MIN(CC80*TP80,(XB80+AAO80)),AAO80)),AAO80)</f>
        <v>0</v>
      </c>
      <c r="AAQ80" s="20" t="n">
        <f aca="false">IF(H_Direct=1,IF(CD80&lt;=0,AAP80-CD80*TQ80,AAP80-MIN(MIN(CD80*TQ80,(XC80+AAP80)),AAP80)),AAP80)</f>
        <v>0</v>
      </c>
      <c r="AAR80" s="20" t="n">
        <f aca="false">IF(H_Direct=1,IF(CE80&lt;=0,AAQ80-CE80*TR80,AAQ80-MIN(MIN(CE80*TR80,(XD80+AAQ80)),AAQ80)),AAQ80)</f>
        <v>0</v>
      </c>
      <c r="AAS80" s="20" t="n">
        <f aca="false">IF(H_Direct=1,IF(CF80&lt;=0,AAR80-CF80*TS80,AAR80-MIN(MIN(CF80*TS80,(XE80+AAR80)),AAR80)),AAR80)</f>
        <v>0</v>
      </c>
      <c r="AAT80" s="20" t="n">
        <f aca="false">IF(H_Direct=1,IF(CG80&lt;=0,AAS80-CG80*TT80,AAS80-MIN(MIN(CG80*TT80,(XF80+AAS80)),AAS80)),AAS80)</f>
        <v>0</v>
      </c>
      <c r="AAU80" s="20" t="n">
        <f aca="false">IF(H_Direct=1,IF(CH80&lt;=0,AAT80-CH80*TU80,AAT80-MIN(MIN(CH80*TU80,(XG80+AAT80)),AAT80)),AAT80)</f>
        <v>0</v>
      </c>
      <c r="AAV80" s="20" t="n">
        <f aca="false">IF(H_Direct=1,IF(CI80&lt;=0,AAU80-CI80*TV80,AAU80-MIN(MIN(CI80*TV80,(XH80+AAU80)),AAU80)),AAU80)</f>
        <v>0</v>
      </c>
      <c r="AAW80" s="20" t="n">
        <f aca="false">IF(H_Direct=1,IF(CJ80&lt;=0,AAV80-CJ80*TW80,AAV80-MIN(MIN(CJ80*TW80,(XI80+AAV80)),AAV80)),AAV80)</f>
        <v>0</v>
      </c>
      <c r="AAX80" s="20" t="n">
        <f aca="false">IF(H_Direct=1,IF(CK80&lt;=0,AAW80-CK80*TX80,AAW80-MIN(MIN(CK80*TX80,(XJ80+AAW80)),AAW80)),AAW80)</f>
        <v>0</v>
      </c>
      <c r="AAY80" s="20" t="n">
        <f aca="false">IF(H_Direct=1,IF(CL80&lt;=0,AAX80-CL80*TY80,AAX80-MIN(MIN(CL80*TY80,(XK80+AAX80)),AAX80)),AAX80)</f>
        <v>0</v>
      </c>
      <c r="AAZ80" s="20" t="n">
        <f aca="false">IF(H_Direct=1,IF(CM80&lt;=0,AAY80-CM80*TZ80,AAY80-MIN(MIN(CM80*TZ80,(XL80+AAY80)),AAY80)),AAY80)</f>
        <v>0</v>
      </c>
      <c r="ABA80" s="20" t="n">
        <f aca="false">IF(H_Direct=1,IF(CN80&lt;=0,AAZ80-CN80*UA80,AAZ80-MIN(MIN(CN80*UA80,(XM80+AAZ80)),AAZ80)),AAZ80)</f>
        <v>0</v>
      </c>
      <c r="ABB80" s="20" t="n">
        <f aca="false">IF(H_Direct=1,IF(CO80&lt;=0,ABA80-CO80*UB80,ABA80-MIN(MIN(CO80*UB80,(XN80+ABA80)),ABA80)),ABA80)</f>
        <v>0</v>
      </c>
      <c r="ABC80" s="20" t="n">
        <f aca="false">IF(H_Direct=1,IF(CP80&lt;=0,ABB80-CP80*UC80,ABB80-MIN(MIN(CP80*UC80,(XO80+ABB80)),ABB80)),ABB80)</f>
        <v>0</v>
      </c>
      <c r="ABD80" s="20" t="n">
        <f aca="false">IF(H_Direct=1,IF(CQ80&lt;=0,ABC80-CQ80*UD80,ABC80-MIN(MIN(CQ80*UD80,(XP80+ABC80)),ABC80)),ABC80)</f>
        <v>0</v>
      </c>
      <c r="ABE80" s="20" t="n">
        <f aca="false">IF(H_Direct=1,IF(CR80&lt;=0,ABD80-CR80*UE80,ABD80-MIN(MIN(CR80*UE80,(XQ80+ABD80)),ABD80)),ABD80)</f>
        <v>0</v>
      </c>
      <c r="ABF80" s="20" t="n">
        <f aca="false">IF(H_Direct=1,IF(CS80&lt;=0,ABE80-CS80*UF80,ABE80-MIN(MIN(CS80*UF80,(XR80+ABE80)),ABE80)),ABE80)</f>
        <v>0</v>
      </c>
      <c r="ABG80" s="20" t="n">
        <f aca="false">IF(H_Direct=1,IF(CT80&lt;=0,ABF80-CT80*UG80,ABF80-MIN(MIN(CT80*UG80,(XS80+ABF80)),ABF80)),ABF80)</f>
        <v>0</v>
      </c>
      <c r="ABH80" s="20" t="n">
        <f aca="false">IF(H_Direct=1,IF(CU80&lt;=0,ABG80-CU80*UH80,ABG80-MIN(MIN(CU80*UH80,(XT80+ABG80)),ABG80)),ABG80)</f>
        <v>0</v>
      </c>
      <c r="ABI80" s="20" t="n">
        <f aca="false">IF(H_Direct=1,IF(CV80&lt;=0,ABH80-CV80*UI80,ABH80-MIN(MIN(CV80*UI80,(XU80+ABH80)),ABH80)),ABH80)</f>
        <v>0</v>
      </c>
      <c r="ABJ80" s="20" t="n">
        <f aca="false">IF(H_Direct=1,IF(CW80&lt;=0,ABI80-CW80*UJ80,ABI80-MIN(MIN(CW80*UJ80,(XV80+ABI80)),ABI80)),ABI80)</f>
        <v>0</v>
      </c>
      <c r="ABK80" s="20" t="n">
        <f aca="false">IF(H_Direct=1,IF(CX80&lt;=0,ABJ80-CX80*UK80,ABJ80-MIN(MIN(CX80*UK80,(XW80+ABJ80)),ABJ80)),ABJ80)</f>
        <v>0</v>
      </c>
      <c r="ABL80" s="20" t="n">
        <f aca="false">IF(H_Direct=1,IF(CY80&lt;=0,ABK80-CY80*UL80,ABK80-MIN(MIN(CY80*UL80,(XX80+ABK80)),ABK80)),ABK80)</f>
        <v>0</v>
      </c>
      <c r="ABM80" s="20" t="n">
        <f aca="false">IF(H_Direct=1,IF(CZ80&lt;=0,ABL80-CZ80*UM80,ABL80-MIN(MIN(CZ80*UM80,(XY80+ABL80)),ABL80)),ABL80)</f>
        <v>0</v>
      </c>
      <c r="ABN80" s="20" t="n">
        <f aca="false">IF(H_Direct=1,IF(DA80&lt;=0,ABM80-DA80*UN80,ABM80-MIN(MIN(DA80*UN80,(XZ80+ABM80)),ABM80)),ABM80)</f>
        <v>0</v>
      </c>
      <c r="ABO80" s="20" t="n">
        <f aca="false">IF(H_Direct=1,IF(DB80&lt;=0,ABN80-DB80*UO80,ABN80-MIN(MIN(DB80*UO80,(YA80+ABN80)),ABN80)),ABN80)</f>
        <v>0</v>
      </c>
      <c r="ABP80" s="20" t="n">
        <f aca="false">IF(H_Direct=1,IF(DC80&lt;=0,ABO80-DC80*UP80,ABO80-MIN(MIN(DC80*UP80,(YB80+ABO80)),ABO80)),ABO80)</f>
        <v>0</v>
      </c>
      <c r="ABQ80" s="20" t="n">
        <f aca="false">IF(H_Direct=1,IF(DD80&lt;=0,ABP80-DD80*UQ80,ABP80-MIN(MIN(DD80*UQ80,(YC80+ABP80)),ABP80)),ABP80)</f>
        <v>0</v>
      </c>
      <c r="ABR80" s="20" t="n">
        <f aca="false">IF(H_Direct=1,IF(DE80&lt;=0,ABQ80-DE80*UR80,ABQ80-MIN(MIN(DE80*UR80,(YD80+ABQ80)),ABQ80)),ABQ80)</f>
        <v>0</v>
      </c>
      <c r="ABS80" s="20" t="n">
        <f aca="false">IF(H_Direct=1,IF(DF80&lt;=0,ABR80-DF80*US80,ABR80-MIN(MIN(DF80*US80,(YE80+ABR80)),ABR80)),ABR80)</f>
        <v>0</v>
      </c>
      <c r="ABT80" s="20" t="n">
        <f aca="false">IF(H_Direct=1,IF(DG80&lt;=0,ABS80-DG80*UT80,ABS80-MIN(MIN(DG80*UT80,(YF80+ABS80)),ABS80)),ABS80)</f>
        <v>0</v>
      </c>
      <c r="ABU80" s="20" t="n">
        <f aca="false">IF(H_Direct=1,IF(DH80&lt;=0,ABT80-DH80*UU80,ABT80-MIN(MIN(DH80*UU80,(YG80+ABT80)),ABT80)),ABT80)</f>
        <v>0</v>
      </c>
      <c r="ABV80" s="20" t="n">
        <f aca="false">IF(H_Direct=1,IF(DI80&lt;=0,ABU80-DI80*UV80,ABU80-MIN(MIN(DI80*UV80,(YH80+ABU80)),ABU80)),ABU80)</f>
        <v>0</v>
      </c>
      <c r="ABW80" s="20" t="n">
        <f aca="false">IF(H_Direct=1,IF(DJ80&lt;=0,ABV80-DJ80*UW80,ABV80-MIN(MIN(DJ80*UW80,(YI80+ABV80)),ABV80)),ABV80)</f>
        <v>0</v>
      </c>
      <c r="ABX80" s="20" t="n">
        <f aca="false">IF(H_Direct=1,IF(DK80&lt;=0,ABW80-DK80*UX80,ABW80-MIN(MIN(DK80*UX80,(YJ80+ABW80)),ABW80)),ABW80)</f>
        <v>0</v>
      </c>
      <c r="ABY80" s="20" t="n">
        <f aca="false">IF(H_Direct=1,IF(DL80&lt;=0,ABX80-DL80*UY80,ABX80-MIN(MIN(DL80*UY80,(YK80+ABX80)),ABX80)),ABX80)</f>
        <v>0</v>
      </c>
      <c r="ABZ80" s="20" t="n">
        <f aca="false">IF(H_Direct=1,IF(DM80&lt;=0,ABY80-DM80*UZ80,ABY80-MIN(MIN(DM80*UZ80,(YL80+ABY80)),ABY80)),ABY80)</f>
        <v>0</v>
      </c>
      <c r="ACA80" s="20" t="n">
        <f aca="false">IF(H_Direct=1,IF(DN80&lt;=0,ABZ80-DN80*VA80,ABZ80-MIN(MIN(DN80*VA80,(YM80+ABZ80)),ABZ80)),ABZ80)</f>
        <v>0</v>
      </c>
      <c r="ACB80" s="20" t="n">
        <f aca="false">IF(H_Direct=1,IF(DO80&lt;=0,ACA80-DO80*VB80,ACA80-MIN(MIN(DO80*VB80,(YN80+ACA80)),ACA80)),ACA80)</f>
        <v>0</v>
      </c>
      <c r="ACC80" s="20" t="n">
        <f aca="false">IF(H_Direct=1,IF(DP80&lt;=0,ACB80-DP80*VC80,ACB80-MIN(MIN(DP80*VC80,(YO80+ACB80)),ACB80)),ACB80)</f>
        <v>0</v>
      </c>
      <c r="ACD80" s="20" t="n">
        <f aca="false">IF(H_Direct=1,IF(DQ80&lt;=0,ACC80-DQ80*VD80,ACC80-MIN(MIN(DQ80*VD80,(YP80+ACC80)),ACC80)),ACC80)</f>
        <v>0</v>
      </c>
      <c r="ACE80" s="20" t="n">
        <f aca="false">IF(H_Direct=1,IF(DR80&lt;=0,ACD80-DR80*VE80,ACD80-MIN(MIN(DR80*VE80,(YQ80+ACD80)),ACD80)),ACD80)</f>
        <v>0</v>
      </c>
      <c r="ACF80" s="20" t="n">
        <f aca="false">IF(H_Direct=1,IF(DS80&lt;=0,ACE80-DS80*VF80,ACE80-MIN(MIN(DS80*VF80,(YR80+ACE80)),ACE80)),ACE80)</f>
        <v>0</v>
      </c>
      <c r="ACG80" s="20" t="n">
        <f aca="false">IF(H_Direct=1,IF(DT80&lt;=0,ACF80-DT80*VG80,ACF80-MIN(MIN(DT80*VG80,(YS80+ACF80)),ACF80)),ACF80)</f>
        <v>0</v>
      </c>
      <c r="ACH80" s="20" t="n">
        <f aca="false">IF(H_Direct=1,IF(DU80&lt;=0,ACG80-DU80*VH80,ACG80-MIN(MIN(DU80*VH80,(YT80+ACG80)),ACG80)),ACG80)</f>
        <v>0</v>
      </c>
      <c r="ACI80" s="20" t="n">
        <f aca="false">IF(H_Direct=1,IF(DV80&lt;=0,ACH80-DV80*VI80,ACH80-MIN(MIN(DV80*VI80,(YU80+ACH80)),ACH80)),ACH80)</f>
        <v>0</v>
      </c>
      <c r="ACJ80" s="20" t="n">
        <f aca="false">IF(H_Direct=1,IF(DW80&lt;=0,ACI80-DW80*VJ80,ACI80-MIN(MIN(DW80*VJ80,(YV80+ACI80)),ACI80)),ACI80)</f>
        <v>0</v>
      </c>
      <c r="ACK80" s="20" t="n">
        <f aca="false">IF(H_Direct=1,IF(DX80&lt;=0,ACJ80-DX80*VK80,ACJ80-MIN(MIN(DX80*VK80,(YW80+ACJ80)),ACJ80)),ACJ80)</f>
        <v>0</v>
      </c>
      <c r="ACL80" s="20" t="n">
        <f aca="false">IF(H_Direct=1,IF(DY80&lt;=0,ACK80-DY80*VL80,ACK80-MIN(MIN(DY80*VL80,(YX80+ACK80)),ACK80)),ACK80)</f>
        <v>0</v>
      </c>
      <c r="ACM80" s="20" t="n">
        <f aca="false">IF(H_Direct=1,IF(DZ80&lt;=0,ACL80-DZ80*VM80,ACL80-MIN(MIN(DZ80*VM80,(YY80+ACL80)),ACL80)),ACL80)</f>
        <v>0</v>
      </c>
      <c r="ACN80" s="20" t="n">
        <f aca="false">IF(H_Direct=1,IF(EA80&lt;=0,ACM80-EA80*VN80,ACM80-MIN(MIN(EA80*VN80,(YZ80+ACM80)),ACM80)),ACM80)</f>
        <v>0</v>
      </c>
      <c r="ACO80" s="20" t="n">
        <f aca="false">IF(H_Direct=1,IF(EB80&lt;=0,ACN80-EB80*VO80,ACN80-MIN(MIN(EB80*VO80,(ZA80+ACN80)),ACN80)),ACN80)</f>
        <v>0</v>
      </c>
      <c r="ACP80" s="20" t="n">
        <f aca="false">IF(H_Direct=1,IF(EC80&lt;=0,ACO80-EC80*VP80,ACO80-MIN(MIN(EC80*VP80,(ZB80+ACO80)),ACO80)),ACO80)</f>
        <v>0</v>
      </c>
      <c r="ACQ80" s="20" t="n">
        <f aca="false">IF(H_Direct=1,IF(ED80&lt;=0,ACP80-ED80*VQ80,ACP80-MIN(MIN(ED80*VQ80,(ZC80+ACP80)),ACP80)),ACP80)</f>
        <v>0</v>
      </c>
      <c r="ACR80" s="20" t="n">
        <f aca="false">IF(H_Direct=1,IF(EE80&lt;=0,ACQ80-EE80*VR80,ACQ80-MIN(MIN(EE80*VR80,(ZD80+ACQ80)),ACQ80)),ACQ80)</f>
        <v>0</v>
      </c>
      <c r="ACS80" s="20" t="n">
        <f aca="false">IF(H_Direct=1,IF(EF80&lt;=0,ACR80-EF80*VS80,ACR80-MIN(MIN(EF80*VS80,(ZE80+ACR80)),ACR80)),ACR80)</f>
        <v>0</v>
      </c>
      <c r="ACT80" s="20" t="n">
        <f aca="false">IF(H_Direct=1,IF(EG80&lt;=0,ACS80-EG80*VT80,ACS80-MIN(MIN(EG80*VT80,(ZF80+ACS80)),ACS80)),ACS80)</f>
        <v>0</v>
      </c>
      <c r="ACU80" s="20" t="n">
        <f aca="false">IF(H_Direct=1,IF(EH80&lt;=0,ACT80-EH80*VU80,ACT80-MIN(MIN(EH80*VU80,(ZG80+ACT80)),ACT80)),ACT80)</f>
        <v>0</v>
      </c>
      <c r="ACV80" s="20" t="n">
        <f aca="false">IF(H_Direct=1,IF(EI80&lt;=0,ACU80-EI80*VV80,ACU80-MIN(MIN(EI80*VV80,(ZH80+ACU80)),ACU80)),ACU80)</f>
        <v>0</v>
      </c>
      <c r="ACW80" s="20" t="n">
        <f aca="false">IF(H_Direct=1,IF(EJ80&lt;=0,ACV80-EJ80*VW80,ACV80-MIN(MIN(EJ80*VW80,(ZI80+ACV80)),ACV80)),ACV80)</f>
        <v>0</v>
      </c>
      <c r="ACX80" s="20" t="n">
        <f aca="false">IF(H_Direct=1,IF(EK80&lt;=0,ACW80-EK80*VX80,ACW80-MIN(MIN(EK80*VX80,(ZJ80+ACW80)),ACW80)),ACW80)</f>
        <v>0</v>
      </c>
      <c r="ACY80" s="20" t="n">
        <f aca="false">IF(H_Direct=1,IF(EL80&lt;=0,ACX80-EL80*VY80,ACX80-MIN(MIN(EL80*VY80,(ZK80+ACX80)),ACX80)),ACX80)</f>
        <v>0</v>
      </c>
      <c r="ACZ80" s="20" t="n">
        <f aca="false">IF(H_Direct=1,IF(EM80&lt;=0,ACY80-EM80*VZ80,ACY80-MIN(MIN(EM80*VZ80,(ZL80+ACY80)),ACY80)),ACY80)</f>
        <v>0</v>
      </c>
      <c r="ADA80" s="20" t="n">
        <f aca="false">ACZ80</f>
        <v>0</v>
      </c>
      <c r="ADB80" s="20" t="n">
        <f aca="false">ADA80</f>
        <v>0</v>
      </c>
      <c r="ADC80" s="20" t="n">
        <f aca="false">ADB80</f>
        <v>0</v>
      </c>
      <c r="ADD80" s="20" t="n">
        <f aca="false">ADC80</f>
        <v>0</v>
      </c>
      <c r="ADE80" s="20" t="n">
        <f aca="false">ADD80</f>
        <v>0</v>
      </c>
      <c r="ADF80" s="20" t="n">
        <f aca="false">ADE80</f>
        <v>0</v>
      </c>
      <c r="ADG80" s="20" t="n">
        <f aca="false">ADF80</f>
        <v>0</v>
      </c>
      <c r="ADH80" s="20" t="n">
        <f aca="false">ADG80</f>
        <v>0</v>
      </c>
      <c r="ADI80" s="20" t="n">
        <f aca="false">ADH80</f>
        <v>0</v>
      </c>
      <c r="ADJ80" s="20" t="n">
        <f aca="false">ADI80</f>
        <v>0</v>
      </c>
      <c r="ADK80" s="20" t="n">
        <f aca="false">ADJ80</f>
        <v>0</v>
      </c>
      <c r="ADL80" s="20" t="n">
        <f aca="false">ADK80</f>
        <v>0</v>
      </c>
      <c r="ADM80" s="20" t="n">
        <f aca="false">ADL80</f>
        <v>0</v>
      </c>
      <c r="ADN80" s="20" t="n">
        <f aca="false">ADM80</f>
        <v>0</v>
      </c>
      <c r="ADO80" s="20" t="n">
        <f aca="false">ADN80</f>
        <v>0</v>
      </c>
      <c r="ADP80" s="20" t="n">
        <f aca="false">ADO80</f>
        <v>0</v>
      </c>
      <c r="ADQ80" s="20" t="n">
        <f aca="false">ADP80</f>
        <v>0</v>
      </c>
      <c r="ADR80" s="20" t="n">
        <f aca="false">(AKR79-TE80+0)*(1+BQ80)</f>
        <v>0</v>
      </c>
      <c r="ADS80" s="20" t="n">
        <f aca="false">(AKS79-TF80+0)*(1+BQ80)</f>
        <v>0</v>
      </c>
      <c r="ADT80" s="20" t="n">
        <f aca="false">(AKT79-TG80+0)*(1+BQ80)</f>
        <v>0</v>
      </c>
      <c r="ADU80" s="20" t="n">
        <f aca="false">(AKU79-TH80+0)*(1+BQ80)</f>
        <v>0</v>
      </c>
      <c r="ADV80" s="20" t="n">
        <f aca="false">(AKV79-TI80+0)*(1+BQ80)</f>
        <v>0</v>
      </c>
      <c r="ADW80" s="20" t="n">
        <f aca="false">(AKW79-TJ80+0)*(1+BQ80)</f>
        <v>0</v>
      </c>
      <c r="ADX80" s="20" t="n">
        <f aca="false">(AKX79-TK80+0)*(1+BQ80)</f>
        <v>0</v>
      </c>
      <c r="ADY80" s="20" t="n">
        <f aca="false">(AKY79-TL80+0)*(1+BQ80)</f>
        <v>0</v>
      </c>
      <c r="ADZ80" s="20" t="n">
        <f aca="false">(AKZ79-TM80+0)*(1+BQ80)</f>
        <v>0</v>
      </c>
      <c r="AEA80" s="20" t="n">
        <f aca="false">(ALA79-TN80+0)*(1+BQ80)</f>
        <v>0</v>
      </c>
      <c r="AEB80" s="20" t="n">
        <f aca="false">(ALB79-TO80+0)*(1+BQ80)</f>
        <v>0</v>
      </c>
      <c r="AEC80" s="20" t="n">
        <f aca="false">(ALC79-TP80+0)*(1+BQ80)</f>
        <v>0</v>
      </c>
      <c r="AED80" s="20" t="n">
        <f aca="false">(ALD79-TQ80+0)*(1+BQ80)</f>
        <v>0</v>
      </c>
      <c r="AEE80" s="20" t="n">
        <f aca="false">(ALE79-TR80+0)*(1+BQ80)</f>
        <v>0</v>
      </c>
      <c r="AEF80" s="20" t="n">
        <f aca="false">(ALF79-TS80+0)*(1+BQ80)</f>
        <v>0</v>
      </c>
      <c r="AEG80" s="20" t="n">
        <f aca="false">(ALG79-TT80+0)*(1+BQ80)</f>
        <v>0</v>
      </c>
      <c r="AEH80" s="20" t="n">
        <f aca="false">(ALH79-TU80+0)*(1+BQ80)</f>
        <v>0</v>
      </c>
      <c r="AEI80" s="20" t="n">
        <f aca="false">(ALI79-TV80+0)*(1+BQ80)</f>
        <v>0</v>
      </c>
      <c r="AEJ80" s="20" t="n">
        <f aca="false">(ALJ79-TW80+0)*(1+BQ80)</f>
        <v>0</v>
      </c>
      <c r="AEK80" s="20" t="n">
        <f aca="false">(ALK79-TX80+0)*(1+BQ80)</f>
        <v>0</v>
      </c>
      <c r="AEL80" s="20" t="n">
        <f aca="false">(ALL79-TY80+0)*(1+BQ80)</f>
        <v>0</v>
      </c>
      <c r="AEM80" s="20" t="n">
        <f aca="false">(ALM79-TZ80+0)*(1+BQ80)</f>
        <v>0</v>
      </c>
      <c r="AEN80" s="20" t="n">
        <f aca="false">(ALN79-UA80+0)*(1+BQ80)</f>
        <v>0</v>
      </c>
      <c r="AEO80" s="20" t="n">
        <f aca="false">(ALO79-UB80+0)*(1+BQ80)</f>
        <v>0</v>
      </c>
      <c r="AEP80" s="20" t="n">
        <f aca="false">(ALP79-UC80+0)*(1+BQ80)</f>
        <v>0</v>
      </c>
      <c r="AEQ80" s="20" t="n">
        <f aca="false">(ALQ79-UD80+0)*(1+BQ80)</f>
        <v>0</v>
      </c>
      <c r="AER80" s="20" t="n">
        <f aca="false">(ALR79-UE80+0)*(1+BQ80)</f>
        <v>0</v>
      </c>
      <c r="AES80" s="20" t="n">
        <f aca="false">(ALS79-UF80+0)*(1+BQ80)</f>
        <v>0</v>
      </c>
      <c r="AET80" s="20" t="n">
        <f aca="false">(ALT79-UG80+0)*(1+BQ80)</f>
        <v>0</v>
      </c>
      <c r="AEU80" s="20" t="n">
        <f aca="false">(ALU79-UH80+0)*(1+BQ80)</f>
        <v>0</v>
      </c>
      <c r="AEV80" s="20" t="n">
        <f aca="false">(ALV79-UI80+0)*(1+BQ80)</f>
        <v>0</v>
      </c>
      <c r="AEW80" s="20" t="n">
        <f aca="false">(ALW79-UJ80+0)*(1+BQ80)</f>
        <v>0</v>
      </c>
      <c r="AEX80" s="20" t="n">
        <f aca="false">(ALX79-UK80+0)*(1+BQ80)</f>
        <v>0</v>
      </c>
      <c r="AEY80" s="20" t="n">
        <f aca="false">(ALY79-UL80+0)*(1+BQ80)</f>
        <v>0</v>
      </c>
      <c r="AEZ80" s="20" t="n">
        <f aca="false">(ALZ79-UM80+0)*(1+BQ80)</f>
        <v>0</v>
      </c>
      <c r="AFA80" s="20" t="n">
        <f aca="false">(AMA79-UN80+0)*(1+BQ80)</f>
        <v>0</v>
      </c>
      <c r="AFB80" s="20" t="n">
        <f aca="false">(AMB79-UO80+0)*(1+BQ80)</f>
        <v>0</v>
      </c>
      <c r="AFC80" s="20" t="n">
        <f aca="false">(AMC79-UP80+0)*(1+BQ80)</f>
        <v>0</v>
      </c>
      <c r="AFD80" s="20" t="n">
        <f aca="false">(AMD79-UQ80+0)*(1+BQ80)</f>
        <v>0</v>
      </c>
      <c r="AFE80" s="20" t="n">
        <f aca="false">(AME79-UR80+0)*(1+BQ80)</f>
        <v>0</v>
      </c>
      <c r="AFF80" s="20" t="n">
        <f aca="false">(AMF79-US80+0)*(1+BQ80)</f>
        <v>0</v>
      </c>
      <c r="AFG80" s="20" t="n">
        <f aca="false">(AMG79-UT80+0)*(1+BQ80)</f>
        <v>0</v>
      </c>
      <c r="AFH80" s="20" t="n">
        <f aca="false">(AMH79-UU80+0)*(1+BQ80)</f>
        <v>0</v>
      </c>
      <c r="AFI80" s="20" t="n">
        <f aca="false">(AMI79-UV80+0)*(1+BQ80)</f>
        <v>0</v>
      </c>
      <c r="AFJ80" s="20" t="n">
        <f aca="false">(AMJ79-UW80+0)*(1+BQ80)</f>
        <v>0</v>
      </c>
      <c r="AFK80" s="20" t="n">
        <f aca="false">(AMK79-UX80+0)*(1+BQ80)</f>
        <v>0</v>
      </c>
      <c r="AFL80" s="20" t="n">
        <f aca="false">(AML79-UY80+0)*(1+BQ80)</f>
        <v>0</v>
      </c>
      <c r="AFM80" s="20" t="n">
        <f aca="false">(AMM79-UZ80+0)*(1+BQ80)</f>
        <v>0</v>
      </c>
      <c r="AFN80" s="20" t="n">
        <f aca="false">(AMN79-VA80+0)*(1+BQ80)</f>
        <v>0</v>
      </c>
      <c r="AFO80" s="20" t="n">
        <f aca="false">(AMO79-VB80+0)*(1+BQ80)</f>
        <v>0</v>
      </c>
      <c r="AFP80" s="20" t="n">
        <f aca="false">(AMP79-VC80+0)*(1+BQ80)</f>
        <v>0</v>
      </c>
      <c r="AFQ80" s="20" t="n">
        <f aca="false">(AMQ79-VD80+0)*(1+BQ80)</f>
        <v>0</v>
      </c>
      <c r="AFR80" s="20" t="n">
        <f aca="false">(AMR79-VE80+0)*(1+BQ80)</f>
        <v>0</v>
      </c>
      <c r="AFS80" s="20" t="n">
        <f aca="false">(AMS79-VF80+0)*(1+BQ80)</f>
        <v>0</v>
      </c>
      <c r="AFT80" s="20" t="n">
        <f aca="false">(AMT79-VG80+0)*(1+BQ80)</f>
        <v>0</v>
      </c>
      <c r="AFU80" s="20" t="n">
        <f aca="false">(AMU79-VH80+0)*(1+BQ80)</f>
        <v>0</v>
      </c>
      <c r="AFV80" s="20" t="n">
        <f aca="false">(AMV79-VI80+0)*(1+BQ80)</f>
        <v>0</v>
      </c>
      <c r="AFW80" s="20" t="n">
        <f aca="false">(AMW79-VJ80+0)*(1+BQ80)</f>
        <v>0</v>
      </c>
      <c r="AFX80" s="20" t="n">
        <f aca="false">(AMX79-VK80+0)*(1+BQ80)</f>
        <v>0</v>
      </c>
      <c r="AFY80" s="20" t="n">
        <f aca="false">(AMY79-VL80+0)*(1+BQ80)</f>
        <v>0</v>
      </c>
      <c r="AFZ80" s="20" t="n">
        <f aca="false">(AMZ79-VM80+0)*(1+BQ80)</f>
        <v>0</v>
      </c>
      <c r="AGA80" s="20" t="n">
        <f aca="false">(ANA79-VN80+0)*(1+BQ80)</f>
        <v>0</v>
      </c>
      <c r="AGB80" s="20" t="n">
        <f aca="false">(ANB79-VO80+0)*(1+BQ80)</f>
        <v>0</v>
      </c>
      <c r="AGC80" s="20" t="n">
        <f aca="false">(ANC79-VP80+0)*(1+BQ80)</f>
        <v>0</v>
      </c>
      <c r="AGD80" s="20" t="n">
        <f aca="false">(AND79-VQ80+0)*(1+BQ80)</f>
        <v>0</v>
      </c>
      <c r="AGE80" s="20" t="n">
        <f aca="false">(ANE79-VR80+0)*(1+BQ80)</f>
        <v>0</v>
      </c>
      <c r="AGF80" s="20" t="n">
        <f aca="false">(ANF79-VS80+0)*(1+BQ80)</f>
        <v>0</v>
      </c>
      <c r="AGG80" s="20" t="n">
        <f aca="false">(ANG79-VT80+0)*(1+BQ80)</f>
        <v>0</v>
      </c>
      <c r="AGH80" s="20" t="n">
        <f aca="false">(ANH79-VU80+0)*(1+BQ80)</f>
        <v>0</v>
      </c>
      <c r="AGI80" s="20" t="n">
        <f aca="false">(ANI79-VV80+0)*(1+BQ80)</f>
        <v>0</v>
      </c>
      <c r="AGJ80" s="20" t="n">
        <f aca="false">(ANJ79-VW80+0)*(1+BQ80)</f>
        <v>0</v>
      </c>
      <c r="AGK80" s="20" t="n">
        <f aca="false">(ANK79-VX80+0)*(1+BQ80)</f>
        <v>0</v>
      </c>
      <c r="AGL80" s="20" t="n">
        <f aca="false">(ANL79-VY80+0)*(1+BQ80)</f>
        <v>0</v>
      </c>
      <c r="AGM80" s="20" t="n">
        <f aca="false">((P80+S80)-VZ80+BE80)*(1+BQ80)</f>
        <v>0</v>
      </c>
      <c r="AGN80" s="20" t="n">
        <v>0</v>
      </c>
      <c r="AGO80" s="20" t="n">
        <v>0</v>
      </c>
      <c r="AGP80" s="20" t="n">
        <v>0</v>
      </c>
      <c r="AGQ80" s="20" t="n">
        <v>0</v>
      </c>
      <c r="AGR80" s="20" t="n">
        <v>0</v>
      </c>
      <c r="AGS80" s="20" t="n">
        <v>0</v>
      </c>
      <c r="AGT80" s="20" t="n">
        <v>0</v>
      </c>
      <c r="AGU80" s="20" t="n">
        <v>0</v>
      </c>
      <c r="AGV80" s="20" t="n">
        <v>0</v>
      </c>
      <c r="AGW80" s="20" t="n">
        <v>0</v>
      </c>
      <c r="AGX80" s="20" t="n">
        <v>0</v>
      </c>
      <c r="AGY80" s="20" t="n">
        <v>0</v>
      </c>
      <c r="AGZ80" s="20" t="n">
        <v>0</v>
      </c>
      <c r="AHA80" s="20" t="n">
        <v>0</v>
      </c>
      <c r="AHB80" s="20" t="n">
        <v>0</v>
      </c>
      <c r="AHC80" s="20" t="n">
        <v>0</v>
      </c>
      <c r="AHD80" s="20" t="n">
        <v>0</v>
      </c>
      <c r="AHE80" s="20" t="n">
        <f aca="false">IF(AKR79&gt;0,AOE79-AOE79*TE80/AKR79,0)+0</f>
        <v>0</v>
      </c>
      <c r="AHF80" s="20" t="n">
        <f aca="false">IF(AKS79&gt;0,AOF79-AOF79*TF80/AKS79,0)+0</f>
        <v>0</v>
      </c>
      <c r="AHG80" s="20" t="n">
        <f aca="false">IF(AKT79&gt;0,AOG79-AOG79*TG80/AKT79,0)+0</f>
        <v>0</v>
      </c>
      <c r="AHH80" s="20" t="n">
        <f aca="false">IF(AKU79&gt;0,AOH79-AOH79*TH80/AKU79,0)+0</f>
        <v>0</v>
      </c>
      <c r="AHI80" s="20" t="n">
        <f aca="false">IF(AKV79&gt;0,AOI79-AOI79*TI80/AKV79,0)+0</f>
        <v>0</v>
      </c>
      <c r="AHJ80" s="20" t="n">
        <f aca="false">IF(AKW79&gt;0,AOJ79-AOJ79*TJ80/AKW79,0)+0</f>
        <v>0</v>
      </c>
      <c r="AHK80" s="20" t="n">
        <f aca="false">IF(AKX79&gt;0,AOK79-AOK79*TK80/AKX79,0)+0</f>
        <v>0</v>
      </c>
      <c r="AHL80" s="20" t="n">
        <f aca="false">IF(AKY79&gt;0,AOL79-AOL79*TL80/AKY79,0)+0</f>
        <v>0</v>
      </c>
      <c r="AHM80" s="20" t="n">
        <f aca="false">IF(AKZ79&gt;0,AOM79-AOM79*TM80/AKZ79,0)+0</f>
        <v>0</v>
      </c>
      <c r="AHN80" s="20" t="n">
        <f aca="false">IF(ALA79&gt;0,AON79-AON79*TN80/ALA79,0)+0</f>
        <v>0</v>
      </c>
      <c r="AHO80" s="20" t="n">
        <f aca="false">IF(ALB79&gt;0,AOO79-AOO79*TO80/ALB79,0)+0</f>
        <v>0</v>
      </c>
      <c r="AHP80" s="20" t="n">
        <f aca="false">IF(ALC79&gt;0,AOP79-AOP79*TP80/ALC79,0)+0</f>
        <v>0</v>
      </c>
      <c r="AHQ80" s="20" t="n">
        <f aca="false">IF(ALD79&gt;0,AOQ79-AOQ79*TQ80/ALD79,0)+0</f>
        <v>0</v>
      </c>
      <c r="AHR80" s="20" t="n">
        <f aca="false">IF(ALE79&gt;0,AOR79-AOR79*TR80/ALE79,0)+0</f>
        <v>0</v>
      </c>
      <c r="AHS80" s="20" t="n">
        <f aca="false">IF(ALF79&gt;0,AOS79-AOS79*TS80/ALF79,0)+0</f>
        <v>0</v>
      </c>
      <c r="AHT80" s="20" t="n">
        <f aca="false">IF(ALG79&gt;0,AOT79-AOT79*TT80/ALG79,0)+0</f>
        <v>0</v>
      </c>
      <c r="AHU80" s="20" t="n">
        <f aca="false">IF(ALH79&gt;0,AOU79-AOU79*TU80/ALH79,0)+0</f>
        <v>0</v>
      </c>
      <c r="AHV80" s="20" t="n">
        <f aca="false">IF(ALI79&gt;0,AOV79-AOV79*TV80/ALI79,0)+0</f>
        <v>0</v>
      </c>
      <c r="AHW80" s="20" t="n">
        <f aca="false">IF(ALJ79&gt;0,AOW79-AOW79*TW80/ALJ79,0)+0</f>
        <v>0</v>
      </c>
      <c r="AHX80" s="20" t="n">
        <f aca="false">IF(ALK79&gt;0,AOX79-AOX79*TX80/ALK79,0)+0</f>
        <v>0</v>
      </c>
      <c r="AHY80" s="20" t="n">
        <f aca="false">IF(ALL79&gt;0,AOY79-AOY79*TY80/ALL79,0)+0</f>
        <v>0</v>
      </c>
      <c r="AHZ80" s="20" t="n">
        <f aca="false">IF(ALM79&gt;0,AOZ79-AOZ79*TZ80/ALM79,0)+0</f>
        <v>0</v>
      </c>
      <c r="AIA80" s="20" t="n">
        <f aca="false">IF(ALN79&gt;0,APA79-APA79*UA80/ALN79,0)+0</f>
        <v>0</v>
      </c>
      <c r="AIB80" s="20" t="n">
        <f aca="false">IF(ALO79&gt;0,APB79-APB79*UB80/ALO79,0)+0</f>
        <v>0</v>
      </c>
      <c r="AIC80" s="20" t="n">
        <f aca="false">IF(ALP79&gt;0,APC79-APC79*UC80/ALP79,0)+0</f>
        <v>0</v>
      </c>
      <c r="AID80" s="20" t="n">
        <f aca="false">IF(ALQ79&gt;0,APD79-APD79*UD80/ALQ79,0)+0</f>
        <v>0</v>
      </c>
      <c r="AIE80" s="20" t="n">
        <f aca="false">IF(ALR79&gt;0,APE79-APE79*UE80/ALR79,0)+0</f>
        <v>0</v>
      </c>
      <c r="AIF80" s="20" t="n">
        <f aca="false">IF(ALS79&gt;0,APF79-APF79*UF80/ALS79,0)+0</f>
        <v>0</v>
      </c>
      <c r="AIG80" s="20" t="n">
        <f aca="false">IF(ALT79&gt;0,APG79-APG79*UG80/ALT79,0)+0</f>
        <v>0</v>
      </c>
      <c r="AIH80" s="20" t="n">
        <f aca="false">IF(ALU79&gt;0,APH79-APH79*UH80/ALU79,0)+0</f>
        <v>0</v>
      </c>
      <c r="AII80" s="20" t="n">
        <f aca="false">IF(ALV79&gt;0,API79-API79*UI80/ALV79,0)+0</f>
        <v>0</v>
      </c>
      <c r="AIJ80" s="20" t="n">
        <f aca="false">IF(ALW79&gt;0,APJ79-APJ79*UJ80/ALW79,0)+0</f>
        <v>0</v>
      </c>
      <c r="AIK80" s="20" t="n">
        <f aca="false">IF(ALX79&gt;0,APK79-APK79*UK80/ALX79,0)+0</f>
        <v>0</v>
      </c>
      <c r="AIL80" s="20" t="n">
        <f aca="false">IF(ALY79&gt;0,APL79-APL79*UL80/ALY79,0)+0</f>
        <v>0</v>
      </c>
      <c r="AIM80" s="20" t="n">
        <f aca="false">IF(ALZ79&gt;0,APM79-APM79*UM80/ALZ79,0)+0</f>
        <v>0</v>
      </c>
      <c r="AIN80" s="20" t="n">
        <f aca="false">IF(AMA79&gt;0,APN79-APN79*UN80/AMA79,0)+0</f>
        <v>0</v>
      </c>
      <c r="AIO80" s="20" t="n">
        <f aca="false">IF(AMB79&gt;0,APO79-APO79*UO80/AMB79,0)+0</f>
        <v>0</v>
      </c>
      <c r="AIP80" s="20" t="n">
        <f aca="false">IF(AMC79&gt;0,APP79-APP79*UP80/AMC79,0)+0</f>
        <v>0</v>
      </c>
      <c r="AIQ80" s="20" t="n">
        <f aca="false">IF(AMD79&gt;0,APQ79-APQ79*UQ80/AMD79,0)+0</f>
        <v>0</v>
      </c>
      <c r="AIR80" s="20" t="n">
        <f aca="false">IF(AME79&gt;0,APR79-APR79*UR80/AME79,0)+0</f>
        <v>0</v>
      </c>
      <c r="AIS80" s="20" t="n">
        <f aca="false">IF(AMF79&gt;0,APS79-APS79*US80/AMF79,0)+0</f>
        <v>0</v>
      </c>
      <c r="AIT80" s="20" t="n">
        <f aca="false">IF(AMG79&gt;0,APT79-APT79*UT80/AMG79,0)+0</f>
        <v>0</v>
      </c>
      <c r="AIU80" s="20" t="n">
        <f aca="false">IF(AMH79&gt;0,APU79-APU79*UU80/AMH79,0)+0</f>
        <v>0</v>
      </c>
      <c r="AIV80" s="20" t="n">
        <f aca="false">IF(AMI79&gt;0,APV79-APV79*UV80/AMI79,0)+0</f>
        <v>0</v>
      </c>
      <c r="AIW80" s="20" t="n">
        <f aca="false">IF(AMJ79&gt;0,APW79-APW79*UW80/AMJ79,0)+0</f>
        <v>0</v>
      </c>
      <c r="AIX80" s="20" t="n">
        <f aca="false">IF(AMK79&gt;0,APX79-APX79*UX80/AMK79,0)+0</f>
        <v>0</v>
      </c>
      <c r="AIY80" s="20" t="n">
        <f aca="false">IF(AML79&gt;0,APY79-APY79*UY80/AML79,0)+0</f>
        <v>0</v>
      </c>
      <c r="AIZ80" s="20" t="n">
        <f aca="false">IF(AMM79&gt;0,APZ79-APZ79*UZ80/AMM79,0)+0</f>
        <v>0</v>
      </c>
      <c r="AJA80" s="20" t="n">
        <f aca="false">IF(AMN79&gt;0,AQA79-AQA79*VA80/AMN79,0)+0</f>
        <v>0</v>
      </c>
      <c r="AJB80" s="20" t="n">
        <f aca="false">IF(AMO79&gt;0,AQB79-AQB79*VB80/AMO79,0)+0</f>
        <v>0</v>
      </c>
      <c r="AJC80" s="20" t="n">
        <f aca="false">IF(AMP79&gt;0,AQC79-AQC79*VC80/AMP79,0)+0</f>
        <v>0</v>
      </c>
      <c r="AJD80" s="20" t="n">
        <f aca="false">IF(AMQ79&gt;0,AQD79-AQD79*VD80/AMQ79,0)+0</f>
        <v>0</v>
      </c>
      <c r="AJE80" s="20" t="n">
        <f aca="false">IF(AMR79&gt;0,AQE79-AQE79*VE80/AMR79,0)+0</f>
        <v>0</v>
      </c>
      <c r="AJF80" s="20" t="n">
        <f aca="false">IF(AMS79&gt;0,AQF79-AQF79*VF80/AMS79,0)+0</f>
        <v>0</v>
      </c>
      <c r="AJG80" s="20" t="n">
        <f aca="false">IF(AMT79&gt;0,AQG79-AQG79*VG80/AMT79,0)+0</f>
        <v>0</v>
      </c>
      <c r="AJH80" s="20" t="n">
        <f aca="false">IF(AMU79&gt;0,AQH79-AQH79*VH80/AMU79,0)+0</f>
        <v>0</v>
      </c>
      <c r="AJI80" s="20" t="n">
        <f aca="false">IF(AMV79&gt;0,AQI79-AQI79*VI80/AMV79,0)+0</f>
        <v>0</v>
      </c>
      <c r="AJJ80" s="20" t="n">
        <f aca="false">IF(AMW79&gt;0,AQJ79-AQJ79*VJ80/AMW79,0)+0</f>
        <v>0</v>
      </c>
      <c r="AJK80" s="20" t="n">
        <f aca="false">IF(AMX79&gt;0,AQK79-AQK79*VK80/AMX79,0)+0</f>
        <v>0</v>
      </c>
      <c r="AJL80" s="20" t="n">
        <f aca="false">IF(AMY79&gt;0,AQL79-AQL79*VL80/AMY79,0)+0</f>
        <v>0</v>
      </c>
      <c r="AJM80" s="20" t="n">
        <f aca="false">IF(AMZ79&gt;0,AQM79-AQM79*VM80/AMZ79,0)+0</f>
        <v>0</v>
      </c>
      <c r="AJN80" s="20" t="n">
        <f aca="false">IF(ANA79&gt;0,AQN79-AQN79*VN80/ANA79,0)+0</f>
        <v>0</v>
      </c>
      <c r="AJO80" s="20" t="n">
        <f aca="false">IF(ANB79&gt;0,AQO79-AQO79*VO80/ANB79,0)+0</f>
        <v>0</v>
      </c>
      <c r="AJP80" s="20" t="n">
        <f aca="false">IF(ANC79&gt;0,AQP79-AQP79*VP80/ANC79,0)+0</f>
        <v>0</v>
      </c>
      <c r="AJQ80" s="20" t="n">
        <f aca="false">IF(AND79&gt;0,AQQ79-AQQ79*VQ80/AND79,0)+0</f>
        <v>0</v>
      </c>
      <c r="AJR80" s="20" t="n">
        <f aca="false">IF(ANE79&gt;0,AQR79-AQR79*VR80/ANE79,0)+0</f>
        <v>0</v>
      </c>
      <c r="AJS80" s="20" t="n">
        <f aca="false">IF(ANF79&gt;0,AQS79-AQS79*VS80/ANF79,0)+0</f>
        <v>0</v>
      </c>
      <c r="AJT80" s="20" t="n">
        <f aca="false">IF(ANG79&gt;0,AQT79-AQT79*VT80/ANG79,0)+0</f>
        <v>0</v>
      </c>
      <c r="AJU80" s="20" t="n">
        <f aca="false">IF(ANH79&gt;0,AQU79-AQU79*VU80/ANH79,0)+0</f>
        <v>0</v>
      </c>
      <c r="AJV80" s="20" t="n">
        <f aca="false">IF(ANI79&gt;0,AQV79-AQV79*VV80/ANI79,0)+0</f>
        <v>0</v>
      </c>
      <c r="AJW80" s="20" t="n">
        <f aca="false">IF(ANJ79&gt;0,AQW79-AQW79*VW80/ANJ79,0)+0</f>
        <v>0</v>
      </c>
      <c r="AJX80" s="20" t="n">
        <f aca="false">IF(ANK79&gt;0,AQX79-AQX79*VX80/ANK79,0)+0</f>
        <v>0</v>
      </c>
      <c r="AJY80" s="20" t="n">
        <f aca="false">IF(ANL79&gt;0,AQY79-AQY79*VY80/ANL79,0)+0</f>
        <v>0</v>
      </c>
      <c r="AJZ80" s="20" t="n">
        <f aca="false">IF((P80+S80)&gt;0,(P80+S80)-(P80+S80)*VZ80/(P80+S80),0)+BE80</f>
        <v>0</v>
      </c>
      <c r="AKA80" s="20" t="n">
        <v>0</v>
      </c>
      <c r="AKB80" s="20" t="n">
        <v>0</v>
      </c>
      <c r="AKC80" s="20" t="n">
        <v>0</v>
      </c>
      <c r="AKD80" s="20" t="n">
        <v>0</v>
      </c>
      <c r="AKE80" s="20" t="n">
        <v>0</v>
      </c>
      <c r="AKF80" s="20" t="n">
        <v>0</v>
      </c>
      <c r="AKG80" s="20" t="n">
        <v>0</v>
      </c>
      <c r="AKH80" s="20" t="n">
        <v>0</v>
      </c>
      <c r="AKI80" s="20" t="n">
        <v>0</v>
      </c>
      <c r="AKJ80" s="20" t="n">
        <v>0</v>
      </c>
      <c r="AKK80" s="20" t="n">
        <v>0</v>
      </c>
      <c r="AKL80" s="20" t="n">
        <v>0</v>
      </c>
      <c r="AKM80" s="20" t="n">
        <v>0</v>
      </c>
      <c r="AKN80" s="20" t="n">
        <v>0</v>
      </c>
      <c r="AKO80" s="20" t="n">
        <v>0</v>
      </c>
      <c r="AKP80" s="20" t="n">
        <v>0</v>
      </c>
      <c r="AKQ80" s="20" t="n">
        <v>0</v>
      </c>
      <c r="AKR80" s="20" t="n">
        <f aca="false">ADR80-AVE80</f>
        <v>0</v>
      </c>
      <c r="AKS80" s="20" t="n">
        <f aca="false">ADS80-AVF80</f>
        <v>0</v>
      </c>
      <c r="AKT80" s="20" t="n">
        <f aca="false">ADT80-AVG80</f>
        <v>0</v>
      </c>
      <c r="AKU80" s="20" t="n">
        <f aca="false">ADU80-AVH80</f>
        <v>0</v>
      </c>
      <c r="AKV80" s="20" t="n">
        <f aca="false">ADV80-AVI80</f>
        <v>0</v>
      </c>
      <c r="AKW80" s="20" t="n">
        <f aca="false">ADW80-AVJ80</f>
        <v>0</v>
      </c>
      <c r="AKX80" s="20" t="n">
        <f aca="false">ADX80-AVK80</f>
        <v>0</v>
      </c>
      <c r="AKY80" s="20" t="n">
        <f aca="false">ADY80-AVL80</f>
        <v>0</v>
      </c>
      <c r="AKZ80" s="20" t="n">
        <f aca="false">ADZ80-AVM80</f>
        <v>0</v>
      </c>
      <c r="ALA80" s="20" t="n">
        <f aca="false">AEA80-AVN80</f>
        <v>0</v>
      </c>
      <c r="ALB80" s="20" t="n">
        <f aca="false">AEB80-AVO80</f>
        <v>0</v>
      </c>
      <c r="ALC80" s="20" t="n">
        <f aca="false">AEC80-AVP80</f>
        <v>0</v>
      </c>
      <c r="ALD80" s="20" t="n">
        <f aca="false">AED80-AVQ80</f>
        <v>0</v>
      </c>
      <c r="ALE80" s="20" t="n">
        <f aca="false">AEE80-AVR80</f>
        <v>0</v>
      </c>
      <c r="ALF80" s="20" t="n">
        <f aca="false">AEF80-AVS80</f>
        <v>0</v>
      </c>
      <c r="ALG80" s="20" t="n">
        <f aca="false">AEG80-AVT80</f>
        <v>0</v>
      </c>
      <c r="ALH80" s="20" t="n">
        <f aca="false">AEH80-AVU80</f>
        <v>0</v>
      </c>
      <c r="ALI80" s="20" t="n">
        <f aca="false">AEI80-AVV80</f>
        <v>0</v>
      </c>
      <c r="ALJ80" s="20" t="n">
        <f aca="false">AEJ80-AVW80</f>
        <v>0</v>
      </c>
      <c r="ALK80" s="20" t="n">
        <f aca="false">AEK80-AVX80</f>
        <v>0</v>
      </c>
      <c r="ALL80" s="20" t="n">
        <f aca="false">AEL80-AVY80</f>
        <v>0</v>
      </c>
      <c r="ALM80" s="20" t="n">
        <f aca="false">AEM80-AVZ80</f>
        <v>0</v>
      </c>
      <c r="ALN80" s="20" t="n">
        <f aca="false">AEN80-AWA80</f>
        <v>0</v>
      </c>
      <c r="ALO80" s="20" t="n">
        <f aca="false">AEO80-AWB80</f>
        <v>0</v>
      </c>
      <c r="ALP80" s="20" t="n">
        <f aca="false">AEP80-AWC80</f>
        <v>0</v>
      </c>
      <c r="ALQ80" s="20" t="n">
        <f aca="false">AEQ80-AWD80</f>
        <v>0</v>
      </c>
      <c r="ALR80" s="20" t="n">
        <f aca="false">AER80-AWE80</f>
        <v>0</v>
      </c>
      <c r="ALS80" s="20" t="n">
        <f aca="false">AES80-AWF80</f>
        <v>0</v>
      </c>
      <c r="ALT80" s="20" t="n">
        <f aca="false">AET80-AWG80</f>
        <v>0</v>
      </c>
      <c r="ALU80" s="20" t="n">
        <f aca="false">AEU80-AWH80</f>
        <v>0</v>
      </c>
      <c r="ALV80" s="20" t="n">
        <f aca="false">AEV80-AWI80</f>
        <v>0</v>
      </c>
      <c r="ALW80" s="20" t="n">
        <f aca="false">AEW80-AWJ80</f>
        <v>0</v>
      </c>
      <c r="ALX80" s="20" t="n">
        <f aca="false">AEX80-AWK80</f>
        <v>0</v>
      </c>
      <c r="ALY80" s="20" t="n">
        <f aca="false">AEY80-AWL80</f>
        <v>0</v>
      </c>
      <c r="ALZ80" s="20" t="n">
        <f aca="false">AEZ80-AWM80</f>
        <v>0</v>
      </c>
      <c r="AMA80" s="20" t="n">
        <f aca="false">AFA80-AWN80</f>
        <v>0</v>
      </c>
      <c r="AMB80" s="20" t="n">
        <f aca="false">AFB80-AWO80</f>
        <v>0</v>
      </c>
      <c r="AMC80" s="20" t="n">
        <f aca="false">AFC80-AWP80</f>
        <v>0</v>
      </c>
      <c r="AMD80" s="20" t="n">
        <f aca="false">AFD80-AWQ80</f>
        <v>0</v>
      </c>
      <c r="AME80" s="20" t="n">
        <f aca="false">AFE80-AWR80</f>
        <v>0</v>
      </c>
      <c r="AMF80" s="20" t="n">
        <f aca="false">AFF80-AWS80</f>
        <v>0</v>
      </c>
      <c r="AMG80" s="20" t="n">
        <f aca="false">AFG80-AWT80</f>
        <v>0</v>
      </c>
      <c r="AMH80" s="20" t="n">
        <f aca="false">AFH80-AWU80</f>
        <v>0</v>
      </c>
      <c r="AMI80" s="20" t="n">
        <f aca="false">AFI80-AWV80</f>
        <v>0</v>
      </c>
      <c r="AMJ80" s="20" t="n">
        <f aca="false">AFJ80-AWW80</f>
        <v>0</v>
      </c>
      <c r="AMK80" s="20" t="n">
        <f aca="false">AFK80-AWX80</f>
        <v>0</v>
      </c>
      <c r="AML80" s="20" t="n">
        <f aca="false">AFL80-AWY80</f>
        <v>0</v>
      </c>
      <c r="AMM80" s="20" t="n">
        <f aca="false">AFM80-AWZ80</f>
        <v>0</v>
      </c>
      <c r="AMN80" s="20" t="n">
        <f aca="false">AFN80-AXA80</f>
        <v>0</v>
      </c>
      <c r="AMO80" s="20" t="n">
        <f aca="false">AFO80-AXB80</f>
        <v>0</v>
      </c>
      <c r="AMP80" s="20" t="n">
        <f aca="false">AFP80-AXC80</f>
        <v>0</v>
      </c>
      <c r="AMQ80" s="20" t="n">
        <f aca="false">AFQ80-AXD80</f>
        <v>0</v>
      </c>
      <c r="AMR80" s="20" t="n">
        <f aca="false">AFR80-AXE80</f>
        <v>0</v>
      </c>
      <c r="AMS80" s="20" t="n">
        <f aca="false">AFS80-AXF80</f>
        <v>0</v>
      </c>
      <c r="AMT80" s="20" t="n">
        <f aca="false">AFT80-AXG80</f>
        <v>0</v>
      </c>
      <c r="AMU80" s="20" t="n">
        <f aca="false">AFU80-AXH80</f>
        <v>0</v>
      </c>
      <c r="AMV80" s="20" t="n">
        <f aca="false">AFV80-AXI80</f>
        <v>0</v>
      </c>
      <c r="AMW80" s="20" t="n">
        <f aca="false">AFW80-AXJ80</f>
        <v>0</v>
      </c>
      <c r="AMX80" s="20" t="n">
        <f aca="false">AFX80-AXK80</f>
        <v>0</v>
      </c>
      <c r="AMY80" s="20" t="n">
        <f aca="false">AFY80-AXL80</f>
        <v>0</v>
      </c>
      <c r="AMZ80" s="20" t="n">
        <f aca="false">AFZ80-AXM80</f>
        <v>0</v>
      </c>
      <c r="ANA80" s="20" t="n">
        <f aca="false">AGA80-AXN80</f>
        <v>0</v>
      </c>
      <c r="ANB80" s="20" t="n">
        <f aca="false">AGB80-AXO80</f>
        <v>0</v>
      </c>
      <c r="ANC80" s="20" t="n">
        <f aca="false">AGC80-AXP80</f>
        <v>0</v>
      </c>
      <c r="AND80" s="20" t="n">
        <f aca="false">AGD80-AXQ80</f>
        <v>0</v>
      </c>
      <c r="ANE80" s="20" t="n">
        <f aca="false">AGE80-AXR80</f>
        <v>0</v>
      </c>
      <c r="ANF80" s="20" t="n">
        <f aca="false">AGF80-AXS80</f>
        <v>0</v>
      </c>
      <c r="ANG80" s="20" t="n">
        <f aca="false">AGG80-AXT80</f>
        <v>0</v>
      </c>
      <c r="ANH80" s="20" t="n">
        <f aca="false">AGH80-AXU80</f>
        <v>0</v>
      </c>
      <c r="ANI80" s="20" t="n">
        <f aca="false">AGI80-AXV80</f>
        <v>0</v>
      </c>
      <c r="ANJ80" s="20" t="n">
        <f aca="false">AGJ80-AXW80</f>
        <v>0</v>
      </c>
      <c r="ANK80" s="20" t="n">
        <f aca="false">AGK80-AXX80</f>
        <v>0</v>
      </c>
      <c r="ANL80" s="20" t="n">
        <f aca="false">AGL80-AXY80</f>
        <v>0</v>
      </c>
      <c r="ANM80" s="20" t="n">
        <f aca="false">AGM80-AXZ80</f>
        <v>0</v>
      </c>
      <c r="ANN80" s="20" t="n">
        <v>0</v>
      </c>
      <c r="ANO80" s="20" t="n">
        <v>0</v>
      </c>
      <c r="ANP80" s="20" t="n">
        <v>0</v>
      </c>
      <c r="ANQ80" s="20" t="n">
        <v>0</v>
      </c>
      <c r="ANR80" s="20" t="n">
        <v>0</v>
      </c>
      <c r="ANS80" s="20" t="n">
        <v>0</v>
      </c>
      <c r="ANT80" s="20" t="n">
        <v>0</v>
      </c>
      <c r="ANU80" s="20" t="n">
        <v>0</v>
      </c>
      <c r="ANV80" s="20" t="n">
        <v>0</v>
      </c>
      <c r="ANW80" s="20" t="n">
        <v>0</v>
      </c>
      <c r="ANX80" s="20" t="n">
        <v>0</v>
      </c>
      <c r="ANY80" s="20" t="n">
        <v>0</v>
      </c>
      <c r="ANZ80" s="20" t="n">
        <v>0</v>
      </c>
      <c r="AOA80" s="20" t="n">
        <v>0</v>
      </c>
      <c r="AOB80" s="20" t="n">
        <v>0</v>
      </c>
      <c r="AOC80" s="20" t="n">
        <v>0</v>
      </c>
      <c r="AOD80" s="20" t="n">
        <v>0</v>
      </c>
      <c r="AOE80" s="20" t="n">
        <f aca="false">IF(AND(H_Direct=0,H_TaxEvt=1,ARR79+1&gt;=H_Deemed),AKR80,AHE80)</f>
        <v>0</v>
      </c>
      <c r="AOF80" s="20" t="n">
        <f aca="false">IF(AND(H_Direct=0,H_TaxEvt=1,ARS79+1&gt;=H_Deemed),AKS80,AHF80)</f>
        <v>0</v>
      </c>
      <c r="AOG80" s="20" t="n">
        <f aca="false">IF(AND(H_Direct=0,H_TaxEvt=1,ART79+1&gt;=H_Deemed),AKT80,AHG80)</f>
        <v>0</v>
      </c>
      <c r="AOH80" s="20" t="n">
        <f aca="false">IF(AND(H_Direct=0,H_TaxEvt=1,ARU79+1&gt;=H_Deemed),AKU80,AHH80)</f>
        <v>0</v>
      </c>
      <c r="AOI80" s="20" t="n">
        <f aca="false">IF(AND(H_Direct=0,H_TaxEvt=1,ARV79+1&gt;=H_Deemed),AKV80,AHI80)</f>
        <v>0</v>
      </c>
      <c r="AOJ80" s="20" t="n">
        <f aca="false">IF(AND(H_Direct=0,H_TaxEvt=1,ARW79+1&gt;=H_Deemed),AKW80,AHJ80)</f>
        <v>0</v>
      </c>
      <c r="AOK80" s="20" t="n">
        <f aca="false">IF(AND(H_Direct=0,H_TaxEvt=1,ARX79+1&gt;=H_Deemed),AKX80,AHK80)</f>
        <v>0</v>
      </c>
      <c r="AOL80" s="20" t="n">
        <f aca="false">IF(AND(H_Direct=0,H_TaxEvt=1,ARY79+1&gt;=H_Deemed),AKY80,AHL80)</f>
        <v>0</v>
      </c>
      <c r="AOM80" s="20" t="n">
        <f aca="false">IF(AND(H_Direct=0,H_TaxEvt=1,ARZ79+1&gt;=H_Deemed),AKZ80,AHM80)</f>
        <v>0</v>
      </c>
      <c r="AON80" s="20" t="n">
        <f aca="false">IF(AND(H_Direct=0,H_TaxEvt=1,ASA79+1&gt;=H_Deemed),ALA80,AHN80)</f>
        <v>0</v>
      </c>
      <c r="AOO80" s="20" t="n">
        <f aca="false">IF(AND(H_Direct=0,H_TaxEvt=1,ASB79+1&gt;=H_Deemed),ALB80,AHO80)</f>
        <v>0</v>
      </c>
      <c r="AOP80" s="20" t="n">
        <f aca="false">IF(AND(H_Direct=0,H_TaxEvt=1,ASC79+1&gt;=H_Deemed),ALC80,AHP80)</f>
        <v>0</v>
      </c>
      <c r="AOQ80" s="20" t="n">
        <f aca="false">IF(AND(H_Direct=0,H_TaxEvt=1,ASD79+1&gt;=H_Deemed),ALD80,AHQ80)</f>
        <v>0</v>
      </c>
      <c r="AOR80" s="20" t="n">
        <f aca="false">IF(AND(H_Direct=0,H_TaxEvt=1,ASE79+1&gt;=H_Deemed),ALE80,AHR80)</f>
        <v>0</v>
      </c>
      <c r="AOS80" s="20" t="n">
        <f aca="false">IF(AND(H_Direct=0,H_TaxEvt=1,ASF79+1&gt;=H_Deemed),ALF80,AHS80)</f>
        <v>0</v>
      </c>
      <c r="AOT80" s="20" t="n">
        <f aca="false">IF(AND(H_Direct=0,H_TaxEvt=1,ASG79+1&gt;=H_Deemed),ALG80,AHT80)</f>
        <v>0</v>
      </c>
      <c r="AOU80" s="20" t="n">
        <f aca="false">IF(AND(H_Direct=0,H_TaxEvt=1,ASH79+1&gt;=H_Deemed),ALH80,AHU80)</f>
        <v>0</v>
      </c>
      <c r="AOV80" s="20" t="n">
        <f aca="false">IF(AND(H_Direct=0,H_TaxEvt=1,ASI79+1&gt;=H_Deemed),ALI80,AHV80)</f>
        <v>0</v>
      </c>
      <c r="AOW80" s="20" t="n">
        <f aca="false">IF(AND(H_Direct=0,H_TaxEvt=1,ASJ79+1&gt;=H_Deemed),ALJ80,AHW80)</f>
        <v>0</v>
      </c>
      <c r="AOX80" s="20" t="n">
        <f aca="false">IF(AND(H_Direct=0,H_TaxEvt=1,ASK79+1&gt;=H_Deemed),ALK80,AHX80)</f>
        <v>0</v>
      </c>
      <c r="AOY80" s="20" t="n">
        <f aca="false">IF(AND(H_Direct=0,H_TaxEvt=1,ASL79+1&gt;=H_Deemed),ALL80,AHY80)</f>
        <v>0</v>
      </c>
      <c r="AOZ80" s="20" t="n">
        <f aca="false">IF(AND(H_Direct=0,H_TaxEvt=1,ASM79+1&gt;=H_Deemed),ALM80,AHZ80)</f>
        <v>0</v>
      </c>
      <c r="APA80" s="20" t="n">
        <f aca="false">IF(AND(H_Direct=0,H_TaxEvt=1,ASN79+1&gt;=H_Deemed),ALN80,AIA80)</f>
        <v>0</v>
      </c>
      <c r="APB80" s="20" t="n">
        <f aca="false">IF(AND(H_Direct=0,H_TaxEvt=1,ASO79+1&gt;=H_Deemed),ALO80,AIB80)</f>
        <v>0</v>
      </c>
      <c r="APC80" s="20" t="n">
        <f aca="false">IF(AND(H_Direct=0,H_TaxEvt=1,ASP79+1&gt;=H_Deemed),ALP80,AIC80)</f>
        <v>0</v>
      </c>
      <c r="APD80" s="20" t="n">
        <f aca="false">IF(AND(H_Direct=0,H_TaxEvt=1,ASQ79+1&gt;=H_Deemed),ALQ80,AID80)</f>
        <v>0</v>
      </c>
      <c r="APE80" s="20" t="n">
        <f aca="false">IF(AND(H_Direct=0,H_TaxEvt=1,ASR79+1&gt;=H_Deemed),ALR80,AIE80)</f>
        <v>0</v>
      </c>
      <c r="APF80" s="20" t="n">
        <f aca="false">IF(AND(H_Direct=0,H_TaxEvt=1,ASS79+1&gt;=H_Deemed),ALS80,AIF80)</f>
        <v>0</v>
      </c>
      <c r="APG80" s="20" t="n">
        <f aca="false">IF(AND(H_Direct=0,H_TaxEvt=1,AST79+1&gt;=H_Deemed),ALT80,AIG80)</f>
        <v>0</v>
      </c>
      <c r="APH80" s="20" t="n">
        <f aca="false">IF(AND(H_Direct=0,H_TaxEvt=1,ASU79+1&gt;=H_Deemed),ALU80,AIH80)</f>
        <v>0</v>
      </c>
      <c r="API80" s="20" t="n">
        <f aca="false">IF(AND(H_Direct=0,H_TaxEvt=1,ASV79+1&gt;=H_Deemed),ALV80,AII80)</f>
        <v>0</v>
      </c>
      <c r="APJ80" s="20" t="n">
        <f aca="false">IF(AND(H_Direct=0,H_TaxEvt=1,ASW79+1&gt;=H_Deemed),ALW80,AIJ80)</f>
        <v>0</v>
      </c>
      <c r="APK80" s="20" t="n">
        <f aca="false">IF(AND(H_Direct=0,H_TaxEvt=1,ASX79+1&gt;=H_Deemed),ALX80,AIK80)</f>
        <v>0</v>
      </c>
      <c r="APL80" s="20" t="n">
        <f aca="false">IF(AND(H_Direct=0,H_TaxEvt=1,ASY79+1&gt;=H_Deemed),ALY80,AIL80)</f>
        <v>0</v>
      </c>
      <c r="APM80" s="20" t="n">
        <f aca="false">IF(AND(H_Direct=0,H_TaxEvt=1,ASZ79+1&gt;=H_Deemed),ALZ80,AIM80)</f>
        <v>0</v>
      </c>
      <c r="APN80" s="20" t="n">
        <f aca="false">IF(AND(H_Direct=0,H_TaxEvt=1,ATA79+1&gt;=H_Deemed),AMA80,AIN80)</f>
        <v>0</v>
      </c>
      <c r="APO80" s="20" t="n">
        <f aca="false">IF(AND(H_Direct=0,H_TaxEvt=1,ATB79+1&gt;=H_Deemed),AMB80,AIO80)</f>
        <v>0</v>
      </c>
      <c r="APP80" s="20" t="n">
        <f aca="false">IF(AND(H_Direct=0,H_TaxEvt=1,ATC79+1&gt;=H_Deemed),AMC80,AIP80)</f>
        <v>0</v>
      </c>
      <c r="APQ80" s="20" t="n">
        <f aca="false">IF(AND(H_Direct=0,H_TaxEvt=1,ATD79+1&gt;=H_Deemed),AMD80,AIQ80)</f>
        <v>0</v>
      </c>
      <c r="APR80" s="20" t="n">
        <f aca="false">IF(AND(H_Direct=0,H_TaxEvt=1,ATE79+1&gt;=H_Deemed),AME80,AIR80)</f>
        <v>0</v>
      </c>
      <c r="APS80" s="20" t="n">
        <f aca="false">IF(AND(H_Direct=0,H_TaxEvt=1,ATF79+1&gt;=H_Deemed),AMF80,AIS80)</f>
        <v>0</v>
      </c>
      <c r="APT80" s="20" t="n">
        <f aca="false">IF(AND(H_Direct=0,H_TaxEvt=1,ATG79+1&gt;=H_Deemed),AMG80,AIT80)</f>
        <v>0</v>
      </c>
      <c r="APU80" s="20" t="n">
        <f aca="false">IF(AND(H_Direct=0,H_TaxEvt=1,ATH79+1&gt;=H_Deemed),AMH80,AIU80)</f>
        <v>0</v>
      </c>
      <c r="APV80" s="20" t="n">
        <f aca="false">IF(AND(H_Direct=0,H_TaxEvt=1,ATI79+1&gt;=H_Deemed),AMI80,AIV80)</f>
        <v>0</v>
      </c>
      <c r="APW80" s="20" t="n">
        <f aca="false">IF(AND(H_Direct=0,H_TaxEvt=1,ATJ79+1&gt;=H_Deemed),AMJ80,AIW80)</f>
        <v>0</v>
      </c>
      <c r="APX80" s="20" t="n">
        <f aca="false">IF(AND(H_Direct=0,H_TaxEvt=1,ATK79+1&gt;=H_Deemed),AMK80,AIX80)</f>
        <v>0</v>
      </c>
      <c r="APY80" s="20" t="n">
        <f aca="false">IF(AND(H_Direct=0,H_TaxEvt=1,ATL79+1&gt;=H_Deemed),AML80,AIY80)</f>
        <v>0</v>
      </c>
      <c r="APZ80" s="20" t="n">
        <f aca="false">IF(AND(H_Direct=0,H_TaxEvt=1,ATM79+1&gt;=H_Deemed),AMM80,AIZ80)</f>
        <v>0</v>
      </c>
      <c r="AQA80" s="20" t="n">
        <f aca="false">IF(AND(H_Direct=0,H_TaxEvt=1,ATN79+1&gt;=H_Deemed),AMN80,AJA80)</f>
        <v>0</v>
      </c>
      <c r="AQB80" s="20" t="n">
        <f aca="false">IF(AND(H_Direct=0,H_TaxEvt=1,ATO79+1&gt;=H_Deemed),AMO80,AJB80)</f>
        <v>0</v>
      </c>
      <c r="AQC80" s="20" t="n">
        <f aca="false">IF(AND(H_Direct=0,H_TaxEvt=1,ATP79+1&gt;=H_Deemed),AMP80,AJC80)</f>
        <v>0</v>
      </c>
      <c r="AQD80" s="20" t="n">
        <f aca="false">IF(AND(H_Direct=0,H_TaxEvt=1,ATQ79+1&gt;=H_Deemed),AMQ80,AJD80)</f>
        <v>0</v>
      </c>
      <c r="AQE80" s="20" t="n">
        <f aca="false">IF(AND(H_Direct=0,H_TaxEvt=1,ATR79+1&gt;=H_Deemed),AMR80,AJE80)</f>
        <v>0</v>
      </c>
      <c r="AQF80" s="20" t="n">
        <f aca="false">IF(AND(H_Direct=0,H_TaxEvt=1,ATS79+1&gt;=H_Deemed),AMS80,AJF80)</f>
        <v>0</v>
      </c>
      <c r="AQG80" s="20" t="n">
        <f aca="false">IF(AND(H_Direct=0,H_TaxEvt=1,ATT79+1&gt;=H_Deemed),AMT80,AJG80)</f>
        <v>0</v>
      </c>
      <c r="AQH80" s="20" t="n">
        <f aca="false">IF(AND(H_Direct=0,H_TaxEvt=1,ATU79+1&gt;=H_Deemed),AMU80,AJH80)</f>
        <v>0</v>
      </c>
      <c r="AQI80" s="20" t="n">
        <f aca="false">IF(AND(H_Direct=0,H_TaxEvt=1,ATV79+1&gt;=H_Deemed),AMV80,AJI80)</f>
        <v>0</v>
      </c>
      <c r="AQJ80" s="20" t="n">
        <f aca="false">IF(AND(H_Direct=0,H_TaxEvt=1,ATW79+1&gt;=H_Deemed),AMW80,AJJ80)</f>
        <v>0</v>
      </c>
      <c r="AQK80" s="20" t="n">
        <f aca="false">IF(AND(H_Direct=0,H_TaxEvt=1,ATX79+1&gt;=H_Deemed),AMX80,AJK80)</f>
        <v>0</v>
      </c>
      <c r="AQL80" s="20" t="n">
        <f aca="false">IF(AND(H_Direct=0,H_TaxEvt=1,ATY79+1&gt;=H_Deemed),AMY80,AJL80)</f>
        <v>0</v>
      </c>
      <c r="AQM80" s="20" t="n">
        <f aca="false">IF(AND(H_Direct=0,H_TaxEvt=1,ATZ79+1&gt;=H_Deemed),AMZ80,AJM80)</f>
        <v>0</v>
      </c>
      <c r="AQN80" s="20" t="n">
        <f aca="false">IF(AND(H_Direct=0,H_TaxEvt=1,AUA79+1&gt;=H_Deemed),ANA80,AJN80)</f>
        <v>0</v>
      </c>
      <c r="AQO80" s="20" t="n">
        <f aca="false">IF(AND(H_Direct=0,H_TaxEvt=1,AUB79+1&gt;=H_Deemed),ANB80,AJO80)</f>
        <v>0</v>
      </c>
      <c r="AQP80" s="20" t="n">
        <f aca="false">IF(AND(H_Direct=0,H_TaxEvt=1,AUC79+1&gt;=H_Deemed),ANC80,AJP80)</f>
        <v>0</v>
      </c>
      <c r="AQQ80" s="20" t="n">
        <f aca="false">IF(AND(H_Direct=0,H_TaxEvt=1,AUD79+1&gt;=H_Deemed),AND80,AJQ80)</f>
        <v>0</v>
      </c>
      <c r="AQR80" s="20" t="n">
        <f aca="false">IF(AND(H_Direct=0,H_TaxEvt=1,AUE79+1&gt;=H_Deemed),ANE80,AJR80)</f>
        <v>0</v>
      </c>
      <c r="AQS80" s="20" t="n">
        <f aca="false">IF(AND(H_Direct=0,H_TaxEvt=1,AUF79+1&gt;=H_Deemed),ANF80,AJS80)</f>
        <v>0</v>
      </c>
      <c r="AQT80" s="20" t="n">
        <f aca="false">IF(AND(H_Direct=0,H_TaxEvt=1,AUG79+1&gt;=H_Deemed),ANG80,AJT80)</f>
        <v>0</v>
      </c>
      <c r="AQU80" s="20" t="n">
        <f aca="false">IF(AND(H_Direct=0,H_TaxEvt=1,AUH79+1&gt;=H_Deemed),ANH80,AJU80)</f>
        <v>0</v>
      </c>
      <c r="AQV80" s="20" t="n">
        <f aca="false">IF(AND(H_Direct=0,H_TaxEvt=1,AUI79+1&gt;=H_Deemed),ANI80,AJV80)</f>
        <v>0</v>
      </c>
      <c r="AQW80" s="20" t="n">
        <f aca="false">IF(AND(H_Direct=0,H_TaxEvt=1,AUJ79+1&gt;=H_Deemed),ANJ80,AJW80)</f>
        <v>0</v>
      </c>
      <c r="AQX80" s="20" t="n">
        <f aca="false">IF(AND(H_Direct=0,H_TaxEvt=1,AUK79+1&gt;=H_Deemed),ANK80,AJX80)</f>
        <v>0</v>
      </c>
      <c r="AQY80" s="20" t="n">
        <f aca="false">IF(AND(H_Direct=0,H_TaxEvt=1,AUL79+1&gt;=H_Deemed),ANL80,AJY80)</f>
        <v>0</v>
      </c>
      <c r="AQZ80" s="20" t="n">
        <f aca="false">IF(AND(H_Direct=0,H_TaxEvt=1,0+1&gt;=H_Deemed),ANM80,AJZ80)</f>
        <v>0</v>
      </c>
      <c r="ARA80" s="20" t="n">
        <v>0</v>
      </c>
      <c r="ARB80" s="20" t="n">
        <v>0</v>
      </c>
      <c r="ARC80" s="20" t="n">
        <v>0</v>
      </c>
      <c r="ARD80" s="20" t="n">
        <v>0</v>
      </c>
      <c r="ARE80" s="20" t="n">
        <v>0</v>
      </c>
      <c r="ARF80" s="20" t="n">
        <v>0</v>
      </c>
      <c r="ARG80" s="20" t="n">
        <v>0</v>
      </c>
      <c r="ARH80" s="20" t="n">
        <v>0</v>
      </c>
      <c r="ARI80" s="20" t="n">
        <v>0</v>
      </c>
      <c r="ARJ80" s="20" t="n">
        <v>0</v>
      </c>
      <c r="ARK80" s="20" t="n">
        <v>0</v>
      </c>
      <c r="ARL80" s="20" t="n">
        <v>0</v>
      </c>
      <c r="ARM80" s="20" t="n">
        <v>0</v>
      </c>
      <c r="ARN80" s="20" t="n">
        <v>0</v>
      </c>
      <c r="ARO80" s="20" t="n">
        <v>0</v>
      </c>
      <c r="ARP80" s="20" t="n">
        <v>0</v>
      </c>
      <c r="ARQ80" s="20" t="n">
        <v>0</v>
      </c>
      <c r="ARR80" s="20" t="n">
        <f aca="false">IF(AND(H_Direct=0,H_TaxEvt=1),IF(ARR79+1&gt;=H_Deemed,0,ARR79+1),ARR79)</f>
        <v>1</v>
      </c>
      <c r="ARS80" s="20" t="n">
        <f aca="false">IF(AND(H_Direct=0,H_TaxEvt=1),IF(ARS79+1&gt;=H_Deemed,0,ARS79+1),ARS79)</f>
        <v>1</v>
      </c>
      <c r="ART80" s="20" t="n">
        <f aca="false">IF(AND(H_Direct=0,H_TaxEvt=1),IF(ART79+1&gt;=H_Deemed,0,ART79+1),ART79)</f>
        <v>0</v>
      </c>
      <c r="ARU80" s="20" t="n">
        <f aca="false">IF(AND(H_Direct=0,H_TaxEvt=1),IF(ARU79+1&gt;=H_Deemed,0,ARU79+1),ARU79)</f>
        <v>7</v>
      </c>
      <c r="ARV80" s="20" t="n">
        <f aca="false">IF(AND(H_Direct=0,H_TaxEvt=1),IF(ARV79+1&gt;=H_Deemed,0,ARV79+1),ARV79)</f>
        <v>6</v>
      </c>
      <c r="ARW80" s="20" t="n">
        <f aca="false">IF(AND(H_Direct=0,H_TaxEvt=1),IF(ARW79+1&gt;=H_Deemed,0,ARW79+1),ARW79)</f>
        <v>5</v>
      </c>
      <c r="ARX80" s="20" t="n">
        <f aca="false">IF(AND(H_Direct=0,H_TaxEvt=1),IF(ARX79+1&gt;=H_Deemed,0,ARX79+1),ARX79)</f>
        <v>4</v>
      </c>
      <c r="ARY80" s="20" t="n">
        <f aca="false">IF(AND(H_Direct=0,H_TaxEvt=1),IF(ARY79+1&gt;=H_Deemed,0,ARY79+1),ARY79)</f>
        <v>3</v>
      </c>
      <c r="ARZ80" s="20" t="n">
        <f aca="false">IF(AND(H_Direct=0,H_TaxEvt=1),IF(ARZ79+1&gt;=H_Deemed,0,ARZ79+1),ARZ79)</f>
        <v>2</v>
      </c>
      <c r="ASA80" s="20" t="n">
        <f aca="false">IF(AND(H_Direct=0,H_TaxEvt=1),IF(ASA79+1&gt;=H_Deemed,0,ASA79+1),ASA79)</f>
        <v>1</v>
      </c>
      <c r="ASB80" s="20" t="n">
        <f aca="false">IF(AND(H_Direct=0,H_TaxEvt=1),IF(ASB79+1&gt;=H_Deemed,0,ASB79+1),ASB79)</f>
        <v>0</v>
      </c>
      <c r="ASC80" s="20" t="n">
        <f aca="false">IF(AND(H_Direct=0,H_TaxEvt=1),IF(ASC79+1&gt;=H_Deemed,0,ASC79+1),ASC79)</f>
        <v>7</v>
      </c>
      <c r="ASD80" s="20" t="n">
        <f aca="false">IF(AND(H_Direct=0,H_TaxEvt=1),IF(ASD79+1&gt;=H_Deemed,0,ASD79+1),ASD79)</f>
        <v>6</v>
      </c>
      <c r="ASE80" s="20" t="n">
        <f aca="false">IF(AND(H_Direct=0,H_TaxEvt=1),IF(ASE79+1&gt;=H_Deemed,0,ASE79+1),ASE79)</f>
        <v>5</v>
      </c>
      <c r="ASF80" s="20" t="n">
        <f aca="false">IF(AND(H_Direct=0,H_TaxEvt=1),IF(ASF79+1&gt;=H_Deemed,0,ASF79+1),ASF79)</f>
        <v>4</v>
      </c>
      <c r="ASG80" s="20" t="n">
        <f aca="false">IF(AND(H_Direct=0,H_TaxEvt=1),IF(ASG79+1&gt;=H_Deemed,0,ASG79+1),ASG79)</f>
        <v>3</v>
      </c>
      <c r="ASH80" s="20" t="n">
        <f aca="false">IF(AND(H_Direct=0,H_TaxEvt=1),IF(ASH79+1&gt;=H_Deemed,0,ASH79+1),ASH79)</f>
        <v>2</v>
      </c>
      <c r="ASI80" s="20" t="n">
        <f aca="false">IF(AND(H_Direct=0,H_TaxEvt=1),IF(ASI79+1&gt;=H_Deemed,0,ASI79+1),ASI79)</f>
        <v>1</v>
      </c>
      <c r="ASJ80" s="20" t="n">
        <f aca="false">IF(AND(H_Direct=0,H_TaxEvt=1),IF(ASJ79+1&gt;=H_Deemed,0,ASJ79+1),ASJ79)</f>
        <v>0</v>
      </c>
      <c r="ASK80" s="20" t="n">
        <f aca="false">IF(AND(H_Direct=0,H_TaxEvt=1),IF(ASK79+1&gt;=H_Deemed,0,ASK79+1),ASK79)</f>
        <v>7</v>
      </c>
      <c r="ASL80" s="20" t="n">
        <f aca="false">IF(AND(H_Direct=0,H_TaxEvt=1),IF(ASL79+1&gt;=H_Deemed,0,ASL79+1),ASL79)</f>
        <v>6</v>
      </c>
      <c r="ASM80" s="20" t="n">
        <f aca="false">IF(AND(H_Direct=0,H_TaxEvt=1),IF(ASM79+1&gt;=H_Deemed,0,ASM79+1),ASM79)</f>
        <v>5</v>
      </c>
      <c r="ASN80" s="20" t="n">
        <f aca="false">IF(AND(H_Direct=0,H_TaxEvt=1),IF(ASN79+1&gt;=H_Deemed,0,ASN79+1),ASN79)</f>
        <v>4</v>
      </c>
      <c r="ASO80" s="20" t="n">
        <f aca="false">IF(AND(H_Direct=0,H_TaxEvt=1),IF(ASO79+1&gt;=H_Deemed,0,ASO79+1),ASO79)</f>
        <v>3</v>
      </c>
      <c r="ASP80" s="20" t="n">
        <f aca="false">IF(AND(H_Direct=0,H_TaxEvt=1),IF(ASP79+1&gt;=H_Deemed,0,ASP79+1),ASP79)</f>
        <v>2</v>
      </c>
      <c r="ASQ80" s="20" t="n">
        <f aca="false">IF(AND(H_Direct=0,H_TaxEvt=1),IF(ASQ79+1&gt;=H_Deemed,0,ASQ79+1),ASQ79)</f>
        <v>1</v>
      </c>
      <c r="ASR80" s="20" t="n">
        <f aca="false">IF(AND(H_Direct=0,H_TaxEvt=1),IF(ASR79+1&gt;=H_Deemed,0,ASR79+1),ASR79)</f>
        <v>0</v>
      </c>
      <c r="ASS80" s="20" t="n">
        <f aca="false">IF(AND(H_Direct=0,H_TaxEvt=1),IF(ASS79+1&gt;=H_Deemed,0,ASS79+1),ASS79)</f>
        <v>7</v>
      </c>
      <c r="AST80" s="20" t="n">
        <f aca="false">IF(AND(H_Direct=0,H_TaxEvt=1),IF(AST79+1&gt;=H_Deemed,0,AST79+1),AST79)</f>
        <v>6</v>
      </c>
      <c r="ASU80" s="20" t="n">
        <f aca="false">IF(AND(H_Direct=0,H_TaxEvt=1),IF(ASU79+1&gt;=H_Deemed,0,ASU79+1),ASU79)</f>
        <v>5</v>
      </c>
      <c r="ASV80" s="20" t="n">
        <f aca="false">IF(AND(H_Direct=0,H_TaxEvt=1),IF(ASV79+1&gt;=H_Deemed,0,ASV79+1),ASV79)</f>
        <v>4</v>
      </c>
      <c r="ASW80" s="20" t="n">
        <f aca="false">IF(AND(H_Direct=0,H_TaxEvt=1),IF(ASW79+1&gt;=H_Deemed,0,ASW79+1),ASW79)</f>
        <v>3</v>
      </c>
      <c r="ASX80" s="20" t="n">
        <f aca="false">IF(AND(H_Direct=0,H_TaxEvt=1),IF(ASX79+1&gt;=H_Deemed,0,ASX79+1),ASX79)</f>
        <v>2</v>
      </c>
      <c r="ASY80" s="20" t="n">
        <f aca="false">IF(AND(H_Direct=0,H_TaxEvt=1),IF(ASY79+1&gt;=H_Deemed,0,ASY79+1),ASY79)</f>
        <v>1</v>
      </c>
      <c r="ASZ80" s="20" t="n">
        <f aca="false">IF(AND(H_Direct=0,H_TaxEvt=1),IF(ASZ79+1&gt;=H_Deemed,0,ASZ79+1),ASZ79)</f>
        <v>0</v>
      </c>
      <c r="ATA80" s="20" t="n">
        <f aca="false">IF(AND(H_Direct=0,H_TaxEvt=1),IF(ATA79+1&gt;=H_Deemed,0,ATA79+1),ATA79)</f>
        <v>7</v>
      </c>
      <c r="ATB80" s="20" t="n">
        <f aca="false">IF(AND(H_Direct=0,H_TaxEvt=1),IF(ATB79+1&gt;=H_Deemed,0,ATB79+1),ATB79)</f>
        <v>6</v>
      </c>
      <c r="ATC80" s="20" t="n">
        <f aca="false">IF(AND(H_Direct=0,H_TaxEvt=1),IF(ATC79+1&gt;=H_Deemed,0,ATC79+1),ATC79)</f>
        <v>5</v>
      </c>
      <c r="ATD80" s="20" t="n">
        <f aca="false">IF(AND(H_Direct=0,H_TaxEvt=1),IF(ATD79+1&gt;=H_Deemed,0,ATD79+1),ATD79)</f>
        <v>4</v>
      </c>
      <c r="ATE80" s="20" t="n">
        <f aca="false">IF(AND(H_Direct=0,H_TaxEvt=1),IF(ATE79+1&gt;=H_Deemed,0,ATE79+1),ATE79)</f>
        <v>3</v>
      </c>
      <c r="ATF80" s="20" t="n">
        <f aca="false">IF(AND(H_Direct=0,H_TaxEvt=1),IF(ATF79+1&gt;=H_Deemed,0,ATF79+1),ATF79)</f>
        <v>2</v>
      </c>
      <c r="ATG80" s="20" t="n">
        <f aca="false">IF(AND(H_Direct=0,H_TaxEvt=1),IF(ATG79+1&gt;=H_Deemed,0,ATG79+1),ATG79)</f>
        <v>1</v>
      </c>
      <c r="ATH80" s="20" t="n">
        <f aca="false">IF(AND(H_Direct=0,H_TaxEvt=1),IF(ATH79+1&gt;=H_Deemed,0,ATH79+1),ATH79)</f>
        <v>0</v>
      </c>
      <c r="ATI80" s="20" t="n">
        <f aca="false">IF(AND(H_Direct=0,H_TaxEvt=1),IF(ATI79+1&gt;=H_Deemed,0,ATI79+1),ATI79)</f>
        <v>7</v>
      </c>
      <c r="ATJ80" s="20" t="n">
        <f aca="false">IF(AND(H_Direct=0,H_TaxEvt=1),IF(ATJ79+1&gt;=H_Deemed,0,ATJ79+1),ATJ79)</f>
        <v>6</v>
      </c>
      <c r="ATK80" s="20" t="n">
        <f aca="false">IF(AND(H_Direct=0,H_TaxEvt=1),IF(ATK79+1&gt;=H_Deemed,0,ATK79+1),ATK79)</f>
        <v>5</v>
      </c>
      <c r="ATL80" s="20" t="n">
        <f aca="false">IF(AND(H_Direct=0,H_TaxEvt=1),IF(ATL79+1&gt;=H_Deemed,0,ATL79+1),ATL79)</f>
        <v>4</v>
      </c>
      <c r="ATM80" s="20" t="n">
        <f aca="false">IF(AND(H_Direct=0,H_TaxEvt=1),IF(ATM79+1&gt;=H_Deemed,0,ATM79+1),ATM79)</f>
        <v>3</v>
      </c>
      <c r="ATN80" s="20" t="n">
        <f aca="false">IF(AND(H_Direct=0,H_TaxEvt=1),IF(ATN79+1&gt;=H_Deemed,0,ATN79+1),ATN79)</f>
        <v>2</v>
      </c>
      <c r="ATO80" s="20" t="n">
        <f aca="false">IF(AND(H_Direct=0,H_TaxEvt=1),IF(ATO79+1&gt;=H_Deemed,0,ATO79+1),ATO79)</f>
        <v>1</v>
      </c>
      <c r="ATP80" s="20" t="n">
        <f aca="false">IF(AND(H_Direct=0,H_TaxEvt=1),IF(ATP79+1&gt;=H_Deemed,0,ATP79+1),ATP79)</f>
        <v>0</v>
      </c>
      <c r="ATQ80" s="20" t="n">
        <f aca="false">IF(AND(H_Direct=0,H_TaxEvt=1),IF(ATQ79+1&gt;=H_Deemed,0,ATQ79+1),ATQ79)</f>
        <v>7</v>
      </c>
      <c r="ATR80" s="20" t="n">
        <f aca="false">IF(AND(H_Direct=0,H_TaxEvt=1),IF(ATR79+1&gt;=H_Deemed,0,ATR79+1),ATR79)</f>
        <v>6</v>
      </c>
      <c r="ATS80" s="20" t="n">
        <f aca="false">IF(AND(H_Direct=0,H_TaxEvt=1),IF(ATS79+1&gt;=H_Deemed,0,ATS79+1),ATS79)</f>
        <v>5</v>
      </c>
      <c r="ATT80" s="20" t="n">
        <f aca="false">IF(AND(H_Direct=0,H_TaxEvt=1),IF(ATT79+1&gt;=H_Deemed,0,ATT79+1),ATT79)</f>
        <v>4</v>
      </c>
      <c r="ATU80" s="20" t="n">
        <f aca="false">IF(AND(H_Direct=0,H_TaxEvt=1),IF(ATU79+1&gt;=H_Deemed,0,ATU79+1),ATU79)</f>
        <v>3</v>
      </c>
      <c r="ATV80" s="20" t="n">
        <f aca="false">IF(AND(H_Direct=0,H_TaxEvt=1),IF(ATV79+1&gt;=H_Deemed,0,ATV79+1),ATV79)</f>
        <v>2</v>
      </c>
      <c r="ATW80" s="20" t="n">
        <f aca="false">IF(AND(H_Direct=0,H_TaxEvt=1),IF(ATW79+1&gt;=H_Deemed,0,ATW79+1),ATW79)</f>
        <v>1</v>
      </c>
      <c r="ATX80" s="20" t="n">
        <f aca="false">IF(AND(H_Direct=0,H_TaxEvt=1),IF(ATX79+1&gt;=H_Deemed,0,ATX79+1),ATX79)</f>
        <v>0</v>
      </c>
      <c r="ATY80" s="20" t="n">
        <f aca="false">IF(AND(H_Direct=0,H_TaxEvt=1),IF(ATY79+1&gt;=H_Deemed,0,ATY79+1),ATY79)</f>
        <v>7</v>
      </c>
      <c r="ATZ80" s="20" t="n">
        <f aca="false">IF(AND(H_Direct=0,H_TaxEvt=1),IF(ATZ79+1&gt;=H_Deemed,0,ATZ79+1),ATZ79)</f>
        <v>6</v>
      </c>
      <c r="AUA80" s="20" t="n">
        <f aca="false">IF(AND(H_Direct=0,H_TaxEvt=1),IF(AUA79+1&gt;=H_Deemed,0,AUA79+1),AUA79)</f>
        <v>5</v>
      </c>
      <c r="AUB80" s="20" t="n">
        <f aca="false">IF(AND(H_Direct=0,H_TaxEvt=1),IF(AUB79+1&gt;=H_Deemed,0,AUB79+1),AUB79)</f>
        <v>4</v>
      </c>
      <c r="AUC80" s="20" t="n">
        <f aca="false">IF(AND(H_Direct=0,H_TaxEvt=1),IF(AUC79+1&gt;=H_Deemed,0,AUC79+1),AUC79)</f>
        <v>3</v>
      </c>
      <c r="AUD80" s="20" t="n">
        <f aca="false">IF(AND(H_Direct=0,H_TaxEvt=1),IF(AUD79+1&gt;=H_Deemed,0,AUD79+1),AUD79)</f>
        <v>2</v>
      </c>
      <c r="AUE80" s="20" t="n">
        <f aca="false">IF(AND(H_Direct=0,H_TaxEvt=1),IF(AUE79+1&gt;=H_Deemed,0,AUE79+1),AUE79)</f>
        <v>1</v>
      </c>
      <c r="AUF80" s="20" t="n">
        <f aca="false">IF(AND(H_Direct=0,H_TaxEvt=1),IF(AUF79+1&gt;=H_Deemed,0,AUF79+1),AUF79)</f>
        <v>0</v>
      </c>
      <c r="AUG80" s="20" t="n">
        <f aca="false">IF(AND(H_Direct=0,H_TaxEvt=1),IF(AUG79+1&gt;=H_Deemed,0,AUG79+1),AUG79)</f>
        <v>7</v>
      </c>
      <c r="AUH80" s="20" t="n">
        <f aca="false">IF(AND(H_Direct=0,H_TaxEvt=1),IF(AUH79+1&gt;=H_Deemed,0,AUH79+1),AUH79)</f>
        <v>6</v>
      </c>
      <c r="AUI80" s="20" t="n">
        <f aca="false">IF(AND(H_Direct=0,H_TaxEvt=1),IF(AUI79+1&gt;=H_Deemed,0,AUI79+1),AUI79)</f>
        <v>5</v>
      </c>
      <c r="AUJ80" s="20" t="n">
        <f aca="false">IF(AND(H_Direct=0,H_TaxEvt=1),IF(AUJ79+1&gt;=H_Deemed,0,AUJ79+1),AUJ79)</f>
        <v>4</v>
      </c>
      <c r="AUK80" s="20" t="n">
        <f aca="false">IF(AND(H_Direct=0,H_TaxEvt=1),IF(AUK79+1&gt;=H_Deemed,0,AUK79+1),AUK79)</f>
        <v>3</v>
      </c>
      <c r="AUL80" s="20" t="n">
        <f aca="false">IF(AND(H_Direct=0,H_TaxEvt=1),IF(AUL79+1&gt;=H_Deemed,0,AUL79+1),AUL79)</f>
        <v>2</v>
      </c>
      <c r="AUM80" s="20" t="n">
        <f aca="false">IF(AND(H_Direct=0,H_TaxEvt=1),IF(0+1&gt;=H_Deemed,0,0+1),0)</f>
        <v>1</v>
      </c>
      <c r="AUN80" s="20" t="n">
        <v>0</v>
      </c>
      <c r="AUO80" s="20" t="n">
        <v>0</v>
      </c>
      <c r="AUP80" s="20" t="n">
        <v>0</v>
      </c>
      <c r="AUQ80" s="20" t="n">
        <v>0</v>
      </c>
      <c r="AUR80" s="20" t="n">
        <v>0</v>
      </c>
      <c r="AUS80" s="20" t="n">
        <v>0</v>
      </c>
      <c r="AUT80" s="20" t="n">
        <v>0</v>
      </c>
      <c r="AUU80" s="20" t="n">
        <v>0</v>
      </c>
      <c r="AUV80" s="20" t="n">
        <v>0</v>
      </c>
      <c r="AUW80" s="20" t="n">
        <v>0</v>
      </c>
      <c r="AUX80" s="20" t="n">
        <v>0</v>
      </c>
      <c r="AUY80" s="20" t="n">
        <v>0</v>
      </c>
      <c r="AUZ80" s="20" t="n">
        <v>0</v>
      </c>
      <c r="AVA80" s="20" t="n">
        <v>0</v>
      </c>
      <c r="AVB80" s="20" t="n">
        <v>0</v>
      </c>
      <c r="AVC80" s="20" t="n">
        <v>0</v>
      </c>
      <c r="AVD80" s="20" t="n">
        <v>0</v>
      </c>
      <c r="AVE80" s="20" t="n">
        <f aca="false">IF(AND(H_Direct=0,H_TaxEvt=1,ARR79+1&gt;=H_Deemed),MAX(0,ADR80-AHE80)*H_Exit,0)</f>
        <v>0</v>
      </c>
      <c r="AVF80" s="20" t="n">
        <f aca="false">IF(AND(H_Direct=0,H_TaxEvt=1,ARS79+1&gt;=H_Deemed),MAX(0,ADS80-AHF80)*H_Exit,0)</f>
        <v>0</v>
      </c>
      <c r="AVG80" s="20" t="n">
        <f aca="false">IF(AND(H_Direct=0,H_TaxEvt=1,ART79+1&gt;=H_Deemed),MAX(0,ADT80-AHG80)*H_Exit,0)</f>
        <v>0</v>
      </c>
      <c r="AVH80" s="20" t="n">
        <f aca="false">IF(AND(H_Direct=0,H_TaxEvt=1,ARU79+1&gt;=H_Deemed),MAX(0,ADU80-AHH80)*H_Exit,0)</f>
        <v>0</v>
      </c>
      <c r="AVI80" s="20" t="n">
        <f aca="false">IF(AND(H_Direct=0,H_TaxEvt=1,ARV79+1&gt;=H_Deemed),MAX(0,ADV80-AHI80)*H_Exit,0)</f>
        <v>0</v>
      </c>
      <c r="AVJ80" s="20" t="n">
        <f aca="false">IF(AND(H_Direct=0,H_TaxEvt=1,ARW79+1&gt;=H_Deemed),MAX(0,ADW80-AHJ80)*H_Exit,0)</f>
        <v>0</v>
      </c>
      <c r="AVK80" s="20" t="n">
        <f aca="false">IF(AND(H_Direct=0,H_TaxEvt=1,ARX79+1&gt;=H_Deemed),MAX(0,ADX80-AHK80)*H_Exit,0)</f>
        <v>0</v>
      </c>
      <c r="AVL80" s="20" t="n">
        <f aca="false">IF(AND(H_Direct=0,H_TaxEvt=1,ARY79+1&gt;=H_Deemed),MAX(0,ADY80-AHL80)*H_Exit,0)</f>
        <v>0</v>
      </c>
      <c r="AVM80" s="20" t="n">
        <f aca="false">IF(AND(H_Direct=0,H_TaxEvt=1,ARZ79+1&gt;=H_Deemed),MAX(0,ADZ80-AHM80)*H_Exit,0)</f>
        <v>0</v>
      </c>
      <c r="AVN80" s="20" t="n">
        <f aca="false">IF(AND(H_Direct=0,H_TaxEvt=1,ASA79+1&gt;=H_Deemed),MAX(0,AEA80-AHN80)*H_Exit,0)</f>
        <v>0</v>
      </c>
      <c r="AVO80" s="20" t="n">
        <f aca="false">IF(AND(H_Direct=0,H_TaxEvt=1,ASB79+1&gt;=H_Deemed),MAX(0,AEB80-AHO80)*H_Exit,0)</f>
        <v>0</v>
      </c>
      <c r="AVP80" s="20" t="n">
        <f aca="false">IF(AND(H_Direct=0,H_TaxEvt=1,ASC79+1&gt;=H_Deemed),MAX(0,AEC80-AHP80)*H_Exit,0)</f>
        <v>0</v>
      </c>
      <c r="AVQ80" s="20" t="n">
        <f aca="false">IF(AND(H_Direct=0,H_TaxEvt=1,ASD79+1&gt;=H_Deemed),MAX(0,AED80-AHQ80)*H_Exit,0)</f>
        <v>0</v>
      </c>
      <c r="AVR80" s="20" t="n">
        <f aca="false">IF(AND(H_Direct=0,H_TaxEvt=1,ASE79+1&gt;=H_Deemed),MAX(0,AEE80-AHR80)*H_Exit,0)</f>
        <v>0</v>
      </c>
      <c r="AVS80" s="20" t="n">
        <f aca="false">IF(AND(H_Direct=0,H_TaxEvt=1,ASF79+1&gt;=H_Deemed),MAX(0,AEF80-AHS80)*H_Exit,0)</f>
        <v>0</v>
      </c>
      <c r="AVT80" s="20" t="n">
        <f aca="false">IF(AND(H_Direct=0,H_TaxEvt=1,ASG79+1&gt;=H_Deemed),MAX(0,AEG80-AHT80)*H_Exit,0)</f>
        <v>0</v>
      </c>
      <c r="AVU80" s="20" t="n">
        <f aca="false">IF(AND(H_Direct=0,H_TaxEvt=1,ASH79+1&gt;=H_Deemed),MAX(0,AEH80-AHU80)*H_Exit,0)</f>
        <v>0</v>
      </c>
      <c r="AVV80" s="20" t="n">
        <f aca="false">IF(AND(H_Direct=0,H_TaxEvt=1,ASI79+1&gt;=H_Deemed),MAX(0,AEI80-AHV80)*H_Exit,0)</f>
        <v>0</v>
      </c>
      <c r="AVW80" s="20" t="n">
        <f aca="false">IF(AND(H_Direct=0,H_TaxEvt=1,ASJ79+1&gt;=H_Deemed),MAX(0,AEJ80-AHW80)*H_Exit,0)</f>
        <v>0</v>
      </c>
      <c r="AVX80" s="20" t="n">
        <f aca="false">IF(AND(H_Direct=0,H_TaxEvt=1,ASK79+1&gt;=H_Deemed),MAX(0,AEK80-AHX80)*H_Exit,0)</f>
        <v>0</v>
      </c>
      <c r="AVY80" s="20" t="n">
        <f aca="false">IF(AND(H_Direct=0,H_TaxEvt=1,ASL79+1&gt;=H_Deemed),MAX(0,AEL80-AHY80)*H_Exit,0)</f>
        <v>0</v>
      </c>
      <c r="AVZ80" s="20" t="n">
        <f aca="false">IF(AND(H_Direct=0,H_TaxEvt=1,ASM79+1&gt;=H_Deemed),MAX(0,AEM80-AHZ80)*H_Exit,0)</f>
        <v>0</v>
      </c>
      <c r="AWA80" s="20" t="n">
        <f aca="false">IF(AND(H_Direct=0,H_TaxEvt=1,ASN79+1&gt;=H_Deemed),MAX(0,AEN80-AIA80)*H_Exit,0)</f>
        <v>0</v>
      </c>
      <c r="AWB80" s="20" t="n">
        <f aca="false">IF(AND(H_Direct=0,H_TaxEvt=1,ASO79+1&gt;=H_Deemed),MAX(0,AEO80-AIB80)*H_Exit,0)</f>
        <v>0</v>
      </c>
      <c r="AWC80" s="20" t="n">
        <f aca="false">IF(AND(H_Direct=0,H_TaxEvt=1,ASP79+1&gt;=H_Deemed),MAX(0,AEP80-AIC80)*H_Exit,0)</f>
        <v>0</v>
      </c>
      <c r="AWD80" s="20" t="n">
        <f aca="false">IF(AND(H_Direct=0,H_TaxEvt=1,ASQ79+1&gt;=H_Deemed),MAX(0,AEQ80-AID80)*H_Exit,0)</f>
        <v>0</v>
      </c>
      <c r="AWE80" s="20" t="n">
        <f aca="false">IF(AND(H_Direct=0,H_TaxEvt=1,ASR79+1&gt;=H_Deemed),MAX(0,AER80-AIE80)*H_Exit,0)</f>
        <v>0</v>
      </c>
      <c r="AWF80" s="20" t="n">
        <f aca="false">IF(AND(H_Direct=0,H_TaxEvt=1,ASS79+1&gt;=H_Deemed),MAX(0,AES80-AIF80)*H_Exit,0)</f>
        <v>0</v>
      </c>
      <c r="AWG80" s="20" t="n">
        <f aca="false">IF(AND(H_Direct=0,H_TaxEvt=1,AST79+1&gt;=H_Deemed),MAX(0,AET80-AIG80)*H_Exit,0)</f>
        <v>0</v>
      </c>
      <c r="AWH80" s="20" t="n">
        <f aca="false">IF(AND(H_Direct=0,H_TaxEvt=1,ASU79+1&gt;=H_Deemed),MAX(0,AEU80-AIH80)*H_Exit,0)</f>
        <v>0</v>
      </c>
      <c r="AWI80" s="20" t="n">
        <f aca="false">IF(AND(H_Direct=0,H_TaxEvt=1,ASV79+1&gt;=H_Deemed),MAX(0,AEV80-AII80)*H_Exit,0)</f>
        <v>0</v>
      </c>
      <c r="AWJ80" s="20" t="n">
        <f aca="false">IF(AND(H_Direct=0,H_TaxEvt=1,ASW79+1&gt;=H_Deemed),MAX(0,AEW80-AIJ80)*H_Exit,0)</f>
        <v>0</v>
      </c>
      <c r="AWK80" s="20" t="n">
        <f aca="false">IF(AND(H_Direct=0,H_TaxEvt=1,ASX79+1&gt;=H_Deemed),MAX(0,AEX80-AIK80)*H_Exit,0)</f>
        <v>0</v>
      </c>
      <c r="AWL80" s="20" t="n">
        <f aca="false">IF(AND(H_Direct=0,H_TaxEvt=1,ASY79+1&gt;=H_Deemed),MAX(0,AEY80-AIL80)*H_Exit,0)</f>
        <v>0</v>
      </c>
      <c r="AWM80" s="20" t="n">
        <f aca="false">IF(AND(H_Direct=0,H_TaxEvt=1,ASZ79+1&gt;=H_Deemed),MAX(0,AEZ80-AIM80)*H_Exit,0)</f>
        <v>0</v>
      </c>
      <c r="AWN80" s="20" t="n">
        <f aca="false">IF(AND(H_Direct=0,H_TaxEvt=1,ATA79+1&gt;=H_Deemed),MAX(0,AFA80-AIN80)*H_Exit,0)</f>
        <v>0</v>
      </c>
      <c r="AWO80" s="20" t="n">
        <f aca="false">IF(AND(H_Direct=0,H_TaxEvt=1,ATB79+1&gt;=H_Deemed),MAX(0,AFB80-AIO80)*H_Exit,0)</f>
        <v>0</v>
      </c>
      <c r="AWP80" s="20" t="n">
        <f aca="false">IF(AND(H_Direct=0,H_TaxEvt=1,ATC79+1&gt;=H_Deemed),MAX(0,AFC80-AIP80)*H_Exit,0)</f>
        <v>0</v>
      </c>
      <c r="AWQ80" s="20" t="n">
        <f aca="false">IF(AND(H_Direct=0,H_TaxEvt=1,ATD79+1&gt;=H_Deemed),MAX(0,AFD80-AIQ80)*H_Exit,0)</f>
        <v>0</v>
      </c>
      <c r="AWR80" s="20" t="n">
        <f aca="false">IF(AND(H_Direct=0,H_TaxEvt=1,ATE79+1&gt;=H_Deemed),MAX(0,AFE80-AIR80)*H_Exit,0)</f>
        <v>0</v>
      </c>
      <c r="AWS80" s="20" t="n">
        <f aca="false">IF(AND(H_Direct=0,H_TaxEvt=1,ATF79+1&gt;=H_Deemed),MAX(0,AFF80-AIS80)*H_Exit,0)</f>
        <v>0</v>
      </c>
      <c r="AWT80" s="20" t="n">
        <f aca="false">IF(AND(H_Direct=0,H_TaxEvt=1,ATG79+1&gt;=H_Deemed),MAX(0,AFG80-AIT80)*H_Exit,0)</f>
        <v>0</v>
      </c>
      <c r="AWU80" s="20" t="n">
        <f aca="false">IF(AND(H_Direct=0,H_TaxEvt=1,ATH79+1&gt;=H_Deemed),MAX(0,AFH80-AIU80)*H_Exit,0)</f>
        <v>0</v>
      </c>
      <c r="AWV80" s="20" t="n">
        <f aca="false">IF(AND(H_Direct=0,H_TaxEvt=1,ATI79+1&gt;=H_Deemed),MAX(0,AFI80-AIV80)*H_Exit,0)</f>
        <v>0</v>
      </c>
      <c r="AWW80" s="20" t="n">
        <f aca="false">IF(AND(H_Direct=0,H_TaxEvt=1,ATJ79+1&gt;=H_Deemed),MAX(0,AFJ80-AIW80)*H_Exit,0)</f>
        <v>0</v>
      </c>
      <c r="AWX80" s="20" t="n">
        <f aca="false">IF(AND(H_Direct=0,H_TaxEvt=1,ATK79+1&gt;=H_Deemed),MAX(0,AFK80-AIX80)*H_Exit,0)</f>
        <v>0</v>
      </c>
      <c r="AWY80" s="20" t="n">
        <f aca="false">IF(AND(H_Direct=0,H_TaxEvt=1,ATL79+1&gt;=H_Deemed),MAX(0,AFL80-AIY80)*H_Exit,0)</f>
        <v>0</v>
      </c>
      <c r="AWZ80" s="20" t="n">
        <f aca="false">IF(AND(H_Direct=0,H_TaxEvt=1,ATM79+1&gt;=H_Deemed),MAX(0,AFM80-AIZ80)*H_Exit,0)</f>
        <v>0</v>
      </c>
      <c r="AXA80" s="20" t="n">
        <f aca="false">IF(AND(H_Direct=0,H_TaxEvt=1,ATN79+1&gt;=H_Deemed),MAX(0,AFN80-AJA80)*H_Exit,0)</f>
        <v>0</v>
      </c>
      <c r="AXB80" s="20" t="n">
        <f aca="false">IF(AND(H_Direct=0,H_TaxEvt=1,ATO79+1&gt;=H_Deemed),MAX(0,AFO80-AJB80)*H_Exit,0)</f>
        <v>0</v>
      </c>
      <c r="AXC80" s="20" t="n">
        <f aca="false">IF(AND(H_Direct=0,H_TaxEvt=1,ATP79+1&gt;=H_Deemed),MAX(0,AFP80-AJC80)*H_Exit,0)</f>
        <v>0</v>
      </c>
      <c r="AXD80" s="20" t="n">
        <f aca="false">IF(AND(H_Direct=0,H_TaxEvt=1,ATQ79+1&gt;=H_Deemed),MAX(0,AFQ80-AJD80)*H_Exit,0)</f>
        <v>0</v>
      </c>
      <c r="AXE80" s="20" t="n">
        <f aca="false">IF(AND(H_Direct=0,H_TaxEvt=1,ATR79+1&gt;=H_Deemed),MAX(0,AFR80-AJE80)*H_Exit,0)</f>
        <v>0</v>
      </c>
      <c r="AXF80" s="20" t="n">
        <f aca="false">IF(AND(H_Direct=0,H_TaxEvt=1,ATS79+1&gt;=H_Deemed),MAX(0,AFS80-AJF80)*H_Exit,0)</f>
        <v>0</v>
      </c>
      <c r="AXG80" s="20" t="n">
        <f aca="false">IF(AND(H_Direct=0,H_TaxEvt=1,ATT79+1&gt;=H_Deemed),MAX(0,AFT80-AJG80)*H_Exit,0)</f>
        <v>0</v>
      </c>
      <c r="AXH80" s="20" t="n">
        <f aca="false">IF(AND(H_Direct=0,H_TaxEvt=1,ATU79+1&gt;=H_Deemed),MAX(0,AFU80-AJH80)*H_Exit,0)</f>
        <v>0</v>
      </c>
      <c r="AXI80" s="20" t="n">
        <f aca="false">IF(AND(H_Direct=0,H_TaxEvt=1,ATV79+1&gt;=H_Deemed),MAX(0,AFV80-AJI80)*H_Exit,0)</f>
        <v>0</v>
      </c>
      <c r="AXJ80" s="20" t="n">
        <f aca="false">IF(AND(H_Direct=0,H_TaxEvt=1,ATW79+1&gt;=H_Deemed),MAX(0,AFW80-AJJ80)*H_Exit,0)</f>
        <v>0</v>
      </c>
      <c r="AXK80" s="20" t="n">
        <f aca="false">IF(AND(H_Direct=0,H_TaxEvt=1,ATX79+1&gt;=H_Deemed),MAX(0,AFX80-AJK80)*H_Exit,0)</f>
        <v>0</v>
      </c>
      <c r="AXL80" s="20" t="n">
        <f aca="false">IF(AND(H_Direct=0,H_TaxEvt=1,ATY79+1&gt;=H_Deemed),MAX(0,AFY80-AJL80)*H_Exit,0)</f>
        <v>0</v>
      </c>
      <c r="AXM80" s="20" t="n">
        <f aca="false">IF(AND(H_Direct=0,H_TaxEvt=1,ATZ79+1&gt;=H_Deemed),MAX(0,AFZ80-AJM80)*H_Exit,0)</f>
        <v>0</v>
      </c>
      <c r="AXN80" s="20" t="n">
        <f aca="false">IF(AND(H_Direct=0,H_TaxEvt=1,AUA79+1&gt;=H_Deemed),MAX(0,AGA80-AJN80)*H_Exit,0)</f>
        <v>0</v>
      </c>
      <c r="AXO80" s="20" t="n">
        <f aca="false">IF(AND(H_Direct=0,H_TaxEvt=1,AUB79+1&gt;=H_Deemed),MAX(0,AGB80-AJO80)*H_Exit,0)</f>
        <v>0</v>
      </c>
      <c r="AXP80" s="20" t="n">
        <f aca="false">IF(AND(H_Direct=0,H_TaxEvt=1,AUC79+1&gt;=H_Deemed),MAX(0,AGC80-AJP80)*H_Exit,0)</f>
        <v>0</v>
      </c>
      <c r="AXQ80" s="20" t="n">
        <f aca="false">IF(AND(H_Direct=0,H_TaxEvt=1,AUD79+1&gt;=H_Deemed),MAX(0,AGD80-AJQ80)*H_Exit,0)</f>
        <v>0</v>
      </c>
      <c r="AXR80" s="20" t="n">
        <f aca="false">IF(AND(H_Direct=0,H_TaxEvt=1,AUE79+1&gt;=H_Deemed),MAX(0,AGE80-AJR80)*H_Exit,0)</f>
        <v>0</v>
      </c>
      <c r="AXS80" s="20" t="n">
        <f aca="false">IF(AND(H_Direct=0,H_TaxEvt=1,AUF79+1&gt;=H_Deemed),MAX(0,AGF80-AJS80)*H_Exit,0)</f>
        <v>0</v>
      </c>
      <c r="AXT80" s="20" t="n">
        <f aca="false">IF(AND(H_Direct=0,H_TaxEvt=1,AUG79+1&gt;=H_Deemed),MAX(0,AGG80-AJT80)*H_Exit,0)</f>
        <v>0</v>
      </c>
      <c r="AXU80" s="20" t="n">
        <f aca="false">IF(AND(H_Direct=0,H_TaxEvt=1,AUH79+1&gt;=H_Deemed),MAX(0,AGH80-AJU80)*H_Exit,0)</f>
        <v>0</v>
      </c>
      <c r="AXV80" s="20" t="n">
        <f aca="false">IF(AND(H_Direct=0,H_TaxEvt=1,AUI79+1&gt;=H_Deemed),MAX(0,AGI80-AJV80)*H_Exit,0)</f>
        <v>0</v>
      </c>
      <c r="AXW80" s="20" t="n">
        <f aca="false">IF(AND(H_Direct=0,H_TaxEvt=1,AUJ79+1&gt;=H_Deemed),MAX(0,AGJ80-AJW80)*H_Exit,0)</f>
        <v>0</v>
      </c>
      <c r="AXX80" s="20" t="n">
        <f aca="false">IF(AND(H_Direct=0,H_TaxEvt=1,AUK79+1&gt;=H_Deemed),MAX(0,AGK80-AJX80)*H_Exit,0)</f>
        <v>0</v>
      </c>
      <c r="AXY80" s="20" t="n">
        <f aca="false">IF(AND(H_Direct=0,H_TaxEvt=1,AUL79+1&gt;=H_Deemed),MAX(0,AGL80-AJY80)*H_Exit,0)</f>
        <v>0</v>
      </c>
      <c r="AXZ80" s="20" t="n">
        <f aca="false">IF(AND(H_Direct=0,H_TaxEvt=1,0+1&gt;=H_Deemed),MAX(0,AGM80-AJZ80)*H_Exit,0)</f>
        <v>0</v>
      </c>
      <c r="AYA80" s="20" t="n">
        <v>0</v>
      </c>
      <c r="AYB80" s="20" t="n">
        <v>0</v>
      </c>
      <c r="AYC80" s="20" t="n">
        <v>0</v>
      </c>
      <c r="AYD80" s="20" t="n">
        <v>0</v>
      </c>
      <c r="AYE80" s="20" t="n">
        <v>0</v>
      </c>
      <c r="AYF80" s="20" t="n">
        <v>0</v>
      </c>
      <c r="AYG80" s="20" t="n">
        <v>0</v>
      </c>
      <c r="AYH80" s="20" t="n">
        <v>0</v>
      </c>
      <c r="AYI80" s="20" t="n">
        <v>0</v>
      </c>
      <c r="AYJ80" s="20" t="n">
        <v>0</v>
      </c>
      <c r="AYK80" s="20" t="n">
        <v>0</v>
      </c>
      <c r="AYL80" s="20" t="n">
        <v>0</v>
      </c>
      <c r="AYM80" s="20" t="n">
        <v>0</v>
      </c>
      <c r="AYN80" s="20" t="n">
        <v>0</v>
      </c>
      <c r="AYO80" s="20" t="n">
        <v>0</v>
      </c>
      <c r="AYP80" s="20" t="n">
        <v>0</v>
      </c>
      <c r="AYQ80" s="20" t="n">
        <v>0</v>
      </c>
    </row>
    <row r="81" customFormat="false" ht="15" hidden="false" customHeight="false" outlineLevel="0" collapsed="false">
      <c r="B81" s="20" t="n">
        <v>73</v>
      </c>
      <c r="C81" s="20" t="n">
        <f aca="false">'Plan cashflow'!C81</f>
        <v>0</v>
      </c>
      <c r="D81" s="20" t="n">
        <f aca="false">'Plan cashflow'!D81</f>
        <v>111</v>
      </c>
      <c r="E81" s="20" t="n">
        <f aca="false">AS_Year0+73</f>
        <v>2099</v>
      </c>
      <c r="F81" s="50" t="n">
        <f aca="false">'Plan cashflow'!F81</f>
        <v>4.24436318255255</v>
      </c>
      <c r="G81" s="59" t="n">
        <f aca="true">IF(MAX(TODAY(),DATE(E81,1,1))&gt;=H_CGTfrom,H_CGT1,H_CGT0)</f>
        <v>0.31</v>
      </c>
      <c r="H81" s="20" t="n">
        <f aca="false">H_Exempt*H_Persons</f>
        <v>1270</v>
      </c>
      <c r="I81" s="20" t="n">
        <f aca="false">AX80</f>
        <v>0</v>
      </c>
      <c r="J81" s="60" t="n">
        <f aca="false">BF80</f>
        <v>0</v>
      </c>
      <c r="K81" s="60" t="n">
        <f aca="false">BG80</f>
        <v>0</v>
      </c>
      <c r="L81" s="20" t="n">
        <f aca="false">IF(AND(In_polLump&gt;0,In_polLumpAge&gt;0,D81=In_polLumpAge),In_polLump,0)</f>
        <v>0</v>
      </c>
      <c r="M81" s="20" t="n">
        <f aca="false">IF(AND(In_homeUse="Yes, I'd downsize",In_downAge&gt;0,D81=In_downAge,OR(In_home="Own outright",In_home="Own with mortgage"),In_homeValue&gt;0),MAX(0,MAX(0,In_homeValue-In_downValue)*F81*0.9-'Plan cashflow'!HR80),0)</f>
        <v>0</v>
      </c>
      <c r="N81" s="20" t="n">
        <f aca="false">'Plan pay &amp; tax'!Y307</f>
        <v>0</v>
      </c>
      <c r="O81" s="20" t="n">
        <f aca="false">L81+M81+(1-H_Sh)*N81</f>
        <v>0</v>
      </c>
      <c r="P81" s="20" t="n">
        <f aca="false">H_Sh*N81</f>
        <v>0</v>
      </c>
      <c r="Q81" s="20" t="n">
        <f aca="false">'Plan cashflow'!UL81</f>
        <v>0</v>
      </c>
      <c r="R81" s="20" t="n">
        <f aca="false">(1-H_Sh)*Q81</f>
        <v>0</v>
      </c>
      <c r="S81" s="20" t="n">
        <f aca="false">H_Sh*Q81</f>
        <v>0</v>
      </c>
      <c r="T81" s="20" t="n">
        <f aca="false">J81+K81+O81</f>
        <v>0</v>
      </c>
      <c r="U81" s="20" t="n">
        <f aca="false">T81+R81</f>
        <v>0</v>
      </c>
      <c r="V81" s="60" t="n">
        <f aca="false">SUM(FE81:IQ81)</f>
        <v>0</v>
      </c>
      <c r="W81" s="60" t="n">
        <f aca="false">IF(AJ81&lt;=0,0,IF(AL81&lt;=0,AJ81,AJ81-G81*MAX(0,AL81*AJ81-(AY81+AZ81))))</f>
        <v>0</v>
      </c>
      <c r="X81" s="60" t="n">
        <f aca="false">IF(AR81&lt;=0,0,IF(AT81&lt;=0,AR81,AR81-G81*MAX(0,AT81*AR81-(BA81+BB81))))</f>
        <v>0</v>
      </c>
      <c r="Y81" s="60" t="n">
        <f aca="false">T81+V81-S81+W81+X81</f>
        <v>0</v>
      </c>
      <c r="Z81" s="60" t="n">
        <f aca="false">'Plan cashflow'!UK81</f>
        <v>0</v>
      </c>
      <c r="AA81" s="20" t="n">
        <f aca="false">MIN(Z81,U81)</f>
        <v>0</v>
      </c>
      <c r="AB81" s="20" t="n">
        <f aca="false">Z81-AA81</f>
        <v>0</v>
      </c>
      <c r="AC81" s="20" t="n">
        <f aca="false">MIN(AA81,J81+O81+R81)</f>
        <v>0</v>
      </c>
      <c r="AD81" s="20" t="n">
        <f aca="false">AA81-AC81</f>
        <v>0</v>
      </c>
      <c r="AE81" s="20" t="n">
        <f aca="false">J81+O81+R81-AC81</f>
        <v>0</v>
      </c>
      <c r="AF81" s="20" t="n">
        <f aca="false">K81-AD81</f>
        <v>0</v>
      </c>
      <c r="AG81" s="20" t="n">
        <f aca="false">SUM(PR81:TD81)</f>
        <v>0</v>
      </c>
      <c r="AH81" s="20" t="n">
        <f aca="false">SUM(TE81:WQ81)</f>
        <v>0</v>
      </c>
      <c r="AI81" s="20" t="n">
        <f aca="false">MAX(0,AB81-AG81)</f>
        <v>0</v>
      </c>
      <c r="AJ81" s="57" t="n">
        <f aca="false">BI80</f>
        <v>0</v>
      </c>
      <c r="AK81" s="20" t="n">
        <f aca="false">BJ80</f>
        <v>0</v>
      </c>
      <c r="AL81" s="20" t="n">
        <f aca="false">IF(AJ81&gt;0,(AJ81-AK81)/AJ81,0)</f>
        <v>0</v>
      </c>
      <c r="AM81" s="20" t="n">
        <f aca="false">IF(AJ81&lt;=0,0,IF(AL81&lt;=0,MIN(AI81,AJ81),MIN(AI81,AJ81-G81*MAX(0,AL81*AJ81-(AAD81+ADQ81)))))</f>
        <v>0</v>
      </c>
      <c r="AN81" s="20" t="n">
        <f aca="false">IF(AJ81&lt;=0,0,IF(AL81&lt;=0,AM81,IF(AM81&lt;=(AAD81+ADQ81)/AL81,AM81,(AM81-G81*(AAD81+ADQ81))/(1-G81*AL81))))</f>
        <v>0</v>
      </c>
      <c r="AO81" s="20" t="n">
        <f aca="false">IF(AL81&gt;0,MAX(0,AAD81-(MIN(AL81*AN81,(AAD81+ADQ81))-MIN(MIN(AL81*AN81,(AAD81+ADQ81)),ADQ81))),AAD81)</f>
        <v>1270</v>
      </c>
      <c r="AP81" s="20" t="n">
        <f aca="false">IF(AL81&lt;=0,ADQ81-AL81*AN81,ADQ81-MIN(MIN(AL81*AN81,(AAD81+ADQ81)),ADQ81))</f>
        <v>0</v>
      </c>
      <c r="AQ81" s="20" t="n">
        <f aca="false">MAX(0,AI81-AM81)</f>
        <v>0</v>
      </c>
      <c r="AR81" s="57" t="n">
        <f aca="false">BK80</f>
        <v>0</v>
      </c>
      <c r="AS81" s="20" t="n">
        <f aca="false">BL80</f>
        <v>0</v>
      </c>
      <c r="AT81" s="20" t="n">
        <f aca="false">IF(AR81&gt;0,(AR81-AS81)/AR81,0)</f>
        <v>0</v>
      </c>
      <c r="AU81" s="20" t="n">
        <f aca="false">IF(AR81&lt;=0,0,IF(AT81&lt;=0,MIN(AQ81,AR81),MIN(AQ81,AR81-G81*MAX(0,AT81*AR81-(AO81+AP81)))))</f>
        <v>0</v>
      </c>
      <c r="AV81" s="20" t="n">
        <f aca="false">IF(AR81&lt;=0,0,IF(AT81&lt;=0,AU81,IF(AU81&lt;=(AO81+AP81)/AT81,AU81,(AU81-G81*(AO81+AP81))/(1-G81*AT81))))</f>
        <v>0</v>
      </c>
      <c r="AW81" s="20" t="n">
        <f aca="false">IF(AT81&gt;0,MAX(0,AO81-(MIN(AT81*AV81,(AO81+AP81))-MIN(MIN(AT81*AV81,(AO81+AP81)),AP81))),AO81)</f>
        <v>1270</v>
      </c>
      <c r="AX81" s="20" t="n">
        <f aca="false">IF(AT81&lt;=0,AP81-AT81*AV81,AP81-MIN(MIN(AT81*AV81,(AO81+AP81)),AP81))</f>
        <v>0</v>
      </c>
      <c r="AY81" s="20" t="n">
        <f aca="false">MD81</f>
        <v>1270</v>
      </c>
      <c r="AZ81" s="20" t="n">
        <f aca="false">PQ81</f>
        <v>0</v>
      </c>
      <c r="BA81" s="20" t="n">
        <f aca="false">IF(AL81&gt;0,MAX(0,AY81-(MIN(AL81*AJ81,AY81+AZ81)-MIN(MIN(AL81*AJ81,AY81+AZ81),AZ81))),AY81)</f>
        <v>1270</v>
      </c>
      <c r="BB81" s="20" t="n">
        <f aca="false">IF(AL81&lt;=0,AZ81-AL81*AJ81,AZ81-MIN(MIN(AL81*AJ81,AY81+AZ81),AZ81))</f>
        <v>0</v>
      </c>
      <c r="BC81" s="20" t="n">
        <f aca="false">'Plan cashflow'!UM81</f>
        <v>0</v>
      </c>
      <c r="BD81" s="20" t="n">
        <f aca="false">(1-H_Sh)*BC81</f>
        <v>0</v>
      </c>
      <c r="BE81" s="20" t="n">
        <f aca="false">H_Sh*BC81</f>
        <v>0</v>
      </c>
      <c r="BF81" s="60" t="n">
        <f aca="false">(AE81+BD81)*(1+AS_Cash)</f>
        <v>0</v>
      </c>
      <c r="BG81" s="60" t="n">
        <f aca="false">AF81*(1+AS_Cash)</f>
        <v>0</v>
      </c>
      <c r="BH81" s="60" t="n">
        <f aca="false">SUM(AKR81:AOD81)</f>
        <v>0</v>
      </c>
      <c r="BI81" s="60" t="n">
        <f aca="false">(AJ81-AN81)*(1+AS_Infl)</f>
        <v>0</v>
      </c>
      <c r="BJ81" s="20" t="n">
        <f aca="false">IF(AJ81&gt;0,AK81-AK81*AN81/AJ81,0)</f>
        <v>0</v>
      </c>
      <c r="BK81" s="60" t="n">
        <f aca="false">(AR81-AV81)*(1+BQ81)</f>
        <v>0</v>
      </c>
      <c r="BL81" s="20" t="n">
        <f aca="false">IF(AR81&gt;0,AS81-AS81*AV81/AR81,0)</f>
        <v>0</v>
      </c>
      <c r="BM81" s="60" t="n">
        <f aca="false">BF81+BG81+BH81+BI81+BK81</f>
        <v>0</v>
      </c>
      <c r="BN81" s="60" t="n">
        <f aca="false">(AH81-AG81)+(AN81-AM81)+(AV81-AU81)</f>
        <v>0</v>
      </c>
      <c r="BO81" s="20" t="n">
        <f aca="false">(AE81+BD81+AF81+MAX(0,'Plan cashflow'!QH81)+IF(Slot1_Rate=AS_Cash,'Plan cashflow'!QM81/(1+AS_Cash),0)+IF(Slot2_Rate=AS_Cash,'Plan cashflow'!QQ81/(1+AS_Cash),0)+IF(Slot3_Rate=AS_Cash,'Plan cashflow'!QU81/(1+AS_Cash),0)+IF(Slot4_Rate=AS_Cash,'Plan cashflow'!QY81/(1+AS_Cash),0)+IF(Slot5_Rate=AS_Cash,'Plan cashflow'!RC81/(1+AS_Cash),0)+IF(Slot6_Rate=AS_Cash,'Plan cashflow'!RG81/(1+AS_Cash),0)+IF(Slot7_Rate=AS_Cash,'Plan cashflow'!RK81/(1+AS_Cash),0)+IF(Slot8_Rate=AS_Cash,'Plan cashflow'!RO81/(1+AS_Cash),0)+IF(Slot9_Rate=AS_Cash,'Plan cashflow'!RS81/(1+AS_Cash),0)+IF(Slot10_Rate=AS_Cash,'Plan cashflow'!RW81/(1+AS_Cash),0)+IF(Slot11_Rate=AS_Cash,'Plan cashflow'!SA81/(1+AS_Cash),0)+IF(Slot12_Rate=AS_Cash,'Plan cashflow'!SE81/(1+AS_Cash),0)+IF(Slot13_Rate=AS_Cash,'Plan cashflow'!SI81/(1+AS_Cash),0)+IF(Slot14_Rate=AS_Cash,'Plan cashflow'!SM81/(1+AS_Cash),0)+IF(Slot15_Rate=AS_Cash,'Plan cashflow'!SQ81/(1+AS_Cash),0)+IF(Slot16_Rate=AS_Cash,'Plan cashflow'!SU81/(1+AS_Cash),0)+IF(Slot17_Rate=AS_Cash,'Plan cashflow'!SY81/(1+AS_Cash),0)+IF(Slot18_Rate=AS_Cash,'Plan cashflow'!TC81/(1+AS_Cash),0)+IF(Slot19_Rate=AS_Cash,'Plan cashflow'!TG81/(1+AS_Cash),0)+IF(Slot20_Rate=AS_Cash,'Plan cashflow'!TK81/(1+AS_Cash),0))*AS_Cash*H_DIRT/(1-H_DIRT)</f>
        <v>0</v>
      </c>
      <c r="BP81" s="60" t="n">
        <f aca="false">SUM(AVE81:AYQ81)</f>
        <v>0</v>
      </c>
      <c r="BQ81" s="54" t="n">
        <f aca="false">IF(H_TaxEvt=1,H_InvG,AS_Inv)</f>
        <v>0.04</v>
      </c>
      <c r="BR81" s="20" t="n">
        <f aca="false">IF(AKR80&gt;0,(AKR80-AOE80)/AKR80,0)</f>
        <v>0</v>
      </c>
      <c r="BS81" s="20" t="n">
        <f aca="false">IF(AKS80&gt;0,(AKS80-AOF80)/AKS80,0)</f>
        <v>0</v>
      </c>
      <c r="BT81" s="20" t="n">
        <f aca="false">IF(AKT80&gt;0,(AKT80-AOG80)/AKT80,0)</f>
        <v>0</v>
      </c>
      <c r="BU81" s="20" t="n">
        <f aca="false">IF(AKU80&gt;0,(AKU80-AOH80)/AKU80,0)</f>
        <v>0</v>
      </c>
      <c r="BV81" s="20" t="n">
        <f aca="false">IF(AKV80&gt;0,(AKV80-AOI80)/AKV80,0)</f>
        <v>0</v>
      </c>
      <c r="BW81" s="20" t="n">
        <f aca="false">IF(AKW80&gt;0,(AKW80-AOJ80)/AKW80,0)</f>
        <v>0</v>
      </c>
      <c r="BX81" s="20" t="n">
        <f aca="false">IF(AKX80&gt;0,(AKX80-AOK80)/AKX80,0)</f>
        <v>0</v>
      </c>
      <c r="BY81" s="20" t="n">
        <f aca="false">IF(AKY80&gt;0,(AKY80-AOL80)/AKY80,0)</f>
        <v>0</v>
      </c>
      <c r="BZ81" s="20" t="n">
        <f aca="false">IF(AKZ80&gt;0,(AKZ80-AOM80)/AKZ80,0)</f>
        <v>0</v>
      </c>
      <c r="CA81" s="20" t="n">
        <f aca="false">IF(ALA80&gt;0,(ALA80-AON80)/ALA80,0)</f>
        <v>0</v>
      </c>
      <c r="CB81" s="20" t="n">
        <f aca="false">IF(ALB80&gt;0,(ALB80-AOO80)/ALB80,0)</f>
        <v>0</v>
      </c>
      <c r="CC81" s="20" t="n">
        <f aca="false">IF(ALC80&gt;0,(ALC80-AOP80)/ALC80,0)</f>
        <v>0</v>
      </c>
      <c r="CD81" s="20" t="n">
        <f aca="false">IF(ALD80&gt;0,(ALD80-AOQ80)/ALD80,0)</f>
        <v>0</v>
      </c>
      <c r="CE81" s="20" t="n">
        <f aca="false">IF(ALE80&gt;0,(ALE80-AOR80)/ALE80,0)</f>
        <v>0</v>
      </c>
      <c r="CF81" s="20" t="n">
        <f aca="false">IF(ALF80&gt;0,(ALF80-AOS80)/ALF80,0)</f>
        <v>0</v>
      </c>
      <c r="CG81" s="20" t="n">
        <f aca="false">IF(ALG80&gt;0,(ALG80-AOT80)/ALG80,0)</f>
        <v>0</v>
      </c>
      <c r="CH81" s="20" t="n">
        <f aca="false">IF(ALH80&gt;0,(ALH80-AOU80)/ALH80,0)</f>
        <v>0</v>
      </c>
      <c r="CI81" s="20" t="n">
        <f aca="false">IF(ALI80&gt;0,(ALI80-AOV80)/ALI80,0)</f>
        <v>0</v>
      </c>
      <c r="CJ81" s="20" t="n">
        <f aca="false">IF(ALJ80&gt;0,(ALJ80-AOW80)/ALJ80,0)</f>
        <v>0</v>
      </c>
      <c r="CK81" s="20" t="n">
        <f aca="false">IF(ALK80&gt;0,(ALK80-AOX80)/ALK80,0)</f>
        <v>0</v>
      </c>
      <c r="CL81" s="20" t="n">
        <f aca="false">IF(ALL80&gt;0,(ALL80-AOY80)/ALL80,0)</f>
        <v>0</v>
      </c>
      <c r="CM81" s="20" t="n">
        <f aca="false">IF(ALM80&gt;0,(ALM80-AOZ80)/ALM80,0)</f>
        <v>0</v>
      </c>
      <c r="CN81" s="20" t="n">
        <f aca="false">IF(ALN80&gt;0,(ALN80-APA80)/ALN80,0)</f>
        <v>0</v>
      </c>
      <c r="CO81" s="20" t="n">
        <f aca="false">IF(ALO80&gt;0,(ALO80-APB80)/ALO80,0)</f>
        <v>0</v>
      </c>
      <c r="CP81" s="20" t="n">
        <f aca="false">IF(ALP80&gt;0,(ALP80-APC80)/ALP80,0)</f>
        <v>0</v>
      </c>
      <c r="CQ81" s="20" t="n">
        <f aca="false">IF(ALQ80&gt;0,(ALQ80-APD80)/ALQ80,0)</f>
        <v>0</v>
      </c>
      <c r="CR81" s="20" t="n">
        <f aca="false">IF(ALR80&gt;0,(ALR80-APE80)/ALR80,0)</f>
        <v>0</v>
      </c>
      <c r="CS81" s="20" t="n">
        <f aca="false">IF(ALS80&gt;0,(ALS80-APF80)/ALS80,0)</f>
        <v>0</v>
      </c>
      <c r="CT81" s="20" t="n">
        <f aca="false">IF(ALT80&gt;0,(ALT80-APG80)/ALT80,0)</f>
        <v>0</v>
      </c>
      <c r="CU81" s="20" t="n">
        <f aca="false">IF(ALU80&gt;0,(ALU80-APH80)/ALU80,0)</f>
        <v>0</v>
      </c>
      <c r="CV81" s="20" t="n">
        <f aca="false">IF(ALV80&gt;0,(ALV80-API80)/ALV80,0)</f>
        <v>0</v>
      </c>
      <c r="CW81" s="20" t="n">
        <f aca="false">IF(ALW80&gt;0,(ALW80-APJ80)/ALW80,0)</f>
        <v>0</v>
      </c>
      <c r="CX81" s="20" t="n">
        <f aca="false">IF(ALX80&gt;0,(ALX80-APK80)/ALX80,0)</f>
        <v>0</v>
      </c>
      <c r="CY81" s="20" t="n">
        <f aca="false">IF(ALY80&gt;0,(ALY80-APL80)/ALY80,0)</f>
        <v>0</v>
      </c>
      <c r="CZ81" s="20" t="n">
        <f aca="false">IF(ALZ80&gt;0,(ALZ80-APM80)/ALZ80,0)</f>
        <v>0</v>
      </c>
      <c r="DA81" s="20" t="n">
        <f aca="false">IF(AMA80&gt;0,(AMA80-APN80)/AMA80,0)</f>
        <v>0</v>
      </c>
      <c r="DB81" s="20" t="n">
        <f aca="false">IF(AMB80&gt;0,(AMB80-APO80)/AMB80,0)</f>
        <v>0</v>
      </c>
      <c r="DC81" s="20" t="n">
        <f aca="false">IF(AMC80&gt;0,(AMC80-APP80)/AMC80,0)</f>
        <v>0</v>
      </c>
      <c r="DD81" s="20" t="n">
        <f aca="false">IF(AMD80&gt;0,(AMD80-APQ80)/AMD80,0)</f>
        <v>0</v>
      </c>
      <c r="DE81" s="20" t="n">
        <f aca="false">IF(AME80&gt;0,(AME80-APR80)/AME80,0)</f>
        <v>0</v>
      </c>
      <c r="DF81" s="20" t="n">
        <f aca="false">IF(AMF80&gt;0,(AMF80-APS80)/AMF80,0)</f>
        <v>0</v>
      </c>
      <c r="DG81" s="20" t="n">
        <f aca="false">IF(AMG80&gt;0,(AMG80-APT80)/AMG80,0)</f>
        <v>0</v>
      </c>
      <c r="DH81" s="20" t="n">
        <f aca="false">IF(AMH80&gt;0,(AMH80-APU80)/AMH80,0)</f>
        <v>0</v>
      </c>
      <c r="DI81" s="20" t="n">
        <f aca="false">IF(AMI80&gt;0,(AMI80-APV80)/AMI80,0)</f>
        <v>0</v>
      </c>
      <c r="DJ81" s="20" t="n">
        <f aca="false">IF(AMJ80&gt;0,(AMJ80-APW80)/AMJ80,0)</f>
        <v>0</v>
      </c>
      <c r="DK81" s="20" t="n">
        <f aca="false">IF(AMK80&gt;0,(AMK80-APX80)/AMK80,0)</f>
        <v>0</v>
      </c>
      <c r="DL81" s="20" t="n">
        <f aca="false">IF(AML80&gt;0,(AML80-APY80)/AML80,0)</f>
        <v>0</v>
      </c>
      <c r="DM81" s="20" t="n">
        <f aca="false">IF(AMM80&gt;0,(AMM80-APZ80)/AMM80,0)</f>
        <v>0</v>
      </c>
      <c r="DN81" s="20" t="n">
        <f aca="false">IF(AMN80&gt;0,(AMN80-AQA80)/AMN80,0)</f>
        <v>0</v>
      </c>
      <c r="DO81" s="20" t="n">
        <f aca="false">IF(AMO80&gt;0,(AMO80-AQB80)/AMO80,0)</f>
        <v>0</v>
      </c>
      <c r="DP81" s="20" t="n">
        <f aca="false">IF(AMP80&gt;0,(AMP80-AQC80)/AMP80,0)</f>
        <v>0</v>
      </c>
      <c r="DQ81" s="20" t="n">
        <f aca="false">IF(AMQ80&gt;0,(AMQ80-AQD80)/AMQ80,0)</f>
        <v>0</v>
      </c>
      <c r="DR81" s="20" t="n">
        <f aca="false">IF(AMR80&gt;0,(AMR80-AQE80)/AMR80,0)</f>
        <v>0</v>
      </c>
      <c r="DS81" s="20" t="n">
        <f aca="false">IF(AMS80&gt;0,(AMS80-AQF80)/AMS80,0)</f>
        <v>0</v>
      </c>
      <c r="DT81" s="20" t="n">
        <f aca="false">IF(AMT80&gt;0,(AMT80-AQG80)/AMT80,0)</f>
        <v>0</v>
      </c>
      <c r="DU81" s="20" t="n">
        <f aca="false">IF(AMU80&gt;0,(AMU80-AQH80)/AMU80,0)</f>
        <v>0</v>
      </c>
      <c r="DV81" s="20" t="n">
        <f aca="false">IF(AMV80&gt;0,(AMV80-AQI80)/AMV80,0)</f>
        <v>0</v>
      </c>
      <c r="DW81" s="20" t="n">
        <f aca="false">IF(AMW80&gt;0,(AMW80-AQJ80)/AMW80,0)</f>
        <v>0</v>
      </c>
      <c r="DX81" s="20" t="n">
        <f aca="false">IF(AMX80&gt;0,(AMX80-AQK80)/AMX80,0)</f>
        <v>0</v>
      </c>
      <c r="DY81" s="20" t="n">
        <f aca="false">IF(AMY80&gt;0,(AMY80-AQL80)/AMY80,0)</f>
        <v>0</v>
      </c>
      <c r="DZ81" s="20" t="n">
        <f aca="false">IF(AMZ80&gt;0,(AMZ80-AQM80)/AMZ80,0)</f>
        <v>0</v>
      </c>
      <c r="EA81" s="20" t="n">
        <f aca="false">IF(ANA80&gt;0,(ANA80-AQN80)/ANA80,0)</f>
        <v>0</v>
      </c>
      <c r="EB81" s="20" t="n">
        <f aca="false">IF(ANB80&gt;0,(ANB80-AQO80)/ANB80,0)</f>
        <v>0</v>
      </c>
      <c r="EC81" s="20" t="n">
        <f aca="false">IF(ANC80&gt;0,(ANC80-AQP80)/ANC80,0)</f>
        <v>0</v>
      </c>
      <c r="ED81" s="20" t="n">
        <f aca="false">IF(AND80&gt;0,(AND80-AQQ80)/AND80,0)</f>
        <v>0</v>
      </c>
      <c r="EE81" s="20" t="n">
        <f aca="false">IF(ANE80&gt;0,(ANE80-AQR80)/ANE80,0)</f>
        <v>0</v>
      </c>
      <c r="EF81" s="20" t="n">
        <f aca="false">IF(ANF80&gt;0,(ANF80-AQS80)/ANF80,0)</f>
        <v>0</v>
      </c>
      <c r="EG81" s="20" t="n">
        <f aca="false">IF(ANG80&gt;0,(ANG80-AQT80)/ANG80,0)</f>
        <v>0</v>
      </c>
      <c r="EH81" s="20" t="n">
        <f aca="false">IF(ANH80&gt;0,(ANH80-AQU80)/ANH80,0)</f>
        <v>0</v>
      </c>
      <c r="EI81" s="20" t="n">
        <f aca="false">IF(ANI80&gt;0,(ANI80-AQV80)/ANI80,0)</f>
        <v>0</v>
      </c>
      <c r="EJ81" s="20" t="n">
        <f aca="false">IF(ANJ80&gt;0,(ANJ80-AQW80)/ANJ80,0)</f>
        <v>0</v>
      </c>
      <c r="EK81" s="20" t="n">
        <f aca="false">IF(ANK80&gt;0,(ANK80-AQX80)/ANK80,0)</f>
        <v>0</v>
      </c>
      <c r="EL81" s="20" t="n">
        <f aca="false">IF(ANL80&gt;0,(ANL80-AQY80)/ANL80,0)</f>
        <v>0</v>
      </c>
      <c r="EM81" s="20" t="n">
        <f aca="false">IF(ANM80&gt;0,(ANM80-AQZ80)/ANM80,0)</f>
        <v>0</v>
      </c>
      <c r="EN81" s="20" t="n">
        <f aca="false">IF((P81+S81)&gt;0,((P81+S81)-(P81+S81))/(P81+S81),0)</f>
        <v>0</v>
      </c>
      <c r="EO81" s="20" t="n">
        <v>0</v>
      </c>
      <c r="EP81" s="20" t="n">
        <v>0</v>
      </c>
      <c r="EQ81" s="20" t="n">
        <v>0</v>
      </c>
      <c r="ER81" s="20" t="n">
        <v>0</v>
      </c>
      <c r="ES81" s="20" t="n">
        <v>0</v>
      </c>
      <c r="ET81" s="20" t="n">
        <v>0</v>
      </c>
      <c r="EU81" s="20" t="n">
        <v>0</v>
      </c>
      <c r="EV81" s="20" t="n">
        <v>0</v>
      </c>
      <c r="EW81" s="20" t="n">
        <v>0</v>
      </c>
      <c r="EX81" s="20" t="n">
        <v>0</v>
      </c>
      <c r="EY81" s="20" t="n">
        <v>0</v>
      </c>
      <c r="EZ81" s="20" t="n">
        <v>0</v>
      </c>
      <c r="FA81" s="20" t="n">
        <v>0</v>
      </c>
      <c r="FB81" s="20" t="n">
        <v>0</v>
      </c>
      <c r="FC81" s="20" t="n">
        <v>0</v>
      </c>
      <c r="FD81" s="20" t="n">
        <v>0</v>
      </c>
      <c r="FE81" s="20" t="n">
        <f aca="false">IF(H_Direct=1,IF(AKR80&lt;=0,0,IF(BR81&lt;=0,AKR80,AKR80-G81*MAX(0,BR81*AKR80-(H81+I81)))),AKR80*(1-MAX(0,BR81)*H_Exit))</f>
        <v>0</v>
      </c>
      <c r="FF81" s="20" t="n">
        <f aca="false">IF(H_Direct=1,IF(AKS80&lt;=0,0,IF(BS81&lt;=0,AKS80,AKS80-G81*MAX(0,BS81*AKS80-(IR81+ME81)))),AKS80*(1-MAX(0,BS81)*H_Exit))</f>
        <v>0</v>
      </c>
      <c r="FG81" s="20" t="n">
        <f aca="false">IF(H_Direct=1,IF(AKT80&lt;=0,0,IF(BT81&lt;=0,AKT80,AKT80-G81*MAX(0,BT81*AKT80-(IS81+MF81)))),AKT80*(1-MAX(0,BT81)*H_Exit))</f>
        <v>0</v>
      </c>
      <c r="FH81" s="20" t="n">
        <f aca="false">IF(H_Direct=1,IF(AKU80&lt;=0,0,IF(BU81&lt;=0,AKU80,AKU80-G81*MAX(0,BU81*AKU80-(IT81+MG81)))),AKU80*(1-MAX(0,BU81)*H_Exit))</f>
        <v>0</v>
      </c>
      <c r="FI81" s="20" t="n">
        <f aca="false">IF(H_Direct=1,IF(AKV80&lt;=0,0,IF(BV81&lt;=0,AKV80,AKV80-G81*MAX(0,BV81*AKV80-(IU81+MH81)))),AKV80*(1-MAX(0,BV81)*H_Exit))</f>
        <v>0</v>
      </c>
      <c r="FJ81" s="20" t="n">
        <f aca="false">IF(H_Direct=1,IF(AKW80&lt;=0,0,IF(BW81&lt;=0,AKW80,AKW80-G81*MAX(0,BW81*AKW80-(IV81+MI81)))),AKW80*(1-MAX(0,BW81)*H_Exit))</f>
        <v>0</v>
      </c>
      <c r="FK81" s="20" t="n">
        <f aca="false">IF(H_Direct=1,IF(AKX80&lt;=0,0,IF(BX81&lt;=0,AKX80,AKX80-G81*MAX(0,BX81*AKX80-(IW81+MJ81)))),AKX80*(1-MAX(0,BX81)*H_Exit))</f>
        <v>0</v>
      </c>
      <c r="FL81" s="20" t="n">
        <f aca="false">IF(H_Direct=1,IF(AKY80&lt;=0,0,IF(BY81&lt;=0,AKY80,AKY80-G81*MAX(0,BY81*AKY80-(IX81+MK81)))),AKY80*(1-MAX(0,BY81)*H_Exit))</f>
        <v>0</v>
      </c>
      <c r="FM81" s="20" t="n">
        <f aca="false">IF(H_Direct=1,IF(AKZ80&lt;=0,0,IF(BZ81&lt;=0,AKZ80,AKZ80-G81*MAX(0,BZ81*AKZ80-(IY81+ML81)))),AKZ80*(1-MAX(0,BZ81)*H_Exit))</f>
        <v>0</v>
      </c>
      <c r="FN81" s="20" t="n">
        <f aca="false">IF(H_Direct=1,IF(ALA80&lt;=0,0,IF(CA81&lt;=0,ALA80,ALA80-G81*MAX(0,CA81*ALA80-(IZ81+MM81)))),ALA80*(1-MAX(0,CA81)*H_Exit))</f>
        <v>0</v>
      </c>
      <c r="FO81" s="20" t="n">
        <f aca="false">IF(H_Direct=1,IF(ALB80&lt;=0,0,IF(CB81&lt;=0,ALB80,ALB80-G81*MAX(0,CB81*ALB80-(JA81+MN81)))),ALB80*(1-MAX(0,CB81)*H_Exit))</f>
        <v>0</v>
      </c>
      <c r="FP81" s="20" t="n">
        <f aca="false">IF(H_Direct=1,IF(ALC80&lt;=0,0,IF(CC81&lt;=0,ALC80,ALC80-G81*MAX(0,CC81*ALC80-(JB81+MO81)))),ALC80*(1-MAX(0,CC81)*H_Exit))</f>
        <v>0</v>
      </c>
      <c r="FQ81" s="20" t="n">
        <f aca="false">IF(H_Direct=1,IF(ALD80&lt;=0,0,IF(CD81&lt;=0,ALD80,ALD80-G81*MAX(0,CD81*ALD80-(JC81+MP81)))),ALD80*(1-MAX(0,CD81)*H_Exit))</f>
        <v>0</v>
      </c>
      <c r="FR81" s="20" t="n">
        <f aca="false">IF(H_Direct=1,IF(ALE80&lt;=0,0,IF(CE81&lt;=0,ALE80,ALE80-G81*MAX(0,CE81*ALE80-(JD81+MQ81)))),ALE80*(1-MAX(0,CE81)*H_Exit))</f>
        <v>0</v>
      </c>
      <c r="FS81" s="20" t="n">
        <f aca="false">IF(H_Direct=1,IF(ALF80&lt;=0,0,IF(CF81&lt;=0,ALF80,ALF80-G81*MAX(0,CF81*ALF80-(JE81+MR81)))),ALF80*(1-MAX(0,CF81)*H_Exit))</f>
        <v>0</v>
      </c>
      <c r="FT81" s="20" t="n">
        <f aca="false">IF(H_Direct=1,IF(ALG80&lt;=0,0,IF(CG81&lt;=0,ALG80,ALG80-G81*MAX(0,CG81*ALG80-(JF81+MS81)))),ALG80*(1-MAX(0,CG81)*H_Exit))</f>
        <v>0</v>
      </c>
      <c r="FU81" s="20" t="n">
        <f aca="false">IF(H_Direct=1,IF(ALH80&lt;=0,0,IF(CH81&lt;=0,ALH80,ALH80-G81*MAX(0,CH81*ALH80-(JG81+MT81)))),ALH80*(1-MAX(0,CH81)*H_Exit))</f>
        <v>0</v>
      </c>
      <c r="FV81" s="20" t="n">
        <f aca="false">IF(H_Direct=1,IF(ALI80&lt;=0,0,IF(CI81&lt;=0,ALI80,ALI80-G81*MAX(0,CI81*ALI80-(JH81+MU81)))),ALI80*(1-MAX(0,CI81)*H_Exit))</f>
        <v>0</v>
      </c>
      <c r="FW81" s="20" t="n">
        <f aca="false">IF(H_Direct=1,IF(ALJ80&lt;=0,0,IF(CJ81&lt;=0,ALJ80,ALJ80-G81*MAX(0,CJ81*ALJ80-(JI81+MV81)))),ALJ80*(1-MAX(0,CJ81)*H_Exit))</f>
        <v>0</v>
      </c>
      <c r="FX81" s="20" t="n">
        <f aca="false">IF(H_Direct=1,IF(ALK80&lt;=0,0,IF(CK81&lt;=0,ALK80,ALK80-G81*MAX(0,CK81*ALK80-(JJ81+MW81)))),ALK80*(1-MAX(0,CK81)*H_Exit))</f>
        <v>0</v>
      </c>
      <c r="FY81" s="20" t="n">
        <f aca="false">IF(H_Direct=1,IF(ALL80&lt;=0,0,IF(CL81&lt;=0,ALL80,ALL80-G81*MAX(0,CL81*ALL80-(JK81+MX81)))),ALL80*(1-MAX(0,CL81)*H_Exit))</f>
        <v>0</v>
      </c>
      <c r="FZ81" s="20" t="n">
        <f aca="false">IF(H_Direct=1,IF(ALM80&lt;=0,0,IF(CM81&lt;=0,ALM80,ALM80-G81*MAX(0,CM81*ALM80-(JL81+MY81)))),ALM80*(1-MAX(0,CM81)*H_Exit))</f>
        <v>0</v>
      </c>
      <c r="GA81" s="20" t="n">
        <f aca="false">IF(H_Direct=1,IF(ALN80&lt;=0,0,IF(CN81&lt;=0,ALN80,ALN80-G81*MAX(0,CN81*ALN80-(JM81+MZ81)))),ALN80*(1-MAX(0,CN81)*H_Exit))</f>
        <v>0</v>
      </c>
      <c r="GB81" s="20" t="n">
        <f aca="false">IF(H_Direct=1,IF(ALO80&lt;=0,0,IF(CO81&lt;=0,ALO80,ALO80-G81*MAX(0,CO81*ALO80-(JN81+NA81)))),ALO80*(1-MAX(0,CO81)*H_Exit))</f>
        <v>0</v>
      </c>
      <c r="GC81" s="20" t="n">
        <f aca="false">IF(H_Direct=1,IF(ALP80&lt;=0,0,IF(CP81&lt;=0,ALP80,ALP80-G81*MAX(0,CP81*ALP80-(JO81+NB81)))),ALP80*(1-MAX(0,CP81)*H_Exit))</f>
        <v>0</v>
      </c>
      <c r="GD81" s="20" t="n">
        <f aca="false">IF(H_Direct=1,IF(ALQ80&lt;=0,0,IF(CQ81&lt;=0,ALQ80,ALQ80-G81*MAX(0,CQ81*ALQ80-(JP81+NC81)))),ALQ80*(1-MAX(0,CQ81)*H_Exit))</f>
        <v>0</v>
      </c>
      <c r="GE81" s="20" t="n">
        <f aca="false">IF(H_Direct=1,IF(ALR80&lt;=0,0,IF(CR81&lt;=0,ALR80,ALR80-G81*MAX(0,CR81*ALR80-(JQ81+ND81)))),ALR80*(1-MAX(0,CR81)*H_Exit))</f>
        <v>0</v>
      </c>
      <c r="GF81" s="20" t="n">
        <f aca="false">IF(H_Direct=1,IF(ALS80&lt;=0,0,IF(CS81&lt;=0,ALS80,ALS80-G81*MAX(0,CS81*ALS80-(JR81+NE81)))),ALS80*(1-MAX(0,CS81)*H_Exit))</f>
        <v>0</v>
      </c>
      <c r="GG81" s="20" t="n">
        <f aca="false">IF(H_Direct=1,IF(ALT80&lt;=0,0,IF(CT81&lt;=0,ALT80,ALT80-G81*MAX(0,CT81*ALT80-(JS81+NF81)))),ALT80*(1-MAX(0,CT81)*H_Exit))</f>
        <v>0</v>
      </c>
      <c r="GH81" s="20" t="n">
        <f aca="false">IF(H_Direct=1,IF(ALU80&lt;=0,0,IF(CU81&lt;=0,ALU80,ALU80-G81*MAX(0,CU81*ALU80-(JT81+NG81)))),ALU80*(1-MAX(0,CU81)*H_Exit))</f>
        <v>0</v>
      </c>
      <c r="GI81" s="20" t="n">
        <f aca="false">IF(H_Direct=1,IF(ALV80&lt;=0,0,IF(CV81&lt;=0,ALV80,ALV80-G81*MAX(0,CV81*ALV80-(JU81+NH81)))),ALV80*(1-MAX(0,CV81)*H_Exit))</f>
        <v>0</v>
      </c>
      <c r="GJ81" s="20" t="n">
        <f aca="false">IF(H_Direct=1,IF(ALW80&lt;=0,0,IF(CW81&lt;=0,ALW80,ALW80-G81*MAX(0,CW81*ALW80-(JV81+NI81)))),ALW80*(1-MAX(0,CW81)*H_Exit))</f>
        <v>0</v>
      </c>
      <c r="GK81" s="20" t="n">
        <f aca="false">IF(H_Direct=1,IF(ALX80&lt;=0,0,IF(CX81&lt;=0,ALX80,ALX80-G81*MAX(0,CX81*ALX80-(JW81+NJ81)))),ALX80*(1-MAX(0,CX81)*H_Exit))</f>
        <v>0</v>
      </c>
      <c r="GL81" s="20" t="n">
        <f aca="false">IF(H_Direct=1,IF(ALY80&lt;=0,0,IF(CY81&lt;=0,ALY80,ALY80-G81*MAX(0,CY81*ALY80-(JX81+NK81)))),ALY80*(1-MAX(0,CY81)*H_Exit))</f>
        <v>0</v>
      </c>
      <c r="GM81" s="20" t="n">
        <f aca="false">IF(H_Direct=1,IF(ALZ80&lt;=0,0,IF(CZ81&lt;=0,ALZ80,ALZ80-G81*MAX(0,CZ81*ALZ80-(JY81+NL81)))),ALZ80*(1-MAX(0,CZ81)*H_Exit))</f>
        <v>0</v>
      </c>
      <c r="GN81" s="20" t="n">
        <f aca="false">IF(H_Direct=1,IF(AMA80&lt;=0,0,IF(DA81&lt;=0,AMA80,AMA80-G81*MAX(0,DA81*AMA80-(JZ81+NM81)))),AMA80*(1-MAX(0,DA81)*H_Exit))</f>
        <v>0</v>
      </c>
      <c r="GO81" s="20" t="n">
        <f aca="false">IF(H_Direct=1,IF(AMB80&lt;=0,0,IF(DB81&lt;=0,AMB80,AMB80-G81*MAX(0,DB81*AMB80-(KA81+NN81)))),AMB80*(1-MAX(0,DB81)*H_Exit))</f>
        <v>0</v>
      </c>
      <c r="GP81" s="20" t="n">
        <f aca="false">IF(H_Direct=1,IF(AMC80&lt;=0,0,IF(DC81&lt;=0,AMC80,AMC80-G81*MAX(0,DC81*AMC80-(KB81+NO81)))),AMC80*(1-MAX(0,DC81)*H_Exit))</f>
        <v>0</v>
      </c>
      <c r="GQ81" s="20" t="n">
        <f aca="false">IF(H_Direct=1,IF(AMD80&lt;=0,0,IF(DD81&lt;=0,AMD80,AMD80-G81*MAX(0,DD81*AMD80-(KC81+NP81)))),AMD80*(1-MAX(0,DD81)*H_Exit))</f>
        <v>0</v>
      </c>
      <c r="GR81" s="20" t="n">
        <f aca="false">IF(H_Direct=1,IF(AME80&lt;=0,0,IF(DE81&lt;=0,AME80,AME80-G81*MAX(0,DE81*AME80-(KD81+NQ81)))),AME80*(1-MAX(0,DE81)*H_Exit))</f>
        <v>0</v>
      </c>
      <c r="GS81" s="20" t="n">
        <f aca="false">IF(H_Direct=1,IF(AMF80&lt;=0,0,IF(DF81&lt;=0,AMF80,AMF80-G81*MAX(0,DF81*AMF80-(KE81+NR81)))),AMF80*(1-MAX(0,DF81)*H_Exit))</f>
        <v>0</v>
      </c>
      <c r="GT81" s="20" t="n">
        <f aca="false">IF(H_Direct=1,IF(AMG80&lt;=0,0,IF(DG81&lt;=0,AMG80,AMG80-G81*MAX(0,DG81*AMG80-(KF81+NS81)))),AMG80*(1-MAX(0,DG81)*H_Exit))</f>
        <v>0</v>
      </c>
      <c r="GU81" s="20" t="n">
        <f aca="false">IF(H_Direct=1,IF(AMH80&lt;=0,0,IF(DH81&lt;=0,AMH80,AMH80-G81*MAX(0,DH81*AMH80-(KG81+NT81)))),AMH80*(1-MAX(0,DH81)*H_Exit))</f>
        <v>0</v>
      </c>
      <c r="GV81" s="20" t="n">
        <f aca="false">IF(H_Direct=1,IF(AMI80&lt;=0,0,IF(DI81&lt;=0,AMI80,AMI80-G81*MAX(0,DI81*AMI80-(KH81+NU81)))),AMI80*(1-MAX(0,DI81)*H_Exit))</f>
        <v>0</v>
      </c>
      <c r="GW81" s="20" t="n">
        <f aca="false">IF(H_Direct=1,IF(AMJ80&lt;=0,0,IF(DJ81&lt;=0,AMJ80,AMJ80-G81*MAX(0,DJ81*AMJ80-(KI81+NV81)))),AMJ80*(1-MAX(0,DJ81)*H_Exit))</f>
        <v>0</v>
      </c>
      <c r="GX81" s="20" t="n">
        <f aca="false">IF(H_Direct=1,IF(AMK80&lt;=0,0,IF(DK81&lt;=0,AMK80,AMK80-G81*MAX(0,DK81*AMK80-(KJ81+NW81)))),AMK80*(1-MAX(0,DK81)*H_Exit))</f>
        <v>0</v>
      </c>
      <c r="GY81" s="20" t="n">
        <f aca="false">IF(H_Direct=1,IF(AML80&lt;=0,0,IF(DL81&lt;=0,AML80,AML80-G81*MAX(0,DL81*AML80-(KK81+NX81)))),AML80*(1-MAX(0,DL81)*H_Exit))</f>
        <v>0</v>
      </c>
      <c r="GZ81" s="20" t="n">
        <f aca="false">IF(H_Direct=1,IF(AMM80&lt;=0,0,IF(DM81&lt;=0,AMM80,AMM80-G81*MAX(0,DM81*AMM80-(KL81+NY81)))),AMM80*(1-MAX(0,DM81)*H_Exit))</f>
        <v>0</v>
      </c>
      <c r="HA81" s="20" t="n">
        <f aca="false">IF(H_Direct=1,IF(AMN80&lt;=0,0,IF(DN81&lt;=0,AMN80,AMN80-G81*MAX(0,DN81*AMN80-(KM81+NZ81)))),AMN80*(1-MAX(0,DN81)*H_Exit))</f>
        <v>0</v>
      </c>
      <c r="HB81" s="20" t="n">
        <f aca="false">IF(H_Direct=1,IF(AMO80&lt;=0,0,IF(DO81&lt;=0,AMO80,AMO80-G81*MAX(0,DO81*AMO80-(KN81+OA81)))),AMO80*(1-MAX(0,DO81)*H_Exit))</f>
        <v>0</v>
      </c>
      <c r="HC81" s="20" t="n">
        <f aca="false">IF(H_Direct=1,IF(AMP80&lt;=0,0,IF(DP81&lt;=0,AMP80,AMP80-G81*MAX(0,DP81*AMP80-(KO81+OB81)))),AMP80*(1-MAX(0,DP81)*H_Exit))</f>
        <v>0</v>
      </c>
      <c r="HD81" s="20" t="n">
        <f aca="false">IF(H_Direct=1,IF(AMQ80&lt;=0,0,IF(DQ81&lt;=0,AMQ80,AMQ80-G81*MAX(0,DQ81*AMQ80-(KP81+OC81)))),AMQ80*(1-MAX(0,DQ81)*H_Exit))</f>
        <v>0</v>
      </c>
      <c r="HE81" s="20" t="n">
        <f aca="false">IF(H_Direct=1,IF(AMR80&lt;=0,0,IF(DR81&lt;=0,AMR80,AMR80-G81*MAX(0,DR81*AMR80-(KQ81+OD81)))),AMR80*(1-MAX(0,DR81)*H_Exit))</f>
        <v>0</v>
      </c>
      <c r="HF81" s="20" t="n">
        <f aca="false">IF(H_Direct=1,IF(AMS80&lt;=0,0,IF(DS81&lt;=0,AMS80,AMS80-G81*MAX(0,DS81*AMS80-(KR81+OE81)))),AMS80*(1-MAX(0,DS81)*H_Exit))</f>
        <v>0</v>
      </c>
      <c r="HG81" s="20" t="n">
        <f aca="false">IF(H_Direct=1,IF(AMT80&lt;=0,0,IF(DT81&lt;=0,AMT80,AMT80-G81*MAX(0,DT81*AMT80-(KS81+OF81)))),AMT80*(1-MAX(0,DT81)*H_Exit))</f>
        <v>0</v>
      </c>
      <c r="HH81" s="20" t="n">
        <f aca="false">IF(H_Direct=1,IF(AMU80&lt;=0,0,IF(DU81&lt;=0,AMU80,AMU80-G81*MAX(0,DU81*AMU80-(KT81+OG81)))),AMU80*(1-MAX(0,DU81)*H_Exit))</f>
        <v>0</v>
      </c>
      <c r="HI81" s="20" t="n">
        <f aca="false">IF(H_Direct=1,IF(AMV80&lt;=0,0,IF(DV81&lt;=0,AMV80,AMV80-G81*MAX(0,DV81*AMV80-(KU81+OH81)))),AMV80*(1-MAX(0,DV81)*H_Exit))</f>
        <v>0</v>
      </c>
      <c r="HJ81" s="20" t="n">
        <f aca="false">IF(H_Direct=1,IF(AMW80&lt;=0,0,IF(DW81&lt;=0,AMW80,AMW80-G81*MAX(0,DW81*AMW80-(KV81+OI81)))),AMW80*(1-MAX(0,DW81)*H_Exit))</f>
        <v>0</v>
      </c>
      <c r="HK81" s="20" t="n">
        <f aca="false">IF(H_Direct=1,IF(AMX80&lt;=0,0,IF(DX81&lt;=0,AMX80,AMX80-G81*MAX(0,DX81*AMX80-(KW81+OJ81)))),AMX80*(1-MAX(0,DX81)*H_Exit))</f>
        <v>0</v>
      </c>
      <c r="HL81" s="20" t="n">
        <f aca="false">IF(H_Direct=1,IF(AMY80&lt;=0,0,IF(DY81&lt;=0,AMY80,AMY80-G81*MAX(0,DY81*AMY80-(KX81+OK81)))),AMY80*(1-MAX(0,DY81)*H_Exit))</f>
        <v>0</v>
      </c>
      <c r="HM81" s="20" t="n">
        <f aca="false">IF(H_Direct=1,IF(AMZ80&lt;=0,0,IF(DZ81&lt;=0,AMZ80,AMZ80-G81*MAX(0,DZ81*AMZ80-(KY81+OL81)))),AMZ80*(1-MAX(0,DZ81)*H_Exit))</f>
        <v>0</v>
      </c>
      <c r="HN81" s="20" t="n">
        <f aca="false">IF(H_Direct=1,IF(ANA80&lt;=0,0,IF(EA81&lt;=0,ANA80,ANA80-G81*MAX(0,EA81*ANA80-(KZ81+OM81)))),ANA80*(1-MAX(0,EA81)*H_Exit))</f>
        <v>0</v>
      </c>
      <c r="HO81" s="20" t="n">
        <f aca="false">IF(H_Direct=1,IF(ANB80&lt;=0,0,IF(EB81&lt;=0,ANB80,ANB80-G81*MAX(0,EB81*ANB80-(LA81+ON81)))),ANB80*(1-MAX(0,EB81)*H_Exit))</f>
        <v>0</v>
      </c>
      <c r="HP81" s="20" t="n">
        <f aca="false">IF(H_Direct=1,IF(ANC80&lt;=0,0,IF(EC81&lt;=0,ANC80,ANC80-G81*MAX(0,EC81*ANC80-(LB81+OO81)))),ANC80*(1-MAX(0,EC81)*H_Exit))</f>
        <v>0</v>
      </c>
      <c r="HQ81" s="20" t="n">
        <f aca="false">IF(H_Direct=1,IF(AND80&lt;=0,0,IF(ED81&lt;=0,AND80,AND80-G81*MAX(0,ED81*AND80-(LC81+OP81)))),AND80*(1-MAX(0,ED81)*H_Exit))</f>
        <v>0</v>
      </c>
      <c r="HR81" s="20" t="n">
        <f aca="false">IF(H_Direct=1,IF(ANE80&lt;=0,0,IF(EE81&lt;=0,ANE80,ANE80-G81*MAX(0,EE81*ANE80-(LD81+OQ81)))),ANE80*(1-MAX(0,EE81)*H_Exit))</f>
        <v>0</v>
      </c>
      <c r="HS81" s="20" t="n">
        <f aca="false">IF(H_Direct=1,IF(ANF80&lt;=0,0,IF(EF81&lt;=0,ANF80,ANF80-G81*MAX(0,EF81*ANF80-(LE81+OR81)))),ANF80*(1-MAX(0,EF81)*H_Exit))</f>
        <v>0</v>
      </c>
      <c r="HT81" s="20" t="n">
        <f aca="false">IF(H_Direct=1,IF(ANG80&lt;=0,0,IF(EG81&lt;=0,ANG80,ANG80-G81*MAX(0,EG81*ANG80-(LF81+OS81)))),ANG80*(1-MAX(0,EG81)*H_Exit))</f>
        <v>0</v>
      </c>
      <c r="HU81" s="20" t="n">
        <f aca="false">IF(H_Direct=1,IF(ANH80&lt;=0,0,IF(EH81&lt;=0,ANH80,ANH80-G81*MAX(0,EH81*ANH80-(LG81+OT81)))),ANH80*(1-MAX(0,EH81)*H_Exit))</f>
        <v>0</v>
      </c>
      <c r="HV81" s="20" t="n">
        <f aca="false">IF(H_Direct=1,IF(ANI80&lt;=0,0,IF(EI81&lt;=0,ANI80,ANI80-G81*MAX(0,EI81*ANI80-(LH81+OU81)))),ANI80*(1-MAX(0,EI81)*H_Exit))</f>
        <v>0</v>
      </c>
      <c r="HW81" s="20" t="n">
        <f aca="false">IF(H_Direct=1,IF(ANJ80&lt;=0,0,IF(EJ81&lt;=0,ANJ80,ANJ80-G81*MAX(0,EJ81*ANJ80-(LI81+OV81)))),ANJ80*(1-MAX(0,EJ81)*H_Exit))</f>
        <v>0</v>
      </c>
      <c r="HX81" s="20" t="n">
        <f aca="false">IF(H_Direct=1,IF(ANK80&lt;=0,0,IF(EK81&lt;=0,ANK80,ANK80-G81*MAX(0,EK81*ANK80-(LJ81+OW81)))),ANK80*(1-MAX(0,EK81)*H_Exit))</f>
        <v>0</v>
      </c>
      <c r="HY81" s="20" t="n">
        <f aca="false">IF(H_Direct=1,IF(ANL80&lt;=0,0,IF(EL81&lt;=0,ANL80,ANL80-G81*MAX(0,EL81*ANL80-(LK81+OX81)))),ANL80*(1-MAX(0,EL81)*H_Exit))</f>
        <v>0</v>
      </c>
      <c r="HZ81" s="20" t="n">
        <f aca="false">IF(H_Direct=1,IF(ANM80&lt;=0,0,IF(EM81&lt;=0,ANM80,ANM80-G81*MAX(0,EM81*ANM80-(LL81+OY81)))),ANM80*(1-MAX(0,EM81)*H_Exit))</f>
        <v>0</v>
      </c>
      <c r="IA81" s="20" t="n">
        <f aca="false">IF(H_Direct=1,IF((P81+S81)&lt;=0,0,IF(EN81&lt;=0,(P81+S81),(P81+S81)-G81*MAX(0,EN81*(P81+S81)-(LM81+OZ81)))),(P81+S81)*(1-MAX(0,EN81)*H_Exit))</f>
        <v>0</v>
      </c>
      <c r="IB81" s="20" t="n">
        <v>0</v>
      </c>
      <c r="IC81" s="20" t="n">
        <v>0</v>
      </c>
      <c r="ID81" s="20" t="n">
        <v>0</v>
      </c>
      <c r="IE81" s="20" t="n">
        <v>0</v>
      </c>
      <c r="IF81" s="20" t="n">
        <v>0</v>
      </c>
      <c r="IG81" s="20" t="n">
        <v>0</v>
      </c>
      <c r="IH81" s="20" t="n">
        <v>0</v>
      </c>
      <c r="II81" s="20" t="n">
        <v>0</v>
      </c>
      <c r="IJ81" s="20" t="n">
        <v>0</v>
      </c>
      <c r="IK81" s="20" t="n">
        <v>0</v>
      </c>
      <c r="IL81" s="20" t="n">
        <v>0</v>
      </c>
      <c r="IM81" s="20" t="n">
        <v>0</v>
      </c>
      <c r="IN81" s="20" t="n">
        <v>0</v>
      </c>
      <c r="IO81" s="20" t="n">
        <v>0</v>
      </c>
      <c r="IP81" s="20" t="n">
        <v>0</v>
      </c>
      <c r="IQ81" s="20" t="n">
        <v>0</v>
      </c>
      <c r="IR81" s="20" t="n">
        <f aca="false">IF(AND(H_Direct=1,BR81&gt;0),MAX(0,H81-(MIN(BR81*AKR80,H81+I81)-MIN(MIN(BR81*AKR80,H81+I81),I81))),H81)</f>
        <v>1270</v>
      </c>
      <c r="IS81" s="20" t="n">
        <f aca="false">IF(AND(H_Direct=1,BS81&gt;0),MAX(0,IR81-(MIN(BS81*AKS80,IR81+ME81)-MIN(MIN(BS81*AKS80,IR81+ME81),ME81))),IR81)</f>
        <v>1270</v>
      </c>
      <c r="IT81" s="20" t="n">
        <f aca="false">IF(AND(H_Direct=1,BT81&gt;0),MAX(0,IS81-(MIN(BT81*AKT80,IS81+MF81)-MIN(MIN(BT81*AKT80,IS81+MF81),MF81))),IS81)</f>
        <v>1270</v>
      </c>
      <c r="IU81" s="20" t="n">
        <f aca="false">IF(AND(H_Direct=1,BU81&gt;0),MAX(0,IT81-(MIN(BU81*AKU80,IT81+MG81)-MIN(MIN(BU81*AKU80,IT81+MG81),MG81))),IT81)</f>
        <v>1270</v>
      </c>
      <c r="IV81" s="20" t="n">
        <f aca="false">IF(AND(H_Direct=1,BV81&gt;0),MAX(0,IU81-(MIN(BV81*AKV80,IU81+MH81)-MIN(MIN(BV81*AKV80,IU81+MH81),MH81))),IU81)</f>
        <v>1270</v>
      </c>
      <c r="IW81" s="20" t="n">
        <f aca="false">IF(AND(H_Direct=1,BW81&gt;0),MAX(0,IV81-(MIN(BW81*AKW80,IV81+MI81)-MIN(MIN(BW81*AKW80,IV81+MI81),MI81))),IV81)</f>
        <v>1270</v>
      </c>
      <c r="IX81" s="20" t="n">
        <f aca="false">IF(AND(H_Direct=1,BX81&gt;0),MAX(0,IW81-(MIN(BX81*AKX80,IW81+MJ81)-MIN(MIN(BX81*AKX80,IW81+MJ81),MJ81))),IW81)</f>
        <v>1270</v>
      </c>
      <c r="IY81" s="20" t="n">
        <f aca="false">IF(AND(H_Direct=1,BY81&gt;0),MAX(0,IX81-(MIN(BY81*AKY80,IX81+MK81)-MIN(MIN(BY81*AKY80,IX81+MK81),MK81))),IX81)</f>
        <v>1270</v>
      </c>
      <c r="IZ81" s="20" t="n">
        <f aca="false">IF(AND(H_Direct=1,BZ81&gt;0),MAX(0,IY81-(MIN(BZ81*AKZ80,IY81+ML81)-MIN(MIN(BZ81*AKZ80,IY81+ML81),ML81))),IY81)</f>
        <v>1270</v>
      </c>
      <c r="JA81" s="20" t="n">
        <f aca="false">IF(AND(H_Direct=1,CA81&gt;0),MAX(0,IZ81-(MIN(CA81*ALA80,IZ81+MM81)-MIN(MIN(CA81*ALA80,IZ81+MM81),MM81))),IZ81)</f>
        <v>1270</v>
      </c>
      <c r="JB81" s="20" t="n">
        <f aca="false">IF(AND(H_Direct=1,CB81&gt;0),MAX(0,JA81-(MIN(CB81*ALB80,JA81+MN81)-MIN(MIN(CB81*ALB80,JA81+MN81),MN81))),JA81)</f>
        <v>1270</v>
      </c>
      <c r="JC81" s="20" t="n">
        <f aca="false">IF(AND(H_Direct=1,CC81&gt;0),MAX(0,JB81-(MIN(CC81*ALC80,JB81+MO81)-MIN(MIN(CC81*ALC80,JB81+MO81),MO81))),JB81)</f>
        <v>1270</v>
      </c>
      <c r="JD81" s="20" t="n">
        <f aca="false">IF(AND(H_Direct=1,CD81&gt;0),MAX(0,JC81-(MIN(CD81*ALD80,JC81+MP81)-MIN(MIN(CD81*ALD80,JC81+MP81),MP81))),JC81)</f>
        <v>1270</v>
      </c>
      <c r="JE81" s="20" t="n">
        <f aca="false">IF(AND(H_Direct=1,CE81&gt;0),MAX(0,JD81-(MIN(CE81*ALE80,JD81+MQ81)-MIN(MIN(CE81*ALE80,JD81+MQ81),MQ81))),JD81)</f>
        <v>1270</v>
      </c>
      <c r="JF81" s="20" t="n">
        <f aca="false">IF(AND(H_Direct=1,CF81&gt;0),MAX(0,JE81-(MIN(CF81*ALF80,JE81+MR81)-MIN(MIN(CF81*ALF80,JE81+MR81),MR81))),JE81)</f>
        <v>1270</v>
      </c>
      <c r="JG81" s="20" t="n">
        <f aca="false">IF(AND(H_Direct=1,CG81&gt;0),MAX(0,JF81-(MIN(CG81*ALG80,JF81+MS81)-MIN(MIN(CG81*ALG80,JF81+MS81),MS81))),JF81)</f>
        <v>1270</v>
      </c>
      <c r="JH81" s="20" t="n">
        <f aca="false">IF(AND(H_Direct=1,CH81&gt;0),MAX(0,JG81-(MIN(CH81*ALH80,JG81+MT81)-MIN(MIN(CH81*ALH80,JG81+MT81),MT81))),JG81)</f>
        <v>1270</v>
      </c>
      <c r="JI81" s="20" t="n">
        <f aca="false">IF(AND(H_Direct=1,CI81&gt;0),MAX(0,JH81-(MIN(CI81*ALI80,JH81+MU81)-MIN(MIN(CI81*ALI80,JH81+MU81),MU81))),JH81)</f>
        <v>1270</v>
      </c>
      <c r="JJ81" s="20" t="n">
        <f aca="false">IF(AND(H_Direct=1,CJ81&gt;0),MAX(0,JI81-(MIN(CJ81*ALJ80,JI81+MV81)-MIN(MIN(CJ81*ALJ80,JI81+MV81),MV81))),JI81)</f>
        <v>1270</v>
      </c>
      <c r="JK81" s="20" t="n">
        <f aca="false">IF(AND(H_Direct=1,CK81&gt;0),MAX(0,JJ81-(MIN(CK81*ALK80,JJ81+MW81)-MIN(MIN(CK81*ALK80,JJ81+MW81),MW81))),JJ81)</f>
        <v>1270</v>
      </c>
      <c r="JL81" s="20" t="n">
        <f aca="false">IF(AND(H_Direct=1,CL81&gt;0),MAX(0,JK81-(MIN(CL81*ALL80,JK81+MX81)-MIN(MIN(CL81*ALL80,JK81+MX81),MX81))),JK81)</f>
        <v>1270</v>
      </c>
      <c r="JM81" s="20" t="n">
        <f aca="false">IF(AND(H_Direct=1,CM81&gt;0),MAX(0,JL81-(MIN(CM81*ALM80,JL81+MY81)-MIN(MIN(CM81*ALM80,JL81+MY81),MY81))),JL81)</f>
        <v>1270</v>
      </c>
      <c r="JN81" s="20" t="n">
        <f aca="false">IF(AND(H_Direct=1,CN81&gt;0),MAX(0,JM81-(MIN(CN81*ALN80,JM81+MZ81)-MIN(MIN(CN81*ALN80,JM81+MZ81),MZ81))),JM81)</f>
        <v>1270</v>
      </c>
      <c r="JO81" s="20" t="n">
        <f aca="false">IF(AND(H_Direct=1,CO81&gt;0),MAX(0,JN81-(MIN(CO81*ALO80,JN81+NA81)-MIN(MIN(CO81*ALO80,JN81+NA81),NA81))),JN81)</f>
        <v>1270</v>
      </c>
      <c r="JP81" s="20" t="n">
        <f aca="false">IF(AND(H_Direct=1,CP81&gt;0),MAX(0,JO81-(MIN(CP81*ALP80,JO81+NB81)-MIN(MIN(CP81*ALP80,JO81+NB81),NB81))),JO81)</f>
        <v>1270</v>
      </c>
      <c r="JQ81" s="20" t="n">
        <f aca="false">IF(AND(H_Direct=1,CQ81&gt;0),MAX(0,JP81-(MIN(CQ81*ALQ80,JP81+NC81)-MIN(MIN(CQ81*ALQ80,JP81+NC81),NC81))),JP81)</f>
        <v>1270</v>
      </c>
      <c r="JR81" s="20" t="n">
        <f aca="false">IF(AND(H_Direct=1,CR81&gt;0),MAX(0,JQ81-(MIN(CR81*ALR80,JQ81+ND81)-MIN(MIN(CR81*ALR80,JQ81+ND81),ND81))),JQ81)</f>
        <v>1270</v>
      </c>
      <c r="JS81" s="20" t="n">
        <f aca="false">IF(AND(H_Direct=1,CS81&gt;0),MAX(0,JR81-(MIN(CS81*ALS80,JR81+NE81)-MIN(MIN(CS81*ALS80,JR81+NE81),NE81))),JR81)</f>
        <v>1270</v>
      </c>
      <c r="JT81" s="20" t="n">
        <f aca="false">IF(AND(H_Direct=1,CT81&gt;0),MAX(0,JS81-(MIN(CT81*ALT80,JS81+NF81)-MIN(MIN(CT81*ALT80,JS81+NF81),NF81))),JS81)</f>
        <v>1270</v>
      </c>
      <c r="JU81" s="20" t="n">
        <f aca="false">IF(AND(H_Direct=1,CU81&gt;0),MAX(0,JT81-(MIN(CU81*ALU80,JT81+NG81)-MIN(MIN(CU81*ALU80,JT81+NG81),NG81))),JT81)</f>
        <v>1270</v>
      </c>
      <c r="JV81" s="20" t="n">
        <f aca="false">IF(AND(H_Direct=1,CV81&gt;0),MAX(0,JU81-(MIN(CV81*ALV80,JU81+NH81)-MIN(MIN(CV81*ALV80,JU81+NH81),NH81))),JU81)</f>
        <v>1270</v>
      </c>
      <c r="JW81" s="20" t="n">
        <f aca="false">IF(AND(H_Direct=1,CW81&gt;0),MAX(0,JV81-(MIN(CW81*ALW80,JV81+NI81)-MIN(MIN(CW81*ALW80,JV81+NI81),NI81))),JV81)</f>
        <v>1270</v>
      </c>
      <c r="JX81" s="20" t="n">
        <f aca="false">IF(AND(H_Direct=1,CX81&gt;0),MAX(0,JW81-(MIN(CX81*ALX80,JW81+NJ81)-MIN(MIN(CX81*ALX80,JW81+NJ81),NJ81))),JW81)</f>
        <v>1270</v>
      </c>
      <c r="JY81" s="20" t="n">
        <f aca="false">IF(AND(H_Direct=1,CY81&gt;0),MAX(0,JX81-(MIN(CY81*ALY80,JX81+NK81)-MIN(MIN(CY81*ALY80,JX81+NK81),NK81))),JX81)</f>
        <v>1270</v>
      </c>
      <c r="JZ81" s="20" t="n">
        <f aca="false">IF(AND(H_Direct=1,CZ81&gt;0),MAX(0,JY81-(MIN(CZ81*ALZ80,JY81+NL81)-MIN(MIN(CZ81*ALZ80,JY81+NL81),NL81))),JY81)</f>
        <v>1270</v>
      </c>
      <c r="KA81" s="20" t="n">
        <f aca="false">IF(AND(H_Direct=1,DA81&gt;0),MAX(0,JZ81-(MIN(DA81*AMA80,JZ81+NM81)-MIN(MIN(DA81*AMA80,JZ81+NM81),NM81))),JZ81)</f>
        <v>1270</v>
      </c>
      <c r="KB81" s="20" t="n">
        <f aca="false">IF(AND(H_Direct=1,DB81&gt;0),MAX(0,KA81-(MIN(DB81*AMB80,KA81+NN81)-MIN(MIN(DB81*AMB80,KA81+NN81),NN81))),KA81)</f>
        <v>1270</v>
      </c>
      <c r="KC81" s="20" t="n">
        <f aca="false">IF(AND(H_Direct=1,DC81&gt;0),MAX(0,KB81-(MIN(DC81*AMC80,KB81+NO81)-MIN(MIN(DC81*AMC80,KB81+NO81),NO81))),KB81)</f>
        <v>1270</v>
      </c>
      <c r="KD81" s="20" t="n">
        <f aca="false">IF(AND(H_Direct=1,DD81&gt;0),MAX(0,KC81-(MIN(DD81*AMD80,KC81+NP81)-MIN(MIN(DD81*AMD80,KC81+NP81),NP81))),KC81)</f>
        <v>1270</v>
      </c>
      <c r="KE81" s="20" t="n">
        <f aca="false">IF(AND(H_Direct=1,DE81&gt;0),MAX(0,KD81-(MIN(DE81*AME80,KD81+NQ81)-MIN(MIN(DE81*AME80,KD81+NQ81),NQ81))),KD81)</f>
        <v>1270</v>
      </c>
      <c r="KF81" s="20" t="n">
        <f aca="false">IF(AND(H_Direct=1,DF81&gt;0),MAX(0,KE81-(MIN(DF81*AMF80,KE81+NR81)-MIN(MIN(DF81*AMF80,KE81+NR81),NR81))),KE81)</f>
        <v>1270</v>
      </c>
      <c r="KG81" s="20" t="n">
        <f aca="false">IF(AND(H_Direct=1,DG81&gt;0),MAX(0,KF81-(MIN(DG81*AMG80,KF81+NS81)-MIN(MIN(DG81*AMG80,KF81+NS81),NS81))),KF81)</f>
        <v>1270</v>
      </c>
      <c r="KH81" s="20" t="n">
        <f aca="false">IF(AND(H_Direct=1,DH81&gt;0),MAX(0,KG81-(MIN(DH81*AMH80,KG81+NT81)-MIN(MIN(DH81*AMH80,KG81+NT81),NT81))),KG81)</f>
        <v>1270</v>
      </c>
      <c r="KI81" s="20" t="n">
        <f aca="false">IF(AND(H_Direct=1,DI81&gt;0),MAX(0,KH81-(MIN(DI81*AMI80,KH81+NU81)-MIN(MIN(DI81*AMI80,KH81+NU81),NU81))),KH81)</f>
        <v>1270</v>
      </c>
      <c r="KJ81" s="20" t="n">
        <f aca="false">IF(AND(H_Direct=1,DJ81&gt;0),MAX(0,KI81-(MIN(DJ81*AMJ80,KI81+NV81)-MIN(MIN(DJ81*AMJ80,KI81+NV81),NV81))),KI81)</f>
        <v>1270</v>
      </c>
      <c r="KK81" s="20" t="n">
        <f aca="false">IF(AND(H_Direct=1,DK81&gt;0),MAX(0,KJ81-(MIN(DK81*AMK80,KJ81+NW81)-MIN(MIN(DK81*AMK80,KJ81+NW81),NW81))),KJ81)</f>
        <v>1270</v>
      </c>
      <c r="KL81" s="20" t="n">
        <f aca="false">IF(AND(H_Direct=1,DL81&gt;0),MAX(0,KK81-(MIN(DL81*AML80,KK81+NX81)-MIN(MIN(DL81*AML80,KK81+NX81),NX81))),KK81)</f>
        <v>1270</v>
      </c>
      <c r="KM81" s="20" t="n">
        <f aca="false">IF(AND(H_Direct=1,DM81&gt;0),MAX(0,KL81-(MIN(DM81*AMM80,KL81+NY81)-MIN(MIN(DM81*AMM80,KL81+NY81),NY81))),KL81)</f>
        <v>1270</v>
      </c>
      <c r="KN81" s="20" t="n">
        <f aca="false">IF(AND(H_Direct=1,DN81&gt;0),MAX(0,KM81-(MIN(DN81*AMN80,KM81+NZ81)-MIN(MIN(DN81*AMN80,KM81+NZ81),NZ81))),KM81)</f>
        <v>1270</v>
      </c>
      <c r="KO81" s="20" t="n">
        <f aca="false">IF(AND(H_Direct=1,DO81&gt;0),MAX(0,KN81-(MIN(DO81*AMO80,KN81+OA81)-MIN(MIN(DO81*AMO80,KN81+OA81),OA81))),KN81)</f>
        <v>1270</v>
      </c>
      <c r="KP81" s="20" t="n">
        <f aca="false">IF(AND(H_Direct=1,DP81&gt;0),MAX(0,KO81-(MIN(DP81*AMP80,KO81+OB81)-MIN(MIN(DP81*AMP80,KO81+OB81),OB81))),KO81)</f>
        <v>1270</v>
      </c>
      <c r="KQ81" s="20" t="n">
        <f aca="false">IF(AND(H_Direct=1,DQ81&gt;0),MAX(0,KP81-(MIN(DQ81*AMQ80,KP81+OC81)-MIN(MIN(DQ81*AMQ80,KP81+OC81),OC81))),KP81)</f>
        <v>1270</v>
      </c>
      <c r="KR81" s="20" t="n">
        <f aca="false">IF(AND(H_Direct=1,DR81&gt;0),MAX(0,KQ81-(MIN(DR81*AMR80,KQ81+OD81)-MIN(MIN(DR81*AMR80,KQ81+OD81),OD81))),KQ81)</f>
        <v>1270</v>
      </c>
      <c r="KS81" s="20" t="n">
        <f aca="false">IF(AND(H_Direct=1,DS81&gt;0),MAX(0,KR81-(MIN(DS81*AMS80,KR81+OE81)-MIN(MIN(DS81*AMS80,KR81+OE81),OE81))),KR81)</f>
        <v>1270</v>
      </c>
      <c r="KT81" s="20" t="n">
        <f aca="false">IF(AND(H_Direct=1,DT81&gt;0),MAX(0,KS81-(MIN(DT81*AMT80,KS81+OF81)-MIN(MIN(DT81*AMT80,KS81+OF81),OF81))),KS81)</f>
        <v>1270</v>
      </c>
      <c r="KU81" s="20" t="n">
        <f aca="false">IF(AND(H_Direct=1,DU81&gt;0),MAX(0,KT81-(MIN(DU81*AMU80,KT81+OG81)-MIN(MIN(DU81*AMU80,KT81+OG81),OG81))),KT81)</f>
        <v>1270</v>
      </c>
      <c r="KV81" s="20" t="n">
        <f aca="false">IF(AND(H_Direct=1,DV81&gt;0),MAX(0,KU81-(MIN(DV81*AMV80,KU81+OH81)-MIN(MIN(DV81*AMV80,KU81+OH81),OH81))),KU81)</f>
        <v>1270</v>
      </c>
      <c r="KW81" s="20" t="n">
        <f aca="false">IF(AND(H_Direct=1,DW81&gt;0),MAX(0,KV81-(MIN(DW81*AMW80,KV81+OI81)-MIN(MIN(DW81*AMW80,KV81+OI81),OI81))),KV81)</f>
        <v>1270</v>
      </c>
      <c r="KX81" s="20" t="n">
        <f aca="false">IF(AND(H_Direct=1,DX81&gt;0),MAX(0,KW81-(MIN(DX81*AMX80,KW81+OJ81)-MIN(MIN(DX81*AMX80,KW81+OJ81),OJ81))),KW81)</f>
        <v>1270</v>
      </c>
      <c r="KY81" s="20" t="n">
        <f aca="false">IF(AND(H_Direct=1,DY81&gt;0),MAX(0,KX81-(MIN(DY81*AMY80,KX81+OK81)-MIN(MIN(DY81*AMY80,KX81+OK81),OK81))),KX81)</f>
        <v>1270</v>
      </c>
      <c r="KZ81" s="20" t="n">
        <f aca="false">IF(AND(H_Direct=1,DZ81&gt;0),MAX(0,KY81-(MIN(DZ81*AMZ80,KY81+OL81)-MIN(MIN(DZ81*AMZ80,KY81+OL81),OL81))),KY81)</f>
        <v>1270</v>
      </c>
      <c r="LA81" s="20" t="n">
        <f aca="false">IF(AND(H_Direct=1,EA81&gt;0),MAX(0,KZ81-(MIN(EA81*ANA80,KZ81+OM81)-MIN(MIN(EA81*ANA80,KZ81+OM81),OM81))),KZ81)</f>
        <v>1270</v>
      </c>
      <c r="LB81" s="20" t="n">
        <f aca="false">IF(AND(H_Direct=1,EB81&gt;0),MAX(0,LA81-(MIN(EB81*ANB80,LA81+ON81)-MIN(MIN(EB81*ANB80,LA81+ON81),ON81))),LA81)</f>
        <v>1270</v>
      </c>
      <c r="LC81" s="20" t="n">
        <f aca="false">IF(AND(H_Direct=1,EC81&gt;0),MAX(0,LB81-(MIN(EC81*ANC80,LB81+OO81)-MIN(MIN(EC81*ANC80,LB81+OO81),OO81))),LB81)</f>
        <v>1270</v>
      </c>
      <c r="LD81" s="20" t="n">
        <f aca="false">IF(AND(H_Direct=1,ED81&gt;0),MAX(0,LC81-(MIN(ED81*AND80,LC81+OP81)-MIN(MIN(ED81*AND80,LC81+OP81),OP81))),LC81)</f>
        <v>1270</v>
      </c>
      <c r="LE81" s="20" t="n">
        <f aca="false">IF(AND(H_Direct=1,EE81&gt;0),MAX(0,LD81-(MIN(EE81*ANE80,LD81+OQ81)-MIN(MIN(EE81*ANE80,LD81+OQ81),OQ81))),LD81)</f>
        <v>1270</v>
      </c>
      <c r="LF81" s="20" t="n">
        <f aca="false">IF(AND(H_Direct=1,EF81&gt;0),MAX(0,LE81-(MIN(EF81*ANF80,LE81+OR81)-MIN(MIN(EF81*ANF80,LE81+OR81),OR81))),LE81)</f>
        <v>1270</v>
      </c>
      <c r="LG81" s="20" t="n">
        <f aca="false">IF(AND(H_Direct=1,EG81&gt;0),MAX(0,LF81-(MIN(EG81*ANG80,LF81+OS81)-MIN(MIN(EG81*ANG80,LF81+OS81),OS81))),LF81)</f>
        <v>1270</v>
      </c>
      <c r="LH81" s="20" t="n">
        <f aca="false">IF(AND(H_Direct=1,EH81&gt;0),MAX(0,LG81-(MIN(EH81*ANH80,LG81+OT81)-MIN(MIN(EH81*ANH80,LG81+OT81),OT81))),LG81)</f>
        <v>1270</v>
      </c>
      <c r="LI81" s="20" t="n">
        <f aca="false">IF(AND(H_Direct=1,EI81&gt;0),MAX(0,LH81-(MIN(EI81*ANI80,LH81+OU81)-MIN(MIN(EI81*ANI80,LH81+OU81),OU81))),LH81)</f>
        <v>1270</v>
      </c>
      <c r="LJ81" s="20" t="n">
        <f aca="false">IF(AND(H_Direct=1,EJ81&gt;0),MAX(0,LI81-(MIN(EJ81*ANJ80,LI81+OV81)-MIN(MIN(EJ81*ANJ80,LI81+OV81),OV81))),LI81)</f>
        <v>1270</v>
      </c>
      <c r="LK81" s="20" t="n">
        <f aca="false">IF(AND(H_Direct=1,EK81&gt;0),MAX(0,LJ81-(MIN(EK81*ANK80,LJ81+OW81)-MIN(MIN(EK81*ANK80,LJ81+OW81),OW81))),LJ81)</f>
        <v>1270</v>
      </c>
      <c r="LL81" s="20" t="n">
        <f aca="false">IF(AND(H_Direct=1,EL81&gt;0),MAX(0,LK81-(MIN(EL81*ANL80,LK81+OX81)-MIN(MIN(EL81*ANL80,LK81+OX81),OX81))),LK81)</f>
        <v>1270</v>
      </c>
      <c r="LM81" s="20" t="n">
        <f aca="false">IF(AND(H_Direct=1,EM81&gt;0),MAX(0,LL81-(MIN(EM81*ANM80,LL81+OY81)-MIN(MIN(EM81*ANM80,LL81+OY81),OY81))),LL81)</f>
        <v>1270</v>
      </c>
      <c r="LN81" s="20" t="n">
        <f aca="false">IF(AND(H_Direct=1,EN81&gt;0),MAX(0,LM81-(MIN(EN81*(P81+S81),LM81+OZ81)-MIN(MIN(EN81*(P81+S81),LM81+OZ81),OZ81))),LM81)</f>
        <v>1270</v>
      </c>
      <c r="LO81" s="20" t="n">
        <f aca="false">LN81</f>
        <v>1270</v>
      </c>
      <c r="LP81" s="20" t="n">
        <f aca="false">LO81</f>
        <v>1270</v>
      </c>
      <c r="LQ81" s="20" t="n">
        <f aca="false">LP81</f>
        <v>1270</v>
      </c>
      <c r="LR81" s="20" t="n">
        <f aca="false">LQ81</f>
        <v>1270</v>
      </c>
      <c r="LS81" s="20" t="n">
        <f aca="false">LR81</f>
        <v>1270</v>
      </c>
      <c r="LT81" s="20" t="n">
        <f aca="false">LS81</f>
        <v>1270</v>
      </c>
      <c r="LU81" s="20" t="n">
        <f aca="false">LT81</f>
        <v>1270</v>
      </c>
      <c r="LV81" s="20" t="n">
        <f aca="false">LU81</f>
        <v>1270</v>
      </c>
      <c r="LW81" s="20" t="n">
        <f aca="false">LV81</f>
        <v>1270</v>
      </c>
      <c r="LX81" s="20" t="n">
        <f aca="false">LW81</f>
        <v>1270</v>
      </c>
      <c r="LY81" s="20" t="n">
        <f aca="false">LX81</f>
        <v>1270</v>
      </c>
      <c r="LZ81" s="20" t="n">
        <f aca="false">LY81</f>
        <v>1270</v>
      </c>
      <c r="MA81" s="20" t="n">
        <f aca="false">LZ81</f>
        <v>1270</v>
      </c>
      <c r="MB81" s="20" t="n">
        <f aca="false">MA81</f>
        <v>1270</v>
      </c>
      <c r="MC81" s="20" t="n">
        <f aca="false">MB81</f>
        <v>1270</v>
      </c>
      <c r="MD81" s="20" t="n">
        <f aca="false">MC81</f>
        <v>1270</v>
      </c>
      <c r="ME81" s="20" t="n">
        <f aca="false">IF(H_Direct=1,IF(BR81&lt;=0,I81-BR81*AKR80,I81-MIN(MIN(BR81*AKR80,H81+I81),I81)),I81)</f>
        <v>0</v>
      </c>
      <c r="MF81" s="20" t="n">
        <f aca="false">IF(H_Direct=1,IF(BS81&lt;=0,ME81-BS81*AKS80,ME81-MIN(MIN(BS81*AKS80,IR81+ME81),ME81)),ME81)</f>
        <v>0</v>
      </c>
      <c r="MG81" s="20" t="n">
        <f aca="false">IF(H_Direct=1,IF(BT81&lt;=0,MF81-BT81*AKT80,MF81-MIN(MIN(BT81*AKT80,IS81+MF81),MF81)),MF81)</f>
        <v>0</v>
      </c>
      <c r="MH81" s="20" t="n">
        <f aca="false">IF(H_Direct=1,IF(BU81&lt;=0,MG81-BU81*AKU80,MG81-MIN(MIN(BU81*AKU80,IT81+MG81),MG81)),MG81)</f>
        <v>0</v>
      </c>
      <c r="MI81" s="20" t="n">
        <f aca="false">IF(H_Direct=1,IF(BV81&lt;=0,MH81-BV81*AKV80,MH81-MIN(MIN(BV81*AKV80,IU81+MH81),MH81)),MH81)</f>
        <v>0</v>
      </c>
      <c r="MJ81" s="20" t="n">
        <f aca="false">IF(H_Direct=1,IF(BW81&lt;=0,MI81-BW81*AKW80,MI81-MIN(MIN(BW81*AKW80,IV81+MI81),MI81)),MI81)</f>
        <v>0</v>
      </c>
      <c r="MK81" s="20" t="n">
        <f aca="false">IF(H_Direct=1,IF(BX81&lt;=0,MJ81-BX81*AKX80,MJ81-MIN(MIN(BX81*AKX80,IW81+MJ81),MJ81)),MJ81)</f>
        <v>0</v>
      </c>
      <c r="ML81" s="20" t="n">
        <f aca="false">IF(H_Direct=1,IF(BY81&lt;=0,MK81-BY81*AKY80,MK81-MIN(MIN(BY81*AKY80,IX81+MK81),MK81)),MK81)</f>
        <v>0</v>
      </c>
      <c r="MM81" s="20" t="n">
        <f aca="false">IF(H_Direct=1,IF(BZ81&lt;=0,ML81-BZ81*AKZ80,ML81-MIN(MIN(BZ81*AKZ80,IY81+ML81),ML81)),ML81)</f>
        <v>0</v>
      </c>
      <c r="MN81" s="20" t="n">
        <f aca="false">IF(H_Direct=1,IF(CA81&lt;=0,MM81-CA81*ALA80,MM81-MIN(MIN(CA81*ALA80,IZ81+MM81),MM81)),MM81)</f>
        <v>0</v>
      </c>
      <c r="MO81" s="20" t="n">
        <f aca="false">IF(H_Direct=1,IF(CB81&lt;=0,MN81-CB81*ALB80,MN81-MIN(MIN(CB81*ALB80,JA81+MN81),MN81)),MN81)</f>
        <v>0</v>
      </c>
      <c r="MP81" s="20" t="n">
        <f aca="false">IF(H_Direct=1,IF(CC81&lt;=0,MO81-CC81*ALC80,MO81-MIN(MIN(CC81*ALC80,JB81+MO81),MO81)),MO81)</f>
        <v>0</v>
      </c>
      <c r="MQ81" s="20" t="n">
        <f aca="false">IF(H_Direct=1,IF(CD81&lt;=0,MP81-CD81*ALD80,MP81-MIN(MIN(CD81*ALD80,JC81+MP81),MP81)),MP81)</f>
        <v>0</v>
      </c>
      <c r="MR81" s="20" t="n">
        <f aca="false">IF(H_Direct=1,IF(CE81&lt;=0,MQ81-CE81*ALE80,MQ81-MIN(MIN(CE81*ALE80,JD81+MQ81),MQ81)),MQ81)</f>
        <v>0</v>
      </c>
      <c r="MS81" s="20" t="n">
        <f aca="false">IF(H_Direct=1,IF(CF81&lt;=0,MR81-CF81*ALF80,MR81-MIN(MIN(CF81*ALF80,JE81+MR81),MR81)),MR81)</f>
        <v>0</v>
      </c>
      <c r="MT81" s="20" t="n">
        <f aca="false">IF(H_Direct=1,IF(CG81&lt;=0,MS81-CG81*ALG80,MS81-MIN(MIN(CG81*ALG80,JF81+MS81),MS81)),MS81)</f>
        <v>0</v>
      </c>
      <c r="MU81" s="20" t="n">
        <f aca="false">IF(H_Direct=1,IF(CH81&lt;=0,MT81-CH81*ALH80,MT81-MIN(MIN(CH81*ALH80,JG81+MT81),MT81)),MT81)</f>
        <v>0</v>
      </c>
      <c r="MV81" s="20" t="n">
        <f aca="false">IF(H_Direct=1,IF(CI81&lt;=0,MU81-CI81*ALI80,MU81-MIN(MIN(CI81*ALI80,JH81+MU81),MU81)),MU81)</f>
        <v>0</v>
      </c>
      <c r="MW81" s="20" t="n">
        <f aca="false">IF(H_Direct=1,IF(CJ81&lt;=0,MV81-CJ81*ALJ80,MV81-MIN(MIN(CJ81*ALJ80,JI81+MV81),MV81)),MV81)</f>
        <v>0</v>
      </c>
      <c r="MX81" s="20" t="n">
        <f aca="false">IF(H_Direct=1,IF(CK81&lt;=0,MW81-CK81*ALK80,MW81-MIN(MIN(CK81*ALK80,JJ81+MW81),MW81)),MW81)</f>
        <v>0</v>
      </c>
      <c r="MY81" s="20" t="n">
        <f aca="false">IF(H_Direct=1,IF(CL81&lt;=0,MX81-CL81*ALL80,MX81-MIN(MIN(CL81*ALL80,JK81+MX81),MX81)),MX81)</f>
        <v>0</v>
      </c>
      <c r="MZ81" s="20" t="n">
        <f aca="false">IF(H_Direct=1,IF(CM81&lt;=0,MY81-CM81*ALM80,MY81-MIN(MIN(CM81*ALM80,JL81+MY81),MY81)),MY81)</f>
        <v>0</v>
      </c>
      <c r="NA81" s="20" t="n">
        <f aca="false">IF(H_Direct=1,IF(CN81&lt;=0,MZ81-CN81*ALN80,MZ81-MIN(MIN(CN81*ALN80,JM81+MZ81),MZ81)),MZ81)</f>
        <v>0</v>
      </c>
      <c r="NB81" s="20" t="n">
        <f aca="false">IF(H_Direct=1,IF(CO81&lt;=0,NA81-CO81*ALO80,NA81-MIN(MIN(CO81*ALO80,JN81+NA81),NA81)),NA81)</f>
        <v>0</v>
      </c>
      <c r="NC81" s="20" t="n">
        <f aca="false">IF(H_Direct=1,IF(CP81&lt;=0,NB81-CP81*ALP80,NB81-MIN(MIN(CP81*ALP80,JO81+NB81),NB81)),NB81)</f>
        <v>0</v>
      </c>
      <c r="ND81" s="20" t="n">
        <f aca="false">IF(H_Direct=1,IF(CQ81&lt;=0,NC81-CQ81*ALQ80,NC81-MIN(MIN(CQ81*ALQ80,JP81+NC81),NC81)),NC81)</f>
        <v>0</v>
      </c>
      <c r="NE81" s="20" t="n">
        <f aca="false">IF(H_Direct=1,IF(CR81&lt;=0,ND81-CR81*ALR80,ND81-MIN(MIN(CR81*ALR80,JQ81+ND81),ND81)),ND81)</f>
        <v>0</v>
      </c>
      <c r="NF81" s="20" t="n">
        <f aca="false">IF(H_Direct=1,IF(CS81&lt;=0,NE81-CS81*ALS80,NE81-MIN(MIN(CS81*ALS80,JR81+NE81),NE81)),NE81)</f>
        <v>0</v>
      </c>
      <c r="NG81" s="20" t="n">
        <f aca="false">IF(H_Direct=1,IF(CT81&lt;=0,NF81-CT81*ALT80,NF81-MIN(MIN(CT81*ALT80,JS81+NF81),NF81)),NF81)</f>
        <v>0</v>
      </c>
      <c r="NH81" s="20" t="n">
        <f aca="false">IF(H_Direct=1,IF(CU81&lt;=0,NG81-CU81*ALU80,NG81-MIN(MIN(CU81*ALU80,JT81+NG81),NG81)),NG81)</f>
        <v>0</v>
      </c>
      <c r="NI81" s="20" t="n">
        <f aca="false">IF(H_Direct=1,IF(CV81&lt;=0,NH81-CV81*ALV80,NH81-MIN(MIN(CV81*ALV80,JU81+NH81),NH81)),NH81)</f>
        <v>0</v>
      </c>
      <c r="NJ81" s="20" t="n">
        <f aca="false">IF(H_Direct=1,IF(CW81&lt;=0,NI81-CW81*ALW80,NI81-MIN(MIN(CW81*ALW80,JV81+NI81),NI81)),NI81)</f>
        <v>0</v>
      </c>
      <c r="NK81" s="20" t="n">
        <f aca="false">IF(H_Direct=1,IF(CX81&lt;=0,NJ81-CX81*ALX80,NJ81-MIN(MIN(CX81*ALX80,JW81+NJ81),NJ81)),NJ81)</f>
        <v>0</v>
      </c>
      <c r="NL81" s="20" t="n">
        <f aca="false">IF(H_Direct=1,IF(CY81&lt;=0,NK81-CY81*ALY80,NK81-MIN(MIN(CY81*ALY80,JX81+NK81),NK81)),NK81)</f>
        <v>0</v>
      </c>
      <c r="NM81" s="20" t="n">
        <f aca="false">IF(H_Direct=1,IF(CZ81&lt;=0,NL81-CZ81*ALZ80,NL81-MIN(MIN(CZ81*ALZ80,JY81+NL81),NL81)),NL81)</f>
        <v>0</v>
      </c>
      <c r="NN81" s="20" t="n">
        <f aca="false">IF(H_Direct=1,IF(DA81&lt;=0,NM81-DA81*AMA80,NM81-MIN(MIN(DA81*AMA80,JZ81+NM81),NM81)),NM81)</f>
        <v>0</v>
      </c>
      <c r="NO81" s="20" t="n">
        <f aca="false">IF(H_Direct=1,IF(DB81&lt;=0,NN81-DB81*AMB80,NN81-MIN(MIN(DB81*AMB80,KA81+NN81),NN81)),NN81)</f>
        <v>0</v>
      </c>
      <c r="NP81" s="20" t="n">
        <f aca="false">IF(H_Direct=1,IF(DC81&lt;=0,NO81-DC81*AMC80,NO81-MIN(MIN(DC81*AMC80,KB81+NO81),NO81)),NO81)</f>
        <v>0</v>
      </c>
      <c r="NQ81" s="20" t="n">
        <f aca="false">IF(H_Direct=1,IF(DD81&lt;=0,NP81-DD81*AMD80,NP81-MIN(MIN(DD81*AMD80,KC81+NP81),NP81)),NP81)</f>
        <v>0</v>
      </c>
      <c r="NR81" s="20" t="n">
        <f aca="false">IF(H_Direct=1,IF(DE81&lt;=0,NQ81-DE81*AME80,NQ81-MIN(MIN(DE81*AME80,KD81+NQ81),NQ81)),NQ81)</f>
        <v>0</v>
      </c>
      <c r="NS81" s="20" t="n">
        <f aca="false">IF(H_Direct=1,IF(DF81&lt;=0,NR81-DF81*AMF80,NR81-MIN(MIN(DF81*AMF80,KE81+NR81),NR81)),NR81)</f>
        <v>0</v>
      </c>
      <c r="NT81" s="20" t="n">
        <f aca="false">IF(H_Direct=1,IF(DG81&lt;=0,NS81-DG81*AMG80,NS81-MIN(MIN(DG81*AMG80,KF81+NS81),NS81)),NS81)</f>
        <v>0</v>
      </c>
      <c r="NU81" s="20" t="n">
        <f aca="false">IF(H_Direct=1,IF(DH81&lt;=0,NT81-DH81*AMH80,NT81-MIN(MIN(DH81*AMH80,KG81+NT81),NT81)),NT81)</f>
        <v>0</v>
      </c>
      <c r="NV81" s="20" t="n">
        <f aca="false">IF(H_Direct=1,IF(DI81&lt;=0,NU81-DI81*AMI80,NU81-MIN(MIN(DI81*AMI80,KH81+NU81),NU81)),NU81)</f>
        <v>0</v>
      </c>
      <c r="NW81" s="20" t="n">
        <f aca="false">IF(H_Direct=1,IF(DJ81&lt;=0,NV81-DJ81*AMJ80,NV81-MIN(MIN(DJ81*AMJ80,KI81+NV81),NV81)),NV81)</f>
        <v>0</v>
      </c>
      <c r="NX81" s="20" t="n">
        <f aca="false">IF(H_Direct=1,IF(DK81&lt;=0,NW81-DK81*AMK80,NW81-MIN(MIN(DK81*AMK80,KJ81+NW81),NW81)),NW81)</f>
        <v>0</v>
      </c>
      <c r="NY81" s="20" t="n">
        <f aca="false">IF(H_Direct=1,IF(DL81&lt;=0,NX81-DL81*AML80,NX81-MIN(MIN(DL81*AML80,KK81+NX81),NX81)),NX81)</f>
        <v>0</v>
      </c>
      <c r="NZ81" s="20" t="n">
        <f aca="false">IF(H_Direct=1,IF(DM81&lt;=0,NY81-DM81*AMM80,NY81-MIN(MIN(DM81*AMM80,KL81+NY81),NY81)),NY81)</f>
        <v>0</v>
      </c>
      <c r="OA81" s="20" t="n">
        <f aca="false">IF(H_Direct=1,IF(DN81&lt;=0,NZ81-DN81*AMN80,NZ81-MIN(MIN(DN81*AMN80,KM81+NZ81),NZ81)),NZ81)</f>
        <v>0</v>
      </c>
      <c r="OB81" s="20" t="n">
        <f aca="false">IF(H_Direct=1,IF(DO81&lt;=0,OA81-DO81*AMO80,OA81-MIN(MIN(DO81*AMO80,KN81+OA81),OA81)),OA81)</f>
        <v>0</v>
      </c>
      <c r="OC81" s="20" t="n">
        <f aca="false">IF(H_Direct=1,IF(DP81&lt;=0,OB81-DP81*AMP80,OB81-MIN(MIN(DP81*AMP80,KO81+OB81),OB81)),OB81)</f>
        <v>0</v>
      </c>
      <c r="OD81" s="20" t="n">
        <f aca="false">IF(H_Direct=1,IF(DQ81&lt;=0,OC81-DQ81*AMQ80,OC81-MIN(MIN(DQ81*AMQ80,KP81+OC81),OC81)),OC81)</f>
        <v>0</v>
      </c>
      <c r="OE81" s="20" t="n">
        <f aca="false">IF(H_Direct=1,IF(DR81&lt;=0,OD81-DR81*AMR80,OD81-MIN(MIN(DR81*AMR80,KQ81+OD81),OD81)),OD81)</f>
        <v>0</v>
      </c>
      <c r="OF81" s="20" t="n">
        <f aca="false">IF(H_Direct=1,IF(DS81&lt;=0,OE81-DS81*AMS80,OE81-MIN(MIN(DS81*AMS80,KR81+OE81),OE81)),OE81)</f>
        <v>0</v>
      </c>
      <c r="OG81" s="20" t="n">
        <f aca="false">IF(H_Direct=1,IF(DT81&lt;=0,OF81-DT81*AMT80,OF81-MIN(MIN(DT81*AMT80,KS81+OF81),OF81)),OF81)</f>
        <v>0</v>
      </c>
      <c r="OH81" s="20" t="n">
        <f aca="false">IF(H_Direct=1,IF(DU81&lt;=0,OG81-DU81*AMU80,OG81-MIN(MIN(DU81*AMU80,KT81+OG81),OG81)),OG81)</f>
        <v>0</v>
      </c>
      <c r="OI81" s="20" t="n">
        <f aca="false">IF(H_Direct=1,IF(DV81&lt;=0,OH81-DV81*AMV80,OH81-MIN(MIN(DV81*AMV80,KU81+OH81),OH81)),OH81)</f>
        <v>0</v>
      </c>
      <c r="OJ81" s="20" t="n">
        <f aca="false">IF(H_Direct=1,IF(DW81&lt;=0,OI81-DW81*AMW80,OI81-MIN(MIN(DW81*AMW80,KV81+OI81),OI81)),OI81)</f>
        <v>0</v>
      </c>
      <c r="OK81" s="20" t="n">
        <f aca="false">IF(H_Direct=1,IF(DX81&lt;=0,OJ81-DX81*AMX80,OJ81-MIN(MIN(DX81*AMX80,KW81+OJ81),OJ81)),OJ81)</f>
        <v>0</v>
      </c>
      <c r="OL81" s="20" t="n">
        <f aca="false">IF(H_Direct=1,IF(DY81&lt;=0,OK81-DY81*AMY80,OK81-MIN(MIN(DY81*AMY80,KX81+OK81),OK81)),OK81)</f>
        <v>0</v>
      </c>
      <c r="OM81" s="20" t="n">
        <f aca="false">IF(H_Direct=1,IF(DZ81&lt;=0,OL81-DZ81*AMZ80,OL81-MIN(MIN(DZ81*AMZ80,KY81+OL81),OL81)),OL81)</f>
        <v>0</v>
      </c>
      <c r="ON81" s="20" t="n">
        <f aca="false">IF(H_Direct=1,IF(EA81&lt;=0,OM81-EA81*ANA80,OM81-MIN(MIN(EA81*ANA80,KZ81+OM81),OM81)),OM81)</f>
        <v>0</v>
      </c>
      <c r="OO81" s="20" t="n">
        <f aca="false">IF(H_Direct=1,IF(EB81&lt;=0,ON81-EB81*ANB80,ON81-MIN(MIN(EB81*ANB80,LA81+ON81),ON81)),ON81)</f>
        <v>0</v>
      </c>
      <c r="OP81" s="20" t="n">
        <f aca="false">IF(H_Direct=1,IF(EC81&lt;=0,OO81-EC81*ANC80,OO81-MIN(MIN(EC81*ANC80,LB81+OO81),OO81)),OO81)</f>
        <v>0</v>
      </c>
      <c r="OQ81" s="20" t="n">
        <f aca="false">IF(H_Direct=1,IF(ED81&lt;=0,OP81-ED81*AND80,OP81-MIN(MIN(ED81*AND80,LC81+OP81),OP81)),OP81)</f>
        <v>0</v>
      </c>
      <c r="OR81" s="20" t="n">
        <f aca="false">IF(H_Direct=1,IF(EE81&lt;=0,OQ81-EE81*ANE80,OQ81-MIN(MIN(EE81*ANE80,LD81+OQ81),OQ81)),OQ81)</f>
        <v>0</v>
      </c>
      <c r="OS81" s="20" t="n">
        <f aca="false">IF(H_Direct=1,IF(EF81&lt;=0,OR81-EF81*ANF80,OR81-MIN(MIN(EF81*ANF80,LE81+OR81),OR81)),OR81)</f>
        <v>0</v>
      </c>
      <c r="OT81" s="20" t="n">
        <f aca="false">IF(H_Direct=1,IF(EG81&lt;=0,OS81-EG81*ANG80,OS81-MIN(MIN(EG81*ANG80,LF81+OS81),OS81)),OS81)</f>
        <v>0</v>
      </c>
      <c r="OU81" s="20" t="n">
        <f aca="false">IF(H_Direct=1,IF(EH81&lt;=0,OT81-EH81*ANH80,OT81-MIN(MIN(EH81*ANH80,LG81+OT81),OT81)),OT81)</f>
        <v>0</v>
      </c>
      <c r="OV81" s="20" t="n">
        <f aca="false">IF(H_Direct=1,IF(EI81&lt;=0,OU81-EI81*ANI80,OU81-MIN(MIN(EI81*ANI80,LH81+OU81),OU81)),OU81)</f>
        <v>0</v>
      </c>
      <c r="OW81" s="20" t="n">
        <f aca="false">IF(H_Direct=1,IF(EJ81&lt;=0,OV81-EJ81*ANJ80,OV81-MIN(MIN(EJ81*ANJ80,LI81+OV81),OV81)),OV81)</f>
        <v>0</v>
      </c>
      <c r="OX81" s="20" t="n">
        <f aca="false">IF(H_Direct=1,IF(EK81&lt;=0,OW81-EK81*ANK80,OW81-MIN(MIN(EK81*ANK80,LJ81+OW81),OW81)),OW81)</f>
        <v>0</v>
      </c>
      <c r="OY81" s="20" t="n">
        <f aca="false">IF(H_Direct=1,IF(EL81&lt;=0,OX81-EL81*ANL80,OX81-MIN(MIN(EL81*ANL80,LK81+OX81),OX81)),OX81)</f>
        <v>0</v>
      </c>
      <c r="OZ81" s="20" t="n">
        <f aca="false">IF(H_Direct=1,IF(EM81&lt;=0,OY81-EM81*ANM80,OY81-MIN(MIN(EM81*ANM80,LL81+OY81),OY81)),OY81)</f>
        <v>0</v>
      </c>
      <c r="PA81" s="20" t="n">
        <f aca="false">IF(H_Direct=1,IF(EN81&lt;=0,OZ81-EN81*(P81+S81),OZ81-MIN(MIN(EN81*(P81+S81),LM81+OZ81),OZ81)),OZ81)</f>
        <v>0</v>
      </c>
      <c r="PB81" s="20" t="n">
        <f aca="false">PA81</f>
        <v>0</v>
      </c>
      <c r="PC81" s="20" t="n">
        <f aca="false">PB81</f>
        <v>0</v>
      </c>
      <c r="PD81" s="20" t="n">
        <f aca="false">PC81</f>
        <v>0</v>
      </c>
      <c r="PE81" s="20" t="n">
        <f aca="false">PD81</f>
        <v>0</v>
      </c>
      <c r="PF81" s="20" t="n">
        <f aca="false">PE81</f>
        <v>0</v>
      </c>
      <c r="PG81" s="20" t="n">
        <f aca="false">PF81</f>
        <v>0</v>
      </c>
      <c r="PH81" s="20" t="n">
        <f aca="false">PG81</f>
        <v>0</v>
      </c>
      <c r="PI81" s="20" t="n">
        <f aca="false">PH81</f>
        <v>0</v>
      </c>
      <c r="PJ81" s="20" t="n">
        <f aca="false">PI81</f>
        <v>0</v>
      </c>
      <c r="PK81" s="20" t="n">
        <f aca="false">PJ81</f>
        <v>0</v>
      </c>
      <c r="PL81" s="20" t="n">
        <f aca="false">PK81</f>
        <v>0</v>
      </c>
      <c r="PM81" s="20" t="n">
        <f aca="false">PL81</f>
        <v>0</v>
      </c>
      <c r="PN81" s="20" t="n">
        <f aca="false">PM81</f>
        <v>0</v>
      </c>
      <c r="PO81" s="20" t="n">
        <f aca="false">PN81</f>
        <v>0</v>
      </c>
      <c r="PP81" s="20" t="n">
        <f aca="false">PO81</f>
        <v>0</v>
      </c>
      <c r="PQ81" s="20" t="n">
        <f aca="false">PP81</f>
        <v>0</v>
      </c>
      <c r="PR81" s="20" t="n">
        <f aca="false">IF(H_Direct=1,IF(AKR80&lt;=0,0,IF(BR81&lt;=0,MIN(MAX(0,AB81),AKR80),MIN(MAX(0,AB81),AKR80-G81*MAX(0,BR81*AKR80-(H81+I81))))),MIN(FE81,MAX(0,AB81)))</f>
        <v>0</v>
      </c>
      <c r="PS81" s="20" t="n">
        <f aca="false">IF(H_Direct=1,IF(AKS80&lt;=0,0,IF(BS81&lt;=0,MIN(MAX(0,AB81-SUM(PR81:PR81)),AKS80),MIN(MAX(0,AB81-SUM(PR81:PR81)),AKS80-G81*MAX(0,BS81*AKS80-(WR81+AAE81))))),MIN(FF81,MAX(0,AB81-SUM(PR81:PR81))))</f>
        <v>0</v>
      </c>
      <c r="PT81" s="20" t="n">
        <f aca="false">IF(H_Direct=1,IF(AKT80&lt;=0,0,IF(BT81&lt;=0,MIN(MAX(0,AB81-SUM(PR81:PS81)),AKT80),MIN(MAX(0,AB81-SUM(PR81:PS81)),AKT80-G81*MAX(0,BT81*AKT80-(WS81+AAF81))))),MIN(FG81,MAX(0,AB81-SUM(PR81:PS81))))</f>
        <v>0</v>
      </c>
      <c r="PU81" s="20" t="n">
        <f aca="false">IF(H_Direct=1,IF(AKU80&lt;=0,0,IF(BU81&lt;=0,MIN(MAX(0,AB81-SUM(PR81:PT81)),AKU80),MIN(MAX(0,AB81-SUM(PR81:PT81)),AKU80-G81*MAX(0,BU81*AKU80-(WT81+AAG81))))),MIN(FH81,MAX(0,AB81-SUM(PR81:PT81))))</f>
        <v>0</v>
      </c>
      <c r="PV81" s="20" t="n">
        <f aca="false">IF(H_Direct=1,IF(AKV80&lt;=0,0,IF(BV81&lt;=0,MIN(MAX(0,AB81-SUM(PR81:PU81)),AKV80),MIN(MAX(0,AB81-SUM(PR81:PU81)),AKV80-G81*MAX(0,BV81*AKV80-(WU81+AAH81))))),MIN(FI81,MAX(0,AB81-SUM(PR81:PU81))))</f>
        <v>0</v>
      </c>
      <c r="PW81" s="20" t="n">
        <f aca="false">IF(H_Direct=1,IF(AKW80&lt;=0,0,IF(BW81&lt;=0,MIN(MAX(0,AB81-SUM(PR81:PV81)),AKW80),MIN(MAX(0,AB81-SUM(PR81:PV81)),AKW80-G81*MAX(0,BW81*AKW80-(WV81+AAI81))))),MIN(FJ81,MAX(0,AB81-SUM(PR81:PV81))))</f>
        <v>0</v>
      </c>
      <c r="PX81" s="20" t="n">
        <f aca="false">IF(H_Direct=1,IF(AKX80&lt;=0,0,IF(BX81&lt;=0,MIN(MAX(0,AB81-SUM(PR81:PW81)),AKX80),MIN(MAX(0,AB81-SUM(PR81:PW81)),AKX80-G81*MAX(0,BX81*AKX80-(WW81+AAJ81))))),MIN(FK81,MAX(0,AB81-SUM(PR81:PW81))))</f>
        <v>0</v>
      </c>
      <c r="PY81" s="20" t="n">
        <f aca="false">IF(H_Direct=1,IF(AKY80&lt;=0,0,IF(BY81&lt;=0,MIN(MAX(0,AB81-SUM(PR81:PX81)),AKY80),MIN(MAX(0,AB81-SUM(PR81:PX81)),AKY80-G81*MAX(0,BY81*AKY80-(WX81+AAK81))))),MIN(FL81,MAX(0,AB81-SUM(PR81:PX81))))</f>
        <v>0</v>
      </c>
      <c r="PZ81" s="20" t="n">
        <f aca="false">IF(H_Direct=1,IF(AKZ80&lt;=0,0,IF(BZ81&lt;=0,MIN(MAX(0,AB81-SUM(PR81:PY81)),AKZ80),MIN(MAX(0,AB81-SUM(PR81:PY81)),AKZ80-G81*MAX(0,BZ81*AKZ80-(WY81+AAL81))))),MIN(FM81,MAX(0,AB81-SUM(PR81:PY81))))</f>
        <v>0</v>
      </c>
      <c r="QA81" s="20" t="n">
        <f aca="false">IF(H_Direct=1,IF(ALA80&lt;=0,0,IF(CA81&lt;=0,MIN(MAX(0,AB81-SUM(PR81:PZ81)),ALA80),MIN(MAX(0,AB81-SUM(PR81:PZ81)),ALA80-G81*MAX(0,CA81*ALA80-(WZ81+AAM81))))),MIN(FN81,MAX(0,AB81-SUM(PR81:PZ81))))</f>
        <v>0</v>
      </c>
      <c r="QB81" s="20" t="n">
        <f aca="false">IF(H_Direct=1,IF(ALB80&lt;=0,0,IF(CB81&lt;=0,MIN(MAX(0,AB81-SUM(PR81:QA81)),ALB80),MIN(MAX(0,AB81-SUM(PR81:QA81)),ALB80-G81*MAX(0,CB81*ALB80-(XA81+AAN81))))),MIN(FO81,MAX(0,AB81-SUM(PR81:QA81))))</f>
        <v>0</v>
      </c>
      <c r="QC81" s="20" t="n">
        <f aca="false">IF(H_Direct=1,IF(ALC80&lt;=0,0,IF(CC81&lt;=0,MIN(MAX(0,AB81-SUM(PR81:QB81)),ALC80),MIN(MAX(0,AB81-SUM(PR81:QB81)),ALC80-G81*MAX(0,CC81*ALC80-(XB81+AAO81))))),MIN(FP81,MAX(0,AB81-SUM(PR81:QB81))))</f>
        <v>0</v>
      </c>
      <c r="QD81" s="20" t="n">
        <f aca="false">IF(H_Direct=1,IF(ALD80&lt;=0,0,IF(CD81&lt;=0,MIN(MAX(0,AB81-SUM(PR81:QC81)),ALD80),MIN(MAX(0,AB81-SUM(PR81:QC81)),ALD80-G81*MAX(0,CD81*ALD80-(XC81+AAP81))))),MIN(FQ81,MAX(0,AB81-SUM(PR81:QC81))))</f>
        <v>0</v>
      </c>
      <c r="QE81" s="20" t="n">
        <f aca="false">IF(H_Direct=1,IF(ALE80&lt;=0,0,IF(CE81&lt;=0,MIN(MAX(0,AB81-SUM(PR81:QD81)),ALE80),MIN(MAX(0,AB81-SUM(PR81:QD81)),ALE80-G81*MAX(0,CE81*ALE80-(XD81+AAQ81))))),MIN(FR81,MAX(0,AB81-SUM(PR81:QD81))))</f>
        <v>0</v>
      </c>
      <c r="QF81" s="20" t="n">
        <f aca="false">IF(H_Direct=1,IF(ALF80&lt;=0,0,IF(CF81&lt;=0,MIN(MAX(0,AB81-SUM(PR81:QE81)),ALF80),MIN(MAX(0,AB81-SUM(PR81:QE81)),ALF80-G81*MAX(0,CF81*ALF80-(XE81+AAR81))))),MIN(FS81,MAX(0,AB81-SUM(PR81:QE81))))</f>
        <v>0</v>
      </c>
      <c r="QG81" s="20" t="n">
        <f aca="false">IF(H_Direct=1,IF(ALG80&lt;=0,0,IF(CG81&lt;=0,MIN(MAX(0,AB81-SUM(PR81:QF81)),ALG80),MIN(MAX(0,AB81-SUM(PR81:QF81)),ALG80-G81*MAX(0,CG81*ALG80-(XF81+AAS81))))),MIN(FT81,MAX(0,AB81-SUM(PR81:QF81))))</f>
        <v>0</v>
      </c>
      <c r="QH81" s="20" t="n">
        <f aca="false">IF(H_Direct=1,IF(ALH80&lt;=0,0,IF(CH81&lt;=0,MIN(MAX(0,AB81-SUM(PR81:QG81)),ALH80),MIN(MAX(0,AB81-SUM(PR81:QG81)),ALH80-G81*MAX(0,CH81*ALH80-(XG81+AAT81))))),MIN(FU81,MAX(0,AB81-SUM(PR81:QG81))))</f>
        <v>0</v>
      </c>
      <c r="QI81" s="20" t="n">
        <f aca="false">IF(H_Direct=1,IF(ALI80&lt;=0,0,IF(CI81&lt;=0,MIN(MAX(0,AB81-SUM(PR81:QH81)),ALI80),MIN(MAX(0,AB81-SUM(PR81:QH81)),ALI80-G81*MAX(0,CI81*ALI80-(XH81+AAU81))))),MIN(FV81,MAX(0,AB81-SUM(PR81:QH81))))</f>
        <v>0</v>
      </c>
      <c r="QJ81" s="20" t="n">
        <f aca="false">IF(H_Direct=1,IF(ALJ80&lt;=0,0,IF(CJ81&lt;=0,MIN(MAX(0,AB81-SUM(PR81:QI81)),ALJ80),MIN(MAX(0,AB81-SUM(PR81:QI81)),ALJ80-G81*MAX(0,CJ81*ALJ80-(XI81+AAV81))))),MIN(FW81,MAX(0,AB81-SUM(PR81:QI81))))</f>
        <v>0</v>
      </c>
      <c r="QK81" s="20" t="n">
        <f aca="false">IF(H_Direct=1,IF(ALK80&lt;=0,0,IF(CK81&lt;=0,MIN(MAX(0,AB81-SUM(PR81:QJ81)),ALK80),MIN(MAX(0,AB81-SUM(PR81:QJ81)),ALK80-G81*MAX(0,CK81*ALK80-(XJ81+AAW81))))),MIN(FX81,MAX(0,AB81-SUM(PR81:QJ81))))</f>
        <v>0</v>
      </c>
      <c r="QL81" s="20" t="n">
        <f aca="false">IF(H_Direct=1,IF(ALL80&lt;=0,0,IF(CL81&lt;=0,MIN(MAX(0,AB81-SUM(PR81:QK81)),ALL80),MIN(MAX(0,AB81-SUM(PR81:QK81)),ALL80-G81*MAX(0,CL81*ALL80-(XK81+AAX81))))),MIN(FY81,MAX(0,AB81-SUM(PR81:QK81))))</f>
        <v>0</v>
      </c>
      <c r="QM81" s="20" t="n">
        <f aca="false">IF(H_Direct=1,IF(ALM80&lt;=0,0,IF(CM81&lt;=0,MIN(MAX(0,AB81-SUM(PR81:QL81)),ALM80),MIN(MAX(0,AB81-SUM(PR81:QL81)),ALM80-G81*MAX(0,CM81*ALM80-(XL81+AAY81))))),MIN(FZ81,MAX(0,AB81-SUM(PR81:QL81))))</f>
        <v>0</v>
      </c>
      <c r="QN81" s="20" t="n">
        <f aca="false">IF(H_Direct=1,IF(ALN80&lt;=0,0,IF(CN81&lt;=0,MIN(MAX(0,AB81-SUM(PR81:QM81)),ALN80),MIN(MAX(0,AB81-SUM(PR81:QM81)),ALN80-G81*MAX(0,CN81*ALN80-(XM81+AAZ81))))),MIN(GA81,MAX(0,AB81-SUM(PR81:QM81))))</f>
        <v>0</v>
      </c>
      <c r="QO81" s="20" t="n">
        <f aca="false">IF(H_Direct=1,IF(ALO80&lt;=0,0,IF(CO81&lt;=0,MIN(MAX(0,AB81-SUM(PR81:QN81)),ALO80),MIN(MAX(0,AB81-SUM(PR81:QN81)),ALO80-G81*MAX(0,CO81*ALO80-(XN81+ABA81))))),MIN(GB81,MAX(0,AB81-SUM(PR81:QN81))))</f>
        <v>0</v>
      </c>
      <c r="QP81" s="20" t="n">
        <f aca="false">IF(H_Direct=1,IF(ALP80&lt;=0,0,IF(CP81&lt;=0,MIN(MAX(0,AB81-SUM(PR81:QO81)),ALP80),MIN(MAX(0,AB81-SUM(PR81:QO81)),ALP80-G81*MAX(0,CP81*ALP80-(XO81+ABB81))))),MIN(GC81,MAX(0,AB81-SUM(PR81:QO81))))</f>
        <v>0</v>
      </c>
      <c r="QQ81" s="20" t="n">
        <f aca="false">IF(H_Direct=1,IF(ALQ80&lt;=0,0,IF(CQ81&lt;=0,MIN(MAX(0,AB81-SUM(PR81:QP81)),ALQ80),MIN(MAX(0,AB81-SUM(PR81:QP81)),ALQ80-G81*MAX(0,CQ81*ALQ80-(XP81+ABC81))))),MIN(GD81,MAX(0,AB81-SUM(PR81:QP81))))</f>
        <v>0</v>
      </c>
      <c r="QR81" s="20" t="n">
        <f aca="false">IF(H_Direct=1,IF(ALR80&lt;=0,0,IF(CR81&lt;=0,MIN(MAX(0,AB81-SUM(PR81:QQ81)),ALR80),MIN(MAX(0,AB81-SUM(PR81:QQ81)),ALR80-G81*MAX(0,CR81*ALR80-(XQ81+ABD81))))),MIN(GE81,MAX(0,AB81-SUM(PR81:QQ81))))</f>
        <v>0</v>
      </c>
      <c r="QS81" s="20" t="n">
        <f aca="false">IF(H_Direct=1,IF(ALS80&lt;=0,0,IF(CS81&lt;=0,MIN(MAX(0,AB81-SUM(PR81:QR81)),ALS80),MIN(MAX(0,AB81-SUM(PR81:QR81)),ALS80-G81*MAX(0,CS81*ALS80-(XR81+ABE81))))),MIN(GF81,MAX(0,AB81-SUM(PR81:QR81))))</f>
        <v>0</v>
      </c>
      <c r="QT81" s="20" t="n">
        <f aca="false">IF(H_Direct=1,IF(ALT80&lt;=0,0,IF(CT81&lt;=0,MIN(MAX(0,AB81-SUM(PR81:QS81)),ALT80),MIN(MAX(0,AB81-SUM(PR81:QS81)),ALT80-G81*MAX(0,CT81*ALT80-(XS81+ABF81))))),MIN(GG81,MAX(0,AB81-SUM(PR81:QS81))))</f>
        <v>0</v>
      </c>
      <c r="QU81" s="20" t="n">
        <f aca="false">IF(H_Direct=1,IF(ALU80&lt;=0,0,IF(CU81&lt;=0,MIN(MAX(0,AB81-SUM(PR81:QT81)),ALU80),MIN(MAX(0,AB81-SUM(PR81:QT81)),ALU80-G81*MAX(0,CU81*ALU80-(XT81+ABG81))))),MIN(GH81,MAX(0,AB81-SUM(PR81:QT81))))</f>
        <v>0</v>
      </c>
      <c r="QV81" s="20" t="n">
        <f aca="false">IF(H_Direct=1,IF(ALV80&lt;=0,0,IF(CV81&lt;=0,MIN(MAX(0,AB81-SUM(PR81:QU81)),ALV80),MIN(MAX(0,AB81-SUM(PR81:QU81)),ALV80-G81*MAX(0,CV81*ALV80-(XU81+ABH81))))),MIN(GI81,MAX(0,AB81-SUM(PR81:QU81))))</f>
        <v>0</v>
      </c>
      <c r="QW81" s="20" t="n">
        <f aca="false">IF(H_Direct=1,IF(ALW80&lt;=0,0,IF(CW81&lt;=0,MIN(MAX(0,AB81-SUM(PR81:QV81)),ALW80),MIN(MAX(0,AB81-SUM(PR81:QV81)),ALW80-G81*MAX(0,CW81*ALW80-(XV81+ABI81))))),MIN(GJ81,MAX(0,AB81-SUM(PR81:QV81))))</f>
        <v>0</v>
      </c>
      <c r="QX81" s="20" t="n">
        <f aca="false">IF(H_Direct=1,IF(ALX80&lt;=0,0,IF(CX81&lt;=0,MIN(MAX(0,AB81-SUM(PR81:QW81)),ALX80),MIN(MAX(0,AB81-SUM(PR81:QW81)),ALX80-G81*MAX(0,CX81*ALX80-(XW81+ABJ81))))),MIN(GK81,MAX(0,AB81-SUM(PR81:QW81))))</f>
        <v>0</v>
      </c>
      <c r="QY81" s="20" t="n">
        <f aca="false">IF(H_Direct=1,IF(ALY80&lt;=0,0,IF(CY81&lt;=0,MIN(MAX(0,AB81-SUM(PR81:QX81)),ALY80),MIN(MAX(0,AB81-SUM(PR81:QX81)),ALY80-G81*MAX(0,CY81*ALY80-(XX81+ABK81))))),MIN(GL81,MAX(0,AB81-SUM(PR81:QX81))))</f>
        <v>0</v>
      </c>
      <c r="QZ81" s="20" t="n">
        <f aca="false">IF(H_Direct=1,IF(ALZ80&lt;=0,0,IF(CZ81&lt;=0,MIN(MAX(0,AB81-SUM(PR81:QY81)),ALZ80),MIN(MAX(0,AB81-SUM(PR81:QY81)),ALZ80-G81*MAX(0,CZ81*ALZ80-(XY81+ABL81))))),MIN(GM81,MAX(0,AB81-SUM(PR81:QY81))))</f>
        <v>0</v>
      </c>
      <c r="RA81" s="20" t="n">
        <f aca="false">IF(H_Direct=1,IF(AMA80&lt;=0,0,IF(DA81&lt;=0,MIN(MAX(0,AB81-SUM(PR81:QZ81)),AMA80),MIN(MAX(0,AB81-SUM(PR81:QZ81)),AMA80-G81*MAX(0,DA81*AMA80-(XZ81+ABM81))))),MIN(GN81,MAX(0,AB81-SUM(PR81:QZ81))))</f>
        <v>0</v>
      </c>
      <c r="RB81" s="20" t="n">
        <f aca="false">IF(H_Direct=1,IF(AMB80&lt;=0,0,IF(DB81&lt;=0,MIN(MAX(0,AB81-SUM(PR81:RA81)),AMB80),MIN(MAX(0,AB81-SUM(PR81:RA81)),AMB80-G81*MAX(0,DB81*AMB80-(YA81+ABN81))))),MIN(GO81,MAX(0,AB81-SUM(PR81:RA81))))</f>
        <v>0</v>
      </c>
      <c r="RC81" s="20" t="n">
        <f aca="false">IF(H_Direct=1,IF(AMC80&lt;=0,0,IF(DC81&lt;=0,MIN(MAX(0,AB81-SUM(PR81:RB81)),AMC80),MIN(MAX(0,AB81-SUM(PR81:RB81)),AMC80-G81*MAX(0,DC81*AMC80-(YB81+ABO81))))),MIN(GP81,MAX(0,AB81-SUM(PR81:RB81))))</f>
        <v>0</v>
      </c>
      <c r="RD81" s="20" t="n">
        <f aca="false">IF(H_Direct=1,IF(AMD80&lt;=0,0,IF(DD81&lt;=0,MIN(MAX(0,AB81-SUM(PR81:RC81)),AMD80),MIN(MAX(0,AB81-SUM(PR81:RC81)),AMD80-G81*MAX(0,DD81*AMD80-(YC81+ABP81))))),MIN(GQ81,MAX(0,AB81-SUM(PR81:RC81))))</f>
        <v>0</v>
      </c>
      <c r="RE81" s="20" t="n">
        <f aca="false">IF(H_Direct=1,IF(AME80&lt;=0,0,IF(DE81&lt;=0,MIN(MAX(0,AB81-SUM(PR81:RD81)),AME80),MIN(MAX(0,AB81-SUM(PR81:RD81)),AME80-G81*MAX(0,DE81*AME80-(YD81+ABQ81))))),MIN(GR81,MAX(0,AB81-SUM(PR81:RD81))))</f>
        <v>0</v>
      </c>
      <c r="RF81" s="20" t="n">
        <f aca="false">IF(H_Direct=1,IF(AMF80&lt;=0,0,IF(DF81&lt;=0,MIN(MAX(0,AB81-SUM(PR81:RE81)),AMF80),MIN(MAX(0,AB81-SUM(PR81:RE81)),AMF80-G81*MAX(0,DF81*AMF80-(YE81+ABR81))))),MIN(GS81,MAX(0,AB81-SUM(PR81:RE81))))</f>
        <v>0</v>
      </c>
      <c r="RG81" s="20" t="n">
        <f aca="false">IF(H_Direct=1,IF(AMG80&lt;=0,0,IF(DG81&lt;=0,MIN(MAX(0,AB81-SUM(PR81:RF81)),AMG80),MIN(MAX(0,AB81-SUM(PR81:RF81)),AMG80-G81*MAX(0,DG81*AMG80-(YF81+ABS81))))),MIN(GT81,MAX(0,AB81-SUM(PR81:RF81))))</f>
        <v>0</v>
      </c>
      <c r="RH81" s="20" t="n">
        <f aca="false">IF(H_Direct=1,IF(AMH80&lt;=0,0,IF(DH81&lt;=0,MIN(MAX(0,AB81-SUM(PR81:RG81)),AMH80),MIN(MAX(0,AB81-SUM(PR81:RG81)),AMH80-G81*MAX(0,DH81*AMH80-(YG81+ABT81))))),MIN(GU81,MAX(0,AB81-SUM(PR81:RG81))))</f>
        <v>0</v>
      </c>
      <c r="RI81" s="20" t="n">
        <f aca="false">IF(H_Direct=1,IF(AMI80&lt;=0,0,IF(DI81&lt;=0,MIN(MAX(0,AB81-SUM(PR81:RH81)),AMI80),MIN(MAX(0,AB81-SUM(PR81:RH81)),AMI80-G81*MAX(0,DI81*AMI80-(YH81+ABU81))))),MIN(GV81,MAX(0,AB81-SUM(PR81:RH81))))</f>
        <v>0</v>
      </c>
      <c r="RJ81" s="20" t="n">
        <f aca="false">IF(H_Direct=1,IF(AMJ80&lt;=0,0,IF(DJ81&lt;=0,MIN(MAX(0,AB81-SUM(PR81:RI81)),AMJ80),MIN(MAX(0,AB81-SUM(PR81:RI81)),AMJ80-G81*MAX(0,DJ81*AMJ80-(YI81+ABV81))))),MIN(GW81,MAX(0,AB81-SUM(PR81:RI81))))</f>
        <v>0</v>
      </c>
      <c r="RK81" s="20" t="n">
        <f aca="false">IF(H_Direct=1,IF(AMK80&lt;=0,0,IF(DK81&lt;=0,MIN(MAX(0,AB81-SUM(PR81:RJ81)),AMK80),MIN(MAX(0,AB81-SUM(PR81:RJ81)),AMK80-G81*MAX(0,DK81*AMK80-(YJ81+ABW81))))),MIN(GX81,MAX(0,AB81-SUM(PR81:RJ81))))</f>
        <v>0</v>
      </c>
      <c r="RL81" s="20" t="n">
        <f aca="false">IF(H_Direct=1,IF(AML80&lt;=0,0,IF(DL81&lt;=0,MIN(MAX(0,AB81-SUM(PR81:RK81)),AML80),MIN(MAX(0,AB81-SUM(PR81:RK81)),AML80-G81*MAX(0,DL81*AML80-(YK81+ABX81))))),MIN(GY81,MAX(0,AB81-SUM(PR81:RK81))))</f>
        <v>0</v>
      </c>
      <c r="RM81" s="20" t="n">
        <f aca="false">IF(H_Direct=1,IF(AMM80&lt;=0,0,IF(DM81&lt;=0,MIN(MAX(0,AB81-SUM(PR81:RL81)),AMM80),MIN(MAX(0,AB81-SUM(PR81:RL81)),AMM80-G81*MAX(0,DM81*AMM80-(YL81+ABY81))))),MIN(GZ81,MAX(0,AB81-SUM(PR81:RL81))))</f>
        <v>0</v>
      </c>
      <c r="RN81" s="20" t="n">
        <f aca="false">IF(H_Direct=1,IF(AMN80&lt;=0,0,IF(DN81&lt;=0,MIN(MAX(0,AB81-SUM(PR81:RM81)),AMN80),MIN(MAX(0,AB81-SUM(PR81:RM81)),AMN80-G81*MAX(0,DN81*AMN80-(YM81+ABZ81))))),MIN(HA81,MAX(0,AB81-SUM(PR81:RM81))))</f>
        <v>0</v>
      </c>
      <c r="RO81" s="20" t="n">
        <f aca="false">IF(H_Direct=1,IF(AMO80&lt;=0,0,IF(DO81&lt;=0,MIN(MAX(0,AB81-SUM(PR81:RN81)),AMO80),MIN(MAX(0,AB81-SUM(PR81:RN81)),AMO80-G81*MAX(0,DO81*AMO80-(YN81+ACA81))))),MIN(HB81,MAX(0,AB81-SUM(PR81:RN81))))</f>
        <v>0</v>
      </c>
      <c r="RP81" s="20" t="n">
        <f aca="false">IF(H_Direct=1,IF(AMP80&lt;=0,0,IF(DP81&lt;=0,MIN(MAX(0,AB81-SUM(PR81:RO81)),AMP80),MIN(MAX(0,AB81-SUM(PR81:RO81)),AMP80-G81*MAX(0,DP81*AMP80-(YO81+ACB81))))),MIN(HC81,MAX(0,AB81-SUM(PR81:RO81))))</f>
        <v>0</v>
      </c>
      <c r="RQ81" s="20" t="n">
        <f aca="false">IF(H_Direct=1,IF(AMQ80&lt;=0,0,IF(DQ81&lt;=0,MIN(MAX(0,AB81-SUM(PR81:RP81)),AMQ80),MIN(MAX(0,AB81-SUM(PR81:RP81)),AMQ80-G81*MAX(0,DQ81*AMQ80-(YP81+ACC81))))),MIN(HD81,MAX(0,AB81-SUM(PR81:RP81))))</f>
        <v>0</v>
      </c>
      <c r="RR81" s="20" t="n">
        <f aca="false">IF(H_Direct=1,IF(AMR80&lt;=0,0,IF(DR81&lt;=0,MIN(MAX(0,AB81-SUM(PR81:RQ81)),AMR80),MIN(MAX(0,AB81-SUM(PR81:RQ81)),AMR80-G81*MAX(0,DR81*AMR80-(YQ81+ACD81))))),MIN(HE81,MAX(0,AB81-SUM(PR81:RQ81))))</f>
        <v>0</v>
      </c>
      <c r="RS81" s="20" t="n">
        <f aca="false">IF(H_Direct=1,IF(AMS80&lt;=0,0,IF(DS81&lt;=0,MIN(MAX(0,AB81-SUM(PR81:RR81)),AMS80),MIN(MAX(0,AB81-SUM(PR81:RR81)),AMS80-G81*MAX(0,DS81*AMS80-(YR81+ACE81))))),MIN(HF81,MAX(0,AB81-SUM(PR81:RR81))))</f>
        <v>0</v>
      </c>
      <c r="RT81" s="20" t="n">
        <f aca="false">IF(H_Direct=1,IF(AMT80&lt;=0,0,IF(DT81&lt;=0,MIN(MAX(0,AB81-SUM(PR81:RS81)),AMT80),MIN(MAX(0,AB81-SUM(PR81:RS81)),AMT80-G81*MAX(0,DT81*AMT80-(YS81+ACF81))))),MIN(HG81,MAX(0,AB81-SUM(PR81:RS81))))</f>
        <v>0</v>
      </c>
      <c r="RU81" s="20" t="n">
        <f aca="false">IF(H_Direct=1,IF(AMU80&lt;=0,0,IF(DU81&lt;=0,MIN(MAX(0,AB81-SUM(PR81:RT81)),AMU80),MIN(MAX(0,AB81-SUM(PR81:RT81)),AMU80-G81*MAX(0,DU81*AMU80-(YT81+ACG81))))),MIN(HH81,MAX(0,AB81-SUM(PR81:RT81))))</f>
        <v>0</v>
      </c>
      <c r="RV81" s="20" t="n">
        <f aca="false">IF(H_Direct=1,IF(AMV80&lt;=0,0,IF(DV81&lt;=0,MIN(MAX(0,AB81-SUM(PR81:RU81)),AMV80),MIN(MAX(0,AB81-SUM(PR81:RU81)),AMV80-G81*MAX(0,DV81*AMV80-(YU81+ACH81))))),MIN(HI81,MAX(0,AB81-SUM(PR81:RU81))))</f>
        <v>0</v>
      </c>
      <c r="RW81" s="20" t="n">
        <f aca="false">IF(H_Direct=1,IF(AMW80&lt;=0,0,IF(DW81&lt;=0,MIN(MAX(0,AB81-SUM(PR81:RV81)),AMW80),MIN(MAX(0,AB81-SUM(PR81:RV81)),AMW80-G81*MAX(0,DW81*AMW80-(YV81+ACI81))))),MIN(HJ81,MAX(0,AB81-SUM(PR81:RV81))))</f>
        <v>0</v>
      </c>
      <c r="RX81" s="20" t="n">
        <f aca="false">IF(H_Direct=1,IF(AMX80&lt;=0,0,IF(DX81&lt;=0,MIN(MAX(0,AB81-SUM(PR81:RW81)),AMX80),MIN(MAX(0,AB81-SUM(PR81:RW81)),AMX80-G81*MAX(0,DX81*AMX80-(YW81+ACJ81))))),MIN(HK81,MAX(0,AB81-SUM(PR81:RW81))))</f>
        <v>0</v>
      </c>
      <c r="RY81" s="20" t="n">
        <f aca="false">IF(H_Direct=1,IF(AMY80&lt;=0,0,IF(DY81&lt;=0,MIN(MAX(0,AB81-SUM(PR81:RX81)),AMY80),MIN(MAX(0,AB81-SUM(PR81:RX81)),AMY80-G81*MAX(0,DY81*AMY80-(YX81+ACK81))))),MIN(HL81,MAX(0,AB81-SUM(PR81:RX81))))</f>
        <v>0</v>
      </c>
      <c r="RZ81" s="20" t="n">
        <f aca="false">IF(H_Direct=1,IF(AMZ80&lt;=0,0,IF(DZ81&lt;=0,MIN(MAX(0,AB81-SUM(PR81:RY81)),AMZ80),MIN(MAX(0,AB81-SUM(PR81:RY81)),AMZ80-G81*MAX(0,DZ81*AMZ80-(YY81+ACL81))))),MIN(HM81,MAX(0,AB81-SUM(PR81:RY81))))</f>
        <v>0</v>
      </c>
      <c r="SA81" s="20" t="n">
        <f aca="false">IF(H_Direct=1,IF(ANA80&lt;=0,0,IF(EA81&lt;=0,MIN(MAX(0,AB81-SUM(PR81:RZ81)),ANA80),MIN(MAX(0,AB81-SUM(PR81:RZ81)),ANA80-G81*MAX(0,EA81*ANA80-(YZ81+ACM81))))),MIN(HN81,MAX(0,AB81-SUM(PR81:RZ81))))</f>
        <v>0</v>
      </c>
      <c r="SB81" s="20" t="n">
        <f aca="false">IF(H_Direct=1,IF(ANB80&lt;=0,0,IF(EB81&lt;=0,MIN(MAX(0,AB81-SUM(PR81:SA81)),ANB80),MIN(MAX(0,AB81-SUM(PR81:SA81)),ANB80-G81*MAX(0,EB81*ANB80-(ZA81+ACN81))))),MIN(HO81,MAX(0,AB81-SUM(PR81:SA81))))</f>
        <v>0</v>
      </c>
      <c r="SC81" s="20" t="n">
        <f aca="false">IF(H_Direct=1,IF(ANC80&lt;=0,0,IF(EC81&lt;=0,MIN(MAX(0,AB81-SUM(PR81:SB81)),ANC80),MIN(MAX(0,AB81-SUM(PR81:SB81)),ANC80-G81*MAX(0,EC81*ANC80-(ZB81+ACO81))))),MIN(HP81,MAX(0,AB81-SUM(PR81:SB81))))</f>
        <v>0</v>
      </c>
      <c r="SD81" s="20" t="n">
        <f aca="false">IF(H_Direct=1,IF(AND80&lt;=0,0,IF(ED81&lt;=0,MIN(MAX(0,AB81-SUM(PR81:SC81)),AND80),MIN(MAX(0,AB81-SUM(PR81:SC81)),AND80-G81*MAX(0,ED81*AND80-(ZC81+ACP81))))),MIN(HQ81,MAX(0,AB81-SUM(PR81:SC81))))</f>
        <v>0</v>
      </c>
      <c r="SE81" s="20" t="n">
        <f aca="false">IF(H_Direct=1,IF(ANE80&lt;=0,0,IF(EE81&lt;=0,MIN(MAX(0,AB81-SUM(PR81:SD81)),ANE80),MIN(MAX(0,AB81-SUM(PR81:SD81)),ANE80-G81*MAX(0,EE81*ANE80-(ZD81+ACQ81))))),MIN(HR81,MAX(0,AB81-SUM(PR81:SD81))))</f>
        <v>0</v>
      </c>
      <c r="SF81" s="20" t="n">
        <f aca="false">IF(H_Direct=1,IF(ANF80&lt;=0,0,IF(EF81&lt;=0,MIN(MAX(0,AB81-SUM(PR81:SE81)),ANF80),MIN(MAX(0,AB81-SUM(PR81:SE81)),ANF80-G81*MAX(0,EF81*ANF80-(ZE81+ACR81))))),MIN(HS81,MAX(0,AB81-SUM(PR81:SE81))))</f>
        <v>0</v>
      </c>
      <c r="SG81" s="20" t="n">
        <f aca="false">IF(H_Direct=1,IF(ANG80&lt;=0,0,IF(EG81&lt;=0,MIN(MAX(0,AB81-SUM(PR81:SF81)),ANG80),MIN(MAX(0,AB81-SUM(PR81:SF81)),ANG80-G81*MAX(0,EG81*ANG80-(ZF81+ACS81))))),MIN(HT81,MAX(0,AB81-SUM(PR81:SF81))))</f>
        <v>0</v>
      </c>
      <c r="SH81" s="20" t="n">
        <f aca="false">IF(H_Direct=1,IF(ANH80&lt;=0,0,IF(EH81&lt;=0,MIN(MAX(0,AB81-SUM(PR81:SG81)),ANH80),MIN(MAX(0,AB81-SUM(PR81:SG81)),ANH80-G81*MAX(0,EH81*ANH80-(ZG81+ACT81))))),MIN(HU81,MAX(0,AB81-SUM(PR81:SG81))))</f>
        <v>0</v>
      </c>
      <c r="SI81" s="20" t="n">
        <f aca="false">IF(H_Direct=1,IF(ANI80&lt;=0,0,IF(EI81&lt;=0,MIN(MAX(0,AB81-SUM(PR81:SH81)),ANI80),MIN(MAX(0,AB81-SUM(PR81:SH81)),ANI80-G81*MAX(0,EI81*ANI80-(ZH81+ACU81))))),MIN(HV81,MAX(0,AB81-SUM(PR81:SH81))))</f>
        <v>0</v>
      </c>
      <c r="SJ81" s="20" t="n">
        <f aca="false">IF(H_Direct=1,IF(ANJ80&lt;=0,0,IF(EJ81&lt;=0,MIN(MAX(0,AB81-SUM(PR81:SI81)),ANJ80),MIN(MAX(0,AB81-SUM(PR81:SI81)),ANJ80-G81*MAX(0,EJ81*ANJ80-(ZI81+ACV81))))),MIN(HW81,MAX(0,AB81-SUM(PR81:SI81))))</f>
        <v>0</v>
      </c>
      <c r="SK81" s="20" t="n">
        <f aca="false">IF(H_Direct=1,IF(ANK80&lt;=0,0,IF(EK81&lt;=0,MIN(MAX(0,AB81-SUM(PR81:SJ81)),ANK80),MIN(MAX(0,AB81-SUM(PR81:SJ81)),ANK80-G81*MAX(0,EK81*ANK80-(ZJ81+ACW81))))),MIN(HX81,MAX(0,AB81-SUM(PR81:SJ81))))</f>
        <v>0</v>
      </c>
      <c r="SL81" s="20" t="n">
        <f aca="false">IF(H_Direct=1,IF(ANL80&lt;=0,0,IF(EL81&lt;=0,MIN(MAX(0,AB81-SUM(PR81:SK81)),ANL80),MIN(MAX(0,AB81-SUM(PR81:SK81)),ANL80-G81*MAX(0,EL81*ANL80-(ZK81+ACX81))))),MIN(HY81,MAX(0,AB81-SUM(PR81:SK81))))</f>
        <v>0</v>
      </c>
      <c r="SM81" s="20" t="n">
        <f aca="false">IF(H_Direct=1,IF(ANM80&lt;=0,0,IF(EM81&lt;=0,MIN(MAX(0,AB81-SUM(PR81:SL81)),ANM80),MIN(MAX(0,AB81-SUM(PR81:SL81)),ANM80-G81*MAX(0,EM81*ANM80-(ZL81+ACY81))))),MIN(HZ81,MAX(0,AB81-SUM(PR81:SL81))))</f>
        <v>0</v>
      </c>
      <c r="SN81" s="20" t="n">
        <f aca="false">IF(H_Direct=1,IF((P81+S81)&lt;=0,0,IF(EN81&lt;=0,MIN(MAX(0,AB81-SUM(PR81:SM81)),(P81+S81)),MIN(MAX(0,AB81-SUM(PR81:SM81)),(P81+S81)-G81*MAX(0,EN81*(P81+S81)-(ZM81+ACZ81))))),MIN(IA81,MAX(0,AB81-SUM(PR81:SM81))))</f>
        <v>0</v>
      </c>
      <c r="SO81" s="20" t="n">
        <v>0</v>
      </c>
      <c r="SP81" s="20" t="n">
        <v>0</v>
      </c>
      <c r="SQ81" s="20" t="n">
        <v>0</v>
      </c>
      <c r="SR81" s="20" t="n">
        <v>0</v>
      </c>
      <c r="SS81" s="20" t="n">
        <v>0</v>
      </c>
      <c r="ST81" s="20" t="n">
        <v>0</v>
      </c>
      <c r="SU81" s="20" t="n">
        <v>0</v>
      </c>
      <c r="SV81" s="20" t="n">
        <v>0</v>
      </c>
      <c r="SW81" s="20" t="n">
        <v>0</v>
      </c>
      <c r="SX81" s="20" t="n">
        <v>0</v>
      </c>
      <c r="SY81" s="20" t="n">
        <v>0</v>
      </c>
      <c r="SZ81" s="20" t="n">
        <v>0</v>
      </c>
      <c r="TA81" s="20" t="n">
        <v>0</v>
      </c>
      <c r="TB81" s="20" t="n">
        <v>0</v>
      </c>
      <c r="TC81" s="20" t="n">
        <v>0</v>
      </c>
      <c r="TD81" s="20" t="n">
        <v>0</v>
      </c>
      <c r="TE81" s="20" t="n">
        <f aca="false">IF(AKR80&lt;=0,0,IF(H_Direct=1,IF(BR81&lt;=0,PR81,IF(PR81&lt;=(H81+I81)/BR81,PR81,(PR81-G81*(H81+I81))/(1-G81*BR81))),PR81/(1-MAX(0,BR81)*H_Exit)))</f>
        <v>0</v>
      </c>
      <c r="TF81" s="20" t="n">
        <f aca="false">IF(AKS80&lt;=0,0,IF(H_Direct=1,IF(BS81&lt;=0,PS81,IF(PS81&lt;=(WR81+AAE81)/BS81,PS81,(PS81-G81*(WR81+AAE81))/(1-G81*BS81))),PS81/(1-MAX(0,BS81)*H_Exit)))</f>
        <v>0</v>
      </c>
      <c r="TG81" s="20" t="n">
        <f aca="false">IF(AKT80&lt;=0,0,IF(H_Direct=1,IF(BT81&lt;=0,PT81,IF(PT81&lt;=(WS81+AAF81)/BT81,PT81,(PT81-G81*(WS81+AAF81))/(1-G81*BT81))),PT81/(1-MAX(0,BT81)*H_Exit)))</f>
        <v>0</v>
      </c>
      <c r="TH81" s="20" t="n">
        <f aca="false">IF(AKU80&lt;=0,0,IF(H_Direct=1,IF(BU81&lt;=0,PU81,IF(PU81&lt;=(WT81+AAG81)/BU81,PU81,(PU81-G81*(WT81+AAG81))/(1-G81*BU81))),PU81/(1-MAX(0,BU81)*H_Exit)))</f>
        <v>0</v>
      </c>
      <c r="TI81" s="20" t="n">
        <f aca="false">IF(AKV80&lt;=0,0,IF(H_Direct=1,IF(BV81&lt;=0,PV81,IF(PV81&lt;=(WU81+AAH81)/BV81,PV81,(PV81-G81*(WU81+AAH81))/(1-G81*BV81))),PV81/(1-MAX(0,BV81)*H_Exit)))</f>
        <v>0</v>
      </c>
      <c r="TJ81" s="20" t="n">
        <f aca="false">IF(AKW80&lt;=0,0,IF(H_Direct=1,IF(BW81&lt;=0,PW81,IF(PW81&lt;=(WV81+AAI81)/BW81,PW81,(PW81-G81*(WV81+AAI81))/(1-G81*BW81))),PW81/(1-MAX(0,BW81)*H_Exit)))</f>
        <v>0</v>
      </c>
      <c r="TK81" s="20" t="n">
        <f aca="false">IF(AKX80&lt;=0,0,IF(H_Direct=1,IF(BX81&lt;=0,PX81,IF(PX81&lt;=(WW81+AAJ81)/BX81,PX81,(PX81-G81*(WW81+AAJ81))/(1-G81*BX81))),PX81/(1-MAX(0,BX81)*H_Exit)))</f>
        <v>0</v>
      </c>
      <c r="TL81" s="20" t="n">
        <f aca="false">IF(AKY80&lt;=0,0,IF(H_Direct=1,IF(BY81&lt;=0,PY81,IF(PY81&lt;=(WX81+AAK81)/BY81,PY81,(PY81-G81*(WX81+AAK81))/(1-G81*BY81))),PY81/(1-MAX(0,BY81)*H_Exit)))</f>
        <v>0</v>
      </c>
      <c r="TM81" s="20" t="n">
        <f aca="false">IF(AKZ80&lt;=0,0,IF(H_Direct=1,IF(BZ81&lt;=0,PZ81,IF(PZ81&lt;=(WY81+AAL81)/BZ81,PZ81,(PZ81-G81*(WY81+AAL81))/(1-G81*BZ81))),PZ81/(1-MAX(0,BZ81)*H_Exit)))</f>
        <v>0</v>
      </c>
      <c r="TN81" s="20" t="n">
        <f aca="false">IF(ALA80&lt;=0,0,IF(H_Direct=1,IF(CA81&lt;=0,QA81,IF(QA81&lt;=(WZ81+AAM81)/CA81,QA81,(QA81-G81*(WZ81+AAM81))/(1-G81*CA81))),QA81/(1-MAX(0,CA81)*H_Exit)))</f>
        <v>0</v>
      </c>
      <c r="TO81" s="20" t="n">
        <f aca="false">IF(ALB80&lt;=0,0,IF(H_Direct=1,IF(CB81&lt;=0,QB81,IF(QB81&lt;=(XA81+AAN81)/CB81,QB81,(QB81-G81*(XA81+AAN81))/(1-G81*CB81))),QB81/(1-MAX(0,CB81)*H_Exit)))</f>
        <v>0</v>
      </c>
      <c r="TP81" s="20" t="n">
        <f aca="false">IF(ALC80&lt;=0,0,IF(H_Direct=1,IF(CC81&lt;=0,QC81,IF(QC81&lt;=(XB81+AAO81)/CC81,QC81,(QC81-G81*(XB81+AAO81))/(1-G81*CC81))),QC81/(1-MAX(0,CC81)*H_Exit)))</f>
        <v>0</v>
      </c>
      <c r="TQ81" s="20" t="n">
        <f aca="false">IF(ALD80&lt;=0,0,IF(H_Direct=1,IF(CD81&lt;=0,QD81,IF(QD81&lt;=(XC81+AAP81)/CD81,QD81,(QD81-G81*(XC81+AAP81))/(1-G81*CD81))),QD81/(1-MAX(0,CD81)*H_Exit)))</f>
        <v>0</v>
      </c>
      <c r="TR81" s="20" t="n">
        <f aca="false">IF(ALE80&lt;=0,0,IF(H_Direct=1,IF(CE81&lt;=0,QE81,IF(QE81&lt;=(XD81+AAQ81)/CE81,QE81,(QE81-G81*(XD81+AAQ81))/(1-G81*CE81))),QE81/(1-MAX(0,CE81)*H_Exit)))</f>
        <v>0</v>
      </c>
      <c r="TS81" s="20" t="n">
        <f aca="false">IF(ALF80&lt;=0,0,IF(H_Direct=1,IF(CF81&lt;=0,QF81,IF(QF81&lt;=(XE81+AAR81)/CF81,QF81,(QF81-G81*(XE81+AAR81))/(1-G81*CF81))),QF81/(1-MAX(0,CF81)*H_Exit)))</f>
        <v>0</v>
      </c>
      <c r="TT81" s="20" t="n">
        <f aca="false">IF(ALG80&lt;=0,0,IF(H_Direct=1,IF(CG81&lt;=0,QG81,IF(QG81&lt;=(XF81+AAS81)/CG81,QG81,(QG81-G81*(XF81+AAS81))/(1-G81*CG81))),QG81/(1-MAX(0,CG81)*H_Exit)))</f>
        <v>0</v>
      </c>
      <c r="TU81" s="20" t="n">
        <f aca="false">IF(ALH80&lt;=0,0,IF(H_Direct=1,IF(CH81&lt;=0,QH81,IF(QH81&lt;=(XG81+AAT81)/CH81,QH81,(QH81-G81*(XG81+AAT81))/(1-G81*CH81))),QH81/(1-MAX(0,CH81)*H_Exit)))</f>
        <v>0</v>
      </c>
      <c r="TV81" s="20" t="n">
        <f aca="false">IF(ALI80&lt;=0,0,IF(H_Direct=1,IF(CI81&lt;=0,QI81,IF(QI81&lt;=(XH81+AAU81)/CI81,QI81,(QI81-G81*(XH81+AAU81))/(1-G81*CI81))),QI81/(1-MAX(0,CI81)*H_Exit)))</f>
        <v>0</v>
      </c>
      <c r="TW81" s="20" t="n">
        <f aca="false">IF(ALJ80&lt;=0,0,IF(H_Direct=1,IF(CJ81&lt;=0,QJ81,IF(QJ81&lt;=(XI81+AAV81)/CJ81,QJ81,(QJ81-G81*(XI81+AAV81))/(1-G81*CJ81))),QJ81/(1-MAX(0,CJ81)*H_Exit)))</f>
        <v>0</v>
      </c>
      <c r="TX81" s="20" t="n">
        <f aca="false">IF(ALK80&lt;=0,0,IF(H_Direct=1,IF(CK81&lt;=0,QK81,IF(QK81&lt;=(XJ81+AAW81)/CK81,QK81,(QK81-G81*(XJ81+AAW81))/(1-G81*CK81))),QK81/(1-MAX(0,CK81)*H_Exit)))</f>
        <v>0</v>
      </c>
      <c r="TY81" s="20" t="n">
        <f aca="false">IF(ALL80&lt;=0,0,IF(H_Direct=1,IF(CL81&lt;=0,QL81,IF(QL81&lt;=(XK81+AAX81)/CL81,QL81,(QL81-G81*(XK81+AAX81))/(1-G81*CL81))),QL81/(1-MAX(0,CL81)*H_Exit)))</f>
        <v>0</v>
      </c>
      <c r="TZ81" s="20" t="n">
        <f aca="false">IF(ALM80&lt;=0,0,IF(H_Direct=1,IF(CM81&lt;=0,QM81,IF(QM81&lt;=(XL81+AAY81)/CM81,QM81,(QM81-G81*(XL81+AAY81))/(1-G81*CM81))),QM81/(1-MAX(0,CM81)*H_Exit)))</f>
        <v>0</v>
      </c>
      <c r="UA81" s="20" t="n">
        <f aca="false">IF(ALN80&lt;=0,0,IF(H_Direct=1,IF(CN81&lt;=0,QN81,IF(QN81&lt;=(XM81+AAZ81)/CN81,QN81,(QN81-G81*(XM81+AAZ81))/(1-G81*CN81))),QN81/(1-MAX(0,CN81)*H_Exit)))</f>
        <v>0</v>
      </c>
      <c r="UB81" s="20" t="n">
        <f aca="false">IF(ALO80&lt;=0,0,IF(H_Direct=1,IF(CO81&lt;=0,QO81,IF(QO81&lt;=(XN81+ABA81)/CO81,QO81,(QO81-G81*(XN81+ABA81))/(1-G81*CO81))),QO81/(1-MAX(0,CO81)*H_Exit)))</f>
        <v>0</v>
      </c>
      <c r="UC81" s="20" t="n">
        <f aca="false">IF(ALP80&lt;=0,0,IF(H_Direct=1,IF(CP81&lt;=0,QP81,IF(QP81&lt;=(XO81+ABB81)/CP81,QP81,(QP81-G81*(XO81+ABB81))/(1-G81*CP81))),QP81/(1-MAX(0,CP81)*H_Exit)))</f>
        <v>0</v>
      </c>
      <c r="UD81" s="20" t="n">
        <f aca="false">IF(ALQ80&lt;=0,0,IF(H_Direct=1,IF(CQ81&lt;=0,QQ81,IF(QQ81&lt;=(XP81+ABC81)/CQ81,QQ81,(QQ81-G81*(XP81+ABC81))/(1-G81*CQ81))),QQ81/(1-MAX(0,CQ81)*H_Exit)))</f>
        <v>0</v>
      </c>
      <c r="UE81" s="20" t="n">
        <f aca="false">IF(ALR80&lt;=0,0,IF(H_Direct=1,IF(CR81&lt;=0,QR81,IF(QR81&lt;=(XQ81+ABD81)/CR81,QR81,(QR81-G81*(XQ81+ABD81))/(1-G81*CR81))),QR81/(1-MAX(0,CR81)*H_Exit)))</f>
        <v>0</v>
      </c>
      <c r="UF81" s="20" t="n">
        <f aca="false">IF(ALS80&lt;=0,0,IF(H_Direct=1,IF(CS81&lt;=0,QS81,IF(QS81&lt;=(XR81+ABE81)/CS81,QS81,(QS81-G81*(XR81+ABE81))/(1-G81*CS81))),QS81/(1-MAX(0,CS81)*H_Exit)))</f>
        <v>0</v>
      </c>
      <c r="UG81" s="20" t="n">
        <f aca="false">IF(ALT80&lt;=0,0,IF(H_Direct=1,IF(CT81&lt;=0,QT81,IF(QT81&lt;=(XS81+ABF81)/CT81,QT81,(QT81-G81*(XS81+ABF81))/(1-G81*CT81))),QT81/(1-MAX(0,CT81)*H_Exit)))</f>
        <v>0</v>
      </c>
      <c r="UH81" s="20" t="n">
        <f aca="false">IF(ALU80&lt;=0,0,IF(H_Direct=1,IF(CU81&lt;=0,QU81,IF(QU81&lt;=(XT81+ABG81)/CU81,QU81,(QU81-G81*(XT81+ABG81))/(1-G81*CU81))),QU81/(1-MAX(0,CU81)*H_Exit)))</f>
        <v>0</v>
      </c>
      <c r="UI81" s="20" t="n">
        <f aca="false">IF(ALV80&lt;=0,0,IF(H_Direct=1,IF(CV81&lt;=0,QV81,IF(QV81&lt;=(XU81+ABH81)/CV81,QV81,(QV81-G81*(XU81+ABH81))/(1-G81*CV81))),QV81/(1-MAX(0,CV81)*H_Exit)))</f>
        <v>0</v>
      </c>
      <c r="UJ81" s="20" t="n">
        <f aca="false">IF(ALW80&lt;=0,0,IF(H_Direct=1,IF(CW81&lt;=0,QW81,IF(QW81&lt;=(XV81+ABI81)/CW81,QW81,(QW81-G81*(XV81+ABI81))/(1-G81*CW81))),QW81/(1-MAX(0,CW81)*H_Exit)))</f>
        <v>0</v>
      </c>
      <c r="UK81" s="20" t="n">
        <f aca="false">IF(ALX80&lt;=0,0,IF(H_Direct=1,IF(CX81&lt;=0,QX81,IF(QX81&lt;=(XW81+ABJ81)/CX81,QX81,(QX81-G81*(XW81+ABJ81))/(1-G81*CX81))),QX81/(1-MAX(0,CX81)*H_Exit)))</f>
        <v>0</v>
      </c>
      <c r="UL81" s="20" t="n">
        <f aca="false">IF(ALY80&lt;=0,0,IF(H_Direct=1,IF(CY81&lt;=0,QY81,IF(QY81&lt;=(XX81+ABK81)/CY81,QY81,(QY81-G81*(XX81+ABK81))/(1-G81*CY81))),QY81/(1-MAX(0,CY81)*H_Exit)))</f>
        <v>0</v>
      </c>
      <c r="UM81" s="20" t="n">
        <f aca="false">IF(ALZ80&lt;=0,0,IF(H_Direct=1,IF(CZ81&lt;=0,QZ81,IF(QZ81&lt;=(XY81+ABL81)/CZ81,QZ81,(QZ81-G81*(XY81+ABL81))/(1-G81*CZ81))),QZ81/(1-MAX(0,CZ81)*H_Exit)))</f>
        <v>0</v>
      </c>
      <c r="UN81" s="20" t="n">
        <f aca="false">IF(AMA80&lt;=0,0,IF(H_Direct=1,IF(DA81&lt;=0,RA81,IF(RA81&lt;=(XZ81+ABM81)/DA81,RA81,(RA81-G81*(XZ81+ABM81))/(1-G81*DA81))),RA81/(1-MAX(0,DA81)*H_Exit)))</f>
        <v>0</v>
      </c>
      <c r="UO81" s="20" t="n">
        <f aca="false">IF(AMB80&lt;=0,0,IF(H_Direct=1,IF(DB81&lt;=0,RB81,IF(RB81&lt;=(YA81+ABN81)/DB81,RB81,(RB81-G81*(YA81+ABN81))/(1-G81*DB81))),RB81/(1-MAX(0,DB81)*H_Exit)))</f>
        <v>0</v>
      </c>
      <c r="UP81" s="20" t="n">
        <f aca="false">IF(AMC80&lt;=0,0,IF(H_Direct=1,IF(DC81&lt;=0,RC81,IF(RC81&lt;=(YB81+ABO81)/DC81,RC81,(RC81-G81*(YB81+ABO81))/(1-G81*DC81))),RC81/(1-MAX(0,DC81)*H_Exit)))</f>
        <v>0</v>
      </c>
      <c r="UQ81" s="20" t="n">
        <f aca="false">IF(AMD80&lt;=0,0,IF(H_Direct=1,IF(DD81&lt;=0,RD81,IF(RD81&lt;=(YC81+ABP81)/DD81,RD81,(RD81-G81*(YC81+ABP81))/(1-G81*DD81))),RD81/(1-MAX(0,DD81)*H_Exit)))</f>
        <v>0</v>
      </c>
      <c r="UR81" s="20" t="n">
        <f aca="false">IF(AME80&lt;=0,0,IF(H_Direct=1,IF(DE81&lt;=0,RE81,IF(RE81&lt;=(YD81+ABQ81)/DE81,RE81,(RE81-G81*(YD81+ABQ81))/(1-G81*DE81))),RE81/(1-MAX(0,DE81)*H_Exit)))</f>
        <v>0</v>
      </c>
      <c r="US81" s="20" t="n">
        <f aca="false">IF(AMF80&lt;=0,0,IF(H_Direct=1,IF(DF81&lt;=0,RF81,IF(RF81&lt;=(YE81+ABR81)/DF81,RF81,(RF81-G81*(YE81+ABR81))/(1-G81*DF81))),RF81/(1-MAX(0,DF81)*H_Exit)))</f>
        <v>0</v>
      </c>
      <c r="UT81" s="20" t="n">
        <f aca="false">IF(AMG80&lt;=0,0,IF(H_Direct=1,IF(DG81&lt;=0,RG81,IF(RG81&lt;=(YF81+ABS81)/DG81,RG81,(RG81-G81*(YF81+ABS81))/(1-G81*DG81))),RG81/(1-MAX(0,DG81)*H_Exit)))</f>
        <v>0</v>
      </c>
      <c r="UU81" s="20" t="n">
        <f aca="false">IF(AMH80&lt;=0,0,IF(H_Direct=1,IF(DH81&lt;=0,RH81,IF(RH81&lt;=(YG81+ABT81)/DH81,RH81,(RH81-G81*(YG81+ABT81))/(1-G81*DH81))),RH81/(1-MAX(0,DH81)*H_Exit)))</f>
        <v>0</v>
      </c>
      <c r="UV81" s="20" t="n">
        <f aca="false">IF(AMI80&lt;=0,0,IF(H_Direct=1,IF(DI81&lt;=0,RI81,IF(RI81&lt;=(YH81+ABU81)/DI81,RI81,(RI81-G81*(YH81+ABU81))/(1-G81*DI81))),RI81/(1-MAX(0,DI81)*H_Exit)))</f>
        <v>0</v>
      </c>
      <c r="UW81" s="20" t="n">
        <f aca="false">IF(AMJ80&lt;=0,0,IF(H_Direct=1,IF(DJ81&lt;=0,RJ81,IF(RJ81&lt;=(YI81+ABV81)/DJ81,RJ81,(RJ81-G81*(YI81+ABV81))/(1-G81*DJ81))),RJ81/(1-MAX(0,DJ81)*H_Exit)))</f>
        <v>0</v>
      </c>
      <c r="UX81" s="20" t="n">
        <f aca="false">IF(AMK80&lt;=0,0,IF(H_Direct=1,IF(DK81&lt;=0,RK81,IF(RK81&lt;=(YJ81+ABW81)/DK81,RK81,(RK81-G81*(YJ81+ABW81))/(1-G81*DK81))),RK81/(1-MAX(0,DK81)*H_Exit)))</f>
        <v>0</v>
      </c>
      <c r="UY81" s="20" t="n">
        <f aca="false">IF(AML80&lt;=0,0,IF(H_Direct=1,IF(DL81&lt;=0,RL81,IF(RL81&lt;=(YK81+ABX81)/DL81,RL81,(RL81-G81*(YK81+ABX81))/(1-G81*DL81))),RL81/(1-MAX(0,DL81)*H_Exit)))</f>
        <v>0</v>
      </c>
      <c r="UZ81" s="20" t="n">
        <f aca="false">IF(AMM80&lt;=0,0,IF(H_Direct=1,IF(DM81&lt;=0,RM81,IF(RM81&lt;=(YL81+ABY81)/DM81,RM81,(RM81-G81*(YL81+ABY81))/(1-G81*DM81))),RM81/(1-MAX(0,DM81)*H_Exit)))</f>
        <v>0</v>
      </c>
      <c r="VA81" s="20" t="n">
        <f aca="false">IF(AMN80&lt;=0,0,IF(H_Direct=1,IF(DN81&lt;=0,RN81,IF(RN81&lt;=(YM81+ABZ81)/DN81,RN81,(RN81-G81*(YM81+ABZ81))/(1-G81*DN81))),RN81/(1-MAX(0,DN81)*H_Exit)))</f>
        <v>0</v>
      </c>
      <c r="VB81" s="20" t="n">
        <f aca="false">IF(AMO80&lt;=0,0,IF(H_Direct=1,IF(DO81&lt;=0,RO81,IF(RO81&lt;=(YN81+ACA81)/DO81,RO81,(RO81-G81*(YN81+ACA81))/(1-G81*DO81))),RO81/(1-MAX(0,DO81)*H_Exit)))</f>
        <v>0</v>
      </c>
      <c r="VC81" s="20" t="n">
        <f aca="false">IF(AMP80&lt;=0,0,IF(H_Direct=1,IF(DP81&lt;=0,RP81,IF(RP81&lt;=(YO81+ACB81)/DP81,RP81,(RP81-G81*(YO81+ACB81))/(1-G81*DP81))),RP81/(1-MAX(0,DP81)*H_Exit)))</f>
        <v>0</v>
      </c>
      <c r="VD81" s="20" t="n">
        <f aca="false">IF(AMQ80&lt;=0,0,IF(H_Direct=1,IF(DQ81&lt;=0,RQ81,IF(RQ81&lt;=(YP81+ACC81)/DQ81,RQ81,(RQ81-G81*(YP81+ACC81))/(1-G81*DQ81))),RQ81/(1-MAX(0,DQ81)*H_Exit)))</f>
        <v>0</v>
      </c>
      <c r="VE81" s="20" t="n">
        <f aca="false">IF(AMR80&lt;=0,0,IF(H_Direct=1,IF(DR81&lt;=0,RR81,IF(RR81&lt;=(YQ81+ACD81)/DR81,RR81,(RR81-G81*(YQ81+ACD81))/(1-G81*DR81))),RR81/(1-MAX(0,DR81)*H_Exit)))</f>
        <v>0</v>
      </c>
      <c r="VF81" s="20" t="n">
        <f aca="false">IF(AMS80&lt;=0,0,IF(H_Direct=1,IF(DS81&lt;=0,RS81,IF(RS81&lt;=(YR81+ACE81)/DS81,RS81,(RS81-G81*(YR81+ACE81))/(1-G81*DS81))),RS81/(1-MAX(0,DS81)*H_Exit)))</f>
        <v>0</v>
      </c>
      <c r="VG81" s="20" t="n">
        <f aca="false">IF(AMT80&lt;=0,0,IF(H_Direct=1,IF(DT81&lt;=0,RT81,IF(RT81&lt;=(YS81+ACF81)/DT81,RT81,(RT81-G81*(YS81+ACF81))/(1-G81*DT81))),RT81/(1-MAX(0,DT81)*H_Exit)))</f>
        <v>0</v>
      </c>
      <c r="VH81" s="20" t="n">
        <f aca="false">IF(AMU80&lt;=0,0,IF(H_Direct=1,IF(DU81&lt;=0,RU81,IF(RU81&lt;=(YT81+ACG81)/DU81,RU81,(RU81-G81*(YT81+ACG81))/(1-G81*DU81))),RU81/(1-MAX(0,DU81)*H_Exit)))</f>
        <v>0</v>
      </c>
      <c r="VI81" s="20" t="n">
        <f aca="false">IF(AMV80&lt;=0,0,IF(H_Direct=1,IF(DV81&lt;=0,RV81,IF(RV81&lt;=(YU81+ACH81)/DV81,RV81,(RV81-G81*(YU81+ACH81))/(1-G81*DV81))),RV81/(1-MAX(0,DV81)*H_Exit)))</f>
        <v>0</v>
      </c>
      <c r="VJ81" s="20" t="n">
        <f aca="false">IF(AMW80&lt;=0,0,IF(H_Direct=1,IF(DW81&lt;=0,RW81,IF(RW81&lt;=(YV81+ACI81)/DW81,RW81,(RW81-G81*(YV81+ACI81))/(1-G81*DW81))),RW81/(1-MAX(0,DW81)*H_Exit)))</f>
        <v>0</v>
      </c>
      <c r="VK81" s="20" t="n">
        <f aca="false">IF(AMX80&lt;=0,0,IF(H_Direct=1,IF(DX81&lt;=0,RX81,IF(RX81&lt;=(YW81+ACJ81)/DX81,RX81,(RX81-G81*(YW81+ACJ81))/(1-G81*DX81))),RX81/(1-MAX(0,DX81)*H_Exit)))</f>
        <v>0</v>
      </c>
      <c r="VL81" s="20" t="n">
        <f aca="false">IF(AMY80&lt;=0,0,IF(H_Direct=1,IF(DY81&lt;=0,RY81,IF(RY81&lt;=(YX81+ACK81)/DY81,RY81,(RY81-G81*(YX81+ACK81))/(1-G81*DY81))),RY81/(1-MAX(0,DY81)*H_Exit)))</f>
        <v>0</v>
      </c>
      <c r="VM81" s="20" t="n">
        <f aca="false">IF(AMZ80&lt;=0,0,IF(H_Direct=1,IF(DZ81&lt;=0,RZ81,IF(RZ81&lt;=(YY81+ACL81)/DZ81,RZ81,(RZ81-G81*(YY81+ACL81))/(1-G81*DZ81))),RZ81/(1-MAX(0,DZ81)*H_Exit)))</f>
        <v>0</v>
      </c>
      <c r="VN81" s="20" t="n">
        <f aca="false">IF(ANA80&lt;=0,0,IF(H_Direct=1,IF(EA81&lt;=0,SA81,IF(SA81&lt;=(YZ81+ACM81)/EA81,SA81,(SA81-G81*(YZ81+ACM81))/(1-G81*EA81))),SA81/(1-MAX(0,EA81)*H_Exit)))</f>
        <v>0</v>
      </c>
      <c r="VO81" s="20" t="n">
        <f aca="false">IF(ANB80&lt;=0,0,IF(H_Direct=1,IF(EB81&lt;=0,SB81,IF(SB81&lt;=(ZA81+ACN81)/EB81,SB81,(SB81-G81*(ZA81+ACN81))/(1-G81*EB81))),SB81/(1-MAX(0,EB81)*H_Exit)))</f>
        <v>0</v>
      </c>
      <c r="VP81" s="20" t="n">
        <f aca="false">IF(ANC80&lt;=0,0,IF(H_Direct=1,IF(EC81&lt;=0,SC81,IF(SC81&lt;=(ZB81+ACO81)/EC81,SC81,(SC81-G81*(ZB81+ACO81))/(1-G81*EC81))),SC81/(1-MAX(0,EC81)*H_Exit)))</f>
        <v>0</v>
      </c>
      <c r="VQ81" s="20" t="n">
        <f aca="false">IF(AND80&lt;=0,0,IF(H_Direct=1,IF(ED81&lt;=0,SD81,IF(SD81&lt;=(ZC81+ACP81)/ED81,SD81,(SD81-G81*(ZC81+ACP81))/(1-G81*ED81))),SD81/(1-MAX(0,ED81)*H_Exit)))</f>
        <v>0</v>
      </c>
      <c r="VR81" s="20" t="n">
        <f aca="false">IF(ANE80&lt;=0,0,IF(H_Direct=1,IF(EE81&lt;=0,SE81,IF(SE81&lt;=(ZD81+ACQ81)/EE81,SE81,(SE81-G81*(ZD81+ACQ81))/(1-G81*EE81))),SE81/(1-MAX(0,EE81)*H_Exit)))</f>
        <v>0</v>
      </c>
      <c r="VS81" s="20" t="n">
        <f aca="false">IF(ANF80&lt;=0,0,IF(H_Direct=1,IF(EF81&lt;=0,SF81,IF(SF81&lt;=(ZE81+ACR81)/EF81,SF81,(SF81-G81*(ZE81+ACR81))/(1-G81*EF81))),SF81/(1-MAX(0,EF81)*H_Exit)))</f>
        <v>0</v>
      </c>
      <c r="VT81" s="20" t="n">
        <f aca="false">IF(ANG80&lt;=0,0,IF(H_Direct=1,IF(EG81&lt;=0,SG81,IF(SG81&lt;=(ZF81+ACS81)/EG81,SG81,(SG81-G81*(ZF81+ACS81))/(1-G81*EG81))),SG81/(1-MAX(0,EG81)*H_Exit)))</f>
        <v>0</v>
      </c>
      <c r="VU81" s="20" t="n">
        <f aca="false">IF(ANH80&lt;=0,0,IF(H_Direct=1,IF(EH81&lt;=0,SH81,IF(SH81&lt;=(ZG81+ACT81)/EH81,SH81,(SH81-G81*(ZG81+ACT81))/(1-G81*EH81))),SH81/(1-MAX(0,EH81)*H_Exit)))</f>
        <v>0</v>
      </c>
      <c r="VV81" s="20" t="n">
        <f aca="false">IF(ANI80&lt;=0,0,IF(H_Direct=1,IF(EI81&lt;=0,SI81,IF(SI81&lt;=(ZH81+ACU81)/EI81,SI81,(SI81-G81*(ZH81+ACU81))/(1-G81*EI81))),SI81/(1-MAX(0,EI81)*H_Exit)))</f>
        <v>0</v>
      </c>
      <c r="VW81" s="20" t="n">
        <f aca="false">IF(ANJ80&lt;=0,0,IF(H_Direct=1,IF(EJ81&lt;=0,SJ81,IF(SJ81&lt;=(ZI81+ACV81)/EJ81,SJ81,(SJ81-G81*(ZI81+ACV81))/(1-G81*EJ81))),SJ81/(1-MAX(0,EJ81)*H_Exit)))</f>
        <v>0</v>
      </c>
      <c r="VX81" s="20" t="n">
        <f aca="false">IF(ANK80&lt;=0,0,IF(H_Direct=1,IF(EK81&lt;=0,SK81,IF(SK81&lt;=(ZJ81+ACW81)/EK81,SK81,(SK81-G81*(ZJ81+ACW81))/(1-G81*EK81))),SK81/(1-MAX(0,EK81)*H_Exit)))</f>
        <v>0</v>
      </c>
      <c r="VY81" s="20" t="n">
        <f aca="false">IF(ANL80&lt;=0,0,IF(H_Direct=1,IF(EL81&lt;=0,SL81,IF(SL81&lt;=(ZK81+ACX81)/EL81,SL81,(SL81-G81*(ZK81+ACX81))/(1-G81*EL81))),SL81/(1-MAX(0,EL81)*H_Exit)))</f>
        <v>0</v>
      </c>
      <c r="VZ81" s="20" t="n">
        <f aca="false">IF(ANM80&lt;=0,0,IF(H_Direct=1,IF(EM81&lt;=0,SM81,IF(SM81&lt;=(ZL81+ACY81)/EM81,SM81,(SM81-G81*(ZL81+ACY81))/(1-G81*EM81))),SM81/(1-MAX(0,EM81)*H_Exit)))</f>
        <v>0</v>
      </c>
      <c r="WA81" s="20" t="n">
        <f aca="false">IF((P81+S81)&lt;=0,0,IF(H_Direct=1,IF(EN81&lt;=0,SN81,IF(SN81&lt;=(ZM81+ACZ81)/EN81,SN81,(SN81-G81*(ZM81+ACZ81))/(1-G81*EN81))),SN81/(1-MAX(0,EN81)*H_Exit)))</f>
        <v>0</v>
      </c>
      <c r="WB81" s="20" t="n">
        <v>0</v>
      </c>
      <c r="WC81" s="20" t="n">
        <v>0</v>
      </c>
      <c r="WD81" s="20" t="n">
        <v>0</v>
      </c>
      <c r="WE81" s="20" t="n">
        <v>0</v>
      </c>
      <c r="WF81" s="20" t="n">
        <v>0</v>
      </c>
      <c r="WG81" s="20" t="n">
        <v>0</v>
      </c>
      <c r="WH81" s="20" t="n">
        <v>0</v>
      </c>
      <c r="WI81" s="20" t="n">
        <v>0</v>
      </c>
      <c r="WJ81" s="20" t="n">
        <v>0</v>
      </c>
      <c r="WK81" s="20" t="n">
        <v>0</v>
      </c>
      <c r="WL81" s="20" t="n">
        <v>0</v>
      </c>
      <c r="WM81" s="20" t="n">
        <v>0</v>
      </c>
      <c r="WN81" s="20" t="n">
        <v>0</v>
      </c>
      <c r="WO81" s="20" t="n">
        <v>0</v>
      </c>
      <c r="WP81" s="20" t="n">
        <v>0</v>
      </c>
      <c r="WQ81" s="20" t="n">
        <v>0</v>
      </c>
      <c r="WR81" s="20" t="n">
        <f aca="false">IF(AND(H_Direct=1,BR81&gt;0),MAX(0,H81-(MIN(BR81*TE81,(H81+I81))-MIN(MIN(BR81*TE81,(H81+I81)),I81))),H81)</f>
        <v>1270</v>
      </c>
      <c r="WS81" s="20" t="n">
        <f aca="false">IF(AND(H_Direct=1,BS81&gt;0),MAX(0,WR81-(MIN(BS81*TF81,(WR81+AAE81))-MIN(MIN(BS81*TF81,(WR81+AAE81)),AAE81))),WR81)</f>
        <v>1270</v>
      </c>
      <c r="WT81" s="20" t="n">
        <f aca="false">IF(AND(H_Direct=1,BT81&gt;0),MAX(0,WS81-(MIN(BT81*TG81,(WS81+AAF81))-MIN(MIN(BT81*TG81,(WS81+AAF81)),AAF81))),WS81)</f>
        <v>1270</v>
      </c>
      <c r="WU81" s="20" t="n">
        <f aca="false">IF(AND(H_Direct=1,BU81&gt;0),MAX(0,WT81-(MIN(BU81*TH81,(WT81+AAG81))-MIN(MIN(BU81*TH81,(WT81+AAG81)),AAG81))),WT81)</f>
        <v>1270</v>
      </c>
      <c r="WV81" s="20" t="n">
        <f aca="false">IF(AND(H_Direct=1,BV81&gt;0),MAX(0,WU81-(MIN(BV81*TI81,(WU81+AAH81))-MIN(MIN(BV81*TI81,(WU81+AAH81)),AAH81))),WU81)</f>
        <v>1270</v>
      </c>
      <c r="WW81" s="20" t="n">
        <f aca="false">IF(AND(H_Direct=1,BW81&gt;0),MAX(0,WV81-(MIN(BW81*TJ81,(WV81+AAI81))-MIN(MIN(BW81*TJ81,(WV81+AAI81)),AAI81))),WV81)</f>
        <v>1270</v>
      </c>
      <c r="WX81" s="20" t="n">
        <f aca="false">IF(AND(H_Direct=1,BX81&gt;0),MAX(0,WW81-(MIN(BX81*TK81,(WW81+AAJ81))-MIN(MIN(BX81*TK81,(WW81+AAJ81)),AAJ81))),WW81)</f>
        <v>1270</v>
      </c>
      <c r="WY81" s="20" t="n">
        <f aca="false">IF(AND(H_Direct=1,BY81&gt;0),MAX(0,WX81-(MIN(BY81*TL81,(WX81+AAK81))-MIN(MIN(BY81*TL81,(WX81+AAK81)),AAK81))),WX81)</f>
        <v>1270</v>
      </c>
      <c r="WZ81" s="20" t="n">
        <f aca="false">IF(AND(H_Direct=1,BZ81&gt;0),MAX(0,WY81-(MIN(BZ81*TM81,(WY81+AAL81))-MIN(MIN(BZ81*TM81,(WY81+AAL81)),AAL81))),WY81)</f>
        <v>1270</v>
      </c>
      <c r="XA81" s="20" t="n">
        <f aca="false">IF(AND(H_Direct=1,CA81&gt;0),MAX(0,WZ81-(MIN(CA81*TN81,(WZ81+AAM81))-MIN(MIN(CA81*TN81,(WZ81+AAM81)),AAM81))),WZ81)</f>
        <v>1270</v>
      </c>
      <c r="XB81" s="20" t="n">
        <f aca="false">IF(AND(H_Direct=1,CB81&gt;0),MAX(0,XA81-(MIN(CB81*TO81,(XA81+AAN81))-MIN(MIN(CB81*TO81,(XA81+AAN81)),AAN81))),XA81)</f>
        <v>1270</v>
      </c>
      <c r="XC81" s="20" t="n">
        <f aca="false">IF(AND(H_Direct=1,CC81&gt;0),MAX(0,XB81-(MIN(CC81*TP81,(XB81+AAO81))-MIN(MIN(CC81*TP81,(XB81+AAO81)),AAO81))),XB81)</f>
        <v>1270</v>
      </c>
      <c r="XD81" s="20" t="n">
        <f aca="false">IF(AND(H_Direct=1,CD81&gt;0),MAX(0,XC81-(MIN(CD81*TQ81,(XC81+AAP81))-MIN(MIN(CD81*TQ81,(XC81+AAP81)),AAP81))),XC81)</f>
        <v>1270</v>
      </c>
      <c r="XE81" s="20" t="n">
        <f aca="false">IF(AND(H_Direct=1,CE81&gt;0),MAX(0,XD81-(MIN(CE81*TR81,(XD81+AAQ81))-MIN(MIN(CE81*TR81,(XD81+AAQ81)),AAQ81))),XD81)</f>
        <v>1270</v>
      </c>
      <c r="XF81" s="20" t="n">
        <f aca="false">IF(AND(H_Direct=1,CF81&gt;0),MAX(0,XE81-(MIN(CF81*TS81,(XE81+AAR81))-MIN(MIN(CF81*TS81,(XE81+AAR81)),AAR81))),XE81)</f>
        <v>1270</v>
      </c>
      <c r="XG81" s="20" t="n">
        <f aca="false">IF(AND(H_Direct=1,CG81&gt;0),MAX(0,XF81-(MIN(CG81*TT81,(XF81+AAS81))-MIN(MIN(CG81*TT81,(XF81+AAS81)),AAS81))),XF81)</f>
        <v>1270</v>
      </c>
      <c r="XH81" s="20" t="n">
        <f aca="false">IF(AND(H_Direct=1,CH81&gt;0),MAX(0,XG81-(MIN(CH81*TU81,(XG81+AAT81))-MIN(MIN(CH81*TU81,(XG81+AAT81)),AAT81))),XG81)</f>
        <v>1270</v>
      </c>
      <c r="XI81" s="20" t="n">
        <f aca="false">IF(AND(H_Direct=1,CI81&gt;0),MAX(0,XH81-(MIN(CI81*TV81,(XH81+AAU81))-MIN(MIN(CI81*TV81,(XH81+AAU81)),AAU81))),XH81)</f>
        <v>1270</v>
      </c>
      <c r="XJ81" s="20" t="n">
        <f aca="false">IF(AND(H_Direct=1,CJ81&gt;0),MAX(0,XI81-(MIN(CJ81*TW81,(XI81+AAV81))-MIN(MIN(CJ81*TW81,(XI81+AAV81)),AAV81))),XI81)</f>
        <v>1270</v>
      </c>
      <c r="XK81" s="20" t="n">
        <f aca="false">IF(AND(H_Direct=1,CK81&gt;0),MAX(0,XJ81-(MIN(CK81*TX81,(XJ81+AAW81))-MIN(MIN(CK81*TX81,(XJ81+AAW81)),AAW81))),XJ81)</f>
        <v>1270</v>
      </c>
      <c r="XL81" s="20" t="n">
        <f aca="false">IF(AND(H_Direct=1,CL81&gt;0),MAX(0,XK81-(MIN(CL81*TY81,(XK81+AAX81))-MIN(MIN(CL81*TY81,(XK81+AAX81)),AAX81))),XK81)</f>
        <v>1270</v>
      </c>
      <c r="XM81" s="20" t="n">
        <f aca="false">IF(AND(H_Direct=1,CM81&gt;0),MAX(0,XL81-(MIN(CM81*TZ81,(XL81+AAY81))-MIN(MIN(CM81*TZ81,(XL81+AAY81)),AAY81))),XL81)</f>
        <v>1270</v>
      </c>
      <c r="XN81" s="20" t="n">
        <f aca="false">IF(AND(H_Direct=1,CN81&gt;0),MAX(0,XM81-(MIN(CN81*UA81,(XM81+AAZ81))-MIN(MIN(CN81*UA81,(XM81+AAZ81)),AAZ81))),XM81)</f>
        <v>1270</v>
      </c>
      <c r="XO81" s="20" t="n">
        <f aca="false">IF(AND(H_Direct=1,CO81&gt;0),MAX(0,XN81-(MIN(CO81*UB81,(XN81+ABA81))-MIN(MIN(CO81*UB81,(XN81+ABA81)),ABA81))),XN81)</f>
        <v>1270</v>
      </c>
      <c r="XP81" s="20" t="n">
        <f aca="false">IF(AND(H_Direct=1,CP81&gt;0),MAX(0,XO81-(MIN(CP81*UC81,(XO81+ABB81))-MIN(MIN(CP81*UC81,(XO81+ABB81)),ABB81))),XO81)</f>
        <v>1270</v>
      </c>
      <c r="XQ81" s="20" t="n">
        <f aca="false">IF(AND(H_Direct=1,CQ81&gt;0),MAX(0,XP81-(MIN(CQ81*UD81,(XP81+ABC81))-MIN(MIN(CQ81*UD81,(XP81+ABC81)),ABC81))),XP81)</f>
        <v>1270</v>
      </c>
      <c r="XR81" s="20" t="n">
        <f aca="false">IF(AND(H_Direct=1,CR81&gt;0),MAX(0,XQ81-(MIN(CR81*UE81,(XQ81+ABD81))-MIN(MIN(CR81*UE81,(XQ81+ABD81)),ABD81))),XQ81)</f>
        <v>1270</v>
      </c>
      <c r="XS81" s="20" t="n">
        <f aca="false">IF(AND(H_Direct=1,CS81&gt;0),MAX(0,XR81-(MIN(CS81*UF81,(XR81+ABE81))-MIN(MIN(CS81*UF81,(XR81+ABE81)),ABE81))),XR81)</f>
        <v>1270</v>
      </c>
      <c r="XT81" s="20" t="n">
        <f aca="false">IF(AND(H_Direct=1,CT81&gt;0),MAX(0,XS81-(MIN(CT81*UG81,(XS81+ABF81))-MIN(MIN(CT81*UG81,(XS81+ABF81)),ABF81))),XS81)</f>
        <v>1270</v>
      </c>
      <c r="XU81" s="20" t="n">
        <f aca="false">IF(AND(H_Direct=1,CU81&gt;0),MAX(0,XT81-(MIN(CU81*UH81,(XT81+ABG81))-MIN(MIN(CU81*UH81,(XT81+ABG81)),ABG81))),XT81)</f>
        <v>1270</v>
      </c>
      <c r="XV81" s="20" t="n">
        <f aca="false">IF(AND(H_Direct=1,CV81&gt;0),MAX(0,XU81-(MIN(CV81*UI81,(XU81+ABH81))-MIN(MIN(CV81*UI81,(XU81+ABH81)),ABH81))),XU81)</f>
        <v>1270</v>
      </c>
      <c r="XW81" s="20" t="n">
        <f aca="false">IF(AND(H_Direct=1,CW81&gt;0),MAX(0,XV81-(MIN(CW81*UJ81,(XV81+ABI81))-MIN(MIN(CW81*UJ81,(XV81+ABI81)),ABI81))),XV81)</f>
        <v>1270</v>
      </c>
      <c r="XX81" s="20" t="n">
        <f aca="false">IF(AND(H_Direct=1,CX81&gt;0),MAX(0,XW81-(MIN(CX81*UK81,(XW81+ABJ81))-MIN(MIN(CX81*UK81,(XW81+ABJ81)),ABJ81))),XW81)</f>
        <v>1270</v>
      </c>
      <c r="XY81" s="20" t="n">
        <f aca="false">IF(AND(H_Direct=1,CY81&gt;0),MAX(0,XX81-(MIN(CY81*UL81,(XX81+ABK81))-MIN(MIN(CY81*UL81,(XX81+ABK81)),ABK81))),XX81)</f>
        <v>1270</v>
      </c>
      <c r="XZ81" s="20" t="n">
        <f aca="false">IF(AND(H_Direct=1,CZ81&gt;0),MAX(0,XY81-(MIN(CZ81*UM81,(XY81+ABL81))-MIN(MIN(CZ81*UM81,(XY81+ABL81)),ABL81))),XY81)</f>
        <v>1270</v>
      </c>
      <c r="YA81" s="20" t="n">
        <f aca="false">IF(AND(H_Direct=1,DA81&gt;0),MAX(0,XZ81-(MIN(DA81*UN81,(XZ81+ABM81))-MIN(MIN(DA81*UN81,(XZ81+ABM81)),ABM81))),XZ81)</f>
        <v>1270</v>
      </c>
      <c r="YB81" s="20" t="n">
        <f aca="false">IF(AND(H_Direct=1,DB81&gt;0),MAX(0,YA81-(MIN(DB81*UO81,(YA81+ABN81))-MIN(MIN(DB81*UO81,(YA81+ABN81)),ABN81))),YA81)</f>
        <v>1270</v>
      </c>
      <c r="YC81" s="20" t="n">
        <f aca="false">IF(AND(H_Direct=1,DC81&gt;0),MAX(0,YB81-(MIN(DC81*UP81,(YB81+ABO81))-MIN(MIN(DC81*UP81,(YB81+ABO81)),ABO81))),YB81)</f>
        <v>1270</v>
      </c>
      <c r="YD81" s="20" t="n">
        <f aca="false">IF(AND(H_Direct=1,DD81&gt;0),MAX(0,YC81-(MIN(DD81*UQ81,(YC81+ABP81))-MIN(MIN(DD81*UQ81,(YC81+ABP81)),ABP81))),YC81)</f>
        <v>1270</v>
      </c>
      <c r="YE81" s="20" t="n">
        <f aca="false">IF(AND(H_Direct=1,DE81&gt;0),MAX(0,YD81-(MIN(DE81*UR81,(YD81+ABQ81))-MIN(MIN(DE81*UR81,(YD81+ABQ81)),ABQ81))),YD81)</f>
        <v>1270</v>
      </c>
      <c r="YF81" s="20" t="n">
        <f aca="false">IF(AND(H_Direct=1,DF81&gt;0),MAX(0,YE81-(MIN(DF81*US81,(YE81+ABR81))-MIN(MIN(DF81*US81,(YE81+ABR81)),ABR81))),YE81)</f>
        <v>1270</v>
      </c>
      <c r="YG81" s="20" t="n">
        <f aca="false">IF(AND(H_Direct=1,DG81&gt;0),MAX(0,YF81-(MIN(DG81*UT81,(YF81+ABS81))-MIN(MIN(DG81*UT81,(YF81+ABS81)),ABS81))),YF81)</f>
        <v>1270</v>
      </c>
      <c r="YH81" s="20" t="n">
        <f aca="false">IF(AND(H_Direct=1,DH81&gt;0),MAX(0,YG81-(MIN(DH81*UU81,(YG81+ABT81))-MIN(MIN(DH81*UU81,(YG81+ABT81)),ABT81))),YG81)</f>
        <v>1270</v>
      </c>
      <c r="YI81" s="20" t="n">
        <f aca="false">IF(AND(H_Direct=1,DI81&gt;0),MAX(0,YH81-(MIN(DI81*UV81,(YH81+ABU81))-MIN(MIN(DI81*UV81,(YH81+ABU81)),ABU81))),YH81)</f>
        <v>1270</v>
      </c>
      <c r="YJ81" s="20" t="n">
        <f aca="false">IF(AND(H_Direct=1,DJ81&gt;0),MAX(0,YI81-(MIN(DJ81*UW81,(YI81+ABV81))-MIN(MIN(DJ81*UW81,(YI81+ABV81)),ABV81))),YI81)</f>
        <v>1270</v>
      </c>
      <c r="YK81" s="20" t="n">
        <f aca="false">IF(AND(H_Direct=1,DK81&gt;0),MAX(0,YJ81-(MIN(DK81*UX81,(YJ81+ABW81))-MIN(MIN(DK81*UX81,(YJ81+ABW81)),ABW81))),YJ81)</f>
        <v>1270</v>
      </c>
      <c r="YL81" s="20" t="n">
        <f aca="false">IF(AND(H_Direct=1,DL81&gt;0),MAX(0,YK81-(MIN(DL81*UY81,(YK81+ABX81))-MIN(MIN(DL81*UY81,(YK81+ABX81)),ABX81))),YK81)</f>
        <v>1270</v>
      </c>
      <c r="YM81" s="20" t="n">
        <f aca="false">IF(AND(H_Direct=1,DM81&gt;0),MAX(0,YL81-(MIN(DM81*UZ81,(YL81+ABY81))-MIN(MIN(DM81*UZ81,(YL81+ABY81)),ABY81))),YL81)</f>
        <v>1270</v>
      </c>
      <c r="YN81" s="20" t="n">
        <f aca="false">IF(AND(H_Direct=1,DN81&gt;0),MAX(0,YM81-(MIN(DN81*VA81,(YM81+ABZ81))-MIN(MIN(DN81*VA81,(YM81+ABZ81)),ABZ81))),YM81)</f>
        <v>1270</v>
      </c>
      <c r="YO81" s="20" t="n">
        <f aca="false">IF(AND(H_Direct=1,DO81&gt;0),MAX(0,YN81-(MIN(DO81*VB81,(YN81+ACA81))-MIN(MIN(DO81*VB81,(YN81+ACA81)),ACA81))),YN81)</f>
        <v>1270</v>
      </c>
      <c r="YP81" s="20" t="n">
        <f aca="false">IF(AND(H_Direct=1,DP81&gt;0),MAX(0,YO81-(MIN(DP81*VC81,(YO81+ACB81))-MIN(MIN(DP81*VC81,(YO81+ACB81)),ACB81))),YO81)</f>
        <v>1270</v>
      </c>
      <c r="YQ81" s="20" t="n">
        <f aca="false">IF(AND(H_Direct=1,DQ81&gt;0),MAX(0,YP81-(MIN(DQ81*VD81,(YP81+ACC81))-MIN(MIN(DQ81*VD81,(YP81+ACC81)),ACC81))),YP81)</f>
        <v>1270</v>
      </c>
      <c r="YR81" s="20" t="n">
        <f aca="false">IF(AND(H_Direct=1,DR81&gt;0),MAX(0,YQ81-(MIN(DR81*VE81,(YQ81+ACD81))-MIN(MIN(DR81*VE81,(YQ81+ACD81)),ACD81))),YQ81)</f>
        <v>1270</v>
      </c>
      <c r="YS81" s="20" t="n">
        <f aca="false">IF(AND(H_Direct=1,DS81&gt;0),MAX(0,YR81-(MIN(DS81*VF81,(YR81+ACE81))-MIN(MIN(DS81*VF81,(YR81+ACE81)),ACE81))),YR81)</f>
        <v>1270</v>
      </c>
      <c r="YT81" s="20" t="n">
        <f aca="false">IF(AND(H_Direct=1,DT81&gt;0),MAX(0,YS81-(MIN(DT81*VG81,(YS81+ACF81))-MIN(MIN(DT81*VG81,(YS81+ACF81)),ACF81))),YS81)</f>
        <v>1270</v>
      </c>
      <c r="YU81" s="20" t="n">
        <f aca="false">IF(AND(H_Direct=1,DU81&gt;0),MAX(0,YT81-(MIN(DU81*VH81,(YT81+ACG81))-MIN(MIN(DU81*VH81,(YT81+ACG81)),ACG81))),YT81)</f>
        <v>1270</v>
      </c>
      <c r="YV81" s="20" t="n">
        <f aca="false">IF(AND(H_Direct=1,DV81&gt;0),MAX(0,YU81-(MIN(DV81*VI81,(YU81+ACH81))-MIN(MIN(DV81*VI81,(YU81+ACH81)),ACH81))),YU81)</f>
        <v>1270</v>
      </c>
      <c r="YW81" s="20" t="n">
        <f aca="false">IF(AND(H_Direct=1,DW81&gt;0),MAX(0,YV81-(MIN(DW81*VJ81,(YV81+ACI81))-MIN(MIN(DW81*VJ81,(YV81+ACI81)),ACI81))),YV81)</f>
        <v>1270</v>
      </c>
      <c r="YX81" s="20" t="n">
        <f aca="false">IF(AND(H_Direct=1,DX81&gt;0),MAX(0,YW81-(MIN(DX81*VK81,(YW81+ACJ81))-MIN(MIN(DX81*VK81,(YW81+ACJ81)),ACJ81))),YW81)</f>
        <v>1270</v>
      </c>
      <c r="YY81" s="20" t="n">
        <f aca="false">IF(AND(H_Direct=1,DY81&gt;0),MAX(0,YX81-(MIN(DY81*VL81,(YX81+ACK81))-MIN(MIN(DY81*VL81,(YX81+ACK81)),ACK81))),YX81)</f>
        <v>1270</v>
      </c>
      <c r="YZ81" s="20" t="n">
        <f aca="false">IF(AND(H_Direct=1,DZ81&gt;0),MAX(0,YY81-(MIN(DZ81*VM81,(YY81+ACL81))-MIN(MIN(DZ81*VM81,(YY81+ACL81)),ACL81))),YY81)</f>
        <v>1270</v>
      </c>
      <c r="ZA81" s="20" t="n">
        <f aca="false">IF(AND(H_Direct=1,EA81&gt;0),MAX(0,YZ81-(MIN(EA81*VN81,(YZ81+ACM81))-MIN(MIN(EA81*VN81,(YZ81+ACM81)),ACM81))),YZ81)</f>
        <v>1270</v>
      </c>
      <c r="ZB81" s="20" t="n">
        <f aca="false">IF(AND(H_Direct=1,EB81&gt;0),MAX(0,ZA81-(MIN(EB81*VO81,(ZA81+ACN81))-MIN(MIN(EB81*VO81,(ZA81+ACN81)),ACN81))),ZA81)</f>
        <v>1270</v>
      </c>
      <c r="ZC81" s="20" t="n">
        <f aca="false">IF(AND(H_Direct=1,EC81&gt;0),MAX(0,ZB81-(MIN(EC81*VP81,(ZB81+ACO81))-MIN(MIN(EC81*VP81,(ZB81+ACO81)),ACO81))),ZB81)</f>
        <v>1270</v>
      </c>
      <c r="ZD81" s="20" t="n">
        <f aca="false">IF(AND(H_Direct=1,ED81&gt;0),MAX(0,ZC81-(MIN(ED81*VQ81,(ZC81+ACP81))-MIN(MIN(ED81*VQ81,(ZC81+ACP81)),ACP81))),ZC81)</f>
        <v>1270</v>
      </c>
      <c r="ZE81" s="20" t="n">
        <f aca="false">IF(AND(H_Direct=1,EE81&gt;0),MAX(0,ZD81-(MIN(EE81*VR81,(ZD81+ACQ81))-MIN(MIN(EE81*VR81,(ZD81+ACQ81)),ACQ81))),ZD81)</f>
        <v>1270</v>
      </c>
      <c r="ZF81" s="20" t="n">
        <f aca="false">IF(AND(H_Direct=1,EF81&gt;0),MAX(0,ZE81-(MIN(EF81*VS81,(ZE81+ACR81))-MIN(MIN(EF81*VS81,(ZE81+ACR81)),ACR81))),ZE81)</f>
        <v>1270</v>
      </c>
      <c r="ZG81" s="20" t="n">
        <f aca="false">IF(AND(H_Direct=1,EG81&gt;0),MAX(0,ZF81-(MIN(EG81*VT81,(ZF81+ACS81))-MIN(MIN(EG81*VT81,(ZF81+ACS81)),ACS81))),ZF81)</f>
        <v>1270</v>
      </c>
      <c r="ZH81" s="20" t="n">
        <f aca="false">IF(AND(H_Direct=1,EH81&gt;0),MAX(0,ZG81-(MIN(EH81*VU81,(ZG81+ACT81))-MIN(MIN(EH81*VU81,(ZG81+ACT81)),ACT81))),ZG81)</f>
        <v>1270</v>
      </c>
      <c r="ZI81" s="20" t="n">
        <f aca="false">IF(AND(H_Direct=1,EI81&gt;0),MAX(0,ZH81-(MIN(EI81*VV81,(ZH81+ACU81))-MIN(MIN(EI81*VV81,(ZH81+ACU81)),ACU81))),ZH81)</f>
        <v>1270</v>
      </c>
      <c r="ZJ81" s="20" t="n">
        <f aca="false">IF(AND(H_Direct=1,EJ81&gt;0),MAX(0,ZI81-(MIN(EJ81*VW81,(ZI81+ACV81))-MIN(MIN(EJ81*VW81,(ZI81+ACV81)),ACV81))),ZI81)</f>
        <v>1270</v>
      </c>
      <c r="ZK81" s="20" t="n">
        <f aca="false">IF(AND(H_Direct=1,EK81&gt;0),MAX(0,ZJ81-(MIN(EK81*VX81,(ZJ81+ACW81))-MIN(MIN(EK81*VX81,(ZJ81+ACW81)),ACW81))),ZJ81)</f>
        <v>1270</v>
      </c>
      <c r="ZL81" s="20" t="n">
        <f aca="false">IF(AND(H_Direct=1,EL81&gt;0),MAX(0,ZK81-(MIN(EL81*VY81,(ZK81+ACX81))-MIN(MIN(EL81*VY81,(ZK81+ACX81)),ACX81))),ZK81)</f>
        <v>1270</v>
      </c>
      <c r="ZM81" s="20" t="n">
        <f aca="false">IF(AND(H_Direct=1,EM81&gt;0),MAX(0,ZL81-(MIN(EM81*VZ81,(ZL81+ACY81))-MIN(MIN(EM81*VZ81,(ZL81+ACY81)),ACY81))),ZL81)</f>
        <v>1270</v>
      </c>
      <c r="ZN81" s="20" t="n">
        <f aca="false">IF(AND(H_Direct=1,EN81&gt;0),MAX(0,ZM81-(MIN(EN81*WA81,(ZM81+ACZ81))-MIN(MIN(EN81*WA81,(ZM81+ACZ81)),ACZ81))),ZM81)</f>
        <v>1270</v>
      </c>
      <c r="ZO81" s="20" t="n">
        <f aca="false">ZN81</f>
        <v>1270</v>
      </c>
      <c r="ZP81" s="20" t="n">
        <f aca="false">ZO81</f>
        <v>1270</v>
      </c>
      <c r="ZQ81" s="20" t="n">
        <f aca="false">ZP81</f>
        <v>1270</v>
      </c>
      <c r="ZR81" s="20" t="n">
        <f aca="false">ZQ81</f>
        <v>1270</v>
      </c>
      <c r="ZS81" s="20" t="n">
        <f aca="false">ZR81</f>
        <v>1270</v>
      </c>
      <c r="ZT81" s="20" t="n">
        <f aca="false">ZS81</f>
        <v>1270</v>
      </c>
      <c r="ZU81" s="20" t="n">
        <f aca="false">ZT81</f>
        <v>1270</v>
      </c>
      <c r="ZV81" s="20" t="n">
        <f aca="false">ZU81</f>
        <v>1270</v>
      </c>
      <c r="ZW81" s="20" t="n">
        <f aca="false">ZV81</f>
        <v>1270</v>
      </c>
      <c r="ZX81" s="20" t="n">
        <f aca="false">ZW81</f>
        <v>1270</v>
      </c>
      <c r="ZY81" s="20" t="n">
        <f aca="false">ZX81</f>
        <v>1270</v>
      </c>
      <c r="ZZ81" s="20" t="n">
        <f aca="false">ZY81</f>
        <v>1270</v>
      </c>
      <c r="AAA81" s="20" t="n">
        <f aca="false">ZZ81</f>
        <v>1270</v>
      </c>
      <c r="AAB81" s="20" t="n">
        <f aca="false">AAA81</f>
        <v>1270</v>
      </c>
      <c r="AAC81" s="20" t="n">
        <f aca="false">AAB81</f>
        <v>1270</v>
      </c>
      <c r="AAD81" s="20" t="n">
        <f aca="false">AAC81</f>
        <v>1270</v>
      </c>
      <c r="AAE81" s="20" t="n">
        <f aca="false">IF(H_Direct=1,IF(BR81&lt;=0,I81-BR81*TE81,I81-MIN(MIN(BR81*TE81,(H81+I81)),I81)),I81)</f>
        <v>0</v>
      </c>
      <c r="AAF81" s="20" t="n">
        <f aca="false">IF(H_Direct=1,IF(BS81&lt;=0,AAE81-BS81*TF81,AAE81-MIN(MIN(BS81*TF81,(WR81+AAE81)),AAE81)),AAE81)</f>
        <v>0</v>
      </c>
      <c r="AAG81" s="20" t="n">
        <f aca="false">IF(H_Direct=1,IF(BT81&lt;=0,AAF81-BT81*TG81,AAF81-MIN(MIN(BT81*TG81,(WS81+AAF81)),AAF81)),AAF81)</f>
        <v>0</v>
      </c>
      <c r="AAH81" s="20" t="n">
        <f aca="false">IF(H_Direct=1,IF(BU81&lt;=0,AAG81-BU81*TH81,AAG81-MIN(MIN(BU81*TH81,(WT81+AAG81)),AAG81)),AAG81)</f>
        <v>0</v>
      </c>
      <c r="AAI81" s="20" t="n">
        <f aca="false">IF(H_Direct=1,IF(BV81&lt;=0,AAH81-BV81*TI81,AAH81-MIN(MIN(BV81*TI81,(WU81+AAH81)),AAH81)),AAH81)</f>
        <v>0</v>
      </c>
      <c r="AAJ81" s="20" t="n">
        <f aca="false">IF(H_Direct=1,IF(BW81&lt;=0,AAI81-BW81*TJ81,AAI81-MIN(MIN(BW81*TJ81,(WV81+AAI81)),AAI81)),AAI81)</f>
        <v>0</v>
      </c>
      <c r="AAK81" s="20" t="n">
        <f aca="false">IF(H_Direct=1,IF(BX81&lt;=0,AAJ81-BX81*TK81,AAJ81-MIN(MIN(BX81*TK81,(WW81+AAJ81)),AAJ81)),AAJ81)</f>
        <v>0</v>
      </c>
      <c r="AAL81" s="20" t="n">
        <f aca="false">IF(H_Direct=1,IF(BY81&lt;=0,AAK81-BY81*TL81,AAK81-MIN(MIN(BY81*TL81,(WX81+AAK81)),AAK81)),AAK81)</f>
        <v>0</v>
      </c>
      <c r="AAM81" s="20" t="n">
        <f aca="false">IF(H_Direct=1,IF(BZ81&lt;=0,AAL81-BZ81*TM81,AAL81-MIN(MIN(BZ81*TM81,(WY81+AAL81)),AAL81)),AAL81)</f>
        <v>0</v>
      </c>
      <c r="AAN81" s="20" t="n">
        <f aca="false">IF(H_Direct=1,IF(CA81&lt;=0,AAM81-CA81*TN81,AAM81-MIN(MIN(CA81*TN81,(WZ81+AAM81)),AAM81)),AAM81)</f>
        <v>0</v>
      </c>
      <c r="AAO81" s="20" t="n">
        <f aca="false">IF(H_Direct=1,IF(CB81&lt;=0,AAN81-CB81*TO81,AAN81-MIN(MIN(CB81*TO81,(XA81+AAN81)),AAN81)),AAN81)</f>
        <v>0</v>
      </c>
      <c r="AAP81" s="20" t="n">
        <f aca="false">IF(H_Direct=1,IF(CC81&lt;=0,AAO81-CC81*TP81,AAO81-MIN(MIN(CC81*TP81,(XB81+AAO81)),AAO81)),AAO81)</f>
        <v>0</v>
      </c>
      <c r="AAQ81" s="20" t="n">
        <f aca="false">IF(H_Direct=1,IF(CD81&lt;=0,AAP81-CD81*TQ81,AAP81-MIN(MIN(CD81*TQ81,(XC81+AAP81)),AAP81)),AAP81)</f>
        <v>0</v>
      </c>
      <c r="AAR81" s="20" t="n">
        <f aca="false">IF(H_Direct=1,IF(CE81&lt;=0,AAQ81-CE81*TR81,AAQ81-MIN(MIN(CE81*TR81,(XD81+AAQ81)),AAQ81)),AAQ81)</f>
        <v>0</v>
      </c>
      <c r="AAS81" s="20" t="n">
        <f aca="false">IF(H_Direct=1,IF(CF81&lt;=0,AAR81-CF81*TS81,AAR81-MIN(MIN(CF81*TS81,(XE81+AAR81)),AAR81)),AAR81)</f>
        <v>0</v>
      </c>
      <c r="AAT81" s="20" t="n">
        <f aca="false">IF(H_Direct=1,IF(CG81&lt;=0,AAS81-CG81*TT81,AAS81-MIN(MIN(CG81*TT81,(XF81+AAS81)),AAS81)),AAS81)</f>
        <v>0</v>
      </c>
      <c r="AAU81" s="20" t="n">
        <f aca="false">IF(H_Direct=1,IF(CH81&lt;=0,AAT81-CH81*TU81,AAT81-MIN(MIN(CH81*TU81,(XG81+AAT81)),AAT81)),AAT81)</f>
        <v>0</v>
      </c>
      <c r="AAV81" s="20" t="n">
        <f aca="false">IF(H_Direct=1,IF(CI81&lt;=0,AAU81-CI81*TV81,AAU81-MIN(MIN(CI81*TV81,(XH81+AAU81)),AAU81)),AAU81)</f>
        <v>0</v>
      </c>
      <c r="AAW81" s="20" t="n">
        <f aca="false">IF(H_Direct=1,IF(CJ81&lt;=0,AAV81-CJ81*TW81,AAV81-MIN(MIN(CJ81*TW81,(XI81+AAV81)),AAV81)),AAV81)</f>
        <v>0</v>
      </c>
      <c r="AAX81" s="20" t="n">
        <f aca="false">IF(H_Direct=1,IF(CK81&lt;=0,AAW81-CK81*TX81,AAW81-MIN(MIN(CK81*TX81,(XJ81+AAW81)),AAW81)),AAW81)</f>
        <v>0</v>
      </c>
      <c r="AAY81" s="20" t="n">
        <f aca="false">IF(H_Direct=1,IF(CL81&lt;=0,AAX81-CL81*TY81,AAX81-MIN(MIN(CL81*TY81,(XK81+AAX81)),AAX81)),AAX81)</f>
        <v>0</v>
      </c>
      <c r="AAZ81" s="20" t="n">
        <f aca="false">IF(H_Direct=1,IF(CM81&lt;=0,AAY81-CM81*TZ81,AAY81-MIN(MIN(CM81*TZ81,(XL81+AAY81)),AAY81)),AAY81)</f>
        <v>0</v>
      </c>
      <c r="ABA81" s="20" t="n">
        <f aca="false">IF(H_Direct=1,IF(CN81&lt;=0,AAZ81-CN81*UA81,AAZ81-MIN(MIN(CN81*UA81,(XM81+AAZ81)),AAZ81)),AAZ81)</f>
        <v>0</v>
      </c>
      <c r="ABB81" s="20" t="n">
        <f aca="false">IF(H_Direct=1,IF(CO81&lt;=0,ABA81-CO81*UB81,ABA81-MIN(MIN(CO81*UB81,(XN81+ABA81)),ABA81)),ABA81)</f>
        <v>0</v>
      </c>
      <c r="ABC81" s="20" t="n">
        <f aca="false">IF(H_Direct=1,IF(CP81&lt;=0,ABB81-CP81*UC81,ABB81-MIN(MIN(CP81*UC81,(XO81+ABB81)),ABB81)),ABB81)</f>
        <v>0</v>
      </c>
      <c r="ABD81" s="20" t="n">
        <f aca="false">IF(H_Direct=1,IF(CQ81&lt;=0,ABC81-CQ81*UD81,ABC81-MIN(MIN(CQ81*UD81,(XP81+ABC81)),ABC81)),ABC81)</f>
        <v>0</v>
      </c>
      <c r="ABE81" s="20" t="n">
        <f aca="false">IF(H_Direct=1,IF(CR81&lt;=0,ABD81-CR81*UE81,ABD81-MIN(MIN(CR81*UE81,(XQ81+ABD81)),ABD81)),ABD81)</f>
        <v>0</v>
      </c>
      <c r="ABF81" s="20" t="n">
        <f aca="false">IF(H_Direct=1,IF(CS81&lt;=0,ABE81-CS81*UF81,ABE81-MIN(MIN(CS81*UF81,(XR81+ABE81)),ABE81)),ABE81)</f>
        <v>0</v>
      </c>
      <c r="ABG81" s="20" t="n">
        <f aca="false">IF(H_Direct=1,IF(CT81&lt;=0,ABF81-CT81*UG81,ABF81-MIN(MIN(CT81*UG81,(XS81+ABF81)),ABF81)),ABF81)</f>
        <v>0</v>
      </c>
      <c r="ABH81" s="20" t="n">
        <f aca="false">IF(H_Direct=1,IF(CU81&lt;=0,ABG81-CU81*UH81,ABG81-MIN(MIN(CU81*UH81,(XT81+ABG81)),ABG81)),ABG81)</f>
        <v>0</v>
      </c>
      <c r="ABI81" s="20" t="n">
        <f aca="false">IF(H_Direct=1,IF(CV81&lt;=0,ABH81-CV81*UI81,ABH81-MIN(MIN(CV81*UI81,(XU81+ABH81)),ABH81)),ABH81)</f>
        <v>0</v>
      </c>
      <c r="ABJ81" s="20" t="n">
        <f aca="false">IF(H_Direct=1,IF(CW81&lt;=0,ABI81-CW81*UJ81,ABI81-MIN(MIN(CW81*UJ81,(XV81+ABI81)),ABI81)),ABI81)</f>
        <v>0</v>
      </c>
      <c r="ABK81" s="20" t="n">
        <f aca="false">IF(H_Direct=1,IF(CX81&lt;=0,ABJ81-CX81*UK81,ABJ81-MIN(MIN(CX81*UK81,(XW81+ABJ81)),ABJ81)),ABJ81)</f>
        <v>0</v>
      </c>
      <c r="ABL81" s="20" t="n">
        <f aca="false">IF(H_Direct=1,IF(CY81&lt;=0,ABK81-CY81*UL81,ABK81-MIN(MIN(CY81*UL81,(XX81+ABK81)),ABK81)),ABK81)</f>
        <v>0</v>
      </c>
      <c r="ABM81" s="20" t="n">
        <f aca="false">IF(H_Direct=1,IF(CZ81&lt;=0,ABL81-CZ81*UM81,ABL81-MIN(MIN(CZ81*UM81,(XY81+ABL81)),ABL81)),ABL81)</f>
        <v>0</v>
      </c>
      <c r="ABN81" s="20" t="n">
        <f aca="false">IF(H_Direct=1,IF(DA81&lt;=0,ABM81-DA81*UN81,ABM81-MIN(MIN(DA81*UN81,(XZ81+ABM81)),ABM81)),ABM81)</f>
        <v>0</v>
      </c>
      <c r="ABO81" s="20" t="n">
        <f aca="false">IF(H_Direct=1,IF(DB81&lt;=0,ABN81-DB81*UO81,ABN81-MIN(MIN(DB81*UO81,(YA81+ABN81)),ABN81)),ABN81)</f>
        <v>0</v>
      </c>
      <c r="ABP81" s="20" t="n">
        <f aca="false">IF(H_Direct=1,IF(DC81&lt;=0,ABO81-DC81*UP81,ABO81-MIN(MIN(DC81*UP81,(YB81+ABO81)),ABO81)),ABO81)</f>
        <v>0</v>
      </c>
      <c r="ABQ81" s="20" t="n">
        <f aca="false">IF(H_Direct=1,IF(DD81&lt;=0,ABP81-DD81*UQ81,ABP81-MIN(MIN(DD81*UQ81,(YC81+ABP81)),ABP81)),ABP81)</f>
        <v>0</v>
      </c>
      <c r="ABR81" s="20" t="n">
        <f aca="false">IF(H_Direct=1,IF(DE81&lt;=0,ABQ81-DE81*UR81,ABQ81-MIN(MIN(DE81*UR81,(YD81+ABQ81)),ABQ81)),ABQ81)</f>
        <v>0</v>
      </c>
      <c r="ABS81" s="20" t="n">
        <f aca="false">IF(H_Direct=1,IF(DF81&lt;=0,ABR81-DF81*US81,ABR81-MIN(MIN(DF81*US81,(YE81+ABR81)),ABR81)),ABR81)</f>
        <v>0</v>
      </c>
      <c r="ABT81" s="20" t="n">
        <f aca="false">IF(H_Direct=1,IF(DG81&lt;=0,ABS81-DG81*UT81,ABS81-MIN(MIN(DG81*UT81,(YF81+ABS81)),ABS81)),ABS81)</f>
        <v>0</v>
      </c>
      <c r="ABU81" s="20" t="n">
        <f aca="false">IF(H_Direct=1,IF(DH81&lt;=0,ABT81-DH81*UU81,ABT81-MIN(MIN(DH81*UU81,(YG81+ABT81)),ABT81)),ABT81)</f>
        <v>0</v>
      </c>
      <c r="ABV81" s="20" t="n">
        <f aca="false">IF(H_Direct=1,IF(DI81&lt;=0,ABU81-DI81*UV81,ABU81-MIN(MIN(DI81*UV81,(YH81+ABU81)),ABU81)),ABU81)</f>
        <v>0</v>
      </c>
      <c r="ABW81" s="20" t="n">
        <f aca="false">IF(H_Direct=1,IF(DJ81&lt;=0,ABV81-DJ81*UW81,ABV81-MIN(MIN(DJ81*UW81,(YI81+ABV81)),ABV81)),ABV81)</f>
        <v>0</v>
      </c>
      <c r="ABX81" s="20" t="n">
        <f aca="false">IF(H_Direct=1,IF(DK81&lt;=0,ABW81-DK81*UX81,ABW81-MIN(MIN(DK81*UX81,(YJ81+ABW81)),ABW81)),ABW81)</f>
        <v>0</v>
      </c>
      <c r="ABY81" s="20" t="n">
        <f aca="false">IF(H_Direct=1,IF(DL81&lt;=0,ABX81-DL81*UY81,ABX81-MIN(MIN(DL81*UY81,(YK81+ABX81)),ABX81)),ABX81)</f>
        <v>0</v>
      </c>
      <c r="ABZ81" s="20" t="n">
        <f aca="false">IF(H_Direct=1,IF(DM81&lt;=0,ABY81-DM81*UZ81,ABY81-MIN(MIN(DM81*UZ81,(YL81+ABY81)),ABY81)),ABY81)</f>
        <v>0</v>
      </c>
      <c r="ACA81" s="20" t="n">
        <f aca="false">IF(H_Direct=1,IF(DN81&lt;=0,ABZ81-DN81*VA81,ABZ81-MIN(MIN(DN81*VA81,(YM81+ABZ81)),ABZ81)),ABZ81)</f>
        <v>0</v>
      </c>
      <c r="ACB81" s="20" t="n">
        <f aca="false">IF(H_Direct=1,IF(DO81&lt;=0,ACA81-DO81*VB81,ACA81-MIN(MIN(DO81*VB81,(YN81+ACA81)),ACA81)),ACA81)</f>
        <v>0</v>
      </c>
      <c r="ACC81" s="20" t="n">
        <f aca="false">IF(H_Direct=1,IF(DP81&lt;=0,ACB81-DP81*VC81,ACB81-MIN(MIN(DP81*VC81,(YO81+ACB81)),ACB81)),ACB81)</f>
        <v>0</v>
      </c>
      <c r="ACD81" s="20" t="n">
        <f aca="false">IF(H_Direct=1,IF(DQ81&lt;=0,ACC81-DQ81*VD81,ACC81-MIN(MIN(DQ81*VD81,(YP81+ACC81)),ACC81)),ACC81)</f>
        <v>0</v>
      </c>
      <c r="ACE81" s="20" t="n">
        <f aca="false">IF(H_Direct=1,IF(DR81&lt;=0,ACD81-DR81*VE81,ACD81-MIN(MIN(DR81*VE81,(YQ81+ACD81)),ACD81)),ACD81)</f>
        <v>0</v>
      </c>
      <c r="ACF81" s="20" t="n">
        <f aca="false">IF(H_Direct=1,IF(DS81&lt;=0,ACE81-DS81*VF81,ACE81-MIN(MIN(DS81*VF81,(YR81+ACE81)),ACE81)),ACE81)</f>
        <v>0</v>
      </c>
      <c r="ACG81" s="20" t="n">
        <f aca="false">IF(H_Direct=1,IF(DT81&lt;=0,ACF81-DT81*VG81,ACF81-MIN(MIN(DT81*VG81,(YS81+ACF81)),ACF81)),ACF81)</f>
        <v>0</v>
      </c>
      <c r="ACH81" s="20" t="n">
        <f aca="false">IF(H_Direct=1,IF(DU81&lt;=0,ACG81-DU81*VH81,ACG81-MIN(MIN(DU81*VH81,(YT81+ACG81)),ACG81)),ACG81)</f>
        <v>0</v>
      </c>
      <c r="ACI81" s="20" t="n">
        <f aca="false">IF(H_Direct=1,IF(DV81&lt;=0,ACH81-DV81*VI81,ACH81-MIN(MIN(DV81*VI81,(YU81+ACH81)),ACH81)),ACH81)</f>
        <v>0</v>
      </c>
      <c r="ACJ81" s="20" t="n">
        <f aca="false">IF(H_Direct=1,IF(DW81&lt;=0,ACI81-DW81*VJ81,ACI81-MIN(MIN(DW81*VJ81,(YV81+ACI81)),ACI81)),ACI81)</f>
        <v>0</v>
      </c>
      <c r="ACK81" s="20" t="n">
        <f aca="false">IF(H_Direct=1,IF(DX81&lt;=0,ACJ81-DX81*VK81,ACJ81-MIN(MIN(DX81*VK81,(YW81+ACJ81)),ACJ81)),ACJ81)</f>
        <v>0</v>
      </c>
      <c r="ACL81" s="20" t="n">
        <f aca="false">IF(H_Direct=1,IF(DY81&lt;=0,ACK81-DY81*VL81,ACK81-MIN(MIN(DY81*VL81,(YX81+ACK81)),ACK81)),ACK81)</f>
        <v>0</v>
      </c>
      <c r="ACM81" s="20" t="n">
        <f aca="false">IF(H_Direct=1,IF(DZ81&lt;=0,ACL81-DZ81*VM81,ACL81-MIN(MIN(DZ81*VM81,(YY81+ACL81)),ACL81)),ACL81)</f>
        <v>0</v>
      </c>
      <c r="ACN81" s="20" t="n">
        <f aca="false">IF(H_Direct=1,IF(EA81&lt;=0,ACM81-EA81*VN81,ACM81-MIN(MIN(EA81*VN81,(YZ81+ACM81)),ACM81)),ACM81)</f>
        <v>0</v>
      </c>
      <c r="ACO81" s="20" t="n">
        <f aca="false">IF(H_Direct=1,IF(EB81&lt;=0,ACN81-EB81*VO81,ACN81-MIN(MIN(EB81*VO81,(ZA81+ACN81)),ACN81)),ACN81)</f>
        <v>0</v>
      </c>
      <c r="ACP81" s="20" t="n">
        <f aca="false">IF(H_Direct=1,IF(EC81&lt;=0,ACO81-EC81*VP81,ACO81-MIN(MIN(EC81*VP81,(ZB81+ACO81)),ACO81)),ACO81)</f>
        <v>0</v>
      </c>
      <c r="ACQ81" s="20" t="n">
        <f aca="false">IF(H_Direct=1,IF(ED81&lt;=0,ACP81-ED81*VQ81,ACP81-MIN(MIN(ED81*VQ81,(ZC81+ACP81)),ACP81)),ACP81)</f>
        <v>0</v>
      </c>
      <c r="ACR81" s="20" t="n">
        <f aca="false">IF(H_Direct=1,IF(EE81&lt;=0,ACQ81-EE81*VR81,ACQ81-MIN(MIN(EE81*VR81,(ZD81+ACQ81)),ACQ81)),ACQ81)</f>
        <v>0</v>
      </c>
      <c r="ACS81" s="20" t="n">
        <f aca="false">IF(H_Direct=1,IF(EF81&lt;=0,ACR81-EF81*VS81,ACR81-MIN(MIN(EF81*VS81,(ZE81+ACR81)),ACR81)),ACR81)</f>
        <v>0</v>
      </c>
      <c r="ACT81" s="20" t="n">
        <f aca="false">IF(H_Direct=1,IF(EG81&lt;=0,ACS81-EG81*VT81,ACS81-MIN(MIN(EG81*VT81,(ZF81+ACS81)),ACS81)),ACS81)</f>
        <v>0</v>
      </c>
      <c r="ACU81" s="20" t="n">
        <f aca="false">IF(H_Direct=1,IF(EH81&lt;=0,ACT81-EH81*VU81,ACT81-MIN(MIN(EH81*VU81,(ZG81+ACT81)),ACT81)),ACT81)</f>
        <v>0</v>
      </c>
      <c r="ACV81" s="20" t="n">
        <f aca="false">IF(H_Direct=1,IF(EI81&lt;=0,ACU81-EI81*VV81,ACU81-MIN(MIN(EI81*VV81,(ZH81+ACU81)),ACU81)),ACU81)</f>
        <v>0</v>
      </c>
      <c r="ACW81" s="20" t="n">
        <f aca="false">IF(H_Direct=1,IF(EJ81&lt;=0,ACV81-EJ81*VW81,ACV81-MIN(MIN(EJ81*VW81,(ZI81+ACV81)),ACV81)),ACV81)</f>
        <v>0</v>
      </c>
      <c r="ACX81" s="20" t="n">
        <f aca="false">IF(H_Direct=1,IF(EK81&lt;=0,ACW81-EK81*VX81,ACW81-MIN(MIN(EK81*VX81,(ZJ81+ACW81)),ACW81)),ACW81)</f>
        <v>0</v>
      </c>
      <c r="ACY81" s="20" t="n">
        <f aca="false">IF(H_Direct=1,IF(EL81&lt;=0,ACX81-EL81*VY81,ACX81-MIN(MIN(EL81*VY81,(ZK81+ACX81)),ACX81)),ACX81)</f>
        <v>0</v>
      </c>
      <c r="ACZ81" s="20" t="n">
        <f aca="false">IF(H_Direct=1,IF(EM81&lt;=0,ACY81-EM81*VZ81,ACY81-MIN(MIN(EM81*VZ81,(ZL81+ACY81)),ACY81)),ACY81)</f>
        <v>0</v>
      </c>
      <c r="ADA81" s="20" t="n">
        <f aca="false">IF(H_Direct=1,IF(EN81&lt;=0,ACZ81-EN81*WA81,ACZ81-MIN(MIN(EN81*WA81,(ZM81+ACZ81)),ACZ81)),ACZ81)</f>
        <v>0</v>
      </c>
      <c r="ADB81" s="20" t="n">
        <f aca="false">ADA81</f>
        <v>0</v>
      </c>
      <c r="ADC81" s="20" t="n">
        <f aca="false">ADB81</f>
        <v>0</v>
      </c>
      <c r="ADD81" s="20" t="n">
        <f aca="false">ADC81</f>
        <v>0</v>
      </c>
      <c r="ADE81" s="20" t="n">
        <f aca="false">ADD81</f>
        <v>0</v>
      </c>
      <c r="ADF81" s="20" t="n">
        <f aca="false">ADE81</f>
        <v>0</v>
      </c>
      <c r="ADG81" s="20" t="n">
        <f aca="false">ADF81</f>
        <v>0</v>
      </c>
      <c r="ADH81" s="20" t="n">
        <f aca="false">ADG81</f>
        <v>0</v>
      </c>
      <c r="ADI81" s="20" t="n">
        <f aca="false">ADH81</f>
        <v>0</v>
      </c>
      <c r="ADJ81" s="20" t="n">
        <f aca="false">ADI81</f>
        <v>0</v>
      </c>
      <c r="ADK81" s="20" t="n">
        <f aca="false">ADJ81</f>
        <v>0</v>
      </c>
      <c r="ADL81" s="20" t="n">
        <f aca="false">ADK81</f>
        <v>0</v>
      </c>
      <c r="ADM81" s="20" t="n">
        <f aca="false">ADL81</f>
        <v>0</v>
      </c>
      <c r="ADN81" s="20" t="n">
        <f aca="false">ADM81</f>
        <v>0</v>
      </c>
      <c r="ADO81" s="20" t="n">
        <f aca="false">ADN81</f>
        <v>0</v>
      </c>
      <c r="ADP81" s="20" t="n">
        <f aca="false">ADO81</f>
        <v>0</v>
      </c>
      <c r="ADQ81" s="20" t="n">
        <f aca="false">ADP81</f>
        <v>0</v>
      </c>
      <c r="ADR81" s="20" t="n">
        <f aca="false">(AKR80-TE81+0)*(1+BQ81)</f>
        <v>0</v>
      </c>
      <c r="ADS81" s="20" t="n">
        <f aca="false">(AKS80-TF81+0)*(1+BQ81)</f>
        <v>0</v>
      </c>
      <c r="ADT81" s="20" t="n">
        <f aca="false">(AKT80-TG81+0)*(1+BQ81)</f>
        <v>0</v>
      </c>
      <c r="ADU81" s="20" t="n">
        <f aca="false">(AKU80-TH81+0)*(1+BQ81)</f>
        <v>0</v>
      </c>
      <c r="ADV81" s="20" t="n">
        <f aca="false">(AKV80-TI81+0)*(1+BQ81)</f>
        <v>0</v>
      </c>
      <c r="ADW81" s="20" t="n">
        <f aca="false">(AKW80-TJ81+0)*(1+BQ81)</f>
        <v>0</v>
      </c>
      <c r="ADX81" s="20" t="n">
        <f aca="false">(AKX80-TK81+0)*(1+BQ81)</f>
        <v>0</v>
      </c>
      <c r="ADY81" s="20" t="n">
        <f aca="false">(AKY80-TL81+0)*(1+BQ81)</f>
        <v>0</v>
      </c>
      <c r="ADZ81" s="20" t="n">
        <f aca="false">(AKZ80-TM81+0)*(1+BQ81)</f>
        <v>0</v>
      </c>
      <c r="AEA81" s="20" t="n">
        <f aca="false">(ALA80-TN81+0)*(1+BQ81)</f>
        <v>0</v>
      </c>
      <c r="AEB81" s="20" t="n">
        <f aca="false">(ALB80-TO81+0)*(1+BQ81)</f>
        <v>0</v>
      </c>
      <c r="AEC81" s="20" t="n">
        <f aca="false">(ALC80-TP81+0)*(1+BQ81)</f>
        <v>0</v>
      </c>
      <c r="AED81" s="20" t="n">
        <f aca="false">(ALD80-TQ81+0)*(1+BQ81)</f>
        <v>0</v>
      </c>
      <c r="AEE81" s="20" t="n">
        <f aca="false">(ALE80-TR81+0)*(1+BQ81)</f>
        <v>0</v>
      </c>
      <c r="AEF81" s="20" t="n">
        <f aca="false">(ALF80-TS81+0)*(1+BQ81)</f>
        <v>0</v>
      </c>
      <c r="AEG81" s="20" t="n">
        <f aca="false">(ALG80-TT81+0)*(1+BQ81)</f>
        <v>0</v>
      </c>
      <c r="AEH81" s="20" t="n">
        <f aca="false">(ALH80-TU81+0)*(1+BQ81)</f>
        <v>0</v>
      </c>
      <c r="AEI81" s="20" t="n">
        <f aca="false">(ALI80-TV81+0)*(1+BQ81)</f>
        <v>0</v>
      </c>
      <c r="AEJ81" s="20" t="n">
        <f aca="false">(ALJ80-TW81+0)*(1+BQ81)</f>
        <v>0</v>
      </c>
      <c r="AEK81" s="20" t="n">
        <f aca="false">(ALK80-TX81+0)*(1+BQ81)</f>
        <v>0</v>
      </c>
      <c r="AEL81" s="20" t="n">
        <f aca="false">(ALL80-TY81+0)*(1+BQ81)</f>
        <v>0</v>
      </c>
      <c r="AEM81" s="20" t="n">
        <f aca="false">(ALM80-TZ81+0)*(1+BQ81)</f>
        <v>0</v>
      </c>
      <c r="AEN81" s="20" t="n">
        <f aca="false">(ALN80-UA81+0)*(1+BQ81)</f>
        <v>0</v>
      </c>
      <c r="AEO81" s="20" t="n">
        <f aca="false">(ALO80-UB81+0)*(1+BQ81)</f>
        <v>0</v>
      </c>
      <c r="AEP81" s="20" t="n">
        <f aca="false">(ALP80-UC81+0)*(1+BQ81)</f>
        <v>0</v>
      </c>
      <c r="AEQ81" s="20" t="n">
        <f aca="false">(ALQ80-UD81+0)*(1+BQ81)</f>
        <v>0</v>
      </c>
      <c r="AER81" s="20" t="n">
        <f aca="false">(ALR80-UE81+0)*(1+BQ81)</f>
        <v>0</v>
      </c>
      <c r="AES81" s="20" t="n">
        <f aca="false">(ALS80-UF81+0)*(1+BQ81)</f>
        <v>0</v>
      </c>
      <c r="AET81" s="20" t="n">
        <f aca="false">(ALT80-UG81+0)*(1+BQ81)</f>
        <v>0</v>
      </c>
      <c r="AEU81" s="20" t="n">
        <f aca="false">(ALU80-UH81+0)*(1+BQ81)</f>
        <v>0</v>
      </c>
      <c r="AEV81" s="20" t="n">
        <f aca="false">(ALV80-UI81+0)*(1+BQ81)</f>
        <v>0</v>
      </c>
      <c r="AEW81" s="20" t="n">
        <f aca="false">(ALW80-UJ81+0)*(1+BQ81)</f>
        <v>0</v>
      </c>
      <c r="AEX81" s="20" t="n">
        <f aca="false">(ALX80-UK81+0)*(1+BQ81)</f>
        <v>0</v>
      </c>
      <c r="AEY81" s="20" t="n">
        <f aca="false">(ALY80-UL81+0)*(1+BQ81)</f>
        <v>0</v>
      </c>
      <c r="AEZ81" s="20" t="n">
        <f aca="false">(ALZ80-UM81+0)*(1+BQ81)</f>
        <v>0</v>
      </c>
      <c r="AFA81" s="20" t="n">
        <f aca="false">(AMA80-UN81+0)*(1+BQ81)</f>
        <v>0</v>
      </c>
      <c r="AFB81" s="20" t="n">
        <f aca="false">(AMB80-UO81+0)*(1+BQ81)</f>
        <v>0</v>
      </c>
      <c r="AFC81" s="20" t="n">
        <f aca="false">(AMC80-UP81+0)*(1+BQ81)</f>
        <v>0</v>
      </c>
      <c r="AFD81" s="20" t="n">
        <f aca="false">(AMD80-UQ81+0)*(1+BQ81)</f>
        <v>0</v>
      </c>
      <c r="AFE81" s="20" t="n">
        <f aca="false">(AME80-UR81+0)*(1+BQ81)</f>
        <v>0</v>
      </c>
      <c r="AFF81" s="20" t="n">
        <f aca="false">(AMF80-US81+0)*(1+BQ81)</f>
        <v>0</v>
      </c>
      <c r="AFG81" s="20" t="n">
        <f aca="false">(AMG80-UT81+0)*(1+BQ81)</f>
        <v>0</v>
      </c>
      <c r="AFH81" s="20" t="n">
        <f aca="false">(AMH80-UU81+0)*(1+BQ81)</f>
        <v>0</v>
      </c>
      <c r="AFI81" s="20" t="n">
        <f aca="false">(AMI80-UV81+0)*(1+BQ81)</f>
        <v>0</v>
      </c>
      <c r="AFJ81" s="20" t="n">
        <f aca="false">(AMJ80-UW81+0)*(1+BQ81)</f>
        <v>0</v>
      </c>
      <c r="AFK81" s="20" t="n">
        <f aca="false">(AMK80-UX81+0)*(1+BQ81)</f>
        <v>0</v>
      </c>
      <c r="AFL81" s="20" t="n">
        <f aca="false">(AML80-UY81+0)*(1+BQ81)</f>
        <v>0</v>
      </c>
      <c r="AFM81" s="20" t="n">
        <f aca="false">(AMM80-UZ81+0)*(1+BQ81)</f>
        <v>0</v>
      </c>
      <c r="AFN81" s="20" t="n">
        <f aca="false">(AMN80-VA81+0)*(1+BQ81)</f>
        <v>0</v>
      </c>
      <c r="AFO81" s="20" t="n">
        <f aca="false">(AMO80-VB81+0)*(1+BQ81)</f>
        <v>0</v>
      </c>
      <c r="AFP81" s="20" t="n">
        <f aca="false">(AMP80-VC81+0)*(1+BQ81)</f>
        <v>0</v>
      </c>
      <c r="AFQ81" s="20" t="n">
        <f aca="false">(AMQ80-VD81+0)*(1+BQ81)</f>
        <v>0</v>
      </c>
      <c r="AFR81" s="20" t="n">
        <f aca="false">(AMR80-VE81+0)*(1+BQ81)</f>
        <v>0</v>
      </c>
      <c r="AFS81" s="20" t="n">
        <f aca="false">(AMS80-VF81+0)*(1+BQ81)</f>
        <v>0</v>
      </c>
      <c r="AFT81" s="20" t="n">
        <f aca="false">(AMT80-VG81+0)*(1+BQ81)</f>
        <v>0</v>
      </c>
      <c r="AFU81" s="20" t="n">
        <f aca="false">(AMU80-VH81+0)*(1+BQ81)</f>
        <v>0</v>
      </c>
      <c r="AFV81" s="20" t="n">
        <f aca="false">(AMV80-VI81+0)*(1+BQ81)</f>
        <v>0</v>
      </c>
      <c r="AFW81" s="20" t="n">
        <f aca="false">(AMW80-VJ81+0)*(1+BQ81)</f>
        <v>0</v>
      </c>
      <c r="AFX81" s="20" t="n">
        <f aca="false">(AMX80-VK81+0)*(1+BQ81)</f>
        <v>0</v>
      </c>
      <c r="AFY81" s="20" t="n">
        <f aca="false">(AMY80-VL81+0)*(1+BQ81)</f>
        <v>0</v>
      </c>
      <c r="AFZ81" s="20" t="n">
        <f aca="false">(AMZ80-VM81+0)*(1+BQ81)</f>
        <v>0</v>
      </c>
      <c r="AGA81" s="20" t="n">
        <f aca="false">(ANA80-VN81+0)*(1+BQ81)</f>
        <v>0</v>
      </c>
      <c r="AGB81" s="20" t="n">
        <f aca="false">(ANB80-VO81+0)*(1+BQ81)</f>
        <v>0</v>
      </c>
      <c r="AGC81" s="20" t="n">
        <f aca="false">(ANC80-VP81+0)*(1+BQ81)</f>
        <v>0</v>
      </c>
      <c r="AGD81" s="20" t="n">
        <f aca="false">(AND80-VQ81+0)*(1+BQ81)</f>
        <v>0</v>
      </c>
      <c r="AGE81" s="20" t="n">
        <f aca="false">(ANE80-VR81+0)*(1+BQ81)</f>
        <v>0</v>
      </c>
      <c r="AGF81" s="20" t="n">
        <f aca="false">(ANF80-VS81+0)*(1+BQ81)</f>
        <v>0</v>
      </c>
      <c r="AGG81" s="20" t="n">
        <f aca="false">(ANG80-VT81+0)*(1+BQ81)</f>
        <v>0</v>
      </c>
      <c r="AGH81" s="20" t="n">
        <f aca="false">(ANH80-VU81+0)*(1+BQ81)</f>
        <v>0</v>
      </c>
      <c r="AGI81" s="20" t="n">
        <f aca="false">(ANI80-VV81+0)*(1+BQ81)</f>
        <v>0</v>
      </c>
      <c r="AGJ81" s="20" t="n">
        <f aca="false">(ANJ80-VW81+0)*(1+BQ81)</f>
        <v>0</v>
      </c>
      <c r="AGK81" s="20" t="n">
        <f aca="false">(ANK80-VX81+0)*(1+BQ81)</f>
        <v>0</v>
      </c>
      <c r="AGL81" s="20" t="n">
        <f aca="false">(ANL80-VY81+0)*(1+BQ81)</f>
        <v>0</v>
      </c>
      <c r="AGM81" s="20" t="n">
        <f aca="false">(ANM80-VZ81+0)*(1+BQ81)</f>
        <v>0</v>
      </c>
      <c r="AGN81" s="20" t="n">
        <f aca="false">((P81+S81)-WA81+BE81)*(1+BQ81)</f>
        <v>0</v>
      </c>
      <c r="AGO81" s="20" t="n">
        <v>0</v>
      </c>
      <c r="AGP81" s="20" t="n">
        <v>0</v>
      </c>
      <c r="AGQ81" s="20" t="n">
        <v>0</v>
      </c>
      <c r="AGR81" s="20" t="n">
        <v>0</v>
      </c>
      <c r="AGS81" s="20" t="n">
        <v>0</v>
      </c>
      <c r="AGT81" s="20" t="n">
        <v>0</v>
      </c>
      <c r="AGU81" s="20" t="n">
        <v>0</v>
      </c>
      <c r="AGV81" s="20" t="n">
        <v>0</v>
      </c>
      <c r="AGW81" s="20" t="n">
        <v>0</v>
      </c>
      <c r="AGX81" s="20" t="n">
        <v>0</v>
      </c>
      <c r="AGY81" s="20" t="n">
        <v>0</v>
      </c>
      <c r="AGZ81" s="20" t="n">
        <v>0</v>
      </c>
      <c r="AHA81" s="20" t="n">
        <v>0</v>
      </c>
      <c r="AHB81" s="20" t="n">
        <v>0</v>
      </c>
      <c r="AHC81" s="20" t="n">
        <v>0</v>
      </c>
      <c r="AHD81" s="20" t="n">
        <v>0</v>
      </c>
      <c r="AHE81" s="20" t="n">
        <f aca="false">IF(AKR80&gt;0,AOE80-AOE80*TE81/AKR80,0)+0</f>
        <v>0</v>
      </c>
      <c r="AHF81" s="20" t="n">
        <f aca="false">IF(AKS80&gt;0,AOF80-AOF80*TF81/AKS80,0)+0</f>
        <v>0</v>
      </c>
      <c r="AHG81" s="20" t="n">
        <f aca="false">IF(AKT80&gt;0,AOG80-AOG80*TG81/AKT80,0)+0</f>
        <v>0</v>
      </c>
      <c r="AHH81" s="20" t="n">
        <f aca="false">IF(AKU80&gt;0,AOH80-AOH80*TH81/AKU80,0)+0</f>
        <v>0</v>
      </c>
      <c r="AHI81" s="20" t="n">
        <f aca="false">IF(AKV80&gt;0,AOI80-AOI80*TI81/AKV80,0)+0</f>
        <v>0</v>
      </c>
      <c r="AHJ81" s="20" t="n">
        <f aca="false">IF(AKW80&gt;0,AOJ80-AOJ80*TJ81/AKW80,0)+0</f>
        <v>0</v>
      </c>
      <c r="AHK81" s="20" t="n">
        <f aca="false">IF(AKX80&gt;0,AOK80-AOK80*TK81/AKX80,0)+0</f>
        <v>0</v>
      </c>
      <c r="AHL81" s="20" t="n">
        <f aca="false">IF(AKY80&gt;0,AOL80-AOL80*TL81/AKY80,0)+0</f>
        <v>0</v>
      </c>
      <c r="AHM81" s="20" t="n">
        <f aca="false">IF(AKZ80&gt;0,AOM80-AOM80*TM81/AKZ80,0)+0</f>
        <v>0</v>
      </c>
      <c r="AHN81" s="20" t="n">
        <f aca="false">IF(ALA80&gt;0,AON80-AON80*TN81/ALA80,0)+0</f>
        <v>0</v>
      </c>
      <c r="AHO81" s="20" t="n">
        <f aca="false">IF(ALB80&gt;0,AOO80-AOO80*TO81/ALB80,0)+0</f>
        <v>0</v>
      </c>
      <c r="AHP81" s="20" t="n">
        <f aca="false">IF(ALC80&gt;0,AOP80-AOP80*TP81/ALC80,0)+0</f>
        <v>0</v>
      </c>
      <c r="AHQ81" s="20" t="n">
        <f aca="false">IF(ALD80&gt;0,AOQ80-AOQ80*TQ81/ALD80,0)+0</f>
        <v>0</v>
      </c>
      <c r="AHR81" s="20" t="n">
        <f aca="false">IF(ALE80&gt;0,AOR80-AOR80*TR81/ALE80,0)+0</f>
        <v>0</v>
      </c>
      <c r="AHS81" s="20" t="n">
        <f aca="false">IF(ALF80&gt;0,AOS80-AOS80*TS81/ALF80,0)+0</f>
        <v>0</v>
      </c>
      <c r="AHT81" s="20" t="n">
        <f aca="false">IF(ALG80&gt;0,AOT80-AOT80*TT81/ALG80,0)+0</f>
        <v>0</v>
      </c>
      <c r="AHU81" s="20" t="n">
        <f aca="false">IF(ALH80&gt;0,AOU80-AOU80*TU81/ALH80,0)+0</f>
        <v>0</v>
      </c>
      <c r="AHV81" s="20" t="n">
        <f aca="false">IF(ALI80&gt;0,AOV80-AOV80*TV81/ALI80,0)+0</f>
        <v>0</v>
      </c>
      <c r="AHW81" s="20" t="n">
        <f aca="false">IF(ALJ80&gt;0,AOW80-AOW80*TW81/ALJ80,0)+0</f>
        <v>0</v>
      </c>
      <c r="AHX81" s="20" t="n">
        <f aca="false">IF(ALK80&gt;0,AOX80-AOX80*TX81/ALK80,0)+0</f>
        <v>0</v>
      </c>
      <c r="AHY81" s="20" t="n">
        <f aca="false">IF(ALL80&gt;0,AOY80-AOY80*TY81/ALL80,0)+0</f>
        <v>0</v>
      </c>
      <c r="AHZ81" s="20" t="n">
        <f aca="false">IF(ALM80&gt;0,AOZ80-AOZ80*TZ81/ALM80,0)+0</f>
        <v>0</v>
      </c>
      <c r="AIA81" s="20" t="n">
        <f aca="false">IF(ALN80&gt;0,APA80-APA80*UA81/ALN80,0)+0</f>
        <v>0</v>
      </c>
      <c r="AIB81" s="20" t="n">
        <f aca="false">IF(ALO80&gt;0,APB80-APB80*UB81/ALO80,0)+0</f>
        <v>0</v>
      </c>
      <c r="AIC81" s="20" t="n">
        <f aca="false">IF(ALP80&gt;0,APC80-APC80*UC81/ALP80,0)+0</f>
        <v>0</v>
      </c>
      <c r="AID81" s="20" t="n">
        <f aca="false">IF(ALQ80&gt;0,APD80-APD80*UD81/ALQ80,0)+0</f>
        <v>0</v>
      </c>
      <c r="AIE81" s="20" t="n">
        <f aca="false">IF(ALR80&gt;0,APE80-APE80*UE81/ALR80,0)+0</f>
        <v>0</v>
      </c>
      <c r="AIF81" s="20" t="n">
        <f aca="false">IF(ALS80&gt;0,APF80-APF80*UF81/ALS80,0)+0</f>
        <v>0</v>
      </c>
      <c r="AIG81" s="20" t="n">
        <f aca="false">IF(ALT80&gt;0,APG80-APG80*UG81/ALT80,0)+0</f>
        <v>0</v>
      </c>
      <c r="AIH81" s="20" t="n">
        <f aca="false">IF(ALU80&gt;0,APH80-APH80*UH81/ALU80,0)+0</f>
        <v>0</v>
      </c>
      <c r="AII81" s="20" t="n">
        <f aca="false">IF(ALV80&gt;0,API80-API80*UI81/ALV80,0)+0</f>
        <v>0</v>
      </c>
      <c r="AIJ81" s="20" t="n">
        <f aca="false">IF(ALW80&gt;0,APJ80-APJ80*UJ81/ALW80,0)+0</f>
        <v>0</v>
      </c>
      <c r="AIK81" s="20" t="n">
        <f aca="false">IF(ALX80&gt;0,APK80-APK80*UK81/ALX80,0)+0</f>
        <v>0</v>
      </c>
      <c r="AIL81" s="20" t="n">
        <f aca="false">IF(ALY80&gt;0,APL80-APL80*UL81/ALY80,0)+0</f>
        <v>0</v>
      </c>
      <c r="AIM81" s="20" t="n">
        <f aca="false">IF(ALZ80&gt;0,APM80-APM80*UM81/ALZ80,0)+0</f>
        <v>0</v>
      </c>
      <c r="AIN81" s="20" t="n">
        <f aca="false">IF(AMA80&gt;0,APN80-APN80*UN81/AMA80,0)+0</f>
        <v>0</v>
      </c>
      <c r="AIO81" s="20" t="n">
        <f aca="false">IF(AMB80&gt;0,APO80-APO80*UO81/AMB80,0)+0</f>
        <v>0</v>
      </c>
      <c r="AIP81" s="20" t="n">
        <f aca="false">IF(AMC80&gt;0,APP80-APP80*UP81/AMC80,0)+0</f>
        <v>0</v>
      </c>
      <c r="AIQ81" s="20" t="n">
        <f aca="false">IF(AMD80&gt;0,APQ80-APQ80*UQ81/AMD80,0)+0</f>
        <v>0</v>
      </c>
      <c r="AIR81" s="20" t="n">
        <f aca="false">IF(AME80&gt;0,APR80-APR80*UR81/AME80,0)+0</f>
        <v>0</v>
      </c>
      <c r="AIS81" s="20" t="n">
        <f aca="false">IF(AMF80&gt;0,APS80-APS80*US81/AMF80,0)+0</f>
        <v>0</v>
      </c>
      <c r="AIT81" s="20" t="n">
        <f aca="false">IF(AMG80&gt;0,APT80-APT80*UT81/AMG80,0)+0</f>
        <v>0</v>
      </c>
      <c r="AIU81" s="20" t="n">
        <f aca="false">IF(AMH80&gt;0,APU80-APU80*UU81/AMH80,0)+0</f>
        <v>0</v>
      </c>
      <c r="AIV81" s="20" t="n">
        <f aca="false">IF(AMI80&gt;0,APV80-APV80*UV81/AMI80,0)+0</f>
        <v>0</v>
      </c>
      <c r="AIW81" s="20" t="n">
        <f aca="false">IF(AMJ80&gt;0,APW80-APW80*UW81/AMJ80,0)+0</f>
        <v>0</v>
      </c>
      <c r="AIX81" s="20" t="n">
        <f aca="false">IF(AMK80&gt;0,APX80-APX80*UX81/AMK80,0)+0</f>
        <v>0</v>
      </c>
      <c r="AIY81" s="20" t="n">
        <f aca="false">IF(AML80&gt;0,APY80-APY80*UY81/AML80,0)+0</f>
        <v>0</v>
      </c>
      <c r="AIZ81" s="20" t="n">
        <f aca="false">IF(AMM80&gt;0,APZ80-APZ80*UZ81/AMM80,0)+0</f>
        <v>0</v>
      </c>
      <c r="AJA81" s="20" t="n">
        <f aca="false">IF(AMN80&gt;0,AQA80-AQA80*VA81/AMN80,0)+0</f>
        <v>0</v>
      </c>
      <c r="AJB81" s="20" t="n">
        <f aca="false">IF(AMO80&gt;0,AQB80-AQB80*VB81/AMO80,0)+0</f>
        <v>0</v>
      </c>
      <c r="AJC81" s="20" t="n">
        <f aca="false">IF(AMP80&gt;0,AQC80-AQC80*VC81/AMP80,0)+0</f>
        <v>0</v>
      </c>
      <c r="AJD81" s="20" t="n">
        <f aca="false">IF(AMQ80&gt;0,AQD80-AQD80*VD81/AMQ80,0)+0</f>
        <v>0</v>
      </c>
      <c r="AJE81" s="20" t="n">
        <f aca="false">IF(AMR80&gt;0,AQE80-AQE80*VE81/AMR80,0)+0</f>
        <v>0</v>
      </c>
      <c r="AJF81" s="20" t="n">
        <f aca="false">IF(AMS80&gt;0,AQF80-AQF80*VF81/AMS80,0)+0</f>
        <v>0</v>
      </c>
      <c r="AJG81" s="20" t="n">
        <f aca="false">IF(AMT80&gt;0,AQG80-AQG80*VG81/AMT80,0)+0</f>
        <v>0</v>
      </c>
      <c r="AJH81" s="20" t="n">
        <f aca="false">IF(AMU80&gt;0,AQH80-AQH80*VH81/AMU80,0)+0</f>
        <v>0</v>
      </c>
      <c r="AJI81" s="20" t="n">
        <f aca="false">IF(AMV80&gt;0,AQI80-AQI80*VI81/AMV80,0)+0</f>
        <v>0</v>
      </c>
      <c r="AJJ81" s="20" t="n">
        <f aca="false">IF(AMW80&gt;0,AQJ80-AQJ80*VJ81/AMW80,0)+0</f>
        <v>0</v>
      </c>
      <c r="AJK81" s="20" t="n">
        <f aca="false">IF(AMX80&gt;0,AQK80-AQK80*VK81/AMX80,0)+0</f>
        <v>0</v>
      </c>
      <c r="AJL81" s="20" t="n">
        <f aca="false">IF(AMY80&gt;0,AQL80-AQL80*VL81/AMY80,0)+0</f>
        <v>0</v>
      </c>
      <c r="AJM81" s="20" t="n">
        <f aca="false">IF(AMZ80&gt;0,AQM80-AQM80*VM81/AMZ80,0)+0</f>
        <v>0</v>
      </c>
      <c r="AJN81" s="20" t="n">
        <f aca="false">IF(ANA80&gt;0,AQN80-AQN80*VN81/ANA80,0)+0</f>
        <v>0</v>
      </c>
      <c r="AJO81" s="20" t="n">
        <f aca="false">IF(ANB80&gt;0,AQO80-AQO80*VO81/ANB80,0)+0</f>
        <v>0</v>
      </c>
      <c r="AJP81" s="20" t="n">
        <f aca="false">IF(ANC80&gt;0,AQP80-AQP80*VP81/ANC80,0)+0</f>
        <v>0</v>
      </c>
      <c r="AJQ81" s="20" t="n">
        <f aca="false">IF(AND80&gt;0,AQQ80-AQQ80*VQ81/AND80,0)+0</f>
        <v>0</v>
      </c>
      <c r="AJR81" s="20" t="n">
        <f aca="false">IF(ANE80&gt;0,AQR80-AQR80*VR81/ANE80,0)+0</f>
        <v>0</v>
      </c>
      <c r="AJS81" s="20" t="n">
        <f aca="false">IF(ANF80&gt;0,AQS80-AQS80*VS81/ANF80,0)+0</f>
        <v>0</v>
      </c>
      <c r="AJT81" s="20" t="n">
        <f aca="false">IF(ANG80&gt;0,AQT80-AQT80*VT81/ANG80,0)+0</f>
        <v>0</v>
      </c>
      <c r="AJU81" s="20" t="n">
        <f aca="false">IF(ANH80&gt;0,AQU80-AQU80*VU81/ANH80,0)+0</f>
        <v>0</v>
      </c>
      <c r="AJV81" s="20" t="n">
        <f aca="false">IF(ANI80&gt;0,AQV80-AQV80*VV81/ANI80,0)+0</f>
        <v>0</v>
      </c>
      <c r="AJW81" s="20" t="n">
        <f aca="false">IF(ANJ80&gt;0,AQW80-AQW80*VW81/ANJ80,0)+0</f>
        <v>0</v>
      </c>
      <c r="AJX81" s="20" t="n">
        <f aca="false">IF(ANK80&gt;0,AQX80-AQX80*VX81/ANK80,0)+0</f>
        <v>0</v>
      </c>
      <c r="AJY81" s="20" t="n">
        <f aca="false">IF(ANL80&gt;0,AQY80-AQY80*VY81/ANL80,0)+0</f>
        <v>0</v>
      </c>
      <c r="AJZ81" s="20" t="n">
        <f aca="false">IF(ANM80&gt;0,AQZ80-AQZ80*VZ81/ANM80,0)+0</f>
        <v>0</v>
      </c>
      <c r="AKA81" s="20" t="n">
        <f aca="false">IF((P81+S81)&gt;0,(P81+S81)-(P81+S81)*WA81/(P81+S81),0)+BE81</f>
        <v>0</v>
      </c>
      <c r="AKB81" s="20" t="n">
        <v>0</v>
      </c>
      <c r="AKC81" s="20" t="n">
        <v>0</v>
      </c>
      <c r="AKD81" s="20" t="n">
        <v>0</v>
      </c>
      <c r="AKE81" s="20" t="n">
        <v>0</v>
      </c>
      <c r="AKF81" s="20" t="n">
        <v>0</v>
      </c>
      <c r="AKG81" s="20" t="n">
        <v>0</v>
      </c>
      <c r="AKH81" s="20" t="n">
        <v>0</v>
      </c>
      <c r="AKI81" s="20" t="n">
        <v>0</v>
      </c>
      <c r="AKJ81" s="20" t="n">
        <v>0</v>
      </c>
      <c r="AKK81" s="20" t="n">
        <v>0</v>
      </c>
      <c r="AKL81" s="20" t="n">
        <v>0</v>
      </c>
      <c r="AKM81" s="20" t="n">
        <v>0</v>
      </c>
      <c r="AKN81" s="20" t="n">
        <v>0</v>
      </c>
      <c r="AKO81" s="20" t="n">
        <v>0</v>
      </c>
      <c r="AKP81" s="20" t="n">
        <v>0</v>
      </c>
      <c r="AKQ81" s="20" t="n">
        <v>0</v>
      </c>
      <c r="AKR81" s="20" t="n">
        <f aca="false">ADR81-AVE81</f>
        <v>0</v>
      </c>
      <c r="AKS81" s="20" t="n">
        <f aca="false">ADS81-AVF81</f>
        <v>0</v>
      </c>
      <c r="AKT81" s="20" t="n">
        <f aca="false">ADT81-AVG81</f>
        <v>0</v>
      </c>
      <c r="AKU81" s="20" t="n">
        <f aca="false">ADU81-AVH81</f>
        <v>0</v>
      </c>
      <c r="AKV81" s="20" t="n">
        <f aca="false">ADV81-AVI81</f>
        <v>0</v>
      </c>
      <c r="AKW81" s="20" t="n">
        <f aca="false">ADW81-AVJ81</f>
        <v>0</v>
      </c>
      <c r="AKX81" s="20" t="n">
        <f aca="false">ADX81-AVK81</f>
        <v>0</v>
      </c>
      <c r="AKY81" s="20" t="n">
        <f aca="false">ADY81-AVL81</f>
        <v>0</v>
      </c>
      <c r="AKZ81" s="20" t="n">
        <f aca="false">ADZ81-AVM81</f>
        <v>0</v>
      </c>
      <c r="ALA81" s="20" t="n">
        <f aca="false">AEA81-AVN81</f>
        <v>0</v>
      </c>
      <c r="ALB81" s="20" t="n">
        <f aca="false">AEB81-AVO81</f>
        <v>0</v>
      </c>
      <c r="ALC81" s="20" t="n">
        <f aca="false">AEC81-AVP81</f>
        <v>0</v>
      </c>
      <c r="ALD81" s="20" t="n">
        <f aca="false">AED81-AVQ81</f>
        <v>0</v>
      </c>
      <c r="ALE81" s="20" t="n">
        <f aca="false">AEE81-AVR81</f>
        <v>0</v>
      </c>
      <c r="ALF81" s="20" t="n">
        <f aca="false">AEF81-AVS81</f>
        <v>0</v>
      </c>
      <c r="ALG81" s="20" t="n">
        <f aca="false">AEG81-AVT81</f>
        <v>0</v>
      </c>
      <c r="ALH81" s="20" t="n">
        <f aca="false">AEH81-AVU81</f>
        <v>0</v>
      </c>
      <c r="ALI81" s="20" t="n">
        <f aca="false">AEI81-AVV81</f>
        <v>0</v>
      </c>
      <c r="ALJ81" s="20" t="n">
        <f aca="false">AEJ81-AVW81</f>
        <v>0</v>
      </c>
      <c r="ALK81" s="20" t="n">
        <f aca="false">AEK81-AVX81</f>
        <v>0</v>
      </c>
      <c r="ALL81" s="20" t="n">
        <f aca="false">AEL81-AVY81</f>
        <v>0</v>
      </c>
      <c r="ALM81" s="20" t="n">
        <f aca="false">AEM81-AVZ81</f>
        <v>0</v>
      </c>
      <c r="ALN81" s="20" t="n">
        <f aca="false">AEN81-AWA81</f>
        <v>0</v>
      </c>
      <c r="ALO81" s="20" t="n">
        <f aca="false">AEO81-AWB81</f>
        <v>0</v>
      </c>
      <c r="ALP81" s="20" t="n">
        <f aca="false">AEP81-AWC81</f>
        <v>0</v>
      </c>
      <c r="ALQ81" s="20" t="n">
        <f aca="false">AEQ81-AWD81</f>
        <v>0</v>
      </c>
      <c r="ALR81" s="20" t="n">
        <f aca="false">AER81-AWE81</f>
        <v>0</v>
      </c>
      <c r="ALS81" s="20" t="n">
        <f aca="false">AES81-AWF81</f>
        <v>0</v>
      </c>
      <c r="ALT81" s="20" t="n">
        <f aca="false">AET81-AWG81</f>
        <v>0</v>
      </c>
      <c r="ALU81" s="20" t="n">
        <f aca="false">AEU81-AWH81</f>
        <v>0</v>
      </c>
      <c r="ALV81" s="20" t="n">
        <f aca="false">AEV81-AWI81</f>
        <v>0</v>
      </c>
      <c r="ALW81" s="20" t="n">
        <f aca="false">AEW81-AWJ81</f>
        <v>0</v>
      </c>
      <c r="ALX81" s="20" t="n">
        <f aca="false">AEX81-AWK81</f>
        <v>0</v>
      </c>
      <c r="ALY81" s="20" t="n">
        <f aca="false">AEY81-AWL81</f>
        <v>0</v>
      </c>
      <c r="ALZ81" s="20" t="n">
        <f aca="false">AEZ81-AWM81</f>
        <v>0</v>
      </c>
      <c r="AMA81" s="20" t="n">
        <f aca="false">AFA81-AWN81</f>
        <v>0</v>
      </c>
      <c r="AMB81" s="20" t="n">
        <f aca="false">AFB81-AWO81</f>
        <v>0</v>
      </c>
      <c r="AMC81" s="20" t="n">
        <f aca="false">AFC81-AWP81</f>
        <v>0</v>
      </c>
      <c r="AMD81" s="20" t="n">
        <f aca="false">AFD81-AWQ81</f>
        <v>0</v>
      </c>
      <c r="AME81" s="20" t="n">
        <f aca="false">AFE81-AWR81</f>
        <v>0</v>
      </c>
      <c r="AMF81" s="20" t="n">
        <f aca="false">AFF81-AWS81</f>
        <v>0</v>
      </c>
      <c r="AMG81" s="20" t="n">
        <f aca="false">AFG81-AWT81</f>
        <v>0</v>
      </c>
      <c r="AMH81" s="20" t="n">
        <f aca="false">AFH81-AWU81</f>
        <v>0</v>
      </c>
      <c r="AMI81" s="20" t="n">
        <f aca="false">AFI81-AWV81</f>
        <v>0</v>
      </c>
      <c r="AMJ81" s="20" t="n">
        <f aca="false">AFJ81-AWW81</f>
        <v>0</v>
      </c>
      <c r="AMK81" s="20" t="n">
        <f aca="false">AFK81-AWX81</f>
        <v>0</v>
      </c>
      <c r="AML81" s="20" t="n">
        <f aca="false">AFL81-AWY81</f>
        <v>0</v>
      </c>
      <c r="AMM81" s="20" t="n">
        <f aca="false">AFM81-AWZ81</f>
        <v>0</v>
      </c>
      <c r="AMN81" s="20" t="n">
        <f aca="false">AFN81-AXA81</f>
        <v>0</v>
      </c>
      <c r="AMO81" s="20" t="n">
        <f aca="false">AFO81-AXB81</f>
        <v>0</v>
      </c>
      <c r="AMP81" s="20" t="n">
        <f aca="false">AFP81-AXC81</f>
        <v>0</v>
      </c>
      <c r="AMQ81" s="20" t="n">
        <f aca="false">AFQ81-AXD81</f>
        <v>0</v>
      </c>
      <c r="AMR81" s="20" t="n">
        <f aca="false">AFR81-AXE81</f>
        <v>0</v>
      </c>
      <c r="AMS81" s="20" t="n">
        <f aca="false">AFS81-AXF81</f>
        <v>0</v>
      </c>
      <c r="AMT81" s="20" t="n">
        <f aca="false">AFT81-AXG81</f>
        <v>0</v>
      </c>
      <c r="AMU81" s="20" t="n">
        <f aca="false">AFU81-AXH81</f>
        <v>0</v>
      </c>
      <c r="AMV81" s="20" t="n">
        <f aca="false">AFV81-AXI81</f>
        <v>0</v>
      </c>
      <c r="AMW81" s="20" t="n">
        <f aca="false">AFW81-AXJ81</f>
        <v>0</v>
      </c>
      <c r="AMX81" s="20" t="n">
        <f aca="false">AFX81-AXK81</f>
        <v>0</v>
      </c>
      <c r="AMY81" s="20" t="n">
        <f aca="false">AFY81-AXL81</f>
        <v>0</v>
      </c>
      <c r="AMZ81" s="20" t="n">
        <f aca="false">AFZ81-AXM81</f>
        <v>0</v>
      </c>
      <c r="ANA81" s="20" t="n">
        <f aca="false">AGA81-AXN81</f>
        <v>0</v>
      </c>
      <c r="ANB81" s="20" t="n">
        <f aca="false">AGB81-AXO81</f>
        <v>0</v>
      </c>
      <c r="ANC81" s="20" t="n">
        <f aca="false">AGC81-AXP81</f>
        <v>0</v>
      </c>
      <c r="AND81" s="20" t="n">
        <f aca="false">AGD81-AXQ81</f>
        <v>0</v>
      </c>
      <c r="ANE81" s="20" t="n">
        <f aca="false">AGE81-AXR81</f>
        <v>0</v>
      </c>
      <c r="ANF81" s="20" t="n">
        <f aca="false">AGF81-AXS81</f>
        <v>0</v>
      </c>
      <c r="ANG81" s="20" t="n">
        <f aca="false">AGG81-AXT81</f>
        <v>0</v>
      </c>
      <c r="ANH81" s="20" t="n">
        <f aca="false">AGH81-AXU81</f>
        <v>0</v>
      </c>
      <c r="ANI81" s="20" t="n">
        <f aca="false">AGI81-AXV81</f>
        <v>0</v>
      </c>
      <c r="ANJ81" s="20" t="n">
        <f aca="false">AGJ81-AXW81</f>
        <v>0</v>
      </c>
      <c r="ANK81" s="20" t="n">
        <f aca="false">AGK81-AXX81</f>
        <v>0</v>
      </c>
      <c r="ANL81" s="20" t="n">
        <f aca="false">AGL81-AXY81</f>
        <v>0</v>
      </c>
      <c r="ANM81" s="20" t="n">
        <f aca="false">AGM81-AXZ81</f>
        <v>0</v>
      </c>
      <c r="ANN81" s="20" t="n">
        <f aca="false">AGN81-AYA81</f>
        <v>0</v>
      </c>
      <c r="ANO81" s="20" t="n">
        <v>0</v>
      </c>
      <c r="ANP81" s="20" t="n">
        <v>0</v>
      </c>
      <c r="ANQ81" s="20" t="n">
        <v>0</v>
      </c>
      <c r="ANR81" s="20" t="n">
        <v>0</v>
      </c>
      <c r="ANS81" s="20" t="n">
        <v>0</v>
      </c>
      <c r="ANT81" s="20" t="n">
        <v>0</v>
      </c>
      <c r="ANU81" s="20" t="n">
        <v>0</v>
      </c>
      <c r="ANV81" s="20" t="n">
        <v>0</v>
      </c>
      <c r="ANW81" s="20" t="n">
        <v>0</v>
      </c>
      <c r="ANX81" s="20" t="n">
        <v>0</v>
      </c>
      <c r="ANY81" s="20" t="n">
        <v>0</v>
      </c>
      <c r="ANZ81" s="20" t="n">
        <v>0</v>
      </c>
      <c r="AOA81" s="20" t="n">
        <v>0</v>
      </c>
      <c r="AOB81" s="20" t="n">
        <v>0</v>
      </c>
      <c r="AOC81" s="20" t="n">
        <v>0</v>
      </c>
      <c r="AOD81" s="20" t="n">
        <v>0</v>
      </c>
      <c r="AOE81" s="20" t="n">
        <f aca="false">IF(AND(H_Direct=0,H_TaxEvt=1,ARR80+1&gt;=H_Deemed),AKR81,AHE81)</f>
        <v>0</v>
      </c>
      <c r="AOF81" s="20" t="n">
        <f aca="false">IF(AND(H_Direct=0,H_TaxEvt=1,ARS80+1&gt;=H_Deemed),AKS81,AHF81)</f>
        <v>0</v>
      </c>
      <c r="AOG81" s="20" t="n">
        <f aca="false">IF(AND(H_Direct=0,H_TaxEvt=1,ART80+1&gt;=H_Deemed),AKT81,AHG81)</f>
        <v>0</v>
      </c>
      <c r="AOH81" s="20" t="n">
        <f aca="false">IF(AND(H_Direct=0,H_TaxEvt=1,ARU80+1&gt;=H_Deemed),AKU81,AHH81)</f>
        <v>0</v>
      </c>
      <c r="AOI81" s="20" t="n">
        <f aca="false">IF(AND(H_Direct=0,H_TaxEvt=1,ARV80+1&gt;=H_Deemed),AKV81,AHI81)</f>
        <v>0</v>
      </c>
      <c r="AOJ81" s="20" t="n">
        <f aca="false">IF(AND(H_Direct=0,H_TaxEvt=1,ARW80+1&gt;=H_Deemed),AKW81,AHJ81)</f>
        <v>0</v>
      </c>
      <c r="AOK81" s="20" t="n">
        <f aca="false">IF(AND(H_Direct=0,H_TaxEvt=1,ARX80+1&gt;=H_Deemed),AKX81,AHK81)</f>
        <v>0</v>
      </c>
      <c r="AOL81" s="20" t="n">
        <f aca="false">IF(AND(H_Direct=0,H_TaxEvt=1,ARY80+1&gt;=H_Deemed),AKY81,AHL81)</f>
        <v>0</v>
      </c>
      <c r="AOM81" s="20" t="n">
        <f aca="false">IF(AND(H_Direct=0,H_TaxEvt=1,ARZ80+1&gt;=H_Deemed),AKZ81,AHM81)</f>
        <v>0</v>
      </c>
      <c r="AON81" s="20" t="n">
        <f aca="false">IF(AND(H_Direct=0,H_TaxEvt=1,ASA80+1&gt;=H_Deemed),ALA81,AHN81)</f>
        <v>0</v>
      </c>
      <c r="AOO81" s="20" t="n">
        <f aca="false">IF(AND(H_Direct=0,H_TaxEvt=1,ASB80+1&gt;=H_Deemed),ALB81,AHO81)</f>
        <v>0</v>
      </c>
      <c r="AOP81" s="20" t="n">
        <f aca="false">IF(AND(H_Direct=0,H_TaxEvt=1,ASC80+1&gt;=H_Deemed),ALC81,AHP81)</f>
        <v>0</v>
      </c>
      <c r="AOQ81" s="20" t="n">
        <f aca="false">IF(AND(H_Direct=0,H_TaxEvt=1,ASD80+1&gt;=H_Deemed),ALD81,AHQ81)</f>
        <v>0</v>
      </c>
      <c r="AOR81" s="20" t="n">
        <f aca="false">IF(AND(H_Direct=0,H_TaxEvt=1,ASE80+1&gt;=H_Deemed),ALE81,AHR81)</f>
        <v>0</v>
      </c>
      <c r="AOS81" s="20" t="n">
        <f aca="false">IF(AND(H_Direct=0,H_TaxEvt=1,ASF80+1&gt;=H_Deemed),ALF81,AHS81)</f>
        <v>0</v>
      </c>
      <c r="AOT81" s="20" t="n">
        <f aca="false">IF(AND(H_Direct=0,H_TaxEvt=1,ASG80+1&gt;=H_Deemed),ALG81,AHT81)</f>
        <v>0</v>
      </c>
      <c r="AOU81" s="20" t="n">
        <f aca="false">IF(AND(H_Direct=0,H_TaxEvt=1,ASH80+1&gt;=H_Deemed),ALH81,AHU81)</f>
        <v>0</v>
      </c>
      <c r="AOV81" s="20" t="n">
        <f aca="false">IF(AND(H_Direct=0,H_TaxEvt=1,ASI80+1&gt;=H_Deemed),ALI81,AHV81)</f>
        <v>0</v>
      </c>
      <c r="AOW81" s="20" t="n">
        <f aca="false">IF(AND(H_Direct=0,H_TaxEvt=1,ASJ80+1&gt;=H_Deemed),ALJ81,AHW81)</f>
        <v>0</v>
      </c>
      <c r="AOX81" s="20" t="n">
        <f aca="false">IF(AND(H_Direct=0,H_TaxEvt=1,ASK80+1&gt;=H_Deemed),ALK81,AHX81)</f>
        <v>0</v>
      </c>
      <c r="AOY81" s="20" t="n">
        <f aca="false">IF(AND(H_Direct=0,H_TaxEvt=1,ASL80+1&gt;=H_Deemed),ALL81,AHY81)</f>
        <v>0</v>
      </c>
      <c r="AOZ81" s="20" t="n">
        <f aca="false">IF(AND(H_Direct=0,H_TaxEvt=1,ASM80+1&gt;=H_Deemed),ALM81,AHZ81)</f>
        <v>0</v>
      </c>
      <c r="APA81" s="20" t="n">
        <f aca="false">IF(AND(H_Direct=0,H_TaxEvt=1,ASN80+1&gt;=H_Deemed),ALN81,AIA81)</f>
        <v>0</v>
      </c>
      <c r="APB81" s="20" t="n">
        <f aca="false">IF(AND(H_Direct=0,H_TaxEvt=1,ASO80+1&gt;=H_Deemed),ALO81,AIB81)</f>
        <v>0</v>
      </c>
      <c r="APC81" s="20" t="n">
        <f aca="false">IF(AND(H_Direct=0,H_TaxEvt=1,ASP80+1&gt;=H_Deemed),ALP81,AIC81)</f>
        <v>0</v>
      </c>
      <c r="APD81" s="20" t="n">
        <f aca="false">IF(AND(H_Direct=0,H_TaxEvt=1,ASQ80+1&gt;=H_Deemed),ALQ81,AID81)</f>
        <v>0</v>
      </c>
      <c r="APE81" s="20" t="n">
        <f aca="false">IF(AND(H_Direct=0,H_TaxEvt=1,ASR80+1&gt;=H_Deemed),ALR81,AIE81)</f>
        <v>0</v>
      </c>
      <c r="APF81" s="20" t="n">
        <f aca="false">IF(AND(H_Direct=0,H_TaxEvt=1,ASS80+1&gt;=H_Deemed),ALS81,AIF81)</f>
        <v>0</v>
      </c>
      <c r="APG81" s="20" t="n">
        <f aca="false">IF(AND(H_Direct=0,H_TaxEvt=1,AST80+1&gt;=H_Deemed),ALT81,AIG81)</f>
        <v>0</v>
      </c>
      <c r="APH81" s="20" t="n">
        <f aca="false">IF(AND(H_Direct=0,H_TaxEvt=1,ASU80+1&gt;=H_Deemed),ALU81,AIH81)</f>
        <v>0</v>
      </c>
      <c r="API81" s="20" t="n">
        <f aca="false">IF(AND(H_Direct=0,H_TaxEvt=1,ASV80+1&gt;=H_Deemed),ALV81,AII81)</f>
        <v>0</v>
      </c>
      <c r="APJ81" s="20" t="n">
        <f aca="false">IF(AND(H_Direct=0,H_TaxEvt=1,ASW80+1&gt;=H_Deemed),ALW81,AIJ81)</f>
        <v>0</v>
      </c>
      <c r="APK81" s="20" t="n">
        <f aca="false">IF(AND(H_Direct=0,H_TaxEvt=1,ASX80+1&gt;=H_Deemed),ALX81,AIK81)</f>
        <v>0</v>
      </c>
      <c r="APL81" s="20" t="n">
        <f aca="false">IF(AND(H_Direct=0,H_TaxEvt=1,ASY80+1&gt;=H_Deemed),ALY81,AIL81)</f>
        <v>0</v>
      </c>
      <c r="APM81" s="20" t="n">
        <f aca="false">IF(AND(H_Direct=0,H_TaxEvt=1,ASZ80+1&gt;=H_Deemed),ALZ81,AIM81)</f>
        <v>0</v>
      </c>
      <c r="APN81" s="20" t="n">
        <f aca="false">IF(AND(H_Direct=0,H_TaxEvt=1,ATA80+1&gt;=H_Deemed),AMA81,AIN81)</f>
        <v>0</v>
      </c>
      <c r="APO81" s="20" t="n">
        <f aca="false">IF(AND(H_Direct=0,H_TaxEvt=1,ATB80+1&gt;=H_Deemed),AMB81,AIO81)</f>
        <v>0</v>
      </c>
      <c r="APP81" s="20" t="n">
        <f aca="false">IF(AND(H_Direct=0,H_TaxEvt=1,ATC80+1&gt;=H_Deemed),AMC81,AIP81)</f>
        <v>0</v>
      </c>
      <c r="APQ81" s="20" t="n">
        <f aca="false">IF(AND(H_Direct=0,H_TaxEvt=1,ATD80+1&gt;=H_Deemed),AMD81,AIQ81)</f>
        <v>0</v>
      </c>
      <c r="APR81" s="20" t="n">
        <f aca="false">IF(AND(H_Direct=0,H_TaxEvt=1,ATE80+1&gt;=H_Deemed),AME81,AIR81)</f>
        <v>0</v>
      </c>
      <c r="APS81" s="20" t="n">
        <f aca="false">IF(AND(H_Direct=0,H_TaxEvt=1,ATF80+1&gt;=H_Deemed),AMF81,AIS81)</f>
        <v>0</v>
      </c>
      <c r="APT81" s="20" t="n">
        <f aca="false">IF(AND(H_Direct=0,H_TaxEvt=1,ATG80+1&gt;=H_Deemed),AMG81,AIT81)</f>
        <v>0</v>
      </c>
      <c r="APU81" s="20" t="n">
        <f aca="false">IF(AND(H_Direct=0,H_TaxEvt=1,ATH80+1&gt;=H_Deemed),AMH81,AIU81)</f>
        <v>0</v>
      </c>
      <c r="APV81" s="20" t="n">
        <f aca="false">IF(AND(H_Direct=0,H_TaxEvt=1,ATI80+1&gt;=H_Deemed),AMI81,AIV81)</f>
        <v>0</v>
      </c>
      <c r="APW81" s="20" t="n">
        <f aca="false">IF(AND(H_Direct=0,H_TaxEvt=1,ATJ80+1&gt;=H_Deemed),AMJ81,AIW81)</f>
        <v>0</v>
      </c>
      <c r="APX81" s="20" t="n">
        <f aca="false">IF(AND(H_Direct=0,H_TaxEvt=1,ATK80+1&gt;=H_Deemed),AMK81,AIX81)</f>
        <v>0</v>
      </c>
      <c r="APY81" s="20" t="n">
        <f aca="false">IF(AND(H_Direct=0,H_TaxEvt=1,ATL80+1&gt;=H_Deemed),AML81,AIY81)</f>
        <v>0</v>
      </c>
      <c r="APZ81" s="20" t="n">
        <f aca="false">IF(AND(H_Direct=0,H_TaxEvt=1,ATM80+1&gt;=H_Deemed),AMM81,AIZ81)</f>
        <v>0</v>
      </c>
      <c r="AQA81" s="20" t="n">
        <f aca="false">IF(AND(H_Direct=0,H_TaxEvt=1,ATN80+1&gt;=H_Deemed),AMN81,AJA81)</f>
        <v>0</v>
      </c>
      <c r="AQB81" s="20" t="n">
        <f aca="false">IF(AND(H_Direct=0,H_TaxEvt=1,ATO80+1&gt;=H_Deemed),AMO81,AJB81)</f>
        <v>0</v>
      </c>
      <c r="AQC81" s="20" t="n">
        <f aca="false">IF(AND(H_Direct=0,H_TaxEvt=1,ATP80+1&gt;=H_Deemed),AMP81,AJC81)</f>
        <v>0</v>
      </c>
      <c r="AQD81" s="20" t="n">
        <f aca="false">IF(AND(H_Direct=0,H_TaxEvt=1,ATQ80+1&gt;=H_Deemed),AMQ81,AJD81)</f>
        <v>0</v>
      </c>
      <c r="AQE81" s="20" t="n">
        <f aca="false">IF(AND(H_Direct=0,H_TaxEvt=1,ATR80+1&gt;=H_Deemed),AMR81,AJE81)</f>
        <v>0</v>
      </c>
      <c r="AQF81" s="20" t="n">
        <f aca="false">IF(AND(H_Direct=0,H_TaxEvt=1,ATS80+1&gt;=H_Deemed),AMS81,AJF81)</f>
        <v>0</v>
      </c>
      <c r="AQG81" s="20" t="n">
        <f aca="false">IF(AND(H_Direct=0,H_TaxEvt=1,ATT80+1&gt;=H_Deemed),AMT81,AJG81)</f>
        <v>0</v>
      </c>
      <c r="AQH81" s="20" t="n">
        <f aca="false">IF(AND(H_Direct=0,H_TaxEvt=1,ATU80+1&gt;=H_Deemed),AMU81,AJH81)</f>
        <v>0</v>
      </c>
      <c r="AQI81" s="20" t="n">
        <f aca="false">IF(AND(H_Direct=0,H_TaxEvt=1,ATV80+1&gt;=H_Deemed),AMV81,AJI81)</f>
        <v>0</v>
      </c>
      <c r="AQJ81" s="20" t="n">
        <f aca="false">IF(AND(H_Direct=0,H_TaxEvt=1,ATW80+1&gt;=H_Deemed),AMW81,AJJ81)</f>
        <v>0</v>
      </c>
      <c r="AQK81" s="20" t="n">
        <f aca="false">IF(AND(H_Direct=0,H_TaxEvt=1,ATX80+1&gt;=H_Deemed),AMX81,AJK81)</f>
        <v>0</v>
      </c>
      <c r="AQL81" s="20" t="n">
        <f aca="false">IF(AND(H_Direct=0,H_TaxEvt=1,ATY80+1&gt;=H_Deemed),AMY81,AJL81)</f>
        <v>0</v>
      </c>
      <c r="AQM81" s="20" t="n">
        <f aca="false">IF(AND(H_Direct=0,H_TaxEvt=1,ATZ80+1&gt;=H_Deemed),AMZ81,AJM81)</f>
        <v>0</v>
      </c>
      <c r="AQN81" s="20" t="n">
        <f aca="false">IF(AND(H_Direct=0,H_TaxEvt=1,AUA80+1&gt;=H_Deemed),ANA81,AJN81)</f>
        <v>0</v>
      </c>
      <c r="AQO81" s="20" t="n">
        <f aca="false">IF(AND(H_Direct=0,H_TaxEvt=1,AUB80+1&gt;=H_Deemed),ANB81,AJO81)</f>
        <v>0</v>
      </c>
      <c r="AQP81" s="20" t="n">
        <f aca="false">IF(AND(H_Direct=0,H_TaxEvt=1,AUC80+1&gt;=H_Deemed),ANC81,AJP81)</f>
        <v>0</v>
      </c>
      <c r="AQQ81" s="20" t="n">
        <f aca="false">IF(AND(H_Direct=0,H_TaxEvt=1,AUD80+1&gt;=H_Deemed),AND81,AJQ81)</f>
        <v>0</v>
      </c>
      <c r="AQR81" s="20" t="n">
        <f aca="false">IF(AND(H_Direct=0,H_TaxEvt=1,AUE80+1&gt;=H_Deemed),ANE81,AJR81)</f>
        <v>0</v>
      </c>
      <c r="AQS81" s="20" t="n">
        <f aca="false">IF(AND(H_Direct=0,H_TaxEvt=1,AUF80+1&gt;=H_Deemed),ANF81,AJS81)</f>
        <v>0</v>
      </c>
      <c r="AQT81" s="20" t="n">
        <f aca="false">IF(AND(H_Direct=0,H_TaxEvt=1,AUG80+1&gt;=H_Deemed),ANG81,AJT81)</f>
        <v>0</v>
      </c>
      <c r="AQU81" s="20" t="n">
        <f aca="false">IF(AND(H_Direct=0,H_TaxEvt=1,AUH80+1&gt;=H_Deemed),ANH81,AJU81)</f>
        <v>0</v>
      </c>
      <c r="AQV81" s="20" t="n">
        <f aca="false">IF(AND(H_Direct=0,H_TaxEvt=1,AUI80+1&gt;=H_Deemed),ANI81,AJV81)</f>
        <v>0</v>
      </c>
      <c r="AQW81" s="20" t="n">
        <f aca="false">IF(AND(H_Direct=0,H_TaxEvt=1,AUJ80+1&gt;=H_Deemed),ANJ81,AJW81)</f>
        <v>0</v>
      </c>
      <c r="AQX81" s="20" t="n">
        <f aca="false">IF(AND(H_Direct=0,H_TaxEvt=1,AUK80+1&gt;=H_Deemed),ANK81,AJX81)</f>
        <v>0</v>
      </c>
      <c r="AQY81" s="20" t="n">
        <f aca="false">IF(AND(H_Direct=0,H_TaxEvt=1,AUL80+1&gt;=H_Deemed),ANL81,AJY81)</f>
        <v>0</v>
      </c>
      <c r="AQZ81" s="20" t="n">
        <f aca="false">IF(AND(H_Direct=0,H_TaxEvt=1,AUM80+1&gt;=H_Deemed),ANM81,AJZ81)</f>
        <v>0</v>
      </c>
      <c r="ARA81" s="20" t="n">
        <f aca="false">IF(AND(H_Direct=0,H_TaxEvt=1,0+1&gt;=H_Deemed),ANN81,AKA81)</f>
        <v>0</v>
      </c>
      <c r="ARB81" s="20" t="n">
        <v>0</v>
      </c>
      <c r="ARC81" s="20" t="n">
        <v>0</v>
      </c>
      <c r="ARD81" s="20" t="n">
        <v>0</v>
      </c>
      <c r="ARE81" s="20" t="n">
        <v>0</v>
      </c>
      <c r="ARF81" s="20" t="n">
        <v>0</v>
      </c>
      <c r="ARG81" s="20" t="n">
        <v>0</v>
      </c>
      <c r="ARH81" s="20" t="n">
        <v>0</v>
      </c>
      <c r="ARI81" s="20" t="n">
        <v>0</v>
      </c>
      <c r="ARJ81" s="20" t="n">
        <v>0</v>
      </c>
      <c r="ARK81" s="20" t="n">
        <v>0</v>
      </c>
      <c r="ARL81" s="20" t="n">
        <v>0</v>
      </c>
      <c r="ARM81" s="20" t="n">
        <v>0</v>
      </c>
      <c r="ARN81" s="20" t="n">
        <v>0</v>
      </c>
      <c r="ARO81" s="20" t="n">
        <v>0</v>
      </c>
      <c r="ARP81" s="20" t="n">
        <v>0</v>
      </c>
      <c r="ARQ81" s="20" t="n">
        <v>0</v>
      </c>
      <c r="ARR81" s="20" t="n">
        <f aca="false">IF(AND(H_Direct=0,H_TaxEvt=1),IF(ARR80+1&gt;=H_Deemed,0,ARR80+1),ARR80)</f>
        <v>2</v>
      </c>
      <c r="ARS81" s="20" t="n">
        <f aca="false">IF(AND(H_Direct=0,H_TaxEvt=1),IF(ARS80+1&gt;=H_Deemed,0,ARS80+1),ARS80)</f>
        <v>2</v>
      </c>
      <c r="ART81" s="20" t="n">
        <f aca="false">IF(AND(H_Direct=0,H_TaxEvt=1),IF(ART80+1&gt;=H_Deemed,0,ART80+1),ART80)</f>
        <v>1</v>
      </c>
      <c r="ARU81" s="20" t="n">
        <f aca="false">IF(AND(H_Direct=0,H_TaxEvt=1),IF(ARU80+1&gt;=H_Deemed,0,ARU80+1),ARU80)</f>
        <v>0</v>
      </c>
      <c r="ARV81" s="20" t="n">
        <f aca="false">IF(AND(H_Direct=0,H_TaxEvt=1),IF(ARV80+1&gt;=H_Deemed,0,ARV80+1),ARV80)</f>
        <v>7</v>
      </c>
      <c r="ARW81" s="20" t="n">
        <f aca="false">IF(AND(H_Direct=0,H_TaxEvt=1),IF(ARW80+1&gt;=H_Deemed,0,ARW80+1),ARW80)</f>
        <v>6</v>
      </c>
      <c r="ARX81" s="20" t="n">
        <f aca="false">IF(AND(H_Direct=0,H_TaxEvt=1),IF(ARX80+1&gt;=H_Deemed,0,ARX80+1),ARX80)</f>
        <v>5</v>
      </c>
      <c r="ARY81" s="20" t="n">
        <f aca="false">IF(AND(H_Direct=0,H_TaxEvt=1),IF(ARY80+1&gt;=H_Deemed,0,ARY80+1),ARY80)</f>
        <v>4</v>
      </c>
      <c r="ARZ81" s="20" t="n">
        <f aca="false">IF(AND(H_Direct=0,H_TaxEvt=1),IF(ARZ80+1&gt;=H_Deemed,0,ARZ80+1),ARZ80)</f>
        <v>3</v>
      </c>
      <c r="ASA81" s="20" t="n">
        <f aca="false">IF(AND(H_Direct=0,H_TaxEvt=1),IF(ASA80+1&gt;=H_Deemed,0,ASA80+1),ASA80)</f>
        <v>2</v>
      </c>
      <c r="ASB81" s="20" t="n">
        <f aca="false">IF(AND(H_Direct=0,H_TaxEvt=1),IF(ASB80+1&gt;=H_Deemed,0,ASB80+1),ASB80)</f>
        <v>1</v>
      </c>
      <c r="ASC81" s="20" t="n">
        <f aca="false">IF(AND(H_Direct=0,H_TaxEvt=1),IF(ASC80+1&gt;=H_Deemed,0,ASC80+1),ASC80)</f>
        <v>0</v>
      </c>
      <c r="ASD81" s="20" t="n">
        <f aca="false">IF(AND(H_Direct=0,H_TaxEvt=1),IF(ASD80+1&gt;=H_Deemed,0,ASD80+1),ASD80)</f>
        <v>7</v>
      </c>
      <c r="ASE81" s="20" t="n">
        <f aca="false">IF(AND(H_Direct=0,H_TaxEvt=1),IF(ASE80+1&gt;=H_Deemed,0,ASE80+1),ASE80)</f>
        <v>6</v>
      </c>
      <c r="ASF81" s="20" t="n">
        <f aca="false">IF(AND(H_Direct=0,H_TaxEvt=1),IF(ASF80+1&gt;=H_Deemed,0,ASF80+1),ASF80)</f>
        <v>5</v>
      </c>
      <c r="ASG81" s="20" t="n">
        <f aca="false">IF(AND(H_Direct=0,H_TaxEvt=1),IF(ASG80+1&gt;=H_Deemed,0,ASG80+1),ASG80)</f>
        <v>4</v>
      </c>
      <c r="ASH81" s="20" t="n">
        <f aca="false">IF(AND(H_Direct=0,H_TaxEvt=1),IF(ASH80+1&gt;=H_Deemed,0,ASH80+1),ASH80)</f>
        <v>3</v>
      </c>
      <c r="ASI81" s="20" t="n">
        <f aca="false">IF(AND(H_Direct=0,H_TaxEvt=1),IF(ASI80+1&gt;=H_Deemed,0,ASI80+1),ASI80)</f>
        <v>2</v>
      </c>
      <c r="ASJ81" s="20" t="n">
        <f aca="false">IF(AND(H_Direct=0,H_TaxEvt=1),IF(ASJ80+1&gt;=H_Deemed,0,ASJ80+1),ASJ80)</f>
        <v>1</v>
      </c>
      <c r="ASK81" s="20" t="n">
        <f aca="false">IF(AND(H_Direct=0,H_TaxEvt=1),IF(ASK80+1&gt;=H_Deemed,0,ASK80+1),ASK80)</f>
        <v>0</v>
      </c>
      <c r="ASL81" s="20" t="n">
        <f aca="false">IF(AND(H_Direct=0,H_TaxEvt=1),IF(ASL80+1&gt;=H_Deemed,0,ASL80+1),ASL80)</f>
        <v>7</v>
      </c>
      <c r="ASM81" s="20" t="n">
        <f aca="false">IF(AND(H_Direct=0,H_TaxEvt=1),IF(ASM80+1&gt;=H_Deemed,0,ASM80+1),ASM80)</f>
        <v>6</v>
      </c>
      <c r="ASN81" s="20" t="n">
        <f aca="false">IF(AND(H_Direct=0,H_TaxEvt=1),IF(ASN80+1&gt;=H_Deemed,0,ASN80+1),ASN80)</f>
        <v>5</v>
      </c>
      <c r="ASO81" s="20" t="n">
        <f aca="false">IF(AND(H_Direct=0,H_TaxEvt=1),IF(ASO80+1&gt;=H_Deemed,0,ASO80+1),ASO80)</f>
        <v>4</v>
      </c>
      <c r="ASP81" s="20" t="n">
        <f aca="false">IF(AND(H_Direct=0,H_TaxEvt=1),IF(ASP80+1&gt;=H_Deemed,0,ASP80+1),ASP80)</f>
        <v>3</v>
      </c>
      <c r="ASQ81" s="20" t="n">
        <f aca="false">IF(AND(H_Direct=0,H_TaxEvt=1),IF(ASQ80+1&gt;=H_Deemed,0,ASQ80+1),ASQ80)</f>
        <v>2</v>
      </c>
      <c r="ASR81" s="20" t="n">
        <f aca="false">IF(AND(H_Direct=0,H_TaxEvt=1),IF(ASR80+1&gt;=H_Deemed,0,ASR80+1),ASR80)</f>
        <v>1</v>
      </c>
      <c r="ASS81" s="20" t="n">
        <f aca="false">IF(AND(H_Direct=0,H_TaxEvt=1),IF(ASS80+1&gt;=H_Deemed,0,ASS80+1),ASS80)</f>
        <v>0</v>
      </c>
      <c r="AST81" s="20" t="n">
        <f aca="false">IF(AND(H_Direct=0,H_TaxEvt=1),IF(AST80+1&gt;=H_Deemed,0,AST80+1),AST80)</f>
        <v>7</v>
      </c>
      <c r="ASU81" s="20" t="n">
        <f aca="false">IF(AND(H_Direct=0,H_TaxEvt=1),IF(ASU80+1&gt;=H_Deemed,0,ASU80+1),ASU80)</f>
        <v>6</v>
      </c>
      <c r="ASV81" s="20" t="n">
        <f aca="false">IF(AND(H_Direct=0,H_TaxEvt=1),IF(ASV80+1&gt;=H_Deemed,0,ASV80+1),ASV80)</f>
        <v>5</v>
      </c>
      <c r="ASW81" s="20" t="n">
        <f aca="false">IF(AND(H_Direct=0,H_TaxEvt=1),IF(ASW80+1&gt;=H_Deemed,0,ASW80+1),ASW80)</f>
        <v>4</v>
      </c>
      <c r="ASX81" s="20" t="n">
        <f aca="false">IF(AND(H_Direct=0,H_TaxEvt=1),IF(ASX80+1&gt;=H_Deemed,0,ASX80+1),ASX80)</f>
        <v>3</v>
      </c>
      <c r="ASY81" s="20" t="n">
        <f aca="false">IF(AND(H_Direct=0,H_TaxEvt=1),IF(ASY80+1&gt;=H_Deemed,0,ASY80+1),ASY80)</f>
        <v>2</v>
      </c>
      <c r="ASZ81" s="20" t="n">
        <f aca="false">IF(AND(H_Direct=0,H_TaxEvt=1),IF(ASZ80+1&gt;=H_Deemed,0,ASZ80+1),ASZ80)</f>
        <v>1</v>
      </c>
      <c r="ATA81" s="20" t="n">
        <f aca="false">IF(AND(H_Direct=0,H_TaxEvt=1),IF(ATA80+1&gt;=H_Deemed,0,ATA80+1),ATA80)</f>
        <v>0</v>
      </c>
      <c r="ATB81" s="20" t="n">
        <f aca="false">IF(AND(H_Direct=0,H_TaxEvt=1),IF(ATB80+1&gt;=H_Deemed,0,ATB80+1),ATB80)</f>
        <v>7</v>
      </c>
      <c r="ATC81" s="20" t="n">
        <f aca="false">IF(AND(H_Direct=0,H_TaxEvt=1),IF(ATC80+1&gt;=H_Deemed,0,ATC80+1),ATC80)</f>
        <v>6</v>
      </c>
      <c r="ATD81" s="20" t="n">
        <f aca="false">IF(AND(H_Direct=0,H_TaxEvt=1),IF(ATD80+1&gt;=H_Deemed,0,ATD80+1),ATD80)</f>
        <v>5</v>
      </c>
      <c r="ATE81" s="20" t="n">
        <f aca="false">IF(AND(H_Direct=0,H_TaxEvt=1),IF(ATE80+1&gt;=H_Deemed,0,ATE80+1),ATE80)</f>
        <v>4</v>
      </c>
      <c r="ATF81" s="20" t="n">
        <f aca="false">IF(AND(H_Direct=0,H_TaxEvt=1),IF(ATF80+1&gt;=H_Deemed,0,ATF80+1),ATF80)</f>
        <v>3</v>
      </c>
      <c r="ATG81" s="20" t="n">
        <f aca="false">IF(AND(H_Direct=0,H_TaxEvt=1),IF(ATG80+1&gt;=H_Deemed,0,ATG80+1),ATG80)</f>
        <v>2</v>
      </c>
      <c r="ATH81" s="20" t="n">
        <f aca="false">IF(AND(H_Direct=0,H_TaxEvt=1),IF(ATH80+1&gt;=H_Deemed,0,ATH80+1),ATH80)</f>
        <v>1</v>
      </c>
      <c r="ATI81" s="20" t="n">
        <f aca="false">IF(AND(H_Direct=0,H_TaxEvt=1),IF(ATI80+1&gt;=H_Deemed,0,ATI80+1),ATI80)</f>
        <v>0</v>
      </c>
      <c r="ATJ81" s="20" t="n">
        <f aca="false">IF(AND(H_Direct=0,H_TaxEvt=1),IF(ATJ80+1&gt;=H_Deemed,0,ATJ80+1),ATJ80)</f>
        <v>7</v>
      </c>
      <c r="ATK81" s="20" t="n">
        <f aca="false">IF(AND(H_Direct=0,H_TaxEvt=1),IF(ATK80+1&gt;=H_Deemed,0,ATK80+1),ATK80)</f>
        <v>6</v>
      </c>
      <c r="ATL81" s="20" t="n">
        <f aca="false">IF(AND(H_Direct=0,H_TaxEvt=1),IF(ATL80+1&gt;=H_Deemed,0,ATL80+1),ATL80)</f>
        <v>5</v>
      </c>
      <c r="ATM81" s="20" t="n">
        <f aca="false">IF(AND(H_Direct=0,H_TaxEvt=1),IF(ATM80+1&gt;=H_Deemed,0,ATM80+1),ATM80)</f>
        <v>4</v>
      </c>
      <c r="ATN81" s="20" t="n">
        <f aca="false">IF(AND(H_Direct=0,H_TaxEvt=1),IF(ATN80+1&gt;=H_Deemed,0,ATN80+1),ATN80)</f>
        <v>3</v>
      </c>
      <c r="ATO81" s="20" t="n">
        <f aca="false">IF(AND(H_Direct=0,H_TaxEvt=1),IF(ATO80+1&gt;=H_Deemed,0,ATO80+1),ATO80)</f>
        <v>2</v>
      </c>
      <c r="ATP81" s="20" t="n">
        <f aca="false">IF(AND(H_Direct=0,H_TaxEvt=1),IF(ATP80+1&gt;=H_Deemed,0,ATP80+1),ATP80)</f>
        <v>1</v>
      </c>
      <c r="ATQ81" s="20" t="n">
        <f aca="false">IF(AND(H_Direct=0,H_TaxEvt=1),IF(ATQ80+1&gt;=H_Deemed,0,ATQ80+1),ATQ80)</f>
        <v>0</v>
      </c>
      <c r="ATR81" s="20" t="n">
        <f aca="false">IF(AND(H_Direct=0,H_TaxEvt=1),IF(ATR80+1&gt;=H_Deemed,0,ATR80+1),ATR80)</f>
        <v>7</v>
      </c>
      <c r="ATS81" s="20" t="n">
        <f aca="false">IF(AND(H_Direct=0,H_TaxEvt=1),IF(ATS80+1&gt;=H_Deemed,0,ATS80+1),ATS80)</f>
        <v>6</v>
      </c>
      <c r="ATT81" s="20" t="n">
        <f aca="false">IF(AND(H_Direct=0,H_TaxEvt=1),IF(ATT80+1&gt;=H_Deemed,0,ATT80+1),ATT80)</f>
        <v>5</v>
      </c>
      <c r="ATU81" s="20" t="n">
        <f aca="false">IF(AND(H_Direct=0,H_TaxEvt=1),IF(ATU80+1&gt;=H_Deemed,0,ATU80+1),ATU80)</f>
        <v>4</v>
      </c>
      <c r="ATV81" s="20" t="n">
        <f aca="false">IF(AND(H_Direct=0,H_TaxEvt=1),IF(ATV80+1&gt;=H_Deemed,0,ATV80+1),ATV80)</f>
        <v>3</v>
      </c>
      <c r="ATW81" s="20" t="n">
        <f aca="false">IF(AND(H_Direct=0,H_TaxEvt=1),IF(ATW80+1&gt;=H_Deemed,0,ATW80+1),ATW80)</f>
        <v>2</v>
      </c>
      <c r="ATX81" s="20" t="n">
        <f aca="false">IF(AND(H_Direct=0,H_TaxEvt=1),IF(ATX80+1&gt;=H_Deemed,0,ATX80+1),ATX80)</f>
        <v>1</v>
      </c>
      <c r="ATY81" s="20" t="n">
        <f aca="false">IF(AND(H_Direct=0,H_TaxEvt=1),IF(ATY80+1&gt;=H_Deemed,0,ATY80+1),ATY80)</f>
        <v>0</v>
      </c>
      <c r="ATZ81" s="20" t="n">
        <f aca="false">IF(AND(H_Direct=0,H_TaxEvt=1),IF(ATZ80+1&gt;=H_Deemed,0,ATZ80+1),ATZ80)</f>
        <v>7</v>
      </c>
      <c r="AUA81" s="20" t="n">
        <f aca="false">IF(AND(H_Direct=0,H_TaxEvt=1),IF(AUA80+1&gt;=H_Deemed,0,AUA80+1),AUA80)</f>
        <v>6</v>
      </c>
      <c r="AUB81" s="20" t="n">
        <f aca="false">IF(AND(H_Direct=0,H_TaxEvt=1),IF(AUB80+1&gt;=H_Deemed,0,AUB80+1),AUB80)</f>
        <v>5</v>
      </c>
      <c r="AUC81" s="20" t="n">
        <f aca="false">IF(AND(H_Direct=0,H_TaxEvt=1),IF(AUC80+1&gt;=H_Deemed,0,AUC80+1),AUC80)</f>
        <v>4</v>
      </c>
      <c r="AUD81" s="20" t="n">
        <f aca="false">IF(AND(H_Direct=0,H_TaxEvt=1),IF(AUD80+1&gt;=H_Deemed,0,AUD80+1),AUD80)</f>
        <v>3</v>
      </c>
      <c r="AUE81" s="20" t="n">
        <f aca="false">IF(AND(H_Direct=0,H_TaxEvt=1),IF(AUE80+1&gt;=H_Deemed,0,AUE80+1),AUE80)</f>
        <v>2</v>
      </c>
      <c r="AUF81" s="20" t="n">
        <f aca="false">IF(AND(H_Direct=0,H_TaxEvt=1),IF(AUF80+1&gt;=H_Deemed,0,AUF80+1),AUF80)</f>
        <v>1</v>
      </c>
      <c r="AUG81" s="20" t="n">
        <f aca="false">IF(AND(H_Direct=0,H_TaxEvt=1),IF(AUG80+1&gt;=H_Deemed,0,AUG80+1),AUG80)</f>
        <v>0</v>
      </c>
      <c r="AUH81" s="20" t="n">
        <f aca="false">IF(AND(H_Direct=0,H_TaxEvt=1),IF(AUH80+1&gt;=H_Deemed,0,AUH80+1),AUH80)</f>
        <v>7</v>
      </c>
      <c r="AUI81" s="20" t="n">
        <f aca="false">IF(AND(H_Direct=0,H_TaxEvt=1),IF(AUI80+1&gt;=H_Deemed,0,AUI80+1),AUI80)</f>
        <v>6</v>
      </c>
      <c r="AUJ81" s="20" t="n">
        <f aca="false">IF(AND(H_Direct=0,H_TaxEvt=1),IF(AUJ80+1&gt;=H_Deemed,0,AUJ80+1),AUJ80)</f>
        <v>5</v>
      </c>
      <c r="AUK81" s="20" t="n">
        <f aca="false">IF(AND(H_Direct=0,H_TaxEvt=1),IF(AUK80+1&gt;=H_Deemed,0,AUK80+1),AUK80)</f>
        <v>4</v>
      </c>
      <c r="AUL81" s="20" t="n">
        <f aca="false">IF(AND(H_Direct=0,H_TaxEvt=1),IF(AUL80+1&gt;=H_Deemed,0,AUL80+1),AUL80)</f>
        <v>3</v>
      </c>
      <c r="AUM81" s="20" t="n">
        <f aca="false">IF(AND(H_Direct=0,H_TaxEvt=1),IF(AUM80+1&gt;=H_Deemed,0,AUM80+1),AUM80)</f>
        <v>2</v>
      </c>
      <c r="AUN81" s="20" t="n">
        <f aca="false">IF(AND(H_Direct=0,H_TaxEvt=1),IF(0+1&gt;=H_Deemed,0,0+1),0)</f>
        <v>1</v>
      </c>
      <c r="AUO81" s="20" t="n">
        <v>0</v>
      </c>
      <c r="AUP81" s="20" t="n">
        <v>0</v>
      </c>
      <c r="AUQ81" s="20" t="n">
        <v>0</v>
      </c>
      <c r="AUR81" s="20" t="n">
        <v>0</v>
      </c>
      <c r="AUS81" s="20" t="n">
        <v>0</v>
      </c>
      <c r="AUT81" s="20" t="n">
        <v>0</v>
      </c>
      <c r="AUU81" s="20" t="n">
        <v>0</v>
      </c>
      <c r="AUV81" s="20" t="n">
        <v>0</v>
      </c>
      <c r="AUW81" s="20" t="n">
        <v>0</v>
      </c>
      <c r="AUX81" s="20" t="n">
        <v>0</v>
      </c>
      <c r="AUY81" s="20" t="n">
        <v>0</v>
      </c>
      <c r="AUZ81" s="20" t="n">
        <v>0</v>
      </c>
      <c r="AVA81" s="20" t="n">
        <v>0</v>
      </c>
      <c r="AVB81" s="20" t="n">
        <v>0</v>
      </c>
      <c r="AVC81" s="20" t="n">
        <v>0</v>
      </c>
      <c r="AVD81" s="20" t="n">
        <v>0</v>
      </c>
      <c r="AVE81" s="20" t="n">
        <f aca="false">IF(AND(H_Direct=0,H_TaxEvt=1,ARR80+1&gt;=H_Deemed),MAX(0,ADR81-AHE81)*H_Exit,0)</f>
        <v>0</v>
      </c>
      <c r="AVF81" s="20" t="n">
        <f aca="false">IF(AND(H_Direct=0,H_TaxEvt=1,ARS80+1&gt;=H_Deemed),MAX(0,ADS81-AHF81)*H_Exit,0)</f>
        <v>0</v>
      </c>
      <c r="AVG81" s="20" t="n">
        <f aca="false">IF(AND(H_Direct=0,H_TaxEvt=1,ART80+1&gt;=H_Deemed),MAX(0,ADT81-AHG81)*H_Exit,0)</f>
        <v>0</v>
      </c>
      <c r="AVH81" s="20" t="n">
        <f aca="false">IF(AND(H_Direct=0,H_TaxEvt=1,ARU80+1&gt;=H_Deemed),MAX(0,ADU81-AHH81)*H_Exit,0)</f>
        <v>0</v>
      </c>
      <c r="AVI81" s="20" t="n">
        <f aca="false">IF(AND(H_Direct=0,H_TaxEvt=1,ARV80+1&gt;=H_Deemed),MAX(0,ADV81-AHI81)*H_Exit,0)</f>
        <v>0</v>
      </c>
      <c r="AVJ81" s="20" t="n">
        <f aca="false">IF(AND(H_Direct=0,H_TaxEvt=1,ARW80+1&gt;=H_Deemed),MAX(0,ADW81-AHJ81)*H_Exit,0)</f>
        <v>0</v>
      </c>
      <c r="AVK81" s="20" t="n">
        <f aca="false">IF(AND(H_Direct=0,H_TaxEvt=1,ARX80+1&gt;=H_Deemed),MAX(0,ADX81-AHK81)*H_Exit,0)</f>
        <v>0</v>
      </c>
      <c r="AVL81" s="20" t="n">
        <f aca="false">IF(AND(H_Direct=0,H_TaxEvt=1,ARY80+1&gt;=H_Deemed),MAX(0,ADY81-AHL81)*H_Exit,0)</f>
        <v>0</v>
      </c>
      <c r="AVM81" s="20" t="n">
        <f aca="false">IF(AND(H_Direct=0,H_TaxEvt=1,ARZ80+1&gt;=H_Deemed),MAX(0,ADZ81-AHM81)*H_Exit,0)</f>
        <v>0</v>
      </c>
      <c r="AVN81" s="20" t="n">
        <f aca="false">IF(AND(H_Direct=0,H_TaxEvt=1,ASA80+1&gt;=H_Deemed),MAX(0,AEA81-AHN81)*H_Exit,0)</f>
        <v>0</v>
      </c>
      <c r="AVO81" s="20" t="n">
        <f aca="false">IF(AND(H_Direct=0,H_TaxEvt=1,ASB80+1&gt;=H_Deemed),MAX(0,AEB81-AHO81)*H_Exit,0)</f>
        <v>0</v>
      </c>
      <c r="AVP81" s="20" t="n">
        <f aca="false">IF(AND(H_Direct=0,H_TaxEvt=1,ASC80+1&gt;=H_Deemed),MAX(0,AEC81-AHP81)*H_Exit,0)</f>
        <v>0</v>
      </c>
      <c r="AVQ81" s="20" t="n">
        <f aca="false">IF(AND(H_Direct=0,H_TaxEvt=1,ASD80+1&gt;=H_Deemed),MAX(0,AED81-AHQ81)*H_Exit,0)</f>
        <v>0</v>
      </c>
      <c r="AVR81" s="20" t="n">
        <f aca="false">IF(AND(H_Direct=0,H_TaxEvt=1,ASE80+1&gt;=H_Deemed),MAX(0,AEE81-AHR81)*H_Exit,0)</f>
        <v>0</v>
      </c>
      <c r="AVS81" s="20" t="n">
        <f aca="false">IF(AND(H_Direct=0,H_TaxEvt=1,ASF80+1&gt;=H_Deemed),MAX(0,AEF81-AHS81)*H_Exit,0)</f>
        <v>0</v>
      </c>
      <c r="AVT81" s="20" t="n">
        <f aca="false">IF(AND(H_Direct=0,H_TaxEvt=1,ASG80+1&gt;=H_Deemed),MAX(0,AEG81-AHT81)*H_Exit,0)</f>
        <v>0</v>
      </c>
      <c r="AVU81" s="20" t="n">
        <f aca="false">IF(AND(H_Direct=0,H_TaxEvt=1,ASH80+1&gt;=H_Deemed),MAX(0,AEH81-AHU81)*H_Exit,0)</f>
        <v>0</v>
      </c>
      <c r="AVV81" s="20" t="n">
        <f aca="false">IF(AND(H_Direct=0,H_TaxEvt=1,ASI80+1&gt;=H_Deemed),MAX(0,AEI81-AHV81)*H_Exit,0)</f>
        <v>0</v>
      </c>
      <c r="AVW81" s="20" t="n">
        <f aca="false">IF(AND(H_Direct=0,H_TaxEvt=1,ASJ80+1&gt;=H_Deemed),MAX(0,AEJ81-AHW81)*H_Exit,0)</f>
        <v>0</v>
      </c>
      <c r="AVX81" s="20" t="n">
        <f aca="false">IF(AND(H_Direct=0,H_TaxEvt=1,ASK80+1&gt;=H_Deemed),MAX(0,AEK81-AHX81)*H_Exit,0)</f>
        <v>0</v>
      </c>
      <c r="AVY81" s="20" t="n">
        <f aca="false">IF(AND(H_Direct=0,H_TaxEvt=1,ASL80+1&gt;=H_Deemed),MAX(0,AEL81-AHY81)*H_Exit,0)</f>
        <v>0</v>
      </c>
      <c r="AVZ81" s="20" t="n">
        <f aca="false">IF(AND(H_Direct=0,H_TaxEvt=1,ASM80+1&gt;=H_Deemed),MAX(0,AEM81-AHZ81)*H_Exit,0)</f>
        <v>0</v>
      </c>
      <c r="AWA81" s="20" t="n">
        <f aca="false">IF(AND(H_Direct=0,H_TaxEvt=1,ASN80+1&gt;=H_Deemed),MAX(0,AEN81-AIA81)*H_Exit,0)</f>
        <v>0</v>
      </c>
      <c r="AWB81" s="20" t="n">
        <f aca="false">IF(AND(H_Direct=0,H_TaxEvt=1,ASO80+1&gt;=H_Deemed),MAX(0,AEO81-AIB81)*H_Exit,0)</f>
        <v>0</v>
      </c>
      <c r="AWC81" s="20" t="n">
        <f aca="false">IF(AND(H_Direct=0,H_TaxEvt=1,ASP80+1&gt;=H_Deemed),MAX(0,AEP81-AIC81)*H_Exit,0)</f>
        <v>0</v>
      </c>
      <c r="AWD81" s="20" t="n">
        <f aca="false">IF(AND(H_Direct=0,H_TaxEvt=1,ASQ80+1&gt;=H_Deemed),MAX(0,AEQ81-AID81)*H_Exit,0)</f>
        <v>0</v>
      </c>
      <c r="AWE81" s="20" t="n">
        <f aca="false">IF(AND(H_Direct=0,H_TaxEvt=1,ASR80+1&gt;=H_Deemed),MAX(0,AER81-AIE81)*H_Exit,0)</f>
        <v>0</v>
      </c>
      <c r="AWF81" s="20" t="n">
        <f aca="false">IF(AND(H_Direct=0,H_TaxEvt=1,ASS80+1&gt;=H_Deemed),MAX(0,AES81-AIF81)*H_Exit,0)</f>
        <v>0</v>
      </c>
      <c r="AWG81" s="20" t="n">
        <f aca="false">IF(AND(H_Direct=0,H_TaxEvt=1,AST80+1&gt;=H_Deemed),MAX(0,AET81-AIG81)*H_Exit,0)</f>
        <v>0</v>
      </c>
      <c r="AWH81" s="20" t="n">
        <f aca="false">IF(AND(H_Direct=0,H_TaxEvt=1,ASU80+1&gt;=H_Deemed),MAX(0,AEU81-AIH81)*H_Exit,0)</f>
        <v>0</v>
      </c>
      <c r="AWI81" s="20" t="n">
        <f aca="false">IF(AND(H_Direct=0,H_TaxEvt=1,ASV80+1&gt;=H_Deemed),MAX(0,AEV81-AII81)*H_Exit,0)</f>
        <v>0</v>
      </c>
      <c r="AWJ81" s="20" t="n">
        <f aca="false">IF(AND(H_Direct=0,H_TaxEvt=1,ASW80+1&gt;=H_Deemed),MAX(0,AEW81-AIJ81)*H_Exit,0)</f>
        <v>0</v>
      </c>
      <c r="AWK81" s="20" t="n">
        <f aca="false">IF(AND(H_Direct=0,H_TaxEvt=1,ASX80+1&gt;=H_Deemed),MAX(0,AEX81-AIK81)*H_Exit,0)</f>
        <v>0</v>
      </c>
      <c r="AWL81" s="20" t="n">
        <f aca="false">IF(AND(H_Direct=0,H_TaxEvt=1,ASY80+1&gt;=H_Deemed),MAX(0,AEY81-AIL81)*H_Exit,0)</f>
        <v>0</v>
      </c>
      <c r="AWM81" s="20" t="n">
        <f aca="false">IF(AND(H_Direct=0,H_TaxEvt=1,ASZ80+1&gt;=H_Deemed),MAX(0,AEZ81-AIM81)*H_Exit,0)</f>
        <v>0</v>
      </c>
      <c r="AWN81" s="20" t="n">
        <f aca="false">IF(AND(H_Direct=0,H_TaxEvt=1,ATA80+1&gt;=H_Deemed),MAX(0,AFA81-AIN81)*H_Exit,0)</f>
        <v>0</v>
      </c>
      <c r="AWO81" s="20" t="n">
        <f aca="false">IF(AND(H_Direct=0,H_TaxEvt=1,ATB80+1&gt;=H_Deemed),MAX(0,AFB81-AIO81)*H_Exit,0)</f>
        <v>0</v>
      </c>
      <c r="AWP81" s="20" t="n">
        <f aca="false">IF(AND(H_Direct=0,H_TaxEvt=1,ATC80+1&gt;=H_Deemed),MAX(0,AFC81-AIP81)*H_Exit,0)</f>
        <v>0</v>
      </c>
      <c r="AWQ81" s="20" t="n">
        <f aca="false">IF(AND(H_Direct=0,H_TaxEvt=1,ATD80+1&gt;=H_Deemed),MAX(0,AFD81-AIQ81)*H_Exit,0)</f>
        <v>0</v>
      </c>
      <c r="AWR81" s="20" t="n">
        <f aca="false">IF(AND(H_Direct=0,H_TaxEvt=1,ATE80+1&gt;=H_Deemed),MAX(0,AFE81-AIR81)*H_Exit,0)</f>
        <v>0</v>
      </c>
      <c r="AWS81" s="20" t="n">
        <f aca="false">IF(AND(H_Direct=0,H_TaxEvt=1,ATF80+1&gt;=H_Deemed),MAX(0,AFF81-AIS81)*H_Exit,0)</f>
        <v>0</v>
      </c>
      <c r="AWT81" s="20" t="n">
        <f aca="false">IF(AND(H_Direct=0,H_TaxEvt=1,ATG80+1&gt;=H_Deemed),MAX(0,AFG81-AIT81)*H_Exit,0)</f>
        <v>0</v>
      </c>
      <c r="AWU81" s="20" t="n">
        <f aca="false">IF(AND(H_Direct=0,H_TaxEvt=1,ATH80+1&gt;=H_Deemed),MAX(0,AFH81-AIU81)*H_Exit,0)</f>
        <v>0</v>
      </c>
      <c r="AWV81" s="20" t="n">
        <f aca="false">IF(AND(H_Direct=0,H_TaxEvt=1,ATI80+1&gt;=H_Deemed),MAX(0,AFI81-AIV81)*H_Exit,0)</f>
        <v>0</v>
      </c>
      <c r="AWW81" s="20" t="n">
        <f aca="false">IF(AND(H_Direct=0,H_TaxEvt=1,ATJ80+1&gt;=H_Deemed),MAX(0,AFJ81-AIW81)*H_Exit,0)</f>
        <v>0</v>
      </c>
      <c r="AWX81" s="20" t="n">
        <f aca="false">IF(AND(H_Direct=0,H_TaxEvt=1,ATK80+1&gt;=H_Deemed),MAX(0,AFK81-AIX81)*H_Exit,0)</f>
        <v>0</v>
      </c>
      <c r="AWY81" s="20" t="n">
        <f aca="false">IF(AND(H_Direct=0,H_TaxEvt=1,ATL80+1&gt;=H_Deemed),MAX(0,AFL81-AIY81)*H_Exit,0)</f>
        <v>0</v>
      </c>
      <c r="AWZ81" s="20" t="n">
        <f aca="false">IF(AND(H_Direct=0,H_TaxEvt=1,ATM80+1&gt;=H_Deemed),MAX(0,AFM81-AIZ81)*H_Exit,0)</f>
        <v>0</v>
      </c>
      <c r="AXA81" s="20" t="n">
        <f aca="false">IF(AND(H_Direct=0,H_TaxEvt=1,ATN80+1&gt;=H_Deemed),MAX(0,AFN81-AJA81)*H_Exit,0)</f>
        <v>0</v>
      </c>
      <c r="AXB81" s="20" t="n">
        <f aca="false">IF(AND(H_Direct=0,H_TaxEvt=1,ATO80+1&gt;=H_Deemed),MAX(0,AFO81-AJB81)*H_Exit,0)</f>
        <v>0</v>
      </c>
      <c r="AXC81" s="20" t="n">
        <f aca="false">IF(AND(H_Direct=0,H_TaxEvt=1,ATP80+1&gt;=H_Deemed),MAX(0,AFP81-AJC81)*H_Exit,0)</f>
        <v>0</v>
      </c>
      <c r="AXD81" s="20" t="n">
        <f aca="false">IF(AND(H_Direct=0,H_TaxEvt=1,ATQ80+1&gt;=H_Deemed),MAX(0,AFQ81-AJD81)*H_Exit,0)</f>
        <v>0</v>
      </c>
      <c r="AXE81" s="20" t="n">
        <f aca="false">IF(AND(H_Direct=0,H_TaxEvt=1,ATR80+1&gt;=H_Deemed),MAX(0,AFR81-AJE81)*H_Exit,0)</f>
        <v>0</v>
      </c>
      <c r="AXF81" s="20" t="n">
        <f aca="false">IF(AND(H_Direct=0,H_TaxEvt=1,ATS80+1&gt;=H_Deemed),MAX(0,AFS81-AJF81)*H_Exit,0)</f>
        <v>0</v>
      </c>
      <c r="AXG81" s="20" t="n">
        <f aca="false">IF(AND(H_Direct=0,H_TaxEvt=1,ATT80+1&gt;=H_Deemed),MAX(0,AFT81-AJG81)*H_Exit,0)</f>
        <v>0</v>
      </c>
      <c r="AXH81" s="20" t="n">
        <f aca="false">IF(AND(H_Direct=0,H_TaxEvt=1,ATU80+1&gt;=H_Deemed),MAX(0,AFU81-AJH81)*H_Exit,0)</f>
        <v>0</v>
      </c>
      <c r="AXI81" s="20" t="n">
        <f aca="false">IF(AND(H_Direct=0,H_TaxEvt=1,ATV80+1&gt;=H_Deemed),MAX(0,AFV81-AJI81)*H_Exit,0)</f>
        <v>0</v>
      </c>
      <c r="AXJ81" s="20" t="n">
        <f aca="false">IF(AND(H_Direct=0,H_TaxEvt=1,ATW80+1&gt;=H_Deemed),MAX(0,AFW81-AJJ81)*H_Exit,0)</f>
        <v>0</v>
      </c>
      <c r="AXK81" s="20" t="n">
        <f aca="false">IF(AND(H_Direct=0,H_TaxEvt=1,ATX80+1&gt;=H_Deemed),MAX(0,AFX81-AJK81)*H_Exit,0)</f>
        <v>0</v>
      </c>
      <c r="AXL81" s="20" t="n">
        <f aca="false">IF(AND(H_Direct=0,H_TaxEvt=1,ATY80+1&gt;=H_Deemed),MAX(0,AFY81-AJL81)*H_Exit,0)</f>
        <v>0</v>
      </c>
      <c r="AXM81" s="20" t="n">
        <f aca="false">IF(AND(H_Direct=0,H_TaxEvt=1,ATZ80+1&gt;=H_Deemed),MAX(0,AFZ81-AJM81)*H_Exit,0)</f>
        <v>0</v>
      </c>
      <c r="AXN81" s="20" t="n">
        <f aca="false">IF(AND(H_Direct=0,H_TaxEvt=1,AUA80+1&gt;=H_Deemed),MAX(0,AGA81-AJN81)*H_Exit,0)</f>
        <v>0</v>
      </c>
      <c r="AXO81" s="20" t="n">
        <f aca="false">IF(AND(H_Direct=0,H_TaxEvt=1,AUB80+1&gt;=H_Deemed),MAX(0,AGB81-AJO81)*H_Exit,0)</f>
        <v>0</v>
      </c>
      <c r="AXP81" s="20" t="n">
        <f aca="false">IF(AND(H_Direct=0,H_TaxEvt=1,AUC80+1&gt;=H_Deemed),MAX(0,AGC81-AJP81)*H_Exit,0)</f>
        <v>0</v>
      </c>
      <c r="AXQ81" s="20" t="n">
        <f aca="false">IF(AND(H_Direct=0,H_TaxEvt=1,AUD80+1&gt;=H_Deemed),MAX(0,AGD81-AJQ81)*H_Exit,0)</f>
        <v>0</v>
      </c>
      <c r="AXR81" s="20" t="n">
        <f aca="false">IF(AND(H_Direct=0,H_TaxEvt=1,AUE80+1&gt;=H_Deemed),MAX(0,AGE81-AJR81)*H_Exit,0)</f>
        <v>0</v>
      </c>
      <c r="AXS81" s="20" t="n">
        <f aca="false">IF(AND(H_Direct=0,H_TaxEvt=1,AUF80+1&gt;=H_Deemed),MAX(0,AGF81-AJS81)*H_Exit,0)</f>
        <v>0</v>
      </c>
      <c r="AXT81" s="20" t="n">
        <f aca="false">IF(AND(H_Direct=0,H_TaxEvt=1,AUG80+1&gt;=H_Deemed),MAX(0,AGG81-AJT81)*H_Exit,0)</f>
        <v>0</v>
      </c>
      <c r="AXU81" s="20" t="n">
        <f aca="false">IF(AND(H_Direct=0,H_TaxEvt=1,AUH80+1&gt;=H_Deemed),MAX(0,AGH81-AJU81)*H_Exit,0)</f>
        <v>0</v>
      </c>
      <c r="AXV81" s="20" t="n">
        <f aca="false">IF(AND(H_Direct=0,H_TaxEvt=1,AUI80+1&gt;=H_Deemed),MAX(0,AGI81-AJV81)*H_Exit,0)</f>
        <v>0</v>
      </c>
      <c r="AXW81" s="20" t="n">
        <f aca="false">IF(AND(H_Direct=0,H_TaxEvt=1,AUJ80+1&gt;=H_Deemed),MAX(0,AGJ81-AJW81)*H_Exit,0)</f>
        <v>0</v>
      </c>
      <c r="AXX81" s="20" t="n">
        <f aca="false">IF(AND(H_Direct=0,H_TaxEvt=1,AUK80+1&gt;=H_Deemed),MAX(0,AGK81-AJX81)*H_Exit,0)</f>
        <v>0</v>
      </c>
      <c r="AXY81" s="20" t="n">
        <f aca="false">IF(AND(H_Direct=0,H_TaxEvt=1,AUL80+1&gt;=H_Deemed),MAX(0,AGL81-AJY81)*H_Exit,0)</f>
        <v>0</v>
      </c>
      <c r="AXZ81" s="20" t="n">
        <f aca="false">IF(AND(H_Direct=0,H_TaxEvt=1,AUM80+1&gt;=H_Deemed),MAX(0,AGM81-AJZ81)*H_Exit,0)</f>
        <v>0</v>
      </c>
      <c r="AYA81" s="20" t="n">
        <f aca="false">IF(AND(H_Direct=0,H_TaxEvt=1,0+1&gt;=H_Deemed),MAX(0,AGN81-AKA81)*H_Exit,0)</f>
        <v>0</v>
      </c>
      <c r="AYB81" s="20" t="n">
        <v>0</v>
      </c>
      <c r="AYC81" s="20" t="n">
        <v>0</v>
      </c>
      <c r="AYD81" s="20" t="n">
        <v>0</v>
      </c>
      <c r="AYE81" s="20" t="n">
        <v>0</v>
      </c>
      <c r="AYF81" s="20" t="n">
        <v>0</v>
      </c>
      <c r="AYG81" s="20" t="n">
        <v>0</v>
      </c>
      <c r="AYH81" s="20" t="n">
        <v>0</v>
      </c>
      <c r="AYI81" s="20" t="n">
        <v>0</v>
      </c>
      <c r="AYJ81" s="20" t="n">
        <v>0</v>
      </c>
      <c r="AYK81" s="20" t="n">
        <v>0</v>
      </c>
      <c r="AYL81" s="20" t="n">
        <v>0</v>
      </c>
      <c r="AYM81" s="20" t="n">
        <v>0</v>
      </c>
      <c r="AYN81" s="20" t="n">
        <v>0</v>
      </c>
      <c r="AYO81" s="20" t="n">
        <v>0</v>
      </c>
      <c r="AYP81" s="20" t="n">
        <v>0</v>
      </c>
      <c r="AYQ81" s="20" t="n">
        <v>0</v>
      </c>
    </row>
    <row r="82" customFormat="false" ht="15" hidden="false" customHeight="false" outlineLevel="0" collapsed="false">
      <c r="B82" s="20" t="n">
        <v>74</v>
      </c>
      <c r="C82" s="20" t="n">
        <f aca="false">'Plan cashflow'!C82</f>
        <v>0</v>
      </c>
      <c r="D82" s="20" t="n">
        <f aca="false">'Plan cashflow'!D82</f>
        <v>112</v>
      </c>
      <c r="E82" s="20" t="n">
        <f aca="false">AS_Year0+74</f>
        <v>2100</v>
      </c>
      <c r="F82" s="50" t="n">
        <f aca="false">'Plan cashflow'!F82</f>
        <v>4.3292504462036</v>
      </c>
      <c r="G82" s="59" t="n">
        <f aca="true">IF(MAX(TODAY(),DATE(E82,1,1))&gt;=H_CGTfrom,H_CGT1,H_CGT0)</f>
        <v>0.31</v>
      </c>
      <c r="H82" s="20" t="n">
        <f aca="false">H_Exempt*H_Persons</f>
        <v>1270</v>
      </c>
      <c r="I82" s="20" t="n">
        <f aca="false">AX81</f>
        <v>0</v>
      </c>
      <c r="J82" s="60" t="n">
        <f aca="false">BF81</f>
        <v>0</v>
      </c>
      <c r="K82" s="60" t="n">
        <f aca="false">BG81</f>
        <v>0</v>
      </c>
      <c r="L82" s="20" t="n">
        <f aca="false">IF(AND(In_polLump&gt;0,In_polLumpAge&gt;0,D82=In_polLumpAge),In_polLump,0)</f>
        <v>0</v>
      </c>
      <c r="M82" s="20" t="n">
        <f aca="false">IF(AND(In_homeUse="Yes, I'd downsize",In_downAge&gt;0,D82=In_downAge,OR(In_home="Own outright",In_home="Own with mortgage"),In_homeValue&gt;0),MAX(0,MAX(0,In_homeValue-In_downValue)*F82*0.9-'Plan cashflow'!HR81),0)</f>
        <v>0</v>
      </c>
      <c r="N82" s="20" t="n">
        <f aca="false">'Plan pay &amp; tax'!Y308</f>
        <v>0</v>
      </c>
      <c r="O82" s="20" t="n">
        <f aca="false">L82+M82+(1-H_Sh)*N82</f>
        <v>0</v>
      </c>
      <c r="P82" s="20" t="n">
        <f aca="false">H_Sh*N82</f>
        <v>0</v>
      </c>
      <c r="Q82" s="20" t="n">
        <f aca="false">'Plan cashflow'!UL82</f>
        <v>0</v>
      </c>
      <c r="R82" s="20" t="n">
        <f aca="false">(1-H_Sh)*Q82</f>
        <v>0</v>
      </c>
      <c r="S82" s="20" t="n">
        <f aca="false">H_Sh*Q82</f>
        <v>0</v>
      </c>
      <c r="T82" s="20" t="n">
        <f aca="false">J82+K82+O82</f>
        <v>0</v>
      </c>
      <c r="U82" s="20" t="n">
        <f aca="false">T82+R82</f>
        <v>0</v>
      </c>
      <c r="V82" s="60" t="n">
        <f aca="false">SUM(FE82:IQ82)</f>
        <v>0</v>
      </c>
      <c r="W82" s="60" t="n">
        <f aca="false">IF(AJ82&lt;=0,0,IF(AL82&lt;=0,AJ82,AJ82-G82*MAX(0,AL82*AJ82-(AY82+AZ82))))</f>
        <v>0</v>
      </c>
      <c r="X82" s="60" t="n">
        <f aca="false">IF(AR82&lt;=0,0,IF(AT82&lt;=0,AR82,AR82-G82*MAX(0,AT82*AR82-(BA82+BB82))))</f>
        <v>0</v>
      </c>
      <c r="Y82" s="60" t="n">
        <f aca="false">T82+V82-S82+W82+X82</f>
        <v>0</v>
      </c>
      <c r="Z82" s="60" t="n">
        <f aca="false">'Plan cashflow'!UK82</f>
        <v>0</v>
      </c>
      <c r="AA82" s="20" t="n">
        <f aca="false">MIN(Z82,U82)</f>
        <v>0</v>
      </c>
      <c r="AB82" s="20" t="n">
        <f aca="false">Z82-AA82</f>
        <v>0</v>
      </c>
      <c r="AC82" s="20" t="n">
        <f aca="false">MIN(AA82,J82+O82+R82)</f>
        <v>0</v>
      </c>
      <c r="AD82" s="20" t="n">
        <f aca="false">AA82-AC82</f>
        <v>0</v>
      </c>
      <c r="AE82" s="20" t="n">
        <f aca="false">J82+O82+R82-AC82</f>
        <v>0</v>
      </c>
      <c r="AF82" s="20" t="n">
        <f aca="false">K82-AD82</f>
        <v>0</v>
      </c>
      <c r="AG82" s="20" t="n">
        <f aca="false">SUM(PR82:TD82)</f>
        <v>0</v>
      </c>
      <c r="AH82" s="20" t="n">
        <f aca="false">SUM(TE82:WQ82)</f>
        <v>0</v>
      </c>
      <c r="AI82" s="20" t="n">
        <f aca="false">MAX(0,AB82-AG82)</f>
        <v>0</v>
      </c>
      <c r="AJ82" s="57" t="n">
        <f aca="false">BI81</f>
        <v>0</v>
      </c>
      <c r="AK82" s="20" t="n">
        <f aca="false">BJ81</f>
        <v>0</v>
      </c>
      <c r="AL82" s="20" t="n">
        <f aca="false">IF(AJ82&gt;0,(AJ82-AK82)/AJ82,0)</f>
        <v>0</v>
      </c>
      <c r="AM82" s="20" t="n">
        <f aca="false">IF(AJ82&lt;=0,0,IF(AL82&lt;=0,MIN(AI82,AJ82),MIN(AI82,AJ82-G82*MAX(0,AL82*AJ82-(AAD82+ADQ82)))))</f>
        <v>0</v>
      </c>
      <c r="AN82" s="20" t="n">
        <f aca="false">IF(AJ82&lt;=0,0,IF(AL82&lt;=0,AM82,IF(AM82&lt;=(AAD82+ADQ82)/AL82,AM82,(AM82-G82*(AAD82+ADQ82))/(1-G82*AL82))))</f>
        <v>0</v>
      </c>
      <c r="AO82" s="20" t="n">
        <f aca="false">IF(AL82&gt;0,MAX(0,AAD82-(MIN(AL82*AN82,(AAD82+ADQ82))-MIN(MIN(AL82*AN82,(AAD82+ADQ82)),ADQ82))),AAD82)</f>
        <v>1270</v>
      </c>
      <c r="AP82" s="20" t="n">
        <f aca="false">IF(AL82&lt;=0,ADQ82-AL82*AN82,ADQ82-MIN(MIN(AL82*AN82,(AAD82+ADQ82)),ADQ82))</f>
        <v>0</v>
      </c>
      <c r="AQ82" s="20" t="n">
        <f aca="false">MAX(0,AI82-AM82)</f>
        <v>0</v>
      </c>
      <c r="AR82" s="57" t="n">
        <f aca="false">BK81</f>
        <v>0</v>
      </c>
      <c r="AS82" s="20" t="n">
        <f aca="false">BL81</f>
        <v>0</v>
      </c>
      <c r="AT82" s="20" t="n">
        <f aca="false">IF(AR82&gt;0,(AR82-AS82)/AR82,0)</f>
        <v>0</v>
      </c>
      <c r="AU82" s="20" t="n">
        <f aca="false">IF(AR82&lt;=0,0,IF(AT82&lt;=0,MIN(AQ82,AR82),MIN(AQ82,AR82-G82*MAX(0,AT82*AR82-(AO82+AP82)))))</f>
        <v>0</v>
      </c>
      <c r="AV82" s="20" t="n">
        <f aca="false">IF(AR82&lt;=0,0,IF(AT82&lt;=0,AU82,IF(AU82&lt;=(AO82+AP82)/AT82,AU82,(AU82-G82*(AO82+AP82))/(1-G82*AT82))))</f>
        <v>0</v>
      </c>
      <c r="AW82" s="20" t="n">
        <f aca="false">IF(AT82&gt;0,MAX(0,AO82-(MIN(AT82*AV82,(AO82+AP82))-MIN(MIN(AT82*AV82,(AO82+AP82)),AP82))),AO82)</f>
        <v>1270</v>
      </c>
      <c r="AX82" s="20" t="n">
        <f aca="false">IF(AT82&lt;=0,AP82-AT82*AV82,AP82-MIN(MIN(AT82*AV82,(AO82+AP82)),AP82))</f>
        <v>0</v>
      </c>
      <c r="AY82" s="20" t="n">
        <f aca="false">MD82</f>
        <v>1270</v>
      </c>
      <c r="AZ82" s="20" t="n">
        <f aca="false">PQ82</f>
        <v>0</v>
      </c>
      <c r="BA82" s="20" t="n">
        <f aca="false">IF(AL82&gt;0,MAX(0,AY82-(MIN(AL82*AJ82,AY82+AZ82)-MIN(MIN(AL82*AJ82,AY82+AZ82),AZ82))),AY82)</f>
        <v>1270</v>
      </c>
      <c r="BB82" s="20" t="n">
        <f aca="false">IF(AL82&lt;=0,AZ82-AL82*AJ82,AZ82-MIN(MIN(AL82*AJ82,AY82+AZ82),AZ82))</f>
        <v>0</v>
      </c>
      <c r="BC82" s="20" t="n">
        <f aca="false">'Plan cashflow'!UM82</f>
        <v>0</v>
      </c>
      <c r="BD82" s="20" t="n">
        <f aca="false">(1-H_Sh)*BC82</f>
        <v>0</v>
      </c>
      <c r="BE82" s="20" t="n">
        <f aca="false">H_Sh*BC82</f>
        <v>0</v>
      </c>
      <c r="BF82" s="60" t="n">
        <f aca="false">(AE82+BD82)*(1+AS_Cash)</f>
        <v>0</v>
      </c>
      <c r="BG82" s="60" t="n">
        <f aca="false">AF82*(1+AS_Cash)</f>
        <v>0</v>
      </c>
      <c r="BH82" s="60" t="n">
        <f aca="false">SUM(AKR82:AOD82)</f>
        <v>0</v>
      </c>
      <c r="BI82" s="60" t="n">
        <f aca="false">(AJ82-AN82)*(1+AS_Infl)</f>
        <v>0</v>
      </c>
      <c r="BJ82" s="20" t="n">
        <f aca="false">IF(AJ82&gt;0,AK82-AK82*AN82/AJ82,0)</f>
        <v>0</v>
      </c>
      <c r="BK82" s="60" t="n">
        <f aca="false">(AR82-AV82)*(1+BQ82)</f>
        <v>0</v>
      </c>
      <c r="BL82" s="20" t="n">
        <f aca="false">IF(AR82&gt;0,AS82-AS82*AV82/AR82,0)</f>
        <v>0</v>
      </c>
      <c r="BM82" s="60" t="n">
        <f aca="false">BF82+BG82+BH82+BI82+BK82</f>
        <v>0</v>
      </c>
      <c r="BN82" s="60" t="n">
        <f aca="false">(AH82-AG82)+(AN82-AM82)+(AV82-AU82)</f>
        <v>0</v>
      </c>
      <c r="BO82" s="20" t="n">
        <f aca="false">(AE82+BD82+AF82+MAX(0,'Plan cashflow'!QH82)+IF(Slot1_Rate=AS_Cash,'Plan cashflow'!QM82/(1+AS_Cash),0)+IF(Slot2_Rate=AS_Cash,'Plan cashflow'!QQ82/(1+AS_Cash),0)+IF(Slot3_Rate=AS_Cash,'Plan cashflow'!QU82/(1+AS_Cash),0)+IF(Slot4_Rate=AS_Cash,'Plan cashflow'!QY82/(1+AS_Cash),0)+IF(Slot5_Rate=AS_Cash,'Plan cashflow'!RC82/(1+AS_Cash),0)+IF(Slot6_Rate=AS_Cash,'Plan cashflow'!RG82/(1+AS_Cash),0)+IF(Slot7_Rate=AS_Cash,'Plan cashflow'!RK82/(1+AS_Cash),0)+IF(Slot8_Rate=AS_Cash,'Plan cashflow'!RO82/(1+AS_Cash),0)+IF(Slot9_Rate=AS_Cash,'Plan cashflow'!RS82/(1+AS_Cash),0)+IF(Slot10_Rate=AS_Cash,'Plan cashflow'!RW82/(1+AS_Cash),0)+IF(Slot11_Rate=AS_Cash,'Plan cashflow'!SA82/(1+AS_Cash),0)+IF(Slot12_Rate=AS_Cash,'Plan cashflow'!SE82/(1+AS_Cash),0)+IF(Slot13_Rate=AS_Cash,'Plan cashflow'!SI82/(1+AS_Cash),0)+IF(Slot14_Rate=AS_Cash,'Plan cashflow'!SM82/(1+AS_Cash),0)+IF(Slot15_Rate=AS_Cash,'Plan cashflow'!SQ82/(1+AS_Cash),0)+IF(Slot16_Rate=AS_Cash,'Plan cashflow'!SU82/(1+AS_Cash),0)+IF(Slot17_Rate=AS_Cash,'Plan cashflow'!SY82/(1+AS_Cash),0)+IF(Slot18_Rate=AS_Cash,'Plan cashflow'!TC82/(1+AS_Cash),0)+IF(Slot19_Rate=AS_Cash,'Plan cashflow'!TG82/(1+AS_Cash),0)+IF(Slot20_Rate=AS_Cash,'Plan cashflow'!TK82/(1+AS_Cash),0))*AS_Cash*H_DIRT/(1-H_DIRT)</f>
        <v>0</v>
      </c>
      <c r="BP82" s="60" t="n">
        <f aca="false">SUM(AVE82:AYQ82)</f>
        <v>0</v>
      </c>
      <c r="BQ82" s="54" t="n">
        <f aca="false">IF(H_TaxEvt=1,H_InvG,AS_Inv)</f>
        <v>0.04</v>
      </c>
      <c r="BR82" s="20" t="n">
        <f aca="false">IF(AKR81&gt;0,(AKR81-AOE81)/AKR81,0)</f>
        <v>0</v>
      </c>
      <c r="BS82" s="20" t="n">
        <f aca="false">IF(AKS81&gt;0,(AKS81-AOF81)/AKS81,0)</f>
        <v>0</v>
      </c>
      <c r="BT82" s="20" t="n">
        <f aca="false">IF(AKT81&gt;0,(AKT81-AOG81)/AKT81,0)</f>
        <v>0</v>
      </c>
      <c r="BU82" s="20" t="n">
        <f aca="false">IF(AKU81&gt;0,(AKU81-AOH81)/AKU81,0)</f>
        <v>0</v>
      </c>
      <c r="BV82" s="20" t="n">
        <f aca="false">IF(AKV81&gt;0,(AKV81-AOI81)/AKV81,0)</f>
        <v>0</v>
      </c>
      <c r="BW82" s="20" t="n">
        <f aca="false">IF(AKW81&gt;0,(AKW81-AOJ81)/AKW81,0)</f>
        <v>0</v>
      </c>
      <c r="BX82" s="20" t="n">
        <f aca="false">IF(AKX81&gt;0,(AKX81-AOK81)/AKX81,0)</f>
        <v>0</v>
      </c>
      <c r="BY82" s="20" t="n">
        <f aca="false">IF(AKY81&gt;0,(AKY81-AOL81)/AKY81,0)</f>
        <v>0</v>
      </c>
      <c r="BZ82" s="20" t="n">
        <f aca="false">IF(AKZ81&gt;0,(AKZ81-AOM81)/AKZ81,0)</f>
        <v>0</v>
      </c>
      <c r="CA82" s="20" t="n">
        <f aca="false">IF(ALA81&gt;0,(ALA81-AON81)/ALA81,0)</f>
        <v>0</v>
      </c>
      <c r="CB82" s="20" t="n">
        <f aca="false">IF(ALB81&gt;0,(ALB81-AOO81)/ALB81,0)</f>
        <v>0</v>
      </c>
      <c r="CC82" s="20" t="n">
        <f aca="false">IF(ALC81&gt;0,(ALC81-AOP81)/ALC81,0)</f>
        <v>0</v>
      </c>
      <c r="CD82" s="20" t="n">
        <f aca="false">IF(ALD81&gt;0,(ALD81-AOQ81)/ALD81,0)</f>
        <v>0</v>
      </c>
      <c r="CE82" s="20" t="n">
        <f aca="false">IF(ALE81&gt;0,(ALE81-AOR81)/ALE81,0)</f>
        <v>0</v>
      </c>
      <c r="CF82" s="20" t="n">
        <f aca="false">IF(ALF81&gt;0,(ALF81-AOS81)/ALF81,0)</f>
        <v>0</v>
      </c>
      <c r="CG82" s="20" t="n">
        <f aca="false">IF(ALG81&gt;0,(ALG81-AOT81)/ALG81,0)</f>
        <v>0</v>
      </c>
      <c r="CH82" s="20" t="n">
        <f aca="false">IF(ALH81&gt;0,(ALH81-AOU81)/ALH81,0)</f>
        <v>0</v>
      </c>
      <c r="CI82" s="20" t="n">
        <f aca="false">IF(ALI81&gt;0,(ALI81-AOV81)/ALI81,0)</f>
        <v>0</v>
      </c>
      <c r="CJ82" s="20" t="n">
        <f aca="false">IF(ALJ81&gt;0,(ALJ81-AOW81)/ALJ81,0)</f>
        <v>0</v>
      </c>
      <c r="CK82" s="20" t="n">
        <f aca="false">IF(ALK81&gt;0,(ALK81-AOX81)/ALK81,0)</f>
        <v>0</v>
      </c>
      <c r="CL82" s="20" t="n">
        <f aca="false">IF(ALL81&gt;0,(ALL81-AOY81)/ALL81,0)</f>
        <v>0</v>
      </c>
      <c r="CM82" s="20" t="n">
        <f aca="false">IF(ALM81&gt;0,(ALM81-AOZ81)/ALM81,0)</f>
        <v>0</v>
      </c>
      <c r="CN82" s="20" t="n">
        <f aca="false">IF(ALN81&gt;0,(ALN81-APA81)/ALN81,0)</f>
        <v>0</v>
      </c>
      <c r="CO82" s="20" t="n">
        <f aca="false">IF(ALO81&gt;0,(ALO81-APB81)/ALO81,0)</f>
        <v>0</v>
      </c>
      <c r="CP82" s="20" t="n">
        <f aca="false">IF(ALP81&gt;0,(ALP81-APC81)/ALP81,0)</f>
        <v>0</v>
      </c>
      <c r="CQ82" s="20" t="n">
        <f aca="false">IF(ALQ81&gt;0,(ALQ81-APD81)/ALQ81,0)</f>
        <v>0</v>
      </c>
      <c r="CR82" s="20" t="n">
        <f aca="false">IF(ALR81&gt;0,(ALR81-APE81)/ALR81,0)</f>
        <v>0</v>
      </c>
      <c r="CS82" s="20" t="n">
        <f aca="false">IF(ALS81&gt;0,(ALS81-APF81)/ALS81,0)</f>
        <v>0</v>
      </c>
      <c r="CT82" s="20" t="n">
        <f aca="false">IF(ALT81&gt;0,(ALT81-APG81)/ALT81,0)</f>
        <v>0</v>
      </c>
      <c r="CU82" s="20" t="n">
        <f aca="false">IF(ALU81&gt;0,(ALU81-APH81)/ALU81,0)</f>
        <v>0</v>
      </c>
      <c r="CV82" s="20" t="n">
        <f aca="false">IF(ALV81&gt;0,(ALV81-API81)/ALV81,0)</f>
        <v>0</v>
      </c>
      <c r="CW82" s="20" t="n">
        <f aca="false">IF(ALW81&gt;0,(ALW81-APJ81)/ALW81,0)</f>
        <v>0</v>
      </c>
      <c r="CX82" s="20" t="n">
        <f aca="false">IF(ALX81&gt;0,(ALX81-APK81)/ALX81,0)</f>
        <v>0</v>
      </c>
      <c r="CY82" s="20" t="n">
        <f aca="false">IF(ALY81&gt;0,(ALY81-APL81)/ALY81,0)</f>
        <v>0</v>
      </c>
      <c r="CZ82" s="20" t="n">
        <f aca="false">IF(ALZ81&gt;0,(ALZ81-APM81)/ALZ81,0)</f>
        <v>0</v>
      </c>
      <c r="DA82" s="20" t="n">
        <f aca="false">IF(AMA81&gt;0,(AMA81-APN81)/AMA81,0)</f>
        <v>0</v>
      </c>
      <c r="DB82" s="20" t="n">
        <f aca="false">IF(AMB81&gt;0,(AMB81-APO81)/AMB81,0)</f>
        <v>0</v>
      </c>
      <c r="DC82" s="20" t="n">
        <f aca="false">IF(AMC81&gt;0,(AMC81-APP81)/AMC81,0)</f>
        <v>0</v>
      </c>
      <c r="DD82" s="20" t="n">
        <f aca="false">IF(AMD81&gt;0,(AMD81-APQ81)/AMD81,0)</f>
        <v>0</v>
      </c>
      <c r="DE82" s="20" t="n">
        <f aca="false">IF(AME81&gt;0,(AME81-APR81)/AME81,0)</f>
        <v>0</v>
      </c>
      <c r="DF82" s="20" t="n">
        <f aca="false">IF(AMF81&gt;0,(AMF81-APS81)/AMF81,0)</f>
        <v>0</v>
      </c>
      <c r="DG82" s="20" t="n">
        <f aca="false">IF(AMG81&gt;0,(AMG81-APT81)/AMG81,0)</f>
        <v>0</v>
      </c>
      <c r="DH82" s="20" t="n">
        <f aca="false">IF(AMH81&gt;0,(AMH81-APU81)/AMH81,0)</f>
        <v>0</v>
      </c>
      <c r="DI82" s="20" t="n">
        <f aca="false">IF(AMI81&gt;0,(AMI81-APV81)/AMI81,0)</f>
        <v>0</v>
      </c>
      <c r="DJ82" s="20" t="n">
        <f aca="false">IF(AMJ81&gt;0,(AMJ81-APW81)/AMJ81,0)</f>
        <v>0</v>
      </c>
      <c r="DK82" s="20" t="n">
        <f aca="false">IF(AMK81&gt;0,(AMK81-APX81)/AMK81,0)</f>
        <v>0</v>
      </c>
      <c r="DL82" s="20" t="n">
        <f aca="false">IF(AML81&gt;0,(AML81-APY81)/AML81,0)</f>
        <v>0</v>
      </c>
      <c r="DM82" s="20" t="n">
        <f aca="false">IF(AMM81&gt;0,(AMM81-APZ81)/AMM81,0)</f>
        <v>0</v>
      </c>
      <c r="DN82" s="20" t="n">
        <f aca="false">IF(AMN81&gt;0,(AMN81-AQA81)/AMN81,0)</f>
        <v>0</v>
      </c>
      <c r="DO82" s="20" t="n">
        <f aca="false">IF(AMO81&gt;0,(AMO81-AQB81)/AMO81,0)</f>
        <v>0</v>
      </c>
      <c r="DP82" s="20" t="n">
        <f aca="false">IF(AMP81&gt;0,(AMP81-AQC81)/AMP81,0)</f>
        <v>0</v>
      </c>
      <c r="DQ82" s="20" t="n">
        <f aca="false">IF(AMQ81&gt;0,(AMQ81-AQD81)/AMQ81,0)</f>
        <v>0</v>
      </c>
      <c r="DR82" s="20" t="n">
        <f aca="false">IF(AMR81&gt;0,(AMR81-AQE81)/AMR81,0)</f>
        <v>0</v>
      </c>
      <c r="DS82" s="20" t="n">
        <f aca="false">IF(AMS81&gt;0,(AMS81-AQF81)/AMS81,0)</f>
        <v>0</v>
      </c>
      <c r="DT82" s="20" t="n">
        <f aca="false">IF(AMT81&gt;0,(AMT81-AQG81)/AMT81,0)</f>
        <v>0</v>
      </c>
      <c r="DU82" s="20" t="n">
        <f aca="false">IF(AMU81&gt;0,(AMU81-AQH81)/AMU81,0)</f>
        <v>0</v>
      </c>
      <c r="DV82" s="20" t="n">
        <f aca="false">IF(AMV81&gt;0,(AMV81-AQI81)/AMV81,0)</f>
        <v>0</v>
      </c>
      <c r="DW82" s="20" t="n">
        <f aca="false">IF(AMW81&gt;0,(AMW81-AQJ81)/AMW81,0)</f>
        <v>0</v>
      </c>
      <c r="DX82" s="20" t="n">
        <f aca="false">IF(AMX81&gt;0,(AMX81-AQK81)/AMX81,0)</f>
        <v>0</v>
      </c>
      <c r="DY82" s="20" t="n">
        <f aca="false">IF(AMY81&gt;0,(AMY81-AQL81)/AMY81,0)</f>
        <v>0</v>
      </c>
      <c r="DZ82" s="20" t="n">
        <f aca="false">IF(AMZ81&gt;0,(AMZ81-AQM81)/AMZ81,0)</f>
        <v>0</v>
      </c>
      <c r="EA82" s="20" t="n">
        <f aca="false">IF(ANA81&gt;0,(ANA81-AQN81)/ANA81,0)</f>
        <v>0</v>
      </c>
      <c r="EB82" s="20" t="n">
        <f aca="false">IF(ANB81&gt;0,(ANB81-AQO81)/ANB81,0)</f>
        <v>0</v>
      </c>
      <c r="EC82" s="20" t="n">
        <f aca="false">IF(ANC81&gt;0,(ANC81-AQP81)/ANC81,0)</f>
        <v>0</v>
      </c>
      <c r="ED82" s="20" t="n">
        <f aca="false">IF(AND81&gt;0,(AND81-AQQ81)/AND81,0)</f>
        <v>0</v>
      </c>
      <c r="EE82" s="20" t="n">
        <f aca="false">IF(ANE81&gt;0,(ANE81-AQR81)/ANE81,0)</f>
        <v>0</v>
      </c>
      <c r="EF82" s="20" t="n">
        <f aca="false">IF(ANF81&gt;0,(ANF81-AQS81)/ANF81,0)</f>
        <v>0</v>
      </c>
      <c r="EG82" s="20" t="n">
        <f aca="false">IF(ANG81&gt;0,(ANG81-AQT81)/ANG81,0)</f>
        <v>0</v>
      </c>
      <c r="EH82" s="20" t="n">
        <f aca="false">IF(ANH81&gt;0,(ANH81-AQU81)/ANH81,0)</f>
        <v>0</v>
      </c>
      <c r="EI82" s="20" t="n">
        <f aca="false">IF(ANI81&gt;0,(ANI81-AQV81)/ANI81,0)</f>
        <v>0</v>
      </c>
      <c r="EJ82" s="20" t="n">
        <f aca="false">IF(ANJ81&gt;0,(ANJ81-AQW81)/ANJ81,0)</f>
        <v>0</v>
      </c>
      <c r="EK82" s="20" t="n">
        <f aca="false">IF(ANK81&gt;0,(ANK81-AQX81)/ANK81,0)</f>
        <v>0</v>
      </c>
      <c r="EL82" s="20" t="n">
        <f aca="false">IF(ANL81&gt;0,(ANL81-AQY81)/ANL81,0)</f>
        <v>0</v>
      </c>
      <c r="EM82" s="20" t="n">
        <f aca="false">IF(ANM81&gt;0,(ANM81-AQZ81)/ANM81,0)</f>
        <v>0</v>
      </c>
      <c r="EN82" s="20" t="n">
        <f aca="false">IF(ANN81&gt;0,(ANN81-ARA81)/ANN81,0)</f>
        <v>0</v>
      </c>
      <c r="EO82" s="20" t="n">
        <f aca="false">IF((P82+S82)&gt;0,((P82+S82)-(P82+S82))/(P82+S82),0)</f>
        <v>0</v>
      </c>
      <c r="EP82" s="20" t="n">
        <v>0</v>
      </c>
      <c r="EQ82" s="20" t="n">
        <v>0</v>
      </c>
      <c r="ER82" s="20" t="n">
        <v>0</v>
      </c>
      <c r="ES82" s="20" t="n">
        <v>0</v>
      </c>
      <c r="ET82" s="20" t="n">
        <v>0</v>
      </c>
      <c r="EU82" s="20" t="n">
        <v>0</v>
      </c>
      <c r="EV82" s="20" t="n">
        <v>0</v>
      </c>
      <c r="EW82" s="20" t="n">
        <v>0</v>
      </c>
      <c r="EX82" s="20" t="n">
        <v>0</v>
      </c>
      <c r="EY82" s="20" t="n">
        <v>0</v>
      </c>
      <c r="EZ82" s="20" t="n">
        <v>0</v>
      </c>
      <c r="FA82" s="20" t="n">
        <v>0</v>
      </c>
      <c r="FB82" s="20" t="n">
        <v>0</v>
      </c>
      <c r="FC82" s="20" t="n">
        <v>0</v>
      </c>
      <c r="FD82" s="20" t="n">
        <v>0</v>
      </c>
      <c r="FE82" s="20" t="n">
        <f aca="false">IF(H_Direct=1,IF(AKR81&lt;=0,0,IF(BR82&lt;=0,AKR81,AKR81-G82*MAX(0,BR82*AKR81-(H82+I82)))),AKR81*(1-MAX(0,BR82)*H_Exit))</f>
        <v>0</v>
      </c>
      <c r="FF82" s="20" t="n">
        <f aca="false">IF(H_Direct=1,IF(AKS81&lt;=0,0,IF(BS82&lt;=0,AKS81,AKS81-G82*MAX(0,BS82*AKS81-(IR82+ME82)))),AKS81*(1-MAX(0,BS82)*H_Exit))</f>
        <v>0</v>
      </c>
      <c r="FG82" s="20" t="n">
        <f aca="false">IF(H_Direct=1,IF(AKT81&lt;=0,0,IF(BT82&lt;=0,AKT81,AKT81-G82*MAX(0,BT82*AKT81-(IS82+MF82)))),AKT81*(1-MAX(0,BT82)*H_Exit))</f>
        <v>0</v>
      </c>
      <c r="FH82" s="20" t="n">
        <f aca="false">IF(H_Direct=1,IF(AKU81&lt;=0,0,IF(BU82&lt;=0,AKU81,AKU81-G82*MAX(0,BU82*AKU81-(IT82+MG82)))),AKU81*(1-MAX(0,BU82)*H_Exit))</f>
        <v>0</v>
      </c>
      <c r="FI82" s="20" t="n">
        <f aca="false">IF(H_Direct=1,IF(AKV81&lt;=0,0,IF(BV82&lt;=0,AKV81,AKV81-G82*MAX(0,BV82*AKV81-(IU82+MH82)))),AKV81*(1-MAX(0,BV82)*H_Exit))</f>
        <v>0</v>
      </c>
      <c r="FJ82" s="20" t="n">
        <f aca="false">IF(H_Direct=1,IF(AKW81&lt;=0,0,IF(BW82&lt;=0,AKW81,AKW81-G82*MAX(0,BW82*AKW81-(IV82+MI82)))),AKW81*(1-MAX(0,BW82)*H_Exit))</f>
        <v>0</v>
      </c>
      <c r="FK82" s="20" t="n">
        <f aca="false">IF(H_Direct=1,IF(AKX81&lt;=0,0,IF(BX82&lt;=0,AKX81,AKX81-G82*MAX(0,BX82*AKX81-(IW82+MJ82)))),AKX81*(1-MAX(0,BX82)*H_Exit))</f>
        <v>0</v>
      </c>
      <c r="FL82" s="20" t="n">
        <f aca="false">IF(H_Direct=1,IF(AKY81&lt;=0,0,IF(BY82&lt;=0,AKY81,AKY81-G82*MAX(0,BY82*AKY81-(IX82+MK82)))),AKY81*(1-MAX(0,BY82)*H_Exit))</f>
        <v>0</v>
      </c>
      <c r="FM82" s="20" t="n">
        <f aca="false">IF(H_Direct=1,IF(AKZ81&lt;=0,0,IF(BZ82&lt;=0,AKZ81,AKZ81-G82*MAX(0,BZ82*AKZ81-(IY82+ML82)))),AKZ81*(1-MAX(0,BZ82)*H_Exit))</f>
        <v>0</v>
      </c>
      <c r="FN82" s="20" t="n">
        <f aca="false">IF(H_Direct=1,IF(ALA81&lt;=0,0,IF(CA82&lt;=0,ALA81,ALA81-G82*MAX(0,CA82*ALA81-(IZ82+MM82)))),ALA81*(1-MAX(0,CA82)*H_Exit))</f>
        <v>0</v>
      </c>
      <c r="FO82" s="20" t="n">
        <f aca="false">IF(H_Direct=1,IF(ALB81&lt;=0,0,IF(CB82&lt;=0,ALB81,ALB81-G82*MAX(0,CB82*ALB81-(JA82+MN82)))),ALB81*(1-MAX(0,CB82)*H_Exit))</f>
        <v>0</v>
      </c>
      <c r="FP82" s="20" t="n">
        <f aca="false">IF(H_Direct=1,IF(ALC81&lt;=0,0,IF(CC82&lt;=0,ALC81,ALC81-G82*MAX(0,CC82*ALC81-(JB82+MO82)))),ALC81*(1-MAX(0,CC82)*H_Exit))</f>
        <v>0</v>
      </c>
      <c r="FQ82" s="20" t="n">
        <f aca="false">IF(H_Direct=1,IF(ALD81&lt;=0,0,IF(CD82&lt;=0,ALD81,ALD81-G82*MAX(0,CD82*ALD81-(JC82+MP82)))),ALD81*(1-MAX(0,CD82)*H_Exit))</f>
        <v>0</v>
      </c>
      <c r="FR82" s="20" t="n">
        <f aca="false">IF(H_Direct=1,IF(ALE81&lt;=0,0,IF(CE82&lt;=0,ALE81,ALE81-G82*MAX(0,CE82*ALE81-(JD82+MQ82)))),ALE81*(1-MAX(0,CE82)*H_Exit))</f>
        <v>0</v>
      </c>
      <c r="FS82" s="20" t="n">
        <f aca="false">IF(H_Direct=1,IF(ALF81&lt;=0,0,IF(CF82&lt;=0,ALF81,ALF81-G82*MAX(0,CF82*ALF81-(JE82+MR82)))),ALF81*(1-MAX(0,CF82)*H_Exit))</f>
        <v>0</v>
      </c>
      <c r="FT82" s="20" t="n">
        <f aca="false">IF(H_Direct=1,IF(ALG81&lt;=0,0,IF(CG82&lt;=0,ALG81,ALG81-G82*MAX(0,CG82*ALG81-(JF82+MS82)))),ALG81*(1-MAX(0,CG82)*H_Exit))</f>
        <v>0</v>
      </c>
      <c r="FU82" s="20" t="n">
        <f aca="false">IF(H_Direct=1,IF(ALH81&lt;=0,0,IF(CH82&lt;=0,ALH81,ALH81-G82*MAX(0,CH82*ALH81-(JG82+MT82)))),ALH81*(1-MAX(0,CH82)*H_Exit))</f>
        <v>0</v>
      </c>
      <c r="FV82" s="20" t="n">
        <f aca="false">IF(H_Direct=1,IF(ALI81&lt;=0,0,IF(CI82&lt;=0,ALI81,ALI81-G82*MAX(0,CI82*ALI81-(JH82+MU82)))),ALI81*(1-MAX(0,CI82)*H_Exit))</f>
        <v>0</v>
      </c>
      <c r="FW82" s="20" t="n">
        <f aca="false">IF(H_Direct=1,IF(ALJ81&lt;=0,0,IF(CJ82&lt;=0,ALJ81,ALJ81-G82*MAX(0,CJ82*ALJ81-(JI82+MV82)))),ALJ81*(1-MAX(0,CJ82)*H_Exit))</f>
        <v>0</v>
      </c>
      <c r="FX82" s="20" t="n">
        <f aca="false">IF(H_Direct=1,IF(ALK81&lt;=0,0,IF(CK82&lt;=0,ALK81,ALK81-G82*MAX(0,CK82*ALK81-(JJ82+MW82)))),ALK81*(1-MAX(0,CK82)*H_Exit))</f>
        <v>0</v>
      </c>
      <c r="FY82" s="20" t="n">
        <f aca="false">IF(H_Direct=1,IF(ALL81&lt;=0,0,IF(CL82&lt;=0,ALL81,ALL81-G82*MAX(0,CL82*ALL81-(JK82+MX82)))),ALL81*(1-MAX(0,CL82)*H_Exit))</f>
        <v>0</v>
      </c>
      <c r="FZ82" s="20" t="n">
        <f aca="false">IF(H_Direct=1,IF(ALM81&lt;=0,0,IF(CM82&lt;=0,ALM81,ALM81-G82*MAX(0,CM82*ALM81-(JL82+MY82)))),ALM81*(1-MAX(0,CM82)*H_Exit))</f>
        <v>0</v>
      </c>
      <c r="GA82" s="20" t="n">
        <f aca="false">IF(H_Direct=1,IF(ALN81&lt;=0,0,IF(CN82&lt;=0,ALN81,ALN81-G82*MAX(0,CN82*ALN81-(JM82+MZ82)))),ALN81*(1-MAX(0,CN82)*H_Exit))</f>
        <v>0</v>
      </c>
      <c r="GB82" s="20" t="n">
        <f aca="false">IF(H_Direct=1,IF(ALO81&lt;=0,0,IF(CO82&lt;=0,ALO81,ALO81-G82*MAX(0,CO82*ALO81-(JN82+NA82)))),ALO81*(1-MAX(0,CO82)*H_Exit))</f>
        <v>0</v>
      </c>
      <c r="GC82" s="20" t="n">
        <f aca="false">IF(H_Direct=1,IF(ALP81&lt;=0,0,IF(CP82&lt;=0,ALP81,ALP81-G82*MAX(0,CP82*ALP81-(JO82+NB82)))),ALP81*(1-MAX(0,CP82)*H_Exit))</f>
        <v>0</v>
      </c>
      <c r="GD82" s="20" t="n">
        <f aca="false">IF(H_Direct=1,IF(ALQ81&lt;=0,0,IF(CQ82&lt;=0,ALQ81,ALQ81-G82*MAX(0,CQ82*ALQ81-(JP82+NC82)))),ALQ81*(1-MAX(0,CQ82)*H_Exit))</f>
        <v>0</v>
      </c>
      <c r="GE82" s="20" t="n">
        <f aca="false">IF(H_Direct=1,IF(ALR81&lt;=0,0,IF(CR82&lt;=0,ALR81,ALR81-G82*MAX(0,CR82*ALR81-(JQ82+ND82)))),ALR81*(1-MAX(0,CR82)*H_Exit))</f>
        <v>0</v>
      </c>
      <c r="GF82" s="20" t="n">
        <f aca="false">IF(H_Direct=1,IF(ALS81&lt;=0,0,IF(CS82&lt;=0,ALS81,ALS81-G82*MAX(0,CS82*ALS81-(JR82+NE82)))),ALS81*(1-MAX(0,CS82)*H_Exit))</f>
        <v>0</v>
      </c>
      <c r="GG82" s="20" t="n">
        <f aca="false">IF(H_Direct=1,IF(ALT81&lt;=0,0,IF(CT82&lt;=0,ALT81,ALT81-G82*MAX(0,CT82*ALT81-(JS82+NF82)))),ALT81*(1-MAX(0,CT82)*H_Exit))</f>
        <v>0</v>
      </c>
      <c r="GH82" s="20" t="n">
        <f aca="false">IF(H_Direct=1,IF(ALU81&lt;=0,0,IF(CU82&lt;=0,ALU81,ALU81-G82*MAX(0,CU82*ALU81-(JT82+NG82)))),ALU81*(1-MAX(0,CU82)*H_Exit))</f>
        <v>0</v>
      </c>
      <c r="GI82" s="20" t="n">
        <f aca="false">IF(H_Direct=1,IF(ALV81&lt;=0,0,IF(CV82&lt;=0,ALV81,ALV81-G82*MAX(0,CV82*ALV81-(JU82+NH82)))),ALV81*(1-MAX(0,CV82)*H_Exit))</f>
        <v>0</v>
      </c>
      <c r="GJ82" s="20" t="n">
        <f aca="false">IF(H_Direct=1,IF(ALW81&lt;=0,0,IF(CW82&lt;=0,ALW81,ALW81-G82*MAX(0,CW82*ALW81-(JV82+NI82)))),ALW81*(1-MAX(0,CW82)*H_Exit))</f>
        <v>0</v>
      </c>
      <c r="GK82" s="20" t="n">
        <f aca="false">IF(H_Direct=1,IF(ALX81&lt;=0,0,IF(CX82&lt;=0,ALX81,ALX81-G82*MAX(0,CX82*ALX81-(JW82+NJ82)))),ALX81*(1-MAX(0,CX82)*H_Exit))</f>
        <v>0</v>
      </c>
      <c r="GL82" s="20" t="n">
        <f aca="false">IF(H_Direct=1,IF(ALY81&lt;=0,0,IF(CY82&lt;=0,ALY81,ALY81-G82*MAX(0,CY82*ALY81-(JX82+NK82)))),ALY81*(1-MAX(0,CY82)*H_Exit))</f>
        <v>0</v>
      </c>
      <c r="GM82" s="20" t="n">
        <f aca="false">IF(H_Direct=1,IF(ALZ81&lt;=0,0,IF(CZ82&lt;=0,ALZ81,ALZ81-G82*MAX(0,CZ82*ALZ81-(JY82+NL82)))),ALZ81*(1-MAX(0,CZ82)*H_Exit))</f>
        <v>0</v>
      </c>
      <c r="GN82" s="20" t="n">
        <f aca="false">IF(H_Direct=1,IF(AMA81&lt;=0,0,IF(DA82&lt;=0,AMA81,AMA81-G82*MAX(0,DA82*AMA81-(JZ82+NM82)))),AMA81*(1-MAX(0,DA82)*H_Exit))</f>
        <v>0</v>
      </c>
      <c r="GO82" s="20" t="n">
        <f aca="false">IF(H_Direct=1,IF(AMB81&lt;=0,0,IF(DB82&lt;=0,AMB81,AMB81-G82*MAX(0,DB82*AMB81-(KA82+NN82)))),AMB81*(1-MAX(0,DB82)*H_Exit))</f>
        <v>0</v>
      </c>
      <c r="GP82" s="20" t="n">
        <f aca="false">IF(H_Direct=1,IF(AMC81&lt;=0,0,IF(DC82&lt;=0,AMC81,AMC81-G82*MAX(0,DC82*AMC81-(KB82+NO82)))),AMC81*(1-MAX(0,DC82)*H_Exit))</f>
        <v>0</v>
      </c>
      <c r="GQ82" s="20" t="n">
        <f aca="false">IF(H_Direct=1,IF(AMD81&lt;=0,0,IF(DD82&lt;=0,AMD81,AMD81-G82*MAX(0,DD82*AMD81-(KC82+NP82)))),AMD81*(1-MAX(0,DD82)*H_Exit))</f>
        <v>0</v>
      </c>
      <c r="GR82" s="20" t="n">
        <f aca="false">IF(H_Direct=1,IF(AME81&lt;=0,0,IF(DE82&lt;=0,AME81,AME81-G82*MAX(0,DE82*AME81-(KD82+NQ82)))),AME81*(1-MAX(0,DE82)*H_Exit))</f>
        <v>0</v>
      </c>
      <c r="GS82" s="20" t="n">
        <f aca="false">IF(H_Direct=1,IF(AMF81&lt;=0,0,IF(DF82&lt;=0,AMF81,AMF81-G82*MAX(0,DF82*AMF81-(KE82+NR82)))),AMF81*(1-MAX(0,DF82)*H_Exit))</f>
        <v>0</v>
      </c>
      <c r="GT82" s="20" t="n">
        <f aca="false">IF(H_Direct=1,IF(AMG81&lt;=0,0,IF(DG82&lt;=0,AMG81,AMG81-G82*MAX(0,DG82*AMG81-(KF82+NS82)))),AMG81*(1-MAX(0,DG82)*H_Exit))</f>
        <v>0</v>
      </c>
      <c r="GU82" s="20" t="n">
        <f aca="false">IF(H_Direct=1,IF(AMH81&lt;=0,0,IF(DH82&lt;=0,AMH81,AMH81-G82*MAX(0,DH82*AMH81-(KG82+NT82)))),AMH81*(1-MAX(0,DH82)*H_Exit))</f>
        <v>0</v>
      </c>
      <c r="GV82" s="20" t="n">
        <f aca="false">IF(H_Direct=1,IF(AMI81&lt;=0,0,IF(DI82&lt;=0,AMI81,AMI81-G82*MAX(0,DI82*AMI81-(KH82+NU82)))),AMI81*(1-MAX(0,DI82)*H_Exit))</f>
        <v>0</v>
      </c>
      <c r="GW82" s="20" t="n">
        <f aca="false">IF(H_Direct=1,IF(AMJ81&lt;=0,0,IF(DJ82&lt;=0,AMJ81,AMJ81-G82*MAX(0,DJ82*AMJ81-(KI82+NV82)))),AMJ81*(1-MAX(0,DJ82)*H_Exit))</f>
        <v>0</v>
      </c>
      <c r="GX82" s="20" t="n">
        <f aca="false">IF(H_Direct=1,IF(AMK81&lt;=0,0,IF(DK82&lt;=0,AMK81,AMK81-G82*MAX(0,DK82*AMK81-(KJ82+NW82)))),AMK81*(1-MAX(0,DK82)*H_Exit))</f>
        <v>0</v>
      </c>
      <c r="GY82" s="20" t="n">
        <f aca="false">IF(H_Direct=1,IF(AML81&lt;=0,0,IF(DL82&lt;=0,AML81,AML81-G82*MAX(0,DL82*AML81-(KK82+NX82)))),AML81*(1-MAX(0,DL82)*H_Exit))</f>
        <v>0</v>
      </c>
      <c r="GZ82" s="20" t="n">
        <f aca="false">IF(H_Direct=1,IF(AMM81&lt;=0,0,IF(DM82&lt;=0,AMM81,AMM81-G82*MAX(0,DM82*AMM81-(KL82+NY82)))),AMM81*(1-MAX(0,DM82)*H_Exit))</f>
        <v>0</v>
      </c>
      <c r="HA82" s="20" t="n">
        <f aca="false">IF(H_Direct=1,IF(AMN81&lt;=0,0,IF(DN82&lt;=0,AMN81,AMN81-G82*MAX(0,DN82*AMN81-(KM82+NZ82)))),AMN81*(1-MAX(0,DN82)*H_Exit))</f>
        <v>0</v>
      </c>
      <c r="HB82" s="20" t="n">
        <f aca="false">IF(H_Direct=1,IF(AMO81&lt;=0,0,IF(DO82&lt;=0,AMO81,AMO81-G82*MAX(0,DO82*AMO81-(KN82+OA82)))),AMO81*(1-MAX(0,DO82)*H_Exit))</f>
        <v>0</v>
      </c>
      <c r="HC82" s="20" t="n">
        <f aca="false">IF(H_Direct=1,IF(AMP81&lt;=0,0,IF(DP82&lt;=0,AMP81,AMP81-G82*MAX(0,DP82*AMP81-(KO82+OB82)))),AMP81*(1-MAX(0,DP82)*H_Exit))</f>
        <v>0</v>
      </c>
      <c r="HD82" s="20" t="n">
        <f aca="false">IF(H_Direct=1,IF(AMQ81&lt;=0,0,IF(DQ82&lt;=0,AMQ81,AMQ81-G82*MAX(0,DQ82*AMQ81-(KP82+OC82)))),AMQ81*(1-MAX(0,DQ82)*H_Exit))</f>
        <v>0</v>
      </c>
      <c r="HE82" s="20" t="n">
        <f aca="false">IF(H_Direct=1,IF(AMR81&lt;=0,0,IF(DR82&lt;=0,AMR81,AMR81-G82*MAX(0,DR82*AMR81-(KQ82+OD82)))),AMR81*(1-MAX(0,DR82)*H_Exit))</f>
        <v>0</v>
      </c>
      <c r="HF82" s="20" t="n">
        <f aca="false">IF(H_Direct=1,IF(AMS81&lt;=0,0,IF(DS82&lt;=0,AMS81,AMS81-G82*MAX(0,DS82*AMS81-(KR82+OE82)))),AMS81*(1-MAX(0,DS82)*H_Exit))</f>
        <v>0</v>
      </c>
      <c r="HG82" s="20" t="n">
        <f aca="false">IF(H_Direct=1,IF(AMT81&lt;=0,0,IF(DT82&lt;=0,AMT81,AMT81-G82*MAX(0,DT82*AMT81-(KS82+OF82)))),AMT81*(1-MAX(0,DT82)*H_Exit))</f>
        <v>0</v>
      </c>
      <c r="HH82" s="20" t="n">
        <f aca="false">IF(H_Direct=1,IF(AMU81&lt;=0,0,IF(DU82&lt;=0,AMU81,AMU81-G82*MAX(0,DU82*AMU81-(KT82+OG82)))),AMU81*(1-MAX(0,DU82)*H_Exit))</f>
        <v>0</v>
      </c>
      <c r="HI82" s="20" t="n">
        <f aca="false">IF(H_Direct=1,IF(AMV81&lt;=0,0,IF(DV82&lt;=0,AMV81,AMV81-G82*MAX(0,DV82*AMV81-(KU82+OH82)))),AMV81*(1-MAX(0,DV82)*H_Exit))</f>
        <v>0</v>
      </c>
      <c r="HJ82" s="20" t="n">
        <f aca="false">IF(H_Direct=1,IF(AMW81&lt;=0,0,IF(DW82&lt;=0,AMW81,AMW81-G82*MAX(0,DW82*AMW81-(KV82+OI82)))),AMW81*(1-MAX(0,DW82)*H_Exit))</f>
        <v>0</v>
      </c>
      <c r="HK82" s="20" t="n">
        <f aca="false">IF(H_Direct=1,IF(AMX81&lt;=0,0,IF(DX82&lt;=0,AMX81,AMX81-G82*MAX(0,DX82*AMX81-(KW82+OJ82)))),AMX81*(1-MAX(0,DX82)*H_Exit))</f>
        <v>0</v>
      </c>
      <c r="HL82" s="20" t="n">
        <f aca="false">IF(H_Direct=1,IF(AMY81&lt;=0,0,IF(DY82&lt;=0,AMY81,AMY81-G82*MAX(0,DY82*AMY81-(KX82+OK82)))),AMY81*(1-MAX(0,DY82)*H_Exit))</f>
        <v>0</v>
      </c>
      <c r="HM82" s="20" t="n">
        <f aca="false">IF(H_Direct=1,IF(AMZ81&lt;=0,0,IF(DZ82&lt;=0,AMZ81,AMZ81-G82*MAX(0,DZ82*AMZ81-(KY82+OL82)))),AMZ81*(1-MAX(0,DZ82)*H_Exit))</f>
        <v>0</v>
      </c>
      <c r="HN82" s="20" t="n">
        <f aca="false">IF(H_Direct=1,IF(ANA81&lt;=0,0,IF(EA82&lt;=0,ANA81,ANA81-G82*MAX(0,EA82*ANA81-(KZ82+OM82)))),ANA81*(1-MAX(0,EA82)*H_Exit))</f>
        <v>0</v>
      </c>
      <c r="HO82" s="20" t="n">
        <f aca="false">IF(H_Direct=1,IF(ANB81&lt;=0,0,IF(EB82&lt;=0,ANB81,ANB81-G82*MAX(0,EB82*ANB81-(LA82+ON82)))),ANB81*(1-MAX(0,EB82)*H_Exit))</f>
        <v>0</v>
      </c>
      <c r="HP82" s="20" t="n">
        <f aca="false">IF(H_Direct=1,IF(ANC81&lt;=0,0,IF(EC82&lt;=0,ANC81,ANC81-G82*MAX(0,EC82*ANC81-(LB82+OO82)))),ANC81*(1-MAX(0,EC82)*H_Exit))</f>
        <v>0</v>
      </c>
      <c r="HQ82" s="20" t="n">
        <f aca="false">IF(H_Direct=1,IF(AND81&lt;=0,0,IF(ED82&lt;=0,AND81,AND81-G82*MAX(0,ED82*AND81-(LC82+OP82)))),AND81*(1-MAX(0,ED82)*H_Exit))</f>
        <v>0</v>
      </c>
      <c r="HR82" s="20" t="n">
        <f aca="false">IF(H_Direct=1,IF(ANE81&lt;=0,0,IF(EE82&lt;=0,ANE81,ANE81-G82*MAX(0,EE82*ANE81-(LD82+OQ82)))),ANE81*(1-MAX(0,EE82)*H_Exit))</f>
        <v>0</v>
      </c>
      <c r="HS82" s="20" t="n">
        <f aca="false">IF(H_Direct=1,IF(ANF81&lt;=0,0,IF(EF82&lt;=0,ANF81,ANF81-G82*MAX(0,EF82*ANF81-(LE82+OR82)))),ANF81*(1-MAX(0,EF82)*H_Exit))</f>
        <v>0</v>
      </c>
      <c r="HT82" s="20" t="n">
        <f aca="false">IF(H_Direct=1,IF(ANG81&lt;=0,0,IF(EG82&lt;=0,ANG81,ANG81-G82*MAX(0,EG82*ANG81-(LF82+OS82)))),ANG81*(1-MAX(0,EG82)*H_Exit))</f>
        <v>0</v>
      </c>
      <c r="HU82" s="20" t="n">
        <f aca="false">IF(H_Direct=1,IF(ANH81&lt;=0,0,IF(EH82&lt;=0,ANH81,ANH81-G82*MAX(0,EH82*ANH81-(LG82+OT82)))),ANH81*(1-MAX(0,EH82)*H_Exit))</f>
        <v>0</v>
      </c>
      <c r="HV82" s="20" t="n">
        <f aca="false">IF(H_Direct=1,IF(ANI81&lt;=0,0,IF(EI82&lt;=0,ANI81,ANI81-G82*MAX(0,EI82*ANI81-(LH82+OU82)))),ANI81*(1-MAX(0,EI82)*H_Exit))</f>
        <v>0</v>
      </c>
      <c r="HW82" s="20" t="n">
        <f aca="false">IF(H_Direct=1,IF(ANJ81&lt;=0,0,IF(EJ82&lt;=0,ANJ81,ANJ81-G82*MAX(0,EJ82*ANJ81-(LI82+OV82)))),ANJ81*(1-MAX(0,EJ82)*H_Exit))</f>
        <v>0</v>
      </c>
      <c r="HX82" s="20" t="n">
        <f aca="false">IF(H_Direct=1,IF(ANK81&lt;=0,0,IF(EK82&lt;=0,ANK81,ANK81-G82*MAX(0,EK82*ANK81-(LJ82+OW82)))),ANK81*(1-MAX(0,EK82)*H_Exit))</f>
        <v>0</v>
      </c>
      <c r="HY82" s="20" t="n">
        <f aca="false">IF(H_Direct=1,IF(ANL81&lt;=0,0,IF(EL82&lt;=0,ANL81,ANL81-G82*MAX(0,EL82*ANL81-(LK82+OX82)))),ANL81*(1-MAX(0,EL82)*H_Exit))</f>
        <v>0</v>
      </c>
      <c r="HZ82" s="20" t="n">
        <f aca="false">IF(H_Direct=1,IF(ANM81&lt;=0,0,IF(EM82&lt;=0,ANM81,ANM81-G82*MAX(0,EM82*ANM81-(LL82+OY82)))),ANM81*(1-MAX(0,EM82)*H_Exit))</f>
        <v>0</v>
      </c>
      <c r="IA82" s="20" t="n">
        <f aca="false">IF(H_Direct=1,IF(ANN81&lt;=0,0,IF(EN82&lt;=0,ANN81,ANN81-G82*MAX(0,EN82*ANN81-(LM82+OZ82)))),ANN81*(1-MAX(0,EN82)*H_Exit))</f>
        <v>0</v>
      </c>
      <c r="IB82" s="20" t="n">
        <f aca="false">IF(H_Direct=1,IF((P82+S82)&lt;=0,0,IF(EO82&lt;=0,(P82+S82),(P82+S82)-G82*MAX(0,EO82*(P82+S82)-(LN82+PA82)))),(P82+S82)*(1-MAX(0,EO82)*H_Exit))</f>
        <v>0</v>
      </c>
      <c r="IC82" s="20" t="n">
        <v>0</v>
      </c>
      <c r="ID82" s="20" t="n">
        <v>0</v>
      </c>
      <c r="IE82" s="20" t="n">
        <v>0</v>
      </c>
      <c r="IF82" s="20" t="n">
        <v>0</v>
      </c>
      <c r="IG82" s="20" t="n">
        <v>0</v>
      </c>
      <c r="IH82" s="20" t="n">
        <v>0</v>
      </c>
      <c r="II82" s="20" t="n">
        <v>0</v>
      </c>
      <c r="IJ82" s="20" t="n">
        <v>0</v>
      </c>
      <c r="IK82" s="20" t="n">
        <v>0</v>
      </c>
      <c r="IL82" s="20" t="n">
        <v>0</v>
      </c>
      <c r="IM82" s="20" t="n">
        <v>0</v>
      </c>
      <c r="IN82" s="20" t="n">
        <v>0</v>
      </c>
      <c r="IO82" s="20" t="n">
        <v>0</v>
      </c>
      <c r="IP82" s="20" t="n">
        <v>0</v>
      </c>
      <c r="IQ82" s="20" t="n">
        <v>0</v>
      </c>
      <c r="IR82" s="20" t="n">
        <f aca="false">IF(AND(H_Direct=1,BR82&gt;0),MAX(0,H82-(MIN(BR82*AKR81,H82+I82)-MIN(MIN(BR82*AKR81,H82+I82),I82))),H82)</f>
        <v>1270</v>
      </c>
      <c r="IS82" s="20" t="n">
        <f aca="false">IF(AND(H_Direct=1,BS82&gt;0),MAX(0,IR82-(MIN(BS82*AKS81,IR82+ME82)-MIN(MIN(BS82*AKS81,IR82+ME82),ME82))),IR82)</f>
        <v>1270</v>
      </c>
      <c r="IT82" s="20" t="n">
        <f aca="false">IF(AND(H_Direct=1,BT82&gt;0),MAX(0,IS82-(MIN(BT82*AKT81,IS82+MF82)-MIN(MIN(BT82*AKT81,IS82+MF82),MF82))),IS82)</f>
        <v>1270</v>
      </c>
      <c r="IU82" s="20" t="n">
        <f aca="false">IF(AND(H_Direct=1,BU82&gt;0),MAX(0,IT82-(MIN(BU82*AKU81,IT82+MG82)-MIN(MIN(BU82*AKU81,IT82+MG82),MG82))),IT82)</f>
        <v>1270</v>
      </c>
      <c r="IV82" s="20" t="n">
        <f aca="false">IF(AND(H_Direct=1,BV82&gt;0),MAX(0,IU82-(MIN(BV82*AKV81,IU82+MH82)-MIN(MIN(BV82*AKV81,IU82+MH82),MH82))),IU82)</f>
        <v>1270</v>
      </c>
      <c r="IW82" s="20" t="n">
        <f aca="false">IF(AND(H_Direct=1,BW82&gt;0),MAX(0,IV82-(MIN(BW82*AKW81,IV82+MI82)-MIN(MIN(BW82*AKW81,IV82+MI82),MI82))),IV82)</f>
        <v>1270</v>
      </c>
      <c r="IX82" s="20" t="n">
        <f aca="false">IF(AND(H_Direct=1,BX82&gt;0),MAX(0,IW82-(MIN(BX82*AKX81,IW82+MJ82)-MIN(MIN(BX82*AKX81,IW82+MJ82),MJ82))),IW82)</f>
        <v>1270</v>
      </c>
      <c r="IY82" s="20" t="n">
        <f aca="false">IF(AND(H_Direct=1,BY82&gt;0),MAX(0,IX82-(MIN(BY82*AKY81,IX82+MK82)-MIN(MIN(BY82*AKY81,IX82+MK82),MK82))),IX82)</f>
        <v>1270</v>
      </c>
      <c r="IZ82" s="20" t="n">
        <f aca="false">IF(AND(H_Direct=1,BZ82&gt;0),MAX(0,IY82-(MIN(BZ82*AKZ81,IY82+ML82)-MIN(MIN(BZ82*AKZ81,IY82+ML82),ML82))),IY82)</f>
        <v>1270</v>
      </c>
      <c r="JA82" s="20" t="n">
        <f aca="false">IF(AND(H_Direct=1,CA82&gt;0),MAX(0,IZ82-(MIN(CA82*ALA81,IZ82+MM82)-MIN(MIN(CA82*ALA81,IZ82+MM82),MM82))),IZ82)</f>
        <v>1270</v>
      </c>
      <c r="JB82" s="20" t="n">
        <f aca="false">IF(AND(H_Direct=1,CB82&gt;0),MAX(0,JA82-(MIN(CB82*ALB81,JA82+MN82)-MIN(MIN(CB82*ALB81,JA82+MN82),MN82))),JA82)</f>
        <v>1270</v>
      </c>
      <c r="JC82" s="20" t="n">
        <f aca="false">IF(AND(H_Direct=1,CC82&gt;0),MAX(0,JB82-(MIN(CC82*ALC81,JB82+MO82)-MIN(MIN(CC82*ALC81,JB82+MO82),MO82))),JB82)</f>
        <v>1270</v>
      </c>
      <c r="JD82" s="20" t="n">
        <f aca="false">IF(AND(H_Direct=1,CD82&gt;0),MAX(0,JC82-(MIN(CD82*ALD81,JC82+MP82)-MIN(MIN(CD82*ALD81,JC82+MP82),MP82))),JC82)</f>
        <v>1270</v>
      </c>
      <c r="JE82" s="20" t="n">
        <f aca="false">IF(AND(H_Direct=1,CE82&gt;0),MAX(0,JD82-(MIN(CE82*ALE81,JD82+MQ82)-MIN(MIN(CE82*ALE81,JD82+MQ82),MQ82))),JD82)</f>
        <v>1270</v>
      </c>
      <c r="JF82" s="20" t="n">
        <f aca="false">IF(AND(H_Direct=1,CF82&gt;0),MAX(0,JE82-(MIN(CF82*ALF81,JE82+MR82)-MIN(MIN(CF82*ALF81,JE82+MR82),MR82))),JE82)</f>
        <v>1270</v>
      </c>
      <c r="JG82" s="20" t="n">
        <f aca="false">IF(AND(H_Direct=1,CG82&gt;0),MAX(0,JF82-(MIN(CG82*ALG81,JF82+MS82)-MIN(MIN(CG82*ALG81,JF82+MS82),MS82))),JF82)</f>
        <v>1270</v>
      </c>
      <c r="JH82" s="20" t="n">
        <f aca="false">IF(AND(H_Direct=1,CH82&gt;0),MAX(0,JG82-(MIN(CH82*ALH81,JG82+MT82)-MIN(MIN(CH82*ALH81,JG82+MT82),MT82))),JG82)</f>
        <v>1270</v>
      </c>
      <c r="JI82" s="20" t="n">
        <f aca="false">IF(AND(H_Direct=1,CI82&gt;0),MAX(0,JH82-(MIN(CI82*ALI81,JH82+MU82)-MIN(MIN(CI82*ALI81,JH82+MU82),MU82))),JH82)</f>
        <v>1270</v>
      </c>
      <c r="JJ82" s="20" t="n">
        <f aca="false">IF(AND(H_Direct=1,CJ82&gt;0),MAX(0,JI82-(MIN(CJ82*ALJ81,JI82+MV82)-MIN(MIN(CJ82*ALJ81,JI82+MV82),MV82))),JI82)</f>
        <v>1270</v>
      </c>
      <c r="JK82" s="20" t="n">
        <f aca="false">IF(AND(H_Direct=1,CK82&gt;0),MAX(0,JJ82-(MIN(CK82*ALK81,JJ82+MW82)-MIN(MIN(CK82*ALK81,JJ82+MW82),MW82))),JJ82)</f>
        <v>1270</v>
      </c>
      <c r="JL82" s="20" t="n">
        <f aca="false">IF(AND(H_Direct=1,CL82&gt;0),MAX(0,JK82-(MIN(CL82*ALL81,JK82+MX82)-MIN(MIN(CL82*ALL81,JK82+MX82),MX82))),JK82)</f>
        <v>1270</v>
      </c>
      <c r="JM82" s="20" t="n">
        <f aca="false">IF(AND(H_Direct=1,CM82&gt;0),MAX(0,JL82-(MIN(CM82*ALM81,JL82+MY82)-MIN(MIN(CM82*ALM81,JL82+MY82),MY82))),JL82)</f>
        <v>1270</v>
      </c>
      <c r="JN82" s="20" t="n">
        <f aca="false">IF(AND(H_Direct=1,CN82&gt;0),MAX(0,JM82-(MIN(CN82*ALN81,JM82+MZ82)-MIN(MIN(CN82*ALN81,JM82+MZ82),MZ82))),JM82)</f>
        <v>1270</v>
      </c>
      <c r="JO82" s="20" t="n">
        <f aca="false">IF(AND(H_Direct=1,CO82&gt;0),MAX(0,JN82-(MIN(CO82*ALO81,JN82+NA82)-MIN(MIN(CO82*ALO81,JN82+NA82),NA82))),JN82)</f>
        <v>1270</v>
      </c>
      <c r="JP82" s="20" t="n">
        <f aca="false">IF(AND(H_Direct=1,CP82&gt;0),MAX(0,JO82-(MIN(CP82*ALP81,JO82+NB82)-MIN(MIN(CP82*ALP81,JO82+NB82),NB82))),JO82)</f>
        <v>1270</v>
      </c>
      <c r="JQ82" s="20" t="n">
        <f aca="false">IF(AND(H_Direct=1,CQ82&gt;0),MAX(0,JP82-(MIN(CQ82*ALQ81,JP82+NC82)-MIN(MIN(CQ82*ALQ81,JP82+NC82),NC82))),JP82)</f>
        <v>1270</v>
      </c>
      <c r="JR82" s="20" t="n">
        <f aca="false">IF(AND(H_Direct=1,CR82&gt;0),MAX(0,JQ82-(MIN(CR82*ALR81,JQ82+ND82)-MIN(MIN(CR82*ALR81,JQ82+ND82),ND82))),JQ82)</f>
        <v>1270</v>
      </c>
      <c r="JS82" s="20" t="n">
        <f aca="false">IF(AND(H_Direct=1,CS82&gt;0),MAX(0,JR82-(MIN(CS82*ALS81,JR82+NE82)-MIN(MIN(CS82*ALS81,JR82+NE82),NE82))),JR82)</f>
        <v>1270</v>
      </c>
      <c r="JT82" s="20" t="n">
        <f aca="false">IF(AND(H_Direct=1,CT82&gt;0),MAX(0,JS82-(MIN(CT82*ALT81,JS82+NF82)-MIN(MIN(CT82*ALT81,JS82+NF82),NF82))),JS82)</f>
        <v>1270</v>
      </c>
      <c r="JU82" s="20" t="n">
        <f aca="false">IF(AND(H_Direct=1,CU82&gt;0),MAX(0,JT82-(MIN(CU82*ALU81,JT82+NG82)-MIN(MIN(CU82*ALU81,JT82+NG82),NG82))),JT82)</f>
        <v>1270</v>
      </c>
      <c r="JV82" s="20" t="n">
        <f aca="false">IF(AND(H_Direct=1,CV82&gt;0),MAX(0,JU82-(MIN(CV82*ALV81,JU82+NH82)-MIN(MIN(CV82*ALV81,JU82+NH82),NH82))),JU82)</f>
        <v>1270</v>
      </c>
      <c r="JW82" s="20" t="n">
        <f aca="false">IF(AND(H_Direct=1,CW82&gt;0),MAX(0,JV82-(MIN(CW82*ALW81,JV82+NI82)-MIN(MIN(CW82*ALW81,JV82+NI82),NI82))),JV82)</f>
        <v>1270</v>
      </c>
      <c r="JX82" s="20" t="n">
        <f aca="false">IF(AND(H_Direct=1,CX82&gt;0),MAX(0,JW82-(MIN(CX82*ALX81,JW82+NJ82)-MIN(MIN(CX82*ALX81,JW82+NJ82),NJ82))),JW82)</f>
        <v>1270</v>
      </c>
      <c r="JY82" s="20" t="n">
        <f aca="false">IF(AND(H_Direct=1,CY82&gt;0),MAX(0,JX82-(MIN(CY82*ALY81,JX82+NK82)-MIN(MIN(CY82*ALY81,JX82+NK82),NK82))),JX82)</f>
        <v>1270</v>
      </c>
      <c r="JZ82" s="20" t="n">
        <f aca="false">IF(AND(H_Direct=1,CZ82&gt;0),MAX(0,JY82-(MIN(CZ82*ALZ81,JY82+NL82)-MIN(MIN(CZ82*ALZ81,JY82+NL82),NL82))),JY82)</f>
        <v>1270</v>
      </c>
      <c r="KA82" s="20" t="n">
        <f aca="false">IF(AND(H_Direct=1,DA82&gt;0),MAX(0,JZ82-(MIN(DA82*AMA81,JZ82+NM82)-MIN(MIN(DA82*AMA81,JZ82+NM82),NM82))),JZ82)</f>
        <v>1270</v>
      </c>
      <c r="KB82" s="20" t="n">
        <f aca="false">IF(AND(H_Direct=1,DB82&gt;0),MAX(0,KA82-(MIN(DB82*AMB81,KA82+NN82)-MIN(MIN(DB82*AMB81,KA82+NN82),NN82))),KA82)</f>
        <v>1270</v>
      </c>
      <c r="KC82" s="20" t="n">
        <f aca="false">IF(AND(H_Direct=1,DC82&gt;0),MAX(0,KB82-(MIN(DC82*AMC81,KB82+NO82)-MIN(MIN(DC82*AMC81,KB82+NO82),NO82))),KB82)</f>
        <v>1270</v>
      </c>
      <c r="KD82" s="20" t="n">
        <f aca="false">IF(AND(H_Direct=1,DD82&gt;0),MAX(0,KC82-(MIN(DD82*AMD81,KC82+NP82)-MIN(MIN(DD82*AMD81,KC82+NP82),NP82))),KC82)</f>
        <v>1270</v>
      </c>
      <c r="KE82" s="20" t="n">
        <f aca="false">IF(AND(H_Direct=1,DE82&gt;0),MAX(0,KD82-(MIN(DE82*AME81,KD82+NQ82)-MIN(MIN(DE82*AME81,KD82+NQ82),NQ82))),KD82)</f>
        <v>1270</v>
      </c>
      <c r="KF82" s="20" t="n">
        <f aca="false">IF(AND(H_Direct=1,DF82&gt;0),MAX(0,KE82-(MIN(DF82*AMF81,KE82+NR82)-MIN(MIN(DF82*AMF81,KE82+NR82),NR82))),KE82)</f>
        <v>1270</v>
      </c>
      <c r="KG82" s="20" t="n">
        <f aca="false">IF(AND(H_Direct=1,DG82&gt;0),MAX(0,KF82-(MIN(DG82*AMG81,KF82+NS82)-MIN(MIN(DG82*AMG81,KF82+NS82),NS82))),KF82)</f>
        <v>1270</v>
      </c>
      <c r="KH82" s="20" t="n">
        <f aca="false">IF(AND(H_Direct=1,DH82&gt;0),MAX(0,KG82-(MIN(DH82*AMH81,KG82+NT82)-MIN(MIN(DH82*AMH81,KG82+NT82),NT82))),KG82)</f>
        <v>1270</v>
      </c>
      <c r="KI82" s="20" t="n">
        <f aca="false">IF(AND(H_Direct=1,DI82&gt;0),MAX(0,KH82-(MIN(DI82*AMI81,KH82+NU82)-MIN(MIN(DI82*AMI81,KH82+NU82),NU82))),KH82)</f>
        <v>1270</v>
      </c>
      <c r="KJ82" s="20" t="n">
        <f aca="false">IF(AND(H_Direct=1,DJ82&gt;0),MAX(0,KI82-(MIN(DJ82*AMJ81,KI82+NV82)-MIN(MIN(DJ82*AMJ81,KI82+NV82),NV82))),KI82)</f>
        <v>1270</v>
      </c>
      <c r="KK82" s="20" t="n">
        <f aca="false">IF(AND(H_Direct=1,DK82&gt;0),MAX(0,KJ82-(MIN(DK82*AMK81,KJ82+NW82)-MIN(MIN(DK82*AMK81,KJ82+NW82),NW82))),KJ82)</f>
        <v>1270</v>
      </c>
      <c r="KL82" s="20" t="n">
        <f aca="false">IF(AND(H_Direct=1,DL82&gt;0),MAX(0,KK82-(MIN(DL82*AML81,KK82+NX82)-MIN(MIN(DL82*AML81,KK82+NX82),NX82))),KK82)</f>
        <v>1270</v>
      </c>
      <c r="KM82" s="20" t="n">
        <f aca="false">IF(AND(H_Direct=1,DM82&gt;0),MAX(0,KL82-(MIN(DM82*AMM81,KL82+NY82)-MIN(MIN(DM82*AMM81,KL82+NY82),NY82))),KL82)</f>
        <v>1270</v>
      </c>
      <c r="KN82" s="20" t="n">
        <f aca="false">IF(AND(H_Direct=1,DN82&gt;0),MAX(0,KM82-(MIN(DN82*AMN81,KM82+NZ82)-MIN(MIN(DN82*AMN81,KM82+NZ82),NZ82))),KM82)</f>
        <v>1270</v>
      </c>
      <c r="KO82" s="20" t="n">
        <f aca="false">IF(AND(H_Direct=1,DO82&gt;0),MAX(0,KN82-(MIN(DO82*AMO81,KN82+OA82)-MIN(MIN(DO82*AMO81,KN82+OA82),OA82))),KN82)</f>
        <v>1270</v>
      </c>
      <c r="KP82" s="20" t="n">
        <f aca="false">IF(AND(H_Direct=1,DP82&gt;0),MAX(0,KO82-(MIN(DP82*AMP81,KO82+OB82)-MIN(MIN(DP82*AMP81,KO82+OB82),OB82))),KO82)</f>
        <v>1270</v>
      </c>
      <c r="KQ82" s="20" t="n">
        <f aca="false">IF(AND(H_Direct=1,DQ82&gt;0),MAX(0,KP82-(MIN(DQ82*AMQ81,KP82+OC82)-MIN(MIN(DQ82*AMQ81,KP82+OC82),OC82))),KP82)</f>
        <v>1270</v>
      </c>
      <c r="KR82" s="20" t="n">
        <f aca="false">IF(AND(H_Direct=1,DR82&gt;0),MAX(0,KQ82-(MIN(DR82*AMR81,KQ82+OD82)-MIN(MIN(DR82*AMR81,KQ82+OD82),OD82))),KQ82)</f>
        <v>1270</v>
      </c>
      <c r="KS82" s="20" t="n">
        <f aca="false">IF(AND(H_Direct=1,DS82&gt;0),MAX(0,KR82-(MIN(DS82*AMS81,KR82+OE82)-MIN(MIN(DS82*AMS81,KR82+OE82),OE82))),KR82)</f>
        <v>1270</v>
      </c>
      <c r="KT82" s="20" t="n">
        <f aca="false">IF(AND(H_Direct=1,DT82&gt;0),MAX(0,KS82-(MIN(DT82*AMT81,KS82+OF82)-MIN(MIN(DT82*AMT81,KS82+OF82),OF82))),KS82)</f>
        <v>1270</v>
      </c>
      <c r="KU82" s="20" t="n">
        <f aca="false">IF(AND(H_Direct=1,DU82&gt;0),MAX(0,KT82-(MIN(DU82*AMU81,KT82+OG82)-MIN(MIN(DU82*AMU81,KT82+OG82),OG82))),KT82)</f>
        <v>1270</v>
      </c>
      <c r="KV82" s="20" t="n">
        <f aca="false">IF(AND(H_Direct=1,DV82&gt;0),MAX(0,KU82-(MIN(DV82*AMV81,KU82+OH82)-MIN(MIN(DV82*AMV81,KU82+OH82),OH82))),KU82)</f>
        <v>1270</v>
      </c>
      <c r="KW82" s="20" t="n">
        <f aca="false">IF(AND(H_Direct=1,DW82&gt;0),MAX(0,KV82-(MIN(DW82*AMW81,KV82+OI82)-MIN(MIN(DW82*AMW81,KV82+OI82),OI82))),KV82)</f>
        <v>1270</v>
      </c>
      <c r="KX82" s="20" t="n">
        <f aca="false">IF(AND(H_Direct=1,DX82&gt;0),MAX(0,KW82-(MIN(DX82*AMX81,KW82+OJ82)-MIN(MIN(DX82*AMX81,KW82+OJ82),OJ82))),KW82)</f>
        <v>1270</v>
      </c>
      <c r="KY82" s="20" t="n">
        <f aca="false">IF(AND(H_Direct=1,DY82&gt;0),MAX(0,KX82-(MIN(DY82*AMY81,KX82+OK82)-MIN(MIN(DY82*AMY81,KX82+OK82),OK82))),KX82)</f>
        <v>1270</v>
      </c>
      <c r="KZ82" s="20" t="n">
        <f aca="false">IF(AND(H_Direct=1,DZ82&gt;0),MAX(0,KY82-(MIN(DZ82*AMZ81,KY82+OL82)-MIN(MIN(DZ82*AMZ81,KY82+OL82),OL82))),KY82)</f>
        <v>1270</v>
      </c>
      <c r="LA82" s="20" t="n">
        <f aca="false">IF(AND(H_Direct=1,EA82&gt;0),MAX(0,KZ82-(MIN(EA82*ANA81,KZ82+OM82)-MIN(MIN(EA82*ANA81,KZ82+OM82),OM82))),KZ82)</f>
        <v>1270</v>
      </c>
      <c r="LB82" s="20" t="n">
        <f aca="false">IF(AND(H_Direct=1,EB82&gt;0),MAX(0,LA82-(MIN(EB82*ANB81,LA82+ON82)-MIN(MIN(EB82*ANB81,LA82+ON82),ON82))),LA82)</f>
        <v>1270</v>
      </c>
      <c r="LC82" s="20" t="n">
        <f aca="false">IF(AND(H_Direct=1,EC82&gt;0),MAX(0,LB82-(MIN(EC82*ANC81,LB82+OO82)-MIN(MIN(EC82*ANC81,LB82+OO82),OO82))),LB82)</f>
        <v>1270</v>
      </c>
      <c r="LD82" s="20" t="n">
        <f aca="false">IF(AND(H_Direct=1,ED82&gt;0),MAX(0,LC82-(MIN(ED82*AND81,LC82+OP82)-MIN(MIN(ED82*AND81,LC82+OP82),OP82))),LC82)</f>
        <v>1270</v>
      </c>
      <c r="LE82" s="20" t="n">
        <f aca="false">IF(AND(H_Direct=1,EE82&gt;0),MAX(0,LD82-(MIN(EE82*ANE81,LD82+OQ82)-MIN(MIN(EE82*ANE81,LD82+OQ82),OQ82))),LD82)</f>
        <v>1270</v>
      </c>
      <c r="LF82" s="20" t="n">
        <f aca="false">IF(AND(H_Direct=1,EF82&gt;0),MAX(0,LE82-(MIN(EF82*ANF81,LE82+OR82)-MIN(MIN(EF82*ANF81,LE82+OR82),OR82))),LE82)</f>
        <v>1270</v>
      </c>
      <c r="LG82" s="20" t="n">
        <f aca="false">IF(AND(H_Direct=1,EG82&gt;0),MAX(0,LF82-(MIN(EG82*ANG81,LF82+OS82)-MIN(MIN(EG82*ANG81,LF82+OS82),OS82))),LF82)</f>
        <v>1270</v>
      </c>
      <c r="LH82" s="20" t="n">
        <f aca="false">IF(AND(H_Direct=1,EH82&gt;0),MAX(0,LG82-(MIN(EH82*ANH81,LG82+OT82)-MIN(MIN(EH82*ANH81,LG82+OT82),OT82))),LG82)</f>
        <v>1270</v>
      </c>
      <c r="LI82" s="20" t="n">
        <f aca="false">IF(AND(H_Direct=1,EI82&gt;0),MAX(0,LH82-(MIN(EI82*ANI81,LH82+OU82)-MIN(MIN(EI82*ANI81,LH82+OU82),OU82))),LH82)</f>
        <v>1270</v>
      </c>
      <c r="LJ82" s="20" t="n">
        <f aca="false">IF(AND(H_Direct=1,EJ82&gt;0),MAX(0,LI82-(MIN(EJ82*ANJ81,LI82+OV82)-MIN(MIN(EJ82*ANJ81,LI82+OV82),OV82))),LI82)</f>
        <v>1270</v>
      </c>
      <c r="LK82" s="20" t="n">
        <f aca="false">IF(AND(H_Direct=1,EK82&gt;0),MAX(0,LJ82-(MIN(EK82*ANK81,LJ82+OW82)-MIN(MIN(EK82*ANK81,LJ82+OW82),OW82))),LJ82)</f>
        <v>1270</v>
      </c>
      <c r="LL82" s="20" t="n">
        <f aca="false">IF(AND(H_Direct=1,EL82&gt;0),MAX(0,LK82-(MIN(EL82*ANL81,LK82+OX82)-MIN(MIN(EL82*ANL81,LK82+OX82),OX82))),LK82)</f>
        <v>1270</v>
      </c>
      <c r="LM82" s="20" t="n">
        <f aca="false">IF(AND(H_Direct=1,EM82&gt;0),MAX(0,LL82-(MIN(EM82*ANM81,LL82+OY82)-MIN(MIN(EM82*ANM81,LL82+OY82),OY82))),LL82)</f>
        <v>1270</v>
      </c>
      <c r="LN82" s="20" t="n">
        <f aca="false">IF(AND(H_Direct=1,EN82&gt;0),MAX(0,LM82-(MIN(EN82*ANN81,LM82+OZ82)-MIN(MIN(EN82*ANN81,LM82+OZ82),OZ82))),LM82)</f>
        <v>1270</v>
      </c>
      <c r="LO82" s="20" t="n">
        <f aca="false">IF(AND(H_Direct=1,EO82&gt;0),MAX(0,LN82-(MIN(EO82*(P82+S82),LN82+PA82)-MIN(MIN(EO82*(P82+S82),LN82+PA82),PA82))),LN82)</f>
        <v>1270</v>
      </c>
      <c r="LP82" s="20" t="n">
        <f aca="false">LO82</f>
        <v>1270</v>
      </c>
      <c r="LQ82" s="20" t="n">
        <f aca="false">LP82</f>
        <v>1270</v>
      </c>
      <c r="LR82" s="20" t="n">
        <f aca="false">LQ82</f>
        <v>1270</v>
      </c>
      <c r="LS82" s="20" t="n">
        <f aca="false">LR82</f>
        <v>1270</v>
      </c>
      <c r="LT82" s="20" t="n">
        <f aca="false">LS82</f>
        <v>1270</v>
      </c>
      <c r="LU82" s="20" t="n">
        <f aca="false">LT82</f>
        <v>1270</v>
      </c>
      <c r="LV82" s="20" t="n">
        <f aca="false">LU82</f>
        <v>1270</v>
      </c>
      <c r="LW82" s="20" t="n">
        <f aca="false">LV82</f>
        <v>1270</v>
      </c>
      <c r="LX82" s="20" t="n">
        <f aca="false">LW82</f>
        <v>1270</v>
      </c>
      <c r="LY82" s="20" t="n">
        <f aca="false">LX82</f>
        <v>1270</v>
      </c>
      <c r="LZ82" s="20" t="n">
        <f aca="false">LY82</f>
        <v>1270</v>
      </c>
      <c r="MA82" s="20" t="n">
        <f aca="false">LZ82</f>
        <v>1270</v>
      </c>
      <c r="MB82" s="20" t="n">
        <f aca="false">MA82</f>
        <v>1270</v>
      </c>
      <c r="MC82" s="20" t="n">
        <f aca="false">MB82</f>
        <v>1270</v>
      </c>
      <c r="MD82" s="20" t="n">
        <f aca="false">MC82</f>
        <v>1270</v>
      </c>
      <c r="ME82" s="20" t="n">
        <f aca="false">IF(H_Direct=1,IF(BR82&lt;=0,I82-BR82*AKR81,I82-MIN(MIN(BR82*AKR81,H82+I82),I82)),I82)</f>
        <v>0</v>
      </c>
      <c r="MF82" s="20" t="n">
        <f aca="false">IF(H_Direct=1,IF(BS82&lt;=0,ME82-BS82*AKS81,ME82-MIN(MIN(BS82*AKS81,IR82+ME82),ME82)),ME82)</f>
        <v>0</v>
      </c>
      <c r="MG82" s="20" t="n">
        <f aca="false">IF(H_Direct=1,IF(BT82&lt;=0,MF82-BT82*AKT81,MF82-MIN(MIN(BT82*AKT81,IS82+MF82),MF82)),MF82)</f>
        <v>0</v>
      </c>
      <c r="MH82" s="20" t="n">
        <f aca="false">IF(H_Direct=1,IF(BU82&lt;=0,MG82-BU82*AKU81,MG82-MIN(MIN(BU82*AKU81,IT82+MG82),MG82)),MG82)</f>
        <v>0</v>
      </c>
      <c r="MI82" s="20" t="n">
        <f aca="false">IF(H_Direct=1,IF(BV82&lt;=0,MH82-BV82*AKV81,MH82-MIN(MIN(BV82*AKV81,IU82+MH82),MH82)),MH82)</f>
        <v>0</v>
      </c>
      <c r="MJ82" s="20" t="n">
        <f aca="false">IF(H_Direct=1,IF(BW82&lt;=0,MI82-BW82*AKW81,MI82-MIN(MIN(BW82*AKW81,IV82+MI82),MI82)),MI82)</f>
        <v>0</v>
      </c>
      <c r="MK82" s="20" t="n">
        <f aca="false">IF(H_Direct=1,IF(BX82&lt;=0,MJ82-BX82*AKX81,MJ82-MIN(MIN(BX82*AKX81,IW82+MJ82),MJ82)),MJ82)</f>
        <v>0</v>
      </c>
      <c r="ML82" s="20" t="n">
        <f aca="false">IF(H_Direct=1,IF(BY82&lt;=0,MK82-BY82*AKY81,MK82-MIN(MIN(BY82*AKY81,IX82+MK82),MK82)),MK82)</f>
        <v>0</v>
      </c>
      <c r="MM82" s="20" t="n">
        <f aca="false">IF(H_Direct=1,IF(BZ82&lt;=0,ML82-BZ82*AKZ81,ML82-MIN(MIN(BZ82*AKZ81,IY82+ML82),ML82)),ML82)</f>
        <v>0</v>
      </c>
      <c r="MN82" s="20" t="n">
        <f aca="false">IF(H_Direct=1,IF(CA82&lt;=0,MM82-CA82*ALA81,MM82-MIN(MIN(CA82*ALA81,IZ82+MM82),MM82)),MM82)</f>
        <v>0</v>
      </c>
      <c r="MO82" s="20" t="n">
        <f aca="false">IF(H_Direct=1,IF(CB82&lt;=0,MN82-CB82*ALB81,MN82-MIN(MIN(CB82*ALB81,JA82+MN82),MN82)),MN82)</f>
        <v>0</v>
      </c>
      <c r="MP82" s="20" t="n">
        <f aca="false">IF(H_Direct=1,IF(CC82&lt;=0,MO82-CC82*ALC81,MO82-MIN(MIN(CC82*ALC81,JB82+MO82),MO82)),MO82)</f>
        <v>0</v>
      </c>
      <c r="MQ82" s="20" t="n">
        <f aca="false">IF(H_Direct=1,IF(CD82&lt;=0,MP82-CD82*ALD81,MP82-MIN(MIN(CD82*ALD81,JC82+MP82),MP82)),MP82)</f>
        <v>0</v>
      </c>
      <c r="MR82" s="20" t="n">
        <f aca="false">IF(H_Direct=1,IF(CE82&lt;=0,MQ82-CE82*ALE81,MQ82-MIN(MIN(CE82*ALE81,JD82+MQ82),MQ82)),MQ82)</f>
        <v>0</v>
      </c>
      <c r="MS82" s="20" t="n">
        <f aca="false">IF(H_Direct=1,IF(CF82&lt;=0,MR82-CF82*ALF81,MR82-MIN(MIN(CF82*ALF81,JE82+MR82),MR82)),MR82)</f>
        <v>0</v>
      </c>
      <c r="MT82" s="20" t="n">
        <f aca="false">IF(H_Direct=1,IF(CG82&lt;=0,MS82-CG82*ALG81,MS82-MIN(MIN(CG82*ALG81,JF82+MS82),MS82)),MS82)</f>
        <v>0</v>
      </c>
      <c r="MU82" s="20" t="n">
        <f aca="false">IF(H_Direct=1,IF(CH82&lt;=0,MT82-CH82*ALH81,MT82-MIN(MIN(CH82*ALH81,JG82+MT82),MT82)),MT82)</f>
        <v>0</v>
      </c>
      <c r="MV82" s="20" t="n">
        <f aca="false">IF(H_Direct=1,IF(CI82&lt;=0,MU82-CI82*ALI81,MU82-MIN(MIN(CI82*ALI81,JH82+MU82),MU82)),MU82)</f>
        <v>0</v>
      </c>
      <c r="MW82" s="20" t="n">
        <f aca="false">IF(H_Direct=1,IF(CJ82&lt;=0,MV82-CJ82*ALJ81,MV82-MIN(MIN(CJ82*ALJ81,JI82+MV82),MV82)),MV82)</f>
        <v>0</v>
      </c>
      <c r="MX82" s="20" t="n">
        <f aca="false">IF(H_Direct=1,IF(CK82&lt;=0,MW82-CK82*ALK81,MW82-MIN(MIN(CK82*ALK81,JJ82+MW82),MW82)),MW82)</f>
        <v>0</v>
      </c>
      <c r="MY82" s="20" t="n">
        <f aca="false">IF(H_Direct=1,IF(CL82&lt;=0,MX82-CL82*ALL81,MX82-MIN(MIN(CL82*ALL81,JK82+MX82),MX82)),MX82)</f>
        <v>0</v>
      </c>
      <c r="MZ82" s="20" t="n">
        <f aca="false">IF(H_Direct=1,IF(CM82&lt;=0,MY82-CM82*ALM81,MY82-MIN(MIN(CM82*ALM81,JL82+MY82),MY82)),MY82)</f>
        <v>0</v>
      </c>
      <c r="NA82" s="20" t="n">
        <f aca="false">IF(H_Direct=1,IF(CN82&lt;=0,MZ82-CN82*ALN81,MZ82-MIN(MIN(CN82*ALN81,JM82+MZ82),MZ82)),MZ82)</f>
        <v>0</v>
      </c>
      <c r="NB82" s="20" t="n">
        <f aca="false">IF(H_Direct=1,IF(CO82&lt;=0,NA82-CO82*ALO81,NA82-MIN(MIN(CO82*ALO81,JN82+NA82),NA82)),NA82)</f>
        <v>0</v>
      </c>
      <c r="NC82" s="20" t="n">
        <f aca="false">IF(H_Direct=1,IF(CP82&lt;=0,NB82-CP82*ALP81,NB82-MIN(MIN(CP82*ALP81,JO82+NB82),NB82)),NB82)</f>
        <v>0</v>
      </c>
      <c r="ND82" s="20" t="n">
        <f aca="false">IF(H_Direct=1,IF(CQ82&lt;=0,NC82-CQ82*ALQ81,NC82-MIN(MIN(CQ82*ALQ81,JP82+NC82),NC82)),NC82)</f>
        <v>0</v>
      </c>
      <c r="NE82" s="20" t="n">
        <f aca="false">IF(H_Direct=1,IF(CR82&lt;=0,ND82-CR82*ALR81,ND82-MIN(MIN(CR82*ALR81,JQ82+ND82),ND82)),ND82)</f>
        <v>0</v>
      </c>
      <c r="NF82" s="20" t="n">
        <f aca="false">IF(H_Direct=1,IF(CS82&lt;=0,NE82-CS82*ALS81,NE82-MIN(MIN(CS82*ALS81,JR82+NE82),NE82)),NE82)</f>
        <v>0</v>
      </c>
      <c r="NG82" s="20" t="n">
        <f aca="false">IF(H_Direct=1,IF(CT82&lt;=0,NF82-CT82*ALT81,NF82-MIN(MIN(CT82*ALT81,JS82+NF82),NF82)),NF82)</f>
        <v>0</v>
      </c>
      <c r="NH82" s="20" t="n">
        <f aca="false">IF(H_Direct=1,IF(CU82&lt;=0,NG82-CU82*ALU81,NG82-MIN(MIN(CU82*ALU81,JT82+NG82),NG82)),NG82)</f>
        <v>0</v>
      </c>
      <c r="NI82" s="20" t="n">
        <f aca="false">IF(H_Direct=1,IF(CV82&lt;=0,NH82-CV82*ALV81,NH82-MIN(MIN(CV82*ALV81,JU82+NH82),NH82)),NH82)</f>
        <v>0</v>
      </c>
      <c r="NJ82" s="20" t="n">
        <f aca="false">IF(H_Direct=1,IF(CW82&lt;=0,NI82-CW82*ALW81,NI82-MIN(MIN(CW82*ALW81,JV82+NI82),NI82)),NI82)</f>
        <v>0</v>
      </c>
      <c r="NK82" s="20" t="n">
        <f aca="false">IF(H_Direct=1,IF(CX82&lt;=0,NJ82-CX82*ALX81,NJ82-MIN(MIN(CX82*ALX81,JW82+NJ82),NJ82)),NJ82)</f>
        <v>0</v>
      </c>
      <c r="NL82" s="20" t="n">
        <f aca="false">IF(H_Direct=1,IF(CY82&lt;=0,NK82-CY82*ALY81,NK82-MIN(MIN(CY82*ALY81,JX82+NK82),NK82)),NK82)</f>
        <v>0</v>
      </c>
      <c r="NM82" s="20" t="n">
        <f aca="false">IF(H_Direct=1,IF(CZ82&lt;=0,NL82-CZ82*ALZ81,NL82-MIN(MIN(CZ82*ALZ81,JY82+NL82),NL82)),NL82)</f>
        <v>0</v>
      </c>
      <c r="NN82" s="20" t="n">
        <f aca="false">IF(H_Direct=1,IF(DA82&lt;=0,NM82-DA82*AMA81,NM82-MIN(MIN(DA82*AMA81,JZ82+NM82),NM82)),NM82)</f>
        <v>0</v>
      </c>
      <c r="NO82" s="20" t="n">
        <f aca="false">IF(H_Direct=1,IF(DB82&lt;=0,NN82-DB82*AMB81,NN82-MIN(MIN(DB82*AMB81,KA82+NN82),NN82)),NN82)</f>
        <v>0</v>
      </c>
      <c r="NP82" s="20" t="n">
        <f aca="false">IF(H_Direct=1,IF(DC82&lt;=0,NO82-DC82*AMC81,NO82-MIN(MIN(DC82*AMC81,KB82+NO82),NO82)),NO82)</f>
        <v>0</v>
      </c>
      <c r="NQ82" s="20" t="n">
        <f aca="false">IF(H_Direct=1,IF(DD82&lt;=0,NP82-DD82*AMD81,NP82-MIN(MIN(DD82*AMD81,KC82+NP82),NP82)),NP82)</f>
        <v>0</v>
      </c>
      <c r="NR82" s="20" t="n">
        <f aca="false">IF(H_Direct=1,IF(DE82&lt;=0,NQ82-DE82*AME81,NQ82-MIN(MIN(DE82*AME81,KD82+NQ82),NQ82)),NQ82)</f>
        <v>0</v>
      </c>
      <c r="NS82" s="20" t="n">
        <f aca="false">IF(H_Direct=1,IF(DF82&lt;=0,NR82-DF82*AMF81,NR82-MIN(MIN(DF82*AMF81,KE82+NR82),NR82)),NR82)</f>
        <v>0</v>
      </c>
      <c r="NT82" s="20" t="n">
        <f aca="false">IF(H_Direct=1,IF(DG82&lt;=0,NS82-DG82*AMG81,NS82-MIN(MIN(DG82*AMG81,KF82+NS82),NS82)),NS82)</f>
        <v>0</v>
      </c>
      <c r="NU82" s="20" t="n">
        <f aca="false">IF(H_Direct=1,IF(DH82&lt;=0,NT82-DH82*AMH81,NT82-MIN(MIN(DH82*AMH81,KG82+NT82),NT82)),NT82)</f>
        <v>0</v>
      </c>
      <c r="NV82" s="20" t="n">
        <f aca="false">IF(H_Direct=1,IF(DI82&lt;=0,NU82-DI82*AMI81,NU82-MIN(MIN(DI82*AMI81,KH82+NU82),NU82)),NU82)</f>
        <v>0</v>
      </c>
      <c r="NW82" s="20" t="n">
        <f aca="false">IF(H_Direct=1,IF(DJ82&lt;=0,NV82-DJ82*AMJ81,NV82-MIN(MIN(DJ82*AMJ81,KI82+NV82),NV82)),NV82)</f>
        <v>0</v>
      </c>
      <c r="NX82" s="20" t="n">
        <f aca="false">IF(H_Direct=1,IF(DK82&lt;=0,NW82-DK82*AMK81,NW82-MIN(MIN(DK82*AMK81,KJ82+NW82),NW82)),NW82)</f>
        <v>0</v>
      </c>
      <c r="NY82" s="20" t="n">
        <f aca="false">IF(H_Direct=1,IF(DL82&lt;=0,NX82-DL82*AML81,NX82-MIN(MIN(DL82*AML81,KK82+NX82),NX82)),NX82)</f>
        <v>0</v>
      </c>
      <c r="NZ82" s="20" t="n">
        <f aca="false">IF(H_Direct=1,IF(DM82&lt;=0,NY82-DM82*AMM81,NY82-MIN(MIN(DM82*AMM81,KL82+NY82),NY82)),NY82)</f>
        <v>0</v>
      </c>
      <c r="OA82" s="20" t="n">
        <f aca="false">IF(H_Direct=1,IF(DN82&lt;=0,NZ82-DN82*AMN81,NZ82-MIN(MIN(DN82*AMN81,KM82+NZ82),NZ82)),NZ82)</f>
        <v>0</v>
      </c>
      <c r="OB82" s="20" t="n">
        <f aca="false">IF(H_Direct=1,IF(DO82&lt;=0,OA82-DO82*AMO81,OA82-MIN(MIN(DO82*AMO81,KN82+OA82),OA82)),OA82)</f>
        <v>0</v>
      </c>
      <c r="OC82" s="20" t="n">
        <f aca="false">IF(H_Direct=1,IF(DP82&lt;=0,OB82-DP82*AMP81,OB82-MIN(MIN(DP82*AMP81,KO82+OB82),OB82)),OB82)</f>
        <v>0</v>
      </c>
      <c r="OD82" s="20" t="n">
        <f aca="false">IF(H_Direct=1,IF(DQ82&lt;=0,OC82-DQ82*AMQ81,OC82-MIN(MIN(DQ82*AMQ81,KP82+OC82),OC82)),OC82)</f>
        <v>0</v>
      </c>
      <c r="OE82" s="20" t="n">
        <f aca="false">IF(H_Direct=1,IF(DR82&lt;=0,OD82-DR82*AMR81,OD82-MIN(MIN(DR82*AMR81,KQ82+OD82),OD82)),OD82)</f>
        <v>0</v>
      </c>
      <c r="OF82" s="20" t="n">
        <f aca="false">IF(H_Direct=1,IF(DS82&lt;=0,OE82-DS82*AMS81,OE82-MIN(MIN(DS82*AMS81,KR82+OE82),OE82)),OE82)</f>
        <v>0</v>
      </c>
      <c r="OG82" s="20" t="n">
        <f aca="false">IF(H_Direct=1,IF(DT82&lt;=0,OF82-DT82*AMT81,OF82-MIN(MIN(DT82*AMT81,KS82+OF82),OF82)),OF82)</f>
        <v>0</v>
      </c>
      <c r="OH82" s="20" t="n">
        <f aca="false">IF(H_Direct=1,IF(DU82&lt;=0,OG82-DU82*AMU81,OG82-MIN(MIN(DU82*AMU81,KT82+OG82),OG82)),OG82)</f>
        <v>0</v>
      </c>
      <c r="OI82" s="20" t="n">
        <f aca="false">IF(H_Direct=1,IF(DV82&lt;=0,OH82-DV82*AMV81,OH82-MIN(MIN(DV82*AMV81,KU82+OH82),OH82)),OH82)</f>
        <v>0</v>
      </c>
      <c r="OJ82" s="20" t="n">
        <f aca="false">IF(H_Direct=1,IF(DW82&lt;=0,OI82-DW82*AMW81,OI82-MIN(MIN(DW82*AMW81,KV82+OI82),OI82)),OI82)</f>
        <v>0</v>
      </c>
      <c r="OK82" s="20" t="n">
        <f aca="false">IF(H_Direct=1,IF(DX82&lt;=0,OJ82-DX82*AMX81,OJ82-MIN(MIN(DX82*AMX81,KW82+OJ82),OJ82)),OJ82)</f>
        <v>0</v>
      </c>
      <c r="OL82" s="20" t="n">
        <f aca="false">IF(H_Direct=1,IF(DY82&lt;=0,OK82-DY82*AMY81,OK82-MIN(MIN(DY82*AMY81,KX82+OK82),OK82)),OK82)</f>
        <v>0</v>
      </c>
      <c r="OM82" s="20" t="n">
        <f aca="false">IF(H_Direct=1,IF(DZ82&lt;=0,OL82-DZ82*AMZ81,OL82-MIN(MIN(DZ82*AMZ81,KY82+OL82),OL82)),OL82)</f>
        <v>0</v>
      </c>
      <c r="ON82" s="20" t="n">
        <f aca="false">IF(H_Direct=1,IF(EA82&lt;=0,OM82-EA82*ANA81,OM82-MIN(MIN(EA82*ANA81,KZ82+OM82),OM82)),OM82)</f>
        <v>0</v>
      </c>
      <c r="OO82" s="20" t="n">
        <f aca="false">IF(H_Direct=1,IF(EB82&lt;=0,ON82-EB82*ANB81,ON82-MIN(MIN(EB82*ANB81,LA82+ON82),ON82)),ON82)</f>
        <v>0</v>
      </c>
      <c r="OP82" s="20" t="n">
        <f aca="false">IF(H_Direct=1,IF(EC82&lt;=0,OO82-EC82*ANC81,OO82-MIN(MIN(EC82*ANC81,LB82+OO82),OO82)),OO82)</f>
        <v>0</v>
      </c>
      <c r="OQ82" s="20" t="n">
        <f aca="false">IF(H_Direct=1,IF(ED82&lt;=0,OP82-ED82*AND81,OP82-MIN(MIN(ED82*AND81,LC82+OP82),OP82)),OP82)</f>
        <v>0</v>
      </c>
      <c r="OR82" s="20" t="n">
        <f aca="false">IF(H_Direct=1,IF(EE82&lt;=0,OQ82-EE82*ANE81,OQ82-MIN(MIN(EE82*ANE81,LD82+OQ82),OQ82)),OQ82)</f>
        <v>0</v>
      </c>
      <c r="OS82" s="20" t="n">
        <f aca="false">IF(H_Direct=1,IF(EF82&lt;=0,OR82-EF82*ANF81,OR82-MIN(MIN(EF82*ANF81,LE82+OR82),OR82)),OR82)</f>
        <v>0</v>
      </c>
      <c r="OT82" s="20" t="n">
        <f aca="false">IF(H_Direct=1,IF(EG82&lt;=0,OS82-EG82*ANG81,OS82-MIN(MIN(EG82*ANG81,LF82+OS82),OS82)),OS82)</f>
        <v>0</v>
      </c>
      <c r="OU82" s="20" t="n">
        <f aca="false">IF(H_Direct=1,IF(EH82&lt;=0,OT82-EH82*ANH81,OT82-MIN(MIN(EH82*ANH81,LG82+OT82),OT82)),OT82)</f>
        <v>0</v>
      </c>
      <c r="OV82" s="20" t="n">
        <f aca="false">IF(H_Direct=1,IF(EI82&lt;=0,OU82-EI82*ANI81,OU82-MIN(MIN(EI82*ANI81,LH82+OU82),OU82)),OU82)</f>
        <v>0</v>
      </c>
      <c r="OW82" s="20" t="n">
        <f aca="false">IF(H_Direct=1,IF(EJ82&lt;=0,OV82-EJ82*ANJ81,OV82-MIN(MIN(EJ82*ANJ81,LI82+OV82),OV82)),OV82)</f>
        <v>0</v>
      </c>
      <c r="OX82" s="20" t="n">
        <f aca="false">IF(H_Direct=1,IF(EK82&lt;=0,OW82-EK82*ANK81,OW82-MIN(MIN(EK82*ANK81,LJ82+OW82),OW82)),OW82)</f>
        <v>0</v>
      </c>
      <c r="OY82" s="20" t="n">
        <f aca="false">IF(H_Direct=1,IF(EL82&lt;=0,OX82-EL82*ANL81,OX82-MIN(MIN(EL82*ANL81,LK82+OX82),OX82)),OX82)</f>
        <v>0</v>
      </c>
      <c r="OZ82" s="20" t="n">
        <f aca="false">IF(H_Direct=1,IF(EM82&lt;=0,OY82-EM82*ANM81,OY82-MIN(MIN(EM82*ANM81,LL82+OY82),OY82)),OY82)</f>
        <v>0</v>
      </c>
      <c r="PA82" s="20" t="n">
        <f aca="false">IF(H_Direct=1,IF(EN82&lt;=0,OZ82-EN82*ANN81,OZ82-MIN(MIN(EN82*ANN81,LM82+OZ82),OZ82)),OZ82)</f>
        <v>0</v>
      </c>
      <c r="PB82" s="20" t="n">
        <f aca="false">IF(H_Direct=1,IF(EO82&lt;=0,PA82-EO82*(P82+S82),PA82-MIN(MIN(EO82*(P82+S82),LN82+PA82),PA82)),PA82)</f>
        <v>0</v>
      </c>
      <c r="PC82" s="20" t="n">
        <f aca="false">PB82</f>
        <v>0</v>
      </c>
      <c r="PD82" s="20" t="n">
        <f aca="false">PC82</f>
        <v>0</v>
      </c>
      <c r="PE82" s="20" t="n">
        <f aca="false">PD82</f>
        <v>0</v>
      </c>
      <c r="PF82" s="20" t="n">
        <f aca="false">PE82</f>
        <v>0</v>
      </c>
      <c r="PG82" s="20" t="n">
        <f aca="false">PF82</f>
        <v>0</v>
      </c>
      <c r="PH82" s="20" t="n">
        <f aca="false">PG82</f>
        <v>0</v>
      </c>
      <c r="PI82" s="20" t="n">
        <f aca="false">PH82</f>
        <v>0</v>
      </c>
      <c r="PJ82" s="20" t="n">
        <f aca="false">PI82</f>
        <v>0</v>
      </c>
      <c r="PK82" s="20" t="n">
        <f aca="false">PJ82</f>
        <v>0</v>
      </c>
      <c r="PL82" s="20" t="n">
        <f aca="false">PK82</f>
        <v>0</v>
      </c>
      <c r="PM82" s="20" t="n">
        <f aca="false">PL82</f>
        <v>0</v>
      </c>
      <c r="PN82" s="20" t="n">
        <f aca="false">PM82</f>
        <v>0</v>
      </c>
      <c r="PO82" s="20" t="n">
        <f aca="false">PN82</f>
        <v>0</v>
      </c>
      <c r="PP82" s="20" t="n">
        <f aca="false">PO82</f>
        <v>0</v>
      </c>
      <c r="PQ82" s="20" t="n">
        <f aca="false">PP82</f>
        <v>0</v>
      </c>
      <c r="PR82" s="20" t="n">
        <f aca="false">IF(H_Direct=1,IF(AKR81&lt;=0,0,IF(BR82&lt;=0,MIN(MAX(0,AB82),AKR81),MIN(MAX(0,AB82),AKR81-G82*MAX(0,BR82*AKR81-(H82+I82))))),MIN(FE82,MAX(0,AB82)))</f>
        <v>0</v>
      </c>
      <c r="PS82" s="20" t="n">
        <f aca="false">IF(H_Direct=1,IF(AKS81&lt;=0,0,IF(BS82&lt;=0,MIN(MAX(0,AB82-SUM(PR82:PR82)),AKS81),MIN(MAX(0,AB82-SUM(PR82:PR82)),AKS81-G82*MAX(0,BS82*AKS81-(WR82+AAE82))))),MIN(FF82,MAX(0,AB82-SUM(PR82:PR82))))</f>
        <v>0</v>
      </c>
      <c r="PT82" s="20" t="n">
        <f aca="false">IF(H_Direct=1,IF(AKT81&lt;=0,0,IF(BT82&lt;=0,MIN(MAX(0,AB82-SUM(PR82:PS82)),AKT81),MIN(MAX(0,AB82-SUM(PR82:PS82)),AKT81-G82*MAX(0,BT82*AKT81-(WS82+AAF82))))),MIN(FG82,MAX(0,AB82-SUM(PR82:PS82))))</f>
        <v>0</v>
      </c>
      <c r="PU82" s="20" t="n">
        <f aca="false">IF(H_Direct=1,IF(AKU81&lt;=0,0,IF(BU82&lt;=0,MIN(MAX(0,AB82-SUM(PR82:PT82)),AKU81),MIN(MAX(0,AB82-SUM(PR82:PT82)),AKU81-G82*MAX(0,BU82*AKU81-(WT82+AAG82))))),MIN(FH82,MAX(0,AB82-SUM(PR82:PT82))))</f>
        <v>0</v>
      </c>
      <c r="PV82" s="20" t="n">
        <f aca="false">IF(H_Direct=1,IF(AKV81&lt;=0,0,IF(BV82&lt;=0,MIN(MAX(0,AB82-SUM(PR82:PU82)),AKV81),MIN(MAX(0,AB82-SUM(PR82:PU82)),AKV81-G82*MAX(0,BV82*AKV81-(WU82+AAH82))))),MIN(FI82,MAX(0,AB82-SUM(PR82:PU82))))</f>
        <v>0</v>
      </c>
      <c r="PW82" s="20" t="n">
        <f aca="false">IF(H_Direct=1,IF(AKW81&lt;=0,0,IF(BW82&lt;=0,MIN(MAX(0,AB82-SUM(PR82:PV82)),AKW81),MIN(MAX(0,AB82-SUM(PR82:PV82)),AKW81-G82*MAX(0,BW82*AKW81-(WV82+AAI82))))),MIN(FJ82,MAX(0,AB82-SUM(PR82:PV82))))</f>
        <v>0</v>
      </c>
      <c r="PX82" s="20" t="n">
        <f aca="false">IF(H_Direct=1,IF(AKX81&lt;=0,0,IF(BX82&lt;=0,MIN(MAX(0,AB82-SUM(PR82:PW82)),AKX81),MIN(MAX(0,AB82-SUM(PR82:PW82)),AKX81-G82*MAX(0,BX82*AKX81-(WW82+AAJ82))))),MIN(FK82,MAX(0,AB82-SUM(PR82:PW82))))</f>
        <v>0</v>
      </c>
      <c r="PY82" s="20" t="n">
        <f aca="false">IF(H_Direct=1,IF(AKY81&lt;=0,0,IF(BY82&lt;=0,MIN(MAX(0,AB82-SUM(PR82:PX82)),AKY81),MIN(MAX(0,AB82-SUM(PR82:PX82)),AKY81-G82*MAX(0,BY82*AKY81-(WX82+AAK82))))),MIN(FL82,MAX(0,AB82-SUM(PR82:PX82))))</f>
        <v>0</v>
      </c>
      <c r="PZ82" s="20" t="n">
        <f aca="false">IF(H_Direct=1,IF(AKZ81&lt;=0,0,IF(BZ82&lt;=0,MIN(MAX(0,AB82-SUM(PR82:PY82)),AKZ81),MIN(MAX(0,AB82-SUM(PR82:PY82)),AKZ81-G82*MAX(0,BZ82*AKZ81-(WY82+AAL82))))),MIN(FM82,MAX(0,AB82-SUM(PR82:PY82))))</f>
        <v>0</v>
      </c>
      <c r="QA82" s="20" t="n">
        <f aca="false">IF(H_Direct=1,IF(ALA81&lt;=0,0,IF(CA82&lt;=0,MIN(MAX(0,AB82-SUM(PR82:PZ82)),ALA81),MIN(MAX(0,AB82-SUM(PR82:PZ82)),ALA81-G82*MAX(0,CA82*ALA81-(WZ82+AAM82))))),MIN(FN82,MAX(0,AB82-SUM(PR82:PZ82))))</f>
        <v>0</v>
      </c>
      <c r="QB82" s="20" t="n">
        <f aca="false">IF(H_Direct=1,IF(ALB81&lt;=0,0,IF(CB82&lt;=0,MIN(MAX(0,AB82-SUM(PR82:QA82)),ALB81),MIN(MAX(0,AB82-SUM(PR82:QA82)),ALB81-G82*MAX(0,CB82*ALB81-(XA82+AAN82))))),MIN(FO82,MAX(0,AB82-SUM(PR82:QA82))))</f>
        <v>0</v>
      </c>
      <c r="QC82" s="20" t="n">
        <f aca="false">IF(H_Direct=1,IF(ALC81&lt;=0,0,IF(CC82&lt;=0,MIN(MAX(0,AB82-SUM(PR82:QB82)),ALC81),MIN(MAX(0,AB82-SUM(PR82:QB82)),ALC81-G82*MAX(0,CC82*ALC81-(XB82+AAO82))))),MIN(FP82,MAX(0,AB82-SUM(PR82:QB82))))</f>
        <v>0</v>
      </c>
      <c r="QD82" s="20" t="n">
        <f aca="false">IF(H_Direct=1,IF(ALD81&lt;=0,0,IF(CD82&lt;=0,MIN(MAX(0,AB82-SUM(PR82:QC82)),ALD81),MIN(MAX(0,AB82-SUM(PR82:QC82)),ALD81-G82*MAX(0,CD82*ALD81-(XC82+AAP82))))),MIN(FQ82,MAX(0,AB82-SUM(PR82:QC82))))</f>
        <v>0</v>
      </c>
      <c r="QE82" s="20" t="n">
        <f aca="false">IF(H_Direct=1,IF(ALE81&lt;=0,0,IF(CE82&lt;=0,MIN(MAX(0,AB82-SUM(PR82:QD82)),ALE81),MIN(MAX(0,AB82-SUM(PR82:QD82)),ALE81-G82*MAX(0,CE82*ALE81-(XD82+AAQ82))))),MIN(FR82,MAX(0,AB82-SUM(PR82:QD82))))</f>
        <v>0</v>
      </c>
      <c r="QF82" s="20" t="n">
        <f aca="false">IF(H_Direct=1,IF(ALF81&lt;=0,0,IF(CF82&lt;=0,MIN(MAX(0,AB82-SUM(PR82:QE82)),ALF81),MIN(MAX(0,AB82-SUM(PR82:QE82)),ALF81-G82*MAX(0,CF82*ALF81-(XE82+AAR82))))),MIN(FS82,MAX(0,AB82-SUM(PR82:QE82))))</f>
        <v>0</v>
      </c>
      <c r="QG82" s="20" t="n">
        <f aca="false">IF(H_Direct=1,IF(ALG81&lt;=0,0,IF(CG82&lt;=0,MIN(MAX(0,AB82-SUM(PR82:QF82)),ALG81),MIN(MAX(0,AB82-SUM(PR82:QF82)),ALG81-G82*MAX(0,CG82*ALG81-(XF82+AAS82))))),MIN(FT82,MAX(0,AB82-SUM(PR82:QF82))))</f>
        <v>0</v>
      </c>
      <c r="QH82" s="20" t="n">
        <f aca="false">IF(H_Direct=1,IF(ALH81&lt;=0,0,IF(CH82&lt;=0,MIN(MAX(0,AB82-SUM(PR82:QG82)),ALH81),MIN(MAX(0,AB82-SUM(PR82:QG82)),ALH81-G82*MAX(0,CH82*ALH81-(XG82+AAT82))))),MIN(FU82,MAX(0,AB82-SUM(PR82:QG82))))</f>
        <v>0</v>
      </c>
      <c r="QI82" s="20" t="n">
        <f aca="false">IF(H_Direct=1,IF(ALI81&lt;=0,0,IF(CI82&lt;=0,MIN(MAX(0,AB82-SUM(PR82:QH82)),ALI81),MIN(MAX(0,AB82-SUM(PR82:QH82)),ALI81-G82*MAX(0,CI82*ALI81-(XH82+AAU82))))),MIN(FV82,MAX(0,AB82-SUM(PR82:QH82))))</f>
        <v>0</v>
      </c>
      <c r="QJ82" s="20" t="n">
        <f aca="false">IF(H_Direct=1,IF(ALJ81&lt;=0,0,IF(CJ82&lt;=0,MIN(MAX(0,AB82-SUM(PR82:QI82)),ALJ81),MIN(MAX(0,AB82-SUM(PR82:QI82)),ALJ81-G82*MAX(0,CJ82*ALJ81-(XI82+AAV82))))),MIN(FW82,MAX(0,AB82-SUM(PR82:QI82))))</f>
        <v>0</v>
      </c>
      <c r="QK82" s="20" t="n">
        <f aca="false">IF(H_Direct=1,IF(ALK81&lt;=0,0,IF(CK82&lt;=0,MIN(MAX(0,AB82-SUM(PR82:QJ82)),ALK81),MIN(MAX(0,AB82-SUM(PR82:QJ82)),ALK81-G82*MAX(0,CK82*ALK81-(XJ82+AAW82))))),MIN(FX82,MAX(0,AB82-SUM(PR82:QJ82))))</f>
        <v>0</v>
      </c>
      <c r="QL82" s="20" t="n">
        <f aca="false">IF(H_Direct=1,IF(ALL81&lt;=0,0,IF(CL82&lt;=0,MIN(MAX(0,AB82-SUM(PR82:QK82)),ALL81),MIN(MAX(0,AB82-SUM(PR82:QK82)),ALL81-G82*MAX(0,CL82*ALL81-(XK82+AAX82))))),MIN(FY82,MAX(0,AB82-SUM(PR82:QK82))))</f>
        <v>0</v>
      </c>
      <c r="QM82" s="20" t="n">
        <f aca="false">IF(H_Direct=1,IF(ALM81&lt;=0,0,IF(CM82&lt;=0,MIN(MAX(0,AB82-SUM(PR82:QL82)),ALM81),MIN(MAX(0,AB82-SUM(PR82:QL82)),ALM81-G82*MAX(0,CM82*ALM81-(XL82+AAY82))))),MIN(FZ82,MAX(0,AB82-SUM(PR82:QL82))))</f>
        <v>0</v>
      </c>
      <c r="QN82" s="20" t="n">
        <f aca="false">IF(H_Direct=1,IF(ALN81&lt;=0,0,IF(CN82&lt;=0,MIN(MAX(0,AB82-SUM(PR82:QM82)),ALN81),MIN(MAX(0,AB82-SUM(PR82:QM82)),ALN81-G82*MAX(0,CN82*ALN81-(XM82+AAZ82))))),MIN(GA82,MAX(0,AB82-SUM(PR82:QM82))))</f>
        <v>0</v>
      </c>
      <c r="QO82" s="20" t="n">
        <f aca="false">IF(H_Direct=1,IF(ALO81&lt;=0,0,IF(CO82&lt;=0,MIN(MAX(0,AB82-SUM(PR82:QN82)),ALO81),MIN(MAX(0,AB82-SUM(PR82:QN82)),ALO81-G82*MAX(0,CO82*ALO81-(XN82+ABA82))))),MIN(GB82,MAX(0,AB82-SUM(PR82:QN82))))</f>
        <v>0</v>
      </c>
      <c r="QP82" s="20" t="n">
        <f aca="false">IF(H_Direct=1,IF(ALP81&lt;=0,0,IF(CP82&lt;=0,MIN(MAX(0,AB82-SUM(PR82:QO82)),ALP81),MIN(MAX(0,AB82-SUM(PR82:QO82)),ALP81-G82*MAX(0,CP82*ALP81-(XO82+ABB82))))),MIN(GC82,MAX(0,AB82-SUM(PR82:QO82))))</f>
        <v>0</v>
      </c>
      <c r="QQ82" s="20" t="n">
        <f aca="false">IF(H_Direct=1,IF(ALQ81&lt;=0,0,IF(CQ82&lt;=0,MIN(MAX(0,AB82-SUM(PR82:QP82)),ALQ81),MIN(MAX(0,AB82-SUM(PR82:QP82)),ALQ81-G82*MAX(0,CQ82*ALQ81-(XP82+ABC82))))),MIN(GD82,MAX(0,AB82-SUM(PR82:QP82))))</f>
        <v>0</v>
      </c>
      <c r="QR82" s="20" t="n">
        <f aca="false">IF(H_Direct=1,IF(ALR81&lt;=0,0,IF(CR82&lt;=0,MIN(MAX(0,AB82-SUM(PR82:QQ82)),ALR81),MIN(MAX(0,AB82-SUM(PR82:QQ82)),ALR81-G82*MAX(0,CR82*ALR81-(XQ82+ABD82))))),MIN(GE82,MAX(0,AB82-SUM(PR82:QQ82))))</f>
        <v>0</v>
      </c>
      <c r="QS82" s="20" t="n">
        <f aca="false">IF(H_Direct=1,IF(ALS81&lt;=0,0,IF(CS82&lt;=0,MIN(MAX(0,AB82-SUM(PR82:QR82)),ALS81),MIN(MAX(0,AB82-SUM(PR82:QR82)),ALS81-G82*MAX(0,CS82*ALS81-(XR82+ABE82))))),MIN(GF82,MAX(0,AB82-SUM(PR82:QR82))))</f>
        <v>0</v>
      </c>
      <c r="QT82" s="20" t="n">
        <f aca="false">IF(H_Direct=1,IF(ALT81&lt;=0,0,IF(CT82&lt;=0,MIN(MAX(0,AB82-SUM(PR82:QS82)),ALT81),MIN(MAX(0,AB82-SUM(PR82:QS82)),ALT81-G82*MAX(0,CT82*ALT81-(XS82+ABF82))))),MIN(GG82,MAX(0,AB82-SUM(PR82:QS82))))</f>
        <v>0</v>
      </c>
      <c r="QU82" s="20" t="n">
        <f aca="false">IF(H_Direct=1,IF(ALU81&lt;=0,0,IF(CU82&lt;=0,MIN(MAX(0,AB82-SUM(PR82:QT82)),ALU81),MIN(MAX(0,AB82-SUM(PR82:QT82)),ALU81-G82*MAX(0,CU82*ALU81-(XT82+ABG82))))),MIN(GH82,MAX(0,AB82-SUM(PR82:QT82))))</f>
        <v>0</v>
      </c>
      <c r="QV82" s="20" t="n">
        <f aca="false">IF(H_Direct=1,IF(ALV81&lt;=0,0,IF(CV82&lt;=0,MIN(MAX(0,AB82-SUM(PR82:QU82)),ALV81),MIN(MAX(0,AB82-SUM(PR82:QU82)),ALV81-G82*MAX(0,CV82*ALV81-(XU82+ABH82))))),MIN(GI82,MAX(0,AB82-SUM(PR82:QU82))))</f>
        <v>0</v>
      </c>
      <c r="QW82" s="20" t="n">
        <f aca="false">IF(H_Direct=1,IF(ALW81&lt;=0,0,IF(CW82&lt;=0,MIN(MAX(0,AB82-SUM(PR82:QV82)),ALW81),MIN(MAX(0,AB82-SUM(PR82:QV82)),ALW81-G82*MAX(0,CW82*ALW81-(XV82+ABI82))))),MIN(GJ82,MAX(0,AB82-SUM(PR82:QV82))))</f>
        <v>0</v>
      </c>
      <c r="QX82" s="20" t="n">
        <f aca="false">IF(H_Direct=1,IF(ALX81&lt;=0,0,IF(CX82&lt;=0,MIN(MAX(0,AB82-SUM(PR82:QW82)),ALX81),MIN(MAX(0,AB82-SUM(PR82:QW82)),ALX81-G82*MAX(0,CX82*ALX81-(XW82+ABJ82))))),MIN(GK82,MAX(0,AB82-SUM(PR82:QW82))))</f>
        <v>0</v>
      </c>
      <c r="QY82" s="20" t="n">
        <f aca="false">IF(H_Direct=1,IF(ALY81&lt;=0,0,IF(CY82&lt;=0,MIN(MAX(0,AB82-SUM(PR82:QX82)),ALY81),MIN(MAX(0,AB82-SUM(PR82:QX82)),ALY81-G82*MAX(0,CY82*ALY81-(XX82+ABK82))))),MIN(GL82,MAX(0,AB82-SUM(PR82:QX82))))</f>
        <v>0</v>
      </c>
      <c r="QZ82" s="20" t="n">
        <f aca="false">IF(H_Direct=1,IF(ALZ81&lt;=0,0,IF(CZ82&lt;=0,MIN(MAX(0,AB82-SUM(PR82:QY82)),ALZ81),MIN(MAX(0,AB82-SUM(PR82:QY82)),ALZ81-G82*MAX(0,CZ82*ALZ81-(XY82+ABL82))))),MIN(GM82,MAX(0,AB82-SUM(PR82:QY82))))</f>
        <v>0</v>
      </c>
      <c r="RA82" s="20" t="n">
        <f aca="false">IF(H_Direct=1,IF(AMA81&lt;=0,0,IF(DA82&lt;=0,MIN(MAX(0,AB82-SUM(PR82:QZ82)),AMA81),MIN(MAX(0,AB82-SUM(PR82:QZ82)),AMA81-G82*MAX(0,DA82*AMA81-(XZ82+ABM82))))),MIN(GN82,MAX(0,AB82-SUM(PR82:QZ82))))</f>
        <v>0</v>
      </c>
      <c r="RB82" s="20" t="n">
        <f aca="false">IF(H_Direct=1,IF(AMB81&lt;=0,0,IF(DB82&lt;=0,MIN(MAX(0,AB82-SUM(PR82:RA82)),AMB81),MIN(MAX(0,AB82-SUM(PR82:RA82)),AMB81-G82*MAX(0,DB82*AMB81-(YA82+ABN82))))),MIN(GO82,MAX(0,AB82-SUM(PR82:RA82))))</f>
        <v>0</v>
      </c>
      <c r="RC82" s="20" t="n">
        <f aca="false">IF(H_Direct=1,IF(AMC81&lt;=0,0,IF(DC82&lt;=0,MIN(MAX(0,AB82-SUM(PR82:RB82)),AMC81),MIN(MAX(0,AB82-SUM(PR82:RB82)),AMC81-G82*MAX(0,DC82*AMC81-(YB82+ABO82))))),MIN(GP82,MAX(0,AB82-SUM(PR82:RB82))))</f>
        <v>0</v>
      </c>
      <c r="RD82" s="20" t="n">
        <f aca="false">IF(H_Direct=1,IF(AMD81&lt;=0,0,IF(DD82&lt;=0,MIN(MAX(0,AB82-SUM(PR82:RC82)),AMD81),MIN(MAX(0,AB82-SUM(PR82:RC82)),AMD81-G82*MAX(0,DD82*AMD81-(YC82+ABP82))))),MIN(GQ82,MAX(0,AB82-SUM(PR82:RC82))))</f>
        <v>0</v>
      </c>
      <c r="RE82" s="20" t="n">
        <f aca="false">IF(H_Direct=1,IF(AME81&lt;=0,0,IF(DE82&lt;=0,MIN(MAX(0,AB82-SUM(PR82:RD82)),AME81),MIN(MAX(0,AB82-SUM(PR82:RD82)),AME81-G82*MAX(0,DE82*AME81-(YD82+ABQ82))))),MIN(GR82,MAX(0,AB82-SUM(PR82:RD82))))</f>
        <v>0</v>
      </c>
      <c r="RF82" s="20" t="n">
        <f aca="false">IF(H_Direct=1,IF(AMF81&lt;=0,0,IF(DF82&lt;=0,MIN(MAX(0,AB82-SUM(PR82:RE82)),AMF81),MIN(MAX(0,AB82-SUM(PR82:RE82)),AMF81-G82*MAX(0,DF82*AMF81-(YE82+ABR82))))),MIN(GS82,MAX(0,AB82-SUM(PR82:RE82))))</f>
        <v>0</v>
      </c>
      <c r="RG82" s="20" t="n">
        <f aca="false">IF(H_Direct=1,IF(AMG81&lt;=0,0,IF(DG82&lt;=0,MIN(MAX(0,AB82-SUM(PR82:RF82)),AMG81),MIN(MAX(0,AB82-SUM(PR82:RF82)),AMG81-G82*MAX(0,DG82*AMG81-(YF82+ABS82))))),MIN(GT82,MAX(0,AB82-SUM(PR82:RF82))))</f>
        <v>0</v>
      </c>
      <c r="RH82" s="20" t="n">
        <f aca="false">IF(H_Direct=1,IF(AMH81&lt;=0,0,IF(DH82&lt;=0,MIN(MAX(0,AB82-SUM(PR82:RG82)),AMH81),MIN(MAX(0,AB82-SUM(PR82:RG82)),AMH81-G82*MAX(0,DH82*AMH81-(YG82+ABT82))))),MIN(GU82,MAX(0,AB82-SUM(PR82:RG82))))</f>
        <v>0</v>
      </c>
      <c r="RI82" s="20" t="n">
        <f aca="false">IF(H_Direct=1,IF(AMI81&lt;=0,0,IF(DI82&lt;=0,MIN(MAX(0,AB82-SUM(PR82:RH82)),AMI81),MIN(MAX(0,AB82-SUM(PR82:RH82)),AMI81-G82*MAX(0,DI82*AMI81-(YH82+ABU82))))),MIN(GV82,MAX(0,AB82-SUM(PR82:RH82))))</f>
        <v>0</v>
      </c>
      <c r="RJ82" s="20" t="n">
        <f aca="false">IF(H_Direct=1,IF(AMJ81&lt;=0,0,IF(DJ82&lt;=0,MIN(MAX(0,AB82-SUM(PR82:RI82)),AMJ81),MIN(MAX(0,AB82-SUM(PR82:RI82)),AMJ81-G82*MAX(0,DJ82*AMJ81-(YI82+ABV82))))),MIN(GW82,MAX(0,AB82-SUM(PR82:RI82))))</f>
        <v>0</v>
      </c>
      <c r="RK82" s="20" t="n">
        <f aca="false">IF(H_Direct=1,IF(AMK81&lt;=0,0,IF(DK82&lt;=0,MIN(MAX(0,AB82-SUM(PR82:RJ82)),AMK81),MIN(MAX(0,AB82-SUM(PR82:RJ82)),AMK81-G82*MAX(0,DK82*AMK81-(YJ82+ABW82))))),MIN(GX82,MAX(0,AB82-SUM(PR82:RJ82))))</f>
        <v>0</v>
      </c>
      <c r="RL82" s="20" t="n">
        <f aca="false">IF(H_Direct=1,IF(AML81&lt;=0,0,IF(DL82&lt;=0,MIN(MAX(0,AB82-SUM(PR82:RK82)),AML81),MIN(MAX(0,AB82-SUM(PR82:RK82)),AML81-G82*MAX(0,DL82*AML81-(YK82+ABX82))))),MIN(GY82,MAX(0,AB82-SUM(PR82:RK82))))</f>
        <v>0</v>
      </c>
      <c r="RM82" s="20" t="n">
        <f aca="false">IF(H_Direct=1,IF(AMM81&lt;=0,0,IF(DM82&lt;=0,MIN(MAX(0,AB82-SUM(PR82:RL82)),AMM81),MIN(MAX(0,AB82-SUM(PR82:RL82)),AMM81-G82*MAX(0,DM82*AMM81-(YL82+ABY82))))),MIN(GZ82,MAX(0,AB82-SUM(PR82:RL82))))</f>
        <v>0</v>
      </c>
      <c r="RN82" s="20" t="n">
        <f aca="false">IF(H_Direct=1,IF(AMN81&lt;=0,0,IF(DN82&lt;=0,MIN(MAX(0,AB82-SUM(PR82:RM82)),AMN81),MIN(MAX(0,AB82-SUM(PR82:RM82)),AMN81-G82*MAX(0,DN82*AMN81-(YM82+ABZ82))))),MIN(HA82,MAX(0,AB82-SUM(PR82:RM82))))</f>
        <v>0</v>
      </c>
      <c r="RO82" s="20" t="n">
        <f aca="false">IF(H_Direct=1,IF(AMO81&lt;=0,0,IF(DO82&lt;=0,MIN(MAX(0,AB82-SUM(PR82:RN82)),AMO81),MIN(MAX(0,AB82-SUM(PR82:RN82)),AMO81-G82*MAX(0,DO82*AMO81-(YN82+ACA82))))),MIN(HB82,MAX(0,AB82-SUM(PR82:RN82))))</f>
        <v>0</v>
      </c>
      <c r="RP82" s="20" t="n">
        <f aca="false">IF(H_Direct=1,IF(AMP81&lt;=0,0,IF(DP82&lt;=0,MIN(MAX(0,AB82-SUM(PR82:RO82)),AMP81),MIN(MAX(0,AB82-SUM(PR82:RO82)),AMP81-G82*MAX(0,DP82*AMP81-(YO82+ACB82))))),MIN(HC82,MAX(0,AB82-SUM(PR82:RO82))))</f>
        <v>0</v>
      </c>
      <c r="RQ82" s="20" t="n">
        <f aca="false">IF(H_Direct=1,IF(AMQ81&lt;=0,0,IF(DQ82&lt;=0,MIN(MAX(0,AB82-SUM(PR82:RP82)),AMQ81),MIN(MAX(0,AB82-SUM(PR82:RP82)),AMQ81-G82*MAX(0,DQ82*AMQ81-(YP82+ACC82))))),MIN(HD82,MAX(0,AB82-SUM(PR82:RP82))))</f>
        <v>0</v>
      </c>
      <c r="RR82" s="20" t="n">
        <f aca="false">IF(H_Direct=1,IF(AMR81&lt;=0,0,IF(DR82&lt;=0,MIN(MAX(0,AB82-SUM(PR82:RQ82)),AMR81),MIN(MAX(0,AB82-SUM(PR82:RQ82)),AMR81-G82*MAX(0,DR82*AMR81-(YQ82+ACD82))))),MIN(HE82,MAX(0,AB82-SUM(PR82:RQ82))))</f>
        <v>0</v>
      </c>
      <c r="RS82" s="20" t="n">
        <f aca="false">IF(H_Direct=1,IF(AMS81&lt;=0,0,IF(DS82&lt;=0,MIN(MAX(0,AB82-SUM(PR82:RR82)),AMS81),MIN(MAX(0,AB82-SUM(PR82:RR82)),AMS81-G82*MAX(0,DS82*AMS81-(YR82+ACE82))))),MIN(HF82,MAX(0,AB82-SUM(PR82:RR82))))</f>
        <v>0</v>
      </c>
      <c r="RT82" s="20" t="n">
        <f aca="false">IF(H_Direct=1,IF(AMT81&lt;=0,0,IF(DT82&lt;=0,MIN(MAX(0,AB82-SUM(PR82:RS82)),AMT81),MIN(MAX(0,AB82-SUM(PR82:RS82)),AMT81-G82*MAX(0,DT82*AMT81-(YS82+ACF82))))),MIN(HG82,MAX(0,AB82-SUM(PR82:RS82))))</f>
        <v>0</v>
      </c>
      <c r="RU82" s="20" t="n">
        <f aca="false">IF(H_Direct=1,IF(AMU81&lt;=0,0,IF(DU82&lt;=0,MIN(MAX(0,AB82-SUM(PR82:RT82)),AMU81),MIN(MAX(0,AB82-SUM(PR82:RT82)),AMU81-G82*MAX(0,DU82*AMU81-(YT82+ACG82))))),MIN(HH82,MAX(0,AB82-SUM(PR82:RT82))))</f>
        <v>0</v>
      </c>
      <c r="RV82" s="20" t="n">
        <f aca="false">IF(H_Direct=1,IF(AMV81&lt;=0,0,IF(DV82&lt;=0,MIN(MAX(0,AB82-SUM(PR82:RU82)),AMV81),MIN(MAX(0,AB82-SUM(PR82:RU82)),AMV81-G82*MAX(0,DV82*AMV81-(YU82+ACH82))))),MIN(HI82,MAX(0,AB82-SUM(PR82:RU82))))</f>
        <v>0</v>
      </c>
      <c r="RW82" s="20" t="n">
        <f aca="false">IF(H_Direct=1,IF(AMW81&lt;=0,0,IF(DW82&lt;=0,MIN(MAX(0,AB82-SUM(PR82:RV82)),AMW81),MIN(MAX(0,AB82-SUM(PR82:RV82)),AMW81-G82*MAX(0,DW82*AMW81-(YV82+ACI82))))),MIN(HJ82,MAX(0,AB82-SUM(PR82:RV82))))</f>
        <v>0</v>
      </c>
      <c r="RX82" s="20" t="n">
        <f aca="false">IF(H_Direct=1,IF(AMX81&lt;=0,0,IF(DX82&lt;=0,MIN(MAX(0,AB82-SUM(PR82:RW82)),AMX81),MIN(MAX(0,AB82-SUM(PR82:RW82)),AMX81-G82*MAX(0,DX82*AMX81-(YW82+ACJ82))))),MIN(HK82,MAX(0,AB82-SUM(PR82:RW82))))</f>
        <v>0</v>
      </c>
      <c r="RY82" s="20" t="n">
        <f aca="false">IF(H_Direct=1,IF(AMY81&lt;=0,0,IF(DY82&lt;=0,MIN(MAX(0,AB82-SUM(PR82:RX82)),AMY81),MIN(MAX(0,AB82-SUM(PR82:RX82)),AMY81-G82*MAX(0,DY82*AMY81-(YX82+ACK82))))),MIN(HL82,MAX(0,AB82-SUM(PR82:RX82))))</f>
        <v>0</v>
      </c>
      <c r="RZ82" s="20" t="n">
        <f aca="false">IF(H_Direct=1,IF(AMZ81&lt;=0,0,IF(DZ82&lt;=0,MIN(MAX(0,AB82-SUM(PR82:RY82)),AMZ81),MIN(MAX(0,AB82-SUM(PR82:RY82)),AMZ81-G82*MAX(0,DZ82*AMZ81-(YY82+ACL82))))),MIN(HM82,MAX(0,AB82-SUM(PR82:RY82))))</f>
        <v>0</v>
      </c>
      <c r="SA82" s="20" t="n">
        <f aca="false">IF(H_Direct=1,IF(ANA81&lt;=0,0,IF(EA82&lt;=0,MIN(MAX(0,AB82-SUM(PR82:RZ82)),ANA81),MIN(MAX(0,AB82-SUM(PR82:RZ82)),ANA81-G82*MAX(0,EA82*ANA81-(YZ82+ACM82))))),MIN(HN82,MAX(0,AB82-SUM(PR82:RZ82))))</f>
        <v>0</v>
      </c>
      <c r="SB82" s="20" t="n">
        <f aca="false">IF(H_Direct=1,IF(ANB81&lt;=0,0,IF(EB82&lt;=0,MIN(MAX(0,AB82-SUM(PR82:SA82)),ANB81),MIN(MAX(0,AB82-SUM(PR82:SA82)),ANB81-G82*MAX(0,EB82*ANB81-(ZA82+ACN82))))),MIN(HO82,MAX(0,AB82-SUM(PR82:SA82))))</f>
        <v>0</v>
      </c>
      <c r="SC82" s="20" t="n">
        <f aca="false">IF(H_Direct=1,IF(ANC81&lt;=0,0,IF(EC82&lt;=0,MIN(MAX(0,AB82-SUM(PR82:SB82)),ANC81),MIN(MAX(0,AB82-SUM(PR82:SB82)),ANC81-G82*MAX(0,EC82*ANC81-(ZB82+ACO82))))),MIN(HP82,MAX(0,AB82-SUM(PR82:SB82))))</f>
        <v>0</v>
      </c>
      <c r="SD82" s="20" t="n">
        <f aca="false">IF(H_Direct=1,IF(AND81&lt;=0,0,IF(ED82&lt;=0,MIN(MAX(0,AB82-SUM(PR82:SC82)),AND81),MIN(MAX(0,AB82-SUM(PR82:SC82)),AND81-G82*MAX(0,ED82*AND81-(ZC82+ACP82))))),MIN(HQ82,MAX(0,AB82-SUM(PR82:SC82))))</f>
        <v>0</v>
      </c>
      <c r="SE82" s="20" t="n">
        <f aca="false">IF(H_Direct=1,IF(ANE81&lt;=0,0,IF(EE82&lt;=0,MIN(MAX(0,AB82-SUM(PR82:SD82)),ANE81),MIN(MAX(0,AB82-SUM(PR82:SD82)),ANE81-G82*MAX(0,EE82*ANE81-(ZD82+ACQ82))))),MIN(HR82,MAX(0,AB82-SUM(PR82:SD82))))</f>
        <v>0</v>
      </c>
      <c r="SF82" s="20" t="n">
        <f aca="false">IF(H_Direct=1,IF(ANF81&lt;=0,0,IF(EF82&lt;=0,MIN(MAX(0,AB82-SUM(PR82:SE82)),ANF81),MIN(MAX(0,AB82-SUM(PR82:SE82)),ANF81-G82*MAX(0,EF82*ANF81-(ZE82+ACR82))))),MIN(HS82,MAX(0,AB82-SUM(PR82:SE82))))</f>
        <v>0</v>
      </c>
      <c r="SG82" s="20" t="n">
        <f aca="false">IF(H_Direct=1,IF(ANG81&lt;=0,0,IF(EG82&lt;=0,MIN(MAX(0,AB82-SUM(PR82:SF82)),ANG81),MIN(MAX(0,AB82-SUM(PR82:SF82)),ANG81-G82*MAX(0,EG82*ANG81-(ZF82+ACS82))))),MIN(HT82,MAX(0,AB82-SUM(PR82:SF82))))</f>
        <v>0</v>
      </c>
      <c r="SH82" s="20" t="n">
        <f aca="false">IF(H_Direct=1,IF(ANH81&lt;=0,0,IF(EH82&lt;=0,MIN(MAX(0,AB82-SUM(PR82:SG82)),ANH81),MIN(MAX(0,AB82-SUM(PR82:SG82)),ANH81-G82*MAX(0,EH82*ANH81-(ZG82+ACT82))))),MIN(HU82,MAX(0,AB82-SUM(PR82:SG82))))</f>
        <v>0</v>
      </c>
      <c r="SI82" s="20" t="n">
        <f aca="false">IF(H_Direct=1,IF(ANI81&lt;=0,0,IF(EI82&lt;=0,MIN(MAX(0,AB82-SUM(PR82:SH82)),ANI81),MIN(MAX(0,AB82-SUM(PR82:SH82)),ANI81-G82*MAX(0,EI82*ANI81-(ZH82+ACU82))))),MIN(HV82,MAX(0,AB82-SUM(PR82:SH82))))</f>
        <v>0</v>
      </c>
      <c r="SJ82" s="20" t="n">
        <f aca="false">IF(H_Direct=1,IF(ANJ81&lt;=0,0,IF(EJ82&lt;=0,MIN(MAX(0,AB82-SUM(PR82:SI82)),ANJ81),MIN(MAX(0,AB82-SUM(PR82:SI82)),ANJ81-G82*MAX(0,EJ82*ANJ81-(ZI82+ACV82))))),MIN(HW82,MAX(0,AB82-SUM(PR82:SI82))))</f>
        <v>0</v>
      </c>
      <c r="SK82" s="20" t="n">
        <f aca="false">IF(H_Direct=1,IF(ANK81&lt;=0,0,IF(EK82&lt;=0,MIN(MAX(0,AB82-SUM(PR82:SJ82)),ANK81),MIN(MAX(0,AB82-SUM(PR82:SJ82)),ANK81-G82*MAX(0,EK82*ANK81-(ZJ82+ACW82))))),MIN(HX82,MAX(0,AB82-SUM(PR82:SJ82))))</f>
        <v>0</v>
      </c>
      <c r="SL82" s="20" t="n">
        <f aca="false">IF(H_Direct=1,IF(ANL81&lt;=0,0,IF(EL82&lt;=0,MIN(MAX(0,AB82-SUM(PR82:SK82)),ANL81),MIN(MAX(0,AB82-SUM(PR82:SK82)),ANL81-G82*MAX(0,EL82*ANL81-(ZK82+ACX82))))),MIN(HY82,MAX(0,AB82-SUM(PR82:SK82))))</f>
        <v>0</v>
      </c>
      <c r="SM82" s="20" t="n">
        <f aca="false">IF(H_Direct=1,IF(ANM81&lt;=0,0,IF(EM82&lt;=0,MIN(MAX(0,AB82-SUM(PR82:SL82)),ANM81),MIN(MAX(0,AB82-SUM(PR82:SL82)),ANM81-G82*MAX(0,EM82*ANM81-(ZL82+ACY82))))),MIN(HZ82,MAX(0,AB82-SUM(PR82:SL82))))</f>
        <v>0</v>
      </c>
      <c r="SN82" s="20" t="n">
        <f aca="false">IF(H_Direct=1,IF(ANN81&lt;=0,0,IF(EN82&lt;=0,MIN(MAX(0,AB82-SUM(PR82:SM82)),ANN81),MIN(MAX(0,AB82-SUM(PR82:SM82)),ANN81-G82*MAX(0,EN82*ANN81-(ZM82+ACZ82))))),MIN(IA82,MAX(0,AB82-SUM(PR82:SM82))))</f>
        <v>0</v>
      </c>
      <c r="SO82" s="20" t="n">
        <f aca="false">IF(H_Direct=1,IF((P82+S82)&lt;=0,0,IF(EO82&lt;=0,MIN(MAX(0,AB82-SUM(PR82:SN82)),(P82+S82)),MIN(MAX(0,AB82-SUM(PR82:SN82)),(P82+S82)-G82*MAX(0,EO82*(P82+S82)-(ZN82+ADA82))))),MIN(IB82,MAX(0,AB82-SUM(PR82:SN82))))</f>
        <v>0</v>
      </c>
      <c r="SP82" s="20" t="n">
        <v>0</v>
      </c>
      <c r="SQ82" s="20" t="n">
        <v>0</v>
      </c>
      <c r="SR82" s="20" t="n">
        <v>0</v>
      </c>
      <c r="SS82" s="20" t="n">
        <v>0</v>
      </c>
      <c r="ST82" s="20" t="n">
        <v>0</v>
      </c>
      <c r="SU82" s="20" t="n">
        <v>0</v>
      </c>
      <c r="SV82" s="20" t="n">
        <v>0</v>
      </c>
      <c r="SW82" s="20" t="n">
        <v>0</v>
      </c>
      <c r="SX82" s="20" t="n">
        <v>0</v>
      </c>
      <c r="SY82" s="20" t="n">
        <v>0</v>
      </c>
      <c r="SZ82" s="20" t="n">
        <v>0</v>
      </c>
      <c r="TA82" s="20" t="n">
        <v>0</v>
      </c>
      <c r="TB82" s="20" t="n">
        <v>0</v>
      </c>
      <c r="TC82" s="20" t="n">
        <v>0</v>
      </c>
      <c r="TD82" s="20" t="n">
        <v>0</v>
      </c>
      <c r="TE82" s="20" t="n">
        <f aca="false">IF(AKR81&lt;=0,0,IF(H_Direct=1,IF(BR82&lt;=0,PR82,IF(PR82&lt;=(H82+I82)/BR82,PR82,(PR82-G82*(H82+I82))/(1-G82*BR82))),PR82/(1-MAX(0,BR82)*H_Exit)))</f>
        <v>0</v>
      </c>
      <c r="TF82" s="20" t="n">
        <f aca="false">IF(AKS81&lt;=0,0,IF(H_Direct=1,IF(BS82&lt;=0,PS82,IF(PS82&lt;=(WR82+AAE82)/BS82,PS82,(PS82-G82*(WR82+AAE82))/(1-G82*BS82))),PS82/(1-MAX(0,BS82)*H_Exit)))</f>
        <v>0</v>
      </c>
      <c r="TG82" s="20" t="n">
        <f aca="false">IF(AKT81&lt;=0,0,IF(H_Direct=1,IF(BT82&lt;=0,PT82,IF(PT82&lt;=(WS82+AAF82)/BT82,PT82,(PT82-G82*(WS82+AAF82))/(1-G82*BT82))),PT82/(1-MAX(0,BT82)*H_Exit)))</f>
        <v>0</v>
      </c>
      <c r="TH82" s="20" t="n">
        <f aca="false">IF(AKU81&lt;=0,0,IF(H_Direct=1,IF(BU82&lt;=0,PU82,IF(PU82&lt;=(WT82+AAG82)/BU82,PU82,(PU82-G82*(WT82+AAG82))/(1-G82*BU82))),PU82/(1-MAX(0,BU82)*H_Exit)))</f>
        <v>0</v>
      </c>
      <c r="TI82" s="20" t="n">
        <f aca="false">IF(AKV81&lt;=0,0,IF(H_Direct=1,IF(BV82&lt;=0,PV82,IF(PV82&lt;=(WU82+AAH82)/BV82,PV82,(PV82-G82*(WU82+AAH82))/(1-G82*BV82))),PV82/(1-MAX(0,BV82)*H_Exit)))</f>
        <v>0</v>
      </c>
      <c r="TJ82" s="20" t="n">
        <f aca="false">IF(AKW81&lt;=0,0,IF(H_Direct=1,IF(BW82&lt;=0,PW82,IF(PW82&lt;=(WV82+AAI82)/BW82,PW82,(PW82-G82*(WV82+AAI82))/(1-G82*BW82))),PW82/(1-MAX(0,BW82)*H_Exit)))</f>
        <v>0</v>
      </c>
      <c r="TK82" s="20" t="n">
        <f aca="false">IF(AKX81&lt;=0,0,IF(H_Direct=1,IF(BX82&lt;=0,PX82,IF(PX82&lt;=(WW82+AAJ82)/BX82,PX82,(PX82-G82*(WW82+AAJ82))/(1-G82*BX82))),PX82/(1-MAX(0,BX82)*H_Exit)))</f>
        <v>0</v>
      </c>
      <c r="TL82" s="20" t="n">
        <f aca="false">IF(AKY81&lt;=0,0,IF(H_Direct=1,IF(BY82&lt;=0,PY82,IF(PY82&lt;=(WX82+AAK82)/BY82,PY82,(PY82-G82*(WX82+AAK82))/(1-G82*BY82))),PY82/(1-MAX(0,BY82)*H_Exit)))</f>
        <v>0</v>
      </c>
      <c r="TM82" s="20" t="n">
        <f aca="false">IF(AKZ81&lt;=0,0,IF(H_Direct=1,IF(BZ82&lt;=0,PZ82,IF(PZ82&lt;=(WY82+AAL82)/BZ82,PZ82,(PZ82-G82*(WY82+AAL82))/(1-G82*BZ82))),PZ82/(1-MAX(0,BZ82)*H_Exit)))</f>
        <v>0</v>
      </c>
      <c r="TN82" s="20" t="n">
        <f aca="false">IF(ALA81&lt;=0,0,IF(H_Direct=1,IF(CA82&lt;=0,QA82,IF(QA82&lt;=(WZ82+AAM82)/CA82,QA82,(QA82-G82*(WZ82+AAM82))/(1-G82*CA82))),QA82/(1-MAX(0,CA82)*H_Exit)))</f>
        <v>0</v>
      </c>
      <c r="TO82" s="20" t="n">
        <f aca="false">IF(ALB81&lt;=0,0,IF(H_Direct=1,IF(CB82&lt;=0,QB82,IF(QB82&lt;=(XA82+AAN82)/CB82,QB82,(QB82-G82*(XA82+AAN82))/(1-G82*CB82))),QB82/(1-MAX(0,CB82)*H_Exit)))</f>
        <v>0</v>
      </c>
      <c r="TP82" s="20" t="n">
        <f aca="false">IF(ALC81&lt;=0,0,IF(H_Direct=1,IF(CC82&lt;=0,QC82,IF(QC82&lt;=(XB82+AAO82)/CC82,QC82,(QC82-G82*(XB82+AAO82))/(1-G82*CC82))),QC82/(1-MAX(0,CC82)*H_Exit)))</f>
        <v>0</v>
      </c>
      <c r="TQ82" s="20" t="n">
        <f aca="false">IF(ALD81&lt;=0,0,IF(H_Direct=1,IF(CD82&lt;=0,QD82,IF(QD82&lt;=(XC82+AAP82)/CD82,QD82,(QD82-G82*(XC82+AAP82))/(1-G82*CD82))),QD82/(1-MAX(0,CD82)*H_Exit)))</f>
        <v>0</v>
      </c>
      <c r="TR82" s="20" t="n">
        <f aca="false">IF(ALE81&lt;=0,0,IF(H_Direct=1,IF(CE82&lt;=0,QE82,IF(QE82&lt;=(XD82+AAQ82)/CE82,QE82,(QE82-G82*(XD82+AAQ82))/(1-G82*CE82))),QE82/(1-MAX(0,CE82)*H_Exit)))</f>
        <v>0</v>
      </c>
      <c r="TS82" s="20" t="n">
        <f aca="false">IF(ALF81&lt;=0,0,IF(H_Direct=1,IF(CF82&lt;=0,QF82,IF(QF82&lt;=(XE82+AAR82)/CF82,QF82,(QF82-G82*(XE82+AAR82))/(1-G82*CF82))),QF82/(1-MAX(0,CF82)*H_Exit)))</f>
        <v>0</v>
      </c>
      <c r="TT82" s="20" t="n">
        <f aca="false">IF(ALG81&lt;=0,0,IF(H_Direct=1,IF(CG82&lt;=0,QG82,IF(QG82&lt;=(XF82+AAS82)/CG82,QG82,(QG82-G82*(XF82+AAS82))/(1-G82*CG82))),QG82/(1-MAX(0,CG82)*H_Exit)))</f>
        <v>0</v>
      </c>
      <c r="TU82" s="20" t="n">
        <f aca="false">IF(ALH81&lt;=0,0,IF(H_Direct=1,IF(CH82&lt;=0,QH82,IF(QH82&lt;=(XG82+AAT82)/CH82,QH82,(QH82-G82*(XG82+AAT82))/(1-G82*CH82))),QH82/(1-MAX(0,CH82)*H_Exit)))</f>
        <v>0</v>
      </c>
      <c r="TV82" s="20" t="n">
        <f aca="false">IF(ALI81&lt;=0,0,IF(H_Direct=1,IF(CI82&lt;=0,QI82,IF(QI82&lt;=(XH82+AAU82)/CI82,QI82,(QI82-G82*(XH82+AAU82))/(1-G82*CI82))),QI82/(1-MAX(0,CI82)*H_Exit)))</f>
        <v>0</v>
      </c>
      <c r="TW82" s="20" t="n">
        <f aca="false">IF(ALJ81&lt;=0,0,IF(H_Direct=1,IF(CJ82&lt;=0,QJ82,IF(QJ82&lt;=(XI82+AAV82)/CJ82,QJ82,(QJ82-G82*(XI82+AAV82))/(1-G82*CJ82))),QJ82/(1-MAX(0,CJ82)*H_Exit)))</f>
        <v>0</v>
      </c>
      <c r="TX82" s="20" t="n">
        <f aca="false">IF(ALK81&lt;=0,0,IF(H_Direct=1,IF(CK82&lt;=0,QK82,IF(QK82&lt;=(XJ82+AAW82)/CK82,QK82,(QK82-G82*(XJ82+AAW82))/(1-G82*CK82))),QK82/(1-MAX(0,CK82)*H_Exit)))</f>
        <v>0</v>
      </c>
      <c r="TY82" s="20" t="n">
        <f aca="false">IF(ALL81&lt;=0,0,IF(H_Direct=1,IF(CL82&lt;=0,QL82,IF(QL82&lt;=(XK82+AAX82)/CL82,QL82,(QL82-G82*(XK82+AAX82))/(1-G82*CL82))),QL82/(1-MAX(0,CL82)*H_Exit)))</f>
        <v>0</v>
      </c>
      <c r="TZ82" s="20" t="n">
        <f aca="false">IF(ALM81&lt;=0,0,IF(H_Direct=1,IF(CM82&lt;=0,QM82,IF(QM82&lt;=(XL82+AAY82)/CM82,QM82,(QM82-G82*(XL82+AAY82))/(1-G82*CM82))),QM82/(1-MAX(0,CM82)*H_Exit)))</f>
        <v>0</v>
      </c>
      <c r="UA82" s="20" t="n">
        <f aca="false">IF(ALN81&lt;=0,0,IF(H_Direct=1,IF(CN82&lt;=0,QN82,IF(QN82&lt;=(XM82+AAZ82)/CN82,QN82,(QN82-G82*(XM82+AAZ82))/(1-G82*CN82))),QN82/(1-MAX(0,CN82)*H_Exit)))</f>
        <v>0</v>
      </c>
      <c r="UB82" s="20" t="n">
        <f aca="false">IF(ALO81&lt;=0,0,IF(H_Direct=1,IF(CO82&lt;=0,QO82,IF(QO82&lt;=(XN82+ABA82)/CO82,QO82,(QO82-G82*(XN82+ABA82))/(1-G82*CO82))),QO82/(1-MAX(0,CO82)*H_Exit)))</f>
        <v>0</v>
      </c>
      <c r="UC82" s="20" t="n">
        <f aca="false">IF(ALP81&lt;=0,0,IF(H_Direct=1,IF(CP82&lt;=0,QP82,IF(QP82&lt;=(XO82+ABB82)/CP82,QP82,(QP82-G82*(XO82+ABB82))/(1-G82*CP82))),QP82/(1-MAX(0,CP82)*H_Exit)))</f>
        <v>0</v>
      </c>
      <c r="UD82" s="20" t="n">
        <f aca="false">IF(ALQ81&lt;=0,0,IF(H_Direct=1,IF(CQ82&lt;=0,QQ82,IF(QQ82&lt;=(XP82+ABC82)/CQ82,QQ82,(QQ82-G82*(XP82+ABC82))/(1-G82*CQ82))),QQ82/(1-MAX(0,CQ82)*H_Exit)))</f>
        <v>0</v>
      </c>
      <c r="UE82" s="20" t="n">
        <f aca="false">IF(ALR81&lt;=0,0,IF(H_Direct=1,IF(CR82&lt;=0,QR82,IF(QR82&lt;=(XQ82+ABD82)/CR82,QR82,(QR82-G82*(XQ82+ABD82))/(1-G82*CR82))),QR82/(1-MAX(0,CR82)*H_Exit)))</f>
        <v>0</v>
      </c>
      <c r="UF82" s="20" t="n">
        <f aca="false">IF(ALS81&lt;=0,0,IF(H_Direct=1,IF(CS82&lt;=0,QS82,IF(QS82&lt;=(XR82+ABE82)/CS82,QS82,(QS82-G82*(XR82+ABE82))/(1-G82*CS82))),QS82/(1-MAX(0,CS82)*H_Exit)))</f>
        <v>0</v>
      </c>
      <c r="UG82" s="20" t="n">
        <f aca="false">IF(ALT81&lt;=0,0,IF(H_Direct=1,IF(CT82&lt;=0,QT82,IF(QT82&lt;=(XS82+ABF82)/CT82,QT82,(QT82-G82*(XS82+ABF82))/(1-G82*CT82))),QT82/(1-MAX(0,CT82)*H_Exit)))</f>
        <v>0</v>
      </c>
      <c r="UH82" s="20" t="n">
        <f aca="false">IF(ALU81&lt;=0,0,IF(H_Direct=1,IF(CU82&lt;=0,QU82,IF(QU82&lt;=(XT82+ABG82)/CU82,QU82,(QU82-G82*(XT82+ABG82))/(1-G82*CU82))),QU82/(1-MAX(0,CU82)*H_Exit)))</f>
        <v>0</v>
      </c>
      <c r="UI82" s="20" t="n">
        <f aca="false">IF(ALV81&lt;=0,0,IF(H_Direct=1,IF(CV82&lt;=0,QV82,IF(QV82&lt;=(XU82+ABH82)/CV82,QV82,(QV82-G82*(XU82+ABH82))/(1-G82*CV82))),QV82/(1-MAX(0,CV82)*H_Exit)))</f>
        <v>0</v>
      </c>
      <c r="UJ82" s="20" t="n">
        <f aca="false">IF(ALW81&lt;=0,0,IF(H_Direct=1,IF(CW82&lt;=0,QW82,IF(QW82&lt;=(XV82+ABI82)/CW82,QW82,(QW82-G82*(XV82+ABI82))/(1-G82*CW82))),QW82/(1-MAX(0,CW82)*H_Exit)))</f>
        <v>0</v>
      </c>
      <c r="UK82" s="20" t="n">
        <f aca="false">IF(ALX81&lt;=0,0,IF(H_Direct=1,IF(CX82&lt;=0,QX82,IF(QX82&lt;=(XW82+ABJ82)/CX82,QX82,(QX82-G82*(XW82+ABJ82))/(1-G82*CX82))),QX82/(1-MAX(0,CX82)*H_Exit)))</f>
        <v>0</v>
      </c>
      <c r="UL82" s="20" t="n">
        <f aca="false">IF(ALY81&lt;=0,0,IF(H_Direct=1,IF(CY82&lt;=0,QY82,IF(QY82&lt;=(XX82+ABK82)/CY82,QY82,(QY82-G82*(XX82+ABK82))/(1-G82*CY82))),QY82/(1-MAX(0,CY82)*H_Exit)))</f>
        <v>0</v>
      </c>
      <c r="UM82" s="20" t="n">
        <f aca="false">IF(ALZ81&lt;=0,0,IF(H_Direct=1,IF(CZ82&lt;=0,QZ82,IF(QZ82&lt;=(XY82+ABL82)/CZ82,QZ82,(QZ82-G82*(XY82+ABL82))/(1-G82*CZ82))),QZ82/(1-MAX(0,CZ82)*H_Exit)))</f>
        <v>0</v>
      </c>
      <c r="UN82" s="20" t="n">
        <f aca="false">IF(AMA81&lt;=0,0,IF(H_Direct=1,IF(DA82&lt;=0,RA82,IF(RA82&lt;=(XZ82+ABM82)/DA82,RA82,(RA82-G82*(XZ82+ABM82))/(1-G82*DA82))),RA82/(1-MAX(0,DA82)*H_Exit)))</f>
        <v>0</v>
      </c>
      <c r="UO82" s="20" t="n">
        <f aca="false">IF(AMB81&lt;=0,0,IF(H_Direct=1,IF(DB82&lt;=0,RB82,IF(RB82&lt;=(YA82+ABN82)/DB82,RB82,(RB82-G82*(YA82+ABN82))/(1-G82*DB82))),RB82/(1-MAX(0,DB82)*H_Exit)))</f>
        <v>0</v>
      </c>
      <c r="UP82" s="20" t="n">
        <f aca="false">IF(AMC81&lt;=0,0,IF(H_Direct=1,IF(DC82&lt;=0,RC82,IF(RC82&lt;=(YB82+ABO82)/DC82,RC82,(RC82-G82*(YB82+ABO82))/(1-G82*DC82))),RC82/(1-MAX(0,DC82)*H_Exit)))</f>
        <v>0</v>
      </c>
      <c r="UQ82" s="20" t="n">
        <f aca="false">IF(AMD81&lt;=0,0,IF(H_Direct=1,IF(DD82&lt;=0,RD82,IF(RD82&lt;=(YC82+ABP82)/DD82,RD82,(RD82-G82*(YC82+ABP82))/(1-G82*DD82))),RD82/(1-MAX(0,DD82)*H_Exit)))</f>
        <v>0</v>
      </c>
      <c r="UR82" s="20" t="n">
        <f aca="false">IF(AME81&lt;=0,0,IF(H_Direct=1,IF(DE82&lt;=0,RE82,IF(RE82&lt;=(YD82+ABQ82)/DE82,RE82,(RE82-G82*(YD82+ABQ82))/(1-G82*DE82))),RE82/(1-MAX(0,DE82)*H_Exit)))</f>
        <v>0</v>
      </c>
      <c r="US82" s="20" t="n">
        <f aca="false">IF(AMF81&lt;=0,0,IF(H_Direct=1,IF(DF82&lt;=0,RF82,IF(RF82&lt;=(YE82+ABR82)/DF82,RF82,(RF82-G82*(YE82+ABR82))/(1-G82*DF82))),RF82/(1-MAX(0,DF82)*H_Exit)))</f>
        <v>0</v>
      </c>
      <c r="UT82" s="20" t="n">
        <f aca="false">IF(AMG81&lt;=0,0,IF(H_Direct=1,IF(DG82&lt;=0,RG82,IF(RG82&lt;=(YF82+ABS82)/DG82,RG82,(RG82-G82*(YF82+ABS82))/(1-G82*DG82))),RG82/(1-MAX(0,DG82)*H_Exit)))</f>
        <v>0</v>
      </c>
      <c r="UU82" s="20" t="n">
        <f aca="false">IF(AMH81&lt;=0,0,IF(H_Direct=1,IF(DH82&lt;=0,RH82,IF(RH82&lt;=(YG82+ABT82)/DH82,RH82,(RH82-G82*(YG82+ABT82))/(1-G82*DH82))),RH82/(1-MAX(0,DH82)*H_Exit)))</f>
        <v>0</v>
      </c>
      <c r="UV82" s="20" t="n">
        <f aca="false">IF(AMI81&lt;=0,0,IF(H_Direct=1,IF(DI82&lt;=0,RI82,IF(RI82&lt;=(YH82+ABU82)/DI82,RI82,(RI82-G82*(YH82+ABU82))/(1-G82*DI82))),RI82/(1-MAX(0,DI82)*H_Exit)))</f>
        <v>0</v>
      </c>
      <c r="UW82" s="20" t="n">
        <f aca="false">IF(AMJ81&lt;=0,0,IF(H_Direct=1,IF(DJ82&lt;=0,RJ82,IF(RJ82&lt;=(YI82+ABV82)/DJ82,RJ82,(RJ82-G82*(YI82+ABV82))/(1-G82*DJ82))),RJ82/(1-MAX(0,DJ82)*H_Exit)))</f>
        <v>0</v>
      </c>
      <c r="UX82" s="20" t="n">
        <f aca="false">IF(AMK81&lt;=0,0,IF(H_Direct=1,IF(DK82&lt;=0,RK82,IF(RK82&lt;=(YJ82+ABW82)/DK82,RK82,(RK82-G82*(YJ82+ABW82))/(1-G82*DK82))),RK82/(1-MAX(0,DK82)*H_Exit)))</f>
        <v>0</v>
      </c>
      <c r="UY82" s="20" t="n">
        <f aca="false">IF(AML81&lt;=0,0,IF(H_Direct=1,IF(DL82&lt;=0,RL82,IF(RL82&lt;=(YK82+ABX82)/DL82,RL82,(RL82-G82*(YK82+ABX82))/(1-G82*DL82))),RL82/(1-MAX(0,DL82)*H_Exit)))</f>
        <v>0</v>
      </c>
      <c r="UZ82" s="20" t="n">
        <f aca="false">IF(AMM81&lt;=0,0,IF(H_Direct=1,IF(DM82&lt;=0,RM82,IF(RM82&lt;=(YL82+ABY82)/DM82,RM82,(RM82-G82*(YL82+ABY82))/(1-G82*DM82))),RM82/(1-MAX(0,DM82)*H_Exit)))</f>
        <v>0</v>
      </c>
      <c r="VA82" s="20" t="n">
        <f aca="false">IF(AMN81&lt;=0,0,IF(H_Direct=1,IF(DN82&lt;=0,RN82,IF(RN82&lt;=(YM82+ABZ82)/DN82,RN82,(RN82-G82*(YM82+ABZ82))/(1-G82*DN82))),RN82/(1-MAX(0,DN82)*H_Exit)))</f>
        <v>0</v>
      </c>
      <c r="VB82" s="20" t="n">
        <f aca="false">IF(AMO81&lt;=0,0,IF(H_Direct=1,IF(DO82&lt;=0,RO82,IF(RO82&lt;=(YN82+ACA82)/DO82,RO82,(RO82-G82*(YN82+ACA82))/(1-G82*DO82))),RO82/(1-MAX(0,DO82)*H_Exit)))</f>
        <v>0</v>
      </c>
      <c r="VC82" s="20" t="n">
        <f aca="false">IF(AMP81&lt;=0,0,IF(H_Direct=1,IF(DP82&lt;=0,RP82,IF(RP82&lt;=(YO82+ACB82)/DP82,RP82,(RP82-G82*(YO82+ACB82))/(1-G82*DP82))),RP82/(1-MAX(0,DP82)*H_Exit)))</f>
        <v>0</v>
      </c>
      <c r="VD82" s="20" t="n">
        <f aca="false">IF(AMQ81&lt;=0,0,IF(H_Direct=1,IF(DQ82&lt;=0,RQ82,IF(RQ82&lt;=(YP82+ACC82)/DQ82,RQ82,(RQ82-G82*(YP82+ACC82))/(1-G82*DQ82))),RQ82/(1-MAX(0,DQ82)*H_Exit)))</f>
        <v>0</v>
      </c>
      <c r="VE82" s="20" t="n">
        <f aca="false">IF(AMR81&lt;=0,0,IF(H_Direct=1,IF(DR82&lt;=0,RR82,IF(RR82&lt;=(YQ82+ACD82)/DR82,RR82,(RR82-G82*(YQ82+ACD82))/(1-G82*DR82))),RR82/(1-MAX(0,DR82)*H_Exit)))</f>
        <v>0</v>
      </c>
      <c r="VF82" s="20" t="n">
        <f aca="false">IF(AMS81&lt;=0,0,IF(H_Direct=1,IF(DS82&lt;=0,RS82,IF(RS82&lt;=(YR82+ACE82)/DS82,RS82,(RS82-G82*(YR82+ACE82))/(1-G82*DS82))),RS82/(1-MAX(0,DS82)*H_Exit)))</f>
        <v>0</v>
      </c>
      <c r="VG82" s="20" t="n">
        <f aca="false">IF(AMT81&lt;=0,0,IF(H_Direct=1,IF(DT82&lt;=0,RT82,IF(RT82&lt;=(YS82+ACF82)/DT82,RT82,(RT82-G82*(YS82+ACF82))/(1-G82*DT82))),RT82/(1-MAX(0,DT82)*H_Exit)))</f>
        <v>0</v>
      </c>
      <c r="VH82" s="20" t="n">
        <f aca="false">IF(AMU81&lt;=0,0,IF(H_Direct=1,IF(DU82&lt;=0,RU82,IF(RU82&lt;=(YT82+ACG82)/DU82,RU82,(RU82-G82*(YT82+ACG82))/(1-G82*DU82))),RU82/(1-MAX(0,DU82)*H_Exit)))</f>
        <v>0</v>
      </c>
      <c r="VI82" s="20" t="n">
        <f aca="false">IF(AMV81&lt;=0,0,IF(H_Direct=1,IF(DV82&lt;=0,RV82,IF(RV82&lt;=(YU82+ACH82)/DV82,RV82,(RV82-G82*(YU82+ACH82))/(1-G82*DV82))),RV82/(1-MAX(0,DV82)*H_Exit)))</f>
        <v>0</v>
      </c>
      <c r="VJ82" s="20" t="n">
        <f aca="false">IF(AMW81&lt;=0,0,IF(H_Direct=1,IF(DW82&lt;=0,RW82,IF(RW82&lt;=(YV82+ACI82)/DW82,RW82,(RW82-G82*(YV82+ACI82))/(1-G82*DW82))),RW82/(1-MAX(0,DW82)*H_Exit)))</f>
        <v>0</v>
      </c>
      <c r="VK82" s="20" t="n">
        <f aca="false">IF(AMX81&lt;=0,0,IF(H_Direct=1,IF(DX82&lt;=0,RX82,IF(RX82&lt;=(YW82+ACJ82)/DX82,RX82,(RX82-G82*(YW82+ACJ82))/(1-G82*DX82))),RX82/(1-MAX(0,DX82)*H_Exit)))</f>
        <v>0</v>
      </c>
      <c r="VL82" s="20" t="n">
        <f aca="false">IF(AMY81&lt;=0,0,IF(H_Direct=1,IF(DY82&lt;=0,RY82,IF(RY82&lt;=(YX82+ACK82)/DY82,RY82,(RY82-G82*(YX82+ACK82))/(1-G82*DY82))),RY82/(1-MAX(0,DY82)*H_Exit)))</f>
        <v>0</v>
      </c>
      <c r="VM82" s="20" t="n">
        <f aca="false">IF(AMZ81&lt;=0,0,IF(H_Direct=1,IF(DZ82&lt;=0,RZ82,IF(RZ82&lt;=(YY82+ACL82)/DZ82,RZ82,(RZ82-G82*(YY82+ACL82))/(1-G82*DZ82))),RZ82/(1-MAX(0,DZ82)*H_Exit)))</f>
        <v>0</v>
      </c>
      <c r="VN82" s="20" t="n">
        <f aca="false">IF(ANA81&lt;=0,0,IF(H_Direct=1,IF(EA82&lt;=0,SA82,IF(SA82&lt;=(YZ82+ACM82)/EA82,SA82,(SA82-G82*(YZ82+ACM82))/(1-G82*EA82))),SA82/(1-MAX(0,EA82)*H_Exit)))</f>
        <v>0</v>
      </c>
      <c r="VO82" s="20" t="n">
        <f aca="false">IF(ANB81&lt;=0,0,IF(H_Direct=1,IF(EB82&lt;=0,SB82,IF(SB82&lt;=(ZA82+ACN82)/EB82,SB82,(SB82-G82*(ZA82+ACN82))/(1-G82*EB82))),SB82/(1-MAX(0,EB82)*H_Exit)))</f>
        <v>0</v>
      </c>
      <c r="VP82" s="20" t="n">
        <f aca="false">IF(ANC81&lt;=0,0,IF(H_Direct=1,IF(EC82&lt;=0,SC82,IF(SC82&lt;=(ZB82+ACO82)/EC82,SC82,(SC82-G82*(ZB82+ACO82))/(1-G82*EC82))),SC82/(1-MAX(0,EC82)*H_Exit)))</f>
        <v>0</v>
      </c>
      <c r="VQ82" s="20" t="n">
        <f aca="false">IF(AND81&lt;=0,0,IF(H_Direct=1,IF(ED82&lt;=0,SD82,IF(SD82&lt;=(ZC82+ACP82)/ED82,SD82,(SD82-G82*(ZC82+ACP82))/(1-G82*ED82))),SD82/(1-MAX(0,ED82)*H_Exit)))</f>
        <v>0</v>
      </c>
      <c r="VR82" s="20" t="n">
        <f aca="false">IF(ANE81&lt;=0,0,IF(H_Direct=1,IF(EE82&lt;=0,SE82,IF(SE82&lt;=(ZD82+ACQ82)/EE82,SE82,(SE82-G82*(ZD82+ACQ82))/(1-G82*EE82))),SE82/(1-MAX(0,EE82)*H_Exit)))</f>
        <v>0</v>
      </c>
      <c r="VS82" s="20" t="n">
        <f aca="false">IF(ANF81&lt;=0,0,IF(H_Direct=1,IF(EF82&lt;=0,SF82,IF(SF82&lt;=(ZE82+ACR82)/EF82,SF82,(SF82-G82*(ZE82+ACR82))/(1-G82*EF82))),SF82/(1-MAX(0,EF82)*H_Exit)))</f>
        <v>0</v>
      </c>
      <c r="VT82" s="20" t="n">
        <f aca="false">IF(ANG81&lt;=0,0,IF(H_Direct=1,IF(EG82&lt;=0,SG82,IF(SG82&lt;=(ZF82+ACS82)/EG82,SG82,(SG82-G82*(ZF82+ACS82))/(1-G82*EG82))),SG82/(1-MAX(0,EG82)*H_Exit)))</f>
        <v>0</v>
      </c>
      <c r="VU82" s="20" t="n">
        <f aca="false">IF(ANH81&lt;=0,0,IF(H_Direct=1,IF(EH82&lt;=0,SH82,IF(SH82&lt;=(ZG82+ACT82)/EH82,SH82,(SH82-G82*(ZG82+ACT82))/(1-G82*EH82))),SH82/(1-MAX(0,EH82)*H_Exit)))</f>
        <v>0</v>
      </c>
      <c r="VV82" s="20" t="n">
        <f aca="false">IF(ANI81&lt;=0,0,IF(H_Direct=1,IF(EI82&lt;=0,SI82,IF(SI82&lt;=(ZH82+ACU82)/EI82,SI82,(SI82-G82*(ZH82+ACU82))/(1-G82*EI82))),SI82/(1-MAX(0,EI82)*H_Exit)))</f>
        <v>0</v>
      </c>
      <c r="VW82" s="20" t="n">
        <f aca="false">IF(ANJ81&lt;=0,0,IF(H_Direct=1,IF(EJ82&lt;=0,SJ82,IF(SJ82&lt;=(ZI82+ACV82)/EJ82,SJ82,(SJ82-G82*(ZI82+ACV82))/(1-G82*EJ82))),SJ82/(1-MAX(0,EJ82)*H_Exit)))</f>
        <v>0</v>
      </c>
      <c r="VX82" s="20" t="n">
        <f aca="false">IF(ANK81&lt;=0,0,IF(H_Direct=1,IF(EK82&lt;=0,SK82,IF(SK82&lt;=(ZJ82+ACW82)/EK82,SK82,(SK82-G82*(ZJ82+ACW82))/(1-G82*EK82))),SK82/(1-MAX(0,EK82)*H_Exit)))</f>
        <v>0</v>
      </c>
      <c r="VY82" s="20" t="n">
        <f aca="false">IF(ANL81&lt;=0,0,IF(H_Direct=1,IF(EL82&lt;=0,SL82,IF(SL82&lt;=(ZK82+ACX82)/EL82,SL82,(SL82-G82*(ZK82+ACX82))/(1-G82*EL82))),SL82/(1-MAX(0,EL82)*H_Exit)))</f>
        <v>0</v>
      </c>
      <c r="VZ82" s="20" t="n">
        <f aca="false">IF(ANM81&lt;=0,0,IF(H_Direct=1,IF(EM82&lt;=0,SM82,IF(SM82&lt;=(ZL82+ACY82)/EM82,SM82,(SM82-G82*(ZL82+ACY82))/(1-G82*EM82))),SM82/(1-MAX(0,EM82)*H_Exit)))</f>
        <v>0</v>
      </c>
      <c r="WA82" s="20" t="n">
        <f aca="false">IF(ANN81&lt;=0,0,IF(H_Direct=1,IF(EN82&lt;=0,SN82,IF(SN82&lt;=(ZM82+ACZ82)/EN82,SN82,(SN82-G82*(ZM82+ACZ82))/(1-G82*EN82))),SN82/(1-MAX(0,EN82)*H_Exit)))</f>
        <v>0</v>
      </c>
      <c r="WB82" s="20" t="n">
        <f aca="false">IF((P82+S82)&lt;=0,0,IF(H_Direct=1,IF(EO82&lt;=0,SO82,IF(SO82&lt;=(ZN82+ADA82)/EO82,SO82,(SO82-G82*(ZN82+ADA82))/(1-G82*EO82))),SO82/(1-MAX(0,EO82)*H_Exit)))</f>
        <v>0</v>
      </c>
      <c r="WC82" s="20" t="n">
        <v>0</v>
      </c>
      <c r="WD82" s="20" t="n">
        <v>0</v>
      </c>
      <c r="WE82" s="20" t="n">
        <v>0</v>
      </c>
      <c r="WF82" s="20" t="n">
        <v>0</v>
      </c>
      <c r="WG82" s="20" t="n">
        <v>0</v>
      </c>
      <c r="WH82" s="20" t="n">
        <v>0</v>
      </c>
      <c r="WI82" s="20" t="n">
        <v>0</v>
      </c>
      <c r="WJ82" s="20" t="n">
        <v>0</v>
      </c>
      <c r="WK82" s="20" t="n">
        <v>0</v>
      </c>
      <c r="WL82" s="20" t="n">
        <v>0</v>
      </c>
      <c r="WM82" s="20" t="n">
        <v>0</v>
      </c>
      <c r="WN82" s="20" t="n">
        <v>0</v>
      </c>
      <c r="WO82" s="20" t="n">
        <v>0</v>
      </c>
      <c r="WP82" s="20" t="n">
        <v>0</v>
      </c>
      <c r="WQ82" s="20" t="n">
        <v>0</v>
      </c>
      <c r="WR82" s="20" t="n">
        <f aca="false">IF(AND(H_Direct=1,BR82&gt;0),MAX(0,H82-(MIN(BR82*TE82,(H82+I82))-MIN(MIN(BR82*TE82,(H82+I82)),I82))),H82)</f>
        <v>1270</v>
      </c>
      <c r="WS82" s="20" t="n">
        <f aca="false">IF(AND(H_Direct=1,BS82&gt;0),MAX(0,WR82-(MIN(BS82*TF82,(WR82+AAE82))-MIN(MIN(BS82*TF82,(WR82+AAE82)),AAE82))),WR82)</f>
        <v>1270</v>
      </c>
      <c r="WT82" s="20" t="n">
        <f aca="false">IF(AND(H_Direct=1,BT82&gt;0),MAX(0,WS82-(MIN(BT82*TG82,(WS82+AAF82))-MIN(MIN(BT82*TG82,(WS82+AAF82)),AAF82))),WS82)</f>
        <v>1270</v>
      </c>
      <c r="WU82" s="20" t="n">
        <f aca="false">IF(AND(H_Direct=1,BU82&gt;0),MAX(0,WT82-(MIN(BU82*TH82,(WT82+AAG82))-MIN(MIN(BU82*TH82,(WT82+AAG82)),AAG82))),WT82)</f>
        <v>1270</v>
      </c>
      <c r="WV82" s="20" t="n">
        <f aca="false">IF(AND(H_Direct=1,BV82&gt;0),MAX(0,WU82-(MIN(BV82*TI82,(WU82+AAH82))-MIN(MIN(BV82*TI82,(WU82+AAH82)),AAH82))),WU82)</f>
        <v>1270</v>
      </c>
      <c r="WW82" s="20" t="n">
        <f aca="false">IF(AND(H_Direct=1,BW82&gt;0),MAX(0,WV82-(MIN(BW82*TJ82,(WV82+AAI82))-MIN(MIN(BW82*TJ82,(WV82+AAI82)),AAI82))),WV82)</f>
        <v>1270</v>
      </c>
      <c r="WX82" s="20" t="n">
        <f aca="false">IF(AND(H_Direct=1,BX82&gt;0),MAX(0,WW82-(MIN(BX82*TK82,(WW82+AAJ82))-MIN(MIN(BX82*TK82,(WW82+AAJ82)),AAJ82))),WW82)</f>
        <v>1270</v>
      </c>
      <c r="WY82" s="20" t="n">
        <f aca="false">IF(AND(H_Direct=1,BY82&gt;0),MAX(0,WX82-(MIN(BY82*TL82,(WX82+AAK82))-MIN(MIN(BY82*TL82,(WX82+AAK82)),AAK82))),WX82)</f>
        <v>1270</v>
      </c>
      <c r="WZ82" s="20" t="n">
        <f aca="false">IF(AND(H_Direct=1,BZ82&gt;0),MAX(0,WY82-(MIN(BZ82*TM82,(WY82+AAL82))-MIN(MIN(BZ82*TM82,(WY82+AAL82)),AAL82))),WY82)</f>
        <v>1270</v>
      </c>
      <c r="XA82" s="20" t="n">
        <f aca="false">IF(AND(H_Direct=1,CA82&gt;0),MAX(0,WZ82-(MIN(CA82*TN82,(WZ82+AAM82))-MIN(MIN(CA82*TN82,(WZ82+AAM82)),AAM82))),WZ82)</f>
        <v>1270</v>
      </c>
      <c r="XB82" s="20" t="n">
        <f aca="false">IF(AND(H_Direct=1,CB82&gt;0),MAX(0,XA82-(MIN(CB82*TO82,(XA82+AAN82))-MIN(MIN(CB82*TO82,(XA82+AAN82)),AAN82))),XA82)</f>
        <v>1270</v>
      </c>
      <c r="XC82" s="20" t="n">
        <f aca="false">IF(AND(H_Direct=1,CC82&gt;0),MAX(0,XB82-(MIN(CC82*TP82,(XB82+AAO82))-MIN(MIN(CC82*TP82,(XB82+AAO82)),AAO82))),XB82)</f>
        <v>1270</v>
      </c>
      <c r="XD82" s="20" t="n">
        <f aca="false">IF(AND(H_Direct=1,CD82&gt;0),MAX(0,XC82-(MIN(CD82*TQ82,(XC82+AAP82))-MIN(MIN(CD82*TQ82,(XC82+AAP82)),AAP82))),XC82)</f>
        <v>1270</v>
      </c>
      <c r="XE82" s="20" t="n">
        <f aca="false">IF(AND(H_Direct=1,CE82&gt;0),MAX(0,XD82-(MIN(CE82*TR82,(XD82+AAQ82))-MIN(MIN(CE82*TR82,(XD82+AAQ82)),AAQ82))),XD82)</f>
        <v>1270</v>
      </c>
      <c r="XF82" s="20" t="n">
        <f aca="false">IF(AND(H_Direct=1,CF82&gt;0),MAX(0,XE82-(MIN(CF82*TS82,(XE82+AAR82))-MIN(MIN(CF82*TS82,(XE82+AAR82)),AAR82))),XE82)</f>
        <v>1270</v>
      </c>
      <c r="XG82" s="20" t="n">
        <f aca="false">IF(AND(H_Direct=1,CG82&gt;0),MAX(0,XF82-(MIN(CG82*TT82,(XF82+AAS82))-MIN(MIN(CG82*TT82,(XF82+AAS82)),AAS82))),XF82)</f>
        <v>1270</v>
      </c>
      <c r="XH82" s="20" t="n">
        <f aca="false">IF(AND(H_Direct=1,CH82&gt;0),MAX(0,XG82-(MIN(CH82*TU82,(XG82+AAT82))-MIN(MIN(CH82*TU82,(XG82+AAT82)),AAT82))),XG82)</f>
        <v>1270</v>
      </c>
      <c r="XI82" s="20" t="n">
        <f aca="false">IF(AND(H_Direct=1,CI82&gt;0),MAX(0,XH82-(MIN(CI82*TV82,(XH82+AAU82))-MIN(MIN(CI82*TV82,(XH82+AAU82)),AAU82))),XH82)</f>
        <v>1270</v>
      </c>
      <c r="XJ82" s="20" t="n">
        <f aca="false">IF(AND(H_Direct=1,CJ82&gt;0),MAX(0,XI82-(MIN(CJ82*TW82,(XI82+AAV82))-MIN(MIN(CJ82*TW82,(XI82+AAV82)),AAV82))),XI82)</f>
        <v>1270</v>
      </c>
      <c r="XK82" s="20" t="n">
        <f aca="false">IF(AND(H_Direct=1,CK82&gt;0),MAX(0,XJ82-(MIN(CK82*TX82,(XJ82+AAW82))-MIN(MIN(CK82*TX82,(XJ82+AAW82)),AAW82))),XJ82)</f>
        <v>1270</v>
      </c>
      <c r="XL82" s="20" t="n">
        <f aca="false">IF(AND(H_Direct=1,CL82&gt;0),MAX(0,XK82-(MIN(CL82*TY82,(XK82+AAX82))-MIN(MIN(CL82*TY82,(XK82+AAX82)),AAX82))),XK82)</f>
        <v>1270</v>
      </c>
      <c r="XM82" s="20" t="n">
        <f aca="false">IF(AND(H_Direct=1,CM82&gt;0),MAX(0,XL82-(MIN(CM82*TZ82,(XL82+AAY82))-MIN(MIN(CM82*TZ82,(XL82+AAY82)),AAY82))),XL82)</f>
        <v>1270</v>
      </c>
      <c r="XN82" s="20" t="n">
        <f aca="false">IF(AND(H_Direct=1,CN82&gt;0),MAX(0,XM82-(MIN(CN82*UA82,(XM82+AAZ82))-MIN(MIN(CN82*UA82,(XM82+AAZ82)),AAZ82))),XM82)</f>
        <v>1270</v>
      </c>
      <c r="XO82" s="20" t="n">
        <f aca="false">IF(AND(H_Direct=1,CO82&gt;0),MAX(0,XN82-(MIN(CO82*UB82,(XN82+ABA82))-MIN(MIN(CO82*UB82,(XN82+ABA82)),ABA82))),XN82)</f>
        <v>1270</v>
      </c>
      <c r="XP82" s="20" t="n">
        <f aca="false">IF(AND(H_Direct=1,CP82&gt;0),MAX(0,XO82-(MIN(CP82*UC82,(XO82+ABB82))-MIN(MIN(CP82*UC82,(XO82+ABB82)),ABB82))),XO82)</f>
        <v>1270</v>
      </c>
      <c r="XQ82" s="20" t="n">
        <f aca="false">IF(AND(H_Direct=1,CQ82&gt;0),MAX(0,XP82-(MIN(CQ82*UD82,(XP82+ABC82))-MIN(MIN(CQ82*UD82,(XP82+ABC82)),ABC82))),XP82)</f>
        <v>1270</v>
      </c>
      <c r="XR82" s="20" t="n">
        <f aca="false">IF(AND(H_Direct=1,CR82&gt;0),MAX(0,XQ82-(MIN(CR82*UE82,(XQ82+ABD82))-MIN(MIN(CR82*UE82,(XQ82+ABD82)),ABD82))),XQ82)</f>
        <v>1270</v>
      </c>
      <c r="XS82" s="20" t="n">
        <f aca="false">IF(AND(H_Direct=1,CS82&gt;0),MAX(0,XR82-(MIN(CS82*UF82,(XR82+ABE82))-MIN(MIN(CS82*UF82,(XR82+ABE82)),ABE82))),XR82)</f>
        <v>1270</v>
      </c>
      <c r="XT82" s="20" t="n">
        <f aca="false">IF(AND(H_Direct=1,CT82&gt;0),MAX(0,XS82-(MIN(CT82*UG82,(XS82+ABF82))-MIN(MIN(CT82*UG82,(XS82+ABF82)),ABF82))),XS82)</f>
        <v>1270</v>
      </c>
      <c r="XU82" s="20" t="n">
        <f aca="false">IF(AND(H_Direct=1,CU82&gt;0),MAX(0,XT82-(MIN(CU82*UH82,(XT82+ABG82))-MIN(MIN(CU82*UH82,(XT82+ABG82)),ABG82))),XT82)</f>
        <v>1270</v>
      </c>
      <c r="XV82" s="20" t="n">
        <f aca="false">IF(AND(H_Direct=1,CV82&gt;0),MAX(0,XU82-(MIN(CV82*UI82,(XU82+ABH82))-MIN(MIN(CV82*UI82,(XU82+ABH82)),ABH82))),XU82)</f>
        <v>1270</v>
      </c>
      <c r="XW82" s="20" t="n">
        <f aca="false">IF(AND(H_Direct=1,CW82&gt;0),MAX(0,XV82-(MIN(CW82*UJ82,(XV82+ABI82))-MIN(MIN(CW82*UJ82,(XV82+ABI82)),ABI82))),XV82)</f>
        <v>1270</v>
      </c>
      <c r="XX82" s="20" t="n">
        <f aca="false">IF(AND(H_Direct=1,CX82&gt;0),MAX(0,XW82-(MIN(CX82*UK82,(XW82+ABJ82))-MIN(MIN(CX82*UK82,(XW82+ABJ82)),ABJ82))),XW82)</f>
        <v>1270</v>
      </c>
      <c r="XY82" s="20" t="n">
        <f aca="false">IF(AND(H_Direct=1,CY82&gt;0),MAX(0,XX82-(MIN(CY82*UL82,(XX82+ABK82))-MIN(MIN(CY82*UL82,(XX82+ABK82)),ABK82))),XX82)</f>
        <v>1270</v>
      </c>
      <c r="XZ82" s="20" t="n">
        <f aca="false">IF(AND(H_Direct=1,CZ82&gt;0),MAX(0,XY82-(MIN(CZ82*UM82,(XY82+ABL82))-MIN(MIN(CZ82*UM82,(XY82+ABL82)),ABL82))),XY82)</f>
        <v>1270</v>
      </c>
      <c r="YA82" s="20" t="n">
        <f aca="false">IF(AND(H_Direct=1,DA82&gt;0),MAX(0,XZ82-(MIN(DA82*UN82,(XZ82+ABM82))-MIN(MIN(DA82*UN82,(XZ82+ABM82)),ABM82))),XZ82)</f>
        <v>1270</v>
      </c>
      <c r="YB82" s="20" t="n">
        <f aca="false">IF(AND(H_Direct=1,DB82&gt;0),MAX(0,YA82-(MIN(DB82*UO82,(YA82+ABN82))-MIN(MIN(DB82*UO82,(YA82+ABN82)),ABN82))),YA82)</f>
        <v>1270</v>
      </c>
      <c r="YC82" s="20" t="n">
        <f aca="false">IF(AND(H_Direct=1,DC82&gt;0),MAX(0,YB82-(MIN(DC82*UP82,(YB82+ABO82))-MIN(MIN(DC82*UP82,(YB82+ABO82)),ABO82))),YB82)</f>
        <v>1270</v>
      </c>
      <c r="YD82" s="20" t="n">
        <f aca="false">IF(AND(H_Direct=1,DD82&gt;0),MAX(0,YC82-(MIN(DD82*UQ82,(YC82+ABP82))-MIN(MIN(DD82*UQ82,(YC82+ABP82)),ABP82))),YC82)</f>
        <v>1270</v>
      </c>
      <c r="YE82" s="20" t="n">
        <f aca="false">IF(AND(H_Direct=1,DE82&gt;0),MAX(0,YD82-(MIN(DE82*UR82,(YD82+ABQ82))-MIN(MIN(DE82*UR82,(YD82+ABQ82)),ABQ82))),YD82)</f>
        <v>1270</v>
      </c>
      <c r="YF82" s="20" t="n">
        <f aca="false">IF(AND(H_Direct=1,DF82&gt;0),MAX(0,YE82-(MIN(DF82*US82,(YE82+ABR82))-MIN(MIN(DF82*US82,(YE82+ABR82)),ABR82))),YE82)</f>
        <v>1270</v>
      </c>
      <c r="YG82" s="20" t="n">
        <f aca="false">IF(AND(H_Direct=1,DG82&gt;0),MAX(0,YF82-(MIN(DG82*UT82,(YF82+ABS82))-MIN(MIN(DG82*UT82,(YF82+ABS82)),ABS82))),YF82)</f>
        <v>1270</v>
      </c>
      <c r="YH82" s="20" t="n">
        <f aca="false">IF(AND(H_Direct=1,DH82&gt;0),MAX(0,YG82-(MIN(DH82*UU82,(YG82+ABT82))-MIN(MIN(DH82*UU82,(YG82+ABT82)),ABT82))),YG82)</f>
        <v>1270</v>
      </c>
      <c r="YI82" s="20" t="n">
        <f aca="false">IF(AND(H_Direct=1,DI82&gt;0),MAX(0,YH82-(MIN(DI82*UV82,(YH82+ABU82))-MIN(MIN(DI82*UV82,(YH82+ABU82)),ABU82))),YH82)</f>
        <v>1270</v>
      </c>
      <c r="YJ82" s="20" t="n">
        <f aca="false">IF(AND(H_Direct=1,DJ82&gt;0),MAX(0,YI82-(MIN(DJ82*UW82,(YI82+ABV82))-MIN(MIN(DJ82*UW82,(YI82+ABV82)),ABV82))),YI82)</f>
        <v>1270</v>
      </c>
      <c r="YK82" s="20" t="n">
        <f aca="false">IF(AND(H_Direct=1,DK82&gt;0),MAX(0,YJ82-(MIN(DK82*UX82,(YJ82+ABW82))-MIN(MIN(DK82*UX82,(YJ82+ABW82)),ABW82))),YJ82)</f>
        <v>1270</v>
      </c>
      <c r="YL82" s="20" t="n">
        <f aca="false">IF(AND(H_Direct=1,DL82&gt;0),MAX(0,YK82-(MIN(DL82*UY82,(YK82+ABX82))-MIN(MIN(DL82*UY82,(YK82+ABX82)),ABX82))),YK82)</f>
        <v>1270</v>
      </c>
      <c r="YM82" s="20" t="n">
        <f aca="false">IF(AND(H_Direct=1,DM82&gt;0),MAX(0,YL82-(MIN(DM82*UZ82,(YL82+ABY82))-MIN(MIN(DM82*UZ82,(YL82+ABY82)),ABY82))),YL82)</f>
        <v>1270</v>
      </c>
      <c r="YN82" s="20" t="n">
        <f aca="false">IF(AND(H_Direct=1,DN82&gt;0),MAX(0,YM82-(MIN(DN82*VA82,(YM82+ABZ82))-MIN(MIN(DN82*VA82,(YM82+ABZ82)),ABZ82))),YM82)</f>
        <v>1270</v>
      </c>
      <c r="YO82" s="20" t="n">
        <f aca="false">IF(AND(H_Direct=1,DO82&gt;0),MAX(0,YN82-(MIN(DO82*VB82,(YN82+ACA82))-MIN(MIN(DO82*VB82,(YN82+ACA82)),ACA82))),YN82)</f>
        <v>1270</v>
      </c>
      <c r="YP82" s="20" t="n">
        <f aca="false">IF(AND(H_Direct=1,DP82&gt;0),MAX(0,YO82-(MIN(DP82*VC82,(YO82+ACB82))-MIN(MIN(DP82*VC82,(YO82+ACB82)),ACB82))),YO82)</f>
        <v>1270</v>
      </c>
      <c r="YQ82" s="20" t="n">
        <f aca="false">IF(AND(H_Direct=1,DQ82&gt;0),MAX(0,YP82-(MIN(DQ82*VD82,(YP82+ACC82))-MIN(MIN(DQ82*VD82,(YP82+ACC82)),ACC82))),YP82)</f>
        <v>1270</v>
      </c>
      <c r="YR82" s="20" t="n">
        <f aca="false">IF(AND(H_Direct=1,DR82&gt;0),MAX(0,YQ82-(MIN(DR82*VE82,(YQ82+ACD82))-MIN(MIN(DR82*VE82,(YQ82+ACD82)),ACD82))),YQ82)</f>
        <v>1270</v>
      </c>
      <c r="YS82" s="20" t="n">
        <f aca="false">IF(AND(H_Direct=1,DS82&gt;0),MAX(0,YR82-(MIN(DS82*VF82,(YR82+ACE82))-MIN(MIN(DS82*VF82,(YR82+ACE82)),ACE82))),YR82)</f>
        <v>1270</v>
      </c>
      <c r="YT82" s="20" t="n">
        <f aca="false">IF(AND(H_Direct=1,DT82&gt;0),MAX(0,YS82-(MIN(DT82*VG82,(YS82+ACF82))-MIN(MIN(DT82*VG82,(YS82+ACF82)),ACF82))),YS82)</f>
        <v>1270</v>
      </c>
      <c r="YU82" s="20" t="n">
        <f aca="false">IF(AND(H_Direct=1,DU82&gt;0),MAX(0,YT82-(MIN(DU82*VH82,(YT82+ACG82))-MIN(MIN(DU82*VH82,(YT82+ACG82)),ACG82))),YT82)</f>
        <v>1270</v>
      </c>
      <c r="YV82" s="20" t="n">
        <f aca="false">IF(AND(H_Direct=1,DV82&gt;0),MAX(0,YU82-(MIN(DV82*VI82,(YU82+ACH82))-MIN(MIN(DV82*VI82,(YU82+ACH82)),ACH82))),YU82)</f>
        <v>1270</v>
      </c>
      <c r="YW82" s="20" t="n">
        <f aca="false">IF(AND(H_Direct=1,DW82&gt;0),MAX(0,YV82-(MIN(DW82*VJ82,(YV82+ACI82))-MIN(MIN(DW82*VJ82,(YV82+ACI82)),ACI82))),YV82)</f>
        <v>1270</v>
      </c>
      <c r="YX82" s="20" t="n">
        <f aca="false">IF(AND(H_Direct=1,DX82&gt;0),MAX(0,YW82-(MIN(DX82*VK82,(YW82+ACJ82))-MIN(MIN(DX82*VK82,(YW82+ACJ82)),ACJ82))),YW82)</f>
        <v>1270</v>
      </c>
      <c r="YY82" s="20" t="n">
        <f aca="false">IF(AND(H_Direct=1,DY82&gt;0),MAX(0,YX82-(MIN(DY82*VL82,(YX82+ACK82))-MIN(MIN(DY82*VL82,(YX82+ACK82)),ACK82))),YX82)</f>
        <v>1270</v>
      </c>
      <c r="YZ82" s="20" t="n">
        <f aca="false">IF(AND(H_Direct=1,DZ82&gt;0),MAX(0,YY82-(MIN(DZ82*VM82,(YY82+ACL82))-MIN(MIN(DZ82*VM82,(YY82+ACL82)),ACL82))),YY82)</f>
        <v>1270</v>
      </c>
      <c r="ZA82" s="20" t="n">
        <f aca="false">IF(AND(H_Direct=1,EA82&gt;0),MAX(0,YZ82-(MIN(EA82*VN82,(YZ82+ACM82))-MIN(MIN(EA82*VN82,(YZ82+ACM82)),ACM82))),YZ82)</f>
        <v>1270</v>
      </c>
      <c r="ZB82" s="20" t="n">
        <f aca="false">IF(AND(H_Direct=1,EB82&gt;0),MAX(0,ZA82-(MIN(EB82*VO82,(ZA82+ACN82))-MIN(MIN(EB82*VO82,(ZA82+ACN82)),ACN82))),ZA82)</f>
        <v>1270</v>
      </c>
      <c r="ZC82" s="20" t="n">
        <f aca="false">IF(AND(H_Direct=1,EC82&gt;0),MAX(0,ZB82-(MIN(EC82*VP82,(ZB82+ACO82))-MIN(MIN(EC82*VP82,(ZB82+ACO82)),ACO82))),ZB82)</f>
        <v>1270</v>
      </c>
      <c r="ZD82" s="20" t="n">
        <f aca="false">IF(AND(H_Direct=1,ED82&gt;0),MAX(0,ZC82-(MIN(ED82*VQ82,(ZC82+ACP82))-MIN(MIN(ED82*VQ82,(ZC82+ACP82)),ACP82))),ZC82)</f>
        <v>1270</v>
      </c>
      <c r="ZE82" s="20" t="n">
        <f aca="false">IF(AND(H_Direct=1,EE82&gt;0),MAX(0,ZD82-(MIN(EE82*VR82,(ZD82+ACQ82))-MIN(MIN(EE82*VR82,(ZD82+ACQ82)),ACQ82))),ZD82)</f>
        <v>1270</v>
      </c>
      <c r="ZF82" s="20" t="n">
        <f aca="false">IF(AND(H_Direct=1,EF82&gt;0),MAX(0,ZE82-(MIN(EF82*VS82,(ZE82+ACR82))-MIN(MIN(EF82*VS82,(ZE82+ACR82)),ACR82))),ZE82)</f>
        <v>1270</v>
      </c>
      <c r="ZG82" s="20" t="n">
        <f aca="false">IF(AND(H_Direct=1,EG82&gt;0),MAX(0,ZF82-(MIN(EG82*VT82,(ZF82+ACS82))-MIN(MIN(EG82*VT82,(ZF82+ACS82)),ACS82))),ZF82)</f>
        <v>1270</v>
      </c>
      <c r="ZH82" s="20" t="n">
        <f aca="false">IF(AND(H_Direct=1,EH82&gt;0),MAX(0,ZG82-(MIN(EH82*VU82,(ZG82+ACT82))-MIN(MIN(EH82*VU82,(ZG82+ACT82)),ACT82))),ZG82)</f>
        <v>1270</v>
      </c>
      <c r="ZI82" s="20" t="n">
        <f aca="false">IF(AND(H_Direct=1,EI82&gt;0),MAX(0,ZH82-(MIN(EI82*VV82,(ZH82+ACU82))-MIN(MIN(EI82*VV82,(ZH82+ACU82)),ACU82))),ZH82)</f>
        <v>1270</v>
      </c>
      <c r="ZJ82" s="20" t="n">
        <f aca="false">IF(AND(H_Direct=1,EJ82&gt;0),MAX(0,ZI82-(MIN(EJ82*VW82,(ZI82+ACV82))-MIN(MIN(EJ82*VW82,(ZI82+ACV82)),ACV82))),ZI82)</f>
        <v>1270</v>
      </c>
      <c r="ZK82" s="20" t="n">
        <f aca="false">IF(AND(H_Direct=1,EK82&gt;0),MAX(0,ZJ82-(MIN(EK82*VX82,(ZJ82+ACW82))-MIN(MIN(EK82*VX82,(ZJ82+ACW82)),ACW82))),ZJ82)</f>
        <v>1270</v>
      </c>
      <c r="ZL82" s="20" t="n">
        <f aca="false">IF(AND(H_Direct=1,EL82&gt;0),MAX(0,ZK82-(MIN(EL82*VY82,(ZK82+ACX82))-MIN(MIN(EL82*VY82,(ZK82+ACX82)),ACX82))),ZK82)</f>
        <v>1270</v>
      </c>
      <c r="ZM82" s="20" t="n">
        <f aca="false">IF(AND(H_Direct=1,EM82&gt;0),MAX(0,ZL82-(MIN(EM82*VZ82,(ZL82+ACY82))-MIN(MIN(EM82*VZ82,(ZL82+ACY82)),ACY82))),ZL82)</f>
        <v>1270</v>
      </c>
      <c r="ZN82" s="20" t="n">
        <f aca="false">IF(AND(H_Direct=1,EN82&gt;0),MAX(0,ZM82-(MIN(EN82*WA82,(ZM82+ACZ82))-MIN(MIN(EN82*WA82,(ZM82+ACZ82)),ACZ82))),ZM82)</f>
        <v>1270</v>
      </c>
      <c r="ZO82" s="20" t="n">
        <f aca="false">IF(AND(H_Direct=1,EO82&gt;0),MAX(0,ZN82-(MIN(EO82*WB82,(ZN82+ADA82))-MIN(MIN(EO82*WB82,(ZN82+ADA82)),ADA82))),ZN82)</f>
        <v>1270</v>
      </c>
      <c r="ZP82" s="20" t="n">
        <f aca="false">ZO82</f>
        <v>1270</v>
      </c>
      <c r="ZQ82" s="20" t="n">
        <f aca="false">ZP82</f>
        <v>1270</v>
      </c>
      <c r="ZR82" s="20" t="n">
        <f aca="false">ZQ82</f>
        <v>1270</v>
      </c>
      <c r="ZS82" s="20" t="n">
        <f aca="false">ZR82</f>
        <v>1270</v>
      </c>
      <c r="ZT82" s="20" t="n">
        <f aca="false">ZS82</f>
        <v>1270</v>
      </c>
      <c r="ZU82" s="20" t="n">
        <f aca="false">ZT82</f>
        <v>1270</v>
      </c>
      <c r="ZV82" s="20" t="n">
        <f aca="false">ZU82</f>
        <v>1270</v>
      </c>
      <c r="ZW82" s="20" t="n">
        <f aca="false">ZV82</f>
        <v>1270</v>
      </c>
      <c r="ZX82" s="20" t="n">
        <f aca="false">ZW82</f>
        <v>1270</v>
      </c>
      <c r="ZY82" s="20" t="n">
        <f aca="false">ZX82</f>
        <v>1270</v>
      </c>
      <c r="ZZ82" s="20" t="n">
        <f aca="false">ZY82</f>
        <v>1270</v>
      </c>
      <c r="AAA82" s="20" t="n">
        <f aca="false">ZZ82</f>
        <v>1270</v>
      </c>
      <c r="AAB82" s="20" t="n">
        <f aca="false">AAA82</f>
        <v>1270</v>
      </c>
      <c r="AAC82" s="20" t="n">
        <f aca="false">AAB82</f>
        <v>1270</v>
      </c>
      <c r="AAD82" s="20" t="n">
        <f aca="false">AAC82</f>
        <v>1270</v>
      </c>
      <c r="AAE82" s="20" t="n">
        <f aca="false">IF(H_Direct=1,IF(BR82&lt;=0,I82-BR82*TE82,I82-MIN(MIN(BR82*TE82,(H82+I82)),I82)),I82)</f>
        <v>0</v>
      </c>
      <c r="AAF82" s="20" t="n">
        <f aca="false">IF(H_Direct=1,IF(BS82&lt;=0,AAE82-BS82*TF82,AAE82-MIN(MIN(BS82*TF82,(WR82+AAE82)),AAE82)),AAE82)</f>
        <v>0</v>
      </c>
      <c r="AAG82" s="20" t="n">
        <f aca="false">IF(H_Direct=1,IF(BT82&lt;=0,AAF82-BT82*TG82,AAF82-MIN(MIN(BT82*TG82,(WS82+AAF82)),AAF82)),AAF82)</f>
        <v>0</v>
      </c>
      <c r="AAH82" s="20" t="n">
        <f aca="false">IF(H_Direct=1,IF(BU82&lt;=0,AAG82-BU82*TH82,AAG82-MIN(MIN(BU82*TH82,(WT82+AAG82)),AAG82)),AAG82)</f>
        <v>0</v>
      </c>
      <c r="AAI82" s="20" t="n">
        <f aca="false">IF(H_Direct=1,IF(BV82&lt;=0,AAH82-BV82*TI82,AAH82-MIN(MIN(BV82*TI82,(WU82+AAH82)),AAH82)),AAH82)</f>
        <v>0</v>
      </c>
      <c r="AAJ82" s="20" t="n">
        <f aca="false">IF(H_Direct=1,IF(BW82&lt;=0,AAI82-BW82*TJ82,AAI82-MIN(MIN(BW82*TJ82,(WV82+AAI82)),AAI82)),AAI82)</f>
        <v>0</v>
      </c>
      <c r="AAK82" s="20" t="n">
        <f aca="false">IF(H_Direct=1,IF(BX82&lt;=0,AAJ82-BX82*TK82,AAJ82-MIN(MIN(BX82*TK82,(WW82+AAJ82)),AAJ82)),AAJ82)</f>
        <v>0</v>
      </c>
      <c r="AAL82" s="20" t="n">
        <f aca="false">IF(H_Direct=1,IF(BY82&lt;=0,AAK82-BY82*TL82,AAK82-MIN(MIN(BY82*TL82,(WX82+AAK82)),AAK82)),AAK82)</f>
        <v>0</v>
      </c>
      <c r="AAM82" s="20" t="n">
        <f aca="false">IF(H_Direct=1,IF(BZ82&lt;=0,AAL82-BZ82*TM82,AAL82-MIN(MIN(BZ82*TM82,(WY82+AAL82)),AAL82)),AAL82)</f>
        <v>0</v>
      </c>
      <c r="AAN82" s="20" t="n">
        <f aca="false">IF(H_Direct=1,IF(CA82&lt;=0,AAM82-CA82*TN82,AAM82-MIN(MIN(CA82*TN82,(WZ82+AAM82)),AAM82)),AAM82)</f>
        <v>0</v>
      </c>
      <c r="AAO82" s="20" t="n">
        <f aca="false">IF(H_Direct=1,IF(CB82&lt;=0,AAN82-CB82*TO82,AAN82-MIN(MIN(CB82*TO82,(XA82+AAN82)),AAN82)),AAN82)</f>
        <v>0</v>
      </c>
      <c r="AAP82" s="20" t="n">
        <f aca="false">IF(H_Direct=1,IF(CC82&lt;=0,AAO82-CC82*TP82,AAO82-MIN(MIN(CC82*TP82,(XB82+AAO82)),AAO82)),AAO82)</f>
        <v>0</v>
      </c>
      <c r="AAQ82" s="20" t="n">
        <f aca="false">IF(H_Direct=1,IF(CD82&lt;=0,AAP82-CD82*TQ82,AAP82-MIN(MIN(CD82*TQ82,(XC82+AAP82)),AAP82)),AAP82)</f>
        <v>0</v>
      </c>
      <c r="AAR82" s="20" t="n">
        <f aca="false">IF(H_Direct=1,IF(CE82&lt;=0,AAQ82-CE82*TR82,AAQ82-MIN(MIN(CE82*TR82,(XD82+AAQ82)),AAQ82)),AAQ82)</f>
        <v>0</v>
      </c>
      <c r="AAS82" s="20" t="n">
        <f aca="false">IF(H_Direct=1,IF(CF82&lt;=0,AAR82-CF82*TS82,AAR82-MIN(MIN(CF82*TS82,(XE82+AAR82)),AAR82)),AAR82)</f>
        <v>0</v>
      </c>
      <c r="AAT82" s="20" t="n">
        <f aca="false">IF(H_Direct=1,IF(CG82&lt;=0,AAS82-CG82*TT82,AAS82-MIN(MIN(CG82*TT82,(XF82+AAS82)),AAS82)),AAS82)</f>
        <v>0</v>
      </c>
      <c r="AAU82" s="20" t="n">
        <f aca="false">IF(H_Direct=1,IF(CH82&lt;=0,AAT82-CH82*TU82,AAT82-MIN(MIN(CH82*TU82,(XG82+AAT82)),AAT82)),AAT82)</f>
        <v>0</v>
      </c>
      <c r="AAV82" s="20" t="n">
        <f aca="false">IF(H_Direct=1,IF(CI82&lt;=0,AAU82-CI82*TV82,AAU82-MIN(MIN(CI82*TV82,(XH82+AAU82)),AAU82)),AAU82)</f>
        <v>0</v>
      </c>
      <c r="AAW82" s="20" t="n">
        <f aca="false">IF(H_Direct=1,IF(CJ82&lt;=0,AAV82-CJ82*TW82,AAV82-MIN(MIN(CJ82*TW82,(XI82+AAV82)),AAV82)),AAV82)</f>
        <v>0</v>
      </c>
      <c r="AAX82" s="20" t="n">
        <f aca="false">IF(H_Direct=1,IF(CK82&lt;=0,AAW82-CK82*TX82,AAW82-MIN(MIN(CK82*TX82,(XJ82+AAW82)),AAW82)),AAW82)</f>
        <v>0</v>
      </c>
      <c r="AAY82" s="20" t="n">
        <f aca="false">IF(H_Direct=1,IF(CL82&lt;=0,AAX82-CL82*TY82,AAX82-MIN(MIN(CL82*TY82,(XK82+AAX82)),AAX82)),AAX82)</f>
        <v>0</v>
      </c>
      <c r="AAZ82" s="20" t="n">
        <f aca="false">IF(H_Direct=1,IF(CM82&lt;=0,AAY82-CM82*TZ82,AAY82-MIN(MIN(CM82*TZ82,(XL82+AAY82)),AAY82)),AAY82)</f>
        <v>0</v>
      </c>
      <c r="ABA82" s="20" t="n">
        <f aca="false">IF(H_Direct=1,IF(CN82&lt;=0,AAZ82-CN82*UA82,AAZ82-MIN(MIN(CN82*UA82,(XM82+AAZ82)),AAZ82)),AAZ82)</f>
        <v>0</v>
      </c>
      <c r="ABB82" s="20" t="n">
        <f aca="false">IF(H_Direct=1,IF(CO82&lt;=0,ABA82-CO82*UB82,ABA82-MIN(MIN(CO82*UB82,(XN82+ABA82)),ABA82)),ABA82)</f>
        <v>0</v>
      </c>
      <c r="ABC82" s="20" t="n">
        <f aca="false">IF(H_Direct=1,IF(CP82&lt;=0,ABB82-CP82*UC82,ABB82-MIN(MIN(CP82*UC82,(XO82+ABB82)),ABB82)),ABB82)</f>
        <v>0</v>
      </c>
      <c r="ABD82" s="20" t="n">
        <f aca="false">IF(H_Direct=1,IF(CQ82&lt;=0,ABC82-CQ82*UD82,ABC82-MIN(MIN(CQ82*UD82,(XP82+ABC82)),ABC82)),ABC82)</f>
        <v>0</v>
      </c>
      <c r="ABE82" s="20" t="n">
        <f aca="false">IF(H_Direct=1,IF(CR82&lt;=0,ABD82-CR82*UE82,ABD82-MIN(MIN(CR82*UE82,(XQ82+ABD82)),ABD82)),ABD82)</f>
        <v>0</v>
      </c>
      <c r="ABF82" s="20" t="n">
        <f aca="false">IF(H_Direct=1,IF(CS82&lt;=0,ABE82-CS82*UF82,ABE82-MIN(MIN(CS82*UF82,(XR82+ABE82)),ABE82)),ABE82)</f>
        <v>0</v>
      </c>
      <c r="ABG82" s="20" t="n">
        <f aca="false">IF(H_Direct=1,IF(CT82&lt;=0,ABF82-CT82*UG82,ABF82-MIN(MIN(CT82*UG82,(XS82+ABF82)),ABF82)),ABF82)</f>
        <v>0</v>
      </c>
      <c r="ABH82" s="20" t="n">
        <f aca="false">IF(H_Direct=1,IF(CU82&lt;=0,ABG82-CU82*UH82,ABG82-MIN(MIN(CU82*UH82,(XT82+ABG82)),ABG82)),ABG82)</f>
        <v>0</v>
      </c>
      <c r="ABI82" s="20" t="n">
        <f aca="false">IF(H_Direct=1,IF(CV82&lt;=0,ABH82-CV82*UI82,ABH82-MIN(MIN(CV82*UI82,(XU82+ABH82)),ABH82)),ABH82)</f>
        <v>0</v>
      </c>
      <c r="ABJ82" s="20" t="n">
        <f aca="false">IF(H_Direct=1,IF(CW82&lt;=0,ABI82-CW82*UJ82,ABI82-MIN(MIN(CW82*UJ82,(XV82+ABI82)),ABI82)),ABI82)</f>
        <v>0</v>
      </c>
      <c r="ABK82" s="20" t="n">
        <f aca="false">IF(H_Direct=1,IF(CX82&lt;=0,ABJ82-CX82*UK82,ABJ82-MIN(MIN(CX82*UK82,(XW82+ABJ82)),ABJ82)),ABJ82)</f>
        <v>0</v>
      </c>
      <c r="ABL82" s="20" t="n">
        <f aca="false">IF(H_Direct=1,IF(CY82&lt;=0,ABK82-CY82*UL82,ABK82-MIN(MIN(CY82*UL82,(XX82+ABK82)),ABK82)),ABK82)</f>
        <v>0</v>
      </c>
      <c r="ABM82" s="20" t="n">
        <f aca="false">IF(H_Direct=1,IF(CZ82&lt;=0,ABL82-CZ82*UM82,ABL82-MIN(MIN(CZ82*UM82,(XY82+ABL82)),ABL82)),ABL82)</f>
        <v>0</v>
      </c>
      <c r="ABN82" s="20" t="n">
        <f aca="false">IF(H_Direct=1,IF(DA82&lt;=0,ABM82-DA82*UN82,ABM82-MIN(MIN(DA82*UN82,(XZ82+ABM82)),ABM82)),ABM82)</f>
        <v>0</v>
      </c>
      <c r="ABO82" s="20" t="n">
        <f aca="false">IF(H_Direct=1,IF(DB82&lt;=0,ABN82-DB82*UO82,ABN82-MIN(MIN(DB82*UO82,(YA82+ABN82)),ABN82)),ABN82)</f>
        <v>0</v>
      </c>
      <c r="ABP82" s="20" t="n">
        <f aca="false">IF(H_Direct=1,IF(DC82&lt;=0,ABO82-DC82*UP82,ABO82-MIN(MIN(DC82*UP82,(YB82+ABO82)),ABO82)),ABO82)</f>
        <v>0</v>
      </c>
      <c r="ABQ82" s="20" t="n">
        <f aca="false">IF(H_Direct=1,IF(DD82&lt;=0,ABP82-DD82*UQ82,ABP82-MIN(MIN(DD82*UQ82,(YC82+ABP82)),ABP82)),ABP82)</f>
        <v>0</v>
      </c>
      <c r="ABR82" s="20" t="n">
        <f aca="false">IF(H_Direct=1,IF(DE82&lt;=0,ABQ82-DE82*UR82,ABQ82-MIN(MIN(DE82*UR82,(YD82+ABQ82)),ABQ82)),ABQ82)</f>
        <v>0</v>
      </c>
      <c r="ABS82" s="20" t="n">
        <f aca="false">IF(H_Direct=1,IF(DF82&lt;=0,ABR82-DF82*US82,ABR82-MIN(MIN(DF82*US82,(YE82+ABR82)),ABR82)),ABR82)</f>
        <v>0</v>
      </c>
      <c r="ABT82" s="20" t="n">
        <f aca="false">IF(H_Direct=1,IF(DG82&lt;=0,ABS82-DG82*UT82,ABS82-MIN(MIN(DG82*UT82,(YF82+ABS82)),ABS82)),ABS82)</f>
        <v>0</v>
      </c>
      <c r="ABU82" s="20" t="n">
        <f aca="false">IF(H_Direct=1,IF(DH82&lt;=0,ABT82-DH82*UU82,ABT82-MIN(MIN(DH82*UU82,(YG82+ABT82)),ABT82)),ABT82)</f>
        <v>0</v>
      </c>
      <c r="ABV82" s="20" t="n">
        <f aca="false">IF(H_Direct=1,IF(DI82&lt;=0,ABU82-DI82*UV82,ABU82-MIN(MIN(DI82*UV82,(YH82+ABU82)),ABU82)),ABU82)</f>
        <v>0</v>
      </c>
      <c r="ABW82" s="20" t="n">
        <f aca="false">IF(H_Direct=1,IF(DJ82&lt;=0,ABV82-DJ82*UW82,ABV82-MIN(MIN(DJ82*UW82,(YI82+ABV82)),ABV82)),ABV82)</f>
        <v>0</v>
      </c>
      <c r="ABX82" s="20" t="n">
        <f aca="false">IF(H_Direct=1,IF(DK82&lt;=0,ABW82-DK82*UX82,ABW82-MIN(MIN(DK82*UX82,(YJ82+ABW82)),ABW82)),ABW82)</f>
        <v>0</v>
      </c>
      <c r="ABY82" s="20" t="n">
        <f aca="false">IF(H_Direct=1,IF(DL82&lt;=0,ABX82-DL82*UY82,ABX82-MIN(MIN(DL82*UY82,(YK82+ABX82)),ABX82)),ABX82)</f>
        <v>0</v>
      </c>
      <c r="ABZ82" s="20" t="n">
        <f aca="false">IF(H_Direct=1,IF(DM82&lt;=0,ABY82-DM82*UZ82,ABY82-MIN(MIN(DM82*UZ82,(YL82+ABY82)),ABY82)),ABY82)</f>
        <v>0</v>
      </c>
      <c r="ACA82" s="20" t="n">
        <f aca="false">IF(H_Direct=1,IF(DN82&lt;=0,ABZ82-DN82*VA82,ABZ82-MIN(MIN(DN82*VA82,(YM82+ABZ82)),ABZ82)),ABZ82)</f>
        <v>0</v>
      </c>
      <c r="ACB82" s="20" t="n">
        <f aca="false">IF(H_Direct=1,IF(DO82&lt;=0,ACA82-DO82*VB82,ACA82-MIN(MIN(DO82*VB82,(YN82+ACA82)),ACA82)),ACA82)</f>
        <v>0</v>
      </c>
      <c r="ACC82" s="20" t="n">
        <f aca="false">IF(H_Direct=1,IF(DP82&lt;=0,ACB82-DP82*VC82,ACB82-MIN(MIN(DP82*VC82,(YO82+ACB82)),ACB82)),ACB82)</f>
        <v>0</v>
      </c>
      <c r="ACD82" s="20" t="n">
        <f aca="false">IF(H_Direct=1,IF(DQ82&lt;=0,ACC82-DQ82*VD82,ACC82-MIN(MIN(DQ82*VD82,(YP82+ACC82)),ACC82)),ACC82)</f>
        <v>0</v>
      </c>
      <c r="ACE82" s="20" t="n">
        <f aca="false">IF(H_Direct=1,IF(DR82&lt;=0,ACD82-DR82*VE82,ACD82-MIN(MIN(DR82*VE82,(YQ82+ACD82)),ACD82)),ACD82)</f>
        <v>0</v>
      </c>
      <c r="ACF82" s="20" t="n">
        <f aca="false">IF(H_Direct=1,IF(DS82&lt;=0,ACE82-DS82*VF82,ACE82-MIN(MIN(DS82*VF82,(YR82+ACE82)),ACE82)),ACE82)</f>
        <v>0</v>
      </c>
      <c r="ACG82" s="20" t="n">
        <f aca="false">IF(H_Direct=1,IF(DT82&lt;=0,ACF82-DT82*VG82,ACF82-MIN(MIN(DT82*VG82,(YS82+ACF82)),ACF82)),ACF82)</f>
        <v>0</v>
      </c>
      <c r="ACH82" s="20" t="n">
        <f aca="false">IF(H_Direct=1,IF(DU82&lt;=0,ACG82-DU82*VH82,ACG82-MIN(MIN(DU82*VH82,(YT82+ACG82)),ACG82)),ACG82)</f>
        <v>0</v>
      </c>
      <c r="ACI82" s="20" t="n">
        <f aca="false">IF(H_Direct=1,IF(DV82&lt;=0,ACH82-DV82*VI82,ACH82-MIN(MIN(DV82*VI82,(YU82+ACH82)),ACH82)),ACH82)</f>
        <v>0</v>
      </c>
      <c r="ACJ82" s="20" t="n">
        <f aca="false">IF(H_Direct=1,IF(DW82&lt;=0,ACI82-DW82*VJ82,ACI82-MIN(MIN(DW82*VJ82,(YV82+ACI82)),ACI82)),ACI82)</f>
        <v>0</v>
      </c>
      <c r="ACK82" s="20" t="n">
        <f aca="false">IF(H_Direct=1,IF(DX82&lt;=0,ACJ82-DX82*VK82,ACJ82-MIN(MIN(DX82*VK82,(YW82+ACJ82)),ACJ82)),ACJ82)</f>
        <v>0</v>
      </c>
      <c r="ACL82" s="20" t="n">
        <f aca="false">IF(H_Direct=1,IF(DY82&lt;=0,ACK82-DY82*VL82,ACK82-MIN(MIN(DY82*VL82,(YX82+ACK82)),ACK82)),ACK82)</f>
        <v>0</v>
      </c>
      <c r="ACM82" s="20" t="n">
        <f aca="false">IF(H_Direct=1,IF(DZ82&lt;=0,ACL82-DZ82*VM82,ACL82-MIN(MIN(DZ82*VM82,(YY82+ACL82)),ACL82)),ACL82)</f>
        <v>0</v>
      </c>
      <c r="ACN82" s="20" t="n">
        <f aca="false">IF(H_Direct=1,IF(EA82&lt;=0,ACM82-EA82*VN82,ACM82-MIN(MIN(EA82*VN82,(YZ82+ACM82)),ACM82)),ACM82)</f>
        <v>0</v>
      </c>
      <c r="ACO82" s="20" t="n">
        <f aca="false">IF(H_Direct=1,IF(EB82&lt;=0,ACN82-EB82*VO82,ACN82-MIN(MIN(EB82*VO82,(ZA82+ACN82)),ACN82)),ACN82)</f>
        <v>0</v>
      </c>
      <c r="ACP82" s="20" t="n">
        <f aca="false">IF(H_Direct=1,IF(EC82&lt;=0,ACO82-EC82*VP82,ACO82-MIN(MIN(EC82*VP82,(ZB82+ACO82)),ACO82)),ACO82)</f>
        <v>0</v>
      </c>
      <c r="ACQ82" s="20" t="n">
        <f aca="false">IF(H_Direct=1,IF(ED82&lt;=0,ACP82-ED82*VQ82,ACP82-MIN(MIN(ED82*VQ82,(ZC82+ACP82)),ACP82)),ACP82)</f>
        <v>0</v>
      </c>
      <c r="ACR82" s="20" t="n">
        <f aca="false">IF(H_Direct=1,IF(EE82&lt;=0,ACQ82-EE82*VR82,ACQ82-MIN(MIN(EE82*VR82,(ZD82+ACQ82)),ACQ82)),ACQ82)</f>
        <v>0</v>
      </c>
      <c r="ACS82" s="20" t="n">
        <f aca="false">IF(H_Direct=1,IF(EF82&lt;=0,ACR82-EF82*VS82,ACR82-MIN(MIN(EF82*VS82,(ZE82+ACR82)),ACR82)),ACR82)</f>
        <v>0</v>
      </c>
      <c r="ACT82" s="20" t="n">
        <f aca="false">IF(H_Direct=1,IF(EG82&lt;=0,ACS82-EG82*VT82,ACS82-MIN(MIN(EG82*VT82,(ZF82+ACS82)),ACS82)),ACS82)</f>
        <v>0</v>
      </c>
      <c r="ACU82" s="20" t="n">
        <f aca="false">IF(H_Direct=1,IF(EH82&lt;=0,ACT82-EH82*VU82,ACT82-MIN(MIN(EH82*VU82,(ZG82+ACT82)),ACT82)),ACT82)</f>
        <v>0</v>
      </c>
      <c r="ACV82" s="20" t="n">
        <f aca="false">IF(H_Direct=1,IF(EI82&lt;=0,ACU82-EI82*VV82,ACU82-MIN(MIN(EI82*VV82,(ZH82+ACU82)),ACU82)),ACU82)</f>
        <v>0</v>
      </c>
      <c r="ACW82" s="20" t="n">
        <f aca="false">IF(H_Direct=1,IF(EJ82&lt;=0,ACV82-EJ82*VW82,ACV82-MIN(MIN(EJ82*VW82,(ZI82+ACV82)),ACV82)),ACV82)</f>
        <v>0</v>
      </c>
      <c r="ACX82" s="20" t="n">
        <f aca="false">IF(H_Direct=1,IF(EK82&lt;=0,ACW82-EK82*VX82,ACW82-MIN(MIN(EK82*VX82,(ZJ82+ACW82)),ACW82)),ACW82)</f>
        <v>0</v>
      </c>
      <c r="ACY82" s="20" t="n">
        <f aca="false">IF(H_Direct=1,IF(EL82&lt;=0,ACX82-EL82*VY82,ACX82-MIN(MIN(EL82*VY82,(ZK82+ACX82)),ACX82)),ACX82)</f>
        <v>0</v>
      </c>
      <c r="ACZ82" s="20" t="n">
        <f aca="false">IF(H_Direct=1,IF(EM82&lt;=0,ACY82-EM82*VZ82,ACY82-MIN(MIN(EM82*VZ82,(ZL82+ACY82)),ACY82)),ACY82)</f>
        <v>0</v>
      </c>
      <c r="ADA82" s="20" t="n">
        <f aca="false">IF(H_Direct=1,IF(EN82&lt;=0,ACZ82-EN82*WA82,ACZ82-MIN(MIN(EN82*WA82,(ZM82+ACZ82)),ACZ82)),ACZ82)</f>
        <v>0</v>
      </c>
      <c r="ADB82" s="20" t="n">
        <f aca="false">IF(H_Direct=1,IF(EO82&lt;=0,ADA82-EO82*WB82,ADA82-MIN(MIN(EO82*WB82,(ZN82+ADA82)),ADA82)),ADA82)</f>
        <v>0</v>
      </c>
      <c r="ADC82" s="20" t="n">
        <f aca="false">ADB82</f>
        <v>0</v>
      </c>
      <c r="ADD82" s="20" t="n">
        <f aca="false">ADC82</f>
        <v>0</v>
      </c>
      <c r="ADE82" s="20" t="n">
        <f aca="false">ADD82</f>
        <v>0</v>
      </c>
      <c r="ADF82" s="20" t="n">
        <f aca="false">ADE82</f>
        <v>0</v>
      </c>
      <c r="ADG82" s="20" t="n">
        <f aca="false">ADF82</f>
        <v>0</v>
      </c>
      <c r="ADH82" s="20" t="n">
        <f aca="false">ADG82</f>
        <v>0</v>
      </c>
      <c r="ADI82" s="20" t="n">
        <f aca="false">ADH82</f>
        <v>0</v>
      </c>
      <c r="ADJ82" s="20" t="n">
        <f aca="false">ADI82</f>
        <v>0</v>
      </c>
      <c r="ADK82" s="20" t="n">
        <f aca="false">ADJ82</f>
        <v>0</v>
      </c>
      <c r="ADL82" s="20" t="n">
        <f aca="false">ADK82</f>
        <v>0</v>
      </c>
      <c r="ADM82" s="20" t="n">
        <f aca="false">ADL82</f>
        <v>0</v>
      </c>
      <c r="ADN82" s="20" t="n">
        <f aca="false">ADM82</f>
        <v>0</v>
      </c>
      <c r="ADO82" s="20" t="n">
        <f aca="false">ADN82</f>
        <v>0</v>
      </c>
      <c r="ADP82" s="20" t="n">
        <f aca="false">ADO82</f>
        <v>0</v>
      </c>
      <c r="ADQ82" s="20" t="n">
        <f aca="false">ADP82</f>
        <v>0</v>
      </c>
      <c r="ADR82" s="20" t="n">
        <f aca="false">(AKR81-TE82+0)*(1+BQ82)</f>
        <v>0</v>
      </c>
      <c r="ADS82" s="20" t="n">
        <f aca="false">(AKS81-TF82+0)*(1+BQ82)</f>
        <v>0</v>
      </c>
      <c r="ADT82" s="20" t="n">
        <f aca="false">(AKT81-TG82+0)*(1+BQ82)</f>
        <v>0</v>
      </c>
      <c r="ADU82" s="20" t="n">
        <f aca="false">(AKU81-TH82+0)*(1+BQ82)</f>
        <v>0</v>
      </c>
      <c r="ADV82" s="20" t="n">
        <f aca="false">(AKV81-TI82+0)*(1+BQ82)</f>
        <v>0</v>
      </c>
      <c r="ADW82" s="20" t="n">
        <f aca="false">(AKW81-TJ82+0)*(1+BQ82)</f>
        <v>0</v>
      </c>
      <c r="ADX82" s="20" t="n">
        <f aca="false">(AKX81-TK82+0)*(1+BQ82)</f>
        <v>0</v>
      </c>
      <c r="ADY82" s="20" t="n">
        <f aca="false">(AKY81-TL82+0)*(1+BQ82)</f>
        <v>0</v>
      </c>
      <c r="ADZ82" s="20" t="n">
        <f aca="false">(AKZ81-TM82+0)*(1+BQ82)</f>
        <v>0</v>
      </c>
      <c r="AEA82" s="20" t="n">
        <f aca="false">(ALA81-TN82+0)*(1+BQ82)</f>
        <v>0</v>
      </c>
      <c r="AEB82" s="20" t="n">
        <f aca="false">(ALB81-TO82+0)*(1+BQ82)</f>
        <v>0</v>
      </c>
      <c r="AEC82" s="20" t="n">
        <f aca="false">(ALC81-TP82+0)*(1+BQ82)</f>
        <v>0</v>
      </c>
      <c r="AED82" s="20" t="n">
        <f aca="false">(ALD81-TQ82+0)*(1+BQ82)</f>
        <v>0</v>
      </c>
      <c r="AEE82" s="20" t="n">
        <f aca="false">(ALE81-TR82+0)*(1+BQ82)</f>
        <v>0</v>
      </c>
      <c r="AEF82" s="20" t="n">
        <f aca="false">(ALF81-TS82+0)*(1+BQ82)</f>
        <v>0</v>
      </c>
      <c r="AEG82" s="20" t="n">
        <f aca="false">(ALG81-TT82+0)*(1+BQ82)</f>
        <v>0</v>
      </c>
      <c r="AEH82" s="20" t="n">
        <f aca="false">(ALH81-TU82+0)*(1+BQ82)</f>
        <v>0</v>
      </c>
      <c r="AEI82" s="20" t="n">
        <f aca="false">(ALI81-TV82+0)*(1+BQ82)</f>
        <v>0</v>
      </c>
      <c r="AEJ82" s="20" t="n">
        <f aca="false">(ALJ81-TW82+0)*(1+BQ82)</f>
        <v>0</v>
      </c>
      <c r="AEK82" s="20" t="n">
        <f aca="false">(ALK81-TX82+0)*(1+BQ82)</f>
        <v>0</v>
      </c>
      <c r="AEL82" s="20" t="n">
        <f aca="false">(ALL81-TY82+0)*(1+BQ82)</f>
        <v>0</v>
      </c>
      <c r="AEM82" s="20" t="n">
        <f aca="false">(ALM81-TZ82+0)*(1+BQ82)</f>
        <v>0</v>
      </c>
      <c r="AEN82" s="20" t="n">
        <f aca="false">(ALN81-UA82+0)*(1+BQ82)</f>
        <v>0</v>
      </c>
      <c r="AEO82" s="20" t="n">
        <f aca="false">(ALO81-UB82+0)*(1+BQ82)</f>
        <v>0</v>
      </c>
      <c r="AEP82" s="20" t="n">
        <f aca="false">(ALP81-UC82+0)*(1+BQ82)</f>
        <v>0</v>
      </c>
      <c r="AEQ82" s="20" t="n">
        <f aca="false">(ALQ81-UD82+0)*(1+BQ82)</f>
        <v>0</v>
      </c>
      <c r="AER82" s="20" t="n">
        <f aca="false">(ALR81-UE82+0)*(1+BQ82)</f>
        <v>0</v>
      </c>
      <c r="AES82" s="20" t="n">
        <f aca="false">(ALS81-UF82+0)*(1+BQ82)</f>
        <v>0</v>
      </c>
      <c r="AET82" s="20" t="n">
        <f aca="false">(ALT81-UG82+0)*(1+BQ82)</f>
        <v>0</v>
      </c>
      <c r="AEU82" s="20" t="n">
        <f aca="false">(ALU81-UH82+0)*(1+BQ82)</f>
        <v>0</v>
      </c>
      <c r="AEV82" s="20" t="n">
        <f aca="false">(ALV81-UI82+0)*(1+BQ82)</f>
        <v>0</v>
      </c>
      <c r="AEW82" s="20" t="n">
        <f aca="false">(ALW81-UJ82+0)*(1+BQ82)</f>
        <v>0</v>
      </c>
      <c r="AEX82" s="20" t="n">
        <f aca="false">(ALX81-UK82+0)*(1+BQ82)</f>
        <v>0</v>
      </c>
      <c r="AEY82" s="20" t="n">
        <f aca="false">(ALY81-UL82+0)*(1+BQ82)</f>
        <v>0</v>
      </c>
      <c r="AEZ82" s="20" t="n">
        <f aca="false">(ALZ81-UM82+0)*(1+BQ82)</f>
        <v>0</v>
      </c>
      <c r="AFA82" s="20" t="n">
        <f aca="false">(AMA81-UN82+0)*(1+BQ82)</f>
        <v>0</v>
      </c>
      <c r="AFB82" s="20" t="n">
        <f aca="false">(AMB81-UO82+0)*(1+BQ82)</f>
        <v>0</v>
      </c>
      <c r="AFC82" s="20" t="n">
        <f aca="false">(AMC81-UP82+0)*(1+BQ82)</f>
        <v>0</v>
      </c>
      <c r="AFD82" s="20" t="n">
        <f aca="false">(AMD81-UQ82+0)*(1+BQ82)</f>
        <v>0</v>
      </c>
      <c r="AFE82" s="20" t="n">
        <f aca="false">(AME81-UR82+0)*(1+BQ82)</f>
        <v>0</v>
      </c>
      <c r="AFF82" s="20" t="n">
        <f aca="false">(AMF81-US82+0)*(1+BQ82)</f>
        <v>0</v>
      </c>
      <c r="AFG82" s="20" t="n">
        <f aca="false">(AMG81-UT82+0)*(1+BQ82)</f>
        <v>0</v>
      </c>
      <c r="AFH82" s="20" t="n">
        <f aca="false">(AMH81-UU82+0)*(1+BQ82)</f>
        <v>0</v>
      </c>
      <c r="AFI82" s="20" t="n">
        <f aca="false">(AMI81-UV82+0)*(1+BQ82)</f>
        <v>0</v>
      </c>
      <c r="AFJ82" s="20" t="n">
        <f aca="false">(AMJ81-UW82+0)*(1+BQ82)</f>
        <v>0</v>
      </c>
      <c r="AFK82" s="20" t="n">
        <f aca="false">(AMK81-UX82+0)*(1+BQ82)</f>
        <v>0</v>
      </c>
      <c r="AFL82" s="20" t="n">
        <f aca="false">(AML81-UY82+0)*(1+BQ82)</f>
        <v>0</v>
      </c>
      <c r="AFM82" s="20" t="n">
        <f aca="false">(AMM81-UZ82+0)*(1+BQ82)</f>
        <v>0</v>
      </c>
      <c r="AFN82" s="20" t="n">
        <f aca="false">(AMN81-VA82+0)*(1+BQ82)</f>
        <v>0</v>
      </c>
      <c r="AFO82" s="20" t="n">
        <f aca="false">(AMO81-VB82+0)*(1+BQ82)</f>
        <v>0</v>
      </c>
      <c r="AFP82" s="20" t="n">
        <f aca="false">(AMP81-VC82+0)*(1+BQ82)</f>
        <v>0</v>
      </c>
      <c r="AFQ82" s="20" t="n">
        <f aca="false">(AMQ81-VD82+0)*(1+BQ82)</f>
        <v>0</v>
      </c>
      <c r="AFR82" s="20" t="n">
        <f aca="false">(AMR81-VE82+0)*(1+BQ82)</f>
        <v>0</v>
      </c>
      <c r="AFS82" s="20" t="n">
        <f aca="false">(AMS81-VF82+0)*(1+BQ82)</f>
        <v>0</v>
      </c>
      <c r="AFT82" s="20" t="n">
        <f aca="false">(AMT81-VG82+0)*(1+BQ82)</f>
        <v>0</v>
      </c>
      <c r="AFU82" s="20" t="n">
        <f aca="false">(AMU81-VH82+0)*(1+BQ82)</f>
        <v>0</v>
      </c>
      <c r="AFV82" s="20" t="n">
        <f aca="false">(AMV81-VI82+0)*(1+BQ82)</f>
        <v>0</v>
      </c>
      <c r="AFW82" s="20" t="n">
        <f aca="false">(AMW81-VJ82+0)*(1+BQ82)</f>
        <v>0</v>
      </c>
      <c r="AFX82" s="20" t="n">
        <f aca="false">(AMX81-VK82+0)*(1+BQ82)</f>
        <v>0</v>
      </c>
      <c r="AFY82" s="20" t="n">
        <f aca="false">(AMY81-VL82+0)*(1+BQ82)</f>
        <v>0</v>
      </c>
      <c r="AFZ82" s="20" t="n">
        <f aca="false">(AMZ81-VM82+0)*(1+BQ82)</f>
        <v>0</v>
      </c>
      <c r="AGA82" s="20" t="n">
        <f aca="false">(ANA81-VN82+0)*(1+BQ82)</f>
        <v>0</v>
      </c>
      <c r="AGB82" s="20" t="n">
        <f aca="false">(ANB81-VO82+0)*(1+BQ82)</f>
        <v>0</v>
      </c>
      <c r="AGC82" s="20" t="n">
        <f aca="false">(ANC81-VP82+0)*(1+BQ82)</f>
        <v>0</v>
      </c>
      <c r="AGD82" s="20" t="n">
        <f aca="false">(AND81-VQ82+0)*(1+BQ82)</f>
        <v>0</v>
      </c>
      <c r="AGE82" s="20" t="n">
        <f aca="false">(ANE81-VR82+0)*(1+BQ82)</f>
        <v>0</v>
      </c>
      <c r="AGF82" s="20" t="n">
        <f aca="false">(ANF81-VS82+0)*(1+BQ82)</f>
        <v>0</v>
      </c>
      <c r="AGG82" s="20" t="n">
        <f aca="false">(ANG81-VT82+0)*(1+BQ82)</f>
        <v>0</v>
      </c>
      <c r="AGH82" s="20" t="n">
        <f aca="false">(ANH81-VU82+0)*(1+BQ82)</f>
        <v>0</v>
      </c>
      <c r="AGI82" s="20" t="n">
        <f aca="false">(ANI81-VV82+0)*(1+BQ82)</f>
        <v>0</v>
      </c>
      <c r="AGJ82" s="20" t="n">
        <f aca="false">(ANJ81-VW82+0)*(1+BQ82)</f>
        <v>0</v>
      </c>
      <c r="AGK82" s="20" t="n">
        <f aca="false">(ANK81-VX82+0)*(1+BQ82)</f>
        <v>0</v>
      </c>
      <c r="AGL82" s="20" t="n">
        <f aca="false">(ANL81-VY82+0)*(1+BQ82)</f>
        <v>0</v>
      </c>
      <c r="AGM82" s="20" t="n">
        <f aca="false">(ANM81-VZ82+0)*(1+BQ82)</f>
        <v>0</v>
      </c>
      <c r="AGN82" s="20" t="n">
        <f aca="false">(ANN81-WA82+0)*(1+BQ82)</f>
        <v>0</v>
      </c>
      <c r="AGO82" s="20" t="n">
        <f aca="false">((P82+S82)-WB82+BE82)*(1+BQ82)</f>
        <v>0</v>
      </c>
      <c r="AGP82" s="20" t="n">
        <v>0</v>
      </c>
      <c r="AGQ82" s="20" t="n">
        <v>0</v>
      </c>
      <c r="AGR82" s="20" t="n">
        <v>0</v>
      </c>
      <c r="AGS82" s="20" t="n">
        <v>0</v>
      </c>
      <c r="AGT82" s="20" t="n">
        <v>0</v>
      </c>
      <c r="AGU82" s="20" t="n">
        <v>0</v>
      </c>
      <c r="AGV82" s="20" t="n">
        <v>0</v>
      </c>
      <c r="AGW82" s="20" t="n">
        <v>0</v>
      </c>
      <c r="AGX82" s="20" t="n">
        <v>0</v>
      </c>
      <c r="AGY82" s="20" t="n">
        <v>0</v>
      </c>
      <c r="AGZ82" s="20" t="n">
        <v>0</v>
      </c>
      <c r="AHA82" s="20" t="n">
        <v>0</v>
      </c>
      <c r="AHB82" s="20" t="n">
        <v>0</v>
      </c>
      <c r="AHC82" s="20" t="n">
        <v>0</v>
      </c>
      <c r="AHD82" s="20" t="n">
        <v>0</v>
      </c>
      <c r="AHE82" s="20" t="n">
        <f aca="false">IF(AKR81&gt;0,AOE81-AOE81*TE82/AKR81,0)+0</f>
        <v>0</v>
      </c>
      <c r="AHF82" s="20" t="n">
        <f aca="false">IF(AKS81&gt;0,AOF81-AOF81*TF82/AKS81,0)+0</f>
        <v>0</v>
      </c>
      <c r="AHG82" s="20" t="n">
        <f aca="false">IF(AKT81&gt;0,AOG81-AOG81*TG82/AKT81,0)+0</f>
        <v>0</v>
      </c>
      <c r="AHH82" s="20" t="n">
        <f aca="false">IF(AKU81&gt;0,AOH81-AOH81*TH82/AKU81,0)+0</f>
        <v>0</v>
      </c>
      <c r="AHI82" s="20" t="n">
        <f aca="false">IF(AKV81&gt;0,AOI81-AOI81*TI82/AKV81,0)+0</f>
        <v>0</v>
      </c>
      <c r="AHJ82" s="20" t="n">
        <f aca="false">IF(AKW81&gt;0,AOJ81-AOJ81*TJ82/AKW81,0)+0</f>
        <v>0</v>
      </c>
      <c r="AHK82" s="20" t="n">
        <f aca="false">IF(AKX81&gt;0,AOK81-AOK81*TK82/AKX81,0)+0</f>
        <v>0</v>
      </c>
      <c r="AHL82" s="20" t="n">
        <f aca="false">IF(AKY81&gt;0,AOL81-AOL81*TL82/AKY81,0)+0</f>
        <v>0</v>
      </c>
      <c r="AHM82" s="20" t="n">
        <f aca="false">IF(AKZ81&gt;0,AOM81-AOM81*TM82/AKZ81,0)+0</f>
        <v>0</v>
      </c>
      <c r="AHN82" s="20" t="n">
        <f aca="false">IF(ALA81&gt;0,AON81-AON81*TN82/ALA81,0)+0</f>
        <v>0</v>
      </c>
      <c r="AHO82" s="20" t="n">
        <f aca="false">IF(ALB81&gt;0,AOO81-AOO81*TO82/ALB81,0)+0</f>
        <v>0</v>
      </c>
      <c r="AHP82" s="20" t="n">
        <f aca="false">IF(ALC81&gt;0,AOP81-AOP81*TP82/ALC81,0)+0</f>
        <v>0</v>
      </c>
      <c r="AHQ82" s="20" t="n">
        <f aca="false">IF(ALD81&gt;0,AOQ81-AOQ81*TQ82/ALD81,0)+0</f>
        <v>0</v>
      </c>
      <c r="AHR82" s="20" t="n">
        <f aca="false">IF(ALE81&gt;0,AOR81-AOR81*TR82/ALE81,0)+0</f>
        <v>0</v>
      </c>
      <c r="AHS82" s="20" t="n">
        <f aca="false">IF(ALF81&gt;0,AOS81-AOS81*TS82/ALF81,0)+0</f>
        <v>0</v>
      </c>
      <c r="AHT82" s="20" t="n">
        <f aca="false">IF(ALG81&gt;0,AOT81-AOT81*TT82/ALG81,0)+0</f>
        <v>0</v>
      </c>
      <c r="AHU82" s="20" t="n">
        <f aca="false">IF(ALH81&gt;0,AOU81-AOU81*TU82/ALH81,0)+0</f>
        <v>0</v>
      </c>
      <c r="AHV82" s="20" t="n">
        <f aca="false">IF(ALI81&gt;0,AOV81-AOV81*TV82/ALI81,0)+0</f>
        <v>0</v>
      </c>
      <c r="AHW82" s="20" t="n">
        <f aca="false">IF(ALJ81&gt;0,AOW81-AOW81*TW82/ALJ81,0)+0</f>
        <v>0</v>
      </c>
      <c r="AHX82" s="20" t="n">
        <f aca="false">IF(ALK81&gt;0,AOX81-AOX81*TX82/ALK81,0)+0</f>
        <v>0</v>
      </c>
      <c r="AHY82" s="20" t="n">
        <f aca="false">IF(ALL81&gt;0,AOY81-AOY81*TY82/ALL81,0)+0</f>
        <v>0</v>
      </c>
      <c r="AHZ82" s="20" t="n">
        <f aca="false">IF(ALM81&gt;0,AOZ81-AOZ81*TZ82/ALM81,0)+0</f>
        <v>0</v>
      </c>
      <c r="AIA82" s="20" t="n">
        <f aca="false">IF(ALN81&gt;0,APA81-APA81*UA82/ALN81,0)+0</f>
        <v>0</v>
      </c>
      <c r="AIB82" s="20" t="n">
        <f aca="false">IF(ALO81&gt;0,APB81-APB81*UB82/ALO81,0)+0</f>
        <v>0</v>
      </c>
      <c r="AIC82" s="20" t="n">
        <f aca="false">IF(ALP81&gt;0,APC81-APC81*UC82/ALP81,0)+0</f>
        <v>0</v>
      </c>
      <c r="AID82" s="20" t="n">
        <f aca="false">IF(ALQ81&gt;0,APD81-APD81*UD82/ALQ81,0)+0</f>
        <v>0</v>
      </c>
      <c r="AIE82" s="20" t="n">
        <f aca="false">IF(ALR81&gt;0,APE81-APE81*UE82/ALR81,0)+0</f>
        <v>0</v>
      </c>
      <c r="AIF82" s="20" t="n">
        <f aca="false">IF(ALS81&gt;0,APF81-APF81*UF82/ALS81,0)+0</f>
        <v>0</v>
      </c>
      <c r="AIG82" s="20" t="n">
        <f aca="false">IF(ALT81&gt;0,APG81-APG81*UG82/ALT81,0)+0</f>
        <v>0</v>
      </c>
      <c r="AIH82" s="20" t="n">
        <f aca="false">IF(ALU81&gt;0,APH81-APH81*UH82/ALU81,0)+0</f>
        <v>0</v>
      </c>
      <c r="AII82" s="20" t="n">
        <f aca="false">IF(ALV81&gt;0,API81-API81*UI82/ALV81,0)+0</f>
        <v>0</v>
      </c>
      <c r="AIJ82" s="20" t="n">
        <f aca="false">IF(ALW81&gt;0,APJ81-APJ81*UJ82/ALW81,0)+0</f>
        <v>0</v>
      </c>
      <c r="AIK82" s="20" t="n">
        <f aca="false">IF(ALX81&gt;0,APK81-APK81*UK82/ALX81,0)+0</f>
        <v>0</v>
      </c>
      <c r="AIL82" s="20" t="n">
        <f aca="false">IF(ALY81&gt;0,APL81-APL81*UL82/ALY81,0)+0</f>
        <v>0</v>
      </c>
      <c r="AIM82" s="20" t="n">
        <f aca="false">IF(ALZ81&gt;0,APM81-APM81*UM82/ALZ81,0)+0</f>
        <v>0</v>
      </c>
      <c r="AIN82" s="20" t="n">
        <f aca="false">IF(AMA81&gt;0,APN81-APN81*UN82/AMA81,0)+0</f>
        <v>0</v>
      </c>
      <c r="AIO82" s="20" t="n">
        <f aca="false">IF(AMB81&gt;0,APO81-APO81*UO82/AMB81,0)+0</f>
        <v>0</v>
      </c>
      <c r="AIP82" s="20" t="n">
        <f aca="false">IF(AMC81&gt;0,APP81-APP81*UP82/AMC81,0)+0</f>
        <v>0</v>
      </c>
      <c r="AIQ82" s="20" t="n">
        <f aca="false">IF(AMD81&gt;0,APQ81-APQ81*UQ82/AMD81,0)+0</f>
        <v>0</v>
      </c>
      <c r="AIR82" s="20" t="n">
        <f aca="false">IF(AME81&gt;0,APR81-APR81*UR82/AME81,0)+0</f>
        <v>0</v>
      </c>
      <c r="AIS82" s="20" t="n">
        <f aca="false">IF(AMF81&gt;0,APS81-APS81*US82/AMF81,0)+0</f>
        <v>0</v>
      </c>
      <c r="AIT82" s="20" t="n">
        <f aca="false">IF(AMG81&gt;0,APT81-APT81*UT82/AMG81,0)+0</f>
        <v>0</v>
      </c>
      <c r="AIU82" s="20" t="n">
        <f aca="false">IF(AMH81&gt;0,APU81-APU81*UU82/AMH81,0)+0</f>
        <v>0</v>
      </c>
      <c r="AIV82" s="20" t="n">
        <f aca="false">IF(AMI81&gt;0,APV81-APV81*UV82/AMI81,0)+0</f>
        <v>0</v>
      </c>
      <c r="AIW82" s="20" t="n">
        <f aca="false">IF(AMJ81&gt;0,APW81-APW81*UW82/AMJ81,0)+0</f>
        <v>0</v>
      </c>
      <c r="AIX82" s="20" t="n">
        <f aca="false">IF(AMK81&gt;0,APX81-APX81*UX82/AMK81,0)+0</f>
        <v>0</v>
      </c>
      <c r="AIY82" s="20" t="n">
        <f aca="false">IF(AML81&gt;0,APY81-APY81*UY82/AML81,0)+0</f>
        <v>0</v>
      </c>
      <c r="AIZ82" s="20" t="n">
        <f aca="false">IF(AMM81&gt;0,APZ81-APZ81*UZ82/AMM81,0)+0</f>
        <v>0</v>
      </c>
      <c r="AJA82" s="20" t="n">
        <f aca="false">IF(AMN81&gt;0,AQA81-AQA81*VA82/AMN81,0)+0</f>
        <v>0</v>
      </c>
      <c r="AJB82" s="20" t="n">
        <f aca="false">IF(AMO81&gt;0,AQB81-AQB81*VB82/AMO81,0)+0</f>
        <v>0</v>
      </c>
      <c r="AJC82" s="20" t="n">
        <f aca="false">IF(AMP81&gt;0,AQC81-AQC81*VC82/AMP81,0)+0</f>
        <v>0</v>
      </c>
      <c r="AJD82" s="20" t="n">
        <f aca="false">IF(AMQ81&gt;0,AQD81-AQD81*VD82/AMQ81,0)+0</f>
        <v>0</v>
      </c>
      <c r="AJE82" s="20" t="n">
        <f aca="false">IF(AMR81&gt;0,AQE81-AQE81*VE82/AMR81,0)+0</f>
        <v>0</v>
      </c>
      <c r="AJF82" s="20" t="n">
        <f aca="false">IF(AMS81&gt;0,AQF81-AQF81*VF82/AMS81,0)+0</f>
        <v>0</v>
      </c>
      <c r="AJG82" s="20" t="n">
        <f aca="false">IF(AMT81&gt;0,AQG81-AQG81*VG82/AMT81,0)+0</f>
        <v>0</v>
      </c>
      <c r="AJH82" s="20" t="n">
        <f aca="false">IF(AMU81&gt;0,AQH81-AQH81*VH82/AMU81,0)+0</f>
        <v>0</v>
      </c>
      <c r="AJI82" s="20" t="n">
        <f aca="false">IF(AMV81&gt;0,AQI81-AQI81*VI82/AMV81,0)+0</f>
        <v>0</v>
      </c>
      <c r="AJJ82" s="20" t="n">
        <f aca="false">IF(AMW81&gt;0,AQJ81-AQJ81*VJ82/AMW81,0)+0</f>
        <v>0</v>
      </c>
      <c r="AJK82" s="20" t="n">
        <f aca="false">IF(AMX81&gt;0,AQK81-AQK81*VK82/AMX81,0)+0</f>
        <v>0</v>
      </c>
      <c r="AJL82" s="20" t="n">
        <f aca="false">IF(AMY81&gt;0,AQL81-AQL81*VL82/AMY81,0)+0</f>
        <v>0</v>
      </c>
      <c r="AJM82" s="20" t="n">
        <f aca="false">IF(AMZ81&gt;0,AQM81-AQM81*VM82/AMZ81,0)+0</f>
        <v>0</v>
      </c>
      <c r="AJN82" s="20" t="n">
        <f aca="false">IF(ANA81&gt;0,AQN81-AQN81*VN82/ANA81,0)+0</f>
        <v>0</v>
      </c>
      <c r="AJO82" s="20" t="n">
        <f aca="false">IF(ANB81&gt;0,AQO81-AQO81*VO82/ANB81,0)+0</f>
        <v>0</v>
      </c>
      <c r="AJP82" s="20" t="n">
        <f aca="false">IF(ANC81&gt;0,AQP81-AQP81*VP82/ANC81,0)+0</f>
        <v>0</v>
      </c>
      <c r="AJQ82" s="20" t="n">
        <f aca="false">IF(AND81&gt;0,AQQ81-AQQ81*VQ82/AND81,0)+0</f>
        <v>0</v>
      </c>
      <c r="AJR82" s="20" t="n">
        <f aca="false">IF(ANE81&gt;0,AQR81-AQR81*VR82/ANE81,0)+0</f>
        <v>0</v>
      </c>
      <c r="AJS82" s="20" t="n">
        <f aca="false">IF(ANF81&gt;0,AQS81-AQS81*VS82/ANF81,0)+0</f>
        <v>0</v>
      </c>
      <c r="AJT82" s="20" t="n">
        <f aca="false">IF(ANG81&gt;0,AQT81-AQT81*VT82/ANG81,0)+0</f>
        <v>0</v>
      </c>
      <c r="AJU82" s="20" t="n">
        <f aca="false">IF(ANH81&gt;0,AQU81-AQU81*VU82/ANH81,0)+0</f>
        <v>0</v>
      </c>
      <c r="AJV82" s="20" t="n">
        <f aca="false">IF(ANI81&gt;0,AQV81-AQV81*VV82/ANI81,0)+0</f>
        <v>0</v>
      </c>
      <c r="AJW82" s="20" t="n">
        <f aca="false">IF(ANJ81&gt;0,AQW81-AQW81*VW82/ANJ81,0)+0</f>
        <v>0</v>
      </c>
      <c r="AJX82" s="20" t="n">
        <f aca="false">IF(ANK81&gt;0,AQX81-AQX81*VX82/ANK81,0)+0</f>
        <v>0</v>
      </c>
      <c r="AJY82" s="20" t="n">
        <f aca="false">IF(ANL81&gt;0,AQY81-AQY81*VY82/ANL81,0)+0</f>
        <v>0</v>
      </c>
      <c r="AJZ82" s="20" t="n">
        <f aca="false">IF(ANM81&gt;0,AQZ81-AQZ81*VZ82/ANM81,0)+0</f>
        <v>0</v>
      </c>
      <c r="AKA82" s="20" t="n">
        <f aca="false">IF(ANN81&gt;0,ARA81-ARA81*WA82/ANN81,0)+0</f>
        <v>0</v>
      </c>
      <c r="AKB82" s="20" t="n">
        <f aca="false">IF((P82+S82)&gt;0,(P82+S82)-(P82+S82)*WB82/(P82+S82),0)+BE82</f>
        <v>0</v>
      </c>
      <c r="AKC82" s="20" t="n">
        <v>0</v>
      </c>
      <c r="AKD82" s="20" t="n">
        <v>0</v>
      </c>
      <c r="AKE82" s="20" t="n">
        <v>0</v>
      </c>
      <c r="AKF82" s="20" t="n">
        <v>0</v>
      </c>
      <c r="AKG82" s="20" t="n">
        <v>0</v>
      </c>
      <c r="AKH82" s="20" t="n">
        <v>0</v>
      </c>
      <c r="AKI82" s="20" t="n">
        <v>0</v>
      </c>
      <c r="AKJ82" s="20" t="n">
        <v>0</v>
      </c>
      <c r="AKK82" s="20" t="n">
        <v>0</v>
      </c>
      <c r="AKL82" s="20" t="n">
        <v>0</v>
      </c>
      <c r="AKM82" s="20" t="n">
        <v>0</v>
      </c>
      <c r="AKN82" s="20" t="n">
        <v>0</v>
      </c>
      <c r="AKO82" s="20" t="n">
        <v>0</v>
      </c>
      <c r="AKP82" s="20" t="n">
        <v>0</v>
      </c>
      <c r="AKQ82" s="20" t="n">
        <v>0</v>
      </c>
      <c r="AKR82" s="20" t="n">
        <f aca="false">ADR82-AVE82</f>
        <v>0</v>
      </c>
      <c r="AKS82" s="20" t="n">
        <f aca="false">ADS82-AVF82</f>
        <v>0</v>
      </c>
      <c r="AKT82" s="20" t="n">
        <f aca="false">ADT82-AVG82</f>
        <v>0</v>
      </c>
      <c r="AKU82" s="20" t="n">
        <f aca="false">ADU82-AVH82</f>
        <v>0</v>
      </c>
      <c r="AKV82" s="20" t="n">
        <f aca="false">ADV82-AVI82</f>
        <v>0</v>
      </c>
      <c r="AKW82" s="20" t="n">
        <f aca="false">ADW82-AVJ82</f>
        <v>0</v>
      </c>
      <c r="AKX82" s="20" t="n">
        <f aca="false">ADX82-AVK82</f>
        <v>0</v>
      </c>
      <c r="AKY82" s="20" t="n">
        <f aca="false">ADY82-AVL82</f>
        <v>0</v>
      </c>
      <c r="AKZ82" s="20" t="n">
        <f aca="false">ADZ82-AVM82</f>
        <v>0</v>
      </c>
      <c r="ALA82" s="20" t="n">
        <f aca="false">AEA82-AVN82</f>
        <v>0</v>
      </c>
      <c r="ALB82" s="20" t="n">
        <f aca="false">AEB82-AVO82</f>
        <v>0</v>
      </c>
      <c r="ALC82" s="20" t="n">
        <f aca="false">AEC82-AVP82</f>
        <v>0</v>
      </c>
      <c r="ALD82" s="20" t="n">
        <f aca="false">AED82-AVQ82</f>
        <v>0</v>
      </c>
      <c r="ALE82" s="20" t="n">
        <f aca="false">AEE82-AVR82</f>
        <v>0</v>
      </c>
      <c r="ALF82" s="20" t="n">
        <f aca="false">AEF82-AVS82</f>
        <v>0</v>
      </c>
      <c r="ALG82" s="20" t="n">
        <f aca="false">AEG82-AVT82</f>
        <v>0</v>
      </c>
      <c r="ALH82" s="20" t="n">
        <f aca="false">AEH82-AVU82</f>
        <v>0</v>
      </c>
      <c r="ALI82" s="20" t="n">
        <f aca="false">AEI82-AVV82</f>
        <v>0</v>
      </c>
      <c r="ALJ82" s="20" t="n">
        <f aca="false">AEJ82-AVW82</f>
        <v>0</v>
      </c>
      <c r="ALK82" s="20" t="n">
        <f aca="false">AEK82-AVX82</f>
        <v>0</v>
      </c>
      <c r="ALL82" s="20" t="n">
        <f aca="false">AEL82-AVY82</f>
        <v>0</v>
      </c>
      <c r="ALM82" s="20" t="n">
        <f aca="false">AEM82-AVZ82</f>
        <v>0</v>
      </c>
      <c r="ALN82" s="20" t="n">
        <f aca="false">AEN82-AWA82</f>
        <v>0</v>
      </c>
      <c r="ALO82" s="20" t="n">
        <f aca="false">AEO82-AWB82</f>
        <v>0</v>
      </c>
      <c r="ALP82" s="20" t="n">
        <f aca="false">AEP82-AWC82</f>
        <v>0</v>
      </c>
      <c r="ALQ82" s="20" t="n">
        <f aca="false">AEQ82-AWD82</f>
        <v>0</v>
      </c>
      <c r="ALR82" s="20" t="n">
        <f aca="false">AER82-AWE82</f>
        <v>0</v>
      </c>
      <c r="ALS82" s="20" t="n">
        <f aca="false">AES82-AWF82</f>
        <v>0</v>
      </c>
      <c r="ALT82" s="20" t="n">
        <f aca="false">AET82-AWG82</f>
        <v>0</v>
      </c>
      <c r="ALU82" s="20" t="n">
        <f aca="false">AEU82-AWH82</f>
        <v>0</v>
      </c>
      <c r="ALV82" s="20" t="n">
        <f aca="false">AEV82-AWI82</f>
        <v>0</v>
      </c>
      <c r="ALW82" s="20" t="n">
        <f aca="false">AEW82-AWJ82</f>
        <v>0</v>
      </c>
      <c r="ALX82" s="20" t="n">
        <f aca="false">AEX82-AWK82</f>
        <v>0</v>
      </c>
      <c r="ALY82" s="20" t="n">
        <f aca="false">AEY82-AWL82</f>
        <v>0</v>
      </c>
      <c r="ALZ82" s="20" t="n">
        <f aca="false">AEZ82-AWM82</f>
        <v>0</v>
      </c>
      <c r="AMA82" s="20" t="n">
        <f aca="false">AFA82-AWN82</f>
        <v>0</v>
      </c>
      <c r="AMB82" s="20" t="n">
        <f aca="false">AFB82-AWO82</f>
        <v>0</v>
      </c>
      <c r="AMC82" s="20" t="n">
        <f aca="false">AFC82-AWP82</f>
        <v>0</v>
      </c>
      <c r="AMD82" s="20" t="n">
        <f aca="false">AFD82-AWQ82</f>
        <v>0</v>
      </c>
      <c r="AME82" s="20" t="n">
        <f aca="false">AFE82-AWR82</f>
        <v>0</v>
      </c>
      <c r="AMF82" s="20" t="n">
        <f aca="false">AFF82-AWS82</f>
        <v>0</v>
      </c>
      <c r="AMG82" s="20" t="n">
        <f aca="false">AFG82-AWT82</f>
        <v>0</v>
      </c>
      <c r="AMH82" s="20" t="n">
        <f aca="false">AFH82-AWU82</f>
        <v>0</v>
      </c>
      <c r="AMI82" s="20" t="n">
        <f aca="false">AFI82-AWV82</f>
        <v>0</v>
      </c>
      <c r="AMJ82" s="20" t="n">
        <f aca="false">AFJ82-AWW82</f>
        <v>0</v>
      </c>
      <c r="AMK82" s="20" t="n">
        <f aca="false">AFK82-AWX82</f>
        <v>0</v>
      </c>
      <c r="AML82" s="20" t="n">
        <f aca="false">AFL82-AWY82</f>
        <v>0</v>
      </c>
      <c r="AMM82" s="20" t="n">
        <f aca="false">AFM82-AWZ82</f>
        <v>0</v>
      </c>
      <c r="AMN82" s="20" t="n">
        <f aca="false">AFN82-AXA82</f>
        <v>0</v>
      </c>
      <c r="AMO82" s="20" t="n">
        <f aca="false">AFO82-AXB82</f>
        <v>0</v>
      </c>
      <c r="AMP82" s="20" t="n">
        <f aca="false">AFP82-AXC82</f>
        <v>0</v>
      </c>
      <c r="AMQ82" s="20" t="n">
        <f aca="false">AFQ82-AXD82</f>
        <v>0</v>
      </c>
      <c r="AMR82" s="20" t="n">
        <f aca="false">AFR82-AXE82</f>
        <v>0</v>
      </c>
      <c r="AMS82" s="20" t="n">
        <f aca="false">AFS82-AXF82</f>
        <v>0</v>
      </c>
      <c r="AMT82" s="20" t="n">
        <f aca="false">AFT82-AXG82</f>
        <v>0</v>
      </c>
      <c r="AMU82" s="20" t="n">
        <f aca="false">AFU82-AXH82</f>
        <v>0</v>
      </c>
      <c r="AMV82" s="20" t="n">
        <f aca="false">AFV82-AXI82</f>
        <v>0</v>
      </c>
      <c r="AMW82" s="20" t="n">
        <f aca="false">AFW82-AXJ82</f>
        <v>0</v>
      </c>
      <c r="AMX82" s="20" t="n">
        <f aca="false">AFX82-AXK82</f>
        <v>0</v>
      </c>
      <c r="AMY82" s="20" t="n">
        <f aca="false">AFY82-AXL82</f>
        <v>0</v>
      </c>
      <c r="AMZ82" s="20" t="n">
        <f aca="false">AFZ82-AXM82</f>
        <v>0</v>
      </c>
      <c r="ANA82" s="20" t="n">
        <f aca="false">AGA82-AXN82</f>
        <v>0</v>
      </c>
      <c r="ANB82" s="20" t="n">
        <f aca="false">AGB82-AXO82</f>
        <v>0</v>
      </c>
      <c r="ANC82" s="20" t="n">
        <f aca="false">AGC82-AXP82</f>
        <v>0</v>
      </c>
      <c r="AND82" s="20" t="n">
        <f aca="false">AGD82-AXQ82</f>
        <v>0</v>
      </c>
      <c r="ANE82" s="20" t="n">
        <f aca="false">AGE82-AXR82</f>
        <v>0</v>
      </c>
      <c r="ANF82" s="20" t="n">
        <f aca="false">AGF82-AXS82</f>
        <v>0</v>
      </c>
      <c r="ANG82" s="20" t="n">
        <f aca="false">AGG82-AXT82</f>
        <v>0</v>
      </c>
      <c r="ANH82" s="20" t="n">
        <f aca="false">AGH82-AXU82</f>
        <v>0</v>
      </c>
      <c r="ANI82" s="20" t="n">
        <f aca="false">AGI82-AXV82</f>
        <v>0</v>
      </c>
      <c r="ANJ82" s="20" t="n">
        <f aca="false">AGJ82-AXW82</f>
        <v>0</v>
      </c>
      <c r="ANK82" s="20" t="n">
        <f aca="false">AGK82-AXX82</f>
        <v>0</v>
      </c>
      <c r="ANL82" s="20" t="n">
        <f aca="false">AGL82-AXY82</f>
        <v>0</v>
      </c>
      <c r="ANM82" s="20" t="n">
        <f aca="false">AGM82-AXZ82</f>
        <v>0</v>
      </c>
      <c r="ANN82" s="20" t="n">
        <f aca="false">AGN82-AYA82</f>
        <v>0</v>
      </c>
      <c r="ANO82" s="20" t="n">
        <f aca="false">AGO82-AYB82</f>
        <v>0</v>
      </c>
      <c r="ANP82" s="20" t="n">
        <v>0</v>
      </c>
      <c r="ANQ82" s="20" t="n">
        <v>0</v>
      </c>
      <c r="ANR82" s="20" t="n">
        <v>0</v>
      </c>
      <c r="ANS82" s="20" t="n">
        <v>0</v>
      </c>
      <c r="ANT82" s="20" t="n">
        <v>0</v>
      </c>
      <c r="ANU82" s="20" t="n">
        <v>0</v>
      </c>
      <c r="ANV82" s="20" t="n">
        <v>0</v>
      </c>
      <c r="ANW82" s="20" t="n">
        <v>0</v>
      </c>
      <c r="ANX82" s="20" t="n">
        <v>0</v>
      </c>
      <c r="ANY82" s="20" t="n">
        <v>0</v>
      </c>
      <c r="ANZ82" s="20" t="n">
        <v>0</v>
      </c>
      <c r="AOA82" s="20" t="n">
        <v>0</v>
      </c>
      <c r="AOB82" s="20" t="n">
        <v>0</v>
      </c>
      <c r="AOC82" s="20" t="n">
        <v>0</v>
      </c>
      <c r="AOD82" s="20" t="n">
        <v>0</v>
      </c>
      <c r="AOE82" s="20" t="n">
        <f aca="false">IF(AND(H_Direct=0,H_TaxEvt=1,ARR81+1&gt;=H_Deemed),AKR82,AHE82)</f>
        <v>0</v>
      </c>
      <c r="AOF82" s="20" t="n">
        <f aca="false">IF(AND(H_Direct=0,H_TaxEvt=1,ARS81+1&gt;=H_Deemed),AKS82,AHF82)</f>
        <v>0</v>
      </c>
      <c r="AOG82" s="20" t="n">
        <f aca="false">IF(AND(H_Direct=0,H_TaxEvt=1,ART81+1&gt;=H_Deemed),AKT82,AHG82)</f>
        <v>0</v>
      </c>
      <c r="AOH82" s="20" t="n">
        <f aca="false">IF(AND(H_Direct=0,H_TaxEvt=1,ARU81+1&gt;=H_Deemed),AKU82,AHH82)</f>
        <v>0</v>
      </c>
      <c r="AOI82" s="20" t="n">
        <f aca="false">IF(AND(H_Direct=0,H_TaxEvt=1,ARV81+1&gt;=H_Deemed),AKV82,AHI82)</f>
        <v>0</v>
      </c>
      <c r="AOJ82" s="20" t="n">
        <f aca="false">IF(AND(H_Direct=0,H_TaxEvt=1,ARW81+1&gt;=H_Deemed),AKW82,AHJ82)</f>
        <v>0</v>
      </c>
      <c r="AOK82" s="20" t="n">
        <f aca="false">IF(AND(H_Direct=0,H_TaxEvt=1,ARX81+1&gt;=H_Deemed),AKX82,AHK82)</f>
        <v>0</v>
      </c>
      <c r="AOL82" s="20" t="n">
        <f aca="false">IF(AND(H_Direct=0,H_TaxEvt=1,ARY81+1&gt;=H_Deemed),AKY82,AHL82)</f>
        <v>0</v>
      </c>
      <c r="AOM82" s="20" t="n">
        <f aca="false">IF(AND(H_Direct=0,H_TaxEvt=1,ARZ81+1&gt;=H_Deemed),AKZ82,AHM82)</f>
        <v>0</v>
      </c>
      <c r="AON82" s="20" t="n">
        <f aca="false">IF(AND(H_Direct=0,H_TaxEvt=1,ASA81+1&gt;=H_Deemed),ALA82,AHN82)</f>
        <v>0</v>
      </c>
      <c r="AOO82" s="20" t="n">
        <f aca="false">IF(AND(H_Direct=0,H_TaxEvt=1,ASB81+1&gt;=H_Deemed),ALB82,AHO82)</f>
        <v>0</v>
      </c>
      <c r="AOP82" s="20" t="n">
        <f aca="false">IF(AND(H_Direct=0,H_TaxEvt=1,ASC81+1&gt;=H_Deemed),ALC82,AHP82)</f>
        <v>0</v>
      </c>
      <c r="AOQ82" s="20" t="n">
        <f aca="false">IF(AND(H_Direct=0,H_TaxEvt=1,ASD81+1&gt;=H_Deemed),ALD82,AHQ82)</f>
        <v>0</v>
      </c>
      <c r="AOR82" s="20" t="n">
        <f aca="false">IF(AND(H_Direct=0,H_TaxEvt=1,ASE81+1&gt;=H_Deemed),ALE82,AHR82)</f>
        <v>0</v>
      </c>
      <c r="AOS82" s="20" t="n">
        <f aca="false">IF(AND(H_Direct=0,H_TaxEvt=1,ASF81+1&gt;=H_Deemed),ALF82,AHS82)</f>
        <v>0</v>
      </c>
      <c r="AOT82" s="20" t="n">
        <f aca="false">IF(AND(H_Direct=0,H_TaxEvt=1,ASG81+1&gt;=H_Deemed),ALG82,AHT82)</f>
        <v>0</v>
      </c>
      <c r="AOU82" s="20" t="n">
        <f aca="false">IF(AND(H_Direct=0,H_TaxEvt=1,ASH81+1&gt;=H_Deemed),ALH82,AHU82)</f>
        <v>0</v>
      </c>
      <c r="AOV82" s="20" t="n">
        <f aca="false">IF(AND(H_Direct=0,H_TaxEvt=1,ASI81+1&gt;=H_Deemed),ALI82,AHV82)</f>
        <v>0</v>
      </c>
      <c r="AOW82" s="20" t="n">
        <f aca="false">IF(AND(H_Direct=0,H_TaxEvt=1,ASJ81+1&gt;=H_Deemed),ALJ82,AHW82)</f>
        <v>0</v>
      </c>
      <c r="AOX82" s="20" t="n">
        <f aca="false">IF(AND(H_Direct=0,H_TaxEvt=1,ASK81+1&gt;=H_Deemed),ALK82,AHX82)</f>
        <v>0</v>
      </c>
      <c r="AOY82" s="20" t="n">
        <f aca="false">IF(AND(H_Direct=0,H_TaxEvt=1,ASL81+1&gt;=H_Deemed),ALL82,AHY82)</f>
        <v>0</v>
      </c>
      <c r="AOZ82" s="20" t="n">
        <f aca="false">IF(AND(H_Direct=0,H_TaxEvt=1,ASM81+1&gt;=H_Deemed),ALM82,AHZ82)</f>
        <v>0</v>
      </c>
      <c r="APA82" s="20" t="n">
        <f aca="false">IF(AND(H_Direct=0,H_TaxEvt=1,ASN81+1&gt;=H_Deemed),ALN82,AIA82)</f>
        <v>0</v>
      </c>
      <c r="APB82" s="20" t="n">
        <f aca="false">IF(AND(H_Direct=0,H_TaxEvt=1,ASO81+1&gt;=H_Deemed),ALO82,AIB82)</f>
        <v>0</v>
      </c>
      <c r="APC82" s="20" t="n">
        <f aca="false">IF(AND(H_Direct=0,H_TaxEvt=1,ASP81+1&gt;=H_Deemed),ALP82,AIC82)</f>
        <v>0</v>
      </c>
      <c r="APD82" s="20" t="n">
        <f aca="false">IF(AND(H_Direct=0,H_TaxEvt=1,ASQ81+1&gt;=H_Deemed),ALQ82,AID82)</f>
        <v>0</v>
      </c>
      <c r="APE82" s="20" t="n">
        <f aca="false">IF(AND(H_Direct=0,H_TaxEvt=1,ASR81+1&gt;=H_Deemed),ALR82,AIE82)</f>
        <v>0</v>
      </c>
      <c r="APF82" s="20" t="n">
        <f aca="false">IF(AND(H_Direct=0,H_TaxEvt=1,ASS81+1&gt;=H_Deemed),ALS82,AIF82)</f>
        <v>0</v>
      </c>
      <c r="APG82" s="20" t="n">
        <f aca="false">IF(AND(H_Direct=0,H_TaxEvt=1,AST81+1&gt;=H_Deemed),ALT82,AIG82)</f>
        <v>0</v>
      </c>
      <c r="APH82" s="20" t="n">
        <f aca="false">IF(AND(H_Direct=0,H_TaxEvt=1,ASU81+1&gt;=H_Deemed),ALU82,AIH82)</f>
        <v>0</v>
      </c>
      <c r="API82" s="20" t="n">
        <f aca="false">IF(AND(H_Direct=0,H_TaxEvt=1,ASV81+1&gt;=H_Deemed),ALV82,AII82)</f>
        <v>0</v>
      </c>
      <c r="APJ82" s="20" t="n">
        <f aca="false">IF(AND(H_Direct=0,H_TaxEvt=1,ASW81+1&gt;=H_Deemed),ALW82,AIJ82)</f>
        <v>0</v>
      </c>
      <c r="APK82" s="20" t="n">
        <f aca="false">IF(AND(H_Direct=0,H_TaxEvt=1,ASX81+1&gt;=H_Deemed),ALX82,AIK82)</f>
        <v>0</v>
      </c>
      <c r="APL82" s="20" t="n">
        <f aca="false">IF(AND(H_Direct=0,H_TaxEvt=1,ASY81+1&gt;=H_Deemed),ALY82,AIL82)</f>
        <v>0</v>
      </c>
      <c r="APM82" s="20" t="n">
        <f aca="false">IF(AND(H_Direct=0,H_TaxEvt=1,ASZ81+1&gt;=H_Deemed),ALZ82,AIM82)</f>
        <v>0</v>
      </c>
      <c r="APN82" s="20" t="n">
        <f aca="false">IF(AND(H_Direct=0,H_TaxEvt=1,ATA81+1&gt;=H_Deemed),AMA82,AIN82)</f>
        <v>0</v>
      </c>
      <c r="APO82" s="20" t="n">
        <f aca="false">IF(AND(H_Direct=0,H_TaxEvt=1,ATB81+1&gt;=H_Deemed),AMB82,AIO82)</f>
        <v>0</v>
      </c>
      <c r="APP82" s="20" t="n">
        <f aca="false">IF(AND(H_Direct=0,H_TaxEvt=1,ATC81+1&gt;=H_Deemed),AMC82,AIP82)</f>
        <v>0</v>
      </c>
      <c r="APQ82" s="20" t="n">
        <f aca="false">IF(AND(H_Direct=0,H_TaxEvt=1,ATD81+1&gt;=H_Deemed),AMD82,AIQ82)</f>
        <v>0</v>
      </c>
      <c r="APR82" s="20" t="n">
        <f aca="false">IF(AND(H_Direct=0,H_TaxEvt=1,ATE81+1&gt;=H_Deemed),AME82,AIR82)</f>
        <v>0</v>
      </c>
      <c r="APS82" s="20" t="n">
        <f aca="false">IF(AND(H_Direct=0,H_TaxEvt=1,ATF81+1&gt;=H_Deemed),AMF82,AIS82)</f>
        <v>0</v>
      </c>
      <c r="APT82" s="20" t="n">
        <f aca="false">IF(AND(H_Direct=0,H_TaxEvt=1,ATG81+1&gt;=H_Deemed),AMG82,AIT82)</f>
        <v>0</v>
      </c>
      <c r="APU82" s="20" t="n">
        <f aca="false">IF(AND(H_Direct=0,H_TaxEvt=1,ATH81+1&gt;=H_Deemed),AMH82,AIU82)</f>
        <v>0</v>
      </c>
      <c r="APV82" s="20" t="n">
        <f aca="false">IF(AND(H_Direct=0,H_TaxEvt=1,ATI81+1&gt;=H_Deemed),AMI82,AIV82)</f>
        <v>0</v>
      </c>
      <c r="APW82" s="20" t="n">
        <f aca="false">IF(AND(H_Direct=0,H_TaxEvt=1,ATJ81+1&gt;=H_Deemed),AMJ82,AIW82)</f>
        <v>0</v>
      </c>
      <c r="APX82" s="20" t="n">
        <f aca="false">IF(AND(H_Direct=0,H_TaxEvt=1,ATK81+1&gt;=H_Deemed),AMK82,AIX82)</f>
        <v>0</v>
      </c>
      <c r="APY82" s="20" t="n">
        <f aca="false">IF(AND(H_Direct=0,H_TaxEvt=1,ATL81+1&gt;=H_Deemed),AML82,AIY82)</f>
        <v>0</v>
      </c>
      <c r="APZ82" s="20" t="n">
        <f aca="false">IF(AND(H_Direct=0,H_TaxEvt=1,ATM81+1&gt;=H_Deemed),AMM82,AIZ82)</f>
        <v>0</v>
      </c>
      <c r="AQA82" s="20" t="n">
        <f aca="false">IF(AND(H_Direct=0,H_TaxEvt=1,ATN81+1&gt;=H_Deemed),AMN82,AJA82)</f>
        <v>0</v>
      </c>
      <c r="AQB82" s="20" t="n">
        <f aca="false">IF(AND(H_Direct=0,H_TaxEvt=1,ATO81+1&gt;=H_Deemed),AMO82,AJB82)</f>
        <v>0</v>
      </c>
      <c r="AQC82" s="20" t="n">
        <f aca="false">IF(AND(H_Direct=0,H_TaxEvt=1,ATP81+1&gt;=H_Deemed),AMP82,AJC82)</f>
        <v>0</v>
      </c>
      <c r="AQD82" s="20" t="n">
        <f aca="false">IF(AND(H_Direct=0,H_TaxEvt=1,ATQ81+1&gt;=H_Deemed),AMQ82,AJD82)</f>
        <v>0</v>
      </c>
      <c r="AQE82" s="20" t="n">
        <f aca="false">IF(AND(H_Direct=0,H_TaxEvt=1,ATR81+1&gt;=H_Deemed),AMR82,AJE82)</f>
        <v>0</v>
      </c>
      <c r="AQF82" s="20" t="n">
        <f aca="false">IF(AND(H_Direct=0,H_TaxEvt=1,ATS81+1&gt;=H_Deemed),AMS82,AJF82)</f>
        <v>0</v>
      </c>
      <c r="AQG82" s="20" t="n">
        <f aca="false">IF(AND(H_Direct=0,H_TaxEvt=1,ATT81+1&gt;=H_Deemed),AMT82,AJG82)</f>
        <v>0</v>
      </c>
      <c r="AQH82" s="20" t="n">
        <f aca="false">IF(AND(H_Direct=0,H_TaxEvt=1,ATU81+1&gt;=H_Deemed),AMU82,AJH82)</f>
        <v>0</v>
      </c>
      <c r="AQI82" s="20" t="n">
        <f aca="false">IF(AND(H_Direct=0,H_TaxEvt=1,ATV81+1&gt;=H_Deemed),AMV82,AJI82)</f>
        <v>0</v>
      </c>
      <c r="AQJ82" s="20" t="n">
        <f aca="false">IF(AND(H_Direct=0,H_TaxEvt=1,ATW81+1&gt;=H_Deemed),AMW82,AJJ82)</f>
        <v>0</v>
      </c>
      <c r="AQK82" s="20" t="n">
        <f aca="false">IF(AND(H_Direct=0,H_TaxEvt=1,ATX81+1&gt;=H_Deemed),AMX82,AJK82)</f>
        <v>0</v>
      </c>
      <c r="AQL82" s="20" t="n">
        <f aca="false">IF(AND(H_Direct=0,H_TaxEvt=1,ATY81+1&gt;=H_Deemed),AMY82,AJL82)</f>
        <v>0</v>
      </c>
      <c r="AQM82" s="20" t="n">
        <f aca="false">IF(AND(H_Direct=0,H_TaxEvt=1,ATZ81+1&gt;=H_Deemed),AMZ82,AJM82)</f>
        <v>0</v>
      </c>
      <c r="AQN82" s="20" t="n">
        <f aca="false">IF(AND(H_Direct=0,H_TaxEvt=1,AUA81+1&gt;=H_Deemed),ANA82,AJN82)</f>
        <v>0</v>
      </c>
      <c r="AQO82" s="20" t="n">
        <f aca="false">IF(AND(H_Direct=0,H_TaxEvt=1,AUB81+1&gt;=H_Deemed),ANB82,AJO82)</f>
        <v>0</v>
      </c>
      <c r="AQP82" s="20" t="n">
        <f aca="false">IF(AND(H_Direct=0,H_TaxEvt=1,AUC81+1&gt;=H_Deemed),ANC82,AJP82)</f>
        <v>0</v>
      </c>
      <c r="AQQ82" s="20" t="n">
        <f aca="false">IF(AND(H_Direct=0,H_TaxEvt=1,AUD81+1&gt;=H_Deemed),AND82,AJQ82)</f>
        <v>0</v>
      </c>
      <c r="AQR82" s="20" t="n">
        <f aca="false">IF(AND(H_Direct=0,H_TaxEvt=1,AUE81+1&gt;=H_Deemed),ANE82,AJR82)</f>
        <v>0</v>
      </c>
      <c r="AQS82" s="20" t="n">
        <f aca="false">IF(AND(H_Direct=0,H_TaxEvt=1,AUF81+1&gt;=H_Deemed),ANF82,AJS82)</f>
        <v>0</v>
      </c>
      <c r="AQT82" s="20" t="n">
        <f aca="false">IF(AND(H_Direct=0,H_TaxEvt=1,AUG81+1&gt;=H_Deemed),ANG82,AJT82)</f>
        <v>0</v>
      </c>
      <c r="AQU82" s="20" t="n">
        <f aca="false">IF(AND(H_Direct=0,H_TaxEvt=1,AUH81+1&gt;=H_Deemed),ANH82,AJU82)</f>
        <v>0</v>
      </c>
      <c r="AQV82" s="20" t="n">
        <f aca="false">IF(AND(H_Direct=0,H_TaxEvt=1,AUI81+1&gt;=H_Deemed),ANI82,AJV82)</f>
        <v>0</v>
      </c>
      <c r="AQW82" s="20" t="n">
        <f aca="false">IF(AND(H_Direct=0,H_TaxEvt=1,AUJ81+1&gt;=H_Deemed),ANJ82,AJW82)</f>
        <v>0</v>
      </c>
      <c r="AQX82" s="20" t="n">
        <f aca="false">IF(AND(H_Direct=0,H_TaxEvt=1,AUK81+1&gt;=H_Deemed),ANK82,AJX82)</f>
        <v>0</v>
      </c>
      <c r="AQY82" s="20" t="n">
        <f aca="false">IF(AND(H_Direct=0,H_TaxEvt=1,AUL81+1&gt;=H_Deemed),ANL82,AJY82)</f>
        <v>0</v>
      </c>
      <c r="AQZ82" s="20" t="n">
        <f aca="false">IF(AND(H_Direct=0,H_TaxEvt=1,AUM81+1&gt;=H_Deemed),ANM82,AJZ82)</f>
        <v>0</v>
      </c>
      <c r="ARA82" s="20" t="n">
        <f aca="false">IF(AND(H_Direct=0,H_TaxEvt=1,AUN81+1&gt;=H_Deemed),ANN82,AKA82)</f>
        <v>0</v>
      </c>
      <c r="ARB82" s="20" t="n">
        <f aca="false">IF(AND(H_Direct=0,H_TaxEvt=1,0+1&gt;=H_Deemed),ANO82,AKB82)</f>
        <v>0</v>
      </c>
      <c r="ARC82" s="20" t="n">
        <v>0</v>
      </c>
      <c r="ARD82" s="20" t="n">
        <v>0</v>
      </c>
      <c r="ARE82" s="20" t="n">
        <v>0</v>
      </c>
      <c r="ARF82" s="20" t="n">
        <v>0</v>
      </c>
      <c r="ARG82" s="20" t="n">
        <v>0</v>
      </c>
      <c r="ARH82" s="20" t="n">
        <v>0</v>
      </c>
      <c r="ARI82" s="20" t="n">
        <v>0</v>
      </c>
      <c r="ARJ82" s="20" t="n">
        <v>0</v>
      </c>
      <c r="ARK82" s="20" t="n">
        <v>0</v>
      </c>
      <c r="ARL82" s="20" t="n">
        <v>0</v>
      </c>
      <c r="ARM82" s="20" t="n">
        <v>0</v>
      </c>
      <c r="ARN82" s="20" t="n">
        <v>0</v>
      </c>
      <c r="ARO82" s="20" t="n">
        <v>0</v>
      </c>
      <c r="ARP82" s="20" t="n">
        <v>0</v>
      </c>
      <c r="ARQ82" s="20" t="n">
        <v>0</v>
      </c>
      <c r="ARR82" s="20" t="n">
        <f aca="false">IF(AND(H_Direct=0,H_TaxEvt=1),IF(ARR81+1&gt;=H_Deemed,0,ARR81+1),ARR81)</f>
        <v>3</v>
      </c>
      <c r="ARS82" s="20" t="n">
        <f aca="false">IF(AND(H_Direct=0,H_TaxEvt=1),IF(ARS81+1&gt;=H_Deemed,0,ARS81+1),ARS81)</f>
        <v>3</v>
      </c>
      <c r="ART82" s="20" t="n">
        <f aca="false">IF(AND(H_Direct=0,H_TaxEvt=1),IF(ART81+1&gt;=H_Deemed,0,ART81+1),ART81)</f>
        <v>2</v>
      </c>
      <c r="ARU82" s="20" t="n">
        <f aca="false">IF(AND(H_Direct=0,H_TaxEvt=1),IF(ARU81+1&gt;=H_Deemed,0,ARU81+1),ARU81)</f>
        <v>1</v>
      </c>
      <c r="ARV82" s="20" t="n">
        <f aca="false">IF(AND(H_Direct=0,H_TaxEvt=1),IF(ARV81+1&gt;=H_Deemed,0,ARV81+1),ARV81)</f>
        <v>0</v>
      </c>
      <c r="ARW82" s="20" t="n">
        <f aca="false">IF(AND(H_Direct=0,H_TaxEvt=1),IF(ARW81+1&gt;=H_Deemed,0,ARW81+1),ARW81)</f>
        <v>7</v>
      </c>
      <c r="ARX82" s="20" t="n">
        <f aca="false">IF(AND(H_Direct=0,H_TaxEvt=1),IF(ARX81+1&gt;=H_Deemed,0,ARX81+1),ARX81)</f>
        <v>6</v>
      </c>
      <c r="ARY82" s="20" t="n">
        <f aca="false">IF(AND(H_Direct=0,H_TaxEvt=1),IF(ARY81+1&gt;=H_Deemed,0,ARY81+1),ARY81)</f>
        <v>5</v>
      </c>
      <c r="ARZ82" s="20" t="n">
        <f aca="false">IF(AND(H_Direct=0,H_TaxEvt=1),IF(ARZ81+1&gt;=H_Deemed,0,ARZ81+1),ARZ81)</f>
        <v>4</v>
      </c>
      <c r="ASA82" s="20" t="n">
        <f aca="false">IF(AND(H_Direct=0,H_TaxEvt=1),IF(ASA81+1&gt;=H_Deemed,0,ASA81+1),ASA81)</f>
        <v>3</v>
      </c>
      <c r="ASB82" s="20" t="n">
        <f aca="false">IF(AND(H_Direct=0,H_TaxEvt=1),IF(ASB81+1&gt;=H_Deemed,0,ASB81+1),ASB81)</f>
        <v>2</v>
      </c>
      <c r="ASC82" s="20" t="n">
        <f aca="false">IF(AND(H_Direct=0,H_TaxEvt=1),IF(ASC81+1&gt;=H_Deemed,0,ASC81+1),ASC81)</f>
        <v>1</v>
      </c>
      <c r="ASD82" s="20" t="n">
        <f aca="false">IF(AND(H_Direct=0,H_TaxEvt=1),IF(ASD81+1&gt;=H_Deemed,0,ASD81+1),ASD81)</f>
        <v>0</v>
      </c>
      <c r="ASE82" s="20" t="n">
        <f aca="false">IF(AND(H_Direct=0,H_TaxEvt=1),IF(ASE81+1&gt;=H_Deemed,0,ASE81+1),ASE81)</f>
        <v>7</v>
      </c>
      <c r="ASF82" s="20" t="n">
        <f aca="false">IF(AND(H_Direct=0,H_TaxEvt=1),IF(ASF81+1&gt;=H_Deemed,0,ASF81+1),ASF81)</f>
        <v>6</v>
      </c>
      <c r="ASG82" s="20" t="n">
        <f aca="false">IF(AND(H_Direct=0,H_TaxEvt=1),IF(ASG81+1&gt;=H_Deemed,0,ASG81+1),ASG81)</f>
        <v>5</v>
      </c>
      <c r="ASH82" s="20" t="n">
        <f aca="false">IF(AND(H_Direct=0,H_TaxEvt=1),IF(ASH81+1&gt;=H_Deemed,0,ASH81+1),ASH81)</f>
        <v>4</v>
      </c>
      <c r="ASI82" s="20" t="n">
        <f aca="false">IF(AND(H_Direct=0,H_TaxEvt=1),IF(ASI81+1&gt;=H_Deemed,0,ASI81+1),ASI81)</f>
        <v>3</v>
      </c>
      <c r="ASJ82" s="20" t="n">
        <f aca="false">IF(AND(H_Direct=0,H_TaxEvt=1),IF(ASJ81+1&gt;=H_Deemed,0,ASJ81+1),ASJ81)</f>
        <v>2</v>
      </c>
      <c r="ASK82" s="20" t="n">
        <f aca="false">IF(AND(H_Direct=0,H_TaxEvt=1),IF(ASK81+1&gt;=H_Deemed,0,ASK81+1),ASK81)</f>
        <v>1</v>
      </c>
      <c r="ASL82" s="20" t="n">
        <f aca="false">IF(AND(H_Direct=0,H_TaxEvt=1),IF(ASL81+1&gt;=H_Deemed,0,ASL81+1),ASL81)</f>
        <v>0</v>
      </c>
      <c r="ASM82" s="20" t="n">
        <f aca="false">IF(AND(H_Direct=0,H_TaxEvt=1),IF(ASM81+1&gt;=H_Deemed,0,ASM81+1),ASM81)</f>
        <v>7</v>
      </c>
      <c r="ASN82" s="20" t="n">
        <f aca="false">IF(AND(H_Direct=0,H_TaxEvt=1),IF(ASN81+1&gt;=H_Deemed,0,ASN81+1),ASN81)</f>
        <v>6</v>
      </c>
      <c r="ASO82" s="20" t="n">
        <f aca="false">IF(AND(H_Direct=0,H_TaxEvt=1),IF(ASO81+1&gt;=H_Deemed,0,ASO81+1),ASO81)</f>
        <v>5</v>
      </c>
      <c r="ASP82" s="20" t="n">
        <f aca="false">IF(AND(H_Direct=0,H_TaxEvt=1),IF(ASP81+1&gt;=H_Deemed,0,ASP81+1),ASP81)</f>
        <v>4</v>
      </c>
      <c r="ASQ82" s="20" t="n">
        <f aca="false">IF(AND(H_Direct=0,H_TaxEvt=1),IF(ASQ81+1&gt;=H_Deemed,0,ASQ81+1),ASQ81)</f>
        <v>3</v>
      </c>
      <c r="ASR82" s="20" t="n">
        <f aca="false">IF(AND(H_Direct=0,H_TaxEvt=1),IF(ASR81+1&gt;=H_Deemed,0,ASR81+1),ASR81)</f>
        <v>2</v>
      </c>
      <c r="ASS82" s="20" t="n">
        <f aca="false">IF(AND(H_Direct=0,H_TaxEvt=1),IF(ASS81+1&gt;=H_Deemed,0,ASS81+1),ASS81)</f>
        <v>1</v>
      </c>
      <c r="AST82" s="20" t="n">
        <f aca="false">IF(AND(H_Direct=0,H_TaxEvt=1),IF(AST81+1&gt;=H_Deemed,0,AST81+1),AST81)</f>
        <v>0</v>
      </c>
      <c r="ASU82" s="20" t="n">
        <f aca="false">IF(AND(H_Direct=0,H_TaxEvt=1),IF(ASU81+1&gt;=H_Deemed,0,ASU81+1),ASU81)</f>
        <v>7</v>
      </c>
      <c r="ASV82" s="20" t="n">
        <f aca="false">IF(AND(H_Direct=0,H_TaxEvt=1),IF(ASV81+1&gt;=H_Deemed,0,ASV81+1),ASV81)</f>
        <v>6</v>
      </c>
      <c r="ASW82" s="20" t="n">
        <f aca="false">IF(AND(H_Direct=0,H_TaxEvt=1),IF(ASW81+1&gt;=H_Deemed,0,ASW81+1),ASW81)</f>
        <v>5</v>
      </c>
      <c r="ASX82" s="20" t="n">
        <f aca="false">IF(AND(H_Direct=0,H_TaxEvt=1),IF(ASX81+1&gt;=H_Deemed,0,ASX81+1),ASX81)</f>
        <v>4</v>
      </c>
      <c r="ASY82" s="20" t="n">
        <f aca="false">IF(AND(H_Direct=0,H_TaxEvt=1),IF(ASY81+1&gt;=H_Deemed,0,ASY81+1),ASY81)</f>
        <v>3</v>
      </c>
      <c r="ASZ82" s="20" t="n">
        <f aca="false">IF(AND(H_Direct=0,H_TaxEvt=1),IF(ASZ81+1&gt;=H_Deemed,0,ASZ81+1),ASZ81)</f>
        <v>2</v>
      </c>
      <c r="ATA82" s="20" t="n">
        <f aca="false">IF(AND(H_Direct=0,H_TaxEvt=1),IF(ATA81+1&gt;=H_Deemed,0,ATA81+1),ATA81)</f>
        <v>1</v>
      </c>
      <c r="ATB82" s="20" t="n">
        <f aca="false">IF(AND(H_Direct=0,H_TaxEvt=1),IF(ATB81+1&gt;=H_Deemed,0,ATB81+1),ATB81)</f>
        <v>0</v>
      </c>
      <c r="ATC82" s="20" t="n">
        <f aca="false">IF(AND(H_Direct=0,H_TaxEvt=1),IF(ATC81+1&gt;=H_Deemed,0,ATC81+1),ATC81)</f>
        <v>7</v>
      </c>
      <c r="ATD82" s="20" t="n">
        <f aca="false">IF(AND(H_Direct=0,H_TaxEvt=1),IF(ATD81+1&gt;=H_Deemed,0,ATD81+1),ATD81)</f>
        <v>6</v>
      </c>
      <c r="ATE82" s="20" t="n">
        <f aca="false">IF(AND(H_Direct=0,H_TaxEvt=1),IF(ATE81+1&gt;=H_Deemed,0,ATE81+1),ATE81)</f>
        <v>5</v>
      </c>
      <c r="ATF82" s="20" t="n">
        <f aca="false">IF(AND(H_Direct=0,H_TaxEvt=1),IF(ATF81+1&gt;=H_Deemed,0,ATF81+1),ATF81)</f>
        <v>4</v>
      </c>
      <c r="ATG82" s="20" t="n">
        <f aca="false">IF(AND(H_Direct=0,H_TaxEvt=1),IF(ATG81+1&gt;=H_Deemed,0,ATG81+1),ATG81)</f>
        <v>3</v>
      </c>
      <c r="ATH82" s="20" t="n">
        <f aca="false">IF(AND(H_Direct=0,H_TaxEvt=1),IF(ATH81+1&gt;=H_Deemed,0,ATH81+1),ATH81)</f>
        <v>2</v>
      </c>
      <c r="ATI82" s="20" t="n">
        <f aca="false">IF(AND(H_Direct=0,H_TaxEvt=1),IF(ATI81+1&gt;=H_Deemed,0,ATI81+1),ATI81)</f>
        <v>1</v>
      </c>
      <c r="ATJ82" s="20" t="n">
        <f aca="false">IF(AND(H_Direct=0,H_TaxEvt=1),IF(ATJ81+1&gt;=H_Deemed,0,ATJ81+1),ATJ81)</f>
        <v>0</v>
      </c>
      <c r="ATK82" s="20" t="n">
        <f aca="false">IF(AND(H_Direct=0,H_TaxEvt=1),IF(ATK81+1&gt;=H_Deemed,0,ATK81+1),ATK81)</f>
        <v>7</v>
      </c>
      <c r="ATL82" s="20" t="n">
        <f aca="false">IF(AND(H_Direct=0,H_TaxEvt=1),IF(ATL81+1&gt;=H_Deemed,0,ATL81+1),ATL81)</f>
        <v>6</v>
      </c>
      <c r="ATM82" s="20" t="n">
        <f aca="false">IF(AND(H_Direct=0,H_TaxEvt=1),IF(ATM81+1&gt;=H_Deemed,0,ATM81+1),ATM81)</f>
        <v>5</v>
      </c>
      <c r="ATN82" s="20" t="n">
        <f aca="false">IF(AND(H_Direct=0,H_TaxEvt=1),IF(ATN81+1&gt;=H_Deemed,0,ATN81+1),ATN81)</f>
        <v>4</v>
      </c>
      <c r="ATO82" s="20" t="n">
        <f aca="false">IF(AND(H_Direct=0,H_TaxEvt=1),IF(ATO81+1&gt;=H_Deemed,0,ATO81+1),ATO81)</f>
        <v>3</v>
      </c>
      <c r="ATP82" s="20" t="n">
        <f aca="false">IF(AND(H_Direct=0,H_TaxEvt=1),IF(ATP81+1&gt;=H_Deemed,0,ATP81+1),ATP81)</f>
        <v>2</v>
      </c>
      <c r="ATQ82" s="20" t="n">
        <f aca="false">IF(AND(H_Direct=0,H_TaxEvt=1),IF(ATQ81+1&gt;=H_Deemed,0,ATQ81+1),ATQ81)</f>
        <v>1</v>
      </c>
      <c r="ATR82" s="20" t="n">
        <f aca="false">IF(AND(H_Direct=0,H_TaxEvt=1),IF(ATR81+1&gt;=H_Deemed,0,ATR81+1),ATR81)</f>
        <v>0</v>
      </c>
      <c r="ATS82" s="20" t="n">
        <f aca="false">IF(AND(H_Direct=0,H_TaxEvt=1),IF(ATS81+1&gt;=H_Deemed,0,ATS81+1),ATS81)</f>
        <v>7</v>
      </c>
      <c r="ATT82" s="20" t="n">
        <f aca="false">IF(AND(H_Direct=0,H_TaxEvt=1),IF(ATT81+1&gt;=H_Deemed,0,ATT81+1),ATT81)</f>
        <v>6</v>
      </c>
      <c r="ATU82" s="20" t="n">
        <f aca="false">IF(AND(H_Direct=0,H_TaxEvt=1),IF(ATU81+1&gt;=H_Deemed,0,ATU81+1),ATU81)</f>
        <v>5</v>
      </c>
      <c r="ATV82" s="20" t="n">
        <f aca="false">IF(AND(H_Direct=0,H_TaxEvt=1),IF(ATV81+1&gt;=H_Deemed,0,ATV81+1),ATV81)</f>
        <v>4</v>
      </c>
      <c r="ATW82" s="20" t="n">
        <f aca="false">IF(AND(H_Direct=0,H_TaxEvt=1),IF(ATW81+1&gt;=H_Deemed,0,ATW81+1),ATW81)</f>
        <v>3</v>
      </c>
      <c r="ATX82" s="20" t="n">
        <f aca="false">IF(AND(H_Direct=0,H_TaxEvt=1),IF(ATX81+1&gt;=H_Deemed,0,ATX81+1),ATX81)</f>
        <v>2</v>
      </c>
      <c r="ATY82" s="20" t="n">
        <f aca="false">IF(AND(H_Direct=0,H_TaxEvt=1),IF(ATY81+1&gt;=H_Deemed,0,ATY81+1),ATY81)</f>
        <v>1</v>
      </c>
      <c r="ATZ82" s="20" t="n">
        <f aca="false">IF(AND(H_Direct=0,H_TaxEvt=1),IF(ATZ81+1&gt;=H_Deemed,0,ATZ81+1),ATZ81)</f>
        <v>0</v>
      </c>
      <c r="AUA82" s="20" t="n">
        <f aca="false">IF(AND(H_Direct=0,H_TaxEvt=1),IF(AUA81+1&gt;=H_Deemed,0,AUA81+1),AUA81)</f>
        <v>7</v>
      </c>
      <c r="AUB82" s="20" t="n">
        <f aca="false">IF(AND(H_Direct=0,H_TaxEvt=1),IF(AUB81+1&gt;=H_Deemed,0,AUB81+1),AUB81)</f>
        <v>6</v>
      </c>
      <c r="AUC82" s="20" t="n">
        <f aca="false">IF(AND(H_Direct=0,H_TaxEvt=1),IF(AUC81+1&gt;=H_Deemed,0,AUC81+1),AUC81)</f>
        <v>5</v>
      </c>
      <c r="AUD82" s="20" t="n">
        <f aca="false">IF(AND(H_Direct=0,H_TaxEvt=1),IF(AUD81+1&gt;=H_Deemed,0,AUD81+1),AUD81)</f>
        <v>4</v>
      </c>
      <c r="AUE82" s="20" t="n">
        <f aca="false">IF(AND(H_Direct=0,H_TaxEvt=1),IF(AUE81+1&gt;=H_Deemed,0,AUE81+1),AUE81)</f>
        <v>3</v>
      </c>
      <c r="AUF82" s="20" t="n">
        <f aca="false">IF(AND(H_Direct=0,H_TaxEvt=1),IF(AUF81+1&gt;=H_Deemed,0,AUF81+1),AUF81)</f>
        <v>2</v>
      </c>
      <c r="AUG82" s="20" t="n">
        <f aca="false">IF(AND(H_Direct=0,H_TaxEvt=1),IF(AUG81+1&gt;=H_Deemed,0,AUG81+1),AUG81)</f>
        <v>1</v>
      </c>
      <c r="AUH82" s="20" t="n">
        <f aca="false">IF(AND(H_Direct=0,H_TaxEvt=1),IF(AUH81+1&gt;=H_Deemed,0,AUH81+1),AUH81)</f>
        <v>0</v>
      </c>
      <c r="AUI82" s="20" t="n">
        <f aca="false">IF(AND(H_Direct=0,H_TaxEvt=1),IF(AUI81+1&gt;=H_Deemed,0,AUI81+1),AUI81)</f>
        <v>7</v>
      </c>
      <c r="AUJ82" s="20" t="n">
        <f aca="false">IF(AND(H_Direct=0,H_TaxEvt=1),IF(AUJ81+1&gt;=H_Deemed,0,AUJ81+1),AUJ81)</f>
        <v>6</v>
      </c>
      <c r="AUK82" s="20" t="n">
        <f aca="false">IF(AND(H_Direct=0,H_TaxEvt=1),IF(AUK81+1&gt;=H_Deemed,0,AUK81+1),AUK81)</f>
        <v>5</v>
      </c>
      <c r="AUL82" s="20" t="n">
        <f aca="false">IF(AND(H_Direct=0,H_TaxEvt=1),IF(AUL81+1&gt;=H_Deemed,0,AUL81+1),AUL81)</f>
        <v>4</v>
      </c>
      <c r="AUM82" s="20" t="n">
        <f aca="false">IF(AND(H_Direct=0,H_TaxEvt=1),IF(AUM81+1&gt;=H_Deemed,0,AUM81+1),AUM81)</f>
        <v>3</v>
      </c>
      <c r="AUN82" s="20" t="n">
        <f aca="false">IF(AND(H_Direct=0,H_TaxEvt=1),IF(AUN81+1&gt;=H_Deemed,0,AUN81+1),AUN81)</f>
        <v>2</v>
      </c>
      <c r="AUO82" s="20" t="n">
        <f aca="false">IF(AND(H_Direct=0,H_TaxEvt=1),IF(0+1&gt;=H_Deemed,0,0+1),0)</f>
        <v>1</v>
      </c>
      <c r="AUP82" s="20" t="n">
        <v>0</v>
      </c>
      <c r="AUQ82" s="20" t="n">
        <v>0</v>
      </c>
      <c r="AUR82" s="20" t="n">
        <v>0</v>
      </c>
      <c r="AUS82" s="20" t="n">
        <v>0</v>
      </c>
      <c r="AUT82" s="20" t="n">
        <v>0</v>
      </c>
      <c r="AUU82" s="20" t="n">
        <v>0</v>
      </c>
      <c r="AUV82" s="20" t="n">
        <v>0</v>
      </c>
      <c r="AUW82" s="20" t="n">
        <v>0</v>
      </c>
      <c r="AUX82" s="20" t="n">
        <v>0</v>
      </c>
      <c r="AUY82" s="20" t="n">
        <v>0</v>
      </c>
      <c r="AUZ82" s="20" t="n">
        <v>0</v>
      </c>
      <c r="AVA82" s="20" t="n">
        <v>0</v>
      </c>
      <c r="AVB82" s="20" t="n">
        <v>0</v>
      </c>
      <c r="AVC82" s="20" t="n">
        <v>0</v>
      </c>
      <c r="AVD82" s="20" t="n">
        <v>0</v>
      </c>
      <c r="AVE82" s="20" t="n">
        <f aca="false">IF(AND(H_Direct=0,H_TaxEvt=1,ARR81+1&gt;=H_Deemed),MAX(0,ADR82-AHE82)*H_Exit,0)</f>
        <v>0</v>
      </c>
      <c r="AVF82" s="20" t="n">
        <f aca="false">IF(AND(H_Direct=0,H_TaxEvt=1,ARS81+1&gt;=H_Deemed),MAX(0,ADS82-AHF82)*H_Exit,0)</f>
        <v>0</v>
      </c>
      <c r="AVG82" s="20" t="n">
        <f aca="false">IF(AND(H_Direct=0,H_TaxEvt=1,ART81+1&gt;=H_Deemed),MAX(0,ADT82-AHG82)*H_Exit,0)</f>
        <v>0</v>
      </c>
      <c r="AVH82" s="20" t="n">
        <f aca="false">IF(AND(H_Direct=0,H_TaxEvt=1,ARU81+1&gt;=H_Deemed),MAX(0,ADU82-AHH82)*H_Exit,0)</f>
        <v>0</v>
      </c>
      <c r="AVI82" s="20" t="n">
        <f aca="false">IF(AND(H_Direct=0,H_TaxEvt=1,ARV81+1&gt;=H_Deemed),MAX(0,ADV82-AHI82)*H_Exit,0)</f>
        <v>0</v>
      </c>
      <c r="AVJ82" s="20" t="n">
        <f aca="false">IF(AND(H_Direct=0,H_TaxEvt=1,ARW81+1&gt;=H_Deemed),MAX(0,ADW82-AHJ82)*H_Exit,0)</f>
        <v>0</v>
      </c>
      <c r="AVK82" s="20" t="n">
        <f aca="false">IF(AND(H_Direct=0,H_TaxEvt=1,ARX81+1&gt;=H_Deemed),MAX(0,ADX82-AHK82)*H_Exit,0)</f>
        <v>0</v>
      </c>
      <c r="AVL82" s="20" t="n">
        <f aca="false">IF(AND(H_Direct=0,H_TaxEvt=1,ARY81+1&gt;=H_Deemed),MAX(0,ADY82-AHL82)*H_Exit,0)</f>
        <v>0</v>
      </c>
      <c r="AVM82" s="20" t="n">
        <f aca="false">IF(AND(H_Direct=0,H_TaxEvt=1,ARZ81+1&gt;=H_Deemed),MAX(0,ADZ82-AHM82)*H_Exit,0)</f>
        <v>0</v>
      </c>
      <c r="AVN82" s="20" t="n">
        <f aca="false">IF(AND(H_Direct=0,H_TaxEvt=1,ASA81+1&gt;=H_Deemed),MAX(0,AEA82-AHN82)*H_Exit,0)</f>
        <v>0</v>
      </c>
      <c r="AVO82" s="20" t="n">
        <f aca="false">IF(AND(H_Direct=0,H_TaxEvt=1,ASB81+1&gt;=H_Deemed),MAX(0,AEB82-AHO82)*H_Exit,0)</f>
        <v>0</v>
      </c>
      <c r="AVP82" s="20" t="n">
        <f aca="false">IF(AND(H_Direct=0,H_TaxEvt=1,ASC81+1&gt;=H_Deemed),MAX(0,AEC82-AHP82)*H_Exit,0)</f>
        <v>0</v>
      </c>
      <c r="AVQ82" s="20" t="n">
        <f aca="false">IF(AND(H_Direct=0,H_TaxEvt=1,ASD81+1&gt;=H_Deemed),MAX(0,AED82-AHQ82)*H_Exit,0)</f>
        <v>0</v>
      </c>
      <c r="AVR82" s="20" t="n">
        <f aca="false">IF(AND(H_Direct=0,H_TaxEvt=1,ASE81+1&gt;=H_Deemed),MAX(0,AEE82-AHR82)*H_Exit,0)</f>
        <v>0</v>
      </c>
      <c r="AVS82" s="20" t="n">
        <f aca="false">IF(AND(H_Direct=0,H_TaxEvt=1,ASF81+1&gt;=H_Deemed),MAX(0,AEF82-AHS82)*H_Exit,0)</f>
        <v>0</v>
      </c>
      <c r="AVT82" s="20" t="n">
        <f aca="false">IF(AND(H_Direct=0,H_TaxEvt=1,ASG81+1&gt;=H_Deemed),MAX(0,AEG82-AHT82)*H_Exit,0)</f>
        <v>0</v>
      </c>
      <c r="AVU82" s="20" t="n">
        <f aca="false">IF(AND(H_Direct=0,H_TaxEvt=1,ASH81+1&gt;=H_Deemed),MAX(0,AEH82-AHU82)*H_Exit,0)</f>
        <v>0</v>
      </c>
      <c r="AVV82" s="20" t="n">
        <f aca="false">IF(AND(H_Direct=0,H_TaxEvt=1,ASI81+1&gt;=H_Deemed),MAX(0,AEI82-AHV82)*H_Exit,0)</f>
        <v>0</v>
      </c>
      <c r="AVW82" s="20" t="n">
        <f aca="false">IF(AND(H_Direct=0,H_TaxEvt=1,ASJ81+1&gt;=H_Deemed),MAX(0,AEJ82-AHW82)*H_Exit,0)</f>
        <v>0</v>
      </c>
      <c r="AVX82" s="20" t="n">
        <f aca="false">IF(AND(H_Direct=0,H_TaxEvt=1,ASK81+1&gt;=H_Deemed),MAX(0,AEK82-AHX82)*H_Exit,0)</f>
        <v>0</v>
      </c>
      <c r="AVY82" s="20" t="n">
        <f aca="false">IF(AND(H_Direct=0,H_TaxEvt=1,ASL81+1&gt;=H_Deemed),MAX(0,AEL82-AHY82)*H_Exit,0)</f>
        <v>0</v>
      </c>
      <c r="AVZ82" s="20" t="n">
        <f aca="false">IF(AND(H_Direct=0,H_TaxEvt=1,ASM81+1&gt;=H_Deemed),MAX(0,AEM82-AHZ82)*H_Exit,0)</f>
        <v>0</v>
      </c>
      <c r="AWA82" s="20" t="n">
        <f aca="false">IF(AND(H_Direct=0,H_TaxEvt=1,ASN81+1&gt;=H_Deemed),MAX(0,AEN82-AIA82)*H_Exit,0)</f>
        <v>0</v>
      </c>
      <c r="AWB82" s="20" t="n">
        <f aca="false">IF(AND(H_Direct=0,H_TaxEvt=1,ASO81+1&gt;=H_Deemed),MAX(0,AEO82-AIB82)*H_Exit,0)</f>
        <v>0</v>
      </c>
      <c r="AWC82" s="20" t="n">
        <f aca="false">IF(AND(H_Direct=0,H_TaxEvt=1,ASP81+1&gt;=H_Deemed),MAX(0,AEP82-AIC82)*H_Exit,0)</f>
        <v>0</v>
      </c>
      <c r="AWD82" s="20" t="n">
        <f aca="false">IF(AND(H_Direct=0,H_TaxEvt=1,ASQ81+1&gt;=H_Deemed),MAX(0,AEQ82-AID82)*H_Exit,0)</f>
        <v>0</v>
      </c>
      <c r="AWE82" s="20" t="n">
        <f aca="false">IF(AND(H_Direct=0,H_TaxEvt=1,ASR81+1&gt;=H_Deemed),MAX(0,AER82-AIE82)*H_Exit,0)</f>
        <v>0</v>
      </c>
      <c r="AWF82" s="20" t="n">
        <f aca="false">IF(AND(H_Direct=0,H_TaxEvt=1,ASS81+1&gt;=H_Deemed),MAX(0,AES82-AIF82)*H_Exit,0)</f>
        <v>0</v>
      </c>
      <c r="AWG82" s="20" t="n">
        <f aca="false">IF(AND(H_Direct=0,H_TaxEvt=1,AST81+1&gt;=H_Deemed),MAX(0,AET82-AIG82)*H_Exit,0)</f>
        <v>0</v>
      </c>
      <c r="AWH82" s="20" t="n">
        <f aca="false">IF(AND(H_Direct=0,H_TaxEvt=1,ASU81+1&gt;=H_Deemed),MAX(0,AEU82-AIH82)*H_Exit,0)</f>
        <v>0</v>
      </c>
      <c r="AWI82" s="20" t="n">
        <f aca="false">IF(AND(H_Direct=0,H_TaxEvt=1,ASV81+1&gt;=H_Deemed),MAX(0,AEV82-AII82)*H_Exit,0)</f>
        <v>0</v>
      </c>
      <c r="AWJ82" s="20" t="n">
        <f aca="false">IF(AND(H_Direct=0,H_TaxEvt=1,ASW81+1&gt;=H_Deemed),MAX(0,AEW82-AIJ82)*H_Exit,0)</f>
        <v>0</v>
      </c>
      <c r="AWK82" s="20" t="n">
        <f aca="false">IF(AND(H_Direct=0,H_TaxEvt=1,ASX81+1&gt;=H_Deemed),MAX(0,AEX82-AIK82)*H_Exit,0)</f>
        <v>0</v>
      </c>
      <c r="AWL82" s="20" t="n">
        <f aca="false">IF(AND(H_Direct=0,H_TaxEvt=1,ASY81+1&gt;=H_Deemed),MAX(0,AEY82-AIL82)*H_Exit,0)</f>
        <v>0</v>
      </c>
      <c r="AWM82" s="20" t="n">
        <f aca="false">IF(AND(H_Direct=0,H_TaxEvt=1,ASZ81+1&gt;=H_Deemed),MAX(0,AEZ82-AIM82)*H_Exit,0)</f>
        <v>0</v>
      </c>
      <c r="AWN82" s="20" t="n">
        <f aca="false">IF(AND(H_Direct=0,H_TaxEvt=1,ATA81+1&gt;=H_Deemed),MAX(0,AFA82-AIN82)*H_Exit,0)</f>
        <v>0</v>
      </c>
      <c r="AWO82" s="20" t="n">
        <f aca="false">IF(AND(H_Direct=0,H_TaxEvt=1,ATB81+1&gt;=H_Deemed),MAX(0,AFB82-AIO82)*H_Exit,0)</f>
        <v>0</v>
      </c>
      <c r="AWP82" s="20" t="n">
        <f aca="false">IF(AND(H_Direct=0,H_TaxEvt=1,ATC81+1&gt;=H_Deemed),MAX(0,AFC82-AIP82)*H_Exit,0)</f>
        <v>0</v>
      </c>
      <c r="AWQ82" s="20" t="n">
        <f aca="false">IF(AND(H_Direct=0,H_TaxEvt=1,ATD81+1&gt;=H_Deemed),MAX(0,AFD82-AIQ82)*H_Exit,0)</f>
        <v>0</v>
      </c>
      <c r="AWR82" s="20" t="n">
        <f aca="false">IF(AND(H_Direct=0,H_TaxEvt=1,ATE81+1&gt;=H_Deemed),MAX(0,AFE82-AIR82)*H_Exit,0)</f>
        <v>0</v>
      </c>
      <c r="AWS82" s="20" t="n">
        <f aca="false">IF(AND(H_Direct=0,H_TaxEvt=1,ATF81+1&gt;=H_Deemed),MAX(0,AFF82-AIS82)*H_Exit,0)</f>
        <v>0</v>
      </c>
      <c r="AWT82" s="20" t="n">
        <f aca="false">IF(AND(H_Direct=0,H_TaxEvt=1,ATG81+1&gt;=H_Deemed),MAX(0,AFG82-AIT82)*H_Exit,0)</f>
        <v>0</v>
      </c>
      <c r="AWU82" s="20" t="n">
        <f aca="false">IF(AND(H_Direct=0,H_TaxEvt=1,ATH81+1&gt;=H_Deemed),MAX(0,AFH82-AIU82)*H_Exit,0)</f>
        <v>0</v>
      </c>
      <c r="AWV82" s="20" t="n">
        <f aca="false">IF(AND(H_Direct=0,H_TaxEvt=1,ATI81+1&gt;=H_Deemed),MAX(0,AFI82-AIV82)*H_Exit,0)</f>
        <v>0</v>
      </c>
      <c r="AWW82" s="20" t="n">
        <f aca="false">IF(AND(H_Direct=0,H_TaxEvt=1,ATJ81+1&gt;=H_Deemed),MAX(0,AFJ82-AIW82)*H_Exit,0)</f>
        <v>0</v>
      </c>
      <c r="AWX82" s="20" t="n">
        <f aca="false">IF(AND(H_Direct=0,H_TaxEvt=1,ATK81+1&gt;=H_Deemed),MAX(0,AFK82-AIX82)*H_Exit,0)</f>
        <v>0</v>
      </c>
      <c r="AWY82" s="20" t="n">
        <f aca="false">IF(AND(H_Direct=0,H_TaxEvt=1,ATL81+1&gt;=H_Deemed),MAX(0,AFL82-AIY82)*H_Exit,0)</f>
        <v>0</v>
      </c>
      <c r="AWZ82" s="20" t="n">
        <f aca="false">IF(AND(H_Direct=0,H_TaxEvt=1,ATM81+1&gt;=H_Deemed),MAX(0,AFM82-AIZ82)*H_Exit,0)</f>
        <v>0</v>
      </c>
      <c r="AXA82" s="20" t="n">
        <f aca="false">IF(AND(H_Direct=0,H_TaxEvt=1,ATN81+1&gt;=H_Deemed),MAX(0,AFN82-AJA82)*H_Exit,0)</f>
        <v>0</v>
      </c>
      <c r="AXB82" s="20" t="n">
        <f aca="false">IF(AND(H_Direct=0,H_TaxEvt=1,ATO81+1&gt;=H_Deemed),MAX(0,AFO82-AJB82)*H_Exit,0)</f>
        <v>0</v>
      </c>
      <c r="AXC82" s="20" t="n">
        <f aca="false">IF(AND(H_Direct=0,H_TaxEvt=1,ATP81+1&gt;=H_Deemed),MAX(0,AFP82-AJC82)*H_Exit,0)</f>
        <v>0</v>
      </c>
      <c r="AXD82" s="20" t="n">
        <f aca="false">IF(AND(H_Direct=0,H_TaxEvt=1,ATQ81+1&gt;=H_Deemed),MAX(0,AFQ82-AJD82)*H_Exit,0)</f>
        <v>0</v>
      </c>
      <c r="AXE82" s="20" t="n">
        <f aca="false">IF(AND(H_Direct=0,H_TaxEvt=1,ATR81+1&gt;=H_Deemed),MAX(0,AFR82-AJE82)*H_Exit,0)</f>
        <v>0</v>
      </c>
      <c r="AXF82" s="20" t="n">
        <f aca="false">IF(AND(H_Direct=0,H_TaxEvt=1,ATS81+1&gt;=H_Deemed),MAX(0,AFS82-AJF82)*H_Exit,0)</f>
        <v>0</v>
      </c>
      <c r="AXG82" s="20" t="n">
        <f aca="false">IF(AND(H_Direct=0,H_TaxEvt=1,ATT81+1&gt;=H_Deemed),MAX(0,AFT82-AJG82)*H_Exit,0)</f>
        <v>0</v>
      </c>
      <c r="AXH82" s="20" t="n">
        <f aca="false">IF(AND(H_Direct=0,H_TaxEvt=1,ATU81+1&gt;=H_Deemed),MAX(0,AFU82-AJH82)*H_Exit,0)</f>
        <v>0</v>
      </c>
      <c r="AXI82" s="20" t="n">
        <f aca="false">IF(AND(H_Direct=0,H_TaxEvt=1,ATV81+1&gt;=H_Deemed),MAX(0,AFV82-AJI82)*H_Exit,0)</f>
        <v>0</v>
      </c>
      <c r="AXJ82" s="20" t="n">
        <f aca="false">IF(AND(H_Direct=0,H_TaxEvt=1,ATW81+1&gt;=H_Deemed),MAX(0,AFW82-AJJ82)*H_Exit,0)</f>
        <v>0</v>
      </c>
      <c r="AXK82" s="20" t="n">
        <f aca="false">IF(AND(H_Direct=0,H_TaxEvt=1,ATX81+1&gt;=H_Deemed),MAX(0,AFX82-AJK82)*H_Exit,0)</f>
        <v>0</v>
      </c>
      <c r="AXL82" s="20" t="n">
        <f aca="false">IF(AND(H_Direct=0,H_TaxEvt=1,ATY81+1&gt;=H_Deemed),MAX(0,AFY82-AJL82)*H_Exit,0)</f>
        <v>0</v>
      </c>
      <c r="AXM82" s="20" t="n">
        <f aca="false">IF(AND(H_Direct=0,H_TaxEvt=1,ATZ81+1&gt;=H_Deemed),MAX(0,AFZ82-AJM82)*H_Exit,0)</f>
        <v>0</v>
      </c>
      <c r="AXN82" s="20" t="n">
        <f aca="false">IF(AND(H_Direct=0,H_TaxEvt=1,AUA81+1&gt;=H_Deemed),MAX(0,AGA82-AJN82)*H_Exit,0)</f>
        <v>0</v>
      </c>
      <c r="AXO82" s="20" t="n">
        <f aca="false">IF(AND(H_Direct=0,H_TaxEvt=1,AUB81+1&gt;=H_Deemed),MAX(0,AGB82-AJO82)*H_Exit,0)</f>
        <v>0</v>
      </c>
      <c r="AXP82" s="20" t="n">
        <f aca="false">IF(AND(H_Direct=0,H_TaxEvt=1,AUC81+1&gt;=H_Deemed),MAX(0,AGC82-AJP82)*H_Exit,0)</f>
        <v>0</v>
      </c>
      <c r="AXQ82" s="20" t="n">
        <f aca="false">IF(AND(H_Direct=0,H_TaxEvt=1,AUD81+1&gt;=H_Deemed),MAX(0,AGD82-AJQ82)*H_Exit,0)</f>
        <v>0</v>
      </c>
      <c r="AXR82" s="20" t="n">
        <f aca="false">IF(AND(H_Direct=0,H_TaxEvt=1,AUE81+1&gt;=H_Deemed),MAX(0,AGE82-AJR82)*H_Exit,0)</f>
        <v>0</v>
      </c>
      <c r="AXS82" s="20" t="n">
        <f aca="false">IF(AND(H_Direct=0,H_TaxEvt=1,AUF81+1&gt;=H_Deemed),MAX(0,AGF82-AJS82)*H_Exit,0)</f>
        <v>0</v>
      </c>
      <c r="AXT82" s="20" t="n">
        <f aca="false">IF(AND(H_Direct=0,H_TaxEvt=1,AUG81+1&gt;=H_Deemed),MAX(0,AGG82-AJT82)*H_Exit,0)</f>
        <v>0</v>
      </c>
      <c r="AXU82" s="20" t="n">
        <f aca="false">IF(AND(H_Direct=0,H_TaxEvt=1,AUH81+1&gt;=H_Deemed),MAX(0,AGH82-AJU82)*H_Exit,0)</f>
        <v>0</v>
      </c>
      <c r="AXV82" s="20" t="n">
        <f aca="false">IF(AND(H_Direct=0,H_TaxEvt=1,AUI81+1&gt;=H_Deemed),MAX(0,AGI82-AJV82)*H_Exit,0)</f>
        <v>0</v>
      </c>
      <c r="AXW82" s="20" t="n">
        <f aca="false">IF(AND(H_Direct=0,H_TaxEvt=1,AUJ81+1&gt;=H_Deemed),MAX(0,AGJ82-AJW82)*H_Exit,0)</f>
        <v>0</v>
      </c>
      <c r="AXX82" s="20" t="n">
        <f aca="false">IF(AND(H_Direct=0,H_TaxEvt=1,AUK81+1&gt;=H_Deemed),MAX(0,AGK82-AJX82)*H_Exit,0)</f>
        <v>0</v>
      </c>
      <c r="AXY82" s="20" t="n">
        <f aca="false">IF(AND(H_Direct=0,H_TaxEvt=1,AUL81+1&gt;=H_Deemed),MAX(0,AGL82-AJY82)*H_Exit,0)</f>
        <v>0</v>
      </c>
      <c r="AXZ82" s="20" t="n">
        <f aca="false">IF(AND(H_Direct=0,H_TaxEvt=1,AUM81+1&gt;=H_Deemed),MAX(0,AGM82-AJZ82)*H_Exit,0)</f>
        <v>0</v>
      </c>
      <c r="AYA82" s="20" t="n">
        <f aca="false">IF(AND(H_Direct=0,H_TaxEvt=1,AUN81+1&gt;=H_Deemed),MAX(0,AGN82-AKA82)*H_Exit,0)</f>
        <v>0</v>
      </c>
      <c r="AYB82" s="20" t="n">
        <f aca="false">IF(AND(H_Direct=0,H_TaxEvt=1,0+1&gt;=H_Deemed),MAX(0,AGO82-AKB82)*H_Exit,0)</f>
        <v>0</v>
      </c>
      <c r="AYC82" s="20" t="n">
        <v>0</v>
      </c>
      <c r="AYD82" s="20" t="n">
        <v>0</v>
      </c>
      <c r="AYE82" s="20" t="n">
        <v>0</v>
      </c>
      <c r="AYF82" s="20" t="n">
        <v>0</v>
      </c>
      <c r="AYG82" s="20" t="n">
        <v>0</v>
      </c>
      <c r="AYH82" s="20" t="n">
        <v>0</v>
      </c>
      <c r="AYI82" s="20" t="n">
        <v>0</v>
      </c>
      <c r="AYJ82" s="20" t="n">
        <v>0</v>
      </c>
      <c r="AYK82" s="20" t="n">
        <v>0</v>
      </c>
      <c r="AYL82" s="20" t="n">
        <v>0</v>
      </c>
      <c r="AYM82" s="20" t="n">
        <v>0</v>
      </c>
      <c r="AYN82" s="20" t="n">
        <v>0</v>
      </c>
      <c r="AYO82" s="20" t="n">
        <v>0</v>
      </c>
      <c r="AYP82" s="20" t="n">
        <v>0</v>
      </c>
      <c r="AYQ82" s="20" t="n">
        <v>0</v>
      </c>
    </row>
    <row r="83" customFormat="false" ht="15" hidden="false" customHeight="false" outlineLevel="0" collapsed="false">
      <c r="B83" s="20" t="n">
        <v>75</v>
      </c>
      <c r="C83" s="20" t="n">
        <f aca="false">'Plan cashflow'!C83</f>
        <v>0</v>
      </c>
      <c r="D83" s="20" t="n">
        <f aca="false">'Plan cashflow'!D83</f>
        <v>113</v>
      </c>
      <c r="E83" s="20" t="n">
        <f aca="false">AS_Year0+75</f>
        <v>2101</v>
      </c>
      <c r="F83" s="50" t="n">
        <f aca="false">'Plan cashflow'!F83</f>
        <v>4.41583545512767</v>
      </c>
      <c r="G83" s="59" t="n">
        <f aca="true">IF(MAX(TODAY(),DATE(E83,1,1))&gt;=H_CGTfrom,H_CGT1,H_CGT0)</f>
        <v>0.31</v>
      </c>
      <c r="H83" s="20" t="n">
        <f aca="false">H_Exempt*H_Persons</f>
        <v>1270</v>
      </c>
      <c r="I83" s="20" t="n">
        <f aca="false">AX82</f>
        <v>0</v>
      </c>
      <c r="J83" s="60" t="n">
        <f aca="false">BF82</f>
        <v>0</v>
      </c>
      <c r="K83" s="60" t="n">
        <f aca="false">BG82</f>
        <v>0</v>
      </c>
      <c r="L83" s="20" t="n">
        <f aca="false">IF(AND(In_polLump&gt;0,In_polLumpAge&gt;0,D83=In_polLumpAge),In_polLump,0)</f>
        <v>0</v>
      </c>
      <c r="M83" s="20" t="n">
        <f aca="false">IF(AND(In_homeUse="Yes, I'd downsize",In_downAge&gt;0,D83=In_downAge,OR(In_home="Own outright",In_home="Own with mortgage"),In_homeValue&gt;0),MAX(0,MAX(0,In_homeValue-In_downValue)*F83*0.9-'Plan cashflow'!HR82),0)</f>
        <v>0</v>
      </c>
      <c r="N83" s="20" t="n">
        <f aca="false">'Plan pay &amp; tax'!Y309</f>
        <v>0</v>
      </c>
      <c r="O83" s="20" t="n">
        <f aca="false">L83+M83+(1-H_Sh)*N83</f>
        <v>0</v>
      </c>
      <c r="P83" s="20" t="n">
        <f aca="false">H_Sh*N83</f>
        <v>0</v>
      </c>
      <c r="Q83" s="20" t="n">
        <f aca="false">'Plan cashflow'!UL83</f>
        <v>0</v>
      </c>
      <c r="R83" s="20" t="n">
        <f aca="false">(1-H_Sh)*Q83</f>
        <v>0</v>
      </c>
      <c r="S83" s="20" t="n">
        <f aca="false">H_Sh*Q83</f>
        <v>0</v>
      </c>
      <c r="T83" s="20" t="n">
        <f aca="false">J83+K83+O83</f>
        <v>0</v>
      </c>
      <c r="U83" s="20" t="n">
        <f aca="false">T83+R83</f>
        <v>0</v>
      </c>
      <c r="V83" s="60" t="n">
        <f aca="false">SUM(FE83:IQ83)</f>
        <v>0</v>
      </c>
      <c r="W83" s="60" t="n">
        <f aca="false">IF(AJ83&lt;=0,0,IF(AL83&lt;=0,AJ83,AJ83-G83*MAX(0,AL83*AJ83-(AY83+AZ83))))</f>
        <v>0</v>
      </c>
      <c r="X83" s="60" t="n">
        <f aca="false">IF(AR83&lt;=0,0,IF(AT83&lt;=0,AR83,AR83-G83*MAX(0,AT83*AR83-(BA83+BB83))))</f>
        <v>0</v>
      </c>
      <c r="Y83" s="60" t="n">
        <f aca="false">T83+V83-S83+W83+X83</f>
        <v>0</v>
      </c>
      <c r="Z83" s="60" t="n">
        <f aca="false">'Plan cashflow'!UK83</f>
        <v>0</v>
      </c>
      <c r="AA83" s="20" t="n">
        <f aca="false">MIN(Z83,U83)</f>
        <v>0</v>
      </c>
      <c r="AB83" s="20" t="n">
        <f aca="false">Z83-AA83</f>
        <v>0</v>
      </c>
      <c r="AC83" s="20" t="n">
        <f aca="false">MIN(AA83,J83+O83+R83)</f>
        <v>0</v>
      </c>
      <c r="AD83" s="20" t="n">
        <f aca="false">AA83-AC83</f>
        <v>0</v>
      </c>
      <c r="AE83" s="20" t="n">
        <f aca="false">J83+O83+R83-AC83</f>
        <v>0</v>
      </c>
      <c r="AF83" s="20" t="n">
        <f aca="false">K83-AD83</f>
        <v>0</v>
      </c>
      <c r="AG83" s="20" t="n">
        <f aca="false">SUM(PR83:TD83)</f>
        <v>0</v>
      </c>
      <c r="AH83" s="20" t="n">
        <f aca="false">SUM(TE83:WQ83)</f>
        <v>0</v>
      </c>
      <c r="AI83" s="20" t="n">
        <f aca="false">MAX(0,AB83-AG83)</f>
        <v>0</v>
      </c>
      <c r="AJ83" s="57" t="n">
        <f aca="false">BI82</f>
        <v>0</v>
      </c>
      <c r="AK83" s="20" t="n">
        <f aca="false">BJ82</f>
        <v>0</v>
      </c>
      <c r="AL83" s="20" t="n">
        <f aca="false">IF(AJ83&gt;0,(AJ83-AK83)/AJ83,0)</f>
        <v>0</v>
      </c>
      <c r="AM83" s="20" t="n">
        <f aca="false">IF(AJ83&lt;=0,0,IF(AL83&lt;=0,MIN(AI83,AJ83),MIN(AI83,AJ83-G83*MAX(0,AL83*AJ83-(AAD83+ADQ83)))))</f>
        <v>0</v>
      </c>
      <c r="AN83" s="20" t="n">
        <f aca="false">IF(AJ83&lt;=0,0,IF(AL83&lt;=0,AM83,IF(AM83&lt;=(AAD83+ADQ83)/AL83,AM83,(AM83-G83*(AAD83+ADQ83))/(1-G83*AL83))))</f>
        <v>0</v>
      </c>
      <c r="AO83" s="20" t="n">
        <f aca="false">IF(AL83&gt;0,MAX(0,AAD83-(MIN(AL83*AN83,(AAD83+ADQ83))-MIN(MIN(AL83*AN83,(AAD83+ADQ83)),ADQ83))),AAD83)</f>
        <v>1270</v>
      </c>
      <c r="AP83" s="20" t="n">
        <f aca="false">IF(AL83&lt;=0,ADQ83-AL83*AN83,ADQ83-MIN(MIN(AL83*AN83,(AAD83+ADQ83)),ADQ83))</f>
        <v>0</v>
      </c>
      <c r="AQ83" s="20" t="n">
        <f aca="false">MAX(0,AI83-AM83)</f>
        <v>0</v>
      </c>
      <c r="AR83" s="57" t="n">
        <f aca="false">BK82</f>
        <v>0</v>
      </c>
      <c r="AS83" s="20" t="n">
        <f aca="false">BL82</f>
        <v>0</v>
      </c>
      <c r="AT83" s="20" t="n">
        <f aca="false">IF(AR83&gt;0,(AR83-AS83)/AR83,0)</f>
        <v>0</v>
      </c>
      <c r="AU83" s="20" t="n">
        <f aca="false">IF(AR83&lt;=0,0,IF(AT83&lt;=0,MIN(AQ83,AR83),MIN(AQ83,AR83-G83*MAX(0,AT83*AR83-(AO83+AP83)))))</f>
        <v>0</v>
      </c>
      <c r="AV83" s="20" t="n">
        <f aca="false">IF(AR83&lt;=0,0,IF(AT83&lt;=0,AU83,IF(AU83&lt;=(AO83+AP83)/AT83,AU83,(AU83-G83*(AO83+AP83))/(1-G83*AT83))))</f>
        <v>0</v>
      </c>
      <c r="AW83" s="20" t="n">
        <f aca="false">IF(AT83&gt;0,MAX(0,AO83-(MIN(AT83*AV83,(AO83+AP83))-MIN(MIN(AT83*AV83,(AO83+AP83)),AP83))),AO83)</f>
        <v>1270</v>
      </c>
      <c r="AX83" s="20" t="n">
        <f aca="false">IF(AT83&lt;=0,AP83-AT83*AV83,AP83-MIN(MIN(AT83*AV83,(AO83+AP83)),AP83))</f>
        <v>0</v>
      </c>
      <c r="AY83" s="20" t="n">
        <f aca="false">MD83</f>
        <v>1270</v>
      </c>
      <c r="AZ83" s="20" t="n">
        <f aca="false">PQ83</f>
        <v>0</v>
      </c>
      <c r="BA83" s="20" t="n">
        <f aca="false">IF(AL83&gt;0,MAX(0,AY83-(MIN(AL83*AJ83,AY83+AZ83)-MIN(MIN(AL83*AJ83,AY83+AZ83),AZ83))),AY83)</f>
        <v>1270</v>
      </c>
      <c r="BB83" s="20" t="n">
        <f aca="false">IF(AL83&lt;=0,AZ83-AL83*AJ83,AZ83-MIN(MIN(AL83*AJ83,AY83+AZ83),AZ83))</f>
        <v>0</v>
      </c>
      <c r="BC83" s="20" t="n">
        <f aca="false">'Plan cashflow'!UM83</f>
        <v>0</v>
      </c>
      <c r="BD83" s="20" t="n">
        <f aca="false">(1-H_Sh)*BC83</f>
        <v>0</v>
      </c>
      <c r="BE83" s="20" t="n">
        <f aca="false">H_Sh*BC83</f>
        <v>0</v>
      </c>
      <c r="BF83" s="60" t="n">
        <f aca="false">(AE83+BD83)*(1+AS_Cash)</f>
        <v>0</v>
      </c>
      <c r="BG83" s="60" t="n">
        <f aca="false">AF83*(1+AS_Cash)</f>
        <v>0</v>
      </c>
      <c r="BH83" s="60" t="n">
        <f aca="false">SUM(AKR83:AOD83)</f>
        <v>0</v>
      </c>
      <c r="BI83" s="60" t="n">
        <f aca="false">(AJ83-AN83)*(1+AS_Infl)</f>
        <v>0</v>
      </c>
      <c r="BJ83" s="20" t="n">
        <f aca="false">IF(AJ83&gt;0,AK83-AK83*AN83/AJ83,0)</f>
        <v>0</v>
      </c>
      <c r="BK83" s="60" t="n">
        <f aca="false">(AR83-AV83)*(1+BQ83)</f>
        <v>0</v>
      </c>
      <c r="BL83" s="20" t="n">
        <f aca="false">IF(AR83&gt;0,AS83-AS83*AV83/AR83,0)</f>
        <v>0</v>
      </c>
      <c r="BM83" s="60" t="n">
        <f aca="false">BF83+BG83+BH83+BI83+BK83</f>
        <v>0</v>
      </c>
      <c r="BN83" s="60" t="n">
        <f aca="false">(AH83-AG83)+(AN83-AM83)+(AV83-AU83)</f>
        <v>0</v>
      </c>
      <c r="BO83" s="20" t="n">
        <f aca="false">(AE83+BD83+AF83+MAX(0,'Plan cashflow'!QH83)+IF(Slot1_Rate=AS_Cash,'Plan cashflow'!QM83/(1+AS_Cash),0)+IF(Slot2_Rate=AS_Cash,'Plan cashflow'!QQ83/(1+AS_Cash),0)+IF(Slot3_Rate=AS_Cash,'Plan cashflow'!QU83/(1+AS_Cash),0)+IF(Slot4_Rate=AS_Cash,'Plan cashflow'!QY83/(1+AS_Cash),0)+IF(Slot5_Rate=AS_Cash,'Plan cashflow'!RC83/(1+AS_Cash),0)+IF(Slot6_Rate=AS_Cash,'Plan cashflow'!RG83/(1+AS_Cash),0)+IF(Slot7_Rate=AS_Cash,'Plan cashflow'!RK83/(1+AS_Cash),0)+IF(Slot8_Rate=AS_Cash,'Plan cashflow'!RO83/(1+AS_Cash),0)+IF(Slot9_Rate=AS_Cash,'Plan cashflow'!RS83/(1+AS_Cash),0)+IF(Slot10_Rate=AS_Cash,'Plan cashflow'!RW83/(1+AS_Cash),0)+IF(Slot11_Rate=AS_Cash,'Plan cashflow'!SA83/(1+AS_Cash),0)+IF(Slot12_Rate=AS_Cash,'Plan cashflow'!SE83/(1+AS_Cash),0)+IF(Slot13_Rate=AS_Cash,'Plan cashflow'!SI83/(1+AS_Cash),0)+IF(Slot14_Rate=AS_Cash,'Plan cashflow'!SM83/(1+AS_Cash),0)+IF(Slot15_Rate=AS_Cash,'Plan cashflow'!SQ83/(1+AS_Cash),0)+IF(Slot16_Rate=AS_Cash,'Plan cashflow'!SU83/(1+AS_Cash),0)+IF(Slot17_Rate=AS_Cash,'Plan cashflow'!SY83/(1+AS_Cash),0)+IF(Slot18_Rate=AS_Cash,'Plan cashflow'!TC83/(1+AS_Cash),0)+IF(Slot19_Rate=AS_Cash,'Plan cashflow'!TG83/(1+AS_Cash),0)+IF(Slot20_Rate=AS_Cash,'Plan cashflow'!TK83/(1+AS_Cash),0))*AS_Cash*H_DIRT/(1-H_DIRT)</f>
        <v>0</v>
      </c>
      <c r="BP83" s="60" t="n">
        <f aca="false">SUM(AVE83:AYQ83)</f>
        <v>0</v>
      </c>
      <c r="BQ83" s="54" t="n">
        <f aca="false">IF(H_TaxEvt=1,H_InvG,AS_Inv)</f>
        <v>0.04</v>
      </c>
      <c r="BR83" s="20" t="n">
        <f aca="false">IF(AKR82&gt;0,(AKR82-AOE82)/AKR82,0)</f>
        <v>0</v>
      </c>
      <c r="BS83" s="20" t="n">
        <f aca="false">IF(AKS82&gt;0,(AKS82-AOF82)/AKS82,0)</f>
        <v>0</v>
      </c>
      <c r="BT83" s="20" t="n">
        <f aca="false">IF(AKT82&gt;0,(AKT82-AOG82)/AKT82,0)</f>
        <v>0</v>
      </c>
      <c r="BU83" s="20" t="n">
        <f aca="false">IF(AKU82&gt;0,(AKU82-AOH82)/AKU82,0)</f>
        <v>0</v>
      </c>
      <c r="BV83" s="20" t="n">
        <f aca="false">IF(AKV82&gt;0,(AKV82-AOI82)/AKV82,0)</f>
        <v>0</v>
      </c>
      <c r="BW83" s="20" t="n">
        <f aca="false">IF(AKW82&gt;0,(AKW82-AOJ82)/AKW82,0)</f>
        <v>0</v>
      </c>
      <c r="BX83" s="20" t="n">
        <f aca="false">IF(AKX82&gt;0,(AKX82-AOK82)/AKX82,0)</f>
        <v>0</v>
      </c>
      <c r="BY83" s="20" t="n">
        <f aca="false">IF(AKY82&gt;0,(AKY82-AOL82)/AKY82,0)</f>
        <v>0</v>
      </c>
      <c r="BZ83" s="20" t="n">
        <f aca="false">IF(AKZ82&gt;0,(AKZ82-AOM82)/AKZ82,0)</f>
        <v>0</v>
      </c>
      <c r="CA83" s="20" t="n">
        <f aca="false">IF(ALA82&gt;0,(ALA82-AON82)/ALA82,0)</f>
        <v>0</v>
      </c>
      <c r="CB83" s="20" t="n">
        <f aca="false">IF(ALB82&gt;0,(ALB82-AOO82)/ALB82,0)</f>
        <v>0</v>
      </c>
      <c r="CC83" s="20" t="n">
        <f aca="false">IF(ALC82&gt;0,(ALC82-AOP82)/ALC82,0)</f>
        <v>0</v>
      </c>
      <c r="CD83" s="20" t="n">
        <f aca="false">IF(ALD82&gt;0,(ALD82-AOQ82)/ALD82,0)</f>
        <v>0</v>
      </c>
      <c r="CE83" s="20" t="n">
        <f aca="false">IF(ALE82&gt;0,(ALE82-AOR82)/ALE82,0)</f>
        <v>0</v>
      </c>
      <c r="CF83" s="20" t="n">
        <f aca="false">IF(ALF82&gt;0,(ALF82-AOS82)/ALF82,0)</f>
        <v>0</v>
      </c>
      <c r="CG83" s="20" t="n">
        <f aca="false">IF(ALG82&gt;0,(ALG82-AOT82)/ALG82,0)</f>
        <v>0</v>
      </c>
      <c r="CH83" s="20" t="n">
        <f aca="false">IF(ALH82&gt;0,(ALH82-AOU82)/ALH82,0)</f>
        <v>0</v>
      </c>
      <c r="CI83" s="20" t="n">
        <f aca="false">IF(ALI82&gt;0,(ALI82-AOV82)/ALI82,0)</f>
        <v>0</v>
      </c>
      <c r="CJ83" s="20" t="n">
        <f aca="false">IF(ALJ82&gt;0,(ALJ82-AOW82)/ALJ82,0)</f>
        <v>0</v>
      </c>
      <c r="CK83" s="20" t="n">
        <f aca="false">IF(ALK82&gt;0,(ALK82-AOX82)/ALK82,0)</f>
        <v>0</v>
      </c>
      <c r="CL83" s="20" t="n">
        <f aca="false">IF(ALL82&gt;0,(ALL82-AOY82)/ALL82,0)</f>
        <v>0</v>
      </c>
      <c r="CM83" s="20" t="n">
        <f aca="false">IF(ALM82&gt;0,(ALM82-AOZ82)/ALM82,0)</f>
        <v>0</v>
      </c>
      <c r="CN83" s="20" t="n">
        <f aca="false">IF(ALN82&gt;0,(ALN82-APA82)/ALN82,0)</f>
        <v>0</v>
      </c>
      <c r="CO83" s="20" t="n">
        <f aca="false">IF(ALO82&gt;0,(ALO82-APB82)/ALO82,0)</f>
        <v>0</v>
      </c>
      <c r="CP83" s="20" t="n">
        <f aca="false">IF(ALP82&gt;0,(ALP82-APC82)/ALP82,0)</f>
        <v>0</v>
      </c>
      <c r="CQ83" s="20" t="n">
        <f aca="false">IF(ALQ82&gt;0,(ALQ82-APD82)/ALQ82,0)</f>
        <v>0</v>
      </c>
      <c r="CR83" s="20" t="n">
        <f aca="false">IF(ALR82&gt;0,(ALR82-APE82)/ALR82,0)</f>
        <v>0</v>
      </c>
      <c r="CS83" s="20" t="n">
        <f aca="false">IF(ALS82&gt;0,(ALS82-APF82)/ALS82,0)</f>
        <v>0</v>
      </c>
      <c r="CT83" s="20" t="n">
        <f aca="false">IF(ALT82&gt;0,(ALT82-APG82)/ALT82,0)</f>
        <v>0</v>
      </c>
      <c r="CU83" s="20" t="n">
        <f aca="false">IF(ALU82&gt;0,(ALU82-APH82)/ALU82,0)</f>
        <v>0</v>
      </c>
      <c r="CV83" s="20" t="n">
        <f aca="false">IF(ALV82&gt;0,(ALV82-API82)/ALV82,0)</f>
        <v>0</v>
      </c>
      <c r="CW83" s="20" t="n">
        <f aca="false">IF(ALW82&gt;0,(ALW82-APJ82)/ALW82,0)</f>
        <v>0</v>
      </c>
      <c r="CX83" s="20" t="n">
        <f aca="false">IF(ALX82&gt;0,(ALX82-APK82)/ALX82,0)</f>
        <v>0</v>
      </c>
      <c r="CY83" s="20" t="n">
        <f aca="false">IF(ALY82&gt;0,(ALY82-APL82)/ALY82,0)</f>
        <v>0</v>
      </c>
      <c r="CZ83" s="20" t="n">
        <f aca="false">IF(ALZ82&gt;0,(ALZ82-APM82)/ALZ82,0)</f>
        <v>0</v>
      </c>
      <c r="DA83" s="20" t="n">
        <f aca="false">IF(AMA82&gt;0,(AMA82-APN82)/AMA82,0)</f>
        <v>0</v>
      </c>
      <c r="DB83" s="20" t="n">
        <f aca="false">IF(AMB82&gt;0,(AMB82-APO82)/AMB82,0)</f>
        <v>0</v>
      </c>
      <c r="DC83" s="20" t="n">
        <f aca="false">IF(AMC82&gt;0,(AMC82-APP82)/AMC82,0)</f>
        <v>0</v>
      </c>
      <c r="DD83" s="20" t="n">
        <f aca="false">IF(AMD82&gt;0,(AMD82-APQ82)/AMD82,0)</f>
        <v>0</v>
      </c>
      <c r="DE83" s="20" t="n">
        <f aca="false">IF(AME82&gt;0,(AME82-APR82)/AME82,0)</f>
        <v>0</v>
      </c>
      <c r="DF83" s="20" t="n">
        <f aca="false">IF(AMF82&gt;0,(AMF82-APS82)/AMF82,0)</f>
        <v>0</v>
      </c>
      <c r="DG83" s="20" t="n">
        <f aca="false">IF(AMG82&gt;0,(AMG82-APT82)/AMG82,0)</f>
        <v>0</v>
      </c>
      <c r="DH83" s="20" t="n">
        <f aca="false">IF(AMH82&gt;0,(AMH82-APU82)/AMH82,0)</f>
        <v>0</v>
      </c>
      <c r="DI83" s="20" t="n">
        <f aca="false">IF(AMI82&gt;0,(AMI82-APV82)/AMI82,0)</f>
        <v>0</v>
      </c>
      <c r="DJ83" s="20" t="n">
        <f aca="false">IF(AMJ82&gt;0,(AMJ82-APW82)/AMJ82,0)</f>
        <v>0</v>
      </c>
      <c r="DK83" s="20" t="n">
        <f aca="false">IF(AMK82&gt;0,(AMK82-APX82)/AMK82,0)</f>
        <v>0</v>
      </c>
      <c r="DL83" s="20" t="n">
        <f aca="false">IF(AML82&gt;0,(AML82-APY82)/AML82,0)</f>
        <v>0</v>
      </c>
      <c r="DM83" s="20" t="n">
        <f aca="false">IF(AMM82&gt;0,(AMM82-APZ82)/AMM82,0)</f>
        <v>0</v>
      </c>
      <c r="DN83" s="20" t="n">
        <f aca="false">IF(AMN82&gt;0,(AMN82-AQA82)/AMN82,0)</f>
        <v>0</v>
      </c>
      <c r="DO83" s="20" t="n">
        <f aca="false">IF(AMO82&gt;0,(AMO82-AQB82)/AMO82,0)</f>
        <v>0</v>
      </c>
      <c r="DP83" s="20" t="n">
        <f aca="false">IF(AMP82&gt;0,(AMP82-AQC82)/AMP82,0)</f>
        <v>0</v>
      </c>
      <c r="DQ83" s="20" t="n">
        <f aca="false">IF(AMQ82&gt;0,(AMQ82-AQD82)/AMQ82,0)</f>
        <v>0</v>
      </c>
      <c r="DR83" s="20" t="n">
        <f aca="false">IF(AMR82&gt;0,(AMR82-AQE82)/AMR82,0)</f>
        <v>0</v>
      </c>
      <c r="DS83" s="20" t="n">
        <f aca="false">IF(AMS82&gt;0,(AMS82-AQF82)/AMS82,0)</f>
        <v>0</v>
      </c>
      <c r="DT83" s="20" t="n">
        <f aca="false">IF(AMT82&gt;0,(AMT82-AQG82)/AMT82,0)</f>
        <v>0</v>
      </c>
      <c r="DU83" s="20" t="n">
        <f aca="false">IF(AMU82&gt;0,(AMU82-AQH82)/AMU82,0)</f>
        <v>0</v>
      </c>
      <c r="DV83" s="20" t="n">
        <f aca="false">IF(AMV82&gt;0,(AMV82-AQI82)/AMV82,0)</f>
        <v>0</v>
      </c>
      <c r="DW83" s="20" t="n">
        <f aca="false">IF(AMW82&gt;0,(AMW82-AQJ82)/AMW82,0)</f>
        <v>0</v>
      </c>
      <c r="DX83" s="20" t="n">
        <f aca="false">IF(AMX82&gt;0,(AMX82-AQK82)/AMX82,0)</f>
        <v>0</v>
      </c>
      <c r="DY83" s="20" t="n">
        <f aca="false">IF(AMY82&gt;0,(AMY82-AQL82)/AMY82,0)</f>
        <v>0</v>
      </c>
      <c r="DZ83" s="20" t="n">
        <f aca="false">IF(AMZ82&gt;0,(AMZ82-AQM82)/AMZ82,0)</f>
        <v>0</v>
      </c>
      <c r="EA83" s="20" t="n">
        <f aca="false">IF(ANA82&gt;0,(ANA82-AQN82)/ANA82,0)</f>
        <v>0</v>
      </c>
      <c r="EB83" s="20" t="n">
        <f aca="false">IF(ANB82&gt;0,(ANB82-AQO82)/ANB82,0)</f>
        <v>0</v>
      </c>
      <c r="EC83" s="20" t="n">
        <f aca="false">IF(ANC82&gt;0,(ANC82-AQP82)/ANC82,0)</f>
        <v>0</v>
      </c>
      <c r="ED83" s="20" t="n">
        <f aca="false">IF(AND82&gt;0,(AND82-AQQ82)/AND82,0)</f>
        <v>0</v>
      </c>
      <c r="EE83" s="20" t="n">
        <f aca="false">IF(ANE82&gt;0,(ANE82-AQR82)/ANE82,0)</f>
        <v>0</v>
      </c>
      <c r="EF83" s="20" t="n">
        <f aca="false">IF(ANF82&gt;0,(ANF82-AQS82)/ANF82,0)</f>
        <v>0</v>
      </c>
      <c r="EG83" s="20" t="n">
        <f aca="false">IF(ANG82&gt;0,(ANG82-AQT82)/ANG82,0)</f>
        <v>0</v>
      </c>
      <c r="EH83" s="20" t="n">
        <f aca="false">IF(ANH82&gt;0,(ANH82-AQU82)/ANH82,0)</f>
        <v>0</v>
      </c>
      <c r="EI83" s="20" t="n">
        <f aca="false">IF(ANI82&gt;0,(ANI82-AQV82)/ANI82,0)</f>
        <v>0</v>
      </c>
      <c r="EJ83" s="20" t="n">
        <f aca="false">IF(ANJ82&gt;0,(ANJ82-AQW82)/ANJ82,0)</f>
        <v>0</v>
      </c>
      <c r="EK83" s="20" t="n">
        <f aca="false">IF(ANK82&gt;0,(ANK82-AQX82)/ANK82,0)</f>
        <v>0</v>
      </c>
      <c r="EL83" s="20" t="n">
        <f aca="false">IF(ANL82&gt;0,(ANL82-AQY82)/ANL82,0)</f>
        <v>0</v>
      </c>
      <c r="EM83" s="20" t="n">
        <f aca="false">IF(ANM82&gt;0,(ANM82-AQZ82)/ANM82,0)</f>
        <v>0</v>
      </c>
      <c r="EN83" s="20" t="n">
        <f aca="false">IF(ANN82&gt;0,(ANN82-ARA82)/ANN82,0)</f>
        <v>0</v>
      </c>
      <c r="EO83" s="20" t="n">
        <f aca="false">IF(ANO82&gt;0,(ANO82-ARB82)/ANO82,0)</f>
        <v>0</v>
      </c>
      <c r="EP83" s="20" t="n">
        <f aca="false">IF((P83+S83)&gt;0,((P83+S83)-(P83+S83))/(P83+S83),0)</f>
        <v>0</v>
      </c>
      <c r="EQ83" s="20" t="n">
        <v>0</v>
      </c>
      <c r="ER83" s="20" t="n">
        <v>0</v>
      </c>
      <c r="ES83" s="20" t="n">
        <v>0</v>
      </c>
      <c r="ET83" s="20" t="n">
        <v>0</v>
      </c>
      <c r="EU83" s="20" t="n">
        <v>0</v>
      </c>
      <c r="EV83" s="20" t="n">
        <v>0</v>
      </c>
      <c r="EW83" s="20" t="n">
        <v>0</v>
      </c>
      <c r="EX83" s="20" t="n">
        <v>0</v>
      </c>
      <c r="EY83" s="20" t="n">
        <v>0</v>
      </c>
      <c r="EZ83" s="20" t="n">
        <v>0</v>
      </c>
      <c r="FA83" s="20" t="n">
        <v>0</v>
      </c>
      <c r="FB83" s="20" t="n">
        <v>0</v>
      </c>
      <c r="FC83" s="20" t="n">
        <v>0</v>
      </c>
      <c r="FD83" s="20" t="n">
        <v>0</v>
      </c>
      <c r="FE83" s="20" t="n">
        <f aca="false">IF(H_Direct=1,IF(AKR82&lt;=0,0,IF(BR83&lt;=0,AKR82,AKR82-G83*MAX(0,BR83*AKR82-(H83+I83)))),AKR82*(1-MAX(0,BR83)*H_Exit))</f>
        <v>0</v>
      </c>
      <c r="FF83" s="20" t="n">
        <f aca="false">IF(H_Direct=1,IF(AKS82&lt;=0,0,IF(BS83&lt;=0,AKS82,AKS82-G83*MAX(0,BS83*AKS82-(IR83+ME83)))),AKS82*(1-MAX(0,BS83)*H_Exit))</f>
        <v>0</v>
      </c>
      <c r="FG83" s="20" t="n">
        <f aca="false">IF(H_Direct=1,IF(AKT82&lt;=0,0,IF(BT83&lt;=0,AKT82,AKT82-G83*MAX(0,BT83*AKT82-(IS83+MF83)))),AKT82*(1-MAX(0,BT83)*H_Exit))</f>
        <v>0</v>
      </c>
      <c r="FH83" s="20" t="n">
        <f aca="false">IF(H_Direct=1,IF(AKU82&lt;=0,0,IF(BU83&lt;=0,AKU82,AKU82-G83*MAX(0,BU83*AKU82-(IT83+MG83)))),AKU82*(1-MAX(0,BU83)*H_Exit))</f>
        <v>0</v>
      </c>
      <c r="FI83" s="20" t="n">
        <f aca="false">IF(H_Direct=1,IF(AKV82&lt;=0,0,IF(BV83&lt;=0,AKV82,AKV82-G83*MAX(0,BV83*AKV82-(IU83+MH83)))),AKV82*(1-MAX(0,BV83)*H_Exit))</f>
        <v>0</v>
      </c>
      <c r="FJ83" s="20" t="n">
        <f aca="false">IF(H_Direct=1,IF(AKW82&lt;=0,0,IF(BW83&lt;=0,AKW82,AKW82-G83*MAX(0,BW83*AKW82-(IV83+MI83)))),AKW82*(1-MAX(0,BW83)*H_Exit))</f>
        <v>0</v>
      </c>
      <c r="FK83" s="20" t="n">
        <f aca="false">IF(H_Direct=1,IF(AKX82&lt;=0,0,IF(BX83&lt;=0,AKX82,AKX82-G83*MAX(0,BX83*AKX82-(IW83+MJ83)))),AKX82*(1-MAX(0,BX83)*H_Exit))</f>
        <v>0</v>
      </c>
      <c r="FL83" s="20" t="n">
        <f aca="false">IF(H_Direct=1,IF(AKY82&lt;=0,0,IF(BY83&lt;=0,AKY82,AKY82-G83*MAX(0,BY83*AKY82-(IX83+MK83)))),AKY82*(1-MAX(0,BY83)*H_Exit))</f>
        <v>0</v>
      </c>
      <c r="FM83" s="20" t="n">
        <f aca="false">IF(H_Direct=1,IF(AKZ82&lt;=0,0,IF(BZ83&lt;=0,AKZ82,AKZ82-G83*MAX(0,BZ83*AKZ82-(IY83+ML83)))),AKZ82*(1-MAX(0,BZ83)*H_Exit))</f>
        <v>0</v>
      </c>
      <c r="FN83" s="20" t="n">
        <f aca="false">IF(H_Direct=1,IF(ALA82&lt;=0,0,IF(CA83&lt;=0,ALA82,ALA82-G83*MAX(0,CA83*ALA82-(IZ83+MM83)))),ALA82*(1-MAX(0,CA83)*H_Exit))</f>
        <v>0</v>
      </c>
      <c r="FO83" s="20" t="n">
        <f aca="false">IF(H_Direct=1,IF(ALB82&lt;=0,0,IF(CB83&lt;=0,ALB82,ALB82-G83*MAX(0,CB83*ALB82-(JA83+MN83)))),ALB82*(1-MAX(0,CB83)*H_Exit))</f>
        <v>0</v>
      </c>
      <c r="FP83" s="20" t="n">
        <f aca="false">IF(H_Direct=1,IF(ALC82&lt;=0,0,IF(CC83&lt;=0,ALC82,ALC82-G83*MAX(0,CC83*ALC82-(JB83+MO83)))),ALC82*(1-MAX(0,CC83)*H_Exit))</f>
        <v>0</v>
      </c>
      <c r="FQ83" s="20" t="n">
        <f aca="false">IF(H_Direct=1,IF(ALD82&lt;=0,0,IF(CD83&lt;=0,ALD82,ALD82-G83*MAX(0,CD83*ALD82-(JC83+MP83)))),ALD82*(1-MAX(0,CD83)*H_Exit))</f>
        <v>0</v>
      </c>
      <c r="FR83" s="20" t="n">
        <f aca="false">IF(H_Direct=1,IF(ALE82&lt;=0,0,IF(CE83&lt;=0,ALE82,ALE82-G83*MAX(0,CE83*ALE82-(JD83+MQ83)))),ALE82*(1-MAX(0,CE83)*H_Exit))</f>
        <v>0</v>
      </c>
      <c r="FS83" s="20" t="n">
        <f aca="false">IF(H_Direct=1,IF(ALF82&lt;=0,0,IF(CF83&lt;=0,ALF82,ALF82-G83*MAX(0,CF83*ALF82-(JE83+MR83)))),ALF82*(1-MAX(0,CF83)*H_Exit))</f>
        <v>0</v>
      </c>
      <c r="FT83" s="20" t="n">
        <f aca="false">IF(H_Direct=1,IF(ALG82&lt;=0,0,IF(CG83&lt;=0,ALG82,ALG82-G83*MAX(0,CG83*ALG82-(JF83+MS83)))),ALG82*(1-MAX(0,CG83)*H_Exit))</f>
        <v>0</v>
      </c>
      <c r="FU83" s="20" t="n">
        <f aca="false">IF(H_Direct=1,IF(ALH82&lt;=0,0,IF(CH83&lt;=0,ALH82,ALH82-G83*MAX(0,CH83*ALH82-(JG83+MT83)))),ALH82*(1-MAX(0,CH83)*H_Exit))</f>
        <v>0</v>
      </c>
      <c r="FV83" s="20" t="n">
        <f aca="false">IF(H_Direct=1,IF(ALI82&lt;=0,0,IF(CI83&lt;=0,ALI82,ALI82-G83*MAX(0,CI83*ALI82-(JH83+MU83)))),ALI82*(1-MAX(0,CI83)*H_Exit))</f>
        <v>0</v>
      </c>
      <c r="FW83" s="20" t="n">
        <f aca="false">IF(H_Direct=1,IF(ALJ82&lt;=0,0,IF(CJ83&lt;=0,ALJ82,ALJ82-G83*MAX(0,CJ83*ALJ82-(JI83+MV83)))),ALJ82*(1-MAX(0,CJ83)*H_Exit))</f>
        <v>0</v>
      </c>
      <c r="FX83" s="20" t="n">
        <f aca="false">IF(H_Direct=1,IF(ALK82&lt;=0,0,IF(CK83&lt;=0,ALK82,ALK82-G83*MAX(0,CK83*ALK82-(JJ83+MW83)))),ALK82*(1-MAX(0,CK83)*H_Exit))</f>
        <v>0</v>
      </c>
      <c r="FY83" s="20" t="n">
        <f aca="false">IF(H_Direct=1,IF(ALL82&lt;=0,0,IF(CL83&lt;=0,ALL82,ALL82-G83*MAX(0,CL83*ALL82-(JK83+MX83)))),ALL82*(1-MAX(0,CL83)*H_Exit))</f>
        <v>0</v>
      </c>
      <c r="FZ83" s="20" t="n">
        <f aca="false">IF(H_Direct=1,IF(ALM82&lt;=0,0,IF(CM83&lt;=0,ALM82,ALM82-G83*MAX(0,CM83*ALM82-(JL83+MY83)))),ALM82*(1-MAX(0,CM83)*H_Exit))</f>
        <v>0</v>
      </c>
      <c r="GA83" s="20" t="n">
        <f aca="false">IF(H_Direct=1,IF(ALN82&lt;=0,0,IF(CN83&lt;=0,ALN82,ALN82-G83*MAX(0,CN83*ALN82-(JM83+MZ83)))),ALN82*(1-MAX(0,CN83)*H_Exit))</f>
        <v>0</v>
      </c>
      <c r="GB83" s="20" t="n">
        <f aca="false">IF(H_Direct=1,IF(ALO82&lt;=0,0,IF(CO83&lt;=0,ALO82,ALO82-G83*MAX(0,CO83*ALO82-(JN83+NA83)))),ALO82*(1-MAX(0,CO83)*H_Exit))</f>
        <v>0</v>
      </c>
      <c r="GC83" s="20" t="n">
        <f aca="false">IF(H_Direct=1,IF(ALP82&lt;=0,0,IF(CP83&lt;=0,ALP82,ALP82-G83*MAX(0,CP83*ALP82-(JO83+NB83)))),ALP82*(1-MAX(0,CP83)*H_Exit))</f>
        <v>0</v>
      </c>
      <c r="GD83" s="20" t="n">
        <f aca="false">IF(H_Direct=1,IF(ALQ82&lt;=0,0,IF(CQ83&lt;=0,ALQ82,ALQ82-G83*MAX(0,CQ83*ALQ82-(JP83+NC83)))),ALQ82*(1-MAX(0,CQ83)*H_Exit))</f>
        <v>0</v>
      </c>
      <c r="GE83" s="20" t="n">
        <f aca="false">IF(H_Direct=1,IF(ALR82&lt;=0,0,IF(CR83&lt;=0,ALR82,ALR82-G83*MAX(0,CR83*ALR82-(JQ83+ND83)))),ALR82*(1-MAX(0,CR83)*H_Exit))</f>
        <v>0</v>
      </c>
      <c r="GF83" s="20" t="n">
        <f aca="false">IF(H_Direct=1,IF(ALS82&lt;=0,0,IF(CS83&lt;=0,ALS82,ALS82-G83*MAX(0,CS83*ALS82-(JR83+NE83)))),ALS82*(1-MAX(0,CS83)*H_Exit))</f>
        <v>0</v>
      </c>
      <c r="GG83" s="20" t="n">
        <f aca="false">IF(H_Direct=1,IF(ALT82&lt;=0,0,IF(CT83&lt;=0,ALT82,ALT82-G83*MAX(0,CT83*ALT82-(JS83+NF83)))),ALT82*(1-MAX(0,CT83)*H_Exit))</f>
        <v>0</v>
      </c>
      <c r="GH83" s="20" t="n">
        <f aca="false">IF(H_Direct=1,IF(ALU82&lt;=0,0,IF(CU83&lt;=0,ALU82,ALU82-G83*MAX(0,CU83*ALU82-(JT83+NG83)))),ALU82*(1-MAX(0,CU83)*H_Exit))</f>
        <v>0</v>
      </c>
      <c r="GI83" s="20" t="n">
        <f aca="false">IF(H_Direct=1,IF(ALV82&lt;=0,0,IF(CV83&lt;=0,ALV82,ALV82-G83*MAX(0,CV83*ALV82-(JU83+NH83)))),ALV82*(1-MAX(0,CV83)*H_Exit))</f>
        <v>0</v>
      </c>
      <c r="GJ83" s="20" t="n">
        <f aca="false">IF(H_Direct=1,IF(ALW82&lt;=0,0,IF(CW83&lt;=0,ALW82,ALW82-G83*MAX(0,CW83*ALW82-(JV83+NI83)))),ALW82*(1-MAX(0,CW83)*H_Exit))</f>
        <v>0</v>
      </c>
      <c r="GK83" s="20" t="n">
        <f aca="false">IF(H_Direct=1,IF(ALX82&lt;=0,0,IF(CX83&lt;=0,ALX82,ALX82-G83*MAX(0,CX83*ALX82-(JW83+NJ83)))),ALX82*(1-MAX(0,CX83)*H_Exit))</f>
        <v>0</v>
      </c>
      <c r="GL83" s="20" t="n">
        <f aca="false">IF(H_Direct=1,IF(ALY82&lt;=0,0,IF(CY83&lt;=0,ALY82,ALY82-G83*MAX(0,CY83*ALY82-(JX83+NK83)))),ALY82*(1-MAX(0,CY83)*H_Exit))</f>
        <v>0</v>
      </c>
      <c r="GM83" s="20" t="n">
        <f aca="false">IF(H_Direct=1,IF(ALZ82&lt;=0,0,IF(CZ83&lt;=0,ALZ82,ALZ82-G83*MAX(0,CZ83*ALZ82-(JY83+NL83)))),ALZ82*(1-MAX(0,CZ83)*H_Exit))</f>
        <v>0</v>
      </c>
      <c r="GN83" s="20" t="n">
        <f aca="false">IF(H_Direct=1,IF(AMA82&lt;=0,0,IF(DA83&lt;=0,AMA82,AMA82-G83*MAX(0,DA83*AMA82-(JZ83+NM83)))),AMA82*(1-MAX(0,DA83)*H_Exit))</f>
        <v>0</v>
      </c>
      <c r="GO83" s="20" t="n">
        <f aca="false">IF(H_Direct=1,IF(AMB82&lt;=0,0,IF(DB83&lt;=0,AMB82,AMB82-G83*MAX(0,DB83*AMB82-(KA83+NN83)))),AMB82*(1-MAX(0,DB83)*H_Exit))</f>
        <v>0</v>
      </c>
      <c r="GP83" s="20" t="n">
        <f aca="false">IF(H_Direct=1,IF(AMC82&lt;=0,0,IF(DC83&lt;=0,AMC82,AMC82-G83*MAX(0,DC83*AMC82-(KB83+NO83)))),AMC82*(1-MAX(0,DC83)*H_Exit))</f>
        <v>0</v>
      </c>
      <c r="GQ83" s="20" t="n">
        <f aca="false">IF(H_Direct=1,IF(AMD82&lt;=0,0,IF(DD83&lt;=0,AMD82,AMD82-G83*MAX(0,DD83*AMD82-(KC83+NP83)))),AMD82*(1-MAX(0,DD83)*H_Exit))</f>
        <v>0</v>
      </c>
      <c r="GR83" s="20" t="n">
        <f aca="false">IF(H_Direct=1,IF(AME82&lt;=0,0,IF(DE83&lt;=0,AME82,AME82-G83*MAX(0,DE83*AME82-(KD83+NQ83)))),AME82*(1-MAX(0,DE83)*H_Exit))</f>
        <v>0</v>
      </c>
      <c r="GS83" s="20" t="n">
        <f aca="false">IF(H_Direct=1,IF(AMF82&lt;=0,0,IF(DF83&lt;=0,AMF82,AMF82-G83*MAX(0,DF83*AMF82-(KE83+NR83)))),AMF82*(1-MAX(0,DF83)*H_Exit))</f>
        <v>0</v>
      </c>
      <c r="GT83" s="20" t="n">
        <f aca="false">IF(H_Direct=1,IF(AMG82&lt;=0,0,IF(DG83&lt;=0,AMG82,AMG82-G83*MAX(0,DG83*AMG82-(KF83+NS83)))),AMG82*(1-MAX(0,DG83)*H_Exit))</f>
        <v>0</v>
      </c>
      <c r="GU83" s="20" t="n">
        <f aca="false">IF(H_Direct=1,IF(AMH82&lt;=0,0,IF(DH83&lt;=0,AMH82,AMH82-G83*MAX(0,DH83*AMH82-(KG83+NT83)))),AMH82*(1-MAX(0,DH83)*H_Exit))</f>
        <v>0</v>
      </c>
      <c r="GV83" s="20" t="n">
        <f aca="false">IF(H_Direct=1,IF(AMI82&lt;=0,0,IF(DI83&lt;=0,AMI82,AMI82-G83*MAX(0,DI83*AMI82-(KH83+NU83)))),AMI82*(1-MAX(0,DI83)*H_Exit))</f>
        <v>0</v>
      </c>
      <c r="GW83" s="20" t="n">
        <f aca="false">IF(H_Direct=1,IF(AMJ82&lt;=0,0,IF(DJ83&lt;=0,AMJ82,AMJ82-G83*MAX(0,DJ83*AMJ82-(KI83+NV83)))),AMJ82*(1-MAX(0,DJ83)*H_Exit))</f>
        <v>0</v>
      </c>
      <c r="GX83" s="20" t="n">
        <f aca="false">IF(H_Direct=1,IF(AMK82&lt;=0,0,IF(DK83&lt;=0,AMK82,AMK82-G83*MAX(0,DK83*AMK82-(KJ83+NW83)))),AMK82*(1-MAX(0,DK83)*H_Exit))</f>
        <v>0</v>
      </c>
      <c r="GY83" s="20" t="n">
        <f aca="false">IF(H_Direct=1,IF(AML82&lt;=0,0,IF(DL83&lt;=0,AML82,AML82-G83*MAX(0,DL83*AML82-(KK83+NX83)))),AML82*(1-MAX(0,DL83)*H_Exit))</f>
        <v>0</v>
      </c>
      <c r="GZ83" s="20" t="n">
        <f aca="false">IF(H_Direct=1,IF(AMM82&lt;=0,0,IF(DM83&lt;=0,AMM82,AMM82-G83*MAX(0,DM83*AMM82-(KL83+NY83)))),AMM82*(1-MAX(0,DM83)*H_Exit))</f>
        <v>0</v>
      </c>
      <c r="HA83" s="20" t="n">
        <f aca="false">IF(H_Direct=1,IF(AMN82&lt;=0,0,IF(DN83&lt;=0,AMN82,AMN82-G83*MAX(0,DN83*AMN82-(KM83+NZ83)))),AMN82*(1-MAX(0,DN83)*H_Exit))</f>
        <v>0</v>
      </c>
      <c r="HB83" s="20" t="n">
        <f aca="false">IF(H_Direct=1,IF(AMO82&lt;=0,0,IF(DO83&lt;=0,AMO82,AMO82-G83*MAX(0,DO83*AMO82-(KN83+OA83)))),AMO82*(1-MAX(0,DO83)*H_Exit))</f>
        <v>0</v>
      </c>
      <c r="HC83" s="20" t="n">
        <f aca="false">IF(H_Direct=1,IF(AMP82&lt;=0,0,IF(DP83&lt;=0,AMP82,AMP82-G83*MAX(0,DP83*AMP82-(KO83+OB83)))),AMP82*(1-MAX(0,DP83)*H_Exit))</f>
        <v>0</v>
      </c>
      <c r="HD83" s="20" t="n">
        <f aca="false">IF(H_Direct=1,IF(AMQ82&lt;=0,0,IF(DQ83&lt;=0,AMQ82,AMQ82-G83*MAX(0,DQ83*AMQ82-(KP83+OC83)))),AMQ82*(1-MAX(0,DQ83)*H_Exit))</f>
        <v>0</v>
      </c>
      <c r="HE83" s="20" t="n">
        <f aca="false">IF(H_Direct=1,IF(AMR82&lt;=0,0,IF(DR83&lt;=0,AMR82,AMR82-G83*MAX(0,DR83*AMR82-(KQ83+OD83)))),AMR82*(1-MAX(0,DR83)*H_Exit))</f>
        <v>0</v>
      </c>
      <c r="HF83" s="20" t="n">
        <f aca="false">IF(H_Direct=1,IF(AMS82&lt;=0,0,IF(DS83&lt;=0,AMS82,AMS82-G83*MAX(0,DS83*AMS82-(KR83+OE83)))),AMS82*(1-MAX(0,DS83)*H_Exit))</f>
        <v>0</v>
      </c>
      <c r="HG83" s="20" t="n">
        <f aca="false">IF(H_Direct=1,IF(AMT82&lt;=0,0,IF(DT83&lt;=0,AMT82,AMT82-G83*MAX(0,DT83*AMT82-(KS83+OF83)))),AMT82*(1-MAX(0,DT83)*H_Exit))</f>
        <v>0</v>
      </c>
      <c r="HH83" s="20" t="n">
        <f aca="false">IF(H_Direct=1,IF(AMU82&lt;=0,0,IF(DU83&lt;=0,AMU82,AMU82-G83*MAX(0,DU83*AMU82-(KT83+OG83)))),AMU82*(1-MAX(0,DU83)*H_Exit))</f>
        <v>0</v>
      </c>
      <c r="HI83" s="20" t="n">
        <f aca="false">IF(H_Direct=1,IF(AMV82&lt;=0,0,IF(DV83&lt;=0,AMV82,AMV82-G83*MAX(0,DV83*AMV82-(KU83+OH83)))),AMV82*(1-MAX(0,DV83)*H_Exit))</f>
        <v>0</v>
      </c>
      <c r="HJ83" s="20" t="n">
        <f aca="false">IF(H_Direct=1,IF(AMW82&lt;=0,0,IF(DW83&lt;=0,AMW82,AMW82-G83*MAX(0,DW83*AMW82-(KV83+OI83)))),AMW82*(1-MAX(0,DW83)*H_Exit))</f>
        <v>0</v>
      </c>
      <c r="HK83" s="20" t="n">
        <f aca="false">IF(H_Direct=1,IF(AMX82&lt;=0,0,IF(DX83&lt;=0,AMX82,AMX82-G83*MAX(0,DX83*AMX82-(KW83+OJ83)))),AMX82*(1-MAX(0,DX83)*H_Exit))</f>
        <v>0</v>
      </c>
      <c r="HL83" s="20" t="n">
        <f aca="false">IF(H_Direct=1,IF(AMY82&lt;=0,0,IF(DY83&lt;=0,AMY82,AMY82-G83*MAX(0,DY83*AMY82-(KX83+OK83)))),AMY82*(1-MAX(0,DY83)*H_Exit))</f>
        <v>0</v>
      </c>
      <c r="HM83" s="20" t="n">
        <f aca="false">IF(H_Direct=1,IF(AMZ82&lt;=0,0,IF(DZ83&lt;=0,AMZ82,AMZ82-G83*MAX(0,DZ83*AMZ82-(KY83+OL83)))),AMZ82*(1-MAX(0,DZ83)*H_Exit))</f>
        <v>0</v>
      </c>
      <c r="HN83" s="20" t="n">
        <f aca="false">IF(H_Direct=1,IF(ANA82&lt;=0,0,IF(EA83&lt;=0,ANA82,ANA82-G83*MAX(0,EA83*ANA82-(KZ83+OM83)))),ANA82*(1-MAX(0,EA83)*H_Exit))</f>
        <v>0</v>
      </c>
      <c r="HO83" s="20" t="n">
        <f aca="false">IF(H_Direct=1,IF(ANB82&lt;=0,0,IF(EB83&lt;=0,ANB82,ANB82-G83*MAX(0,EB83*ANB82-(LA83+ON83)))),ANB82*(1-MAX(0,EB83)*H_Exit))</f>
        <v>0</v>
      </c>
      <c r="HP83" s="20" t="n">
        <f aca="false">IF(H_Direct=1,IF(ANC82&lt;=0,0,IF(EC83&lt;=0,ANC82,ANC82-G83*MAX(0,EC83*ANC82-(LB83+OO83)))),ANC82*(1-MAX(0,EC83)*H_Exit))</f>
        <v>0</v>
      </c>
      <c r="HQ83" s="20" t="n">
        <f aca="false">IF(H_Direct=1,IF(AND82&lt;=0,0,IF(ED83&lt;=0,AND82,AND82-G83*MAX(0,ED83*AND82-(LC83+OP83)))),AND82*(1-MAX(0,ED83)*H_Exit))</f>
        <v>0</v>
      </c>
      <c r="HR83" s="20" t="n">
        <f aca="false">IF(H_Direct=1,IF(ANE82&lt;=0,0,IF(EE83&lt;=0,ANE82,ANE82-G83*MAX(0,EE83*ANE82-(LD83+OQ83)))),ANE82*(1-MAX(0,EE83)*H_Exit))</f>
        <v>0</v>
      </c>
      <c r="HS83" s="20" t="n">
        <f aca="false">IF(H_Direct=1,IF(ANF82&lt;=0,0,IF(EF83&lt;=0,ANF82,ANF82-G83*MAX(0,EF83*ANF82-(LE83+OR83)))),ANF82*(1-MAX(0,EF83)*H_Exit))</f>
        <v>0</v>
      </c>
      <c r="HT83" s="20" t="n">
        <f aca="false">IF(H_Direct=1,IF(ANG82&lt;=0,0,IF(EG83&lt;=0,ANG82,ANG82-G83*MAX(0,EG83*ANG82-(LF83+OS83)))),ANG82*(1-MAX(0,EG83)*H_Exit))</f>
        <v>0</v>
      </c>
      <c r="HU83" s="20" t="n">
        <f aca="false">IF(H_Direct=1,IF(ANH82&lt;=0,0,IF(EH83&lt;=0,ANH82,ANH82-G83*MAX(0,EH83*ANH82-(LG83+OT83)))),ANH82*(1-MAX(0,EH83)*H_Exit))</f>
        <v>0</v>
      </c>
      <c r="HV83" s="20" t="n">
        <f aca="false">IF(H_Direct=1,IF(ANI82&lt;=0,0,IF(EI83&lt;=0,ANI82,ANI82-G83*MAX(0,EI83*ANI82-(LH83+OU83)))),ANI82*(1-MAX(0,EI83)*H_Exit))</f>
        <v>0</v>
      </c>
      <c r="HW83" s="20" t="n">
        <f aca="false">IF(H_Direct=1,IF(ANJ82&lt;=0,0,IF(EJ83&lt;=0,ANJ82,ANJ82-G83*MAX(0,EJ83*ANJ82-(LI83+OV83)))),ANJ82*(1-MAX(0,EJ83)*H_Exit))</f>
        <v>0</v>
      </c>
      <c r="HX83" s="20" t="n">
        <f aca="false">IF(H_Direct=1,IF(ANK82&lt;=0,0,IF(EK83&lt;=0,ANK82,ANK82-G83*MAX(0,EK83*ANK82-(LJ83+OW83)))),ANK82*(1-MAX(0,EK83)*H_Exit))</f>
        <v>0</v>
      </c>
      <c r="HY83" s="20" t="n">
        <f aca="false">IF(H_Direct=1,IF(ANL82&lt;=0,0,IF(EL83&lt;=0,ANL82,ANL82-G83*MAX(0,EL83*ANL82-(LK83+OX83)))),ANL82*(1-MAX(0,EL83)*H_Exit))</f>
        <v>0</v>
      </c>
      <c r="HZ83" s="20" t="n">
        <f aca="false">IF(H_Direct=1,IF(ANM82&lt;=0,0,IF(EM83&lt;=0,ANM82,ANM82-G83*MAX(0,EM83*ANM82-(LL83+OY83)))),ANM82*(1-MAX(0,EM83)*H_Exit))</f>
        <v>0</v>
      </c>
      <c r="IA83" s="20" t="n">
        <f aca="false">IF(H_Direct=1,IF(ANN82&lt;=0,0,IF(EN83&lt;=0,ANN82,ANN82-G83*MAX(0,EN83*ANN82-(LM83+OZ83)))),ANN82*(1-MAX(0,EN83)*H_Exit))</f>
        <v>0</v>
      </c>
      <c r="IB83" s="20" t="n">
        <f aca="false">IF(H_Direct=1,IF(ANO82&lt;=0,0,IF(EO83&lt;=0,ANO82,ANO82-G83*MAX(0,EO83*ANO82-(LN83+PA83)))),ANO82*(1-MAX(0,EO83)*H_Exit))</f>
        <v>0</v>
      </c>
      <c r="IC83" s="20" t="n">
        <f aca="false">IF(H_Direct=1,IF((P83+S83)&lt;=0,0,IF(EP83&lt;=0,(P83+S83),(P83+S83)-G83*MAX(0,EP83*(P83+S83)-(LO83+PB83)))),(P83+S83)*(1-MAX(0,EP83)*H_Exit))</f>
        <v>0</v>
      </c>
      <c r="ID83" s="20" t="n">
        <v>0</v>
      </c>
      <c r="IE83" s="20" t="n">
        <v>0</v>
      </c>
      <c r="IF83" s="20" t="n">
        <v>0</v>
      </c>
      <c r="IG83" s="20" t="n">
        <v>0</v>
      </c>
      <c r="IH83" s="20" t="n">
        <v>0</v>
      </c>
      <c r="II83" s="20" t="n">
        <v>0</v>
      </c>
      <c r="IJ83" s="20" t="n">
        <v>0</v>
      </c>
      <c r="IK83" s="20" t="n">
        <v>0</v>
      </c>
      <c r="IL83" s="20" t="n">
        <v>0</v>
      </c>
      <c r="IM83" s="20" t="n">
        <v>0</v>
      </c>
      <c r="IN83" s="20" t="n">
        <v>0</v>
      </c>
      <c r="IO83" s="20" t="n">
        <v>0</v>
      </c>
      <c r="IP83" s="20" t="n">
        <v>0</v>
      </c>
      <c r="IQ83" s="20" t="n">
        <v>0</v>
      </c>
      <c r="IR83" s="20" t="n">
        <f aca="false">IF(AND(H_Direct=1,BR83&gt;0),MAX(0,H83-(MIN(BR83*AKR82,H83+I83)-MIN(MIN(BR83*AKR82,H83+I83),I83))),H83)</f>
        <v>1270</v>
      </c>
      <c r="IS83" s="20" t="n">
        <f aca="false">IF(AND(H_Direct=1,BS83&gt;0),MAX(0,IR83-(MIN(BS83*AKS82,IR83+ME83)-MIN(MIN(BS83*AKS82,IR83+ME83),ME83))),IR83)</f>
        <v>1270</v>
      </c>
      <c r="IT83" s="20" t="n">
        <f aca="false">IF(AND(H_Direct=1,BT83&gt;0),MAX(0,IS83-(MIN(BT83*AKT82,IS83+MF83)-MIN(MIN(BT83*AKT82,IS83+MF83),MF83))),IS83)</f>
        <v>1270</v>
      </c>
      <c r="IU83" s="20" t="n">
        <f aca="false">IF(AND(H_Direct=1,BU83&gt;0),MAX(0,IT83-(MIN(BU83*AKU82,IT83+MG83)-MIN(MIN(BU83*AKU82,IT83+MG83),MG83))),IT83)</f>
        <v>1270</v>
      </c>
      <c r="IV83" s="20" t="n">
        <f aca="false">IF(AND(H_Direct=1,BV83&gt;0),MAX(0,IU83-(MIN(BV83*AKV82,IU83+MH83)-MIN(MIN(BV83*AKV82,IU83+MH83),MH83))),IU83)</f>
        <v>1270</v>
      </c>
      <c r="IW83" s="20" t="n">
        <f aca="false">IF(AND(H_Direct=1,BW83&gt;0),MAX(0,IV83-(MIN(BW83*AKW82,IV83+MI83)-MIN(MIN(BW83*AKW82,IV83+MI83),MI83))),IV83)</f>
        <v>1270</v>
      </c>
      <c r="IX83" s="20" t="n">
        <f aca="false">IF(AND(H_Direct=1,BX83&gt;0),MAX(0,IW83-(MIN(BX83*AKX82,IW83+MJ83)-MIN(MIN(BX83*AKX82,IW83+MJ83),MJ83))),IW83)</f>
        <v>1270</v>
      </c>
      <c r="IY83" s="20" t="n">
        <f aca="false">IF(AND(H_Direct=1,BY83&gt;0),MAX(0,IX83-(MIN(BY83*AKY82,IX83+MK83)-MIN(MIN(BY83*AKY82,IX83+MK83),MK83))),IX83)</f>
        <v>1270</v>
      </c>
      <c r="IZ83" s="20" t="n">
        <f aca="false">IF(AND(H_Direct=1,BZ83&gt;0),MAX(0,IY83-(MIN(BZ83*AKZ82,IY83+ML83)-MIN(MIN(BZ83*AKZ82,IY83+ML83),ML83))),IY83)</f>
        <v>1270</v>
      </c>
      <c r="JA83" s="20" t="n">
        <f aca="false">IF(AND(H_Direct=1,CA83&gt;0),MAX(0,IZ83-(MIN(CA83*ALA82,IZ83+MM83)-MIN(MIN(CA83*ALA82,IZ83+MM83),MM83))),IZ83)</f>
        <v>1270</v>
      </c>
      <c r="JB83" s="20" t="n">
        <f aca="false">IF(AND(H_Direct=1,CB83&gt;0),MAX(0,JA83-(MIN(CB83*ALB82,JA83+MN83)-MIN(MIN(CB83*ALB82,JA83+MN83),MN83))),JA83)</f>
        <v>1270</v>
      </c>
      <c r="JC83" s="20" t="n">
        <f aca="false">IF(AND(H_Direct=1,CC83&gt;0),MAX(0,JB83-(MIN(CC83*ALC82,JB83+MO83)-MIN(MIN(CC83*ALC82,JB83+MO83),MO83))),JB83)</f>
        <v>1270</v>
      </c>
      <c r="JD83" s="20" t="n">
        <f aca="false">IF(AND(H_Direct=1,CD83&gt;0),MAX(0,JC83-(MIN(CD83*ALD82,JC83+MP83)-MIN(MIN(CD83*ALD82,JC83+MP83),MP83))),JC83)</f>
        <v>1270</v>
      </c>
      <c r="JE83" s="20" t="n">
        <f aca="false">IF(AND(H_Direct=1,CE83&gt;0),MAX(0,JD83-(MIN(CE83*ALE82,JD83+MQ83)-MIN(MIN(CE83*ALE82,JD83+MQ83),MQ83))),JD83)</f>
        <v>1270</v>
      </c>
      <c r="JF83" s="20" t="n">
        <f aca="false">IF(AND(H_Direct=1,CF83&gt;0),MAX(0,JE83-(MIN(CF83*ALF82,JE83+MR83)-MIN(MIN(CF83*ALF82,JE83+MR83),MR83))),JE83)</f>
        <v>1270</v>
      </c>
      <c r="JG83" s="20" t="n">
        <f aca="false">IF(AND(H_Direct=1,CG83&gt;0),MAX(0,JF83-(MIN(CG83*ALG82,JF83+MS83)-MIN(MIN(CG83*ALG82,JF83+MS83),MS83))),JF83)</f>
        <v>1270</v>
      </c>
      <c r="JH83" s="20" t="n">
        <f aca="false">IF(AND(H_Direct=1,CH83&gt;0),MAX(0,JG83-(MIN(CH83*ALH82,JG83+MT83)-MIN(MIN(CH83*ALH82,JG83+MT83),MT83))),JG83)</f>
        <v>1270</v>
      </c>
      <c r="JI83" s="20" t="n">
        <f aca="false">IF(AND(H_Direct=1,CI83&gt;0),MAX(0,JH83-(MIN(CI83*ALI82,JH83+MU83)-MIN(MIN(CI83*ALI82,JH83+MU83),MU83))),JH83)</f>
        <v>1270</v>
      </c>
      <c r="JJ83" s="20" t="n">
        <f aca="false">IF(AND(H_Direct=1,CJ83&gt;0),MAX(0,JI83-(MIN(CJ83*ALJ82,JI83+MV83)-MIN(MIN(CJ83*ALJ82,JI83+MV83),MV83))),JI83)</f>
        <v>1270</v>
      </c>
      <c r="JK83" s="20" t="n">
        <f aca="false">IF(AND(H_Direct=1,CK83&gt;0),MAX(0,JJ83-(MIN(CK83*ALK82,JJ83+MW83)-MIN(MIN(CK83*ALK82,JJ83+MW83),MW83))),JJ83)</f>
        <v>1270</v>
      </c>
      <c r="JL83" s="20" t="n">
        <f aca="false">IF(AND(H_Direct=1,CL83&gt;0),MAX(0,JK83-(MIN(CL83*ALL82,JK83+MX83)-MIN(MIN(CL83*ALL82,JK83+MX83),MX83))),JK83)</f>
        <v>1270</v>
      </c>
      <c r="JM83" s="20" t="n">
        <f aca="false">IF(AND(H_Direct=1,CM83&gt;0),MAX(0,JL83-(MIN(CM83*ALM82,JL83+MY83)-MIN(MIN(CM83*ALM82,JL83+MY83),MY83))),JL83)</f>
        <v>1270</v>
      </c>
      <c r="JN83" s="20" t="n">
        <f aca="false">IF(AND(H_Direct=1,CN83&gt;0),MAX(0,JM83-(MIN(CN83*ALN82,JM83+MZ83)-MIN(MIN(CN83*ALN82,JM83+MZ83),MZ83))),JM83)</f>
        <v>1270</v>
      </c>
      <c r="JO83" s="20" t="n">
        <f aca="false">IF(AND(H_Direct=1,CO83&gt;0),MAX(0,JN83-(MIN(CO83*ALO82,JN83+NA83)-MIN(MIN(CO83*ALO82,JN83+NA83),NA83))),JN83)</f>
        <v>1270</v>
      </c>
      <c r="JP83" s="20" t="n">
        <f aca="false">IF(AND(H_Direct=1,CP83&gt;0),MAX(0,JO83-(MIN(CP83*ALP82,JO83+NB83)-MIN(MIN(CP83*ALP82,JO83+NB83),NB83))),JO83)</f>
        <v>1270</v>
      </c>
      <c r="JQ83" s="20" t="n">
        <f aca="false">IF(AND(H_Direct=1,CQ83&gt;0),MAX(0,JP83-(MIN(CQ83*ALQ82,JP83+NC83)-MIN(MIN(CQ83*ALQ82,JP83+NC83),NC83))),JP83)</f>
        <v>1270</v>
      </c>
      <c r="JR83" s="20" t="n">
        <f aca="false">IF(AND(H_Direct=1,CR83&gt;0),MAX(0,JQ83-(MIN(CR83*ALR82,JQ83+ND83)-MIN(MIN(CR83*ALR82,JQ83+ND83),ND83))),JQ83)</f>
        <v>1270</v>
      </c>
      <c r="JS83" s="20" t="n">
        <f aca="false">IF(AND(H_Direct=1,CS83&gt;0),MAX(0,JR83-(MIN(CS83*ALS82,JR83+NE83)-MIN(MIN(CS83*ALS82,JR83+NE83),NE83))),JR83)</f>
        <v>1270</v>
      </c>
      <c r="JT83" s="20" t="n">
        <f aca="false">IF(AND(H_Direct=1,CT83&gt;0),MAX(0,JS83-(MIN(CT83*ALT82,JS83+NF83)-MIN(MIN(CT83*ALT82,JS83+NF83),NF83))),JS83)</f>
        <v>1270</v>
      </c>
      <c r="JU83" s="20" t="n">
        <f aca="false">IF(AND(H_Direct=1,CU83&gt;0),MAX(0,JT83-(MIN(CU83*ALU82,JT83+NG83)-MIN(MIN(CU83*ALU82,JT83+NG83),NG83))),JT83)</f>
        <v>1270</v>
      </c>
      <c r="JV83" s="20" t="n">
        <f aca="false">IF(AND(H_Direct=1,CV83&gt;0),MAX(0,JU83-(MIN(CV83*ALV82,JU83+NH83)-MIN(MIN(CV83*ALV82,JU83+NH83),NH83))),JU83)</f>
        <v>1270</v>
      </c>
      <c r="JW83" s="20" t="n">
        <f aca="false">IF(AND(H_Direct=1,CW83&gt;0),MAX(0,JV83-(MIN(CW83*ALW82,JV83+NI83)-MIN(MIN(CW83*ALW82,JV83+NI83),NI83))),JV83)</f>
        <v>1270</v>
      </c>
      <c r="JX83" s="20" t="n">
        <f aca="false">IF(AND(H_Direct=1,CX83&gt;0),MAX(0,JW83-(MIN(CX83*ALX82,JW83+NJ83)-MIN(MIN(CX83*ALX82,JW83+NJ83),NJ83))),JW83)</f>
        <v>1270</v>
      </c>
      <c r="JY83" s="20" t="n">
        <f aca="false">IF(AND(H_Direct=1,CY83&gt;0),MAX(0,JX83-(MIN(CY83*ALY82,JX83+NK83)-MIN(MIN(CY83*ALY82,JX83+NK83),NK83))),JX83)</f>
        <v>1270</v>
      </c>
      <c r="JZ83" s="20" t="n">
        <f aca="false">IF(AND(H_Direct=1,CZ83&gt;0),MAX(0,JY83-(MIN(CZ83*ALZ82,JY83+NL83)-MIN(MIN(CZ83*ALZ82,JY83+NL83),NL83))),JY83)</f>
        <v>1270</v>
      </c>
      <c r="KA83" s="20" t="n">
        <f aca="false">IF(AND(H_Direct=1,DA83&gt;0),MAX(0,JZ83-(MIN(DA83*AMA82,JZ83+NM83)-MIN(MIN(DA83*AMA82,JZ83+NM83),NM83))),JZ83)</f>
        <v>1270</v>
      </c>
      <c r="KB83" s="20" t="n">
        <f aca="false">IF(AND(H_Direct=1,DB83&gt;0),MAX(0,KA83-(MIN(DB83*AMB82,KA83+NN83)-MIN(MIN(DB83*AMB82,KA83+NN83),NN83))),KA83)</f>
        <v>1270</v>
      </c>
      <c r="KC83" s="20" t="n">
        <f aca="false">IF(AND(H_Direct=1,DC83&gt;0),MAX(0,KB83-(MIN(DC83*AMC82,KB83+NO83)-MIN(MIN(DC83*AMC82,KB83+NO83),NO83))),KB83)</f>
        <v>1270</v>
      </c>
      <c r="KD83" s="20" t="n">
        <f aca="false">IF(AND(H_Direct=1,DD83&gt;0),MAX(0,KC83-(MIN(DD83*AMD82,KC83+NP83)-MIN(MIN(DD83*AMD82,KC83+NP83),NP83))),KC83)</f>
        <v>1270</v>
      </c>
      <c r="KE83" s="20" t="n">
        <f aca="false">IF(AND(H_Direct=1,DE83&gt;0),MAX(0,KD83-(MIN(DE83*AME82,KD83+NQ83)-MIN(MIN(DE83*AME82,KD83+NQ83),NQ83))),KD83)</f>
        <v>1270</v>
      </c>
      <c r="KF83" s="20" t="n">
        <f aca="false">IF(AND(H_Direct=1,DF83&gt;0),MAX(0,KE83-(MIN(DF83*AMF82,KE83+NR83)-MIN(MIN(DF83*AMF82,KE83+NR83),NR83))),KE83)</f>
        <v>1270</v>
      </c>
      <c r="KG83" s="20" t="n">
        <f aca="false">IF(AND(H_Direct=1,DG83&gt;0),MAX(0,KF83-(MIN(DG83*AMG82,KF83+NS83)-MIN(MIN(DG83*AMG82,KF83+NS83),NS83))),KF83)</f>
        <v>1270</v>
      </c>
      <c r="KH83" s="20" t="n">
        <f aca="false">IF(AND(H_Direct=1,DH83&gt;0),MAX(0,KG83-(MIN(DH83*AMH82,KG83+NT83)-MIN(MIN(DH83*AMH82,KG83+NT83),NT83))),KG83)</f>
        <v>1270</v>
      </c>
      <c r="KI83" s="20" t="n">
        <f aca="false">IF(AND(H_Direct=1,DI83&gt;0),MAX(0,KH83-(MIN(DI83*AMI82,KH83+NU83)-MIN(MIN(DI83*AMI82,KH83+NU83),NU83))),KH83)</f>
        <v>1270</v>
      </c>
      <c r="KJ83" s="20" t="n">
        <f aca="false">IF(AND(H_Direct=1,DJ83&gt;0),MAX(0,KI83-(MIN(DJ83*AMJ82,KI83+NV83)-MIN(MIN(DJ83*AMJ82,KI83+NV83),NV83))),KI83)</f>
        <v>1270</v>
      </c>
      <c r="KK83" s="20" t="n">
        <f aca="false">IF(AND(H_Direct=1,DK83&gt;0),MAX(0,KJ83-(MIN(DK83*AMK82,KJ83+NW83)-MIN(MIN(DK83*AMK82,KJ83+NW83),NW83))),KJ83)</f>
        <v>1270</v>
      </c>
      <c r="KL83" s="20" t="n">
        <f aca="false">IF(AND(H_Direct=1,DL83&gt;0),MAX(0,KK83-(MIN(DL83*AML82,KK83+NX83)-MIN(MIN(DL83*AML82,KK83+NX83),NX83))),KK83)</f>
        <v>1270</v>
      </c>
      <c r="KM83" s="20" t="n">
        <f aca="false">IF(AND(H_Direct=1,DM83&gt;0),MAX(0,KL83-(MIN(DM83*AMM82,KL83+NY83)-MIN(MIN(DM83*AMM82,KL83+NY83),NY83))),KL83)</f>
        <v>1270</v>
      </c>
      <c r="KN83" s="20" t="n">
        <f aca="false">IF(AND(H_Direct=1,DN83&gt;0),MAX(0,KM83-(MIN(DN83*AMN82,KM83+NZ83)-MIN(MIN(DN83*AMN82,KM83+NZ83),NZ83))),KM83)</f>
        <v>1270</v>
      </c>
      <c r="KO83" s="20" t="n">
        <f aca="false">IF(AND(H_Direct=1,DO83&gt;0),MAX(0,KN83-(MIN(DO83*AMO82,KN83+OA83)-MIN(MIN(DO83*AMO82,KN83+OA83),OA83))),KN83)</f>
        <v>1270</v>
      </c>
      <c r="KP83" s="20" t="n">
        <f aca="false">IF(AND(H_Direct=1,DP83&gt;0),MAX(0,KO83-(MIN(DP83*AMP82,KO83+OB83)-MIN(MIN(DP83*AMP82,KO83+OB83),OB83))),KO83)</f>
        <v>1270</v>
      </c>
      <c r="KQ83" s="20" t="n">
        <f aca="false">IF(AND(H_Direct=1,DQ83&gt;0),MAX(0,KP83-(MIN(DQ83*AMQ82,KP83+OC83)-MIN(MIN(DQ83*AMQ82,KP83+OC83),OC83))),KP83)</f>
        <v>1270</v>
      </c>
      <c r="KR83" s="20" t="n">
        <f aca="false">IF(AND(H_Direct=1,DR83&gt;0),MAX(0,KQ83-(MIN(DR83*AMR82,KQ83+OD83)-MIN(MIN(DR83*AMR82,KQ83+OD83),OD83))),KQ83)</f>
        <v>1270</v>
      </c>
      <c r="KS83" s="20" t="n">
        <f aca="false">IF(AND(H_Direct=1,DS83&gt;0),MAX(0,KR83-(MIN(DS83*AMS82,KR83+OE83)-MIN(MIN(DS83*AMS82,KR83+OE83),OE83))),KR83)</f>
        <v>1270</v>
      </c>
      <c r="KT83" s="20" t="n">
        <f aca="false">IF(AND(H_Direct=1,DT83&gt;0),MAX(0,KS83-(MIN(DT83*AMT82,KS83+OF83)-MIN(MIN(DT83*AMT82,KS83+OF83),OF83))),KS83)</f>
        <v>1270</v>
      </c>
      <c r="KU83" s="20" t="n">
        <f aca="false">IF(AND(H_Direct=1,DU83&gt;0),MAX(0,KT83-(MIN(DU83*AMU82,KT83+OG83)-MIN(MIN(DU83*AMU82,KT83+OG83),OG83))),KT83)</f>
        <v>1270</v>
      </c>
      <c r="KV83" s="20" t="n">
        <f aca="false">IF(AND(H_Direct=1,DV83&gt;0),MAX(0,KU83-(MIN(DV83*AMV82,KU83+OH83)-MIN(MIN(DV83*AMV82,KU83+OH83),OH83))),KU83)</f>
        <v>1270</v>
      </c>
      <c r="KW83" s="20" t="n">
        <f aca="false">IF(AND(H_Direct=1,DW83&gt;0),MAX(0,KV83-(MIN(DW83*AMW82,KV83+OI83)-MIN(MIN(DW83*AMW82,KV83+OI83),OI83))),KV83)</f>
        <v>1270</v>
      </c>
      <c r="KX83" s="20" t="n">
        <f aca="false">IF(AND(H_Direct=1,DX83&gt;0),MAX(0,KW83-(MIN(DX83*AMX82,KW83+OJ83)-MIN(MIN(DX83*AMX82,KW83+OJ83),OJ83))),KW83)</f>
        <v>1270</v>
      </c>
      <c r="KY83" s="20" t="n">
        <f aca="false">IF(AND(H_Direct=1,DY83&gt;0),MAX(0,KX83-(MIN(DY83*AMY82,KX83+OK83)-MIN(MIN(DY83*AMY82,KX83+OK83),OK83))),KX83)</f>
        <v>1270</v>
      </c>
      <c r="KZ83" s="20" t="n">
        <f aca="false">IF(AND(H_Direct=1,DZ83&gt;0),MAX(0,KY83-(MIN(DZ83*AMZ82,KY83+OL83)-MIN(MIN(DZ83*AMZ82,KY83+OL83),OL83))),KY83)</f>
        <v>1270</v>
      </c>
      <c r="LA83" s="20" t="n">
        <f aca="false">IF(AND(H_Direct=1,EA83&gt;0),MAX(0,KZ83-(MIN(EA83*ANA82,KZ83+OM83)-MIN(MIN(EA83*ANA82,KZ83+OM83),OM83))),KZ83)</f>
        <v>1270</v>
      </c>
      <c r="LB83" s="20" t="n">
        <f aca="false">IF(AND(H_Direct=1,EB83&gt;0),MAX(0,LA83-(MIN(EB83*ANB82,LA83+ON83)-MIN(MIN(EB83*ANB82,LA83+ON83),ON83))),LA83)</f>
        <v>1270</v>
      </c>
      <c r="LC83" s="20" t="n">
        <f aca="false">IF(AND(H_Direct=1,EC83&gt;0),MAX(0,LB83-(MIN(EC83*ANC82,LB83+OO83)-MIN(MIN(EC83*ANC82,LB83+OO83),OO83))),LB83)</f>
        <v>1270</v>
      </c>
      <c r="LD83" s="20" t="n">
        <f aca="false">IF(AND(H_Direct=1,ED83&gt;0),MAX(0,LC83-(MIN(ED83*AND82,LC83+OP83)-MIN(MIN(ED83*AND82,LC83+OP83),OP83))),LC83)</f>
        <v>1270</v>
      </c>
      <c r="LE83" s="20" t="n">
        <f aca="false">IF(AND(H_Direct=1,EE83&gt;0),MAX(0,LD83-(MIN(EE83*ANE82,LD83+OQ83)-MIN(MIN(EE83*ANE82,LD83+OQ83),OQ83))),LD83)</f>
        <v>1270</v>
      </c>
      <c r="LF83" s="20" t="n">
        <f aca="false">IF(AND(H_Direct=1,EF83&gt;0),MAX(0,LE83-(MIN(EF83*ANF82,LE83+OR83)-MIN(MIN(EF83*ANF82,LE83+OR83),OR83))),LE83)</f>
        <v>1270</v>
      </c>
      <c r="LG83" s="20" t="n">
        <f aca="false">IF(AND(H_Direct=1,EG83&gt;0),MAX(0,LF83-(MIN(EG83*ANG82,LF83+OS83)-MIN(MIN(EG83*ANG82,LF83+OS83),OS83))),LF83)</f>
        <v>1270</v>
      </c>
      <c r="LH83" s="20" t="n">
        <f aca="false">IF(AND(H_Direct=1,EH83&gt;0),MAX(0,LG83-(MIN(EH83*ANH82,LG83+OT83)-MIN(MIN(EH83*ANH82,LG83+OT83),OT83))),LG83)</f>
        <v>1270</v>
      </c>
      <c r="LI83" s="20" t="n">
        <f aca="false">IF(AND(H_Direct=1,EI83&gt;0),MAX(0,LH83-(MIN(EI83*ANI82,LH83+OU83)-MIN(MIN(EI83*ANI82,LH83+OU83),OU83))),LH83)</f>
        <v>1270</v>
      </c>
      <c r="LJ83" s="20" t="n">
        <f aca="false">IF(AND(H_Direct=1,EJ83&gt;0),MAX(0,LI83-(MIN(EJ83*ANJ82,LI83+OV83)-MIN(MIN(EJ83*ANJ82,LI83+OV83),OV83))),LI83)</f>
        <v>1270</v>
      </c>
      <c r="LK83" s="20" t="n">
        <f aca="false">IF(AND(H_Direct=1,EK83&gt;0),MAX(0,LJ83-(MIN(EK83*ANK82,LJ83+OW83)-MIN(MIN(EK83*ANK82,LJ83+OW83),OW83))),LJ83)</f>
        <v>1270</v>
      </c>
      <c r="LL83" s="20" t="n">
        <f aca="false">IF(AND(H_Direct=1,EL83&gt;0),MAX(0,LK83-(MIN(EL83*ANL82,LK83+OX83)-MIN(MIN(EL83*ANL82,LK83+OX83),OX83))),LK83)</f>
        <v>1270</v>
      </c>
      <c r="LM83" s="20" t="n">
        <f aca="false">IF(AND(H_Direct=1,EM83&gt;0),MAX(0,LL83-(MIN(EM83*ANM82,LL83+OY83)-MIN(MIN(EM83*ANM82,LL83+OY83),OY83))),LL83)</f>
        <v>1270</v>
      </c>
      <c r="LN83" s="20" t="n">
        <f aca="false">IF(AND(H_Direct=1,EN83&gt;0),MAX(0,LM83-(MIN(EN83*ANN82,LM83+OZ83)-MIN(MIN(EN83*ANN82,LM83+OZ83),OZ83))),LM83)</f>
        <v>1270</v>
      </c>
      <c r="LO83" s="20" t="n">
        <f aca="false">IF(AND(H_Direct=1,EO83&gt;0),MAX(0,LN83-(MIN(EO83*ANO82,LN83+PA83)-MIN(MIN(EO83*ANO82,LN83+PA83),PA83))),LN83)</f>
        <v>1270</v>
      </c>
      <c r="LP83" s="20" t="n">
        <f aca="false">IF(AND(H_Direct=1,EP83&gt;0),MAX(0,LO83-(MIN(EP83*(P83+S83),LO83+PB83)-MIN(MIN(EP83*(P83+S83),LO83+PB83),PB83))),LO83)</f>
        <v>1270</v>
      </c>
      <c r="LQ83" s="20" t="n">
        <f aca="false">LP83</f>
        <v>1270</v>
      </c>
      <c r="LR83" s="20" t="n">
        <f aca="false">LQ83</f>
        <v>1270</v>
      </c>
      <c r="LS83" s="20" t="n">
        <f aca="false">LR83</f>
        <v>1270</v>
      </c>
      <c r="LT83" s="20" t="n">
        <f aca="false">LS83</f>
        <v>1270</v>
      </c>
      <c r="LU83" s="20" t="n">
        <f aca="false">LT83</f>
        <v>1270</v>
      </c>
      <c r="LV83" s="20" t="n">
        <f aca="false">LU83</f>
        <v>1270</v>
      </c>
      <c r="LW83" s="20" t="n">
        <f aca="false">LV83</f>
        <v>1270</v>
      </c>
      <c r="LX83" s="20" t="n">
        <f aca="false">LW83</f>
        <v>1270</v>
      </c>
      <c r="LY83" s="20" t="n">
        <f aca="false">LX83</f>
        <v>1270</v>
      </c>
      <c r="LZ83" s="20" t="n">
        <f aca="false">LY83</f>
        <v>1270</v>
      </c>
      <c r="MA83" s="20" t="n">
        <f aca="false">LZ83</f>
        <v>1270</v>
      </c>
      <c r="MB83" s="20" t="n">
        <f aca="false">MA83</f>
        <v>1270</v>
      </c>
      <c r="MC83" s="20" t="n">
        <f aca="false">MB83</f>
        <v>1270</v>
      </c>
      <c r="MD83" s="20" t="n">
        <f aca="false">MC83</f>
        <v>1270</v>
      </c>
      <c r="ME83" s="20" t="n">
        <f aca="false">IF(H_Direct=1,IF(BR83&lt;=0,I83-BR83*AKR82,I83-MIN(MIN(BR83*AKR82,H83+I83),I83)),I83)</f>
        <v>0</v>
      </c>
      <c r="MF83" s="20" t="n">
        <f aca="false">IF(H_Direct=1,IF(BS83&lt;=0,ME83-BS83*AKS82,ME83-MIN(MIN(BS83*AKS82,IR83+ME83),ME83)),ME83)</f>
        <v>0</v>
      </c>
      <c r="MG83" s="20" t="n">
        <f aca="false">IF(H_Direct=1,IF(BT83&lt;=0,MF83-BT83*AKT82,MF83-MIN(MIN(BT83*AKT82,IS83+MF83),MF83)),MF83)</f>
        <v>0</v>
      </c>
      <c r="MH83" s="20" t="n">
        <f aca="false">IF(H_Direct=1,IF(BU83&lt;=0,MG83-BU83*AKU82,MG83-MIN(MIN(BU83*AKU82,IT83+MG83),MG83)),MG83)</f>
        <v>0</v>
      </c>
      <c r="MI83" s="20" t="n">
        <f aca="false">IF(H_Direct=1,IF(BV83&lt;=0,MH83-BV83*AKV82,MH83-MIN(MIN(BV83*AKV82,IU83+MH83),MH83)),MH83)</f>
        <v>0</v>
      </c>
      <c r="MJ83" s="20" t="n">
        <f aca="false">IF(H_Direct=1,IF(BW83&lt;=0,MI83-BW83*AKW82,MI83-MIN(MIN(BW83*AKW82,IV83+MI83),MI83)),MI83)</f>
        <v>0</v>
      </c>
      <c r="MK83" s="20" t="n">
        <f aca="false">IF(H_Direct=1,IF(BX83&lt;=0,MJ83-BX83*AKX82,MJ83-MIN(MIN(BX83*AKX82,IW83+MJ83),MJ83)),MJ83)</f>
        <v>0</v>
      </c>
      <c r="ML83" s="20" t="n">
        <f aca="false">IF(H_Direct=1,IF(BY83&lt;=0,MK83-BY83*AKY82,MK83-MIN(MIN(BY83*AKY82,IX83+MK83),MK83)),MK83)</f>
        <v>0</v>
      </c>
      <c r="MM83" s="20" t="n">
        <f aca="false">IF(H_Direct=1,IF(BZ83&lt;=0,ML83-BZ83*AKZ82,ML83-MIN(MIN(BZ83*AKZ82,IY83+ML83),ML83)),ML83)</f>
        <v>0</v>
      </c>
      <c r="MN83" s="20" t="n">
        <f aca="false">IF(H_Direct=1,IF(CA83&lt;=0,MM83-CA83*ALA82,MM83-MIN(MIN(CA83*ALA82,IZ83+MM83),MM83)),MM83)</f>
        <v>0</v>
      </c>
      <c r="MO83" s="20" t="n">
        <f aca="false">IF(H_Direct=1,IF(CB83&lt;=0,MN83-CB83*ALB82,MN83-MIN(MIN(CB83*ALB82,JA83+MN83),MN83)),MN83)</f>
        <v>0</v>
      </c>
      <c r="MP83" s="20" t="n">
        <f aca="false">IF(H_Direct=1,IF(CC83&lt;=0,MO83-CC83*ALC82,MO83-MIN(MIN(CC83*ALC82,JB83+MO83),MO83)),MO83)</f>
        <v>0</v>
      </c>
      <c r="MQ83" s="20" t="n">
        <f aca="false">IF(H_Direct=1,IF(CD83&lt;=0,MP83-CD83*ALD82,MP83-MIN(MIN(CD83*ALD82,JC83+MP83),MP83)),MP83)</f>
        <v>0</v>
      </c>
      <c r="MR83" s="20" t="n">
        <f aca="false">IF(H_Direct=1,IF(CE83&lt;=0,MQ83-CE83*ALE82,MQ83-MIN(MIN(CE83*ALE82,JD83+MQ83),MQ83)),MQ83)</f>
        <v>0</v>
      </c>
      <c r="MS83" s="20" t="n">
        <f aca="false">IF(H_Direct=1,IF(CF83&lt;=0,MR83-CF83*ALF82,MR83-MIN(MIN(CF83*ALF82,JE83+MR83),MR83)),MR83)</f>
        <v>0</v>
      </c>
      <c r="MT83" s="20" t="n">
        <f aca="false">IF(H_Direct=1,IF(CG83&lt;=0,MS83-CG83*ALG82,MS83-MIN(MIN(CG83*ALG82,JF83+MS83),MS83)),MS83)</f>
        <v>0</v>
      </c>
      <c r="MU83" s="20" t="n">
        <f aca="false">IF(H_Direct=1,IF(CH83&lt;=0,MT83-CH83*ALH82,MT83-MIN(MIN(CH83*ALH82,JG83+MT83),MT83)),MT83)</f>
        <v>0</v>
      </c>
      <c r="MV83" s="20" t="n">
        <f aca="false">IF(H_Direct=1,IF(CI83&lt;=0,MU83-CI83*ALI82,MU83-MIN(MIN(CI83*ALI82,JH83+MU83),MU83)),MU83)</f>
        <v>0</v>
      </c>
      <c r="MW83" s="20" t="n">
        <f aca="false">IF(H_Direct=1,IF(CJ83&lt;=0,MV83-CJ83*ALJ82,MV83-MIN(MIN(CJ83*ALJ82,JI83+MV83),MV83)),MV83)</f>
        <v>0</v>
      </c>
      <c r="MX83" s="20" t="n">
        <f aca="false">IF(H_Direct=1,IF(CK83&lt;=0,MW83-CK83*ALK82,MW83-MIN(MIN(CK83*ALK82,JJ83+MW83),MW83)),MW83)</f>
        <v>0</v>
      </c>
      <c r="MY83" s="20" t="n">
        <f aca="false">IF(H_Direct=1,IF(CL83&lt;=0,MX83-CL83*ALL82,MX83-MIN(MIN(CL83*ALL82,JK83+MX83),MX83)),MX83)</f>
        <v>0</v>
      </c>
      <c r="MZ83" s="20" t="n">
        <f aca="false">IF(H_Direct=1,IF(CM83&lt;=0,MY83-CM83*ALM82,MY83-MIN(MIN(CM83*ALM82,JL83+MY83),MY83)),MY83)</f>
        <v>0</v>
      </c>
      <c r="NA83" s="20" t="n">
        <f aca="false">IF(H_Direct=1,IF(CN83&lt;=0,MZ83-CN83*ALN82,MZ83-MIN(MIN(CN83*ALN82,JM83+MZ83),MZ83)),MZ83)</f>
        <v>0</v>
      </c>
      <c r="NB83" s="20" t="n">
        <f aca="false">IF(H_Direct=1,IF(CO83&lt;=0,NA83-CO83*ALO82,NA83-MIN(MIN(CO83*ALO82,JN83+NA83),NA83)),NA83)</f>
        <v>0</v>
      </c>
      <c r="NC83" s="20" t="n">
        <f aca="false">IF(H_Direct=1,IF(CP83&lt;=0,NB83-CP83*ALP82,NB83-MIN(MIN(CP83*ALP82,JO83+NB83),NB83)),NB83)</f>
        <v>0</v>
      </c>
      <c r="ND83" s="20" t="n">
        <f aca="false">IF(H_Direct=1,IF(CQ83&lt;=0,NC83-CQ83*ALQ82,NC83-MIN(MIN(CQ83*ALQ82,JP83+NC83),NC83)),NC83)</f>
        <v>0</v>
      </c>
      <c r="NE83" s="20" t="n">
        <f aca="false">IF(H_Direct=1,IF(CR83&lt;=0,ND83-CR83*ALR82,ND83-MIN(MIN(CR83*ALR82,JQ83+ND83),ND83)),ND83)</f>
        <v>0</v>
      </c>
      <c r="NF83" s="20" t="n">
        <f aca="false">IF(H_Direct=1,IF(CS83&lt;=0,NE83-CS83*ALS82,NE83-MIN(MIN(CS83*ALS82,JR83+NE83),NE83)),NE83)</f>
        <v>0</v>
      </c>
      <c r="NG83" s="20" t="n">
        <f aca="false">IF(H_Direct=1,IF(CT83&lt;=0,NF83-CT83*ALT82,NF83-MIN(MIN(CT83*ALT82,JS83+NF83),NF83)),NF83)</f>
        <v>0</v>
      </c>
      <c r="NH83" s="20" t="n">
        <f aca="false">IF(H_Direct=1,IF(CU83&lt;=0,NG83-CU83*ALU82,NG83-MIN(MIN(CU83*ALU82,JT83+NG83),NG83)),NG83)</f>
        <v>0</v>
      </c>
      <c r="NI83" s="20" t="n">
        <f aca="false">IF(H_Direct=1,IF(CV83&lt;=0,NH83-CV83*ALV82,NH83-MIN(MIN(CV83*ALV82,JU83+NH83),NH83)),NH83)</f>
        <v>0</v>
      </c>
      <c r="NJ83" s="20" t="n">
        <f aca="false">IF(H_Direct=1,IF(CW83&lt;=0,NI83-CW83*ALW82,NI83-MIN(MIN(CW83*ALW82,JV83+NI83),NI83)),NI83)</f>
        <v>0</v>
      </c>
      <c r="NK83" s="20" t="n">
        <f aca="false">IF(H_Direct=1,IF(CX83&lt;=0,NJ83-CX83*ALX82,NJ83-MIN(MIN(CX83*ALX82,JW83+NJ83),NJ83)),NJ83)</f>
        <v>0</v>
      </c>
      <c r="NL83" s="20" t="n">
        <f aca="false">IF(H_Direct=1,IF(CY83&lt;=0,NK83-CY83*ALY82,NK83-MIN(MIN(CY83*ALY82,JX83+NK83),NK83)),NK83)</f>
        <v>0</v>
      </c>
      <c r="NM83" s="20" t="n">
        <f aca="false">IF(H_Direct=1,IF(CZ83&lt;=0,NL83-CZ83*ALZ82,NL83-MIN(MIN(CZ83*ALZ82,JY83+NL83),NL83)),NL83)</f>
        <v>0</v>
      </c>
      <c r="NN83" s="20" t="n">
        <f aca="false">IF(H_Direct=1,IF(DA83&lt;=0,NM83-DA83*AMA82,NM83-MIN(MIN(DA83*AMA82,JZ83+NM83),NM83)),NM83)</f>
        <v>0</v>
      </c>
      <c r="NO83" s="20" t="n">
        <f aca="false">IF(H_Direct=1,IF(DB83&lt;=0,NN83-DB83*AMB82,NN83-MIN(MIN(DB83*AMB82,KA83+NN83),NN83)),NN83)</f>
        <v>0</v>
      </c>
      <c r="NP83" s="20" t="n">
        <f aca="false">IF(H_Direct=1,IF(DC83&lt;=0,NO83-DC83*AMC82,NO83-MIN(MIN(DC83*AMC82,KB83+NO83),NO83)),NO83)</f>
        <v>0</v>
      </c>
      <c r="NQ83" s="20" t="n">
        <f aca="false">IF(H_Direct=1,IF(DD83&lt;=0,NP83-DD83*AMD82,NP83-MIN(MIN(DD83*AMD82,KC83+NP83),NP83)),NP83)</f>
        <v>0</v>
      </c>
      <c r="NR83" s="20" t="n">
        <f aca="false">IF(H_Direct=1,IF(DE83&lt;=0,NQ83-DE83*AME82,NQ83-MIN(MIN(DE83*AME82,KD83+NQ83),NQ83)),NQ83)</f>
        <v>0</v>
      </c>
      <c r="NS83" s="20" t="n">
        <f aca="false">IF(H_Direct=1,IF(DF83&lt;=0,NR83-DF83*AMF82,NR83-MIN(MIN(DF83*AMF82,KE83+NR83),NR83)),NR83)</f>
        <v>0</v>
      </c>
      <c r="NT83" s="20" t="n">
        <f aca="false">IF(H_Direct=1,IF(DG83&lt;=0,NS83-DG83*AMG82,NS83-MIN(MIN(DG83*AMG82,KF83+NS83),NS83)),NS83)</f>
        <v>0</v>
      </c>
      <c r="NU83" s="20" t="n">
        <f aca="false">IF(H_Direct=1,IF(DH83&lt;=0,NT83-DH83*AMH82,NT83-MIN(MIN(DH83*AMH82,KG83+NT83),NT83)),NT83)</f>
        <v>0</v>
      </c>
      <c r="NV83" s="20" t="n">
        <f aca="false">IF(H_Direct=1,IF(DI83&lt;=0,NU83-DI83*AMI82,NU83-MIN(MIN(DI83*AMI82,KH83+NU83),NU83)),NU83)</f>
        <v>0</v>
      </c>
      <c r="NW83" s="20" t="n">
        <f aca="false">IF(H_Direct=1,IF(DJ83&lt;=0,NV83-DJ83*AMJ82,NV83-MIN(MIN(DJ83*AMJ82,KI83+NV83),NV83)),NV83)</f>
        <v>0</v>
      </c>
      <c r="NX83" s="20" t="n">
        <f aca="false">IF(H_Direct=1,IF(DK83&lt;=0,NW83-DK83*AMK82,NW83-MIN(MIN(DK83*AMK82,KJ83+NW83),NW83)),NW83)</f>
        <v>0</v>
      </c>
      <c r="NY83" s="20" t="n">
        <f aca="false">IF(H_Direct=1,IF(DL83&lt;=0,NX83-DL83*AML82,NX83-MIN(MIN(DL83*AML82,KK83+NX83),NX83)),NX83)</f>
        <v>0</v>
      </c>
      <c r="NZ83" s="20" t="n">
        <f aca="false">IF(H_Direct=1,IF(DM83&lt;=0,NY83-DM83*AMM82,NY83-MIN(MIN(DM83*AMM82,KL83+NY83),NY83)),NY83)</f>
        <v>0</v>
      </c>
      <c r="OA83" s="20" t="n">
        <f aca="false">IF(H_Direct=1,IF(DN83&lt;=0,NZ83-DN83*AMN82,NZ83-MIN(MIN(DN83*AMN82,KM83+NZ83),NZ83)),NZ83)</f>
        <v>0</v>
      </c>
      <c r="OB83" s="20" t="n">
        <f aca="false">IF(H_Direct=1,IF(DO83&lt;=0,OA83-DO83*AMO82,OA83-MIN(MIN(DO83*AMO82,KN83+OA83),OA83)),OA83)</f>
        <v>0</v>
      </c>
      <c r="OC83" s="20" t="n">
        <f aca="false">IF(H_Direct=1,IF(DP83&lt;=0,OB83-DP83*AMP82,OB83-MIN(MIN(DP83*AMP82,KO83+OB83),OB83)),OB83)</f>
        <v>0</v>
      </c>
      <c r="OD83" s="20" t="n">
        <f aca="false">IF(H_Direct=1,IF(DQ83&lt;=0,OC83-DQ83*AMQ82,OC83-MIN(MIN(DQ83*AMQ82,KP83+OC83),OC83)),OC83)</f>
        <v>0</v>
      </c>
      <c r="OE83" s="20" t="n">
        <f aca="false">IF(H_Direct=1,IF(DR83&lt;=0,OD83-DR83*AMR82,OD83-MIN(MIN(DR83*AMR82,KQ83+OD83),OD83)),OD83)</f>
        <v>0</v>
      </c>
      <c r="OF83" s="20" t="n">
        <f aca="false">IF(H_Direct=1,IF(DS83&lt;=0,OE83-DS83*AMS82,OE83-MIN(MIN(DS83*AMS82,KR83+OE83),OE83)),OE83)</f>
        <v>0</v>
      </c>
      <c r="OG83" s="20" t="n">
        <f aca="false">IF(H_Direct=1,IF(DT83&lt;=0,OF83-DT83*AMT82,OF83-MIN(MIN(DT83*AMT82,KS83+OF83),OF83)),OF83)</f>
        <v>0</v>
      </c>
      <c r="OH83" s="20" t="n">
        <f aca="false">IF(H_Direct=1,IF(DU83&lt;=0,OG83-DU83*AMU82,OG83-MIN(MIN(DU83*AMU82,KT83+OG83),OG83)),OG83)</f>
        <v>0</v>
      </c>
      <c r="OI83" s="20" t="n">
        <f aca="false">IF(H_Direct=1,IF(DV83&lt;=0,OH83-DV83*AMV82,OH83-MIN(MIN(DV83*AMV82,KU83+OH83),OH83)),OH83)</f>
        <v>0</v>
      </c>
      <c r="OJ83" s="20" t="n">
        <f aca="false">IF(H_Direct=1,IF(DW83&lt;=0,OI83-DW83*AMW82,OI83-MIN(MIN(DW83*AMW82,KV83+OI83),OI83)),OI83)</f>
        <v>0</v>
      </c>
      <c r="OK83" s="20" t="n">
        <f aca="false">IF(H_Direct=1,IF(DX83&lt;=0,OJ83-DX83*AMX82,OJ83-MIN(MIN(DX83*AMX82,KW83+OJ83),OJ83)),OJ83)</f>
        <v>0</v>
      </c>
      <c r="OL83" s="20" t="n">
        <f aca="false">IF(H_Direct=1,IF(DY83&lt;=0,OK83-DY83*AMY82,OK83-MIN(MIN(DY83*AMY82,KX83+OK83),OK83)),OK83)</f>
        <v>0</v>
      </c>
      <c r="OM83" s="20" t="n">
        <f aca="false">IF(H_Direct=1,IF(DZ83&lt;=0,OL83-DZ83*AMZ82,OL83-MIN(MIN(DZ83*AMZ82,KY83+OL83),OL83)),OL83)</f>
        <v>0</v>
      </c>
      <c r="ON83" s="20" t="n">
        <f aca="false">IF(H_Direct=1,IF(EA83&lt;=0,OM83-EA83*ANA82,OM83-MIN(MIN(EA83*ANA82,KZ83+OM83),OM83)),OM83)</f>
        <v>0</v>
      </c>
      <c r="OO83" s="20" t="n">
        <f aca="false">IF(H_Direct=1,IF(EB83&lt;=0,ON83-EB83*ANB82,ON83-MIN(MIN(EB83*ANB82,LA83+ON83),ON83)),ON83)</f>
        <v>0</v>
      </c>
      <c r="OP83" s="20" t="n">
        <f aca="false">IF(H_Direct=1,IF(EC83&lt;=0,OO83-EC83*ANC82,OO83-MIN(MIN(EC83*ANC82,LB83+OO83),OO83)),OO83)</f>
        <v>0</v>
      </c>
      <c r="OQ83" s="20" t="n">
        <f aca="false">IF(H_Direct=1,IF(ED83&lt;=0,OP83-ED83*AND82,OP83-MIN(MIN(ED83*AND82,LC83+OP83),OP83)),OP83)</f>
        <v>0</v>
      </c>
      <c r="OR83" s="20" t="n">
        <f aca="false">IF(H_Direct=1,IF(EE83&lt;=0,OQ83-EE83*ANE82,OQ83-MIN(MIN(EE83*ANE82,LD83+OQ83),OQ83)),OQ83)</f>
        <v>0</v>
      </c>
      <c r="OS83" s="20" t="n">
        <f aca="false">IF(H_Direct=1,IF(EF83&lt;=0,OR83-EF83*ANF82,OR83-MIN(MIN(EF83*ANF82,LE83+OR83),OR83)),OR83)</f>
        <v>0</v>
      </c>
      <c r="OT83" s="20" t="n">
        <f aca="false">IF(H_Direct=1,IF(EG83&lt;=0,OS83-EG83*ANG82,OS83-MIN(MIN(EG83*ANG82,LF83+OS83),OS83)),OS83)</f>
        <v>0</v>
      </c>
      <c r="OU83" s="20" t="n">
        <f aca="false">IF(H_Direct=1,IF(EH83&lt;=0,OT83-EH83*ANH82,OT83-MIN(MIN(EH83*ANH82,LG83+OT83),OT83)),OT83)</f>
        <v>0</v>
      </c>
      <c r="OV83" s="20" t="n">
        <f aca="false">IF(H_Direct=1,IF(EI83&lt;=0,OU83-EI83*ANI82,OU83-MIN(MIN(EI83*ANI82,LH83+OU83),OU83)),OU83)</f>
        <v>0</v>
      </c>
      <c r="OW83" s="20" t="n">
        <f aca="false">IF(H_Direct=1,IF(EJ83&lt;=0,OV83-EJ83*ANJ82,OV83-MIN(MIN(EJ83*ANJ82,LI83+OV83),OV83)),OV83)</f>
        <v>0</v>
      </c>
      <c r="OX83" s="20" t="n">
        <f aca="false">IF(H_Direct=1,IF(EK83&lt;=0,OW83-EK83*ANK82,OW83-MIN(MIN(EK83*ANK82,LJ83+OW83),OW83)),OW83)</f>
        <v>0</v>
      </c>
      <c r="OY83" s="20" t="n">
        <f aca="false">IF(H_Direct=1,IF(EL83&lt;=0,OX83-EL83*ANL82,OX83-MIN(MIN(EL83*ANL82,LK83+OX83),OX83)),OX83)</f>
        <v>0</v>
      </c>
      <c r="OZ83" s="20" t="n">
        <f aca="false">IF(H_Direct=1,IF(EM83&lt;=0,OY83-EM83*ANM82,OY83-MIN(MIN(EM83*ANM82,LL83+OY83),OY83)),OY83)</f>
        <v>0</v>
      </c>
      <c r="PA83" s="20" t="n">
        <f aca="false">IF(H_Direct=1,IF(EN83&lt;=0,OZ83-EN83*ANN82,OZ83-MIN(MIN(EN83*ANN82,LM83+OZ83),OZ83)),OZ83)</f>
        <v>0</v>
      </c>
      <c r="PB83" s="20" t="n">
        <f aca="false">IF(H_Direct=1,IF(EO83&lt;=0,PA83-EO83*ANO82,PA83-MIN(MIN(EO83*ANO82,LN83+PA83),PA83)),PA83)</f>
        <v>0</v>
      </c>
      <c r="PC83" s="20" t="n">
        <f aca="false">IF(H_Direct=1,IF(EP83&lt;=0,PB83-EP83*(P83+S83),PB83-MIN(MIN(EP83*(P83+S83),LO83+PB83),PB83)),PB83)</f>
        <v>0</v>
      </c>
      <c r="PD83" s="20" t="n">
        <f aca="false">PC83</f>
        <v>0</v>
      </c>
      <c r="PE83" s="20" t="n">
        <f aca="false">PD83</f>
        <v>0</v>
      </c>
      <c r="PF83" s="20" t="n">
        <f aca="false">PE83</f>
        <v>0</v>
      </c>
      <c r="PG83" s="20" t="n">
        <f aca="false">PF83</f>
        <v>0</v>
      </c>
      <c r="PH83" s="20" t="n">
        <f aca="false">PG83</f>
        <v>0</v>
      </c>
      <c r="PI83" s="20" t="n">
        <f aca="false">PH83</f>
        <v>0</v>
      </c>
      <c r="PJ83" s="20" t="n">
        <f aca="false">PI83</f>
        <v>0</v>
      </c>
      <c r="PK83" s="20" t="n">
        <f aca="false">PJ83</f>
        <v>0</v>
      </c>
      <c r="PL83" s="20" t="n">
        <f aca="false">PK83</f>
        <v>0</v>
      </c>
      <c r="PM83" s="20" t="n">
        <f aca="false">PL83</f>
        <v>0</v>
      </c>
      <c r="PN83" s="20" t="n">
        <f aca="false">PM83</f>
        <v>0</v>
      </c>
      <c r="PO83" s="20" t="n">
        <f aca="false">PN83</f>
        <v>0</v>
      </c>
      <c r="PP83" s="20" t="n">
        <f aca="false">PO83</f>
        <v>0</v>
      </c>
      <c r="PQ83" s="20" t="n">
        <f aca="false">PP83</f>
        <v>0</v>
      </c>
      <c r="PR83" s="20" t="n">
        <f aca="false">IF(H_Direct=1,IF(AKR82&lt;=0,0,IF(BR83&lt;=0,MIN(MAX(0,AB83),AKR82),MIN(MAX(0,AB83),AKR82-G83*MAX(0,BR83*AKR82-(H83+I83))))),MIN(FE83,MAX(0,AB83)))</f>
        <v>0</v>
      </c>
      <c r="PS83" s="20" t="n">
        <f aca="false">IF(H_Direct=1,IF(AKS82&lt;=0,0,IF(BS83&lt;=0,MIN(MAX(0,AB83-SUM(PR83:PR83)),AKS82),MIN(MAX(0,AB83-SUM(PR83:PR83)),AKS82-G83*MAX(0,BS83*AKS82-(WR83+AAE83))))),MIN(FF83,MAX(0,AB83-SUM(PR83:PR83))))</f>
        <v>0</v>
      </c>
      <c r="PT83" s="20" t="n">
        <f aca="false">IF(H_Direct=1,IF(AKT82&lt;=0,0,IF(BT83&lt;=0,MIN(MAX(0,AB83-SUM(PR83:PS83)),AKT82),MIN(MAX(0,AB83-SUM(PR83:PS83)),AKT82-G83*MAX(0,BT83*AKT82-(WS83+AAF83))))),MIN(FG83,MAX(0,AB83-SUM(PR83:PS83))))</f>
        <v>0</v>
      </c>
      <c r="PU83" s="20" t="n">
        <f aca="false">IF(H_Direct=1,IF(AKU82&lt;=0,0,IF(BU83&lt;=0,MIN(MAX(0,AB83-SUM(PR83:PT83)),AKU82),MIN(MAX(0,AB83-SUM(PR83:PT83)),AKU82-G83*MAX(0,BU83*AKU82-(WT83+AAG83))))),MIN(FH83,MAX(0,AB83-SUM(PR83:PT83))))</f>
        <v>0</v>
      </c>
      <c r="PV83" s="20" t="n">
        <f aca="false">IF(H_Direct=1,IF(AKV82&lt;=0,0,IF(BV83&lt;=0,MIN(MAX(0,AB83-SUM(PR83:PU83)),AKV82),MIN(MAX(0,AB83-SUM(PR83:PU83)),AKV82-G83*MAX(0,BV83*AKV82-(WU83+AAH83))))),MIN(FI83,MAX(0,AB83-SUM(PR83:PU83))))</f>
        <v>0</v>
      </c>
      <c r="PW83" s="20" t="n">
        <f aca="false">IF(H_Direct=1,IF(AKW82&lt;=0,0,IF(BW83&lt;=0,MIN(MAX(0,AB83-SUM(PR83:PV83)),AKW82),MIN(MAX(0,AB83-SUM(PR83:PV83)),AKW82-G83*MAX(0,BW83*AKW82-(WV83+AAI83))))),MIN(FJ83,MAX(0,AB83-SUM(PR83:PV83))))</f>
        <v>0</v>
      </c>
      <c r="PX83" s="20" t="n">
        <f aca="false">IF(H_Direct=1,IF(AKX82&lt;=0,0,IF(BX83&lt;=0,MIN(MAX(0,AB83-SUM(PR83:PW83)),AKX82),MIN(MAX(0,AB83-SUM(PR83:PW83)),AKX82-G83*MAX(0,BX83*AKX82-(WW83+AAJ83))))),MIN(FK83,MAX(0,AB83-SUM(PR83:PW83))))</f>
        <v>0</v>
      </c>
      <c r="PY83" s="20" t="n">
        <f aca="false">IF(H_Direct=1,IF(AKY82&lt;=0,0,IF(BY83&lt;=0,MIN(MAX(0,AB83-SUM(PR83:PX83)),AKY82),MIN(MAX(0,AB83-SUM(PR83:PX83)),AKY82-G83*MAX(0,BY83*AKY82-(WX83+AAK83))))),MIN(FL83,MAX(0,AB83-SUM(PR83:PX83))))</f>
        <v>0</v>
      </c>
      <c r="PZ83" s="20" t="n">
        <f aca="false">IF(H_Direct=1,IF(AKZ82&lt;=0,0,IF(BZ83&lt;=0,MIN(MAX(0,AB83-SUM(PR83:PY83)),AKZ82),MIN(MAX(0,AB83-SUM(PR83:PY83)),AKZ82-G83*MAX(0,BZ83*AKZ82-(WY83+AAL83))))),MIN(FM83,MAX(0,AB83-SUM(PR83:PY83))))</f>
        <v>0</v>
      </c>
      <c r="QA83" s="20" t="n">
        <f aca="false">IF(H_Direct=1,IF(ALA82&lt;=0,0,IF(CA83&lt;=0,MIN(MAX(0,AB83-SUM(PR83:PZ83)),ALA82),MIN(MAX(0,AB83-SUM(PR83:PZ83)),ALA82-G83*MAX(0,CA83*ALA82-(WZ83+AAM83))))),MIN(FN83,MAX(0,AB83-SUM(PR83:PZ83))))</f>
        <v>0</v>
      </c>
      <c r="QB83" s="20" t="n">
        <f aca="false">IF(H_Direct=1,IF(ALB82&lt;=0,0,IF(CB83&lt;=0,MIN(MAX(0,AB83-SUM(PR83:QA83)),ALB82),MIN(MAX(0,AB83-SUM(PR83:QA83)),ALB82-G83*MAX(0,CB83*ALB82-(XA83+AAN83))))),MIN(FO83,MAX(0,AB83-SUM(PR83:QA83))))</f>
        <v>0</v>
      </c>
      <c r="QC83" s="20" t="n">
        <f aca="false">IF(H_Direct=1,IF(ALC82&lt;=0,0,IF(CC83&lt;=0,MIN(MAX(0,AB83-SUM(PR83:QB83)),ALC82),MIN(MAX(0,AB83-SUM(PR83:QB83)),ALC82-G83*MAX(0,CC83*ALC82-(XB83+AAO83))))),MIN(FP83,MAX(0,AB83-SUM(PR83:QB83))))</f>
        <v>0</v>
      </c>
      <c r="QD83" s="20" t="n">
        <f aca="false">IF(H_Direct=1,IF(ALD82&lt;=0,0,IF(CD83&lt;=0,MIN(MAX(0,AB83-SUM(PR83:QC83)),ALD82),MIN(MAX(0,AB83-SUM(PR83:QC83)),ALD82-G83*MAX(0,CD83*ALD82-(XC83+AAP83))))),MIN(FQ83,MAX(0,AB83-SUM(PR83:QC83))))</f>
        <v>0</v>
      </c>
      <c r="QE83" s="20" t="n">
        <f aca="false">IF(H_Direct=1,IF(ALE82&lt;=0,0,IF(CE83&lt;=0,MIN(MAX(0,AB83-SUM(PR83:QD83)),ALE82),MIN(MAX(0,AB83-SUM(PR83:QD83)),ALE82-G83*MAX(0,CE83*ALE82-(XD83+AAQ83))))),MIN(FR83,MAX(0,AB83-SUM(PR83:QD83))))</f>
        <v>0</v>
      </c>
      <c r="QF83" s="20" t="n">
        <f aca="false">IF(H_Direct=1,IF(ALF82&lt;=0,0,IF(CF83&lt;=0,MIN(MAX(0,AB83-SUM(PR83:QE83)),ALF82),MIN(MAX(0,AB83-SUM(PR83:QE83)),ALF82-G83*MAX(0,CF83*ALF82-(XE83+AAR83))))),MIN(FS83,MAX(0,AB83-SUM(PR83:QE83))))</f>
        <v>0</v>
      </c>
      <c r="QG83" s="20" t="n">
        <f aca="false">IF(H_Direct=1,IF(ALG82&lt;=0,0,IF(CG83&lt;=0,MIN(MAX(0,AB83-SUM(PR83:QF83)),ALG82),MIN(MAX(0,AB83-SUM(PR83:QF83)),ALG82-G83*MAX(0,CG83*ALG82-(XF83+AAS83))))),MIN(FT83,MAX(0,AB83-SUM(PR83:QF83))))</f>
        <v>0</v>
      </c>
      <c r="QH83" s="20" t="n">
        <f aca="false">IF(H_Direct=1,IF(ALH82&lt;=0,0,IF(CH83&lt;=0,MIN(MAX(0,AB83-SUM(PR83:QG83)),ALH82),MIN(MAX(0,AB83-SUM(PR83:QG83)),ALH82-G83*MAX(0,CH83*ALH82-(XG83+AAT83))))),MIN(FU83,MAX(0,AB83-SUM(PR83:QG83))))</f>
        <v>0</v>
      </c>
      <c r="QI83" s="20" t="n">
        <f aca="false">IF(H_Direct=1,IF(ALI82&lt;=0,0,IF(CI83&lt;=0,MIN(MAX(0,AB83-SUM(PR83:QH83)),ALI82),MIN(MAX(0,AB83-SUM(PR83:QH83)),ALI82-G83*MAX(0,CI83*ALI82-(XH83+AAU83))))),MIN(FV83,MAX(0,AB83-SUM(PR83:QH83))))</f>
        <v>0</v>
      </c>
      <c r="QJ83" s="20" t="n">
        <f aca="false">IF(H_Direct=1,IF(ALJ82&lt;=0,0,IF(CJ83&lt;=0,MIN(MAX(0,AB83-SUM(PR83:QI83)),ALJ82),MIN(MAX(0,AB83-SUM(PR83:QI83)),ALJ82-G83*MAX(0,CJ83*ALJ82-(XI83+AAV83))))),MIN(FW83,MAX(0,AB83-SUM(PR83:QI83))))</f>
        <v>0</v>
      </c>
      <c r="QK83" s="20" t="n">
        <f aca="false">IF(H_Direct=1,IF(ALK82&lt;=0,0,IF(CK83&lt;=0,MIN(MAX(0,AB83-SUM(PR83:QJ83)),ALK82),MIN(MAX(0,AB83-SUM(PR83:QJ83)),ALK82-G83*MAX(0,CK83*ALK82-(XJ83+AAW83))))),MIN(FX83,MAX(0,AB83-SUM(PR83:QJ83))))</f>
        <v>0</v>
      </c>
      <c r="QL83" s="20" t="n">
        <f aca="false">IF(H_Direct=1,IF(ALL82&lt;=0,0,IF(CL83&lt;=0,MIN(MAX(0,AB83-SUM(PR83:QK83)),ALL82),MIN(MAX(0,AB83-SUM(PR83:QK83)),ALL82-G83*MAX(0,CL83*ALL82-(XK83+AAX83))))),MIN(FY83,MAX(0,AB83-SUM(PR83:QK83))))</f>
        <v>0</v>
      </c>
      <c r="QM83" s="20" t="n">
        <f aca="false">IF(H_Direct=1,IF(ALM82&lt;=0,0,IF(CM83&lt;=0,MIN(MAX(0,AB83-SUM(PR83:QL83)),ALM82),MIN(MAX(0,AB83-SUM(PR83:QL83)),ALM82-G83*MAX(0,CM83*ALM82-(XL83+AAY83))))),MIN(FZ83,MAX(0,AB83-SUM(PR83:QL83))))</f>
        <v>0</v>
      </c>
      <c r="QN83" s="20" t="n">
        <f aca="false">IF(H_Direct=1,IF(ALN82&lt;=0,0,IF(CN83&lt;=0,MIN(MAX(0,AB83-SUM(PR83:QM83)),ALN82),MIN(MAX(0,AB83-SUM(PR83:QM83)),ALN82-G83*MAX(0,CN83*ALN82-(XM83+AAZ83))))),MIN(GA83,MAX(0,AB83-SUM(PR83:QM83))))</f>
        <v>0</v>
      </c>
      <c r="QO83" s="20" t="n">
        <f aca="false">IF(H_Direct=1,IF(ALO82&lt;=0,0,IF(CO83&lt;=0,MIN(MAX(0,AB83-SUM(PR83:QN83)),ALO82),MIN(MAX(0,AB83-SUM(PR83:QN83)),ALO82-G83*MAX(0,CO83*ALO82-(XN83+ABA83))))),MIN(GB83,MAX(0,AB83-SUM(PR83:QN83))))</f>
        <v>0</v>
      </c>
      <c r="QP83" s="20" t="n">
        <f aca="false">IF(H_Direct=1,IF(ALP82&lt;=0,0,IF(CP83&lt;=0,MIN(MAX(0,AB83-SUM(PR83:QO83)),ALP82),MIN(MAX(0,AB83-SUM(PR83:QO83)),ALP82-G83*MAX(0,CP83*ALP82-(XO83+ABB83))))),MIN(GC83,MAX(0,AB83-SUM(PR83:QO83))))</f>
        <v>0</v>
      </c>
      <c r="QQ83" s="20" t="n">
        <f aca="false">IF(H_Direct=1,IF(ALQ82&lt;=0,0,IF(CQ83&lt;=0,MIN(MAX(0,AB83-SUM(PR83:QP83)),ALQ82),MIN(MAX(0,AB83-SUM(PR83:QP83)),ALQ82-G83*MAX(0,CQ83*ALQ82-(XP83+ABC83))))),MIN(GD83,MAX(0,AB83-SUM(PR83:QP83))))</f>
        <v>0</v>
      </c>
      <c r="QR83" s="20" t="n">
        <f aca="false">IF(H_Direct=1,IF(ALR82&lt;=0,0,IF(CR83&lt;=0,MIN(MAX(0,AB83-SUM(PR83:QQ83)),ALR82),MIN(MAX(0,AB83-SUM(PR83:QQ83)),ALR82-G83*MAX(0,CR83*ALR82-(XQ83+ABD83))))),MIN(GE83,MAX(0,AB83-SUM(PR83:QQ83))))</f>
        <v>0</v>
      </c>
      <c r="QS83" s="20" t="n">
        <f aca="false">IF(H_Direct=1,IF(ALS82&lt;=0,0,IF(CS83&lt;=0,MIN(MAX(0,AB83-SUM(PR83:QR83)),ALS82),MIN(MAX(0,AB83-SUM(PR83:QR83)),ALS82-G83*MAX(0,CS83*ALS82-(XR83+ABE83))))),MIN(GF83,MAX(0,AB83-SUM(PR83:QR83))))</f>
        <v>0</v>
      </c>
      <c r="QT83" s="20" t="n">
        <f aca="false">IF(H_Direct=1,IF(ALT82&lt;=0,0,IF(CT83&lt;=0,MIN(MAX(0,AB83-SUM(PR83:QS83)),ALT82),MIN(MAX(0,AB83-SUM(PR83:QS83)),ALT82-G83*MAX(0,CT83*ALT82-(XS83+ABF83))))),MIN(GG83,MAX(0,AB83-SUM(PR83:QS83))))</f>
        <v>0</v>
      </c>
      <c r="QU83" s="20" t="n">
        <f aca="false">IF(H_Direct=1,IF(ALU82&lt;=0,0,IF(CU83&lt;=0,MIN(MAX(0,AB83-SUM(PR83:QT83)),ALU82),MIN(MAX(0,AB83-SUM(PR83:QT83)),ALU82-G83*MAX(0,CU83*ALU82-(XT83+ABG83))))),MIN(GH83,MAX(0,AB83-SUM(PR83:QT83))))</f>
        <v>0</v>
      </c>
      <c r="QV83" s="20" t="n">
        <f aca="false">IF(H_Direct=1,IF(ALV82&lt;=0,0,IF(CV83&lt;=0,MIN(MAX(0,AB83-SUM(PR83:QU83)),ALV82),MIN(MAX(0,AB83-SUM(PR83:QU83)),ALV82-G83*MAX(0,CV83*ALV82-(XU83+ABH83))))),MIN(GI83,MAX(0,AB83-SUM(PR83:QU83))))</f>
        <v>0</v>
      </c>
      <c r="QW83" s="20" t="n">
        <f aca="false">IF(H_Direct=1,IF(ALW82&lt;=0,0,IF(CW83&lt;=0,MIN(MAX(0,AB83-SUM(PR83:QV83)),ALW82),MIN(MAX(0,AB83-SUM(PR83:QV83)),ALW82-G83*MAX(0,CW83*ALW82-(XV83+ABI83))))),MIN(GJ83,MAX(0,AB83-SUM(PR83:QV83))))</f>
        <v>0</v>
      </c>
      <c r="QX83" s="20" t="n">
        <f aca="false">IF(H_Direct=1,IF(ALX82&lt;=0,0,IF(CX83&lt;=0,MIN(MAX(0,AB83-SUM(PR83:QW83)),ALX82),MIN(MAX(0,AB83-SUM(PR83:QW83)),ALX82-G83*MAX(0,CX83*ALX82-(XW83+ABJ83))))),MIN(GK83,MAX(0,AB83-SUM(PR83:QW83))))</f>
        <v>0</v>
      </c>
      <c r="QY83" s="20" t="n">
        <f aca="false">IF(H_Direct=1,IF(ALY82&lt;=0,0,IF(CY83&lt;=0,MIN(MAX(0,AB83-SUM(PR83:QX83)),ALY82),MIN(MAX(0,AB83-SUM(PR83:QX83)),ALY82-G83*MAX(0,CY83*ALY82-(XX83+ABK83))))),MIN(GL83,MAX(0,AB83-SUM(PR83:QX83))))</f>
        <v>0</v>
      </c>
      <c r="QZ83" s="20" t="n">
        <f aca="false">IF(H_Direct=1,IF(ALZ82&lt;=0,0,IF(CZ83&lt;=0,MIN(MAX(0,AB83-SUM(PR83:QY83)),ALZ82),MIN(MAX(0,AB83-SUM(PR83:QY83)),ALZ82-G83*MAX(0,CZ83*ALZ82-(XY83+ABL83))))),MIN(GM83,MAX(0,AB83-SUM(PR83:QY83))))</f>
        <v>0</v>
      </c>
      <c r="RA83" s="20" t="n">
        <f aca="false">IF(H_Direct=1,IF(AMA82&lt;=0,0,IF(DA83&lt;=0,MIN(MAX(0,AB83-SUM(PR83:QZ83)),AMA82),MIN(MAX(0,AB83-SUM(PR83:QZ83)),AMA82-G83*MAX(0,DA83*AMA82-(XZ83+ABM83))))),MIN(GN83,MAX(0,AB83-SUM(PR83:QZ83))))</f>
        <v>0</v>
      </c>
      <c r="RB83" s="20" t="n">
        <f aca="false">IF(H_Direct=1,IF(AMB82&lt;=0,0,IF(DB83&lt;=0,MIN(MAX(0,AB83-SUM(PR83:RA83)),AMB82),MIN(MAX(0,AB83-SUM(PR83:RA83)),AMB82-G83*MAX(0,DB83*AMB82-(YA83+ABN83))))),MIN(GO83,MAX(0,AB83-SUM(PR83:RA83))))</f>
        <v>0</v>
      </c>
      <c r="RC83" s="20" t="n">
        <f aca="false">IF(H_Direct=1,IF(AMC82&lt;=0,0,IF(DC83&lt;=0,MIN(MAX(0,AB83-SUM(PR83:RB83)),AMC82),MIN(MAX(0,AB83-SUM(PR83:RB83)),AMC82-G83*MAX(0,DC83*AMC82-(YB83+ABO83))))),MIN(GP83,MAX(0,AB83-SUM(PR83:RB83))))</f>
        <v>0</v>
      </c>
      <c r="RD83" s="20" t="n">
        <f aca="false">IF(H_Direct=1,IF(AMD82&lt;=0,0,IF(DD83&lt;=0,MIN(MAX(0,AB83-SUM(PR83:RC83)),AMD82),MIN(MAX(0,AB83-SUM(PR83:RC83)),AMD82-G83*MAX(0,DD83*AMD82-(YC83+ABP83))))),MIN(GQ83,MAX(0,AB83-SUM(PR83:RC83))))</f>
        <v>0</v>
      </c>
      <c r="RE83" s="20" t="n">
        <f aca="false">IF(H_Direct=1,IF(AME82&lt;=0,0,IF(DE83&lt;=0,MIN(MAX(0,AB83-SUM(PR83:RD83)),AME82),MIN(MAX(0,AB83-SUM(PR83:RD83)),AME82-G83*MAX(0,DE83*AME82-(YD83+ABQ83))))),MIN(GR83,MAX(0,AB83-SUM(PR83:RD83))))</f>
        <v>0</v>
      </c>
      <c r="RF83" s="20" t="n">
        <f aca="false">IF(H_Direct=1,IF(AMF82&lt;=0,0,IF(DF83&lt;=0,MIN(MAX(0,AB83-SUM(PR83:RE83)),AMF82),MIN(MAX(0,AB83-SUM(PR83:RE83)),AMF82-G83*MAX(0,DF83*AMF82-(YE83+ABR83))))),MIN(GS83,MAX(0,AB83-SUM(PR83:RE83))))</f>
        <v>0</v>
      </c>
      <c r="RG83" s="20" t="n">
        <f aca="false">IF(H_Direct=1,IF(AMG82&lt;=0,0,IF(DG83&lt;=0,MIN(MAX(0,AB83-SUM(PR83:RF83)),AMG82),MIN(MAX(0,AB83-SUM(PR83:RF83)),AMG82-G83*MAX(0,DG83*AMG82-(YF83+ABS83))))),MIN(GT83,MAX(0,AB83-SUM(PR83:RF83))))</f>
        <v>0</v>
      </c>
      <c r="RH83" s="20" t="n">
        <f aca="false">IF(H_Direct=1,IF(AMH82&lt;=0,0,IF(DH83&lt;=0,MIN(MAX(0,AB83-SUM(PR83:RG83)),AMH82),MIN(MAX(0,AB83-SUM(PR83:RG83)),AMH82-G83*MAX(0,DH83*AMH82-(YG83+ABT83))))),MIN(GU83,MAX(0,AB83-SUM(PR83:RG83))))</f>
        <v>0</v>
      </c>
      <c r="RI83" s="20" t="n">
        <f aca="false">IF(H_Direct=1,IF(AMI82&lt;=0,0,IF(DI83&lt;=0,MIN(MAX(0,AB83-SUM(PR83:RH83)),AMI82),MIN(MAX(0,AB83-SUM(PR83:RH83)),AMI82-G83*MAX(0,DI83*AMI82-(YH83+ABU83))))),MIN(GV83,MAX(0,AB83-SUM(PR83:RH83))))</f>
        <v>0</v>
      </c>
      <c r="RJ83" s="20" t="n">
        <f aca="false">IF(H_Direct=1,IF(AMJ82&lt;=0,0,IF(DJ83&lt;=0,MIN(MAX(0,AB83-SUM(PR83:RI83)),AMJ82),MIN(MAX(0,AB83-SUM(PR83:RI83)),AMJ82-G83*MAX(0,DJ83*AMJ82-(YI83+ABV83))))),MIN(GW83,MAX(0,AB83-SUM(PR83:RI83))))</f>
        <v>0</v>
      </c>
      <c r="RK83" s="20" t="n">
        <f aca="false">IF(H_Direct=1,IF(AMK82&lt;=0,0,IF(DK83&lt;=0,MIN(MAX(0,AB83-SUM(PR83:RJ83)),AMK82),MIN(MAX(0,AB83-SUM(PR83:RJ83)),AMK82-G83*MAX(0,DK83*AMK82-(YJ83+ABW83))))),MIN(GX83,MAX(0,AB83-SUM(PR83:RJ83))))</f>
        <v>0</v>
      </c>
      <c r="RL83" s="20" t="n">
        <f aca="false">IF(H_Direct=1,IF(AML82&lt;=0,0,IF(DL83&lt;=0,MIN(MAX(0,AB83-SUM(PR83:RK83)),AML82),MIN(MAX(0,AB83-SUM(PR83:RK83)),AML82-G83*MAX(0,DL83*AML82-(YK83+ABX83))))),MIN(GY83,MAX(0,AB83-SUM(PR83:RK83))))</f>
        <v>0</v>
      </c>
      <c r="RM83" s="20" t="n">
        <f aca="false">IF(H_Direct=1,IF(AMM82&lt;=0,0,IF(DM83&lt;=0,MIN(MAX(0,AB83-SUM(PR83:RL83)),AMM82),MIN(MAX(0,AB83-SUM(PR83:RL83)),AMM82-G83*MAX(0,DM83*AMM82-(YL83+ABY83))))),MIN(GZ83,MAX(0,AB83-SUM(PR83:RL83))))</f>
        <v>0</v>
      </c>
      <c r="RN83" s="20" t="n">
        <f aca="false">IF(H_Direct=1,IF(AMN82&lt;=0,0,IF(DN83&lt;=0,MIN(MAX(0,AB83-SUM(PR83:RM83)),AMN82),MIN(MAX(0,AB83-SUM(PR83:RM83)),AMN82-G83*MAX(0,DN83*AMN82-(YM83+ABZ83))))),MIN(HA83,MAX(0,AB83-SUM(PR83:RM83))))</f>
        <v>0</v>
      </c>
      <c r="RO83" s="20" t="n">
        <f aca="false">IF(H_Direct=1,IF(AMO82&lt;=0,0,IF(DO83&lt;=0,MIN(MAX(0,AB83-SUM(PR83:RN83)),AMO82),MIN(MAX(0,AB83-SUM(PR83:RN83)),AMO82-G83*MAX(0,DO83*AMO82-(YN83+ACA83))))),MIN(HB83,MAX(0,AB83-SUM(PR83:RN83))))</f>
        <v>0</v>
      </c>
      <c r="RP83" s="20" t="n">
        <f aca="false">IF(H_Direct=1,IF(AMP82&lt;=0,0,IF(DP83&lt;=0,MIN(MAX(0,AB83-SUM(PR83:RO83)),AMP82),MIN(MAX(0,AB83-SUM(PR83:RO83)),AMP82-G83*MAX(0,DP83*AMP82-(YO83+ACB83))))),MIN(HC83,MAX(0,AB83-SUM(PR83:RO83))))</f>
        <v>0</v>
      </c>
      <c r="RQ83" s="20" t="n">
        <f aca="false">IF(H_Direct=1,IF(AMQ82&lt;=0,0,IF(DQ83&lt;=0,MIN(MAX(0,AB83-SUM(PR83:RP83)),AMQ82),MIN(MAX(0,AB83-SUM(PR83:RP83)),AMQ82-G83*MAX(0,DQ83*AMQ82-(YP83+ACC83))))),MIN(HD83,MAX(0,AB83-SUM(PR83:RP83))))</f>
        <v>0</v>
      </c>
      <c r="RR83" s="20" t="n">
        <f aca="false">IF(H_Direct=1,IF(AMR82&lt;=0,0,IF(DR83&lt;=0,MIN(MAX(0,AB83-SUM(PR83:RQ83)),AMR82),MIN(MAX(0,AB83-SUM(PR83:RQ83)),AMR82-G83*MAX(0,DR83*AMR82-(YQ83+ACD83))))),MIN(HE83,MAX(0,AB83-SUM(PR83:RQ83))))</f>
        <v>0</v>
      </c>
      <c r="RS83" s="20" t="n">
        <f aca="false">IF(H_Direct=1,IF(AMS82&lt;=0,0,IF(DS83&lt;=0,MIN(MAX(0,AB83-SUM(PR83:RR83)),AMS82),MIN(MAX(0,AB83-SUM(PR83:RR83)),AMS82-G83*MAX(0,DS83*AMS82-(YR83+ACE83))))),MIN(HF83,MAX(0,AB83-SUM(PR83:RR83))))</f>
        <v>0</v>
      </c>
      <c r="RT83" s="20" t="n">
        <f aca="false">IF(H_Direct=1,IF(AMT82&lt;=0,0,IF(DT83&lt;=0,MIN(MAX(0,AB83-SUM(PR83:RS83)),AMT82),MIN(MAX(0,AB83-SUM(PR83:RS83)),AMT82-G83*MAX(0,DT83*AMT82-(YS83+ACF83))))),MIN(HG83,MAX(0,AB83-SUM(PR83:RS83))))</f>
        <v>0</v>
      </c>
      <c r="RU83" s="20" t="n">
        <f aca="false">IF(H_Direct=1,IF(AMU82&lt;=0,0,IF(DU83&lt;=0,MIN(MAX(0,AB83-SUM(PR83:RT83)),AMU82),MIN(MAX(0,AB83-SUM(PR83:RT83)),AMU82-G83*MAX(0,DU83*AMU82-(YT83+ACG83))))),MIN(HH83,MAX(0,AB83-SUM(PR83:RT83))))</f>
        <v>0</v>
      </c>
      <c r="RV83" s="20" t="n">
        <f aca="false">IF(H_Direct=1,IF(AMV82&lt;=0,0,IF(DV83&lt;=0,MIN(MAX(0,AB83-SUM(PR83:RU83)),AMV82),MIN(MAX(0,AB83-SUM(PR83:RU83)),AMV82-G83*MAX(0,DV83*AMV82-(YU83+ACH83))))),MIN(HI83,MAX(0,AB83-SUM(PR83:RU83))))</f>
        <v>0</v>
      </c>
      <c r="RW83" s="20" t="n">
        <f aca="false">IF(H_Direct=1,IF(AMW82&lt;=0,0,IF(DW83&lt;=0,MIN(MAX(0,AB83-SUM(PR83:RV83)),AMW82),MIN(MAX(0,AB83-SUM(PR83:RV83)),AMW82-G83*MAX(0,DW83*AMW82-(YV83+ACI83))))),MIN(HJ83,MAX(0,AB83-SUM(PR83:RV83))))</f>
        <v>0</v>
      </c>
      <c r="RX83" s="20" t="n">
        <f aca="false">IF(H_Direct=1,IF(AMX82&lt;=0,0,IF(DX83&lt;=0,MIN(MAX(0,AB83-SUM(PR83:RW83)),AMX82),MIN(MAX(0,AB83-SUM(PR83:RW83)),AMX82-G83*MAX(0,DX83*AMX82-(YW83+ACJ83))))),MIN(HK83,MAX(0,AB83-SUM(PR83:RW83))))</f>
        <v>0</v>
      </c>
      <c r="RY83" s="20" t="n">
        <f aca="false">IF(H_Direct=1,IF(AMY82&lt;=0,0,IF(DY83&lt;=0,MIN(MAX(0,AB83-SUM(PR83:RX83)),AMY82),MIN(MAX(0,AB83-SUM(PR83:RX83)),AMY82-G83*MAX(0,DY83*AMY82-(YX83+ACK83))))),MIN(HL83,MAX(0,AB83-SUM(PR83:RX83))))</f>
        <v>0</v>
      </c>
      <c r="RZ83" s="20" t="n">
        <f aca="false">IF(H_Direct=1,IF(AMZ82&lt;=0,0,IF(DZ83&lt;=0,MIN(MAX(0,AB83-SUM(PR83:RY83)),AMZ82),MIN(MAX(0,AB83-SUM(PR83:RY83)),AMZ82-G83*MAX(0,DZ83*AMZ82-(YY83+ACL83))))),MIN(HM83,MAX(0,AB83-SUM(PR83:RY83))))</f>
        <v>0</v>
      </c>
      <c r="SA83" s="20" t="n">
        <f aca="false">IF(H_Direct=1,IF(ANA82&lt;=0,0,IF(EA83&lt;=0,MIN(MAX(0,AB83-SUM(PR83:RZ83)),ANA82),MIN(MAX(0,AB83-SUM(PR83:RZ83)),ANA82-G83*MAX(0,EA83*ANA82-(YZ83+ACM83))))),MIN(HN83,MAX(0,AB83-SUM(PR83:RZ83))))</f>
        <v>0</v>
      </c>
      <c r="SB83" s="20" t="n">
        <f aca="false">IF(H_Direct=1,IF(ANB82&lt;=0,0,IF(EB83&lt;=0,MIN(MAX(0,AB83-SUM(PR83:SA83)),ANB82),MIN(MAX(0,AB83-SUM(PR83:SA83)),ANB82-G83*MAX(0,EB83*ANB82-(ZA83+ACN83))))),MIN(HO83,MAX(0,AB83-SUM(PR83:SA83))))</f>
        <v>0</v>
      </c>
      <c r="SC83" s="20" t="n">
        <f aca="false">IF(H_Direct=1,IF(ANC82&lt;=0,0,IF(EC83&lt;=0,MIN(MAX(0,AB83-SUM(PR83:SB83)),ANC82),MIN(MAX(0,AB83-SUM(PR83:SB83)),ANC82-G83*MAX(0,EC83*ANC82-(ZB83+ACO83))))),MIN(HP83,MAX(0,AB83-SUM(PR83:SB83))))</f>
        <v>0</v>
      </c>
      <c r="SD83" s="20" t="n">
        <f aca="false">IF(H_Direct=1,IF(AND82&lt;=0,0,IF(ED83&lt;=0,MIN(MAX(0,AB83-SUM(PR83:SC83)),AND82),MIN(MAX(0,AB83-SUM(PR83:SC83)),AND82-G83*MAX(0,ED83*AND82-(ZC83+ACP83))))),MIN(HQ83,MAX(0,AB83-SUM(PR83:SC83))))</f>
        <v>0</v>
      </c>
      <c r="SE83" s="20" t="n">
        <f aca="false">IF(H_Direct=1,IF(ANE82&lt;=0,0,IF(EE83&lt;=0,MIN(MAX(0,AB83-SUM(PR83:SD83)),ANE82),MIN(MAX(0,AB83-SUM(PR83:SD83)),ANE82-G83*MAX(0,EE83*ANE82-(ZD83+ACQ83))))),MIN(HR83,MAX(0,AB83-SUM(PR83:SD83))))</f>
        <v>0</v>
      </c>
      <c r="SF83" s="20" t="n">
        <f aca="false">IF(H_Direct=1,IF(ANF82&lt;=0,0,IF(EF83&lt;=0,MIN(MAX(0,AB83-SUM(PR83:SE83)),ANF82),MIN(MAX(0,AB83-SUM(PR83:SE83)),ANF82-G83*MAX(0,EF83*ANF82-(ZE83+ACR83))))),MIN(HS83,MAX(0,AB83-SUM(PR83:SE83))))</f>
        <v>0</v>
      </c>
      <c r="SG83" s="20" t="n">
        <f aca="false">IF(H_Direct=1,IF(ANG82&lt;=0,0,IF(EG83&lt;=0,MIN(MAX(0,AB83-SUM(PR83:SF83)),ANG82),MIN(MAX(0,AB83-SUM(PR83:SF83)),ANG82-G83*MAX(0,EG83*ANG82-(ZF83+ACS83))))),MIN(HT83,MAX(0,AB83-SUM(PR83:SF83))))</f>
        <v>0</v>
      </c>
      <c r="SH83" s="20" t="n">
        <f aca="false">IF(H_Direct=1,IF(ANH82&lt;=0,0,IF(EH83&lt;=0,MIN(MAX(0,AB83-SUM(PR83:SG83)),ANH82),MIN(MAX(0,AB83-SUM(PR83:SG83)),ANH82-G83*MAX(0,EH83*ANH82-(ZG83+ACT83))))),MIN(HU83,MAX(0,AB83-SUM(PR83:SG83))))</f>
        <v>0</v>
      </c>
      <c r="SI83" s="20" t="n">
        <f aca="false">IF(H_Direct=1,IF(ANI82&lt;=0,0,IF(EI83&lt;=0,MIN(MAX(0,AB83-SUM(PR83:SH83)),ANI82),MIN(MAX(0,AB83-SUM(PR83:SH83)),ANI82-G83*MAX(0,EI83*ANI82-(ZH83+ACU83))))),MIN(HV83,MAX(0,AB83-SUM(PR83:SH83))))</f>
        <v>0</v>
      </c>
      <c r="SJ83" s="20" t="n">
        <f aca="false">IF(H_Direct=1,IF(ANJ82&lt;=0,0,IF(EJ83&lt;=0,MIN(MAX(0,AB83-SUM(PR83:SI83)),ANJ82),MIN(MAX(0,AB83-SUM(PR83:SI83)),ANJ82-G83*MAX(0,EJ83*ANJ82-(ZI83+ACV83))))),MIN(HW83,MAX(0,AB83-SUM(PR83:SI83))))</f>
        <v>0</v>
      </c>
      <c r="SK83" s="20" t="n">
        <f aca="false">IF(H_Direct=1,IF(ANK82&lt;=0,0,IF(EK83&lt;=0,MIN(MAX(0,AB83-SUM(PR83:SJ83)),ANK82),MIN(MAX(0,AB83-SUM(PR83:SJ83)),ANK82-G83*MAX(0,EK83*ANK82-(ZJ83+ACW83))))),MIN(HX83,MAX(0,AB83-SUM(PR83:SJ83))))</f>
        <v>0</v>
      </c>
      <c r="SL83" s="20" t="n">
        <f aca="false">IF(H_Direct=1,IF(ANL82&lt;=0,0,IF(EL83&lt;=0,MIN(MAX(0,AB83-SUM(PR83:SK83)),ANL82),MIN(MAX(0,AB83-SUM(PR83:SK83)),ANL82-G83*MAX(0,EL83*ANL82-(ZK83+ACX83))))),MIN(HY83,MAX(0,AB83-SUM(PR83:SK83))))</f>
        <v>0</v>
      </c>
      <c r="SM83" s="20" t="n">
        <f aca="false">IF(H_Direct=1,IF(ANM82&lt;=0,0,IF(EM83&lt;=0,MIN(MAX(0,AB83-SUM(PR83:SL83)),ANM82),MIN(MAX(0,AB83-SUM(PR83:SL83)),ANM82-G83*MAX(0,EM83*ANM82-(ZL83+ACY83))))),MIN(HZ83,MAX(0,AB83-SUM(PR83:SL83))))</f>
        <v>0</v>
      </c>
      <c r="SN83" s="20" t="n">
        <f aca="false">IF(H_Direct=1,IF(ANN82&lt;=0,0,IF(EN83&lt;=0,MIN(MAX(0,AB83-SUM(PR83:SM83)),ANN82),MIN(MAX(0,AB83-SUM(PR83:SM83)),ANN82-G83*MAX(0,EN83*ANN82-(ZM83+ACZ83))))),MIN(IA83,MAX(0,AB83-SUM(PR83:SM83))))</f>
        <v>0</v>
      </c>
      <c r="SO83" s="20" t="n">
        <f aca="false">IF(H_Direct=1,IF(ANO82&lt;=0,0,IF(EO83&lt;=0,MIN(MAX(0,AB83-SUM(PR83:SN83)),ANO82),MIN(MAX(0,AB83-SUM(PR83:SN83)),ANO82-G83*MAX(0,EO83*ANO82-(ZN83+ADA83))))),MIN(IB83,MAX(0,AB83-SUM(PR83:SN83))))</f>
        <v>0</v>
      </c>
      <c r="SP83" s="20" t="n">
        <f aca="false">IF(H_Direct=1,IF((P83+S83)&lt;=0,0,IF(EP83&lt;=0,MIN(MAX(0,AB83-SUM(PR83:SO83)),(P83+S83)),MIN(MAX(0,AB83-SUM(PR83:SO83)),(P83+S83)-G83*MAX(0,EP83*(P83+S83)-(ZO83+ADB83))))),MIN(IC83,MAX(0,AB83-SUM(PR83:SO83))))</f>
        <v>0</v>
      </c>
      <c r="SQ83" s="20" t="n">
        <v>0</v>
      </c>
      <c r="SR83" s="20" t="n">
        <v>0</v>
      </c>
      <c r="SS83" s="20" t="n">
        <v>0</v>
      </c>
      <c r="ST83" s="20" t="n">
        <v>0</v>
      </c>
      <c r="SU83" s="20" t="n">
        <v>0</v>
      </c>
      <c r="SV83" s="20" t="n">
        <v>0</v>
      </c>
      <c r="SW83" s="20" t="n">
        <v>0</v>
      </c>
      <c r="SX83" s="20" t="n">
        <v>0</v>
      </c>
      <c r="SY83" s="20" t="n">
        <v>0</v>
      </c>
      <c r="SZ83" s="20" t="n">
        <v>0</v>
      </c>
      <c r="TA83" s="20" t="n">
        <v>0</v>
      </c>
      <c r="TB83" s="20" t="n">
        <v>0</v>
      </c>
      <c r="TC83" s="20" t="n">
        <v>0</v>
      </c>
      <c r="TD83" s="20" t="n">
        <v>0</v>
      </c>
      <c r="TE83" s="20" t="n">
        <f aca="false">IF(AKR82&lt;=0,0,IF(H_Direct=1,IF(BR83&lt;=0,PR83,IF(PR83&lt;=(H83+I83)/BR83,PR83,(PR83-G83*(H83+I83))/(1-G83*BR83))),PR83/(1-MAX(0,BR83)*H_Exit)))</f>
        <v>0</v>
      </c>
      <c r="TF83" s="20" t="n">
        <f aca="false">IF(AKS82&lt;=0,0,IF(H_Direct=1,IF(BS83&lt;=0,PS83,IF(PS83&lt;=(WR83+AAE83)/BS83,PS83,(PS83-G83*(WR83+AAE83))/(1-G83*BS83))),PS83/(1-MAX(0,BS83)*H_Exit)))</f>
        <v>0</v>
      </c>
      <c r="TG83" s="20" t="n">
        <f aca="false">IF(AKT82&lt;=0,0,IF(H_Direct=1,IF(BT83&lt;=0,PT83,IF(PT83&lt;=(WS83+AAF83)/BT83,PT83,(PT83-G83*(WS83+AAF83))/(1-G83*BT83))),PT83/(1-MAX(0,BT83)*H_Exit)))</f>
        <v>0</v>
      </c>
      <c r="TH83" s="20" t="n">
        <f aca="false">IF(AKU82&lt;=0,0,IF(H_Direct=1,IF(BU83&lt;=0,PU83,IF(PU83&lt;=(WT83+AAG83)/BU83,PU83,(PU83-G83*(WT83+AAG83))/(1-G83*BU83))),PU83/(1-MAX(0,BU83)*H_Exit)))</f>
        <v>0</v>
      </c>
      <c r="TI83" s="20" t="n">
        <f aca="false">IF(AKV82&lt;=0,0,IF(H_Direct=1,IF(BV83&lt;=0,PV83,IF(PV83&lt;=(WU83+AAH83)/BV83,PV83,(PV83-G83*(WU83+AAH83))/(1-G83*BV83))),PV83/(1-MAX(0,BV83)*H_Exit)))</f>
        <v>0</v>
      </c>
      <c r="TJ83" s="20" t="n">
        <f aca="false">IF(AKW82&lt;=0,0,IF(H_Direct=1,IF(BW83&lt;=0,PW83,IF(PW83&lt;=(WV83+AAI83)/BW83,PW83,(PW83-G83*(WV83+AAI83))/(1-G83*BW83))),PW83/(1-MAX(0,BW83)*H_Exit)))</f>
        <v>0</v>
      </c>
      <c r="TK83" s="20" t="n">
        <f aca="false">IF(AKX82&lt;=0,0,IF(H_Direct=1,IF(BX83&lt;=0,PX83,IF(PX83&lt;=(WW83+AAJ83)/BX83,PX83,(PX83-G83*(WW83+AAJ83))/(1-G83*BX83))),PX83/(1-MAX(0,BX83)*H_Exit)))</f>
        <v>0</v>
      </c>
      <c r="TL83" s="20" t="n">
        <f aca="false">IF(AKY82&lt;=0,0,IF(H_Direct=1,IF(BY83&lt;=0,PY83,IF(PY83&lt;=(WX83+AAK83)/BY83,PY83,(PY83-G83*(WX83+AAK83))/(1-G83*BY83))),PY83/(1-MAX(0,BY83)*H_Exit)))</f>
        <v>0</v>
      </c>
      <c r="TM83" s="20" t="n">
        <f aca="false">IF(AKZ82&lt;=0,0,IF(H_Direct=1,IF(BZ83&lt;=0,PZ83,IF(PZ83&lt;=(WY83+AAL83)/BZ83,PZ83,(PZ83-G83*(WY83+AAL83))/(1-G83*BZ83))),PZ83/(1-MAX(0,BZ83)*H_Exit)))</f>
        <v>0</v>
      </c>
      <c r="TN83" s="20" t="n">
        <f aca="false">IF(ALA82&lt;=0,0,IF(H_Direct=1,IF(CA83&lt;=0,QA83,IF(QA83&lt;=(WZ83+AAM83)/CA83,QA83,(QA83-G83*(WZ83+AAM83))/(1-G83*CA83))),QA83/(1-MAX(0,CA83)*H_Exit)))</f>
        <v>0</v>
      </c>
      <c r="TO83" s="20" t="n">
        <f aca="false">IF(ALB82&lt;=0,0,IF(H_Direct=1,IF(CB83&lt;=0,QB83,IF(QB83&lt;=(XA83+AAN83)/CB83,QB83,(QB83-G83*(XA83+AAN83))/(1-G83*CB83))),QB83/(1-MAX(0,CB83)*H_Exit)))</f>
        <v>0</v>
      </c>
      <c r="TP83" s="20" t="n">
        <f aca="false">IF(ALC82&lt;=0,0,IF(H_Direct=1,IF(CC83&lt;=0,QC83,IF(QC83&lt;=(XB83+AAO83)/CC83,QC83,(QC83-G83*(XB83+AAO83))/(1-G83*CC83))),QC83/(1-MAX(0,CC83)*H_Exit)))</f>
        <v>0</v>
      </c>
      <c r="TQ83" s="20" t="n">
        <f aca="false">IF(ALD82&lt;=0,0,IF(H_Direct=1,IF(CD83&lt;=0,QD83,IF(QD83&lt;=(XC83+AAP83)/CD83,QD83,(QD83-G83*(XC83+AAP83))/(1-G83*CD83))),QD83/(1-MAX(0,CD83)*H_Exit)))</f>
        <v>0</v>
      </c>
      <c r="TR83" s="20" t="n">
        <f aca="false">IF(ALE82&lt;=0,0,IF(H_Direct=1,IF(CE83&lt;=0,QE83,IF(QE83&lt;=(XD83+AAQ83)/CE83,QE83,(QE83-G83*(XD83+AAQ83))/(1-G83*CE83))),QE83/(1-MAX(0,CE83)*H_Exit)))</f>
        <v>0</v>
      </c>
      <c r="TS83" s="20" t="n">
        <f aca="false">IF(ALF82&lt;=0,0,IF(H_Direct=1,IF(CF83&lt;=0,QF83,IF(QF83&lt;=(XE83+AAR83)/CF83,QF83,(QF83-G83*(XE83+AAR83))/(1-G83*CF83))),QF83/(1-MAX(0,CF83)*H_Exit)))</f>
        <v>0</v>
      </c>
      <c r="TT83" s="20" t="n">
        <f aca="false">IF(ALG82&lt;=0,0,IF(H_Direct=1,IF(CG83&lt;=0,QG83,IF(QG83&lt;=(XF83+AAS83)/CG83,QG83,(QG83-G83*(XF83+AAS83))/(1-G83*CG83))),QG83/(1-MAX(0,CG83)*H_Exit)))</f>
        <v>0</v>
      </c>
      <c r="TU83" s="20" t="n">
        <f aca="false">IF(ALH82&lt;=0,0,IF(H_Direct=1,IF(CH83&lt;=0,QH83,IF(QH83&lt;=(XG83+AAT83)/CH83,QH83,(QH83-G83*(XG83+AAT83))/(1-G83*CH83))),QH83/(1-MAX(0,CH83)*H_Exit)))</f>
        <v>0</v>
      </c>
      <c r="TV83" s="20" t="n">
        <f aca="false">IF(ALI82&lt;=0,0,IF(H_Direct=1,IF(CI83&lt;=0,QI83,IF(QI83&lt;=(XH83+AAU83)/CI83,QI83,(QI83-G83*(XH83+AAU83))/(1-G83*CI83))),QI83/(1-MAX(0,CI83)*H_Exit)))</f>
        <v>0</v>
      </c>
      <c r="TW83" s="20" t="n">
        <f aca="false">IF(ALJ82&lt;=0,0,IF(H_Direct=1,IF(CJ83&lt;=0,QJ83,IF(QJ83&lt;=(XI83+AAV83)/CJ83,QJ83,(QJ83-G83*(XI83+AAV83))/(1-G83*CJ83))),QJ83/(1-MAX(0,CJ83)*H_Exit)))</f>
        <v>0</v>
      </c>
      <c r="TX83" s="20" t="n">
        <f aca="false">IF(ALK82&lt;=0,0,IF(H_Direct=1,IF(CK83&lt;=0,QK83,IF(QK83&lt;=(XJ83+AAW83)/CK83,QK83,(QK83-G83*(XJ83+AAW83))/(1-G83*CK83))),QK83/(1-MAX(0,CK83)*H_Exit)))</f>
        <v>0</v>
      </c>
      <c r="TY83" s="20" t="n">
        <f aca="false">IF(ALL82&lt;=0,0,IF(H_Direct=1,IF(CL83&lt;=0,QL83,IF(QL83&lt;=(XK83+AAX83)/CL83,QL83,(QL83-G83*(XK83+AAX83))/(1-G83*CL83))),QL83/(1-MAX(0,CL83)*H_Exit)))</f>
        <v>0</v>
      </c>
      <c r="TZ83" s="20" t="n">
        <f aca="false">IF(ALM82&lt;=0,0,IF(H_Direct=1,IF(CM83&lt;=0,QM83,IF(QM83&lt;=(XL83+AAY83)/CM83,QM83,(QM83-G83*(XL83+AAY83))/(1-G83*CM83))),QM83/(1-MAX(0,CM83)*H_Exit)))</f>
        <v>0</v>
      </c>
      <c r="UA83" s="20" t="n">
        <f aca="false">IF(ALN82&lt;=0,0,IF(H_Direct=1,IF(CN83&lt;=0,QN83,IF(QN83&lt;=(XM83+AAZ83)/CN83,QN83,(QN83-G83*(XM83+AAZ83))/(1-G83*CN83))),QN83/(1-MAX(0,CN83)*H_Exit)))</f>
        <v>0</v>
      </c>
      <c r="UB83" s="20" t="n">
        <f aca="false">IF(ALO82&lt;=0,0,IF(H_Direct=1,IF(CO83&lt;=0,QO83,IF(QO83&lt;=(XN83+ABA83)/CO83,QO83,(QO83-G83*(XN83+ABA83))/(1-G83*CO83))),QO83/(1-MAX(0,CO83)*H_Exit)))</f>
        <v>0</v>
      </c>
      <c r="UC83" s="20" t="n">
        <f aca="false">IF(ALP82&lt;=0,0,IF(H_Direct=1,IF(CP83&lt;=0,QP83,IF(QP83&lt;=(XO83+ABB83)/CP83,QP83,(QP83-G83*(XO83+ABB83))/(1-G83*CP83))),QP83/(1-MAX(0,CP83)*H_Exit)))</f>
        <v>0</v>
      </c>
      <c r="UD83" s="20" t="n">
        <f aca="false">IF(ALQ82&lt;=0,0,IF(H_Direct=1,IF(CQ83&lt;=0,QQ83,IF(QQ83&lt;=(XP83+ABC83)/CQ83,QQ83,(QQ83-G83*(XP83+ABC83))/(1-G83*CQ83))),QQ83/(1-MAX(0,CQ83)*H_Exit)))</f>
        <v>0</v>
      </c>
      <c r="UE83" s="20" t="n">
        <f aca="false">IF(ALR82&lt;=0,0,IF(H_Direct=1,IF(CR83&lt;=0,QR83,IF(QR83&lt;=(XQ83+ABD83)/CR83,QR83,(QR83-G83*(XQ83+ABD83))/(1-G83*CR83))),QR83/(1-MAX(0,CR83)*H_Exit)))</f>
        <v>0</v>
      </c>
      <c r="UF83" s="20" t="n">
        <f aca="false">IF(ALS82&lt;=0,0,IF(H_Direct=1,IF(CS83&lt;=0,QS83,IF(QS83&lt;=(XR83+ABE83)/CS83,QS83,(QS83-G83*(XR83+ABE83))/(1-G83*CS83))),QS83/(1-MAX(0,CS83)*H_Exit)))</f>
        <v>0</v>
      </c>
      <c r="UG83" s="20" t="n">
        <f aca="false">IF(ALT82&lt;=0,0,IF(H_Direct=1,IF(CT83&lt;=0,QT83,IF(QT83&lt;=(XS83+ABF83)/CT83,QT83,(QT83-G83*(XS83+ABF83))/(1-G83*CT83))),QT83/(1-MAX(0,CT83)*H_Exit)))</f>
        <v>0</v>
      </c>
      <c r="UH83" s="20" t="n">
        <f aca="false">IF(ALU82&lt;=0,0,IF(H_Direct=1,IF(CU83&lt;=0,QU83,IF(QU83&lt;=(XT83+ABG83)/CU83,QU83,(QU83-G83*(XT83+ABG83))/(1-G83*CU83))),QU83/(1-MAX(0,CU83)*H_Exit)))</f>
        <v>0</v>
      </c>
      <c r="UI83" s="20" t="n">
        <f aca="false">IF(ALV82&lt;=0,0,IF(H_Direct=1,IF(CV83&lt;=0,QV83,IF(QV83&lt;=(XU83+ABH83)/CV83,QV83,(QV83-G83*(XU83+ABH83))/(1-G83*CV83))),QV83/(1-MAX(0,CV83)*H_Exit)))</f>
        <v>0</v>
      </c>
      <c r="UJ83" s="20" t="n">
        <f aca="false">IF(ALW82&lt;=0,0,IF(H_Direct=1,IF(CW83&lt;=0,QW83,IF(QW83&lt;=(XV83+ABI83)/CW83,QW83,(QW83-G83*(XV83+ABI83))/(1-G83*CW83))),QW83/(1-MAX(0,CW83)*H_Exit)))</f>
        <v>0</v>
      </c>
      <c r="UK83" s="20" t="n">
        <f aca="false">IF(ALX82&lt;=0,0,IF(H_Direct=1,IF(CX83&lt;=0,QX83,IF(QX83&lt;=(XW83+ABJ83)/CX83,QX83,(QX83-G83*(XW83+ABJ83))/(1-G83*CX83))),QX83/(1-MAX(0,CX83)*H_Exit)))</f>
        <v>0</v>
      </c>
      <c r="UL83" s="20" t="n">
        <f aca="false">IF(ALY82&lt;=0,0,IF(H_Direct=1,IF(CY83&lt;=0,QY83,IF(QY83&lt;=(XX83+ABK83)/CY83,QY83,(QY83-G83*(XX83+ABK83))/(1-G83*CY83))),QY83/(1-MAX(0,CY83)*H_Exit)))</f>
        <v>0</v>
      </c>
      <c r="UM83" s="20" t="n">
        <f aca="false">IF(ALZ82&lt;=0,0,IF(H_Direct=1,IF(CZ83&lt;=0,QZ83,IF(QZ83&lt;=(XY83+ABL83)/CZ83,QZ83,(QZ83-G83*(XY83+ABL83))/(1-G83*CZ83))),QZ83/(1-MAX(0,CZ83)*H_Exit)))</f>
        <v>0</v>
      </c>
      <c r="UN83" s="20" t="n">
        <f aca="false">IF(AMA82&lt;=0,0,IF(H_Direct=1,IF(DA83&lt;=0,RA83,IF(RA83&lt;=(XZ83+ABM83)/DA83,RA83,(RA83-G83*(XZ83+ABM83))/(1-G83*DA83))),RA83/(1-MAX(0,DA83)*H_Exit)))</f>
        <v>0</v>
      </c>
      <c r="UO83" s="20" t="n">
        <f aca="false">IF(AMB82&lt;=0,0,IF(H_Direct=1,IF(DB83&lt;=0,RB83,IF(RB83&lt;=(YA83+ABN83)/DB83,RB83,(RB83-G83*(YA83+ABN83))/(1-G83*DB83))),RB83/(1-MAX(0,DB83)*H_Exit)))</f>
        <v>0</v>
      </c>
      <c r="UP83" s="20" t="n">
        <f aca="false">IF(AMC82&lt;=0,0,IF(H_Direct=1,IF(DC83&lt;=0,RC83,IF(RC83&lt;=(YB83+ABO83)/DC83,RC83,(RC83-G83*(YB83+ABO83))/(1-G83*DC83))),RC83/(1-MAX(0,DC83)*H_Exit)))</f>
        <v>0</v>
      </c>
      <c r="UQ83" s="20" t="n">
        <f aca="false">IF(AMD82&lt;=0,0,IF(H_Direct=1,IF(DD83&lt;=0,RD83,IF(RD83&lt;=(YC83+ABP83)/DD83,RD83,(RD83-G83*(YC83+ABP83))/(1-G83*DD83))),RD83/(1-MAX(0,DD83)*H_Exit)))</f>
        <v>0</v>
      </c>
      <c r="UR83" s="20" t="n">
        <f aca="false">IF(AME82&lt;=0,0,IF(H_Direct=1,IF(DE83&lt;=0,RE83,IF(RE83&lt;=(YD83+ABQ83)/DE83,RE83,(RE83-G83*(YD83+ABQ83))/(1-G83*DE83))),RE83/(1-MAX(0,DE83)*H_Exit)))</f>
        <v>0</v>
      </c>
      <c r="US83" s="20" t="n">
        <f aca="false">IF(AMF82&lt;=0,0,IF(H_Direct=1,IF(DF83&lt;=0,RF83,IF(RF83&lt;=(YE83+ABR83)/DF83,RF83,(RF83-G83*(YE83+ABR83))/(1-G83*DF83))),RF83/(1-MAX(0,DF83)*H_Exit)))</f>
        <v>0</v>
      </c>
      <c r="UT83" s="20" t="n">
        <f aca="false">IF(AMG82&lt;=0,0,IF(H_Direct=1,IF(DG83&lt;=0,RG83,IF(RG83&lt;=(YF83+ABS83)/DG83,RG83,(RG83-G83*(YF83+ABS83))/(1-G83*DG83))),RG83/(1-MAX(0,DG83)*H_Exit)))</f>
        <v>0</v>
      </c>
      <c r="UU83" s="20" t="n">
        <f aca="false">IF(AMH82&lt;=0,0,IF(H_Direct=1,IF(DH83&lt;=0,RH83,IF(RH83&lt;=(YG83+ABT83)/DH83,RH83,(RH83-G83*(YG83+ABT83))/(1-G83*DH83))),RH83/(1-MAX(0,DH83)*H_Exit)))</f>
        <v>0</v>
      </c>
      <c r="UV83" s="20" t="n">
        <f aca="false">IF(AMI82&lt;=0,0,IF(H_Direct=1,IF(DI83&lt;=0,RI83,IF(RI83&lt;=(YH83+ABU83)/DI83,RI83,(RI83-G83*(YH83+ABU83))/(1-G83*DI83))),RI83/(1-MAX(0,DI83)*H_Exit)))</f>
        <v>0</v>
      </c>
      <c r="UW83" s="20" t="n">
        <f aca="false">IF(AMJ82&lt;=0,0,IF(H_Direct=1,IF(DJ83&lt;=0,RJ83,IF(RJ83&lt;=(YI83+ABV83)/DJ83,RJ83,(RJ83-G83*(YI83+ABV83))/(1-G83*DJ83))),RJ83/(1-MAX(0,DJ83)*H_Exit)))</f>
        <v>0</v>
      </c>
      <c r="UX83" s="20" t="n">
        <f aca="false">IF(AMK82&lt;=0,0,IF(H_Direct=1,IF(DK83&lt;=0,RK83,IF(RK83&lt;=(YJ83+ABW83)/DK83,RK83,(RK83-G83*(YJ83+ABW83))/(1-G83*DK83))),RK83/(1-MAX(0,DK83)*H_Exit)))</f>
        <v>0</v>
      </c>
      <c r="UY83" s="20" t="n">
        <f aca="false">IF(AML82&lt;=0,0,IF(H_Direct=1,IF(DL83&lt;=0,RL83,IF(RL83&lt;=(YK83+ABX83)/DL83,RL83,(RL83-G83*(YK83+ABX83))/(1-G83*DL83))),RL83/(1-MAX(0,DL83)*H_Exit)))</f>
        <v>0</v>
      </c>
      <c r="UZ83" s="20" t="n">
        <f aca="false">IF(AMM82&lt;=0,0,IF(H_Direct=1,IF(DM83&lt;=0,RM83,IF(RM83&lt;=(YL83+ABY83)/DM83,RM83,(RM83-G83*(YL83+ABY83))/(1-G83*DM83))),RM83/(1-MAX(0,DM83)*H_Exit)))</f>
        <v>0</v>
      </c>
      <c r="VA83" s="20" t="n">
        <f aca="false">IF(AMN82&lt;=0,0,IF(H_Direct=1,IF(DN83&lt;=0,RN83,IF(RN83&lt;=(YM83+ABZ83)/DN83,RN83,(RN83-G83*(YM83+ABZ83))/(1-G83*DN83))),RN83/(1-MAX(0,DN83)*H_Exit)))</f>
        <v>0</v>
      </c>
      <c r="VB83" s="20" t="n">
        <f aca="false">IF(AMO82&lt;=0,0,IF(H_Direct=1,IF(DO83&lt;=0,RO83,IF(RO83&lt;=(YN83+ACA83)/DO83,RO83,(RO83-G83*(YN83+ACA83))/(1-G83*DO83))),RO83/(1-MAX(0,DO83)*H_Exit)))</f>
        <v>0</v>
      </c>
      <c r="VC83" s="20" t="n">
        <f aca="false">IF(AMP82&lt;=0,0,IF(H_Direct=1,IF(DP83&lt;=0,RP83,IF(RP83&lt;=(YO83+ACB83)/DP83,RP83,(RP83-G83*(YO83+ACB83))/(1-G83*DP83))),RP83/(1-MAX(0,DP83)*H_Exit)))</f>
        <v>0</v>
      </c>
      <c r="VD83" s="20" t="n">
        <f aca="false">IF(AMQ82&lt;=0,0,IF(H_Direct=1,IF(DQ83&lt;=0,RQ83,IF(RQ83&lt;=(YP83+ACC83)/DQ83,RQ83,(RQ83-G83*(YP83+ACC83))/(1-G83*DQ83))),RQ83/(1-MAX(0,DQ83)*H_Exit)))</f>
        <v>0</v>
      </c>
      <c r="VE83" s="20" t="n">
        <f aca="false">IF(AMR82&lt;=0,0,IF(H_Direct=1,IF(DR83&lt;=0,RR83,IF(RR83&lt;=(YQ83+ACD83)/DR83,RR83,(RR83-G83*(YQ83+ACD83))/(1-G83*DR83))),RR83/(1-MAX(0,DR83)*H_Exit)))</f>
        <v>0</v>
      </c>
      <c r="VF83" s="20" t="n">
        <f aca="false">IF(AMS82&lt;=0,0,IF(H_Direct=1,IF(DS83&lt;=0,RS83,IF(RS83&lt;=(YR83+ACE83)/DS83,RS83,(RS83-G83*(YR83+ACE83))/(1-G83*DS83))),RS83/(1-MAX(0,DS83)*H_Exit)))</f>
        <v>0</v>
      </c>
      <c r="VG83" s="20" t="n">
        <f aca="false">IF(AMT82&lt;=0,0,IF(H_Direct=1,IF(DT83&lt;=0,RT83,IF(RT83&lt;=(YS83+ACF83)/DT83,RT83,(RT83-G83*(YS83+ACF83))/(1-G83*DT83))),RT83/(1-MAX(0,DT83)*H_Exit)))</f>
        <v>0</v>
      </c>
      <c r="VH83" s="20" t="n">
        <f aca="false">IF(AMU82&lt;=0,0,IF(H_Direct=1,IF(DU83&lt;=0,RU83,IF(RU83&lt;=(YT83+ACG83)/DU83,RU83,(RU83-G83*(YT83+ACG83))/(1-G83*DU83))),RU83/(1-MAX(0,DU83)*H_Exit)))</f>
        <v>0</v>
      </c>
      <c r="VI83" s="20" t="n">
        <f aca="false">IF(AMV82&lt;=0,0,IF(H_Direct=1,IF(DV83&lt;=0,RV83,IF(RV83&lt;=(YU83+ACH83)/DV83,RV83,(RV83-G83*(YU83+ACH83))/(1-G83*DV83))),RV83/(1-MAX(0,DV83)*H_Exit)))</f>
        <v>0</v>
      </c>
      <c r="VJ83" s="20" t="n">
        <f aca="false">IF(AMW82&lt;=0,0,IF(H_Direct=1,IF(DW83&lt;=0,RW83,IF(RW83&lt;=(YV83+ACI83)/DW83,RW83,(RW83-G83*(YV83+ACI83))/(1-G83*DW83))),RW83/(1-MAX(0,DW83)*H_Exit)))</f>
        <v>0</v>
      </c>
      <c r="VK83" s="20" t="n">
        <f aca="false">IF(AMX82&lt;=0,0,IF(H_Direct=1,IF(DX83&lt;=0,RX83,IF(RX83&lt;=(YW83+ACJ83)/DX83,RX83,(RX83-G83*(YW83+ACJ83))/(1-G83*DX83))),RX83/(1-MAX(0,DX83)*H_Exit)))</f>
        <v>0</v>
      </c>
      <c r="VL83" s="20" t="n">
        <f aca="false">IF(AMY82&lt;=0,0,IF(H_Direct=1,IF(DY83&lt;=0,RY83,IF(RY83&lt;=(YX83+ACK83)/DY83,RY83,(RY83-G83*(YX83+ACK83))/(1-G83*DY83))),RY83/(1-MAX(0,DY83)*H_Exit)))</f>
        <v>0</v>
      </c>
      <c r="VM83" s="20" t="n">
        <f aca="false">IF(AMZ82&lt;=0,0,IF(H_Direct=1,IF(DZ83&lt;=0,RZ83,IF(RZ83&lt;=(YY83+ACL83)/DZ83,RZ83,(RZ83-G83*(YY83+ACL83))/(1-G83*DZ83))),RZ83/(1-MAX(0,DZ83)*H_Exit)))</f>
        <v>0</v>
      </c>
      <c r="VN83" s="20" t="n">
        <f aca="false">IF(ANA82&lt;=0,0,IF(H_Direct=1,IF(EA83&lt;=0,SA83,IF(SA83&lt;=(YZ83+ACM83)/EA83,SA83,(SA83-G83*(YZ83+ACM83))/(1-G83*EA83))),SA83/(1-MAX(0,EA83)*H_Exit)))</f>
        <v>0</v>
      </c>
      <c r="VO83" s="20" t="n">
        <f aca="false">IF(ANB82&lt;=0,0,IF(H_Direct=1,IF(EB83&lt;=0,SB83,IF(SB83&lt;=(ZA83+ACN83)/EB83,SB83,(SB83-G83*(ZA83+ACN83))/(1-G83*EB83))),SB83/(1-MAX(0,EB83)*H_Exit)))</f>
        <v>0</v>
      </c>
      <c r="VP83" s="20" t="n">
        <f aca="false">IF(ANC82&lt;=0,0,IF(H_Direct=1,IF(EC83&lt;=0,SC83,IF(SC83&lt;=(ZB83+ACO83)/EC83,SC83,(SC83-G83*(ZB83+ACO83))/(1-G83*EC83))),SC83/(1-MAX(0,EC83)*H_Exit)))</f>
        <v>0</v>
      </c>
      <c r="VQ83" s="20" t="n">
        <f aca="false">IF(AND82&lt;=0,0,IF(H_Direct=1,IF(ED83&lt;=0,SD83,IF(SD83&lt;=(ZC83+ACP83)/ED83,SD83,(SD83-G83*(ZC83+ACP83))/(1-G83*ED83))),SD83/(1-MAX(0,ED83)*H_Exit)))</f>
        <v>0</v>
      </c>
      <c r="VR83" s="20" t="n">
        <f aca="false">IF(ANE82&lt;=0,0,IF(H_Direct=1,IF(EE83&lt;=0,SE83,IF(SE83&lt;=(ZD83+ACQ83)/EE83,SE83,(SE83-G83*(ZD83+ACQ83))/(1-G83*EE83))),SE83/(1-MAX(0,EE83)*H_Exit)))</f>
        <v>0</v>
      </c>
      <c r="VS83" s="20" t="n">
        <f aca="false">IF(ANF82&lt;=0,0,IF(H_Direct=1,IF(EF83&lt;=0,SF83,IF(SF83&lt;=(ZE83+ACR83)/EF83,SF83,(SF83-G83*(ZE83+ACR83))/(1-G83*EF83))),SF83/(1-MAX(0,EF83)*H_Exit)))</f>
        <v>0</v>
      </c>
      <c r="VT83" s="20" t="n">
        <f aca="false">IF(ANG82&lt;=0,0,IF(H_Direct=1,IF(EG83&lt;=0,SG83,IF(SG83&lt;=(ZF83+ACS83)/EG83,SG83,(SG83-G83*(ZF83+ACS83))/(1-G83*EG83))),SG83/(1-MAX(0,EG83)*H_Exit)))</f>
        <v>0</v>
      </c>
      <c r="VU83" s="20" t="n">
        <f aca="false">IF(ANH82&lt;=0,0,IF(H_Direct=1,IF(EH83&lt;=0,SH83,IF(SH83&lt;=(ZG83+ACT83)/EH83,SH83,(SH83-G83*(ZG83+ACT83))/(1-G83*EH83))),SH83/(1-MAX(0,EH83)*H_Exit)))</f>
        <v>0</v>
      </c>
      <c r="VV83" s="20" t="n">
        <f aca="false">IF(ANI82&lt;=0,0,IF(H_Direct=1,IF(EI83&lt;=0,SI83,IF(SI83&lt;=(ZH83+ACU83)/EI83,SI83,(SI83-G83*(ZH83+ACU83))/(1-G83*EI83))),SI83/(1-MAX(0,EI83)*H_Exit)))</f>
        <v>0</v>
      </c>
      <c r="VW83" s="20" t="n">
        <f aca="false">IF(ANJ82&lt;=0,0,IF(H_Direct=1,IF(EJ83&lt;=0,SJ83,IF(SJ83&lt;=(ZI83+ACV83)/EJ83,SJ83,(SJ83-G83*(ZI83+ACV83))/(1-G83*EJ83))),SJ83/(1-MAX(0,EJ83)*H_Exit)))</f>
        <v>0</v>
      </c>
      <c r="VX83" s="20" t="n">
        <f aca="false">IF(ANK82&lt;=0,0,IF(H_Direct=1,IF(EK83&lt;=0,SK83,IF(SK83&lt;=(ZJ83+ACW83)/EK83,SK83,(SK83-G83*(ZJ83+ACW83))/(1-G83*EK83))),SK83/(1-MAX(0,EK83)*H_Exit)))</f>
        <v>0</v>
      </c>
      <c r="VY83" s="20" t="n">
        <f aca="false">IF(ANL82&lt;=0,0,IF(H_Direct=1,IF(EL83&lt;=0,SL83,IF(SL83&lt;=(ZK83+ACX83)/EL83,SL83,(SL83-G83*(ZK83+ACX83))/(1-G83*EL83))),SL83/(1-MAX(0,EL83)*H_Exit)))</f>
        <v>0</v>
      </c>
      <c r="VZ83" s="20" t="n">
        <f aca="false">IF(ANM82&lt;=0,0,IF(H_Direct=1,IF(EM83&lt;=0,SM83,IF(SM83&lt;=(ZL83+ACY83)/EM83,SM83,(SM83-G83*(ZL83+ACY83))/(1-G83*EM83))),SM83/(1-MAX(0,EM83)*H_Exit)))</f>
        <v>0</v>
      </c>
      <c r="WA83" s="20" t="n">
        <f aca="false">IF(ANN82&lt;=0,0,IF(H_Direct=1,IF(EN83&lt;=0,SN83,IF(SN83&lt;=(ZM83+ACZ83)/EN83,SN83,(SN83-G83*(ZM83+ACZ83))/(1-G83*EN83))),SN83/(1-MAX(0,EN83)*H_Exit)))</f>
        <v>0</v>
      </c>
      <c r="WB83" s="20" t="n">
        <f aca="false">IF(ANO82&lt;=0,0,IF(H_Direct=1,IF(EO83&lt;=0,SO83,IF(SO83&lt;=(ZN83+ADA83)/EO83,SO83,(SO83-G83*(ZN83+ADA83))/(1-G83*EO83))),SO83/(1-MAX(0,EO83)*H_Exit)))</f>
        <v>0</v>
      </c>
      <c r="WC83" s="20" t="n">
        <f aca="false">IF((P83+S83)&lt;=0,0,IF(H_Direct=1,IF(EP83&lt;=0,SP83,IF(SP83&lt;=(ZO83+ADB83)/EP83,SP83,(SP83-G83*(ZO83+ADB83))/(1-G83*EP83))),SP83/(1-MAX(0,EP83)*H_Exit)))</f>
        <v>0</v>
      </c>
      <c r="WD83" s="20" t="n">
        <v>0</v>
      </c>
      <c r="WE83" s="20" t="n">
        <v>0</v>
      </c>
      <c r="WF83" s="20" t="n">
        <v>0</v>
      </c>
      <c r="WG83" s="20" t="n">
        <v>0</v>
      </c>
      <c r="WH83" s="20" t="n">
        <v>0</v>
      </c>
      <c r="WI83" s="20" t="n">
        <v>0</v>
      </c>
      <c r="WJ83" s="20" t="n">
        <v>0</v>
      </c>
      <c r="WK83" s="20" t="n">
        <v>0</v>
      </c>
      <c r="WL83" s="20" t="n">
        <v>0</v>
      </c>
      <c r="WM83" s="20" t="n">
        <v>0</v>
      </c>
      <c r="WN83" s="20" t="n">
        <v>0</v>
      </c>
      <c r="WO83" s="20" t="n">
        <v>0</v>
      </c>
      <c r="WP83" s="20" t="n">
        <v>0</v>
      </c>
      <c r="WQ83" s="20" t="n">
        <v>0</v>
      </c>
      <c r="WR83" s="20" t="n">
        <f aca="false">IF(AND(H_Direct=1,BR83&gt;0),MAX(0,H83-(MIN(BR83*TE83,(H83+I83))-MIN(MIN(BR83*TE83,(H83+I83)),I83))),H83)</f>
        <v>1270</v>
      </c>
      <c r="WS83" s="20" t="n">
        <f aca="false">IF(AND(H_Direct=1,BS83&gt;0),MAX(0,WR83-(MIN(BS83*TF83,(WR83+AAE83))-MIN(MIN(BS83*TF83,(WR83+AAE83)),AAE83))),WR83)</f>
        <v>1270</v>
      </c>
      <c r="WT83" s="20" t="n">
        <f aca="false">IF(AND(H_Direct=1,BT83&gt;0),MAX(0,WS83-(MIN(BT83*TG83,(WS83+AAF83))-MIN(MIN(BT83*TG83,(WS83+AAF83)),AAF83))),WS83)</f>
        <v>1270</v>
      </c>
      <c r="WU83" s="20" t="n">
        <f aca="false">IF(AND(H_Direct=1,BU83&gt;0),MAX(0,WT83-(MIN(BU83*TH83,(WT83+AAG83))-MIN(MIN(BU83*TH83,(WT83+AAG83)),AAG83))),WT83)</f>
        <v>1270</v>
      </c>
      <c r="WV83" s="20" t="n">
        <f aca="false">IF(AND(H_Direct=1,BV83&gt;0),MAX(0,WU83-(MIN(BV83*TI83,(WU83+AAH83))-MIN(MIN(BV83*TI83,(WU83+AAH83)),AAH83))),WU83)</f>
        <v>1270</v>
      </c>
      <c r="WW83" s="20" t="n">
        <f aca="false">IF(AND(H_Direct=1,BW83&gt;0),MAX(0,WV83-(MIN(BW83*TJ83,(WV83+AAI83))-MIN(MIN(BW83*TJ83,(WV83+AAI83)),AAI83))),WV83)</f>
        <v>1270</v>
      </c>
      <c r="WX83" s="20" t="n">
        <f aca="false">IF(AND(H_Direct=1,BX83&gt;0),MAX(0,WW83-(MIN(BX83*TK83,(WW83+AAJ83))-MIN(MIN(BX83*TK83,(WW83+AAJ83)),AAJ83))),WW83)</f>
        <v>1270</v>
      </c>
      <c r="WY83" s="20" t="n">
        <f aca="false">IF(AND(H_Direct=1,BY83&gt;0),MAX(0,WX83-(MIN(BY83*TL83,(WX83+AAK83))-MIN(MIN(BY83*TL83,(WX83+AAK83)),AAK83))),WX83)</f>
        <v>1270</v>
      </c>
      <c r="WZ83" s="20" t="n">
        <f aca="false">IF(AND(H_Direct=1,BZ83&gt;0),MAX(0,WY83-(MIN(BZ83*TM83,(WY83+AAL83))-MIN(MIN(BZ83*TM83,(WY83+AAL83)),AAL83))),WY83)</f>
        <v>1270</v>
      </c>
      <c r="XA83" s="20" t="n">
        <f aca="false">IF(AND(H_Direct=1,CA83&gt;0),MAX(0,WZ83-(MIN(CA83*TN83,(WZ83+AAM83))-MIN(MIN(CA83*TN83,(WZ83+AAM83)),AAM83))),WZ83)</f>
        <v>1270</v>
      </c>
      <c r="XB83" s="20" t="n">
        <f aca="false">IF(AND(H_Direct=1,CB83&gt;0),MAX(0,XA83-(MIN(CB83*TO83,(XA83+AAN83))-MIN(MIN(CB83*TO83,(XA83+AAN83)),AAN83))),XA83)</f>
        <v>1270</v>
      </c>
      <c r="XC83" s="20" t="n">
        <f aca="false">IF(AND(H_Direct=1,CC83&gt;0),MAX(0,XB83-(MIN(CC83*TP83,(XB83+AAO83))-MIN(MIN(CC83*TP83,(XB83+AAO83)),AAO83))),XB83)</f>
        <v>1270</v>
      </c>
      <c r="XD83" s="20" t="n">
        <f aca="false">IF(AND(H_Direct=1,CD83&gt;0),MAX(0,XC83-(MIN(CD83*TQ83,(XC83+AAP83))-MIN(MIN(CD83*TQ83,(XC83+AAP83)),AAP83))),XC83)</f>
        <v>1270</v>
      </c>
      <c r="XE83" s="20" t="n">
        <f aca="false">IF(AND(H_Direct=1,CE83&gt;0),MAX(0,XD83-(MIN(CE83*TR83,(XD83+AAQ83))-MIN(MIN(CE83*TR83,(XD83+AAQ83)),AAQ83))),XD83)</f>
        <v>1270</v>
      </c>
      <c r="XF83" s="20" t="n">
        <f aca="false">IF(AND(H_Direct=1,CF83&gt;0),MAX(0,XE83-(MIN(CF83*TS83,(XE83+AAR83))-MIN(MIN(CF83*TS83,(XE83+AAR83)),AAR83))),XE83)</f>
        <v>1270</v>
      </c>
      <c r="XG83" s="20" t="n">
        <f aca="false">IF(AND(H_Direct=1,CG83&gt;0),MAX(0,XF83-(MIN(CG83*TT83,(XF83+AAS83))-MIN(MIN(CG83*TT83,(XF83+AAS83)),AAS83))),XF83)</f>
        <v>1270</v>
      </c>
      <c r="XH83" s="20" t="n">
        <f aca="false">IF(AND(H_Direct=1,CH83&gt;0),MAX(0,XG83-(MIN(CH83*TU83,(XG83+AAT83))-MIN(MIN(CH83*TU83,(XG83+AAT83)),AAT83))),XG83)</f>
        <v>1270</v>
      </c>
      <c r="XI83" s="20" t="n">
        <f aca="false">IF(AND(H_Direct=1,CI83&gt;0),MAX(0,XH83-(MIN(CI83*TV83,(XH83+AAU83))-MIN(MIN(CI83*TV83,(XH83+AAU83)),AAU83))),XH83)</f>
        <v>1270</v>
      </c>
      <c r="XJ83" s="20" t="n">
        <f aca="false">IF(AND(H_Direct=1,CJ83&gt;0),MAX(0,XI83-(MIN(CJ83*TW83,(XI83+AAV83))-MIN(MIN(CJ83*TW83,(XI83+AAV83)),AAV83))),XI83)</f>
        <v>1270</v>
      </c>
      <c r="XK83" s="20" t="n">
        <f aca="false">IF(AND(H_Direct=1,CK83&gt;0),MAX(0,XJ83-(MIN(CK83*TX83,(XJ83+AAW83))-MIN(MIN(CK83*TX83,(XJ83+AAW83)),AAW83))),XJ83)</f>
        <v>1270</v>
      </c>
      <c r="XL83" s="20" t="n">
        <f aca="false">IF(AND(H_Direct=1,CL83&gt;0),MAX(0,XK83-(MIN(CL83*TY83,(XK83+AAX83))-MIN(MIN(CL83*TY83,(XK83+AAX83)),AAX83))),XK83)</f>
        <v>1270</v>
      </c>
      <c r="XM83" s="20" t="n">
        <f aca="false">IF(AND(H_Direct=1,CM83&gt;0),MAX(0,XL83-(MIN(CM83*TZ83,(XL83+AAY83))-MIN(MIN(CM83*TZ83,(XL83+AAY83)),AAY83))),XL83)</f>
        <v>1270</v>
      </c>
      <c r="XN83" s="20" t="n">
        <f aca="false">IF(AND(H_Direct=1,CN83&gt;0),MAX(0,XM83-(MIN(CN83*UA83,(XM83+AAZ83))-MIN(MIN(CN83*UA83,(XM83+AAZ83)),AAZ83))),XM83)</f>
        <v>1270</v>
      </c>
      <c r="XO83" s="20" t="n">
        <f aca="false">IF(AND(H_Direct=1,CO83&gt;0),MAX(0,XN83-(MIN(CO83*UB83,(XN83+ABA83))-MIN(MIN(CO83*UB83,(XN83+ABA83)),ABA83))),XN83)</f>
        <v>1270</v>
      </c>
      <c r="XP83" s="20" t="n">
        <f aca="false">IF(AND(H_Direct=1,CP83&gt;0),MAX(0,XO83-(MIN(CP83*UC83,(XO83+ABB83))-MIN(MIN(CP83*UC83,(XO83+ABB83)),ABB83))),XO83)</f>
        <v>1270</v>
      </c>
      <c r="XQ83" s="20" t="n">
        <f aca="false">IF(AND(H_Direct=1,CQ83&gt;0),MAX(0,XP83-(MIN(CQ83*UD83,(XP83+ABC83))-MIN(MIN(CQ83*UD83,(XP83+ABC83)),ABC83))),XP83)</f>
        <v>1270</v>
      </c>
      <c r="XR83" s="20" t="n">
        <f aca="false">IF(AND(H_Direct=1,CR83&gt;0),MAX(0,XQ83-(MIN(CR83*UE83,(XQ83+ABD83))-MIN(MIN(CR83*UE83,(XQ83+ABD83)),ABD83))),XQ83)</f>
        <v>1270</v>
      </c>
      <c r="XS83" s="20" t="n">
        <f aca="false">IF(AND(H_Direct=1,CS83&gt;0),MAX(0,XR83-(MIN(CS83*UF83,(XR83+ABE83))-MIN(MIN(CS83*UF83,(XR83+ABE83)),ABE83))),XR83)</f>
        <v>1270</v>
      </c>
      <c r="XT83" s="20" t="n">
        <f aca="false">IF(AND(H_Direct=1,CT83&gt;0),MAX(0,XS83-(MIN(CT83*UG83,(XS83+ABF83))-MIN(MIN(CT83*UG83,(XS83+ABF83)),ABF83))),XS83)</f>
        <v>1270</v>
      </c>
      <c r="XU83" s="20" t="n">
        <f aca="false">IF(AND(H_Direct=1,CU83&gt;0),MAX(0,XT83-(MIN(CU83*UH83,(XT83+ABG83))-MIN(MIN(CU83*UH83,(XT83+ABG83)),ABG83))),XT83)</f>
        <v>1270</v>
      </c>
      <c r="XV83" s="20" t="n">
        <f aca="false">IF(AND(H_Direct=1,CV83&gt;0),MAX(0,XU83-(MIN(CV83*UI83,(XU83+ABH83))-MIN(MIN(CV83*UI83,(XU83+ABH83)),ABH83))),XU83)</f>
        <v>1270</v>
      </c>
      <c r="XW83" s="20" t="n">
        <f aca="false">IF(AND(H_Direct=1,CW83&gt;0),MAX(0,XV83-(MIN(CW83*UJ83,(XV83+ABI83))-MIN(MIN(CW83*UJ83,(XV83+ABI83)),ABI83))),XV83)</f>
        <v>1270</v>
      </c>
      <c r="XX83" s="20" t="n">
        <f aca="false">IF(AND(H_Direct=1,CX83&gt;0),MAX(0,XW83-(MIN(CX83*UK83,(XW83+ABJ83))-MIN(MIN(CX83*UK83,(XW83+ABJ83)),ABJ83))),XW83)</f>
        <v>1270</v>
      </c>
      <c r="XY83" s="20" t="n">
        <f aca="false">IF(AND(H_Direct=1,CY83&gt;0),MAX(0,XX83-(MIN(CY83*UL83,(XX83+ABK83))-MIN(MIN(CY83*UL83,(XX83+ABK83)),ABK83))),XX83)</f>
        <v>1270</v>
      </c>
      <c r="XZ83" s="20" t="n">
        <f aca="false">IF(AND(H_Direct=1,CZ83&gt;0),MAX(0,XY83-(MIN(CZ83*UM83,(XY83+ABL83))-MIN(MIN(CZ83*UM83,(XY83+ABL83)),ABL83))),XY83)</f>
        <v>1270</v>
      </c>
      <c r="YA83" s="20" t="n">
        <f aca="false">IF(AND(H_Direct=1,DA83&gt;0),MAX(0,XZ83-(MIN(DA83*UN83,(XZ83+ABM83))-MIN(MIN(DA83*UN83,(XZ83+ABM83)),ABM83))),XZ83)</f>
        <v>1270</v>
      </c>
      <c r="YB83" s="20" t="n">
        <f aca="false">IF(AND(H_Direct=1,DB83&gt;0),MAX(0,YA83-(MIN(DB83*UO83,(YA83+ABN83))-MIN(MIN(DB83*UO83,(YA83+ABN83)),ABN83))),YA83)</f>
        <v>1270</v>
      </c>
      <c r="YC83" s="20" t="n">
        <f aca="false">IF(AND(H_Direct=1,DC83&gt;0),MAX(0,YB83-(MIN(DC83*UP83,(YB83+ABO83))-MIN(MIN(DC83*UP83,(YB83+ABO83)),ABO83))),YB83)</f>
        <v>1270</v>
      </c>
      <c r="YD83" s="20" t="n">
        <f aca="false">IF(AND(H_Direct=1,DD83&gt;0),MAX(0,YC83-(MIN(DD83*UQ83,(YC83+ABP83))-MIN(MIN(DD83*UQ83,(YC83+ABP83)),ABP83))),YC83)</f>
        <v>1270</v>
      </c>
      <c r="YE83" s="20" t="n">
        <f aca="false">IF(AND(H_Direct=1,DE83&gt;0),MAX(0,YD83-(MIN(DE83*UR83,(YD83+ABQ83))-MIN(MIN(DE83*UR83,(YD83+ABQ83)),ABQ83))),YD83)</f>
        <v>1270</v>
      </c>
      <c r="YF83" s="20" t="n">
        <f aca="false">IF(AND(H_Direct=1,DF83&gt;0),MAX(0,YE83-(MIN(DF83*US83,(YE83+ABR83))-MIN(MIN(DF83*US83,(YE83+ABR83)),ABR83))),YE83)</f>
        <v>1270</v>
      </c>
      <c r="YG83" s="20" t="n">
        <f aca="false">IF(AND(H_Direct=1,DG83&gt;0),MAX(0,YF83-(MIN(DG83*UT83,(YF83+ABS83))-MIN(MIN(DG83*UT83,(YF83+ABS83)),ABS83))),YF83)</f>
        <v>1270</v>
      </c>
      <c r="YH83" s="20" t="n">
        <f aca="false">IF(AND(H_Direct=1,DH83&gt;0),MAX(0,YG83-(MIN(DH83*UU83,(YG83+ABT83))-MIN(MIN(DH83*UU83,(YG83+ABT83)),ABT83))),YG83)</f>
        <v>1270</v>
      </c>
      <c r="YI83" s="20" t="n">
        <f aca="false">IF(AND(H_Direct=1,DI83&gt;0),MAX(0,YH83-(MIN(DI83*UV83,(YH83+ABU83))-MIN(MIN(DI83*UV83,(YH83+ABU83)),ABU83))),YH83)</f>
        <v>1270</v>
      </c>
      <c r="YJ83" s="20" t="n">
        <f aca="false">IF(AND(H_Direct=1,DJ83&gt;0),MAX(0,YI83-(MIN(DJ83*UW83,(YI83+ABV83))-MIN(MIN(DJ83*UW83,(YI83+ABV83)),ABV83))),YI83)</f>
        <v>1270</v>
      </c>
      <c r="YK83" s="20" t="n">
        <f aca="false">IF(AND(H_Direct=1,DK83&gt;0),MAX(0,YJ83-(MIN(DK83*UX83,(YJ83+ABW83))-MIN(MIN(DK83*UX83,(YJ83+ABW83)),ABW83))),YJ83)</f>
        <v>1270</v>
      </c>
      <c r="YL83" s="20" t="n">
        <f aca="false">IF(AND(H_Direct=1,DL83&gt;0),MAX(0,YK83-(MIN(DL83*UY83,(YK83+ABX83))-MIN(MIN(DL83*UY83,(YK83+ABX83)),ABX83))),YK83)</f>
        <v>1270</v>
      </c>
      <c r="YM83" s="20" t="n">
        <f aca="false">IF(AND(H_Direct=1,DM83&gt;0),MAX(0,YL83-(MIN(DM83*UZ83,(YL83+ABY83))-MIN(MIN(DM83*UZ83,(YL83+ABY83)),ABY83))),YL83)</f>
        <v>1270</v>
      </c>
      <c r="YN83" s="20" t="n">
        <f aca="false">IF(AND(H_Direct=1,DN83&gt;0),MAX(0,YM83-(MIN(DN83*VA83,(YM83+ABZ83))-MIN(MIN(DN83*VA83,(YM83+ABZ83)),ABZ83))),YM83)</f>
        <v>1270</v>
      </c>
      <c r="YO83" s="20" t="n">
        <f aca="false">IF(AND(H_Direct=1,DO83&gt;0),MAX(0,YN83-(MIN(DO83*VB83,(YN83+ACA83))-MIN(MIN(DO83*VB83,(YN83+ACA83)),ACA83))),YN83)</f>
        <v>1270</v>
      </c>
      <c r="YP83" s="20" t="n">
        <f aca="false">IF(AND(H_Direct=1,DP83&gt;0),MAX(0,YO83-(MIN(DP83*VC83,(YO83+ACB83))-MIN(MIN(DP83*VC83,(YO83+ACB83)),ACB83))),YO83)</f>
        <v>1270</v>
      </c>
      <c r="YQ83" s="20" t="n">
        <f aca="false">IF(AND(H_Direct=1,DQ83&gt;0),MAX(0,YP83-(MIN(DQ83*VD83,(YP83+ACC83))-MIN(MIN(DQ83*VD83,(YP83+ACC83)),ACC83))),YP83)</f>
        <v>1270</v>
      </c>
      <c r="YR83" s="20" t="n">
        <f aca="false">IF(AND(H_Direct=1,DR83&gt;0),MAX(0,YQ83-(MIN(DR83*VE83,(YQ83+ACD83))-MIN(MIN(DR83*VE83,(YQ83+ACD83)),ACD83))),YQ83)</f>
        <v>1270</v>
      </c>
      <c r="YS83" s="20" t="n">
        <f aca="false">IF(AND(H_Direct=1,DS83&gt;0),MAX(0,YR83-(MIN(DS83*VF83,(YR83+ACE83))-MIN(MIN(DS83*VF83,(YR83+ACE83)),ACE83))),YR83)</f>
        <v>1270</v>
      </c>
      <c r="YT83" s="20" t="n">
        <f aca="false">IF(AND(H_Direct=1,DT83&gt;0),MAX(0,YS83-(MIN(DT83*VG83,(YS83+ACF83))-MIN(MIN(DT83*VG83,(YS83+ACF83)),ACF83))),YS83)</f>
        <v>1270</v>
      </c>
      <c r="YU83" s="20" t="n">
        <f aca="false">IF(AND(H_Direct=1,DU83&gt;0),MAX(0,YT83-(MIN(DU83*VH83,(YT83+ACG83))-MIN(MIN(DU83*VH83,(YT83+ACG83)),ACG83))),YT83)</f>
        <v>1270</v>
      </c>
      <c r="YV83" s="20" t="n">
        <f aca="false">IF(AND(H_Direct=1,DV83&gt;0),MAX(0,YU83-(MIN(DV83*VI83,(YU83+ACH83))-MIN(MIN(DV83*VI83,(YU83+ACH83)),ACH83))),YU83)</f>
        <v>1270</v>
      </c>
      <c r="YW83" s="20" t="n">
        <f aca="false">IF(AND(H_Direct=1,DW83&gt;0),MAX(0,YV83-(MIN(DW83*VJ83,(YV83+ACI83))-MIN(MIN(DW83*VJ83,(YV83+ACI83)),ACI83))),YV83)</f>
        <v>1270</v>
      </c>
      <c r="YX83" s="20" t="n">
        <f aca="false">IF(AND(H_Direct=1,DX83&gt;0),MAX(0,YW83-(MIN(DX83*VK83,(YW83+ACJ83))-MIN(MIN(DX83*VK83,(YW83+ACJ83)),ACJ83))),YW83)</f>
        <v>1270</v>
      </c>
      <c r="YY83" s="20" t="n">
        <f aca="false">IF(AND(H_Direct=1,DY83&gt;0),MAX(0,YX83-(MIN(DY83*VL83,(YX83+ACK83))-MIN(MIN(DY83*VL83,(YX83+ACK83)),ACK83))),YX83)</f>
        <v>1270</v>
      </c>
      <c r="YZ83" s="20" t="n">
        <f aca="false">IF(AND(H_Direct=1,DZ83&gt;0),MAX(0,YY83-(MIN(DZ83*VM83,(YY83+ACL83))-MIN(MIN(DZ83*VM83,(YY83+ACL83)),ACL83))),YY83)</f>
        <v>1270</v>
      </c>
      <c r="ZA83" s="20" t="n">
        <f aca="false">IF(AND(H_Direct=1,EA83&gt;0),MAX(0,YZ83-(MIN(EA83*VN83,(YZ83+ACM83))-MIN(MIN(EA83*VN83,(YZ83+ACM83)),ACM83))),YZ83)</f>
        <v>1270</v>
      </c>
      <c r="ZB83" s="20" t="n">
        <f aca="false">IF(AND(H_Direct=1,EB83&gt;0),MAX(0,ZA83-(MIN(EB83*VO83,(ZA83+ACN83))-MIN(MIN(EB83*VO83,(ZA83+ACN83)),ACN83))),ZA83)</f>
        <v>1270</v>
      </c>
      <c r="ZC83" s="20" t="n">
        <f aca="false">IF(AND(H_Direct=1,EC83&gt;0),MAX(0,ZB83-(MIN(EC83*VP83,(ZB83+ACO83))-MIN(MIN(EC83*VP83,(ZB83+ACO83)),ACO83))),ZB83)</f>
        <v>1270</v>
      </c>
      <c r="ZD83" s="20" t="n">
        <f aca="false">IF(AND(H_Direct=1,ED83&gt;0),MAX(0,ZC83-(MIN(ED83*VQ83,(ZC83+ACP83))-MIN(MIN(ED83*VQ83,(ZC83+ACP83)),ACP83))),ZC83)</f>
        <v>1270</v>
      </c>
      <c r="ZE83" s="20" t="n">
        <f aca="false">IF(AND(H_Direct=1,EE83&gt;0),MAX(0,ZD83-(MIN(EE83*VR83,(ZD83+ACQ83))-MIN(MIN(EE83*VR83,(ZD83+ACQ83)),ACQ83))),ZD83)</f>
        <v>1270</v>
      </c>
      <c r="ZF83" s="20" t="n">
        <f aca="false">IF(AND(H_Direct=1,EF83&gt;0),MAX(0,ZE83-(MIN(EF83*VS83,(ZE83+ACR83))-MIN(MIN(EF83*VS83,(ZE83+ACR83)),ACR83))),ZE83)</f>
        <v>1270</v>
      </c>
      <c r="ZG83" s="20" t="n">
        <f aca="false">IF(AND(H_Direct=1,EG83&gt;0),MAX(0,ZF83-(MIN(EG83*VT83,(ZF83+ACS83))-MIN(MIN(EG83*VT83,(ZF83+ACS83)),ACS83))),ZF83)</f>
        <v>1270</v>
      </c>
      <c r="ZH83" s="20" t="n">
        <f aca="false">IF(AND(H_Direct=1,EH83&gt;0),MAX(0,ZG83-(MIN(EH83*VU83,(ZG83+ACT83))-MIN(MIN(EH83*VU83,(ZG83+ACT83)),ACT83))),ZG83)</f>
        <v>1270</v>
      </c>
      <c r="ZI83" s="20" t="n">
        <f aca="false">IF(AND(H_Direct=1,EI83&gt;0),MAX(0,ZH83-(MIN(EI83*VV83,(ZH83+ACU83))-MIN(MIN(EI83*VV83,(ZH83+ACU83)),ACU83))),ZH83)</f>
        <v>1270</v>
      </c>
      <c r="ZJ83" s="20" t="n">
        <f aca="false">IF(AND(H_Direct=1,EJ83&gt;0),MAX(0,ZI83-(MIN(EJ83*VW83,(ZI83+ACV83))-MIN(MIN(EJ83*VW83,(ZI83+ACV83)),ACV83))),ZI83)</f>
        <v>1270</v>
      </c>
      <c r="ZK83" s="20" t="n">
        <f aca="false">IF(AND(H_Direct=1,EK83&gt;0),MAX(0,ZJ83-(MIN(EK83*VX83,(ZJ83+ACW83))-MIN(MIN(EK83*VX83,(ZJ83+ACW83)),ACW83))),ZJ83)</f>
        <v>1270</v>
      </c>
      <c r="ZL83" s="20" t="n">
        <f aca="false">IF(AND(H_Direct=1,EL83&gt;0),MAX(0,ZK83-(MIN(EL83*VY83,(ZK83+ACX83))-MIN(MIN(EL83*VY83,(ZK83+ACX83)),ACX83))),ZK83)</f>
        <v>1270</v>
      </c>
      <c r="ZM83" s="20" t="n">
        <f aca="false">IF(AND(H_Direct=1,EM83&gt;0),MAX(0,ZL83-(MIN(EM83*VZ83,(ZL83+ACY83))-MIN(MIN(EM83*VZ83,(ZL83+ACY83)),ACY83))),ZL83)</f>
        <v>1270</v>
      </c>
      <c r="ZN83" s="20" t="n">
        <f aca="false">IF(AND(H_Direct=1,EN83&gt;0),MAX(0,ZM83-(MIN(EN83*WA83,(ZM83+ACZ83))-MIN(MIN(EN83*WA83,(ZM83+ACZ83)),ACZ83))),ZM83)</f>
        <v>1270</v>
      </c>
      <c r="ZO83" s="20" t="n">
        <f aca="false">IF(AND(H_Direct=1,EO83&gt;0),MAX(0,ZN83-(MIN(EO83*WB83,(ZN83+ADA83))-MIN(MIN(EO83*WB83,(ZN83+ADA83)),ADA83))),ZN83)</f>
        <v>1270</v>
      </c>
      <c r="ZP83" s="20" t="n">
        <f aca="false">IF(AND(H_Direct=1,EP83&gt;0),MAX(0,ZO83-(MIN(EP83*WC83,(ZO83+ADB83))-MIN(MIN(EP83*WC83,(ZO83+ADB83)),ADB83))),ZO83)</f>
        <v>1270</v>
      </c>
      <c r="ZQ83" s="20" t="n">
        <f aca="false">ZP83</f>
        <v>1270</v>
      </c>
      <c r="ZR83" s="20" t="n">
        <f aca="false">ZQ83</f>
        <v>1270</v>
      </c>
      <c r="ZS83" s="20" t="n">
        <f aca="false">ZR83</f>
        <v>1270</v>
      </c>
      <c r="ZT83" s="20" t="n">
        <f aca="false">ZS83</f>
        <v>1270</v>
      </c>
      <c r="ZU83" s="20" t="n">
        <f aca="false">ZT83</f>
        <v>1270</v>
      </c>
      <c r="ZV83" s="20" t="n">
        <f aca="false">ZU83</f>
        <v>1270</v>
      </c>
      <c r="ZW83" s="20" t="n">
        <f aca="false">ZV83</f>
        <v>1270</v>
      </c>
      <c r="ZX83" s="20" t="n">
        <f aca="false">ZW83</f>
        <v>1270</v>
      </c>
      <c r="ZY83" s="20" t="n">
        <f aca="false">ZX83</f>
        <v>1270</v>
      </c>
      <c r="ZZ83" s="20" t="n">
        <f aca="false">ZY83</f>
        <v>1270</v>
      </c>
      <c r="AAA83" s="20" t="n">
        <f aca="false">ZZ83</f>
        <v>1270</v>
      </c>
      <c r="AAB83" s="20" t="n">
        <f aca="false">AAA83</f>
        <v>1270</v>
      </c>
      <c r="AAC83" s="20" t="n">
        <f aca="false">AAB83</f>
        <v>1270</v>
      </c>
      <c r="AAD83" s="20" t="n">
        <f aca="false">AAC83</f>
        <v>1270</v>
      </c>
      <c r="AAE83" s="20" t="n">
        <f aca="false">IF(H_Direct=1,IF(BR83&lt;=0,I83-BR83*TE83,I83-MIN(MIN(BR83*TE83,(H83+I83)),I83)),I83)</f>
        <v>0</v>
      </c>
      <c r="AAF83" s="20" t="n">
        <f aca="false">IF(H_Direct=1,IF(BS83&lt;=0,AAE83-BS83*TF83,AAE83-MIN(MIN(BS83*TF83,(WR83+AAE83)),AAE83)),AAE83)</f>
        <v>0</v>
      </c>
      <c r="AAG83" s="20" t="n">
        <f aca="false">IF(H_Direct=1,IF(BT83&lt;=0,AAF83-BT83*TG83,AAF83-MIN(MIN(BT83*TG83,(WS83+AAF83)),AAF83)),AAF83)</f>
        <v>0</v>
      </c>
      <c r="AAH83" s="20" t="n">
        <f aca="false">IF(H_Direct=1,IF(BU83&lt;=0,AAG83-BU83*TH83,AAG83-MIN(MIN(BU83*TH83,(WT83+AAG83)),AAG83)),AAG83)</f>
        <v>0</v>
      </c>
      <c r="AAI83" s="20" t="n">
        <f aca="false">IF(H_Direct=1,IF(BV83&lt;=0,AAH83-BV83*TI83,AAH83-MIN(MIN(BV83*TI83,(WU83+AAH83)),AAH83)),AAH83)</f>
        <v>0</v>
      </c>
      <c r="AAJ83" s="20" t="n">
        <f aca="false">IF(H_Direct=1,IF(BW83&lt;=0,AAI83-BW83*TJ83,AAI83-MIN(MIN(BW83*TJ83,(WV83+AAI83)),AAI83)),AAI83)</f>
        <v>0</v>
      </c>
      <c r="AAK83" s="20" t="n">
        <f aca="false">IF(H_Direct=1,IF(BX83&lt;=0,AAJ83-BX83*TK83,AAJ83-MIN(MIN(BX83*TK83,(WW83+AAJ83)),AAJ83)),AAJ83)</f>
        <v>0</v>
      </c>
      <c r="AAL83" s="20" t="n">
        <f aca="false">IF(H_Direct=1,IF(BY83&lt;=0,AAK83-BY83*TL83,AAK83-MIN(MIN(BY83*TL83,(WX83+AAK83)),AAK83)),AAK83)</f>
        <v>0</v>
      </c>
      <c r="AAM83" s="20" t="n">
        <f aca="false">IF(H_Direct=1,IF(BZ83&lt;=0,AAL83-BZ83*TM83,AAL83-MIN(MIN(BZ83*TM83,(WY83+AAL83)),AAL83)),AAL83)</f>
        <v>0</v>
      </c>
      <c r="AAN83" s="20" t="n">
        <f aca="false">IF(H_Direct=1,IF(CA83&lt;=0,AAM83-CA83*TN83,AAM83-MIN(MIN(CA83*TN83,(WZ83+AAM83)),AAM83)),AAM83)</f>
        <v>0</v>
      </c>
      <c r="AAO83" s="20" t="n">
        <f aca="false">IF(H_Direct=1,IF(CB83&lt;=0,AAN83-CB83*TO83,AAN83-MIN(MIN(CB83*TO83,(XA83+AAN83)),AAN83)),AAN83)</f>
        <v>0</v>
      </c>
      <c r="AAP83" s="20" t="n">
        <f aca="false">IF(H_Direct=1,IF(CC83&lt;=0,AAO83-CC83*TP83,AAO83-MIN(MIN(CC83*TP83,(XB83+AAO83)),AAO83)),AAO83)</f>
        <v>0</v>
      </c>
      <c r="AAQ83" s="20" t="n">
        <f aca="false">IF(H_Direct=1,IF(CD83&lt;=0,AAP83-CD83*TQ83,AAP83-MIN(MIN(CD83*TQ83,(XC83+AAP83)),AAP83)),AAP83)</f>
        <v>0</v>
      </c>
      <c r="AAR83" s="20" t="n">
        <f aca="false">IF(H_Direct=1,IF(CE83&lt;=0,AAQ83-CE83*TR83,AAQ83-MIN(MIN(CE83*TR83,(XD83+AAQ83)),AAQ83)),AAQ83)</f>
        <v>0</v>
      </c>
      <c r="AAS83" s="20" t="n">
        <f aca="false">IF(H_Direct=1,IF(CF83&lt;=0,AAR83-CF83*TS83,AAR83-MIN(MIN(CF83*TS83,(XE83+AAR83)),AAR83)),AAR83)</f>
        <v>0</v>
      </c>
      <c r="AAT83" s="20" t="n">
        <f aca="false">IF(H_Direct=1,IF(CG83&lt;=0,AAS83-CG83*TT83,AAS83-MIN(MIN(CG83*TT83,(XF83+AAS83)),AAS83)),AAS83)</f>
        <v>0</v>
      </c>
      <c r="AAU83" s="20" t="n">
        <f aca="false">IF(H_Direct=1,IF(CH83&lt;=0,AAT83-CH83*TU83,AAT83-MIN(MIN(CH83*TU83,(XG83+AAT83)),AAT83)),AAT83)</f>
        <v>0</v>
      </c>
      <c r="AAV83" s="20" t="n">
        <f aca="false">IF(H_Direct=1,IF(CI83&lt;=0,AAU83-CI83*TV83,AAU83-MIN(MIN(CI83*TV83,(XH83+AAU83)),AAU83)),AAU83)</f>
        <v>0</v>
      </c>
      <c r="AAW83" s="20" t="n">
        <f aca="false">IF(H_Direct=1,IF(CJ83&lt;=0,AAV83-CJ83*TW83,AAV83-MIN(MIN(CJ83*TW83,(XI83+AAV83)),AAV83)),AAV83)</f>
        <v>0</v>
      </c>
      <c r="AAX83" s="20" t="n">
        <f aca="false">IF(H_Direct=1,IF(CK83&lt;=0,AAW83-CK83*TX83,AAW83-MIN(MIN(CK83*TX83,(XJ83+AAW83)),AAW83)),AAW83)</f>
        <v>0</v>
      </c>
      <c r="AAY83" s="20" t="n">
        <f aca="false">IF(H_Direct=1,IF(CL83&lt;=0,AAX83-CL83*TY83,AAX83-MIN(MIN(CL83*TY83,(XK83+AAX83)),AAX83)),AAX83)</f>
        <v>0</v>
      </c>
      <c r="AAZ83" s="20" t="n">
        <f aca="false">IF(H_Direct=1,IF(CM83&lt;=0,AAY83-CM83*TZ83,AAY83-MIN(MIN(CM83*TZ83,(XL83+AAY83)),AAY83)),AAY83)</f>
        <v>0</v>
      </c>
      <c r="ABA83" s="20" t="n">
        <f aca="false">IF(H_Direct=1,IF(CN83&lt;=0,AAZ83-CN83*UA83,AAZ83-MIN(MIN(CN83*UA83,(XM83+AAZ83)),AAZ83)),AAZ83)</f>
        <v>0</v>
      </c>
      <c r="ABB83" s="20" t="n">
        <f aca="false">IF(H_Direct=1,IF(CO83&lt;=0,ABA83-CO83*UB83,ABA83-MIN(MIN(CO83*UB83,(XN83+ABA83)),ABA83)),ABA83)</f>
        <v>0</v>
      </c>
      <c r="ABC83" s="20" t="n">
        <f aca="false">IF(H_Direct=1,IF(CP83&lt;=0,ABB83-CP83*UC83,ABB83-MIN(MIN(CP83*UC83,(XO83+ABB83)),ABB83)),ABB83)</f>
        <v>0</v>
      </c>
      <c r="ABD83" s="20" t="n">
        <f aca="false">IF(H_Direct=1,IF(CQ83&lt;=0,ABC83-CQ83*UD83,ABC83-MIN(MIN(CQ83*UD83,(XP83+ABC83)),ABC83)),ABC83)</f>
        <v>0</v>
      </c>
      <c r="ABE83" s="20" t="n">
        <f aca="false">IF(H_Direct=1,IF(CR83&lt;=0,ABD83-CR83*UE83,ABD83-MIN(MIN(CR83*UE83,(XQ83+ABD83)),ABD83)),ABD83)</f>
        <v>0</v>
      </c>
      <c r="ABF83" s="20" t="n">
        <f aca="false">IF(H_Direct=1,IF(CS83&lt;=0,ABE83-CS83*UF83,ABE83-MIN(MIN(CS83*UF83,(XR83+ABE83)),ABE83)),ABE83)</f>
        <v>0</v>
      </c>
      <c r="ABG83" s="20" t="n">
        <f aca="false">IF(H_Direct=1,IF(CT83&lt;=0,ABF83-CT83*UG83,ABF83-MIN(MIN(CT83*UG83,(XS83+ABF83)),ABF83)),ABF83)</f>
        <v>0</v>
      </c>
      <c r="ABH83" s="20" t="n">
        <f aca="false">IF(H_Direct=1,IF(CU83&lt;=0,ABG83-CU83*UH83,ABG83-MIN(MIN(CU83*UH83,(XT83+ABG83)),ABG83)),ABG83)</f>
        <v>0</v>
      </c>
      <c r="ABI83" s="20" t="n">
        <f aca="false">IF(H_Direct=1,IF(CV83&lt;=0,ABH83-CV83*UI83,ABH83-MIN(MIN(CV83*UI83,(XU83+ABH83)),ABH83)),ABH83)</f>
        <v>0</v>
      </c>
      <c r="ABJ83" s="20" t="n">
        <f aca="false">IF(H_Direct=1,IF(CW83&lt;=0,ABI83-CW83*UJ83,ABI83-MIN(MIN(CW83*UJ83,(XV83+ABI83)),ABI83)),ABI83)</f>
        <v>0</v>
      </c>
      <c r="ABK83" s="20" t="n">
        <f aca="false">IF(H_Direct=1,IF(CX83&lt;=0,ABJ83-CX83*UK83,ABJ83-MIN(MIN(CX83*UK83,(XW83+ABJ83)),ABJ83)),ABJ83)</f>
        <v>0</v>
      </c>
      <c r="ABL83" s="20" t="n">
        <f aca="false">IF(H_Direct=1,IF(CY83&lt;=0,ABK83-CY83*UL83,ABK83-MIN(MIN(CY83*UL83,(XX83+ABK83)),ABK83)),ABK83)</f>
        <v>0</v>
      </c>
      <c r="ABM83" s="20" t="n">
        <f aca="false">IF(H_Direct=1,IF(CZ83&lt;=0,ABL83-CZ83*UM83,ABL83-MIN(MIN(CZ83*UM83,(XY83+ABL83)),ABL83)),ABL83)</f>
        <v>0</v>
      </c>
      <c r="ABN83" s="20" t="n">
        <f aca="false">IF(H_Direct=1,IF(DA83&lt;=0,ABM83-DA83*UN83,ABM83-MIN(MIN(DA83*UN83,(XZ83+ABM83)),ABM83)),ABM83)</f>
        <v>0</v>
      </c>
      <c r="ABO83" s="20" t="n">
        <f aca="false">IF(H_Direct=1,IF(DB83&lt;=0,ABN83-DB83*UO83,ABN83-MIN(MIN(DB83*UO83,(YA83+ABN83)),ABN83)),ABN83)</f>
        <v>0</v>
      </c>
      <c r="ABP83" s="20" t="n">
        <f aca="false">IF(H_Direct=1,IF(DC83&lt;=0,ABO83-DC83*UP83,ABO83-MIN(MIN(DC83*UP83,(YB83+ABO83)),ABO83)),ABO83)</f>
        <v>0</v>
      </c>
      <c r="ABQ83" s="20" t="n">
        <f aca="false">IF(H_Direct=1,IF(DD83&lt;=0,ABP83-DD83*UQ83,ABP83-MIN(MIN(DD83*UQ83,(YC83+ABP83)),ABP83)),ABP83)</f>
        <v>0</v>
      </c>
      <c r="ABR83" s="20" t="n">
        <f aca="false">IF(H_Direct=1,IF(DE83&lt;=0,ABQ83-DE83*UR83,ABQ83-MIN(MIN(DE83*UR83,(YD83+ABQ83)),ABQ83)),ABQ83)</f>
        <v>0</v>
      </c>
      <c r="ABS83" s="20" t="n">
        <f aca="false">IF(H_Direct=1,IF(DF83&lt;=0,ABR83-DF83*US83,ABR83-MIN(MIN(DF83*US83,(YE83+ABR83)),ABR83)),ABR83)</f>
        <v>0</v>
      </c>
      <c r="ABT83" s="20" t="n">
        <f aca="false">IF(H_Direct=1,IF(DG83&lt;=0,ABS83-DG83*UT83,ABS83-MIN(MIN(DG83*UT83,(YF83+ABS83)),ABS83)),ABS83)</f>
        <v>0</v>
      </c>
      <c r="ABU83" s="20" t="n">
        <f aca="false">IF(H_Direct=1,IF(DH83&lt;=0,ABT83-DH83*UU83,ABT83-MIN(MIN(DH83*UU83,(YG83+ABT83)),ABT83)),ABT83)</f>
        <v>0</v>
      </c>
      <c r="ABV83" s="20" t="n">
        <f aca="false">IF(H_Direct=1,IF(DI83&lt;=0,ABU83-DI83*UV83,ABU83-MIN(MIN(DI83*UV83,(YH83+ABU83)),ABU83)),ABU83)</f>
        <v>0</v>
      </c>
      <c r="ABW83" s="20" t="n">
        <f aca="false">IF(H_Direct=1,IF(DJ83&lt;=0,ABV83-DJ83*UW83,ABV83-MIN(MIN(DJ83*UW83,(YI83+ABV83)),ABV83)),ABV83)</f>
        <v>0</v>
      </c>
      <c r="ABX83" s="20" t="n">
        <f aca="false">IF(H_Direct=1,IF(DK83&lt;=0,ABW83-DK83*UX83,ABW83-MIN(MIN(DK83*UX83,(YJ83+ABW83)),ABW83)),ABW83)</f>
        <v>0</v>
      </c>
      <c r="ABY83" s="20" t="n">
        <f aca="false">IF(H_Direct=1,IF(DL83&lt;=0,ABX83-DL83*UY83,ABX83-MIN(MIN(DL83*UY83,(YK83+ABX83)),ABX83)),ABX83)</f>
        <v>0</v>
      </c>
      <c r="ABZ83" s="20" t="n">
        <f aca="false">IF(H_Direct=1,IF(DM83&lt;=0,ABY83-DM83*UZ83,ABY83-MIN(MIN(DM83*UZ83,(YL83+ABY83)),ABY83)),ABY83)</f>
        <v>0</v>
      </c>
      <c r="ACA83" s="20" t="n">
        <f aca="false">IF(H_Direct=1,IF(DN83&lt;=0,ABZ83-DN83*VA83,ABZ83-MIN(MIN(DN83*VA83,(YM83+ABZ83)),ABZ83)),ABZ83)</f>
        <v>0</v>
      </c>
      <c r="ACB83" s="20" t="n">
        <f aca="false">IF(H_Direct=1,IF(DO83&lt;=0,ACA83-DO83*VB83,ACA83-MIN(MIN(DO83*VB83,(YN83+ACA83)),ACA83)),ACA83)</f>
        <v>0</v>
      </c>
      <c r="ACC83" s="20" t="n">
        <f aca="false">IF(H_Direct=1,IF(DP83&lt;=0,ACB83-DP83*VC83,ACB83-MIN(MIN(DP83*VC83,(YO83+ACB83)),ACB83)),ACB83)</f>
        <v>0</v>
      </c>
      <c r="ACD83" s="20" t="n">
        <f aca="false">IF(H_Direct=1,IF(DQ83&lt;=0,ACC83-DQ83*VD83,ACC83-MIN(MIN(DQ83*VD83,(YP83+ACC83)),ACC83)),ACC83)</f>
        <v>0</v>
      </c>
      <c r="ACE83" s="20" t="n">
        <f aca="false">IF(H_Direct=1,IF(DR83&lt;=0,ACD83-DR83*VE83,ACD83-MIN(MIN(DR83*VE83,(YQ83+ACD83)),ACD83)),ACD83)</f>
        <v>0</v>
      </c>
      <c r="ACF83" s="20" t="n">
        <f aca="false">IF(H_Direct=1,IF(DS83&lt;=0,ACE83-DS83*VF83,ACE83-MIN(MIN(DS83*VF83,(YR83+ACE83)),ACE83)),ACE83)</f>
        <v>0</v>
      </c>
      <c r="ACG83" s="20" t="n">
        <f aca="false">IF(H_Direct=1,IF(DT83&lt;=0,ACF83-DT83*VG83,ACF83-MIN(MIN(DT83*VG83,(YS83+ACF83)),ACF83)),ACF83)</f>
        <v>0</v>
      </c>
      <c r="ACH83" s="20" t="n">
        <f aca="false">IF(H_Direct=1,IF(DU83&lt;=0,ACG83-DU83*VH83,ACG83-MIN(MIN(DU83*VH83,(YT83+ACG83)),ACG83)),ACG83)</f>
        <v>0</v>
      </c>
      <c r="ACI83" s="20" t="n">
        <f aca="false">IF(H_Direct=1,IF(DV83&lt;=0,ACH83-DV83*VI83,ACH83-MIN(MIN(DV83*VI83,(YU83+ACH83)),ACH83)),ACH83)</f>
        <v>0</v>
      </c>
      <c r="ACJ83" s="20" t="n">
        <f aca="false">IF(H_Direct=1,IF(DW83&lt;=0,ACI83-DW83*VJ83,ACI83-MIN(MIN(DW83*VJ83,(YV83+ACI83)),ACI83)),ACI83)</f>
        <v>0</v>
      </c>
      <c r="ACK83" s="20" t="n">
        <f aca="false">IF(H_Direct=1,IF(DX83&lt;=0,ACJ83-DX83*VK83,ACJ83-MIN(MIN(DX83*VK83,(YW83+ACJ83)),ACJ83)),ACJ83)</f>
        <v>0</v>
      </c>
      <c r="ACL83" s="20" t="n">
        <f aca="false">IF(H_Direct=1,IF(DY83&lt;=0,ACK83-DY83*VL83,ACK83-MIN(MIN(DY83*VL83,(YX83+ACK83)),ACK83)),ACK83)</f>
        <v>0</v>
      </c>
      <c r="ACM83" s="20" t="n">
        <f aca="false">IF(H_Direct=1,IF(DZ83&lt;=0,ACL83-DZ83*VM83,ACL83-MIN(MIN(DZ83*VM83,(YY83+ACL83)),ACL83)),ACL83)</f>
        <v>0</v>
      </c>
      <c r="ACN83" s="20" t="n">
        <f aca="false">IF(H_Direct=1,IF(EA83&lt;=0,ACM83-EA83*VN83,ACM83-MIN(MIN(EA83*VN83,(YZ83+ACM83)),ACM83)),ACM83)</f>
        <v>0</v>
      </c>
      <c r="ACO83" s="20" t="n">
        <f aca="false">IF(H_Direct=1,IF(EB83&lt;=0,ACN83-EB83*VO83,ACN83-MIN(MIN(EB83*VO83,(ZA83+ACN83)),ACN83)),ACN83)</f>
        <v>0</v>
      </c>
      <c r="ACP83" s="20" t="n">
        <f aca="false">IF(H_Direct=1,IF(EC83&lt;=0,ACO83-EC83*VP83,ACO83-MIN(MIN(EC83*VP83,(ZB83+ACO83)),ACO83)),ACO83)</f>
        <v>0</v>
      </c>
      <c r="ACQ83" s="20" t="n">
        <f aca="false">IF(H_Direct=1,IF(ED83&lt;=0,ACP83-ED83*VQ83,ACP83-MIN(MIN(ED83*VQ83,(ZC83+ACP83)),ACP83)),ACP83)</f>
        <v>0</v>
      </c>
      <c r="ACR83" s="20" t="n">
        <f aca="false">IF(H_Direct=1,IF(EE83&lt;=0,ACQ83-EE83*VR83,ACQ83-MIN(MIN(EE83*VR83,(ZD83+ACQ83)),ACQ83)),ACQ83)</f>
        <v>0</v>
      </c>
      <c r="ACS83" s="20" t="n">
        <f aca="false">IF(H_Direct=1,IF(EF83&lt;=0,ACR83-EF83*VS83,ACR83-MIN(MIN(EF83*VS83,(ZE83+ACR83)),ACR83)),ACR83)</f>
        <v>0</v>
      </c>
      <c r="ACT83" s="20" t="n">
        <f aca="false">IF(H_Direct=1,IF(EG83&lt;=0,ACS83-EG83*VT83,ACS83-MIN(MIN(EG83*VT83,(ZF83+ACS83)),ACS83)),ACS83)</f>
        <v>0</v>
      </c>
      <c r="ACU83" s="20" t="n">
        <f aca="false">IF(H_Direct=1,IF(EH83&lt;=0,ACT83-EH83*VU83,ACT83-MIN(MIN(EH83*VU83,(ZG83+ACT83)),ACT83)),ACT83)</f>
        <v>0</v>
      </c>
      <c r="ACV83" s="20" t="n">
        <f aca="false">IF(H_Direct=1,IF(EI83&lt;=0,ACU83-EI83*VV83,ACU83-MIN(MIN(EI83*VV83,(ZH83+ACU83)),ACU83)),ACU83)</f>
        <v>0</v>
      </c>
      <c r="ACW83" s="20" t="n">
        <f aca="false">IF(H_Direct=1,IF(EJ83&lt;=0,ACV83-EJ83*VW83,ACV83-MIN(MIN(EJ83*VW83,(ZI83+ACV83)),ACV83)),ACV83)</f>
        <v>0</v>
      </c>
      <c r="ACX83" s="20" t="n">
        <f aca="false">IF(H_Direct=1,IF(EK83&lt;=0,ACW83-EK83*VX83,ACW83-MIN(MIN(EK83*VX83,(ZJ83+ACW83)),ACW83)),ACW83)</f>
        <v>0</v>
      </c>
      <c r="ACY83" s="20" t="n">
        <f aca="false">IF(H_Direct=1,IF(EL83&lt;=0,ACX83-EL83*VY83,ACX83-MIN(MIN(EL83*VY83,(ZK83+ACX83)),ACX83)),ACX83)</f>
        <v>0</v>
      </c>
      <c r="ACZ83" s="20" t="n">
        <f aca="false">IF(H_Direct=1,IF(EM83&lt;=0,ACY83-EM83*VZ83,ACY83-MIN(MIN(EM83*VZ83,(ZL83+ACY83)),ACY83)),ACY83)</f>
        <v>0</v>
      </c>
      <c r="ADA83" s="20" t="n">
        <f aca="false">IF(H_Direct=1,IF(EN83&lt;=0,ACZ83-EN83*WA83,ACZ83-MIN(MIN(EN83*WA83,(ZM83+ACZ83)),ACZ83)),ACZ83)</f>
        <v>0</v>
      </c>
      <c r="ADB83" s="20" t="n">
        <f aca="false">IF(H_Direct=1,IF(EO83&lt;=0,ADA83-EO83*WB83,ADA83-MIN(MIN(EO83*WB83,(ZN83+ADA83)),ADA83)),ADA83)</f>
        <v>0</v>
      </c>
      <c r="ADC83" s="20" t="n">
        <f aca="false">IF(H_Direct=1,IF(EP83&lt;=0,ADB83-EP83*WC83,ADB83-MIN(MIN(EP83*WC83,(ZO83+ADB83)),ADB83)),ADB83)</f>
        <v>0</v>
      </c>
      <c r="ADD83" s="20" t="n">
        <f aca="false">ADC83</f>
        <v>0</v>
      </c>
      <c r="ADE83" s="20" t="n">
        <f aca="false">ADD83</f>
        <v>0</v>
      </c>
      <c r="ADF83" s="20" t="n">
        <f aca="false">ADE83</f>
        <v>0</v>
      </c>
      <c r="ADG83" s="20" t="n">
        <f aca="false">ADF83</f>
        <v>0</v>
      </c>
      <c r="ADH83" s="20" t="n">
        <f aca="false">ADG83</f>
        <v>0</v>
      </c>
      <c r="ADI83" s="20" t="n">
        <f aca="false">ADH83</f>
        <v>0</v>
      </c>
      <c r="ADJ83" s="20" t="n">
        <f aca="false">ADI83</f>
        <v>0</v>
      </c>
      <c r="ADK83" s="20" t="n">
        <f aca="false">ADJ83</f>
        <v>0</v>
      </c>
      <c r="ADL83" s="20" t="n">
        <f aca="false">ADK83</f>
        <v>0</v>
      </c>
      <c r="ADM83" s="20" t="n">
        <f aca="false">ADL83</f>
        <v>0</v>
      </c>
      <c r="ADN83" s="20" t="n">
        <f aca="false">ADM83</f>
        <v>0</v>
      </c>
      <c r="ADO83" s="20" t="n">
        <f aca="false">ADN83</f>
        <v>0</v>
      </c>
      <c r="ADP83" s="20" t="n">
        <f aca="false">ADO83</f>
        <v>0</v>
      </c>
      <c r="ADQ83" s="20" t="n">
        <f aca="false">ADP83</f>
        <v>0</v>
      </c>
      <c r="ADR83" s="20" t="n">
        <f aca="false">(AKR82-TE83+0)*(1+BQ83)</f>
        <v>0</v>
      </c>
      <c r="ADS83" s="20" t="n">
        <f aca="false">(AKS82-TF83+0)*(1+BQ83)</f>
        <v>0</v>
      </c>
      <c r="ADT83" s="20" t="n">
        <f aca="false">(AKT82-TG83+0)*(1+BQ83)</f>
        <v>0</v>
      </c>
      <c r="ADU83" s="20" t="n">
        <f aca="false">(AKU82-TH83+0)*(1+BQ83)</f>
        <v>0</v>
      </c>
      <c r="ADV83" s="20" t="n">
        <f aca="false">(AKV82-TI83+0)*(1+BQ83)</f>
        <v>0</v>
      </c>
      <c r="ADW83" s="20" t="n">
        <f aca="false">(AKW82-TJ83+0)*(1+BQ83)</f>
        <v>0</v>
      </c>
      <c r="ADX83" s="20" t="n">
        <f aca="false">(AKX82-TK83+0)*(1+BQ83)</f>
        <v>0</v>
      </c>
      <c r="ADY83" s="20" t="n">
        <f aca="false">(AKY82-TL83+0)*(1+BQ83)</f>
        <v>0</v>
      </c>
      <c r="ADZ83" s="20" t="n">
        <f aca="false">(AKZ82-TM83+0)*(1+BQ83)</f>
        <v>0</v>
      </c>
      <c r="AEA83" s="20" t="n">
        <f aca="false">(ALA82-TN83+0)*(1+BQ83)</f>
        <v>0</v>
      </c>
      <c r="AEB83" s="20" t="n">
        <f aca="false">(ALB82-TO83+0)*(1+BQ83)</f>
        <v>0</v>
      </c>
      <c r="AEC83" s="20" t="n">
        <f aca="false">(ALC82-TP83+0)*(1+BQ83)</f>
        <v>0</v>
      </c>
      <c r="AED83" s="20" t="n">
        <f aca="false">(ALD82-TQ83+0)*(1+BQ83)</f>
        <v>0</v>
      </c>
      <c r="AEE83" s="20" t="n">
        <f aca="false">(ALE82-TR83+0)*(1+BQ83)</f>
        <v>0</v>
      </c>
      <c r="AEF83" s="20" t="n">
        <f aca="false">(ALF82-TS83+0)*(1+BQ83)</f>
        <v>0</v>
      </c>
      <c r="AEG83" s="20" t="n">
        <f aca="false">(ALG82-TT83+0)*(1+BQ83)</f>
        <v>0</v>
      </c>
      <c r="AEH83" s="20" t="n">
        <f aca="false">(ALH82-TU83+0)*(1+BQ83)</f>
        <v>0</v>
      </c>
      <c r="AEI83" s="20" t="n">
        <f aca="false">(ALI82-TV83+0)*(1+BQ83)</f>
        <v>0</v>
      </c>
      <c r="AEJ83" s="20" t="n">
        <f aca="false">(ALJ82-TW83+0)*(1+BQ83)</f>
        <v>0</v>
      </c>
      <c r="AEK83" s="20" t="n">
        <f aca="false">(ALK82-TX83+0)*(1+BQ83)</f>
        <v>0</v>
      </c>
      <c r="AEL83" s="20" t="n">
        <f aca="false">(ALL82-TY83+0)*(1+BQ83)</f>
        <v>0</v>
      </c>
      <c r="AEM83" s="20" t="n">
        <f aca="false">(ALM82-TZ83+0)*(1+BQ83)</f>
        <v>0</v>
      </c>
      <c r="AEN83" s="20" t="n">
        <f aca="false">(ALN82-UA83+0)*(1+BQ83)</f>
        <v>0</v>
      </c>
      <c r="AEO83" s="20" t="n">
        <f aca="false">(ALO82-UB83+0)*(1+BQ83)</f>
        <v>0</v>
      </c>
      <c r="AEP83" s="20" t="n">
        <f aca="false">(ALP82-UC83+0)*(1+BQ83)</f>
        <v>0</v>
      </c>
      <c r="AEQ83" s="20" t="n">
        <f aca="false">(ALQ82-UD83+0)*(1+BQ83)</f>
        <v>0</v>
      </c>
      <c r="AER83" s="20" t="n">
        <f aca="false">(ALR82-UE83+0)*(1+BQ83)</f>
        <v>0</v>
      </c>
      <c r="AES83" s="20" t="n">
        <f aca="false">(ALS82-UF83+0)*(1+BQ83)</f>
        <v>0</v>
      </c>
      <c r="AET83" s="20" t="n">
        <f aca="false">(ALT82-UG83+0)*(1+BQ83)</f>
        <v>0</v>
      </c>
      <c r="AEU83" s="20" t="n">
        <f aca="false">(ALU82-UH83+0)*(1+BQ83)</f>
        <v>0</v>
      </c>
      <c r="AEV83" s="20" t="n">
        <f aca="false">(ALV82-UI83+0)*(1+BQ83)</f>
        <v>0</v>
      </c>
      <c r="AEW83" s="20" t="n">
        <f aca="false">(ALW82-UJ83+0)*(1+BQ83)</f>
        <v>0</v>
      </c>
      <c r="AEX83" s="20" t="n">
        <f aca="false">(ALX82-UK83+0)*(1+BQ83)</f>
        <v>0</v>
      </c>
      <c r="AEY83" s="20" t="n">
        <f aca="false">(ALY82-UL83+0)*(1+BQ83)</f>
        <v>0</v>
      </c>
      <c r="AEZ83" s="20" t="n">
        <f aca="false">(ALZ82-UM83+0)*(1+BQ83)</f>
        <v>0</v>
      </c>
      <c r="AFA83" s="20" t="n">
        <f aca="false">(AMA82-UN83+0)*(1+BQ83)</f>
        <v>0</v>
      </c>
      <c r="AFB83" s="20" t="n">
        <f aca="false">(AMB82-UO83+0)*(1+BQ83)</f>
        <v>0</v>
      </c>
      <c r="AFC83" s="20" t="n">
        <f aca="false">(AMC82-UP83+0)*(1+BQ83)</f>
        <v>0</v>
      </c>
      <c r="AFD83" s="20" t="n">
        <f aca="false">(AMD82-UQ83+0)*(1+BQ83)</f>
        <v>0</v>
      </c>
      <c r="AFE83" s="20" t="n">
        <f aca="false">(AME82-UR83+0)*(1+BQ83)</f>
        <v>0</v>
      </c>
      <c r="AFF83" s="20" t="n">
        <f aca="false">(AMF82-US83+0)*(1+BQ83)</f>
        <v>0</v>
      </c>
      <c r="AFG83" s="20" t="n">
        <f aca="false">(AMG82-UT83+0)*(1+BQ83)</f>
        <v>0</v>
      </c>
      <c r="AFH83" s="20" t="n">
        <f aca="false">(AMH82-UU83+0)*(1+BQ83)</f>
        <v>0</v>
      </c>
      <c r="AFI83" s="20" t="n">
        <f aca="false">(AMI82-UV83+0)*(1+BQ83)</f>
        <v>0</v>
      </c>
      <c r="AFJ83" s="20" t="n">
        <f aca="false">(AMJ82-UW83+0)*(1+BQ83)</f>
        <v>0</v>
      </c>
      <c r="AFK83" s="20" t="n">
        <f aca="false">(AMK82-UX83+0)*(1+BQ83)</f>
        <v>0</v>
      </c>
      <c r="AFL83" s="20" t="n">
        <f aca="false">(AML82-UY83+0)*(1+BQ83)</f>
        <v>0</v>
      </c>
      <c r="AFM83" s="20" t="n">
        <f aca="false">(AMM82-UZ83+0)*(1+BQ83)</f>
        <v>0</v>
      </c>
      <c r="AFN83" s="20" t="n">
        <f aca="false">(AMN82-VA83+0)*(1+BQ83)</f>
        <v>0</v>
      </c>
      <c r="AFO83" s="20" t="n">
        <f aca="false">(AMO82-VB83+0)*(1+BQ83)</f>
        <v>0</v>
      </c>
      <c r="AFP83" s="20" t="n">
        <f aca="false">(AMP82-VC83+0)*(1+BQ83)</f>
        <v>0</v>
      </c>
      <c r="AFQ83" s="20" t="n">
        <f aca="false">(AMQ82-VD83+0)*(1+BQ83)</f>
        <v>0</v>
      </c>
      <c r="AFR83" s="20" t="n">
        <f aca="false">(AMR82-VE83+0)*(1+BQ83)</f>
        <v>0</v>
      </c>
      <c r="AFS83" s="20" t="n">
        <f aca="false">(AMS82-VF83+0)*(1+BQ83)</f>
        <v>0</v>
      </c>
      <c r="AFT83" s="20" t="n">
        <f aca="false">(AMT82-VG83+0)*(1+BQ83)</f>
        <v>0</v>
      </c>
      <c r="AFU83" s="20" t="n">
        <f aca="false">(AMU82-VH83+0)*(1+BQ83)</f>
        <v>0</v>
      </c>
      <c r="AFV83" s="20" t="n">
        <f aca="false">(AMV82-VI83+0)*(1+BQ83)</f>
        <v>0</v>
      </c>
      <c r="AFW83" s="20" t="n">
        <f aca="false">(AMW82-VJ83+0)*(1+BQ83)</f>
        <v>0</v>
      </c>
      <c r="AFX83" s="20" t="n">
        <f aca="false">(AMX82-VK83+0)*(1+BQ83)</f>
        <v>0</v>
      </c>
      <c r="AFY83" s="20" t="n">
        <f aca="false">(AMY82-VL83+0)*(1+BQ83)</f>
        <v>0</v>
      </c>
      <c r="AFZ83" s="20" t="n">
        <f aca="false">(AMZ82-VM83+0)*(1+BQ83)</f>
        <v>0</v>
      </c>
      <c r="AGA83" s="20" t="n">
        <f aca="false">(ANA82-VN83+0)*(1+BQ83)</f>
        <v>0</v>
      </c>
      <c r="AGB83" s="20" t="n">
        <f aca="false">(ANB82-VO83+0)*(1+BQ83)</f>
        <v>0</v>
      </c>
      <c r="AGC83" s="20" t="n">
        <f aca="false">(ANC82-VP83+0)*(1+BQ83)</f>
        <v>0</v>
      </c>
      <c r="AGD83" s="20" t="n">
        <f aca="false">(AND82-VQ83+0)*(1+BQ83)</f>
        <v>0</v>
      </c>
      <c r="AGE83" s="20" t="n">
        <f aca="false">(ANE82-VR83+0)*(1+BQ83)</f>
        <v>0</v>
      </c>
      <c r="AGF83" s="20" t="n">
        <f aca="false">(ANF82-VS83+0)*(1+BQ83)</f>
        <v>0</v>
      </c>
      <c r="AGG83" s="20" t="n">
        <f aca="false">(ANG82-VT83+0)*(1+BQ83)</f>
        <v>0</v>
      </c>
      <c r="AGH83" s="20" t="n">
        <f aca="false">(ANH82-VU83+0)*(1+BQ83)</f>
        <v>0</v>
      </c>
      <c r="AGI83" s="20" t="n">
        <f aca="false">(ANI82-VV83+0)*(1+BQ83)</f>
        <v>0</v>
      </c>
      <c r="AGJ83" s="20" t="n">
        <f aca="false">(ANJ82-VW83+0)*(1+BQ83)</f>
        <v>0</v>
      </c>
      <c r="AGK83" s="20" t="n">
        <f aca="false">(ANK82-VX83+0)*(1+BQ83)</f>
        <v>0</v>
      </c>
      <c r="AGL83" s="20" t="n">
        <f aca="false">(ANL82-VY83+0)*(1+BQ83)</f>
        <v>0</v>
      </c>
      <c r="AGM83" s="20" t="n">
        <f aca="false">(ANM82-VZ83+0)*(1+BQ83)</f>
        <v>0</v>
      </c>
      <c r="AGN83" s="20" t="n">
        <f aca="false">(ANN82-WA83+0)*(1+BQ83)</f>
        <v>0</v>
      </c>
      <c r="AGO83" s="20" t="n">
        <f aca="false">(ANO82-WB83+0)*(1+BQ83)</f>
        <v>0</v>
      </c>
      <c r="AGP83" s="20" t="n">
        <f aca="false">((P83+S83)-WC83+BE83)*(1+BQ83)</f>
        <v>0</v>
      </c>
      <c r="AGQ83" s="20" t="n">
        <v>0</v>
      </c>
      <c r="AGR83" s="20" t="n">
        <v>0</v>
      </c>
      <c r="AGS83" s="20" t="n">
        <v>0</v>
      </c>
      <c r="AGT83" s="20" t="n">
        <v>0</v>
      </c>
      <c r="AGU83" s="20" t="n">
        <v>0</v>
      </c>
      <c r="AGV83" s="20" t="n">
        <v>0</v>
      </c>
      <c r="AGW83" s="20" t="n">
        <v>0</v>
      </c>
      <c r="AGX83" s="20" t="n">
        <v>0</v>
      </c>
      <c r="AGY83" s="20" t="n">
        <v>0</v>
      </c>
      <c r="AGZ83" s="20" t="n">
        <v>0</v>
      </c>
      <c r="AHA83" s="20" t="n">
        <v>0</v>
      </c>
      <c r="AHB83" s="20" t="n">
        <v>0</v>
      </c>
      <c r="AHC83" s="20" t="n">
        <v>0</v>
      </c>
      <c r="AHD83" s="20" t="n">
        <v>0</v>
      </c>
      <c r="AHE83" s="20" t="n">
        <f aca="false">IF(AKR82&gt;0,AOE82-AOE82*TE83/AKR82,0)+0</f>
        <v>0</v>
      </c>
      <c r="AHF83" s="20" t="n">
        <f aca="false">IF(AKS82&gt;0,AOF82-AOF82*TF83/AKS82,0)+0</f>
        <v>0</v>
      </c>
      <c r="AHG83" s="20" t="n">
        <f aca="false">IF(AKT82&gt;0,AOG82-AOG82*TG83/AKT82,0)+0</f>
        <v>0</v>
      </c>
      <c r="AHH83" s="20" t="n">
        <f aca="false">IF(AKU82&gt;0,AOH82-AOH82*TH83/AKU82,0)+0</f>
        <v>0</v>
      </c>
      <c r="AHI83" s="20" t="n">
        <f aca="false">IF(AKV82&gt;0,AOI82-AOI82*TI83/AKV82,0)+0</f>
        <v>0</v>
      </c>
      <c r="AHJ83" s="20" t="n">
        <f aca="false">IF(AKW82&gt;0,AOJ82-AOJ82*TJ83/AKW82,0)+0</f>
        <v>0</v>
      </c>
      <c r="AHK83" s="20" t="n">
        <f aca="false">IF(AKX82&gt;0,AOK82-AOK82*TK83/AKX82,0)+0</f>
        <v>0</v>
      </c>
      <c r="AHL83" s="20" t="n">
        <f aca="false">IF(AKY82&gt;0,AOL82-AOL82*TL83/AKY82,0)+0</f>
        <v>0</v>
      </c>
      <c r="AHM83" s="20" t="n">
        <f aca="false">IF(AKZ82&gt;0,AOM82-AOM82*TM83/AKZ82,0)+0</f>
        <v>0</v>
      </c>
      <c r="AHN83" s="20" t="n">
        <f aca="false">IF(ALA82&gt;0,AON82-AON82*TN83/ALA82,0)+0</f>
        <v>0</v>
      </c>
      <c r="AHO83" s="20" t="n">
        <f aca="false">IF(ALB82&gt;0,AOO82-AOO82*TO83/ALB82,0)+0</f>
        <v>0</v>
      </c>
      <c r="AHP83" s="20" t="n">
        <f aca="false">IF(ALC82&gt;0,AOP82-AOP82*TP83/ALC82,0)+0</f>
        <v>0</v>
      </c>
      <c r="AHQ83" s="20" t="n">
        <f aca="false">IF(ALD82&gt;0,AOQ82-AOQ82*TQ83/ALD82,0)+0</f>
        <v>0</v>
      </c>
      <c r="AHR83" s="20" t="n">
        <f aca="false">IF(ALE82&gt;0,AOR82-AOR82*TR83/ALE82,0)+0</f>
        <v>0</v>
      </c>
      <c r="AHS83" s="20" t="n">
        <f aca="false">IF(ALF82&gt;0,AOS82-AOS82*TS83/ALF82,0)+0</f>
        <v>0</v>
      </c>
      <c r="AHT83" s="20" t="n">
        <f aca="false">IF(ALG82&gt;0,AOT82-AOT82*TT83/ALG82,0)+0</f>
        <v>0</v>
      </c>
      <c r="AHU83" s="20" t="n">
        <f aca="false">IF(ALH82&gt;0,AOU82-AOU82*TU83/ALH82,0)+0</f>
        <v>0</v>
      </c>
      <c r="AHV83" s="20" t="n">
        <f aca="false">IF(ALI82&gt;0,AOV82-AOV82*TV83/ALI82,0)+0</f>
        <v>0</v>
      </c>
      <c r="AHW83" s="20" t="n">
        <f aca="false">IF(ALJ82&gt;0,AOW82-AOW82*TW83/ALJ82,0)+0</f>
        <v>0</v>
      </c>
      <c r="AHX83" s="20" t="n">
        <f aca="false">IF(ALK82&gt;0,AOX82-AOX82*TX83/ALK82,0)+0</f>
        <v>0</v>
      </c>
      <c r="AHY83" s="20" t="n">
        <f aca="false">IF(ALL82&gt;0,AOY82-AOY82*TY83/ALL82,0)+0</f>
        <v>0</v>
      </c>
      <c r="AHZ83" s="20" t="n">
        <f aca="false">IF(ALM82&gt;0,AOZ82-AOZ82*TZ83/ALM82,0)+0</f>
        <v>0</v>
      </c>
      <c r="AIA83" s="20" t="n">
        <f aca="false">IF(ALN82&gt;0,APA82-APA82*UA83/ALN82,0)+0</f>
        <v>0</v>
      </c>
      <c r="AIB83" s="20" t="n">
        <f aca="false">IF(ALO82&gt;0,APB82-APB82*UB83/ALO82,0)+0</f>
        <v>0</v>
      </c>
      <c r="AIC83" s="20" t="n">
        <f aca="false">IF(ALP82&gt;0,APC82-APC82*UC83/ALP82,0)+0</f>
        <v>0</v>
      </c>
      <c r="AID83" s="20" t="n">
        <f aca="false">IF(ALQ82&gt;0,APD82-APD82*UD83/ALQ82,0)+0</f>
        <v>0</v>
      </c>
      <c r="AIE83" s="20" t="n">
        <f aca="false">IF(ALR82&gt;0,APE82-APE82*UE83/ALR82,0)+0</f>
        <v>0</v>
      </c>
      <c r="AIF83" s="20" t="n">
        <f aca="false">IF(ALS82&gt;0,APF82-APF82*UF83/ALS82,0)+0</f>
        <v>0</v>
      </c>
      <c r="AIG83" s="20" t="n">
        <f aca="false">IF(ALT82&gt;0,APG82-APG82*UG83/ALT82,0)+0</f>
        <v>0</v>
      </c>
      <c r="AIH83" s="20" t="n">
        <f aca="false">IF(ALU82&gt;0,APH82-APH82*UH83/ALU82,0)+0</f>
        <v>0</v>
      </c>
      <c r="AII83" s="20" t="n">
        <f aca="false">IF(ALV82&gt;0,API82-API82*UI83/ALV82,0)+0</f>
        <v>0</v>
      </c>
      <c r="AIJ83" s="20" t="n">
        <f aca="false">IF(ALW82&gt;0,APJ82-APJ82*UJ83/ALW82,0)+0</f>
        <v>0</v>
      </c>
      <c r="AIK83" s="20" t="n">
        <f aca="false">IF(ALX82&gt;0,APK82-APK82*UK83/ALX82,0)+0</f>
        <v>0</v>
      </c>
      <c r="AIL83" s="20" t="n">
        <f aca="false">IF(ALY82&gt;0,APL82-APL82*UL83/ALY82,0)+0</f>
        <v>0</v>
      </c>
      <c r="AIM83" s="20" t="n">
        <f aca="false">IF(ALZ82&gt;0,APM82-APM82*UM83/ALZ82,0)+0</f>
        <v>0</v>
      </c>
      <c r="AIN83" s="20" t="n">
        <f aca="false">IF(AMA82&gt;0,APN82-APN82*UN83/AMA82,0)+0</f>
        <v>0</v>
      </c>
      <c r="AIO83" s="20" t="n">
        <f aca="false">IF(AMB82&gt;0,APO82-APO82*UO83/AMB82,0)+0</f>
        <v>0</v>
      </c>
      <c r="AIP83" s="20" t="n">
        <f aca="false">IF(AMC82&gt;0,APP82-APP82*UP83/AMC82,0)+0</f>
        <v>0</v>
      </c>
      <c r="AIQ83" s="20" t="n">
        <f aca="false">IF(AMD82&gt;0,APQ82-APQ82*UQ83/AMD82,0)+0</f>
        <v>0</v>
      </c>
      <c r="AIR83" s="20" t="n">
        <f aca="false">IF(AME82&gt;0,APR82-APR82*UR83/AME82,0)+0</f>
        <v>0</v>
      </c>
      <c r="AIS83" s="20" t="n">
        <f aca="false">IF(AMF82&gt;0,APS82-APS82*US83/AMF82,0)+0</f>
        <v>0</v>
      </c>
      <c r="AIT83" s="20" t="n">
        <f aca="false">IF(AMG82&gt;0,APT82-APT82*UT83/AMG82,0)+0</f>
        <v>0</v>
      </c>
      <c r="AIU83" s="20" t="n">
        <f aca="false">IF(AMH82&gt;0,APU82-APU82*UU83/AMH82,0)+0</f>
        <v>0</v>
      </c>
      <c r="AIV83" s="20" t="n">
        <f aca="false">IF(AMI82&gt;0,APV82-APV82*UV83/AMI82,0)+0</f>
        <v>0</v>
      </c>
      <c r="AIW83" s="20" t="n">
        <f aca="false">IF(AMJ82&gt;0,APW82-APW82*UW83/AMJ82,0)+0</f>
        <v>0</v>
      </c>
      <c r="AIX83" s="20" t="n">
        <f aca="false">IF(AMK82&gt;0,APX82-APX82*UX83/AMK82,0)+0</f>
        <v>0</v>
      </c>
      <c r="AIY83" s="20" t="n">
        <f aca="false">IF(AML82&gt;0,APY82-APY82*UY83/AML82,0)+0</f>
        <v>0</v>
      </c>
      <c r="AIZ83" s="20" t="n">
        <f aca="false">IF(AMM82&gt;0,APZ82-APZ82*UZ83/AMM82,0)+0</f>
        <v>0</v>
      </c>
      <c r="AJA83" s="20" t="n">
        <f aca="false">IF(AMN82&gt;0,AQA82-AQA82*VA83/AMN82,0)+0</f>
        <v>0</v>
      </c>
      <c r="AJB83" s="20" t="n">
        <f aca="false">IF(AMO82&gt;0,AQB82-AQB82*VB83/AMO82,0)+0</f>
        <v>0</v>
      </c>
      <c r="AJC83" s="20" t="n">
        <f aca="false">IF(AMP82&gt;0,AQC82-AQC82*VC83/AMP82,0)+0</f>
        <v>0</v>
      </c>
      <c r="AJD83" s="20" t="n">
        <f aca="false">IF(AMQ82&gt;0,AQD82-AQD82*VD83/AMQ82,0)+0</f>
        <v>0</v>
      </c>
      <c r="AJE83" s="20" t="n">
        <f aca="false">IF(AMR82&gt;0,AQE82-AQE82*VE83/AMR82,0)+0</f>
        <v>0</v>
      </c>
      <c r="AJF83" s="20" t="n">
        <f aca="false">IF(AMS82&gt;0,AQF82-AQF82*VF83/AMS82,0)+0</f>
        <v>0</v>
      </c>
      <c r="AJG83" s="20" t="n">
        <f aca="false">IF(AMT82&gt;0,AQG82-AQG82*VG83/AMT82,0)+0</f>
        <v>0</v>
      </c>
      <c r="AJH83" s="20" t="n">
        <f aca="false">IF(AMU82&gt;0,AQH82-AQH82*VH83/AMU82,0)+0</f>
        <v>0</v>
      </c>
      <c r="AJI83" s="20" t="n">
        <f aca="false">IF(AMV82&gt;0,AQI82-AQI82*VI83/AMV82,0)+0</f>
        <v>0</v>
      </c>
      <c r="AJJ83" s="20" t="n">
        <f aca="false">IF(AMW82&gt;0,AQJ82-AQJ82*VJ83/AMW82,0)+0</f>
        <v>0</v>
      </c>
      <c r="AJK83" s="20" t="n">
        <f aca="false">IF(AMX82&gt;0,AQK82-AQK82*VK83/AMX82,0)+0</f>
        <v>0</v>
      </c>
      <c r="AJL83" s="20" t="n">
        <f aca="false">IF(AMY82&gt;0,AQL82-AQL82*VL83/AMY82,0)+0</f>
        <v>0</v>
      </c>
      <c r="AJM83" s="20" t="n">
        <f aca="false">IF(AMZ82&gt;0,AQM82-AQM82*VM83/AMZ82,0)+0</f>
        <v>0</v>
      </c>
      <c r="AJN83" s="20" t="n">
        <f aca="false">IF(ANA82&gt;0,AQN82-AQN82*VN83/ANA82,0)+0</f>
        <v>0</v>
      </c>
      <c r="AJO83" s="20" t="n">
        <f aca="false">IF(ANB82&gt;0,AQO82-AQO82*VO83/ANB82,0)+0</f>
        <v>0</v>
      </c>
      <c r="AJP83" s="20" t="n">
        <f aca="false">IF(ANC82&gt;0,AQP82-AQP82*VP83/ANC82,0)+0</f>
        <v>0</v>
      </c>
      <c r="AJQ83" s="20" t="n">
        <f aca="false">IF(AND82&gt;0,AQQ82-AQQ82*VQ83/AND82,0)+0</f>
        <v>0</v>
      </c>
      <c r="AJR83" s="20" t="n">
        <f aca="false">IF(ANE82&gt;0,AQR82-AQR82*VR83/ANE82,0)+0</f>
        <v>0</v>
      </c>
      <c r="AJS83" s="20" t="n">
        <f aca="false">IF(ANF82&gt;0,AQS82-AQS82*VS83/ANF82,0)+0</f>
        <v>0</v>
      </c>
      <c r="AJT83" s="20" t="n">
        <f aca="false">IF(ANG82&gt;0,AQT82-AQT82*VT83/ANG82,0)+0</f>
        <v>0</v>
      </c>
      <c r="AJU83" s="20" t="n">
        <f aca="false">IF(ANH82&gt;0,AQU82-AQU82*VU83/ANH82,0)+0</f>
        <v>0</v>
      </c>
      <c r="AJV83" s="20" t="n">
        <f aca="false">IF(ANI82&gt;0,AQV82-AQV82*VV83/ANI82,0)+0</f>
        <v>0</v>
      </c>
      <c r="AJW83" s="20" t="n">
        <f aca="false">IF(ANJ82&gt;0,AQW82-AQW82*VW83/ANJ82,0)+0</f>
        <v>0</v>
      </c>
      <c r="AJX83" s="20" t="n">
        <f aca="false">IF(ANK82&gt;0,AQX82-AQX82*VX83/ANK82,0)+0</f>
        <v>0</v>
      </c>
      <c r="AJY83" s="20" t="n">
        <f aca="false">IF(ANL82&gt;0,AQY82-AQY82*VY83/ANL82,0)+0</f>
        <v>0</v>
      </c>
      <c r="AJZ83" s="20" t="n">
        <f aca="false">IF(ANM82&gt;0,AQZ82-AQZ82*VZ83/ANM82,0)+0</f>
        <v>0</v>
      </c>
      <c r="AKA83" s="20" t="n">
        <f aca="false">IF(ANN82&gt;0,ARA82-ARA82*WA83/ANN82,0)+0</f>
        <v>0</v>
      </c>
      <c r="AKB83" s="20" t="n">
        <f aca="false">IF(ANO82&gt;0,ARB82-ARB82*WB83/ANO82,0)+0</f>
        <v>0</v>
      </c>
      <c r="AKC83" s="20" t="n">
        <f aca="false">IF((P83+S83)&gt;0,(P83+S83)-(P83+S83)*WC83/(P83+S83),0)+BE83</f>
        <v>0</v>
      </c>
      <c r="AKD83" s="20" t="n">
        <v>0</v>
      </c>
      <c r="AKE83" s="20" t="n">
        <v>0</v>
      </c>
      <c r="AKF83" s="20" t="n">
        <v>0</v>
      </c>
      <c r="AKG83" s="20" t="n">
        <v>0</v>
      </c>
      <c r="AKH83" s="20" t="n">
        <v>0</v>
      </c>
      <c r="AKI83" s="20" t="n">
        <v>0</v>
      </c>
      <c r="AKJ83" s="20" t="n">
        <v>0</v>
      </c>
      <c r="AKK83" s="20" t="n">
        <v>0</v>
      </c>
      <c r="AKL83" s="20" t="n">
        <v>0</v>
      </c>
      <c r="AKM83" s="20" t="n">
        <v>0</v>
      </c>
      <c r="AKN83" s="20" t="n">
        <v>0</v>
      </c>
      <c r="AKO83" s="20" t="n">
        <v>0</v>
      </c>
      <c r="AKP83" s="20" t="n">
        <v>0</v>
      </c>
      <c r="AKQ83" s="20" t="n">
        <v>0</v>
      </c>
      <c r="AKR83" s="20" t="n">
        <f aca="false">ADR83-AVE83</f>
        <v>0</v>
      </c>
      <c r="AKS83" s="20" t="n">
        <f aca="false">ADS83-AVF83</f>
        <v>0</v>
      </c>
      <c r="AKT83" s="20" t="n">
        <f aca="false">ADT83-AVG83</f>
        <v>0</v>
      </c>
      <c r="AKU83" s="20" t="n">
        <f aca="false">ADU83-AVH83</f>
        <v>0</v>
      </c>
      <c r="AKV83" s="20" t="n">
        <f aca="false">ADV83-AVI83</f>
        <v>0</v>
      </c>
      <c r="AKW83" s="20" t="n">
        <f aca="false">ADW83-AVJ83</f>
        <v>0</v>
      </c>
      <c r="AKX83" s="20" t="n">
        <f aca="false">ADX83-AVK83</f>
        <v>0</v>
      </c>
      <c r="AKY83" s="20" t="n">
        <f aca="false">ADY83-AVL83</f>
        <v>0</v>
      </c>
      <c r="AKZ83" s="20" t="n">
        <f aca="false">ADZ83-AVM83</f>
        <v>0</v>
      </c>
      <c r="ALA83" s="20" t="n">
        <f aca="false">AEA83-AVN83</f>
        <v>0</v>
      </c>
      <c r="ALB83" s="20" t="n">
        <f aca="false">AEB83-AVO83</f>
        <v>0</v>
      </c>
      <c r="ALC83" s="20" t="n">
        <f aca="false">AEC83-AVP83</f>
        <v>0</v>
      </c>
      <c r="ALD83" s="20" t="n">
        <f aca="false">AED83-AVQ83</f>
        <v>0</v>
      </c>
      <c r="ALE83" s="20" t="n">
        <f aca="false">AEE83-AVR83</f>
        <v>0</v>
      </c>
      <c r="ALF83" s="20" t="n">
        <f aca="false">AEF83-AVS83</f>
        <v>0</v>
      </c>
      <c r="ALG83" s="20" t="n">
        <f aca="false">AEG83-AVT83</f>
        <v>0</v>
      </c>
      <c r="ALH83" s="20" t="n">
        <f aca="false">AEH83-AVU83</f>
        <v>0</v>
      </c>
      <c r="ALI83" s="20" t="n">
        <f aca="false">AEI83-AVV83</f>
        <v>0</v>
      </c>
      <c r="ALJ83" s="20" t="n">
        <f aca="false">AEJ83-AVW83</f>
        <v>0</v>
      </c>
      <c r="ALK83" s="20" t="n">
        <f aca="false">AEK83-AVX83</f>
        <v>0</v>
      </c>
      <c r="ALL83" s="20" t="n">
        <f aca="false">AEL83-AVY83</f>
        <v>0</v>
      </c>
      <c r="ALM83" s="20" t="n">
        <f aca="false">AEM83-AVZ83</f>
        <v>0</v>
      </c>
      <c r="ALN83" s="20" t="n">
        <f aca="false">AEN83-AWA83</f>
        <v>0</v>
      </c>
      <c r="ALO83" s="20" t="n">
        <f aca="false">AEO83-AWB83</f>
        <v>0</v>
      </c>
      <c r="ALP83" s="20" t="n">
        <f aca="false">AEP83-AWC83</f>
        <v>0</v>
      </c>
      <c r="ALQ83" s="20" t="n">
        <f aca="false">AEQ83-AWD83</f>
        <v>0</v>
      </c>
      <c r="ALR83" s="20" t="n">
        <f aca="false">AER83-AWE83</f>
        <v>0</v>
      </c>
      <c r="ALS83" s="20" t="n">
        <f aca="false">AES83-AWF83</f>
        <v>0</v>
      </c>
      <c r="ALT83" s="20" t="n">
        <f aca="false">AET83-AWG83</f>
        <v>0</v>
      </c>
      <c r="ALU83" s="20" t="n">
        <f aca="false">AEU83-AWH83</f>
        <v>0</v>
      </c>
      <c r="ALV83" s="20" t="n">
        <f aca="false">AEV83-AWI83</f>
        <v>0</v>
      </c>
      <c r="ALW83" s="20" t="n">
        <f aca="false">AEW83-AWJ83</f>
        <v>0</v>
      </c>
      <c r="ALX83" s="20" t="n">
        <f aca="false">AEX83-AWK83</f>
        <v>0</v>
      </c>
      <c r="ALY83" s="20" t="n">
        <f aca="false">AEY83-AWL83</f>
        <v>0</v>
      </c>
      <c r="ALZ83" s="20" t="n">
        <f aca="false">AEZ83-AWM83</f>
        <v>0</v>
      </c>
      <c r="AMA83" s="20" t="n">
        <f aca="false">AFA83-AWN83</f>
        <v>0</v>
      </c>
      <c r="AMB83" s="20" t="n">
        <f aca="false">AFB83-AWO83</f>
        <v>0</v>
      </c>
      <c r="AMC83" s="20" t="n">
        <f aca="false">AFC83-AWP83</f>
        <v>0</v>
      </c>
      <c r="AMD83" s="20" t="n">
        <f aca="false">AFD83-AWQ83</f>
        <v>0</v>
      </c>
      <c r="AME83" s="20" t="n">
        <f aca="false">AFE83-AWR83</f>
        <v>0</v>
      </c>
      <c r="AMF83" s="20" t="n">
        <f aca="false">AFF83-AWS83</f>
        <v>0</v>
      </c>
      <c r="AMG83" s="20" t="n">
        <f aca="false">AFG83-AWT83</f>
        <v>0</v>
      </c>
      <c r="AMH83" s="20" t="n">
        <f aca="false">AFH83-AWU83</f>
        <v>0</v>
      </c>
      <c r="AMI83" s="20" t="n">
        <f aca="false">AFI83-AWV83</f>
        <v>0</v>
      </c>
      <c r="AMJ83" s="20" t="n">
        <f aca="false">AFJ83-AWW83</f>
        <v>0</v>
      </c>
      <c r="AMK83" s="20" t="n">
        <f aca="false">AFK83-AWX83</f>
        <v>0</v>
      </c>
      <c r="AML83" s="20" t="n">
        <f aca="false">AFL83-AWY83</f>
        <v>0</v>
      </c>
      <c r="AMM83" s="20" t="n">
        <f aca="false">AFM83-AWZ83</f>
        <v>0</v>
      </c>
      <c r="AMN83" s="20" t="n">
        <f aca="false">AFN83-AXA83</f>
        <v>0</v>
      </c>
      <c r="AMO83" s="20" t="n">
        <f aca="false">AFO83-AXB83</f>
        <v>0</v>
      </c>
      <c r="AMP83" s="20" t="n">
        <f aca="false">AFP83-AXC83</f>
        <v>0</v>
      </c>
      <c r="AMQ83" s="20" t="n">
        <f aca="false">AFQ83-AXD83</f>
        <v>0</v>
      </c>
      <c r="AMR83" s="20" t="n">
        <f aca="false">AFR83-AXE83</f>
        <v>0</v>
      </c>
      <c r="AMS83" s="20" t="n">
        <f aca="false">AFS83-AXF83</f>
        <v>0</v>
      </c>
      <c r="AMT83" s="20" t="n">
        <f aca="false">AFT83-AXG83</f>
        <v>0</v>
      </c>
      <c r="AMU83" s="20" t="n">
        <f aca="false">AFU83-AXH83</f>
        <v>0</v>
      </c>
      <c r="AMV83" s="20" t="n">
        <f aca="false">AFV83-AXI83</f>
        <v>0</v>
      </c>
      <c r="AMW83" s="20" t="n">
        <f aca="false">AFW83-AXJ83</f>
        <v>0</v>
      </c>
      <c r="AMX83" s="20" t="n">
        <f aca="false">AFX83-AXK83</f>
        <v>0</v>
      </c>
      <c r="AMY83" s="20" t="n">
        <f aca="false">AFY83-AXL83</f>
        <v>0</v>
      </c>
      <c r="AMZ83" s="20" t="n">
        <f aca="false">AFZ83-AXM83</f>
        <v>0</v>
      </c>
      <c r="ANA83" s="20" t="n">
        <f aca="false">AGA83-AXN83</f>
        <v>0</v>
      </c>
      <c r="ANB83" s="20" t="n">
        <f aca="false">AGB83-AXO83</f>
        <v>0</v>
      </c>
      <c r="ANC83" s="20" t="n">
        <f aca="false">AGC83-AXP83</f>
        <v>0</v>
      </c>
      <c r="AND83" s="20" t="n">
        <f aca="false">AGD83-AXQ83</f>
        <v>0</v>
      </c>
      <c r="ANE83" s="20" t="n">
        <f aca="false">AGE83-AXR83</f>
        <v>0</v>
      </c>
      <c r="ANF83" s="20" t="n">
        <f aca="false">AGF83-AXS83</f>
        <v>0</v>
      </c>
      <c r="ANG83" s="20" t="n">
        <f aca="false">AGG83-AXT83</f>
        <v>0</v>
      </c>
      <c r="ANH83" s="20" t="n">
        <f aca="false">AGH83-AXU83</f>
        <v>0</v>
      </c>
      <c r="ANI83" s="20" t="n">
        <f aca="false">AGI83-AXV83</f>
        <v>0</v>
      </c>
      <c r="ANJ83" s="20" t="n">
        <f aca="false">AGJ83-AXW83</f>
        <v>0</v>
      </c>
      <c r="ANK83" s="20" t="n">
        <f aca="false">AGK83-AXX83</f>
        <v>0</v>
      </c>
      <c r="ANL83" s="20" t="n">
        <f aca="false">AGL83-AXY83</f>
        <v>0</v>
      </c>
      <c r="ANM83" s="20" t="n">
        <f aca="false">AGM83-AXZ83</f>
        <v>0</v>
      </c>
      <c r="ANN83" s="20" t="n">
        <f aca="false">AGN83-AYA83</f>
        <v>0</v>
      </c>
      <c r="ANO83" s="20" t="n">
        <f aca="false">AGO83-AYB83</f>
        <v>0</v>
      </c>
      <c r="ANP83" s="20" t="n">
        <f aca="false">AGP83-AYC83</f>
        <v>0</v>
      </c>
      <c r="ANQ83" s="20" t="n">
        <v>0</v>
      </c>
      <c r="ANR83" s="20" t="n">
        <v>0</v>
      </c>
      <c r="ANS83" s="20" t="n">
        <v>0</v>
      </c>
      <c r="ANT83" s="20" t="n">
        <v>0</v>
      </c>
      <c r="ANU83" s="20" t="n">
        <v>0</v>
      </c>
      <c r="ANV83" s="20" t="n">
        <v>0</v>
      </c>
      <c r="ANW83" s="20" t="n">
        <v>0</v>
      </c>
      <c r="ANX83" s="20" t="n">
        <v>0</v>
      </c>
      <c r="ANY83" s="20" t="n">
        <v>0</v>
      </c>
      <c r="ANZ83" s="20" t="n">
        <v>0</v>
      </c>
      <c r="AOA83" s="20" t="n">
        <v>0</v>
      </c>
      <c r="AOB83" s="20" t="n">
        <v>0</v>
      </c>
      <c r="AOC83" s="20" t="n">
        <v>0</v>
      </c>
      <c r="AOD83" s="20" t="n">
        <v>0</v>
      </c>
      <c r="AOE83" s="20" t="n">
        <f aca="false">IF(AND(H_Direct=0,H_TaxEvt=1,ARR82+1&gt;=H_Deemed),AKR83,AHE83)</f>
        <v>0</v>
      </c>
      <c r="AOF83" s="20" t="n">
        <f aca="false">IF(AND(H_Direct=0,H_TaxEvt=1,ARS82+1&gt;=H_Deemed),AKS83,AHF83)</f>
        <v>0</v>
      </c>
      <c r="AOG83" s="20" t="n">
        <f aca="false">IF(AND(H_Direct=0,H_TaxEvt=1,ART82+1&gt;=H_Deemed),AKT83,AHG83)</f>
        <v>0</v>
      </c>
      <c r="AOH83" s="20" t="n">
        <f aca="false">IF(AND(H_Direct=0,H_TaxEvt=1,ARU82+1&gt;=H_Deemed),AKU83,AHH83)</f>
        <v>0</v>
      </c>
      <c r="AOI83" s="20" t="n">
        <f aca="false">IF(AND(H_Direct=0,H_TaxEvt=1,ARV82+1&gt;=H_Deemed),AKV83,AHI83)</f>
        <v>0</v>
      </c>
      <c r="AOJ83" s="20" t="n">
        <f aca="false">IF(AND(H_Direct=0,H_TaxEvt=1,ARW82+1&gt;=H_Deemed),AKW83,AHJ83)</f>
        <v>0</v>
      </c>
      <c r="AOK83" s="20" t="n">
        <f aca="false">IF(AND(H_Direct=0,H_TaxEvt=1,ARX82+1&gt;=H_Deemed),AKX83,AHK83)</f>
        <v>0</v>
      </c>
      <c r="AOL83" s="20" t="n">
        <f aca="false">IF(AND(H_Direct=0,H_TaxEvt=1,ARY82+1&gt;=H_Deemed),AKY83,AHL83)</f>
        <v>0</v>
      </c>
      <c r="AOM83" s="20" t="n">
        <f aca="false">IF(AND(H_Direct=0,H_TaxEvt=1,ARZ82+1&gt;=H_Deemed),AKZ83,AHM83)</f>
        <v>0</v>
      </c>
      <c r="AON83" s="20" t="n">
        <f aca="false">IF(AND(H_Direct=0,H_TaxEvt=1,ASA82+1&gt;=H_Deemed),ALA83,AHN83)</f>
        <v>0</v>
      </c>
      <c r="AOO83" s="20" t="n">
        <f aca="false">IF(AND(H_Direct=0,H_TaxEvt=1,ASB82+1&gt;=H_Deemed),ALB83,AHO83)</f>
        <v>0</v>
      </c>
      <c r="AOP83" s="20" t="n">
        <f aca="false">IF(AND(H_Direct=0,H_TaxEvt=1,ASC82+1&gt;=H_Deemed),ALC83,AHP83)</f>
        <v>0</v>
      </c>
      <c r="AOQ83" s="20" t="n">
        <f aca="false">IF(AND(H_Direct=0,H_TaxEvt=1,ASD82+1&gt;=H_Deemed),ALD83,AHQ83)</f>
        <v>0</v>
      </c>
      <c r="AOR83" s="20" t="n">
        <f aca="false">IF(AND(H_Direct=0,H_TaxEvt=1,ASE82+1&gt;=H_Deemed),ALE83,AHR83)</f>
        <v>0</v>
      </c>
      <c r="AOS83" s="20" t="n">
        <f aca="false">IF(AND(H_Direct=0,H_TaxEvt=1,ASF82+1&gt;=H_Deemed),ALF83,AHS83)</f>
        <v>0</v>
      </c>
      <c r="AOT83" s="20" t="n">
        <f aca="false">IF(AND(H_Direct=0,H_TaxEvt=1,ASG82+1&gt;=H_Deemed),ALG83,AHT83)</f>
        <v>0</v>
      </c>
      <c r="AOU83" s="20" t="n">
        <f aca="false">IF(AND(H_Direct=0,H_TaxEvt=1,ASH82+1&gt;=H_Deemed),ALH83,AHU83)</f>
        <v>0</v>
      </c>
      <c r="AOV83" s="20" t="n">
        <f aca="false">IF(AND(H_Direct=0,H_TaxEvt=1,ASI82+1&gt;=H_Deemed),ALI83,AHV83)</f>
        <v>0</v>
      </c>
      <c r="AOW83" s="20" t="n">
        <f aca="false">IF(AND(H_Direct=0,H_TaxEvt=1,ASJ82+1&gt;=H_Deemed),ALJ83,AHW83)</f>
        <v>0</v>
      </c>
      <c r="AOX83" s="20" t="n">
        <f aca="false">IF(AND(H_Direct=0,H_TaxEvt=1,ASK82+1&gt;=H_Deemed),ALK83,AHX83)</f>
        <v>0</v>
      </c>
      <c r="AOY83" s="20" t="n">
        <f aca="false">IF(AND(H_Direct=0,H_TaxEvt=1,ASL82+1&gt;=H_Deemed),ALL83,AHY83)</f>
        <v>0</v>
      </c>
      <c r="AOZ83" s="20" t="n">
        <f aca="false">IF(AND(H_Direct=0,H_TaxEvt=1,ASM82+1&gt;=H_Deemed),ALM83,AHZ83)</f>
        <v>0</v>
      </c>
      <c r="APA83" s="20" t="n">
        <f aca="false">IF(AND(H_Direct=0,H_TaxEvt=1,ASN82+1&gt;=H_Deemed),ALN83,AIA83)</f>
        <v>0</v>
      </c>
      <c r="APB83" s="20" t="n">
        <f aca="false">IF(AND(H_Direct=0,H_TaxEvt=1,ASO82+1&gt;=H_Deemed),ALO83,AIB83)</f>
        <v>0</v>
      </c>
      <c r="APC83" s="20" t="n">
        <f aca="false">IF(AND(H_Direct=0,H_TaxEvt=1,ASP82+1&gt;=H_Deemed),ALP83,AIC83)</f>
        <v>0</v>
      </c>
      <c r="APD83" s="20" t="n">
        <f aca="false">IF(AND(H_Direct=0,H_TaxEvt=1,ASQ82+1&gt;=H_Deemed),ALQ83,AID83)</f>
        <v>0</v>
      </c>
      <c r="APE83" s="20" t="n">
        <f aca="false">IF(AND(H_Direct=0,H_TaxEvt=1,ASR82+1&gt;=H_Deemed),ALR83,AIE83)</f>
        <v>0</v>
      </c>
      <c r="APF83" s="20" t="n">
        <f aca="false">IF(AND(H_Direct=0,H_TaxEvt=1,ASS82+1&gt;=H_Deemed),ALS83,AIF83)</f>
        <v>0</v>
      </c>
      <c r="APG83" s="20" t="n">
        <f aca="false">IF(AND(H_Direct=0,H_TaxEvt=1,AST82+1&gt;=H_Deemed),ALT83,AIG83)</f>
        <v>0</v>
      </c>
      <c r="APH83" s="20" t="n">
        <f aca="false">IF(AND(H_Direct=0,H_TaxEvt=1,ASU82+1&gt;=H_Deemed),ALU83,AIH83)</f>
        <v>0</v>
      </c>
      <c r="API83" s="20" t="n">
        <f aca="false">IF(AND(H_Direct=0,H_TaxEvt=1,ASV82+1&gt;=H_Deemed),ALV83,AII83)</f>
        <v>0</v>
      </c>
      <c r="APJ83" s="20" t="n">
        <f aca="false">IF(AND(H_Direct=0,H_TaxEvt=1,ASW82+1&gt;=H_Deemed),ALW83,AIJ83)</f>
        <v>0</v>
      </c>
      <c r="APK83" s="20" t="n">
        <f aca="false">IF(AND(H_Direct=0,H_TaxEvt=1,ASX82+1&gt;=H_Deemed),ALX83,AIK83)</f>
        <v>0</v>
      </c>
      <c r="APL83" s="20" t="n">
        <f aca="false">IF(AND(H_Direct=0,H_TaxEvt=1,ASY82+1&gt;=H_Deemed),ALY83,AIL83)</f>
        <v>0</v>
      </c>
      <c r="APM83" s="20" t="n">
        <f aca="false">IF(AND(H_Direct=0,H_TaxEvt=1,ASZ82+1&gt;=H_Deemed),ALZ83,AIM83)</f>
        <v>0</v>
      </c>
      <c r="APN83" s="20" t="n">
        <f aca="false">IF(AND(H_Direct=0,H_TaxEvt=1,ATA82+1&gt;=H_Deemed),AMA83,AIN83)</f>
        <v>0</v>
      </c>
      <c r="APO83" s="20" t="n">
        <f aca="false">IF(AND(H_Direct=0,H_TaxEvt=1,ATB82+1&gt;=H_Deemed),AMB83,AIO83)</f>
        <v>0</v>
      </c>
      <c r="APP83" s="20" t="n">
        <f aca="false">IF(AND(H_Direct=0,H_TaxEvt=1,ATC82+1&gt;=H_Deemed),AMC83,AIP83)</f>
        <v>0</v>
      </c>
      <c r="APQ83" s="20" t="n">
        <f aca="false">IF(AND(H_Direct=0,H_TaxEvt=1,ATD82+1&gt;=H_Deemed),AMD83,AIQ83)</f>
        <v>0</v>
      </c>
      <c r="APR83" s="20" t="n">
        <f aca="false">IF(AND(H_Direct=0,H_TaxEvt=1,ATE82+1&gt;=H_Deemed),AME83,AIR83)</f>
        <v>0</v>
      </c>
      <c r="APS83" s="20" t="n">
        <f aca="false">IF(AND(H_Direct=0,H_TaxEvt=1,ATF82+1&gt;=H_Deemed),AMF83,AIS83)</f>
        <v>0</v>
      </c>
      <c r="APT83" s="20" t="n">
        <f aca="false">IF(AND(H_Direct=0,H_TaxEvt=1,ATG82+1&gt;=H_Deemed),AMG83,AIT83)</f>
        <v>0</v>
      </c>
      <c r="APU83" s="20" t="n">
        <f aca="false">IF(AND(H_Direct=0,H_TaxEvt=1,ATH82+1&gt;=H_Deemed),AMH83,AIU83)</f>
        <v>0</v>
      </c>
      <c r="APV83" s="20" t="n">
        <f aca="false">IF(AND(H_Direct=0,H_TaxEvt=1,ATI82+1&gt;=H_Deemed),AMI83,AIV83)</f>
        <v>0</v>
      </c>
      <c r="APW83" s="20" t="n">
        <f aca="false">IF(AND(H_Direct=0,H_TaxEvt=1,ATJ82+1&gt;=H_Deemed),AMJ83,AIW83)</f>
        <v>0</v>
      </c>
      <c r="APX83" s="20" t="n">
        <f aca="false">IF(AND(H_Direct=0,H_TaxEvt=1,ATK82+1&gt;=H_Deemed),AMK83,AIX83)</f>
        <v>0</v>
      </c>
      <c r="APY83" s="20" t="n">
        <f aca="false">IF(AND(H_Direct=0,H_TaxEvt=1,ATL82+1&gt;=H_Deemed),AML83,AIY83)</f>
        <v>0</v>
      </c>
      <c r="APZ83" s="20" t="n">
        <f aca="false">IF(AND(H_Direct=0,H_TaxEvt=1,ATM82+1&gt;=H_Deemed),AMM83,AIZ83)</f>
        <v>0</v>
      </c>
      <c r="AQA83" s="20" t="n">
        <f aca="false">IF(AND(H_Direct=0,H_TaxEvt=1,ATN82+1&gt;=H_Deemed),AMN83,AJA83)</f>
        <v>0</v>
      </c>
      <c r="AQB83" s="20" t="n">
        <f aca="false">IF(AND(H_Direct=0,H_TaxEvt=1,ATO82+1&gt;=H_Deemed),AMO83,AJB83)</f>
        <v>0</v>
      </c>
      <c r="AQC83" s="20" t="n">
        <f aca="false">IF(AND(H_Direct=0,H_TaxEvt=1,ATP82+1&gt;=H_Deemed),AMP83,AJC83)</f>
        <v>0</v>
      </c>
      <c r="AQD83" s="20" t="n">
        <f aca="false">IF(AND(H_Direct=0,H_TaxEvt=1,ATQ82+1&gt;=H_Deemed),AMQ83,AJD83)</f>
        <v>0</v>
      </c>
      <c r="AQE83" s="20" t="n">
        <f aca="false">IF(AND(H_Direct=0,H_TaxEvt=1,ATR82+1&gt;=H_Deemed),AMR83,AJE83)</f>
        <v>0</v>
      </c>
      <c r="AQF83" s="20" t="n">
        <f aca="false">IF(AND(H_Direct=0,H_TaxEvt=1,ATS82+1&gt;=H_Deemed),AMS83,AJF83)</f>
        <v>0</v>
      </c>
      <c r="AQG83" s="20" t="n">
        <f aca="false">IF(AND(H_Direct=0,H_TaxEvt=1,ATT82+1&gt;=H_Deemed),AMT83,AJG83)</f>
        <v>0</v>
      </c>
      <c r="AQH83" s="20" t="n">
        <f aca="false">IF(AND(H_Direct=0,H_TaxEvt=1,ATU82+1&gt;=H_Deemed),AMU83,AJH83)</f>
        <v>0</v>
      </c>
      <c r="AQI83" s="20" t="n">
        <f aca="false">IF(AND(H_Direct=0,H_TaxEvt=1,ATV82+1&gt;=H_Deemed),AMV83,AJI83)</f>
        <v>0</v>
      </c>
      <c r="AQJ83" s="20" t="n">
        <f aca="false">IF(AND(H_Direct=0,H_TaxEvt=1,ATW82+1&gt;=H_Deemed),AMW83,AJJ83)</f>
        <v>0</v>
      </c>
      <c r="AQK83" s="20" t="n">
        <f aca="false">IF(AND(H_Direct=0,H_TaxEvt=1,ATX82+1&gt;=H_Deemed),AMX83,AJK83)</f>
        <v>0</v>
      </c>
      <c r="AQL83" s="20" t="n">
        <f aca="false">IF(AND(H_Direct=0,H_TaxEvt=1,ATY82+1&gt;=H_Deemed),AMY83,AJL83)</f>
        <v>0</v>
      </c>
      <c r="AQM83" s="20" t="n">
        <f aca="false">IF(AND(H_Direct=0,H_TaxEvt=1,ATZ82+1&gt;=H_Deemed),AMZ83,AJM83)</f>
        <v>0</v>
      </c>
      <c r="AQN83" s="20" t="n">
        <f aca="false">IF(AND(H_Direct=0,H_TaxEvt=1,AUA82+1&gt;=H_Deemed),ANA83,AJN83)</f>
        <v>0</v>
      </c>
      <c r="AQO83" s="20" t="n">
        <f aca="false">IF(AND(H_Direct=0,H_TaxEvt=1,AUB82+1&gt;=H_Deemed),ANB83,AJO83)</f>
        <v>0</v>
      </c>
      <c r="AQP83" s="20" t="n">
        <f aca="false">IF(AND(H_Direct=0,H_TaxEvt=1,AUC82+1&gt;=H_Deemed),ANC83,AJP83)</f>
        <v>0</v>
      </c>
      <c r="AQQ83" s="20" t="n">
        <f aca="false">IF(AND(H_Direct=0,H_TaxEvt=1,AUD82+1&gt;=H_Deemed),AND83,AJQ83)</f>
        <v>0</v>
      </c>
      <c r="AQR83" s="20" t="n">
        <f aca="false">IF(AND(H_Direct=0,H_TaxEvt=1,AUE82+1&gt;=H_Deemed),ANE83,AJR83)</f>
        <v>0</v>
      </c>
      <c r="AQS83" s="20" t="n">
        <f aca="false">IF(AND(H_Direct=0,H_TaxEvt=1,AUF82+1&gt;=H_Deemed),ANF83,AJS83)</f>
        <v>0</v>
      </c>
      <c r="AQT83" s="20" t="n">
        <f aca="false">IF(AND(H_Direct=0,H_TaxEvt=1,AUG82+1&gt;=H_Deemed),ANG83,AJT83)</f>
        <v>0</v>
      </c>
      <c r="AQU83" s="20" t="n">
        <f aca="false">IF(AND(H_Direct=0,H_TaxEvt=1,AUH82+1&gt;=H_Deemed),ANH83,AJU83)</f>
        <v>0</v>
      </c>
      <c r="AQV83" s="20" t="n">
        <f aca="false">IF(AND(H_Direct=0,H_TaxEvt=1,AUI82+1&gt;=H_Deemed),ANI83,AJV83)</f>
        <v>0</v>
      </c>
      <c r="AQW83" s="20" t="n">
        <f aca="false">IF(AND(H_Direct=0,H_TaxEvt=1,AUJ82+1&gt;=H_Deemed),ANJ83,AJW83)</f>
        <v>0</v>
      </c>
      <c r="AQX83" s="20" t="n">
        <f aca="false">IF(AND(H_Direct=0,H_TaxEvt=1,AUK82+1&gt;=H_Deemed),ANK83,AJX83)</f>
        <v>0</v>
      </c>
      <c r="AQY83" s="20" t="n">
        <f aca="false">IF(AND(H_Direct=0,H_TaxEvt=1,AUL82+1&gt;=H_Deemed),ANL83,AJY83)</f>
        <v>0</v>
      </c>
      <c r="AQZ83" s="20" t="n">
        <f aca="false">IF(AND(H_Direct=0,H_TaxEvt=1,AUM82+1&gt;=H_Deemed),ANM83,AJZ83)</f>
        <v>0</v>
      </c>
      <c r="ARA83" s="20" t="n">
        <f aca="false">IF(AND(H_Direct=0,H_TaxEvt=1,AUN82+1&gt;=H_Deemed),ANN83,AKA83)</f>
        <v>0</v>
      </c>
      <c r="ARB83" s="20" t="n">
        <f aca="false">IF(AND(H_Direct=0,H_TaxEvt=1,AUO82+1&gt;=H_Deemed),ANO83,AKB83)</f>
        <v>0</v>
      </c>
      <c r="ARC83" s="20" t="n">
        <f aca="false">IF(AND(H_Direct=0,H_TaxEvt=1,0+1&gt;=H_Deemed),ANP83,AKC83)</f>
        <v>0</v>
      </c>
      <c r="ARD83" s="20" t="n">
        <v>0</v>
      </c>
      <c r="ARE83" s="20" t="n">
        <v>0</v>
      </c>
      <c r="ARF83" s="20" t="n">
        <v>0</v>
      </c>
      <c r="ARG83" s="20" t="n">
        <v>0</v>
      </c>
      <c r="ARH83" s="20" t="n">
        <v>0</v>
      </c>
      <c r="ARI83" s="20" t="n">
        <v>0</v>
      </c>
      <c r="ARJ83" s="20" t="n">
        <v>0</v>
      </c>
      <c r="ARK83" s="20" t="n">
        <v>0</v>
      </c>
      <c r="ARL83" s="20" t="n">
        <v>0</v>
      </c>
      <c r="ARM83" s="20" t="n">
        <v>0</v>
      </c>
      <c r="ARN83" s="20" t="n">
        <v>0</v>
      </c>
      <c r="ARO83" s="20" t="n">
        <v>0</v>
      </c>
      <c r="ARP83" s="20" t="n">
        <v>0</v>
      </c>
      <c r="ARQ83" s="20" t="n">
        <v>0</v>
      </c>
      <c r="ARR83" s="20" t="n">
        <f aca="false">IF(AND(H_Direct=0,H_TaxEvt=1),IF(ARR82+1&gt;=H_Deemed,0,ARR82+1),ARR82)</f>
        <v>4</v>
      </c>
      <c r="ARS83" s="20" t="n">
        <f aca="false">IF(AND(H_Direct=0,H_TaxEvt=1),IF(ARS82+1&gt;=H_Deemed,0,ARS82+1),ARS82)</f>
        <v>4</v>
      </c>
      <c r="ART83" s="20" t="n">
        <f aca="false">IF(AND(H_Direct=0,H_TaxEvt=1),IF(ART82+1&gt;=H_Deemed,0,ART82+1),ART82)</f>
        <v>3</v>
      </c>
      <c r="ARU83" s="20" t="n">
        <f aca="false">IF(AND(H_Direct=0,H_TaxEvt=1),IF(ARU82+1&gt;=H_Deemed,0,ARU82+1),ARU82)</f>
        <v>2</v>
      </c>
      <c r="ARV83" s="20" t="n">
        <f aca="false">IF(AND(H_Direct=0,H_TaxEvt=1),IF(ARV82+1&gt;=H_Deemed,0,ARV82+1),ARV82)</f>
        <v>1</v>
      </c>
      <c r="ARW83" s="20" t="n">
        <f aca="false">IF(AND(H_Direct=0,H_TaxEvt=1),IF(ARW82+1&gt;=H_Deemed,0,ARW82+1),ARW82)</f>
        <v>0</v>
      </c>
      <c r="ARX83" s="20" t="n">
        <f aca="false">IF(AND(H_Direct=0,H_TaxEvt=1),IF(ARX82+1&gt;=H_Deemed,0,ARX82+1),ARX82)</f>
        <v>7</v>
      </c>
      <c r="ARY83" s="20" t="n">
        <f aca="false">IF(AND(H_Direct=0,H_TaxEvt=1),IF(ARY82+1&gt;=H_Deemed,0,ARY82+1),ARY82)</f>
        <v>6</v>
      </c>
      <c r="ARZ83" s="20" t="n">
        <f aca="false">IF(AND(H_Direct=0,H_TaxEvt=1),IF(ARZ82+1&gt;=H_Deemed,0,ARZ82+1),ARZ82)</f>
        <v>5</v>
      </c>
      <c r="ASA83" s="20" t="n">
        <f aca="false">IF(AND(H_Direct=0,H_TaxEvt=1),IF(ASA82+1&gt;=H_Deemed,0,ASA82+1),ASA82)</f>
        <v>4</v>
      </c>
      <c r="ASB83" s="20" t="n">
        <f aca="false">IF(AND(H_Direct=0,H_TaxEvt=1),IF(ASB82+1&gt;=H_Deemed,0,ASB82+1),ASB82)</f>
        <v>3</v>
      </c>
      <c r="ASC83" s="20" t="n">
        <f aca="false">IF(AND(H_Direct=0,H_TaxEvt=1),IF(ASC82+1&gt;=H_Deemed,0,ASC82+1),ASC82)</f>
        <v>2</v>
      </c>
      <c r="ASD83" s="20" t="n">
        <f aca="false">IF(AND(H_Direct=0,H_TaxEvt=1),IF(ASD82+1&gt;=H_Deemed,0,ASD82+1),ASD82)</f>
        <v>1</v>
      </c>
      <c r="ASE83" s="20" t="n">
        <f aca="false">IF(AND(H_Direct=0,H_TaxEvt=1),IF(ASE82+1&gt;=H_Deemed,0,ASE82+1),ASE82)</f>
        <v>0</v>
      </c>
      <c r="ASF83" s="20" t="n">
        <f aca="false">IF(AND(H_Direct=0,H_TaxEvt=1),IF(ASF82+1&gt;=H_Deemed,0,ASF82+1),ASF82)</f>
        <v>7</v>
      </c>
      <c r="ASG83" s="20" t="n">
        <f aca="false">IF(AND(H_Direct=0,H_TaxEvt=1),IF(ASG82+1&gt;=H_Deemed,0,ASG82+1),ASG82)</f>
        <v>6</v>
      </c>
      <c r="ASH83" s="20" t="n">
        <f aca="false">IF(AND(H_Direct=0,H_TaxEvt=1),IF(ASH82+1&gt;=H_Deemed,0,ASH82+1),ASH82)</f>
        <v>5</v>
      </c>
      <c r="ASI83" s="20" t="n">
        <f aca="false">IF(AND(H_Direct=0,H_TaxEvt=1),IF(ASI82+1&gt;=H_Deemed,0,ASI82+1),ASI82)</f>
        <v>4</v>
      </c>
      <c r="ASJ83" s="20" t="n">
        <f aca="false">IF(AND(H_Direct=0,H_TaxEvt=1),IF(ASJ82+1&gt;=H_Deemed,0,ASJ82+1),ASJ82)</f>
        <v>3</v>
      </c>
      <c r="ASK83" s="20" t="n">
        <f aca="false">IF(AND(H_Direct=0,H_TaxEvt=1),IF(ASK82+1&gt;=H_Deemed,0,ASK82+1),ASK82)</f>
        <v>2</v>
      </c>
      <c r="ASL83" s="20" t="n">
        <f aca="false">IF(AND(H_Direct=0,H_TaxEvt=1),IF(ASL82+1&gt;=H_Deemed,0,ASL82+1),ASL82)</f>
        <v>1</v>
      </c>
      <c r="ASM83" s="20" t="n">
        <f aca="false">IF(AND(H_Direct=0,H_TaxEvt=1),IF(ASM82+1&gt;=H_Deemed,0,ASM82+1),ASM82)</f>
        <v>0</v>
      </c>
      <c r="ASN83" s="20" t="n">
        <f aca="false">IF(AND(H_Direct=0,H_TaxEvt=1),IF(ASN82+1&gt;=H_Deemed,0,ASN82+1),ASN82)</f>
        <v>7</v>
      </c>
      <c r="ASO83" s="20" t="n">
        <f aca="false">IF(AND(H_Direct=0,H_TaxEvt=1),IF(ASO82+1&gt;=H_Deemed,0,ASO82+1),ASO82)</f>
        <v>6</v>
      </c>
      <c r="ASP83" s="20" t="n">
        <f aca="false">IF(AND(H_Direct=0,H_TaxEvt=1),IF(ASP82+1&gt;=H_Deemed,0,ASP82+1),ASP82)</f>
        <v>5</v>
      </c>
      <c r="ASQ83" s="20" t="n">
        <f aca="false">IF(AND(H_Direct=0,H_TaxEvt=1),IF(ASQ82+1&gt;=H_Deemed,0,ASQ82+1),ASQ82)</f>
        <v>4</v>
      </c>
      <c r="ASR83" s="20" t="n">
        <f aca="false">IF(AND(H_Direct=0,H_TaxEvt=1),IF(ASR82+1&gt;=H_Deemed,0,ASR82+1),ASR82)</f>
        <v>3</v>
      </c>
      <c r="ASS83" s="20" t="n">
        <f aca="false">IF(AND(H_Direct=0,H_TaxEvt=1),IF(ASS82+1&gt;=H_Deemed,0,ASS82+1),ASS82)</f>
        <v>2</v>
      </c>
      <c r="AST83" s="20" t="n">
        <f aca="false">IF(AND(H_Direct=0,H_TaxEvt=1),IF(AST82+1&gt;=H_Deemed,0,AST82+1),AST82)</f>
        <v>1</v>
      </c>
      <c r="ASU83" s="20" t="n">
        <f aca="false">IF(AND(H_Direct=0,H_TaxEvt=1),IF(ASU82+1&gt;=H_Deemed,0,ASU82+1),ASU82)</f>
        <v>0</v>
      </c>
      <c r="ASV83" s="20" t="n">
        <f aca="false">IF(AND(H_Direct=0,H_TaxEvt=1),IF(ASV82+1&gt;=H_Deemed,0,ASV82+1),ASV82)</f>
        <v>7</v>
      </c>
      <c r="ASW83" s="20" t="n">
        <f aca="false">IF(AND(H_Direct=0,H_TaxEvt=1),IF(ASW82+1&gt;=H_Deemed,0,ASW82+1),ASW82)</f>
        <v>6</v>
      </c>
      <c r="ASX83" s="20" t="n">
        <f aca="false">IF(AND(H_Direct=0,H_TaxEvt=1),IF(ASX82+1&gt;=H_Deemed,0,ASX82+1),ASX82)</f>
        <v>5</v>
      </c>
      <c r="ASY83" s="20" t="n">
        <f aca="false">IF(AND(H_Direct=0,H_TaxEvt=1),IF(ASY82+1&gt;=H_Deemed,0,ASY82+1),ASY82)</f>
        <v>4</v>
      </c>
      <c r="ASZ83" s="20" t="n">
        <f aca="false">IF(AND(H_Direct=0,H_TaxEvt=1),IF(ASZ82+1&gt;=H_Deemed,0,ASZ82+1),ASZ82)</f>
        <v>3</v>
      </c>
      <c r="ATA83" s="20" t="n">
        <f aca="false">IF(AND(H_Direct=0,H_TaxEvt=1),IF(ATA82+1&gt;=H_Deemed,0,ATA82+1),ATA82)</f>
        <v>2</v>
      </c>
      <c r="ATB83" s="20" t="n">
        <f aca="false">IF(AND(H_Direct=0,H_TaxEvt=1),IF(ATB82+1&gt;=H_Deemed,0,ATB82+1),ATB82)</f>
        <v>1</v>
      </c>
      <c r="ATC83" s="20" t="n">
        <f aca="false">IF(AND(H_Direct=0,H_TaxEvt=1),IF(ATC82+1&gt;=H_Deemed,0,ATC82+1),ATC82)</f>
        <v>0</v>
      </c>
      <c r="ATD83" s="20" t="n">
        <f aca="false">IF(AND(H_Direct=0,H_TaxEvt=1),IF(ATD82+1&gt;=H_Deemed,0,ATD82+1),ATD82)</f>
        <v>7</v>
      </c>
      <c r="ATE83" s="20" t="n">
        <f aca="false">IF(AND(H_Direct=0,H_TaxEvt=1),IF(ATE82+1&gt;=H_Deemed,0,ATE82+1),ATE82)</f>
        <v>6</v>
      </c>
      <c r="ATF83" s="20" t="n">
        <f aca="false">IF(AND(H_Direct=0,H_TaxEvt=1),IF(ATF82+1&gt;=H_Deemed,0,ATF82+1),ATF82)</f>
        <v>5</v>
      </c>
      <c r="ATG83" s="20" t="n">
        <f aca="false">IF(AND(H_Direct=0,H_TaxEvt=1),IF(ATG82+1&gt;=H_Deemed,0,ATG82+1),ATG82)</f>
        <v>4</v>
      </c>
      <c r="ATH83" s="20" t="n">
        <f aca="false">IF(AND(H_Direct=0,H_TaxEvt=1),IF(ATH82+1&gt;=H_Deemed,0,ATH82+1),ATH82)</f>
        <v>3</v>
      </c>
      <c r="ATI83" s="20" t="n">
        <f aca="false">IF(AND(H_Direct=0,H_TaxEvt=1),IF(ATI82+1&gt;=H_Deemed,0,ATI82+1),ATI82)</f>
        <v>2</v>
      </c>
      <c r="ATJ83" s="20" t="n">
        <f aca="false">IF(AND(H_Direct=0,H_TaxEvt=1),IF(ATJ82+1&gt;=H_Deemed,0,ATJ82+1),ATJ82)</f>
        <v>1</v>
      </c>
      <c r="ATK83" s="20" t="n">
        <f aca="false">IF(AND(H_Direct=0,H_TaxEvt=1),IF(ATK82+1&gt;=H_Deemed,0,ATK82+1),ATK82)</f>
        <v>0</v>
      </c>
      <c r="ATL83" s="20" t="n">
        <f aca="false">IF(AND(H_Direct=0,H_TaxEvt=1),IF(ATL82+1&gt;=H_Deemed,0,ATL82+1),ATL82)</f>
        <v>7</v>
      </c>
      <c r="ATM83" s="20" t="n">
        <f aca="false">IF(AND(H_Direct=0,H_TaxEvt=1),IF(ATM82+1&gt;=H_Deemed,0,ATM82+1),ATM82)</f>
        <v>6</v>
      </c>
      <c r="ATN83" s="20" t="n">
        <f aca="false">IF(AND(H_Direct=0,H_TaxEvt=1),IF(ATN82+1&gt;=H_Deemed,0,ATN82+1),ATN82)</f>
        <v>5</v>
      </c>
      <c r="ATO83" s="20" t="n">
        <f aca="false">IF(AND(H_Direct=0,H_TaxEvt=1),IF(ATO82+1&gt;=H_Deemed,0,ATO82+1),ATO82)</f>
        <v>4</v>
      </c>
      <c r="ATP83" s="20" t="n">
        <f aca="false">IF(AND(H_Direct=0,H_TaxEvt=1),IF(ATP82+1&gt;=H_Deemed,0,ATP82+1),ATP82)</f>
        <v>3</v>
      </c>
      <c r="ATQ83" s="20" t="n">
        <f aca="false">IF(AND(H_Direct=0,H_TaxEvt=1),IF(ATQ82+1&gt;=H_Deemed,0,ATQ82+1),ATQ82)</f>
        <v>2</v>
      </c>
      <c r="ATR83" s="20" t="n">
        <f aca="false">IF(AND(H_Direct=0,H_TaxEvt=1),IF(ATR82+1&gt;=H_Deemed,0,ATR82+1),ATR82)</f>
        <v>1</v>
      </c>
      <c r="ATS83" s="20" t="n">
        <f aca="false">IF(AND(H_Direct=0,H_TaxEvt=1),IF(ATS82+1&gt;=H_Deemed,0,ATS82+1),ATS82)</f>
        <v>0</v>
      </c>
      <c r="ATT83" s="20" t="n">
        <f aca="false">IF(AND(H_Direct=0,H_TaxEvt=1),IF(ATT82+1&gt;=H_Deemed,0,ATT82+1),ATT82)</f>
        <v>7</v>
      </c>
      <c r="ATU83" s="20" t="n">
        <f aca="false">IF(AND(H_Direct=0,H_TaxEvt=1),IF(ATU82+1&gt;=H_Deemed,0,ATU82+1),ATU82)</f>
        <v>6</v>
      </c>
      <c r="ATV83" s="20" t="n">
        <f aca="false">IF(AND(H_Direct=0,H_TaxEvt=1),IF(ATV82+1&gt;=H_Deemed,0,ATV82+1),ATV82)</f>
        <v>5</v>
      </c>
      <c r="ATW83" s="20" t="n">
        <f aca="false">IF(AND(H_Direct=0,H_TaxEvt=1),IF(ATW82+1&gt;=H_Deemed,0,ATW82+1),ATW82)</f>
        <v>4</v>
      </c>
      <c r="ATX83" s="20" t="n">
        <f aca="false">IF(AND(H_Direct=0,H_TaxEvt=1),IF(ATX82+1&gt;=H_Deemed,0,ATX82+1),ATX82)</f>
        <v>3</v>
      </c>
      <c r="ATY83" s="20" t="n">
        <f aca="false">IF(AND(H_Direct=0,H_TaxEvt=1),IF(ATY82+1&gt;=H_Deemed,0,ATY82+1),ATY82)</f>
        <v>2</v>
      </c>
      <c r="ATZ83" s="20" t="n">
        <f aca="false">IF(AND(H_Direct=0,H_TaxEvt=1),IF(ATZ82+1&gt;=H_Deemed,0,ATZ82+1),ATZ82)</f>
        <v>1</v>
      </c>
      <c r="AUA83" s="20" t="n">
        <f aca="false">IF(AND(H_Direct=0,H_TaxEvt=1),IF(AUA82+1&gt;=H_Deemed,0,AUA82+1),AUA82)</f>
        <v>0</v>
      </c>
      <c r="AUB83" s="20" t="n">
        <f aca="false">IF(AND(H_Direct=0,H_TaxEvt=1),IF(AUB82+1&gt;=H_Deemed,0,AUB82+1),AUB82)</f>
        <v>7</v>
      </c>
      <c r="AUC83" s="20" t="n">
        <f aca="false">IF(AND(H_Direct=0,H_TaxEvt=1),IF(AUC82+1&gt;=H_Deemed,0,AUC82+1),AUC82)</f>
        <v>6</v>
      </c>
      <c r="AUD83" s="20" t="n">
        <f aca="false">IF(AND(H_Direct=0,H_TaxEvt=1),IF(AUD82+1&gt;=H_Deemed,0,AUD82+1),AUD82)</f>
        <v>5</v>
      </c>
      <c r="AUE83" s="20" t="n">
        <f aca="false">IF(AND(H_Direct=0,H_TaxEvt=1),IF(AUE82+1&gt;=H_Deemed,0,AUE82+1),AUE82)</f>
        <v>4</v>
      </c>
      <c r="AUF83" s="20" t="n">
        <f aca="false">IF(AND(H_Direct=0,H_TaxEvt=1),IF(AUF82+1&gt;=H_Deemed,0,AUF82+1),AUF82)</f>
        <v>3</v>
      </c>
      <c r="AUG83" s="20" t="n">
        <f aca="false">IF(AND(H_Direct=0,H_TaxEvt=1),IF(AUG82+1&gt;=H_Deemed,0,AUG82+1),AUG82)</f>
        <v>2</v>
      </c>
      <c r="AUH83" s="20" t="n">
        <f aca="false">IF(AND(H_Direct=0,H_TaxEvt=1),IF(AUH82+1&gt;=H_Deemed,0,AUH82+1),AUH82)</f>
        <v>1</v>
      </c>
      <c r="AUI83" s="20" t="n">
        <f aca="false">IF(AND(H_Direct=0,H_TaxEvt=1),IF(AUI82+1&gt;=H_Deemed,0,AUI82+1),AUI82)</f>
        <v>0</v>
      </c>
      <c r="AUJ83" s="20" t="n">
        <f aca="false">IF(AND(H_Direct=0,H_TaxEvt=1),IF(AUJ82+1&gt;=H_Deemed,0,AUJ82+1),AUJ82)</f>
        <v>7</v>
      </c>
      <c r="AUK83" s="20" t="n">
        <f aca="false">IF(AND(H_Direct=0,H_TaxEvt=1),IF(AUK82+1&gt;=H_Deemed,0,AUK82+1),AUK82)</f>
        <v>6</v>
      </c>
      <c r="AUL83" s="20" t="n">
        <f aca="false">IF(AND(H_Direct=0,H_TaxEvt=1),IF(AUL82+1&gt;=H_Deemed,0,AUL82+1),AUL82)</f>
        <v>5</v>
      </c>
      <c r="AUM83" s="20" t="n">
        <f aca="false">IF(AND(H_Direct=0,H_TaxEvt=1),IF(AUM82+1&gt;=H_Deemed,0,AUM82+1),AUM82)</f>
        <v>4</v>
      </c>
      <c r="AUN83" s="20" t="n">
        <f aca="false">IF(AND(H_Direct=0,H_TaxEvt=1),IF(AUN82+1&gt;=H_Deemed,0,AUN82+1),AUN82)</f>
        <v>3</v>
      </c>
      <c r="AUO83" s="20" t="n">
        <f aca="false">IF(AND(H_Direct=0,H_TaxEvt=1),IF(AUO82+1&gt;=H_Deemed,0,AUO82+1),AUO82)</f>
        <v>2</v>
      </c>
      <c r="AUP83" s="20" t="n">
        <f aca="false">IF(AND(H_Direct=0,H_TaxEvt=1),IF(0+1&gt;=H_Deemed,0,0+1),0)</f>
        <v>1</v>
      </c>
      <c r="AUQ83" s="20" t="n">
        <v>0</v>
      </c>
      <c r="AUR83" s="20" t="n">
        <v>0</v>
      </c>
      <c r="AUS83" s="20" t="n">
        <v>0</v>
      </c>
      <c r="AUT83" s="20" t="n">
        <v>0</v>
      </c>
      <c r="AUU83" s="20" t="n">
        <v>0</v>
      </c>
      <c r="AUV83" s="20" t="n">
        <v>0</v>
      </c>
      <c r="AUW83" s="20" t="n">
        <v>0</v>
      </c>
      <c r="AUX83" s="20" t="n">
        <v>0</v>
      </c>
      <c r="AUY83" s="20" t="n">
        <v>0</v>
      </c>
      <c r="AUZ83" s="20" t="n">
        <v>0</v>
      </c>
      <c r="AVA83" s="20" t="n">
        <v>0</v>
      </c>
      <c r="AVB83" s="20" t="n">
        <v>0</v>
      </c>
      <c r="AVC83" s="20" t="n">
        <v>0</v>
      </c>
      <c r="AVD83" s="20" t="n">
        <v>0</v>
      </c>
      <c r="AVE83" s="20" t="n">
        <f aca="false">IF(AND(H_Direct=0,H_TaxEvt=1,ARR82+1&gt;=H_Deemed),MAX(0,ADR83-AHE83)*H_Exit,0)</f>
        <v>0</v>
      </c>
      <c r="AVF83" s="20" t="n">
        <f aca="false">IF(AND(H_Direct=0,H_TaxEvt=1,ARS82+1&gt;=H_Deemed),MAX(0,ADS83-AHF83)*H_Exit,0)</f>
        <v>0</v>
      </c>
      <c r="AVG83" s="20" t="n">
        <f aca="false">IF(AND(H_Direct=0,H_TaxEvt=1,ART82+1&gt;=H_Deemed),MAX(0,ADT83-AHG83)*H_Exit,0)</f>
        <v>0</v>
      </c>
      <c r="AVH83" s="20" t="n">
        <f aca="false">IF(AND(H_Direct=0,H_TaxEvt=1,ARU82+1&gt;=H_Deemed),MAX(0,ADU83-AHH83)*H_Exit,0)</f>
        <v>0</v>
      </c>
      <c r="AVI83" s="20" t="n">
        <f aca="false">IF(AND(H_Direct=0,H_TaxEvt=1,ARV82+1&gt;=H_Deemed),MAX(0,ADV83-AHI83)*H_Exit,0)</f>
        <v>0</v>
      </c>
      <c r="AVJ83" s="20" t="n">
        <f aca="false">IF(AND(H_Direct=0,H_TaxEvt=1,ARW82+1&gt;=H_Deemed),MAX(0,ADW83-AHJ83)*H_Exit,0)</f>
        <v>0</v>
      </c>
      <c r="AVK83" s="20" t="n">
        <f aca="false">IF(AND(H_Direct=0,H_TaxEvt=1,ARX82+1&gt;=H_Deemed),MAX(0,ADX83-AHK83)*H_Exit,0)</f>
        <v>0</v>
      </c>
      <c r="AVL83" s="20" t="n">
        <f aca="false">IF(AND(H_Direct=0,H_TaxEvt=1,ARY82+1&gt;=H_Deemed),MAX(0,ADY83-AHL83)*H_Exit,0)</f>
        <v>0</v>
      </c>
      <c r="AVM83" s="20" t="n">
        <f aca="false">IF(AND(H_Direct=0,H_TaxEvt=1,ARZ82+1&gt;=H_Deemed),MAX(0,ADZ83-AHM83)*H_Exit,0)</f>
        <v>0</v>
      </c>
      <c r="AVN83" s="20" t="n">
        <f aca="false">IF(AND(H_Direct=0,H_TaxEvt=1,ASA82+1&gt;=H_Deemed),MAX(0,AEA83-AHN83)*H_Exit,0)</f>
        <v>0</v>
      </c>
      <c r="AVO83" s="20" t="n">
        <f aca="false">IF(AND(H_Direct=0,H_TaxEvt=1,ASB82+1&gt;=H_Deemed),MAX(0,AEB83-AHO83)*H_Exit,0)</f>
        <v>0</v>
      </c>
      <c r="AVP83" s="20" t="n">
        <f aca="false">IF(AND(H_Direct=0,H_TaxEvt=1,ASC82+1&gt;=H_Deemed),MAX(0,AEC83-AHP83)*H_Exit,0)</f>
        <v>0</v>
      </c>
      <c r="AVQ83" s="20" t="n">
        <f aca="false">IF(AND(H_Direct=0,H_TaxEvt=1,ASD82+1&gt;=H_Deemed),MAX(0,AED83-AHQ83)*H_Exit,0)</f>
        <v>0</v>
      </c>
      <c r="AVR83" s="20" t="n">
        <f aca="false">IF(AND(H_Direct=0,H_TaxEvt=1,ASE82+1&gt;=H_Deemed),MAX(0,AEE83-AHR83)*H_Exit,0)</f>
        <v>0</v>
      </c>
      <c r="AVS83" s="20" t="n">
        <f aca="false">IF(AND(H_Direct=0,H_TaxEvt=1,ASF82+1&gt;=H_Deemed),MAX(0,AEF83-AHS83)*H_Exit,0)</f>
        <v>0</v>
      </c>
      <c r="AVT83" s="20" t="n">
        <f aca="false">IF(AND(H_Direct=0,H_TaxEvt=1,ASG82+1&gt;=H_Deemed),MAX(0,AEG83-AHT83)*H_Exit,0)</f>
        <v>0</v>
      </c>
      <c r="AVU83" s="20" t="n">
        <f aca="false">IF(AND(H_Direct=0,H_TaxEvt=1,ASH82+1&gt;=H_Deemed),MAX(0,AEH83-AHU83)*H_Exit,0)</f>
        <v>0</v>
      </c>
      <c r="AVV83" s="20" t="n">
        <f aca="false">IF(AND(H_Direct=0,H_TaxEvt=1,ASI82+1&gt;=H_Deemed),MAX(0,AEI83-AHV83)*H_Exit,0)</f>
        <v>0</v>
      </c>
      <c r="AVW83" s="20" t="n">
        <f aca="false">IF(AND(H_Direct=0,H_TaxEvt=1,ASJ82+1&gt;=H_Deemed),MAX(0,AEJ83-AHW83)*H_Exit,0)</f>
        <v>0</v>
      </c>
      <c r="AVX83" s="20" t="n">
        <f aca="false">IF(AND(H_Direct=0,H_TaxEvt=1,ASK82+1&gt;=H_Deemed),MAX(0,AEK83-AHX83)*H_Exit,0)</f>
        <v>0</v>
      </c>
      <c r="AVY83" s="20" t="n">
        <f aca="false">IF(AND(H_Direct=0,H_TaxEvt=1,ASL82+1&gt;=H_Deemed),MAX(0,AEL83-AHY83)*H_Exit,0)</f>
        <v>0</v>
      </c>
      <c r="AVZ83" s="20" t="n">
        <f aca="false">IF(AND(H_Direct=0,H_TaxEvt=1,ASM82+1&gt;=H_Deemed),MAX(0,AEM83-AHZ83)*H_Exit,0)</f>
        <v>0</v>
      </c>
      <c r="AWA83" s="20" t="n">
        <f aca="false">IF(AND(H_Direct=0,H_TaxEvt=1,ASN82+1&gt;=H_Deemed),MAX(0,AEN83-AIA83)*H_Exit,0)</f>
        <v>0</v>
      </c>
      <c r="AWB83" s="20" t="n">
        <f aca="false">IF(AND(H_Direct=0,H_TaxEvt=1,ASO82+1&gt;=H_Deemed),MAX(0,AEO83-AIB83)*H_Exit,0)</f>
        <v>0</v>
      </c>
      <c r="AWC83" s="20" t="n">
        <f aca="false">IF(AND(H_Direct=0,H_TaxEvt=1,ASP82+1&gt;=H_Deemed),MAX(0,AEP83-AIC83)*H_Exit,0)</f>
        <v>0</v>
      </c>
      <c r="AWD83" s="20" t="n">
        <f aca="false">IF(AND(H_Direct=0,H_TaxEvt=1,ASQ82+1&gt;=H_Deemed),MAX(0,AEQ83-AID83)*H_Exit,0)</f>
        <v>0</v>
      </c>
      <c r="AWE83" s="20" t="n">
        <f aca="false">IF(AND(H_Direct=0,H_TaxEvt=1,ASR82+1&gt;=H_Deemed),MAX(0,AER83-AIE83)*H_Exit,0)</f>
        <v>0</v>
      </c>
      <c r="AWF83" s="20" t="n">
        <f aca="false">IF(AND(H_Direct=0,H_TaxEvt=1,ASS82+1&gt;=H_Deemed),MAX(0,AES83-AIF83)*H_Exit,0)</f>
        <v>0</v>
      </c>
      <c r="AWG83" s="20" t="n">
        <f aca="false">IF(AND(H_Direct=0,H_TaxEvt=1,AST82+1&gt;=H_Deemed),MAX(0,AET83-AIG83)*H_Exit,0)</f>
        <v>0</v>
      </c>
      <c r="AWH83" s="20" t="n">
        <f aca="false">IF(AND(H_Direct=0,H_TaxEvt=1,ASU82+1&gt;=H_Deemed),MAX(0,AEU83-AIH83)*H_Exit,0)</f>
        <v>0</v>
      </c>
      <c r="AWI83" s="20" t="n">
        <f aca="false">IF(AND(H_Direct=0,H_TaxEvt=1,ASV82+1&gt;=H_Deemed),MAX(0,AEV83-AII83)*H_Exit,0)</f>
        <v>0</v>
      </c>
      <c r="AWJ83" s="20" t="n">
        <f aca="false">IF(AND(H_Direct=0,H_TaxEvt=1,ASW82+1&gt;=H_Deemed),MAX(0,AEW83-AIJ83)*H_Exit,0)</f>
        <v>0</v>
      </c>
      <c r="AWK83" s="20" t="n">
        <f aca="false">IF(AND(H_Direct=0,H_TaxEvt=1,ASX82+1&gt;=H_Deemed),MAX(0,AEX83-AIK83)*H_Exit,0)</f>
        <v>0</v>
      </c>
      <c r="AWL83" s="20" t="n">
        <f aca="false">IF(AND(H_Direct=0,H_TaxEvt=1,ASY82+1&gt;=H_Deemed),MAX(0,AEY83-AIL83)*H_Exit,0)</f>
        <v>0</v>
      </c>
      <c r="AWM83" s="20" t="n">
        <f aca="false">IF(AND(H_Direct=0,H_TaxEvt=1,ASZ82+1&gt;=H_Deemed),MAX(0,AEZ83-AIM83)*H_Exit,0)</f>
        <v>0</v>
      </c>
      <c r="AWN83" s="20" t="n">
        <f aca="false">IF(AND(H_Direct=0,H_TaxEvt=1,ATA82+1&gt;=H_Deemed),MAX(0,AFA83-AIN83)*H_Exit,0)</f>
        <v>0</v>
      </c>
      <c r="AWO83" s="20" t="n">
        <f aca="false">IF(AND(H_Direct=0,H_TaxEvt=1,ATB82+1&gt;=H_Deemed),MAX(0,AFB83-AIO83)*H_Exit,0)</f>
        <v>0</v>
      </c>
      <c r="AWP83" s="20" t="n">
        <f aca="false">IF(AND(H_Direct=0,H_TaxEvt=1,ATC82+1&gt;=H_Deemed),MAX(0,AFC83-AIP83)*H_Exit,0)</f>
        <v>0</v>
      </c>
      <c r="AWQ83" s="20" t="n">
        <f aca="false">IF(AND(H_Direct=0,H_TaxEvt=1,ATD82+1&gt;=H_Deemed),MAX(0,AFD83-AIQ83)*H_Exit,0)</f>
        <v>0</v>
      </c>
      <c r="AWR83" s="20" t="n">
        <f aca="false">IF(AND(H_Direct=0,H_TaxEvt=1,ATE82+1&gt;=H_Deemed),MAX(0,AFE83-AIR83)*H_Exit,0)</f>
        <v>0</v>
      </c>
      <c r="AWS83" s="20" t="n">
        <f aca="false">IF(AND(H_Direct=0,H_TaxEvt=1,ATF82+1&gt;=H_Deemed),MAX(0,AFF83-AIS83)*H_Exit,0)</f>
        <v>0</v>
      </c>
      <c r="AWT83" s="20" t="n">
        <f aca="false">IF(AND(H_Direct=0,H_TaxEvt=1,ATG82+1&gt;=H_Deemed),MAX(0,AFG83-AIT83)*H_Exit,0)</f>
        <v>0</v>
      </c>
      <c r="AWU83" s="20" t="n">
        <f aca="false">IF(AND(H_Direct=0,H_TaxEvt=1,ATH82+1&gt;=H_Deemed),MAX(0,AFH83-AIU83)*H_Exit,0)</f>
        <v>0</v>
      </c>
      <c r="AWV83" s="20" t="n">
        <f aca="false">IF(AND(H_Direct=0,H_TaxEvt=1,ATI82+1&gt;=H_Deemed),MAX(0,AFI83-AIV83)*H_Exit,0)</f>
        <v>0</v>
      </c>
      <c r="AWW83" s="20" t="n">
        <f aca="false">IF(AND(H_Direct=0,H_TaxEvt=1,ATJ82+1&gt;=H_Deemed),MAX(0,AFJ83-AIW83)*H_Exit,0)</f>
        <v>0</v>
      </c>
      <c r="AWX83" s="20" t="n">
        <f aca="false">IF(AND(H_Direct=0,H_TaxEvt=1,ATK82+1&gt;=H_Deemed),MAX(0,AFK83-AIX83)*H_Exit,0)</f>
        <v>0</v>
      </c>
      <c r="AWY83" s="20" t="n">
        <f aca="false">IF(AND(H_Direct=0,H_TaxEvt=1,ATL82+1&gt;=H_Deemed),MAX(0,AFL83-AIY83)*H_Exit,0)</f>
        <v>0</v>
      </c>
      <c r="AWZ83" s="20" t="n">
        <f aca="false">IF(AND(H_Direct=0,H_TaxEvt=1,ATM82+1&gt;=H_Deemed),MAX(0,AFM83-AIZ83)*H_Exit,0)</f>
        <v>0</v>
      </c>
      <c r="AXA83" s="20" t="n">
        <f aca="false">IF(AND(H_Direct=0,H_TaxEvt=1,ATN82+1&gt;=H_Deemed),MAX(0,AFN83-AJA83)*H_Exit,0)</f>
        <v>0</v>
      </c>
      <c r="AXB83" s="20" t="n">
        <f aca="false">IF(AND(H_Direct=0,H_TaxEvt=1,ATO82+1&gt;=H_Deemed),MAX(0,AFO83-AJB83)*H_Exit,0)</f>
        <v>0</v>
      </c>
      <c r="AXC83" s="20" t="n">
        <f aca="false">IF(AND(H_Direct=0,H_TaxEvt=1,ATP82+1&gt;=H_Deemed),MAX(0,AFP83-AJC83)*H_Exit,0)</f>
        <v>0</v>
      </c>
      <c r="AXD83" s="20" t="n">
        <f aca="false">IF(AND(H_Direct=0,H_TaxEvt=1,ATQ82+1&gt;=H_Deemed),MAX(0,AFQ83-AJD83)*H_Exit,0)</f>
        <v>0</v>
      </c>
      <c r="AXE83" s="20" t="n">
        <f aca="false">IF(AND(H_Direct=0,H_TaxEvt=1,ATR82+1&gt;=H_Deemed),MAX(0,AFR83-AJE83)*H_Exit,0)</f>
        <v>0</v>
      </c>
      <c r="AXF83" s="20" t="n">
        <f aca="false">IF(AND(H_Direct=0,H_TaxEvt=1,ATS82+1&gt;=H_Deemed),MAX(0,AFS83-AJF83)*H_Exit,0)</f>
        <v>0</v>
      </c>
      <c r="AXG83" s="20" t="n">
        <f aca="false">IF(AND(H_Direct=0,H_TaxEvt=1,ATT82+1&gt;=H_Deemed),MAX(0,AFT83-AJG83)*H_Exit,0)</f>
        <v>0</v>
      </c>
      <c r="AXH83" s="20" t="n">
        <f aca="false">IF(AND(H_Direct=0,H_TaxEvt=1,ATU82+1&gt;=H_Deemed),MAX(0,AFU83-AJH83)*H_Exit,0)</f>
        <v>0</v>
      </c>
      <c r="AXI83" s="20" t="n">
        <f aca="false">IF(AND(H_Direct=0,H_TaxEvt=1,ATV82+1&gt;=H_Deemed),MAX(0,AFV83-AJI83)*H_Exit,0)</f>
        <v>0</v>
      </c>
      <c r="AXJ83" s="20" t="n">
        <f aca="false">IF(AND(H_Direct=0,H_TaxEvt=1,ATW82+1&gt;=H_Deemed),MAX(0,AFW83-AJJ83)*H_Exit,0)</f>
        <v>0</v>
      </c>
      <c r="AXK83" s="20" t="n">
        <f aca="false">IF(AND(H_Direct=0,H_TaxEvt=1,ATX82+1&gt;=H_Deemed),MAX(0,AFX83-AJK83)*H_Exit,0)</f>
        <v>0</v>
      </c>
      <c r="AXL83" s="20" t="n">
        <f aca="false">IF(AND(H_Direct=0,H_TaxEvt=1,ATY82+1&gt;=H_Deemed),MAX(0,AFY83-AJL83)*H_Exit,0)</f>
        <v>0</v>
      </c>
      <c r="AXM83" s="20" t="n">
        <f aca="false">IF(AND(H_Direct=0,H_TaxEvt=1,ATZ82+1&gt;=H_Deemed),MAX(0,AFZ83-AJM83)*H_Exit,0)</f>
        <v>0</v>
      </c>
      <c r="AXN83" s="20" t="n">
        <f aca="false">IF(AND(H_Direct=0,H_TaxEvt=1,AUA82+1&gt;=H_Deemed),MAX(0,AGA83-AJN83)*H_Exit,0)</f>
        <v>0</v>
      </c>
      <c r="AXO83" s="20" t="n">
        <f aca="false">IF(AND(H_Direct=0,H_TaxEvt=1,AUB82+1&gt;=H_Deemed),MAX(0,AGB83-AJO83)*H_Exit,0)</f>
        <v>0</v>
      </c>
      <c r="AXP83" s="20" t="n">
        <f aca="false">IF(AND(H_Direct=0,H_TaxEvt=1,AUC82+1&gt;=H_Deemed),MAX(0,AGC83-AJP83)*H_Exit,0)</f>
        <v>0</v>
      </c>
      <c r="AXQ83" s="20" t="n">
        <f aca="false">IF(AND(H_Direct=0,H_TaxEvt=1,AUD82+1&gt;=H_Deemed),MAX(0,AGD83-AJQ83)*H_Exit,0)</f>
        <v>0</v>
      </c>
      <c r="AXR83" s="20" t="n">
        <f aca="false">IF(AND(H_Direct=0,H_TaxEvt=1,AUE82+1&gt;=H_Deemed),MAX(0,AGE83-AJR83)*H_Exit,0)</f>
        <v>0</v>
      </c>
      <c r="AXS83" s="20" t="n">
        <f aca="false">IF(AND(H_Direct=0,H_TaxEvt=1,AUF82+1&gt;=H_Deemed),MAX(0,AGF83-AJS83)*H_Exit,0)</f>
        <v>0</v>
      </c>
      <c r="AXT83" s="20" t="n">
        <f aca="false">IF(AND(H_Direct=0,H_TaxEvt=1,AUG82+1&gt;=H_Deemed),MAX(0,AGG83-AJT83)*H_Exit,0)</f>
        <v>0</v>
      </c>
      <c r="AXU83" s="20" t="n">
        <f aca="false">IF(AND(H_Direct=0,H_TaxEvt=1,AUH82+1&gt;=H_Deemed),MAX(0,AGH83-AJU83)*H_Exit,0)</f>
        <v>0</v>
      </c>
      <c r="AXV83" s="20" t="n">
        <f aca="false">IF(AND(H_Direct=0,H_TaxEvt=1,AUI82+1&gt;=H_Deemed),MAX(0,AGI83-AJV83)*H_Exit,0)</f>
        <v>0</v>
      </c>
      <c r="AXW83" s="20" t="n">
        <f aca="false">IF(AND(H_Direct=0,H_TaxEvt=1,AUJ82+1&gt;=H_Deemed),MAX(0,AGJ83-AJW83)*H_Exit,0)</f>
        <v>0</v>
      </c>
      <c r="AXX83" s="20" t="n">
        <f aca="false">IF(AND(H_Direct=0,H_TaxEvt=1,AUK82+1&gt;=H_Deemed),MAX(0,AGK83-AJX83)*H_Exit,0)</f>
        <v>0</v>
      </c>
      <c r="AXY83" s="20" t="n">
        <f aca="false">IF(AND(H_Direct=0,H_TaxEvt=1,AUL82+1&gt;=H_Deemed),MAX(0,AGL83-AJY83)*H_Exit,0)</f>
        <v>0</v>
      </c>
      <c r="AXZ83" s="20" t="n">
        <f aca="false">IF(AND(H_Direct=0,H_TaxEvt=1,AUM82+1&gt;=H_Deemed),MAX(0,AGM83-AJZ83)*H_Exit,0)</f>
        <v>0</v>
      </c>
      <c r="AYA83" s="20" t="n">
        <f aca="false">IF(AND(H_Direct=0,H_TaxEvt=1,AUN82+1&gt;=H_Deemed),MAX(0,AGN83-AKA83)*H_Exit,0)</f>
        <v>0</v>
      </c>
      <c r="AYB83" s="20" t="n">
        <f aca="false">IF(AND(H_Direct=0,H_TaxEvt=1,AUO82+1&gt;=H_Deemed),MAX(0,AGO83-AKB83)*H_Exit,0)</f>
        <v>0</v>
      </c>
      <c r="AYC83" s="20" t="n">
        <f aca="false">IF(AND(H_Direct=0,H_TaxEvt=1,0+1&gt;=H_Deemed),MAX(0,AGP83-AKC83)*H_Exit,0)</f>
        <v>0</v>
      </c>
      <c r="AYD83" s="20" t="n">
        <v>0</v>
      </c>
      <c r="AYE83" s="20" t="n">
        <v>0</v>
      </c>
      <c r="AYF83" s="20" t="n">
        <v>0</v>
      </c>
      <c r="AYG83" s="20" t="n">
        <v>0</v>
      </c>
      <c r="AYH83" s="20" t="n">
        <v>0</v>
      </c>
      <c r="AYI83" s="20" t="n">
        <v>0</v>
      </c>
      <c r="AYJ83" s="20" t="n">
        <v>0</v>
      </c>
      <c r="AYK83" s="20" t="n">
        <v>0</v>
      </c>
      <c r="AYL83" s="20" t="n">
        <v>0</v>
      </c>
      <c r="AYM83" s="20" t="n">
        <v>0</v>
      </c>
      <c r="AYN83" s="20" t="n">
        <v>0</v>
      </c>
      <c r="AYO83" s="20" t="n">
        <v>0</v>
      </c>
      <c r="AYP83" s="20" t="n">
        <v>0</v>
      </c>
      <c r="AYQ83" s="20" t="n">
        <v>0</v>
      </c>
    </row>
    <row r="84" customFormat="false" ht="15" hidden="false" customHeight="false" outlineLevel="0" collapsed="false">
      <c r="B84" s="20" t="n">
        <v>76</v>
      </c>
      <c r="C84" s="20" t="n">
        <f aca="false">'Plan cashflow'!C84</f>
        <v>0</v>
      </c>
      <c r="D84" s="20" t="n">
        <f aca="false">'Plan cashflow'!D84</f>
        <v>114</v>
      </c>
      <c r="E84" s="20" t="n">
        <f aca="false">AS_Year0+76</f>
        <v>2102</v>
      </c>
      <c r="F84" s="50" t="n">
        <f aca="false">'Plan cashflow'!F84</f>
        <v>4.50415216423022</v>
      </c>
      <c r="G84" s="59" t="n">
        <f aca="true">IF(MAX(TODAY(),DATE(E84,1,1))&gt;=H_CGTfrom,H_CGT1,H_CGT0)</f>
        <v>0.31</v>
      </c>
      <c r="H84" s="20" t="n">
        <f aca="false">H_Exempt*H_Persons</f>
        <v>1270</v>
      </c>
      <c r="I84" s="20" t="n">
        <f aca="false">AX83</f>
        <v>0</v>
      </c>
      <c r="J84" s="60" t="n">
        <f aca="false">BF83</f>
        <v>0</v>
      </c>
      <c r="K84" s="60" t="n">
        <f aca="false">BG83</f>
        <v>0</v>
      </c>
      <c r="L84" s="20" t="n">
        <f aca="false">IF(AND(In_polLump&gt;0,In_polLumpAge&gt;0,D84=In_polLumpAge),In_polLump,0)</f>
        <v>0</v>
      </c>
      <c r="M84" s="20" t="n">
        <f aca="false">IF(AND(In_homeUse="Yes, I'd downsize",In_downAge&gt;0,D84=In_downAge,OR(In_home="Own outright",In_home="Own with mortgage"),In_homeValue&gt;0),MAX(0,MAX(0,In_homeValue-In_downValue)*F84*0.9-'Plan cashflow'!HR83),0)</f>
        <v>0</v>
      </c>
      <c r="N84" s="20" t="n">
        <f aca="false">'Plan pay &amp; tax'!Y310</f>
        <v>0</v>
      </c>
      <c r="O84" s="20" t="n">
        <f aca="false">L84+M84+(1-H_Sh)*N84</f>
        <v>0</v>
      </c>
      <c r="P84" s="20" t="n">
        <f aca="false">H_Sh*N84</f>
        <v>0</v>
      </c>
      <c r="Q84" s="20" t="n">
        <f aca="false">'Plan cashflow'!UL84</f>
        <v>0</v>
      </c>
      <c r="R84" s="20" t="n">
        <f aca="false">(1-H_Sh)*Q84</f>
        <v>0</v>
      </c>
      <c r="S84" s="20" t="n">
        <f aca="false">H_Sh*Q84</f>
        <v>0</v>
      </c>
      <c r="T84" s="20" t="n">
        <f aca="false">J84+K84+O84</f>
        <v>0</v>
      </c>
      <c r="U84" s="20" t="n">
        <f aca="false">T84+R84</f>
        <v>0</v>
      </c>
      <c r="V84" s="60" t="n">
        <f aca="false">SUM(FE84:IQ84)</f>
        <v>0</v>
      </c>
      <c r="W84" s="60" t="n">
        <f aca="false">IF(AJ84&lt;=0,0,IF(AL84&lt;=0,AJ84,AJ84-G84*MAX(0,AL84*AJ84-(AY84+AZ84))))</f>
        <v>0</v>
      </c>
      <c r="X84" s="60" t="n">
        <f aca="false">IF(AR84&lt;=0,0,IF(AT84&lt;=0,AR84,AR84-G84*MAX(0,AT84*AR84-(BA84+BB84))))</f>
        <v>0</v>
      </c>
      <c r="Y84" s="60" t="n">
        <f aca="false">T84+V84-S84+W84+X84</f>
        <v>0</v>
      </c>
      <c r="Z84" s="60" t="n">
        <f aca="false">'Plan cashflow'!UK84</f>
        <v>0</v>
      </c>
      <c r="AA84" s="20" t="n">
        <f aca="false">MIN(Z84,U84)</f>
        <v>0</v>
      </c>
      <c r="AB84" s="20" t="n">
        <f aca="false">Z84-AA84</f>
        <v>0</v>
      </c>
      <c r="AC84" s="20" t="n">
        <f aca="false">MIN(AA84,J84+O84+R84)</f>
        <v>0</v>
      </c>
      <c r="AD84" s="20" t="n">
        <f aca="false">AA84-AC84</f>
        <v>0</v>
      </c>
      <c r="AE84" s="20" t="n">
        <f aca="false">J84+O84+R84-AC84</f>
        <v>0</v>
      </c>
      <c r="AF84" s="20" t="n">
        <f aca="false">K84-AD84</f>
        <v>0</v>
      </c>
      <c r="AG84" s="20" t="n">
        <f aca="false">SUM(PR84:TD84)</f>
        <v>0</v>
      </c>
      <c r="AH84" s="20" t="n">
        <f aca="false">SUM(TE84:WQ84)</f>
        <v>0</v>
      </c>
      <c r="AI84" s="20" t="n">
        <f aca="false">MAX(0,AB84-AG84)</f>
        <v>0</v>
      </c>
      <c r="AJ84" s="57" t="n">
        <f aca="false">BI83</f>
        <v>0</v>
      </c>
      <c r="AK84" s="20" t="n">
        <f aca="false">BJ83</f>
        <v>0</v>
      </c>
      <c r="AL84" s="20" t="n">
        <f aca="false">IF(AJ84&gt;0,(AJ84-AK84)/AJ84,0)</f>
        <v>0</v>
      </c>
      <c r="AM84" s="20" t="n">
        <f aca="false">IF(AJ84&lt;=0,0,IF(AL84&lt;=0,MIN(AI84,AJ84),MIN(AI84,AJ84-G84*MAX(0,AL84*AJ84-(AAD84+ADQ84)))))</f>
        <v>0</v>
      </c>
      <c r="AN84" s="20" t="n">
        <f aca="false">IF(AJ84&lt;=0,0,IF(AL84&lt;=0,AM84,IF(AM84&lt;=(AAD84+ADQ84)/AL84,AM84,(AM84-G84*(AAD84+ADQ84))/(1-G84*AL84))))</f>
        <v>0</v>
      </c>
      <c r="AO84" s="20" t="n">
        <f aca="false">IF(AL84&gt;0,MAX(0,AAD84-(MIN(AL84*AN84,(AAD84+ADQ84))-MIN(MIN(AL84*AN84,(AAD84+ADQ84)),ADQ84))),AAD84)</f>
        <v>1270</v>
      </c>
      <c r="AP84" s="20" t="n">
        <f aca="false">IF(AL84&lt;=0,ADQ84-AL84*AN84,ADQ84-MIN(MIN(AL84*AN84,(AAD84+ADQ84)),ADQ84))</f>
        <v>0</v>
      </c>
      <c r="AQ84" s="20" t="n">
        <f aca="false">MAX(0,AI84-AM84)</f>
        <v>0</v>
      </c>
      <c r="AR84" s="57" t="n">
        <f aca="false">BK83</f>
        <v>0</v>
      </c>
      <c r="AS84" s="20" t="n">
        <f aca="false">BL83</f>
        <v>0</v>
      </c>
      <c r="AT84" s="20" t="n">
        <f aca="false">IF(AR84&gt;0,(AR84-AS84)/AR84,0)</f>
        <v>0</v>
      </c>
      <c r="AU84" s="20" t="n">
        <f aca="false">IF(AR84&lt;=0,0,IF(AT84&lt;=0,MIN(AQ84,AR84),MIN(AQ84,AR84-G84*MAX(0,AT84*AR84-(AO84+AP84)))))</f>
        <v>0</v>
      </c>
      <c r="AV84" s="20" t="n">
        <f aca="false">IF(AR84&lt;=0,0,IF(AT84&lt;=0,AU84,IF(AU84&lt;=(AO84+AP84)/AT84,AU84,(AU84-G84*(AO84+AP84))/(1-G84*AT84))))</f>
        <v>0</v>
      </c>
      <c r="AW84" s="20" t="n">
        <f aca="false">IF(AT84&gt;0,MAX(0,AO84-(MIN(AT84*AV84,(AO84+AP84))-MIN(MIN(AT84*AV84,(AO84+AP84)),AP84))),AO84)</f>
        <v>1270</v>
      </c>
      <c r="AX84" s="20" t="n">
        <f aca="false">IF(AT84&lt;=0,AP84-AT84*AV84,AP84-MIN(MIN(AT84*AV84,(AO84+AP84)),AP84))</f>
        <v>0</v>
      </c>
      <c r="AY84" s="20" t="n">
        <f aca="false">MD84</f>
        <v>1270</v>
      </c>
      <c r="AZ84" s="20" t="n">
        <f aca="false">PQ84</f>
        <v>0</v>
      </c>
      <c r="BA84" s="20" t="n">
        <f aca="false">IF(AL84&gt;0,MAX(0,AY84-(MIN(AL84*AJ84,AY84+AZ84)-MIN(MIN(AL84*AJ84,AY84+AZ84),AZ84))),AY84)</f>
        <v>1270</v>
      </c>
      <c r="BB84" s="20" t="n">
        <f aca="false">IF(AL84&lt;=0,AZ84-AL84*AJ84,AZ84-MIN(MIN(AL84*AJ84,AY84+AZ84),AZ84))</f>
        <v>0</v>
      </c>
      <c r="BC84" s="20" t="n">
        <f aca="false">'Plan cashflow'!UM84</f>
        <v>0</v>
      </c>
      <c r="BD84" s="20" t="n">
        <f aca="false">(1-H_Sh)*BC84</f>
        <v>0</v>
      </c>
      <c r="BE84" s="20" t="n">
        <f aca="false">H_Sh*BC84</f>
        <v>0</v>
      </c>
      <c r="BF84" s="60" t="n">
        <f aca="false">(AE84+BD84)*(1+AS_Cash)</f>
        <v>0</v>
      </c>
      <c r="BG84" s="60" t="n">
        <f aca="false">AF84*(1+AS_Cash)</f>
        <v>0</v>
      </c>
      <c r="BH84" s="60" t="n">
        <f aca="false">SUM(AKR84:AOD84)</f>
        <v>0</v>
      </c>
      <c r="BI84" s="60" t="n">
        <f aca="false">(AJ84-AN84)*(1+AS_Infl)</f>
        <v>0</v>
      </c>
      <c r="BJ84" s="20" t="n">
        <f aca="false">IF(AJ84&gt;0,AK84-AK84*AN84/AJ84,0)</f>
        <v>0</v>
      </c>
      <c r="BK84" s="60" t="n">
        <f aca="false">(AR84-AV84)*(1+BQ84)</f>
        <v>0</v>
      </c>
      <c r="BL84" s="20" t="n">
        <f aca="false">IF(AR84&gt;0,AS84-AS84*AV84/AR84,0)</f>
        <v>0</v>
      </c>
      <c r="BM84" s="60" t="n">
        <f aca="false">BF84+BG84+BH84+BI84+BK84</f>
        <v>0</v>
      </c>
      <c r="BN84" s="60" t="n">
        <f aca="false">(AH84-AG84)+(AN84-AM84)+(AV84-AU84)</f>
        <v>0</v>
      </c>
      <c r="BO84" s="20" t="n">
        <f aca="false">(AE84+BD84+AF84+MAX(0,'Plan cashflow'!QH84)+IF(Slot1_Rate=AS_Cash,'Plan cashflow'!QM84/(1+AS_Cash),0)+IF(Slot2_Rate=AS_Cash,'Plan cashflow'!QQ84/(1+AS_Cash),0)+IF(Slot3_Rate=AS_Cash,'Plan cashflow'!QU84/(1+AS_Cash),0)+IF(Slot4_Rate=AS_Cash,'Plan cashflow'!QY84/(1+AS_Cash),0)+IF(Slot5_Rate=AS_Cash,'Plan cashflow'!RC84/(1+AS_Cash),0)+IF(Slot6_Rate=AS_Cash,'Plan cashflow'!RG84/(1+AS_Cash),0)+IF(Slot7_Rate=AS_Cash,'Plan cashflow'!RK84/(1+AS_Cash),0)+IF(Slot8_Rate=AS_Cash,'Plan cashflow'!RO84/(1+AS_Cash),0)+IF(Slot9_Rate=AS_Cash,'Plan cashflow'!RS84/(1+AS_Cash),0)+IF(Slot10_Rate=AS_Cash,'Plan cashflow'!RW84/(1+AS_Cash),0)+IF(Slot11_Rate=AS_Cash,'Plan cashflow'!SA84/(1+AS_Cash),0)+IF(Slot12_Rate=AS_Cash,'Plan cashflow'!SE84/(1+AS_Cash),0)+IF(Slot13_Rate=AS_Cash,'Plan cashflow'!SI84/(1+AS_Cash),0)+IF(Slot14_Rate=AS_Cash,'Plan cashflow'!SM84/(1+AS_Cash),0)+IF(Slot15_Rate=AS_Cash,'Plan cashflow'!SQ84/(1+AS_Cash),0)+IF(Slot16_Rate=AS_Cash,'Plan cashflow'!SU84/(1+AS_Cash),0)+IF(Slot17_Rate=AS_Cash,'Plan cashflow'!SY84/(1+AS_Cash),0)+IF(Slot18_Rate=AS_Cash,'Plan cashflow'!TC84/(1+AS_Cash),0)+IF(Slot19_Rate=AS_Cash,'Plan cashflow'!TG84/(1+AS_Cash),0)+IF(Slot20_Rate=AS_Cash,'Plan cashflow'!TK84/(1+AS_Cash),0))*AS_Cash*H_DIRT/(1-H_DIRT)</f>
        <v>0</v>
      </c>
      <c r="BP84" s="60" t="n">
        <f aca="false">SUM(AVE84:AYQ84)</f>
        <v>0</v>
      </c>
      <c r="BQ84" s="54" t="n">
        <f aca="false">IF(H_TaxEvt=1,H_InvG,AS_Inv)</f>
        <v>0.04</v>
      </c>
      <c r="BR84" s="20" t="n">
        <f aca="false">IF(AKR83&gt;0,(AKR83-AOE83)/AKR83,0)</f>
        <v>0</v>
      </c>
      <c r="BS84" s="20" t="n">
        <f aca="false">IF(AKS83&gt;0,(AKS83-AOF83)/AKS83,0)</f>
        <v>0</v>
      </c>
      <c r="BT84" s="20" t="n">
        <f aca="false">IF(AKT83&gt;0,(AKT83-AOG83)/AKT83,0)</f>
        <v>0</v>
      </c>
      <c r="BU84" s="20" t="n">
        <f aca="false">IF(AKU83&gt;0,(AKU83-AOH83)/AKU83,0)</f>
        <v>0</v>
      </c>
      <c r="BV84" s="20" t="n">
        <f aca="false">IF(AKV83&gt;0,(AKV83-AOI83)/AKV83,0)</f>
        <v>0</v>
      </c>
      <c r="BW84" s="20" t="n">
        <f aca="false">IF(AKW83&gt;0,(AKW83-AOJ83)/AKW83,0)</f>
        <v>0</v>
      </c>
      <c r="BX84" s="20" t="n">
        <f aca="false">IF(AKX83&gt;0,(AKX83-AOK83)/AKX83,0)</f>
        <v>0</v>
      </c>
      <c r="BY84" s="20" t="n">
        <f aca="false">IF(AKY83&gt;0,(AKY83-AOL83)/AKY83,0)</f>
        <v>0</v>
      </c>
      <c r="BZ84" s="20" t="n">
        <f aca="false">IF(AKZ83&gt;0,(AKZ83-AOM83)/AKZ83,0)</f>
        <v>0</v>
      </c>
      <c r="CA84" s="20" t="n">
        <f aca="false">IF(ALA83&gt;0,(ALA83-AON83)/ALA83,0)</f>
        <v>0</v>
      </c>
      <c r="CB84" s="20" t="n">
        <f aca="false">IF(ALB83&gt;0,(ALB83-AOO83)/ALB83,0)</f>
        <v>0</v>
      </c>
      <c r="CC84" s="20" t="n">
        <f aca="false">IF(ALC83&gt;0,(ALC83-AOP83)/ALC83,0)</f>
        <v>0</v>
      </c>
      <c r="CD84" s="20" t="n">
        <f aca="false">IF(ALD83&gt;0,(ALD83-AOQ83)/ALD83,0)</f>
        <v>0</v>
      </c>
      <c r="CE84" s="20" t="n">
        <f aca="false">IF(ALE83&gt;0,(ALE83-AOR83)/ALE83,0)</f>
        <v>0</v>
      </c>
      <c r="CF84" s="20" t="n">
        <f aca="false">IF(ALF83&gt;0,(ALF83-AOS83)/ALF83,0)</f>
        <v>0</v>
      </c>
      <c r="CG84" s="20" t="n">
        <f aca="false">IF(ALG83&gt;0,(ALG83-AOT83)/ALG83,0)</f>
        <v>0</v>
      </c>
      <c r="CH84" s="20" t="n">
        <f aca="false">IF(ALH83&gt;0,(ALH83-AOU83)/ALH83,0)</f>
        <v>0</v>
      </c>
      <c r="CI84" s="20" t="n">
        <f aca="false">IF(ALI83&gt;0,(ALI83-AOV83)/ALI83,0)</f>
        <v>0</v>
      </c>
      <c r="CJ84" s="20" t="n">
        <f aca="false">IF(ALJ83&gt;0,(ALJ83-AOW83)/ALJ83,0)</f>
        <v>0</v>
      </c>
      <c r="CK84" s="20" t="n">
        <f aca="false">IF(ALK83&gt;0,(ALK83-AOX83)/ALK83,0)</f>
        <v>0</v>
      </c>
      <c r="CL84" s="20" t="n">
        <f aca="false">IF(ALL83&gt;0,(ALL83-AOY83)/ALL83,0)</f>
        <v>0</v>
      </c>
      <c r="CM84" s="20" t="n">
        <f aca="false">IF(ALM83&gt;0,(ALM83-AOZ83)/ALM83,0)</f>
        <v>0</v>
      </c>
      <c r="CN84" s="20" t="n">
        <f aca="false">IF(ALN83&gt;0,(ALN83-APA83)/ALN83,0)</f>
        <v>0</v>
      </c>
      <c r="CO84" s="20" t="n">
        <f aca="false">IF(ALO83&gt;0,(ALO83-APB83)/ALO83,0)</f>
        <v>0</v>
      </c>
      <c r="CP84" s="20" t="n">
        <f aca="false">IF(ALP83&gt;0,(ALP83-APC83)/ALP83,0)</f>
        <v>0</v>
      </c>
      <c r="CQ84" s="20" t="n">
        <f aca="false">IF(ALQ83&gt;0,(ALQ83-APD83)/ALQ83,0)</f>
        <v>0</v>
      </c>
      <c r="CR84" s="20" t="n">
        <f aca="false">IF(ALR83&gt;0,(ALR83-APE83)/ALR83,0)</f>
        <v>0</v>
      </c>
      <c r="CS84" s="20" t="n">
        <f aca="false">IF(ALS83&gt;0,(ALS83-APF83)/ALS83,0)</f>
        <v>0</v>
      </c>
      <c r="CT84" s="20" t="n">
        <f aca="false">IF(ALT83&gt;0,(ALT83-APG83)/ALT83,0)</f>
        <v>0</v>
      </c>
      <c r="CU84" s="20" t="n">
        <f aca="false">IF(ALU83&gt;0,(ALU83-APH83)/ALU83,0)</f>
        <v>0</v>
      </c>
      <c r="CV84" s="20" t="n">
        <f aca="false">IF(ALV83&gt;0,(ALV83-API83)/ALV83,0)</f>
        <v>0</v>
      </c>
      <c r="CW84" s="20" t="n">
        <f aca="false">IF(ALW83&gt;0,(ALW83-APJ83)/ALW83,0)</f>
        <v>0</v>
      </c>
      <c r="CX84" s="20" t="n">
        <f aca="false">IF(ALX83&gt;0,(ALX83-APK83)/ALX83,0)</f>
        <v>0</v>
      </c>
      <c r="CY84" s="20" t="n">
        <f aca="false">IF(ALY83&gt;0,(ALY83-APL83)/ALY83,0)</f>
        <v>0</v>
      </c>
      <c r="CZ84" s="20" t="n">
        <f aca="false">IF(ALZ83&gt;0,(ALZ83-APM83)/ALZ83,0)</f>
        <v>0</v>
      </c>
      <c r="DA84" s="20" t="n">
        <f aca="false">IF(AMA83&gt;0,(AMA83-APN83)/AMA83,0)</f>
        <v>0</v>
      </c>
      <c r="DB84" s="20" t="n">
        <f aca="false">IF(AMB83&gt;0,(AMB83-APO83)/AMB83,0)</f>
        <v>0</v>
      </c>
      <c r="DC84" s="20" t="n">
        <f aca="false">IF(AMC83&gt;0,(AMC83-APP83)/AMC83,0)</f>
        <v>0</v>
      </c>
      <c r="DD84" s="20" t="n">
        <f aca="false">IF(AMD83&gt;0,(AMD83-APQ83)/AMD83,0)</f>
        <v>0</v>
      </c>
      <c r="DE84" s="20" t="n">
        <f aca="false">IF(AME83&gt;0,(AME83-APR83)/AME83,0)</f>
        <v>0</v>
      </c>
      <c r="DF84" s="20" t="n">
        <f aca="false">IF(AMF83&gt;0,(AMF83-APS83)/AMF83,0)</f>
        <v>0</v>
      </c>
      <c r="DG84" s="20" t="n">
        <f aca="false">IF(AMG83&gt;0,(AMG83-APT83)/AMG83,0)</f>
        <v>0</v>
      </c>
      <c r="DH84" s="20" t="n">
        <f aca="false">IF(AMH83&gt;0,(AMH83-APU83)/AMH83,0)</f>
        <v>0</v>
      </c>
      <c r="DI84" s="20" t="n">
        <f aca="false">IF(AMI83&gt;0,(AMI83-APV83)/AMI83,0)</f>
        <v>0</v>
      </c>
      <c r="DJ84" s="20" t="n">
        <f aca="false">IF(AMJ83&gt;0,(AMJ83-APW83)/AMJ83,0)</f>
        <v>0</v>
      </c>
      <c r="DK84" s="20" t="n">
        <f aca="false">IF(AMK83&gt;0,(AMK83-APX83)/AMK83,0)</f>
        <v>0</v>
      </c>
      <c r="DL84" s="20" t="n">
        <f aca="false">IF(AML83&gt;0,(AML83-APY83)/AML83,0)</f>
        <v>0</v>
      </c>
      <c r="DM84" s="20" t="n">
        <f aca="false">IF(AMM83&gt;0,(AMM83-APZ83)/AMM83,0)</f>
        <v>0</v>
      </c>
      <c r="DN84" s="20" t="n">
        <f aca="false">IF(AMN83&gt;0,(AMN83-AQA83)/AMN83,0)</f>
        <v>0</v>
      </c>
      <c r="DO84" s="20" t="n">
        <f aca="false">IF(AMO83&gt;0,(AMO83-AQB83)/AMO83,0)</f>
        <v>0</v>
      </c>
      <c r="DP84" s="20" t="n">
        <f aca="false">IF(AMP83&gt;0,(AMP83-AQC83)/AMP83,0)</f>
        <v>0</v>
      </c>
      <c r="DQ84" s="20" t="n">
        <f aca="false">IF(AMQ83&gt;0,(AMQ83-AQD83)/AMQ83,0)</f>
        <v>0</v>
      </c>
      <c r="DR84" s="20" t="n">
        <f aca="false">IF(AMR83&gt;0,(AMR83-AQE83)/AMR83,0)</f>
        <v>0</v>
      </c>
      <c r="DS84" s="20" t="n">
        <f aca="false">IF(AMS83&gt;0,(AMS83-AQF83)/AMS83,0)</f>
        <v>0</v>
      </c>
      <c r="DT84" s="20" t="n">
        <f aca="false">IF(AMT83&gt;0,(AMT83-AQG83)/AMT83,0)</f>
        <v>0</v>
      </c>
      <c r="DU84" s="20" t="n">
        <f aca="false">IF(AMU83&gt;0,(AMU83-AQH83)/AMU83,0)</f>
        <v>0</v>
      </c>
      <c r="DV84" s="20" t="n">
        <f aca="false">IF(AMV83&gt;0,(AMV83-AQI83)/AMV83,0)</f>
        <v>0</v>
      </c>
      <c r="DW84" s="20" t="n">
        <f aca="false">IF(AMW83&gt;0,(AMW83-AQJ83)/AMW83,0)</f>
        <v>0</v>
      </c>
      <c r="DX84" s="20" t="n">
        <f aca="false">IF(AMX83&gt;0,(AMX83-AQK83)/AMX83,0)</f>
        <v>0</v>
      </c>
      <c r="DY84" s="20" t="n">
        <f aca="false">IF(AMY83&gt;0,(AMY83-AQL83)/AMY83,0)</f>
        <v>0</v>
      </c>
      <c r="DZ84" s="20" t="n">
        <f aca="false">IF(AMZ83&gt;0,(AMZ83-AQM83)/AMZ83,0)</f>
        <v>0</v>
      </c>
      <c r="EA84" s="20" t="n">
        <f aca="false">IF(ANA83&gt;0,(ANA83-AQN83)/ANA83,0)</f>
        <v>0</v>
      </c>
      <c r="EB84" s="20" t="n">
        <f aca="false">IF(ANB83&gt;0,(ANB83-AQO83)/ANB83,0)</f>
        <v>0</v>
      </c>
      <c r="EC84" s="20" t="n">
        <f aca="false">IF(ANC83&gt;0,(ANC83-AQP83)/ANC83,0)</f>
        <v>0</v>
      </c>
      <c r="ED84" s="20" t="n">
        <f aca="false">IF(AND83&gt;0,(AND83-AQQ83)/AND83,0)</f>
        <v>0</v>
      </c>
      <c r="EE84" s="20" t="n">
        <f aca="false">IF(ANE83&gt;0,(ANE83-AQR83)/ANE83,0)</f>
        <v>0</v>
      </c>
      <c r="EF84" s="20" t="n">
        <f aca="false">IF(ANF83&gt;0,(ANF83-AQS83)/ANF83,0)</f>
        <v>0</v>
      </c>
      <c r="EG84" s="20" t="n">
        <f aca="false">IF(ANG83&gt;0,(ANG83-AQT83)/ANG83,0)</f>
        <v>0</v>
      </c>
      <c r="EH84" s="20" t="n">
        <f aca="false">IF(ANH83&gt;0,(ANH83-AQU83)/ANH83,0)</f>
        <v>0</v>
      </c>
      <c r="EI84" s="20" t="n">
        <f aca="false">IF(ANI83&gt;0,(ANI83-AQV83)/ANI83,0)</f>
        <v>0</v>
      </c>
      <c r="EJ84" s="20" t="n">
        <f aca="false">IF(ANJ83&gt;0,(ANJ83-AQW83)/ANJ83,0)</f>
        <v>0</v>
      </c>
      <c r="EK84" s="20" t="n">
        <f aca="false">IF(ANK83&gt;0,(ANK83-AQX83)/ANK83,0)</f>
        <v>0</v>
      </c>
      <c r="EL84" s="20" t="n">
        <f aca="false">IF(ANL83&gt;0,(ANL83-AQY83)/ANL83,0)</f>
        <v>0</v>
      </c>
      <c r="EM84" s="20" t="n">
        <f aca="false">IF(ANM83&gt;0,(ANM83-AQZ83)/ANM83,0)</f>
        <v>0</v>
      </c>
      <c r="EN84" s="20" t="n">
        <f aca="false">IF(ANN83&gt;0,(ANN83-ARA83)/ANN83,0)</f>
        <v>0</v>
      </c>
      <c r="EO84" s="20" t="n">
        <f aca="false">IF(ANO83&gt;0,(ANO83-ARB83)/ANO83,0)</f>
        <v>0</v>
      </c>
      <c r="EP84" s="20" t="n">
        <f aca="false">IF(ANP83&gt;0,(ANP83-ARC83)/ANP83,0)</f>
        <v>0</v>
      </c>
      <c r="EQ84" s="20" t="n">
        <f aca="false">IF((P84+S84)&gt;0,((P84+S84)-(P84+S84))/(P84+S84),0)</f>
        <v>0</v>
      </c>
      <c r="ER84" s="20" t="n">
        <v>0</v>
      </c>
      <c r="ES84" s="20" t="n">
        <v>0</v>
      </c>
      <c r="ET84" s="20" t="n">
        <v>0</v>
      </c>
      <c r="EU84" s="20" t="n">
        <v>0</v>
      </c>
      <c r="EV84" s="20" t="n">
        <v>0</v>
      </c>
      <c r="EW84" s="20" t="n">
        <v>0</v>
      </c>
      <c r="EX84" s="20" t="n">
        <v>0</v>
      </c>
      <c r="EY84" s="20" t="n">
        <v>0</v>
      </c>
      <c r="EZ84" s="20" t="n">
        <v>0</v>
      </c>
      <c r="FA84" s="20" t="n">
        <v>0</v>
      </c>
      <c r="FB84" s="20" t="n">
        <v>0</v>
      </c>
      <c r="FC84" s="20" t="n">
        <v>0</v>
      </c>
      <c r="FD84" s="20" t="n">
        <v>0</v>
      </c>
      <c r="FE84" s="20" t="n">
        <f aca="false">IF(H_Direct=1,IF(AKR83&lt;=0,0,IF(BR84&lt;=0,AKR83,AKR83-G84*MAX(0,BR84*AKR83-(H84+I84)))),AKR83*(1-MAX(0,BR84)*H_Exit))</f>
        <v>0</v>
      </c>
      <c r="FF84" s="20" t="n">
        <f aca="false">IF(H_Direct=1,IF(AKS83&lt;=0,0,IF(BS84&lt;=0,AKS83,AKS83-G84*MAX(0,BS84*AKS83-(IR84+ME84)))),AKS83*(1-MAX(0,BS84)*H_Exit))</f>
        <v>0</v>
      </c>
      <c r="FG84" s="20" t="n">
        <f aca="false">IF(H_Direct=1,IF(AKT83&lt;=0,0,IF(BT84&lt;=0,AKT83,AKT83-G84*MAX(0,BT84*AKT83-(IS84+MF84)))),AKT83*(1-MAX(0,BT84)*H_Exit))</f>
        <v>0</v>
      </c>
      <c r="FH84" s="20" t="n">
        <f aca="false">IF(H_Direct=1,IF(AKU83&lt;=0,0,IF(BU84&lt;=0,AKU83,AKU83-G84*MAX(0,BU84*AKU83-(IT84+MG84)))),AKU83*(1-MAX(0,BU84)*H_Exit))</f>
        <v>0</v>
      </c>
      <c r="FI84" s="20" t="n">
        <f aca="false">IF(H_Direct=1,IF(AKV83&lt;=0,0,IF(BV84&lt;=0,AKV83,AKV83-G84*MAX(0,BV84*AKV83-(IU84+MH84)))),AKV83*(1-MAX(0,BV84)*H_Exit))</f>
        <v>0</v>
      </c>
      <c r="FJ84" s="20" t="n">
        <f aca="false">IF(H_Direct=1,IF(AKW83&lt;=0,0,IF(BW84&lt;=0,AKW83,AKW83-G84*MAX(0,BW84*AKW83-(IV84+MI84)))),AKW83*(1-MAX(0,BW84)*H_Exit))</f>
        <v>0</v>
      </c>
      <c r="FK84" s="20" t="n">
        <f aca="false">IF(H_Direct=1,IF(AKX83&lt;=0,0,IF(BX84&lt;=0,AKX83,AKX83-G84*MAX(0,BX84*AKX83-(IW84+MJ84)))),AKX83*(1-MAX(0,BX84)*H_Exit))</f>
        <v>0</v>
      </c>
      <c r="FL84" s="20" t="n">
        <f aca="false">IF(H_Direct=1,IF(AKY83&lt;=0,0,IF(BY84&lt;=0,AKY83,AKY83-G84*MAX(0,BY84*AKY83-(IX84+MK84)))),AKY83*(1-MAX(0,BY84)*H_Exit))</f>
        <v>0</v>
      </c>
      <c r="FM84" s="20" t="n">
        <f aca="false">IF(H_Direct=1,IF(AKZ83&lt;=0,0,IF(BZ84&lt;=0,AKZ83,AKZ83-G84*MAX(0,BZ84*AKZ83-(IY84+ML84)))),AKZ83*(1-MAX(0,BZ84)*H_Exit))</f>
        <v>0</v>
      </c>
      <c r="FN84" s="20" t="n">
        <f aca="false">IF(H_Direct=1,IF(ALA83&lt;=0,0,IF(CA84&lt;=0,ALA83,ALA83-G84*MAX(0,CA84*ALA83-(IZ84+MM84)))),ALA83*(1-MAX(0,CA84)*H_Exit))</f>
        <v>0</v>
      </c>
      <c r="FO84" s="20" t="n">
        <f aca="false">IF(H_Direct=1,IF(ALB83&lt;=0,0,IF(CB84&lt;=0,ALB83,ALB83-G84*MAX(0,CB84*ALB83-(JA84+MN84)))),ALB83*(1-MAX(0,CB84)*H_Exit))</f>
        <v>0</v>
      </c>
      <c r="FP84" s="20" t="n">
        <f aca="false">IF(H_Direct=1,IF(ALC83&lt;=0,0,IF(CC84&lt;=0,ALC83,ALC83-G84*MAX(0,CC84*ALC83-(JB84+MO84)))),ALC83*(1-MAX(0,CC84)*H_Exit))</f>
        <v>0</v>
      </c>
      <c r="FQ84" s="20" t="n">
        <f aca="false">IF(H_Direct=1,IF(ALD83&lt;=0,0,IF(CD84&lt;=0,ALD83,ALD83-G84*MAX(0,CD84*ALD83-(JC84+MP84)))),ALD83*(1-MAX(0,CD84)*H_Exit))</f>
        <v>0</v>
      </c>
      <c r="FR84" s="20" t="n">
        <f aca="false">IF(H_Direct=1,IF(ALE83&lt;=0,0,IF(CE84&lt;=0,ALE83,ALE83-G84*MAX(0,CE84*ALE83-(JD84+MQ84)))),ALE83*(1-MAX(0,CE84)*H_Exit))</f>
        <v>0</v>
      </c>
      <c r="FS84" s="20" t="n">
        <f aca="false">IF(H_Direct=1,IF(ALF83&lt;=0,0,IF(CF84&lt;=0,ALF83,ALF83-G84*MAX(0,CF84*ALF83-(JE84+MR84)))),ALF83*(1-MAX(0,CF84)*H_Exit))</f>
        <v>0</v>
      </c>
      <c r="FT84" s="20" t="n">
        <f aca="false">IF(H_Direct=1,IF(ALG83&lt;=0,0,IF(CG84&lt;=0,ALG83,ALG83-G84*MAX(0,CG84*ALG83-(JF84+MS84)))),ALG83*(1-MAX(0,CG84)*H_Exit))</f>
        <v>0</v>
      </c>
      <c r="FU84" s="20" t="n">
        <f aca="false">IF(H_Direct=1,IF(ALH83&lt;=0,0,IF(CH84&lt;=0,ALH83,ALH83-G84*MAX(0,CH84*ALH83-(JG84+MT84)))),ALH83*(1-MAX(0,CH84)*H_Exit))</f>
        <v>0</v>
      </c>
      <c r="FV84" s="20" t="n">
        <f aca="false">IF(H_Direct=1,IF(ALI83&lt;=0,0,IF(CI84&lt;=0,ALI83,ALI83-G84*MAX(0,CI84*ALI83-(JH84+MU84)))),ALI83*(1-MAX(0,CI84)*H_Exit))</f>
        <v>0</v>
      </c>
      <c r="FW84" s="20" t="n">
        <f aca="false">IF(H_Direct=1,IF(ALJ83&lt;=0,0,IF(CJ84&lt;=0,ALJ83,ALJ83-G84*MAX(0,CJ84*ALJ83-(JI84+MV84)))),ALJ83*(1-MAX(0,CJ84)*H_Exit))</f>
        <v>0</v>
      </c>
      <c r="FX84" s="20" t="n">
        <f aca="false">IF(H_Direct=1,IF(ALK83&lt;=0,0,IF(CK84&lt;=0,ALK83,ALK83-G84*MAX(0,CK84*ALK83-(JJ84+MW84)))),ALK83*(1-MAX(0,CK84)*H_Exit))</f>
        <v>0</v>
      </c>
      <c r="FY84" s="20" t="n">
        <f aca="false">IF(H_Direct=1,IF(ALL83&lt;=0,0,IF(CL84&lt;=0,ALL83,ALL83-G84*MAX(0,CL84*ALL83-(JK84+MX84)))),ALL83*(1-MAX(0,CL84)*H_Exit))</f>
        <v>0</v>
      </c>
      <c r="FZ84" s="20" t="n">
        <f aca="false">IF(H_Direct=1,IF(ALM83&lt;=0,0,IF(CM84&lt;=0,ALM83,ALM83-G84*MAX(0,CM84*ALM83-(JL84+MY84)))),ALM83*(1-MAX(0,CM84)*H_Exit))</f>
        <v>0</v>
      </c>
      <c r="GA84" s="20" t="n">
        <f aca="false">IF(H_Direct=1,IF(ALN83&lt;=0,0,IF(CN84&lt;=0,ALN83,ALN83-G84*MAX(0,CN84*ALN83-(JM84+MZ84)))),ALN83*(1-MAX(0,CN84)*H_Exit))</f>
        <v>0</v>
      </c>
      <c r="GB84" s="20" t="n">
        <f aca="false">IF(H_Direct=1,IF(ALO83&lt;=0,0,IF(CO84&lt;=0,ALO83,ALO83-G84*MAX(0,CO84*ALO83-(JN84+NA84)))),ALO83*(1-MAX(0,CO84)*H_Exit))</f>
        <v>0</v>
      </c>
      <c r="GC84" s="20" t="n">
        <f aca="false">IF(H_Direct=1,IF(ALP83&lt;=0,0,IF(CP84&lt;=0,ALP83,ALP83-G84*MAX(0,CP84*ALP83-(JO84+NB84)))),ALP83*(1-MAX(0,CP84)*H_Exit))</f>
        <v>0</v>
      </c>
      <c r="GD84" s="20" t="n">
        <f aca="false">IF(H_Direct=1,IF(ALQ83&lt;=0,0,IF(CQ84&lt;=0,ALQ83,ALQ83-G84*MAX(0,CQ84*ALQ83-(JP84+NC84)))),ALQ83*(1-MAX(0,CQ84)*H_Exit))</f>
        <v>0</v>
      </c>
      <c r="GE84" s="20" t="n">
        <f aca="false">IF(H_Direct=1,IF(ALR83&lt;=0,0,IF(CR84&lt;=0,ALR83,ALR83-G84*MAX(0,CR84*ALR83-(JQ84+ND84)))),ALR83*(1-MAX(0,CR84)*H_Exit))</f>
        <v>0</v>
      </c>
      <c r="GF84" s="20" t="n">
        <f aca="false">IF(H_Direct=1,IF(ALS83&lt;=0,0,IF(CS84&lt;=0,ALS83,ALS83-G84*MAX(0,CS84*ALS83-(JR84+NE84)))),ALS83*(1-MAX(0,CS84)*H_Exit))</f>
        <v>0</v>
      </c>
      <c r="GG84" s="20" t="n">
        <f aca="false">IF(H_Direct=1,IF(ALT83&lt;=0,0,IF(CT84&lt;=0,ALT83,ALT83-G84*MAX(0,CT84*ALT83-(JS84+NF84)))),ALT83*(1-MAX(0,CT84)*H_Exit))</f>
        <v>0</v>
      </c>
      <c r="GH84" s="20" t="n">
        <f aca="false">IF(H_Direct=1,IF(ALU83&lt;=0,0,IF(CU84&lt;=0,ALU83,ALU83-G84*MAX(0,CU84*ALU83-(JT84+NG84)))),ALU83*(1-MAX(0,CU84)*H_Exit))</f>
        <v>0</v>
      </c>
      <c r="GI84" s="20" t="n">
        <f aca="false">IF(H_Direct=1,IF(ALV83&lt;=0,0,IF(CV84&lt;=0,ALV83,ALV83-G84*MAX(0,CV84*ALV83-(JU84+NH84)))),ALV83*(1-MAX(0,CV84)*H_Exit))</f>
        <v>0</v>
      </c>
      <c r="GJ84" s="20" t="n">
        <f aca="false">IF(H_Direct=1,IF(ALW83&lt;=0,0,IF(CW84&lt;=0,ALW83,ALW83-G84*MAX(0,CW84*ALW83-(JV84+NI84)))),ALW83*(1-MAX(0,CW84)*H_Exit))</f>
        <v>0</v>
      </c>
      <c r="GK84" s="20" t="n">
        <f aca="false">IF(H_Direct=1,IF(ALX83&lt;=0,0,IF(CX84&lt;=0,ALX83,ALX83-G84*MAX(0,CX84*ALX83-(JW84+NJ84)))),ALX83*(1-MAX(0,CX84)*H_Exit))</f>
        <v>0</v>
      </c>
      <c r="GL84" s="20" t="n">
        <f aca="false">IF(H_Direct=1,IF(ALY83&lt;=0,0,IF(CY84&lt;=0,ALY83,ALY83-G84*MAX(0,CY84*ALY83-(JX84+NK84)))),ALY83*(1-MAX(0,CY84)*H_Exit))</f>
        <v>0</v>
      </c>
      <c r="GM84" s="20" t="n">
        <f aca="false">IF(H_Direct=1,IF(ALZ83&lt;=0,0,IF(CZ84&lt;=0,ALZ83,ALZ83-G84*MAX(0,CZ84*ALZ83-(JY84+NL84)))),ALZ83*(1-MAX(0,CZ84)*H_Exit))</f>
        <v>0</v>
      </c>
      <c r="GN84" s="20" t="n">
        <f aca="false">IF(H_Direct=1,IF(AMA83&lt;=0,0,IF(DA84&lt;=0,AMA83,AMA83-G84*MAX(0,DA84*AMA83-(JZ84+NM84)))),AMA83*(1-MAX(0,DA84)*H_Exit))</f>
        <v>0</v>
      </c>
      <c r="GO84" s="20" t="n">
        <f aca="false">IF(H_Direct=1,IF(AMB83&lt;=0,0,IF(DB84&lt;=0,AMB83,AMB83-G84*MAX(0,DB84*AMB83-(KA84+NN84)))),AMB83*(1-MAX(0,DB84)*H_Exit))</f>
        <v>0</v>
      </c>
      <c r="GP84" s="20" t="n">
        <f aca="false">IF(H_Direct=1,IF(AMC83&lt;=0,0,IF(DC84&lt;=0,AMC83,AMC83-G84*MAX(0,DC84*AMC83-(KB84+NO84)))),AMC83*(1-MAX(0,DC84)*H_Exit))</f>
        <v>0</v>
      </c>
      <c r="GQ84" s="20" t="n">
        <f aca="false">IF(H_Direct=1,IF(AMD83&lt;=0,0,IF(DD84&lt;=0,AMD83,AMD83-G84*MAX(0,DD84*AMD83-(KC84+NP84)))),AMD83*(1-MAX(0,DD84)*H_Exit))</f>
        <v>0</v>
      </c>
      <c r="GR84" s="20" t="n">
        <f aca="false">IF(H_Direct=1,IF(AME83&lt;=0,0,IF(DE84&lt;=0,AME83,AME83-G84*MAX(0,DE84*AME83-(KD84+NQ84)))),AME83*(1-MAX(0,DE84)*H_Exit))</f>
        <v>0</v>
      </c>
      <c r="GS84" s="20" t="n">
        <f aca="false">IF(H_Direct=1,IF(AMF83&lt;=0,0,IF(DF84&lt;=0,AMF83,AMF83-G84*MAX(0,DF84*AMF83-(KE84+NR84)))),AMF83*(1-MAX(0,DF84)*H_Exit))</f>
        <v>0</v>
      </c>
      <c r="GT84" s="20" t="n">
        <f aca="false">IF(H_Direct=1,IF(AMG83&lt;=0,0,IF(DG84&lt;=0,AMG83,AMG83-G84*MAX(0,DG84*AMG83-(KF84+NS84)))),AMG83*(1-MAX(0,DG84)*H_Exit))</f>
        <v>0</v>
      </c>
      <c r="GU84" s="20" t="n">
        <f aca="false">IF(H_Direct=1,IF(AMH83&lt;=0,0,IF(DH84&lt;=0,AMH83,AMH83-G84*MAX(0,DH84*AMH83-(KG84+NT84)))),AMH83*(1-MAX(0,DH84)*H_Exit))</f>
        <v>0</v>
      </c>
      <c r="GV84" s="20" t="n">
        <f aca="false">IF(H_Direct=1,IF(AMI83&lt;=0,0,IF(DI84&lt;=0,AMI83,AMI83-G84*MAX(0,DI84*AMI83-(KH84+NU84)))),AMI83*(1-MAX(0,DI84)*H_Exit))</f>
        <v>0</v>
      </c>
      <c r="GW84" s="20" t="n">
        <f aca="false">IF(H_Direct=1,IF(AMJ83&lt;=0,0,IF(DJ84&lt;=0,AMJ83,AMJ83-G84*MAX(0,DJ84*AMJ83-(KI84+NV84)))),AMJ83*(1-MAX(0,DJ84)*H_Exit))</f>
        <v>0</v>
      </c>
      <c r="GX84" s="20" t="n">
        <f aca="false">IF(H_Direct=1,IF(AMK83&lt;=0,0,IF(DK84&lt;=0,AMK83,AMK83-G84*MAX(0,DK84*AMK83-(KJ84+NW84)))),AMK83*(1-MAX(0,DK84)*H_Exit))</f>
        <v>0</v>
      </c>
      <c r="GY84" s="20" t="n">
        <f aca="false">IF(H_Direct=1,IF(AML83&lt;=0,0,IF(DL84&lt;=0,AML83,AML83-G84*MAX(0,DL84*AML83-(KK84+NX84)))),AML83*(1-MAX(0,DL84)*H_Exit))</f>
        <v>0</v>
      </c>
      <c r="GZ84" s="20" t="n">
        <f aca="false">IF(H_Direct=1,IF(AMM83&lt;=0,0,IF(DM84&lt;=0,AMM83,AMM83-G84*MAX(0,DM84*AMM83-(KL84+NY84)))),AMM83*(1-MAX(0,DM84)*H_Exit))</f>
        <v>0</v>
      </c>
      <c r="HA84" s="20" t="n">
        <f aca="false">IF(H_Direct=1,IF(AMN83&lt;=0,0,IF(DN84&lt;=0,AMN83,AMN83-G84*MAX(0,DN84*AMN83-(KM84+NZ84)))),AMN83*(1-MAX(0,DN84)*H_Exit))</f>
        <v>0</v>
      </c>
      <c r="HB84" s="20" t="n">
        <f aca="false">IF(H_Direct=1,IF(AMO83&lt;=0,0,IF(DO84&lt;=0,AMO83,AMO83-G84*MAX(0,DO84*AMO83-(KN84+OA84)))),AMO83*(1-MAX(0,DO84)*H_Exit))</f>
        <v>0</v>
      </c>
      <c r="HC84" s="20" t="n">
        <f aca="false">IF(H_Direct=1,IF(AMP83&lt;=0,0,IF(DP84&lt;=0,AMP83,AMP83-G84*MAX(0,DP84*AMP83-(KO84+OB84)))),AMP83*(1-MAX(0,DP84)*H_Exit))</f>
        <v>0</v>
      </c>
      <c r="HD84" s="20" t="n">
        <f aca="false">IF(H_Direct=1,IF(AMQ83&lt;=0,0,IF(DQ84&lt;=0,AMQ83,AMQ83-G84*MAX(0,DQ84*AMQ83-(KP84+OC84)))),AMQ83*(1-MAX(0,DQ84)*H_Exit))</f>
        <v>0</v>
      </c>
      <c r="HE84" s="20" t="n">
        <f aca="false">IF(H_Direct=1,IF(AMR83&lt;=0,0,IF(DR84&lt;=0,AMR83,AMR83-G84*MAX(0,DR84*AMR83-(KQ84+OD84)))),AMR83*(1-MAX(0,DR84)*H_Exit))</f>
        <v>0</v>
      </c>
      <c r="HF84" s="20" t="n">
        <f aca="false">IF(H_Direct=1,IF(AMS83&lt;=0,0,IF(DS84&lt;=0,AMS83,AMS83-G84*MAX(0,DS84*AMS83-(KR84+OE84)))),AMS83*(1-MAX(0,DS84)*H_Exit))</f>
        <v>0</v>
      </c>
      <c r="HG84" s="20" t="n">
        <f aca="false">IF(H_Direct=1,IF(AMT83&lt;=0,0,IF(DT84&lt;=0,AMT83,AMT83-G84*MAX(0,DT84*AMT83-(KS84+OF84)))),AMT83*(1-MAX(0,DT84)*H_Exit))</f>
        <v>0</v>
      </c>
      <c r="HH84" s="20" t="n">
        <f aca="false">IF(H_Direct=1,IF(AMU83&lt;=0,0,IF(DU84&lt;=0,AMU83,AMU83-G84*MAX(0,DU84*AMU83-(KT84+OG84)))),AMU83*(1-MAX(0,DU84)*H_Exit))</f>
        <v>0</v>
      </c>
      <c r="HI84" s="20" t="n">
        <f aca="false">IF(H_Direct=1,IF(AMV83&lt;=0,0,IF(DV84&lt;=0,AMV83,AMV83-G84*MAX(0,DV84*AMV83-(KU84+OH84)))),AMV83*(1-MAX(0,DV84)*H_Exit))</f>
        <v>0</v>
      </c>
      <c r="HJ84" s="20" t="n">
        <f aca="false">IF(H_Direct=1,IF(AMW83&lt;=0,0,IF(DW84&lt;=0,AMW83,AMW83-G84*MAX(0,DW84*AMW83-(KV84+OI84)))),AMW83*(1-MAX(0,DW84)*H_Exit))</f>
        <v>0</v>
      </c>
      <c r="HK84" s="20" t="n">
        <f aca="false">IF(H_Direct=1,IF(AMX83&lt;=0,0,IF(DX84&lt;=0,AMX83,AMX83-G84*MAX(0,DX84*AMX83-(KW84+OJ84)))),AMX83*(1-MAX(0,DX84)*H_Exit))</f>
        <v>0</v>
      </c>
      <c r="HL84" s="20" t="n">
        <f aca="false">IF(H_Direct=1,IF(AMY83&lt;=0,0,IF(DY84&lt;=0,AMY83,AMY83-G84*MAX(0,DY84*AMY83-(KX84+OK84)))),AMY83*(1-MAX(0,DY84)*H_Exit))</f>
        <v>0</v>
      </c>
      <c r="HM84" s="20" t="n">
        <f aca="false">IF(H_Direct=1,IF(AMZ83&lt;=0,0,IF(DZ84&lt;=0,AMZ83,AMZ83-G84*MAX(0,DZ84*AMZ83-(KY84+OL84)))),AMZ83*(1-MAX(0,DZ84)*H_Exit))</f>
        <v>0</v>
      </c>
      <c r="HN84" s="20" t="n">
        <f aca="false">IF(H_Direct=1,IF(ANA83&lt;=0,0,IF(EA84&lt;=0,ANA83,ANA83-G84*MAX(0,EA84*ANA83-(KZ84+OM84)))),ANA83*(1-MAX(0,EA84)*H_Exit))</f>
        <v>0</v>
      </c>
      <c r="HO84" s="20" t="n">
        <f aca="false">IF(H_Direct=1,IF(ANB83&lt;=0,0,IF(EB84&lt;=0,ANB83,ANB83-G84*MAX(0,EB84*ANB83-(LA84+ON84)))),ANB83*(1-MAX(0,EB84)*H_Exit))</f>
        <v>0</v>
      </c>
      <c r="HP84" s="20" t="n">
        <f aca="false">IF(H_Direct=1,IF(ANC83&lt;=0,0,IF(EC84&lt;=0,ANC83,ANC83-G84*MAX(0,EC84*ANC83-(LB84+OO84)))),ANC83*(1-MAX(0,EC84)*H_Exit))</f>
        <v>0</v>
      </c>
      <c r="HQ84" s="20" t="n">
        <f aca="false">IF(H_Direct=1,IF(AND83&lt;=0,0,IF(ED84&lt;=0,AND83,AND83-G84*MAX(0,ED84*AND83-(LC84+OP84)))),AND83*(1-MAX(0,ED84)*H_Exit))</f>
        <v>0</v>
      </c>
      <c r="HR84" s="20" t="n">
        <f aca="false">IF(H_Direct=1,IF(ANE83&lt;=0,0,IF(EE84&lt;=0,ANE83,ANE83-G84*MAX(0,EE84*ANE83-(LD84+OQ84)))),ANE83*(1-MAX(0,EE84)*H_Exit))</f>
        <v>0</v>
      </c>
      <c r="HS84" s="20" t="n">
        <f aca="false">IF(H_Direct=1,IF(ANF83&lt;=0,0,IF(EF84&lt;=0,ANF83,ANF83-G84*MAX(0,EF84*ANF83-(LE84+OR84)))),ANF83*(1-MAX(0,EF84)*H_Exit))</f>
        <v>0</v>
      </c>
      <c r="HT84" s="20" t="n">
        <f aca="false">IF(H_Direct=1,IF(ANG83&lt;=0,0,IF(EG84&lt;=0,ANG83,ANG83-G84*MAX(0,EG84*ANG83-(LF84+OS84)))),ANG83*(1-MAX(0,EG84)*H_Exit))</f>
        <v>0</v>
      </c>
      <c r="HU84" s="20" t="n">
        <f aca="false">IF(H_Direct=1,IF(ANH83&lt;=0,0,IF(EH84&lt;=0,ANH83,ANH83-G84*MAX(0,EH84*ANH83-(LG84+OT84)))),ANH83*(1-MAX(0,EH84)*H_Exit))</f>
        <v>0</v>
      </c>
      <c r="HV84" s="20" t="n">
        <f aca="false">IF(H_Direct=1,IF(ANI83&lt;=0,0,IF(EI84&lt;=0,ANI83,ANI83-G84*MAX(0,EI84*ANI83-(LH84+OU84)))),ANI83*(1-MAX(0,EI84)*H_Exit))</f>
        <v>0</v>
      </c>
      <c r="HW84" s="20" t="n">
        <f aca="false">IF(H_Direct=1,IF(ANJ83&lt;=0,0,IF(EJ84&lt;=0,ANJ83,ANJ83-G84*MAX(0,EJ84*ANJ83-(LI84+OV84)))),ANJ83*(1-MAX(0,EJ84)*H_Exit))</f>
        <v>0</v>
      </c>
      <c r="HX84" s="20" t="n">
        <f aca="false">IF(H_Direct=1,IF(ANK83&lt;=0,0,IF(EK84&lt;=0,ANK83,ANK83-G84*MAX(0,EK84*ANK83-(LJ84+OW84)))),ANK83*(1-MAX(0,EK84)*H_Exit))</f>
        <v>0</v>
      </c>
      <c r="HY84" s="20" t="n">
        <f aca="false">IF(H_Direct=1,IF(ANL83&lt;=0,0,IF(EL84&lt;=0,ANL83,ANL83-G84*MAX(0,EL84*ANL83-(LK84+OX84)))),ANL83*(1-MAX(0,EL84)*H_Exit))</f>
        <v>0</v>
      </c>
      <c r="HZ84" s="20" t="n">
        <f aca="false">IF(H_Direct=1,IF(ANM83&lt;=0,0,IF(EM84&lt;=0,ANM83,ANM83-G84*MAX(0,EM84*ANM83-(LL84+OY84)))),ANM83*(1-MAX(0,EM84)*H_Exit))</f>
        <v>0</v>
      </c>
      <c r="IA84" s="20" t="n">
        <f aca="false">IF(H_Direct=1,IF(ANN83&lt;=0,0,IF(EN84&lt;=0,ANN83,ANN83-G84*MAX(0,EN84*ANN83-(LM84+OZ84)))),ANN83*(1-MAX(0,EN84)*H_Exit))</f>
        <v>0</v>
      </c>
      <c r="IB84" s="20" t="n">
        <f aca="false">IF(H_Direct=1,IF(ANO83&lt;=0,0,IF(EO84&lt;=0,ANO83,ANO83-G84*MAX(0,EO84*ANO83-(LN84+PA84)))),ANO83*(1-MAX(0,EO84)*H_Exit))</f>
        <v>0</v>
      </c>
      <c r="IC84" s="20" t="n">
        <f aca="false">IF(H_Direct=1,IF(ANP83&lt;=0,0,IF(EP84&lt;=0,ANP83,ANP83-G84*MAX(0,EP84*ANP83-(LO84+PB84)))),ANP83*(1-MAX(0,EP84)*H_Exit))</f>
        <v>0</v>
      </c>
      <c r="ID84" s="20" t="n">
        <f aca="false">IF(H_Direct=1,IF((P84+S84)&lt;=0,0,IF(EQ84&lt;=0,(P84+S84),(P84+S84)-G84*MAX(0,EQ84*(P84+S84)-(LP84+PC84)))),(P84+S84)*(1-MAX(0,EQ84)*H_Exit))</f>
        <v>0</v>
      </c>
      <c r="IE84" s="20" t="n">
        <v>0</v>
      </c>
      <c r="IF84" s="20" t="n">
        <v>0</v>
      </c>
      <c r="IG84" s="20" t="n">
        <v>0</v>
      </c>
      <c r="IH84" s="20" t="n">
        <v>0</v>
      </c>
      <c r="II84" s="20" t="n">
        <v>0</v>
      </c>
      <c r="IJ84" s="20" t="n">
        <v>0</v>
      </c>
      <c r="IK84" s="20" t="n">
        <v>0</v>
      </c>
      <c r="IL84" s="20" t="n">
        <v>0</v>
      </c>
      <c r="IM84" s="20" t="n">
        <v>0</v>
      </c>
      <c r="IN84" s="20" t="n">
        <v>0</v>
      </c>
      <c r="IO84" s="20" t="n">
        <v>0</v>
      </c>
      <c r="IP84" s="20" t="n">
        <v>0</v>
      </c>
      <c r="IQ84" s="20" t="n">
        <v>0</v>
      </c>
      <c r="IR84" s="20" t="n">
        <f aca="false">IF(AND(H_Direct=1,BR84&gt;0),MAX(0,H84-(MIN(BR84*AKR83,H84+I84)-MIN(MIN(BR84*AKR83,H84+I84),I84))),H84)</f>
        <v>1270</v>
      </c>
      <c r="IS84" s="20" t="n">
        <f aca="false">IF(AND(H_Direct=1,BS84&gt;0),MAX(0,IR84-(MIN(BS84*AKS83,IR84+ME84)-MIN(MIN(BS84*AKS83,IR84+ME84),ME84))),IR84)</f>
        <v>1270</v>
      </c>
      <c r="IT84" s="20" t="n">
        <f aca="false">IF(AND(H_Direct=1,BT84&gt;0),MAX(0,IS84-(MIN(BT84*AKT83,IS84+MF84)-MIN(MIN(BT84*AKT83,IS84+MF84),MF84))),IS84)</f>
        <v>1270</v>
      </c>
      <c r="IU84" s="20" t="n">
        <f aca="false">IF(AND(H_Direct=1,BU84&gt;0),MAX(0,IT84-(MIN(BU84*AKU83,IT84+MG84)-MIN(MIN(BU84*AKU83,IT84+MG84),MG84))),IT84)</f>
        <v>1270</v>
      </c>
      <c r="IV84" s="20" t="n">
        <f aca="false">IF(AND(H_Direct=1,BV84&gt;0),MAX(0,IU84-(MIN(BV84*AKV83,IU84+MH84)-MIN(MIN(BV84*AKV83,IU84+MH84),MH84))),IU84)</f>
        <v>1270</v>
      </c>
      <c r="IW84" s="20" t="n">
        <f aca="false">IF(AND(H_Direct=1,BW84&gt;0),MAX(0,IV84-(MIN(BW84*AKW83,IV84+MI84)-MIN(MIN(BW84*AKW83,IV84+MI84),MI84))),IV84)</f>
        <v>1270</v>
      </c>
      <c r="IX84" s="20" t="n">
        <f aca="false">IF(AND(H_Direct=1,BX84&gt;0),MAX(0,IW84-(MIN(BX84*AKX83,IW84+MJ84)-MIN(MIN(BX84*AKX83,IW84+MJ84),MJ84))),IW84)</f>
        <v>1270</v>
      </c>
      <c r="IY84" s="20" t="n">
        <f aca="false">IF(AND(H_Direct=1,BY84&gt;0),MAX(0,IX84-(MIN(BY84*AKY83,IX84+MK84)-MIN(MIN(BY84*AKY83,IX84+MK84),MK84))),IX84)</f>
        <v>1270</v>
      </c>
      <c r="IZ84" s="20" t="n">
        <f aca="false">IF(AND(H_Direct=1,BZ84&gt;0),MAX(0,IY84-(MIN(BZ84*AKZ83,IY84+ML84)-MIN(MIN(BZ84*AKZ83,IY84+ML84),ML84))),IY84)</f>
        <v>1270</v>
      </c>
      <c r="JA84" s="20" t="n">
        <f aca="false">IF(AND(H_Direct=1,CA84&gt;0),MAX(0,IZ84-(MIN(CA84*ALA83,IZ84+MM84)-MIN(MIN(CA84*ALA83,IZ84+MM84),MM84))),IZ84)</f>
        <v>1270</v>
      </c>
      <c r="JB84" s="20" t="n">
        <f aca="false">IF(AND(H_Direct=1,CB84&gt;0),MAX(0,JA84-(MIN(CB84*ALB83,JA84+MN84)-MIN(MIN(CB84*ALB83,JA84+MN84),MN84))),JA84)</f>
        <v>1270</v>
      </c>
      <c r="JC84" s="20" t="n">
        <f aca="false">IF(AND(H_Direct=1,CC84&gt;0),MAX(0,JB84-(MIN(CC84*ALC83,JB84+MO84)-MIN(MIN(CC84*ALC83,JB84+MO84),MO84))),JB84)</f>
        <v>1270</v>
      </c>
      <c r="JD84" s="20" t="n">
        <f aca="false">IF(AND(H_Direct=1,CD84&gt;0),MAX(0,JC84-(MIN(CD84*ALD83,JC84+MP84)-MIN(MIN(CD84*ALD83,JC84+MP84),MP84))),JC84)</f>
        <v>1270</v>
      </c>
      <c r="JE84" s="20" t="n">
        <f aca="false">IF(AND(H_Direct=1,CE84&gt;0),MAX(0,JD84-(MIN(CE84*ALE83,JD84+MQ84)-MIN(MIN(CE84*ALE83,JD84+MQ84),MQ84))),JD84)</f>
        <v>1270</v>
      </c>
      <c r="JF84" s="20" t="n">
        <f aca="false">IF(AND(H_Direct=1,CF84&gt;0),MAX(0,JE84-(MIN(CF84*ALF83,JE84+MR84)-MIN(MIN(CF84*ALF83,JE84+MR84),MR84))),JE84)</f>
        <v>1270</v>
      </c>
      <c r="JG84" s="20" t="n">
        <f aca="false">IF(AND(H_Direct=1,CG84&gt;0),MAX(0,JF84-(MIN(CG84*ALG83,JF84+MS84)-MIN(MIN(CG84*ALG83,JF84+MS84),MS84))),JF84)</f>
        <v>1270</v>
      </c>
      <c r="JH84" s="20" t="n">
        <f aca="false">IF(AND(H_Direct=1,CH84&gt;0),MAX(0,JG84-(MIN(CH84*ALH83,JG84+MT84)-MIN(MIN(CH84*ALH83,JG84+MT84),MT84))),JG84)</f>
        <v>1270</v>
      </c>
      <c r="JI84" s="20" t="n">
        <f aca="false">IF(AND(H_Direct=1,CI84&gt;0),MAX(0,JH84-(MIN(CI84*ALI83,JH84+MU84)-MIN(MIN(CI84*ALI83,JH84+MU84),MU84))),JH84)</f>
        <v>1270</v>
      </c>
      <c r="JJ84" s="20" t="n">
        <f aca="false">IF(AND(H_Direct=1,CJ84&gt;0),MAX(0,JI84-(MIN(CJ84*ALJ83,JI84+MV84)-MIN(MIN(CJ84*ALJ83,JI84+MV84),MV84))),JI84)</f>
        <v>1270</v>
      </c>
      <c r="JK84" s="20" t="n">
        <f aca="false">IF(AND(H_Direct=1,CK84&gt;0),MAX(0,JJ84-(MIN(CK84*ALK83,JJ84+MW84)-MIN(MIN(CK84*ALK83,JJ84+MW84),MW84))),JJ84)</f>
        <v>1270</v>
      </c>
      <c r="JL84" s="20" t="n">
        <f aca="false">IF(AND(H_Direct=1,CL84&gt;0),MAX(0,JK84-(MIN(CL84*ALL83,JK84+MX84)-MIN(MIN(CL84*ALL83,JK84+MX84),MX84))),JK84)</f>
        <v>1270</v>
      </c>
      <c r="JM84" s="20" t="n">
        <f aca="false">IF(AND(H_Direct=1,CM84&gt;0),MAX(0,JL84-(MIN(CM84*ALM83,JL84+MY84)-MIN(MIN(CM84*ALM83,JL84+MY84),MY84))),JL84)</f>
        <v>1270</v>
      </c>
      <c r="JN84" s="20" t="n">
        <f aca="false">IF(AND(H_Direct=1,CN84&gt;0),MAX(0,JM84-(MIN(CN84*ALN83,JM84+MZ84)-MIN(MIN(CN84*ALN83,JM84+MZ84),MZ84))),JM84)</f>
        <v>1270</v>
      </c>
      <c r="JO84" s="20" t="n">
        <f aca="false">IF(AND(H_Direct=1,CO84&gt;0),MAX(0,JN84-(MIN(CO84*ALO83,JN84+NA84)-MIN(MIN(CO84*ALO83,JN84+NA84),NA84))),JN84)</f>
        <v>1270</v>
      </c>
      <c r="JP84" s="20" t="n">
        <f aca="false">IF(AND(H_Direct=1,CP84&gt;0),MAX(0,JO84-(MIN(CP84*ALP83,JO84+NB84)-MIN(MIN(CP84*ALP83,JO84+NB84),NB84))),JO84)</f>
        <v>1270</v>
      </c>
      <c r="JQ84" s="20" t="n">
        <f aca="false">IF(AND(H_Direct=1,CQ84&gt;0),MAX(0,JP84-(MIN(CQ84*ALQ83,JP84+NC84)-MIN(MIN(CQ84*ALQ83,JP84+NC84),NC84))),JP84)</f>
        <v>1270</v>
      </c>
      <c r="JR84" s="20" t="n">
        <f aca="false">IF(AND(H_Direct=1,CR84&gt;0),MAX(0,JQ84-(MIN(CR84*ALR83,JQ84+ND84)-MIN(MIN(CR84*ALR83,JQ84+ND84),ND84))),JQ84)</f>
        <v>1270</v>
      </c>
      <c r="JS84" s="20" t="n">
        <f aca="false">IF(AND(H_Direct=1,CS84&gt;0),MAX(0,JR84-(MIN(CS84*ALS83,JR84+NE84)-MIN(MIN(CS84*ALS83,JR84+NE84),NE84))),JR84)</f>
        <v>1270</v>
      </c>
      <c r="JT84" s="20" t="n">
        <f aca="false">IF(AND(H_Direct=1,CT84&gt;0),MAX(0,JS84-(MIN(CT84*ALT83,JS84+NF84)-MIN(MIN(CT84*ALT83,JS84+NF84),NF84))),JS84)</f>
        <v>1270</v>
      </c>
      <c r="JU84" s="20" t="n">
        <f aca="false">IF(AND(H_Direct=1,CU84&gt;0),MAX(0,JT84-(MIN(CU84*ALU83,JT84+NG84)-MIN(MIN(CU84*ALU83,JT84+NG84),NG84))),JT84)</f>
        <v>1270</v>
      </c>
      <c r="JV84" s="20" t="n">
        <f aca="false">IF(AND(H_Direct=1,CV84&gt;0),MAX(0,JU84-(MIN(CV84*ALV83,JU84+NH84)-MIN(MIN(CV84*ALV83,JU84+NH84),NH84))),JU84)</f>
        <v>1270</v>
      </c>
      <c r="JW84" s="20" t="n">
        <f aca="false">IF(AND(H_Direct=1,CW84&gt;0),MAX(0,JV84-(MIN(CW84*ALW83,JV84+NI84)-MIN(MIN(CW84*ALW83,JV84+NI84),NI84))),JV84)</f>
        <v>1270</v>
      </c>
      <c r="JX84" s="20" t="n">
        <f aca="false">IF(AND(H_Direct=1,CX84&gt;0),MAX(0,JW84-(MIN(CX84*ALX83,JW84+NJ84)-MIN(MIN(CX84*ALX83,JW84+NJ84),NJ84))),JW84)</f>
        <v>1270</v>
      </c>
      <c r="JY84" s="20" t="n">
        <f aca="false">IF(AND(H_Direct=1,CY84&gt;0),MAX(0,JX84-(MIN(CY84*ALY83,JX84+NK84)-MIN(MIN(CY84*ALY83,JX84+NK84),NK84))),JX84)</f>
        <v>1270</v>
      </c>
      <c r="JZ84" s="20" t="n">
        <f aca="false">IF(AND(H_Direct=1,CZ84&gt;0),MAX(0,JY84-(MIN(CZ84*ALZ83,JY84+NL84)-MIN(MIN(CZ84*ALZ83,JY84+NL84),NL84))),JY84)</f>
        <v>1270</v>
      </c>
      <c r="KA84" s="20" t="n">
        <f aca="false">IF(AND(H_Direct=1,DA84&gt;0),MAX(0,JZ84-(MIN(DA84*AMA83,JZ84+NM84)-MIN(MIN(DA84*AMA83,JZ84+NM84),NM84))),JZ84)</f>
        <v>1270</v>
      </c>
      <c r="KB84" s="20" t="n">
        <f aca="false">IF(AND(H_Direct=1,DB84&gt;0),MAX(0,KA84-(MIN(DB84*AMB83,KA84+NN84)-MIN(MIN(DB84*AMB83,KA84+NN84),NN84))),KA84)</f>
        <v>1270</v>
      </c>
      <c r="KC84" s="20" t="n">
        <f aca="false">IF(AND(H_Direct=1,DC84&gt;0),MAX(0,KB84-(MIN(DC84*AMC83,KB84+NO84)-MIN(MIN(DC84*AMC83,KB84+NO84),NO84))),KB84)</f>
        <v>1270</v>
      </c>
      <c r="KD84" s="20" t="n">
        <f aca="false">IF(AND(H_Direct=1,DD84&gt;0),MAX(0,KC84-(MIN(DD84*AMD83,KC84+NP84)-MIN(MIN(DD84*AMD83,KC84+NP84),NP84))),KC84)</f>
        <v>1270</v>
      </c>
      <c r="KE84" s="20" t="n">
        <f aca="false">IF(AND(H_Direct=1,DE84&gt;0),MAX(0,KD84-(MIN(DE84*AME83,KD84+NQ84)-MIN(MIN(DE84*AME83,KD84+NQ84),NQ84))),KD84)</f>
        <v>1270</v>
      </c>
      <c r="KF84" s="20" t="n">
        <f aca="false">IF(AND(H_Direct=1,DF84&gt;0),MAX(0,KE84-(MIN(DF84*AMF83,KE84+NR84)-MIN(MIN(DF84*AMF83,KE84+NR84),NR84))),KE84)</f>
        <v>1270</v>
      </c>
      <c r="KG84" s="20" t="n">
        <f aca="false">IF(AND(H_Direct=1,DG84&gt;0),MAX(0,KF84-(MIN(DG84*AMG83,KF84+NS84)-MIN(MIN(DG84*AMG83,KF84+NS84),NS84))),KF84)</f>
        <v>1270</v>
      </c>
      <c r="KH84" s="20" t="n">
        <f aca="false">IF(AND(H_Direct=1,DH84&gt;0),MAX(0,KG84-(MIN(DH84*AMH83,KG84+NT84)-MIN(MIN(DH84*AMH83,KG84+NT84),NT84))),KG84)</f>
        <v>1270</v>
      </c>
      <c r="KI84" s="20" t="n">
        <f aca="false">IF(AND(H_Direct=1,DI84&gt;0),MAX(0,KH84-(MIN(DI84*AMI83,KH84+NU84)-MIN(MIN(DI84*AMI83,KH84+NU84),NU84))),KH84)</f>
        <v>1270</v>
      </c>
      <c r="KJ84" s="20" t="n">
        <f aca="false">IF(AND(H_Direct=1,DJ84&gt;0),MAX(0,KI84-(MIN(DJ84*AMJ83,KI84+NV84)-MIN(MIN(DJ84*AMJ83,KI84+NV84),NV84))),KI84)</f>
        <v>1270</v>
      </c>
      <c r="KK84" s="20" t="n">
        <f aca="false">IF(AND(H_Direct=1,DK84&gt;0),MAX(0,KJ84-(MIN(DK84*AMK83,KJ84+NW84)-MIN(MIN(DK84*AMK83,KJ84+NW84),NW84))),KJ84)</f>
        <v>1270</v>
      </c>
      <c r="KL84" s="20" t="n">
        <f aca="false">IF(AND(H_Direct=1,DL84&gt;0),MAX(0,KK84-(MIN(DL84*AML83,KK84+NX84)-MIN(MIN(DL84*AML83,KK84+NX84),NX84))),KK84)</f>
        <v>1270</v>
      </c>
      <c r="KM84" s="20" t="n">
        <f aca="false">IF(AND(H_Direct=1,DM84&gt;0),MAX(0,KL84-(MIN(DM84*AMM83,KL84+NY84)-MIN(MIN(DM84*AMM83,KL84+NY84),NY84))),KL84)</f>
        <v>1270</v>
      </c>
      <c r="KN84" s="20" t="n">
        <f aca="false">IF(AND(H_Direct=1,DN84&gt;0),MAX(0,KM84-(MIN(DN84*AMN83,KM84+NZ84)-MIN(MIN(DN84*AMN83,KM84+NZ84),NZ84))),KM84)</f>
        <v>1270</v>
      </c>
      <c r="KO84" s="20" t="n">
        <f aca="false">IF(AND(H_Direct=1,DO84&gt;0),MAX(0,KN84-(MIN(DO84*AMO83,KN84+OA84)-MIN(MIN(DO84*AMO83,KN84+OA84),OA84))),KN84)</f>
        <v>1270</v>
      </c>
      <c r="KP84" s="20" t="n">
        <f aca="false">IF(AND(H_Direct=1,DP84&gt;0),MAX(0,KO84-(MIN(DP84*AMP83,KO84+OB84)-MIN(MIN(DP84*AMP83,KO84+OB84),OB84))),KO84)</f>
        <v>1270</v>
      </c>
      <c r="KQ84" s="20" t="n">
        <f aca="false">IF(AND(H_Direct=1,DQ84&gt;0),MAX(0,KP84-(MIN(DQ84*AMQ83,KP84+OC84)-MIN(MIN(DQ84*AMQ83,KP84+OC84),OC84))),KP84)</f>
        <v>1270</v>
      </c>
      <c r="KR84" s="20" t="n">
        <f aca="false">IF(AND(H_Direct=1,DR84&gt;0),MAX(0,KQ84-(MIN(DR84*AMR83,KQ84+OD84)-MIN(MIN(DR84*AMR83,KQ84+OD84),OD84))),KQ84)</f>
        <v>1270</v>
      </c>
      <c r="KS84" s="20" t="n">
        <f aca="false">IF(AND(H_Direct=1,DS84&gt;0),MAX(0,KR84-(MIN(DS84*AMS83,KR84+OE84)-MIN(MIN(DS84*AMS83,KR84+OE84),OE84))),KR84)</f>
        <v>1270</v>
      </c>
      <c r="KT84" s="20" t="n">
        <f aca="false">IF(AND(H_Direct=1,DT84&gt;0),MAX(0,KS84-(MIN(DT84*AMT83,KS84+OF84)-MIN(MIN(DT84*AMT83,KS84+OF84),OF84))),KS84)</f>
        <v>1270</v>
      </c>
      <c r="KU84" s="20" t="n">
        <f aca="false">IF(AND(H_Direct=1,DU84&gt;0),MAX(0,KT84-(MIN(DU84*AMU83,KT84+OG84)-MIN(MIN(DU84*AMU83,KT84+OG84),OG84))),KT84)</f>
        <v>1270</v>
      </c>
      <c r="KV84" s="20" t="n">
        <f aca="false">IF(AND(H_Direct=1,DV84&gt;0),MAX(0,KU84-(MIN(DV84*AMV83,KU84+OH84)-MIN(MIN(DV84*AMV83,KU84+OH84),OH84))),KU84)</f>
        <v>1270</v>
      </c>
      <c r="KW84" s="20" t="n">
        <f aca="false">IF(AND(H_Direct=1,DW84&gt;0),MAX(0,KV84-(MIN(DW84*AMW83,KV84+OI84)-MIN(MIN(DW84*AMW83,KV84+OI84),OI84))),KV84)</f>
        <v>1270</v>
      </c>
      <c r="KX84" s="20" t="n">
        <f aca="false">IF(AND(H_Direct=1,DX84&gt;0),MAX(0,KW84-(MIN(DX84*AMX83,KW84+OJ84)-MIN(MIN(DX84*AMX83,KW84+OJ84),OJ84))),KW84)</f>
        <v>1270</v>
      </c>
      <c r="KY84" s="20" t="n">
        <f aca="false">IF(AND(H_Direct=1,DY84&gt;0),MAX(0,KX84-(MIN(DY84*AMY83,KX84+OK84)-MIN(MIN(DY84*AMY83,KX84+OK84),OK84))),KX84)</f>
        <v>1270</v>
      </c>
      <c r="KZ84" s="20" t="n">
        <f aca="false">IF(AND(H_Direct=1,DZ84&gt;0),MAX(0,KY84-(MIN(DZ84*AMZ83,KY84+OL84)-MIN(MIN(DZ84*AMZ83,KY84+OL84),OL84))),KY84)</f>
        <v>1270</v>
      </c>
      <c r="LA84" s="20" t="n">
        <f aca="false">IF(AND(H_Direct=1,EA84&gt;0),MAX(0,KZ84-(MIN(EA84*ANA83,KZ84+OM84)-MIN(MIN(EA84*ANA83,KZ84+OM84),OM84))),KZ84)</f>
        <v>1270</v>
      </c>
      <c r="LB84" s="20" t="n">
        <f aca="false">IF(AND(H_Direct=1,EB84&gt;0),MAX(0,LA84-(MIN(EB84*ANB83,LA84+ON84)-MIN(MIN(EB84*ANB83,LA84+ON84),ON84))),LA84)</f>
        <v>1270</v>
      </c>
      <c r="LC84" s="20" t="n">
        <f aca="false">IF(AND(H_Direct=1,EC84&gt;0),MAX(0,LB84-(MIN(EC84*ANC83,LB84+OO84)-MIN(MIN(EC84*ANC83,LB84+OO84),OO84))),LB84)</f>
        <v>1270</v>
      </c>
      <c r="LD84" s="20" t="n">
        <f aca="false">IF(AND(H_Direct=1,ED84&gt;0),MAX(0,LC84-(MIN(ED84*AND83,LC84+OP84)-MIN(MIN(ED84*AND83,LC84+OP84),OP84))),LC84)</f>
        <v>1270</v>
      </c>
      <c r="LE84" s="20" t="n">
        <f aca="false">IF(AND(H_Direct=1,EE84&gt;0),MAX(0,LD84-(MIN(EE84*ANE83,LD84+OQ84)-MIN(MIN(EE84*ANE83,LD84+OQ84),OQ84))),LD84)</f>
        <v>1270</v>
      </c>
      <c r="LF84" s="20" t="n">
        <f aca="false">IF(AND(H_Direct=1,EF84&gt;0),MAX(0,LE84-(MIN(EF84*ANF83,LE84+OR84)-MIN(MIN(EF84*ANF83,LE84+OR84),OR84))),LE84)</f>
        <v>1270</v>
      </c>
      <c r="LG84" s="20" t="n">
        <f aca="false">IF(AND(H_Direct=1,EG84&gt;0),MAX(0,LF84-(MIN(EG84*ANG83,LF84+OS84)-MIN(MIN(EG84*ANG83,LF84+OS84),OS84))),LF84)</f>
        <v>1270</v>
      </c>
      <c r="LH84" s="20" t="n">
        <f aca="false">IF(AND(H_Direct=1,EH84&gt;0),MAX(0,LG84-(MIN(EH84*ANH83,LG84+OT84)-MIN(MIN(EH84*ANH83,LG84+OT84),OT84))),LG84)</f>
        <v>1270</v>
      </c>
      <c r="LI84" s="20" t="n">
        <f aca="false">IF(AND(H_Direct=1,EI84&gt;0),MAX(0,LH84-(MIN(EI84*ANI83,LH84+OU84)-MIN(MIN(EI84*ANI83,LH84+OU84),OU84))),LH84)</f>
        <v>1270</v>
      </c>
      <c r="LJ84" s="20" t="n">
        <f aca="false">IF(AND(H_Direct=1,EJ84&gt;0),MAX(0,LI84-(MIN(EJ84*ANJ83,LI84+OV84)-MIN(MIN(EJ84*ANJ83,LI84+OV84),OV84))),LI84)</f>
        <v>1270</v>
      </c>
      <c r="LK84" s="20" t="n">
        <f aca="false">IF(AND(H_Direct=1,EK84&gt;0),MAX(0,LJ84-(MIN(EK84*ANK83,LJ84+OW84)-MIN(MIN(EK84*ANK83,LJ84+OW84),OW84))),LJ84)</f>
        <v>1270</v>
      </c>
      <c r="LL84" s="20" t="n">
        <f aca="false">IF(AND(H_Direct=1,EL84&gt;0),MAX(0,LK84-(MIN(EL84*ANL83,LK84+OX84)-MIN(MIN(EL84*ANL83,LK84+OX84),OX84))),LK84)</f>
        <v>1270</v>
      </c>
      <c r="LM84" s="20" t="n">
        <f aca="false">IF(AND(H_Direct=1,EM84&gt;0),MAX(0,LL84-(MIN(EM84*ANM83,LL84+OY84)-MIN(MIN(EM84*ANM83,LL84+OY84),OY84))),LL84)</f>
        <v>1270</v>
      </c>
      <c r="LN84" s="20" t="n">
        <f aca="false">IF(AND(H_Direct=1,EN84&gt;0),MAX(0,LM84-(MIN(EN84*ANN83,LM84+OZ84)-MIN(MIN(EN84*ANN83,LM84+OZ84),OZ84))),LM84)</f>
        <v>1270</v>
      </c>
      <c r="LO84" s="20" t="n">
        <f aca="false">IF(AND(H_Direct=1,EO84&gt;0),MAX(0,LN84-(MIN(EO84*ANO83,LN84+PA84)-MIN(MIN(EO84*ANO83,LN84+PA84),PA84))),LN84)</f>
        <v>1270</v>
      </c>
      <c r="LP84" s="20" t="n">
        <f aca="false">IF(AND(H_Direct=1,EP84&gt;0),MAX(0,LO84-(MIN(EP84*ANP83,LO84+PB84)-MIN(MIN(EP84*ANP83,LO84+PB84),PB84))),LO84)</f>
        <v>1270</v>
      </c>
      <c r="LQ84" s="20" t="n">
        <f aca="false">IF(AND(H_Direct=1,EQ84&gt;0),MAX(0,LP84-(MIN(EQ84*(P84+S84),LP84+PC84)-MIN(MIN(EQ84*(P84+S84),LP84+PC84),PC84))),LP84)</f>
        <v>1270</v>
      </c>
      <c r="LR84" s="20" t="n">
        <f aca="false">LQ84</f>
        <v>1270</v>
      </c>
      <c r="LS84" s="20" t="n">
        <f aca="false">LR84</f>
        <v>1270</v>
      </c>
      <c r="LT84" s="20" t="n">
        <f aca="false">LS84</f>
        <v>1270</v>
      </c>
      <c r="LU84" s="20" t="n">
        <f aca="false">LT84</f>
        <v>1270</v>
      </c>
      <c r="LV84" s="20" t="n">
        <f aca="false">LU84</f>
        <v>1270</v>
      </c>
      <c r="LW84" s="20" t="n">
        <f aca="false">LV84</f>
        <v>1270</v>
      </c>
      <c r="LX84" s="20" t="n">
        <f aca="false">LW84</f>
        <v>1270</v>
      </c>
      <c r="LY84" s="20" t="n">
        <f aca="false">LX84</f>
        <v>1270</v>
      </c>
      <c r="LZ84" s="20" t="n">
        <f aca="false">LY84</f>
        <v>1270</v>
      </c>
      <c r="MA84" s="20" t="n">
        <f aca="false">LZ84</f>
        <v>1270</v>
      </c>
      <c r="MB84" s="20" t="n">
        <f aca="false">MA84</f>
        <v>1270</v>
      </c>
      <c r="MC84" s="20" t="n">
        <f aca="false">MB84</f>
        <v>1270</v>
      </c>
      <c r="MD84" s="20" t="n">
        <f aca="false">MC84</f>
        <v>1270</v>
      </c>
      <c r="ME84" s="20" t="n">
        <f aca="false">IF(H_Direct=1,IF(BR84&lt;=0,I84-BR84*AKR83,I84-MIN(MIN(BR84*AKR83,H84+I84),I84)),I84)</f>
        <v>0</v>
      </c>
      <c r="MF84" s="20" t="n">
        <f aca="false">IF(H_Direct=1,IF(BS84&lt;=0,ME84-BS84*AKS83,ME84-MIN(MIN(BS84*AKS83,IR84+ME84),ME84)),ME84)</f>
        <v>0</v>
      </c>
      <c r="MG84" s="20" t="n">
        <f aca="false">IF(H_Direct=1,IF(BT84&lt;=0,MF84-BT84*AKT83,MF84-MIN(MIN(BT84*AKT83,IS84+MF84),MF84)),MF84)</f>
        <v>0</v>
      </c>
      <c r="MH84" s="20" t="n">
        <f aca="false">IF(H_Direct=1,IF(BU84&lt;=0,MG84-BU84*AKU83,MG84-MIN(MIN(BU84*AKU83,IT84+MG84),MG84)),MG84)</f>
        <v>0</v>
      </c>
      <c r="MI84" s="20" t="n">
        <f aca="false">IF(H_Direct=1,IF(BV84&lt;=0,MH84-BV84*AKV83,MH84-MIN(MIN(BV84*AKV83,IU84+MH84),MH84)),MH84)</f>
        <v>0</v>
      </c>
      <c r="MJ84" s="20" t="n">
        <f aca="false">IF(H_Direct=1,IF(BW84&lt;=0,MI84-BW84*AKW83,MI84-MIN(MIN(BW84*AKW83,IV84+MI84),MI84)),MI84)</f>
        <v>0</v>
      </c>
      <c r="MK84" s="20" t="n">
        <f aca="false">IF(H_Direct=1,IF(BX84&lt;=0,MJ84-BX84*AKX83,MJ84-MIN(MIN(BX84*AKX83,IW84+MJ84),MJ84)),MJ84)</f>
        <v>0</v>
      </c>
      <c r="ML84" s="20" t="n">
        <f aca="false">IF(H_Direct=1,IF(BY84&lt;=0,MK84-BY84*AKY83,MK84-MIN(MIN(BY84*AKY83,IX84+MK84),MK84)),MK84)</f>
        <v>0</v>
      </c>
      <c r="MM84" s="20" t="n">
        <f aca="false">IF(H_Direct=1,IF(BZ84&lt;=0,ML84-BZ84*AKZ83,ML84-MIN(MIN(BZ84*AKZ83,IY84+ML84),ML84)),ML84)</f>
        <v>0</v>
      </c>
      <c r="MN84" s="20" t="n">
        <f aca="false">IF(H_Direct=1,IF(CA84&lt;=0,MM84-CA84*ALA83,MM84-MIN(MIN(CA84*ALA83,IZ84+MM84),MM84)),MM84)</f>
        <v>0</v>
      </c>
      <c r="MO84" s="20" t="n">
        <f aca="false">IF(H_Direct=1,IF(CB84&lt;=0,MN84-CB84*ALB83,MN84-MIN(MIN(CB84*ALB83,JA84+MN84),MN84)),MN84)</f>
        <v>0</v>
      </c>
      <c r="MP84" s="20" t="n">
        <f aca="false">IF(H_Direct=1,IF(CC84&lt;=0,MO84-CC84*ALC83,MO84-MIN(MIN(CC84*ALC83,JB84+MO84),MO84)),MO84)</f>
        <v>0</v>
      </c>
      <c r="MQ84" s="20" t="n">
        <f aca="false">IF(H_Direct=1,IF(CD84&lt;=0,MP84-CD84*ALD83,MP84-MIN(MIN(CD84*ALD83,JC84+MP84),MP84)),MP84)</f>
        <v>0</v>
      </c>
      <c r="MR84" s="20" t="n">
        <f aca="false">IF(H_Direct=1,IF(CE84&lt;=0,MQ84-CE84*ALE83,MQ84-MIN(MIN(CE84*ALE83,JD84+MQ84),MQ84)),MQ84)</f>
        <v>0</v>
      </c>
      <c r="MS84" s="20" t="n">
        <f aca="false">IF(H_Direct=1,IF(CF84&lt;=0,MR84-CF84*ALF83,MR84-MIN(MIN(CF84*ALF83,JE84+MR84),MR84)),MR84)</f>
        <v>0</v>
      </c>
      <c r="MT84" s="20" t="n">
        <f aca="false">IF(H_Direct=1,IF(CG84&lt;=0,MS84-CG84*ALG83,MS84-MIN(MIN(CG84*ALG83,JF84+MS84),MS84)),MS84)</f>
        <v>0</v>
      </c>
      <c r="MU84" s="20" t="n">
        <f aca="false">IF(H_Direct=1,IF(CH84&lt;=0,MT84-CH84*ALH83,MT84-MIN(MIN(CH84*ALH83,JG84+MT84),MT84)),MT84)</f>
        <v>0</v>
      </c>
      <c r="MV84" s="20" t="n">
        <f aca="false">IF(H_Direct=1,IF(CI84&lt;=0,MU84-CI84*ALI83,MU84-MIN(MIN(CI84*ALI83,JH84+MU84),MU84)),MU84)</f>
        <v>0</v>
      </c>
      <c r="MW84" s="20" t="n">
        <f aca="false">IF(H_Direct=1,IF(CJ84&lt;=0,MV84-CJ84*ALJ83,MV84-MIN(MIN(CJ84*ALJ83,JI84+MV84),MV84)),MV84)</f>
        <v>0</v>
      </c>
      <c r="MX84" s="20" t="n">
        <f aca="false">IF(H_Direct=1,IF(CK84&lt;=0,MW84-CK84*ALK83,MW84-MIN(MIN(CK84*ALK83,JJ84+MW84),MW84)),MW84)</f>
        <v>0</v>
      </c>
      <c r="MY84" s="20" t="n">
        <f aca="false">IF(H_Direct=1,IF(CL84&lt;=0,MX84-CL84*ALL83,MX84-MIN(MIN(CL84*ALL83,JK84+MX84),MX84)),MX84)</f>
        <v>0</v>
      </c>
      <c r="MZ84" s="20" t="n">
        <f aca="false">IF(H_Direct=1,IF(CM84&lt;=0,MY84-CM84*ALM83,MY84-MIN(MIN(CM84*ALM83,JL84+MY84),MY84)),MY84)</f>
        <v>0</v>
      </c>
      <c r="NA84" s="20" t="n">
        <f aca="false">IF(H_Direct=1,IF(CN84&lt;=0,MZ84-CN84*ALN83,MZ84-MIN(MIN(CN84*ALN83,JM84+MZ84),MZ84)),MZ84)</f>
        <v>0</v>
      </c>
      <c r="NB84" s="20" t="n">
        <f aca="false">IF(H_Direct=1,IF(CO84&lt;=0,NA84-CO84*ALO83,NA84-MIN(MIN(CO84*ALO83,JN84+NA84),NA84)),NA84)</f>
        <v>0</v>
      </c>
      <c r="NC84" s="20" t="n">
        <f aca="false">IF(H_Direct=1,IF(CP84&lt;=0,NB84-CP84*ALP83,NB84-MIN(MIN(CP84*ALP83,JO84+NB84),NB84)),NB84)</f>
        <v>0</v>
      </c>
      <c r="ND84" s="20" t="n">
        <f aca="false">IF(H_Direct=1,IF(CQ84&lt;=0,NC84-CQ84*ALQ83,NC84-MIN(MIN(CQ84*ALQ83,JP84+NC84),NC84)),NC84)</f>
        <v>0</v>
      </c>
      <c r="NE84" s="20" t="n">
        <f aca="false">IF(H_Direct=1,IF(CR84&lt;=0,ND84-CR84*ALR83,ND84-MIN(MIN(CR84*ALR83,JQ84+ND84),ND84)),ND84)</f>
        <v>0</v>
      </c>
      <c r="NF84" s="20" t="n">
        <f aca="false">IF(H_Direct=1,IF(CS84&lt;=0,NE84-CS84*ALS83,NE84-MIN(MIN(CS84*ALS83,JR84+NE84),NE84)),NE84)</f>
        <v>0</v>
      </c>
      <c r="NG84" s="20" t="n">
        <f aca="false">IF(H_Direct=1,IF(CT84&lt;=0,NF84-CT84*ALT83,NF84-MIN(MIN(CT84*ALT83,JS84+NF84),NF84)),NF84)</f>
        <v>0</v>
      </c>
      <c r="NH84" s="20" t="n">
        <f aca="false">IF(H_Direct=1,IF(CU84&lt;=0,NG84-CU84*ALU83,NG84-MIN(MIN(CU84*ALU83,JT84+NG84),NG84)),NG84)</f>
        <v>0</v>
      </c>
      <c r="NI84" s="20" t="n">
        <f aca="false">IF(H_Direct=1,IF(CV84&lt;=0,NH84-CV84*ALV83,NH84-MIN(MIN(CV84*ALV83,JU84+NH84),NH84)),NH84)</f>
        <v>0</v>
      </c>
      <c r="NJ84" s="20" t="n">
        <f aca="false">IF(H_Direct=1,IF(CW84&lt;=0,NI84-CW84*ALW83,NI84-MIN(MIN(CW84*ALW83,JV84+NI84),NI84)),NI84)</f>
        <v>0</v>
      </c>
      <c r="NK84" s="20" t="n">
        <f aca="false">IF(H_Direct=1,IF(CX84&lt;=0,NJ84-CX84*ALX83,NJ84-MIN(MIN(CX84*ALX83,JW84+NJ84),NJ84)),NJ84)</f>
        <v>0</v>
      </c>
      <c r="NL84" s="20" t="n">
        <f aca="false">IF(H_Direct=1,IF(CY84&lt;=0,NK84-CY84*ALY83,NK84-MIN(MIN(CY84*ALY83,JX84+NK84),NK84)),NK84)</f>
        <v>0</v>
      </c>
      <c r="NM84" s="20" t="n">
        <f aca="false">IF(H_Direct=1,IF(CZ84&lt;=0,NL84-CZ84*ALZ83,NL84-MIN(MIN(CZ84*ALZ83,JY84+NL84),NL84)),NL84)</f>
        <v>0</v>
      </c>
      <c r="NN84" s="20" t="n">
        <f aca="false">IF(H_Direct=1,IF(DA84&lt;=0,NM84-DA84*AMA83,NM84-MIN(MIN(DA84*AMA83,JZ84+NM84),NM84)),NM84)</f>
        <v>0</v>
      </c>
      <c r="NO84" s="20" t="n">
        <f aca="false">IF(H_Direct=1,IF(DB84&lt;=0,NN84-DB84*AMB83,NN84-MIN(MIN(DB84*AMB83,KA84+NN84),NN84)),NN84)</f>
        <v>0</v>
      </c>
      <c r="NP84" s="20" t="n">
        <f aca="false">IF(H_Direct=1,IF(DC84&lt;=0,NO84-DC84*AMC83,NO84-MIN(MIN(DC84*AMC83,KB84+NO84),NO84)),NO84)</f>
        <v>0</v>
      </c>
      <c r="NQ84" s="20" t="n">
        <f aca="false">IF(H_Direct=1,IF(DD84&lt;=0,NP84-DD84*AMD83,NP84-MIN(MIN(DD84*AMD83,KC84+NP84),NP84)),NP84)</f>
        <v>0</v>
      </c>
      <c r="NR84" s="20" t="n">
        <f aca="false">IF(H_Direct=1,IF(DE84&lt;=0,NQ84-DE84*AME83,NQ84-MIN(MIN(DE84*AME83,KD84+NQ84),NQ84)),NQ84)</f>
        <v>0</v>
      </c>
      <c r="NS84" s="20" t="n">
        <f aca="false">IF(H_Direct=1,IF(DF84&lt;=0,NR84-DF84*AMF83,NR84-MIN(MIN(DF84*AMF83,KE84+NR84),NR84)),NR84)</f>
        <v>0</v>
      </c>
      <c r="NT84" s="20" t="n">
        <f aca="false">IF(H_Direct=1,IF(DG84&lt;=0,NS84-DG84*AMG83,NS84-MIN(MIN(DG84*AMG83,KF84+NS84),NS84)),NS84)</f>
        <v>0</v>
      </c>
      <c r="NU84" s="20" t="n">
        <f aca="false">IF(H_Direct=1,IF(DH84&lt;=0,NT84-DH84*AMH83,NT84-MIN(MIN(DH84*AMH83,KG84+NT84),NT84)),NT84)</f>
        <v>0</v>
      </c>
      <c r="NV84" s="20" t="n">
        <f aca="false">IF(H_Direct=1,IF(DI84&lt;=0,NU84-DI84*AMI83,NU84-MIN(MIN(DI84*AMI83,KH84+NU84),NU84)),NU84)</f>
        <v>0</v>
      </c>
      <c r="NW84" s="20" t="n">
        <f aca="false">IF(H_Direct=1,IF(DJ84&lt;=0,NV84-DJ84*AMJ83,NV84-MIN(MIN(DJ84*AMJ83,KI84+NV84),NV84)),NV84)</f>
        <v>0</v>
      </c>
      <c r="NX84" s="20" t="n">
        <f aca="false">IF(H_Direct=1,IF(DK84&lt;=0,NW84-DK84*AMK83,NW84-MIN(MIN(DK84*AMK83,KJ84+NW84),NW84)),NW84)</f>
        <v>0</v>
      </c>
      <c r="NY84" s="20" t="n">
        <f aca="false">IF(H_Direct=1,IF(DL84&lt;=0,NX84-DL84*AML83,NX84-MIN(MIN(DL84*AML83,KK84+NX84),NX84)),NX84)</f>
        <v>0</v>
      </c>
      <c r="NZ84" s="20" t="n">
        <f aca="false">IF(H_Direct=1,IF(DM84&lt;=0,NY84-DM84*AMM83,NY84-MIN(MIN(DM84*AMM83,KL84+NY84),NY84)),NY84)</f>
        <v>0</v>
      </c>
      <c r="OA84" s="20" t="n">
        <f aca="false">IF(H_Direct=1,IF(DN84&lt;=0,NZ84-DN84*AMN83,NZ84-MIN(MIN(DN84*AMN83,KM84+NZ84),NZ84)),NZ84)</f>
        <v>0</v>
      </c>
      <c r="OB84" s="20" t="n">
        <f aca="false">IF(H_Direct=1,IF(DO84&lt;=0,OA84-DO84*AMO83,OA84-MIN(MIN(DO84*AMO83,KN84+OA84),OA84)),OA84)</f>
        <v>0</v>
      </c>
      <c r="OC84" s="20" t="n">
        <f aca="false">IF(H_Direct=1,IF(DP84&lt;=0,OB84-DP84*AMP83,OB84-MIN(MIN(DP84*AMP83,KO84+OB84),OB84)),OB84)</f>
        <v>0</v>
      </c>
      <c r="OD84" s="20" t="n">
        <f aca="false">IF(H_Direct=1,IF(DQ84&lt;=0,OC84-DQ84*AMQ83,OC84-MIN(MIN(DQ84*AMQ83,KP84+OC84),OC84)),OC84)</f>
        <v>0</v>
      </c>
      <c r="OE84" s="20" t="n">
        <f aca="false">IF(H_Direct=1,IF(DR84&lt;=0,OD84-DR84*AMR83,OD84-MIN(MIN(DR84*AMR83,KQ84+OD84),OD84)),OD84)</f>
        <v>0</v>
      </c>
      <c r="OF84" s="20" t="n">
        <f aca="false">IF(H_Direct=1,IF(DS84&lt;=0,OE84-DS84*AMS83,OE84-MIN(MIN(DS84*AMS83,KR84+OE84),OE84)),OE84)</f>
        <v>0</v>
      </c>
      <c r="OG84" s="20" t="n">
        <f aca="false">IF(H_Direct=1,IF(DT84&lt;=0,OF84-DT84*AMT83,OF84-MIN(MIN(DT84*AMT83,KS84+OF84),OF84)),OF84)</f>
        <v>0</v>
      </c>
      <c r="OH84" s="20" t="n">
        <f aca="false">IF(H_Direct=1,IF(DU84&lt;=0,OG84-DU84*AMU83,OG84-MIN(MIN(DU84*AMU83,KT84+OG84),OG84)),OG84)</f>
        <v>0</v>
      </c>
      <c r="OI84" s="20" t="n">
        <f aca="false">IF(H_Direct=1,IF(DV84&lt;=0,OH84-DV84*AMV83,OH84-MIN(MIN(DV84*AMV83,KU84+OH84),OH84)),OH84)</f>
        <v>0</v>
      </c>
      <c r="OJ84" s="20" t="n">
        <f aca="false">IF(H_Direct=1,IF(DW84&lt;=0,OI84-DW84*AMW83,OI84-MIN(MIN(DW84*AMW83,KV84+OI84),OI84)),OI84)</f>
        <v>0</v>
      </c>
      <c r="OK84" s="20" t="n">
        <f aca="false">IF(H_Direct=1,IF(DX84&lt;=0,OJ84-DX84*AMX83,OJ84-MIN(MIN(DX84*AMX83,KW84+OJ84),OJ84)),OJ84)</f>
        <v>0</v>
      </c>
      <c r="OL84" s="20" t="n">
        <f aca="false">IF(H_Direct=1,IF(DY84&lt;=0,OK84-DY84*AMY83,OK84-MIN(MIN(DY84*AMY83,KX84+OK84),OK84)),OK84)</f>
        <v>0</v>
      </c>
      <c r="OM84" s="20" t="n">
        <f aca="false">IF(H_Direct=1,IF(DZ84&lt;=0,OL84-DZ84*AMZ83,OL84-MIN(MIN(DZ84*AMZ83,KY84+OL84),OL84)),OL84)</f>
        <v>0</v>
      </c>
      <c r="ON84" s="20" t="n">
        <f aca="false">IF(H_Direct=1,IF(EA84&lt;=0,OM84-EA84*ANA83,OM84-MIN(MIN(EA84*ANA83,KZ84+OM84),OM84)),OM84)</f>
        <v>0</v>
      </c>
      <c r="OO84" s="20" t="n">
        <f aca="false">IF(H_Direct=1,IF(EB84&lt;=0,ON84-EB84*ANB83,ON84-MIN(MIN(EB84*ANB83,LA84+ON84),ON84)),ON84)</f>
        <v>0</v>
      </c>
      <c r="OP84" s="20" t="n">
        <f aca="false">IF(H_Direct=1,IF(EC84&lt;=0,OO84-EC84*ANC83,OO84-MIN(MIN(EC84*ANC83,LB84+OO84),OO84)),OO84)</f>
        <v>0</v>
      </c>
      <c r="OQ84" s="20" t="n">
        <f aca="false">IF(H_Direct=1,IF(ED84&lt;=0,OP84-ED84*AND83,OP84-MIN(MIN(ED84*AND83,LC84+OP84),OP84)),OP84)</f>
        <v>0</v>
      </c>
      <c r="OR84" s="20" t="n">
        <f aca="false">IF(H_Direct=1,IF(EE84&lt;=0,OQ84-EE84*ANE83,OQ84-MIN(MIN(EE84*ANE83,LD84+OQ84),OQ84)),OQ84)</f>
        <v>0</v>
      </c>
      <c r="OS84" s="20" t="n">
        <f aca="false">IF(H_Direct=1,IF(EF84&lt;=0,OR84-EF84*ANF83,OR84-MIN(MIN(EF84*ANF83,LE84+OR84),OR84)),OR84)</f>
        <v>0</v>
      </c>
      <c r="OT84" s="20" t="n">
        <f aca="false">IF(H_Direct=1,IF(EG84&lt;=0,OS84-EG84*ANG83,OS84-MIN(MIN(EG84*ANG83,LF84+OS84),OS84)),OS84)</f>
        <v>0</v>
      </c>
      <c r="OU84" s="20" t="n">
        <f aca="false">IF(H_Direct=1,IF(EH84&lt;=0,OT84-EH84*ANH83,OT84-MIN(MIN(EH84*ANH83,LG84+OT84),OT84)),OT84)</f>
        <v>0</v>
      </c>
      <c r="OV84" s="20" t="n">
        <f aca="false">IF(H_Direct=1,IF(EI84&lt;=0,OU84-EI84*ANI83,OU84-MIN(MIN(EI84*ANI83,LH84+OU84),OU84)),OU84)</f>
        <v>0</v>
      </c>
      <c r="OW84" s="20" t="n">
        <f aca="false">IF(H_Direct=1,IF(EJ84&lt;=0,OV84-EJ84*ANJ83,OV84-MIN(MIN(EJ84*ANJ83,LI84+OV84),OV84)),OV84)</f>
        <v>0</v>
      </c>
      <c r="OX84" s="20" t="n">
        <f aca="false">IF(H_Direct=1,IF(EK84&lt;=0,OW84-EK84*ANK83,OW84-MIN(MIN(EK84*ANK83,LJ84+OW84),OW84)),OW84)</f>
        <v>0</v>
      </c>
      <c r="OY84" s="20" t="n">
        <f aca="false">IF(H_Direct=1,IF(EL84&lt;=0,OX84-EL84*ANL83,OX84-MIN(MIN(EL84*ANL83,LK84+OX84),OX84)),OX84)</f>
        <v>0</v>
      </c>
      <c r="OZ84" s="20" t="n">
        <f aca="false">IF(H_Direct=1,IF(EM84&lt;=0,OY84-EM84*ANM83,OY84-MIN(MIN(EM84*ANM83,LL84+OY84),OY84)),OY84)</f>
        <v>0</v>
      </c>
      <c r="PA84" s="20" t="n">
        <f aca="false">IF(H_Direct=1,IF(EN84&lt;=0,OZ84-EN84*ANN83,OZ84-MIN(MIN(EN84*ANN83,LM84+OZ84),OZ84)),OZ84)</f>
        <v>0</v>
      </c>
      <c r="PB84" s="20" t="n">
        <f aca="false">IF(H_Direct=1,IF(EO84&lt;=0,PA84-EO84*ANO83,PA84-MIN(MIN(EO84*ANO83,LN84+PA84),PA84)),PA84)</f>
        <v>0</v>
      </c>
      <c r="PC84" s="20" t="n">
        <f aca="false">IF(H_Direct=1,IF(EP84&lt;=0,PB84-EP84*ANP83,PB84-MIN(MIN(EP84*ANP83,LO84+PB84),PB84)),PB84)</f>
        <v>0</v>
      </c>
      <c r="PD84" s="20" t="n">
        <f aca="false">IF(H_Direct=1,IF(EQ84&lt;=0,PC84-EQ84*(P84+S84),PC84-MIN(MIN(EQ84*(P84+S84),LP84+PC84),PC84)),PC84)</f>
        <v>0</v>
      </c>
      <c r="PE84" s="20" t="n">
        <f aca="false">PD84</f>
        <v>0</v>
      </c>
      <c r="PF84" s="20" t="n">
        <f aca="false">PE84</f>
        <v>0</v>
      </c>
      <c r="PG84" s="20" t="n">
        <f aca="false">PF84</f>
        <v>0</v>
      </c>
      <c r="PH84" s="20" t="n">
        <f aca="false">PG84</f>
        <v>0</v>
      </c>
      <c r="PI84" s="20" t="n">
        <f aca="false">PH84</f>
        <v>0</v>
      </c>
      <c r="PJ84" s="20" t="n">
        <f aca="false">PI84</f>
        <v>0</v>
      </c>
      <c r="PK84" s="20" t="n">
        <f aca="false">PJ84</f>
        <v>0</v>
      </c>
      <c r="PL84" s="20" t="n">
        <f aca="false">PK84</f>
        <v>0</v>
      </c>
      <c r="PM84" s="20" t="n">
        <f aca="false">PL84</f>
        <v>0</v>
      </c>
      <c r="PN84" s="20" t="n">
        <f aca="false">PM84</f>
        <v>0</v>
      </c>
      <c r="PO84" s="20" t="n">
        <f aca="false">PN84</f>
        <v>0</v>
      </c>
      <c r="PP84" s="20" t="n">
        <f aca="false">PO84</f>
        <v>0</v>
      </c>
      <c r="PQ84" s="20" t="n">
        <f aca="false">PP84</f>
        <v>0</v>
      </c>
      <c r="PR84" s="20" t="n">
        <f aca="false">IF(H_Direct=1,IF(AKR83&lt;=0,0,IF(BR84&lt;=0,MIN(MAX(0,AB84),AKR83),MIN(MAX(0,AB84),AKR83-G84*MAX(0,BR84*AKR83-(H84+I84))))),MIN(FE84,MAX(0,AB84)))</f>
        <v>0</v>
      </c>
      <c r="PS84" s="20" t="n">
        <f aca="false">IF(H_Direct=1,IF(AKS83&lt;=0,0,IF(BS84&lt;=0,MIN(MAX(0,AB84-SUM(PR84:PR84)),AKS83),MIN(MAX(0,AB84-SUM(PR84:PR84)),AKS83-G84*MAX(0,BS84*AKS83-(WR84+AAE84))))),MIN(FF84,MAX(0,AB84-SUM(PR84:PR84))))</f>
        <v>0</v>
      </c>
      <c r="PT84" s="20" t="n">
        <f aca="false">IF(H_Direct=1,IF(AKT83&lt;=0,0,IF(BT84&lt;=0,MIN(MAX(0,AB84-SUM(PR84:PS84)),AKT83),MIN(MAX(0,AB84-SUM(PR84:PS84)),AKT83-G84*MAX(0,BT84*AKT83-(WS84+AAF84))))),MIN(FG84,MAX(0,AB84-SUM(PR84:PS84))))</f>
        <v>0</v>
      </c>
      <c r="PU84" s="20" t="n">
        <f aca="false">IF(H_Direct=1,IF(AKU83&lt;=0,0,IF(BU84&lt;=0,MIN(MAX(0,AB84-SUM(PR84:PT84)),AKU83),MIN(MAX(0,AB84-SUM(PR84:PT84)),AKU83-G84*MAX(0,BU84*AKU83-(WT84+AAG84))))),MIN(FH84,MAX(0,AB84-SUM(PR84:PT84))))</f>
        <v>0</v>
      </c>
      <c r="PV84" s="20" t="n">
        <f aca="false">IF(H_Direct=1,IF(AKV83&lt;=0,0,IF(BV84&lt;=0,MIN(MAX(0,AB84-SUM(PR84:PU84)),AKV83),MIN(MAX(0,AB84-SUM(PR84:PU84)),AKV83-G84*MAX(0,BV84*AKV83-(WU84+AAH84))))),MIN(FI84,MAX(0,AB84-SUM(PR84:PU84))))</f>
        <v>0</v>
      </c>
      <c r="PW84" s="20" t="n">
        <f aca="false">IF(H_Direct=1,IF(AKW83&lt;=0,0,IF(BW84&lt;=0,MIN(MAX(0,AB84-SUM(PR84:PV84)),AKW83),MIN(MAX(0,AB84-SUM(PR84:PV84)),AKW83-G84*MAX(0,BW84*AKW83-(WV84+AAI84))))),MIN(FJ84,MAX(0,AB84-SUM(PR84:PV84))))</f>
        <v>0</v>
      </c>
      <c r="PX84" s="20" t="n">
        <f aca="false">IF(H_Direct=1,IF(AKX83&lt;=0,0,IF(BX84&lt;=0,MIN(MAX(0,AB84-SUM(PR84:PW84)),AKX83),MIN(MAX(0,AB84-SUM(PR84:PW84)),AKX83-G84*MAX(0,BX84*AKX83-(WW84+AAJ84))))),MIN(FK84,MAX(0,AB84-SUM(PR84:PW84))))</f>
        <v>0</v>
      </c>
      <c r="PY84" s="20" t="n">
        <f aca="false">IF(H_Direct=1,IF(AKY83&lt;=0,0,IF(BY84&lt;=0,MIN(MAX(0,AB84-SUM(PR84:PX84)),AKY83),MIN(MAX(0,AB84-SUM(PR84:PX84)),AKY83-G84*MAX(0,BY84*AKY83-(WX84+AAK84))))),MIN(FL84,MAX(0,AB84-SUM(PR84:PX84))))</f>
        <v>0</v>
      </c>
      <c r="PZ84" s="20" t="n">
        <f aca="false">IF(H_Direct=1,IF(AKZ83&lt;=0,0,IF(BZ84&lt;=0,MIN(MAX(0,AB84-SUM(PR84:PY84)),AKZ83),MIN(MAX(0,AB84-SUM(PR84:PY84)),AKZ83-G84*MAX(0,BZ84*AKZ83-(WY84+AAL84))))),MIN(FM84,MAX(0,AB84-SUM(PR84:PY84))))</f>
        <v>0</v>
      </c>
      <c r="QA84" s="20" t="n">
        <f aca="false">IF(H_Direct=1,IF(ALA83&lt;=0,0,IF(CA84&lt;=0,MIN(MAX(0,AB84-SUM(PR84:PZ84)),ALA83),MIN(MAX(0,AB84-SUM(PR84:PZ84)),ALA83-G84*MAX(0,CA84*ALA83-(WZ84+AAM84))))),MIN(FN84,MAX(0,AB84-SUM(PR84:PZ84))))</f>
        <v>0</v>
      </c>
      <c r="QB84" s="20" t="n">
        <f aca="false">IF(H_Direct=1,IF(ALB83&lt;=0,0,IF(CB84&lt;=0,MIN(MAX(0,AB84-SUM(PR84:QA84)),ALB83),MIN(MAX(0,AB84-SUM(PR84:QA84)),ALB83-G84*MAX(0,CB84*ALB83-(XA84+AAN84))))),MIN(FO84,MAX(0,AB84-SUM(PR84:QA84))))</f>
        <v>0</v>
      </c>
      <c r="QC84" s="20" t="n">
        <f aca="false">IF(H_Direct=1,IF(ALC83&lt;=0,0,IF(CC84&lt;=0,MIN(MAX(0,AB84-SUM(PR84:QB84)),ALC83),MIN(MAX(0,AB84-SUM(PR84:QB84)),ALC83-G84*MAX(0,CC84*ALC83-(XB84+AAO84))))),MIN(FP84,MAX(0,AB84-SUM(PR84:QB84))))</f>
        <v>0</v>
      </c>
      <c r="QD84" s="20" t="n">
        <f aca="false">IF(H_Direct=1,IF(ALD83&lt;=0,0,IF(CD84&lt;=0,MIN(MAX(0,AB84-SUM(PR84:QC84)),ALD83),MIN(MAX(0,AB84-SUM(PR84:QC84)),ALD83-G84*MAX(0,CD84*ALD83-(XC84+AAP84))))),MIN(FQ84,MAX(0,AB84-SUM(PR84:QC84))))</f>
        <v>0</v>
      </c>
      <c r="QE84" s="20" t="n">
        <f aca="false">IF(H_Direct=1,IF(ALE83&lt;=0,0,IF(CE84&lt;=0,MIN(MAX(0,AB84-SUM(PR84:QD84)),ALE83),MIN(MAX(0,AB84-SUM(PR84:QD84)),ALE83-G84*MAX(0,CE84*ALE83-(XD84+AAQ84))))),MIN(FR84,MAX(0,AB84-SUM(PR84:QD84))))</f>
        <v>0</v>
      </c>
      <c r="QF84" s="20" t="n">
        <f aca="false">IF(H_Direct=1,IF(ALF83&lt;=0,0,IF(CF84&lt;=0,MIN(MAX(0,AB84-SUM(PR84:QE84)),ALF83),MIN(MAX(0,AB84-SUM(PR84:QE84)),ALF83-G84*MAX(0,CF84*ALF83-(XE84+AAR84))))),MIN(FS84,MAX(0,AB84-SUM(PR84:QE84))))</f>
        <v>0</v>
      </c>
      <c r="QG84" s="20" t="n">
        <f aca="false">IF(H_Direct=1,IF(ALG83&lt;=0,0,IF(CG84&lt;=0,MIN(MAX(0,AB84-SUM(PR84:QF84)),ALG83),MIN(MAX(0,AB84-SUM(PR84:QF84)),ALG83-G84*MAX(0,CG84*ALG83-(XF84+AAS84))))),MIN(FT84,MAX(0,AB84-SUM(PR84:QF84))))</f>
        <v>0</v>
      </c>
      <c r="QH84" s="20" t="n">
        <f aca="false">IF(H_Direct=1,IF(ALH83&lt;=0,0,IF(CH84&lt;=0,MIN(MAX(0,AB84-SUM(PR84:QG84)),ALH83),MIN(MAX(0,AB84-SUM(PR84:QG84)),ALH83-G84*MAX(0,CH84*ALH83-(XG84+AAT84))))),MIN(FU84,MAX(0,AB84-SUM(PR84:QG84))))</f>
        <v>0</v>
      </c>
      <c r="QI84" s="20" t="n">
        <f aca="false">IF(H_Direct=1,IF(ALI83&lt;=0,0,IF(CI84&lt;=0,MIN(MAX(0,AB84-SUM(PR84:QH84)),ALI83),MIN(MAX(0,AB84-SUM(PR84:QH84)),ALI83-G84*MAX(0,CI84*ALI83-(XH84+AAU84))))),MIN(FV84,MAX(0,AB84-SUM(PR84:QH84))))</f>
        <v>0</v>
      </c>
      <c r="QJ84" s="20" t="n">
        <f aca="false">IF(H_Direct=1,IF(ALJ83&lt;=0,0,IF(CJ84&lt;=0,MIN(MAX(0,AB84-SUM(PR84:QI84)),ALJ83),MIN(MAX(0,AB84-SUM(PR84:QI84)),ALJ83-G84*MAX(0,CJ84*ALJ83-(XI84+AAV84))))),MIN(FW84,MAX(0,AB84-SUM(PR84:QI84))))</f>
        <v>0</v>
      </c>
      <c r="QK84" s="20" t="n">
        <f aca="false">IF(H_Direct=1,IF(ALK83&lt;=0,0,IF(CK84&lt;=0,MIN(MAX(0,AB84-SUM(PR84:QJ84)),ALK83),MIN(MAX(0,AB84-SUM(PR84:QJ84)),ALK83-G84*MAX(0,CK84*ALK83-(XJ84+AAW84))))),MIN(FX84,MAX(0,AB84-SUM(PR84:QJ84))))</f>
        <v>0</v>
      </c>
      <c r="QL84" s="20" t="n">
        <f aca="false">IF(H_Direct=1,IF(ALL83&lt;=0,0,IF(CL84&lt;=0,MIN(MAX(0,AB84-SUM(PR84:QK84)),ALL83),MIN(MAX(0,AB84-SUM(PR84:QK84)),ALL83-G84*MAX(0,CL84*ALL83-(XK84+AAX84))))),MIN(FY84,MAX(0,AB84-SUM(PR84:QK84))))</f>
        <v>0</v>
      </c>
      <c r="QM84" s="20" t="n">
        <f aca="false">IF(H_Direct=1,IF(ALM83&lt;=0,0,IF(CM84&lt;=0,MIN(MAX(0,AB84-SUM(PR84:QL84)),ALM83),MIN(MAX(0,AB84-SUM(PR84:QL84)),ALM83-G84*MAX(0,CM84*ALM83-(XL84+AAY84))))),MIN(FZ84,MAX(0,AB84-SUM(PR84:QL84))))</f>
        <v>0</v>
      </c>
      <c r="QN84" s="20" t="n">
        <f aca="false">IF(H_Direct=1,IF(ALN83&lt;=0,0,IF(CN84&lt;=0,MIN(MAX(0,AB84-SUM(PR84:QM84)),ALN83),MIN(MAX(0,AB84-SUM(PR84:QM84)),ALN83-G84*MAX(0,CN84*ALN83-(XM84+AAZ84))))),MIN(GA84,MAX(0,AB84-SUM(PR84:QM84))))</f>
        <v>0</v>
      </c>
      <c r="QO84" s="20" t="n">
        <f aca="false">IF(H_Direct=1,IF(ALO83&lt;=0,0,IF(CO84&lt;=0,MIN(MAX(0,AB84-SUM(PR84:QN84)),ALO83),MIN(MAX(0,AB84-SUM(PR84:QN84)),ALO83-G84*MAX(0,CO84*ALO83-(XN84+ABA84))))),MIN(GB84,MAX(0,AB84-SUM(PR84:QN84))))</f>
        <v>0</v>
      </c>
      <c r="QP84" s="20" t="n">
        <f aca="false">IF(H_Direct=1,IF(ALP83&lt;=0,0,IF(CP84&lt;=0,MIN(MAX(0,AB84-SUM(PR84:QO84)),ALP83),MIN(MAX(0,AB84-SUM(PR84:QO84)),ALP83-G84*MAX(0,CP84*ALP83-(XO84+ABB84))))),MIN(GC84,MAX(0,AB84-SUM(PR84:QO84))))</f>
        <v>0</v>
      </c>
      <c r="QQ84" s="20" t="n">
        <f aca="false">IF(H_Direct=1,IF(ALQ83&lt;=0,0,IF(CQ84&lt;=0,MIN(MAX(0,AB84-SUM(PR84:QP84)),ALQ83),MIN(MAX(0,AB84-SUM(PR84:QP84)),ALQ83-G84*MAX(0,CQ84*ALQ83-(XP84+ABC84))))),MIN(GD84,MAX(0,AB84-SUM(PR84:QP84))))</f>
        <v>0</v>
      </c>
      <c r="QR84" s="20" t="n">
        <f aca="false">IF(H_Direct=1,IF(ALR83&lt;=0,0,IF(CR84&lt;=0,MIN(MAX(0,AB84-SUM(PR84:QQ84)),ALR83),MIN(MAX(0,AB84-SUM(PR84:QQ84)),ALR83-G84*MAX(0,CR84*ALR83-(XQ84+ABD84))))),MIN(GE84,MAX(0,AB84-SUM(PR84:QQ84))))</f>
        <v>0</v>
      </c>
      <c r="QS84" s="20" t="n">
        <f aca="false">IF(H_Direct=1,IF(ALS83&lt;=0,0,IF(CS84&lt;=0,MIN(MAX(0,AB84-SUM(PR84:QR84)),ALS83),MIN(MAX(0,AB84-SUM(PR84:QR84)),ALS83-G84*MAX(0,CS84*ALS83-(XR84+ABE84))))),MIN(GF84,MAX(0,AB84-SUM(PR84:QR84))))</f>
        <v>0</v>
      </c>
      <c r="QT84" s="20" t="n">
        <f aca="false">IF(H_Direct=1,IF(ALT83&lt;=0,0,IF(CT84&lt;=0,MIN(MAX(0,AB84-SUM(PR84:QS84)),ALT83),MIN(MAX(0,AB84-SUM(PR84:QS84)),ALT83-G84*MAX(0,CT84*ALT83-(XS84+ABF84))))),MIN(GG84,MAX(0,AB84-SUM(PR84:QS84))))</f>
        <v>0</v>
      </c>
      <c r="QU84" s="20" t="n">
        <f aca="false">IF(H_Direct=1,IF(ALU83&lt;=0,0,IF(CU84&lt;=0,MIN(MAX(0,AB84-SUM(PR84:QT84)),ALU83),MIN(MAX(0,AB84-SUM(PR84:QT84)),ALU83-G84*MAX(0,CU84*ALU83-(XT84+ABG84))))),MIN(GH84,MAX(0,AB84-SUM(PR84:QT84))))</f>
        <v>0</v>
      </c>
      <c r="QV84" s="20" t="n">
        <f aca="false">IF(H_Direct=1,IF(ALV83&lt;=0,0,IF(CV84&lt;=0,MIN(MAX(0,AB84-SUM(PR84:QU84)),ALV83),MIN(MAX(0,AB84-SUM(PR84:QU84)),ALV83-G84*MAX(0,CV84*ALV83-(XU84+ABH84))))),MIN(GI84,MAX(0,AB84-SUM(PR84:QU84))))</f>
        <v>0</v>
      </c>
      <c r="QW84" s="20" t="n">
        <f aca="false">IF(H_Direct=1,IF(ALW83&lt;=0,0,IF(CW84&lt;=0,MIN(MAX(0,AB84-SUM(PR84:QV84)),ALW83),MIN(MAX(0,AB84-SUM(PR84:QV84)),ALW83-G84*MAX(0,CW84*ALW83-(XV84+ABI84))))),MIN(GJ84,MAX(0,AB84-SUM(PR84:QV84))))</f>
        <v>0</v>
      </c>
      <c r="QX84" s="20" t="n">
        <f aca="false">IF(H_Direct=1,IF(ALX83&lt;=0,0,IF(CX84&lt;=0,MIN(MAX(0,AB84-SUM(PR84:QW84)),ALX83),MIN(MAX(0,AB84-SUM(PR84:QW84)),ALX83-G84*MAX(0,CX84*ALX83-(XW84+ABJ84))))),MIN(GK84,MAX(0,AB84-SUM(PR84:QW84))))</f>
        <v>0</v>
      </c>
      <c r="QY84" s="20" t="n">
        <f aca="false">IF(H_Direct=1,IF(ALY83&lt;=0,0,IF(CY84&lt;=0,MIN(MAX(0,AB84-SUM(PR84:QX84)),ALY83),MIN(MAX(0,AB84-SUM(PR84:QX84)),ALY83-G84*MAX(0,CY84*ALY83-(XX84+ABK84))))),MIN(GL84,MAX(0,AB84-SUM(PR84:QX84))))</f>
        <v>0</v>
      </c>
      <c r="QZ84" s="20" t="n">
        <f aca="false">IF(H_Direct=1,IF(ALZ83&lt;=0,0,IF(CZ84&lt;=0,MIN(MAX(0,AB84-SUM(PR84:QY84)),ALZ83),MIN(MAX(0,AB84-SUM(PR84:QY84)),ALZ83-G84*MAX(0,CZ84*ALZ83-(XY84+ABL84))))),MIN(GM84,MAX(0,AB84-SUM(PR84:QY84))))</f>
        <v>0</v>
      </c>
      <c r="RA84" s="20" t="n">
        <f aca="false">IF(H_Direct=1,IF(AMA83&lt;=0,0,IF(DA84&lt;=0,MIN(MAX(0,AB84-SUM(PR84:QZ84)),AMA83),MIN(MAX(0,AB84-SUM(PR84:QZ84)),AMA83-G84*MAX(0,DA84*AMA83-(XZ84+ABM84))))),MIN(GN84,MAX(0,AB84-SUM(PR84:QZ84))))</f>
        <v>0</v>
      </c>
      <c r="RB84" s="20" t="n">
        <f aca="false">IF(H_Direct=1,IF(AMB83&lt;=0,0,IF(DB84&lt;=0,MIN(MAX(0,AB84-SUM(PR84:RA84)),AMB83),MIN(MAX(0,AB84-SUM(PR84:RA84)),AMB83-G84*MAX(0,DB84*AMB83-(YA84+ABN84))))),MIN(GO84,MAX(0,AB84-SUM(PR84:RA84))))</f>
        <v>0</v>
      </c>
      <c r="RC84" s="20" t="n">
        <f aca="false">IF(H_Direct=1,IF(AMC83&lt;=0,0,IF(DC84&lt;=0,MIN(MAX(0,AB84-SUM(PR84:RB84)),AMC83),MIN(MAX(0,AB84-SUM(PR84:RB84)),AMC83-G84*MAX(0,DC84*AMC83-(YB84+ABO84))))),MIN(GP84,MAX(0,AB84-SUM(PR84:RB84))))</f>
        <v>0</v>
      </c>
      <c r="RD84" s="20" t="n">
        <f aca="false">IF(H_Direct=1,IF(AMD83&lt;=0,0,IF(DD84&lt;=0,MIN(MAX(0,AB84-SUM(PR84:RC84)),AMD83),MIN(MAX(0,AB84-SUM(PR84:RC84)),AMD83-G84*MAX(0,DD84*AMD83-(YC84+ABP84))))),MIN(GQ84,MAX(0,AB84-SUM(PR84:RC84))))</f>
        <v>0</v>
      </c>
      <c r="RE84" s="20" t="n">
        <f aca="false">IF(H_Direct=1,IF(AME83&lt;=0,0,IF(DE84&lt;=0,MIN(MAX(0,AB84-SUM(PR84:RD84)),AME83),MIN(MAX(0,AB84-SUM(PR84:RD84)),AME83-G84*MAX(0,DE84*AME83-(YD84+ABQ84))))),MIN(GR84,MAX(0,AB84-SUM(PR84:RD84))))</f>
        <v>0</v>
      </c>
      <c r="RF84" s="20" t="n">
        <f aca="false">IF(H_Direct=1,IF(AMF83&lt;=0,0,IF(DF84&lt;=0,MIN(MAX(0,AB84-SUM(PR84:RE84)),AMF83),MIN(MAX(0,AB84-SUM(PR84:RE84)),AMF83-G84*MAX(0,DF84*AMF83-(YE84+ABR84))))),MIN(GS84,MAX(0,AB84-SUM(PR84:RE84))))</f>
        <v>0</v>
      </c>
      <c r="RG84" s="20" t="n">
        <f aca="false">IF(H_Direct=1,IF(AMG83&lt;=0,0,IF(DG84&lt;=0,MIN(MAX(0,AB84-SUM(PR84:RF84)),AMG83),MIN(MAX(0,AB84-SUM(PR84:RF84)),AMG83-G84*MAX(0,DG84*AMG83-(YF84+ABS84))))),MIN(GT84,MAX(0,AB84-SUM(PR84:RF84))))</f>
        <v>0</v>
      </c>
      <c r="RH84" s="20" t="n">
        <f aca="false">IF(H_Direct=1,IF(AMH83&lt;=0,0,IF(DH84&lt;=0,MIN(MAX(0,AB84-SUM(PR84:RG84)),AMH83),MIN(MAX(0,AB84-SUM(PR84:RG84)),AMH83-G84*MAX(0,DH84*AMH83-(YG84+ABT84))))),MIN(GU84,MAX(0,AB84-SUM(PR84:RG84))))</f>
        <v>0</v>
      </c>
      <c r="RI84" s="20" t="n">
        <f aca="false">IF(H_Direct=1,IF(AMI83&lt;=0,0,IF(DI84&lt;=0,MIN(MAX(0,AB84-SUM(PR84:RH84)),AMI83),MIN(MAX(0,AB84-SUM(PR84:RH84)),AMI83-G84*MAX(0,DI84*AMI83-(YH84+ABU84))))),MIN(GV84,MAX(0,AB84-SUM(PR84:RH84))))</f>
        <v>0</v>
      </c>
      <c r="RJ84" s="20" t="n">
        <f aca="false">IF(H_Direct=1,IF(AMJ83&lt;=0,0,IF(DJ84&lt;=0,MIN(MAX(0,AB84-SUM(PR84:RI84)),AMJ83),MIN(MAX(0,AB84-SUM(PR84:RI84)),AMJ83-G84*MAX(0,DJ84*AMJ83-(YI84+ABV84))))),MIN(GW84,MAX(0,AB84-SUM(PR84:RI84))))</f>
        <v>0</v>
      </c>
      <c r="RK84" s="20" t="n">
        <f aca="false">IF(H_Direct=1,IF(AMK83&lt;=0,0,IF(DK84&lt;=0,MIN(MAX(0,AB84-SUM(PR84:RJ84)),AMK83),MIN(MAX(0,AB84-SUM(PR84:RJ84)),AMK83-G84*MAX(0,DK84*AMK83-(YJ84+ABW84))))),MIN(GX84,MAX(0,AB84-SUM(PR84:RJ84))))</f>
        <v>0</v>
      </c>
      <c r="RL84" s="20" t="n">
        <f aca="false">IF(H_Direct=1,IF(AML83&lt;=0,0,IF(DL84&lt;=0,MIN(MAX(0,AB84-SUM(PR84:RK84)),AML83),MIN(MAX(0,AB84-SUM(PR84:RK84)),AML83-G84*MAX(0,DL84*AML83-(YK84+ABX84))))),MIN(GY84,MAX(0,AB84-SUM(PR84:RK84))))</f>
        <v>0</v>
      </c>
      <c r="RM84" s="20" t="n">
        <f aca="false">IF(H_Direct=1,IF(AMM83&lt;=0,0,IF(DM84&lt;=0,MIN(MAX(0,AB84-SUM(PR84:RL84)),AMM83),MIN(MAX(0,AB84-SUM(PR84:RL84)),AMM83-G84*MAX(0,DM84*AMM83-(YL84+ABY84))))),MIN(GZ84,MAX(0,AB84-SUM(PR84:RL84))))</f>
        <v>0</v>
      </c>
      <c r="RN84" s="20" t="n">
        <f aca="false">IF(H_Direct=1,IF(AMN83&lt;=0,0,IF(DN84&lt;=0,MIN(MAX(0,AB84-SUM(PR84:RM84)),AMN83),MIN(MAX(0,AB84-SUM(PR84:RM84)),AMN83-G84*MAX(0,DN84*AMN83-(YM84+ABZ84))))),MIN(HA84,MAX(0,AB84-SUM(PR84:RM84))))</f>
        <v>0</v>
      </c>
      <c r="RO84" s="20" t="n">
        <f aca="false">IF(H_Direct=1,IF(AMO83&lt;=0,0,IF(DO84&lt;=0,MIN(MAX(0,AB84-SUM(PR84:RN84)),AMO83),MIN(MAX(0,AB84-SUM(PR84:RN84)),AMO83-G84*MAX(0,DO84*AMO83-(YN84+ACA84))))),MIN(HB84,MAX(0,AB84-SUM(PR84:RN84))))</f>
        <v>0</v>
      </c>
      <c r="RP84" s="20" t="n">
        <f aca="false">IF(H_Direct=1,IF(AMP83&lt;=0,0,IF(DP84&lt;=0,MIN(MAX(0,AB84-SUM(PR84:RO84)),AMP83),MIN(MAX(0,AB84-SUM(PR84:RO84)),AMP83-G84*MAX(0,DP84*AMP83-(YO84+ACB84))))),MIN(HC84,MAX(0,AB84-SUM(PR84:RO84))))</f>
        <v>0</v>
      </c>
      <c r="RQ84" s="20" t="n">
        <f aca="false">IF(H_Direct=1,IF(AMQ83&lt;=0,0,IF(DQ84&lt;=0,MIN(MAX(0,AB84-SUM(PR84:RP84)),AMQ83),MIN(MAX(0,AB84-SUM(PR84:RP84)),AMQ83-G84*MAX(0,DQ84*AMQ83-(YP84+ACC84))))),MIN(HD84,MAX(0,AB84-SUM(PR84:RP84))))</f>
        <v>0</v>
      </c>
      <c r="RR84" s="20" t="n">
        <f aca="false">IF(H_Direct=1,IF(AMR83&lt;=0,0,IF(DR84&lt;=0,MIN(MAX(0,AB84-SUM(PR84:RQ84)),AMR83),MIN(MAX(0,AB84-SUM(PR84:RQ84)),AMR83-G84*MAX(0,DR84*AMR83-(YQ84+ACD84))))),MIN(HE84,MAX(0,AB84-SUM(PR84:RQ84))))</f>
        <v>0</v>
      </c>
      <c r="RS84" s="20" t="n">
        <f aca="false">IF(H_Direct=1,IF(AMS83&lt;=0,0,IF(DS84&lt;=0,MIN(MAX(0,AB84-SUM(PR84:RR84)),AMS83),MIN(MAX(0,AB84-SUM(PR84:RR84)),AMS83-G84*MAX(0,DS84*AMS83-(YR84+ACE84))))),MIN(HF84,MAX(0,AB84-SUM(PR84:RR84))))</f>
        <v>0</v>
      </c>
      <c r="RT84" s="20" t="n">
        <f aca="false">IF(H_Direct=1,IF(AMT83&lt;=0,0,IF(DT84&lt;=0,MIN(MAX(0,AB84-SUM(PR84:RS84)),AMT83),MIN(MAX(0,AB84-SUM(PR84:RS84)),AMT83-G84*MAX(0,DT84*AMT83-(YS84+ACF84))))),MIN(HG84,MAX(0,AB84-SUM(PR84:RS84))))</f>
        <v>0</v>
      </c>
      <c r="RU84" s="20" t="n">
        <f aca="false">IF(H_Direct=1,IF(AMU83&lt;=0,0,IF(DU84&lt;=0,MIN(MAX(0,AB84-SUM(PR84:RT84)),AMU83),MIN(MAX(0,AB84-SUM(PR84:RT84)),AMU83-G84*MAX(0,DU84*AMU83-(YT84+ACG84))))),MIN(HH84,MAX(0,AB84-SUM(PR84:RT84))))</f>
        <v>0</v>
      </c>
      <c r="RV84" s="20" t="n">
        <f aca="false">IF(H_Direct=1,IF(AMV83&lt;=0,0,IF(DV84&lt;=0,MIN(MAX(0,AB84-SUM(PR84:RU84)),AMV83),MIN(MAX(0,AB84-SUM(PR84:RU84)),AMV83-G84*MAX(0,DV84*AMV83-(YU84+ACH84))))),MIN(HI84,MAX(0,AB84-SUM(PR84:RU84))))</f>
        <v>0</v>
      </c>
      <c r="RW84" s="20" t="n">
        <f aca="false">IF(H_Direct=1,IF(AMW83&lt;=0,0,IF(DW84&lt;=0,MIN(MAX(0,AB84-SUM(PR84:RV84)),AMW83),MIN(MAX(0,AB84-SUM(PR84:RV84)),AMW83-G84*MAX(0,DW84*AMW83-(YV84+ACI84))))),MIN(HJ84,MAX(0,AB84-SUM(PR84:RV84))))</f>
        <v>0</v>
      </c>
      <c r="RX84" s="20" t="n">
        <f aca="false">IF(H_Direct=1,IF(AMX83&lt;=0,0,IF(DX84&lt;=0,MIN(MAX(0,AB84-SUM(PR84:RW84)),AMX83),MIN(MAX(0,AB84-SUM(PR84:RW84)),AMX83-G84*MAX(0,DX84*AMX83-(YW84+ACJ84))))),MIN(HK84,MAX(0,AB84-SUM(PR84:RW84))))</f>
        <v>0</v>
      </c>
      <c r="RY84" s="20" t="n">
        <f aca="false">IF(H_Direct=1,IF(AMY83&lt;=0,0,IF(DY84&lt;=0,MIN(MAX(0,AB84-SUM(PR84:RX84)),AMY83),MIN(MAX(0,AB84-SUM(PR84:RX84)),AMY83-G84*MAX(0,DY84*AMY83-(YX84+ACK84))))),MIN(HL84,MAX(0,AB84-SUM(PR84:RX84))))</f>
        <v>0</v>
      </c>
      <c r="RZ84" s="20" t="n">
        <f aca="false">IF(H_Direct=1,IF(AMZ83&lt;=0,0,IF(DZ84&lt;=0,MIN(MAX(0,AB84-SUM(PR84:RY84)),AMZ83),MIN(MAX(0,AB84-SUM(PR84:RY84)),AMZ83-G84*MAX(0,DZ84*AMZ83-(YY84+ACL84))))),MIN(HM84,MAX(0,AB84-SUM(PR84:RY84))))</f>
        <v>0</v>
      </c>
      <c r="SA84" s="20" t="n">
        <f aca="false">IF(H_Direct=1,IF(ANA83&lt;=0,0,IF(EA84&lt;=0,MIN(MAX(0,AB84-SUM(PR84:RZ84)),ANA83),MIN(MAX(0,AB84-SUM(PR84:RZ84)),ANA83-G84*MAX(0,EA84*ANA83-(YZ84+ACM84))))),MIN(HN84,MAX(0,AB84-SUM(PR84:RZ84))))</f>
        <v>0</v>
      </c>
      <c r="SB84" s="20" t="n">
        <f aca="false">IF(H_Direct=1,IF(ANB83&lt;=0,0,IF(EB84&lt;=0,MIN(MAX(0,AB84-SUM(PR84:SA84)),ANB83),MIN(MAX(0,AB84-SUM(PR84:SA84)),ANB83-G84*MAX(0,EB84*ANB83-(ZA84+ACN84))))),MIN(HO84,MAX(0,AB84-SUM(PR84:SA84))))</f>
        <v>0</v>
      </c>
      <c r="SC84" s="20" t="n">
        <f aca="false">IF(H_Direct=1,IF(ANC83&lt;=0,0,IF(EC84&lt;=0,MIN(MAX(0,AB84-SUM(PR84:SB84)),ANC83),MIN(MAX(0,AB84-SUM(PR84:SB84)),ANC83-G84*MAX(0,EC84*ANC83-(ZB84+ACO84))))),MIN(HP84,MAX(0,AB84-SUM(PR84:SB84))))</f>
        <v>0</v>
      </c>
      <c r="SD84" s="20" t="n">
        <f aca="false">IF(H_Direct=1,IF(AND83&lt;=0,0,IF(ED84&lt;=0,MIN(MAX(0,AB84-SUM(PR84:SC84)),AND83),MIN(MAX(0,AB84-SUM(PR84:SC84)),AND83-G84*MAX(0,ED84*AND83-(ZC84+ACP84))))),MIN(HQ84,MAX(0,AB84-SUM(PR84:SC84))))</f>
        <v>0</v>
      </c>
      <c r="SE84" s="20" t="n">
        <f aca="false">IF(H_Direct=1,IF(ANE83&lt;=0,0,IF(EE84&lt;=0,MIN(MAX(0,AB84-SUM(PR84:SD84)),ANE83),MIN(MAX(0,AB84-SUM(PR84:SD84)),ANE83-G84*MAX(0,EE84*ANE83-(ZD84+ACQ84))))),MIN(HR84,MAX(0,AB84-SUM(PR84:SD84))))</f>
        <v>0</v>
      </c>
      <c r="SF84" s="20" t="n">
        <f aca="false">IF(H_Direct=1,IF(ANF83&lt;=0,0,IF(EF84&lt;=0,MIN(MAX(0,AB84-SUM(PR84:SE84)),ANF83),MIN(MAX(0,AB84-SUM(PR84:SE84)),ANF83-G84*MAX(0,EF84*ANF83-(ZE84+ACR84))))),MIN(HS84,MAX(0,AB84-SUM(PR84:SE84))))</f>
        <v>0</v>
      </c>
      <c r="SG84" s="20" t="n">
        <f aca="false">IF(H_Direct=1,IF(ANG83&lt;=0,0,IF(EG84&lt;=0,MIN(MAX(0,AB84-SUM(PR84:SF84)),ANG83),MIN(MAX(0,AB84-SUM(PR84:SF84)),ANG83-G84*MAX(0,EG84*ANG83-(ZF84+ACS84))))),MIN(HT84,MAX(0,AB84-SUM(PR84:SF84))))</f>
        <v>0</v>
      </c>
      <c r="SH84" s="20" t="n">
        <f aca="false">IF(H_Direct=1,IF(ANH83&lt;=0,0,IF(EH84&lt;=0,MIN(MAX(0,AB84-SUM(PR84:SG84)),ANH83),MIN(MAX(0,AB84-SUM(PR84:SG84)),ANH83-G84*MAX(0,EH84*ANH83-(ZG84+ACT84))))),MIN(HU84,MAX(0,AB84-SUM(PR84:SG84))))</f>
        <v>0</v>
      </c>
      <c r="SI84" s="20" t="n">
        <f aca="false">IF(H_Direct=1,IF(ANI83&lt;=0,0,IF(EI84&lt;=0,MIN(MAX(0,AB84-SUM(PR84:SH84)),ANI83),MIN(MAX(0,AB84-SUM(PR84:SH84)),ANI83-G84*MAX(0,EI84*ANI83-(ZH84+ACU84))))),MIN(HV84,MAX(0,AB84-SUM(PR84:SH84))))</f>
        <v>0</v>
      </c>
      <c r="SJ84" s="20" t="n">
        <f aca="false">IF(H_Direct=1,IF(ANJ83&lt;=0,0,IF(EJ84&lt;=0,MIN(MAX(0,AB84-SUM(PR84:SI84)),ANJ83),MIN(MAX(0,AB84-SUM(PR84:SI84)),ANJ83-G84*MAX(0,EJ84*ANJ83-(ZI84+ACV84))))),MIN(HW84,MAX(0,AB84-SUM(PR84:SI84))))</f>
        <v>0</v>
      </c>
      <c r="SK84" s="20" t="n">
        <f aca="false">IF(H_Direct=1,IF(ANK83&lt;=0,0,IF(EK84&lt;=0,MIN(MAX(0,AB84-SUM(PR84:SJ84)),ANK83),MIN(MAX(0,AB84-SUM(PR84:SJ84)),ANK83-G84*MAX(0,EK84*ANK83-(ZJ84+ACW84))))),MIN(HX84,MAX(0,AB84-SUM(PR84:SJ84))))</f>
        <v>0</v>
      </c>
      <c r="SL84" s="20" t="n">
        <f aca="false">IF(H_Direct=1,IF(ANL83&lt;=0,0,IF(EL84&lt;=0,MIN(MAX(0,AB84-SUM(PR84:SK84)),ANL83),MIN(MAX(0,AB84-SUM(PR84:SK84)),ANL83-G84*MAX(0,EL84*ANL83-(ZK84+ACX84))))),MIN(HY84,MAX(0,AB84-SUM(PR84:SK84))))</f>
        <v>0</v>
      </c>
      <c r="SM84" s="20" t="n">
        <f aca="false">IF(H_Direct=1,IF(ANM83&lt;=0,0,IF(EM84&lt;=0,MIN(MAX(0,AB84-SUM(PR84:SL84)),ANM83),MIN(MAX(0,AB84-SUM(PR84:SL84)),ANM83-G84*MAX(0,EM84*ANM83-(ZL84+ACY84))))),MIN(HZ84,MAX(0,AB84-SUM(PR84:SL84))))</f>
        <v>0</v>
      </c>
      <c r="SN84" s="20" t="n">
        <f aca="false">IF(H_Direct=1,IF(ANN83&lt;=0,0,IF(EN84&lt;=0,MIN(MAX(0,AB84-SUM(PR84:SM84)),ANN83),MIN(MAX(0,AB84-SUM(PR84:SM84)),ANN83-G84*MAX(0,EN84*ANN83-(ZM84+ACZ84))))),MIN(IA84,MAX(0,AB84-SUM(PR84:SM84))))</f>
        <v>0</v>
      </c>
      <c r="SO84" s="20" t="n">
        <f aca="false">IF(H_Direct=1,IF(ANO83&lt;=0,0,IF(EO84&lt;=0,MIN(MAX(0,AB84-SUM(PR84:SN84)),ANO83),MIN(MAX(0,AB84-SUM(PR84:SN84)),ANO83-G84*MAX(0,EO84*ANO83-(ZN84+ADA84))))),MIN(IB84,MAX(0,AB84-SUM(PR84:SN84))))</f>
        <v>0</v>
      </c>
      <c r="SP84" s="20" t="n">
        <f aca="false">IF(H_Direct=1,IF(ANP83&lt;=0,0,IF(EP84&lt;=0,MIN(MAX(0,AB84-SUM(PR84:SO84)),ANP83),MIN(MAX(0,AB84-SUM(PR84:SO84)),ANP83-G84*MAX(0,EP84*ANP83-(ZO84+ADB84))))),MIN(IC84,MAX(0,AB84-SUM(PR84:SO84))))</f>
        <v>0</v>
      </c>
      <c r="SQ84" s="20" t="n">
        <f aca="false">IF(H_Direct=1,IF((P84+S84)&lt;=0,0,IF(EQ84&lt;=0,MIN(MAX(0,AB84-SUM(PR84:SP84)),(P84+S84)),MIN(MAX(0,AB84-SUM(PR84:SP84)),(P84+S84)-G84*MAX(0,EQ84*(P84+S84)-(ZP84+ADC84))))),MIN(ID84,MAX(0,AB84-SUM(PR84:SP84))))</f>
        <v>0</v>
      </c>
      <c r="SR84" s="20" t="n">
        <v>0</v>
      </c>
      <c r="SS84" s="20" t="n">
        <v>0</v>
      </c>
      <c r="ST84" s="20" t="n">
        <v>0</v>
      </c>
      <c r="SU84" s="20" t="n">
        <v>0</v>
      </c>
      <c r="SV84" s="20" t="n">
        <v>0</v>
      </c>
      <c r="SW84" s="20" t="n">
        <v>0</v>
      </c>
      <c r="SX84" s="20" t="n">
        <v>0</v>
      </c>
      <c r="SY84" s="20" t="n">
        <v>0</v>
      </c>
      <c r="SZ84" s="20" t="n">
        <v>0</v>
      </c>
      <c r="TA84" s="20" t="n">
        <v>0</v>
      </c>
      <c r="TB84" s="20" t="n">
        <v>0</v>
      </c>
      <c r="TC84" s="20" t="n">
        <v>0</v>
      </c>
      <c r="TD84" s="20" t="n">
        <v>0</v>
      </c>
      <c r="TE84" s="20" t="n">
        <f aca="false">IF(AKR83&lt;=0,0,IF(H_Direct=1,IF(BR84&lt;=0,PR84,IF(PR84&lt;=(H84+I84)/BR84,PR84,(PR84-G84*(H84+I84))/(1-G84*BR84))),PR84/(1-MAX(0,BR84)*H_Exit)))</f>
        <v>0</v>
      </c>
      <c r="TF84" s="20" t="n">
        <f aca="false">IF(AKS83&lt;=0,0,IF(H_Direct=1,IF(BS84&lt;=0,PS84,IF(PS84&lt;=(WR84+AAE84)/BS84,PS84,(PS84-G84*(WR84+AAE84))/(1-G84*BS84))),PS84/(1-MAX(0,BS84)*H_Exit)))</f>
        <v>0</v>
      </c>
      <c r="TG84" s="20" t="n">
        <f aca="false">IF(AKT83&lt;=0,0,IF(H_Direct=1,IF(BT84&lt;=0,PT84,IF(PT84&lt;=(WS84+AAF84)/BT84,PT84,(PT84-G84*(WS84+AAF84))/(1-G84*BT84))),PT84/(1-MAX(0,BT84)*H_Exit)))</f>
        <v>0</v>
      </c>
      <c r="TH84" s="20" t="n">
        <f aca="false">IF(AKU83&lt;=0,0,IF(H_Direct=1,IF(BU84&lt;=0,PU84,IF(PU84&lt;=(WT84+AAG84)/BU84,PU84,(PU84-G84*(WT84+AAG84))/(1-G84*BU84))),PU84/(1-MAX(0,BU84)*H_Exit)))</f>
        <v>0</v>
      </c>
      <c r="TI84" s="20" t="n">
        <f aca="false">IF(AKV83&lt;=0,0,IF(H_Direct=1,IF(BV84&lt;=0,PV84,IF(PV84&lt;=(WU84+AAH84)/BV84,PV84,(PV84-G84*(WU84+AAH84))/(1-G84*BV84))),PV84/(1-MAX(0,BV84)*H_Exit)))</f>
        <v>0</v>
      </c>
      <c r="TJ84" s="20" t="n">
        <f aca="false">IF(AKW83&lt;=0,0,IF(H_Direct=1,IF(BW84&lt;=0,PW84,IF(PW84&lt;=(WV84+AAI84)/BW84,PW84,(PW84-G84*(WV84+AAI84))/(1-G84*BW84))),PW84/(1-MAX(0,BW84)*H_Exit)))</f>
        <v>0</v>
      </c>
      <c r="TK84" s="20" t="n">
        <f aca="false">IF(AKX83&lt;=0,0,IF(H_Direct=1,IF(BX84&lt;=0,PX84,IF(PX84&lt;=(WW84+AAJ84)/BX84,PX84,(PX84-G84*(WW84+AAJ84))/(1-G84*BX84))),PX84/(1-MAX(0,BX84)*H_Exit)))</f>
        <v>0</v>
      </c>
      <c r="TL84" s="20" t="n">
        <f aca="false">IF(AKY83&lt;=0,0,IF(H_Direct=1,IF(BY84&lt;=0,PY84,IF(PY84&lt;=(WX84+AAK84)/BY84,PY84,(PY84-G84*(WX84+AAK84))/(1-G84*BY84))),PY84/(1-MAX(0,BY84)*H_Exit)))</f>
        <v>0</v>
      </c>
      <c r="TM84" s="20" t="n">
        <f aca="false">IF(AKZ83&lt;=0,0,IF(H_Direct=1,IF(BZ84&lt;=0,PZ84,IF(PZ84&lt;=(WY84+AAL84)/BZ84,PZ84,(PZ84-G84*(WY84+AAL84))/(1-G84*BZ84))),PZ84/(1-MAX(0,BZ84)*H_Exit)))</f>
        <v>0</v>
      </c>
      <c r="TN84" s="20" t="n">
        <f aca="false">IF(ALA83&lt;=0,0,IF(H_Direct=1,IF(CA84&lt;=0,QA84,IF(QA84&lt;=(WZ84+AAM84)/CA84,QA84,(QA84-G84*(WZ84+AAM84))/(1-G84*CA84))),QA84/(1-MAX(0,CA84)*H_Exit)))</f>
        <v>0</v>
      </c>
      <c r="TO84" s="20" t="n">
        <f aca="false">IF(ALB83&lt;=0,0,IF(H_Direct=1,IF(CB84&lt;=0,QB84,IF(QB84&lt;=(XA84+AAN84)/CB84,QB84,(QB84-G84*(XA84+AAN84))/(1-G84*CB84))),QB84/(1-MAX(0,CB84)*H_Exit)))</f>
        <v>0</v>
      </c>
      <c r="TP84" s="20" t="n">
        <f aca="false">IF(ALC83&lt;=0,0,IF(H_Direct=1,IF(CC84&lt;=0,QC84,IF(QC84&lt;=(XB84+AAO84)/CC84,QC84,(QC84-G84*(XB84+AAO84))/(1-G84*CC84))),QC84/(1-MAX(0,CC84)*H_Exit)))</f>
        <v>0</v>
      </c>
      <c r="TQ84" s="20" t="n">
        <f aca="false">IF(ALD83&lt;=0,0,IF(H_Direct=1,IF(CD84&lt;=0,QD84,IF(QD84&lt;=(XC84+AAP84)/CD84,QD84,(QD84-G84*(XC84+AAP84))/(1-G84*CD84))),QD84/(1-MAX(0,CD84)*H_Exit)))</f>
        <v>0</v>
      </c>
      <c r="TR84" s="20" t="n">
        <f aca="false">IF(ALE83&lt;=0,0,IF(H_Direct=1,IF(CE84&lt;=0,QE84,IF(QE84&lt;=(XD84+AAQ84)/CE84,QE84,(QE84-G84*(XD84+AAQ84))/(1-G84*CE84))),QE84/(1-MAX(0,CE84)*H_Exit)))</f>
        <v>0</v>
      </c>
      <c r="TS84" s="20" t="n">
        <f aca="false">IF(ALF83&lt;=0,0,IF(H_Direct=1,IF(CF84&lt;=0,QF84,IF(QF84&lt;=(XE84+AAR84)/CF84,QF84,(QF84-G84*(XE84+AAR84))/(1-G84*CF84))),QF84/(1-MAX(0,CF84)*H_Exit)))</f>
        <v>0</v>
      </c>
      <c r="TT84" s="20" t="n">
        <f aca="false">IF(ALG83&lt;=0,0,IF(H_Direct=1,IF(CG84&lt;=0,QG84,IF(QG84&lt;=(XF84+AAS84)/CG84,QG84,(QG84-G84*(XF84+AAS84))/(1-G84*CG84))),QG84/(1-MAX(0,CG84)*H_Exit)))</f>
        <v>0</v>
      </c>
      <c r="TU84" s="20" t="n">
        <f aca="false">IF(ALH83&lt;=0,0,IF(H_Direct=1,IF(CH84&lt;=0,QH84,IF(QH84&lt;=(XG84+AAT84)/CH84,QH84,(QH84-G84*(XG84+AAT84))/(1-G84*CH84))),QH84/(1-MAX(0,CH84)*H_Exit)))</f>
        <v>0</v>
      </c>
      <c r="TV84" s="20" t="n">
        <f aca="false">IF(ALI83&lt;=0,0,IF(H_Direct=1,IF(CI84&lt;=0,QI84,IF(QI84&lt;=(XH84+AAU84)/CI84,QI84,(QI84-G84*(XH84+AAU84))/(1-G84*CI84))),QI84/(1-MAX(0,CI84)*H_Exit)))</f>
        <v>0</v>
      </c>
      <c r="TW84" s="20" t="n">
        <f aca="false">IF(ALJ83&lt;=0,0,IF(H_Direct=1,IF(CJ84&lt;=0,QJ84,IF(QJ84&lt;=(XI84+AAV84)/CJ84,QJ84,(QJ84-G84*(XI84+AAV84))/(1-G84*CJ84))),QJ84/(1-MAX(0,CJ84)*H_Exit)))</f>
        <v>0</v>
      </c>
      <c r="TX84" s="20" t="n">
        <f aca="false">IF(ALK83&lt;=0,0,IF(H_Direct=1,IF(CK84&lt;=0,QK84,IF(QK84&lt;=(XJ84+AAW84)/CK84,QK84,(QK84-G84*(XJ84+AAW84))/(1-G84*CK84))),QK84/(1-MAX(0,CK84)*H_Exit)))</f>
        <v>0</v>
      </c>
      <c r="TY84" s="20" t="n">
        <f aca="false">IF(ALL83&lt;=0,0,IF(H_Direct=1,IF(CL84&lt;=0,QL84,IF(QL84&lt;=(XK84+AAX84)/CL84,QL84,(QL84-G84*(XK84+AAX84))/(1-G84*CL84))),QL84/(1-MAX(0,CL84)*H_Exit)))</f>
        <v>0</v>
      </c>
      <c r="TZ84" s="20" t="n">
        <f aca="false">IF(ALM83&lt;=0,0,IF(H_Direct=1,IF(CM84&lt;=0,QM84,IF(QM84&lt;=(XL84+AAY84)/CM84,QM84,(QM84-G84*(XL84+AAY84))/(1-G84*CM84))),QM84/(1-MAX(0,CM84)*H_Exit)))</f>
        <v>0</v>
      </c>
      <c r="UA84" s="20" t="n">
        <f aca="false">IF(ALN83&lt;=0,0,IF(H_Direct=1,IF(CN84&lt;=0,QN84,IF(QN84&lt;=(XM84+AAZ84)/CN84,QN84,(QN84-G84*(XM84+AAZ84))/(1-G84*CN84))),QN84/(1-MAX(0,CN84)*H_Exit)))</f>
        <v>0</v>
      </c>
      <c r="UB84" s="20" t="n">
        <f aca="false">IF(ALO83&lt;=0,0,IF(H_Direct=1,IF(CO84&lt;=0,QO84,IF(QO84&lt;=(XN84+ABA84)/CO84,QO84,(QO84-G84*(XN84+ABA84))/(1-G84*CO84))),QO84/(1-MAX(0,CO84)*H_Exit)))</f>
        <v>0</v>
      </c>
      <c r="UC84" s="20" t="n">
        <f aca="false">IF(ALP83&lt;=0,0,IF(H_Direct=1,IF(CP84&lt;=0,QP84,IF(QP84&lt;=(XO84+ABB84)/CP84,QP84,(QP84-G84*(XO84+ABB84))/(1-G84*CP84))),QP84/(1-MAX(0,CP84)*H_Exit)))</f>
        <v>0</v>
      </c>
      <c r="UD84" s="20" t="n">
        <f aca="false">IF(ALQ83&lt;=0,0,IF(H_Direct=1,IF(CQ84&lt;=0,QQ84,IF(QQ84&lt;=(XP84+ABC84)/CQ84,QQ84,(QQ84-G84*(XP84+ABC84))/(1-G84*CQ84))),QQ84/(1-MAX(0,CQ84)*H_Exit)))</f>
        <v>0</v>
      </c>
      <c r="UE84" s="20" t="n">
        <f aca="false">IF(ALR83&lt;=0,0,IF(H_Direct=1,IF(CR84&lt;=0,QR84,IF(QR84&lt;=(XQ84+ABD84)/CR84,QR84,(QR84-G84*(XQ84+ABD84))/(1-G84*CR84))),QR84/(1-MAX(0,CR84)*H_Exit)))</f>
        <v>0</v>
      </c>
      <c r="UF84" s="20" t="n">
        <f aca="false">IF(ALS83&lt;=0,0,IF(H_Direct=1,IF(CS84&lt;=0,QS84,IF(QS84&lt;=(XR84+ABE84)/CS84,QS84,(QS84-G84*(XR84+ABE84))/(1-G84*CS84))),QS84/(1-MAX(0,CS84)*H_Exit)))</f>
        <v>0</v>
      </c>
      <c r="UG84" s="20" t="n">
        <f aca="false">IF(ALT83&lt;=0,0,IF(H_Direct=1,IF(CT84&lt;=0,QT84,IF(QT84&lt;=(XS84+ABF84)/CT84,QT84,(QT84-G84*(XS84+ABF84))/(1-G84*CT84))),QT84/(1-MAX(0,CT84)*H_Exit)))</f>
        <v>0</v>
      </c>
      <c r="UH84" s="20" t="n">
        <f aca="false">IF(ALU83&lt;=0,0,IF(H_Direct=1,IF(CU84&lt;=0,QU84,IF(QU84&lt;=(XT84+ABG84)/CU84,QU84,(QU84-G84*(XT84+ABG84))/(1-G84*CU84))),QU84/(1-MAX(0,CU84)*H_Exit)))</f>
        <v>0</v>
      </c>
      <c r="UI84" s="20" t="n">
        <f aca="false">IF(ALV83&lt;=0,0,IF(H_Direct=1,IF(CV84&lt;=0,QV84,IF(QV84&lt;=(XU84+ABH84)/CV84,QV84,(QV84-G84*(XU84+ABH84))/(1-G84*CV84))),QV84/(1-MAX(0,CV84)*H_Exit)))</f>
        <v>0</v>
      </c>
      <c r="UJ84" s="20" t="n">
        <f aca="false">IF(ALW83&lt;=0,0,IF(H_Direct=1,IF(CW84&lt;=0,QW84,IF(QW84&lt;=(XV84+ABI84)/CW84,QW84,(QW84-G84*(XV84+ABI84))/(1-G84*CW84))),QW84/(1-MAX(0,CW84)*H_Exit)))</f>
        <v>0</v>
      </c>
      <c r="UK84" s="20" t="n">
        <f aca="false">IF(ALX83&lt;=0,0,IF(H_Direct=1,IF(CX84&lt;=0,QX84,IF(QX84&lt;=(XW84+ABJ84)/CX84,QX84,(QX84-G84*(XW84+ABJ84))/(1-G84*CX84))),QX84/(1-MAX(0,CX84)*H_Exit)))</f>
        <v>0</v>
      </c>
      <c r="UL84" s="20" t="n">
        <f aca="false">IF(ALY83&lt;=0,0,IF(H_Direct=1,IF(CY84&lt;=0,QY84,IF(QY84&lt;=(XX84+ABK84)/CY84,QY84,(QY84-G84*(XX84+ABK84))/(1-G84*CY84))),QY84/(1-MAX(0,CY84)*H_Exit)))</f>
        <v>0</v>
      </c>
      <c r="UM84" s="20" t="n">
        <f aca="false">IF(ALZ83&lt;=0,0,IF(H_Direct=1,IF(CZ84&lt;=0,QZ84,IF(QZ84&lt;=(XY84+ABL84)/CZ84,QZ84,(QZ84-G84*(XY84+ABL84))/(1-G84*CZ84))),QZ84/(1-MAX(0,CZ84)*H_Exit)))</f>
        <v>0</v>
      </c>
      <c r="UN84" s="20" t="n">
        <f aca="false">IF(AMA83&lt;=0,0,IF(H_Direct=1,IF(DA84&lt;=0,RA84,IF(RA84&lt;=(XZ84+ABM84)/DA84,RA84,(RA84-G84*(XZ84+ABM84))/(1-G84*DA84))),RA84/(1-MAX(0,DA84)*H_Exit)))</f>
        <v>0</v>
      </c>
      <c r="UO84" s="20" t="n">
        <f aca="false">IF(AMB83&lt;=0,0,IF(H_Direct=1,IF(DB84&lt;=0,RB84,IF(RB84&lt;=(YA84+ABN84)/DB84,RB84,(RB84-G84*(YA84+ABN84))/(1-G84*DB84))),RB84/(1-MAX(0,DB84)*H_Exit)))</f>
        <v>0</v>
      </c>
      <c r="UP84" s="20" t="n">
        <f aca="false">IF(AMC83&lt;=0,0,IF(H_Direct=1,IF(DC84&lt;=0,RC84,IF(RC84&lt;=(YB84+ABO84)/DC84,RC84,(RC84-G84*(YB84+ABO84))/(1-G84*DC84))),RC84/(1-MAX(0,DC84)*H_Exit)))</f>
        <v>0</v>
      </c>
      <c r="UQ84" s="20" t="n">
        <f aca="false">IF(AMD83&lt;=0,0,IF(H_Direct=1,IF(DD84&lt;=0,RD84,IF(RD84&lt;=(YC84+ABP84)/DD84,RD84,(RD84-G84*(YC84+ABP84))/(1-G84*DD84))),RD84/(1-MAX(0,DD84)*H_Exit)))</f>
        <v>0</v>
      </c>
      <c r="UR84" s="20" t="n">
        <f aca="false">IF(AME83&lt;=0,0,IF(H_Direct=1,IF(DE84&lt;=0,RE84,IF(RE84&lt;=(YD84+ABQ84)/DE84,RE84,(RE84-G84*(YD84+ABQ84))/(1-G84*DE84))),RE84/(1-MAX(0,DE84)*H_Exit)))</f>
        <v>0</v>
      </c>
      <c r="US84" s="20" t="n">
        <f aca="false">IF(AMF83&lt;=0,0,IF(H_Direct=1,IF(DF84&lt;=0,RF84,IF(RF84&lt;=(YE84+ABR84)/DF84,RF84,(RF84-G84*(YE84+ABR84))/(1-G84*DF84))),RF84/(1-MAX(0,DF84)*H_Exit)))</f>
        <v>0</v>
      </c>
      <c r="UT84" s="20" t="n">
        <f aca="false">IF(AMG83&lt;=0,0,IF(H_Direct=1,IF(DG84&lt;=0,RG84,IF(RG84&lt;=(YF84+ABS84)/DG84,RG84,(RG84-G84*(YF84+ABS84))/(1-G84*DG84))),RG84/(1-MAX(0,DG84)*H_Exit)))</f>
        <v>0</v>
      </c>
      <c r="UU84" s="20" t="n">
        <f aca="false">IF(AMH83&lt;=0,0,IF(H_Direct=1,IF(DH84&lt;=0,RH84,IF(RH84&lt;=(YG84+ABT84)/DH84,RH84,(RH84-G84*(YG84+ABT84))/(1-G84*DH84))),RH84/(1-MAX(0,DH84)*H_Exit)))</f>
        <v>0</v>
      </c>
      <c r="UV84" s="20" t="n">
        <f aca="false">IF(AMI83&lt;=0,0,IF(H_Direct=1,IF(DI84&lt;=0,RI84,IF(RI84&lt;=(YH84+ABU84)/DI84,RI84,(RI84-G84*(YH84+ABU84))/(1-G84*DI84))),RI84/(1-MAX(0,DI84)*H_Exit)))</f>
        <v>0</v>
      </c>
      <c r="UW84" s="20" t="n">
        <f aca="false">IF(AMJ83&lt;=0,0,IF(H_Direct=1,IF(DJ84&lt;=0,RJ84,IF(RJ84&lt;=(YI84+ABV84)/DJ84,RJ84,(RJ84-G84*(YI84+ABV84))/(1-G84*DJ84))),RJ84/(1-MAX(0,DJ84)*H_Exit)))</f>
        <v>0</v>
      </c>
      <c r="UX84" s="20" t="n">
        <f aca="false">IF(AMK83&lt;=0,0,IF(H_Direct=1,IF(DK84&lt;=0,RK84,IF(RK84&lt;=(YJ84+ABW84)/DK84,RK84,(RK84-G84*(YJ84+ABW84))/(1-G84*DK84))),RK84/(1-MAX(0,DK84)*H_Exit)))</f>
        <v>0</v>
      </c>
      <c r="UY84" s="20" t="n">
        <f aca="false">IF(AML83&lt;=0,0,IF(H_Direct=1,IF(DL84&lt;=0,RL84,IF(RL84&lt;=(YK84+ABX84)/DL84,RL84,(RL84-G84*(YK84+ABX84))/(1-G84*DL84))),RL84/(1-MAX(0,DL84)*H_Exit)))</f>
        <v>0</v>
      </c>
      <c r="UZ84" s="20" t="n">
        <f aca="false">IF(AMM83&lt;=0,0,IF(H_Direct=1,IF(DM84&lt;=0,RM84,IF(RM84&lt;=(YL84+ABY84)/DM84,RM84,(RM84-G84*(YL84+ABY84))/(1-G84*DM84))),RM84/(1-MAX(0,DM84)*H_Exit)))</f>
        <v>0</v>
      </c>
      <c r="VA84" s="20" t="n">
        <f aca="false">IF(AMN83&lt;=0,0,IF(H_Direct=1,IF(DN84&lt;=0,RN84,IF(RN84&lt;=(YM84+ABZ84)/DN84,RN84,(RN84-G84*(YM84+ABZ84))/(1-G84*DN84))),RN84/(1-MAX(0,DN84)*H_Exit)))</f>
        <v>0</v>
      </c>
      <c r="VB84" s="20" t="n">
        <f aca="false">IF(AMO83&lt;=0,0,IF(H_Direct=1,IF(DO84&lt;=0,RO84,IF(RO84&lt;=(YN84+ACA84)/DO84,RO84,(RO84-G84*(YN84+ACA84))/(1-G84*DO84))),RO84/(1-MAX(0,DO84)*H_Exit)))</f>
        <v>0</v>
      </c>
      <c r="VC84" s="20" t="n">
        <f aca="false">IF(AMP83&lt;=0,0,IF(H_Direct=1,IF(DP84&lt;=0,RP84,IF(RP84&lt;=(YO84+ACB84)/DP84,RP84,(RP84-G84*(YO84+ACB84))/(1-G84*DP84))),RP84/(1-MAX(0,DP84)*H_Exit)))</f>
        <v>0</v>
      </c>
      <c r="VD84" s="20" t="n">
        <f aca="false">IF(AMQ83&lt;=0,0,IF(H_Direct=1,IF(DQ84&lt;=0,RQ84,IF(RQ84&lt;=(YP84+ACC84)/DQ84,RQ84,(RQ84-G84*(YP84+ACC84))/(1-G84*DQ84))),RQ84/(1-MAX(0,DQ84)*H_Exit)))</f>
        <v>0</v>
      </c>
      <c r="VE84" s="20" t="n">
        <f aca="false">IF(AMR83&lt;=0,0,IF(H_Direct=1,IF(DR84&lt;=0,RR84,IF(RR84&lt;=(YQ84+ACD84)/DR84,RR84,(RR84-G84*(YQ84+ACD84))/(1-G84*DR84))),RR84/(1-MAX(0,DR84)*H_Exit)))</f>
        <v>0</v>
      </c>
      <c r="VF84" s="20" t="n">
        <f aca="false">IF(AMS83&lt;=0,0,IF(H_Direct=1,IF(DS84&lt;=0,RS84,IF(RS84&lt;=(YR84+ACE84)/DS84,RS84,(RS84-G84*(YR84+ACE84))/(1-G84*DS84))),RS84/(1-MAX(0,DS84)*H_Exit)))</f>
        <v>0</v>
      </c>
      <c r="VG84" s="20" t="n">
        <f aca="false">IF(AMT83&lt;=0,0,IF(H_Direct=1,IF(DT84&lt;=0,RT84,IF(RT84&lt;=(YS84+ACF84)/DT84,RT84,(RT84-G84*(YS84+ACF84))/(1-G84*DT84))),RT84/(1-MAX(0,DT84)*H_Exit)))</f>
        <v>0</v>
      </c>
      <c r="VH84" s="20" t="n">
        <f aca="false">IF(AMU83&lt;=0,0,IF(H_Direct=1,IF(DU84&lt;=0,RU84,IF(RU84&lt;=(YT84+ACG84)/DU84,RU84,(RU84-G84*(YT84+ACG84))/(1-G84*DU84))),RU84/(1-MAX(0,DU84)*H_Exit)))</f>
        <v>0</v>
      </c>
      <c r="VI84" s="20" t="n">
        <f aca="false">IF(AMV83&lt;=0,0,IF(H_Direct=1,IF(DV84&lt;=0,RV84,IF(RV84&lt;=(YU84+ACH84)/DV84,RV84,(RV84-G84*(YU84+ACH84))/(1-G84*DV84))),RV84/(1-MAX(0,DV84)*H_Exit)))</f>
        <v>0</v>
      </c>
      <c r="VJ84" s="20" t="n">
        <f aca="false">IF(AMW83&lt;=0,0,IF(H_Direct=1,IF(DW84&lt;=0,RW84,IF(RW84&lt;=(YV84+ACI84)/DW84,RW84,(RW84-G84*(YV84+ACI84))/(1-G84*DW84))),RW84/(1-MAX(0,DW84)*H_Exit)))</f>
        <v>0</v>
      </c>
      <c r="VK84" s="20" t="n">
        <f aca="false">IF(AMX83&lt;=0,0,IF(H_Direct=1,IF(DX84&lt;=0,RX84,IF(RX84&lt;=(YW84+ACJ84)/DX84,RX84,(RX84-G84*(YW84+ACJ84))/(1-G84*DX84))),RX84/(1-MAX(0,DX84)*H_Exit)))</f>
        <v>0</v>
      </c>
      <c r="VL84" s="20" t="n">
        <f aca="false">IF(AMY83&lt;=0,0,IF(H_Direct=1,IF(DY84&lt;=0,RY84,IF(RY84&lt;=(YX84+ACK84)/DY84,RY84,(RY84-G84*(YX84+ACK84))/(1-G84*DY84))),RY84/(1-MAX(0,DY84)*H_Exit)))</f>
        <v>0</v>
      </c>
      <c r="VM84" s="20" t="n">
        <f aca="false">IF(AMZ83&lt;=0,0,IF(H_Direct=1,IF(DZ84&lt;=0,RZ84,IF(RZ84&lt;=(YY84+ACL84)/DZ84,RZ84,(RZ84-G84*(YY84+ACL84))/(1-G84*DZ84))),RZ84/(1-MAX(0,DZ84)*H_Exit)))</f>
        <v>0</v>
      </c>
      <c r="VN84" s="20" t="n">
        <f aca="false">IF(ANA83&lt;=0,0,IF(H_Direct=1,IF(EA84&lt;=0,SA84,IF(SA84&lt;=(YZ84+ACM84)/EA84,SA84,(SA84-G84*(YZ84+ACM84))/(1-G84*EA84))),SA84/(1-MAX(0,EA84)*H_Exit)))</f>
        <v>0</v>
      </c>
      <c r="VO84" s="20" t="n">
        <f aca="false">IF(ANB83&lt;=0,0,IF(H_Direct=1,IF(EB84&lt;=0,SB84,IF(SB84&lt;=(ZA84+ACN84)/EB84,SB84,(SB84-G84*(ZA84+ACN84))/(1-G84*EB84))),SB84/(1-MAX(0,EB84)*H_Exit)))</f>
        <v>0</v>
      </c>
      <c r="VP84" s="20" t="n">
        <f aca="false">IF(ANC83&lt;=0,0,IF(H_Direct=1,IF(EC84&lt;=0,SC84,IF(SC84&lt;=(ZB84+ACO84)/EC84,SC84,(SC84-G84*(ZB84+ACO84))/(1-G84*EC84))),SC84/(1-MAX(0,EC84)*H_Exit)))</f>
        <v>0</v>
      </c>
      <c r="VQ84" s="20" t="n">
        <f aca="false">IF(AND83&lt;=0,0,IF(H_Direct=1,IF(ED84&lt;=0,SD84,IF(SD84&lt;=(ZC84+ACP84)/ED84,SD84,(SD84-G84*(ZC84+ACP84))/(1-G84*ED84))),SD84/(1-MAX(0,ED84)*H_Exit)))</f>
        <v>0</v>
      </c>
      <c r="VR84" s="20" t="n">
        <f aca="false">IF(ANE83&lt;=0,0,IF(H_Direct=1,IF(EE84&lt;=0,SE84,IF(SE84&lt;=(ZD84+ACQ84)/EE84,SE84,(SE84-G84*(ZD84+ACQ84))/(1-G84*EE84))),SE84/(1-MAX(0,EE84)*H_Exit)))</f>
        <v>0</v>
      </c>
      <c r="VS84" s="20" t="n">
        <f aca="false">IF(ANF83&lt;=0,0,IF(H_Direct=1,IF(EF84&lt;=0,SF84,IF(SF84&lt;=(ZE84+ACR84)/EF84,SF84,(SF84-G84*(ZE84+ACR84))/(1-G84*EF84))),SF84/(1-MAX(0,EF84)*H_Exit)))</f>
        <v>0</v>
      </c>
      <c r="VT84" s="20" t="n">
        <f aca="false">IF(ANG83&lt;=0,0,IF(H_Direct=1,IF(EG84&lt;=0,SG84,IF(SG84&lt;=(ZF84+ACS84)/EG84,SG84,(SG84-G84*(ZF84+ACS84))/(1-G84*EG84))),SG84/(1-MAX(0,EG84)*H_Exit)))</f>
        <v>0</v>
      </c>
      <c r="VU84" s="20" t="n">
        <f aca="false">IF(ANH83&lt;=0,0,IF(H_Direct=1,IF(EH84&lt;=0,SH84,IF(SH84&lt;=(ZG84+ACT84)/EH84,SH84,(SH84-G84*(ZG84+ACT84))/(1-G84*EH84))),SH84/(1-MAX(0,EH84)*H_Exit)))</f>
        <v>0</v>
      </c>
      <c r="VV84" s="20" t="n">
        <f aca="false">IF(ANI83&lt;=0,0,IF(H_Direct=1,IF(EI84&lt;=0,SI84,IF(SI84&lt;=(ZH84+ACU84)/EI84,SI84,(SI84-G84*(ZH84+ACU84))/(1-G84*EI84))),SI84/(1-MAX(0,EI84)*H_Exit)))</f>
        <v>0</v>
      </c>
      <c r="VW84" s="20" t="n">
        <f aca="false">IF(ANJ83&lt;=0,0,IF(H_Direct=1,IF(EJ84&lt;=0,SJ84,IF(SJ84&lt;=(ZI84+ACV84)/EJ84,SJ84,(SJ84-G84*(ZI84+ACV84))/(1-G84*EJ84))),SJ84/(1-MAX(0,EJ84)*H_Exit)))</f>
        <v>0</v>
      </c>
      <c r="VX84" s="20" t="n">
        <f aca="false">IF(ANK83&lt;=0,0,IF(H_Direct=1,IF(EK84&lt;=0,SK84,IF(SK84&lt;=(ZJ84+ACW84)/EK84,SK84,(SK84-G84*(ZJ84+ACW84))/(1-G84*EK84))),SK84/(1-MAX(0,EK84)*H_Exit)))</f>
        <v>0</v>
      </c>
      <c r="VY84" s="20" t="n">
        <f aca="false">IF(ANL83&lt;=0,0,IF(H_Direct=1,IF(EL84&lt;=0,SL84,IF(SL84&lt;=(ZK84+ACX84)/EL84,SL84,(SL84-G84*(ZK84+ACX84))/(1-G84*EL84))),SL84/(1-MAX(0,EL84)*H_Exit)))</f>
        <v>0</v>
      </c>
      <c r="VZ84" s="20" t="n">
        <f aca="false">IF(ANM83&lt;=0,0,IF(H_Direct=1,IF(EM84&lt;=0,SM84,IF(SM84&lt;=(ZL84+ACY84)/EM84,SM84,(SM84-G84*(ZL84+ACY84))/(1-G84*EM84))),SM84/(1-MAX(0,EM84)*H_Exit)))</f>
        <v>0</v>
      </c>
      <c r="WA84" s="20" t="n">
        <f aca="false">IF(ANN83&lt;=0,0,IF(H_Direct=1,IF(EN84&lt;=0,SN84,IF(SN84&lt;=(ZM84+ACZ84)/EN84,SN84,(SN84-G84*(ZM84+ACZ84))/(1-G84*EN84))),SN84/(1-MAX(0,EN84)*H_Exit)))</f>
        <v>0</v>
      </c>
      <c r="WB84" s="20" t="n">
        <f aca="false">IF(ANO83&lt;=0,0,IF(H_Direct=1,IF(EO84&lt;=0,SO84,IF(SO84&lt;=(ZN84+ADA84)/EO84,SO84,(SO84-G84*(ZN84+ADA84))/(1-G84*EO84))),SO84/(1-MAX(0,EO84)*H_Exit)))</f>
        <v>0</v>
      </c>
      <c r="WC84" s="20" t="n">
        <f aca="false">IF(ANP83&lt;=0,0,IF(H_Direct=1,IF(EP84&lt;=0,SP84,IF(SP84&lt;=(ZO84+ADB84)/EP84,SP84,(SP84-G84*(ZO84+ADB84))/(1-G84*EP84))),SP84/(1-MAX(0,EP84)*H_Exit)))</f>
        <v>0</v>
      </c>
      <c r="WD84" s="20" t="n">
        <f aca="false">IF((P84+S84)&lt;=0,0,IF(H_Direct=1,IF(EQ84&lt;=0,SQ84,IF(SQ84&lt;=(ZP84+ADC84)/EQ84,SQ84,(SQ84-G84*(ZP84+ADC84))/(1-G84*EQ84))),SQ84/(1-MAX(0,EQ84)*H_Exit)))</f>
        <v>0</v>
      </c>
      <c r="WE84" s="20" t="n">
        <v>0</v>
      </c>
      <c r="WF84" s="20" t="n">
        <v>0</v>
      </c>
      <c r="WG84" s="20" t="n">
        <v>0</v>
      </c>
      <c r="WH84" s="20" t="n">
        <v>0</v>
      </c>
      <c r="WI84" s="20" t="n">
        <v>0</v>
      </c>
      <c r="WJ84" s="20" t="n">
        <v>0</v>
      </c>
      <c r="WK84" s="20" t="n">
        <v>0</v>
      </c>
      <c r="WL84" s="20" t="n">
        <v>0</v>
      </c>
      <c r="WM84" s="20" t="n">
        <v>0</v>
      </c>
      <c r="WN84" s="20" t="n">
        <v>0</v>
      </c>
      <c r="WO84" s="20" t="n">
        <v>0</v>
      </c>
      <c r="WP84" s="20" t="n">
        <v>0</v>
      </c>
      <c r="WQ84" s="20" t="n">
        <v>0</v>
      </c>
      <c r="WR84" s="20" t="n">
        <f aca="false">IF(AND(H_Direct=1,BR84&gt;0),MAX(0,H84-(MIN(BR84*TE84,(H84+I84))-MIN(MIN(BR84*TE84,(H84+I84)),I84))),H84)</f>
        <v>1270</v>
      </c>
      <c r="WS84" s="20" t="n">
        <f aca="false">IF(AND(H_Direct=1,BS84&gt;0),MAX(0,WR84-(MIN(BS84*TF84,(WR84+AAE84))-MIN(MIN(BS84*TF84,(WR84+AAE84)),AAE84))),WR84)</f>
        <v>1270</v>
      </c>
      <c r="WT84" s="20" t="n">
        <f aca="false">IF(AND(H_Direct=1,BT84&gt;0),MAX(0,WS84-(MIN(BT84*TG84,(WS84+AAF84))-MIN(MIN(BT84*TG84,(WS84+AAF84)),AAF84))),WS84)</f>
        <v>1270</v>
      </c>
      <c r="WU84" s="20" t="n">
        <f aca="false">IF(AND(H_Direct=1,BU84&gt;0),MAX(0,WT84-(MIN(BU84*TH84,(WT84+AAG84))-MIN(MIN(BU84*TH84,(WT84+AAG84)),AAG84))),WT84)</f>
        <v>1270</v>
      </c>
      <c r="WV84" s="20" t="n">
        <f aca="false">IF(AND(H_Direct=1,BV84&gt;0),MAX(0,WU84-(MIN(BV84*TI84,(WU84+AAH84))-MIN(MIN(BV84*TI84,(WU84+AAH84)),AAH84))),WU84)</f>
        <v>1270</v>
      </c>
      <c r="WW84" s="20" t="n">
        <f aca="false">IF(AND(H_Direct=1,BW84&gt;0),MAX(0,WV84-(MIN(BW84*TJ84,(WV84+AAI84))-MIN(MIN(BW84*TJ84,(WV84+AAI84)),AAI84))),WV84)</f>
        <v>1270</v>
      </c>
      <c r="WX84" s="20" t="n">
        <f aca="false">IF(AND(H_Direct=1,BX84&gt;0),MAX(0,WW84-(MIN(BX84*TK84,(WW84+AAJ84))-MIN(MIN(BX84*TK84,(WW84+AAJ84)),AAJ84))),WW84)</f>
        <v>1270</v>
      </c>
      <c r="WY84" s="20" t="n">
        <f aca="false">IF(AND(H_Direct=1,BY84&gt;0),MAX(0,WX84-(MIN(BY84*TL84,(WX84+AAK84))-MIN(MIN(BY84*TL84,(WX84+AAK84)),AAK84))),WX84)</f>
        <v>1270</v>
      </c>
      <c r="WZ84" s="20" t="n">
        <f aca="false">IF(AND(H_Direct=1,BZ84&gt;0),MAX(0,WY84-(MIN(BZ84*TM84,(WY84+AAL84))-MIN(MIN(BZ84*TM84,(WY84+AAL84)),AAL84))),WY84)</f>
        <v>1270</v>
      </c>
      <c r="XA84" s="20" t="n">
        <f aca="false">IF(AND(H_Direct=1,CA84&gt;0),MAX(0,WZ84-(MIN(CA84*TN84,(WZ84+AAM84))-MIN(MIN(CA84*TN84,(WZ84+AAM84)),AAM84))),WZ84)</f>
        <v>1270</v>
      </c>
      <c r="XB84" s="20" t="n">
        <f aca="false">IF(AND(H_Direct=1,CB84&gt;0),MAX(0,XA84-(MIN(CB84*TO84,(XA84+AAN84))-MIN(MIN(CB84*TO84,(XA84+AAN84)),AAN84))),XA84)</f>
        <v>1270</v>
      </c>
      <c r="XC84" s="20" t="n">
        <f aca="false">IF(AND(H_Direct=1,CC84&gt;0),MAX(0,XB84-(MIN(CC84*TP84,(XB84+AAO84))-MIN(MIN(CC84*TP84,(XB84+AAO84)),AAO84))),XB84)</f>
        <v>1270</v>
      </c>
      <c r="XD84" s="20" t="n">
        <f aca="false">IF(AND(H_Direct=1,CD84&gt;0),MAX(0,XC84-(MIN(CD84*TQ84,(XC84+AAP84))-MIN(MIN(CD84*TQ84,(XC84+AAP84)),AAP84))),XC84)</f>
        <v>1270</v>
      </c>
      <c r="XE84" s="20" t="n">
        <f aca="false">IF(AND(H_Direct=1,CE84&gt;0),MAX(0,XD84-(MIN(CE84*TR84,(XD84+AAQ84))-MIN(MIN(CE84*TR84,(XD84+AAQ84)),AAQ84))),XD84)</f>
        <v>1270</v>
      </c>
      <c r="XF84" s="20" t="n">
        <f aca="false">IF(AND(H_Direct=1,CF84&gt;0),MAX(0,XE84-(MIN(CF84*TS84,(XE84+AAR84))-MIN(MIN(CF84*TS84,(XE84+AAR84)),AAR84))),XE84)</f>
        <v>1270</v>
      </c>
      <c r="XG84" s="20" t="n">
        <f aca="false">IF(AND(H_Direct=1,CG84&gt;0),MAX(0,XF84-(MIN(CG84*TT84,(XF84+AAS84))-MIN(MIN(CG84*TT84,(XF84+AAS84)),AAS84))),XF84)</f>
        <v>1270</v>
      </c>
      <c r="XH84" s="20" t="n">
        <f aca="false">IF(AND(H_Direct=1,CH84&gt;0),MAX(0,XG84-(MIN(CH84*TU84,(XG84+AAT84))-MIN(MIN(CH84*TU84,(XG84+AAT84)),AAT84))),XG84)</f>
        <v>1270</v>
      </c>
      <c r="XI84" s="20" t="n">
        <f aca="false">IF(AND(H_Direct=1,CI84&gt;0),MAX(0,XH84-(MIN(CI84*TV84,(XH84+AAU84))-MIN(MIN(CI84*TV84,(XH84+AAU84)),AAU84))),XH84)</f>
        <v>1270</v>
      </c>
      <c r="XJ84" s="20" t="n">
        <f aca="false">IF(AND(H_Direct=1,CJ84&gt;0),MAX(0,XI84-(MIN(CJ84*TW84,(XI84+AAV84))-MIN(MIN(CJ84*TW84,(XI84+AAV84)),AAV84))),XI84)</f>
        <v>1270</v>
      </c>
      <c r="XK84" s="20" t="n">
        <f aca="false">IF(AND(H_Direct=1,CK84&gt;0),MAX(0,XJ84-(MIN(CK84*TX84,(XJ84+AAW84))-MIN(MIN(CK84*TX84,(XJ84+AAW84)),AAW84))),XJ84)</f>
        <v>1270</v>
      </c>
      <c r="XL84" s="20" t="n">
        <f aca="false">IF(AND(H_Direct=1,CL84&gt;0),MAX(0,XK84-(MIN(CL84*TY84,(XK84+AAX84))-MIN(MIN(CL84*TY84,(XK84+AAX84)),AAX84))),XK84)</f>
        <v>1270</v>
      </c>
      <c r="XM84" s="20" t="n">
        <f aca="false">IF(AND(H_Direct=1,CM84&gt;0),MAX(0,XL84-(MIN(CM84*TZ84,(XL84+AAY84))-MIN(MIN(CM84*TZ84,(XL84+AAY84)),AAY84))),XL84)</f>
        <v>1270</v>
      </c>
      <c r="XN84" s="20" t="n">
        <f aca="false">IF(AND(H_Direct=1,CN84&gt;0),MAX(0,XM84-(MIN(CN84*UA84,(XM84+AAZ84))-MIN(MIN(CN84*UA84,(XM84+AAZ84)),AAZ84))),XM84)</f>
        <v>1270</v>
      </c>
      <c r="XO84" s="20" t="n">
        <f aca="false">IF(AND(H_Direct=1,CO84&gt;0),MAX(0,XN84-(MIN(CO84*UB84,(XN84+ABA84))-MIN(MIN(CO84*UB84,(XN84+ABA84)),ABA84))),XN84)</f>
        <v>1270</v>
      </c>
      <c r="XP84" s="20" t="n">
        <f aca="false">IF(AND(H_Direct=1,CP84&gt;0),MAX(0,XO84-(MIN(CP84*UC84,(XO84+ABB84))-MIN(MIN(CP84*UC84,(XO84+ABB84)),ABB84))),XO84)</f>
        <v>1270</v>
      </c>
      <c r="XQ84" s="20" t="n">
        <f aca="false">IF(AND(H_Direct=1,CQ84&gt;0),MAX(0,XP84-(MIN(CQ84*UD84,(XP84+ABC84))-MIN(MIN(CQ84*UD84,(XP84+ABC84)),ABC84))),XP84)</f>
        <v>1270</v>
      </c>
      <c r="XR84" s="20" t="n">
        <f aca="false">IF(AND(H_Direct=1,CR84&gt;0),MAX(0,XQ84-(MIN(CR84*UE84,(XQ84+ABD84))-MIN(MIN(CR84*UE84,(XQ84+ABD84)),ABD84))),XQ84)</f>
        <v>1270</v>
      </c>
      <c r="XS84" s="20" t="n">
        <f aca="false">IF(AND(H_Direct=1,CS84&gt;0),MAX(0,XR84-(MIN(CS84*UF84,(XR84+ABE84))-MIN(MIN(CS84*UF84,(XR84+ABE84)),ABE84))),XR84)</f>
        <v>1270</v>
      </c>
      <c r="XT84" s="20" t="n">
        <f aca="false">IF(AND(H_Direct=1,CT84&gt;0),MAX(0,XS84-(MIN(CT84*UG84,(XS84+ABF84))-MIN(MIN(CT84*UG84,(XS84+ABF84)),ABF84))),XS84)</f>
        <v>1270</v>
      </c>
      <c r="XU84" s="20" t="n">
        <f aca="false">IF(AND(H_Direct=1,CU84&gt;0),MAX(0,XT84-(MIN(CU84*UH84,(XT84+ABG84))-MIN(MIN(CU84*UH84,(XT84+ABG84)),ABG84))),XT84)</f>
        <v>1270</v>
      </c>
      <c r="XV84" s="20" t="n">
        <f aca="false">IF(AND(H_Direct=1,CV84&gt;0),MAX(0,XU84-(MIN(CV84*UI84,(XU84+ABH84))-MIN(MIN(CV84*UI84,(XU84+ABH84)),ABH84))),XU84)</f>
        <v>1270</v>
      </c>
      <c r="XW84" s="20" t="n">
        <f aca="false">IF(AND(H_Direct=1,CW84&gt;0),MAX(0,XV84-(MIN(CW84*UJ84,(XV84+ABI84))-MIN(MIN(CW84*UJ84,(XV84+ABI84)),ABI84))),XV84)</f>
        <v>1270</v>
      </c>
      <c r="XX84" s="20" t="n">
        <f aca="false">IF(AND(H_Direct=1,CX84&gt;0),MAX(0,XW84-(MIN(CX84*UK84,(XW84+ABJ84))-MIN(MIN(CX84*UK84,(XW84+ABJ84)),ABJ84))),XW84)</f>
        <v>1270</v>
      </c>
      <c r="XY84" s="20" t="n">
        <f aca="false">IF(AND(H_Direct=1,CY84&gt;0),MAX(0,XX84-(MIN(CY84*UL84,(XX84+ABK84))-MIN(MIN(CY84*UL84,(XX84+ABK84)),ABK84))),XX84)</f>
        <v>1270</v>
      </c>
      <c r="XZ84" s="20" t="n">
        <f aca="false">IF(AND(H_Direct=1,CZ84&gt;0),MAX(0,XY84-(MIN(CZ84*UM84,(XY84+ABL84))-MIN(MIN(CZ84*UM84,(XY84+ABL84)),ABL84))),XY84)</f>
        <v>1270</v>
      </c>
      <c r="YA84" s="20" t="n">
        <f aca="false">IF(AND(H_Direct=1,DA84&gt;0),MAX(0,XZ84-(MIN(DA84*UN84,(XZ84+ABM84))-MIN(MIN(DA84*UN84,(XZ84+ABM84)),ABM84))),XZ84)</f>
        <v>1270</v>
      </c>
      <c r="YB84" s="20" t="n">
        <f aca="false">IF(AND(H_Direct=1,DB84&gt;0),MAX(0,YA84-(MIN(DB84*UO84,(YA84+ABN84))-MIN(MIN(DB84*UO84,(YA84+ABN84)),ABN84))),YA84)</f>
        <v>1270</v>
      </c>
      <c r="YC84" s="20" t="n">
        <f aca="false">IF(AND(H_Direct=1,DC84&gt;0),MAX(0,YB84-(MIN(DC84*UP84,(YB84+ABO84))-MIN(MIN(DC84*UP84,(YB84+ABO84)),ABO84))),YB84)</f>
        <v>1270</v>
      </c>
      <c r="YD84" s="20" t="n">
        <f aca="false">IF(AND(H_Direct=1,DD84&gt;0),MAX(0,YC84-(MIN(DD84*UQ84,(YC84+ABP84))-MIN(MIN(DD84*UQ84,(YC84+ABP84)),ABP84))),YC84)</f>
        <v>1270</v>
      </c>
      <c r="YE84" s="20" t="n">
        <f aca="false">IF(AND(H_Direct=1,DE84&gt;0),MAX(0,YD84-(MIN(DE84*UR84,(YD84+ABQ84))-MIN(MIN(DE84*UR84,(YD84+ABQ84)),ABQ84))),YD84)</f>
        <v>1270</v>
      </c>
      <c r="YF84" s="20" t="n">
        <f aca="false">IF(AND(H_Direct=1,DF84&gt;0),MAX(0,YE84-(MIN(DF84*US84,(YE84+ABR84))-MIN(MIN(DF84*US84,(YE84+ABR84)),ABR84))),YE84)</f>
        <v>1270</v>
      </c>
      <c r="YG84" s="20" t="n">
        <f aca="false">IF(AND(H_Direct=1,DG84&gt;0),MAX(0,YF84-(MIN(DG84*UT84,(YF84+ABS84))-MIN(MIN(DG84*UT84,(YF84+ABS84)),ABS84))),YF84)</f>
        <v>1270</v>
      </c>
      <c r="YH84" s="20" t="n">
        <f aca="false">IF(AND(H_Direct=1,DH84&gt;0),MAX(0,YG84-(MIN(DH84*UU84,(YG84+ABT84))-MIN(MIN(DH84*UU84,(YG84+ABT84)),ABT84))),YG84)</f>
        <v>1270</v>
      </c>
      <c r="YI84" s="20" t="n">
        <f aca="false">IF(AND(H_Direct=1,DI84&gt;0),MAX(0,YH84-(MIN(DI84*UV84,(YH84+ABU84))-MIN(MIN(DI84*UV84,(YH84+ABU84)),ABU84))),YH84)</f>
        <v>1270</v>
      </c>
      <c r="YJ84" s="20" t="n">
        <f aca="false">IF(AND(H_Direct=1,DJ84&gt;0),MAX(0,YI84-(MIN(DJ84*UW84,(YI84+ABV84))-MIN(MIN(DJ84*UW84,(YI84+ABV84)),ABV84))),YI84)</f>
        <v>1270</v>
      </c>
      <c r="YK84" s="20" t="n">
        <f aca="false">IF(AND(H_Direct=1,DK84&gt;0),MAX(0,YJ84-(MIN(DK84*UX84,(YJ84+ABW84))-MIN(MIN(DK84*UX84,(YJ84+ABW84)),ABW84))),YJ84)</f>
        <v>1270</v>
      </c>
      <c r="YL84" s="20" t="n">
        <f aca="false">IF(AND(H_Direct=1,DL84&gt;0),MAX(0,YK84-(MIN(DL84*UY84,(YK84+ABX84))-MIN(MIN(DL84*UY84,(YK84+ABX84)),ABX84))),YK84)</f>
        <v>1270</v>
      </c>
      <c r="YM84" s="20" t="n">
        <f aca="false">IF(AND(H_Direct=1,DM84&gt;0),MAX(0,YL84-(MIN(DM84*UZ84,(YL84+ABY84))-MIN(MIN(DM84*UZ84,(YL84+ABY84)),ABY84))),YL84)</f>
        <v>1270</v>
      </c>
      <c r="YN84" s="20" t="n">
        <f aca="false">IF(AND(H_Direct=1,DN84&gt;0),MAX(0,YM84-(MIN(DN84*VA84,(YM84+ABZ84))-MIN(MIN(DN84*VA84,(YM84+ABZ84)),ABZ84))),YM84)</f>
        <v>1270</v>
      </c>
      <c r="YO84" s="20" t="n">
        <f aca="false">IF(AND(H_Direct=1,DO84&gt;0),MAX(0,YN84-(MIN(DO84*VB84,(YN84+ACA84))-MIN(MIN(DO84*VB84,(YN84+ACA84)),ACA84))),YN84)</f>
        <v>1270</v>
      </c>
      <c r="YP84" s="20" t="n">
        <f aca="false">IF(AND(H_Direct=1,DP84&gt;0),MAX(0,YO84-(MIN(DP84*VC84,(YO84+ACB84))-MIN(MIN(DP84*VC84,(YO84+ACB84)),ACB84))),YO84)</f>
        <v>1270</v>
      </c>
      <c r="YQ84" s="20" t="n">
        <f aca="false">IF(AND(H_Direct=1,DQ84&gt;0),MAX(0,YP84-(MIN(DQ84*VD84,(YP84+ACC84))-MIN(MIN(DQ84*VD84,(YP84+ACC84)),ACC84))),YP84)</f>
        <v>1270</v>
      </c>
      <c r="YR84" s="20" t="n">
        <f aca="false">IF(AND(H_Direct=1,DR84&gt;0),MAX(0,YQ84-(MIN(DR84*VE84,(YQ84+ACD84))-MIN(MIN(DR84*VE84,(YQ84+ACD84)),ACD84))),YQ84)</f>
        <v>1270</v>
      </c>
      <c r="YS84" s="20" t="n">
        <f aca="false">IF(AND(H_Direct=1,DS84&gt;0),MAX(0,YR84-(MIN(DS84*VF84,(YR84+ACE84))-MIN(MIN(DS84*VF84,(YR84+ACE84)),ACE84))),YR84)</f>
        <v>1270</v>
      </c>
      <c r="YT84" s="20" t="n">
        <f aca="false">IF(AND(H_Direct=1,DT84&gt;0),MAX(0,YS84-(MIN(DT84*VG84,(YS84+ACF84))-MIN(MIN(DT84*VG84,(YS84+ACF84)),ACF84))),YS84)</f>
        <v>1270</v>
      </c>
      <c r="YU84" s="20" t="n">
        <f aca="false">IF(AND(H_Direct=1,DU84&gt;0),MAX(0,YT84-(MIN(DU84*VH84,(YT84+ACG84))-MIN(MIN(DU84*VH84,(YT84+ACG84)),ACG84))),YT84)</f>
        <v>1270</v>
      </c>
      <c r="YV84" s="20" t="n">
        <f aca="false">IF(AND(H_Direct=1,DV84&gt;0),MAX(0,YU84-(MIN(DV84*VI84,(YU84+ACH84))-MIN(MIN(DV84*VI84,(YU84+ACH84)),ACH84))),YU84)</f>
        <v>1270</v>
      </c>
      <c r="YW84" s="20" t="n">
        <f aca="false">IF(AND(H_Direct=1,DW84&gt;0),MAX(0,YV84-(MIN(DW84*VJ84,(YV84+ACI84))-MIN(MIN(DW84*VJ84,(YV84+ACI84)),ACI84))),YV84)</f>
        <v>1270</v>
      </c>
      <c r="YX84" s="20" t="n">
        <f aca="false">IF(AND(H_Direct=1,DX84&gt;0),MAX(0,YW84-(MIN(DX84*VK84,(YW84+ACJ84))-MIN(MIN(DX84*VK84,(YW84+ACJ84)),ACJ84))),YW84)</f>
        <v>1270</v>
      </c>
      <c r="YY84" s="20" t="n">
        <f aca="false">IF(AND(H_Direct=1,DY84&gt;0),MAX(0,YX84-(MIN(DY84*VL84,(YX84+ACK84))-MIN(MIN(DY84*VL84,(YX84+ACK84)),ACK84))),YX84)</f>
        <v>1270</v>
      </c>
      <c r="YZ84" s="20" t="n">
        <f aca="false">IF(AND(H_Direct=1,DZ84&gt;0),MAX(0,YY84-(MIN(DZ84*VM84,(YY84+ACL84))-MIN(MIN(DZ84*VM84,(YY84+ACL84)),ACL84))),YY84)</f>
        <v>1270</v>
      </c>
      <c r="ZA84" s="20" t="n">
        <f aca="false">IF(AND(H_Direct=1,EA84&gt;0),MAX(0,YZ84-(MIN(EA84*VN84,(YZ84+ACM84))-MIN(MIN(EA84*VN84,(YZ84+ACM84)),ACM84))),YZ84)</f>
        <v>1270</v>
      </c>
      <c r="ZB84" s="20" t="n">
        <f aca="false">IF(AND(H_Direct=1,EB84&gt;0),MAX(0,ZA84-(MIN(EB84*VO84,(ZA84+ACN84))-MIN(MIN(EB84*VO84,(ZA84+ACN84)),ACN84))),ZA84)</f>
        <v>1270</v>
      </c>
      <c r="ZC84" s="20" t="n">
        <f aca="false">IF(AND(H_Direct=1,EC84&gt;0),MAX(0,ZB84-(MIN(EC84*VP84,(ZB84+ACO84))-MIN(MIN(EC84*VP84,(ZB84+ACO84)),ACO84))),ZB84)</f>
        <v>1270</v>
      </c>
      <c r="ZD84" s="20" t="n">
        <f aca="false">IF(AND(H_Direct=1,ED84&gt;0),MAX(0,ZC84-(MIN(ED84*VQ84,(ZC84+ACP84))-MIN(MIN(ED84*VQ84,(ZC84+ACP84)),ACP84))),ZC84)</f>
        <v>1270</v>
      </c>
      <c r="ZE84" s="20" t="n">
        <f aca="false">IF(AND(H_Direct=1,EE84&gt;0),MAX(0,ZD84-(MIN(EE84*VR84,(ZD84+ACQ84))-MIN(MIN(EE84*VR84,(ZD84+ACQ84)),ACQ84))),ZD84)</f>
        <v>1270</v>
      </c>
      <c r="ZF84" s="20" t="n">
        <f aca="false">IF(AND(H_Direct=1,EF84&gt;0),MAX(0,ZE84-(MIN(EF84*VS84,(ZE84+ACR84))-MIN(MIN(EF84*VS84,(ZE84+ACR84)),ACR84))),ZE84)</f>
        <v>1270</v>
      </c>
      <c r="ZG84" s="20" t="n">
        <f aca="false">IF(AND(H_Direct=1,EG84&gt;0),MAX(0,ZF84-(MIN(EG84*VT84,(ZF84+ACS84))-MIN(MIN(EG84*VT84,(ZF84+ACS84)),ACS84))),ZF84)</f>
        <v>1270</v>
      </c>
      <c r="ZH84" s="20" t="n">
        <f aca="false">IF(AND(H_Direct=1,EH84&gt;0),MAX(0,ZG84-(MIN(EH84*VU84,(ZG84+ACT84))-MIN(MIN(EH84*VU84,(ZG84+ACT84)),ACT84))),ZG84)</f>
        <v>1270</v>
      </c>
      <c r="ZI84" s="20" t="n">
        <f aca="false">IF(AND(H_Direct=1,EI84&gt;0),MAX(0,ZH84-(MIN(EI84*VV84,(ZH84+ACU84))-MIN(MIN(EI84*VV84,(ZH84+ACU84)),ACU84))),ZH84)</f>
        <v>1270</v>
      </c>
      <c r="ZJ84" s="20" t="n">
        <f aca="false">IF(AND(H_Direct=1,EJ84&gt;0),MAX(0,ZI84-(MIN(EJ84*VW84,(ZI84+ACV84))-MIN(MIN(EJ84*VW84,(ZI84+ACV84)),ACV84))),ZI84)</f>
        <v>1270</v>
      </c>
      <c r="ZK84" s="20" t="n">
        <f aca="false">IF(AND(H_Direct=1,EK84&gt;0),MAX(0,ZJ84-(MIN(EK84*VX84,(ZJ84+ACW84))-MIN(MIN(EK84*VX84,(ZJ84+ACW84)),ACW84))),ZJ84)</f>
        <v>1270</v>
      </c>
      <c r="ZL84" s="20" t="n">
        <f aca="false">IF(AND(H_Direct=1,EL84&gt;0),MAX(0,ZK84-(MIN(EL84*VY84,(ZK84+ACX84))-MIN(MIN(EL84*VY84,(ZK84+ACX84)),ACX84))),ZK84)</f>
        <v>1270</v>
      </c>
      <c r="ZM84" s="20" t="n">
        <f aca="false">IF(AND(H_Direct=1,EM84&gt;0),MAX(0,ZL84-(MIN(EM84*VZ84,(ZL84+ACY84))-MIN(MIN(EM84*VZ84,(ZL84+ACY84)),ACY84))),ZL84)</f>
        <v>1270</v>
      </c>
      <c r="ZN84" s="20" t="n">
        <f aca="false">IF(AND(H_Direct=1,EN84&gt;0),MAX(0,ZM84-(MIN(EN84*WA84,(ZM84+ACZ84))-MIN(MIN(EN84*WA84,(ZM84+ACZ84)),ACZ84))),ZM84)</f>
        <v>1270</v>
      </c>
      <c r="ZO84" s="20" t="n">
        <f aca="false">IF(AND(H_Direct=1,EO84&gt;0),MAX(0,ZN84-(MIN(EO84*WB84,(ZN84+ADA84))-MIN(MIN(EO84*WB84,(ZN84+ADA84)),ADA84))),ZN84)</f>
        <v>1270</v>
      </c>
      <c r="ZP84" s="20" t="n">
        <f aca="false">IF(AND(H_Direct=1,EP84&gt;0),MAX(0,ZO84-(MIN(EP84*WC84,(ZO84+ADB84))-MIN(MIN(EP84*WC84,(ZO84+ADB84)),ADB84))),ZO84)</f>
        <v>1270</v>
      </c>
      <c r="ZQ84" s="20" t="n">
        <f aca="false">IF(AND(H_Direct=1,EQ84&gt;0),MAX(0,ZP84-(MIN(EQ84*WD84,(ZP84+ADC84))-MIN(MIN(EQ84*WD84,(ZP84+ADC84)),ADC84))),ZP84)</f>
        <v>1270</v>
      </c>
      <c r="ZR84" s="20" t="n">
        <f aca="false">ZQ84</f>
        <v>1270</v>
      </c>
      <c r="ZS84" s="20" t="n">
        <f aca="false">ZR84</f>
        <v>1270</v>
      </c>
      <c r="ZT84" s="20" t="n">
        <f aca="false">ZS84</f>
        <v>1270</v>
      </c>
      <c r="ZU84" s="20" t="n">
        <f aca="false">ZT84</f>
        <v>1270</v>
      </c>
      <c r="ZV84" s="20" t="n">
        <f aca="false">ZU84</f>
        <v>1270</v>
      </c>
      <c r="ZW84" s="20" t="n">
        <f aca="false">ZV84</f>
        <v>1270</v>
      </c>
      <c r="ZX84" s="20" t="n">
        <f aca="false">ZW84</f>
        <v>1270</v>
      </c>
      <c r="ZY84" s="20" t="n">
        <f aca="false">ZX84</f>
        <v>1270</v>
      </c>
      <c r="ZZ84" s="20" t="n">
        <f aca="false">ZY84</f>
        <v>1270</v>
      </c>
      <c r="AAA84" s="20" t="n">
        <f aca="false">ZZ84</f>
        <v>1270</v>
      </c>
      <c r="AAB84" s="20" t="n">
        <f aca="false">AAA84</f>
        <v>1270</v>
      </c>
      <c r="AAC84" s="20" t="n">
        <f aca="false">AAB84</f>
        <v>1270</v>
      </c>
      <c r="AAD84" s="20" t="n">
        <f aca="false">AAC84</f>
        <v>1270</v>
      </c>
      <c r="AAE84" s="20" t="n">
        <f aca="false">IF(H_Direct=1,IF(BR84&lt;=0,I84-BR84*TE84,I84-MIN(MIN(BR84*TE84,(H84+I84)),I84)),I84)</f>
        <v>0</v>
      </c>
      <c r="AAF84" s="20" t="n">
        <f aca="false">IF(H_Direct=1,IF(BS84&lt;=0,AAE84-BS84*TF84,AAE84-MIN(MIN(BS84*TF84,(WR84+AAE84)),AAE84)),AAE84)</f>
        <v>0</v>
      </c>
      <c r="AAG84" s="20" t="n">
        <f aca="false">IF(H_Direct=1,IF(BT84&lt;=0,AAF84-BT84*TG84,AAF84-MIN(MIN(BT84*TG84,(WS84+AAF84)),AAF84)),AAF84)</f>
        <v>0</v>
      </c>
      <c r="AAH84" s="20" t="n">
        <f aca="false">IF(H_Direct=1,IF(BU84&lt;=0,AAG84-BU84*TH84,AAG84-MIN(MIN(BU84*TH84,(WT84+AAG84)),AAG84)),AAG84)</f>
        <v>0</v>
      </c>
      <c r="AAI84" s="20" t="n">
        <f aca="false">IF(H_Direct=1,IF(BV84&lt;=0,AAH84-BV84*TI84,AAH84-MIN(MIN(BV84*TI84,(WU84+AAH84)),AAH84)),AAH84)</f>
        <v>0</v>
      </c>
      <c r="AAJ84" s="20" t="n">
        <f aca="false">IF(H_Direct=1,IF(BW84&lt;=0,AAI84-BW84*TJ84,AAI84-MIN(MIN(BW84*TJ84,(WV84+AAI84)),AAI84)),AAI84)</f>
        <v>0</v>
      </c>
      <c r="AAK84" s="20" t="n">
        <f aca="false">IF(H_Direct=1,IF(BX84&lt;=0,AAJ84-BX84*TK84,AAJ84-MIN(MIN(BX84*TK84,(WW84+AAJ84)),AAJ84)),AAJ84)</f>
        <v>0</v>
      </c>
      <c r="AAL84" s="20" t="n">
        <f aca="false">IF(H_Direct=1,IF(BY84&lt;=0,AAK84-BY84*TL84,AAK84-MIN(MIN(BY84*TL84,(WX84+AAK84)),AAK84)),AAK84)</f>
        <v>0</v>
      </c>
      <c r="AAM84" s="20" t="n">
        <f aca="false">IF(H_Direct=1,IF(BZ84&lt;=0,AAL84-BZ84*TM84,AAL84-MIN(MIN(BZ84*TM84,(WY84+AAL84)),AAL84)),AAL84)</f>
        <v>0</v>
      </c>
      <c r="AAN84" s="20" t="n">
        <f aca="false">IF(H_Direct=1,IF(CA84&lt;=0,AAM84-CA84*TN84,AAM84-MIN(MIN(CA84*TN84,(WZ84+AAM84)),AAM84)),AAM84)</f>
        <v>0</v>
      </c>
      <c r="AAO84" s="20" t="n">
        <f aca="false">IF(H_Direct=1,IF(CB84&lt;=0,AAN84-CB84*TO84,AAN84-MIN(MIN(CB84*TO84,(XA84+AAN84)),AAN84)),AAN84)</f>
        <v>0</v>
      </c>
      <c r="AAP84" s="20" t="n">
        <f aca="false">IF(H_Direct=1,IF(CC84&lt;=0,AAO84-CC84*TP84,AAO84-MIN(MIN(CC84*TP84,(XB84+AAO84)),AAO84)),AAO84)</f>
        <v>0</v>
      </c>
      <c r="AAQ84" s="20" t="n">
        <f aca="false">IF(H_Direct=1,IF(CD84&lt;=0,AAP84-CD84*TQ84,AAP84-MIN(MIN(CD84*TQ84,(XC84+AAP84)),AAP84)),AAP84)</f>
        <v>0</v>
      </c>
      <c r="AAR84" s="20" t="n">
        <f aca="false">IF(H_Direct=1,IF(CE84&lt;=0,AAQ84-CE84*TR84,AAQ84-MIN(MIN(CE84*TR84,(XD84+AAQ84)),AAQ84)),AAQ84)</f>
        <v>0</v>
      </c>
      <c r="AAS84" s="20" t="n">
        <f aca="false">IF(H_Direct=1,IF(CF84&lt;=0,AAR84-CF84*TS84,AAR84-MIN(MIN(CF84*TS84,(XE84+AAR84)),AAR84)),AAR84)</f>
        <v>0</v>
      </c>
      <c r="AAT84" s="20" t="n">
        <f aca="false">IF(H_Direct=1,IF(CG84&lt;=0,AAS84-CG84*TT84,AAS84-MIN(MIN(CG84*TT84,(XF84+AAS84)),AAS84)),AAS84)</f>
        <v>0</v>
      </c>
      <c r="AAU84" s="20" t="n">
        <f aca="false">IF(H_Direct=1,IF(CH84&lt;=0,AAT84-CH84*TU84,AAT84-MIN(MIN(CH84*TU84,(XG84+AAT84)),AAT84)),AAT84)</f>
        <v>0</v>
      </c>
      <c r="AAV84" s="20" t="n">
        <f aca="false">IF(H_Direct=1,IF(CI84&lt;=0,AAU84-CI84*TV84,AAU84-MIN(MIN(CI84*TV84,(XH84+AAU84)),AAU84)),AAU84)</f>
        <v>0</v>
      </c>
      <c r="AAW84" s="20" t="n">
        <f aca="false">IF(H_Direct=1,IF(CJ84&lt;=0,AAV84-CJ84*TW84,AAV84-MIN(MIN(CJ84*TW84,(XI84+AAV84)),AAV84)),AAV84)</f>
        <v>0</v>
      </c>
      <c r="AAX84" s="20" t="n">
        <f aca="false">IF(H_Direct=1,IF(CK84&lt;=0,AAW84-CK84*TX84,AAW84-MIN(MIN(CK84*TX84,(XJ84+AAW84)),AAW84)),AAW84)</f>
        <v>0</v>
      </c>
      <c r="AAY84" s="20" t="n">
        <f aca="false">IF(H_Direct=1,IF(CL84&lt;=0,AAX84-CL84*TY84,AAX84-MIN(MIN(CL84*TY84,(XK84+AAX84)),AAX84)),AAX84)</f>
        <v>0</v>
      </c>
      <c r="AAZ84" s="20" t="n">
        <f aca="false">IF(H_Direct=1,IF(CM84&lt;=0,AAY84-CM84*TZ84,AAY84-MIN(MIN(CM84*TZ84,(XL84+AAY84)),AAY84)),AAY84)</f>
        <v>0</v>
      </c>
      <c r="ABA84" s="20" t="n">
        <f aca="false">IF(H_Direct=1,IF(CN84&lt;=0,AAZ84-CN84*UA84,AAZ84-MIN(MIN(CN84*UA84,(XM84+AAZ84)),AAZ84)),AAZ84)</f>
        <v>0</v>
      </c>
      <c r="ABB84" s="20" t="n">
        <f aca="false">IF(H_Direct=1,IF(CO84&lt;=0,ABA84-CO84*UB84,ABA84-MIN(MIN(CO84*UB84,(XN84+ABA84)),ABA84)),ABA84)</f>
        <v>0</v>
      </c>
      <c r="ABC84" s="20" t="n">
        <f aca="false">IF(H_Direct=1,IF(CP84&lt;=0,ABB84-CP84*UC84,ABB84-MIN(MIN(CP84*UC84,(XO84+ABB84)),ABB84)),ABB84)</f>
        <v>0</v>
      </c>
      <c r="ABD84" s="20" t="n">
        <f aca="false">IF(H_Direct=1,IF(CQ84&lt;=0,ABC84-CQ84*UD84,ABC84-MIN(MIN(CQ84*UD84,(XP84+ABC84)),ABC84)),ABC84)</f>
        <v>0</v>
      </c>
      <c r="ABE84" s="20" t="n">
        <f aca="false">IF(H_Direct=1,IF(CR84&lt;=0,ABD84-CR84*UE84,ABD84-MIN(MIN(CR84*UE84,(XQ84+ABD84)),ABD84)),ABD84)</f>
        <v>0</v>
      </c>
      <c r="ABF84" s="20" t="n">
        <f aca="false">IF(H_Direct=1,IF(CS84&lt;=0,ABE84-CS84*UF84,ABE84-MIN(MIN(CS84*UF84,(XR84+ABE84)),ABE84)),ABE84)</f>
        <v>0</v>
      </c>
      <c r="ABG84" s="20" t="n">
        <f aca="false">IF(H_Direct=1,IF(CT84&lt;=0,ABF84-CT84*UG84,ABF84-MIN(MIN(CT84*UG84,(XS84+ABF84)),ABF84)),ABF84)</f>
        <v>0</v>
      </c>
      <c r="ABH84" s="20" t="n">
        <f aca="false">IF(H_Direct=1,IF(CU84&lt;=0,ABG84-CU84*UH84,ABG84-MIN(MIN(CU84*UH84,(XT84+ABG84)),ABG84)),ABG84)</f>
        <v>0</v>
      </c>
      <c r="ABI84" s="20" t="n">
        <f aca="false">IF(H_Direct=1,IF(CV84&lt;=0,ABH84-CV84*UI84,ABH84-MIN(MIN(CV84*UI84,(XU84+ABH84)),ABH84)),ABH84)</f>
        <v>0</v>
      </c>
      <c r="ABJ84" s="20" t="n">
        <f aca="false">IF(H_Direct=1,IF(CW84&lt;=0,ABI84-CW84*UJ84,ABI84-MIN(MIN(CW84*UJ84,(XV84+ABI84)),ABI84)),ABI84)</f>
        <v>0</v>
      </c>
      <c r="ABK84" s="20" t="n">
        <f aca="false">IF(H_Direct=1,IF(CX84&lt;=0,ABJ84-CX84*UK84,ABJ84-MIN(MIN(CX84*UK84,(XW84+ABJ84)),ABJ84)),ABJ84)</f>
        <v>0</v>
      </c>
      <c r="ABL84" s="20" t="n">
        <f aca="false">IF(H_Direct=1,IF(CY84&lt;=0,ABK84-CY84*UL84,ABK84-MIN(MIN(CY84*UL84,(XX84+ABK84)),ABK84)),ABK84)</f>
        <v>0</v>
      </c>
      <c r="ABM84" s="20" t="n">
        <f aca="false">IF(H_Direct=1,IF(CZ84&lt;=0,ABL84-CZ84*UM84,ABL84-MIN(MIN(CZ84*UM84,(XY84+ABL84)),ABL84)),ABL84)</f>
        <v>0</v>
      </c>
      <c r="ABN84" s="20" t="n">
        <f aca="false">IF(H_Direct=1,IF(DA84&lt;=0,ABM84-DA84*UN84,ABM84-MIN(MIN(DA84*UN84,(XZ84+ABM84)),ABM84)),ABM84)</f>
        <v>0</v>
      </c>
      <c r="ABO84" s="20" t="n">
        <f aca="false">IF(H_Direct=1,IF(DB84&lt;=0,ABN84-DB84*UO84,ABN84-MIN(MIN(DB84*UO84,(YA84+ABN84)),ABN84)),ABN84)</f>
        <v>0</v>
      </c>
      <c r="ABP84" s="20" t="n">
        <f aca="false">IF(H_Direct=1,IF(DC84&lt;=0,ABO84-DC84*UP84,ABO84-MIN(MIN(DC84*UP84,(YB84+ABO84)),ABO84)),ABO84)</f>
        <v>0</v>
      </c>
      <c r="ABQ84" s="20" t="n">
        <f aca="false">IF(H_Direct=1,IF(DD84&lt;=0,ABP84-DD84*UQ84,ABP84-MIN(MIN(DD84*UQ84,(YC84+ABP84)),ABP84)),ABP84)</f>
        <v>0</v>
      </c>
      <c r="ABR84" s="20" t="n">
        <f aca="false">IF(H_Direct=1,IF(DE84&lt;=0,ABQ84-DE84*UR84,ABQ84-MIN(MIN(DE84*UR84,(YD84+ABQ84)),ABQ84)),ABQ84)</f>
        <v>0</v>
      </c>
      <c r="ABS84" s="20" t="n">
        <f aca="false">IF(H_Direct=1,IF(DF84&lt;=0,ABR84-DF84*US84,ABR84-MIN(MIN(DF84*US84,(YE84+ABR84)),ABR84)),ABR84)</f>
        <v>0</v>
      </c>
      <c r="ABT84" s="20" t="n">
        <f aca="false">IF(H_Direct=1,IF(DG84&lt;=0,ABS84-DG84*UT84,ABS84-MIN(MIN(DG84*UT84,(YF84+ABS84)),ABS84)),ABS84)</f>
        <v>0</v>
      </c>
      <c r="ABU84" s="20" t="n">
        <f aca="false">IF(H_Direct=1,IF(DH84&lt;=0,ABT84-DH84*UU84,ABT84-MIN(MIN(DH84*UU84,(YG84+ABT84)),ABT84)),ABT84)</f>
        <v>0</v>
      </c>
      <c r="ABV84" s="20" t="n">
        <f aca="false">IF(H_Direct=1,IF(DI84&lt;=0,ABU84-DI84*UV84,ABU84-MIN(MIN(DI84*UV84,(YH84+ABU84)),ABU84)),ABU84)</f>
        <v>0</v>
      </c>
      <c r="ABW84" s="20" t="n">
        <f aca="false">IF(H_Direct=1,IF(DJ84&lt;=0,ABV84-DJ84*UW84,ABV84-MIN(MIN(DJ84*UW84,(YI84+ABV84)),ABV84)),ABV84)</f>
        <v>0</v>
      </c>
      <c r="ABX84" s="20" t="n">
        <f aca="false">IF(H_Direct=1,IF(DK84&lt;=0,ABW84-DK84*UX84,ABW84-MIN(MIN(DK84*UX84,(YJ84+ABW84)),ABW84)),ABW84)</f>
        <v>0</v>
      </c>
      <c r="ABY84" s="20" t="n">
        <f aca="false">IF(H_Direct=1,IF(DL84&lt;=0,ABX84-DL84*UY84,ABX84-MIN(MIN(DL84*UY84,(YK84+ABX84)),ABX84)),ABX84)</f>
        <v>0</v>
      </c>
      <c r="ABZ84" s="20" t="n">
        <f aca="false">IF(H_Direct=1,IF(DM84&lt;=0,ABY84-DM84*UZ84,ABY84-MIN(MIN(DM84*UZ84,(YL84+ABY84)),ABY84)),ABY84)</f>
        <v>0</v>
      </c>
      <c r="ACA84" s="20" t="n">
        <f aca="false">IF(H_Direct=1,IF(DN84&lt;=0,ABZ84-DN84*VA84,ABZ84-MIN(MIN(DN84*VA84,(YM84+ABZ84)),ABZ84)),ABZ84)</f>
        <v>0</v>
      </c>
      <c r="ACB84" s="20" t="n">
        <f aca="false">IF(H_Direct=1,IF(DO84&lt;=0,ACA84-DO84*VB84,ACA84-MIN(MIN(DO84*VB84,(YN84+ACA84)),ACA84)),ACA84)</f>
        <v>0</v>
      </c>
      <c r="ACC84" s="20" t="n">
        <f aca="false">IF(H_Direct=1,IF(DP84&lt;=0,ACB84-DP84*VC84,ACB84-MIN(MIN(DP84*VC84,(YO84+ACB84)),ACB84)),ACB84)</f>
        <v>0</v>
      </c>
      <c r="ACD84" s="20" t="n">
        <f aca="false">IF(H_Direct=1,IF(DQ84&lt;=0,ACC84-DQ84*VD84,ACC84-MIN(MIN(DQ84*VD84,(YP84+ACC84)),ACC84)),ACC84)</f>
        <v>0</v>
      </c>
      <c r="ACE84" s="20" t="n">
        <f aca="false">IF(H_Direct=1,IF(DR84&lt;=0,ACD84-DR84*VE84,ACD84-MIN(MIN(DR84*VE84,(YQ84+ACD84)),ACD84)),ACD84)</f>
        <v>0</v>
      </c>
      <c r="ACF84" s="20" t="n">
        <f aca="false">IF(H_Direct=1,IF(DS84&lt;=0,ACE84-DS84*VF84,ACE84-MIN(MIN(DS84*VF84,(YR84+ACE84)),ACE84)),ACE84)</f>
        <v>0</v>
      </c>
      <c r="ACG84" s="20" t="n">
        <f aca="false">IF(H_Direct=1,IF(DT84&lt;=0,ACF84-DT84*VG84,ACF84-MIN(MIN(DT84*VG84,(YS84+ACF84)),ACF84)),ACF84)</f>
        <v>0</v>
      </c>
      <c r="ACH84" s="20" t="n">
        <f aca="false">IF(H_Direct=1,IF(DU84&lt;=0,ACG84-DU84*VH84,ACG84-MIN(MIN(DU84*VH84,(YT84+ACG84)),ACG84)),ACG84)</f>
        <v>0</v>
      </c>
      <c r="ACI84" s="20" t="n">
        <f aca="false">IF(H_Direct=1,IF(DV84&lt;=0,ACH84-DV84*VI84,ACH84-MIN(MIN(DV84*VI84,(YU84+ACH84)),ACH84)),ACH84)</f>
        <v>0</v>
      </c>
      <c r="ACJ84" s="20" t="n">
        <f aca="false">IF(H_Direct=1,IF(DW84&lt;=0,ACI84-DW84*VJ84,ACI84-MIN(MIN(DW84*VJ84,(YV84+ACI84)),ACI84)),ACI84)</f>
        <v>0</v>
      </c>
      <c r="ACK84" s="20" t="n">
        <f aca="false">IF(H_Direct=1,IF(DX84&lt;=0,ACJ84-DX84*VK84,ACJ84-MIN(MIN(DX84*VK84,(YW84+ACJ84)),ACJ84)),ACJ84)</f>
        <v>0</v>
      </c>
      <c r="ACL84" s="20" t="n">
        <f aca="false">IF(H_Direct=1,IF(DY84&lt;=0,ACK84-DY84*VL84,ACK84-MIN(MIN(DY84*VL84,(YX84+ACK84)),ACK84)),ACK84)</f>
        <v>0</v>
      </c>
      <c r="ACM84" s="20" t="n">
        <f aca="false">IF(H_Direct=1,IF(DZ84&lt;=0,ACL84-DZ84*VM84,ACL84-MIN(MIN(DZ84*VM84,(YY84+ACL84)),ACL84)),ACL84)</f>
        <v>0</v>
      </c>
      <c r="ACN84" s="20" t="n">
        <f aca="false">IF(H_Direct=1,IF(EA84&lt;=0,ACM84-EA84*VN84,ACM84-MIN(MIN(EA84*VN84,(YZ84+ACM84)),ACM84)),ACM84)</f>
        <v>0</v>
      </c>
      <c r="ACO84" s="20" t="n">
        <f aca="false">IF(H_Direct=1,IF(EB84&lt;=0,ACN84-EB84*VO84,ACN84-MIN(MIN(EB84*VO84,(ZA84+ACN84)),ACN84)),ACN84)</f>
        <v>0</v>
      </c>
      <c r="ACP84" s="20" t="n">
        <f aca="false">IF(H_Direct=1,IF(EC84&lt;=0,ACO84-EC84*VP84,ACO84-MIN(MIN(EC84*VP84,(ZB84+ACO84)),ACO84)),ACO84)</f>
        <v>0</v>
      </c>
      <c r="ACQ84" s="20" t="n">
        <f aca="false">IF(H_Direct=1,IF(ED84&lt;=0,ACP84-ED84*VQ84,ACP84-MIN(MIN(ED84*VQ84,(ZC84+ACP84)),ACP84)),ACP84)</f>
        <v>0</v>
      </c>
      <c r="ACR84" s="20" t="n">
        <f aca="false">IF(H_Direct=1,IF(EE84&lt;=0,ACQ84-EE84*VR84,ACQ84-MIN(MIN(EE84*VR84,(ZD84+ACQ84)),ACQ84)),ACQ84)</f>
        <v>0</v>
      </c>
      <c r="ACS84" s="20" t="n">
        <f aca="false">IF(H_Direct=1,IF(EF84&lt;=0,ACR84-EF84*VS84,ACR84-MIN(MIN(EF84*VS84,(ZE84+ACR84)),ACR84)),ACR84)</f>
        <v>0</v>
      </c>
      <c r="ACT84" s="20" t="n">
        <f aca="false">IF(H_Direct=1,IF(EG84&lt;=0,ACS84-EG84*VT84,ACS84-MIN(MIN(EG84*VT84,(ZF84+ACS84)),ACS84)),ACS84)</f>
        <v>0</v>
      </c>
      <c r="ACU84" s="20" t="n">
        <f aca="false">IF(H_Direct=1,IF(EH84&lt;=0,ACT84-EH84*VU84,ACT84-MIN(MIN(EH84*VU84,(ZG84+ACT84)),ACT84)),ACT84)</f>
        <v>0</v>
      </c>
      <c r="ACV84" s="20" t="n">
        <f aca="false">IF(H_Direct=1,IF(EI84&lt;=0,ACU84-EI84*VV84,ACU84-MIN(MIN(EI84*VV84,(ZH84+ACU84)),ACU84)),ACU84)</f>
        <v>0</v>
      </c>
      <c r="ACW84" s="20" t="n">
        <f aca="false">IF(H_Direct=1,IF(EJ84&lt;=0,ACV84-EJ84*VW84,ACV84-MIN(MIN(EJ84*VW84,(ZI84+ACV84)),ACV84)),ACV84)</f>
        <v>0</v>
      </c>
      <c r="ACX84" s="20" t="n">
        <f aca="false">IF(H_Direct=1,IF(EK84&lt;=0,ACW84-EK84*VX84,ACW84-MIN(MIN(EK84*VX84,(ZJ84+ACW84)),ACW84)),ACW84)</f>
        <v>0</v>
      </c>
      <c r="ACY84" s="20" t="n">
        <f aca="false">IF(H_Direct=1,IF(EL84&lt;=0,ACX84-EL84*VY84,ACX84-MIN(MIN(EL84*VY84,(ZK84+ACX84)),ACX84)),ACX84)</f>
        <v>0</v>
      </c>
      <c r="ACZ84" s="20" t="n">
        <f aca="false">IF(H_Direct=1,IF(EM84&lt;=0,ACY84-EM84*VZ84,ACY84-MIN(MIN(EM84*VZ84,(ZL84+ACY84)),ACY84)),ACY84)</f>
        <v>0</v>
      </c>
      <c r="ADA84" s="20" t="n">
        <f aca="false">IF(H_Direct=1,IF(EN84&lt;=0,ACZ84-EN84*WA84,ACZ84-MIN(MIN(EN84*WA84,(ZM84+ACZ84)),ACZ84)),ACZ84)</f>
        <v>0</v>
      </c>
      <c r="ADB84" s="20" t="n">
        <f aca="false">IF(H_Direct=1,IF(EO84&lt;=0,ADA84-EO84*WB84,ADA84-MIN(MIN(EO84*WB84,(ZN84+ADA84)),ADA84)),ADA84)</f>
        <v>0</v>
      </c>
      <c r="ADC84" s="20" t="n">
        <f aca="false">IF(H_Direct=1,IF(EP84&lt;=0,ADB84-EP84*WC84,ADB84-MIN(MIN(EP84*WC84,(ZO84+ADB84)),ADB84)),ADB84)</f>
        <v>0</v>
      </c>
      <c r="ADD84" s="20" t="n">
        <f aca="false">IF(H_Direct=1,IF(EQ84&lt;=0,ADC84-EQ84*WD84,ADC84-MIN(MIN(EQ84*WD84,(ZP84+ADC84)),ADC84)),ADC84)</f>
        <v>0</v>
      </c>
      <c r="ADE84" s="20" t="n">
        <f aca="false">ADD84</f>
        <v>0</v>
      </c>
      <c r="ADF84" s="20" t="n">
        <f aca="false">ADE84</f>
        <v>0</v>
      </c>
      <c r="ADG84" s="20" t="n">
        <f aca="false">ADF84</f>
        <v>0</v>
      </c>
      <c r="ADH84" s="20" t="n">
        <f aca="false">ADG84</f>
        <v>0</v>
      </c>
      <c r="ADI84" s="20" t="n">
        <f aca="false">ADH84</f>
        <v>0</v>
      </c>
      <c r="ADJ84" s="20" t="n">
        <f aca="false">ADI84</f>
        <v>0</v>
      </c>
      <c r="ADK84" s="20" t="n">
        <f aca="false">ADJ84</f>
        <v>0</v>
      </c>
      <c r="ADL84" s="20" t="n">
        <f aca="false">ADK84</f>
        <v>0</v>
      </c>
      <c r="ADM84" s="20" t="n">
        <f aca="false">ADL84</f>
        <v>0</v>
      </c>
      <c r="ADN84" s="20" t="n">
        <f aca="false">ADM84</f>
        <v>0</v>
      </c>
      <c r="ADO84" s="20" t="n">
        <f aca="false">ADN84</f>
        <v>0</v>
      </c>
      <c r="ADP84" s="20" t="n">
        <f aca="false">ADO84</f>
        <v>0</v>
      </c>
      <c r="ADQ84" s="20" t="n">
        <f aca="false">ADP84</f>
        <v>0</v>
      </c>
      <c r="ADR84" s="20" t="n">
        <f aca="false">(AKR83-TE84+0)*(1+BQ84)</f>
        <v>0</v>
      </c>
      <c r="ADS84" s="20" t="n">
        <f aca="false">(AKS83-TF84+0)*(1+BQ84)</f>
        <v>0</v>
      </c>
      <c r="ADT84" s="20" t="n">
        <f aca="false">(AKT83-TG84+0)*(1+BQ84)</f>
        <v>0</v>
      </c>
      <c r="ADU84" s="20" t="n">
        <f aca="false">(AKU83-TH84+0)*(1+BQ84)</f>
        <v>0</v>
      </c>
      <c r="ADV84" s="20" t="n">
        <f aca="false">(AKV83-TI84+0)*(1+BQ84)</f>
        <v>0</v>
      </c>
      <c r="ADW84" s="20" t="n">
        <f aca="false">(AKW83-TJ84+0)*(1+BQ84)</f>
        <v>0</v>
      </c>
      <c r="ADX84" s="20" t="n">
        <f aca="false">(AKX83-TK84+0)*(1+BQ84)</f>
        <v>0</v>
      </c>
      <c r="ADY84" s="20" t="n">
        <f aca="false">(AKY83-TL84+0)*(1+BQ84)</f>
        <v>0</v>
      </c>
      <c r="ADZ84" s="20" t="n">
        <f aca="false">(AKZ83-TM84+0)*(1+BQ84)</f>
        <v>0</v>
      </c>
      <c r="AEA84" s="20" t="n">
        <f aca="false">(ALA83-TN84+0)*(1+BQ84)</f>
        <v>0</v>
      </c>
      <c r="AEB84" s="20" t="n">
        <f aca="false">(ALB83-TO84+0)*(1+BQ84)</f>
        <v>0</v>
      </c>
      <c r="AEC84" s="20" t="n">
        <f aca="false">(ALC83-TP84+0)*(1+BQ84)</f>
        <v>0</v>
      </c>
      <c r="AED84" s="20" t="n">
        <f aca="false">(ALD83-TQ84+0)*(1+BQ84)</f>
        <v>0</v>
      </c>
      <c r="AEE84" s="20" t="n">
        <f aca="false">(ALE83-TR84+0)*(1+BQ84)</f>
        <v>0</v>
      </c>
      <c r="AEF84" s="20" t="n">
        <f aca="false">(ALF83-TS84+0)*(1+BQ84)</f>
        <v>0</v>
      </c>
      <c r="AEG84" s="20" t="n">
        <f aca="false">(ALG83-TT84+0)*(1+BQ84)</f>
        <v>0</v>
      </c>
      <c r="AEH84" s="20" t="n">
        <f aca="false">(ALH83-TU84+0)*(1+BQ84)</f>
        <v>0</v>
      </c>
      <c r="AEI84" s="20" t="n">
        <f aca="false">(ALI83-TV84+0)*(1+BQ84)</f>
        <v>0</v>
      </c>
      <c r="AEJ84" s="20" t="n">
        <f aca="false">(ALJ83-TW84+0)*(1+BQ84)</f>
        <v>0</v>
      </c>
      <c r="AEK84" s="20" t="n">
        <f aca="false">(ALK83-TX84+0)*(1+BQ84)</f>
        <v>0</v>
      </c>
      <c r="AEL84" s="20" t="n">
        <f aca="false">(ALL83-TY84+0)*(1+BQ84)</f>
        <v>0</v>
      </c>
      <c r="AEM84" s="20" t="n">
        <f aca="false">(ALM83-TZ84+0)*(1+BQ84)</f>
        <v>0</v>
      </c>
      <c r="AEN84" s="20" t="n">
        <f aca="false">(ALN83-UA84+0)*(1+BQ84)</f>
        <v>0</v>
      </c>
      <c r="AEO84" s="20" t="n">
        <f aca="false">(ALO83-UB84+0)*(1+BQ84)</f>
        <v>0</v>
      </c>
      <c r="AEP84" s="20" t="n">
        <f aca="false">(ALP83-UC84+0)*(1+BQ84)</f>
        <v>0</v>
      </c>
      <c r="AEQ84" s="20" t="n">
        <f aca="false">(ALQ83-UD84+0)*(1+BQ84)</f>
        <v>0</v>
      </c>
      <c r="AER84" s="20" t="n">
        <f aca="false">(ALR83-UE84+0)*(1+BQ84)</f>
        <v>0</v>
      </c>
      <c r="AES84" s="20" t="n">
        <f aca="false">(ALS83-UF84+0)*(1+BQ84)</f>
        <v>0</v>
      </c>
      <c r="AET84" s="20" t="n">
        <f aca="false">(ALT83-UG84+0)*(1+BQ84)</f>
        <v>0</v>
      </c>
      <c r="AEU84" s="20" t="n">
        <f aca="false">(ALU83-UH84+0)*(1+BQ84)</f>
        <v>0</v>
      </c>
      <c r="AEV84" s="20" t="n">
        <f aca="false">(ALV83-UI84+0)*(1+BQ84)</f>
        <v>0</v>
      </c>
      <c r="AEW84" s="20" t="n">
        <f aca="false">(ALW83-UJ84+0)*(1+BQ84)</f>
        <v>0</v>
      </c>
      <c r="AEX84" s="20" t="n">
        <f aca="false">(ALX83-UK84+0)*(1+BQ84)</f>
        <v>0</v>
      </c>
      <c r="AEY84" s="20" t="n">
        <f aca="false">(ALY83-UL84+0)*(1+BQ84)</f>
        <v>0</v>
      </c>
      <c r="AEZ84" s="20" t="n">
        <f aca="false">(ALZ83-UM84+0)*(1+BQ84)</f>
        <v>0</v>
      </c>
      <c r="AFA84" s="20" t="n">
        <f aca="false">(AMA83-UN84+0)*(1+BQ84)</f>
        <v>0</v>
      </c>
      <c r="AFB84" s="20" t="n">
        <f aca="false">(AMB83-UO84+0)*(1+BQ84)</f>
        <v>0</v>
      </c>
      <c r="AFC84" s="20" t="n">
        <f aca="false">(AMC83-UP84+0)*(1+BQ84)</f>
        <v>0</v>
      </c>
      <c r="AFD84" s="20" t="n">
        <f aca="false">(AMD83-UQ84+0)*(1+BQ84)</f>
        <v>0</v>
      </c>
      <c r="AFE84" s="20" t="n">
        <f aca="false">(AME83-UR84+0)*(1+BQ84)</f>
        <v>0</v>
      </c>
      <c r="AFF84" s="20" t="n">
        <f aca="false">(AMF83-US84+0)*(1+BQ84)</f>
        <v>0</v>
      </c>
      <c r="AFG84" s="20" t="n">
        <f aca="false">(AMG83-UT84+0)*(1+BQ84)</f>
        <v>0</v>
      </c>
      <c r="AFH84" s="20" t="n">
        <f aca="false">(AMH83-UU84+0)*(1+BQ84)</f>
        <v>0</v>
      </c>
      <c r="AFI84" s="20" t="n">
        <f aca="false">(AMI83-UV84+0)*(1+BQ84)</f>
        <v>0</v>
      </c>
      <c r="AFJ84" s="20" t="n">
        <f aca="false">(AMJ83-UW84+0)*(1+BQ84)</f>
        <v>0</v>
      </c>
      <c r="AFK84" s="20" t="n">
        <f aca="false">(AMK83-UX84+0)*(1+BQ84)</f>
        <v>0</v>
      </c>
      <c r="AFL84" s="20" t="n">
        <f aca="false">(AML83-UY84+0)*(1+BQ84)</f>
        <v>0</v>
      </c>
      <c r="AFM84" s="20" t="n">
        <f aca="false">(AMM83-UZ84+0)*(1+BQ84)</f>
        <v>0</v>
      </c>
      <c r="AFN84" s="20" t="n">
        <f aca="false">(AMN83-VA84+0)*(1+BQ84)</f>
        <v>0</v>
      </c>
      <c r="AFO84" s="20" t="n">
        <f aca="false">(AMO83-VB84+0)*(1+BQ84)</f>
        <v>0</v>
      </c>
      <c r="AFP84" s="20" t="n">
        <f aca="false">(AMP83-VC84+0)*(1+BQ84)</f>
        <v>0</v>
      </c>
      <c r="AFQ84" s="20" t="n">
        <f aca="false">(AMQ83-VD84+0)*(1+BQ84)</f>
        <v>0</v>
      </c>
      <c r="AFR84" s="20" t="n">
        <f aca="false">(AMR83-VE84+0)*(1+BQ84)</f>
        <v>0</v>
      </c>
      <c r="AFS84" s="20" t="n">
        <f aca="false">(AMS83-VF84+0)*(1+BQ84)</f>
        <v>0</v>
      </c>
      <c r="AFT84" s="20" t="n">
        <f aca="false">(AMT83-VG84+0)*(1+BQ84)</f>
        <v>0</v>
      </c>
      <c r="AFU84" s="20" t="n">
        <f aca="false">(AMU83-VH84+0)*(1+BQ84)</f>
        <v>0</v>
      </c>
      <c r="AFV84" s="20" t="n">
        <f aca="false">(AMV83-VI84+0)*(1+BQ84)</f>
        <v>0</v>
      </c>
      <c r="AFW84" s="20" t="n">
        <f aca="false">(AMW83-VJ84+0)*(1+BQ84)</f>
        <v>0</v>
      </c>
      <c r="AFX84" s="20" t="n">
        <f aca="false">(AMX83-VK84+0)*(1+BQ84)</f>
        <v>0</v>
      </c>
      <c r="AFY84" s="20" t="n">
        <f aca="false">(AMY83-VL84+0)*(1+BQ84)</f>
        <v>0</v>
      </c>
      <c r="AFZ84" s="20" t="n">
        <f aca="false">(AMZ83-VM84+0)*(1+BQ84)</f>
        <v>0</v>
      </c>
      <c r="AGA84" s="20" t="n">
        <f aca="false">(ANA83-VN84+0)*(1+BQ84)</f>
        <v>0</v>
      </c>
      <c r="AGB84" s="20" t="n">
        <f aca="false">(ANB83-VO84+0)*(1+BQ84)</f>
        <v>0</v>
      </c>
      <c r="AGC84" s="20" t="n">
        <f aca="false">(ANC83-VP84+0)*(1+BQ84)</f>
        <v>0</v>
      </c>
      <c r="AGD84" s="20" t="n">
        <f aca="false">(AND83-VQ84+0)*(1+BQ84)</f>
        <v>0</v>
      </c>
      <c r="AGE84" s="20" t="n">
        <f aca="false">(ANE83-VR84+0)*(1+BQ84)</f>
        <v>0</v>
      </c>
      <c r="AGF84" s="20" t="n">
        <f aca="false">(ANF83-VS84+0)*(1+BQ84)</f>
        <v>0</v>
      </c>
      <c r="AGG84" s="20" t="n">
        <f aca="false">(ANG83-VT84+0)*(1+BQ84)</f>
        <v>0</v>
      </c>
      <c r="AGH84" s="20" t="n">
        <f aca="false">(ANH83-VU84+0)*(1+BQ84)</f>
        <v>0</v>
      </c>
      <c r="AGI84" s="20" t="n">
        <f aca="false">(ANI83-VV84+0)*(1+BQ84)</f>
        <v>0</v>
      </c>
      <c r="AGJ84" s="20" t="n">
        <f aca="false">(ANJ83-VW84+0)*(1+BQ84)</f>
        <v>0</v>
      </c>
      <c r="AGK84" s="20" t="n">
        <f aca="false">(ANK83-VX84+0)*(1+BQ84)</f>
        <v>0</v>
      </c>
      <c r="AGL84" s="20" t="n">
        <f aca="false">(ANL83-VY84+0)*(1+BQ84)</f>
        <v>0</v>
      </c>
      <c r="AGM84" s="20" t="n">
        <f aca="false">(ANM83-VZ84+0)*(1+BQ84)</f>
        <v>0</v>
      </c>
      <c r="AGN84" s="20" t="n">
        <f aca="false">(ANN83-WA84+0)*(1+BQ84)</f>
        <v>0</v>
      </c>
      <c r="AGO84" s="20" t="n">
        <f aca="false">(ANO83-WB84+0)*(1+BQ84)</f>
        <v>0</v>
      </c>
      <c r="AGP84" s="20" t="n">
        <f aca="false">(ANP83-WC84+0)*(1+BQ84)</f>
        <v>0</v>
      </c>
      <c r="AGQ84" s="20" t="n">
        <f aca="false">((P84+S84)-WD84+BE84)*(1+BQ84)</f>
        <v>0</v>
      </c>
      <c r="AGR84" s="20" t="n">
        <v>0</v>
      </c>
      <c r="AGS84" s="20" t="n">
        <v>0</v>
      </c>
      <c r="AGT84" s="20" t="n">
        <v>0</v>
      </c>
      <c r="AGU84" s="20" t="n">
        <v>0</v>
      </c>
      <c r="AGV84" s="20" t="n">
        <v>0</v>
      </c>
      <c r="AGW84" s="20" t="n">
        <v>0</v>
      </c>
      <c r="AGX84" s="20" t="n">
        <v>0</v>
      </c>
      <c r="AGY84" s="20" t="n">
        <v>0</v>
      </c>
      <c r="AGZ84" s="20" t="n">
        <v>0</v>
      </c>
      <c r="AHA84" s="20" t="n">
        <v>0</v>
      </c>
      <c r="AHB84" s="20" t="n">
        <v>0</v>
      </c>
      <c r="AHC84" s="20" t="n">
        <v>0</v>
      </c>
      <c r="AHD84" s="20" t="n">
        <v>0</v>
      </c>
      <c r="AHE84" s="20" t="n">
        <f aca="false">IF(AKR83&gt;0,AOE83-AOE83*TE84/AKR83,0)+0</f>
        <v>0</v>
      </c>
      <c r="AHF84" s="20" t="n">
        <f aca="false">IF(AKS83&gt;0,AOF83-AOF83*TF84/AKS83,0)+0</f>
        <v>0</v>
      </c>
      <c r="AHG84" s="20" t="n">
        <f aca="false">IF(AKT83&gt;0,AOG83-AOG83*TG84/AKT83,0)+0</f>
        <v>0</v>
      </c>
      <c r="AHH84" s="20" t="n">
        <f aca="false">IF(AKU83&gt;0,AOH83-AOH83*TH84/AKU83,0)+0</f>
        <v>0</v>
      </c>
      <c r="AHI84" s="20" t="n">
        <f aca="false">IF(AKV83&gt;0,AOI83-AOI83*TI84/AKV83,0)+0</f>
        <v>0</v>
      </c>
      <c r="AHJ84" s="20" t="n">
        <f aca="false">IF(AKW83&gt;0,AOJ83-AOJ83*TJ84/AKW83,0)+0</f>
        <v>0</v>
      </c>
      <c r="AHK84" s="20" t="n">
        <f aca="false">IF(AKX83&gt;0,AOK83-AOK83*TK84/AKX83,0)+0</f>
        <v>0</v>
      </c>
      <c r="AHL84" s="20" t="n">
        <f aca="false">IF(AKY83&gt;0,AOL83-AOL83*TL84/AKY83,0)+0</f>
        <v>0</v>
      </c>
      <c r="AHM84" s="20" t="n">
        <f aca="false">IF(AKZ83&gt;0,AOM83-AOM83*TM84/AKZ83,0)+0</f>
        <v>0</v>
      </c>
      <c r="AHN84" s="20" t="n">
        <f aca="false">IF(ALA83&gt;0,AON83-AON83*TN84/ALA83,0)+0</f>
        <v>0</v>
      </c>
      <c r="AHO84" s="20" t="n">
        <f aca="false">IF(ALB83&gt;0,AOO83-AOO83*TO84/ALB83,0)+0</f>
        <v>0</v>
      </c>
      <c r="AHP84" s="20" t="n">
        <f aca="false">IF(ALC83&gt;0,AOP83-AOP83*TP84/ALC83,0)+0</f>
        <v>0</v>
      </c>
      <c r="AHQ84" s="20" t="n">
        <f aca="false">IF(ALD83&gt;0,AOQ83-AOQ83*TQ84/ALD83,0)+0</f>
        <v>0</v>
      </c>
      <c r="AHR84" s="20" t="n">
        <f aca="false">IF(ALE83&gt;0,AOR83-AOR83*TR84/ALE83,0)+0</f>
        <v>0</v>
      </c>
      <c r="AHS84" s="20" t="n">
        <f aca="false">IF(ALF83&gt;0,AOS83-AOS83*TS84/ALF83,0)+0</f>
        <v>0</v>
      </c>
      <c r="AHT84" s="20" t="n">
        <f aca="false">IF(ALG83&gt;0,AOT83-AOT83*TT84/ALG83,0)+0</f>
        <v>0</v>
      </c>
      <c r="AHU84" s="20" t="n">
        <f aca="false">IF(ALH83&gt;0,AOU83-AOU83*TU84/ALH83,0)+0</f>
        <v>0</v>
      </c>
      <c r="AHV84" s="20" t="n">
        <f aca="false">IF(ALI83&gt;0,AOV83-AOV83*TV84/ALI83,0)+0</f>
        <v>0</v>
      </c>
      <c r="AHW84" s="20" t="n">
        <f aca="false">IF(ALJ83&gt;0,AOW83-AOW83*TW84/ALJ83,0)+0</f>
        <v>0</v>
      </c>
      <c r="AHX84" s="20" t="n">
        <f aca="false">IF(ALK83&gt;0,AOX83-AOX83*TX84/ALK83,0)+0</f>
        <v>0</v>
      </c>
      <c r="AHY84" s="20" t="n">
        <f aca="false">IF(ALL83&gt;0,AOY83-AOY83*TY84/ALL83,0)+0</f>
        <v>0</v>
      </c>
      <c r="AHZ84" s="20" t="n">
        <f aca="false">IF(ALM83&gt;0,AOZ83-AOZ83*TZ84/ALM83,0)+0</f>
        <v>0</v>
      </c>
      <c r="AIA84" s="20" t="n">
        <f aca="false">IF(ALN83&gt;0,APA83-APA83*UA84/ALN83,0)+0</f>
        <v>0</v>
      </c>
      <c r="AIB84" s="20" t="n">
        <f aca="false">IF(ALO83&gt;0,APB83-APB83*UB84/ALO83,0)+0</f>
        <v>0</v>
      </c>
      <c r="AIC84" s="20" t="n">
        <f aca="false">IF(ALP83&gt;0,APC83-APC83*UC84/ALP83,0)+0</f>
        <v>0</v>
      </c>
      <c r="AID84" s="20" t="n">
        <f aca="false">IF(ALQ83&gt;0,APD83-APD83*UD84/ALQ83,0)+0</f>
        <v>0</v>
      </c>
      <c r="AIE84" s="20" t="n">
        <f aca="false">IF(ALR83&gt;0,APE83-APE83*UE84/ALR83,0)+0</f>
        <v>0</v>
      </c>
      <c r="AIF84" s="20" t="n">
        <f aca="false">IF(ALS83&gt;0,APF83-APF83*UF84/ALS83,0)+0</f>
        <v>0</v>
      </c>
      <c r="AIG84" s="20" t="n">
        <f aca="false">IF(ALT83&gt;0,APG83-APG83*UG84/ALT83,0)+0</f>
        <v>0</v>
      </c>
      <c r="AIH84" s="20" t="n">
        <f aca="false">IF(ALU83&gt;0,APH83-APH83*UH84/ALU83,0)+0</f>
        <v>0</v>
      </c>
      <c r="AII84" s="20" t="n">
        <f aca="false">IF(ALV83&gt;0,API83-API83*UI84/ALV83,0)+0</f>
        <v>0</v>
      </c>
      <c r="AIJ84" s="20" t="n">
        <f aca="false">IF(ALW83&gt;0,APJ83-APJ83*UJ84/ALW83,0)+0</f>
        <v>0</v>
      </c>
      <c r="AIK84" s="20" t="n">
        <f aca="false">IF(ALX83&gt;0,APK83-APK83*UK84/ALX83,0)+0</f>
        <v>0</v>
      </c>
      <c r="AIL84" s="20" t="n">
        <f aca="false">IF(ALY83&gt;0,APL83-APL83*UL84/ALY83,0)+0</f>
        <v>0</v>
      </c>
      <c r="AIM84" s="20" t="n">
        <f aca="false">IF(ALZ83&gt;0,APM83-APM83*UM84/ALZ83,0)+0</f>
        <v>0</v>
      </c>
      <c r="AIN84" s="20" t="n">
        <f aca="false">IF(AMA83&gt;0,APN83-APN83*UN84/AMA83,0)+0</f>
        <v>0</v>
      </c>
      <c r="AIO84" s="20" t="n">
        <f aca="false">IF(AMB83&gt;0,APO83-APO83*UO84/AMB83,0)+0</f>
        <v>0</v>
      </c>
      <c r="AIP84" s="20" t="n">
        <f aca="false">IF(AMC83&gt;0,APP83-APP83*UP84/AMC83,0)+0</f>
        <v>0</v>
      </c>
      <c r="AIQ84" s="20" t="n">
        <f aca="false">IF(AMD83&gt;0,APQ83-APQ83*UQ84/AMD83,0)+0</f>
        <v>0</v>
      </c>
      <c r="AIR84" s="20" t="n">
        <f aca="false">IF(AME83&gt;0,APR83-APR83*UR84/AME83,0)+0</f>
        <v>0</v>
      </c>
      <c r="AIS84" s="20" t="n">
        <f aca="false">IF(AMF83&gt;0,APS83-APS83*US84/AMF83,0)+0</f>
        <v>0</v>
      </c>
      <c r="AIT84" s="20" t="n">
        <f aca="false">IF(AMG83&gt;0,APT83-APT83*UT84/AMG83,0)+0</f>
        <v>0</v>
      </c>
      <c r="AIU84" s="20" t="n">
        <f aca="false">IF(AMH83&gt;0,APU83-APU83*UU84/AMH83,0)+0</f>
        <v>0</v>
      </c>
      <c r="AIV84" s="20" t="n">
        <f aca="false">IF(AMI83&gt;0,APV83-APV83*UV84/AMI83,0)+0</f>
        <v>0</v>
      </c>
      <c r="AIW84" s="20" t="n">
        <f aca="false">IF(AMJ83&gt;0,APW83-APW83*UW84/AMJ83,0)+0</f>
        <v>0</v>
      </c>
      <c r="AIX84" s="20" t="n">
        <f aca="false">IF(AMK83&gt;0,APX83-APX83*UX84/AMK83,0)+0</f>
        <v>0</v>
      </c>
      <c r="AIY84" s="20" t="n">
        <f aca="false">IF(AML83&gt;0,APY83-APY83*UY84/AML83,0)+0</f>
        <v>0</v>
      </c>
      <c r="AIZ84" s="20" t="n">
        <f aca="false">IF(AMM83&gt;0,APZ83-APZ83*UZ84/AMM83,0)+0</f>
        <v>0</v>
      </c>
      <c r="AJA84" s="20" t="n">
        <f aca="false">IF(AMN83&gt;0,AQA83-AQA83*VA84/AMN83,0)+0</f>
        <v>0</v>
      </c>
      <c r="AJB84" s="20" t="n">
        <f aca="false">IF(AMO83&gt;0,AQB83-AQB83*VB84/AMO83,0)+0</f>
        <v>0</v>
      </c>
      <c r="AJC84" s="20" t="n">
        <f aca="false">IF(AMP83&gt;0,AQC83-AQC83*VC84/AMP83,0)+0</f>
        <v>0</v>
      </c>
      <c r="AJD84" s="20" t="n">
        <f aca="false">IF(AMQ83&gt;0,AQD83-AQD83*VD84/AMQ83,0)+0</f>
        <v>0</v>
      </c>
      <c r="AJE84" s="20" t="n">
        <f aca="false">IF(AMR83&gt;0,AQE83-AQE83*VE84/AMR83,0)+0</f>
        <v>0</v>
      </c>
      <c r="AJF84" s="20" t="n">
        <f aca="false">IF(AMS83&gt;0,AQF83-AQF83*VF84/AMS83,0)+0</f>
        <v>0</v>
      </c>
      <c r="AJG84" s="20" t="n">
        <f aca="false">IF(AMT83&gt;0,AQG83-AQG83*VG84/AMT83,0)+0</f>
        <v>0</v>
      </c>
      <c r="AJH84" s="20" t="n">
        <f aca="false">IF(AMU83&gt;0,AQH83-AQH83*VH84/AMU83,0)+0</f>
        <v>0</v>
      </c>
      <c r="AJI84" s="20" t="n">
        <f aca="false">IF(AMV83&gt;0,AQI83-AQI83*VI84/AMV83,0)+0</f>
        <v>0</v>
      </c>
      <c r="AJJ84" s="20" t="n">
        <f aca="false">IF(AMW83&gt;0,AQJ83-AQJ83*VJ84/AMW83,0)+0</f>
        <v>0</v>
      </c>
      <c r="AJK84" s="20" t="n">
        <f aca="false">IF(AMX83&gt;0,AQK83-AQK83*VK84/AMX83,0)+0</f>
        <v>0</v>
      </c>
      <c r="AJL84" s="20" t="n">
        <f aca="false">IF(AMY83&gt;0,AQL83-AQL83*VL84/AMY83,0)+0</f>
        <v>0</v>
      </c>
      <c r="AJM84" s="20" t="n">
        <f aca="false">IF(AMZ83&gt;0,AQM83-AQM83*VM84/AMZ83,0)+0</f>
        <v>0</v>
      </c>
      <c r="AJN84" s="20" t="n">
        <f aca="false">IF(ANA83&gt;0,AQN83-AQN83*VN84/ANA83,0)+0</f>
        <v>0</v>
      </c>
      <c r="AJO84" s="20" t="n">
        <f aca="false">IF(ANB83&gt;0,AQO83-AQO83*VO84/ANB83,0)+0</f>
        <v>0</v>
      </c>
      <c r="AJP84" s="20" t="n">
        <f aca="false">IF(ANC83&gt;0,AQP83-AQP83*VP84/ANC83,0)+0</f>
        <v>0</v>
      </c>
      <c r="AJQ84" s="20" t="n">
        <f aca="false">IF(AND83&gt;0,AQQ83-AQQ83*VQ84/AND83,0)+0</f>
        <v>0</v>
      </c>
      <c r="AJR84" s="20" t="n">
        <f aca="false">IF(ANE83&gt;0,AQR83-AQR83*VR84/ANE83,0)+0</f>
        <v>0</v>
      </c>
      <c r="AJS84" s="20" t="n">
        <f aca="false">IF(ANF83&gt;0,AQS83-AQS83*VS84/ANF83,0)+0</f>
        <v>0</v>
      </c>
      <c r="AJT84" s="20" t="n">
        <f aca="false">IF(ANG83&gt;0,AQT83-AQT83*VT84/ANG83,0)+0</f>
        <v>0</v>
      </c>
      <c r="AJU84" s="20" t="n">
        <f aca="false">IF(ANH83&gt;0,AQU83-AQU83*VU84/ANH83,0)+0</f>
        <v>0</v>
      </c>
      <c r="AJV84" s="20" t="n">
        <f aca="false">IF(ANI83&gt;0,AQV83-AQV83*VV84/ANI83,0)+0</f>
        <v>0</v>
      </c>
      <c r="AJW84" s="20" t="n">
        <f aca="false">IF(ANJ83&gt;0,AQW83-AQW83*VW84/ANJ83,0)+0</f>
        <v>0</v>
      </c>
      <c r="AJX84" s="20" t="n">
        <f aca="false">IF(ANK83&gt;0,AQX83-AQX83*VX84/ANK83,0)+0</f>
        <v>0</v>
      </c>
      <c r="AJY84" s="20" t="n">
        <f aca="false">IF(ANL83&gt;0,AQY83-AQY83*VY84/ANL83,0)+0</f>
        <v>0</v>
      </c>
      <c r="AJZ84" s="20" t="n">
        <f aca="false">IF(ANM83&gt;0,AQZ83-AQZ83*VZ84/ANM83,0)+0</f>
        <v>0</v>
      </c>
      <c r="AKA84" s="20" t="n">
        <f aca="false">IF(ANN83&gt;0,ARA83-ARA83*WA84/ANN83,0)+0</f>
        <v>0</v>
      </c>
      <c r="AKB84" s="20" t="n">
        <f aca="false">IF(ANO83&gt;0,ARB83-ARB83*WB84/ANO83,0)+0</f>
        <v>0</v>
      </c>
      <c r="AKC84" s="20" t="n">
        <f aca="false">IF(ANP83&gt;0,ARC83-ARC83*WC84/ANP83,0)+0</f>
        <v>0</v>
      </c>
      <c r="AKD84" s="20" t="n">
        <f aca="false">IF((P84+S84)&gt;0,(P84+S84)-(P84+S84)*WD84/(P84+S84),0)+BE84</f>
        <v>0</v>
      </c>
      <c r="AKE84" s="20" t="n">
        <v>0</v>
      </c>
      <c r="AKF84" s="20" t="n">
        <v>0</v>
      </c>
      <c r="AKG84" s="20" t="n">
        <v>0</v>
      </c>
      <c r="AKH84" s="20" t="n">
        <v>0</v>
      </c>
      <c r="AKI84" s="20" t="n">
        <v>0</v>
      </c>
      <c r="AKJ84" s="20" t="n">
        <v>0</v>
      </c>
      <c r="AKK84" s="20" t="n">
        <v>0</v>
      </c>
      <c r="AKL84" s="20" t="n">
        <v>0</v>
      </c>
      <c r="AKM84" s="20" t="n">
        <v>0</v>
      </c>
      <c r="AKN84" s="20" t="n">
        <v>0</v>
      </c>
      <c r="AKO84" s="20" t="n">
        <v>0</v>
      </c>
      <c r="AKP84" s="20" t="n">
        <v>0</v>
      </c>
      <c r="AKQ84" s="20" t="n">
        <v>0</v>
      </c>
      <c r="AKR84" s="20" t="n">
        <f aca="false">ADR84-AVE84</f>
        <v>0</v>
      </c>
      <c r="AKS84" s="20" t="n">
        <f aca="false">ADS84-AVF84</f>
        <v>0</v>
      </c>
      <c r="AKT84" s="20" t="n">
        <f aca="false">ADT84-AVG84</f>
        <v>0</v>
      </c>
      <c r="AKU84" s="20" t="n">
        <f aca="false">ADU84-AVH84</f>
        <v>0</v>
      </c>
      <c r="AKV84" s="20" t="n">
        <f aca="false">ADV84-AVI84</f>
        <v>0</v>
      </c>
      <c r="AKW84" s="20" t="n">
        <f aca="false">ADW84-AVJ84</f>
        <v>0</v>
      </c>
      <c r="AKX84" s="20" t="n">
        <f aca="false">ADX84-AVK84</f>
        <v>0</v>
      </c>
      <c r="AKY84" s="20" t="n">
        <f aca="false">ADY84-AVL84</f>
        <v>0</v>
      </c>
      <c r="AKZ84" s="20" t="n">
        <f aca="false">ADZ84-AVM84</f>
        <v>0</v>
      </c>
      <c r="ALA84" s="20" t="n">
        <f aca="false">AEA84-AVN84</f>
        <v>0</v>
      </c>
      <c r="ALB84" s="20" t="n">
        <f aca="false">AEB84-AVO84</f>
        <v>0</v>
      </c>
      <c r="ALC84" s="20" t="n">
        <f aca="false">AEC84-AVP84</f>
        <v>0</v>
      </c>
      <c r="ALD84" s="20" t="n">
        <f aca="false">AED84-AVQ84</f>
        <v>0</v>
      </c>
      <c r="ALE84" s="20" t="n">
        <f aca="false">AEE84-AVR84</f>
        <v>0</v>
      </c>
      <c r="ALF84" s="20" t="n">
        <f aca="false">AEF84-AVS84</f>
        <v>0</v>
      </c>
      <c r="ALG84" s="20" t="n">
        <f aca="false">AEG84-AVT84</f>
        <v>0</v>
      </c>
      <c r="ALH84" s="20" t="n">
        <f aca="false">AEH84-AVU84</f>
        <v>0</v>
      </c>
      <c r="ALI84" s="20" t="n">
        <f aca="false">AEI84-AVV84</f>
        <v>0</v>
      </c>
      <c r="ALJ84" s="20" t="n">
        <f aca="false">AEJ84-AVW84</f>
        <v>0</v>
      </c>
      <c r="ALK84" s="20" t="n">
        <f aca="false">AEK84-AVX84</f>
        <v>0</v>
      </c>
      <c r="ALL84" s="20" t="n">
        <f aca="false">AEL84-AVY84</f>
        <v>0</v>
      </c>
      <c r="ALM84" s="20" t="n">
        <f aca="false">AEM84-AVZ84</f>
        <v>0</v>
      </c>
      <c r="ALN84" s="20" t="n">
        <f aca="false">AEN84-AWA84</f>
        <v>0</v>
      </c>
      <c r="ALO84" s="20" t="n">
        <f aca="false">AEO84-AWB84</f>
        <v>0</v>
      </c>
      <c r="ALP84" s="20" t="n">
        <f aca="false">AEP84-AWC84</f>
        <v>0</v>
      </c>
      <c r="ALQ84" s="20" t="n">
        <f aca="false">AEQ84-AWD84</f>
        <v>0</v>
      </c>
      <c r="ALR84" s="20" t="n">
        <f aca="false">AER84-AWE84</f>
        <v>0</v>
      </c>
      <c r="ALS84" s="20" t="n">
        <f aca="false">AES84-AWF84</f>
        <v>0</v>
      </c>
      <c r="ALT84" s="20" t="n">
        <f aca="false">AET84-AWG84</f>
        <v>0</v>
      </c>
      <c r="ALU84" s="20" t="n">
        <f aca="false">AEU84-AWH84</f>
        <v>0</v>
      </c>
      <c r="ALV84" s="20" t="n">
        <f aca="false">AEV84-AWI84</f>
        <v>0</v>
      </c>
      <c r="ALW84" s="20" t="n">
        <f aca="false">AEW84-AWJ84</f>
        <v>0</v>
      </c>
      <c r="ALX84" s="20" t="n">
        <f aca="false">AEX84-AWK84</f>
        <v>0</v>
      </c>
      <c r="ALY84" s="20" t="n">
        <f aca="false">AEY84-AWL84</f>
        <v>0</v>
      </c>
      <c r="ALZ84" s="20" t="n">
        <f aca="false">AEZ84-AWM84</f>
        <v>0</v>
      </c>
      <c r="AMA84" s="20" t="n">
        <f aca="false">AFA84-AWN84</f>
        <v>0</v>
      </c>
      <c r="AMB84" s="20" t="n">
        <f aca="false">AFB84-AWO84</f>
        <v>0</v>
      </c>
      <c r="AMC84" s="20" t="n">
        <f aca="false">AFC84-AWP84</f>
        <v>0</v>
      </c>
      <c r="AMD84" s="20" t="n">
        <f aca="false">AFD84-AWQ84</f>
        <v>0</v>
      </c>
      <c r="AME84" s="20" t="n">
        <f aca="false">AFE84-AWR84</f>
        <v>0</v>
      </c>
      <c r="AMF84" s="20" t="n">
        <f aca="false">AFF84-AWS84</f>
        <v>0</v>
      </c>
      <c r="AMG84" s="20" t="n">
        <f aca="false">AFG84-AWT84</f>
        <v>0</v>
      </c>
      <c r="AMH84" s="20" t="n">
        <f aca="false">AFH84-AWU84</f>
        <v>0</v>
      </c>
      <c r="AMI84" s="20" t="n">
        <f aca="false">AFI84-AWV84</f>
        <v>0</v>
      </c>
      <c r="AMJ84" s="20" t="n">
        <f aca="false">AFJ84-AWW84</f>
        <v>0</v>
      </c>
      <c r="AMK84" s="20" t="n">
        <f aca="false">AFK84-AWX84</f>
        <v>0</v>
      </c>
      <c r="AML84" s="20" t="n">
        <f aca="false">AFL84-AWY84</f>
        <v>0</v>
      </c>
      <c r="AMM84" s="20" t="n">
        <f aca="false">AFM84-AWZ84</f>
        <v>0</v>
      </c>
      <c r="AMN84" s="20" t="n">
        <f aca="false">AFN84-AXA84</f>
        <v>0</v>
      </c>
      <c r="AMO84" s="20" t="n">
        <f aca="false">AFO84-AXB84</f>
        <v>0</v>
      </c>
      <c r="AMP84" s="20" t="n">
        <f aca="false">AFP84-AXC84</f>
        <v>0</v>
      </c>
      <c r="AMQ84" s="20" t="n">
        <f aca="false">AFQ84-AXD84</f>
        <v>0</v>
      </c>
      <c r="AMR84" s="20" t="n">
        <f aca="false">AFR84-AXE84</f>
        <v>0</v>
      </c>
      <c r="AMS84" s="20" t="n">
        <f aca="false">AFS84-AXF84</f>
        <v>0</v>
      </c>
      <c r="AMT84" s="20" t="n">
        <f aca="false">AFT84-AXG84</f>
        <v>0</v>
      </c>
      <c r="AMU84" s="20" t="n">
        <f aca="false">AFU84-AXH84</f>
        <v>0</v>
      </c>
      <c r="AMV84" s="20" t="n">
        <f aca="false">AFV84-AXI84</f>
        <v>0</v>
      </c>
      <c r="AMW84" s="20" t="n">
        <f aca="false">AFW84-AXJ84</f>
        <v>0</v>
      </c>
      <c r="AMX84" s="20" t="n">
        <f aca="false">AFX84-AXK84</f>
        <v>0</v>
      </c>
      <c r="AMY84" s="20" t="n">
        <f aca="false">AFY84-AXL84</f>
        <v>0</v>
      </c>
      <c r="AMZ84" s="20" t="n">
        <f aca="false">AFZ84-AXM84</f>
        <v>0</v>
      </c>
      <c r="ANA84" s="20" t="n">
        <f aca="false">AGA84-AXN84</f>
        <v>0</v>
      </c>
      <c r="ANB84" s="20" t="n">
        <f aca="false">AGB84-AXO84</f>
        <v>0</v>
      </c>
      <c r="ANC84" s="20" t="n">
        <f aca="false">AGC84-AXP84</f>
        <v>0</v>
      </c>
      <c r="AND84" s="20" t="n">
        <f aca="false">AGD84-AXQ84</f>
        <v>0</v>
      </c>
      <c r="ANE84" s="20" t="n">
        <f aca="false">AGE84-AXR84</f>
        <v>0</v>
      </c>
      <c r="ANF84" s="20" t="n">
        <f aca="false">AGF84-AXS84</f>
        <v>0</v>
      </c>
      <c r="ANG84" s="20" t="n">
        <f aca="false">AGG84-AXT84</f>
        <v>0</v>
      </c>
      <c r="ANH84" s="20" t="n">
        <f aca="false">AGH84-AXU84</f>
        <v>0</v>
      </c>
      <c r="ANI84" s="20" t="n">
        <f aca="false">AGI84-AXV84</f>
        <v>0</v>
      </c>
      <c r="ANJ84" s="20" t="n">
        <f aca="false">AGJ84-AXW84</f>
        <v>0</v>
      </c>
      <c r="ANK84" s="20" t="n">
        <f aca="false">AGK84-AXX84</f>
        <v>0</v>
      </c>
      <c r="ANL84" s="20" t="n">
        <f aca="false">AGL84-AXY84</f>
        <v>0</v>
      </c>
      <c r="ANM84" s="20" t="n">
        <f aca="false">AGM84-AXZ84</f>
        <v>0</v>
      </c>
      <c r="ANN84" s="20" t="n">
        <f aca="false">AGN84-AYA84</f>
        <v>0</v>
      </c>
      <c r="ANO84" s="20" t="n">
        <f aca="false">AGO84-AYB84</f>
        <v>0</v>
      </c>
      <c r="ANP84" s="20" t="n">
        <f aca="false">AGP84-AYC84</f>
        <v>0</v>
      </c>
      <c r="ANQ84" s="20" t="n">
        <f aca="false">AGQ84-AYD84</f>
        <v>0</v>
      </c>
      <c r="ANR84" s="20" t="n">
        <v>0</v>
      </c>
      <c r="ANS84" s="20" t="n">
        <v>0</v>
      </c>
      <c r="ANT84" s="20" t="n">
        <v>0</v>
      </c>
      <c r="ANU84" s="20" t="n">
        <v>0</v>
      </c>
      <c r="ANV84" s="20" t="n">
        <v>0</v>
      </c>
      <c r="ANW84" s="20" t="n">
        <v>0</v>
      </c>
      <c r="ANX84" s="20" t="n">
        <v>0</v>
      </c>
      <c r="ANY84" s="20" t="n">
        <v>0</v>
      </c>
      <c r="ANZ84" s="20" t="n">
        <v>0</v>
      </c>
      <c r="AOA84" s="20" t="n">
        <v>0</v>
      </c>
      <c r="AOB84" s="20" t="n">
        <v>0</v>
      </c>
      <c r="AOC84" s="20" t="n">
        <v>0</v>
      </c>
      <c r="AOD84" s="20" t="n">
        <v>0</v>
      </c>
      <c r="AOE84" s="20" t="n">
        <f aca="false">IF(AND(H_Direct=0,H_TaxEvt=1,ARR83+1&gt;=H_Deemed),AKR84,AHE84)</f>
        <v>0</v>
      </c>
      <c r="AOF84" s="20" t="n">
        <f aca="false">IF(AND(H_Direct=0,H_TaxEvt=1,ARS83+1&gt;=H_Deemed),AKS84,AHF84)</f>
        <v>0</v>
      </c>
      <c r="AOG84" s="20" t="n">
        <f aca="false">IF(AND(H_Direct=0,H_TaxEvt=1,ART83+1&gt;=H_Deemed),AKT84,AHG84)</f>
        <v>0</v>
      </c>
      <c r="AOH84" s="20" t="n">
        <f aca="false">IF(AND(H_Direct=0,H_TaxEvt=1,ARU83+1&gt;=H_Deemed),AKU84,AHH84)</f>
        <v>0</v>
      </c>
      <c r="AOI84" s="20" t="n">
        <f aca="false">IF(AND(H_Direct=0,H_TaxEvt=1,ARV83+1&gt;=H_Deemed),AKV84,AHI84)</f>
        <v>0</v>
      </c>
      <c r="AOJ84" s="20" t="n">
        <f aca="false">IF(AND(H_Direct=0,H_TaxEvt=1,ARW83+1&gt;=H_Deemed),AKW84,AHJ84)</f>
        <v>0</v>
      </c>
      <c r="AOK84" s="20" t="n">
        <f aca="false">IF(AND(H_Direct=0,H_TaxEvt=1,ARX83+1&gt;=H_Deemed),AKX84,AHK84)</f>
        <v>0</v>
      </c>
      <c r="AOL84" s="20" t="n">
        <f aca="false">IF(AND(H_Direct=0,H_TaxEvt=1,ARY83+1&gt;=H_Deemed),AKY84,AHL84)</f>
        <v>0</v>
      </c>
      <c r="AOM84" s="20" t="n">
        <f aca="false">IF(AND(H_Direct=0,H_TaxEvt=1,ARZ83+1&gt;=H_Deemed),AKZ84,AHM84)</f>
        <v>0</v>
      </c>
      <c r="AON84" s="20" t="n">
        <f aca="false">IF(AND(H_Direct=0,H_TaxEvt=1,ASA83+1&gt;=H_Deemed),ALA84,AHN84)</f>
        <v>0</v>
      </c>
      <c r="AOO84" s="20" t="n">
        <f aca="false">IF(AND(H_Direct=0,H_TaxEvt=1,ASB83+1&gt;=H_Deemed),ALB84,AHO84)</f>
        <v>0</v>
      </c>
      <c r="AOP84" s="20" t="n">
        <f aca="false">IF(AND(H_Direct=0,H_TaxEvt=1,ASC83+1&gt;=H_Deemed),ALC84,AHP84)</f>
        <v>0</v>
      </c>
      <c r="AOQ84" s="20" t="n">
        <f aca="false">IF(AND(H_Direct=0,H_TaxEvt=1,ASD83+1&gt;=H_Deemed),ALD84,AHQ84)</f>
        <v>0</v>
      </c>
      <c r="AOR84" s="20" t="n">
        <f aca="false">IF(AND(H_Direct=0,H_TaxEvt=1,ASE83+1&gt;=H_Deemed),ALE84,AHR84)</f>
        <v>0</v>
      </c>
      <c r="AOS84" s="20" t="n">
        <f aca="false">IF(AND(H_Direct=0,H_TaxEvt=1,ASF83+1&gt;=H_Deemed),ALF84,AHS84)</f>
        <v>0</v>
      </c>
      <c r="AOT84" s="20" t="n">
        <f aca="false">IF(AND(H_Direct=0,H_TaxEvt=1,ASG83+1&gt;=H_Deemed),ALG84,AHT84)</f>
        <v>0</v>
      </c>
      <c r="AOU84" s="20" t="n">
        <f aca="false">IF(AND(H_Direct=0,H_TaxEvt=1,ASH83+1&gt;=H_Deemed),ALH84,AHU84)</f>
        <v>0</v>
      </c>
      <c r="AOV84" s="20" t="n">
        <f aca="false">IF(AND(H_Direct=0,H_TaxEvt=1,ASI83+1&gt;=H_Deemed),ALI84,AHV84)</f>
        <v>0</v>
      </c>
      <c r="AOW84" s="20" t="n">
        <f aca="false">IF(AND(H_Direct=0,H_TaxEvt=1,ASJ83+1&gt;=H_Deemed),ALJ84,AHW84)</f>
        <v>0</v>
      </c>
      <c r="AOX84" s="20" t="n">
        <f aca="false">IF(AND(H_Direct=0,H_TaxEvt=1,ASK83+1&gt;=H_Deemed),ALK84,AHX84)</f>
        <v>0</v>
      </c>
      <c r="AOY84" s="20" t="n">
        <f aca="false">IF(AND(H_Direct=0,H_TaxEvt=1,ASL83+1&gt;=H_Deemed),ALL84,AHY84)</f>
        <v>0</v>
      </c>
      <c r="AOZ84" s="20" t="n">
        <f aca="false">IF(AND(H_Direct=0,H_TaxEvt=1,ASM83+1&gt;=H_Deemed),ALM84,AHZ84)</f>
        <v>0</v>
      </c>
      <c r="APA84" s="20" t="n">
        <f aca="false">IF(AND(H_Direct=0,H_TaxEvt=1,ASN83+1&gt;=H_Deemed),ALN84,AIA84)</f>
        <v>0</v>
      </c>
      <c r="APB84" s="20" t="n">
        <f aca="false">IF(AND(H_Direct=0,H_TaxEvt=1,ASO83+1&gt;=H_Deemed),ALO84,AIB84)</f>
        <v>0</v>
      </c>
      <c r="APC84" s="20" t="n">
        <f aca="false">IF(AND(H_Direct=0,H_TaxEvt=1,ASP83+1&gt;=H_Deemed),ALP84,AIC84)</f>
        <v>0</v>
      </c>
      <c r="APD84" s="20" t="n">
        <f aca="false">IF(AND(H_Direct=0,H_TaxEvt=1,ASQ83+1&gt;=H_Deemed),ALQ84,AID84)</f>
        <v>0</v>
      </c>
      <c r="APE84" s="20" t="n">
        <f aca="false">IF(AND(H_Direct=0,H_TaxEvt=1,ASR83+1&gt;=H_Deemed),ALR84,AIE84)</f>
        <v>0</v>
      </c>
      <c r="APF84" s="20" t="n">
        <f aca="false">IF(AND(H_Direct=0,H_TaxEvt=1,ASS83+1&gt;=H_Deemed),ALS84,AIF84)</f>
        <v>0</v>
      </c>
      <c r="APG84" s="20" t="n">
        <f aca="false">IF(AND(H_Direct=0,H_TaxEvt=1,AST83+1&gt;=H_Deemed),ALT84,AIG84)</f>
        <v>0</v>
      </c>
      <c r="APH84" s="20" t="n">
        <f aca="false">IF(AND(H_Direct=0,H_TaxEvt=1,ASU83+1&gt;=H_Deemed),ALU84,AIH84)</f>
        <v>0</v>
      </c>
      <c r="API84" s="20" t="n">
        <f aca="false">IF(AND(H_Direct=0,H_TaxEvt=1,ASV83+1&gt;=H_Deemed),ALV84,AII84)</f>
        <v>0</v>
      </c>
      <c r="APJ84" s="20" t="n">
        <f aca="false">IF(AND(H_Direct=0,H_TaxEvt=1,ASW83+1&gt;=H_Deemed),ALW84,AIJ84)</f>
        <v>0</v>
      </c>
      <c r="APK84" s="20" t="n">
        <f aca="false">IF(AND(H_Direct=0,H_TaxEvt=1,ASX83+1&gt;=H_Deemed),ALX84,AIK84)</f>
        <v>0</v>
      </c>
      <c r="APL84" s="20" t="n">
        <f aca="false">IF(AND(H_Direct=0,H_TaxEvt=1,ASY83+1&gt;=H_Deemed),ALY84,AIL84)</f>
        <v>0</v>
      </c>
      <c r="APM84" s="20" t="n">
        <f aca="false">IF(AND(H_Direct=0,H_TaxEvt=1,ASZ83+1&gt;=H_Deemed),ALZ84,AIM84)</f>
        <v>0</v>
      </c>
      <c r="APN84" s="20" t="n">
        <f aca="false">IF(AND(H_Direct=0,H_TaxEvt=1,ATA83+1&gt;=H_Deemed),AMA84,AIN84)</f>
        <v>0</v>
      </c>
      <c r="APO84" s="20" t="n">
        <f aca="false">IF(AND(H_Direct=0,H_TaxEvt=1,ATB83+1&gt;=H_Deemed),AMB84,AIO84)</f>
        <v>0</v>
      </c>
      <c r="APP84" s="20" t="n">
        <f aca="false">IF(AND(H_Direct=0,H_TaxEvt=1,ATC83+1&gt;=H_Deemed),AMC84,AIP84)</f>
        <v>0</v>
      </c>
      <c r="APQ84" s="20" t="n">
        <f aca="false">IF(AND(H_Direct=0,H_TaxEvt=1,ATD83+1&gt;=H_Deemed),AMD84,AIQ84)</f>
        <v>0</v>
      </c>
      <c r="APR84" s="20" t="n">
        <f aca="false">IF(AND(H_Direct=0,H_TaxEvt=1,ATE83+1&gt;=H_Deemed),AME84,AIR84)</f>
        <v>0</v>
      </c>
      <c r="APS84" s="20" t="n">
        <f aca="false">IF(AND(H_Direct=0,H_TaxEvt=1,ATF83+1&gt;=H_Deemed),AMF84,AIS84)</f>
        <v>0</v>
      </c>
      <c r="APT84" s="20" t="n">
        <f aca="false">IF(AND(H_Direct=0,H_TaxEvt=1,ATG83+1&gt;=H_Deemed),AMG84,AIT84)</f>
        <v>0</v>
      </c>
      <c r="APU84" s="20" t="n">
        <f aca="false">IF(AND(H_Direct=0,H_TaxEvt=1,ATH83+1&gt;=H_Deemed),AMH84,AIU84)</f>
        <v>0</v>
      </c>
      <c r="APV84" s="20" t="n">
        <f aca="false">IF(AND(H_Direct=0,H_TaxEvt=1,ATI83+1&gt;=H_Deemed),AMI84,AIV84)</f>
        <v>0</v>
      </c>
      <c r="APW84" s="20" t="n">
        <f aca="false">IF(AND(H_Direct=0,H_TaxEvt=1,ATJ83+1&gt;=H_Deemed),AMJ84,AIW84)</f>
        <v>0</v>
      </c>
      <c r="APX84" s="20" t="n">
        <f aca="false">IF(AND(H_Direct=0,H_TaxEvt=1,ATK83+1&gt;=H_Deemed),AMK84,AIX84)</f>
        <v>0</v>
      </c>
      <c r="APY84" s="20" t="n">
        <f aca="false">IF(AND(H_Direct=0,H_TaxEvt=1,ATL83+1&gt;=H_Deemed),AML84,AIY84)</f>
        <v>0</v>
      </c>
      <c r="APZ84" s="20" t="n">
        <f aca="false">IF(AND(H_Direct=0,H_TaxEvt=1,ATM83+1&gt;=H_Deemed),AMM84,AIZ84)</f>
        <v>0</v>
      </c>
      <c r="AQA84" s="20" t="n">
        <f aca="false">IF(AND(H_Direct=0,H_TaxEvt=1,ATN83+1&gt;=H_Deemed),AMN84,AJA84)</f>
        <v>0</v>
      </c>
      <c r="AQB84" s="20" t="n">
        <f aca="false">IF(AND(H_Direct=0,H_TaxEvt=1,ATO83+1&gt;=H_Deemed),AMO84,AJB84)</f>
        <v>0</v>
      </c>
      <c r="AQC84" s="20" t="n">
        <f aca="false">IF(AND(H_Direct=0,H_TaxEvt=1,ATP83+1&gt;=H_Deemed),AMP84,AJC84)</f>
        <v>0</v>
      </c>
      <c r="AQD84" s="20" t="n">
        <f aca="false">IF(AND(H_Direct=0,H_TaxEvt=1,ATQ83+1&gt;=H_Deemed),AMQ84,AJD84)</f>
        <v>0</v>
      </c>
      <c r="AQE84" s="20" t="n">
        <f aca="false">IF(AND(H_Direct=0,H_TaxEvt=1,ATR83+1&gt;=H_Deemed),AMR84,AJE84)</f>
        <v>0</v>
      </c>
      <c r="AQF84" s="20" t="n">
        <f aca="false">IF(AND(H_Direct=0,H_TaxEvt=1,ATS83+1&gt;=H_Deemed),AMS84,AJF84)</f>
        <v>0</v>
      </c>
      <c r="AQG84" s="20" t="n">
        <f aca="false">IF(AND(H_Direct=0,H_TaxEvt=1,ATT83+1&gt;=H_Deemed),AMT84,AJG84)</f>
        <v>0</v>
      </c>
      <c r="AQH84" s="20" t="n">
        <f aca="false">IF(AND(H_Direct=0,H_TaxEvt=1,ATU83+1&gt;=H_Deemed),AMU84,AJH84)</f>
        <v>0</v>
      </c>
      <c r="AQI84" s="20" t="n">
        <f aca="false">IF(AND(H_Direct=0,H_TaxEvt=1,ATV83+1&gt;=H_Deemed),AMV84,AJI84)</f>
        <v>0</v>
      </c>
      <c r="AQJ84" s="20" t="n">
        <f aca="false">IF(AND(H_Direct=0,H_TaxEvt=1,ATW83+1&gt;=H_Deemed),AMW84,AJJ84)</f>
        <v>0</v>
      </c>
      <c r="AQK84" s="20" t="n">
        <f aca="false">IF(AND(H_Direct=0,H_TaxEvt=1,ATX83+1&gt;=H_Deemed),AMX84,AJK84)</f>
        <v>0</v>
      </c>
      <c r="AQL84" s="20" t="n">
        <f aca="false">IF(AND(H_Direct=0,H_TaxEvt=1,ATY83+1&gt;=H_Deemed),AMY84,AJL84)</f>
        <v>0</v>
      </c>
      <c r="AQM84" s="20" t="n">
        <f aca="false">IF(AND(H_Direct=0,H_TaxEvt=1,ATZ83+1&gt;=H_Deemed),AMZ84,AJM84)</f>
        <v>0</v>
      </c>
      <c r="AQN84" s="20" t="n">
        <f aca="false">IF(AND(H_Direct=0,H_TaxEvt=1,AUA83+1&gt;=H_Deemed),ANA84,AJN84)</f>
        <v>0</v>
      </c>
      <c r="AQO84" s="20" t="n">
        <f aca="false">IF(AND(H_Direct=0,H_TaxEvt=1,AUB83+1&gt;=H_Deemed),ANB84,AJO84)</f>
        <v>0</v>
      </c>
      <c r="AQP84" s="20" t="n">
        <f aca="false">IF(AND(H_Direct=0,H_TaxEvt=1,AUC83+1&gt;=H_Deemed),ANC84,AJP84)</f>
        <v>0</v>
      </c>
      <c r="AQQ84" s="20" t="n">
        <f aca="false">IF(AND(H_Direct=0,H_TaxEvt=1,AUD83+1&gt;=H_Deemed),AND84,AJQ84)</f>
        <v>0</v>
      </c>
      <c r="AQR84" s="20" t="n">
        <f aca="false">IF(AND(H_Direct=0,H_TaxEvt=1,AUE83+1&gt;=H_Deemed),ANE84,AJR84)</f>
        <v>0</v>
      </c>
      <c r="AQS84" s="20" t="n">
        <f aca="false">IF(AND(H_Direct=0,H_TaxEvt=1,AUF83+1&gt;=H_Deemed),ANF84,AJS84)</f>
        <v>0</v>
      </c>
      <c r="AQT84" s="20" t="n">
        <f aca="false">IF(AND(H_Direct=0,H_TaxEvt=1,AUG83+1&gt;=H_Deemed),ANG84,AJT84)</f>
        <v>0</v>
      </c>
      <c r="AQU84" s="20" t="n">
        <f aca="false">IF(AND(H_Direct=0,H_TaxEvt=1,AUH83+1&gt;=H_Deemed),ANH84,AJU84)</f>
        <v>0</v>
      </c>
      <c r="AQV84" s="20" t="n">
        <f aca="false">IF(AND(H_Direct=0,H_TaxEvt=1,AUI83+1&gt;=H_Deemed),ANI84,AJV84)</f>
        <v>0</v>
      </c>
      <c r="AQW84" s="20" t="n">
        <f aca="false">IF(AND(H_Direct=0,H_TaxEvt=1,AUJ83+1&gt;=H_Deemed),ANJ84,AJW84)</f>
        <v>0</v>
      </c>
      <c r="AQX84" s="20" t="n">
        <f aca="false">IF(AND(H_Direct=0,H_TaxEvt=1,AUK83+1&gt;=H_Deemed),ANK84,AJX84)</f>
        <v>0</v>
      </c>
      <c r="AQY84" s="20" t="n">
        <f aca="false">IF(AND(H_Direct=0,H_TaxEvt=1,AUL83+1&gt;=H_Deemed),ANL84,AJY84)</f>
        <v>0</v>
      </c>
      <c r="AQZ84" s="20" t="n">
        <f aca="false">IF(AND(H_Direct=0,H_TaxEvt=1,AUM83+1&gt;=H_Deemed),ANM84,AJZ84)</f>
        <v>0</v>
      </c>
      <c r="ARA84" s="20" t="n">
        <f aca="false">IF(AND(H_Direct=0,H_TaxEvt=1,AUN83+1&gt;=H_Deemed),ANN84,AKA84)</f>
        <v>0</v>
      </c>
      <c r="ARB84" s="20" t="n">
        <f aca="false">IF(AND(H_Direct=0,H_TaxEvt=1,AUO83+1&gt;=H_Deemed),ANO84,AKB84)</f>
        <v>0</v>
      </c>
      <c r="ARC84" s="20" t="n">
        <f aca="false">IF(AND(H_Direct=0,H_TaxEvt=1,AUP83+1&gt;=H_Deemed),ANP84,AKC84)</f>
        <v>0</v>
      </c>
      <c r="ARD84" s="20" t="n">
        <f aca="false">IF(AND(H_Direct=0,H_TaxEvt=1,0+1&gt;=H_Deemed),ANQ84,AKD84)</f>
        <v>0</v>
      </c>
      <c r="ARE84" s="20" t="n">
        <v>0</v>
      </c>
      <c r="ARF84" s="20" t="n">
        <v>0</v>
      </c>
      <c r="ARG84" s="20" t="n">
        <v>0</v>
      </c>
      <c r="ARH84" s="20" t="n">
        <v>0</v>
      </c>
      <c r="ARI84" s="20" t="n">
        <v>0</v>
      </c>
      <c r="ARJ84" s="20" t="n">
        <v>0</v>
      </c>
      <c r="ARK84" s="20" t="n">
        <v>0</v>
      </c>
      <c r="ARL84" s="20" t="n">
        <v>0</v>
      </c>
      <c r="ARM84" s="20" t="n">
        <v>0</v>
      </c>
      <c r="ARN84" s="20" t="n">
        <v>0</v>
      </c>
      <c r="ARO84" s="20" t="n">
        <v>0</v>
      </c>
      <c r="ARP84" s="20" t="n">
        <v>0</v>
      </c>
      <c r="ARQ84" s="20" t="n">
        <v>0</v>
      </c>
      <c r="ARR84" s="20" t="n">
        <f aca="false">IF(AND(H_Direct=0,H_TaxEvt=1),IF(ARR83+1&gt;=H_Deemed,0,ARR83+1),ARR83)</f>
        <v>5</v>
      </c>
      <c r="ARS84" s="20" t="n">
        <f aca="false">IF(AND(H_Direct=0,H_TaxEvt=1),IF(ARS83+1&gt;=H_Deemed,0,ARS83+1),ARS83)</f>
        <v>5</v>
      </c>
      <c r="ART84" s="20" t="n">
        <f aca="false">IF(AND(H_Direct=0,H_TaxEvt=1),IF(ART83+1&gt;=H_Deemed,0,ART83+1),ART83)</f>
        <v>4</v>
      </c>
      <c r="ARU84" s="20" t="n">
        <f aca="false">IF(AND(H_Direct=0,H_TaxEvt=1),IF(ARU83+1&gt;=H_Deemed,0,ARU83+1),ARU83)</f>
        <v>3</v>
      </c>
      <c r="ARV84" s="20" t="n">
        <f aca="false">IF(AND(H_Direct=0,H_TaxEvt=1),IF(ARV83+1&gt;=H_Deemed,0,ARV83+1),ARV83)</f>
        <v>2</v>
      </c>
      <c r="ARW84" s="20" t="n">
        <f aca="false">IF(AND(H_Direct=0,H_TaxEvt=1),IF(ARW83+1&gt;=H_Deemed,0,ARW83+1),ARW83)</f>
        <v>1</v>
      </c>
      <c r="ARX84" s="20" t="n">
        <f aca="false">IF(AND(H_Direct=0,H_TaxEvt=1),IF(ARX83+1&gt;=H_Deemed,0,ARX83+1),ARX83)</f>
        <v>0</v>
      </c>
      <c r="ARY84" s="20" t="n">
        <f aca="false">IF(AND(H_Direct=0,H_TaxEvt=1),IF(ARY83+1&gt;=H_Deemed,0,ARY83+1),ARY83)</f>
        <v>7</v>
      </c>
      <c r="ARZ84" s="20" t="n">
        <f aca="false">IF(AND(H_Direct=0,H_TaxEvt=1),IF(ARZ83+1&gt;=H_Deemed,0,ARZ83+1),ARZ83)</f>
        <v>6</v>
      </c>
      <c r="ASA84" s="20" t="n">
        <f aca="false">IF(AND(H_Direct=0,H_TaxEvt=1),IF(ASA83+1&gt;=H_Deemed,0,ASA83+1),ASA83)</f>
        <v>5</v>
      </c>
      <c r="ASB84" s="20" t="n">
        <f aca="false">IF(AND(H_Direct=0,H_TaxEvt=1),IF(ASB83+1&gt;=H_Deemed,0,ASB83+1),ASB83)</f>
        <v>4</v>
      </c>
      <c r="ASC84" s="20" t="n">
        <f aca="false">IF(AND(H_Direct=0,H_TaxEvt=1),IF(ASC83+1&gt;=H_Deemed,0,ASC83+1),ASC83)</f>
        <v>3</v>
      </c>
      <c r="ASD84" s="20" t="n">
        <f aca="false">IF(AND(H_Direct=0,H_TaxEvt=1),IF(ASD83+1&gt;=H_Deemed,0,ASD83+1),ASD83)</f>
        <v>2</v>
      </c>
      <c r="ASE84" s="20" t="n">
        <f aca="false">IF(AND(H_Direct=0,H_TaxEvt=1),IF(ASE83+1&gt;=H_Deemed,0,ASE83+1),ASE83)</f>
        <v>1</v>
      </c>
      <c r="ASF84" s="20" t="n">
        <f aca="false">IF(AND(H_Direct=0,H_TaxEvt=1),IF(ASF83+1&gt;=H_Deemed,0,ASF83+1),ASF83)</f>
        <v>0</v>
      </c>
      <c r="ASG84" s="20" t="n">
        <f aca="false">IF(AND(H_Direct=0,H_TaxEvt=1),IF(ASG83+1&gt;=H_Deemed,0,ASG83+1),ASG83)</f>
        <v>7</v>
      </c>
      <c r="ASH84" s="20" t="n">
        <f aca="false">IF(AND(H_Direct=0,H_TaxEvt=1),IF(ASH83+1&gt;=H_Deemed,0,ASH83+1),ASH83)</f>
        <v>6</v>
      </c>
      <c r="ASI84" s="20" t="n">
        <f aca="false">IF(AND(H_Direct=0,H_TaxEvt=1),IF(ASI83+1&gt;=H_Deemed,0,ASI83+1),ASI83)</f>
        <v>5</v>
      </c>
      <c r="ASJ84" s="20" t="n">
        <f aca="false">IF(AND(H_Direct=0,H_TaxEvt=1),IF(ASJ83+1&gt;=H_Deemed,0,ASJ83+1),ASJ83)</f>
        <v>4</v>
      </c>
      <c r="ASK84" s="20" t="n">
        <f aca="false">IF(AND(H_Direct=0,H_TaxEvt=1),IF(ASK83+1&gt;=H_Deemed,0,ASK83+1),ASK83)</f>
        <v>3</v>
      </c>
      <c r="ASL84" s="20" t="n">
        <f aca="false">IF(AND(H_Direct=0,H_TaxEvt=1),IF(ASL83+1&gt;=H_Deemed,0,ASL83+1),ASL83)</f>
        <v>2</v>
      </c>
      <c r="ASM84" s="20" t="n">
        <f aca="false">IF(AND(H_Direct=0,H_TaxEvt=1),IF(ASM83+1&gt;=H_Deemed,0,ASM83+1),ASM83)</f>
        <v>1</v>
      </c>
      <c r="ASN84" s="20" t="n">
        <f aca="false">IF(AND(H_Direct=0,H_TaxEvt=1),IF(ASN83+1&gt;=H_Deemed,0,ASN83+1),ASN83)</f>
        <v>0</v>
      </c>
      <c r="ASO84" s="20" t="n">
        <f aca="false">IF(AND(H_Direct=0,H_TaxEvt=1),IF(ASO83+1&gt;=H_Deemed,0,ASO83+1),ASO83)</f>
        <v>7</v>
      </c>
      <c r="ASP84" s="20" t="n">
        <f aca="false">IF(AND(H_Direct=0,H_TaxEvt=1),IF(ASP83+1&gt;=H_Deemed,0,ASP83+1),ASP83)</f>
        <v>6</v>
      </c>
      <c r="ASQ84" s="20" t="n">
        <f aca="false">IF(AND(H_Direct=0,H_TaxEvt=1),IF(ASQ83+1&gt;=H_Deemed,0,ASQ83+1),ASQ83)</f>
        <v>5</v>
      </c>
      <c r="ASR84" s="20" t="n">
        <f aca="false">IF(AND(H_Direct=0,H_TaxEvt=1),IF(ASR83+1&gt;=H_Deemed,0,ASR83+1),ASR83)</f>
        <v>4</v>
      </c>
      <c r="ASS84" s="20" t="n">
        <f aca="false">IF(AND(H_Direct=0,H_TaxEvt=1),IF(ASS83+1&gt;=H_Deemed,0,ASS83+1),ASS83)</f>
        <v>3</v>
      </c>
      <c r="AST84" s="20" t="n">
        <f aca="false">IF(AND(H_Direct=0,H_TaxEvt=1),IF(AST83+1&gt;=H_Deemed,0,AST83+1),AST83)</f>
        <v>2</v>
      </c>
      <c r="ASU84" s="20" t="n">
        <f aca="false">IF(AND(H_Direct=0,H_TaxEvt=1),IF(ASU83+1&gt;=H_Deemed,0,ASU83+1),ASU83)</f>
        <v>1</v>
      </c>
      <c r="ASV84" s="20" t="n">
        <f aca="false">IF(AND(H_Direct=0,H_TaxEvt=1),IF(ASV83+1&gt;=H_Deemed,0,ASV83+1),ASV83)</f>
        <v>0</v>
      </c>
      <c r="ASW84" s="20" t="n">
        <f aca="false">IF(AND(H_Direct=0,H_TaxEvt=1),IF(ASW83+1&gt;=H_Deemed,0,ASW83+1),ASW83)</f>
        <v>7</v>
      </c>
      <c r="ASX84" s="20" t="n">
        <f aca="false">IF(AND(H_Direct=0,H_TaxEvt=1),IF(ASX83+1&gt;=H_Deemed,0,ASX83+1),ASX83)</f>
        <v>6</v>
      </c>
      <c r="ASY84" s="20" t="n">
        <f aca="false">IF(AND(H_Direct=0,H_TaxEvt=1),IF(ASY83+1&gt;=H_Deemed,0,ASY83+1),ASY83)</f>
        <v>5</v>
      </c>
      <c r="ASZ84" s="20" t="n">
        <f aca="false">IF(AND(H_Direct=0,H_TaxEvt=1),IF(ASZ83+1&gt;=H_Deemed,0,ASZ83+1),ASZ83)</f>
        <v>4</v>
      </c>
      <c r="ATA84" s="20" t="n">
        <f aca="false">IF(AND(H_Direct=0,H_TaxEvt=1),IF(ATA83+1&gt;=H_Deemed,0,ATA83+1),ATA83)</f>
        <v>3</v>
      </c>
      <c r="ATB84" s="20" t="n">
        <f aca="false">IF(AND(H_Direct=0,H_TaxEvt=1),IF(ATB83+1&gt;=H_Deemed,0,ATB83+1),ATB83)</f>
        <v>2</v>
      </c>
      <c r="ATC84" s="20" t="n">
        <f aca="false">IF(AND(H_Direct=0,H_TaxEvt=1),IF(ATC83+1&gt;=H_Deemed,0,ATC83+1),ATC83)</f>
        <v>1</v>
      </c>
      <c r="ATD84" s="20" t="n">
        <f aca="false">IF(AND(H_Direct=0,H_TaxEvt=1),IF(ATD83+1&gt;=H_Deemed,0,ATD83+1),ATD83)</f>
        <v>0</v>
      </c>
      <c r="ATE84" s="20" t="n">
        <f aca="false">IF(AND(H_Direct=0,H_TaxEvt=1),IF(ATE83+1&gt;=H_Deemed,0,ATE83+1),ATE83)</f>
        <v>7</v>
      </c>
      <c r="ATF84" s="20" t="n">
        <f aca="false">IF(AND(H_Direct=0,H_TaxEvt=1),IF(ATF83+1&gt;=H_Deemed,0,ATF83+1),ATF83)</f>
        <v>6</v>
      </c>
      <c r="ATG84" s="20" t="n">
        <f aca="false">IF(AND(H_Direct=0,H_TaxEvt=1),IF(ATG83+1&gt;=H_Deemed,0,ATG83+1),ATG83)</f>
        <v>5</v>
      </c>
      <c r="ATH84" s="20" t="n">
        <f aca="false">IF(AND(H_Direct=0,H_TaxEvt=1),IF(ATH83+1&gt;=H_Deemed,0,ATH83+1),ATH83)</f>
        <v>4</v>
      </c>
      <c r="ATI84" s="20" t="n">
        <f aca="false">IF(AND(H_Direct=0,H_TaxEvt=1),IF(ATI83+1&gt;=H_Deemed,0,ATI83+1),ATI83)</f>
        <v>3</v>
      </c>
      <c r="ATJ84" s="20" t="n">
        <f aca="false">IF(AND(H_Direct=0,H_TaxEvt=1),IF(ATJ83+1&gt;=H_Deemed,0,ATJ83+1),ATJ83)</f>
        <v>2</v>
      </c>
      <c r="ATK84" s="20" t="n">
        <f aca="false">IF(AND(H_Direct=0,H_TaxEvt=1),IF(ATK83+1&gt;=H_Deemed,0,ATK83+1),ATK83)</f>
        <v>1</v>
      </c>
      <c r="ATL84" s="20" t="n">
        <f aca="false">IF(AND(H_Direct=0,H_TaxEvt=1),IF(ATL83+1&gt;=H_Deemed,0,ATL83+1),ATL83)</f>
        <v>0</v>
      </c>
      <c r="ATM84" s="20" t="n">
        <f aca="false">IF(AND(H_Direct=0,H_TaxEvt=1),IF(ATM83+1&gt;=H_Deemed,0,ATM83+1),ATM83)</f>
        <v>7</v>
      </c>
      <c r="ATN84" s="20" t="n">
        <f aca="false">IF(AND(H_Direct=0,H_TaxEvt=1),IF(ATN83+1&gt;=H_Deemed,0,ATN83+1),ATN83)</f>
        <v>6</v>
      </c>
      <c r="ATO84" s="20" t="n">
        <f aca="false">IF(AND(H_Direct=0,H_TaxEvt=1),IF(ATO83+1&gt;=H_Deemed,0,ATO83+1),ATO83)</f>
        <v>5</v>
      </c>
      <c r="ATP84" s="20" t="n">
        <f aca="false">IF(AND(H_Direct=0,H_TaxEvt=1),IF(ATP83+1&gt;=H_Deemed,0,ATP83+1),ATP83)</f>
        <v>4</v>
      </c>
      <c r="ATQ84" s="20" t="n">
        <f aca="false">IF(AND(H_Direct=0,H_TaxEvt=1),IF(ATQ83+1&gt;=H_Deemed,0,ATQ83+1),ATQ83)</f>
        <v>3</v>
      </c>
      <c r="ATR84" s="20" t="n">
        <f aca="false">IF(AND(H_Direct=0,H_TaxEvt=1),IF(ATR83+1&gt;=H_Deemed,0,ATR83+1),ATR83)</f>
        <v>2</v>
      </c>
      <c r="ATS84" s="20" t="n">
        <f aca="false">IF(AND(H_Direct=0,H_TaxEvt=1),IF(ATS83+1&gt;=H_Deemed,0,ATS83+1),ATS83)</f>
        <v>1</v>
      </c>
      <c r="ATT84" s="20" t="n">
        <f aca="false">IF(AND(H_Direct=0,H_TaxEvt=1),IF(ATT83+1&gt;=H_Deemed,0,ATT83+1),ATT83)</f>
        <v>0</v>
      </c>
      <c r="ATU84" s="20" t="n">
        <f aca="false">IF(AND(H_Direct=0,H_TaxEvt=1),IF(ATU83+1&gt;=H_Deemed,0,ATU83+1),ATU83)</f>
        <v>7</v>
      </c>
      <c r="ATV84" s="20" t="n">
        <f aca="false">IF(AND(H_Direct=0,H_TaxEvt=1),IF(ATV83+1&gt;=H_Deemed,0,ATV83+1),ATV83)</f>
        <v>6</v>
      </c>
      <c r="ATW84" s="20" t="n">
        <f aca="false">IF(AND(H_Direct=0,H_TaxEvt=1),IF(ATW83+1&gt;=H_Deemed,0,ATW83+1),ATW83)</f>
        <v>5</v>
      </c>
      <c r="ATX84" s="20" t="n">
        <f aca="false">IF(AND(H_Direct=0,H_TaxEvt=1),IF(ATX83+1&gt;=H_Deemed,0,ATX83+1),ATX83)</f>
        <v>4</v>
      </c>
      <c r="ATY84" s="20" t="n">
        <f aca="false">IF(AND(H_Direct=0,H_TaxEvt=1),IF(ATY83+1&gt;=H_Deemed,0,ATY83+1),ATY83)</f>
        <v>3</v>
      </c>
      <c r="ATZ84" s="20" t="n">
        <f aca="false">IF(AND(H_Direct=0,H_TaxEvt=1),IF(ATZ83+1&gt;=H_Deemed,0,ATZ83+1),ATZ83)</f>
        <v>2</v>
      </c>
      <c r="AUA84" s="20" t="n">
        <f aca="false">IF(AND(H_Direct=0,H_TaxEvt=1),IF(AUA83+1&gt;=H_Deemed,0,AUA83+1),AUA83)</f>
        <v>1</v>
      </c>
      <c r="AUB84" s="20" t="n">
        <f aca="false">IF(AND(H_Direct=0,H_TaxEvt=1),IF(AUB83+1&gt;=H_Deemed,0,AUB83+1),AUB83)</f>
        <v>0</v>
      </c>
      <c r="AUC84" s="20" t="n">
        <f aca="false">IF(AND(H_Direct=0,H_TaxEvt=1),IF(AUC83+1&gt;=H_Deemed,0,AUC83+1),AUC83)</f>
        <v>7</v>
      </c>
      <c r="AUD84" s="20" t="n">
        <f aca="false">IF(AND(H_Direct=0,H_TaxEvt=1),IF(AUD83+1&gt;=H_Deemed,0,AUD83+1),AUD83)</f>
        <v>6</v>
      </c>
      <c r="AUE84" s="20" t="n">
        <f aca="false">IF(AND(H_Direct=0,H_TaxEvt=1),IF(AUE83+1&gt;=H_Deemed,0,AUE83+1),AUE83)</f>
        <v>5</v>
      </c>
      <c r="AUF84" s="20" t="n">
        <f aca="false">IF(AND(H_Direct=0,H_TaxEvt=1),IF(AUF83+1&gt;=H_Deemed,0,AUF83+1),AUF83)</f>
        <v>4</v>
      </c>
      <c r="AUG84" s="20" t="n">
        <f aca="false">IF(AND(H_Direct=0,H_TaxEvt=1),IF(AUG83+1&gt;=H_Deemed,0,AUG83+1),AUG83)</f>
        <v>3</v>
      </c>
      <c r="AUH84" s="20" t="n">
        <f aca="false">IF(AND(H_Direct=0,H_TaxEvt=1),IF(AUH83+1&gt;=H_Deemed,0,AUH83+1),AUH83)</f>
        <v>2</v>
      </c>
      <c r="AUI84" s="20" t="n">
        <f aca="false">IF(AND(H_Direct=0,H_TaxEvt=1),IF(AUI83+1&gt;=H_Deemed,0,AUI83+1),AUI83)</f>
        <v>1</v>
      </c>
      <c r="AUJ84" s="20" t="n">
        <f aca="false">IF(AND(H_Direct=0,H_TaxEvt=1),IF(AUJ83+1&gt;=H_Deemed,0,AUJ83+1),AUJ83)</f>
        <v>0</v>
      </c>
      <c r="AUK84" s="20" t="n">
        <f aca="false">IF(AND(H_Direct=0,H_TaxEvt=1),IF(AUK83+1&gt;=H_Deemed,0,AUK83+1),AUK83)</f>
        <v>7</v>
      </c>
      <c r="AUL84" s="20" t="n">
        <f aca="false">IF(AND(H_Direct=0,H_TaxEvt=1),IF(AUL83+1&gt;=H_Deemed,0,AUL83+1),AUL83)</f>
        <v>6</v>
      </c>
      <c r="AUM84" s="20" t="n">
        <f aca="false">IF(AND(H_Direct=0,H_TaxEvt=1),IF(AUM83+1&gt;=H_Deemed,0,AUM83+1),AUM83)</f>
        <v>5</v>
      </c>
      <c r="AUN84" s="20" t="n">
        <f aca="false">IF(AND(H_Direct=0,H_TaxEvt=1),IF(AUN83+1&gt;=H_Deemed,0,AUN83+1),AUN83)</f>
        <v>4</v>
      </c>
      <c r="AUO84" s="20" t="n">
        <f aca="false">IF(AND(H_Direct=0,H_TaxEvt=1),IF(AUO83+1&gt;=H_Deemed,0,AUO83+1),AUO83)</f>
        <v>3</v>
      </c>
      <c r="AUP84" s="20" t="n">
        <f aca="false">IF(AND(H_Direct=0,H_TaxEvt=1),IF(AUP83+1&gt;=H_Deemed,0,AUP83+1),AUP83)</f>
        <v>2</v>
      </c>
      <c r="AUQ84" s="20" t="n">
        <f aca="false">IF(AND(H_Direct=0,H_TaxEvt=1),IF(0+1&gt;=H_Deemed,0,0+1),0)</f>
        <v>1</v>
      </c>
      <c r="AUR84" s="20" t="n">
        <v>0</v>
      </c>
      <c r="AUS84" s="20" t="n">
        <v>0</v>
      </c>
      <c r="AUT84" s="20" t="n">
        <v>0</v>
      </c>
      <c r="AUU84" s="20" t="n">
        <v>0</v>
      </c>
      <c r="AUV84" s="20" t="n">
        <v>0</v>
      </c>
      <c r="AUW84" s="20" t="n">
        <v>0</v>
      </c>
      <c r="AUX84" s="20" t="n">
        <v>0</v>
      </c>
      <c r="AUY84" s="20" t="n">
        <v>0</v>
      </c>
      <c r="AUZ84" s="20" t="n">
        <v>0</v>
      </c>
      <c r="AVA84" s="20" t="n">
        <v>0</v>
      </c>
      <c r="AVB84" s="20" t="n">
        <v>0</v>
      </c>
      <c r="AVC84" s="20" t="n">
        <v>0</v>
      </c>
      <c r="AVD84" s="20" t="n">
        <v>0</v>
      </c>
      <c r="AVE84" s="20" t="n">
        <f aca="false">IF(AND(H_Direct=0,H_TaxEvt=1,ARR83+1&gt;=H_Deemed),MAX(0,ADR84-AHE84)*H_Exit,0)</f>
        <v>0</v>
      </c>
      <c r="AVF84" s="20" t="n">
        <f aca="false">IF(AND(H_Direct=0,H_TaxEvt=1,ARS83+1&gt;=H_Deemed),MAX(0,ADS84-AHF84)*H_Exit,0)</f>
        <v>0</v>
      </c>
      <c r="AVG84" s="20" t="n">
        <f aca="false">IF(AND(H_Direct=0,H_TaxEvt=1,ART83+1&gt;=H_Deemed),MAX(0,ADT84-AHG84)*H_Exit,0)</f>
        <v>0</v>
      </c>
      <c r="AVH84" s="20" t="n">
        <f aca="false">IF(AND(H_Direct=0,H_TaxEvt=1,ARU83+1&gt;=H_Deemed),MAX(0,ADU84-AHH84)*H_Exit,0)</f>
        <v>0</v>
      </c>
      <c r="AVI84" s="20" t="n">
        <f aca="false">IF(AND(H_Direct=0,H_TaxEvt=1,ARV83+1&gt;=H_Deemed),MAX(0,ADV84-AHI84)*H_Exit,0)</f>
        <v>0</v>
      </c>
      <c r="AVJ84" s="20" t="n">
        <f aca="false">IF(AND(H_Direct=0,H_TaxEvt=1,ARW83+1&gt;=H_Deemed),MAX(0,ADW84-AHJ84)*H_Exit,0)</f>
        <v>0</v>
      </c>
      <c r="AVK84" s="20" t="n">
        <f aca="false">IF(AND(H_Direct=0,H_TaxEvt=1,ARX83+1&gt;=H_Deemed),MAX(0,ADX84-AHK84)*H_Exit,0)</f>
        <v>0</v>
      </c>
      <c r="AVL84" s="20" t="n">
        <f aca="false">IF(AND(H_Direct=0,H_TaxEvt=1,ARY83+1&gt;=H_Deemed),MAX(0,ADY84-AHL84)*H_Exit,0)</f>
        <v>0</v>
      </c>
      <c r="AVM84" s="20" t="n">
        <f aca="false">IF(AND(H_Direct=0,H_TaxEvt=1,ARZ83+1&gt;=H_Deemed),MAX(0,ADZ84-AHM84)*H_Exit,0)</f>
        <v>0</v>
      </c>
      <c r="AVN84" s="20" t="n">
        <f aca="false">IF(AND(H_Direct=0,H_TaxEvt=1,ASA83+1&gt;=H_Deemed),MAX(0,AEA84-AHN84)*H_Exit,0)</f>
        <v>0</v>
      </c>
      <c r="AVO84" s="20" t="n">
        <f aca="false">IF(AND(H_Direct=0,H_TaxEvt=1,ASB83+1&gt;=H_Deemed),MAX(0,AEB84-AHO84)*H_Exit,0)</f>
        <v>0</v>
      </c>
      <c r="AVP84" s="20" t="n">
        <f aca="false">IF(AND(H_Direct=0,H_TaxEvt=1,ASC83+1&gt;=H_Deemed),MAX(0,AEC84-AHP84)*H_Exit,0)</f>
        <v>0</v>
      </c>
      <c r="AVQ84" s="20" t="n">
        <f aca="false">IF(AND(H_Direct=0,H_TaxEvt=1,ASD83+1&gt;=H_Deemed),MAX(0,AED84-AHQ84)*H_Exit,0)</f>
        <v>0</v>
      </c>
      <c r="AVR84" s="20" t="n">
        <f aca="false">IF(AND(H_Direct=0,H_TaxEvt=1,ASE83+1&gt;=H_Deemed),MAX(0,AEE84-AHR84)*H_Exit,0)</f>
        <v>0</v>
      </c>
      <c r="AVS84" s="20" t="n">
        <f aca="false">IF(AND(H_Direct=0,H_TaxEvt=1,ASF83+1&gt;=H_Deemed),MAX(0,AEF84-AHS84)*H_Exit,0)</f>
        <v>0</v>
      </c>
      <c r="AVT84" s="20" t="n">
        <f aca="false">IF(AND(H_Direct=0,H_TaxEvt=1,ASG83+1&gt;=H_Deemed),MAX(0,AEG84-AHT84)*H_Exit,0)</f>
        <v>0</v>
      </c>
      <c r="AVU84" s="20" t="n">
        <f aca="false">IF(AND(H_Direct=0,H_TaxEvt=1,ASH83+1&gt;=H_Deemed),MAX(0,AEH84-AHU84)*H_Exit,0)</f>
        <v>0</v>
      </c>
      <c r="AVV84" s="20" t="n">
        <f aca="false">IF(AND(H_Direct=0,H_TaxEvt=1,ASI83+1&gt;=H_Deemed),MAX(0,AEI84-AHV84)*H_Exit,0)</f>
        <v>0</v>
      </c>
      <c r="AVW84" s="20" t="n">
        <f aca="false">IF(AND(H_Direct=0,H_TaxEvt=1,ASJ83+1&gt;=H_Deemed),MAX(0,AEJ84-AHW84)*H_Exit,0)</f>
        <v>0</v>
      </c>
      <c r="AVX84" s="20" t="n">
        <f aca="false">IF(AND(H_Direct=0,H_TaxEvt=1,ASK83+1&gt;=H_Deemed),MAX(0,AEK84-AHX84)*H_Exit,0)</f>
        <v>0</v>
      </c>
      <c r="AVY84" s="20" t="n">
        <f aca="false">IF(AND(H_Direct=0,H_TaxEvt=1,ASL83+1&gt;=H_Deemed),MAX(0,AEL84-AHY84)*H_Exit,0)</f>
        <v>0</v>
      </c>
      <c r="AVZ84" s="20" t="n">
        <f aca="false">IF(AND(H_Direct=0,H_TaxEvt=1,ASM83+1&gt;=H_Deemed),MAX(0,AEM84-AHZ84)*H_Exit,0)</f>
        <v>0</v>
      </c>
      <c r="AWA84" s="20" t="n">
        <f aca="false">IF(AND(H_Direct=0,H_TaxEvt=1,ASN83+1&gt;=H_Deemed),MAX(0,AEN84-AIA84)*H_Exit,0)</f>
        <v>0</v>
      </c>
      <c r="AWB84" s="20" t="n">
        <f aca="false">IF(AND(H_Direct=0,H_TaxEvt=1,ASO83+1&gt;=H_Deemed),MAX(0,AEO84-AIB84)*H_Exit,0)</f>
        <v>0</v>
      </c>
      <c r="AWC84" s="20" t="n">
        <f aca="false">IF(AND(H_Direct=0,H_TaxEvt=1,ASP83+1&gt;=H_Deemed),MAX(0,AEP84-AIC84)*H_Exit,0)</f>
        <v>0</v>
      </c>
      <c r="AWD84" s="20" t="n">
        <f aca="false">IF(AND(H_Direct=0,H_TaxEvt=1,ASQ83+1&gt;=H_Deemed),MAX(0,AEQ84-AID84)*H_Exit,0)</f>
        <v>0</v>
      </c>
      <c r="AWE84" s="20" t="n">
        <f aca="false">IF(AND(H_Direct=0,H_TaxEvt=1,ASR83+1&gt;=H_Deemed),MAX(0,AER84-AIE84)*H_Exit,0)</f>
        <v>0</v>
      </c>
      <c r="AWF84" s="20" t="n">
        <f aca="false">IF(AND(H_Direct=0,H_TaxEvt=1,ASS83+1&gt;=H_Deemed),MAX(0,AES84-AIF84)*H_Exit,0)</f>
        <v>0</v>
      </c>
      <c r="AWG84" s="20" t="n">
        <f aca="false">IF(AND(H_Direct=0,H_TaxEvt=1,AST83+1&gt;=H_Deemed),MAX(0,AET84-AIG84)*H_Exit,0)</f>
        <v>0</v>
      </c>
      <c r="AWH84" s="20" t="n">
        <f aca="false">IF(AND(H_Direct=0,H_TaxEvt=1,ASU83+1&gt;=H_Deemed),MAX(0,AEU84-AIH84)*H_Exit,0)</f>
        <v>0</v>
      </c>
      <c r="AWI84" s="20" t="n">
        <f aca="false">IF(AND(H_Direct=0,H_TaxEvt=1,ASV83+1&gt;=H_Deemed),MAX(0,AEV84-AII84)*H_Exit,0)</f>
        <v>0</v>
      </c>
      <c r="AWJ84" s="20" t="n">
        <f aca="false">IF(AND(H_Direct=0,H_TaxEvt=1,ASW83+1&gt;=H_Deemed),MAX(0,AEW84-AIJ84)*H_Exit,0)</f>
        <v>0</v>
      </c>
      <c r="AWK84" s="20" t="n">
        <f aca="false">IF(AND(H_Direct=0,H_TaxEvt=1,ASX83+1&gt;=H_Deemed),MAX(0,AEX84-AIK84)*H_Exit,0)</f>
        <v>0</v>
      </c>
      <c r="AWL84" s="20" t="n">
        <f aca="false">IF(AND(H_Direct=0,H_TaxEvt=1,ASY83+1&gt;=H_Deemed),MAX(0,AEY84-AIL84)*H_Exit,0)</f>
        <v>0</v>
      </c>
      <c r="AWM84" s="20" t="n">
        <f aca="false">IF(AND(H_Direct=0,H_TaxEvt=1,ASZ83+1&gt;=H_Deemed),MAX(0,AEZ84-AIM84)*H_Exit,0)</f>
        <v>0</v>
      </c>
      <c r="AWN84" s="20" t="n">
        <f aca="false">IF(AND(H_Direct=0,H_TaxEvt=1,ATA83+1&gt;=H_Deemed),MAX(0,AFA84-AIN84)*H_Exit,0)</f>
        <v>0</v>
      </c>
      <c r="AWO84" s="20" t="n">
        <f aca="false">IF(AND(H_Direct=0,H_TaxEvt=1,ATB83+1&gt;=H_Deemed),MAX(0,AFB84-AIO84)*H_Exit,0)</f>
        <v>0</v>
      </c>
      <c r="AWP84" s="20" t="n">
        <f aca="false">IF(AND(H_Direct=0,H_TaxEvt=1,ATC83+1&gt;=H_Deemed),MAX(0,AFC84-AIP84)*H_Exit,0)</f>
        <v>0</v>
      </c>
      <c r="AWQ84" s="20" t="n">
        <f aca="false">IF(AND(H_Direct=0,H_TaxEvt=1,ATD83+1&gt;=H_Deemed),MAX(0,AFD84-AIQ84)*H_Exit,0)</f>
        <v>0</v>
      </c>
      <c r="AWR84" s="20" t="n">
        <f aca="false">IF(AND(H_Direct=0,H_TaxEvt=1,ATE83+1&gt;=H_Deemed),MAX(0,AFE84-AIR84)*H_Exit,0)</f>
        <v>0</v>
      </c>
      <c r="AWS84" s="20" t="n">
        <f aca="false">IF(AND(H_Direct=0,H_TaxEvt=1,ATF83+1&gt;=H_Deemed),MAX(0,AFF84-AIS84)*H_Exit,0)</f>
        <v>0</v>
      </c>
      <c r="AWT84" s="20" t="n">
        <f aca="false">IF(AND(H_Direct=0,H_TaxEvt=1,ATG83+1&gt;=H_Deemed),MAX(0,AFG84-AIT84)*H_Exit,0)</f>
        <v>0</v>
      </c>
      <c r="AWU84" s="20" t="n">
        <f aca="false">IF(AND(H_Direct=0,H_TaxEvt=1,ATH83+1&gt;=H_Deemed),MAX(0,AFH84-AIU84)*H_Exit,0)</f>
        <v>0</v>
      </c>
      <c r="AWV84" s="20" t="n">
        <f aca="false">IF(AND(H_Direct=0,H_TaxEvt=1,ATI83+1&gt;=H_Deemed),MAX(0,AFI84-AIV84)*H_Exit,0)</f>
        <v>0</v>
      </c>
      <c r="AWW84" s="20" t="n">
        <f aca="false">IF(AND(H_Direct=0,H_TaxEvt=1,ATJ83+1&gt;=H_Deemed),MAX(0,AFJ84-AIW84)*H_Exit,0)</f>
        <v>0</v>
      </c>
      <c r="AWX84" s="20" t="n">
        <f aca="false">IF(AND(H_Direct=0,H_TaxEvt=1,ATK83+1&gt;=H_Deemed),MAX(0,AFK84-AIX84)*H_Exit,0)</f>
        <v>0</v>
      </c>
      <c r="AWY84" s="20" t="n">
        <f aca="false">IF(AND(H_Direct=0,H_TaxEvt=1,ATL83+1&gt;=H_Deemed),MAX(0,AFL84-AIY84)*H_Exit,0)</f>
        <v>0</v>
      </c>
      <c r="AWZ84" s="20" t="n">
        <f aca="false">IF(AND(H_Direct=0,H_TaxEvt=1,ATM83+1&gt;=H_Deemed),MAX(0,AFM84-AIZ84)*H_Exit,0)</f>
        <v>0</v>
      </c>
      <c r="AXA84" s="20" t="n">
        <f aca="false">IF(AND(H_Direct=0,H_TaxEvt=1,ATN83+1&gt;=H_Deemed),MAX(0,AFN84-AJA84)*H_Exit,0)</f>
        <v>0</v>
      </c>
      <c r="AXB84" s="20" t="n">
        <f aca="false">IF(AND(H_Direct=0,H_TaxEvt=1,ATO83+1&gt;=H_Deemed),MAX(0,AFO84-AJB84)*H_Exit,0)</f>
        <v>0</v>
      </c>
      <c r="AXC84" s="20" t="n">
        <f aca="false">IF(AND(H_Direct=0,H_TaxEvt=1,ATP83+1&gt;=H_Deemed),MAX(0,AFP84-AJC84)*H_Exit,0)</f>
        <v>0</v>
      </c>
      <c r="AXD84" s="20" t="n">
        <f aca="false">IF(AND(H_Direct=0,H_TaxEvt=1,ATQ83+1&gt;=H_Deemed),MAX(0,AFQ84-AJD84)*H_Exit,0)</f>
        <v>0</v>
      </c>
      <c r="AXE84" s="20" t="n">
        <f aca="false">IF(AND(H_Direct=0,H_TaxEvt=1,ATR83+1&gt;=H_Deemed),MAX(0,AFR84-AJE84)*H_Exit,0)</f>
        <v>0</v>
      </c>
      <c r="AXF84" s="20" t="n">
        <f aca="false">IF(AND(H_Direct=0,H_TaxEvt=1,ATS83+1&gt;=H_Deemed),MAX(0,AFS84-AJF84)*H_Exit,0)</f>
        <v>0</v>
      </c>
      <c r="AXG84" s="20" t="n">
        <f aca="false">IF(AND(H_Direct=0,H_TaxEvt=1,ATT83+1&gt;=H_Deemed),MAX(0,AFT84-AJG84)*H_Exit,0)</f>
        <v>0</v>
      </c>
      <c r="AXH84" s="20" t="n">
        <f aca="false">IF(AND(H_Direct=0,H_TaxEvt=1,ATU83+1&gt;=H_Deemed),MAX(0,AFU84-AJH84)*H_Exit,0)</f>
        <v>0</v>
      </c>
      <c r="AXI84" s="20" t="n">
        <f aca="false">IF(AND(H_Direct=0,H_TaxEvt=1,ATV83+1&gt;=H_Deemed),MAX(0,AFV84-AJI84)*H_Exit,0)</f>
        <v>0</v>
      </c>
      <c r="AXJ84" s="20" t="n">
        <f aca="false">IF(AND(H_Direct=0,H_TaxEvt=1,ATW83+1&gt;=H_Deemed),MAX(0,AFW84-AJJ84)*H_Exit,0)</f>
        <v>0</v>
      </c>
      <c r="AXK84" s="20" t="n">
        <f aca="false">IF(AND(H_Direct=0,H_TaxEvt=1,ATX83+1&gt;=H_Deemed),MAX(0,AFX84-AJK84)*H_Exit,0)</f>
        <v>0</v>
      </c>
      <c r="AXL84" s="20" t="n">
        <f aca="false">IF(AND(H_Direct=0,H_TaxEvt=1,ATY83+1&gt;=H_Deemed),MAX(0,AFY84-AJL84)*H_Exit,0)</f>
        <v>0</v>
      </c>
      <c r="AXM84" s="20" t="n">
        <f aca="false">IF(AND(H_Direct=0,H_TaxEvt=1,ATZ83+1&gt;=H_Deemed),MAX(0,AFZ84-AJM84)*H_Exit,0)</f>
        <v>0</v>
      </c>
      <c r="AXN84" s="20" t="n">
        <f aca="false">IF(AND(H_Direct=0,H_TaxEvt=1,AUA83+1&gt;=H_Deemed),MAX(0,AGA84-AJN84)*H_Exit,0)</f>
        <v>0</v>
      </c>
      <c r="AXO84" s="20" t="n">
        <f aca="false">IF(AND(H_Direct=0,H_TaxEvt=1,AUB83+1&gt;=H_Deemed),MAX(0,AGB84-AJO84)*H_Exit,0)</f>
        <v>0</v>
      </c>
      <c r="AXP84" s="20" t="n">
        <f aca="false">IF(AND(H_Direct=0,H_TaxEvt=1,AUC83+1&gt;=H_Deemed),MAX(0,AGC84-AJP84)*H_Exit,0)</f>
        <v>0</v>
      </c>
      <c r="AXQ84" s="20" t="n">
        <f aca="false">IF(AND(H_Direct=0,H_TaxEvt=1,AUD83+1&gt;=H_Deemed),MAX(0,AGD84-AJQ84)*H_Exit,0)</f>
        <v>0</v>
      </c>
      <c r="AXR84" s="20" t="n">
        <f aca="false">IF(AND(H_Direct=0,H_TaxEvt=1,AUE83+1&gt;=H_Deemed),MAX(0,AGE84-AJR84)*H_Exit,0)</f>
        <v>0</v>
      </c>
      <c r="AXS84" s="20" t="n">
        <f aca="false">IF(AND(H_Direct=0,H_TaxEvt=1,AUF83+1&gt;=H_Deemed),MAX(0,AGF84-AJS84)*H_Exit,0)</f>
        <v>0</v>
      </c>
      <c r="AXT84" s="20" t="n">
        <f aca="false">IF(AND(H_Direct=0,H_TaxEvt=1,AUG83+1&gt;=H_Deemed),MAX(0,AGG84-AJT84)*H_Exit,0)</f>
        <v>0</v>
      </c>
      <c r="AXU84" s="20" t="n">
        <f aca="false">IF(AND(H_Direct=0,H_TaxEvt=1,AUH83+1&gt;=H_Deemed),MAX(0,AGH84-AJU84)*H_Exit,0)</f>
        <v>0</v>
      </c>
      <c r="AXV84" s="20" t="n">
        <f aca="false">IF(AND(H_Direct=0,H_TaxEvt=1,AUI83+1&gt;=H_Deemed),MAX(0,AGI84-AJV84)*H_Exit,0)</f>
        <v>0</v>
      </c>
      <c r="AXW84" s="20" t="n">
        <f aca="false">IF(AND(H_Direct=0,H_TaxEvt=1,AUJ83+1&gt;=H_Deemed),MAX(0,AGJ84-AJW84)*H_Exit,0)</f>
        <v>0</v>
      </c>
      <c r="AXX84" s="20" t="n">
        <f aca="false">IF(AND(H_Direct=0,H_TaxEvt=1,AUK83+1&gt;=H_Deemed),MAX(0,AGK84-AJX84)*H_Exit,0)</f>
        <v>0</v>
      </c>
      <c r="AXY84" s="20" t="n">
        <f aca="false">IF(AND(H_Direct=0,H_TaxEvt=1,AUL83+1&gt;=H_Deemed),MAX(0,AGL84-AJY84)*H_Exit,0)</f>
        <v>0</v>
      </c>
      <c r="AXZ84" s="20" t="n">
        <f aca="false">IF(AND(H_Direct=0,H_TaxEvt=1,AUM83+1&gt;=H_Deemed),MAX(0,AGM84-AJZ84)*H_Exit,0)</f>
        <v>0</v>
      </c>
      <c r="AYA84" s="20" t="n">
        <f aca="false">IF(AND(H_Direct=0,H_TaxEvt=1,AUN83+1&gt;=H_Deemed),MAX(0,AGN84-AKA84)*H_Exit,0)</f>
        <v>0</v>
      </c>
      <c r="AYB84" s="20" t="n">
        <f aca="false">IF(AND(H_Direct=0,H_TaxEvt=1,AUO83+1&gt;=H_Deemed),MAX(0,AGO84-AKB84)*H_Exit,0)</f>
        <v>0</v>
      </c>
      <c r="AYC84" s="20" t="n">
        <f aca="false">IF(AND(H_Direct=0,H_TaxEvt=1,AUP83+1&gt;=H_Deemed),MAX(0,AGP84-AKC84)*H_Exit,0)</f>
        <v>0</v>
      </c>
      <c r="AYD84" s="20" t="n">
        <f aca="false">IF(AND(H_Direct=0,H_TaxEvt=1,0+1&gt;=H_Deemed),MAX(0,AGQ84-AKD84)*H_Exit,0)</f>
        <v>0</v>
      </c>
      <c r="AYE84" s="20" t="n">
        <v>0</v>
      </c>
      <c r="AYF84" s="20" t="n">
        <v>0</v>
      </c>
      <c r="AYG84" s="20" t="n">
        <v>0</v>
      </c>
      <c r="AYH84" s="20" t="n">
        <v>0</v>
      </c>
      <c r="AYI84" s="20" t="n">
        <v>0</v>
      </c>
      <c r="AYJ84" s="20" t="n">
        <v>0</v>
      </c>
      <c r="AYK84" s="20" t="n">
        <v>0</v>
      </c>
      <c r="AYL84" s="20" t="n">
        <v>0</v>
      </c>
      <c r="AYM84" s="20" t="n">
        <v>0</v>
      </c>
      <c r="AYN84" s="20" t="n">
        <v>0</v>
      </c>
      <c r="AYO84" s="20" t="n">
        <v>0</v>
      </c>
      <c r="AYP84" s="20" t="n">
        <v>0</v>
      </c>
      <c r="AYQ84" s="20" t="n">
        <v>0</v>
      </c>
    </row>
    <row r="85" customFormat="false" ht="15" hidden="false" customHeight="false" outlineLevel="0" collapsed="false">
      <c r="B85" s="20" t="n">
        <v>77</v>
      </c>
      <c r="C85" s="20" t="n">
        <f aca="false">'Plan cashflow'!C85</f>
        <v>0</v>
      </c>
      <c r="D85" s="20" t="n">
        <f aca="false">'Plan cashflow'!D85</f>
        <v>115</v>
      </c>
      <c r="E85" s="20" t="n">
        <f aca="false">AS_Year0+77</f>
        <v>2103</v>
      </c>
      <c r="F85" s="50" t="n">
        <f aca="false">'Plan cashflow'!F85</f>
        <v>4.59423520751483</v>
      </c>
      <c r="G85" s="59" t="n">
        <f aca="true">IF(MAX(TODAY(),DATE(E85,1,1))&gt;=H_CGTfrom,H_CGT1,H_CGT0)</f>
        <v>0.31</v>
      </c>
      <c r="H85" s="20" t="n">
        <f aca="false">H_Exempt*H_Persons</f>
        <v>1270</v>
      </c>
      <c r="I85" s="20" t="n">
        <f aca="false">AX84</f>
        <v>0</v>
      </c>
      <c r="J85" s="60" t="n">
        <f aca="false">BF84</f>
        <v>0</v>
      </c>
      <c r="K85" s="60" t="n">
        <f aca="false">BG84</f>
        <v>0</v>
      </c>
      <c r="L85" s="20" t="n">
        <f aca="false">IF(AND(In_polLump&gt;0,In_polLumpAge&gt;0,D85=In_polLumpAge),In_polLump,0)</f>
        <v>0</v>
      </c>
      <c r="M85" s="20" t="n">
        <f aca="false">IF(AND(In_homeUse="Yes, I'd downsize",In_downAge&gt;0,D85=In_downAge,OR(In_home="Own outright",In_home="Own with mortgage"),In_homeValue&gt;0),MAX(0,MAX(0,In_homeValue-In_downValue)*F85*0.9-'Plan cashflow'!HR84),0)</f>
        <v>0</v>
      </c>
      <c r="N85" s="20" t="n">
        <f aca="false">'Plan pay &amp; tax'!Y311</f>
        <v>0</v>
      </c>
      <c r="O85" s="20" t="n">
        <f aca="false">L85+M85+(1-H_Sh)*N85</f>
        <v>0</v>
      </c>
      <c r="P85" s="20" t="n">
        <f aca="false">H_Sh*N85</f>
        <v>0</v>
      </c>
      <c r="Q85" s="20" t="n">
        <f aca="false">'Plan cashflow'!UL85</f>
        <v>0</v>
      </c>
      <c r="R85" s="20" t="n">
        <f aca="false">(1-H_Sh)*Q85</f>
        <v>0</v>
      </c>
      <c r="S85" s="20" t="n">
        <f aca="false">H_Sh*Q85</f>
        <v>0</v>
      </c>
      <c r="T85" s="20" t="n">
        <f aca="false">J85+K85+O85</f>
        <v>0</v>
      </c>
      <c r="U85" s="20" t="n">
        <f aca="false">T85+R85</f>
        <v>0</v>
      </c>
      <c r="V85" s="60" t="n">
        <f aca="false">SUM(FE85:IQ85)</f>
        <v>0</v>
      </c>
      <c r="W85" s="60" t="n">
        <f aca="false">IF(AJ85&lt;=0,0,IF(AL85&lt;=0,AJ85,AJ85-G85*MAX(0,AL85*AJ85-(AY85+AZ85))))</f>
        <v>0</v>
      </c>
      <c r="X85" s="60" t="n">
        <f aca="false">IF(AR85&lt;=0,0,IF(AT85&lt;=0,AR85,AR85-G85*MAX(0,AT85*AR85-(BA85+BB85))))</f>
        <v>0</v>
      </c>
      <c r="Y85" s="60" t="n">
        <f aca="false">T85+V85-S85+W85+X85</f>
        <v>0</v>
      </c>
      <c r="Z85" s="60" t="n">
        <f aca="false">'Plan cashflow'!UK85</f>
        <v>0</v>
      </c>
      <c r="AA85" s="20" t="n">
        <f aca="false">MIN(Z85,U85)</f>
        <v>0</v>
      </c>
      <c r="AB85" s="20" t="n">
        <f aca="false">Z85-AA85</f>
        <v>0</v>
      </c>
      <c r="AC85" s="20" t="n">
        <f aca="false">MIN(AA85,J85+O85+R85)</f>
        <v>0</v>
      </c>
      <c r="AD85" s="20" t="n">
        <f aca="false">AA85-AC85</f>
        <v>0</v>
      </c>
      <c r="AE85" s="20" t="n">
        <f aca="false">J85+O85+R85-AC85</f>
        <v>0</v>
      </c>
      <c r="AF85" s="20" t="n">
        <f aca="false">K85-AD85</f>
        <v>0</v>
      </c>
      <c r="AG85" s="20" t="n">
        <f aca="false">SUM(PR85:TD85)</f>
        <v>0</v>
      </c>
      <c r="AH85" s="20" t="n">
        <f aca="false">SUM(TE85:WQ85)</f>
        <v>0</v>
      </c>
      <c r="AI85" s="20" t="n">
        <f aca="false">MAX(0,AB85-AG85)</f>
        <v>0</v>
      </c>
      <c r="AJ85" s="57" t="n">
        <f aca="false">BI84</f>
        <v>0</v>
      </c>
      <c r="AK85" s="20" t="n">
        <f aca="false">BJ84</f>
        <v>0</v>
      </c>
      <c r="AL85" s="20" t="n">
        <f aca="false">IF(AJ85&gt;0,(AJ85-AK85)/AJ85,0)</f>
        <v>0</v>
      </c>
      <c r="AM85" s="20" t="n">
        <f aca="false">IF(AJ85&lt;=0,0,IF(AL85&lt;=0,MIN(AI85,AJ85),MIN(AI85,AJ85-G85*MAX(0,AL85*AJ85-(AAD85+ADQ85)))))</f>
        <v>0</v>
      </c>
      <c r="AN85" s="20" t="n">
        <f aca="false">IF(AJ85&lt;=0,0,IF(AL85&lt;=0,AM85,IF(AM85&lt;=(AAD85+ADQ85)/AL85,AM85,(AM85-G85*(AAD85+ADQ85))/(1-G85*AL85))))</f>
        <v>0</v>
      </c>
      <c r="AO85" s="20" t="n">
        <f aca="false">IF(AL85&gt;0,MAX(0,AAD85-(MIN(AL85*AN85,(AAD85+ADQ85))-MIN(MIN(AL85*AN85,(AAD85+ADQ85)),ADQ85))),AAD85)</f>
        <v>1270</v>
      </c>
      <c r="AP85" s="20" t="n">
        <f aca="false">IF(AL85&lt;=0,ADQ85-AL85*AN85,ADQ85-MIN(MIN(AL85*AN85,(AAD85+ADQ85)),ADQ85))</f>
        <v>0</v>
      </c>
      <c r="AQ85" s="20" t="n">
        <f aca="false">MAX(0,AI85-AM85)</f>
        <v>0</v>
      </c>
      <c r="AR85" s="57" t="n">
        <f aca="false">BK84</f>
        <v>0</v>
      </c>
      <c r="AS85" s="20" t="n">
        <f aca="false">BL84</f>
        <v>0</v>
      </c>
      <c r="AT85" s="20" t="n">
        <f aca="false">IF(AR85&gt;0,(AR85-AS85)/AR85,0)</f>
        <v>0</v>
      </c>
      <c r="AU85" s="20" t="n">
        <f aca="false">IF(AR85&lt;=0,0,IF(AT85&lt;=0,MIN(AQ85,AR85),MIN(AQ85,AR85-G85*MAX(0,AT85*AR85-(AO85+AP85)))))</f>
        <v>0</v>
      </c>
      <c r="AV85" s="20" t="n">
        <f aca="false">IF(AR85&lt;=0,0,IF(AT85&lt;=0,AU85,IF(AU85&lt;=(AO85+AP85)/AT85,AU85,(AU85-G85*(AO85+AP85))/(1-G85*AT85))))</f>
        <v>0</v>
      </c>
      <c r="AW85" s="20" t="n">
        <f aca="false">IF(AT85&gt;0,MAX(0,AO85-(MIN(AT85*AV85,(AO85+AP85))-MIN(MIN(AT85*AV85,(AO85+AP85)),AP85))),AO85)</f>
        <v>1270</v>
      </c>
      <c r="AX85" s="20" t="n">
        <f aca="false">IF(AT85&lt;=0,AP85-AT85*AV85,AP85-MIN(MIN(AT85*AV85,(AO85+AP85)),AP85))</f>
        <v>0</v>
      </c>
      <c r="AY85" s="20" t="n">
        <f aca="false">MD85</f>
        <v>1270</v>
      </c>
      <c r="AZ85" s="20" t="n">
        <f aca="false">PQ85</f>
        <v>0</v>
      </c>
      <c r="BA85" s="20" t="n">
        <f aca="false">IF(AL85&gt;0,MAX(0,AY85-(MIN(AL85*AJ85,AY85+AZ85)-MIN(MIN(AL85*AJ85,AY85+AZ85),AZ85))),AY85)</f>
        <v>1270</v>
      </c>
      <c r="BB85" s="20" t="n">
        <f aca="false">IF(AL85&lt;=0,AZ85-AL85*AJ85,AZ85-MIN(MIN(AL85*AJ85,AY85+AZ85),AZ85))</f>
        <v>0</v>
      </c>
      <c r="BC85" s="20" t="n">
        <f aca="false">'Plan cashflow'!UM85</f>
        <v>0</v>
      </c>
      <c r="BD85" s="20" t="n">
        <f aca="false">(1-H_Sh)*BC85</f>
        <v>0</v>
      </c>
      <c r="BE85" s="20" t="n">
        <f aca="false">H_Sh*BC85</f>
        <v>0</v>
      </c>
      <c r="BF85" s="60" t="n">
        <f aca="false">(AE85+BD85)*(1+AS_Cash)</f>
        <v>0</v>
      </c>
      <c r="BG85" s="60" t="n">
        <f aca="false">AF85*(1+AS_Cash)</f>
        <v>0</v>
      </c>
      <c r="BH85" s="60" t="n">
        <f aca="false">SUM(AKR85:AOD85)</f>
        <v>0</v>
      </c>
      <c r="BI85" s="60" t="n">
        <f aca="false">(AJ85-AN85)*(1+AS_Infl)</f>
        <v>0</v>
      </c>
      <c r="BJ85" s="20" t="n">
        <f aca="false">IF(AJ85&gt;0,AK85-AK85*AN85/AJ85,0)</f>
        <v>0</v>
      </c>
      <c r="BK85" s="60" t="n">
        <f aca="false">(AR85-AV85)*(1+BQ85)</f>
        <v>0</v>
      </c>
      <c r="BL85" s="20" t="n">
        <f aca="false">IF(AR85&gt;0,AS85-AS85*AV85/AR85,0)</f>
        <v>0</v>
      </c>
      <c r="BM85" s="60" t="n">
        <f aca="false">BF85+BG85+BH85+BI85+BK85</f>
        <v>0</v>
      </c>
      <c r="BN85" s="60" t="n">
        <f aca="false">(AH85-AG85)+(AN85-AM85)+(AV85-AU85)</f>
        <v>0</v>
      </c>
      <c r="BO85" s="20" t="n">
        <f aca="false">(AE85+BD85+AF85+MAX(0,'Plan cashflow'!QH85)+IF(Slot1_Rate=AS_Cash,'Plan cashflow'!QM85/(1+AS_Cash),0)+IF(Slot2_Rate=AS_Cash,'Plan cashflow'!QQ85/(1+AS_Cash),0)+IF(Slot3_Rate=AS_Cash,'Plan cashflow'!QU85/(1+AS_Cash),0)+IF(Slot4_Rate=AS_Cash,'Plan cashflow'!QY85/(1+AS_Cash),0)+IF(Slot5_Rate=AS_Cash,'Plan cashflow'!RC85/(1+AS_Cash),0)+IF(Slot6_Rate=AS_Cash,'Plan cashflow'!RG85/(1+AS_Cash),0)+IF(Slot7_Rate=AS_Cash,'Plan cashflow'!RK85/(1+AS_Cash),0)+IF(Slot8_Rate=AS_Cash,'Plan cashflow'!RO85/(1+AS_Cash),0)+IF(Slot9_Rate=AS_Cash,'Plan cashflow'!RS85/(1+AS_Cash),0)+IF(Slot10_Rate=AS_Cash,'Plan cashflow'!RW85/(1+AS_Cash),0)+IF(Slot11_Rate=AS_Cash,'Plan cashflow'!SA85/(1+AS_Cash),0)+IF(Slot12_Rate=AS_Cash,'Plan cashflow'!SE85/(1+AS_Cash),0)+IF(Slot13_Rate=AS_Cash,'Plan cashflow'!SI85/(1+AS_Cash),0)+IF(Slot14_Rate=AS_Cash,'Plan cashflow'!SM85/(1+AS_Cash),0)+IF(Slot15_Rate=AS_Cash,'Plan cashflow'!SQ85/(1+AS_Cash),0)+IF(Slot16_Rate=AS_Cash,'Plan cashflow'!SU85/(1+AS_Cash),0)+IF(Slot17_Rate=AS_Cash,'Plan cashflow'!SY85/(1+AS_Cash),0)+IF(Slot18_Rate=AS_Cash,'Plan cashflow'!TC85/(1+AS_Cash),0)+IF(Slot19_Rate=AS_Cash,'Plan cashflow'!TG85/(1+AS_Cash),0)+IF(Slot20_Rate=AS_Cash,'Plan cashflow'!TK85/(1+AS_Cash),0))*AS_Cash*H_DIRT/(1-H_DIRT)</f>
        <v>0</v>
      </c>
      <c r="BP85" s="60" t="n">
        <f aca="false">SUM(AVE85:AYQ85)</f>
        <v>0</v>
      </c>
      <c r="BQ85" s="54" t="n">
        <f aca="false">IF(H_TaxEvt=1,H_InvG,AS_Inv)</f>
        <v>0.04</v>
      </c>
      <c r="BR85" s="20" t="n">
        <f aca="false">IF(AKR84&gt;0,(AKR84-AOE84)/AKR84,0)</f>
        <v>0</v>
      </c>
      <c r="BS85" s="20" t="n">
        <f aca="false">IF(AKS84&gt;0,(AKS84-AOF84)/AKS84,0)</f>
        <v>0</v>
      </c>
      <c r="BT85" s="20" t="n">
        <f aca="false">IF(AKT84&gt;0,(AKT84-AOG84)/AKT84,0)</f>
        <v>0</v>
      </c>
      <c r="BU85" s="20" t="n">
        <f aca="false">IF(AKU84&gt;0,(AKU84-AOH84)/AKU84,0)</f>
        <v>0</v>
      </c>
      <c r="BV85" s="20" t="n">
        <f aca="false">IF(AKV84&gt;0,(AKV84-AOI84)/AKV84,0)</f>
        <v>0</v>
      </c>
      <c r="BW85" s="20" t="n">
        <f aca="false">IF(AKW84&gt;0,(AKW84-AOJ84)/AKW84,0)</f>
        <v>0</v>
      </c>
      <c r="BX85" s="20" t="n">
        <f aca="false">IF(AKX84&gt;0,(AKX84-AOK84)/AKX84,0)</f>
        <v>0</v>
      </c>
      <c r="BY85" s="20" t="n">
        <f aca="false">IF(AKY84&gt;0,(AKY84-AOL84)/AKY84,0)</f>
        <v>0</v>
      </c>
      <c r="BZ85" s="20" t="n">
        <f aca="false">IF(AKZ84&gt;0,(AKZ84-AOM84)/AKZ84,0)</f>
        <v>0</v>
      </c>
      <c r="CA85" s="20" t="n">
        <f aca="false">IF(ALA84&gt;0,(ALA84-AON84)/ALA84,0)</f>
        <v>0</v>
      </c>
      <c r="CB85" s="20" t="n">
        <f aca="false">IF(ALB84&gt;0,(ALB84-AOO84)/ALB84,0)</f>
        <v>0</v>
      </c>
      <c r="CC85" s="20" t="n">
        <f aca="false">IF(ALC84&gt;0,(ALC84-AOP84)/ALC84,0)</f>
        <v>0</v>
      </c>
      <c r="CD85" s="20" t="n">
        <f aca="false">IF(ALD84&gt;0,(ALD84-AOQ84)/ALD84,0)</f>
        <v>0</v>
      </c>
      <c r="CE85" s="20" t="n">
        <f aca="false">IF(ALE84&gt;0,(ALE84-AOR84)/ALE84,0)</f>
        <v>0</v>
      </c>
      <c r="CF85" s="20" t="n">
        <f aca="false">IF(ALF84&gt;0,(ALF84-AOS84)/ALF84,0)</f>
        <v>0</v>
      </c>
      <c r="CG85" s="20" t="n">
        <f aca="false">IF(ALG84&gt;0,(ALG84-AOT84)/ALG84,0)</f>
        <v>0</v>
      </c>
      <c r="CH85" s="20" t="n">
        <f aca="false">IF(ALH84&gt;0,(ALH84-AOU84)/ALH84,0)</f>
        <v>0</v>
      </c>
      <c r="CI85" s="20" t="n">
        <f aca="false">IF(ALI84&gt;0,(ALI84-AOV84)/ALI84,0)</f>
        <v>0</v>
      </c>
      <c r="CJ85" s="20" t="n">
        <f aca="false">IF(ALJ84&gt;0,(ALJ84-AOW84)/ALJ84,0)</f>
        <v>0</v>
      </c>
      <c r="CK85" s="20" t="n">
        <f aca="false">IF(ALK84&gt;0,(ALK84-AOX84)/ALK84,0)</f>
        <v>0</v>
      </c>
      <c r="CL85" s="20" t="n">
        <f aca="false">IF(ALL84&gt;0,(ALL84-AOY84)/ALL84,0)</f>
        <v>0</v>
      </c>
      <c r="CM85" s="20" t="n">
        <f aca="false">IF(ALM84&gt;0,(ALM84-AOZ84)/ALM84,0)</f>
        <v>0</v>
      </c>
      <c r="CN85" s="20" t="n">
        <f aca="false">IF(ALN84&gt;0,(ALN84-APA84)/ALN84,0)</f>
        <v>0</v>
      </c>
      <c r="CO85" s="20" t="n">
        <f aca="false">IF(ALO84&gt;0,(ALO84-APB84)/ALO84,0)</f>
        <v>0</v>
      </c>
      <c r="CP85" s="20" t="n">
        <f aca="false">IF(ALP84&gt;0,(ALP84-APC84)/ALP84,0)</f>
        <v>0</v>
      </c>
      <c r="CQ85" s="20" t="n">
        <f aca="false">IF(ALQ84&gt;0,(ALQ84-APD84)/ALQ84,0)</f>
        <v>0</v>
      </c>
      <c r="CR85" s="20" t="n">
        <f aca="false">IF(ALR84&gt;0,(ALR84-APE84)/ALR84,0)</f>
        <v>0</v>
      </c>
      <c r="CS85" s="20" t="n">
        <f aca="false">IF(ALS84&gt;0,(ALS84-APF84)/ALS84,0)</f>
        <v>0</v>
      </c>
      <c r="CT85" s="20" t="n">
        <f aca="false">IF(ALT84&gt;0,(ALT84-APG84)/ALT84,0)</f>
        <v>0</v>
      </c>
      <c r="CU85" s="20" t="n">
        <f aca="false">IF(ALU84&gt;0,(ALU84-APH84)/ALU84,0)</f>
        <v>0</v>
      </c>
      <c r="CV85" s="20" t="n">
        <f aca="false">IF(ALV84&gt;0,(ALV84-API84)/ALV84,0)</f>
        <v>0</v>
      </c>
      <c r="CW85" s="20" t="n">
        <f aca="false">IF(ALW84&gt;0,(ALW84-APJ84)/ALW84,0)</f>
        <v>0</v>
      </c>
      <c r="CX85" s="20" t="n">
        <f aca="false">IF(ALX84&gt;0,(ALX84-APK84)/ALX84,0)</f>
        <v>0</v>
      </c>
      <c r="CY85" s="20" t="n">
        <f aca="false">IF(ALY84&gt;0,(ALY84-APL84)/ALY84,0)</f>
        <v>0</v>
      </c>
      <c r="CZ85" s="20" t="n">
        <f aca="false">IF(ALZ84&gt;0,(ALZ84-APM84)/ALZ84,0)</f>
        <v>0</v>
      </c>
      <c r="DA85" s="20" t="n">
        <f aca="false">IF(AMA84&gt;0,(AMA84-APN84)/AMA84,0)</f>
        <v>0</v>
      </c>
      <c r="DB85" s="20" t="n">
        <f aca="false">IF(AMB84&gt;0,(AMB84-APO84)/AMB84,0)</f>
        <v>0</v>
      </c>
      <c r="DC85" s="20" t="n">
        <f aca="false">IF(AMC84&gt;0,(AMC84-APP84)/AMC84,0)</f>
        <v>0</v>
      </c>
      <c r="DD85" s="20" t="n">
        <f aca="false">IF(AMD84&gt;0,(AMD84-APQ84)/AMD84,0)</f>
        <v>0</v>
      </c>
      <c r="DE85" s="20" t="n">
        <f aca="false">IF(AME84&gt;0,(AME84-APR84)/AME84,0)</f>
        <v>0</v>
      </c>
      <c r="DF85" s="20" t="n">
        <f aca="false">IF(AMF84&gt;0,(AMF84-APS84)/AMF84,0)</f>
        <v>0</v>
      </c>
      <c r="DG85" s="20" t="n">
        <f aca="false">IF(AMG84&gt;0,(AMG84-APT84)/AMG84,0)</f>
        <v>0</v>
      </c>
      <c r="DH85" s="20" t="n">
        <f aca="false">IF(AMH84&gt;0,(AMH84-APU84)/AMH84,0)</f>
        <v>0</v>
      </c>
      <c r="DI85" s="20" t="n">
        <f aca="false">IF(AMI84&gt;0,(AMI84-APV84)/AMI84,0)</f>
        <v>0</v>
      </c>
      <c r="DJ85" s="20" t="n">
        <f aca="false">IF(AMJ84&gt;0,(AMJ84-APW84)/AMJ84,0)</f>
        <v>0</v>
      </c>
      <c r="DK85" s="20" t="n">
        <f aca="false">IF(AMK84&gt;0,(AMK84-APX84)/AMK84,0)</f>
        <v>0</v>
      </c>
      <c r="DL85" s="20" t="n">
        <f aca="false">IF(AML84&gt;0,(AML84-APY84)/AML84,0)</f>
        <v>0</v>
      </c>
      <c r="DM85" s="20" t="n">
        <f aca="false">IF(AMM84&gt;0,(AMM84-APZ84)/AMM84,0)</f>
        <v>0</v>
      </c>
      <c r="DN85" s="20" t="n">
        <f aca="false">IF(AMN84&gt;0,(AMN84-AQA84)/AMN84,0)</f>
        <v>0</v>
      </c>
      <c r="DO85" s="20" t="n">
        <f aca="false">IF(AMO84&gt;0,(AMO84-AQB84)/AMO84,0)</f>
        <v>0</v>
      </c>
      <c r="DP85" s="20" t="n">
        <f aca="false">IF(AMP84&gt;0,(AMP84-AQC84)/AMP84,0)</f>
        <v>0</v>
      </c>
      <c r="DQ85" s="20" t="n">
        <f aca="false">IF(AMQ84&gt;0,(AMQ84-AQD84)/AMQ84,0)</f>
        <v>0</v>
      </c>
      <c r="DR85" s="20" t="n">
        <f aca="false">IF(AMR84&gt;0,(AMR84-AQE84)/AMR84,0)</f>
        <v>0</v>
      </c>
      <c r="DS85" s="20" t="n">
        <f aca="false">IF(AMS84&gt;0,(AMS84-AQF84)/AMS84,0)</f>
        <v>0</v>
      </c>
      <c r="DT85" s="20" t="n">
        <f aca="false">IF(AMT84&gt;0,(AMT84-AQG84)/AMT84,0)</f>
        <v>0</v>
      </c>
      <c r="DU85" s="20" t="n">
        <f aca="false">IF(AMU84&gt;0,(AMU84-AQH84)/AMU84,0)</f>
        <v>0</v>
      </c>
      <c r="DV85" s="20" t="n">
        <f aca="false">IF(AMV84&gt;0,(AMV84-AQI84)/AMV84,0)</f>
        <v>0</v>
      </c>
      <c r="DW85" s="20" t="n">
        <f aca="false">IF(AMW84&gt;0,(AMW84-AQJ84)/AMW84,0)</f>
        <v>0</v>
      </c>
      <c r="DX85" s="20" t="n">
        <f aca="false">IF(AMX84&gt;0,(AMX84-AQK84)/AMX84,0)</f>
        <v>0</v>
      </c>
      <c r="DY85" s="20" t="n">
        <f aca="false">IF(AMY84&gt;0,(AMY84-AQL84)/AMY84,0)</f>
        <v>0</v>
      </c>
      <c r="DZ85" s="20" t="n">
        <f aca="false">IF(AMZ84&gt;0,(AMZ84-AQM84)/AMZ84,0)</f>
        <v>0</v>
      </c>
      <c r="EA85" s="20" t="n">
        <f aca="false">IF(ANA84&gt;0,(ANA84-AQN84)/ANA84,0)</f>
        <v>0</v>
      </c>
      <c r="EB85" s="20" t="n">
        <f aca="false">IF(ANB84&gt;0,(ANB84-AQO84)/ANB84,0)</f>
        <v>0</v>
      </c>
      <c r="EC85" s="20" t="n">
        <f aca="false">IF(ANC84&gt;0,(ANC84-AQP84)/ANC84,0)</f>
        <v>0</v>
      </c>
      <c r="ED85" s="20" t="n">
        <f aca="false">IF(AND84&gt;0,(AND84-AQQ84)/AND84,0)</f>
        <v>0</v>
      </c>
      <c r="EE85" s="20" t="n">
        <f aca="false">IF(ANE84&gt;0,(ANE84-AQR84)/ANE84,0)</f>
        <v>0</v>
      </c>
      <c r="EF85" s="20" t="n">
        <f aca="false">IF(ANF84&gt;0,(ANF84-AQS84)/ANF84,0)</f>
        <v>0</v>
      </c>
      <c r="EG85" s="20" t="n">
        <f aca="false">IF(ANG84&gt;0,(ANG84-AQT84)/ANG84,0)</f>
        <v>0</v>
      </c>
      <c r="EH85" s="20" t="n">
        <f aca="false">IF(ANH84&gt;0,(ANH84-AQU84)/ANH84,0)</f>
        <v>0</v>
      </c>
      <c r="EI85" s="20" t="n">
        <f aca="false">IF(ANI84&gt;0,(ANI84-AQV84)/ANI84,0)</f>
        <v>0</v>
      </c>
      <c r="EJ85" s="20" t="n">
        <f aca="false">IF(ANJ84&gt;0,(ANJ84-AQW84)/ANJ84,0)</f>
        <v>0</v>
      </c>
      <c r="EK85" s="20" t="n">
        <f aca="false">IF(ANK84&gt;0,(ANK84-AQX84)/ANK84,0)</f>
        <v>0</v>
      </c>
      <c r="EL85" s="20" t="n">
        <f aca="false">IF(ANL84&gt;0,(ANL84-AQY84)/ANL84,0)</f>
        <v>0</v>
      </c>
      <c r="EM85" s="20" t="n">
        <f aca="false">IF(ANM84&gt;0,(ANM84-AQZ84)/ANM84,0)</f>
        <v>0</v>
      </c>
      <c r="EN85" s="20" t="n">
        <f aca="false">IF(ANN84&gt;0,(ANN84-ARA84)/ANN84,0)</f>
        <v>0</v>
      </c>
      <c r="EO85" s="20" t="n">
        <f aca="false">IF(ANO84&gt;0,(ANO84-ARB84)/ANO84,0)</f>
        <v>0</v>
      </c>
      <c r="EP85" s="20" t="n">
        <f aca="false">IF(ANP84&gt;0,(ANP84-ARC84)/ANP84,0)</f>
        <v>0</v>
      </c>
      <c r="EQ85" s="20" t="n">
        <f aca="false">IF(ANQ84&gt;0,(ANQ84-ARD84)/ANQ84,0)</f>
        <v>0</v>
      </c>
      <c r="ER85" s="20" t="n">
        <f aca="false">IF((P85+S85)&gt;0,((P85+S85)-(P85+S85))/(P85+S85),0)</f>
        <v>0</v>
      </c>
      <c r="ES85" s="20" t="n">
        <v>0</v>
      </c>
      <c r="ET85" s="20" t="n">
        <v>0</v>
      </c>
      <c r="EU85" s="20" t="n">
        <v>0</v>
      </c>
      <c r="EV85" s="20" t="n">
        <v>0</v>
      </c>
      <c r="EW85" s="20" t="n">
        <v>0</v>
      </c>
      <c r="EX85" s="20" t="n">
        <v>0</v>
      </c>
      <c r="EY85" s="20" t="n">
        <v>0</v>
      </c>
      <c r="EZ85" s="20" t="n">
        <v>0</v>
      </c>
      <c r="FA85" s="20" t="n">
        <v>0</v>
      </c>
      <c r="FB85" s="20" t="n">
        <v>0</v>
      </c>
      <c r="FC85" s="20" t="n">
        <v>0</v>
      </c>
      <c r="FD85" s="20" t="n">
        <v>0</v>
      </c>
      <c r="FE85" s="20" t="n">
        <f aca="false">IF(H_Direct=1,IF(AKR84&lt;=0,0,IF(BR85&lt;=0,AKR84,AKR84-G85*MAX(0,BR85*AKR84-(H85+I85)))),AKR84*(1-MAX(0,BR85)*H_Exit))</f>
        <v>0</v>
      </c>
      <c r="FF85" s="20" t="n">
        <f aca="false">IF(H_Direct=1,IF(AKS84&lt;=0,0,IF(BS85&lt;=0,AKS84,AKS84-G85*MAX(0,BS85*AKS84-(IR85+ME85)))),AKS84*(1-MAX(0,BS85)*H_Exit))</f>
        <v>0</v>
      </c>
      <c r="FG85" s="20" t="n">
        <f aca="false">IF(H_Direct=1,IF(AKT84&lt;=0,0,IF(BT85&lt;=0,AKT84,AKT84-G85*MAX(0,BT85*AKT84-(IS85+MF85)))),AKT84*(1-MAX(0,BT85)*H_Exit))</f>
        <v>0</v>
      </c>
      <c r="FH85" s="20" t="n">
        <f aca="false">IF(H_Direct=1,IF(AKU84&lt;=0,0,IF(BU85&lt;=0,AKU84,AKU84-G85*MAX(0,BU85*AKU84-(IT85+MG85)))),AKU84*(1-MAX(0,BU85)*H_Exit))</f>
        <v>0</v>
      </c>
      <c r="FI85" s="20" t="n">
        <f aca="false">IF(H_Direct=1,IF(AKV84&lt;=0,0,IF(BV85&lt;=0,AKV84,AKV84-G85*MAX(0,BV85*AKV84-(IU85+MH85)))),AKV84*(1-MAX(0,BV85)*H_Exit))</f>
        <v>0</v>
      </c>
      <c r="FJ85" s="20" t="n">
        <f aca="false">IF(H_Direct=1,IF(AKW84&lt;=0,0,IF(BW85&lt;=0,AKW84,AKW84-G85*MAX(0,BW85*AKW84-(IV85+MI85)))),AKW84*(1-MAX(0,BW85)*H_Exit))</f>
        <v>0</v>
      </c>
      <c r="FK85" s="20" t="n">
        <f aca="false">IF(H_Direct=1,IF(AKX84&lt;=0,0,IF(BX85&lt;=0,AKX84,AKX84-G85*MAX(0,BX85*AKX84-(IW85+MJ85)))),AKX84*(1-MAX(0,BX85)*H_Exit))</f>
        <v>0</v>
      </c>
      <c r="FL85" s="20" t="n">
        <f aca="false">IF(H_Direct=1,IF(AKY84&lt;=0,0,IF(BY85&lt;=0,AKY84,AKY84-G85*MAX(0,BY85*AKY84-(IX85+MK85)))),AKY84*(1-MAX(0,BY85)*H_Exit))</f>
        <v>0</v>
      </c>
      <c r="FM85" s="20" t="n">
        <f aca="false">IF(H_Direct=1,IF(AKZ84&lt;=0,0,IF(BZ85&lt;=0,AKZ84,AKZ84-G85*MAX(0,BZ85*AKZ84-(IY85+ML85)))),AKZ84*(1-MAX(0,BZ85)*H_Exit))</f>
        <v>0</v>
      </c>
      <c r="FN85" s="20" t="n">
        <f aca="false">IF(H_Direct=1,IF(ALA84&lt;=0,0,IF(CA85&lt;=0,ALA84,ALA84-G85*MAX(0,CA85*ALA84-(IZ85+MM85)))),ALA84*(1-MAX(0,CA85)*H_Exit))</f>
        <v>0</v>
      </c>
      <c r="FO85" s="20" t="n">
        <f aca="false">IF(H_Direct=1,IF(ALB84&lt;=0,0,IF(CB85&lt;=0,ALB84,ALB84-G85*MAX(0,CB85*ALB84-(JA85+MN85)))),ALB84*(1-MAX(0,CB85)*H_Exit))</f>
        <v>0</v>
      </c>
      <c r="FP85" s="20" t="n">
        <f aca="false">IF(H_Direct=1,IF(ALC84&lt;=0,0,IF(CC85&lt;=0,ALC84,ALC84-G85*MAX(0,CC85*ALC84-(JB85+MO85)))),ALC84*(1-MAX(0,CC85)*H_Exit))</f>
        <v>0</v>
      </c>
      <c r="FQ85" s="20" t="n">
        <f aca="false">IF(H_Direct=1,IF(ALD84&lt;=0,0,IF(CD85&lt;=0,ALD84,ALD84-G85*MAX(0,CD85*ALD84-(JC85+MP85)))),ALD84*(1-MAX(0,CD85)*H_Exit))</f>
        <v>0</v>
      </c>
      <c r="FR85" s="20" t="n">
        <f aca="false">IF(H_Direct=1,IF(ALE84&lt;=0,0,IF(CE85&lt;=0,ALE84,ALE84-G85*MAX(0,CE85*ALE84-(JD85+MQ85)))),ALE84*(1-MAX(0,CE85)*H_Exit))</f>
        <v>0</v>
      </c>
      <c r="FS85" s="20" t="n">
        <f aca="false">IF(H_Direct=1,IF(ALF84&lt;=0,0,IF(CF85&lt;=0,ALF84,ALF84-G85*MAX(0,CF85*ALF84-(JE85+MR85)))),ALF84*(1-MAX(0,CF85)*H_Exit))</f>
        <v>0</v>
      </c>
      <c r="FT85" s="20" t="n">
        <f aca="false">IF(H_Direct=1,IF(ALG84&lt;=0,0,IF(CG85&lt;=0,ALG84,ALG84-G85*MAX(0,CG85*ALG84-(JF85+MS85)))),ALG84*(1-MAX(0,CG85)*H_Exit))</f>
        <v>0</v>
      </c>
      <c r="FU85" s="20" t="n">
        <f aca="false">IF(H_Direct=1,IF(ALH84&lt;=0,0,IF(CH85&lt;=0,ALH84,ALH84-G85*MAX(0,CH85*ALH84-(JG85+MT85)))),ALH84*(1-MAX(0,CH85)*H_Exit))</f>
        <v>0</v>
      </c>
      <c r="FV85" s="20" t="n">
        <f aca="false">IF(H_Direct=1,IF(ALI84&lt;=0,0,IF(CI85&lt;=0,ALI84,ALI84-G85*MAX(0,CI85*ALI84-(JH85+MU85)))),ALI84*(1-MAX(0,CI85)*H_Exit))</f>
        <v>0</v>
      </c>
      <c r="FW85" s="20" t="n">
        <f aca="false">IF(H_Direct=1,IF(ALJ84&lt;=0,0,IF(CJ85&lt;=0,ALJ84,ALJ84-G85*MAX(0,CJ85*ALJ84-(JI85+MV85)))),ALJ84*(1-MAX(0,CJ85)*H_Exit))</f>
        <v>0</v>
      </c>
      <c r="FX85" s="20" t="n">
        <f aca="false">IF(H_Direct=1,IF(ALK84&lt;=0,0,IF(CK85&lt;=0,ALK84,ALK84-G85*MAX(0,CK85*ALK84-(JJ85+MW85)))),ALK84*(1-MAX(0,CK85)*H_Exit))</f>
        <v>0</v>
      </c>
      <c r="FY85" s="20" t="n">
        <f aca="false">IF(H_Direct=1,IF(ALL84&lt;=0,0,IF(CL85&lt;=0,ALL84,ALL84-G85*MAX(0,CL85*ALL84-(JK85+MX85)))),ALL84*(1-MAX(0,CL85)*H_Exit))</f>
        <v>0</v>
      </c>
      <c r="FZ85" s="20" t="n">
        <f aca="false">IF(H_Direct=1,IF(ALM84&lt;=0,0,IF(CM85&lt;=0,ALM84,ALM84-G85*MAX(0,CM85*ALM84-(JL85+MY85)))),ALM84*(1-MAX(0,CM85)*H_Exit))</f>
        <v>0</v>
      </c>
      <c r="GA85" s="20" t="n">
        <f aca="false">IF(H_Direct=1,IF(ALN84&lt;=0,0,IF(CN85&lt;=0,ALN84,ALN84-G85*MAX(0,CN85*ALN84-(JM85+MZ85)))),ALN84*(1-MAX(0,CN85)*H_Exit))</f>
        <v>0</v>
      </c>
      <c r="GB85" s="20" t="n">
        <f aca="false">IF(H_Direct=1,IF(ALO84&lt;=0,0,IF(CO85&lt;=0,ALO84,ALO84-G85*MAX(0,CO85*ALO84-(JN85+NA85)))),ALO84*(1-MAX(0,CO85)*H_Exit))</f>
        <v>0</v>
      </c>
      <c r="GC85" s="20" t="n">
        <f aca="false">IF(H_Direct=1,IF(ALP84&lt;=0,0,IF(CP85&lt;=0,ALP84,ALP84-G85*MAX(0,CP85*ALP84-(JO85+NB85)))),ALP84*(1-MAX(0,CP85)*H_Exit))</f>
        <v>0</v>
      </c>
      <c r="GD85" s="20" t="n">
        <f aca="false">IF(H_Direct=1,IF(ALQ84&lt;=0,0,IF(CQ85&lt;=0,ALQ84,ALQ84-G85*MAX(0,CQ85*ALQ84-(JP85+NC85)))),ALQ84*(1-MAX(0,CQ85)*H_Exit))</f>
        <v>0</v>
      </c>
      <c r="GE85" s="20" t="n">
        <f aca="false">IF(H_Direct=1,IF(ALR84&lt;=0,0,IF(CR85&lt;=0,ALR84,ALR84-G85*MAX(0,CR85*ALR84-(JQ85+ND85)))),ALR84*(1-MAX(0,CR85)*H_Exit))</f>
        <v>0</v>
      </c>
      <c r="GF85" s="20" t="n">
        <f aca="false">IF(H_Direct=1,IF(ALS84&lt;=0,0,IF(CS85&lt;=0,ALS84,ALS84-G85*MAX(0,CS85*ALS84-(JR85+NE85)))),ALS84*(1-MAX(0,CS85)*H_Exit))</f>
        <v>0</v>
      </c>
      <c r="GG85" s="20" t="n">
        <f aca="false">IF(H_Direct=1,IF(ALT84&lt;=0,0,IF(CT85&lt;=0,ALT84,ALT84-G85*MAX(0,CT85*ALT84-(JS85+NF85)))),ALT84*(1-MAX(0,CT85)*H_Exit))</f>
        <v>0</v>
      </c>
      <c r="GH85" s="20" t="n">
        <f aca="false">IF(H_Direct=1,IF(ALU84&lt;=0,0,IF(CU85&lt;=0,ALU84,ALU84-G85*MAX(0,CU85*ALU84-(JT85+NG85)))),ALU84*(1-MAX(0,CU85)*H_Exit))</f>
        <v>0</v>
      </c>
      <c r="GI85" s="20" t="n">
        <f aca="false">IF(H_Direct=1,IF(ALV84&lt;=0,0,IF(CV85&lt;=0,ALV84,ALV84-G85*MAX(0,CV85*ALV84-(JU85+NH85)))),ALV84*(1-MAX(0,CV85)*H_Exit))</f>
        <v>0</v>
      </c>
      <c r="GJ85" s="20" t="n">
        <f aca="false">IF(H_Direct=1,IF(ALW84&lt;=0,0,IF(CW85&lt;=0,ALW84,ALW84-G85*MAX(0,CW85*ALW84-(JV85+NI85)))),ALW84*(1-MAX(0,CW85)*H_Exit))</f>
        <v>0</v>
      </c>
      <c r="GK85" s="20" t="n">
        <f aca="false">IF(H_Direct=1,IF(ALX84&lt;=0,0,IF(CX85&lt;=0,ALX84,ALX84-G85*MAX(0,CX85*ALX84-(JW85+NJ85)))),ALX84*(1-MAX(0,CX85)*H_Exit))</f>
        <v>0</v>
      </c>
      <c r="GL85" s="20" t="n">
        <f aca="false">IF(H_Direct=1,IF(ALY84&lt;=0,0,IF(CY85&lt;=0,ALY84,ALY84-G85*MAX(0,CY85*ALY84-(JX85+NK85)))),ALY84*(1-MAX(0,CY85)*H_Exit))</f>
        <v>0</v>
      </c>
      <c r="GM85" s="20" t="n">
        <f aca="false">IF(H_Direct=1,IF(ALZ84&lt;=0,0,IF(CZ85&lt;=0,ALZ84,ALZ84-G85*MAX(0,CZ85*ALZ84-(JY85+NL85)))),ALZ84*(1-MAX(0,CZ85)*H_Exit))</f>
        <v>0</v>
      </c>
      <c r="GN85" s="20" t="n">
        <f aca="false">IF(H_Direct=1,IF(AMA84&lt;=0,0,IF(DA85&lt;=0,AMA84,AMA84-G85*MAX(0,DA85*AMA84-(JZ85+NM85)))),AMA84*(1-MAX(0,DA85)*H_Exit))</f>
        <v>0</v>
      </c>
      <c r="GO85" s="20" t="n">
        <f aca="false">IF(H_Direct=1,IF(AMB84&lt;=0,0,IF(DB85&lt;=0,AMB84,AMB84-G85*MAX(0,DB85*AMB84-(KA85+NN85)))),AMB84*(1-MAX(0,DB85)*H_Exit))</f>
        <v>0</v>
      </c>
      <c r="GP85" s="20" t="n">
        <f aca="false">IF(H_Direct=1,IF(AMC84&lt;=0,0,IF(DC85&lt;=0,AMC84,AMC84-G85*MAX(0,DC85*AMC84-(KB85+NO85)))),AMC84*(1-MAX(0,DC85)*H_Exit))</f>
        <v>0</v>
      </c>
      <c r="GQ85" s="20" t="n">
        <f aca="false">IF(H_Direct=1,IF(AMD84&lt;=0,0,IF(DD85&lt;=0,AMD84,AMD84-G85*MAX(0,DD85*AMD84-(KC85+NP85)))),AMD84*(1-MAX(0,DD85)*H_Exit))</f>
        <v>0</v>
      </c>
      <c r="GR85" s="20" t="n">
        <f aca="false">IF(H_Direct=1,IF(AME84&lt;=0,0,IF(DE85&lt;=0,AME84,AME84-G85*MAX(0,DE85*AME84-(KD85+NQ85)))),AME84*(1-MAX(0,DE85)*H_Exit))</f>
        <v>0</v>
      </c>
      <c r="GS85" s="20" t="n">
        <f aca="false">IF(H_Direct=1,IF(AMF84&lt;=0,0,IF(DF85&lt;=0,AMF84,AMF84-G85*MAX(0,DF85*AMF84-(KE85+NR85)))),AMF84*(1-MAX(0,DF85)*H_Exit))</f>
        <v>0</v>
      </c>
      <c r="GT85" s="20" t="n">
        <f aca="false">IF(H_Direct=1,IF(AMG84&lt;=0,0,IF(DG85&lt;=0,AMG84,AMG84-G85*MAX(0,DG85*AMG84-(KF85+NS85)))),AMG84*(1-MAX(0,DG85)*H_Exit))</f>
        <v>0</v>
      </c>
      <c r="GU85" s="20" t="n">
        <f aca="false">IF(H_Direct=1,IF(AMH84&lt;=0,0,IF(DH85&lt;=0,AMH84,AMH84-G85*MAX(0,DH85*AMH84-(KG85+NT85)))),AMH84*(1-MAX(0,DH85)*H_Exit))</f>
        <v>0</v>
      </c>
      <c r="GV85" s="20" t="n">
        <f aca="false">IF(H_Direct=1,IF(AMI84&lt;=0,0,IF(DI85&lt;=0,AMI84,AMI84-G85*MAX(0,DI85*AMI84-(KH85+NU85)))),AMI84*(1-MAX(0,DI85)*H_Exit))</f>
        <v>0</v>
      </c>
      <c r="GW85" s="20" t="n">
        <f aca="false">IF(H_Direct=1,IF(AMJ84&lt;=0,0,IF(DJ85&lt;=0,AMJ84,AMJ84-G85*MAX(0,DJ85*AMJ84-(KI85+NV85)))),AMJ84*(1-MAX(0,DJ85)*H_Exit))</f>
        <v>0</v>
      </c>
      <c r="GX85" s="20" t="n">
        <f aca="false">IF(H_Direct=1,IF(AMK84&lt;=0,0,IF(DK85&lt;=0,AMK84,AMK84-G85*MAX(0,DK85*AMK84-(KJ85+NW85)))),AMK84*(1-MAX(0,DK85)*H_Exit))</f>
        <v>0</v>
      </c>
      <c r="GY85" s="20" t="n">
        <f aca="false">IF(H_Direct=1,IF(AML84&lt;=0,0,IF(DL85&lt;=0,AML84,AML84-G85*MAX(0,DL85*AML84-(KK85+NX85)))),AML84*(1-MAX(0,DL85)*H_Exit))</f>
        <v>0</v>
      </c>
      <c r="GZ85" s="20" t="n">
        <f aca="false">IF(H_Direct=1,IF(AMM84&lt;=0,0,IF(DM85&lt;=0,AMM84,AMM84-G85*MAX(0,DM85*AMM84-(KL85+NY85)))),AMM84*(1-MAX(0,DM85)*H_Exit))</f>
        <v>0</v>
      </c>
      <c r="HA85" s="20" t="n">
        <f aca="false">IF(H_Direct=1,IF(AMN84&lt;=0,0,IF(DN85&lt;=0,AMN84,AMN84-G85*MAX(0,DN85*AMN84-(KM85+NZ85)))),AMN84*(1-MAX(0,DN85)*H_Exit))</f>
        <v>0</v>
      </c>
      <c r="HB85" s="20" t="n">
        <f aca="false">IF(H_Direct=1,IF(AMO84&lt;=0,0,IF(DO85&lt;=0,AMO84,AMO84-G85*MAX(0,DO85*AMO84-(KN85+OA85)))),AMO84*(1-MAX(0,DO85)*H_Exit))</f>
        <v>0</v>
      </c>
      <c r="HC85" s="20" t="n">
        <f aca="false">IF(H_Direct=1,IF(AMP84&lt;=0,0,IF(DP85&lt;=0,AMP84,AMP84-G85*MAX(0,DP85*AMP84-(KO85+OB85)))),AMP84*(1-MAX(0,DP85)*H_Exit))</f>
        <v>0</v>
      </c>
      <c r="HD85" s="20" t="n">
        <f aca="false">IF(H_Direct=1,IF(AMQ84&lt;=0,0,IF(DQ85&lt;=0,AMQ84,AMQ84-G85*MAX(0,DQ85*AMQ84-(KP85+OC85)))),AMQ84*(1-MAX(0,DQ85)*H_Exit))</f>
        <v>0</v>
      </c>
      <c r="HE85" s="20" t="n">
        <f aca="false">IF(H_Direct=1,IF(AMR84&lt;=0,0,IF(DR85&lt;=0,AMR84,AMR84-G85*MAX(0,DR85*AMR84-(KQ85+OD85)))),AMR84*(1-MAX(0,DR85)*H_Exit))</f>
        <v>0</v>
      </c>
      <c r="HF85" s="20" t="n">
        <f aca="false">IF(H_Direct=1,IF(AMS84&lt;=0,0,IF(DS85&lt;=0,AMS84,AMS84-G85*MAX(0,DS85*AMS84-(KR85+OE85)))),AMS84*(1-MAX(0,DS85)*H_Exit))</f>
        <v>0</v>
      </c>
      <c r="HG85" s="20" t="n">
        <f aca="false">IF(H_Direct=1,IF(AMT84&lt;=0,0,IF(DT85&lt;=0,AMT84,AMT84-G85*MAX(0,DT85*AMT84-(KS85+OF85)))),AMT84*(1-MAX(0,DT85)*H_Exit))</f>
        <v>0</v>
      </c>
      <c r="HH85" s="20" t="n">
        <f aca="false">IF(H_Direct=1,IF(AMU84&lt;=0,0,IF(DU85&lt;=0,AMU84,AMU84-G85*MAX(0,DU85*AMU84-(KT85+OG85)))),AMU84*(1-MAX(0,DU85)*H_Exit))</f>
        <v>0</v>
      </c>
      <c r="HI85" s="20" t="n">
        <f aca="false">IF(H_Direct=1,IF(AMV84&lt;=0,0,IF(DV85&lt;=0,AMV84,AMV84-G85*MAX(0,DV85*AMV84-(KU85+OH85)))),AMV84*(1-MAX(0,DV85)*H_Exit))</f>
        <v>0</v>
      </c>
      <c r="HJ85" s="20" t="n">
        <f aca="false">IF(H_Direct=1,IF(AMW84&lt;=0,0,IF(DW85&lt;=0,AMW84,AMW84-G85*MAX(0,DW85*AMW84-(KV85+OI85)))),AMW84*(1-MAX(0,DW85)*H_Exit))</f>
        <v>0</v>
      </c>
      <c r="HK85" s="20" t="n">
        <f aca="false">IF(H_Direct=1,IF(AMX84&lt;=0,0,IF(DX85&lt;=0,AMX84,AMX84-G85*MAX(0,DX85*AMX84-(KW85+OJ85)))),AMX84*(1-MAX(0,DX85)*H_Exit))</f>
        <v>0</v>
      </c>
      <c r="HL85" s="20" t="n">
        <f aca="false">IF(H_Direct=1,IF(AMY84&lt;=0,0,IF(DY85&lt;=0,AMY84,AMY84-G85*MAX(0,DY85*AMY84-(KX85+OK85)))),AMY84*(1-MAX(0,DY85)*H_Exit))</f>
        <v>0</v>
      </c>
      <c r="HM85" s="20" t="n">
        <f aca="false">IF(H_Direct=1,IF(AMZ84&lt;=0,0,IF(DZ85&lt;=0,AMZ84,AMZ84-G85*MAX(0,DZ85*AMZ84-(KY85+OL85)))),AMZ84*(1-MAX(0,DZ85)*H_Exit))</f>
        <v>0</v>
      </c>
      <c r="HN85" s="20" t="n">
        <f aca="false">IF(H_Direct=1,IF(ANA84&lt;=0,0,IF(EA85&lt;=0,ANA84,ANA84-G85*MAX(0,EA85*ANA84-(KZ85+OM85)))),ANA84*(1-MAX(0,EA85)*H_Exit))</f>
        <v>0</v>
      </c>
      <c r="HO85" s="20" t="n">
        <f aca="false">IF(H_Direct=1,IF(ANB84&lt;=0,0,IF(EB85&lt;=0,ANB84,ANB84-G85*MAX(0,EB85*ANB84-(LA85+ON85)))),ANB84*(1-MAX(0,EB85)*H_Exit))</f>
        <v>0</v>
      </c>
      <c r="HP85" s="20" t="n">
        <f aca="false">IF(H_Direct=1,IF(ANC84&lt;=0,0,IF(EC85&lt;=0,ANC84,ANC84-G85*MAX(0,EC85*ANC84-(LB85+OO85)))),ANC84*(1-MAX(0,EC85)*H_Exit))</f>
        <v>0</v>
      </c>
      <c r="HQ85" s="20" t="n">
        <f aca="false">IF(H_Direct=1,IF(AND84&lt;=0,0,IF(ED85&lt;=0,AND84,AND84-G85*MAX(0,ED85*AND84-(LC85+OP85)))),AND84*(1-MAX(0,ED85)*H_Exit))</f>
        <v>0</v>
      </c>
      <c r="HR85" s="20" t="n">
        <f aca="false">IF(H_Direct=1,IF(ANE84&lt;=0,0,IF(EE85&lt;=0,ANE84,ANE84-G85*MAX(0,EE85*ANE84-(LD85+OQ85)))),ANE84*(1-MAX(0,EE85)*H_Exit))</f>
        <v>0</v>
      </c>
      <c r="HS85" s="20" t="n">
        <f aca="false">IF(H_Direct=1,IF(ANF84&lt;=0,0,IF(EF85&lt;=0,ANF84,ANF84-G85*MAX(0,EF85*ANF84-(LE85+OR85)))),ANF84*(1-MAX(0,EF85)*H_Exit))</f>
        <v>0</v>
      </c>
      <c r="HT85" s="20" t="n">
        <f aca="false">IF(H_Direct=1,IF(ANG84&lt;=0,0,IF(EG85&lt;=0,ANG84,ANG84-G85*MAX(0,EG85*ANG84-(LF85+OS85)))),ANG84*(1-MAX(0,EG85)*H_Exit))</f>
        <v>0</v>
      </c>
      <c r="HU85" s="20" t="n">
        <f aca="false">IF(H_Direct=1,IF(ANH84&lt;=0,0,IF(EH85&lt;=0,ANH84,ANH84-G85*MAX(0,EH85*ANH84-(LG85+OT85)))),ANH84*(1-MAX(0,EH85)*H_Exit))</f>
        <v>0</v>
      </c>
      <c r="HV85" s="20" t="n">
        <f aca="false">IF(H_Direct=1,IF(ANI84&lt;=0,0,IF(EI85&lt;=0,ANI84,ANI84-G85*MAX(0,EI85*ANI84-(LH85+OU85)))),ANI84*(1-MAX(0,EI85)*H_Exit))</f>
        <v>0</v>
      </c>
      <c r="HW85" s="20" t="n">
        <f aca="false">IF(H_Direct=1,IF(ANJ84&lt;=0,0,IF(EJ85&lt;=0,ANJ84,ANJ84-G85*MAX(0,EJ85*ANJ84-(LI85+OV85)))),ANJ84*(1-MAX(0,EJ85)*H_Exit))</f>
        <v>0</v>
      </c>
      <c r="HX85" s="20" t="n">
        <f aca="false">IF(H_Direct=1,IF(ANK84&lt;=0,0,IF(EK85&lt;=0,ANK84,ANK84-G85*MAX(0,EK85*ANK84-(LJ85+OW85)))),ANK84*(1-MAX(0,EK85)*H_Exit))</f>
        <v>0</v>
      </c>
      <c r="HY85" s="20" t="n">
        <f aca="false">IF(H_Direct=1,IF(ANL84&lt;=0,0,IF(EL85&lt;=0,ANL84,ANL84-G85*MAX(0,EL85*ANL84-(LK85+OX85)))),ANL84*(1-MAX(0,EL85)*H_Exit))</f>
        <v>0</v>
      </c>
      <c r="HZ85" s="20" t="n">
        <f aca="false">IF(H_Direct=1,IF(ANM84&lt;=0,0,IF(EM85&lt;=0,ANM84,ANM84-G85*MAX(0,EM85*ANM84-(LL85+OY85)))),ANM84*(1-MAX(0,EM85)*H_Exit))</f>
        <v>0</v>
      </c>
      <c r="IA85" s="20" t="n">
        <f aca="false">IF(H_Direct=1,IF(ANN84&lt;=0,0,IF(EN85&lt;=0,ANN84,ANN84-G85*MAX(0,EN85*ANN84-(LM85+OZ85)))),ANN84*(1-MAX(0,EN85)*H_Exit))</f>
        <v>0</v>
      </c>
      <c r="IB85" s="20" t="n">
        <f aca="false">IF(H_Direct=1,IF(ANO84&lt;=0,0,IF(EO85&lt;=0,ANO84,ANO84-G85*MAX(0,EO85*ANO84-(LN85+PA85)))),ANO84*(1-MAX(0,EO85)*H_Exit))</f>
        <v>0</v>
      </c>
      <c r="IC85" s="20" t="n">
        <f aca="false">IF(H_Direct=1,IF(ANP84&lt;=0,0,IF(EP85&lt;=0,ANP84,ANP84-G85*MAX(0,EP85*ANP84-(LO85+PB85)))),ANP84*(1-MAX(0,EP85)*H_Exit))</f>
        <v>0</v>
      </c>
      <c r="ID85" s="20" t="n">
        <f aca="false">IF(H_Direct=1,IF(ANQ84&lt;=0,0,IF(EQ85&lt;=0,ANQ84,ANQ84-G85*MAX(0,EQ85*ANQ84-(LP85+PC85)))),ANQ84*(1-MAX(0,EQ85)*H_Exit))</f>
        <v>0</v>
      </c>
      <c r="IE85" s="20" t="n">
        <f aca="false">IF(H_Direct=1,IF((P85+S85)&lt;=0,0,IF(ER85&lt;=0,(P85+S85),(P85+S85)-G85*MAX(0,ER85*(P85+S85)-(LQ85+PD85)))),(P85+S85)*(1-MAX(0,ER85)*H_Exit))</f>
        <v>0</v>
      </c>
      <c r="IF85" s="20" t="n">
        <v>0</v>
      </c>
      <c r="IG85" s="20" t="n">
        <v>0</v>
      </c>
      <c r="IH85" s="20" t="n">
        <v>0</v>
      </c>
      <c r="II85" s="20" t="n">
        <v>0</v>
      </c>
      <c r="IJ85" s="20" t="n">
        <v>0</v>
      </c>
      <c r="IK85" s="20" t="n">
        <v>0</v>
      </c>
      <c r="IL85" s="20" t="n">
        <v>0</v>
      </c>
      <c r="IM85" s="20" t="n">
        <v>0</v>
      </c>
      <c r="IN85" s="20" t="n">
        <v>0</v>
      </c>
      <c r="IO85" s="20" t="n">
        <v>0</v>
      </c>
      <c r="IP85" s="20" t="n">
        <v>0</v>
      </c>
      <c r="IQ85" s="20" t="n">
        <v>0</v>
      </c>
      <c r="IR85" s="20" t="n">
        <f aca="false">IF(AND(H_Direct=1,BR85&gt;0),MAX(0,H85-(MIN(BR85*AKR84,H85+I85)-MIN(MIN(BR85*AKR84,H85+I85),I85))),H85)</f>
        <v>1270</v>
      </c>
      <c r="IS85" s="20" t="n">
        <f aca="false">IF(AND(H_Direct=1,BS85&gt;0),MAX(0,IR85-(MIN(BS85*AKS84,IR85+ME85)-MIN(MIN(BS85*AKS84,IR85+ME85),ME85))),IR85)</f>
        <v>1270</v>
      </c>
      <c r="IT85" s="20" t="n">
        <f aca="false">IF(AND(H_Direct=1,BT85&gt;0),MAX(0,IS85-(MIN(BT85*AKT84,IS85+MF85)-MIN(MIN(BT85*AKT84,IS85+MF85),MF85))),IS85)</f>
        <v>1270</v>
      </c>
      <c r="IU85" s="20" t="n">
        <f aca="false">IF(AND(H_Direct=1,BU85&gt;0),MAX(0,IT85-(MIN(BU85*AKU84,IT85+MG85)-MIN(MIN(BU85*AKU84,IT85+MG85),MG85))),IT85)</f>
        <v>1270</v>
      </c>
      <c r="IV85" s="20" t="n">
        <f aca="false">IF(AND(H_Direct=1,BV85&gt;0),MAX(0,IU85-(MIN(BV85*AKV84,IU85+MH85)-MIN(MIN(BV85*AKV84,IU85+MH85),MH85))),IU85)</f>
        <v>1270</v>
      </c>
      <c r="IW85" s="20" t="n">
        <f aca="false">IF(AND(H_Direct=1,BW85&gt;0),MAX(0,IV85-(MIN(BW85*AKW84,IV85+MI85)-MIN(MIN(BW85*AKW84,IV85+MI85),MI85))),IV85)</f>
        <v>1270</v>
      </c>
      <c r="IX85" s="20" t="n">
        <f aca="false">IF(AND(H_Direct=1,BX85&gt;0),MAX(0,IW85-(MIN(BX85*AKX84,IW85+MJ85)-MIN(MIN(BX85*AKX84,IW85+MJ85),MJ85))),IW85)</f>
        <v>1270</v>
      </c>
      <c r="IY85" s="20" t="n">
        <f aca="false">IF(AND(H_Direct=1,BY85&gt;0),MAX(0,IX85-(MIN(BY85*AKY84,IX85+MK85)-MIN(MIN(BY85*AKY84,IX85+MK85),MK85))),IX85)</f>
        <v>1270</v>
      </c>
      <c r="IZ85" s="20" t="n">
        <f aca="false">IF(AND(H_Direct=1,BZ85&gt;0),MAX(0,IY85-(MIN(BZ85*AKZ84,IY85+ML85)-MIN(MIN(BZ85*AKZ84,IY85+ML85),ML85))),IY85)</f>
        <v>1270</v>
      </c>
      <c r="JA85" s="20" t="n">
        <f aca="false">IF(AND(H_Direct=1,CA85&gt;0),MAX(0,IZ85-(MIN(CA85*ALA84,IZ85+MM85)-MIN(MIN(CA85*ALA84,IZ85+MM85),MM85))),IZ85)</f>
        <v>1270</v>
      </c>
      <c r="JB85" s="20" t="n">
        <f aca="false">IF(AND(H_Direct=1,CB85&gt;0),MAX(0,JA85-(MIN(CB85*ALB84,JA85+MN85)-MIN(MIN(CB85*ALB84,JA85+MN85),MN85))),JA85)</f>
        <v>1270</v>
      </c>
      <c r="JC85" s="20" t="n">
        <f aca="false">IF(AND(H_Direct=1,CC85&gt;0),MAX(0,JB85-(MIN(CC85*ALC84,JB85+MO85)-MIN(MIN(CC85*ALC84,JB85+MO85),MO85))),JB85)</f>
        <v>1270</v>
      </c>
      <c r="JD85" s="20" t="n">
        <f aca="false">IF(AND(H_Direct=1,CD85&gt;0),MAX(0,JC85-(MIN(CD85*ALD84,JC85+MP85)-MIN(MIN(CD85*ALD84,JC85+MP85),MP85))),JC85)</f>
        <v>1270</v>
      </c>
      <c r="JE85" s="20" t="n">
        <f aca="false">IF(AND(H_Direct=1,CE85&gt;0),MAX(0,JD85-(MIN(CE85*ALE84,JD85+MQ85)-MIN(MIN(CE85*ALE84,JD85+MQ85),MQ85))),JD85)</f>
        <v>1270</v>
      </c>
      <c r="JF85" s="20" t="n">
        <f aca="false">IF(AND(H_Direct=1,CF85&gt;0),MAX(0,JE85-(MIN(CF85*ALF84,JE85+MR85)-MIN(MIN(CF85*ALF84,JE85+MR85),MR85))),JE85)</f>
        <v>1270</v>
      </c>
      <c r="JG85" s="20" t="n">
        <f aca="false">IF(AND(H_Direct=1,CG85&gt;0),MAX(0,JF85-(MIN(CG85*ALG84,JF85+MS85)-MIN(MIN(CG85*ALG84,JF85+MS85),MS85))),JF85)</f>
        <v>1270</v>
      </c>
      <c r="JH85" s="20" t="n">
        <f aca="false">IF(AND(H_Direct=1,CH85&gt;0),MAX(0,JG85-(MIN(CH85*ALH84,JG85+MT85)-MIN(MIN(CH85*ALH84,JG85+MT85),MT85))),JG85)</f>
        <v>1270</v>
      </c>
      <c r="JI85" s="20" t="n">
        <f aca="false">IF(AND(H_Direct=1,CI85&gt;0),MAX(0,JH85-(MIN(CI85*ALI84,JH85+MU85)-MIN(MIN(CI85*ALI84,JH85+MU85),MU85))),JH85)</f>
        <v>1270</v>
      </c>
      <c r="JJ85" s="20" t="n">
        <f aca="false">IF(AND(H_Direct=1,CJ85&gt;0),MAX(0,JI85-(MIN(CJ85*ALJ84,JI85+MV85)-MIN(MIN(CJ85*ALJ84,JI85+MV85),MV85))),JI85)</f>
        <v>1270</v>
      </c>
      <c r="JK85" s="20" t="n">
        <f aca="false">IF(AND(H_Direct=1,CK85&gt;0),MAX(0,JJ85-(MIN(CK85*ALK84,JJ85+MW85)-MIN(MIN(CK85*ALK84,JJ85+MW85),MW85))),JJ85)</f>
        <v>1270</v>
      </c>
      <c r="JL85" s="20" t="n">
        <f aca="false">IF(AND(H_Direct=1,CL85&gt;0),MAX(0,JK85-(MIN(CL85*ALL84,JK85+MX85)-MIN(MIN(CL85*ALL84,JK85+MX85),MX85))),JK85)</f>
        <v>1270</v>
      </c>
      <c r="JM85" s="20" t="n">
        <f aca="false">IF(AND(H_Direct=1,CM85&gt;0),MAX(0,JL85-(MIN(CM85*ALM84,JL85+MY85)-MIN(MIN(CM85*ALM84,JL85+MY85),MY85))),JL85)</f>
        <v>1270</v>
      </c>
      <c r="JN85" s="20" t="n">
        <f aca="false">IF(AND(H_Direct=1,CN85&gt;0),MAX(0,JM85-(MIN(CN85*ALN84,JM85+MZ85)-MIN(MIN(CN85*ALN84,JM85+MZ85),MZ85))),JM85)</f>
        <v>1270</v>
      </c>
      <c r="JO85" s="20" t="n">
        <f aca="false">IF(AND(H_Direct=1,CO85&gt;0),MAX(0,JN85-(MIN(CO85*ALO84,JN85+NA85)-MIN(MIN(CO85*ALO84,JN85+NA85),NA85))),JN85)</f>
        <v>1270</v>
      </c>
      <c r="JP85" s="20" t="n">
        <f aca="false">IF(AND(H_Direct=1,CP85&gt;0),MAX(0,JO85-(MIN(CP85*ALP84,JO85+NB85)-MIN(MIN(CP85*ALP84,JO85+NB85),NB85))),JO85)</f>
        <v>1270</v>
      </c>
      <c r="JQ85" s="20" t="n">
        <f aca="false">IF(AND(H_Direct=1,CQ85&gt;0),MAX(0,JP85-(MIN(CQ85*ALQ84,JP85+NC85)-MIN(MIN(CQ85*ALQ84,JP85+NC85),NC85))),JP85)</f>
        <v>1270</v>
      </c>
      <c r="JR85" s="20" t="n">
        <f aca="false">IF(AND(H_Direct=1,CR85&gt;0),MAX(0,JQ85-(MIN(CR85*ALR84,JQ85+ND85)-MIN(MIN(CR85*ALR84,JQ85+ND85),ND85))),JQ85)</f>
        <v>1270</v>
      </c>
      <c r="JS85" s="20" t="n">
        <f aca="false">IF(AND(H_Direct=1,CS85&gt;0),MAX(0,JR85-(MIN(CS85*ALS84,JR85+NE85)-MIN(MIN(CS85*ALS84,JR85+NE85),NE85))),JR85)</f>
        <v>1270</v>
      </c>
      <c r="JT85" s="20" t="n">
        <f aca="false">IF(AND(H_Direct=1,CT85&gt;0),MAX(0,JS85-(MIN(CT85*ALT84,JS85+NF85)-MIN(MIN(CT85*ALT84,JS85+NF85),NF85))),JS85)</f>
        <v>1270</v>
      </c>
      <c r="JU85" s="20" t="n">
        <f aca="false">IF(AND(H_Direct=1,CU85&gt;0),MAX(0,JT85-(MIN(CU85*ALU84,JT85+NG85)-MIN(MIN(CU85*ALU84,JT85+NG85),NG85))),JT85)</f>
        <v>1270</v>
      </c>
      <c r="JV85" s="20" t="n">
        <f aca="false">IF(AND(H_Direct=1,CV85&gt;0),MAX(0,JU85-(MIN(CV85*ALV84,JU85+NH85)-MIN(MIN(CV85*ALV84,JU85+NH85),NH85))),JU85)</f>
        <v>1270</v>
      </c>
      <c r="JW85" s="20" t="n">
        <f aca="false">IF(AND(H_Direct=1,CW85&gt;0),MAX(0,JV85-(MIN(CW85*ALW84,JV85+NI85)-MIN(MIN(CW85*ALW84,JV85+NI85),NI85))),JV85)</f>
        <v>1270</v>
      </c>
      <c r="JX85" s="20" t="n">
        <f aca="false">IF(AND(H_Direct=1,CX85&gt;0),MAX(0,JW85-(MIN(CX85*ALX84,JW85+NJ85)-MIN(MIN(CX85*ALX84,JW85+NJ85),NJ85))),JW85)</f>
        <v>1270</v>
      </c>
      <c r="JY85" s="20" t="n">
        <f aca="false">IF(AND(H_Direct=1,CY85&gt;0),MAX(0,JX85-(MIN(CY85*ALY84,JX85+NK85)-MIN(MIN(CY85*ALY84,JX85+NK85),NK85))),JX85)</f>
        <v>1270</v>
      </c>
      <c r="JZ85" s="20" t="n">
        <f aca="false">IF(AND(H_Direct=1,CZ85&gt;0),MAX(0,JY85-(MIN(CZ85*ALZ84,JY85+NL85)-MIN(MIN(CZ85*ALZ84,JY85+NL85),NL85))),JY85)</f>
        <v>1270</v>
      </c>
      <c r="KA85" s="20" t="n">
        <f aca="false">IF(AND(H_Direct=1,DA85&gt;0),MAX(0,JZ85-(MIN(DA85*AMA84,JZ85+NM85)-MIN(MIN(DA85*AMA84,JZ85+NM85),NM85))),JZ85)</f>
        <v>1270</v>
      </c>
      <c r="KB85" s="20" t="n">
        <f aca="false">IF(AND(H_Direct=1,DB85&gt;0),MAX(0,KA85-(MIN(DB85*AMB84,KA85+NN85)-MIN(MIN(DB85*AMB84,KA85+NN85),NN85))),KA85)</f>
        <v>1270</v>
      </c>
      <c r="KC85" s="20" t="n">
        <f aca="false">IF(AND(H_Direct=1,DC85&gt;0),MAX(0,KB85-(MIN(DC85*AMC84,KB85+NO85)-MIN(MIN(DC85*AMC84,KB85+NO85),NO85))),KB85)</f>
        <v>1270</v>
      </c>
      <c r="KD85" s="20" t="n">
        <f aca="false">IF(AND(H_Direct=1,DD85&gt;0),MAX(0,KC85-(MIN(DD85*AMD84,KC85+NP85)-MIN(MIN(DD85*AMD84,KC85+NP85),NP85))),KC85)</f>
        <v>1270</v>
      </c>
      <c r="KE85" s="20" t="n">
        <f aca="false">IF(AND(H_Direct=1,DE85&gt;0),MAX(0,KD85-(MIN(DE85*AME84,KD85+NQ85)-MIN(MIN(DE85*AME84,KD85+NQ85),NQ85))),KD85)</f>
        <v>1270</v>
      </c>
      <c r="KF85" s="20" t="n">
        <f aca="false">IF(AND(H_Direct=1,DF85&gt;0),MAX(0,KE85-(MIN(DF85*AMF84,KE85+NR85)-MIN(MIN(DF85*AMF84,KE85+NR85),NR85))),KE85)</f>
        <v>1270</v>
      </c>
      <c r="KG85" s="20" t="n">
        <f aca="false">IF(AND(H_Direct=1,DG85&gt;0),MAX(0,KF85-(MIN(DG85*AMG84,KF85+NS85)-MIN(MIN(DG85*AMG84,KF85+NS85),NS85))),KF85)</f>
        <v>1270</v>
      </c>
      <c r="KH85" s="20" t="n">
        <f aca="false">IF(AND(H_Direct=1,DH85&gt;0),MAX(0,KG85-(MIN(DH85*AMH84,KG85+NT85)-MIN(MIN(DH85*AMH84,KG85+NT85),NT85))),KG85)</f>
        <v>1270</v>
      </c>
      <c r="KI85" s="20" t="n">
        <f aca="false">IF(AND(H_Direct=1,DI85&gt;0),MAX(0,KH85-(MIN(DI85*AMI84,KH85+NU85)-MIN(MIN(DI85*AMI84,KH85+NU85),NU85))),KH85)</f>
        <v>1270</v>
      </c>
      <c r="KJ85" s="20" t="n">
        <f aca="false">IF(AND(H_Direct=1,DJ85&gt;0),MAX(0,KI85-(MIN(DJ85*AMJ84,KI85+NV85)-MIN(MIN(DJ85*AMJ84,KI85+NV85),NV85))),KI85)</f>
        <v>1270</v>
      </c>
      <c r="KK85" s="20" t="n">
        <f aca="false">IF(AND(H_Direct=1,DK85&gt;0),MAX(0,KJ85-(MIN(DK85*AMK84,KJ85+NW85)-MIN(MIN(DK85*AMK84,KJ85+NW85),NW85))),KJ85)</f>
        <v>1270</v>
      </c>
      <c r="KL85" s="20" t="n">
        <f aca="false">IF(AND(H_Direct=1,DL85&gt;0),MAX(0,KK85-(MIN(DL85*AML84,KK85+NX85)-MIN(MIN(DL85*AML84,KK85+NX85),NX85))),KK85)</f>
        <v>1270</v>
      </c>
      <c r="KM85" s="20" t="n">
        <f aca="false">IF(AND(H_Direct=1,DM85&gt;0),MAX(0,KL85-(MIN(DM85*AMM84,KL85+NY85)-MIN(MIN(DM85*AMM84,KL85+NY85),NY85))),KL85)</f>
        <v>1270</v>
      </c>
      <c r="KN85" s="20" t="n">
        <f aca="false">IF(AND(H_Direct=1,DN85&gt;0),MAX(0,KM85-(MIN(DN85*AMN84,KM85+NZ85)-MIN(MIN(DN85*AMN84,KM85+NZ85),NZ85))),KM85)</f>
        <v>1270</v>
      </c>
      <c r="KO85" s="20" t="n">
        <f aca="false">IF(AND(H_Direct=1,DO85&gt;0),MAX(0,KN85-(MIN(DO85*AMO84,KN85+OA85)-MIN(MIN(DO85*AMO84,KN85+OA85),OA85))),KN85)</f>
        <v>1270</v>
      </c>
      <c r="KP85" s="20" t="n">
        <f aca="false">IF(AND(H_Direct=1,DP85&gt;0),MAX(0,KO85-(MIN(DP85*AMP84,KO85+OB85)-MIN(MIN(DP85*AMP84,KO85+OB85),OB85))),KO85)</f>
        <v>1270</v>
      </c>
      <c r="KQ85" s="20" t="n">
        <f aca="false">IF(AND(H_Direct=1,DQ85&gt;0),MAX(0,KP85-(MIN(DQ85*AMQ84,KP85+OC85)-MIN(MIN(DQ85*AMQ84,KP85+OC85),OC85))),KP85)</f>
        <v>1270</v>
      </c>
      <c r="KR85" s="20" t="n">
        <f aca="false">IF(AND(H_Direct=1,DR85&gt;0),MAX(0,KQ85-(MIN(DR85*AMR84,KQ85+OD85)-MIN(MIN(DR85*AMR84,KQ85+OD85),OD85))),KQ85)</f>
        <v>1270</v>
      </c>
      <c r="KS85" s="20" t="n">
        <f aca="false">IF(AND(H_Direct=1,DS85&gt;0),MAX(0,KR85-(MIN(DS85*AMS84,KR85+OE85)-MIN(MIN(DS85*AMS84,KR85+OE85),OE85))),KR85)</f>
        <v>1270</v>
      </c>
      <c r="KT85" s="20" t="n">
        <f aca="false">IF(AND(H_Direct=1,DT85&gt;0),MAX(0,KS85-(MIN(DT85*AMT84,KS85+OF85)-MIN(MIN(DT85*AMT84,KS85+OF85),OF85))),KS85)</f>
        <v>1270</v>
      </c>
      <c r="KU85" s="20" t="n">
        <f aca="false">IF(AND(H_Direct=1,DU85&gt;0),MAX(0,KT85-(MIN(DU85*AMU84,KT85+OG85)-MIN(MIN(DU85*AMU84,KT85+OG85),OG85))),KT85)</f>
        <v>1270</v>
      </c>
      <c r="KV85" s="20" t="n">
        <f aca="false">IF(AND(H_Direct=1,DV85&gt;0),MAX(0,KU85-(MIN(DV85*AMV84,KU85+OH85)-MIN(MIN(DV85*AMV84,KU85+OH85),OH85))),KU85)</f>
        <v>1270</v>
      </c>
      <c r="KW85" s="20" t="n">
        <f aca="false">IF(AND(H_Direct=1,DW85&gt;0),MAX(0,KV85-(MIN(DW85*AMW84,KV85+OI85)-MIN(MIN(DW85*AMW84,KV85+OI85),OI85))),KV85)</f>
        <v>1270</v>
      </c>
      <c r="KX85" s="20" t="n">
        <f aca="false">IF(AND(H_Direct=1,DX85&gt;0),MAX(0,KW85-(MIN(DX85*AMX84,KW85+OJ85)-MIN(MIN(DX85*AMX84,KW85+OJ85),OJ85))),KW85)</f>
        <v>1270</v>
      </c>
      <c r="KY85" s="20" t="n">
        <f aca="false">IF(AND(H_Direct=1,DY85&gt;0),MAX(0,KX85-(MIN(DY85*AMY84,KX85+OK85)-MIN(MIN(DY85*AMY84,KX85+OK85),OK85))),KX85)</f>
        <v>1270</v>
      </c>
      <c r="KZ85" s="20" t="n">
        <f aca="false">IF(AND(H_Direct=1,DZ85&gt;0),MAX(0,KY85-(MIN(DZ85*AMZ84,KY85+OL85)-MIN(MIN(DZ85*AMZ84,KY85+OL85),OL85))),KY85)</f>
        <v>1270</v>
      </c>
      <c r="LA85" s="20" t="n">
        <f aca="false">IF(AND(H_Direct=1,EA85&gt;0),MAX(0,KZ85-(MIN(EA85*ANA84,KZ85+OM85)-MIN(MIN(EA85*ANA84,KZ85+OM85),OM85))),KZ85)</f>
        <v>1270</v>
      </c>
      <c r="LB85" s="20" t="n">
        <f aca="false">IF(AND(H_Direct=1,EB85&gt;0),MAX(0,LA85-(MIN(EB85*ANB84,LA85+ON85)-MIN(MIN(EB85*ANB84,LA85+ON85),ON85))),LA85)</f>
        <v>1270</v>
      </c>
      <c r="LC85" s="20" t="n">
        <f aca="false">IF(AND(H_Direct=1,EC85&gt;0),MAX(0,LB85-(MIN(EC85*ANC84,LB85+OO85)-MIN(MIN(EC85*ANC84,LB85+OO85),OO85))),LB85)</f>
        <v>1270</v>
      </c>
      <c r="LD85" s="20" t="n">
        <f aca="false">IF(AND(H_Direct=1,ED85&gt;0),MAX(0,LC85-(MIN(ED85*AND84,LC85+OP85)-MIN(MIN(ED85*AND84,LC85+OP85),OP85))),LC85)</f>
        <v>1270</v>
      </c>
      <c r="LE85" s="20" t="n">
        <f aca="false">IF(AND(H_Direct=1,EE85&gt;0),MAX(0,LD85-(MIN(EE85*ANE84,LD85+OQ85)-MIN(MIN(EE85*ANE84,LD85+OQ85),OQ85))),LD85)</f>
        <v>1270</v>
      </c>
      <c r="LF85" s="20" t="n">
        <f aca="false">IF(AND(H_Direct=1,EF85&gt;0),MAX(0,LE85-(MIN(EF85*ANF84,LE85+OR85)-MIN(MIN(EF85*ANF84,LE85+OR85),OR85))),LE85)</f>
        <v>1270</v>
      </c>
      <c r="LG85" s="20" t="n">
        <f aca="false">IF(AND(H_Direct=1,EG85&gt;0),MAX(0,LF85-(MIN(EG85*ANG84,LF85+OS85)-MIN(MIN(EG85*ANG84,LF85+OS85),OS85))),LF85)</f>
        <v>1270</v>
      </c>
      <c r="LH85" s="20" t="n">
        <f aca="false">IF(AND(H_Direct=1,EH85&gt;0),MAX(0,LG85-(MIN(EH85*ANH84,LG85+OT85)-MIN(MIN(EH85*ANH84,LG85+OT85),OT85))),LG85)</f>
        <v>1270</v>
      </c>
      <c r="LI85" s="20" t="n">
        <f aca="false">IF(AND(H_Direct=1,EI85&gt;0),MAX(0,LH85-(MIN(EI85*ANI84,LH85+OU85)-MIN(MIN(EI85*ANI84,LH85+OU85),OU85))),LH85)</f>
        <v>1270</v>
      </c>
      <c r="LJ85" s="20" t="n">
        <f aca="false">IF(AND(H_Direct=1,EJ85&gt;0),MAX(0,LI85-(MIN(EJ85*ANJ84,LI85+OV85)-MIN(MIN(EJ85*ANJ84,LI85+OV85),OV85))),LI85)</f>
        <v>1270</v>
      </c>
      <c r="LK85" s="20" t="n">
        <f aca="false">IF(AND(H_Direct=1,EK85&gt;0),MAX(0,LJ85-(MIN(EK85*ANK84,LJ85+OW85)-MIN(MIN(EK85*ANK84,LJ85+OW85),OW85))),LJ85)</f>
        <v>1270</v>
      </c>
      <c r="LL85" s="20" t="n">
        <f aca="false">IF(AND(H_Direct=1,EL85&gt;0),MAX(0,LK85-(MIN(EL85*ANL84,LK85+OX85)-MIN(MIN(EL85*ANL84,LK85+OX85),OX85))),LK85)</f>
        <v>1270</v>
      </c>
      <c r="LM85" s="20" t="n">
        <f aca="false">IF(AND(H_Direct=1,EM85&gt;0),MAX(0,LL85-(MIN(EM85*ANM84,LL85+OY85)-MIN(MIN(EM85*ANM84,LL85+OY85),OY85))),LL85)</f>
        <v>1270</v>
      </c>
      <c r="LN85" s="20" t="n">
        <f aca="false">IF(AND(H_Direct=1,EN85&gt;0),MAX(0,LM85-(MIN(EN85*ANN84,LM85+OZ85)-MIN(MIN(EN85*ANN84,LM85+OZ85),OZ85))),LM85)</f>
        <v>1270</v>
      </c>
      <c r="LO85" s="20" t="n">
        <f aca="false">IF(AND(H_Direct=1,EO85&gt;0),MAX(0,LN85-(MIN(EO85*ANO84,LN85+PA85)-MIN(MIN(EO85*ANO84,LN85+PA85),PA85))),LN85)</f>
        <v>1270</v>
      </c>
      <c r="LP85" s="20" t="n">
        <f aca="false">IF(AND(H_Direct=1,EP85&gt;0),MAX(0,LO85-(MIN(EP85*ANP84,LO85+PB85)-MIN(MIN(EP85*ANP84,LO85+PB85),PB85))),LO85)</f>
        <v>1270</v>
      </c>
      <c r="LQ85" s="20" t="n">
        <f aca="false">IF(AND(H_Direct=1,EQ85&gt;0),MAX(0,LP85-(MIN(EQ85*ANQ84,LP85+PC85)-MIN(MIN(EQ85*ANQ84,LP85+PC85),PC85))),LP85)</f>
        <v>1270</v>
      </c>
      <c r="LR85" s="20" t="n">
        <f aca="false">IF(AND(H_Direct=1,ER85&gt;0),MAX(0,LQ85-(MIN(ER85*(P85+S85),LQ85+PD85)-MIN(MIN(ER85*(P85+S85),LQ85+PD85),PD85))),LQ85)</f>
        <v>1270</v>
      </c>
      <c r="LS85" s="20" t="n">
        <f aca="false">LR85</f>
        <v>1270</v>
      </c>
      <c r="LT85" s="20" t="n">
        <f aca="false">LS85</f>
        <v>1270</v>
      </c>
      <c r="LU85" s="20" t="n">
        <f aca="false">LT85</f>
        <v>1270</v>
      </c>
      <c r="LV85" s="20" t="n">
        <f aca="false">LU85</f>
        <v>1270</v>
      </c>
      <c r="LW85" s="20" t="n">
        <f aca="false">LV85</f>
        <v>1270</v>
      </c>
      <c r="LX85" s="20" t="n">
        <f aca="false">LW85</f>
        <v>1270</v>
      </c>
      <c r="LY85" s="20" t="n">
        <f aca="false">LX85</f>
        <v>1270</v>
      </c>
      <c r="LZ85" s="20" t="n">
        <f aca="false">LY85</f>
        <v>1270</v>
      </c>
      <c r="MA85" s="20" t="n">
        <f aca="false">LZ85</f>
        <v>1270</v>
      </c>
      <c r="MB85" s="20" t="n">
        <f aca="false">MA85</f>
        <v>1270</v>
      </c>
      <c r="MC85" s="20" t="n">
        <f aca="false">MB85</f>
        <v>1270</v>
      </c>
      <c r="MD85" s="20" t="n">
        <f aca="false">MC85</f>
        <v>1270</v>
      </c>
      <c r="ME85" s="20" t="n">
        <f aca="false">IF(H_Direct=1,IF(BR85&lt;=0,I85-BR85*AKR84,I85-MIN(MIN(BR85*AKR84,H85+I85),I85)),I85)</f>
        <v>0</v>
      </c>
      <c r="MF85" s="20" t="n">
        <f aca="false">IF(H_Direct=1,IF(BS85&lt;=0,ME85-BS85*AKS84,ME85-MIN(MIN(BS85*AKS84,IR85+ME85),ME85)),ME85)</f>
        <v>0</v>
      </c>
      <c r="MG85" s="20" t="n">
        <f aca="false">IF(H_Direct=1,IF(BT85&lt;=0,MF85-BT85*AKT84,MF85-MIN(MIN(BT85*AKT84,IS85+MF85),MF85)),MF85)</f>
        <v>0</v>
      </c>
      <c r="MH85" s="20" t="n">
        <f aca="false">IF(H_Direct=1,IF(BU85&lt;=0,MG85-BU85*AKU84,MG85-MIN(MIN(BU85*AKU84,IT85+MG85),MG85)),MG85)</f>
        <v>0</v>
      </c>
      <c r="MI85" s="20" t="n">
        <f aca="false">IF(H_Direct=1,IF(BV85&lt;=0,MH85-BV85*AKV84,MH85-MIN(MIN(BV85*AKV84,IU85+MH85),MH85)),MH85)</f>
        <v>0</v>
      </c>
      <c r="MJ85" s="20" t="n">
        <f aca="false">IF(H_Direct=1,IF(BW85&lt;=0,MI85-BW85*AKW84,MI85-MIN(MIN(BW85*AKW84,IV85+MI85),MI85)),MI85)</f>
        <v>0</v>
      </c>
      <c r="MK85" s="20" t="n">
        <f aca="false">IF(H_Direct=1,IF(BX85&lt;=0,MJ85-BX85*AKX84,MJ85-MIN(MIN(BX85*AKX84,IW85+MJ85),MJ85)),MJ85)</f>
        <v>0</v>
      </c>
      <c r="ML85" s="20" t="n">
        <f aca="false">IF(H_Direct=1,IF(BY85&lt;=0,MK85-BY85*AKY84,MK85-MIN(MIN(BY85*AKY84,IX85+MK85),MK85)),MK85)</f>
        <v>0</v>
      </c>
      <c r="MM85" s="20" t="n">
        <f aca="false">IF(H_Direct=1,IF(BZ85&lt;=0,ML85-BZ85*AKZ84,ML85-MIN(MIN(BZ85*AKZ84,IY85+ML85),ML85)),ML85)</f>
        <v>0</v>
      </c>
      <c r="MN85" s="20" t="n">
        <f aca="false">IF(H_Direct=1,IF(CA85&lt;=0,MM85-CA85*ALA84,MM85-MIN(MIN(CA85*ALA84,IZ85+MM85),MM85)),MM85)</f>
        <v>0</v>
      </c>
      <c r="MO85" s="20" t="n">
        <f aca="false">IF(H_Direct=1,IF(CB85&lt;=0,MN85-CB85*ALB84,MN85-MIN(MIN(CB85*ALB84,JA85+MN85),MN85)),MN85)</f>
        <v>0</v>
      </c>
      <c r="MP85" s="20" t="n">
        <f aca="false">IF(H_Direct=1,IF(CC85&lt;=0,MO85-CC85*ALC84,MO85-MIN(MIN(CC85*ALC84,JB85+MO85),MO85)),MO85)</f>
        <v>0</v>
      </c>
      <c r="MQ85" s="20" t="n">
        <f aca="false">IF(H_Direct=1,IF(CD85&lt;=0,MP85-CD85*ALD84,MP85-MIN(MIN(CD85*ALD84,JC85+MP85),MP85)),MP85)</f>
        <v>0</v>
      </c>
      <c r="MR85" s="20" t="n">
        <f aca="false">IF(H_Direct=1,IF(CE85&lt;=0,MQ85-CE85*ALE84,MQ85-MIN(MIN(CE85*ALE84,JD85+MQ85),MQ85)),MQ85)</f>
        <v>0</v>
      </c>
      <c r="MS85" s="20" t="n">
        <f aca="false">IF(H_Direct=1,IF(CF85&lt;=0,MR85-CF85*ALF84,MR85-MIN(MIN(CF85*ALF84,JE85+MR85),MR85)),MR85)</f>
        <v>0</v>
      </c>
      <c r="MT85" s="20" t="n">
        <f aca="false">IF(H_Direct=1,IF(CG85&lt;=0,MS85-CG85*ALG84,MS85-MIN(MIN(CG85*ALG84,JF85+MS85),MS85)),MS85)</f>
        <v>0</v>
      </c>
      <c r="MU85" s="20" t="n">
        <f aca="false">IF(H_Direct=1,IF(CH85&lt;=0,MT85-CH85*ALH84,MT85-MIN(MIN(CH85*ALH84,JG85+MT85),MT85)),MT85)</f>
        <v>0</v>
      </c>
      <c r="MV85" s="20" t="n">
        <f aca="false">IF(H_Direct=1,IF(CI85&lt;=0,MU85-CI85*ALI84,MU85-MIN(MIN(CI85*ALI84,JH85+MU85),MU85)),MU85)</f>
        <v>0</v>
      </c>
      <c r="MW85" s="20" t="n">
        <f aca="false">IF(H_Direct=1,IF(CJ85&lt;=0,MV85-CJ85*ALJ84,MV85-MIN(MIN(CJ85*ALJ84,JI85+MV85),MV85)),MV85)</f>
        <v>0</v>
      </c>
      <c r="MX85" s="20" t="n">
        <f aca="false">IF(H_Direct=1,IF(CK85&lt;=0,MW85-CK85*ALK84,MW85-MIN(MIN(CK85*ALK84,JJ85+MW85),MW85)),MW85)</f>
        <v>0</v>
      </c>
      <c r="MY85" s="20" t="n">
        <f aca="false">IF(H_Direct=1,IF(CL85&lt;=0,MX85-CL85*ALL84,MX85-MIN(MIN(CL85*ALL84,JK85+MX85),MX85)),MX85)</f>
        <v>0</v>
      </c>
      <c r="MZ85" s="20" t="n">
        <f aca="false">IF(H_Direct=1,IF(CM85&lt;=0,MY85-CM85*ALM84,MY85-MIN(MIN(CM85*ALM84,JL85+MY85),MY85)),MY85)</f>
        <v>0</v>
      </c>
      <c r="NA85" s="20" t="n">
        <f aca="false">IF(H_Direct=1,IF(CN85&lt;=0,MZ85-CN85*ALN84,MZ85-MIN(MIN(CN85*ALN84,JM85+MZ85),MZ85)),MZ85)</f>
        <v>0</v>
      </c>
      <c r="NB85" s="20" t="n">
        <f aca="false">IF(H_Direct=1,IF(CO85&lt;=0,NA85-CO85*ALO84,NA85-MIN(MIN(CO85*ALO84,JN85+NA85),NA85)),NA85)</f>
        <v>0</v>
      </c>
      <c r="NC85" s="20" t="n">
        <f aca="false">IF(H_Direct=1,IF(CP85&lt;=0,NB85-CP85*ALP84,NB85-MIN(MIN(CP85*ALP84,JO85+NB85),NB85)),NB85)</f>
        <v>0</v>
      </c>
      <c r="ND85" s="20" t="n">
        <f aca="false">IF(H_Direct=1,IF(CQ85&lt;=0,NC85-CQ85*ALQ84,NC85-MIN(MIN(CQ85*ALQ84,JP85+NC85),NC85)),NC85)</f>
        <v>0</v>
      </c>
      <c r="NE85" s="20" t="n">
        <f aca="false">IF(H_Direct=1,IF(CR85&lt;=0,ND85-CR85*ALR84,ND85-MIN(MIN(CR85*ALR84,JQ85+ND85),ND85)),ND85)</f>
        <v>0</v>
      </c>
      <c r="NF85" s="20" t="n">
        <f aca="false">IF(H_Direct=1,IF(CS85&lt;=0,NE85-CS85*ALS84,NE85-MIN(MIN(CS85*ALS84,JR85+NE85),NE85)),NE85)</f>
        <v>0</v>
      </c>
      <c r="NG85" s="20" t="n">
        <f aca="false">IF(H_Direct=1,IF(CT85&lt;=0,NF85-CT85*ALT84,NF85-MIN(MIN(CT85*ALT84,JS85+NF85),NF85)),NF85)</f>
        <v>0</v>
      </c>
      <c r="NH85" s="20" t="n">
        <f aca="false">IF(H_Direct=1,IF(CU85&lt;=0,NG85-CU85*ALU84,NG85-MIN(MIN(CU85*ALU84,JT85+NG85),NG85)),NG85)</f>
        <v>0</v>
      </c>
      <c r="NI85" s="20" t="n">
        <f aca="false">IF(H_Direct=1,IF(CV85&lt;=0,NH85-CV85*ALV84,NH85-MIN(MIN(CV85*ALV84,JU85+NH85),NH85)),NH85)</f>
        <v>0</v>
      </c>
      <c r="NJ85" s="20" t="n">
        <f aca="false">IF(H_Direct=1,IF(CW85&lt;=0,NI85-CW85*ALW84,NI85-MIN(MIN(CW85*ALW84,JV85+NI85),NI85)),NI85)</f>
        <v>0</v>
      </c>
      <c r="NK85" s="20" t="n">
        <f aca="false">IF(H_Direct=1,IF(CX85&lt;=0,NJ85-CX85*ALX84,NJ85-MIN(MIN(CX85*ALX84,JW85+NJ85),NJ85)),NJ85)</f>
        <v>0</v>
      </c>
      <c r="NL85" s="20" t="n">
        <f aca="false">IF(H_Direct=1,IF(CY85&lt;=0,NK85-CY85*ALY84,NK85-MIN(MIN(CY85*ALY84,JX85+NK85),NK85)),NK85)</f>
        <v>0</v>
      </c>
      <c r="NM85" s="20" t="n">
        <f aca="false">IF(H_Direct=1,IF(CZ85&lt;=0,NL85-CZ85*ALZ84,NL85-MIN(MIN(CZ85*ALZ84,JY85+NL85),NL85)),NL85)</f>
        <v>0</v>
      </c>
      <c r="NN85" s="20" t="n">
        <f aca="false">IF(H_Direct=1,IF(DA85&lt;=0,NM85-DA85*AMA84,NM85-MIN(MIN(DA85*AMA84,JZ85+NM85),NM85)),NM85)</f>
        <v>0</v>
      </c>
      <c r="NO85" s="20" t="n">
        <f aca="false">IF(H_Direct=1,IF(DB85&lt;=0,NN85-DB85*AMB84,NN85-MIN(MIN(DB85*AMB84,KA85+NN85),NN85)),NN85)</f>
        <v>0</v>
      </c>
      <c r="NP85" s="20" t="n">
        <f aca="false">IF(H_Direct=1,IF(DC85&lt;=0,NO85-DC85*AMC84,NO85-MIN(MIN(DC85*AMC84,KB85+NO85),NO85)),NO85)</f>
        <v>0</v>
      </c>
      <c r="NQ85" s="20" t="n">
        <f aca="false">IF(H_Direct=1,IF(DD85&lt;=0,NP85-DD85*AMD84,NP85-MIN(MIN(DD85*AMD84,KC85+NP85),NP85)),NP85)</f>
        <v>0</v>
      </c>
      <c r="NR85" s="20" t="n">
        <f aca="false">IF(H_Direct=1,IF(DE85&lt;=0,NQ85-DE85*AME84,NQ85-MIN(MIN(DE85*AME84,KD85+NQ85),NQ85)),NQ85)</f>
        <v>0</v>
      </c>
      <c r="NS85" s="20" t="n">
        <f aca="false">IF(H_Direct=1,IF(DF85&lt;=0,NR85-DF85*AMF84,NR85-MIN(MIN(DF85*AMF84,KE85+NR85),NR85)),NR85)</f>
        <v>0</v>
      </c>
      <c r="NT85" s="20" t="n">
        <f aca="false">IF(H_Direct=1,IF(DG85&lt;=0,NS85-DG85*AMG84,NS85-MIN(MIN(DG85*AMG84,KF85+NS85),NS85)),NS85)</f>
        <v>0</v>
      </c>
      <c r="NU85" s="20" t="n">
        <f aca="false">IF(H_Direct=1,IF(DH85&lt;=0,NT85-DH85*AMH84,NT85-MIN(MIN(DH85*AMH84,KG85+NT85),NT85)),NT85)</f>
        <v>0</v>
      </c>
      <c r="NV85" s="20" t="n">
        <f aca="false">IF(H_Direct=1,IF(DI85&lt;=0,NU85-DI85*AMI84,NU85-MIN(MIN(DI85*AMI84,KH85+NU85),NU85)),NU85)</f>
        <v>0</v>
      </c>
      <c r="NW85" s="20" t="n">
        <f aca="false">IF(H_Direct=1,IF(DJ85&lt;=0,NV85-DJ85*AMJ84,NV85-MIN(MIN(DJ85*AMJ84,KI85+NV85),NV85)),NV85)</f>
        <v>0</v>
      </c>
      <c r="NX85" s="20" t="n">
        <f aca="false">IF(H_Direct=1,IF(DK85&lt;=0,NW85-DK85*AMK84,NW85-MIN(MIN(DK85*AMK84,KJ85+NW85),NW85)),NW85)</f>
        <v>0</v>
      </c>
      <c r="NY85" s="20" t="n">
        <f aca="false">IF(H_Direct=1,IF(DL85&lt;=0,NX85-DL85*AML84,NX85-MIN(MIN(DL85*AML84,KK85+NX85),NX85)),NX85)</f>
        <v>0</v>
      </c>
      <c r="NZ85" s="20" t="n">
        <f aca="false">IF(H_Direct=1,IF(DM85&lt;=0,NY85-DM85*AMM84,NY85-MIN(MIN(DM85*AMM84,KL85+NY85),NY85)),NY85)</f>
        <v>0</v>
      </c>
      <c r="OA85" s="20" t="n">
        <f aca="false">IF(H_Direct=1,IF(DN85&lt;=0,NZ85-DN85*AMN84,NZ85-MIN(MIN(DN85*AMN84,KM85+NZ85),NZ85)),NZ85)</f>
        <v>0</v>
      </c>
      <c r="OB85" s="20" t="n">
        <f aca="false">IF(H_Direct=1,IF(DO85&lt;=0,OA85-DO85*AMO84,OA85-MIN(MIN(DO85*AMO84,KN85+OA85),OA85)),OA85)</f>
        <v>0</v>
      </c>
      <c r="OC85" s="20" t="n">
        <f aca="false">IF(H_Direct=1,IF(DP85&lt;=0,OB85-DP85*AMP84,OB85-MIN(MIN(DP85*AMP84,KO85+OB85),OB85)),OB85)</f>
        <v>0</v>
      </c>
      <c r="OD85" s="20" t="n">
        <f aca="false">IF(H_Direct=1,IF(DQ85&lt;=0,OC85-DQ85*AMQ84,OC85-MIN(MIN(DQ85*AMQ84,KP85+OC85),OC85)),OC85)</f>
        <v>0</v>
      </c>
      <c r="OE85" s="20" t="n">
        <f aca="false">IF(H_Direct=1,IF(DR85&lt;=0,OD85-DR85*AMR84,OD85-MIN(MIN(DR85*AMR84,KQ85+OD85),OD85)),OD85)</f>
        <v>0</v>
      </c>
      <c r="OF85" s="20" t="n">
        <f aca="false">IF(H_Direct=1,IF(DS85&lt;=0,OE85-DS85*AMS84,OE85-MIN(MIN(DS85*AMS84,KR85+OE85),OE85)),OE85)</f>
        <v>0</v>
      </c>
      <c r="OG85" s="20" t="n">
        <f aca="false">IF(H_Direct=1,IF(DT85&lt;=0,OF85-DT85*AMT84,OF85-MIN(MIN(DT85*AMT84,KS85+OF85),OF85)),OF85)</f>
        <v>0</v>
      </c>
      <c r="OH85" s="20" t="n">
        <f aca="false">IF(H_Direct=1,IF(DU85&lt;=0,OG85-DU85*AMU84,OG85-MIN(MIN(DU85*AMU84,KT85+OG85),OG85)),OG85)</f>
        <v>0</v>
      </c>
      <c r="OI85" s="20" t="n">
        <f aca="false">IF(H_Direct=1,IF(DV85&lt;=0,OH85-DV85*AMV84,OH85-MIN(MIN(DV85*AMV84,KU85+OH85),OH85)),OH85)</f>
        <v>0</v>
      </c>
      <c r="OJ85" s="20" t="n">
        <f aca="false">IF(H_Direct=1,IF(DW85&lt;=0,OI85-DW85*AMW84,OI85-MIN(MIN(DW85*AMW84,KV85+OI85),OI85)),OI85)</f>
        <v>0</v>
      </c>
      <c r="OK85" s="20" t="n">
        <f aca="false">IF(H_Direct=1,IF(DX85&lt;=0,OJ85-DX85*AMX84,OJ85-MIN(MIN(DX85*AMX84,KW85+OJ85),OJ85)),OJ85)</f>
        <v>0</v>
      </c>
      <c r="OL85" s="20" t="n">
        <f aca="false">IF(H_Direct=1,IF(DY85&lt;=0,OK85-DY85*AMY84,OK85-MIN(MIN(DY85*AMY84,KX85+OK85),OK85)),OK85)</f>
        <v>0</v>
      </c>
      <c r="OM85" s="20" t="n">
        <f aca="false">IF(H_Direct=1,IF(DZ85&lt;=0,OL85-DZ85*AMZ84,OL85-MIN(MIN(DZ85*AMZ84,KY85+OL85),OL85)),OL85)</f>
        <v>0</v>
      </c>
      <c r="ON85" s="20" t="n">
        <f aca="false">IF(H_Direct=1,IF(EA85&lt;=0,OM85-EA85*ANA84,OM85-MIN(MIN(EA85*ANA84,KZ85+OM85),OM85)),OM85)</f>
        <v>0</v>
      </c>
      <c r="OO85" s="20" t="n">
        <f aca="false">IF(H_Direct=1,IF(EB85&lt;=0,ON85-EB85*ANB84,ON85-MIN(MIN(EB85*ANB84,LA85+ON85),ON85)),ON85)</f>
        <v>0</v>
      </c>
      <c r="OP85" s="20" t="n">
        <f aca="false">IF(H_Direct=1,IF(EC85&lt;=0,OO85-EC85*ANC84,OO85-MIN(MIN(EC85*ANC84,LB85+OO85),OO85)),OO85)</f>
        <v>0</v>
      </c>
      <c r="OQ85" s="20" t="n">
        <f aca="false">IF(H_Direct=1,IF(ED85&lt;=0,OP85-ED85*AND84,OP85-MIN(MIN(ED85*AND84,LC85+OP85),OP85)),OP85)</f>
        <v>0</v>
      </c>
      <c r="OR85" s="20" t="n">
        <f aca="false">IF(H_Direct=1,IF(EE85&lt;=0,OQ85-EE85*ANE84,OQ85-MIN(MIN(EE85*ANE84,LD85+OQ85),OQ85)),OQ85)</f>
        <v>0</v>
      </c>
      <c r="OS85" s="20" t="n">
        <f aca="false">IF(H_Direct=1,IF(EF85&lt;=0,OR85-EF85*ANF84,OR85-MIN(MIN(EF85*ANF84,LE85+OR85),OR85)),OR85)</f>
        <v>0</v>
      </c>
      <c r="OT85" s="20" t="n">
        <f aca="false">IF(H_Direct=1,IF(EG85&lt;=0,OS85-EG85*ANG84,OS85-MIN(MIN(EG85*ANG84,LF85+OS85),OS85)),OS85)</f>
        <v>0</v>
      </c>
      <c r="OU85" s="20" t="n">
        <f aca="false">IF(H_Direct=1,IF(EH85&lt;=0,OT85-EH85*ANH84,OT85-MIN(MIN(EH85*ANH84,LG85+OT85),OT85)),OT85)</f>
        <v>0</v>
      </c>
      <c r="OV85" s="20" t="n">
        <f aca="false">IF(H_Direct=1,IF(EI85&lt;=0,OU85-EI85*ANI84,OU85-MIN(MIN(EI85*ANI84,LH85+OU85),OU85)),OU85)</f>
        <v>0</v>
      </c>
      <c r="OW85" s="20" t="n">
        <f aca="false">IF(H_Direct=1,IF(EJ85&lt;=0,OV85-EJ85*ANJ84,OV85-MIN(MIN(EJ85*ANJ84,LI85+OV85),OV85)),OV85)</f>
        <v>0</v>
      </c>
      <c r="OX85" s="20" t="n">
        <f aca="false">IF(H_Direct=1,IF(EK85&lt;=0,OW85-EK85*ANK84,OW85-MIN(MIN(EK85*ANK84,LJ85+OW85),OW85)),OW85)</f>
        <v>0</v>
      </c>
      <c r="OY85" s="20" t="n">
        <f aca="false">IF(H_Direct=1,IF(EL85&lt;=0,OX85-EL85*ANL84,OX85-MIN(MIN(EL85*ANL84,LK85+OX85),OX85)),OX85)</f>
        <v>0</v>
      </c>
      <c r="OZ85" s="20" t="n">
        <f aca="false">IF(H_Direct=1,IF(EM85&lt;=0,OY85-EM85*ANM84,OY85-MIN(MIN(EM85*ANM84,LL85+OY85),OY85)),OY85)</f>
        <v>0</v>
      </c>
      <c r="PA85" s="20" t="n">
        <f aca="false">IF(H_Direct=1,IF(EN85&lt;=0,OZ85-EN85*ANN84,OZ85-MIN(MIN(EN85*ANN84,LM85+OZ85),OZ85)),OZ85)</f>
        <v>0</v>
      </c>
      <c r="PB85" s="20" t="n">
        <f aca="false">IF(H_Direct=1,IF(EO85&lt;=0,PA85-EO85*ANO84,PA85-MIN(MIN(EO85*ANO84,LN85+PA85),PA85)),PA85)</f>
        <v>0</v>
      </c>
      <c r="PC85" s="20" t="n">
        <f aca="false">IF(H_Direct=1,IF(EP85&lt;=0,PB85-EP85*ANP84,PB85-MIN(MIN(EP85*ANP84,LO85+PB85),PB85)),PB85)</f>
        <v>0</v>
      </c>
      <c r="PD85" s="20" t="n">
        <f aca="false">IF(H_Direct=1,IF(EQ85&lt;=0,PC85-EQ85*ANQ84,PC85-MIN(MIN(EQ85*ANQ84,LP85+PC85),PC85)),PC85)</f>
        <v>0</v>
      </c>
      <c r="PE85" s="20" t="n">
        <f aca="false">IF(H_Direct=1,IF(ER85&lt;=0,PD85-ER85*(P85+S85),PD85-MIN(MIN(ER85*(P85+S85),LQ85+PD85),PD85)),PD85)</f>
        <v>0</v>
      </c>
      <c r="PF85" s="20" t="n">
        <f aca="false">PE85</f>
        <v>0</v>
      </c>
      <c r="PG85" s="20" t="n">
        <f aca="false">PF85</f>
        <v>0</v>
      </c>
      <c r="PH85" s="20" t="n">
        <f aca="false">PG85</f>
        <v>0</v>
      </c>
      <c r="PI85" s="20" t="n">
        <f aca="false">PH85</f>
        <v>0</v>
      </c>
      <c r="PJ85" s="20" t="n">
        <f aca="false">PI85</f>
        <v>0</v>
      </c>
      <c r="PK85" s="20" t="n">
        <f aca="false">PJ85</f>
        <v>0</v>
      </c>
      <c r="PL85" s="20" t="n">
        <f aca="false">PK85</f>
        <v>0</v>
      </c>
      <c r="PM85" s="20" t="n">
        <f aca="false">PL85</f>
        <v>0</v>
      </c>
      <c r="PN85" s="20" t="n">
        <f aca="false">PM85</f>
        <v>0</v>
      </c>
      <c r="PO85" s="20" t="n">
        <f aca="false">PN85</f>
        <v>0</v>
      </c>
      <c r="PP85" s="20" t="n">
        <f aca="false">PO85</f>
        <v>0</v>
      </c>
      <c r="PQ85" s="20" t="n">
        <f aca="false">PP85</f>
        <v>0</v>
      </c>
      <c r="PR85" s="20" t="n">
        <f aca="false">IF(H_Direct=1,IF(AKR84&lt;=0,0,IF(BR85&lt;=0,MIN(MAX(0,AB85),AKR84),MIN(MAX(0,AB85),AKR84-G85*MAX(0,BR85*AKR84-(H85+I85))))),MIN(FE85,MAX(0,AB85)))</f>
        <v>0</v>
      </c>
      <c r="PS85" s="20" t="n">
        <f aca="false">IF(H_Direct=1,IF(AKS84&lt;=0,0,IF(BS85&lt;=0,MIN(MAX(0,AB85-SUM(PR85:PR85)),AKS84),MIN(MAX(0,AB85-SUM(PR85:PR85)),AKS84-G85*MAX(0,BS85*AKS84-(WR85+AAE85))))),MIN(FF85,MAX(0,AB85-SUM(PR85:PR85))))</f>
        <v>0</v>
      </c>
      <c r="PT85" s="20" t="n">
        <f aca="false">IF(H_Direct=1,IF(AKT84&lt;=0,0,IF(BT85&lt;=0,MIN(MAX(0,AB85-SUM(PR85:PS85)),AKT84),MIN(MAX(0,AB85-SUM(PR85:PS85)),AKT84-G85*MAX(0,BT85*AKT84-(WS85+AAF85))))),MIN(FG85,MAX(0,AB85-SUM(PR85:PS85))))</f>
        <v>0</v>
      </c>
      <c r="PU85" s="20" t="n">
        <f aca="false">IF(H_Direct=1,IF(AKU84&lt;=0,0,IF(BU85&lt;=0,MIN(MAX(0,AB85-SUM(PR85:PT85)),AKU84),MIN(MAX(0,AB85-SUM(PR85:PT85)),AKU84-G85*MAX(0,BU85*AKU84-(WT85+AAG85))))),MIN(FH85,MAX(0,AB85-SUM(PR85:PT85))))</f>
        <v>0</v>
      </c>
      <c r="PV85" s="20" t="n">
        <f aca="false">IF(H_Direct=1,IF(AKV84&lt;=0,0,IF(BV85&lt;=0,MIN(MAX(0,AB85-SUM(PR85:PU85)),AKV84),MIN(MAX(0,AB85-SUM(PR85:PU85)),AKV84-G85*MAX(0,BV85*AKV84-(WU85+AAH85))))),MIN(FI85,MAX(0,AB85-SUM(PR85:PU85))))</f>
        <v>0</v>
      </c>
      <c r="PW85" s="20" t="n">
        <f aca="false">IF(H_Direct=1,IF(AKW84&lt;=0,0,IF(BW85&lt;=0,MIN(MAX(0,AB85-SUM(PR85:PV85)),AKW84),MIN(MAX(0,AB85-SUM(PR85:PV85)),AKW84-G85*MAX(0,BW85*AKW84-(WV85+AAI85))))),MIN(FJ85,MAX(0,AB85-SUM(PR85:PV85))))</f>
        <v>0</v>
      </c>
      <c r="PX85" s="20" t="n">
        <f aca="false">IF(H_Direct=1,IF(AKX84&lt;=0,0,IF(BX85&lt;=0,MIN(MAX(0,AB85-SUM(PR85:PW85)),AKX84),MIN(MAX(0,AB85-SUM(PR85:PW85)),AKX84-G85*MAX(0,BX85*AKX84-(WW85+AAJ85))))),MIN(FK85,MAX(0,AB85-SUM(PR85:PW85))))</f>
        <v>0</v>
      </c>
      <c r="PY85" s="20" t="n">
        <f aca="false">IF(H_Direct=1,IF(AKY84&lt;=0,0,IF(BY85&lt;=0,MIN(MAX(0,AB85-SUM(PR85:PX85)),AKY84),MIN(MAX(0,AB85-SUM(PR85:PX85)),AKY84-G85*MAX(0,BY85*AKY84-(WX85+AAK85))))),MIN(FL85,MAX(0,AB85-SUM(PR85:PX85))))</f>
        <v>0</v>
      </c>
      <c r="PZ85" s="20" t="n">
        <f aca="false">IF(H_Direct=1,IF(AKZ84&lt;=0,0,IF(BZ85&lt;=0,MIN(MAX(0,AB85-SUM(PR85:PY85)),AKZ84),MIN(MAX(0,AB85-SUM(PR85:PY85)),AKZ84-G85*MAX(0,BZ85*AKZ84-(WY85+AAL85))))),MIN(FM85,MAX(0,AB85-SUM(PR85:PY85))))</f>
        <v>0</v>
      </c>
      <c r="QA85" s="20" t="n">
        <f aca="false">IF(H_Direct=1,IF(ALA84&lt;=0,0,IF(CA85&lt;=0,MIN(MAX(0,AB85-SUM(PR85:PZ85)),ALA84),MIN(MAX(0,AB85-SUM(PR85:PZ85)),ALA84-G85*MAX(0,CA85*ALA84-(WZ85+AAM85))))),MIN(FN85,MAX(0,AB85-SUM(PR85:PZ85))))</f>
        <v>0</v>
      </c>
      <c r="QB85" s="20" t="n">
        <f aca="false">IF(H_Direct=1,IF(ALB84&lt;=0,0,IF(CB85&lt;=0,MIN(MAX(0,AB85-SUM(PR85:QA85)),ALB84),MIN(MAX(0,AB85-SUM(PR85:QA85)),ALB84-G85*MAX(0,CB85*ALB84-(XA85+AAN85))))),MIN(FO85,MAX(0,AB85-SUM(PR85:QA85))))</f>
        <v>0</v>
      </c>
      <c r="QC85" s="20" t="n">
        <f aca="false">IF(H_Direct=1,IF(ALC84&lt;=0,0,IF(CC85&lt;=0,MIN(MAX(0,AB85-SUM(PR85:QB85)),ALC84),MIN(MAX(0,AB85-SUM(PR85:QB85)),ALC84-G85*MAX(0,CC85*ALC84-(XB85+AAO85))))),MIN(FP85,MAX(0,AB85-SUM(PR85:QB85))))</f>
        <v>0</v>
      </c>
      <c r="QD85" s="20" t="n">
        <f aca="false">IF(H_Direct=1,IF(ALD84&lt;=0,0,IF(CD85&lt;=0,MIN(MAX(0,AB85-SUM(PR85:QC85)),ALD84),MIN(MAX(0,AB85-SUM(PR85:QC85)),ALD84-G85*MAX(0,CD85*ALD84-(XC85+AAP85))))),MIN(FQ85,MAX(0,AB85-SUM(PR85:QC85))))</f>
        <v>0</v>
      </c>
      <c r="QE85" s="20" t="n">
        <f aca="false">IF(H_Direct=1,IF(ALE84&lt;=0,0,IF(CE85&lt;=0,MIN(MAX(0,AB85-SUM(PR85:QD85)),ALE84),MIN(MAX(0,AB85-SUM(PR85:QD85)),ALE84-G85*MAX(0,CE85*ALE84-(XD85+AAQ85))))),MIN(FR85,MAX(0,AB85-SUM(PR85:QD85))))</f>
        <v>0</v>
      </c>
      <c r="QF85" s="20" t="n">
        <f aca="false">IF(H_Direct=1,IF(ALF84&lt;=0,0,IF(CF85&lt;=0,MIN(MAX(0,AB85-SUM(PR85:QE85)),ALF84),MIN(MAX(0,AB85-SUM(PR85:QE85)),ALF84-G85*MAX(0,CF85*ALF84-(XE85+AAR85))))),MIN(FS85,MAX(0,AB85-SUM(PR85:QE85))))</f>
        <v>0</v>
      </c>
      <c r="QG85" s="20" t="n">
        <f aca="false">IF(H_Direct=1,IF(ALG84&lt;=0,0,IF(CG85&lt;=0,MIN(MAX(0,AB85-SUM(PR85:QF85)),ALG84),MIN(MAX(0,AB85-SUM(PR85:QF85)),ALG84-G85*MAX(0,CG85*ALG84-(XF85+AAS85))))),MIN(FT85,MAX(0,AB85-SUM(PR85:QF85))))</f>
        <v>0</v>
      </c>
      <c r="QH85" s="20" t="n">
        <f aca="false">IF(H_Direct=1,IF(ALH84&lt;=0,0,IF(CH85&lt;=0,MIN(MAX(0,AB85-SUM(PR85:QG85)),ALH84),MIN(MAX(0,AB85-SUM(PR85:QG85)),ALH84-G85*MAX(0,CH85*ALH84-(XG85+AAT85))))),MIN(FU85,MAX(0,AB85-SUM(PR85:QG85))))</f>
        <v>0</v>
      </c>
      <c r="QI85" s="20" t="n">
        <f aca="false">IF(H_Direct=1,IF(ALI84&lt;=0,0,IF(CI85&lt;=0,MIN(MAX(0,AB85-SUM(PR85:QH85)),ALI84),MIN(MAX(0,AB85-SUM(PR85:QH85)),ALI84-G85*MAX(0,CI85*ALI84-(XH85+AAU85))))),MIN(FV85,MAX(0,AB85-SUM(PR85:QH85))))</f>
        <v>0</v>
      </c>
      <c r="QJ85" s="20" t="n">
        <f aca="false">IF(H_Direct=1,IF(ALJ84&lt;=0,0,IF(CJ85&lt;=0,MIN(MAX(0,AB85-SUM(PR85:QI85)),ALJ84),MIN(MAX(0,AB85-SUM(PR85:QI85)),ALJ84-G85*MAX(0,CJ85*ALJ84-(XI85+AAV85))))),MIN(FW85,MAX(0,AB85-SUM(PR85:QI85))))</f>
        <v>0</v>
      </c>
      <c r="QK85" s="20" t="n">
        <f aca="false">IF(H_Direct=1,IF(ALK84&lt;=0,0,IF(CK85&lt;=0,MIN(MAX(0,AB85-SUM(PR85:QJ85)),ALK84),MIN(MAX(0,AB85-SUM(PR85:QJ85)),ALK84-G85*MAX(0,CK85*ALK84-(XJ85+AAW85))))),MIN(FX85,MAX(0,AB85-SUM(PR85:QJ85))))</f>
        <v>0</v>
      </c>
      <c r="QL85" s="20" t="n">
        <f aca="false">IF(H_Direct=1,IF(ALL84&lt;=0,0,IF(CL85&lt;=0,MIN(MAX(0,AB85-SUM(PR85:QK85)),ALL84),MIN(MAX(0,AB85-SUM(PR85:QK85)),ALL84-G85*MAX(0,CL85*ALL84-(XK85+AAX85))))),MIN(FY85,MAX(0,AB85-SUM(PR85:QK85))))</f>
        <v>0</v>
      </c>
      <c r="QM85" s="20" t="n">
        <f aca="false">IF(H_Direct=1,IF(ALM84&lt;=0,0,IF(CM85&lt;=0,MIN(MAX(0,AB85-SUM(PR85:QL85)),ALM84),MIN(MAX(0,AB85-SUM(PR85:QL85)),ALM84-G85*MAX(0,CM85*ALM84-(XL85+AAY85))))),MIN(FZ85,MAX(0,AB85-SUM(PR85:QL85))))</f>
        <v>0</v>
      </c>
      <c r="QN85" s="20" t="n">
        <f aca="false">IF(H_Direct=1,IF(ALN84&lt;=0,0,IF(CN85&lt;=0,MIN(MAX(0,AB85-SUM(PR85:QM85)),ALN84),MIN(MAX(0,AB85-SUM(PR85:QM85)),ALN84-G85*MAX(0,CN85*ALN84-(XM85+AAZ85))))),MIN(GA85,MAX(0,AB85-SUM(PR85:QM85))))</f>
        <v>0</v>
      </c>
      <c r="QO85" s="20" t="n">
        <f aca="false">IF(H_Direct=1,IF(ALO84&lt;=0,0,IF(CO85&lt;=0,MIN(MAX(0,AB85-SUM(PR85:QN85)),ALO84),MIN(MAX(0,AB85-SUM(PR85:QN85)),ALO84-G85*MAX(0,CO85*ALO84-(XN85+ABA85))))),MIN(GB85,MAX(0,AB85-SUM(PR85:QN85))))</f>
        <v>0</v>
      </c>
      <c r="QP85" s="20" t="n">
        <f aca="false">IF(H_Direct=1,IF(ALP84&lt;=0,0,IF(CP85&lt;=0,MIN(MAX(0,AB85-SUM(PR85:QO85)),ALP84),MIN(MAX(0,AB85-SUM(PR85:QO85)),ALP84-G85*MAX(0,CP85*ALP84-(XO85+ABB85))))),MIN(GC85,MAX(0,AB85-SUM(PR85:QO85))))</f>
        <v>0</v>
      </c>
      <c r="QQ85" s="20" t="n">
        <f aca="false">IF(H_Direct=1,IF(ALQ84&lt;=0,0,IF(CQ85&lt;=0,MIN(MAX(0,AB85-SUM(PR85:QP85)),ALQ84),MIN(MAX(0,AB85-SUM(PR85:QP85)),ALQ84-G85*MAX(0,CQ85*ALQ84-(XP85+ABC85))))),MIN(GD85,MAX(0,AB85-SUM(PR85:QP85))))</f>
        <v>0</v>
      </c>
      <c r="QR85" s="20" t="n">
        <f aca="false">IF(H_Direct=1,IF(ALR84&lt;=0,0,IF(CR85&lt;=0,MIN(MAX(0,AB85-SUM(PR85:QQ85)),ALR84),MIN(MAX(0,AB85-SUM(PR85:QQ85)),ALR84-G85*MAX(0,CR85*ALR84-(XQ85+ABD85))))),MIN(GE85,MAX(0,AB85-SUM(PR85:QQ85))))</f>
        <v>0</v>
      </c>
      <c r="QS85" s="20" t="n">
        <f aca="false">IF(H_Direct=1,IF(ALS84&lt;=0,0,IF(CS85&lt;=0,MIN(MAX(0,AB85-SUM(PR85:QR85)),ALS84),MIN(MAX(0,AB85-SUM(PR85:QR85)),ALS84-G85*MAX(0,CS85*ALS84-(XR85+ABE85))))),MIN(GF85,MAX(0,AB85-SUM(PR85:QR85))))</f>
        <v>0</v>
      </c>
      <c r="QT85" s="20" t="n">
        <f aca="false">IF(H_Direct=1,IF(ALT84&lt;=0,0,IF(CT85&lt;=0,MIN(MAX(0,AB85-SUM(PR85:QS85)),ALT84),MIN(MAX(0,AB85-SUM(PR85:QS85)),ALT84-G85*MAX(0,CT85*ALT84-(XS85+ABF85))))),MIN(GG85,MAX(0,AB85-SUM(PR85:QS85))))</f>
        <v>0</v>
      </c>
      <c r="QU85" s="20" t="n">
        <f aca="false">IF(H_Direct=1,IF(ALU84&lt;=0,0,IF(CU85&lt;=0,MIN(MAX(0,AB85-SUM(PR85:QT85)),ALU84),MIN(MAX(0,AB85-SUM(PR85:QT85)),ALU84-G85*MAX(0,CU85*ALU84-(XT85+ABG85))))),MIN(GH85,MAX(0,AB85-SUM(PR85:QT85))))</f>
        <v>0</v>
      </c>
      <c r="QV85" s="20" t="n">
        <f aca="false">IF(H_Direct=1,IF(ALV84&lt;=0,0,IF(CV85&lt;=0,MIN(MAX(0,AB85-SUM(PR85:QU85)),ALV84),MIN(MAX(0,AB85-SUM(PR85:QU85)),ALV84-G85*MAX(0,CV85*ALV84-(XU85+ABH85))))),MIN(GI85,MAX(0,AB85-SUM(PR85:QU85))))</f>
        <v>0</v>
      </c>
      <c r="QW85" s="20" t="n">
        <f aca="false">IF(H_Direct=1,IF(ALW84&lt;=0,0,IF(CW85&lt;=0,MIN(MAX(0,AB85-SUM(PR85:QV85)),ALW84),MIN(MAX(0,AB85-SUM(PR85:QV85)),ALW84-G85*MAX(0,CW85*ALW84-(XV85+ABI85))))),MIN(GJ85,MAX(0,AB85-SUM(PR85:QV85))))</f>
        <v>0</v>
      </c>
      <c r="QX85" s="20" t="n">
        <f aca="false">IF(H_Direct=1,IF(ALX84&lt;=0,0,IF(CX85&lt;=0,MIN(MAX(0,AB85-SUM(PR85:QW85)),ALX84),MIN(MAX(0,AB85-SUM(PR85:QW85)),ALX84-G85*MAX(0,CX85*ALX84-(XW85+ABJ85))))),MIN(GK85,MAX(0,AB85-SUM(PR85:QW85))))</f>
        <v>0</v>
      </c>
      <c r="QY85" s="20" t="n">
        <f aca="false">IF(H_Direct=1,IF(ALY84&lt;=0,0,IF(CY85&lt;=0,MIN(MAX(0,AB85-SUM(PR85:QX85)),ALY84),MIN(MAX(0,AB85-SUM(PR85:QX85)),ALY84-G85*MAX(0,CY85*ALY84-(XX85+ABK85))))),MIN(GL85,MAX(0,AB85-SUM(PR85:QX85))))</f>
        <v>0</v>
      </c>
      <c r="QZ85" s="20" t="n">
        <f aca="false">IF(H_Direct=1,IF(ALZ84&lt;=0,0,IF(CZ85&lt;=0,MIN(MAX(0,AB85-SUM(PR85:QY85)),ALZ84),MIN(MAX(0,AB85-SUM(PR85:QY85)),ALZ84-G85*MAX(0,CZ85*ALZ84-(XY85+ABL85))))),MIN(GM85,MAX(0,AB85-SUM(PR85:QY85))))</f>
        <v>0</v>
      </c>
      <c r="RA85" s="20" t="n">
        <f aca="false">IF(H_Direct=1,IF(AMA84&lt;=0,0,IF(DA85&lt;=0,MIN(MAX(0,AB85-SUM(PR85:QZ85)),AMA84),MIN(MAX(0,AB85-SUM(PR85:QZ85)),AMA84-G85*MAX(0,DA85*AMA84-(XZ85+ABM85))))),MIN(GN85,MAX(0,AB85-SUM(PR85:QZ85))))</f>
        <v>0</v>
      </c>
      <c r="RB85" s="20" t="n">
        <f aca="false">IF(H_Direct=1,IF(AMB84&lt;=0,0,IF(DB85&lt;=0,MIN(MAX(0,AB85-SUM(PR85:RA85)),AMB84),MIN(MAX(0,AB85-SUM(PR85:RA85)),AMB84-G85*MAX(0,DB85*AMB84-(YA85+ABN85))))),MIN(GO85,MAX(0,AB85-SUM(PR85:RA85))))</f>
        <v>0</v>
      </c>
      <c r="RC85" s="20" t="n">
        <f aca="false">IF(H_Direct=1,IF(AMC84&lt;=0,0,IF(DC85&lt;=0,MIN(MAX(0,AB85-SUM(PR85:RB85)),AMC84),MIN(MAX(0,AB85-SUM(PR85:RB85)),AMC84-G85*MAX(0,DC85*AMC84-(YB85+ABO85))))),MIN(GP85,MAX(0,AB85-SUM(PR85:RB85))))</f>
        <v>0</v>
      </c>
      <c r="RD85" s="20" t="n">
        <f aca="false">IF(H_Direct=1,IF(AMD84&lt;=0,0,IF(DD85&lt;=0,MIN(MAX(0,AB85-SUM(PR85:RC85)),AMD84),MIN(MAX(0,AB85-SUM(PR85:RC85)),AMD84-G85*MAX(0,DD85*AMD84-(YC85+ABP85))))),MIN(GQ85,MAX(0,AB85-SUM(PR85:RC85))))</f>
        <v>0</v>
      </c>
      <c r="RE85" s="20" t="n">
        <f aca="false">IF(H_Direct=1,IF(AME84&lt;=0,0,IF(DE85&lt;=0,MIN(MAX(0,AB85-SUM(PR85:RD85)),AME84),MIN(MAX(0,AB85-SUM(PR85:RD85)),AME84-G85*MAX(0,DE85*AME84-(YD85+ABQ85))))),MIN(GR85,MAX(0,AB85-SUM(PR85:RD85))))</f>
        <v>0</v>
      </c>
      <c r="RF85" s="20" t="n">
        <f aca="false">IF(H_Direct=1,IF(AMF84&lt;=0,0,IF(DF85&lt;=0,MIN(MAX(0,AB85-SUM(PR85:RE85)),AMF84),MIN(MAX(0,AB85-SUM(PR85:RE85)),AMF84-G85*MAX(0,DF85*AMF84-(YE85+ABR85))))),MIN(GS85,MAX(0,AB85-SUM(PR85:RE85))))</f>
        <v>0</v>
      </c>
      <c r="RG85" s="20" t="n">
        <f aca="false">IF(H_Direct=1,IF(AMG84&lt;=0,0,IF(DG85&lt;=0,MIN(MAX(0,AB85-SUM(PR85:RF85)),AMG84),MIN(MAX(0,AB85-SUM(PR85:RF85)),AMG84-G85*MAX(0,DG85*AMG84-(YF85+ABS85))))),MIN(GT85,MAX(0,AB85-SUM(PR85:RF85))))</f>
        <v>0</v>
      </c>
      <c r="RH85" s="20" t="n">
        <f aca="false">IF(H_Direct=1,IF(AMH84&lt;=0,0,IF(DH85&lt;=0,MIN(MAX(0,AB85-SUM(PR85:RG85)),AMH84),MIN(MAX(0,AB85-SUM(PR85:RG85)),AMH84-G85*MAX(0,DH85*AMH84-(YG85+ABT85))))),MIN(GU85,MAX(0,AB85-SUM(PR85:RG85))))</f>
        <v>0</v>
      </c>
      <c r="RI85" s="20" t="n">
        <f aca="false">IF(H_Direct=1,IF(AMI84&lt;=0,0,IF(DI85&lt;=0,MIN(MAX(0,AB85-SUM(PR85:RH85)),AMI84),MIN(MAX(0,AB85-SUM(PR85:RH85)),AMI84-G85*MAX(0,DI85*AMI84-(YH85+ABU85))))),MIN(GV85,MAX(0,AB85-SUM(PR85:RH85))))</f>
        <v>0</v>
      </c>
      <c r="RJ85" s="20" t="n">
        <f aca="false">IF(H_Direct=1,IF(AMJ84&lt;=0,0,IF(DJ85&lt;=0,MIN(MAX(0,AB85-SUM(PR85:RI85)),AMJ84),MIN(MAX(0,AB85-SUM(PR85:RI85)),AMJ84-G85*MAX(0,DJ85*AMJ84-(YI85+ABV85))))),MIN(GW85,MAX(0,AB85-SUM(PR85:RI85))))</f>
        <v>0</v>
      </c>
      <c r="RK85" s="20" t="n">
        <f aca="false">IF(H_Direct=1,IF(AMK84&lt;=0,0,IF(DK85&lt;=0,MIN(MAX(0,AB85-SUM(PR85:RJ85)),AMK84),MIN(MAX(0,AB85-SUM(PR85:RJ85)),AMK84-G85*MAX(0,DK85*AMK84-(YJ85+ABW85))))),MIN(GX85,MAX(0,AB85-SUM(PR85:RJ85))))</f>
        <v>0</v>
      </c>
      <c r="RL85" s="20" t="n">
        <f aca="false">IF(H_Direct=1,IF(AML84&lt;=0,0,IF(DL85&lt;=0,MIN(MAX(0,AB85-SUM(PR85:RK85)),AML84),MIN(MAX(0,AB85-SUM(PR85:RK85)),AML84-G85*MAX(0,DL85*AML84-(YK85+ABX85))))),MIN(GY85,MAX(0,AB85-SUM(PR85:RK85))))</f>
        <v>0</v>
      </c>
      <c r="RM85" s="20" t="n">
        <f aca="false">IF(H_Direct=1,IF(AMM84&lt;=0,0,IF(DM85&lt;=0,MIN(MAX(0,AB85-SUM(PR85:RL85)),AMM84),MIN(MAX(0,AB85-SUM(PR85:RL85)),AMM84-G85*MAX(0,DM85*AMM84-(YL85+ABY85))))),MIN(GZ85,MAX(0,AB85-SUM(PR85:RL85))))</f>
        <v>0</v>
      </c>
      <c r="RN85" s="20" t="n">
        <f aca="false">IF(H_Direct=1,IF(AMN84&lt;=0,0,IF(DN85&lt;=0,MIN(MAX(0,AB85-SUM(PR85:RM85)),AMN84),MIN(MAX(0,AB85-SUM(PR85:RM85)),AMN84-G85*MAX(0,DN85*AMN84-(YM85+ABZ85))))),MIN(HA85,MAX(0,AB85-SUM(PR85:RM85))))</f>
        <v>0</v>
      </c>
      <c r="RO85" s="20" t="n">
        <f aca="false">IF(H_Direct=1,IF(AMO84&lt;=0,0,IF(DO85&lt;=0,MIN(MAX(0,AB85-SUM(PR85:RN85)),AMO84),MIN(MAX(0,AB85-SUM(PR85:RN85)),AMO84-G85*MAX(0,DO85*AMO84-(YN85+ACA85))))),MIN(HB85,MAX(0,AB85-SUM(PR85:RN85))))</f>
        <v>0</v>
      </c>
      <c r="RP85" s="20" t="n">
        <f aca="false">IF(H_Direct=1,IF(AMP84&lt;=0,0,IF(DP85&lt;=0,MIN(MAX(0,AB85-SUM(PR85:RO85)),AMP84),MIN(MAX(0,AB85-SUM(PR85:RO85)),AMP84-G85*MAX(0,DP85*AMP84-(YO85+ACB85))))),MIN(HC85,MAX(0,AB85-SUM(PR85:RO85))))</f>
        <v>0</v>
      </c>
      <c r="RQ85" s="20" t="n">
        <f aca="false">IF(H_Direct=1,IF(AMQ84&lt;=0,0,IF(DQ85&lt;=0,MIN(MAX(0,AB85-SUM(PR85:RP85)),AMQ84),MIN(MAX(0,AB85-SUM(PR85:RP85)),AMQ84-G85*MAX(0,DQ85*AMQ84-(YP85+ACC85))))),MIN(HD85,MAX(0,AB85-SUM(PR85:RP85))))</f>
        <v>0</v>
      </c>
      <c r="RR85" s="20" t="n">
        <f aca="false">IF(H_Direct=1,IF(AMR84&lt;=0,0,IF(DR85&lt;=0,MIN(MAX(0,AB85-SUM(PR85:RQ85)),AMR84),MIN(MAX(0,AB85-SUM(PR85:RQ85)),AMR84-G85*MAX(0,DR85*AMR84-(YQ85+ACD85))))),MIN(HE85,MAX(0,AB85-SUM(PR85:RQ85))))</f>
        <v>0</v>
      </c>
      <c r="RS85" s="20" t="n">
        <f aca="false">IF(H_Direct=1,IF(AMS84&lt;=0,0,IF(DS85&lt;=0,MIN(MAX(0,AB85-SUM(PR85:RR85)),AMS84),MIN(MAX(0,AB85-SUM(PR85:RR85)),AMS84-G85*MAX(0,DS85*AMS84-(YR85+ACE85))))),MIN(HF85,MAX(0,AB85-SUM(PR85:RR85))))</f>
        <v>0</v>
      </c>
      <c r="RT85" s="20" t="n">
        <f aca="false">IF(H_Direct=1,IF(AMT84&lt;=0,0,IF(DT85&lt;=0,MIN(MAX(0,AB85-SUM(PR85:RS85)),AMT84),MIN(MAX(0,AB85-SUM(PR85:RS85)),AMT84-G85*MAX(0,DT85*AMT84-(YS85+ACF85))))),MIN(HG85,MAX(0,AB85-SUM(PR85:RS85))))</f>
        <v>0</v>
      </c>
      <c r="RU85" s="20" t="n">
        <f aca="false">IF(H_Direct=1,IF(AMU84&lt;=0,0,IF(DU85&lt;=0,MIN(MAX(0,AB85-SUM(PR85:RT85)),AMU84),MIN(MAX(0,AB85-SUM(PR85:RT85)),AMU84-G85*MAX(0,DU85*AMU84-(YT85+ACG85))))),MIN(HH85,MAX(0,AB85-SUM(PR85:RT85))))</f>
        <v>0</v>
      </c>
      <c r="RV85" s="20" t="n">
        <f aca="false">IF(H_Direct=1,IF(AMV84&lt;=0,0,IF(DV85&lt;=0,MIN(MAX(0,AB85-SUM(PR85:RU85)),AMV84),MIN(MAX(0,AB85-SUM(PR85:RU85)),AMV84-G85*MAX(0,DV85*AMV84-(YU85+ACH85))))),MIN(HI85,MAX(0,AB85-SUM(PR85:RU85))))</f>
        <v>0</v>
      </c>
      <c r="RW85" s="20" t="n">
        <f aca="false">IF(H_Direct=1,IF(AMW84&lt;=0,0,IF(DW85&lt;=0,MIN(MAX(0,AB85-SUM(PR85:RV85)),AMW84),MIN(MAX(0,AB85-SUM(PR85:RV85)),AMW84-G85*MAX(0,DW85*AMW84-(YV85+ACI85))))),MIN(HJ85,MAX(0,AB85-SUM(PR85:RV85))))</f>
        <v>0</v>
      </c>
      <c r="RX85" s="20" t="n">
        <f aca="false">IF(H_Direct=1,IF(AMX84&lt;=0,0,IF(DX85&lt;=0,MIN(MAX(0,AB85-SUM(PR85:RW85)),AMX84),MIN(MAX(0,AB85-SUM(PR85:RW85)),AMX84-G85*MAX(0,DX85*AMX84-(YW85+ACJ85))))),MIN(HK85,MAX(0,AB85-SUM(PR85:RW85))))</f>
        <v>0</v>
      </c>
      <c r="RY85" s="20" t="n">
        <f aca="false">IF(H_Direct=1,IF(AMY84&lt;=0,0,IF(DY85&lt;=0,MIN(MAX(0,AB85-SUM(PR85:RX85)),AMY84),MIN(MAX(0,AB85-SUM(PR85:RX85)),AMY84-G85*MAX(0,DY85*AMY84-(YX85+ACK85))))),MIN(HL85,MAX(0,AB85-SUM(PR85:RX85))))</f>
        <v>0</v>
      </c>
      <c r="RZ85" s="20" t="n">
        <f aca="false">IF(H_Direct=1,IF(AMZ84&lt;=0,0,IF(DZ85&lt;=0,MIN(MAX(0,AB85-SUM(PR85:RY85)),AMZ84),MIN(MAX(0,AB85-SUM(PR85:RY85)),AMZ84-G85*MAX(0,DZ85*AMZ84-(YY85+ACL85))))),MIN(HM85,MAX(0,AB85-SUM(PR85:RY85))))</f>
        <v>0</v>
      </c>
      <c r="SA85" s="20" t="n">
        <f aca="false">IF(H_Direct=1,IF(ANA84&lt;=0,0,IF(EA85&lt;=0,MIN(MAX(0,AB85-SUM(PR85:RZ85)),ANA84),MIN(MAX(0,AB85-SUM(PR85:RZ85)),ANA84-G85*MAX(0,EA85*ANA84-(YZ85+ACM85))))),MIN(HN85,MAX(0,AB85-SUM(PR85:RZ85))))</f>
        <v>0</v>
      </c>
      <c r="SB85" s="20" t="n">
        <f aca="false">IF(H_Direct=1,IF(ANB84&lt;=0,0,IF(EB85&lt;=0,MIN(MAX(0,AB85-SUM(PR85:SA85)),ANB84),MIN(MAX(0,AB85-SUM(PR85:SA85)),ANB84-G85*MAX(0,EB85*ANB84-(ZA85+ACN85))))),MIN(HO85,MAX(0,AB85-SUM(PR85:SA85))))</f>
        <v>0</v>
      </c>
      <c r="SC85" s="20" t="n">
        <f aca="false">IF(H_Direct=1,IF(ANC84&lt;=0,0,IF(EC85&lt;=0,MIN(MAX(0,AB85-SUM(PR85:SB85)),ANC84),MIN(MAX(0,AB85-SUM(PR85:SB85)),ANC84-G85*MAX(0,EC85*ANC84-(ZB85+ACO85))))),MIN(HP85,MAX(0,AB85-SUM(PR85:SB85))))</f>
        <v>0</v>
      </c>
      <c r="SD85" s="20" t="n">
        <f aca="false">IF(H_Direct=1,IF(AND84&lt;=0,0,IF(ED85&lt;=0,MIN(MAX(0,AB85-SUM(PR85:SC85)),AND84),MIN(MAX(0,AB85-SUM(PR85:SC85)),AND84-G85*MAX(0,ED85*AND84-(ZC85+ACP85))))),MIN(HQ85,MAX(0,AB85-SUM(PR85:SC85))))</f>
        <v>0</v>
      </c>
      <c r="SE85" s="20" t="n">
        <f aca="false">IF(H_Direct=1,IF(ANE84&lt;=0,0,IF(EE85&lt;=0,MIN(MAX(0,AB85-SUM(PR85:SD85)),ANE84),MIN(MAX(0,AB85-SUM(PR85:SD85)),ANE84-G85*MAX(0,EE85*ANE84-(ZD85+ACQ85))))),MIN(HR85,MAX(0,AB85-SUM(PR85:SD85))))</f>
        <v>0</v>
      </c>
      <c r="SF85" s="20" t="n">
        <f aca="false">IF(H_Direct=1,IF(ANF84&lt;=0,0,IF(EF85&lt;=0,MIN(MAX(0,AB85-SUM(PR85:SE85)),ANF84),MIN(MAX(0,AB85-SUM(PR85:SE85)),ANF84-G85*MAX(0,EF85*ANF84-(ZE85+ACR85))))),MIN(HS85,MAX(0,AB85-SUM(PR85:SE85))))</f>
        <v>0</v>
      </c>
      <c r="SG85" s="20" t="n">
        <f aca="false">IF(H_Direct=1,IF(ANG84&lt;=0,0,IF(EG85&lt;=0,MIN(MAX(0,AB85-SUM(PR85:SF85)),ANG84),MIN(MAX(0,AB85-SUM(PR85:SF85)),ANG84-G85*MAX(0,EG85*ANG84-(ZF85+ACS85))))),MIN(HT85,MAX(0,AB85-SUM(PR85:SF85))))</f>
        <v>0</v>
      </c>
      <c r="SH85" s="20" t="n">
        <f aca="false">IF(H_Direct=1,IF(ANH84&lt;=0,0,IF(EH85&lt;=0,MIN(MAX(0,AB85-SUM(PR85:SG85)),ANH84),MIN(MAX(0,AB85-SUM(PR85:SG85)),ANH84-G85*MAX(0,EH85*ANH84-(ZG85+ACT85))))),MIN(HU85,MAX(0,AB85-SUM(PR85:SG85))))</f>
        <v>0</v>
      </c>
      <c r="SI85" s="20" t="n">
        <f aca="false">IF(H_Direct=1,IF(ANI84&lt;=0,0,IF(EI85&lt;=0,MIN(MAX(0,AB85-SUM(PR85:SH85)),ANI84),MIN(MAX(0,AB85-SUM(PR85:SH85)),ANI84-G85*MAX(0,EI85*ANI84-(ZH85+ACU85))))),MIN(HV85,MAX(0,AB85-SUM(PR85:SH85))))</f>
        <v>0</v>
      </c>
      <c r="SJ85" s="20" t="n">
        <f aca="false">IF(H_Direct=1,IF(ANJ84&lt;=0,0,IF(EJ85&lt;=0,MIN(MAX(0,AB85-SUM(PR85:SI85)),ANJ84),MIN(MAX(0,AB85-SUM(PR85:SI85)),ANJ84-G85*MAX(0,EJ85*ANJ84-(ZI85+ACV85))))),MIN(HW85,MAX(0,AB85-SUM(PR85:SI85))))</f>
        <v>0</v>
      </c>
      <c r="SK85" s="20" t="n">
        <f aca="false">IF(H_Direct=1,IF(ANK84&lt;=0,0,IF(EK85&lt;=0,MIN(MAX(0,AB85-SUM(PR85:SJ85)),ANK84),MIN(MAX(0,AB85-SUM(PR85:SJ85)),ANK84-G85*MAX(0,EK85*ANK84-(ZJ85+ACW85))))),MIN(HX85,MAX(0,AB85-SUM(PR85:SJ85))))</f>
        <v>0</v>
      </c>
      <c r="SL85" s="20" t="n">
        <f aca="false">IF(H_Direct=1,IF(ANL84&lt;=0,0,IF(EL85&lt;=0,MIN(MAX(0,AB85-SUM(PR85:SK85)),ANL84),MIN(MAX(0,AB85-SUM(PR85:SK85)),ANL84-G85*MAX(0,EL85*ANL84-(ZK85+ACX85))))),MIN(HY85,MAX(0,AB85-SUM(PR85:SK85))))</f>
        <v>0</v>
      </c>
      <c r="SM85" s="20" t="n">
        <f aca="false">IF(H_Direct=1,IF(ANM84&lt;=0,0,IF(EM85&lt;=0,MIN(MAX(0,AB85-SUM(PR85:SL85)),ANM84),MIN(MAX(0,AB85-SUM(PR85:SL85)),ANM84-G85*MAX(0,EM85*ANM84-(ZL85+ACY85))))),MIN(HZ85,MAX(0,AB85-SUM(PR85:SL85))))</f>
        <v>0</v>
      </c>
      <c r="SN85" s="20" t="n">
        <f aca="false">IF(H_Direct=1,IF(ANN84&lt;=0,0,IF(EN85&lt;=0,MIN(MAX(0,AB85-SUM(PR85:SM85)),ANN84),MIN(MAX(0,AB85-SUM(PR85:SM85)),ANN84-G85*MAX(0,EN85*ANN84-(ZM85+ACZ85))))),MIN(IA85,MAX(0,AB85-SUM(PR85:SM85))))</f>
        <v>0</v>
      </c>
      <c r="SO85" s="20" t="n">
        <f aca="false">IF(H_Direct=1,IF(ANO84&lt;=0,0,IF(EO85&lt;=0,MIN(MAX(0,AB85-SUM(PR85:SN85)),ANO84),MIN(MAX(0,AB85-SUM(PR85:SN85)),ANO84-G85*MAX(0,EO85*ANO84-(ZN85+ADA85))))),MIN(IB85,MAX(0,AB85-SUM(PR85:SN85))))</f>
        <v>0</v>
      </c>
      <c r="SP85" s="20" t="n">
        <f aca="false">IF(H_Direct=1,IF(ANP84&lt;=0,0,IF(EP85&lt;=0,MIN(MAX(0,AB85-SUM(PR85:SO85)),ANP84),MIN(MAX(0,AB85-SUM(PR85:SO85)),ANP84-G85*MAX(0,EP85*ANP84-(ZO85+ADB85))))),MIN(IC85,MAX(0,AB85-SUM(PR85:SO85))))</f>
        <v>0</v>
      </c>
      <c r="SQ85" s="20" t="n">
        <f aca="false">IF(H_Direct=1,IF(ANQ84&lt;=0,0,IF(EQ85&lt;=0,MIN(MAX(0,AB85-SUM(PR85:SP85)),ANQ84),MIN(MAX(0,AB85-SUM(PR85:SP85)),ANQ84-G85*MAX(0,EQ85*ANQ84-(ZP85+ADC85))))),MIN(ID85,MAX(0,AB85-SUM(PR85:SP85))))</f>
        <v>0</v>
      </c>
      <c r="SR85" s="20" t="n">
        <f aca="false">IF(H_Direct=1,IF((P85+S85)&lt;=0,0,IF(ER85&lt;=0,MIN(MAX(0,AB85-SUM(PR85:SQ85)),(P85+S85)),MIN(MAX(0,AB85-SUM(PR85:SQ85)),(P85+S85)-G85*MAX(0,ER85*(P85+S85)-(ZQ85+ADD85))))),MIN(IE85,MAX(0,AB85-SUM(PR85:SQ85))))</f>
        <v>0</v>
      </c>
      <c r="SS85" s="20" t="n">
        <v>0</v>
      </c>
      <c r="ST85" s="20" t="n">
        <v>0</v>
      </c>
      <c r="SU85" s="20" t="n">
        <v>0</v>
      </c>
      <c r="SV85" s="20" t="n">
        <v>0</v>
      </c>
      <c r="SW85" s="20" t="n">
        <v>0</v>
      </c>
      <c r="SX85" s="20" t="n">
        <v>0</v>
      </c>
      <c r="SY85" s="20" t="n">
        <v>0</v>
      </c>
      <c r="SZ85" s="20" t="n">
        <v>0</v>
      </c>
      <c r="TA85" s="20" t="n">
        <v>0</v>
      </c>
      <c r="TB85" s="20" t="n">
        <v>0</v>
      </c>
      <c r="TC85" s="20" t="n">
        <v>0</v>
      </c>
      <c r="TD85" s="20" t="n">
        <v>0</v>
      </c>
      <c r="TE85" s="20" t="n">
        <f aca="false">IF(AKR84&lt;=0,0,IF(H_Direct=1,IF(BR85&lt;=0,PR85,IF(PR85&lt;=(H85+I85)/BR85,PR85,(PR85-G85*(H85+I85))/(1-G85*BR85))),PR85/(1-MAX(0,BR85)*H_Exit)))</f>
        <v>0</v>
      </c>
      <c r="TF85" s="20" t="n">
        <f aca="false">IF(AKS84&lt;=0,0,IF(H_Direct=1,IF(BS85&lt;=0,PS85,IF(PS85&lt;=(WR85+AAE85)/BS85,PS85,(PS85-G85*(WR85+AAE85))/(1-G85*BS85))),PS85/(1-MAX(0,BS85)*H_Exit)))</f>
        <v>0</v>
      </c>
      <c r="TG85" s="20" t="n">
        <f aca="false">IF(AKT84&lt;=0,0,IF(H_Direct=1,IF(BT85&lt;=0,PT85,IF(PT85&lt;=(WS85+AAF85)/BT85,PT85,(PT85-G85*(WS85+AAF85))/(1-G85*BT85))),PT85/(1-MAX(0,BT85)*H_Exit)))</f>
        <v>0</v>
      </c>
      <c r="TH85" s="20" t="n">
        <f aca="false">IF(AKU84&lt;=0,0,IF(H_Direct=1,IF(BU85&lt;=0,PU85,IF(PU85&lt;=(WT85+AAG85)/BU85,PU85,(PU85-G85*(WT85+AAG85))/(1-G85*BU85))),PU85/(1-MAX(0,BU85)*H_Exit)))</f>
        <v>0</v>
      </c>
      <c r="TI85" s="20" t="n">
        <f aca="false">IF(AKV84&lt;=0,0,IF(H_Direct=1,IF(BV85&lt;=0,PV85,IF(PV85&lt;=(WU85+AAH85)/BV85,PV85,(PV85-G85*(WU85+AAH85))/(1-G85*BV85))),PV85/(1-MAX(0,BV85)*H_Exit)))</f>
        <v>0</v>
      </c>
      <c r="TJ85" s="20" t="n">
        <f aca="false">IF(AKW84&lt;=0,0,IF(H_Direct=1,IF(BW85&lt;=0,PW85,IF(PW85&lt;=(WV85+AAI85)/BW85,PW85,(PW85-G85*(WV85+AAI85))/(1-G85*BW85))),PW85/(1-MAX(0,BW85)*H_Exit)))</f>
        <v>0</v>
      </c>
      <c r="TK85" s="20" t="n">
        <f aca="false">IF(AKX84&lt;=0,0,IF(H_Direct=1,IF(BX85&lt;=0,PX85,IF(PX85&lt;=(WW85+AAJ85)/BX85,PX85,(PX85-G85*(WW85+AAJ85))/(1-G85*BX85))),PX85/(1-MAX(0,BX85)*H_Exit)))</f>
        <v>0</v>
      </c>
      <c r="TL85" s="20" t="n">
        <f aca="false">IF(AKY84&lt;=0,0,IF(H_Direct=1,IF(BY85&lt;=0,PY85,IF(PY85&lt;=(WX85+AAK85)/BY85,PY85,(PY85-G85*(WX85+AAK85))/(1-G85*BY85))),PY85/(1-MAX(0,BY85)*H_Exit)))</f>
        <v>0</v>
      </c>
      <c r="TM85" s="20" t="n">
        <f aca="false">IF(AKZ84&lt;=0,0,IF(H_Direct=1,IF(BZ85&lt;=0,PZ85,IF(PZ85&lt;=(WY85+AAL85)/BZ85,PZ85,(PZ85-G85*(WY85+AAL85))/(1-G85*BZ85))),PZ85/(1-MAX(0,BZ85)*H_Exit)))</f>
        <v>0</v>
      </c>
      <c r="TN85" s="20" t="n">
        <f aca="false">IF(ALA84&lt;=0,0,IF(H_Direct=1,IF(CA85&lt;=0,QA85,IF(QA85&lt;=(WZ85+AAM85)/CA85,QA85,(QA85-G85*(WZ85+AAM85))/(1-G85*CA85))),QA85/(1-MAX(0,CA85)*H_Exit)))</f>
        <v>0</v>
      </c>
      <c r="TO85" s="20" t="n">
        <f aca="false">IF(ALB84&lt;=0,0,IF(H_Direct=1,IF(CB85&lt;=0,QB85,IF(QB85&lt;=(XA85+AAN85)/CB85,QB85,(QB85-G85*(XA85+AAN85))/(1-G85*CB85))),QB85/(1-MAX(0,CB85)*H_Exit)))</f>
        <v>0</v>
      </c>
      <c r="TP85" s="20" t="n">
        <f aca="false">IF(ALC84&lt;=0,0,IF(H_Direct=1,IF(CC85&lt;=0,QC85,IF(QC85&lt;=(XB85+AAO85)/CC85,QC85,(QC85-G85*(XB85+AAO85))/(1-G85*CC85))),QC85/(1-MAX(0,CC85)*H_Exit)))</f>
        <v>0</v>
      </c>
      <c r="TQ85" s="20" t="n">
        <f aca="false">IF(ALD84&lt;=0,0,IF(H_Direct=1,IF(CD85&lt;=0,QD85,IF(QD85&lt;=(XC85+AAP85)/CD85,QD85,(QD85-G85*(XC85+AAP85))/(1-G85*CD85))),QD85/(1-MAX(0,CD85)*H_Exit)))</f>
        <v>0</v>
      </c>
      <c r="TR85" s="20" t="n">
        <f aca="false">IF(ALE84&lt;=0,0,IF(H_Direct=1,IF(CE85&lt;=0,QE85,IF(QE85&lt;=(XD85+AAQ85)/CE85,QE85,(QE85-G85*(XD85+AAQ85))/(1-G85*CE85))),QE85/(1-MAX(0,CE85)*H_Exit)))</f>
        <v>0</v>
      </c>
      <c r="TS85" s="20" t="n">
        <f aca="false">IF(ALF84&lt;=0,0,IF(H_Direct=1,IF(CF85&lt;=0,QF85,IF(QF85&lt;=(XE85+AAR85)/CF85,QF85,(QF85-G85*(XE85+AAR85))/(1-G85*CF85))),QF85/(1-MAX(0,CF85)*H_Exit)))</f>
        <v>0</v>
      </c>
      <c r="TT85" s="20" t="n">
        <f aca="false">IF(ALG84&lt;=0,0,IF(H_Direct=1,IF(CG85&lt;=0,QG85,IF(QG85&lt;=(XF85+AAS85)/CG85,QG85,(QG85-G85*(XF85+AAS85))/(1-G85*CG85))),QG85/(1-MAX(0,CG85)*H_Exit)))</f>
        <v>0</v>
      </c>
      <c r="TU85" s="20" t="n">
        <f aca="false">IF(ALH84&lt;=0,0,IF(H_Direct=1,IF(CH85&lt;=0,QH85,IF(QH85&lt;=(XG85+AAT85)/CH85,QH85,(QH85-G85*(XG85+AAT85))/(1-G85*CH85))),QH85/(1-MAX(0,CH85)*H_Exit)))</f>
        <v>0</v>
      </c>
      <c r="TV85" s="20" t="n">
        <f aca="false">IF(ALI84&lt;=0,0,IF(H_Direct=1,IF(CI85&lt;=0,QI85,IF(QI85&lt;=(XH85+AAU85)/CI85,QI85,(QI85-G85*(XH85+AAU85))/(1-G85*CI85))),QI85/(1-MAX(0,CI85)*H_Exit)))</f>
        <v>0</v>
      </c>
      <c r="TW85" s="20" t="n">
        <f aca="false">IF(ALJ84&lt;=0,0,IF(H_Direct=1,IF(CJ85&lt;=0,QJ85,IF(QJ85&lt;=(XI85+AAV85)/CJ85,QJ85,(QJ85-G85*(XI85+AAV85))/(1-G85*CJ85))),QJ85/(1-MAX(0,CJ85)*H_Exit)))</f>
        <v>0</v>
      </c>
      <c r="TX85" s="20" t="n">
        <f aca="false">IF(ALK84&lt;=0,0,IF(H_Direct=1,IF(CK85&lt;=0,QK85,IF(QK85&lt;=(XJ85+AAW85)/CK85,QK85,(QK85-G85*(XJ85+AAW85))/(1-G85*CK85))),QK85/(1-MAX(0,CK85)*H_Exit)))</f>
        <v>0</v>
      </c>
      <c r="TY85" s="20" t="n">
        <f aca="false">IF(ALL84&lt;=0,0,IF(H_Direct=1,IF(CL85&lt;=0,QL85,IF(QL85&lt;=(XK85+AAX85)/CL85,QL85,(QL85-G85*(XK85+AAX85))/(1-G85*CL85))),QL85/(1-MAX(0,CL85)*H_Exit)))</f>
        <v>0</v>
      </c>
      <c r="TZ85" s="20" t="n">
        <f aca="false">IF(ALM84&lt;=0,0,IF(H_Direct=1,IF(CM85&lt;=0,QM85,IF(QM85&lt;=(XL85+AAY85)/CM85,QM85,(QM85-G85*(XL85+AAY85))/(1-G85*CM85))),QM85/(1-MAX(0,CM85)*H_Exit)))</f>
        <v>0</v>
      </c>
      <c r="UA85" s="20" t="n">
        <f aca="false">IF(ALN84&lt;=0,0,IF(H_Direct=1,IF(CN85&lt;=0,QN85,IF(QN85&lt;=(XM85+AAZ85)/CN85,QN85,(QN85-G85*(XM85+AAZ85))/(1-G85*CN85))),QN85/(1-MAX(0,CN85)*H_Exit)))</f>
        <v>0</v>
      </c>
      <c r="UB85" s="20" t="n">
        <f aca="false">IF(ALO84&lt;=0,0,IF(H_Direct=1,IF(CO85&lt;=0,QO85,IF(QO85&lt;=(XN85+ABA85)/CO85,QO85,(QO85-G85*(XN85+ABA85))/(1-G85*CO85))),QO85/(1-MAX(0,CO85)*H_Exit)))</f>
        <v>0</v>
      </c>
      <c r="UC85" s="20" t="n">
        <f aca="false">IF(ALP84&lt;=0,0,IF(H_Direct=1,IF(CP85&lt;=0,QP85,IF(QP85&lt;=(XO85+ABB85)/CP85,QP85,(QP85-G85*(XO85+ABB85))/(1-G85*CP85))),QP85/(1-MAX(0,CP85)*H_Exit)))</f>
        <v>0</v>
      </c>
      <c r="UD85" s="20" t="n">
        <f aca="false">IF(ALQ84&lt;=0,0,IF(H_Direct=1,IF(CQ85&lt;=0,QQ85,IF(QQ85&lt;=(XP85+ABC85)/CQ85,QQ85,(QQ85-G85*(XP85+ABC85))/(1-G85*CQ85))),QQ85/(1-MAX(0,CQ85)*H_Exit)))</f>
        <v>0</v>
      </c>
      <c r="UE85" s="20" t="n">
        <f aca="false">IF(ALR84&lt;=0,0,IF(H_Direct=1,IF(CR85&lt;=0,QR85,IF(QR85&lt;=(XQ85+ABD85)/CR85,QR85,(QR85-G85*(XQ85+ABD85))/(1-G85*CR85))),QR85/(1-MAX(0,CR85)*H_Exit)))</f>
        <v>0</v>
      </c>
      <c r="UF85" s="20" t="n">
        <f aca="false">IF(ALS84&lt;=0,0,IF(H_Direct=1,IF(CS85&lt;=0,QS85,IF(QS85&lt;=(XR85+ABE85)/CS85,QS85,(QS85-G85*(XR85+ABE85))/(1-G85*CS85))),QS85/(1-MAX(0,CS85)*H_Exit)))</f>
        <v>0</v>
      </c>
      <c r="UG85" s="20" t="n">
        <f aca="false">IF(ALT84&lt;=0,0,IF(H_Direct=1,IF(CT85&lt;=0,QT85,IF(QT85&lt;=(XS85+ABF85)/CT85,QT85,(QT85-G85*(XS85+ABF85))/(1-G85*CT85))),QT85/(1-MAX(0,CT85)*H_Exit)))</f>
        <v>0</v>
      </c>
      <c r="UH85" s="20" t="n">
        <f aca="false">IF(ALU84&lt;=0,0,IF(H_Direct=1,IF(CU85&lt;=0,QU85,IF(QU85&lt;=(XT85+ABG85)/CU85,QU85,(QU85-G85*(XT85+ABG85))/(1-G85*CU85))),QU85/(1-MAX(0,CU85)*H_Exit)))</f>
        <v>0</v>
      </c>
      <c r="UI85" s="20" t="n">
        <f aca="false">IF(ALV84&lt;=0,0,IF(H_Direct=1,IF(CV85&lt;=0,QV85,IF(QV85&lt;=(XU85+ABH85)/CV85,QV85,(QV85-G85*(XU85+ABH85))/(1-G85*CV85))),QV85/(1-MAX(0,CV85)*H_Exit)))</f>
        <v>0</v>
      </c>
      <c r="UJ85" s="20" t="n">
        <f aca="false">IF(ALW84&lt;=0,0,IF(H_Direct=1,IF(CW85&lt;=0,QW85,IF(QW85&lt;=(XV85+ABI85)/CW85,QW85,(QW85-G85*(XV85+ABI85))/(1-G85*CW85))),QW85/(1-MAX(0,CW85)*H_Exit)))</f>
        <v>0</v>
      </c>
      <c r="UK85" s="20" t="n">
        <f aca="false">IF(ALX84&lt;=0,0,IF(H_Direct=1,IF(CX85&lt;=0,QX85,IF(QX85&lt;=(XW85+ABJ85)/CX85,QX85,(QX85-G85*(XW85+ABJ85))/(1-G85*CX85))),QX85/(1-MAX(0,CX85)*H_Exit)))</f>
        <v>0</v>
      </c>
      <c r="UL85" s="20" t="n">
        <f aca="false">IF(ALY84&lt;=0,0,IF(H_Direct=1,IF(CY85&lt;=0,QY85,IF(QY85&lt;=(XX85+ABK85)/CY85,QY85,(QY85-G85*(XX85+ABK85))/(1-G85*CY85))),QY85/(1-MAX(0,CY85)*H_Exit)))</f>
        <v>0</v>
      </c>
      <c r="UM85" s="20" t="n">
        <f aca="false">IF(ALZ84&lt;=0,0,IF(H_Direct=1,IF(CZ85&lt;=0,QZ85,IF(QZ85&lt;=(XY85+ABL85)/CZ85,QZ85,(QZ85-G85*(XY85+ABL85))/(1-G85*CZ85))),QZ85/(1-MAX(0,CZ85)*H_Exit)))</f>
        <v>0</v>
      </c>
      <c r="UN85" s="20" t="n">
        <f aca="false">IF(AMA84&lt;=0,0,IF(H_Direct=1,IF(DA85&lt;=0,RA85,IF(RA85&lt;=(XZ85+ABM85)/DA85,RA85,(RA85-G85*(XZ85+ABM85))/(1-G85*DA85))),RA85/(1-MAX(0,DA85)*H_Exit)))</f>
        <v>0</v>
      </c>
      <c r="UO85" s="20" t="n">
        <f aca="false">IF(AMB84&lt;=0,0,IF(H_Direct=1,IF(DB85&lt;=0,RB85,IF(RB85&lt;=(YA85+ABN85)/DB85,RB85,(RB85-G85*(YA85+ABN85))/(1-G85*DB85))),RB85/(1-MAX(0,DB85)*H_Exit)))</f>
        <v>0</v>
      </c>
      <c r="UP85" s="20" t="n">
        <f aca="false">IF(AMC84&lt;=0,0,IF(H_Direct=1,IF(DC85&lt;=0,RC85,IF(RC85&lt;=(YB85+ABO85)/DC85,RC85,(RC85-G85*(YB85+ABO85))/(1-G85*DC85))),RC85/(1-MAX(0,DC85)*H_Exit)))</f>
        <v>0</v>
      </c>
      <c r="UQ85" s="20" t="n">
        <f aca="false">IF(AMD84&lt;=0,0,IF(H_Direct=1,IF(DD85&lt;=0,RD85,IF(RD85&lt;=(YC85+ABP85)/DD85,RD85,(RD85-G85*(YC85+ABP85))/(1-G85*DD85))),RD85/(1-MAX(0,DD85)*H_Exit)))</f>
        <v>0</v>
      </c>
      <c r="UR85" s="20" t="n">
        <f aca="false">IF(AME84&lt;=0,0,IF(H_Direct=1,IF(DE85&lt;=0,RE85,IF(RE85&lt;=(YD85+ABQ85)/DE85,RE85,(RE85-G85*(YD85+ABQ85))/(1-G85*DE85))),RE85/(1-MAX(0,DE85)*H_Exit)))</f>
        <v>0</v>
      </c>
      <c r="US85" s="20" t="n">
        <f aca="false">IF(AMF84&lt;=0,0,IF(H_Direct=1,IF(DF85&lt;=0,RF85,IF(RF85&lt;=(YE85+ABR85)/DF85,RF85,(RF85-G85*(YE85+ABR85))/(1-G85*DF85))),RF85/(1-MAX(0,DF85)*H_Exit)))</f>
        <v>0</v>
      </c>
      <c r="UT85" s="20" t="n">
        <f aca="false">IF(AMG84&lt;=0,0,IF(H_Direct=1,IF(DG85&lt;=0,RG85,IF(RG85&lt;=(YF85+ABS85)/DG85,RG85,(RG85-G85*(YF85+ABS85))/(1-G85*DG85))),RG85/(1-MAX(0,DG85)*H_Exit)))</f>
        <v>0</v>
      </c>
      <c r="UU85" s="20" t="n">
        <f aca="false">IF(AMH84&lt;=0,0,IF(H_Direct=1,IF(DH85&lt;=0,RH85,IF(RH85&lt;=(YG85+ABT85)/DH85,RH85,(RH85-G85*(YG85+ABT85))/(1-G85*DH85))),RH85/(1-MAX(0,DH85)*H_Exit)))</f>
        <v>0</v>
      </c>
      <c r="UV85" s="20" t="n">
        <f aca="false">IF(AMI84&lt;=0,0,IF(H_Direct=1,IF(DI85&lt;=0,RI85,IF(RI85&lt;=(YH85+ABU85)/DI85,RI85,(RI85-G85*(YH85+ABU85))/(1-G85*DI85))),RI85/(1-MAX(0,DI85)*H_Exit)))</f>
        <v>0</v>
      </c>
      <c r="UW85" s="20" t="n">
        <f aca="false">IF(AMJ84&lt;=0,0,IF(H_Direct=1,IF(DJ85&lt;=0,RJ85,IF(RJ85&lt;=(YI85+ABV85)/DJ85,RJ85,(RJ85-G85*(YI85+ABV85))/(1-G85*DJ85))),RJ85/(1-MAX(0,DJ85)*H_Exit)))</f>
        <v>0</v>
      </c>
      <c r="UX85" s="20" t="n">
        <f aca="false">IF(AMK84&lt;=0,0,IF(H_Direct=1,IF(DK85&lt;=0,RK85,IF(RK85&lt;=(YJ85+ABW85)/DK85,RK85,(RK85-G85*(YJ85+ABW85))/(1-G85*DK85))),RK85/(1-MAX(0,DK85)*H_Exit)))</f>
        <v>0</v>
      </c>
      <c r="UY85" s="20" t="n">
        <f aca="false">IF(AML84&lt;=0,0,IF(H_Direct=1,IF(DL85&lt;=0,RL85,IF(RL85&lt;=(YK85+ABX85)/DL85,RL85,(RL85-G85*(YK85+ABX85))/(1-G85*DL85))),RL85/(1-MAX(0,DL85)*H_Exit)))</f>
        <v>0</v>
      </c>
      <c r="UZ85" s="20" t="n">
        <f aca="false">IF(AMM84&lt;=0,0,IF(H_Direct=1,IF(DM85&lt;=0,RM85,IF(RM85&lt;=(YL85+ABY85)/DM85,RM85,(RM85-G85*(YL85+ABY85))/(1-G85*DM85))),RM85/(1-MAX(0,DM85)*H_Exit)))</f>
        <v>0</v>
      </c>
      <c r="VA85" s="20" t="n">
        <f aca="false">IF(AMN84&lt;=0,0,IF(H_Direct=1,IF(DN85&lt;=0,RN85,IF(RN85&lt;=(YM85+ABZ85)/DN85,RN85,(RN85-G85*(YM85+ABZ85))/(1-G85*DN85))),RN85/(1-MAX(0,DN85)*H_Exit)))</f>
        <v>0</v>
      </c>
      <c r="VB85" s="20" t="n">
        <f aca="false">IF(AMO84&lt;=0,0,IF(H_Direct=1,IF(DO85&lt;=0,RO85,IF(RO85&lt;=(YN85+ACA85)/DO85,RO85,(RO85-G85*(YN85+ACA85))/(1-G85*DO85))),RO85/(1-MAX(0,DO85)*H_Exit)))</f>
        <v>0</v>
      </c>
      <c r="VC85" s="20" t="n">
        <f aca="false">IF(AMP84&lt;=0,0,IF(H_Direct=1,IF(DP85&lt;=0,RP85,IF(RP85&lt;=(YO85+ACB85)/DP85,RP85,(RP85-G85*(YO85+ACB85))/(1-G85*DP85))),RP85/(1-MAX(0,DP85)*H_Exit)))</f>
        <v>0</v>
      </c>
      <c r="VD85" s="20" t="n">
        <f aca="false">IF(AMQ84&lt;=0,0,IF(H_Direct=1,IF(DQ85&lt;=0,RQ85,IF(RQ85&lt;=(YP85+ACC85)/DQ85,RQ85,(RQ85-G85*(YP85+ACC85))/(1-G85*DQ85))),RQ85/(1-MAX(0,DQ85)*H_Exit)))</f>
        <v>0</v>
      </c>
      <c r="VE85" s="20" t="n">
        <f aca="false">IF(AMR84&lt;=0,0,IF(H_Direct=1,IF(DR85&lt;=0,RR85,IF(RR85&lt;=(YQ85+ACD85)/DR85,RR85,(RR85-G85*(YQ85+ACD85))/(1-G85*DR85))),RR85/(1-MAX(0,DR85)*H_Exit)))</f>
        <v>0</v>
      </c>
      <c r="VF85" s="20" t="n">
        <f aca="false">IF(AMS84&lt;=0,0,IF(H_Direct=1,IF(DS85&lt;=0,RS85,IF(RS85&lt;=(YR85+ACE85)/DS85,RS85,(RS85-G85*(YR85+ACE85))/(1-G85*DS85))),RS85/(1-MAX(0,DS85)*H_Exit)))</f>
        <v>0</v>
      </c>
      <c r="VG85" s="20" t="n">
        <f aca="false">IF(AMT84&lt;=0,0,IF(H_Direct=1,IF(DT85&lt;=0,RT85,IF(RT85&lt;=(YS85+ACF85)/DT85,RT85,(RT85-G85*(YS85+ACF85))/(1-G85*DT85))),RT85/(1-MAX(0,DT85)*H_Exit)))</f>
        <v>0</v>
      </c>
      <c r="VH85" s="20" t="n">
        <f aca="false">IF(AMU84&lt;=0,0,IF(H_Direct=1,IF(DU85&lt;=0,RU85,IF(RU85&lt;=(YT85+ACG85)/DU85,RU85,(RU85-G85*(YT85+ACG85))/(1-G85*DU85))),RU85/(1-MAX(0,DU85)*H_Exit)))</f>
        <v>0</v>
      </c>
      <c r="VI85" s="20" t="n">
        <f aca="false">IF(AMV84&lt;=0,0,IF(H_Direct=1,IF(DV85&lt;=0,RV85,IF(RV85&lt;=(YU85+ACH85)/DV85,RV85,(RV85-G85*(YU85+ACH85))/(1-G85*DV85))),RV85/(1-MAX(0,DV85)*H_Exit)))</f>
        <v>0</v>
      </c>
      <c r="VJ85" s="20" t="n">
        <f aca="false">IF(AMW84&lt;=0,0,IF(H_Direct=1,IF(DW85&lt;=0,RW85,IF(RW85&lt;=(YV85+ACI85)/DW85,RW85,(RW85-G85*(YV85+ACI85))/(1-G85*DW85))),RW85/(1-MAX(0,DW85)*H_Exit)))</f>
        <v>0</v>
      </c>
      <c r="VK85" s="20" t="n">
        <f aca="false">IF(AMX84&lt;=0,0,IF(H_Direct=1,IF(DX85&lt;=0,RX85,IF(RX85&lt;=(YW85+ACJ85)/DX85,RX85,(RX85-G85*(YW85+ACJ85))/(1-G85*DX85))),RX85/(1-MAX(0,DX85)*H_Exit)))</f>
        <v>0</v>
      </c>
      <c r="VL85" s="20" t="n">
        <f aca="false">IF(AMY84&lt;=0,0,IF(H_Direct=1,IF(DY85&lt;=0,RY85,IF(RY85&lt;=(YX85+ACK85)/DY85,RY85,(RY85-G85*(YX85+ACK85))/(1-G85*DY85))),RY85/(1-MAX(0,DY85)*H_Exit)))</f>
        <v>0</v>
      </c>
      <c r="VM85" s="20" t="n">
        <f aca="false">IF(AMZ84&lt;=0,0,IF(H_Direct=1,IF(DZ85&lt;=0,RZ85,IF(RZ85&lt;=(YY85+ACL85)/DZ85,RZ85,(RZ85-G85*(YY85+ACL85))/(1-G85*DZ85))),RZ85/(1-MAX(0,DZ85)*H_Exit)))</f>
        <v>0</v>
      </c>
      <c r="VN85" s="20" t="n">
        <f aca="false">IF(ANA84&lt;=0,0,IF(H_Direct=1,IF(EA85&lt;=0,SA85,IF(SA85&lt;=(YZ85+ACM85)/EA85,SA85,(SA85-G85*(YZ85+ACM85))/(1-G85*EA85))),SA85/(1-MAX(0,EA85)*H_Exit)))</f>
        <v>0</v>
      </c>
      <c r="VO85" s="20" t="n">
        <f aca="false">IF(ANB84&lt;=0,0,IF(H_Direct=1,IF(EB85&lt;=0,SB85,IF(SB85&lt;=(ZA85+ACN85)/EB85,SB85,(SB85-G85*(ZA85+ACN85))/(1-G85*EB85))),SB85/(1-MAX(0,EB85)*H_Exit)))</f>
        <v>0</v>
      </c>
      <c r="VP85" s="20" t="n">
        <f aca="false">IF(ANC84&lt;=0,0,IF(H_Direct=1,IF(EC85&lt;=0,SC85,IF(SC85&lt;=(ZB85+ACO85)/EC85,SC85,(SC85-G85*(ZB85+ACO85))/(1-G85*EC85))),SC85/(1-MAX(0,EC85)*H_Exit)))</f>
        <v>0</v>
      </c>
      <c r="VQ85" s="20" t="n">
        <f aca="false">IF(AND84&lt;=0,0,IF(H_Direct=1,IF(ED85&lt;=0,SD85,IF(SD85&lt;=(ZC85+ACP85)/ED85,SD85,(SD85-G85*(ZC85+ACP85))/(1-G85*ED85))),SD85/(1-MAX(0,ED85)*H_Exit)))</f>
        <v>0</v>
      </c>
      <c r="VR85" s="20" t="n">
        <f aca="false">IF(ANE84&lt;=0,0,IF(H_Direct=1,IF(EE85&lt;=0,SE85,IF(SE85&lt;=(ZD85+ACQ85)/EE85,SE85,(SE85-G85*(ZD85+ACQ85))/(1-G85*EE85))),SE85/(1-MAX(0,EE85)*H_Exit)))</f>
        <v>0</v>
      </c>
      <c r="VS85" s="20" t="n">
        <f aca="false">IF(ANF84&lt;=0,0,IF(H_Direct=1,IF(EF85&lt;=0,SF85,IF(SF85&lt;=(ZE85+ACR85)/EF85,SF85,(SF85-G85*(ZE85+ACR85))/(1-G85*EF85))),SF85/(1-MAX(0,EF85)*H_Exit)))</f>
        <v>0</v>
      </c>
      <c r="VT85" s="20" t="n">
        <f aca="false">IF(ANG84&lt;=0,0,IF(H_Direct=1,IF(EG85&lt;=0,SG85,IF(SG85&lt;=(ZF85+ACS85)/EG85,SG85,(SG85-G85*(ZF85+ACS85))/(1-G85*EG85))),SG85/(1-MAX(0,EG85)*H_Exit)))</f>
        <v>0</v>
      </c>
      <c r="VU85" s="20" t="n">
        <f aca="false">IF(ANH84&lt;=0,0,IF(H_Direct=1,IF(EH85&lt;=0,SH85,IF(SH85&lt;=(ZG85+ACT85)/EH85,SH85,(SH85-G85*(ZG85+ACT85))/(1-G85*EH85))),SH85/(1-MAX(0,EH85)*H_Exit)))</f>
        <v>0</v>
      </c>
      <c r="VV85" s="20" t="n">
        <f aca="false">IF(ANI84&lt;=0,0,IF(H_Direct=1,IF(EI85&lt;=0,SI85,IF(SI85&lt;=(ZH85+ACU85)/EI85,SI85,(SI85-G85*(ZH85+ACU85))/(1-G85*EI85))),SI85/(1-MAX(0,EI85)*H_Exit)))</f>
        <v>0</v>
      </c>
      <c r="VW85" s="20" t="n">
        <f aca="false">IF(ANJ84&lt;=0,0,IF(H_Direct=1,IF(EJ85&lt;=0,SJ85,IF(SJ85&lt;=(ZI85+ACV85)/EJ85,SJ85,(SJ85-G85*(ZI85+ACV85))/(1-G85*EJ85))),SJ85/(1-MAX(0,EJ85)*H_Exit)))</f>
        <v>0</v>
      </c>
      <c r="VX85" s="20" t="n">
        <f aca="false">IF(ANK84&lt;=0,0,IF(H_Direct=1,IF(EK85&lt;=0,SK85,IF(SK85&lt;=(ZJ85+ACW85)/EK85,SK85,(SK85-G85*(ZJ85+ACW85))/(1-G85*EK85))),SK85/(1-MAX(0,EK85)*H_Exit)))</f>
        <v>0</v>
      </c>
      <c r="VY85" s="20" t="n">
        <f aca="false">IF(ANL84&lt;=0,0,IF(H_Direct=1,IF(EL85&lt;=0,SL85,IF(SL85&lt;=(ZK85+ACX85)/EL85,SL85,(SL85-G85*(ZK85+ACX85))/(1-G85*EL85))),SL85/(1-MAX(0,EL85)*H_Exit)))</f>
        <v>0</v>
      </c>
      <c r="VZ85" s="20" t="n">
        <f aca="false">IF(ANM84&lt;=0,0,IF(H_Direct=1,IF(EM85&lt;=0,SM85,IF(SM85&lt;=(ZL85+ACY85)/EM85,SM85,(SM85-G85*(ZL85+ACY85))/(1-G85*EM85))),SM85/(1-MAX(0,EM85)*H_Exit)))</f>
        <v>0</v>
      </c>
      <c r="WA85" s="20" t="n">
        <f aca="false">IF(ANN84&lt;=0,0,IF(H_Direct=1,IF(EN85&lt;=0,SN85,IF(SN85&lt;=(ZM85+ACZ85)/EN85,SN85,(SN85-G85*(ZM85+ACZ85))/(1-G85*EN85))),SN85/(1-MAX(0,EN85)*H_Exit)))</f>
        <v>0</v>
      </c>
      <c r="WB85" s="20" t="n">
        <f aca="false">IF(ANO84&lt;=0,0,IF(H_Direct=1,IF(EO85&lt;=0,SO85,IF(SO85&lt;=(ZN85+ADA85)/EO85,SO85,(SO85-G85*(ZN85+ADA85))/(1-G85*EO85))),SO85/(1-MAX(0,EO85)*H_Exit)))</f>
        <v>0</v>
      </c>
      <c r="WC85" s="20" t="n">
        <f aca="false">IF(ANP84&lt;=0,0,IF(H_Direct=1,IF(EP85&lt;=0,SP85,IF(SP85&lt;=(ZO85+ADB85)/EP85,SP85,(SP85-G85*(ZO85+ADB85))/(1-G85*EP85))),SP85/(1-MAX(0,EP85)*H_Exit)))</f>
        <v>0</v>
      </c>
      <c r="WD85" s="20" t="n">
        <f aca="false">IF(ANQ84&lt;=0,0,IF(H_Direct=1,IF(EQ85&lt;=0,SQ85,IF(SQ85&lt;=(ZP85+ADC85)/EQ85,SQ85,(SQ85-G85*(ZP85+ADC85))/(1-G85*EQ85))),SQ85/(1-MAX(0,EQ85)*H_Exit)))</f>
        <v>0</v>
      </c>
      <c r="WE85" s="20" t="n">
        <f aca="false">IF((P85+S85)&lt;=0,0,IF(H_Direct=1,IF(ER85&lt;=0,SR85,IF(SR85&lt;=(ZQ85+ADD85)/ER85,SR85,(SR85-G85*(ZQ85+ADD85))/(1-G85*ER85))),SR85/(1-MAX(0,ER85)*H_Exit)))</f>
        <v>0</v>
      </c>
      <c r="WF85" s="20" t="n">
        <v>0</v>
      </c>
      <c r="WG85" s="20" t="n">
        <v>0</v>
      </c>
      <c r="WH85" s="20" t="n">
        <v>0</v>
      </c>
      <c r="WI85" s="20" t="n">
        <v>0</v>
      </c>
      <c r="WJ85" s="20" t="n">
        <v>0</v>
      </c>
      <c r="WK85" s="20" t="n">
        <v>0</v>
      </c>
      <c r="WL85" s="20" t="n">
        <v>0</v>
      </c>
      <c r="WM85" s="20" t="n">
        <v>0</v>
      </c>
      <c r="WN85" s="20" t="n">
        <v>0</v>
      </c>
      <c r="WO85" s="20" t="n">
        <v>0</v>
      </c>
      <c r="WP85" s="20" t="n">
        <v>0</v>
      </c>
      <c r="WQ85" s="20" t="n">
        <v>0</v>
      </c>
      <c r="WR85" s="20" t="n">
        <f aca="false">IF(AND(H_Direct=1,BR85&gt;0),MAX(0,H85-(MIN(BR85*TE85,(H85+I85))-MIN(MIN(BR85*TE85,(H85+I85)),I85))),H85)</f>
        <v>1270</v>
      </c>
      <c r="WS85" s="20" t="n">
        <f aca="false">IF(AND(H_Direct=1,BS85&gt;0),MAX(0,WR85-(MIN(BS85*TF85,(WR85+AAE85))-MIN(MIN(BS85*TF85,(WR85+AAE85)),AAE85))),WR85)</f>
        <v>1270</v>
      </c>
      <c r="WT85" s="20" t="n">
        <f aca="false">IF(AND(H_Direct=1,BT85&gt;0),MAX(0,WS85-(MIN(BT85*TG85,(WS85+AAF85))-MIN(MIN(BT85*TG85,(WS85+AAF85)),AAF85))),WS85)</f>
        <v>1270</v>
      </c>
      <c r="WU85" s="20" t="n">
        <f aca="false">IF(AND(H_Direct=1,BU85&gt;0),MAX(0,WT85-(MIN(BU85*TH85,(WT85+AAG85))-MIN(MIN(BU85*TH85,(WT85+AAG85)),AAG85))),WT85)</f>
        <v>1270</v>
      </c>
      <c r="WV85" s="20" t="n">
        <f aca="false">IF(AND(H_Direct=1,BV85&gt;0),MAX(0,WU85-(MIN(BV85*TI85,(WU85+AAH85))-MIN(MIN(BV85*TI85,(WU85+AAH85)),AAH85))),WU85)</f>
        <v>1270</v>
      </c>
      <c r="WW85" s="20" t="n">
        <f aca="false">IF(AND(H_Direct=1,BW85&gt;0),MAX(0,WV85-(MIN(BW85*TJ85,(WV85+AAI85))-MIN(MIN(BW85*TJ85,(WV85+AAI85)),AAI85))),WV85)</f>
        <v>1270</v>
      </c>
      <c r="WX85" s="20" t="n">
        <f aca="false">IF(AND(H_Direct=1,BX85&gt;0),MAX(0,WW85-(MIN(BX85*TK85,(WW85+AAJ85))-MIN(MIN(BX85*TK85,(WW85+AAJ85)),AAJ85))),WW85)</f>
        <v>1270</v>
      </c>
      <c r="WY85" s="20" t="n">
        <f aca="false">IF(AND(H_Direct=1,BY85&gt;0),MAX(0,WX85-(MIN(BY85*TL85,(WX85+AAK85))-MIN(MIN(BY85*TL85,(WX85+AAK85)),AAK85))),WX85)</f>
        <v>1270</v>
      </c>
      <c r="WZ85" s="20" t="n">
        <f aca="false">IF(AND(H_Direct=1,BZ85&gt;0),MAX(0,WY85-(MIN(BZ85*TM85,(WY85+AAL85))-MIN(MIN(BZ85*TM85,(WY85+AAL85)),AAL85))),WY85)</f>
        <v>1270</v>
      </c>
      <c r="XA85" s="20" t="n">
        <f aca="false">IF(AND(H_Direct=1,CA85&gt;0),MAX(0,WZ85-(MIN(CA85*TN85,(WZ85+AAM85))-MIN(MIN(CA85*TN85,(WZ85+AAM85)),AAM85))),WZ85)</f>
        <v>1270</v>
      </c>
      <c r="XB85" s="20" t="n">
        <f aca="false">IF(AND(H_Direct=1,CB85&gt;0),MAX(0,XA85-(MIN(CB85*TO85,(XA85+AAN85))-MIN(MIN(CB85*TO85,(XA85+AAN85)),AAN85))),XA85)</f>
        <v>1270</v>
      </c>
      <c r="XC85" s="20" t="n">
        <f aca="false">IF(AND(H_Direct=1,CC85&gt;0),MAX(0,XB85-(MIN(CC85*TP85,(XB85+AAO85))-MIN(MIN(CC85*TP85,(XB85+AAO85)),AAO85))),XB85)</f>
        <v>1270</v>
      </c>
      <c r="XD85" s="20" t="n">
        <f aca="false">IF(AND(H_Direct=1,CD85&gt;0),MAX(0,XC85-(MIN(CD85*TQ85,(XC85+AAP85))-MIN(MIN(CD85*TQ85,(XC85+AAP85)),AAP85))),XC85)</f>
        <v>1270</v>
      </c>
      <c r="XE85" s="20" t="n">
        <f aca="false">IF(AND(H_Direct=1,CE85&gt;0),MAX(0,XD85-(MIN(CE85*TR85,(XD85+AAQ85))-MIN(MIN(CE85*TR85,(XD85+AAQ85)),AAQ85))),XD85)</f>
        <v>1270</v>
      </c>
      <c r="XF85" s="20" t="n">
        <f aca="false">IF(AND(H_Direct=1,CF85&gt;0),MAX(0,XE85-(MIN(CF85*TS85,(XE85+AAR85))-MIN(MIN(CF85*TS85,(XE85+AAR85)),AAR85))),XE85)</f>
        <v>1270</v>
      </c>
      <c r="XG85" s="20" t="n">
        <f aca="false">IF(AND(H_Direct=1,CG85&gt;0),MAX(0,XF85-(MIN(CG85*TT85,(XF85+AAS85))-MIN(MIN(CG85*TT85,(XF85+AAS85)),AAS85))),XF85)</f>
        <v>1270</v>
      </c>
      <c r="XH85" s="20" t="n">
        <f aca="false">IF(AND(H_Direct=1,CH85&gt;0),MAX(0,XG85-(MIN(CH85*TU85,(XG85+AAT85))-MIN(MIN(CH85*TU85,(XG85+AAT85)),AAT85))),XG85)</f>
        <v>1270</v>
      </c>
      <c r="XI85" s="20" t="n">
        <f aca="false">IF(AND(H_Direct=1,CI85&gt;0),MAX(0,XH85-(MIN(CI85*TV85,(XH85+AAU85))-MIN(MIN(CI85*TV85,(XH85+AAU85)),AAU85))),XH85)</f>
        <v>1270</v>
      </c>
      <c r="XJ85" s="20" t="n">
        <f aca="false">IF(AND(H_Direct=1,CJ85&gt;0),MAX(0,XI85-(MIN(CJ85*TW85,(XI85+AAV85))-MIN(MIN(CJ85*TW85,(XI85+AAV85)),AAV85))),XI85)</f>
        <v>1270</v>
      </c>
      <c r="XK85" s="20" t="n">
        <f aca="false">IF(AND(H_Direct=1,CK85&gt;0),MAX(0,XJ85-(MIN(CK85*TX85,(XJ85+AAW85))-MIN(MIN(CK85*TX85,(XJ85+AAW85)),AAW85))),XJ85)</f>
        <v>1270</v>
      </c>
      <c r="XL85" s="20" t="n">
        <f aca="false">IF(AND(H_Direct=1,CL85&gt;0),MAX(0,XK85-(MIN(CL85*TY85,(XK85+AAX85))-MIN(MIN(CL85*TY85,(XK85+AAX85)),AAX85))),XK85)</f>
        <v>1270</v>
      </c>
      <c r="XM85" s="20" t="n">
        <f aca="false">IF(AND(H_Direct=1,CM85&gt;0),MAX(0,XL85-(MIN(CM85*TZ85,(XL85+AAY85))-MIN(MIN(CM85*TZ85,(XL85+AAY85)),AAY85))),XL85)</f>
        <v>1270</v>
      </c>
      <c r="XN85" s="20" t="n">
        <f aca="false">IF(AND(H_Direct=1,CN85&gt;0),MAX(0,XM85-(MIN(CN85*UA85,(XM85+AAZ85))-MIN(MIN(CN85*UA85,(XM85+AAZ85)),AAZ85))),XM85)</f>
        <v>1270</v>
      </c>
      <c r="XO85" s="20" t="n">
        <f aca="false">IF(AND(H_Direct=1,CO85&gt;0),MAX(0,XN85-(MIN(CO85*UB85,(XN85+ABA85))-MIN(MIN(CO85*UB85,(XN85+ABA85)),ABA85))),XN85)</f>
        <v>1270</v>
      </c>
      <c r="XP85" s="20" t="n">
        <f aca="false">IF(AND(H_Direct=1,CP85&gt;0),MAX(0,XO85-(MIN(CP85*UC85,(XO85+ABB85))-MIN(MIN(CP85*UC85,(XO85+ABB85)),ABB85))),XO85)</f>
        <v>1270</v>
      </c>
      <c r="XQ85" s="20" t="n">
        <f aca="false">IF(AND(H_Direct=1,CQ85&gt;0),MAX(0,XP85-(MIN(CQ85*UD85,(XP85+ABC85))-MIN(MIN(CQ85*UD85,(XP85+ABC85)),ABC85))),XP85)</f>
        <v>1270</v>
      </c>
      <c r="XR85" s="20" t="n">
        <f aca="false">IF(AND(H_Direct=1,CR85&gt;0),MAX(0,XQ85-(MIN(CR85*UE85,(XQ85+ABD85))-MIN(MIN(CR85*UE85,(XQ85+ABD85)),ABD85))),XQ85)</f>
        <v>1270</v>
      </c>
      <c r="XS85" s="20" t="n">
        <f aca="false">IF(AND(H_Direct=1,CS85&gt;0),MAX(0,XR85-(MIN(CS85*UF85,(XR85+ABE85))-MIN(MIN(CS85*UF85,(XR85+ABE85)),ABE85))),XR85)</f>
        <v>1270</v>
      </c>
      <c r="XT85" s="20" t="n">
        <f aca="false">IF(AND(H_Direct=1,CT85&gt;0),MAX(0,XS85-(MIN(CT85*UG85,(XS85+ABF85))-MIN(MIN(CT85*UG85,(XS85+ABF85)),ABF85))),XS85)</f>
        <v>1270</v>
      </c>
      <c r="XU85" s="20" t="n">
        <f aca="false">IF(AND(H_Direct=1,CU85&gt;0),MAX(0,XT85-(MIN(CU85*UH85,(XT85+ABG85))-MIN(MIN(CU85*UH85,(XT85+ABG85)),ABG85))),XT85)</f>
        <v>1270</v>
      </c>
      <c r="XV85" s="20" t="n">
        <f aca="false">IF(AND(H_Direct=1,CV85&gt;0),MAX(0,XU85-(MIN(CV85*UI85,(XU85+ABH85))-MIN(MIN(CV85*UI85,(XU85+ABH85)),ABH85))),XU85)</f>
        <v>1270</v>
      </c>
      <c r="XW85" s="20" t="n">
        <f aca="false">IF(AND(H_Direct=1,CW85&gt;0),MAX(0,XV85-(MIN(CW85*UJ85,(XV85+ABI85))-MIN(MIN(CW85*UJ85,(XV85+ABI85)),ABI85))),XV85)</f>
        <v>1270</v>
      </c>
      <c r="XX85" s="20" t="n">
        <f aca="false">IF(AND(H_Direct=1,CX85&gt;0),MAX(0,XW85-(MIN(CX85*UK85,(XW85+ABJ85))-MIN(MIN(CX85*UK85,(XW85+ABJ85)),ABJ85))),XW85)</f>
        <v>1270</v>
      </c>
      <c r="XY85" s="20" t="n">
        <f aca="false">IF(AND(H_Direct=1,CY85&gt;0),MAX(0,XX85-(MIN(CY85*UL85,(XX85+ABK85))-MIN(MIN(CY85*UL85,(XX85+ABK85)),ABK85))),XX85)</f>
        <v>1270</v>
      </c>
      <c r="XZ85" s="20" t="n">
        <f aca="false">IF(AND(H_Direct=1,CZ85&gt;0),MAX(0,XY85-(MIN(CZ85*UM85,(XY85+ABL85))-MIN(MIN(CZ85*UM85,(XY85+ABL85)),ABL85))),XY85)</f>
        <v>1270</v>
      </c>
      <c r="YA85" s="20" t="n">
        <f aca="false">IF(AND(H_Direct=1,DA85&gt;0),MAX(0,XZ85-(MIN(DA85*UN85,(XZ85+ABM85))-MIN(MIN(DA85*UN85,(XZ85+ABM85)),ABM85))),XZ85)</f>
        <v>1270</v>
      </c>
      <c r="YB85" s="20" t="n">
        <f aca="false">IF(AND(H_Direct=1,DB85&gt;0),MAX(0,YA85-(MIN(DB85*UO85,(YA85+ABN85))-MIN(MIN(DB85*UO85,(YA85+ABN85)),ABN85))),YA85)</f>
        <v>1270</v>
      </c>
      <c r="YC85" s="20" t="n">
        <f aca="false">IF(AND(H_Direct=1,DC85&gt;0),MAX(0,YB85-(MIN(DC85*UP85,(YB85+ABO85))-MIN(MIN(DC85*UP85,(YB85+ABO85)),ABO85))),YB85)</f>
        <v>1270</v>
      </c>
      <c r="YD85" s="20" t="n">
        <f aca="false">IF(AND(H_Direct=1,DD85&gt;0),MAX(0,YC85-(MIN(DD85*UQ85,(YC85+ABP85))-MIN(MIN(DD85*UQ85,(YC85+ABP85)),ABP85))),YC85)</f>
        <v>1270</v>
      </c>
      <c r="YE85" s="20" t="n">
        <f aca="false">IF(AND(H_Direct=1,DE85&gt;0),MAX(0,YD85-(MIN(DE85*UR85,(YD85+ABQ85))-MIN(MIN(DE85*UR85,(YD85+ABQ85)),ABQ85))),YD85)</f>
        <v>1270</v>
      </c>
      <c r="YF85" s="20" t="n">
        <f aca="false">IF(AND(H_Direct=1,DF85&gt;0),MAX(0,YE85-(MIN(DF85*US85,(YE85+ABR85))-MIN(MIN(DF85*US85,(YE85+ABR85)),ABR85))),YE85)</f>
        <v>1270</v>
      </c>
      <c r="YG85" s="20" t="n">
        <f aca="false">IF(AND(H_Direct=1,DG85&gt;0),MAX(0,YF85-(MIN(DG85*UT85,(YF85+ABS85))-MIN(MIN(DG85*UT85,(YF85+ABS85)),ABS85))),YF85)</f>
        <v>1270</v>
      </c>
      <c r="YH85" s="20" t="n">
        <f aca="false">IF(AND(H_Direct=1,DH85&gt;0),MAX(0,YG85-(MIN(DH85*UU85,(YG85+ABT85))-MIN(MIN(DH85*UU85,(YG85+ABT85)),ABT85))),YG85)</f>
        <v>1270</v>
      </c>
      <c r="YI85" s="20" t="n">
        <f aca="false">IF(AND(H_Direct=1,DI85&gt;0),MAX(0,YH85-(MIN(DI85*UV85,(YH85+ABU85))-MIN(MIN(DI85*UV85,(YH85+ABU85)),ABU85))),YH85)</f>
        <v>1270</v>
      </c>
      <c r="YJ85" s="20" t="n">
        <f aca="false">IF(AND(H_Direct=1,DJ85&gt;0),MAX(0,YI85-(MIN(DJ85*UW85,(YI85+ABV85))-MIN(MIN(DJ85*UW85,(YI85+ABV85)),ABV85))),YI85)</f>
        <v>1270</v>
      </c>
      <c r="YK85" s="20" t="n">
        <f aca="false">IF(AND(H_Direct=1,DK85&gt;0),MAX(0,YJ85-(MIN(DK85*UX85,(YJ85+ABW85))-MIN(MIN(DK85*UX85,(YJ85+ABW85)),ABW85))),YJ85)</f>
        <v>1270</v>
      </c>
      <c r="YL85" s="20" t="n">
        <f aca="false">IF(AND(H_Direct=1,DL85&gt;0),MAX(0,YK85-(MIN(DL85*UY85,(YK85+ABX85))-MIN(MIN(DL85*UY85,(YK85+ABX85)),ABX85))),YK85)</f>
        <v>1270</v>
      </c>
      <c r="YM85" s="20" t="n">
        <f aca="false">IF(AND(H_Direct=1,DM85&gt;0),MAX(0,YL85-(MIN(DM85*UZ85,(YL85+ABY85))-MIN(MIN(DM85*UZ85,(YL85+ABY85)),ABY85))),YL85)</f>
        <v>1270</v>
      </c>
      <c r="YN85" s="20" t="n">
        <f aca="false">IF(AND(H_Direct=1,DN85&gt;0),MAX(0,YM85-(MIN(DN85*VA85,(YM85+ABZ85))-MIN(MIN(DN85*VA85,(YM85+ABZ85)),ABZ85))),YM85)</f>
        <v>1270</v>
      </c>
      <c r="YO85" s="20" t="n">
        <f aca="false">IF(AND(H_Direct=1,DO85&gt;0),MAX(0,YN85-(MIN(DO85*VB85,(YN85+ACA85))-MIN(MIN(DO85*VB85,(YN85+ACA85)),ACA85))),YN85)</f>
        <v>1270</v>
      </c>
      <c r="YP85" s="20" t="n">
        <f aca="false">IF(AND(H_Direct=1,DP85&gt;0),MAX(0,YO85-(MIN(DP85*VC85,(YO85+ACB85))-MIN(MIN(DP85*VC85,(YO85+ACB85)),ACB85))),YO85)</f>
        <v>1270</v>
      </c>
      <c r="YQ85" s="20" t="n">
        <f aca="false">IF(AND(H_Direct=1,DQ85&gt;0),MAX(0,YP85-(MIN(DQ85*VD85,(YP85+ACC85))-MIN(MIN(DQ85*VD85,(YP85+ACC85)),ACC85))),YP85)</f>
        <v>1270</v>
      </c>
      <c r="YR85" s="20" t="n">
        <f aca="false">IF(AND(H_Direct=1,DR85&gt;0),MAX(0,YQ85-(MIN(DR85*VE85,(YQ85+ACD85))-MIN(MIN(DR85*VE85,(YQ85+ACD85)),ACD85))),YQ85)</f>
        <v>1270</v>
      </c>
      <c r="YS85" s="20" t="n">
        <f aca="false">IF(AND(H_Direct=1,DS85&gt;0),MAX(0,YR85-(MIN(DS85*VF85,(YR85+ACE85))-MIN(MIN(DS85*VF85,(YR85+ACE85)),ACE85))),YR85)</f>
        <v>1270</v>
      </c>
      <c r="YT85" s="20" t="n">
        <f aca="false">IF(AND(H_Direct=1,DT85&gt;0),MAX(0,YS85-(MIN(DT85*VG85,(YS85+ACF85))-MIN(MIN(DT85*VG85,(YS85+ACF85)),ACF85))),YS85)</f>
        <v>1270</v>
      </c>
      <c r="YU85" s="20" t="n">
        <f aca="false">IF(AND(H_Direct=1,DU85&gt;0),MAX(0,YT85-(MIN(DU85*VH85,(YT85+ACG85))-MIN(MIN(DU85*VH85,(YT85+ACG85)),ACG85))),YT85)</f>
        <v>1270</v>
      </c>
      <c r="YV85" s="20" t="n">
        <f aca="false">IF(AND(H_Direct=1,DV85&gt;0),MAX(0,YU85-(MIN(DV85*VI85,(YU85+ACH85))-MIN(MIN(DV85*VI85,(YU85+ACH85)),ACH85))),YU85)</f>
        <v>1270</v>
      </c>
      <c r="YW85" s="20" t="n">
        <f aca="false">IF(AND(H_Direct=1,DW85&gt;0),MAX(0,YV85-(MIN(DW85*VJ85,(YV85+ACI85))-MIN(MIN(DW85*VJ85,(YV85+ACI85)),ACI85))),YV85)</f>
        <v>1270</v>
      </c>
      <c r="YX85" s="20" t="n">
        <f aca="false">IF(AND(H_Direct=1,DX85&gt;0),MAX(0,YW85-(MIN(DX85*VK85,(YW85+ACJ85))-MIN(MIN(DX85*VK85,(YW85+ACJ85)),ACJ85))),YW85)</f>
        <v>1270</v>
      </c>
      <c r="YY85" s="20" t="n">
        <f aca="false">IF(AND(H_Direct=1,DY85&gt;0),MAX(0,YX85-(MIN(DY85*VL85,(YX85+ACK85))-MIN(MIN(DY85*VL85,(YX85+ACK85)),ACK85))),YX85)</f>
        <v>1270</v>
      </c>
      <c r="YZ85" s="20" t="n">
        <f aca="false">IF(AND(H_Direct=1,DZ85&gt;0),MAX(0,YY85-(MIN(DZ85*VM85,(YY85+ACL85))-MIN(MIN(DZ85*VM85,(YY85+ACL85)),ACL85))),YY85)</f>
        <v>1270</v>
      </c>
      <c r="ZA85" s="20" t="n">
        <f aca="false">IF(AND(H_Direct=1,EA85&gt;0),MAX(0,YZ85-(MIN(EA85*VN85,(YZ85+ACM85))-MIN(MIN(EA85*VN85,(YZ85+ACM85)),ACM85))),YZ85)</f>
        <v>1270</v>
      </c>
      <c r="ZB85" s="20" t="n">
        <f aca="false">IF(AND(H_Direct=1,EB85&gt;0),MAX(0,ZA85-(MIN(EB85*VO85,(ZA85+ACN85))-MIN(MIN(EB85*VO85,(ZA85+ACN85)),ACN85))),ZA85)</f>
        <v>1270</v>
      </c>
      <c r="ZC85" s="20" t="n">
        <f aca="false">IF(AND(H_Direct=1,EC85&gt;0),MAX(0,ZB85-(MIN(EC85*VP85,(ZB85+ACO85))-MIN(MIN(EC85*VP85,(ZB85+ACO85)),ACO85))),ZB85)</f>
        <v>1270</v>
      </c>
      <c r="ZD85" s="20" t="n">
        <f aca="false">IF(AND(H_Direct=1,ED85&gt;0),MAX(0,ZC85-(MIN(ED85*VQ85,(ZC85+ACP85))-MIN(MIN(ED85*VQ85,(ZC85+ACP85)),ACP85))),ZC85)</f>
        <v>1270</v>
      </c>
      <c r="ZE85" s="20" t="n">
        <f aca="false">IF(AND(H_Direct=1,EE85&gt;0),MAX(0,ZD85-(MIN(EE85*VR85,(ZD85+ACQ85))-MIN(MIN(EE85*VR85,(ZD85+ACQ85)),ACQ85))),ZD85)</f>
        <v>1270</v>
      </c>
      <c r="ZF85" s="20" t="n">
        <f aca="false">IF(AND(H_Direct=1,EF85&gt;0),MAX(0,ZE85-(MIN(EF85*VS85,(ZE85+ACR85))-MIN(MIN(EF85*VS85,(ZE85+ACR85)),ACR85))),ZE85)</f>
        <v>1270</v>
      </c>
      <c r="ZG85" s="20" t="n">
        <f aca="false">IF(AND(H_Direct=1,EG85&gt;0),MAX(0,ZF85-(MIN(EG85*VT85,(ZF85+ACS85))-MIN(MIN(EG85*VT85,(ZF85+ACS85)),ACS85))),ZF85)</f>
        <v>1270</v>
      </c>
      <c r="ZH85" s="20" t="n">
        <f aca="false">IF(AND(H_Direct=1,EH85&gt;0),MAX(0,ZG85-(MIN(EH85*VU85,(ZG85+ACT85))-MIN(MIN(EH85*VU85,(ZG85+ACT85)),ACT85))),ZG85)</f>
        <v>1270</v>
      </c>
      <c r="ZI85" s="20" t="n">
        <f aca="false">IF(AND(H_Direct=1,EI85&gt;0),MAX(0,ZH85-(MIN(EI85*VV85,(ZH85+ACU85))-MIN(MIN(EI85*VV85,(ZH85+ACU85)),ACU85))),ZH85)</f>
        <v>1270</v>
      </c>
      <c r="ZJ85" s="20" t="n">
        <f aca="false">IF(AND(H_Direct=1,EJ85&gt;0),MAX(0,ZI85-(MIN(EJ85*VW85,(ZI85+ACV85))-MIN(MIN(EJ85*VW85,(ZI85+ACV85)),ACV85))),ZI85)</f>
        <v>1270</v>
      </c>
      <c r="ZK85" s="20" t="n">
        <f aca="false">IF(AND(H_Direct=1,EK85&gt;0),MAX(0,ZJ85-(MIN(EK85*VX85,(ZJ85+ACW85))-MIN(MIN(EK85*VX85,(ZJ85+ACW85)),ACW85))),ZJ85)</f>
        <v>1270</v>
      </c>
      <c r="ZL85" s="20" t="n">
        <f aca="false">IF(AND(H_Direct=1,EL85&gt;0),MAX(0,ZK85-(MIN(EL85*VY85,(ZK85+ACX85))-MIN(MIN(EL85*VY85,(ZK85+ACX85)),ACX85))),ZK85)</f>
        <v>1270</v>
      </c>
      <c r="ZM85" s="20" t="n">
        <f aca="false">IF(AND(H_Direct=1,EM85&gt;0),MAX(0,ZL85-(MIN(EM85*VZ85,(ZL85+ACY85))-MIN(MIN(EM85*VZ85,(ZL85+ACY85)),ACY85))),ZL85)</f>
        <v>1270</v>
      </c>
      <c r="ZN85" s="20" t="n">
        <f aca="false">IF(AND(H_Direct=1,EN85&gt;0),MAX(0,ZM85-(MIN(EN85*WA85,(ZM85+ACZ85))-MIN(MIN(EN85*WA85,(ZM85+ACZ85)),ACZ85))),ZM85)</f>
        <v>1270</v>
      </c>
      <c r="ZO85" s="20" t="n">
        <f aca="false">IF(AND(H_Direct=1,EO85&gt;0),MAX(0,ZN85-(MIN(EO85*WB85,(ZN85+ADA85))-MIN(MIN(EO85*WB85,(ZN85+ADA85)),ADA85))),ZN85)</f>
        <v>1270</v>
      </c>
      <c r="ZP85" s="20" t="n">
        <f aca="false">IF(AND(H_Direct=1,EP85&gt;0),MAX(0,ZO85-(MIN(EP85*WC85,(ZO85+ADB85))-MIN(MIN(EP85*WC85,(ZO85+ADB85)),ADB85))),ZO85)</f>
        <v>1270</v>
      </c>
      <c r="ZQ85" s="20" t="n">
        <f aca="false">IF(AND(H_Direct=1,EQ85&gt;0),MAX(0,ZP85-(MIN(EQ85*WD85,(ZP85+ADC85))-MIN(MIN(EQ85*WD85,(ZP85+ADC85)),ADC85))),ZP85)</f>
        <v>1270</v>
      </c>
      <c r="ZR85" s="20" t="n">
        <f aca="false">IF(AND(H_Direct=1,ER85&gt;0),MAX(0,ZQ85-(MIN(ER85*WE85,(ZQ85+ADD85))-MIN(MIN(ER85*WE85,(ZQ85+ADD85)),ADD85))),ZQ85)</f>
        <v>1270</v>
      </c>
      <c r="ZS85" s="20" t="n">
        <f aca="false">ZR85</f>
        <v>1270</v>
      </c>
      <c r="ZT85" s="20" t="n">
        <f aca="false">ZS85</f>
        <v>1270</v>
      </c>
      <c r="ZU85" s="20" t="n">
        <f aca="false">ZT85</f>
        <v>1270</v>
      </c>
      <c r="ZV85" s="20" t="n">
        <f aca="false">ZU85</f>
        <v>1270</v>
      </c>
      <c r="ZW85" s="20" t="n">
        <f aca="false">ZV85</f>
        <v>1270</v>
      </c>
      <c r="ZX85" s="20" t="n">
        <f aca="false">ZW85</f>
        <v>1270</v>
      </c>
      <c r="ZY85" s="20" t="n">
        <f aca="false">ZX85</f>
        <v>1270</v>
      </c>
      <c r="ZZ85" s="20" t="n">
        <f aca="false">ZY85</f>
        <v>1270</v>
      </c>
      <c r="AAA85" s="20" t="n">
        <f aca="false">ZZ85</f>
        <v>1270</v>
      </c>
      <c r="AAB85" s="20" t="n">
        <f aca="false">AAA85</f>
        <v>1270</v>
      </c>
      <c r="AAC85" s="20" t="n">
        <f aca="false">AAB85</f>
        <v>1270</v>
      </c>
      <c r="AAD85" s="20" t="n">
        <f aca="false">AAC85</f>
        <v>1270</v>
      </c>
      <c r="AAE85" s="20" t="n">
        <f aca="false">IF(H_Direct=1,IF(BR85&lt;=0,I85-BR85*TE85,I85-MIN(MIN(BR85*TE85,(H85+I85)),I85)),I85)</f>
        <v>0</v>
      </c>
      <c r="AAF85" s="20" t="n">
        <f aca="false">IF(H_Direct=1,IF(BS85&lt;=0,AAE85-BS85*TF85,AAE85-MIN(MIN(BS85*TF85,(WR85+AAE85)),AAE85)),AAE85)</f>
        <v>0</v>
      </c>
      <c r="AAG85" s="20" t="n">
        <f aca="false">IF(H_Direct=1,IF(BT85&lt;=0,AAF85-BT85*TG85,AAF85-MIN(MIN(BT85*TG85,(WS85+AAF85)),AAF85)),AAF85)</f>
        <v>0</v>
      </c>
      <c r="AAH85" s="20" t="n">
        <f aca="false">IF(H_Direct=1,IF(BU85&lt;=0,AAG85-BU85*TH85,AAG85-MIN(MIN(BU85*TH85,(WT85+AAG85)),AAG85)),AAG85)</f>
        <v>0</v>
      </c>
      <c r="AAI85" s="20" t="n">
        <f aca="false">IF(H_Direct=1,IF(BV85&lt;=0,AAH85-BV85*TI85,AAH85-MIN(MIN(BV85*TI85,(WU85+AAH85)),AAH85)),AAH85)</f>
        <v>0</v>
      </c>
      <c r="AAJ85" s="20" t="n">
        <f aca="false">IF(H_Direct=1,IF(BW85&lt;=0,AAI85-BW85*TJ85,AAI85-MIN(MIN(BW85*TJ85,(WV85+AAI85)),AAI85)),AAI85)</f>
        <v>0</v>
      </c>
      <c r="AAK85" s="20" t="n">
        <f aca="false">IF(H_Direct=1,IF(BX85&lt;=0,AAJ85-BX85*TK85,AAJ85-MIN(MIN(BX85*TK85,(WW85+AAJ85)),AAJ85)),AAJ85)</f>
        <v>0</v>
      </c>
      <c r="AAL85" s="20" t="n">
        <f aca="false">IF(H_Direct=1,IF(BY85&lt;=0,AAK85-BY85*TL85,AAK85-MIN(MIN(BY85*TL85,(WX85+AAK85)),AAK85)),AAK85)</f>
        <v>0</v>
      </c>
      <c r="AAM85" s="20" t="n">
        <f aca="false">IF(H_Direct=1,IF(BZ85&lt;=0,AAL85-BZ85*TM85,AAL85-MIN(MIN(BZ85*TM85,(WY85+AAL85)),AAL85)),AAL85)</f>
        <v>0</v>
      </c>
      <c r="AAN85" s="20" t="n">
        <f aca="false">IF(H_Direct=1,IF(CA85&lt;=0,AAM85-CA85*TN85,AAM85-MIN(MIN(CA85*TN85,(WZ85+AAM85)),AAM85)),AAM85)</f>
        <v>0</v>
      </c>
      <c r="AAO85" s="20" t="n">
        <f aca="false">IF(H_Direct=1,IF(CB85&lt;=0,AAN85-CB85*TO85,AAN85-MIN(MIN(CB85*TO85,(XA85+AAN85)),AAN85)),AAN85)</f>
        <v>0</v>
      </c>
      <c r="AAP85" s="20" t="n">
        <f aca="false">IF(H_Direct=1,IF(CC85&lt;=0,AAO85-CC85*TP85,AAO85-MIN(MIN(CC85*TP85,(XB85+AAO85)),AAO85)),AAO85)</f>
        <v>0</v>
      </c>
      <c r="AAQ85" s="20" t="n">
        <f aca="false">IF(H_Direct=1,IF(CD85&lt;=0,AAP85-CD85*TQ85,AAP85-MIN(MIN(CD85*TQ85,(XC85+AAP85)),AAP85)),AAP85)</f>
        <v>0</v>
      </c>
      <c r="AAR85" s="20" t="n">
        <f aca="false">IF(H_Direct=1,IF(CE85&lt;=0,AAQ85-CE85*TR85,AAQ85-MIN(MIN(CE85*TR85,(XD85+AAQ85)),AAQ85)),AAQ85)</f>
        <v>0</v>
      </c>
      <c r="AAS85" s="20" t="n">
        <f aca="false">IF(H_Direct=1,IF(CF85&lt;=0,AAR85-CF85*TS85,AAR85-MIN(MIN(CF85*TS85,(XE85+AAR85)),AAR85)),AAR85)</f>
        <v>0</v>
      </c>
      <c r="AAT85" s="20" t="n">
        <f aca="false">IF(H_Direct=1,IF(CG85&lt;=0,AAS85-CG85*TT85,AAS85-MIN(MIN(CG85*TT85,(XF85+AAS85)),AAS85)),AAS85)</f>
        <v>0</v>
      </c>
      <c r="AAU85" s="20" t="n">
        <f aca="false">IF(H_Direct=1,IF(CH85&lt;=0,AAT85-CH85*TU85,AAT85-MIN(MIN(CH85*TU85,(XG85+AAT85)),AAT85)),AAT85)</f>
        <v>0</v>
      </c>
      <c r="AAV85" s="20" t="n">
        <f aca="false">IF(H_Direct=1,IF(CI85&lt;=0,AAU85-CI85*TV85,AAU85-MIN(MIN(CI85*TV85,(XH85+AAU85)),AAU85)),AAU85)</f>
        <v>0</v>
      </c>
      <c r="AAW85" s="20" t="n">
        <f aca="false">IF(H_Direct=1,IF(CJ85&lt;=0,AAV85-CJ85*TW85,AAV85-MIN(MIN(CJ85*TW85,(XI85+AAV85)),AAV85)),AAV85)</f>
        <v>0</v>
      </c>
      <c r="AAX85" s="20" t="n">
        <f aca="false">IF(H_Direct=1,IF(CK85&lt;=0,AAW85-CK85*TX85,AAW85-MIN(MIN(CK85*TX85,(XJ85+AAW85)),AAW85)),AAW85)</f>
        <v>0</v>
      </c>
      <c r="AAY85" s="20" t="n">
        <f aca="false">IF(H_Direct=1,IF(CL85&lt;=0,AAX85-CL85*TY85,AAX85-MIN(MIN(CL85*TY85,(XK85+AAX85)),AAX85)),AAX85)</f>
        <v>0</v>
      </c>
      <c r="AAZ85" s="20" t="n">
        <f aca="false">IF(H_Direct=1,IF(CM85&lt;=0,AAY85-CM85*TZ85,AAY85-MIN(MIN(CM85*TZ85,(XL85+AAY85)),AAY85)),AAY85)</f>
        <v>0</v>
      </c>
      <c r="ABA85" s="20" t="n">
        <f aca="false">IF(H_Direct=1,IF(CN85&lt;=0,AAZ85-CN85*UA85,AAZ85-MIN(MIN(CN85*UA85,(XM85+AAZ85)),AAZ85)),AAZ85)</f>
        <v>0</v>
      </c>
      <c r="ABB85" s="20" t="n">
        <f aca="false">IF(H_Direct=1,IF(CO85&lt;=0,ABA85-CO85*UB85,ABA85-MIN(MIN(CO85*UB85,(XN85+ABA85)),ABA85)),ABA85)</f>
        <v>0</v>
      </c>
      <c r="ABC85" s="20" t="n">
        <f aca="false">IF(H_Direct=1,IF(CP85&lt;=0,ABB85-CP85*UC85,ABB85-MIN(MIN(CP85*UC85,(XO85+ABB85)),ABB85)),ABB85)</f>
        <v>0</v>
      </c>
      <c r="ABD85" s="20" t="n">
        <f aca="false">IF(H_Direct=1,IF(CQ85&lt;=0,ABC85-CQ85*UD85,ABC85-MIN(MIN(CQ85*UD85,(XP85+ABC85)),ABC85)),ABC85)</f>
        <v>0</v>
      </c>
      <c r="ABE85" s="20" t="n">
        <f aca="false">IF(H_Direct=1,IF(CR85&lt;=0,ABD85-CR85*UE85,ABD85-MIN(MIN(CR85*UE85,(XQ85+ABD85)),ABD85)),ABD85)</f>
        <v>0</v>
      </c>
      <c r="ABF85" s="20" t="n">
        <f aca="false">IF(H_Direct=1,IF(CS85&lt;=0,ABE85-CS85*UF85,ABE85-MIN(MIN(CS85*UF85,(XR85+ABE85)),ABE85)),ABE85)</f>
        <v>0</v>
      </c>
      <c r="ABG85" s="20" t="n">
        <f aca="false">IF(H_Direct=1,IF(CT85&lt;=0,ABF85-CT85*UG85,ABF85-MIN(MIN(CT85*UG85,(XS85+ABF85)),ABF85)),ABF85)</f>
        <v>0</v>
      </c>
      <c r="ABH85" s="20" t="n">
        <f aca="false">IF(H_Direct=1,IF(CU85&lt;=0,ABG85-CU85*UH85,ABG85-MIN(MIN(CU85*UH85,(XT85+ABG85)),ABG85)),ABG85)</f>
        <v>0</v>
      </c>
      <c r="ABI85" s="20" t="n">
        <f aca="false">IF(H_Direct=1,IF(CV85&lt;=0,ABH85-CV85*UI85,ABH85-MIN(MIN(CV85*UI85,(XU85+ABH85)),ABH85)),ABH85)</f>
        <v>0</v>
      </c>
      <c r="ABJ85" s="20" t="n">
        <f aca="false">IF(H_Direct=1,IF(CW85&lt;=0,ABI85-CW85*UJ85,ABI85-MIN(MIN(CW85*UJ85,(XV85+ABI85)),ABI85)),ABI85)</f>
        <v>0</v>
      </c>
      <c r="ABK85" s="20" t="n">
        <f aca="false">IF(H_Direct=1,IF(CX85&lt;=0,ABJ85-CX85*UK85,ABJ85-MIN(MIN(CX85*UK85,(XW85+ABJ85)),ABJ85)),ABJ85)</f>
        <v>0</v>
      </c>
      <c r="ABL85" s="20" t="n">
        <f aca="false">IF(H_Direct=1,IF(CY85&lt;=0,ABK85-CY85*UL85,ABK85-MIN(MIN(CY85*UL85,(XX85+ABK85)),ABK85)),ABK85)</f>
        <v>0</v>
      </c>
      <c r="ABM85" s="20" t="n">
        <f aca="false">IF(H_Direct=1,IF(CZ85&lt;=0,ABL85-CZ85*UM85,ABL85-MIN(MIN(CZ85*UM85,(XY85+ABL85)),ABL85)),ABL85)</f>
        <v>0</v>
      </c>
      <c r="ABN85" s="20" t="n">
        <f aca="false">IF(H_Direct=1,IF(DA85&lt;=0,ABM85-DA85*UN85,ABM85-MIN(MIN(DA85*UN85,(XZ85+ABM85)),ABM85)),ABM85)</f>
        <v>0</v>
      </c>
      <c r="ABO85" s="20" t="n">
        <f aca="false">IF(H_Direct=1,IF(DB85&lt;=0,ABN85-DB85*UO85,ABN85-MIN(MIN(DB85*UO85,(YA85+ABN85)),ABN85)),ABN85)</f>
        <v>0</v>
      </c>
      <c r="ABP85" s="20" t="n">
        <f aca="false">IF(H_Direct=1,IF(DC85&lt;=0,ABO85-DC85*UP85,ABO85-MIN(MIN(DC85*UP85,(YB85+ABO85)),ABO85)),ABO85)</f>
        <v>0</v>
      </c>
      <c r="ABQ85" s="20" t="n">
        <f aca="false">IF(H_Direct=1,IF(DD85&lt;=0,ABP85-DD85*UQ85,ABP85-MIN(MIN(DD85*UQ85,(YC85+ABP85)),ABP85)),ABP85)</f>
        <v>0</v>
      </c>
      <c r="ABR85" s="20" t="n">
        <f aca="false">IF(H_Direct=1,IF(DE85&lt;=0,ABQ85-DE85*UR85,ABQ85-MIN(MIN(DE85*UR85,(YD85+ABQ85)),ABQ85)),ABQ85)</f>
        <v>0</v>
      </c>
      <c r="ABS85" s="20" t="n">
        <f aca="false">IF(H_Direct=1,IF(DF85&lt;=0,ABR85-DF85*US85,ABR85-MIN(MIN(DF85*US85,(YE85+ABR85)),ABR85)),ABR85)</f>
        <v>0</v>
      </c>
      <c r="ABT85" s="20" t="n">
        <f aca="false">IF(H_Direct=1,IF(DG85&lt;=0,ABS85-DG85*UT85,ABS85-MIN(MIN(DG85*UT85,(YF85+ABS85)),ABS85)),ABS85)</f>
        <v>0</v>
      </c>
      <c r="ABU85" s="20" t="n">
        <f aca="false">IF(H_Direct=1,IF(DH85&lt;=0,ABT85-DH85*UU85,ABT85-MIN(MIN(DH85*UU85,(YG85+ABT85)),ABT85)),ABT85)</f>
        <v>0</v>
      </c>
      <c r="ABV85" s="20" t="n">
        <f aca="false">IF(H_Direct=1,IF(DI85&lt;=0,ABU85-DI85*UV85,ABU85-MIN(MIN(DI85*UV85,(YH85+ABU85)),ABU85)),ABU85)</f>
        <v>0</v>
      </c>
      <c r="ABW85" s="20" t="n">
        <f aca="false">IF(H_Direct=1,IF(DJ85&lt;=0,ABV85-DJ85*UW85,ABV85-MIN(MIN(DJ85*UW85,(YI85+ABV85)),ABV85)),ABV85)</f>
        <v>0</v>
      </c>
      <c r="ABX85" s="20" t="n">
        <f aca="false">IF(H_Direct=1,IF(DK85&lt;=0,ABW85-DK85*UX85,ABW85-MIN(MIN(DK85*UX85,(YJ85+ABW85)),ABW85)),ABW85)</f>
        <v>0</v>
      </c>
      <c r="ABY85" s="20" t="n">
        <f aca="false">IF(H_Direct=1,IF(DL85&lt;=0,ABX85-DL85*UY85,ABX85-MIN(MIN(DL85*UY85,(YK85+ABX85)),ABX85)),ABX85)</f>
        <v>0</v>
      </c>
      <c r="ABZ85" s="20" t="n">
        <f aca="false">IF(H_Direct=1,IF(DM85&lt;=0,ABY85-DM85*UZ85,ABY85-MIN(MIN(DM85*UZ85,(YL85+ABY85)),ABY85)),ABY85)</f>
        <v>0</v>
      </c>
      <c r="ACA85" s="20" t="n">
        <f aca="false">IF(H_Direct=1,IF(DN85&lt;=0,ABZ85-DN85*VA85,ABZ85-MIN(MIN(DN85*VA85,(YM85+ABZ85)),ABZ85)),ABZ85)</f>
        <v>0</v>
      </c>
      <c r="ACB85" s="20" t="n">
        <f aca="false">IF(H_Direct=1,IF(DO85&lt;=0,ACA85-DO85*VB85,ACA85-MIN(MIN(DO85*VB85,(YN85+ACA85)),ACA85)),ACA85)</f>
        <v>0</v>
      </c>
      <c r="ACC85" s="20" t="n">
        <f aca="false">IF(H_Direct=1,IF(DP85&lt;=0,ACB85-DP85*VC85,ACB85-MIN(MIN(DP85*VC85,(YO85+ACB85)),ACB85)),ACB85)</f>
        <v>0</v>
      </c>
      <c r="ACD85" s="20" t="n">
        <f aca="false">IF(H_Direct=1,IF(DQ85&lt;=0,ACC85-DQ85*VD85,ACC85-MIN(MIN(DQ85*VD85,(YP85+ACC85)),ACC85)),ACC85)</f>
        <v>0</v>
      </c>
      <c r="ACE85" s="20" t="n">
        <f aca="false">IF(H_Direct=1,IF(DR85&lt;=0,ACD85-DR85*VE85,ACD85-MIN(MIN(DR85*VE85,(YQ85+ACD85)),ACD85)),ACD85)</f>
        <v>0</v>
      </c>
      <c r="ACF85" s="20" t="n">
        <f aca="false">IF(H_Direct=1,IF(DS85&lt;=0,ACE85-DS85*VF85,ACE85-MIN(MIN(DS85*VF85,(YR85+ACE85)),ACE85)),ACE85)</f>
        <v>0</v>
      </c>
      <c r="ACG85" s="20" t="n">
        <f aca="false">IF(H_Direct=1,IF(DT85&lt;=0,ACF85-DT85*VG85,ACF85-MIN(MIN(DT85*VG85,(YS85+ACF85)),ACF85)),ACF85)</f>
        <v>0</v>
      </c>
      <c r="ACH85" s="20" t="n">
        <f aca="false">IF(H_Direct=1,IF(DU85&lt;=0,ACG85-DU85*VH85,ACG85-MIN(MIN(DU85*VH85,(YT85+ACG85)),ACG85)),ACG85)</f>
        <v>0</v>
      </c>
      <c r="ACI85" s="20" t="n">
        <f aca="false">IF(H_Direct=1,IF(DV85&lt;=0,ACH85-DV85*VI85,ACH85-MIN(MIN(DV85*VI85,(YU85+ACH85)),ACH85)),ACH85)</f>
        <v>0</v>
      </c>
      <c r="ACJ85" s="20" t="n">
        <f aca="false">IF(H_Direct=1,IF(DW85&lt;=0,ACI85-DW85*VJ85,ACI85-MIN(MIN(DW85*VJ85,(YV85+ACI85)),ACI85)),ACI85)</f>
        <v>0</v>
      </c>
      <c r="ACK85" s="20" t="n">
        <f aca="false">IF(H_Direct=1,IF(DX85&lt;=0,ACJ85-DX85*VK85,ACJ85-MIN(MIN(DX85*VK85,(YW85+ACJ85)),ACJ85)),ACJ85)</f>
        <v>0</v>
      </c>
      <c r="ACL85" s="20" t="n">
        <f aca="false">IF(H_Direct=1,IF(DY85&lt;=0,ACK85-DY85*VL85,ACK85-MIN(MIN(DY85*VL85,(YX85+ACK85)),ACK85)),ACK85)</f>
        <v>0</v>
      </c>
      <c r="ACM85" s="20" t="n">
        <f aca="false">IF(H_Direct=1,IF(DZ85&lt;=0,ACL85-DZ85*VM85,ACL85-MIN(MIN(DZ85*VM85,(YY85+ACL85)),ACL85)),ACL85)</f>
        <v>0</v>
      </c>
      <c r="ACN85" s="20" t="n">
        <f aca="false">IF(H_Direct=1,IF(EA85&lt;=0,ACM85-EA85*VN85,ACM85-MIN(MIN(EA85*VN85,(YZ85+ACM85)),ACM85)),ACM85)</f>
        <v>0</v>
      </c>
      <c r="ACO85" s="20" t="n">
        <f aca="false">IF(H_Direct=1,IF(EB85&lt;=0,ACN85-EB85*VO85,ACN85-MIN(MIN(EB85*VO85,(ZA85+ACN85)),ACN85)),ACN85)</f>
        <v>0</v>
      </c>
      <c r="ACP85" s="20" t="n">
        <f aca="false">IF(H_Direct=1,IF(EC85&lt;=0,ACO85-EC85*VP85,ACO85-MIN(MIN(EC85*VP85,(ZB85+ACO85)),ACO85)),ACO85)</f>
        <v>0</v>
      </c>
      <c r="ACQ85" s="20" t="n">
        <f aca="false">IF(H_Direct=1,IF(ED85&lt;=0,ACP85-ED85*VQ85,ACP85-MIN(MIN(ED85*VQ85,(ZC85+ACP85)),ACP85)),ACP85)</f>
        <v>0</v>
      </c>
      <c r="ACR85" s="20" t="n">
        <f aca="false">IF(H_Direct=1,IF(EE85&lt;=0,ACQ85-EE85*VR85,ACQ85-MIN(MIN(EE85*VR85,(ZD85+ACQ85)),ACQ85)),ACQ85)</f>
        <v>0</v>
      </c>
      <c r="ACS85" s="20" t="n">
        <f aca="false">IF(H_Direct=1,IF(EF85&lt;=0,ACR85-EF85*VS85,ACR85-MIN(MIN(EF85*VS85,(ZE85+ACR85)),ACR85)),ACR85)</f>
        <v>0</v>
      </c>
      <c r="ACT85" s="20" t="n">
        <f aca="false">IF(H_Direct=1,IF(EG85&lt;=0,ACS85-EG85*VT85,ACS85-MIN(MIN(EG85*VT85,(ZF85+ACS85)),ACS85)),ACS85)</f>
        <v>0</v>
      </c>
      <c r="ACU85" s="20" t="n">
        <f aca="false">IF(H_Direct=1,IF(EH85&lt;=0,ACT85-EH85*VU85,ACT85-MIN(MIN(EH85*VU85,(ZG85+ACT85)),ACT85)),ACT85)</f>
        <v>0</v>
      </c>
      <c r="ACV85" s="20" t="n">
        <f aca="false">IF(H_Direct=1,IF(EI85&lt;=0,ACU85-EI85*VV85,ACU85-MIN(MIN(EI85*VV85,(ZH85+ACU85)),ACU85)),ACU85)</f>
        <v>0</v>
      </c>
      <c r="ACW85" s="20" t="n">
        <f aca="false">IF(H_Direct=1,IF(EJ85&lt;=0,ACV85-EJ85*VW85,ACV85-MIN(MIN(EJ85*VW85,(ZI85+ACV85)),ACV85)),ACV85)</f>
        <v>0</v>
      </c>
      <c r="ACX85" s="20" t="n">
        <f aca="false">IF(H_Direct=1,IF(EK85&lt;=0,ACW85-EK85*VX85,ACW85-MIN(MIN(EK85*VX85,(ZJ85+ACW85)),ACW85)),ACW85)</f>
        <v>0</v>
      </c>
      <c r="ACY85" s="20" t="n">
        <f aca="false">IF(H_Direct=1,IF(EL85&lt;=0,ACX85-EL85*VY85,ACX85-MIN(MIN(EL85*VY85,(ZK85+ACX85)),ACX85)),ACX85)</f>
        <v>0</v>
      </c>
      <c r="ACZ85" s="20" t="n">
        <f aca="false">IF(H_Direct=1,IF(EM85&lt;=0,ACY85-EM85*VZ85,ACY85-MIN(MIN(EM85*VZ85,(ZL85+ACY85)),ACY85)),ACY85)</f>
        <v>0</v>
      </c>
      <c r="ADA85" s="20" t="n">
        <f aca="false">IF(H_Direct=1,IF(EN85&lt;=0,ACZ85-EN85*WA85,ACZ85-MIN(MIN(EN85*WA85,(ZM85+ACZ85)),ACZ85)),ACZ85)</f>
        <v>0</v>
      </c>
      <c r="ADB85" s="20" t="n">
        <f aca="false">IF(H_Direct=1,IF(EO85&lt;=0,ADA85-EO85*WB85,ADA85-MIN(MIN(EO85*WB85,(ZN85+ADA85)),ADA85)),ADA85)</f>
        <v>0</v>
      </c>
      <c r="ADC85" s="20" t="n">
        <f aca="false">IF(H_Direct=1,IF(EP85&lt;=0,ADB85-EP85*WC85,ADB85-MIN(MIN(EP85*WC85,(ZO85+ADB85)),ADB85)),ADB85)</f>
        <v>0</v>
      </c>
      <c r="ADD85" s="20" t="n">
        <f aca="false">IF(H_Direct=1,IF(EQ85&lt;=0,ADC85-EQ85*WD85,ADC85-MIN(MIN(EQ85*WD85,(ZP85+ADC85)),ADC85)),ADC85)</f>
        <v>0</v>
      </c>
      <c r="ADE85" s="20" t="n">
        <f aca="false">IF(H_Direct=1,IF(ER85&lt;=0,ADD85-ER85*WE85,ADD85-MIN(MIN(ER85*WE85,(ZQ85+ADD85)),ADD85)),ADD85)</f>
        <v>0</v>
      </c>
      <c r="ADF85" s="20" t="n">
        <f aca="false">ADE85</f>
        <v>0</v>
      </c>
      <c r="ADG85" s="20" t="n">
        <f aca="false">ADF85</f>
        <v>0</v>
      </c>
      <c r="ADH85" s="20" t="n">
        <f aca="false">ADG85</f>
        <v>0</v>
      </c>
      <c r="ADI85" s="20" t="n">
        <f aca="false">ADH85</f>
        <v>0</v>
      </c>
      <c r="ADJ85" s="20" t="n">
        <f aca="false">ADI85</f>
        <v>0</v>
      </c>
      <c r="ADK85" s="20" t="n">
        <f aca="false">ADJ85</f>
        <v>0</v>
      </c>
      <c r="ADL85" s="20" t="n">
        <f aca="false">ADK85</f>
        <v>0</v>
      </c>
      <c r="ADM85" s="20" t="n">
        <f aca="false">ADL85</f>
        <v>0</v>
      </c>
      <c r="ADN85" s="20" t="n">
        <f aca="false">ADM85</f>
        <v>0</v>
      </c>
      <c r="ADO85" s="20" t="n">
        <f aca="false">ADN85</f>
        <v>0</v>
      </c>
      <c r="ADP85" s="20" t="n">
        <f aca="false">ADO85</f>
        <v>0</v>
      </c>
      <c r="ADQ85" s="20" t="n">
        <f aca="false">ADP85</f>
        <v>0</v>
      </c>
      <c r="ADR85" s="20" t="n">
        <f aca="false">(AKR84-TE85+0)*(1+BQ85)</f>
        <v>0</v>
      </c>
      <c r="ADS85" s="20" t="n">
        <f aca="false">(AKS84-TF85+0)*(1+BQ85)</f>
        <v>0</v>
      </c>
      <c r="ADT85" s="20" t="n">
        <f aca="false">(AKT84-TG85+0)*(1+BQ85)</f>
        <v>0</v>
      </c>
      <c r="ADU85" s="20" t="n">
        <f aca="false">(AKU84-TH85+0)*(1+BQ85)</f>
        <v>0</v>
      </c>
      <c r="ADV85" s="20" t="n">
        <f aca="false">(AKV84-TI85+0)*(1+BQ85)</f>
        <v>0</v>
      </c>
      <c r="ADW85" s="20" t="n">
        <f aca="false">(AKW84-TJ85+0)*(1+BQ85)</f>
        <v>0</v>
      </c>
      <c r="ADX85" s="20" t="n">
        <f aca="false">(AKX84-TK85+0)*(1+BQ85)</f>
        <v>0</v>
      </c>
      <c r="ADY85" s="20" t="n">
        <f aca="false">(AKY84-TL85+0)*(1+BQ85)</f>
        <v>0</v>
      </c>
      <c r="ADZ85" s="20" t="n">
        <f aca="false">(AKZ84-TM85+0)*(1+BQ85)</f>
        <v>0</v>
      </c>
      <c r="AEA85" s="20" t="n">
        <f aca="false">(ALA84-TN85+0)*(1+BQ85)</f>
        <v>0</v>
      </c>
      <c r="AEB85" s="20" t="n">
        <f aca="false">(ALB84-TO85+0)*(1+BQ85)</f>
        <v>0</v>
      </c>
      <c r="AEC85" s="20" t="n">
        <f aca="false">(ALC84-TP85+0)*(1+BQ85)</f>
        <v>0</v>
      </c>
      <c r="AED85" s="20" t="n">
        <f aca="false">(ALD84-TQ85+0)*(1+BQ85)</f>
        <v>0</v>
      </c>
      <c r="AEE85" s="20" t="n">
        <f aca="false">(ALE84-TR85+0)*(1+BQ85)</f>
        <v>0</v>
      </c>
      <c r="AEF85" s="20" t="n">
        <f aca="false">(ALF84-TS85+0)*(1+BQ85)</f>
        <v>0</v>
      </c>
      <c r="AEG85" s="20" t="n">
        <f aca="false">(ALG84-TT85+0)*(1+BQ85)</f>
        <v>0</v>
      </c>
      <c r="AEH85" s="20" t="n">
        <f aca="false">(ALH84-TU85+0)*(1+BQ85)</f>
        <v>0</v>
      </c>
      <c r="AEI85" s="20" t="n">
        <f aca="false">(ALI84-TV85+0)*(1+BQ85)</f>
        <v>0</v>
      </c>
      <c r="AEJ85" s="20" t="n">
        <f aca="false">(ALJ84-TW85+0)*(1+BQ85)</f>
        <v>0</v>
      </c>
      <c r="AEK85" s="20" t="n">
        <f aca="false">(ALK84-TX85+0)*(1+BQ85)</f>
        <v>0</v>
      </c>
      <c r="AEL85" s="20" t="n">
        <f aca="false">(ALL84-TY85+0)*(1+BQ85)</f>
        <v>0</v>
      </c>
      <c r="AEM85" s="20" t="n">
        <f aca="false">(ALM84-TZ85+0)*(1+BQ85)</f>
        <v>0</v>
      </c>
      <c r="AEN85" s="20" t="n">
        <f aca="false">(ALN84-UA85+0)*(1+BQ85)</f>
        <v>0</v>
      </c>
      <c r="AEO85" s="20" t="n">
        <f aca="false">(ALO84-UB85+0)*(1+BQ85)</f>
        <v>0</v>
      </c>
      <c r="AEP85" s="20" t="n">
        <f aca="false">(ALP84-UC85+0)*(1+BQ85)</f>
        <v>0</v>
      </c>
      <c r="AEQ85" s="20" t="n">
        <f aca="false">(ALQ84-UD85+0)*(1+BQ85)</f>
        <v>0</v>
      </c>
      <c r="AER85" s="20" t="n">
        <f aca="false">(ALR84-UE85+0)*(1+BQ85)</f>
        <v>0</v>
      </c>
      <c r="AES85" s="20" t="n">
        <f aca="false">(ALS84-UF85+0)*(1+BQ85)</f>
        <v>0</v>
      </c>
      <c r="AET85" s="20" t="n">
        <f aca="false">(ALT84-UG85+0)*(1+BQ85)</f>
        <v>0</v>
      </c>
      <c r="AEU85" s="20" t="n">
        <f aca="false">(ALU84-UH85+0)*(1+BQ85)</f>
        <v>0</v>
      </c>
      <c r="AEV85" s="20" t="n">
        <f aca="false">(ALV84-UI85+0)*(1+BQ85)</f>
        <v>0</v>
      </c>
      <c r="AEW85" s="20" t="n">
        <f aca="false">(ALW84-UJ85+0)*(1+BQ85)</f>
        <v>0</v>
      </c>
      <c r="AEX85" s="20" t="n">
        <f aca="false">(ALX84-UK85+0)*(1+BQ85)</f>
        <v>0</v>
      </c>
      <c r="AEY85" s="20" t="n">
        <f aca="false">(ALY84-UL85+0)*(1+BQ85)</f>
        <v>0</v>
      </c>
      <c r="AEZ85" s="20" t="n">
        <f aca="false">(ALZ84-UM85+0)*(1+BQ85)</f>
        <v>0</v>
      </c>
      <c r="AFA85" s="20" t="n">
        <f aca="false">(AMA84-UN85+0)*(1+BQ85)</f>
        <v>0</v>
      </c>
      <c r="AFB85" s="20" t="n">
        <f aca="false">(AMB84-UO85+0)*(1+BQ85)</f>
        <v>0</v>
      </c>
      <c r="AFC85" s="20" t="n">
        <f aca="false">(AMC84-UP85+0)*(1+BQ85)</f>
        <v>0</v>
      </c>
      <c r="AFD85" s="20" t="n">
        <f aca="false">(AMD84-UQ85+0)*(1+BQ85)</f>
        <v>0</v>
      </c>
      <c r="AFE85" s="20" t="n">
        <f aca="false">(AME84-UR85+0)*(1+BQ85)</f>
        <v>0</v>
      </c>
      <c r="AFF85" s="20" t="n">
        <f aca="false">(AMF84-US85+0)*(1+BQ85)</f>
        <v>0</v>
      </c>
      <c r="AFG85" s="20" t="n">
        <f aca="false">(AMG84-UT85+0)*(1+BQ85)</f>
        <v>0</v>
      </c>
      <c r="AFH85" s="20" t="n">
        <f aca="false">(AMH84-UU85+0)*(1+BQ85)</f>
        <v>0</v>
      </c>
      <c r="AFI85" s="20" t="n">
        <f aca="false">(AMI84-UV85+0)*(1+BQ85)</f>
        <v>0</v>
      </c>
      <c r="AFJ85" s="20" t="n">
        <f aca="false">(AMJ84-UW85+0)*(1+BQ85)</f>
        <v>0</v>
      </c>
      <c r="AFK85" s="20" t="n">
        <f aca="false">(AMK84-UX85+0)*(1+BQ85)</f>
        <v>0</v>
      </c>
      <c r="AFL85" s="20" t="n">
        <f aca="false">(AML84-UY85+0)*(1+BQ85)</f>
        <v>0</v>
      </c>
      <c r="AFM85" s="20" t="n">
        <f aca="false">(AMM84-UZ85+0)*(1+BQ85)</f>
        <v>0</v>
      </c>
      <c r="AFN85" s="20" t="n">
        <f aca="false">(AMN84-VA85+0)*(1+BQ85)</f>
        <v>0</v>
      </c>
      <c r="AFO85" s="20" t="n">
        <f aca="false">(AMO84-VB85+0)*(1+BQ85)</f>
        <v>0</v>
      </c>
      <c r="AFP85" s="20" t="n">
        <f aca="false">(AMP84-VC85+0)*(1+BQ85)</f>
        <v>0</v>
      </c>
      <c r="AFQ85" s="20" t="n">
        <f aca="false">(AMQ84-VD85+0)*(1+BQ85)</f>
        <v>0</v>
      </c>
      <c r="AFR85" s="20" t="n">
        <f aca="false">(AMR84-VE85+0)*(1+BQ85)</f>
        <v>0</v>
      </c>
      <c r="AFS85" s="20" t="n">
        <f aca="false">(AMS84-VF85+0)*(1+BQ85)</f>
        <v>0</v>
      </c>
      <c r="AFT85" s="20" t="n">
        <f aca="false">(AMT84-VG85+0)*(1+BQ85)</f>
        <v>0</v>
      </c>
      <c r="AFU85" s="20" t="n">
        <f aca="false">(AMU84-VH85+0)*(1+BQ85)</f>
        <v>0</v>
      </c>
      <c r="AFV85" s="20" t="n">
        <f aca="false">(AMV84-VI85+0)*(1+BQ85)</f>
        <v>0</v>
      </c>
      <c r="AFW85" s="20" t="n">
        <f aca="false">(AMW84-VJ85+0)*(1+BQ85)</f>
        <v>0</v>
      </c>
      <c r="AFX85" s="20" t="n">
        <f aca="false">(AMX84-VK85+0)*(1+BQ85)</f>
        <v>0</v>
      </c>
      <c r="AFY85" s="20" t="n">
        <f aca="false">(AMY84-VL85+0)*(1+BQ85)</f>
        <v>0</v>
      </c>
      <c r="AFZ85" s="20" t="n">
        <f aca="false">(AMZ84-VM85+0)*(1+BQ85)</f>
        <v>0</v>
      </c>
      <c r="AGA85" s="20" t="n">
        <f aca="false">(ANA84-VN85+0)*(1+BQ85)</f>
        <v>0</v>
      </c>
      <c r="AGB85" s="20" t="n">
        <f aca="false">(ANB84-VO85+0)*(1+BQ85)</f>
        <v>0</v>
      </c>
      <c r="AGC85" s="20" t="n">
        <f aca="false">(ANC84-VP85+0)*(1+BQ85)</f>
        <v>0</v>
      </c>
      <c r="AGD85" s="20" t="n">
        <f aca="false">(AND84-VQ85+0)*(1+BQ85)</f>
        <v>0</v>
      </c>
      <c r="AGE85" s="20" t="n">
        <f aca="false">(ANE84-VR85+0)*(1+BQ85)</f>
        <v>0</v>
      </c>
      <c r="AGF85" s="20" t="n">
        <f aca="false">(ANF84-VS85+0)*(1+BQ85)</f>
        <v>0</v>
      </c>
      <c r="AGG85" s="20" t="n">
        <f aca="false">(ANG84-VT85+0)*(1+BQ85)</f>
        <v>0</v>
      </c>
      <c r="AGH85" s="20" t="n">
        <f aca="false">(ANH84-VU85+0)*(1+BQ85)</f>
        <v>0</v>
      </c>
      <c r="AGI85" s="20" t="n">
        <f aca="false">(ANI84-VV85+0)*(1+BQ85)</f>
        <v>0</v>
      </c>
      <c r="AGJ85" s="20" t="n">
        <f aca="false">(ANJ84-VW85+0)*(1+BQ85)</f>
        <v>0</v>
      </c>
      <c r="AGK85" s="20" t="n">
        <f aca="false">(ANK84-VX85+0)*(1+BQ85)</f>
        <v>0</v>
      </c>
      <c r="AGL85" s="20" t="n">
        <f aca="false">(ANL84-VY85+0)*(1+BQ85)</f>
        <v>0</v>
      </c>
      <c r="AGM85" s="20" t="n">
        <f aca="false">(ANM84-VZ85+0)*(1+BQ85)</f>
        <v>0</v>
      </c>
      <c r="AGN85" s="20" t="n">
        <f aca="false">(ANN84-WA85+0)*(1+BQ85)</f>
        <v>0</v>
      </c>
      <c r="AGO85" s="20" t="n">
        <f aca="false">(ANO84-WB85+0)*(1+BQ85)</f>
        <v>0</v>
      </c>
      <c r="AGP85" s="20" t="n">
        <f aca="false">(ANP84-WC85+0)*(1+BQ85)</f>
        <v>0</v>
      </c>
      <c r="AGQ85" s="20" t="n">
        <f aca="false">(ANQ84-WD85+0)*(1+BQ85)</f>
        <v>0</v>
      </c>
      <c r="AGR85" s="20" t="n">
        <f aca="false">((P85+S85)-WE85+BE85)*(1+BQ85)</f>
        <v>0</v>
      </c>
      <c r="AGS85" s="20" t="n">
        <v>0</v>
      </c>
      <c r="AGT85" s="20" t="n">
        <v>0</v>
      </c>
      <c r="AGU85" s="20" t="n">
        <v>0</v>
      </c>
      <c r="AGV85" s="20" t="n">
        <v>0</v>
      </c>
      <c r="AGW85" s="20" t="n">
        <v>0</v>
      </c>
      <c r="AGX85" s="20" t="n">
        <v>0</v>
      </c>
      <c r="AGY85" s="20" t="n">
        <v>0</v>
      </c>
      <c r="AGZ85" s="20" t="n">
        <v>0</v>
      </c>
      <c r="AHA85" s="20" t="n">
        <v>0</v>
      </c>
      <c r="AHB85" s="20" t="n">
        <v>0</v>
      </c>
      <c r="AHC85" s="20" t="n">
        <v>0</v>
      </c>
      <c r="AHD85" s="20" t="n">
        <v>0</v>
      </c>
      <c r="AHE85" s="20" t="n">
        <f aca="false">IF(AKR84&gt;0,AOE84-AOE84*TE85/AKR84,0)+0</f>
        <v>0</v>
      </c>
      <c r="AHF85" s="20" t="n">
        <f aca="false">IF(AKS84&gt;0,AOF84-AOF84*TF85/AKS84,0)+0</f>
        <v>0</v>
      </c>
      <c r="AHG85" s="20" t="n">
        <f aca="false">IF(AKT84&gt;0,AOG84-AOG84*TG85/AKT84,0)+0</f>
        <v>0</v>
      </c>
      <c r="AHH85" s="20" t="n">
        <f aca="false">IF(AKU84&gt;0,AOH84-AOH84*TH85/AKU84,0)+0</f>
        <v>0</v>
      </c>
      <c r="AHI85" s="20" t="n">
        <f aca="false">IF(AKV84&gt;0,AOI84-AOI84*TI85/AKV84,0)+0</f>
        <v>0</v>
      </c>
      <c r="AHJ85" s="20" t="n">
        <f aca="false">IF(AKW84&gt;0,AOJ84-AOJ84*TJ85/AKW84,0)+0</f>
        <v>0</v>
      </c>
      <c r="AHK85" s="20" t="n">
        <f aca="false">IF(AKX84&gt;0,AOK84-AOK84*TK85/AKX84,0)+0</f>
        <v>0</v>
      </c>
      <c r="AHL85" s="20" t="n">
        <f aca="false">IF(AKY84&gt;0,AOL84-AOL84*TL85/AKY84,0)+0</f>
        <v>0</v>
      </c>
      <c r="AHM85" s="20" t="n">
        <f aca="false">IF(AKZ84&gt;0,AOM84-AOM84*TM85/AKZ84,0)+0</f>
        <v>0</v>
      </c>
      <c r="AHN85" s="20" t="n">
        <f aca="false">IF(ALA84&gt;0,AON84-AON84*TN85/ALA84,0)+0</f>
        <v>0</v>
      </c>
      <c r="AHO85" s="20" t="n">
        <f aca="false">IF(ALB84&gt;0,AOO84-AOO84*TO85/ALB84,0)+0</f>
        <v>0</v>
      </c>
      <c r="AHP85" s="20" t="n">
        <f aca="false">IF(ALC84&gt;0,AOP84-AOP84*TP85/ALC84,0)+0</f>
        <v>0</v>
      </c>
      <c r="AHQ85" s="20" t="n">
        <f aca="false">IF(ALD84&gt;0,AOQ84-AOQ84*TQ85/ALD84,0)+0</f>
        <v>0</v>
      </c>
      <c r="AHR85" s="20" t="n">
        <f aca="false">IF(ALE84&gt;0,AOR84-AOR84*TR85/ALE84,0)+0</f>
        <v>0</v>
      </c>
      <c r="AHS85" s="20" t="n">
        <f aca="false">IF(ALF84&gt;0,AOS84-AOS84*TS85/ALF84,0)+0</f>
        <v>0</v>
      </c>
      <c r="AHT85" s="20" t="n">
        <f aca="false">IF(ALG84&gt;0,AOT84-AOT84*TT85/ALG84,0)+0</f>
        <v>0</v>
      </c>
      <c r="AHU85" s="20" t="n">
        <f aca="false">IF(ALH84&gt;0,AOU84-AOU84*TU85/ALH84,0)+0</f>
        <v>0</v>
      </c>
      <c r="AHV85" s="20" t="n">
        <f aca="false">IF(ALI84&gt;0,AOV84-AOV84*TV85/ALI84,0)+0</f>
        <v>0</v>
      </c>
      <c r="AHW85" s="20" t="n">
        <f aca="false">IF(ALJ84&gt;0,AOW84-AOW84*TW85/ALJ84,0)+0</f>
        <v>0</v>
      </c>
      <c r="AHX85" s="20" t="n">
        <f aca="false">IF(ALK84&gt;0,AOX84-AOX84*TX85/ALK84,0)+0</f>
        <v>0</v>
      </c>
      <c r="AHY85" s="20" t="n">
        <f aca="false">IF(ALL84&gt;0,AOY84-AOY84*TY85/ALL84,0)+0</f>
        <v>0</v>
      </c>
      <c r="AHZ85" s="20" t="n">
        <f aca="false">IF(ALM84&gt;0,AOZ84-AOZ84*TZ85/ALM84,0)+0</f>
        <v>0</v>
      </c>
      <c r="AIA85" s="20" t="n">
        <f aca="false">IF(ALN84&gt;0,APA84-APA84*UA85/ALN84,0)+0</f>
        <v>0</v>
      </c>
      <c r="AIB85" s="20" t="n">
        <f aca="false">IF(ALO84&gt;0,APB84-APB84*UB85/ALO84,0)+0</f>
        <v>0</v>
      </c>
      <c r="AIC85" s="20" t="n">
        <f aca="false">IF(ALP84&gt;0,APC84-APC84*UC85/ALP84,0)+0</f>
        <v>0</v>
      </c>
      <c r="AID85" s="20" t="n">
        <f aca="false">IF(ALQ84&gt;0,APD84-APD84*UD85/ALQ84,0)+0</f>
        <v>0</v>
      </c>
      <c r="AIE85" s="20" t="n">
        <f aca="false">IF(ALR84&gt;0,APE84-APE84*UE85/ALR84,0)+0</f>
        <v>0</v>
      </c>
      <c r="AIF85" s="20" t="n">
        <f aca="false">IF(ALS84&gt;0,APF84-APF84*UF85/ALS84,0)+0</f>
        <v>0</v>
      </c>
      <c r="AIG85" s="20" t="n">
        <f aca="false">IF(ALT84&gt;0,APG84-APG84*UG85/ALT84,0)+0</f>
        <v>0</v>
      </c>
      <c r="AIH85" s="20" t="n">
        <f aca="false">IF(ALU84&gt;0,APH84-APH84*UH85/ALU84,0)+0</f>
        <v>0</v>
      </c>
      <c r="AII85" s="20" t="n">
        <f aca="false">IF(ALV84&gt;0,API84-API84*UI85/ALV84,0)+0</f>
        <v>0</v>
      </c>
      <c r="AIJ85" s="20" t="n">
        <f aca="false">IF(ALW84&gt;0,APJ84-APJ84*UJ85/ALW84,0)+0</f>
        <v>0</v>
      </c>
      <c r="AIK85" s="20" t="n">
        <f aca="false">IF(ALX84&gt;0,APK84-APK84*UK85/ALX84,0)+0</f>
        <v>0</v>
      </c>
      <c r="AIL85" s="20" t="n">
        <f aca="false">IF(ALY84&gt;0,APL84-APL84*UL85/ALY84,0)+0</f>
        <v>0</v>
      </c>
      <c r="AIM85" s="20" t="n">
        <f aca="false">IF(ALZ84&gt;0,APM84-APM84*UM85/ALZ84,0)+0</f>
        <v>0</v>
      </c>
      <c r="AIN85" s="20" t="n">
        <f aca="false">IF(AMA84&gt;0,APN84-APN84*UN85/AMA84,0)+0</f>
        <v>0</v>
      </c>
      <c r="AIO85" s="20" t="n">
        <f aca="false">IF(AMB84&gt;0,APO84-APO84*UO85/AMB84,0)+0</f>
        <v>0</v>
      </c>
      <c r="AIP85" s="20" t="n">
        <f aca="false">IF(AMC84&gt;0,APP84-APP84*UP85/AMC84,0)+0</f>
        <v>0</v>
      </c>
      <c r="AIQ85" s="20" t="n">
        <f aca="false">IF(AMD84&gt;0,APQ84-APQ84*UQ85/AMD84,0)+0</f>
        <v>0</v>
      </c>
      <c r="AIR85" s="20" t="n">
        <f aca="false">IF(AME84&gt;0,APR84-APR84*UR85/AME84,0)+0</f>
        <v>0</v>
      </c>
      <c r="AIS85" s="20" t="n">
        <f aca="false">IF(AMF84&gt;0,APS84-APS84*US85/AMF84,0)+0</f>
        <v>0</v>
      </c>
      <c r="AIT85" s="20" t="n">
        <f aca="false">IF(AMG84&gt;0,APT84-APT84*UT85/AMG84,0)+0</f>
        <v>0</v>
      </c>
      <c r="AIU85" s="20" t="n">
        <f aca="false">IF(AMH84&gt;0,APU84-APU84*UU85/AMH84,0)+0</f>
        <v>0</v>
      </c>
      <c r="AIV85" s="20" t="n">
        <f aca="false">IF(AMI84&gt;0,APV84-APV84*UV85/AMI84,0)+0</f>
        <v>0</v>
      </c>
      <c r="AIW85" s="20" t="n">
        <f aca="false">IF(AMJ84&gt;0,APW84-APW84*UW85/AMJ84,0)+0</f>
        <v>0</v>
      </c>
      <c r="AIX85" s="20" t="n">
        <f aca="false">IF(AMK84&gt;0,APX84-APX84*UX85/AMK84,0)+0</f>
        <v>0</v>
      </c>
      <c r="AIY85" s="20" t="n">
        <f aca="false">IF(AML84&gt;0,APY84-APY84*UY85/AML84,0)+0</f>
        <v>0</v>
      </c>
      <c r="AIZ85" s="20" t="n">
        <f aca="false">IF(AMM84&gt;0,APZ84-APZ84*UZ85/AMM84,0)+0</f>
        <v>0</v>
      </c>
      <c r="AJA85" s="20" t="n">
        <f aca="false">IF(AMN84&gt;0,AQA84-AQA84*VA85/AMN84,0)+0</f>
        <v>0</v>
      </c>
      <c r="AJB85" s="20" t="n">
        <f aca="false">IF(AMO84&gt;0,AQB84-AQB84*VB85/AMO84,0)+0</f>
        <v>0</v>
      </c>
      <c r="AJC85" s="20" t="n">
        <f aca="false">IF(AMP84&gt;0,AQC84-AQC84*VC85/AMP84,0)+0</f>
        <v>0</v>
      </c>
      <c r="AJD85" s="20" t="n">
        <f aca="false">IF(AMQ84&gt;0,AQD84-AQD84*VD85/AMQ84,0)+0</f>
        <v>0</v>
      </c>
      <c r="AJE85" s="20" t="n">
        <f aca="false">IF(AMR84&gt;0,AQE84-AQE84*VE85/AMR84,0)+0</f>
        <v>0</v>
      </c>
      <c r="AJF85" s="20" t="n">
        <f aca="false">IF(AMS84&gt;0,AQF84-AQF84*VF85/AMS84,0)+0</f>
        <v>0</v>
      </c>
      <c r="AJG85" s="20" t="n">
        <f aca="false">IF(AMT84&gt;0,AQG84-AQG84*VG85/AMT84,0)+0</f>
        <v>0</v>
      </c>
      <c r="AJH85" s="20" t="n">
        <f aca="false">IF(AMU84&gt;0,AQH84-AQH84*VH85/AMU84,0)+0</f>
        <v>0</v>
      </c>
      <c r="AJI85" s="20" t="n">
        <f aca="false">IF(AMV84&gt;0,AQI84-AQI84*VI85/AMV84,0)+0</f>
        <v>0</v>
      </c>
      <c r="AJJ85" s="20" t="n">
        <f aca="false">IF(AMW84&gt;0,AQJ84-AQJ84*VJ85/AMW84,0)+0</f>
        <v>0</v>
      </c>
      <c r="AJK85" s="20" t="n">
        <f aca="false">IF(AMX84&gt;0,AQK84-AQK84*VK85/AMX84,0)+0</f>
        <v>0</v>
      </c>
      <c r="AJL85" s="20" t="n">
        <f aca="false">IF(AMY84&gt;0,AQL84-AQL84*VL85/AMY84,0)+0</f>
        <v>0</v>
      </c>
      <c r="AJM85" s="20" t="n">
        <f aca="false">IF(AMZ84&gt;0,AQM84-AQM84*VM85/AMZ84,0)+0</f>
        <v>0</v>
      </c>
      <c r="AJN85" s="20" t="n">
        <f aca="false">IF(ANA84&gt;0,AQN84-AQN84*VN85/ANA84,0)+0</f>
        <v>0</v>
      </c>
      <c r="AJO85" s="20" t="n">
        <f aca="false">IF(ANB84&gt;0,AQO84-AQO84*VO85/ANB84,0)+0</f>
        <v>0</v>
      </c>
      <c r="AJP85" s="20" t="n">
        <f aca="false">IF(ANC84&gt;0,AQP84-AQP84*VP85/ANC84,0)+0</f>
        <v>0</v>
      </c>
      <c r="AJQ85" s="20" t="n">
        <f aca="false">IF(AND84&gt;0,AQQ84-AQQ84*VQ85/AND84,0)+0</f>
        <v>0</v>
      </c>
      <c r="AJR85" s="20" t="n">
        <f aca="false">IF(ANE84&gt;0,AQR84-AQR84*VR85/ANE84,0)+0</f>
        <v>0</v>
      </c>
      <c r="AJS85" s="20" t="n">
        <f aca="false">IF(ANF84&gt;0,AQS84-AQS84*VS85/ANF84,0)+0</f>
        <v>0</v>
      </c>
      <c r="AJT85" s="20" t="n">
        <f aca="false">IF(ANG84&gt;0,AQT84-AQT84*VT85/ANG84,0)+0</f>
        <v>0</v>
      </c>
      <c r="AJU85" s="20" t="n">
        <f aca="false">IF(ANH84&gt;0,AQU84-AQU84*VU85/ANH84,0)+0</f>
        <v>0</v>
      </c>
      <c r="AJV85" s="20" t="n">
        <f aca="false">IF(ANI84&gt;0,AQV84-AQV84*VV85/ANI84,0)+0</f>
        <v>0</v>
      </c>
      <c r="AJW85" s="20" t="n">
        <f aca="false">IF(ANJ84&gt;0,AQW84-AQW84*VW85/ANJ84,0)+0</f>
        <v>0</v>
      </c>
      <c r="AJX85" s="20" t="n">
        <f aca="false">IF(ANK84&gt;0,AQX84-AQX84*VX85/ANK84,0)+0</f>
        <v>0</v>
      </c>
      <c r="AJY85" s="20" t="n">
        <f aca="false">IF(ANL84&gt;0,AQY84-AQY84*VY85/ANL84,0)+0</f>
        <v>0</v>
      </c>
      <c r="AJZ85" s="20" t="n">
        <f aca="false">IF(ANM84&gt;0,AQZ84-AQZ84*VZ85/ANM84,0)+0</f>
        <v>0</v>
      </c>
      <c r="AKA85" s="20" t="n">
        <f aca="false">IF(ANN84&gt;0,ARA84-ARA84*WA85/ANN84,0)+0</f>
        <v>0</v>
      </c>
      <c r="AKB85" s="20" t="n">
        <f aca="false">IF(ANO84&gt;0,ARB84-ARB84*WB85/ANO84,0)+0</f>
        <v>0</v>
      </c>
      <c r="AKC85" s="20" t="n">
        <f aca="false">IF(ANP84&gt;0,ARC84-ARC84*WC85/ANP84,0)+0</f>
        <v>0</v>
      </c>
      <c r="AKD85" s="20" t="n">
        <f aca="false">IF(ANQ84&gt;0,ARD84-ARD84*WD85/ANQ84,0)+0</f>
        <v>0</v>
      </c>
      <c r="AKE85" s="20" t="n">
        <f aca="false">IF((P85+S85)&gt;0,(P85+S85)-(P85+S85)*WE85/(P85+S85),0)+BE85</f>
        <v>0</v>
      </c>
      <c r="AKF85" s="20" t="n">
        <v>0</v>
      </c>
      <c r="AKG85" s="20" t="n">
        <v>0</v>
      </c>
      <c r="AKH85" s="20" t="n">
        <v>0</v>
      </c>
      <c r="AKI85" s="20" t="n">
        <v>0</v>
      </c>
      <c r="AKJ85" s="20" t="n">
        <v>0</v>
      </c>
      <c r="AKK85" s="20" t="n">
        <v>0</v>
      </c>
      <c r="AKL85" s="20" t="n">
        <v>0</v>
      </c>
      <c r="AKM85" s="20" t="n">
        <v>0</v>
      </c>
      <c r="AKN85" s="20" t="n">
        <v>0</v>
      </c>
      <c r="AKO85" s="20" t="n">
        <v>0</v>
      </c>
      <c r="AKP85" s="20" t="n">
        <v>0</v>
      </c>
      <c r="AKQ85" s="20" t="n">
        <v>0</v>
      </c>
      <c r="AKR85" s="20" t="n">
        <f aca="false">ADR85-AVE85</f>
        <v>0</v>
      </c>
      <c r="AKS85" s="20" t="n">
        <f aca="false">ADS85-AVF85</f>
        <v>0</v>
      </c>
      <c r="AKT85" s="20" t="n">
        <f aca="false">ADT85-AVG85</f>
        <v>0</v>
      </c>
      <c r="AKU85" s="20" t="n">
        <f aca="false">ADU85-AVH85</f>
        <v>0</v>
      </c>
      <c r="AKV85" s="20" t="n">
        <f aca="false">ADV85-AVI85</f>
        <v>0</v>
      </c>
      <c r="AKW85" s="20" t="n">
        <f aca="false">ADW85-AVJ85</f>
        <v>0</v>
      </c>
      <c r="AKX85" s="20" t="n">
        <f aca="false">ADX85-AVK85</f>
        <v>0</v>
      </c>
      <c r="AKY85" s="20" t="n">
        <f aca="false">ADY85-AVL85</f>
        <v>0</v>
      </c>
      <c r="AKZ85" s="20" t="n">
        <f aca="false">ADZ85-AVM85</f>
        <v>0</v>
      </c>
      <c r="ALA85" s="20" t="n">
        <f aca="false">AEA85-AVN85</f>
        <v>0</v>
      </c>
      <c r="ALB85" s="20" t="n">
        <f aca="false">AEB85-AVO85</f>
        <v>0</v>
      </c>
      <c r="ALC85" s="20" t="n">
        <f aca="false">AEC85-AVP85</f>
        <v>0</v>
      </c>
      <c r="ALD85" s="20" t="n">
        <f aca="false">AED85-AVQ85</f>
        <v>0</v>
      </c>
      <c r="ALE85" s="20" t="n">
        <f aca="false">AEE85-AVR85</f>
        <v>0</v>
      </c>
      <c r="ALF85" s="20" t="n">
        <f aca="false">AEF85-AVS85</f>
        <v>0</v>
      </c>
      <c r="ALG85" s="20" t="n">
        <f aca="false">AEG85-AVT85</f>
        <v>0</v>
      </c>
      <c r="ALH85" s="20" t="n">
        <f aca="false">AEH85-AVU85</f>
        <v>0</v>
      </c>
      <c r="ALI85" s="20" t="n">
        <f aca="false">AEI85-AVV85</f>
        <v>0</v>
      </c>
      <c r="ALJ85" s="20" t="n">
        <f aca="false">AEJ85-AVW85</f>
        <v>0</v>
      </c>
      <c r="ALK85" s="20" t="n">
        <f aca="false">AEK85-AVX85</f>
        <v>0</v>
      </c>
      <c r="ALL85" s="20" t="n">
        <f aca="false">AEL85-AVY85</f>
        <v>0</v>
      </c>
      <c r="ALM85" s="20" t="n">
        <f aca="false">AEM85-AVZ85</f>
        <v>0</v>
      </c>
      <c r="ALN85" s="20" t="n">
        <f aca="false">AEN85-AWA85</f>
        <v>0</v>
      </c>
      <c r="ALO85" s="20" t="n">
        <f aca="false">AEO85-AWB85</f>
        <v>0</v>
      </c>
      <c r="ALP85" s="20" t="n">
        <f aca="false">AEP85-AWC85</f>
        <v>0</v>
      </c>
      <c r="ALQ85" s="20" t="n">
        <f aca="false">AEQ85-AWD85</f>
        <v>0</v>
      </c>
      <c r="ALR85" s="20" t="n">
        <f aca="false">AER85-AWE85</f>
        <v>0</v>
      </c>
      <c r="ALS85" s="20" t="n">
        <f aca="false">AES85-AWF85</f>
        <v>0</v>
      </c>
      <c r="ALT85" s="20" t="n">
        <f aca="false">AET85-AWG85</f>
        <v>0</v>
      </c>
      <c r="ALU85" s="20" t="n">
        <f aca="false">AEU85-AWH85</f>
        <v>0</v>
      </c>
      <c r="ALV85" s="20" t="n">
        <f aca="false">AEV85-AWI85</f>
        <v>0</v>
      </c>
      <c r="ALW85" s="20" t="n">
        <f aca="false">AEW85-AWJ85</f>
        <v>0</v>
      </c>
      <c r="ALX85" s="20" t="n">
        <f aca="false">AEX85-AWK85</f>
        <v>0</v>
      </c>
      <c r="ALY85" s="20" t="n">
        <f aca="false">AEY85-AWL85</f>
        <v>0</v>
      </c>
      <c r="ALZ85" s="20" t="n">
        <f aca="false">AEZ85-AWM85</f>
        <v>0</v>
      </c>
      <c r="AMA85" s="20" t="n">
        <f aca="false">AFA85-AWN85</f>
        <v>0</v>
      </c>
      <c r="AMB85" s="20" t="n">
        <f aca="false">AFB85-AWO85</f>
        <v>0</v>
      </c>
      <c r="AMC85" s="20" t="n">
        <f aca="false">AFC85-AWP85</f>
        <v>0</v>
      </c>
      <c r="AMD85" s="20" t="n">
        <f aca="false">AFD85-AWQ85</f>
        <v>0</v>
      </c>
      <c r="AME85" s="20" t="n">
        <f aca="false">AFE85-AWR85</f>
        <v>0</v>
      </c>
      <c r="AMF85" s="20" t="n">
        <f aca="false">AFF85-AWS85</f>
        <v>0</v>
      </c>
      <c r="AMG85" s="20" t="n">
        <f aca="false">AFG85-AWT85</f>
        <v>0</v>
      </c>
      <c r="AMH85" s="20" t="n">
        <f aca="false">AFH85-AWU85</f>
        <v>0</v>
      </c>
      <c r="AMI85" s="20" t="n">
        <f aca="false">AFI85-AWV85</f>
        <v>0</v>
      </c>
      <c r="AMJ85" s="20" t="n">
        <f aca="false">AFJ85-AWW85</f>
        <v>0</v>
      </c>
      <c r="AMK85" s="20" t="n">
        <f aca="false">AFK85-AWX85</f>
        <v>0</v>
      </c>
      <c r="AML85" s="20" t="n">
        <f aca="false">AFL85-AWY85</f>
        <v>0</v>
      </c>
      <c r="AMM85" s="20" t="n">
        <f aca="false">AFM85-AWZ85</f>
        <v>0</v>
      </c>
      <c r="AMN85" s="20" t="n">
        <f aca="false">AFN85-AXA85</f>
        <v>0</v>
      </c>
      <c r="AMO85" s="20" t="n">
        <f aca="false">AFO85-AXB85</f>
        <v>0</v>
      </c>
      <c r="AMP85" s="20" t="n">
        <f aca="false">AFP85-AXC85</f>
        <v>0</v>
      </c>
      <c r="AMQ85" s="20" t="n">
        <f aca="false">AFQ85-AXD85</f>
        <v>0</v>
      </c>
      <c r="AMR85" s="20" t="n">
        <f aca="false">AFR85-AXE85</f>
        <v>0</v>
      </c>
      <c r="AMS85" s="20" t="n">
        <f aca="false">AFS85-AXF85</f>
        <v>0</v>
      </c>
      <c r="AMT85" s="20" t="n">
        <f aca="false">AFT85-AXG85</f>
        <v>0</v>
      </c>
      <c r="AMU85" s="20" t="n">
        <f aca="false">AFU85-AXH85</f>
        <v>0</v>
      </c>
      <c r="AMV85" s="20" t="n">
        <f aca="false">AFV85-AXI85</f>
        <v>0</v>
      </c>
      <c r="AMW85" s="20" t="n">
        <f aca="false">AFW85-AXJ85</f>
        <v>0</v>
      </c>
      <c r="AMX85" s="20" t="n">
        <f aca="false">AFX85-AXK85</f>
        <v>0</v>
      </c>
      <c r="AMY85" s="20" t="n">
        <f aca="false">AFY85-AXL85</f>
        <v>0</v>
      </c>
      <c r="AMZ85" s="20" t="n">
        <f aca="false">AFZ85-AXM85</f>
        <v>0</v>
      </c>
      <c r="ANA85" s="20" t="n">
        <f aca="false">AGA85-AXN85</f>
        <v>0</v>
      </c>
      <c r="ANB85" s="20" t="n">
        <f aca="false">AGB85-AXO85</f>
        <v>0</v>
      </c>
      <c r="ANC85" s="20" t="n">
        <f aca="false">AGC85-AXP85</f>
        <v>0</v>
      </c>
      <c r="AND85" s="20" t="n">
        <f aca="false">AGD85-AXQ85</f>
        <v>0</v>
      </c>
      <c r="ANE85" s="20" t="n">
        <f aca="false">AGE85-AXR85</f>
        <v>0</v>
      </c>
      <c r="ANF85" s="20" t="n">
        <f aca="false">AGF85-AXS85</f>
        <v>0</v>
      </c>
      <c r="ANG85" s="20" t="n">
        <f aca="false">AGG85-AXT85</f>
        <v>0</v>
      </c>
      <c r="ANH85" s="20" t="n">
        <f aca="false">AGH85-AXU85</f>
        <v>0</v>
      </c>
      <c r="ANI85" s="20" t="n">
        <f aca="false">AGI85-AXV85</f>
        <v>0</v>
      </c>
      <c r="ANJ85" s="20" t="n">
        <f aca="false">AGJ85-AXW85</f>
        <v>0</v>
      </c>
      <c r="ANK85" s="20" t="n">
        <f aca="false">AGK85-AXX85</f>
        <v>0</v>
      </c>
      <c r="ANL85" s="20" t="n">
        <f aca="false">AGL85-AXY85</f>
        <v>0</v>
      </c>
      <c r="ANM85" s="20" t="n">
        <f aca="false">AGM85-AXZ85</f>
        <v>0</v>
      </c>
      <c r="ANN85" s="20" t="n">
        <f aca="false">AGN85-AYA85</f>
        <v>0</v>
      </c>
      <c r="ANO85" s="20" t="n">
        <f aca="false">AGO85-AYB85</f>
        <v>0</v>
      </c>
      <c r="ANP85" s="20" t="n">
        <f aca="false">AGP85-AYC85</f>
        <v>0</v>
      </c>
      <c r="ANQ85" s="20" t="n">
        <f aca="false">AGQ85-AYD85</f>
        <v>0</v>
      </c>
      <c r="ANR85" s="20" t="n">
        <f aca="false">AGR85-AYE85</f>
        <v>0</v>
      </c>
      <c r="ANS85" s="20" t="n">
        <v>0</v>
      </c>
      <c r="ANT85" s="20" t="n">
        <v>0</v>
      </c>
      <c r="ANU85" s="20" t="n">
        <v>0</v>
      </c>
      <c r="ANV85" s="20" t="n">
        <v>0</v>
      </c>
      <c r="ANW85" s="20" t="n">
        <v>0</v>
      </c>
      <c r="ANX85" s="20" t="n">
        <v>0</v>
      </c>
      <c r="ANY85" s="20" t="n">
        <v>0</v>
      </c>
      <c r="ANZ85" s="20" t="n">
        <v>0</v>
      </c>
      <c r="AOA85" s="20" t="n">
        <v>0</v>
      </c>
      <c r="AOB85" s="20" t="n">
        <v>0</v>
      </c>
      <c r="AOC85" s="20" t="n">
        <v>0</v>
      </c>
      <c r="AOD85" s="20" t="n">
        <v>0</v>
      </c>
      <c r="AOE85" s="20" t="n">
        <f aca="false">IF(AND(H_Direct=0,H_TaxEvt=1,ARR84+1&gt;=H_Deemed),AKR85,AHE85)</f>
        <v>0</v>
      </c>
      <c r="AOF85" s="20" t="n">
        <f aca="false">IF(AND(H_Direct=0,H_TaxEvt=1,ARS84+1&gt;=H_Deemed),AKS85,AHF85)</f>
        <v>0</v>
      </c>
      <c r="AOG85" s="20" t="n">
        <f aca="false">IF(AND(H_Direct=0,H_TaxEvt=1,ART84+1&gt;=H_Deemed),AKT85,AHG85)</f>
        <v>0</v>
      </c>
      <c r="AOH85" s="20" t="n">
        <f aca="false">IF(AND(H_Direct=0,H_TaxEvt=1,ARU84+1&gt;=H_Deemed),AKU85,AHH85)</f>
        <v>0</v>
      </c>
      <c r="AOI85" s="20" t="n">
        <f aca="false">IF(AND(H_Direct=0,H_TaxEvt=1,ARV84+1&gt;=H_Deemed),AKV85,AHI85)</f>
        <v>0</v>
      </c>
      <c r="AOJ85" s="20" t="n">
        <f aca="false">IF(AND(H_Direct=0,H_TaxEvt=1,ARW84+1&gt;=H_Deemed),AKW85,AHJ85)</f>
        <v>0</v>
      </c>
      <c r="AOK85" s="20" t="n">
        <f aca="false">IF(AND(H_Direct=0,H_TaxEvt=1,ARX84+1&gt;=H_Deemed),AKX85,AHK85)</f>
        <v>0</v>
      </c>
      <c r="AOL85" s="20" t="n">
        <f aca="false">IF(AND(H_Direct=0,H_TaxEvt=1,ARY84+1&gt;=H_Deemed),AKY85,AHL85)</f>
        <v>0</v>
      </c>
      <c r="AOM85" s="20" t="n">
        <f aca="false">IF(AND(H_Direct=0,H_TaxEvt=1,ARZ84+1&gt;=H_Deemed),AKZ85,AHM85)</f>
        <v>0</v>
      </c>
      <c r="AON85" s="20" t="n">
        <f aca="false">IF(AND(H_Direct=0,H_TaxEvt=1,ASA84+1&gt;=H_Deemed),ALA85,AHN85)</f>
        <v>0</v>
      </c>
      <c r="AOO85" s="20" t="n">
        <f aca="false">IF(AND(H_Direct=0,H_TaxEvt=1,ASB84+1&gt;=H_Deemed),ALB85,AHO85)</f>
        <v>0</v>
      </c>
      <c r="AOP85" s="20" t="n">
        <f aca="false">IF(AND(H_Direct=0,H_TaxEvt=1,ASC84+1&gt;=H_Deemed),ALC85,AHP85)</f>
        <v>0</v>
      </c>
      <c r="AOQ85" s="20" t="n">
        <f aca="false">IF(AND(H_Direct=0,H_TaxEvt=1,ASD84+1&gt;=H_Deemed),ALD85,AHQ85)</f>
        <v>0</v>
      </c>
      <c r="AOR85" s="20" t="n">
        <f aca="false">IF(AND(H_Direct=0,H_TaxEvt=1,ASE84+1&gt;=H_Deemed),ALE85,AHR85)</f>
        <v>0</v>
      </c>
      <c r="AOS85" s="20" t="n">
        <f aca="false">IF(AND(H_Direct=0,H_TaxEvt=1,ASF84+1&gt;=H_Deemed),ALF85,AHS85)</f>
        <v>0</v>
      </c>
      <c r="AOT85" s="20" t="n">
        <f aca="false">IF(AND(H_Direct=0,H_TaxEvt=1,ASG84+1&gt;=H_Deemed),ALG85,AHT85)</f>
        <v>0</v>
      </c>
      <c r="AOU85" s="20" t="n">
        <f aca="false">IF(AND(H_Direct=0,H_TaxEvt=1,ASH84+1&gt;=H_Deemed),ALH85,AHU85)</f>
        <v>0</v>
      </c>
      <c r="AOV85" s="20" t="n">
        <f aca="false">IF(AND(H_Direct=0,H_TaxEvt=1,ASI84+1&gt;=H_Deemed),ALI85,AHV85)</f>
        <v>0</v>
      </c>
      <c r="AOW85" s="20" t="n">
        <f aca="false">IF(AND(H_Direct=0,H_TaxEvt=1,ASJ84+1&gt;=H_Deemed),ALJ85,AHW85)</f>
        <v>0</v>
      </c>
      <c r="AOX85" s="20" t="n">
        <f aca="false">IF(AND(H_Direct=0,H_TaxEvt=1,ASK84+1&gt;=H_Deemed),ALK85,AHX85)</f>
        <v>0</v>
      </c>
      <c r="AOY85" s="20" t="n">
        <f aca="false">IF(AND(H_Direct=0,H_TaxEvt=1,ASL84+1&gt;=H_Deemed),ALL85,AHY85)</f>
        <v>0</v>
      </c>
      <c r="AOZ85" s="20" t="n">
        <f aca="false">IF(AND(H_Direct=0,H_TaxEvt=1,ASM84+1&gt;=H_Deemed),ALM85,AHZ85)</f>
        <v>0</v>
      </c>
      <c r="APA85" s="20" t="n">
        <f aca="false">IF(AND(H_Direct=0,H_TaxEvt=1,ASN84+1&gt;=H_Deemed),ALN85,AIA85)</f>
        <v>0</v>
      </c>
      <c r="APB85" s="20" t="n">
        <f aca="false">IF(AND(H_Direct=0,H_TaxEvt=1,ASO84+1&gt;=H_Deemed),ALO85,AIB85)</f>
        <v>0</v>
      </c>
      <c r="APC85" s="20" t="n">
        <f aca="false">IF(AND(H_Direct=0,H_TaxEvt=1,ASP84+1&gt;=H_Deemed),ALP85,AIC85)</f>
        <v>0</v>
      </c>
      <c r="APD85" s="20" t="n">
        <f aca="false">IF(AND(H_Direct=0,H_TaxEvt=1,ASQ84+1&gt;=H_Deemed),ALQ85,AID85)</f>
        <v>0</v>
      </c>
      <c r="APE85" s="20" t="n">
        <f aca="false">IF(AND(H_Direct=0,H_TaxEvt=1,ASR84+1&gt;=H_Deemed),ALR85,AIE85)</f>
        <v>0</v>
      </c>
      <c r="APF85" s="20" t="n">
        <f aca="false">IF(AND(H_Direct=0,H_TaxEvt=1,ASS84+1&gt;=H_Deemed),ALS85,AIF85)</f>
        <v>0</v>
      </c>
      <c r="APG85" s="20" t="n">
        <f aca="false">IF(AND(H_Direct=0,H_TaxEvt=1,AST84+1&gt;=H_Deemed),ALT85,AIG85)</f>
        <v>0</v>
      </c>
      <c r="APH85" s="20" t="n">
        <f aca="false">IF(AND(H_Direct=0,H_TaxEvt=1,ASU84+1&gt;=H_Deemed),ALU85,AIH85)</f>
        <v>0</v>
      </c>
      <c r="API85" s="20" t="n">
        <f aca="false">IF(AND(H_Direct=0,H_TaxEvt=1,ASV84+1&gt;=H_Deemed),ALV85,AII85)</f>
        <v>0</v>
      </c>
      <c r="APJ85" s="20" t="n">
        <f aca="false">IF(AND(H_Direct=0,H_TaxEvt=1,ASW84+1&gt;=H_Deemed),ALW85,AIJ85)</f>
        <v>0</v>
      </c>
      <c r="APK85" s="20" t="n">
        <f aca="false">IF(AND(H_Direct=0,H_TaxEvt=1,ASX84+1&gt;=H_Deemed),ALX85,AIK85)</f>
        <v>0</v>
      </c>
      <c r="APL85" s="20" t="n">
        <f aca="false">IF(AND(H_Direct=0,H_TaxEvt=1,ASY84+1&gt;=H_Deemed),ALY85,AIL85)</f>
        <v>0</v>
      </c>
      <c r="APM85" s="20" t="n">
        <f aca="false">IF(AND(H_Direct=0,H_TaxEvt=1,ASZ84+1&gt;=H_Deemed),ALZ85,AIM85)</f>
        <v>0</v>
      </c>
      <c r="APN85" s="20" t="n">
        <f aca="false">IF(AND(H_Direct=0,H_TaxEvt=1,ATA84+1&gt;=H_Deemed),AMA85,AIN85)</f>
        <v>0</v>
      </c>
      <c r="APO85" s="20" t="n">
        <f aca="false">IF(AND(H_Direct=0,H_TaxEvt=1,ATB84+1&gt;=H_Deemed),AMB85,AIO85)</f>
        <v>0</v>
      </c>
      <c r="APP85" s="20" t="n">
        <f aca="false">IF(AND(H_Direct=0,H_TaxEvt=1,ATC84+1&gt;=H_Deemed),AMC85,AIP85)</f>
        <v>0</v>
      </c>
      <c r="APQ85" s="20" t="n">
        <f aca="false">IF(AND(H_Direct=0,H_TaxEvt=1,ATD84+1&gt;=H_Deemed),AMD85,AIQ85)</f>
        <v>0</v>
      </c>
      <c r="APR85" s="20" t="n">
        <f aca="false">IF(AND(H_Direct=0,H_TaxEvt=1,ATE84+1&gt;=H_Deemed),AME85,AIR85)</f>
        <v>0</v>
      </c>
      <c r="APS85" s="20" t="n">
        <f aca="false">IF(AND(H_Direct=0,H_TaxEvt=1,ATF84+1&gt;=H_Deemed),AMF85,AIS85)</f>
        <v>0</v>
      </c>
      <c r="APT85" s="20" t="n">
        <f aca="false">IF(AND(H_Direct=0,H_TaxEvt=1,ATG84+1&gt;=H_Deemed),AMG85,AIT85)</f>
        <v>0</v>
      </c>
      <c r="APU85" s="20" t="n">
        <f aca="false">IF(AND(H_Direct=0,H_TaxEvt=1,ATH84+1&gt;=H_Deemed),AMH85,AIU85)</f>
        <v>0</v>
      </c>
      <c r="APV85" s="20" t="n">
        <f aca="false">IF(AND(H_Direct=0,H_TaxEvt=1,ATI84+1&gt;=H_Deemed),AMI85,AIV85)</f>
        <v>0</v>
      </c>
      <c r="APW85" s="20" t="n">
        <f aca="false">IF(AND(H_Direct=0,H_TaxEvt=1,ATJ84+1&gt;=H_Deemed),AMJ85,AIW85)</f>
        <v>0</v>
      </c>
      <c r="APX85" s="20" t="n">
        <f aca="false">IF(AND(H_Direct=0,H_TaxEvt=1,ATK84+1&gt;=H_Deemed),AMK85,AIX85)</f>
        <v>0</v>
      </c>
      <c r="APY85" s="20" t="n">
        <f aca="false">IF(AND(H_Direct=0,H_TaxEvt=1,ATL84+1&gt;=H_Deemed),AML85,AIY85)</f>
        <v>0</v>
      </c>
      <c r="APZ85" s="20" t="n">
        <f aca="false">IF(AND(H_Direct=0,H_TaxEvt=1,ATM84+1&gt;=H_Deemed),AMM85,AIZ85)</f>
        <v>0</v>
      </c>
      <c r="AQA85" s="20" t="n">
        <f aca="false">IF(AND(H_Direct=0,H_TaxEvt=1,ATN84+1&gt;=H_Deemed),AMN85,AJA85)</f>
        <v>0</v>
      </c>
      <c r="AQB85" s="20" t="n">
        <f aca="false">IF(AND(H_Direct=0,H_TaxEvt=1,ATO84+1&gt;=H_Deemed),AMO85,AJB85)</f>
        <v>0</v>
      </c>
      <c r="AQC85" s="20" t="n">
        <f aca="false">IF(AND(H_Direct=0,H_TaxEvt=1,ATP84+1&gt;=H_Deemed),AMP85,AJC85)</f>
        <v>0</v>
      </c>
      <c r="AQD85" s="20" t="n">
        <f aca="false">IF(AND(H_Direct=0,H_TaxEvt=1,ATQ84+1&gt;=H_Deemed),AMQ85,AJD85)</f>
        <v>0</v>
      </c>
      <c r="AQE85" s="20" t="n">
        <f aca="false">IF(AND(H_Direct=0,H_TaxEvt=1,ATR84+1&gt;=H_Deemed),AMR85,AJE85)</f>
        <v>0</v>
      </c>
      <c r="AQF85" s="20" t="n">
        <f aca="false">IF(AND(H_Direct=0,H_TaxEvt=1,ATS84+1&gt;=H_Deemed),AMS85,AJF85)</f>
        <v>0</v>
      </c>
      <c r="AQG85" s="20" t="n">
        <f aca="false">IF(AND(H_Direct=0,H_TaxEvt=1,ATT84+1&gt;=H_Deemed),AMT85,AJG85)</f>
        <v>0</v>
      </c>
      <c r="AQH85" s="20" t="n">
        <f aca="false">IF(AND(H_Direct=0,H_TaxEvt=1,ATU84+1&gt;=H_Deemed),AMU85,AJH85)</f>
        <v>0</v>
      </c>
      <c r="AQI85" s="20" t="n">
        <f aca="false">IF(AND(H_Direct=0,H_TaxEvt=1,ATV84+1&gt;=H_Deemed),AMV85,AJI85)</f>
        <v>0</v>
      </c>
      <c r="AQJ85" s="20" t="n">
        <f aca="false">IF(AND(H_Direct=0,H_TaxEvt=1,ATW84+1&gt;=H_Deemed),AMW85,AJJ85)</f>
        <v>0</v>
      </c>
      <c r="AQK85" s="20" t="n">
        <f aca="false">IF(AND(H_Direct=0,H_TaxEvt=1,ATX84+1&gt;=H_Deemed),AMX85,AJK85)</f>
        <v>0</v>
      </c>
      <c r="AQL85" s="20" t="n">
        <f aca="false">IF(AND(H_Direct=0,H_TaxEvt=1,ATY84+1&gt;=H_Deemed),AMY85,AJL85)</f>
        <v>0</v>
      </c>
      <c r="AQM85" s="20" t="n">
        <f aca="false">IF(AND(H_Direct=0,H_TaxEvt=1,ATZ84+1&gt;=H_Deemed),AMZ85,AJM85)</f>
        <v>0</v>
      </c>
      <c r="AQN85" s="20" t="n">
        <f aca="false">IF(AND(H_Direct=0,H_TaxEvt=1,AUA84+1&gt;=H_Deemed),ANA85,AJN85)</f>
        <v>0</v>
      </c>
      <c r="AQO85" s="20" t="n">
        <f aca="false">IF(AND(H_Direct=0,H_TaxEvt=1,AUB84+1&gt;=H_Deemed),ANB85,AJO85)</f>
        <v>0</v>
      </c>
      <c r="AQP85" s="20" t="n">
        <f aca="false">IF(AND(H_Direct=0,H_TaxEvt=1,AUC84+1&gt;=H_Deemed),ANC85,AJP85)</f>
        <v>0</v>
      </c>
      <c r="AQQ85" s="20" t="n">
        <f aca="false">IF(AND(H_Direct=0,H_TaxEvt=1,AUD84+1&gt;=H_Deemed),AND85,AJQ85)</f>
        <v>0</v>
      </c>
      <c r="AQR85" s="20" t="n">
        <f aca="false">IF(AND(H_Direct=0,H_TaxEvt=1,AUE84+1&gt;=H_Deemed),ANE85,AJR85)</f>
        <v>0</v>
      </c>
      <c r="AQS85" s="20" t="n">
        <f aca="false">IF(AND(H_Direct=0,H_TaxEvt=1,AUF84+1&gt;=H_Deemed),ANF85,AJS85)</f>
        <v>0</v>
      </c>
      <c r="AQT85" s="20" t="n">
        <f aca="false">IF(AND(H_Direct=0,H_TaxEvt=1,AUG84+1&gt;=H_Deemed),ANG85,AJT85)</f>
        <v>0</v>
      </c>
      <c r="AQU85" s="20" t="n">
        <f aca="false">IF(AND(H_Direct=0,H_TaxEvt=1,AUH84+1&gt;=H_Deemed),ANH85,AJU85)</f>
        <v>0</v>
      </c>
      <c r="AQV85" s="20" t="n">
        <f aca="false">IF(AND(H_Direct=0,H_TaxEvt=1,AUI84+1&gt;=H_Deemed),ANI85,AJV85)</f>
        <v>0</v>
      </c>
      <c r="AQW85" s="20" t="n">
        <f aca="false">IF(AND(H_Direct=0,H_TaxEvt=1,AUJ84+1&gt;=H_Deemed),ANJ85,AJW85)</f>
        <v>0</v>
      </c>
      <c r="AQX85" s="20" t="n">
        <f aca="false">IF(AND(H_Direct=0,H_TaxEvt=1,AUK84+1&gt;=H_Deemed),ANK85,AJX85)</f>
        <v>0</v>
      </c>
      <c r="AQY85" s="20" t="n">
        <f aca="false">IF(AND(H_Direct=0,H_TaxEvt=1,AUL84+1&gt;=H_Deemed),ANL85,AJY85)</f>
        <v>0</v>
      </c>
      <c r="AQZ85" s="20" t="n">
        <f aca="false">IF(AND(H_Direct=0,H_TaxEvt=1,AUM84+1&gt;=H_Deemed),ANM85,AJZ85)</f>
        <v>0</v>
      </c>
      <c r="ARA85" s="20" t="n">
        <f aca="false">IF(AND(H_Direct=0,H_TaxEvt=1,AUN84+1&gt;=H_Deemed),ANN85,AKA85)</f>
        <v>0</v>
      </c>
      <c r="ARB85" s="20" t="n">
        <f aca="false">IF(AND(H_Direct=0,H_TaxEvt=1,AUO84+1&gt;=H_Deemed),ANO85,AKB85)</f>
        <v>0</v>
      </c>
      <c r="ARC85" s="20" t="n">
        <f aca="false">IF(AND(H_Direct=0,H_TaxEvt=1,AUP84+1&gt;=H_Deemed),ANP85,AKC85)</f>
        <v>0</v>
      </c>
      <c r="ARD85" s="20" t="n">
        <f aca="false">IF(AND(H_Direct=0,H_TaxEvt=1,AUQ84+1&gt;=H_Deemed),ANQ85,AKD85)</f>
        <v>0</v>
      </c>
      <c r="ARE85" s="20" t="n">
        <f aca="false">IF(AND(H_Direct=0,H_TaxEvt=1,0+1&gt;=H_Deemed),ANR85,AKE85)</f>
        <v>0</v>
      </c>
      <c r="ARF85" s="20" t="n">
        <v>0</v>
      </c>
      <c r="ARG85" s="20" t="n">
        <v>0</v>
      </c>
      <c r="ARH85" s="20" t="n">
        <v>0</v>
      </c>
      <c r="ARI85" s="20" t="n">
        <v>0</v>
      </c>
      <c r="ARJ85" s="20" t="n">
        <v>0</v>
      </c>
      <c r="ARK85" s="20" t="n">
        <v>0</v>
      </c>
      <c r="ARL85" s="20" t="n">
        <v>0</v>
      </c>
      <c r="ARM85" s="20" t="n">
        <v>0</v>
      </c>
      <c r="ARN85" s="20" t="n">
        <v>0</v>
      </c>
      <c r="ARO85" s="20" t="n">
        <v>0</v>
      </c>
      <c r="ARP85" s="20" t="n">
        <v>0</v>
      </c>
      <c r="ARQ85" s="20" t="n">
        <v>0</v>
      </c>
      <c r="ARR85" s="20" t="n">
        <f aca="false">IF(AND(H_Direct=0,H_TaxEvt=1),IF(ARR84+1&gt;=H_Deemed,0,ARR84+1),ARR84)</f>
        <v>6</v>
      </c>
      <c r="ARS85" s="20" t="n">
        <f aca="false">IF(AND(H_Direct=0,H_TaxEvt=1),IF(ARS84+1&gt;=H_Deemed,0,ARS84+1),ARS84)</f>
        <v>6</v>
      </c>
      <c r="ART85" s="20" t="n">
        <f aca="false">IF(AND(H_Direct=0,H_TaxEvt=1),IF(ART84+1&gt;=H_Deemed,0,ART84+1),ART84)</f>
        <v>5</v>
      </c>
      <c r="ARU85" s="20" t="n">
        <f aca="false">IF(AND(H_Direct=0,H_TaxEvt=1),IF(ARU84+1&gt;=H_Deemed,0,ARU84+1),ARU84)</f>
        <v>4</v>
      </c>
      <c r="ARV85" s="20" t="n">
        <f aca="false">IF(AND(H_Direct=0,H_TaxEvt=1),IF(ARV84+1&gt;=H_Deemed,0,ARV84+1),ARV84)</f>
        <v>3</v>
      </c>
      <c r="ARW85" s="20" t="n">
        <f aca="false">IF(AND(H_Direct=0,H_TaxEvt=1),IF(ARW84+1&gt;=H_Deemed,0,ARW84+1),ARW84)</f>
        <v>2</v>
      </c>
      <c r="ARX85" s="20" t="n">
        <f aca="false">IF(AND(H_Direct=0,H_TaxEvt=1),IF(ARX84+1&gt;=H_Deemed,0,ARX84+1),ARX84)</f>
        <v>1</v>
      </c>
      <c r="ARY85" s="20" t="n">
        <f aca="false">IF(AND(H_Direct=0,H_TaxEvt=1),IF(ARY84+1&gt;=H_Deemed,0,ARY84+1),ARY84)</f>
        <v>0</v>
      </c>
      <c r="ARZ85" s="20" t="n">
        <f aca="false">IF(AND(H_Direct=0,H_TaxEvt=1),IF(ARZ84+1&gt;=H_Deemed,0,ARZ84+1),ARZ84)</f>
        <v>7</v>
      </c>
      <c r="ASA85" s="20" t="n">
        <f aca="false">IF(AND(H_Direct=0,H_TaxEvt=1),IF(ASA84+1&gt;=H_Deemed,0,ASA84+1),ASA84)</f>
        <v>6</v>
      </c>
      <c r="ASB85" s="20" t="n">
        <f aca="false">IF(AND(H_Direct=0,H_TaxEvt=1),IF(ASB84+1&gt;=H_Deemed,0,ASB84+1),ASB84)</f>
        <v>5</v>
      </c>
      <c r="ASC85" s="20" t="n">
        <f aca="false">IF(AND(H_Direct=0,H_TaxEvt=1),IF(ASC84+1&gt;=H_Deemed,0,ASC84+1),ASC84)</f>
        <v>4</v>
      </c>
      <c r="ASD85" s="20" t="n">
        <f aca="false">IF(AND(H_Direct=0,H_TaxEvt=1),IF(ASD84+1&gt;=H_Deemed,0,ASD84+1),ASD84)</f>
        <v>3</v>
      </c>
      <c r="ASE85" s="20" t="n">
        <f aca="false">IF(AND(H_Direct=0,H_TaxEvt=1),IF(ASE84+1&gt;=H_Deemed,0,ASE84+1),ASE84)</f>
        <v>2</v>
      </c>
      <c r="ASF85" s="20" t="n">
        <f aca="false">IF(AND(H_Direct=0,H_TaxEvt=1),IF(ASF84+1&gt;=H_Deemed,0,ASF84+1),ASF84)</f>
        <v>1</v>
      </c>
      <c r="ASG85" s="20" t="n">
        <f aca="false">IF(AND(H_Direct=0,H_TaxEvt=1),IF(ASG84+1&gt;=H_Deemed,0,ASG84+1),ASG84)</f>
        <v>0</v>
      </c>
      <c r="ASH85" s="20" t="n">
        <f aca="false">IF(AND(H_Direct=0,H_TaxEvt=1),IF(ASH84+1&gt;=H_Deemed,0,ASH84+1),ASH84)</f>
        <v>7</v>
      </c>
      <c r="ASI85" s="20" t="n">
        <f aca="false">IF(AND(H_Direct=0,H_TaxEvt=1),IF(ASI84+1&gt;=H_Deemed,0,ASI84+1),ASI84)</f>
        <v>6</v>
      </c>
      <c r="ASJ85" s="20" t="n">
        <f aca="false">IF(AND(H_Direct=0,H_TaxEvt=1),IF(ASJ84+1&gt;=H_Deemed,0,ASJ84+1),ASJ84)</f>
        <v>5</v>
      </c>
      <c r="ASK85" s="20" t="n">
        <f aca="false">IF(AND(H_Direct=0,H_TaxEvt=1),IF(ASK84+1&gt;=H_Deemed,0,ASK84+1),ASK84)</f>
        <v>4</v>
      </c>
      <c r="ASL85" s="20" t="n">
        <f aca="false">IF(AND(H_Direct=0,H_TaxEvt=1),IF(ASL84+1&gt;=H_Deemed,0,ASL84+1),ASL84)</f>
        <v>3</v>
      </c>
      <c r="ASM85" s="20" t="n">
        <f aca="false">IF(AND(H_Direct=0,H_TaxEvt=1),IF(ASM84+1&gt;=H_Deemed,0,ASM84+1),ASM84)</f>
        <v>2</v>
      </c>
      <c r="ASN85" s="20" t="n">
        <f aca="false">IF(AND(H_Direct=0,H_TaxEvt=1),IF(ASN84+1&gt;=H_Deemed,0,ASN84+1),ASN84)</f>
        <v>1</v>
      </c>
      <c r="ASO85" s="20" t="n">
        <f aca="false">IF(AND(H_Direct=0,H_TaxEvt=1),IF(ASO84+1&gt;=H_Deemed,0,ASO84+1),ASO84)</f>
        <v>0</v>
      </c>
      <c r="ASP85" s="20" t="n">
        <f aca="false">IF(AND(H_Direct=0,H_TaxEvt=1),IF(ASP84+1&gt;=H_Deemed,0,ASP84+1),ASP84)</f>
        <v>7</v>
      </c>
      <c r="ASQ85" s="20" t="n">
        <f aca="false">IF(AND(H_Direct=0,H_TaxEvt=1),IF(ASQ84+1&gt;=H_Deemed,0,ASQ84+1),ASQ84)</f>
        <v>6</v>
      </c>
      <c r="ASR85" s="20" t="n">
        <f aca="false">IF(AND(H_Direct=0,H_TaxEvt=1),IF(ASR84+1&gt;=H_Deemed,0,ASR84+1),ASR84)</f>
        <v>5</v>
      </c>
      <c r="ASS85" s="20" t="n">
        <f aca="false">IF(AND(H_Direct=0,H_TaxEvt=1),IF(ASS84+1&gt;=H_Deemed,0,ASS84+1),ASS84)</f>
        <v>4</v>
      </c>
      <c r="AST85" s="20" t="n">
        <f aca="false">IF(AND(H_Direct=0,H_TaxEvt=1),IF(AST84+1&gt;=H_Deemed,0,AST84+1),AST84)</f>
        <v>3</v>
      </c>
      <c r="ASU85" s="20" t="n">
        <f aca="false">IF(AND(H_Direct=0,H_TaxEvt=1),IF(ASU84+1&gt;=H_Deemed,0,ASU84+1),ASU84)</f>
        <v>2</v>
      </c>
      <c r="ASV85" s="20" t="n">
        <f aca="false">IF(AND(H_Direct=0,H_TaxEvt=1),IF(ASV84+1&gt;=H_Deemed,0,ASV84+1),ASV84)</f>
        <v>1</v>
      </c>
      <c r="ASW85" s="20" t="n">
        <f aca="false">IF(AND(H_Direct=0,H_TaxEvt=1),IF(ASW84+1&gt;=H_Deemed,0,ASW84+1),ASW84)</f>
        <v>0</v>
      </c>
      <c r="ASX85" s="20" t="n">
        <f aca="false">IF(AND(H_Direct=0,H_TaxEvt=1),IF(ASX84+1&gt;=H_Deemed,0,ASX84+1),ASX84)</f>
        <v>7</v>
      </c>
      <c r="ASY85" s="20" t="n">
        <f aca="false">IF(AND(H_Direct=0,H_TaxEvt=1),IF(ASY84+1&gt;=H_Deemed,0,ASY84+1),ASY84)</f>
        <v>6</v>
      </c>
      <c r="ASZ85" s="20" t="n">
        <f aca="false">IF(AND(H_Direct=0,H_TaxEvt=1),IF(ASZ84+1&gt;=H_Deemed,0,ASZ84+1),ASZ84)</f>
        <v>5</v>
      </c>
      <c r="ATA85" s="20" t="n">
        <f aca="false">IF(AND(H_Direct=0,H_TaxEvt=1),IF(ATA84+1&gt;=H_Deemed,0,ATA84+1),ATA84)</f>
        <v>4</v>
      </c>
      <c r="ATB85" s="20" t="n">
        <f aca="false">IF(AND(H_Direct=0,H_TaxEvt=1),IF(ATB84+1&gt;=H_Deemed,0,ATB84+1),ATB84)</f>
        <v>3</v>
      </c>
      <c r="ATC85" s="20" t="n">
        <f aca="false">IF(AND(H_Direct=0,H_TaxEvt=1),IF(ATC84+1&gt;=H_Deemed,0,ATC84+1),ATC84)</f>
        <v>2</v>
      </c>
      <c r="ATD85" s="20" t="n">
        <f aca="false">IF(AND(H_Direct=0,H_TaxEvt=1),IF(ATD84+1&gt;=H_Deemed,0,ATD84+1),ATD84)</f>
        <v>1</v>
      </c>
      <c r="ATE85" s="20" t="n">
        <f aca="false">IF(AND(H_Direct=0,H_TaxEvt=1),IF(ATE84+1&gt;=H_Deemed,0,ATE84+1),ATE84)</f>
        <v>0</v>
      </c>
      <c r="ATF85" s="20" t="n">
        <f aca="false">IF(AND(H_Direct=0,H_TaxEvt=1),IF(ATF84+1&gt;=H_Deemed,0,ATF84+1),ATF84)</f>
        <v>7</v>
      </c>
      <c r="ATG85" s="20" t="n">
        <f aca="false">IF(AND(H_Direct=0,H_TaxEvt=1),IF(ATG84+1&gt;=H_Deemed,0,ATG84+1),ATG84)</f>
        <v>6</v>
      </c>
      <c r="ATH85" s="20" t="n">
        <f aca="false">IF(AND(H_Direct=0,H_TaxEvt=1),IF(ATH84+1&gt;=H_Deemed,0,ATH84+1),ATH84)</f>
        <v>5</v>
      </c>
      <c r="ATI85" s="20" t="n">
        <f aca="false">IF(AND(H_Direct=0,H_TaxEvt=1),IF(ATI84+1&gt;=H_Deemed,0,ATI84+1),ATI84)</f>
        <v>4</v>
      </c>
      <c r="ATJ85" s="20" t="n">
        <f aca="false">IF(AND(H_Direct=0,H_TaxEvt=1),IF(ATJ84+1&gt;=H_Deemed,0,ATJ84+1),ATJ84)</f>
        <v>3</v>
      </c>
      <c r="ATK85" s="20" t="n">
        <f aca="false">IF(AND(H_Direct=0,H_TaxEvt=1),IF(ATK84+1&gt;=H_Deemed,0,ATK84+1),ATK84)</f>
        <v>2</v>
      </c>
      <c r="ATL85" s="20" t="n">
        <f aca="false">IF(AND(H_Direct=0,H_TaxEvt=1),IF(ATL84+1&gt;=H_Deemed,0,ATL84+1),ATL84)</f>
        <v>1</v>
      </c>
      <c r="ATM85" s="20" t="n">
        <f aca="false">IF(AND(H_Direct=0,H_TaxEvt=1),IF(ATM84+1&gt;=H_Deemed,0,ATM84+1),ATM84)</f>
        <v>0</v>
      </c>
      <c r="ATN85" s="20" t="n">
        <f aca="false">IF(AND(H_Direct=0,H_TaxEvt=1),IF(ATN84+1&gt;=H_Deemed,0,ATN84+1),ATN84)</f>
        <v>7</v>
      </c>
      <c r="ATO85" s="20" t="n">
        <f aca="false">IF(AND(H_Direct=0,H_TaxEvt=1),IF(ATO84+1&gt;=H_Deemed,0,ATO84+1),ATO84)</f>
        <v>6</v>
      </c>
      <c r="ATP85" s="20" t="n">
        <f aca="false">IF(AND(H_Direct=0,H_TaxEvt=1),IF(ATP84+1&gt;=H_Deemed,0,ATP84+1),ATP84)</f>
        <v>5</v>
      </c>
      <c r="ATQ85" s="20" t="n">
        <f aca="false">IF(AND(H_Direct=0,H_TaxEvt=1),IF(ATQ84+1&gt;=H_Deemed,0,ATQ84+1),ATQ84)</f>
        <v>4</v>
      </c>
      <c r="ATR85" s="20" t="n">
        <f aca="false">IF(AND(H_Direct=0,H_TaxEvt=1),IF(ATR84+1&gt;=H_Deemed,0,ATR84+1),ATR84)</f>
        <v>3</v>
      </c>
      <c r="ATS85" s="20" t="n">
        <f aca="false">IF(AND(H_Direct=0,H_TaxEvt=1),IF(ATS84+1&gt;=H_Deemed,0,ATS84+1),ATS84)</f>
        <v>2</v>
      </c>
      <c r="ATT85" s="20" t="n">
        <f aca="false">IF(AND(H_Direct=0,H_TaxEvt=1),IF(ATT84+1&gt;=H_Deemed,0,ATT84+1),ATT84)</f>
        <v>1</v>
      </c>
      <c r="ATU85" s="20" t="n">
        <f aca="false">IF(AND(H_Direct=0,H_TaxEvt=1),IF(ATU84+1&gt;=H_Deemed,0,ATU84+1),ATU84)</f>
        <v>0</v>
      </c>
      <c r="ATV85" s="20" t="n">
        <f aca="false">IF(AND(H_Direct=0,H_TaxEvt=1),IF(ATV84+1&gt;=H_Deemed,0,ATV84+1),ATV84)</f>
        <v>7</v>
      </c>
      <c r="ATW85" s="20" t="n">
        <f aca="false">IF(AND(H_Direct=0,H_TaxEvt=1),IF(ATW84+1&gt;=H_Deemed,0,ATW84+1),ATW84)</f>
        <v>6</v>
      </c>
      <c r="ATX85" s="20" t="n">
        <f aca="false">IF(AND(H_Direct=0,H_TaxEvt=1),IF(ATX84+1&gt;=H_Deemed,0,ATX84+1),ATX84)</f>
        <v>5</v>
      </c>
      <c r="ATY85" s="20" t="n">
        <f aca="false">IF(AND(H_Direct=0,H_TaxEvt=1),IF(ATY84+1&gt;=H_Deemed,0,ATY84+1),ATY84)</f>
        <v>4</v>
      </c>
      <c r="ATZ85" s="20" t="n">
        <f aca="false">IF(AND(H_Direct=0,H_TaxEvt=1),IF(ATZ84+1&gt;=H_Deemed,0,ATZ84+1),ATZ84)</f>
        <v>3</v>
      </c>
      <c r="AUA85" s="20" t="n">
        <f aca="false">IF(AND(H_Direct=0,H_TaxEvt=1),IF(AUA84+1&gt;=H_Deemed,0,AUA84+1),AUA84)</f>
        <v>2</v>
      </c>
      <c r="AUB85" s="20" t="n">
        <f aca="false">IF(AND(H_Direct=0,H_TaxEvt=1),IF(AUB84+1&gt;=H_Deemed,0,AUB84+1),AUB84)</f>
        <v>1</v>
      </c>
      <c r="AUC85" s="20" t="n">
        <f aca="false">IF(AND(H_Direct=0,H_TaxEvt=1),IF(AUC84+1&gt;=H_Deemed,0,AUC84+1),AUC84)</f>
        <v>0</v>
      </c>
      <c r="AUD85" s="20" t="n">
        <f aca="false">IF(AND(H_Direct=0,H_TaxEvt=1),IF(AUD84+1&gt;=H_Deemed,0,AUD84+1),AUD84)</f>
        <v>7</v>
      </c>
      <c r="AUE85" s="20" t="n">
        <f aca="false">IF(AND(H_Direct=0,H_TaxEvt=1),IF(AUE84+1&gt;=H_Deemed,0,AUE84+1),AUE84)</f>
        <v>6</v>
      </c>
      <c r="AUF85" s="20" t="n">
        <f aca="false">IF(AND(H_Direct=0,H_TaxEvt=1),IF(AUF84+1&gt;=H_Deemed,0,AUF84+1),AUF84)</f>
        <v>5</v>
      </c>
      <c r="AUG85" s="20" t="n">
        <f aca="false">IF(AND(H_Direct=0,H_TaxEvt=1),IF(AUG84+1&gt;=H_Deemed,0,AUG84+1),AUG84)</f>
        <v>4</v>
      </c>
      <c r="AUH85" s="20" t="n">
        <f aca="false">IF(AND(H_Direct=0,H_TaxEvt=1),IF(AUH84+1&gt;=H_Deemed,0,AUH84+1),AUH84)</f>
        <v>3</v>
      </c>
      <c r="AUI85" s="20" t="n">
        <f aca="false">IF(AND(H_Direct=0,H_TaxEvt=1),IF(AUI84+1&gt;=H_Deemed,0,AUI84+1),AUI84)</f>
        <v>2</v>
      </c>
      <c r="AUJ85" s="20" t="n">
        <f aca="false">IF(AND(H_Direct=0,H_TaxEvt=1),IF(AUJ84+1&gt;=H_Deemed,0,AUJ84+1),AUJ84)</f>
        <v>1</v>
      </c>
      <c r="AUK85" s="20" t="n">
        <f aca="false">IF(AND(H_Direct=0,H_TaxEvt=1),IF(AUK84+1&gt;=H_Deemed,0,AUK84+1),AUK84)</f>
        <v>0</v>
      </c>
      <c r="AUL85" s="20" t="n">
        <f aca="false">IF(AND(H_Direct=0,H_TaxEvt=1),IF(AUL84+1&gt;=H_Deemed,0,AUL84+1),AUL84)</f>
        <v>7</v>
      </c>
      <c r="AUM85" s="20" t="n">
        <f aca="false">IF(AND(H_Direct=0,H_TaxEvt=1),IF(AUM84+1&gt;=H_Deemed,0,AUM84+1),AUM84)</f>
        <v>6</v>
      </c>
      <c r="AUN85" s="20" t="n">
        <f aca="false">IF(AND(H_Direct=0,H_TaxEvt=1),IF(AUN84+1&gt;=H_Deemed,0,AUN84+1),AUN84)</f>
        <v>5</v>
      </c>
      <c r="AUO85" s="20" t="n">
        <f aca="false">IF(AND(H_Direct=0,H_TaxEvt=1),IF(AUO84+1&gt;=H_Deemed,0,AUO84+1),AUO84)</f>
        <v>4</v>
      </c>
      <c r="AUP85" s="20" t="n">
        <f aca="false">IF(AND(H_Direct=0,H_TaxEvt=1),IF(AUP84+1&gt;=H_Deemed,0,AUP84+1),AUP84)</f>
        <v>3</v>
      </c>
      <c r="AUQ85" s="20" t="n">
        <f aca="false">IF(AND(H_Direct=0,H_TaxEvt=1),IF(AUQ84+1&gt;=H_Deemed,0,AUQ84+1),AUQ84)</f>
        <v>2</v>
      </c>
      <c r="AUR85" s="20" t="n">
        <f aca="false">IF(AND(H_Direct=0,H_TaxEvt=1),IF(0+1&gt;=H_Deemed,0,0+1),0)</f>
        <v>1</v>
      </c>
      <c r="AUS85" s="20" t="n">
        <v>0</v>
      </c>
      <c r="AUT85" s="20" t="n">
        <v>0</v>
      </c>
      <c r="AUU85" s="20" t="n">
        <v>0</v>
      </c>
      <c r="AUV85" s="20" t="n">
        <v>0</v>
      </c>
      <c r="AUW85" s="20" t="n">
        <v>0</v>
      </c>
      <c r="AUX85" s="20" t="n">
        <v>0</v>
      </c>
      <c r="AUY85" s="20" t="n">
        <v>0</v>
      </c>
      <c r="AUZ85" s="20" t="n">
        <v>0</v>
      </c>
      <c r="AVA85" s="20" t="n">
        <v>0</v>
      </c>
      <c r="AVB85" s="20" t="n">
        <v>0</v>
      </c>
      <c r="AVC85" s="20" t="n">
        <v>0</v>
      </c>
      <c r="AVD85" s="20" t="n">
        <v>0</v>
      </c>
      <c r="AVE85" s="20" t="n">
        <f aca="false">IF(AND(H_Direct=0,H_TaxEvt=1,ARR84+1&gt;=H_Deemed),MAX(0,ADR85-AHE85)*H_Exit,0)</f>
        <v>0</v>
      </c>
      <c r="AVF85" s="20" t="n">
        <f aca="false">IF(AND(H_Direct=0,H_TaxEvt=1,ARS84+1&gt;=H_Deemed),MAX(0,ADS85-AHF85)*H_Exit,0)</f>
        <v>0</v>
      </c>
      <c r="AVG85" s="20" t="n">
        <f aca="false">IF(AND(H_Direct=0,H_TaxEvt=1,ART84+1&gt;=H_Deemed),MAX(0,ADT85-AHG85)*H_Exit,0)</f>
        <v>0</v>
      </c>
      <c r="AVH85" s="20" t="n">
        <f aca="false">IF(AND(H_Direct=0,H_TaxEvt=1,ARU84+1&gt;=H_Deemed),MAX(0,ADU85-AHH85)*H_Exit,0)</f>
        <v>0</v>
      </c>
      <c r="AVI85" s="20" t="n">
        <f aca="false">IF(AND(H_Direct=0,H_TaxEvt=1,ARV84+1&gt;=H_Deemed),MAX(0,ADV85-AHI85)*H_Exit,0)</f>
        <v>0</v>
      </c>
      <c r="AVJ85" s="20" t="n">
        <f aca="false">IF(AND(H_Direct=0,H_TaxEvt=1,ARW84+1&gt;=H_Deemed),MAX(0,ADW85-AHJ85)*H_Exit,0)</f>
        <v>0</v>
      </c>
      <c r="AVK85" s="20" t="n">
        <f aca="false">IF(AND(H_Direct=0,H_TaxEvt=1,ARX84+1&gt;=H_Deemed),MAX(0,ADX85-AHK85)*H_Exit,0)</f>
        <v>0</v>
      </c>
      <c r="AVL85" s="20" t="n">
        <f aca="false">IF(AND(H_Direct=0,H_TaxEvt=1,ARY84+1&gt;=H_Deemed),MAX(0,ADY85-AHL85)*H_Exit,0)</f>
        <v>0</v>
      </c>
      <c r="AVM85" s="20" t="n">
        <f aca="false">IF(AND(H_Direct=0,H_TaxEvt=1,ARZ84+1&gt;=H_Deemed),MAX(0,ADZ85-AHM85)*H_Exit,0)</f>
        <v>0</v>
      </c>
      <c r="AVN85" s="20" t="n">
        <f aca="false">IF(AND(H_Direct=0,H_TaxEvt=1,ASA84+1&gt;=H_Deemed),MAX(0,AEA85-AHN85)*H_Exit,0)</f>
        <v>0</v>
      </c>
      <c r="AVO85" s="20" t="n">
        <f aca="false">IF(AND(H_Direct=0,H_TaxEvt=1,ASB84+1&gt;=H_Deemed),MAX(0,AEB85-AHO85)*H_Exit,0)</f>
        <v>0</v>
      </c>
      <c r="AVP85" s="20" t="n">
        <f aca="false">IF(AND(H_Direct=0,H_TaxEvt=1,ASC84+1&gt;=H_Deemed),MAX(0,AEC85-AHP85)*H_Exit,0)</f>
        <v>0</v>
      </c>
      <c r="AVQ85" s="20" t="n">
        <f aca="false">IF(AND(H_Direct=0,H_TaxEvt=1,ASD84+1&gt;=H_Deemed),MAX(0,AED85-AHQ85)*H_Exit,0)</f>
        <v>0</v>
      </c>
      <c r="AVR85" s="20" t="n">
        <f aca="false">IF(AND(H_Direct=0,H_TaxEvt=1,ASE84+1&gt;=H_Deemed),MAX(0,AEE85-AHR85)*H_Exit,0)</f>
        <v>0</v>
      </c>
      <c r="AVS85" s="20" t="n">
        <f aca="false">IF(AND(H_Direct=0,H_TaxEvt=1,ASF84+1&gt;=H_Deemed),MAX(0,AEF85-AHS85)*H_Exit,0)</f>
        <v>0</v>
      </c>
      <c r="AVT85" s="20" t="n">
        <f aca="false">IF(AND(H_Direct=0,H_TaxEvt=1,ASG84+1&gt;=H_Deemed),MAX(0,AEG85-AHT85)*H_Exit,0)</f>
        <v>0</v>
      </c>
      <c r="AVU85" s="20" t="n">
        <f aca="false">IF(AND(H_Direct=0,H_TaxEvt=1,ASH84+1&gt;=H_Deemed),MAX(0,AEH85-AHU85)*H_Exit,0)</f>
        <v>0</v>
      </c>
      <c r="AVV85" s="20" t="n">
        <f aca="false">IF(AND(H_Direct=0,H_TaxEvt=1,ASI84+1&gt;=H_Deemed),MAX(0,AEI85-AHV85)*H_Exit,0)</f>
        <v>0</v>
      </c>
      <c r="AVW85" s="20" t="n">
        <f aca="false">IF(AND(H_Direct=0,H_TaxEvt=1,ASJ84+1&gt;=H_Deemed),MAX(0,AEJ85-AHW85)*H_Exit,0)</f>
        <v>0</v>
      </c>
      <c r="AVX85" s="20" t="n">
        <f aca="false">IF(AND(H_Direct=0,H_TaxEvt=1,ASK84+1&gt;=H_Deemed),MAX(0,AEK85-AHX85)*H_Exit,0)</f>
        <v>0</v>
      </c>
      <c r="AVY85" s="20" t="n">
        <f aca="false">IF(AND(H_Direct=0,H_TaxEvt=1,ASL84+1&gt;=H_Deemed),MAX(0,AEL85-AHY85)*H_Exit,0)</f>
        <v>0</v>
      </c>
      <c r="AVZ85" s="20" t="n">
        <f aca="false">IF(AND(H_Direct=0,H_TaxEvt=1,ASM84+1&gt;=H_Deemed),MAX(0,AEM85-AHZ85)*H_Exit,0)</f>
        <v>0</v>
      </c>
      <c r="AWA85" s="20" t="n">
        <f aca="false">IF(AND(H_Direct=0,H_TaxEvt=1,ASN84+1&gt;=H_Deemed),MAX(0,AEN85-AIA85)*H_Exit,0)</f>
        <v>0</v>
      </c>
      <c r="AWB85" s="20" t="n">
        <f aca="false">IF(AND(H_Direct=0,H_TaxEvt=1,ASO84+1&gt;=H_Deemed),MAX(0,AEO85-AIB85)*H_Exit,0)</f>
        <v>0</v>
      </c>
      <c r="AWC85" s="20" t="n">
        <f aca="false">IF(AND(H_Direct=0,H_TaxEvt=1,ASP84+1&gt;=H_Deemed),MAX(0,AEP85-AIC85)*H_Exit,0)</f>
        <v>0</v>
      </c>
      <c r="AWD85" s="20" t="n">
        <f aca="false">IF(AND(H_Direct=0,H_TaxEvt=1,ASQ84+1&gt;=H_Deemed),MAX(0,AEQ85-AID85)*H_Exit,0)</f>
        <v>0</v>
      </c>
      <c r="AWE85" s="20" t="n">
        <f aca="false">IF(AND(H_Direct=0,H_TaxEvt=1,ASR84+1&gt;=H_Deemed),MAX(0,AER85-AIE85)*H_Exit,0)</f>
        <v>0</v>
      </c>
      <c r="AWF85" s="20" t="n">
        <f aca="false">IF(AND(H_Direct=0,H_TaxEvt=1,ASS84+1&gt;=H_Deemed),MAX(0,AES85-AIF85)*H_Exit,0)</f>
        <v>0</v>
      </c>
      <c r="AWG85" s="20" t="n">
        <f aca="false">IF(AND(H_Direct=0,H_TaxEvt=1,AST84+1&gt;=H_Deemed),MAX(0,AET85-AIG85)*H_Exit,0)</f>
        <v>0</v>
      </c>
      <c r="AWH85" s="20" t="n">
        <f aca="false">IF(AND(H_Direct=0,H_TaxEvt=1,ASU84+1&gt;=H_Deemed),MAX(0,AEU85-AIH85)*H_Exit,0)</f>
        <v>0</v>
      </c>
      <c r="AWI85" s="20" t="n">
        <f aca="false">IF(AND(H_Direct=0,H_TaxEvt=1,ASV84+1&gt;=H_Deemed),MAX(0,AEV85-AII85)*H_Exit,0)</f>
        <v>0</v>
      </c>
      <c r="AWJ85" s="20" t="n">
        <f aca="false">IF(AND(H_Direct=0,H_TaxEvt=1,ASW84+1&gt;=H_Deemed),MAX(0,AEW85-AIJ85)*H_Exit,0)</f>
        <v>0</v>
      </c>
      <c r="AWK85" s="20" t="n">
        <f aca="false">IF(AND(H_Direct=0,H_TaxEvt=1,ASX84+1&gt;=H_Deemed),MAX(0,AEX85-AIK85)*H_Exit,0)</f>
        <v>0</v>
      </c>
      <c r="AWL85" s="20" t="n">
        <f aca="false">IF(AND(H_Direct=0,H_TaxEvt=1,ASY84+1&gt;=H_Deemed),MAX(0,AEY85-AIL85)*H_Exit,0)</f>
        <v>0</v>
      </c>
      <c r="AWM85" s="20" t="n">
        <f aca="false">IF(AND(H_Direct=0,H_TaxEvt=1,ASZ84+1&gt;=H_Deemed),MAX(0,AEZ85-AIM85)*H_Exit,0)</f>
        <v>0</v>
      </c>
      <c r="AWN85" s="20" t="n">
        <f aca="false">IF(AND(H_Direct=0,H_TaxEvt=1,ATA84+1&gt;=H_Deemed),MAX(0,AFA85-AIN85)*H_Exit,0)</f>
        <v>0</v>
      </c>
      <c r="AWO85" s="20" t="n">
        <f aca="false">IF(AND(H_Direct=0,H_TaxEvt=1,ATB84+1&gt;=H_Deemed),MAX(0,AFB85-AIO85)*H_Exit,0)</f>
        <v>0</v>
      </c>
      <c r="AWP85" s="20" t="n">
        <f aca="false">IF(AND(H_Direct=0,H_TaxEvt=1,ATC84+1&gt;=H_Deemed),MAX(0,AFC85-AIP85)*H_Exit,0)</f>
        <v>0</v>
      </c>
      <c r="AWQ85" s="20" t="n">
        <f aca="false">IF(AND(H_Direct=0,H_TaxEvt=1,ATD84+1&gt;=H_Deemed),MAX(0,AFD85-AIQ85)*H_Exit,0)</f>
        <v>0</v>
      </c>
      <c r="AWR85" s="20" t="n">
        <f aca="false">IF(AND(H_Direct=0,H_TaxEvt=1,ATE84+1&gt;=H_Deemed),MAX(0,AFE85-AIR85)*H_Exit,0)</f>
        <v>0</v>
      </c>
      <c r="AWS85" s="20" t="n">
        <f aca="false">IF(AND(H_Direct=0,H_TaxEvt=1,ATF84+1&gt;=H_Deemed),MAX(0,AFF85-AIS85)*H_Exit,0)</f>
        <v>0</v>
      </c>
      <c r="AWT85" s="20" t="n">
        <f aca="false">IF(AND(H_Direct=0,H_TaxEvt=1,ATG84+1&gt;=H_Deemed),MAX(0,AFG85-AIT85)*H_Exit,0)</f>
        <v>0</v>
      </c>
      <c r="AWU85" s="20" t="n">
        <f aca="false">IF(AND(H_Direct=0,H_TaxEvt=1,ATH84+1&gt;=H_Deemed),MAX(0,AFH85-AIU85)*H_Exit,0)</f>
        <v>0</v>
      </c>
      <c r="AWV85" s="20" t="n">
        <f aca="false">IF(AND(H_Direct=0,H_TaxEvt=1,ATI84+1&gt;=H_Deemed),MAX(0,AFI85-AIV85)*H_Exit,0)</f>
        <v>0</v>
      </c>
      <c r="AWW85" s="20" t="n">
        <f aca="false">IF(AND(H_Direct=0,H_TaxEvt=1,ATJ84+1&gt;=H_Deemed),MAX(0,AFJ85-AIW85)*H_Exit,0)</f>
        <v>0</v>
      </c>
      <c r="AWX85" s="20" t="n">
        <f aca="false">IF(AND(H_Direct=0,H_TaxEvt=1,ATK84+1&gt;=H_Deemed),MAX(0,AFK85-AIX85)*H_Exit,0)</f>
        <v>0</v>
      </c>
      <c r="AWY85" s="20" t="n">
        <f aca="false">IF(AND(H_Direct=0,H_TaxEvt=1,ATL84+1&gt;=H_Deemed),MAX(0,AFL85-AIY85)*H_Exit,0)</f>
        <v>0</v>
      </c>
      <c r="AWZ85" s="20" t="n">
        <f aca="false">IF(AND(H_Direct=0,H_TaxEvt=1,ATM84+1&gt;=H_Deemed),MAX(0,AFM85-AIZ85)*H_Exit,0)</f>
        <v>0</v>
      </c>
      <c r="AXA85" s="20" t="n">
        <f aca="false">IF(AND(H_Direct=0,H_TaxEvt=1,ATN84+1&gt;=H_Deemed),MAX(0,AFN85-AJA85)*H_Exit,0)</f>
        <v>0</v>
      </c>
      <c r="AXB85" s="20" t="n">
        <f aca="false">IF(AND(H_Direct=0,H_TaxEvt=1,ATO84+1&gt;=H_Deemed),MAX(0,AFO85-AJB85)*H_Exit,0)</f>
        <v>0</v>
      </c>
      <c r="AXC85" s="20" t="n">
        <f aca="false">IF(AND(H_Direct=0,H_TaxEvt=1,ATP84+1&gt;=H_Deemed),MAX(0,AFP85-AJC85)*H_Exit,0)</f>
        <v>0</v>
      </c>
      <c r="AXD85" s="20" t="n">
        <f aca="false">IF(AND(H_Direct=0,H_TaxEvt=1,ATQ84+1&gt;=H_Deemed),MAX(0,AFQ85-AJD85)*H_Exit,0)</f>
        <v>0</v>
      </c>
      <c r="AXE85" s="20" t="n">
        <f aca="false">IF(AND(H_Direct=0,H_TaxEvt=1,ATR84+1&gt;=H_Deemed),MAX(0,AFR85-AJE85)*H_Exit,0)</f>
        <v>0</v>
      </c>
      <c r="AXF85" s="20" t="n">
        <f aca="false">IF(AND(H_Direct=0,H_TaxEvt=1,ATS84+1&gt;=H_Deemed),MAX(0,AFS85-AJF85)*H_Exit,0)</f>
        <v>0</v>
      </c>
      <c r="AXG85" s="20" t="n">
        <f aca="false">IF(AND(H_Direct=0,H_TaxEvt=1,ATT84+1&gt;=H_Deemed),MAX(0,AFT85-AJG85)*H_Exit,0)</f>
        <v>0</v>
      </c>
      <c r="AXH85" s="20" t="n">
        <f aca="false">IF(AND(H_Direct=0,H_TaxEvt=1,ATU84+1&gt;=H_Deemed),MAX(0,AFU85-AJH85)*H_Exit,0)</f>
        <v>0</v>
      </c>
      <c r="AXI85" s="20" t="n">
        <f aca="false">IF(AND(H_Direct=0,H_TaxEvt=1,ATV84+1&gt;=H_Deemed),MAX(0,AFV85-AJI85)*H_Exit,0)</f>
        <v>0</v>
      </c>
      <c r="AXJ85" s="20" t="n">
        <f aca="false">IF(AND(H_Direct=0,H_TaxEvt=1,ATW84+1&gt;=H_Deemed),MAX(0,AFW85-AJJ85)*H_Exit,0)</f>
        <v>0</v>
      </c>
      <c r="AXK85" s="20" t="n">
        <f aca="false">IF(AND(H_Direct=0,H_TaxEvt=1,ATX84+1&gt;=H_Deemed),MAX(0,AFX85-AJK85)*H_Exit,0)</f>
        <v>0</v>
      </c>
      <c r="AXL85" s="20" t="n">
        <f aca="false">IF(AND(H_Direct=0,H_TaxEvt=1,ATY84+1&gt;=H_Deemed),MAX(0,AFY85-AJL85)*H_Exit,0)</f>
        <v>0</v>
      </c>
      <c r="AXM85" s="20" t="n">
        <f aca="false">IF(AND(H_Direct=0,H_TaxEvt=1,ATZ84+1&gt;=H_Deemed),MAX(0,AFZ85-AJM85)*H_Exit,0)</f>
        <v>0</v>
      </c>
      <c r="AXN85" s="20" t="n">
        <f aca="false">IF(AND(H_Direct=0,H_TaxEvt=1,AUA84+1&gt;=H_Deemed),MAX(0,AGA85-AJN85)*H_Exit,0)</f>
        <v>0</v>
      </c>
      <c r="AXO85" s="20" t="n">
        <f aca="false">IF(AND(H_Direct=0,H_TaxEvt=1,AUB84+1&gt;=H_Deemed),MAX(0,AGB85-AJO85)*H_Exit,0)</f>
        <v>0</v>
      </c>
      <c r="AXP85" s="20" t="n">
        <f aca="false">IF(AND(H_Direct=0,H_TaxEvt=1,AUC84+1&gt;=H_Deemed),MAX(0,AGC85-AJP85)*H_Exit,0)</f>
        <v>0</v>
      </c>
      <c r="AXQ85" s="20" t="n">
        <f aca="false">IF(AND(H_Direct=0,H_TaxEvt=1,AUD84+1&gt;=H_Deemed),MAX(0,AGD85-AJQ85)*H_Exit,0)</f>
        <v>0</v>
      </c>
      <c r="AXR85" s="20" t="n">
        <f aca="false">IF(AND(H_Direct=0,H_TaxEvt=1,AUE84+1&gt;=H_Deemed),MAX(0,AGE85-AJR85)*H_Exit,0)</f>
        <v>0</v>
      </c>
      <c r="AXS85" s="20" t="n">
        <f aca="false">IF(AND(H_Direct=0,H_TaxEvt=1,AUF84+1&gt;=H_Deemed),MAX(0,AGF85-AJS85)*H_Exit,0)</f>
        <v>0</v>
      </c>
      <c r="AXT85" s="20" t="n">
        <f aca="false">IF(AND(H_Direct=0,H_TaxEvt=1,AUG84+1&gt;=H_Deemed),MAX(0,AGG85-AJT85)*H_Exit,0)</f>
        <v>0</v>
      </c>
      <c r="AXU85" s="20" t="n">
        <f aca="false">IF(AND(H_Direct=0,H_TaxEvt=1,AUH84+1&gt;=H_Deemed),MAX(0,AGH85-AJU85)*H_Exit,0)</f>
        <v>0</v>
      </c>
      <c r="AXV85" s="20" t="n">
        <f aca="false">IF(AND(H_Direct=0,H_TaxEvt=1,AUI84+1&gt;=H_Deemed),MAX(0,AGI85-AJV85)*H_Exit,0)</f>
        <v>0</v>
      </c>
      <c r="AXW85" s="20" t="n">
        <f aca="false">IF(AND(H_Direct=0,H_TaxEvt=1,AUJ84+1&gt;=H_Deemed),MAX(0,AGJ85-AJW85)*H_Exit,0)</f>
        <v>0</v>
      </c>
      <c r="AXX85" s="20" t="n">
        <f aca="false">IF(AND(H_Direct=0,H_TaxEvt=1,AUK84+1&gt;=H_Deemed),MAX(0,AGK85-AJX85)*H_Exit,0)</f>
        <v>0</v>
      </c>
      <c r="AXY85" s="20" t="n">
        <f aca="false">IF(AND(H_Direct=0,H_TaxEvt=1,AUL84+1&gt;=H_Deemed),MAX(0,AGL85-AJY85)*H_Exit,0)</f>
        <v>0</v>
      </c>
      <c r="AXZ85" s="20" t="n">
        <f aca="false">IF(AND(H_Direct=0,H_TaxEvt=1,AUM84+1&gt;=H_Deemed),MAX(0,AGM85-AJZ85)*H_Exit,0)</f>
        <v>0</v>
      </c>
      <c r="AYA85" s="20" t="n">
        <f aca="false">IF(AND(H_Direct=0,H_TaxEvt=1,AUN84+1&gt;=H_Deemed),MAX(0,AGN85-AKA85)*H_Exit,0)</f>
        <v>0</v>
      </c>
      <c r="AYB85" s="20" t="n">
        <f aca="false">IF(AND(H_Direct=0,H_TaxEvt=1,AUO84+1&gt;=H_Deemed),MAX(0,AGO85-AKB85)*H_Exit,0)</f>
        <v>0</v>
      </c>
      <c r="AYC85" s="20" t="n">
        <f aca="false">IF(AND(H_Direct=0,H_TaxEvt=1,AUP84+1&gt;=H_Deemed),MAX(0,AGP85-AKC85)*H_Exit,0)</f>
        <v>0</v>
      </c>
      <c r="AYD85" s="20" t="n">
        <f aca="false">IF(AND(H_Direct=0,H_TaxEvt=1,AUQ84+1&gt;=H_Deemed),MAX(0,AGQ85-AKD85)*H_Exit,0)</f>
        <v>0</v>
      </c>
      <c r="AYE85" s="20" t="n">
        <f aca="false">IF(AND(H_Direct=0,H_TaxEvt=1,0+1&gt;=H_Deemed),MAX(0,AGR85-AKE85)*H_Exit,0)</f>
        <v>0</v>
      </c>
      <c r="AYF85" s="20" t="n">
        <v>0</v>
      </c>
      <c r="AYG85" s="20" t="n">
        <v>0</v>
      </c>
      <c r="AYH85" s="20" t="n">
        <v>0</v>
      </c>
      <c r="AYI85" s="20" t="n">
        <v>0</v>
      </c>
      <c r="AYJ85" s="20" t="n">
        <v>0</v>
      </c>
      <c r="AYK85" s="20" t="n">
        <v>0</v>
      </c>
      <c r="AYL85" s="20" t="n">
        <v>0</v>
      </c>
      <c r="AYM85" s="20" t="n">
        <v>0</v>
      </c>
      <c r="AYN85" s="20" t="n">
        <v>0</v>
      </c>
      <c r="AYO85" s="20" t="n">
        <v>0</v>
      </c>
      <c r="AYP85" s="20" t="n">
        <v>0</v>
      </c>
      <c r="AYQ85" s="20" t="n">
        <v>0</v>
      </c>
    </row>
    <row r="86" customFormat="false" ht="15" hidden="false" customHeight="false" outlineLevel="0" collapsed="false">
      <c r="B86" s="20" t="n">
        <v>78</v>
      </c>
      <c r="C86" s="20" t="n">
        <f aca="false">'Plan cashflow'!C86</f>
        <v>0</v>
      </c>
      <c r="D86" s="20" t="n">
        <f aca="false">'Plan cashflow'!D86</f>
        <v>116</v>
      </c>
      <c r="E86" s="20" t="n">
        <f aca="false">AS_Year0+78</f>
        <v>2104</v>
      </c>
      <c r="F86" s="50" t="n">
        <f aca="false">'Plan cashflow'!F86</f>
        <v>4.68611991166513</v>
      </c>
      <c r="G86" s="59" t="n">
        <f aca="true">IF(MAX(TODAY(),DATE(E86,1,1))&gt;=H_CGTfrom,H_CGT1,H_CGT0)</f>
        <v>0.31</v>
      </c>
      <c r="H86" s="20" t="n">
        <f aca="false">H_Exempt*H_Persons</f>
        <v>1270</v>
      </c>
      <c r="I86" s="20" t="n">
        <f aca="false">AX85</f>
        <v>0</v>
      </c>
      <c r="J86" s="60" t="n">
        <f aca="false">BF85</f>
        <v>0</v>
      </c>
      <c r="K86" s="60" t="n">
        <f aca="false">BG85</f>
        <v>0</v>
      </c>
      <c r="L86" s="20" t="n">
        <f aca="false">IF(AND(In_polLump&gt;0,In_polLumpAge&gt;0,D86=In_polLumpAge),In_polLump,0)</f>
        <v>0</v>
      </c>
      <c r="M86" s="20" t="n">
        <f aca="false">IF(AND(In_homeUse="Yes, I'd downsize",In_downAge&gt;0,D86=In_downAge,OR(In_home="Own outright",In_home="Own with mortgage"),In_homeValue&gt;0),MAX(0,MAX(0,In_homeValue-In_downValue)*F86*0.9-'Plan cashflow'!HR85),0)</f>
        <v>0</v>
      </c>
      <c r="N86" s="20" t="n">
        <f aca="false">'Plan pay &amp; tax'!Y312</f>
        <v>0</v>
      </c>
      <c r="O86" s="20" t="n">
        <f aca="false">L86+M86+(1-H_Sh)*N86</f>
        <v>0</v>
      </c>
      <c r="P86" s="20" t="n">
        <f aca="false">H_Sh*N86</f>
        <v>0</v>
      </c>
      <c r="Q86" s="20" t="n">
        <f aca="false">'Plan cashflow'!UL86</f>
        <v>0</v>
      </c>
      <c r="R86" s="20" t="n">
        <f aca="false">(1-H_Sh)*Q86</f>
        <v>0</v>
      </c>
      <c r="S86" s="20" t="n">
        <f aca="false">H_Sh*Q86</f>
        <v>0</v>
      </c>
      <c r="T86" s="20" t="n">
        <f aca="false">J86+K86+O86</f>
        <v>0</v>
      </c>
      <c r="U86" s="20" t="n">
        <f aca="false">T86+R86</f>
        <v>0</v>
      </c>
      <c r="V86" s="60" t="n">
        <f aca="false">SUM(FE86:IQ86)</f>
        <v>0</v>
      </c>
      <c r="W86" s="60" t="n">
        <f aca="false">IF(AJ86&lt;=0,0,IF(AL86&lt;=0,AJ86,AJ86-G86*MAX(0,AL86*AJ86-(AY86+AZ86))))</f>
        <v>0</v>
      </c>
      <c r="X86" s="60" t="n">
        <f aca="false">IF(AR86&lt;=0,0,IF(AT86&lt;=0,AR86,AR86-G86*MAX(0,AT86*AR86-(BA86+BB86))))</f>
        <v>0</v>
      </c>
      <c r="Y86" s="60" t="n">
        <f aca="false">T86+V86-S86+W86+X86</f>
        <v>0</v>
      </c>
      <c r="Z86" s="60" t="n">
        <f aca="false">'Plan cashflow'!UK86</f>
        <v>0</v>
      </c>
      <c r="AA86" s="20" t="n">
        <f aca="false">MIN(Z86,U86)</f>
        <v>0</v>
      </c>
      <c r="AB86" s="20" t="n">
        <f aca="false">Z86-AA86</f>
        <v>0</v>
      </c>
      <c r="AC86" s="20" t="n">
        <f aca="false">MIN(AA86,J86+O86+R86)</f>
        <v>0</v>
      </c>
      <c r="AD86" s="20" t="n">
        <f aca="false">AA86-AC86</f>
        <v>0</v>
      </c>
      <c r="AE86" s="20" t="n">
        <f aca="false">J86+O86+R86-AC86</f>
        <v>0</v>
      </c>
      <c r="AF86" s="20" t="n">
        <f aca="false">K86-AD86</f>
        <v>0</v>
      </c>
      <c r="AG86" s="20" t="n">
        <f aca="false">SUM(PR86:TD86)</f>
        <v>0</v>
      </c>
      <c r="AH86" s="20" t="n">
        <f aca="false">SUM(TE86:WQ86)</f>
        <v>0</v>
      </c>
      <c r="AI86" s="20" t="n">
        <f aca="false">MAX(0,AB86-AG86)</f>
        <v>0</v>
      </c>
      <c r="AJ86" s="57" t="n">
        <f aca="false">BI85</f>
        <v>0</v>
      </c>
      <c r="AK86" s="20" t="n">
        <f aca="false">BJ85</f>
        <v>0</v>
      </c>
      <c r="AL86" s="20" t="n">
        <f aca="false">IF(AJ86&gt;0,(AJ86-AK86)/AJ86,0)</f>
        <v>0</v>
      </c>
      <c r="AM86" s="20" t="n">
        <f aca="false">IF(AJ86&lt;=0,0,IF(AL86&lt;=0,MIN(AI86,AJ86),MIN(AI86,AJ86-G86*MAX(0,AL86*AJ86-(AAD86+ADQ86)))))</f>
        <v>0</v>
      </c>
      <c r="AN86" s="20" t="n">
        <f aca="false">IF(AJ86&lt;=0,0,IF(AL86&lt;=0,AM86,IF(AM86&lt;=(AAD86+ADQ86)/AL86,AM86,(AM86-G86*(AAD86+ADQ86))/(1-G86*AL86))))</f>
        <v>0</v>
      </c>
      <c r="AO86" s="20" t="n">
        <f aca="false">IF(AL86&gt;0,MAX(0,AAD86-(MIN(AL86*AN86,(AAD86+ADQ86))-MIN(MIN(AL86*AN86,(AAD86+ADQ86)),ADQ86))),AAD86)</f>
        <v>1270</v>
      </c>
      <c r="AP86" s="20" t="n">
        <f aca="false">IF(AL86&lt;=0,ADQ86-AL86*AN86,ADQ86-MIN(MIN(AL86*AN86,(AAD86+ADQ86)),ADQ86))</f>
        <v>0</v>
      </c>
      <c r="AQ86" s="20" t="n">
        <f aca="false">MAX(0,AI86-AM86)</f>
        <v>0</v>
      </c>
      <c r="AR86" s="57" t="n">
        <f aca="false">BK85</f>
        <v>0</v>
      </c>
      <c r="AS86" s="20" t="n">
        <f aca="false">BL85</f>
        <v>0</v>
      </c>
      <c r="AT86" s="20" t="n">
        <f aca="false">IF(AR86&gt;0,(AR86-AS86)/AR86,0)</f>
        <v>0</v>
      </c>
      <c r="AU86" s="20" t="n">
        <f aca="false">IF(AR86&lt;=0,0,IF(AT86&lt;=0,MIN(AQ86,AR86),MIN(AQ86,AR86-G86*MAX(0,AT86*AR86-(AO86+AP86)))))</f>
        <v>0</v>
      </c>
      <c r="AV86" s="20" t="n">
        <f aca="false">IF(AR86&lt;=0,0,IF(AT86&lt;=0,AU86,IF(AU86&lt;=(AO86+AP86)/AT86,AU86,(AU86-G86*(AO86+AP86))/(1-G86*AT86))))</f>
        <v>0</v>
      </c>
      <c r="AW86" s="20" t="n">
        <f aca="false">IF(AT86&gt;0,MAX(0,AO86-(MIN(AT86*AV86,(AO86+AP86))-MIN(MIN(AT86*AV86,(AO86+AP86)),AP86))),AO86)</f>
        <v>1270</v>
      </c>
      <c r="AX86" s="20" t="n">
        <f aca="false">IF(AT86&lt;=0,AP86-AT86*AV86,AP86-MIN(MIN(AT86*AV86,(AO86+AP86)),AP86))</f>
        <v>0</v>
      </c>
      <c r="AY86" s="20" t="n">
        <f aca="false">MD86</f>
        <v>1270</v>
      </c>
      <c r="AZ86" s="20" t="n">
        <f aca="false">PQ86</f>
        <v>0</v>
      </c>
      <c r="BA86" s="20" t="n">
        <f aca="false">IF(AL86&gt;0,MAX(0,AY86-(MIN(AL86*AJ86,AY86+AZ86)-MIN(MIN(AL86*AJ86,AY86+AZ86),AZ86))),AY86)</f>
        <v>1270</v>
      </c>
      <c r="BB86" s="20" t="n">
        <f aca="false">IF(AL86&lt;=0,AZ86-AL86*AJ86,AZ86-MIN(MIN(AL86*AJ86,AY86+AZ86),AZ86))</f>
        <v>0</v>
      </c>
      <c r="BC86" s="20" t="n">
        <f aca="false">'Plan cashflow'!UM86</f>
        <v>0</v>
      </c>
      <c r="BD86" s="20" t="n">
        <f aca="false">(1-H_Sh)*BC86</f>
        <v>0</v>
      </c>
      <c r="BE86" s="20" t="n">
        <f aca="false">H_Sh*BC86</f>
        <v>0</v>
      </c>
      <c r="BF86" s="60" t="n">
        <f aca="false">(AE86+BD86)*(1+AS_Cash)</f>
        <v>0</v>
      </c>
      <c r="BG86" s="60" t="n">
        <f aca="false">AF86*(1+AS_Cash)</f>
        <v>0</v>
      </c>
      <c r="BH86" s="60" t="n">
        <f aca="false">SUM(AKR86:AOD86)</f>
        <v>0</v>
      </c>
      <c r="BI86" s="60" t="n">
        <f aca="false">(AJ86-AN86)*(1+AS_Infl)</f>
        <v>0</v>
      </c>
      <c r="BJ86" s="20" t="n">
        <f aca="false">IF(AJ86&gt;0,AK86-AK86*AN86/AJ86,0)</f>
        <v>0</v>
      </c>
      <c r="BK86" s="60" t="n">
        <f aca="false">(AR86-AV86)*(1+BQ86)</f>
        <v>0</v>
      </c>
      <c r="BL86" s="20" t="n">
        <f aca="false">IF(AR86&gt;0,AS86-AS86*AV86/AR86,0)</f>
        <v>0</v>
      </c>
      <c r="BM86" s="60" t="n">
        <f aca="false">BF86+BG86+BH86+BI86+BK86</f>
        <v>0</v>
      </c>
      <c r="BN86" s="60" t="n">
        <f aca="false">(AH86-AG86)+(AN86-AM86)+(AV86-AU86)</f>
        <v>0</v>
      </c>
      <c r="BO86" s="20" t="n">
        <f aca="false">(AE86+BD86+AF86+MAX(0,'Plan cashflow'!QH86)+IF(Slot1_Rate=AS_Cash,'Plan cashflow'!QM86/(1+AS_Cash),0)+IF(Slot2_Rate=AS_Cash,'Plan cashflow'!QQ86/(1+AS_Cash),0)+IF(Slot3_Rate=AS_Cash,'Plan cashflow'!QU86/(1+AS_Cash),0)+IF(Slot4_Rate=AS_Cash,'Plan cashflow'!QY86/(1+AS_Cash),0)+IF(Slot5_Rate=AS_Cash,'Plan cashflow'!RC86/(1+AS_Cash),0)+IF(Slot6_Rate=AS_Cash,'Plan cashflow'!RG86/(1+AS_Cash),0)+IF(Slot7_Rate=AS_Cash,'Plan cashflow'!RK86/(1+AS_Cash),0)+IF(Slot8_Rate=AS_Cash,'Plan cashflow'!RO86/(1+AS_Cash),0)+IF(Slot9_Rate=AS_Cash,'Plan cashflow'!RS86/(1+AS_Cash),0)+IF(Slot10_Rate=AS_Cash,'Plan cashflow'!RW86/(1+AS_Cash),0)+IF(Slot11_Rate=AS_Cash,'Plan cashflow'!SA86/(1+AS_Cash),0)+IF(Slot12_Rate=AS_Cash,'Plan cashflow'!SE86/(1+AS_Cash),0)+IF(Slot13_Rate=AS_Cash,'Plan cashflow'!SI86/(1+AS_Cash),0)+IF(Slot14_Rate=AS_Cash,'Plan cashflow'!SM86/(1+AS_Cash),0)+IF(Slot15_Rate=AS_Cash,'Plan cashflow'!SQ86/(1+AS_Cash),0)+IF(Slot16_Rate=AS_Cash,'Plan cashflow'!SU86/(1+AS_Cash),0)+IF(Slot17_Rate=AS_Cash,'Plan cashflow'!SY86/(1+AS_Cash),0)+IF(Slot18_Rate=AS_Cash,'Plan cashflow'!TC86/(1+AS_Cash),0)+IF(Slot19_Rate=AS_Cash,'Plan cashflow'!TG86/(1+AS_Cash),0)+IF(Slot20_Rate=AS_Cash,'Plan cashflow'!TK86/(1+AS_Cash),0))*AS_Cash*H_DIRT/(1-H_DIRT)</f>
        <v>0</v>
      </c>
      <c r="BP86" s="60" t="n">
        <f aca="false">SUM(AVE86:AYQ86)</f>
        <v>0</v>
      </c>
      <c r="BQ86" s="54" t="n">
        <f aca="false">IF(H_TaxEvt=1,H_InvG,AS_Inv)</f>
        <v>0.04</v>
      </c>
      <c r="BR86" s="20" t="n">
        <f aca="false">IF(AKR85&gt;0,(AKR85-AOE85)/AKR85,0)</f>
        <v>0</v>
      </c>
      <c r="BS86" s="20" t="n">
        <f aca="false">IF(AKS85&gt;0,(AKS85-AOF85)/AKS85,0)</f>
        <v>0</v>
      </c>
      <c r="BT86" s="20" t="n">
        <f aca="false">IF(AKT85&gt;0,(AKT85-AOG85)/AKT85,0)</f>
        <v>0</v>
      </c>
      <c r="BU86" s="20" t="n">
        <f aca="false">IF(AKU85&gt;0,(AKU85-AOH85)/AKU85,0)</f>
        <v>0</v>
      </c>
      <c r="BV86" s="20" t="n">
        <f aca="false">IF(AKV85&gt;0,(AKV85-AOI85)/AKV85,0)</f>
        <v>0</v>
      </c>
      <c r="BW86" s="20" t="n">
        <f aca="false">IF(AKW85&gt;0,(AKW85-AOJ85)/AKW85,0)</f>
        <v>0</v>
      </c>
      <c r="BX86" s="20" t="n">
        <f aca="false">IF(AKX85&gt;0,(AKX85-AOK85)/AKX85,0)</f>
        <v>0</v>
      </c>
      <c r="BY86" s="20" t="n">
        <f aca="false">IF(AKY85&gt;0,(AKY85-AOL85)/AKY85,0)</f>
        <v>0</v>
      </c>
      <c r="BZ86" s="20" t="n">
        <f aca="false">IF(AKZ85&gt;0,(AKZ85-AOM85)/AKZ85,0)</f>
        <v>0</v>
      </c>
      <c r="CA86" s="20" t="n">
        <f aca="false">IF(ALA85&gt;0,(ALA85-AON85)/ALA85,0)</f>
        <v>0</v>
      </c>
      <c r="CB86" s="20" t="n">
        <f aca="false">IF(ALB85&gt;0,(ALB85-AOO85)/ALB85,0)</f>
        <v>0</v>
      </c>
      <c r="CC86" s="20" t="n">
        <f aca="false">IF(ALC85&gt;0,(ALC85-AOP85)/ALC85,0)</f>
        <v>0</v>
      </c>
      <c r="CD86" s="20" t="n">
        <f aca="false">IF(ALD85&gt;0,(ALD85-AOQ85)/ALD85,0)</f>
        <v>0</v>
      </c>
      <c r="CE86" s="20" t="n">
        <f aca="false">IF(ALE85&gt;0,(ALE85-AOR85)/ALE85,0)</f>
        <v>0</v>
      </c>
      <c r="CF86" s="20" t="n">
        <f aca="false">IF(ALF85&gt;0,(ALF85-AOS85)/ALF85,0)</f>
        <v>0</v>
      </c>
      <c r="CG86" s="20" t="n">
        <f aca="false">IF(ALG85&gt;0,(ALG85-AOT85)/ALG85,0)</f>
        <v>0</v>
      </c>
      <c r="CH86" s="20" t="n">
        <f aca="false">IF(ALH85&gt;0,(ALH85-AOU85)/ALH85,0)</f>
        <v>0</v>
      </c>
      <c r="CI86" s="20" t="n">
        <f aca="false">IF(ALI85&gt;0,(ALI85-AOV85)/ALI85,0)</f>
        <v>0</v>
      </c>
      <c r="CJ86" s="20" t="n">
        <f aca="false">IF(ALJ85&gt;0,(ALJ85-AOW85)/ALJ85,0)</f>
        <v>0</v>
      </c>
      <c r="CK86" s="20" t="n">
        <f aca="false">IF(ALK85&gt;0,(ALK85-AOX85)/ALK85,0)</f>
        <v>0</v>
      </c>
      <c r="CL86" s="20" t="n">
        <f aca="false">IF(ALL85&gt;0,(ALL85-AOY85)/ALL85,0)</f>
        <v>0</v>
      </c>
      <c r="CM86" s="20" t="n">
        <f aca="false">IF(ALM85&gt;0,(ALM85-AOZ85)/ALM85,0)</f>
        <v>0</v>
      </c>
      <c r="CN86" s="20" t="n">
        <f aca="false">IF(ALN85&gt;0,(ALN85-APA85)/ALN85,0)</f>
        <v>0</v>
      </c>
      <c r="CO86" s="20" t="n">
        <f aca="false">IF(ALO85&gt;0,(ALO85-APB85)/ALO85,0)</f>
        <v>0</v>
      </c>
      <c r="CP86" s="20" t="n">
        <f aca="false">IF(ALP85&gt;0,(ALP85-APC85)/ALP85,0)</f>
        <v>0</v>
      </c>
      <c r="CQ86" s="20" t="n">
        <f aca="false">IF(ALQ85&gt;0,(ALQ85-APD85)/ALQ85,0)</f>
        <v>0</v>
      </c>
      <c r="CR86" s="20" t="n">
        <f aca="false">IF(ALR85&gt;0,(ALR85-APE85)/ALR85,0)</f>
        <v>0</v>
      </c>
      <c r="CS86" s="20" t="n">
        <f aca="false">IF(ALS85&gt;0,(ALS85-APF85)/ALS85,0)</f>
        <v>0</v>
      </c>
      <c r="CT86" s="20" t="n">
        <f aca="false">IF(ALT85&gt;0,(ALT85-APG85)/ALT85,0)</f>
        <v>0</v>
      </c>
      <c r="CU86" s="20" t="n">
        <f aca="false">IF(ALU85&gt;0,(ALU85-APH85)/ALU85,0)</f>
        <v>0</v>
      </c>
      <c r="CV86" s="20" t="n">
        <f aca="false">IF(ALV85&gt;0,(ALV85-API85)/ALV85,0)</f>
        <v>0</v>
      </c>
      <c r="CW86" s="20" t="n">
        <f aca="false">IF(ALW85&gt;0,(ALW85-APJ85)/ALW85,0)</f>
        <v>0</v>
      </c>
      <c r="CX86" s="20" t="n">
        <f aca="false">IF(ALX85&gt;0,(ALX85-APK85)/ALX85,0)</f>
        <v>0</v>
      </c>
      <c r="CY86" s="20" t="n">
        <f aca="false">IF(ALY85&gt;0,(ALY85-APL85)/ALY85,0)</f>
        <v>0</v>
      </c>
      <c r="CZ86" s="20" t="n">
        <f aca="false">IF(ALZ85&gt;0,(ALZ85-APM85)/ALZ85,0)</f>
        <v>0</v>
      </c>
      <c r="DA86" s="20" t="n">
        <f aca="false">IF(AMA85&gt;0,(AMA85-APN85)/AMA85,0)</f>
        <v>0</v>
      </c>
      <c r="DB86" s="20" t="n">
        <f aca="false">IF(AMB85&gt;0,(AMB85-APO85)/AMB85,0)</f>
        <v>0</v>
      </c>
      <c r="DC86" s="20" t="n">
        <f aca="false">IF(AMC85&gt;0,(AMC85-APP85)/AMC85,0)</f>
        <v>0</v>
      </c>
      <c r="DD86" s="20" t="n">
        <f aca="false">IF(AMD85&gt;0,(AMD85-APQ85)/AMD85,0)</f>
        <v>0</v>
      </c>
      <c r="DE86" s="20" t="n">
        <f aca="false">IF(AME85&gt;0,(AME85-APR85)/AME85,0)</f>
        <v>0</v>
      </c>
      <c r="DF86" s="20" t="n">
        <f aca="false">IF(AMF85&gt;0,(AMF85-APS85)/AMF85,0)</f>
        <v>0</v>
      </c>
      <c r="DG86" s="20" t="n">
        <f aca="false">IF(AMG85&gt;0,(AMG85-APT85)/AMG85,0)</f>
        <v>0</v>
      </c>
      <c r="DH86" s="20" t="n">
        <f aca="false">IF(AMH85&gt;0,(AMH85-APU85)/AMH85,0)</f>
        <v>0</v>
      </c>
      <c r="DI86" s="20" t="n">
        <f aca="false">IF(AMI85&gt;0,(AMI85-APV85)/AMI85,0)</f>
        <v>0</v>
      </c>
      <c r="DJ86" s="20" t="n">
        <f aca="false">IF(AMJ85&gt;0,(AMJ85-APW85)/AMJ85,0)</f>
        <v>0</v>
      </c>
      <c r="DK86" s="20" t="n">
        <f aca="false">IF(AMK85&gt;0,(AMK85-APX85)/AMK85,0)</f>
        <v>0</v>
      </c>
      <c r="DL86" s="20" t="n">
        <f aca="false">IF(AML85&gt;0,(AML85-APY85)/AML85,0)</f>
        <v>0</v>
      </c>
      <c r="DM86" s="20" t="n">
        <f aca="false">IF(AMM85&gt;0,(AMM85-APZ85)/AMM85,0)</f>
        <v>0</v>
      </c>
      <c r="DN86" s="20" t="n">
        <f aca="false">IF(AMN85&gt;0,(AMN85-AQA85)/AMN85,0)</f>
        <v>0</v>
      </c>
      <c r="DO86" s="20" t="n">
        <f aca="false">IF(AMO85&gt;0,(AMO85-AQB85)/AMO85,0)</f>
        <v>0</v>
      </c>
      <c r="DP86" s="20" t="n">
        <f aca="false">IF(AMP85&gt;0,(AMP85-AQC85)/AMP85,0)</f>
        <v>0</v>
      </c>
      <c r="DQ86" s="20" t="n">
        <f aca="false">IF(AMQ85&gt;0,(AMQ85-AQD85)/AMQ85,0)</f>
        <v>0</v>
      </c>
      <c r="DR86" s="20" t="n">
        <f aca="false">IF(AMR85&gt;0,(AMR85-AQE85)/AMR85,0)</f>
        <v>0</v>
      </c>
      <c r="DS86" s="20" t="n">
        <f aca="false">IF(AMS85&gt;0,(AMS85-AQF85)/AMS85,0)</f>
        <v>0</v>
      </c>
      <c r="DT86" s="20" t="n">
        <f aca="false">IF(AMT85&gt;0,(AMT85-AQG85)/AMT85,0)</f>
        <v>0</v>
      </c>
      <c r="DU86" s="20" t="n">
        <f aca="false">IF(AMU85&gt;0,(AMU85-AQH85)/AMU85,0)</f>
        <v>0</v>
      </c>
      <c r="DV86" s="20" t="n">
        <f aca="false">IF(AMV85&gt;0,(AMV85-AQI85)/AMV85,0)</f>
        <v>0</v>
      </c>
      <c r="DW86" s="20" t="n">
        <f aca="false">IF(AMW85&gt;0,(AMW85-AQJ85)/AMW85,0)</f>
        <v>0</v>
      </c>
      <c r="DX86" s="20" t="n">
        <f aca="false">IF(AMX85&gt;0,(AMX85-AQK85)/AMX85,0)</f>
        <v>0</v>
      </c>
      <c r="DY86" s="20" t="n">
        <f aca="false">IF(AMY85&gt;0,(AMY85-AQL85)/AMY85,0)</f>
        <v>0</v>
      </c>
      <c r="DZ86" s="20" t="n">
        <f aca="false">IF(AMZ85&gt;0,(AMZ85-AQM85)/AMZ85,0)</f>
        <v>0</v>
      </c>
      <c r="EA86" s="20" t="n">
        <f aca="false">IF(ANA85&gt;0,(ANA85-AQN85)/ANA85,0)</f>
        <v>0</v>
      </c>
      <c r="EB86" s="20" t="n">
        <f aca="false">IF(ANB85&gt;0,(ANB85-AQO85)/ANB85,0)</f>
        <v>0</v>
      </c>
      <c r="EC86" s="20" t="n">
        <f aca="false">IF(ANC85&gt;0,(ANC85-AQP85)/ANC85,0)</f>
        <v>0</v>
      </c>
      <c r="ED86" s="20" t="n">
        <f aca="false">IF(AND85&gt;0,(AND85-AQQ85)/AND85,0)</f>
        <v>0</v>
      </c>
      <c r="EE86" s="20" t="n">
        <f aca="false">IF(ANE85&gt;0,(ANE85-AQR85)/ANE85,0)</f>
        <v>0</v>
      </c>
      <c r="EF86" s="20" t="n">
        <f aca="false">IF(ANF85&gt;0,(ANF85-AQS85)/ANF85,0)</f>
        <v>0</v>
      </c>
      <c r="EG86" s="20" t="n">
        <f aca="false">IF(ANG85&gt;0,(ANG85-AQT85)/ANG85,0)</f>
        <v>0</v>
      </c>
      <c r="EH86" s="20" t="n">
        <f aca="false">IF(ANH85&gt;0,(ANH85-AQU85)/ANH85,0)</f>
        <v>0</v>
      </c>
      <c r="EI86" s="20" t="n">
        <f aca="false">IF(ANI85&gt;0,(ANI85-AQV85)/ANI85,0)</f>
        <v>0</v>
      </c>
      <c r="EJ86" s="20" t="n">
        <f aca="false">IF(ANJ85&gt;0,(ANJ85-AQW85)/ANJ85,0)</f>
        <v>0</v>
      </c>
      <c r="EK86" s="20" t="n">
        <f aca="false">IF(ANK85&gt;0,(ANK85-AQX85)/ANK85,0)</f>
        <v>0</v>
      </c>
      <c r="EL86" s="20" t="n">
        <f aca="false">IF(ANL85&gt;0,(ANL85-AQY85)/ANL85,0)</f>
        <v>0</v>
      </c>
      <c r="EM86" s="20" t="n">
        <f aca="false">IF(ANM85&gt;0,(ANM85-AQZ85)/ANM85,0)</f>
        <v>0</v>
      </c>
      <c r="EN86" s="20" t="n">
        <f aca="false">IF(ANN85&gt;0,(ANN85-ARA85)/ANN85,0)</f>
        <v>0</v>
      </c>
      <c r="EO86" s="20" t="n">
        <f aca="false">IF(ANO85&gt;0,(ANO85-ARB85)/ANO85,0)</f>
        <v>0</v>
      </c>
      <c r="EP86" s="20" t="n">
        <f aca="false">IF(ANP85&gt;0,(ANP85-ARC85)/ANP85,0)</f>
        <v>0</v>
      </c>
      <c r="EQ86" s="20" t="n">
        <f aca="false">IF(ANQ85&gt;0,(ANQ85-ARD85)/ANQ85,0)</f>
        <v>0</v>
      </c>
      <c r="ER86" s="20" t="n">
        <f aca="false">IF(ANR85&gt;0,(ANR85-ARE85)/ANR85,0)</f>
        <v>0</v>
      </c>
      <c r="ES86" s="20" t="n">
        <f aca="false">IF((P86+S86)&gt;0,((P86+S86)-(P86+S86))/(P86+S86),0)</f>
        <v>0</v>
      </c>
      <c r="ET86" s="20" t="n">
        <v>0</v>
      </c>
      <c r="EU86" s="20" t="n">
        <v>0</v>
      </c>
      <c r="EV86" s="20" t="n">
        <v>0</v>
      </c>
      <c r="EW86" s="20" t="n">
        <v>0</v>
      </c>
      <c r="EX86" s="20" t="n">
        <v>0</v>
      </c>
      <c r="EY86" s="20" t="n">
        <v>0</v>
      </c>
      <c r="EZ86" s="20" t="n">
        <v>0</v>
      </c>
      <c r="FA86" s="20" t="n">
        <v>0</v>
      </c>
      <c r="FB86" s="20" t="n">
        <v>0</v>
      </c>
      <c r="FC86" s="20" t="n">
        <v>0</v>
      </c>
      <c r="FD86" s="20" t="n">
        <v>0</v>
      </c>
      <c r="FE86" s="20" t="n">
        <f aca="false">IF(H_Direct=1,IF(AKR85&lt;=0,0,IF(BR86&lt;=0,AKR85,AKR85-G86*MAX(0,BR86*AKR85-(H86+I86)))),AKR85*(1-MAX(0,BR86)*H_Exit))</f>
        <v>0</v>
      </c>
      <c r="FF86" s="20" t="n">
        <f aca="false">IF(H_Direct=1,IF(AKS85&lt;=0,0,IF(BS86&lt;=0,AKS85,AKS85-G86*MAX(0,BS86*AKS85-(IR86+ME86)))),AKS85*(1-MAX(0,BS86)*H_Exit))</f>
        <v>0</v>
      </c>
      <c r="FG86" s="20" t="n">
        <f aca="false">IF(H_Direct=1,IF(AKT85&lt;=0,0,IF(BT86&lt;=0,AKT85,AKT85-G86*MAX(0,BT86*AKT85-(IS86+MF86)))),AKT85*(1-MAX(0,BT86)*H_Exit))</f>
        <v>0</v>
      </c>
      <c r="FH86" s="20" t="n">
        <f aca="false">IF(H_Direct=1,IF(AKU85&lt;=0,0,IF(BU86&lt;=0,AKU85,AKU85-G86*MAX(0,BU86*AKU85-(IT86+MG86)))),AKU85*(1-MAX(0,BU86)*H_Exit))</f>
        <v>0</v>
      </c>
      <c r="FI86" s="20" t="n">
        <f aca="false">IF(H_Direct=1,IF(AKV85&lt;=0,0,IF(BV86&lt;=0,AKV85,AKV85-G86*MAX(0,BV86*AKV85-(IU86+MH86)))),AKV85*(1-MAX(0,BV86)*H_Exit))</f>
        <v>0</v>
      </c>
      <c r="FJ86" s="20" t="n">
        <f aca="false">IF(H_Direct=1,IF(AKW85&lt;=0,0,IF(BW86&lt;=0,AKW85,AKW85-G86*MAX(0,BW86*AKW85-(IV86+MI86)))),AKW85*(1-MAX(0,BW86)*H_Exit))</f>
        <v>0</v>
      </c>
      <c r="FK86" s="20" t="n">
        <f aca="false">IF(H_Direct=1,IF(AKX85&lt;=0,0,IF(BX86&lt;=0,AKX85,AKX85-G86*MAX(0,BX86*AKX85-(IW86+MJ86)))),AKX85*(1-MAX(0,BX86)*H_Exit))</f>
        <v>0</v>
      </c>
      <c r="FL86" s="20" t="n">
        <f aca="false">IF(H_Direct=1,IF(AKY85&lt;=0,0,IF(BY86&lt;=0,AKY85,AKY85-G86*MAX(0,BY86*AKY85-(IX86+MK86)))),AKY85*(1-MAX(0,BY86)*H_Exit))</f>
        <v>0</v>
      </c>
      <c r="FM86" s="20" t="n">
        <f aca="false">IF(H_Direct=1,IF(AKZ85&lt;=0,0,IF(BZ86&lt;=0,AKZ85,AKZ85-G86*MAX(0,BZ86*AKZ85-(IY86+ML86)))),AKZ85*(1-MAX(0,BZ86)*H_Exit))</f>
        <v>0</v>
      </c>
      <c r="FN86" s="20" t="n">
        <f aca="false">IF(H_Direct=1,IF(ALA85&lt;=0,0,IF(CA86&lt;=0,ALA85,ALA85-G86*MAX(0,CA86*ALA85-(IZ86+MM86)))),ALA85*(1-MAX(0,CA86)*H_Exit))</f>
        <v>0</v>
      </c>
      <c r="FO86" s="20" t="n">
        <f aca="false">IF(H_Direct=1,IF(ALB85&lt;=0,0,IF(CB86&lt;=0,ALB85,ALB85-G86*MAX(0,CB86*ALB85-(JA86+MN86)))),ALB85*(1-MAX(0,CB86)*H_Exit))</f>
        <v>0</v>
      </c>
      <c r="FP86" s="20" t="n">
        <f aca="false">IF(H_Direct=1,IF(ALC85&lt;=0,0,IF(CC86&lt;=0,ALC85,ALC85-G86*MAX(0,CC86*ALC85-(JB86+MO86)))),ALC85*(1-MAX(0,CC86)*H_Exit))</f>
        <v>0</v>
      </c>
      <c r="FQ86" s="20" t="n">
        <f aca="false">IF(H_Direct=1,IF(ALD85&lt;=0,0,IF(CD86&lt;=0,ALD85,ALD85-G86*MAX(0,CD86*ALD85-(JC86+MP86)))),ALD85*(1-MAX(0,CD86)*H_Exit))</f>
        <v>0</v>
      </c>
      <c r="FR86" s="20" t="n">
        <f aca="false">IF(H_Direct=1,IF(ALE85&lt;=0,0,IF(CE86&lt;=0,ALE85,ALE85-G86*MAX(0,CE86*ALE85-(JD86+MQ86)))),ALE85*(1-MAX(0,CE86)*H_Exit))</f>
        <v>0</v>
      </c>
      <c r="FS86" s="20" t="n">
        <f aca="false">IF(H_Direct=1,IF(ALF85&lt;=0,0,IF(CF86&lt;=0,ALF85,ALF85-G86*MAX(0,CF86*ALF85-(JE86+MR86)))),ALF85*(1-MAX(0,CF86)*H_Exit))</f>
        <v>0</v>
      </c>
      <c r="FT86" s="20" t="n">
        <f aca="false">IF(H_Direct=1,IF(ALG85&lt;=0,0,IF(CG86&lt;=0,ALG85,ALG85-G86*MAX(0,CG86*ALG85-(JF86+MS86)))),ALG85*(1-MAX(0,CG86)*H_Exit))</f>
        <v>0</v>
      </c>
      <c r="FU86" s="20" t="n">
        <f aca="false">IF(H_Direct=1,IF(ALH85&lt;=0,0,IF(CH86&lt;=0,ALH85,ALH85-G86*MAX(0,CH86*ALH85-(JG86+MT86)))),ALH85*(1-MAX(0,CH86)*H_Exit))</f>
        <v>0</v>
      </c>
      <c r="FV86" s="20" t="n">
        <f aca="false">IF(H_Direct=1,IF(ALI85&lt;=0,0,IF(CI86&lt;=0,ALI85,ALI85-G86*MAX(0,CI86*ALI85-(JH86+MU86)))),ALI85*(1-MAX(0,CI86)*H_Exit))</f>
        <v>0</v>
      </c>
      <c r="FW86" s="20" t="n">
        <f aca="false">IF(H_Direct=1,IF(ALJ85&lt;=0,0,IF(CJ86&lt;=0,ALJ85,ALJ85-G86*MAX(0,CJ86*ALJ85-(JI86+MV86)))),ALJ85*(1-MAX(0,CJ86)*H_Exit))</f>
        <v>0</v>
      </c>
      <c r="FX86" s="20" t="n">
        <f aca="false">IF(H_Direct=1,IF(ALK85&lt;=0,0,IF(CK86&lt;=0,ALK85,ALK85-G86*MAX(0,CK86*ALK85-(JJ86+MW86)))),ALK85*(1-MAX(0,CK86)*H_Exit))</f>
        <v>0</v>
      </c>
      <c r="FY86" s="20" t="n">
        <f aca="false">IF(H_Direct=1,IF(ALL85&lt;=0,0,IF(CL86&lt;=0,ALL85,ALL85-G86*MAX(0,CL86*ALL85-(JK86+MX86)))),ALL85*(1-MAX(0,CL86)*H_Exit))</f>
        <v>0</v>
      </c>
      <c r="FZ86" s="20" t="n">
        <f aca="false">IF(H_Direct=1,IF(ALM85&lt;=0,0,IF(CM86&lt;=0,ALM85,ALM85-G86*MAX(0,CM86*ALM85-(JL86+MY86)))),ALM85*(1-MAX(0,CM86)*H_Exit))</f>
        <v>0</v>
      </c>
      <c r="GA86" s="20" t="n">
        <f aca="false">IF(H_Direct=1,IF(ALN85&lt;=0,0,IF(CN86&lt;=0,ALN85,ALN85-G86*MAX(0,CN86*ALN85-(JM86+MZ86)))),ALN85*(1-MAX(0,CN86)*H_Exit))</f>
        <v>0</v>
      </c>
      <c r="GB86" s="20" t="n">
        <f aca="false">IF(H_Direct=1,IF(ALO85&lt;=0,0,IF(CO86&lt;=0,ALO85,ALO85-G86*MAX(0,CO86*ALO85-(JN86+NA86)))),ALO85*(1-MAX(0,CO86)*H_Exit))</f>
        <v>0</v>
      </c>
      <c r="GC86" s="20" t="n">
        <f aca="false">IF(H_Direct=1,IF(ALP85&lt;=0,0,IF(CP86&lt;=0,ALP85,ALP85-G86*MAX(0,CP86*ALP85-(JO86+NB86)))),ALP85*(1-MAX(0,CP86)*H_Exit))</f>
        <v>0</v>
      </c>
      <c r="GD86" s="20" t="n">
        <f aca="false">IF(H_Direct=1,IF(ALQ85&lt;=0,0,IF(CQ86&lt;=0,ALQ85,ALQ85-G86*MAX(0,CQ86*ALQ85-(JP86+NC86)))),ALQ85*(1-MAX(0,CQ86)*H_Exit))</f>
        <v>0</v>
      </c>
      <c r="GE86" s="20" t="n">
        <f aca="false">IF(H_Direct=1,IF(ALR85&lt;=0,0,IF(CR86&lt;=0,ALR85,ALR85-G86*MAX(0,CR86*ALR85-(JQ86+ND86)))),ALR85*(1-MAX(0,CR86)*H_Exit))</f>
        <v>0</v>
      </c>
      <c r="GF86" s="20" t="n">
        <f aca="false">IF(H_Direct=1,IF(ALS85&lt;=0,0,IF(CS86&lt;=0,ALS85,ALS85-G86*MAX(0,CS86*ALS85-(JR86+NE86)))),ALS85*(1-MAX(0,CS86)*H_Exit))</f>
        <v>0</v>
      </c>
      <c r="GG86" s="20" t="n">
        <f aca="false">IF(H_Direct=1,IF(ALT85&lt;=0,0,IF(CT86&lt;=0,ALT85,ALT85-G86*MAX(0,CT86*ALT85-(JS86+NF86)))),ALT85*(1-MAX(0,CT86)*H_Exit))</f>
        <v>0</v>
      </c>
      <c r="GH86" s="20" t="n">
        <f aca="false">IF(H_Direct=1,IF(ALU85&lt;=0,0,IF(CU86&lt;=0,ALU85,ALU85-G86*MAX(0,CU86*ALU85-(JT86+NG86)))),ALU85*(1-MAX(0,CU86)*H_Exit))</f>
        <v>0</v>
      </c>
      <c r="GI86" s="20" t="n">
        <f aca="false">IF(H_Direct=1,IF(ALV85&lt;=0,0,IF(CV86&lt;=0,ALV85,ALV85-G86*MAX(0,CV86*ALV85-(JU86+NH86)))),ALV85*(1-MAX(0,CV86)*H_Exit))</f>
        <v>0</v>
      </c>
      <c r="GJ86" s="20" t="n">
        <f aca="false">IF(H_Direct=1,IF(ALW85&lt;=0,0,IF(CW86&lt;=0,ALW85,ALW85-G86*MAX(0,CW86*ALW85-(JV86+NI86)))),ALW85*(1-MAX(0,CW86)*H_Exit))</f>
        <v>0</v>
      </c>
      <c r="GK86" s="20" t="n">
        <f aca="false">IF(H_Direct=1,IF(ALX85&lt;=0,0,IF(CX86&lt;=0,ALX85,ALX85-G86*MAX(0,CX86*ALX85-(JW86+NJ86)))),ALX85*(1-MAX(0,CX86)*H_Exit))</f>
        <v>0</v>
      </c>
      <c r="GL86" s="20" t="n">
        <f aca="false">IF(H_Direct=1,IF(ALY85&lt;=0,0,IF(CY86&lt;=0,ALY85,ALY85-G86*MAX(0,CY86*ALY85-(JX86+NK86)))),ALY85*(1-MAX(0,CY86)*H_Exit))</f>
        <v>0</v>
      </c>
      <c r="GM86" s="20" t="n">
        <f aca="false">IF(H_Direct=1,IF(ALZ85&lt;=0,0,IF(CZ86&lt;=0,ALZ85,ALZ85-G86*MAX(0,CZ86*ALZ85-(JY86+NL86)))),ALZ85*(1-MAX(0,CZ86)*H_Exit))</f>
        <v>0</v>
      </c>
      <c r="GN86" s="20" t="n">
        <f aca="false">IF(H_Direct=1,IF(AMA85&lt;=0,0,IF(DA86&lt;=0,AMA85,AMA85-G86*MAX(0,DA86*AMA85-(JZ86+NM86)))),AMA85*(1-MAX(0,DA86)*H_Exit))</f>
        <v>0</v>
      </c>
      <c r="GO86" s="20" t="n">
        <f aca="false">IF(H_Direct=1,IF(AMB85&lt;=0,0,IF(DB86&lt;=0,AMB85,AMB85-G86*MAX(0,DB86*AMB85-(KA86+NN86)))),AMB85*(1-MAX(0,DB86)*H_Exit))</f>
        <v>0</v>
      </c>
      <c r="GP86" s="20" t="n">
        <f aca="false">IF(H_Direct=1,IF(AMC85&lt;=0,0,IF(DC86&lt;=0,AMC85,AMC85-G86*MAX(0,DC86*AMC85-(KB86+NO86)))),AMC85*(1-MAX(0,DC86)*H_Exit))</f>
        <v>0</v>
      </c>
      <c r="GQ86" s="20" t="n">
        <f aca="false">IF(H_Direct=1,IF(AMD85&lt;=0,0,IF(DD86&lt;=0,AMD85,AMD85-G86*MAX(0,DD86*AMD85-(KC86+NP86)))),AMD85*(1-MAX(0,DD86)*H_Exit))</f>
        <v>0</v>
      </c>
      <c r="GR86" s="20" t="n">
        <f aca="false">IF(H_Direct=1,IF(AME85&lt;=0,0,IF(DE86&lt;=0,AME85,AME85-G86*MAX(0,DE86*AME85-(KD86+NQ86)))),AME85*(1-MAX(0,DE86)*H_Exit))</f>
        <v>0</v>
      </c>
      <c r="GS86" s="20" t="n">
        <f aca="false">IF(H_Direct=1,IF(AMF85&lt;=0,0,IF(DF86&lt;=0,AMF85,AMF85-G86*MAX(0,DF86*AMF85-(KE86+NR86)))),AMF85*(1-MAX(0,DF86)*H_Exit))</f>
        <v>0</v>
      </c>
      <c r="GT86" s="20" t="n">
        <f aca="false">IF(H_Direct=1,IF(AMG85&lt;=0,0,IF(DG86&lt;=0,AMG85,AMG85-G86*MAX(0,DG86*AMG85-(KF86+NS86)))),AMG85*(1-MAX(0,DG86)*H_Exit))</f>
        <v>0</v>
      </c>
      <c r="GU86" s="20" t="n">
        <f aca="false">IF(H_Direct=1,IF(AMH85&lt;=0,0,IF(DH86&lt;=0,AMH85,AMH85-G86*MAX(0,DH86*AMH85-(KG86+NT86)))),AMH85*(1-MAX(0,DH86)*H_Exit))</f>
        <v>0</v>
      </c>
      <c r="GV86" s="20" t="n">
        <f aca="false">IF(H_Direct=1,IF(AMI85&lt;=0,0,IF(DI86&lt;=0,AMI85,AMI85-G86*MAX(0,DI86*AMI85-(KH86+NU86)))),AMI85*(1-MAX(0,DI86)*H_Exit))</f>
        <v>0</v>
      </c>
      <c r="GW86" s="20" t="n">
        <f aca="false">IF(H_Direct=1,IF(AMJ85&lt;=0,0,IF(DJ86&lt;=0,AMJ85,AMJ85-G86*MAX(0,DJ86*AMJ85-(KI86+NV86)))),AMJ85*(1-MAX(0,DJ86)*H_Exit))</f>
        <v>0</v>
      </c>
      <c r="GX86" s="20" t="n">
        <f aca="false">IF(H_Direct=1,IF(AMK85&lt;=0,0,IF(DK86&lt;=0,AMK85,AMK85-G86*MAX(0,DK86*AMK85-(KJ86+NW86)))),AMK85*(1-MAX(0,DK86)*H_Exit))</f>
        <v>0</v>
      </c>
      <c r="GY86" s="20" t="n">
        <f aca="false">IF(H_Direct=1,IF(AML85&lt;=0,0,IF(DL86&lt;=0,AML85,AML85-G86*MAX(0,DL86*AML85-(KK86+NX86)))),AML85*(1-MAX(0,DL86)*H_Exit))</f>
        <v>0</v>
      </c>
      <c r="GZ86" s="20" t="n">
        <f aca="false">IF(H_Direct=1,IF(AMM85&lt;=0,0,IF(DM86&lt;=0,AMM85,AMM85-G86*MAX(0,DM86*AMM85-(KL86+NY86)))),AMM85*(1-MAX(0,DM86)*H_Exit))</f>
        <v>0</v>
      </c>
      <c r="HA86" s="20" t="n">
        <f aca="false">IF(H_Direct=1,IF(AMN85&lt;=0,0,IF(DN86&lt;=0,AMN85,AMN85-G86*MAX(0,DN86*AMN85-(KM86+NZ86)))),AMN85*(1-MAX(0,DN86)*H_Exit))</f>
        <v>0</v>
      </c>
      <c r="HB86" s="20" t="n">
        <f aca="false">IF(H_Direct=1,IF(AMO85&lt;=0,0,IF(DO86&lt;=0,AMO85,AMO85-G86*MAX(0,DO86*AMO85-(KN86+OA86)))),AMO85*(1-MAX(0,DO86)*H_Exit))</f>
        <v>0</v>
      </c>
      <c r="HC86" s="20" t="n">
        <f aca="false">IF(H_Direct=1,IF(AMP85&lt;=0,0,IF(DP86&lt;=0,AMP85,AMP85-G86*MAX(0,DP86*AMP85-(KO86+OB86)))),AMP85*(1-MAX(0,DP86)*H_Exit))</f>
        <v>0</v>
      </c>
      <c r="HD86" s="20" t="n">
        <f aca="false">IF(H_Direct=1,IF(AMQ85&lt;=0,0,IF(DQ86&lt;=0,AMQ85,AMQ85-G86*MAX(0,DQ86*AMQ85-(KP86+OC86)))),AMQ85*(1-MAX(0,DQ86)*H_Exit))</f>
        <v>0</v>
      </c>
      <c r="HE86" s="20" t="n">
        <f aca="false">IF(H_Direct=1,IF(AMR85&lt;=0,0,IF(DR86&lt;=0,AMR85,AMR85-G86*MAX(0,DR86*AMR85-(KQ86+OD86)))),AMR85*(1-MAX(0,DR86)*H_Exit))</f>
        <v>0</v>
      </c>
      <c r="HF86" s="20" t="n">
        <f aca="false">IF(H_Direct=1,IF(AMS85&lt;=0,0,IF(DS86&lt;=0,AMS85,AMS85-G86*MAX(0,DS86*AMS85-(KR86+OE86)))),AMS85*(1-MAX(0,DS86)*H_Exit))</f>
        <v>0</v>
      </c>
      <c r="HG86" s="20" t="n">
        <f aca="false">IF(H_Direct=1,IF(AMT85&lt;=0,0,IF(DT86&lt;=0,AMT85,AMT85-G86*MAX(0,DT86*AMT85-(KS86+OF86)))),AMT85*(1-MAX(0,DT86)*H_Exit))</f>
        <v>0</v>
      </c>
      <c r="HH86" s="20" t="n">
        <f aca="false">IF(H_Direct=1,IF(AMU85&lt;=0,0,IF(DU86&lt;=0,AMU85,AMU85-G86*MAX(0,DU86*AMU85-(KT86+OG86)))),AMU85*(1-MAX(0,DU86)*H_Exit))</f>
        <v>0</v>
      </c>
      <c r="HI86" s="20" t="n">
        <f aca="false">IF(H_Direct=1,IF(AMV85&lt;=0,0,IF(DV86&lt;=0,AMV85,AMV85-G86*MAX(0,DV86*AMV85-(KU86+OH86)))),AMV85*(1-MAX(0,DV86)*H_Exit))</f>
        <v>0</v>
      </c>
      <c r="HJ86" s="20" t="n">
        <f aca="false">IF(H_Direct=1,IF(AMW85&lt;=0,0,IF(DW86&lt;=0,AMW85,AMW85-G86*MAX(0,DW86*AMW85-(KV86+OI86)))),AMW85*(1-MAX(0,DW86)*H_Exit))</f>
        <v>0</v>
      </c>
      <c r="HK86" s="20" t="n">
        <f aca="false">IF(H_Direct=1,IF(AMX85&lt;=0,0,IF(DX86&lt;=0,AMX85,AMX85-G86*MAX(0,DX86*AMX85-(KW86+OJ86)))),AMX85*(1-MAX(0,DX86)*H_Exit))</f>
        <v>0</v>
      </c>
      <c r="HL86" s="20" t="n">
        <f aca="false">IF(H_Direct=1,IF(AMY85&lt;=0,0,IF(DY86&lt;=0,AMY85,AMY85-G86*MAX(0,DY86*AMY85-(KX86+OK86)))),AMY85*(1-MAX(0,DY86)*H_Exit))</f>
        <v>0</v>
      </c>
      <c r="HM86" s="20" t="n">
        <f aca="false">IF(H_Direct=1,IF(AMZ85&lt;=0,0,IF(DZ86&lt;=0,AMZ85,AMZ85-G86*MAX(0,DZ86*AMZ85-(KY86+OL86)))),AMZ85*(1-MAX(0,DZ86)*H_Exit))</f>
        <v>0</v>
      </c>
      <c r="HN86" s="20" t="n">
        <f aca="false">IF(H_Direct=1,IF(ANA85&lt;=0,0,IF(EA86&lt;=0,ANA85,ANA85-G86*MAX(0,EA86*ANA85-(KZ86+OM86)))),ANA85*(1-MAX(0,EA86)*H_Exit))</f>
        <v>0</v>
      </c>
      <c r="HO86" s="20" t="n">
        <f aca="false">IF(H_Direct=1,IF(ANB85&lt;=0,0,IF(EB86&lt;=0,ANB85,ANB85-G86*MAX(0,EB86*ANB85-(LA86+ON86)))),ANB85*(1-MAX(0,EB86)*H_Exit))</f>
        <v>0</v>
      </c>
      <c r="HP86" s="20" t="n">
        <f aca="false">IF(H_Direct=1,IF(ANC85&lt;=0,0,IF(EC86&lt;=0,ANC85,ANC85-G86*MAX(0,EC86*ANC85-(LB86+OO86)))),ANC85*(1-MAX(0,EC86)*H_Exit))</f>
        <v>0</v>
      </c>
      <c r="HQ86" s="20" t="n">
        <f aca="false">IF(H_Direct=1,IF(AND85&lt;=0,0,IF(ED86&lt;=0,AND85,AND85-G86*MAX(0,ED86*AND85-(LC86+OP86)))),AND85*(1-MAX(0,ED86)*H_Exit))</f>
        <v>0</v>
      </c>
      <c r="HR86" s="20" t="n">
        <f aca="false">IF(H_Direct=1,IF(ANE85&lt;=0,0,IF(EE86&lt;=0,ANE85,ANE85-G86*MAX(0,EE86*ANE85-(LD86+OQ86)))),ANE85*(1-MAX(0,EE86)*H_Exit))</f>
        <v>0</v>
      </c>
      <c r="HS86" s="20" t="n">
        <f aca="false">IF(H_Direct=1,IF(ANF85&lt;=0,0,IF(EF86&lt;=0,ANF85,ANF85-G86*MAX(0,EF86*ANF85-(LE86+OR86)))),ANF85*(1-MAX(0,EF86)*H_Exit))</f>
        <v>0</v>
      </c>
      <c r="HT86" s="20" t="n">
        <f aca="false">IF(H_Direct=1,IF(ANG85&lt;=0,0,IF(EG86&lt;=0,ANG85,ANG85-G86*MAX(0,EG86*ANG85-(LF86+OS86)))),ANG85*(1-MAX(0,EG86)*H_Exit))</f>
        <v>0</v>
      </c>
      <c r="HU86" s="20" t="n">
        <f aca="false">IF(H_Direct=1,IF(ANH85&lt;=0,0,IF(EH86&lt;=0,ANH85,ANH85-G86*MAX(0,EH86*ANH85-(LG86+OT86)))),ANH85*(1-MAX(0,EH86)*H_Exit))</f>
        <v>0</v>
      </c>
      <c r="HV86" s="20" t="n">
        <f aca="false">IF(H_Direct=1,IF(ANI85&lt;=0,0,IF(EI86&lt;=0,ANI85,ANI85-G86*MAX(0,EI86*ANI85-(LH86+OU86)))),ANI85*(1-MAX(0,EI86)*H_Exit))</f>
        <v>0</v>
      </c>
      <c r="HW86" s="20" t="n">
        <f aca="false">IF(H_Direct=1,IF(ANJ85&lt;=0,0,IF(EJ86&lt;=0,ANJ85,ANJ85-G86*MAX(0,EJ86*ANJ85-(LI86+OV86)))),ANJ85*(1-MAX(0,EJ86)*H_Exit))</f>
        <v>0</v>
      </c>
      <c r="HX86" s="20" t="n">
        <f aca="false">IF(H_Direct=1,IF(ANK85&lt;=0,0,IF(EK86&lt;=0,ANK85,ANK85-G86*MAX(0,EK86*ANK85-(LJ86+OW86)))),ANK85*(1-MAX(0,EK86)*H_Exit))</f>
        <v>0</v>
      </c>
      <c r="HY86" s="20" t="n">
        <f aca="false">IF(H_Direct=1,IF(ANL85&lt;=0,0,IF(EL86&lt;=0,ANL85,ANL85-G86*MAX(0,EL86*ANL85-(LK86+OX86)))),ANL85*(1-MAX(0,EL86)*H_Exit))</f>
        <v>0</v>
      </c>
      <c r="HZ86" s="20" t="n">
        <f aca="false">IF(H_Direct=1,IF(ANM85&lt;=0,0,IF(EM86&lt;=0,ANM85,ANM85-G86*MAX(0,EM86*ANM85-(LL86+OY86)))),ANM85*(1-MAX(0,EM86)*H_Exit))</f>
        <v>0</v>
      </c>
      <c r="IA86" s="20" t="n">
        <f aca="false">IF(H_Direct=1,IF(ANN85&lt;=0,0,IF(EN86&lt;=0,ANN85,ANN85-G86*MAX(0,EN86*ANN85-(LM86+OZ86)))),ANN85*(1-MAX(0,EN86)*H_Exit))</f>
        <v>0</v>
      </c>
      <c r="IB86" s="20" t="n">
        <f aca="false">IF(H_Direct=1,IF(ANO85&lt;=0,0,IF(EO86&lt;=0,ANO85,ANO85-G86*MAX(0,EO86*ANO85-(LN86+PA86)))),ANO85*(1-MAX(0,EO86)*H_Exit))</f>
        <v>0</v>
      </c>
      <c r="IC86" s="20" t="n">
        <f aca="false">IF(H_Direct=1,IF(ANP85&lt;=0,0,IF(EP86&lt;=0,ANP85,ANP85-G86*MAX(0,EP86*ANP85-(LO86+PB86)))),ANP85*(1-MAX(0,EP86)*H_Exit))</f>
        <v>0</v>
      </c>
      <c r="ID86" s="20" t="n">
        <f aca="false">IF(H_Direct=1,IF(ANQ85&lt;=0,0,IF(EQ86&lt;=0,ANQ85,ANQ85-G86*MAX(0,EQ86*ANQ85-(LP86+PC86)))),ANQ85*(1-MAX(0,EQ86)*H_Exit))</f>
        <v>0</v>
      </c>
      <c r="IE86" s="20" t="n">
        <f aca="false">IF(H_Direct=1,IF(ANR85&lt;=0,0,IF(ER86&lt;=0,ANR85,ANR85-G86*MAX(0,ER86*ANR85-(LQ86+PD86)))),ANR85*(1-MAX(0,ER86)*H_Exit))</f>
        <v>0</v>
      </c>
      <c r="IF86" s="20" t="n">
        <f aca="false">IF(H_Direct=1,IF((P86+S86)&lt;=0,0,IF(ES86&lt;=0,(P86+S86),(P86+S86)-G86*MAX(0,ES86*(P86+S86)-(LR86+PE86)))),(P86+S86)*(1-MAX(0,ES86)*H_Exit))</f>
        <v>0</v>
      </c>
      <c r="IG86" s="20" t="n">
        <v>0</v>
      </c>
      <c r="IH86" s="20" t="n">
        <v>0</v>
      </c>
      <c r="II86" s="20" t="n">
        <v>0</v>
      </c>
      <c r="IJ86" s="20" t="n">
        <v>0</v>
      </c>
      <c r="IK86" s="20" t="n">
        <v>0</v>
      </c>
      <c r="IL86" s="20" t="n">
        <v>0</v>
      </c>
      <c r="IM86" s="20" t="n">
        <v>0</v>
      </c>
      <c r="IN86" s="20" t="n">
        <v>0</v>
      </c>
      <c r="IO86" s="20" t="n">
        <v>0</v>
      </c>
      <c r="IP86" s="20" t="n">
        <v>0</v>
      </c>
      <c r="IQ86" s="20" t="n">
        <v>0</v>
      </c>
      <c r="IR86" s="20" t="n">
        <f aca="false">IF(AND(H_Direct=1,BR86&gt;0),MAX(0,H86-(MIN(BR86*AKR85,H86+I86)-MIN(MIN(BR86*AKR85,H86+I86),I86))),H86)</f>
        <v>1270</v>
      </c>
      <c r="IS86" s="20" t="n">
        <f aca="false">IF(AND(H_Direct=1,BS86&gt;0),MAX(0,IR86-(MIN(BS86*AKS85,IR86+ME86)-MIN(MIN(BS86*AKS85,IR86+ME86),ME86))),IR86)</f>
        <v>1270</v>
      </c>
      <c r="IT86" s="20" t="n">
        <f aca="false">IF(AND(H_Direct=1,BT86&gt;0),MAX(0,IS86-(MIN(BT86*AKT85,IS86+MF86)-MIN(MIN(BT86*AKT85,IS86+MF86),MF86))),IS86)</f>
        <v>1270</v>
      </c>
      <c r="IU86" s="20" t="n">
        <f aca="false">IF(AND(H_Direct=1,BU86&gt;0),MAX(0,IT86-(MIN(BU86*AKU85,IT86+MG86)-MIN(MIN(BU86*AKU85,IT86+MG86),MG86))),IT86)</f>
        <v>1270</v>
      </c>
      <c r="IV86" s="20" t="n">
        <f aca="false">IF(AND(H_Direct=1,BV86&gt;0),MAX(0,IU86-(MIN(BV86*AKV85,IU86+MH86)-MIN(MIN(BV86*AKV85,IU86+MH86),MH86))),IU86)</f>
        <v>1270</v>
      </c>
      <c r="IW86" s="20" t="n">
        <f aca="false">IF(AND(H_Direct=1,BW86&gt;0),MAX(0,IV86-(MIN(BW86*AKW85,IV86+MI86)-MIN(MIN(BW86*AKW85,IV86+MI86),MI86))),IV86)</f>
        <v>1270</v>
      </c>
      <c r="IX86" s="20" t="n">
        <f aca="false">IF(AND(H_Direct=1,BX86&gt;0),MAX(0,IW86-(MIN(BX86*AKX85,IW86+MJ86)-MIN(MIN(BX86*AKX85,IW86+MJ86),MJ86))),IW86)</f>
        <v>1270</v>
      </c>
      <c r="IY86" s="20" t="n">
        <f aca="false">IF(AND(H_Direct=1,BY86&gt;0),MAX(0,IX86-(MIN(BY86*AKY85,IX86+MK86)-MIN(MIN(BY86*AKY85,IX86+MK86),MK86))),IX86)</f>
        <v>1270</v>
      </c>
      <c r="IZ86" s="20" t="n">
        <f aca="false">IF(AND(H_Direct=1,BZ86&gt;0),MAX(0,IY86-(MIN(BZ86*AKZ85,IY86+ML86)-MIN(MIN(BZ86*AKZ85,IY86+ML86),ML86))),IY86)</f>
        <v>1270</v>
      </c>
      <c r="JA86" s="20" t="n">
        <f aca="false">IF(AND(H_Direct=1,CA86&gt;0),MAX(0,IZ86-(MIN(CA86*ALA85,IZ86+MM86)-MIN(MIN(CA86*ALA85,IZ86+MM86),MM86))),IZ86)</f>
        <v>1270</v>
      </c>
      <c r="JB86" s="20" t="n">
        <f aca="false">IF(AND(H_Direct=1,CB86&gt;0),MAX(0,JA86-(MIN(CB86*ALB85,JA86+MN86)-MIN(MIN(CB86*ALB85,JA86+MN86),MN86))),JA86)</f>
        <v>1270</v>
      </c>
      <c r="JC86" s="20" t="n">
        <f aca="false">IF(AND(H_Direct=1,CC86&gt;0),MAX(0,JB86-(MIN(CC86*ALC85,JB86+MO86)-MIN(MIN(CC86*ALC85,JB86+MO86),MO86))),JB86)</f>
        <v>1270</v>
      </c>
      <c r="JD86" s="20" t="n">
        <f aca="false">IF(AND(H_Direct=1,CD86&gt;0),MAX(0,JC86-(MIN(CD86*ALD85,JC86+MP86)-MIN(MIN(CD86*ALD85,JC86+MP86),MP86))),JC86)</f>
        <v>1270</v>
      </c>
      <c r="JE86" s="20" t="n">
        <f aca="false">IF(AND(H_Direct=1,CE86&gt;0),MAX(0,JD86-(MIN(CE86*ALE85,JD86+MQ86)-MIN(MIN(CE86*ALE85,JD86+MQ86),MQ86))),JD86)</f>
        <v>1270</v>
      </c>
      <c r="JF86" s="20" t="n">
        <f aca="false">IF(AND(H_Direct=1,CF86&gt;0),MAX(0,JE86-(MIN(CF86*ALF85,JE86+MR86)-MIN(MIN(CF86*ALF85,JE86+MR86),MR86))),JE86)</f>
        <v>1270</v>
      </c>
      <c r="JG86" s="20" t="n">
        <f aca="false">IF(AND(H_Direct=1,CG86&gt;0),MAX(0,JF86-(MIN(CG86*ALG85,JF86+MS86)-MIN(MIN(CG86*ALG85,JF86+MS86),MS86))),JF86)</f>
        <v>1270</v>
      </c>
      <c r="JH86" s="20" t="n">
        <f aca="false">IF(AND(H_Direct=1,CH86&gt;0),MAX(0,JG86-(MIN(CH86*ALH85,JG86+MT86)-MIN(MIN(CH86*ALH85,JG86+MT86),MT86))),JG86)</f>
        <v>1270</v>
      </c>
      <c r="JI86" s="20" t="n">
        <f aca="false">IF(AND(H_Direct=1,CI86&gt;0),MAX(0,JH86-(MIN(CI86*ALI85,JH86+MU86)-MIN(MIN(CI86*ALI85,JH86+MU86),MU86))),JH86)</f>
        <v>1270</v>
      </c>
      <c r="JJ86" s="20" t="n">
        <f aca="false">IF(AND(H_Direct=1,CJ86&gt;0),MAX(0,JI86-(MIN(CJ86*ALJ85,JI86+MV86)-MIN(MIN(CJ86*ALJ85,JI86+MV86),MV86))),JI86)</f>
        <v>1270</v>
      </c>
      <c r="JK86" s="20" t="n">
        <f aca="false">IF(AND(H_Direct=1,CK86&gt;0),MAX(0,JJ86-(MIN(CK86*ALK85,JJ86+MW86)-MIN(MIN(CK86*ALK85,JJ86+MW86),MW86))),JJ86)</f>
        <v>1270</v>
      </c>
      <c r="JL86" s="20" t="n">
        <f aca="false">IF(AND(H_Direct=1,CL86&gt;0),MAX(0,JK86-(MIN(CL86*ALL85,JK86+MX86)-MIN(MIN(CL86*ALL85,JK86+MX86),MX86))),JK86)</f>
        <v>1270</v>
      </c>
      <c r="JM86" s="20" t="n">
        <f aca="false">IF(AND(H_Direct=1,CM86&gt;0),MAX(0,JL86-(MIN(CM86*ALM85,JL86+MY86)-MIN(MIN(CM86*ALM85,JL86+MY86),MY86))),JL86)</f>
        <v>1270</v>
      </c>
      <c r="JN86" s="20" t="n">
        <f aca="false">IF(AND(H_Direct=1,CN86&gt;0),MAX(0,JM86-(MIN(CN86*ALN85,JM86+MZ86)-MIN(MIN(CN86*ALN85,JM86+MZ86),MZ86))),JM86)</f>
        <v>1270</v>
      </c>
      <c r="JO86" s="20" t="n">
        <f aca="false">IF(AND(H_Direct=1,CO86&gt;0),MAX(0,JN86-(MIN(CO86*ALO85,JN86+NA86)-MIN(MIN(CO86*ALO85,JN86+NA86),NA86))),JN86)</f>
        <v>1270</v>
      </c>
      <c r="JP86" s="20" t="n">
        <f aca="false">IF(AND(H_Direct=1,CP86&gt;0),MAX(0,JO86-(MIN(CP86*ALP85,JO86+NB86)-MIN(MIN(CP86*ALP85,JO86+NB86),NB86))),JO86)</f>
        <v>1270</v>
      </c>
      <c r="JQ86" s="20" t="n">
        <f aca="false">IF(AND(H_Direct=1,CQ86&gt;0),MAX(0,JP86-(MIN(CQ86*ALQ85,JP86+NC86)-MIN(MIN(CQ86*ALQ85,JP86+NC86),NC86))),JP86)</f>
        <v>1270</v>
      </c>
      <c r="JR86" s="20" t="n">
        <f aca="false">IF(AND(H_Direct=1,CR86&gt;0),MAX(0,JQ86-(MIN(CR86*ALR85,JQ86+ND86)-MIN(MIN(CR86*ALR85,JQ86+ND86),ND86))),JQ86)</f>
        <v>1270</v>
      </c>
      <c r="JS86" s="20" t="n">
        <f aca="false">IF(AND(H_Direct=1,CS86&gt;0),MAX(0,JR86-(MIN(CS86*ALS85,JR86+NE86)-MIN(MIN(CS86*ALS85,JR86+NE86),NE86))),JR86)</f>
        <v>1270</v>
      </c>
      <c r="JT86" s="20" t="n">
        <f aca="false">IF(AND(H_Direct=1,CT86&gt;0),MAX(0,JS86-(MIN(CT86*ALT85,JS86+NF86)-MIN(MIN(CT86*ALT85,JS86+NF86),NF86))),JS86)</f>
        <v>1270</v>
      </c>
      <c r="JU86" s="20" t="n">
        <f aca="false">IF(AND(H_Direct=1,CU86&gt;0),MAX(0,JT86-(MIN(CU86*ALU85,JT86+NG86)-MIN(MIN(CU86*ALU85,JT86+NG86),NG86))),JT86)</f>
        <v>1270</v>
      </c>
      <c r="JV86" s="20" t="n">
        <f aca="false">IF(AND(H_Direct=1,CV86&gt;0),MAX(0,JU86-(MIN(CV86*ALV85,JU86+NH86)-MIN(MIN(CV86*ALV85,JU86+NH86),NH86))),JU86)</f>
        <v>1270</v>
      </c>
      <c r="JW86" s="20" t="n">
        <f aca="false">IF(AND(H_Direct=1,CW86&gt;0),MAX(0,JV86-(MIN(CW86*ALW85,JV86+NI86)-MIN(MIN(CW86*ALW85,JV86+NI86),NI86))),JV86)</f>
        <v>1270</v>
      </c>
      <c r="JX86" s="20" t="n">
        <f aca="false">IF(AND(H_Direct=1,CX86&gt;0),MAX(0,JW86-(MIN(CX86*ALX85,JW86+NJ86)-MIN(MIN(CX86*ALX85,JW86+NJ86),NJ86))),JW86)</f>
        <v>1270</v>
      </c>
      <c r="JY86" s="20" t="n">
        <f aca="false">IF(AND(H_Direct=1,CY86&gt;0),MAX(0,JX86-(MIN(CY86*ALY85,JX86+NK86)-MIN(MIN(CY86*ALY85,JX86+NK86),NK86))),JX86)</f>
        <v>1270</v>
      </c>
      <c r="JZ86" s="20" t="n">
        <f aca="false">IF(AND(H_Direct=1,CZ86&gt;0),MAX(0,JY86-(MIN(CZ86*ALZ85,JY86+NL86)-MIN(MIN(CZ86*ALZ85,JY86+NL86),NL86))),JY86)</f>
        <v>1270</v>
      </c>
      <c r="KA86" s="20" t="n">
        <f aca="false">IF(AND(H_Direct=1,DA86&gt;0),MAX(0,JZ86-(MIN(DA86*AMA85,JZ86+NM86)-MIN(MIN(DA86*AMA85,JZ86+NM86),NM86))),JZ86)</f>
        <v>1270</v>
      </c>
      <c r="KB86" s="20" t="n">
        <f aca="false">IF(AND(H_Direct=1,DB86&gt;0),MAX(0,KA86-(MIN(DB86*AMB85,KA86+NN86)-MIN(MIN(DB86*AMB85,KA86+NN86),NN86))),KA86)</f>
        <v>1270</v>
      </c>
      <c r="KC86" s="20" t="n">
        <f aca="false">IF(AND(H_Direct=1,DC86&gt;0),MAX(0,KB86-(MIN(DC86*AMC85,KB86+NO86)-MIN(MIN(DC86*AMC85,KB86+NO86),NO86))),KB86)</f>
        <v>1270</v>
      </c>
      <c r="KD86" s="20" t="n">
        <f aca="false">IF(AND(H_Direct=1,DD86&gt;0),MAX(0,KC86-(MIN(DD86*AMD85,KC86+NP86)-MIN(MIN(DD86*AMD85,KC86+NP86),NP86))),KC86)</f>
        <v>1270</v>
      </c>
      <c r="KE86" s="20" t="n">
        <f aca="false">IF(AND(H_Direct=1,DE86&gt;0),MAX(0,KD86-(MIN(DE86*AME85,KD86+NQ86)-MIN(MIN(DE86*AME85,KD86+NQ86),NQ86))),KD86)</f>
        <v>1270</v>
      </c>
      <c r="KF86" s="20" t="n">
        <f aca="false">IF(AND(H_Direct=1,DF86&gt;0),MAX(0,KE86-(MIN(DF86*AMF85,KE86+NR86)-MIN(MIN(DF86*AMF85,KE86+NR86),NR86))),KE86)</f>
        <v>1270</v>
      </c>
      <c r="KG86" s="20" t="n">
        <f aca="false">IF(AND(H_Direct=1,DG86&gt;0),MAX(0,KF86-(MIN(DG86*AMG85,KF86+NS86)-MIN(MIN(DG86*AMG85,KF86+NS86),NS86))),KF86)</f>
        <v>1270</v>
      </c>
      <c r="KH86" s="20" t="n">
        <f aca="false">IF(AND(H_Direct=1,DH86&gt;0),MAX(0,KG86-(MIN(DH86*AMH85,KG86+NT86)-MIN(MIN(DH86*AMH85,KG86+NT86),NT86))),KG86)</f>
        <v>1270</v>
      </c>
      <c r="KI86" s="20" t="n">
        <f aca="false">IF(AND(H_Direct=1,DI86&gt;0),MAX(0,KH86-(MIN(DI86*AMI85,KH86+NU86)-MIN(MIN(DI86*AMI85,KH86+NU86),NU86))),KH86)</f>
        <v>1270</v>
      </c>
      <c r="KJ86" s="20" t="n">
        <f aca="false">IF(AND(H_Direct=1,DJ86&gt;0),MAX(0,KI86-(MIN(DJ86*AMJ85,KI86+NV86)-MIN(MIN(DJ86*AMJ85,KI86+NV86),NV86))),KI86)</f>
        <v>1270</v>
      </c>
      <c r="KK86" s="20" t="n">
        <f aca="false">IF(AND(H_Direct=1,DK86&gt;0),MAX(0,KJ86-(MIN(DK86*AMK85,KJ86+NW86)-MIN(MIN(DK86*AMK85,KJ86+NW86),NW86))),KJ86)</f>
        <v>1270</v>
      </c>
      <c r="KL86" s="20" t="n">
        <f aca="false">IF(AND(H_Direct=1,DL86&gt;0),MAX(0,KK86-(MIN(DL86*AML85,KK86+NX86)-MIN(MIN(DL86*AML85,KK86+NX86),NX86))),KK86)</f>
        <v>1270</v>
      </c>
      <c r="KM86" s="20" t="n">
        <f aca="false">IF(AND(H_Direct=1,DM86&gt;0),MAX(0,KL86-(MIN(DM86*AMM85,KL86+NY86)-MIN(MIN(DM86*AMM85,KL86+NY86),NY86))),KL86)</f>
        <v>1270</v>
      </c>
      <c r="KN86" s="20" t="n">
        <f aca="false">IF(AND(H_Direct=1,DN86&gt;0),MAX(0,KM86-(MIN(DN86*AMN85,KM86+NZ86)-MIN(MIN(DN86*AMN85,KM86+NZ86),NZ86))),KM86)</f>
        <v>1270</v>
      </c>
      <c r="KO86" s="20" t="n">
        <f aca="false">IF(AND(H_Direct=1,DO86&gt;0),MAX(0,KN86-(MIN(DO86*AMO85,KN86+OA86)-MIN(MIN(DO86*AMO85,KN86+OA86),OA86))),KN86)</f>
        <v>1270</v>
      </c>
      <c r="KP86" s="20" t="n">
        <f aca="false">IF(AND(H_Direct=1,DP86&gt;0),MAX(0,KO86-(MIN(DP86*AMP85,KO86+OB86)-MIN(MIN(DP86*AMP85,KO86+OB86),OB86))),KO86)</f>
        <v>1270</v>
      </c>
      <c r="KQ86" s="20" t="n">
        <f aca="false">IF(AND(H_Direct=1,DQ86&gt;0),MAX(0,KP86-(MIN(DQ86*AMQ85,KP86+OC86)-MIN(MIN(DQ86*AMQ85,KP86+OC86),OC86))),KP86)</f>
        <v>1270</v>
      </c>
      <c r="KR86" s="20" t="n">
        <f aca="false">IF(AND(H_Direct=1,DR86&gt;0),MAX(0,KQ86-(MIN(DR86*AMR85,KQ86+OD86)-MIN(MIN(DR86*AMR85,KQ86+OD86),OD86))),KQ86)</f>
        <v>1270</v>
      </c>
      <c r="KS86" s="20" t="n">
        <f aca="false">IF(AND(H_Direct=1,DS86&gt;0),MAX(0,KR86-(MIN(DS86*AMS85,KR86+OE86)-MIN(MIN(DS86*AMS85,KR86+OE86),OE86))),KR86)</f>
        <v>1270</v>
      </c>
      <c r="KT86" s="20" t="n">
        <f aca="false">IF(AND(H_Direct=1,DT86&gt;0),MAX(0,KS86-(MIN(DT86*AMT85,KS86+OF86)-MIN(MIN(DT86*AMT85,KS86+OF86),OF86))),KS86)</f>
        <v>1270</v>
      </c>
      <c r="KU86" s="20" t="n">
        <f aca="false">IF(AND(H_Direct=1,DU86&gt;0),MAX(0,KT86-(MIN(DU86*AMU85,KT86+OG86)-MIN(MIN(DU86*AMU85,KT86+OG86),OG86))),KT86)</f>
        <v>1270</v>
      </c>
      <c r="KV86" s="20" t="n">
        <f aca="false">IF(AND(H_Direct=1,DV86&gt;0),MAX(0,KU86-(MIN(DV86*AMV85,KU86+OH86)-MIN(MIN(DV86*AMV85,KU86+OH86),OH86))),KU86)</f>
        <v>1270</v>
      </c>
      <c r="KW86" s="20" t="n">
        <f aca="false">IF(AND(H_Direct=1,DW86&gt;0),MAX(0,KV86-(MIN(DW86*AMW85,KV86+OI86)-MIN(MIN(DW86*AMW85,KV86+OI86),OI86))),KV86)</f>
        <v>1270</v>
      </c>
      <c r="KX86" s="20" t="n">
        <f aca="false">IF(AND(H_Direct=1,DX86&gt;0),MAX(0,KW86-(MIN(DX86*AMX85,KW86+OJ86)-MIN(MIN(DX86*AMX85,KW86+OJ86),OJ86))),KW86)</f>
        <v>1270</v>
      </c>
      <c r="KY86" s="20" t="n">
        <f aca="false">IF(AND(H_Direct=1,DY86&gt;0),MAX(0,KX86-(MIN(DY86*AMY85,KX86+OK86)-MIN(MIN(DY86*AMY85,KX86+OK86),OK86))),KX86)</f>
        <v>1270</v>
      </c>
      <c r="KZ86" s="20" t="n">
        <f aca="false">IF(AND(H_Direct=1,DZ86&gt;0),MAX(0,KY86-(MIN(DZ86*AMZ85,KY86+OL86)-MIN(MIN(DZ86*AMZ85,KY86+OL86),OL86))),KY86)</f>
        <v>1270</v>
      </c>
      <c r="LA86" s="20" t="n">
        <f aca="false">IF(AND(H_Direct=1,EA86&gt;0),MAX(0,KZ86-(MIN(EA86*ANA85,KZ86+OM86)-MIN(MIN(EA86*ANA85,KZ86+OM86),OM86))),KZ86)</f>
        <v>1270</v>
      </c>
      <c r="LB86" s="20" t="n">
        <f aca="false">IF(AND(H_Direct=1,EB86&gt;0),MAX(0,LA86-(MIN(EB86*ANB85,LA86+ON86)-MIN(MIN(EB86*ANB85,LA86+ON86),ON86))),LA86)</f>
        <v>1270</v>
      </c>
      <c r="LC86" s="20" t="n">
        <f aca="false">IF(AND(H_Direct=1,EC86&gt;0),MAX(0,LB86-(MIN(EC86*ANC85,LB86+OO86)-MIN(MIN(EC86*ANC85,LB86+OO86),OO86))),LB86)</f>
        <v>1270</v>
      </c>
      <c r="LD86" s="20" t="n">
        <f aca="false">IF(AND(H_Direct=1,ED86&gt;0),MAX(0,LC86-(MIN(ED86*AND85,LC86+OP86)-MIN(MIN(ED86*AND85,LC86+OP86),OP86))),LC86)</f>
        <v>1270</v>
      </c>
      <c r="LE86" s="20" t="n">
        <f aca="false">IF(AND(H_Direct=1,EE86&gt;0),MAX(0,LD86-(MIN(EE86*ANE85,LD86+OQ86)-MIN(MIN(EE86*ANE85,LD86+OQ86),OQ86))),LD86)</f>
        <v>1270</v>
      </c>
      <c r="LF86" s="20" t="n">
        <f aca="false">IF(AND(H_Direct=1,EF86&gt;0),MAX(0,LE86-(MIN(EF86*ANF85,LE86+OR86)-MIN(MIN(EF86*ANF85,LE86+OR86),OR86))),LE86)</f>
        <v>1270</v>
      </c>
      <c r="LG86" s="20" t="n">
        <f aca="false">IF(AND(H_Direct=1,EG86&gt;0),MAX(0,LF86-(MIN(EG86*ANG85,LF86+OS86)-MIN(MIN(EG86*ANG85,LF86+OS86),OS86))),LF86)</f>
        <v>1270</v>
      </c>
      <c r="LH86" s="20" t="n">
        <f aca="false">IF(AND(H_Direct=1,EH86&gt;0),MAX(0,LG86-(MIN(EH86*ANH85,LG86+OT86)-MIN(MIN(EH86*ANH85,LG86+OT86),OT86))),LG86)</f>
        <v>1270</v>
      </c>
      <c r="LI86" s="20" t="n">
        <f aca="false">IF(AND(H_Direct=1,EI86&gt;0),MAX(0,LH86-(MIN(EI86*ANI85,LH86+OU86)-MIN(MIN(EI86*ANI85,LH86+OU86),OU86))),LH86)</f>
        <v>1270</v>
      </c>
      <c r="LJ86" s="20" t="n">
        <f aca="false">IF(AND(H_Direct=1,EJ86&gt;0),MAX(0,LI86-(MIN(EJ86*ANJ85,LI86+OV86)-MIN(MIN(EJ86*ANJ85,LI86+OV86),OV86))),LI86)</f>
        <v>1270</v>
      </c>
      <c r="LK86" s="20" t="n">
        <f aca="false">IF(AND(H_Direct=1,EK86&gt;0),MAX(0,LJ86-(MIN(EK86*ANK85,LJ86+OW86)-MIN(MIN(EK86*ANK85,LJ86+OW86),OW86))),LJ86)</f>
        <v>1270</v>
      </c>
      <c r="LL86" s="20" t="n">
        <f aca="false">IF(AND(H_Direct=1,EL86&gt;0),MAX(0,LK86-(MIN(EL86*ANL85,LK86+OX86)-MIN(MIN(EL86*ANL85,LK86+OX86),OX86))),LK86)</f>
        <v>1270</v>
      </c>
      <c r="LM86" s="20" t="n">
        <f aca="false">IF(AND(H_Direct=1,EM86&gt;0),MAX(0,LL86-(MIN(EM86*ANM85,LL86+OY86)-MIN(MIN(EM86*ANM85,LL86+OY86),OY86))),LL86)</f>
        <v>1270</v>
      </c>
      <c r="LN86" s="20" t="n">
        <f aca="false">IF(AND(H_Direct=1,EN86&gt;0),MAX(0,LM86-(MIN(EN86*ANN85,LM86+OZ86)-MIN(MIN(EN86*ANN85,LM86+OZ86),OZ86))),LM86)</f>
        <v>1270</v>
      </c>
      <c r="LO86" s="20" t="n">
        <f aca="false">IF(AND(H_Direct=1,EO86&gt;0),MAX(0,LN86-(MIN(EO86*ANO85,LN86+PA86)-MIN(MIN(EO86*ANO85,LN86+PA86),PA86))),LN86)</f>
        <v>1270</v>
      </c>
      <c r="LP86" s="20" t="n">
        <f aca="false">IF(AND(H_Direct=1,EP86&gt;0),MAX(0,LO86-(MIN(EP86*ANP85,LO86+PB86)-MIN(MIN(EP86*ANP85,LO86+PB86),PB86))),LO86)</f>
        <v>1270</v>
      </c>
      <c r="LQ86" s="20" t="n">
        <f aca="false">IF(AND(H_Direct=1,EQ86&gt;0),MAX(0,LP86-(MIN(EQ86*ANQ85,LP86+PC86)-MIN(MIN(EQ86*ANQ85,LP86+PC86),PC86))),LP86)</f>
        <v>1270</v>
      </c>
      <c r="LR86" s="20" t="n">
        <f aca="false">IF(AND(H_Direct=1,ER86&gt;0),MAX(0,LQ86-(MIN(ER86*ANR85,LQ86+PD86)-MIN(MIN(ER86*ANR85,LQ86+PD86),PD86))),LQ86)</f>
        <v>1270</v>
      </c>
      <c r="LS86" s="20" t="n">
        <f aca="false">IF(AND(H_Direct=1,ES86&gt;0),MAX(0,LR86-(MIN(ES86*(P86+S86),LR86+PE86)-MIN(MIN(ES86*(P86+S86),LR86+PE86),PE86))),LR86)</f>
        <v>1270</v>
      </c>
      <c r="LT86" s="20" t="n">
        <f aca="false">LS86</f>
        <v>1270</v>
      </c>
      <c r="LU86" s="20" t="n">
        <f aca="false">LT86</f>
        <v>1270</v>
      </c>
      <c r="LV86" s="20" t="n">
        <f aca="false">LU86</f>
        <v>1270</v>
      </c>
      <c r="LW86" s="20" t="n">
        <f aca="false">LV86</f>
        <v>1270</v>
      </c>
      <c r="LX86" s="20" t="n">
        <f aca="false">LW86</f>
        <v>1270</v>
      </c>
      <c r="LY86" s="20" t="n">
        <f aca="false">LX86</f>
        <v>1270</v>
      </c>
      <c r="LZ86" s="20" t="n">
        <f aca="false">LY86</f>
        <v>1270</v>
      </c>
      <c r="MA86" s="20" t="n">
        <f aca="false">LZ86</f>
        <v>1270</v>
      </c>
      <c r="MB86" s="20" t="n">
        <f aca="false">MA86</f>
        <v>1270</v>
      </c>
      <c r="MC86" s="20" t="n">
        <f aca="false">MB86</f>
        <v>1270</v>
      </c>
      <c r="MD86" s="20" t="n">
        <f aca="false">MC86</f>
        <v>1270</v>
      </c>
      <c r="ME86" s="20" t="n">
        <f aca="false">IF(H_Direct=1,IF(BR86&lt;=0,I86-BR86*AKR85,I86-MIN(MIN(BR86*AKR85,H86+I86),I86)),I86)</f>
        <v>0</v>
      </c>
      <c r="MF86" s="20" t="n">
        <f aca="false">IF(H_Direct=1,IF(BS86&lt;=0,ME86-BS86*AKS85,ME86-MIN(MIN(BS86*AKS85,IR86+ME86),ME86)),ME86)</f>
        <v>0</v>
      </c>
      <c r="MG86" s="20" t="n">
        <f aca="false">IF(H_Direct=1,IF(BT86&lt;=0,MF86-BT86*AKT85,MF86-MIN(MIN(BT86*AKT85,IS86+MF86),MF86)),MF86)</f>
        <v>0</v>
      </c>
      <c r="MH86" s="20" t="n">
        <f aca="false">IF(H_Direct=1,IF(BU86&lt;=0,MG86-BU86*AKU85,MG86-MIN(MIN(BU86*AKU85,IT86+MG86),MG86)),MG86)</f>
        <v>0</v>
      </c>
      <c r="MI86" s="20" t="n">
        <f aca="false">IF(H_Direct=1,IF(BV86&lt;=0,MH86-BV86*AKV85,MH86-MIN(MIN(BV86*AKV85,IU86+MH86),MH86)),MH86)</f>
        <v>0</v>
      </c>
      <c r="MJ86" s="20" t="n">
        <f aca="false">IF(H_Direct=1,IF(BW86&lt;=0,MI86-BW86*AKW85,MI86-MIN(MIN(BW86*AKW85,IV86+MI86),MI86)),MI86)</f>
        <v>0</v>
      </c>
      <c r="MK86" s="20" t="n">
        <f aca="false">IF(H_Direct=1,IF(BX86&lt;=0,MJ86-BX86*AKX85,MJ86-MIN(MIN(BX86*AKX85,IW86+MJ86),MJ86)),MJ86)</f>
        <v>0</v>
      </c>
      <c r="ML86" s="20" t="n">
        <f aca="false">IF(H_Direct=1,IF(BY86&lt;=0,MK86-BY86*AKY85,MK86-MIN(MIN(BY86*AKY85,IX86+MK86),MK86)),MK86)</f>
        <v>0</v>
      </c>
      <c r="MM86" s="20" t="n">
        <f aca="false">IF(H_Direct=1,IF(BZ86&lt;=0,ML86-BZ86*AKZ85,ML86-MIN(MIN(BZ86*AKZ85,IY86+ML86),ML86)),ML86)</f>
        <v>0</v>
      </c>
      <c r="MN86" s="20" t="n">
        <f aca="false">IF(H_Direct=1,IF(CA86&lt;=0,MM86-CA86*ALA85,MM86-MIN(MIN(CA86*ALA85,IZ86+MM86),MM86)),MM86)</f>
        <v>0</v>
      </c>
      <c r="MO86" s="20" t="n">
        <f aca="false">IF(H_Direct=1,IF(CB86&lt;=0,MN86-CB86*ALB85,MN86-MIN(MIN(CB86*ALB85,JA86+MN86),MN86)),MN86)</f>
        <v>0</v>
      </c>
      <c r="MP86" s="20" t="n">
        <f aca="false">IF(H_Direct=1,IF(CC86&lt;=0,MO86-CC86*ALC85,MO86-MIN(MIN(CC86*ALC85,JB86+MO86),MO86)),MO86)</f>
        <v>0</v>
      </c>
      <c r="MQ86" s="20" t="n">
        <f aca="false">IF(H_Direct=1,IF(CD86&lt;=0,MP86-CD86*ALD85,MP86-MIN(MIN(CD86*ALD85,JC86+MP86),MP86)),MP86)</f>
        <v>0</v>
      </c>
      <c r="MR86" s="20" t="n">
        <f aca="false">IF(H_Direct=1,IF(CE86&lt;=0,MQ86-CE86*ALE85,MQ86-MIN(MIN(CE86*ALE85,JD86+MQ86),MQ86)),MQ86)</f>
        <v>0</v>
      </c>
      <c r="MS86" s="20" t="n">
        <f aca="false">IF(H_Direct=1,IF(CF86&lt;=0,MR86-CF86*ALF85,MR86-MIN(MIN(CF86*ALF85,JE86+MR86),MR86)),MR86)</f>
        <v>0</v>
      </c>
      <c r="MT86" s="20" t="n">
        <f aca="false">IF(H_Direct=1,IF(CG86&lt;=0,MS86-CG86*ALG85,MS86-MIN(MIN(CG86*ALG85,JF86+MS86),MS86)),MS86)</f>
        <v>0</v>
      </c>
      <c r="MU86" s="20" t="n">
        <f aca="false">IF(H_Direct=1,IF(CH86&lt;=0,MT86-CH86*ALH85,MT86-MIN(MIN(CH86*ALH85,JG86+MT86),MT86)),MT86)</f>
        <v>0</v>
      </c>
      <c r="MV86" s="20" t="n">
        <f aca="false">IF(H_Direct=1,IF(CI86&lt;=0,MU86-CI86*ALI85,MU86-MIN(MIN(CI86*ALI85,JH86+MU86),MU86)),MU86)</f>
        <v>0</v>
      </c>
      <c r="MW86" s="20" t="n">
        <f aca="false">IF(H_Direct=1,IF(CJ86&lt;=0,MV86-CJ86*ALJ85,MV86-MIN(MIN(CJ86*ALJ85,JI86+MV86),MV86)),MV86)</f>
        <v>0</v>
      </c>
      <c r="MX86" s="20" t="n">
        <f aca="false">IF(H_Direct=1,IF(CK86&lt;=0,MW86-CK86*ALK85,MW86-MIN(MIN(CK86*ALK85,JJ86+MW86),MW86)),MW86)</f>
        <v>0</v>
      </c>
      <c r="MY86" s="20" t="n">
        <f aca="false">IF(H_Direct=1,IF(CL86&lt;=0,MX86-CL86*ALL85,MX86-MIN(MIN(CL86*ALL85,JK86+MX86),MX86)),MX86)</f>
        <v>0</v>
      </c>
      <c r="MZ86" s="20" t="n">
        <f aca="false">IF(H_Direct=1,IF(CM86&lt;=0,MY86-CM86*ALM85,MY86-MIN(MIN(CM86*ALM85,JL86+MY86),MY86)),MY86)</f>
        <v>0</v>
      </c>
      <c r="NA86" s="20" t="n">
        <f aca="false">IF(H_Direct=1,IF(CN86&lt;=0,MZ86-CN86*ALN85,MZ86-MIN(MIN(CN86*ALN85,JM86+MZ86),MZ86)),MZ86)</f>
        <v>0</v>
      </c>
      <c r="NB86" s="20" t="n">
        <f aca="false">IF(H_Direct=1,IF(CO86&lt;=0,NA86-CO86*ALO85,NA86-MIN(MIN(CO86*ALO85,JN86+NA86),NA86)),NA86)</f>
        <v>0</v>
      </c>
      <c r="NC86" s="20" t="n">
        <f aca="false">IF(H_Direct=1,IF(CP86&lt;=0,NB86-CP86*ALP85,NB86-MIN(MIN(CP86*ALP85,JO86+NB86),NB86)),NB86)</f>
        <v>0</v>
      </c>
      <c r="ND86" s="20" t="n">
        <f aca="false">IF(H_Direct=1,IF(CQ86&lt;=0,NC86-CQ86*ALQ85,NC86-MIN(MIN(CQ86*ALQ85,JP86+NC86),NC86)),NC86)</f>
        <v>0</v>
      </c>
      <c r="NE86" s="20" t="n">
        <f aca="false">IF(H_Direct=1,IF(CR86&lt;=0,ND86-CR86*ALR85,ND86-MIN(MIN(CR86*ALR85,JQ86+ND86),ND86)),ND86)</f>
        <v>0</v>
      </c>
      <c r="NF86" s="20" t="n">
        <f aca="false">IF(H_Direct=1,IF(CS86&lt;=0,NE86-CS86*ALS85,NE86-MIN(MIN(CS86*ALS85,JR86+NE86),NE86)),NE86)</f>
        <v>0</v>
      </c>
      <c r="NG86" s="20" t="n">
        <f aca="false">IF(H_Direct=1,IF(CT86&lt;=0,NF86-CT86*ALT85,NF86-MIN(MIN(CT86*ALT85,JS86+NF86),NF86)),NF86)</f>
        <v>0</v>
      </c>
      <c r="NH86" s="20" t="n">
        <f aca="false">IF(H_Direct=1,IF(CU86&lt;=0,NG86-CU86*ALU85,NG86-MIN(MIN(CU86*ALU85,JT86+NG86),NG86)),NG86)</f>
        <v>0</v>
      </c>
      <c r="NI86" s="20" t="n">
        <f aca="false">IF(H_Direct=1,IF(CV86&lt;=0,NH86-CV86*ALV85,NH86-MIN(MIN(CV86*ALV85,JU86+NH86),NH86)),NH86)</f>
        <v>0</v>
      </c>
      <c r="NJ86" s="20" t="n">
        <f aca="false">IF(H_Direct=1,IF(CW86&lt;=0,NI86-CW86*ALW85,NI86-MIN(MIN(CW86*ALW85,JV86+NI86),NI86)),NI86)</f>
        <v>0</v>
      </c>
      <c r="NK86" s="20" t="n">
        <f aca="false">IF(H_Direct=1,IF(CX86&lt;=0,NJ86-CX86*ALX85,NJ86-MIN(MIN(CX86*ALX85,JW86+NJ86),NJ86)),NJ86)</f>
        <v>0</v>
      </c>
      <c r="NL86" s="20" t="n">
        <f aca="false">IF(H_Direct=1,IF(CY86&lt;=0,NK86-CY86*ALY85,NK86-MIN(MIN(CY86*ALY85,JX86+NK86),NK86)),NK86)</f>
        <v>0</v>
      </c>
      <c r="NM86" s="20" t="n">
        <f aca="false">IF(H_Direct=1,IF(CZ86&lt;=0,NL86-CZ86*ALZ85,NL86-MIN(MIN(CZ86*ALZ85,JY86+NL86),NL86)),NL86)</f>
        <v>0</v>
      </c>
      <c r="NN86" s="20" t="n">
        <f aca="false">IF(H_Direct=1,IF(DA86&lt;=0,NM86-DA86*AMA85,NM86-MIN(MIN(DA86*AMA85,JZ86+NM86),NM86)),NM86)</f>
        <v>0</v>
      </c>
      <c r="NO86" s="20" t="n">
        <f aca="false">IF(H_Direct=1,IF(DB86&lt;=0,NN86-DB86*AMB85,NN86-MIN(MIN(DB86*AMB85,KA86+NN86),NN86)),NN86)</f>
        <v>0</v>
      </c>
      <c r="NP86" s="20" t="n">
        <f aca="false">IF(H_Direct=1,IF(DC86&lt;=0,NO86-DC86*AMC85,NO86-MIN(MIN(DC86*AMC85,KB86+NO86),NO86)),NO86)</f>
        <v>0</v>
      </c>
      <c r="NQ86" s="20" t="n">
        <f aca="false">IF(H_Direct=1,IF(DD86&lt;=0,NP86-DD86*AMD85,NP86-MIN(MIN(DD86*AMD85,KC86+NP86),NP86)),NP86)</f>
        <v>0</v>
      </c>
      <c r="NR86" s="20" t="n">
        <f aca="false">IF(H_Direct=1,IF(DE86&lt;=0,NQ86-DE86*AME85,NQ86-MIN(MIN(DE86*AME85,KD86+NQ86),NQ86)),NQ86)</f>
        <v>0</v>
      </c>
      <c r="NS86" s="20" t="n">
        <f aca="false">IF(H_Direct=1,IF(DF86&lt;=0,NR86-DF86*AMF85,NR86-MIN(MIN(DF86*AMF85,KE86+NR86),NR86)),NR86)</f>
        <v>0</v>
      </c>
      <c r="NT86" s="20" t="n">
        <f aca="false">IF(H_Direct=1,IF(DG86&lt;=0,NS86-DG86*AMG85,NS86-MIN(MIN(DG86*AMG85,KF86+NS86),NS86)),NS86)</f>
        <v>0</v>
      </c>
      <c r="NU86" s="20" t="n">
        <f aca="false">IF(H_Direct=1,IF(DH86&lt;=0,NT86-DH86*AMH85,NT86-MIN(MIN(DH86*AMH85,KG86+NT86),NT86)),NT86)</f>
        <v>0</v>
      </c>
      <c r="NV86" s="20" t="n">
        <f aca="false">IF(H_Direct=1,IF(DI86&lt;=0,NU86-DI86*AMI85,NU86-MIN(MIN(DI86*AMI85,KH86+NU86),NU86)),NU86)</f>
        <v>0</v>
      </c>
      <c r="NW86" s="20" t="n">
        <f aca="false">IF(H_Direct=1,IF(DJ86&lt;=0,NV86-DJ86*AMJ85,NV86-MIN(MIN(DJ86*AMJ85,KI86+NV86),NV86)),NV86)</f>
        <v>0</v>
      </c>
      <c r="NX86" s="20" t="n">
        <f aca="false">IF(H_Direct=1,IF(DK86&lt;=0,NW86-DK86*AMK85,NW86-MIN(MIN(DK86*AMK85,KJ86+NW86),NW86)),NW86)</f>
        <v>0</v>
      </c>
      <c r="NY86" s="20" t="n">
        <f aca="false">IF(H_Direct=1,IF(DL86&lt;=0,NX86-DL86*AML85,NX86-MIN(MIN(DL86*AML85,KK86+NX86),NX86)),NX86)</f>
        <v>0</v>
      </c>
      <c r="NZ86" s="20" t="n">
        <f aca="false">IF(H_Direct=1,IF(DM86&lt;=0,NY86-DM86*AMM85,NY86-MIN(MIN(DM86*AMM85,KL86+NY86),NY86)),NY86)</f>
        <v>0</v>
      </c>
      <c r="OA86" s="20" t="n">
        <f aca="false">IF(H_Direct=1,IF(DN86&lt;=0,NZ86-DN86*AMN85,NZ86-MIN(MIN(DN86*AMN85,KM86+NZ86),NZ86)),NZ86)</f>
        <v>0</v>
      </c>
      <c r="OB86" s="20" t="n">
        <f aca="false">IF(H_Direct=1,IF(DO86&lt;=0,OA86-DO86*AMO85,OA86-MIN(MIN(DO86*AMO85,KN86+OA86),OA86)),OA86)</f>
        <v>0</v>
      </c>
      <c r="OC86" s="20" t="n">
        <f aca="false">IF(H_Direct=1,IF(DP86&lt;=0,OB86-DP86*AMP85,OB86-MIN(MIN(DP86*AMP85,KO86+OB86),OB86)),OB86)</f>
        <v>0</v>
      </c>
      <c r="OD86" s="20" t="n">
        <f aca="false">IF(H_Direct=1,IF(DQ86&lt;=0,OC86-DQ86*AMQ85,OC86-MIN(MIN(DQ86*AMQ85,KP86+OC86),OC86)),OC86)</f>
        <v>0</v>
      </c>
      <c r="OE86" s="20" t="n">
        <f aca="false">IF(H_Direct=1,IF(DR86&lt;=0,OD86-DR86*AMR85,OD86-MIN(MIN(DR86*AMR85,KQ86+OD86),OD86)),OD86)</f>
        <v>0</v>
      </c>
      <c r="OF86" s="20" t="n">
        <f aca="false">IF(H_Direct=1,IF(DS86&lt;=0,OE86-DS86*AMS85,OE86-MIN(MIN(DS86*AMS85,KR86+OE86),OE86)),OE86)</f>
        <v>0</v>
      </c>
      <c r="OG86" s="20" t="n">
        <f aca="false">IF(H_Direct=1,IF(DT86&lt;=0,OF86-DT86*AMT85,OF86-MIN(MIN(DT86*AMT85,KS86+OF86),OF86)),OF86)</f>
        <v>0</v>
      </c>
      <c r="OH86" s="20" t="n">
        <f aca="false">IF(H_Direct=1,IF(DU86&lt;=0,OG86-DU86*AMU85,OG86-MIN(MIN(DU86*AMU85,KT86+OG86),OG86)),OG86)</f>
        <v>0</v>
      </c>
      <c r="OI86" s="20" t="n">
        <f aca="false">IF(H_Direct=1,IF(DV86&lt;=0,OH86-DV86*AMV85,OH86-MIN(MIN(DV86*AMV85,KU86+OH86),OH86)),OH86)</f>
        <v>0</v>
      </c>
      <c r="OJ86" s="20" t="n">
        <f aca="false">IF(H_Direct=1,IF(DW86&lt;=0,OI86-DW86*AMW85,OI86-MIN(MIN(DW86*AMW85,KV86+OI86),OI86)),OI86)</f>
        <v>0</v>
      </c>
      <c r="OK86" s="20" t="n">
        <f aca="false">IF(H_Direct=1,IF(DX86&lt;=0,OJ86-DX86*AMX85,OJ86-MIN(MIN(DX86*AMX85,KW86+OJ86),OJ86)),OJ86)</f>
        <v>0</v>
      </c>
      <c r="OL86" s="20" t="n">
        <f aca="false">IF(H_Direct=1,IF(DY86&lt;=0,OK86-DY86*AMY85,OK86-MIN(MIN(DY86*AMY85,KX86+OK86),OK86)),OK86)</f>
        <v>0</v>
      </c>
      <c r="OM86" s="20" t="n">
        <f aca="false">IF(H_Direct=1,IF(DZ86&lt;=0,OL86-DZ86*AMZ85,OL86-MIN(MIN(DZ86*AMZ85,KY86+OL86),OL86)),OL86)</f>
        <v>0</v>
      </c>
      <c r="ON86" s="20" t="n">
        <f aca="false">IF(H_Direct=1,IF(EA86&lt;=0,OM86-EA86*ANA85,OM86-MIN(MIN(EA86*ANA85,KZ86+OM86),OM86)),OM86)</f>
        <v>0</v>
      </c>
      <c r="OO86" s="20" t="n">
        <f aca="false">IF(H_Direct=1,IF(EB86&lt;=0,ON86-EB86*ANB85,ON86-MIN(MIN(EB86*ANB85,LA86+ON86),ON86)),ON86)</f>
        <v>0</v>
      </c>
      <c r="OP86" s="20" t="n">
        <f aca="false">IF(H_Direct=1,IF(EC86&lt;=0,OO86-EC86*ANC85,OO86-MIN(MIN(EC86*ANC85,LB86+OO86),OO86)),OO86)</f>
        <v>0</v>
      </c>
      <c r="OQ86" s="20" t="n">
        <f aca="false">IF(H_Direct=1,IF(ED86&lt;=0,OP86-ED86*AND85,OP86-MIN(MIN(ED86*AND85,LC86+OP86),OP86)),OP86)</f>
        <v>0</v>
      </c>
      <c r="OR86" s="20" t="n">
        <f aca="false">IF(H_Direct=1,IF(EE86&lt;=0,OQ86-EE86*ANE85,OQ86-MIN(MIN(EE86*ANE85,LD86+OQ86),OQ86)),OQ86)</f>
        <v>0</v>
      </c>
      <c r="OS86" s="20" t="n">
        <f aca="false">IF(H_Direct=1,IF(EF86&lt;=0,OR86-EF86*ANF85,OR86-MIN(MIN(EF86*ANF85,LE86+OR86),OR86)),OR86)</f>
        <v>0</v>
      </c>
      <c r="OT86" s="20" t="n">
        <f aca="false">IF(H_Direct=1,IF(EG86&lt;=0,OS86-EG86*ANG85,OS86-MIN(MIN(EG86*ANG85,LF86+OS86),OS86)),OS86)</f>
        <v>0</v>
      </c>
      <c r="OU86" s="20" t="n">
        <f aca="false">IF(H_Direct=1,IF(EH86&lt;=0,OT86-EH86*ANH85,OT86-MIN(MIN(EH86*ANH85,LG86+OT86),OT86)),OT86)</f>
        <v>0</v>
      </c>
      <c r="OV86" s="20" t="n">
        <f aca="false">IF(H_Direct=1,IF(EI86&lt;=0,OU86-EI86*ANI85,OU86-MIN(MIN(EI86*ANI85,LH86+OU86),OU86)),OU86)</f>
        <v>0</v>
      </c>
      <c r="OW86" s="20" t="n">
        <f aca="false">IF(H_Direct=1,IF(EJ86&lt;=0,OV86-EJ86*ANJ85,OV86-MIN(MIN(EJ86*ANJ85,LI86+OV86),OV86)),OV86)</f>
        <v>0</v>
      </c>
      <c r="OX86" s="20" t="n">
        <f aca="false">IF(H_Direct=1,IF(EK86&lt;=0,OW86-EK86*ANK85,OW86-MIN(MIN(EK86*ANK85,LJ86+OW86),OW86)),OW86)</f>
        <v>0</v>
      </c>
      <c r="OY86" s="20" t="n">
        <f aca="false">IF(H_Direct=1,IF(EL86&lt;=0,OX86-EL86*ANL85,OX86-MIN(MIN(EL86*ANL85,LK86+OX86),OX86)),OX86)</f>
        <v>0</v>
      </c>
      <c r="OZ86" s="20" t="n">
        <f aca="false">IF(H_Direct=1,IF(EM86&lt;=0,OY86-EM86*ANM85,OY86-MIN(MIN(EM86*ANM85,LL86+OY86),OY86)),OY86)</f>
        <v>0</v>
      </c>
      <c r="PA86" s="20" t="n">
        <f aca="false">IF(H_Direct=1,IF(EN86&lt;=0,OZ86-EN86*ANN85,OZ86-MIN(MIN(EN86*ANN85,LM86+OZ86),OZ86)),OZ86)</f>
        <v>0</v>
      </c>
      <c r="PB86" s="20" t="n">
        <f aca="false">IF(H_Direct=1,IF(EO86&lt;=0,PA86-EO86*ANO85,PA86-MIN(MIN(EO86*ANO85,LN86+PA86),PA86)),PA86)</f>
        <v>0</v>
      </c>
      <c r="PC86" s="20" t="n">
        <f aca="false">IF(H_Direct=1,IF(EP86&lt;=0,PB86-EP86*ANP85,PB86-MIN(MIN(EP86*ANP85,LO86+PB86),PB86)),PB86)</f>
        <v>0</v>
      </c>
      <c r="PD86" s="20" t="n">
        <f aca="false">IF(H_Direct=1,IF(EQ86&lt;=0,PC86-EQ86*ANQ85,PC86-MIN(MIN(EQ86*ANQ85,LP86+PC86),PC86)),PC86)</f>
        <v>0</v>
      </c>
      <c r="PE86" s="20" t="n">
        <f aca="false">IF(H_Direct=1,IF(ER86&lt;=0,PD86-ER86*ANR85,PD86-MIN(MIN(ER86*ANR85,LQ86+PD86),PD86)),PD86)</f>
        <v>0</v>
      </c>
      <c r="PF86" s="20" t="n">
        <f aca="false">IF(H_Direct=1,IF(ES86&lt;=0,PE86-ES86*(P86+S86),PE86-MIN(MIN(ES86*(P86+S86),LR86+PE86),PE86)),PE86)</f>
        <v>0</v>
      </c>
      <c r="PG86" s="20" t="n">
        <f aca="false">PF86</f>
        <v>0</v>
      </c>
      <c r="PH86" s="20" t="n">
        <f aca="false">PG86</f>
        <v>0</v>
      </c>
      <c r="PI86" s="20" t="n">
        <f aca="false">PH86</f>
        <v>0</v>
      </c>
      <c r="PJ86" s="20" t="n">
        <f aca="false">PI86</f>
        <v>0</v>
      </c>
      <c r="PK86" s="20" t="n">
        <f aca="false">PJ86</f>
        <v>0</v>
      </c>
      <c r="PL86" s="20" t="n">
        <f aca="false">PK86</f>
        <v>0</v>
      </c>
      <c r="PM86" s="20" t="n">
        <f aca="false">PL86</f>
        <v>0</v>
      </c>
      <c r="PN86" s="20" t="n">
        <f aca="false">PM86</f>
        <v>0</v>
      </c>
      <c r="PO86" s="20" t="n">
        <f aca="false">PN86</f>
        <v>0</v>
      </c>
      <c r="PP86" s="20" t="n">
        <f aca="false">PO86</f>
        <v>0</v>
      </c>
      <c r="PQ86" s="20" t="n">
        <f aca="false">PP86</f>
        <v>0</v>
      </c>
      <c r="PR86" s="20" t="n">
        <f aca="false">IF(H_Direct=1,IF(AKR85&lt;=0,0,IF(BR86&lt;=0,MIN(MAX(0,AB86),AKR85),MIN(MAX(0,AB86),AKR85-G86*MAX(0,BR86*AKR85-(H86+I86))))),MIN(FE86,MAX(0,AB86)))</f>
        <v>0</v>
      </c>
      <c r="PS86" s="20" t="n">
        <f aca="false">IF(H_Direct=1,IF(AKS85&lt;=0,0,IF(BS86&lt;=0,MIN(MAX(0,AB86-SUM(PR86:PR86)),AKS85),MIN(MAX(0,AB86-SUM(PR86:PR86)),AKS85-G86*MAX(0,BS86*AKS85-(WR86+AAE86))))),MIN(FF86,MAX(0,AB86-SUM(PR86:PR86))))</f>
        <v>0</v>
      </c>
      <c r="PT86" s="20" t="n">
        <f aca="false">IF(H_Direct=1,IF(AKT85&lt;=0,0,IF(BT86&lt;=0,MIN(MAX(0,AB86-SUM(PR86:PS86)),AKT85),MIN(MAX(0,AB86-SUM(PR86:PS86)),AKT85-G86*MAX(0,BT86*AKT85-(WS86+AAF86))))),MIN(FG86,MAX(0,AB86-SUM(PR86:PS86))))</f>
        <v>0</v>
      </c>
      <c r="PU86" s="20" t="n">
        <f aca="false">IF(H_Direct=1,IF(AKU85&lt;=0,0,IF(BU86&lt;=0,MIN(MAX(0,AB86-SUM(PR86:PT86)),AKU85),MIN(MAX(0,AB86-SUM(PR86:PT86)),AKU85-G86*MAX(0,BU86*AKU85-(WT86+AAG86))))),MIN(FH86,MAX(0,AB86-SUM(PR86:PT86))))</f>
        <v>0</v>
      </c>
      <c r="PV86" s="20" t="n">
        <f aca="false">IF(H_Direct=1,IF(AKV85&lt;=0,0,IF(BV86&lt;=0,MIN(MAX(0,AB86-SUM(PR86:PU86)),AKV85),MIN(MAX(0,AB86-SUM(PR86:PU86)),AKV85-G86*MAX(0,BV86*AKV85-(WU86+AAH86))))),MIN(FI86,MAX(0,AB86-SUM(PR86:PU86))))</f>
        <v>0</v>
      </c>
      <c r="PW86" s="20" t="n">
        <f aca="false">IF(H_Direct=1,IF(AKW85&lt;=0,0,IF(BW86&lt;=0,MIN(MAX(0,AB86-SUM(PR86:PV86)),AKW85),MIN(MAX(0,AB86-SUM(PR86:PV86)),AKW85-G86*MAX(0,BW86*AKW85-(WV86+AAI86))))),MIN(FJ86,MAX(0,AB86-SUM(PR86:PV86))))</f>
        <v>0</v>
      </c>
      <c r="PX86" s="20" t="n">
        <f aca="false">IF(H_Direct=1,IF(AKX85&lt;=0,0,IF(BX86&lt;=0,MIN(MAX(0,AB86-SUM(PR86:PW86)),AKX85),MIN(MAX(0,AB86-SUM(PR86:PW86)),AKX85-G86*MAX(0,BX86*AKX85-(WW86+AAJ86))))),MIN(FK86,MAX(0,AB86-SUM(PR86:PW86))))</f>
        <v>0</v>
      </c>
      <c r="PY86" s="20" t="n">
        <f aca="false">IF(H_Direct=1,IF(AKY85&lt;=0,0,IF(BY86&lt;=0,MIN(MAX(0,AB86-SUM(PR86:PX86)),AKY85),MIN(MAX(0,AB86-SUM(PR86:PX86)),AKY85-G86*MAX(0,BY86*AKY85-(WX86+AAK86))))),MIN(FL86,MAX(0,AB86-SUM(PR86:PX86))))</f>
        <v>0</v>
      </c>
      <c r="PZ86" s="20" t="n">
        <f aca="false">IF(H_Direct=1,IF(AKZ85&lt;=0,0,IF(BZ86&lt;=0,MIN(MAX(0,AB86-SUM(PR86:PY86)),AKZ85),MIN(MAX(0,AB86-SUM(PR86:PY86)),AKZ85-G86*MAX(0,BZ86*AKZ85-(WY86+AAL86))))),MIN(FM86,MAX(0,AB86-SUM(PR86:PY86))))</f>
        <v>0</v>
      </c>
      <c r="QA86" s="20" t="n">
        <f aca="false">IF(H_Direct=1,IF(ALA85&lt;=0,0,IF(CA86&lt;=0,MIN(MAX(0,AB86-SUM(PR86:PZ86)),ALA85),MIN(MAX(0,AB86-SUM(PR86:PZ86)),ALA85-G86*MAX(0,CA86*ALA85-(WZ86+AAM86))))),MIN(FN86,MAX(0,AB86-SUM(PR86:PZ86))))</f>
        <v>0</v>
      </c>
      <c r="QB86" s="20" t="n">
        <f aca="false">IF(H_Direct=1,IF(ALB85&lt;=0,0,IF(CB86&lt;=0,MIN(MAX(0,AB86-SUM(PR86:QA86)),ALB85),MIN(MAX(0,AB86-SUM(PR86:QA86)),ALB85-G86*MAX(0,CB86*ALB85-(XA86+AAN86))))),MIN(FO86,MAX(0,AB86-SUM(PR86:QA86))))</f>
        <v>0</v>
      </c>
      <c r="QC86" s="20" t="n">
        <f aca="false">IF(H_Direct=1,IF(ALC85&lt;=0,0,IF(CC86&lt;=0,MIN(MAX(0,AB86-SUM(PR86:QB86)),ALC85),MIN(MAX(0,AB86-SUM(PR86:QB86)),ALC85-G86*MAX(0,CC86*ALC85-(XB86+AAO86))))),MIN(FP86,MAX(0,AB86-SUM(PR86:QB86))))</f>
        <v>0</v>
      </c>
      <c r="QD86" s="20" t="n">
        <f aca="false">IF(H_Direct=1,IF(ALD85&lt;=0,0,IF(CD86&lt;=0,MIN(MAX(0,AB86-SUM(PR86:QC86)),ALD85),MIN(MAX(0,AB86-SUM(PR86:QC86)),ALD85-G86*MAX(0,CD86*ALD85-(XC86+AAP86))))),MIN(FQ86,MAX(0,AB86-SUM(PR86:QC86))))</f>
        <v>0</v>
      </c>
      <c r="QE86" s="20" t="n">
        <f aca="false">IF(H_Direct=1,IF(ALE85&lt;=0,0,IF(CE86&lt;=0,MIN(MAX(0,AB86-SUM(PR86:QD86)),ALE85),MIN(MAX(0,AB86-SUM(PR86:QD86)),ALE85-G86*MAX(0,CE86*ALE85-(XD86+AAQ86))))),MIN(FR86,MAX(0,AB86-SUM(PR86:QD86))))</f>
        <v>0</v>
      </c>
      <c r="QF86" s="20" t="n">
        <f aca="false">IF(H_Direct=1,IF(ALF85&lt;=0,0,IF(CF86&lt;=0,MIN(MAX(0,AB86-SUM(PR86:QE86)),ALF85),MIN(MAX(0,AB86-SUM(PR86:QE86)),ALF85-G86*MAX(0,CF86*ALF85-(XE86+AAR86))))),MIN(FS86,MAX(0,AB86-SUM(PR86:QE86))))</f>
        <v>0</v>
      </c>
      <c r="QG86" s="20" t="n">
        <f aca="false">IF(H_Direct=1,IF(ALG85&lt;=0,0,IF(CG86&lt;=0,MIN(MAX(0,AB86-SUM(PR86:QF86)),ALG85),MIN(MAX(0,AB86-SUM(PR86:QF86)),ALG85-G86*MAX(0,CG86*ALG85-(XF86+AAS86))))),MIN(FT86,MAX(0,AB86-SUM(PR86:QF86))))</f>
        <v>0</v>
      </c>
      <c r="QH86" s="20" t="n">
        <f aca="false">IF(H_Direct=1,IF(ALH85&lt;=0,0,IF(CH86&lt;=0,MIN(MAX(0,AB86-SUM(PR86:QG86)),ALH85),MIN(MAX(0,AB86-SUM(PR86:QG86)),ALH85-G86*MAX(0,CH86*ALH85-(XG86+AAT86))))),MIN(FU86,MAX(0,AB86-SUM(PR86:QG86))))</f>
        <v>0</v>
      </c>
      <c r="QI86" s="20" t="n">
        <f aca="false">IF(H_Direct=1,IF(ALI85&lt;=0,0,IF(CI86&lt;=0,MIN(MAX(0,AB86-SUM(PR86:QH86)),ALI85),MIN(MAX(0,AB86-SUM(PR86:QH86)),ALI85-G86*MAX(0,CI86*ALI85-(XH86+AAU86))))),MIN(FV86,MAX(0,AB86-SUM(PR86:QH86))))</f>
        <v>0</v>
      </c>
      <c r="QJ86" s="20" t="n">
        <f aca="false">IF(H_Direct=1,IF(ALJ85&lt;=0,0,IF(CJ86&lt;=0,MIN(MAX(0,AB86-SUM(PR86:QI86)),ALJ85),MIN(MAX(0,AB86-SUM(PR86:QI86)),ALJ85-G86*MAX(0,CJ86*ALJ85-(XI86+AAV86))))),MIN(FW86,MAX(0,AB86-SUM(PR86:QI86))))</f>
        <v>0</v>
      </c>
      <c r="QK86" s="20" t="n">
        <f aca="false">IF(H_Direct=1,IF(ALK85&lt;=0,0,IF(CK86&lt;=0,MIN(MAX(0,AB86-SUM(PR86:QJ86)),ALK85),MIN(MAX(0,AB86-SUM(PR86:QJ86)),ALK85-G86*MAX(0,CK86*ALK85-(XJ86+AAW86))))),MIN(FX86,MAX(0,AB86-SUM(PR86:QJ86))))</f>
        <v>0</v>
      </c>
      <c r="QL86" s="20" t="n">
        <f aca="false">IF(H_Direct=1,IF(ALL85&lt;=0,0,IF(CL86&lt;=0,MIN(MAX(0,AB86-SUM(PR86:QK86)),ALL85),MIN(MAX(0,AB86-SUM(PR86:QK86)),ALL85-G86*MAX(0,CL86*ALL85-(XK86+AAX86))))),MIN(FY86,MAX(0,AB86-SUM(PR86:QK86))))</f>
        <v>0</v>
      </c>
      <c r="QM86" s="20" t="n">
        <f aca="false">IF(H_Direct=1,IF(ALM85&lt;=0,0,IF(CM86&lt;=0,MIN(MAX(0,AB86-SUM(PR86:QL86)),ALM85),MIN(MAX(0,AB86-SUM(PR86:QL86)),ALM85-G86*MAX(0,CM86*ALM85-(XL86+AAY86))))),MIN(FZ86,MAX(0,AB86-SUM(PR86:QL86))))</f>
        <v>0</v>
      </c>
      <c r="QN86" s="20" t="n">
        <f aca="false">IF(H_Direct=1,IF(ALN85&lt;=0,0,IF(CN86&lt;=0,MIN(MAX(0,AB86-SUM(PR86:QM86)),ALN85),MIN(MAX(0,AB86-SUM(PR86:QM86)),ALN85-G86*MAX(0,CN86*ALN85-(XM86+AAZ86))))),MIN(GA86,MAX(0,AB86-SUM(PR86:QM86))))</f>
        <v>0</v>
      </c>
      <c r="QO86" s="20" t="n">
        <f aca="false">IF(H_Direct=1,IF(ALO85&lt;=0,0,IF(CO86&lt;=0,MIN(MAX(0,AB86-SUM(PR86:QN86)),ALO85),MIN(MAX(0,AB86-SUM(PR86:QN86)),ALO85-G86*MAX(0,CO86*ALO85-(XN86+ABA86))))),MIN(GB86,MAX(0,AB86-SUM(PR86:QN86))))</f>
        <v>0</v>
      </c>
      <c r="QP86" s="20" t="n">
        <f aca="false">IF(H_Direct=1,IF(ALP85&lt;=0,0,IF(CP86&lt;=0,MIN(MAX(0,AB86-SUM(PR86:QO86)),ALP85),MIN(MAX(0,AB86-SUM(PR86:QO86)),ALP85-G86*MAX(0,CP86*ALP85-(XO86+ABB86))))),MIN(GC86,MAX(0,AB86-SUM(PR86:QO86))))</f>
        <v>0</v>
      </c>
      <c r="QQ86" s="20" t="n">
        <f aca="false">IF(H_Direct=1,IF(ALQ85&lt;=0,0,IF(CQ86&lt;=0,MIN(MAX(0,AB86-SUM(PR86:QP86)),ALQ85),MIN(MAX(0,AB86-SUM(PR86:QP86)),ALQ85-G86*MAX(0,CQ86*ALQ85-(XP86+ABC86))))),MIN(GD86,MAX(0,AB86-SUM(PR86:QP86))))</f>
        <v>0</v>
      </c>
      <c r="QR86" s="20" t="n">
        <f aca="false">IF(H_Direct=1,IF(ALR85&lt;=0,0,IF(CR86&lt;=0,MIN(MAX(0,AB86-SUM(PR86:QQ86)),ALR85),MIN(MAX(0,AB86-SUM(PR86:QQ86)),ALR85-G86*MAX(0,CR86*ALR85-(XQ86+ABD86))))),MIN(GE86,MAX(0,AB86-SUM(PR86:QQ86))))</f>
        <v>0</v>
      </c>
      <c r="QS86" s="20" t="n">
        <f aca="false">IF(H_Direct=1,IF(ALS85&lt;=0,0,IF(CS86&lt;=0,MIN(MAX(0,AB86-SUM(PR86:QR86)),ALS85),MIN(MAX(0,AB86-SUM(PR86:QR86)),ALS85-G86*MAX(0,CS86*ALS85-(XR86+ABE86))))),MIN(GF86,MAX(0,AB86-SUM(PR86:QR86))))</f>
        <v>0</v>
      </c>
      <c r="QT86" s="20" t="n">
        <f aca="false">IF(H_Direct=1,IF(ALT85&lt;=0,0,IF(CT86&lt;=0,MIN(MAX(0,AB86-SUM(PR86:QS86)),ALT85),MIN(MAX(0,AB86-SUM(PR86:QS86)),ALT85-G86*MAX(0,CT86*ALT85-(XS86+ABF86))))),MIN(GG86,MAX(0,AB86-SUM(PR86:QS86))))</f>
        <v>0</v>
      </c>
      <c r="QU86" s="20" t="n">
        <f aca="false">IF(H_Direct=1,IF(ALU85&lt;=0,0,IF(CU86&lt;=0,MIN(MAX(0,AB86-SUM(PR86:QT86)),ALU85),MIN(MAX(0,AB86-SUM(PR86:QT86)),ALU85-G86*MAX(0,CU86*ALU85-(XT86+ABG86))))),MIN(GH86,MAX(0,AB86-SUM(PR86:QT86))))</f>
        <v>0</v>
      </c>
      <c r="QV86" s="20" t="n">
        <f aca="false">IF(H_Direct=1,IF(ALV85&lt;=0,0,IF(CV86&lt;=0,MIN(MAX(0,AB86-SUM(PR86:QU86)),ALV85),MIN(MAX(0,AB86-SUM(PR86:QU86)),ALV85-G86*MAX(0,CV86*ALV85-(XU86+ABH86))))),MIN(GI86,MAX(0,AB86-SUM(PR86:QU86))))</f>
        <v>0</v>
      </c>
      <c r="QW86" s="20" t="n">
        <f aca="false">IF(H_Direct=1,IF(ALW85&lt;=0,0,IF(CW86&lt;=0,MIN(MAX(0,AB86-SUM(PR86:QV86)),ALW85),MIN(MAX(0,AB86-SUM(PR86:QV86)),ALW85-G86*MAX(0,CW86*ALW85-(XV86+ABI86))))),MIN(GJ86,MAX(0,AB86-SUM(PR86:QV86))))</f>
        <v>0</v>
      </c>
      <c r="QX86" s="20" t="n">
        <f aca="false">IF(H_Direct=1,IF(ALX85&lt;=0,0,IF(CX86&lt;=0,MIN(MAX(0,AB86-SUM(PR86:QW86)),ALX85),MIN(MAX(0,AB86-SUM(PR86:QW86)),ALX85-G86*MAX(0,CX86*ALX85-(XW86+ABJ86))))),MIN(GK86,MAX(0,AB86-SUM(PR86:QW86))))</f>
        <v>0</v>
      </c>
      <c r="QY86" s="20" t="n">
        <f aca="false">IF(H_Direct=1,IF(ALY85&lt;=0,0,IF(CY86&lt;=0,MIN(MAX(0,AB86-SUM(PR86:QX86)),ALY85),MIN(MAX(0,AB86-SUM(PR86:QX86)),ALY85-G86*MAX(0,CY86*ALY85-(XX86+ABK86))))),MIN(GL86,MAX(0,AB86-SUM(PR86:QX86))))</f>
        <v>0</v>
      </c>
      <c r="QZ86" s="20" t="n">
        <f aca="false">IF(H_Direct=1,IF(ALZ85&lt;=0,0,IF(CZ86&lt;=0,MIN(MAX(0,AB86-SUM(PR86:QY86)),ALZ85),MIN(MAX(0,AB86-SUM(PR86:QY86)),ALZ85-G86*MAX(0,CZ86*ALZ85-(XY86+ABL86))))),MIN(GM86,MAX(0,AB86-SUM(PR86:QY86))))</f>
        <v>0</v>
      </c>
      <c r="RA86" s="20" t="n">
        <f aca="false">IF(H_Direct=1,IF(AMA85&lt;=0,0,IF(DA86&lt;=0,MIN(MAX(0,AB86-SUM(PR86:QZ86)),AMA85),MIN(MAX(0,AB86-SUM(PR86:QZ86)),AMA85-G86*MAX(0,DA86*AMA85-(XZ86+ABM86))))),MIN(GN86,MAX(0,AB86-SUM(PR86:QZ86))))</f>
        <v>0</v>
      </c>
      <c r="RB86" s="20" t="n">
        <f aca="false">IF(H_Direct=1,IF(AMB85&lt;=0,0,IF(DB86&lt;=0,MIN(MAX(0,AB86-SUM(PR86:RA86)),AMB85),MIN(MAX(0,AB86-SUM(PR86:RA86)),AMB85-G86*MAX(0,DB86*AMB85-(YA86+ABN86))))),MIN(GO86,MAX(0,AB86-SUM(PR86:RA86))))</f>
        <v>0</v>
      </c>
      <c r="RC86" s="20" t="n">
        <f aca="false">IF(H_Direct=1,IF(AMC85&lt;=0,0,IF(DC86&lt;=0,MIN(MAX(0,AB86-SUM(PR86:RB86)),AMC85),MIN(MAX(0,AB86-SUM(PR86:RB86)),AMC85-G86*MAX(0,DC86*AMC85-(YB86+ABO86))))),MIN(GP86,MAX(0,AB86-SUM(PR86:RB86))))</f>
        <v>0</v>
      </c>
      <c r="RD86" s="20" t="n">
        <f aca="false">IF(H_Direct=1,IF(AMD85&lt;=0,0,IF(DD86&lt;=0,MIN(MAX(0,AB86-SUM(PR86:RC86)),AMD85),MIN(MAX(0,AB86-SUM(PR86:RC86)),AMD85-G86*MAX(0,DD86*AMD85-(YC86+ABP86))))),MIN(GQ86,MAX(0,AB86-SUM(PR86:RC86))))</f>
        <v>0</v>
      </c>
      <c r="RE86" s="20" t="n">
        <f aca="false">IF(H_Direct=1,IF(AME85&lt;=0,0,IF(DE86&lt;=0,MIN(MAX(0,AB86-SUM(PR86:RD86)),AME85),MIN(MAX(0,AB86-SUM(PR86:RD86)),AME85-G86*MAX(0,DE86*AME85-(YD86+ABQ86))))),MIN(GR86,MAX(0,AB86-SUM(PR86:RD86))))</f>
        <v>0</v>
      </c>
      <c r="RF86" s="20" t="n">
        <f aca="false">IF(H_Direct=1,IF(AMF85&lt;=0,0,IF(DF86&lt;=0,MIN(MAX(0,AB86-SUM(PR86:RE86)),AMF85),MIN(MAX(0,AB86-SUM(PR86:RE86)),AMF85-G86*MAX(0,DF86*AMF85-(YE86+ABR86))))),MIN(GS86,MAX(0,AB86-SUM(PR86:RE86))))</f>
        <v>0</v>
      </c>
      <c r="RG86" s="20" t="n">
        <f aca="false">IF(H_Direct=1,IF(AMG85&lt;=0,0,IF(DG86&lt;=0,MIN(MAX(0,AB86-SUM(PR86:RF86)),AMG85),MIN(MAX(0,AB86-SUM(PR86:RF86)),AMG85-G86*MAX(0,DG86*AMG85-(YF86+ABS86))))),MIN(GT86,MAX(0,AB86-SUM(PR86:RF86))))</f>
        <v>0</v>
      </c>
      <c r="RH86" s="20" t="n">
        <f aca="false">IF(H_Direct=1,IF(AMH85&lt;=0,0,IF(DH86&lt;=0,MIN(MAX(0,AB86-SUM(PR86:RG86)),AMH85),MIN(MAX(0,AB86-SUM(PR86:RG86)),AMH85-G86*MAX(0,DH86*AMH85-(YG86+ABT86))))),MIN(GU86,MAX(0,AB86-SUM(PR86:RG86))))</f>
        <v>0</v>
      </c>
      <c r="RI86" s="20" t="n">
        <f aca="false">IF(H_Direct=1,IF(AMI85&lt;=0,0,IF(DI86&lt;=0,MIN(MAX(0,AB86-SUM(PR86:RH86)),AMI85),MIN(MAX(0,AB86-SUM(PR86:RH86)),AMI85-G86*MAX(0,DI86*AMI85-(YH86+ABU86))))),MIN(GV86,MAX(0,AB86-SUM(PR86:RH86))))</f>
        <v>0</v>
      </c>
      <c r="RJ86" s="20" t="n">
        <f aca="false">IF(H_Direct=1,IF(AMJ85&lt;=0,0,IF(DJ86&lt;=0,MIN(MAX(0,AB86-SUM(PR86:RI86)),AMJ85),MIN(MAX(0,AB86-SUM(PR86:RI86)),AMJ85-G86*MAX(0,DJ86*AMJ85-(YI86+ABV86))))),MIN(GW86,MAX(0,AB86-SUM(PR86:RI86))))</f>
        <v>0</v>
      </c>
      <c r="RK86" s="20" t="n">
        <f aca="false">IF(H_Direct=1,IF(AMK85&lt;=0,0,IF(DK86&lt;=0,MIN(MAX(0,AB86-SUM(PR86:RJ86)),AMK85),MIN(MAX(0,AB86-SUM(PR86:RJ86)),AMK85-G86*MAX(0,DK86*AMK85-(YJ86+ABW86))))),MIN(GX86,MAX(0,AB86-SUM(PR86:RJ86))))</f>
        <v>0</v>
      </c>
      <c r="RL86" s="20" t="n">
        <f aca="false">IF(H_Direct=1,IF(AML85&lt;=0,0,IF(DL86&lt;=0,MIN(MAX(0,AB86-SUM(PR86:RK86)),AML85),MIN(MAX(0,AB86-SUM(PR86:RK86)),AML85-G86*MAX(0,DL86*AML85-(YK86+ABX86))))),MIN(GY86,MAX(0,AB86-SUM(PR86:RK86))))</f>
        <v>0</v>
      </c>
      <c r="RM86" s="20" t="n">
        <f aca="false">IF(H_Direct=1,IF(AMM85&lt;=0,0,IF(DM86&lt;=0,MIN(MAX(0,AB86-SUM(PR86:RL86)),AMM85),MIN(MAX(0,AB86-SUM(PR86:RL86)),AMM85-G86*MAX(0,DM86*AMM85-(YL86+ABY86))))),MIN(GZ86,MAX(0,AB86-SUM(PR86:RL86))))</f>
        <v>0</v>
      </c>
      <c r="RN86" s="20" t="n">
        <f aca="false">IF(H_Direct=1,IF(AMN85&lt;=0,0,IF(DN86&lt;=0,MIN(MAX(0,AB86-SUM(PR86:RM86)),AMN85),MIN(MAX(0,AB86-SUM(PR86:RM86)),AMN85-G86*MAX(0,DN86*AMN85-(YM86+ABZ86))))),MIN(HA86,MAX(0,AB86-SUM(PR86:RM86))))</f>
        <v>0</v>
      </c>
      <c r="RO86" s="20" t="n">
        <f aca="false">IF(H_Direct=1,IF(AMO85&lt;=0,0,IF(DO86&lt;=0,MIN(MAX(0,AB86-SUM(PR86:RN86)),AMO85),MIN(MAX(0,AB86-SUM(PR86:RN86)),AMO85-G86*MAX(0,DO86*AMO85-(YN86+ACA86))))),MIN(HB86,MAX(0,AB86-SUM(PR86:RN86))))</f>
        <v>0</v>
      </c>
      <c r="RP86" s="20" t="n">
        <f aca="false">IF(H_Direct=1,IF(AMP85&lt;=0,0,IF(DP86&lt;=0,MIN(MAX(0,AB86-SUM(PR86:RO86)),AMP85),MIN(MAX(0,AB86-SUM(PR86:RO86)),AMP85-G86*MAX(0,DP86*AMP85-(YO86+ACB86))))),MIN(HC86,MAX(0,AB86-SUM(PR86:RO86))))</f>
        <v>0</v>
      </c>
      <c r="RQ86" s="20" t="n">
        <f aca="false">IF(H_Direct=1,IF(AMQ85&lt;=0,0,IF(DQ86&lt;=0,MIN(MAX(0,AB86-SUM(PR86:RP86)),AMQ85),MIN(MAX(0,AB86-SUM(PR86:RP86)),AMQ85-G86*MAX(0,DQ86*AMQ85-(YP86+ACC86))))),MIN(HD86,MAX(0,AB86-SUM(PR86:RP86))))</f>
        <v>0</v>
      </c>
      <c r="RR86" s="20" t="n">
        <f aca="false">IF(H_Direct=1,IF(AMR85&lt;=0,0,IF(DR86&lt;=0,MIN(MAX(0,AB86-SUM(PR86:RQ86)),AMR85),MIN(MAX(0,AB86-SUM(PR86:RQ86)),AMR85-G86*MAX(0,DR86*AMR85-(YQ86+ACD86))))),MIN(HE86,MAX(0,AB86-SUM(PR86:RQ86))))</f>
        <v>0</v>
      </c>
      <c r="RS86" s="20" t="n">
        <f aca="false">IF(H_Direct=1,IF(AMS85&lt;=0,0,IF(DS86&lt;=0,MIN(MAX(0,AB86-SUM(PR86:RR86)),AMS85),MIN(MAX(0,AB86-SUM(PR86:RR86)),AMS85-G86*MAX(0,DS86*AMS85-(YR86+ACE86))))),MIN(HF86,MAX(0,AB86-SUM(PR86:RR86))))</f>
        <v>0</v>
      </c>
      <c r="RT86" s="20" t="n">
        <f aca="false">IF(H_Direct=1,IF(AMT85&lt;=0,0,IF(DT86&lt;=0,MIN(MAX(0,AB86-SUM(PR86:RS86)),AMT85),MIN(MAX(0,AB86-SUM(PR86:RS86)),AMT85-G86*MAX(0,DT86*AMT85-(YS86+ACF86))))),MIN(HG86,MAX(0,AB86-SUM(PR86:RS86))))</f>
        <v>0</v>
      </c>
      <c r="RU86" s="20" t="n">
        <f aca="false">IF(H_Direct=1,IF(AMU85&lt;=0,0,IF(DU86&lt;=0,MIN(MAX(0,AB86-SUM(PR86:RT86)),AMU85),MIN(MAX(0,AB86-SUM(PR86:RT86)),AMU85-G86*MAX(0,DU86*AMU85-(YT86+ACG86))))),MIN(HH86,MAX(0,AB86-SUM(PR86:RT86))))</f>
        <v>0</v>
      </c>
      <c r="RV86" s="20" t="n">
        <f aca="false">IF(H_Direct=1,IF(AMV85&lt;=0,0,IF(DV86&lt;=0,MIN(MAX(0,AB86-SUM(PR86:RU86)),AMV85),MIN(MAX(0,AB86-SUM(PR86:RU86)),AMV85-G86*MAX(0,DV86*AMV85-(YU86+ACH86))))),MIN(HI86,MAX(0,AB86-SUM(PR86:RU86))))</f>
        <v>0</v>
      </c>
      <c r="RW86" s="20" t="n">
        <f aca="false">IF(H_Direct=1,IF(AMW85&lt;=0,0,IF(DW86&lt;=0,MIN(MAX(0,AB86-SUM(PR86:RV86)),AMW85),MIN(MAX(0,AB86-SUM(PR86:RV86)),AMW85-G86*MAX(0,DW86*AMW85-(YV86+ACI86))))),MIN(HJ86,MAX(0,AB86-SUM(PR86:RV86))))</f>
        <v>0</v>
      </c>
      <c r="RX86" s="20" t="n">
        <f aca="false">IF(H_Direct=1,IF(AMX85&lt;=0,0,IF(DX86&lt;=0,MIN(MAX(0,AB86-SUM(PR86:RW86)),AMX85),MIN(MAX(0,AB86-SUM(PR86:RW86)),AMX85-G86*MAX(0,DX86*AMX85-(YW86+ACJ86))))),MIN(HK86,MAX(0,AB86-SUM(PR86:RW86))))</f>
        <v>0</v>
      </c>
      <c r="RY86" s="20" t="n">
        <f aca="false">IF(H_Direct=1,IF(AMY85&lt;=0,0,IF(DY86&lt;=0,MIN(MAX(0,AB86-SUM(PR86:RX86)),AMY85),MIN(MAX(0,AB86-SUM(PR86:RX86)),AMY85-G86*MAX(0,DY86*AMY85-(YX86+ACK86))))),MIN(HL86,MAX(0,AB86-SUM(PR86:RX86))))</f>
        <v>0</v>
      </c>
      <c r="RZ86" s="20" t="n">
        <f aca="false">IF(H_Direct=1,IF(AMZ85&lt;=0,0,IF(DZ86&lt;=0,MIN(MAX(0,AB86-SUM(PR86:RY86)),AMZ85),MIN(MAX(0,AB86-SUM(PR86:RY86)),AMZ85-G86*MAX(0,DZ86*AMZ85-(YY86+ACL86))))),MIN(HM86,MAX(0,AB86-SUM(PR86:RY86))))</f>
        <v>0</v>
      </c>
      <c r="SA86" s="20" t="n">
        <f aca="false">IF(H_Direct=1,IF(ANA85&lt;=0,0,IF(EA86&lt;=0,MIN(MAX(0,AB86-SUM(PR86:RZ86)),ANA85),MIN(MAX(0,AB86-SUM(PR86:RZ86)),ANA85-G86*MAX(0,EA86*ANA85-(YZ86+ACM86))))),MIN(HN86,MAX(0,AB86-SUM(PR86:RZ86))))</f>
        <v>0</v>
      </c>
      <c r="SB86" s="20" t="n">
        <f aca="false">IF(H_Direct=1,IF(ANB85&lt;=0,0,IF(EB86&lt;=0,MIN(MAX(0,AB86-SUM(PR86:SA86)),ANB85),MIN(MAX(0,AB86-SUM(PR86:SA86)),ANB85-G86*MAX(0,EB86*ANB85-(ZA86+ACN86))))),MIN(HO86,MAX(0,AB86-SUM(PR86:SA86))))</f>
        <v>0</v>
      </c>
      <c r="SC86" s="20" t="n">
        <f aca="false">IF(H_Direct=1,IF(ANC85&lt;=0,0,IF(EC86&lt;=0,MIN(MAX(0,AB86-SUM(PR86:SB86)),ANC85),MIN(MAX(0,AB86-SUM(PR86:SB86)),ANC85-G86*MAX(0,EC86*ANC85-(ZB86+ACO86))))),MIN(HP86,MAX(0,AB86-SUM(PR86:SB86))))</f>
        <v>0</v>
      </c>
      <c r="SD86" s="20" t="n">
        <f aca="false">IF(H_Direct=1,IF(AND85&lt;=0,0,IF(ED86&lt;=0,MIN(MAX(0,AB86-SUM(PR86:SC86)),AND85),MIN(MAX(0,AB86-SUM(PR86:SC86)),AND85-G86*MAX(0,ED86*AND85-(ZC86+ACP86))))),MIN(HQ86,MAX(0,AB86-SUM(PR86:SC86))))</f>
        <v>0</v>
      </c>
      <c r="SE86" s="20" t="n">
        <f aca="false">IF(H_Direct=1,IF(ANE85&lt;=0,0,IF(EE86&lt;=0,MIN(MAX(0,AB86-SUM(PR86:SD86)),ANE85),MIN(MAX(0,AB86-SUM(PR86:SD86)),ANE85-G86*MAX(0,EE86*ANE85-(ZD86+ACQ86))))),MIN(HR86,MAX(0,AB86-SUM(PR86:SD86))))</f>
        <v>0</v>
      </c>
      <c r="SF86" s="20" t="n">
        <f aca="false">IF(H_Direct=1,IF(ANF85&lt;=0,0,IF(EF86&lt;=0,MIN(MAX(0,AB86-SUM(PR86:SE86)),ANF85),MIN(MAX(0,AB86-SUM(PR86:SE86)),ANF85-G86*MAX(0,EF86*ANF85-(ZE86+ACR86))))),MIN(HS86,MAX(0,AB86-SUM(PR86:SE86))))</f>
        <v>0</v>
      </c>
      <c r="SG86" s="20" t="n">
        <f aca="false">IF(H_Direct=1,IF(ANG85&lt;=0,0,IF(EG86&lt;=0,MIN(MAX(0,AB86-SUM(PR86:SF86)),ANG85),MIN(MAX(0,AB86-SUM(PR86:SF86)),ANG85-G86*MAX(0,EG86*ANG85-(ZF86+ACS86))))),MIN(HT86,MAX(0,AB86-SUM(PR86:SF86))))</f>
        <v>0</v>
      </c>
      <c r="SH86" s="20" t="n">
        <f aca="false">IF(H_Direct=1,IF(ANH85&lt;=0,0,IF(EH86&lt;=0,MIN(MAX(0,AB86-SUM(PR86:SG86)),ANH85),MIN(MAX(0,AB86-SUM(PR86:SG86)),ANH85-G86*MAX(0,EH86*ANH85-(ZG86+ACT86))))),MIN(HU86,MAX(0,AB86-SUM(PR86:SG86))))</f>
        <v>0</v>
      </c>
      <c r="SI86" s="20" t="n">
        <f aca="false">IF(H_Direct=1,IF(ANI85&lt;=0,0,IF(EI86&lt;=0,MIN(MAX(0,AB86-SUM(PR86:SH86)),ANI85),MIN(MAX(0,AB86-SUM(PR86:SH86)),ANI85-G86*MAX(0,EI86*ANI85-(ZH86+ACU86))))),MIN(HV86,MAX(0,AB86-SUM(PR86:SH86))))</f>
        <v>0</v>
      </c>
      <c r="SJ86" s="20" t="n">
        <f aca="false">IF(H_Direct=1,IF(ANJ85&lt;=0,0,IF(EJ86&lt;=0,MIN(MAX(0,AB86-SUM(PR86:SI86)),ANJ85),MIN(MAX(0,AB86-SUM(PR86:SI86)),ANJ85-G86*MAX(0,EJ86*ANJ85-(ZI86+ACV86))))),MIN(HW86,MAX(0,AB86-SUM(PR86:SI86))))</f>
        <v>0</v>
      </c>
      <c r="SK86" s="20" t="n">
        <f aca="false">IF(H_Direct=1,IF(ANK85&lt;=0,0,IF(EK86&lt;=0,MIN(MAX(0,AB86-SUM(PR86:SJ86)),ANK85),MIN(MAX(0,AB86-SUM(PR86:SJ86)),ANK85-G86*MAX(0,EK86*ANK85-(ZJ86+ACW86))))),MIN(HX86,MAX(0,AB86-SUM(PR86:SJ86))))</f>
        <v>0</v>
      </c>
      <c r="SL86" s="20" t="n">
        <f aca="false">IF(H_Direct=1,IF(ANL85&lt;=0,0,IF(EL86&lt;=0,MIN(MAX(0,AB86-SUM(PR86:SK86)),ANL85),MIN(MAX(0,AB86-SUM(PR86:SK86)),ANL85-G86*MAX(0,EL86*ANL85-(ZK86+ACX86))))),MIN(HY86,MAX(0,AB86-SUM(PR86:SK86))))</f>
        <v>0</v>
      </c>
      <c r="SM86" s="20" t="n">
        <f aca="false">IF(H_Direct=1,IF(ANM85&lt;=0,0,IF(EM86&lt;=0,MIN(MAX(0,AB86-SUM(PR86:SL86)),ANM85),MIN(MAX(0,AB86-SUM(PR86:SL86)),ANM85-G86*MAX(0,EM86*ANM85-(ZL86+ACY86))))),MIN(HZ86,MAX(0,AB86-SUM(PR86:SL86))))</f>
        <v>0</v>
      </c>
      <c r="SN86" s="20" t="n">
        <f aca="false">IF(H_Direct=1,IF(ANN85&lt;=0,0,IF(EN86&lt;=0,MIN(MAX(0,AB86-SUM(PR86:SM86)),ANN85),MIN(MAX(0,AB86-SUM(PR86:SM86)),ANN85-G86*MAX(0,EN86*ANN85-(ZM86+ACZ86))))),MIN(IA86,MAX(0,AB86-SUM(PR86:SM86))))</f>
        <v>0</v>
      </c>
      <c r="SO86" s="20" t="n">
        <f aca="false">IF(H_Direct=1,IF(ANO85&lt;=0,0,IF(EO86&lt;=0,MIN(MAX(0,AB86-SUM(PR86:SN86)),ANO85),MIN(MAX(0,AB86-SUM(PR86:SN86)),ANO85-G86*MAX(0,EO86*ANO85-(ZN86+ADA86))))),MIN(IB86,MAX(0,AB86-SUM(PR86:SN86))))</f>
        <v>0</v>
      </c>
      <c r="SP86" s="20" t="n">
        <f aca="false">IF(H_Direct=1,IF(ANP85&lt;=0,0,IF(EP86&lt;=0,MIN(MAX(0,AB86-SUM(PR86:SO86)),ANP85),MIN(MAX(0,AB86-SUM(PR86:SO86)),ANP85-G86*MAX(0,EP86*ANP85-(ZO86+ADB86))))),MIN(IC86,MAX(0,AB86-SUM(PR86:SO86))))</f>
        <v>0</v>
      </c>
      <c r="SQ86" s="20" t="n">
        <f aca="false">IF(H_Direct=1,IF(ANQ85&lt;=0,0,IF(EQ86&lt;=0,MIN(MAX(0,AB86-SUM(PR86:SP86)),ANQ85),MIN(MAX(0,AB86-SUM(PR86:SP86)),ANQ85-G86*MAX(0,EQ86*ANQ85-(ZP86+ADC86))))),MIN(ID86,MAX(0,AB86-SUM(PR86:SP86))))</f>
        <v>0</v>
      </c>
      <c r="SR86" s="20" t="n">
        <f aca="false">IF(H_Direct=1,IF(ANR85&lt;=0,0,IF(ER86&lt;=0,MIN(MAX(0,AB86-SUM(PR86:SQ86)),ANR85),MIN(MAX(0,AB86-SUM(PR86:SQ86)),ANR85-G86*MAX(0,ER86*ANR85-(ZQ86+ADD86))))),MIN(IE86,MAX(0,AB86-SUM(PR86:SQ86))))</f>
        <v>0</v>
      </c>
      <c r="SS86" s="20" t="n">
        <f aca="false">IF(H_Direct=1,IF((P86+S86)&lt;=0,0,IF(ES86&lt;=0,MIN(MAX(0,AB86-SUM(PR86:SR86)),(P86+S86)),MIN(MAX(0,AB86-SUM(PR86:SR86)),(P86+S86)-G86*MAX(0,ES86*(P86+S86)-(ZR86+ADE86))))),MIN(IF86,MAX(0,AB86-SUM(PR86:SR86))))</f>
        <v>0</v>
      </c>
      <c r="ST86" s="20" t="n">
        <v>0</v>
      </c>
      <c r="SU86" s="20" t="n">
        <v>0</v>
      </c>
      <c r="SV86" s="20" t="n">
        <v>0</v>
      </c>
      <c r="SW86" s="20" t="n">
        <v>0</v>
      </c>
      <c r="SX86" s="20" t="n">
        <v>0</v>
      </c>
      <c r="SY86" s="20" t="n">
        <v>0</v>
      </c>
      <c r="SZ86" s="20" t="n">
        <v>0</v>
      </c>
      <c r="TA86" s="20" t="n">
        <v>0</v>
      </c>
      <c r="TB86" s="20" t="n">
        <v>0</v>
      </c>
      <c r="TC86" s="20" t="n">
        <v>0</v>
      </c>
      <c r="TD86" s="20" t="n">
        <v>0</v>
      </c>
      <c r="TE86" s="20" t="n">
        <f aca="false">IF(AKR85&lt;=0,0,IF(H_Direct=1,IF(BR86&lt;=0,PR86,IF(PR86&lt;=(H86+I86)/BR86,PR86,(PR86-G86*(H86+I86))/(1-G86*BR86))),PR86/(1-MAX(0,BR86)*H_Exit)))</f>
        <v>0</v>
      </c>
      <c r="TF86" s="20" t="n">
        <f aca="false">IF(AKS85&lt;=0,0,IF(H_Direct=1,IF(BS86&lt;=0,PS86,IF(PS86&lt;=(WR86+AAE86)/BS86,PS86,(PS86-G86*(WR86+AAE86))/(1-G86*BS86))),PS86/(1-MAX(0,BS86)*H_Exit)))</f>
        <v>0</v>
      </c>
      <c r="TG86" s="20" t="n">
        <f aca="false">IF(AKT85&lt;=0,0,IF(H_Direct=1,IF(BT86&lt;=0,PT86,IF(PT86&lt;=(WS86+AAF86)/BT86,PT86,(PT86-G86*(WS86+AAF86))/(1-G86*BT86))),PT86/(1-MAX(0,BT86)*H_Exit)))</f>
        <v>0</v>
      </c>
      <c r="TH86" s="20" t="n">
        <f aca="false">IF(AKU85&lt;=0,0,IF(H_Direct=1,IF(BU86&lt;=0,PU86,IF(PU86&lt;=(WT86+AAG86)/BU86,PU86,(PU86-G86*(WT86+AAG86))/(1-G86*BU86))),PU86/(1-MAX(0,BU86)*H_Exit)))</f>
        <v>0</v>
      </c>
      <c r="TI86" s="20" t="n">
        <f aca="false">IF(AKV85&lt;=0,0,IF(H_Direct=1,IF(BV86&lt;=0,PV86,IF(PV86&lt;=(WU86+AAH86)/BV86,PV86,(PV86-G86*(WU86+AAH86))/(1-G86*BV86))),PV86/(1-MAX(0,BV86)*H_Exit)))</f>
        <v>0</v>
      </c>
      <c r="TJ86" s="20" t="n">
        <f aca="false">IF(AKW85&lt;=0,0,IF(H_Direct=1,IF(BW86&lt;=0,PW86,IF(PW86&lt;=(WV86+AAI86)/BW86,PW86,(PW86-G86*(WV86+AAI86))/(1-G86*BW86))),PW86/(1-MAX(0,BW86)*H_Exit)))</f>
        <v>0</v>
      </c>
      <c r="TK86" s="20" t="n">
        <f aca="false">IF(AKX85&lt;=0,0,IF(H_Direct=1,IF(BX86&lt;=0,PX86,IF(PX86&lt;=(WW86+AAJ86)/BX86,PX86,(PX86-G86*(WW86+AAJ86))/(1-G86*BX86))),PX86/(1-MAX(0,BX86)*H_Exit)))</f>
        <v>0</v>
      </c>
      <c r="TL86" s="20" t="n">
        <f aca="false">IF(AKY85&lt;=0,0,IF(H_Direct=1,IF(BY86&lt;=0,PY86,IF(PY86&lt;=(WX86+AAK86)/BY86,PY86,(PY86-G86*(WX86+AAK86))/(1-G86*BY86))),PY86/(1-MAX(0,BY86)*H_Exit)))</f>
        <v>0</v>
      </c>
      <c r="TM86" s="20" t="n">
        <f aca="false">IF(AKZ85&lt;=0,0,IF(H_Direct=1,IF(BZ86&lt;=0,PZ86,IF(PZ86&lt;=(WY86+AAL86)/BZ86,PZ86,(PZ86-G86*(WY86+AAL86))/(1-G86*BZ86))),PZ86/(1-MAX(0,BZ86)*H_Exit)))</f>
        <v>0</v>
      </c>
      <c r="TN86" s="20" t="n">
        <f aca="false">IF(ALA85&lt;=0,0,IF(H_Direct=1,IF(CA86&lt;=0,QA86,IF(QA86&lt;=(WZ86+AAM86)/CA86,QA86,(QA86-G86*(WZ86+AAM86))/(1-G86*CA86))),QA86/(1-MAX(0,CA86)*H_Exit)))</f>
        <v>0</v>
      </c>
      <c r="TO86" s="20" t="n">
        <f aca="false">IF(ALB85&lt;=0,0,IF(H_Direct=1,IF(CB86&lt;=0,QB86,IF(QB86&lt;=(XA86+AAN86)/CB86,QB86,(QB86-G86*(XA86+AAN86))/(1-G86*CB86))),QB86/(1-MAX(0,CB86)*H_Exit)))</f>
        <v>0</v>
      </c>
      <c r="TP86" s="20" t="n">
        <f aca="false">IF(ALC85&lt;=0,0,IF(H_Direct=1,IF(CC86&lt;=0,QC86,IF(QC86&lt;=(XB86+AAO86)/CC86,QC86,(QC86-G86*(XB86+AAO86))/(1-G86*CC86))),QC86/(1-MAX(0,CC86)*H_Exit)))</f>
        <v>0</v>
      </c>
      <c r="TQ86" s="20" t="n">
        <f aca="false">IF(ALD85&lt;=0,0,IF(H_Direct=1,IF(CD86&lt;=0,QD86,IF(QD86&lt;=(XC86+AAP86)/CD86,QD86,(QD86-G86*(XC86+AAP86))/(1-G86*CD86))),QD86/(1-MAX(0,CD86)*H_Exit)))</f>
        <v>0</v>
      </c>
      <c r="TR86" s="20" t="n">
        <f aca="false">IF(ALE85&lt;=0,0,IF(H_Direct=1,IF(CE86&lt;=0,QE86,IF(QE86&lt;=(XD86+AAQ86)/CE86,QE86,(QE86-G86*(XD86+AAQ86))/(1-G86*CE86))),QE86/(1-MAX(0,CE86)*H_Exit)))</f>
        <v>0</v>
      </c>
      <c r="TS86" s="20" t="n">
        <f aca="false">IF(ALF85&lt;=0,0,IF(H_Direct=1,IF(CF86&lt;=0,QF86,IF(QF86&lt;=(XE86+AAR86)/CF86,QF86,(QF86-G86*(XE86+AAR86))/(1-G86*CF86))),QF86/(1-MAX(0,CF86)*H_Exit)))</f>
        <v>0</v>
      </c>
      <c r="TT86" s="20" t="n">
        <f aca="false">IF(ALG85&lt;=0,0,IF(H_Direct=1,IF(CG86&lt;=0,QG86,IF(QG86&lt;=(XF86+AAS86)/CG86,QG86,(QG86-G86*(XF86+AAS86))/(1-G86*CG86))),QG86/(1-MAX(0,CG86)*H_Exit)))</f>
        <v>0</v>
      </c>
      <c r="TU86" s="20" t="n">
        <f aca="false">IF(ALH85&lt;=0,0,IF(H_Direct=1,IF(CH86&lt;=0,QH86,IF(QH86&lt;=(XG86+AAT86)/CH86,QH86,(QH86-G86*(XG86+AAT86))/(1-G86*CH86))),QH86/(1-MAX(0,CH86)*H_Exit)))</f>
        <v>0</v>
      </c>
      <c r="TV86" s="20" t="n">
        <f aca="false">IF(ALI85&lt;=0,0,IF(H_Direct=1,IF(CI86&lt;=0,QI86,IF(QI86&lt;=(XH86+AAU86)/CI86,QI86,(QI86-G86*(XH86+AAU86))/(1-G86*CI86))),QI86/(1-MAX(0,CI86)*H_Exit)))</f>
        <v>0</v>
      </c>
      <c r="TW86" s="20" t="n">
        <f aca="false">IF(ALJ85&lt;=0,0,IF(H_Direct=1,IF(CJ86&lt;=0,QJ86,IF(QJ86&lt;=(XI86+AAV86)/CJ86,QJ86,(QJ86-G86*(XI86+AAV86))/(1-G86*CJ86))),QJ86/(1-MAX(0,CJ86)*H_Exit)))</f>
        <v>0</v>
      </c>
      <c r="TX86" s="20" t="n">
        <f aca="false">IF(ALK85&lt;=0,0,IF(H_Direct=1,IF(CK86&lt;=0,QK86,IF(QK86&lt;=(XJ86+AAW86)/CK86,QK86,(QK86-G86*(XJ86+AAW86))/(1-G86*CK86))),QK86/(1-MAX(0,CK86)*H_Exit)))</f>
        <v>0</v>
      </c>
      <c r="TY86" s="20" t="n">
        <f aca="false">IF(ALL85&lt;=0,0,IF(H_Direct=1,IF(CL86&lt;=0,QL86,IF(QL86&lt;=(XK86+AAX86)/CL86,QL86,(QL86-G86*(XK86+AAX86))/(1-G86*CL86))),QL86/(1-MAX(0,CL86)*H_Exit)))</f>
        <v>0</v>
      </c>
      <c r="TZ86" s="20" t="n">
        <f aca="false">IF(ALM85&lt;=0,0,IF(H_Direct=1,IF(CM86&lt;=0,QM86,IF(QM86&lt;=(XL86+AAY86)/CM86,QM86,(QM86-G86*(XL86+AAY86))/(1-G86*CM86))),QM86/(1-MAX(0,CM86)*H_Exit)))</f>
        <v>0</v>
      </c>
      <c r="UA86" s="20" t="n">
        <f aca="false">IF(ALN85&lt;=0,0,IF(H_Direct=1,IF(CN86&lt;=0,QN86,IF(QN86&lt;=(XM86+AAZ86)/CN86,QN86,(QN86-G86*(XM86+AAZ86))/(1-G86*CN86))),QN86/(1-MAX(0,CN86)*H_Exit)))</f>
        <v>0</v>
      </c>
      <c r="UB86" s="20" t="n">
        <f aca="false">IF(ALO85&lt;=0,0,IF(H_Direct=1,IF(CO86&lt;=0,QO86,IF(QO86&lt;=(XN86+ABA86)/CO86,QO86,(QO86-G86*(XN86+ABA86))/(1-G86*CO86))),QO86/(1-MAX(0,CO86)*H_Exit)))</f>
        <v>0</v>
      </c>
      <c r="UC86" s="20" t="n">
        <f aca="false">IF(ALP85&lt;=0,0,IF(H_Direct=1,IF(CP86&lt;=0,QP86,IF(QP86&lt;=(XO86+ABB86)/CP86,QP86,(QP86-G86*(XO86+ABB86))/(1-G86*CP86))),QP86/(1-MAX(0,CP86)*H_Exit)))</f>
        <v>0</v>
      </c>
      <c r="UD86" s="20" t="n">
        <f aca="false">IF(ALQ85&lt;=0,0,IF(H_Direct=1,IF(CQ86&lt;=0,QQ86,IF(QQ86&lt;=(XP86+ABC86)/CQ86,QQ86,(QQ86-G86*(XP86+ABC86))/(1-G86*CQ86))),QQ86/(1-MAX(0,CQ86)*H_Exit)))</f>
        <v>0</v>
      </c>
      <c r="UE86" s="20" t="n">
        <f aca="false">IF(ALR85&lt;=0,0,IF(H_Direct=1,IF(CR86&lt;=0,QR86,IF(QR86&lt;=(XQ86+ABD86)/CR86,QR86,(QR86-G86*(XQ86+ABD86))/(1-G86*CR86))),QR86/(1-MAX(0,CR86)*H_Exit)))</f>
        <v>0</v>
      </c>
      <c r="UF86" s="20" t="n">
        <f aca="false">IF(ALS85&lt;=0,0,IF(H_Direct=1,IF(CS86&lt;=0,QS86,IF(QS86&lt;=(XR86+ABE86)/CS86,QS86,(QS86-G86*(XR86+ABE86))/(1-G86*CS86))),QS86/(1-MAX(0,CS86)*H_Exit)))</f>
        <v>0</v>
      </c>
      <c r="UG86" s="20" t="n">
        <f aca="false">IF(ALT85&lt;=0,0,IF(H_Direct=1,IF(CT86&lt;=0,QT86,IF(QT86&lt;=(XS86+ABF86)/CT86,QT86,(QT86-G86*(XS86+ABF86))/(1-G86*CT86))),QT86/(1-MAX(0,CT86)*H_Exit)))</f>
        <v>0</v>
      </c>
      <c r="UH86" s="20" t="n">
        <f aca="false">IF(ALU85&lt;=0,0,IF(H_Direct=1,IF(CU86&lt;=0,QU86,IF(QU86&lt;=(XT86+ABG86)/CU86,QU86,(QU86-G86*(XT86+ABG86))/(1-G86*CU86))),QU86/(1-MAX(0,CU86)*H_Exit)))</f>
        <v>0</v>
      </c>
      <c r="UI86" s="20" t="n">
        <f aca="false">IF(ALV85&lt;=0,0,IF(H_Direct=1,IF(CV86&lt;=0,QV86,IF(QV86&lt;=(XU86+ABH86)/CV86,QV86,(QV86-G86*(XU86+ABH86))/(1-G86*CV86))),QV86/(1-MAX(0,CV86)*H_Exit)))</f>
        <v>0</v>
      </c>
      <c r="UJ86" s="20" t="n">
        <f aca="false">IF(ALW85&lt;=0,0,IF(H_Direct=1,IF(CW86&lt;=0,QW86,IF(QW86&lt;=(XV86+ABI86)/CW86,QW86,(QW86-G86*(XV86+ABI86))/(1-G86*CW86))),QW86/(1-MAX(0,CW86)*H_Exit)))</f>
        <v>0</v>
      </c>
      <c r="UK86" s="20" t="n">
        <f aca="false">IF(ALX85&lt;=0,0,IF(H_Direct=1,IF(CX86&lt;=0,QX86,IF(QX86&lt;=(XW86+ABJ86)/CX86,QX86,(QX86-G86*(XW86+ABJ86))/(1-G86*CX86))),QX86/(1-MAX(0,CX86)*H_Exit)))</f>
        <v>0</v>
      </c>
      <c r="UL86" s="20" t="n">
        <f aca="false">IF(ALY85&lt;=0,0,IF(H_Direct=1,IF(CY86&lt;=0,QY86,IF(QY86&lt;=(XX86+ABK86)/CY86,QY86,(QY86-G86*(XX86+ABK86))/(1-G86*CY86))),QY86/(1-MAX(0,CY86)*H_Exit)))</f>
        <v>0</v>
      </c>
      <c r="UM86" s="20" t="n">
        <f aca="false">IF(ALZ85&lt;=0,0,IF(H_Direct=1,IF(CZ86&lt;=0,QZ86,IF(QZ86&lt;=(XY86+ABL86)/CZ86,QZ86,(QZ86-G86*(XY86+ABL86))/(1-G86*CZ86))),QZ86/(1-MAX(0,CZ86)*H_Exit)))</f>
        <v>0</v>
      </c>
      <c r="UN86" s="20" t="n">
        <f aca="false">IF(AMA85&lt;=0,0,IF(H_Direct=1,IF(DA86&lt;=0,RA86,IF(RA86&lt;=(XZ86+ABM86)/DA86,RA86,(RA86-G86*(XZ86+ABM86))/(1-G86*DA86))),RA86/(1-MAX(0,DA86)*H_Exit)))</f>
        <v>0</v>
      </c>
      <c r="UO86" s="20" t="n">
        <f aca="false">IF(AMB85&lt;=0,0,IF(H_Direct=1,IF(DB86&lt;=0,RB86,IF(RB86&lt;=(YA86+ABN86)/DB86,RB86,(RB86-G86*(YA86+ABN86))/(1-G86*DB86))),RB86/(1-MAX(0,DB86)*H_Exit)))</f>
        <v>0</v>
      </c>
      <c r="UP86" s="20" t="n">
        <f aca="false">IF(AMC85&lt;=0,0,IF(H_Direct=1,IF(DC86&lt;=0,RC86,IF(RC86&lt;=(YB86+ABO86)/DC86,RC86,(RC86-G86*(YB86+ABO86))/(1-G86*DC86))),RC86/(1-MAX(0,DC86)*H_Exit)))</f>
        <v>0</v>
      </c>
      <c r="UQ86" s="20" t="n">
        <f aca="false">IF(AMD85&lt;=0,0,IF(H_Direct=1,IF(DD86&lt;=0,RD86,IF(RD86&lt;=(YC86+ABP86)/DD86,RD86,(RD86-G86*(YC86+ABP86))/(1-G86*DD86))),RD86/(1-MAX(0,DD86)*H_Exit)))</f>
        <v>0</v>
      </c>
      <c r="UR86" s="20" t="n">
        <f aca="false">IF(AME85&lt;=0,0,IF(H_Direct=1,IF(DE86&lt;=0,RE86,IF(RE86&lt;=(YD86+ABQ86)/DE86,RE86,(RE86-G86*(YD86+ABQ86))/(1-G86*DE86))),RE86/(1-MAX(0,DE86)*H_Exit)))</f>
        <v>0</v>
      </c>
      <c r="US86" s="20" t="n">
        <f aca="false">IF(AMF85&lt;=0,0,IF(H_Direct=1,IF(DF86&lt;=0,RF86,IF(RF86&lt;=(YE86+ABR86)/DF86,RF86,(RF86-G86*(YE86+ABR86))/(1-G86*DF86))),RF86/(1-MAX(0,DF86)*H_Exit)))</f>
        <v>0</v>
      </c>
      <c r="UT86" s="20" t="n">
        <f aca="false">IF(AMG85&lt;=0,0,IF(H_Direct=1,IF(DG86&lt;=0,RG86,IF(RG86&lt;=(YF86+ABS86)/DG86,RG86,(RG86-G86*(YF86+ABS86))/(1-G86*DG86))),RG86/(1-MAX(0,DG86)*H_Exit)))</f>
        <v>0</v>
      </c>
      <c r="UU86" s="20" t="n">
        <f aca="false">IF(AMH85&lt;=0,0,IF(H_Direct=1,IF(DH86&lt;=0,RH86,IF(RH86&lt;=(YG86+ABT86)/DH86,RH86,(RH86-G86*(YG86+ABT86))/(1-G86*DH86))),RH86/(1-MAX(0,DH86)*H_Exit)))</f>
        <v>0</v>
      </c>
      <c r="UV86" s="20" t="n">
        <f aca="false">IF(AMI85&lt;=0,0,IF(H_Direct=1,IF(DI86&lt;=0,RI86,IF(RI86&lt;=(YH86+ABU86)/DI86,RI86,(RI86-G86*(YH86+ABU86))/(1-G86*DI86))),RI86/(1-MAX(0,DI86)*H_Exit)))</f>
        <v>0</v>
      </c>
      <c r="UW86" s="20" t="n">
        <f aca="false">IF(AMJ85&lt;=0,0,IF(H_Direct=1,IF(DJ86&lt;=0,RJ86,IF(RJ86&lt;=(YI86+ABV86)/DJ86,RJ86,(RJ86-G86*(YI86+ABV86))/(1-G86*DJ86))),RJ86/(1-MAX(0,DJ86)*H_Exit)))</f>
        <v>0</v>
      </c>
      <c r="UX86" s="20" t="n">
        <f aca="false">IF(AMK85&lt;=0,0,IF(H_Direct=1,IF(DK86&lt;=0,RK86,IF(RK86&lt;=(YJ86+ABW86)/DK86,RK86,(RK86-G86*(YJ86+ABW86))/(1-G86*DK86))),RK86/(1-MAX(0,DK86)*H_Exit)))</f>
        <v>0</v>
      </c>
      <c r="UY86" s="20" t="n">
        <f aca="false">IF(AML85&lt;=0,0,IF(H_Direct=1,IF(DL86&lt;=0,RL86,IF(RL86&lt;=(YK86+ABX86)/DL86,RL86,(RL86-G86*(YK86+ABX86))/(1-G86*DL86))),RL86/(1-MAX(0,DL86)*H_Exit)))</f>
        <v>0</v>
      </c>
      <c r="UZ86" s="20" t="n">
        <f aca="false">IF(AMM85&lt;=0,0,IF(H_Direct=1,IF(DM86&lt;=0,RM86,IF(RM86&lt;=(YL86+ABY86)/DM86,RM86,(RM86-G86*(YL86+ABY86))/(1-G86*DM86))),RM86/(1-MAX(0,DM86)*H_Exit)))</f>
        <v>0</v>
      </c>
      <c r="VA86" s="20" t="n">
        <f aca="false">IF(AMN85&lt;=0,0,IF(H_Direct=1,IF(DN86&lt;=0,RN86,IF(RN86&lt;=(YM86+ABZ86)/DN86,RN86,(RN86-G86*(YM86+ABZ86))/(1-G86*DN86))),RN86/(1-MAX(0,DN86)*H_Exit)))</f>
        <v>0</v>
      </c>
      <c r="VB86" s="20" t="n">
        <f aca="false">IF(AMO85&lt;=0,0,IF(H_Direct=1,IF(DO86&lt;=0,RO86,IF(RO86&lt;=(YN86+ACA86)/DO86,RO86,(RO86-G86*(YN86+ACA86))/(1-G86*DO86))),RO86/(1-MAX(0,DO86)*H_Exit)))</f>
        <v>0</v>
      </c>
      <c r="VC86" s="20" t="n">
        <f aca="false">IF(AMP85&lt;=0,0,IF(H_Direct=1,IF(DP86&lt;=0,RP86,IF(RP86&lt;=(YO86+ACB86)/DP86,RP86,(RP86-G86*(YO86+ACB86))/(1-G86*DP86))),RP86/(1-MAX(0,DP86)*H_Exit)))</f>
        <v>0</v>
      </c>
      <c r="VD86" s="20" t="n">
        <f aca="false">IF(AMQ85&lt;=0,0,IF(H_Direct=1,IF(DQ86&lt;=0,RQ86,IF(RQ86&lt;=(YP86+ACC86)/DQ86,RQ86,(RQ86-G86*(YP86+ACC86))/(1-G86*DQ86))),RQ86/(1-MAX(0,DQ86)*H_Exit)))</f>
        <v>0</v>
      </c>
      <c r="VE86" s="20" t="n">
        <f aca="false">IF(AMR85&lt;=0,0,IF(H_Direct=1,IF(DR86&lt;=0,RR86,IF(RR86&lt;=(YQ86+ACD86)/DR86,RR86,(RR86-G86*(YQ86+ACD86))/(1-G86*DR86))),RR86/(1-MAX(0,DR86)*H_Exit)))</f>
        <v>0</v>
      </c>
      <c r="VF86" s="20" t="n">
        <f aca="false">IF(AMS85&lt;=0,0,IF(H_Direct=1,IF(DS86&lt;=0,RS86,IF(RS86&lt;=(YR86+ACE86)/DS86,RS86,(RS86-G86*(YR86+ACE86))/(1-G86*DS86))),RS86/(1-MAX(0,DS86)*H_Exit)))</f>
        <v>0</v>
      </c>
      <c r="VG86" s="20" t="n">
        <f aca="false">IF(AMT85&lt;=0,0,IF(H_Direct=1,IF(DT86&lt;=0,RT86,IF(RT86&lt;=(YS86+ACF86)/DT86,RT86,(RT86-G86*(YS86+ACF86))/(1-G86*DT86))),RT86/(1-MAX(0,DT86)*H_Exit)))</f>
        <v>0</v>
      </c>
      <c r="VH86" s="20" t="n">
        <f aca="false">IF(AMU85&lt;=0,0,IF(H_Direct=1,IF(DU86&lt;=0,RU86,IF(RU86&lt;=(YT86+ACG86)/DU86,RU86,(RU86-G86*(YT86+ACG86))/(1-G86*DU86))),RU86/(1-MAX(0,DU86)*H_Exit)))</f>
        <v>0</v>
      </c>
      <c r="VI86" s="20" t="n">
        <f aca="false">IF(AMV85&lt;=0,0,IF(H_Direct=1,IF(DV86&lt;=0,RV86,IF(RV86&lt;=(YU86+ACH86)/DV86,RV86,(RV86-G86*(YU86+ACH86))/(1-G86*DV86))),RV86/(1-MAX(0,DV86)*H_Exit)))</f>
        <v>0</v>
      </c>
      <c r="VJ86" s="20" t="n">
        <f aca="false">IF(AMW85&lt;=0,0,IF(H_Direct=1,IF(DW86&lt;=0,RW86,IF(RW86&lt;=(YV86+ACI86)/DW86,RW86,(RW86-G86*(YV86+ACI86))/(1-G86*DW86))),RW86/(1-MAX(0,DW86)*H_Exit)))</f>
        <v>0</v>
      </c>
      <c r="VK86" s="20" t="n">
        <f aca="false">IF(AMX85&lt;=0,0,IF(H_Direct=1,IF(DX86&lt;=0,RX86,IF(RX86&lt;=(YW86+ACJ86)/DX86,RX86,(RX86-G86*(YW86+ACJ86))/(1-G86*DX86))),RX86/(1-MAX(0,DX86)*H_Exit)))</f>
        <v>0</v>
      </c>
      <c r="VL86" s="20" t="n">
        <f aca="false">IF(AMY85&lt;=0,0,IF(H_Direct=1,IF(DY86&lt;=0,RY86,IF(RY86&lt;=(YX86+ACK86)/DY86,RY86,(RY86-G86*(YX86+ACK86))/(1-G86*DY86))),RY86/(1-MAX(0,DY86)*H_Exit)))</f>
        <v>0</v>
      </c>
      <c r="VM86" s="20" t="n">
        <f aca="false">IF(AMZ85&lt;=0,0,IF(H_Direct=1,IF(DZ86&lt;=0,RZ86,IF(RZ86&lt;=(YY86+ACL86)/DZ86,RZ86,(RZ86-G86*(YY86+ACL86))/(1-G86*DZ86))),RZ86/(1-MAX(0,DZ86)*H_Exit)))</f>
        <v>0</v>
      </c>
      <c r="VN86" s="20" t="n">
        <f aca="false">IF(ANA85&lt;=0,0,IF(H_Direct=1,IF(EA86&lt;=0,SA86,IF(SA86&lt;=(YZ86+ACM86)/EA86,SA86,(SA86-G86*(YZ86+ACM86))/(1-G86*EA86))),SA86/(1-MAX(0,EA86)*H_Exit)))</f>
        <v>0</v>
      </c>
      <c r="VO86" s="20" t="n">
        <f aca="false">IF(ANB85&lt;=0,0,IF(H_Direct=1,IF(EB86&lt;=0,SB86,IF(SB86&lt;=(ZA86+ACN86)/EB86,SB86,(SB86-G86*(ZA86+ACN86))/(1-G86*EB86))),SB86/(1-MAX(0,EB86)*H_Exit)))</f>
        <v>0</v>
      </c>
      <c r="VP86" s="20" t="n">
        <f aca="false">IF(ANC85&lt;=0,0,IF(H_Direct=1,IF(EC86&lt;=0,SC86,IF(SC86&lt;=(ZB86+ACO86)/EC86,SC86,(SC86-G86*(ZB86+ACO86))/(1-G86*EC86))),SC86/(1-MAX(0,EC86)*H_Exit)))</f>
        <v>0</v>
      </c>
      <c r="VQ86" s="20" t="n">
        <f aca="false">IF(AND85&lt;=0,0,IF(H_Direct=1,IF(ED86&lt;=0,SD86,IF(SD86&lt;=(ZC86+ACP86)/ED86,SD86,(SD86-G86*(ZC86+ACP86))/(1-G86*ED86))),SD86/(1-MAX(0,ED86)*H_Exit)))</f>
        <v>0</v>
      </c>
      <c r="VR86" s="20" t="n">
        <f aca="false">IF(ANE85&lt;=0,0,IF(H_Direct=1,IF(EE86&lt;=0,SE86,IF(SE86&lt;=(ZD86+ACQ86)/EE86,SE86,(SE86-G86*(ZD86+ACQ86))/(1-G86*EE86))),SE86/(1-MAX(0,EE86)*H_Exit)))</f>
        <v>0</v>
      </c>
      <c r="VS86" s="20" t="n">
        <f aca="false">IF(ANF85&lt;=0,0,IF(H_Direct=1,IF(EF86&lt;=0,SF86,IF(SF86&lt;=(ZE86+ACR86)/EF86,SF86,(SF86-G86*(ZE86+ACR86))/(1-G86*EF86))),SF86/(1-MAX(0,EF86)*H_Exit)))</f>
        <v>0</v>
      </c>
      <c r="VT86" s="20" t="n">
        <f aca="false">IF(ANG85&lt;=0,0,IF(H_Direct=1,IF(EG86&lt;=0,SG86,IF(SG86&lt;=(ZF86+ACS86)/EG86,SG86,(SG86-G86*(ZF86+ACS86))/(1-G86*EG86))),SG86/(1-MAX(0,EG86)*H_Exit)))</f>
        <v>0</v>
      </c>
      <c r="VU86" s="20" t="n">
        <f aca="false">IF(ANH85&lt;=0,0,IF(H_Direct=1,IF(EH86&lt;=0,SH86,IF(SH86&lt;=(ZG86+ACT86)/EH86,SH86,(SH86-G86*(ZG86+ACT86))/(1-G86*EH86))),SH86/(1-MAX(0,EH86)*H_Exit)))</f>
        <v>0</v>
      </c>
      <c r="VV86" s="20" t="n">
        <f aca="false">IF(ANI85&lt;=0,0,IF(H_Direct=1,IF(EI86&lt;=0,SI86,IF(SI86&lt;=(ZH86+ACU86)/EI86,SI86,(SI86-G86*(ZH86+ACU86))/(1-G86*EI86))),SI86/(1-MAX(0,EI86)*H_Exit)))</f>
        <v>0</v>
      </c>
      <c r="VW86" s="20" t="n">
        <f aca="false">IF(ANJ85&lt;=0,0,IF(H_Direct=1,IF(EJ86&lt;=0,SJ86,IF(SJ86&lt;=(ZI86+ACV86)/EJ86,SJ86,(SJ86-G86*(ZI86+ACV86))/(1-G86*EJ86))),SJ86/(1-MAX(0,EJ86)*H_Exit)))</f>
        <v>0</v>
      </c>
      <c r="VX86" s="20" t="n">
        <f aca="false">IF(ANK85&lt;=0,0,IF(H_Direct=1,IF(EK86&lt;=0,SK86,IF(SK86&lt;=(ZJ86+ACW86)/EK86,SK86,(SK86-G86*(ZJ86+ACW86))/(1-G86*EK86))),SK86/(1-MAX(0,EK86)*H_Exit)))</f>
        <v>0</v>
      </c>
      <c r="VY86" s="20" t="n">
        <f aca="false">IF(ANL85&lt;=0,0,IF(H_Direct=1,IF(EL86&lt;=0,SL86,IF(SL86&lt;=(ZK86+ACX86)/EL86,SL86,(SL86-G86*(ZK86+ACX86))/(1-G86*EL86))),SL86/(1-MAX(0,EL86)*H_Exit)))</f>
        <v>0</v>
      </c>
      <c r="VZ86" s="20" t="n">
        <f aca="false">IF(ANM85&lt;=0,0,IF(H_Direct=1,IF(EM86&lt;=0,SM86,IF(SM86&lt;=(ZL86+ACY86)/EM86,SM86,(SM86-G86*(ZL86+ACY86))/(1-G86*EM86))),SM86/(1-MAX(0,EM86)*H_Exit)))</f>
        <v>0</v>
      </c>
      <c r="WA86" s="20" t="n">
        <f aca="false">IF(ANN85&lt;=0,0,IF(H_Direct=1,IF(EN86&lt;=0,SN86,IF(SN86&lt;=(ZM86+ACZ86)/EN86,SN86,(SN86-G86*(ZM86+ACZ86))/(1-G86*EN86))),SN86/(1-MAX(0,EN86)*H_Exit)))</f>
        <v>0</v>
      </c>
      <c r="WB86" s="20" t="n">
        <f aca="false">IF(ANO85&lt;=0,0,IF(H_Direct=1,IF(EO86&lt;=0,SO86,IF(SO86&lt;=(ZN86+ADA86)/EO86,SO86,(SO86-G86*(ZN86+ADA86))/(1-G86*EO86))),SO86/(1-MAX(0,EO86)*H_Exit)))</f>
        <v>0</v>
      </c>
      <c r="WC86" s="20" t="n">
        <f aca="false">IF(ANP85&lt;=0,0,IF(H_Direct=1,IF(EP86&lt;=0,SP86,IF(SP86&lt;=(ZO86+ADB86)/EP86,SP86,(SP86-G86*(ZO86+ADB86))/(1-G86*EP86))),SP86/(1-MAX(0,EP86)*H_Exit)))</f>
        <v>0</v>
      </c>
      <c r="WD86" s="20" t="n">
        <f aca="false">IF(ANQ85&lt;=0,0,IF(H_Direct=1,IF(EQ86&lt;=0,SQ86,IF(SQ86&lt;=(ZP86+ADC86)/EQ86,SQ86,(SQ86-G86*(ZP86+ADC86))/(1-G86*EQ86))),SQ86/(1-MAX(0,EQ86)*H_Exit)))</f>
        <v>0</v>
      </c>
      <c r="WE86" s="20" t="n">
        <f aca="false">IF(ANR85&lt;=0,0,IF(H_Direct=1,IF(ER86&lt;=0,SR86,IF(SR86&lt;=(ZQ86+ADD86)/ER86,SR86,(SR86-G86*(ZQ86+ADD86))/(1-G86*ER86))),SR86/(1-MAX(0,ER86)*H_Exit)))</f>
        <v>0</v>
      </c>
      <c r="WF86" s="20" t="n">
        <f aca="false">IF((P86+S86)&lt;=0,0,IF(H_Direct=1,IF(ES86&lt;=0,SS86,IF(SS86&lt;=(ZR86+ADE86)/ES86,SS86,(SS86-G86*(ZR86+ADE86))/(1-G86*ES86))),SS86/(1-MAX(0,ES86)*H_Exit)))</f>
        <v>0</v>
      </c>
      <c r="WG86" s="20" t="n">
        <v>0</v>
      </c>
      <c r="WH86" s="20" t="n">
        <v>0</v>
      </c>
      <c r="WI86" s="20" t="n">
        <v>0</v>
      </c>
      <c r="WJ86" s="20" t="n">
        <v>0</v>
      </c>
      <c r="WK86" s="20" t="n">
        <v>0</v>
      </c>
      <c r="WL86" s="20" t="n">
        <v>0</v>
      </c>
      <c r="WM86" s="20" t="n">
        <v>0</v>
      </c>
      <c r="WN86" s="20" t="n">
        <v>0</v>
      </c>
      <c r="WO86" s="20" t="n">
        <v>0</v>
      </c>
      <c r="WP86" s="20" t="n">
        <v>0</v>
      </c>
      <c r="WQ86" s="20" t="n">
        <v>0</v>
      </c>
      <c r="WR86" s="20" t="n">
        <f aca="false">IF(AND(H_Direct=1,BR86&gt;0),MAX(0,H86-(MIN(BR86*TE86,(H86+I86))-MIN(MIN(BR86*TE86,(H86+I86)),I86))),H86)</f>
        <v>1270</v>
      </c>
      <c r="WS86" s="20" t="n">
        <f aca="false">IF(AND(H_Direct=1,BS86&gt;0),MAX(0,WR86-(MIN(BS86*TF86,(WR86+AAE86))-MIN(MIN(BS86*TF86,(WR86+AAE86)),AAE86))),WR86)</f>
        <v>1270</v>
      </c>
      <c r="WT86" s="20" t="n">
        <f aca="false">IF(AND(H_Direct=1,BT86&gt;0),MAX(0,WS86-(MIN(BT86*TG86,(WS86+AAF86))-MIN(MIN(BT86*TG86,(WS86+AAF86)),AAF86))),WS86)</f>
        <v>1270</v>
      </c>
      <c r="WU86" s="20" t="n">
        <f aca="false">IF(AND(H_Direct=1,BU86&gt;0),MAX(0,WT86-(MIN(BU86*TH86,(WT86+AAG86))-MIN(MIN(BU86*TH86,(WT86+AAG86)),AAG86))),WT86)</f>
        <v>1270</v>
      </c>
      <c r="WV86" s="20" t="n">
        <f aca="false">IF(AND(H_Direct=1,BV86&gt;0),MAX(0,WU86-(MIN(BV86*TI86,(WU86+AAH86))-MIN(MIN(BV86*TI86,(WU86+AAH86)),AAH86))),WU86)</f>
        <v>1270</v>
      </c>
      <c r="WW86" s="20" t="n">
        <f aca="false">IF(AND(H_Direct=1,BW86&gt;0),MAX(0,WV86-(MIN(BW86*TJ86,(WV86+AAI86))-MIN(MIN(BW86*TJ86,(WV86+AAI86)),AAI86))),WV86)</f>
        <v>1270</v>
      </c>
      <c r="WX86" s="20" t="n">
        <f aca="false">IF(AND(H_Direct=1,BX86&gt;0),MAX(0,WW86-(MIN(BX86*TK86,(WW86+AAJ86))-MIN(MIN(BX86*TK86,(WW86+AAJ86)),AAJ86))),WW86)</f>
        <v>1270</v>
      </c>
      <c r="WY86" s="20" t="n">
        <f aca="false">IF(AND(H_Direct=1,BY86&gt;0),MAX(0,WX86-(MIN(BY86*TL86,(WX86+AAK86))-MIN(MIN(BY86*TL86,(WX86+AAK86)),AAK86))),WX86)</f>
        <v>1270</v>
      </c>
      <c r="WZ86" s="20" t="n">
        <f aca="false">IF(AND(H_Direct=1,BZ86&gt;0),MAX(0,WY86-(MIN(BZ86*TM86,(WY86+AAL86))-MIN(MIN(BZ86*TM86,(WY86+AAL86)),AAL86))),WY86)</f>
        <v>1270</v>
      </c>
      <c r="XA86" s="20" t="n">
        <f aca="false">IF(AND(H_Direct=1,CA86&gt;0),MAX(0,WZ86-(MIN(CA86*TN86,(WZ86+AAM86))-MIN(MIN(CA86*TN86,(WZ86+AAM86)),AAM86))),WZ86)</f>
        <v>1270</v>
      </c>
      <c r="XB86" s="20" t="n">
        <f aca="false">IF(AND(H_Direct=1,CB86&gt;0),MAX(0,XA86-(MIN(CB86*TO86,(XA86+AAN86))-MIN(MIN(CB86*TO86,(XA86+AAN86)),AAN86))),XA86)</f>
        <v>1270</v>
      </c>
      <c r="XC86" s="20" t="n">
        <f aca="false">IF(AND(H_Direct=1,CC86&gt;0),MAX(0,XB86-(MIN(CC86*TP86,(XB86+AAO86))-MIN(MIN(CC86*TP86,(XB86+AAO86)),AAO86))),XB86)</f>
        <v>1270</v>
      </c>
      <c r="XD86" s="20" t="n">
        <f aca="false">IF(AND(H_Direct=1,CD86&gt;0),MAX(0,XC86-(MIN(CD86*TQ86,(XC86+AAP86))-MIN(MIN(CD86*TQ86,(XC86+AAP86)),AAP86))),XC86)</f>
        <v>1270</v>
      </c>
      <c r="XE86" s="20" t="n">
        <f aca="false">IF(AND(H_Direct=1,CE86&gt;0),MAX(0,XD86-(MIN(CE86*TR86,(XD86+AAQ86))-MIN(MIN(CE86*TR86,(XD86+AAQ86)),AAQ86))),XD86)</f>
        <v>1270</v>
      </c>
      <c r="XF86" s="20" t="n">
        <f aca="false">IF(AND(H_Direct=1,CF86&gt;0),MAX(0,XE86-(MIN(CF86*TS86,(XE86+AAR86))-MIN(MIN(CF86*TS86,(XE86+AAR86)),AAR86))),XE86)</f>
        <v>1270</v>
      </c>
      <c r="XG86" s="20" t="n">
        <f aca="false">IF(AND(H_Direct=1,CG86&gt;0),MAX(0,XF86-(MIN(CG86*TT86,(XF86+AAS86))-MIN(MIN(CG86*TT86,(XF86+AAS86)),AAS86))),XF86)</f>
        <v>1270</v>
      </c>
      <c r="XH86" s="20" t="n">
        <f aca="false">IF(AND(H_Direct=1,CH86&gt;0),MAX(0,XG86-(MIN(CH86*TU86,(XG86+AAT86))-MIN(MIN(CH86*TU86,(XG86+AAT86)),AAT86))),XG86)</f>
        <v>1270</v>
      </c>
      <c r="XI86" s="20" t="n">
        <f aca="false">IF(AND(H_Direct=1,CI86&gt;0),MAX(0,XH86-(MIN(CI86*TV86,(XH86+AAU86))-MIN(MIN(CI86*TV86,(XH86+AAU86)),AAU86))),XH86)</f>
        <v>1270</v>
      </c>
      <c r="XJ86" s="20" t="n">
        <f aca="false">IF(AND(H_Direct=1,CJ86&gt;0),MAX(0,XI86-(MIN(CJ86*TW86,(XI86+AAV86))-MIN(MIN(CJ86*TW86,(XI86+AAV86)),AAV86))),XI86)</f>
        <v>1270</v>
      </c>
      <c r="XK86" s="20" t="n">
        <f aca="false">IF(AND(H_Direct=1,CK86&gt;0),MAX(0,XJ86-(MIN(CK86*TX86,(XJ86+AAW86))-MIN(MIN(CK86*TX86,(XJ86+AAW86)),AAW86))),XJ86)</f>
        <v>1270</v>
      </c>
      <c r="XL86" s="20" t="n">
        <f aca="false">IF(AND(H_Direct=1,CL86&gt;0),MAX(0,XK86-(MIN(CL86*TY86,(XK86+AAX86))-MIN(MIN(CL86*TY86,(XK86+AAX86)),AAX86))),XK86)</f>
        <v>1270</v>
      </c>
      <c r="XM86" s="20" t="n">
        <f aca="false">IF(AND(H_Direct=1,CM86&gt;0),MAX(0,XL86-(MIN(CM86*TZ86,(XL86+AAY86))-MIN(MIN(CM86*TZ86,(XL86+AAY86)),AAY86))),XL86)</f>
        <v>1270</v>
      </c>
      <c r="XN86" s="20" t="n">
        <f aca="false">IF(AND(H_Direct=1,CN86&gt;0),MAX(0,XM86-(MIN(CN86*UA86,(XM86+AAZ86))-MIN(MIN(CN86*UA86,(XM86+AAZ86)),AAZ86))),XM86)</f>
        <v>1270</v>
      </c>
      <c r="XO86" s="20" t="n">
        <f aca="false">IF(AND(H_Direct=1,CO86&gt;0),MAX(0,XN86-(MIN(CO86*UB86,(XN86+ABA86))-MIN(MIN(CO86*UB86,(XN86+ABA86)),ABA86))),XN86)</f>
        <v>1270</v>
      </c>
      <c r="XP86" s="20" t="n">
        <f aca="false">IF(AND(H_Direct=1,CP86&gt;0),MAX(0,XO86-(MIN(CP86*UC86,(XO86+ABB86))-MIN(MIN(CP86*UC86,(XO86+ABB86)),ABB86))),XO86)</f>
        <v>1270</v>
      </c>
      <c r="XQ86" s="20" t="n">
        <f aca="false">IF(AND(H_Direct=1,CQ86&gt;0),MAX(0,XP86-(MIN(CQ86*UD86,(XP86+ABC86))-MIN(MIN(CQ86*UD86,(XP86+ABC86)),ABC86))),XP86)</f>
        <v>1270</v>
      </c>
      <c r="XR86" s="20" t="n">
        <f aca="false">IF(AND(H_Direct=1,CR86&gt;0),MAX(0,XQ86-(MIN(CR86*UE86,(XQ86+ABD86))-MIN(MIN(CR86*UE86,(XQ86+ABD86)),ABD86))),XQ86)</f>
        <v>1270</v>
      </c>
      <c r="XS86" s="20" t="n">
        <f aca="false">IF(AND(H_Direct=1,CS86&gt;0),MAX(0,XR86-(MIN(CS86*UF86,(XR86+ABE86))-MIN(MIN(CS86*UF86,(XR86+ABE86)),ABE86))),XR86)</f>
        <v>1270</v>
      </c>
      <c r="XT86" s="20" t="n">
        <f aca="false">IF(AND(H_Direct=1,CT86&gt;0),MAX(0,XS86-(MIN(CT86*UG86,(XS86+ABF86))-MIN(MIN(CT86*UG86,(XS86+ABF86)),ABF86))),XS86)</f>
        <v>1270</v>
      </c>
      <c r="XU86" s="20" t="n">
        <f aca="false">IF(AND(H_Direct=1,CU86&gt;0),MAX(0,XT86-(MIN(CU86*UH86,(XT86+ABG86))-MIN(MIN(CU86*UH86,(XT86+ABG86)),ABG86))),XT86)</f>
        <v>1270</v>
      </c>
      <c r="XV86" s="20" t="n">
        <f aca="false">IF(AND(H_Direct=1,CV86&gt;0),MAX(0,XU86-(MIN(CV86*UI86,(XU86+ABH86))-MIN(MIN(CV86*UI86,(XU86+ABH86)),ABH86))),XU86)</f>
        <v>1270</v>
      </c>
      <c r="XW86" s="20" t="n">
        <f aca="false">IF(AND(H_Direct=1,CW86&gt;0),MAX(0,XV86-(MIN(CW86*UJ86,(XV86+ABI86))-MIN(MIN(CW86*UJ86,(XV86+ABI86)),ABI86))),XV86)</f>
        <v>1270</v>
      </c>
      <c r="XX86" s="20" t="n">
        <f aca="false">IF(AND(H_Direct=1,CX86&gt;0),MAX(0,XW86-(MIN(CX86*UK86,(XW86+ABJ86))-MIN(MIN(CX86*UK86,(XW86+ABJ86)),ABJ86))),XW86)</f>
        <v>1270</v>
      </c>
      <c r="XY86" s="20" t="n">
        <f aca="false">IF(AND(H_Direct=1,CY86&gt;0),MAX(0,XX86-(MIN(CY86*UL86,(XX86+ABK86))-MIN(MIN(CY86*UL86,(XX86+ABK86)),ABK86))),XX86)</f>
        <v>1270</v>
      </c>
      <c r="XZ86" s="20" t="n">
        <f aca="false">IF(AND(H_Direct=1,CZ86&gt;0),MAX(0,XY86-(MIN(CZ86*UM86,(XY86+ABL86))-MIN(MIN(CZ86*UM86,(XY86+ABL86)),ABL86))),XY86)</f>
        <v>1270</v>
      </c>
      <c r="YA86" s="20" t="n">
        <f aca="false">IF(AND(H_Direct=1,DA86&gt;0),MAX(0,XZ86-(MIN(DA86*UN86,(XZ86+ABM86))-MIN(MIN(DA86*UN86,(XZ86+ABM86)),ABM86))),XZ86)</f>
        <v>1270</v>
      </c>
      <c r="YB86" s="20" t="n">
        <f aca="false">IF(AND(H_Direct=1,DB86&gt;0),MAX(0,YA86-(MIN(DB86*UO86,(YA86+ABN86))-MIN(MIN(DB86*UO86,(YA86+ABN86)),ABN86))),YA86)</f>
        <v>1270</v>
      </c>
      <c r="YC86" s="20" t="n">
        <f aca="false">IF(AND(H_Direct=1,DC86&gt;0),MAX(0,YB86-(MIN(DC86*UP86,(YB86+ABO86))-MIN(MIN(DC86*UP86,(YB86+ABO86)),ABO86))),YB86)</f>
        <v>1270</v>
      </c>
      <c r="YD86" s="20" t="n">
        <f aca="false">IF(AND(H_Direct=1,DD86&gt;0),MAX(0,YC86-(MIN(DD86*UQ86,(YC86+ABP86))-MIN(MIN(DD86*UQ86,(YC86+ABP86)),ABP86))),YC86)</f>
        <v>1270</v>
      </c>
      <c r="YE86" s="20" t="n">
        <f aca="false">IF(AND(H_Direct=1,DE86&gt;0),MAX(0,YD86-(MIN(DE86*UR86,(YD86+ABQ86))-MIN(MIN(DE86*UR86,(YD86+ABQ86)),ABQ86))),YD86)</f>
        <v>1270</v>
      </c>
      <c r="YF86" s="20" t="n">
        <f aca="false">IF(AND(H_Direct=1,DF86&gt;0),MAX(0,YE86-(MIN(DF86*US86,(YE86+ABR86))-MIN(MIN(DF86*US86,(YE86+ABR86)),ABR86))),YE86)</f>
        <v>1270</v>
      </c>
      <c r="YG86" s="20" t="n">
        <f aca="false">IF(AND(H_Direct=1,DG86&gt;0),MAX(0,YF86-(MIN(DG86*UT86,(YF86+ABS86))-MIN(MIN(DG86*UT86,(YF86+ABS86)),ABS86))),YF86)</f>
        <v>1270</v>
      </c>
      <c r="YH86" s="20" t="n">
        <f aca="false">IF(AND(H_Direct=1,DH86&gt;0),MAX(0,YG86-(MIN(DH86*UU86,(YG86+ABT86))-MIN(MIN(DH86*UU86,(YG86+ABT86)),ABT86))),YG86)</f>
        <v>1270</v>
      </c>
      <c r="YI86" s="20" t="n">
        <f aca="false">IF(AND(H_Direct=1,DI86&gt;0),MAX(0,YH86-(MIN(DI86*UV86,(YH86+ABU86))-MIN(MIN(DI86*UV86,(YH86+ABU86)),ABU86))),YH86)</f>
        <v>1270</v>
      </c>
      <c r="YJ86" s="20" t="n">
        <f aca="false">IF(AND(H_Direct=1,DJ86&gt;0),MAX(0,YI86-(MIN(DJ86*UW86,(YI86+ABV86))-MIN(MIN(DJ86*UW86,(YI86+ABV86)),ABV86))),YI86)</f>
        <v>1270</v>
      </c>
      <c r="YK86" s="20" t="n">
        <f aca="false">IF(AND(H_Direct=1,DK86&gt;0),MAX(0,YJ86-(MIN(DK86*UX86,(YJ86+ABW86))-MIN(MIN(DK86*UX86,(YJ86+ABW86)),ABW86))),YJ86)</f>
        <v>1270</v>
      </c>
      <c r="YL86" s="20" t="n">
        <f aca="false">IF(AND(H_Direct=1,DL86&gt;0),MAX(0,YK86-(MIN(DL86*UY86,(YK86+ABX86))-MIN(MIN(DL86*UY86,(YK86+ABX86)),ABX86))),YK86)</f>
        <v>1270</v>
      </c>
      <c r="YM86" s="20" t="n">
        <f aca="false">IF(AND(H_Direct=1,DM86&gt;0),MAX(0,YL86-(MIN(DM86*UZ86,(YL86+ABY86))-MIN(MIN(DM86*UZ86,(YL86+ABY86)),ABY86))),YL86)</f>
        <v>1270</v>
      </c>
      <c r="YN86" s="20" t="n">
        <f aca="false">IF(AND(H_Direct=1,DN86&gt;0),MAX(0,YM86-(MIN(DN86*VA86,(YM86+ABZ86))-MIN(MIN(DN86*VA86,(YM86+ABZ86)),ABZ86))),YM86)</f>
        <v>1270</v>
      </c>
      <c r="YO86" s="20" t="n">
        <f aca="false">IF(AND(H_Direct=1,DO86&gt;0),MAX(0,YN86-(MIN(DO86*VB86,(YN86+ACA86))-MIN(MIN(DO86*VB86,(YN86+ACA86)),ACA86))),YN86)</f>
        <v>1270</v>
      </c>
      <c r="YP86" s="20" t="n">
        <f aca="false">IF(AND(H_Direct=1,DP86&gt;0),MAX(0,YO86-(MIN(DP86*VC86,(YO86+ACB86))-MIN(MIN(DP86*VC86,(YO86+ACB86)),ACB86))),YO86)</f>
        <v>1270</v>
      </c>
      <c r="YQ86" s="20" t="n">
        <f aca="false">IF(AND(H_Direct=1,DQ86&gt;0),MAX(0,YP86-(MIN(DQ86*VD86,(YP86+ACC86))-MIN(MIN(DQ86*VD86,(YP86+ACC86)),ACC86))),YP86)</f>
        <v>1270</v>
      </c>
      <c r="YR86" s="20" t="n">
        <f aca="false">IF(AND(H_Direct=1,DR86&gt;0),MAX(0,YQ86-(MIN(DR86*VE86,(YQ86+ACD86))-MIN(MIN(DR86*VE86,(YQ86+ACD86)),ACD86))),YQ86)</f>
        <v>1270</v>
      </c>
      <c r="YS86" s="20" t="n">
        <f aca="false">IF(AND(H_Direct=1,DS86&gt;0),MAX(0,YR86-(MIN(DS86*VF86,(YR86+ACE86))-MIN(MIN(DS86*VF86,(YR86+ACE86)),ACE86))),YR86)</f>
        <v>1270</v>
      </c>
      <c r="YT86" s="20" t="n">
        <f aca="false">IF(AND(H_Direct=1,DT86&gt;0),MAX(0,YS86-(MIN(DT86*VG86,(YS86+ACF86))-MIN(MIN(DT86*VG86,(YS86+ACF86)),ACF86))),YS86)</f>
        <v>1270</v>
      </c>
      <c r="YU86" s="20" t="n">
        <f aca="false">IF(AND(H_Direct=1,DU86&gt;0),MAX(0,YT86-(MIN(DU86*VH86,(YT86+ACG86))-MIN(MIN(DU86*VH86,(YT86+ACG86)),ACG86))),YT86)</f>
        <v>1270</v>
      </c>
      <c r="YV86" s="20" t="n">
        <f aca="false">IF(AND(H_Direct=1,DV86&gt;0),MAX(0,YU86-(MIN(DV86*VI86,(YU86+ACH86))-MIN(MIN(DV86*VI86,(YU86+ACH86)),ACH86))),YU86)</f>
        <v>1270</v>
      </c>
      <c r="YW86" s="20" t="n">
        <f aca="false">IF(AND(H_Direct=1,DW86&gt;0),MAX(0,YV86-(MIN(DW86*VJ86,(YV86+ACI86))-MIN(MIN(DW86*VJ86,(YV86+ACI86)),ACI86))),YV86)</f>
        <v>1270</v>
      </c>
      <c r="YX86" s="20" t="n">
        <f aca="false">IF(AND(H_Direct=1,DX86&gt;0),MAX(0,YW86-(MIN(DX86*VK86,(YW86+ACJ86))-MIN(MIN(DX86*VK86,(YW86+ACJ86)),ACJ86))),YW86)</f>
        <v>1270</v>
      </c>
      <c r="YY86" s="20" t="n">
        <f aca="false">IF(AND(H_Direct=1,DY86&gt;0),MAX(0,YX86-(MIN(DY86*VL86,(YX86+ACK86))-MIN(MIN(DY86*VL86,(YX86+ACK86)),ACK86))),YX86)</f>
        <v>1270</v>
      </c>
      <c r="YZ86" s="20" t="n">
        <f aca="false">IF(AND(H_Direct=1,DZ86&gt;0),MAX(0,YY86-(MIN(DZ86*VM86,(YY86+ACL86))-MIN(MIN(DZ86*VM86,(YY86+ACL86)),ACL86))),YY86)</f>
        <v>1270</v>
      </c>
      <c r="ZA86" s="20" t="n">
        <f aca="false">IF(AND(H_Direct=1,EA86&gt;0),MAX(0,YZ86-(MIN(EA86*VN86,(YZ86+ACM86))-MIN(MIN(EA86*VN86,(YZ86+ACM86)),ACM86))),YZ86)</f>
        <v>1270</v>
      </c>
      <c r="ZB86" s="20" t="n">
        <f aca="false">IF(AND(H_Direct=1,EB86&gt;0),MAX(0,ZA86-(MIN(EB86*VO86,(ZA86+ACN86))-MIN(MIN(EB86*VO86,(ZA86+ACN86)),ACN86))),ZA86)</f>
        <v>1270</v>
      </c>
      <c r="ZC86" s="20" t="n">
        <f aca="false">IF(AND(H_Direct=1,EC86&gt;0),MAX(0,ZB86-(MIN(EC86*VP86,(ZB86+ACO86))-MIN(MIN(EC86*VP86,(ZB86+ACO86)),ACO86))),ZB86)</f>
        <v>1270</v>
      </c>
      <c r="ZD86" s="20" t="n">
        <f aca="false">IF(AND(H_Direct=1,ED86&gt;0),MAX(0,ZC86-(MIN(ED86*VQ86,(ZC86+ACP86))-MIN(MIN(ED86*VQ86,(ZC86+ACP86)),ACP86))),ZC86)</f>
        <v>1270</v>
      </c>
      <c r="ZE86" s="20" t="n">
        <f aca="false">IF(AND(H_Direct=1,EE86&gt;0),MAX(0,ZD86-(MIN(EE86*VR86,(ZD86+ACQ86))-MIN(MIN(EE86*VR86,(ZD86+ACQ86)),ACQ86))),ZD86)</f>
        <v>1270</v>
      </c>
      <c r="ZF86" s="20" t="n">
        <f aca="false">IF(AND(H_Direct=1,EF86&gt;0),MAX(0,ZE86-(MIN(EF86*VS86,(ZE86+ACR86))-MIN(MIN(EF86*VS86,(ZE86+ACR86)),ACR86))),ZE86)</f>
        <v>1270</v>
      </c>
      <c r="ZG86" s="20" t="n">
        <f aca="false">IF(AND(H_Direct=1,EG86&gt;0),MAX(0,ZF86-(MIN(EG86*VT86,(ZF86+ACS86))-MIN(MIN(EG86*VT86,(ZF86+ACS86)),ACS86))),ZF86)</f>
        <v>1270</v>
      </c>
      <c r="ZH86" s="20" t="n">
        <f aca="false">IF(AND(H_Direct=1,EH86&gt;0),MAX(0,ZG86-(MIN(EH86*VU86,(ZG86+ACT86))-MIN(MIN(EH86*VU86,(ZG86+ACT86)),ACT86))),ZG86)</f>
        <v>1270</v>
      </c>
      <c r="ZI86" s="20" t="n">
        <f aca="false">IF(AND(H_Direct=1,EI86&gt;0),MAX(0,ZH86-(MIN(EI86*VV86,(ZH86+ACU86))-MIN(MIN(EI86*VV86,(ZH86+ACU86)),ACU86))),ZH86)</f>
        <v>1270</v>
      </c>
      <c r="ZJ86" s="20" t="n">
        <f aca="false">IF(AND(H_Direct=1,EJ86&gt;0),MAX(0,ZI86-(MIN(EJ86*VW86,(ZI86+ACV86))-MIN(MIN(EJ86*VW86,(ZI86+ACV86)),ACV86))),ZI86)</f>
        <v>1270</v>
      </c>
      <c r="ZK86" s="20" t="n">
        <f aca="false">IF(AND(H_Direct=1,EK86&gt;0),MAX(0,ZJ86-(MIN(EK86*VX86,(ZJ86+ACW86))-MIN(MIN(EK86*VX86,(ZJ86+ACW86)),ACW86))),ZJ86)</f>
        <v>1270</v>
      </c>
      <c r="ZL86" s="20" t="n">
        <f aca="false">IF(AND(H_Direct=1,EL86&gt;0),MAX(0,ZK86-(MIN(EL86*VY86,(ZK86+ACX86))-MIN(MIN(EL86*VY86,(ZK86+ACX86)),ACX86))),ZK86)</f>
        <v>1270</v>
      </c>
      <c r="ZM86" s="20" t="n">
        <f aca="false">IF(AND(H_Direct=1,EM86&gt;0),MAX(0,ZL86-(MIN(EM86*VZ86,(ZL86+ACY86))-MIN(MIN(EM86*VZ86,(ZL86+ACY86)),ACY86))),ZL86)</f>
        <v>1270</v>
      </c>
      <c r="ZN86" s="20" t="n">
        <f aca="false">IF(AND(H_Direct=1,EN86&gt;0),MAX(0,ZM86-(MIN(EN86*WA86,(ZM86+ACZ86))-MIN(MIN(EN86*WA86,(ZM86+ACZ86)),ACZ86))),ZM86)</f>
        <v>1270</v>
      </c>
      <c r="ZO86" s="20" t="n">
        <f aca="false">IF(AND(H_Direct=1,EO86&gt;0),MAX(0,ZN86-(MIN(EO86*WB86,(ZN86+ADA86))-MIN(MIN(EO86*WB86,(ZN86+ADA86)),ADA86))),ZN86)</f>
        <v>1270</v>
      </c>
      <c r="ZP86" s="20" t="n">
        <f aca="false">IF(AND(H_Direct=1,EP86&gt;0),MAX(0,ZO86-(MIN(EP86*WC86,(ZO86+ADB86))-MIN(MIN(EP86*WC86,(ZO86+ADB86)),ADB86))),ZO86)</f>
        <v>1270</v>
      </c>
      <c r="ZQ86" s="20" t="n">
        <f aca="false">IF(AND(H_Direct=1,EQ86&gt;0),MAX(0,ZP86-(MIN(EQ86*WD86,(ZP86+ADC86))-MIN(MIN(EQ86*WD86,(ZP86+ADC86)),ADC86))),ZP86)</f>
        <v>1270</v>
      </c>
      <c r="ZR86" s="20" t="n">
        <f aca="false">IF(AND(H_Direct=1,ER86&gt;0),MAX(0,ZQ86-(MIN(ER86*WE86,(ZQ86+ADD86))-MIN(MIN(ER86*WE86,(ZQ86+ADD86)),ADD86))),ZQ86)</f>
        <v>1270</v>
      </c>
      <c r="ZS86" s="20" t="n">
        <f aca="false">IF(AND(H_Direct=1,ES86&gt;0),MAX(0,ZR86-(MIN(ES86*WF86,(ZR86+ADE86))-MIN(MIN(ES86*WF86,(ZR86+ADE86)),ADE86))),ZR86)</f>
        <v>1270</v>
      </c>
      <c r="ZT86" s="20" t="n">
        <f aca="false">ZS86</f>
        <v>1270</v>
      </c>
      <c r="ZU86" s="20" t="n">
        <f aca="false">ZT86</f>
        <v>1270</v>
      </c>
      <c r="ZV86" s="20" t="n">
        <f aca="false">ZU86</f>
        <v>1270</v>
      </c>
      <c r="ZW86" s="20" t="n">
        <f aca="false">ZV86</f>
        <v>1270</v>
      </c>
      <c r="ZX86" s="20" t="n">
        <f aca="false">ZW86</f>
        <v>1270</v>
      </c>
      <c r="ZY86" s="20" t="n">
        <f aca="false">ZX86</f>
        <v>1270</v>
      </c>
      <c r="ZZ86" s="20" t="n">
        <f aca="false">ZY86</f>
        <v>1270</v>
      </c>
      <c r="AAA86" s="20" t="n">
        <f aca="false">ZZ86</f>
        <v>1270</v>
      </c>
      <c r="AAB86" s="20" t="n">
        <f aca="false">AAA86</f>
        <v>1270</v>
      </c>
      <c r="AAC86" s="20" t="n">
        <f aca="false">AAB86</f>
        <v>1270</v>
      </c>
      <c r="AAD86" s="20" t="n">
        <f aca="false">AAC86</f>
        <v>1270</v>
      </c>
      <c r="AAE86" s="20" t="n">
        <f aca="false">IF(H_Direct=1,IF(BR86&lt;=0,I86-BR86*TE86,I86-MIN(MIN(BR86*TE86,(H86+I86)),I86)),I86)</f>
        <v>0</v>
      </c>
      <c r="AAF86" s="20" t="n">
        <f aca="false">IF(H_Direct=1,IF(BS86&lt;=0,AAE86-BS86*TF86,AAE86-MIN(MIN(BS86*TF86,(WR86+AAE86)),AAE86)),AAE86)</f>
        <v>0</v>
      </c>
      <c r="AAG86" s="20" t="n">
        <f aca="false">IF(H_Direct=1,IF(BT86&lt;=0,AAF86-BT86*TG86,AAF86-MIN(MIN(BT86*TG86,(WS86+AAF86)),AAF86)),AAF86)</f>
        <v>0</v>
      </c>
      <c r="AAH86" s="20" t="n">
        <f aca="false">IF(H_Direct=1,IF(BU86&lt;=0,AAG86-BU86*TH86,AAG86-MIN(MIN(BU86*TH86,(WT86+AAG86)),AAG86)),AAG86)</f>
        <v>0</v>
      </c>
      <c r="AAI86" s="20" t="n">
        <f aca="false">IF(H_Direct=1,IF(BV86&lt;=0,AAH86-BV86*TI86,AAH86-MIN(MIN(BV86*TI86,(WU86+AAH86)),AAH86)),AAH86)</f>
        <v>0</v>
      </c>
      <c r="AAJ86" s="20" t="n">
        <f aca="false">IF(H_Direct=1,IF(BW86&lt;=0,AAI86-BW86*TJ86,AAI86-MIN(MIN(BW86*TJ86,(WV86+AAI86)),AAI86)),AAI86)</f>
        <v>0</v>
      </c>
      <c r="AAK86" s="20" t="n">
        <f aca="false">IF(H_Direct=1,IF(BX86&lt;=0,AAJ86-BX86*TK86,AAJ86-MIN(MIN(BX86*TK86,(WW86+AAJ86)),AAJ86)),AAJ86)</f>
        <v>0</v>
      </c>
      <c r="AAL86" s="20" t="n">
        <f aca="false">IF(H_Direct=1,IF(BY86&lt;=0,AAK86-BY86*TL86,AAK86-MIN(MIN(BY86*TL86,(WX86+AAK86)),AAK86)),AAK86)</f>
        <v>0</v>
      </c>
      <c r="AAM86" s="20" t="n">
        <f aca="false">IF(H_Direct=1,IF(BZ86&lt;=0,AAL86-BZ86*TM86,AAL86-MIN(MIN(BZ86*TM86,(WY86+AAL86)),AAL86)),AAL86)</f>
        <v>0</v>
      </c>
      <c r="AAN86" s="20" t="n">
        <f aca="false">IF(H_Direct=1,IF(CA86&lt;=0,AAM86-CA86*TN86,AAM86-MIN(MIN(CA86*TN86,(WZ86+AAM86)),AAM86)),AAM86)</f>
        <v>0</v>
      </c>
      <c r="AAO86" s="20" t="n">
        <f aca="false">IF(H_Direct=1,IF(CB86&lt;=0,AAN86-CB86*TO86,AAN86-MIN(MIN(CB86*TO86,(XA86+AAN86)),AAN86)),AAN86)</f>
        <v>0</v>
      </c>
      <c r="AAP86" s="20" t="n">
        <f aca="false">IF(H_Direct=1,IF(CC86&lt;=0,AAO86-CC86*TP86,AAO86-MIN(MIN(CC86*TP86,(XB86+AAO86)),AAO86)),AAO86)</f>
        <v>0</v>
      </c>
      <c r="AAQ86" s="20" t="n">
        <f aca="false">IF(H_Direct=1,IF(CD86&lt;=0,AAP86-CD86*TQ86,AAP86-MIN(MIN(CD86*TQ86,(XC86+AAP86)),AAP86)),AAP86)</f>
        <v>0</v>
      </c>
      <c r="AAR86" s="20" t="n">
        <f aca="false">IF(H_Direct=1,IF(CE86&lt;=0,AAQ86-CE86*TR86,AAQ86-MIN(MIN(CE86*TR86,(XD86+AAQ86)),AAQ86)),AAQ86)</f>
        <v>0</v>
      </c>
      <c r="AAS86" s="20" t="n">
        <f aca="false">IF(H_Direct=1,IF(CF86&lt;=0,AAR86-CF86*TS86,AAR86-MIN(MIN(CF86*TS86,(XE86+AAR86)),AAR86)),AAR86)</f>
        <v>0</v>
      </c>
      <c r="AAT86" s="20" t="n">
        <f aca="false">IF(H_Direct=1,IF(CG86&lt;=0,AAS86-CG86*TT86,AAS86-MIN(MIN(CG86*TT86,(XF86+AAS86)),AAS86)),AAS86)</f>
        <v>0</v>
      </c>
      <c r="AAU86" s="20" t="n">
        <f aca="false">IF(H_Direct=1,IF(CH86&lt;=0,AAT86-CH86*TU86,AAT86-MIN(MIN(CH86*TU86,(XG86+AAT86)),AAT86)),AAT86)</f>
        <v>0</v>
      </c>
      <c r="AAV86" s="20" t="n">
        <f aca="false">IF(H_Direct=1,IF(CI86&lt;=0,AAU86-CI86*TV86,AAU86-MIN(MIN(CI86*TV86,(XH86+AAU86)),AAU86)),AAU86)</f>
        <v>0</v>
      </c>
      <c r="AAW86" s="20" t="n">
        <f aca="false">IF(H_Direct=1,IF(CJ86&lt;=0,AAV86-CJ86*TW86,AAV86-MIN(MIN(CJ86*TW86,(XI86+AAV86)),AAV86)),AAV86)</f>
        <v>0</v>
      </c>
      <c r="AAX86" s="20" t="n">
        <f aca="false">IF(H_Direct=1,IF(CK86&lt;=0,AAW86-CK86*TX86,AAW86-MIN(MIN(CK86*TX86,(XJ86+AAW86)),AAW86)),AAW86)</f>
        <v>0</v>
      </c>
      <c r="AAY86" s="20" t="n">
        <f aca="false">IF(H_Direct=1,IF(CL86&lt;=0,AAX86-CL86*TY86,AAX86-MIN(MIN(CL86*TY86,(XK86+AAX86)),AAX86)),AAX86)</f>
        <v>0</v>
      </c>
      <c r="AAZ86" s="20" t="n">
        <f aca="false">IF(H_Direct=1,IF(CM86&lt;=0,AAY86-CM86*TZ86,AAY86-MIN(MIN(CM86*TZ86,(XL86+AAY86)),AAY86)),AAY86)</f>
        <v>0</v>
      </c>
      <c r="ABA86" s="20" t="n">
        <f aca="false">IF(H_Direct=1,IF(CN86&lt;=0,AAZ86-CN86*UA86,AAZ86-MIN(MIN(CN86*UA86,(XM86+AAZ86)),AAZ86)),AAZ86)</f>
        <v>0</v>
      </c>
      <c r="ABB86" s="20" t="n">
        <f aca="false">IF(H_Direct=1,IF(CO86&lt;=0,ABA86-CO86*UB86,ABA86-MIN(MIN(CO86*UB86,(XN86+ABA86)),ABA86)),ABA86)</f>
        <v>0</v>
      </c>
      <c r="ABC86" s="20" t="n">
        <f aca="false">IF(H_Direct=1,IF(CP86&lt;=0,ABB86-CP86*UC86,ABB86-MIN(MIN(CP86*UC86,(XO86+ABB86)),ABB86)),ABB86)</f>
        <v>0</v>
      </c>
      <c r="ABD86" s="20" t="n">
        <f aca="false">IF(H_Direct=1,IF(CQ86&lt;=0,ABC86-CQ86*UD86,ABC86-MIN(MIN(CQ86*UD86,(XP86+ABC86)),ABC86)),ABC86)</f>
        <v>0</v>
      </c>
      <c r="ABE86" s="20" t="n">
        <f aca="false">IF(H_Direct=1,IF(CR86&lt;=0,ABD86-CR86*UE86,ABD86-MIN(MIN(CR86*UE86,(XQ86+ABD86)),ABD86)),ABD86)</f>
        <v>0</v>
      </c>
      <c r="ABF86" s="20" t="n">
        <f aca="false">IF(H_Direct=1,IF(CS86&lt;=0,ABE86-CS86*UF86,ABE86-MIN(MIN(CS86*UF86,(XR86+ABE86)),ABE86)),ABE86)</f>
        <v>0</v>
      </c>
      <c r="ABG86" s="20" t="n">
        <f aca="false">IF(H_Direct=1,IF(CT86&lt;=0,ABF86-CT86*UG86,ABF86-MIN(MIN(CT86*UG86,(XS86+ABF86)),ABF86)),ABF86)</f>
        <v>0</v>
      </c>
      <c r="ABH86" s="20" t="n">
        <f aca="false">IF(H_Direct=1,IF(CU86&lt;=0,ABG86-CU86*UH86,ABG86-MIN(MIN(CU86*UH86,(XT86+ABG86)),ABG86)),ABG86)</f>
        <v>0</v>
      </c>
      <c r="ABI86" s="20" t="n">
        <f aca="false">IF(H_Direct=1,IF(CV86&lt;=0,ABH86-CV86*UI86,ABH86-MIN(MIN(CV86*UI86,(XU86+ABH86)),ABH86)),ABH86)</f>
        <v>0</v>
      </c>
      <c r="ABJ86" s="20" t="n">
        <f aca="false">IF(H_Direct=1,IF(CW86&lt;=0,ABI86-CW86*UJ86,ABI86-MIN(MIN(CW86*UJ86,(XV86+ABI86)),ABI86)),ABI86)</f>
        <v>0</v>
      </c>
      <c r="ABK86" s="20" t="n">
        <f aca="false">IF(H_Direct=1,IF(CX86&lt;=0,ABJ86-CX86*UK86,ABJ86-MIN(MIN(CX86*UK86,(XW86+ABJ86)),ABJ86)),ABJ86)</f>
        <v>0</v>
      </c>
      <c r="ABL86" s="20" t="n">
        <f aca="false">IF(H_Direct=1,IF(CY86&lt;=0,ABK86-CY86*UL86,ABK86-MIN(MIN(CY86*UL86,(XX86+ABK86)),ABK86)),ABK86)</f>
        <v>0</v>
      </c>
      <c r="ABM86" s="20" t="n">
        <f aca="false">IF(H_Direct=1,IF(CZ86&lt;=0,ABL86-CZ86*UM86,ABL86-MIN(MIN(CZ86*UM86,(XY86+ABL86)),ABL86)),ABL86)</f>
        <v>0</v>
      </c>
      <c r="ABN86" s="20" t="n">
        <f aca="false">IF(H_Direct=1,IF(DA86&lt;=0,ABM86-DA86*UN86,ABM86-MIN(MIN(DA86*UN86,(XZ86+ABM86)),ABM86)),ABM86)</f>
        <v>0</v>
      </c>
      <c r="ABO86" s="20" t="n">
        <f aca="false">IF(H_Direct=1,IF(DB86&lt;=0,ABN86-DB86*UO86,ABN86-MIN(MIN(DB86*UO86,(YA86+ABN86)),ABN86)),ABN86)</f>
        <v>0</v>
      </c>
      <c r="ABP86" s="20" t="n">
        <f aca="false">IF(H_Direct=1,IF(DC86&lt;=0,ABO86-DC86*UP86,ABO86-MIN(MIN(DC86*UP86,(YB86+ABO86)),ABO86)),ABO86)</f>
        <v>0</v>
      </c>
      <c r="ABQ86" s="20" t="n">
        <f aca="false">IF(H_Direct=1,IF(DD86&lt;=0,ABP86-DD86*UQ86,ABP86-MIN(MIN(DD86*UQ86,(YC86+ABP86)),ABP86)),ABP86)</f>
        <v>0</v>
      </c>
      <c r="ABR86" s="20" t="n">
        <f aca="false">IF(H_Direct=1,IF(DE86&lt;=0,ABQ86-DE86*UR86,ABQ86-MIN(MIN(DE86*UR86,(YD86+ABQ86)),ABQ86)),ABQ86)</f>
        <v>0</v>
      </c>
      <c r="ABS86" s="20" t="n">
        <f aca="false">IF(H_Direct=1,IF(DF86&lt;=0,ABR86-DF86*US86,ABR86-MIN(MIN(DF86*US86,(YE86+ABR86)),ABR86)),ABR86)</f>
        <v>0</v>
      </c>
      <c r="ABT86" s="20" t="n">
        <f aca="false">IF(H_Direct=1,IF(DG86&lt;=0,ABS86-DG86*UT86,ABS86-MIN(MIN(DG86*UT86,(YF86+ABS86)),ABS86)),ABS86)</f>
        <v>0</v>
      </c>
      <c r="ABU86" s="20" t="n">
        <f aca="false">IF(H_Direct=1,IF(DH86&lt;=0,ABT86-DH86*UU86,ABT86-MIN(MIN(DH86*UU86,(YG86+ABT86)),ABT86)),ABT86)</f>
        <v>0</v>
      </c>
      <c r="ABV86" s="20" t="n">
        <f aca="false">IF(H_Direct=1,IF(DI86&lt;=0,ABU86-DI86*UV86,ABU86-MIN(MIN(DI86*UV86,(YH86+ABU86)),ABU86)),ABU86)</f>
        <v>0</v>
      </c>
      <c r="ABW86" s="20" t="n">
        <f aca="false">IF(H_Direct=1,IF(DJ86&lt;=0,ABV86-DJ86*UW86,ABV86-MIN(MIN(DJ86*UW86,(YI86+ABV86)),ABV86)),ABV86)</f>
        <v>0</v>
      </c>
      <c r="ABX86" s="20" t="n">
        <f aca="false">IF(H_Direct=1,IF(DK86&lt;=0,ABW86-DK86*UX86,ABW86-MIN(MIN(DK86*UX86,(YJ86+ABW86)),ABW86)),ABW86)</f>
        <v>0</v>
      </c>
      <c r="ABY86" s="20" t="n">
        <f aca="false">IF(H_Direct=1,IF(DL86&lt;=0,ABX86-DL86*UY86,ABX86-MIN(MIN(DL86*UY86,(YK86+ABX86)),ABX86)),ABX86)</f>
        <v>0</v>
      </c>
      <c r="ABZ86" s="20" t="n">
        <f aca="false">IF(H_Direct=1,IF(DM86&lt;=0,ABY86-DM86*UZ86,ABY86-MIN(MIN(DM86*UZ86,(YL86+ABY86)),ABY86)),ABY86)</f>
        <v>0</v>
      </c>
      <c r="ACA86" s="20" t="n">
        <f aca="false">IF(H_Direct=1,IF(DN86&lt;=0,ABZ86-DN86*VA86,ABZ86-MIN(MIN(DN86*VA86,(YM86+ABZ86)),ABZ86)),ABZ86)</f>
        <v>0</v>
      </c>
      <c r="ACB86" s="20" t="n">
        <f aca="false">IF(H_Direct=1,IF(DO86&lt;=0,ACA86-DO86*VB86,ACA86-MIN(MIN(DO86*VB86,(YN86+ACA86)),ACA86)),ACA86)</f>
        <v>0</v>
      </c>
      <c r="ACC86" s="20" t="n">
        <f aca="false">IF(H_Direct=1,IF(DP86&lt;=0,ACB86-DP86*VC86,ACB86-MIN(MIN(DP86*VC86,(YO86+ACB86)),ACB86)),ACB86)</f>
        <v>0</v>
      </c>
      <c r="ACD86" s="20" t="n">
        <f aca="false">IF(H_Direct=1,IF(DQ86&lt;=0,ACC86-DQ86*VD86,ACC86-MIN(MIN(DQ86*VD86,(YP86+ACC86)),ACC86)),ACC86)</f>
        <v>0</v>
      </c>
      <c r="ACE86" s="20" t="n">
        <f aca="false">IF(H_Direct=1,IF(DR86&lt;=0,ACD86-DR86*VE86,ACD86-MIN(MIN(DR86*VE86,(YQ86+ACD86)),ACD86)),ACD86)</f>
        <v>0</v>
      </c>
      <c r="ACF86" s="20" t="n">
        <f aca="false">IF(H_Direct=1,IF(DS86&lt;=0,ACE86-DS86*VF86,ACE86-MIN(MIN(DS86*VF86,(YR86+ACE86)),ACE86)),ACE86)</f>
        <v>0</v>
      </c>
      <c r="ACG86" s="20" t="n">
        <f aca="false">IF(H_Direct=1,IF(DT86&lt;=0,ACF86-DT86*VG86,ACF86-MIN(MIN(DT86*VG86,(YS86+ACF86)),ACF86)),ACF86)</f>
        <v>0</v>
      </c>
      <c r="ACH86" s="20" t="n">
        <f aca="false">IF(H_Direct=1,IF(DU86&lt;=0,ACG86-DU86*VH86,ACG86-MIN(MIN(DU86*VH86,(YT86+ACG86)),ACG86)),ACG86)</f>
        <v>0</v>
      </c>
      <c r="ACI86" s="20" t="n">
        <f aca="false">IF(H_Direct=1,IF(DV86&lt;=0,ACH86-DV86*VI86,ACH86-MIN(MIN(DV86*VI86,(YU86+ACH86)),ACH86)),ACH86)</f>
        <v>0</v>
      </c>
      <c r="ACJ86" s="20" t="n">
        <f aca="false">IF(H_Direct=1,IF(DW86&lt;=0,ACI86-DW86*VJ86,ACI86-MIN(MIN(DW86*VJ86,(YV86+ACI86)),ACI86)),ACI86)</f>
        <v>0</v>
      </c>
      <c r="ACK86" s="20" t="n">
        <f aca="false">IF(H_Direct=1,IF(DX86&lt;=0,ACJ86-DX86*VK86,ACJ86-MIN(MIN(DX86*VK86,(YW86+ACJ86)),ACJ86)),ACJ86)</f>
        <v>0</v>
      </c>
      <c r="ACL86" s="20" t="n">
        <f aca="false">IF(H_Direct=1,IF(DY86&lt;=0,ACK86-DY86*VL86,ACK86-MIN(MIN(DY86*VL86,(YX86+ACK86)),ACK86)),ACK86)</f>
        <v>0</v>
      </c>
      <c r="ACM86" s="20" t="n">
        <f aca="false">IF(H_Direct=1,IF(DZ86&lt;=0,ACL86-DZ86*VM86,ACL86-MIN(MIN(DZ86*VM86,(YY86+ACL86)),ACL86)),ACL86)</f>
        <v>0</v>
      </c>
      <c r="ACN86" s="20" t="n">
        <f aca="false">IF(H_Direct=1,IF(EA86&lt;=0,ACM86-EA86*VN86,ACM86-MIN(MIN(EA86*VN86,(YZ86+ACM86)),ACM86)),ACM86)</f>
        <v>0</v>
      </c>
      <c r="ACO86" s="20" t="n">
        <f aca="false">IF(H_Direct=1,IF(EB86&lt;=0,ACN86-EB86*VO86,ACN86-MIN(MIN(EB86*VO86,(ZA86+ACN86)),ACN86)),ACN86)</f>
        <v>0</v>
      </c>
      <c r="ACP86" s="20" t="n">
        <f aca="false">IF(H_Direct=1,IF(EC86&lt;=0,ACO86-EC86*VP86,ACO86-MIN(MIN(EC86*VP86,(ZB86+ACO86)),ACO86)),ACO86)</f>
        <v>0</v>
      </c>
      <c r="ACQ86" s="20" t="n">
        <f aca="false">IF(H_Direct=1,IF(ED86&lt;=0,ACP86-ED86*VQ86,ACP86-MIN(MIN(ED86*VQ86,(ZC86+ACP86)),ACP86)),ACP86)</f>
        <v>0</v>
      </c>
      <c r="ACR86" s="20" t="n">
        <f aca="false">IF(H_Direct=1,IF(EE86&lt;=0,ACQ86-EE86*VR86,ACQ86-MIN(MIN(EE86*VR86,(ZD86+ACQ86)),ACQ86)),ACQ86)</f>
        <v>0</v>
      </c>
      <c r="ACS86" s="20" t="n">
        <f aca="false">IF(H_Direct=1,IF(EF86&lt;=0,ACR86-EF86*VS86,ACR86-MIN(MIN(EF86*VS86,(ZE86+ACR86)),ACR86)),ACR86)</f>
        <v>0</v>
      </c>
      <c r="ACT86" s="20" t="n">
        <f aca="false">IF(H_Direct=1,IF(EG86&lt;=0,ACS86-EG86*VT86,ACS86-MIN(MIN(EG86*VT86,(ZF86+ACS86)),ACS86)),ACS86)</f>
        <v>0</v>
      </c>
      <c r="ACU86" s="20" t="n">
        <f aca="false">IF(H_Direct=1,IF(EH86&lt;=0,ACT86-EH86*VU86,ACT86-MIN(MIN(EH86*VU86,(ZG86+ACT86)),ACT86)),ACT86)</f>
        <v>0</v>
      </c>
      <c r="ACV86" s="20" t="n">
        <f aca="false">IF(H_Direct=1,IF(EI86&lt;=0,ACU86-EI86*VV86,ACU86-MIN(MIN(EI86*VV86,(ZH86+ACU86)),ACU86)),ACU86)</f>
        <v>0</v>
      </c>
      <c r="ACW86" s="20" t="n">
        <f aca="false">IF(H_Direct=1,IF(EJ86&lt;=0,ACV86-EJ86*VW86,ACV86-MIN(MIN(EJ86*VW86,(ZI86+ACV86)),ACV86)),ACV86)</f>
        <v>0</v>
      </c>
      <c r="ACX86" s="20" t="n">
        <f aca="false">IF(H_Direct=1,IF(EK86&lt;=0,ACW86-EK86*VX86,ACW86-MIN(MIN(EK86*VX86,(ZJ86+ACW86)),ACW86)),ACW86)</f>
        <v>0</v>
      </c>
      <c r="ACY86" s="20" t="n">
        <f aca="false">IF(H_Direct=1,IF(EL86&lt;=0,ACX86-EL86*VY86,ACX86-MIN(MIN(EL86*VY86,(ZK86+ACX86)),ACX86)),ACX86)</f>
        <v>0</v>
      </c>
      <c r="ACZ86" s="20" t="n">
        <f aca="false">IF(H_Direct=1,IF(EM86&lt;=0,ACY86-EM86*VZ86,ACY86-MIN(MIN(EM86*VZ86,(ZL86+ACY86)),ACY86)),ACY86)</f>
        <v>0</v>
      </c>
      <c r="ADA86" s="20" t="n">
        <f aca="false">IF(H_Direct=1,IF(EN86&lt;=0,ACZ86-EN86*WA86,ACZ86-MIN(MIN(EN86*WA86,(ZM86+ACZ86)),ACZ86)),ACZ86)</f>
        <v>0</v>
      </c>
      <c r="ADB86" s="20" t="n">
        <f aca="false">IF(H_Direct=1,IF(EO86&lt;=0,ADA86-EO86*WB86,ADA86-MIN(MIN(EO86*WB86,(ZN86+ADA86)),ADA86)),ADA86)</f>
        <v>0</v>
      </c>
      <c r="ADC86" s="20" t="n">
        <f aca="false">IF(H_Direct=1,IF(EP86&lt;=0,ADB86-EP86*WC86,ADB86-MIN(MIN(EP86*WC86,(ZO86+ADB86)),ADB86)),ADB86)</f>
        <v>0</v>
      </c>
      <c r="ADD86" s="20" t="n">
        <f aca="false">IF(H_Direct=1,IF(EQ86&lt;=0,ADC86-EQ86*WD86,ADC86-MIN(MIN(EQ86*WD86,(ZP86+ADC86)),ADC86)),ADC86)</f>
        <v>0</v>
      </c>
      <c r="ADE86" s="20" t="n">
        <f aca="false">IF(H_Direct=1,IF(ER86&lt;=0,ADD86-ER86*WE86,ADD86-MIN(MIN(ER86*WE86,(ZQ86+ADD86)),ADD86)),ADD86)</f>
        <v>0</v>
      </c>
      <c r="ADF86" s="20" t="n">
        <f aca="false">IF(H_Direct=1,IF(ES86&lt;=0,ADE86-ES86*WF86,ADE86-MIN(MIN(ES86*WF86,(ZR86+ADE86)),ADE86)),ADE86)</f>
        <v>0</v>
      </c>
      <c r="ADG86" s="20" t="n">
        <f aca="false">ADF86</f>
        <v>0</v>
      </c>
      <c r="ADH86" s="20" t="n">
        <f aca="false">ADG86</f>
        <v>0</v>
      </c>
      <c r="ADI86" s="20" t="n">
        <f aca="false">ADH86</f>
        <v>0</v>
      </c>
      <c r="ADJ86" s="20" t="n">
        <f aca="false">ADI86</f>
        <v>0</v>
      </c>
      <c r="ADK86" s="20" t="n">
        <f aca="false">ADJ86</f>
        <v>0</v>
      </c>
      <c r="ADL86" s="20" t="n">
        <f aca="false">ADK86</f>
        <v>0</v>
      </c>
      <c r="ADM86" s="20" t="n">
        <f aca="false">ADL86</f>
        <v>0</v>
      </c>
      <c r="ADN86" s="20" t="n">
        <f aca="false">ADM86</f>
        <v>0</v>
      </c>
      <c r="ADO86" s="20" t="n">
        <f aca="false">ADN86</f>
        <v>0</v>
      </c>
      <c r="ADP86" s="20" t="n">
        <f aca="false">ADO86</f>
        <v>0</v>
      </c>
      <c r="ADQ86" s="20" t="n">
        <f aca="false">ADP86</f>
        <v>0</v>
      </c>
      <c r="ADR86" s="20" t="n">
        <f aca="false">(AKR85-TE86+0)*(1+BQ86)</f>
        <v>0</v>
      </c>
      <c r="ADS86" s="20" t="n">
        <f aca="false">(AKS85-TF86+0)*(1+BQ86)</f>
        <v>0</v>
      </c>
      <c r="ADT86" s="20" t="n">
        <f aca="false">(AKT85-TG86+0)*(1+BQ86)</f>
        <v>0</v>
      </c>
      <c r="ADU86" s="20" t="n">
        <f aca="false">(AKU85-TH86+0)*(1+BQ86)</f>
        <v>0</v>
      </c>
      <c r="ADV86" s="20" t="n">
        <f aca="false">(AKV85-TI86+0)*(1+BQ86)</f>
        <v>0</v>
      </c>
      <c r="ADW86" s="20" t="n">
        <f aca="false">(AKW85-TJ86+0)*(1+BQ86)</f>
        <v>0</v>
      </c>
      <c r="ADX86" s="20" t="n">
        <f aca="false">(AKX85-TK86+0)*(1+BQ86)</f>
        <v>0</v>
      </c>
      <c r="ADY86" s="20" t="n">
        <f aca="false">(AKY85-TL86+0)*(1+BQ86)</f>
        <v>0</v>
      </c>
      <c r="ADZ86" s="20" t="n">
        <f aca="false">(AKZ85-TM86+0)*(1+BQ86)</f>
        <v>0</v>
      </c>
      <c r="AEA86" s="20" t="n">
        <f aca="false">(ALA85-TN86+0)*(1+BQ86)</f>
        <v>0</v>
      </c>
      <c r="AEB86" s="20" t="n">
        <f aca="false">(ALB85-TO86+0)*(1+BQ86)</f>
        <v>0</v>
      </c>
      <c r="AEC86" s="20" t="n">
        <f aca="false">(ALC85-TP86+0)*(1+BQ86)</f>
        <v>0</v>
      </c>
      <c r="AED86" s="20" t="n">
        <f aca="false">(ALD85-TQ86+0)*(1+BQ86)</f>
        <v>0</v>
      </c>
      <c r="AEE86" s="20" t="n">
        <f aca="false">(ALE85-TR86+0)*(1+BQ86)</f>
        <v>0</v>
      </c>
      <c r="AEF86" s="20" t="n">
        <f aca="false">(ALF85-TS86+0)*(1+BQ86)</f>
        <v>0</v>
      </c>
      <c r="AEG86" s="20" t="n">
        <f aca="false">(ALG85-TT86+0)*(1+BQ86)</f>
        <v>0</v>
      </c>
      <c r="AEH86" s="20" t="n">
        <f aca="false">(ALH85-TU86+0)*(1+BQ86)</f>
        <v>0</v>
      </c>
      <c r="AEI86" s="20" t="n">
        <f aca="false">(ALI85-TV86+0)*(1+BQ86)</f>
        <v>0</v>
      </c>
      <c r="AEJ86" s="20" t="n">
        <f aca="false">(ALJ85-TW86+0)*(1+BQ86)</f>
        <v>0</v>
      </c>
      <c r="AEK86" s="20" t="n">
        <f aca="false">(ALK85-TX86+0)*(1+BQ86)</f>
        <v>0</v>
      </c>
      <c r="AEL86" s="20" t="n">
        <f aca="false">(ALL85-TY86+0)*(1+BQ86)</f>
        <v>0</v>
      </c>
      <c r="AEM86" s="20" t="n">
        <f aca="false">(ALM85-TZ86+0)*(1+BQ86)</f>
        <v>0</v>
      </c>
      <c r="AEN86" s="20" t="n">
        <f aca="false">(ALN85-UA86+0)*(1+BQ86)</f>
        <v>0</v>
      </c>
      <c r="AEO86" s="20" t="n">
        <f aca="false">(ALO85-UB86+0)*(1+BQ86)</f>
        <v>0</v>
      </c>
      <c r="AEP86" s="20" t="n">
        <f aca="false">(ALP85-UC86+0)*(1+BQ86)</f>
        <v>0</v>
      </c>
      <c r="AEQ86" s="20" t="n">
        <f aca="false">(ALQ85-UD86+0)*(1+BQ86)</f>
        <v>0</v>
      </c>
      <c r="AER86" s="20" t="n">
        <f aca="false">(ALR85-UE86+0)*(1+BQ86)</f>
        <v>0</v>
      </c>
      <c r="AES86" s="20" t="n">
        <f aca="false">(ALS85-UF86+0)*(1+BQ86)</f>
        <v>0</v>
      </c>
      <c r="AET86" s="20" t="n">
        <f aca="false">(ALT85-UG86+0)*(1+BQ86)</f>
        <v>0</v>
      </c>
      <c r="AEU86" s="20" t="n">
        <f aca="false">(ALU85-UH86+0)*(1+BQ86)</f>
        <v>0</v>
      </c>
      <c r="AEV86" s="20" t="n">
        <f aca="false">(ALV85-UI86+0)*(1+BQ86)</f>
        <v>0</v>
      </c>
      <c r="AEW86" s="20" t="n">
        <f aca="false">(ALW85-UJ86+0)*(1+BQ86)</f>
        <v>0</v>
      </c>
      <c r="AEX86" s="20" t="n">
        <f aca="false">(ALX85-UK86+0)*(1+BQ86)</f>
        <v>0</v>
      </c>
      <c r="AEY86" s="20" t="n">
        <f aca="false">(ALY85-UL86+0)*(1+BQ86)</f>
        <v>0</v>
      </c>
      <c r="AEZ86" s="20" t="n">
        <f aca="false">(ALZ85-UM86+0)*(1+BQ86)</f>
        <v>0</v>
      </c>
      <c r="AFA86" s="20" t="n">
        <f aca="false">(AMA85-UN86+0)*(1+BQ86)</f>
        <v>0</v>
      </c>
      <c r="AFB86" s="20" t="n">
        <f aca="false">(AMB85-UO86+0)*(1+BQ86)</f>
        <v>0</v>
      </c>
      <c r="AFC86" s="20" t="n">
        <f aca="false">(AMC85-UP86+0)*(1+BQ86)</f>
        <v>0</v>
      </c>
      <c r="AFD86" s="20" t="n">
        <f aca="false">(AMD85-UQ86+0)*(1+BQ86)</f>
        <v>0</v>
      </c>
      <c r="AFE86" s="20" t="n">
        <f aca="false">(AME85-UR86+0)*(1+BQ86)</f>
        <v>0</v>
      </c>
      <c r="AFF86" s="20" t="n">
        <f aca="false">(AMF85-US86+0)*(1+BQ86)</f>
        <v>0</v>
      </c>
      <c r="AFG86" s="20" t="n">
        <f aca="false">(AMG85-UT86+0)*(1+BQ86)</f>
        <v>0</v>
      </c>
      <c r="AFH86" s="20" t="n">
        <f aca="false">(AMH85-UU86+0)*(1+BQ86)</f>
        <v>0</v>
      </c>
      <c r="AFI86" s="20" t="n">
        <f aca="false">(AMI85-UV86+0)*(1+BQ86)</f>
        <v>0</v>
      </c>
      <c r="AFJ86" s="20" t="n">
        <f aca="false">(AMJ85-UW86+0)*(1+BQ86)</f>
        <v>0</v>
      </c>
      <c r="AFK86" s="20" t="n">
        <f aca="false">(AMK85-UX86+0)*(1+BQ86)</f>
        <v>0</v>
      </c>
      <c r="AFL86" s="20" t="n">
        <f aca="false">(AML85-UY86+0)*(1+BQ86)</f>
        <v>0</v>
      </c>
      <c r="AFM86" s="20" t="n">
        <f aca="false">(AMM85-UZ86+0)*(1+BQ86)</f>
        <v>0</v>
      </c>
      <c r="AFN86" s="20" t="n">
        <f aca="false">(AMN85-VA86+0)*(1+BQ86)</f>
        <v>0</v>
      </c>
      <c r="AFO86" s="20" t="n">
        <f aca="false">(AMO85-VB86+0)*(1+BQ86)</f>
        <v>0</v>
      </c>
      <c r="AFP86" s="20" t="n">
        <f aca="false">(AMP85-VC86+0)*(1+BQ86)</f>
        <v>0</v>
      </c>
      <c r="AFQ86" s="20" t="n">
        <f aca="false">(AMQ85-VD86+0)*(1+BQ86)</f>
        <v>0</v>
      </c>
      <c r="AFR86" s="20" t="n">
        <f aca="false">(AMR85-VE86+0)*(1+BQ86)</f>
        <v>0</v>
      </c>
      <c r="AFS86" s="20" t="n">
        <f aca="false">(AMS85-VF86+0)*(1+BQ86)</f>
        <v>0</v>
      </c>
      <c r="AFT86" s="20" t="n">
        <f aca="false">(AMT85-VG86+0)*(1+BQ86)</f>
        <v>0</v>
      </c>
      <c r="AFU86" s="20" t="n">
        <f aca="false">(AMU85-VH86+0)*(1+BQ86)</f>
        <v>0</v>
      </c>
      <c r="AFV86" s="20" t="n">
        <f aca="false">(AMV85-VI86+0)*(1+BQ86)</f>
        <v>0</v>
      </c>
      <c r="AFW86" s="20" t="n">
        <f aca="false">(AMW85-VJ86+0)*(1+BQ86)</f>
        <v>0</v>
      </c>
      <c r="AFX86" s="20" t="n">
        <f aca="false">(AMX85-VK86+0)*(1+BQ86)</f>
        <v>0</v>
      </c>
      <c r="AFY86" s="20" t="n">
        <f aca="false">(AMY85-VL86+0)*(1+BQ86)</f>
        <v>0</v>
      </c>
      <c r="AFZ86" s="20" t="n">
        <f aca="false">(AMZ85-VM86+0)*(1+BQ86)</f>
        <v>0</v>
      </c>
      <c r="AGA86" s="20" t="n">
        <f aca="false">(ANA85-VN86+0)*(1+BQ86)</f>
        <v>0</v>
      </c>
      <c r="AGB86" s="20" t="n">
        <f aca="false">(ANB85-VO86+0)*(1+BQ86)</f>
        <v>0</v>
      </c>
      <c r="AGC86" s="20" t="n">
        <f aca="false">(ANC85-VP86+0)*(1+BQ86)</f>
        <v>0</v>
      </c>
      <c r="AGD86" s="20" t="n">
        <f aca="false">(AND85-VQ86+0)*(1+BQ86)</f>
        <v>0</v>
      </c>
      <c r="AGE86" s="20" t="n">
        <f aca="false">(ANE85-VR86+0)*(1+BQ86)</f>
        <v>0</v>
      </c>
      <c r="AGF86" s="20" t="n">
        <f aca="false">(ANF85-VS86+0)*(1+BQ86)</f>
        <v>0</v>
      </c>
      <c r="AGG86" s="20" t="n">
        <f aca="false">(ANG85-VT86+0)*(1+BQ86)</f>
        <v>0</v>
      </c>
      <c r="AGH86" s="20" t="n">
        <f aca="false">(ANH85-VU86+0)*(1+BQ86)</f>
        <v>0</v>
      </c>
      <c r="AGI86" s="20" t="n">
        <f aca="false">(ANI85-VV86+0)*(1+BQ86)</f>
        <v>0</v>
      </c>
      <c r="AGJ86" s="20" t="n">
        <f aca="false">(ANJ85-VW86+0)*(1+BQ86)</f>
        <v>0</v>
      </c>
      <c r="AGK86" s="20" t="n">
        <f aca="false">(ANK85-VX86+0)*(1+BQ86)</f>
        <v>0</v>
      </c>
      <c r="AGL86" s="20" t="n">
        <f aca="false">(ANL85-VY86+0)*(1+BQ86)</f>
        <v>0</v>
      </c>
      <c r="AGM86" s="20" t="n">
        <f aca="false">(ANM85-VZ86+0)*(1+BQ86)</f>
        <v>0</v>
      </c>
      <c r="AGN86" s="20" t="n">
        <f aca="false">(ANN85-WA86+0)*(1+BQ86)</f>
        <v>0</v>
      </c>
      <c r="AGO86" s="20" t="n">
        <f aca="false">(ANO85-WB86+0)*(1+BQ86)</f>
        <v>0</v>
      </c>
      <c r="AGP86" s="20" t="n">
        <f aca="false">(ANP85-WC86+0)*(1+BQ86)</f>
        <v>0</v>
      </c>
      <c r="AGQ86" s="20" t="n">
        <f aca="false">(ANQ85-WD86+0)*(1+BQ86)</f>
        <v>0</v>
      </c>
      <c r="AGR86" s="20" t="n">
        <f aca="false">(ANR85-WE86+0)*(1+BQ86)</f>
        <v>0</v>
      </c>
      <c r="AGS86" s="20" t="n">
        <f aca="false">((P86+S86)-WF86+BE86)*(1+BQ86)</f>
        <v>0</v>
      </c>
      <c r="AGT86" s="20" t="n">
        <v>0</v>
      </c>
      <c r="AGU86" s="20" t="n">
        <v>0</v>
      </c>
      <c r="AGV86" s="20" t="n">
        <v>0</v>
      </c>
      <c r="AGW86" s="20" t="n">
        <v>0</v>
      </c>
      <c r="AGX86" s="20" t="n">
        <v>0</v>
      </c>
      <c r="AGY86" s="20" t="n">
        <v>0</v>
      </c>
      <c r="AGZ86" s="20" t="n">
        <v>0</v>
      </c>
      <c r="AHA86" s="20" t="n">
        <v>0</v>
      </c>
      <c r="AHB86" s="20" t="n">
        <v>0</v>
      </c>
      <c r="AHC86" s="20" t="n">
        <v>0</v>
      </c>
      <c r="AHD86" s="20" t="n">
        <v>0</v>
      </c>
      <c r="AHE86" s="20" t="n">
        <f aca="false">IF(AKR85&gt;0,AOE85-AOE85*TE86/AKR85,0)+0</f>
        <v>0</v>
      </c>
      <c r="AHF86" s="20" t="n">
        <f aca="false">IF(AKS85&gt;0,AOF85-AOF85*TF86/AKS85,0)+0</f>
        <v>0</v>
      </c>
      <c r="AHG86" s="20" t="n">
        <f aca="false">IF(AKT85&gt;0,AOG85-AOG85*TG86/AKT85,0)+0</f>
        <v>0</v>
      </c>
      <c r="AHH86" s="20" t="n">
        <f aca="false">IF(AKU85&gt;0,AOH85-AOH85*TH86/AKU85,0)+0</f>
        <v>0</v>
      </c>
      <c r="AHI86" s="20" t="n">
        <f aca="false">IF(AKV85&gt;0,AOI85-AOI85*TI86/AKV85,0)+0</f>
        <v>0</v>
      </c>
      <c r="AHJ86" s="20" t="n">
        <f aca="false">IF(AKW85&gt;0,AOJ85-AOJ85*TJ86/AKW85,0)+0</f>
        <v>0</v>
      </c>
      <c r="AHK86" s="20" t="n">
        <f aca="false">IF(AKX85&gt;0,AOK85-AOK85*TK86/AKX85,0)+0</f>
        <v>0</v>
      </c>
      <c r="AHL86" s="20" t="n">
        <f aca="false">IF(AKY85&gt;0,AOL85-AOL85*TL86/AKY85,0)+0</f>
        <v>0</v>
      </c>
      <c r="AHM86" s="20" t="n">
        <f aca="false">IF(AKZ85&gt;0,AOM85-AOM85*TM86/AKZ85,0)+0</f>
        <v>0</v>
      </c>
      <c r="AHN86" s="20" t="n">
        <f aca="false">IF(ALA85&gt;0,AON85-AON85*TN86/ALA85,0)+0</f>
        <v>0</v>
      </c>
      <c r="AHO86" s="20" t="n">
        <f aca="false">IF(ALB85&gt;0,AOO85-AOO85*TO86/ALB85,0)+0</f>
        <v>0</v>
      </c>
      <c r="AHP86" s="20" t="n">
        <f aca="false">IF(ALC85&gt;0,AOP85-AOP85*TP86/ALC85,0)+0</f>
        <v>0</v>
      </c>
      <c r="AHQ86" s="20" t="n">
        <f aca="false">IF(ALD85&gt;0,AOQ85-AOQ85*TQ86/ALD85,0)+0</f>
        <v>0</v>
      </c>
      <c r="AHR86" s="20" t="n">
        <f aca="false">IF(ALE85&gt;0,AOR85-AOR85*TR86/ALE85,0)+0</f>
        <v>0</v>
      </c>
      <c r="AHS86" s="20" t="n">
        <f aca="false">IF(ALF85&gt;0,AOS85-AOS85*TS86/ALF85,0)+0</f>
        <v>0</v>
      </c>
      <c r="AHT86" s="20" t="n">
        <f aca="false">IF(ALG85&gt;0,AOT85-AOT85*TT86/ALG85,0)+0</f>
        <v>0</v>
      </c>
      <c r="AHU86" s="20" t="n">
        <f aca="false">IF(ALH85&gt;0,AOU85-AOU85*TU86/ALH85,0)+0</f>
        <v>0</v>
      </c>
      <c r="AHV86" s="20" t="n">
        <f aca="false">IF(ALI85&gt;0,AOV85-AOV85*TV86/ALI85,0)+0</f>
        <v>0</v>
      </c>
      <c r="AHW86" s="20" t="n">
        <f aca="false">IF(ALJ85&gt;0,AOW85-AOW85*TW86/ALJ85,0)+0</f>
        <v>0</v>
      </c>
      <c r="AHX86" s="20" t="n">
        <f aca="false">IF(ALK85&gt;0,AOX85-AOX85*TX86/ALK85,0)+0</f>
        <v>0</v>
      </c>
      <c r="AHY86" s="20" t="n">
        <f aca="false">IF(ALL85&gt;0,AOY85-AOY85*TY86/ALL85,0)+0</f>
        <v>0</v>
      </c>
      <c r="AHZ86" s="20" t="n">
        <f aca="false">IF(ALM85&gt;0,AOZ85-AOZ85*TZ86/ALM85,0)+0</f>
        <v>0</v>
      </c>
      <c r="AIA86" s="20" t="n">
        <f aca="false">IF(ALN85&gt;0,APA85-APA85*UA86/ALN85,0)+0</f>
        <v>0</v>
      </c>
      <c r="AIB86" s="20" t="n">
        <f aca="false">IF(ALO85&gt;0,APB85-APB85*UB86/ALO85,0)+0</f>
        <v>0</v>
      </c>
      <c r="AIC86" s="20" t="n">
        <f aca="false">IF(ALP85&gt;0,APC85-APC85*UC86/ALP85,0)+0</f>
        <v>0</v>
      </c>
      <c r="AID86" s="20" t="n">
        <f aca="false">IF(ALQ85&gt;0,APD85-APD85*UD86/ALQ85,0)+0</f>
        <v>0</v>
      </c>
      <c r="AIE86" s="20" t="n">
        <f aca="false">IF(ALR85&gt;0,APE85-APE85*UE86/ALR85,0)+0</f>
        <v>0</v>
      </c>
      <c r="AIF86" s="20" t="n">
        <f aca="false">IF(ALS85&gt;0,APF85-APF85*UF86/ALS85,0)+0</f>
        <v>0</v>
      </c>
      <c r="AIG86" s="20" t="n">
        <f aca="false">IF(ALT85&gt;0,APG85-APG85*UG86/ALT85,0)+0</f>
        <v>0</v>
      </c>
      <c r="AIH86" s="20" t="n">
        <f aca="false">IF(ALU85&gt;0,APH85-APH85*UH86/ALU85,0)+0</f>
        <v>0</v>
      </c>
      <c r="AII86" s="20" t="n">
        <f aca="false">IF(ALV85&gt;0,API85-API85*UI86/ALV85,0)+0</f>
        <v>0</v>
      </c>
      <c r="AIJ86" s="20" t="n">
        <f aca="false">IF(ALW85&gt;0,APJ85-APJ85*UJ86/ALW85,0)+0</f>
        <v>0</v>
      </c>
      <c r="AIK86" s="20" t="n">
        <f aca="false">IF(ALX85&gt;0,APK85-APK85*UK86/ALX85,0)+0</f>
        <v>0</v>
      </c>
      <c r="AIL86" s="20" t="n">
        <f aca="false">IF(ALY85&gt;0,APL85-APL85*UL86/ALY85,0)+0</f>
        <v>0</v>
      </c>
      <c r="AIM86" s="20" t="n">
        <f aca="false">IF(ALZ85&gt;0,APM85-APM85*UM86/ALZ85,0)+0</f>
        <v>0</v>
      </c>
      <c r="AIN86" s="20" t="n">
        <f aca="false">IF(AMA85&gt;0,APN85-APN85*UN86/AMA85,0)+0</f>
        <v>0</v>
      </c>
      <c r="AIO86" s="20" t="n">
        <f aca="false">IF(AMB85&gt;0,APO85-APO85*UO86/AMB85,0)+0</f>
        <v>0</v>
      </c>
      <c r="AIP86" s="20" t="n">
        <f aca="false">IF(AMC85&gt;0,APP85-APP85*UP86/AMC85,0)+0</f>
        <v>0</v>
      </c>
      <c r="AIQ86" s="20" t="n">
        <f aca="false">IF(AMD85&gt;0,APQ85-APQ85*UQ86/AMD85,0)+0</f>
        <v>0</v>
      </c>
      <c r="AIR86" s="20" t="n">
        <f aca="false">IF(AME85&gt;0,APR85-APR85*UR86/AME85,0)+0</f>
        <v>0</v>
      </c>
      <c r="AIS86" s="20" t="n">
        <f aca="false">IF(AMF85&gt;0,APS85-APS85*US86/AMF85,0)+0</f>
        <v>0</v>
      </c>
      <c r="AIT86" s="20" t="n">
        <f aca="false">IF(AMG85&gt;0,APT85-APT85*UT86/AMG85,0)+0</f>
        <v>0</v>
      </c>
      <c r="AIU86" s="20" t="n">
        <f aca="false">IF(AMH85&gt;0,APU85-APU85*UU86/AMH85,0)+0</f>
        <v>0</v>
      </c>
      <c r="AIV86" s="20" t="n">
        <f aca="false">IF(AMI85&gt;0,APV85-APV85*UV86/AMI85,0)+0</f>
        <v>0</v>
      </c>
      <c r="AIW86" s="20" t="n">
        <f aca="false">IF(AMJ85&gt;0,APW85-APW85*UW86/AMJ85,0)+0</f>
        <v>0</v>
      </c>
      <c r="AIX86" s="20" t="n">
        <f aca="false">IF(AMK85&gt;0,APX85-APX85*UX86/AMK85,0)+0</f>
        <v>0</v>
      </c>
      <c r="AIY86" s="20" t="n">
        <f aca="false">IF(AML85&gt;0,APY85-APY85*UY86/AML85,0)+0</f>
        <v>0</v>
      </c>
      <c r="AIZ86" s="20" t="n">
        <f aca="false">IF(AMM85&gt;0,APZ85-APZ85*UZ86/AMM85,0)+0</f>
        <v>0</v>
      </c>
      <c r="AJA86" s="20" t="n">
        <f aca="false">IF(AMN85&gt;0,AQA85-AQA85*VA86/AMN85,0)+0</f>
        <v>0</v>
      </c>
      <c r="AJB86" s="20" t="n">
        <f aca="false">IF(AMO85&gt;0,AQB85-AQB85*VB86/AMO85,0)+0</f>
        <v>0</v>
      </c>
      <c r="AJC86" s="20" t="n">
        <f aca="false">IF(AMP85&gt;0,AQC85-AQC85*VC86/AMP85,0)+0</f>
        <v>0</v>
      </c>
      <c r="AJD86" s="20" t="n">
        <f aca="false">IF(AMQ85&gt;0,AQD85-AQD85*VD86/AMQ85,0)+0</f>
        <v>0</v>
      </c>
      <c r="AJE86" s="20" t="n">
        <f aca="false">IF(AMR85&gt;0,AQE85-AQE85*VE86/AMR85,0)+0</f>
        <v>0</v>
      </c>
      <c r="AJF86" s="20" t="n">
        <f aca="false">IF(AMS85&gt;0,AQF85-AQF85*VF86/AMS85,0)+0</f>
        <v>0</v>
      </c>
      <c r="AJG86" s="20" t="n">
        <f aca="false">IF(AMT85&gt;0,AQG85-AQG85*VG86/AMT85,0)+0</f>
        <v>0</v>
      </c>
      <c r="AJH86" s="20" t="n">
        <f aca="false">IF(AMU85&gt;0,AQH85-AQH85*VH86/AMU85,0)+0</f>
        <v>0</v>
      </c>
      <c r="AJI86" s="20" t="n">
        <f aca="false">IF(AMV85&gt;0,AQI85-AQI85*VI86/AMV85,0)+0</f>
        <v>0</v>
      </c>
      <c r="AJJ86" s="20" t="n">
        <f aca="false">IF(AMW85&gt;0,AQJ85-AQJ85*VJ86/AMW85,0)+0</f>
        <v>0</v>
      </c>
      <c r="AJK86" s="20" t="n">
        <f aca="false">IF(AMX85&gt;0,AQK85-AQK85*VK86/AMX85,0)+0</f>
        <v>0</v>
      </c>
      <c r="AJL86" s="20" t="n">
        <f aca="false">IF(AMY85&gt;0,AQL85-AQL85*VL86/AMY85,0)+0</f>
        <v>0</v>
      </c>
      <c r="AJM86" s="20" t="n">
        <f aca="false">IF(AMZ85&gt;0,AQM85-AQM85*VM86/AMZ85,0)+0</f>
        <v>0</v>
      </c>
      <c r="AJN86" s="20" t="n">
        <f aca="false">IF(ANA85&gt;0,AQN85-AQN85*VN86/ANA85,0)+0</f>
        <v>0</v>
      </c>
      <c r="AJO86" s="20" t="n">
        <f aca="false">IF(ANB85&gt;0,AQO85-AQO85*VO86/ANB85,0)+0</f>
        <v>0</v>
      </c>
      <c r="AJP86" s="20" t="n">
        <f aca="false">IF(ANC85&gt;0,AQP85-AQP85*VP86/ANC85,0)+0</f>
        <v>0</v>
      </c>
      <c r="AJQ86" s="20" t="n">
        <f aca="false">IF(AND85&gt;0,AQQ85-AQQ85*VQ86/AND85,0)+0</f>
        <v>0</v>
      </c>
      <c r="AJR86" s="20" t="n">
        <f aca="false">IF(ANE85&gt;0,AQR85-AQR85*VR86/ANE85,0)+0</f>
        <v>0</v>
      </c>
      <c r="AJS86" s="20" t="n">
        <f aca="false">IF(ANF85&gt;0,AQS85-AQS85*VS86/ANF85,0)+0</f>
        <v>0</v>
      </c>
      <c r="AJT86" s="20" t="n">
        <f aca="false">IF(ANG85&gt;0,AQT85-AQT85*VT86/ANG85,0)+0</f>
        <v>0</v>
      </c>
      <c r="AJU86" s="20" t="n">
        <f aca="false">IF(ANH85&gt;0,AQU85-AQU85*VU86/ANH85,0)+0</f>
        <v>0</v>
      </c>
      <c r="AJV86" s="20" t="n">
        <f aca="false">IF(ANI85&gt;0,AQV85-AQV85*VV86/ANI85,0)+0</f>
        <v>0</v>
      </c>
      <c r="AJW86" s="20" t="n">
        <f aca="false">IF(ANJ85&gt;0,AQW85-AQW85*VW86/ANJ85,0)+0</f>
        <v>0</v>
      </c>
      <c r="AJX86" s="20" t="n">
        <f aca="false">IF(ANK85&gt;0,AQX85-AQX85*VX86/ANK85,0)+0</f>
        <v>0</v>
      </c>
      <c r="AJY86" s="20" t="n">
        <f aca="false">IF(ANL85&gt;0,AQY85-AQY85*VY86/ANL85,0)+0</f>
        <v>0</v>
      </c>
      <c r="AJZ86" s="20" t="n">
        <f aca="false">IF(ANM85&gt;0,AQZ85-AQZ85*VZ86/ANM85,0)+0</f>
        <v>0</v>
      </c>
      <c r="AKA86" s="20" t="n">
        <f aca="false">IF(ANN85&gt;0,ARA85-ARA85*WA86/ANN85,0)+0</f>
        <v>0</v>
      </c>
      <c r="AKB86" s="20" t="n">
        <f aca="false">IF(ANO85&gt;0,ARB85-ARB85*WB86/ANO85,0)+0</f>
        <v>0</v>
      </c>
      <c r="AKC86" s="20" t="n">
        <f aca="false">IF(ANP85&gt;0,ARC85-ARC85*WC86/ANP85,0)+0</f>
        <v>0</v>
      </c>
      <c r="AKD86" s="20" t="n">
        <f aca="false">IF(ANQ85&gt;0,ARD85-ARD85*WD86/ANQ85,0)+0</f>
        <v>0</v>
      </c>
      <c r="AKE86" s="20" t="n">
        <f aca="false">IF(ANR85&gt;0,ARE85-ARE85*WE86/ANR85,0)+0</f>
        <v>0</v>
      </c>
      <c r="AKF86" s="20" t="n">
        <f aca="false">IF((P86+S86)&gt;0,(P86+S86)-(P86+S86)*WF86/(P86+S86),0)+BE86</f>
        <v>0</v>
      </c>
      <c r="AKG86" s="20" t="n">
        <v>0</v>
      </c>
      <c r="AKH86" s="20" t="n">
        <v>0</v>
      </c>
      <c r="AKI86" s="20" t="n">
        <v>0</v>
      </c>
      <c r="AKJ86" s="20" t="n">
        <v>0</v>
      </c>
      <c r="AKK86" s="20" t="n">
        <v>0</v>
      </c>
      <c r="AKL86" s="20" t="n">
        <v>0</v>
      </c>
      <c r="AKM86" s="20" t="n">
        <v>0</v>
      </c>
      <c r="AKN86" s="20" t="n">
        <v>0</v>
      </c>
      <c r="AKO86" s="20" t="n">
        <v>0</v>
      </c>
      <c r="AKP86" s="20" t="n">
        <v>0</v>
      </c>
      <c r="AKQ86" s="20" t="n">
        <v>0</v>
      </c>
      <c r="AKR86" s="20" t="n">
        <f aca="false">ADR86-AVE86</f>
        <v>0</v>
      </c>
      <c r="AKS86" s="20" t="n">
        <f aca="false">ADS86-AVF86</f>
        <v>0</v>
      </c>
      <c r="AKT86" s="20" t="n">
        <f aca="false">ADT86-AVG86</f>
        <v>0</v>
      </c>
      <c r="AKU86" s="20" t="n">
        <f aca="false">ADU86-AVH86</f>
        <v>0</v>
      </c>
      <c r="AKV86" s="20" t="n">
        <f aca="false">ADV86-AVI86</f>
        <v>0</v>
      </c>
      <c r="AKW86" s="20" t="n">
        <f aca="false">ADW86-AVJ86</f>
        <v>0</v>
      </c>
      <c r="AKX86" s="20" t="n">
        <f aca="false">ADX86-AVK86</f>
        <v>0</v>
      </c>
      <c r="AKY86" s="20" t="n">
        <f aca="false">ADY86-AVL86</f>
        <v>0</v>
      </c>
      <c r="AKZ86" s="20" t="n">
        <f aca="false">ADZ86-AVM86</f>
        <v>0</v>
      </c>
      <c r="ALA86" s="20" t="n">
        <f aca="false">AEA86-AVN86</f>
        <v>0</v>
      </c>
      <c r="ALB86" s="20" t="n">
        <f aca="false">AEB86-AVO86</f>
        <v>0</v>
      </c>
      <c r="ALC86" s="20" t="n">
        <f aca="false">AEC86-AVP86</f>
        <v>0</v>
      </c>
      <c r="ALD86" s="20" t="n">
        <f aca="false">AED86-AVQ86</f>
        <v>0</v>
      </c>
      <c r="ALE86" s="20" t="n">
        <f aca="false">AEE86-AVR86</f>
        <v>0</v>
      </c>
      <c r="ALF86" s="20" t="n">
        <f aca="false">AEF86-AVS86</f>
        <v>0</v>
      </c>
      <c r="ALG86" s="20" t="n">
        <f aca="false">AEG86-AVT86</f>
        <v>0</v>
      </c>
      <c r="ALH86" s="20" t="n">
        <f aca="false">AEH86-AVU86</f>
        <v>0</v>
      </c>
      <c r="ALI86" s="20" t="n">
        <f aca="false">AEI86-AVV86</f>
        <v>0</v>
      </c>
      <c r="ALJ86" s="20" t="n">
        <f aca="false">AEJ86-AVW86</f>
        <v>0</v>
      </c>
      <c r="ALK86" s="20" t="n">
        <f aca="false">AEK86-AVX86</f>
        <v>0</v>
      </c>
      <c r="ALL86" s="20" t="n">
        <f aca="false">AEL86-AVY86</f>
        <v>0</v>
      </c>
      <c r="ALM86" s="20" t="n">
        <f aca="false">AEM86-AVZ86</f>
        <v>0</v>
      </c>
      <c r="ALN86" s="20" t="n">
        <f aca="false">AEN86-AWA86</f>
        <v>0</v>
      </c>
      <c r="ALO86" s="20" t="n">
        <f aca="false">AEO86-AWB86</f>
        <v>0</v>
      </c>
      <c r="ALP86" s="20" t="n">
        <f aca="false">AEP86-AWC86</f>
        <v>0</v>
      </c>
      <c r="ALQ86" s="20" t="n">
        <f aca="false">AEQ86-AWD86</f>
        <v>0</v>
      </c>
      <c r="ALR86" s="20" t="n">
        <f aca="false">AER86-AWE86</f>
        <v>0</v>
      </c>
      <c r="ALS86" s="20" t="n">
        <f aca="false">AES86-AWF86</f>
        <v>0</v>
      </c>
      <c r="ALT86" s="20" t="n">
        <f aca="false">AET86-AWG86</f>
        <v>0</v>
      </c>
      <c r="ALU86" s="20" t="n">
        <f aca="false">AEU86-AWH86</f>
        <v>0</v>
      </c>
      <c r="ALV86" s="20" t="n">
        <f aca="false">AEV86-AWI86</f>
        <v>0</v>
      </c>
      <c r="ALW86" s="20" t="n">
        <f aca="false">AEW86-AWJ86</f>
        <v>0</v>
      </c>
      <c r="ALX86" s="20" t="n">
        <f aca="false">AEX86-AWK86</f>
        <v>0</v>
      </c>
      <c r="ALY86" s="20" t="n">
        <f aca="false">AEY86-AWL86</f>
        <v>0</v>
      </c>
      <c r="ALZ86" s="20" t="n">
        <f aca="false">AEZ86-AWM86</f>
        <v>0</v>
      </c>
      <c r="AMA86" s="20" t="n">
        <f aca="false">AFA86-AWN86</f>
        <v>0</v>
      </c>
      <c r="AMB86" s="20" t="n">
        <f aca="false">AFB86-AWO86</f>
        <v>0</v>
      </c>
      <c r="AMC86" s="20" t="n">
        <f aca="false">AFC86-AWP86</f>
        <v>0</v>
      </c>
      <c r="AMD86" s="20" t="n">
        <f aca="false">AFD86-AWQ86</f>
        <v>0</v>
      </c>
      <c r="AME86" s="20" t="n">
        <f aca="false">AFE86-AWR86</f>
        <v>0</v>
      </c>
      <c r="AMF86" s="20" t="n">
        <f aca="false">AFF86-AWS86</f>
        <v>0</v>
      </c>
      <c r="AMG86" s="20" t="n">
        <f aca="false">AFG86-AWT86</f>
        <v>0</v>
      </c>
      <c r="AMH86" s="20" t="n">
        <f aca="false">AFH86-AWU86</f>
        <v>0</v>
      </c>
      <c r="AMI86" s="20" t="n">
        <f aca="false">AFI86-AWV86</f>
        <v>0</v>
      </c>
      <c r="AMJ86" s="20" t="n">
        <f aca="false">AFJ86-AWW86</f>
        <v>0</v>
      </c>
      <c r="AMK86" s="20" t="n">
        <f aca="false">AFK86-AWX86</f>
        <v>0</v>
      </c>
      <c r="AML86" s="20" t="n">
        <f aca="false">AFL86-AWY86</f>
        <v>0</v>
      </c>
      <c r="AMM86" s="20" t="n">
        <f aca="false">AFM86-AWZ86</f>
        <v>0</v>
      </c>
      <c r="AMN86" s="20" t="n">
        <f aca="false">AFN86-AXA86</f>
        <v>0</v>
      </c>
      <c r="AMO86" s="20" t="n">
        <f aca="false">AFO86-AXB86</f>
        <v>0</v>
      </c>
      <c r="AMP86" s="20" t="n">
        <f aca="false">AFP86-AXC86</f>
        <v>0</v>
      </c>
      <c r="AMQ86" s="20" t="n">
        <f aca="false">AFQ86-AXD86</f>
        <v>0</v>
      </c>
      <c r="AMR86" s="20" t="n">
        <f aca="false">AFR86-AXE86</f>
        <v>0</v>
      </c>
      <c r="AMS86" s="20" t="n">
        <f aca="false">AFS86-AXF86</f>
        <v>0</v>
      </c>
      <c r="AMT86" s="20" t="n">
        <f aca="false">AFT86-AXG86</f>
        <v>0</v>
      </c>
      <c r="AMU86" s="20" t="n">
        <f aca="false">AFU86-AXH86</f>
        <v>0</v>
      </c>
      <c r="AMV86" s="20" t="n">
        <f aca="false">AFV86-AXI86</f>
        <v>0</v>
      </c>
      <c r="AMW86" s="20" t="n">
        <f aca="false">AFW86-AXJ86</f>
        <v>0</v>
      </c>
      <c r="AMX86" s="20" t="n">
        <f aca="false">AFX86-AXK86</f>
        <v>0</v>
      </c>
      <c r="AMY86" s="20" t="n">
        <f aca="false">AFY86-AXL86</f>
        <v>0</v>
      </c>
      <c r="AMZ86" s="20" t="n">
        <f aca="false">AFZ86-AXM86</f>
        <v>0</v>
      </c>
      <c r="ANA86" s="20" t="n">
        <f aca="false">AGA86-AXN86</f>
        <v>0</v>
      </c>
      <c r="ANB86" s="20" t="n">
        <f aca="false">AGB86-AXO86</f>
        <v>0</v>
      </c>
      <c r="ANC86" s="20" t="n">
        <f aca="false">AGC86-AXP86</f>
        <v>0</v>
      </c>
      <c r="AND86" s="20" t="n">
        <f aca="false">AGD86-AXQ86</f>
        <v>0</v>
      </c>
      <c r="ANE86" s="20" t="n">
        <f aca="false">AGE86-AXR86</f>
        <v>0</v>
      </c>
      <c r="ANF86" s="20" t="n">
        <f aca="false">AGF86-AXS86</f>
        <v>0</v>
      </c>
      <c r="ANG86" s="20" t="n">
        <f aca="false">AGG86-AXT86</f>
        <v>0</v>
      </c>
      <c r="ANH86" s="20" t="n">
        <f aca="false">AGH86-AXU86</f>
        <v>0</v>
      </c>
      <c r="ANI86" s="20" t="n">
        <f aca="false">AGI86-AXV86</f>
        <v>0</v>
      </c>
      <c r="ANJ86" s="20" t="n">
        <f aca="false">AGJ86-AXW86</f>
        <v>0</v>
      </c>
      <c r="ANK86" s="20" t="n">
        <f aca="false">AGK86-AXX86</f>
        <v>0</v>
      </c>
      <c r="ANL86" s="20" t="n">
        <f aca="false">AGL86-AXY86</f>
        <v>0</v>
      </c>
      <c r="ANM86" s="20" t="n">
        <f aca="false">AGM86-AXZ86</f>
        <v>0</v>
      </c>
      <c r="ANN86" s="20" t="n">
        <f aca="false">AGN86-AYA86</f>
        <v>0</v>
      </c>
      <c r="ANO86" s="20" t="n">
        <f aca="false">AGO86-AYB86</f>
        <v>0</v>
      </c>
      <c r="ANP86" s="20" t="n">
        <f aca="false">AGP86-AYC86</f>
        <v>0</v>
      </c>
      <c r="ANQ86" s="20" t="n">
        <f aca="false">AGQ86-AYD86</f>
        <v>0</v>
      </c>
      <c r="ANR86" s="20" t="n">
        <f aca="false">AGR86-AYE86</f>
        <v>0</v>
      </c>
      <c r="ANS86" s="20" t="n">
        <f aca="false">AGS86-AYF86</f>
        <v>0</v>
      </c>
      <c r="ANT86" s="20" t="n">
        <v>0</v>
      </c>
      <c r="ANU86" s="20" t="n">
        <v>0</v>
      </c>
      <c r="ANV86" s="20" t="n">
        <v>0</v>
      </c>
      <c r="ANW86" s="20" t="n">
        <v>0</v>
      </c>
      <c r="ANX86" s="20" t="n">
        <v>0</v>
      </c>
      <c r="ANY86" s="20" t="n">
        <v>0</v>
      </c>
      <c r="ANZ86" s="20" t="n">
        <v>0</v>
      </c>
      <c r="AOA86" s="20" t="n">
        <v>0</v>
      </c>
      <c r="AOB86" s="20" t="n">
        <v>0</v>
      </c>
      <c r="AOC86" s="20" t="n">
        <v>0</v>
      </c>
      <c r="AOD86" s="20" t="n">
        <v>0</v>
      </c>
      <c r="AOE86" s="20" t="n">
        <f aca="false">IF(AND(H_Direct=0,H_TaxEvt=1,ARR85+1&gt;=H_Deemed),AKR86,AHE86)</f>
        <v>0</v>
      </c>
      <c r="AOF86" s="20" t="n">
        <f aca="false">IF(AND(H_Direct=0,H_TaxEvt=1,ARS85+1&gt;=H_Deemed),AKS86,AHF86)</f>
        <v>0</v>
      </c>
      <c r="AOG86" s="20" t="n">
        <f aca="false">IF(AND(H_Direct=0,H_TaxEvt=1,ART85+1&gt;=H_Deemed),AKT86,AHG86)</f>
        <v>0</v>
      </c>
      <c r="AOH86" s="20" t="n">
        <f aca="false">IF(AND(H_Direct=0,H_TaxEvt=1,ARU85+1&gt;=H_Deemed),AKU86,AHH86)</f>
        <v>0</v>
      </c>
      <c r="AOI86" s="20" t="n">
        <f aca="false">IF(AND(H_Direct=0,H_TaxEvt=1,ARV85+1&gt;=H_Deemed),AKV86,AHI86)</f>
        <v>0</v>
      </c>
      <c r="AOJ86" s="20" t="n">
        <f aca="false">IF(AND(H_Direct=0,H_TaxEvt=1,ARW85+1&gt;=H_Deemed),AKW86,AHJ86)</f>
        <v>0</v>
      </c>
      <c r="AOK86" s="20" t="n">
        <f aca="false">IF(AND(H_Direct=0,H_TaxEvt=1,ARX85+1&gt;=H_Deemed),AKX86,AHK86)</f>
        <v>0</v>
      </c>
      <c r="AOL86" s="20" t="n">
        <f aca="false">IF(AND(H_Direct=0,H_TaxEvt=1,ARY85+1&gt;=H_Deemed),AKY86,AHL86)</f>
        <v>0</v>
      </c>
      <c r="AOM86" s="20" t="n">
        <f aca="false">IF(AND(H_Direct=0,H_TaxEvt=1,ARZ85+1&gt;=H_Deemed),AKZ86,AHM86)</f>
        <v>0</v>
      </c>
      <c r="AON86" s="20" t="n">
        <f aca="false">IF(AND(H_Direct=0,H_TaxEvt=1,ASA85+1&gt;=H_Deemed),ALA86,AHN86)</f>
        <v>0</v>
      </c>
      <c r="AOO86" s="20" t="n">
        <f aca="false">IF(AND(H_Direct=0,H_TaxEvt=1,ASB85+1&gt;=H_Deemed),ALB86,AHO86)</f>
        <v>0</v>
      </c>
      <c r="AOP86" s="20" t="n">
        <f aca="false">IF(AND(H_Direct=0,H_TaxEvt=1,ASC85+1&gt;=H_Deemed),ALC86,AHP86)</f>
        <v>0</v>
      </c>
      <c r="AOQ86" s="20" t="n">
        <f aca="false">IF(AND(H_Direct=0,H_TaxEvt=1,ASD85+1&gt;=H_Deemed),ALD86,AHQ86)</f>
        <v>0</v>
      </c>
      <c r="AOR86" s="20" t="n">
        <f aca="false">IF(AND(H_Direct=0,H_TaxEvt=1,ASE85+1&gt;=H_Deemed),ALE86,AHR86)</f>
        <v>0</v>
      </c>
      <c r="AOS86" s="20" t="n">
        <f aca="false">IF(AND(H_Direct=0,H_TaxEvt=1,ASF85+1&gt;=H_Deemed),ALF86,AHS86)</f>
        <v>0</v>
      </c>
      <c r="AOT86" s="20" t="n">
        <f aca="false">IF(AND(H_Direct=0,H_TaxEvt=1,ASG85+1&gt;=H_Deemed),ALG86,AHT86)</f>
        <v>0</v>
      </c>
      <c r="AOU86" s="20" t="n">
        <f aca="false">IF(AND(H_Direct=0,H_TaxEvt=1,ASH85+1&gt;=H_Deemed),ALH86,AHU86)</f>
        <v>0</v>
      </c>
      <c r="AOV86" s="20" t="n">
        <f aca="false">IF(AND(H_Direct=0,H_TaxEvt=1,ASI85+1&gt;=H_Deemed),ALI86,AHV86)</f>
        <v>0</v>
      </c>
      <c r="AOW86" s="20" t="n">
        <f aca="false">IF(AND(H_Direct=0,H_TaxEvt=1,ASJ85+1&gt;=H_Deemed),ALJ86,AHW86)</f>
        <v>0</v>
      </c>
      <c r="AOX86" s="20" t="n">
        <f aca="false">IF(AND(H_Direct=0,H_TaxEvt=1,ASK85+1&gt;=H_Deemed),ALK86,AHX86)</f>
        <v>0</v>
      </c>
      <c r="AOY86" s="20" t="n">
        <f aca="false">IF(AND(H_Direct=0,H_TaxEvt=1,ASL85+1&gt;=H_Deemed),ALL86,AHY86)</f>
        <v>0</v>
      </c>
      <c r="AOZ86" s="20" t="n">
        <f aca="false">IF(AND(H_Direct=0,H_TaxEvt=1,ASM85+1&gt;=H_Deemed),ALM86,AHZ86)</f>
        <v>0</v>
      </c>
      <c r="APA86" s="20" t="n">
        <f aca="false">IF(AND(H_Direct=0,H_TaxEvt=1,ASN85+1&gt;=H_Deemed),ALN86,AIA86)</f>
        <v>0</v>
      </c>
      <c r="APB86" s="20" t="n">
        <f aca="false">IF(AND(H_Direct=0,H_TaxEvt=1,ASO85+1&gt;=H_Deemed),ALO86,AIB86)</f>
        <v>0</v>
      </c>
      <c r="APC86" s="20" t="n">
        <f aca="false">IF(AND(H_Direct=0,H_TaxEvt=1,ASP85+1&gt;=H_Deemed),ALP86,AIC86)</f>
        <v>0</v>
      </c>
      <c r="APD86" s="20" t="n">
        <f aca="false">IF(AND(H_Direct=0,H_TaxEvt=1,ASQ85+1&gt;=H_Deemed),ALQ86,AID86)</f>
        <v>0</v>
      </c>
      <c r="APE86" s="20" t="n">
        <f aca="false">IF(AND(H_Direct=0,H_TaxEvt=1,ASR85+1&gt;=H_Deemed),ALR86,AIE86)</f>
        <v>0</v>
      </c>
      <c r="APF86" s="20" t="n">
        <f aca="false">IF(AND(H_Direct=0,H_TaxEvt=1,ASS85+1&gt;=H_Deemed),ALS86,AIF86)</f>
        <v>0</v>
      </c>
      <c r="APG86" s="20" t="n">
        <f aca="false">IF(AND(H_Direct=0,H_TaxEvt=1,AST85+1&gt;=H_Deemed),ALT86,AIG86)</f>
        <v>0</v>
      </c>
      <c r="APH86" s="20" t="n">
        <f aca="false">IF(AND(H_Direct=0,H_TaxEvt=1,ASU85+1&gt;=H_Deemed),ALU86,AIH86)</f>
        <v>0</v>
      </c>
      <c r="API86" s="20" t="n">
        <f aca="false">IF(AND(H_Direct=0,H_TaxEvt=1,ASV85+1&gt;=H_Deemed),ALV86,AII86)</f>
        <v>0</v>
      </c>
      <c r="APJ86" s="20" t="n">
        <f aca="false">IF(AND(H_Direct=0,H_TaxEvt=1,ASW85+1&gt;=H_Deemed),ALW86,AIJ86)</f>
        <v>0</v>
      </c>
      <c r="APK86" s="20" t="n">
        <f aca="false">IF(AND(H_Direct=0,H_TaxEvt=1,ASX85+1&gt;=H_Deemed),ALX86,AIK86)</f>
        <v>0</v>
      </c>
      <c r="APL86" s="20" t="n">
        <f aca="false">IF(AND(H_Direct=0,H_TaxEvt=1,ASY85+1&gt;=H_Deemed),ALY86,AIL86)</f>
        <v>0</v>
      </c>
      <c r="APM86" s="20" t="n">
        <f aca="false">IF(AND(H_Direct=0,H_TaxEvt=1,ASZ85+1&gt;=H_Deemed),ALZ86,AIM86)</f>
        <v>0</v>
      </c>
      <c r="APN86" s="20" t="n">
        <f aca="false">IF(AND(H_Direct=0,H_TaxEvt=1,ATA85+1&gt;=H_Deemed),AMA86,AIN86)</f>
        <v>0</v>
      </c>
      <c r="APO86" s="20" t="n">
        <f aca="false">IF(AND(H_Direct=0,H_TaxEvt=1,ATB85+1&gt;=H_Deemed),AMB86,AIO86)</f>
        <v>0</v>
      </c>
      <c r="APP86" s="20" t="n">
        <f aca="false">IF(AND(H_Direct=0,H_TaxEvt=1,ATC85+1&gt;=H_Deemed),AMC86,AIP86)</f>
        <v>0</v>
      </c>
      <c r="APQ86" s="20" t="n">
        <f aca="false">IF(AND(H_Direct=0,H_TaxEvt=1,ATD85+1&gt;=H_Deemed),AMD86,AIQ86)</f>
        <v>0</v>
      </c>
      <c r="APR86" s="20" t="n">
        <f aca="false">IF(AND(H_Direct=0,H_TaxEvt=1,ATE85+1&gt;=H_Deemed),AME86,AIR86)</f>
        <v>0</v>
      </c>
      <c r="APS86" s="20" t="n">
        <f aca="false">IF(AND(H_Direct=0,H_TaxEvt=1,ATF85+1&gt;=H_Deemed),AMF86,AIS86)</f>
        <v>0</v>
      </c>
      <c r="APT86" s="20" t="n">
        <f aca="false">IF(AND(H_Direct=0,H_TaxEvt=1,ATG85+1&gt;=H_Deemed),AMG86,AIT86)</f>
        <v>0</v>
      </c>
      <c r="APU86" s="20" t="n">
        <f aca="false">IF(AND(H_Direct=0,H_TaxEvt=1,ATH85+1&gt;=H_Deemed),AMH86,AIU86)</f>
        <v>0</v>
      </c>
      <c r="APV86" s="20" t="n">
        <f aca="false">IF(AND(H_Direct=0,H_TaxEvt=1,ATI85+1&gt;=H_Deemed),AMI86,AIV86)</f>
        <v>0</v>
      </c>
      <c r="APW86" s="20" t="n">
        <f aca="false">IF(AND(H_Direct=0,H_TaxEvt=1,ATJ85+1&gt;=H_Deemed),AMJ86,AIW86)</f>
        <v>0</v>
      </c>
      <c r="APX86" s="20" t="n">
        <f aca="false">IF(AND(H_Direct=0,H_TaxEvt=1,ATK85+1&gt;=H_Deemed),AMK86,AIX86)</f>
        <v>0</v>
      </c>
      <c r="APY86" s="20" t="n">
        <f aca="false">IF(AND(H_Direct=0,H_TaxEvt=1,ATL85+1&gt;=H_Deemed),AML86,AIY86)</f>
        <v>0</v>
      </c>
      <c r="APZ86" s="20" t="n">
        <f aca="false">IF(AND(H_Direct=0,H_TaxEvt=1,ATM85+1&gt;=H_Deemed),AMM86,AIZ86)</f>
        <v>0</v>
      </c>
      <c r="AQA86" s="20" t="n">
        <f aca="false">IF(AND(H_Direct=0,H_TaxEvt=1,ATN85+1&gt;=H_Deemed),AMN86,AJA86)</f>
        <v>0</v>
      </c>
      <c r="AQB86" s="20" t="n">
        <f aca="false">IF(AND(H_Direct=0,H_TaxEvt=1,ATO85+1&gt;=H_Deemed),AMO86,AJB86)</f>
        <v>0</v>
      </c>
      <c r="AQC86" s="20" t="n">
        <f aca="false">IF(AND(H_Direct=0,H_TaxEvt=1,ATP85+1&gt;=H_Deemed),AMP86,AJC86)</f>
        <v>0</v>
      </c>
      <c r="AQD86" s="20" t="n">
        <f aca="false">IF(AND(H_Direct=0,H_TaxEvt=1,ATQ85+1&gt;=H_Deemed),AMQ86,AJD86)</f>
        <v>0</v>
      </c>
      <c r="AQE86" s="20" t="n">
        <f aca="false">IF(AND(H_Direct=0,H_TaxEvt=1,ATR85+1&gt;=H_Deemed),AMR86,AJE86)</f>
        <v>0</v>
      </c>
      <c r="AQF86" s="20" t="n">
        <f aca="false">IF(AND(H_Direct=0,H_TaxEvt=1,ATS85+1&gt;=H_Deemed),AMS86,AJF86)</f>
        <v>0</v>
      </c>
      <c r="AQG86" s="20" t="n">
        <f aca="false">IF(AND(H_Direct=0,H_TaxEvt=1,ATT85+1&gt;=H_Deemed),AMT86,AJG86)</f>
        <v>0</v>
      </c>
      <c r="AQH86" s="20" t="n">
        <f aca="false">IF(AND(H_Direct=0,H_TaxEvt=1,ATU85+1&gt;=H_Deemed),AMU86,AJH86)</f>
        <v>0</v>
      </c>
      <c r="AQI86" s="20" t="n">
        <f aca="false">IF(AND(H_Direct=0,H_TaxEvt=1,ATV85+1&gt;=H_Deemed),AMV86,AJI86)</f>
        <v>0</v>
      </c>
      <c r="AQJ86" s="20" t="n">
        <f aca="false">IF(AND(H_Direct=0,H_TaxEvt=1,ATW85+1&gt;=H_Deemed),AMW86,AJJ86)</f>
        <v>0</v>
      </c>
      <c r="AQK86" s="20" t="n">
        <f aca="false">IF(AND(H_Direct=0,H_TaxEvt=1,ATX85+1&gt;=H_Deemed),AMX86,AJK86)</f>
        <v>0</v>
      </c>
      <c r="AQL86" s="20" t="n">
        <f aca="false">IF(AND(H_Direct=0,H_TaxEvt=1,ATY85+1&gt;=H_Deemed),AMY86,AJL86)</f>
        <v>0</v>
      </c>
      <c r="AQM86" s="20" t="n">
        <f aca="false">IF(AND(H_Direct=0,H_TaxEvt=1,ATZ85+1&gt;=H_Deemed),AMZ86,AJM86)</f>
        <v>0</v>
      </c>
      <c r="AQN86" s="20" t="n">
        <f aca="false">IF(AND(H_Direct=0,H_TaxEvt=1,AUA85+1&gt;=H_Deemed),ANA86,AJN86)</f>
        <v>0</v>
      </c>
      <c r="AQO86" s="20" t="n">
        <f aca="false">IF(AND(H_Direct=0,H_TaxEvt=1,AUB85+1&gt;=H_Deemed),ANB86,AJO86)</f>
        <v>0</v>
      </c>
      <c r="AQP86" s="20" t="n">
        <f aca="false">IF(AND(H_Direct=0,H_TaxEvt=1,AUC85+1&gt;=H_Deemed),ANC86,AJP86)</f>
        <v>0</v>
      </c>
      <c r="AQQ86" s="20" t="n">
        <f aca="false">IF(AND(H_Direct=0,H_TaxEvt=1,AUD85+1&gt;=H_Deemed),AND86,AJQ86)</f>
        <v>0</v>
      </c>
      <c r="AQR86" s="20" t="n">
        <f aca="false">IF(AND(H_Direct=0,H_TaxEvt=1,AUE85+1&gt;=H_Deemed),ANE86,AJR86)</f>
        <v>0</v>
      </c>
      <c r="AQS86" s="20" t="n">
        <f aca="false">IF(AND(H_Direct=0,H_TaxEvt=1,AUF85+1&gt;=H_Deemed),ANF86,AJS86)</f>
        <v>0</v>
      </c>
      <c r="AQT86" s="20" t="n">
        <f aca="false">IF(AND(H_Direct=0,H_TaxEvt=1,AUG85+1&gt;=H_Deemed),ANG86,AJT86)</f>
        <v>0</v>
      </c>
      <c r="AQU86" s="20" t="n">
        <f aca="false">IF(AND(H_Direct=0,H_TaxEvt=1,AUH85+1&gt;=H_Deemed),ANH86,AJU86)</f>
        <v>0</v>
      </c>
      <c r="AQV86" s="20" t="n">
        <f aca="false">IF(AND(H_Direct=0,H_TaxEvt=1,AUI85+1&gt;=H_Deemed),ANI86,AJV86)</f>
        <v>0</v>
      </c>
      <c r="AQW86" s="20" t="n">
        <f aca="false">IF(AND(H_Direct=0,H_TaxEvt=1,AUJ85+1&gt;=H_Deemed),ANJ86,AJW86)</f>
        <v>0</v>
      </c>
      <c r="AQX86" s="20" t="n">
        <f aca="false">IF(AND(H_Direct=0,H_TaxEvt=1,AUK85+1&gt;=H_Deemed),ANK86,AJX86)</f>
        <v>0</v>
      </c>
      <c r="AQY86" s="20" t="n">
        <f aca="false">IF(AND(H_Direct=0,H_TaxEvt=1,AUL85+1&gt;=H_Deemed),ANL86,AJY86)</f>
        <v>0</v>
      </c>
      <c r="AQZ86" s="20" t="n">
        <f aca="false">IF(AND(H_Direct=0,H_TaxEvt=1,AUM85+1&gt;=H_Deemed),ANM86,AJZ86)</f>
        <v>0</v>
      </c>
      <c r="ARA86" s="20" t="n">
        <f aca="false">IF(AND(H_Direct=0,H_TaxEvt=1,AUN85+1&gt;=H_Deemed),ANN86,AKA86)</f>
        <v>0</v>
      </c>
      <c r="ARB86" s="20" t="n">
        <f aca="false">IF(AND(H_Direct=0,H_TaxEvt=1,AUO85+1&gt;=H_Deemed),ANO86,AKB86)</f>
        <v>0</v>
      </c>
      <c r="ARC86" s="20" t="n">
        <f aca="false">IF(AND(H_Direct=0,H_TaxEvt=1,AUP85+1&gt;=H_Deemed),ANP86,AKC86)</f>
        <v>0</v>
      </c>
      <c r="ARD86" s="20" t="n">
        <f aca="false">IF(AND(H_Direct=0,H_TaxEvt=1,AUQ85+1&gt;=H_Deemed),ANQ86,AKD86)</f>
        <v>0</v>
      </c>
      <c r="ARE86" s="20" t="n">
        <f aca="false">IF(AND(H_Direct=0,H_TaxEvt=1,AUR85+1&gt;=H_Deemed),ANR86,AKE86)</f>
        <v>0</v>
      </c>
      <c r="ARF86" s="20" t="n">
        <f aca="false">IF(AND(H_Direct=0,H_TaxEvt=1,0+1&gt;=H_Deemed),ANS86,AKF86)</f>
        <v>0</v>
      </c>
      <c r="ARG86" s="20" t="n">
        <v>0</v>
      </c>
      <c r="ARH86" s="20" t="n">
        <v>0</v>
      </c>
      <c r="ARI86" s="20" t="n">
        <v>0</v>
      </c>
      <c r="ARJ86" s="20" t="n">
        <v>0</v>
      </c>
      <c r="ARK86" s="20" t="n">
        <v>0</v>
      </c>
      <c r="ARL86" s="20" t="n">
        <v>0</v>
      </c>
      <c r="ARM86" s="20" t="n">
        <v>0</v>
      </c>
      <c r="ARN86" s="20" t="n">
        <v>0</v>
      </c>
      <c r="ARO86" s="20" t="n">
        <v>0</v>
      </c>
      <c r="ARP86" s="20" t="n">
        <v>0</v>
      </c>
      <c r="ARQ86" s="20" t="n">
        <v>0</v>
      </c>
      <c r="ARR86" s="20" t="n">
        <f aca="false">IF(AND(H_Direct=0,H_TaxEvt=1),IF(ARR85+1&gt;=H_Deemed,0,ARR85+1),ARR85)</f>
        <v>7</v>
      </c>
      <c r="ARS86" s="20" t="n">
        <f aca="false">IF(AND(H_Direct=0,H_TaxEvt=1),IF(ARS85+1&gt;=H_Deemed,0,ARS85+1),ARS85)</f>
        <v>7</v>
      </c>
      <c r="ART86" s="20" t="n">
        <f aca="false">IF(AND(H_Direct=0,H_TaxEvt=1),IF(ART85+1&gt;=H_Deemed,0,ART85+1),ART85)</f>
        <v>6</v>
      </c>
      <c r="ARU86" s="20" t="n">
        <f aca="false">IF(AND(H_Direct=0,H_TaxEvt=1),IF(ARU85+1&gt;=H_Deemed,0,ARU85+1),ARU85)</f>
        <v>5</v>
      </c>
      <c r="ARV86" s="20" t="n">
        <f aca="false">IF(AND(H_Direct=0,H_TaxEvt=1),IF(ARV85+1&gt;=H_Deemed,0,ARV85+1),ARV85)</f>
        <v>4</v>
      </c>
      <c r="ARW86" s="20" t="n">
        <f aca="false">IF(AND(H_Direct=0,H_TaxEvt=1),IF(ARW85+1&gt;=H_Deemed,0,ARW85+1),ARW85)</f>
        <v>3</v>
      </c>
      <c r="ARX86" s="20" t="n">
        <f aca="false">IF(AND(H_Direct=0,H_TaxEvt=1),IF(ARX85+1&gt;=H_Deemed,0,ARX85+1),ARX85)</f>
        <v>2</v>
      </c>
      <c r="ARY86" s="20" t="n">
        <f aca="false">IF(AND(H_Direct=0,H_TaxEvt=1),IF(ARY85+1&gt;=H_Deemed,0,ARY85+1),ARY85)</f>
        <v>1</v>
      </c>
      <c r="ARZ86" s="20" t="n">
        <f aca="false">IF(AND(H_Direct=0,H_TaxEvt=1),IF(ARZ85+1&gt;=H_Deemed,0,ARZ85+1),ARZ85)</f>
        <v>0</v>
      </c>
      <c r="ASA86" s="20" t="n">
        <f aca="false">IF(AND(H_Direct=0,H_TaxEvt=1),IF(ASA85+1&gt;=H_Deemed,0,ASA85+1),ASA85)</f>
        <v>7</v>
      </c>
      <c r="ASB86" s="20" t="n">
        <f aca="false">IF(AND(H_Direct=0,H_TaxEvt=1),IF(ASB85+1&gt;=H_Deemed,0,ASB85+1),ASB85)</f>
        <v>6</v>
      </c>
      <c r="ASC86" s="20" t="n">
        <f aca="false">IF(AND(H_Direct=0,H_TaxEvt=1),IF(ASC85+1&gt;=H_Deemed,0,ASC85+1),ASC85)</f>
        <v>5</v>
      </c>
      <c r="ASD86" s="20" t="n">
        <f aca="false">IF(AND(H_Direct=0,H_TaxEvt=1),IF(ASD85+1&gt;=H_Deemed,0,ASD85+1),ASD85)</f>
        <v>4</v>
      </c>
      <c r="ASE86" s="20" t="n">
        <f aca="false">IF(AND(H_Direct=0,H_TaxEvt=1),IF(ASE85+1&gt;=H_Deemed,0,ASE85+1),ASE85)</f>
        <v>3</v>
      </c>
      <c r="ASF86" s="20" t="n">
        <f aca="false">IF(AND(H_Direct=0,H_TaxEvt=1),IF(ASF85+1&gt;=H_Deemed,0,ASF85+1),ASF85)</f>
        <v>2</v>
      </c>
      <c r="ASG86" s="20" t="n">
        <f aca="false">IF(AND(H_Direct=0,H_TaxEvt=1),IF(ASG85+1&gt;=H_Deemed,0,ASG85+1),ASG85)</f>
        <v>1</v>
      </c>
      <c r="ASH86" s="20" t="n">
        <f aca="false">IF(AND(H_Direct=0,H_TaxEvt=1),IF(ASH85+1&gt;=H_Deemed,0,ASH85+1),ASH85)</f>
        <v>0</v>
      </c>
      <c r="ASI86" s="20" t="n">
        <f aca="false">IF(AND(H_Direct=0,H_TaxEvt=1),IF(ASI85+1&gt;=H_Deemed,0,ASI85+1),ASI85)</f>
        <v>7</v>
      </c>
      <c r="ASJ86" s="20" t="n">
        <f aca="false">IF(AND(H_Direct=0,H_TaxEvt=1),IF(ASJ85+1&gt;=H_Deemed,0,ASJ85+1),ASJ85)</f>
        <v>6</v>
      </c>
      <c r="ASK86" s="20" t="n">
        <f aca="false">IF(AND(H_Direct=0,H_TaxEvt=1),IF(ASK85+1&gt;=H_Deemed,0,ASK85+1),ASK85)</f>
        <v>5</v>
      </c>
      <c r="ASL86" s="20" t="n">
        <f aca="false">IF(AND(H_Direct=0,H_TaxEvt=1),IF(ASL85+1&gt;=H_Deemed,0,ASL85+1),ASL85)</f>
        <v>4</v>
      </c>
      <c r="ASM86" s="20" t="n">
        <f aca="false">IF(AND(H_Direct=0,H_TaxEvt=1),IF(ASM85+1&gt;=H_Deemed,0,ASM85+1),ASM85)</f>
        <v>3</v>
      </c>
      <c r="ASN86" s="20" t="n">
        <f aca="false">IF(AND(H_Direct=0,H_TaxEvt=1),IF(ASN85+1&gt;=H_Deemed,0,ASN85+1),ASN85)</f>
        <v>2</v>
      </c>
      <c r="ASO86" s="20" t="n">
        <f aca="false">IF(AND(H_Direct=0,H_TaxEvt=1),IF(ASO85+1&gt;=H_Deemed,0,ASO85+1),ASO85)</f>
        <v>1</v>
      </c>
      <c r="ASP86" s="20" t="n">
        <f aca="false">IF(AND(H_Direct=0,H_TaxEvt=1),IF(ASP85+1&gt;=H_Deemed,0,ASP85+1),ASP85)</f>
        <v>0</v>
      </c>
      <c r="ASQ86" s="20" t="n">
        <f aca="false">IF(AND(H_Direct=0,H_TaxEvt=1),IF(ASQ85+1&gt;=H_Deemed,0,ASQ85+1),ASQ85)</f>
        <v>7</v>
      </c>
      <c r="ASR86" s="20" t="n">
        <f aca="false">IF(AND(H_Direct=0,H_TaxEvt=1),IF(ASR85+1&gt;=H_Deemed,0,ASR85+1),ASR85)</f>
        <v>6</v>
      </c>
      <c r="ASS86" s="20" t="n">
        <f aca="false">IF(AND(H_Direct=0,H_TaxEvt=1),IF(ASS85+1&gt;=H_Deemed,0,ASS85+1),ASS85)</f>
        <v>5</v>
      </c>
      <c r="AST86" s="20" t="n">
        <f aca="false">IF(AND(H_Direct=0,H_TaxEvt=1),IF(AST85+1&gt;=H_Deemed,0,AST85+1),AST85)</f>
        <v>4</v>
      </c>
      <c r="ASU86" s="20" t="n">
        <f aca="false">IF(AND(H_Direct=0,H_TaxEvt=1),IF(ASU85+1&gt;=H_Deemed,0,ASU85+1),ASU85)</f>
        <v>3</v>
      </c>
      <c r="ASV86" s="20" t="n">
        <f aca="false">IF(AND(H_Direct=0,H_TaxEvt=1),IF(ASV85+1&gt;=H_Deemed,0,ASV85+1),ASV85)</f>
        <v>2</v>
      </c>
      <c r="ASW86" s="20" t="n">
        <f aca="false">IF(AND(H_Direct=0,H_TaxEvt=1),IF(ASW85+1&gt;=H_Deemed,0,ASW85+1),ASW85)</f>
        <v>1</v>
      </c>
      <c r="ASX86" s="20" t="n">
        <f aca="false">IF(AND(H_Direct=0,H_TaxEvt=1),IF(ASX85+1&gt;=H_Deemed,0,ASX85+1),ASX85)</f>
        <v>0</v>
      </c>
      <c r="ASY86" s="20" t="n">
        <f aca="false">IF(AND(H_Direct=0,H_TaxEvt=1),IF(ASY85+1&gt;=H_Deemed,0,ASY85+1),ASY85)</f>
        <v>7</v>
      </c>
      <c r="ASZ86" s="20" t="n">
        <f aca="false">IF(AND(H_Direct=0,H_TaxEvt=1),IF(ASZ85+1&gt;=H_Deemed,0,ASZ85+1),ASZ85)</f>
        <v>6</v>
      </c>
      <c r="ATA86" s="20" t="n">
        <f aca="false">IF(AND(H_Direct=0,H_TaxEvt=1),IF(ATA85+1&gt;=H_Deemed,0,ATA85+1),ATA85)</f>
        <v>5</v>
      </c>
      <c r="ATB86" s="20" t="n">
        <f aca="false">IF(AND(H_Direct=0,H_TaxEvt=1),IF(ATB85+1&gt;=H_Deemed,0,ATB85+1),ATB85)</f>
        <v>4</v>
      </c>
      <c r="ATC86" s="20" t="n">
        <f aca="false">IF(AND(H_Direct=0,H_TaxEvt=1),IF(ATC85+1&gt;=H_Deemed,0,ATC85+1),ATC85)</f>
        <v>3</v>
      </c>
      <c r="ATD86" s="20" t="n">
        <f aca="false">IF(AND(H_Direct=0,H_TaxEvt=1),IF(ATD85+1&gt;=H_Deemed,0,ATD85+1),ATD85)</f>
        <v>2</v>
      </c>
      <c r="ATE86" s="20" t="n">
        <f aca="false">IF(AND(H_Direct=0,H_TaxEvt=1),IF(ATE85+1&gt;=H_Deemed,0,ATE85+1),ATE85)</f>
        <v>1</v>
      </c>
      <c r="ATF86" s="20" t="n">
        <f aca="false">IF(AND(H_Direct=0,H_TaxEvt=1),IF(ATF85+1&gt;=H_Deemed,0,ATF85+1),ATF85)</f>
        <v>0</v>
      </c>
      <c r="ATG86" s="20" t="n">
        <f aca="false">IF(AND(H_Direct=0,H_TaxEvt=1),IF(ATG85+1&gt;=H_Deemed,0,ATG85+1),ATG85)</f>
        <v>7</v>
      </c>
      <c r="ATH86" s="20" t="n">
        <f aca="false">IF(AND(H_Direct=0,H_TaxEvt=1),IF(ATH85+1&gt;=H_Deemed,0,ATH85+1),ATH85)</f>
        <v>6</v>
      </c>
      <c r="ATI86" s="20" t="n">
        <f aca="false">IF(AND(H_Direct=0,H_TaxEvt=1),IF(ATI85+1&gt;=H_Deemed,0,ATI85+1),ATI85)</f>
        <v>5</v>
      </c>
      <c r="ATJ86" s="20" t="n">
        <f aca="false">IF(AND(H_Direct=0,H_TaxEvt=1),IF(ATJ85+1&gt;=H_Deemed,0,ATJ85+1),ATJ85)</f>
        <v>4</v>
      </c>
      <c r="ATK86" s="20" t="n">
        <f aca="false">IF(AND(H_Direct=0,H_TaxEvt=1),IF(ATK85+1&gt;=H_Deemed,0,ATK85+1),ATK85)</f>
        <v>3</v>
      </c>
      <c r="ATL86" s="20" t="n">
        <f aca="false">IF(AND(H_Direct=0,H_TaxEvt=1),IF(ATL85+1&gt;=H_Deemed,0,ATL85+1),ATL85)</f>
        <v>2</v>
      </c>
      <c r="ATM86" s="20" t="n">
        <f aca="false">IF(AND(H_Direct=0,H_TaxEvt=1),IF(ATM85+1&gt;=H_Deemed,0,ATM85+1),ATM85)</f>
        <v>1</v>
      </c>
      <c r="ATN86" s="20" t="n">
        <f aca="false">IF(AND(H_Direct=0,H_TaxEvt=1),IF(ATN85+1&gt;=H_Deemed,0,ATN85+1),ATN85)</f>
        <v>0</v>
      </c>
      <c r="ATO86" s="20" t="n">
        <f aca="false">IF(AND(H_Direct=0,H_TaxEvt=1),IF(ATO85+1&gt;=H_Deemed,0,ATO85+1),ATO85)</f>
        <v>7</v>
      </c>
      <c r="ATP86" s="20" t="n">
        <f aca="false">IF(AND(H_Direct=0,H_TaxEvt=1),IF(ATP85+1&gt;=H_Deemed,0,ATP85+1),ATP85)</f>
        <v>6</v>
      </c>
      <c r="ATQ86" s="20" t="n">
        <f aca="false">IF(AND(H_Direct=0,H_TaxEvt=1),IF(ATQ85+1&gt;=H_Deemed,0,ATQ85+1),ATQ85)</f>
        <v>5</v>
      </c>
      <c r="ATR86" s="20" t="n">
        <f aca="false">IF(AND(H_Direct=0,H_TaxEvt=1),IF(ATR85+1&gt;=H_Deemed,0,ATR85+1),ATR85)</f>
        <v>4</v>
      </c>
      <c r="ATS86" s="20" t="n">
        <f aca="false">IF(AND(H_Direct=0,H_TaxEvt=1),IF(ATS85+1&gt;=H_Deemed,0,ATS85+1),ATS85)</f>
        <v>3</v>
      </c>
      <c r="ATT86" s="20" t="n">
        <f aca="false">IF(AND(H_Direct=0,H_TaxEvt=1),IF(ATT85+1&gt;=H_Deemed,0,ATT85+1),ATT85)</f>
        <v>2</v>
      </c>
      <c r="ATU86" s="20" t="n">
        <f aca="false">IF(AND(H_Direct=0,H_TaxEvt=1),IF(ATU85+1&gt;=H_Deemed,0,ATU85+1),ATU85)</f>
        <v>1</v>
      </c>
      <c r="ATV86" s="20" t="n">
        <f aca="false">IF(AND(H_Direct=0,H_TaxEvt=1),IF(ATV85+1&gt;=H_Deemed,0,ATV85+1),ATV85)</f>
        <v>0</v>
      </c>
      <c r="ATW86" s="20" t="n">
        <f aca="false">IF(AND(H_Direct=0,H_TaxEvt=1),IF(ATW85+1&gt;=H_Deemed,0,ATW85+1),ATW85)</f>
        <v>7</v>
      </c>
      <c r="ATX86" s="20" t="n">
        <f aca="false">IF(AND(H_Direct=0,H_TaxEvt=1),IF(ATX85+1&gt;=H_Deemed,0,ATX85+1),ATX85)</f>
        <v>6</v>
      </c>
      <c r="ATY86" s="20" t="n">
        <f aca="false">IF(AND(H_Direct=0,H_TaxEvt=1),IF(ATY85+1&gt;=H_Deemed,0,ATY85+1),ATY85)</f>
        <v>5</v>
      </c>
      <c r="ATZ86" s="20" t="n">
        <f aca="false">IF(AND(H_Direct=0,H_TaxEvt=1),IF(ATZ85+1&gt;=H_Deemed,0,ATZ85+1),ATZ85)</f>
        <v>4</v>
      </c>
      <c r="AUA86" s="20" t="n">
        <f aca="false">IF(AND(H_Direct=0,H_TaxEvt=1),IF(AUA85+1&gt;=H_Deemed,0,AUA85+1),AUA85)</f>
        <v>3</v>
      </c>
      <c r="AUB86" s="20" t="n">
        <f aca="false">IF(AND(H_Direct=0,H_TaxEvt=1),IF(AUB85+1&gt;=H_Deemed,0,AUB85+1),AUB85)</f>
        <v>2</v>
      </c>
      <c r="AUC86" s="20" t="n">
        <f aca="false">IF(AND(H_Direct=0,H_TaxEvt=1),IF(AUC85+1&gt;=H_Deemed,0,AUC85+1),AUC85)</f>
        <v>1</v>
      </c>
      <c r="AUD86" s="20" t="n">
        <f aca="false">IF(AND(H_Direct=0,H_TaxEvt=1),IF(AUD85+1&gt;=H_Deemed,0,AUD85+1),AUD85)</f>
        <v>0</v>
      </c>
      <c r="AUE86" s="20" t="n">
        <f aca="false">IF(AND(H_Direct=0,H_TaxEvt=1),IF(AUE85+1&gt;=H_Deemed,0,AUE85+1),AUE85)</f>
        <v>7</v>
      </c>
      <c r="AUF86" s="20" t="n">
        <f aca="false">IF(AND(H_Direct=0,H_TaxEvt=1),IF(AUF85+1&gt;=H_Deemed,0,AUF85+1),AUF85)</f>
        <v>6</v>
      </c>
      <c r="AUG86" s="20" t="n">
        <f aca="false">IF(AND(H_Direct=0,H_TaxEvt=1),IF(AUG85+1&gt;=H_Deemed,0,AUG85+1),AUG85)</f>
        <v>5</v>
      </c>
      <c r="AUH86" s="20" t="n">
        <f aca="false">IF(AND(H_Direct=0,H_TaxEvt=1),IF(AUH85+1&gt;=H_Deemed,0,AUH85+1),AUH85)</f>
        <v>4</v>
      </c>
      <c r="AUI86" s="20" t="n">
        <f aca="false">IF(AND(H_Direct=0,H_TaxEvt=1),IF(AUI85+1&gt;=H_Deemed,0,AUI85+1),AUI85)</f>
        <v>3</v>
      </c>
      <c r="AUJ86" s="20" t="n">
        <f aca="false">IF(AND(H_Direct=0,H_TaxEvt=1),IF(AUJ85+1&gt;=H_Deemed,0,AUJ85+1),AUJ85)</f>
        <v>2</v>
      </c>
      <c r="AUK86" s="20" t="n">
        <f aca="false">IF(AND(H_Direct=0,H_TaxEvt=1),IF(AUK85+1&gt;=H_Deemed,0,AUK85+1),AUK85)</f>
        <v>1</v>
      </c>
      <c r="AUL86" s="20" t="n">
        <f aca="false">IF(AND(H_Direct=0,H_TaxEvt=1),IF(AUL85+1&gt;=H_Deemed,0,AUL85+1),AUL85)</f>
        <v>0</v>
      </c>
      <c r="AUM86" s="20" t="n">
        <f aca="false">IF(AND(H_Direct=0,H_TaxEvt=1),IF(AUM85+1&gt;=H_Deemed,0,AUM85+1),AUM85)</f>
        <v>7</v>
      </c>
      <c r="AUN86" s="20" t="n">
        <f aca="false">IF(AND(H_Direct=0,H_TaxEvt=1),IF(AUN85+1&gt;=H_Deemed,0,AUN85+1),AUN85)</f>
        <v>6</v>
      </c>
      <c r="AUO86" s="20" t="n">
        <f aca="false">IF(AND(H_Direct=0,H_TaxEvt=1),IF(AUO85+1&gt;=H_Deemed,0,AUO85+1),AUO85)</f>
        <v>5</v>
      </c>
      <c r="AUP86" s="20" t="n">
        <f aca="false">IF(AND(H_Direct=0,H_TaxEvt=1),IF(AUP85+1&gt;=H_Deemed,0,AUP85+1),AUP85)</f>
        <v>4</v>
      </c>
      <c r="AUQ86" s="20" t="n">
        <f aca="false">IF(AND(H_Direct=0,H_TaxEvt=1),IF(AUQ85+1&gt;=H_Deemed,0,AUQ85+1),AUQ85)</f>
        <v>3</v>
      </c>
      <c r="AUR86" s="20" t="n">
        <f aca="false">IF(AND(H_Direct=0,H_TaxEvt=1),IF(AUR85+1&gt;=H_Deemed,0,AUR85+1),AUR85)</f>
        <v>2</v>
      </c>
      <c r="AUS86" s="20" t="n">
        <f aca="false">IF(AND(H_Direct=0,H_TaxEvt=1),IF(0+1&gt;=H_Deemed,0,0+1),0)</f>
        <v>1</v>
      </c>
      <c r="AUT86" s="20" t="n">
        <v>0</v>
      </c>
      <c r="AUU86" s="20" t="n">
        <v>0</v>
      </c>
      <c r="AUV86" s="20" t="n">
        <v>0</v>
      </c>
      <c r="AUW86" s="20" t="n">
        <v>0</v>
      </c>
      <c r="AUX86" s="20" t="n">
        <v>0</v>
      </c>
      <c r="AUY86" s="20" t="n">
        <v>0</v>
      </c>
      <c r="AUZ86" s="20" t="n">
        <v>0</v>
      </c>
      <c r="AVA86" s="20" t="n">
        <v>0</v>
      </c>
      <c r="AVB86" s="20" t="n">
        <v>0</v>
      </c>
      <c r="AVC86" s="20" t="n">
        <v>0</v>
      </c>
      <c r="AVD86" s="20" t="n">
        <v>0</v>
      </c>
      <c r="AVE86" s="20" t="n">
        <f aca="false">IF(AND(H_Direct=0,H_TaxEvt=1,ARR85+1&gt;=H_Deemed),MAX(0,ADR86-AHE86)*H_Exit,0)</f>
        <v>0</v>
      </c>
      <c r="AVF86" s="20" t="n">
        <f aca="false">IF(AND(H_Direct=0,H_TaxEvt=1,ARS85+1&gt;=H_Deemed),MAX(0,ADS86-AHF86)*H_Exit,0)</f>
        <v>0</v>
      </c>
      <c r="AVG86" s="20" t="n">
        <f aca="false">IF(AND(H_Direct=0,H_TaxEvt=1,ART85+1&gt;=H_Deemed),MAX(0,ADT86-AHG86)*H_Exit,0)</f>
        <v>0</v>
      </c>
      <c r="AVH86" s="20" t="n">
        <f aca="false">IF(AND(H_Direct=0,H_TaxEvt=1,ARU85+1&gt;=H_Deemed),MAX(0,ADU86-AHH86)*H_Exit,0)</f>
        <v>0</v>
      </c>
      <c r="AVI86" s="20" t="n">
        <f aca="false">IF(AND(H_Direct=0,H_TaxEvt=1,ARV85+1&gt;=H_Deemed),MAX(0,ADV86-AHI86)*H_Exit,0)</f>
        <v>0</v>
      </c>
      <c r="AVJ86" s="20" t="n">
        <f aca="false">IF(AND(H_Direct=0,H_TaxEvt=1,ARW85+1&gt;=H_Deemed),MAX(0,ADW86-AHJ86)*H_Exit,0)</f>
        <v>0</v>
      </c>
      <c r="AVK86" s="20" t="n">
        <f aca="false">IF(AND(H_Direct=0,H_TaxEvt=1,ARX85+1&gt;=H_Deemed),MAX(0,ADX86-AHK86)*H_Exit,0)</f>
        <v>0</v>
      </c>
      <c r="AVL86" s="20" t="n">
        <f aca="false">IF(AND(H_Direct=0,H_TaxEvt=1,ARY85+1&gt;=H_Deemed),MAX(0,ADY86-AHL86)*H_Exit,0)</f>
        <v>0</v>
      </c>
      <c r="AVM86" s="20" t="n">
        <f aca="false">IF(AND(H_Direct=0,H_TaxEvt=1,ARZ85+1&gt;=H_Deemed),MAX(0,ADZ86-AHM86)*H_Exit,0)</f>
        <v>0</v>
      </c>
      <c r="AVN86" s="20" t="n">
        <f aca="false">IF(AND(H_Direct=0,H_TaxEvt=1,ASA85+1&gt;=H_Deemed),MAX(0,AEA86-AHN86)*H_Exit,0)</f>
        <v>0</v>
      </c>
      <c r="AVO86" s="20" t="n">
        <f aca="false">IF(AND(H_Direct=0,H_TaxEvt=1,ASB85+1&gt;=H_Deemed),MAX(0,AEB86-AHO86)*H_Exit,0)</f>
        <v>0</v>
      </c>
      <c r="AVP86" s="20" t="n">
        <f aca="false">IF(AND(H_Direct=0,H_TaxEvt=1,ASC85+1&gt;=H_Deemed),MAX(0,AEC86-AHP86)*H_Exit,0)</f>
        <v>0</v>
      </c>
      <c r="AVQ86" s="20" t="n">
        <f aca="false">IF(AND(H_Direct=0,H_TaxEvt=1,ASD85+1&gt;=H_Deemed),MAX(0,AED86-AHQ86)*H_Exit,0)</f>
        <v>0</v>
      </c>
      <c r="AVR86" s="20" t="n">
        <f aca="false">IF(AND(H_Direct=0,H_TaxEvt=1,ASE85+1&gt;=H_Deemed),MAX(0,AEE86-AHR86)*H_Exit,0)</f>
        <v>0</v>
      </c>
      <c r="AVS86" s="20" t="n">
        <f aca="false">IF(AND(H_Direct=0,H_TaxEvt=1,ASF85+1&gt;=H_Deemed),MAX(0,AEF86-AHS86)*H_Exit,0)</f>
        <v>0</v>
      </c>
      <c r="AVT86" s="20" t="n">
        <f aca="false">IF(AND(H_Direct=0,H_TaxEvt=1,ASG85+1&gt;=H_Deemed),MAX(0,AEG86-AHT86)*H_Exit,0)</f>
        <v>0</v>
      </c>
      <c r="AVU86" s="20" t="n">
        <f aca="false">IF(AND(H_Direct=0,H_TaxEvt=1,ASH85+1&gt;=H_Deemed),MAX(0,AEH86-AHU86)*H_Exit,0)</f>
        <v>0</v>
      </c>
      <c r="AVV86" s="20" t="n">
        <f aca="false">IF(AND(H_Direct=0,H_TaxEvt=1,ASI85+1&gt;=H_Deemed),MAX(0,AEI86-AHV86)*H_Exit,0)</f>
        <v>0</v>
      </c>
      <c r="AVW86" s="20" t="n">
        <f aca="false">IF(AND(H_Direct=0,H_TaxEvt=1,ASJ85+1&gt;=H_Deemed),MAX(0,AEJ86-AHW86)*H_Exit,0)</f>
        <v>0</v>
      </c>
      <c r="AVX86" s="20" t="n">
        <f aca="false">IF(AND(H_Direct=0,H_TaxEvt=1,ASK85+1&gt;=H_Deemed),MAX(0,AEK86-AHX86)*H_Exit,0)</f>
        <v>0</v>
      </c>
      <c r="AVY86" s="20" t="n">
        <f aca="false">IF(AND(H_Direct=0,H_TaxEvt=1,ASL85+1&gt;=H_Deemed),MAX(0,AEL86-AHY86)*H_Exit,0)</f>
        <v>0</v>
      </c>
      <c r="AVZ86" s="20" t="n">
        <f aca="false">IF(AND(H_Direct=0,H_TaxEvt=1,ASM85+1&gt;=H_Deemed),MAX(0,AEM86-AHZ86)*H_Exit,0)</f>
        <v>0</v>
      </c>
      <c r="AWA86" s="20" t="n">
        <f aca="false">IF(AND(H_Direct=0,H_TaxEvt=1,ASN85+1&gt;=H_Deemed),MAX(0,AEN86-AIA86)*H_Exit,0)</f>
        <v>0</v>
      </c>
      <c r="AWB86" s="20" t="n">
        <f aca="false">IF(AND(H_Direct=0,H_TaxEvt=1,ASO85+1&gt;=H_Deemed),MAX(0,AEO86-AIB86)*H_Exit,0)</f>
        <v>0</v>
      </c>
      <c r="AWC86" s="20" t="n">
        <f aca="false">IF(AND(H_Direct=0,H_TaxEvt=1,ASP85+1&gt;=H_Deemed),MAX(0,AEP86-AIC86)*H_Exit,0)</f>
        <v>0</v>
      </c>
      <c r="AWD86" s="20" t="n">
        <f aca="false">IF(AND(H_Direct=0,H_TaxEvt=1,ASQ85+1&gt;=H_Deemed),MAX(0,AEQ86-AID86)*H_Exit,0)</f>
        <v>0</v>
      </c>
      <c r="AWE86" s="20" t="n">
        <f aca="false">IF(AND(H_Direct=0,H_TaxEvt=1,ASR85+1&gt;=H_Deemed),MAX(0,AER86-AIE86)*H_Exit,0)</f>
        <v>0</v>
      </c>
      <c r="AWF86" s="20" t="n">
        <f aca="false">IF(AND(H_Direct=0,H_TaxEvt=1,ASS85+1&gt;=H_Deemed),MAX(0,AES86-AIF86)*H_Exit,0)</f>
        <v>0</v>
      </c>
      <c r="AWG86" s="20" t="n">
        <f aca="false">IF(AND(H_Direct=0,H_TaxEvt=1,AST85+1&gt;=H_Deemed),MAX(0,AET86-AIG86)*H_Exit,0)</f>
        <v>0</v>
      </c>
      <c r="AWH86" s="20" t="n">
        <f aca="false">IF(AND(H_Direct=0,H_TaxEvt=1,ASU85+1&gt;=H_Deemed),MAX(0,AEU86-AIH86)*H_Exit,0)</f>
        <v>0</v>
      </c>
      <c r="AWI86" s="20" t="n">
        <f aca="false">IF(AND(H_Direct=0,H_TaxEvt=1,ASV85+1&gt;=H_Deemed),MAX(0,AEV86-AII86)*H_Exit,0)</f>
        <v>0</v>
      </c>
      <c r="AWJ86" s="20" t="n">
        <f aca="false">IF(AND(H_Direct=0,H_TaxEvt=1,ASW85+1&gt;=H_Deemed),MAX(0,AEW86-AIJ86)*H_Exit,0)</f>
        <v>0</v>
      </c>
      <c r="AWK86" s="20" t="n">
        <f aca="false">IF(AND(H_Direct=0,H_TaxEvt=1,ASX85+1&gt;=H_Deemed),MAX(0,AEX86-AIK86)*H_Exit,0)</f>
        <v>0</v>
      </c>
      <c r="AWL86" s="20" t="n">
        <f aca="false">IF(AND(H_Direct=0,H_TaxEvt=1,ASY85+1&gt;=H_Deemed),MAX(0,AEY86-AIL86)*H_Exit,0)</f>
        <v>0</v>
      </c>
      <c r="AWM86" s="20" t="n">
        <f aca="false">IF(AND(H_Direct=0,H_TaxEvt=1,ASZ85+1&gt;=H_Deemed),MAX(0,AEZ86-AIM86)*H_Exit,0)</f>
        <v>0</v>
      </c>
      <c r="AWN86" s="20" t="n">
        <f aca="false">IF(AND(H_Direct=0,H_TaxEvt=1,ATA85+1&gt;=H_Deemed),MAX(0,AFA86-AIN86)*H_Exit,0)</f>
        <v>0</v>
      </c>
      <c r="AWO86" s="20" t="n">
        <f aca="false">IF(AND(H_Direct=0,H_TaxEvt=1,ATB85+1&gt;=H_Deemed),MAX(0,AFB86-AIO86)*H_Exit,0)</f>
        <v>0</v>
      </c>
      <c r="AWP86" s="20" t="n">
        <f aca="false">IF(AND(H_Direct=0,H_TaxEvt=1,ATC85+1&gt;=H_Deemed),MAX(0,AFC86-AIP86)*H_Exit,0)</f>
        <v>0</v>
      </c>
      <c r="AWQ86" s="20" t="n">
        <f aca="false">IF(AND(H_Direct=0,H_TaxEvt=1,ATD85+1&gt;=H_Deemed),MAX(0,AFD86-AIQ86)*H_Exit,0)</f>
        <v>0</v>
      </c>
      <c r="AWR86" s="20" t="n">
        <f aca="false">IF(AND(H_Direct=0,H_TaxEvt=1,ATE85+1&gt;=H_Deemed),MAX(0,AFE86-AIR86)*H_Exit,0)</f>
        <v>0</v>
      </c>
      <c r="AWS86" s="20" t="n">
        <f aca="false">IF(AND(H_Direct=0,H_TaxEvt=1,ATF85+1&gt;=H_Deemed),MAX(0,AFF86-AIS86)*H_Exit,0)</f>
        <v>0</v>
      </c>
      <c r="AWT86" s="20" t="n">
        <f aca="false">IF(AND(H_Direct=0,H_TaxEvt=1,ATG85+1&gt;=H_Deemed),MAX(0,AFG86-AIT86)*H_Exit,0)</f>
        <v>0</v>
      </c>
      <c r="AWU86" s="20" t="n">
        <f aca="false">IF(AND(H_Direct=0,H_TaxEvt=1,ATH85+1&gt;=H_Deemed),MAX(0,AFH86-AIU86)*H_Exit,0)</f>
        <v>0</v>
      </c>
      <c r="AWV86" s="20" t="n">
        <f aca="false">IF(AND(H_Direct=0,H_TaxEvt=1,ATI85+1&gt;=H_Deemed),MAX(0,AFI86-AIV86)*H_Exit,0)</f>
        <v>0</v>
      </c>
      <c r="AWW86" s="20" t="n">
        <f aca="false">IF(AND(H_Direct=0,H_TaxEvt=1,ATJ85+1&gt;=H_Deemed),MAX(0,AFJ86-AIW86)*H_Exit,0)</f>
        <v>0</v>
      </c>
      <c r="AWX86" s="20" t="n">
        <f aca="false">IF(AND(H_Direct=0,H_TaxEvt=1,ATK85+1&gt;=H_Deemed),MAX(0,AFK86-AIX86)*H_Exit,0)</f>
        <v>0</v>
      </c>
      <c r="AWY86" s="20" t="n">
        <f aca="false">IF(AND(H_Direct=0,H_TaxEvt=1,ATL85+1&gt;=H_Deemed),MAX(0,AFL86-AIY86)*H_Exit,0)</f>
        <v>0</v>
      </c>
      <c r="AWZ86" s="20" t="n">
        <f aca="false">IF(AND(H_Direct=0,H_TaxEvt=1,ATM85+1&gt;=H_Deemed),MAX(0,AFM86-AIZ86)*H_Exit,0)</f>
        <v>0</v>
      </c>
      <c r="AXA86" s="20" t="n">
        <f aca="false">IF(AND(H_Direct=0,H_TaxEvt=1,ATN85+1&gt;=H_Deemed),MAX(0,AFN86-AJA86)*H_Exit,0)</f>
        <v>0</v>
      </c>
      <c r="AXB86" s="20" t="n">
        <f aca="false">IF(AND(H_Direct=0,H_TaxEvt=1,ATO85+1&gt;=H_Deemed),MAX(0,AFO86-AJB86)*H_Exit,0)</f>
        <v>0</v>
      </c>
      <c r="AXC86" s="20" t="n">
        <f aca="false">IF(AND(H_Direct=0,H_TaxEvt=1,ATP85+1&gt;=H_Deemed),MAX(0,AFP86-AJC86)*H_Exit,0)</f>
        <v>0</v>
      </c>
      <c r="AXD86" s="20" t="n">
        <f aca="false">IF(AND(H_Direct=0,H_TaxEvt=1,ATQ85+1&gt;=H_Deemed),MAX(0,AFQ86-AJD86)*H_Exit,0)</f>
        <v>0</v>
      </c>
      <c r="AXE86" s="20" t="n">
        <f aca="false">IF(AND(H_Direct=0,H_TaxEvt=1,ATR85+1&gt;=H_Deemed),MAX(0,AFR86-AJE86)*H_Exit,0)</f>
        <v>0</v>
      </c>
      <c r="AXF86" s="20" t="n">
        <f aca="false">IF(AND(H_Direct=0,H_TaxEvt=1,ATS85+1&gt;=H_Deemed),MAX(0,AFS86-AJF86)*H_Exit,0)</f>
        <v>0</v>
      </c>
      <c r="AXG86" s="20" t="n">
        <f aca="false">IF(AND(H_Direct=0,H_TaxEvt=1,ATT85+1&gt;=H_Deemed),MAX(0,AFT86-AJG86)*H_Exit,0)</f>
        <v>0</v>
      </c>
      <c r="AXH86" s="20" t="n">
        <f aca="false">IF(AND(H_Direct=0,H_TaxEvt=1,ATU85+1&gt;=H_Deemed),MAX(0,AFU86-AJH86)*H_Exit,0)</f>
        <v>0</v>
      </c>
      <c r="AXI86" s="20" t="n">
        <f aca="false">IF(AND(H_Direct=0,H_TaxEvt=1,ATV85+1&gt;=H_Deemed),MAX(0,AFV86-AJI86)*H_Exit,0)</f>
        <v>0</v>
      </c>
      <c r="AXJ86" s="20" t="n">
        <f aca="false">IF(AND(H_Direct=0,H_TaxEvt=1,ATW85+1&gt;=H_Deemed),MAX(0,AFW86-AJJ86)*H_Exit,0)</f>
        <v>0</v>
      </c>
      <c r="AXK86" s="20" t="n">
        <f aca="false">IF(AND(H_Direct=0,H_TaxEvt=1,ATX85+1&gt;=H_Deemed),MAX(0,AFX86-AJK86)*H_Exit,0)</f>
        <v>0</v>
      </c>
      <c r="AXL86" s="20" t="n">
        <f aca="false">IF(AND(H_Direct=0,H_TaxEvt=1,ATY85+1&gt;=H_Deemed),MAX(0,AFY86-AJL86)*H_Exit,0)</f>
        <v>0</v>
      </c>
      <c r="AXM86" s="20" t="n">
        <f aca="false">IF(AND(H_Direct=0,H_TaxEvt=1,ATZ85+1&gt;=H_Deemed),MAX(0,AFZ86-AJM86)*H_Exit,0)</f>
        <v>0</v>
      </c>
      <c r="AXN86" s="20" t="n">
        <f aca="false">IF(AND(H_Direct=0,H_TaxEvt=1,AUA85+1&gt;=H_Deemed),MAX(0,AGA86-AJN86)*H_Exit,0)</f>
        <v>0</v>
      </c>
      <c r="AXO86" s="20" t="n">
        <f aca="false">IF(AND(H_Direct=0,H_TaxEvt=1,AUB85+1&gt;=H_Deemed),MAX(0,AGB86-AJO86)*H_Exit,0)</f>
        <v>0</v>
      </c>
      <c r="AXP86" s="20" t="n">
        <f aca="false">IF(AND(H_Direct=0,H_TaxEvt=1,AUC85+1&gt;=H_Deemed),MAX(0,AGC86-AJP86)*H_Exit,0)</f>
        <v>0</v>
      </c>
      <c r="AXQ86" s="20" t="n">
        <f aca="false">IF(AND(H_Direct=0,H_TaxEvt=1,AUD85+1&gt;=H_Deemed),MAX(0,AGD86-AJQ86)*H_Exit,0)</f>
        <v>0</v>
      </c>
      <c r="AXR86" s="20" t="n">
        <f aca="false">IF(AND(H_Direct=0,H_TaxEvt=1,AUE85+1&gt;=H_Deemed),MAX(0,AGE86-AJR86)*H_Exit,0)</f>
        <v>0</v>
      </c>
      <c r="AXS86" s="20" t="n">
        <f aca="false">IF(AND(H_Direct=0,H_TaxEvt=1,AUF85+1&gt;=H_Deemed),MAX(0,AGF86-AJS86)*H_Exit,0)</f>
        <v>0</v>
      </c>
      <c r="AXT86" s="20" t="n">
        <f aca="false">IF(AND(H_Direct=0,H_TaxEvt=1,AUG85+1&gt;=H_Deemed),MAX(0,AGG86-AJT86)*H_Exit,0)</f>
        <v>0</v>
      </c>
      <c r="AXU86" s="20" t="n">
        <f aca="false">IF(AND(H_Direct=0,H_TaxEvt=1,AUH85+1&gt;=H_Deemed),MAX(0,AGH86-AJU86)*H_Exit,0)</f>
        <v>0</v>
      </c>
      <c r="AXV86" s="20" t="n">
        <f aca="false">IF(AND(H_Direct=0,H_TaxEvt=1,AUI85+1&gt;=H_Deemed),MAX(0,AGI86-AJV86)*H_Exit,0)</f>
        <v>0</v>
      </c>
      <c r="AXW86" s="20" t="n">
        <f aca="false">IF(AND(H_Direct=0,H_TaxEvt=1,AUJ85+1&gt;=H_Deemed),MAX(0,AGJ86-AJW86)*H_Exit,0)</f>
        <v>0</v>
      </c>
      <c r="AXX86" s="20" t="n">
        <f aca="false">IF(AND(H_Direct=0,H_TaxEvt=1,AUK85+1&gt;=H_Deemed),MAX(0,AGK86-AJX86)*H_Exit,0)</f>
        <v>0</v>
      </c>
      <c r="AXY86" s="20" t="n">
        <f aca="false">IF(AND(H_Direct=0,H_TaxEvt=1,AUL85+1&gt;=H_Deemed),MAX(0,AGL86-AJY86)*H_Exit,0)</f>
        <v>0</v>
      </c>
      <c r="AXZ86" s="20" t="n">
        <f aca="false">IF(AND(H_Direct=0,H_TaxEvt=1,AUM85+1&gt;=H_Deemed),MAX(0,AGM86-AJZ86)*H_Exit,0)</f>
        <v>0</v>
      </c>
      <c r="AYA86" s="20" t="n">
        <f aca="false">IF(AND(H_Direct=0,H_TaxEvt=1,AUN85+1&gt;=H_Deemed),MAX(0,AGN86-AKA86)*H_Exit,0)</f>
        <v>0</v>
      </c>
      <c r="AYB86" s="20" t="n">
        <f aca="false">IF(AND(H_Direct=0,H_TaxEvt=1,AUO85+1&gt;=H_Deemed),MAX(0,AGO86-AKB86)*H_Exit,0)</f>
        <v>0</v>
      </c>
      <c r="AYC86" s="20" t="n">
        <f aca="false">IF(AND(H_Direct=0,H_TaxEvt=1,AUP85+1&gt;=H_Deemed),MAX(0,AGP86-AKC86)*H_Exit,0)</f>
        <v>0</v>
      </c>
      <c r="AYD86" s="20" t="n">
        <f aca="false">IF(AND(H_Direct=0,H_TaxEvt=1,AUQ85+1&gt;=H_Deemed),MAX(0,AGQ86-AKD86)*H_Exit,0)</f>
        <v>0</v>
      </c>
      <c r="AYE86" s="20" t="n">
        <f aca="false">IF(AND(H_Direct=0,H_TaxEvt=1,AUR85+1&gt;=H_Deemed),MAX(0,AGR86-AKE86)*H_Exit,0)</f>
        <v>0</v>
      </c>
      <c r="AYF86" s="20" t="n">
        <f aca="false">IF(AND(H_Direct=0,H_TaxEvt=1,0+1&gt;=H_Deemed),MAX(0,AGS86-AKF86)*H_Exit,0)</f>
        <v>0</v>
      </c>
      <c r="AYG86" s="20" t="n">
        <v>0</v>
      </c>
      <c r="AYH86" s="20" t="n">
        <v>0</v>
      </c>
      <c r="AYI86" s="20" t="n">
        <v>0</v>
      </c>
      <c r="AYJ86" s="20" t="n">
        <v>0</v>
      </c>
      <c r="AYK86" s="20" t="n">
        <v>0</v>
      </c>
      <c r="AYL86" s="20" t="n">
        <v>0</v>
      </c>
      <c r="AYM86" s="20" t="n">
        <v>0</v>
      </c>
      <c r="AYN86" s="20" t="n">
        <v>0</v>
      </c>
      <c r="AYO86" s="20" t="n">
        <v>0</v>
      </c>
      <c r="AYP86" s="20" t="n">
        <v>0</v>
      </c>
      <c r="AYQ86" s="20" t="n">
        <v>0</v>
      </c>
    </row>
    <row r="87" customFormat="false" ht="15" hidden="false" customHeight="false" outlineLevel="0" collapsed="false">
      <c r="B87" s="20" t="n">
        <v>79</v>
      </c>
      <c r="C87" s="20" t="n">
        <f aca="false">'Plan cashflow'!C87</f>
        <v>0</v>
      </c>
      <c r="D87" s="20" t="n">
        <f aca="false">'Plan cashflow'!D87</f>
        <v>117</v>
      </c>
      <c r="E87" s="20" t="n">
        <f aca="false">AS_Year0+79</f>
        <v>2105</v>
      </c>
      <c r="F87" s="50" t="n">
        <f aca="false">'Plan cashflow'!F87</f>
        <v>4.77984230989843</v>
      </c>
      <c r="G87" s="59" t="n">
        <f aca="true">IF(MAX(TODAY(),DATE(E87,1,1))&gt;=H_CGTfrom,H_CGT1,H_CGT0)</f>
        <v>0.31</v>
      </c>
      <c r="H87" s="20" t="n">
        <f aca="false">H_Exempt*H_Persons</f>
        <v>1270</v>
      </c>
      <c r="I87" s="20" t="n">
        <f aca="false">AX86</f>
        <v>0</v>
      </c>
      <c r="J87" s="60" t="n">
        <f aca="false">BF86</f>
        <v>0</v>
      </c>
      <c r="K87" s="60" t="n">
        <f aca="false">BG86</f>
        <v>0</v>
      </c>
      <c r="L87" s="20" t="n">
        <f aca="false">IF(AND(In_polLump&gt;0,In_polLumpAge&gt;0,D87=In_polLumpAge),In_polLump,0)</f>
        <v>0</v>
      </c>
      <c r="M87" s="20" t="n">
        <f aca="false">IF(AND(In_homeUse="Yes, I'd downsize",In_downAge&gt;0,D87=In_downAge,OR(In_home="Own outright",In_home="Own with mortgage"),In_homeValue&gt;0),MAX(0,MAX(0,In_homeValue-In_downValue)*F87*0.9-'Plan cashflow'!HR86),0)</f>
        <v>0</v>
      </c>
      <c r="N87" s="20" t="n">
        <f aca="false">'Plan pay &amp; tax'!Y313</f>
        <v>0</v>
      </c>
      <c r="O87" s="20" t="n">
        <f aca="false">L87+M87+(1-H_Sh)*N87</f>
        <v>0</v>
      </c>
      <c r="P87" s="20" t="n">
        <f aca="false">H_Sh*N87</f>
        <v>0</v>
      </c>
      <c r="Q87" s="20" t="n">
        <f aca="false">'Plan cashflow'!UL87</f>
        <v>0</v>
      </c>
      <c r="R87" s="20" t="n">
        <f aca="false">(1-H_Sh)*Q87</f>
        <v>0</v>
      </c>
      <c r="S87" s="20" t="n">
        <f aca="false">H_Sh*Q87</f>
        <v>0</v>
      </c>
      <c r="T87" s="20" t="n">
        <f aca="false">J87+K87+O87</f>
        <v>0</v>
      </c>
      <c r="U87" s="20" t="n">
        <f aca="false">T87+R87</f>
        <v>0</v>
      </c>
      <c r="V87" s="60" t="n">
        <f aca="false">SUM(FE87:IQ87)</f>
        <v>0</v>
      </c>
      <c r="W87" s="60" t="n">
        <f aca="false">IF(AJ87&lt;=0,0,IF(AL87&lt;=0,AJ87,AJ87-G87*MAX(0,AL87*AJ87-(AY87+AZ87))))</f>
        <v>0</v>
      </c>
      <c r="X87" s="60" t="n">
        <f aca="false">IF(AR87&lt;=0,0,IF(AT87&lt;=0,AR87,AR87-G87*MAX(0,AT87*AR87-(BA87+BB87))))</f>
        <v>0</v>
      </c>
      <c r="Y87" s="60" t="n">
        <f aca="false">T87+V87-S87+W87+X87</f>
        <v>0</v>
      </c>
      <c r="Z87" s="60" t="n">
        <f aca="false">'Plan cashflow'!UK87</f>
        <v>0</v>
      </c>
      <c r="AA87" s="20" t="n">
        <f aca="false">MIN(Z87,U87)</f>
        <v>0</v>
      </c>
      <c r="AB87" s="20" t="n">
        <f aca="false">Z87-AA87</f>
        <v>0</v>
      </c>
      <c r="AC87" s="20" t="n">
        <f aca="false">MIN(AA87,J87+O87+R87)</f>
        <v>0</v>
      </c>
      <c r="AD87" s="20" t="n">
        <f aca="false">AA87-AC87</f>
        <v>0</v>
      </c>
      <c r="AE87" s="20" t="n">
        <f aca="false">J87+O87+R87-AC87</f>
        <v>0</v>
      </c>
      <c r="AF87" s="20" t="n">
        <f aca="false">K87-AD87</f>
        <v>0</v>
      </c>
      <c r="AG87" s="20" t="n">
        <f aca="false">SUM(PR87:TD87)</f>
        <v>0</v>
      </c>
      <c r="AH87" s="20" t="n">
        <f aca="false">SUM(TE87:WQ87)</f>
        <v>0</v>
      </c>
      <c r="AI87" s="20" t="n">
        <f aca="false">MAX(0,AB87-AG87)</f>
        <v>0</v>
      </c>
      <c r="AJ87" s="57" t="n">
        <f aca="false">BI86</f>
        <v>0</v>
      </c>
      <c r="AK87" s="20" t="n">
        <f aca="false">BJ86</f>
        <v>0</v>
      </c>
      <c r="AL87" s="20" t="n">
        <f aca="false">IF(AJ87&gt;0,(AJ87-AK87)/AJ87,0)</f>
        <v>0</v>
      </c>
      <c r="AM87" s="20" t="n">
        <f aca="false">IF(AJ87&lt;=0,0,IF(AL87&lt;=0,MIN(AI87,AJ87),MIN(AI87,AJ87-G87*MAX(0,AL87*AJ87-(AAD87+ADQ87)))))</f>
        <v>0</v>
      </c>
      <c r="AN87" s="20" t="n">
        <f aca="false">IF(AJ87&lt;=0,0,IF(AL87&lt;=0,AM87,IF(AM87&lt;=(AAD87+ADQ87)/AL87,AM87,(AM87-G87*(AAD87+ADQ87))/(1-G87*AL87))))</f>
        <v>0</v>
      </c>
      <c r="AO87" s="20" t="n">
        <f aca="false">IF(AL87&gt;0,MAX(0,AAD87-(MIN(AL87*AN87,(AAD87+ADQ87))-MIN(MIN(AL87*AN87,(AAD87+ADQ87)),ADQ87))),AAD87)</f>
        <v>1270</v>
      </c>
      <c r="AP87" s="20" t="n">
        <f aca="false">IF(AL87&lt;=0,ADQ87-AL87*AN87,ADQ87-MIN(MIN(AL87*AN87,(AAD87+ADQ87)),ADQ87))</f>
        <v>0</v>
      </c>
      <c r="AQ87" s="20" t="n">
        <f aca="false">MAX(0,AI87-AM87)</f>
        <v>0</v>
      </c>
      <c r="AR87" s="57" t="n">
        <f aca="false">BK86</f>
        <v>0</v>
      </c>
      <c r="AS87" s="20" t="n">
        <f aca="false">BL86</f>
        <v>0</v>
      </c>
      <c r="AT87" s="20" t="n">
        <f aca="false">IF(AR87&gt;0,(AR87-AS87)/AR87,0)</f>
        <v>0</v>
      </c>
      <c r="AU87" s="20" t="n">
        <f aca="false">IF(AR87&lt;=0,0,IF(AT87&lt;=0,MIN(AQ87,AR87),MIN(AQ87,AR87-G87*MAX(0,AT87*AR87-(AO87+AP87)))))</f>
        <v>0</v>
      </c>
      <c r="AV87" s="20" t="n">
        <f aca="false">IF(AR87&lt;=0,0,IF(AT87&lt;=0,AU87,IF(AU87&lt;=(AO87+AP87)/AT87,AU87,(AU87-G87*(AO87+AP87))/(1-G87*AT87))))</f>
        <v>0</v>
      </c>
      <c r="AW87" s="20" t="n">
        <f aca="false">IF(AT87&gt;0,MAX(0,AO87-(MIN(AT87*AV87,(AO87+AP87))-MIN(MIN(AT87*AV87,(AO87+AP87)),AP87))),AO87)</f>
        <v>1270</v>
      </c>
      <c r="AX87" s="20" t="n">
        <f aca="false">IF(AT87&lt;=0,AP87-AT87*AV87,AP87-MIN(MIN(AT87*AV87,(AO87+AP87)),AP87))</f>
        <v>0</v>
      </c>
      <c r="AY87" s="20" t="n">
        <f aca="false">MD87</f>
        <v>1270</v>
      </c>
      <c r="AZ87" s="20" t="n">
        <f aca="false">PQ87</f>
        <v>0</v>
      </c>
      <c r="BA87" s="20" t="n">
        <f aca="false">IF(AL87&gt;0,MAX(0,AY87-(MIN(AL87*AJ87,AY87+AZ87)-MIN(MIN(AL87*AJ87,AY87+AZ87),AZ87))),AY87)</f>
        <v>1270</v>
      </c>
      <c r="BB87" s="20" t="n">
        <f aca="false">IF(AL87&lt;=0,AZ87-AL87*AJ87,AZ87-MIN(MIN(AL87*AJ87,AY87+AZ87),AZ87))</f>
        <v>0</v>
      </c>
      <c r="BC87" s="20" t="n">
        <f aca="false">'Plan cashflow'!UM87</f>
        <v>0</v>
      </c>
      <c r="BD87" s="20" t="n">
        <f aca="false">(1-H_Sh)*BC87</f>
        <v>0</v>
      </c>
      <c r="BE87" s="20" t="n">
        <f aca="false">H_Sh*BC87</f>
        <v>0</v>
      </c>
      <c r="BF87" s="60" t="n">
        <f aca="false">(AE87+BD87)*(1+AS_Cash)</f>
        <v>0</v>
      </c>
      <c r="BG87" s="60" t="n">
        <f aca="false">AF87*(1+AS_Cash)</f>
        <v>0</v>
      </c>
      <c r="BH87" s="60" t="n">
        <f aca="false">SUM(AKR87:AOD87)</f>
        <v>0</v>
      </c>
      <c r="BI87" s="60" t="n">
        <f aca="false">(AJ87-AN87)*(1+AS_Infl)</f>
        <v>0</v>
      </c>
      <c r="BJ87" s="20" t="n">
        <f aca="false">IF(AJ87&gt;0,AK87-AK87*AN87/AJ87,0)</f>
        <v>0</v>
      </c>
      <c r="BK87" s="60" t="n">
        <f aca="false">(AR87-AV87)*(1+BQ87)</f>
        <v>0</v>
      </c>
      <c r="BL87" s="20" t="n">
        <f aca="false">IF(AR87&gt;0,AS87-AS87*AV87/AR87,0)</f>
        <v>0</v>
      </c>
      <c r="BM87" s="60" t="n">
        <f aca="false">BF87+BG87+BH87+BI87+BK87</f>
        <v>0</v>
      </c>
      <c r="BN87" s="60" t="n">
        <f aca="false">(AH87-AG87)+(AN87-AM87)+(AV87-AU87)</f>
        <v>0</v>
      </c>
      <c r="BO87" s="20" t="n">
        <f aca="false">(AE87+BD87+AF87+MAX(0,'Plan cashflow'!QH87)+IF(Slot1_Rate=AS_Cash,'Plan cashflow'!QM87/(1+AS_Cash),0)+IF(Slot2_Rate=AS_Cash,'Plan cashflow'!QQ87/(1+AS_Cash),0)+IF(Slot3_Rate=AS_Cash,'Plan cashflow'!QU87/(1+AS_Cash),0)+IF(Slot4_Rate=AS_Cash,'Plan cashflow'!QY87/(1+AS_Cash),0)+IF(Slot5_Rate=AS_Cash,'Plan cashflow'!RC87/(1+AS_Cash),0)+IF(Slot6_Rate=AS_Cash,'Plan cashflow'!RG87/(1+AS_Cash),0)+IF(Slot7_Rate=AS_Cash,'Plan cashflow'!RK87/(1+AS_Cash),0)+IF(Slot8_Rate=AS_Cash,'Plan cashflow'!RO87/(1+AS_Cash),0)+IF(Slot9_Rate=AS_Cash,'Plan cashflow'!RS87/(1+AS_Cash),0)+IF(Slot10_Rate=AS_Cash,'Plan cashflow'!RW87/(1+AS_Cash),0)+IF(Slot11_Rate=AS_Cash,'Plan cashflow'!SA87/(1+AS_Cash),0)+IF(Slot12_Rate=AS_Cash,'Plan cashflow'!SE87/(1+AS_Cash),0)+IF(Slot13_Rate=AS_Cash,'Plan cashflow'!SI87/(1+AS_Cash),0)+IF(Slot14_Rate=AS_Cash,'Plan cashflow'!SM87/(1+AS_Cash),0)+IF(Slot15_Rate=AS_Cash,'Plan cashflow'!SQ87/(1+AS_Cash),0)+IF(Slot16_Rate=AS_Cash,'Plan cashflow'!SU87/(1+AS_Cash),0)+IF(Slot17_Rate=AS_Cash,'Plan cashflow'!SY87/(1+AS_Cash),0)+IF(Slot18_Rate=AS_Cash,'Plan cashflow'!TC87/(1+AS_Cash),0)+IF(Slot19_Rate=AS_Cash,'Plan cashflow'!TG87/(1+AS_Cash),0)+IF(Slot20_Rate=AS_Cash,'Plan cashflow'!TK87/(1+AS_Cash),0))*AS_Cash*H_DIRT/(1-H_DIRT)</f>
        <v>0</v>
      </c>
      <c r="BP87" s="60" t="n">
        <f aca="false">SUM(AVE87:AYQ87)</f>
        <v>0</v>
      </c>
      <c r="BQ87" s="54" t="n">
        <f aca="false">IF(H_TaxEvt=1,H_InvG,AS_Inv)</f>
        <v>0.04</v>
      </c>
      <c r="BR87" s="20" t="n">
        <f aca="false">IF(AKR86&gt;0,(AKR86-AOE86)/AKR86,0)</f>
        <v>0</v>
      </c>
      <c r="BS87" s="20" t="n">
        <f aca="false">IF(AKS86&gt;0,(AKS86-AOF86)/AKS86,0)</f>
        <v>0</v>
      </c>
      <c r="BT87" s="20" t="n">
        <f aca="false">IF(AKT86&gt;0,(AKT86-AOG86)/AKT86,0)</f>
        <v>0</v>
      </c>
      <c r="BU87" s="20" t="n">
        <f aca="false">IF(AKU86&gt;0,(AKU86-AOH86)/AKU86,0)</f>
        <v>0</v>
      </c>
      <c r="BV87" s="20" t="n">
        <f aca="false">IF(AKV86&gt;0,(AKV86-AOI86)/AKV86,0)</f>
        <v>0</v>
      </c>
      <c r="BW87" s="20" t="n">
        <f aca="false">IF(AKW86&gt;0,(AKW86-AOJ86)/AKW86,0)</f>
        <v>0</v>
      </c>
      <c r="BX87" s="20" t="n">
        <f aca="false">IF(AKX86&gt;0,(AKX86-AOK86)/AKX86,0)</f>
        <v>0</v>
      </c>
      <c r="BY87" s="20" t="n">
        <f aca="false">IF(AKY86&gt;0,(AKY86-AOL86)/AKY86,0)</f>
        <v>0</v>
      </c>
      <c r="BZ87" s="20" t="n">
        <f aca="false">IF(AKZ86&gt;0,(AKZ86-AOM86)/AKZ86,0)</f>
        <v>0</v>
      </c>
      <c r="CA87" s="20" t="n">
        <f aca="false">IF(ALA86&gt;0,(ALA86-AON86)/ALA86,0)</f>
        <v>0</v>
      </c>
      <c r="CB87" s="20" t="n">
        <f aca="false">IF(ALB86&gt;0,(ALB86-AOO86)/ALB86,0)</f>
        <v>0</v>
      </c>
      <c r="CC87" s="20" t="n">
        <f aca="false">IF(ALC86&gt;0,(ALC86-AOP86)/ALC86,0)</f>
        <v>0</v>
      </c>
      <c r="CD87" s="20" t="n">
        <f aca="false">IF(ALD86&gt;0,(ALD86-AOQ86)/ALD86,0)</f>
        <v>0</v>
      </c>
      <c r="CE87" s="20" t="n">
        <f aca="false">IF(ALE86&gt;0,(ALE86-AOR86)/ALE86,0)</f>
        <v>0</v>
      </c>
      <c r="CF87" s="20" t="n">
        <f aca="false">IF(ALF86&gt;0,(ALF86-AOS86)/ALF86,0)</f>
        <v>0</v>
      </c>
      <c r="CG87" s="20" t="n">
        <f aca="false">IF(ALG86&gt;0,(ALG86-AOT86)/ALG86,0)</f>
        <v>0</v>
      </c>
      <c r="CH87" s="20" t="n">
        <f aca="false">IF(ALH86&gt;0,(ALH86-AOU86)/ALH86,0)</f>
        <v>0</v>
      </c>
      <c r="CI87" s="20" t="n">
        <f aca="false">IF(ALI86&gt;0,(ALI86-AOV86)/ALI86,0)</f>
        <v>0</v>
      </c>
      <c r="CJ87" s="20" t="n">
        <f aca="false">IF(ALJ86&gt;0,(ALJ86-AOW86)/ALJ86,0)</f>
        <v>0</v>
      </c>
      <c r="CK87" s="20" t="n">
        <f aca="false">IF(ALK86&gt;0,(ALK86-AOX86)/ALK86,0)</f>
        <v>0</v>
      </c>
      <c r="CL87" s="20" t="n">
        <f aca="false">IF(ALL86&gt;0,(ALL86-AOY86)/ALL86,0)</f>
        <v>0</v>
      </c>
      <c r="CM87" s="20" t="n">
        <f aca="false">IF(ALM86&gt;0,(ALM86-AOZ86)/ALM86,0)</f>
        <v>0</v>
      </c>
      <c r="CN87" s="20" t="n">
        <f aca="false">IF(ALN86&gt;0,(ALN86-APA86)/ALN86,0)</f>
        <v>0</v>
      </c>
      <c r="CO87" s="20" t="n">
        <f aca="false">IF(ALO86&gt;0,(ALO86-APB86)/ALO86,0)</f>
        <v>0</v>
      </c>
      <c r="CP87" s="20" t="n">
        <f aca="false">IF(ALP86&gt;0,(ALP86-APC86)/ALP86,0)</f>
        <v>0</v>
      </c>
      <c r="CQ87" s="20" t="n">
        <f aca="false">IF(ALQ86&gt;0,(ALQ86-APD86)/ALQ86,0)</f>
        <v>0</v>
      </c>
      <c r="CR87" s="20" t="n">
        <f aca="false">IF(ALR86&gt;0,(ALR86-APE86)/ALR86,0)</f>
        <v>0</v>
      </c>
      <c r="CS87" s="20" t="n">
        <f aca="false">IF(ALS86&gt;0,(ALS86-APF86)/ALS86,0)</f>
        <v>0</v>
      </c>
      <c r="CT87" s="20" t="n">
        <f aca="false">IF(ALT86&gt;0,(ALT86-APG86)/ALT86,0)</f>
        <v>0</v>
      </c>
      <c r="CU87" s="20" t="n">
        <f aca="false">IF(ALU86&gt;0,(ALU86-APH86)/ALU86,0)</f>
        <v>0</v>
      </c>
      <c r="CV87" s="20" t="n">
        <f aca="false">IF(ALV86&gt;0,(ALV86-API86)/ALV86,0)</f>
        <v>0</v>
      </c>
      <c r="CW87" s="20" t="n">
        <f aca="false">IF(ALW86&gt;0,(ALW86-APJ86)/ALW86,0)</f>
        <v>0</v>
      </c>
      <c r="CX87" s="20" t="n">
        <f aca="false">IF(ALX86&gt;0,(ALX86-APK86)/ALX86,0)</f>
        <v>0</v>
      </c>
      <c r="CY87" s="20" t="n">
        <f aca="false">IF(ALY86&gt;0,(ALY86-APL86)/ALY86,0)</f>
        <v>0</v>
      </c>
      <c r="CZ87" s="20" t="n">
        <f aca="false">IF(ALZ86&gt;0,(ALZ86-APM86)/ALZ86,0)</f>
        <v>0</v>
      </c>
      <c r="DA87" s="20" t="n">
        <f aca="false">IF(AMA86&gt;0,(AMA86-APN86)/AMA86,0)</f>
        <v>0</v>
      </c>
      <c r="DB87" s="20" t="n">
        <f aca="false">IF(AMB86&gt;0,(AMB86-APO86)/AMB86,0)</f>
        <v>0</v>
      </c>
      <c r="DC87" s="20" t="n">
        <f aca="false">IF(AMC86&gt;0,(AMC86-APP86)/AMC86,0)</f>
        <v>0</v>
      </c>
      <c r="DD87" s="20" t="n">
        <f aca="false">IF(AMD86&gt;0,(AMD86-APQ86)/AMD86,0)</f>
        <v>0</v>
      </c>
      <c r="DE87" s="20" t="n">
        <f aca="false">IF(AME86&gt;0,(AME86-APR86)/AME86,0)</f>
        <v>0</v>
      </c>
      <c r="DF87" s="20" t="n">
        <f aca="false">IF(AMF86&gt;0,(AMF86-APS86)/AMF86,0)</f>
        <v>0</v>
      </c>
      <c r="DG87" s="20" t="n">
        <f aca="false">IF(AMG86&gt;0,(AMG86-APT86)/AMG86,0)</f>
        <v>0</v>
      </c>
      <c r="DH87" s="20" t="n">
        <f aca="false">IF(AMH86&gt;0,(AMH86-APU86)/AMH86,0)</f>
        <v>0</v>
      </c>
      <c r="DI87" s="20" t="n">
        <f aca="false">IF(AMI86&gt;0,(AMI86-APV86)/AMI86,0)</f>
        <v>0</v>
      </c>
      <c r="DJ87" s="20" t="n">
        <f aca="false">IF(AMJ86&gt;0,(AMJ86-APW86)/AMJ86,0)</f>
        <v>0</v>
      </c>
      <c r="DK87" s="20" t="n">
        <f aca="false">IF(AMK86&gt;0,(AMK86-APX86)/AMK86,0)</f>
        <v>0</v>
      </c>
      <c r="DL87" s="20" t="n">
        <f aca="false">IF(AML86&gt;0,(AML86-APY86)/AML86,0)</f>
        <v>0</v>
      </c>
      <c r="DM87" s="20" t="n">
        <f aca="false">IF(AMM86&gt;0,(AMM86-APZ86)/AMM86,0)</f>
        <v>0</v>
      </c>
      <c r="DN87" s="20" t="n">
        <f aca="false">IF(AMN86&gt;0,(AMN86-AQA86)/AMN86,0)</f>
        <v>0</v>
      </c>
      <c r="DO87" s="20" t="n">
        <f aca="false">IF(AMO86&gt;0,(AMO86-AQB86)/AMO86,0)</f>
        <v>0</v>
      </c>
      <c r="DP87" s="20" t="n">
        <f aca="false">IF(AMP86&gt;0,(AMP86-AQC86)/AMP86,0)</f>
        <v>0</v>
      </c>
      <c r="DQ87" s="20" t="n">
        <f aca="false">IF(AMQ86&gt;0,(AMQ86-AQD86)/AMQ86,0)</f>
        <v>0</v>
      </c>
      <c r="DR87" s="20" t="n">
        <f aca="false">IF(AMR86&gt;0,(AMR86-AQE86)/AMR86,0)</f>
        <v>0</v>
      </c>
      <c r="DS87" s="20" t="n">
        <f aca="false">IF(AMS86&gt;0,(AMS86-AQF86)/AMS86,0)</f>
        <v>0</v>
      </c>
      <c r="DT87" s="20" t="n">
        <f aca="false">IF(AMT86&gt;0,(AMT86-AQG86)/AMT86,0)</f>
        <v>0</v>
      </c>
      <c r="DU87" s="20" t="n">
        <f aca="false">IF(AMU86&gt;0,(AMU86-AQH86)/AMU86,0)</f>
        <v>0</v>
      </c>
      <c r="DV87" s="20" t="n">
        <f aca="false">IF(AMV86&gt;0,(AMV86-AQI86)/AMV86,0)</f>
        <v>0</v>
      </c>
      <c r="DW87" s="20" t="n">
        <f aca="false">IF(AMW86&gt;0,(AMW86-AQJ86)/AMW86,0)</f>
        <v>0</v>
      </c>
      <c r="DX87" s="20" t="n">
        <f aca="false">IF(AMX86&gt;0,(AMX86-AQK86)/AMX86,0)</f>
        <v>0</v>
      </c>
      <c r="DY87" s="20" t="n">
        <f aca="false">IF(AMY86&gt;0,(AMY86-AQL86)/AMY86,0)</f>
        <v>0</v>
      </c>
      <c r="DZ87" s="20" t="n">
        <f aca="false">IF(AMZ86&gt;0,(AMZ86-AQM86)/AMZ86,0)</f>
        <v>0</v>
      </c>
      <c r="EA87" s="20" t="n">
        <f aca="false">IF(ANA86&gt;0,(ANA86-AQN86)/ANA86,0)</f>
        <v>0</v>
      </c>
      <c r="EB87" s="20" t="n">
        <f aca="false">IF(ANB86&gt;0,(ANB86-AQO86)/ANB86,0)</f>
        <v>0</v>
      </c>
      <c r="EC87" s="20" t="n">
        <f aca="false">IF(ANC86&gt;0,(ANC86-AQP86)/ANC86,0)</f>
        <v>0</v>
      </c>
      <c r="ED87" s="20" t="n">
        <f aca="false">IF(AND86&gt;0,(AND86-AQQ86)/AND86,0)</f>
        <v>0</v>
      </c>
      <c r="EE87" s="20" t="n">
        <f aca="false">IF(ANE86&gt;0,(ANE86-AQR86)/ANE86,0)</f>
        <v>0</v>
      </c>
      <c r="EF87" s="20" t="n">
        <f aca="false">IF(ANF86&gt;0,(ANF86-AQS86)/ANF86,0)</f>
        <v>0</v>
      </c>
      <c r="EG87" s="20" t="n">
        <f aca="false">IF(ANG86&gt;0,(ANG86-AQT86)/ANG86,0)</f>
        <v>0</v>
      </c>
      <c r="EH87" s="20" t="n">
        <f aca="false">IF(ANH86&gt;0,(ANH86-AQU86)/ANH86,0)</f>
        <v>0</v>
      </c>
      <c r="EI87" s="20" t="n">
        <f aca="false">IF(ANI86&gt;0,(ANI86-AQV86)/ANI86,0)</f>
        <v>0</v>
      </c>
      <c r="EJ87" s="20" t="n">
        <f aca="false">IF(ANJ86&gt;0,(ANJ86-AQW86)/ANJ86,0)</f>
        <v>0</v>
      </c>
      <c r="EK87" s="20" t="n">
        <f aca="false">IF(ANK86&gt;0,(ANK86-AQX86)/ANK86,0)</f>
        <v>0</v>
      </c>
      <c r="EL87" s="20" t="n">
        <f aca="false">IF(ANL86&gt;0,(ANL86-AQY86)/ANL86,0)</f>
        <v>0</v>
      </c>
      <c r="EM87" s="20" t="n">
        <f aca="false">IF(ANM86&gt;0,(ANM86-AQZ86)/ANM86,0)</f>
        <v>0</v>
      </c>
      <c r="EN87" s="20" t="n">
        <f aca="false">IF(ANN86&gt;0,(ANN86-ARA86)/ANN86,0)</f>
        <v>0</v>
      </c>
      <c r="EO87" s="20" t="n">
        <f aca="false">IF(ANO86&gt;0,(ANO86-ARB86)/ANO86,0)</f>
        <v>0</v>
      </c>
      <c r="EP87" s="20" t="n">
        <f aca="false">IF(ANP86&gt;0,(ANP86-ARC86)/ANP86,0)</f>
        <v>0</v>
      </c>
      <c r="EQ87" s="20" t="n">
        <f aca="false">IF(ANQ86&gt;0,(ANQ86-ARD86)/ANQ86,0)</f>
        <v>0</v>
      </c>
      <c r="ER87" s="20" t="n">
        <f aca="false">IF(ANR86&gt;0,(ANR86-ARE86)/ANR86,0)</f>
        <v>0</v>
      </c>
      <c r="ES87" s="20" t="n">
        <f aca="false">IF(ANS86&gt;0,(ANS86-ARF86)/ANS86,0)</f>
        <v>0</v>
      </c>
      <c r="ET87" s="20" t="n">
        <f aca="false">IF((P87+S87)&gt;0,((P87+S87)-(P87+S87))/(P87+S87),0)</f>
        <v>0</v>
      </c>
      <c r="EU87" s="20" t="n">
        <v>0</v>
      </c>
      <c r="EV87" s="20" t="n">
        <v>0</v>
      </c>
      <c r="EW87" s="20" t="n">
        <v>0</v>
      </c>
      <c r="EX87" s="20" t="n">
        <v>0</v>
      </c>
      <c r="EY87" s="20" t="n">
        <v>0</v>
      </c>
      <c r="EZ87" s="20" t="n">
        <v>0</v>
      </c>
      <c r="FA87" s="20" t="n">
        <v>0</v>
      </c>
      <c r="FB87" s="20" t="n">
        <v>0</v>
      </c>
      <c r="FC87" s="20" t="n">
        <v>0</v>
      </c>
      <c r="FD87" s="20" t="n">
        <v>0</v>
      </c>
      <c r="FE87" s="20" t="n">
        <f aca="false">IF(H_Direct=1,IF(AKR86&lt;=0,0,IF(BR87&lt;=0,AKR86,AKR86-G87*MAX(0,BR87*AKR86-(H87+I87)))),AKR86*(1-MAX(0,BR87)*H_Exit))</f>
        <v>0</v>
      </c>
      <c r="FF87" s="20" t="n">
        <f aca="false">IF(H_Direct=1,IF(AKS86&lt;=0,0,IF(BS87&lt;=0,AKS86,AKS86-G87*MAX(0,BS87*AKS86-(IR87+ME87)))),AKS86*(1-MAX(0,BS87)*H_Exit))</f>
        <v>0</v>
      </c>
      <c r="FG87" s="20" t="n">
        <f aca="false">IF(H_Direct=1,IF(AKT86&lt;=0,0,IF(BT87&lt;=0,AKT86,AKT86-G87*MAX(0,BT87*AKT86-(IS87+MF87)))),AKT86*(1-MAX(0,BT87)*H_Exit))</f>
        <v>0</v>
      </c>
      <c r="FH87" s="20" t="n">
        <f aca="false">IF(H_Direct=1,IF(AKU86&lt;=0,0,IF(BU87&lt;=0,AKU86,AKU86-G87*MAX(0,BU87*AKU86-(IT87+MG87)))),AKU86*(1-MAX(0,BU87)*H_Exit))</f>
        <v>0</v>
      </c>
      <c r="FI87" s="20" t="n">
        <f aca="false">IF(H_Direct=1,IF(AKV86&lt;=0,0,IF(BV87&lt;=0,AKV86,AKV86-G87*MAX(0,BV87*AKV86-(IU87+MH87)))),AKV86*(1-MAX(0,BV87)*H_Exit))</f>
        <v>0</v>
      </c>
      <c r="FJ87" s="20" t="n">
        <f aca="false">IF(H_Direct=1,IF(AKW86&lt;=0,0,IF(BW87&lt;=0,AKW86,AKW86-G87*MAX(0,BW87*AKW86-(IV87+MI87)))),AKW86*(1-MAX(0,BW87)*H_Exit))</f>
        <v>0</v>
      </c>
      <c r="FK87" s="20" t="n">
        <f aca="false">IF(H_Direct=1,IF(AKX86&lt;=0,0,IF(BX87&lt;=0,AKX86,AKX86-G87*MAX(0,BX87*AKX86-(IW87+MJ87)))),AKX86*(1-MAX(0,BX87)*H_Exit))</f>
        <v>0</v>
      </c>
      <c r="FL87" s="20" t="n">
        <f aca="false">IF(H_Direct=1,IF(AKY86&lt;=0,0,IF(BY87&lt;=0,AKY86,AKY86-G87*MAX(0,BY87*AKY86-(IX87+MK87)))),AKY86*(1-MAX(0,BY87)*H_Exit))</f>
        <v>0</v>
      </c>
      <c r="FM87" s="20" t="n">
        <f aca="false">IF(H_Direct=1,IF(AKZ86&lt;=0,0,IF(BZ87&lt;=0,AKZ86,AKZ86-G87*MAX(0,BZ87*AKZ86-(IY87+ML87)))),AKZ86*(1-MAX(0,BZ87)*H_Exit))</f>
        <v>0</v>
      </c>
      <c r="FN87" s="20" t="n">
        <f aca="false">IF(H_Direct=1,IF(ALA86&lt;=0,0,IF(CA87&lt;=0,ALA86,ALA86-G87*MAX(0,CA87*ALA86-(IZ87+MM87)))),ALA86*(1-MAX(0,CA87)*H_Exit))</f>
        <v>0</v>
      </c>
      <c r="FO87" s="20" t="n">
        <f aca="false">IF(H_Direct=1,IF(ALB86&lt;=0,0,IF(CB87&lt;=0,ALB86,ALB86-G87*MAX(0,CB87*ALB86-(JA87+MN87)))),ALB86*(1-MAX(0,CB87)*H_Exit))</f>
        <v>0</v>
      </c>
      <c r="FP87" s="20" t="n">
        <f aca="false">IF(H_Direct=1,IF(ALC86&lt;=0,0,IF(CC87&lt;=0,ALC86,ALC86-G87*MAX(0,CC87*ALC86-(JB87+MO87)))),ALC86*(1-MAX(0,CC87)*H_Exit))</f>
        <v>0</v>
      </c>
      <c r="FQ87" s="20" t="n">
        <f aca="false">IF(H_Direct=1,IF(ALD86&lt;=0,0,IF(CD87&lt;=0,ALD86,ALD86-G87*MAX(0,CD87*ALD86-(JC87+MP87)))),ALD86*(1-MAX(0,CD87)*H_Exit))</f>
        <v>0</v>
      </c>
      <c r="FR87" s="20" t="n">
        <f aca="false">IF(H_Direct=1,IF(ALE86&lt;=0,0,IF(CE87&lt;=0,ALE86,ALE86-G87*MAX(0,CE87*ALE86-(JD87+MQ87)))),ALE86*(1-MAX(0,CE87)*H_Exit))</f>
        <v>0</v>
      </c>
      <c r="FS87" s="20" t="n">
        <f aca="false">IF(H_Direct=1,IF(ALF86&lt;=0,0,IF(CF87&lt;=0,ALF86,ALF86-G87*MAX(0,CF87*ALF86-(JE87+MR87)))),ALF86*(1-MAX(0,CF87)*H_Exit))</f>
        <v>0</v>
      </c>
      <c r="FT87" s="20" t="n">
        <f aca="false">IF(H_Direct=1,IF(ALG86&lt;=0,0,IF(CG87&lt;=0,ALG86,ALG86-G87*MAX(0,CG87*ALG86-(JF87+MS87)))),ALG86*(1-MAX(0,CG87)*H_Exit))</f>
        <v>0</v>
      </c>
      <c r="FU87" s="20" t="n">
        <f aca="false">IF(H_Direct=1,IF(ALH86&lt;=0,0,IF(CH87&lt;=0,ALH86,ALH86-G87*MAX(0,CH87*ALH86-(JG87+MT87)))),ALH86*(1-MAX(0,CH87)*H_Exit))</f>
        <v>0</v>
      </c>
      <c r="FV87" s="20" t="n">
        <f aca="false">IF(H_Direct=1,IF(ALI86&lt;=0,0,IF(CI87&lt;=0,ALI86,ALI86-G87*MAX(0,CI87*ALI86-(JH87+MU87)))),ALI86*(1-MAX(0,CI87)*H_Exit))</f>
        <v>0</v>
      </c>
      <c r="FW87" s="20" t="n">
        <f aca="false">IF(H_Direct=1,IF(ALJ86&lt;=0,0,IF(CJ87&lt;=0,ALJ86,ALJ86-G87*MAX(0,CJ87*ALJ86-(JI87+MV87)))),ALJ86*(1-MAX(0,CJ87)*H_Exit))</f>
        <v>0</v>
      </c>
      <c r="FX87" s="20" t="n">
        <f aca="false">IF(H_Direct=1,IF(ALK86&lt;=0,0,IF(CK87&lt;=0,ALK86,ALK86-G87*MAX(0,CK87*ALK86-(JJ87+MW87)))),ALK86*(1-MAX(0,CK87)*H_Exit))</f>
        <v>0</v>
      </c>
      <c r="FY87" s="20" t="n">
        <f aca="false">IF(H_Direct=1,IF(ALL86&lt;=0,0,IF(CL87&lt;=0,ALL86,ALL86-G87*MAX(0,CL87*ALL86-(JK87+MX87)))),ALL86*(1-MAX(0,CL87)*H_Exit))</f>
        <v>0</v>
      </c>
      <c r="FZ87" s="20" t="n">
        <f aca="false">IF(H_Direct=1,IF(ALM86&lt;=0,0,IF(CM87&lt;=0,ALM86,ALM86-G87*MAX(0,CM87*ALM86-(JL87+MY87)))),ALM86*(1-MAX(0,CM87)*H_Exit))</f>
        <v>0</v>
      </c>
      <c r="GA87" s="20" t="n">
        <f aca="false">IF(H_Direct=1,IF(ALN86&lt;=0,0,IF(CN87&lt;=0,ALN86,ALN86-G87*MAX(0,CN87*ALN86-(JM87+MZ87)))),ALN86*(1-MAX(0,CN87)*H_Exit))</f>
        <v>0</v>
      </c>
      <c r="GB87" s="20" t="n">
        <f aca="false">IF(H_Direct=1,IF(ALO86&lt;=0,0,IF(CO87&lt;=0,ALO86,ALO86-G87*MAX(0,CO87*ALO86-(JN87+NA87)))),ALO86*(1-MAX(0,CO87)*H_Exit))</f>
        <v>0</v>
      </c>
      <c r="GC87" s="20" t="n">
        <f aca="false">IF(H_Direct=1,IF(ALP86&lt;=0,0,IF(CP87&lt;=0,ALP86,ALP86-G87*MAX(0,CP87*ALP86-(JO87+NB87)))),ALP86*(1-MAX(0,CP87)*H_Exit))</f>
        <v>0</v>
      </c>
      <c r="GD87" s="20" t="n">
        <f aca="false">IF(H_Direct=1,IF(ALQ86&lt;=0,0,IF(CQ87&lt;=0,ALQ86,ALQ86-G87*MAX(0,CQ87*ALQ86-(JP87+NC87)))),ALQ86*(1-MAX(0,CQ87)*H_Exit))</f>
        <v>0</v>
      </c>
      <c r="GE87" s="20" t="n">
        <f aca="false">IF(H_Direct=1,IF(ALR86&lt;=0,0,IF(CR87&lt;=0,ALR86,ALR86-G87*MAX(0,CR87*ALR86-(JQ87+ND87)))),ALR86*(1-MAX(0,CR87)*H_Exit))</f>
        <v>0</v>
      </c>
      <c r="GF87" s="20" t="n">
        <f aca="false">IF(H_Direct=1,IF(ALS86&lt;=0,0,IF(CS87&lt;=0,ALS86,ALS86-G87*MAX(0,CS87*ALS86-(JR87+NE87)))),ALS86*(1-MAX(0,CS87)*H_Exit))</f>
        <v>0</v>
      </c>
      <c r="GG87" s="20" t="n">
        <f aca="false">IF(H_Direct=1,IF(ALT86&lt;=0,0,IF(CT87&lt;=0,ALT86,ALT86-G87*MAX(0,CT87*ALT86-(JS87+NF87)))),ALT86*(1-MAX(0,CT87)*H_Exit))</f>
        <v>0</v>
      </c>
      <c r="GH87" s="20" t="n">
        <f aca="false">IF(H_Direct=1,IF(ALU86&lt;=0,0,IF(CU87&lt;=0,ALU86,ALU86-G87*MAX(0,CU87*ALU86-(JT87+NG87)))),ALU86*(1-MAX(0,CU87)*H_Exit))</f>
        <v>0</v>
      </c>
      <c r="GI87" s="20" t="n">
        <f aca="false">IF(H_Direct=1,IF(ALV86&lt;=0,0,IF(CV87&lt;=0,ALV86,ALV86-G87*MAX(0,CV87*ALV86-(JU87+NH87)))),ALV86*(1-MAX(0,CV87)*H_Exit))</f>
        <v>0</v>
      </c>
      <c r="GJ87" s="20" t="n">
        <f aca="false">IF(H_Direct=1,IF(ALW86&lt;=0,0,IF(CW87&lt;=0,ALW86,ALW86-G87*MAX(0,CW87*ALW86-(JV87+NI87)))),ALW86*(1-MAX(0,CW87)*H_Exit))</f>
        <v>0</v>
      </c>
      <c r="GK87" s="20" t="n">
        <f aca="false">IF(H_Direct=1,IF(ALX86&lt;=0,0,IF(CX87&lt;=0,ALX86,ALX86-G87*MAX(0,CX87*ALX86-(JW87+NJ87)))),ALX86*(1-MAX(0,CX87)*H_Exit))</f>
        <v>0</v>
      </c>
      <c r="GL87" s="20" t="n">
        <f aca="false">IF(H_Direct=1,IF(ALY86&lt;=0,0,IF(CY87&lt;=0,ALY86,ALY86-G87*MAX(0,CY87*ALY86-(JX87+NK87)))),ALY86*(1-MAX(0,CY87)*H_Exit))</f>
        <v>0</v>
      </c>
      <c r="GM87" s="20" t="n">
        <f aca="false">IF(H_Direct=1,IF(ALZ86&lt;=0,0,IF(CZ87&lt;=0,ALZ86,ALZ86-G87*MAX(0,CZ87*ALZ86-(JY87+NL87)))),ALZ86*(1-MAX(0,CZ87)*H_Exit))</f>
        <v>0</v>
      </c>
      <c r="GN87" s="20" t="n">
        <f aca="false">IF(H_Direct=1,IF(AMA86&lt;=0,0,IF(DA87&lt;=0,AMA86,AMA86-G87*MAX(0,DA87*AMA86-(JZ87+NM87)))),AMA86*(1-MAX(0,DA87)*H_Exit))</f>
        <v>0</v>
      </c>
      <c r="GO87" s="20" t="n">
        <f aca="false">IF(H_Direct=1,IF(AMB86&lt;=0,0,IF(DB87&lt;=0,AMB86,AMB86-G87*MAX(0,DB87*AMB86-(KA87+NN87)))),AMB86*(1-MAX(0,DB87)*H_Exit))</f>
        <v>0</v>
      </c>
      <c r="GP87" s="20" t="n">
        <f aca="false">IF(H_Direct=1,IF(AMC86&lt;=0,0,IF(DC87&lt;=0,AMC86,AMC86-G87*MAX(0,DC87*AMC86-(KB87+NO87)))),AMC86*(1-MAX(0,DC87)*H_Exit))</f>
        <v>0</v>
      </c>
      <c r="GQ87" s="20" t="n">
        <f aca="false">IF(H_Direct=1,IF(AMD86&lt;=0,0,IF(DD87&lt;=0,AMD86,AMD86-G87*MAX(0,DD87*AMD86-(KC87+NP87)))),AMD86*(1-MAX(0,DD87)*H_Exit))</f>
        <v>0</v>
      </c>
      <c r="GR87" s="20" t="n">
        <f aca="false">IF(H_Direct=1,IF(AME86&lt;=0,0,IF(DE87&lt;=0,AME86,AME86-G87*MAX(0,DE87*AME86-(KD87+NQ87)))),AME86*(1-MAX(0,DE87)*H_Exit))</f>
        <v>0</v>
      </c>
      <c r="GS87" s="20" t="n">
        <f aca="false">IF(H_Direct=1,IF(AMF86&lt;=0,0,IF(DF87&lt;=0,AMF86,AMF86-G87*MAX(0,DF87*AMF86-(KE87+NR87)))),AMF86*(1-MAX(0,DF87)*H_Exit))</f>
        <v>0</v>
      </c>
      <c r="GT87" s="20" t="n">
        <f aca="false">IF(H_Direct=1,IF(AMG86&lt;=0,0,IF(DG87&lt;=0,AMG86,AMG86-G87*MAX(0,DG87*AMG86-(KF87+NS87)))),AMG86*(1-MAX(0,DG87)*H_Exit))</f>
        <v>0</v>
      </c>
      <c r="GU87" s="20" t="n">
        <f aca="false">IF(H_Direct=1,IF(AMH86&lt;=0,0,IF(DH87&lt;=0,AMH86,AMH86-G87*MAX(0,DH87*AMH86-(KG87+NT87)))),AMH86*(1-MAX(0,DH87)*H_Exit))</f>
        <v>0</v>
      </c>
      <c r="GV87" s="20" t="n">
        <f aca="false">IF(H_Direct=1,IF(AMI86&lt;=0,0,IF(DI87&lt;=0,AMI86,AMI86-G87*MAX(0,DI87*AMI86-(KH87+NU87)))),AMI86*(1-MAX(0,DI87)*H_Exit))</f>
        <v>0</v>
      </c>
      <c r="GW87" s="20" t="n">
        <f aca="false">IF(H_Direct=1,IF(AMJ86&lt;=0,0,IF(DJ87&lt;=0,AMJ86,AMJ86-G87*MAX(0,DJ87*AMJ86-(KI87+NV87)))),AMJ86*(1-MAX(0,DJ87)*H_Exit))</f>
        <v>0</v>
      </c>
      <c r="GX87" s="20" t="n">
        <f aca="false">IF(H_Direct=1,IF(AMK86&lt;=0,0,IF(DK87&lt;=0,AMK86,AMK86-G87*MAX(0,DK87*AMK86-(KJ87+NW87)))),AMK86*(1-MAX(0,DK87)*H_Exit))</f>
        <v>0</v>
      </c>
      <c r="GY87" s="20" t="n">
        <f aca="false">IF(H_Direct=1,IF(AML86&lt;=0,0,IF(DL87&lt;=0,AML86,AML86-G87*MAX(0,DL87*AML86-(KK87+NX87)))),AML86*(1-MAX(0,DL87)*H_Exit))</f>
        <v>0</v>
      </c>
      <c r="GZ87" s="20" t="n">
        <f aca="false">IF(H_Direct=1,IF(AMM86&lt;=0,0,IF(DM87&lt;=0,AMM86,AMM86-G87*MAX(0,DM87*AMM86-(KL87+NY87)))),AMM86*(1-MAX(0,DM87)*H_Exit))</f>
        <v>0</v>
      </c>
      <c r="HA87" s="20" t="n">
        <f aca="false">IF(H_Direct=1,IF(AMN86&lt;=0,0,IF(DN87&lt;=0,AMN86,AMN86-G87*MAX(0,DN87*AMN86-(KM87+NZ87)))),AMN86*(1-MAX(0,DN87)*H_Exit))</f>
        <v>0</v>
      </c>
      <c r="HB87" s="20" t="n">
        <f aca="false">IF(H_Direct=1,IF(AMO86&lt;=0,0,IF(DO87&lt;=0,AMO86,AMO86-G87*MAX(0,DO87*AMO86-(KN87+OA87)))),AMO86*(1-MAX(0,DO87)*H_Exit))</f>
        <v>0</v>
      </c>
      <c r="HC87" s="20" t="n">
        <f aca="false">IF(H_Direct=1,IF(AMP86&lt;=0,0,IF(DP87&lt;=0,AMP86,AMP86-G87*MAX(0,DP87*AMP86-(KO87+OB87)))),AMP86*(1-MAX(0,DP87)*H_Exit))</f>
        <v>0</v>
      </c>
      <c r="HD87" s="20" t="n">
        <f aca="false">IF(H_Direct=1,IF(AMQ86&lt;=0,0,IF(DQ87&lt;=0,AMQ86,AMQ86-G87*MAX(0,DQ87*AMQ86-(KP87+OC87)))),AMQ86*(1-MAX(0,DQ87)*H_Exit))</f>
        <v>0</v>
      </c>
      <c r="HE87" s="20" t="n">
        <f aca="false">IF(H_Direct=1,IF(AMR86&lt;=0,0,IF(DR87&lt;=0,AMR86,AMR86-G87*MAX(0,DR87*AMR86-(KQ87+OD87)))),AMR86*(1-MAX(0,DR87)*H_Exit))</f>
        <v>0</v>
      </c>
      <c r="HF87" s="20" t="n">
        <f aca="false">IF(H_Direct=1,IF(AMS86&lt;=0,0,IF(DS87&lt;=0,AMS86,AMS86-G87*MAX(0,DS87*AMS86-(KR87+OE87)))),AMS86*(1-MAX(0,DS87)*H_Exit))</f>
        <v>0</v>
      </c>
      <c r="HG87" s="20" t="n">
        <f aca="false">IF(H_Direct=1,IF(AMT86&lt;=0,0,IF(DT87&lt;=0,AMT86,AMT86-G87*MAX(0,DT87*AMT86-(KS87+OF87)))),AMT86*(1-MAX(0,DT87)*H_Exit))</f>
        <v>0</v>
      </c>
      <c r="HH87" s="20" t="n">
        <f aca="false">IF(H_Direct=1,IF(AMU86&lt;=0,0,IF(DU87&lt;=0,AMU86,AMU86-G87*MAX(0,DU87*AMU86-(KT87+OG87)))),AMU86*(1-MAX(0,DU87)*H_Exit))</f>
        <v>0</v>
      </c>
      <c r="HI87" s="20" t="n">
        <f aca="false">IF(H_Direct=1,IF(AMV86&lt;=0,0,IF(DV87&lt;=0,AMV86,AMV86-G87*MAX(0,DV87*AMV86-(KU87+OH87)))),AMV86*(1-MAX(0,DV87)*H_Exit))</f>
        <v>0</v>
      </c>
      <c r="HJ87" s="20" t="n">
        <f aca="false">IF(H_Direct=1,IF(AMW86&lt;=0,0,IF(DW87&lt;=0,AMW86,AMW86-G87*MAX(0,DW87*AMW86-(KV87+OI87)))),AMW86*(1-MAX(0,DW87)*H_Exit))</f>
        <v>0</v>
      </c>
      <c r="HK87" s="20" t="n">
        <f aca="false">IF(H_Direct=1,IF(AMX86&lt;=0,0,IF(DX87&lt;=0,AMX86,AMX86-G87*MAX(0,DX87*AMX86-(KW87+OJ87)))),AMX86*(1-MAX(0,DX87)*H_Exit))</f>
        <v>0</v>
      </c>
      <c r="HL87" s="20" t="n">
        <f aca="false">IF(H_Direct=1,IF(AMY86&lt;=0,0,IF(DY87&lt;=0,AMY86,AMY86-G87*MAX(0,DY87*AMY86-(KX87+OK87)))),AMY86*(1-MAX(0,DY87)*H_Exit))</f>
        <v>0</v>
      </c>
      <c r="HM87" s="20" t="n">
        <f aca="false">IF(H_Direct=1,IF(AMZ86&lt;=0,0,IF(DZ87&lt;=0,AMZ86,AMZ86-G87*MAX(0,DZ87*AMZ86-(KY87+OL87)))),AMZ86*(1-MAX(0,DZ87)*H_Exit))</f>
        <v>0</v>
      </c>
      <c r="HN87" s="20" t="n">
        <f aca="false">IF(H_Direct=1,IF(ANA86&lt;=0,0,IF(EA87&lt;=0,ANA86,ANA86-G87*MAX(0,EA87*ANA86-(KZ87+OM87)))),ANA86*(1-MAX(0,EA87)*H_Exit))</f>
        <v>0</v>
      </c>
      <c r="HO87" s="20" t="n">
        <f aca="false">IF(H_Direct=1,IF(ANB86&lt;=0,0,IF(EB87&lt;=0,ANB86,ANB86-G87*MAX(0,EB87*ANB86-(LA87+ON87)))),ANB86*(1-MAX(0,EB87)*H_Exit))</f>
        <v>0</v>
      </c>
      <c r="HP87" s="20" t="n">
        <f aca="false">IF(H_Direct=1,IF(ANC86&lt;=0,0,IF(EC87&lt;=0,ANC86,ANC86-G87*MAX(0,EC87*ANC86-(LB87+OO87)))),ANC86*(1-MAX(0,EC87)*H_Exit))</f>
        <v>0</v>
      </c>
      <c r="HQ87" s="20" t="n">
        <f aca="false">IF(H_Direct=1,IF(AND86&lt;=0,0,IF(ED87&lt;=0,AND86,AND86-G87*MAX(0,ED87*AND86-(LC87+OP87)))),AND86*(1-MAX(0,ED87)*H_Exit))</f>
        <v>0</v>
      </c>
      <c r="HR87" s="20" t="n">
        <f aca="false">IF(H_Direct=1,IF(ANE86&lt;=0,0,IF(EE87&lt;=0,ANE86,ANE86-G87*MAX(0,EE87*ANE86-(LD87+OQ87)))),ANE86*(1-MAX(0,EE87)*H_Exit))</f>
        <v>0</v>
      </c>
      <c r="HS87" s="20" t="n">
        <f aca="false">IF(H_Direct=1,IF(ANF86&lt;=0,0,IF(EF87&lt;=0,ANF86,ANF86-G87*MAX(0,EF87*ANF86-(LE87+OR87)))),ANF86*(1-MAX(0,EF87)*H_Exit))</f>
        <v>0</v>
      </c>
      <c r="HT87" s="20" t="n">
        <f aca="false">IF(H_Direct=1,IF(ANG86&lt;=0,0,IF(EG87&lt;=0,ANG86,ANG86-G87*MAX(0,EG87*ANG86-(LF87+OS87)))),ANG86*(1-MAX(0,EG87)*H_Exit))</f>
        <v>0</v>
      </c>
      <c r="HU87" s="20" t="n">
        <f aca="false">IF(H_Direct=1,IF(ANH86&lt;=0,0,IF(EH87&lt;=0,ANH86,ANH86-G87*MAX(0,EH87*ANH86-(LG87+OT87)))),ANH86*(1-MAX(0,EH87)*H_Exit))</f>
        <v>0</v>
      </c>
      <c r="HV87" s="20" t="n">
        <f aca="false">IF(H_Direct=1,IF(ANI86&lt;=0,0,IF(EI87&lt;=0,ANI86,ANI86-G87*MAX(0,EI87*ANI86-(LH87+OU87)))),ANI86*(1-MAX(0,EI87)*H_Exit))</f>
        <v>0</v>
      </c>
      <c r="HW87" s="20" t="n">
        <f aca="false">IF(H_Direct=1,IF(ANJ86&lt;=0,0,IF(EJ87&lt;=0,ANJ86,ANJ86-G87*MAX(0,EJ87*ANJ86-(LI87+OV87)))),ANJ86*(1-MAX(0,EJ87)*H_Exit))</f>
        <v>0</v>
      </c>
      <c r="HX87" s="20" t="n">
        <f aca="false">IF(H_Direct=1,IF(ANK86&lt;=0,0,IF(EK87&lt;=0,ANK86,ANK86-G87*MAX(0,EK87*ANK86-(LJ87+OW87)))),ANK86*(1-MAX(0,EK87)*H_Exit))</f>
        <v>0</v>
      </c>
      <c r="HY87" s="20" t="n">
        <f aca="false">IF(H_Direct=1,IF(ANL86&lt;=0,0,IF(EL87&lt;=0,ANL86,ANL86-G87*MAX(0,EL87*ANL86-(LK87+OX87)))),ANL86*(1-MAX(0,EL87)*H_Exit))</f>
        <v>0</v>
      </c>
      <c r="HZ87" s="20" t="n">
        <f aca="false">IF(H_Direct=1,IF(ANM86&lt;=0,0,IF(EM87&lt;=0,ANM86,ANM86-G87*MAX(0,EM87*ANM86-(LL87+OY87)))),ANM86*(1-MAX(0,EM87)*H_Exit))</f>
        <v>0</v>
      </c>
      <c r="IA87" s="20" t="n">
        <f aca="false">IF(H_Direct=1,IF(ANN86&lt;=0,0,IF(EN87&lt;=0,ANN86,ANN86-G87*MAX(0,EN87*ANN86-(LM87+OZ87)))),ANN86*(1-MAX(0,EN87)*H_Exit))</f>
        <v>0</v>
      </c>
      <c r="IB87" s="20" t="n">
        <f aca="false">IF(H_Direct=1,IF(ANO86&lt;=0,0,IF(EO87&lt;=0,ANO86,ANO86-G87*MAX(0,EO87*ANO86-(LN87+PA87)))),ANO86*(1-MAX(0,EO87)*H_Exit))</f>
        <v>0</v>
      </c>
      <c r="IC87" s="20" t="n">
        <f aca="false">IF(H_Direct=1,IF(ANP86&lt;=0,0,IF(EP87&lt;=0,ANP86,ANP86-G87*MAX(0,EP87*ANP86-(LO87+PB87)))),ANP86*(1-MAX(0,EP87)*H_Exit))</f>
        <v>0</v>
      </c>
      <c r="ID87" s="20" t="n">
        <f aca="false">IF(H_Direct=1,IF(ANQ86&lt;=0,0,IF(EQ87&lt;=0,ANQ86,ANQ86-G87*MAX(0,EQ87*ANQ86-(LP87+PC87)))),ANQ86*(1-MAX(0,EQ87)*H_Exit))</f>
        <v>0</v>
      </c>
      <c r="IE87" s="20" t="n">
        <f aca="false">IF(H_Direct=1,IF(ANR86&lt;=0,0,IF(ER87&lt;=0,ANR86,ANR86-G87*MAX(0,ER87*ANR86-(LQ87+PD87)))),ANR86*(1-MAX(0,ER87)*H_Exit))</f>
        <v>0</v>
      </c>
      <c r="IF87" s="20" t="n">
        <f aca="false">IF(H_Direct=1,IF(ANS86&lt;=0,0,IF(ES87&lt;=0,ANS86,ANS86-G87*MAX(0,ES87*ANS86-(LR87+PE87)))),ANS86*(1-MAX(0,ES87)*H_Exit))</f>
        <v>0</v>
      </c>
      <c r="IG87" s="20" t="n">
        <f aca="false">IF(H_Direct=1,IF((P87+S87)&lt;=0,0,IF(ET87&lt;=0,(P87+S87),(P87+S87)-G87*MAX(0,ET87*(P87+S87)-(LS87+PF87)))),(P87+S87)*(1-MAX(0,ET87)*H_Exit))</f>
        <v>0</v>
      </c>
      <c r="IH87" s="20" t="n">
        <v>0</v>
      </c>
      <c r="II87" s="20" t="n">
        <v>0</v>
      </c>
      <c r="IJ87" s="20" t="n">
        <v>0</v>
      </c>
      <c r="IK87" s="20" t="n">
        <v>0</v>
      </c>
      <c r="IL87" s="20" t="n">
        <v>0</v>
      </c>
      <c r="IM87" s="20" t="n">
        <v>0</v>
      </c>
      <c r="IN87" s="20" t="n">
        <v>0</v>
      </c>
      <c r="IO87" s="20" t="n">
        <v>0</v>
      </c>
      <c r="IP87" s="20" t="n">
        <v>0</v>
      </c>
      <c r="IQ87" s="20" t="n">
        <v>0</v>
      </c>
      <c r="IR87" s="20" t="n">
        <f aca="false">IF(AND(H_Direct=1,BR87&gt;0),MAX(0,H87-(MIN(BR87*AKR86,H87+I87)-MIN(MIN(BR87*AKR86,H87+I87),I87))),H87)</f>
        <v>1270</v>
      </c>
      <c r="IS87" s="20" t="n">
        <f aca="false">IF(AND(H_Direct=1,BS87&gt;0),MAX(0,IR87-(MIN(BS87*AKS86,IR87+ME87)-MIN(MIN(BS87*AKS86,IR87+ME87),ME87))),IR87)</f>
        <v>1270</v>
      </c>
      <c r="IT87" s="20" t="n">
        <f aca="false">IF(AND(H_Direct=1,BT87&gt;0),MAX(0,IS87-(MIN(BT87*AKT86,IS87+MF87)-MIN(MIN(BT87*AKT86,IS87+MF87),MF87))),IS87)</f>
        <v>1270</v>
      </c>
      <c r="IU87" s="20" t="n">
        <f aca="false">IF(AND(H_Direct=1,BU87&gt;0),MAX(0,IT87-(MIN(BU87*AKU86,IT87+MG87)-MIN(MIN(BU87*AKU86,IT87+MG87),MG87))),IT87)</f>
        <v>1270</v>
      </c>
      <c r="IV87" s="20" t="n">
        <f aca="false">IF(AND(H_Direct=1,BV87&gt;0),MAX(0,IU87-(MIN(BV87*AKV86,IU87+MH87)-MIN(MIN(BV87*AKV86,IU87+MH87),MH87))),IU87)</f>
        <v>1270</v>
      </c>
      <c r="IW87" s="20" t="n">
        <f aca="false">IF(AND(H_Direct=1,BW87&gt;0),MAX(0,IV87-(MIN(BW87*AKW86,IV87+MI87)-MIN(MIN(BW87*AKW86,IV87+MI87),MI87))),IV87)</f>
        <v>1270</v>
      </c>
      <c r="IX87" s="20" t="n">
        <f aca="false">IF(AND(H_Direct=1,BX87&gt;0),MAX(0,IW87-(MIN(BX87*AKX86,IW87+MJ87)-MIN(MIN(BX87*AKX86,IW87+MJ87),MJ87))),IW87)</f>
        <v>1270</v>
      </c>
      <c r="IY87" s="20" t="n">
        <f aca="false">IF(AND(H_Direct=1,BY87&gt;0),MAX(0,IX87-(MIN(BY87*AKY86,IX87+MK87)-MIN(MIN(BY87*AKY86,IX87+MK87),MK87))),IX87)</f>
        <v>1270</v>
      </c>
      <c r="IZ87" s="20" t="n">
        <f aca="false">IF(AND(H_Direct=1,BZ87&gt;0),MAX(0,IY87-(MIN(BZ87*AKZ86,IY87+ML87)-MIN(MIN(BZ87*AKZ86,IY87+ML87),ML87))),IY87)</f>
        <v>1270</v>
      </c>
      <c r="JA87" s="20" t="n">
        <f aca="false">IF(AND(H_Direct=1,CA87&gt;0),MAX(0,IZ87-(MIN(CA87*ALA86,IZ87+MM87)-MIN(MIN(CA87*ALA86,IZ87+MM87),MM87))),IZ87)</f>
        <v>1270</v>
      </c>
      <c r="JB87" s="20" t="n">
        <f aca="false">IF(AND(H_Direct=1,CB87&gt;0),MAX(0,JA87-(MIN(CB87*ALB86,JA87+MN87)-MIN(MIN(CB87*ALB86,JA87+MN87),MN87))),JA87)</f>
        <v>1270</v>
      </c>
      <c r="JC87" s="20" t="n">
        <f aca="false">IF(AND(H_Direct=1,CC87&gt;0),MAX(0,JB87-(MIN(CC87*ALC86,JB87+MO87)-MIN(MIN(CC87*ALC86,JB87+MO87),MO87))),JB87)</f>
        <v>1270</v>
      </c>
      <c r="JD87" s="20" t="n">
        <f aca="false">IF(AND(H_Direct=1,CD87&gt;0),MAX(0,JC87-(MIN(CD87*ALD86,JC87+MP87)-MIN(MIN(CD87*ALD86,JC87+MP87),MP87))),JC87)</f>
        <v>1270</v>
      </c>
      <c r="JE87" s="20" t="n">
        <f aca="false">IF(AND(H_Direct=1,CE87&gt;0),MAX(0,JD87-(MIN(CE87*ALE86,JD87+MQ87)-MIN(MIN(CE87*ALE86,JD87+MQ87),MQ87))),JD87)</f>
        <v>1270</v>
      </c>
      <c r="JF87" s="20" t="n">
        <f aca="false">IF(AND(H_Direct=1,CF87&gt;0),MAX(0,JE87-(MIN(CF87*ALF86,JE87+MR87)-MIN(MIN(CF87*ALF86,JE87+MR87),MR87))),JE87)</f>
        <v>1270</v>
      </c>
      <c r="JG87" s="20" t="n">
        <f aca="false">IF(AND(H_Direct=1,CG87&gt;0),MAX(0,JF87-(MIN(CG87*ALG86,JF87+MS87)-MIN(MIN(CG87*ALG86,JF87+MS87),MS87))),JF87)</f>
        <v>1270</v>
      </c>
      <c r="JH87" s="20" t="n">
        <f aca="false">IF(AND(H_Direct=1,CH87&gt;0),MAX(0,JG87-(MIN(CH87*ALH86,JG87+MT87)-MIN(MIN(CH87*ALH86,JG87+MT87),MT87))),JG87)</f>
        <v>1270</v>
      </c>
      <c r="JI87" s="20" t="n">
        <f aca="false">IF(AND(H_Direct=1,CI87&gt;0),MAX(0,JH87-(MIN(CI87*ALI86,JH87+MU87)-MIN(MIN(CI87*ALI86,JH87+MU87),MU87))),JH87)</f>
        <v>1270</v>
      </c>
      <c r="JJ87" s="20" t="n">
        <f aca="false">IF(AND(H_Direct=1,CJ87&gt;0),MAX(0,JI87-(MIN(CJ87*ALJ86,JI87+MV87)-MIN(MIN(CJ87*ALJ86,JI87+MV87),MV87))),JI87)</f>
        <v>1270</v>
      </c>
      <c r="JK87" s="20" t="n">
        <f aca="false">IF(AND(H_Direct=1,CK87&gt;0),MAX(0,JJ87-(MIN(CK87*ALK86,JJ87+MW87)-MIN(MIN(CK87*ALK86,JJ87+MW87),MW87))),JJ87)</f>
        <v>1270</v>
      </c>
      <c r="JL87" s="20" t="n">
        <f aca="false">IF(AND(H_Direct=1,CL87&gt;0),MAX(0,JK87-(MIN(CL87*ALL86,JK87+MX87)-MIN(MIN(CL87*ALL86,JK87+MX87),MX87))),JK87)</f>
        <v>1270</v>
      </c>
      <c r="JM87" s="20" t="n">
        <f aca="false">IF(AND(H_Direct=1,CM87&gt;0),MAX(0,JL87-(MIN(CM87*ALM86,JL87+MY87)-MIN(MIN(CM87*ALM86,JL87+MY87),MY87))),JL87)</f>
        <v>1270</v>
      </c>
      <c r="JN87" s="20" t="n">
        <f aca="false">IF(AND(H_Direct=1,CN87&gt;0),MAX(0,JM87-(MIN(CN87*ALN86,JM87+MZ87)-MIN(MIN(CN87*ALN86,JM87+MZ87),MZ87))),JM87)</f>
        <v>1270</v>
      </c>
      <c r="JO87" s="20" t="n">
        <f aca="false">IF(AND(H_Direct=1,CO87&gt;0),MAX(0,JN87-(MIN(CO87*ALO86,JN87+NA87)-MIN(MIN(CO87*ALO86,JN87+NA87),NA87))),JN87)</f>
        <v>1270</v>
      </c>
      <c r="JP87" s="20" t="n">
        <f aca="false">IF(AND(H_Direct=1,CP87&gt;0),MAX(0,JO87-(MIN(CP87*ALP86,JO87+NB87)-MIN(MIN(CP87*ALP86,JO87+NB87),NB87))),JO87)</f>
        <v>1270</v>
      </c>
      <c r="JQ87" s="20" t="n">
        <f aca="false">IF(AND(H_Direct=1,CQ87&gt;0),MAX(0,JP87-(MIN(CQ87*ALQ86,JP87+NC87)-MIN(MIN(CQ87*ALQ86,JP87+NC87),NC87))),JP87)</f>
        <v>1270</v>
      </c>
      <c r="JR87" s="20" t="n">
        <f aca="false">IF(AND(H_Direct=1,CR87&gt;0),MAX(0,JQ87-(MIN(CR87*ALR86,JQ87+ND87)-MIN(MIN(CR87*ALR86,JQ87+ND87),ND87))),JQ87)</f>
        <v>1270</v>
      </c>
      <c r="JS87" s="20" t="n">
        <f aca="false">IF(AND(H_Direct=1,CS87&gt;0),MAX(0,JR87-(MIN(CS87*ALS86,JR87+NE87)-MIN(MIN(CS87*ALS86,JR87+NE87),NE87))),JR87)</f>
        <v>1270</v>
      </c>
      <c r="JT87" s="20" t="n">
        <f aca="false">IF(AND(H_Direct=1,CT87&gt;0),MAX(0,JS87-(MIN(CT87*ALT86,JS87+NF87)-MIN(MIN(CT87*ALT86,JS87+NF87),NF87))),JS87)</f>
        <v>1270</v>
      </c>
      <c r="JU87" s="20" t="n">
        <f aca="false">IF(AND(H_Direct=1,CU87&gt;0),MAX(0,JT87-(MIN(CU87*ALU86,JT87+NG87)-MIN(MIN(CU87*ALU86,JT87+NG87),NG87))),JT87)</f>
        <v>1270</v>
      </c>
      <c r="JV87" s="20" t="n">
        <f aca="false">IF(AND(H_Direct=1,CV87&gt;0),MAX(0,JU87-(MIN(CV87*ALV86,JU87+NH87)-MIN(MIN(CV87*ALV86,JU87+NH87),NH87))),JU87)</f>
        <v>1270</v>
      </c>
      <c r="JW87" s="20" t="n">
        <f aca="false">IF(AND(H_Direct=1,CW87&gt;0),MAX(0,JV87-(MIN(CW87*ALW86,JV87+NI87)-MIN(MIN(CW87*ALW86,JV87+NI87),NI87))),JV87)</f>
        <v>1270</v>
      </c>
      <c r="JX87" s="20" t="n">
        <f aca="false">IF(AND(H_Direct=1,CX87&gt;0),MAX(0,JW87-(MIN(CX87*ALX86,JW87+NJ87)-MIN(MIN(CX87*ALX86,JW87+NJ87),NJ87))),JW87)</f>
        <v>1270</v>
      </c>
      <c r="JY87" s="20" t="n">
        <f aca="false">IF(AND(H_Direct=1,CY87&gt;0),MAX(0,JX87-(MIN(CY87*ALY86,JX87+NK87)-MIN(MIN(CY87*ALY86,JX87+NK87),NK87))),JX87)</f>
        <v>1270</v>
      </c>
      <c r="JZ87" s="20" t="n">
        <f aca="false">IF(AND(H_Direct=1,CZ87&gt;0),MAX(0,JY87-(MIN(CZ87*ALZ86,JY87+NL87)-MIN(MIN(CZ87*ALZ86,JY87+NL87),NL87))),JY87)</f>
        <v>1270</v>
      </c>
      <c r="KA87" s="20" t="n">
        <f aca="false">IF(AND(H_Direct=1,DA87&gt;0),MAX(0,JZ87-(MIN(DA87*AMA86,JZ87+NM87)-MIN(MIN(DA87*AMA86,JZ87+NM87),NM87))),JZ87)</f>
        <v>1270</v>
      </c>
      <c r="KB87" s="20" t="n">
        <f aca="false">IF(AND(H_Direct=1,DB87&gt;0),MAX(0,KA87-(MIN(DB87*AMB86,KA87+NN87)-MIN(MIN(DB87*AMB86,KA87+NN87),NN87))),KA87)</f>
        <v>1270</v>
      </c>
      <c r="KC87" s="20" t="n">
        <f aca="false">IF(AND(H_Direct=1,DC87&gt;0),MAX(0,KB87-(MIN(DC87*AMC86,KB87+NO87)-MIN(MIN(DC87*AMC86,KB87+NO87),NO87))),KB87)</f>
        <v>1270</v>
      </c>
      <c r="KD87" s="20" t="n">
        <f aca="false">IF(AND(H_Direct=1,DD87&gt;0),MAX(0,KC87-(MIN(DD87*AMD86,KC87+NP87)-MIN(MIN(DD87*AMD86,KC87+NP87),NP87))),KC87)</f>
        <v>1270</v>
      </c>
      <c r="KE87" s="20" t="n">
        <f aca="false">IF(AND(H_Direct=1,DE87&gt;0),MAX(0,KD87-(MIN(DE87*AME86,KD87+NQ87)-MIN(MIN(DE87*AME86,KD87+NQ87),NQ87))),KD87)</f>
        <v>1270</v>
      </c>
      <c r="KF87" s="20" t="n">
        <f aca="false">IF(AND(H_Direct=1,DF87&gt;0),MAX(0,KE87-(MIN(DF87*AMF86,KE87+NR87)-MIN(MIN(DF87*AMF86,KE87+NR87),NR87))),KE87)</f>
        <v>1270</v>
      </c>
      <c r="KG87" s="20" t="n">
        <f aca="false">IF(AND(H_Direct=1,DG87&gt;0),MAX(0,KF87-(MIN(DG87*AMG86,KF87+NS87)-MIN(MIN(DG87*AMG86,KF87+NS87),NS87))),KF87)</f>
        <v>1270</v>
      </c>
      <c r="KH87" s="20" t="n">
        <f aca="false">IF(AND(H_Direct=1,DH87&gt;0),MAX(0,KG87-(MIN(DH87*AMH86,KG87+NT87)-MIN(MIN(DH87*AMH86,KG87+NT87),NT87))),KG87)</f>
        <v>1270</v>
      </c>
      <c r="KI87" s="20" t="n">
        <f aca="false">IF(AND(H_Direct=1,DI87&gt;0),MAX(0,KH87-(MIN(DI87*AMI86,KH87+NU87)-MIN(MIN(DI87*AMI86,KH87+NU87),NU87))),KH87)</f>
        <v>1270</v>
      </c>
      <c r="KJ87" s="20" t="n">
        <f aca="false">IF(AND(H_Direct=1,DJ87&gt;0),MAX(0,KI87-(MIN(DJ87*AMJ86,KI87+NV87)-MIN(MIN(DJ87*AMJ86,KI87+NV87),NV87))),KI87)</f>
        <v>1270</v>
      </c>
      <c r="KK87" s="20" t="n">
        <f aca="false">IF(AND(H_Direct=1,DK87&gt;0),MAX(0,KJ87-(MIN(DK87*AMK86,KJ87+NW87)-MIN(MIN(DK87*AMK86,KJ87+NW87),NW87))),KJ87)</f>
        <v>1270</v>
      </c>
      <c r="KL87" s="20" t="n">
        <f aca="false">IF(AND(H_Direct=1,DL87&gt;0),MAX(0,KK87-(MIN(DL87*AML86,KK87+NX87)-MIN(MIN(DL87*AML86,KK87+NX87),NX87))),KK87)</f>
        <v>1270</v>
      </c>
      <c r="KM87" s="20" t="n">
        <f aca="false">IF(AND(H_Direct=1,DM87&gt;0),MAX(0,KL87-(MIN(DM87*AMM86,KL87+NY87)-MIN(MIN(DM87*AMM86,KL87+NY87),NY87))),KL87)</f>
        <v>1270</v>
      </c>
      <c r="KN87" s="20" t="n">
        <f aca="false">IF(AND(H_Direct=1,DN87&gt;0),MAX(0,KM87-(MIN(DN87*AMN86,KM87+NZ87)-MIN(MIN(DN87*AMN86,KM87+NZ87),NZ87))),KM87)</f>
        <v>1270</v>
      </c>
      <c r="KO87" s="20" t="n">
        <f aca="false">IF(AND(H_Direct=1,DO87&gt;0),MAX(0,KN87-(MIN(DO87*AMO86,KN87+OA87)-MIN(MIN(DO87*AMO86,KN87+OA87),OA87))),KN87)</f>
        <v>1270</v>
      </c>
      <c r="KP87" s="20" t="n">
        <f aca="false">IF(AND(H_Direct=1,DP87&gt;0),MAX(0,KO87-(MIN(DP87*AMP86,KO87+OB87)-MIN(MIN(DP87*AMP86,KO87+OB87),OB87))),KO87)</f>
        <v>1270</v>
      </c>
      <c r="KQ87" s="20" t="n">
        <f aca="false">IF(AND(H_Direct=1,DQ87&gt;0),MAX(0,KP87-(MIN(DQ87*AMQ86,KP87+OC87)-MIN(MIN(DQ87*AMQ86,KP87+OC87),OC87))),KP87)</f>
        <v>1270</v>
      </c>
      <c r="KR87" s="20" t="n">
        <f aca="false">IF(AND(H_Direct=1,DR87&gt;0),MAX(0,KQ87-(MIN(DR87*AMR86,KQ87+OD87)-MIN(MIN(DR87*AMR86,KQ87+OD87),OD87))),KQ87)</f>
        <v>1270</v>
      </c>
      <c r="KS87" s="20" t="n">
        <f aca="false">IF(AND(H_Direct=1,DS87&gt;0),MAX(0,KR87-(MIN(DS87*AMS86,KR87+OE87)-MIN(MIN(DS87*AMS86,KR87+OE87),OE87))),KR87)</f>
        <v>1270</v>
      </c>
      <c r="KT87" s="20" t="n">
        <f aca="false">IF(AND(H_Direct=1,DT87&gt;0),MAX(0,KS87-(MIN(DT87*AMT86,KS87+OF87)-MIN(MIN(DT87*AMT86,KS87+OF87),OF87))),KS87)</f>
        <v>1270</v>
      </c>
      <c r="KU87" s="20" t="n">
        <f aca="false">IF(AND(H_Direct=1,DU87&gt;0),MAX(0,KT87-(MIN(DU87*AMU86,KT87+OG87)-MIN(MIN(DU87*AMU86,KT87+OG87),OG87))),KT87)</f>
        <v>1270</v>
      </c>
      <c r="KV87" s="20" t="n">
        <f aca="false">IF(AND(H_Direct=1,DV87&gt;0),MAX(0,KU87-(MIN(DV87*AMV86,KU87+OH87)-MIN(MIN(DV87*AMV86,KU87+OH87),OH87))),KU87)</f>
        <v>1270</v>
      </c>
      <c r="KW87" s="20" t="n">
        <f aca="false">IF(AND(H_Direct=1,DW87&gt;0),MAX(0,KV87-(MIN(DW87*AMW86,KV87+OI87)-MIN(MIN(DW87*AMW86,KV87+OI87),OI87))),KV87)</f>
        <v>1270</v>
      </c>
      <c r="KX87" s="20" t="n">
        <f aca="false">IF(AND(H_Direct=1,DX87&gt;0),MAX(0,KW87-(MIN(DX87*AMX86,KW87+OJ87)-MIN(MIN(DX87*AMX86,KW87+OJ87),OJ87))),KW87)</f>
        <v>1270</v>
      </c>
      <c r="KY87" s="20" t="n">
        <f aca="false">IF(AND(H_Direct=1,DY87&gt;0),MAX(0,KX87-(MIN(DY87*AMY86,KX87+OK87)-MIN(MIN(DY87*AMY86,KX87+OK87),OK87))),KX87)</f>
        <v>1270</v>
      </c>
      <c r="KZ87" s="20" t="n">
        <f aca="false">IF(AND(H_Direct=1,DZ87&gt;0),MAX(0,KY87-(MIN(DZ87*AMZ86,KY87+OL87)-MIN(MIN(DZ87*AMZ86,KY87+OL87),OL87))),KY87)</f>
        <v>1270</v>
      </c>
      <c r="LA87" s="20" t="n">
        <f aca="false">IF(AND(H_Direct=1,EA87&gt;0),MAX(0,KZ87-(MIN(EA87*ANA86,KZ87+OM87)-MIN(MIN(EA87*ANA86,KZ87+OM87),OM87))),KZ87)</f>
        <v>1270</v>
      </c>
      <c r="LB87" s="20" t="n">
        <f aca="false">IF(AND(H_Direct=1,EB87&gt;0),MAX(0,LA87-(MIN(EB87*ANB86,LA87+ON87)-MIN(MIN(EB87*ANB86,LA87+ON87),ON87))),LA87)</f>
        <v>1270</v>
      </c>
      <c r="LC87" s="20" t="n">
        <f aca="false">IF(AND(H_Direct=1,EC87&gt;0),MAX(0,LB87-(MIN(EC87*ANC86,LB87+OO87)-MIN(MIN(EC87*ANC86,LB87+OO87),OO87))),LB87)</f>
        <v>1270</v>
      </c>
      <c r="LD87" s="20" t="n">
        <f aca="false">IF(AND(H_Direct=1,ED87&gt;0),MAX(0,LC87-(MIN(ED87*AND86,LC87+OP87)-MIN(MIN(ED87*AND86,LC87+OP87),OP87))),LC87)</f>
        <v>1270</v>
      </c>
      <c r="LE87" s="20" t="n">
        <f aca="false">IF(AND(H_Direct=1,EE87&gt;0),MAX(0,LD87-(MIN(EE87*ANE86,LD87+OQ87)-MIN(MIN(EE87*ANE86,LD87+OQ87),OQ87))),LD87)</f>
        <v>1270</v>
      </c>
      <c r="LF87" s="20" t="n">
        <f aca="false">IF(AND(H_Direct=1,EF87&gt;0),MAX(0,LE87-(MIN(EF87*ANF86,LE87+OR87)-MIN(MIN(EF87*ANF86,LE87+OR87),OR87))),LE87)</f>
        <v>1270</v>
      </c>
      <c r="LG87" s="20" t="n">
        <f aca="false">IF(AND(H_Direct=1,EG87&gt;0),MAX(0,LF87-(MIN(EG87*ANG86,LF87+OS87)-MIN(MIN(EG87*ANG86,LF87+OS87),OS87))),LF87)</f>
        <v>1270</v>
      </c>
      <c r="LH87" s="20" t="n">
        <f aca="false">IF(AND(H_Direct=1,EH87&gt;0),MAX(0,LG87-(MIN(EH87*ANH86,LG87+OT87)-MIN(MIN(EH87*ANH86,LG87+OT87),OT87))),LG87)</f>
        <v>1270</v>
      </c>
      <c r="LI87" s="20" t="n">
        <f aca="false">IF(AND(H_Direct=1,EI87&gt;0),MAX(0,LH87-(MIN(EI87*ANI86,LH87+OU87)-MIN(MIN(EI87*ANI86,LH87+OU87),OU87))),LH87)</f>
        <v>1270</v>
      </c>
      <c r="LJ87" s="20" t="n">
        <f aca="false">IF(AND(H_Direct=1,EJ87&gt;0),MAX(0,LI87-(MIN(EJ87*ANJ86,LI87+OV87)-MIN(MIN(EJ87*ANJ86,LI87+OV87),OV87))),LI87)</f>
        <v>1270</v>
      </c>
      <c r="LK87" s="20" t="n">
        <f aca="false">IF(AND(H_Direct=1,EK87&gt;0),MAX(0,LJ87-(MIN(EK87*ANK86,LJ87+OW87)-MIN(MIN(EK87*ANK86,LJ87+OW87),OW87))),LJ87)</f>
        <v>1270</v>
      </c>
      <c r="LL87" s="20" t="n">
        <f aca="false">IF(AND(H_Direct=1,EL87&gt;0),MAX(0,LK87-(MIN(EL87*ANL86,LK87+OX87)-MIN(MIN(EL87*ANL86,LK87+OX87),OX87))),LK87)</f>
        <v>1270</v>
      </c>
      <c r="LM87" s="20" t="n">
        <f aca="false">IF(AND(H_Direct=1,EM87&gt;0),MAX(0,LL87-(MIN(EM87*ANM86,LL87+OY87)-MIN(MIN(EM87*ANM86,LL87+OY87),OY87))),LL87)</f>
        <v>1270</v>
      </c>
      <c r="LN87" s="20" t="n">
        <f aca="false">IF(AND(H_Direct=1,EN87&gt;0),MAX(0,LM87-(MIN(EN87*ANN86,LM87+OZ87)-MIN(MIN(EN87*ANN86,LM87+OZ87),OZ87))),LM87)</f>
        <v>1270</v>
      </c>
      <c r="LO87" s="20" t="n">
        <f aca="false">IF(AND(H_Direct=1,EO87&gt;0),MAX(0,LN87-(MIN(EO87*ANO86,LN87+PA87)-MIN(MIN(EO87*ANO86,LN87+PA87),PA87))),LN87)</f>
        <v>1270</v>
      </c>
      <c r="LP87" s="20" t="n">
        <f aca="false">IF(AND(H_Direct=1,EP87&gt;0),MAX(0,LO87-(MIN(EP87*ANP86,LO87+PB87)-MIN(MIN(EP87*ANP86,LO87+PB87),PB87))),LO87)</f>
        <v>1270</v>
      </c>
      <c r="LQ87" s="20" t="n">
        <f aca="false">IF(AND(H_Direct=1,EQ87&gt;0),MAX(0,LP87-(MIN(EQ87*ANQ86,LP87+PC87)-MIN(MIN(EQ87*ANQ86,LP87+PC87),PC87))),LP87)</f>
        <v>1270</v>
      </c>
      <c r="LR87" s="20" t="n">
        <f aca="false">IF(AND(H_Direct=1,ER87&gt;0),MAX(0,LQ87-(MIN(ER87*ANR86,LQ87+PD87)-MIN(MIN(ER87*ANR86,LQ87+PD87),PD87))),LQ87)</f>
        <v>1270</v>
      </c>
      <c r="LS87" s="20" t="n">
        <f aca="false">IF(AND(H_Direct=1,ES87&gt;0),MAX(0,LR87-(MIN(ES87*ANS86,LR87+PE87)-MIN(MIN(ES87*ANS86,LR87+PE87),PE87))),LR87)</f>
        <v>1270</v>
      </c>
      <c r="LT87" s="20" t="n">
        <f aca="false">IF(AND(H_Direct=1,ET87&gt;0),MAX(0,LS87-(MIN(ET87*(P87+S87),LS87+PF87)-MIN(MIN(ET87*(P87+S87),LS87+PF87),PF87))),LS87)</f>
        <v>1270</v>
      </c>
      <c r="LU87" s="20" t="n">
        <f aca="false">LT87</f>
        <v>1270</v>
      </c>
      <c r="LV87" s="20" t="n">
        <f aca="false">LU87</f>
        <v>1270</v>
      </c>
      <c r="LW87" s="20" t="n">
        <f aca="false">LV87</f>
        <v>1270</v>
      </c>
      <c r="LX87" s="20" t="n">
        <f aca="false">LW87</f>
        <v>1270</v>
      </c>
      <c r="LY87" s="20" t="n">
        <f aca="false">LX87</f>
        <v>1270</v>
      </c>
      <c r="LZ87" s="20" t="n">
        <f aca="false">LY87</f>
        <v>1270</v>
      </c>
      <c r="MA87" s="20" t="n">
        <f aca="false">LZ87</f>
        <v>1270</v>
      </c>
      <c r="MB87" s="20" t="n">
        <f aca="false">MA87</f>
        <v>1270</v>
      </c>
      <c r="MC87" s="20" t="n">
        <f aca="false">MB87</f>
        <v>1270</v>
      </c>
      <c r="MD87" s="20" t="n">
        <f aca="false">MC87</f>
        <v>1270</v>
      </c>
      <c r="ME87" s="20" t="n">
        <f aca="false">IF(H_Direct=1,IF(BR87&lt;=0,I87-BR87*AKR86,I87-MIN(MIN(BR87*AKR86,H87+I87),I87)),I87)</f>
        <v>0</v>
      </c>
      <c r="MF87" s="20" t="n">
        <f aca="false">IF(H_Direct=1,IF(BS87&lt;=0,ME87-BS87*AKS86,ME87-MIN(MIN(BS87*AKS86,IR87+ME87),ME87)),ME87)</f>
        <v>0</v>
      </c>
      <c r="MG87" s="20" t="n">
        <f aca="false">IF(H_Direct=1,IF(BT87&lt;=0,MF87-BT87*AKT86,MF87-MIN(MIN(BT87*AKT86,IS87+MF87),MF87)),MF87)</f>
        <v>0</v>
      </c>
      <c r="MH87" s="20" t="n">
        <f aca="false">IF(H_Direct=1,IF(BU87&lt;=0,MG87-BU87*AKU86,MG87-MIN(MIN(BU87*AKU86,IT87+MG87),MG87)),MG87)</f>
        <v>0</v>
      </c>
      <c r="MI87" s="20" t="n">
        <f aca="false">IF(H_Direct=1,IF(BV87&lt;=0,MH87-BV87*AKV86,MH87-MIN(MIN(BV87*AKV86,IU87+MH87),MH87)),MH87)</f>
        <v>0</v>
      </c>
      <c r="MJ87" s="20" t="n">
        <f aca="false">IF(H_Direct=1,IF(BW87&lt;=0,MI87-BW87*AKW86,MI87-MIN(MIN(BW87*AKW86,IV87+MI87),MI87)),MI87)</f>
        <v>0</v>
      </c>
      <c r="MK87" s="20" t="n">
        <f aca="false">IF(H_Direct=1,IF(BX87&lt;=0,MJ87-BX87*AKX86,MJ87-MIN(MIN(BX87*AKX86,IW87+MJ87),MJ87)),MJ87)</f>
        <v>0</v>
      </c>
      <c r="ML87" s="20" t="n">
        <f aca="false">IF(H_Direct=1,IF(BY87&lt;=0,MK87-BY87*AKY86,MK87-MIN(MIN(BY87*AKY86,IX87+MK87),MK87)),MK87)</f>
        <v>0</v>
      </c>
      <c r="MM87" s="20" t="n">
        <f aca="false">IF(H_Direct=1,IF(BZ87&lt;=0,ML87-BZ87*AKZ86,ML87-MIN(MIN(BZ87*AKZ86,IY87+ML87),ML87)),ML87)</f>
        <v>0</v>
      </c>
      <c r="MN87" s="20" t="n">
        <f aca="false">IF(H_Direct=1,IF(CA87&lt;=0,MM87-CA87*ALA86,MM87-MIN(MIN(CA87*ALA86,IZ87+MM87),MM87)),MM87)</f>
        <v>0</v>
      </c>
      <c r="MO87" s="20" t="n">
        <f aca="false">IF(H_Direct=1,IF(CB87&lt;=0,MN87-CB87*ALB86,MN87-MIN(MIN(CB87*ALB86,JA87+MN87),MN87)),MN87)</f>
        <v>0</v>
      </c>
      <c r="MP87" s="20" t="n">
        <f aca="false">IF(H_Direct=1,IF(CC87&lt;=0,MO87-CC87*ALC86,MO87-MIN(MIN(CC87*ALC86,JB87+MO87),MO87)),MO87)</f>
        <v>0</v>
      </c>
      <c r="MQ87" s="20" t="n">
        <f aca="false">IF(H_Direct=1,IF(CD87&lt;=0,MP87-CD87*ALD86,MP87-MIN(MIN(CD87*ALD86,JC87+MP87),MP87)),MP87)</f>
        <v>0</v>
      </c>
      <c r="MR87" s="20" t="n">
        <f aca="false">IF(H_Direct=1,IF(CE87&lt;=0,MQ87-CE87*ALE86,MQ87-MIN(MIN(CE87*ALE86,JD87+MQ87),MQ87)),MQ87)</f>
        <v>0</v>
      </c>
      <c r="MS87" s="20" t="n">
        <f aca="false">IF(H_Direct=1,IF(CF87&lt;=0,MR87-CF87*ALF86,MR87-MIN(MIN(CF87*ALF86,JE87+MR87),MR87)),MR87)</f>
        <v>0</v>
      </c>
      <c r="MT87" s="20" t="n">
        <f aca="false">IF(H_Direct=1,IF(CG87&lt;=0,MS87-CG87*ALG86,MS87-MIN(MIN(CG87*ALG86,JF87+MS87),MS87)),MS87)</f>
        <v>0</v>
      </c>
      <c r="MU87" s="20" t="n">
        <f aca="false">IF(H_Direct=1,IF(CH87&lt;=0,MT87-CH87*ALH86,MT87-MIN(MIN(CH87*ALH86,JG87+MT87),MT87)),MT87)</f>
        <v>0</v>
      </c>
      <c r="MV87" s="20" t="n">
        <f aca="false">IF(H_Direct=1,IF(CI87&lt;=0,MU87-CI87*ALI86,MU87-MIN(MIN(CI87*ALI86,JH87+MU87),MU87)),MU87)</f>
        <v>0</v>
      </c>
      <c r="MW87" s="20" t="n">
        <f aca="false">IF(H_Direct=1,IF(CJ87&lt;=0,MV87-CJ87*ALJ86,MV87-MIN(MIN(CJ87*ALJ86,JI87+MV87),MV87)),MV87)</f>
        <v>0</v>
      </c>
      <c r="MX87" s="20" t="n">
        <f aca="false">IF(H_Direct=1,IF(CK87&lt;=0,MW87-CK87*ALK86,MW87-MIN(MIN(CK87*ALK86,JJ87+MW87),MW87)),MW87)</f>
        <v>0</v>
      </c>
      <c r="MY87" s="20" t="n">
        <f aca="false">IF(H_Direct=1,IF(CL87&lt;=0,MX87-CL87*ALL86,MX87-MIN(MIN(CL87*ALL86,JK87+MX87),MX87)),MX87)</f>
        <v>0</v>
      </c>
      <c r="MZ87" s="20" t="n">
        <f aca="false">IF(H_Direct=1,IF(CM87&lt;=0,MY87-CM87*ALM86,MY87-MIN(MIN(CM87*ALM86,JL87+MY87),MY87)),MY87)</f>
        <v>0</v>
      </c>
      <c r="NA87" s="20" t="n">
        <f aca="false">IF(H_Direct=1,IF(CN87&lt;=0,MZ87-CN87*ALN86,MZ87-MIN(MIN(CN87*ALN86,JM87+MZ87),MZ87)),MZ87)</f>
        <v>0</v>
      </c>
      <c r="NB87" s="20" t="n">
        <f aca="false">IF(H_Direct=1,IF(CO87&lt;=0,NA87-CO87*ALO86,NA87-MIN(MIN(CO87*ALO86,JN87+NA87),NA87)),NA87)</f>
        <v>0</v>
      </c>
      <c r="NC87" s="20" t="n">
        <f aca="false">IF(H_Direct=1,IF(CP87&lt;=0,NB87-CP87*ALP86,NB87-MIN(MIN(CP87*ALP86,JO87+NB87),NB87)),NB87)</f>
        <v>0</v>
      </c>
      <c r="ND87" s="20" t="n">
        <f aca="false">IF(H_Direct=1,IF(CQ87&lt;=0,NC87-CQ87*ALQ86,NC87-MIN(MIN(CQ87*ALQ86,JP87+NC87),NC87)),NC87)</f>
        <v>0</v>
      </c>
      <c r="NE87" s="20" t="n">
        <f aca="false">IF(H_Direct=1,IF(CR87&lt;=0,ND87-CR87*ALR86,ND87-MIN(MIN(CR87*ALR86,JQ87+ND87),ND87)),ND87)</f>
        <v>0</v>
      </c>
      <c r="NF87" s="20" t="n">
        <f aca="false">IF(H_Direct=1,IF(CS87&lt;=0,NE87-CS87*ALS86,NE87-MIN(MIN(CS87*ALS86,JR87+NE87),NE87)),NE87)</f>
        <v>0</v>
      </c>
      <c r="NG87" s="20" t="n">
        <f aca="false">IF(H_Direct=1,IF(CT87&lt;=0,NF87-CT87*ALT86,NF87-MIN(MIN(CT87*ALT86,JS87+NF87),NF87)),NF87)</f>
        <v>0</v>
      </c>
      <c r="NH87" s="20" t="n">
        <f aca="false">IF(H_Direct=1,IF(CU87&lt;=0,NG87-CU87*ALU86,NG87-MIN(MIN(CU87*ALU86,JT87+NG87),NG87)),NG87)</f>
        <v>0</v>
      </c>
      <c r="NI87" s="20" t="n">
        <f aca="false">IF(H_Direct=1,IF(CV87&lt;=0,NH87-CV87*ALV86,NH87-MIN(MIN(CV87*ALV86,JU87+NH87),NH87)),NH87)</f>
        <v>0</v>
      </c>
      <c r="NJ87" s="20" t="n">
        <f aca="false">IF(H_Direct=1,IF(CW87&lt;=0,NI87-CW87*ALW86,NI87-MIN(MIN(CW87*ALW86,JV87+NI87),NI87)),NI87)</f>
        <v>0</v>
      </c>
      <c r="NK87" s="20" t="n">
        <f aca="false">IF(H_Direct=1,IF(CX87&lt;=0,NJ87-CX87*ALX86,NJ87-MIN(MIN(CX87*ALX86,JW87+NJ87),NJ87)),NJ87)</f>
        <v>0</v>
      </c>
      <c r="NL87" s="20" t="n">
        <f aca="false">IF(H_Direct=1,IF(CY87&lt;=0,NK87-CY87*ALY86,NK87-MIN(MIN(CY87*ALY86,JX87+NK87),NK87)),NK87)</f>
        <v>0</v>
      </c>
      <c r="NM87" s="20" t="n">
        <f aca="false">IF(H_Direct=1,IF(CZ87&lt;=0,NL87-CZ87*ALZ86,NL87-MIN(MIN(CZ87*ALZ86,JY87+NL87),NL87)),NL87)</f>
        <v>0</v>
      </c>
      <c r="NN87" s="20" t="n">
        <f aca="false">IF(H_Direct=1,IF(DA87&lt;=0,NM87-DA87*AMA86,NM87-MIN(MIN(DA87*AMA86,JZ87+NM87),NM87)),NM87)</f>
        <v>0</v>
      </c>
      <c r="NO87" s="20" t="n">
        <f aca="false">IF(H_Direct=1,IF(DB87&lt;=0,NN87-DB87*AMB86,NN87-MIN(MIN(DB87*AMB86,KA87+NN87),NN87)),NN87)</f>
        <v>0</v>
      </c>
      <c r="NP87" s="20" t="n">
        <f aca="false">IF(H_Direct=1,IF(DC87&lt;=0,NO87-DC87*AMC86,NO87-MIN(MIN(DC87*AMC86,KB87+NO87),NO87)),NO87)</f>
        <v>0</v>
      </c>
      <c r="NQ87" s="20" t="n">
        <f aca="false">IF(H_Direct=1,IF(DD87&lt;=0,NP87-DD87*AMD86,NP87-MIN(MIN(DD87*AMD86,KC87+NP87),NP87)),NP87)</f>
        <v>0</v>
      </c>
      <c r="NR87" s="20" t="n">
        <f aca="false">IF(H_Direct=1,IF(DE87&lt;=0,NQ87-DE87*AME86,NQ87-MIN(MIN(DE87*AME86,KD87+NQ87),NQ87)),NQ87)</f>
        <v>0</v>
      </c>
      <c r="NS87" s="20" t="n">
        <f aca="false">IF(H_Direct=1,IF(DF87&lt;=0,NR87-DF87*AMF86,NR87-MIN(MIN(DF87*AMF86,KE87+NR87),NR87)),NR87)</f>
        <v>0</v>
      </c>
      <c r="NT87" s="20" t="n">
        <f aca="false">IF(H_Direct=1,IF(DG87&lt;=0,NS87-DG87*AMG86,NS87-MIN(MIN(DG87*AMG86,KF87+NS87),NS87)),NS87)</f>
        <v>0</v>
      </c>
      <c r="NU87" s="20" t="n">
        <f aca="false">IF(H_Direct=1,IF(DH87&lt;=0,NT87-DH87*AMH86,NT87-MIN(MIN(DH87*AMH86,KG87+NT87),NT87)),NT87)</f>
        <v>0</v>
      </c>
      <c r="NV87" s="20" t="n">
        <f aca="false">IF(H_Direct=1,IF(DI87&lt;=0,NU87-DI87*AMI86,NU87-MIN(MIN(DI87*AMI86,KH87+NU87),NU87)),NU87)</f>
        <v>0</v>
      </c>
      <c r="NW87" s="20" t="n">
        <f aca="false">IF(H_Direct=1,IF(DJ87&lt;=0,NV87-DJ87*AMJ86,NV87-MIN(MIN(DJ87*AMJ86,KI87+NV87),NV87)),NV87)</f>
        <v>0</v>
      </c>
      <c r="NX87" s="20" t="n">
        <f aca="false">IF(H_Direct=1,IF(DK87&lt;=0,NW87-DK87*AMK86,NW87-MIN(MIN(DK87*AMK86,KJ87+NW87),NW87)),NW87)</f>
        <v>0</v>
      </c>
      <c r="NY87" s="20" t="n">
        <f aca="false">IF(H_Direct=1,IF(DL87&lt;=0,NX87-DL87*AML86,NX87-MIN(MIN(DL87*AML86,KK87+NX87),NX87)),NX87)</f>
        <v>0</v>
      </c>
      <c r="NZ87" s="20" t="n">
        <f aca="false">IF(H_Direct=1,IF(DM87&lt;=0,NY87-DM87*AMM86,NY87-MIN(MIN(DM87*AMM86,KL87+NY87),NY87)),NY87)</f>
        <v>0</v>
      </c>
      <c r="OA87" s="20" t="n">
        <f aca="false">IF(H_Direct=1,IF(DN87&lt;=0,NZ87-DN87*AMN86,NZ87-MIN(MIN(DN87*AMN86,KM87+NZ87),NZ87)),NZ87)</f>
        <v>0</v>
      </c>
      <c r="OB87" s="20" t="n">
        <f aca="false">IF(H_Direct=1,IF(DO87&lt;=0,OA87-DO87*AMO86,OA87-MIN(MIN(DO87*AMO86,KN87+OA87),OA87)),OA87)</f>
        <v>0</v>
      </c>
      <c r="OC87" s="20" t="n">
        <f aca="false">IF(H_Direct=1,IF(DP87&lt;=0,OB87-DP87*AMP86,OB87-MIN(MIN(DP87*AMP86,KO87+OB87),OB87)),OB87)</f>
        <v>0</v>
      </c>
      <c r="OD87" s="20" t="n">
        <f aca="false">IF(H_Direct=1,IF(DQ87&lt;=0,OC87-DQ87*AMQ86,OC87-MIN(MIN(DQ87*AMQ86,KP87+OC87),OC87)),OC87)</f>
        <v>0</v>
      </c>
      <c r="OE87" s="20" t="n">
        <f aca="false">IF(H_Direct=1,IF(DR87&lt;=0,OD87-DR87*AMR86,OD87-MIN(MIN(DR87*AMR86,KQ87+OD87),OD87)),OD87)</f>
        <v>0</v>
      </c>
      <c r="OF87" s="20" t="n">
        <f aca="false">IF(H_Direct=1,IF(DS87&lt;=0,OE87-DS87*AMS86,OE87-MIN(MIN(DS87*AMS86,KR87+OE87),OE87)),OE87)</f>
        <v>0</v>
      </c>
      <c r="OG87" s="20" t="n">
        <f aca="false">IF(H_Direct=1,IF(DT87&lt;=0,OF87-DT87*AMT86,OF87-MIN(MIN(DT87*AMT86,KS87+OF87),OF87)),OF87)</f>
        <v>0</v>
      </c>
      <c r="OH87" s="20" t="n">
        <f aca="false">IF(H_Direct=1,IF(DU87&lt;=0,OG87-DU87*AMU86,OG87-MIN(MIN(DU87*AMU86,KT87+OG87),OG87)),OG87)</f>
        <v>0</v>
      </c>
      <c r="OI87" s="20" t="n">
        <f aca="false">IF(H_Direct=1,IF(DV87&lt;=0,OH87-DV87*AMV86,OH87-MIN(MIN(DV87*AMV86,KU87+OH87),OH87)),OH87)</f>
        <v>0</v>
      </c>
      <c r="OJ87" s="20" t="n">
        <f aca="false">IF(H_Direct=1,IF(DW87&lt;=0,OI87-DW87*AMW86,OI87-MIN(MIN(DW87*AMW86,KV87+OI87),OI87)),OI87)</f>
        <v>0</v>
      </c>
      <c r="OK87" s="20" t="n">
        <f aca="false">IF(H_Direct=1,IF(DX87&lt;=0,OJ87-DX87*AMX86,OJ87-MIN(MIN(DX87*AMX86,KW87+OJ87),OJ87)),OJ87)</f>
        <v>0</v>
      </c>
      <c r="OL87" s="20" t="n">
        <f aca="false">IF(H_Direct=1,IF(DY87&lt;=0,OK87-DY87*AMY86,OK87-MIN(MIN(DY87*AMY86,KX87+OK87),OK87)),OK87)</f>
        <v>0</v>
      </c>
      <c r="OM87" s="20" t="n">
        <f aca="false">IF(H_Direct=1,IF(DZ87&lt;=0,OL87-DZ87*AMZ86,OL87-MIN(MIN(DZ87*AMZ86,KY87+OL87),OL87)),OL87)</f>
        <v>0</v>
      </c>
      <c r="ON87" s="20" t="n">
        <f aca="false">IF(H_Direct=1,IF(EA87&lt;=0,OM87-EA87*ANA86,OM87-MIN(MIN(EA87*ANA86,KZ87+OM87),OM87)),OM87)</f>
        <v>0</v>
      </c>
      <c r="OO87" s="20" t="n">
        <f aca="false">IF(H_Direct=1,IF(EB87&lt;=0,ON87-EB87*ANB86,ON87-MIN(MIN(EB87*ANB86,LA87+ON87),ON87)),ON87)</f>
        <v>0</v>
      </c>
      <c r="OP87" s="20" t="n">
        <f aca="false">IF(H_Direct=1,IF(EC87&lt;=0,OO87-EC87*ANC86,OO87-MIN(MIN(EC87*ANC86,LB87+OO87),OO87)),OO87)</f>
        <v>0</v>
      </c>
      <c r="OQ87" s="20" t="n">
        <f aca="false">IF(H_Direct=1,IF(ED87&lt;=0,OP87-ED87*AND86,OP87-MIN(MIN(ED87*AND86,LC87+OP87),OP87)),OP87)</f>
        <v>0</v>
      </c>
      <c r="OR87" s="20" t="n">
        <f aca="false">IF(H_Direct=1,IF(EE87&lt;=0,OQ87-EE87*ANE86,OQ87-MIN(MIN(EE87*ANE86,LD87+OQ87),OQ87)),OQ87)</f>
        <v>0</v>
      </c>
      <c r="OS87" s="20" t="n">
        <f aca="false">IF(H_Direct=1,IF(EF87&lt;=0,OR87-EF87*ANF86,OR87-MIN(MIN(EF87*ANF86,LE87+OR87),OR87)),OR87)</f>
        <v>0</v>
      </c>
      <c r="OT87" s="20" t="n">
        <f aca="false">IF(H_Direct=1,IF(EG87&lt;=0,OS87-EG87*ANG86,OS87-MIN(MIN(EG87*ANG86,LF87+OS87),OS87)),OS87)</f>
        <v>0</v>
      </c>
      <c r="OU87" s="20" t="n">
        <f aca="false">IF(H_Direct=1,IF(EH87&lt;=0,OT87-EH87*ANH86,OT87-MIN(MIN(EH87*ANH86,LG87+OT87),OT87)),OT87)</f>
        <v>0</v>
      </c>
      <c r="OV87" s="20" t="n">
        <f aca="false">IF(H_Direct=1,IF(EI87&lt;=0,OU87-EI87*ANI86,OU87-MIN(MIN(EI87*ANI86,LH87+OU87),OU87)),OU87)</f>
        <v>0</v>
      </c>
      <c r="OW87" s="20" t="n">
        <f aca="false">IF(H_Direct=1,IF(EJ87&lt;=0,OV87-EJ87*ANJ86,OV87-MIN(MIN(EJ87*ANJ86,LI87+OV87),OV87)),OV87)</f>
        <v>0</v>
      </c>
      <c r="OX87" s="20" t="n">
        <f aca="false">IF(H_Direct=1,IF(EK87&lt;=0,OW87-EK87*ANK86,OW87-MIN(MIN(EK87*ANK86,LJ87+OW87),OW87)),OW87)</f>
        <v>0</v>
      </c>
      <c r="OY87" s="20" t="n">
        <f aca="false">IF(H_Direct=1,IF(EL87&lt;=0,OX87-EL87*ANL86,OX87-MIN(MIN(EL87*ANL86,LK87+OX87),OX87)),OX87)</f>
        <v>0</v>
      </c>
      <c r="OZ87" s="20" t="n">
        <f aca="false">IF(H_Direct=1,IF(EM87&lt;=0,OY87-EM87*ANM86,OY87-MIN(MIN(EM87*ANM86,LL87+OY87),OY87)),OY87)</f>
        <v>0</v>
      </c>
      <c r="PA87" s="20" t="n">
        <f aca="false">IF(H_Direct=1,IF(EN87&lt;=0,OZ87-EN87*ANN86,OZ87-MIN(MIN(EN87*ANN86,LM87+OZ87),OZ87)),OZ87)</f>
        <v>0</v>
      </c>
      <c r="PB87" s="20" t="n">
        <f aca="false">IF(H_Direct=1,IF(EO87&lt;=0,PA87-EO87*ANO86,PA87-MIN(MIN(EO87*ANO86,LN87+PA87),PA87)),PA87)</f>
        <v>0</v>
      </c>
      <c r="PC87" s="20" t="n">
        <f aca="false">IF(H_Direct=1,IF(EP87&lt;=0,PB87-EP87*ANP86,PB87-MIN(MIN(EP87*ANP86,LO87+PB87),PB87)),PB87)</f>
        <v>0</v>
      </c>
      <c r="PD87" s="20" t="n">
        <f aca="false">IF(H_Direct=1,IF(EQ87&lt;=0,PC87-EQ87*ANQ86,PC87-MIN(MIN(EQ87*ANQ86,LP87+PC87),PC87)),PC87)</f>
        <v>0</v>
      </c>
      <c r="PE87" s="20" t="n">
        <f aca="false">IF(H_Direct=1,IF(ER87&lt;=0,PD87-ER87*ANR86,PD87-MIN(MIN(ER87*ANR86,LQ87+PD87),PD87)),PD87)</f>
        <v>0</v>
      </c>
      <c r="PF87" s="20" t="n">
        <f aca="false">IF(H_Direct=1,IF(ES87&lt;=0,PE87-ES87*ANS86,PE87-MIN(MIN(ES87*ANS86,LR87+PE87),PE87)),PE87)</f>
        <v>0</v>
      </c>
      <c r="PG87" s="20" t="n">
        <f aca="false">IF(H_Direct=1,IF(ET87&lt;=0,PF87-ET87*(P87+S87),PF87-MIN(MIN(ET87*(P87+S87),LS87+PF87),PF87)),PF87)</f>
        <v>0</v>
      </c>
      <c r="PH87" s="20" t="n">
        <f aca="false">PG87</f>
        <v>0</v>
      </c>
      <c r="PI87" s="20" t="n">
        <f aca="false">PH87</f>
        <v>0</v>
      </c>
      <c r="PJ87" s="20" t="n">
        <f aca="false">PI87</f>
        <v>0</v>
      </c>
      <c r="PK87" s="20" t="n">
        <f aca="false">PJ87</f>
        <v>0</v>
      </c>
      <c r="PL87" s="20" t="n">
        <f aca="false">PK87</f>
        <v>0</v>
      </c>
      <c r="PM87" s="20" t="n">
        <f aca="false">PL87</f>
        <v>0</v>
      </c>
      <c r="PN87" s="20" t="n">
        <f aca="false">PM87</f>
        <v>0</v>
      </c>
      <c r="PO87" s="20" t="n">
        <f aca="false">PN87</f>
        <v>0</v>
      </c>
      <c r="PP87" s="20" t="n">
        <f aca="false">PO87</f>
        <v>0</v>
      </c>
      <c r="PQ87" s="20" t="n">
        <f aca="false">PP87</f>
        <v>0</v>
      </c>
      <c r="PR87" s="20" t="n">
        <f aca="false">IF(H_Direct=1,IF(AKR86&lt;=0,0,IF(BR87&lt;=0,MIN(MAX(0,AB87),AKR86),MIN(MAX(0,AB87),AKR86-G87*MAX(0,BR87*AKR86-(H87+I87))))),MIN(FE87,MAX(0,AB87)))</f>
        <v>0</v>
      </c>
      <c r="PS87" s="20" t="n">
        <f aca="false">IF(H_Direct=1,IF(AKS86&lt;=0,0,IF(BS87&lt;=0,MIN(MAX(0,AB87-SUM(PR87:PR87)),AKS86),MIN(MAX(0,AB87-SUM(PR87:PR87)),AKS86-G87*MAX(0,BS87*AKS86-(WR87+AAE87))))),MIN(FF87,MAX(0,AB87-SUM(PR87:PR87))))</f>
        <v>0</v>
      </c>
      <c r="PT87" s="20" t="n">
        <f aca="false">IF(H_Direct=1,IF(AKT86&lt;=0,0,IF(BT87&lt;=0,MIN(MAX(0,AB87-SUM(PR87:PS87)),AKT86),MIN(MAX(0,AB87-SUM(PR87:PS87)),AKT86-G87*MAX(0,BT87*AKT86-(WS87+AAF87))))),MIN(FG87,MAX(0,AB87-SUM(PR87:PS87))))</f>
        <v>0</v>
      </c>
      <c r="PU87" s="20" t="n">
        <f aca="false">IF(H_Direct=1,IF(AKU86&lt;=0,0,IF(BU87&lt;=0,MIN(MAX(0,AB87-SUM(PR87:PT87)),AKU86),MIN(MAX(0,AB87-SUM(PR87:PT87)),AKU86-G87*MAX(0,BU87*AKU86-(WT87+AAG87))))),MIN(FH87,MAX(0,AB87-SUM(PR87:PT87))))</f>
        <v>0</v>
      </c>
      <c r="PV87" s="20" t="n">
        <f aca="false">IF(H_Direct=1,IF(AKV86&lt;=0,0,IF(BV87&lt;=0,MIN(MAX(0,AB87-SUM(PR87:PU87)),AKV86),MIN(MAX(0,AB87-SUM(PR87:PU87)),AKV86-G87*MAX(0,BV87*AKV86-(WU87+AAH87))))),MIN(FI87,MAX(0,AB87-SUM(PR87:PU87))))</f>
        <v>0</v>
      </c>
      <c r="PW87" s="20" t="n">
        <f aca="false">IF(H_Direct=1,IF(AKW86&lt;=0,0,IF(BW87&lt;=0,MIN(MAX(0,AB87-SUM(PR87:PV87)),AKW86),MIN(MAX(0,AB87-SUM(PR87:PV87)),AKW86-G87*MAX(0,BW87*AKW86-(WV87+AAI87))))),MIN(FJ87,MAX(0,AB87-SUM(PR87:PV87))))</f>
        <v>0</v>
      </c>
      <c r="PX87" s="20" t="n">
        <f aca="false">IF(H_Direct=1,IF(AKX86&lt;=0,0,IF(BX87&lt;=0,MIN(MAX(0,AB87-SUM(PR87:PW87)),AKX86),MIN(MAX(0,AB87-SUM(PR87:PW87)),AKX86-G87*MAX(0,BX87*AKX86-(WW87+AAJ87))))),MIN(FK87,MAX(0,AB87-SUM(PR87:PW87))))</f>
        <v>0</v>
      </c>
      <c r="PY87" s="20" t="n">
        <f aca="false">IF(H_Direct=1,IF(AKY86&lt;=0,0,IF(BY87&lt;=0,MIN(MAX(0,AB87-SUM(PR87:PX87)),AKY86),MIN(MAX(0,AB87-SUM(PR87:PX87)),AKY86-G87*MAX(0,BY87*AKY86-(WX87+AAK87))))),MIN(FL87,MAX(0,AB87-SUM(PR87:PX87))))</f>
        <v>0</v>
      </c>
      <c r="PZ87" s="20" t="n">
        <f aca="false">IF(H_Direct=1,IF(AKZ86&lt;=0,0,IF(BZ87&lt;=0,MIN(MAX(0,AB87-SUM(PR87:PY87)),AKZ86),MIN(MAX(0,AB87-SUM(PR87:PY87)),AKZ86-G87*MAX(0,BZ87*AKZ86-(WY87+AAL87))))),MIN(FM87,MAX(0,AB87-SUM(PR87:PY87))))</f>
        <v>0</v>
      </c>
      <c r="QA87" s="20" t="n">
        <f aca="false">IF(H_Direct=1,IF(ALA86&lt;=0,0,IF(CA87&lt;=0,MIN(MAX(0,AB87-SUM(PR87:PZ87)),ALA86),MIN(MAX(0,AB87-SUM(PR87:PZ87)),ALA86-G87*MAX(0,CA87*ALA86-(WZ87+AAM87))))),MIN(FN87,MAX(0,AB87-SUM(PR87:PZ87))))</f>
        <v>0</v>
      </c>
      <c r="QB87" s="20" t="n">
        <f aca="false">IF(H_Direct=1,IF(ALB86&lt;=0,0,IF(CB87&lt;=0,MIN(MAX(0,AB87-SUM(PR87:QA87)),ALB86),MIN(MAX(0,AB87-SUM(PR87:QA87)),ALB86-G87*MAX(0,CB87*ALB86-(XA87+AAN87))))),MIN(FO87,MAX(0,AB87-SUM(PR87:QA87))))</f>
        <v>0</v>
      </c>
      <c r="QC87" s="20" t="n">
        <f aca="false">IF(H_Direct=1,IF(ALC86&lt;=0,0,IF(CC87&lt;=0,MIN(MAX(0,AB87-SUM(PR87:QB87)),ALC86),MIN(MAX(0,AB87-SUM(PR87:QB87)),ALC86-G87*MAX(0,CC87*ALC86-(XB87+AAO87))))),MIN(FP87,MAX(0,AB87-SUM(PR87:QB87))))</f>
        <v>0</v>
      </c>
      <c r="QD87" s="20" t="n">
        <f aca="false">IF(H_Direct=1,IF(ALD86&lt;=0,0,IF(CD87&lt;=0,MIN(MAX(0,AB87-SUM(PR87:QC87)),ALD86),MIN(MAX(0,AB87-SUM(PR87:QC87)),ALD86-G87*MAX(0,CD87*ALD86-(XC87+AAP87))))),MIN(FQ87,MAX(0,AB87-SUM(PR87:QC87))))</f>
        <v>0</v>
      </c>
      <c r="QE87" s="20" t="n">
        <f aca="false">IF(H_Direct=1,IF(ALE86&lt;=0,0,IF(CE87&lt;=0,MIN(MAX(0,AB87-SUM(PR87:QD87)),ALE86),MIN(MAX(0,AB87-SUM(PR87:QD87)),ALE86-G87*MAX(0,CE87*ALE86-(XD87+AAQ87))))),MIN(FR87,MAX(0,AB87-SUM(PR87:QD87))))</f>
        <v>0</v>
      </c>
      <c r="QF87" s="20" t="n">
        <f aca="false">IF(H_Direct=1,IF(ALF86&lt;=0,0,IF(CF87&lt;=0,MIN(MAX(0,AB87-SUM(PR87:QE87)),ALF86),MIN(MAX(0,AB87-SUM(PR87:QE87)),ALF86-G87*MAX(0,CF87*ALF86-(XE87+AAR87))))),MIN(FS87,MAX(0,AB87-SUM(PR87:QE87))))</f>
        <v>0</v>
      </c>
      <c r="QG87" s="20" t="n">
        <f aca="false">IF(H_Direct=1,IF(ALG86&lt;=0,0,IF(CG87&lt;=0,MIN(MAX(0,AB87-SUM(PR87:QF87)),ALG86),MIN(MAX(0,AB87-SUM(PR87:QF87)),ALG86-G87*MAX(0,CG87*ALG86-(XF87+AAS87))))),MIN(FT87,MAX(0,AB87-SUM(PR87:QF87))))</f>
        <v>0</v>
      </c>
      <c r="QH87" s="20" t="n">
        <f aca="false">IF(H_Direct=1,IF(ALH86&lt;=0,0,IF(CH87&lt;=0,MIN(MAX(0,AB87-SUM(PR87:QG87)),ALH86),MIN(MAX(0,AB87-SUM(PR87:QG87)),ALH86-G87*MAX(0,CH87*ALH86-(XG87+AAT87))))),MIN(FU87,MAX(0,AB87-SUM(PR87:QG87))))</f>
        <v>0</v>
      </c>
      <c r="QI87" s="20" t="n">
        <f aca="false">IF(H_Direct=1,IF(ALI86&lt;=0,0,IF(CI87&lt;=0,MIN(MAX(0,AB87-SUM(PR87:QH87)),ALI86),MIN(MAX(0,AB87-SUM(PR87:QH87)),ALI86-G87*MAX(0,CI87*ALI86-(XH87+AAU87))))),MIN(FV87,MAX(0,AB87-SUM(PR87:QH87))))</f>
        <v>0</v>
      </c>
      <c r="QJ87" s="20" t="n">
        <f aca="false">IF(H_Direct=1,IF(ALJ86&lt;=0,0,IF(CJ87&lt;=0,MIN(MAX(0,AB87-SUM(PR87:QI87)),ALJ86),MIN(MAX(0,AB87-SUM(PR87:QI87)),ALJ86-G87*MAX(0,CJ87*ALJ86-(XI87+AAV87))))),MIN(FW87,MAX(0,AB87-SUM(PR87:QI87))))</f>
        <v>0</v>
      </c>
      <c r="QK87" s="20" t="n">
        <f aca="false">IF(H_Direct=1,IF(ALK86&lt;=0,0,IF(CK87&lt;=0,MIN(MAX(0,AB87-SUM(PR87:QJ87)),ALK86),MIN(MAX(0,AB87-SUM(PR87:QJ87)),ALK86-G87*MAX(0,CK87*ALK86-(XJ87+AAW87))))),MIN(FX87,MAX(0,AB87-SUM(PR87:QJ87))))</f>
        <v>0</v>
      </c>
      <c r="QL87" s="20" t="n">
        <f aca="false">IF(H_Direct=1,IF(ALL86&lt;=0,0,IF(CL87&lt;=0,MIN(MAX(0,AB87-SUM(PR87:QK87)),ALL86),MIN(MAX(0,AB87-SUM(PR87:QK87)),ALL86-G87*MAX(0,CL87*ALL86-(XK87+AAX87))))),MIN(FY87,MAX(0,AB87-SUM(PR87:QK87))))</f>
        <v>0</v>
      </c>
      <c r="QM87" s="20" t="n">
        <f aca="false">IF(H_Direct=1,IF(ALM86&lt;=0,0,IF(CM87&lt;=0,MIN(MAX(0,AB87-SUM(PR87:QL87)),ALM86),MIN(MAX(0,AB87-SUM(PR87:QL87)),ALM86-G87*MAX(0,CM87*ALM86-(XL87+AAY87))))),MIN(FZ87,MAX(0,AB87-SUM(PR87:QL87))))</f>
        <v>0</v>
      </c>
      <c r="QN87" s="20" t="n">
        <f aca="false">IF(H_Direct=1,IF(ALN86&lt;=0,0,IF(CN87&lt;=0,MIN(MAX(0,AB87-SUM(PR87:QM87)),ALN86),MIN(MAX(0,AB87-SUM(PR87:QM87)),ALN86-G87*MAX(0,CN87*ALN86-(XM87+AAZ87))))),MIN(GA87,MAX(0,AB87-SUM(PR87:QM87))))</f>
        <v>0</v>
      </c>
      <c r="QO87" s="20" t="n">
        <f aca="false">IF(H_Direct=1,IF(ALO86&lt;=0,0,IF(CO87&lt;=0,MIN(MAX(0,AB87-SUM(PR87:QN87)),ALO86),MIN(MAX(0,AB87-SUM(PR87:QN87)),ALO86-G87*MAX(0,CO87*ALO86-(XN87+ABA87))))),MIN(GB87,MAX(0,AB87-SUM(PR87:QN87))))</f>
        <v>0</v>
      </c>
      <c r="QP87" s="20" t="n">
        <f aca="false">IF(H_Direct=1,IF(ALP86&lt;=0,0,IF(CP87&lt;=0,MIN(MAX(0,AB87-SUM(PR87:QO87)),ALP86),MIN(MAX(0,AB87-SUM(PR87:QO87)),ALP86-G87*MAX(0,CP87*ALP86-(XO87+ABB87))))),MIN(GC87,MAX(0,AB87-SUM(PR87:QO87))))</f>
        <v>0</v>
      </c>
      <c r="QQ87" s="20" t="n">
        <f aca="false">IF(H_Direct=1,IF(ALQ86&lt;=0,0,IF(CQ87&lt;=0,MIN(MAX(0,AB87-SUM(PR87:QP87)),ALQ86),MIN(MAX(0,AB87-SUM(PR87:QP87)),ALQ86-G87*MAX(0,CQ87*ALQ86-(XP87+ABC87))))),MIN(GD87,MAX(0,AB87-SUM(PR87:QP87))))</f>
        <v>0</v>
      </c>
      <c r="QR87" s="20" t="n">
        <f aca="false">IF(H_Direct=1,IF(ALR86&lt;=0,0,IF(CR87&lt;=0,MIN(MAX(0,AB87-SUM(PR87:QQ87)),ALR86),MIN(MAX(0,AB87-SUM(PR87:QQ87)),ALR86-G87*MAX(0,CR87*ALR86-(XQ87+ABD87))))),MIN(GE87,MAX(0,AB87-SUM(PR87:QQ87))))</f>
        <v>0</v>
      </c>
      <c r="QS87" s="20" t="n">
        <f aca="false">IF(H_Direct=1,IF(ALS86&lt;=0,0,IF(CS87&lt;=0,MIN(MAX(0,AB87-SUM(PR87:QR87)),ALS86),MIN(MAX(0,AB87-SUM(PR87:QR87)),ALS86-G87*MAX(0,CS87*ALS86-(XR87+ABE87))))),MIN(GF87,MAX(0,AB87-SUM(PR87:QR87))))</f>
        <v>0</v>
      </c>
      <c r="QT87" s="20" t="n">
        <f aca="false">IF(H_Direct=1,IF(ALT86&lt;=0,0,IF(CT87&lt;=0,MIN(MAX(0,AB87-SUM(PR87:QS87)),ALT86),MIN(MAX(0,AB87-SUM(PR87:QS87)),ALT86-G87*MAX(0,CT87*ALT86-(XS87+ABF87))))),MIN(GG87,MAX(0,AB87-SUM(PR87:QS87))))</f>
        <v>0</v>
      </c>
      <c r="QU87" s="20" t="n">
        <f aca="false">IF(H_Direct=1,IF(ALU86&lt;=0,0,IF(CU87&lt;=0,MIN(MAX(0,AB87-SUM(PR87:QT87)),ALU86),MIN(MAX(0,AB87-SUM(PR87:QT87)),ALU86-G87*MAX(0,CU87*ALU86-(XT87+ABG87))))),MIN(GH87,MAX(0,AB87-SUM(PR87:QT87))))</f>
        <v>0</v>
      </c>
      <c r="QV87" s="20" t="n">
        <f aca="false">IF(H_Direct=1,IF(ALV86&lt;=0,0,IF(CV87&lt;=0,MIN(MAX(0,AB87-SUM(PR87:QU87)),ALV86),MIN(MAX(0,AB87-SUM(PR87:QU87)),ALV86-G87*MAX(0,CV87*ALV86-(XU87+ABH87))))),MIN(GI87,MAX(0,AB87-SUM(PR87:QU87))))</f>
        <v>0</v>
      </c>
      <c r="QW87" s="20" t="n">
        <f aca="false">IF(H_Direct=1,IF(ALW86&lt;=0,0,IF(CW87&lt;=0,MIN(MAX(0,AB87-SUM(PR87:QV87)),ALW86),MIN(MAX(0,AB87-SUM(PR87:QV87)),ALW86-G87*MAX(0,CW87*ALW86-(XV87+ABI87))))),MIN(GJ87,MAX(0,AB87-SUM(PR87:QV87))))</f>
        <v>0</v>
      </c>
      <c r="QX87" s="20" t="n">
        <f aca="false">IF(H_Direct=1,IF(ALX86&lt;=0,0,IF(CX87&lt;=0,MIN(MAX(0,AB87-SUM(PR87:QW87)),ALX86),MIN(MAX(0,AB87-SUM(PR87:QW87)),ALX86-G87*MAX(0,CX87*ALX86-(XW87+ABJ87))))),MIN(GK87,MAX(0,AB87-SUM(PR87:QW87))))</f>
        <v>0</v>
      </c>
      <c r="QY87" s="20" t="n">
        <f aca="false">IF(H_Direct=1,IF(ALY86&lt;=0,0,IF(CY87&lt;=0,MIN(MAX(0,AB87-SUM(PR87:QX87)),ALY86),MIN(MAX(0,AB87-SUM(PR87:QX87)),ALY86-G87*MAX(0,CY87*ALY86-(XX87+ABK87))))),MIN(GL87,MAX(0,AB87-SUM(PR87:QX87))))</f>
        <v>0</v>
      </c>
      <c r="QZ87" s="20" t="n">
        <f aca="false">IF(H_Direct=1,IF(ALZ86&lt;=0,0,IF(CZ87&lt;=0,MIN(MAX(0,AB87-SUM(PR87:QY87)),ALZ86),MIN(MAX(0,AB87-SUM(PR87:QY87)),ALZ86-G87*MAX(0,CZ87*ALZ86-(XY87+ABL87))))),MIN(GM87,MAX(0,AB87-SUM(PR87:QY87))))</f>
        <v>0</v>
      </c>
      <c r="RA87" s="20" t="n">
        <f aca="false">IF(H_Direct=1,IF(AMA86&lt;=0,0,IF(DA87&lt;=0,MIN(MAX(0,AB87-SUM(PR87:QZ87)),AMA86),MIN(MAX(0,AB87-SUM(PR87:QZ87)),AMA86-G87*MAX(0,DA87*AMA86-(XZ87+ABM87))))),MIN(GN87,MAX(0,AB87-SUM(PR87:QZ87))))</f>
        <v>0</v>
      </c>
      <c r="RB87" s="20" t="n">
        <f aca="false">IF(H_Direct=1,IF(AMB86&lt;=0,0,IF(DB87&lt;=0,MIN(MAX(0,AB87-SUM(PR87:RA87)),AMB86),MIN(MAX(0,AB87-SUM(PR87:RA87)),AMB86-G87*MAX(0,DB87*AMB86-(YA87+ABN87))))),MIN(GO87,MAX(0,AB87-SUM(PR87:RA87))))</f>
        <v>0</v>
      </c>
      <c r="RC87" s="20" t="n">
        <f aca="false">IF(H_Direct=1,IF(AMC86&lt;=0,0,IF(DC87&lt;=0,MIN(MAX(0,AB87-SUM(PR87:RB87)),AMC86),MIN(MAX(0,AB87-SUM(PR87:RB87)),AMC86-G87*MAX(0,DC87*AMC86-(YB87+ABO87))))),MIN(GP87,MAX(0,AB87-SUM(PR87:RB87))))</f>
        <v>0</v>
      </c>
      <c r="RD87" s="20" t="n">
        <f aca="false">IF(H_Direct=1,IF(AMD86&lt;=0,0,IF(DD87&lt;=0,MIN(MAX(0,AB87-SUM(PR87:RC87)),AMD86),MIN(MAX(0,AB87-SUM(PR87:RC87)),AMD86-G87*MAX(0,DD87*AMD86-(YC87+ABP87))))),MIN(GQ87,MAX(0,AB87-SUM(PR87:RC87))))</f>
        <v>0</v>
      </c>
      <c r="RE87" s="20" t="n">
        <f aca="false">IF(H_Direct=1,IF(AME86&lt;=0,0,IF(DE87&lt;=0,MIN(MAX(0,AB87-SUM(PR87:RD87)),AME86),MIN(MAX(0,AB87-SUM(PR87:RD87)),AME86-G87*MAX(0,DE87*AME86-(YD87+ABQ87))))),MIN(GR87,MAX(0,AB87-SUM(PR87:RD87))))</f>
        <v>0</v>
      </c>
      <c r="RF87" s="20" t="n">
        <f aca="false">IF(H_Direct=1,IF(AMF86&lt;=0,0,IF(DF87&lt;=0,MIN(MAX(0,AB87-SUM(PR87:RE87)),AMF86),MIN(MAX(0,AB87-SUM(PR87:RE87)),AMF86-G87*MAX(0,DF87*AMF86-(YE87+ABR87))))),MIN(GS87,MAX(0,AB87-SUM(PR87:RE87))))</f>
        <v>0</v>
      </c>
      <c r="RG87" s="20" t="n">
        <f aca="false">IF(H_Direct=1,IF(AMG86&lt;=0,0,IF(DG87&lt;=0,MIN(MAX(0,AB87-SUM(PR87:RF87)),AMG86),MIN(MAX(0,AB87-SUM(PR87:RF87)),AMG86-G87*MAX(0,DG87*AMG86-(YF87+ABS87))))),MIN(GT87,MAX(0,AB87-SUM(PR87:RF87))))</f>
        <v>0</v>
      </c>
      <c r="RH87" s="20" t="n">
        <f aca="false">IF(H_Direct=1,IF(AMH86&lt;=0,0,IF(DH87&lt;=0,MIN(MAX(0,AB87-SUM(PR87:RG87)),AMH86),MIN(MAX(0,AB87-SUM(PR87:RG87)),AMH86-G87*MAX(0,DH87*AMH86-(YG87+ABT87))))),MIN(GU87,MAX(0,AB87-SUM(PR87:RG87))))</f>
        <v>0</v>
      </c>
      <c r="RI87" s="20" t="n">
        <f aca="false">IF(H_Direct=1,IF(AMI86&lt;=0,0,IF(DI87&lt;=0,MIN(MAX(0,AB87-SUM(PR87:RH87)),AMI86),MIN(MAX(0,AB87-SUM(PR87:RH87)),AMI86-G87*MAX(0,DI87*AMI86-(YH87+ABU87))))),MIN(GV87,MAX(0,AB87-SUM(PR87:RH87))))</f>
        <v>0</v>
      </c>
      <c r="RJ87" s="20" t="n">
        <f aca="false">IF(H_Direct=1,IF(AMJ86&lt;=0,0,IF(DJ87&lt;=0,MIN(MAX(0,AB87-SUM(PR87:RI87)),AMJ86),MIN(MAX(0,AB87-SUM(PR87:RI87)),AMJ86-G87*MAX(0,DJ87*AMJ86-(YI87+ABV87))))),MIN(GW87,MAX(0,AB87-SUM(PR87:RI87))))</f>
        <v>0</v>
      </c>
      <c r="RK87" s="20" t="n">
        <f aca="false">IF(H_Direct=1,IF(AMK86&lt;=0,0,IF(DK87&lt;=0,MIN(MAX(0,AB87-SUM(PR87:RJ87)),AMK86),MIN(MAX(0,AB87-SUM(PR87:RJ87)),AMK86-G87*MAX(0,DK87*AMK86-(YJ87+ABW87))))),MIN(GX87,MAX(0,AB87-SUM(PR87:RJ87))))</f>
        <v>0</v>
      </c>
      <c r="RL87" s="20" t="n">
        <f aca="false">IF(H_Direct=1,IF(AML86&lt;=0,0,IF(DL87&lt;=0,MIN(MAX(0,AB87-SUM(PR87:RK87)),AML86),MIN(MAX(0,AB87-SUM(PR87:RK87)),AML86-G87*MAX(0,DL87*AML86-(YK87+ABX87))))),MIN(GY87,MAX(0,AB87-SUM(PR87:RK87))))</f>
        <v>0</v>
      </c>
      <c r="RM87" s="20" t="n">
        <f aca="false">IF(H_Direct=1,IF(AMM86&lt;=0,0,IF(DM87&lt;=0,MIN(MAX(0,AB87-SUM(PR87:RL87)),AMM86),MIN(MAX(0,AB87-SUM(PR87:RL87)),AMM86-G87*MAX(0,DM87*AMM86-(YL87+ABY87))))),MIN(GZ87,MAX(0,AB87-SUM(PR87:RL87))))</f>
        <v>0</v>
      </c>
      <c r="RN87" s="20" t="n">
        <f aca="false">IF(H_Direct=1,IF(AMN86&lt;=0,0,IF(DN87&lt;=0,MIN(MAX(0,AB87-SUM(PR87:RM87)),AMN86),MIN(MAX(0,AB87-SUM(PR87:RM87)),AMN86-G87*MAX(0,DN87*AMN86-(YM87+ABZ87))))),MIN(HA87,MAX(0,AB87-SUM(PR87:RM87))))</f>
        <v>0</v>
      </c>
      <c r="RO87" s="20" t="n">
        <f aca="false">IF(H_Direct=1,IF(AMO86&lt;=0,0,IF(DO87&lt;=0,MIN(MAX(0,AB87-SUM(PR87:RN87)),AMO86),MIN(MAX(0,AB87-SUM(PR87:RN87)),AMO86-G87*MAX(0,DO87*AMO86-(YN87+ACA87))))),MIN(HB87,MAX(0,AB87-SUM(PR87:RN87))))</f>
        <v>0</v>
      </c>
      <c r="RP87" s="20" t="n">
        <f aca="false">IF(H_Direct=1,IF(AMP86&lt;=0,0,IF(DP87&lt;=0,MIN(MAX(0,AB87-SUM(PR87:RO87)),AMP86),MIN(MAX(0,AB87-SUM(PR87:RO87)),AMP86-G87*MAX(0,DP87*AMP86-(YO87+ACB87))))),MIN(HC87,MAX(0,AB87-SUM(PR87:RO87))))</f>
        <v>0</v>
      </c>
      <c r="RQ87" s="20" t="n">
        <f aca="false">IF(H_Direct=1,IF(AMQ86&lt;=0,0,IF(DQ87&lt;=0,MIN(MAX(0,AB87-SUM(PR87:RP87)),AMQ86),MIN(MAX(0,AB87-SUM(PR87:RP87)),AMQ86-G87*MAX(0,DQ87*AMQ86-(YP87+ACC87))))),MIN(HD87,MAX(0,AB87-SUM(PR87:RP87))))</f>
        <v>0</v>
      </c>
      <c r="RR87" s="20" t="n">
        <f aca="false">IF(H_Direct=1,IF(AMR86&lt;=0,0,IF(DR87&lt;=0,MIN(MAX(0,AB87-SUM(PR87:RQ87)),AMR86),MIN(MAX(0,AB87-SUM(PR87:RQ87)),AMR86-G87*MAX(0,DR87*AMR86-(YQ87+ACD87))))),MIN(HE87,MAX(0,AB87-SUM(PR87:RQ87))))</f>
        <v>0</v>
      </c>
      <c r="RS87" s="20" t="n">
        <f aca="false">IF(H_Direct=1,IF(AMS86&lt;=0,0,IF(DS87&lt;=0,MIN(MAX(0,AB87-SUM(PR87:RR87)),AMS86),MIN(MAX(0,AB87-SUM(PR87:RR87)),AMS86-G87*MAX(0,DS87*AMS86-(YR87+ACE87))))),MIN(HF87,MAX(0,AB87-SUM(PR87:RR87))))</f>
        <v>0</v>
      </c>
      <c r="RT87" s="20" t="n">
        <f aca="false">IF(H_Direct=1,IF(AMT86&lt;=0,0,IF(DT87&lt;=0,MIN(MAX(0,AB87-SUM(PR87:RS87)),AMT86),MIN(MAX(0,AB87-SUM(PR87:RS87)),AMT86-G87*MAX(0,DT87*AMT86-(YS87+ACF87))))),MIN(HG87,MAX(0,AB87-SUM(PR87:RS87))))</f>
        <v>0</v>
      </c>
      <c r="RU87" s="20" t="n">
        <f aca="false">IF(H_Direct=1,IF(AMU86&lt;=0,0,IF(DU87&lt;=0,MIN(MAX(0,AB87-SUM(PR87:RT87)),AMU86),MIN(MAX(0,AB87-SUM(PR87:RT87)),AMU86-G87*MAX(0,DU87*AMU86-(YT87+ACG87))))),MIN(HH87,MAX(0,AB87-SUM(PR87:RT87))))</f>
        <v>0</v>
      </c>
      <c r="RV87" s="20" t="n">
        <f aca="false">IF(H_Direct=1,IF(AMV86&lt;=0,0,IF(DV87&lt;=0,MIN(MAX(0,AB87-SUM(PR87:RU87)),AMV86),MIN(MAX(0,AB87-SUM(PR87:RU87)),AMV86-G87*MAX(0,DV87*AMV86-(YU87+ACH87))))),MIN(HI87,MAX(0,AB87-SUM(PR87:RU87))))</f>
        <v>0</v>
      </c>
      <c r="RW87" s="20" t="n">
        <f aca="false">IF(H_Direct=1,IF(AMW86&lt;=0,0,IF(DW87&lt;=0,MIN(MAX(0,AB87-SUM(PR87:RV87)),AMW86),MIN(MAX(0,AB87-SUM(PR87:RV87)),AMW86-G87*MAX(0,DW87*AMW86-(YV87+ACI87))))),MIN(HJ87,MAX(0,AB87-SUM(PR87:RV87))))</f>
        <v>0</v>
      </c>
      <c r="RX87" s="20" t="n">
        <f aca="false">IF(H_Direct=1,IF(AMX86&lt;=0,0,IF(DX87&lt;=0,MIN(MAX(0,AB87-SUM(PR87:RW87)),AMX86),MIN(MAX(0,AB87-SUM(PR87:RW87)),AMX86-G87*MAX(0,DX87*AMX86-(YW87+ACJ87))))),MIN(HK87,MAX(0,AB87-SUM(PR87:RW87))))</f>
        <v>0</v>
      </c>
      <c r="RY87" s="20" t="n">
        <f aca="false">IF(H_Direct=1,IF(AMY86&lt;=0,0,IF(DY87&lt;=0,MIN(MAX(0,AB87-SUM(PR87:RX87)),AMY86),MIN(MAX(0,AB87-SUM(PR87:RX87)),AMY86-G87*MAX(0,DY87*AMY86-(YX87+ACK87))))),MIN(HL87,MAX(0,AB87-SUM(PR87:RX87))))</f>
        <v>0</v>
      </c>
      <c r="RZ87" s="20" t="n">
        <f aca="false">IF(H_Direct=1,IF(AMZ86&lt;=0,0,IF(DZ87&lt;=0,MIN(MAX(0,AB87-SUM(PR87:RY87)),AMZ86),MIN(MAX(0,AB87-SUM(PR87:RY87)),AMZ86-G87*MAX(0,DZ87*AMZ86-(YY87+ACL87))))),MIN(HM87,MAX(0,AB87-SUM(PR87:RY87))))</f>
        <v>0</v>
      </c>
      <c r="SA87" s="20" t="n">
        <f aca="false">IF(H_Direct=1,IF(ANA86&lt;=0,0,IF(EA87&lt;=0,MIN(MAX(0,AB87-SUM(PR87:RZ87)),ANA86),MIN(MAX(0,AB87-SUM(PR87:RZ87)),ANA86-G87*MAX(0,EA87*ANA86-(YZ87+ACM87))))),MIN(HN87,MAX(0,AB87-SUM(PR87:RZ87))))</f>
        <v>0</v>
      </c>
      <c r="SB87" s="20" t="n">
        <f aca="false">IF(H_Direct=1,IF(ANB86&lt;=0,0,IF(EB87&lt;=0,MIN(MAX(0,AB87-SUM(PR87:SA87)),ANB86),MIN(MAX(0,AB87-SUM(PR87:SA87)),ANB86-G87*MAX(0,EB87*ANB86-(ZA87+ACN87))))),MIN(HO87,MAX(0,AB87-SUM(PR87:SA87))))</f>
        <v>0</v>
      </c>
      <c r="SC87" s="20" t="n">
        <f aca="false">IF(H_Direct=1,IF(ANC86&lt;=0,0,IF(EC87&lt;=0,MIN(MAX(0,AB87-SUM(PR87:SB87)),ANC86),MIN(MAX(0,AB87-SUM(PR87:SB87)),ANC86-G87*MAX(0,EC87*ANC86-(ZB87+ACO87))))),MIN(HP87,MAX(0,AB87-SUM(PR87:SB87))))</f>
        <v>0</v>
      </c>
      <c r="SD87" s="20" t="n">
        <f aca="false">IF(H_Direct=1,IF(AND86&lt;=0,0,IF(ED87&lt;=0,MIN(MAX(0,AB87-SUM(PR87:SC87)),AND86),MIN(MAX(0,AB87-SUM(PR87:SC87)),AND86-G87*MAX(0,ED87*AND86-(ZC87+ACP87))))),MIN(HQ87,MAX(0,AB87-SUM(PR87:SC87))))</f>
        <v>0</v>
      </c>
      <c r="SE87" s="20" t="n">
        <f aca="false">IF(H_Direct=1,IF(ANE86&lt;=0,0,IF(EE87&lt;=0,MIN(MAX(0,AB87-SUM(PR87:SD87)),ANE86),MIN(MAX(0,AB87-SUM(PR87:SD87)),ANE86-G87*MAX(0,EE87*ANE86-(ZD87+ACQ87))))),MIN(HR87,MAX(0,AB87-SUM(PR87:SD87))))</f>
        <v>0</v>
      </c>
      <c r="SF87" s="20" t="n">
        <f aca="false">IF(H_Direct=1,IF(ANF86&lt;=0,0,IF(EF87&lt;=0,MIN(MAX(0,AB87-SUM(PR87:SE87)),ANF86),MIN(MAX(0,AB87-SUM(PR87:SE87)),ANF86-G87*MAX(0,EF87*ANF86-(ZE87+ACR87))))),MIN(HS87,MAX(0,AB87-SUM(PR87:SE87))))</f>
        <v>0</v>
      </c>
      <c r="SG87" s="20" t="n">
        <f aca="false">IF(H_Direct=1,IF(ANG86&lt;=0,0,IF(EG87&lt;=0,MIN(MAX(0,AB87-SUM(PR87:SF87)),ANG86),MIN(MAX(0,AB87-SUM(PR87:SF87)),ANG86-G87*MAX(0,EG87*ANG86-(ZF87+ACS87))))),MIN(HT87,MAX(0,AB87-SUM(PR87:SF87))))</f>
        <v>0</v>
      </c>
      <c r="SH87" s="20" t="n">
        <f aca="false">IF(H_Direct=1,IF(ANH86&lt;=0,0,IF(EH87&lt;=0,MIN(MAX(0,AB87-SUM(PR87:SG87)),ANH86),MIN(MAX(0,AB87-SUM(PR87:SG87)),ANH86-G87*MAX(0,EH87*ANH86-(ZG87+ACT87))))),MIN(HU87,MAX(0,AB87-SUM(PR87:SG87))))</f>
        <v>0</v>
      </c>
      <c r="SI87" s="20" t="n">
        <f aca="false">IF(H_Direct=1,IF(ANI86&lt;=0,0,IF(EI87&lt;=0,MIN(MAX(0,AB87-SUM(PR87:SH87)),ANI86),MIN(MAX(0,AB87-SUM(PR87:SH87)),ANI86-G87*MAX(0,EI87*ANI86-(ZH87+ACU87))))),MIN(HV87,MAX(0,AB87-SUM(PR87:SH87))))</f>
        <v>0</v>
      </c>
      <c r="SJ87" s="20" t="n">
        <f aca="false">IF(H_Direct=1,IF(ANJ86&lt;=0,0,IF(EJ87&lt;=0,MIN(MAX(0,AB87-SUM(PR87:SI87)),ANJ86),MIN(MAX(0,AB87-SUM(PR87:SI87)),ANJ86-G87*MAX(0,EJ87*ANJ86-(ZI87+ACV87))))),MIN(HW87,MAX(0,AB87-SUM(PR87:SI87))))</f>
        <v>0</v>
      </c>
      <c r="SK87" s="20" t="n">
        <f aca="false">IF(H_Direct=1,IF(ANK86&lt;=0,0,IF(EK87&lt;=0,MIN(MAX(0,AB87-SUM(PR87:SJ87)),ANK86),MIN(MAX(0,AB87-SUM(PR87:SJ87)),ANK86-G87*MAX(0,EK87*ANK86-(ZJ87+ACW87))))),MIN(HX87,MAX(0,AB87-SUM(PR87:SJ87))))</f>
        <v>0</v>
      </c>
      <c r="SL87" s="20" t="n">
        <f aca="false">IF(H_Direct=1,IF(ANL86&lt;=0,0,IF(EL87&lt;=0,MIN(MAX(0,AB87-SUM(PR87:SK87)),ANL86),MIN(MAX(0,AB87-SUM(PR87:SK87)),ANL86-G87*MAX(0,EL87*ANL86-(ZK87+ACX87))))),MIN(HY87,MAX(0,AB87-SUM(PR87:SK87))))</f>
        <v>0</v>
      </c>
      <c r="SM87" s="20" t="n">
        <f aca="false">IF(H_Direct=1,IF(ANM86&lt;=0,0,IF(EM87&lt;=0,MIN(MAX(0,AB87-SUM(PR87:SL87)),ANM86),MIN(MAX(0,AB87-SUM(PR87:SL87)),ANM86-G87*MAX(0,EM87*ANM86-(ZL87+ACY87))))),MIN(HZ87,MAX(0,AB87-SUM(PR87:SL87))))</f>
        <v>0</v>
      </c>
      <c r="SN87" s="20" t="n">
        <f aca="false">IF(H_Direct=1,IF(ANN86&lt;=0,0,IF(EN87&lt;=0,MIN(MAX(0,AB87-SUM(PR87:SM87)),ANN86),MIN(MAX(0,AB87-SUM(PR87:SM87)),ANN86-G87*MAX(0,EN87*ANN86-(ZM87+ACZ87))))),MIN(IA87,MAX(0,AB87-SUM(PR87:SM87))))</f>
        <v>0</v>
      </c>
      <c r="SO87" s="20" t="n">
        <f aca="false">IF(H_Direct=1,IF(ANO86&lt;=0,0,IF(EO87&lt;=0,MIN(MAX(0,AB87-SUM(PR87:SN87)),ANO86),MIN(MAX(0,AB87-SUM(PR87:SN87)),ANO86-G87*MAX(0,EO87*ANO86-(ZN87+ADA87))))),MIN(IB87,MAX(0,AB87-SUM(PR87:SN87))))</f>
        <v>0</v>
      </c>
      <c r="SP87" s="20" t="n">
        <f aca="false">IF(H_Direct=1,IF(ANP86&lt;=0,0,IF(EP87&lt;=0,MIN(MAX(0,AB87-SUM(PR87:SO87)),ANP86),MIN(MAX(0,AB87-SUM(PR87:SO87)),ANP86-G87*MAX(0,EP87*ANP86-(ZO87+ADB87))))),MIN(IC87,MAX(0,AB87-SUM(PR87:SO87))))</f>
        <v>0</v>
      </c>
      <c r="SQ87" s="20" t="n">
        <f aca="false">IF(H_Direct=1,IF(ANQ86&lt;=0,0,IF(EQ87&lt;=0,MIN(MAX(0,AB87-SUM(PR87:SP87)),ANQ86),MIN(MAX(0,AB87-SUM(PR87:SP87)),ANQ86-G87*MAX(0,EQ87*ANQ86-(ZP87+ADC87))))),MIN(ID87,MAX(0,AB87-SUM(PR87:SP87))))</f>
        <v>0</v>
      </c>
      <c r="SR87" s="20" t="n">
        <f aca="false">IF(H_Direct=1,IF(ANR86&lt;=0,0,IF(ER87&lt;=0,MIN(MAX(0,AB87-SUM(PR87:SQ87)),ANR86),MIN(MAX(0,AB87-SUM(PR87:SQ87)),ANR86-G87*MAX(0,ER87*ANR86-(ZQ87+ADD87))))),MIN(IE87,MAX(0,AB87-SUM(PR87:SQ87))))</f>
        <v>0</v>
      </c>
      <c r="SS87" s="20" t="n">
        <f aca="false">IF(H_Direct=1,IF(ANS86&lt;=0,0,IF(ES87&lt;=0,MIN(MAX(0,AB87-SUM(PR87:SR87)),ANS86),MIN(MAX(0,AB87-SUM(PR87:SR87)),ANS86-G87*MAX(0,ES87*ANS86-(ZR87+ADE87))))),MIN(IF87,MAX(0,AB87-SUM(PR87:SR87))))</f>
        <v>0</v>
      </c>
      <c r="ST87" s="20" t="n">
        <f aca="false">IF(H_Direct=1,IF((P87+S87)&lt;=0,0,IF(ET87&lt;=0,MIN(MAX(0,AB87-SUM(PR87:SS87)),(P87+S87)),MIN(MAX(0,AB87-SUM(PR87:SS87)),(P87+S87)-G87*MAX(0,ET87*(P87+S87)-(ZS87+ADF87))))),MIN(IG87,MAX(0,AB87-SUM(PR87:SS87))))</f>
        <v>0</v>
      </c>
      <c r="SU87" s="20" t="n">
        <v>0</v>
      </c>
      <c r="SV87" s="20" t="n">
        <v>0</v>
      </c>
      <c r="SW87" s="20" t="n">
        <v>0</v>
      </c>
      <c r="SX87" s="20" t="n">
        <v>0</v>
      </c>
      <c r="SY87" s="20" t="n">
        <v>0</v>
      </c>
      <c r="SZ87" s="20" t="n">
        <v>0</v>
      </c>
      <c r="TA87" s="20" t="n">
        <v>0</v>
      </c>
      <c r="TB87" s="20" t="n">
        <v>0</v>
      </c>
      <c r="TC87" s="20" t="n">
        <v>0</v>
      </c>
      <c r="TD87" s="20" t="n">
        <v>0</v>
      </c>
      <c r="TE87" s="20" t="n">
        <f aca="false">IF(AKR86&lt;=0,0,IF(H_Direct=1,IF(BR87&lt;=0,PR87,IF(PR87&lt;=(H87+I87)/BR87,PR87,(PR87-G87*(H87+I87))/(1-G87*BR87))),PR87/(1-MAX(0,BR87)*H_Exit)))</f>
        <v>0</v>
      </c>
      <c r="TF87" s="20" t="n">
        <f aca="false">IF(AKS86&lt;=0,0,IF(H_Direct=1,IF(BS87&lt;=0,PS87,IF(PS87&lt;=(WR87+AAE87)/BS87,PS87,(PS87-G87*(WR87+AAE87))/(1-G87*BS87))),PS87/(1-MAX(0,BS87)*H_Exit)))</f>
        <v>0</v>
      </c>
      <c r="TG87" s="20" t="n">
        <f aca="false">IF(AKT86&lt;=0,0,IF(H_Direct=1,IF(BT87&lt;=0,PT87,IF(PT87&lt;=(WS87+AAF87)/BT87,PT87,(PT87-G87*(WS87+AAF87))/(1-G87*BT87))),PT87/(1-MAX(0,BT87)*H_Exit)))</f>
        <v>0</v>
      </c>
      <c r="TH87" s="20" t="n">
        <f aca="false">IF(AKU86&lt;=0,0,IF(H_Direct=1,IF(BU87&lt;=0,PU87,IF(PU87&lt;=(WT87+AAG87)/BU87,PU87,(PU87-G87*(WT87+AAG87))/(1-G87*BU87))),PU87/(1-MAX(0,BU87)*H_Exit)))</f>
        <v>0</v>
      </c>
      <c r="TI87" s="20" t="n">
        <f aca="false">IF(AKV86&lt;=0,0,IF(H_Direct=1,IF(BV87&lt;=0,PV87,IF(PV87&lt;=(WU87+AAH87)/BV87,PV87,(PV87-G87*(WU87+AAH87))/(1-G87*BV87))),PV87/(1-MAX(0,BV87)*H_Exit)))</f>
        <v>0</v>
      </c>
      <c r="TJ87" s="20" t="n">
        <f aca="false">IF(AKW86&lt;=0,0,IF(H_Direct=1,IF(BW87&lt;=0,PW87,IF(PW87&lt;=(WV87+AAI87)/BW87,PW87,(PW87-G87*(WV87+AAI87))/(1-G87*BW87))),PW87/(1-MAX(0,BW87)*H_Exit)))</f>
        <v>0</v>
      </c>
      <c r="TK87" s="20" t="n">
        <f aca="false">IF(AKX86&lt;=0,0,IF(H_Direct=1,IF(BX87&lt;=0,PX87,IF(PX87&lt;=(WW87+AAJ87)/BX87,PX87,(PX87-G87*(WW87+AAJ87))/(1-G87*BX87))),PX87/(1-MAX(0,BX87)*H_Exit)))</f>
        <v>0</v>
      </c>
      <c r="TL87" s="20" t="n">
        <f aca="false">IF(AKY86&lt;=0,0,IF(H_Direct=1,IF(BY87&lt;=0,PY87,IF(PY87&lt;=(WX87+AAK87)/BY87,PY87,(PY87-G87*(WX87+AAK87))/(1-G87*BY87))),PY87/(1-MAX(0,BY87)*H_Exit)))</f>
        <v>0</v>
      </c>
      <c r="TM87" s="20" t="n">
        <f aca="false">IF(AKZ86&lt;=0,0,IF(H_Direct=1,IF(BZ87&lt;=0,PZ87,IF(PZ87&lt;=(WY87+AAL87)/BZ87,PZ87,(PZ87-G87*(WY87+AAL87))/(1-G87*BZ87))),PZ87/(1-MAX(0,BZ87)*H_Exit)))</f>
        <v>0</v>
      </c>
      <c r="TN87" s="20" t="n">
        <f aca="false">IF(ALA86&lt;=0,0,IF(H_Direct=1,IF(CA87&lt;=0,QA87,IF(QA87&lt;=(WZ87+AAM87)/CA87,QA87,(QA87-G87*(WZ87+AAM87))/(1-G87*CA87))),QA87/(1-MAX(0,CA87)*H_Exit)))</f>
        <v>0</v>
      </c>
      <c r="TO87" s="20" t="n">
        <f aca="false">IF(ALB86&lt;=0,0,IF(H_Direct=1,IF(CB87&lt;=0,QB87,IF(QB87&lt;=(XA87+AAN87)/CB87,QB87,(QB87-G87*(XA87+AAN87))/(1-G87*CB87))),QB87/(1-MAX(0,CB87)*H_Exit)))</f>
        <v>0</v>
      </c>
      <c r="TP87" s="20" t="n">
        <f aca="false">IF(ALC86&lt;=0,0,IF(H_Direct=1,IF(CC87&lt;=0,QC87,IF(QC87&lt;=(XB87+AAO87)/CC87,QC87,(QC87-G87*(XB87+AAO87))/(1-G87*CC87))),QC87/(1-MAX(0,CC87)*H_Exit)))</f>
        <v>0</v>
      </c>
      <c r="TQ87" s="20" t="n">
        <f aca="false">IF(ALD86&lt;=0,0,IF(H_Direct=1,IF(CD87&lt;=0,QD87,IF(QD87&lt;=(XC87+AAP87)/CD87,QD87,(QD87-G87*(XC87+AAP87))/(1-G87*CD87))),QD87/(1-MAX(0,CD87)*H_Exit)))</f>
        <v>0</v>
      </c>
      <c r="TR87" s="20" t="n">
        <f aca="false">IF(ALE86&lt;=0,0,IF(H_Direct=1,IF(CE87&lt;=0,QE87,IF(QE87&lt;=(XD87+AAQ87)/CE87,QE87,(QE87-G87*(XD87+AAQ87))/(1-G87*CE87))),QE87/(1-MAX(0,CE87)*H_Exit)))</f>
        <v>0</v>
      </c>
      <c r="TS87" s="20" t="n">
        <f aca="false">IF(ALF86&lt;=0,0,IF(H_Direct=1,IF(CF87&lt;=0,QF87,IF(QF87&lt;=(XE87+AAR87)/CF87,QF87,(QF87-G87*(XE87+AAR87))/(1-G87*CF87))),QF87/(1-MAX(0,CF87)*H_Exit)))</f>
        <v>0</v>
      </c>
      <c r="TT87" s="20" t="n">
        <f aca="false">IF(ALG86&lt;=0,0,IF(H_Direct=1,IF(CG87&lt;=0,QG87,IF(QG87&lt;=(XF87+AAS87)/CG87,QG87,(QG87-G87*(XF87+AAS87))/(1-G87*CG87))),QG87/(1-MAX(0,CG87)*H_Exit)))</f>
        <v>0</v>
      </c>
      <c r="TU87" s="20" t="n">
        <f aca="false">IF(ALH86&lt;=0,0,IF(H_Direct=1,IF(CH87&lt;=0,QH87,IF(QH87&lt;=(XG87+AAT87)/CH87,QH87,(QH87-G87*(XG87+AAT87))/(1-G87*CH87))),QH87/(1-MAX(0,CH87)*H_Exit)))</f>
        <v>0</v>
      </c>
      <c r="TV87" s="20" t="n">
        <f aca="false">IF(ALI86&lt;=0,0,IF(H_Direct=1,IF(CI87&lt;=0,QI87,IF(QI87&lt;=(XH87+AAU87)/CI87,QI87,(QI87-G87*(XH87+AAU87))/(1-G87*CI87))),QI87/(1-MAX(0,CI87)*H_Exit)))</f>
        <v>0</v>
      </c>
      <c r="TW87" s="20" t="n">
        <f aca="false">IF(ALJ86&lt;=0,0,IF(H_Direct=1,IF(CJ87&lt;=0,QJ87,IF(QJ87&lt;=(XI87+AAV87)/CJ87,QJ87,(QJ87-G87*(XI87+AAV87))/(1-G87*CJ87))),QJ87/(1-MAX(0,CJ87)*H_Exit)))</f>
        <v>0</v>
      </c>
      <c r="TX87" s="20" t="n">
        <f aca="false">IF(ALK86&lt;=0,0,IF(H_Direct=1,IF(CK87&lt;=0,QK87,IF(QK87&lt;=(XJ87+AAW87)/CK87,QK87,(QK87-G87*(XJ87+AAW87))/(1-G87*CK87))),QK87/(1-MAX(0,CK87)*H_Exit)))</f>
        <v>0</v>
      </c>
      <c r="TY87" s="20" t="n">
        <f aca="false">IF(ALL86&lt;=0,0,IF(H_Direct=1,IF(CL87&lt;=0,QL87,IF(QL87&lt;=(XK87+AAX87)/CL87,QL87,(QL87-G87*(XK87+AAX87))/(1-G87*CL87))),QL87/(1-MAX(0,CL87)*H_Exit)))</f>
        <v>0</v>
      </c>
      <c r="TZ87" s="20" t="n">
        <f aca="false">IF(ALM86&lt;=0,0,IF(H_Direct=1,IF(CM87&lt;=0,QM87,IF(QM87&lt;=(XL87+AAY87)/CM87,QM87,(QM87-G87*(XL87+AAY87))/(1-G87*CM87))),QM87/(1-MAX(0,CM87)*H_Exit)))</f>
        <v>0</v>
      </c>
      <c r="UA87" s="20" t="n">
        <f aca="false">IF(ALN86&lt;=0,0,IF(H_Direct=1,IF(CN87&lt;=0,QN87,IF(QN87&lt;=(XM87+AAZ87)/CN87,QN87,(QN87-G87*(XM87+AAZ87))/(1-G87*CN87))),QN87/(1-MAX(0,CN87)*H_Exit)))</f>
        <v>0</v>
      </c>
      <c r="UB87" s="20" t="n">
        <f aca="false">IF(ALO86&lt;=0,0,IF(H_Direct=1,IF(CO87&lt;=0,QO87,IF(QO87&lt;=(XN87+ABA87)/CO87,QO87,(QO87-G87*(XN87+ABA87))/(1-G87*CO87))),QO87/(1-MAX(0,CO87)*H_Exit)))</f>
        <v>0</v>
      </c>
      <c r="UC87" s="20" t="n">
        <f aca="false">IF(ALP86&lt;=0,0,IF(H_Direct=1,IF(CP87&lt;=0,QP87,IF(QP87&lt;=(XO87+ABB87)/CP87,QP87,(QP87-G87*(XO87+ABB87))/(1-G87*CP87))),QP87/(1-MAX(0,CP87)*H_Exit)))</f>
        <v>0</v>
      </c>
      <c r="UD87" s="20" t="n">
        <f aca="false">IF(ALQ86&lt;=0,0,IF(H_Direct=1,IF(CQ87&lt;=0,QQ87,IF(QQ87&lt;=(XP87+ABC87)/CQ87,QQ87,(QQ87-G87*(XP87+ABC87))/(1-G87*CQ87))),QQ87/(1-MAX(0,CQ87)*H_Exit)))</f>
        <v>0</v>
      </c>
      <c r="UE87" s="20" t="n">
        <f aca="false">IF(ALR86&lt;=0,0,IF(H_Direct=1,IF(CR87&lt;=0,QR87,IF(QR87&lt;=(XQ87+ABD87)/CR87,QR87,(QR87-G87*(XQ87+ABD87))/(1-G87*CR87))),QR87/(1-MAX(0,CR87)*H_Exit)))</f>
        <v>0</v>
      </c>
      <c r="UF87" s="20" t="n">
        <f aca="false">IF(ALS86&lt;=0,0,IF(H_Direct=1,IF(CS87&lt;=0,QS87,IF(QS87&lt;=(XR87+ABE87)/CS87,QS87,(QS87-G87*(XR87+ABE87))/(1-G87*CS87))),QS87/(1-MAX(0,CS87)*H_Exit)))</f>
        <v>0</v>
      </c>
      <c r="UG87" s="20" t="n">
        <f aca="false">IF(ALT86&lt;=0,0,IF(H_Direct=1,IF(CT87&lt;=0,QT87,IF(QT87&lt;=(XS87+ABF87)/CT87,QT87,(QT87-G87*(XS87+ABF87))/(1-G87*CT87))),QT87/(1-MAX(0,CT87)*H_Exit)))</f>
        <v>0</v>
      </c>
      <c r="UH87" s="20" t="n">
        <f aca="false">IF(ALU86&lt;=0,0,IF(H_Direct=1,IF(CU87&lt;=0,QU87,IF(QU87&lt;=(XT87+ABG87)/CU87,QU87,(QU87-G87*(XT87+ABG87))/(1-G87*CU87))),QU87/(1-MAX(0,CU87)*H_Exit)))</f>
        <v>0</v>
      </c>
      <c r="UI87" s="20" t="n">
        <f aca="false">IF(ALV86&lt;=0,0,IF(H_Direct=1,IF(CV87&lt;=0,QV87,IF(QV87&lt;=(XU87+ABH87)/CV87,QV87,(QV87-G87*(XU87+ABH87))/(1-G87*CV87))),QV87/(1-MAX(0,CV87)*H_Exit)))</f>
        <v>0</v>
      </c>
      <c r="UJ87" s="20" t="n">
        <f aca="false">IF(ALW86&lt;=0,0,IF(H_Direct=1,IF(CW87&lt;=0,QW87,IF(QW87&lt;=(XV87+ABI87)/CW87,QW87,(QW87-G87*(XV87+ABI87))/(1-G87*CW87))),QW87/(1-MAX(0,CW87)*H_Exit)))</f>
        <v>0</v>
      </c>
      <c r="UK87" s="20" t="n">
        <f aca="false">IF(ALX86&lt;=0,0,IF(H_Direct=1,IF(CX87&lt;=0,QX87,IF(QX87&lt;=(XW87+ABJ87)/CX87,QX87,(QX87-G87*(XW87+ABJ87))/(1-G87*CX87))),QX87/(1-MAX(0,CX87)*H_Exit)))</f>
        <v>0</v>
      </c>
      <c r="UL87" s="20" t="n">
        <f aca="false">IF(ALY86&lt;=0,0,IF(H_Direct=1,IF(CY87&lt;=0,QY87,IF(QY87&lt;=(XX87+ABK87)/CY87,QY87,(QY87-G87*(XX87+ABK87))/(1-G87*CY87))),QY87/(1-MAX(0,CY87)*H_Exit)))</f>
        <v>0</v>
      </c>
      <c r="UM87" s="20" t="n">
        <f aca="false">IF(ALZ86&lt;=0,0,IF(H_Direct=1,IF(CZ87&lt;=0,QZ87,IF(QZ87&lt;=(XY87+ABL87)/CZ87,QZ87,(QZ87-G87*(XY87+ABL87))/(1-G87*CZ87))),QZ87/(1-MAX(0,CZ87)*H_Exit)))</f>
        <v>0</v>
      </c>
      <c r="UN87" s="20" t="n">
        <f aca="false">IF(AMA86&lt;=0,0,IF(H_Direct=1,IF(DA87&lt;=0,RA87,IF(RA87&lt;=(XZ87+ABM87)/DA87,RA87,(RA87-G87*(XZ87+ABM87))/(1-G87*DA87))),RA87/(1-MAX(0,DA87)*H_Exit)))</f>
        <v>0</v>
      </c>
      <c r="UO87" s="20" t="n">
        <f aca="false">IF(AMB86&lt;=0,0,IF(H_Direct=1,IF(DB87&lt;=0,RB87,IF(RB87&lt;=(YA87+ABN87)/DB87,RB87,(RB87-G87*(YA87+ABN87))/(1-G87*DB87))),RB87/(1-MAX(0,DB87)*H_Exit)))</f>
        <v>0</v>
      </c>
      <c r="UP87" s="20" t="n">
        <f aca="false">IF(AMC86&lt;=0,0,IF(H_Direct=1,IF(DC87&lt;=0,RC87,IF(RC87&lt;=(YB87+ABO87)/DC87,RC87,(RC87-G87*(YB87+ABO87))/(1-G87*DC87))),RC87/(1-MAX(0,DC87)*H_Exit)))</f>
        <v>0</v>
      </c>
      <c r="UQ87" s="20" t="n">
        <f aca="false">IF(AMD86&lt;=0,0,IF(H_Direct=1,IF(DD87&lt;=0,RD87,IF(RD87&lt;=(YC87+ABP87)/DD87,RD87,(RD87-G87*(YC87+ABP87))/(1-G87*DD87))),RD87/(1-MAX(0,DD87)*H_Exit)))</f>
        <v>0</v>
      </c>
      <c r="UR87" s="20" t="n">
        <f aca="false">IF(AME86&lt;=0,0,IF(H_Direct=1,IF(DE87&lt;=0,RE87,IF(RE87&lt;=(YD87+ABQ87)/DE87,RE87,(RE87-G87*(YD87+ABQ87))/(1-G87*DE87))),RE87/(1-MAX(0,DE87)*H_Exit)))</f>
        <v>0</v>
      </c>
      <c r="US87" s="20" t="n">
        <f aca="false">IF(AMF86&lt;=0,0,IF(H_Direct=1,IF(DF87&lt;=0,RF87,IF(RF87&lt;=(YE87+ABR87)/DF87,RF87,(RF87-G87*(YE87+ABR87))/(1-G87*DF87))),RF87/(1-MAX(0,DF87)*H_Exit)))</f>
        <v>0</v>
      </c>
      <c r="UT87" s="20" t="n">
        <f aca="false">IF(AMG86&lt;=0,0,IF(H_Direct=1,IF(DG87&lt;=0,RG87,IF(RG87&lt;=(YF87+ABS87)/DG87,RG87,(RG87-G87*(YF87+ABS87))/(1-G87*DG87))),RG87/(1-MAX(0,DG87)*H_Exit)))</f>
        <v>0</v>
      </c>
      <c r="UU87" s="20" t="n">
        <f aca="false">IF(AMH86&lt;=0,0,IF(H_Direct=1,IF(DH87&lt;=0,RH87,IF(RH87&lt;=(YG87+ABT87)/DH87,RH87,(RH87-G87*(YG87+ABT87))/(1-G87*DH87))),RH87/(1-MAX(0,DH87)*H_Exit)))</f>
        <v>0</v>
      </c>
      <c r="UV87" s="20" t="n">
        <f aca="false">IF(AMI86&lt;=0,0,IF(H_Direct=1,IF(DI87&lt;=0,RI87,IF(RI87&lt;=(YH87+ABU87)/DI87,RI87,(RI87-G87*(YH87+ABU87))/(1-G87*DI87))),RI87/(1-MAX(0,DI87)*H_Exit)))</f>
        <v>0</v>
      </c>
      <c r="UW87" s="20" t="n">
        <f aca="false">IF(AMJ86&lt;=0,0,IF(H_Direct=1,IF(DJ87&lt;=0,RJ87,IF(RJ87&lt;=(YI87+ABV87)/DJ87,RJ87,(RJ87-G87*(YI87+ABV87))/(1-G87*DJ87))),RJ87/(1-MAX(0,DJ87)*H_Exit)))</f>
        <v>0</v>
      </c>
      <c r="UX87" s="20" t="n">
        <f aca="false">IF(AMK86&lt;=0,0,IF(H_Direct=1,IF(DK87&lt;=0,RK87,IF(RK87&lt;=(YJ87+ABW87)/DK87,RK87,(RK87-G87*(YJ87+ABW87))/(1-G87*DK87))),RK87/(1-MAX(0,DK87)*H_Exit)))</f>
        <v>0</v>
      </c>
      <c r="UY87" s="20" t="n">
        <f aca="false">IF(AML86&lt;=0,0,IF(H_Direct=1,IF(DL87&lt;=0,RL87,IF(RL87&lt;=(YK87+ABX87)/DL87,RL87,(RL87-G87*(YK87+ABX87))/(1-G87*DL87))),RL87/(1-MAX(0,DL87)*H_Exit)))</f>
        <v>0</v>
      </c>
      <c r="UZ87" s="20" t="n">
        <f aca="false">IF(AMM86&lt;=0,0,IF(H_Direct=1,IF(DM87&lt;=0,RM87,IF(RM87&lt;=(YL87+ABY87)/DM87,RM87,(RM87-G87*(YL87+ABY87))/(1-G87*DM87))),RM87/(1-MAX(0,DM87)*H_Exit)))</f>
        <v>0</v>
      </c>
      <c r="VA87" s="20" t="n">
        <f aca="false">IF(AMN86&lt;=0,0,IF(H_Direct=1,IF(DN87&lt;=0,RN87,IF(RN87&lt;=(YM87+ABZ87)/DN87,RN87,(RN87-G87*(YM87+ABZ87))/(1-G87*DN87))),RN87/(1-MAX(0,DN87)*H_Exit)))</f>
        <v>0</v>
      </c>
      <c r="VB87" s="20" t="n">
        <f aca="false">IF(AMO86&lt;=0,0,IF(H_Direct=1,IF(DO87&lt;=0,RO87,IF(RO87&lt;=(YN87+ACA87)/DO87,RO87,(RO87-G87*(YN87+ACA87))/(1-G87*DO87))),RO87/(1-MAX(0,DO87)*H_Exit)))</f>
        <v>0</v>
      </c>
      <c r="VC87" s="20" t="n">
        <f aca="false">IF(AMP86&lt;=0,0,IF(H_Direct=1,IF(DP87&lt;=0,RP87,IF(RP87&lt;=(YO87+ACB87)/DP87,RP87,(RP87-G87*(YO87+ACB87))/(1-G87*DP87))),RP87/(1-MAX(0,DP87)*H_Exit)))</f>
        <v>0</v>
      </c>
      <c r="VD87" s="20" t="n">
        <f aca="false">IF(AMQ86&lt;=0,0,IF(H_Direct=1,IF(DQ87&lt;=0,RQ87,IF(RQ87&lt;=(YP87+ACC87)/DQ87,RQ87,(RQ87-G87*(YP87+ACC87))/(1-G87*DQ87))),RQ87/(1-MAX(0,DQ87)*H_Exit)))</f>
        <v>0</v>
      </c>
      <c r="VE87" s="20" t="n">
        <f aca="false">IF(AMR86&lt;=0,0,IF(H_Direct=1,IF(DR87&lt;=0,RR87,IF(RR87&lt;=(YQ87+ACD87)/DR87,RR87,(RR87-G87*(YQ87+ACD87))/(1-G87*DR87))),RR87/(1-MAX(0,DR87)*H_Exit)))</f>
        <v>0</v>
      </c>
      <c r="VF87" s="20" t="n">
        <f aca="false">IF(AMS86&lt;=0,0,IF(H_Direct=1,IF(DS87&lt;=0,RS87,IF(RS87&lt;=(YR87+ACE87)/DS87,RS87,(RS87-G87*(YR87+ACE87))/(1-G87*DS87))),RS87/(1-MAX(0,DS87)*H_Exit)))</f>
        <v>0</v>
      </c>
      <c r="VG87" s="20" t="n">
        <f aca="false">IF(AMT86&lt;=0,0,IF(H_Direct=1,IF(DT87&lt;=0,RT87,IF(RT87&lt;=(YS87+ACF87)/DT87,RT87,(RT87-G87*(YS87+ACF87))/(1-G87*DT87))),RT87/(1-MAX(0,DT87)*H_Exit)))</f>
        <v>0</v>
      </c>
      <c r="VH87" s="20" t="n">
        <f aca="false">IF(AMU86&lt;=0,0,IF(H_Direct=1,IF(DU87&lt;=0,RU87,IF(RU87&lt;=(YT87+ACG87)/DU87,RU87,(RU87-G87*(YT87+ACG87))/(1-G87*DU87))),RU87/(1-MAX(0,DU87)*H_Exit)))</f>
        <v>0</v>
      </c>
      <c r="VI87" s="20" t="n">
        <f aca="false">IF(AMV86&lt;=0,0,IF(H_Direct=1,IF(DV87&lt;=0,RV87,IF(RV87&lt;=(YU87+ACH87)/DV87,RV87,(RV87-G87*(YU87+ACH87))/(1-G87*DV87))),RV87/(1-MAX(0,DV87)*H_Exit)))</f>
        <v>0</v>
      </c>
      <c r="VJ87" s="20" t="n">
        <f aca="false">IF(AMW86&lt;=0,0,IF(H_Direct=1,IF(DW87&lt;=0,RW87,IF(RW87&lt;=(YV87+ACI87)/DW87,RW87,(RW87-G87*(YV87+ACI87))/(1-G87*DW87))),RW87/(1-MAX(0,DW87)*H_Exit)))</f>
        <v>0</v>
      </c>
      <c r="VK87" s="20" t="n">
        <f aca="false">IF(AMX86&lt;=0,0,IF(H_Direct=1,IF(DX87&lt;=0,RX87,IF(RX87&lt;=(YW87+ACJ87)/DX87,RX87,(RX87-G87*(YW87+ACJ87))/(1-G87*DX87))),RX87/(1-MAX(0,DX87)*H_Exit)))</f>
        <v>0</v>
      </c>
      <c r="VL87" s="20" t="n">
        <f aca="false">IF(AMY86&lt;=0,0,IF(H_Direct=1,IF(DY87&lt;=0,RY87,IF(RY87&lt;=(YX87+ACK87)/DY87,RY87,(RY87-G87*(YX87+ACK87))/(1-G87*DY87))),RY87/(1-MAX(0,DY87)*H_Exit)))</f>
        <v>0</v>
      </c>
      <c r="VM87" s="20" t="n">
        <f aca="false">IF(AMZ86&lt;=0,0,IF(H_Direct=1,IF(DZ87&lt;=0,RZ87,IF(RZ87&lt;=(YY87+ACL87)/DZ87,RZ87,(RZ87-G87*(YY87+ACL87))/(1-G87*DZ87))),RZ87/(1-MAX(0,DZ87)*H_Exit)))</f>
        <v>0</v>
      </c>
      <c r="VN87" s="20" t="n">
        <f aca="false">IF(ANA86&lt;=0,0,IF(H_Direct=1,IF(EA87&lt;=0,SA87,IF(SA87&lt;=(YZ87+ACM87)/EA87,SA87,(SA87-G87*(YZ87+ACM87))/(1-G87*EA87))),SA87/(1-MAX(0,EA87)*H_Exit)))</f>
        <v>0</v>
      </c>
      <c r="VO87" s="20" t="n">
        <f aca="false">IF(ANB86&lt;=0,0,IF(H_Direct=1,IF(EB87&lt;=0,SB87,IF(SB87&lt;=(ZA87+ACN87)/EB87,SB87,(SB87-G87*(ZA87+ACN87))/(1-G87*EB87))),SB87/(1-MAX(0,EB87)*H_Exit)))</f>
        <v>0</v>
      </c>
      <c r="VP87" s="20" t="n">
        <f aca="false">IF(ANC86&lt;=0,0,IF(H_Direct=1,IF(EC87&lt;=0,SC87,IF(SC87&lt;=(ZB87+ACO87)/EC87,SC87,(SC87-G87*(ZB87+ACO87))/(1-G87*EC87))),SC87/(1-MAX(0,EC87)*H_Exit)))</f>
        <v>0</v>
      </c>
      <c r="VQ87" s="20" t="n">
        <f aca="false">IF(AND86&lt;=0,0,IF(H_Direct=1,IF(ED87&lt;=0,SD87,IF(SD87&lt;=(ZC87+ACP87)/ED87,SD87,(SD87-G87*(ZC87+ACP87))/(1-G87*ED87))),SD87/(1-MAX(0,ED87)*H_Exit)))</f>
        <v>0</v>
      </c>
      <c r="VR87" s="20" t="n">
        <f aca="false">IF(ANE86&lt;=0,0,IF(H_Direct=1,IF(EE87&lt;=0,SE87,IF(SE87&lt;=(ZD87+ACQ87)/EE87,SE87,(SE87-G87*(ZD87+ACQ87))/(1-G87*EE87))),SE87/(1-MAX(0,EE87)*H_Exit)))</f>
        <v>0</v>
      </c>
      <c r="VS87" s="20" t="n">
        <f aca="false">IF(ANF86&lt;=0,0,IF(H_Direct=1,IF(EF87&lt;=0,SF87,IF(SF87&lt;=(ZE87+ACR87)/EF87,SF87,(SF87-G87*(ZE87+ACR87))/(1-G87*EF87))),SF87/(1-MAX(0,EF87)*H_Exit)))</f>
        <v>0</v>
      </c>
      <c r="VT87" s="20" t="n">
        <f aca="false">IF(ANG86&lt;=0,0,IF(H_Direct=1,IF(EG87&lt;=0,SG87,IF(SG87&lt;=(ZF87+ACS87)/EG87,SG87,(SG87-G87*(ZF87+ACS87))/(1-G87*EG87))),SG87/(1-MAX(0,EG87)*H_Exit)))</f>
        <v>0</v>
      </c>
      <c r="VU87" s="20" t="n">
        <f aca="false">IF(ANH86&lt;=0,0,IF(H_Direct=1,IF(EH87&lt;=0,SH87,IF(SH87&lt;=(ZG87+ACT87)/EH87,SH87,(SH87-G87*(ZG87+ACT87))/(1-G87*EH87))),SH87/(1-MAX(0,EH87)*H_Exit)))</f>
        <v>0</v>
      </c>
      <c r="VV87" s="20" t="n">
        <f aca="false">IF(ANI86&lt;=0,0,IF(H_Direct=1,IF(EI87&lt;=0,SI87,IF(SI87&lt;=(ZH87+ACU87)/EI87,SI87,(SI87-G87*(ZH87+ACU87))/(1-G87*EI87))),SI87/(1-MAX(0,EI87)*H_Exit)))</f>
        <v>0</v>
      </c>
      <c r="VW87" s="20" t="n">
        <f aca="false">IF(ANJ86&lt;=0,0,IF(H_Direct=1,IF(EJ87&lt;=0,SJ87,IF(SJ87&lt;=(ZI87+ACV87)/EJ87,SJ87,(SJ87-G87*(ZI87+ACV87))/(1-G87*EJ87))),SJ87/(1-MAX(0,EJ87)*H_Exit)))</f>
        <v>0</v>
      </c>
      <c r="VX87" s="20" t="n">
        <f aca="false">IF(ANK86&lt;=0,0,IF(H_Direct=1,IF(EK87&lt;=0,SK87,IF(SK87&lt;=(ZJ87+ACW87)/EK87,SK87,(SK87-G87*(ZJ87+ACW87))/(1-G87*EK87))),SK87/(1-MAX(0,EK87)*H_Exit)))</f>
        <v>0</v>
      </c>
      <c r="VY87" s="20" t="n">
        <f aca="false">IF(ANL86&lt;=0,0,IF(H_Direct=1,IF(EL87&lt;=0,SL87,IF(SL87&lt;=(ZK87+ACX87)/EL87,SL87,(SL87-G87*(ZK87+ACX87))/(1-G87*EL87))),SL87/(1-MAX(0,EL87)*H_Exit)))</f>
        <v>0</v>
      </c>
      <c r="VZ87" s="20" t="n">
        <f aca="false">IF(ANM86&lt;=0,0,IF(H_Direct=1,IF(EM87&lt;=0,SM87,IF(SM87&lt;=(ZL87+ACY87)/EM87,SM87,(SM87-G87*(ZL87+ACY87))/(1-G87*EM87))),SM87/(1-MAX(0,EM87)*H_Exit)))</f>
        <v>0</v>
      </c>
      <c r="WA87" s="20" t="n">
        <f aca="false">IF(ANN86&lt;=0,0,IF(H_Direct=1,IF(EN87&lt;=0,SN87,IF(SN87&lt;=(ZM87+ACZ87)/EN87,SN87,(SN87-G87*(ZM87+ACZ87))/(1-G87*EN87))),SN87/(1-MAX(0,EN87)*H_Exit)))</f>
        <v>0</v>
      </c>
      <c r="WB87" s="20" t="n">
        <f aca="false">IF(ANO86&lt;=0,0,IF(H_Direct=1,IF(EO87&lt;=0,SO87,IF(SO87&lt;=(ZN87+ADA87)/EO87,SO87,(SO87-G87*(ZN87+ADA87))/(1-G87*EO87))),SO87/(1-MAX(0,EO87)*H_Exit)))</f>
        <v>0</v>
      </c>
      <c r="WC87" s="20" t="n">
        <f aca="false">IF(ANP86&lt;=0,0,IF(H_Direct=1,IF(EP87&lt;=0,SP87,IF(SP87&lt;=(ZO87+ADB87)/EP87,SP87,(SP87-G87*(ZO87+ADB87))/(1-G87*EP87))),SP87/(1-MAX(0,EP87)*H_Exit)))</f>
        <v>0</v>
      </c>
      <c r="WD87" s="20" t="n">
        <f aca="false">IF(ANQ86&lt;=0,0,IF(H_Direct=1,IF(EQ87&lt;=0,SQ87,IF(SQ87&lt;=(ZP87+ADC87)/EQ87,SQ87,(SQ87-G87*(ZP87+ADC87))/(1-G87*EQ87))),SQ87/(1-MAX(0,EQ87)*H_Exit)))</f>
        <v>0</v>
      </c>
      <c r="WE87" s="20" t="n">
        <f aca="false">IF(ANR86&lt;=0,0,IF(H_Direct=1,IF(ER87&lt;=0,SR87,IF(SR87&lt;=(ZQ87+ADD87)/ER87,SR87,(SR87-G87*(ZQ87+ADD87))/(1-G87*ER87))),SR87/(1-MAX(0,ER87)*H_Exit)))</f>
        <v>0</v>
      </c>
      <c r="WF87" s="20" t="n">
        <f aca="false">IF(ANS86&lt;=0,0,IF(H_Direct=1,IF(ES87&lt;=0,SS87,IF(SS87&lt;=(ZR87+ADE87)/ES87,SS87,(SS87-G87*(ZR87+ADE87))/(1-G87*ES87))),SS87/(1-MAX(0,ES87)*H_Exit)))</f>
        <v>0</v>
      </c>
      <c r="WG87" s="20" t="n">
        <f aca="false">IF((P87+S87)&lt;=0,0,IF(H_Direct=1,IF(ET87&lt;=0,ST87,IF(ST87&lt;=(ZS87+ADF87)/ET87,ST87,(ST87-G87*(ZS87+ADF87))/(1-G87*ET87))),ST87/(1-MAX(0,ET87)*H_Exit)))</f>
        <v>0</v>
      </c>
      <c r="WH87" s="20" t="n">
        <v>0</v>
      </c>
      <c r="WI87" s="20" t="n">
        <v>0</v>
      </c>
      <c r="WJ87" s="20" t="n">
        <v>0</v>
      </c>
      <c r="WK87" s="20" t="n">
        <v>0</v>
      </c>
      <c r="WL87" s="20" t="n">
        <v>0</v>
      </c>
      <c r="WM87" s="20" t="n">
        <v>0</v>
      </c>
      <c r="WN87" s="20" t="n">
        <v>0</v>
      </c>
      <c r="WO87" s="20" t="n">
        <v>0</v>
      </c>
      <c r="WP87" s="20" t="n">
        <v>0</v>
      </c>
      <c r="WQ87" s="20" t="n">
        <v>0</v>
      </c>
      <c r="WR87" s="20" t="n">
        <f aca="false">IF(AND(H_Direct=1,BR87&gt;0),MAX(0,H87-(MIN(BR87*TE87,(H87+I87))-MIN(MIN(BR87*TE87,(H87+I87)),I87))),H87)</f>
        <v>1270</v>
      </c>
      <c r="WS87" s="20" t="n">
        <f aca="false">IF(AND(H_Direct=1,BS87&gt;0),MAX(0,WR87-(MIN(BS87*TF87,(WR87+AAE87))-MIN(MIN(BS87*TF87,(WR87+AAE87)),AAE87))),WR87)</f>
        <v>1270</v>
      </c>
      <c r="WT87" s="20" t="n">
        <f aca="false">IF(AND(H_Direct=1,BT87&gt;0),MAX(0,WS87-(MIN(BT87*TG87,(WS87+AAF87))-MIN(MIN(BT87*TG87,(WS87+AAF87)),AAF87))),WS87)</f>
        <v>1270</v>
      </c>
      <c r="WU87" s="20" t="n">
        <f aca="false">IF(AND(H_Direct=1,BU87&gt;0),MAX(0,WT87-(MIN(BU87*TH87,(WT87+AAG87))-MIN(MIN(BU87*TH87,(WT87+AAG87)),AAG87))),WT87)</f>
        <v>1270</v>
      </c>
      <c r="WV87" s="20" t="n">
        <f aca="false">IF(AND(H_Direct=1,BV87&gt;0),MAX(0,WU87-(MIN(BV87*TI87,(WU87+AAH87))-MIN(MIN(BV87*TI87,(WU87+AAH87)),AAH87))),WU87)</f>
        <v>1270</v>
      </c>
      <c r="WW87" s="20" t="n">
        <f aca="false">IF(AND(H_Direct=1,BW87&gt;0),MAX(0,WV87-(MIN(BW87*TJ87,(WV87+AAI87))-MIN(MIN(BW87*TJ87,(WV87+AAI87)),AAI87))),WV87)</f>
        <v>1270</v>
      </c>
      <c r="WX87" s="20" t="n">
        <f aca="false">IF(AND(H_Direct=1,BX87&gt;0),MAX(0,WW87-(MIN(BX87*TK87,(WW87+AAJ87))-MIN(MIN(BX87*TK87,(WW87+AAJ87)),AAJ87))),WW87)</f>
        <v>1270</v>
      </c>
      <c r="WY87" s="20" t="n">
        <f aca="false">IF(AND(H_Direct=1,BY87&gt;0),MAX(0,WX87-(MIN(BY87*TL87,(WX87+AAK87))-MIN(MIN(BY87*TL87,(WX87+AAK87)),AAK87))),WX87)</f>
        <v>1270</v>
      </c>
      <c r="WZ87" s="20" t="n">
        <f aca="false">IF(AND(H_Direct=1,BZ87&gt;0),MAX(0,WY87-(MIN(BZ87*TM87,(WY87+AAL87))-MIN(MIN(BZ87*TM87,(WY87+AAL87)),AAL87))),WY87)</f>
        <v>1270</v>
      </c>
      <c r="XA87" s="20" t="n">
        <f aca="false">IF(AND(H_Direct=1,CA87&gt;0),MAX(0,WZ87-(MIN(CA87*TN87,(WZ87+AAM87))-MIN(MIN(CA87*TN87,(WZ87+AAM87)),AAM87))),WZ87)</f>
        <v>1270</v>
      </c>
      <c r="XB87" s="20" t="n">
        <f aca="false">IF(AND(H_Direct=1,CB87&gt;0),MAX(0,XA87-(MIN(CB87*TO87,(XA87+AAN87))-MIN(MIN(CB87*TO87,(XA87+AAN87)),AAN87))),XA87)</f>
        <v>1270</v>
      </c>
      <c r="XC87" s="20" t="n">
        <f aca="false">IF(AND(H_Direct=1,CC87&gt;0),MAX(0,XB87-(MIN(CC87*TP87,(XB87+AAO87))-MIN(MIN(CC87*TP87,(XB87+AAO87)),AAO87))),XB87)</f>
        <v>1270</v>
      </c>
      <c r="XD87" s="20" t="n">
        <f aca="false">IF(AND(H_Direct=1,CD87&gt;0),MAX(0,XC87-(MIN(CD87*TQ87,(XC87+AAP87))-MIN(MIN(CD87*TQ87,(XC87+AAP87)),AAP87))),XC87)</f>
        <v>1270</v>
      </c>
      <c r="XE87" s="20" t="n">
        <f aca="false">IF(AND(H_Direct=1,CE87&gt;0),MAX(0,XD87-(MIN(CE87*TR87,(XD87+AAQ87))-MIN(MIN(CE87*TR87,(XD87+AAQ87)),AAQ87))),XD87)</f>
        <v>1270</v>
      </c>
      <c r="XF87" s="20" t="n">
        <f aca="false">IF(AND(H_Direct=1,CF87&gt;0),MAX(0,XE87-(MIN(CF87*TS87,(XE87+AAR87))-MIN(MIN(CF87*TS87,(XE87+AAR87)),AAR87))),XE87)</f>
        <v>1270</v>
      </c>
      <c r="XG87" s="20" t="n">
        <f aca="false">IF(AND(H_Direct=1,CG87&gt;0),MAX(0,XF87-(MIN(CG87*TT87,(XF87+AAS87))-MIN(MIN(CG87*TT87,(XF87+AAS87)),AAS87))),XF87)</f>
        <v>1270</v>
      </c>
      <c r="XH87" s="20" t="n">
        <f aca="false">IF(AND(H_Direct=1,CH87&gt;0),MAX(0,XG87-(MIN(CH87*TU87,(XG87+AAT87))-MIN(MIN(CH87*TU87,(XG87+AAT87)),AAT87))),XG87)</f>
        <v>1270</v>
      </c>
      <c r="XI87" s="20" t="n">
        <f aca="false">IF(AND(H_Direct=1,CI87&gt;0),MAX(0,XH87-(MIN(CI87*TV87,(XH87+AAU87))-MIN(MIN(CI87*TV87,(XH87+AAU87)),AAU87))),XH87)</f>
        <v>1270</v>
      </c>
      <c r="XJ87" s="20" t="n">
        <f aca="false">IF(AND(H_Direct=1,CJ87&gt;0),MAX(0,XI87-(MIN(CJ87*TW87,(XI87+AAV87))-MIN(MIN(CJ87*TW87,(XI87+AAV87)),AAV87))),XI87)</f>
        <v>1270</v>
      </c>
      <c r="XK87" s="20" t="n">
        <f aca="false">IF(AND(H_Direct=1,CK87&gt;0),MAX(0,XJ87-(MIN(CK87*TX87,(XJ87+AAW87))-MIN(MIN(CK87*TX87,(XJ87+AAW87)),AAW87))),XJ87)</f>
        <v>1270</v>
      </c>
      <c r="XL87" s="20" t="n">
        <f aca="false">IF(AND(H_Direct=1,CL87&gt;0),MAX(0,XK87-(MIN(CL87*TY87,(XK87+AAX87))-MIN(MIN(CL87*TY87,(XK87+AAX87)),AAX87))),XK87)</f>
        <v>1270</v>
      </c>
      <c r="XM87" s="20" t="n">
        <f aca="false">IF(AND(H_Direct=1,CM87&gt;0),MAX(0,XL87-(MIN(CM87*TZ87,(XL87+AAY87))-MIN(MIN(CM87*TZ87,(XL87+AAY87)),AAY87))),XL87)</f>
        <v>1270</v>
      </c>
      <c r="XN87" s="20" t="n">
        <f aca="false">IF(AND(H_Direct=1,CN87&gt;0),MAX(0,XM87-(MIN(CN87*UA87,(XM87+AAZ87))-MIN(MIN(CN87*UA87,(XM87+AAZ87)),AAZ87))),XM87)</f>
        <v>1270</v>
      </c>
      <c r="XO87" s="20" t="n">
        <f aca="false">IF(AND(H_Direct=1,CO87&gt;0),MAX(0,XN87-(MIN(CO87*UB87,(XN87+ABA87))-MIN(MIN(CO87*UB87,(XN87+ABA87)),ABA87))),XN87)</f>
        <v>1270</v>
      </c>
      <c r="XP87" s="20" t="n">
        <f aca="false">IF(AND(H_Direct=1,CP87&gt;0),MAX(0,XO87-(MIN(CP87*UC87,(XO87+ABB87))-MIN(MIN(CP87*UC87,(XO87+ABB87)),ABB87))),XO87)</f>
        <v>1270</v>
      </c>
      <c r="XQ87" s="20" t="n">
        <f aca="false">IF(AND(H_Direct=1,CQ87&gt;0),MAX(0,XP87-(MIN(CQ87*UD87,(XP87+ABC87))-MIN(MIN(CQ87*UD87,(XP87+ABC87)),ABC87))),XP87)</f>
        <v>1270</v>
      </c>
      <c r="XR87" s="20" t="n">
        <f aca="false">IF(AND(H_Direct=1,CR87&gt;0),MAX(0,XQ87-(MIN(CR87*UE87,(XQ87+ABD87))-MIN(MIN(CR87*UE87,(XQ87+ABD87)),ABD87))),XQ87)</f>
        <v>1270</v>
      </c>
      <c r="XS87" s="20" t="n">
        <f aca="false">IF(AND(H_Direct=1,CS87&gt;0),MAX(0,XR87-(MIN(CS87*UF87,(XR87+ABE87))-MIN(MIN(CS87*UF87,(XR87+ABE87)),ABE87))),XR87)</f>
        <v>1270</v>
      </c>
      <c r="XT87" s="20" t="n">
        <f aca="false">IF(AND(H_Direct=1,CT87&gt;0),MAX(0,XS87-(MIN(CT87*UG87,(XS87+ABF87))-MIN(MIN(CT87*UG87,(XS87+ABF87)),ABF87))),XS87)</f>
        <v>1270</v>
      </c>
      <c r="XU87" s="20" t="n">
        <f aca="false">IF(AND(H_Direct=1,CU87&gt;0),MAX(0,XT87-(MIN(CU87*UH87,(XT87+ABG87))-MIN(MIN(CU87*UH87,(XT87+ABG87)),ABG87))),XT87)</f>
        <v>1270</v>
      </c>
      <c r="XV87" s="20" t="n">
        <f aca="false">IF(AND(H_Direct=1,CV87&gt;0),MAX(0,XU87-(MIN(CV87*UI87,(XU87+ABH87))-MIN(MIN(CV87*UI87,(XU87+ABH87)),ABH87))),XU87)</f>
        <v>1270</v>
      </c>
      <c r="XW87" s="20" t="n">
        <f aca="false">IF(AND(H_Direct=1,CW87&gt;0),MAX(0,XV87-(MIN(CW87*UJ87,(XV87+ABI87))-MIN(MIN(CW87*UJ87,(XV87+ABI87)),ABI87))),XV87)</f>
        <v>1270</v>
      </c>
      <c r="XX87" s="20" t="n">
        <f aca="false">IF(AND(H_Direct=1,CX87&gt;0),MAX(0,XW87-(MIN(CX87*UK87,(XW87+ABJ87))-MIN(MIN(CX87*UK87,(XW87+ABJ87)),ABJ87))),XW87)</f>
        <v>1270</v>
      </c>
      <c r="XY87" s="20" t="n">
        <f aca="false">IF(AND(H_Direct=1,CY87&gt;0),MAX(0,XX87-(MIN(CY87*UL87,(XX87+ABK87))-MIN(MIN(CY87*UL87,(XX87+ABK87)),ABK87))),XX87)</f>
        <v>1270</v>
      </c>
      <c r="XZ87" s="20" t="n">
        <f aca="false">IF(AND(H_Direct=1,CZ87&gt;0),MAX(0,XY87-(MIN(CZ87*UM87,(XY87+ABL87))-MIN(MIN(CZ87*UM87,(XY87+ABL87)),ABL87))),XY87)</f>
        <v>1270</v>
      </c>
      <c r="YA87" s="20" t="n">
        <f aca="false">IF(AND(H_Direct=1,DA87&gt;0),MAX(0,XZ87-(MIN(DA87*UN87,(XZ87+ABM87))-MIN(MIN(DA87*UN87,(XZ87+ABM87)),ABM87))),XZ87)</f>
        <v>1270</v>
      </c>
      <c r="YB87" s="20" t="n">
        <f aca="false">IF(AND(H_Direct=1,DB87&gt;0),MAX(0,YA87-(MIN(DB87*UO87,(YA87+ABN87))-MIN(MIN(DB87*UO87,(YA87+ABN87)),ABN87))),YA87)</f>
        <v>1270</v>
      </c>
      <c r="YC87" s="20" t="n">
        <f aca="false">IF(AND(H_Direct=1,DC87&gt;0),MAX(0,YB87-(MIN(DC87*UP87,(YB87+ABO87))-MIN(MIN(DC87*UP87,(YB87+ABO87)),ABO87))),YB87)</f>
        <v>1270</v>
      </c>
      <c r="YD87" s="20" t="n">
        <f aca="false">IF(AND(H_Direct=1,DD87&gt;0),MAX(0,YC87-(MIN(DD87*UQ87,(YC87+ABP87))-MIN(MIN(DD87*UQ87,(YC87+ABP87)),ABP87))),YC87)</f>
        <v>1270</v>
      </c>
      <c r="YE87" s="20" t="n">
        <f aca="false">IF(AND(H_Direct=1,DE87&gt;0),MAX(0,YD87-(MIN(DE87*UR87,(YD87+ABQ87))-MIN(MIN(DE87*UR87,(YD87+ABQ87)),ABQ87))),YD87)</f>
        <v>1270</v>
      </c>
      <c r="YF87" s="20" t="n">
        <f aca="false">IF(AND(H_Direct=1,DF87&gt;0),MAX(0,YE87-(MIN(DF87*US87,(YE87+ABR87))-MIN(MIN(DF87*US87,(YE87+ABR87)),ABR87))),YE87)</f>
        <v>1270</v>
      </c>
      <c r="YG87" s="20" t="n">
        <f aca="false">IF(AND(H_Direct=1,DG87&gt;0),MAX(0,YF87-(MIN(DG87*UT87,(YF87+ABS87))-MIN(MIN(DG87*UT87,(YF87+ABS87)),ABS87))),YF87)</f>
        <v>1270</v>
      </c>
      <c r="YH87" s="20" t="n">
        <f aca="false">IF(AND(H_Direct=1,DH87&gt;0),MAX(0,YG87-(MIN(DH87*UU87,(YG87+ABT87))-MIN(MIN(DH87*UU87,(YG87+ABT87)),ABT87))),YG87)</f>
        <v>1270</v>
      </c>
      <c r="YI87" s="20" t="n">
        <f aca="false">IF(AND(H_Direct=1,DI87&gt;0),MAX(0,YH87-(MIN(DI87*UV87,(YH87+ABU87))-MIN(MIN(DI87*UV87,(YH87+ABU87)),ABU87))),YH87)</f>
        <v>1270</v>
      </c>
      <c r="YJ87" s="20" t="n">
        <f aca="false">IF(AND(H_Direct=1,DJ87&gt;0),MAX(0,YI87-(MIN(DJ87*UW87,(YI87+ABV87))-MIN(MIN(DJ87*UW87,(YI87+ABV87)),ABV87))),YI87)</f>
        <v>1270</v>
      </c>
      <c r="YK87" s="20" t="n">
        <f aca="false">IF(AND(H_Direct=1,DK87&gt;0),MAX(0,YJ87-(MIN(DK87*UX87,(YJ87+ABW87))-MIN(MIN(DK87*UX87,(YJ87+ABW87)),ABW87))),YJ87)</f>
        <v>1270</v>
      </c>
      <c r="YL87" s="20" t="n">
        <f aca="false">IF(AND(H_Direct=1,DL87&gt;0),MAX(0,YK87-(MIN(DL87*UY87,(YK87+ABX87))-MIN(MIN(DL87*UY87,(YK87+ABX87)),ABX87))),YK87)</f>
        <v>1270</v>
      </c>
      <c r="YM87" s="20" t="n">
        <f aca="false">IF(AND(H_Direct=1,DM87&gt;0),MAX(0,YL87-(MIN(DM87*UZ87,(YL87+ABY87))-MIN(MIN(DM87*UZ87,(YL87+ABY87)),ABY87))),YL87)</f>
        <v>1270</v>
      </c>
      <c r="YN87" s="20" t="n">
        <f aca="false">IF(AND(H_Direct=1,DN87&gt;0),MAX(0,YM87-(MIN(DN87*VA87,(YM87+ABZ87))-MIN(MIN(DN87*VA87,(YM87+ABZ87)),ABZ87))),YM87)</f>
        <v>1270</v>
      </c>
      <c r="YO87" s="20" t="n">
        <f aca="false">IF(AND(H_Direct=1,DO87&gt;0),MAX(0,YN87-(MIN(DO87*VB87,(YN87+ACA87))-MIN(MIN(DO87*VB87,(YN87+ACA87)),ACA87))),YN87)</f>
        <v>1270</v>
      </c>
      <c r="YP87" s="20" t="n">
        <f aca="false">IF(AND(H_Direct=1,DP87&gt;0),MAX(0,YO87-(MIN(DP87*VC87,(YO87+ACB87))-MIN(MIN(DP87*VC87,(YO87+ACB87)),ACB87))),YO87)</f>
        <v>1270</v>
      </c>
      <c r="YQ87" s="20" t="n">
        <f aca="false">IF(AND(H_Direct=1,DQ87&gt;0),MAX(0,YP87-(MIN(DQ87*VD87,(YP87+ACC87))-MIN(MIN(DQ87*VD87,(YP87+ACC87)),ACC87))),YP87)</f>
        <v>1270</v>
      </c>
      <c r="YR87" s="20" t="n">
        <f aca="false">IF(AND(H_Direct=1,DR87&gt;0),MAX(0,YQ87-(MIN(DR87*VE87,(YQ87+ACD87))-MIN(MIN(DR87*VE87,(YQ87+ACD87)),ACD87))),YQ87)</f>
        <v>1270</v>
      </c>
      <c r="YS87" s="20" t="n">
        <f aca="false">IF(AND(H_Direct=1,DS87&gt;0),MAX(0,YR87-(MIN(DS87*VF87,(YR87+ACE87))-MIN(MIN(DS87*VF87,(YR87+ACE87)),ACE87))),YR87)</f>
        <v>1270</v>
      </c>
      <c r="YT87" s="20" t="n">
        <f aca="false">IF(AND(H_Direct=1,DT87&gt;0),MAX(0,YS87-(MIN(DT87*VG87,(YS87+ACF87))-MIN(MIN(DT87*VG87,(YS87+ACF87)),ACF87))),YS87)</f>
        <v>1270</v>
      </c>
      <c r="YU87" s="20" t="n">
        <f aca="false">IF(AND(H_Direct=1,DU87&gt;0),MAX(0,YT87-(MIN(DU87*VH87,(YT87+ACG87))-MIN(MIN(DU87*VH87,(YT87+ACG87)),ACG87))),YT87)</f>
        <v>1270</v>
      </c>
      <c r="YV87" s="20" t="n">
        <f aca="false">IF(AND(H_Direct=1,DV87&gt;0),MAX(0,YU87-(MIN(DV87*VI87,(YU87+ACH87))-MIN(MIN(DV87*VI87,(YU87+ACH87)),ACH87))),YU87)</f>
        <v>1270</v>
      </c>
      <c r="YW87" s="20" t="n">
        <f aca="false">IF(AND(H_Direct=1,DW87&gt;0),MAX(0,YV87-(MIN(DW87*VJ87,(YV87+ACI87))-MIN(MIN(DW87*VJ87,(YV87+ACI87)),ACI87))),YV87)</f>
        <v>1270</v>
      </c>
      <c r="YX87" s="20" t="n">
        <f aca="false">IF(AND(H_Direct=1,DX87&gt;0),MAX(0,YW87-(MIN(DX87*VK87,(YW87+ACJ87))-MIN(MIN(DX87*VK87,(YW87+ACJ87)),ACJ87))),YW87)</f>
        <v>1270</v>
      </c>
      <c r="YY87" s="20" t="n">
        <f aca="false">IF(AND(H_Direct=1,DY87&gt;0),MAX(0,YX87-(MIN(DY87*VL87,(YX87+ACK87))-MIN(MIN(DY87*VL87,(YX87+ACK87)),ACK87))),YX87)</f>
        <v>1270</v>
      </c>
      <c r="YZ87" s="20" t="n">
        <f aca="false">IF(AND(H_Direct=1,DZ87&gt;0),MAX(0,YY87-(MIN(DZ87*VM87,(YY87+ACL87))-MIN(MIN(DZ87*VM87,(YY87+ACL87)),ACL87))),YY87)</f>
        <v>1270</v>
      </c>
      <c r="ZA87" s="20" t="n">
        <f aca="false">IF(AND(H_Direct=1,EA87&gt;0),MAX(0,YZ87-(MIN(EA87*VN87,(YZ87+ACM87))-MIN(MIN(EA87*VN87,(YZ87+ACM87)),ACM87))),YZ87)</f>
        <v>1270</v>
      </c>
      <c r="ZB87" s="20" t="n">
        <f aca="false">IF(AND(H_Direct=1,EB87&gt;0),MAX(0,ZA87-(MIN(EB87*VO87,(ZA87+ACN87))-MIN(MIN(EB87*VO87,(ZA87+ACN87)),ACN87))),ZA87)</f>
        <v>1270</v>
      </c>
      <c r="ZC87" s="20" t="n">
        <f aca="false">IF(AND(H_Direct=1,EC87&gt;0),MAX(0,ZB87-(MIN(EC87*VP87,(ZB87+ACO87))-MIN(MIN(EC87*VP87,(ZB87+ACO87)),ACO87))),ZB87)</f>
        <v>1270</v>
      </c>
      <c r="ZD87" s="20" t="n">
        <f aca="false">IF(AND(H_Direct=1,ED87&gt;0),MAX(0,ZC87-(MIN(ED87*VQ87,(ZC87+ACP87))-MIN(MIN(ED87*VQ87,(ZC87+ACP87)),ACP87))),ZC87)</f>
        <v>1270</v>
      </c>
      <c r="ZE87" s="20" t="n">
        <f aca="false">IF(AND(H_Direct=1,EE87&gt;0),MAX(0,ZD87-(MIN(EE87*VR87,(ZD87+ACQ87))-MIN(MIN(EE87*VR87,(ZD87+ACQ87)),ACQ87))),ZD87)</f>
        <v>1270</v>
      </c>
      <c r="ZF87" s="20" t="n">
        <f aca="false">IF(AND(H_Direct=1,EF87&gt;0),MAX(0,ZE87-(MIN(EF87*VS87,(ZE87+ACR87))-MIN(MIN(EF87*VS87,(ZE87+ACR87)),ACR87))),ZE87)</f>
        <v>1270</v>
      </c>
      <c r="ZG87" s="20" t="n">
        <f aca="false">IF(AND(H_Direct=1,EG87&gt;0),MAX(0,ZF87-(MIN(EG87*VT87,(ZF87+ACS87))-MIN(MIN(EG87*VT87,(ZF87+ACS87)),ACS87))),ZF87)</f>
        <v>1270</v>
      </c>
      <c r="ZH87" s="20" t="n">
        <f aca="false">IF(AND(H_Direct=1,EH87&gt;0),MAX(0,ZG87-(MIN(EH87*VU87,(ZG87+ACT87))-MIN(MIN(EH87*VU87,(ZG87+ACT87)),ACT87))),ZG87)</f>
        <v>1270</v>
      </c>
      <c r="ZI87" s="20" t="n">
        <f aca="false">IF(AND(H_Direct=1,EI87&gt;0),MAX(0,ZH87-(MIN(EI87*VV87,(ZH87+ACU87))-MIN(MIN(EI87*VV87,(ZH87+ACU87)),ACU87))),ZH87)</f>
        <v>1270</v>
      </c>
      <c r="ZJ87" s="20" t="n">
        <f aca="false">IF(AND(H_Direct=1,EJ87&gt;0),MAX(0,ZI87-(MIN(EJ87*VW87,(ZI87+ACV87))-MIN(MIN(EJ87*VW87,(ZI87+ACV87)),ACV87))),ZI87)</f>
        <v>1270</v>
      </c>
      <c r="ZK87" s="20" t="n">
        <f aca="false">IF(AND(H_Direct=1,EK87&gt;0),MAX(0,ZJ87-(MIN(EK87*VX87,(ZJ87+ACW87))-MIN(MIN(EK87*VX87,(ZJ87+ACW87)),ACW87))),ZJ87)</f>
        <v>1270</v>
      </c>
      <c r="ZL87" s="20" t="n">
        <f aca="false">IF(AND(H_Direct=1,EL87&gt;0),MAX(0,ZK87-(MIN(EL87*VY87,(ZK87+ACX87))-MIN(MIN(EL87*VY87,(ZK87+ACX87)),ACX87))),ZK87)</f>
        <v>1270</v>
      </c>
      <c r="ZM87" s="20" t="n">
        <f aca="false">IF(AND(H_Direct=1,EM87&gt;0),MAX(0,ZL87-(MIN(EM87*VZ87,(ZL87+ACY87))-MIN(MIN(EM87*VZ87,(ZL87+ACY87)),ACY87))),ZL87)</f>
        <v>1270</v>
      </c>
      <c r="ZN87" s="20" t="n">
        <f aca="false">IF(AND(H_Direct=1,EN87&gt;0),MAX(0,ZM87-(MIN(EN87*WA87,(ZM87+ACZ87))-MIN(MIN(EN87*WA87,(ZM87+ACZ87)),ACZ87))),ZM87)</f>
        <v>1270</v>
      </c>
      <c r="ZO87" s="20" t="n">
        <f aca="false">IF(AND(H_Direct=1,EO87&gt;0),MAX(0,ZN87-(MIN(EO87*WB87,(ZN87+ADA87))-MIN(MIN(EO87*WB87,(ZN87+ADA87)),ADA87))),ZN87)</f>
        <v>1270</v>
      </c>
      <c r="ZP87" s="20" t="n">
        <f aca="false">IF(AND(H_Direct=1,EP87&gt;0),MAX(0,ZO87-(MIN(EP87*WC87,(ZO87+ADB87))-MIN(MIN(EP87*WC87,(ZO87+ADB87)),ADB87))),ZO87)</f>
        <v>1270</v>
      </c>
      <c r="ZQ87" s="20" t="n">
        <f aca="false">IF(AND(H_Direct=1,EQ87&gt;0),MAX(0,ZP87-(MIN(EQ87*WD87,(ZP87+ADC87))-MIN(MIN(EQ87*WD87,(ZP87+ADC87)),ADC87))),ZP87)</f>
        <v>1270</v>
      </c>
      <c r="ZR87" s="20" t="n">
        <f aca="false">IF(AND(H_Direct=1,ER87&gt;0),MAX(0,ZQ87-(MIN(ER87*WE87,(ZQ87+ADD87))-MIN(MIN(ER87*WE87,(ZQ87+ADD87)),ADD87))),ZQ87)</f>
        <v>1270</v>
      </c>
      <c r="ZS87" s="20" t="n">
        <f aca="false">IF(AND(H_Direct=1,ES87&gt;0),MAX(0,ZR87-(MIN(ES87*WF87,(ZR87+ADE87))-MIN(MIN(ES87*WF87,(ZR87+ADE87)),ADE87))),ZR87)</f>
        <v>1270</v>
      </c>
      <c r="ZT87" s="20" t="n">
        <f aca="false">IF(AND(H_Direct=1,ET87&gt;0),MAX(0,ZS87-(MIN(ET87*WG87,(ZS87+ADF87))-MIN(MIN(ET87*WG87,(ZS87+ADF87)),ADF87))),ZS87)</f>
        <v>1270</v>
      </c>
      <c r="ZU87" s="20" t="n">
        <f aca="false">ZT87</f>
        <v>1270</v>
      </c>
      <c r="ZV87" s="20" t="n">
        <f aca="false">ZU87</f>
        <v>1270</v>
      </c>
      <c r="ZW87" s="20" t="n">
        <f aca="false">ZV87</f>
        <v>1270</v>
      </c>
      <c r="ZX87" s="20" t="n">
        <f aca="false">ZW87</f>
        <v>1270</v>
      </c>
      <c r="ZY87" s="20" t="n">
        <f aca="false">ZX87</f>
        <v>1270</v>
      </c>
      <c r="ZZ87" s="20" t="n">
        <f aca="false">ZY87</f>
        <v>1270</v>
      </c>
      <c r="AAA87" s="20" t="n">
        <f aca="false">ZZ87</f>
        <v>1270</v>
      </c>
      <c r="AAB87" s="20" t="n">
        <f aca="false">AAA87</f>
        <v>1270</v>
      </c>
      <c r="AAC87" s="20" t="n">
        <f aca="false">AAB87</f>
        <v>1270</v>
      </c>
      <c r="AAD87" s="20" t="n">
        <f aca="false">AAC87</f>
        <v>1270</v>
      </c>
      <c r="AAE87" s="20" t="n">
        <f aca="false">IF(H_Direct=1,IF(BR87&lt;=0,I87-BR87*TE87,I87-MIN(MIN(BR87*TE87,(H87+I87)),I87)),I87)</f>
        <v>0</v>
      </c>
      <c r="AAF87" s="20" t="n">
        <f aca="false">IF(H_Direct=1,IF(BS87&lt;=0,AAE87-BS87*TF87,AAE87-MIN(MIN(BS87*TF87,(WR87+AAE87)),AAE87)),AAE87)</f>
        <v>0</v>
      </c>
      <c r="AAG87" s="20" t="n">
        <f aca="false">IF(H_Direct=1,IF(BT87&lt;=0,AAF87-BT87*TG87,AAF87-MIN(MIN(BT87*TG87,(WS87+AAF87)),AAF87)),AAF87)</f>
        <v>0</v>
      </c>
      <c r="AAH87" s="20" t="n">
        <f aca="false">IF(H_Direct=1,IF(BU87&lt;=0,AAG87-BU87*TH87,AAG87-MIN(MIN(BU87*TH87,(WT87+AAG87)),AAG87)),AAG87)</f>
        <v>0</v>
      </c>
      <c r="AAI87" s="20" t="n">
        <f aca="false">IF(H_Direct=1,IF(BV87&lt;=0,AAH87-BV87*TI87,AAH87-MIN(MIN(BV87*TI87,(WU87+AAH87)),AAH87)),AAH87)</f>
        <v>0</v>
      </c>
      <c r="AAJ87" s="20" t="n">
        <f aca="false">IF(H_Direct=1,IF(BW87&lt;=0,AAI87-BW87*TJ87,AAI87-MIN(MIN(BW87*TJ87,(WV87+AAI87)),AAI87)),AAI87)</f>
        <v>0</v>
      </c>
      <c r="AAK87" s="20" t="n">
        <f aca="false">IF(H_Direct=1,IF(BX87&lt;=0,AAJ87-BX87*TK87,AAJ87-MIN(MIN(BX87*TK87,(WW87+AAJ87)),AAJ87)),AAJ87)</f>
        <v>0</v>
      </c>
      <c r="AAL87" s="20" t="n">
        <f aca="false">IF(H_Direct=1,IF(BY87&lt;=0,AAK87-BY87*TL87,AAK87-MIN(MIN(BY87*TL87,(WX87+AAK87)),AAK87)),AAK87)</f>
        <v>0</v>
      </c>
      <c r="AAM87" s="20" t="n">
        <f aca="false">IF(H_Direct=1,IF(BZ87&lt;=0,AAL87-BZ87*TM87,AAL87-MIN(MIN(BZ87*TM87,(WY87+AAL87)),AAL87)),AAL87)</f>
        <v>0</v>
      </c>
      <c r="AAN87" s="20" t="n">
        <f aca="false">IF(H_Direct=1,IF(CA87&lt;=0,AAM87-CA87*TN87,AAM87-MIN(MIN(CA87*TN87,(WZ87+AAM87)),AAM87)),AAM87)</f>
        <v>0</v>
      </c>
      <c r="AAO87" s="20" t="n">
        <f aca="false">IF(H_Direct=1,IF(CB87&lt;=0,AAN87-CB87*TO87,AAN87-MIN(MIN(CB87*TO87,(XA87+AAN87)),AAN87)),AAN87)</f>
        <v>0</v>
      </c>
      <c r="AAP87" s="20" t="n">
        <f aca="false">IF(H_Direct=1,IF(CC87&lt;=0,AAO87-CC87*TP87,AAO87-MIN(MIN(CC87*TP87,(XB87+AAO87)),AAO87)),AAO87)</f>
        <v>0</v>
      </c>
      <c r="AAQ87" s="20" t="n">
        <f aca="false">IF(H_Direct=1,IF(CD87&lt;=0,AAP87-CD87*TQ87,AAP87-MIN(MIN(CD87*TQ87,(XC87+AAP87)),AAP87)),AAP87)</f>
        <v>0</v>
      </c>
      <c r="AAR87" s="20" t="n">
        <f aca="false">IF(H_Direct=1,IF(CE87&lt;=0,AAQ87-CE87*TR87,AAQ87-MIN(MIN(CE87*TR87,(XD87+AAQ87)),AAQ87)),AAQ87)</f>
        <v>0</v>
      </c>
      <c r="AAS87" s="20" t="n">
        <f aca="false">IF(H_Direct=1,IF(CF87&lt;=0,AAR87-CF87*TS87,AAR87-MIN(MIN(CF87*TS87,(XE87+AAR87)),AAR87)),AAR87)</f>
        <v>0</v>
      </c>
      <c r="AAT87" s="20" t="n">
        <f aca="false">IF(H_Direct=1,IF(CG87&lt;=0,AAS87-CG87*TT87,AAS87-MIN(MIN(CG87*TT87,(XF87+AAS87)),AAS87)),AAS87)</f>
        <v>0</v>
      </c>
      <c r="AAU87" s="20" t="n">
        <f aca="false">IF(H_Direct=1,IF(CH87&lt;=0,AAT87-CH87*TU87,AAT87-MIN(MIN(CH87*TU87,(XG87+AAT87)),AAT87)),AAT87)</f>
        <v>0</v>
      </c>
      <c r="AAV87" s="20" t="n">
        <f aca="false">IF(H_Direct=1,IF(CI87&lt;=0,AAU87-CI87*TV87,AAU87-MIN(MIN(CI87*TV87,(XH87+AAU87)),AAU87)),AAU87)</f>
        <v>0</v>
      </c>
      <c r="AAW87" s="20" t="n">
        <f aca="false">IF(H_Direct=1,IF(CJ87&lt;=0,AAV87-CJ87*TW87,AAV87-MIN(MIN(CJ87*TW87,(XI87+AAV87)),AAV87)),AAV87)</f>
        <v>0</v>
      </c>
      <c r="AAX87" s="20" t="n">
        <f aca="false">IF(H_Direct=1,IF(CK87&lt;=0,AAW87-CK87*TX87,AAW87-MIN(MIN(CK87*TX87,(XJ87+AAW87)),AAW87)),AAW87)</f>
        <v>0</v>
      </c>
      <c r="AAY87" s="20" t="n">
        <f aca="false">IF(H_Direct=1,IF(CL87&lt;=0,AAX87-CL87*TY87,AAX87-MIN(MIN(CL87*TY87,(XK87+AAX87)),AAX87)),AAX87)</f>
        <v>0</v>
      </c>
      <c r="AAZ87" s="20" t="n">
        <f aca="false">IF(H_Direct=1,IF(CM87&lt;=0,AAY87-CM87*TZ87,AAY87-MIN(MIN(CM87*TZ87,(XL87+AAY87)),AAY87)),AAY87)</f>
        <v>0</v>
      </c>
      <c r="ABA87" s="20" t="n">
        <f aca="false">IF(H_Direct=1,IF(CN87&lt;=0,AAZ87-CN87*UA87,AAZ87-MIN(MIN(CN87*UA87,(XM87+AAZ87)),AAZ87)),AAZ87)</f>
        <v>0</v>
      </c>
      <c r="ABB87" s="20" t="n">
        <f aca="false">IF(H_Direct=1,IF(CO87&lt;=0,ABA87-CO87*UB87,ABA87-MIN(MIN(CO87*UB87,(XN87+ABA87)),ABA87)),ABA87)</f>
        <v>0</v>
      </c>
      <c r="ABC87" s="20" t="n">
        <f aca="false">IF(H_Direct=1,IF(CP87&lt;=0,ABB87-CP87*UC87,ABB87-MIN(MIN(CP87*UC87,(XO87+ABB87)),ABB87)),ABB87)</f>
        <v>0</v>
      </c>
      <c r="ABD87" s="20" t="n">
        <f aca="false">IF(H_Direct=1,IF(CQ87&lt;=0,ABC87-CQ87*UD87,ABC87-MIN(MIN(CQ87*UD87,(XP87+ABC87)),ABC87)),ABC87)</f>
        <v>0</v>
      </c>
      <c r="ABE87" s="20" t="n">
        <f aca="false">IF(H_Direct=1,IF(CR87&lt;=0,ABD87-CR87*UE87,ABD87-MIN(MIN(CR87*UE87,(XQ87+ABD87)),ABD87)),ABD87)</f>
        <v>0</v>
      </c>
      <c r="ABF87" s="20" t="n">
        <f aca="false">IF(H_Direct=1,IF(CS87&lt;=0,ABE87-CS87*UF87,ABE87-MIN(MIN(CS87*UF87,(XR87+ABE87)),ABE87)),ABE87)</f>
        <v>0</v>
      </c>
      <c r="ABG87" s="20" t="n">
        <f aca="false">IF(H_Direct=1,IF(CT87&lt;=0,ABF87-CT87*UG87,ABF87-MIN(MIN(CT87*UG87,(XS87+ABF87)),ABF87)),ABF87)</f>
        <v>0</v>
      </c>
      <c r="ABH87" s="20" t="n">
        <f aca="false">IF(H_Direct=1,IF(CU87&lt;=0,ABG87-CU87*UH87,ABG87-MIN(MIN(CU87*UH87,(XT87+ABG87)),ABG87)),ABG87)</f>
        <v>0</v>
      </c>
      <c r="ABI87" s="20" t="n">
        <f aca="false">IF(H_Direct=1,IF(CV87&lt;=0,ABH87-CV87*UI87,ABH87-MIN(MIN(CV87*UI87,(XU87+ABH87)),ABH87)),ABH87)</f>
        <v>0</v>
      </c>
      <c r="ABJ87" s="20" t="n">
        <f aca="false">IF(H_Direct=1,IF(CW87&lt;=0,ABI87-CW87*UJ87,ABI87-MIN(MIN(CW87*UJ87,(XV87+ABI87)),ABI87)),ABI87)</f>
        <v>0</v>
      </c>
      <c r="ABK87" s="20" t="n">
        <f aca="false">IF(H_Direct=1,IF(CX87&lt;=0,ABJ87-CX87*UK87,ABJ87-MIN(MIN(CX87*UK87,(XW87+ABJ87)),ABJ87)),ABJ87)</f>
        <v>0</v>
      </c>
      <c r="ABL87" s="20" t="n">
        <f aca="false">IF(H_Direct=1,IF(CY87&lt;=0,ABK87-CY87*UL87,ABK87-MIN(MIN(CY87*UL87,(XX87+ABK87)),ABK87)),ABK87)</f>
        <v>0</v>
      </c>
      <c r="ABM87" s="20" t="n">
        <f aca="false">IF(H_Direct=1,IF(CZ87&lt;=0,ABL87-CZ87*UM87,ABL87-MIN(MIN(CZ87*UM87,(XY87+ABL87)),ABL87)),ABL87)</f>
        <v>0</v>
      </c>
      <c r="ABN87" s="20" t="n">
        <f aca="false">IF(H_Direct=1,IF(DA87&lt;=0,ABM87-DA87*UN87,ABM87-MIN(MIN(DA87*UN87,(XZ87+ABM87)),ABM87)),ABM87)</f>
        <v>0</v>
      </c>
      <c r="ABO87" s="20" t="n">
        <f aca="false">IF(H_Direct=1,IF(DB87&lt;=0,ABN87-DB87*UO87,ABN87-MIN(MIN(DB87*UO87,(YA87+ABN87)),ABN87)),ABN87)</f>
        <v>0</v>
      </c>
      <c r="ABP87" s="20" t="n">
        <f aca="false">IF(H_Direct=1,IF(DC87&lt;=0,ABO87-DC87*UP87,ABO87-MIN(MIN(DC87*UP87,(YB87+ABO87)),ABO87)),ABO87)</f>
        <v>0</v>
      </c>
      <c r="ABQ87" s="20" t="n">
        <f aca="false">IF(H_Direct=1,IF(DD87&lt;=0,ABP87-DD87*UQ87,ABP87-MIN(MIN(DD87*UQ87,(YC87+ABP87)),ABP87)),ABP87)</f>
        <v>0</v>
      </c>
      <c r="ABR87" s="20" t="n">
        <f aca="false">IF(H_Direct=1,IF(DE87&lt;=0,ABQ87-DE87*UR87,ABQ87-MIN(MIN(DE87*UR87,(YD87+ABQ87)),ABQ87)),ABQ87)</f>
        <v>0</v>
      </c>
      <c r="ABS87" s="20" t="n">
        <f aca="false">IF(H_Direct=1,IF(DF87&lt;=0,ABR87-DF87*US87,ABR87-MIN(MIN(DF87*US87,(YE87+ABR87)),ABR87)),ABR87)</f>
        <v>0</v>
      </c>
      <c r="ABT87" s="20" t="n">
        <f aca="false">IF(H_Direct=1,IF(DG87&lt;=0,ABS87-DG87*UT87,ABS87-MIN(MIN(DG87*UT87,(YF87+ABS87)),ABS87)),ABS87)</f>
        <v>0</v>
      </c>
      <c r="ABU87" s="20" t="n">
        <f aca="false">IF(H_Direct=1,IF(DH87&lt;=0,ABT87-DH87*UU87,ABT87-MIN(MIN(DH87*UU87,(YG87+ABT87)),ABT87)),ABT87)</f>
        <v>0</v>
      </c>
      <c r="ABV87" s="20" t="n">
        <f aca="false">IF(H_Direct=1,IF(DI87&lt;=0,ABU87-DI87*UV87,ABU87-MIN(MIN(DI87*UV87,(YH87+ABU87)),ABU87)),ABU87)</f>
        <v>0</v>
      </c>
      <c r="ABW87" s="20" t="n">
        <f aca="false">IF(H_Direct=1,IF(DJ87&lt;=0,ABV87-DJ87*UW87,ABV87-MIN(MIN(DJ87*UW87,(YI87+ABV87)),ABV87)),ABV87)</f>
        <v>0</v>
      </c>
      <c r="ABX87" s="20" t="n">
        <f aca="false">IF(H_Direct=1,IF(DK87&lt;=0,ABW87-DK87*UX87,ABW87-MIN(MIN(DK87*UX87,(YJ87+ABW87)),ABW87)),ABW87)</f>
        <v>0</v>
      </c>
      <c r="ABY87" s="20" t="n">
        <f aca="false">IF(H_Direct=1,IF(DL87&lt;=0,ABX87-DL87*UY87,ABX87-MIN(MIN(DL87*UY87,(YK87+ABX87)),ABX87)),ABX87)</f>
        <v>0</v>
      </c>
      <c r="ABZ87" s="20" t="n">
        <f aca="false">IF(H_Direct=1,IF(DM87&lt;=0,ABY87-DM87*UZ87,ABY87-MIN(MIN(DM87*UZ87,(YL87+ABY87)),ABY87)),ABY87)</f>
        <v>0</v>
      </c>
      <c r="ACA87" s="20" t="n">
        <f aca="false">IF(H_Direct=1,IF(DN87&lt;=0,ABZ87-DN87*VA87,ABZ87-MIN(MIN(DN87*VA87,(YM87+ABZ87)),ABZ87)),ABZ87)</f>
        <v>0</v>
      </c>
      <c r="ACB87" s="20" t="n">
        <f aca="false">IF(H_Direct=1,IF(DO87&lt;=0,ACA87-DO87*VB87,ACA87-MIN(MIN(DO87*VB87,(YN87+ACA87)),ACA87)),ACA87)</f>
        <v>0</v>
      </c>
      <c r="ACC87" s="20" t="n">
        <f aca="false">IF(H_Direct=1,IF(DP87&lt;=0,ACB87-DP87*VC87,ACB87-MIN(MIN(DP87*VC87,(YO87+ACB87)),ACB87)),ACB87)</f>
        <v>0</v>
      </c>
      <c r="ACD87" s="20" t="n">
        <f aca="false">IF(H_Direct=1,IF(DQ87&lt;=0,ACC87-DQ87*VD87,ACC87-MIN(MIN(DQ87*VD87,(YP87+ACC87)),ACC87)),ACC87)</f>
        <v>0</v>
      </c>
      <c r="ACE87" s="20" t="n">
        <f aca="false">IF(H_Direct=1,IF(DR87&lt;=0,ACD87-DR87*VE87,ACD87-MIN(MIN(DR87*VE87,(YQ87+ACD87)),ACD87)),ACD87)</f>
        <v>0</v>
      </c>
      <c r="ACF87" s="20" t="n">
        <f aca="false">IF(H_Direct=1,IF(DS87&lt;=0,ACE87-DS87*VF87,ACE87-MIN(MIN(DS87*VF87,(YR87+ACE87)),ACE87)),ACE87)</f>
        <v>0</v>
      </c>
      <c r="ACG87" s="20" t="n">
        <f aca="false">IF(H_Direct=1,IF(DT87&lt;=0,ACF87-DT87*VG87,ACF87-MIN(MIN(DT87*VG87,(YS87+ACF87)),ACF87)),ACF87)</f>
        <v>0</v>
      </c>
      <c r="ACH87" s="20" t="n">
        <f aca="false">IF(H_Direct=1,IF(DU87&lt;=0,ACG87-DU87*VH87,ACG87-MIN(MIN(DU87*VH87,(YT87+ACG87)),ACG87)),ACG87)</f>
        <v>0</v>
      </c>
      <c r="ACI87" s="20" t="n">
        <f aca="false">IF(H_Direct=1,IF(DV87&lt;=0,ACH87-DV87*VI87,ACH87-MIN(MIN(DV87*VI87,(YU87+ACH87)),ACH87)),ACH87)</f>
        <v>0</v>
      </c>
      <c r="ACJ87" s="20" t="n">
        <f aca="false">IF(H_Direct=1,IF(DW87&lt;=0,ACI87-DW87*VJ87,ACI87-MIN(MIN(DW87*VJ87,(YV87+ACI87)),ACI87)),ACI87)</f>
        <v>0</v>
      </c>
      <c r="ACK87" s="20" t="n">
        <f aca="false">IF(H_Direct=1,IF(DX87&lt;=0,ACJ87-DX87*VK87,ACJ87-MIN(MIN(DX87*VK87,(YW87+ACJ87)),ACJ87)),ACJ87)</f>
        <v>0</v>
      </c>
      <c r="ACL87" s="20" t="n">
        <f aca="false">IF(H_Direct=1,IF(DY87&lt;=0,ACK87-DY87*VL87,ACK87-MIN(MIN(DY87*VL87,(YX87+ACK87)),ACK87)),ACK87)</f>
        <v>0</v>
      </c>
      <c r="ACM87" s="20" t="n">
        <f aca="false">IF(H_Direct=1,IF(DZ87&lt;=0,ACL87-DZ87*VM87,ACL87-MIN(MIN(DZ87*VM87,(YY87+ACL87)),ACL87)),ACL87)</f>
        <v>0</v>
      </c>
      <c r="ACN87" s="20" t="n">
        <f aca="false">IF(H_Direct=1,IF(EA87&lt;=0,ACM87-EA87*VN87,ACM87-MIN(MIN(EA87*VN87,(YZ87+ACM87)),ACM87)),ACM87)</f>
        <v>0</v>
      </c>
      <c r="ACO87" s="20" t="n">
        <f aca="false">IF(H_Direct=1,IF(EB87&lt;=0,ACN87-EB87*VO87,ACN87-MIN(MIN(EB87*VO87,(ZA87+ACN87)),ACN87)),ACN87)</f>
        <v>0</v>
      </c>
      <c r="ACP87" s="20" t="n">
        <f aca="false">IF(H_Direct=1,IF(EC87&lt;=0,ACO87-EC87*VP87,ACO87-MIN(MIN(EC87*VP87,(ZB87+ACO87)),ACO87)),ACO87)</f>
        <v>0</v>
      </c>
      <c r="ACQ87" s="20" t="n">
        <f aca="false">IF(H_Direct=1,IF(ED87&lt;=0,ACP87-ED87*VQ87,ACP87-MIN(MIN(ED87*VQ87,(ZC87+ACP87)),ACP87)),ACP87)</f>
        <v>0</v>
      </c>
      <c r="ACR87" s="20" t="n">
        <f aca="false">IF(H_Direct=1,IF(EE87&lt;=0,ACQ87-EE87*VR87,ACQ87-MIN(MIN(EE87*VR87,(ZD87+ACQ87)),ACQ87)),ACQ87)</f>
        <v>0</v>
      </c>
      <c r="ACS87" s="20" t="n">
        <f aca="false">IF(H_Direct=1,IF(EF87&lt;=0,ACR87-EF87*VS87,ACR87-MIN(MIN(EF87*VS87,(ZE87+ACR87)),ACR87)),ACR87)</f>
        <v>0</v>
      </c>
      <c r="ACT87" s="20" t="n">
        <f aca="false">IF(H_Direct=1,IF(EG87&lt;=0,ACS87-EG87*VT87,ACS87-MIN(MIN(EG87*VT87,(ZF87+ACS87)),ACS87)),ACS87)</f>
        <v>0</v>
      </c>
      <c r="ACU87" s="20" t="n">
        <f aca="false">IF(H_Direct=1,IF(EH87&lt;=0,ACT87-EH87*VU87,ACT87-MIN(MIN(EH87*VU87,(ZG87+ACT87)),ACT87)),ACT87)</f>
        <v>0</v>
      </c>
      <c r="ACV87" s="20" t="n">
        <f aca="false">IF(H_Direct=1,IF(EI87&lt;=0,ACU87-EI87*VV87,ACU87-MIN(MIN(EI87*VV87,(ZH87+ACU87)),ACU87)),ACU87)</f>
        <v>0</v>
      </c>
      <c r="ACW87" s="20" t="n">
        <f aca="false">IF(H_Direct=1,IF(EJ87&lt;=0,ACV87-EJ87*VW87,ACV87-MIN(MIN(EJ87*VW87,(ZI87+ACV87)),ACV87)),ACV87)</f>
        <v>0</v>
      </c>
      <c r="ACX87" s="20" t="n">
        <f aca="false">IF(H_Direct=1,IF(EK87&lt;=0,ACW87-EK87*VX87,ACW87-MIN(MIN(EK87*VX87,(ZJ87+ACW87)),ACW87)),ACW87)</f>
        <v>0</v>
      </c>
      <c r="ACY87" s="20" t="n">
        <f aca="false">IF(H_Direct=1,IF(EL87&lt;=0,ACX87-EL87*VY87,ACX87-MIN(MIN(EL87*VY87,(ZK87+ACX87)),ACX87)),ACX87)</f>
        <v>0</v>
      </c>
      <c r="ACZ87" s="20" t="n">
        <f aca="false">IF(H_Direct=1,IF(EM87&lt;=0,ACY87-EM87*VZ87,ACY87-MIN(MIN(EM87*VZ87,(ZL87+ACY87)),ACY87)),ACY87)</f>
        <v>0</v>
      </c>
      <c r="ADA87" s="20" t="n">
        <f aca="false">IF(H_Direct=1,IF(EN87&lt;=0,ACZ87-EN87*WA87,ACZ87-MIN(MIN(EN87*WA87,(ZM87+ACZ87)),ACZ87)),ACZ87)</f>
        <v>0</v>
      </c>
      <c r="ADB87" s="20" t="n">
        <f aca="false">IF(H_Direct=1,IF(EO87&lt;=0,ADA87-EO87*WB87,ADA87-MIN(MIN(EO87*WB87,(ZN87+ADA87)),ADA87)),ADA87)</f>
        <v>0</v>
      </c>
      <c r="ADC87" s="20" t="n">
        <f aca="false">IF(H_Direct=1,IF(EP87&lt;=0,ADB87-EP87*WC87,ADB87-MIN(MIN(EP87*WC87,(ZO87+ADB87)),ADB87)),ADB87)</f>
        <v>0</v>
      </c>
      <c r="ADD87" s="20" t="n">
        <f aca="false">IF(H_Direct=1,IF(EQ87&lt;=0,ADC87-EQ87*WD87,ADC87-MIN(MIN(EQ87*WD87,(ZP87+ADC87)),ADC87)),ADC87)</f>
        <v>0</v>
      </c>
      <c r="ADE87" s="20" t="n">
        <f aca="false">IF(H_Direct=1,IF(ER87&lt;=0,ADD87-ER87*WE87,ADD87-MIN(MIN(ER87*WE87,(ZQ87+ADD87)),ADD87)),ADD87)</f>
        <v>0</v>
      </c>
      <c r="ADF87" s="20" t="n">
        <f aca="false">IF(H_Direct=1,IF(ES87&lt;=0,ADE87-ES87*WF87,ADE87-MIN(MIN(ES87*WF87,(ZR87+ADE87)),ADE87)),ADE87)</f>
        <v>0</v>
      </c>
      <c r="ADG87" s="20" t="n">
        <f aca="false">IF(H_Direct=1,IF(ET87&lt;=0,ADF87-ET87*WG87,ADF87-MIN(MIN(ET87*WG87,(ZS87+ADF87)),ADF87)),ADF87)</f>
        <v>0</v>
      </c>
      <c r="ADH87" s="20" t="n">
        <f aca="false">ADG87</f>
        <v>0</v>
      </c>
      <c r="ADI87" s="20" t="n">
        <f aca="false">ADH87</f>
        <v>0</v>
      </c>
      <c r="ADJ87" s="20" t="n">
        <f aca="false">ADI87</f>
        <v>0</v>
      </c>
      <c r="ADK87" s="20" t="n">
        <f aca="false">ADJ87</f>
        <v>0</v>
      </c>
      <c r="ADL87" s="20" t="n">
        <f aca="false">ADK87</f>
        <v>0</v>
      </c>
      <c r="ADM87" s="20" t="n">
        <f aca="false">ADL87</f>
        <v>0</v>
      </c>
      <c r="ADN87" s="20" t="n">
        <f aca="false">ADM87</f>
        <v>0</v>
      </c>
      <c r="ADO87" s="20" t="n">
        <f aca="false">ADN87</f>
        <v>0</v>
      </c>
      <c r="ADP87" s="20" t="n">
        <f aca="false">ADO87</f>
        <v>0</v>
      </c>
      <c r="ADQ87" s="20" t="n">
        <f aca="false">ADP87</f>
        <v>0</v>
      </c>
      <c r="ADR87" s="20" t="n">
        <f aca="false">(AKR86-TE87+0)*(1+BQ87)</f>
        <v>0</v>
      </c>
      <c r="ADS87" s="20" t="n">
        <f aca="false">(AKS86-TF87+0)*(1+BQ87)</f>
        <v>0</v>
      </c>
      <c r="ADT87" s="20" t="n">
        <f aca="false">(AKT86-TG87+0)*(1+BQ87)</f>
        <v>0</v>
      </c>
      <c r="ADU87" s="20" t="n">
        <f aca="false">(AKU86-TH87+0)*(1+BQ87)</f>
        <v>0</v>
      </c>
      <c r="ADV87" s="20" t="n">
        <f aca="false">(AKV86-TI87+0)*(1+BQ87)</f>
        <v>0</v>
      </c>
      <c r="ADW87" s="20" t="n">
        <f aca="false">(AKW86-TJ87+0)*(1+BQ87)</f>
        <v>0</v>
      </c>
      <c r="ADX87" s="20" t="n">
        <f aca="false">(AKX86-TK87+0)*(1+BQ87)</f>
        <v>0</v>
      </c>
      <c r="ADY87" s="20" t="n">
        <f aca="false">(AKY86-TL87+0)*(1+BQ87)</f>
        <v>0</v>
      </c>
      <c r="ADZ87" s="20" t="n">
        <f aca="false">(AKZ86-TM87+0)*(1+BQ87)</f>
        <v>0</v>
      </c>
      <c r="AEA87" s="20" t="n">
        <f aca="false">(ALA86-TN87+0)*(1+BQ87)</f>
        <v>0</v>
      </c>
      <c r="AEB87" s="20" t="n">
        <f aca="false">(ALB86-TO87+0)*(1+BQ87)</f>
        <v>0</v>
      </c>
      <c r="AEC87" s="20" t="n">
        <f aca="false">(ALC86-TP87+0)*(1+BQ87)</f>
        <v>0</v>
      </c>
      <c r="AED87" s="20" t="n">
        <f aca="false">(ALD86-TQ87+0)*(1+BQ87)</f>
        <v>0</v>
      </c>
      <c r="AEE87" s="20" t="n">
        <f aca="false">(ALE86-TR87+0)*(1+BQ87)</f>
        <v>0</v>
      </c>
      <c r="AEF87" s="20" t="n">
        <f aca="false">(ALF86-TS87+0)*(1+BQ87)</f>
        <v>0</v>
      </c>
      <c r="AEG87" s="20" t="n">
        <f aca="false">(ALG86-TT87+0)*(1+BQ87)</f>
        <v>0</v>
      </c>
      <c r="AEH87" s="20" t="n">
        <f aca="false">(ALH86-TU87+0)*(1+BQ87)</f>
        <v>0</v>
      </c>
      <c r="AEI87" s="20" t="n">
        <f aca="false">(ALI86-TV87+0)*(1+BQ87)</f>
        <v>0</v>
      </c>
      <c r="AEJ87" s="20" t="n">
        <f aca="false">(ALJ86-TW87+0)*(1+BQ87)</f>
        <v>0</v>
      </c>
      <c r="AEK87" s="20" t="n">
        <f aca="false">(ALK86-TX87+0)*(1+BQ87)</f>
        <v>0</v>
      </c>
      <c r="AEL87" s="20" t="n">
        <f aca="false">(ALL86-TY87+0)*(1+BQ87)</f>
        <v>0</v>
      </c>
      <c r="AEM87" s="20" t="n">
        <f aca="false">(ALM86-TZ87+0)*(1+BQ87)</f>
        <v>0</v>
      </c>
      <c r="AEN87" s="20" t="n">
        <f aca="false">(ALN86-UA87+0)*(1+BQ87)</f>
        <v>0</v>
      </c>
      <c r="AEO87" s="20" t="n">
        <f aca="false">(ALO86-UB87+0)*(1+BQ87)</f>
        <v>0</v>
      </c>
      <c r="AEP87" s="20" t="n">
        <f aca="false">(ALP86-UC87+0)*(1+BQ87)</f>
        <v>0</v>
      </c>
      <c r="AEQ87" s="20" t="n">
        <f aca="false">(ALQ86-UD87+0)*(1+BQ87)</f>
        <v>0</v>
      </c>
      <c r="AER87" s="20" t="n">
        <f aca="false">(ALR86-UE87+0)*(1+BQ87)</f>
        <v>0</v>
      </c>
      <c r="AES87" s="20" t="n">
        <f aca="false">(ALS86-UF87+0)*(1+BQ87)</f>
        <v>0</v>
      </c>
      <c r="AET87" s="20" t="n">
        <f aca="false">(ALT86-UG87+0)*(1+BQ87)</f>
        <v>0</v>
      </c>
      <c r="AEU87" s="20" t="n">
        <f aca="false">(ALU86-UH87+0)*(1+BQ87)</f>
        <v>0</v>
      </c>
      <c r="AEV87" s="20" t="n">
        <f aca="false">(ALV86-UI87+0)*(1+BQ87)</f>
        <v>0</v>
      </c>
      <c r="AEW87" s="20" t="n">
        <f aca="false">(ALW86-UJ87+0)*(1+BQ87)</f>
        <v>0</v>
      </c>
      <c r="AEX87" s="20" t="n">
        <f aca="false">(ALX86-UK87+0)*(1+BQ87)</f>
        <v>0</v>
      </c>
      <c r="AEY87" s="20" t="n">
        <f aca="false">(ALY86-UL87+0)*(1+BQ87)</f>
        <v>0</v>
      </c>
      <c r="AEZ87" s="20" t="n">
        <f aca="false">(ALZ86-UM87+0)*(1+BQ87)</f>
        <v>0</v>
      </c>
      <c r="AFA87" s="20" t="n">
        <f aca="false">(AMA86-UN87+0)*(1+BQ87)</f>
        <v>0</v>
      </c>
      <c r="AFB87" s="20" t="n">
        <f aca="false">(AMB86-UO87+0)*(1+BQ87)</f>
        <v>0</v>
      </c>
      <c r="AFC87" s="20" t="n">
        <f aca="false">(AMC86-UP87+0)*(1+BQ87)</f>
        <v>0</v>
      </c>
      <c r="AFD87" s="20" t="n">
        <f aca="false">(AMD86-UQ87+0)*(1+BQ87)</f>
        <v>0</v>
      </c>
      <c r="AFE87" s="20" t="n">
        <f aca="false">(AME86-UR87+0)*(1+BQ87)</f>
        <v>0</v>
      </c>
      <c r="AFF87" s="20" t="n">
        <f aca="false">(AMF86-US87+0)*(1+BQ87)</f>
        <v>0</v>
      </c>
      <c r="AFG87" s="20" t="n">
        <f aca="false">(AMG86-UT87+0)*(1+BQ87)</f>
        <v>0</v>
      </c>
      <c r="AFH87" s="20" t="n">
        <f aca="false">(AMH86-UU87+0)*(1+BQ87)</f>
        <v>0</v>
      </c>
      <c r="AFI87" s="20" t="n">
        <f aca="false">(AMI86-UV87+0)*(1+BQ87)</f>
        <v>0</v>
      </c>
      <c r="AFJ87" s="20" t="n">
        <f aca="false">(AMJ86-UW87+0)*(1+BQ87)</f>
        <v>0</v>
      </c>
      <c r="AFK87" s="20" t="n">
        <f aca="false">(AMK86-UX87+0)*(1+BQ87)</f>
        <v>0</v>
      </c>
      <c r="AFL87" s="20" t="n">
        <f aca="false">(AML86-UY87+0)*(1+BQ87)</f>
        <v>0</v>
      </c>
      <c r="AFM87" s="20" t="n">
        <f aca="false">(AMM86-UZ87+0)*(1+BQ87)</f>
        <v>0</v>
      </c>
      <c r="AFN87" s="20" t="n">
        <f aca="false">(AMN86-VA87+0)*(1+BQ87)</f>
        <v>0</v>
      </c>
      <c r="AFO87" s="20" t="n">
        <f aca="false">(AMO86-VB87+0)*(1+BQ87)</f>
        <v>0</v>
      </c>
      <c r="AFP87" s="20" t="n">
        <f aca="false">(AMP86-VC87+0)*(1+BQ87)</f>
        <v>0</v>
      </c>
      <c r="AFQ87" s="20" t="n">
        <f aca="false">(AMQ86-VD87+0)*(1+BQ87)</f>
        <v>0</v>
      </c>
      <c r="AFR87" s="20" t="n">
        <f aca="false">(AMR86-VE87+0)*(1+BQ87)</f>
        <v>0</v>
      </c>
      <c r="AFS87" s="20" t="n">
        <f aca="false">(AMS86-VF87+0)*(1+BQ87)</f>
        <v>0</v>
      </c>
      <c r="AFT87" s="20" t="n">
        <f aca="false">(AMT86-VG87+0)*(1+BQ87)</f>
        <v>0</v>
      </c>
      <c r="AFU87" s="20" t="n">
        <f aca="false">(AMU86-VH87+0)*(1+BQ87)</f>
        <v>0</v>
      </c>
      <c r="AFV87" s="20" t="n">
        <f aca="false">(AMV86-VI87+0)*(1+BQ87)</f>
        <v>0</v>
      </c>
      <c r="AFW87" s="20" t="n">
        <f aca="false">(AMW86-VJ87+0)*(1+BQ87)</f>
        <v>0</v>
      </c>
      <c r="AFX87" s="20" t="n">
        <f aca="false">(AMX86-VK87+0)*(1+BQ87)</f>
        <v>0</v>
      </c>
      <c r="AFY87" s="20" t="n">
        <f aca="false">(AMY86-VL87+0)*(1+BQ87)</f>
        <v>0</v>
      </c>
      <c r="AFZ87" s="20" t="n">
        <f aca="false">(AMZ86-VM87+0)*(1+BQ87)</f>
        <v>0</v>
      </c>
      <c r="AGA87" s="20" t="n">
        <f aca="false">(ANA86-VN87+0)*(1+BQ87)</f>
        <v>0</v>
      </c>
      <c r="AGB87" s="20" t="n">
        <f aca="false">(ANB86-VO87+0)*(1+BQ87)</f>
        <v>0</v>
      </c>
      <c r="AGC87" s="20" t="n">
        <f aca="false">(ANC86-VP87+0)*(1+BQ87)</f>
        <v>0</v>
      </c>
      <c r="AGD87" s="20" t="n">
        <f aca="false">(AND86-VQ87+0)*(1+BQ87)</f>
        <v>0</v>
      </c>
      <c r="AGE87" s="20" t="n">
        <f aca="false">(ANE86-VR87+0)*(1+BQ87)</f>
        <v>0</v>
      </c>
      <c r="AGF87" s="20" t="n">
        <f aca="false">(ANF86-VS87+0)*(1+BQ87)</f>
        <v>0</v>
      </c>
      <c r="AGG87" s="20" t="n">
        <f aca="false">(ANG86-VT87+0)*(1+BQ87)</f>
        <v>0</v>
      </c>
      <c r="AGH87" s="20" t="n">
        <f aca="false">(ANH86-VU87+0)*(1+BQ87)</f>
        <v>0</v>
      </c>
      <c r="AGI87" s="20" t="n">
        <f aca="false">(ANI86-VV87+0)*(1+BQ87)</f>
        <v>0</v>
      </c>
      <c r="AGJ87" s="20" t="n">
        <f aca="false">(ANJ86-VW87+0)*(1+BQ87)</f>
        <v>0</v>
      </c>
      <c r="AGK87" s="20" t="n">
        <f aca="false">(ANK86-VX87+0)*(1+BQ87)</f>
        <v>0</v>
      </c>
      <c r="AGL87" s="20" t="n">
        <f aca="false">(ANL86-VY87+0)*(1+BQ87)</f>
        <v>0</v>
      </c>
      <c r="AGM87" s="20" t="n">
        <f aca="false">(ANM86-VZ87+0)*(1+BQ87)</f>
        <v>0</v>
      </c>
      <c r="AGN87" s="20" t="n">
        <f aca="false">(ANN86-WA87+0)*(1+BQ87)</f>
        <v>0</v>
      </c>
      <c r="AGO87" s="20" t="n">
        <f aca="false">(ANO86-WB87+0)*(1+BQ87)</f>
        <v>0</v>
      </c>
      <c r="AGP87" s="20" t="n">
        <f aca="false">(ANP86-WC87+0)*(1+BQ87)</f>
        <v>0</v>
      </c>
      <c r="AGQ87" s="20" t="n">
        <f aca="false">(ANQ86-WD87+0)*(1+BQ87)</f>
        <v>0</v>
      </c>
      <c r="AGR87" s="20" t="n">
        <f aca="false">(ANR86-WE87+0)*(1+BQ87)</f>
        <v>0</v>
      </c>
      <c r="AGS87" s="20" t="n">
        <f aca="false">(ANS86-WF87+0)*(1+BQ87)</f>
        <v>0</v>
      </c>
      <c r="AGT87" s="20" t="n">
        <f aca="false">((P87+S87)-WG87+BE87)*(1+BQ87)</f>
        <v>0</v>
      </c>
      <c r="AGU87" s="20" t="n">
        <v>0</v>
      </c>
      <c r="AGV87" s="20" t="n">
        <v>0</v>
      </c>
      <c r="AGW87" s="20" t="n">
        <v>0</v>
      </c>
      <c r="AGX87" s="20" t="n">
        <v>0</v>
      </c>
      <c r="AGY87" s="20" t="n">
        <v>0</v>
      </c>
      <c r="AGZ87" s="20" t="n">
        <v>0</v>
      </c>
      <c r="AHA87" s="20" t="n">
        <v>0</v>
      </c>
      <c r="AHB87" s="20" t="n">
        <v>0</v>
      </c>
      <c r="AHC87" s="20" t="n">
        <v>0</v>
      </c>
      <c r="AHD87" s="20" t="n">
        <v>0</v>
      </c>
      <c r="AHE87" s="20" t="n">
        <f aca="false">IF(AKR86&gt;0,AOE86-AOE86*TE87/AKR86,0)+0</f>
        <v>0</v>
      </c>
      <c r="AHF87" s="20" t="n">
        <f aca="false">IF(AKS86&gt;0,AOF86-AOF86*TF87/AKS86,0)+0</f>
        <v>0</v>
      </c>
      <c r="AHG87" s="20" t="n">
        <f aca="false">IF(AKT86&gt;0,AOG86-AOG86*TG87/AKT86,0)+0</f>
        <v>0</v>
      </c>
      <c r="AHH87" s="20" t="n">
        <f aca="false">IF(AKU86&gt;0,AOH86-AOH86*TH87/AKU86,0)+0</f>
        <v>0</v>
      </c>
      <c r="AHI87" s="20" t="n">
        <f aca="false">IF(AKV86&gt;0,AOI86-AOI86*TI87/AKV86,0)+0</f>
        <v>0</v>
      </c>
      <c r="AHJ87" s="20" t="n">
        <f aca="false">IF(AKW86&gt;0,AOJ86-AOJ86*TJ87/AKW86,0)+0</f>
        <v>0</v>
      </c>
      <c r="AHK87" s="20" t="n">
        <f aca="false">IF(AKX86&gt;0,AOK86-AOK86*TK87/AKX86,0)+0</f>
        <v>0</v>
      </c>
      <c r="AHL87" s="20" t="n">
        <f aca="false">IF(AKY86&gt;0,AOL86-AOL86*TL87/AKY86,0)+0</f>
        <v>0</v>
      </c>
      <c r="AHM87" s="20" t="n">
        <f aca="false">IF(AKZ86&gt;0,AOM86-AOM86*TM87/AKZ86,0)+0</f>
        <v>0</v>
      </c>
      <c r="AHN87" s="20" t="n">
        <f aca="false">IF(ALA86&gt;0,AON86-AON86*TN87/ALA86,0)+0</f>
        <v>0</v>
      </c>
      <c r="AHO87" s="20" t="n">
        <f aca="false">IF(ALB86&gt;0,AOO86-AOO86*TO87/ALB86,0)+0</f>
        <v>0</v>
      </c>
      <c r="AHP87" s="20" t="n">
        <f aca="false">IF(ALC86&gt;0,AOP86-AOP86*TP87/ALC86,0)+0</f>
        <v>0</v>
      </c>
      <c r="AHQ87" s="20" t="n">
        <f aca="false">IF(ALD86&gt;0,AOQ86-AOQ86*TQ87/ALD86,0)+0</f>
        <v>0</v>
      </c>
      <c r="AHR87" s="20" t="n">
        <f aca="false">IF(ALE86&gt;0,AOR86-AOR86*TR87/ALE86,0)+0</f>
        <v>0</v>
      </c>
      <c r="AHS87" s="20" t="n">
        <f aca="false">IF(ALF86&gt;0,AOS86-AOS86*TS87/ALF86,0)+0</f>
        <v>0</v>
      </c>
      <c r="AHT87" s="20" t="n">
        <f aca="false">IF(ALG86&gt;0,AOT86-AOT86*TT87/ALG86,0)+0</f>
        <v>0</v>
      </c>
      <c r="AHU87" s="20" t="n">
        <f aca="false">IF(ALH86&gt;0,AOU86-AOU86*TU87/ALH86,0)+0</f>
        <v>0</v>
      </c>
      <c r="AHV87" s="20" t="n">
        <f aca="false">IF(ALI86&gt;0,AOV86-AOV86*TV87/ALI86,0)+0</f>
        <v>0</v>
      </c>
      <c r="AHW87" s="20" t="n">
        <f aca="false">IF(ALJ86&gt;0,AOW86-AOW86*TW87/ALJ86,0)+0</f>
        <v>0</v>
      </c>
      <c r="AHX87" s="20" t="n">
        <f aca="false">IF(ALK86&gt;0,AOX86-AOX86*TX87/ALK86,0)+0</f>
        <v>0</v>
      </c>
      <c r="AHY87" s="20" t="n">
        <f aca="false">IF(ALL86&gt;0,AOY86-AOY86*TY87/ALL86,0)+0</f>
        <v>0</v>
      </c>
      <c r="AHZ87" s="20" t="n">
        <f aca="false">IF(ALM86&gt;0,AOZ86-AOZ86*TZ87/ALM86,0)+0</f>
        <v>0</v>
      </c>
      <c r="AIA87" s="20" t="n">
        <f aca="false">IF(ALN86&gt;0,APA86-APA86*UA87/ALN86,0)+0</f>
        <v>0</v>
      </c>
      <c r="AIB87" s="20" t="n">
        <f aca="false">IF(ALO86&gt;0,APB86-APB86*UB87/ALO86,0)+0</f>
        <v>0</v>
      </c>
      <c r="AIC87" s="20" t="n">
        <f aca="false">IF(ALP86&gt;0,APC86-APC86*UC87/ALP86,0)+0</f>
        <v>0</v>
      </c>
      <c r="AID87" s="20" t="n">
        <f aca="false">IF(ALQ86&gt;0,APD86-APD86*UD87/ALQ86,0)+0</f>
        <v>0</v>
      </c>
      <c r="AIE87" s="20" t="n">
        <f aca="false">IF(ALR86&gt;0,APE86-APE86*UE87/ALR86,0)+0</f>
        <v>0</v>
      </c>
      <c r="AIF87" s="20" t="n">
        <f aca="false">IF(ALS86&gt;0,APF86-APF86*UF87/ALS86,0)+0</f>
        <v>0</v>
      </c>
      <c r="AIG87" s="20" t="n">
        <f aca="false">IF(ALT86&gt;0,APG86-APG86*UG87/ALT86,0)+0</f>
        <v>0</v>
      </c>
      <c r="AIH87" s="20" t="n">
        <f aca="false">IF(ALU86&gt;0,APH86-APH86*UH87/ALU86,0)+0</f>
        <v>0</v>
      </c>
      <c r="AII87" s="20" t="n">
        <f aca="false">IF(ALV86&gt;0,API86-API86*UI87/ALV86,0)+0</f>
        <v>0</v>
      </c>
      <c r="AIJ87" s="20" t="n">
        <f aca="false">IF(ALW86&gt;0,APJ86-APJ86*UJ87/ALW86,0)+0</f>
        <v>0</v>
      </c>
      <c r="AIK87" s="20" t="n">
        <f aca="false">IF(ALX86&gt;0,APK86-APK86*UK87/ALX86,0)+0</f>
        <v>0</v>
      </c>
      <c r="AIL87" s="20" t="n">
        <f aca="false">IF(ALY86&gt;0,APL86-APL86*UL87/ALY86,0)+0</f>
        <v>0</v>
      </c>
      <c r="AIM87" s="20" t="n">
        <f aca="false">IF(ALZ86&gt;0,APM86-APM86*UM87/ALZ86,0)+0</f>
        <v>0</v>
      </c>
      <c r="AIN87" s="20" t="n">
        <f aca="false">IF(AMA86&gt;0,APN86-APN86*UN87/AMA86,0)+0</f>
        <v>0</v>
      </c>
      <c r="AIO87" s="20" t="n">
        <f aca="false">IF(AMB86&gt;0,APO86-APO86*UO87/AMB86,0)+0</f>
        <v>0</v>
      </c>
      <c r="AIP87" s="20" t="n">
        <f aca="false">IF(AMC86&gt;0,APP86-APP86*UP87/AMC86,0)+0</f>
        <v>0</v>
      </c>
      <c r="AIQ87" s="20" t="n">
        <f aca="false">IF(AMD86&gt;0,APQ86-APQ86*UQ87/AMD86,0)+0</f>
        <v>0</v>
      </c>
      <c r="AIR87" s="20" t="n">
        <f aca="false">IF(AME86&gt;0,APR86-APR86*UR87/AME86,0)+0</f>
        <v>0</v>
      </c>
      <c r="AIS87" s="20" t="n">
        <f aca="false">IF(AMF86&gt;0,APS86-APS86*US87/AMF86,0)+0</f>
        <v>0</v>
      </c>
      <c r="AIT87" s="20" t="n">
        <f aca="false">IF(AMG86&gt;0,APT86-APT86*UT87/AMG86,0)+0</f>
        <v>0</v>
      </c>
      <c r="AIU87" s="20" t="n">
        <f aca="false">IF(AMH86&gt;0,APU86-APU86*UU87/AMH86,0)+0</f>
        <v>0</v>
      </c>
      <c r="AIV87" s="20" t="n">
        <f aca="false">IF(AMI86&gt;0,APV86-APV86*UV87/AMI86,0)+0</f>
        <v>0</v>
      </c>
      <c r="AIW87" s="20" t="n">
        <f aca="false">IF(AMJ86&gt;0,APW86-APW86*UW87/AMJ86,0)+0</f>
        <v>0</v>
      </c>
      <c r="AIX87" s="20" t="n">
        <f aca="false">IF(AMK86&gt;0,APX86-APX86*UX87/AMK86,0)+0</f>
        <v>0</v>
      </c>
      <c r="AIY87" s="20" t="n">
        <f aca="false">IF(AML86&gt;0,APY86-APY86*UY87/AML86,0)+0</f>
        <v>0</v>
      </c>
      <c r="AIZ87" s="20" t="n">
        <f aca="false">IF(AMM86&gt;0,APZ86-APZ86*UZ87/AMM86,0)+0</f>
        <v>0</v>
      </c>
      <c r="AJA87" s="20" t="n">
        <f aca="false">IF(AMN86&gt;0,AQA86-AQA86*VA87/AMN86,0)+0</f>
        <v>0</v>
      </c>
      <c r="AJB87" s="20" t="n">
        <f aca="false">IF(AMO86&gt;0,AQB86-AQB86*VB87/AMO86,0)+0</f>
        <v>0</v>
      </c>
      <c r="AJC87" s="20" t="n">
        <f aca="false">IF(AMP86&gt;0,AQC86-AQC86*VC87/AMP86,0)+0</f>
        <v>0</v>
      </c>
      <c r="AJD87" s="20" t="n">
        <f aca="false">IF(AMQ86&gt;0,AQD86-AQD86*VD87/AMQ86,0)+0</f>
        <v>0</v>
      </c>
      <c r="AJE87" s="20" t="n">
        <f aca="false">IF(AMR86&gt;0,AQE86-AQE86*VE87/AMR86,0)+0</f>
        <v>0</v>
      </c>
      <c r="AJF87" s="20" t="n">
        <f aca="false">IF(AMS86&gt;0,AQF86-AQF86*VF87/AMS86,0)+0</f>
        <v>0</v>
      </c>
      <c r="AJG87" s="20" t="n">
        <f aca="false">IF(AMT86&gt;0,AQG86-AQG86*VG87/AMT86,0)+0</f>
        <v>0</v>
      </c>
      <c r="AJH87" s="20" t="n">
        <f aca="false">IF(AMU86&gt;0,AQH86-AQH86*VH87/AMU86,0)+0</f>
        <v>0</v>
      </c>
      <c r="AJI87" s="20" t="n">
        <f aca="false">IF(AMV86&gt;0,AQI86-AQI86*VI87/AMV86,0)+0</f>
        <v>0</v>
      </c>
      <c r="AJJ87" s="20" t="n">
        <f aca="false">IF(AMW86&gt;0,AQJ86-AQJ86*VJ87/AMW86,0)+0</f>
        <v>0</v>
      </c>
      <c r="AJK87" s="20" t="n">
        <f aca="false">IF(AMX86&gt;0,AQK86-AQK86*VK87/AMX86,0)+0</f>
        <v>0</v>
      </c>
      <c r="AJL87" s="20" t="n">
        <f aca="false">IF(AMY86&gt;0,AQL86-AQL86*VL87/AMY86,0)+0</f>
        <v>0</v>
      </c>
      <c r="AJM87" s="20" t="n">
        <f aca="false">IF(AMZ86&gt;0,AQM86-AQM86*VM87/AMZ86,0)+0</f>
        <v>0</v>
      </c>
      <c r="AJN87" s="20" t="n">
        <f aca="false">IF(ANA86&gt;0,AQN86-AQN86*VN87/ANA86,0)+0</f>
        <v>0</v>
      </c>
      <c r="AJO87" s="20" t="n">
        <f aca="false">IF(ANB86&gt;0,AQO86-AQO86*VO87/ANB86,0)+0</f>
        <v>0</v>
      </c>
      <c r="AJP87" s="20" t="n">
        <f aca="false">IF(ANC86&gt;0,AQP86-AQP86*VP87/ANC86,0)+0</f>
        <v>0</v>
      </c>
      <c r="AJQ87" s="20" t="n">
        <f aca="false">IF(AND86&gt;0,AQQ86-AQQ86*VQ87/AND86,0)+0</f>
        <v>0</v>
      </c>
      <c r="AJR87" s="20" t="n">
        <f aca="false">IF(ANE86&gt;0,AQR86-AQR86*VR87/ANE86,0)+0</f>
        <v>0</v>
      </c>
      <c r="AJS87" s="20" t="n">
        <f aca="false">IF(ANF86&gt;0,AQS86-AQS86*VS87/ANF86,0)+0</f>
        <v>0</v>
      </c>
      <c r="AJT87" s="20" t="n">
        <f aca="false">IF(ANG86&gt;0,AQT86-AQT86*VT87/ANG86,0)+0</f>
        <v>0</v>
      </c>
      <c r="AJU87" s="20" t="n">
        <f aca="false">IF(ANH86&gt;0,AQU86-AQU86*VU87/ANH86,0)+0</f>
        <v>0</v>
      </c>
      <c r="AJV87" s="20" t="n">
        <f aca="false">IF(ANI86&gt;0,AQV86-AQV86*VV87/ANI86,0)+0</f>
        <v>0</v>
      </c>
      <c r="AJW87" s="20" t="n">
        <f aca="false">IF(ANJ86&gt;0,AQW86-AQW86*VW87/ANJ86,0)+0</f>
        <v>0</v>
      </c>
      <c r="AJX87" s="20" t="n">
        <f aca="false">IF(ANK86&gt;0,AQX86-AQX86*VX87/ANK86,0)+0</f>
        <v>0</v>
      </c>
      <c r="AJY87" s="20" t="n">
        <f aca="false">IF(ANL86&gt;0,AQY86-AQY86*VY87/ANL86,0)+0</f>
        <v>0</v>
      </c>
      <c r="AJZ87" s="20" t="n">
        <f aca="false">IF(ANM86&gt;0,AQZ86-AQZ86*VZ87/ANM86,0)+0</f>
        <v>0</v>
      </c>
      <c r="AKA87" s="20" t="n">
        <f aca="false">IF(ANN86&gt;0,ARA86-ARA86*WA87/ANN86,0)+0</f>
        <v>0</v>
      </c>
      <c r="AKB87" s="20" t="n">
        <f aca="false">IF(ANO86&gt;0,ARB86-ARB86*WB87/ANO86,0)+0</f>
        <v>0</v>
      </c>
      <c r="AKC87" s="20" t="n">
        <f aca="false">IF(ANP86&gt;0,ARC86-ARC86*WC87/ANP86,0)+0</f>
        <v>0</v>
      </c>
      <c r="AKD87" s="20" t="n">
        <f aca="false">IF(ANQ86&gt;0,ARD86-ARD86*WD87/ANQ86,0)+0</f>
        <v>0</v>
      </c>
      <c r="AKE87" s="20" t="n">
        <f aca="false">IF(ANR86&gt;0,ARE86-ARE86*WE87/ANR86,0)+0</f>
        <v>0</v>
      </c>
      <c r="AKF87" s="20" t="n">
        <f aca="false">IF(ANS86&gt;0,ARF86-ARF86*WF87/ANS86,0)+0</f>
        <v>0</v>
      </c>
      <c r="AKG87" s="20" t="n">
        <f aca="false">IF((P87+S87)&gt;0,(P87+S87)-(P87+S87)*WG87/(P87+S87),0)+BE87</f>
        <v>0</v>
      </c>
      <c r="AKH87" s="20" t="n">
        <v>0</v>
      </c>
      <c r="AKI87" s="20" t="n">
        <v>0</v>
      </c>
      <c r="AKJ87" s="20" t="n">
        <v>0</v>
      </c>
      <c r="AKK87" s="20" t="n">
        <v>0</v>
      </c>
      <c r="AKL87" s="20" t="n">
        <v>0</v>
      </c>
      <c r="AKM87" s="20" t="n">
        <v>0</v>
      </c>
      <c r="AKN87" s="20" t="n">
        <v>0</v>
      </c>
      <c r="AKO87" s="20" t="n">
        <v>0</v>
      </c>
      <c r="AKP87" s="20" t="n">
        <v>0</v>
      </c>
      <c r="AKQ87" s="20" t="n">
        <v>0</v>
      </c>
      <c r="AKR87" s="20" t="n">
        <f aca="false">ADR87-AVE87</f>
        <v>0</v>
      </c>
      <c r="AKS87" s="20" t="n">
        <f aca="false">ADS87-AVF87</f>
        <v>0</v>
      </c>
      <c r="AKT87" s="20" t="n">
        <f aca="false">ADT87-AVG87</f>
        <v>0</v>
      </c>
      <c r="AKU87" s="20" t="n">
        <f aca="false">ADU87-AVH87</f>
        <v>0</v>
      </c>
      <c r="AKV87" s="20" t="n">
        <f aca="false">ADV87-AVI87</f>
        <v>0</v>
      </c>
      <c r="AKW87" s="20" t="n">
        <f aca="false">ADW87-AVJ87</f>
        <v>0</v>
      </c>
      <c r="AKX87" s="20" t="n">
        <f aca="false">ADX87-AVK87</f>
        <v>0</v>
      </c>
      <c r="AKY87" s="20" t="n">
        <f aca="false">ADY87-AVL87</f>
        <v>0</v>
      </c>
      <c r="AKZ87" s="20" t="n">
        <f aca="false">ADZ87-AVM87</f>
        <v>0</v>
      </c>
      <c r="ALA87" s="20" t="n">
        <f aca="false">AEA87-AVN87</f>
        <v>0</v>
      </c>
      <c r="ALB87" s="20" t="n">
        <f aca="false">AEB87-AVO87</f>
        <v>0</v>
      </c>
      <c r="ALC87" s="20" t="n">
        <f aca="false">AEC87-AVP87</f>
        <v>0</v>
      </c>
      <c r="ALD87" s="20" t="n">
        <f aca="false">AED87-AVQ87</f>
        <v>0</v>
      </c>
      <c r="ALE87" s="20" t="n">
        <f aca="false">AEE87-AVR87</f>
        <v>0</v>
      </c>
      <c r="ALF87" s="20" t="n">
        <f aca="false">AEF87-AVS87</f>
        <v>0</v>
      </c>
      <c r="ALG87" s="20" t="n">
        <f aca="false">AEG87-AVT87</f>
        <v>0</v>
      </c>
      <c r="ALH87" s="20" t="n">
        <f aca="false">AEH87-AVU87</f>
        <v>0</v>
      </c>
      <c r="ALI87" s="20" t="n">
        <f aca="false">AEI87-AVV87</f>
        <v>0</v>
      </c>
      <c r="ALJ87" s="20" t="n">
        <f aca="false">AEJ87-AVW87</f>
        <v>0</v>
      </c>
      <c r="ALK87" s="20" t="n">
        <f aca="false">AEK87-AVX87</f>
        <v>0</v>
      </c>
      <c r="ALL87" s="20" t="n">
        <f aca="false">AEL87-AVY87</f>
        <v>0</v>
      </c>
      <c r="ALM87" s="20" t="n">
        <f aca="false">AEM87-AVZ87</f>
        <v>0</v>
      </c>
      <c r="ALN87" s="20" t="n">
        <f aca="false">AEN87-AWA87</f>
        <v>0</v>
      </c>
      <c r="ALO87" s="20" t="n">
        <f aca="false">AEO87-AWB87</f>
        <v>0</v>
      </c>
      <c r="ALP87" s="20" t="n">
        <f aca="false">AEP87-AWC87</f>
        <v>0</v>
      </c>
      <c r="ALQ87" s="20" t="n">
        <f aca="false">AEQ87-AWD87</f>
        <v>0</v>
      </c>
      <c r="ALR87" s="20" t="n">
        <f aca="false">AER87-AWE87</f>
        <v>0</v>
      </c>
      <c r="ALS87" s="20" t="n">
        <f aca="false">AES87-AWF87</f>
        <v>0</v>
      </c>
      <c r="ALT87" s="20" t="n">
        <f aca="false">AET87-AWG87</f>
        <v>0</v>
      </c>
      <c r="ALU87" s="20" t="n">
        <f aca="false">AEU87-AWH87</f>
        <v>0</v>
      </c>
      <c r="ALV87" s="20" t="n">
        <f aca="false">AEV87-AWI87</f>
        <v>0</v>
      </c>
      <c r="ALW87" s="20" t="n">
        <f aca="false">AEW87-AWJ87</f>
        <v>0</v>
      </c>
      <c r="ALX87" s="20" t="n">
        <f aca="false">AEX87-AWK87</f>
        <v>0</v>
      </c>
      <c r="ALY87" s="20" t="n">
        <f aca="false">AEY87-AWL87</f>
        <v>0</v>
      </c>
      <c r="ALZ87" s="20" t="n">
        <f aca="false">AEZ87-AWM87</f>
        <v>0</v>
      </c>
      <c r="AMA87" s="20" t="n">
        <f aca="false">AFA87-AWN87</f>
        <v>0</v>
      </c>
      <c r="AMB87" s="20" t="n">
        <f aca="false">AFB87-AWO87</f>
        <v>0</v>
      </c>
      <c r="AMC87" s="20" t="n">
        <f aca="false">AFC87-AWP87</f>
        <v>0</v>
      </c>
      <c r="AMD87" s="20" t="n">
        <f aca="false">AFD87-AWQ87</f>
        <v>0</v>
      </c>
      <c r="AME87" s="20" t="n">
        <f aca="false">AFE87-AWR87</f>
        <v>0</v>
      </c>
      <c r="AMF87" s="20" t="n">
        <f aca="false">AFF87-AWS87</f>
        <v>0</v>
      </c>
      <c r="AMG87" s="20" t="n">
        <f aca="false">AFG87-AWT87</f>
        <v>0</v>
      </c>
      <c r="AMH87" s="20" t="n">
        <f aca="false">AFH87-AWU87</f>
        <v>0</v>
      </c>
      <c r="AMI87" s="20" t="n">
        <f aca="false">AFI87-AWV87</f>
        <v>0</v>
      </c>
      <c r="AMJ87" s="20" t="n">
        <f aca="false">AFJ87-AWW87</f>
        <v>0</v>
      </c>
      <c r="AMK87" s="20" t="n">
        <f aca="false">AFK87-AWX87</f>
        <v>0</v>
      </c>
      <c r="AML87" s="20" t="n">
        <f aca="false">AFL87-AWY87</f>
        <v>0</v>
      </c>
      <c r="AMM87" s="20" t="n">
        <f aca="false">AFM87-AWZ87</f>
        <v>0</v>
      </c>
      <c r="AMN87" s="20" t="n">
        <f aca="false">AFN87-AXA87</f>
        <v>0</v>
      </c>
      <c r="AMO87" s="20" t="n">
        <f aca="false">AFO87-AXB87</f>
        <v>0</v>
      </c>
      <c r="AMP87" s="20" t="n">
        <f aca="false">AFP87-AXC87</f>
        <v>0</v>
      </c>
      <c r="AMQ87" s="20" t="n">
        <f aca="false">AFQ87-AXD87</f>
        <v>0</v>
      </c>
      <c r="AMR87" s="20" t="n">
        <f aca="false">AFR87-AXE87</f>
        <v>0</v>
      </c>
      <c r="AMS87" s="20" t="n">
        <f aca="false">AFS87-AXF87</f>
        <v>0</v>
      </c>
      <c r="AMT87" s="20" t="n">
        <f aca="false">AFT87-AXG87</f>
        <v>0</v>
      </c>
      <c r="AMU87" s="20" t="n">
        <f aca="false">AFU87-AXH87</f>
        <v>0</v>
      </c>
      <c r="AMV87" s="20" t="n">
        <f aca="false">AFV87-AXI87</f>
        <v>0</v>
      </c>
      <c r="AMW87" s="20" t="n">
        <f aca="false">AFW87-AXJ87</f>
        <v>0</v>
      </c>
      <c r="AMX87" s="20" t="n">
        <f aca="false">AFX87-AXK87</f>
        <v>0</v>
      </c>
      <c r="AMY87" s="20" t="n">
        <f aca="false">AFY87-AXL87</f>
        <v>0</v>
      </c>
      <c r="AMZ87" s="20" t="n">
        <f aca="false">AFZ87-AXM87</f>
        <v>0</v>
      </c>
      <c r="ANA87" s="20" t="n">
        <f aca="false">AGA87-AXN87</f>
        <v>0</v>
      </c>
      <c r="ANB87" s="20" t="n">
        <f aca="false">AGB87-AXO87</f>
        <v>0</v>
      </c>
      <c r="ANC87" s="20" t="n">
        <f aca="false">AGC87-AXP87</f>
        <v>0</v>
      </c>
      <c r="AND87" s="20" t="n">
        <f aca="false">AGD87-AXQ87</f>
        <v>0</v>
      </c>
      <c r="ANE87" s="20" t="n">
        <f aca="false">AGE87-AXR87</f>
        <v>0</v>
      </c>
      <c r="ANF87" s="20" t="n">
        <f aca="false">AGF87-AXS87</f>
        <v>0</v>
      </c>
      <c r="ANG87" s="20" t="n">
        <f aca="false">AGG87-AXT87</f>
        <v>0</v>
      </c>
      <c r="ANH87" s="20" t="n">
        <f aca="false">AGH87-AXU87</f>
        <v>0</v>
      </c>
      <c r="ANI87" s="20" t="n">
        <f aca="false">AGI87-AXV87</f>
        <v>0</v>
      </c>
      <c r="ANJ87" s="20" t="n">
        <f aca="false">AGJ87-AXW87</f>
        <v>0</v>
      </c>
      <c r="ANK87" s="20" t="n">
        <f aca="false">AGK87-AXX87</f>
        <v>0</v>
      </c>
      <c r="ANL87" s="20" t="n">
        <f aca="false">AGL87-AXY87</f>
        <v>0</v>
      </c>
      <c r="ANM87" s="20" t="n">
        <f aca="false">AGM87-AXZ87</f>
        <v>0</v>
      </c>
      <c r="ANN87" s="20" t="n">
        <f aca="false">AGN87-AYA87</f>
        <v>0</v>
      </c>
      <c r="ANO87" s="20" t="n">
        <f aca="false">AGO87-AYB87</f>
        <v>0</v>
      </c>
      <c r="ANP87" s="20" t="n">
        <f aca="false">AGP87-AYC87</f>
        <v>0</v>
      </c>
      <c r="ANQ87" s="20" t="n">
        <f aca="false">AGQ87-AYD87</f>
        <v>0</v>
      </c>
      <c r="ANR87" s="20" t="n">
        <f aca="false">AGR87-AYE87</f>
        <v>0</v>
      </c>
      <c r="ANS87" s="20" t="n">
        <f aca="false">AGS87-AYF87</f>
        <v>0</v>
      </c>
      <c r="ANT87" s="20" t="n">
        <f aca="false">AGT87-AYG87</f>
        <v>0</v>
      </c>
      <c r="ANU87" s="20" t="n">
        <v>0</v>
      </c>
      <c r="ANV87" s="20" t="n">
        <v>0</v>
      </c>
      <c r="ANW87" s="20" t="n">
        <v>0</v>
      </c>
      <c r="ANX87" s="20" t="n">
        <v>0</v>
      </c>
      <c r="ANY87" s="20" t="n">
        <v>0</v>
      </c>
      <c r="ANZ87" s="20" t="n">
        <v>0</v>
      </c>
      <c r="AOA87" s="20" t="n">
        <v>0</v>
      </c>
      <c r="AOB87" s="20" t="n">
        <v>0</v>
      </c>
      <c r="AOC87" s="20" t="n">
        <v>0</v>
      </c>
      <c r="AOD87" s="20" t="n">
        <v>0</v>
      </c>
      <c r="AOE87" s="20" t="n">
        <f aca="false">IF(AND(H_Direct=0,H_TaxEvt=1,ARR86+1&gt;=H_Deemed),AKR87,AHE87)</f>
        <v>0</v>
      </c>
      <c r="AOF87" s="20" t="n">
        <f aca="false">IF(AND(H_Direct=0,H_TaxEvt=1,ARS86+1&gt;=H_Deemed),AKS87,AHF87)</f>
        <v>0</v>
      </c>
      <c r="AOG87" s="20" t="n">
        <f aca="false">IF(AND(H_Direct=0,H_TaxEvt=1,ART86+1&gt;=H_Deemed),AKT87,AHG87)</f>
        <v>0</v>
      </c>
      <c r="AOH87" s="20" t="n">
        <f aca="false">IF(AND(H_Direct=0,H_TaxEvt=1,ARU86+1&gt;=H_Deemed),AKU87,AHH87)</f>
        <v>0</v>
      </c>
      <c r="AOI87" s="20" t="n">
        <f aca="false">IF(AND(H_Direct=0,H_TaxEvt=1,ARV86+1&gt;=H_Deemed),AKV87,AHI87)</f>
        <v>0</v>
      </c>
      <c r="AOJ87" s="20" t="n">
        <f aca="false">IF(AND(H_Direct=0,H_TaxEvt=1,ARW86+1&gt;=H_Deemed),AKW87,AHJ87)</f>
        <v>0</v>
      </c>
      <c r="AOK87" s="20" t="n">
        <f aca="false">IF(AND(H_Direct=0,H_TaxEvt=1,ARX86+1&gt;=H_Deemed),AKX87,AHK87)</f>
        <v>0</v>
      </c>
      <c r="AOL87" s="20" t="n">
        <f aca="false">IF(AND(H_Direct=0,H_TaxEvt=1,ARY86+1&gt;=H_Deemed),AKY87,AHL87)</f>
        <v>0</v>
      </c>
      <c r="AOM87" s="20" t="n">
        <f aca="false">IF(AND(H_Direct=0,H_TaxEvt=1,ARZ86+1&gt;=H_Deemed),AKZ87,AHM87)</f>
        <v>0</v>
      </c>
      <c r="AON87" s="20" t="n">
        <f aca="false">IF(AND(H_Direct=0,H_TaxEvt=1,ASA86+1&gt;=H_Deemed),ALA87,AHN87)</f>
        <v>0</v>
      </c>
      <c r="AOO87" s="20" t="n">
        <f aca="false">IF(AND(H_Direct=0,H_TaxEvt=1,ASB86+1&gt;=H_Deemed),ALB87,AHO87)</f>
        <v>0</v>
      </c>
      <c r="AOP87" s="20" t="n">
        <f aca="false">IF(AND(H_Direct=0,H_TaxEvt=1,ASC86+1&gt;=H_Deemed),ALC87,AHP87)</f>
        <v>0</v>
      </c>
      <c r="AOQ87" s="20" t="n">
        <f aca="false">IF(AND(H_Direct=0,H_TaxEvt=1,ASD86+1&gt;=H_Deemed),ALD87,AHQ87)</f>
        <v>0</v>
      </c>
      <c r="AOR87" s="20" t="n">
        <f aca="false">IF(AND(H_Direct=0,H_TaxEvt=1,ASE86+1&gt;=H_Deemed),ALE87,AHR87)</f>
        <v>0</v>
      </c>
      <c r="AOS87" s="20" t="n">
        <f aca="false">IF(AND(H_Direct=0,H_TaxEvt=1,ASF86+1&gt;=H_Deemed),ALF87,AHS87)</f>
        <v>0</v>
      </c>
      <c r="AOT87" s="20" t="n">
        <f aca="false">IF(AND(H_Direct=0,H_TaxEvt=1,ASG86+1&gt;=H_Deemed),ALG87,AHT87)</f>
        <v>0</v>
      </c>
      <c r="AOU87" s="20" t="n">
        <f aca="false">IF(AND(H_Direct=0,H_TaxEvt=1,ASH86+1&gt;=H_Deemed),ALH87,AHU87)</f>
        <v>0</v>
      </c>
      <c r="AOV87" s="20" t="n">
        <f aca="false">IF(AND(H_Direct=0,H_TaxEvt=1,ASI86+1&gt;=H_Deemed),ALI87,AHV87)</f>
        <v>0</v>
      </c>
      <c r="AOW87" s="20" t="n">
        <f aca="false">IF(AND(H_Direct=0,H_TaxEvt=1,ASJ86+1&gt;=H_Deemed),ALJ87,AHW87)</f>
        <v>0</v>
      </c>
      <c r="AOX87" s="20" t="n">
        <f aca="false">IF(AND(H_Direct=0,H_TaxEvt=1,ASK86+1&gt;=H_Deemed),ALK87,AHX87)</f>
        <v>0</v>
      </c>
      <c r="AOY87" s="20" t="n">
        <f aca="false">IF(AND(H_Direct=0,H_TaxEvt=1,ASL86+1&gt;=H_Deemed),ALL87,AHY87)</f>
        <v>0</v>
      </c>
      <c r="AOZ87" s="20" t="n">
        <f aca="false">IF(AND(H_Direct=0,H_TaxEvt=1,ASM86+1&gt;=H_Deemed),ALM87,AHZ87)</f>
        <v>0</v>
      </c>
      <c r="APA87" s="20" t="n">
        <f aca="false">IF(AND(H_Direct=0,H_TaxEvt=1,ASN86+1&gt;=H_Deemed),ALN87,AIA87)</f>
        <v>0</v>
      </c>
      <c r="APB87" s="20" t="n">
        <f aca="false">IF(AND(H_Direct=0,H_TaxEvt=1,ASO86+1&gt;=H_Deemed),ALO87,AIB87)</f>
        <v>0</v>
      </c>
      <c r="APC87" s="20" t="n">
        <f aca="false">IF(AND(H_Direct=0,H_TaxEvt=1,ASP86+1&gt;=H_Deemed),ALP87,AIC87)</f>
        <v>0</v>
      </c>
      <c r="APD87" s="20" t="n">
        <f aca="false">IF(AND(H_Direct=0,H_TaxEvt=1,ASQ86+1&gt;=H_Deemed),ALQ87,AID87)</f>
        <v>0</v>
      </c>
      <c r="APE87" s="20" t="n">
        <f aca="false">IF(AND(H_Direct=0,H_TaxEvt=1,ASR86+1&gt;=H_Deemed),ALR87,AIE87)</f>
        <v>0</v>
      </c>
      <c r="APF87" s="20" t="n">
        <f aca="false">IF(AND(H_Direct=0,H_TaxEvt=1,ASS86+1&gt;=H_Deemed),ALS87,AIF87)</f>
        <v>0</v>
      </c>
      <c r="APG87" s="20" t="n">
        <f aca="false">IF(AND(H_Direct=0,H_TaxEvt=1,AST86+1&gt;=H_Deemed),ALT87,AIG87)</f>
        <v>0</v>
      </c>
      <c r="APH87" s="20" t="n">
        <f aca="false">IF(AND(H_Direct=0,H_TaxEvt=1,ASU86+1&gt;=H_Deemed),ALU87,AIH87)</f>
        <v>0</v>
      </c>
      <c r="API87" s="20" t="n">
        <f aca="false">IF(AND(H_Direct=0,H_TaxEvt=1,ASV86+1&gt;=H_Deemed),ALV87,AII87)</f>
        <v>0</v>
      </c>
      <c r="APJ87" s="20" t="n">
        <f aca="false">IF(AND(H_Direct=0,H_TaxEvt=1,ASW86+1&gt;=H_Deemed),ALW87,AIJ87)</f>
        <v>0</v>
      </c>
      <c r="APK87" s="20" t="n">
        <f aca="false">IF(AND(H_Direct=0,H_TaxEvt=1,ASX86+1&gt;=H_Deemed),ALX87,AIK87)</f>
        <v>0</v>
      </c>
      <c r="APL87" s="20" t="n">
        <f aca="false">IF(AND(H_Direct=0,H_TaxEvt=1,ASY86+1&gt;=H_Deemed),ALY87,AIL87)</f>
        <v>0</v>
      </c>
      <c r="APM87" s="20" t="n">
        <f aca="false">IF(AND(H_Direct=0,H_TaxEvt=1,ASZ86+1&gt;=H_Deemed),ALZ87,AIM87)</f>
        <v>0</v>
      </c>
      <c r="APN87" s="20" t="n">
        <f aca="false">IF(AND(H_Direct=0,H_TaxEvt=1,ATA86+1&gt;=H_Deemed),AMA87,AIN87)</f>
        <v>0</v>
      </c>
      <c r="APO87" s="20" t="n">
        <f aca="false">IF(AND(H_Direct=0,H_TaxEvt=1,ATB86+1&gt;=H_Deemed),AMB87,AIO87)</f>
        <v>0</v>
      </c>
      <c r="APP87" s="20" t="n">
        <f aca="false">IF(AND(H_Direct=0,H_TaxEvt=1,ATC86+1&gt;=H_Deemed),AMC87,AIP87)</f>
        <v>0</v>
      </c>
      <c r="APQ87" s="20" t="n">
        <f aca="false">IF(AND(H_Direct=0,H_TaxEvt=1,ATD86+1&gt;=H_Deemed),AMD87,AIQ87)</f>
        <v>0</v>
      </c>
      <c r="APR87" s="20" t="n">
        <f aca="false">IF(AND(H_Direct=0,H_TaxEvt=1,ATE86+1&gt;=H_Deemed),AME87,AIR87)</f>
        <v>0</v>
      </c>
      <c r="APS87" s="20" t="n">
        <f aca="false">IF(AND(H_Direct=0,H_TaxEvt=1,ATF86+1&gt;=H_Deemed),AMF87,AIS87)</f>
        <v>0</v>
      </c>
      <c r="APT87" s="20" t="n">
        <f aca="false">IF(AND(H_Direct=0,H_TaxEvt=1,ATG86+1&gt;=H_Deemed),AMG87,AIT87)</f>
        <v>0</v>
      </c>
      <c r="APU87" s="20" t="n">
        <f aca="false">IF(AND(H_Direct=0,H_TaxEvt=1,ATH86+1&gt;=H_Deemed),AMH87,AIU87)</f>
        <v>0</v>
      </c>
      <c r="APV87" s="20" t="n">
        <f aca="false">IF(AND(H_Direct=0,H_TaxEvt=1,ATI86+1&gt;=H_Deemed),AMI87,AIV87)</f>
        <v>0</v>
      </c>
      <c r="APW87" s="20" t="n">
        <f aca="false">IF(AND(H_Direct=0,H_TaxEvt=1,ATJ86+1&gt;=H_Deemed),AMJ87,AIW87)</f>
        <v>0</v>
      </c>
      <c r="APX87" s="20" t="n">
        <f aca="false">IF(AND(H_Direct=0,H_TaxEvt=1,ATK86+1&gt;=H_Deemed),AMK87,AIX87)</f>
        <v>0</v>
      </c>
      <c r="APY87" s="20" t="n">
        <f aca="false">IF(AND(H_Direct=0,H_TaxEvt=1,ATL86+1&gt;=H_Deemed),AML87,AIY87)</f>
        <v>0</v>
      </c>
      <c r="APZ87" s="20" t="n">
        <f aca="false">IF(AND(H_Direct=0,H_TaxEvt=1,ATM86+1&gt;=H_Deemed),AMM87,AIZ87)</f>
        <v>0</v>
      </c>
      <c r="AQA87" s="20" t="n">
        <f aca="false">IF(AND(H_Direct=0,H_TaxEvt=1,ATN86+1&gt;=H_Deemed),AMN87,AJA87)</f>
        <v>0</v>
      </c>
      <c r="AQB87" s="20" t="n">
        <f aca="false">IF(AND(H_Direct=0,H_TaxEvt=1,ATO86+1&gt;=H_Deemed),AMO87,AJB87)</f>
        <v>0</v>
      </c>
      <c r="AQC87" s="20" t="n">
        <f aca="false">IF(AND(H_Direct=0,H_TaxEvt=1,ATP86+1&gt;=H_Deemed),AMP87,AJC87)</f>
        <v>0</v>
      </c>
      <c r="AQD87" s="20" t="n">
        <f aca="false">IF(AND(H_Direct=0,H_TaxEvt=1,ATQ86+1&gt;=H_Deemed),AMQ87,AJD87)</f>
        <v>0</v>
      </c>
      <c r="AQE87" s="20" t="n">
        <f aca="false">IF(AND(H_Direct=0,H_TaxEvt=1,ATR86+1&gt;=H_Deemed),AMR87,AJE87)</f>
        <v>0</v>
      </c>
      <c r="AQF87" s="20" t="n">
        <f aca="false">IF(AND(H_Direct=0,H_TaxEvt=1,ATS86+1&gt;=H_Deemed),AMS87,AJF87)</f>
        <v>0</v>
      </c>
      <c r="AQG87" s="20" t="n">
        <f aca="false">IF(AND(H_Direct=0,H_TaxEvt=1,ATT86+1&gt;=H_Deemed),AMT87,AJG87)</f>
        <v>0</v>
      </c>
      <c r="AQH87" s="20" t="n">
        <f aca="false">IF(AND(H_Direct=0,H_TaxEvt=1,ATU86+1&gt;=H_Deemed),AMU87,AJH87)</f>
        <v>0</v>
      </c>
      <c r="AQI87" s="20" t="n">
        <f aca="false">IF(AND(H_Direct=0,H_TaxEvt=1,ATV86+1&gt;=H_Deemed),AMV87,AJI87)</f>
        <v>0</v>
      </c>
      <c r="AQJ87" s="20" t="n">
        <f aca="false">IF(AND(H_Direct=0,H_TaxEvt=1,ATW86+1&gt;=H_Deemed),AMW87,AJJ87)</f>
        <v>0</v>
      </c>
      <c r="AQK87" s="20" t="n">
        <f aca="false">IF(AND(H_Direct=0,H_TaxEvt=1,ATX86+1&gt;=H_Deemed),AMX87,AJK87)</f>
        <v>0</v>
      </c>
      <c r="AQL87" s="20" t="n">
        <f aca="false">IF(AND(H_Direct=0,H_TaxEvt=1,ATY86+1&gt;=H_Deemed),AMY87,AJL87)</f>
        <v>0</v>
      </c>
      <c r="AQM87" s="20" t="n">
        <f aca="false">IF(AND(H_Direct=0,H_TaxEvt=1,ATZ86+1&gt;=H_Deemed),AMZ87,AJM87)</f>
        <v>0</v>
      </c>
      <c r="AQN87" s="20" t="n">
        <f aca="false">IF(AND(H_Direct=0,H_TaxEvt=1,AUA86+1&gt;=H_Deemed),ANA87,AJN87)</f>
        <v>0</v>
      </c>
      <c r="AQO87" s="20" t="n">
        <f aca="false">IF(AND(H_Direct=0,H_TaxEvt=1,AUB86+1&gt;=H_Deemed),ANB87,AJO87)</f>
        <v>0</v>
      </c>
      <c r="AQP87" s="20" t="n">
        <f aca="false">IF(AND(H_Direct=0,H_TaxEvt=1,AUC86+1&gt;=H_Deemed),ANC87,AJP87)</f>
        <v>0</v>
      </c>
      <c r="AQQ87" s="20" t="n">
        <f aca="false">IF(AND(H_Direct=0,H_TaxEvt=1,AUD86+1&gt;=H_Deemed),AND87,AJQ87)</f>
        <v>0</v>
      </c>
      <c r="AQR87" s="20" t="n">
        <f aca="false">IF(AND(H_Direct=0,H_TaxEvt=1,AUE86+1&gt;=H_Deemed),ANE87,AJR87)</f>
        <v>0</v>
      </c>
      <c r="AQS87" s="20" t="n">
        <f aca="false">IF(AND(H_Direct=0,H_TaxEvt=1,AUF86+1&gt;=H_Deemed),ANF87,AJS87)</f>
        <v>0</v>
      </c>
      <c r="AQT87" s="20" t="n">
        <f aca="false">IF(AND(H_Direct=0,H_TaxEvt=1,AUG86+1&gt;=H_Deemed),ANG87,AJT87)</f>
        <v>0</v>
      </c>
      <c r="AQU87" s="20" t="n">
        <f aca="false">IF(AND(H_Direct=0,H_TaxEvt=1,AUH86+1&gt;=H_Deemed),ANH87,AJU87)</f>
        <v>0</v>
      </c>
      <c r="AQV87" s="20" t="n">
        <f aca="false">IF(AND(H_Direct=0,H_TaxEvt=1,AUI86+1&gt;=H_Deemed),ANI87,AJV87)</f>
        <v>0</v>
      </c>
      <c r="AQW87" s="20" t="n">
        <f aca="false">IF(AND(H_Direct=0,H_TaxEvt=1,AUJ86+1&gt;=H_Deemed),ANJ87,AJW87)</f>
        <v>0</v>
      </c>
      <c r="AQX87" s="20" t="n">
        <f aca="false">IF(AND(H_Direct=0,H_TaxEvt=1,AUK86+1&gt;=H_Deemed),ANK87,AJX87)</f>
        <v>0</v>
      </c>
      <c r="AQY87" s="20" t="n">
        <f aca="false">IF(AND(H_Direct=0,H_TaxEvt=1,AUL86+1&gt;=H_Deemed),ANL87,AJY87)</f>
        <v>0</v>
      </c>
      <c r="AQZ87" s="20" t="n">
        <f aca="false">IF(AND(H_Direct=0,H_TaxEvt=1,AUM86+1&gt;=H_Deemed),ANM87,AJZ87)</f>
        <v>0</v>
      </c>
      <c r="ARA87" s="20" t="n">
        <f aca="false">IF(AND(H_Direct=0,H_TaxEvt=1,AUN86+1&gt;=H_Deemed),ANN87,AKA87)</f>
        <v>0</v>
      </c>
      <c r="ARB87" s="20" t="n">
        <f aca="false">IF(AND(H_Direct=0,H_TaxEvt=1,AUO86+1&gt;=H_Deemed),ANO87,AKB87)</f>
        <v>0</v>
      </c>
      <c r="ARC87" s="20" t="n">
        <f aca="false">IF(AND(H_Direct=0,H_TaxEvt=1,AUP86+1&gt;=H_Deemed),ANP87,AKC87)</f>
        <v>0</v>
      </c>
      <c r="ARD87" s="20" t="n">
        <f aca="false">IF(AND(H_Direct=0,H_TaxEvt=1,AUQ86+1&gt;=H_Deemed),ANQ87,AKD87)</f>
        <v>0</v>
      </c>
      <c r="ARE87" s="20" t="n">
        <f aca="false">IF(AND(H_Direct=0,H_TaxEvt=1,AUR86+1&gt;=H_Deemed),ANR87,AKE87)</f>
        <v>0</v>
      </c>
      <c r="ARF87" s="20" t="n">
        <f aca="false">IF(AND(H_Direct=0,H_TaxEvt=1,AUS86+1&gt;=H_Deemed),ANS87,AKF87)</f>
        <v>0</v>
      </c>
      <c r="ARG87" s="20" t="n">
        <f aca="false">IF(AND(H_Direct=0,H_TaxEvt=1,0+1&gt;=H_Deemed),ANT87,AKG87)</f>
        <v>0</v>
      </c>
      <c r="ARH87" s="20" t="n">
        <v>0</v>
      </c>
      <c r="ARI87" s="20" t="n">
        <v>0</v>
      </c>
      <c r="ARJ87" s="20" t="n">
        <v>0</v>
      </c>
      <c r="ARK87" s="20" t="n">
        <v>0</v>
      </c>
      <c r="ARL87" s="20" t="n">
        <v>0</v>
      </c>
      <c r="ARM87" s="20" t="n">
        <v>0</v>
      </c>
      <c r="ARN87" s="20" t="n">
        <v>0</v>
      </c>
      <c r="ARO87" s="20" t="n">
        <v>0</v>
      </c>
      <c r="ARP87" s="20" t="n">
        <v>0</v>
      </c>
      <c r="ARQ87" s="20" t="n">
        <v>0</v>
      </c>
      <c r="ARR87" s="20" t="n">
        <f aca="false">IF(AND(H_Direct=0,H_TaxEvt=1),IF(ARR86+1&gt;=H_Deemed,0,ARR86+1),ARR86)</f>
        <v>0</v>
      </c>
      <c r="ARS87" s="20" t="n">
        <f aca="false">IF(AND(H_Direct=0,H_TaxEvt=1),IF(ARS86+1&gt;=H_Deemed,0,ARS86+1),ARS86)</f>
        <v>0</v>
      </c>
      <c r="ART87" s="20" t="n">
        <f aca="false">IF(AND(H_Direct=0,H_TaxEvt=1),IF(ART86+1&gt;=H_Deemed,0,ART86+1),ART86)</f>
        <v>7</v>
      </c>
      <c r="ARU87" s="20" t="n">
        <f aca="false">IF(AND(H_Direct=0,H_TaxEvt=1),IF(ARU86+1&gt;=H_Deemed,0,ARU86+1),ARU86)</f>
        <v>6</v>
      </c>
      <c r="ARV87" s="20" t="n">
        <f aca="false">IF(AND(H_Direct=0,H_TaxEvt=1),IF(ARV86+1&gt;=H_Deemed,0,ARV86+1),ARV86)</f>
        <v>5</v>
      </c>
      <c r="ARW87" s="20" t="n">
        <f aca="false">IF(AND(H_Direct=0,H_TaxEvt=1),IF(ARW86+1&gt;=H_Deemed,0,ARW86+1),ARW86)</f>
        <v>4</v>
      </c>
      <c r="ARX87" s="20" t="n">
        <f aca="false">IF(AND(H_Direct=0,H_TaxEvt=1),IF(ARX86+1&gt;=H_Deemed,0,ARX86+1),ARX86)</f>
        <v>3</v>
      </c>
      <c r="ARY87" s="20" t="n">
        <f aca="false">IF(AND(H_Direct=0,H_TaxEvt=1),IF(ARY86+1&gt;=H_Deemed,0,ARY86+1),ARY86)</f>
        <v>2</v>
      </c>
      <c r="ARZ87" s="20" t="n">
        <f aca="false">IF(AND(H_Direct=0,H_TaxEvt=1),IF(ARZ86+1&gt;=H_Deemed,0,ARZ86+1),ARZ86)</f>
        <v>1</v>
      </c>
      <c r="ASA87" s="20" t="n">
        <f aca="false">IF(AND(H_Direct=0,H_TaxEvt=1),IF(ASA86+1&gt;=H_Deemed,0,ASA86+1),ASA86)</f>
        <v>0</v>
      </c>
      <c r="ASB87" s="20" t="n">
        <f aca="false">IF(AND(H_Direct=0,H_TaxEvt=1),IF(ASB86+1&gt;=H_Deemed,0,ASB86+1),ASB86)</f>
        <v>7</v>
      </c>
      <c r="ASC87" s="20" t="n">
        <f aca="false">IF(AND(H_Direct=0,H_TaxEvt=1),IF(ASC86+1&gt;=H_Deemed,0,ASC86+1),ASC86)</f>
        <v>6</v>
      </c>
      <c r="ASD87" s="20" t="n">
        <f aca="false">IF(AND(H_Direct=0,H_TaxEvt=1),IF(ASD86+1&gt;=H_Deemed,0,ASD86+1),ASD86)</f>
        <v>5</v>
      </c>
      <c r="ASE87" s="20" t="n">
        <f aca="false">IF(AND(H_Direct=0,H_TaxEvt=1),IF(ASE86+1&gt;=H_Deemed,0,ASE86+1),ASE86)</f>
        <v>4</v>
      </c>
      <c r="ASF87" s="20" t="n">
        <f aca="false">IF(AND(H_Direct=0,H_TaxEvt=1),IF(ASF86+1&gt;=H_Deemed,0,ASF86+1),ASF86)</f>
        <v>3</v>
      </c>
      <c r="ASG87" s="20" t="n">
        <f aca="false">IF(AND(H_Direct=0,H_TaxEvt=1),IF(ASG86+1&gt;=H_Deemed,0,ASG86+1),ASG86)</f>
        <v>2</v>
      </c>
      <c r="ASH87" s="20" t="n">
        <f aca="false">IF(AND(H_Direct=0,H_TaxEvt=1),IF(ASH86+1&gt;=H_Deemed,0,ASH86+1),ASH86)</f>
        <v>1</v>
      </c>
      <c r="ASI87" s="20" t="n">
        <f aca="false">IF(AND(H_Direct=0,H_TaxEvt=1),IF(ASI86+1&gt;=H_Deemed,0,ASI86+1),ASI86)</f>
        <v>0</v>
      </c>
      <c r="ASJ87" s="20" t="n">
        <f aca="false">IF(AND(H_Direct=0,H_TaxEvt=1),IF(ASJ86+1&gt;=H_Deemed,0,ASJ86+1),ASJ86)</f>
        <v>7</v>
      </c>
      <c r="ASK87" s="20" t="n">
        <f aca="false">IF(AND(H_Direct=0,H_TaxEvt=1),IF(ASK86+1&gt;=H_Deemed,0,ASK86+1),ASK86)</f>
        <v>6</v>
      </c>
      <c r="ASL87" s="20" t="n">
        <f aca="false">IF(AND(H_Direct=0,H_TaxEvt=1),IF(ASL86+1&gt;=H_Deemed,0,ASL86+1),ASL86)</f>
        <v>5</v>
      </c>
      <c r="ASM87" s="20" t="n">
        <f aca="false">IF(AND(H_Direct=0,H_TaxEvt=1),IF(ASM86+1&gt;=H_Deemed,0,ASM86+1),ASM86)</f>
        <v>4</v>
      </c>
      <c r="ASN87" s="20" t="n">
        <f aca="false">IF(AND(H_Direct=0,H_TaxEvt=1),IF(ASN86+1&gt;=H_Deemed,0,ASN86+1),ASN86)</f>
        <v>3</v>
      </c>
      <c r="ASO87" s="20" t="n">
        <f aca="false">IF(AND(H_Direct=0,H_TaxEvt=1),IF(ASO86+1&gt;=H_Deemed,0,ASO86+1),ASO86)</f>
        <v>2</v>
      </c>
      <c r="ASP87" s="20" t="n">
        <f aca="false">IF(AND(H_Direct=0,H_TaxEvt=1),IF(ASP86+1&gt;=H_Deemed,0,ASP86+1),ASP86)</f>
        <v>1</v>
      </c>
      <c r="ASQ87" s="20" t="n">
        <f aca="false">IF(AND(H_Direct=0,H_TaxEvt=1),IF(ASQ86+1&gt;=H_Deemed,0,ASQ86+1),ASQ86)</f>
        <v>0</v>
      </c>
      <c r="ASR87" s="20" t="n">
        <f aca="false">IF(AND(H_Direct=0,H_TaxEvt=1),IF(ASR86+1&gt;=H_Deemed,0,ASR86+1),ASR86)</f>
        <v>7</v>
      </c>
      <c r="ASS87" s="20" t="n">
        <f aca="false">IF(AND(H_Direct=0,H_TaxEvt=1),IF(ASS86+1&gt;=H_Deemed,0,ASS86+1),ASS86)</f>
        <v>6</v>
      </c>
      <c r="AST87" s="20" t="n">
        <f aca="false">IF(AND(H_Direct=0,H_TaxEvt=1),IF(AST86+1&gt;=H_Deemed,0,AST86+1),AST86)</f>
        <v>5</v>
      </c>
      <c r="ASU87" s="20" t="n">
        <f aca="false">IF(AND(H_Direct=0,H_TaxEvt=1),IF(ASU86+1&gt;=H_Deemed,0,ASU86+1),ASU86)</f>
        <v>4</v>
      </c>
      <c r="ASV87" s="20" t="n">
        <f aca="false">IF(AND(H_Direct=0,H_TaxEvt=1),IF(ASV86+1&gt;=H_Deemed,0,ASV86+1),ASV86)</f>
        <v>3</v>
      </c>
      <c r="ASW87" s="20" t="n">
        <f aca="false">IF(AND(H_Direct=0,H_TaxEvt=1),IF(ASW86+1&gt;=H_Deemed,0,ASW86+1),ASW86)</f>
        <v>2</v>
      </c>
      <c r="ASX87" s="20" t="n">
        <f aca="false">IF(AND(H_Direct=0,H_TaxEvt=1),IF(ASX86+1&gt;=H_Deemed,0,ASX86+1),ASX86)</f>
        <v>1</v>
      </c>
      <c r="ASY87" s="20" t="n">
        <f aca="false">IF(AND(H_Direct=0,H_TaxEvt=1),IF(ASY86+1&gt;=H_Deemed,0,ASY86+1),ASY86)</f>
        <v>0</v>
      </c>
      <c r="ASZ87" s="20" t="n">
        <f aca="false">IF(AND(H_Direct=0,H_TaxEvt=1),IF(ASZ86+1&gt;=H_Deemed,0,ASZ86+1),ASZ86)</f>
        <v>7</v>
      </c>
      <c r="ATA87" s="20" t="n">
        <f aca="false">IF(AND(H_Direct=0,H_TaxEvt=1),IF(ATA86+1&gt;=H_Deemed,0,ATA86+1),ATA86)</f>
        <v>6</v>
      </c>
      <c r="ATB87" s="20" t="n">
        <f aca="false">IF(AND(H_Direct=0,H_TaxEvt=1),IF(ATB86+1&gt;=H_Deemed,0,ATB86+1),ATB86)</f>
        <v>5</v>
      </c>
      <c r="ATC87" s="20" t="n">
        <f aca="false">IF(AND(H_Direct=0,H_TaxEvt=1),IF(ATC86+1&gt;=H_Deemed,0,ATC86+1),ATC86)</f>
        <v>4</v>
      </c>
      <c r="ATD87" s="20" t="n">
        <f aca="false">IF(AND(H_Direct=0,H_TaxEvt=1),IF(ATD86+1&gt;=H_Deemed,0,ATD86+1),ATD86)</f>
        <v>3</v>
      </c>
      <c r="ATE87" s="20" t="n">
        <f aca="false">IF(AND(H_Direct=0,H_TaxEvt=1),IF(ATE86+1&gt;=H_Deemed,0,ATE86+1),ATE86)</f>
        <v>2</v>
      </c>
      <c r="ATF87" s="20" t="n">
        <f aca="false">IF(AND(H_Direct=0,H_TaxEvt=1),IF(ATF86+1&gt;=H_Deemed,0,ATF86+1),ATF86)</f>
        <v>1</v>
      </c>
      <c r="ATG87" s="20" t="n">
        <f aca="false">IF(AND(H_Direct=0,H_TaxEvt=1),IF(ATG86+1&gt;=H_Deemed,0,ATG86+1),ATG86)</f>
        <v>0</v>
      </c>
      <c r="ATH87" s="20" t="n">
        <f aca="false">IF(AND(H_Direct=0,H_TaxEvt=1),IF(ATH86+1&gt;=H_Deemed,0,ATH86+1),ATH86)</f>
        <v>7</v>
      </c>
      <c r="ATI87" s="20" t="n">
        <f aca="false">IF(AND(H_Direct=0,H_TaxEvt=1),IF(ATI86+1&gt;=H_Deemed,0,ATI86+1),ATI86)</f>
        <v>6</v>
      </c>
      <c r="ATJ87" s="20" t="n">
        <f aca="false">IF(AND(H_Direct=0,H_TaxEvt=1),IF(ATJ86+1&gt;=H_Deemed,0,ATJ86+1),ATJ86)</f>
        <v>5</v>
      </c>
      <c r="ATK87" s="20" t="n">
        <f aca="false">IF(AND(H_Direct=0,H_TaxEvt=1),IF(ATK86+1&gt;=H_Deemed,0,ATK86+1),ATK86)</f>
        <v>4</v>
      </c>
      <c r="ATL87" s="20" t="n">
        <f aca="false">IF(AND(H_Direct=0,H_TaxEvt=1),IF(ATL86+1&gt;=H_Deemed,0,ATL86+1),ATL86)</f>
        <v>3</v>
      </c>
      <c r="ATM87" s="20" t="n">
        <f aca="false">IF(AND(H_Direct=0,H_TaxEvt=1),IF(ATM86+1&gt;=H_Deemed,0,ATM86+1),ATM86)</f>
        <v>2</v>
      </c>
      <c r="ATN87" s="20" t="n">
        <f aca="false">IF(AND(H_Direct=0,H_TaxEvt=1),IF(ATN86+1&gt;=H_Deemed,0,ATN86+1),ATN86)</f>
        <v>1</v>
      </c>
      <c r="ATO87" s="20" t="n">
        <f aca="false">IF(AND(H_Direct=0,H_TaxEvt=1),IF(ATO86+1&gt;=H_Deemed,0,ATO86+1),ATO86)</f>
        <v>0</v>
      </c>
      <c r="ATP87" s="20" t="n">
        <f aca="false">IF(AND(H_Direct=0,H_TaxEvt=1),IF(ATP86+1&gt;=H_Deemed,0,ATP86+1),ATP86)</f>
        <v>7</v>
      </c>
      <c r="ATQ87" s="20" t="n">
        <f aca="false">IF(AND(H_Direct=0,H_TaxEvt=1),IF(ATQ86+1&gt;=H_Deemed,0,ATQ86+1),ATQ86)</f>
        <v>6</v>
      </c>
      <c r="ATR87" s="20" t="n">
        <f aca="false">IF(AND(H_Direct=0,H_TaxEvt=1),IF(ATR86+1&gt;=H_Deemed,0,ATR86+1),ATR86)</f>
        <v>5</v>
      </c>
      <c r="ATS87" s="20" t="n">
        <f aca="false">IF(AND(H_Direct=0,H_TaxEvt=1),IF(ATS86+1&gt;=H_Deemed,0,ATS86+1),ATS86)</f>
        <v>4</v>
      </c>
      <c r="ATT87" s="20" t="n">
        <f aca="false">IF(AND(H_Direct=0,H_TaxEvt=1),IF(ATT86+1&gt;=H_Deemed,0,ATT86+1),ATT86)</f>
        <v>3</v>
      </c>
      <c r="ATU87" s="20" t="n">
        <f aca="false">IF(AND(H_Direct=0,H_TaxEvt=1),IF(ATU86+1&gt;=H_Deemed,0,ATU86+1),ATU86)</f>
        <v>2</v>
      </c>
      <c r="ATV87" s="20" t="n">
        <f aca="false">IF(AND(H_Direct=0,H_TaxEvt=1),IF(ATV86+1&gt;=H_Deemed,0,ATV86+1),ATV86)</f>
        <v>1</v>
      </c>
      <c r="ATW87" s="20" t="n">
        <f aca="false">IF(AND(H_Direct=0,H_TaxEvt=1),IF(ATW86+1&gt;=H_Deemed,0,ATW86+1),ATW86)</f>
        <v>0</v>
      </c>
      <c r="ATX87" s="20" t="n">
        <f aca="false">IF(AND(H_Direct=0,H_TaxEvt=1),IF(ATX86+1&gt;=H_Deemed,0,ATX86+1),ATX86)</f>
        <v>7</v>
      </c>
      <c r="ATY87" s="20" t="n">
        <f aca="false">IF(AND(H_Direct=0,H_TaxEvt=1),IF(ATY86+1&gt;=H_Deemed,0,ATY86+1),ATY86)</f>
        <v>6</v>
      </c>
      <c r="ATZ87" s="20" t="n">
        <f aca="false">IF(AND(H_Direct=0,H_TaxEvt=1),IF(ATZ86+1&gt;=H_Deemed,0,ATZ86+1),ATZ86)</f>
        <v>5</v>
      </c>
      <c r="AUA87" s="20" t="n">
        <f aca="false">IF(AND(H_Direct=0,H_TaxEvt=1),IF(AUA86+1&gt;=H_Deemed,0,AUA86+1),AUA86)</f>
        <v>4</v>
      </c>
      <c r="AUB87" s="20" t="n">
        <f aca="false">IF(AND(H_Direct=0,H_TaxEvt=1),IF(AUB86+1&gt;=H_Deemed,0,AUB86+1),AUB86)</f>
        <v>3</v>
      </c>
      <c r="AUC87" s="20" t="n">
        <f aca="false">IF(AND(H_Direct=0,H_TaxEvt=1),IF(AUC86+1&gt;=H_Deemed,0,AUC86+1),AUC86)</f>
        <v>2</v>
      </c>
      <c r="AUD87" s="20" t="n">
        <f aca="false">IF(AND(H_Direct=0,H_TaxEvt=1),IF(AUD86+1&gt;=H_Deemed,0,AUD86+1),AUD86)</f>
        <v>1</v>
      </c>
      <c r="AUE87" s="20" t="n">
        <f aca="false">IF(AND(H_Direct=0,H_TaxEvt=1),IF(AUE86+1&gt;=H_Deemed,0,AUE86+1),AUE86)</f>
        <v>0</v>
      </c>
      <c r="AUF87" s="20" t="n">
        <f aca="false">IF(AND(H_Direct=0,H_TaxEvt=1),IF(AUF86+1&gt;=H_Deemed,0,AUF86+1),AUF86)</f>
        <v>7</v>
      </c>
      <c r="AUG87" s="20" t="n">
        <f aca="false">IF(AND(H_Direct=0,H_TaxEvt=1),IF(AUG86+1&gt;=H_Deemed,0,AUG86+1),AUG86)</f>
        <v>6</v>
      </c>
      <c r="AUH87" s="20" t="n">
        <f aca="false">IF(AND(H_Direct=0,H_TaxEvt=1),IF(AUH86+1&gt;=H_Deemed,0,AUH86+1),AUH86)</f>
        <v>5</v>
      </c>
      <c r="AUI87" s="20" t="n">
        <f aca="false">IF(AND(H_Direct=0,H_TaxEvt=1),IF(AUI86+1&gt;=H_Deemed,0,AUI86+1),AUI86)</f>
        <v>4</v>
      </c>
      <c r="AUJ87" s="20" t="n">
        <f aca="false">IF(AND(H_Direct=0,H_TaxEvt=1),IF(AUJ86+1&gt;=H_Deemed,0,AUJ86+1),AUJ86)</f>
        <v>3</v>
      </c>
      <c r="AUK87" s="20" t="n">
        <f aca="false">IF(AND(H_Direct=0,H_TaxEvt=1),IF(AUK86+1&gt;=H_Deemed,0,AUK86+1),AUK86)</f>
        <v>2</v>
      </c>
      <c r="AUL87" s="20" t="n">
        <f aca="false">IF(AND(H_Direct=0,H_TaxEvt=1),IF(AUL86+1&gt;=H_Deemed,0,AUL86+1),AUL86)</f>
        <v>1</v>
      </c>
      <c r="AUM87" s="20" t="n">
        <f aca="false">IF(AND(H_Direct=0,H_TaxEvt=1),IF(AUM86+1&gt;=H_Deemed,0,AUM86+1),AUM86)</f>
        <v>0</v>
      </c>
      <c r="AUN87" s="20" t="n">
        <f aca="false">IF(AND(H_Direct=0,H_TaxEvt=1),IF(AUN86+1&gt;=H_Deemed,0,AUN86+1),AUN86)</f>
        <v>7</v>
      </c>
      <c r="AUO87" s="20" t="n">
        <f aca="false">IF(AND(H_Direct=0,H_TaxEvt=1),IF(AUO86+1&gt;=H_Deemed,0,AUO86+1),AUO86)</f>
        <v>6</v>
      </c>
      <c r="AUP87" s="20" t="n">
        <f aca="false">IF(AND(H_Direct=0,H_TaxEvt=1),IF(AUP86+1&gt;=H_Deemed,0,AUP86+1),AUP86)</f>
        <v>5</v>
      </c>
      <c r="AUQ87" s="20" t="n">
        <f aca="false">IF(AND(H_Direct=0,H_TaxEvt=1),IF(AUQ86+1&gt;=H_Deemed,0,AUQ86+1),AUQ86)</f>
        <v>4</v>
      </c>
      <c r="AUR87" s="20" t="n">
        <f aca="false">IF(AND(H_Direct=0,H_TaxEvt=1),IF(AUR86+1&gt;=H_Deemed,0,AUR86+1),AUR86)</f>
        <v>3</v>
      </c>
      <c r="AUS87" s="20" t="n">
        <f aca="false">IF(AND(H_Direct=0,H_TaxEvt=1),IF(AUS86+1&gt;=H_Deemed,0,AUS86+1),AUS86)</f>
        <v>2</v>
      </c>
      <c r="AUT87" s="20" t="n">
        <f aca="false">IF(AND(H_Direct=0,H_TaxEvt=1),IF(0+1&gt;=H_Deemed,0,0+1),0)</f>
        <v>1</v>
      </c>
      <c r="AUU87" s="20" t="n">
        <v>0</v>
      </c>
      <c r="AUV87" s="20" t="n">
        <v>0</v>
      </c>
      <c r="AUW87" s="20" t="n">
        <v>0</v>
      </c>
      <c r="AUX87" s="20" t="n">
        <v>0</v>
      </c>
      <c r="AUY87" s="20" t="n">
        <v>0</v>
      </c>
      <c r="AUZ87" s="20" t="n">
        <v>0</v>
      </c>
      <c r="AVA87" s="20" t="n">
        <v>0</v>
      </c>
      <c r="AVB87" s="20" t="n">
        <v>0</v>
      </c>
      <c r="AVC87" s="20" t="n">
        <v>0</v>
      </c>
      <c r="AVD87" s="20" t="n">
        <v>0</v>
      </c>
      <c r="AVE87" s="20" t="n">
        <f aca="false">IF(AND(H_Direct=0,H_TaxEvt=1,ARR86+1&gt;=H_Deemed),MAX(0,ADR87-AHE87)*H_Exit,0)</f>
        <v>0</v>
      </c>
      <c r="AVF87" s="20" t="n">
        <f aca="false">IF(AND(H_Direct=0,H_TaxEvt=1,ARS86+1&gt;=H_Deemed),MAX(0,ADS87-AHF87)*H_Exit,0)</f>
        <v>0</v>
      </c>
      <c r="AVG87" s="20" t="n">
        <f aca="false">IF(AND(H_Direct=0,H_TaxEvt=1,ART86+1&gt;=H_Deemed),MAX(0,ADT87-AHG87)*H_Exit,0)</f>
        <v>0</v>
      </c>
      <c r="AVH87" s="20" t="n">
        <f aca="false">IF(AND(H_Direct=0,H_TaxEvt=1,ARU86+1&gt;=H_Deemed),MAX(0,ADU87-AHH87)*H_Exit,0)</f>
        <v>0</v>
      </c>
      <c r="AVI87" s="20" t="n">
        <f aca="false">IF(AND(H_Direct=0,H_TaxEvt=1,ARV86+1&gt;=H_Deemed),MAX(0,ADV87-AHI87)*H_Exit,0)</f>
        <v>0</v>
      </c>
      <c r="AVJ87" s="20" t="n">
        <f aca="false">IF(AND(H_Direct=0,H_TaxEvt=1,ARW86+1&gt;=H_Deemed),MAX(0,ADW87-AHJ87)*H_Exit,0)</f>
        <v>0</v>
      </c>
      <c r="AVK87" s="20" t="n">
        <f aca="false">IF(AND(H_Direct=0,H_TaxEvt=1,ARX86+1&gt;=H_Deemed),MAX(0,ADX87-AHK87)*H_Exit,0)</f>
        <v>0</v>
      </c>
      <c r="AVL87" s="20" t="n">
        <f aca="false">IF(AND(H_Direct=0,H_TaxEvt=1,ARY86+1&gt;=H_Deemed),MAX(0,ADY87-AHL87)*H_Exit,0)</f>
        <v>0</v>
      </c>
      <c r="AVM87" s="20" t="n">
        <f aca="false">IF(AND(H_Direct=0,H_TaxEvt=1,ARZ86+1&gt;=H_Deemed),MAX(0,ADZ87-AHM87)*H_Exit,0)</f>
        <v>0</v>
      </c>
      <c r="AVN87" s="20" t="n">
        <f aca="false">IF(AND(H_Direct=0,H_TaxEvt=1,ASA86+1&gt;=H_Deemed),MAX(0,AEA87-AHN87)*H_Exit,0)</f>
        <v>0</v>
      </c>
      <c r="AVO87" s="20" t="n">
        <f aca="false">IF(AND(H_Direct=0,H_TaxEvt=1,ASB86+1&gt;=H_Deemed),MAX(0,AEB87-AHO87)*H_Exit,0)</f>
        <v>0</v>
      </c>
      <c r="AVP87" s="20" t="n">
        <f aca="false">IF(AND(H_Direct=0,H_TaxEvt=1,ASC86+1&gt;=H_Deemed),MAX(0,AEC87-AHP87)*H_Exit,0)</f>
        <v>0</v>
      </c>
      <c r="AVQ87" s="20" t="n">
        <f aca="false">IF(AND(H_Direct=0,H_TaxEvt=1,ASD86+1&gt;=H_Deemed),MAX(0,AED87-AHQ87)*H_Exit,0)</f>
        <v>0</v>
      </c>
      <c r="AVR87" s="20" t="n">
        <f aca="false">IF(AND(H_Direct=0,H_TaxEvt=1,ASE86+1&gt;=H_Deemed),MAX(0,AEE87-AHR87)*H_Exit,0)</f>
        <v>0</v>
      </c>
      <c r="AVS87" s="20" t="n">
        <f aca="false">IF(AND(H_Direct=0,H_TaxEvt=1,ASF86+1&gt;=H_Deemed),MAX(0,AEF87-AHS87)*H_Exit,0)</f>
        <v>0</v>
      </c>
      <c r="AVT87" s="20" t="n">
        <f aca="false">IF(AND(H_Direct=0,H_TaxEvt=1,ASG86+1&gt;=H_Deemed),MAX(0,AEG87-AHT87)*H_Exit,0)</f>
        <v>0</v>
      </c>
      <c r="AVU87" s="20" t="n">
        <f aca="false">IF(AND(H_Direct=0,H_TaxEvt=1,ASH86+1&gt;=H_Deemed),MAX(0,AEH87-AHU87)*H_Exit,0)</f>
        <v>0</v>
      </c>
      <c r="AVV87" s="20" t="n">
        <f aca="false">IF(AND(H_Direct=0,H_TaxEvt=1,ASI86+1&gt;=H_Deemed),MAX(0,AEI87-AHV87)*H_Exit,0)</f>
        <v>0</v>
      </c>
      <c r="AVW87" s="20" t="n">
        <f aca="false">IF(AND(H_Direct=0,H_TaxEvt=1,ASJ86+1&gt;=H_Deemed),MAX(0,AEJ87-AHW87)*H_Exit,0)</f>
        <v>0</v>
      </c>
      <c r="AVX87" s="20" t="n">
        <f aca="false">IF(AND(H_Direct=0,H_TaxEvt=1,ASK86+1&gt;=H_Deemed),MAX(0,AEK87-AHX87)*H_Exit,0)</f>
        <v>0</v>
      </c>
      <c r="AVY87" s="20" t="n">
        <f aca="false">IF(AND(H_Direct=0,H_TaxEvt=1,ASL86+1&gt;=H_Deemed),MAX(0,AEL87-AHY87)*H_Exit,0)</f>
        <v>0</v>
      </c>
      <c r="AVZ87" s="20" t="n">
        <f aca="false">IF(AND(H_Direct=0,H_TaxEvt=1,ASM86+1&gt;=H_Deemed),MAX(0,AEM87-AHZ87)*H_Exit,0)</f>
        <v>0</v>
      </c>
      <c r="AWA87" s="20" t="n">
        <f aca="false">IF(AND(H_Direct=0,H_TaxEvt=1,ASN86+1&gt;=H_Deemed),MAX(0,AEN87-AIA87)*H_Exit,0)</f>
        <v>0</v>
      </c>
      <c r="AWB87" s="20" t="n">
        <f aca="false">IF(AND(H_Direct=0,H_TaxEvt=1,ASO86+1&gt;=H_Deemed),MAX(0,AEO87-AIB87)*H_Exit,0)</f>
        <v>0</v>
      </c>
      <c r="AWC87" s="20" t="n">
        <f aca="false">IF(AND(H_Direct=0,H_TaxEvt=1,ASP86+1&gt;=H_Deemed),MAX(0,AEP87-AIC87)*H_Exit,0)</f>
        <v>0</v>
      </c>
      <c r="AWD87" s="20" t="n">
        <f aca="false">IF(AND(H_Direct=0,H_TaxEvt=1,ASQ86+1&gt;=H_Deemed),MAX(0,AEQ87-AID87)*H_Exit,0)</f>
        <v>0</v>
      </c>
      <c r="AWE87" s="20" t="n">
        <f aca="false">IF(AND(H_Direct=0,H_TaxEvt=1,ASR86+1&gt;=H_Deemed),MAX(0,AER87-AIE87)*H_Exit,0)</f>
        <v>0</v>
      </c>
      <c r="AWF87" s="20" t="n">
        <f aca="false">IF(AND(H_Direct=0,H_TaxEvt=1,ASS86+1&gt;=H_Deemed),MAX(0,AES87-AIF87)*H_Exit,0)</f>
        <v>0</v>
      </c>
      <c r="AWG87" s="20" t="n">
        <f aca="false">IF(AND(H_Direct=0,H_TaxEvt=1,AST86+1&gt;=H_Deemed),MAX(0,AET87-AIG87)*H_Exit,0)</f>
        <v>0</v>
      </c>
      <c r="AWH87" s="20" t="n">
        <f aca="false">IF(AND(H_Direct=0,H_TaxEvt=1,ASU86+1&gt;=H_Deemed),MAX(0,AEU87-AIH87)*H_Exit,0)</f>
        <v>0</v>
      </c>
      <c r="AWI87" s="20" t="n">
        <f aca="false">IF(AND(H_Direct=0,H_TaxEvt=1,ASV86+1&gt;=H_Deemed),MAX(0,AEV87-AII87)*H_Exit,0)</f>
        <v>0</v>
      </c>
      <c r="AWJ87" s="20" t="n">
        <f aca="false">IF(AND(H_Direct=0,H_TaxEvt=1,ASW86+1&gt;=H_Deemed),MAX(0,AEW87-AIJ87)*H_Exit,0)</f>
        <v>0</v>
      </c>
      <c r="AWK87" s="20" t="n">
        <f aca="false">IF(AND(H_Direct=0,H_TaxEvt=1,ASX86+1&gt;=H_Deemed),MAX(0,AEX87-AIK87)*H_Exit,0)</f>
        <v>0</v>
      </c>
      <c r="AWL87" s="20" t="n">
        <f aca="false">IF(AND(H_Direct=0,H_TaxEvt=1,ASY86+1&gt;=H_Deemed),MAX(0,AEY87-AIL87)*H_Exit,0)</f>
        <v>0</v>
      </c>
      <c r="AWM87" s="20" t="n">
        <f aca="false">IF(AND(H_Direct=0,H_TaxEvt=1,ASZ86+1&gt;=H_Deemed),MAX(0,AEZ87-AIM87)*H_Exit,0)</f>
        <v>0</v>
      </c>
      <c r="AWN87" s="20" t="n">
        <f aca="false">IF(AND(H_Direct=0,H_TaxEvt=1,ATA86+1&gt;=H_Deemed),MAX(0,AFA87-AIN87)*H_Exit,0)</f>
        <v>0</v>
      </c>
      <c r="AWO87" s="20" t="n">
        <f aca="false">IF(AND(H_Direct=0,H_TaxEvt=1,ATB86+1&gt;=H_Deemed),MAX(0,AFB87-AIO87)*H_Exit,0)</f>
        <v>0</v>
      </c>
      <c r="AWP87" s="20" t="n">
        <f aca="false">IF(AND(H_Direct=0,H_TaxEvt=1,ATC86+1&gt;=H_Deemed),MAX(0,AFC87-AIP87)*H_Exit,0)</f>
        <v>0</v>
      </c>
      <c r="AWQ87" s="20" t="n">
        <f aca="false">IF(AND(H_Direct=0,H_TaxEvt=1,ATD86+1&gt;=H_Deemed),MAX(0,AFD87-AIQ87)*H_Exit,0)</f>
        <v>0</v>
      </c>
      <c r="AWR87" s="20" t="n">
        <f aca="false">IF(AND(H_Direct=0,H_TaxEvt=1,ATE86+1&gt;=H_Deemed),MAX(0,AFE87-AIR87)*H_Exit,0)</f>
        <v>0</v>
      </c>
      <c r="AWS87" s="20" t="n">
        <f aca="false">IF(AND(H_Direct=0,H_TaxEvt=1,ATF86+1&gt;=H_Deemed),MAX(0,AFF87-AIS87)*H_Exit,0)</f>
        <v>0</v>
      </c>
      <c r="AWT87" s="20" t="n">
        <f aca="false">IF(AND(H_Direct=0,H_TaxEvt=1,ATG86+1&gt;=H_Deemed),MAX(0,AFG87-AIT87)*H_Exit,0)</f>
        <v>0</v>
      </c>
      <c r="AWU87" s="20" t="n">
        <f aca="false">IF(AND(H_Direct=0,H_TaxEvt=1,ATH86+1&gt;=H_Deemed),MAX(0,AFH87-AIU87)*H_Exit,0)</f>
        <v>0</v>
      </c>
      <c r="AWV87" s="20" t="n">
        <f aca="false">IF(AND(H_Direct=0,H_TaxEvt=1,ATI86+1&gt;=H_Deemed),MAX(0,AFI87-AIV87)*H_Exit,0)</f>
        <v>0</v>
      </c>
      <c r="AWW87" s="20" t="n">
        <f aca="false">IF(AND(H_Direct=0,H_TaxEvt=1,ATJ86+1&gt;=H_Deemed),MAX(0,AFJ87-AIW87)*H_Exit,0)</f>
        <v>0</v>
      </c>
      <c r="AWX87" s="20" t="n">
        <f aca="false">IF(AND(H_Direct=0,H_TaxEvt=1,ATK86+1&gt;=H_Deemed),MAX(0,AFK87-AIX87)*H_Exit,0)</f>
        <v>0</v>
      </c>
      <c r="AWY87" s="20" t="n">
        <f aca="false">IF(AND(H_Direct=0,H_TaxEvt=1,ATL86+1&gt;=H_Deemed),MAX(0,AFL87-AIY87)*H_Exit,0)</f>
        <v>0</v>
      </c>
      <c r="AWZ87" s="20" t="n">
        <f aca="false">IF(AND(H_Direct=0,H_TaxEvt=1,ATM86+1&gt;=H_Deemed),MAX(0,AFM87-AIZ87)*H_Exit,0)</f>
        <v>0</v>
      </c>
      <c r="AXA87" s="20" t="n">
        <f aca="false">IF(AND(H_Direct=0,H_TaxEvt=1,ATN86+1&gt;=H_Deemed),MAX(0,AFN87-AJA87)*H_Exit,0)</f>
        <v>0</v>
      </c>
      <c r="AXB87" s="20" t="n">
        <f aca="false">IF(AND(H_Direct=0,H_TaxEvt=1,ATO86+1&gt;=H_Deemed),MAX(0,AFO87-AJB87)*H_Exit,0)</f>
        <v>0</v>
      </c>
      <c r="AXC87" s="20" t="n">
        <f aca="false">IF(AND(H_Direct=0,H_TaxEvt=1,ATP86+1&gt;=H_Deemed),MAX(0,AFP87-AJC87)*H_Exit,0)</f>
        <v>0</v>
      </c>
      <c r="AXD87" s="20" t="n">
        <f aca="false">IF(AND(H_Direct=0,H_TaxEvt=1,ATQ86+1&gt;=H_Deemed),MAX(0,AFQ87-AJD87)*H_Exit,0)</f>
        <v>0</v>
      </c>
      <c r="AXE87" s="20" t="n">
        <f aca="false">IF(AND(H_Direct=0,H_TaxEvt=1,ATR86+1&gt;=H_Deemed),MAX(0,AFR87-AJE87)*H_Exit,0)</f>
        <v>0</v>
      </c>
      <c r="AXF87" s="20" t="n">
        <f aca="false">IF(AND(H_Direct=0,H_TaxEvt=1,ATS86+1&gt;=H_Deemed),MAX(0,AFS87-AJF87)*H_Exit,0)</f>
        <v>0</v>
      </c>
      <c r="AXG87" s="20" t="n">
        <f aca="false">IF(AND(H_Direct=0,H_TaxEvt=1,ATT86+1&gt;=H_Deemed),MAX(0,AFT87-AJG87)*H_Exit,0)</f>
        <v>0</v>
      </c>
      <c r="AXH87" s="20" t="n">
        <f aca="false">IF(AND(H_Direct=0,H_TaxEvt=1,ATU86+1&gt;=H_Deemed),MAX(0,AFU87-AJH87)*H_Exit,0)</f>
        <v>0</v>
      </c>
      <c r="AXI87" s="20" t="n">
        <f aca="false">IF(AND(H_Direct=0,H_TaxEvt=1,ATV86+1&gt;=H_Deemed),MAX(0,AFV87-AJI87)*H_Exit,0)</f>
        <v>0</v>
      </c>
      <c r="AXJ87" s="20" t="n">
        <f aca="false">IF(AND(H_Direct=0,H_TaxEvt=1,ATW86+1&gt;=H_Deemed),MAX(0,AFW87-AJJ87)*H_Exit,0)</f>
        <v>0</v>
      </c>
      <c r="AXK87" s="20" t="n">
        <f aca="false">IF(AND(H_Direct=0,H_TaxEvt=1,ATX86+1&gt;=H_Deemed),MAX(0,AFX87-AJK87)*H_Exit,0)</f>
        <v>0</v>
      </c>
      <c r="AXL87" s="20" t="n">
        <f aca="false">IF(AND(H_Direct=0,H_TaxEvt=1,ATY86+1&gt;=H_Deemed),MAX(0,AFY87-AJL87)*H_Exit,0)</f>
        <v>0</v>
      </c>
      <c r="AXM87" s="20" t="n">
        <f aca="false">IF(AND(H_Direct=0,H_TaxEvt=1,ATZ86+1&gt;=H_Deemed),MAX(0,AFZ87-AJM87)*H_Exit,0)</f>
        <v>0</v>
      </c>
      <c r="AXN87" s="20" t="n">
        <f aca="false">IF(AND(H_Direct=0,H_TaxEvt=1,AUA86+1&gt;=H_Deemed),MAX(0,AGA87-AJN87)*H_Exit,0)</f>
        <v>0</v>
      </c>
      <c r="AXO87" s="20" t="n">
        <f aca="false">IF(AND(H_Direct=0,H_TaxEvt=1,AUB86+1&gt;=H_Deemed),MAX(0,AGB87-AJO87)*H_Exit,0)</f>
        <v>0</v>
      </c>
      <c r="AXP87" s="20" t="n">
        <f aca="false">IF(AND(H_Direct=0,H_TaxEvt=1,AUC86+1&gt;=H_Deemed),MAX(0,AGC87-AJP87)*H_Exit,0)</f>
        <v>0</v>
      </c>
      <c r="AXQ87" s="20" t="n">
        <f aca="false">IF(AND(H_Direct=0,H_TaxEvt=1,AUD86+1&gt;=H_Deemed),MAX(0,AGD87-AJQ87)*H_Exit,0)</f>
        <v>0</v>
      </c>
      <c r="AXR87" s="20" t="n">
        <f aca="false">IF(AND(H_Direct=0,H_TaxEvt=1,AUE86+1&gt;=H_Deemed),MAX(0,AGE87-AJR87)*H_Exit,0)</f>
        <v>0</v>
      </c>
      <c r="AXS87" s="20" t="n">
        <f aca="false">IF(AND(H_Direct=0,H_TaxEvt=1,AUF86+1&gt;=H_Deemed),MAX(0,AGF87-AJS87)*H_Exit,0)</f>
        <v>0</v>
      </c>
      <c r="AXT87" s="20" t="n">
        <f aca="false">IF(AND(H_Direct=0,H_TaxEvt=1,AUG86+1&gt;=H_Deemed),MAX(0,AGG87-AJT87)*H_Exit,0)</f>
        <v>0</v>
      </c>
      <c r="AXU87" s="20" t="n">
        <f aca="false">IF(AND(H_Direct=0,H_TaxEvt=1,AUH86+1&gt;=H_Deemed),MAX(0,AGH87-AJU87)*H_Exit,0)</f>
        <v>0</v>
      </c>
      <c r="AXV87" s="20" t="n">
        <f aca="false">IF(AND(H_Direct=0,H_TaxEvt=1,AUI86+1&gt;=H_Deemed),MAX(0,AGI87-AJV87)*H_Exit,0)</f>
        <v>0</v>
      </c>
      <c r="AXW87" s="20" t="n">
        <f aca="false">IF(AND(H_Direct=0,H_TaxEvt=1,AUJ86+1&gt;=H_Deemed),MAX(0,AGJ87-AJW87)*H_Exit,0)</f>
        <v>0</v>
      </c>
      <c r="AXX87" s="20" t="n">
        <f aca="false">IF(AND(H_Direct=0,H_TaxEvt=1,AUK86+1&gt;=H_Deemed),MAX(0,AGK87-AJX87)*H_Exit,0)</f>
        <v>0</v>
      </c>
      <c r="AXY87" s="20" t="n">
        <f aca="false">IF(AND(H_Direct=0,H_TaxEvt=1,AUL86+1&gt;=H_Deemed),MAX(0,AGL87-AJY87)*H_Exit,0)</f>
        <v>0</v>
      </c>
      <c r="AXZ87" s="20" t="n">
        <f aca="false">IF(AND(H_Direct=0,H_TaxEvt=1,AUM86+1&gt;=H_Deemed),MAX(0,AGM87-AJZ87)*H_Exit,0)</f>
        <v>0</v>
      </c>
      <c r="AYA87" s="20" t="n">
        <f aca="false">IF(AND(H_Direct=0,H_TaxEvt=1,AUN86+1&gt;=H_Deemed),MAX(0,AGN87-AKA87)*H_Exit,0)</f>
        <v>0</v>
      </c>
      <c r="AYB87" s="20" t="n">
        <f aca="false">IF(AND(H_Direct=0,H_TaxEvt=1,AUO86+1&gt;=H_Deemed),MAX(0,AGO87-AKB87)*H_Exit,0)</f>
        <v>0</v>
      </c>
      <c r="AYC87" s="20" t="n">
        <f aca="false">IF(AND(H_Direct=0,H_TaxEvt=1,AUP86+1&gt;=H_Deemed),MAX(0,AGP87-AKC87)*H_Exit,0)</f>
        <v>0</v>
      </c>
      <c r="AYD87" s="20" t="n">
        <f aca="false">IF(AND(H_Direct=0,H_TaxEvt=1,AUQ86+1&gt;=H_Deemed),MAX(0,AGQ87-AKD87)*H_Exit,0)</f>
        <v>0</v>
      </c>
      <c r="AYE87" s="20" t="n">
        <f aca="false">IF(AND(H_Direct=0,H_TaxEvt=1,AUR86+1&gt;=H_Deemed),MAX(0,AGR87-AKE87)*H_Exit,0)</f>
        <v>0</v>
      </c>
      <c r="AYF87" s="20" t="n">
        <f aca="false">IF(AND(H_Direct=0,H_TaxEvt=1,AUS86+1&gt;=H_Deemed),MAX(0,AGS87-AKF87)*H_Exit,0)</f>
        <v>0</v>
      </c>
      <c r="AYG87" s="20" t="n">
        <f aca="false">IF(AND(H_Direct=0,H_TaxEvt=1,0+1&gt;=H_Deemed),MAX(0,AGT87-AKG87)*H_Exit,0)</f>
        <v>0</v>
      </c>
      <c r="AYH87" s="20" t="n">
        <v>0</v>
      </c>
      <c r="AYI87" s="20" t="n">
        <v>0</v>
      </c>
      <c r="AYJ87" s="20" t="n">
        <v>0</v>
      </c>
      <c r="AYK87" s="20" t="n">
        <v>0</v>
      </c>
      <c r="AYL87" s="20" t="n">
        <v>0</v>
      </c>
      <c r="AYM87" s="20" t="n">
        <v>0</v>
      </c>
      <c r="AYN87" s="20" t="n">
        <v>0</v>
      </c>
      <c r="AYO87" s="20" t="n">
        <v>0</v>
      </c>
      <c r="AYP87" s="20" t="n">
        <v>0</v>
      </c>
      <c r="AYQ87" s="20" t="n">
        <v>0</v>
      </c>
    </row>
    <row r="88" customFormat="false" ht="15" hidden="false" customHeight="false" outlineLevel="0" collapsed="false">
      <c r="B88" s="20" t="n">
        <v>80</v>
      </c>
      <c r="C88" s="20" t="n">
        <f aca="false">'Plan cashflow'!C88</f>
        <v>0</v>
      </c>
      <c r="D88" s="20" t="n">
        <f aca="false">'Plan cashflow'!D88</f>
        <v>118</v>
      </c>
      <c r="E88" s="20" t="n">
        <f aca="false">AS_Year0+80</f>
        <v>2106</v>
      </c>
      <c r="F88" s="50" t="n">
        <f aca="false">'Plan cashflow'!F88</f>
        <v>4.8754391560964</v>
      </c>
      <c r="G88" s="59" t="n">
        <f aca="true">IF(MAX(TODAY(),DATE(E88,1,1))&gt;=H_CGTfrom,H_CGT1,H_CGT0)</f>
        <v>0.31</v>
      </c>
      <c r="H88" s="20" t="n">
        <f aca="false">H_Exempt*H_Persons</f>
        <v>1270</v>
      </c>
      <c r="I88" s="20" t="n">
        <f aca="false">AX87</f>
        <v>0</v>
      </c>
      <c r="J88" s="60" t="n">
        <f aca="false">BF87</f>
        <v>0</v>
      </c>
      <c r="K88" s="60" t="n">
        <f aca="false">BG87</f>
        <v>0</v>
      </c>
      <c r="L88" s="20" t="n">
        <f aca="false">IF(AND(In_polLump&gt;0,In_polLumpAge&gt;0,D88=In_polLumpAge),In_polLump,0)</f>
        <v>0</v>
      </c>
      <c r="M88" s="20" t="n">
        <f aca="false">IF(AND(In_homeUse="Yes, I'd downsize",In_downAge&gt;0,D88=In_downAge,OR(In_home="Own outright",In_home="Own with mortgage"),In_homeValue&gt;0),MAX(0,MAX(0,In_homeValue-In_downValue)*F88*0.9-'Plan cashflow'!HR87),0)</f>
        <v>0</v>
      </c>
      <c r="N88" s="20" t="n">
        <f aca="false">'Plan pay &amp; tax'!Y314</f>
        <v>0</v>
      </c>
      <c r="O88" s="20" t="n">
        <f aca="false">L88+M88+(1-H_Sh)*N88</f>
        <v>0</v>
      </c>
      <c r="P88" s="20" t="n">
        <f aca="false">H_Sh*N88</f>
        <v>0</v>
      </c>
      <c r="Q88" s="20" t="n">
        <f aca="false">'Plan cashflow'!UL88</f>
        <v>0</v>
      </c>
      <c r="R88" s="20" t="n">
        <f aca="false">(1-H_Sh)*Q88</f>
        <v>0</v>
      </c>
      <c r="S88" s="20" t="n">
        <f aca="false">H_Sh*Q88</f>
        <v>0</v>
      </c>
      <c r="T88" s="20" t="n">
        <f aca="false">J88+K88+O88</f>
        <v>0</v>
      </c>
      <c r="U88" s="20" t="n">
        <f aca="false">T88+R88</f>
        <v>0</v>
      </c>
      <c r="V88" s="60" t="n">
        <f aca="false">SUM(FE88:IQ88)</f>
        <v>0</v>
      </c>
      <c r="W88" s="60" t="n">
        <f aca="false">IF(AJ88&lt;=0,0,IF(AL88&lt;=0,AJ88,AJ88-G88*MAX(0,AL88*AJ88-(AY88+AZ88))))</f>
        <v>0</v>
      </c>
      <c r="X88" s="60" t="n">
        <f aca="false">IF(AR88&lt;=0,0,IF(AT88&lt;=0,AR88,AR88-G88*MAX(0,AT88*AR88-(BA88+BB88))))</f>
        <v>0</v>
      </c>
      <c r="Y88" s="60" t="n">
        <f aca="false">T88+V88-S88+W88+X88</f>
        <v>0</v>
      </c>
      <c r="Z88" s="60" t="n">
        <f aca="false">'Plan cashflow'!UK88</f>
        <v>0</v>
      </c>
      <c r="AA88" s="20" t="n">
        <f aca="false">MIN(Z88,U88)</f>
        <v>0</v>
      </c>
      <c r="AB88" s="20" t="n">
        <f aca="false">Z88-AA88</f>
        <v>0</v>
      </c>
      <c r="AC88" s="20" t="n">
        <f aca="false">MIN(AA88,J88+O88+R88)</f>
        <v>0</v>
      </c>
      <c r="AD88" s="20" t="n">
        <f aca="false">AA88-AC88</f>
        <v>0</v>
      </c>
      <c r="AE88" s="20" t="n">
        <f aca="false">J88+O88+R88-AC88</f>
        <v>0</v>
      </c>
      <c r="AF88" s="20" t="n">
        <f aca="false">K88-AD88</f>
        <v>0</v>
      </c>
      <c r="AG88" s="20" t="n">
        <f aca="false">SUM(PR88:TD88)</f>
        <v>0</v>
      </c>
      <c r="AH88" s="20" t="n">
        <f aca="false">SUM(TE88:WQ88)</f>
        <v>0</v>
      </c>
      <c r="AI88" s="20" t="n">
        <f aca="false">MAX(0,AB88-AG88)</f>
        <v>0</v>
      </c>
      <c r="AJ88" s="57" t="n">
        <f aca="false">BI87</f>
        <v>0</v>
      </c>
      <c r="AK88" s="20" t="n">
        <f aca="false">BJ87</f>
        <v>0</v>
      </c>
      <c r="AL88" s="20" t="n">
        <f aca="false">IF(AJ88&gt;0,(AJ88-AK88)/AJ88,0)</f>
        <v>0</v>
      </c>
      <c r="AM88" s="20" t="n">
        <f aca="false">IF(AJ88&lt;=0,0,IF(AL88&lt;=0,MIN(AI88,AJ88),MIN(AI88,AJ88-G88*MAX(0,AL88*AJ88-(AAD88+ADQ88)))))</f>
        <v>0</v>
      </c>
      <c r="AN88" s="20" t="n">
        <f aca="false">IF(AJ88&lt;=0,0,IF(AL88&lt;=0,AM88,IF(AM88&lt;=(AAD88+ADQ88)/AL88,AM88,(AM88-G88*(AAD88+ADQ88))/(1-G88*AL88))))</f>
        <v>0</v>
      </c>
      <c r="AO88" s="20" t="n">
        <f aca="false">IF(AL88&gt;0,MAX(0,AAD88-(MIN(AL88*AN88,(AAD88+ADQ88))-MIN(MIN(AL88*AN88,(AAD88+ADQ88)),ADQ88))),AAD88)</f>
        <v>1270</v>
      </c>
      <c r="AP88" s="20" t="n">
        <f aca="false">IF(AL88&lt;=0,ADQ88-AL88*AN88,ADQ88-MIN(MIN(AL88*AN88,(AAD88+ADQ88)),ADQ88))</f>
        <v>0</v>
      </c>
      <c r="AQ88" s="20" t="n">
        <f aca="false">MAX(0,AI88-AM88)</f>
        <v>0</v>
      </c>
      <c r="AR88" s="57" t="n">
        <f aca="false">BK87</f>
        <v>0</v>
      </c>
      <c r="AS88" s="20" t="n">
        <f aca="false">BL87</f>
        <v>0</v>
      </c>
      <c r="AT88" s="20" t="n">
        <f aca="false">IF(AR88&gt;0,(AR88-AS88)/AR88,0)</f>
        <v>0</v>
      </c>
      <c r="AU88" s="20" t="n">
        <f aca="false">IF(AR88&lt;=0,0,IF(AT88&lt;=0,MIN(AQ88,AR88),MIN(AQ88,AR88-G88*MAX(0,AT88*AR88-(AO88+AP88)))))</f>
        <v>0</v>
      </c>
      <c r="AV88" s="20" t="n">
        <f aca="false">IF(AR88&lt;=0,0,IF(AT88&lt;=0,AU88,IF(AU88&lt;=(AO88+AP88)/AT88,AU88,(AU88-G88*(AO88+AP88))/(1-G88*AT88))))</f>
        <v>0</v>
      </c>
      <c r="AW88" s="20" t="n">
        <f aca="false">IF(AT88&gt;0,MAX(0,AO88-(MIN(AT88*AV88,(AO88+AP88))-MIN(MIN(AT88*AV88,(AO88+AP88)),AP88))),AO88)</f>
        <v>1270</v>
      </c>
      <c r="AX88" s="20" t="n">
        <f aca="false">IF(AT88&lt;=0,AP88-AT88*AV88,AP88-MIN(MIN(AT88*AV88,(AO88+AP88)),AP88))</f>
        <v>0</v>
      </c>
      <c r="AY88" s="20" t="n">
        <f aca="false">MD88</f>
        <v>1270</v>
      </c>
      <c r="AZ88" s="20" t="n">
        <f aca="false">PQ88</f>
        <v>0</v>
      </c>
      <c r="BA88" s="20" t="n">
        <f aca="false">IF(AL88&gt;0,MAX(0,AY88-(MIN(AL88*AJ88,AY88+AZ88)-MIN(MIN(AL88*AJ88,AY88+AZ88),AZ88))),AY88)</f>
        <v>1270</v>
      </c>
      <c r="BB88" s="20" t="n">
        <f aca="false">IF(AL88&lt;=0,AZ88-AL88*AJ88,AZ88-MIN(MIN(AL88*AJ88,AY88+AZ88),AZ88))</f>
        <v>0</v>
      </c>
      <c r="BC88" s="20" t="n">
        <f aca="false">'Plan cashflow'!UM88</f>
        <v>0</v>
      </c>
      <c r="BD88" s="20" t="n">
        <f aca="false">(1-H_Sh)*BC88</f>
        <v>0</v>
      </c>
      <c r="BE88" s="20" t="n">
        <f aca="false">H_Sh*BC88</f>
        <v>0</v>
      </c>
      <c r="BF88" s="60" t="n">
        <f aca="false">(AE88+BD88)*(1+AS_Cash)</f>
        <v>0</v>
      </c>
      <c r="BG88" s="60" t="n">
        <f aca="false">AF88*(1+AS_Cash)</f>
        <v>0</v>
      </c>
      <c r="BH88" s="60" t="n">
        <f aca="false">SUM(AKR88:AOD88)</f>
        <v>0</v>
      </c>
      <c r="BI88" s="60" t="n">
        <f aca="false">(AJ88-AN88)*(1+AS_Infl)</f>
        <v>0</v>
      </c>
      <c r="BJ88" s="20" t="n">
        <f aca="false">IF(AJ88&gt;0,AK88-AK88*AN88/AJ88,0)</f>
        <v>0</v>
      </c>
      <c r="BK88" s="60" t="n">
        <f aca="false">(AR88-AV88)*(1+BQ88)</f>
        <v>0</v>
      </c>
      <c r="BL88" s="20" t="n">
        <f aca="false">IF(AR88&gt;0,AS88-AS88*AV88/AR88,0)</f>
        <v>0</v>
      </c>
      <c r="BM88" s="60" t="n">
        <f aca="false">BF88+BG88+BH88+BI88+BK88</f>
        <v>0</v>
      </c>
      <c r="BN88" s="60" t="n">
        <f aca="false">(AH88-AG88)+(AN88-AM88)+(AV88-AU88)</f>
        <v>0</v>
      </c>
      <c r="BO88" s="20" t="n">
        <f aca="false">(AE88+BD88+AF88+MAX(0,'Plan cashflow'!QH88)+IF(Slot1_Rate=AS_Cash,'Plan cashflow'!QM88/(1+AS_Cash),0)+IF(Slot2_Rate=AS_Cash,'Plan cashflow'!QQ88/(1+AS_Cash),0)+IF(Slot3_Rate=AS_Cash,'Plan cashflow'!QU88/(1+AS_Cash),0)+IF(Slot4_Rate=AS_Cash,'Plan cashflow'!QY88/(1+AS_Cash),0)+IF(Slot5_Rate=AS_Cash,'Plan cashflow'!RC88/(1+AS_Cash),0)+IF(Slot6_Rate=AS_Cash,'Plan cashflow'!RG88/(1+AS_Cash),0)+IF(Slot7_Rate=AS_Cash,'Plan cashflow'!RK88/(1+AS_Cash),0)+IF(Slot8_Rate=AS_Cash,'Plan cashflow'!RO88/(1+AS_Cash),0)+IF(Slot9_Rate=AS_Cash,'Plan cashflow'!RS88/(1+AS_Cash),0)+IF(Slot10_Rate=AS_Cash,'Plan cashflow'!RW88/(1+AS_Cash),0)+IF(Slot11_Rate=AS_Cash,'Plan cashflow'!SA88/(1+AS_Cash),0)+IF(Slot12_Rate=AS_Cash,'Plan cashflow'!SE88/(1+AS_Cash),0)+IF(Slot13_Rate=AS_Cash,'Plan cashflow'!SI88/(1+AS_Cash),0)+IF(Slot14_Rate=AS_Cash,'Plan cashflow'!SM88/(1+AS_Cash),0)+IF(Slot15_Rate=AS_Cash,'Plan cashflow'!SQ88/(1+AS_Cash),0)+IF(Slot16_Rate=AS_Cash,'Plan cashflow'!SU88/(1+AS_Cash),0)+IF(Slot17_Rate=AS_Cash,'Plan cashflow'!SY88/(1+AS_Cash),0)+IF(Slot18_Rate=AS_Cash,'Plan cashflow'!TC88/(1+AS_Cash),0)+IF(Slot19_Rate=AS_Cash,'Plan cashflow'!TG88/(1+AS_Cash),0)+IF(Slot20_Rate=AS_Cash,'Plan cashflow'!TK88/(1+AS_Cash),0))*AS_Cash*H_DIRT/(1-H_DIRT)</f>
        <v>0</v>
      </c>
      <c r="BP88" s="60" t="n">
        <f aca="false">SUM(AVE88:AYQ88)</f>
        <v>0</v>
      </c>
      <c r="BQ88" s="54" t="n">
        <f aca="false">IF(H_TaxEvt=1,H_InvG,AS_Inv)</f>
        <v>0.04</v>
      </c>
      <c r="BR88" s="20" t="n">
        <f aca="false">IF(AKR87&gt;0,(AKR87-AOE87)/AKR87,0)</f>
        <v>0</v>
      </c>
      <c r="BS88" s="20" t="n">
        <f aca="false">IF(AKS87&gt;0,(AKS87-AOF87)/AKS87,0)</f>
        <v>0</v>
      </c>
      <c r="BT88" s="20" t="n">
        <f aca="false">IF(AKT87&gt;0,(AKT87-AOG87)/AKT87,0)</f>
        <v>0</v>
      </c>
      <c r="BU88" s="20" t="n">
        <f aca="false">IF(AKU87&gt;0,(AKU87-AOH87)/AKU87,0)</f>
        <v>0</v>
      </c>
      <c r="BV88" s="20" t="n">
        <f aca="false">IF(AKV87&gt;0,(AKV87-AOI87)/AKV87,0)</f>
        <v>0</v>
      </c>
      <c r="BW88" s="20" t="n">
        <f aca="false">IF(AKW87&gt;0,(AKW87-AOJ87)/AKW87,0)</f>
        <v>0</v>
      </c>
      <c r="BX88" s="20" t="n">
        <f aca="false">IF(AKX87&gt;0,(AKX87-AOK87)/AKX87,0)</f>
        <v>0</v>
      </c>
      <c r="BY88" s="20" t="n">
        <f aca="false">IF(AKY87&gt;0,(AKY87-AOL87)/AKY87,0)</f>
        <v>0</v>
      </c>
      <c r="BZ88" s="20" t="n">
        <f aca="false">IF(AKZ87&gt;0,(AKZ87-AOM87)/AKZ87,0)</f>
        <v>0</v>
      </c>
      <c r="CA88" s="20" t="n">
        <f aca="false">IF(ALA87&gt;0,(ALA87-AON87)/ALA87,0)</f>
        <v>0</v>
      </c>
      <c r="CB88" s="20" t="n">
        <f aca="false">IF(ALB87&gt;0,(ALB87-AOO87)/ALB87,0)</f>
        <v>0</v>
      </c>
      <c r="CC88" s="20" t="n">
        <f aca="false">IF(ALC87&gt;0,(ALC87-AOP87)/ALC87,0)</f>
        <v>0</v>
      </c>
      <c r="CD88" s="20" t="n">
        <f aca="false">IF(ALD87&gt;0,(ALD87-AOQ87)/ALD87,0)</f>
        <v>0</v>
      </c>
      <c r="CE88" s="20" t="n">
        <f aca="false">IF(ALE87&gt;0,(ALE87-AOR87)/ALE87,0)</f>
        <v>0</v>
      </c>
      <c r="CF88" s="20" t="n">
        <f aca="false">IF(ALF87&gt;0,(ALF87-AOS87)/ALF87,0)</f>
        <v>0</v>
      </c>
      <c r="CG88" s="20" t="n">
        <f aca="false">IF(ALG87&gt;0,(ALG87-AOT87)/ALG87,0)</f>
        <v>0</v>
      </c>
      <c r="CH88" s="20" t="n">
        <f aca="false">IF(ALH87&gt;0,(ALH87-AOU87)/ALH87,0)</f>
        <v>0</v>
      </c>
      <c r="CI88" s="20" t="n">
        <f aca="false">IF(ALI87&gt;0,(ALI87-AOV87)/ALI87,0)</f>
        <v>0</v>
      </c>
      <c r="CJ88" s="20" t="n">
        <f aca="false">IF(ALJ87&gt;0,(ALJ87-AOW87)/ALJ87,0)</f>
        <v>0</v>
      </c>
      <c r="CK88" s="20" t="n">
        <f aca="false">IF(ALK87&gt;0,(ALK87-AOX87)/ALK87,0)</f>
        <v>0</v>
      </c>
      <c r="CL88" s="20" t="n">
        <f aca="false">IF(ALL87&gt;0,(ALL87-AOY87)/ALL87,0)</f>
        <v>0</v>
      </c>
      <c r="CM88" s="20" t="n">
        <f aca="false">IF(ALM87&gt;0,(ALM87-AOZ87)/ALM87,0)</f>
        <v>0</v>
      </c>
      <c r="CN88" s="20" t="n">
        <f aca="false">IF(ALN87&gt;0,(ALN87-APA87)/ALN87,0)</f>
        <v>0</v>
      </c>
      <c r="CO88" s="20" t="n">
        <f aca="false">IF(ALO87&gt;0,(ALO87-APB87)/ALO87,0)</f>
        <v>0</v>
      </c>
      <c r="CP88" s="20" t="n">
        <f aca="false">IF(ALP87&gt;0,(ALP87-APC87)/ALP87,0)</f>
        <v>0</v>
      </c>
      <c r="CQ88" s="20" t="n">
        <f aca="false">IF(ALQ87&gt;0,(ALQ87-APD87)/ALQ87,0)</f>
        <v>0</v>
      </c>
      <c r="CR88" s="20" t="n">
        <f aca="false">IF(ALR87&gt;0,(ALR87-APE87)/ALR87,0)</f>
        <v>0</v>
      </c>
      <c r="CS88" s="20" t="n">
        <f aca="false">IF(ALS87&gt;0,(ALS87-APF87)/ALS87,0)</f>
        <v>0</v>
      </c>
      <c r="CT88" s="20" t="n">
        <f aca="false">IF(ALT87&gt;0,(ALT87-APG87)/ALT87,0)</f>
        <v>0</v>
      </c>
      <c r="CU88" s="20" t="n">
        <f aca="false">IF(ALU87&gt;0,(ALU87-APH87)/ALU87,0)</f>
        <v>0</v>
      </c>
      <c r="CV88" s="20" t="n">
        <f aca="false">IF(ALV87&gt;0,(ALV87-API87)/ALV87,0)</f>
        <v>0</v>
      </c>
      <c r="CW88" s="20" t="n">
        <f aca="false">IF(ALW87&gt;0,(ALW87-APJ87)/ALW87,0)</f>
        <v>0</v>
      </c>
      <c r="CX88" s="20" t="n">
        <f aca="false">IF(ALX87&gt;0,(ALX87-APK87)/ALX87,0)</f>
        <v>0</v>
      </c>
      <c r="CY88" s="20" t="n">
        <f aca="false">IF(ALY87&gt;0,(ALY87-APL87)/ALY87,0)</f>
        <v>0</v>
      </c>
      <c r="CZ88" s="20" t="n">
        <f aca="false">IF(ALZ87&gt;0,(ALZ87-APM87)/ALZ87,0)</f>
        <v>0</v>
      </c>
      <c r="DA88" s="20" t="n">
        <f aca="false">IF(AMA87&gt;0,(AMA87-APN87)/AMA87,0)</f>
        <v>0</v>
      </c>
      <c r="DB88" s="20" t="n">
        <f aca="false">IF(AMB87&gt;0,(AMB87-APO87)/AMB87,0)</f>
        <v>0</v>
      </c>
      <c r="DC88" s="20" t="n">
        <f aca="false">IF(AMC87&gt;0,(AMC87-APP87)/AMC87,0)</f>
        <v>0</v>
      </c>
      <c r="DD88" s="20" t="n">
        <f aca="false">IF(AMD87&gt;0,(AMD87-APQ87)/AMD87,0)</f>
        <v>0</v>
      </c>
      <c r="DE88" s="20" t="n">
        <f aca="false">IF(AME87&gt;0,(AME87-APR87)/AME87,0)</f>
        <v>0</v>
      </c>
      <c r="DF88" s="20" t="n">
        <f aca="false">IF(AMF87&gt;0,(AMF87-APS87)/AMF87,0)</f>
        <v>0</v>
      </c>
      <c r="DG88" s="20" t="n">
        <f aca="false">IF(AMG87&gt;0,(AMG87-APT87)/AMG87,0)</f>
        <v>0</v>
      </c>
      <c r="DH88" s="20" t="n">
        <f aca="false">IF(AMH87&gt;0,(AMH87-APU87)/AMH87,0)</f>
        <v>0</v>
      </c>
      <c r="DI88" s="20" t="n">
        <f aca="false">IF(AMI87&gt;0,(AMI87-APV87)/AMI87,0)</f>
        <v>0</v>
      </c>
      <c r="DJ88" s="20" t="n">
        <f aca="false">IF(AMJ87&gt;0,(AMJ87-APW87)/AMJ87,0)</f>
        <v>0</v>
      </c>
      <c r="DK88" s="20" t="n">
        <f aca="false">IF(AMK87&gt;0,(AMK87-APX87)/AMK87,0)</f>
        <v>0</v>
      </c>
      <c r="DL88" s="20" t="n">
        <f aca="false">IF(AML87&gt;0,(AML87-APY87)/AML87,0)</f>
        <v>0</v>
      </c>
      <c r="DM88" s="20" t="n">
        <f aca="false">IF(AMM87&gt;0,(AMM87-APZ87)/AMM87,0)</f>
        <v>0</v>
      </c>
      <c r="DN88" s="20" t="n">
        <f aca="false">IF(AMN87&gt;0,(AMN87-AQA87)/AMN87,0)</f>
        <v>0</v>
      </c>
      <c r="DO88" s="20" t="n">
        <f aca="false">IF(AMO87&gt;0,(AMO87-AQB87)/AMO87,0)</f>
        <v>0</v>
      </c>
      <c r="DP88" s="20" t="n">
        <f aca="false">IF(AMP87&gt;0,(AMP87-AQC87)/AMP87,0)</f>
        <v>0</v>
      </c>
      <c r="DQ88" s="20" t="n">
        <f aca="false">IF(AMQ87&gt;0,(AMQ87-AQD87)/AMQ87,0)</f>
        <v>0</v>
      </c>
      <c r="DR88" s="20" t="n">
        <f aca="false">IF(AMR87&gt;0,(AMR87-AQE87)/AMR87,0)</f>
        <v>0</v>
      </c>
      <c r="DS88" s="20" t="n">
        <f aca="false">IF(AMS87&gt;0,(AMS87-AQF87)/AMS87,0)</f>
        <v>0</v>
      </c>
      <c r="DT88" s="20" t="n">
        <f aca="false">IF(AMT87&gt;0,(AMT87-AQG87)/AMT87,0)</f>
        <v>0</v>
      </c>
      <c r="DU88" s="20" t="n">
        <f aca="false">IF(AMU87&gt;0,(AMU87-AQH87)/AMU87,0)</f>
        <v>0</v>
      </c>
      <c r="DV88" s="20" t="n">
        <f aca="false">IF(AMV87&gt;0,(AMV87-AQI87)/AMV87,0)</f>
        <v>0</v>
      </c>
      <c r="DW88" s="20" t="n">
        <f aca="false">IF(AMW87&gt;0,(AMW87-AQJ87)/AMW87,0)</f>
        <v>0</v>
      </c>
      <c r="DX88" s="20" t="n">
        <f aca="false">IF(AMX87&gt;0,(AMX87-AQK87)/AMX87,0)</f>
        <v>0</v>
      </c>
      <c r="DY88" s="20" t="n">
        <f aca="false">IF(AMY87&gt;0,(AMY87-AQL87)/AMY87,0)</f>
        <v>0</v>
      </c>
      <c r="DZ88" s="20" t="n">
        <f aca="false">IF(AMZ87&gt;0,(AMZ87-AQM87)/AMZ87,0)</f>
        <v>0</v>
      </c>
      <c r="EA88" s="20" t="n">
        <f aca="false">IF(ANA87&gt;0,(ANA87-AQN87)/ANA87,0)</f>
        <v>0</v>
      </c>
      <c r="EB88" s="20" t="n">
        <f aca="false">IF(ANB87&gt;0,(ANB87-AQO87)/ANB87,0)</f>
        <v>0</v>
      </c>
      <c r="EC88" s="20" t="n">
        <f aca="false">IF(ANC87&gt;0,(ANC87-AQP87)/ANC87,0)</f>
        <v>0</v>
      </c>
      <c r="ED88" s="20" t="n">
        <f aca="false">IF(AND87&gt;0,(AND87-AQQ87)/AND87,0)</f>
        <v>0</v>
      </c>
      <c r="EE88" s="20" t="n">
        <f aca="false">IF(ANE87&gt;0,(ANE87-AQR87)/ANE87,0)</f>
        <v>0</v>
      </c>
      <c r="EF88" s="20" t="n">
        <f aca="false">IF(ANF87&gt;0,(ANF87-AQS87)/ANF87,0)</f>
        <v>0</v>
      </c>
      <c r="EG88" s="20" t="n">
        <f aca="false">IF(ANG87&gt;0,(ANG87-AQT87)/ANG87,0)</f>
        <v>0</v>
      </c>
      <c r="EH88" s="20" t="n">
        <f aca="false">IF(ANH87&gt;0,(ANH87-AQU87)/ANH87,0)</f>
        <v>0</v>
      </c>
      <c r="EI88" s="20" t="n">
        <f aca="false">IF(ANI87&gt;0,(ANI87-AQV87)/ANI87,0)</f>
        <v>0</v>
      </c>
      <c r="EJ88" s="20" t="n">
        <f aca="false">IF(ANJ87&gt;0,(ANJ87-AQW87)/ANJ87,0)</f>
        <v>0</v>
      </c>
      <c r="EK88" s="20" t="n">
        <f aca="false">IF(ANK87&gt;0,(ANK87-AQX87)/ANK87,0)</f>
        <v>0</v>
      </c>
      <c r="EL88" s="20" t="n">
        <f aca="false">IF(ANL87&gt;0,(ANL87-AQY87)/ANL87,0)</f>
        <v>0</v>
      </c>
      <c r="EM88" s="20" t="n">
        <f aca="false">IF(ANM87&gt;0,(ANM87-AQZ87)/ANM87,0)</f>
        <v>0</v>
      </c>
      <c r="EN88" s="20" t="n">
        <f aca="false">IF(ANN87&gt;0,(ANN87-ARA87)/ANN87,0)</f>
        <v>0</v>
      </c>
      <c r="EO88" s="20" t="n">
        <f aca="false">IF(ANO87&gt;0,(ANO87-ARB87)/ANO87,0)</f>
        <v>0</v>
      </c>
      <c r="EP88" s="20" t="n">
        <f aca="false">IF(ANP87&gt;0,(ANP87-ARC87)/ANP87,0)</f>
        <v>0</v>
      </c>
      <c r="EQ88" s="20" t="n">
        <f aca="false">IF(ANQ87&gt;0,(ANQ87-ARD87)/ANQ87,0)</f>
        <v>0</v>
      </c>
      <c r="ER88" s="20" t="n">
        <f aca="false">IF(ANR87&gt;0,(ANR87-ARE87)/ANR87,0)</f>
        <v>0</v>
      </c>
      <c r="ES88" s="20" t="n">
        <f aca="false">IF(ANS87&gt;0,(ANS87-ARF87)/ANS87,0)</f>
        <v>0</v>
      </c>
      <c r="ET88" s="20" t="n">
        <f aca="false">IF(ANT87&gt;0,(ANT87-ARG87)/ANT87,0)</f>
        <v>0</v>
      </c>
      <c r="EU88" s="20" t="n">
        <f aca="false">IF((P88+S88)&gt;0,((P88+S88)-(P88+S88))/(P88+S88),0)</f>
        <v>0</v>
      </c>
      <c r="EV88" s="20" t="n">
        <v>0</v>
      </c>
      <c r="EW88" s="20" t="n">
        <v>0</v>
      </c>
      <c r="EX88" s="20" t="n">
        <v>0</v>
      </c>
      <c r="EY88" s="20" t="n">
        <v>0</v>
      </c>
      <c r="EZ88" s="20" t="n">
        <v>0</v>
      </c>
      <c r="FA88" s="20" t="n">
        <v>0</v>
      </c>
      <c r="FB88" s="20" t="n">
        <v>0</v>
      </c>
      <c r="FC88" s="20" t="n">
        <v>0</v>
      </c>
      <c r="FD88" s="20" t="n">
        <v>0</v>
      </c>
      <c r="FE88" s="20" t="n">
        <f aca="false">IF(H_Direct=1,IF(AKR87&lt;=0,0,IF(BR88&lt;=0,AKR87,AKR87-G88*MAX(0,BR88*AKR87-(H88+I88)))),AKR87*(1-MAX(0,BR88)*H_Exit))</f>
        <v>0</v>
      </c>
      <c r="FF88" s="20" t="n">
        <f aca="false">IF(H_Direct=1,IF(AKS87&lt;=0,0,IF(BS88&lt;=0,AKS87,AKS87-G88*MAX(0,BS88*AKS87-(IR88+ME88)))),AKS87*(1-MAX(0,BS88)*H_Exit))</f>
        <v>0</v>
      </c>
      <c r="FG88" s="20" t="n">
        <f aca="false">IF(H_Direct=1,IF(AKT87&lt;=0,0,IF(BT88&lt;=0,AKT87,AKT87-G88*MAX(0,BT88*AKT87-(IS88+MF88)))),AKT87*(1-MAX(0,BT88)*H_Exit))</f>
        <v>0</v>
      </c>
      <c r="FH88" s="20" t="n">
        <f aca="false">IF(H_Direct=1,IF(AKU87&lt;=0,0,IF(BU88&lt;=0,AKU87,AKU87-G88*MAX(0,BU88*AKU87-(IT88+MG88)))),AKU87*(1-MAX(0,BU88)*H_Exit))</f>
        <v>0</v>
      </c>
      <c r="FI88" s="20" t="n">
        <f aca="false">IF(H_Direct=1,IF(AKV87&lt;=0,0,IF(BV88&lt;=0,AKV87,AKV87-G88*MAX(0,BV88*AKV87-(IU88+MH88)))),AKV87*(1-MAX(0,BV88)*H_Exit))</f>
        <v>0</v>
      </c>
      <c r="FJ88" s="20" t="n">
        <f aca="false">IF(H_Direct=1,IF(AKW87&lt;=0,0,IF(BW88&lt;=0,AKW87,AKW87-G88*MAX(0,BW88*AKW87-(IV88+MI88)))),AKW87*(1-MAX(0,BW88)*H_Exit))</f>
        <v>0</v>
      </c>
      <c r="FK88" s="20" t="n">
        <f aca="false">IF(H_Direct=1,IF(AKX87&lt;=0,0,IF(BX88&lt;=0,AKX87,AKX87-G88*MAX(0,BX88*AKX87-(IW88+MJ88)))),AKX87*(1-MAX(0,BX88)*H_Exit))</f>
        <v>0</v>
      </c>
      <c r="FL88" s="20" t="n">
        <f aca="false">IF(H_Direct=1,IF(AKY87&lt;=0,0,IF(BY88&lt;=0,AKY87,AKY87-G88*MAX(0,BY88*AKY87-(IX88+MK88)))),AKY87*(1-MAX(0,BY88)*H_Exit))</f>
        <v>0</v>
      </c>
      <c r="FM88" s="20" t="n">
        <f aca="false">IF(H_Direct=1,IF(AKZ87&lt;=0,0,IF(BZ88&lt;=0,AKZ87,AKZ87-G88*MAX(0,BZ88*AKZ87-(IY88+ML88)))),AKZ87*(1-MAX(0,BZ88)*H_Exit))</f>
        <v>0</v>
      </c>
      <c r="FN88" s="20" t="n">
        <f aca="false">IF(H_Direct=1,IF(ALA87&lt;=0,0,IF(CA88&lt;=0,ALA87,ALA87-G88*MAX(0,CA88*ALA87-(IZ88+MM88)))),ALA87*(1-MAX(0,CA88)*H_Exit))</f>
        <v>0</v>
      </c>
      <c r="FO88" s="20" t="n">
        <f aca="false">IF(H_Direct=1,IF(ALB87&lt;=0,0,IF(CB88&lt;=0,ALB87,ALB87-G88*MAX(0,CB88*ALB87-(JA88+MN88)))),ALB87*(1-MAX(0,CB88)*H_Exit))</f>
        <v>0</v>
      </c>
      <c r="FP88" s="20" t="n">
        <f aca="false">IF(H_Direct=1,IF(ALC87&lt;=0,0,IF(CC88&lt;=0,ALC87,ALC87-G88*MAX(0,CC88*ALC87-(JB88+MO88)))),ALC87*(1-MAX(0,CC88)*H_Exit))</f>
        <v>0</v>
      </c>
      <c r="FQ88" s="20" t="n">
        <f aca="false">IF(H_Direct=1,IF(ALD87&lt;=0,0,IF(CD88&lt;=0,ALD87,ALD87-G88*MAX(0,CD88*ALD87-(JC88+MP88)))),ALD87*(1-MAX(0,CD88)*H_Exit))</f>
        <v>0</v>
      </c>
      <c r="FR88" s="20" t="n">
        <f aca="false">IF(H_Direct=1,IF(ALE87&lt;=0,0,IF(CE88&lt;=0,ALE87,ALE87-G88*MAX(0,CE88*ALE87-(JD88+MQ88)))),ALE87*(1-MAX(0,CE88)*H_Exit))</f>
        <v>0</v>
      </c>
      <c r="FS88" s="20" t="n">
        <f aca="false">IF(H_Direct=1,IF(ALF87&lt;=0,0,IF(CF88&lt;=0,ALF87,ALF87-G88*MAX(0,CF88*ALF87-(JE88+MR88)))),ALF87*(1-MAX(0,CF88)*H_Exit))</f>
        <v>0</v>
      </c>
      <c r="FT88" s="20" t="n">
        <f aca="false">IF(H_Direct=1,IF(ALG87&lt;=0,0,IF(CG88&lt;=0,ALG87,ALG87-G88*MAX(0,CG88*ALG87-(JF88+MS88)))),ALG87*(1-MAX(0,CG88)*H_Exit))</f>
        <v>0</v>
      </c>
      <c r="FU88" s="20" t="n">
        <f aca="false">IF(H_Direct=1,IF(ALH87&lt;=0,0,IF(CH88&lt;=0,ALH87,ALH87-G88*MAX(0,CH88*ALH87-(JG88+MT88)))),ALH87*(1-MAX(0,CH88)*H_Exit))</f>
        <v>0</v>
      </c>
      <c r="FV88" s="20" t="n">
        <f aca="false">IF(H_Direct=1,IF(ALI87&lt;=0,0,IF(CI88&lt;=0,ALI87,ALI87-G88*MAX(0,CI88*ALI87-(JH88+MU88)))),ALI87*(1-MAX(0,CI88)*H_Exit))</f>
        <v>0</v>
      </c>
      <c r="FW88" s="20" t="n">
        <f aca="false">IF(H_Direct=1,IF(ALJ87&lt;=0,0,IF(CJ88&lt;=0,ALJ87,ALJ87-G88*MAX(0,CJ88*ALJ87-(JI88+MV88)))),ALJ87*(1-MAX(0,CJ88)*H_Exit))</f>
        <v>0</v>
      </c>
      <c r="FX88" s="20" t="n">
        <f aca="false">IF(H_Direct=1,IF(ALK87&lt;=0,0,IF(CK88&lt;=0,ALK87,ALK87-G88*MAX(0,CK88*ALK87-(JJ88+MW88)))),ALK87*(1-MAX(0,CK88)*H_Exit))</f>
        <v>0</v>
      </c>
      <c r="FY88" s="20" t="n">
        <f aca="false">IF(H_Direct=1,IF(ALL87&lt;=0,0,IF(CL88&lt;=0,ALL87,ALL87-G88*MAX(0,CL88*ALL87-(JK88+MX88)))),ALL87*(1-MAX(0,CL88)*H_Exit))</f>
        <v>0</v>
      </c>
      <c r="FZ88" s="20" t="n">
        <f aca="false">IF(H_Direct=1,IF(ALM87&lt;=0,0,IF(CM88&lt;=0,ALM87,ALM87-G88*MAX(0,CM88*ALM87-(JL88+MY88)))),ALM87*(1-MAX(0,CM88)*H_Exit))</f>
        <v>0</v>
      </c>
      <c r="GA88" s="20" t="n">
        <f aca="false">IF(H_Direct=1,IF(ALN87&lt;=0,0,IF(CN88&lt;=0,ALN87,ALN87-G88*MAX(0,CN88*ALN87-(JM88+MZ88)))),ALN87*(1-MAX(0,CN88)*H_Exit))</f>
        <v>0</v>
      </c>
      <c r="GB88" s="20" t="n">
        <f aca="false">IF(H_Direct=1,IF(ALO87&lt;=0,0,IF(CO88&lt;=0,ALO87,ALO87-G88*MAX(0,CO88*ALO87-(JN88+NA88)))),ALO87*(1-MAX(0,CO88)*H_Exit))</f>
        <v>0</v>
      </c>
      <c r="GC88" s="20" t="n">
        <f aca="false">IF(H_Direct=1,IF(ALP87&lt;=0,0,IF(CP88&lt;=0,ALP87,ALP87-G88*MAX(0,CP88*ALP87-(JO88+NB88)))),ALP87*(1-MAX(0,CP88)*H_Exit))</f>
        <v>0</v>
      </c>
      <c r="GD88" s="20" t="n">
        <f aca="false">IF(H_Direct=1,IF(ALQ87&lt;=0,0,IF(CQ88&lt;=0,ALQ87,ALQ87-G88*MAX(0,CQ88*ALQ87-(JP88+NC88)))),ALQ87*(1-MAX(0,CQ88)*H_Exit))</f>
        <v>0</v>
      </c>
      <c r="GE88" s="20" t="n">
        <f aca="false">IF(H_Direct=1,IF(ALR87&lt;=0,0,IF(CR88&lt;=0,ALR87,ALR87-G88*MAX(0,CR88*ALR87-(JQ88+ND88)))),ALR87*(1-MAX(0,CR88)*H_Exit))</f>
        <v>0</v>
      </c>
      <c r="GF88" s="20" t="n">
        <f aca="false">IF(H_Direct=1,IF(ALS87&lt;=0,0,IF(CS88&lt;=0,ALS87,ALS87-G88*MAX(0,CS88*ALS87-(JR88+NE88)))),ALS87*(1-MAX(0,CS88)*H_Exit))</f>
        <v>0</v>
      </c>
      <c r="GG88" s="20" t="n">
        <f aca="false">IF(H_Direct=1,IF(ALT87&lt;=0,0,IF(CT88&lt;=0,ALT87,ALT87-G88*MAX(0,CT88*ALT87-(JS88+NF88)))),ALT87*(1-MAX(0,CT88)*H_Exit))</f>
        <v>0</v>
      </c>
      <c r="GH88" s="20" t="n">
        <f aca="false">IF(H_Direct=1,IF(ALU87&lt;=0,0,IF(CU88&lt;=0,ALU87,ALU87-G88*MAX(0,CU88*ALU87-(JT88+NG88)))),ALU87*(1-MAX(0,CU88)*H_Exit))</f>
        <v>0</v>
      </c>
      <c r="GI88" s="20" t="n">
        <f aca="false">IF(H_Direct=1,IF(ALV87&lt;=0,0,IF(CV88&lt;=0,ALV87,ALV87-G88*MAX(0,CV88*ALV87-(JU88+NH88)))),ALV87*(1-MAX(0,CV88)*H_Exit))</f>
        <v>0</v>
      </c>
      <c r="GJ88" s="20" t="n">
        <f aca="false">IF(H_Direct=1,IF(ALW87&lt;=0,0,IF(CW88&lt;=0,ALW87,ALW87-G88*MAX(0,CW88*ALW87-(JV88+NI88)))),ALW87*(1-MAX(0,CW88)*H_Exit))</f>
        <v>0</v>
      </c>
      <c r="GK88" s="20" t="n">
        <f aca="false">IF(H_Direct=1,IF(ALX87&lt;=0,0,IF(CX88&lt;=0,ALX87,ALX87-G88*MAX(0,CX88*ALX87-(JW88+NJ88)))),ALX87*(1-MAX(0,CX88)*H_Exit))</f>
        <v>0</v>
      </c>
      <c r="GL88" s="20" t="n">
        <f aca="false">IF(H_Direct=1,IF(ALY87&lt;=0,0,IF(CY88&lt;=0,ALY87,ALY87-G88*MAX(0,CY88*ALY87-(JX88+NK88)))),ALY87*(1-MAX(0,CY88)*H_Exit))</f>
        <v>0</v>
      </c>
      <c r="GM88" s="20" t="n">
        <f aca="false">IF(H_Direct=1,IF(ALZ87&lt;=0,0,IF(CZ88&lt;=0,ALZ87,ALZ87-G88*MAX(0,CZ88*ALZ87-(JY88+NL88)))),ALZ87*(1-MAX(0,CZ88)*H_Exit))</f>
        <v>0</v>
      </c>
      <c r="GN88" s="20" t="n">
        <f aca="false">IF(H_Direct=1,IF(AMA87&lt;=0,0,IF(DA88&lt;=0,AMA87,AMA87-G88*MAX(0,DA88*AMA87-(JZ88+NM88)))),AMA87*(1-MAX(0,DA88)*H_Exit))</f>
        <v>0</v>
      </c>
      <c r="GO88" s="20" t="n">
        <f aca="false">IF(H_Direct=1,IF(AMB87&lt;=0,0,IF(DB88&lt;=0,AMB87,AMB87-G88*MAX(0,DB88*AMB87-(KA88+NN88)))),AMB87*(1-MAX(0,DB88)*H_Exit))</f>
        <v>0</v>
      </c>
      <c r="GP88" s="20" t="n">
        <f aca="false">IF(H_Direct=1,IF(AMC87&lt;=0,0,IF(DC88&lt;=0,AMC87,AMC87-G88*MAX(0,DC88*AMC87-(KB88+NO88)))),AMC87*(1-MAX(0,DC88)*H_Exit))</f>
        <v>0</v>
      </c>
      <c r="GQ88" s="20" t="n">
        <f aca="false">IF(H_Direct=1,IF(AMD87&lt;=0,0,IF(DD88&lt;=0,AMD87,AMD87-G88*MAX(0,DD88*AMD87-(KC88+NP88)))),AMD87*(1-MAX(0,DD88)*H_Exit))</f>
        <v>0</v>
      </c>
      <c r="GR88" s="20" t="n">
        <f aca="false">IF(H_Direct=1,IF(AME87&lt;=0,0,IF(DE88&lt;=0,AME87,AME87-G88*MAX(0,DE88*AME87-(KD88+NQ88)))),AME87*(1-MAX(0,DE88)*H_Exit))</f>
        <v>0</v>
      </c>
      <c r="GS88" s="20" t="n">
        <f aca="false">IF(H_Direct=1,IF(AMF87&lt;=0,0,IF(DF88&lt;=0,AMF87,AMF87-G88*MAX(0,DF88*AMF87-(KE88+NR88)))),AMF87*(1-MAX(0,DF88)*H_Exit))</f>
        <v>0</v>
      </c>
      <c r="GT88" s="20" t="n">
        <f aca="false">IF(H_Direct=1,IF(AMG87&lt;=0,0,IF(DG88&lt;=0,AMG87,AMG87-G88*MAX(0,DG88*AMG87-(KF88+NS88)))),AMG87*(1-MAX(0,DG88)*H_Exit))</f>
        <v>0</v>
      </c>
      <c r="GU88" s="20" t="n">
        <f aca="false">IF(H_Direct=1,IF(AMH87&lt;=0,0,IF(DH88&lt;=0,AMH87,AMH87-G88*MAX(0,DH88*AMH87-(KG88+NT88)))),AMH87*(1-MAX(0,DH88)*H_Exit))</f>
        <v>0</v>
      </c>
      <c r="GV88" s="20" t="n">
        <f aca="false">IF(H_Direct=1,IF(AMI87&lt;=0,0,IF(DI88&lt;=0,AMI87,AMI87-G88*MAX(0,DI88*AMI87-(KH88+NU88)))),AMI87*(1-MAX(0,DI88)*H_Exit))</f>
        <v>0</v>
      </c>
      <c r="GW88" s="20" t="n">
        <f aca="false">IF(H_Direct=1,IF(AMJ87&lt;=0,0,IF(DJ88&lt;=0,AMJ87,AMJ87-G88*MAX(0,DJ88*AMJ87-(KI88+NV88)))),AMJ87*(1-MAX(0,DJ88)*H_Exit))</f>
        <v>0</v>
      </c>
      <c r="GX88" s="20" t="n">
        <f aca="false">IF(H_Direct=1,IF(AMK87&lt;=0,0,IF(DK88&lt;=0,AMK87,AMK87-G88*MAX(0,DK88*AMK87-(KJ88+NW88)))),AMK87*(1-MAX(0,DK88)*H_Exit))</f>
        <v>0</v>
      </c>
      <c r="GY88" s="20" t="n">
        <f aca="false">IF(H_Direct=1,IF(AML87&lt;=0,0,IF(DL88&lt;=0,AML87,AML87-G88*MAX(0,DL88*AML87-(KK88+NX88)))),AML87*(1-MAX(0,DL88)*H_Exit))</f>
        <v>0</v>
      </c>
      <c r="GZ88" s="20" t="n">
        <f aca="false">IF(H_Direct=1,IF(AMM87&lt;=0,0,IF(DM88&lt;=0,AMM87,AMM87-G88*MAX(0,DM88*AMM87-(KL88+NY88)))),AMM87*(1-MAX(0,DM88)*H_Exit))</f>
        <v>0</v>
      </c>
      <c r="HA88" s="20" t="n">
        <f aca="false">IF(H_Direct=1,IF(AMN87&lt;=0,0,IF(DN88&lt;=0,AMN87,AMN87-G88*MAX(0,DN88*AMN87-(KM88+NZ88)))),AMN87*(1-MAX(0,DN88)*H_Exit))</f>
        <v>0</v>
      </c>
      <c r="HB88" s="20" t="n">
        <f aca="false">IF(H_Direct=1,IF(AMO87&lt;=0,0,IF(DO88&lt;=0,AMO87,AMO87-G88*MAX(0,DO88*AMO87-(KN88+OA88)))),AMO87*(1-MAX(0,DO88)*H_Exit))</f>
        <v>0</v>
      </c>
      <c r="HC88" s="20" t="n">
        <f aca="false">IF(H_Direct=1,IF(AMP87&lt;=0,0,IF(DP88&lt;=0,AMP87,AMP87-G88*MAX(0,DP88*AMP87-(KO88+OB88)))),AMP87*(1-MAX(0,DP88)*H_Exit))</f>
        <v>0</v>
      </c>
      <c r="HD88" s="20" t="n">
        <f aca="false">IF(H_Direct=1,IF(AMQ87&lt;=0,0,IF(DQ88&lt;=0,AMQ87,AMQ87-G88*MAX(0,DQ88*AMQ87-(KP88+OC88)))),AMQ87*(1-MAX(0,DQ88)*H_Exit))</f>
        <v>0</v>
      </c>
      <c r="HE88" s="20" t="n">
        <f aca="false">IF(H_Direct=1,IF(AMR87&lt;=0,0,IF(DR88&lt;=0,AMR87,AMR87-G88*MAX(0,DR88*AMR87-(KQ88+OD88)))),AMR87*(1-MAX(0,DR88)*H_Exit))</f>
        <v>0</v>
      </c>
      <c r="HF88" s="20" t="n">
        <f aca="false">IF(H_Direct=1,IF(AMS87&lt;=0,0,IF(DS88&lt;=0,AMS87,AMS87-G88*MAX(0,DS88*AMS87-(KR88+OE88)))),AMS87*(1-MAX(0,DS88)*H_Exit))</f>
        <v>0</v>
      </c>
      <c r="HG88" s="20" t="n">
        <f aca="false">IF(H_Direct=1,IF(AMT87&lt;=0,0,IF(DT88&lt;=0,AMT87,AMT87-G88*MAX(0,DT88*AMT87-(KS88+OF88)))),AMT87*(1-MAX(0,DT88)*H_Exit))</f>
        <v>0</v>
      </c>
      <c r="HH88" s="20" t="n">
        <f aca="false">IF(H_Direct=1,IF(AMU87&lt;=0,0,IF(DU88&lt;=0,AMU87,AMU87-G88*MAX(0,DU88*AMU87-(KT88+OG88)))),AMU87*(1-MAX(0,DU88)*H_Exit))</f>
        <v>0</v>
      </c>
      <c r="HI88" s="20" t="n">
        <f aca="false">IF(H_Direct=1,IF(AMV87&lt;=0,0,IF(DV88&lt;=0,AMV87,AMV87-G88*MAX(0,DV88*AMV87-(KU88+OH88)))),AMV87*(1-MAX(0,DV88)*H_Exit))</f>
        <v>0</v>
      </c>
      <c r="HJ88" s="20" t="n">
        <f aca="false">IF(H_Direct=1,IF(AMW87&lt;=0,0,IF(DW88&lt;=0,AMW87,AMW87-G88*MAX(0,DW88*AMW87-(KV88+OI88)))),AMW87*(1-MAX(0,DW88)*H_Exit))</f>
        <v>0</v>
      </c>
      <c r="HK88" s="20" t="n">
        <f aca="false">IF(H_Direct=1,IF(AMX87&lt;=0,0,IF(DX88&lt;=0,AMX87,AMX87-G88*MAX(0,DX88*AMX87-(KW88+OJ88)))),AMX87*(1-MAX(0,DX88)*H_Exit))</f>
        <v>0</v>
      </c>
      <c r="HL88" s="20" t="n">
        <f aca="false">IF(H_Direct=1,IF(AMY87&lt;=0,0,IF(DY88&lt;=0,AMY87,AMY87-G88*MAX(0,DY88*AMY87-(KX88+OK88)))),AMY87*(1-MAX(0,DY88)*H_Exit))</f>
        <v>0</v>
      </c>
      <c r="HM88" s="20" t="n">
        <f aca="false">IF(H_Direct=1,IF(AMZ87&lt;=0,0,IF(DZ88&lt;=0,AMZ87,AMZ87-G88*MAX(0,DZ88*AMZ87-(KY88+OL88)))),AMZ87*(1-MAX(0,DZ88)*H_Exit))</f>
        <v>0</v>
      </c>
      <c r="HN88" s="20" t="n">
        <f aca="false">IF(H_Direct=1,IF(ANA87&lt;=0,0,IF(EA88&lt;=0,ANA87,ANA87-G88*MAX(0,EA88*ANA87-(KZ88+OM88)))),ANA87*(1-MAX(0,EA88)*H_Exit))</f>
        <v>0</v>
      </c>
      <c r="HO88" s="20" t="n">
        <f aca="false">IF(H_Direct=1,IF(ANB87&lt;=0,0,IF(EB88&lt;=0,ANB87,ANB87-G88*MAX(0,EB88*ANB87-(LA88+ON88)))),ANB87*(1-MAX(0,EB88)*H_Exit))</f>
        <v>0</v>
      </c>
      <c r="HP88" s="20" t="n">
        <f aca="false">IF(H_Direct=1,IF(ANC87&lt;=0,0,IF(EC88&lt;=0,ANC87,ANC87-G88*MAX(0,EC88*ANC87-(LB88+OO88)))),ANC87*(1-MAX(0,EC88)*H_Exit))</f>
        <v>0</v>
      </c>
      <c r="HQ88" s="20" t="n">
        <f aca="false">IF(H_Direct=1,IF(AND87&lt;=0,0,IF(ED88&lt;=0,AND87,AND87-G88*MAX(0,ED88*AND87-(LC88+OP88)))),AND87*(1-MAX(0,ED88)*H_Exit))</f>
        <v>0</v>
      </c>
      <c r="HR88" s="20" t="n">
        <f aca="false">IF(H_Direct=1,IF(ANE87&lt;=0,0,IF(EE88&lt;=0,ANE87,ANE87-G88*MAX(0,EE88*ANE87-(LD88+OQ88)))),ANE87*(1-MAX(0,EE88)*H_Exit))</f>
        <v>0</v>
      </c>
      <c r="HS88" s="20" t="n">
        <f aca="false">IF(H_Direct=1,IF(ANF87&lt;=0,0,IF(EF88&lt;=0,ANF87,ANF87-G88*MAX(0,EF88*ANF87-(LE88+OR88)))),ANF87*(1-MAX(0,EF88)*H_Exit))</f>
        <v>0</v>
      </c>
      <c r="HT88" s="20" t="n">
        <f aca="false">IF(H_Direct=1,IF(ANG87&lt;=0,0,IF(EG88&lt;=0,ANG87,ANG87-G88*MAX(0,EG88*ANG87-(LF88+OS88)))),ANG87*(1-MAX(0,EG88)*H_Exit))</f>
        <v>0</v>
      </c>
      <c r="HU88" s="20" t="n">
        <f aca="false">IF(H_Direct=1,IF(ANH87&lt;=0,0,IF(EH88&lt;=0,ANH87,ANH87-G88*MAX(0,EH88*ANH87-(LG88+OT88)))),ANH87*(1-MAX(0,EH88)*H_Exit))</f>
        <v>0</v>
      </c>
      <c r="HV88" s="20" t="n">
        <f aca="false">IF(H_Direct=1,IF(ANI87&lt;=0,0,IF(EI88&lt;=0,ANI87,ANI87-G88*MAX(0,EI88*ANI87-(LH88+OU88)))),ANI87*(1-MAX(0,EI88)*H_Exit))</f>
        <v>0</v>
      </c>
      <c r="HW88" s="20" t="n">
        <f aca="false">IF(H_Direct=1,IF(ANJ87&lt;=0,0,IF(EJ88&lt;=0,ANJ87,ANJ87-G88*MAX(0,EJ88*ANJ87-(LI88+OV88)))),ANJ87*(1-MAX(0,EJ88)*H_Exit))</f>
        <v>0</v>
      </c>
      <c r="HX88" s="20" t="n">
        <f aca="false">IF(H_Direct=1,IF(ANK87&lt;=0,0,IF(EK88&lt;=0,ANK87,ANK87-G88*MAX(0,EK88*ANK87-(LJ88+OW88)))),ANK87*(1-MAX(0,EK88)*H_Exit))</f>
        <v>0</v>
      </c>
      <c r="HY88" s="20" t="n">
        <f aca="false">IF(H_Direct=1,IF(ANL87&lt;=0,0,IF(EL88&lt;=0,ANL87,ANL87-G88*MAX(0,EL88*ANL87-(LK88+OX88)))),ANL87*(1-MAX(0,EL88)*H_Exit))</f>
        <v>0</v>
      </c>
      <c r="HZ88" s="20" t="n">
        <f aca="false">IF(H_Direct=1,IF(ANM87&lt;=0,0,IF(EM88&lt;=0,ANM87,ANM87-G88*MAX(0,EM88*ANM87-(LL88+OY88)))),ANM87*(1-MAX(0,EM88)*H_Exit))</f>
        <v>0</v>
      </c>
      <c r="IA88" s="20" t="n">
        <f aca="false">IF(H_Direct=1,IF(ANN87&lt;=0,0,IF(EN88&lt;=0,ANN87,ANN87-G88*MAX(0,EN88*ANN87-(LM88+OZ88)))),ANN87*(1-MAX(0,EN88)*H_Exit))</f>
        <v>0</v>
      </c>
      <c r="IB88" s="20" t="n">
        <f aca="false">IF(H_Direct=1,IF(ANO87&lt;=0,0,IF(EO88&lt;=0,ANO87,ANO87-G88*MAX(0,EO88*ANO87-(LN88+PA88)))),ANO87*(1-MAX(0,EO88)*H_Exit))</f>
        <v>0</v>
      </c>
      <c r="IC88" s="20" t="n">
        <f aca="false">IF(H_Direct=1,IF(ANP87&lt;=0,0,IF(EP88&lt;=0,ANP87,ANP87-G88*MAX(0,EP88*ANP87-(LO88+PB88)))),ANP87*(1-MAX(0,EP88)*H_Exit))</f>
        <v>0</v>
      </c>
      <c r="ID88" s="20" t="n">
        <f aca="false">IF(H_Direct=1,IF(ANQ87&lt;=0,0,IF(EQ88&lt;=0,ANQ87,ANQ87-G88*MAX(0,EQ88*ANQ87-(LP88+PC88)))),ANQ87*(1-MAX(0,EQ88)*H_Exit))</f>
        <v>0</v>
      </c>
      <c r="IE88" s="20" t="n">
        <f aca="false">IF(H_Direct=1,IF(ANR87&lt;=0,0,IF(ER88&lt;=0,ANR87,ANR87-G88*MAX(0,ER88*ANR87-(LQ88+PD88)))),ANR87*(1-MAX(0,ER88)*H_Exit))</f>
        <v>0</v>
      </c>
      <c r="IF88" s="20" t="n">
        <f aca="false">IF(H_Direct=1,IF(ANS87&lt;=0,0,IF(ES88&lt;=0,ANS87,ANS87-G88*MAX(0,ES88*ANS87-(LR88+PE88)))),ANS87*(1-MAX(0,ES88)*H_Exit))</f>
        <v>0</v>
      </c>
      <c r="IG88" s="20" t="n">
        <f aca="false">IF(H_Direct=1,IF(ANT87&lt;=0,0,IF(ET88&lt;=0,ANT87,ANT87-G88*MAX(0,ET88*ANT87-(LS88+PF88)))),ANT87*(1-MAX(0,ET88)*H_Exit))</f>
        <v>0</v>
      </c>
      <c r="IH88" s="20" t="n">
        <f aca="false">IF(H_Direct=1,IF((P88+S88)&lt;=0,0,IF(EU88&lt;=0,(P88+S88),(P88+S88)-G88*MAX(0,EU88*(P88+S88)-(LT88+PG88)))),(P88+S88)*(1-MAX(0,EU88)*H_Exit))</f>
        <v>0</v>
      </c>
      <c r="II88" s="20" t="n">
        <v>0</v>
      </c>
      <c r="IJ88" s="20" t="n">
        <v>0</v>
      </c>
      <c r="IK88" s="20" t="n">
        <v>0</v>
      </c>
      <c r="IL88" s="20" t="n">
        <v>0</v>
      </c>
      <c r="IM88" s="20" t="n">
        <v>0</v>
      </c>
      <c r="IN88" s="20" t="n">
        <v>0</v>
      </c>
      <c r="IO88" s="20" t="n">
        <v>0</v>
      </c>
      <c r="IP88" s="20" t="n">
        <v>0</v>
      </c>
      <c r="IQ88" s="20" t="n">
        <v>0</v>
      </c>
      <c r="IR88" s="20" t="n">
        <f aca="false">IF(AND(H_Direct=1,BR88&gt;0),MAX(0,H88-(MIN(BR88*AKR87,H88+I88)-MIN(MIN(BR88*AKR87,H88+I88),I88))),H88)</f>
        <v>1270</v>
      </c>
      <c r="IS88" s="20" t="n">
        <f aca="false">IF(AND(H_Direct=1,BS88&gt;0),MAX(0,IR88-(MIN(BS88*AKS87,IR88+ME88)-MIN(MIN(BS88*AKS87,IR88+ME88),ME88))),IR88)</f>
        <v>1270</v>
      </c>
      <c r="IT88" s="20" t="n">
        <f aca="false">IF(AND(H_Direct=1,BT88&gt;0),MAX(0,IS88-(MIN(BT88*AKT87,IS88+MF88)-MIN(MIN(BT88*AKT87,IS88+MF88),MF88))),IS88)</f>
        <v>1270</v>
      </c>
      <c r="IU88" s="20" t="n">
        <f aca="false">IF(AND(H_Direct=1,BU88&gt;0),MAX(0,IT88-(MIN(BU88*AKU87,IT88+MG88)-MIN(MIN(BU88*AKU87,IT88+MG88),MG88))),IT88)</f>
        <v>1270</v>
      </c>
      <c r="IV88" s="20" t="n">
        <f aca="false">IF(AND(H_Direct=1,BV88&gt;0),MAX(0,IU88-(MIN(BV88*AKV87,IU88+MH88)-MIN(MIN(BV88*AKV87,IU88+MH88),MH88))),IU88)</f>
        <v>1270</v>
      </c>
      <c r="IW88" s="20" t="n">
        <f aca="false">IF(AND(H_Direct=1,BW88&gt;0),MAX(0,IV88-(MIN(BW88*AKW87,IV88+MI88)-MIN(MIN(BW88*AKW87,IV88+MI88),MI88))),IV88)</f>
        <v>1270</v>
      </c>
      <c r="IX88" s="20" t="n">
        <f aca="false">IF(AND(H_Direct=1,BX88&gt;0),MAX(0,IW88-(MIN(BX88*AKX87,IW88+MJ88)-MIN(MIN(BX88*AKX87,IW88+MJ88),MJ88))),IW88)</f>
        <v>1270</v>
      </c>
      <c r="IY88" s="20" t="n">
        <f aca="false">IF(AND(H_Direct=1,BY88&gt;0),MAX(0,IX88-(MIN(BY88*AKY87,IX88+MK88)-MIN(MIN(BY88*AKY87,IX88+MK88),MK88))),IX88)</f>
        <v>1270</v>
      </c>
      <c r="IZ88" s="20" t="n">
        <f aca="false">IF(AND(H_Direct=1,BZ88&gt;0),MAX(0,IY88-(MIN(BZ88*AKZ87,IY88+ML88)-MIN(MIN(BZ88*AKZ87,IY88+ML88),ML88))),IY88)</f>
        <v>1270</v>
      </c>
      <c r="JA88" s="20" t="n">
        <f aca="false">IF(AND(H_Direct=1,CA88&gt;0),MAX(0,IZ88-(MIN(CA88*ALA87,IZ88+MM88)-MIN(MIN(CA88*ALA87,IZ88+MM88),MM88))),IZ88)</f>
        <v>1270</v>
      </c>
      <c r="JB88" s="20" t="n">
        <f aca="false">IF(AND(H_Direct=1,CB88&gt;0),MAX(0,JA88-(MIN(CB88*ALB87,JA88+MN88)-MIN(MIN(CB88*ALB87,JA88+MN88),MN88))),JA88)</f>
        <v>1270</v>
      </c>
      <c r="JC88" s="20" t="n">
        <f aca="false">IF(AND(H_Direct=1,CC88&gt;0),MAX(0,JB88-(MIN(CC88*ALC87,JB88+MO88)-MIN(MIN(CC88*ALC87,JB88+MO88),MO88))),JB88)</f>
        <v>1270</v>
      </c>
      <c r="JD88" s="20" t="n">
        <f aca="false">IF(AND(H_Direct=1,CD88&gt;0),MAX(0,JC88-(MIN(CD88*ALD87,JC88+MP88)-MIN(MIN(CD88*ALD87,JC88+MP88),MP88))),JC88)</f>
        <v>1270</v>
      </c>
      <c r="JE88" s="20" t="n">
        <f aca="false">IF(AND(H_Direct=1,CE88&gt;0),MAX(0,JD88-(MIN(CE88*ALE87,JD88+MQ88)-MIN(MIN(CE88*ALE87,JD88+MQ88),MQ88))),JD88)</f>
        <v>1270</v>
      </c>
      <c r="JF88" s="20" t="n">
        <f aca="false">IF(AND(H_Direct=1,CF88&gt;0),MAX(0,JE88-(MIN(CF88*ALF87,JE88+MR88)-MIN(MIN(CF88*ALF87,JE88+MR88),MR88))),JE88)</f>
        <v>1270</v>
      </c>
      <c r="JG88" s="20" t="n">
        <f aca="false">IF(AND(H_Direct=1,CG88&gt;0),MAX(0,JF88-(MIN(CG88*ALG87,JF88+MS88)-MIN(MIN(CG88*ALG87,JF88+MS88),MS88))),JF88)</f>
        <v>1270</v>
      </c>
      <c r="JH88" s="20" t="n">
        <f aca="false">IF(AND(H_Direct=1,CH88&gt;0),MAX(0,JG88-(MIN(CH88*ALH87,JG88+MT88)-MIN(MIN(CH88*ALH87,JG88+MT88),MT88))),JG88)</f>
        <v>1270</v>
      </c>
      <c r="JI88" s="20" t="n">
        <f aca="false">IF(AND(H_Direct=1,CI88&gt;0),MAX(0,JH88-(MIN(CI88*ALI87,JH88+MU88)-MIN(MIN(CI88*ALI87,JH88+MU88),MU88))),JH88)</f>
        <v>1270</v>
      </c>
      <c r="JJ88" s="20" t="n">
        <f aca="false">IF(AND(H_Direct=1,CJ88&gt;0),MAX(0,JI88-(MIN(CJ88*ALJ87,JI88+MV88)-MIN(MIN(CJ88*ALJ87,JI88+MV88),MV88))),JI88)</f>
        <v>1270</v>
      </c>
      <c r="JK88" s="20" t="n">
        <f aca="false">IF(AND(H_Direct=1,CK88&gt;0),MAX(0,JJ88-(MIN(CK88*ALK87,JJ88+MW88)-MIN(MIN(CK88*ALK87,JJ88+MW88),MW88))),JJ88)</f>
        <v>1270</v>
      </c>
      <c r="JL88" s="20" t="n">
        <f aca="false">IF(AND(H_Direct=1,CL88&gt;0),MAX(0,JK88-(MIN(CL88*ALL87,JK88+MX88)-MIN(MIN(CL88*ALL87,JK88+MX88),MX88))),JK88)</f>
        <v>1270</v>
      </c>
      <c r="JM88" s="20" t="n">
        <f aca="false">IF(AND(H_Direct=1,CM88&gt;0),MAX(0,JL88-(MIN(CM88*ALM87,JL88+MY88)-MIN(MIN(CM88*ALM87,JL88+MY88),MY88))),JL88)</f>
        <v>1270</v>
      </c>
      <c r="JN88" s="20" t="n">
        <f aca="false">IF(AND(H_Direct=1,CN88&gt;0),MAX(0,JM88-(MIN(CN88*ALN87,JM88+MZ88)-MIN(MIN(CN88*ALN87,JM88+MZ88),MZ88))),JM88)</f>
        <v>1270</v>
      </c>
      <c r="JO88" s="20" t="n">
        <f aca="false">IF(AND(H_Direct=1,CO88&gt;0),MAX(0,JN88-(MIN(CO88*ALO87,JN88+NA88)-MIN(MIN(CO88*ALO87,JN88+NA88),NA88))),JN88)</f>
        <v>1270</v>
      </c>
      <c r="JP88" s="20" t="n">
        <f aca="false">IF(AND(H_Direct=1,CP88&gt;0),MAX(0,JO88-(MIN(CP88*ALP87,JO88+NB88)-MIN(MIN(CP88*ALP87,JO88+NB88),NB88))),JO88)</f>
        <v>1270</v>
      </c>
      <c r="JQ88" s="20" t="n">
        <f aca="false">IF(AND(H_Direct=1,CQ88&gt;0),MAX(0,JP88-(MIN(CQ88*ALQ87,JP88+NC88)-MIN(MIN(CQ88*ALQ87,JP88+NC88),NC88))),JP88)</f>
        <v>1270</v>
      </c>
      <c r="JR88" s="20" t="n">
        <f aca="false">IF(AND(H_Direct=1,CR88&gt;0),MAX(0,JQ88-(MIN(CR88*ALR87,JQ88+ND88)-MIN(MIN(CR88*ALR87,JQ88+ND88),ND88))),JQ88)</f>
        <v>1270</v>
      </c>
      <c r="JS88" s="20" t="n">
        <f aca="false">IF(AND(H_Direct=1,CS88&gt;0),MAX(0,JR88-(MIN(CS88*ALS87,JR88+NE88)-MIN(MIN(CS88*ALS87,JR88+NE88),NE88))),JR88)</f>
        <v>1270</v>
      </c>
      <c r="JT88" s="20" t="n">
        <f aca="false">IF(AND(H_Direct=1,CT88&gt;0),MAX(0,JS88-(MIN(CT88*ALT87,JS88+NF88)-MIN(MIN(CT88*ALT87,JS88+NF88),NF88))),JS88)</f>
        <v>1270</v>
      </c>
      <c r="JU88" s="20" t="n">
        <f aca="false">IF(AND(H_Direct=1,CU88&gt;0),MAX(0,JT88-(MIN(CU88*ALU87,JT88+NG88)-MIN(MIN(CU88*ALU87,JT88+NG88),NG88))),JT88)</f>
        <v>1270</v>
      </c>
      <c r="JV88" s="20" t="n">
        <f aca="false">IF(AND(H_Direct=1,CV88&gt;0),MAX(0,JU88-(MIN(CV88*ALV87,JU88+NH88)-MIN(MIN(CV88*ALV87,JU88+NH88),NH88))),JU88)</f>
        <v>1270</v>
      </c>
      <c r="JW88" s="20" t="n">
        <f aca="false">IF(AND(H_Direct=1,CW88&gt;0),MAX(0,JV88-(MIN(CW88*ALW87,JV88+NI88)-MIN(MIN(CW88*ALW87,JV88+NI88),NI88))),JV88)</f>
        <v>1270</v>
      </c>
      <c r="JX88" s="20" t="n">
        <f aca="false">IF(AND(H_Direct=1,CX88&gt;0),MAX(0,JW88-(MIN(CX88*ALX87,JW88+NJ88)-MIN(MIN(CX88*ALX87,JW88+NJ88),NJ88))),JW88)</f>
        <v>1270</v>
      </c>
      <c r="JY88" s="20" t="n">
        <f aca="false">IF(AND(H_Direct=1,CY88&gt;0),MAX(0,JX88-(MIN(CY88*ALY87,JX88+NK88)-MIN(MIN(CY88*ALY87,JX88+NK88),NK88))),JX88)</f>
        <v>1270</v>
      </c>
      <c r="JZ88" s="20" t="n">
        <f aca="false">IF(AND(H_Direct=1,CZ88&gt;0),MAX(0,JY88-(MIN(CZ88*ALZ87,JY88+NL88)-MIN(MIN(CZ88*ALZ87,JY88+NL88),NL88))),JY88)</f>
        <v>1270</v>
      </c>
      <c r="KA88" s="20" t="n">
        <f aca="false">IF(AND(H_Direct=1,DA88&gt;0),MAX(0,JZ88-(MIN(DA88*AMA87,JZ88+NM88)-MIN(MIN(DA88*AMA87,JZ88+NM88),NM88))),JZ88)</f>
        <v>1270</v>
      </c>
      <c r="KB88" s="20" t="n">
        <f aca="false">IF(AND(H_Direct=1,DB88&gt;0),MAX(0,KA88-(MIN(DB88*AMB87,KA88+NN88)-MIN(MIN(DB88*AMB87,KA88+NN88),NN88))),KA88)</f>
        <v>1270</v>
      </c>
      <c r="KC88" s="20" t="n">
        <f aca="false">IF(AND(H_Direct=1,DC88&gt;0),MAX(0,KB88-(MIN(DC88*AMC87,KB88+NO88)-MIN(MIN(DC88*AMC87,KB88+NO88),NO88))),KB88)</f>
        <v>1270</v>
      </c>
      <c r="KD88" s="20" t="n">
        <f aca="false">IF(AND(H_Direct=1,DD88&gt;0),MAX(0,KC88-(MIN(DD88*AMD87,KC88+NP88)-MIN(MIN(DD88*AMD87,KC88+NP88),NP88))),KC88)</f>
        <v>1270</v>
      </c>
      <c r="KE88" s="20" t="n">
        <f aca="false">IF(AND(H_Direct=1,DE88&gt;0),MAX(0,KD88-(MIN(DE88*AME87,KD88+NQ88)-MIN(MIN(DE88*AME87,KD88+NQ88),NQ88))),KD88)</f>
        <v>1270</v>
      </c>
      <c r="KF88" s="20" t="n">
        <f aca="false">IF(AND(H_Direct=1,DF88&gt;0),MAX(0,KE88-(MIN(DF88*AMF87,KE88+NR88)-MIN(MIN(DF88*AMF87,KE88+NR88),NR88))),KE88)</f>
        <v>1270</v>
      </c>
      <c r="KG88" s="20" t="n">
        <f aca="false">IF(AND(H_Direct=1,DG88&gt;0),MAX(0,KF88-(MIN(DG88*AMG87,KF88+NS88)-MIN(MIN(DG88*AMG87,KF88+NS88),NS88))),KF88)</f>
        <v>1270</v>
      </c>
      <c r="KH88" s="20" t="n">
        <f aca="false">IF(AND(H_Direct=1,DH88&gt;0),MAX(0,KG88-(MIN(DH88*AMH87,KG88+NT88)-MIN(MIN(DH88*AMH87,KG88+NT88),NT88))),KG88)</f>
        <v>1270</v>
      </c>
      <c r="KI88" s="20" t="n">
        <f aca="false">IF(AND(H_Direct=1,DI88&gt;0),MAX(0,KH88-(MIN(DI88*AMI87,KH88+NU88)-MIN(MIN(DI88*AMI87,KH88+NU88),NU88))),KH88)</f>
        <v>1270</v>
      </c>
      <c r="KJ88" s="20" t="n">
        <f aca="false">IF(AND(H_Direct=1,DJ88&gt;0),MAX(0,KI88-(MIN(DJ88*AMJ87,KI88+NV88)-MIN(MIN(DJ88*AMJ87,KI88+NV88),NV88))),KI88)</f>
        <v>1270</v>
      </c>
      <c r="KK88" s="20" t="n">
        <f aca="false">IF(AND(H_Direct=1,DK88&gt;0),MAX(0,KJ88-(MIN(DK88*AMK87,KJ88+NW88)-MIN(MIN(DK88*AMK87,KJ88+NW88),NW88))),KJ88)</f>
        <v>1270</v>
      </c>
      <c r="KL88" s="20" t="n">
        <f aca="false">IF(AND(H_Direct=1,DL88&gt;0),MAX(0,KK88-(MIN(DL88*AML87,KK88+NX88)-MIN(MIN(DL88*AML87,KK88+NX88),NX88))),KK88)</f>
        <v>1270</v>
      </c>
      <c r="KM88" s="20" t="n">
        <f aca="false">IF(AND(H_Direct=1,DM88&gt;0),MAX(0,KL88-(MIN(DM88*AMM87,KL88+NY88)-MIN(MIN(DM88*AMM87,KL88+NY88),NY88))),KL88)</f>
        <v>1270</v>
      </c>
      <c r="KN88" s="20" t="n">
        <f aca="false">IF(AND(H_Direct=1,DN88&gt;0),MAX(0,KM88-(MIN(DN88*AMN87,KM88+NZ88)-MIN(MIN(DN88*AMN87,KM88+NZ88),NZ88))),KM88)</f>
        <v>1270</v>
      </c>
      <c r="KO88" s="20" t="n">
        <f aca="false">IF(AND(H_Direct=1,DO88&gt;0),MAX(0,KN88-(MIN(DO88*AMO87,KN88+OA88)-MIN(MIN(DO88*AMO87,KN88+OA88),OA88))),KN88)</f>
        <v>1270</v>
      </c>
      <c r="KP88" s="20" t="n">
        <f aca="false">IF(AND(H_Direct=1,DP88&gt;0),MAX(0,KO88-(MIN(DP88*AMP87,KO88+OB88)-MIN(MIN(DP88*AMP87,KO88+OB88),OB88))),KO88)</f>
        <v>1270</v>
      </c>
      <c r="KQ88" s="20" t="n">
        <f aca="false">IF(AND(H_Direct=1,DQ88&gt;0),MAX(0,KP88-(MIN(DQ88*AMQ87,KP88+OC88)-MIN(MIN(DQ88*AMQ87,KP88+OC88),OC88))),KP88)</f>
        <v>1270</v>
      </c>
      <c r="KR88" s="20" t="n">
        <f aca="false">IF(AND(H_Direct=1,DR88&gt;0),MAX(0,KQ88-(MIN(DR88*AMR87,KQ88+OD88)-MIN(MIN(DR88*AMR87,KQ88+OD88),OD88))),KQ88)</f>
        <v>1270</v>
      </c>
      <c r="KS88" s="20" t="n">
        <f aca="false">IF(AND(H_Direct=1,DS88&gt;0),MAX(0,KR88-(MIN(DS88*AMS87,KR88+OE88)-MIN(MIN(DS88*AMS87,KR88+OE88),OE88))),KR88)</f>
        <v>1270</v>
      </c>
      <c r="KT88" s="20" t="n">
        <f aca="false">IF(AND(H_Direct=1,DT88&gt;0),MAX(0,KS88-(MIN(DT88*AMT87,KS88+OF88)-MIN(MIN(DT88*AMT87,KS88+OF88),OF88))),KS88)</f>
        <v>1270</v>
      </c>
      <c r="KU88" s="20" t="n">
        <f aca="false">IF(AND(H_Direct=1,DU88&gt;0),MAX(0,KT88-(MIN(DU88*AMU87,KT88+OG88)-MIN(MIN(DU88*AMU87,KT88+OG88),OG88))),KT88)</f>
        <v>1270</v>
      </c>
      <c r="KV88" s="20" t="n">
        <f aca="false">IF(AND(H_Direct=1,DV88&gt;0),MAX(0,KU88-(MIN(DV88*AMV87,KU88+OH88)-MIN(MIN(DV88*AMV87,KU88+OH88),OH88))),KU88)</f>
        <v>1270</v>
      </c>
      <c r="KW88" s="20" t="n">
        <f aca="false">IF(AND(H_Direct=1,DW88&gt;0),MAX(0,KV88-(MIN(DW88*AMW87,KV88+OI88)-MIN(MIN(DW88*AMW87,KV88+OI88),OI88))),KV88)</f>
        <v>1270</v>
      </c>
      <c r="KX88" s="20" t="n">
        <f aca="false">IF(AND(H_Direct=1,DX88&gt;0),MAX(0,KW88-(MIN(DX88*AMX87,KW88+OJ88)-MIN(MIN(DX88*AMX87,KW88+OJ88),OJ88))),KW88)</f>
        <v>1270</v>
      </c>
      <c r="KY88" s="20" t="n">
        <f aca="false">IF(AND(H_Direct=1,DY88&gt;0),MAX(0,KX88-(MIN(DY88*AMY87,KX88+OK88)-MIN(MIN(DY88*AMY87,KX88+OK88),OK88))),KX88)</f>
        <v>1270</v>
      </c>
      <c r="KZ88" s="20" t="n">
        <f aca="false">IF(AND(H_Direct=1,DZ88&gt;0),MAX(0,KY88-(MIN(DZ88*AMZ87,KY88+OL88)-MIN(MIN(DZ88*AMZ87,KY88+OL88),OL88))),KY88)</f>
        <v>1270</v>
      </c>
      <c r="LA88" s="20" t="n">
        <f aca="false">IF(AND(H_Direct=1,EA88&gt;0),MAX(0,KZ88-(MIN(EA88*ANA87,KZ88+OM88)-MIN(MIN(EA88*ANA87,KZ88+OM88),OM88))),KZ88)</f>
        <v>1270</v>
      </c>
      <c r="LB88" s="20" t="n">
        <f aca="false">IF(AND(H_Direct=1,EB88&gt;0),MAX(0,LA88-(MIN(EB88*ANB87,LA88+ON88)-MIN(MIN(EB88*ANB87,LA88+ON88),ON88))),LA88)</f>
        <v>1270</v>
      </c>
      <c r="LC88" s="20" t="n">
        <f aca="false">IF(AND(H_Direct=1,EC88&gt;0),MAX(0,LB88-(MIN(EC88*ANC87,LB88+OO88)-MIN(MIN(EC88*ANC87,LB88+OO88),OO88))),LB88)</f>
        <v>1270</v>
      </c>
      <c r="LD88" s="20" t="n">
        <f aca="false">IF(AND(H_Direct=1,ED88&gt;0),MAX(0,LC88-(MIN(ED88*AND87,LC88+OP88)-MIN(MIN(ED88*AND87,LC88+OP88),OP88))),LC88)</f>
        <v>1270</v>
      </c>
      <c r="LE88" s="20" t="n">
        <f aca="false">IF(AND(H_Direct=1,EE88&gt;0),MAX(0,LD88-(MIN(EE88*ANE87,LD88+OQ88)-MIN(MIN(EE88*ANE87,LD88+OQ88),OQ88))),LD88)</f>
        <v>1270</v>
      </c>
      <c r="LF88" s="20" t="n">
        <f aca="false">IF(AND(H_Direct=1,EF88&gt;0),MAX(0,LE88-(MIN(EF88*ANF87,LE88+OR88)-MIN(MIN(EF88*ANF87,LE88+OR88),OR88))),LE88)</f>
        <v>1270</v>
      </c>
      <c r="LG88" s="20" t="n">
        <f aca="false">IF(AND(H_Direct=1,EG88&gt;0),MAX(0,LF88-(MIN(EG88*ANG87,LF88+OS88)-MIN(MIN(EG88*ANG87,LF88+OS88),OS88))),LF88)</f>
        <v>1270</v>
      </c>
      <c r="LH88" s="20" t="n">
        <f aca="false">IF(AND(H_Direct=1,EH88&gt;0),MAX(0,LG88-(MIN(EH88*ANH87,LG88+OT88)-MIN(MIN(EH88*ANH87,LG88+OT88),OT88))),LG88)</f>
        <v>1270</v>
      </c>
      <c r="LI88" s="20" t="n">
        <f aca="false">IF(AND(H_Direct=1,EI88&gt;0),MAX(0,LH88-(MIN(EI88*ANI87,LH88+OU88)-MIN(MIN(EI88*ANI87,LH88+OU88),OU88))),LH88)</f>
        <v>1270</v>
      </c>
      <c r="LJ88" s="20" t="n">
        <f aca="false">IF(AND(H_Direct=1,EJ88&gt;0),MAX(0,LI88-(MIN(EJ88*ANJ87,LI88+OV88)-MIN(MIN(EJ88*ANJ87,LI88+OV88),OV88))),LI88)</f>
        <v>1270</v>
      </c>
      <c r="LK88" s="20" t="n">
        <f aca="false">IF(AND(H_Direct=1,EK88&gt;0),MAX(0,LJ88-(MIN(EK88*ANK87,LJ88+OW88)-MIN(MIN(EK88*ANK87,LJ88+OW88),OW88))),LJ88)</f>
        <v>1270</v>
      </c>
      <c r="LL88" s="20" t="n">
        <f aca="false">IF(AND(H_Direct=1,EL88&gt;0),MAX(0,LK88-(MIN(EL88*ANL87,LK88+OX88)-MIN(MIN(EL88*ANL87,LK88+OX88),OX88))),LK88)</f>
        <v>1270</v>
      </c>
      <c r="LM88" s="20" t="n">
        <f aca="false">IF(AND(H_Direct=1,EM88&gt;0),MAX(0,LL88-(MIN(EM88*ANM87,LL88+OY88)-MIN(MIN(EM88*ANM87,LL88+OY88),OY88))),LL88)</f>
        <v>1270</v>
      </c>
      <c r="LN88" s="20" t="n">
        <f aca="false">IF(AND(H_Direct=1,EN88&gt;0),MAX(0,LM88-(MIN(EN88*ANN87,LM88+OZ88)-MIN(MIN(EN88*ANN87,LM88+OZ88),OZ88))),LM88)</f>
        <v>1270</v>
      </c>
      <c r="LO88" s="20" t="n">
        <f aca="false">IF(AND(H_Direct=1,EO88&gt;0),MAX(0,LN88-(MIN(EO88*ANO87,LN88+PA88)-MIN(MIN(EO88*ANO87,LN88+PA88),PA88))),LN88)</f>
        <v>1270</v>
      </c>
      <c r="LP88" s="20" t="n">
        <f aca="false">IF(AND(H_Direct=1,EP88&gt;0),MAX(0,LO88-(MIN(EP88*ANP87,LO88+PB88)-MIN(MIN(EP88*ANP87,LO88+PB88),PB88))),LO88)</f>
        <v>1270</v>
      </c>
      <c r="LQ88" s="20" t="n">
        <f aca="false">IF(AND(H_Direct=1,EQ88&gt;0),MAX(0,LP88-(MIN(EQ88*ANQ87,LP88+PC88)-MIN(MIN(EQ88*ANQ87,LP88+PC88),PC88))),LP88)</f>
        <v>1270</v>
      </c>
      <c r="LR88" s="20" t="n">
        <f aca="false">IF(AND(H_Direct=1,ER88&gt;0),MAX(0,LQ88-(MIN(ER88*ANR87,LQ88+PD88)-MIN(MIN(ER88*ANR87,LQ88+PD88),PD88))),LQ88)</f>
        <v>1270</v>
      </c>
      <c r="LS88" s="20" t="n">
        <f aca="false">IF(AND(H_Direct=1,ES88&gt;0),MAX(0,LR88-(MIN(ES88*ANS87,LR88+PE88)-MIN(MIN(ES88*ANS87,LR88+PE88),PE88))),LR88)</f>
        <v>1270</v>
      </c>
      <c r="LT88" s="20" t="n">
        <f aca="false">IF(AND(H_Direct=1,ET88&gt;0),MAX(0,LS88-(MIN(ET88*ANT87,LS88+PF88)-MIN(MIN(ET88*ANT87,LS88+PF88),PF88))),LS88)</f>
        <v>1270</v>
      </c>
      <c r="LU88" s="20" t="n">
        <f aca="false">IF(AND(H_Direct=1,EU88&gt;0),MAX(0,LT88-(MIN(EU88*(P88+S88),LT88+PG88)-MIN(MIN(EU88*(P88+S88),LT88+PG88),PG88))),LT88)</f>
        <v>1270</v>
      </c>
      <c r="LV88" s="20" t="n">
        <f aca="false">LU88</f>
        <v>1270</v>
      </c>
      <c r="LW88" s="20" t="n">
        <f aca="false">LV88</f>
        <v>1270</v>
      </c>
      <c r="LX88" s="20" t="n">
        <f aca="false">LW88</f>
        <v>1270</v>
      </c>
      <c r="LY88" s="20" t="n">
        <f aca="false">LX88</f>
        <v>1270</v>
      </c>
      <c r="LZ88" s="20" t="n">
        <f aca="false">LY88</f>
        <v>1270</v>
      </c>
      <c r="MA88" s="20" t="n">
        <f aca="false">LZ88</f>
        <v>1270</v>
      </c>
      <c r="MB88" s="20" t="n">
        <f aca="false">MA88</f>
        <v>1270</v>
      </c>
      <c r="MC88" s="20" t="n">
        <f aca="false">MB88</f>
        <v>1270</v>
      </c>
      <c r="MD88" s="20" t="n">
        <f aca="false">MC88</f>
        <v>1270</v>
      </c>
      <c r="ME88" s="20" t="n">
        <f aca="false">IF(H_Direct=1,IF(BR88&lt;=0,I88-BR88*AKR87,I88-MIN(MIN(BR88*AKR87,H88+I88),I88)),I88)</f>
        <v>0</v>
      </c>
      <c r="MF88" s="20" t="n">
        <f aca="false">IF(H_Direct=1,IF(BS88&lt;=0,ME88-BS88*AKS87,ME88-MIN(MIN(BS88*AKS87,IR88+ME88),ME88)),ME88)</f>
        <v>0</v>
      </c>
      <c r="MG88" s="20" t="n">
        <f aca="false">IF(H_Direct=1,IF(BT88&lt;=0,MF88-BT88*AKT87,MF88-MIN(MIN(BT88*AKT87,IS88+MF88),MF88)),MF88)</f>
        <v>0</v>
      </c>
      <c r="MH88" s="20" t="n">
        <f aca="false">IF(H_Direct=1,IF(BU88&lt;=0,MG88-BU88*AKU87,MG88-MIN(MIN(BU88*AKU87,IT88+MG88),MG88)),MG88)</f>
        <v>0</v>
      </c>
      <c r="MI88" s="20" t="n">
        <f aca="false">IF(H_Direct=1,IF(BV88&lt;=0,MH88-BV88*AKV87,MH88-MIN(MIN(BV88*AKV87,IU88+MH88),MH88)),MH88)</f>
        <v>0</v>
      </c>
      <c r="MJ88" s="20" t="n">
        <f aca="false">IF(H_Direct=1,IF(BW88&lt;=0,MI88-BW88*AKW87,MI88-MIN(MIN(BW88*AKW87,IV88+MI88),MI88)),MI88)</f>
        <v>0</v>
      </c>
      <c r="MK88" s="20" t="n">
        <f aca="false">IF(H_Direct=1,IF(BX88&lt;=0,MJ88-BX88*AKX87,MJ88-MIN(MIN(BX88*AKX87,IW88+MJ88),MJ88)),MJ88)</f>
        <v>0</v>
      </c>
      <c r="ML88" s="20" t="n">
        <f aca="false">IF(H_Direct=1,IF(BY88&lt;=0,MK88-BY88*AKY87,MK88-MIN(MIN(BY88*AKY87,IX88+MK88),MK88)),MK88)</f>
        <v>0</v>
      </c>
      <c r="MM88" s="20" t="n">
        <f aca="false">IF(H_Direct=1,IF(BZ88&lt;=0,ML88-BZ88*AKZ87,ML88-MIN(MIN(BZ88*AKZ87,IY88+ML88),ML88)),ML88)</f>
        <v>0</v>
      </c>
      <c r="MN88" s="20" t="n">
        <f aca="false">IF(H_Direct=1,IF(CA88&lt;=0,MM88-CA88*ALA87,MM88-MIN(MIN(CA88*ALA87,IZ88+MM88),MM88)),MM88)</f>
        <v>0</v>
      </c>
      <c r="MO88" s="20" t="n">
        <f aca="false">IF(H_Direct=1,IF(CB88&lt;=0,MN88-CB88*ALB87,MN88-MIN(MIN(CB88*ALB87,JA88+MN88),MN88)),MN88)</f>
        <v>0</v>
      </c>
      <c r="MP88" s="20" t="n">
        <f aca="false">IF(H_Direct=1,IF(CC88&lt;=0,MO88-CC88*ALC87,MO88-MIN(MIN(CC88*ALC87,JB88+MO88),MO88)),MO88)</f>
        <v>0</v>
      </c>
      <c r="MQ88" s="20" t="n">
        <f aca="false">IF(H_Direct=1,IF(CD88&lt;=0,MP88-CD88*ALD87,MP88-MIN(MIN(CD88*ALD87,JC88+MP88),MP88)),MP88)</f>
        <v>0</v>
      </c>
      <c r="MR88" s="20" t="n">
        <f aca="false">IF(H_Direct=1,IF(CE88&lt;=0,MQ88-CE88*ALE87,MQ88-MIN(MIN(CE88*ALE87,JD88+MQ88),MQ88)),MQ88)</f>
        <v>0</v>
      </c>
      <c r="MS88" s="20" t="n">
        <f aca="false">IF(H_Direct=1,IF(CF88&lt;=0,MR88-CF88*ALF87,MR88-MIN(MIN(CF88*ALF87,JE88+MR88),MR88)),MR88)</f>
        <v>0</v>
      </c>
      <c r="MT88" s="20" t="n">
        <f aca="false">IF(H_Direct=1,IF(CG88&lt;=0,MS88-CG88*ALG87,MS88-MIN(MIN(CG88*ALG87,JF88+MS88),MS88)),MS88)</f>
        <v>0</v>
      </c>
      <c r="MU88" s="20" t="n">
        <f aca="false">IF(H_Direct=1,IF(CH88&lt;=0,MT88-CH88*ALH87,MT88-MIN(MIN(CH88*ALH87,JG88+MT88),MT88)),MT88)</f>
        <v>0</v>
      </c>
      <c r="MV88" s="20" t="n">
        <f aca="false">IF(H_Direct=1,IF(CI88&lt;=0,MU88-CI88*ALI87,MU88-MIN(MIN(CI88*ALI87,JH88+MU88),MU88)),MU88)</f>
        <v>0</v>
      </c>
      <c r="MW88" s="20" t="n">
        <f aca="false">IF(H_Direct=1,IF(CJ88&lt;=0,MV88-CJ88*ALJ87,MV88-MIN(MIN(CJ88*ALJ87,JI88+MV88),MV88)),MV88)</f>
        <v>0</v>
      </c>
      <c r="MX88" s="20" t="n">
        <f aca="false">IF(H_Direct=1,IF(CK88&lt;=0,MW88-CK88*ALK87,MW88-MIN(MIN(CK88*ALK87,JJ88+MW88),MW88)),MW88)</f>
        <v>0</v>
      </c>
      <c r="MY88" s="20" t="n">
        <f aca="false">IF(H_Direct=1,IF(CL88&lt;=0,MX88-CL88*ALL87,MX88-MIN(MIN(CL88*ALL87,JK88+MX88),MX88)),MX88)</f>
        <v>0</v>
      </c>
      <c r="MZ88" s="20" t="n">
        <f aca="false">IF(H_Direct=1,IF(CM88&lt;=0,MY88-CM88*ALM87,MY88-MIN(MIN(CM88*ALM87,JL88+MY88),MY88)),MY88)</f>
        <v>0</v>
      </c>
      <c r="NA88" s="20" t="n">
        <f aca="false">IF(H_Direct=1,IF(CN88&lt;=0,MZ88-CN88*ALN87,MZ88-MIN(MIN(CN88*ALN87,JM88+MZ88),MZ88)),MZ88)</f>
        <v>0</v>
      </c>
      <c r="NB88" s="20" t="n">
        <f aca="false">IF(H_Direct=1,IF(CO88&lt;=0,NA88-CO88*ALO87,NA88-MIN(MIN(CO88*ALO87,JN88+NA88),NA88)),NA88)</f>
        <v>0</v>
      </c>
      <c r="NC88" s="20" t="n">
        <f aca="false">IF(H_Direct=1,IF(CP88&lt;=0,NB88-CP88*ALP87,NB88-MIN(MIN(CP88*ALP87,JO88+NB88),NB88)),NB88)</f>
        <v>0</v>
      </c>
      <c r="ND88" s="20" t="n">
        <f aca="false">IF(H_Direct=1,IF(CQ88&lt;=0,NC88-CQ88*ALQ87,NC88-MIN(MIN(CQ88*ALQ87,JP88+NC88),NC88)),NC88)</f>
        <v>0</v>
      </c>
      <c r="NE88" s="20" t="n">
        <f aca="false">IF(H_Direct=1,IF(CR88&lt;=0,ND88-CR88*ALR87,ND88-MIN(MIN(CR88*ALR87,JQ88+ND88),ND88)),ND88)</f>
        <v>0</v>
      </c>
      <c r="NF88" s="20" t="n">
        <f aca="false">IF(H_Direct=1,IF(CS88&lt;=0,NE88-CS88*ALS87,NE88-MIN(MIN(CS88*ALS87,JR88+NE88),NE88)),NE88)</f>
        <v>0</v>
      </c>
      <c r="NG88" s="20" t="n">
        <f aca="false">IF(H_Direct=1,IF(CT88&lt;=0,NF88-CT88*ALT87,NF88-MIN(MIN(CT88*ALT87,JS88+NF88),NF88)),NF88)</f>
        <v>0</v>
      </c>
      <c r="NH88" s="20" t="n">
        <f aca="false">IF(H_Direct=1,IF(CU88&lt;=0,NG88-CU88*ALU87,NG88-MIN(MIN(CU88*ALU87,JT88+NG88),NG88)),NG88)</f>
        <v>0</v>
      </c>
      <c r="NI88" s="20" t="n">
        <f aca="false">IF(H_Direct=1,IF(CV88&lt;=0,NH88-CV88*ALV87,NH88-MIN(MIN(CV88*ALV87,JU88+NH88),NH88)),NH88)</f>
        <v>0</v>
      </c>
      <c r="NJ88" s="20" t="n">
        <f aca="false">IF(H_Direct=1,IF(CW88&lt;=0,NI88-CW88*ALW87,NI88-MIN(MIN(CW88*ALW87,JV88+NI88),NI88)),NI88)</f>
        <v>0</v>
      </c>
      <c r="NK88" s="20" t="n">
        <f aca="false">IF(H_Direct=1,IF(CX88&lt;=0,NJ88-CX88*ALX87,NJ88-MIN(MIN(CX88*ALX87,JW88+NJ88),NJ88)),NJ88)</f>
        <v>0</v>
      </c>
      <c r="NL88" s="20" t="n">
        <f aca="false">IF(H_Direct=1,IF(CY88&lt;=0,NK88-CY88*ALY87,NK88-MIN(MIN(CY88*ALY87,JX88+NK88),NK88)),NK88)</f>
        <v>0</v>
      </c>
      <c r="NM88" s="20" t="n">
        <f aca="false">IF(H_Direct=1,IF(CZ88&lt;=0,NL88-CZ88*ALZ87,NL88-MIN(MIN(CZ88*ALZ87,JY88+NL88),NL88)),NL88)</f>
        <v>0</v>
      </c>
      <c r="NN88" s="20" t="n">
        <f aca="false">IF(H_Direct=1,IF(DA88&lt;=0,NM88-DA88*AMA87,NM88-MIN(MIN(DA88*AMA87,JZ88+NM88),NM88)),NM88)</f>
        <v>0</v>
      </c>
      <c r="NO88" s="20" t="n">
        <f aca="false">IF(H_Direct=1,IF(DB88&lt;=0,NN88-DB88*AMB87,NN88-MIN(MIN(DB88*AMB87,KA88+NN88),NN88)),NN88)</f>
        <v>0</v>
      </c>
      <c r="NP88" s="20" t="n">
        <f aca="false">IF(H_Direct=1,IF(DC88&lt;=0,NO88-DC88*AMC87,NO88-MIN(MIN(DC88*AMC87,KB88+NO88),NO88)),NO88)</f>
        <v>0</v>
      </c>
      <c r="NQ88" s="20" t="n">
        <f aca="false">IF(H_Direct=1,IF(DD88&lt;=0,NP88-DD88*AMD87,NP88-MIN(MIN(DD88*AMD87,KC88+NP88),NP88)),NP88)</f>
        <v>0</v>
      </c>
      <c r="NR88" s="20" t="n">
        <f aca="false">IF(H_Direct=1,IF(DE88&lt;=0,NQ88-DE88*AME87,NQ88-MIN(MIN(DE88*AME87,KD88+NQ88),NQ88)),NQ88)</f>
        <v>0</v>
      </c>
      <c r="NS88" s="20" t="n">
        <f aca="false">IF(H_Direct=1,IF(DF88&lt;=0,NR88-DF88*AMF87,NR88-MIN(MIN(DF88*AMF87,KE88+NR88),NR88)),NR88)</f>
        <v>0</v>
      </c>
      <c r="NT88" s="20" t="n">
        <f aca="false">IF(H_Direct=1,IF(DG88&lt;=0,NS88-DG88*AMG87,NS88-MIN(MIN(DG88*AMG87,KF88+NS88),NS88)),NS88)</f>
        <v>0</v>
      </c>
      <c r="NU88" s="20" t="n">
        <f aca="false">IF(H_Direct=1,IF(DH88&lt;=0,NT88-DH88*AMH87,NT88-MIN(MIN(DH88*AMH87,KG88+NT88),NT88)),NT88)</f>
        <v>0</v>
      </c>
      <c r="NV88" s="20" t="n">
        <f aca="false">IF(H_Direct=1,IF(DI88&lt;=0,NU88-DI88*AMI87,NU88-MIN(MIN(DI88*AMI87,KH88+NU88),NU88)),NU88)</f>
        <v>0</v>
      </c>
      <c r="NW88" s="20" t="n">
        <f aca="false">IF(H_Direct=1,IF(DJ88&lt;=0,NV88-DJ88*AMJ87,NV88-MIN(MIN(DJ88*AMJ87,KI88+NV88),NV88)),NV88)</f>
        <v>0</v>
      </c>
      <c r="NX88" s="20" t="n">
        <f aca="false">IF(H_Direct=1,IF(DK88&lt;=0,NW88-DK88*AMK87,NW88-MIN(MIN(DK88*AMK87,KJ88+NW88),NW88)),NW88)</f>
        <v>0</v>
      </c>
      <c r="NY88" s="20" t="n">
        <f aca="false">IF(H_Direct=1,IF(DL88&lt;=0,NX88-DL88*AML87,NX88-MIN(MIN(DL88*AML87,KK88+NX88),NX88)),NX88)</f>
        <v>0</v>
      </c>
      <c r="NZ88" s="20" t="n">
        <f aca="false">IF(H_Direct=1,IF(DM88&lt;=0,NY88-DM88*AMM87,NY88-MIN(MIN(DM88*AMM87,KL88+NY88),NY88)),NY88)</f>
        <v>0</v>
      </c>
      <c r="OA88" s="20" t="n">
        <f aca="false">IF(H_Direct=1,IF(DN88&lt;=0,NZ88-DN88*AMN87,NZ88-MIN(MIN(DN88*AMN87,KM88+NZ88),NZ88)),NZ88)</f>
        <v>0</v>
      </c>
      <c r="OB88" s="20" t="n">
        <f aca="false">IF(H_Direct=1,IF(DO88&lt;=0,OA88-DO88*AMO87,OA88-MIN(MIN(DO88*AMO87,KN88+OA88),OA88)),OA88)</f>
        <v>0</v>
      </c>
      <c r="OC88" s="20" t="n">
        <f aca="false">IF(H_Direct=1,IF(DP88&lt;=0,OB88-DP88*AMP87,OB88-MIN(MIN(DP88*AMP87,KO88+OB88),OB88)),OB88)</f>
        <v>0</v>
      </c>
      <c r="OD88" s="20" t="n">
        <f aca="false">IF(H_Direct=1,IF(DQ88&lt;=0,OC88-DQ88*AMQ87,OC88-MIN(MIN(DQ88*AMQ87,KP88+OC88),OC88)),OC88)</f>
        <v>0</v>
      </c>
      <c r="OE88" s="20" t="n">
        <f aca="false">IF(H_Direct=1,IF(DR88&lt;=0,OD88-DR88*AMR87,OD88-MIN(MIN(DR88*AMR87,KQ88+OD88),OD88)),OD88)</f>
        <v>0</v>
      </c>
      <c r="OF88" s="20" t="n">
        <f aca="false">IF(H_Direct=1,IF(DS88&lt;=0,OE88-DS88*AMS87,OE88-MIN(MIN(DS88*AMS87,KR88+OE88),OE88)),OE88)</f>
        <v>0</v>
      </c>
      <c r="OG88" s="20" t="n">
        <f aca="false">IF(H_Direct=1,IF(DT88&lt;=0,OF88-DT88*AMT87,OF88-MIN(MIN(DT88*AMT87,KS88+OF88),OF88)),OF88)</f>
        <v>0</v>
      </c>
      <c r="OH88" s="20" t="n">
        <f aca="false">IF(H_Direct=1,IF(DU88&lt;=0,OG88-DU88*AMU87,OG88-MIN(MIN(DU88*AMU87,KT88+OG88),OG88)),OG88)</f>
        <v>0</v>
      </c>
      <c r="OI88" s="20" t="n">
        <f aca="false">IF(H_Direct=1,IF(DV88&lt;=0,OH88-DV88*AMV87,OH88-MIN(MIN(DV88*AMV87,KU88+OH88),OH88)),OH88)</f>
        <v>0</v>
      </c>
      <c r="OJ88" s="20" t="n">
        <f aca="false">IF(H_Direct=1,IF(DW88&lt;=0,OI88-DW88*AMW87,OI88-MIN(MIN(DW88*AMW87,KV88+OI88),OI88)),OI88)</f>
        <v>0</v>
      </c>
      <c r="OK88" s="20" t="n">
        <f aca="false">IF(H_Direct=1,IF(DX88&lt;=0,OJ88-DX88*AMX87,OJ88-MIN(MIN(DX88*AMX87,KW88+OJ88),OJ88)),OJ88)</f>
        <v>0</v>
      </c>
      <c r="OL88" s="20" t="n">
        <f aca="false">IF(H_Direct=1,IF(DY88&lt;=0,OK88-DY88*AMY87,OK88-MIN(MIN(DY88*AMY87,KX88+OK88),OK88)),OK88)</f>
        <v>0</v>
      </c>
      <c r="OM88" s="20" t="n">
        <f aca="false">IF(H_Direct=1,IF(DZ88&lt;=0,OL88-DZ88*AMZ87,OL88-MIN(MIN(DZ88*AMZ87,KY88+OL88),OL88)),OL88)</f>
        <v>0</v>
      </c>
      <c r="ON88" s="20" t="n">
        <f aca="false">IF(H_Direct=1,IF(EA88&lt;=0,OM88-EA88*ANA87,OM88-MIN(MIN(EA88*ANA87,KZ88+OM88),OM88)),OM88)</f>
        <v>0</v>
      </c>
      <c r="OO88" s="20" t="n">
        <f aca="false">IF(H_Direct=1,IF(EB88&lt;=0,ON88-EB88*ANB87,ON88-MIN(MIN(EB88*ANB87,LA88+ON88),ON88)),ON88)</f>
        <v>0</v>
      </c>
      <c r="OP88" s="20" t="n">
        <f aca="false">IF(H_Direct=1,IF(EC88&lt;=0,OO88-EC88*ANC87,OO88-MIN(MIN(EC88*ANC87,LB88+OO88),OO88)),OO88)</f>
        <v>0</v>
      </c>
      <c r="OQ88" s="20" t="n">
        <f aca="false">IF(H_Direct=1,IF(ED88&lt;=0,OP88-ED88*AND87,OP88-MIN(MIN(ED88*AND87,LC88+OP88),OP88)),OP88)</f>
        <v>0</v>
      </c>
      <c r="OR88" s="20" t="n">
        <f aca="false">IF(H_Direct=1,IF(EE88&lt;=0,OQ88-EE88*ANE87,OQ88-MIN(MIN(EE88*ANE87,LD88+OQ88),OQ88)),OQ88)</f>
        <v>0</v>
      </c>
      <c r="OS88" s="20" t="n">
        <f aca="false">IF(H_Direct=1,IF(EF88&lt;=0,OR88-EF88*ANF87,OR88-MIN(MIN(EF88*ANF87,LE88+OR88),OR88)),OR88)</f>
        <v>0</v>
      </c>
      <c r="OT88" s="20" t="n">
        <f aca="false">IF(H_Direct=1,IF(EG88&lt;=0,OS88-EG88*ANG87,OS88-MIN(MIN(EG88*ANG87,LF88+OS88),OS88)),OS88)</f>
        <v>0</v>
      </c>
      <c r="OU88" s="20" t="n">
        <f aca="false">IF(H_Direct=1,IF(EH88&lt;=0,OT88-EH88*ANH87,OT88-MIN(MIN(EH88*ANH87,LG88+OT88),OT88)),OT88)</f>
        <v>0</v>
      </c>
      <c r="OV88" s="20" t="n">
        <f aca="false">IF(H_Direct=1,IF(EI88&lt;=0,OU88-EI88*ANI87,OU88-MIN(MIN(EI88*ANI87,LH88+OU88),OU88)),OU88)</f>
        <v>0</v>
      </c>
      <c r="OW88" s="20" t="n">
        <f aca="false">IF(H_Direct=1,IF(EJ88&lt;=0,OV88-EJ88*ANJ87,OV88-MIN(MIN(EJ88*ANJ87,LI88+OV88),OV88)),OV88)</f>
        <v>0</v>
      </c>
      <c r="OX88" s="20" t="n">
        <f aca="false">IF(H_Direct=1,IF(EK88&lt;=0,OW88-EK88*ANK87,OW88-MIN(MIN(EK88*ANK87,LJ88+OW88),OW88)),OW88)</f>
        <v>0</v>
      </c>
      <c r="OY88" s="20" t="n">
        <f aca="false">IF(H_Direct=1,IF(EL88&lt;=0,OX88-EL88*ANL87,OX88-MIN(MIN(EL88*ANL87,LK88+OX88),OX88)),OX88)</f>
        <v>0</v>
      </c>
      <c r="OZ88" s="20" t="n">
        <f aca="false">IF(H_Direct=1,IF(EM88&lt;=0,OY88-EM88*ANM87,OY88-MIN(MIN(EM88*ANM87,LL88+OY88),OY88)),OY88)</f>
        <v>0</v>
      </c>
      <c r="PA88" s="20" t="n">
        <f aca="false">IF(H_Direct=1,IF(EN88&lt;=0,OZ88-EN88*ANN87,OZ88-MIN(MIN(EN88*ANN87,LM88+OZ88),OZ88)),OZ88)</f>
        <v>0</v>
      </c>
      <c r="PB88" s="20" t="n">
        <f aca="false">IF(H_Direct=1,IF(EO88&lt;=0,PA88-EO88*ANO87,PA88-MIN(MIN(EO88*ANO87,LN88+PA88),PA88)),PA88)</f>
        <v>0</v>
      </c>
      <c r="PC88" s="20" t="n">
        <f aca="false">IF(H_Direct=1,IF(EP88&lt;=0,PB88-EP88*ANP87,PB88-MIN(MIN(EP88*ANP87,LO88+PB88),PB88)),PB88)</f>
        <v>0</v>
      </c>
      <c r="PD88" s="20" t="n">
        <f aca="false">IF(H_Direct=1,IF(EQ88&lt;=0,PC88-EQ88*ANQ87,PC88-MIN(MIN(EQ88*ANQ87,LP88+PC88),PC88)),PC88)</f>
        <v>0</v>
      </c>
      <c r="PE88" s="20" t="n">
        <f aca="false">IF(H_Direct=1,IF(ER88&lt;=0,PD88-ER88*ANR87,PD88-MIN(MIN(ER88*ANR87,LQ88+PD88),PD88)),PD88)</f>
        <v>0</v>
      </c>
      <c r="PF88" s="20" t="n">
        <f aca="false">IF(H_Direct=1,IF(ES88&lt;=0,PE88-ES88*ANS87,PE88-MIN(MIN(ES88*ANS87,LR88+PE88),PE88)),PE88)</f>
        <v>0</v>
      </c>
      <c r="PG88" s="20" t="n">
        <f aca="false">IF(H_Direct=1,IF(ET88&lt;=0,PF88-ET88*ANT87,PF88-MIN(MIN(ET88*ANT87,LS88+PF88),PF88)),PF88)</f>
        <v>0</v>
      </c>
      <c r="PH88" s="20" t="n">
        <f aca="false">IF(H_Direct=1,IF(EU88&lt;=0,PG88-EU88*(P88+S88),PG88-MIN(MIN(EU88*(P88+S88),LT88+PG88),PG88)),PG88)</f>
        <v>0</v>
      </c>
      <c r="PI88" s="20" t="n">
        <f aca="false">PH88</f>
        <v>0</v>
      </c>
      <c r="PJ88" s="20" t="n">
        <f aca="false">PI88</f>
        <v>0</v>
      </c>
      <c r="PK88" s="20" t="n">
        <f aca="false">PJ88</f>
        <v>0</v>
      </c>
      <c r="PL88" s="20" t="n">
        <f aca="false">PK88</f>
        <v>0</v>
      </c>
      <c r="PM88" s="20" t="n">
        <f aca="false">PL88</f>
        <v>0</v>
      </c>
      <c r="PN88" s="20" t="n">
        <f aca="false">PM88</f>
        <v>0</v>
      </c>
      <c r="PO88" s="20" t="n">
        <f aca="false">PN88</f>
        <v>0</v>
      </c>
      <c r="PP88" s="20" t="n">
        <f aca="false">PO88</f>
        <v>0</v>
      </c>
      <c r="PQ88" s="20" t="n">
        <f aca="false">PP88</f>
        <v>0</v>
      </c>
      <c r="PR88" s="20" t="n">
        <f aca="false">IF(H_Direct=1,IF(AKR87&lt;=0,0,IF(BR88&lt;=0,MIN(MAX(0,AB88),AKR87),MIN(MAX(0,AB88),AKR87-G88*MAX(0,BR88*AKR87-(H88+I88))))),MIN(FE88,MAX(0,AB88)))</f>
        <v>0</v>
      </c>
      <c r="PS88" s="20" t="n">
        <f aca="false">IF(H_Direct=1,IF(AKS87&lt;=0,0,IF(BS88&lt;=0,MIN(MAX(0,AB88-SUM(PR88:PR88)),AKS87),MIN(MAX(0,AB88-SUM(PR88:PR88)),AKS87-G88*MAX(0,BS88*AKS87-(WR88+AAE88))))),MIN(FF88,MAX(0,AB88-SUM(PR88:PR88))))</f>
        <v>0</v>
      </c>
      <c r="PT88" s="20" t="n">
        <f aca="false">IF(H_Direct=1,IF(AKT87&lt;=0,0,IF(BT88&lt;=0,MIN(MAX(0,AB88-SUM(PR88:PS88)),AKT87),MIN(MAX(0,AB88-SUM(PR88:PS88)),AKT87-G88*MAX(0,BT88*AKT87-(WS88+AAF88))))),MIN(FG88,MAX(0,AB88-SUM(PR88:PS88))))</f>
        <v>0</v>
      </c>
      <c r="PU88" s="20" t="n">
        <f aca="false">IF(H_Direct=1,IF(AKU87&lt;=0,0,IF(BU88&lt;=0,MIN(MAX(0,AB88-SUM(PR88:PT88)),AKU87),MIN(MAX(0,AB88-SUM(PR88:PT88)),AKU87-G88*MAX(0,BU88*AKU87-(WT88+AAG88))))),MIN(FH88,MAX(0,AB88-SUM(PR88:PT88))))</f>
        <v>0</v>
      </c>
      <c r="PV88" s="20" t="n">
        <f aca="false">IF(H_Direct=1,IF(AKV87&lt;=0,0,IF(BV88&lt;=0,MIN(MAX(0,AB88-SUM(PR88:PU88)),AKV87),MIN(MAX(0,AB88-SUM(PR88:PU88)),AKV87-G88*MAX(0,BV88*AKV87-(WU88+AAH88))))),MIN(FI88,MAX(0,AB88-SUM(PR88:PU88))))</f>
        <v>0</v>
      </c>
      <c r="PW88" s="20" t="n">
        <f aca="false">IF(H_Direct=1,IF(AKW87&lt;=0,0,IF(BW88&lt;=0,MIN(MAX(0,AB88-SUM(PR88:PV88)),AKW87),MIN(MAX(0,AB88-SUM(PR88:PV88)),AKW87-G88*MAX(0,BW88*AKW87-(WV88+AAI88))))),MIN(FJ88,MAX(0,AB88-SUM(PR88:PV88))))</f>
        <v>0</v>
      </c>
      <c r="PX88" s="20" t="n">
        <f aca="false">IF(H_Direct=1,IF(AKX87&lt;=0,0,IF(BX88&lt;=0,MIN(MAX(0,AB88-SUM(PR88:PW88)),AKX87),MIN(MAX(0,AB88-SUM(PR88:PW88)),AKX87-G88*MAX(0,BX88*AKX87-(WW88+AAJ88))))),MIN(FK88,MAX(0,AB88-SUM(PR88:PW88))))</f>
        <v>0</v>
      </c>
      <c r="PY88" s="20" t="n">
        <f aca="false">IF(H_Direct=1,IF(AKY87&lt;=0,0,IF(BY88&lt;=0,MIN(MAX(0,AB88-SUM(PR88:PX88)),AKY87),MIN(MAX(0,AB88-SUM(PR88:PX88)),AKY87-G88*MAX(0,BY88*AKY87-(WX88+AAK88))))),MIN(FL88,MAX(0,AB88-SUM(PR88:PX88))))</f>
        <v>0</v>
      </c>
      <c r="PZ88" s="20" t="n">
        <f aca="false">IF(H_Direct=1,IF(AKZ87&lt;=0,0,IF(BZ88&lt;=0,MIN(MAX(0,AB88-SUM(PR88:PY88)),AKZ87),MIN(MAX(0,AB88-SUM(PR88:PY88)),AKZ87-G88*MAX(0,BZ88*AKZ87-(WY88+AAL88))))),MIN(FM88,MAX(0,AB88-SUM(PR88:PY88))))</f>
        <v>0</v>
      </c>
      <c r="QA88" s="20" t="n">
        <f aca="false">IF(H_Direct=1,IF(ALA87&lt;=0,0,IF(CA88&lt;=0,MIN(MAX(0,AB88-SUM(PR88:PZ88)),ALA87),MIN(MAX(0,AB88-SUM(PR88:PZ88)),ALA87-G88*MAX(0,CA88*ALA87-(WZ88+AAM88))))),MIN(FN88,MAX(0,AB88-SUM(PR88:PZ88))))</f>
        <v>0</v>
      </c>
      <c r="QB88" s="20" t="n">
        <f aca="false">IF(H_Direct=1,IF(ALB87&lt;=0,0,IF(CB88&lt;=0,MIN(MAX(0,AB88-SUM(PR88:QA88)),ALB87),MIN(MAX(0,AB88-SUM(PR88:QA88)),ALB87-G88*MAX(0,CB88*ALB87-(XA88+AAN88))))),MIN(FO88,MAX(0,AB88-SUM(PR88:QA88))))</f>
        <v>0</v>
      </c>
      <c r="QC88" s="20" t="n">
        <f aca="false">IF(H_Direct=1,IF(ALC87&lt;=0,0,IF(CC88&lt;=0,MIN(MAX(0,AB88-SUM(PR88:QB88)),ALC87),MIN(MAX(0,AB88-SUM(PR88:QB88)),ALC87-G88*MAX(0,CC88*ALC87-(XB88+AAO88))))),MIN(FP88,MAX(0,AB88-SUM(PR88:QB88))))</f>
        <v>0</v>
      </c>
      <c r="QD88" s="20" t="n">
        <f aca="false">IF(H_Direct=1,IF(ALD87&lt;=0,0,IF(CD88&lt;=0,MIN(MAX(0,AB88-SUM(PR88:QC88)),ALD87),MIN(MAX(0,AB88-SUM(PR88:QC88)),ALD87-G88*MAX(0,CD88*ALD87-(XC88+AAP88))))),MIN(FQ88,MAX(0,AB88-SUM(PR88:QC88))))</f>
        <v>0</v>
      </c>
      <c r="QE88" s="20" t="n">
        <f aca="false">IF(H_Direct=1,IF(ALE87&lt;=0,0,IF(CE88&lt;=0,MIN(MAX(0,AB88-SUM(PR88:QD88)),ALE87),MIN(MAX(0,AB88-SUM(PR88:QD88)),ALE87-G88*MAX(0,CE88*ALE87-(XD88+AAQ88))))),MIN(FR88,MAX(0,AB88-SUM(PR88:QD88))))</f>
        <v>0</v>
      </c>
      <c r="QF88" s="20" t="n">
        <f aca="false">IF(H_Direct=1,IF(ALF87&lt;=0,0,IF(CF88&lt;=0,MIN(MAX(0,AB88-SUM(PR88:QE88)),ALF87),MIN(MAX(0,AB88-SUM(PR88:QE88)),ALF87-G88*MAX(0,CF88*ALF87-(XE88+AAR88))))),MIN(FS88,MAX(0,AB88-SUM(PR88:QE88))))</f>
        <v>0</v>
      </c>
      <c r="QG88" s="20" t="n">
        <f aca="false">IF(H_Direct=1,IF(ALG87&lt;=0,0,IF(CG88&lt;=0,MIN(MAX(0,AB88-SUM(PR88:QF88)),ALG87),MIN(MAX(0,AB88-SUM(PR88:QF88)),ALG87-G88*MAX(0,CG88*ALG87-(XF88+AAS88))))),MIN(FT88,MAX(0,AB88-SUM(PR88:QF88))))</f>
        <v>0</v>
      </c>
      <c r="QH88" s="20" t="n">
        <f aca="false">IF(H_Direct=1,IF(ALH87&lt;=0,0,IF(CH88&lt;=0,MIN(MAX(0,AB88-SUM(PR88:QG88)),ALH87),MIN(MAX(0,AB88-SUM(PR88:QG88)),ALH87-G88*MAX(0,CH88*ALH87-(XG88+AAT88))))),MIN(FU88,MAX(0,AB88-SUM(PR88:QG88))))</f>
        <v>0</v>
      </c>
      <c r="QI88" s="20" t="n">
        <f aca="false">IF(H_Direct=1,IF(ALI87&lt;=0,0,IF(CI88&lt;=0,MIN(MAX(0,AB88-SUM(PR88:QH88)),ALI87),MIN(MAX(0,AB88-SUM(PR88:QH88)),ALI87-G88*MAX(0,CI88*ALI87-(XH88+AAU88))))),MIN(FV88,MAX(0,AB88-SUM(PR88:QH88))))</f>
        <v>0</v>
      </c>
      <c r="QJ88" s="20" t="n">
        <f aca="false">IF(H_Direct=1,IF(ALJ87&lt;=0,0,IF(CJ88&lt;=0,MIN(MAX(0,AB88-SUM(PR88:QI88)),ALJ87),MIN(MAX(0,AB88-SUM(PR88:QI88)),ALJ87-G88*MAX(0,CJ88*ALJ87-(XI88+AAV88))))),MIN(FW88,MAX(0,AB88-SUM(PR88:QI88))))</f>
        <v>0</v>
      </c>
      <c r="QK88" s="20" t="n">
        <f aca="false">IF(H_Direct=1,IF(ALK87&lt;=0,0,IF(CK88&lt;=0,MIN(MAX(0,AB88-SUM(PR88:QJ88)),ALK87),MIN(MAX(0,AB88-SUM(PR88:QJ88)),ALK87-G88*MAX(0,CK88*ALK87-(XJ88+AAW88))))),MIN(FX88,MAX(0,AB88-SUM(PR88:QJ88))))</f>
        <v>0</v>
      </c>
      <c r="QL88" s="20" t="n">
        <f aca="false">IF(H_Direct=1,IF(ALL87&lt;=0,0,IF(CL88&lt;=0,MIN(MAX(0,AB88-SUM(PR88:QK88)),ALL87),MIN(MAX(0,AB88-SUM(PR88:QK88)),ALL87-G88*MAX(0,CL88*ALL87-(XK88+AAX88))))),MIN(FY88,MAX(0,AB88-SUM(PR88:QK88))))</f>
        <v>0</v>
      </c>
      <c r="QM88" s="20" t="n">
        <f aca="false">IF(H_Direct=1,IF(ALM87&lt;=0,0,IF(CM88&lt;=0,MIN(MAX(0,AB88-SUM(PR88:QL88)),ALM87),MIN(MAX(0,AB88-SUM(PR88:QL88)),ALM87-G88*MAX(0,CM88*ALM87-(XL88+AAY88))))),MIN(FZ88,MAX(0,AB88-SUM(PR88:QL88))))</f>
        <v>0</v>
      </c>
      <c r="QN88" s="20" t="n">
        <f aca="false">IF(H_Direct=1,IF(ALN87&lt;=0,0,IF(CN88&lt;=0,MIN(MAX(0,AB88-SUM(PR88:QM88)),ALN87),MIN(MAX(0,AB88-SUM(PR88:QM88)),ALN87-G88*MAX(0,CN88*ALN87-(XM88+AAZ88))))),MIN(GA88,MAX(0,AB88-SUM(PR88:QM88))))</f>
        <v>0</v>
      </c>
      <c r="QO88" s="20" t="n">
        <f aca="false">IF(H_Direct=1,IF(ALO87&lt;=0,0,IF(CO88&lt;=0,MIN(MAX(0,AB88-SUM(PR88:QN88)),ALO87),MIN(MAX(0,AB88-SUM(PR88:QN88)),ALO87-G88*MAX(0,CO88*ALO87-(XN88+ABA88))))),MIN(GB88,MAX(0,AB88-SUM(PR88:QN88))))</f>
        <v>0</v>
      </c>
      <c r="QP88" s="20" t="n">
        <f aca="false">IF(H_Direct=1,IF(ALP87&lt;=0,0,IF(CP88&lt;=0,MIN(MAX(0,AB88-SUM(PR88:QO88)),ALP87),MIN(MAX(0,AB88-SUM(PR88:QO88)),ALP87-G88*MAX(0,CP88*ALP87-(XO88+ABB88))))),MIN(GC88,MAX(0,AB88-SUM(PR88:QO88))))</f>
        <v>0</v>
      </c>
      <c r="QQ88" s="20" t="n">
        <f aca="false">IF(H_Direct=1,IF(ALQ87&lt;=0,0,IF(CQ88&lt;=0,MIN(MAX(0,AB88-SUM(PR88:QP88)),ALQ87),MIN(MAX(0,AB88-SUM(PR88:QP88)),ALQ87-G88*MAX(0,CQ88*ALQ87-(XP88+ABC88))))),MIN(GD88,MAX(0,AB88-SUM(PR88:QP88))))</f>
        <v>0</v>
      </c>
      <c r="QR88" s="20" t="n">
        <f aca="false">IF(H_Direct=1,IF(ALR87&lt;=0,0,IF(CR88&lt;=0,MIN(MAX(0,AB88-SUM(PR88:QQ88)),ALR87),MIN(MAX(0,AB88-SUM(PR88:QQ88)),ALR87-G88*MAX(0,CR88*ALR87-(XQ88+ABD88))))),MIN(GE88,MAX(0,AB88-SUM(PR88:QQ88))))</f>
        <v>0</v>
      </c>
      <c r="QS88" s="20" t="n">
        <f aca="false">IF(H_Direct=1,IF(ALS87&lt;=0,0,IF(CS88&lt;=0,MIN(MAX(0,AB88-SUM(PR88:QR88)),ALS87),MIN(MAX(0,AB88-SUM(PR88:QR88)),ALS87-G88*MAX(0,CS88*ALS87-(XR88+ABE88))))),MIN(GF88,MAX(0,AB88-SUM(PR88:QR88))))</f>
        <v>0</v>
      </c>
      <c r="QT88" s="20" t="n">
        <f aca="false">IF(H_Direct=1,IF(ALT87&lt;=0,0,IF(CT88&lt;=0,MIN(MAX(0,AB88-SUM(PR88:QS88)),ALT87),MIN(MAX(0,AB88-SUM(PR88:QS88)),ALT87-G88*MAX(0,CT88*ALT87-(XS88+ABF88))))),MIN(GG88,MAX(0,AB88-SUM(PR88:QS88))))</f>
        <v>0</v>
      </c>
      <c r="QU88" s="20" t="n">
        <f aca="false">IF(H_Direct=1,IF(ALU87&lt;=0,0,IF(CU88&lt;=0,MIN(MAX(0,AB88-SUM(PR88:QT88)),ALU87),MIN(MAX(0,AB88-SUM(PR88:QT88)),ALU87-G88*MAX(0,CU88*ALU87-(XT88+ABG88))))),MIN(GH88,MAX(0,AB88-SUM(PR88:QT88))))</f>
        <v>0</v>
      </c>
      <c r="QV88" s="20" t="n">
        <f aca="false">IF(H_Direct=1,IF(ALV87&lt;=0,0,IF(CV88&lt;=0,MIN(MAX(0,AB88-SUM(PR88:QU88)),ALV87),MIN(MAX(0,AB88-SUM(PR88:QU88)),ALV87-G88*MAX(0,CV88*ALV87-(XU88+ABH88))))),MIN(GI88,MAX(0,AB88-SUM(PR88:QU88))))</f>
        <v>0</v>
      </c>
      <c r="QW88" s="20" t="n">
        <f aca="false">IF(H_Direct=1,IF(ALW87&lt;=0,0,IF(CW88&lt;=0,MIN(MAX(0,AB88-SUM(PR88:QV88)),ALW87),MIN(MAX(0,AB88-SUM(PR88:QV88)),ALW87-G88*MAX(0,CW88*ALW87-(XV88+ABI88))))),MIN(GJ88,MAX(0,AB88-SUM(PR88:QV88))))</f>
        <v>0</v>
      </c>
      <c r="QX88" s="20" t="n">
        <f aca="false">IF(H_Direct=1,IF(ALX87&lt;=0,0,IF(CX88&lt;=0,MIN(MAX(0,AB88-SUM(PR88:QW88)),ALX87),MIN(MAX(0,AB88-SUM(PR88:QW88)),ALX87-G88*MAX(0,CX88*ALX87-(XW88+ABJ88))))),MIN(GK88,MAX(0,AB88-SUM(PR88:QW88))))</f>
        <v>0</v>
      </c>
      <c r="QY88" s="20" t="n">
        <f aca="false">IF(H_Direct=1,IF(ALY87&lt;=0,0,IF(CY88&lt;=0,MIN(MAX(0,AB88-SUM(PR88:QX88)),ALY87),MIN(MAX(0,AB88-SUM(PR88:QX88)),ALY87-G88*MAX(0,CY88*ALY87-(XX88+ABK88))))),MIN(GL88,MAX(0,AB88-SUM(PR88:QX88))))</f>
        <v>0</v>
      </c>
      <c r="QZ88" s="20" t="n">
        <f aca="false">IF(H_Direct=1,IF(ALZ87&lt;=0,0,IF(CZ88&lt;=0,MIN(MAX(0,AB88-SUM(PR88:QY88)),ALZ87),MIN(MAX(0,AB88-SUM(PR88:QY88)),ALZ87-G88*MAX(0,CZ88*ALZ87-(XY88+ABL88))))),MIN(GM88,MAX(0,AB88-SUM(PR88:QY88))))</f>
        <v>0</v>
      </c>
      <c r="RA88" s="20" t="n">
        <f aca="false">IF(H_Direct=1,IF(AMA87&lt;=0,0,IF(DA88&lt;=0,MIN(MAX(0,AB88-SUM(PR88:QZ88)),AMA87),MIN(MAX(0,AB88-SUM(PR88:QZ88)),AMA87-G88*MAX(0,DA88*AMA87-(XZ88+ABM88))))),MIN(GN88,MAX(0,AB88-SUM(PR88:QZ88))))</f>
        <v>0</v>
      </c>
      <c r="RB88" s="20" t="n">
        <f aca="false">IF(H_Direct=1,IF(AMB87&lt;=0,0,IF(DB88&lt;=0,MIN(MAX(0,AB88-SUM(PR88:RA88)),AMB87),MIN(MAX(0,AB88-SUM(PR88:RA88)),AMB87-G88*MAX(0,DB88*AMB87-(YA88+ABN88))))),MIN(GO88,MAX(0,AB88-SUM(PR88:RA88))))</f>
        <v>0</v>
      </c>
      <c r="RC88" s="20" t="n">
        <f aca="false">IF(H_Direct=1,IF(AMC87&lt;=0,0,IF(DC88&lt;=0,MIN(MAX(0,AB88-SUM(PR88:RB88)),AMC87),MIN(MAX(0,AB88-SUM(PR88:RB88)),AMC87-G88*MAX(0,DC88*AMC87-(YB88+ABO88))))),MIN(GP88,MAX(0,AB88-SUM(PR88:RB88))))</f>
        <v>0</v>
      </c>
      <c r="RD88" s="20" t="n">
        <f aca="false">IF(H_Direct=1,IF(AMD87&lt;=0,0,IF(DD88&lt;=0,MIN(MAX(0,AB88-SUM(PR88:RC88)),AMD87),MIN(MAX(0,AB88-SUM(PR88:RC88)),AMD87-G88*MAX(0,DD88*AMD87-(YC88+ABP88))))),MIN(GQ88,MAX(0,AB88-SUM(PR88:RC88))))</f>
        <v>0</v>
      </c>
      <c r="RE88" s="20" t="n">
        <f aca="false">IF(H_Direct=1,IF(AME87&lt;=0,0,IF(DE88&lt;=0,MIN(MAX(0,AB88-SUM(PR88:RD88)),AME87),MIN(MAX(0,AB88-SUM(PR88:RD88)),AME87-G88*MAX(0,DE88*AME87-(YD88+ABQ88))))),MIN(GR88,MAX(0,AB88-SUM(PR88:RD88))))</f>
        <v>0</v>
      </c>
      <c r="RF88" s="20" t="n">
        <f aca="false">IF(H_Direct=1,IF(AMF87&lt;=0,0,IF(DF88&lt;=0,MIN(MAX(0,AB88-SUM(PR88:RE88)),AMF87),MIN(MAX(0,AB88-SUM(PR88:RE88)),AMF87-G88*MAX(0,DF88*AMF87-(YE88+ABR88))))),MIN(GS88,MAX(0,AB88-SUM(PR88:RE88))))</f>
        <v>0</v>
      </c>
      <c r="RG88" s="20" t="n">
        <f aca="false">IF(H_Direct=1,IF(AMG87&lt;=0,0,IF(DG88&lt;=0,MIN(MAX(0,AB88-SUM(PR88:RF88)),AMG87),MIN(MAX(0,AB88-SUM(PR88:RF88)),AMG87-G88*MAX(0,DG88*AMG87-(YF88+ABS88))))),MIN(GT88,MAX(0,AB88-SUM(PR88:RF88))))</f>
        <v>0</v>
      </c>
      <c r="RH88" s="20" t="n">
        <f aca="false">IF(H_Direct=1,IF(AMH87&lt;=0,0,IF(DH88&lt;=0,MIN(MAX(0,AB88-SUM(PR88:RG88)),AMH87),MIN(MAX(0,AB88-SUM(PR88:RG88)),AMH87-G88*MAX(0,DH88*AMH87-(YG88+ABT88))))),MIN(GU88,MAX(0,AB88-SUM(PR88:RG88))))</f>
        <v>0</v>
      </c>
      <c r="RI88" s="20" t="n">
        <f aca="false">IF(H_Direct=1,IF(AMI87&lt;=0,0,IF(DI88&lt;=0,MIN(MAX(0,AB88-SUM(PR88:RH88)),AMI87),MIN(MAX(0,AB88-SUM(PR88:RH88)),AMI87-G88*MAX(0,DI88*AMI87-(YH88+ABU88))))),MIN(GV88,MAX(0,AB88-SUM(PR88:RH88))))</f>
        <v>0</v>
      </c>
      <c r="RJ88" s="20" t="n">
        <f aca="false">IF(H_Direct=1,IF(AMJ87&lt;=0,0,IF(DJ88&lt;=0,MIN(MAX(0,AB88-SUM(PR88:RI88)),AMJ87),MIN(MAX(0,AB88-SUM(PR88:RI88)),AMJ87-G88*MAX(0,DJ88*AMJ87-(YI88+ABV88))))),MIN(GW88,MAX(0,AB88-SUM(PR88:RI88))))</f>
        <v>0</v>
      </c>
      <c r="RK88" s="20" t="n">
        <f aca="false">IF(H_Direct=1,IF(AMK87&lt;=0,0,IF(DK88&lt;=0,MIN(MAX(0,AB88-SUM(PR88:RJ88)),AMK87),MIN(MAX(0,AB88-SUM(PR88:RJ88)),AMK87-G88*MAX(0,DK88*AMK87-(YJ88+ABW88))))),MIN(GX88,MAX(0,AB88-SUM(PR88:RJ88))))</f>
        <v>0</v>
      </c>
      <c r="RL88" s="20" t="n">
        <f aca="false">IF(H_Direct=1,IF(AML87&lt;=0,0,IF(DL88&lt;=0,MIN(MAX(0,AB88-SUM(PR88:RK88)),AML87),MIN(MAX(0,AB88-SUM(PR88:RK88)),AML87-G88*MAX(0,DL88*AML87-(YK88+ABX88))))),MIN(GY88,MAX(0,AB88-SUM(PR88:RK88))))</f>
        <v>0</v>
      </c>
      <c r="RM88" s="20" t="n">
        <f aca="false">IF(H_Direct=1,IF(AMM87&lt;=0,0,IF(DM88&lt;=0,MIN(MAX(0,AB88-SUM(PR88:RL88)),AMM87),MIN(MAX(0,AB88-SUM(PR88:RL88)),AMM87-G88*MAX(0,DM88*AMM87-(YL88+ABY88))))),MIN(GZ88,MAX(0,AB88-SUM(PR88:RL88))))</f>
        <v>0</v>
      </c>
      <c r="RN88" s="20" t="n">
        <f aca="false">IF(H_Direct=1,IF(AMN87&lt;=0,0,IF(DN88&lt;=0,MIN(MAX(0,AB88-SUM(PR88:RM88)),AMN87),MIN(MAX(0,AB88-SUM(PR88:RM88)),AMN87-G88*MAX(0,DN88*AMN87-(YM88+ABZ88))))),MIN(HA88,MAX(0,AB88-SUM(PR88:RM88))))</f>
        <v>0</v>
      </c>
      <c r="RO88" s="20" t="n">
        <f aca="false">IF(H_Direct=1,IF(AMO87&lt;=0,0,IF(DO88&lt;=0,MIN(MAX(0,AB88-SUM(PR88:RN88)),AMO87),MIN(MAX(0,AB88-SUM(PR88:RN88)),AMO87-G88*MAX(0,DO88*AMO87-(YN88+ACA88))))),MIN(HB88,MAX(0,AB88-SUM(PR88:RN88))))</f>
        <v>0</v>
      </c>
      <c r="RP88" s="20" t="n">
        <f aca="false">IF(H_Direct=1,IF(AMP87&lt;=0,0,IF(DP88&lt;=0,MIN(MAX(0,AB88-SUM(PR88:RO88)),AMP87),MIN(MAX(0,AB88-SUM(PR88:RO88)),AMP87-G88*MAX(0,DP88*AMP87-(YO88+ACB88))))),MIN(HC88,MAX(0,AB88-SUM(PR88:RO88))))</f>
        <v>0</v>
      </c>
      <c r="RQ88" s="20" t="n">
        <f aca="false">IF(H_Direct=1,IF(AMQ87&lt;=0,0,IF(DQ88&lt;=0,MIN(MAX(0,AB88-SUM(PR88:RP88)),AMQ87),MIN(MAX(0,AB88-SUM(PR88:RP88)),AMQ87-G88*MAX(0,DQ88*AMQ87-(YP88+ACC88))))),MIN(HD88,MAX(0,AB88-SUM(PR88:RP88))))</f>
        <v>0</v>
      </c>
      <c r="RR88" s="20" t="n">
        <f aca="false">IF(H_Direct=1,IF(AMR87&lt;=0,0,IF(DR88&lt;=0,MIN(MAX(0,AB88-SUM(PR88:RQ88)),AMR87),MIN(MAX(0,AB88-SUM(PR88:RQ88)),AMR87-G88*MAX(0,DR88*AMR87-(YQ88+ACD88))))),MIN(HE88,MAX(0,AB88-SUM(PR88:RQ88))))</f>
        <v>0</v>
      </c>
      <c r="RS88" s="20" t="n">
        <f aca="false">IF(H_Direct=1,IF(AMS87&lt;=0,0,IF(DS88&lt;=0,MIN(MAX(0,AB88-SUM(PR88:RR88)),AMS87),MIN(MAX(0,AB88-SUM(PR88:RR88)),AMS87-G88*MAX(0,DS88*AMS87-(YR88+ACE88))))),MIN(HF88,MAX(0,AB88-SUM(PR88:RR88))))</f>
        <v>0</v>
      </c>
      <c r="RT88" s="20" t="n">
        <f aca="false">IF(H_Direct=1,IF(AMT87&lt;=0,0,IF(DT88&lt;=0,MIN(MAX(0,AB88-SUM(PR88:RS88)),AMT87),MIN(MAX(0,AB88-SUM(PR88:RS88)),AMT87-G88*MAX(0,DT88*AMT87-(YS88+ACF88))))),MIN(HG88,MAX(0,AB88-SUM(PR88:RS88))))</f>
        <v>0</v>
      </c>
      <c r="RU88" s="20" t="n">
        <f aca="false">IF(H_Direct=1,IF(AMU87&lt;=0,0,IF(DU88&lt;=0,MIN(MAX(0,AB88-SUM(PR88:RT88)),AMU87),MIN(MAX(0,AB88-SUM(PR88:RT88)),AMU87-G88*MAX(0,DU88*AMU87-(YT88+ACG88))))),MIN(HH88,MAX(0,AB88-SUM(PR88:RT88))))</f>
        <v>0</v>
      </c>
      <c r="RV88" s="20" t="n">
        <f aca="false">IF(H_Direct=1,IF(AMV87&lt;=0,0,IF(DV88&lt;=0,MIN(MAX(0,AB88-SUM(PR88:RU88)),AMV87),MIN(MAX(0,AB88-SUM(PR88:RU88)),AMV87-G88*MAX(0,DV88*AMV87-(YU88+ACH88))))),MIN(HI88,MAX(0,AB88-SUM(PR88:RU88))))</f>
        <v>0</v>
      </c>
      <c r="RW88" s="20" t="n">
        <f aca="false">IF(H_Direct=1,IF(AMW87&lt;=0,0,IF(DW88&lt;=0,MIN(MAX(0,AB88-SUM(PR88:RV88)),AMW87),MIN(MAX(0,AB88-SUM(PR88:RV88)),AMW87-G88*MAX(0,DW88*AMW87-(YV88+ACI88))))),MIN(HJ88,MAX(0,AB88-SUM(PR88:RV88))))</f>
        <v>0</v>
      </c>
      <c r="RX88" s="20" t="n">
        <f aca="false">IF(H_Direct=1,IF(AMX87&lt;=0,0,IF(DX88&lt;=0,MIN(MAX(0,AB88-SUM(PR88:RW88)),AMX87),MIN(MAX(0,AB88-SUM(PR88:RW88)),AMX87-G88*MAX(0,DX88*AMX87-(YW88+ACJ88))))),MIN(HK88,MAX(0,AB88-SUM(PR88:RW88))))</f>
        <v>0</v>
      </c>
      <c r="RY88" s="20" t="n">
        <f aca="false">IF(H_Direct=1,IF(AMY87&lt;=0,0,IF(DY88&lt;=0,MIN(MAX(0,AB88-SUM(PR88:RX88)),AMY87),MIN(MAX(0,AB88-SUM(PR88:RX88)),AMY87-G88*MAX(0,DY88*AMY87-(YX88+ACK88))))),MIN(HL88,MAX(0,AB88-SUM(PR88:RX88))))</f>
        <v>0</v>
      </c>
      <c r="RZ88" s="20" t="n">
        <f aca="false">IF(H_Direct=1,IF(AMZ87&lt;=0,0,IF(DZ88&lt;=0,MIN(MAX(0,AB88-SUM(PR88:RY88)),AMZ87),MIN(MAX(0,AB88-SUM(PR88:RY88)),AMZ87-G88*MAX(0,DZ88*AMZ87-(YY88+ACL88))))),MIN(HM88,MAX(0,AB88-SUM(PR88:RY88))))</f>
        <v>0</v>
      </c>
      <c r="SA88" s="20" t="n">
        <f aca="false">IF(H_Direct=1,IF(ANA87&lt;=0,0,IF(EA88&lt;=0,MIN(MAX(0,AB88-SUM(PR88:RZ88)),ANA87),MIN(MAX(0,AB88-SUM(PR88:RZ88)),ANA87-G88*MAX(0,EA88*ANA87-(YZ88+ACM88))))),MIN(HN88,MAX(0,AB88-SUM(PR88:RZ88))))</f>
        <v>0</v>
      </c>
      <c r="SB88" s="20" t="n">
        <f aca="false">IF(H_Direct=1,IF(ANB87&lt;=0,0,IF(EB88&lt;=0,MIN(MAX(0,AB88-SUM(PR88:SA88)),ANB87),MIN(MAX(0,AB88-SUM(PR88:SA88)),ANB87-G88*MAX(0,EB88*ANB87-(ZA88+ACN88))))),MIN(HO88,MAX(0,AB88-SUM(PR88:SA88))))</f>
        <v>0</v>
      </c>
      <c r="SC88" s="20" t="n">
        <f aca="false">IF(H_Direct=1,IF(ANC87&lt;=0,0,IF(EC88&lt;=0,MIN(MAX(0,AB88-SUM(PR88:SB88)),ANC87),MIN(MAX(0,AB88-SUM(PR88:SB88)),ANC87-G88*MAX(0,EC88*ANC87-(ZB88+ACO88))))),MIN(HP88,MAX(0,AB88-SUM(PR88:SB88))))</f>
        <v>0</v>
      </c>
      <c r="SD88" s="20" t="n">
        <f aca="false">IF(H_Direct=1,IF(AND87&lt;=0,0,IF(ED88&lt;=0,MIN(MAX(0,AB88-SUM(PR88:SC88)),AND87),MIN(MAX(0,AB88-SUM(PR88:SC88)),AND87-G88*MAX(0,ED88*AND87-(ZC88+ACP88))))),MIN(HQ88,MAX(0,AB88-SUM(PR88:SC88))))</f>
        <v>0</v>
      </c>
      <c r="SE88" s="20" t="n">
        <f aca="false">IF(H_Direct=1,IF(ANE87&lt;=0,0,IF(EE88&lt;=0,MIN(MAX(0,AB88-SUM(PR88:SD88)),ANE87),MIN(MAX(0,AB88-SUM(PR88:SD88)),ANE87-G88*MAX(0,EE88*ANE87-(ZD88+ACQ88))))),MIN(HR88,MAX(0,AB88-SUM(PR88:SD88))))</f>
        <v>0</v>
      </c>
      <c r="SF88" s="20" t="n">
        <f aca="false">IF(H_Direct=1,IF(ANF87&lt;=0,0,IF(EF88&lt;=0,MIN(MAX(0,AB88-SUM(PR88:SE88)),ANF87),MIN(MAX(0,AB88-SUM(PR88:SE88)),ANF87-G88*MAX(0,EF88*ANF87-(ZE88+ACR88))))),MIN(HS88,MAX(0,AB88-SUM(PR88:SE88))))</f>
        <v>0</v>
      </c>
      <c r="SG88" s="20" t="n">
        <f aca="false">IF(H_Direct=1,IF(ANG87&lt;=0,0,IF(EG88&lt;=0,MIN(MAX(0,AB88-SUM(PR88:SF88)),ANG87),MIN(MAX(0,AB88-SUM(PR88:SF88)),ANG87-G88*MAX(0,EG88*ANG87-(ZF88+ACS88))))),MIN(HT88,MAX(0,AB88-SUM(PR88:SF88))))</f>
        <v>0</v>
      </c>
      <c r="SH88" s="20" t="n">
        <f aca="false">IF(H_Direct=1,IF(ANH87&lt;=0,0,IF(EH88&lt;=0,MIN(MAX(0,AB88-SUM(PR88:SG88)),ANH87),MIN(MAX(0,AB88-SUM(PR88:SG88)),ANH87-G88*MAX(0,EH88*ANH87-(ZG88+ACT88))))),MIN(HU88,MAX(0,AB88-SUM(PR88:SG88))))</f>
        <v>0</v>
      </c>
      <c r="SI88" s="20" t="n">
        <f aca="false">IF(H_Direct=1,IF(ANI87&lt;=0,0,IF(EI88&lt;=0,MIN(MAX(0,AB88-SUM(PR88:SH88)),ANI87),MIN(MAX(0,AB88-SUM(PR88:SH88)),ANI87-G88*MAX(0,EI88*ANI87-(ZH88+ACU88))))),MIN(HV88,MAX(0,AB88-SUM(PR88:SH88))))</f>
        <v>0</v>
      </c>
      <c r="SJ88" s="20" t="n">
        <f aca="false">IF(H_Direct=1,IF(ANJ87&lt;=0,0,IF(EJ88&lt;=0,MIN(MAX(0,AB88-SUM(PR88:SI88)),ANJ87),MIN(MAX(0,AB88-SUM(PR88:SI88)),ANJ87-G88*MAX(0,EJ88*ANJ87-(ZI88+ACV88))))),MIN(HW88,MAX(0,AB88-SUM(PR88:SI88))))</f>
        <v>0</v>
      </c>
      <c r="SK88" s="20" t="n">
        <f aca="false">IF(H_Direct=1,IF(ANK87&lt;=0,0,IF(EK88&lt;=0,MIN(MAX(0,AB88-SUM(PR88:SJ88)),ANK87),MIN(MAX(0,AB88-SUM(PR88:SJ88)),ANK87-G88*MAX(0,EK88*ANK87-(ZJ88+ACW88))))),MIN(HX88,MAX(0,AB88-SUM(PR88:SJ88))))</f>
        <v>0</v>
      </c>
      <c r="SL88" s="20" t="n">
        <f aca="false">IF(H_Direct=1,IF(ANL87&lt;=0,0,IF(EL88&lt;=0,MIN(MAX(0,AB88-SUM(PR88:SK88)),ANL87),MIN(MAX(0,AB88-SUM(PR88:SK88)),ANL87-G88*MAX(0,EL88*ANL87-(ZK88+ACX88))))),MIN(HY88,MAX(0,AB88-SUM(PR88:SK88))))</f>
        <v>0</v>
      </c>
      <c r="SM88" s="20" t="n">
        <f aca="false">IF(H_Direct=1,IF(ANM87&lt;=0,0,IF(EM88&lt;=0,MIN(MAX(0,AB88-SUM(PR88:SL88)),ANM87),MIN(MAX(0,AB88-SUM(PR88:SL88)),ANM87-G88*MAX(0,EM88*ANM87-(ZL88+ACY88))))),MIN(HZ88,MAX(0,AB88-SUM(PR88:SL88))))</f>
        <v>0</v>
      </c>
      <c r="SN88" s="20" t="n">
        <f aca="false">IF(H_Direct=1,IF(ANN87&lt;=0,0,IF(EN88&lt;=0,MIN(MAX(0,AB88-SUM(PR88:SM88)),ANN87),MIN(MAX(0,AB88-SUM(PR88:SM88)),ANN87-G88*MAX(0,EN88*ANN87-(ZM88+ACZ88))))),MIN(IA88,MAX(0,AB88-SUM(PR88:SM88))))</f>
        <v>0</v>
      </c>
      <c r="SO88" s="20" t="n">
        <f aca="false">IF(H_Direct=1,IF(ANO87&lt;=0,0,IF(EO88&lt;=0,MIN(MAX(0,AB88-SUM(PR88:SN88)),ANO87),MIN(MAX(0,AB88-SUM(PR88:SN88)),ANO87-G88*MAX(0,EO88*ANO87-(ZN88+ADA88))))),MIN(IB88,MAX(0,AB88-SUM(PR88:SN88))))</f>
        <v>0</v>
      </c>
      <c r="SP88" s="20" t="n">
        <f aca="false">IF(H_Direct=1,IF(ANP87&lt;=0,0,IF(EP88&lt;=0,MIN(MAX(0,AB88-SUM(PR88:SO88)),ANP87),MIN(MAX(0,AB88-SUM(PR88:SO88)),ANP87-G88*MAX(0,EP88*ANP87-(ZO88+ADB88))))),MIN(IC88,MAX(0,AB88-SUM(PR88:SO88))))</f>
        <v>0</v>
      </c>
      <c r="SQ88" s="20" t="n">
        <f aca="false">IF(H_Direct=1,IF(ANQ87&lt;=0,0,IF(EQ88&lt;=0,MIN(MAX(0,AB88-SUM(PR88:SP88)),ANQ87),MIN(MAX(0,AB88-SUM(PR88:SP88)),ANQ87-G88*MAX(0,EQ88*ANQ87-(ZP88+ADC88))))),MIN(ID88,MAX(0,AB88-SUM(PR88:SP88))))</f>
        <v>0</v>
      </c>
      <c r="SR88" s="20" t="n">
        <f aca="false">IF(H_Direct=1,IF(ANR87&lt;=0,0,IF(ER88&lt;=0,MIN(MAX(0,AB88-SUM(PR88:SQ88)),ANR87),MIN(MAX(0,AB88-SUM(PR88:SQ88)),ANR87-G88*MAX(0,ER88*ANR87-(ZQ88+ADD88))))),MIN(IE88,MAX(0,AB88-SUM(PR88:SQ88))))</f>
        <v>0</v>
      </c>
      <c r="SS88" s="20" t="n">
        <f aca="false">IF(H_Direct=1,IF(ANS87&lt;=0,0,IF(ES88&lt;=0,MIN(MAX(0,AB88-SUM(PR88:SR88)),ANS87),MIN(MAX(0,AB88-SUM(PR88:SR88)),ANS87-G88*MAX(0,ES88*ANS87-(ZR88+ADE88))))),MIN(IF88,MAX(0,AB88-SUM(PR88:SR88))))</f>
        <v>0</v>
      </c>
      <c r="ST88" s="20" t="n">
        <f aca="false">IF(H_Direct=1,IF(ANT87&lt;=0,0,IF(ET88&lt;=0,MIN(MAX(0,AB88-SUM(PR88:SS88)),ANT87),MIN(MAX(0,AB88-SUM(PR88:SS88)),ANT87-G88*MAX(0,ET88*ANT87-(ZS88+ADF88))))),MIN(IG88,MAX(0,AB88-SUM(PR88:SS88))))</f>
        <v>0</v>
      </c>
      <c r="SU88" s="20" t="n">
        <f aca="false">IF(H_Direct=1,IF((P88+S88)&lt;=0,0,IF(EU88&lt;=0,MIN(MAX(0,AB88-SUM(PR88:ST88)),(P88+S88)),MIN(MAX(0,AB88-SUM(PR88:ST88)),(P88+S88)-G88*MAX(0,EU88*(P88+S88)-(ZT88+ADG88))))),MIN(IH88,MAX(0,AB88-SUM(PR88:ST88))))</f>
        <v>0</v>
      </c>
      <c r="SV88" s="20" t="n">
        <v>0</v>
      </c>
      <c r="SW88" s="20" t="n">
        <v>0</v>
      </c>
      <c r="SX88" s="20" t="n">
        <v>0</v>
      </c>
      <c r="SY88" s="20" t="n">
        <v>0</v>
      </c>
      <c r="SZ88" s="20" t="n">
        <v>0</v>
      </c>
      <c r="TA88" s="20" t="n">
        <v>0</v>
      </c>
      <c r="TB88" s="20" t="n">
        <v>0</v>
      </c>
      <c r="TC88" s="20" t="n">
        <v>0</v>
      </c>
      <c r="TD88" s="20" t="n">
        <v>0</v>
      </c>
      <c r="TE88" s="20" t="n">
        <f aca="false">IF(AKR87&lt;=0,0,IF(H_Direct=1,IF(BR88&lt;=0,PR88,IF(PR88&lt;=(H88+I88)/BR88,PR88,(PR88-G88*(H88+I88))/(1-G88*BR88))),PR88/(1-MAX(0,BR88)*H_Exit)))</f>
        <v>0</v>
      </c>
      <c r="TF88" s="20" t="n">
        <f aca="false">IF(AKS87&lt;=0,0,IF(H_Direct=1,IF(BS88&lt;=0,PS88,IF(PS88&lt;=(WR88+AAE88)/BS88,PS88,(PS88-G88*(WR88+AAE88))/(1-G88*BS88))),PS88/(1-MAX(0,BS88)*H_Exit)))</f>
        <v>0</v>
      </c>
      <c r="TG88" s="20" t="n">
        <f aca="false">IF(AKT87&lt;=0,0,IF(H_Direct=1,IF(BT88&lt;=0,PT88,IF(PT88&lt;=(WS88+AAF88)/BT88,PT88,(PT88-G88*(WS88+AAF88))/(1-G88*BT88))),PT88/(1-MAX(0,BT88)*H_Exit)))</f>
        <v>0</v>
      </c>
      <c r="TH88" s="20" t="n">
        <f aca="false">IF(AKU87&lt;=0,0,IF(H_Direct=1,IF(BU88&lt;=0,PU88,IF(PU88&lt;=(WT88+AAG88)/BU88,PU88,(PU88-G88*(WT88+AAG88))/(1-G88*BU88))),PU88/(1-MAX(0,BU88)*H_Exit)))</f>
        <v>0</v>
      </c>
      <c r="TI88" s="20" t="n">
        <f aca="false">IF(AKV87&lt;=0,0,IF(H_Direct=1,IF(BV88&lt;=0,PV88,IF(PV88&lt;=(WU88+AAH88)/BV88,PV88,(PV88-G88*(WU88+AAH88))/(1-G88*BV88))),PV88/(1-MAX(0,BV88)*H_Exit)))</f>
        <v>0</v>
      </c>
      <c r="TJ88" s="20" t="n">
        <f aca="false">IF(AKW87&lt;=0,0,IF(H_Direct=1,IF(BW88&lt;=0,PW88,IF(PW88&lt;=(WV88+AAI88)/BW88,PW88,(PW88-G88*(WV88+AAI88))/(1-G88*BW88))),PW88/(1-MAX(0,BW88)*H_Exit)))</f>
        <v>0</v>
      </c>
      <c r="TK88" s="20" t="n">
        <f aca="false">IF(AKX87&lt;=0,0,IF(H_Direct=1,IF(BX88&lt;=0,PX88,IF(PX88&lt;=(WW88+AAJ88)/BX88,PX88,(PX88-G88*(WW88+AAJ88))/(1-G88*BX88))),PX88/(1-MAX(0,BX88)*H_Exit)))</f>
        <v>0</v>
      </c>
      <c r="TL88" s="20" t="n">
        <f aca="false">IF(AKY87&lt;=0,0,IF(H_Direct=1,IF(BY88&lt;=0,PY88,IF(PY88&lt;=(WX88+AAK88)/BY88,PY88,(PY88-G88*(WX88+AAK88))/(1-G88*BY88))),PY88/(1-MAX(0,BY88)*H_Exit)))</f>
        <v>0</v>
      </c>
      <c r="TM88" s="20" t="n">
        <f aca="false">IF(AKZ87&lt;=0,0,IF(H_Direct=1,IF(BZ88&lt;=0,PZ88,IF(PZ88&lt;=(WY88+AAL88)/BZ88,PZ88,(PZ88-G88*(WY88+AAL88))/(1-G88*BZ88))),PZ88/(1-MAX(0,BZ88)*H_Exit)))</f>
        <v>0</v>
      </c>
      <c r="TN88" s="20" t="n">
        <f aca="false">IF(ALA87&lt;=0,0,IF(H_Direct=1,IF(CA88&lt;=0,QA88,IF(QA88&lt;=(WZ88+AAM88)/CA88,QA88,(QA88-G88*(WZ88+AAM88))/(1-G88*CA88))),QA88/(1-MAX(0,CA88)*H_Exit)))</f>
        <v>0</v>
      </c>
      <c r="TO88" s="20" t="n">
        <f aca="false">IF(ALB87&lt;=0,0,IF(H_Direct=1,IF(CB88&lt;=0,QB88,IF(QB88&lt;=(XA88+AAN88)/CB88,QB88,(QB88-G88*(XA88+AAN88))/(1-G88*CB88))),QB88/(1-MAX(0,CB88)*H_Exit)))</f>
        <v>0</v>
      </c>
      <c r="TP88" s="20" t="n">
        <f aca="false">IF(ALC87&lt;=0,0,IF(H_Direct=1,IF(CC88&lt;=0,QC88,IF(QC88&lt;=(XB88+AAO88)/CC88,QC88,(QC88-G88*(XB88+AAO88))/(1-G88*CC88))),QC88/(1-MAX(0,CC88)*H_Exit)))</f>
        <v>0</v>
      </c>
      <c r="TQ88" s="20" t="n">
        <f aca="false">IF(ALD87&lt;=0,0,IF(H_Direct=1,IF(CD88&lt;=0,QD88,IF(QD88&lt;=(XC88+AAP88)/CD88,QD88,(QD88-G88*(XC88+AAP88))/(1-G88*CD88))),QD88/(1-MAX(0,CD88)*H_Exit)))</f>
        <v>0</v>
      </c>
      <c r="TR88" s="20" t="n">
        <f aca="false">IF(ALE87&lt;=0,0,IF(H_Direct=1,IF(CE88&lt;=0,QE88,IF(QE88&lt;=(XD88+AAQ88)/CE88,QE88,(QE88-G88*(XD88+AAQ88))/(1-G88*CE88))),QE88/(1-MAX(0,CE88)*H_Exit)))</f>
        <v>0</v>
      </c>
      <c r="TS88" s="20" t="n">
        <f aca="false">IF(ALF87&lt;=0,0,IF(H_Direct=1,IF(CF88&lt;=0,QF88,IF(QF88&lt;=(XE88+AAR88)/CF88,QF88,(QF88-G88*(XE88+AAR88))/(1-G88*CF88))),QF88/(1-MAX(0,CF88)*H_Exit)))</f>
        <v>0</v>
      </c>
      <c r="TT88" s="20" t="n">
        <f aca="false">IF(ALG87&lt;=0,0,IF(H_Direct=1,IF(CG88&lt;=0,QG88,IF(QG88&lt;=(XF88+AAS88)/CG88,QG88,(QG88-G88*(XF88+AAS88))/(1-G88*CG88))),QG88/(1-MAX(0,CG88)*H_Exit)))</f>
        <v>0</v>
      </c>
      <c r="TU88" s="20" t="n">
        <f aca="false">IF(ALH87&lt;=0,0,IF(H_Direct=1,IF(CH88&lt;=0,QH88,IF(QH88&lt;=(XG88+AAT88)/CH88,QH88,(QH88-G88*(XG88+AAT88))/(1-G88*CH88))),QH88/(1-MAX(0,CH88)*H_Exit)))</f>
        <v>0</v>
      </c>
      <c r="TV88" s="20" t="n">
        <f aca="false">IF(ALI87&lt;=0,0,IF(H_Direct=1,IF(CI88&lt;=0,QI88,IF(QI88&lt;=(XH88+AAU88)/CI88,QI88,(QI88-G88*(XH88+AAU88))/(1-G88*CI88))),QI88/(1-MAX(0,CI88)*H_Exit)))</f>
        <v>0</v>
      </c>
      <c r="TW88" s="20" t="n">
        <f aca="false">IF(ALJ87&lt;=0,0,IF(H_Direct=1,IF(CJ88&lt;=0,QJ88,IF(QJ88&lt;=(XI88+AAV88)/CJ88,QJ88,(QJ88-G88*(XI88+AAV88))/(1-G88*CJ88))),QJ88/(1-MAX(0,CJ88)*H_Exit)))</f>
        <v>0</v>
      </c>
      <c r="TX88" s="20" t="n">
        <f aca="false">IF(ALK87&lt;=0,0,IF(H_Direct=1,IF(CK88&lt;=0,QK88,IF(QK88&lt;=(XJ88+AAW88)/CK88,QK88,(QK88-G88*(XJ88+AAW88))/(1-G88*CK88))),QK88/(1-MAX(0,CK88)*H_Exit)))</f>
        <v>0</v>
      </c>
      <c r="TY88" s="20" t="n">
        <f aca="false">IF(ALL87&lt;=0,0,IF(H_Direct=1,IF(CL88&lt;=0,QL88,IF(QL88&lt;=(XK88+AAX88)/CL88,QL88,(QL88-G88*(XK88+AAX88))/(1-G88*CL88))),QL88/(1-MAX(0,CL88)*H_Exit)))</f>
        <v>0</v>
      </c>
      <c r="TZ88" s="20" t="n">
        <f aca="false">IF(ALM87&lt;=0,0,IF(H_Direct=1,IF(CM88&lt;=0,QM88,IF(QM88&lt;=(XL88+AAY88)/CM88,QM88,(QM88-G88*(XL88+AAY88))/(1-G88*CM88))),QM88/(1-MAX(0,CM88)*H_Exit)))</f>
        <v>0</v>
      </c>
      <c r="UA88" s="20" t="n">
        <f aca="false">IF(ALN87&lt;=0,0,IF(H_Direct=1,IF(CN88&lt;=0,QN88,IF(QN88&lt;=(XM88+AAZ88)/CN88,QN88,(QN88-G88*(XM88+AAZ88))/(1-G88*CN88))),QN88/(1-MAX(0,CN88)*H_Exit)))</f>
        <v>0</v>
      </c>
      <c r="UB88" s="20" t="n">
        <f aca="false">IF(ALO87&lt;=0,0,IF(H_Direct=1,IF(CO88&lt;=0,QO88,IF(QO88&lt;=(XN88+ABA88)/CO88,QO88,(QO88-G88*(XN88+ABA88))/(1-G88*CO88))),QO88/(1-MAX(0,CO88)*H_Exit)))</f>
        <v>0</v>
      </c>
      <c r="UC88" s="20" t="n">
        <f aca="false">IF(ALP87&lt;=0,0,IF(H_Direct=1,IF(CP88&lt;=0,QP88,IF(QP88&lt;=(XO88+ABB88)/CP88,QP88,(QP88-G88*(XO88+ABB88))/(1-G88*CP88))),QP88/(1-MAX(0,CP88)*H_Exit)))</f>
        <v>0</v>
      </c>
      <c r="UD88" s="20" t="n">
        <f aca="false">IF(ALQ87&lt;=0,0,IF(H_Direct=1,IF(CQ88&lt;=0,QQ88,IF(QQ88&lt;=(XP88+ABC88)/CQ88,QQ88,(QQ88-G88*(XP88+ABC88))/(1-G88*CQ88))),QQ88/(1-MAX(0,CQ88)*H_Exit)))</f>
        <v>0</v>
      </c>
      <c r="UE88" s="20" t="n">
        <f aca="false">IF(ALR87&lt;=0,0,IF(H_Direct=1,IF(CR88&lt;=0,QR88,IF(QR88&lt;=(XQ88+ABD88)/CR88,QR88,(QR88-G88*(XQ88+ABD88))/(1-G88*CR88))),QR88/(1-MAX(0,CR88)*H_Exit)))</f>
        <v>0</v>
      </c>
      <c r="UF88" s="20" t="n">
        <f aca="false">IF(ALS87&lt;=0,0,IF(H_Direct=1,IF(CS88&lt;=0,QS88,IF(QS88&lt;=(XR88+ABE88)/CS88,QS88,(QS88-G88*(XR88+ABE88))/(1-G88*CS88))),QS88/(1-MAX(0,CS88)*H_Exit)))</f>
        <v>0</v>
      </c>
      <c r="UG88" s="20" t="n">
        <f aca="false">IF(ALT87&lt;=0,0,IF(H_Direct=1,IF(CT88&lt;=0,QT88,IF(QT88&lt;=(XS88+ABF88)/CT88,QT88,(QT88-G88*(XS88+ABF88))/(1-G88*CT88))),QT88/(1-MAX(0,CT88)*H_Exit)))</f>
        <v>0</v>
      </c>
      <c r="UH88" s="20" t="n">
        <f aca="false">IF(ALU87&lt;=0,0,IF(H_Direct=1,IF(CU88&lt;=0,QU88,IF(QU88&lt;=(XT88+ABG88)/CU88,QU88,(QU88-G88*(XT88+ABG88))/(1-G88*CU88))),QU88/(1-MAX(0,CU88)*H_Exit)))</f>
        <v>0</v>
      </c>
      <c r="UI88" s="20" t="n">
        <f aca="false">IF(ALV87&lt;=0,0,IF(H_Direct=1,IF(CV88&lt;=0,QV88,IF(QV88&lt;=(XU88+ABH88)/CV88,QV88,(QV88-G88*(XU88+ABH88))/(1-G88*CV88))),QV88/(1-MAX(0,CV88)*H_Exit)))</f>
        <v>0</v>
      </c>
      <c r="UJ88" s="20" t="n">
        <f aca="false">IF(ALW87&lt;=0,0,IF(H_Direct=1,IF(CW88&lt;=0,QW88,IF(QW88&lt;=(XV88+ABI88)/CW88,QW88,(QW88-G88*(XV88+ABI88))/(1-G88*CW88))),QW88/(1-MAX(0,CW88)*H_Exit)))</f>
        <v>0</v>
      </c>
      <c r="UK88" s="20" t="n">
        <f aca="false">IF(ALX87&lt;=0,0,IF(H_Direct=1,IF(CX88&lt;=0,QX88,IF(QX88&lt;=(XW88+ABJ88)/CX88,QX88,(QX88-G88*(XW88+ABJ88))/(1-G88*CX88))),QX88/(1-MAX(0,CX88)*H_Exit)))</f>
        <v>0</v>
      </c>
      <c r="UL88" s="20" t="n">
        <f aca="false">IF(ALY87&lt;=0,0,IF(H_Direct=1,IF(CY88&lt;=0,QY88,IF(QY88&lt;=(XX88+ABK88)/CY88,QY88,(QY88-G88*(XX88+ABK88))/(1-G88*CY88))),QY88/(1-MAX(0,CY88)*H_Exit)))</f>
        <v>0</v>
      </c>
      <c r="UM88" s="20" t="n">
        <f aca="false">IF(ALZ87&lt;=0,0,IF(H_Direct=1,IF(CZ88&lt;=0,QZ88,IF(QZ88&lt;=(XY88+ABL88)/CZ88,QZ88,(QZ88-G88*(XY88+ABL88))/(1-G88*CZ88))),QZ88/(1-MAX(0,CZ88)*H_Exit)))</f>
        <v>0</v>
      </c>
      <c r="UN88" s="20" t="n">
        <f aca="false">IF(AMA87&lt;=0,0,IF(H_Direct=1,IF(DA88&lt;=0,RA88,IF(RA88&lt;=(XZ88+ABM88)/DA88,RA88,(RA88-G88*(XZ88+ABM88))/(1-G88*DA88))),RA88/(1-MAX(0,DA88)*H_Exit)))</f>
        <v>0</v>
      </c>
      <c r="UO88" s="20" t="n">
        <f aca="false">IF(AMB87&lt;=0,0,IF(H_Direct=1,IF(DB88&lt;=0,RB88,IF(RB88&lt;=(YA88+ABN88)/DB88,RB88,(RB88-G88*(YA88+ABN88))/(1-G88*DB88))),RB88/(1-MAX(0,DB88)*H_Exit)))</f>
        <v>0</v>
      </c>
      <c r="UP88" s="20" t="n">
        <f aca="false">IF(AMC87&lt;=0,0,IF(H_Direct=1,IF(DC88&lt;=0,RC88,IF(RC88&lt;=(YB88+ABO88)/DC88,RC88,(RC88-G88*(YB88+ABO88))/(1-G88*DC88))),RC88/(1-MAX(0,DC88)*H_Exit)))</f>
        <v>0</v>
      </c>
      <c r="UQ88" s="20" t="n">
        <f aca="false">IF(AMD87&lt;=0,0,IF(H_Direct=1,IF(DD88&lt;=0,RD88,IF(RD88&lt;=(YC88+ABP88)/DD88,RD88,(RD88-G88*(YC88+ABP88))/(1-G88*DD88))),RD88/(1-MAX(0,DD88)*H_Exit)))</f>
        <v>0</v>
      </c>
      <c r="UR88" s="20" t="n">
        <f aca="false">IF(AME87&lt;=0,0,IF(H_Direct=1,IF(DE88&lt;=0,RE88,IF(RE88&lt;=(YD88+ABQ88)/DE88,RE88,(RE88-G88*(YD88+ABQ88))/(1-G88*DE88))),RE88/(1-MAX(0,DE88)*H_Exit)))</f>
        <v>0</v>
      </c>
      <c r="US88" s="20" t="n">
        <f aca="false">IF(AMF87&lt;=0,0,IF(H_Direct=1,IF(DF88&lt;=0,RF88,IF(RF88&lt;=(YE88+ABR88)/DF88,RF88,(RF88-G88*(YE88+ABR88))/(1-G88*DF88))),RF88/(1-MAX(0,DF88)*H_Exit)))</f>
        <v>0</v>
      </c>
      <c r="UT88" s="20" t="n">
        <f aca="false">IF(AMG87&lt;=0,0,IF(H_Direct=1,IF(DG88&lt;=0,RG88,IF(RG88&lt;=(YF88+ABS88)/DG88,RG88,(RG88-G88*(YF88+ABS88))/(1-G88*DG88))),RG88/(1-MAX(0,DG88)*H_Exit)))</f>
        <v>0</v>
      </c>
      <c r="UU88" s="20" t="n">
        <f aca="false">IF(AMH87&lt;=0,0,IF(H_Direct=1,IF(DH88&lt;=0,RH88,IF(RH88&lt;=(YG88+ABT88)/DH88,RH88,(RH88-G88*(YG88+ABT88))/(1-G88*DH88))),RH88/(1-MAX(0,DH88)*H_Exit)))</f>
        <v>0</v>
      </c>
      <c r="UV88" s="20" t="n">
        <f aca="false">IF(AMI87&lt;=0,0,IF(H_Direct=1,IF(DI88&lt;=0,RI88,IF(RI88&lt;=(YH88+ABU88)/DI88,RI88,(RI88-G88*(YH88+ABU88))/(1-G88*DI88))),RI88/(1-MAX(0,DI88)*H_Exit)))</f>
        <v>0</v>
      </c>
      <c r="UW88" s="20" t="n">
        <f aca="false">IF(AMJ87&lt;=0,0,IF(H_Direct=1,IF(DJ88&lt;=0,RJ88,IF(RJ88&lt;=(YI88+ABV88)/DJ88,RJ88,(RJ88-G88*(YI88+ABV88))/(1-G88*DJ88))),RJ88/(1-MAX(0,DJ88)*H_Exit)))</f>
        <v>0</v>
      </c>
      <c r="UX88" s="20" t="n">
        <f aca="false">IF(AMK87&lt;=0,0,IF(H_Direct=1,IF(DK88&lt;=0,RK88,IF(RK88&lt;=(YJ88+ABW88)/DK88,RK88,(RK88-G88*(YJ88+ABW88))/(1-G88*DK88))),RK88/(1-MAX(0,DK88)*H_Exit)))</f>
        <v>0</v>
      </c>
      <c r="UY88" s="20" t="n">
        <f aca="false">IF(AML87&lt;=0,0,IF(H_Direct=1,IF(DL88&lt;=0,RL88,IF(RL88&lt;=(YK88+ABX88)/DL88,RL88,(RL88-G88*(YK88+ABX88))/(1-G88*DL88))),RL88/(1-MAX(0,DL88)*H_Exit)))</f>
        <v>0</v>
      </c>
      <c r="UZ88" s="20" t="n">
        <f aca="false">IF(AMM87&lt;=0,0,IF(H_Direct=1,IF(DM88&lt;=0,RM88,IF(RM88&lt;=(YL88+ABY88)/DM88,RM88,(RM88-G88*(YL88+ABY88))/(1-G88*DM88))),RM88/(1-MAX(0,DM88)*H_Exit)))</f>
        <v>0</v>
      </c>
      <c r="VA88" s="20" t="n">
        <f aca="false">IF(AMN87&lt;=0,0,IF(H_Direct=1,IF(DN88&lt;=0,RN88,IF(RN88&lt;=(YM88+ABZ88)/DN88,RN88,(RN88-G88*(YM88+ABZ88))/(1-G88*DN88))),RN88/(1-MAX(0,DN88)*H_Exit)))</f>
        <v>0</v>
      </c>
      <c r="VB88" s="20" t="n">
        <f aca="false">IF(AMO87&lt;=0,0,IF(H_Direct=1,IF(DO88&lt;=0,RO88,IF(RO88&lt;=(YN88+ACA88)/DO88,RO88,(RO88-G88*(YN88+ACA88))/(1-G88*DO88))),RO88/(1-MAX(0,DO88)*H_Exit)))</f>
        <v>0</v>
      </c>
      <c r="VC88" s="20" t="n">
        <f aca="false">IF(AMP87&lt;=0,0,IF(H_Direct=1,IF(DP88&lt;=0,RP88,IF(RP88&lt;=(YO88+ACB88)/DP88,RP88,(RP88-G88*(YO88+ACB88))/(1-G88*DP88))),RP88/(1-MAX(0,DP88)*H_Exit)))</f>
        <v>0</v>
      </c>
      <c r="VD88" s="20" t="n">
        <f aca="false">IF(AMQ87&lt;=0,0,IF(H_Direct=1,IF(DQ88&lt;=0,RQ88,IF(RQ88&lt;=(YP88+ACC88)/DQ88,RQ88,(RQ88-G88*(YP88+ACC88))/(1-G88*DQ88))),RQ88/(1-MAX(0,DQ88)*H_Exit)))</f>
        <v>0</v>
      </c>
      <c r="VE88" s="20" t="n">
        <f aca="false">IF(AMR87&lt;=0,0,IF(H_Direct=1,IF(DR88&lt;=0,RR88,IF(RR88&lt;=(YQ88+ACD88)/DR88,RR88,(RR88-G88*(YQ88+ACD88))/(1-G88*DR88))),RR88/(1-MAX(0,DR88)*H_Exit)))</f>
        <v>0</v>
      </c>
      <c r="VF88" s="20" t="n">
        <f aca="false">IF(AMS87&lt;=0,0,IF(H_Direct=1,IF(DS88&lt;=0,RS88,IF(RS88&lt;=(YR88+ACE88)/DS88,RS88,(RS88-G88*(YR88+ACE88))/(1-G88*DS88))),RS88/(1-MAX(0,DS88)*H_Exit)))</f>
        <v>0</v>
      </c>
      <c r="VG88" s="20" t="n">
        <f aca="false">IF(AMT87&lt;=0,0,IF(H_Direct=1,IF(DT88&lt;=0,RT88,IF(RT88&lt;=(YS88+ACF88)/DT88,RT88,(RT88-G88*(YS88+ACF88))/(1-G88*DT88))),RT88/(1-MAX(0,DT88)*H_Exit)))</f>
        <v>0</v>
      </c>
      <c r="VH88" s="20" t="n">
        <f aca="false">IF(AMU87&lt;=0,0,IF(H_Direct=1,IF(DU88&lt;=0,RU88,IF(RU88&lt;=(YT88+ACG88)/DU88,RU88,(RU88-G88*(YT88+ACG88))/(1-G88*DU88))),RU88/(1-MAX(0,DU88)*H_Exit)))</f>
        <v>0</v>
      </c>
      <c r="VI88" s="20" t="n">
        <f aca="false">IF(AMV87&lt;=0,0,IF(H_Direct=1,IF(DV88&lt;=0,RV88,IF(RV88&lt;=(YU88+ACH88)/DV88,RV88,(RV88-G88*(YU88+ACH88))/(1-G88*DV88))),RV88/(1-MAX(0,DV88)*H_Exit)))</f>
        <v>0</v>
      </c>
      <c r="VJ88" s="20" t="n">
        <f aca="false">IF(AMW87&lt;=0,0,IF(H_Direct=1,IF(DW88&lt;=0,RW88,IF(RW88&lt;=(YV88+ACI88)/DW88,RW88,(RW88-G88*(YV88+ACI88))/(1-G88*DW88))),RW88/(1-MAX(0,DW88)*H_Exit)))</f>
        <v>0</v>
      </c>
      <c r="VK88" s="20" t="n">
        <f aca="false">IF(AMX87&lt;=0,0,IF(H_Direct=1,IF(DX88&lt;=0,RX88,IF(RX88&lt;=(YW88+ACJ88)/DX88,RX88,(RX88-G88*(YW88+ACJ88))/(1-G88*DX88))),RX88/(1-MAX(0,DX88)*H_Exit)))</f>
        <v>0</v>
      </c>
      <c r="VL88" s="20" t="n">
        <f aca="false">IF(AMY87&lt;=0,0,IF(H_Direct=1,IF(DY88&lt;=0,RY88,IF(RY88&lt;=(YX88+ACK88)/DY88,RY88,(RY88-G88*(YX88+ACK88))/(1-G88*DY88))),RY88/(1-MAX(0,DY88)*H_Exit)))</f>
        <v>0</v>
      </c>
      <c r="VM88" s="20" t="n">
        <f aca="false">IF(AMZ87&lt;=0,0,IF(H_Direct=1,IF(DZ88&lt;=0,RZ88,IF(RZ88&lt;=(YY88+ACL88)/DZ88,RZ88,(RZ88-G88*(YY88+ACL88))/(1-G88*DZ88))),RZ88/(1-MAX(0,DZ88)*H_Exit)))</f>
        <v>0</v>
      </c>
      <c r="VN88" s="20" t="n">
        <f aca="false">IF(ANA87&lt;=0,0,IF(H_Direct=1,IF(EA88&lt;=0,SA88,IF(SA88&lt;=(YZ88+ACM88)/EA88,SA88,(SA88-G88*(YZ88+ACM88))/(1-G88*EA88))),SA88/(1-MAX(0,EA88)*H_Exit)))</f>
        <v>0</v>
      </c>
      <c r="VO88" s="20" t="n">
        <f aca="false">IF(ANB87&lt;=0,0,IF(H_Direct=1,IF(EB88&lt;=0,SB88,IF(SB88&lt;=(ZA88+ACN88)/EB88,SB88,(SB88-G88*(ZA88+ACN88))/(1-G88*EB88))),SB88/(1-MAX(0,EB88)*H_Exit)))</f>
        <v>0</v>
      </c>
      <c r="VP88" s="20" t="n">
        <f aca="false">IF(ANC87&lt;=0,0,IF(H_Direct=1,IF(EC88&lt;=0,SC88,IF(SC88&lt;=(ZB88+ACO88)/EC88,SC88,(SC88-G88*(ZB88+ACO88))/(1-G88*EC88))),SC88/(1-MAX(0,EC88)*H_Exit)))</f>
        <v>0</v>
      </c>
      <c r="VQ88" s="20" t="n">
        <f aca="false">IF(AND87&lt;=0,0,IF(H_Direct=1,IF(ED88&lt;=0,SD88,IF(SD88&lt;=(ZC88+ACP88)/ED88,SD88,(SD88-G88*(ZC88+ACP88))/(1-G88*ED88))),SD88/(1-MAX(0,ED88)*H_Exit)))</f>
        <v>0</v>
      </c>
      <c r="VR88" s="20" t="n">
        <f aca="false">IF(ANE87&lt;=0,0,IF(H_Direct=1,IF(EE88&lt;=0,SE88,IF(SE88&lt;=(ZD88+ACQ88)/EE88,SE88,(SE88-G88*(ZD88+ACQ88))/(1-G88*EE88))),SE88/(1-MAX(0,EE88)*H_Exit)))</f>
        <v>0</v>
      </c>
      <c r="VS88" s="20" t="n">
        <f aca="false">IF(ANF87&lt;=0,0,IF(H_Direct=1,IF(EF88&lt;=0,SF88,IF(SF88&lt;=(ZE88+ACR88)/EF88,SF88,(SF88-G88*(ZE88+ACR88))/(1-G88*EF88))),SF88/(1-MAX(0,EF88)*H_Exit)))</f>
        <v>0</v>
      </c>
      <c r="VT88" s="20" t="n">
        <f aca="false">IF(ANG87&lt;=0,0,IF(H_Direct=1,IF(EG88&lt;=0,SG88,IF(SG88&lt;=(ZF88+ACS88)/EG88,SG88,(SG88-G88*(ZF88+ACS88))/(1-G88*EG88))),SG88/(1-MAX(0,EG88)*H_Exit)))</f>
        <v>0</v>
      </c>
      <c r="VU88" s="20" t="n">
        <f aca="false">IF(ANH87&lt;=0,0,IF(H_Direct=1,IF(EH88&lt;=0,SH88,IF(SH88&lt;=(ZG88+ACT88)/EH88,SH88,(SH88-G88*(ZG88+ACT88))/(1-G88*EH88))),SH88/(1-MAX(0,EH88)*H_Exit)))</f>
        <v>0</v>
      </c>
      <c r="VV88" s="20" t="n">
        <f aca="false">IF(ANI87&lt;=0,0,IF(H_Direct=1,IF(EI88&lt;=0,SI88,IF(SI88&lt;=(ZH88+ACU88)/EI88,SI88,(SI88-G88*(ZH88+ACU88))/(1-G88*EI88))),SI88/(1-MAX(0,EI88)*H_Exit)))</f>
        <v>0</v>
      </c>
      <c r="VW88" s="20" t="n">
        <f aca="false">IF(ANJ87&lt;=0,0,IF(H_Direct=1,IF(EJ88&lt;=0,SJ88,IF(SJ88&lt;=(ZI88+ACV88)/EJ88,SJ88,(SJ88-G88*(ZI88+ACV88))/(1-G88*EJ88))),SJ88/(1-MAX(0,EJ88)*H_Exit)))</f>
        <v>0</v>
      </c>
      <c r="VX88" s="20" t="n">
        <f aca="false">IF(ANK87&lt;=0,0,IF(H_Direct=1,IF(EK88&lt;=0,SK88,IF(SK88&lt;=(ZJ88+ACW88)/EK88,SK88,(SK88-G88*(ZJ88+ACW88))/(1-G88*EK88))),SK88/(1-MAX(0,EK88)*H_Exit)))</f>
        <v>0</v>
      </c>
      <c r="VY88" s="20" t="n">
        <f aca="false">IF(ANL87&lt;=0,0,IF(H_Direct=1,IF(EL88&lt;=0,SL88,IF(SL88&lt;=(ZK88+ACX88)/EL88,SL88,(SL88-G88*(ZK88+ACX88))/(1-G88*EL88))),SL88/(1-MAX(0,EL88)*H_Exit)))</f>
        <v>0</v>
      </c>
      <c r="VZ88" s="20" t="n">
        <f aca="false">IF(ANM87&lt;=0,0,IF(H_Direct=1,IF(EM88&lt;=0,SM88,IF(SM88&lt;=(ZL88+ACY88)/EM88,SM88,(SM88-G88*(ZL88+ACY88))/(1-G88*EM88))),SM88/(1-MAX(0,EM88)*H_Exit)))</f>
        <v>0</v>
      </c>
      <c r="WA88" s="20" t="n">
        <f aca="false">IF(ANN87&lt;=0,0,IF(H_Direct=1,IF(EN88&lt;=0,SN88,IF(SN88&lt;=(ZM88+ACZ88)/EN88,SN88,(SN88-G88*(ZM88+ACZ88))/(1-G88*EN88))),SN88/(1-MAX(0,EN88)*H_Exit)))</f>
        <v>0</v>
      </c>
      <c r="WB88" s="20" t="n">
        <f aca="false">IF(ANO87&lt;=0,0,IF(H_Direct=1,IF(EO88&lt;=0,SO88,IF(SO88&lt;=(ZN88+ADA88)/EO88,SO88,(SO88-G88*(ZN88+ADA88))/(1-G88*EO88))),SO88/(1-MAX(0,EO88)*H_Exit)))</f>
        <v>0</v>
      </c>
      <c r="WC88" s="20" t="n">
        <f aca="false">IF(ANP87&lt;=0,0,IF(H_Direct=1,IF(EP88&lt;=0,SP88,IF(SP88&lt;=(ZO88+ADB88)/EP88,SP88,(SP88-G88*(ZO88+ADB88))/(1-G88*EP88))),SP88/(1-MAX(0,EP88)*H_Exit)))</f>
        <v>0</v>
      </c>
      <c r="WD88" s="20" t="n">
        <f aca="false">IF(ANQ87&lt;=0,0,IF(H_Direct=1,IF(EQ88&lt;=0,SQ88,IF(SQ88&lt;=(ZP88+ADC88)/EQ88,SQ88,(SQ88-G88*(ZP88+ADC88))/(1-G88*EQ88))),SQ88/(1-MAX(0,EQ88)*H_Exit)))</f>
        <v>0</v>
      </c>
      <c r="WE88" s="20" t="n">
        <f aca="false">IF(ANR87&lt;=0,0,IF(H_Direct=1,IF(ER88&lt;=0,SR88,IF(SR88&lt;=(ZQ88+ADD88)/ER88,SR88,(SR88-G88*(ZQ88+ADD88))/(1-G88*ER88))),SR88/(1-MAX(0,ER88)*H_Exit)))</f>
        <v>0</v>
      </c>
      <c r="WF88" s="20" t="n">
        <f aca="false">IF(ANS87&lt;=0,0,IF(H_Direct=1,IF(ES88&lt;=0,SS88,IF(SS88&lt;=(ZR88+ADE88)/ES88,SS88,(SS88-G88*(ZR88+ADE88))/(1-G88*ES88))),SS88/(1-MAX(0,ES88)*H_Exit)))</f>
        <v>0</v>
      </c>
      <c r="WG88" s="20" t="n">
        <f aca="false">IF(ANT87&lt;=0,0,IF(H_Direct=1,IF(ET88&lt;=0,ST88,IF(ST88&lt;=(ZS88+ADF88)/ET88,ST88,(ST88-G88*(ZS88+ADF88))/(1-G88*ET88))),ST88/(1-MAX(0,ET88)*H_Exit)))</f>
        <v>0</v>
      </c>
      <c r="WH88" s="20" t="n">
        <f aca="false">IF((P88+S88)&lt;=0,0,IF(H_Direct=1,IF(EU88&lt;=0,SU88,IF(SU88&lt;=(ZT88+ADG88)/EU88,SU88,(SU88-G88*(ZT88+ADG88))/(1-G88*EU88))),SU88/(1-MAX(0,EU88)*H_Exit)))</f>
        <v>0</v>
      </c>
      <c r="WI88" s="20" t="n">
        <v>0</v>
      </c>
      <c r="WJ88" s="20" t="n">
        <v>0</v>
      </c>
      <c r="WK88" s="20" t="n">
        <v>0</v>
      </c>
      <c r="WL88" s="20" t="n">
        <v>0</v>
      </c>
      <c r="WM88" s="20" t="n">
        <v>0</v>
      </c>
      <c r="WN88" s="20" t="n">
        <v>0</v>
      </c>
      <c r="WO88" s="20" t="n">
        <v>0</v>
      </c>
      <c r="WP88" s="20" t="n">
        <v>0</v>
      </c>
      <c r="WQ88" s="20" t="n">
        <v>0</v>
      </c>
      <c r="WR88" s="20" t="n">
        <f aca="false">IF(AND(H_Direct=1,BR88&gt;0),MAX(0,H88-(MIN(BR88*TE88,(H88+I88))-MIN(MIN(BR88*TE88,(H88+I88)),I88))),H88)</f>
        <v>1270</v>
      </c>
      <c r="WS88" s="20" t="n">
        <f aca="false">IF(AND(H_Direct=1,BS88&gt;0),MAX(0,WR88-(MIN(BS88*TF88,(WR88+AAE88))-MIN(MIN(BS88*TF88,(WR88+AAE88)),AAE88))),WR88)</f>
        <v>1270</v>
      </c>
      <c r="WT88" s="20" t="n">
        <f aca="false">IF(AND(H_Direct=1,BT88&gt;0),MAX(0,WS88-(MIN(BT88*TG88,(WS88+AAF88))-MIN(MIN(BT88*TG88,(WS88+AAF88)),AAF88))),WS88)</f>
        <v>1270</v>
      </c>
      <c r="WU88" s="20" t="n">
        <f aca="false">IF(AND(H_Direct=1,BU88&gt;0),MAX(0,WT88-(MIN(BU88*TH88,(WT88+AAG88))-MIN(MIN(BU88*TH88,(WT88+AAG88)),AAG88))),WT88)</f>
        <v>1270</v>
      </c>
      <c r="WV88" s="20" t="n">
        <f aca="false">IF(AND(H_Direct=1,BV88&gt;0),MAX(0,WU88-(MIN(BV88*TI88,(WU88+AAH88))-MIN(MIN(BV88*TI88,(WU88+AAH88)),AAH88))),WU88)</f>
        <v>1270</v>
      </c>
      <c r="WW88" s="20" t="n">
        <f aca="false">IF(AND(H_Direct=1,BW88&gt;0),MAX(0,WV88-(MIN(BW88*TJ88,(WV88+AAI88))-MIN(MIN(BW88*TJ88,(WV88+AAI88)),AAI88))),WV88)</f>
        <v>1270</v>
      </c>
      <c r="WX88" s="20" t="n">
        <f aca="false">IF(AND(H_Direct=1,BX88&gt;0),MAX(0,WW88-(MIN(BX88*TK88,(WW88+AAJ88))-MIN(MIN(BX88*TK88,(WW88+AAJ88)),AAJ88))),WW88)</f>
        <v>1270</v>
      </c>
      <c r="WY88" s="20" t="n">
        <f aca="false">IF(AND(H_Direct=1,BY88&gt;0),MAX(0,WX88-(MIN(BY88*TL88,(WX88+AAK88))-MIN(MIN(BY88*TL88,(WX88+AAK88)),AAK88))),WX88)</f>
        <v>1270</v>
      </c>
      <c r="WZ88" s="20" t="n">
        <f aca="false">IF(AND(H_Direct=1,BZ88&gt;0),MAX(0,WY88-(MIN(BZ88*TM88,(WY88+AAL88))-MIN(MIN(BZ88*TM88,(WY88+AAL88)),AAL88))),WY88)</f>
        <v>1270</v>
      </c>
      <c r="XA88" s="20" t="n">
        <f aca="false">IF(AND(H_Direct=1,CA88&gt;0),MAX(0,WZ88-(MIN(CA88*TN88,(WZ88+AAM88))-MIN(MIN(CA88*TN88,(WZ88+AAM88)),AAM88))),WZ88)</f>
        <v>1270</v>
      </c>
      <c r="XB88" s="20" t="n">
        <f aca="false">IF(AND(H_Direct=1,CB88&gt;0),MAX(0,XA88-(MIN(CB88*TO88,(XA88+AAN88))-MIN(MIN(CB88*TO88,(XA88+AAN88)),AAN88))),XA88)</f>
        <v>1270</v>
      </c>
      <c r="XC88" s="20" t="n">
        <f aca="false">IF(AND(H_Direct=1,CC88&gt;0),MAX(0,XB88-(MIN(CC88*TP88,(XB88+AAO88))-MIN(MIN(CC88*TP88,(XB88+AAO88)),AAO88))),XB88)</f>
        <v>1270</v>
      </c>
      <c r="XD88" s="20" t="n">
        <f aca="false">IF(AND(H_Direct=1,CD88&gt;0),MAX(0,XC88-(MIN(CD88*TQ88,(XC88+AAP88))-MIN(MIN(CD88*TQ88,(XC88+AAP88)),AAP88))),XC88)</f>
        <v>1270</v>
      </c>
      <c r="XE88" s="20" t="n">
        <f aca="false">IF(AND(H_Direct=1,CE88&gt;0),MAX(0,XD88-(MIN(CE88*TR88,(XD88+AAQ88))-MIN(MIN(CE88*TR88,(XD88+AAQ88)),AAQ88))),XD88)</f>
        <v>1270</v>
      </c>
      <c r="XF88" s="20" t="n">
        <f aca="false">IF(AND(H_Direct=1,CF88&gt;0),MAX(0,XE88-(MIN(CF88*TS88,(XE88+AAR88))-MIN(MIN(CF88*TS88,(XE88+AAR88)),AAR88))),XE88)</f>
        <v>1270</v>
      </c>
      <c r="XG88" s="20" t="n">
        <f aca="false">IF(AND(H_Direct=1,CG88&gt;0),MAX(0,XF88-(MIN(CG88*TT88,(XF88+AAS88))-MIN(MIN(CG88*TT88,(XF88+AAS88)),AAS88))),XF88)</f>
        <v>1270</v>
      </c>
      <c r="XH88" s="20" t="n">
        <f aca="false">IF(AND(H_Direct=1,CH88&gt;0),MAX(0,XG88-(MIN(CH88*TU88,(XG88+AAT88))-MIN(MIN(CH88*TU88,(XG88+AAT88)),AAT88))),XG88)</f>
        <v>1270</v>
      </c>
      <c r="XI88" s="20" t="n">
        <f aca="false">IF(AND(H_Direct=1,CI88&gt;0),MAX(0,XH88-(MIN(CI88*TV88,(XH88+AAU88))-MIN(MIN(CI88*TV88,(XH88+AAU88)),AAU88))),XH88)</f>
        <v>1270</v>
      </c>
      <c r="XJ88" s="20" t="n">
        <f aca="false">IF(AND(H_Direct=1,CJ88&gt;0),MAX(0,XI88-(MIN(CJ88*TW88,(XI88+AAV88))-MIN(MIN(CJ88*TW88,(XI88+AAV88)),AAV88))),XI88)</f>
        <v>1270</v>
      </c>
      <c r="XK88" s="20" t="n">
        <f aca="false">IF(AND(H_Direct=1,CK88&gt;0),MAX(0,XJ88-(MIN(CK88*TX88,(XJ88+AAW88))-MIN(MIN(CK88*TX88,(XJ88+AAW88)),AAW88))),XJ88)</f>
        <v>1270</v>
      </c>
      <c r="XL88" s="20" t="n">
        <f aca="false">IF(AND(H_Direct=1,CL88&gt;0),MAX(0,XK88-(MIN(CL88*TY88,(XK88+AAX88))-MIN(MIN(CL88*TY88,(XK88+AAX88)),AAX88))),XK88)</f>
        <v>1270</v>
      </c>
      <c r="XM88" s="20" t="n">
        <f aca="false">IF(AND(H_Direct=1,CM88&gt;0),MAX(0,XL88-(MIN(CM88*TZ88,(XL88+AAY88))-MIN(MIN(CM88*TZ88,(XL88+AAY88)),AAY88))),XL88)</f>
        <v>1270</v>
      </c>
      <c r="XN88" s="20" t="n">
        <f aca="false">IF(AND(H_Direct=1,CN88&gt;0),MAX(0,XM88-(MIN(CN88*UA88,(XM88+AAZ88))-MIN(MIN(CN88*UA88,(XM88+AAZ88)),AAZ88))),XM88)</f>
        <v>1270</v>
      </c>
      <c r="XO88" s="20" t="n">
        <f aca="false">IF(AND(H_Direct=1,CO88&gt;0),MAX(0,XN88-(MIN(CO88*UB88,(XN88+ABA88))-MIN(MIN(CO88*UB88,(XN88+ABA88)),ABA88))),XN88)</f>
        <v>1270</v>
      </c>
      <c r="XP88" s="20" t="n">
        <f aca="false">IF(AND(H_Direct=1,CP88&gt;0),MAX(0,XO88-(MIN(CP88*UC88,(XO88+ABB88))-MIN(MIN(CP88*UC88,(XO88+ABB88)),ABB88))),XO88)</f>
        <v>1270</v>
      </c>
      <c r="XQ88" s="20" t="n">
        <f aca="false">IF(AND(H_Direct=1,CQ88&gt;0),MAX(0,XP88-(MIN(CQ88*UD88,(XP88+ABC88))-MIN(MIN(CQ88*UD88,(XP88+ABC88)),ABC88))),XP88)</f>
        <v>1270</v>
      </c>
      <c r="XR88" s="20" t="n">
        <f aca="false">IF(AND(H_Direct=1,CR88&gt;0),MAX(0,XQ88-(MIN(CR88*UE88,(XQ88+ABD88))-MIN(MIN(CR88*UE88,(XQ88+ABD88)),ABD88))),XQ88)</f>
        <v>1270</v>
      </c>
      <c r="XS88" s="20" t="n">
        <f aca="false">IF(AND(H_Direct=1,CS88&gt;0),MAX(0,XR88-(MIN(CS88*UF88,(XR88+ABE88))-MIN(MIN(CS88*UF88,(XR88+ABE88)),ABE88))),XR88)</f>
        <v>1270</v>
      </c>
      <c r="XT88" s="20" t="n">
        <f aca="false">IF(AND(H_Direct=1,CT88&gt;0),MAX(0,XS88-(MIN(CT88*UG88,(XS88+ABF88))-MIN(MIN(CT88*UG88,(XS88+ABF88)),ABF88))),XS88)</f>
        <v>1270</v>
      </c>
      <c r="XU88" s="20" t="n">
        <f aca="false">IF(AND(H_Direct=1,CU88&gt;0),MAX(0,XT88-(MIN(CU88*UH88,(XT88+ABG88))-MIN(MIN(CU88*UH88,(XT88+ABG88)),ABG88))),XT88)</f>
        <v>1270</v>
      </c>
      <c r="XV88" s="20" t="n">
        <f aca="false">IF(AND(H_Direct=1,CV88&gt;0),MAX(0,XU88-(MIN(CV88*UI88,(XU88+ABH88))-MIN(MIN(CV88*UI88,(XU88+ABH88)),ABH88))),XU88)</f>
        <v>1270</v>
      </c>
      <c r="XW88" s="20" t="n">
        <f aca="false">IF(AND(H_Direct=1,CW88&gt;0),MAX(0,XV88-(MIN(CW88*UJ88,(XV88+ABI88))-MIN(MIN(CW88*UJ88,(XV88+ABI88)),ABI88))),XV88)</f>
        <v>1270</v>
      </c>
      <c r="XX88" s="20" t="n">
        <f aca="false">IF(AND(H_Direct=1,CX88&gt;0),MAX(0,XW88-(MIN(CX88*UK88,(XW88+ABJ88))-MIN(MIN(CX88*UK88,(XW88+ABJ88)),ABJ88))),XW88)</f>
        <v>1270</v>
      </c>
      <c r="XY88" s="20" t="n">
        <f aca="false">IF(AND(H_Direct=1,CY88&gt;0),MAX(0,XX88-(MIN(CY88*UL88,(XX88+ABK88))-MIN(MIN(CY88*UL88,(XX88+ABK88)),ABK88))),XX88)</f>
        <v>1270</v>
      </c>
      <c r="XZ88" s="20" t="n">
        <f aca="false">IF(AND(H_Direct=1,CZ88&gt;0),MAX(0,XY88-(MIN(CZ88*UM88,(XY88+ABL88))-MIN(MIN(CZ88*UM88,(XY88+ABL88)),ABL88))),XY88)</f>
        <v>1270</v>
      </c>
      <c r="YA88" s="20" t="n">
        <f aca="false">IF(AND(H_Direct=1,DA88&gt;0),MAX(0,XZ88-(MIN(DA88*UN88,(XZ88+ABM88))-MIN(MIN(DA88*UN88,(XZ88+ABM88)),ABM88))),XZ88)</f>
        <v>1270</v>
      </c>
      <c r="YB88" s="20" t="n">
        <f aca="false">IF(AND(H_Direct=1,DB88&gt;0),MAX(0,YA88-(MIN(DB88*UO88,(YA88+ABN88))-MIN(MIN(DB88*UO88,(YA88+ABN88)),ABN88))),YA88)</f>
        <v>1270</v>
      </c>
      <c r="YC88" s="20" t="n">
        <f aca="false">IF(AND(H_Direct=1,DC88&gt;0),MAX(0,YB88-(MIN(DC88*UP88,(YB88+ABO88))-MIN(MIN(DC88*UP88,(YB88+ABO88)),ABO88))),YB88)</f>
        <v>1270</v>
      </c>
      <c r="YD88" s="20" t="n">
        <f aca="false">IF(AND(H_Direct=1,DD88&gt;0),MAX(0,YC88-(MIN(DD88*UQ88,(YC88+ABP88))-MIN(MIN(DD88*UQ88,(YC88+ABP88)),ABP88))),YC88)</f>
        <v>1270</v>
      </c>
      <c r="YE88" s="20" t="n">
        <f aca="false">IF(AND(H_Direct=1,DE88&gt;0),MAX(0,YD88-(MIN(DE88*UR88,(YD88+ABQ88))-MIN(MIN(DE88*UR88,(YD88+ABQ88)),ABQ88))),YD88)</f>
        <v>1270</v>
      </c>
      <c r="YF88" s="20" t="n">
        <f aca="false">IF(AND(H_Direct=1,DF88&gt;0),MAX(0,YE88-(MIN(DF88*US88,(YE88+ABR88))-MIN(MIN(DF88*US88,(YE88+ABR88)),ABR88))),YE88)</f>
        <v>1270</v>
      </c>
      <c r="YG88" s="20" t="n">
        <f aca="false">IF(AND(H_Direct=1,DG88&gt;0),MAX(0,YF88-(MIN(DG88*UT88,(YF88+ABS88))-MIN(MIN(DG88*UT88,(YF88+ABS88)),ABS88))),YF88)</f>
        <v>1270</v>
      </c>
      <c r="YH88" s="20" t="n">
        <f aca="false">IF(AND(H_Direct=1,DH88&gt;0),MAX(0,YG88-(MIN(DH88*UU88,(YG88+ABT88))-MIN(MIN(DH88*UU88,(YG88+ABT88)),ABT88))),YG88)</f>
        <v>1270</v>
      </c>
      <c r="YI88" s="20" t="n">
        <f aca="false">IF(AND(H_Direct=1,DI88&gt;0),MAX(0,YH88-(MIN(DI88*UV88,(YH88+ABU88))-MIN(MIN(DI88*UV88,(YH88+ABU88)),ABU88))),YH88)</f>
        <v>1270</v>
      </c>
      <c r="YJ88" s="20" t="n">
        <f aca="false">IF(AND(H_Direct=1,DJ88&gt;0),MAX(0,YI88-(MIN(DJ88*UW88,(YI88+ABV88))-MIN(MIN(DJ88*UW88,(YI88+ABV88)),ABV88))),YI88)</f>
        <v>1270</v>
      </c>
      <c r="YK88" s="20" t="n">
        <f aca="false">IF(AND(H_Direct=1,DK88&gt;0),MAX(0,YJ88-(MIN(DK88*UX88,(YJ88+ABW88))-MIN(MIN(DK88*UX88,(YJ88+ABW88)),ABW88))),YJ88)</f>
        <v>1270</v>
      </c>
      <c r="YL88" s="20" t="n">
        <f aca="false">IF(AND(H_Direct=1,DL88&gt;0),MAX(0,YK88-(MIN(DL88*UY88,(YK88+ABX88))-MIN(MIN(DL88*UY88,(YK88+ABX88)),ABX88))),YK88)</f>
        <v>1270</v>
      </c>
      <c r="YM88" s="20" t="n">
        <f aca="false">IF(AND(H_Direct=1,DM88&gt;0),MAX(0,YL88-(MIN(DM88*UZ88,(YL88+ABY88))-MIN(MIN(DM88*UZ88,(YL88+ABY88)),ABY88))),YL88)</f>
        <v>1270</v>
      </c>
      <c r="YN88" s="20" t="n">
        <f aca="false">IF(AND(H_Direct=1,DN88&gt;0),MAX(0,YM88-(MIN(DN88*VA88,(YM88+ABZ88))-MIN(MIN(DN88*VA88,(YM88+ABZ88)),ABZ88))),YM88)</f>
        <v>1270</v>
      </c>
      <c r="YO88" s="20" t="n">
        <f aca="false">IF(AND(H_Direct=1,DO88&gt;0),MAX(0,YN88-(MIN(DO88*VB88,(YN88+ACA88))-MIN(MIN(DO88*VB88,(YN88+ACA88)),ACA88))),YN88)</f>
        <v>1270</v>
      </c>
      <c r="YP88" s="20" t="n">
        <f aca="false">IF(AND(H_Direct=1,DP88&gt;0),MAX(0,YO88-(MIN(DP88*VC88,(YO88+ACB88))-MIN(MIN(DP88*VC88,(YO88+ACB88)),ACB88))),YO88)</f>
        <v>1270</v>
      </c>
      <c r="YQ88" s="20" t="n">
        <f aca="false">IF(AND(H_Direct=1,DQ88&gt;0),MAX(0,YP88-(MIN(DQ88*VD88,(YP88+ACC88))-MIN(MIN(DQ88*VD88,(YP88+ACC88)),ACC88))),YP88)</f>
        <v>1270</v>
      </c>
      <c r="YR88" s="20" t="n">
        <f aca="false">IF(AND(H_Direct=1,DR88&gt;0),MAX(0,YQ88-(MIN(DR88*VE88,(YQ88+ACD88))-MIN(MIN(DR88*VE88,(YQ88+ACD88)),ACD88))),YQ88)</f>
        <v>1270</v>
      </c>
      <c r="YS88" s="20" t="n">
        <f aca="false">IF(AND(H_Direct=1,DS88&gt;0),MAX(0,YR88-(MIN(DS88*VF88,(YR88+ACE88))-MIN(MIN(DS88*VF88,(YR88+ACE88)),ACE88))),YR88)</f>
        <v>1270</v>
      </c>
      <c r="YT88" s="20" t="n">
        <f aca="false">IF(AND(H_Direct=1,DT88&gt;0),MAX(0,YS88-(MIN(DT88*VG88,(YS88+ACF88))-MIN(MIN(DT88*VG88,(YS88+ACF88)),ACF88))),YS88)</f>
        <v>1270</v>
      </c>
      <c r="YU88" s="20" t="n">
        <f aca="false">IF(AND(H_Direct=1,DU88&gt;0),MAX(0,YT88-(MIN(DU88*VH88,(YT88+ACG88))-MIN(MIN(DU88*VH88,(YT88+ACG88)),ACG88))),YT88)</f>
        <v>1270</v>
      </c>
      <c r="YV88" s="20" t="n">
        <f aca="false">IF(AND(H_Direct=1,DV88&gt;0),MAX(0,YU88-(MIN(DV88*VI88,(YU88+ACH88))-MIN(MIN(DV88*VI88,(YU88+ACH88)),ACH88))),YU88)</f>
        <v>1270</v>
      </c>
      <c r="YW88" s="20" t="n">
        <f aca="false">IF(AND(H_Direct=1,DW88&gt;0),MAX(0,YV88-(MIN(DW88*VJ88,(YV88+ACI88))-MIN(MIN(DW88*VJ88,(YV88+ACI88)),ACI88))),YV88)</f>
        <v>1270</v>
      </c>
      <c r="YX88" s="20" t="n">
        <f aca="false">IF(AND(H_Direct=1,DX88&gt;0),MAX(0,YW88-(MIN(DX88*VK88,(YW88+ACJ88))-MIN(MIN(DX88*VK88,(YW88+ACJ88)),ACJ88))),YW88)</f>
        <v>1270</v>
      </c>
      <c r="YY88" s="20" t="n">
        <f aca="false">IF(AND(H_Direct=1,DY88&gt;0),MAX(0,YX88-(MIN(DY88*VL88,(YX88+ACK88))-MIN(MIN(DY88*VL88,(YX88+ACK88)),ACK88))),YX88)</f>
        <v>1270</v>
      </c>
      <c r="YZ88" s="20" t="n">
        <f aca="false">IF(AND(H_Direct=1,DZ88&gt;0),MAX(0,YY88-(MIN(DZ88*VM88,(YY88+ACL88))-MIN(MIN(DZ88*VM88,(YY88+ACL88)),ACL88))),YY88)</f>
        <v>1270</v>
      </c>
      <c r="ZA88" s="20" t="n">
        <f aca="false">IF(AND(H_Direct=1,EA88&gt;0),MAX(0,YZ88-(MIN(EA88*VN88,(YZ88+ACM88))-MIN(MIN(EA88*VN88,(YZ88+ACM88)),ACM88))),YZ88)</f>
        <v>1270</v>
      </c>
      <c r="ZB88" s="20" t="n">
        <f aca="false">IF(AND(H_Direct=1,EB88&gt;0),MAX(0,ZA88-(MIN(EB88*VO88,(ZA88+ACN88))-MIN(MIN(EB88*VO88,(ZA88+ACN88)),ACN88))),ZA88)</f>
        <v>1270</v>
      </c>
      <c r="ZC88" s="20" t="n">
        <f aca="false">IF(AND(H_Direct=1,EC88&gt;0),MAX(0,ZB88-(MIN(EC88*VP88,(ZB88+ACO88))-MIN(MIN(EC88*VP88,(ZB88+ACO88)),ACO88))),ZB88)</f>
        <v>1270</v>
      </c>
      <c r="ZD88" s="20" t="n">
        <f aca="false">IF(AND(H_Direct=1,ED88&gt;0),MAX(0,ZC88-(MIN(ED88*VQ88,(ZC88+ACP88))-MIN(MIN(ED88*VQ88,(ZC88+ACP88)),ACP88))),ZC88)</f>
        <v>1270</v>
      </c>
      <c r="ZE88" s="20" t="n">
        <f aca="false">IF(AND(H_Direct=1,EE88&gt;0),MAX(0,ZD88-(MIN(EE88*VR88,(ZD88+ACQ88))-MIN(MIN(EE88*VR88,(ZD88+ACQ88)),ACQ88))),ZD88)</f>
        <v>1270</v>
      </c>
      <c r="ZF88" s="20" t="n">
        <f aca="false">IF(AND(H_Direct=1,EF88&gt;0),MAX(0,ZE88-(MIN(EF88*VS88,(ZE88+ACR88))-MIN(MIN(EF88*VS88,(ZE88+ACR88)),ACR88))),ZE88)</f>
        <v>1270</v>
      </c>
      <c r="ZG88" s="20" t="n">
        <f aca="false">IF(AND(H_Direct=1,EG88&gt;0),MAX(0,ZF88-(MIN(EG88*VT88,(ZF88+ACS88))-MIN(MIN(EG88*VT88,(ZF88+ACS88)),ACS88))),ZF88)</f>
        <v>1270</v>
      </c>
      <c r="ZH88" s="20" t="n">
        <f aca="false">IF(AND(H_Direct=1,EH88&gt;0),MAX(0,ZG88-(MIN(EH88*VU88,(ZG88+ACT88))-MIN(MIN(EH88*VU88,(ZG88+ACT88)),ACT88))),ZG88)</f>
        <v>1270</v>
      </c>
      <c r="ZI88" s="20" t="n">
        <f aca="false">IF(AND(H_Direct=1,EI88&gt;0),MAX(0,ZH88-(MIN(EI88*VV88,(ZH88+ACU88))-MIN(MIN(EI88*VV88,(ZH88+ACU88)),ACU88))),ZH88)</f>
        <v>1270</v>
      </c>
      <c r="ZJ88" s="20" t="n">
        <f aca="false">IF(AND(H_Direct=1,EJ88&gt;0),MAX(0,ZI88-(MIN(EJ88*VW88,(ZI88+ACV88))-MIN(MIN(EJ88*VW88,(ZI88+ACV88)),ACV88))),ZI88)</f>
        <v>1270</v>
      </c>
      <c r="ZK88" s="20" t="n">
        <f aca="false">IF(AND(H_Direct=1,EK88&gt;0),MAX(0,ZJ88-(MIN(EK88*VX88,(ZJ88+ACW88))-MIN(MIN(EK88*VX88,(ZJ88+ACW88)),ACW88))),ZJ88)</f>
        <v>1270</v>
      </c>
      <c r="ZL88" s="20" t="n">
        <f aca="false">IF(AND(H_Direct=1,EL88&gt;0),MAX(0,ZK88-(MIN(EL88*VY88,(ZK88+ACX88))-MIN(MIN(EL88*VY88,(ZK88+ACX88)),ACX88))),ZK88)</f>
        <v>1270</v>
      </c>
      <c r="ZM88" s="20" t="n">
        <f aca="false">IF(AND(H_Direct=1,EM88&gt;0),MAX(0,ZL88-(MIN(EM88*VZ88,(ZL88+ACY88))-MIN(MIN(EM88*VZ88,(ZL88+ACY88)),ACY88))),ZL88)</f>
        <v>1270</v>
      </c>
      <c r="ZN88" s="20" t="n">
        <f aca="false">IF(AND(H_Direct=1,EN88&gt;0),MAX(0,ZM88-(MIN(EN88*WA88,(ZM88+ACZ88))-MIN(MIN(EN88*WA88,(ZM88+ACZ88)),ACZ88))),ZM88)</f>
        <v>1270</v>
      </c>
      <c r="ZO88" s="20" t="n">
        <f aca="false">IF(AND(H_Direct=1,EO88&gt;0),MAX(0,ZN88-(MIN(EO88*WB88,(ZN88+ADA88))-MIN(MIN(EO88*WB88,(ZN88+ADA88)),ADA88))),ZN88)</f>
        <v>1270</v>
      </c>
      <c r="ZP88" s="20" t="n">
        <f aca="false">IF(AND(H_Direct=1,EP88&gt;0),MAX(0,ZO88-(MIN(EP88*WC88,(ZO88+ADB88))-MIN(MIN(EP88*WC88,(ZO88+ADB88)),ADB88))),ZO88)</f>
        <v>1270</v>
      </c>
      <c r="ZQ88" s="20" t="n">
        <f aca="false">IF(AND(H_Direct=1,EQ88&gt;0),MAX(0,ZP88-(MIN(EQ88*WD88,(ZP88+ADC88))-MIN(MIN(EQ88*WD88,(ZP88+ADC88)),ADC88))),ZP88)</f>
        <v>1270</v>
      </c>
      <c r="ZR88" s="20" t="n">
        <f aca="false">IF(AND(H_Direct=1,ER88&gt;0),MAX(0,ZQ88-(MIN(ER88*WE88,(ZQ88+ADD88))-MIN(MIN(ER88*WE88,(ZQ88+ADD88)),ADD88))),ZQ88)</f>
        <v>1270</v>
      </c>
      <c r="ZS88" s="20" t="n">
        <f aca="false">IF(AND(H_Direct=1,ES88&gt;0),MAX(0,ZR88-(MIN(ES88*WF88,(ZR88+ADE88))-MIN(MIN(ES88*WF88,(ZR88+ADE88)),ADE88))),ZR88)</f>
        <v>1270</v>
      </c>
      <c r="ZT88" s="20" t="n">
        <f aca="false">IF(AND(H_Direct=1,ET88&gt;0),MAX(0,ZS88-(MIN(ET88*WG88,(ZS88+ADF88))-MIN(MIN(ET88*WG88,(ZS88+ADF88)),ADF88))),ZS88)</f>
        <v>1270</v>
      </c>
      <c r="ZU88" s="20" t="n">
        <f aca="false">IF(AND(H_Direct=1,EU88&gt;0),MAX(0,ZT88-(MIN(EU88*WH88,(ZT88+ADG88))-MIN(MIN(EU88*WH88,(ZT88+ADG88)),ADG88))),ZT88)</f>
        <v>1270</v>
      </c>
      <c r="ZV88" s="20" t="n">
        <f aca="false">ZU88</f>
        <v>1270</v>
      </c>
      <c r="ZW88" s="20" t="n">
        <f aca="false">ZV88</f>
        <v>1270</v>
      </c>
      <c r="ZX88" s="20" t="n">
        <f aca="false">ZW88</f>
        <v>1270</v>
      </c>
      <c r="ZY88" s="20" t="n">
        <f aca="false">ZX88</f>
        <v>1270</v>
      </c>
      <c r="ZZ88" s="20" t="n">
        <f aca="false">ZY88</f>
        <v>1270</v>
      </c>
      <c r="AAA88" s="20" t="n">
        <f aca="false">ZZ88</f>
        <v>1270</v>
      </c>
      <c r="AAB88" s="20" t="n">
        <f aca="false">AAA88</f>
        <v>1270</v>
      </c>
      <c r="AAC88" s="20" t="n">
        <f aca="false">AAB88</f>
        <v>1270</v>
      </c>
      <c r="AAD88" s="20" t="n">
        <f aca="false">AAC88</f>
        <v>1270</v>
      </c>
      <c r="AAE88" s="20" t="n">
        <f aca="false">IF(H_Direct=1,IF(BR88&lt;=0,I88-BR88*TE88,I88-MIN(MIN(BR88*TE88,(H88+I88)),I88)),I88)</f>
        <v>0</v>
      </c>
      <c r="AAF88" s="20" t="n">
        <f aca="false">IF(H_Direct=1,IF(BS88&lt;=0,AAE88-BS88*TF88,AAE88-MIN(MIN(BS88*TF88,(WR88+AAE88)),AAE88)),AAE88)</f>
        <v>0</v>
      </c>
      <c r="AAG88" s="20" t="n">
        <f aca="false">IF(H_Direct=1,IF(BT88&lt;=0,AAF88-BT88*TG88,AAF88-MIN(MIN(BT88*TG88,(WS88+AAF88)),AAF88)),AAF88)</f>
        <v>0</v>
      </c>
      <c r="AAH88" s="20" t="n">
        <f aca="false">IF(H_Direct=1,IF(BU88&lt;=0,AAG88-BU88*TH88,AAG88-MIN(MIN(BU88*TH88,(WT88+AAG88)),AAG88)),AAG88)</f>
        <v>0</v>
      </c>
      <c r="AAI88" s="20" t="n">
        <f aca="false">IF(H_Direct=1,IF(BV88&lt;=0,AAH88-BV88*TI88,AAH88-MIN(MIN(BV88*TI88,(WU88+AAH88)),AAH88)),AAH88)</f>
        <v>0</v>
      </c>
      <c r="AAJ88" s="20" t="n">
        <f aca="false">IF(H_Direct=1,IF(BW88&lt;=0,AAI88-BW88*TJ88,AAI88-MIN(MIN(BW88*TJ88,(WV88+AAI88)),AAI88)),AAI88)</f>
        <v>0</v>
      </c>
      <c r="AAK88" s="20" t="n">
        <f aca="false">IF(H_Direct=1,IF(BX88&lt;=0,AAJ88-BX88*TK88,AAJ88-MIN(MIN(BX88*TK88,(WW88+AAJ88)),AAJ88)),AAJ88)</f>
        <v>0</v>
      </c>
      <c r="AAL88" s="20" t="n">
        <f aca="false">IF(H_Direct=1,IF(BY88&lt;=0,AAK88-BY88*TL88,AAK88-MIN(MIN(BY88*TL88,(WX88+AAK88)),AAK88)),AAK88)</f>
        <v>0</v>
      </c>
      <c r="AAM88" s="20" t="n">
        <f aca="false">IF(H_Direct=1,IF(BZ88&lt;=0,AAL88-BZ88*TM88,AAL88-MIN(MIN(BZ88*TM88,(WY88+AAL88)),AAL88)),AAL88)</f>
        <v>0</v>
      </c>
      <c r="AAN88" s="20" t="n">
        <f aca="false">IF(H_Direct=1,IF(CA88&lt;=0,AAM88-CA88*TN88,AAM88-MIN(MIN(CA88*TN88,(WZ88+AAM88)),AAM88)),AAM88)</f>
        <v>0</v>
      </c>
      <c r="AAO88" s="20" t="n">
        <f aca="false">IF(H_Direct=1,IF(CB88&lt;=0,AAN88-CB88*TO88,AAN88-MIN(MIN(CB88*TO88,(XA88+AAN88)),AAN88)),AAN88)</f>
        <v>0</v>
      </c>
      <c r="AAP88" s="20" t="n">
        <f aca="false">IF(H_Direct=1,IF(CC88&lt;=0,AAO88-CC88*TP88,AAO88-MIN(MIN(CC88*TP88,(XB88+AAO88)),AAO88)),AAO88)</f>
        <v>0</v>
      </c>
      <c r="AAQ88" s="20" t="n">
        <f aca="false">IF(H_Direct=1,IF(CD88&lt;=0,AAP88-CD88*TQ88,AAP88-MIN(MIN(CD88*TQ88,(XC88+AAP88)),AAP88)),AAP88)</f>
        <v>0</v>
      </c>
      <c r="AAR88" s="20" t="n">
        <f aca="false">IF(H_Direct=1,IF(CE88&lt;=0,AAQ88-CE88*TR88,AAQ88-MIN(MIN(CE88*TR88,(XD88+AAQ88)),AAQ88)),AAQ88)</f>
        <v>0</v>
      </c>
      <c r="AAS88" s="20" t="n">
        <f aca="false">IF(H_Direct=1,IF(CF88&lt;=0,AAR88-CF88*TS88,AAR88-MIN(MIN(CF88*TS88,(XE88+AAR88)),AAR88)),AAR88)</f>
        <v>0</v>
      </c>
      <c r="AAT88" s="20" t="n">
        <f aca="false">IF(H_Direct=1,IF(CG88&lt;=0,AAS88-CG88*TT88,AAS88-MIN(MIN(CG88*TT88,(XF88+AAS88)),AAS88)),AAS88)</f>
        <v>0</v>
      </c>
      <c r="AAU88" s="20" t="n">
        <f aca="false">IF(H_Direct=1,IF(CH88&lt;=0,AAT88-CH88*TU88,AAT88-MIN(MIN(CH88*TU88,(XG88+AAT88)),AAT88)),AAT88)</f>
        <v>0</v>
      </c>
      <c r="AAV88" s="20" t="n">
        <f aca="false">IF(H_Direct=1,IF(CI88&lt;=0,AAU88-CI88*TV88,AAU88-MIN(MIN(CI88*TV88,(XH88+AAU88)),AAU88)),AAU88)</f>
        <v>0</v>
      </c>
      <c r="AAW88" s="20" t="n">
        <f aca="false">IF(H_Direct=1,IF(CJ88&lt;=0,AAV88-CJ88*TW88,AAV88-MIN(MIN(CJ88*TW88,(XI88+AAV88)),AAV88)),AAV88)</f>
        <v>0</v>
      </c>
      <c r="AAX88" s="20" t="n">
        <f aca="false">IF(H_Direct=1,IF(CK88&lt;=0,AAW88-CK88*TX88,AAW88-MIN(MIN(CK88*TX88,(XJ88+AAW88)),AAW88)),AAW88)</f>
        <v>0</v>
      </c>
      <c r="AAY88" s="20" t="n">
        <f aca="false">IF(H_Direct=1,IF(CL88&lt;=0,AAX88-CL88*TY88,AAX88-MIN(MIN(CL88*TY88,(XK88+AAX88)),AAX88)),AAX88)</f>
        <v>0</v>
      </c>
      <c r="AAZ88" s="20" t="n">
        <f aca="false">IF(H_Direct=1,IF(CM88&lt;=0,AAY88-CM88*TZ88,AAY88-MIN(MIN(CM88*TZ88,(XL88+AAY88)),AAY88)),AAY88)</f>
        <v>0</v>
      </c>
      <c r="ABA88" s="20" t="n">
        <f aca="false">IF(H_Direct=1,IF(CN88&lt;=0,AAZ88-CN88*UA88,AAZ88-MIN(MIN(CN88*UA88,(XM88+AAZ88)),AAZ88)),AAZ88)</f>
        <v>0</v>
      </c>
      <c r="ABB88" s="20" t="n">
        <f aca="false">IF(H_Direct=1,IF(CO88&lt;=0,ABA88-CO88*UB88,ABA88-MIN(MIN(CO88*UB88,(XN88+ABA88)),ABA88)),ABA88)</f>
        <v>0</v>
      </c>
      <c r="ABC88" s="20" t="n">
        <f aca="false">IF(H_Direct=1,IF(CP88&lt;=0,ABB88-CP88*UC88,ABB88-MIN(MIN(CP88*UC88,(XO88+ABB88)),ABB88)),ABB88)</f>
        <v>0</v>
      </c>
      <c r="ABD88" s="20" t="n">
        <f aca="false">IF(H_Direct=1,IF(CQ88&lt;=0,ABC88-CQ88*UD88,ABC88-MIN(MIN(CQ88*UD88,(XP88+ABC88)),ABC88)),ABC88)</f>
        <v>0</v>
      </c>
      <c r="ABE88" s="20" t="n">
        <f aca="false">IF(H_Direct=1,IF(CR88&lt;=0,ABD88-CR88*UE88,ABD88-MIN(MIN(CR88*UE88,(XQ88+ABD88)),ABD88)),ABD88)</f>
        <v>0</v>
      </c>
      <c r="ABF88" s="20" t="n">
        <f aca="false">IF(H_Direct=1,IF(CS88&lt;=0,ABE88-CS88*UF88,ABE88-MIN(MIN(CS88*UF88,(XR88+ABE88)),ABE88)),ABE88)</f>
        <v>0</v>
      </c>
      <c r="ABG88" s="20" t="n">
        <f aca="false">IF(H_Direct=1,IF(CT88&lt;=0,ABF88-CT88*UG88,ABF88-MIN(MIN(CT88*UG88,(XS88+ABF88)),ABF88)),ABF88)</f>
        <v>0</v>
      </c>
      <c r="ABH88" s="20" t="n">
        <f aca="false">IF(H_Direct=1,IF(CU88&lt;=0,ABG88-CU88*UH88,ABG88-MIN(MIN(CU88*UH88,(XT88+ABG88)),ABG88)),ABG88)</f>
        <v>0</v>
      </c>
      <c r="ABI88" s="20" t="n">
        <f aca="false">IF(H_Direct=1,IF(CV88&lt;=0,ABH88-CV88*UI88,ABH88-MIN(MIN(CV88*UI88,(XU88+ABH88)),ABH88)),ABH88)</f>
        <v>0</v>
      </c>
      <c r="ABJ88" s="20" t="n">
        <f aca="false">IF(H_Direct=1,IF(CW88&lt;=0,ABI88-CW88*UJ88,ABI88-MIN(MIN(CW88*UJ88,(XV88+ABI88)),ABI88)),ABI88)</f>
        <v>0</v>
      </c>
      <c r="ABK88" s="20" t="n">
        <f aca="false">IF(H_Direct=1,IF(CX88&lt;=0,ABJ88-CX88*UK88,ABJ88-MIN(MIN(CX88*UK88,(XW88+ABJ88)),ABJ88)),ABJ88)</f>
        <v>0</v>
      </c>
      <c r="ABL88" s="20" t="n">
        <f aca="false">IF(H_Direct=1,IF(CY88&lt;=0,ABK88-CY88*UL88,ABK88-MIN(MIN(CY88*UL88,(XX88+ABK88)),ABK88)),ABK88)</f>
        <v>0</v>
      </c>
      <c r="ABM88" s="20" t="n">
        <f aca="false">IF(H_Direct=1,IF(CZ88&lt;=0,ABL88-CZ88*UM88,ABL88-MIN(MIN(CZ88*UM88,(XY88+ABL88)),ABL88)),ABL88)</f>
        <v>0</v>
      </c>
      <c r="ABN88" s="20" t="n">
        <f aca="false">IF(H_Direct=1,IF(DA88&lt;=0,ABM88-DA88*UN88,ABM88-MIN(MIN(DA88*UN88,(XZ88+ABM88)),ABM88)),ABM88)</f>
        <v>0</v>
      </c>
      <c r="ABO88" s="20" t="n">
        <f aca="false">IF(H_Direct=1,IF(DB88&lt;=0,ABN88-DB88*UO88,ABN88-MIN(MIN(DB88*UO88,(YA88+ABN88)),ABN88)),ABN88)</f>
        <v>0</v>
      </c>
      <c r="ABP88" s="20" t="n">
        <f aca="false">IF(H_Direct=1,IF(DC88&lt;=0,ABO88-DC88*UP88,ABO88-MIN(MIN(DC88*UP88,(YB88+ABO88)),ABO88)),ABO88)</f>
        <v>0</v>
      </c>
      <c r="ABQ88" s="20" t="n">
        <f aca="false">IF(H_Direct=1,IF(DD88&lt;=0,ABP88-DD88*UQ88,ABP88-MIN(MIN(DD88*UQ88,(YC88+ABP88)),ABP88)),ABP88)</f>
        <v>0</v>
      </c>
      <c r="ABR88" s="20" t="n">
        <f aca="false">IF(H_Direct=1,IF(DE88&lt;=0,ABQ88-DE88*UR88,ABQ88-MIN(MIN(DE88*UR88,(YD88+ABQ88)),ABQ88)),ABQ88)</f>
        <v>0</v>
      </c>
      <c r="ABS88" s="20" t="n">
        <f aca="false">IF(H_Direct=1,IF(DF88&lt;=0,ABR88-DF88*US88,ABR88-MIN(MIN(DF88*US88,(YE88+ABR88)),ABR88)),ABR88)</f>
        <v>0</v>
      </c>
      <c r="ABT88" s="20" t="n">
        <f aca="false">IF(H_Direct=1,IF(DG88&lt;=0,ABS88-DG88*UT88,ABS88-MIN(MIN(DG88*UT88,(YF88+ABS88)),ABS88)),ABS88)</f>
        <v>0</v>
      </c>
      <c r="ABU88" s="20" t="n">
        <f aca="false">IF(H_Direct=1,IF(DH88&lt;=0,ABT88-DH88*UU88,ABT88-MIN(MIN(DH88*UU88,(YG88+ABT88)),ABT88)),ABT88)</f>
        <v>0</v>
      </c>
      <c r="ABV88" s="20" t="n">
        <f aca="false">IF(H_Direct=1,IF(DI88&lt;=0,ABU88-DI88*UV88,ABU88-MIN(MIN(DI88*UV88,(YH88+ABU88)),ABU88)),ABU88)</f>
        <v>0</v>
      </c>
      <c r="ABW88" s="20" t="n">
        <f aca="false">IF(H_Direct=1,IF(DJ88&lt;=0,ABV88-DJ88*UW88,ABV88-MIN(MIN(DJ88*UW88,(YI88+ABV88)),ABV88)),ABV88)</f>
        <v>0</v>
      </c>
      <c r="ABX88" s="20" t="n">
        <f aca="false">IF(H_Direct=1,IF(DK88&lt;=0,ABW88-DK88*UX88,ABW88-MIN(MIN(DK88*UX88,(YJ88+ABW88)),ABW88)),ABW88)</f>
        <v>0</v>
      </c>
      <c r="ABY88" s="20" t="n">
        <f aca="false">IF(H_Direct=1,IF(DL88&lt;=0,ABX88-DL88*UY88,ABX88-MIN(MIN(DL88*UY88,(YK88+ABX88)),ABX88)),ABX88)</f>
        <v>0</v>
      </c>
      <c r="ABZ88" s="20" t="n">
        <f aca="false">IF(H_Direct=1,IF(DM88&lt;=0,ABY88-DM88*UZ88,ABY88-MIN(MIN(DM88*UZ88,(YL88+ABY88)),ABY88)),ABY88)</f>
        <v>0</v>
      </c>
      <c r="ACA88" s="20" t="n">
        <f aca="false">IF(H_Direct=1,IF(DN88&lt;=0,ABZ88-DN88*VA88,ABZ88-MIN(MIN(DN88*VA88,(YM88+ABZ88)),ABZ88)),ABZ88)</f>
        <v>0</v>
      </c>
      <c r="ACB88" s="20" t="n">
        <f aca="false">IF(H_Direct=1,IF(DO88&lt;=0,ACA88-DO88*VB88,ACA88-MIN(MIN(DO88*VB88,(YN88+ACA88)),ACA88)),ACA88)</f>
        <v>0</v>
      </c>
      <c r="ACC88" s="20" t="n">
        <f aca="false">IF(H_Direct=1,IF(DP88&lt;=0,ACB88-DP88*VC88,ACB88-MIN(MIN(DP88*VC88,(YO88+ACB88)),ACB88)),ACB88)</f>
        <v>0</v>
      </c>
      <c r="ACD88" s="20" t="n">
        <f aca="false">IF(H_Direct=1,IF(DQ88&lt;=0,ACC88-DQ88*VD88,ACC88-MIN(MIN(DQ88*VD88,(YP88+ACC88)),ACC88)),ACC88)</f>
        <v>0</v>
      </c>
      <c r="ACE88" s="20" t="n">
        <f aca="false">IF(H_Direct=1,IF(DR88&lt;=0,ACD88-DR88*VE88,ACD88-MIN(MIN(DR88*VE88,(YQ88+ACD88)),ACD88)),ACD88)</f>
        <v>0</v>
      </c>
      <c r="ACF88" s="20" t="n">
        <f aca="false">IF(H_Direct=1,IF(DS88&lt;=0,ACE88-DS88*VF88,ACE88-MIN(MIN(DS88*VF88,(YR88+ACE88)),ACE88)),ACE88)</f>
        <v>0</v>
      </c>
      <c r="ACG88" s="20" t="n">
        <f aca="false">IF(H_Direct=1,IF(DT88&lt;=0,ACF88-DT88*VG88,ACF88-MIN(MIN(DT88*VG88,(YS88+ACF88)),ACF88)),ACF88)</f>
        <v>0</v>
      </c>
      <c r="ACH88" s="20" t="n">
        <f aca="false">IF(H_Direct=1,IF(DU88&lt;=0,ACG88-DU88*VH88,ACG88-MIN(MIN(DU88*VH88,(YT88+ACG88)),ACG88)),ACG88)</f>
        <v>0</v>
      </c>
      <c r="ACI88" s="20" t="n">
        <f aca="false">IF(H_Direct=1,IF(DV88&lt;=0,ACH88-DV88*VI88,ACH88-MIN(MIN(DV88*VI88,(YU88+ACH88)),ACH88)),ACH88)</f>
        <v>0</v>
      </c>
      <c r="ACJ88" s="20" t="n">
        <f aca="false">IF(H_Direct=1,IF(DW88&lt;=0,ACI88-DW88*VJ88,ACI88-MIN(MIN(DW88*VJ88,(YV88+ACI88)),ACI88)),ACI88)</f>
        <v>0</v>
      </c>
      <c r="ACK88" s="20" t="n">
        <f aca="false">IF(H_Direct=1,IF(DX88&lt;=0,ACJ88-DX88*VK88,ACJ88-MIN(MIN(DX88*VK88,(YW88+ACJ88)),ACJ88)),ACJ88)</f>
        <v>0</v>
      </c>
      <c r="ACL88" s="20" t="n">
        <f aca="false">IF(H_Direct=1,IF(DY88&lt;=0,ACK88-DY88*VL88,ACK88-MIN(MIN(DY88*VL88,(YX88+ACK88)),ACK88)),ACK88)</f>
        <v>0</v>
      </c>
      <c r="ACM88" s="20" t="n">
        <f aca="false">IF(H_Direct=1,IF(DZ88&lt;=0,ACL88-DZ88*VM88,ACL88-MIN(MIN(DZ88*VM88,(YY88+ACL88)),ACL88)),ACL88)</f>
        <v>0</v>
      </c>
      <c r="ACN88" s="20" t="n">
        <f aca="false">IF(H_Direct=1,IF(EA88&lt;=0,ACM88-EA88*VN88,ACM88-MIN(MIN(EA88*VN88,(YZ88+ACM88)),ACM88)),ACM88)</f>
        <v>0</v>
      </c>
      <c r="ACO88" s="20" t="n">
        <f aca="false">IF(H_Direct=1,IF(EB88&lt;=0,ACN88-EB88*VO88,ACN88-MIN(MIN(EB88*VO88,(ZA88+ACN88)),ACN88)),ACN88)</f>
        <v>0</v>
      </c>
      <c r="ACP88" s="20" t="n">
        <f aca="false">IF(H_Direct=1,IF(EC88&lt;=0,ACO88-EC88*VP88,ACO88-MIN(MIN(EC88*VP88,(ZB88+ACO88)),ACO88)),ACO88)</f>
        <v>0</v>
      </c>
      <c r="ACQ88" s="20" t="n">
        <f aca="false">IF(H_Direct=1,IF(ED88&lt;=0,ACP88-ED88*VQ88,ACP88-MIN(MIN(ED88*VQ88,(ZC88+ACP88)),ACP88)),ACP88)</f>
        <v>0</v>
      </c>
      <c r="ACR88" s="20" t="n">
        <f aca="false">IF(H_Direct=1,IF(EE88&lt;=0,ACQ88-EE88*VR88,ACQ88-MIN(MIN(EE88*VR88,(ZD88+ACQ88)),ACQ88)),ACQ88)</f>
        <v>0</v>
      </c>
      <c r="ACS88" s="20" t="n">
        <f aca="false">IF(H_Direct=1,IF(EF88&lt;=0,ACR88-EF88*VS88,ACR88-MIN(MIN(EF88*VS88,(ZE88+ACR88)),ACR88)),ACR88)</f>
        <v>0</v>
      </c>
      <c r="ACT88" s="20" t="n">
        <f aca="false">IF(H_Direct=1,IF(EG88&lt;=0,ACS88-EG88*VT88,ACS88-MIN(MIN(EG88*VT88,(ZF88+ACS88)),ACS88)),ACS88)</f>
        <v>0</v>
      </c>
      <c r="ACU88" s="20" t="n">
        <f aca="false">IF(H_Direct=1,IF(EH88&lt;=0,ACT88-EH88*VU88,ACT88-MIN(MIN(EH88*VU88,(ZG88+ACT88)),ACT88)),ACT88)</f>
        <v>0</v>
      </c>
      <c r="ACV88" s="20" t="n">
        <f aca="false">IF(H_Direct=1,IF(EI88&lt;=0,ACU88-EI88*VV88,ACU88-MIN(MIN(EI88*VV88,(ZH88+ACU88)),ACU88)),ACU88)</f>
        <v>0</v>
      </c>
      <c r="ACW88" s="20" t="n">
        <f aca="false">IF(H_Direct=1,IF(EJ88&lt;=0,ACV88-EJ88*VW88,ACV88-MIN(MIN(EJ88*VW88,(ZI88+ACV88)),ACV88)),ACV88)</f>
        <v>0</v>
      </c>
      <c r="ACX88" s="20" t="n">
        <f aca="false">IF(H_Direct=1,IF(EK88&lt;=0,ACW88-EK88*VX88,ACW88-MIN(MIN(EK88*VX88,(ZJ88+ACW88)),ACW88)),ACW88)</f>
        <v>0</v>
      </c>
      <c r="ACY88" s="20" t="n">
        <f aca="false">IF(H_Direct=1,IF(EL88&lt;=0,ACX88-EL88*VY88,ACX88-MIN(MIN(EL88*VY88,(ZK88+ACX88)),ACX88)),ACX88)</f>
        <v>0</v>
      </c>
      <c r="ACZ88" s="20" t="n">
        <f aca="false">IF(H_Direct=1,IF(EM88&lt;=0,ACY88-EM88*VZ88,ACY88-MIN(MIN(EM88*VZ88,(ZL88+ACY88)),ACY88)),ACY88)</f>
        <v>0</v>
      </c>
      <c r="ADA88" s="20" t="n">
        <f aca="false">IF(H_Direct=1,IF(EN88&lt;=0,ACZ88-EN88*WA88,ACZ88-MIN(MIN(EN88*WA88,(ZM88+ACZ88)),ACZ88)),ACZ88)</f>
        <v>0</v>
      </c>
      <c r="ADB88" s="20" t="n">
        <f aca="false">IF(H_Direct=1,IF(EO88&lt;=0,ADA88-EO88*WB88,ADA88-MIN(MIN(EO88*WB88,(ZN88+ADA88)),ADA88)),ADA88)</f>
        <v>0</v>
      </c>
      <c r="ADC88" s="20" t="n">
        <f aca="false">IF(H_Direct=1,IF(EP88&lt;=0,ADB88-EP88*WC88,ADB88-MIN(MIN(EP88*WC88,(ZO88+ADB88)),ADB88)),ADB88)</f>
        <v>0</v>
      </c>
      <c r="ADD88" s="20" t="n">
        <f aca="false">IF(H_Direct=1,IF(EQ88&lt;=0,ADC88-EQ88*WD88,ADC88-MIN(MIN(EQ88*WD88,(ZP88+ADC88)),ADC88)),ADC88)</f>
        <v>0</v>
      </c>
      <c r="ADE88" s="20" t="n">
        <f aca="false">IF(H_Direct=1,IF(ER88&lt;=0,ADD88-ER88*WE88,ADD88-MIN(MIN(ER88*WE88,(ZQ88+ADD88)),ADD88)),ADD88)</f>
        <v>0</v>
      </c>
      <c r="ADF88" s="20" t="n">
        <f aca="false">IF(H_Direct=1,IF(ES88&lt;=0,ADE88-ES88*WF88,ADE88-MIN(MIN(ES88*WF88,(ZR88+ADE88)),ADE88)),ADE88)</f>
        <v>0</v>
      </c>
      <c r="ADG88" s="20" t="n">
        <f aca="false">IF(H_Direct=1,IF(ET88&lt;=0,ADF88-ET88*WG88,ADF88-MIN(MIN(ET88*WG88,(ZS88+ADF88)),ADF88)),ADF88)</f>
        <v>0</v>
      </c>
      <c r="ADH88" s="20" t="n">
        <f aca="false">IF(H_Direct=1,IF(EU88&lt;=0,ADG88-EU88*WH88,ADG88-MIN(MIN(EU88*WH88,(ZT88+ADG88)),ADG88)),ADG88)</f>
        <v>0</v>
      </c>
      <c r="ADI88" s="20" t="n">
        <f aca="false">ADH88</f>
        <v>0</v>
      </c>
      <c r="ADJ88" s="20" t="n">
        <f aca="false">ADI88</f>
        <v>0</v>
      </c>
      <c r="ADK88" s="20" t="n">
        <f aca="false">ADJ88</f>
        <v>0</v>
      </c>
      <c r="ADL88" s="20" t="n">
        <f aca="false">ADK88</f>
        <v>0</v>
      </c>
      <c r="ADM88" s="20" t="n">
        <f aca="false">ADL88</f>
        <v>0</v>
      </c>
      <c r="ADN88" s="20" t="n">
        <f aca="false">ADM88</f>
        <v>0</v>
      </c>
      <c r="ADO88" s="20" t="n">
        <f aca="false">ADN88</f>
        <v>0</v>
      </c>
      <c r="ADP88" s="20" t="n">
        <f aca="false">ADO88</f>
        <v>0</v>
      </c>
      <c r="ADQ88" s="20" t="n">
        <f aca="false">ADP88</f>
        <v>0</v>
      </c>
      <c r="ADR88" s="20" t="n">
        <f aca="false">(AKR87-TE88+0)*(1+BQ88)</f>
        <v>0</v>
      </c>
      <c r="ADS88" s="20" t="n">
        <f aca="false">(AKS87-TF88+0)*(1+BQ88)</f>
        <v>0</v>
      </c>
      <c r="ADT88" s="20" t="n">
        <f aca="false">(AKT87-TG88+0)*(1+BQ88)</f>
        <v>0</v>
      </c>
      <c r="ADU88" s="20" t="n">
        <f aca="false">(AKU87-TH88+0)*(1+BQ88)</f>
        <v>0</v>
      </c>
      <c r="ADV88" s="20" t="n">
        <f aca="false">(AKV87-TI88+0)*(1+BQ88)</f>
        <v>0</v>
      </c>
      <c r="ADW88" s="20" t="n">
        <f aca="false">(AKW87-TJ88+0)*(1+BQ88)</f>
        <v>0</v>
      </c>
      <c r="ADX88" s="20" t="n">
        <f aca="false">(AKX87-TK88+0)*(1+BQ88)</f>
        <v>0</v>
      </c>
      <c r="ADY88" s="20" t="n">
        <f aca="false">(AKY87-TL88+0)*(1+BQ88)</f>
        <v>0</v>
      </c>
      <c r="ADZ88" s="20" t="n">
        <f aca="false">(AKZ87-TM88+0)*(1+BQ88)</f>
        <v>0</v>
      </c>
      <c r="AEA88" s="20" t="n">
        <f aca="false">(ALA87-TN88+0)*(1+BQ88)</f>
        <v>0</v>
      </c>
      <c r="AEB88" s="20" t="n">
        <f aca="false">(ALB87-TO88+0)*(1+BQ88)</f>
        <v>0</v>
      </c>
      <c r="AEC88" s="20" t="n">
        <f aca="false">(ALC87-TP88+0)*(1+BQ88)</f>
        <v>0</v>
      </c>
      <c r="AED88" s="20" t="n">
        <f aca="false">(ALD87-TQ88+0)*(1+BQ88)</f>
        <v>0</v>
      </c>
      <c r="AEE88" s="20" t="n">
        <f aca="false">(ALE87-TR88+0)*(1+BQ88)</f>
        <v>0</v>
      </c>
      <c r="AEF88" s="20" t="n">
        <f aca="false">(ALF87-TS88+0)*(1+BQ88)</f>
        <v>0</v>
      </c>
      <c r="AEG88" s="20" t="n">
        <f aca="false">(ALG87-TT88+0)*(1+BQ88)</f>
        <v>0</v>
      </c>
      <c r="AEH88" s="20" t="n">
        <f aca="false">(ALH87-TU88+0)*(1+BQ88)</f>
        <v>0</v>
      </c>
      <c r="AEI88" s="20" t="n">
        <f aca="false">(ALI87-TV88+0)*(1+BQ88)</f>
        <v>0</v>
      </c>
      <c r="AEJ88" s="20" t="n">
        <f aca="false">(ALJ87-TW88+0)*(1+BQ88)</f>
        <v>0</v>
      </c>
      <c r="AEK88" s="20" t="n">
        <f aca="false">(ALK87-TX88+0)*(1+BQ88)</f>
        <v>0</v>
      </c>
      <c r="AEL88" s="20" t="n">
        <f aca="false">(ALL87-TY88+0)*(1+BQ88)</f>
        <v>0</v>
      </c>
      <c r="AEM88" s="20" t="n">
        <f aca="false">(ALM87-TZ88+0)*(1+BQ88)</f>
        <v>0</v>
      </c>
      <c r="AEN88" s="20" t="n">
        <f aca="false">(ALN87-UA88+0)*(1+BQ88)</f>
        <v>0</v>
      </c>
      <c r="AEO88" s="20" t="n">
        <f aca="false">(ALO87-UB88+0)*(1+BQ88)</f>
        <v>0</v>
      </c>
      <c r="AEP88" s="20" t="n">
        <f aca="false">(ALP87-UC88+0)*(1+BQ88)</f>
        <v>0</v>
      </c>
      <c r="AEQ88" s="20" t="n">
        <f aca="false">(ALQ87-UD88+0)*(1+BQ88)</f>
        <v>0</v>
      </c>
      <c r="AER88" s="20" t="n">
        <f aca="false">(ALR87-UE88+0)*(1+BQ88)</f>
        <v>0</v>
      </c>
      <c r="AES88" s="20" t="n">
        <f aca="false">(ALS87-UF88+0)*(1+BQ88)</f>
        <v>0</v>
      </c>
      <c r="AET88" s="20" t="n">
        <f aca="false">(ALT87-UG88+0)*(1+BQ88)</f>
        <v>0</v>
      </c>
      <c r="AEU88" s="20" t="n">
        <f aca="false">(ALU87-UH88+0)*(1+BQ88)</f>
        <v>0</v>
      </c>
      <c r="AEV88" s="20" t="n">
        <f aca="false">(ALV87-UI88+0)*(1+BQ88)</f>
        <v>0</v>
      </c>
      <c r="AEW88" s="20" t="n">
        <f aca="false">(ALW87-UJ88+0)*(1+BQ88)</f>
        <v>0</v>
      </c>
      <c r="AEX88" s="20" t="n">
        <f aca="false">(ALX87-UK88+0)*(1+BQ88)</f>
        <v>0</v>
      </c>
      <c r="AEY88" s="20" t="n">
        <f aca="false">(ALY87-UL88+0)*(1+BQ88)</f>
        <v>0</v>
      </c>
      <c r="AEZ88" s="20" t="n">
        <f aca="false">(ALZ87-UM88+0)*(1+BQ88)</f>
        <v>0</v>
      </c>
      <c r="AFA88" s="20" t="n">
        <f aca="false">(AMA87-UN88+0)*(1+BQ88)</f>
        <v>0</v>
      </c>
      <c r="AFB88" s="20" t="n">
        <f aca="false">(AMB87-UO88+0)*(1+BQ88)</f>
        <v>0</v>
      </c>
      <c r="AFC88" s="20" t="n">
        <f aca="false">(AMC87-UP88+0)*(1+BQ88)</f>
        <v>0</v>
      </c>
      <c r="AFD88" s="20" t="n">
        <f aca="false">(AMD87-UQ88+0)*(1+BQ88)</f>
        <v>0</v>
      </c>
      <c r="AFE88" s="20" t="n">
        <f aca="false">(AME87-UR88+0)*(1+BQ88)</f>
        <v>0</v>
      </c>
      <c r="AFF88" s="20" t="n">
        <f aca="false">(AMF87-US88+0)*(1+BQ88)</f>
        <v>0</v>
      </c>
      <c r="AFG88" s="20" t="n">
        <f aca="false">(AMG87-UT88+0)*(1+BQ88)</f>
        <v>0</v>
      </c>
      <c r="AFH88" s="20" t="n">
        <f aca="false">(AMH87-UU88+0)*(1+BQ88)</f>
        <v>0</v>
      </c>
      <c r="AFI88" s="20" t="n">
        <f aca="false">(AMI87-UV88+0)*(1+BQ88)</f>
        <v>0</v>
      </c>
      <c r="AFJ88" s="20" t="n">
        <f aca="false">(AMJ87-UW88+0)*(1+BQ88)</f>
        <v>0</v>
      </c>
      <c r="AFK88" s="20" t="n">
        <f aca="false">(AMK87-UX88+0)*(1+BQ88)</f>
        <v>0</v>
      </c>
      <c r="AFL88" s="20" t="n">
        <f aca="false">(AML87-UY88+0)*(1+BQ88)</f>
        <v>0</v>
      </c>
      <c r="AFM88" s="20" t="n">
        <f aca="false">(AMM87-UZ88+0)*(1+BQ88)</f>
        <v>0</v>
      </c>
      <c r="AFN88" s="20" t="n">
        <f aca="false">(AMN87-VA88+0)*(1+BQ88)</f>
        <v>0</v>
      </c>
      <c r="AFO88" s="20" t="n">
        <f aca="false">(AMO87-VB88+0)*(1+BQ88)</f>
        <v>0</v>
      </c>
      <c r="AFP88" s="20" t="n">
        <f aca="false">(AMP87-VC88+0)*(1+BQ88)</f>
        <v>0</v>
      </c>
      <c r="AFQ88" s="20" t="n">
        <f aca="false">(AMQ87-VD88+0)*(1+BQ88)</f>
        <v>0</v>
      </c>
      <c r="AFR88" s="20" t="n">
        <f aca="false">(AMR87-VE88+0)*(1+BQ88)</f>
        <v>0</v>
      </c>
      <c r="AFS88" s="20" t="n">
        <f aca="false">(AMS87-VF88+0)*(1+BQ88)</f>
        <v>0</v>
      </c>
      <c r="AFT88" s="20" t="n">
        <f aca="false">(AMT87-VG88+0)*(1+BQ88)</f>
        <v>0</v>
      </c>
      <c r="AFU88" s="20" t="n">
        <f aca="false">(AMU87-VH88+0)*(1+BQ88)</f>
        <v>0</v>
      </c>
      <c r="AFV88" s="20" t="n">
        <f aca="false">(AMV87-VI88+0)*(1+BQ88)</f>
        <v>0</v>
      </c>
      <c r="AFW88" s="20" t="n">
        <f aca="false">(AMW87-VJ88+0)*(1+BQ88)</f>
        <v>0</v>
      </c>
      <c r="AFX88" s="20" t="n">
        <f aca="false">(AMX87-VK88+0)*(1+BQ88)</f>
        <v>0</v>
      </c>
      <c r="AFY88" s="20" t="n">
        <f aca="false">(AMY87-VL88+0)*(1+BQ88)</f>
        <v>0</v>
      </c>
      <c r="AFZ88" s="20" t="n">
        <f aca="false">(AMZ87-VM88+0)*(1+BQ88)</f>
        <v>0</v>
      </c>
      <c r="AGA88" s="20" t="n">
        <f aca="false">(ANA87-VN88+0)*(1+BQ88)</f>
        <v>0</v>
      </c>
      <c r="AGB88" s="20" t="n">
        <f aca="false">(ANB87-VO88+0)*(1+BQ88)</f>
        <v>0</v>
      </c>
      <c r="AGC88" s="20" t="n">
        <f aca="false">(ANC87-VP88+0)*(1+BQ88)</f>
        <v>0</v>
      </c>
      <c r="AGD88" s="20" t="n">
        <f aca="false">(AND87-VQ88+0)*(1+BQ88)</f>
        <v>0</v>
      </c>
      <c r="AGE88" s="20" t="n">
        <f aca="false">(ANE87-VR88+0)*(1+BQ88)</f>
        <v>0</v>
      </c>
      <c r="AGF88" s="20" t="n">
        <f aca="false">(ANF87-VS88+0)*(1+BQ88)</f>
        <v>0</v>
      </c>
      <c r="AGG88" s="20" t="n">
        <f aca="false">(ANG87-VT88+0)*(1+BQ88)</f>
        <v>0</v>
      </c>
      <c r="AGH88" s="20" t="n">
        <f aca="false">(ANH87-VU88+0)*(1+BQ88)</f>
        <v>0</v>
      </c>
      <c r="AGI88" s="20" t="n">
        <f aca="false">(ANI87-VV88+0)*(1+BQ88)</f>
        <v>0</v>
      </c>
      <c r="AGJ88" s="20" t="n">
        <f aca="false">(ANJ87-VW88+0)*(1+BQ88)</f>
        <v>0</v>
      </c>
      <c r="AGK88" s="20" t="n">
        <f aca="false">(ANK87-VX88+0)*(1+BQ88)</f>
        <v>0</v>
      </c>
      <c r="AGL88" s="20" t="n">
        <f aca="false">(ANL87-VY88+0)*(1+BQ88)</f>
        <v>0</v>
      </c>
      <c r="AGM88" s="20" t="n">
        <f aca="false">(ANM87-VZ88+0)*(1+BQ88)</f>
        <v>0</v>
      </c>
      <c r="AGN88" s="20" t="n">
        <f aca="false">(ANN87-WA88+0)*(1+BQ88)</f>
        <v>0</v>
      </c>
      <c r="AGO88" s="20" t="n">
        <f aca="false">(ANO87-WB88+0)*(1+BQ88)</f>
        <v>0</v>
      </c>
      <c r="AGP88" s="20" t="n">
        <f aca="false">(ANP87-WC88+0)*(1+BQ88)</f>
        <v>0</v>
      </c>
      <c r="AGQ88" s="20" t="n">
        <f aca="false">(ANQ87-WD88+0)*(1+BQ88)</f>
        <v>0</v>
      </c>
      <c r="AGR88" s="20" t="n">
        <f aca="false">(ANR87-WE88+0)*(1+BQ88)</f>
        <v>0</v>
      </c>
      <c r="AGS88" s="20" t="n">
        <f aca="false">(ANS87-WF88+0)*(1+BQ88)</f>
        <v>0</v>
      </c>
      <c r="AGT88" s="20" t="n">
        <f aca="false">(ANT87-WG88+0)*(1+BQ88)</f>
        <v>0</v>
      </c>
      <c r="AGU88" s="20" t="n">
        <f aca="false">((P88+S88)-WH88+BE88)*(1+BQ88)</f>
        <v>0</v>
      </c>
      <c r="AGV88" s="20" t="n">
        <v>0</v>
      </c>
      <c r="AGW88" s="20" t="n">
        <v>0</v>
      </c>
      <c r="AGX88" s="20" t="n">
        <v>0</v>
      </c>
      <c r="AGY88" s="20" t="n">
        <v>0</v>
      </c>
      <c r="AGZ88" s="20" t="n">
        <v>0</v>
      </c>
      <c r="AHA88" s="20" t="n">
        <v>0</v>
      </c>
      <c r="AHB88" s="20" t="n">
        <v>0</v>
      </c>
      <c r="AHC88" s="20" t="n">
        <v>0</v>
      </c>
      <c r="AHD88" s="20" t="n">
        <v>0</v>
      </c>
      <c r="AHE88" s="20" t="n">
        <f aca="false">IF(AKR87&gt;0,AOE87-AOE87*TE88/AKR87,0)+0</f>
        <v>0</v>
      </c>
      <c r="AHF88" s="20" t="n">
        <f aca="false">IF(AKS87&gt;0,AOF87-AOF87*TF88/AKS87,0)+0</f>
        <v>0</v>
      </c>
      <c r="AHG88" s="20" t="n">
        <f aca="false">IF(AKT87&gt;0,AOG87-AOG87*TG88/AKT87,0)+0</f>
        <v>0</v>
      </c>
      <c r="AHH88" s="20" t="n">
        <f aca="false">IF(AKU87&gt;0,AOH87-AOH87*TH88/AKU87,0)+0</f>
        <v>0</v>
      </c>
      <c r="AHI88" s="20" t="n">
        <f aca="false">IF(AKV87&gt;0,AOI87-AOI87*TI88/AKV87,0)+0</f>
        <v>0</v>
      </c>
      <c r="AHJ88" s="20" t="n">
        <f aca="false">IF(AKW87&gt;0,AOJ87-AOJ87*TJ88/AKW87,0)+0</f>
        <v>0</v>
      </c>
      <c r="AHK88" s="20" t="n">
        <f aca="false">IF(AKX87&gt;0,AOK87-AOK87*TK88/AKX87,0)+0</f>
        <v>0</v>
      </c>
      <c r="AHL88" s="20" t="n">
        <f aca="false">IF(AKY87&gt;0,AOL87-AOL87*TL88/AKY87,0)+0</f>
        <v>0</v>
      </c>
      <c r="AHM88" s="20" t="n">
        <f aca="false">IF(AKZ87&gt;0,AOM87-AOM87*TM88/AKZ87,0)+0</f>
        <v>0</v>
      </c>
      <c r="AHN88" s="20" t="n">
        <f aca="false">IF(ALA87&gt;0,AON87-AON87*TN88/ALA87,0)+0</f>
        <v>0</v>
      </c>
      <c r="AHO88" s="20" t="n">
        <f aca="false">IF(ALB87&gt;0,AOO87-AOO87*TO88/ALB87,0)+0</f>
        <v>0</v>
      </c>
      <c r="AHP88" s="20" t="n">
        <f aca="false">IF(ALC87&gt;0,AOP87-AOP87*TP88/ALC87,0)+0</f>
        <v>0</v>
      </c>
      <c r="AHQ88" s="20" t="n">
        <f aca="false">IF(ALD87&gt;0,AOQ87-AOQ87*TQ88/ALD87,0)+0</f>
        <v>0</v>
      </c>
      <c r="AHR88" s="20" t="n">
        <f aca="false">IF(ALE87&gt;0,AOR87-AOR87*TR88/ALE87,0)+0</f>
        <v>0</v>
      </c>
      <c r="AHS88" s="20" t="n">
        <f aca="false">IF(ALF87&gt;0,AOS87-AOS87*TS88/ALF87,0)+0</f>
        <v>0</v>
      </c>
      <c r="AHT88" s="20" t="n">
        <f aca="false">IF(ALG87&gt;0,AOT87-AOT87*TT88/ALG87,0)+0</f>
        <v>0</v>
      </c>
      <c r="AHU88" s="20" t="n">
        <f aca="false">IF(ALH87&gt;0,AOU87-AOU87*TU88/ALH87,0)+0</f>
        <v>0</v>
      </c>
      <c r="AHV88" s="20" t="n">
        <f aca="false">IF(ALI87&gt;0,AOV87-AOV87*TV88/ALI87,0)+0</f>
        <v>0</v>
      </c>
      <c r="AHW88" s="20" t="n">
        <f aca="false">IF(ALJ87&gt;0,AOW87-AOW87*TW88/ALJ87,0)+0</f>
        <v>0</v>
      </c>
      <c r="AHX88" s="20" t="n">
        <f aca="false">IF(ALK87&gt;0,AOX87-AOX87*TX88/ALK87,0)+0</f>
        <v>0</v>
      </c>
      <c r="AHY88" s="20" t="n">
        <f aca="false">IF(ALL87&gt;0,AOY87-AOY87*TY88/ALL87,0)+0</f>
        <v>0</v>
      </c>
      <c r="AHZ88" s="20" t="n">
        <f aca="false">IF(ALM87&gt;0,AOZ87-AOZ87*TZ88/ALM87,0)+0</f>
        <v>0</v>
      </c>
      <c r="AIA88" s="20" t="n">
        <f aca="false">IF(ALN87&gt;0,APA87-APA87*UA88/ALN87,0)+0</f>
        <v>0</v>
      </c>
      <c r="AIB88" s="20" t="n">
        <f aca="false">IF(ALO87&gt;0,APB87-APB87*UB88/ALO87,0)+0</f>
        <v>0</v>
      </c>
      <c r="AIC88" s="20" t="n">
        <f aca="false">IF(ALP87&gt;0,APC87-APC87*UC88/ALP87,0)+0</f>
        <v>0</v>
      </c>
      <c r="AID88" s="20" t="n">
        <f aca="false">IF(ALQ87&gt;0,APD87-APD87*UD88/ALQ87,0)+0</f>
        <v>0</v>
      </c>
      <c r="AIE88" s="20" t="n">
        <f aca="false">IF(ALR87&gt;0,APE87-APE87*UE88/ALR87,0)+0</f>
        <v>0</v>
      </c>
      <c r="AIF88" s="20" t="n">
        <f aca="false">IF(ALS87&gt;0,APF87-APF87*UF88/ALS87,0)+0</f>
        <v>0</v>
      </c>
      <c r="AIG88" s="20" t="n">
        <f aca="false">IF(ALT87&gt;0,APG87-APG87*UG88/ALT87,0)+0</f>
        <v>0</v>
      </c>
      <c r="AIH88" s="20" t="n">
        <f aca="false">IF(ALU87&gt;0,APH87-APH87*UH88/ALU87,0)+0</f>
        <v>0</v>
      </c>
      <c r="AII88" s="20" t="n">
        <f aca="false">IF(ALV87&gt;0,API87-API87*UI88/ALV87,0)+0</f>
        <v>0</v>
      </c>
      <c r="AIJ88" s="20" t="n">
        <f aca="false">IF(ALW87&gt;0,APJ87-APJ87*UJ88/ALW87,0)+0</f>
        <v>0</v>
      </c>
      <c r="AIK88" s="20" t="n">
        <f aca="false">IF(ALX87&gt;0,APK87-APK87*UK88/ALX87,0)+0</f>
        <v>0</v>
      </c>
      <c r="AIL88" s="20" t="n">
        <f aca="false">IF(ALY87&gt;0,APL87-APL87*UL88/ALY87,0)+0</f>
        <v>0</v>
      </c>
      <c r="AIM88" s="20" t="n">
        <f aca="false">IF(ALZ87&gt;0,APM87-APM87*UM88/ALZ87,0)+0</f>
        <v>0</v>
      </c>
      <c r="AIN88" s="20" t="n">
        <f aca="false">IF(AMA87&gt;0,APN87-APN87*UN88/AMA87,0)+0</f>
        <v>0</v>
      </c>
      <c r="AIO88" s="20" t="n">
        <f aca="false">IF(AMB87&gt;0,APO87-APO87*UO88/AMB87,0)+0</f>
        <v>0</v>
      </c>
      <c r="AIP88" s="20" t="n">
        <f aca="false">IF(AMC87&gt;0,APP87-APP87*UP88/AMC87,0)+0</f>
        <v>0</v>
      </c>
      <c r="AIQ88" s="20" t="n">
        <f aca="false">IF(AMD87&gt;0,APQ87-APQ87*UQ88/AMD87,0)+0</f>
        <v>0</v>
      </c>
      <c r="AIR88" s="20" t="n">
        <f aca="false">IF(AME87&gt;0,APR87-APR87*UR88/AME87,0)+0</f>
        <v>0</v>
      </c>
      <c r="AIS88" s="20" t="n">
        <f aca="false">IF(AMF87&gt;0,APS87-APS87*US88/AMF87,0)+0</f>
        <v>0</v>
      </c>
      <c r="AIT88" s="20" t="n">
        <f aca="false">IF(AMG87&gt;0,APT87-APT87*UT88/AMG87,0)+0</f>
        <v>0</v>
      </c>
      <c r="AIU88" s="20" t="n">
        <f aca="false">IF(AMH87&gt;0,APU87-APU87*UU88/AMH87,0)+0</f>
        <v>0</v>
      </c>
      <c r="AIV88" s="20" t="n">
        <f aca="false">IF(AMI87&gt;0,APV87-APV87*UV88/AMI87,0)+0</f>
        <v>0</v>
      </c>
      <c r="AIW88" s="20" t="n">
        <f aca="false">IF(AMJ87&gt;0,APW87-APW87*UW88/AMJ87,0)+0</f>
        <v>0</v>
      </c>
      <c r="AIX88" s="20" t="n">
        <f aca="false">IF(AMK87&gt;0,APX87-APX87*UX88/AMK87,0)+0</f>
        <v>0</v>
      </c>
      <c r="AIY88" s="20" t="n">
        <f aca="false">IF(AML87&gt;0,APY87-APY87*UY88/AML87,0)+0</f>
        <v>0</v>
      </c>
      <c r="AIZ88" s="20" t="n">
        <f aca="false">IF(AMM87&gt;0,APZ87-APZ87*UZ88/AMM87,0)+0</f>
        <v>0</v>
      </c>
      <c r="AJA88" s="20" t="n">
        <f aca="false">IF(AMN87&gt;0,AQA87-AQA87*VA88/AMN87,0)+0</f>
        <v>0</v>
      </c>
      <c r="AJB88" s="20" t="n">
        <f aca="false">IF(AMO87&gt;0,AQB87-AQB87*VB88/AMO87,0)+0</f>
        <v>0</v>
      </c>
      <c r="AJC88" s="20" t="n">
        <f aca="false">IF(AMP87&gt;0,AQC87-AQC87*VC88/AMP87,0)+0</f>
        <v>0</v>
      </c>
      <c r="AJD88" s="20" t="n">
        <f aca="false">IF(AMQ87&gt;0,AQD87-AQD87*VD88/AMQ87,0)+0</f>
        <v>0</v>
      </c>
      <c r="AJE88" s="20" t="n">
        <f aca="false">IF(AMR87&gt;0,AQE87-AQE87*VE88/AMR87,0)+0</f>
        <v>0</v>
      </c>
      <c r="AJF88" s="20" t="n">
        <f aca="false">IF(AMS87&gt;0,AQF87-AQF87*VF88/AMS87,0)+0</f>
        <v>0</v>
      </c>
      <c r="AJG88" s="20" t="n">
        <f aca="false">IF(AMT87&gt;0,AQG87-AQG87*VG88/AMT87,0)+0</f>
        <v>0</v>
      </c>
      <c r="AJH88" s="20" t="n">
        <f aca="false">IF(AMU87&gt;0,AQH87-AQH87*VH88/AMU87,0)+0</f>
        <v>0</v>
      </c>
      <c r="AJI88" s="20" t="n">
        <f aca="false">IF(AMV87&gt;0,AQI87-AQI87*VI88/AMV87,0)+0</f>
        <v>0</v>
      </c>
      <c r="AJJ88" s="20" t="n">
        <f aca="false">IF(AMW87&gt;0,AQJ87-AQJ87*VJ88/AMW87,0)+0</f>
        <v>0</v>
      </c>
      <c r="AJK88" s="20" t="n">
        <f aca="false">IF(AMX87&gt;0,AQK87-AQK87*VK88/AMX87,0)+0</f>
        <v>0</v>
      </c>
      <c r="AJL88" s="20" t="n">
        <f aca="false">IF(AMY87&gt;0,AQL87-AQL87*VL88/AMY87,0)+0</f>
        <v>0</v>
      </c>
      <c r="AJM88" s="20" t="n">
        <f aca="false">IF(AMZ87&gt;0,AQM87-AQM87*VM88/AMZ87,0)+0</f>
        <v>0</v>
      </c>
      <c r="AJN88" s="20" t="n">
        <f aca="false">IF(ANA87&gt;0,AQN87-AQN87*VN88/ANA87,0)+0</f>
        <v>0</v>
      </c>
      <c r="AJO88" s="20" t="n">
        <f aca="false">IF(ANB87&gt;0,AQO87-AQO87*VO88/ANB87,0)+0</f>
        <v>0</v>
      </c>
      <c r="AJP88" s="20" t="n">
        <f aca="false">IF(ANC87&gt;0,AQP87-AQP87*VP88/ANC87,0)+0</f>
        <v>0</v>
      </c>
      <c r="AJQ88" s="20" t="n">
        <f aca="false">IF(AND87&gt;0,AQQ87-AQQ87*VQ88/AND87,0)+0</f>
        <v>0</v>
      </c>
      <c r="AJR88" s="20" t="n">
        <f aca="false">IF(ANE87&gt;0,AQR87-AQR87*VR88/ANE87,0)+0</f>
        <v>0</v>
      </c>
      <c r="AJS88" s="20" t="n">
        <f aca="false">IF(ANF87&gt;0,AQS87-AQS87*VS88/ANF87,0)+0</f>
        <v>0</v>
      </c>
      <c r="AJT88" s="20" t="n">
        <f aca="false">IF(ANG87&gt;0,AQT87-AQT87*VT88/ANG87,0)+0</f>
        <v>0</v>
      </c>
      <c r="AJU88" s="20" t="n">
        <f aca="false">IF(ANH87&gt;0,AQU87-AQU87*VU88/ANH87,0)+0</f>
        <v>0</v>
      </c>
      <c r="AJV88" s="20" t="n">
        <f aca="false">IF(ANI87&gt;0,AQV87-AQV87*VV88/ANI87,0)+0</f>
        <v>0</v>
      </c>
      <c r="AJW88" s="20" t="n">
        <f aca="false">IF(ANJ87&gt;0,AQW87-AQW87*VW88/ANJ87,0)+0</f>
        <v>0</v>
      </c>
      <c r="AJX88" s="20" t="n">
        <f aca="false">IF(ANK87&gt;0,AQX87-AQX87*VX88/ANK87,0)+0</f>
        <v>0</v>
      </c>
      <c r="AJY88" s="20" t="n">
        <f aca="false">IF(ANL87&gt;0,AQY87-AQY87*VY88/ANL87,0)+0</f>
        <v>0</v>
      </c>
      <c r="AJZ88" s="20" t="n">
        <f aca="false">IF(ANM87&gt;0,AQZ87-AQZ87*VZ88/ANM87,0)+0</f>
        <v>0</v>
      </c>
      <c r="AKA88" s="20" t="n">
        <f aca="false">IF(ANN87&gt;0,ARA87-ARA87*WA88/ANN87,0)+0</f>
        <v>0</v>
      </c>
      <c r="AKB88" s="20" t="n">
        <f aca="false">IF(ANO87&gt;0,ARB87-ARB87*WB88/ANO87,0)+0</f>
        <v>0</v>
      </c>
      <c r="AKC88" s="20" t="n">
        <f aca="false">IF(ANP87&gt;0,ARC87-ARC87*WC88/ANP87,0)+0</f>
        <v>0</v>
      </c>
      <c r="AKD88" s="20" t="n">
        <f aca="false">IF(ANQ87&gt;0,ARD87-ARD87*WD88/ANQ87,0)+0</f>
        <v>0</v>
      </c>
      <c r="AKE88" s="20" t="n">
        <f aca="false">IF(ANR87&gt;0,ARE87-ARE87*WE88/ANR87,0)+0</f>
        <v>0</v>
      </c>
      <c r="AKF88" s="20" t="n">
        <f aca="false">IF(ANS87&gt;0,ARF87-ARF87*WF88/ANS87,0)+0</f>
        <v>0</v>
      </c>
      <c r="AKG88" s="20" t="n">
        <f aca="false">IF(ANT87&gt;0,ARG87-ARG87*WG88/ANT87,0)+0</f>
        <v>0</v>
      </c>
      <c r="AKH88" s="20" t="n">
        <f aca="false">IF((P88+S88)&gt;0,(P88+S88)-(P88+S88)*WH88/(P88+S88),0)+BE88</f>
        <v>0</v>
      </c>
      <c r="AKI88" s="20" t="n">
        <v>0</v>
      </c>
      <c r="AKJ88" s="20" t="n">
        <v>0</v>
      </c>
      <c r="AKK88" s="20" t="n">
        <v>0</v>
      </c>
      <c r="AKL88" s="20" t="n">
        <v>0</v>
      </c>
      <c r="AKM88" s="20" t="n">
        <v>0</v>
      </c>
      <c r="AKN88" s="20" t="n">
        <v>0</v>
      </c>
      <c r="AKO88" s="20" t="n">
        <v>0</v>
      </c>
      <c r="AKP88" s="20" t="n">
        <v>0</v>
      </c>
      <c r="AKQ88" s="20" t="n">
        <v>0</v>
      </c>
      <c r="AKR88" s="20" t="n">
        <f aca="false">ADR88-AVE88</f>
        <v>0</v>
      </c>
      <c r="AKS88" s="20" t="n">
        <f aca="false">ADS88-AVF88</f>
        <v>0</v>
      </c>
      <c r="AKT88" s="20" t="n">
        <f aca="false">ADT88-AVG88</f>
        <v>0</v>
      </c>
      <c r="AKU88" s="20" t="n">
        <f aca="false">ADU88-AVH88</f>
        <v>0</v>
      </c>
      <c r="AKV88" s="20" t="n">
        <f aca="false">ADV88-AVI88</f>
        <v>0</v>
      </c>
      <c r="AKW88" s="20" t="n">
        <f aca="false">ADW88-AVJ88</f>
        <v>0</v>
      </c>
      <c r="AKX88" s="20" t="n">
        <f aca="false">ADX88-AVK88</f>
        <v>0</v>
      </c>
      <c r="AKY88" s="20" t="n">
        <f aca="false">ADY88-AVL88</f>
        <v>0</v>
      </c>
      <c r="AKZ88" s="20" t="n">
        <f aca="false">ADZ88-AVM88</f>
        <v>0</v>
      </c>
      <c r="ALA88" s="20" t="n">
        <f aca="false">AEA88-AVN88</f>
        <v>0</v>
      </c>
      <c r="ALB88" s="20" t="n">
        <f aca="false">AEB88-AVO88</f>
        <v>0</v>
      </c>
      <c r="ALC88" s="20" t="n">
        <f aca="false">AEC88-AVP88</f>
        <v>0</v>
      </c>
      <c r="ALD88" s="20" t="n">
        <f aca="false">AED88-AVQ88</f>
        <v>0</v>
      </c>
      <c r="ALE88" s="20" t="n">
        <f aca="false">AEE88-AVR88</f>
        <v>0</v>
      </c>
      <c r="ALF88" s="20" t="n">
        <f aca="false">AEF88-AVS88</f>
        <v>0</v>
      </c>
      <c r="ALG88" s="20" t="n">
        <f aca="false">AEG88-AVT88</f>
        <v>0</v>
      </c>
      <c r="ALH88" s="20" t="n">
        <f aca="false">AEH88-AVU88</f>
        <v>0</v>
      </c>
      <c r="ALI88" s="20" t="n">
        <f aca="false">AEI88-AVV88</f>
        <v>0</v>
      </c>
      <c r="ALJ88" s="20" t="n">
        <f aca="false">AEJ88-AVW88</f>
        <v>0</v>
      </c>
      <c r="ALK88" s="20" t="n">
        <f aca="false">AEK88-AVX88</f>
        <v>0</v>
      </c>
      <c r="ALL88" s="20" t="n">
        <f aca="false">AEL88-AVY88</f>
        <v>0</v>
      </c>
      <c r="ALM88" s="20" t="n">
        <f aca="false">AEM88-AVZ88</f>
        <v>0</v>
      </c>
      <c r="ALN88" s="20" t="n">
        <f aca="false">AEN88-AWA88</f>
        <v>0</v>
      </c>
      <c r="ALO88" s="20" t="n">
        <f aca="false">AEO88-AWB88</f>
        <v>0</v>
      </c>
      <c r="ALP88" s="20" t="n">
        <f aca="false">AEP88-AWC88</f>
        <v>0</v>
      </c>
      <c r="ALQ88" s="20" t="n">
        <f aca="false">AEQ88-AWD88</f>
        <v>0</v>
      </c>
      <c r="ALR88" s="20" t="n">
        <f aca="false">AER88-AWE88</f>
        <v>0</v>
      </c>
      <c r="ALS88" s="20" t="n">
        <f aca="false">AES88-AWF88</f>
        <v>0</v>
      </c>
      <c r="ALT88" s="20" t="n">
        <f aca="false">AET88-AWG88</f>
        <v>0</v>
      </c>
      <c r="ALU88" s="20" t="n">
        <f aca="false">AEU88-AWH88</f>
        <v>0</v>
      </c>
      <c r="ALV88" s="20" t="n">
        <f aca="false">AEV88-AWI88</f>
        <v>0</v>
      </c>
      <c r="ALW88" s="20" t="n">
        <f aca="false">AEW88-AWJ88</f>
        <v>0</v>
      </c>
      <c r="ALX88" s="20" t="n">
        <f aca="false">AEX88-AWK88</f>
        <v>0</v>
      </c>
      <c r="ALY88" s="20" t="n">
        <f aca="false">AEY88-AWL88</f>
        <v>0</v>
      </c>
      <c r="ALZ88" s="20" t="n">
        <f aca="false">AEZ88-AWM88</f>
        <v>0</v>
      </c>
      <c r="AMA88" s="20" t="n">
        <f aca="false">AFA88-AWN88</f>
        <v>0</v>
      </c>
      <c r="AMB88" s="20" t="n">
        <f aca="false">AFB88-AWO88</f>
        <v>0</v>
      </c>
      <c r="AMC88" s="20" t="n">
        <f aca="false">AFC88-AWP88</f>
        <v>0</v>
      </c>
      <c r="AMD88" s="20" t="n">
        <f aca="false">AFD88-AWQ88</f>
        <v>0</v>
      </c>
      <c r="AME88" s="20" t="n">
        <f aca="false">AFE88-AWR88</f>
        <v>0</v>
      </c>
      <c r="AMF88" s="20" t="n">
        <f aca="false">AFF88-AWS88</f>
        <v>0</v>
      </c>
      <c r="AMG88" s="20" t="n">
        <f aca="false">AFG88-AWT88</f>
        <v>0</v>
      </c>
      <c r="AMH88" s="20" t="n">
        <f aca="false">AFH88-AWU88</f>
        <v>0</v>
      </c>
      <c r="AMI88" s="20" t="n">
        <f aca="false">AFI88-AWV88</f>
        <v>0</v>
      </c>
      <c r="AMJ88" s="20" t="n">
        <f aca="false">AFJ88-AWW88</f>
        <v>0</v>
      </c>
      <c r="AMK88" s="20" t="n">
        <f aca="false">AFK88-AWX88</f>
        <v>0</v>
      </c>
      <c r="AML88" s="20" t="n">
        <f aca="false">AFL88-AWY88</f>
        <v>0</v>
      </c>
      <c r="AMM88" s="20" t="n">
        <f aca="false">AFM88-AWZ88</f>
        <v>0</v>
      </c>
      <c r="AMN88" s="20" t="n">
        <f aca="false">AFN88-AXA88</f>
        <v>0</v>
      </c>
      <c r="AMO88" s="20" t="n">
        <f aca="false">AFO88-AXB88</f>
        <v>0</v>
      </c>
      <c r="AMP88" s="20" t="n">
        <f aca="false">AFP88-AXC88</f>
        <v>0</v>
      </c>
      <c r="AMQ88" s="20" t="n">
        <f aca="false">AFQ88-AXD88</f>
        <v>0</v>
      </c>
      <c r="AMR88" s="20" t="n">
        <f aca="false">AFR88-AXE88</f>
        <v>0</v>
      </c>
      <c r="AMS88" s="20" t="n">
        <f aca="false">AFS88-AXF88</f>
        <v>0</v>
      </c>
      <c r="AMT88" s="20" t="n">
        <f aca="false">AFT88-AXG88</f>
        <v>0</v>
      </c>
      <c r="AMU88" s="20" t="n">
        <f aca="false">AFU88-AXH88</f>
        <v>0</v>
      </c>
      <c r="AMV88" s="20" t="n">
        <f aca="false">AFV88-AXI88</f>
        <v>0</v>
      </c>
      <c r="AMW88" s="20" t="n">
        <f aca="false">AFW88-AXJ88</f>
        <v>0</v>
      </c>
      <c r="AMX88" s="20" t="n">
        <f aca="false">AFX88-AXK88</f>
        <v>0</v>
      </c>
      <c r="AMY88" s="20" t="n">
        <f aca="false">AFY88-AXL88</f>
        <v>0</v>
      </c>
      <c r="AMZ88" s="20" t="n">
        <f aca="false">AFZ88-AXM88</f>
        <v>0</v>
      </c>
      <c r="ANA88" s="20" t="n">
        <f aca="false">AGA88-AXN88</f>
        <v>0</v>
      </c>
      <c r="ANB88" s="20" t="n">
        <f aca="false">AGB88-AXO88</f>
        <v>0</v>
      </c>
      <c r="ANC88" s="20" t="n">
        <f aca="false">AGC88-AXP88</f>
        <v>0</v>
      </c>
      <c r="AND88" s="20" t="n">
        <f aca="false">AGD88-AXQ88</f>
        <v>0</v>
      </c>
      <c r="ANE88" s="20" t="n">
        <f aca="false">AGE88-AXR88</f>
        <v>0</v>
      </c>
      <c r="ANF88" s="20" t="n">
        <f aca="false">AGF88-AXS88</f>
        <v>0</v>
      </c>
      <c r="ANG88" s="20" t="n">
        <f aca="false">AGG88-AXT88</f>
        <v>0</v>
      </c>
      <c r="ANH88" s="20" t="n">
        <f aca="false">AGH88-AXU88</f>
        <v>0</v>
      </c>
      <c r="ANI88" s="20" t="n">
        <f aca="false">AGI88-AXV88</f>
        <v>0</v>
      </c>
      <c r="ANJ88" s="20" t="n">
        <f aca="false">AGJ88-AXW88</f>
        <v>0</v>
      </c>
      <c r="ANK88" s="20" t="n">
        <f aca="false">AGK88-AXX88</f>
        <v>0</v>
      </c>
      <c r="ANL88" s="20" t="n">
        <f aca="false">AGL88-AXY88</f>
        <v>0</v>
      </c>
      <c r="ANM88" s="20" t="n">
        <f aca="false">AGM88-AXZ88</f>
        <v>0</v>
      </c>
      <c r="ANN88" s="20" t="n">
        <f aca="false">AGN88-AYA88</f>
        <v>0</v>
      </c>
      <c r="ANO88" s="20" t="n">
        <f aca="false">AGO88-AYB88</f>
        <v>0</v>
      </c>
      <c r="ANP88" s="20" t="n">
        <f aca="false">AGP88-AYC88</f>
        <v>0</v>
      </c>
      <c r="ANQ88" s="20" t="n">
        <f aca="false">AGQ88-AYD88</f>
        <v>0</v>
      </c>
      <c r="ANR88" s="20" t="n">
        <f aca="false">AGR88-AYE88</f>
        <v>0</v>
      </c>
      <c r="ANS88" s="20" t="n">
        <f aca="false">AGS88-AYF88</f>
        <v>0</v>
      </c>
      <c r="ANT88" s="20" t="n">
        <f aca="false">AGT88-AYG88</f>
        <v>0</v>
      </c>
      <c r="ANU88" s="20" t="n">
        <f aca="false">AGU88-AYH88</f>
        <v>0</v>
      </c>
      <c r="ANV88" s="20" t="n">
        <v>0</v>
      </c>
      <c r="ANW88" s="20" t="n">
        <v>0</v>
      </c>
      <c r="ANX88" s="20" t="n">
        <v>0</v>
      </c>
      <c r="ANY88" s="20" t="n">
        <v>0</v>
      </c>
      <c r="ANZ88" s="20" t="n">
        <v>0</v>
      </c>
      <c r="AOA88" s="20" t="n">
        <v>0</v>
      </c>
      <c r="AOB88" s="20" t="n">
        <v>0</v>
      </c>
      <c r="AOC88" s="20" t="n">
        <v>0</v>
      </c>
      <c r="AOD88" s="20" t="n">
        <v>0</v>
      </c>
      <c r="AOE88" s="20" t="n">
        <f aca="false">IF(AND(H_Direct=0,H_TaxEvt=1,ARR87+1&gt;=H_Deemed),AKR88,AHE88)</f>
        <v>0</v>
      </c>
      <c r="AOF88" s="20" t="n">
        <f aca="false">IF(AND(H_Direct=0,H_TaxEvt=1,ARS87+1&gt;=H_Deemed),AKS88,AHF88)</f>
        <v>0</v>
      </c>
      <c r="AOG88" s="20" t="n">
        <f aca="false">IF(AND(H_Direct=0,H_TaxEvt=1,ART87+1&gt;=H_Deemed),AKT88,AHG88)</f>
        <v>0</v>
      </c>
      <c r="AOH88" s="20" t="n">
        <f aca="false">IF(AND(H_Direct=0,H_TaxEvt=1,ARU87+1&gt;=H_Deemed),AKU88,AHH88)</f>
        <v>0</v>
      </c>
      <c r="AOI88" s="20" t="n">
        <f aca="false">IF(AND(H_Direct=0,H_TaxEvt=1,ARV87+1&gt;=H_Deemed),AKV88,AHI88)</f>
        <v>0</v>
      </c>
      <c r="AOJ88" s="20" t="n">
        <f aca="false">IF(AND(H_Direct=0,H_TaxEvt=1,ARW87+1&gt;=H_Deemed),AKW88,AHJ88)</f>
        <v>0</v>
      </c>
      <c r="AOK88" s="20" t="n">
        <f aca="false">IF(AND(H_Direct=0,H_TaxEvt=1,ARX87+1&gt;=H_Deemed),AKX88,AHK88)</f>
        <v>0</v>
      </c>
      <c r="AOL88" s="20" t="n">
        <f aca="false">IF(AND(H_Direct=0,H_TaxEvt=1,ARY87+1&gt;=H_Deemed),AKY88,AHL88)</f>
        <v>0</v>
      </c>
      <c r="AOM88" s="20" t="n">
        <f aca="false">IF(AND(H_Direct=0,H_TaxEvt=1,ARZ87+1&gt;=H_Deemed),AKZ88,AHM88)</f>
        <v>0</v>
      </c>
      <c r="AON88" s="20" t="n">
        <f aca="false">IF(AND(H_Direct=0,H_TaxEvt=1,ASA87+1&gt;=H_Deemed),ALA88,AHN88)</f>
        <v>0</v>
      </c>
      <c r="AOO88" s="20" t="n">
        <f aca="false">IF(AND(H_Direct=0,H_TaxEvt=1,ASB87+1&gt;=H_Deemed),ALB88,AHO88)</f>
        <v>0</v>
      </c>
      <c r="AOP88" s="20" t="n">
        <f aca="false">IF(AND(H_Direct=0,H_TaxEvt=1,ASC87+1&gt;=H_Deemed),ALC88,AHP88)</f>
        <v>0</v>
      </c>
      <c r="AOQ88" s="20" t="n">
        <f aca="false">IF(AND(H_Direct=0,H_TaxEvt=1,ASD87+1&gt;=H_Deemed),ALD88,AHQ88)</f>
        <v>0</v>
      </c>
      <c r="AOR88" s="20" t="n">
        <f aca="false">IF(AND(H_Direct=0,H_TaxEvt=1,ASE87+1&gt;=H_Deemed),ALE88,AHR88)</f>
        <v>0</v>
      </c>
      <c r="AOS88" s="20" t="n">
        <f aca="false">IF(AND(H_Direct=0,H_TaxEvt=1,ASF87+1&gt;=H_Deemed),ALF88,AHS88)</f>
        <v>0</v>
      </c>
      <c r="AOT88" s="20" t="n">
        <f aca="false">IF(AND(H_Direct=0,H_TaxEvt=1,ASG87+1&gt;=H_Deemed),ALG88,AHT88)</f>
        <v>0</v>
      </c>
      <c r="AOU88" s="20" t="n">
        <f aca="false">IF(AND(H_Direct=0,H_TaxEvt=1,ASH87+1&gt;=H_Deemed),ALH88,AHU88)</f>
        <v>0</v>
      </c>
      <c r="AOV88" s="20" t="n">
        <f aca="false">IF(AND(H_Direct=0,H_TaxEvt=1,ASI87+1&gt;=H_Deemed),ALI88,AHV88)</f>
        <v>0</v>
      </c>
      <c r="AOW88" s="20" t="n">
        <f aca="false">IF(AND(H_Direct=0,H_TaxEvt=1,ASJ87+1&gt;=H_Deemed),ALJ88,AHW88)</f>
        <v>0</v>
      </c>
      <c r="AOX88" s="20" t="n">
        <f aca="false">IF(AND(H_Direct=0,H_TaxEvt=1,ASK87+1&gt;=H_Deemed),ALK88,AHX88)</f>
        <v>0</v>
      </c>
      <c r="AOY88" s="20" t="n">
        <f aca="false">IF(AND(H_Direct=0,H_TaxEvt=1,ASL87+1&gt;=H_Deemed),ALL88,AHY88)</f>
        <v>0</v>
      </c>
      <c r="AOZ88" s="20" t="n">
        <f aca="false">IF(AND(H_Direct=0,H_TaxEvt=1,ASM87+1&gt;=H_Deemed),ALM88,AHZ88)</f>
        <v>0</v>
      </c>
      <c r="APA88" s="20" t="n">
        <f aca="false">IF(AND(H_Direct=0,H_TaxEvt=1,ASN87+1&gt;=H_Deemed),ALN88,AIA88)</f>
        <v>0</v>
      </c>
      <c r="APB88" s="20" t="n">
        <f aca="false">IF(AND(H_Direct=0,H_TaxEvt=1,ASO87+1&gt;=H_Deemed),ALO88,AIB88)</f>
        <v>0</v>
      </c>
      <c r="APC88" s="20" t="n">
        <f aca="false">IF(AND(H_Direct=0,H_TaxEvt=1,ASP87+1&gt;=H_Deemed),ALP88,AIC88)</f>
        <v>0</v>
      </c>
      <c r="APD88" s="20" t="n">
        <f aca="false">IF(AND(H_Direct=0,H_TaxEvt=1,ASQ87+1&gt;=H_Deemed),ALQ88,AID88)</f>
        <v>0</v>
      </c>
      <c r="APE88" s="20" t="n">
        <f aca="false">IF(AND(H_Direct=0,H_TaxEvt=1,ASR87+1&gt;=H_Deemed),ALR88,AIE88)</f>
        <v>0</v>
      </c>
      <c r="APF88" s="20" t="n">
        <f aca="false">IF(AND(H_Direct=0,H_TaxEvt=1,ASS87+1&gt;=H_Deemed),ALS88,AIF88)</f>
        <v>0</v>
      </c>
      <c r="APG88" s="20" t="n">
        <f aca="false">IF(AND(H_Direct=0,H_TaxEvt=1,AST87+1&gt;=H_Deemed),ALT88,AIG88)</f>
        <v>0</v>
      </c>
      <c r="APH88" s="20" t="n">
        <f aca="false">IF(AND(H_Direct=0,H_TaxEvt=1,ASU87+1&gt;=H_Deemed),ALU88,AIH88)</f>
        <v>0</v>
      </c>
      <c r="API88" s="20" t="n">
        <f aca="false">IF(AND(H_Direct=0,H_TaxEvt=1,ASV87+1&gt;=H_Deemed),ALV88,AII88)</f>
        <v>0</v>
      </c>
      <c r="APJ88" s="20" t="n">
        <f aca="false">IF(AND(H_Direct=0,H_TaxEvt=1,ASW87+1&gt;=H_Deemed),ALW88,AIJ88)</f>
        <v>0</v>
      </c>
      <c r="APK88" s="20" t="n">
        <f aca="false">IF(AND(H_Direct=0,H_TaxEvt=1,ASX87+1&gt;=H_Deemed),ALX88,AIK88)</f>
        <v>0</v>
      </c>
      <c r="APL88" s="20" t="n">
        <f aca="false">IF(AND(H_Direct=0,H_TaxEvt=1,ASY87+1&gt;=H_Deemed),ALY88,AIL88)</f>
        <v>0</v>
      </c>
      <c r="APM88" s="20" t="n">
        <f aca="false">IF(AND(H_Direct=0,H_TaxEvt=1,ASZ87+1&gt;=H_Deemed),ALZ88,AIM88)</f>
        <v>0</v>
      </c>
      <c r="APN88" s="20" t="n">
        <f aca="false">IF(AND(H_Direct=0,H_TaxEvt=1,ATA87+1&gt;=H_Deemed),AMA88,AIN88)</f>
        <v>0</v>
      </c>
      <c r="APO88" s="20" t="n">
        <f aca="false">IF(AND(H_Direct=0,H_TaxEvt=1,ATB87+1&gt;=H_Deemed),AMB88,AIO88)</f>
        <v>0</v>
      </c>
      <c r="APP88" s="20" t="n">
        <f aca="false">IF(AND(H_Direct=0,H_TaxEvt=1,ATC87+1&gt;=H_Deemed),AMC88,AIP88)</f>
        <v>0</v>
      </c>
      <c r="APQ88" s="20" t="n">
        <f aca="false">IF(AND(H_Direct=0,H_TaxEvt=1,ATD87+1&gt;=H_Deemed),AMD88,AIQ88)</f>
        <v>0</v>
      </c>
      <c r="APR88" s="20" t="n">
        <f aca="false">IF(AND(H_Direct=0,H_TaxEvt=1,ATE87+1&gt;=H_Deemed),AME88,AIR88)</f>
        <v>0</v>
      </c>
      <c r="APS88" s="20" t="n">
        <f aca="false">IF(AND(H_Direct=0,H_TaxEvt=1,ATF87+1&gt;=H_Deemed),AMF88,AIS88)</f>
        <v>0</v>
      </c>
      <c r="APT88" s="20" t="n">
        <f aca="false">IF(AND(H_Direct=0,H_TaxEvt=1,ATG87+1&gt;=H_Deemed),AMG88,AIT88)</f>
        <v>0</v>
      </c>
      <c r="APU88" s="20" t="n">
        <f aca="false">IF(AND(H_Direct=0,H_TaxEvt=1,ATH87+1&gt;=H_Deemed),AMH88,AIU88)</f>
        <v>0</v>
      </c>
      <c r="APV88" s="20" t="n">
        <f aca="false">IF(AND(H_Direct=0,H_TaxEvt=1,ATI87+1&gt;=H_Deemed),AMI88,AIV88)</f>
        <v>0</v>
      </c>
      <c r="APW88" s="20" t="n">
        <f aca="false">IF(AND(H_Direct=0,H_TaxEvt=1,ATJ87+1&gt;=H_Deemed),AMJ88,AIW88)</f>
        <v>0</v>
      </c>
      <c r="APX88" s="20" t="n">
        <f aca="false">IF(AND(H_Direct=0,H_TaxEvt=1,ATK87+1&gt;=H_Deemed),AMK88,AIX88)</f>
        <v>0</v>
      </c>
      <c r="APY88" s="20" t="n">
        <f aca="false">IF(AND(H_Direct=0,H_TaxEvt=1,ATL87+1&gt;=H_Deemed),AML88,AIY88)</f>
        <v>0</v>
      </c>
      <c r="APZ88" s="20" t="n">
        <f aca="false">IF(AND(H_Direct=0,H_TaxEvt=1,ATM87+1&gt;=H_Deemed),AMM88,AIZ88)</f>
        <v>0</v>
      </c>
      <c r="AQA88" s="20" t="n">
        <f aca="false">IF(AND(H_Direct=0,H_TaxEvt=1,ATN87+1&gt;=H_Deemed),AMN88,AJA88)</f>
        <v>0</v>
      </c>
      <c r="AQB88" s="20" t="n">
        <f aca="false">IF(AND(H_Direct=0,H_TaxEvt=1,ATO87+1&gt;=H_Deemed),AMO88,AJB88)</f>
        <v>0</v>
      </c>
      <c r="AQC88" s="20" t="n">
        <f aca="false">IF(AND(H_Direct=0,H_TaxEvt=1,ATP87+1&gt;=H_Deemed),AMP88,AJC88)</f>
        <v>0</v>
      </c>
      <c r="AQD88" s="20" t="n">
        <f aca="false">IF(AND(H_Direct=0,H_TaxEvt=1,ATQ87+1&gt;=H_Deemed),AMQ88,AJD88)</f>
        <v>0</v>
      </c>
      <c r="AQE88" s="20" t="n">
        <f aca="false">IF(AND(H_Direct=0,H_TaxEvt=1,ATR87+1&gt;=H_Deemed),AMR88,AJE88)</f>
        <v>0</v>
      </c>
      <c r="AQF88" s="20" t="n">
        <f aca="false">IF(AND(H_Direct=0,H_TaxEvt=1,ATS87+1&gt;=H_Deemed),AMS88,AJF88)</f>
        <v>0</v>
      </c>
      <c r="AQG88" s="20" t="n">
        <f aca="false">IF(AND(H_Direct=0,H_TaxEvt=1,ATT87+1&gt;=H_Deemed),AMT88,AJG88)</f>
        <v>0</v>
      </c>
      <c r="AQH88" s="20" t="n">
        <f aca="false">IF(AND(H_Direct=0,H_TaxEvt=1,ATU87+1&gt;=H_Deemed),AMU88,AJH88)</f>
        <v>0</v>
      </c>
      <c r="AQI88" s="20" t="n">
        <f aca="false">IF(AND(H_Direct=0,H_TaxEvt=1,ATV87+1&gt;=H_Deemed),AMV88,AJI88)</f>
        <v>0</v>
      </c>
      <c r="AQJ88" s="20" t="n">
        <f aca="false">IF(AND(H_Direct=0,H_TaxEvt=1,ATW87+1&gt;=H_Deemed),AMW88,AJJ88)</f>
        <v>0</v>
      </c>
      <c r="AQK88" s="20" t="n">
        <f aca="false">IF(AND(H_Direct=0,H_TaxEvt=1,ATX87+1&gt;=H_Deemed),AMX88,AJK88)</f>
        <v>0</v>
      </c>
      <c r="AQL88" s="20" t="n">
        <f aca="false">IF(AND(H_Direct=0,H_TaxEvt=1,ATY87+1&gt;=H_Deemed),AMY88,AJL88)</f>
        <v>0</v>
      </c>
      <c r="AQM88" s="20" t="n">
        <f aca="false">IF(AND(H_Direct=0,H_TaxEvt=1,ATZ87+1&gt;=H_Deemed),AMZ88,AJM88)</f>
        <v>0</v>
      </c>
      <c r="AQN88" s="20" t="n">
        <f aca="false">IF(AND(H_Direct=0,H_TaxEvt=1,AUA87+1&gt;=H_Deemed),ANA88,AJN88)</f>
        <v>0</v>
      </c>
      <c r="AQO88" s="20" t="n">
        <f aca="false">IF(AND(H_Direct=0,H_TaxEvt=1,AUB87+1&gt;=H_Deemed),ANB88,AJO88)</f>
        <v>0</v>
      </c>
      <c r="AQP88" s="20" t="n">
        <f aca="false">IF(AND(H_Direct=0,H_TaxEvt=1,AUC87+1&gt;=H_Deemed),ANC88,AJP88)</f>
        <v>0</v>
      </c>
      <c r="AQQ88" s="20" t="n">
        <f aca="false">IF(AND(H_Direct=0,H_TaxEvt=1,AUD87+1&gt;=H_Deemed),AND88,AJQ88)</f>
        <v>0</v>
      </c>
      <c r="AQR88" s="20" t="n">
        <f aca="false">IF(AND(H_Direct=0,H_TaxEvt=1,AUE87+1&gt;=H_Deemed),ANE88,AJR88)</f>
        <v>0</v>
      </c>
      <c r="AQS88" s="20" t="n">
        <f aca="false">IF(AND(H_Direct=0,H_TaxEvt=1,AUF87+1&gt;=H_Deemed),ANF88,AJS88)</f>
        <v>0</v>
      </c>
      <c r="AQT88" s="20" t="n">
        <f aca="false">IF(AND(H_Direct=0,H_TaxEvt=1,AUG87+1&gt;=H_Deemed),ANG88,AJT88)</f>
        <v>0</v>
      </c>
      <c r="AQU88" s="20" t="n">
        <f aca="false">IF(AND(H_Direct=0,H_TaxEvt=1,AUH87+1&gt;=H_Deemed),ANH88,AJU88)</f>
        <v>0</v>
      </c>
      <c r="AQV88" s="20" t="n">
        <f aca="false">IF(AND(H_Direct=0,H_TaxEvt=1,AUI87+1&gt;=H_Deemed),ANI88,AJV88)</f>
        <v>0</v>
      </c>
      <c r="AQW88" s="20" t="n">
        <f aca="false">IF(AND(H_Direct=0,H_TaxEvt=1,AUJ87+1&gt;=H_Deemed),ANJ88,AJW88)</f>
        <v>0</v>
      </c>
      <c r="AQX88" s="20" t="n">
        <f aca="false">IF(AND(H_Direct=0,H_TaxEvt=1,AUK87+1&gt;=H_Deemed),ANK88,AJX88)</f>
        <v>0</v>
      </c>
      <c r="AQY88" s="20" t="n">
        <f aca="false">IF(AND(H_Direct=0,H_TaxEvt=1,AUL87+1&gt;=H_Deemed),ANL88,AJY88)</f>
        <v>0</v>
      </c>
      <c r="AQZ88" s="20" t="n">
        <f aca="false">IF(AND(H_Direct=0,H_TaxEvt=1,AUM87+1&gt;=H_Deemed),ANM88,AJZ88)</f>
        <v>0</v>
      </c>
      <c r="ARA88" s="20" t="n">
        <f aca="false">IF(AND(H_Direct=0,H_TaxEvt=1,AUN87+1&gt;=H_Deemed),ANN88,AKA88)</f>
        <v>0</v>
      </c>
      <c r="ARB88" s="20" t="n">
        <f aca="false">IF(AND(H_Direct=0,H_TaxEvt=1,AUO87+1&gt;=H_Deemed),ANO88,AKB88)</f>
        <v>0</v>
      </c>
      <c r="ARC88" s="20" t="n">
        <f aca="false">IF(AND(H_Direct=0,H_TaxEvt=1,AUP87+1&gt;=H_Deemed),ANP88,AKC88)</f>
        <v>0</v>
      </c>
      <c r="ARD88" s="20" t="n">
        <f aca="false">IF(AND(H_Direct=0,H_TaxEvt=1,AUQ87+1&gt;=H_Deemed),ANQ88,AKD88)</f>
        <v>0</v>
      </c>
      <c r="ARE88" s="20" t="n">
        <f aca="false">IF(AND(H_Direct=0,H_TaxEvt=1,AUR87+1&gt;=H_Deemed),ANR88,AKE88)</f>
        <v>0</v>
      </c>
      <c r="ARF88" s="20" t="n">
        <f aca="false">IF(AND(H_Direct=0,H_TaxEvt=1,AUS87+1&gt;=H_Deemed),ANS88,AKF88)</f>
        <v>0</v>
      </c>
      <c r="ARG88" s="20" t="n">
        <f aca="false">IF(AND(H_Direct=0,H_TaxEvt=1,AUT87+1&gt;=H_Deemed),ANT88,AKG88)</f>
        <v>0</v>
      </c>
      <c r="ARH88" s="20" t="n">
        <f aca="false">IF(AND(H_Direct=0,H_TaxEvt=1,0+1&gt;=H_Deemed),ANU88,AKH88)</f>
        <v>0</v>
      </c>
      <c r="ARI88" s="20" t="n">
        <v>0</v>
      </c>
      <c r="ARJ88" s="20" t="n">
        <v>0</v>
      </c>
      <c r="ARK88" s="20" t="n">
        <v>0</v>
      </c>
      <c r="ARL88" s="20" t="n">
        <v>0</v>
      </c>
      <c r="ARM88" s="20" t="n">
        <v>0</v>
      </c>
      <c r="ARN88" s="20" t="n">
        <v>0</v>
      </c>
      <c r="ARO88" s="20" t="n">
        <v>0</v>
      </c>
      <c r="ARP88" s="20" t="n">
        <v>0</v>
      </c>
      <c r="ARQ88" s="20" t="n">
        <v>0</v>
      </c>
      <c r="ARR88" s="20" t="n">
        <f aca="false">IF(AND(H_Direct=0,H_TaxEvt=1),IF(ARR87+1&gt;=H_Deemed,0,ARR87+1),ARR87)</f>
        <v>1</v>
      </c>
      <c r="ARS88" s="20" t="n">
        <f aca="false">IF(AND(H_Direct=0,H_TaxEvt=1),IF(ARS87+1&gt;=H_Deemed,0,ARS87+1),ARS87)</f>
        <v>1</v>
      </c>
      <c r="ART88" s="20" t="n">
        <f aca="false">IF(AND(H_Direct=0,H_TaxEvt=1),IF(ART87+1&gt;=H_Deemed,0,ART87+1),ART87)</f>
        <v>0</v>
      </c>
      <c r="ARU88" s="20" t="n">
        <f aca="false">IF(AND(H_Direct=0,H_TaxEvt=1),IF(ARU87+1&gt;=H_Deemed,0,ARU87+1),ARU87)</f>
        <v>7</v>
      </c>
      <c r="ARV88" s="20" t="n">
        <f aca="false">IF(AND(H_Direct=0,H_TaxEvt=1),IF(ARV87+1&gt;=H_Deemed,0,ARV87+1),ARV87)</f>
        <v>6</v>
      </c>
      <c r="ARW88" s="20" t="n">
        <f aca="false">IF(AND(H_Direct=0,H_TaxEvt=1),IF(ARW87+1&gt;=H_Deemed,0,ARW87+1),ARW87)</f>
        <v>5</v>
      </c>
      <c r="ARX88" s="20" t="n">
        <f aca="false">IF(AND(H_Direct=0,H_TaxEvt=1),IF(ARX87+1&gt;=H_Deemed,0,ARX87+1),ARX87)</f>
        <v>4</v>
      </c>
      <c r="ARY88" s="20" t="n">
        <f aca="false">IF(AND(H_Direct=0,H_TaxEvt=1),IF(ARY87+1&gt;=H_Deemed,0,ARY87+1),ARY87)</f>
        <v>3</v>
      </c>
      <c r="ARZ88" s="20" t="n">
        <f aca="false">IF(AND(H_Direct=0,H_TaxEvt=1),IF(ARZ87+1&gt;=H_Deemed,0,ARZ87+1),ARZ87)</f>
        <v>2</v>
      </c>
      <c r="ASA88" s="20" t="n">
        <f aca="false">IF(AND(H_Direct=0,H_TaxEvt=1),IF(ASA87+1&gt;=H_Deemed,0,ASA87+1),ASA87)</f>
        <v>1</v>
      </c>
      <c r="ASB88" s="20" t="n">
        <f aca="false">IF(AND(H_Direct=0,H_TaxEvt=1),IF(ASB87+1&gt;=H_Deemed,0,ASB87+1),ASB87)</f>
        <v>0</v>
      </c>
      <c r="ASC88" s="20" t="n">
        <f aca="false">IF(AND(H_Direct=0,H_TaxEvt=1),IF(ASC87+1&gt;=H_Deemed,0,ASC87+1),ASC87)</f>
        <v>7</v>
      </c>
      <c r="ASD88" s="20" t="n">
        <f aca="false">IF(AND(H_Direct=0,H_TaxEvt=1),IF(ASD87+1&gt;=H_Deemed,0,ASD87+1),ASD87)</f>
        <v>6</v>
      </c>
      <c r="ASE88" s="20" t="n">
        <f aca="false">IF(AND(H_Direct=0,H_TaxEvt=1),IF(ASE87+1&gt;=H_Deemed,0,ASE87+1),ASE87)</f>
        <v>5</v>
      </c>
      <c r="ASF88" s="20" t="n">
        <f aca="false">IF(AND(H_Direct=0,H_TaxEvt=1),IF(ASF87+1&gt;=H_Deemed,0,ASF87+1),ASF87)</f>
        <v>4</v>
      </c>
      <c r="ASG88" s="20" t="n">
        <f aca="false">IF(AND(H_Direct=0,H_TaxEvt=1),IF(ASG87+1&gt;=H_Deemed,0,ASG87+1),ASG87)</f>
        <v>3</v>
      </c>
      <c r="ASH88" s="20" t="n">
        <f aca="false">IF(AND(H_Direct=0,H_TaxEvt=1),IF(ASH87+1&gt;=H_Deemed,0,ASH87+1),ASH87)</f>
        <v>2</v>
      </c>
      <c r="ASI88" s="20" t="n">
        <f aca="false">IF(AND(H_Direct=0,H_TaxEvt=1),IF(ASI87+1&gt;=H_Deemed,0,ASI87+1),ASI87)</f>
        <v>1</v>
      </c>
      <c r="ASJ88" s="20" t="n">
        <f aca="false">IF(AND(H_Direct=0,H_TaxEvt=1),IF(ASJ87+1&gt;=H_Deemed,0,ASJ87+1),ASJ87)</f>
        <v>0</v>
      </c>
      <c r="ASK88" s="20" t="n">
        <f aca="false">IF(AND(H_Direct=0,H_TaxEvt=1),IF(ASK87+1&gt;=H_Deemed,0,ASK87+1),ASK87)</f>
        <v>7</v>
      </c>
      <c r="ASL88" s="20" t="n">
        <f aca="false">IF(AND(H_Direct=0,H_TaxEvt=1),IF(ASL87+1&gt;=H_Deemed,0,ASL87+1),ASL87)</f>
        <v>6</v>
      </c>
      <c r="ASM88" s="20" t="n">
        <f aca="false">IF(AND(H_Direct=0,H_TaxEvt=1),IF(ASM87+1&gt;=H_Deemed,0,ASM87+1),ASM87)</f>
        <v>5</v>
      </c>
      <c r="ASN88" s="20" t="n">
        <f aca="false">IF(AND(H_Direct=0,H_TaxEvt=1),IF(ASN87+1&gt;=H_Deemed,0,ASN87+1),ASN87)</f>
        <v>4</v>
      </c>
      <c r="ASO88" s="20" t="n">
        <f aca="false">IF(AND(H_Direct=0,H_TaxEvt=1),IF(ASO87+1&gt;=H_Deemed,0,ASO87+1),ASO87)</f>
        <v>3</v>
      </c>
      <c r="ASP88" s="20" t="n">
        <f aca="false">IF(AND(H_Direct=0,H_TaxEvt=1),IF(ASP87+1&gt;=H_Deemed,0,ASP87+1),ASP87)</f>
        <v>2</v>
      </c>
      <c r="ASQ88" s="20" t="n">
        <f aca="false">IF(AND(H_Direct=0,H_TaxEvt=1),IF(ASQ87+1&gt;=H_Deemed,0,ASQ87+1),ASQ87)</f>
        <v>1</v>
      </c>
      <c r="ASR88" s="20" t="n">
        <f aca="false">IF(AND(H_Direct=0,H_TaxEvt=1),IF(ASR87+1&gt;=H_Deemed,0,ASR87+1),ASR87)</f>
        <v>0</v>
      </c>
      <c r="ASS88" s="20" t="n">
        <f aca="false">IF(AND(H_Direct=0,H_TaxEvt=1),IF(ASS87+1&gt;=H_Deemed,0,ASS87+1),ASS87)</f>
        <v>7</v>
      </c>
      <c r="AST88" s="20" t="n">
        <f aca="false">IF(AND(H_Direct=0,H_TaxEvt=1),IF(AST87+1&gt;=H_Deemed,0,AST87+1),AST87)</f>
        <v>6</v>
      </c>
      <c r="ASU88" s="20" t="n">
        <f aca="false">IF(AND(H_Direct=0,H_TaxEvt=1),IF(ASU87+1&gt;=H_Deemed,0,ASU87+1),ASU87)</f>
        <v>5</v>
      </c>
      <c r="ASV88" s="20" t="n">
        <f aca="false">IF(AND(H_Direct=0,H_TaxEvt=1),IF(ASV87+1&gt;=H_Deemed,0,ASV87+1),ASV87)</f>
        <v>4</v>
      </c>
      <c r="ASW88" s="20" t="n">
        <f aca="false">IF(AND(H_Direct=0,H_TaxEvt=1),IF(ASW87+1&gt;=H_Deemed,0,ASW87+1),ASW87)</f>
        <v>3</v>
      </c>
      <c r="ASX88" s="20" t="n">
        <f aca="false">IF(AND(H_Direct=0,H_TaxEvt=1),IF(ASX87+1&gt;=H_Deemed,0,ASX87+1),ASX87)</f>
        <v>2</v>
      </c>
      <c r="ASY88" s="20" t="n">
        <f aca="false">IF(AND(H_Direct=0,H_TaxEvt=1),IF(ASY87+1&gt;=H_Deemed,0,ASY87+1),ASY87)</f>
        <v>1</v>
      </c>
      <c r="ASZ88" s="20" t="n">
        <f aca="false">IF(AND(H_Direct=0,H_TaxEvt=1),IF(ASZ87+1&gt;=H_Deemed,0,ASZ87+1),ASZ87)</f>
        <v>0</v>
      </c>
      <c r="ATA88" s="20" t="n">
        <f aca="false">IF(AND(H_Direct=0,H_TaxEvt=1),IF(ATA87+1&gt;=H_Deemed,0,ATA87+1),ATA87)</f>
        <v>7</v>
      </c>
      <c r="ATB88" s="20" t="n">
        <f aca="false">IF(AND(H_Direct=0,H_TaxEvt=1),IF(ATB87+1&gt;=H_Deemed,0,ATB87+1),ATB87)</f>
        <v>6</v>
      </c>
      <c r="ATC88" s="20" t="n">
        <f aca="false">IF(AND(H_Direct=0,H_TaxEvt=1),IF(ATC87+1&gt;=H_Deemed,0,ATC87+1),ATC87)</f>
        <v>5</v>
      </c>
      <c r="ATD88" s="20" t="n">
        <f aca="false">IF(AND(H_Direct=0,H_TaxEvt=1),IF(ATD87+1&gt;=H_Deemed,0,ATD87+1),ATD87)</f>
        <v>4</v>
      </c>
      <c r="ATE88" s="20" t="n">
        <f aca="false">IF(AND(H_Direct=0,H_TaxEvt=1),IF(ATE87+1&gt;=H_Deemed,0,ATE87+1),ATE87)</f>
        <v>3</v>
      </c>
      <c r="ATF88" s="20" t="n">
        <f aca="false">IF(AND(H_Direct=0,H_TaxEvt=1),IF(ATF87+1&gt;=H_Deemed,0,ATF87+1),ATF87)</f>
        <v>2</v>
      </c>
      <c r="ATG88" s="20" t="n">
        <f aca="false">IF(AND(H_Direct=0,H_TaxEvt=1),IF(ATG87+1&gt;=H_Deemed,0,ATG87+1),ATG87)</f>
        <v>1</v>
      </c>
      <c r="ATH88" s="20" t="n">
        <f aca="false">IF(AND(H_Direct=0,H_TaxEvt=1),IF(ATH87+1&gt;=H_Deemed,0,ATH87+1),ATH87)</f>
        <v>0</v>
      </c>
      <c r="ATI88" s="20" t="n">
        <f aca="false">IF(AND(H_Direct=0,H_TaxEvt=1),IF(ATI87+1&gt;=H_Deemed,0,ATI87+1),ATI87)</f>
        <v>7</v>
      </c>
      <c r="ATJ88" s="20" t="n">
        <f aca="false">IF(AND(H_Direct=0,H_TaxEvt=1),IF(ATJ87+1&gt;=H_Deemed,0,ATJ87+1),ATJ87)</f>
        <v>6</v>
      </c>
      <c r="ATK88" s="20" t="n">
        <f aca="false">IF(AND(H_Direct=0,H_TaxEvt=1),IF(ATK87+1&gt;=H_Deemed,0,ATK87+1),ATK87)</f>
        <v>5</v>
      </c>
      <c r="ATL88" s="20" t="n">
        <f aca="false">IF(AND(H_Direct=0,H_TaxEvt=1),IF(ATL87+1&gt;=H_Deemed,0,ATL87+1),ATL87)</f>
        <v>4</v>
      </c>
      <c r="ATM88" s="20" t="n">
        <f aca="false">IF(AND(H_Direct=0,H_TaxEvt=1),IF(ATM87+1&gt;=H_Deemed,0,ATM87+1),ATM87)</f>
        <v>3</v>
      </c>
      <c r="ATN88" s="20" t="n">
        <f aca="false">IF(AND(H_Direct=0,H_TaxEvt=1),IF(ATN87+1&gt;=H_Deemed,0,ATN87+1),ATN87)</f>
        <v>2</v>
      </c>
      <c r="ATO88" s="20" t="n">
        <f aca="false">IF(AND(H_Direct=0,H_TaxEvt=1),IF(ATO87+1&gt;=H_Deemed,0,ATO87+1),ATO87)</f>
        <v>1</v>
      </c>
      <c r="ATP88" s="20" t="n">
        <f aca="false">IF(AND(H_Direct=0,H_TaxEvt=1),IF(ATP87+1&gt;=H_Deemed,0,ATP87+1),ATP87)</f>
        <v>0</v>
      </c>
      <c r="ATQ88" s="20" t="n">
        <f aca="false">IF(AND(H_Direct=0,H_TaxEvt=1),IF(ATQ87+1&gt;=H_Deemed,0,ATQ87+1),ATQ87)</f>
        <v>7</v>
      </c>
      <c r="ATR88" s="20" t="n">
        <f aca="false">IF(AND(H_Direct=0,H_TaxEvt=1),IF(ATR87+1&gt;=H_Deemed,0,ATR87+1),ATR87)</f>
        <v>6</v>
      </c>
      <c r="ATS88" s="20" t="n">
        <f aca="false">IF(AND(H_Direct=0,H_TaxEvt=1),IF(ATS87+1&gt;=H_Deemed,0,ATS87+1),ATS87)</f>
        <v>5</v>
      </c>
      <c r="ATT88" s="20" t="n">
        <f aca="false">IF(AND(H_Direct=0,H_TaxEvt=1),IF(ATT87+1&gt;=H_Deemed,0,ATT87+1),ATT87)</f>
        <v>4</v>
      </c>
      <c r="ATU88" s="20" t="n">
        <f aca="false">IF(AND(H_Direct=0,H_TaxEvt=1),IF(ATU87+1&gt;=H_Deemed,0,ATU87+1),ATU87)</f>
        <v>3</v>
      </c>
      <c r="ATV88" s="20" t="n">
        <f aca="false">IF(AND(H_Direct=0,H_TaxEvt=1),IF(ATV87+1&gt;=H_Deemed,0,ATV87+1),ATV87)</f>
        <v>2</v>
      </c>
      <c r="ATW88" s="20" t="n">
        <f aca="false">IF(AND(H_Direct=0,H_TaxEvt=1),IF(ATW87+1&gt;=H_Deemed,0,ATW87+1),ATW87)</f>
        <v>1</v>
      </c>
      <c r="ATX88" s="20" t="n">
        <f aca="false">IF(AND(H_Direct=0,H_TaxEvt=1),IF(ATX87+1&gt;=H_Deemed,0,ATX87+1),ATX87)</f>
        <v>0</v>
      </c>
      <c r="ATY88" s="20" t="n">
        <f aca="false">IF(AND(H_Direct=0,H_TaxEvt=1),IF(ATY87+1&gt;=H_Deemed,0,ATY87+1),ATY87)</f>
        <v>7</v>
      </c>
      <c r="ATZ88" s="20" t="n">
        <f aca="false">IF(AND(H_Direct=0,H_TaxEvt=1),IF(ATZ87+1&gt;=H_Deemed,0,ATZ87+1),ATZ87)</f>
        <v>6</v>
      </c>
      <c r="AUA88" s="20" t="n">
        <f aca="false">IF(AND(H_Direct=0,H_TaxEvt=1),IF(AUA87+1&gt;=H_Deemed,0,AUA87+1),AUA87)</f>
        <v>5</v>
      </c>
      <c r="AUB88" s="20" t="n">
        <f aca="false">IF(AND(H_Direct=0,H_TaxEvt=1),IF(AUB87+1&gt;=H_Deemed,0,AUB87+1),AUB87)</f>
        <v>4</v>
      </c>
      <c r="AUC88" s="20" t="n">
        <f aca="false">IF(AND(H_Direct=0,H_TaxEvt=1),IF(AUC87+1&gt;=H_Deemed,0,AUC87+1),AUC87)</f>
        <v>3</v>
      </c>
      <c r="AUD88" s="20" t="n">
        <f aca="false">IF(AND(H_Direct=0,H_TaxEvt=1),IF(AUD87+1&gt;=H_Deemed,0,AUD87+1),AUD87)</f>
        <v>2</v>
      </c>
      <c r="AUE88" s="20" t="n">
        <f aca="false">IF(AND(H_Direct=0,H_TaxEvt=1),IF(AUE87+1&gt;=H_Deemed,0,AUE87+1),AUE87)</f>
        <v>1</v>
      </c>
      <c r="AUF88" s="20" t="n">
        <f aca="false">IF(AND(H_Direct=0,H_TaxEvt=1),IF(AUF87+1&gt;=H_Deemed,0,AUF87+1),AUF87)</f>
        <v>0</v>
      </c>
      <c r="AUG88" s="20" t="n">
        <f aca="false">IF(AND(H_Direct=0,H_TaxEvt=1),IF(AUG87+1&gt;=H_Deemed,0,AUG87+1),AUG87)</f>
        <v>7</v>
      </c>
      <c r="AUH88" s="20" t="n">
        <f aca="false">IF(AND(H_Direct=0,H_TaxEvt=1),IF(AUH87+1&gt;=H_Deemed,0,AUH87+1),AUH87)</f>
        <v>6</v>
      </c>
      <c r="AUI88" s="20" t="n">
        <f aca="false">IF(AND(H_Direct=0,H_TaxEvt=1),IF(AUI87+1&gt;=H_Deemed,0,AUI87+1),AUI87)</f>
        <v>5</v>
      </c>
      <c r="AUJ88" s="20" t="n">
        <f aca="false">IF(AND(H_Direct=0,H_TaxEvt=1),IF(AUJ87+1&gt;=H_Deemed,0,AUJ87+1),AUJ87)</f>
        <v>4</v>
      </c>
      <c r="AUK88" s="20" t="n">
        <f aca="false">IF(AND(H_Direct=0,H_TaxEvt=1),IF(AUK87+1&gt;=H_Deemed,0,AUK87+1),AUK87)</f>
        <v>3</v>
      </c>
      <c r="AUL88" s="20" t="n">
        <f aca="false">IF(AND(H_Direct=0,H_TaxEvt=1),IF(AUL87+1&gt;=H_Deemed,0,AUL87+1),AUL87)</f>
        <v>2</v>
      </c>
      <c r="AUM88" s="20" t="n">
        <f aca="false">IF(AND(H_Direct=0,H_TaxEvt=1),IF(AUM87+1&gt;=H_Deemed,0,AUM87+1),AUM87)</f>
        <v>1</v>
      </c>
      <c r="AUN88" s="20" t="n">
        <f aca="false">IF(AND(H_Direct=0,H_TaxEvt=1),IF(AUN87+1&gt;=H_Deemed,0,AUN87+1),AUN87)</f>
        <v>0</v>
      </c>
      <c r="AUO88" s="20" t="n">
        <f aca="false">IF(AND(H_Direct=0,H_TaxEvt=1),IF(AUO87+1&gt;=H_Deemed,0,AUO87+1),AUO87)</f>
        <v>7</v>
      </c>
      <c r="AUP88" s="20" t="n">
        <f aca="false">IF(AND(H_Direct=0,H_TaxEvt=1),IF(AUP87+1&gt;=H_Deemed,0,AUP87+1),AUP87)</f>
        <v>6</v>
      </c>
      <c r="AUQ88" s="20" t="n">
        <f aca="false">IF(AND(H_Direct=0,H_TaxEvt=1),IF(AUQ87+1&gt;=H_Deemed,0,AUQ87+1),AUQ87)</f>
        <v>5</v>
      </c>
      <c r="AUR88" s="20" t="n">
        <f aca="false">IF(AND(H_Direct=0,H_TaxEvt=1),IF(AUR87+1&gt;=H_Deemed,0,AUR87+1),AUR87)</f>
        <v>4</v>
      </c>
      <c r="AUS88" s="20" t="n">
        <f aca="false">IF(AND(H_Direct=0,H_TaxEvt=1),IF(AUS87+1&gt;=H_Deemed,0,AUS87+1),AUS87)</f>
        <v>3</v>
      </c>
      <c r="AUT88" s="20" t="n">
        <f aca="false">IF(AND(H_Direct=0,H_TaxEvt=1),IF(AUT87+1&gt;=H_Deemed,0,AUT87+1),AUT87)</f>
        <v>2</v>
      </c>
      <c r="AUU88" s="20" t="n">
        <f aca="false">IF(AND(H_Direct=0,H_TaxEvt=1),IF(0+1&gt;=H_Deemed,0,0+1),0)</f>
        <v>1</v>
      </c>
      <c r="AUV88" s="20" t="n">
        <v>0</v>
      </c>
      <c r="AUW88" s="20" t="n">
        <v>0</v>
      </c>
      <c r="AUX88" s="20" t="n">
        <v>0</v>
      </c>
      <c r="AUY88" s="20" t="n">
        <v>0</v>
      </c>
      <c r="AUZ88" s="20" t="n">
        <v>0</v>
      </c>
      <c r="AVA88" s="20" t="n">
        <v>0</v>
      </c>
      <c r="AVB88" s="20" t="n">
        <v>0</v>
      </c>
      <c r="AVC88" s="20" t="n">
        <v>0</v>
      </c>
      <c r="AVD88" s="20" t="n">
        <v>0</v>
      </c>
      <c r="AVE88" s="20" t="n">
        <f aca="false">IF(AND(H_Direct=0,H_TaxEvt=1,ARR87+1&gt;=H_Deemed),MAX(0,ADR88-AHE88)*H_Exit,0)</f>
        <v>0</v>
      </c>
      <c r="AVF88" s="20" t="n">
        <f aca="false">IF(AND(H_Direct=0,H_TaxEvt=1,ARS87+1&gt;=H_Deemed),MAX(0,ADS88-AHF88)*H_Exit,0)</f>
        <v>0</v>
      </c>
      <c r="AVG88" s="20" t="n">
        <f aca="false">IF(AND(H_Direct=0,H_TaxEvt=1,ART87+1&gt;=H_Deemed),MAX(0,ADT88-AHG88)*H_Exit,0)</f>
        <v>0</v>
      </c>
      <c r="AVH88" s="20" t="n">
        <f aca="false">IF(AND(H_Direct=0,H_TaxEvt=1,ARU87+1&gt;=H_Deemed),MAX(0,ADU88-AHH88)*H_Exit,0)</f>
        <v>0</v>
      </c>
      <c r="AVI88" s="20" t="n">
        <f aca="false">IF(AND(H_Direct=0,H_TaxEvt=1,ARV87+1&gt;=H_Deemed),MAX(0,ADV88-AHI88)*H_Exit,0)</f>
        <v>0</v>
      </c>
      <c r="AVJ88" s="20" t="n">
        <f aca="false">IF(AND(H_Direct=0,H_TaxEvt=1,ARW87+1&gt;=H_Deemed),MAX(0,ADW88-AHJ88)*H_Exit,0)</f>
        <v>0</v>
      </c>
      <c r="AVK88" s="20" t="n">
        <f aca="false">IF(AND(H_Direct=0,H_TaxEvt=1,ARX87+1&gt;=H_Deemed),MAX(0,ADX88-AHK88)*H_Exit,0)</f>
        <v>0</v>
      </c>
      <c r="AVL88" s="20" t="n">
        <f aca="false">IF(AND(H_Direct=0,H_TaxEvt=1,ARY87+1&gt;=H_Deemed),MAX(0,ADY88-AHL88)*H_Exit,0)</f>
        <v>0</v>
      </c>
      <c r="AVM88" s="20" t="n">
        <f aca="false">IF(AND(H_Direct=0,H_TaxEvt=1,ARZ87+1&gt;=H_Deemed),MAX(0,ADZ88-AHM88)*H_Exit,0)</f>
        <v>0</v>
      </c>
      <c r="AVN88" s="20" t="n">
        <f aca="false">IF(AND(H_Direct=0,H_TaxEvt=1,ASA87+1&gt;=H_Deemed),MAX(0,AEA88-AHN88)*H_Exit,0)</f>
        <v>0</v>
      </c>
      <c r="AVO88" s="20" t="n">
        <f aca="false">IF(AND(H_Direct=0,H_TaxEvt=1,ASB87+1&gt;=H_Deemed),MAX(0,AEB88-AHO88)*H_Exit,0)</f>
        <v>0</v>
      </c>
      <c r="AVP88" s="20" t="n">
        <f aca="false">IF(AND(H_Direct=0,H_TaxEvt=1,ASC87+1&gt;=H_Deemed),MAX(0,AEC88-AHP88)*H_Exit,0)</f>
        <v>0</v>
      </c>
      <c r="AVQ88" s="20" t="n">
        <f aca="false">IF(AND(H_Direct=0,H_TaxEvt=1,ASD87+1&gt;=H_Deemed),MAX(0,AED88-AHQ88)*H_Exit,0)</f>
        <v>0</v>
      </c>
      <c r="AVR88" s="20" t="n">
        <f aca="false">IF(AND(H_Direct=0,H_TaxEvt=1,ASE87+1&gt;=H_Deemed),MAX(0,AEE88-AHR88)*H_Exit,0)</f>
        <v>0</v>
      </c>
      <c r="AVS88" s="20" t="n">
        <f aca="false">IF(AND(H_Direct=0,H_TaxEvt=1,ASF87+1&gt;=H_Deemed),MAX(0,AEF88-AHS88)*H_Exit,0)</f>
        <v>0</v>
      </c>
      <c r="AVT88" s="20" t="n">
        <f aca="false">IF(AND(H_Direct=0,H_TaxEvt=1,ASG87+1&gt;=H_Deemed),MAX(0,AEG88-AHT88)*H_Exit,0)</f>
        <v>0</v>
      </c>
      <c r="AVU88" s="20" t="n">
        <f aca="false">IF(AND(H_Direct=0,H_TaxEvt=1,ASH87+1&gt;=H_Deemed),MAX(0,AEH88-AHU88)*H_Exit,0)</f>
        <v>0</v>
      </c>
      <c r="AVV88" s="20" t="n">
        <f aca="false">IF(AND(H_Direct=0,H_TaxEvt=1,ASI87+1&gt;=H_Deemed),MAX(0,AEI88-AHV88)*H_Exit,0)</f>
        <v>0</v>
      </c>
      <c r="AVW88" s="20" t="n">
        <f aca="false">IF(AND(H_Direct=0,H_TaxEvt=1,ASJ87+1&gt;=H_Deemed),MAX(0,AEJ88-AHW88)*H_Exit,0)</f>
        <v>0</v>
      </c>
      <c r="AVX88" s="20" t="n">
        <f aca="false">IF(AND(H_Direct=0,H_TaxEvt=1,ASK87+1&gt;=H_Deemed),MAX(0,AEK88-AHX88)*H_Exit,0)</f>
        <v>0</v>
      </c>
      <c r="AVY88" s="20" t="n">
        <f aca="false">IF(AND(H_Direct=0,H_TaxEvt=1,ASL87+1&gt;=H_Deemed),MAX(0,AEL88-AHY88)*H_Exit,0)</f>
        <v>0</v>
      </c>
      <c r="AVZ88" s="20" t="n">
        <f aca="false">IF(AND(H_Direct=0,H_TaxEvt=1,ASM87+1&gt;=H_Deemed),MAX(0,AEM88-AHZ88)*H_Exit,0)</f>
        <v>0</v>
      </c>
      <c r="AWA88" s="20" t="n">
        <f aca="false">IF(AND(H_Direct=0,H_TaxEvt=1,ASN87+1&gt;=H_Deemed),MAX(0,AEN88-AIA88)*H_Exit,0)</f>
        <v>0</v>
      </c>
      <c r="AWB88" s="20" t="n">
        <f aca="false">IF(AND(H_Direct=0,H_TaxEvt=1,ASO87+1&gt;=H_Deemed),MAX(0,AEO88-AIB88)*H_Exit,0)</f>
        <v>0</v>
      </c>
      <c r="AWC88" s="20" t="n">
        <f aca="false">IF(AND(H_Direct=0,H_TaxEvt=1,ASP87+1&gt;=H_Deemed),MAX(0,AEP88-AIC88)*H_Exit,0)</f>
        <v>0</v>
      </c>
      <c r="AWD88" s="20" t="n">
        <f aca="false">IF(AND(H_Direct=0,H_TaxEvt=1,ASQ87+1&gt;=H_Deemed),MAX(0,AEQ88-AID88)*H_Exit,0)</f>
        <v>0</v>
      </c>
      <c r="AWE88" s="20" t="n">
        <f aca="false">IF(AND(H_Direct=0,H_TaxEvt=1,ASR87+1&gt;=H_Deemed),MAX(0,AER88-AIE88)*H_Exit,0)</f>
        <v>0</v>
      </c>
      <c r="AWF88" s="20" t="n">
        <f aca="false">IF(AND(H_Direct=0,H_TaxEvt=1,ASS87+1&gt;=H_Deemed),MAX(0,AES88-AIF88)*H_Exit,0)</f>
        <v>0</v>
      </c>
      <c r="AWG88" s="20" t="n">
        <f aca="false">IF(AND(H_Direct=0,H_TaxEvt=1,AST87+1&gt;=H_Deemed),MAX(0,AET88-AIG88)*H_Exit,0)</f>
        <v>0</v>
      </c>
      <c r="AWH88" s="20" t="n">
        <f aca="false">IF(AND(H_Direct=0,H_TaxEvt=1,ASU87+1&gt;=H_Deemed),MAX(0,AEU88-AIH88)*H_Exit,0)</f>
        <v>0</v>
      </c>
      <c r="AWI88" s="20" t="n">
        <f aca="false">IF(AND(H_Direct=0,H_TaxEvt=1,ASV87+1&gt;=H_Deemed),MAX(0,AEV88-AII88)*H_Exit,0)</f>
        <v>0</v>
      </c>
      <c r="AWJ88" s="20" t="n">
        <f aca="false">IF(AND(H_Direct=0,H_TaxEvt=1,ASW87+1&gt;=H_Deemed),MAX(0,AEW88-AIJ88)*H_Exit,0)</f>
        <v>0</v>
      </c>
      <c r="AWK88" s="20" t="n">
        <f aca="false">IF(AND(H_Direct=0,H_TaxEvt=1,ASX87+1&gt;=H_Deemed),MAX(0,AEX88-AIK88)*H_Exit,0)</f>
        <v>0</v>
      </c>
      <c r="AWL88" s="20" t="n">
        <f aca="false">IF(AND(H_Direct=0,H_TaxEvt=1,ASY87+1&gt;=H_Deemed),MAX(0,AEY88-AIL88)*H_Exit,0)</f>
        <v>0</v>
      </c>
      <c r="AWM88" s="20" t="n">
        <f aca="false">IF(AND(H_Direct=0,H_TaxEvt=1,ASZ87+1&gt;=H_Deemed),MAX(0,AEZ88-AIM88)*H_Exit,0)</f>
        <v>0</v>
      </c>
      <c r="AWN88" s="20" t="n">
        <f aca="false">IF(AND(H_Direct=0,H_TaxEvt=1,ATA87+1&gt;=H_Deemed),MAX(0,AFA88-AIN88)*H_Exit,0)</f>
        <v>0</v>
      </c>
      <c r="AWO88" s="20" t="n">
        <f aca="false">IF(AND(H_Direct=0,H_TaxEvt=1,ATB87+1&gt;=H_Deemed),MAX(0,AFB88-AIO88)*H_Exit,0)</f>
        <v>0</v>
      </c>
      <c r="AWP88" s="20" t="n">
        <f aca="false">IF(AND(H_Direct=0,H_TaxEvt=1,ATC87+1&gt;=H_Deemed),MAX(0,AFC88-AIP88)*H_Exit,0)</f>
        <v>0</v>
      </c>
      <c r="AWQ88" s="20" t="n">
        <f aca="false">IF(AND(H_Direct=0,H_TaxEvt=1,ATD87+1&gt;=H_Deemed),MAX(0,AFD88-AIQ88)*H_Exit,0)</f>
        <v>0</v>
      </c>
      <c r="AWR88" s="20" t="n">
        <f aca="false">IF(AND(H_Direct=0,H_TaxEvt=1,ATE87+1&gt;=H_Deemed),MAX(0,AFE88-AIR88)*H_Exit,0)</f>
        <v>0</v>
      </c>
      <c r="AWS88" s="20" t="n">
        <f aca="false">IF(AND(H_Direct=0,H_TaxEvt=1,ATF87+1&gt;=H_Deemed),MAX(0,AFF88-AIS88)*H_Exit,0)</f>
        <v>0</v>
      </c>
      <c r="AWT88" s="20" t="n">
        <f aca="false">IF(AND(H_Direct=0,H_TaxEvt=1,ATG87+1&gt;=H_Deemed),MAX(0,AFG88-AIT88)*H_Exit,0)</f>
        <v>0</v>
      </c>
      <c r="AWU88" s="20" t="n">
        <f aca="false">IF(AND(H_Direct=0,H_TaxEvt=1,ATH87+1&gt;=H_Deemed),MAX(0,AFH88-AIU88)*H_Exit,0)</f>
        <v>0</v>
      </c>
      <c r="AWV88" s="20" t="n">
        <f aca="false">IF(AND(H_Direct=0,H_TaxEvt=1,ATI87+1&gt;=H_Deemed),MAX(0,AFI88-AIV88)*H_Exit,0)</f>
        <v>0</v>
      </c>
      <c r="AWW88" s="20" t="n">
        <f aca="false">IF(AND(H_Direct=0,H_TaxEvt=1,ATJ87+1&gt;=H_Deemed),MAX(0,AFJ88-AIW88)*H_Exit,0)</f>
        <v>0</v>
      </c>
      <c r="AWX88" s="20" t="n">
        <f aca="false">IF(AND(H_Direct=0,H_TaxEvt=1,ATK87+1&gt;=H_Deemed),MAX(0,AFK88-AIX88)*H_Exit,0)</f>
        <v>0</v>
      </c>
      <c r="AWY88" s="20" t="n">
        <f aca="false">IF(AND(H_Direct=0,H_TaxEvt=1,ATL87+1&gt;=H_Deemed),MAX(0,AFL88-AIY88)*H_Exit,0)</f>
        <v>0</v>
      </c>
      <c r="AWZ88" s="20" t="n">
        <f aca="false">IF(AND(H_Direct=0,H_TaxEvt=1,ATM87+1&gt;=H_Deemed),MAX(0,AFM88-AIZ88)*H_Exit,0)</f>
        <v>0</v>
      </c>
      <c r="AXA88" s="20" t="n">
        <f aca="false">IF(AND(H_Direct=0,H_TaxEvt=1,ATN87+1&gt;=H_Deemed),MAX(0,AFN88-AJA88)*H_Exit,0)</f>
        <v>0</v>
      </c>
      <c r="AXB88" s="20" t="n">
        <f aca="false">IF(AND(H_Direct=0,H_TaxEvt=1,ATO87+1&gt;=H_Deemed),MAX(0,AFO88-AJB88)*H_Exit,0)</f>
        <v>0</v>
      </c>
      <c r="AXC88" s="20" t="n">
        <f aca="false">IF(AND(H_Direct=0,H_TaxEvt=1,ATP87+1&gt;=H_Deemed),MAX(0,AFP88-AJC88)*H_Exit,0)</f>
        <v>0</v>
      </c>
      <c r="AXD88" s="20" t="n">
        <f aca="false">IF(AND(H_Direct=0,H_TaxEvt=1,ATQ87+1&gt;=H_Deemed),MAX(0,AFQ88-AJD88)*H_Exit,0)</f>
        <v>0</v>
      </c>
      <c r="AXE88" s="20" t="n">
        <f aca="false">IF(AND(H_Direct=0,H_TaxEvt=1,ATR87+1&gt;=H_Deemed),MAX(0,AFR88-AJE88)*H_Exit,0)</f>
        <v>0</v>
      </c>
      <c r="AXF88" s="20" t="n">
        <f aca="false">IF(AND(H_Direct=0,H_TaxEvt=1,ATS87+1&gt;=H_Deemed),MAX(0,AFS88-AJF88)*H_Exit,0)</f>
        <v>0</v>
      </c>
      <c r="AXG88" s="20" t="n">
        <f aca="false">IF(AND(H_Direct=0,H_TaxEvt=1,ATT87+1&gt;=H_Deemed),MAX(0,AFT88-AJG88)*H_Exit,0)</f>
        <v>0</v>
      </c>
      <c r="AXH88" s="20" t="n">
        <f aca="false">IF(AND(H_Direct=0,H_TaxEvt=1,ATU87+1&gt;=H_Deemed),MAX(0,AFU88-AJH88)*H_Exit,0)</f>
        <v>0</v>
      </c>
      <c r="AXI88" s="20" t="n">
        <f aca="false">IF(AND(H_Direct=0,H_TaxEvt=1,ATV87+1&gt;=H_Deemed),MAX(0,AFV88-AJI88)*H_Exit,0)</f>
        <v>0</v>
      </c>
      <c r="AXJ88" s="20" t="n">
        <f aca="false">IF(AND(H_Direct=0,H_TaxEvt=1,ATW87+1&gt;=H_Deemed),MAX(0,AFW88-AJJ88)*H_Exit,0)</f>
        <v>0</v>
      </c>
      <c r="AXK88" s="20" t="n">
        <f aca="false">IF(AND(H_Direct=0,H_TaxEvt=1,ATX87+1&gt;=H_Deemed),MAX(0,AFX88-AJK88)*H_Exit,0)</f>
        <v>0</v>
      </c>
      <c r="AXL88" s="20" t="n">
        <f aca="false">IF(AND(H_Direct=0,H_TaxEvt=1,ATY87+1&gt;=H_Deemed),MAX(0,AFY88-AJL88)*H_Exit,0)</f>
        <v>0</v>
      </c>
      <c r="AXM88" s="20" t="n">
        <f aca="false">IF(AND(H_Direct=0,H_TaxEvt=1,ATZ87+1&gt;=H_Deemed),MAX(0,AFZ88-AJM88)*H_Exit,0)</f>
        <v>0</v>
      </c>
      <c r="AXN88" s="20" t="n">
        <f aca="false">IF(AND(H_Direct=0,H_TaxEvt=1,AUA87+1&gt;=H_Deemed),MAX(0,AGA88-AJN88)*H_Exit,0)</f>
        <v>0</v>
      </c>
      <c r="AXO88" s="20" t="n">
        <f aca="false">IF(AND(H_Direct=0,H_TaxEvt=1,AUB87+1&gt;=H_Deemed),MAX(0,AGB88-AJO88)*H_Exit,0)</f>
        <v>0</v>
      </c>
      <c r="AXP88" s="20" t="n">
        <f aca="false">IF(AND(H_Direct=0,H_TaxEvt=1,AUC87+1&gt;=H_Deemed),MAX(0,AGC88-AJP88)*H_Exit,0)</f>
        <v>0</v>
      </c>
      <c r="AXQ88" s="20" t="n">
        <f aca="false">IF(AND(H_Direct=0,H_TaxEvt=1,AUD87+1&gt;=H_Deemed),MAX(0,AGD88-AJQ88)*H_Exit,0)</f>
        <v>0</v>
      </c>
      <c r="AXR88" s="20" t="n">
        <f aca="false">IF(AND(H_Direct=0,H_TaxEvt=1,AUE87+1&gt;=H_Deemed),MAX(0,AGE88-AJR88)*H_Exit,0)</f>
        <v>0</v>
      </c>
      <c r="AXS88" s="20" t="n">
        <f aca="false">IF(AND(H_Direct=0,H_TaxEvt=1,AUF87+1&gt;=H_Deemed),MAX(0,AGF88-AJS88)*H_Exit,0)</f>
        <v>0</v>
      </c>
      <c r="AXT88" s="20" t="n">
        <f aca="false">IF(AND(H_Direct=0,H_TaxEvt=1,AUG87+1&gt;=H_Deemed),MAX(0,AGG88-AJT88)*H_Exit,0)</f>
        <v>0</v>
      </c>
      <c r="AXU88" s="20" t="n">
        <f aca="false">IF(AND(H_Direct=0,H_TaxEvt=1,AUH87+1&gt;=H_Deemed),MAX(0,AGH88-AJU88)*H_Exit,0)</f>
        <v>0</v>
      </c>
      <c r="AXV88" s="20" t="n">
        <f aca="false">IF(AND(H_Direct=0,H_TaxEvt=1,AUI87+1&gt;=H_Deemed),MAX(0,AGI88-AJV88)*H_Exit,0)</f>
        <v>0</v>
      </c>
      <c r="AXW88" s="20" t="n">
        <f aca="false">IF(AND(H_Direct=0,H_TaxEvt=1,AUJ87+1&gt;=H_Deemed),MAX(0,AGJ88-AJW88)*H_Exit,0)</f>
        <v>0</v>
      </c>
      <c r="AXX88" s="20" t="n">
        <f aca="false">IF(AND(H_Direct=0,H_TaxEvt=1,AUK87+1&gt;=H_Deemed),MAX(0,AGK88-AJX88)*H_Exit,0)</f>
        <v>0</v>
      </c>
      <c r="AXY88" s="20" t="n">
        <f aca="false">IF(AND(H_Direct=0,H_TaxEvt=1,AUL87+1&gt;=H_Deemed),MAX(0,AGL88-AJY88)*H_Exit,0)</f>
        <v>0</v>
      </c>
      <c r="AXZ88" s="20" t="n">
        <f aca="false">IF(AND(H_Direct=0,H_TaxEvt=1,AUM87+1&gt;=H_Deemed),MAX(0,AGM88-AJZ88)*H_Exit,0)</f>
        <v>0</v>
      </c>
      <c r="AYA88" s="20" t="n">
        <f aca="false">IF(AND(H_Direct=0,H_TaxEvt=1,AUN87+1&gt;=H_Deemed),MAX(0,AGN88-AKA88)*H_Exit,0)</f>
        <v>0</v>
      </c>
      <c r="AYB88" s="20" t="n">
        <f aca="false">IF(AND(H_Direct=0,H_TaxEvt=1,AUO87+1&gt;=H_Deemed),MAX(0,AGO88-AKB88)*H_Exit,0)</f>
        <v>0</v>
      </c>
      <c r="AYC88" s="20" t="n">
        <f aca="false">IF(AND(H_Direct=0,H_TaxEvt=1,AUP87+1&gt;=H_Deemed),MAX(0,AGP88-AKC88)*H_Exit,0)</f>
        <v>0</v>
      </c>
      <c r="AYD88" s="20" t="n">
        <f aca="false">IF(AND(H_Direct=0,H_TaxEvt=1,AUQ87+1&gt;=H_Deemed),MAX(0,AGQ88-AKD88)*H_Exit,0)</f>
        <v>0</v>
      </c>
      <c r="AYE88" s="20" t="n">
        <f aca="false">IF(AND(H_Direct=0,H_TaxEvt=1,AUR87+1&gt;=H_Deemed),MAX(0,AGR88-AKE88)*H_Exit,0)</f>
        <v>0</v>
      </c>
      <c r="AYF88" s="20" t="n">
        <f aca="false">IF(AND(H_Direct=0,H_TaxEvt=1,AUS87+1&gt;=H_Deemed),MAX(0,AGS88-AKF88)*H_Exit,0)</f>
        <v>0</v>
      </c>
      <c r="AYG88" s="20" t="n">
        <f aca="false">IF(AND(H_Direct=0,H_TaxEvt=1,AUT87+1&gt;=H_Deemed),MAX(0,AGT88-AKG88)*H_Exit,0)</f>
        <v>0</v>
      </c>
      <c r="AYH88" s="20" t="n">
        <f aca="false">IF(AND(H_Direct=0,H_TaxEvt=1,0+1&gt;=H_Deemed),MAX(0,AGU88-AKH88)*H_Exit,0)</f>
        <v>0</v>
      </c>
      <c r="AYI88" s="20" t="n">
        <v>0</v>
      </c>
      <c r="AYJ88" s="20" t="n">
        <v>0</v>
      </c>
      <c r="AYK88" s="20" t="n">
        <v>0</v>
      </c>
      <c r="AYL88" s="20" t="n">
        <v>0</v>
      </c>
      <c r="AYM88" s="20" t="n">
        <v>0</v>
      </c>
      <c r="AYN88" s="20" t="n">
        <v>0</v>
      </c>
      <c r="AYO88" s="20" t="n">
        <v>0</v>
      </c>
      <c r="AYP88" s="20" t="n">
        <v>0</v>
      </c>
      <c r="AYQ88" s="20" t="n">
        <v>0</v>
      </c>
    </row>
    <row r="89" customFormat="false" ht="15" hidden="false" customHeight="false" outlineLevel="0" collapsed="false">
      <c r="B89" s="20" t="n">
        <v>81</v>
      </c>
      <c r="C89" s="20" t="n">
        <f aca="false">'Plan cashflow'!C89</f>
        <v>0</v>
      </c>
      <c r="D89" s="20" t="n">
        <f aca="false">'Plan cashflow'!D89</f>
        <v>119</v>
      </c>
      <c r="E89" s="20" t="n">
        <f aca="false">AS_Year0+81</f>
        <v>2107</v>
      </c>
      <c r="F89" s="50" t="n">
        <f aca="false">'Plan cashflow'!F89</f>
        <v>4.97294793921833</v>
      </c>
      <c r="G89" s="59" t="n">
        <f aca="true">IF(MAX(TODAY(),DATE(E89,1,1))&gt;=H_CGTfrom,H_CGT1,H_CGT0)</f>
        <v>0.31</v>
      </c>
      <c r="H89" s="20" t="n">
        <f aca="false">H_Exempt*H_Persons</f>
        <v>1270</v>
      </c>
      <c r="I89" s="20" t="n">
        <f aca="false">AX88</f>
        <v>0</v>
      </c>
      <c r="J89" s="60" t="n">
        <f aca="false">BF88</f>
        <v>0</v>
      </c>
      <c r="K89" s="60" t="n">
        <f aca="false">BG88</f>
        <v>0</v>
      </c>
      <c r="L89" s="20" t="n">
        <f aca="false">IF(AND(In_polLump&gt;0,In_polLumpAge&gt;0,D89=In_polLumpAge),In_polLump,0)</f>
        <v>0</v>
      </c>
      <c r="M89" s="20" t="n">
        <f aca="false">IF(AND(In_homeUse="Yes, I'd downsize",In_downAge&gt;0,D89=In_downAge,OR(In_home="Own outright",In_home="Own with mortgage"),In_homeValue&gt;0),MAX(0,MAX(0,In_homeValue-In_downValue)*F89*0.9-'Plan cashflow'!HR88),0)</f>
        <v>0</v>
      </c>
      <c r="N89" s="20" t="n">
        <f aca="false">'Plan pay &amp; tax'!Y315</f>
        <v>0</v>
      </c>
      <c r="O89" s="20" t="n">
        <f aca="false">L89+M89+(1-H_Sh)*N89</f>
        <v>0</v>
      </c>
      <c r="P89" s="20" t="n">
        <f aca="false">H_Sh*N89</f>
        <v>0</v>
      </c>
      <c r="Q89" s="20" t="n">
        <f aca="false">'Plan cashflow'!UL89</f>
        <v>0</v>
      </c>
      <c r="R89" s="20" t="n">
        <f aca="false">(1-H_Sh)*Q89</f>
        <v>0</v>
      </c>
      <c r="S89" s="20" t="n">
        <f aca="false">H_Sh*Q89</f>
        <v>0</v>
      </c>
      <c r="T89" s="20" t="n">
        <f aca="false">J89+K89+O89</f>
        <v>0</v>
      </c>
      <c r="U89" s="20" t="n">
        <f aca="false">T89+R89</f>
        <v>0</v>
      </c>
      <c r="V89" s="60" t="n">
        <f aca="false">SUM(FE89:IQ89)</f>
        <v>0</v>
      </c>
      <c r="W89" s="60" t="n">
        <f aca="false">IF(AJ89&lt;=0,0,IF(AL89&lt;=0,AJ89,AJ89-G89*MAX(0,AL89*AJ89-(AY89+AZ89))))</f>
        <v>0</v>
      </c>
      <c r="X89" s="60" t="n">
        <f aca="false">IF(AR89&lt;=0,0,IF(AT89&lt;=0,AR89,AR89-G89*MAX(0,AT89*AR89-(BA89+BB89))))</f>
        <v>0</v>
      </c>
      <c r="Y89" s="60" t="n">
        <f aca="false">T89+V89-S89+W89+X89</f>
        <v>0</v>
      </c>
      <c r="Z89" s="60" t="n">
        <f aca="false">'Plan cashflow'!UK89</f>
        <v>0</v>
      </c>
      <c r="AA89" s="20" t="n">
        <f aca="false">MIN(Z89,U89)</f>
        <v>0</v>
      </c>
      <c r="AB89" s="20" t="n">
        <f aca="false">Z89-AA89</f>
        <v>0</v>
      </c>
      <c r="AC89" s="20" t="n">
        <f aca="false">MIN(AA89,J89+O89+R89)</f>
        <v>0</v>
      </c>
      <c r="AD89" s="20" t="n">
        <f aca="false">AA89-AC89</f>
        <v>0</v>
      </c>
      <c r="AE89" s="20" t="n">
        <f aca="false">J89+O89+R89-AC89</f>
        <v>0</v>
      </c>
      <c r="AF89" s="20" t="n">
        <f aca="false">K89-AD89</f>
        <v>0</v>
      </c>
      <c r="AG89" s="20" t="n">
        <f aca="false">SUM(PR89:TD89)</f>
        <v>0</v>
      </c>
      <c r="AH89" s="20" t="n">
        <f aca="false">SUM(TE89:WQ89)</f>
        <v>0</v>
      </c>
      <c r="AI89" s="20" t="n">
        <f aca="false">MAX(0,AB89-AG89)</f>
        <v>0</v>
      </c>
      <c r="AJ89" s="57" t="n">
        <f aca="false">BI88</f>
        <v>0</v>
      </c>
      <c r="AK89" s="20" t="n">
        <f aca="false">BJ88</f>
        <v>0</v>
      </c>
      <c r="AL89" s="20" t="n">
        <f aca="false">IF(AJ89&gt;0,(AJ89-AK89)/AJ89,0)</f>
        <v>0</v>
      </c>
      <c r="AM89" s="20" t="n">
        <f aca="false">IF(AJ89&lt;=0,0,IF(AL89&lt;=0,MIN(AI89,AJ89),MIN(AI89,AJ89-G89*MAX(0,AL89*AJ89-(AAD89+ADQ89)))))</f>
        <v>0</v>
      </c>
      <c r="AN89" s="20" t="n">
        <f aca="false">IF(AJ89&lt;=0,0,IF(AL89&lt;=0,AM89,IF(AM89&lt;=(AAD89+ADQ89)/AL89,AM89,(AM89-G89*(AAD89+ADQ89))/(1-G89*AL89))))</f>
        <v>0</v>
      </c>
      <c r="AO89" s="20" t="n">
        <f aca="false">IF(AL89&gt;0,MAX(0,AAD89-(MIN(AL89*AN89,(AAD89+ADQ89))-MIN(MIN(AL89*AN89,(AAD89+ADQ89)),ADQ89))),AAD89)</f>
        <v>1270</v>
      </c>
      <c r="AP89" s="20" t="n">
        <f aca="false">IF(AL89&lt;=0,ADQ89-AL89*AN89,ADQ89-MIN(MIN(AL89*AN89,(AAD89+ADQ89)),ADQ89))</f>
        <v>0</v>
      </c>
      <c r="AQ89" s="20" t="n">
        <f aca="false">MAX(0,AI89-AM89)</f>
        <v>0</v>
      </c>
      <c r="AR89" s="57" t="n">
        <f aca="false">BK88</f>
        <v>0</v>
      </c>
      <c r="AS89" s="20" t="n">
        <f aca="false">BL88</f>
        <v>0</v>
      </c>
      <c r="AT89" s="20" t="n">
        <f aca="false">IF(AR89&gt;0,(AR89-AS89)/AR89,0)</f>
        <v>0</v>
      </c>
      <c r="AU89" s="20" t="n">
        <f aca="false">IF(AR89&lt;=0,0,IF(AT89&lt;=0,MIN(AQ89,AR89),MIN(AQ89,AR89-G89*MAX(0,AT89*AR89-(AO89+AP89)))))</f>
        <v>0</v>
      </c>
      <c r="AV89" s="20" t="n">
        <f aca="false">IF(AR89&lt;=0,0,IF(AT89&lt;=0,AU89,IF(AU89&lt;=(AO89+AP89)/AT89,AU89,(AU89-G89*(AO89+AP89))/(1-G89*AT89))))</f>
        <v>0</v>
      </c>
      <c r="AW89" s="20" t="n">
        <f aca="false">IF(AT89&gt;0,MAX(0,AO89-(MIN(AT89*AV89,(AO89+AP89))-MIN(MIN(AT89*AV89,(AO89+AP89)),AP89))),AO89)</f>
        <v>1270</v>
      </c>
      <c r="AX89" s="20" t="n">
        <f aca="false">IF(AT89&lt;=0,AP89-AT89*AV89,AP89-MIN(MIN(AT89*AV89,(AO89+AP89)),AP89))</f>
        <v>0</v>
      </c>
      <c r="AY89" s="20" t="n">
        <f aca="false">MD89</f>
        <v>1270</v>
      </c>
      <c r="AZ89" s="20" t="n">
        <f aca="false">PQ89</f>
        <v>0</v>
      </c>
      <c r="BA89" s="20" t="n">
        <f aca="false">IF(AL89&gt;0,MAX(0,AY89-(MIN(AL89*AJ89,AY89+AZ89)-MIN(MIN(AL89*AJ89,AY89+AZ89),AZ89))),AY89)</f>
        <v>1270</v>
      </c>
      <c r="BB89" s="20" t="n">
        <f aca="false">IF(AL89&lt;=0,AZ89-AL89*AJ89,AZ89-MIN(MIN(AL89*AJ89,AY89+AZ89),AZ89))</f>
        <v>0</v>
      </c>
      <c r="BC89" s="20" t="n">
        <f aca="false">'Plan cashflow'!UM89</f>
        <v>0</v>
      </c>
      <c r="BD89" s="20" t="n">
        <f aca="false">(1-H_Sh)*BC89</f>
        <v>0</v>
      </c>
      <c r="BE89" s="20" t="n">
        <f aca="false">H_Sh*BC89</f>
        <v>0</v>
      </c>
      <c r="BF89" s="60" t="n">
        <f aca="false">(AE89+BD89)*(1+AS_Cash)</f>
        <v>0</v>
      </c>
      <c r="BG89" s="60" t="n">
        <f aca="false">AF89*(1+AS_Cash)</f>
        <v>0</v>
      </c>
      <c r="BH89" s="60" t="n">
        <f aca="false">SUM(AKR89:AOD89)</f>
        <v>0</v>
      </c>
      <c r="BI89" s="60" t="n">
        <f aca="false">(AJ89-AN89)*(1+AS_Infl)</f>
        <v>0</v>
      </c>
      <c r="BJ89" s="20" t="n">
        <f aca="false">IF(AJ89&gt;0,AK89-AK89*AN89/AJ89,0)</f>
        <v>0</v>
      </c>
      <c r="BK89" s="60" t="n">
        <f aca="false">(AR89-AV89)*(1+BQ89)</f>
        <v>0</v>
      </c>
      <c r="BL89" s="20" t="n">
        <f aca="false">IF(AR89&gt;0,AS89-AS89*AV89/AR89,0)</f>
        <v>0</v>
      </c>
      <c r="BM89" s="60" t="n">
        <f aca="false">BF89+BG89+BH89+BI89+BK89</f>
        <v>0</v>
      </c>
      <c r="BN89" s="60" t="n">
        <f aca="false">(AH89-AG89)+(AN89-AM89)+(AV89-AU89)</f>
        <v>0</v>
      </c>
      <c r="BO89" s="20" t="n">
        <f aca="false">(AE89+BD89+AF89+MAX(0,'Plan cashflow'!QH89)+IF(Slot1_Rate=AS_Cash,'Plan cashflow'!QM89/(1+AS_Cash),0)+IF(Slot2_Rate=AS_Cash,'Plan cashflow'!QQ89/(1+AS_Cash),0)+IF(Slot3_Rate=AS_Cash,'Plan cashflow'!QU89/(1+AS_Cash),0)+IF(Slot4_Rate=AS_Cash,'Plan cashflow'!QY89/(1+AS_Cash),0)+IF(Slot5_Rate=AS_Cash,'Plan cashflow'!RC89/(1+AS_Cash),0)+IF(Slot6_Rate=AS_Cash,'Plan cashflow'!RG89/(1+AS_Cash),0)+IF(Slot7_Rate=AS_Cash,'Plan cashflow'!RK89/(1+AS_Cash),0)+IF(Slot8_Rate=AS_Cash,'Plan cashflow'!RO89/(1+AS_Cash),0)+IF(Slot9_Rate=AS_Cash,'Plan cashflow'!RS89/(1+AS_Cash),0)+IF(Slot10_Rate=AS_Cash,'Plan cashflow'!RW89/(1+AS_Cash),0)+IF(Slot11_Rate=AS_Cash,'Plan cashflow'!SA89/(1+AS_Cash),0)+IF(Slot12_Rate=AS_Cash,'Plan cashflow'!SE89/(1+AS_Cash),0)+IF(Slot13_Rate=AS_Cash,'Plan cashflow'!SI89/(1+AS_Cash),0)+IF(Slot14_Rate=AS_Cash,'Plan cashflow'!SM89/(1+AS_Cash),0)+IF(Slot15_Rate=AS_Cash,'Plan cashflow'!SQ89/(1+AS_Cash),0)+IF(Slot16_Rate=AS_Cash,'Plan cashflow'!SU89/(1+AS_Cash),0)+IF(Slot17_Rate=AS_Cash,'Plan cashflow'!SY89/(1+AS_Cash),0)+IF(Slot18_Rate=AS_Cash,'Plan cashflow'!TC89/(1+AS_Cash),0)+IF(Slot19_Rate=AS_Cash,'Plan cashflow'!TG89/(1+AS_Cash),0)+IF(Slot20_Rate=AS_Cash,'Plan cashflow'!TK89/(1+AS_Cash),0))*AS_Cash*H_DIRT/(1-H_DIRT)</f>
        <v>0</v>
      </c>
      <c r="BP89" s="60" t="n">
        <f aca="false">SUM(AVE89:AYQ89)</f>
        <v>0</v>
      </c>
      <c r="BQ89" s="54" t="n">
        <f aca="false">IF(H_TaxEvt=1,H_InvG,AS_Inv)</f>
        <v>0.04</v>
      </c>
      <c r="BR89" s="20" t="n">
        <f aca="false">IF(AKR88&gt;0,(AKR88-AOE88)/AKR88,0)</f>
        <v>0</v>
      </c>
      <c r="BS89" s="20" t="n">
        <f aca="false">IF(AKS88&gt;0,(AKS88-AOF88)/AKS88,0)</f>
        <v>0</v>
      </c>
      <c r="BT89" s="20" t="n">
        <f aca="false">IF(AKT88&gt;0,(AKT88-AOG88)/AKT88,0)</f>
        <v>0</v>
      </c>
      <c r="BU89" s="20" t="n">
        <f aca="false">IF(AKU88&gt;0,(AKU88-AOH88)/AKU88,0)</f>
        <v>0</v>
      </c>
      <c r="BV89" s="20" t="n">
        <f aca="false">IF(AKV88&gt;0,(AKV88-AOI88)/AKV88,0)</f>
        <v>0</v>
      </c>
      <c r="BW89" s="20" t="n">
        <f aca="false">IF(AKW88&gt;0,(AKW88-AOJ88)/AKW88,0)</f>
        <v>0</v>
      </c>
      <c r="BX89" s="20" t="n">
        <f aca="false">IF(AKX88&gt;0,(AKX88-AOK88)/AKX88,0)</f>
        <v>0</v>
      </c>
      <c r="BY89" s="20" t="n">
        <f aca="false">IF(AKY88&gt;0,(AKY88-AOL88)/AKY88,0)</f>
        <v>0</v>
      </c>
      <c r="BZ89" s="20" t="n">
        <f aca="false">IF(AKZ88&gt;0,(AKZ88-AOM88)/AKZ88,0)</f>
        <v>0</v>
      </c>
      <c r="CA89" s="20" t="n">
        <f aca="false">IF(ALA88&gt;0,(ALA88-AON88)/ALA88,0)</f>
        <v>0</v>
      </c>
      <c r="CB89" s="20" t="n">
        <f aca="false">IF(ALB88&gt;0,(ALB88-AOO88)/ALB88,0)</f>
        <v>0</v>
      </c>
      <c r="CC89" s="20" t="n">
        <f aca="false">IF(ALC88&gt;0,(ALC88-AOP88)/ALC88,0)</f>
        <v>0</v>
      </c>
      <c r="CD89" s="20" t="n">
        <f aca="false">IF(ALD88&gt;0,(ALD88-AOQ88)/ALD88,0)</f>
        <v>0</v>
      </c>
      <c r="CE89" s="20" t="n">
        <f aca="false">IF(ALE88&gt;0,(ALE88-AOR88)/ALE88,0)</f>
        <v>0</v>
      </c>
      <c r="CF89" s="20" t="n">
        <f aca="false">IF(ALF88&gt;0,(ALF88-AOS88)/ALF88,0)</f>
        <v>0</v>
      </c>
      <c r="CG89" s="20" t="n">
        <f aca="false">IF(ALG88&gt;0,(ALG88-AOT88)/ALG88,0)</f>
        <v>0</v>
      </c>
      <c r="CH89" s="20" t="n">
        <f aca="false">IF(ALH88&gt;0,(ALH88-AOU88)/ALH88,0)</f>
        <v>0</v>
      </c>
      <c r="CI89" s="20" t="n">
        <f aca="false">IF(ALI88&gt;0,(ALI88-AOV88)/ALI88,0)</f>
        <v>0</v>
      </c>
      <c r="CJ89" s="20" t="n">
        <f aca="false">IF(ALJ88&gt;0,(ALJ88-AOW88)/ALJ88,0)</f>
        <v>0</v>
      </c>
      <c r="CK89" s="20" t="n">
        <f aca="false">IF(ALK88&gt;0,(ALK88-AOX88)/ALK88,0)</f>
        <v>0</v>
      </c>
      <c r="CL89" s="20" t="n">
        <f aca="false">IF(ALL88&gt;0,(ALL88-AOY88)/ALL88,0)</f>
        <v>0</v>
      </c>
      <c r="CM89" s="20" t="n">
        <f aca="false">IF(ALM88&gt;0,(ALM88-AOZ88)/ALM88,0)</f>
        <v>0</v>
      </c>
      <c r="CN89" s="20" t="n">
        <f aca="false">IF(ALN88&gt;0,(ALN88-APA88)/ALN88,0)</f>
        <v>0</v>
      </c>
      <c r="CO89" s="20" t="n">
        <f aca="false">IF(ALO88&gt;0,(ALO88-APB88)/ALO88,0)</f>
        <v>0</v>
      </c>
      <c r="CP89" s="20" t="n">
        <f aca="false">IF(ALP88&gt;0,(ALP88-APC88)/ALP88,0)</f>
        <v>0</v>
      </c>
      <c r="CQ89" s="20" t="n">
        <f aca="false">IF(ALQ88&gt;0,(ALQ88-APD88)/ALQ88,0)</f>
        <v>0</v>
      </c>
      <c r="CR89" s="20" t="n">
        <f aca="false">IF(ALR88&gt;0,(ALR88-APE88)/ALR88,0)</f>
        <v>0</v>
      </c>
      <c r="CS89" s="20" t="n">
        <f aca="false">IF(ALS88&gt;0,(ALS88-APF88)/ALS88,0)</f>
        <v>0</v>
      </c>
      <c r="CT89" s="20" t="n">
        <f aca="false">IF(ALT88&gt;0,(ALT88-APG88)/ALT88,0)</f>
        <v>0</v>
      </c>
      <c r="CU89" s="20" t="n">
        <f aca="false">IF(ALU88&gt;0,(ALU88-APH88)/ALU88,0)</f>
        <v>0</v>
      </c>
      <c r="CV89" s="20" t="n">
        <f aca="false">IF(ALV88&gt;0,(ALV88-API88)/ALV88,0)</f>
        <v>0</v>
      </c>
      <c r="CW89" s="20" t="n">
        <f aca="false">IF(ALW88&gt;0,(ALW88-APJ88)/ALW88,0)</f>
        <v>0</v>
      </c>
      <c r="CX89" s="20" t="n">
        <f aca="false">IF(ALX88&gt;0,(ALX88-APK88)/ALX88,0)</f>
        <v>0</v>
      </c>
      <c r="CY89" s="20" t="n">
        <f aca="false">IF(ALY88&gt;0,(ALY88-APL88)/ALY88,0)</f>
        <v>0</v>
      </c>
      <c r="CZ89" s="20" t="n">
        <f aca="false">IF(ALZ88&gt;0,(ALZ88-APM88)/ALZ88,0)</f>
        <v>0</v>
      </c>
      <c r="DA89" s="20" t="n">
        <f aca="false">IF(AMA88&gt;0,(AMA88-APN88)/AMA88,0)</f>
        <v>0</v>
      </c>
      <c r="DB89" s="20" t="n">
        <f aca="false">IF(AMB88&gt;0,(AMB88-APO88)/AMB88,0)</f>
        <v>0</v>
      </c>
      <c r="DC89" s="20" t="n">
        <f aca="false">IF(AMC88&gt;0,(AMC88-APP88)/AMC88,0)</f>
        <v>0</v>
      </c>
      <c r="DD89" s="20" t="n">
        <f aca="false">IF(AMD88&gt;0,(AMD88-APQ88)/AMD88,0)</f>
        <v>0</v>
      </c>
      <c r="DE89" s="20" t="n">
        <f aca="false">IF(AME88&gt;0,(AME88-APR88)/AME88,0)</f>
        <v>0</v>
      </c>
      <c r="DF89" s="20" t="n">
        <f aca="false">IF(AMF88&gt;0,(AMF88-APS88)/AMF88,0)</f>
        <v>0</v>
      </c>
      <c r="DG89" s="20" t="n">
        <f aca="false">IF(AMG88&gt;0,(AMG88-APT88)/AMG88,0)</f>
        <v>0</v>
      </c>
      <c r="DH89" s="20" t="n">
        <f aca="false">IF(AMH88&gt;0,(AMH88-APU88)/AMH88,0)</f>
        <v>0</v>
      </c>
      <c r="DI89" s="20" t="n">
        <f aca="false">IF(AMI88&gt;0,(AMI88-APV88)/AMI88,0)</f>
        <v>0</v>
      </c>
      <c r="DJ89" s="20" t="n">
        <f aca="false">IF(AMJ88&gt;0,(AMJ88-APW88)/AMJ88,0)</f>
        <v>0</v>
      </c>
      <c r="DK89" s="20" t="n">
        <f aca="false">IF(AMK88&gt;0,(AMK88-APX88)/AMK88,0)</f>
        <v>0</v>
      </c>
      <c r="DL89" s="20" t="n">
        <f aca="false">IF(AML88&gt;0,(AML88-APY88)/AML88,0)</f>
        <v>0</v>
      </c>
      <c r="DM89" s="20" t="n">
        <f aca="false">IF(AMM88&gt;0,(AMM88-APZ88)/AMM88,0)</f>
        <v>0</v>
      </c>
      <c r="DN89" s="20" t="n">
        <f aca="false">IF(AMN88&gt;0,(AMN88-AQA88)/AMN88,0)</f>
        <v>0</v>
      </c>
      <c r="DO89" s="20" t="n">
        <f aca="false">IF(AMO88&gt;0,(AMO88-AQB88)/AMO88,0)</f>
        <v>0</v>
      </c>
      <c r="DP89" s="20" t="n">
        <f aca="false">IF(AMP88&gt;0,(AMP88-AQC88)/AMP88,0)</f>
        <v>0</v>
      </c>
      <c r="DQ89" s="20" t="n">
        <f aca="false">IF(AMQ88&gt;0,(AMQ88-AQD88)/AMQ88,0)</f>
        <v>0</v>
      </c>
      <c r="DR89" s="20" t="n">
        <f aca="false">IF(AMR88&gt;0,(AMR88-AQE88)/AMR88,0)</f>
        <v>0</v>
      </c>
      <c r="DS89" s="20" t="n">
        <f aca="false">IF(AMS88&gt;0,(AMS88-AQF88)/AMS88,0)</f>
        <v>0</v>
      </c>
      <c r="DT89" s="20" t="n">
        <f aca="false">IF(AMT88&gt;0,(AMT88-AQG88)/AMT88,0)</f>
        <v>0</v>
      </c>
      <c r="DU89" s="20" t="n">
        <f aca="false">IF(AMU88&gt;0,(AMU88-AQH88)/AMU88,0)</f>
        <v>0</v>
      </c>
      <c r="DV89" s="20" t="n">
        <f aca="false">IF(AMV88&gt;0,(AMV88-AQI88)/AMV88,0)</f>
        <v>0</v>
      </c>
      <c r="DW89" s="20" t="n">
        <f aca="false">IF(AMW88&gt;0,(AMW88-AQJ88)/AMW88,0)</f>
        <v>0</v>
      </c>
      <c r="DX89" s="20" t="n">
        <f aca="false">IF(AMX88&gt;0,(AMX88-AQK88)/AMX88,0)</f>
        <v>0</v>
      </c>
      <c r="DY89" s="20" t="n">
        <f aca="false">IF(AMY88&gt;0,(AMY88-AQL88)/AMY88,0)</f>
        <v>0</v>
      </c>
      <c r="DZ89" s="20" t="n">
        <f aca="false">IF(AMZ88&gt;0,(AMZ88-AQM88)/AMZ88,0)</f>
        <v>0</v>
      </c>
      <c r="EA89" s="20" t="n">
        <f aca="false">IF(ANA88&gt;0,(ANA88-AQN88)/ANA88,0)</f>
        <v>0</v>
      </c>
      <c r="EB89" s="20" t="n">
        <f aca="false">IF(ANB88&gt;0,(ANB88-AQO88)/ANB88,0)</f>
        <v>0</v>
      </c>
      <c r="EC89" s="20" t="n">
        <f aca="false">IF(ANC88&gt;0,(ANC88-AQP88)/ANC88,0)</f>
        <v>0</v>
      </c>
      <c r="ED89" s="20" t="n">
        <f aca="false">IF(AND88&gt;0,(AND88-AQQ88)/AND88,0)</f>
        <v>0</v>
      </c>
      <c r="EE89" s="20" t="n">
        <f aca="false">IF(ANE88&gt;0,(ANE88-AQR88)/ANE88,0)</f>
        <v>0</v>
      </c>
      <c r="EF89" s="20" t="n">
        <f aca="false">IF(ANF88&gt;0,(ANF88-AQS88)/ANF88,0)</f>
        <v>0</v>
      </c>
      <c r="EG89" s="20" t="n">
        <f aca="false">IF(ANG88&gt;0,(ANG88-AQT88)/ANG88,0)</f>
        <v>0</v>
      </c>
      <c r="EH89" s="20" t="n">
        <f aca="false">IF(ANH88&gt;0,(ANH88-AQU88)/ANH88,0)</f>
        <v>0</v>
      </c>
      <c r="EI89" s="20" t="n">
        <f aca="false">IF(ANI88&gt;0,(ANI88-AQV88)/ANI88,0)</f>
        <v>0</v>
      </c>
      <c r="EJ89" s="20" t="n">
        <f aca="false">IF(ANJ88&gt;0,(ANJ88-AQW88)/ANJ88,0)</f>
        <v>0</v>
      </c>
      <c r="EK89" s="20" t="n">
        <f aca="false">IF(ANK88&gt;0,(ANK88-AQX88)/ANK88,0)</f>
        <v>0</v>
      </c>
      <c r="EL89" s="20" t="n">
        <f aca="false">IF(ANL88&gt;0,(ANL88-AQY88)/ANL88,0)</f>
        <v>0</v>
      </c>
      <c r="EM89" s="20" t="n">
        <f aca="false">IF(ANM88&gt;0,(ANM88-AQZ88)/ANM88,0)</f>
        <v>0</v>
      </c>
      <c r="EN89" s="20" t="n">
        <f aca="false">IF(ANN88&gt;0,(ANN88-ARA88)/ANN88,0)</f>
        <v>0</v>
      </c>
      <c r="EO89" s="20" t="n">
        <f aca="false">IF(ANO88&gt;0,(ANO88-ARB88)/ANO88,0)</f>
        <v>0</v>
      </c>
      <c r="EP89" s="20" t="n">
        <f aca="false">IF(ANP88&gt;0,(ANP88-ARC88)/ANP88,0)</f>
        <v>0</v>
      </c>
      <c r="EQ89" s="20" t="n">
        <f aca="false">IF(ANQ88&gt;0,(ANQ88-ARD88)/ANQ88,0)</f>
        <v>0</v>
      </c>
      <c r="ER89" s="20" t="n">
        <f aca="false">IF(ANR88&gt;0,(ANR88-ARE88)/ANR88,0)</f>
        <v>0</v>
      </c>
      <c r="ES89" s="20" t="n">
        <f aca="false">IF(ANS88&gt;0,(ANS88-ARF88)/ANS88,0)</f>
        <v>0</v>
      </c>
      <c r="ET89" s="20" t="n">
        <f aca="false">IF(ANT88&gt;0,(ANT88-ARG88)/ANT88,0)</f>
        <v>0</v>
      </c>
      <c r="EU89" s="20" t="n">
        <f aca="false">IF(ANU88&gt;0,(ANU88-ARH88)/ANU88,0)</f>
        <v>0</v>
      </c>
      <c r="EV89" s="20" t="n">
        <f aca="false">IF((P89+S89)&gt;0,((P89+S89)-(P89+S89))/(P89+S89),0)</f>
        <v>0</v>
      </c>
      <c r="EW89" s="20" t="n">
        <v>0</v>
      </c>
      <c r="EX89" s="20" t="n">
        <v>0</v>
      </c>
      <c r="EY89" s="20" t="n">
        <v>0</v>
      </c>
      <c r="EZ89" s="20" t="n">
        <v>0</v>
      </c>
      <c r="FA89" s="20" t="n">
        <v>0</v>
      </c>
      <c r="FB89" s="20" t="n">
        <v>0</v>
      </c>
      <c r="FC89" s="20" t="n">
        <v>0</v>
      </c>
      <c r="FD89" s="20" t="n">
        <v>0</v>
      </c>
      <c r="FE89" s="20" t="n">
        <f aca="false">IF(H_Direct=1,IF(AKR88&lt;=0,0,IF(BR89&lt;=0,AKR88,AKR88-G89*MAX(0,BR89*AKR88-(H89+I89)))),AKR88*(1-MAX(0,BR89)*H_Exit))</f>
        <v>0</v>
      </c>
      <c r="FF89" s="20" t="n">
        <f aca="false">IF(H_Direct=1,IF(AKS88&lt;=0,0,IF(BS89&lt;=0,AKS88,AKS88-G89*MAX(0,BS89*AKS88-(IR89+ME89)))),AKS88*(1-MAX(0,BS89)*H_Exit))</f>
        <v>0</v>
      </c>
      <c r="FG89" s="20" t="n">
        <f aca="false">IF(H_Direct=1,IF(AKT88&lt;=0,0,IF(BT89&lt;=0,AKT88,AKT88-G89*MAX(0,BT89*AKT88-(IS89+MF89)))),AKT88*(1-MAX(0,BT89)*H_Exit))</f>
        <v>0</v>
      </c>
      <c r="FH89" s="20" t="n">
        <f aca="false">IF(H_Direct=1,IF(AKU88&lt;=0,0,IF(BU89&lt;=0,AKU88,AKU88-G89*MAX(0,BU89*AKU88-(IT89+MG89)))),AKU88*(1-MAX(0,BU89)*H_Exit))</f>
        <v>0</v>
      </c>
      <c r="FI89" s="20" t="n">
        <f aca="false">IF(H_Direct=1,IF(AKV88&lt;=0,0,IF(BV89&lt;=0,AKV88,AKV88-G89*MAX(0,BV89*AKV88-(IU89+MH89)))),AKV88*(1-MAX(0,BV89)*H_Exit))</f>
        <v>0</v>
      </c>
      <c r="FJ89" s="20" t="n">
        <f aca="false">IF(H_Direct=1,IF(AKW88&lt;=0,0,IF(BW89&lt;=0,AKW88,AKW88-G89*MAX(0,BW89*AKW88-(IV89+MI89)))),AKW88*(1-MAX(0,BW89)*H_Exit))</f>
        <v>0</v>
      </c>
      <c r="FK89" s="20" t="n">
        <f aca="false">IF(H_Direct=1,IF(AKX88&lt;=0,0,IF(BX89&lt;=0,AKX88,AKX88-G89*MAX(0,BX89*AKX88-(IW89+MJ89)))),AKX88*(1-MAX(0,BX89)*H_Exit))</f>
        <v>0</v>
      </c>
      <c r="FL89" s="20" t="n">
        <f aca="false">IF(H_Direct=1,IF(AKY88&lt;=0,0,IF(BY89&lt;=0,AKY88,AKY88-G89*MAX(0,BY89*AKY88-(IX89+MK89)))),AKY88*(1-MAX(0,BY89)*H_Exit))</f>
        <v>0</v>
      </c>
      <c r="FM89" s="20" t="n">
        <f aca="false">IF(H_Direct=1,IF(AKZ88&lt;=0,0,IF(BZ89&lt;=0,AKZ88,AKZ88-G89*MAX(0,BZ89*AKZ88-(IY89+ML89)))),AKZ88*(1-MAX(0,BZ89)*H_Exit))</f>
        <v>0</v>
      </c>
      <c r="FN89" s="20" t="n">
        <f aca="false">IF(H_Direct=1,IF(ALA88&lt;=0,0,IF(CA89&lt;=0,ALA88,ALA88-G89*MAX(0,CA89*ALA88-(IZ89+MM89)))),ALA88*(1-MAX(0,CA89)*H_Exit))</f>
        <v>0</v>
      </c>
      <c r="FO89" s="20" t="n">
        <f aca="false">IF(H_Direct=1,IF(ALB88&lt;=0,0,IF(CB89&lt;=0,ALB88,ALB88-G89*MAX(0,CB89*ALB88-(JA89+MN89)))),ALB88*(1-MAX(0,CB89)*H_Exit))</f>
        <v>0</v>
      </c>
      <c r="FP89" s="20" t="n">
        <f aca="false">IF(H_Direct=1,IF(ALC88&lt;=0,0,IF(CC89&lt;=0,ALC88,ALC88-G89*MAX(0,CC89*ALC88-(JB89+MO89)))),ALC88*(1-MAX(0,CC89)*H_Exit))</f>
        <v>0</v>
      </c>
      <c r="FQ89" s="20" t="n">
        <f aca="false">IF(H_Direct=1,IF(ALD88&lt;=0,0,IF(CD89&lt;=0,ALD88,ALD88-G89*MAX(0,CD89*ALD88-(JC89+MP89)))),ALD88*(1-MAX(0,CD89)*H_Exit))</f>
        <v>0</v>
      </c>
      <c r="FR89" s="20" t="n">
        <f aca="false">IF(H_Direct=1,IF(ALE88&lt;=0,0,IF(CE89&lt;=0,ALE88,ALE88-G89*MAX(0,CE89*ALE88-(JD89+MQ89)))),ALE88*(1-MAX(0,CE89)*H_Exit))</f>
        <v>0</v>
      </c>
      <c r="FS89" s="20" t="n">
        <f aca="false">IF(H_Direct=1,IF(ALF88&lt;=0,0,IF(CF89&lt;=0,ALF88,ALF88-G89*MAX(0,CF89*ALF88-(JE89+MR89)))),ALF88*(1-MAX(0,CF89)*H_Exit))</f>
        <v>0</v>
      </c>
      <c r="FT89" s="20" t="n">
        <f aca="false">IF(H_Direct=1,IF(ALG88&lt;=0,0,IF(CG89&lt;=0,ALG88,ALG88-G89*MAX(0,CG89*ALG88-(JF89+MS89)))),ALG88*(1-MAX(0,CG89)*H_Exit))</f>
        <v>0</v>
      </c>
      <c r="FU89" s="20" t="n">
        <f aca="false">IF(H_Direct=1,IF(ALH88&lt;=0,0,IF(CH89&lt;=0,ALH88,ALH88-G89*MAX(0,CH89*ALH88-(JG89+MT89)))),ALH88*(1-MAX(0,CH89)*H_Exit))</f>
        <v>0</v>
      </c>
      <c r="FV89" s="20" t="n">
        <f aca="false">IF(H_Direct=1,IF(ALI88&lt;=0,0,IF(CI89&lt;=0,ALI88,ALI88-G89*MAX(0,CI89*ALI88-(JH89+MU89)))),ALI88*(1-MAX(0,CI89)*H_Exit))</f>
        <v>0</v>
      </c>
      <c r="FW89" s="20" t="n">
        <f aca="false">IF(H_Direct=1,IF(ALJ88&lt;=0,0,IF(CJ89&lt;=0,ALJ88,ALJ88-G89*MAX(0,CJ89*ALJ88-(JI89+MV89)))),ALJ88*(1-MAX(0,CJ89)*H_Exit))</f>
        <v>0</v>
      </c>
      <c r="FX89" s="20" t="n">
        <f aca="false">IF(H_Direct=1,IF(ALK88&lt;=0,0,IF(CK89&lt;=0,ALK88,ALK88-G89*MAX(0,CK89*ALK88-(JJ89+MW89)))),ALK88*(1-MAX(0,CK89)*H_Exit))</f>
        <v>0</v>
      </c>
      <c r="FY89" s="20" t="n">
        <f aca="false">IF(H_Direct=1,IF(ALL88&lt;=0,0,IF(CL89&lt;=0,ALL88,ALL88-G89*MAX(0,CL89*ALL88-(JK89+MX89)))),ALL88*(1-MAX(0,CL89)*H_Exit))</f>
        <v>0</v>
      </c>
      <c r="FZ89" s="20" t="n">
        <f aca="false">IF(H_Direct=1,IF(ALM88&lt;=0,0,IF(CM89&lt;=0,ALM88,ALM88-G89*MAX(0,CM89*ALM88-(JL89+MY89)))),ALM88*(1-MAX(0,CM89)*H_Exit))</f>
        <v>0</v>
      </c>
      <c r="GA89" s="20" t="n">
        <f aca="false">IF(H_Direct=1,IF(ALN88&lt;=0,0,IF(CN89&lt;=0,ALN88,ALN88-G89*MAX(0,CN89*ALN88-(JM89+MZ89)))),ALN88*(1-MAX(0,CN89)*H_Exit))</f>
        <v>0</v>
      </c>
      <c r="GB89" s="20" t="n">
        <f aca="false">IF(H_Direct=1,IF(ALO88&lt;=0,0,IF(CO89&lt;=0,ALO88,ALO88-G89*MAX(0,CO89*ALO88-(JN89+NA89)))),ALO88*(1-MAX(0,CO89)*H_Exit))</f>
        <v>0</v>
      </c>
      <c r="GC89" s="20" t="n">
        <f aca="false">IF(H_Direct=1,IF(ALP88&lt;=0,0,IF(CP89&lt;=0,ALP88,ALP88-G89*MAX(0,CP89*ALP88-(JO89+NB89)))),ALP88*(1-MAX(0,CP89)*H_Exit))</f>
        <v>0</v>
      </c>
      <c r="GD89" s="20" t="n">
        <f aca="false">IF(H_Direct=1,IF(ALQ88&lt;=0,0,IF(CQ89&lt;=0,ALQ88,ALQ88-G89*MAX(0,CQ89*ALQ88-(JP89+NC89)))),ALQ88*(1-MAX(0,CQ89)*H_Exit))</f>
        <v>0</v>
      </c>
      <c r="GE89" s="20" t="n">
        <f aca="false">IF(H_Direct=1,IF(ALR88&lt;=0,0,IF(CR89&lt;=0,ALR88,ALR88-G89*MAX(0,CR89*ALR88-(JQ89+ND89)))),ALR88*(1-MAX(0,CR89)*H_Exit))</f>
        <v>0</v>
      </c>
      <c r="GF89" s="20" t="n">
        <f aca="false">IF(H_Direct=1,IF(ALS88&lt;=0,0,IF(CS89&lt;=0,ALS88,ALS88-G89*MAX(0,CS89*ALS88-(JR89+NE89)))),ALS88*(1-MAX(0,CS89)*H_Exit))</f>
        <v>0</v>
      </c>
      <c r="GG89" s="20" t="n">
        <f aca="false">IF(H_Direct=1,IF(ALT88&lt;=0,0,IF(CT89&lt;=0,ALT88,ALT88-G89*MAX(0,CT89*ALT88-(JS89+NF89)))),ALT88*(1-MAX(0,CT89)*H_Exit))</f>
        <v>0</v>
      </c>
      <c r="GH89" s="20" t="n">
        <f aca="false">IF(H_Direct=1,IF(ALU88&lt;=0,0,IF(CU89&lt;=0,ALU88,ALU88-G89*MAX(0,CU89*ALU88-(JT89+NG89)))),ALU88*(1-MAX(0,CU89)*H_Exit))</f>
        <v>0</v>
      </c>
      <c r="GI89" s="20" t="n">
        <f aca="false">IF(H_Direct=1,IF(ALV88&lt;=0,0,IF(CV89&lt;=0,ALV88,ALV88-G89*MAX(0,CV89*ALV88-(JU89+NH89)))),ALV88*(1-MAX(0,CV89)*H_Exit))</f>
        <v>0</v>
      </c>
      <c r="GJ89" s="20" t="n">
        <f aca="false">IF(H_Direct=1,IF(ALW88&lt;=0,0,IF(CW89&lt;=0,ALW88,ALW88-G89*MAX(0,CW89*ALW88-(JV89+NI89)))),ALW88*(1-MAX(0,CW89)*H_Exit))</f>
        <v>0</v>
      </c>
      <c r="GK89" s="20" t="n">
        <f aca="false">IF(H_Direct=1,IF(ALX88&lt;=0,0,IF(CX89&lt;=0,ALX88,ALX88-G89*MAX(0,CX89*ALX88-(JW89+NJ89)))),ALX88*(1-MAX(0,CX89)*H_Exit))</f>
        <v>0</v>
      </c>
      <c r="GL89" s="20" t="n">
        <f aca="false">IF(H_Direct=1,IF(ALY88&lt;=0,0,IF(CY89&lt;=0,ALY88,ALY88-G89*MAX(0,CY89*ALY88-(JX89+NK89)))),ALY88*(1-MAX(0,CY89)*H_Exit))</f>
        <v>0</v>
      </c>
      <c r="GM89" s="20" t="n">
        <f aca="false">IF(H_Direct=1,IF(ALZ88&lt;=0,0,IF(CZ89&lt;=0,ALZ88,ALZ88-G89*MAX(0,CZ89*ALZ88-(JY89+NL89)))),ALZ88*(1-MAX(0,CZ89)*H_Exit))</f>
        <v>0</v>
      </c>
      <c r="GN89" s="20" t="n">
        <f aca="false">IF(H_Direct=1,IF(AMA88&lt;=0,0,IF(DA89&lt;=0,AMA88,AMA88-G89*MAX(0,DA89*AMA88-(JZ89+NM89)))),AMA88*(1-MAX(0,DA89)*H_Exit))</f>
        <v>0</v>
      </c>
      <c r="GO89" s="20" t="n">
        <f aca="false">IF(H_Direct=1,IF(AMB88&lt;=0,0,IF(DB89&lt;=0,AMB88,AMB88-G89*MAX(0,DB89*AMB88-(KA89+NN89)))),AMB88*(1-MAX(0,DB89)*H_Exit))</f>
        <v>0</v>
      </c>
      <c r="GP89" s="20" t="n">
        <f aca="false">IF(H_Direct=1,IF(AMC88&lt;=0,0,IF(DC89&lt;=0,AMC88,AMC88-G89*MAX(0,DC89*AMC88-(KB89+NO89)))),AMC88*(1-MAX(0,DC89)*H_Exit))</f>
        <v>0</v>
      </c>
      <c r="GQ89" s="20" t="n">
        <f aca="false">IF(H_Direct=1,IF(AMD88&lt;=0,0,IF(DD89&lt;=0,AMD88,AMD88-G89*MAX(0,DD89*AMD88-(KC89+NP89)))),AMD88*(1-MAX(0,DD89)*H_Exit))</f>
        <v>0</v>
      </c>
      <c r="GR89" s="20" t="n">
        <f aca="false">IF(H_Direct=1,IF(AME88&lt;=0,0,IF(DE89&lt;=0,AME88,AME88-G89*MAX(0,DE89*AME88-(KD89+NQ89)))),AME88*(1-MAX(0,DE89)*H_Exit))</f>
        <v>0</v>
      </c>
      <c r="GS89" s="20" t="n">
        <f aca="false">IF(H_Direct=1,IF(AMF88&lt;=0,0,IF(DF89&lt;=0,AMF88,AMF88-G89*MAX(0,DF89*AMF88-(KE89+NR89)))),AMF88*(1-MAX(0,DF89)*H_Exit))</f>
        <v>0</v>
      </c>
      <c r="GT89" s="20" t="n">
        <f aca="false">IF(H_Direct=1,IF(AMG88&lt;=0,0,IF(DG89&lt;=0,AMG88,AMG88-G89*MAX(0,DG89*AMG88-(KF89+NS89)))),AMG88*(1-MAX(0,DG89)*H_Exit))</f>
        <v>0</v>
      </c>
      <c r="GU89" s="20" t="n">
        <f aca="false">IF(H_Direct=1,IF(AMH88&lt;=0,0,IF(DH89&lt;=0,AMH88,AMH88-G89*MAX(0,DH89*AMH88-(KG89+NT89)))),AMH88*(1-MAX(0,DH89)*H_Exit))</f>
        <v>0</v>
      </c>
      <c r="GV89" s="20" t="n">
        <f aca="false">IF(H_Direct=1,IF(AMI88&lt;=0,0,IF(DI89&lt;=0,AMI88,AMI88-G89*MAX(0,DI89*AMI88-(KH89+NU89)))),AMI88*(1-MAX(0,DI89)*H_Exit))</f>
        <v>0</v>
      </c>
      <c r="GW89" s="20" t="n">
        <f aca="false">IF(H_Direct=1,IF(AMJ88&lt;=0,0,IF(DJ89&lt;=0,AMJ88,AMJ88-G89*MAX(0,DJ89*AMJ88-(KI89+NV89)))),AMJ88*(1-MAX(0,DJ89)*H_Exit))</f>
        <v>0</v>
      </c>
      <c r="GX89" s="20" t="n">
        <f aca="false">IF(H_Direct=1,IF(AMK88&lt;=0,0,IF(DK89&lt;=0,AMK88,AMK88-G89*MAX(0,DK89*AMK88-(KJ89+NW89)))),AMK88*(1-MAX(0,DK89)*H_Exit))</f>
        <v>0</v>
      </c>
      <c r="GY89" s="20" t="n">
        <f aca="false">IF(H_Direct=1,IF(AML88&lt;=0,0,IF(DL89&lt;=0,AML88,AML88-G89*MAX(0,DL89*AML88-(KK89+NX89)))),AML88*(1-MAX(0,DL89)*H_Exit))</f>
        <v>0</v>
      </c>
      <c r="GZ89" s="20" t="n">
        <f aca="false">IF(H_Direct=1,IF(AMM88&lt;=0,0,IF(DM89&lt;=0,AMM88,AMM88-G89*MAX(0,DM89*AMM88-(KL89+NY89)))),AMM88*(1-MAX(0,DM89)*H_Exit))</f>
        <v>0</v>
      </c>
      <c r="HA89" s="20" t="n">
        <f aca="false">IF(H_Direct=1,IF(AMN88&lt;=0,0,IF(DN89&lt;=0,AMN88,AMN88-G89*MAX(0,DN89*AMN88-(KM89+NZ89)))),AMN88*(1-MAX(0,DN89)*H_Exit))</f>
        <v>0</v>
      </c>
      <c r="HB89" s="20" t="n">
        <f aca="false">IF(H_Direct=1,IF(AMO88&lt;=0,0,IF(DO89&lt;=0,AMO88,AMO88-G89*MAX(0,DO89*AMO88-(KN89+OA89)))),AMO88*(1-MAX(0,DO89)*H_Exit))</f>
        <v>0</v>
      </c>
      <c r="HC89" s="20" t="n">
        <f aca="false">IF(H_Direct=1,IF(AMP88&lt;=0,0,IF(DP89&lt;=0,AMP88,AMP88-G89*MAX(0,DP89*AMP88-(KO89+OB89)))),AMP88*(1-MAX(0,DP89)*H_Exit))</f>
        <v>0</v>
      </c>
      <c r="HD89" s="20" t="n">
        <f aca="false">IF(H_Direct=1,IF(AMQ88&lt;=0,0,IF(DQ89&lt;=0,AMQ88,AMQ88-G89*MAX(0,DQ89*AMQ88-(KP89+OC89)))),AMQ88*(1-MAX(0,DQ89)*H_Exit))</f>
        <v>0</v>
      </c>
      <c r="HE89" s="20" t="n">
        <f aca="false">IF(H_Direct=1,IF(AMR88&lt;=0,0,IF(DR89&lt;=0,AMR88,AMR88-G89*MAX(0,DR89*AMR88-(KQ89+OD89)))),AMR88*(1-MAX(0,DR89)*H_Exit))</f>
        <v>0</v>
      </c>
      <c r="HF89" s="20" t="n">
        <f aca="false">IF(H_Direct=1,IF(AMS88&lt;=0,0,IF(DS89&lt;=0,AMS88,AMS88-G89*MAX(0,DS89*AMS88-(KR89+OE89)))),AMS88*(1-MAX(0,DS89)*H_Exit))</f>
        <v>0</v>
      </c>
      <c r="HG89" s="20" t="n">
        <f aca="false">IF(H_Direct=1,IF(AMT88&lt;=0,0,IF(DT89&lt;=0,AMT88,AMT88-G89*MAX(0,DT89*AMT88-(KS89+OF89)))),AMT88*(1-MAX(0,DT89)*H_Exit))</f>
        <v>0</v>
      </c>
      <c r="HH89" s="20" t="n">
        <f aca="false">IF(H_Direct=1,IF(AMU88&lt;=0,0,IF(DU89&lt;=0,AMU88,AMU88-G89*MAX(0,DU89*AMU88-(KT89+OG89)))),AMU88*(1-MAX(0,DU89)*H_Exit))</f>
        <v>0</v>
      </c>
      <c r="HI89" s="20" t="n">
        <f aca="false">IF(H_Direct=1,IF(AMV88&lt;=0,0,IF(DV89&lt;=0,AMV88,AMV88-G89*MAX(0,DV89*AMV88-(KU89+OH89)))),AMV88*(1-MAX(0,DV89)*H_Exit))</f>
        <v>0</v>
      </c>
      <c r="HJ89" s="20" t="n">
        <f aca="false">IF(H_Direct=1,IF(AMW88&lt;=0,0,IF(DW89&lt;=0,AMW88,AMW88-G89*MAX(0,DW89*AMW88-(KV89+OI89)))),AMW88*(1-MAX(0,DW89)*H_Exit))</f>
        <v>0</v>
      </c>
      <c r="HK89" s="20" t="n">
        <f aca="false">IF(H_Direct=1,IF(AMX88&lt;=0,0,IF(DX89&lt;=0,AMX88,AMX88-G89*MAX(0,DX89*AMX88-(KW89+OJ89)))),AMX88*(1-MAX(0,DX89)*H_Exit))</f>
        <v>0</v>
      </c>
      <c r="HL89" s="20" t="n">
        <f aca="false">IF(H_Direct=1,IF(AMY88&lt;=0,0,IF(DY89&lt;=0,AMY88,AMY88-G89*MAX(0,DY89*AMY88-(KX89+OK89)))),AMY88*(1-MAX(0,DY89)*H_Exit))</f>
        <v>0</v>
      </c>
      <c r="HM89" s="20" t="n">
        <f aca="false">IF(H_Direct=1,IF(AMZ88&lt;=0,0,IF(DZ89&lt;=0,AMZ88,AMZ88-G89*MAX(0,DZ89*AMZ88-(KY89+OL89)))),AMZ88*(1-MAX(0,DZ89)*H_Exit))</f>
        <v>0</v>
      </c>
      <c r="HN89" s="20" t="n">
        <f aca="false">IF(H_Direct=1,IF(ANA88&lt;=0,0,IF(EA89&lt;=0,ANA88,ANA88-G89*MAX(0,EA89*ANA88-(KZ89+OM89)))),ANA88*(1-MAX(0,EA89)*H_Exit))</f>
        <v>0</v>
      </c>
      <c r="HO89" s="20" t="n">
        <f aca="false">IF(H_Direct=1,IF(ANB88&lt;=0,0,IF(EB89&lt;=0,ANB88,ANB88-G89*MAX(0,EB89*ANB88-(LA89+ON89)))),ANB88*(1-MAX(0,EB89)*H_Exit))</f>
        <v>0</v>
      </c>
      <c r="HP89" s="20" t="n">
        <f aca="false">IF(H_Direct=1,IF(ANC88&lt;=0,0,IF(EC89&lt;=0,ANC88,ANC88-G89*MAX(0,EC89*ANC88-(LB89+OO89)))),ANC88*(1-MAX(0,EC89)*H_Exit))</f>
        <v>0</v>
      </c>
      <c r="HQ89" s="20" t="n">
        <f aca="false">IF(H_Direct=1,IF(AND88&lt;=0,0,IF(ED89&lt;=0,AND88,AND88-G89*MAX(0,ED89*AND88-(LC89+OP89)))),AND88*(1-MAX(0,ED89)*H_Exit))</f>
        <v>0</v>
      </c>
      <c r="HR89" s="20" t="n">
        <f aca="false">IF(H_Direct=1,IF(ANE88&lt;=0,0,IF(EE89&lt;=0,ANE88,ANE88-G89*MAX(0,EE89*ANE88-(LD89+OQ89)))),ANE88*(1-MAX(0,EE89)*H_Exit))</f>
        <v>0</v>
      </c>
      <c r="HS89" s="20" t="n">
        <f aca="false">IF(H_Direct=1,IF(ANF88&lt;=0,0,IF(EF89&lt;=0,ANF88,ANF88-G89*MAX(0,EF89*ANF88-(LE89+OR89)))),ANF88*(1-MAX(0,EF89)*H_Exit))</f>
        <v>0</v>
      </c>
      <c r="HT89" s="20" t="n">
        <f aca="false">IF(H_Direct=1,IF(ANG88&lt;=0,0,IF(EG89&lt;=0,ANG88,ANG88-G89*MAX(0,EG89*ANG88-(LF89+OS89)))),ANG88*(1-MAX(0,EG89)*H_Exit))</f>
        <v>0</v>
      </c>
      <c r="HU89" s="20" t="n">
        <f aca="false">IF(H_Direct=1,IF(ANH88&lt;=0,0,IF(EH89&lt;=0,ANH88,ANH88-G89*MAX(0,EH89*ANH88-(LG89+OT89)))),ANH88*(1-MAX(0,EH89)*H_Exit))</f>
        <v>0</v>
      </c>
      <c r="HV89" s="20" t="n">
        <f aca="false">IF(H_Direct=1,IF(ANI88&lt;=0,0,IF(EI89&lt;=0,ANI88,ANI88-G89*MAX(0,EI89*ANI88-(LH89+OU89)))),ANI88*(1-MAX(0,EI89)*H_Exit))</f>
        <v>0</v>
      </c>
      <c r="HW89" s="20" t="n">
        <f aca="false">IF(H_Direct=1,IF(ANJ88&lt;=0,0,IF(EJ89&lt;=0,ANJ88,ANJ88-G89*MAX(0,EJ89*ANJ88-(LI89+OV89)))),ANJ88*(1-MAX(0,EJ89)*H_Exit))</f>
        <v>0</v>
      </c>
      <c r="HX89" s="20" t="n">
        <f aca="false">IF(H_Direct=1,IF(ANK88&lt;=0,0,IF(EK89&lt;=0,ANK88,ANK88-G89*MAX(0,EK89*ANK88-(LJ89+OW89)))),ANK88*(1-MAX(0,EK89)*H_Exit))</f>
        <v>0</v>
      </c>
      <c r="HY89" s="20" t="n">
        <f aca="false">IF(H_Direct=1,IF(ANL88&lt;=0,0,IF(EL89&lt;=0,ANL88,ANL88-G89*MAX(0,EL89*ANL88-(LK89+OX89)))),ANL88*(1-MAX(0,EL89)*H_Exit))</f>
        <v>0</v>
      </c>
      <c r="HZ89" s="20" t="n">
        <f aca="false">IF(H_Direct=1,IF(ANM88&lt;=0,0,IF(EM89&lt;=0,ANM88,ANM88-G89*MAX(0,EM89*ANM88-(LL89+OY89)))),ANM88*(1-MAX(0,EM89)*H_Exit))</f>
        <v>0</v>
      </c>
      <c r="IA89" s="20" t="n">
        <f aca="false">IF(H_Direct=1,IF(ANN88&lt;=0,0,IF(EN89&lt;=0,ANN88,ANN88-G89*MAX(0,EN89*ANN88-(LM89+OZ89)))),ANN88*(1-MAX(0,EN89)*H_Exit))</f>
        <v>0</v>
      </c>
      <c r="IB89" s="20" t="n">
        <f aca="false">IF(H_Direct=1,IF(ANO88&lt;=0,0,IF(EO89&lt;=0,ANO88,ANO88-G89*MAX(0,EO89*ANO88-(LN89+PA89)))),ANO88*(1-MAX(0,EO89)*H_Exit))</f>
        <v>0</v>
      </c>
      <c r="IC89" s="20" t="n">
        <f aca="false">IF(H_Direct=1,IF(ANP88&lt;=0,0,IF(EP89&lt;=0,ANP88,ANP88-G89*MAX(0,EP89*ANP88-(LO89+PB89)))),ANP88*(1-MAX(0,EP89)*H_Exit))</f>
        <v>0</v>
      </c>
      <c r="ID89" s="20" t="n">
        <f aca="false">IF(H_Direct=1,IF(ANQ88&lt;=0,0,IF(EQ89&lt;=0,ANQ88,ANQ88-G89*MAX(0,EQ89*ANQ88-(LP89+PC89)))),ANQ88*(1-MAX(0,EQ89)*H_Exit))</f>
        <v>0</v>
      </c>
      <c r="IE89" s="20" t="n">
        <f aca="false">IF(H_Direct=1,IF(ANR88&lt;=0,0,IF(ER89&lt;=0,ANR88,ANR88-G89*MAX(0,ER89*ANR88-(LQ89+PD89)))),ANR88*(1-MAX(0,ER89)*H_Exit))</f>
        <v>0</v>
      </c>
      <c r="IF89" s="20" t="n">
        <f aca="false">IF(H_Direct=1,IF(ANS88&lt;=0,0,IF(ES89&lt;=0,ANS88,ANS88-G89*MAX(0,ES89*ANS88-(LR89+PE89)))),ANS88*(1-MAX(0,ES89)*H_Exit))</f>
        <v>0</v>
      </c>
      <c r="IG89" s="20" t="n">
        <f aca="false">IF(H_Direct=1,IF(ANT88&lt;=0,0,IF(ET89&lt;=0,ANT88,ANT88-G89*MAX(0,ET89*ANT88-(LS89+PF89)))),ANT88*(1-MAX(0,ET89)*H_Exit))</f>
        <v>0</v>
      </c>
      <c r="IH89" s="20" t="n">
        <f aca="false">IF(H_Direct=1,IF(ANU88&lt;=0,0,IF(EU89&lt;=0,ANU88,ANU88-G89*MAX(0,EU89*ANU88-(LT89+PG89)))),ANU88*(1-MAX(0,EU89)*H_Exit))</f>
        <v>0</v>
      </c>
      <c r="II89" s="20" t="n">
        <f aca="false">IF(H_Direct=1,IF((P89+S89)&lt;=0,0,IF(EV89&lt;=0,(P89+S89),(P89+S89)-G89*MAX(0,EV89*(P89+S89)-(LU89+PH89)))),(P89+S89)*(1-MAX(0,EV89)*H_Exit))</f>
        <v>0</v>
      </c>
      <c r="IJ89" s="20" t="n">
        <v>0</v>
      </c>
      <c r="IK89" s="20" t="n">
        <v>0</v>
      </c>
      <c r="IL89" s="20" t="n">
        <v>0</v>
      </c>
      <c r="IM89" s="20" t="n">
        <v>0</v>
      </c>
      <c r="IN89" s="20" t="n">
        <v>0</v>
      </c>
      <c r="IO89" s="20" t="n">
        <v>0</v>
      </c>
      <c r="IP89" s="20" t="n">
        <v>0</v>
      </c>
      <c r="IQ89" s="20" t="n">
        <v>0</v>
      </c>
      <c r="IR89" s="20" t="n">
        <f aca="false">IF(AND(H_Direct=1,BR89&gt;0),MAX(0,H89-(MIN(BR89*AKR88,H89+I89)-MIN(MIN(BR89*AKR88,H89+I89),I89))),H89)</f>
        <v>1270</v>
      </c>
      <c r="IS89" s="20" t="n">
        <f aca="false">IF(AND(H_Direct=1,BS89&gt;0),MAX(0,IR89-(MIN(BS89*AKS88,IR89+ME89)-MIN(MIN(BS89*AKS88,IR89+ME89),ME89))),IR89)</f>
        <v>1270</v>
      </c>
      <c r="IT89" s="20" t="n">
        <f aca="false">IF(AND(H_Direct=1,BT89&gt;0),MAX(0,IS89-(MIN(BT89*AKT88,IS89+MF89)-MIN(MIN(BT89*AKT88,IS89+MF89),MF89))),IS89)</f>
        <v>1270</v>
      </c>
      <c r="IU89" s="20" t="n">
        <f aca="false">IF(AND(H_Direct=1,BU89&gt;0),MAX(0,IT89-(MIN(BU89*AKU88,IT89+MG89)-MIN(MIN(BU89*AKU88,IT89+MG89),MG89))),IT89)</f>
        <v>1270</v>
      </c>
      <c r="IV89" s="20" t="n">
        <f aca="false">IF(AND(H_Direct=1,BV89&gt;0),MAX(0,IU89-(MIN(BV89*AKV88,IU89+MH89)-MIN(MIN(BV89*AKV88,IU89+MH89),MH89))),IU89)</f>
        <v>1270</v>
      </c>
      <c r="IW89" s="20" t="n">
        <f aca="false">IF(AND(H_Direct=1,BW89&gt;0),MAX(0,IV89-(MIN(BW89*AKW88,IV89+MI89)-MIN(MIN(BW89*AKW88,IV89+MI89),MI89))),IV89)</f>
        <v>1270</v>
      </c>
      <c r="IX89" s="20" t="n">
        <f aca="false">IF(AND(H_Direct=1,BX89&gt;0),MAX(0,IW89-(MIN(BX89*AKX88,IW89+MJ89)-MIN(MIN(BX89*AKX88,IW89+MJ89),MJ89))),IW89)</f>
        <v>1270</v>
      </c>
      <c r="IY89" s="20" t="n">
        <f aca="false">IF(AND(H_Direct=1,BY89&gt;0),MAX(0,IX89-(MIN(BY89*AKY88,IX89+MK89)-MIN(MIN(BY89*AKY88,IX89+MK89),MK89))),IX89)</f>
        <v>1270</v>
      </c>
      <c r="IZ89" s="20" t="n">
        <f aca="false">IF(AND(H_Direct=1,BZ89&gt;0),MAX(0,IY89-(MIN(BZ89*AKZ88,IY89+ML89)-MIN(MIN(BZ89*AKZ88,IY89+ML89),ML89))),IY89)</f>
        <v>1270</v>
      </c>
      <c r="JA89" s="20" t="n">
        <f aca="false">IF(AND(H_Direct=1,CA89&gt;0),MAX(0,IZ89-(MIN(CA89*ALA88,IZ89+MM89)-MIN(MIN(CA89*ALA88,IZ89+MM89),MM89))),IZ89)</f>
        <v>1270</v>
      </c>
      <c r="JB89" s="20" t="n">
        <f aca="false">IF(AND(H_Direct=1,CB89&gt;0),MAX(0,JA89-(MIN(CB89*ALB88,JA89+MN89)-MIN(MIN(CB89*ALB88,JA89+MN89),MN89))),JA89)</f>
        <v>1270</v>
      </c>
      <c r="JC89" s="20" t="n">
        <f aca="false">IF(AND(H_Direct=1,CC89&gt;0),MAX(0,JB89-(MIN(CC89*ALC88,JB89+MO89)-MIN(MIN(CC89*ALC88,JB89+MO89),MO89))),JB89)</f>
        <v>1270</v>
      </c>
      <c r="JD89" s="20" t="n">
        <f aca="false">IF(AND(H_Direct=1,CD89&gt;0),MAX(0,JC89-(MIN(CD89*ALD88,JC89+MP89)-MIN(MIN(CD89*ALD88,JC89+MP89),MP89))),JC89)</f>
        <v>1270</v>
      </c>
      <c r="JE89" s="20" t="n">
        <f aca="false">IF(AND(H_Direct=1,CE89&gt;0),MAX(0,JD89-(MIN(CE89*ALE88,JD89+MQ89)-MIN(MIN(CE89*ALE88,JD89+MQ89),MQ89))),JD89)</f>
        <v>1270</v>
      </c>
      <c r="JF89" s="20" t="n">
        <f aca="false">IF(AND(H_Direct=1,CF89&gt;0),MAX(0,JE89-(MIN(CF89*ALF88,JE89+MR89)-MIN(MIN(CF89*ALF88,JE89+MR89),MR89))),JE89)</f>
        <v>1270</v>
      </c>
      <c r="JG89" s="20" t="n">
        <f aca="false">IF(AND(H_Direct=1,CG89&gt;0),MAX(0,JF89-(MIN(CG89*ALG88,JF89+MS89)-MIN(MIN(CG89*ALG88,JF89+MS89),MS89))),JF89)</f>
        <v>1270</v>
      </c>
      <c r="JH89" s="20" t="n">
        <f aca="false">IF(AND(H_Direct=1,CH89&gt;0),MAX(0,JG89-(MIN(CH89*ALH88,JG89+MT89)-MIN(MIN(CH89*ALH88,JG89+MT89),MT89))),JG89)</f>
        <v>1270</v>
      </c>
      <c r="JI89" s="20" t="n">
        <f aca="false">IF(AND(H_Direct=1,CI89&gt;0),MAX(0,JH89-(MIN(CI89*ALI88,JH89+MU89)-MIN(MIN(CI89*ALI88,JH89+MU89),MU89))),JH89)</f>
        <v>1270</v>
      </c>
      <c r="JJ89" s="20" t="n">
        <f aca="false">IF(AND(H_Direct=1,CJ89&gt;0),MAX(0,JI89-(MIN(CJ89*ALJ88,JI89+MV89)-MIN(MIN(CJ89*ALJ88,JI89+MV89),MV89))),JI89)</f>
        <v>1270</v>
      </c>
      <c r="JK89" s="20" t="n">
        <f aca="false">IF(AND(H_Direct=1,CK89&gt;0),MAX(0,JJ89-(MIN(CK89*ALK88,JJ89+MW89)-MIN(MIN(CK89*ALK88,JJ89+MW89),MW89))),JJ89)</f>
        <v>1270</v>
      </c>
      <c r="JL89" s="20" t="n">
        <f aca="false">IF(AND(H_Direct=1,CL89&gt;0),MAX(0,JK89-(MIN(CL89*ALL88,JK89+MX89)-MIN(MIN(CL89*ALL88,JK89+MX89),MX89))),JK89)</f>
        <v>1270</v>
      </c>
      <c r="JM89" s="20" t="n">
        <f aca="false">IF(AND(H_Direct=1,CM89&gt;0),MAX(0,JL89-(MIN(CM89*ALM88,JL89+MY89)-MIN(MIN(CM89*ALM88,JL89+MY89),MY89))),JL89)</f>
        <v>1270</v>
      </c>
      <c r="JN89" s="20" t="n">
        <f aca="false">IF(AND(H_Direct=1,CN89&gt;0),MAX(0,JM89-(MIN(CN89*ALN88,JM89+MZ89)-MIN(MIN(CN89*ALN88,JM89+MZ89),MZ89))),JM89)</f>
        <v>1270</v>
      </c>
      <c r="JO89" s="20" t="n">
        <f aca="false">IF(AND(H_Direct=1,CO89&gt;0),MAX(0,JN89-(MIN(CO89*ALO88,JN89+NA89)-MIN(MIN(CO89*ALO88,JN89+NA89),NA89))),JN89)</f>
        <v>1270</v>
      </c>
      <c r="JP89" s="20" t="n">
        <f aca="false">IF(AND(H_Direct=1,CP89&gt;0),MAX(0,JO89-(MIN(CP89*ALP88,JO89+NB89)-MIN(MIN(CP89*ALP88,JO89+NB89),NB89))),JO89)</f>
        <v>1270</v>
      </c>
      <c r="JQ89" s="20" t="n">
        <f aca="false">IF(AND(H_Direct=1,CQ89&gt;0),MAX(0,JP89-(MIN(CQ89*ALQ88,JP89+NC89)-MIN(MIN(CQ89*ALQ88,JP89+NC89),NC89))),JP89)</f>
        <v>1270</v>
      </c>
      <c r="JR89" s="20" t="n">
        <f aca="false">IF(AND(H_Direct=1,CR89&gt;0),MAX(0,JQ89-(MIN(CR89*ALR88,JQ89+ND89)-MIN(MIN(CR89*ALR88,JQ89+ND89),ND89))),JQ89)</f>
        <v>1270</v>
      </c>
      <c r="JS89" s="20" t="n">
        <f aca="false">IF(AND(H_Direct=1,CS89&gt;0),MAX(0,JR89-(MIN(CS89*ALS88,JR89+NE89)-MIN(MIN(CS89*ALS88,JR89+NE89),NE89))),JR89)</f>
        <v>1270</v>
      </c>
      <c r="JT89" s="20" t="n">
        <f aca="false">IF(AND(H_Direct=1,CT89&gt;0),MAX(0,JS89-(MIN(CT89*ALT88,JS89+NF89)-MIN(MIN(CT89*ALT88,JS89+NF89),NF89))),JS89)</f>
        <v>1270</v>
      </c>
      <c r="JU89" s="20" t="n">
        <f aca="false">IF(AND(H_Direct=1,CU89&gt;0),MAX(0,JT89-(MIN(CU89*ALU88,JT89+NG89)-MIN(MIN(CU89*ALU88,JT89+NG89),NG89))),JT89)</f>
        <v>1270</v>
      </c>
      <c r="JV89" s="20" t="n">
        <f aca="false">IF(AND(H_Direct=1,CV89&gt;0),MAX(0,JU89-(MIN(CV89*ALV88,JU89+NH89)-MIN(MIN(CV89*ALV88,JU89+NH89),NH89))),JU89)</f>
        <v>1270</v>
      </c>
      <c r="JW89" s="20" t="n">
        <f aca="false">IF(AND(H_Direct=1,CW89&gt;0),MAX(0,JV89-(MIN(CW89*ALW88,JV89+NI89)-MIN(MIN(CW89*ALW88,JV89+NI89),NI89))),JV89)</f>
        <v>1270</v>
      </c>
      <c r="JX89" s="20" t="n">
        <f aca="false">IF(AND(H_Direct=1,CX89&gt;0),MAX(0,JW89-(MIN(CX89*ALX88,JW89+NJ89)-MIN(MIN(CX89*ALX88,JW89+NJ89),NJ89))),JW89)</f>
        <v>1270</v>
      </c>
      <c r="JY89" s="20" t="n">
        <f aca="false">IF(AND(H_Direct=1,CY89&gt;0),MAX(0,JX89-(MIN(CY89*ALY88,JX89+NK89)-MIN(MIN(CY89*ALY88,JX89+NK89),NK89))),JX89)</f>
        <v>1270</v>
      </c>
      <c r="JZ89" s="20" t="n">
        <f aca="false">IF(AND(H_Direct=1,CZ89&gt;0),MAX(0,JY89-(MIN(CZ89*ALZ88,JY89+NL89)-MIN(MIN(CZ89*ALZ88,JY89+NL89),NL89))),JY89)</f>
        <v>1270</v>
      </c>
      <c r="KA89" s="20" t="n">
        <f aca="false">IF(AND(H_Direct=1,DA89&gt;0),MAX(0,JZ89-(MIN(DA89*AMA88,JZ89+NM89)-MIN(MIN(DA89*AMA88,JZ89+NM89),NM89))),JZ89)</f>
        <v>1270</v>
      </c>
      <c r="KB89" s="20" t="n">
        <f aca="false">IF(AND(H_Direct=1,DB89&gt;0),MAX(0,KA89-(MIN(DB89*AMB88,KA89+NN89)-MIN(MIN(DB89*AMB88,KA89+NN89),NN89))),KA89)</f>
        <v>1270</v>
      </c>
      <c r="KC89" s="20" t="n">
        <f aca="false">IF(AND(H_Direct=1,DC89&gt;0),MAX(0,KB89-(MIN(DC89*AMC88,KB89+NO89)-MIN(MIN(DC89*AMC88,KB89+NO89),NO89))),KB89)</f>
        <v>1270</v>
      </c>
      <c r="KD89" s="20" t="n">
        <f aca="false">IF(AND(H_Direct=1,DD89&gt;0),MAX(0,KC89-(MIN(DD89*AMD88,KC89+NP89)-MIN(MIN(DD89*AMD88,KC89+NP89),NP89))),KC89)</f>
        <v>1270</v>
      </c>
      <c r="KE89" s="20" t="n">
        <f aca="false">IF(AND(H_Direct=1,DE89&gt;0),MAX(0,KD89-(MIN(DE89*AME88,KD89+NQ89)-MIN(MIN(DE89*AME88,KD89+NQ89),NQ89))),KD89)</f>
        <v>1270</v>
      </c>
      <c r="KF89" s="20" t="n">
        <f aca="false">IF(AND(H_Direct=1,DF89&gt;0),MAX(0,KE89-(MIN(DF89*AMF88,KE89+NR89)-MIN(MIN(DF89*AMF88,KE89+NR89),NR89))),KE89)</f>
        <v>1270</v>
      </c>
      <c r="KG89" s="20" t="n">
        <f aca="false">IF(AND(H_Direct=1,DG89&gt;0),MAX(0,KF89-(MIN(DG89*AMG88,KF89+NS89)-MIN(MIN(DG89*AMG88,KF89+NS89),NS89))),KF89)</f>
        <v>1270</v>
      </c>
      <c r="KH89" s="20" t="n">
        <f aca="false">IF(AND(H_Direct=1,DH89&gt;0),MAX(0,KG89-(MIN(DH89*AMH88,KG89+NT89)-MIN(MIN(DH89*AMH88,KG89+NT89),NT89))),KG89)</f>
        <v>1270</v>
      </c>
      <c r="KI89" s="20" t="n">
        <f aca="false">IF(AND(H_Direct=1,DI89&gt;0),MAX(0,KH89-(MIN(DI89*AMI88,KH89+NU89)-MIN(MIN(DI89*AMI88,KH89+NU89),NU89))),KH89)</f>
        <v>1270</v>
      </c>
      <c r="KJ89" s="20" t="n">
        <f aca="false">IF(AND(H_Direct=1,DJ89&gt;0),MAX(0,KI89-(MIN(DJ89*AMJ88,KI89+NV89)-MIN(MIN(DJ89*AMJ88,KI89+NV89),NV89))),KI89)</f>
        <v>1270</v>
      </c>
      <c r="KK89" s="20" t="n">
        <f aca="false">IF(AND(H_Direct=1,DK89&gt;0),MAX(0,KJ89-(MIN(DK89*AMK88,KJ89+NW89)-MIN(MIN(DK89*AMK88,KJ89+NW89),NW89))),KJ89)</f>
        <v>1270</v>
      </c>
      <c r="KL89" s="20" t="n">
        <f aca="false">IF(AND(H_Direct=1,DL89&gt;0),MAX(0,KK89-(MIN(DL89*AML88,KK89+NX89)-MIN(MIN(DL89*AML88,KK89+NX89),NX89))),KK89)</f>
        <v>1270</v>
      </c>
      <c r="KM89" s="20" t="n">
        <f aca="false">IF(AND(H_Direct=1,DM89&gt;0),MAX(0,KL89-(MIN(DM89*AMM88,KL89+NY89)-MIN(MIN(DM89*AMM88,KL89+NY89),NY89))),KL89)</f>
        <v>1270</v>
      </c>
      <c r="KN89" s="20" t="n">
        <f aca="false">IF(AND(H_Direct=1,DN89&gt;0),MAX(0,KM89-(MIN(DN89*AMN88,KM89+NZ89)-MIN(MIN(DN89*AMN88,KM89+NZ89),NZ89))),KM89)</f>
        <v>1270</v>
      </c>
      <c r="KO89" s="20" t="n">
        <f aca="false">IF(AND(H_Direct=1,DO89&gt;0),MAX(0,KN89-(MIN(DO89*AMO88,KN89+OA89)-MIN(MIN(DO89*AMO88,KN89+OA89),OA89))),KN89)</f>
        <v>1270</v>
      </c>
      <c r="KP89" s="20" t="n">
        <f aca="false">IF(AND(H_Direct=1,DP89&gt;0),MAX(0,KO89-(MIN(DP89*AMP88,KO89+OB89)-MIN(MIN(DP89*AMP88,KO89+OB89),OB89))),KO89)</f>
        <v>1270</v>
      </c>
      <c r="KQ89" s="20" t="n">
        <f aca="false">IF(AND(H_Direct=1,DQ89&gt;0),MAX(0,KP89-(MIN(DQ89*AMQ88,KP89+OC89)-MIN(MIN(DQ89*AMQ88,KP89+OC89),OC89))),KP89)</f>
        <v>1270</v>
      </c>
      <c r="KR89" s="20" t="n">
        <f aca="false">IF(AND(H_Direct=1,DR89&gt;0),MAX(0,KQ89-(MIN(DR89*AMR88,KQ89+OD89)-MIN(MIN(DR89*AMR88,KQ89+OD89),OD89))),KQ89)</f>
        <v>1270</v>
      </c>
      <c r="KS89" s="20" t="n">
        <f aca="false">IF(AND(H_Direct=1,DS89&gt;0),MAX(0,KR89-(MIN(DS89*AMS88,KR89+OE89)-MIN(MIN(DS89*AMS88,KR89+OE89),OE89))),KR89)</f>
        <v>1270</v>
      </c>
      <c r="KT89" s="20" t="n">
        <f aca="false">IF(AND(H_Direct=1,DT89&gt;0),MAX(0,KS89-(MIN(DT89*AMT88,KS89+OF89)-MIN(MIN(DT89*AMT88,KS89+OF89),OF89))),KS89)</f>
        <v>1270</v>
      </c>
      <c r="KU89" s="20" t="n">
        <f aca="false">IF(AND(H_Direct=1,DU89&gt;0),MAX(0,KT89-(MIN(DU89*AMU88,KT89+OG89)-MIN(MIN(DU89*AMU88,KT89+OG89),OG89))),KT89)</f>
        <v>1270</v>
      </c>
      <c r="KV89" s="20" t="n">
        <f aca="false">IF(AND(H_Direct=1,DV89&gt;0),MAX(0,KU89-(MIN(DV89*AMV88,KU89+OH89)-MIN(MIN(DV89*AMV88,KU89+OH89),OH89))),KU89)</f>
        <v>1270</v>
      </c>
      <c r="KW89" s="20" t="n">
        <f aca="false">IF(AND(H_Direct=1,DW89&gt;0),MAX(0,KV89-(MIN(DW89*AMW88,KV89+OI89)-MIN(MIN(DW89*AMW88,KV89+OI89),OI89))),KV89)</f>
        <v>1270</v>
      </c>
      <c r="KX89" s="20" t="n">
        <f aca="false">IF(AND(H_Direct=1,DX89&gt;0),MAX(0,KW89-(MIN(DX89*AMX88,KW89+OJ89)-MIN(MIN(DX89*AMX88,KW89+OJ89),OJ89))),KW89)</f>
        <v>1270</v>
      </c>
      <c r="KY89" s="20" t="n">
        <f aca="false">IF(AND(H_Direct=1,DY89&gt;0),MAX(0,KX89-(MIN(DY89*AMY88,KX89+OK89)-MIN(MIN(DY89*AMY88,KX89+OK89),OK89))),KX89)</f>
        <v>1270</v>
      </c>
      <c r="KZ89" s="20" t="n">
        <f aca="false">IF(AND(H_Direct=1,DZ89&gt;0),MAX(0,KY89-(MIN(DZ89*AMZ88,KY89+OL89)-MIN(MIN(DZ89*AMZ88,KY89+OL89),OL89))),KY89)</f>
        <v>1270</v>
      </c>
      <c r="LA89" s="20" t="n">
        <f aca="false">IF(AND(H_Direct=1,EA89&gt;0),MAX(0,KZ89-(MIN(EA89*ANA88,KZ89+OM89)-MIN(MIN(EA89*ANA88,KZ89+OM89),OM89))),KZ89)</f>
        <v>1270</v>
      </c>
      <c r="LB89" s="20" t="n">
        <f aca="false">IF(AND(H_Direct=1,EB89&gt;0),MAX(0,LA89-(MIN(EB89*ANB88,LA89+ON89)-MIN(MIN(EB89*ANB88,LA89+ON89),ON89))),LA89)</f>
        <v>1270</v>
      </c>
      <c r="LC89" s="20" t="n">
        <f aca="false">IF(AND(H_Direct=1,EC89&gt;0),MAX(0,LB89-(MIN(EC89*ANC88,LB89+OO89)-MIN(MIN(EC89*ANC88,LB89+OO89),OO89))),LB89)</f>
        <v>1270</v>
      </c>
      <c r="LD89" s="20" t="n">
        <f aca="false">IF(AND(H_Direct=1,ED89&gt;0),MAX(0,LC89-(MIN(ED89*AND88,LC89+OP89)-MIN(MIN(ED89*AND88,LC89+OP89),OP89))),LC89)</f>
        <v>1270</v>
      </c>
      <c r="LE89" s="20" t="n">
        <f aca="false">IF(AND(H_Direct=1,EE89&gt;0),MAX(0,LD89-(MIN(EE89*ANE88,LD89+OQ89)-MIN(MIN(EE89*ANE88,LD89+OQ89),OQ89))),LD89)</f>
        <v>1270</v>
      </c>
      <c r="LF89" s="20" t="n">
        <f aca="false">IF(AND(H_Direct=1,EF89&gt;0),MAX(0,LE89-(MIN(EF89*ANF88,LE89+OR89)-MIN(MIN(EF89*ANF88,LE89+OR89),OR89))),LE89)</f>
        <v>1270</v>
      </c>
      <c r="LG89" s="20" t="n">
        <f aca="false">IF(AND(H_Direct=1,EG89&gt;0),MAX(0,LF89-(MIN(EG89*ANG88,LF89+OS89)-MIN(MIN(EG89*ANG88,LF89+OS89),OS89))),LF89)</f>
        <v>1270</v>
      </c>
      <c r="LH89" s="20" t="n">
        <f aca="false">IF(AND(H_Direct=1,EH89&gt;0),MAX(0,LG89-(MIN(EH89*ANH88,LG89+OT89)-MIN(MIN(EH89*ANH88,LG89+OT89),OT89))),LG89)</f>
        <v>1270</v>
      </c>
      <c r="LI89" s="20" t="n">
        <f aca="false">IF(AND(H_Direct=1,EI89&gt;0),MAX(0,LH89-(MIN(EI89*ANI88,LH89+OU89)-MIN(MIN(EI89*ANI88,LH89+OU89),OU89))),LH89)</f>
        <v>1270</v>
      </c>
      <c r="LJ89" s="20" t="n">
        <f aca="false">IF(AND(H_Direct=1,EJ89&gt;0),MAX(0,LI89-(MIN(EJ89*ANJ88,LI89+OV89)-MIN(MIN(EJ89*ANJ88,LI89+OV89),OV89))),LI89)</f>
        <v>1270</v>
      </c>
      <c r="LK89" s="20" t="n">
        <f aca="false">IF(AND(H_Direct=1,EK89&gt;0),MAX(0,LJ89-(MIN(EK89*ANK88,LJ89+OW89)-MIN(MIN(EK89*ANK88,LJ89+OW89),OW89))),LJ89)</f>
        <v>1270</v>
      </c>
      <c r="LL89" s="20" t="n">
        <f aca="false">IF(AND(H_Direct=1,EL89&gt;0),MAX(0,LK89-(MIN(EL89*ANL88,LK89+OX89)-MIN(MIN(EL89*ANL88,LK89+OX89),OX89))),LK89)</f>
        <v>1270</v>
      </c>
      <c r="LM89" s="20" t="n">
        <f aca="false">IF(AND(H_Direct=1,EM89&gt;0),MAX(0,LL89-(MIN(EM89*ANM88,LL89+OY89)-MIN(MIN(EM89*ANM88,LL89+OY89),OY89))),LL89)</f>
        <v>1270</v>
      </c>
      <c r="LN89" s="20" t="n">
        <f aca="false">IF(AND(H_Direct=1,EN89&gt;0),MAX(0,LM89-(MIN(EN89*ANN88,LM89+OZ89)-MIN(MIN(EN89*ANN88,LM89+OZ89),OZ89))),LM89)</f>
        <v>1270</v>
      </c>
      <c r="LO89" s="20" t="n">
        <f aca="false">IF(AND(H_Direct=1,EO89&gt;0),MAX(0,LN89-(MIN(EO89*ANO88,LN89+PA89)-MIN(MIN(EO89*ANO88,LN89+PA89),PA89))),LN89)</f>
        <v>1270</v>
      </c>
      <c r="LP89" s="20" t="n">
        <f aca="false">IF(AND(H_Direct=1,EP89&gt;0),MAX(0,LO89-(MIN(EP89*ANP88,LO89+PB89)-MIN(MIN(EP89*ANP88,LO89+PB89),PB89))),LO89)</f>
        <v>1270</v>
      </c>
      <c r="LQ89" s="20" t="n">
        <f aca="false">IF(AND(H_Direct=1,EQ89&gt;0),MAX(0,LP89-(MIN(EQ89*ANQ88,LP89+PC89)-MIN(MIN(EQ89*ANQ88,LP89+PC89),PC89))),LP89)</f>
        <v>1270</v>
      </c>
      <c r="LR89" s="20" t="n">
        <f aca="false">IF(AND(H_Direct=1,ER89&gt;0),MAX(0,LQ89-(MIN(ER89*ANR88,LQ89+PD89)-MIN(MIN(ER89*ANR88,LQ89+PD89),PD89))),LQ89)</f>
        <v>1270</v>
      </c>
      <c r="LS89" s="20" t="n">
        <f aca="false">IF(AND(H_Direct=1,ES89&gt;0),MAX(0,LR89-(MIN(ES89*ANS88,LR89+PE89)-MIN(MIN(ES89*ANS88,LR89+PE89),PE89))),LR89)</f>
        <v>1270</v>
      </c>
      <c r="LT89" s="20" t="n">
        <f aca="false">IF(AND(H_Direct=1,ET89&gt;0),MAX(0,LS89-(MIN(ET89*ANT88,LS89+PF89)-MIN(MIN(ET89*ANT88,LS89+PF89),PF89))),LS89)</f>
        <v>1270</v>
      </c>
      <c r="LU89" s="20" t="n">
        <f aca="false">IF(AND(H_Direct=1,EU89&gt;0),MAX(0,LT89-(MIN(EU89*ANU88,LT89+PG89)-MIN(MIN(EU89*ANU88,LT89+PG89),PG89))),LT89)</f>
        <v>1270</v>
      </c>
      <c r="LV89" s="20" t="n">
        <f aca="false">IF(AND(H_Direct=1,EV89&gt;0),MAX(0,LU89-(MIN(EV89*(P89+S89),LU89+PH89)-MIN(MIN(EV89*(P89+S89),LU89+PH89),PH89))),LU89)</f>
        <v>1270</v>
      </c>
      <c r="LW89" s="20" t="n">
        <f aca="false">LV89</f>
        <v>1270</v>
      </c>
      <c r="LX89" s="20" t="n">
        <f aca="false">LW89</f>
        <v>1270</v>
      </c>
      <c r="LY89" s="20" t="n">
        <f aca="false">LX89</f>
        <v>1270</v>
      </c>
      <c r="LZ89" s="20" t="n">
        <f aca="false">LY89</f>
        <v>1270</v>
      </c>
      <c r="MA89" s="20" t="n">
        <f aca="false">LZ89</f>
        <v>1270</v>
      </c>
      <c r="MB89" s="20" t="n">
        <f aca="false">MA89</f>
        <v>1270</v>
      </c>
      <c r="MC89" s="20" t="n">
        <f aca="false">MB89</f>
        <v>1270</v>
      </c>
      <c r="MD89" s="20" t="n">
        <f aca="false">MC89</f>
        <v>1270</v>
      </c>
      <c r="ME89" s="20" t="n">
        <f aca="false">IF(H_Direct=1,IF(BR89&lt;=0,I89-BR89*AKR88,I89-MIN(MIN(BR89*AKR88,H89+I89),I89)),I89)</f>
        <v>0</v>
      </c>
      <c r="MF89" s="20" t="n">
        <f aca="false">IF(H_Direct=1,IF(BS89&lt;=0,ME89-BS89*AKS88,ME89-MIN(MIN(BS89*AKS88,IR89+ME89),ME89)),ME89)</f>
        <v>0</v>
      </c>
      <c r="MG89" s="20" t="n">
        <f aca="false">IF(H_Direct=1,IF(BT89&lt;=0,MF89-BT89*AKT88,MF89-MIN(MIN(BT89*AKT88,IS89+MF89),MF89)),MF89)</f>
        <v>0</v>
      </c>
      <c r="MH89" s="20" t="n">
        <f aca="false">IF(H_Direct=1,IF(BU89&lt;=0,MG89-BU89*AKU88,MG89-MIN(MIN(BU89*AKU88,IT89+MG89),MG89)),MG89)</f>
        <v>0</v>
      </c>
      <c r="MI89" s="20" t="n">
        <f aca="false">IF(H_Direct=1,IF(BV89&lt;=0,MH89-BV89*AKV88,MH89-MIN(MIN(BV89*AKV88,IU89+MH89),MH89)),MH89)</f>
        <v>0</v>
      </c>
      <c r="MJ89" s="20" t="n">
        <f aca="false">IF(H_Direct=1,IF(BW89&lt;=0,MI89-BW89*AKW88,MI89-MIN(MIN(BW89*AKW88,IV89+MI89),MI89)),MI89)</f>
        <v>0</v>
      </c>
      <c r="MK89" s="20" t="n">
        <f aca="false">IF(H_Direct=1,IF(BX89&lt;=0,MJ89-BX89*AKX88,MJ89-MIN(MIN(BX89*AKX88,IW89+MJ89),MJ89)),MJ89)</f>
        <v>0</v>
      </c>
      <c r="ML89" s="20" t="n">
        <f aca="false">IF(H_Direct=1,IF(BY89&lt;=0,MK89-BY89*AKY88,MK89-MIN(MIN(BY89*AKY88,IX89+MK89),MK89)),MK89)</f>
        <v>0</v>
      </c>
      <c r="MM89" s="20" t="n">
        <f aca="false">IF(H_Direct=1,IF(BZ89&lt;=0,ML89-BZ89*AKZ88,ML89-MIN(MIN(BZ89*AKZ88,IY89+ML89),ML89)),ML89)</f>
        <v>0</v>
      </c>
      <c r="MN89" s="20" t="n">
        <f aca="false">IF(H_Direct=1,IF(CA89&lt;=0,MM89-CA89*ALA88,MM89-MIN(MIN(CA89*ALA88,IZ89+MM89),MM89)),MM89)</f>
        <v>0</v>
      </c>
      <c r="MO89" s="20" t="n">
        <f aca="false">IF(H_Direct=1,IF(CB89&lt;=0,MN89-CB89*ALB88,MN89-MIN(MIN(CB89*ALB88,JA89+MN89),MN89)),MN89)</f>
        <v>0</v>
      </c>
      <c r="MP89" s="20" t="n">
        <f aca="false">IF(H_Direct=1,IF(CC89&lt;=0,MO89-CC89*ALC88,MO89-MIN(MIN(CC89*ALC88,JB89+MO89),MO89)),MO89)</f>
        <v>0</v>
      </c>
      <c r="MQ89" s="20" t="n">
        <f aca="false">IF(H_Direct=1,IF(CD89&lt;=0,MP89-CD89*ALD88,MP89-MIN(MIN(CD89*ALD88,JC89+MP89),MP89)),MP89)</f>
        <v>0</v>
      </c>
      <c r="MR89" s="20" t="n">
        <f aca="false">IF(H_Direct=1,IF(CE89&lt;=0,MQ89-CE89*ALE88,MQ89-MIN(MIN(CE89*ALE88,JD89+MQ89),MQ89)),MQ89)</f>
        <v>0</v>
      </c>
      <c r="MS89" s="20" t="n">
        <f aca="false">IF(H_Direct=1,IF(CF89&lt;=0,MR89-CF89*ALF88,MR89-MIN(MIN(CF89*ALF88,JE89+MR89),MR89)),MR89)</f>
        <v>0</v>
      </c>
      <c r="MT89" s="20" t="n">
        <f aca="false">IF(H_Direct=1,IF(CG89&lt;=0,MS89-CG89*ALG88,MS89-MIN(MIN(CG89*ALG88,JF89+MS89),MS89)),MS89)</f>
        <v>0</v>
      </c>
      <c r="MU89" s="20" t="n">
        <f aca="false">IF(H_Direct=1,IF(CH89&lt;=0,MT89-CH89*ALH88,MT89-MIN(MIN(CH89*ALH88,JG89+MT89),MT89)),MT89)</f>
        <v>0</v>
      </c>
      <c r="MV89" s="20" t="n">
        <f aca="false">IF(H_Direct=1,IF(CI89&lt;=0,MU89-CI89*ALI88,MU89-MIN(MIN(CI89*ALI88,JH89+MU89),MU89)),MU89)</f>
        <v>0</v>
      </c>
      <c r="MW89" s="20" t="n">
        <f aca="false">IF(H_Direct=1,IF(CJ89&lt;=0,MV89-CJ89*ALJ88,MV89-MIN(MIN(CJ89*ALJ88,JI89+MV89),MV89)),MV89)</f>
        <v>0</v>
      </c>
      <c r="MX89" s="20" t="n">
        <f aca="false">IF(H_Direct=1,IF(CK89&lt;=0,MW89-CK89*ALK88,MW89-MIN(MIN(CK89*ALK88,JJ89+MW89),MW89)),MW89)</f>
        <v>0</v>
      </c>
      <c r="MY89" s="20" t="n">
        <f aca="false">IF(H_Direct=1,IF(CL89&lt;=0,MX89-CL89*ALL88,MX89-MIN(MIN(CL89*ALL88,JK89+MX89),MX89)),MX89)</f>
        <v>0</v>
      </c>
      <c r="MZ89" s="20" t="n">
        <f aca="false">IF(H_Direct=1,IF(CM89&lt;=0,MY89-CM89*ALM88,MY89-MIN(MIN(CM89*ALM88,JL89+MY89),MY89)),MY89)</f>
        <v>0</v>
      </c>
      <c r="NA89" s="20" t="n">
        <f aca="false">IF(H_Direct=1,IF(CN89&lt;=0,MZ89-CN89*ALN88,MZ89-MIN(MIN(CN89*ALN88,JM89+MZ89),MZ89)),MZ89)</f>
        <v>0</v>
      </c>
      <c r="NB89" s="20" t="n">
        <f aca="false">IF(H_Direct=1,IF(CO89&lt;=0,NA89-CO89*ALO88,NA89-MIN(MIN(CO89*ALO88,JN89+NA89),NA89)),NA89)</f>
        <v>0</v>
      </c>
      <c r="NC89" s="20" t="n">
        <f aca="false">IF(H_Direct=1,IF(CP89&lt;=0,NB89-CP89*ALP88,NB89-MIN(MIN(CP89*ALP88,JO89+NB89),NB89)),NB89)</f>
        <v>0</v>
      </c>
      <c r="ND89" s="20" t="n">
        <f aca="false">IF(H_Direct=1,IF(CQ89&lt;=0,NC89-CQ89*ALQ88,NC89-MIN(MIN(CQ89*ALQ88,JP89+NC89),NC89)),NC89)</f>
        <v>0</v>
      </c>
      <c r="NE89" s="20" t="n">
        <f aca="false">IF(H_Direct=1,IF(CR89&lt;=0,ND89-CR89*ALR88,ND89-MIN(MIN(CR89*ALR88,JQ89+ND89),ND89)),ND89)</f>
        <v>0</v>
      </c>
      <c r="NF89" s="20" t="n">
        <f aca="false">IF(H_Direct=1,IF(CS89&lt;=0,NE89-CS89*ALS88,NE89-MIN(MIN(CS89*ALS88,JR89+NE89),NE89)),NE89)</f>
        <v>0</v>
      </c>
      <c r="NG89" s="20" t="n">
        <f aca="false">IF(H_Direct=1,IF(CT89&lt;=0,NF89-CT89*ALT88,NF89-MIN(MIN(CT89*ALT88,JS89+NF89),NF89)),NF89)</f>
        <v>0</v>
      </c>
      <c r="NH89" s="20" t="n">
        <f aca="false">IF(H_Direct=1,IF(CU89&lt;=0,NG89-CU89*ALU88,NG89-MIN(MIN(CU89*ALU88,JT89+NG89),NG89)),NG89)</f>
        <v>0</v>
      </c>
      <c r="NI89" s="20" t="n">
        <f aca="false">IF(H_Direct=1,IF(CV89&lt;=0,NH89-CV89*ALV88,NH89-MIN(MIN(CV89*ALV88,JU89+NH89),NH89)),NH89)</f>
        <v>0</v>
      </c>
      <c r="NJ89" s="20" t="n">
        <f aca="false">IF(H_Direct=1,IF(CW89&lt;=0,NI89-CW89*ALW88,NI89-MIN(MIN(CW89*ALW88,JV89+NI89),NI89)),NI89)</f>
        <v>0</v>
      </c>
      <c r="NK89" s="20" t="n">
        <f aca="false">IF(H_Direct=1,IF(CX89&lt;=0,NJ89-CX89*ALX88,NJ89-MIN(MIN(CX89*ALX88,JW89+NJ89),NJ89)),NJ89)</f>
        <v>0</v>
      </c>
      <c r="NL89" s="20" t="n">
        <f aca="false">IF(H_Direct=1,IF(CY89&lt;=0,NK89-CY89*ALY88,NK89-MIN(MIN(CY89*ALY88,JX89+NK89),NK89)),NK89)</f>
        <v>0</v>
      </c>
      <c r="NM89" s="20" t="n">
        <f aca="false">IF(H_Direct=1,IF(CZ89&lt;=0,NL89-CZ89*ALZ88,NL89-MIN(MIN(CZ89*ALZ88,JY89+NL89),NL89)),NL89)</f>
        <v>0</v>
      </c>
      <c r="NN89" s="20" t="n">
        <f aca="false">IF(H_Direct=1,IF(DA89&lt;=0,NM89-DA89*AMA88,NM89-MIN(MIN(DA89*AMA88,JZ89+NM89),NM89)),NM89)</f>
        <v>0</v>
      </c>
      <c r="NO89" s="20" t="n">
        <f aca="false">IF(H_Direct=1,IF(DB89&lt;=0,NN89-DB89*AMB88,NN89-MIN(MIN(DB89*AMB88,KA89+NN89),NN89)),NN89)</f>
        <v>0</v>
      </c>
      <c r="NP89" s="20" t="n">
        <f aca="false">IF(H_Direct=1,IF(DC89&lt;=0,NO89-DC89*AMC88,NO89-MIN(MIN(DC89*AMC88,KB89+NO89),NO89)),NO89)</f>
        <v>0</v>
      </c>
      <c r="NQ89" s="20" t="n">
        <f aca="false">IF(H_Direct=1,IF(DD89&lt;=0,NP89-DD89*AMD88,NP89-MIN(MIN(DD89*AMD88,KC89+NP89),NP89)),NP89)</f>
        <v>0</v>
      </c>
      <c r="NR89" s="20" t="n">
        <f aca="false">IF(H_Direct=1,IF(DE89&lt;=0,NQ89-DE89*AME88,NQ89-MIN(MIN(DE89*AME88,KD89+NQ89),NQ89)),NQ89)</f>
        <v>0</v>
      </c>
      <c r="NS89" s="20" t="n">
        <f aca="false">IF(H_Direct=1,IF(DF89&lt;=0,NR89-DF89*AMF88,NR89-MIN(MIN(DF89*AMF88,KE89+NR89),NR89)),NR89)</f>
        <v>0</v>
      </c>
      <c r="NT89" s="20" t="n">
        <f aca="false">IF(H_Direct=1,IF(DG89&lt;=0,NS89-DG89*AMG88,NS89-MIN(MIN(DG89*AMG88,KF89+NS89),NS89)),NS89)</f>
        <v>0</v>
      </c>
      <c r="NU89" s="20" t="n">
        <f aca="false">IF(H_Direct=1,IF(DH89&lt;=0,NT89-DH89*AMH88,NT89-MIN(MIN(DH89*AMH88,KG89+NT89),NT89)),NT89)</f>
        <v>0</v>
      </c>
      <c r="NV89" s="20" t="n">
        <f aca="false">IF(H_Direct=1,IF(DI89&lt;=0,NU89-DI89*AMI88,NU89-MIN(MIN(DI89*AMI88,KH89+NU89),NU89)),NU89)</f>
        <v>0</v>
      </c>
      <c r="NW89" s="20" t="n">
        <f aca="false">IF(H_Direct=1,IF(DJ89&lt;=0,NV89-DJ89*AMJ88,NV89-MIN(MIN(DJ89*AMJ88,KI89+NV89),NV89)),NV89)</f>
        <v>0</v>
      </c>
      <c r="NX89" s="20" t="n">
        <f aca="false">IF(H_Direct=1,IF(DK89&lt;=0,NW89-DK89*AMK88,NW89-MIN(MIN(DK89*AMK88,KJ89+NW89),NW89)),NW89)</f>
        <v>0</v>
      </c>
      <c r="NY89" s="20" t="n">
        <f aca="false">IF(H_Direct=1,IF(DL89&lt;=0,NX89-DL89*AML88,NX89-MIN(MIN(DL89*AML88,KK89+NX89),NX89)),NX89)</f>
        <v>0</v>
      </c>
      <c r="NZ89" s="20" t="n">
        <f aca="false">IF(H_Direct=1,IF(DM89&lt;=0,NY89-DM89*AMM88,NY89-MIN(MIN(DM89*AMM88,KL89+NY89),NY89)),NY89)</f>
        <v>0</v>
      </c>
      <c r="OA89" s="20" t="n">
        <f aca="false">IF(H_Direct=1,IF(DN89&lt;=0,NZ89-DN89*AMN88,NZ89-MIN(MIN(DN89*AMN88,KM89+NZ89),NZ89)),NZ89)</f>
        <v>0</v>
      </c>
      <c r="OB89" s="20" t="n">
        <f aca="false">IF(H_Direct=1,IF(DO89&lt;=0,OA89-DO89*AMO88,OA89-MIN(MIN(DO89*AMO88,KN89+OA89),OA89)),OA89)</f>
        <v>0</v>
      </c>
      <c r="OC89" s="20" t="n">
        <f aca="false">IF(H_Direct=1,IF(DP89&lt;=0,OB89-DP89*AMP88,OB89-MIN(MIN(DP89*AMP88,KO89+OB89),OB89)),OB89)</f>
        <v>0</v>
      </c>
      <c r="OD89" s="20" t="n">
        <f aca="false">IF(H_Direct=1,IF(DQ89&lt;=0,OC89-DQ89*AMQ88,OC89-MIN(MIN(DQ89*AMQ88,KP89+OC89),OC89)),OC89)</f>
        <v>0</v>
      </c>
      <c r="OE89" s="20" t="n">
        <f aca="false">IF(H_Direct=1,IF(DR89&lt;=0,OD89-DR89*AMR88,OD89-MIN(MIN(DR89*AMR88,KQ89+OD89),OD89)),OD89)</f>
        <v>0</v>
      </c>
      <c r="OF89" s="20" t="n">
        <f aca="false">IF(H_Direct=1,IF(DS89&lt;=0,OE89-DS89*AMS88,OE89-MIN(MIN(DS89*AMS88,KR89+OE89),OE89)),OE89)</f>
        <v>0</v>
      </c>
      <c r="OG89" s="20" t="n">
        <f aca="false">IF(H_Direct=1,IF(DT89&lt;=0,OF89-DT89*AMT88,OF89-MIN(MIN(DT89*AMT88,KS89+OF89),OF89)),OF89)</f>
        <v>0</v>
      </c>
      <c r="OH89" s="20" t="n">
        <f aca="false">IF(H_Direct=1,IF(DU89&lt;=0,OG89-DU89*AMU88,OG89-MIN(MIN(DU89*AMU88,KT89+OG89),OG89)),OG89)</f>
        <v>0</v>
      </c>
      <c r="OI89" s="20" t="n">
        <f aca="false">IF(H_Direct=1,IF(DV89&lt;=0,OH89-DV89*AMV88,OH89-MIN(MIN(DV89*AMV88,KU89+OH89),OH89)),OH89)</f>
        <v>0</v>
      </c>
      <c r="OJ89" s="20" t="n">
        <f aca="false">IF(H_Direct=1,IF(DW89&lt;=0,OI89-DW89*AMW88,OI89-MIN(MIN(DW89*AMW88,KV89+OI89),OI89)),OI89)</f>
        <v>0</v>
      </c>
      <c r="OK89" s="20" t="n">
        <f aca="false">IF(H_Direct=1,IF(DX89&lt;=0,OJ89-DX89*AMX88,OJ89-MIN(MIN(DX89*AMX88,KW89+OJ89),OJ89)),OJ89)</f>
        <v>0</v>
      </c>
      <c r="OL89" s="20" t="n">
        <f aca="false">IF(H_Direct=1,IF(DY89&lt;=0,OK89-DY89*AMY88,OK89-MIN(MIN(DY89*AMY88,KX89+OK89),OK89)),OK89)</f>
        <v>0</v>
      </c>
      <c r="OM89" s="20" t="n">
        <f aca="false">IF(H_Direct=1,IF(DZ89&lt;=0,OL89-DZ89*AMZ88,OL89-MIN(MIN(DZ89*AMZ88,KY89+OL89),OL89)),OL89)</f>
        <v>0</v>
      </c>
      <c r="ON89" s="20" t="n">
        <f aca="false">IF(H_Direct=1,IF(EA89&lt;=0,OM89-EA89*ANA88,OM89-MIN(MIN(EA89*ANA88,KZ89+OM89),OM89)),OM89)</f>
        <v>0</v>
      </c>
      <c r="OO89" s="20" t="n">
        <f aca="false">IF(H_Direct=1,IF(EB89&lt;=0,ON89-EB89*ANB88,ON89-MIN(MIN(EB89*ANB88,LA89+ON89),ON89)),ON89)</f>
        <v>0</v>
      </c>
      <c r="OP89" s="20" t="n">
        <f aca="false">IF(H_Direct=1,IF(EC89&lt;=0,OO89-EC89*ANC88,OO89-MIN(MIN(EC89*ANC88,LB89+OO89),OO89)),OO89)</f>
        <v>0</v>
      </c>
      <c r="OQ89" s="20" t="n">
        <f aca="false">IF(H_Direct=1,IF(ED89&lt;=0,OP89-ED89*AND88,OP89-MIN(MIN(ED89*AND88,LC89+OP89),OP89)),OP89)</f>
        <v>0</v>
      </c>
      <c r="OR89" s="20" t="n">
        <f aca="false">IF(H_Direct=1,IF(EE89&lt;=0,OQ89-EE89*ANE88,OQ89-MIN(MIN(EE89*ANE88,LD89+OQ89),OQ89)),OQ89)</f>
        <v>0</v>
      </c>
      <c r="OS89" s="20" t="n">
        <f aca="false">IF(H_Direct=1,IF(EF89&lt;=0,OR89-EF89*ANF88,OR89-MIN(MIN(EF89*ANF88,LE89+OR89),OR89)),OR89)</f>
        <v>0</v>
      </c>
      <c r="OT89" s="20" t="n">
        <f aca="false">IF(H_Direct=1,IF(EG89&lt;=0,OS89-EG89*ANG88,OS89-MIN(MIN(EG89*ANG88,LF89+OS89),OS89)),OS89)</f>
        <v>0</v>
      </c>
      <c r="OU89" s="20" t="n">
        <f aca="false">IF(H_Direct=1,IF(EH89&lt;=0,OT89-EH89*ANH88,OT89-MIN(MIN(EH89*ANH88,LG89+OT89),OT89)),OT89)</f>
        <v>0</v>
      </c>
      <c r="OV89" s="20" t="n">
        <f aca="false">IF(H_Direct=1,IF(EI89&lt;=0,OU89-EI89*ANI88,OU89-MIN(MIN(EI89*ANI88,LH89+OU89),OU89)),OU89)</f>
        <v>0</v>
      </c>
      <c r="OW89" s="20" t="n">
        <f aca="false">IF(H_Direct=1,IF(EJ89&lt;=0,OV89-EJ89*ANJ88,OV89-MIN(MIN(EJ89*ANJ88,LI89+OV89),OV89)),OV89)</f>
        <v>0</v>
      </c>
      <c r="OX89" s="20" t="n">
        <f aca="false">IF(H_Direct=1,IF(EK89&lt;=0,OW89-EK89*ANK88,OW89-MIN(MIN(EK89*ANK88,LJ89+OW89),OW89)),OW89)</f>
        <v>0</v>
      </c>
      <c r="OY89" s="20" t="n">
        <f aca="false">IF(H_Direct=1,IF(EL89&lt;=0,OX89-EL89*ANL88,OX89-MIN(MIN(EL89*ANL88,LK89+OX89),OX89)),OX89)</f>
        <v>0</v>
      </c>
      <c r="OZ89" s="20" t="n">
        <f aca="false">IF(H_Direct=1,IF(EM89&lt;=0,OY89-EM89*ANM88,OY89-MIN(MIN(EM89*ANM88,LL89+OY89),OY89)),OY89)</f>
        <v>0</v>
      </c>
      <c r="PA89" s="20" t="n">
        <f aca="false">IF(H_Direct=1,IF(EN89&lt;=0,OZ89-EN89*ANN88,OZ89-MIN(MIN(EN89*ANN88,LM89+OZ89),OZ89)),OZ89)</f>
        <v>0</v>
      </c>
      <c r="PB89" s="20" t="n">
        <f aca="false">IF(H_Direct=1,IF(EO89&lt;=0,PA89-EO89*ANO88,PA89-MIN(MIN(EO89*ANO88,LN89+PA89),PA89)),PA89)</f>
        <v>0</v>
      </c>
      <c r="PC89" s="20" t="n">
        <f aca="false">IF(H_Direct=1,IF(EP89&lt;=0,PB89-EP89*ANP88,PB89-MIN(MIN(EP89*ANP88,LO89+PB89),PB89)),PB89)</f>
        <v>0</v>
      </c>
      <c r="PD89" s="20" t="n">
        <f aca="false">IF(H_Direct=1,IF(EQ89&lt;=0,PC89-EQ89*ANQ88,PC89-MIN(MIN(EQ89*ANQ88,LP89+PC89),PC89)),PC89)</f>
        <v>0</v>
      </c>
      <c r="PE89" s="20" t="n">
        <f aca="false">IF(H_Direct=1,IF(ER89&lt;=0,PD89-ER89*ANR88,PD89-MIN(MIN(ER89*ANR88,LQ89+PD89),PD89)),PD89)</f>
        <v>0</v>
      </c>
      <c r="PF89" s="20" t="n">
        <f aca="false">IF(H_Direct=1,IF(ES89&lt;=0,PE89-ES89*ANS88,PE89-MIN(MIN(ES89*ANS88,LR89+PE89),PE89)),PE89)</f>
        <v>0</v>
      </c>
      <c r="PG89" s="20" t="n">
        <f aca="false">IF(H_Direct=1,IF(ET89&lt;=0,PF89-ET89*ANT88,PF89-MIN(MIN(ET89*ANT88,LS89+PF89),PF89)),PF89)</f>
        <v>0</v>
      </c>
      <c r="PH89" s="20" t="n">
        <f aca="false">IF(H_Direct=1,IF(EU89&lt;=0,PG89-EU89*ANU88,PG89-MIN(MIN(EU89*ANU88,LT89+PG89),PG89)),PG89)</f>
        <v>0</v>
      </c>
      <c r="PI89" s="20" t="n">
        <f aca="false">IF(H_Direct=1,IF(EV89&lt;=0,PH89-EV89*(P89+S89),PH89-MIN(MIN(EV89*(P89+S89),LU89+PH89),PH89)),PH89)</f>
        <v>0</v>
      </c>
      <c r="PJ89" s="20" t="n">
        <f aca="false">PI89</f>
        <v>0</v>
      </c>
      <c r="PK89" s="20" t="n">
        <f aca="false">PJ89</f>
        <v>0</v>
      </c>
      <c r="PL89" s="20" t="n">
        <f aca="false">PK89</f>
        <v>0</v>
      </c>
      <c r="PM89" s="20" t="n">
        <f aca="false">PL89</f>
        <v>0</v>
      </c>
      <c r="PN89" s="20" t="n">
        <f aca="false">PM89</f>
        <v>0</v>
      </c>
      <c r="PO89" s="20" t="n">
        <f aca="false">PN89</f>
        <v>0</v>
      </c>
      <c r="PP89" s="20" t="n">
        <f aca="false">PO89</f>
        <v>0</v>
      </c>
      <c r="PQ89" s="20" t="n">
        <f aca="false">PP89</f>
        <v>0</v>
      </c>
      <c r="PR89" s="20" t="n">
        <f aca="false">IF(H_Direct=1,IF(AKR88&lt;=0,0,IF(BR89&lt;=0,MIN(MAX(0,AB89),AKR88),MIN(MAX(0,AB89),AKR88-G89*MAX(0,BR89*AKR88-(H89+I89))))),MIN(FE89,MAX(0,AB89)))</f>
        <v>0</v>
      </c>
      <c r="PS89" s="20" t="n">
        <f aca="false">IF(H_Direct=1,IF(AKS88&lt;=0,0,IF(BS89&lt;=0,MIN(MAX(0,AB89-SUM(PR89:PR89)),AKS88),MIN(MAX(0,AB89-SUM(PR89:PR89)),AKS88-G89*MAX(0,BS89*AKS88-(WR89+AAE89))))),MIN(FF89,MAX(0,AB89-SUM(PR89:PR89))))</f>
        <v>0</v>
      </c>
      <c r="PT89" s="20" t="n">
        <f aca="false">IF(H_Direct=1,IF(AKT88&lt;=0,0,IF(BT89&lt;=0,MIN(MAX(0,AB89-SUM(PR89:PS89)),AKT88),MIN(MAX(0,AB89-SUM(PR89:PS89)),AKT88-G89*MAX(0,BT89*AKT88-(WS89+AAF89))))),MIN(FG89,MAX(0,AB89-SUM(PR89:PS89))))</f>
        <v>0</v>
      </c>
      <c r="PU89" s="20" t="n">
        <f aca="false">IF(H_Direct=1,IF(AKU88&lt;=0,0,IF(BU89&lt;=0,MIN(MAX(0,AB89-SUM(PR89:PT89)),AKU88),MIN(MAX(0,AB89-SUM(PR89:PT89)),AKU88-G89*MAX(0,BU89*AKU88-(WT89+AAG89))))),MIN(FH89,MAX(0,AB89-SUM(PR89:PT89))))</f>
        <v>0</v>
      </c>
      <c r="PV89" s="20" t="n">
        <f aca="false">IF(H_Direct=1,IF(AKV88&lt;=0,0,IF(BV89&lt;=0,MIN(MAX(0,AB89-SUM(PR89:PU89)),AKV88),MIN(MAX(0,AB89-SUM(PR89:PU89)),AKV88-G89*MAX(0,BV89*AKV88-(WU89+AAH89))))),MIN(FI89,MAX(0,AB89-SUM(PR89:PU89))))</f>
        <v>0</v>
      </c>
      <c r="PW89" s="20" t="n">
        <f aca="false">IF(H_Direct=1,IF(AKW88&lt;=0,0,IF(BW89&lt;=0,MIN(MAX(0,AB89-SUM(PR89:PV89)),AKW88),MIN(MAX(0,AB89-SUM(PR89:PV89)),AKW88-G89*MAX(0,BW89*AKW88-(WV89+AAI89))))),MIN(FJ89,MAX(0,AB89-SUM(PR89:PV89))))</f>
        <v>0</v>
      </c>
      <c r="PX89" s="20" t="n">
        <f aca="false">IF(H_Direct=1,IF(AKX88&lt;=0,0,IF(BX89&lt;=0,MIN(MAX(0,AB89-SUM(PR89:PW89)),AKX88),MIN(MAX(0,AB89-SUM(PR89:PW89)),AKX88-G89*MAX(0,BX89*AKX88-(WW89+AAJ89))))),MIN(FK89,MAX(0,AB89-SUM(PR89:PW89))))</f>
        <v>0</v>
      </c>
      <c r="PY89" s="20" t="n">
        <f aca="false">IF(H_Direct=1,IF(AKY88&lt;=0,0,IF(BY89&lt;=0,MIN(MAX(0,AB89-SUM(PR89:PX89)),AKY88),MIN(MAX(0,AB89-SUM(PR89:PX89)),AKY88-G89*MAX(0,BY89*AKY88-(WX89+AAK89))))),MIN(FL89,MAX(0,AB89-SUM(PR89:PX89))))</f>
        <v>0</v>
      </c>
      <c r="PZ89" s="20" t="n">
        <f aca="false">IF(H_Direct=1,IF(AKZ88&lt;=0,0,IF(BZ89&lt;=0,MIN(MAX(0,AB89-SUM(PR89:PY89)),AKZ88),MIN(MAX(0,AB89-SUM(PR89:PY89)),AKZ88-G89*MAX(0,BZ89*AKZ88-(WY89+AAL89))))),MIN(FM89,MAX(0,AB89-SUM(PR89:PY89))))</f>
        <v>0</v>
      </c>
      <c r="QA89" s="20" t="n">
        <f aca="false">IF(H_Direct=1,IF(ALA88&lt;=0,0,IF(CA89&lt;=0,MIN(MAX(0,AB89-SUM(PR89:PZ89)),ALA88),MIN(MAX(0,AB89-SUM(PR89:PZ89)),ALA88-G89*MAX(0,CA89*ALA88-(WZ89+AAM89))))),MIN(FN89,MAX(0,AB89-SUM(PR89:PZ89))))</f>
        <v>0</v>
      </c>
      <c r="QB89" s="20" t="n">
        <f aca="false">IF(H_Direct=1,IF(ALB88&lt;=0,0,IF(CB89&lt;=0,MIN(MAX(0,AB89-SUM(PR89:QA89)),ALB88),MIN(MAX(0,AB89-SUM(PR89:QA89)),ALB88-G89*MAX(0,CB89*ALB88-(XA89+AAN89))))),MIN(FO89,MAX(0,AB89-SUM(PR89:QA89))))</f>
        <v>0</v>
      </c>
      <c r="QC89" s="20" t="n">
        <f aca="false">IF(H_Direct=1,IF(ALC88&lt;=0,0,IF(CC89&lt;=0,MIN(MAX(0,AB89-SUM(PR89:QB89)),ALC88),MIN(MAX(0,AB89-SUM(PR89:QB89)),ALC88-G89*MAX(0,CC89*ALC88-(XB89+AAO89))))),MIN(FP89,MAX(0,AB89-SUM(PR89:QB89))))</f>
        <v>0</v>
      </c>
      <c r="QD89" s="20" t="n">
        <f aca="false">IF(H_Direct=1,IF(ALD88&lt;=0,0,IF(CD89&lt;=0,MIN(MAX(0,AB89-SUM(PR89:QC89)),ALD88),MIN(MAX(0,AB89-SUM(PR89:QC89)),ALD88-G89*MAX(0,CD89*ALD88-(XC89+AAP89))))),MIN(FQ89,MAX(0,AB89-SUM(PR89:QC89))))</f>
        <v>0</v>
      </c>
      <c r="QE89" s="20" t="n">
        <f aca="false">IF(H_Direct=1,IF(ALE88&lt;=0,0,IF(CE89&lt;=0,MIN(MAX(0,AB89-SUM(PR89:QD89)),ALE88),MIN(MAX(0,AB89-SUM(PR89:QD89)),ALE88-G89*MAX(0,CE89*ALE88-(XD89+AAQ89))))),MIN(FR89,MAX(0,AB89-SUM(PR89:QD89))))</f>
        <v>0</v>
      </c>
      <c r="QF89" s="20" t="n">
        <f aca="false">IF(H_Direct=1,IF(ALF88&lt;=0,0,IF(CF89&lt;=0,MIN(MAX(0,AB89-SUM(PR89:QE89)),ALF88),MIN(MAX(0,AB89-SUM(PR89:QE89)),ALF88-G89*MAX(0,CF89*ALF88-(XE89+AAR89))))),MIN(FS89,MAX(0,AB89-SUM(PR89:QE89))))</f>
        <v>0</v>
      </c>
      <c r="QG89" s="20" t="n">
        <f aca="false">IF(H_Direct=1,IF(ALG88&lt;=0,0,IF(CG89&lt;=0,MIN(MAX(0,AB89-SUM(PR89:QF89)),ALG88),MIN(MAX(0,AB89-SUM(PR89:QF89)),ALG88-G89*MAX(0,CG89*ALG88-(XF89+AAS89))))),MIN(FT89,MAX(0,AB89-SUM(PR89:QF89))))</f>
        <v>0</v>
      </c>
      <c r="QH89" s="20" t="n">
        <f aca="false">IF(H_Direct=1,IF(ALH88&lt;=0,0,IF(CH89&lt;=0,MIN(MAX(0,AB89-SUM(PR89:QG89)),ALH88),MIN(MAX(0,AB89-SUM(PR89:QG89)),ALH88-G89*MAX(0,CH89*ALH88-(XG89+AAT89))))),MIN(FU89,MAX(0,AB89-SUM(PR89:QG89))))</f>
        <v>0</v>
      </c>
      <c r="QI89" s="20" t="n">
        <f aca="false">IF(H_Direct=1,IF(ALI88&lt;=0,0,IF(CI89&lt;=0,MIN(MAX(0,AB89-SUM(PR89:QH89)),ALI88),MIN(MAX(0,AB89-SUM(PR89:QH89)),ALI88-G89*MAX(0,CI89*ALI88-(XH89+AAU89))))),MIN(FV89,MAX(0,AB89-SUM(PR89:QH89))))</f>
        <v>0</v>
      </c>
      <c r="QJ89" s="20" t="n">
        <f aca="false">IF(H_Direct=1,IF(ALJ88&lt;=0,0,IF(CJ89&lt;=0,MIN(MAX(0,AB89-SUM(PR89:QI89)),ALJ88),MIN(MAX(0,AB89-SUM(PR89:QI89)),ALJ88-G89*MAX(0,CJ89*ALJ88-(XI89+AAV89))))),MIN(FW89,MAX(0,AB89-SUM(PR89:QI89))))</f>
        <v>0</v>
      </c>
      <c r="QK89" s="20" t="n">
        <f aca="false">IF(H_Direct=1,IF(ALK88&lt;=0,0,IF(CK89&lt;=0,MIN(MAX(0,AB89-SUM(PR89:QJ89)),ALK88),MIN(MAX(0,AB89-SUM(PR89:QJ89)),ALK88-G89*MAX(0,CK89*ALK88-(XJ89+AAW89))))),MIN(FX89,MAX(0,AB89-SUM(PR89:QJ89))))</f>
        <v>0</v>
      </c>
      <c r="QL89" s="20" t="n">
        <f aca="false">IF(H_Direct=1,IF(ALL88&lt;=0,0,IF(CL89&lt;=0,MIN(MAX(0,AB89-SUM(PR89:QK89)),ALL88),MIN(MAX(0,AB89-SUM(PR89:QK89)),ALL88-G89*MAX(0,CL89*ALL88-(XK89+AAX89))))),MIN(FY89,MAX(0,AB89-SUM(PR89:QK89))))</f>
        <v>0</v>
      </c>
      <c r="QM89" s="20" t="n">
        <f aca="false">IF(H_Direct=1,IF(ALM88&lt;=0,0,IF(CM89&lt;=0,MIN(MAX(0,AB89-SUM(PR89:QL89)),ALM88),MIN(MAX(0,AB89-SUM(PR89:QL89)),ALM88-G89*MAX(0,CM89*ALM88-(XL89+AAY89))))),MIN(FZ89,MAX(0,AB89-SUM(PR89:QL89))))</f>
        <v>0</v>
      </c>
      <c r="QN89" s="20" t="n">
        <f aca="false">IF(H_Direct=1,IF(ALN88&lt;=0,0,IF(CN89&lt;=0,MIN(MAX(0,AB89-SUM(PR89:QM89)),ALN88),MIN(MAX(0,AB89-SUM(PR89:QM89)),ALN88-G89*MAX(0,CN89*ALN88-(XM89+AAZ89))))),MIN(GA89,MAX(0,AB89-SUM(PR89:QM89))))</f>
        <v>0</v>
      </c>
      <c r="QO89" s="20" t="n">
        <f aca="false">IF(H_Direct=1,IF(ALO88&lt;=0,0,IF(CO89&lt;=0,MIN(MAX(0,AB89-SUM(PR89:QN89)),ALO88),MIN(MAX(0,AB89-SUM(PR89:QN89)),ALO88-G89*MAX(0,CO89*ALO88-(XN89+ABA89))))),MIN(GB89,MAX(0,AB89-SUM(PR89:QN89))))</f>
        <v>0</v>
      </c>
      <c r="QP89" s="20" t="n">
        <f aca="false">IF(H_Direct=1,IF(ALP88&lt;=0,0,IF(CP89&lt;=0,MIN(MAX(0,AB89-SUM(PR89:QO89)),ALP88),MIN(MAX(0,AB89-SUM(PR89:QO89)),ALP88-G89*MAX(0,CP89*ALP88-(XO89+ABB89))))),MIN(GC89,MAX(0,AB89-SUM(PR89:QO89))))</f>
        <v>0</v>
      </c>
      <c r="QQ89" s="20" t="n">
        <f aca="false">IF(H_Direct=1,IF(ALQ88&lt;=0,0,IF(CQ89&lt;=0,MIN(MAX(0,AB89-SUM(PR89:QP89)),ALQ88),MIN(MAX(0,AB89-SUM(PR89:QP89)),ALQ88-G89*MAX(0,CQ89*ALQ88-(XP89+ABC89))))),MIN(GD89,MAX(0,AB89-SUM(PR89:QP89))))</f>
        <v>0</v>
      </c>
      <c r="QR89" s="20" t="n">
        <f aca="false">IF(H_Direct=1,IF(ALR88&lt;=0,0,IF(CR89&lt;=0,MIN(MAX(0,AB89-SUM(PR89:QQ89)),ALR88),MIN(MAX(0,AB89-SUM(PR89:QQ89)),ALR88-G89*MAX(0,CR89*ALR88-(XQ89+ABD89))))),MIN(GE89,MAX(0,AB89-SUM(PR89:QQ89))))</f>
        <v>0</v>
      </c>
      <c r="QS89" s="20" t="n">
        <f aca="false">IF(H_Direct=1,IF(ALS88&lt;=0,0,IF(CS89&lt;=0,MIN(MAX(0,AB89-SUM(PR89:QR89)),ALS88),MIN(MAX(0,AB89-SUM(PR89:QR89)),ALS88-G89*MAX(0,CS89*ALS88-(XR89+ABE89))))),MIN(GF89,MAX(0,AB89-SUM(PR89:QR89))))</f>
        <v>0</v>
      </c>
      <c r="QT89" s="20" t="n">
        <f aca="false">IF(H_Direct=1,IF(ALT88&lt;=0,0,IF(CT89&lt;=0,MIN(MAX(0,AB89-SUM(PR89:QS89)),ALT88),MIN(MAX(0,AB89-SUM(PR89:QS89)),ALT88-G89*MAX(0,CT89*ALT88-(XS89+ABF89))))),MIN(GG89,MAX(0,AB89-SUM(PR89:QS89))))</f>
        <v>0</v>
      </c>
      <c r="QU89" s="20" t="n">
        <f aca="false">IF(H_Direct=1,IF(ALU88&lt;=0,0,IF(CU89&lt;=0,MIN(MAX(0,AB89-SUM(PR89:QT89)),ALU88),MIN(MAX(0,AB89-SUM(PR89:QT89)),ALU88-G89*MAX(0,CU89*ALU88-(XT89+ABG89))))),MIN(GH89,MAX(0,AB89-SUM(PR89:QT89))))</f>
        <v>0</v>
      </c>
      <c r="QV89" s="20" t="n">
        <f aca="false">IF(H_Direct=1,IF(ALV88&lt;=0,0,IF(CV89&lt;=0,MIN(MAX(0,AB89-SUM(PR89:QU89)),ALV88),MIN(MAX(0,AB89-SUM(PR89:QU89)),ALV88-G89*MAX(0,CV89*ALV88-(XU89+ABH89))))),MIN(GI89,MAX(0,AB89-SUM(PR89:QU89))))</f>
        <v>0</v>
      </c>
      <c r="QW89" s="20" t="n">
        <f aca="false">IF(H_Direct=1,IF(ALW88&lt;=0,0,IF(CW89&lt;=0,MIN(MAX(0,AB89-SUM(PR89:QV89)),ALW88),MIN(MAX(0,AB89-SUM(PR89:QV89)),ALW88-G89*MAX(0,CW89*ALW88-(XV89+ABI89))))),MIN(GJ89,MAX(0,AB89-SUM(PR89:QV89))))</f>
        <v>0</v>
      </c>
      <c r="QX89" s="20" t="n">
        <f aca="false">IF(H_Direct=1,IF(ALX88&lt;=0,0,IF(CX89&lt;=0,MIN(MAX(0,AB89-SUM(PR89:QW89)),ALX88),MIN(MAX(0,AB89-SUM(PR89:QW89)),ALX88-G89*MAX(0,CX89*ALX88-(XW89+ABJ89))))),MIN(GK89,MAX(0,AB89-SUM(PR89:QW89))))</f>
        <v>0</v>
      </c>
      <c r="QY89" s="20" t="n">
        <f aca="false">IF(H_Direct=1,IF(ALY88&lt;=0,0,IF(CY89&lt;=0,MIN(MAX(0,AB89-SUM(PR89:QX89)),ALY88),MIN(MAX(0,AB89-SUM(PR89:QX89)),ALY88-G89*MAX(0,CY89*ALY88-(XX89+ABK89))))),MIN(GL89,MAX(0,AB89-SUM(PR89:QX89))))</f>
        <v>0</v>
      </c>
      <c r="QZ89" s="20" t="n">
        <f aca="false">IF(H_Direct=1,IF(ALZ88&lt;=0,0,IF(CZ89&lt;=0,MIN(MAX(0,AB89-SUM(PR89:QY89)),ALZ88),MIN(MAX(0,AB89-SUM(PR89:QY89)),ALZ88-G89*MAX(0,CZ89*ALZ88-(XY89+ABL89))))),MIN(GM89,MAX(0,AB89-SUM(PR89:QY89))))</f>
        <v>0</v>
      </c>
      <c r="RA89" s="20" t="n">
        <f aca="false">IF(H_Direct=1,IF(AMA88&lt;=0,0,IF(DA89&lt;=0,MIN(MAX(0,AB89-SUM(PR89:QZ89)),AMA88),MIN(MAX(0,AB89-SUM(PR89:QZ89)),AMA88-G89*MAX(0,DA89*AMA88-(XZ89+ABM89))))),MIN(GN89,MAX(0,AB89-SUM(PR89:QZ89))))</f>
        <v>0</v>
      </c>
      <c r="RB89" s="20" t="n">
        <f aca="false">IF(H_Direct=1,IF(AMB88&lt;=0,0,IF(DB89&lt;=0,MIN(MAX(0,AB89-SUM(PR89:RA89)),AMB88),MIN(MAX(0,AB89-SUM(PR89:RA89)),AMB88-G89*MAX(0,DB89*AMB88-(YA89+ABN89))))),MIN(GO89,MAX(0,AB89-SUM(PR89:RA89))))</f>
        <v>0</v>
      </c>
      <c r="RC89" s="20" t="n">
        <f aca="false">IF(H_Direct=1,IF(AMC88&lt;=0,0,IF(DC89&lt;=0,MIN(MAX(0,AB89-SUM(PR89:RB89)),AMC88),MIN(MAX(0,AB89-SUM(PR89:RB89)),AMC88-G89*MAX(0,DC89*AMC88-(YB89+ABO89))))),MIN(GP89,MAX(0,AB89-SUM(PR89:RB89))))</f>
        <v>0</v>
      </c>
      <c r="RD89" s="20" t="n">
        <f aca="false">IF(H_Direct=1,IF(AMD88&lt;=0,0,IF(DD89&lt;=0,MIN(MAX(0,AB89-SUM(PR89:RC89)),AMD88),MIN(MAX(0,AB89-SUM(PR89:RC89)),AMD88-G89*MAX(0,DD89*AMD88-(YC89+ABP89))))),MIN(GQ89,MAX(0,AB89-SUM(PR89:RC89))))</f>
        <v>0</v>
      </c>
      <c r="RE89" s="20" t="n">
        <f aca="false">IF(H_Direct=1,IF(AME88&lt;=0,0,IF(DE89&lt;=0,MIN(MAX(0,AB89-SUM(PR89:RD89)),AME88),MIN(MAX(0,AB89-SUM(PR89:RD89)),AME88-G89*MAX(0,DE89*AME88-(YD89+ABQ89))))),MIN(GR89,MAX(0,AB89-SUM(PR89:RD89))))</f>
        <v>0</v>
      </c>
      <c r="RF89" s="20" t="n">
        <f aca="false">IF(H_Direct=1,IF(AMF88&lt;=0,0,IF(DF89&lt;=0,MIN(MAX(0,AB89-SUM(PR89:RE89)),AMF88),MIN(MAX(0,AB89-SUM(PR89:RE89)),AMF88-G89*MAX(0,DF89*AMF88-(YE89+ABR89))))),MIN(GS89,MAX(0,AB89-SUM(PR89:RE89))))</f>
        <v>0</v>
      </c>
      <c r="RG89" s="20" t="n">
        <f aca="false">IF(H_Direct=1,IF(AMG88&lt;=0,0,IF(DG89&lt;=0,MIN(MAX(0,AB89-SUM(PR89:RF89)),AMG88),MIN(MAX(0,AB89-SUM(PR89:RF89)),AMG88-G89*MAX(0,DG89*AMG88-(YF89+ABS89))))),MIN(GT89,MAX(0,AB89-SUM(PR89:RF89))))</f>
        <v>0</v>
      </c>
      <c r="RH89" s="20" t="n">
        <f aca="false">IF(H_Direct=1,IF(AMH88&lt;=0,0,IF(DH89&lt;=0,MIN(MAX(0,AB89-SUM(PR89:RG89)),AMH88),MIN(MAX(0,AB89-SUM(PR89:RG89)),AMH88-G89*MAX(0,DH89*AMH88-(YG89+ABT89))))),MIN(GU89,MAX(0,AB89-SUM(PR89:RG89))))</f>
        <v>0</v>
      </c>
      <c r="RI89" s="20" t="n">
        <f aca="false">IF(H_Direct=1,IF(AMI88&lt;=0,0,IF(DI89&lt;=0,MIN(MAX(0,AB89-SUM(PR89:RH89)),AMI88),MIN(MAX(0,AB89-SUM(PR89:RH89)),AMI88-G89*MAX(0,DI89*AMI88-(YH89+ABU89))))),MIN(GV89,MAX(0,AB89-SUM(PR89:RH89))))</f>
        <v>0</v>
      </c>
      <c r="RJ89" s="20" t="n">
        <f aca="false">IF(H_Direct=1,IF(AMJ88&lt;=0,0,IF(DJ89&lt;=0,MIN(MAX(0,AB89-SUM(PR89:RI89)),AMJ88),MIN(MAX(0,AB89-SUM(PR89:RI89)),AMJ88-G89*MAX(0,DJ89*AMJ88-(YI89+ABV89))))),MIN(GW89,MAX(0,AB89-SUM(PR89:RI89))))</f>
        <v>0</v>
      </c>
      <c r="RK89" s="20" t="n">
        <f aca="false">IF(H_Direct=1,IF(AMK88&lt;=0,0,IF(DK89&lt;=0,MIN(MAX(0,AB89-SUM(PR89:RJ89)),AMK88),MIN(MAX(0,AB89-SUM(PR89:RJ89)),AMK88-G89*MAX(0,DK89*AMK88-(YJ89+ABW89))))),MIN(GX89,MAX(0,AB89-SUM(PR89:RJ89))))</f>
        <v>0</v>
      </c>
      <c r="RL89" s="20" t="n">
        <f aca="false">IF(H_Direct=1,IF(AML88&lt;=0,0,IF(DL89&lt;=0,MIN(MAX(0,AB89-SUM(PR89:RK89)),AML88),MIN(MAX(0,AB89-SUM(PR89:RK89)),AML88-G89*MAX(0,DL89*AML88-(YK89+ABX89))))),MIN(GY89,MAX(0,AB89-SUM(PR89:RK89))))</f>
        <v>0</v>
      </c>
      <c r="RM89" s="20" t="n">
        <f aca="false">IF(H_Direct=1,IF(AMM88&lt;=0,0,IF(DM89&lt;=0,MIN(MAX(0,AB89-SUM(PR89:RL89)),AMM88),MIN(MAX(0,AB89-SUM(PR89:RL89)),AMM88-G89*MAX(0,DM89*AMM88-(YL89+ABY89))))),MIN(GZ89,MAX(0,AB89-SUM(PR89:RL89))))</f>
        <v>0</v>
      </c>
      <c r="RN89" s="20" t="n">
        <f aca="false">IF(H_Direct=1,IF(AMN88&lt;=0,0,IF(DN89&lt;=0,MIN(MAX(0,AB89-SUM(PR89:RM89)),AMN88),MIN(MAX(0,AB89-SUM(PR89:RM89)),AMN88-G89*MAX(0,DN89*AMN88-(YM89+ABZ89))))),MIN(HA89,MAX(0,AB89-SUM(PR89:RM89))))</f>
        <v>0</v>
      </c>
      <c r="RO89" s="20" t="n">
        <f aca="false">IF(H_Direct=1,IF(AMO88&lt;=0,0,IF(DO89&lt;=0,MIN(MAX(0,AB89-SUM(PR89:RN89)),AMO88),MIN(MAX(0,AB89-SUM(PR89:RN89)),AMO88-G89*MAX(0,DO89*AMO88-(YN89+ACA89))))),MIN(HB89,MAX(0,AB89-SUM(PR89:RN89))))</f>
        <v>0</v>
      </c>
      <c r="RP89" s="20" t="n">
        <f aca="false">IF(H_Direct=1,IF(AMP88&lt;=0,0,IF(DP89&lt;=0,MIN(MAX(0,AB89-SUM(PR89:RO89)),AMP88),MIN(MAX(0,AB89-SUM(PR89:RO89)),AMP88-G89*MAX(0,DP89*AMP88-(YO89+ACB89))))),MIN(HC89,MAX(0,AB89-SUM(PR89:RO89))))</f>
        <v>0</v>
      </c>
      <c r="RQ89" s="20" t="n">
        <f aca="false">IF(H_Direct=1,IF(AMQ88&lt;=0,0,IF(DQ89&lt;=0,MIN(MAX(0,AB89-SUM(PR89:RP89)),AMQ88),MIN(MAX(0,AB89-SUM(PR89:RP89)),AMQ88-G89*MAX(0,DQ89*AMQ88-(YP89+ACC89))))),MIN(HD89,MAX(0,AB89-SUM(PR89:RP89))))</f>
        <v>0</v>
      </c>
      <c r="RR89" s="20" t="n">
        <f aca="false">IF(H_Direct=1,IF(AMR88&lt;=0,0,IF(DR89&lt;=0,MIN(MAX(0,AB89-SUM(PR89:RQ89)),AMR88),MIN(MAX(0,AB89-SUM(PR89:RQ89)),AMR88-G89*MAX(0,DR89*AMR88-(YQ89+ACD89))))),MIN(HE89,MAX(0,AB89-SUM(PR89:RQ89))))</f>
        <v>0</v>
      </c>
      <c r="RS89" s="20" t="n">
        <f aca="false">IF(H_Direct=1,IF(AMS88&lt;=0,0,IF(DS89&lt;=0,MIN(MAX(0,AB89-SUM(PR89:RR89)),AMS88),MIN(MAX(0,AB89-SUM(PR89:RR89)),AMS88-G89*MAX(0,DS89*AMS88-(YR89+ACE89))))),MIN(HF89,MAX(0,AB89-SUM(PR89:RR89))))</f>
        <v>0</v>
      </c>
      <c r="RT89" s="20" t="n">
        <f aca="false">IF(H_Direct=1,IF(AMT88&lt;=0,0,IF(DT89&lt;=0,MIN(MAX(0,AB89-SUM(PR89:RS89)),AMT88),MIN(MAX(0,AB89-SUM(PR89:RS89)),AMT88-G89*MAX(0,DT89*AMT88-(YS89+ACF89))))),MIN(HG89,MAX(0,AB89-SUM(PR89:RS89))))</f>
        <v>0</v>
      </c>
      <c r="RU89" s="20" t="n">
        <f aca="false">IF(H_Direct=1,IF(AMU88&lt;=0,0,IF(DU89&lt;=0,MIN(MAX(0,AB89-SUM(PR89:RT89)),AMU88),MIN(MAX(0,AB89-SUM(PR89:RT89)),AMU88-G89*MAX(0,DU89*AMU88-(YT89+ACG89))))),MIN(HH89,MAX(0,AB89-SUM(PR89:RT89))))</f>
        <v>0</v>
      </c>
      <c r="RV89" s="20" t="n">
        <f aca="false">IF(H_Direct=1,IF(AMV88&lt;=0,0,IF(DV89&lt;=0,MIN(MAX(0,AB89-SUM(PR89:RU89)),AMV88),MIN(MAX(0,AB89-SUM(PR89:RU89)),AMV88-G89*MAX(0,DV89*AMV88-(YU89+ACH89))))),MIN(HI89,MAX(0,AB89-SUM(PR89:RU89))))</f>
        <v>0</v>
      </c>
      <c r="RW89" s="20" t="n">
        <f aca="false">IF(H_Direct=1,IF(AMW88&lt;=0,0,IF(DW89&lt;=0,MIN(MAX(0,AB89-SUM(PR89:RV89)),AMW88),MIN(MAX(0,AB89-SUM(PR89:RV89)),AMW88-G89*MAX(0,DW89*AMW88-(YV89+ACI89))))),MIN(HJ89,MAX(0,AB89-SUM(PR89:RV89))))</f>
        <v>0</v>
      </c>
      <c r="RX89" s="20" t="n">
        <f aca="false">IF(H_Direct=1,IF(AMX88&lt;=0,0,IF(DX89&lt;=0,MIN(MAX(0,AB89-SUM(PR89:RW89)),AMX88),MIN(MAX(0,AB89-SUM(PR89:RW89)),AMX88-G89*MAX(0,DX89*AMX88-(YW89+ACJ89))))),MIN(HK89,MAX(0,AB89-SUM(PR89:RW89))))</f>
        <v>0</v>
      </c>
      <c r="RY89" s="20" t="n">
        <f aca="false">IF(H_Direct=1,IF(AMY88&lt;=0,0,IF(DY89&lt;=0,MIN(MAX(0,AB89-SUM(PR89:RX89)),AMY88),MIN(MAX(0,AB89-SUM(PR89:RX89)),AMY88-G89*MAX(0,DY89*AMY88-(YX89+ACK89))))),MIN(HL89,MAX(0,AB89-SUM(PR89:RX89))))</f>
        <v>0</v>
      </c>
      <c r="RZ89" s="20" t="n">
        <f aca="false">IF(H_Direct=1,IF(AMZ88&lt;=0,0,IF(DZ89&lt;=0,MIN(MAX(0,AB89-SUM(PR89:RY89)),AMZ88),MIN(MAX(0,AB89-SUM(PR89:RY89)),AMZ88-G89*MAX(0,DZ89*AMZ88-(YY89+ACL89))))),MIN(HM89,MAX(0,AB89-SUM(PR89:RY89))))</f>
        <v>0</v>
      </c>
      <c r="SA89" s="20" t="n">
        <f aca="false">IF(H_Direct=1,IF(ANA88&lt;=0,0,IF(EA89&lt;=0,MIN(MAX(0,AB89-SUM(PR89:RZ89)),ANA88),MIN(MAX(0,AB89-SUM(PR89:RZ89)),ANA88-G89*MAX(0,EA89*ANA88-(YZ89+ACM89))))),MIN(HN89,MAX(0,AB89-SUM(PR89:RZ89))))</f>
        <v>0</v>
      </c>
      <c r="SB89" s="20" t="n">
        <f aca="false">IF(H_Direct=1,IF(ANB88&lt;=0,0,IF(EB89&lt;=0,MIN(MAX(0,AB89-SUM(PR89:SA89)),ANB88),MIN(MAX(0,AB89-SUM(PR89:SA89)),ANB88-G89*MAX(0,EB89*ANB88-(ZA89+ACN89))))),MIN(HO89,MAX(0,AB89-SUM(PR89:SA89))))</f>
        <v>0</v>
      </c>
      <c r="SC89" s="20" t="n">
        <f aca="false">IF(H_Direct=1,IF(ANC88&lt;=0,0,IF(EC89&lt;=0,MIN(MAX(0,AB89-SUM(PR89:SB89)),ANC88),MIN(MAX(0,AB89-SUM(PR89:SB89)),ANC88-G89*MAX(0,EC89*ANC88-(ZB89+ACO89))))),MIN(HP89,MAX(0,AB89-SUM(PR89:SB89))))</f>
        <v>0</v>
      </c>
      <c r="SD89" s="20" t="n">
        <f aca="false">IF(H_Direct=1,IF(AND88&lt;=0,0,IF(ED89&lt;=0,MIN(MAX(0,AB89-SUM(PR89:SC89)),AND88),MIN(MAX(0,AB89-SUM(PR89:SC89)),AND88-G89*MAX(0,ED89*AND88-(ZC89+ACP89))))),MIN(HQ89,MAX(0,AB89-SUM(PR89:SC89))))</f>
        <v>0</v>
      </c>
      <c r="SE89" s="20" t="n">
        <f aca="false">IF(H_Direct=1,IF(ANE88&lt;=0,0,IF(EE89&lt;=0,MIN(MAX(0,AB89-SUM(PR89:SD89)),ANE88),MIN(MAX(0,AB89-SUM(PR89:SD89)),ANE88-G89*MAX(0,EE89*ANE88-(ZD89+ACQ89))))),MIN(HR89,MAX(0,AB89-SUM(PR89:SD89))))</f>
        <v>0</v>
      </c>
      <c r="SF89" s="20" t="n">
        <f aca="false">IF(H_Direct=1,IF(ANF88&lt;=0,0,IF(EF89&lt;=0,MIN(MAX(0,AB89-SUM(PR89:SE89)),ANF88),MIN(MAX(0,AB89-SUM(PR89:SE89)),ANF88-G89*MAX(0,EF89*ANF88-(ZE89+ACR89))))),MIN(HS89,MAX(0,AB89-SUM(PR89:SE89))))</f>
        <v>0</v>
      </c>
      <c r="SG89" s="20" t="n">
        <f aca="false">IF(H_Direct=1,IF(ANG88&lt;=0,0,IF(EG89&lt;=0,MIN(MAX(0,AB89-SUM(PR89:SF89)),ANG88),MIN(MAX(0,AB89-SUM(PR89:SF89)),ANG88-G89*MAX(0,EG89*ANG88-(ZF89+ACS89))))),MIN(HT89,MAX(0,AB89-SUM(PR89:SF89))))</f>
        <v>0</v>
      </c>
      <c r="SH89" s="20" t="n">
        <f aca="false">IF(H_Direct=1,IF(ANH88&lt;=0,0,IF(EH89&lt;=0,MIN(MAX(0,AB89-SUM(PR89:SG89)),ANH88),MIN(MAX(0,AB89-SUM(PR89:SG89)),ANH88-G89*MAX(0,EH89*ANH88-(ZG89+ACT89))))),MIN(HU89,MAX(0,AB89-SUM(PR89:SG89))))</f>
        <v>0</v>
      </c>
      <c r="SI89" s="20" t="n">
        <f aca="false">IF(H_Direct=1,IF(ANI88&lt;=0,0,IF(EI89&lt;=0,MIN(MAX(0,AB89-SUM(PR89:SH89)),ANI88),MIN(MAX(0,AB89-SUM(PR89:SH89)),ANI88-G89*MAX(0,EI89*ANI88-(ZH89+ACU89))))),MIN(HV89,MAX(0,AB89-SUM(PR89:SH89))))</f>
        <v>0</v>
      </c>
      <c r="SJ89" s="20" t="n">
        <f aca="false">IF(H_Direct=1,IF(ANJ88&lt;=0,0,IF(EJ89&lt;=0,MIN(MAX(0,AB89-SUM(PR89:SI89)),ANJ88),MIN(MAX(0,AB89-SUM(PR89:SI89)),ANJ88-G89*MAX(0,EJ89*ANJ88-(ZI89+ACV89))))),MIN(HW89,MAX(0,AB89-SUM(PR89:SI89))))</f>
        <v>0</v>
      </c>
      <c r="SK89" s="20" t="n">
        <f aca="false">IF(H_Direct=1,IF(ANK88&lt;=0,0,IF(EK89&lt;=0,MIN(MAX(0,AB89-SUM(PR89:SJ89)),ANK88),MIN(MAX(0,AB89-SUM(PR89:SJ89)),ANK88-G89*MAX(0,EK89*ANK88-(ZJ89+ACW89))))),MIN(HX89,MAX(0,AB89-SUM(PR89:SJ89))))</f>
        <v>0</v>
      </c>
      <c r="SL89" s="20" t="n">
        <f aca="false">IF(H_Direct=1,IF(ANL88&lt;=0,0,IF(EL89&lt;=0,MIN(MAX(0,AB89-SUM(PR89:SK89)),ANL88),MIN(MAX(0,AB89-SUM(PR89:SK89)),ANL88-G89*MAX(0,EL89*ANL88-(ZK89+ACX89))))),MIN(HY89,MAX(0,AB89-SUM(PR89:SK89))))</f>
        <v>0</v>
      </c>
      <c r="SM89" s="20" t="n">
        <f aca="false">IF(H_Direct=1,IF(ANM88&lt;=0,0,IF(EM89&lt;=0,MIN(MAX(0,AB89-SUM(PR89:SL89)),ANM88),MIN(MAX(0,AB89-SUM(PR89:SL89)),ANM88-G89*MAX(0,EM89*ANM88-(ZL89+ACY89))))),MIN(HZ89,MAX(0,AB89-SUM(PR89:SL89))))</f>
        <v>0</v>
      </c>
      <c r="SN89" s="20" t="n">
        <f aca="false">IF(H_Direct=1,IF(ANN88&lt;=0,0,IF(EN89&lt;=0,MIN(MAX(0,AB89-SUM(PR89:SM89)),ANN88),MIN(MAX(0,AB89-SUM(PR89:SM89)),ANN88-G89*MAX(0,EN89*ANN88-(ZM89+ACZ89))))),MIN(IA89,MAX(0,AB89-SUM(PR89:SM89))))</f>
        <v>0</v>
      </c>
      <c r="SO89" s="20" t="n">
        <f aca="false">IF(H_Direct=1,IF(ANO88&lt;=0,0,IF(EO89&lt;=0,MIN(MAX(0,AB89-SUM(PR89:SN89)),ANO88),MIN(MAX(0,AB89-SUM(PR89:SN89)),ANO88-G89*MAX(0,EO89*ANO88-(ZN89+ADA89))))),MIN(IB89,MAX(0,AB89-SUM(PR89:SN89))))</f>
        <v>0</v>
      </c>
      <c r="SP89" s="20" t="n">
        <f aca="false">IF(H_Direct=1,IF(ANP88&lt;=0,0,IF(EP89&lt;=0,MIN(MAX(0,AB89-SUM(PR89:SO89)),ANP88),MIN(MAX(0,AB89-SUM(PR89:SO89)),ANP88-G89*MAX(0,EP89*ANP88-(ZO89+ADB89))))),MIN(IC89,MAX(0,AB89-SUM(PR89:SO89))))</f>
        <v>0</v>
      </c>
      <c r="SQ89" s="20" t="n">
        <f aca="false">IF(H_Direct=1,IF(ANQ88&lt;=0,0,IF(EQ89&lt;=0,MIN(MAX(0,AB89-SUM(PR89:SP89)),ANQ88),MIN(MAX(0,AB89-SUM(PR89:SP89)),ANQ88-G89*MAX(0,EQ89*ANQ88-(ZP89+ADC89))))),MIN(ID89,MAX(0,AB89-SUM(PR89:SP89))))</f>
        <v>0</v>
      </c>
      <c r="SR89" s="20" t="n">
        <f aca="false">IF(H_Direct=1,IF(ANR88&lt;=0,0,IF(ER89&lt;=0,MIN(MAX(0,AB89-SUM(PR89:SQ89)),ANR88),MIN(MAX(0,AB89-SUM(PR89:SQ89)),ANR88-G89*MAX(0,ER89*ANR88-(ZQ89+ADD89))))),MIN(IE89,MAX(0,AB89-SUM(PR89:SQ89))))</f>
        <v>0</v>
      </c>
      <c r="SS89" s="20" t="n">
        <f aca="false">IF(H_Direct=1,IF(ANS88&lt;=0,0,IF(ES89&lt;=0,MIN(MAX(0,AB89-SUM(PR89:SR89)),ANS88),MIN(MAX(0,AB89-SUM(PR89:SR89)),ANS88-G89*MAX(0,ES89*ANS88-(ZR89+ADE89))))),MIN(IF89,MAX(0,AB89-SUM(PR89:SR89))))</f>
        <v>0</v>
      </c>
      <c r="ST89" s="20" t="n">
        <f aca="false">IF(H_Direct=1,IF(ANT88&lt;=0,0,IF(ET89&lt;=0,MIN(MAX(0,AB89-SUM(PR89:SS89)),ANT88),MIN(MAX(0,AB89-SUM(PR89:SS89)),ANT88-G89*MAX(0,ET89*ANT88-(ZS89+ADF89))))),MIN(IG89,MAX(0,AB89-SUM(PR89:SS89))))</f>
        <v>0</v>
      </c>
      <c r="SU89" s="20" t="n">
        <f aca="false">IF(H_Direct=1,IF(ANU88&lt;=0,0,IF(EU89&lt;=0,MIN(MAX(0,AB89-SUM(PR89:ST89)),ANU88),MIN(MAX(0,AB89-SUM(PR89:ST89)),ANU88-G89*MAX(0,EU89*ANU88-(ZT89+ADG89))))),MIN(IH89,MAX(0,AB89-SUM(PR89:ST89))))</f>
        <v>0</v>
      </c>
      <c r="SV89" s="20" t="n">
        <f aca="false">IF(H_Direct=1,IF((P89+S89)&lt;=0,0,IF(EV89&lt;=0,MIN(MAX(0,AB89-SUM(PR89:SU89)),(P89+S89)),MIN(MAX(0,AB89-SUM(PR89:SU89)),(P89+S89)-G89*MAX(0,EV89*(P89+S89)-(ZU89+ADH89))))),MIN(II89,MAX(0,AB89-SUM(PR89:SU89))))</f>
        <v>0</v>
      </c>
      <c r="SW89" s="20" t="n">
        <v>0</v>
      </c>
      <c r="SX89" s="20" t="n">
        <v>0</v>
      </c>
      <c r="SY89" s="20" t="n">
        <v>0</v>
      </c>
      <c r="SZ89" s="20" t="n">
        <v>0</v>
      </c>
      <c r="TA89" s="20" t="n">
        <v>0</v>
      </c>
      <c r="TB89" s="20" t="n">
        <v>0</v>
      </c>
      <c r="TC89" s="20" t="n">
        <v>0</v>
      </c>
      <c r="TD89" s="20" t="n">
        <v>0</v>
      </c>
      <c r="TE89" s="20" t="n">
        <f aca="false">IF(AKR88&lt;=0,0,IF(H_Direct=1,IF(BR89&lt;=0,PR89,IF(PR89&lt;=(H89+I89)/BR89,PR89,(PR89-G89*(H89+I89))/(1-G89*BR89))),PR89/(1-MAX(0,BR89)*H_Exit)))</f>
        <v>0</v>
      </c>
      <c r="TF89" s="20" t="n">
        <f aca="false">IF(AKS88&lt;=0,0,IF(H_Direct=1,IF(BS89&lt;=0,PS89,IF(PS89&lt;=(WR89+AAE89)/BS89,PS89,(PS89-G89*(WR89+AAE89))/(1-G89*BS89))),PS89/(1-MAX(0,BS89)*H_Exit)))</f>
        <v>0</v>
      </c>
      <c r="TG89" s="20" t="n">
        <f aca="false">IF(AKT88&lt;=0,0,IF(H_Direct=1,IF(BT89&lt;=0,PT89,IF(PT89&lt;=(WS89+AAF89)/BT89,PT89,(PT89-G89*(WS89+AAF89))/(1-G89*BT89))),PT89/(1-MAX(0,BT89)*H_Exit)))</f>
        <v>0</v>
      </c>
      <c r="TH89" s="20" t="n">
        <f aca="false">IF(AKU88&lt;=0,0,IF(H_Direct=1,IF(BU89&lt;=0,PU89,IF(PU89&lt;=(WT89+AAG89)/BU89,PU89,(PU89-G89*(WT89+AAG89))/(1-G89*BU89))),PU89/(1-MAX(0,BU89)*H_Exit)))</f>
        <v>0</v>
      </c>
      <c r="TI89" s="20" t="n">
        <f aca="false">IF(AKV88&lt;=0,0,IF(H_Direct=1,IF(BV89&lt;=0,PV89,IF(PV89&lt;=(WU89+AAH89)/BV89,PV89,(PV89-G89*(WU89+AAH89))/(1-G89*BV89))),PV89/(1-MAX(0,BV89)*H_Exit)))</f>
        <v>0</v>
      </c>
      <c r="TJ89" s="20" t="n">
        <f aca="false">IF(AKW88&lt;=0,0,IF(H_Direct=1,IF(BW89&lt;=0,PW89,IF(PW89&lt;=(WV89+AAI89)/BW89,PW89,(PW89-G89*(WV89+AAI89))/(1-G89*BW89))),PW89/(1-MAX(0,BW89)*H_Exit)))</f>
        <v>0</v>
      </c>
      <c r="TK89" s="20" t="n">
        <f aca="false">IF(AKX88&lt;=0,0,IF(H_Direct=1,IF(BX89&lt;=0,PX89,IF(PX89&lt;=(WW89+AAJ89)/BX89,PX89,(PX89-G89*(WW89+AAJ89))/(1-G89*BX89))),PX89/(1-MAX(0,BX89)*H_Exit)))</f>
        <v>0</v>
      </c>
      <c r="TL89" s="20" t="n">
        <f aca="false">IF(AKY88&lt;=0,0,IF(H_Direct=1,IF(BY89&lt;=0,PY89,IF(PY89&lt;=(WX89+AAK89)/BY89,PY89,(PY89-G89*(WX89+AAK89))/(1-G89*BY89))),PY89/(1-MAX(0,BY89)*H_Exit)))</f>
        <v>0</v>
      </c>
      <c r="TM89" s="20" t="n">
        <f aca="false">IF(AKZ88&lt;=0,0,IF(H_Direct=1,IF(BZ89&lt;=0,PZ89,IF(PZ89&lt;=(WY89+AAL89)/BZ89,PZ89,(PZ89-G89*(WY89+AAL89))/(1-G89*BZ89))),PZ89/(1-MAX(0,BZ89)*H_Exit)))</f>
        <v>0</v>
      </c>
      <c r="TN89" s="20" t="n">
        <f aca="false">IF(ALA88&lt;=0,0,IF(H_Direct=1,IF(CA89&lt;=0,QA89,IF(QA89&lt;=(WZ89+AAM89)/CA89,QA89,(QA89-G89*(WZ89+AAM89))/(1-G89*CA89))),QA89/(1-MAX(0,CA89)*H_Exit)))</f>
        <v>0</v>
      </c>
      <c r="TO89" s="20" t="n">
        <f aca="false">IF(ALB88&lt;=0,0,IF(H_Direct=1,IF(CB89&lt;=0,QB89,IF(QB89&lt;=(XA89+AAN89)/CB89,QB89,(QB89-G89*(XA89+AAN89))/(1-G89*CB89))),QB89/(1-MAX(0,CB89)*H_Exit)))</f>
        <v>0</v>
      </c>
      <c r="TP89" s="20" t="n">
        <f aca="false">IF(ALC88&lt;=0,0,IF(H_Direct=1,IF(CC89&lt;=0,QC89,IF(QC89&lt;=(XB89+AAO89)/CC89,QC89,(QC89-G89*(XB89+AAO89))/(1-G89*CC89))),QC89/(1-MAX(0,CC89)*H_Exit)))</f>
        <v>0</v>
      </c>
      <c r="TQ89" s="20" t="n">
        <f aca="false">IF(ALD88&lt;=0,0,IF(H_Direct=1,IF(CD89&lt;=0,QD89,IF(QD89&lt;=(XC89+AAP89)/CD89,QD89,(QD89-G89*(XC89+AAP89))/(1-G89*CD89))),QD89/(1-MAX(0,CD89)*H_Exit)))</f>
        <v>0</v>
      </c>
      <c r="TR89" s="20" t="n">
        <f aca="false">IF(ALE88&lt;=0,0,IF(H_Direct=1,IF(CE89&lt;=0,QE89,IF(QE89&lt;=(XD89+AAQ89)/CE89,QE89,(QE89-G89*(XD89+AAQ89))/(1-G89*CE89))),QE89/(1-MAX(0,CE89)*H_Exit)))</f>
        <v>0</v>
      </c>
      <c r="TS89" s="20" t="n">
        <f aca="false">IF(ALF88&lt;=0,0,IF(H_Direct=1,IF(CF89&lt;=0,QF89,IF(QF89&lt;=(XE89+AAR89)/CF89,QF89,(QF89-G89*(XE89+AAR89))/(1-G89*CF89))),QF89/(1-MAX(0,CF89)*H_Exit)))</f>
        <v>0</v>
      </c>
      <c r="TT89" s="20" t="n">
        <f aca="false">IF(ALG88&lt;=0,0,IF(H_Direct=1,IF(CG89&lt;=0,QG89,IF(QG89&lt;=(XF89+AAS89)/CG89,QG89,(QG89-G89*(XF89+AAS89))/(1-G89*CG89))),QG89/(1-MAX(0,CG89)*H_Exit)))</f>
        <v>0</v>
      </c>
      <c r="TU89" s="20" t="n">
        <f aca="false">IF(ALH88&lt;=0,0,IF(H_Direct=1,IF(CH89&lt;=0,QH89,IF(QH89&lt;=(XG89+AAT89)/CH89,QH89,(QH89-G89*(XG89+AAT89))/(1-G89*CH89))),QH89/(1-MAX(0,CH89)*H_Exit)))</f>
        <v>0</v>
      </c>
      <c r="TV89" s="20" t="n">
        <f aca="false">IF(ALI88&lt;=0,0,IF(H_Direct=1,IF(CI89&lt;=0,QI89,IF(QI89&lt;=(XH89+AAU89)/CI89,QI89,(QI89-G89*(XH89+AAU89))/(1-G89*CI89))),QI89/(1-MAX(0,CI89)*H_Exit)))</f>
        <v>0</v>
      </c>
      <c r="TW89" s="20" t="n">
        <f aca="false">IF(ALJ88&lt;=0,0,IF(H_Direct=1,IF(CJ89&lt;=0,QJ89,IF(QJ89&lt;=(XI89+AAV89)/CJ89,QJ89,(QJ89-G89*(XI89+AAV89))/(1-G89*CJ89))),QJ89/(1-MAX(0,CJ89)*H_Exit)))</f>
        <v>0</v>
      </c>
      <c r="TX89" s="20" t="n">
        <f aca="false">IF(ALK88&lt;=0,0,IF(H_Direct=1,IF(CK89&lt;=0,QK89,IF(QK89&lt;=(XJ89+AAW89)/CK89,QK89,(QK89-G89*(XJ89+AAW89))/(1-G89*CK89))),QK89/(1-MAX(0,CK89)*H_Exit)))</f>
        <v>0</v>
      </c>
      <c r="TY89" s="20" t="n">
        <f aca="false">IF(ALL88&lt;=0,0,IF(H_Direct=1,IF(CL89&lt;=0,QL89,IF(QL89&lt;=(XK89+AAX89)/CL89,QL89,(QL89-G89*(XK89+AAX89))/(1-G89*CL89))),QL89/(1-MAX(0,CL89)*H_Exit)))</f>
        <v>0</v>
      </c>
      <c r="TZ89" s="20" t="n">
        <f aca="false">IF(ALM88&lt;=0,0,IF(H_Direct=1,IF(CM89&lt;=0,QM89,IF(QM89&lt;=(XL89+AAY89)/CM89,QM89,(QM89-G89*(XL89+AAY89))/(1-G89*CM89))),QM89/(1-MAX(0,CM89)*H_Exit)))</f>
        <v>0</v>
      </c>
      <c r="UA89" s="20" t="n">
        <f aca="false">IF(ALN88&lt;=0,0,IF(H_Direct=1,IF(CN89&lt;=0,QN89,IF(QN89&lt;=(XM89+AAZ89)/CN89,QN89,(QN89-G89*(XM89+AAZ89))/(1-G89*CN89))),QN89/(1-MAX(0,CN89)*H_Exit)))</f>
        <v>0</v>
      </c>
      <c r="UB89" s="20" t="n">
        <f aca="false">IF(ALO88&lt;=0,0,IF(H_Direct=1,IF(CO89&lt;=0,QO89,IF(QO89&lt;=(XN89+ABA89)/CO89,QO89,(QO89-G89*(XN89+ABA89))/(1-G89*CO89))),QO89/(1-MAX(0,CO89)*H_Exit)))</f>
        <v>0</v>
      </c>
      <c r="UC89" s="20" t="n">
        <f aca="false">IF(ALP88&lt;=0,0,IF(H_Direct=1,IF(CP89&lt;=0,QP89,IF(QP89&lt;=(XO89+ABB89)/CP89,QP89,(QP89-G89*(XO89+ABB89))/(1-G89*CP89))),QP89/(1-MAX(0,CP89)*H_Exit)))</f>
        <v>0</v>
      </c>
      <c r="UD89" s="20" t="n">
        <f aca="false">IF(ALQ88&lt;=0,0,IF(H_Direct=1,IF(CQ89&lt;=0,QQ89,IF(QQ89&lt;=(XP89+ABC89)/CQ89,QQ89,(QQ89-G89*(XP89+ABC89))/(1-G89*CQ89))),QQ89/(1-MAX(0,CQ89)*H_Exit)))</f>
        <v>0</v>
      </c>
      <c r="UE89" s="20" t="n">
        <f aca="false">IF(ALR88&lt;=0,0,IF(H_Direct=1,IF(CR89&lt;=0,QR89,IF(QR89&lt;=(XQ89+ABD89)/CR89,QR89,(QR89-G89*(XQ89+ABD89))/(1-G89*CR89))),QR89/(1-MAX(0,CR89)*H_Exit)))</f>
        <v>0</v>
      </c>
      <c r="UF89" s="20" t="n">
        <f aca="false">IF(ALS88&lt;=0,0,IF(H_Direct=1,IF(CS89&lt;=0,QS89,IF(QS89&lt;=(XR89+ABE89)/CS89,QS89,(QS89-G89*(XR89+ABE89))/(1-G89*CS89))),QS89/(1-MAX(0,CS89)*H_Exit)))</f>
        <v>0</v>
      </c>
      <c r="UG89" s="20" t="n">
        <f aca="false">IF(ALT88&lt;=0,0,IF(H_Direct=1,IF(CT89&lt;=0,QT89,IF(QT89&lt;=(XS89+ABF89)/CT89,QT89,(QT89-G89*(XS89+ABF89))/(1-G89*CT89))),QT89/(1-MAX(0,CT89)*H_Exit)))</f>
        <v>0</v>
      </c>
      <c r="UH89" s="20" t="n">
        <f aca="false">IF(ALU88&lt;=0,0,IF(H_Direct=1,IF(CU89&lt;=0,QU89,IF(QU89&lt;=(XT89+ABG89)/CU89,QU89,(QU89-G89*(XT89+ABG89))/(1-G89*CU89))),QU89/(1-MAX(0,CU89)*H_Exit)))</f>
        <v>0</v>
      </c>
      <c r="UI89" s="20" t="n">
        <f aca="false">IF(ALV88&lt;=0,0,IF(H_Direct=1,IF(CV89&lt;=0,QV89,IF(QV89&lt;=(XU89+ABH89)/CV89,QV89,(QV89-G89*(XU89+ABH89))/(1-G89*CV89))),QV89/(1-MAX(0,CV89)*H_Exit)))</f>
        <v>0</v>
      </c>
      <c r="UJ89" s="20" t="n">
        <f aca="false">IF(ALW88&lt;=0,0,IF(H_Direct=1,IF(CW89&lt;=0,QW89,IF(QW89&lt;=(XV89+ABI89)/CW89,QW89,(QW89-G89*(XV89+ABI89))/(1-G89*CW89))),QW89/(1-MAX(0,CW89)*H_Exit)))</f>
        <v>0</v>
      </c>
      <c r="UK89" s="20" t="n">
        <f aca="false">IF(ALX88&lt;=0,0,IF(H_Direct=1,IF(CX89&lt;=0,QX89,IF(QX89&lt;=(XW89+ABJ89)/CX89,QX89,(QX89-G89*(XW89+ABJ89))/(1-G89*CX89))),QX89/(1-MAX(0,CX89)*H_Exit)))</f>
        <v>0</v>
      </c>
      <c r="UL89" s="20" t="n">
        <f aca="false">IF(ALY88&lt;=0,0,IF(H_Direct=1,IF(CY89&lt;=0,QY89,IF(QY89&lt;=(XX89+ABK89)/CY89,QY89,(QY89-G89*(XX89+ABK89))/(1-G89*CY89))),QY89/(1-MAX(0,CY89)*H_Exit)))</f>
        <v>0</v>
      </c>
      <c r="UM89" s="20" t="n">
        <f aca="false">IF(ALZ88&lt;=0,0,IF(H_Direct=1,IF(CZ89&lt;=0,QZ89,IF(QZ89&lt;=(XY89+ABL89)/CZ89,QZ89,(QZ89-G89*(XY89+ABL89))/(1-G89*CZ89))),QZ89/(1-MAX(0,CZ89)*H_Exit)))</f>
        <v>0</v>
      </c>
      <c r="UN89" s="20" t="n">
        <f aca="false">IF(AMA88&lt;=0,0,IF(H_Direct=1,IF(DA89&lt;=0,RA89,IF(RA89&lt;=(XZ89+ABM89)/DA89,RA89,(RA89-G89*(XZ89+ABM89))/(1-G89*DA89))),RA89/(1-MAX(0,DA89)*H_Exit)))</f>
        <v>0</v>
      </c>
      <c r="UO89" s="20" t="n">
        <f aca="false">IF(AMB88&lt;=0,0,IF(H_Direct=1,IF(DB89&lt;=0,RB89,IF(RB89&lt;=(YA89+ABN89)/DB89,RB89,(RB89-G89*(YA89+ABN89))/(1-G89*DB89))),RB89/(1-MAX(0,DB89)*H_Exit)))</f>
        <v>0</v>
      </c>
      <c r="UP89" s="20" t="n">
        <f aca="false">IF(AMC88&lt;=0,0,IF(H_Direct=1,IF(DC89&lt;=0,RC89,IF(RC89&lt;=(YB89+ABO89)/DC89,RC89,(RC89-G89*(YB89+ABO89))/(1-G89*DC89))),RC89/(1-MAX(0,DC89)*H_Exit)))</f>
        <v>0</v>
      </c>
      <c r="UQ89" s="20" t="n">
        <f aca="false">IF(AMD88&lt;=0,0,IF(H_Direct=1,IF(DD89&lt;=0,RD89,IF(RD89&lt;=(YC89+ABP89)/DD89,RD89,(RD89-G89*(YC89+ABP89))/(1-G89*DD89))),RD89/(1-MAX(0,DD89)*H_Exit)))</f>
        <v>0</v>
      </c>
      <c r="UR89" s="20" t="n">
        <f aca="false">IF(AME88&lt;=0,0,IF(H_Direct=1,IF(DE89&lt;=0,RE89,IF(RE89&lt;=(YD89+ABQ89)/DE89,RE89,(RE89-G89*(YD89+ABQ89))/(1-G89*DE89))),RE89/(1-MAX(0,DE89)*H_Exit)))</f>
        <v>0</v>
      </c>
      <c r="US89" s="20" t="n">
        <f aca="false">IF(AMF88&lt;=0,0,IF(H_Direct=1,IF(DF89&lt;=0,RF89,IF(RF89&lt;=(YE89+ABR89)/DF89,RF89,(RF89-G89*(YE89+ABR89))/(1-G89*DF89))),RF89/(1-MAX(0,DF89)*H_Exit)))</f>
        <v>0</v>
      </c>
      <c r="UT89" s="20" t="n">
        <f aca="false">IF(AMG88&lt;=0,0,IF(H_Direct=1,IF(DG89&lt;=0,RG89,IF(RG89&lt;=(YF89+ABS89)/DG89,RG89,(RG89-G89*(YF89+ABS89))/(1-G89*DG89))),RG89/(1-MAX(0,DG89)*H_Exit)))</f>
        <v>0</v>
      </c>
      <c r="UU89" s="20" t="n">
        <f aca="false">IF(AMH88&lt;=0,0,IF(H_Direct=1,IF(DH89&lt;=0,RH89,IF(RH89&lt;=(YG89+ABT89)/DH89,RH89,(RH89-G89*(YG89+ABT89))/(1-G89*DH89))),RH89/(1-MAX(0,DH89)*H_Exit)))</f>
        <v>0</v>
      </c>
      <c r="UV89" s="20" t="n">
        <f aca="false">IF(AMI88&lt;=0,0,IF(H_Direct=1,IF(DI89&lt;=0,RI89,IF(RI89&lt;=(YH89+ABU89)/DI89,RI89,(RI89-G89*(YH89+ABU89))/(1-G89*DI89))),RI89/(1-MAX(0,DI89)*H_Exit)))</f>
        <v>0</v>
      </c>
      <c r="UW89" s="20" t="n">
        <f aca="false">IF(AMJ88&lt;=0,0,IF(H_Direct=1,IF(DJ89&lt;=0,RJ89,IF(RJ89&lt;=(YI89+ABV89)/DJ89,RJ89,(RJ89-G89*(YI89+ABV89))/(1-G89*DJ89))),RJ89/(1-MAX(0,DJ89)*H_Exit)))</f>
        <v>0</v>
      </c>
      <c r="UX89" s="20" t="n">
        <f aca="false">IF(AMK88&lt;=0,0,IF(H_Direct=1,IF(DK89&lt;=0,RK89,IF(RK89&lt;=(YJ89+ABW89)/DK89,RK89,(RK89-G89*(YJ89+ABW89))/(1-G89*DK89))),RK89/(1-MAX(0,DK89)*H_Exit)))</f>
        <v>0</v>
      </c>
      <c r="UY89" s="20" t="n">
        <f aca="false">IF(AML88&lt;=0,0,IF(H_Direct=1,IF(DL89&lt;=0,RL89,IF(RL89&lt;=(YK89+ABX89)/DL89,RL89,(RL89-G89*(YK89+ABX89))/(1-G89*DL89))),RL89/(1-MAX(0,DL89)*H_Exit)))</f>
        <v>0</v>
      </c>
      <c r="UZ89" s="20" t="n">
        <f aca="false">IF(AMM88&lt;=0,0,IF(H_Direct=1,IF(DM89&lt;=0,RM89,IF(RM89&lt;=(YL89+ABY89)/DM89,RM89,(RM89-G89*(YL89+ABY89))/(1-G89*DM89))),RM89/(1-MAX(0,DM89)*H_Exit)))</f>
        <v>0</v>
      </c>
      <c r="VA89" s="20" t="n">
        <f aca="false">IF(AMN88&lt;=0,0,IF(H_Direct=1,IF(DN89&lt;=0,RN89,IF(RN89&lt;=(YM89+ABZ89)/DN89,RN89,(RN89-G89*(YM89+ABZ89))/(1-G89*DN89))),RN89/(1-MAX(0,DN89)*H_Exit)))</f>
        <v>0</v>
      </c>
      <c r="VB89" s="20" t="n">
        <f aca="false">IF(AMO88&lt;=0,0,IF(H_Direct=1,IF(DO89&lt;=0,RO89,IF(RO89&lt;=(YN89+ACA89)/DO89,RO89,(RO89-G89*(YN89+ACA89))/(1-G89*DO89))),RO89/(1-MAX(0,DO89)*H_Exit)))</f>
        <v>0</v>
      </c>
      <c r="VC89" s="20" t="n">
        <f aca="false">IF(AMP88&lt;=0,0,IF(H_Direct=1,IF(DP89&lt;=0,RP89,IF(RP89&lt;=(YO89+ACB89)/DP89,RP89,(RP89-G89*(YO89+ACB89))/(1-G89*DP89))),RP89/(1-MAX(0,DP89)*H_Exit)))</f>
        <v>0</v>
      </c>
      <c r="VD89" s="20" t="n">
        <f aca="false">IF(AMQ88&lt;=0,0,IF(H_Direct=1,IF(DQ89&lt;=0,RQ89,IF(RQ89&lt;=(YP89+ACC89)/DQ89,RQ89,(RQ89-G89*(YP89+ACC89))/(1-G89*DQ89))),RQ89/(1-MAX(0,DQ89)*H_Exit)))</f>
        <v>0</v>
      </c>
      <c r="VE89" s="20" t="n">
        <f aca="false">IF(AMR88&lt;=0,0,IF(H_Direct=1,IF(DR89&lt;=0,RR89,IF(RR89&lt;=(YQ89+ACD89)/DR89,RR89,(RR89-G89*(YQ89+ACD89))/(1-G89*DR89))),RR89/(1-MAX(0,DR89)*H_Exit)))</f>
        <v>0</v>
      </c>
      <c r="VF89" s="20" t="n">
        <f aca="false">IF(AMS88&lt;=0,0,IF(H_Direct=1,IF(DS89&lt;=0,RS89,IF(RS89&lt;=(YR89+ACE89)/DS89,RS89,(RS89-G89*(YR89+ACE89))/(1-G89*DS89))),RS89/(1-MAX(0,DS89)*H_Exit)))</f>
        <v>0</v>
      </c>
      <c r="VG89" s="20" t="n">
        <f aca="false">IF(AMT88&lt;=0,0,IF(H_Direct=1,IF(DT89&lt;=0,RT89,IF(RT89&lt;=(YS89+ACF89)/DT89,RT89,(RT89-G89*(YS89+ACF89))/(1-G89*DT89))),RT89/(1-MAX(0,DT89)*H_Exit)))</f>
        <v>0</v>
      </c>
      <c r="VH89" s="20" t="n">
        <f aca="false">IF(AMU88&lt;=0,0,IF(H_Direct=1,IF(DU89&lt;=0,RU89,IF(RU89&lt;=(YT89+ACG89)/DU89,RU89,(RU89-G89*(YT89+ACG89))/(1-G89*DU89))),RU89/(1-MAX(0,DU89)*H_Exit)))</f>
        <v>0</v>
      </c>
      <c r="VI89" s="20" t="n">
        <f aca="false">IF(AMV88&lt;=0,0,IF(H_Direct=1,IF(DV89&lt;=0,RV89,IF(RV89&lt;=(YU89+ACH89)/DV89,RV89,(RV89-G89*(YU89+ACH89))/(1-G89*DV89))),RV89/(1-MAX(0,DV89)*H_Exit)))</f>
        <v>0</v>
      </c>
      <c r="VJ89" s="20" t="n">
        <f aca="false">IF(AMW88&lt;=0,0,IF(H_Direct=1,IF(DW89&lt;=0,RW89,IF(RW89&lt;=(YV89+ACI89)/DW89,RW89,(RW89-G89*(YV89+ACI89))/(1-G89*DW89))),RW89/(1-MAX(0,DW89)*H_Exit)))</f>
        <v>0</v>
      </c>
      <c r="VK89" s="20" t="n">
        <f aca="false">IF(AMX88&lt;=0,0,IF(H_Direct=1,IF(DX89&lt;=0,RX89,IF(RX89&lt;=(YW89+ACJ89)/DX89,RX89,(RX89-G89*(YW89+ACJ89))/(1-G89*DX89))),RX89/(1-MAX(0,DX89)*H_Exit)))</f>
        <v>0</v>
      </c>
      <c r="VL89" s="20" t="n">
        <f aca="false">IF(AMY88&lt;=0,0,IF(H_Direct=1,IF(DY89&lt;=0,RY89,IF(RY89&lt;=(YX89+ACK89)/DY89,RY89,(RY89-G89*(YX89+ACK89))/(1-G89*DY89))),RY89/(1-MAX(0,DY89)*H_Exit)))</f>
        <v>0</v>
      </c>
      <c r="VM89" s="20" t="n">
        <f aca="false">IF(AMZ88&lt;=0,0,IF(H_Direct=1,IF(DZ89&lt;=0,RZ89,IF(RZ89&lt;=(YY89+ACL89)/DZ89,RZ89,(RZ89-G89*(YY89+ACL89))/(1-G89*DZ89))),RZ89/(1-MAX(0,DZ89)*H_Exit)))</f>
        <v>0</v>
      </c>
      <c r="VN89" s="20" t="n">
        <f aca="false">IF(ANA88&lt;=0,0,IF(H_Direct=1,IF(EA89&lt;=0,SA89,IF(SA89&lt;=(YZ89+ACM89)/EA89,SA89,(SA89-G89*(YZ89+ACM89))/(1-G89*EA89))),SA89/(1-MAX(0,EA89)*H_Exit)))</f>
        <v>0</v>
      </c>
      <c r="VO89" s="20" t="n">
        <f aca="false">IF(ANB88&lt;=0,0,IF(H_Direct=1,IF(EB89&lt;=0,SB89,IF(SB89&lt;=(ZA89+ACN89)/EB89,SB89,(SB89-G89*(ZA89+ACN89))/(1-G89*EB89))),SB89/(1-MAX(0,EB89)*H_Exit)))</f>
        <v>0</v>
      </c>
      <c r="VP89" s="20" t="n">
        <f aca="false">IF(ANC88&lt;=0,0,IF(H_Direct=1,IF(EC89&lt;=0,SC89,IF(SC89&lt;=(ZB89+ACO89)/EC89,SC89,(SC89-G89*(ZB89+ACO89))/(1-G89*EC89))),SC89/(1-MAX(0,EC89)*H_Exit)))</f>
        <v>0</v>
      </c>
      <c r="VQ89" s="20" t="n">
        <f aca="false">IF(AND88&lt;=0,0,IF(H_Direct=1,IF(ED89&lt;=0,SD89,IF(SD89&lt;=(ZC89+ACP89)/ED89,SD89,(SD89-G89*(ZC89+ACP89))/(1-G89*ED89))),SD89/(1-MAX(0,ED89)*H_Exit)))</f>
        <v>0</v>
      </c>
      <c r="VR89" s="20" t="n">
        <f aca="false">IF(ANE88&lt;=0,0,IF(H_Direct=1,IF(EE89&lt;=0,SE89,IF(SE89&lt;=(ZD89+ACQ89)/EE89,SE89,(SE89-G89*(ZD89+ACQ89))/(1-G89*EE89))),SE89/(1-MAX(0,EE89)*H_Exit)))</f>
        <v>0</v>
      </c>
      <c r="VS89" s="20" t="n">
        <f aca="false">IF(ANF88&lt;=0,0,IF(H_Direct=1,IF(EF89&lt;=0,SF89,IF(SF89&lt;=(ZE89+ACR89)/EF89,SF89,(SF89-G89*(ZE89+ACR89))/(1-G89*EF89))),SF89/(1-MAX(0,EF89)*H_Exit)))</f>
        <v>0</v>
      </c>
      <c r="VT89" s="20" t="n">
        <f aca="false">IF(ANG88&lt;=0,0,IF(H_Direct=1,IF(EG89&lt;=0,SG89,IF(SG89&lt;=(ZF89+ACS89)/EG89,SG89,(SG89-G89*(ZF89+ACS89))/(1-G89*EG89))),SG89/(1-MAX(0,EG89)*H_Exit)))</f>
        <v>0</v>
      </c>
      <c r="VU89" s="20" t="n">
        <f aca="false">IF(ANH88&lt;=0,0,IF(H_Direct=1,IF(EH89&lt;=0,SH89,IF(SH89&lt;=(ZG89+ACT89)/EH89,SH89,(SH89-G89*(ZG89+ACT89))/(1-G89*EH89))),SH89/(1-MAX(0,EH89)*H_Exit)))</f>
        <v>0</v>
      </c>
      <c r="VV89" s="20" t="n">
        <f aca="false">IF(ANI88&lt;=0,0,IF(H_Direct=1,IF(EI89&lt;=0,SI89,IF(SI89&lt;=(ZH89+ACU89)/EI89,SI89,(SI89-G89*(ZH89+ACU89))/(1-G89*EI89))),SI89/(1-MAX(0,EI89)*H_Exit)))</f>
        <v>0</v>
      </c>
      <c r="VW89" s="20" t="n">
        <f aca="false">IF(ANJ88&lt;=0,0,IF(H_Direct=1,IF(EJ89&lt;=0,SJ89,IF(SJ89&lt;=(ZI89+ACV89)/EJ89,SJ89,(SJ89-G89*(ZI89+ACV89))/(1-G89*EJ89))),SJ89/(1-MAX(0,EJ89)*H_Exit)))</f>
        <v>0</v>
      </c>
      <c r="VX89" s="20" t="n">
        <f aca="false">IF(ANK88&lt;=0,0,IF(H_Direct=1,IF(EK89&lt;=0,SK89,IF(SK89&lt;=(ZJ89+ACW89)/EK89,SK89,(SK89-G89*(ZJ89+ACW89))/(1-G89*EK89))),SK89/(1-MAX(0,EK89)*H_Exit)))</f>
        <v>0</v>
      </c>
      <c r="VY89" s="20" t="n">
        <f aca="false">IF(ANL88&lt;=0,0,IF(H_Direct=1,IF(EL89&lt;=0,SL89,IF(SL89&lt;=(ZK89+ACX89)/EL89,SL89,(SL89-G89*(ZK89+ACX89))/(1-G89*EL89))),SL89/(1-MAX(0,EL89)*H_Exit)))</f>
        <v>0</v>
      </c>
      <c r="VZ89" s="20" t="n">
        <f aca="false">IF(ANM88&lt;=0,0,IF(H_Direct=1,IF(EM89&lt;=0,SM89,IF(SM89&lt;=(ZL89+ACY89)/EM89,SM89,(SM89-G89*(ZL89+ACY89))/(1-G89*EM89))),SM89/(1-MAX(0,EM89)*H_Exit)))</f>
        <v>0</v>
      </c>
      <c r="WA89" s="20" t="n">
        <f aca="false">IF(ANN88&lt;=0,0,IF(H_Direct=1,IF(EN89&lt;=0,SN89,IF(SN89&lt;=(ZM89+ACZ89)/EN89,SN89,(SN89-G89*(ZM89+ACZ89))/(1-G89*EN89))),SN89/(1-MAX(0,EN89)*H_Exit)))</f>
        <v>0</v>
      </c>
      <c r="WB89" s="20" t="n">
        <f aca="false">IF(ANO88&lt;=0,0,IF(H_Direct=1,IF(EO89&lt;=0,SO89,IF(SO89&lt;=(ZN89+ADA89)/EO89,SO89,(SO89-G89*(ZN89+ADA89))/(1-G89*EO89))),SO89/(1-MAX(0,EO89)*H_Exit)))</f>
        <v>0</v>
      </c>
      <c r="WC89" s="20" t="n">
        <f aca="false">IF(ANP88&lt;=0,0,IF(H_Direct=1,IF(EP89&lt;=0,SP89,IF(SP89&lt;=(ZO89+ADB89)/EP89,SP89,(SP89-G89*(ZO89+ADB89))/(1-G89*EP89))),SP89/(1-MAX(0,EP89)*H_Exit)))</f>
        <v>0</v>
      </c>
      <c r="WD89" s="20" t="n">
        <f aca="false">IF(ANQ88&lt;=0,0,IF(H_Direct=1,IF(EQ89&lt;=0,SQ89,IF(SQ89&lt;=(ZP89+ADC89)/EQ89,SQ89,(SQ89-G89*(ZP89+ADC89))/(1-G89*EQ89))),SQ89/(1-MAX(0,EQ89)*H_Exit)))</f>
        <v>0</v>
      </c>
      <c r="WE89" s="20" t="n">
        <f aca="false">IF(ANR88&lt;=0,0,IF(H_Direct=1,IF(ER89&lt;=0,SR89,IF(SR89&lt;=(ZQ89+ADD89)/ER89,SR89,(SR89-G89*(ZQ89+ADD89))/(1-G89*ER89))),SR89/(1-MAX(0,ER89)*H_Exit)))</f>
        <v>0</v>
      </c>
      <c r="WF89" s="20" t="n">
        <f aca="false">IF(ANS88&lt;=0,0,IF(H_Direct=1,IF(ES89&lt;=0,SS89,IF(SS89&lt;=(ZR89+ADE89)/ES89,SS89,(SS89-G89*(ZR89+ADE89))/(1-G89*ES89))),SS89/(1-MAX(0,ES89)*H_Exit)))</f>
        <v>0</v>
      </c>
      <c r="WG89" s="20" t="n">
        <f aca="false">IF(ANT88&lt;=0,0,IF(H_Direct=1,IF(ET89&lt;=0,ST89,IF(ST89&lt;=(ZS89+ADF89)/ET89,ST89,(ST89-G89*(ZS89+ADF89))/(1-G89*ET89))),ST89/(1-MAX(0,ET89)*H_Exit)))</f>
        <v>0</v>
      </c>
      <c r="WH89" s="20" t="n">
        <f aca="false">IF(ANU88&lt;=0,0,IF(H_Direct=1,IF(EU89&lt;=0,SU89,IF(SU89&lt;=(ZT89+ADG89)/EU89,SU89,(SU89-G89*(ZT89+ADG89))/(1-G89*EU89))),SU89/(1-MAX(0,EU89)*H_Exit)))</f>
        <v>0</v>
      </c>
      <c r="WI89" s="20" t="n">
        <f aca="false">IF((P89+S89)&lt;=0,0,IF(H_Direct=1,IF(EV89&lt;=0,SV89,IF(SV89&lt;=(ZU89+ADH89)/EV89,SV89,(SV89-G89*(ZU89+ADH89))/(1-G89*EV89))),SV89/(1-MAX(0,EV89)*H_Exit)))</f>
        <v>0</v>
      </c>
      <c r="WJ89" s="20" t="n">
        <v>0</v>
      </c>
      <c r="WK89" s="20" t="n">
        <v>0</v>
      </c>
      <c r="WL89" s="20" t="n">
        <v>0</v>
      </c>
      <c r="WM89" s="20" t="n">
        <v>0</v>
      </c>
      <c r="WN89" s="20" t="n">
        <v>0</v>
      </c>
      <c r="WO89" s="20" t="n">
        <v>0</v>
      </c>
      <c r="WP89" s="20" t="n">
        <v>0</v>
      </c>
      <c r="WQ89" s="20" t="n">
        <v>0</v>
      </c>
      <c r="WR89" s="20" t="n">
        <f aca="false">IF(AND(H_Direct=1,BR89&gt;0),MAX(0,H89-(MIN(BR89*TE89,(H89+I89))-MIN(MIN(BR89*TE89,(H89+I89)),I89))),H89)</f>
        <v>1270</v>
      </c>
      <c r="WS89" s="20" t="n">
        <f aca="false">IF(AND(H_Direct=1,BS89&gt;0),MAX(0,WR89-(MIN(BS89*TF89,(WR89+AAE89))-MIN(MIN(BS89*TF89,(WR89+AAE89)),AAE89))),WR89)</f>
        <v>1270</v>
      </c>
      <c r="WT89" s="20" t="n">
        <f aca="false">IF(AND(H_Direct=1,BT89&gt;0),MAX(0,WS89-(MIN(BT89*TG89,(WS89+AAF89))-MIN(MIN(BT89*TG89,(WS89+AAF89)),AAF89))),WS89)</f>
        <v>1270</v>
      </c>
      <c r="WU89" s="20" t="n">
        <f aca="false">IF(AND(H_Direct=1,BU89&gt;0),MAX(0,WT89-(MIN(BU89*TH89,(WT89+AAG89))-MIN(MIN(BU89*TH89,(WT89+AAG89)),AAG89))),WT89)</f>
        <v>1270</v>
      </c>
      <c r="WV89" s="20" t="n">
        <f aca="false">IF(AND(H_Direct=1,BV89&gt;0),MAX(0,WU89-(MIN(BV89*TI89,(WU89+AAH89))-MIN(MIN(BV89*TI89,(WU89+AAH89)),AAH89))),WU89)</f>
        <v>1270</v>
      </c>
      <c r="WW89" s="20" t="n">
        <f aca="false">IF(AND(H_Direct=1,BW89&gt;0),MAX(0,WV89-(MIN(BW89*TJ89,(WV89+AAI89))-MIN(MIN(BW89*TJ89,(WV89+AAI89)),AAI89))),WV89)</f>
        <v>1270</v>
      </c>
      <c r="WX89" s="20" t="n">
        <f aca="false">IF(AND(H_Direct=1,BX89&gt;0),MAX(0,WW89-(MIN(BX89*TK89,(WW89+AAJ89))-MIN(MIN(BX89*TK89,(WW89+AAJ89)),AAJ89))),WW89)</f>
        <v>1270</v>
      </c>
      <c r="WY89" s="20" t="n">
        <f aca="false">IF(AND(H_Direct=1,BY89&gt;0),MAX(0,WX89-(MIN(BY89*TL89,(WX89+AAK89))-MIN(MIN(BY89*TL89,(WX89+AAK89)),AAK89))),WX89)</f>
        <v>1270</v>
      </c>
      <c r="WZ89" s="20" t="n">
        <f aca="false">IF(AND(H_Direct=1,BZ89&gt;0),MAX(0,WY89-(MIN(BZ89*TM89,(WY89+AAL89))-MIN(MIN(BZ89*TM89,(WY89+AAL89)),AAL89))),WY89)</f>
        <v>1270</v>
      </c>
      <c r="XA89" s="20" t="n">
        <f aca="false">IF(AND(H_Direct=1,CA89&gt;0),MAX(0,WZ89-(MIN(CA89*TN89,(WZ89+AAM89))-MIN(MIN(CA89*TN89,(WZ89+AAM89)),AAM89))),WZ89)</f>
        <v>1270</v>
      </c>
      <c r="XB89" s="20" t="n">
        <f aca="false">IF(AND(H_Direct=1,CB89&gt;0),MAX(0,XA89-(MIN(CB89*TO89,(XA89+AAN89))-MIN(MIN(CB89*TO89,(XA89+AAN89)),AAN89))),XA89)</f>
        <v>1270</v>
      </c>
      <c r="XC89" s="20" t="n">
        <f aca="false">IF(AND(H_Direct=1,CC89&gt;0),MAX(0,XB89-(MIN(CC89*TP89,(XB89+AAO89))-MIN(MIN(CC89*TP89,(XB89+AAO89)),AAO89))),XB89)</f>
        <v>1270</v>
      </c>
      <c r="XD89" s="20" t="n">
        <f aca="false">IF(AND(H_Direct=1,CD89&gt;0),MAX(0,XC89-(MIN(CD89*TQ89,(XC89+AAP89))-MIN(MIN(CD89*TQ89,(XC89+AAP89)),AAP89))),XC89)</f>
        <v>1270</v>
      </c>
      <c r="XE89" s="20" t="n">
        <f aca="false">IF(AND(H_Direct=1,CE89&gt;0),MAX(0,XD89-(MIN(CE89*TR89,(XD89+AAQ89))-MIN(MIN(CE89*TR89,(XD89+AAQ89)),AAQ89))),XD89)</f>
        <v>1270</v>
      </c>
      <c r="XF89" s="20" t="n">
        <f aca="false">IF(AND(H_Direct=1,CF89&gt;0),MAX(0,XE89-(MIN(CF89*TS89,(XE89+AAR89))-MIN(MIN(CF89*TS89,(XE89+AAR89)),AAR89))),XE89)</f>
        <v>1270</v>
      </c>
      <c r="XG89" s="20" t="n">
        <f aca="false">IF(AND(H_Direct=1,CG89&gt;0),MAX(0,XF89-(MIN(CG89*TT89,(XF89+AAS89))-MIN(MIN(CG89*TT89,(XF89+AAS89)),AAS89))),XF89)</f>
        <v>1270</v>
      </c>
      <c r="XH89" s="20" t="n">
        <f aca="false">IF(AND(H_Direct=1,CH89&gt;0),MAX(0,XG89-(MIN(CH89*TU89,(XG89+AAT89))-MIN(MIN(CH89*TU89,(XG89+AAT89)),AAT89))),XG89)</f>
        <v>1270</v>
      </c>
      <c r="XI89" s="20" t="n">
        <f aca="false">IF(AND(H_Direct=1,CI89&gt;0),MAX(0,XH89-(MIN(CI89*TV89,(XH89+AAU89))-MIN(MIN(CI89*TV89,(XH89+AAU89)),AAU89))),XH89)</f>
        <v>1270</v>
      </c>
      <c r="XJ89" s="20" t="n">
        <f aca="false">IF(AND(H_Direct=1,CJ89&gt;0),MAX(0,XI89-(MIN(CJ89*TW89,(XI89+AAV89))-MIN(MIN(CJ89*TW89,(XI89+AAV89)),AAV89))),XI89)</f>
        <v>1270</v>
      </c>
      <c r="XK89" s="20" t="n">
        <f aca="false">IF(AND(H_Direct=1,CK89&gt;0),MAX(0,XJ89-(MIN(CK89*TX89,(XJ89+AAW89))-MIN(MIN(CK89*TX89,(XJ89+AAW89)),AAW89))),XJ89)</f>
        <v>1270</v>
      </c>
      <c r="XL89" s="20" t="n">
        <f aca="false">IF(AND(H_Direct=1,CL89&gt;0),MAX(0,XK89-(MIN(CL89*TY89,(XK89+AAX89))-MIN(MIN(CL89*TY89,(XK89+AAX89)),AAX89))),XK89)</f>
        <v>1270</v>
      </c>
      <c r="XM89" s="20" t="n">
        <f aca="false">IF(AND(H_Direct=1,CM89&gt;0),MAX(0,XL89-(MIN(CM89*TZ89,(XL89+AAY89))-MIN(MIN(CM89*TZ89,(XL89+AAY89)),AAY89))),XL89)</f>
        <v>1270</v>
      </c>
      <c r="XN89" s="20" t="n">
        <f aca="false">IF(AND(H_Direct=1,CN89&gt;0),MAX(0,XM89-(MIN(CN89*UA89,(XM89+AAZ89))-MIN(MIN(CN89*UA89,(XM89+AAZ89)),AAZ89))),XM89)</f>
        <v>1270</v>
      </c>
      <c r="XO89" s="20" t="n">
        <f aca="false">IF(AND(H_Direct=1,CO89&gt;0),MAX(0,XN89-(MIN(CO89*UB89,(XN89+ABA89))-MIN(MIN(CO89*UB89,(XN89+ABA89)),ABA89))),XN89)</f>
        <v>1270</v>
      </c>
      <c r="XP89" s="20" t="n">
        <f aca="false">IF(AND(H_Direct=1,CP89&gt;0),MAX(0,XO89-(MIN(CP89*UC89,(XO89+ABB89))-MIN(MIN(CP89*UC89,(XO89+ABB89)),ABB89))),XO89)</f>
        <v>1270</v>
      </c>
      <c r="XQ89" s="20" t="n">
        <f aca="false">IF(AND(H_Direct=1,CQ89&gt;0),MAX(0,XP89-(MIN(CQ89*UD89,(XP89+ABC89))-MIN(MIN(CQ89*UD89,(XP89+ABC89)),ABC89))),XP89)</f>
        <v>1270</v>
      </c>
      <c r="XR89" s="20" t="n">
        <f aca="false">IF(AND(H_Direct=1,CR89&gt;0),MAX(0,XQ89-(MIN(CR89*UE89,(XQ89+ABD89))-MIN(MIN(CR89*UE89,(XQ89+ABD89)),ABD89))),XQ89)</f>
        <v>1270</v>
      </c>
      <c r="XS89" s="20" t="n">
        <f aca="false">IF(AND(H_Direct=1,CS89&gt;0),MAX(0,XR89-(MIN(CS89*UF89,(XR89+ABE89))-MIN(MIN(CS89*UF89,(XR89+ABE89)),ABE89))),XR89)</f>
        <v>1270</v>
      </c>
      <c r="XT89" s="20" t="n">
        <f aca="false">IF(AND(H_Direct=1,CT89&gt;0),MAX(0,XS89-(MIN(CT89*UG89,(XS89+ABF89))-MIN(MIN(CT89*UG89,(XS89+ABF89)),ABF89))),XS89)</f>
        <v>1270</v>
      </c>
      <c r="XU89" s="20" t="n">
        <f aca="false">IF(AND(H_Direct=1,CU89&gt;0),MAX(0,XT89-(MIN(CU89*UH89,(XT89+ABG89))-MIN(MIN(CU89*UH89,(XT89+ABG89)),ABG89))),XT89)</f>
        <v>1270</v>
      </c>
      <c r="XV89" s="20" t="n">
        <f aca="false">IF(AND(H_Direct=1,CV89&gt;0),MAX(0,XU89-(MIN(CV89*UI89,(XU89+ABH89))-MIN(MIN(CV89*UI89,(XU89+ABH89)),ABH89))),XU89)</f>
        <v>1270</v>
      </c>
      <c r="XW89" s="20" t="n">
        <f aca="false">IF(AND(H_Direct=1,CW89&gt;0),MAX(0,XV89-(MIN(CW89*UJ89,(XV89+ABI89))-MIN(MIN(CW89*UJ89,(XV89+ABI89)),ABI89))),XV89)</f>
        <v>1270</v>
      </c>
      <c r="XX89" s="20" t="n">
        <f aca="false">IF(AND(H_Direct=1,CX89&gt;0),MAX(0,XW89-(MIN(CX89*UK89,(XW89+ABJ89))-MIN(MIN(CX89*UK89,(XW89+ABJ89)),ABJ89))),XW89)</f>
        <v>1270</v>
      </c>
      <c r="XY89" s="20" t="n">
        <f aca="false">IF(AND(H_Direct=1,CY89&gt;0),MAX(0,XX89-(MIN(CY89*UL89,(XX89+ABK89))-MIN(MIN(CY89*UL89,(XX89+ABK89)),ABK89))),XX89)</f>
        <v>1270</v>
      </c>
      <c r="XZ89" s="20" t="n">
        <f aca="false">IF(AND(H_Direct=1,CZ89&gt;0),MAX(0,XY89-(MIN(CZ89*UM89,(XY89+ABL89))-MIN(MIN(CZ89*UM89,(XY89+ABL89)),ABL89))),XY89)</f>
        <v>1270</v>
      </c>
      <c r="YA89" s="20" t="n">
        <f aca="false">IF(AND(H_Direct=1,DA89&gt;0),MAX(0,XZ89-(MIN(DA89*UN89,(XZ89+ABM89))-MIN(MIN(DA89*UN89,(XZ89+ABM89)),ABM89))),XZ89)</f>
        <v>1270</v>
      </c>
      <c r="YB89" s="20" t="n">
        <f aca="false">IF(AND(H_Direct=1,DB89&gt;0),MAX(0,YA89-(MIN(DB89*UO89,(YA89+ABN89))-MIN(MIN(DB89*UO89,(YA89+ABN89)),ABN89))),YA89)</f>
        <v>1270</v>
      </c>
      <c r="YC89" s="20" t="n">
        <f aca="false">IF(AND(H_Direct=1,DC89&gt;0),MAX(0,YB89-(MIN(DC89*UP89,(YB89+ABO89))-MIN(MIN(DC89*UP89,(YB89+ABO89)),ABO89))),YB89)</f>
        <v>1270</v>
      </c>
      <c r="YD89" s="20" t="n">
        <f aca="false">IF(AND(H_Direct=1,DD89&gt;0),MAX(0,YC89-(MIN(DD89*UQ89,(YC89+ABP89))-MIN(MIN(DD89*UQ89,(YC89+ABP89)),ABP89))),YC89)</f>
        <v>1270</v>
      </c>
      <c r="YE89" s="20" t="n">
        <f aca="false">IF(AND(H_Direct=1,DE89&gt;0),MAX(0,YD89-(MIN(DE89*UR89,(YD89+ABQ89))-MIN(MIN(DE89*UR89,(YD89+ABQ89)),ABQ89))),YD89)</f>
        <v>1270</v>
      </c>
      <c r="YF89" s="20" t="n">
        <f aca="false">IF(AND(H_Direct=1,DF89&gt;0),MAX(0,YE89-(MIN(DF89*US89,(YE89+ABR89))-MIN(MIN(DF89*US89,(YE89+ABR89)),ABR89))),YE89)</f>
        <v>1270</v>
      </c>
      <c r="YG89" s="20" t="n">
        <f aca="false">IF(AND(H_Direct=1,DG89&gt;0),MAX(0,YF89-(MIN(DG89*UT89,(YF89+ABS89))-MIN(MIN(DG89*UT89,(YF89+ABS89)),ABS89))),YF89)</f>
        <v>1270</v>
      </c>
      <c r="YH89" s="20" t="n">
        <f aca="false">IF(AND(H_Direct=1,DH89&gt;0),MAX(0,YG89-(MIN(DH89*UU89,(YG89+ABT89))-MIN(MIN(DH89*UU89,(YG89+ABT89)),ABT89))),YG89)</f>
        <v>1270</v>
      </c>
      <c r="YI89" s="20" t="n">
        <f aca="false">IF(AND(H_Direct=1,DI89&gt;0),MAX(0,YH89-(MIN(DI89*UV89,(YH89+ABU89))-MIN(MIN(DI89*UV89,(YH89+ABU89)),ABU89))),YH89)</f>
        <v>1270</v>
      </c>
      <c r="YJ89" s="20" t="n">
        <f aca="false">IF(AND(H_Direct=1,DJ89&gt;0),MAX(0,YI89-(MIN(DJ89*UW89,(YI89+ABV89))-MIN(MIN(DJ89*UW89,(YI89+ABV89)),ABV89))),YI89)</f>
        <v>1270</v>
      </c>
      <c r="YK89" s="20" t="n">
        <f aca="false">IF(AND(H_Direct=1,DK89&gt;0),MAX(0,YJ89-(MIN(DK89*UX89,(YJ89+ABW89))-MIN(MIN(DK89*UX89,(YJ89+ABW89)),ABW89))),YJ89)</f>
        <v>1270</v>
      </c>
      <c r="YL89" s="20" t="n">
        <f aca="false">IF(AND(H_Direct=1,DL89&gt;0),MAX(0,YK89-(MIN(DL89*UY89,(YK89+ABX89))-MIN(MIN(DL89*UY89,(YK89+ABX89)),ABX89))),YK89)</f>
        <v>1270</v>
      </c>
      <c r="YM89" s="20" t="n">
        <f aca="false">IF(AND(H_Direct=1,DM89&gt;0),MAX(0,YL89-(MIN(DM89*UZ89,(YL89+ABY89))-MIN(MIN(DM89*UZ89,(YL89+ABY89)),ABY89))),YL89)</f>
        <v>1270</v>
      </c>
      <c r="YN89" s="20" t="n">
        <f aca="false">IF(AND(H_Direct=1,DN89&gt;0),MAX(0,YM89-(MIN(DN89*VA89,(YM89+ABZ89))-MIN(MIN(DN89*VA89,(YM89+ABZ89)),ABZ89))),YM89)</f>
        <v>1270</v>
      </c>
      <c r="YO89" s="20" t="n">
        <f aca="false">IF(AND(H_Direct=1,DO89&gt;0),MAX(0,YN89-(MIN(DO89*VB89,(YN89+ACA89))-MIN(MIN(DO89*VB89,(YN89+ACA89)),ACA89))),YN89)</f>
        <v>1270</v>
      </c>
      <c r="YP89" s="20" t="n">
        <f aca="false">IF(AND(H_Direct=1,DP89&gt;0),MAX(0,YO89-(MIN(DP89*VC89,(YO89+ACB89))-MIN(MIN(DP89*VC89,(YO89+ACB89)),ACB89))),YO89)</f>
        <v>1270</v>
      </c>
      <c r="YQ89" s="20" t="n">
        <f aca="false">IF(AND(H_Direct=1,DQ89&gt;0),MAX(0,YP89-(MIN(DQ89*VD89,(YP89+ACC89))-MIN(MIN(DQ89*VD89,(YP89+ACC89)),ACC89))),YP89)</f>
        <v>1270</v>
      </c>
      <c r="YR89" s="20" t="n">
        <f aca="false">IF(AND(H_Direct=1,DR89&gt;0),MAX(0,YQ89-(MIN(DR89*VE89,(YQ89+ACD89))-MIN(MIN(DR89*VE89,(YQ89+ACD89)),ACD89))),YQ89)</f>
        <v>1270</v>
      </c>
      <c r="YS89" s="20" t="n">
        <f aca="false">IF(AND(H_Direct=1,DS89&gt;0),MAX(0,YR89-(MIN(DS89*VF89,(YR89+ACE89))-MIN(MIN(DS89*VF89,(YR89+ACE89)),ACE89))),YR89)</f>
        <v>1270</v>
      </c>
      <c r="YT89" s="20" t="n">
        <f aca="false">IF(AND(H_Direct=1,DT89&gt;0),MAX(0,YS89-(MIN(DT89*VG89,(YS89+ACF89))-MIN(MIN(DT89*VG89,(YS89+ACF89)),ACF89))),YS89)</f>
        <v>1270</v>
      </c>
      <c r="YU89" s="20" t="n">
        <f aca="false">IF(AND(H_Direct=1,DU89&gt;0),MAX(0,YT89-(MIN(DU89*VH89,(YT89+ACG89))-MIN(MIN(DU89*VH89,(YT89+ACG89)),ACG89))),YT89)</f>
        <v>1270</v>
      </c>
      <c r="YV89" s="20" t="n">
        <f aca="false">IF(AND(H_Direct=1,DV89&gt;0),MAX(0,YU89-(MIN(DV89*VI89,(YU89+ACH89))-MIN(MIN(DV89*VI89,(YU89+ACH89)),ACH89))),YU89)</f>
        <v>1270</v>
      </c>
      <c r="YW89" s="20" t="n">
        <f aca="false">IF(AND(H_Direct=1,DW89&gt;0),MAX(0,YV89-(MIN(DW89*VJ89,(YV89+ACI89))-MIN(MIN(DW89*VJ89,(YV89+ACI89)),ACI89))),YV89)</f>
        <v>1270</v>
      </c>
      <c r="YX89" s="20" t="n">
        <f aca="false">IF(AND(H_Direct=1,DX89&gt;0),MAX(0,YW89-(MIN(DX89*VK89,(YW89+ACJ89))-MIN(MIN(DX89*VK89,(YW89+ACJ89)),ACJ89))),YW89)</f>
        <v>1270</v>
      </c>
      <c r="YY89" s="20" t="n">
        <f aca="false">IF(AND(H_Direct=1,DY89&gt;0),MAX(0,YX89-(MIN(DY89*VL89,(YX89+ACK89))-MIN(MIN(DY89*VL89,(YX89+ACK89)),ACK89))),YX89)</f>
        <v>1270</v>
      </c>
      <c r="YZ89" s="20" t="n">
        <f aca="false">IF(AND(H_Direct=1,DZ89&gt;0),MAX(0,YY89-(MIN(DZ89*VM89,(YY89+ACL89))-MIN(MIN(DZ89*VM89,(YY89+ACL89)),ACL89))),YY89)</f>
        <v>1270</v>
      </c>
      <c r="ZA89" s="20" t="n">
        <f aca="false">IF(AND(H_Direct=1,EA89&gt;0),MAX(0,YZ89-(MIN(EA89*VN89,(YZ89+ACM89))-MIN(MIN(EA89*VN89,(YZ89+ACM89)),ACM89))),YZ89)</f>
        <v>1270</v>
      </c>
      <c r="ZB89" s="20" t="n">
        <f aca="false">IF(AND(H_Direct=1,EB89&gt;0),MAX(0,ZA89-(MIN(EB89*VO89,(ZA89+ACN89))-MIN(MIN(EB89*VO89,(ZA89+ACN89)),ACN89))),ZA89)</f>
        <v>1270</v>
      </c>
      <c r="ZC89" s="20" t="n">
        <f aca="false">IF(AND(H_Direct=1,EC89&gt;0),MAX(0,ZB89-(MIN(EC89*VP89,(ZB89+ACO89))-MIN(MIN(EC89*VP89,(ZB89+ACO89)),ACO89))),ZB89)</f>
        <v>1270</v>
      </c>
      <c r="ZD89" s="20" t="n">
        <f aca="false">IF(AND(H_Direct=1,ED89&gt;0),MAX(0,ZC89-(MIN(ED89*VQ89,(ZC89+ACP89))-MIN(MIN(ED89*VQ89,(ZC89+ACP89)),ACP89))),ZC89)</f>
        <v>1270</v>
      </c>
      <c r="ZE89" s="20" t="n">
        <f aca="false">IF(AND(H_Direct=1,EE89&gt;0),MAX(0,ZD89-(MIN(EE89*VR89,(ZD89+ACQ89))-MIN(MIN(EE89*VR89,(ZD89+ACQ89)),ACQ89))),ZD89)</f>
        <v>1270</v>
      </c>
      <c r="ZF89" s="20" t="n">
        <f aca="false">IF(AND(H_Direct=1,EF89&gt;0),MAX(0,ZE89-(MIN(EF89*VS89,(ZE89+ACR89))-MIN(MIN(EF89*VS89,(ZE89+ACR89)),ACR89))),ZE89)</f>
        <v>1270</v>
      </c>
      <c r="ZG89" s="20" t="n">
        <f aca="false">IF(AND(H_Direct=1,EG89&gt;0),MAX(0,ZF89-(MIN(EG89*VT89,(ZF89+ACS89))-MIN(MIN(EG89*VT89,(ZF89+ACS89)),ACS89))),ZF89)</f>
        <v>1270</v>
      </c>
      <c r="ZH89" s="20" t="n">
        <f aca="false">IF(AND(H_Direct=1,EH89&gt;0),MAX(0,ZG89-(MIN(EH89*VU89,(ZG89+ACT89))-MIN(MIN(EH89*VU89,(ZG89+ACT89)),ACT89))),ZG89)</f>
        <v>1270</v>
      </c>
      <c r="ZI89" s="20" t="n">
        <f aca="false">IF(AND(H_Direct=1,EI89&gt;0),MAX(0,ZH89-(MIN(EI89*VV89,(ZH89+ACU89))-MIN(MIN(EI89*VV89,(ZH89+ACU89)),ACU89))),ZH89)</f>
        <v>1270</v>
      </c>
      <c r="ZJ89" s="20" t="n">
        <f aca="false">IF(AND(H_Direct=1,EJ89&gt;0),MAX(0,ZI89-(MIN(EJ89*VW89,(ZI89+ACV89))-MIN(MIN(EJ89*VW89,(ZI89+ACV89)),ACV89))),ZI89)</f>
        <v>1270</v>
      </c>
      <c r="ZK89" s="20" t="n">
        <f aca="false">IF(AND(H_Direct=1,EK89&gt;0),MAX(0,ZJ89-(MIN(EK89*VX89,(ZJ89+ACW89))-MIN(MIN(EK89*VX89,(ZJ89+ACW89)),ACW89))),ZJ89)</f>
        <v>1270</v>
      </c>
      <c r="ZL89" s="20" t="n">
        <f aca="false">IF(AND(H_Direct=1,EL89&gt;0),MAX(0,ZK89-(MIN(EL89*VY89,(ZK89+ACX89))-MIN(MIN(EL89*VY89,(ZK89+ACX89)),ACX89))),ZK89)</f>
        <v>1270</v>
      </c>
      <c r="ZM89" s="20" t="n">
        <f aca="false">IF(AND(H_Direct=1,EM89&gt;0),MAX(0,ZL89-(MIN(EM89*VZ89,(ZL89+ACY89))-MIN(MIN(EM89*VZ89,(ZL89+ACY89)),ACY89))),ZL89)</f>
        <v>1270</v>
      </c>
      <c r="ZN89" s="20" t="n">
        <f aca="false">IF(AND(H_Direct=1,EN89&gt;0),MAX(0,ZM89-(MIN(EN89*WA89,(ZM89+ACZ89))-MIN(MIN(EN89*WA89,(ZM89+ACZ89)),ACZ89))),ZM89)</f>
        <v>1270</v>
      </c>
      <c r="ZO89" s="20" t="n">
        <f aca="false">IF(AND(H_Direct=1,EO89&gt;0),MAX(0,ZN89-(MIN(EO89*WB89,(ZN89+ADA89))-MIN(MIN(EO89*WB89,(ZN89+ADA89)),ADA89))),ZN89)</f>
        <v>1270</v>
      </c>
      <c r="ZP89" s="20" t="n">
        <f aca="false">IF(AND(H_Direct=1,EP89&gt;0),MAX(0,ZO89-(MIN(EP89*WC89,(ZO89+ADB89))-MIN(MIN(EP89*WC89,(ZO89+ADB89)),ADB89))),ZO89)</f>
        <v>1270</v>
      </c>
      <c r="ZQ89" s="20" t="n">
        <f aca="false">IF(AND(H_Direct=1,EQ89&gt;0),MAX(0,ZP89-(MIN(EQ89*WD89,(ZP89+ADC89))-MIN(MIN(EQ89*WD89,(ZP89+ADC89)),ADC89))),ZP89)</f>
        <v>1270</v>
      </c>
      <c r="ZR89" s="20" t="n">
        <f aca="false">IF(AND(H_Direct=1,ER89&gt;0),MAX(0,ZQ89-(MIN(ER89*WE89,(ZQ89+ADD89))-MIN(MIN(ER89*WE89,(ZQ89+ADD89)),ADD89))),ZQ89)</f>
        <v>1270</v>
      </c>
      <c r="ZS89" s="20" t="n">
        <f aca="false">IF(AND(H_Direct=1,ES89&gt;0),MAX(0,ZR89-(MIN(ES89*WF89,(ZR89+ADE89))-MIN(MIN(ES89*WF89,(ZR89+ADE89)),ADE89))),ZR89)</f>
        <v>1270</v>
      </c>
      <c r="ZT89" s="20" t="n">
        <f aca="false">IF(AND(H_Direct=1,ET89&gt;0),MAX(0,ZS89-(MIN(ET89*WG89,(ZS89+ADF89))-MIN(MIN(ET89*WG89,(ZS89+ADF89)),ADF89))),ZS89)</f>
        <v>1270</v>
      </c>
      <c r="ZU89" s="20" t="n">
        <f aca="false">IF(AND(H_Direct=1,EU89&gt;0),MAX(0,ZT89-(MIN(EU89*WH89,(ZT89+ADG89))-MIN(MIN(EU89*WH89,(ZT89+ADG89)),ADG89))),ZT89)</f>
        <v>1270</v>
      </c>
      <c r="ZV89" s="20" t="n">
        <f aca="false">IF(AND(H_Direct=1,EV89&gt;0),MAX(0,ZU89-(MIN(EV89*WI89,(ZU89+ADH89))-MIN(MIN(EV89*WI89,(ZU89+ADH89)),ADH89))),ZU89)</f>
        <v>1270</v>
      </c>
      <c r="ZW89" s="20" t="n">
        <f aca="false">ZV89</f>
        <v>1270</v>
      </c>
      <c r="ZX89" s="20" t="n">
        <f aca="false">ZW89</f>
        <v>1270</v>
      </c>
      <c r="ZY89" s="20" t="n">
        <f aca="false">ZX89</f>
        <v>1270</v>
      </c>
      <c r="ZZ89" s="20" t="n">
        <f aca="false">ZY89</f>
        <v>1270</v>
      </c>
      <c r="AAA89" s="20" t="n">
        <f aca="false">ZZ89</f>
        <v>1270</v>
      </c>
      <c r="AAB89" s="20" t="n">
        <f aca="false">AAA89</f>
        <v>1270</v>
      </c>
      <c r="AAC89" s="20" t="n">
        <f aca="false">AAB89</f>
        <v>1270</v>
      </c>
      <c r="AAD89" s="20" t="n">
        <f aca="false">AAC89</f>
        <v>1270</v>
      </c>
      <c r="AAE89" s="20" t="n">
        <f aca="false">IF(H_Direct=1,IF(BR89&lt;=0,I89-BR89*TE89,I89-MIN(MIN(BR89*TE89,(H89+I89)),I89)),I89)</f>
        <v>0</v>
      </c>
      <c r="AAF89" s="20" t="n">
        <f aca="false">IF(H_Direct=1,IF(BS89&lt;=0,AAE89-BS89*TF89,AAE89-MIN(MIN(BS89*TF89,(WR89+AAE89)),AAE89)),AAE89)</f>
        <v>0</v>
      </c>
      <c r="AAG89" s="20" t="n">
        <f aca="false">IF(H_Direct=1,IF(BT89&lt;=0,AAF89-BT89*TG89,AAF89-MIN(MIN(BT89*TG89,(WS89+AAF89)),AAF89)),AAF89)</f>
        <v>0</v>
      </c>
      <c r="AAH89" s="20" t="n">
        <f aca="false">IF(H_Direct=1,IF(BU89&lt;=0,AAG89-BU89*TH89,AAG89-MIN(MIN(BU89*TH89,(WT89+AAG89)),AAG89)),AAG89)</f>
        <v>0</v>
      </c>
      <c r="AAI89" s="20" t="n">
        <f aca="false">IF(H_Direct=1,IF(BV89&lt;=0,AAH89-BV89*TI89,AAH89-MIN(MIN(BV89*TI89,(WU89+AAH89)),AAH89)),AAH89)</f>
        <v>0</v>
      </c>
      <c r="AAJ89" s="20" t="n">
        <f aca="false">IF(H_Direct=1,IF(BW89&lt;=0,AAI89-BW89*TJ89,AAI89-MIN(MIN(BW89*TJ89,(WV89+AAI89)),AAI89)),AAI89)</f>
        <v>0</v>
      </c>
      <c r="AAK89" s="20" t="n">
        <f aca="false">IF(H_Direct=1,IF(BX89&lt;=0,AAJ89-BX89*TK89,AAJ89-MIN(MIN(BX89*TK89,(WW89+AAJ89)),AAJ89)),AAJ89)</f>
        <v>0</v>
      </c>
      <c r="AAL89" s="20" t="n">
        <f aca="false">IF(H_Direct=1,IF(BY89&lt;=0,AAK89-BY89*TL89,AAK89-MIN(MIN(BY89*TL89,(WX89+AAK89)),AAK89)),AAK89)</f>
        <v>0</v>
      </c>
      <c r="AAM89" s="20" t="n">
        <f aca="false">IF(H_Direct=1,IF(BZ89&lt;=0,AAL89-BZ89*TM89,AAL89-MIN(MIN(BZ89*TM89,(WY89+AAL89)),AAL89)),AAL89)</f>
        <v>0</v>
      </c>
      <c r="AAN89" s="20" t="n">
        <f aca="false">IF(H_Direct=1,IF(CA89&lt;=0,AAM89-CA89*TN89,AAM89-MIN(MIN(CA89*TN89,(WZ89+AAM89)),AAM89)),AAM89)</f>
        <v>0</v>
      </c>
      <c r="AAO89" s="20" t="n">
        <f aca="false">IF(H_Direct=1,IF(CB89&lt;=0,AAN89-CB89*TO89,AAN89-MIN(MIN(CB89*TO89,(XA89+AAN89)),AAN89)),AAN89)</f>
        <v>0</v>
      </c>
      <c r="AAP89" s="20" t="n">
        <f aca="false">IF(H_Direct=1,IF(CC89&lt;=0,AAO89-CC89*TP89,AAO89-MIN(MIN(CC89*TP89,(XB89+AAO89)),AAO89)),AAO89)</f>
        <v>0</v>
      </c>
      <c r="AAQ89" s="20" t="n">
        <f aca="false">IF(H_Direct=1,IF(CD89&lt;=0,AAP89-CD89*TQ89,AAP89-MIN(MIN(CD89*TQ89,(XC89+AAP89)),AAP89)),AAP89)</f>
        <v>0</v>
      </c>
      <c r="AAR89" s="20" t="n">
        <f aca="false">IF(H_Direct=1,IF(CE89&lt;=0,AAQ89-CE89*TR89,AAQ89-MIN(MIN(CE89*TR89,(XD89+AAQ89)),AAQ89)),AAQ89)</f>
        <v>0</v>
      </c>
      <c r="AAS89" s="20" t="n">
        <f aca="false">IF(H_Direct=1,IF(CF89&lt;=0,AAR89-CF89*TS89,AAR89-MIN(MIN(CF89*TS89,(XE89+AAR89)),AAR89)),AAR89)</f>
        <v>0</v>
      </c>
      <c r="AAT89" s="20" t="n">
        <f aca="false">IF(H_Direct=1,IF(CG89&lt;=0,AAS89-CG89*TT89,AAS89-MIN(MIN(CG89*TT89,(XF89+AAS89)),AAS89)),AAS89)</f>
        <v>0</v>
      </c>
      <c r="AAU89" s="20" t="n">
        <f aca="false">IF(H_Direct=1,IF(CH89&lt;=0,AAT89-CH89*TU89,AAT89-MIN(MIN(CH89*TU89,(XG89+AAT89)),AAT89)),AAT89)</f>
        <v>0</v>
      </c>
      <c r="AAV89" s="20" t="n">
        <f aca="false">IF(H_Direct=1,IF(CI89&lt;=0,AAU89-CI89*TV89,AAU89-MIN(MIN(CI89*TV89,(XH89+AAU89)),AAU89)),AAU89)</f>
        <v>0</v>
      </c>
      <c r="AAW89" s="20" t="n">
        <f aca="false">IF(H_Direct=1,IF(CJ89&lt;=0,AAV89-CJ89*TW89,AAV89-MIN(MIN(CJ89*TW89,(XI89+AAV89)),AAV89)),AAV89)</f>
        <v>0</v>
      </c>
      <c r="AAX89" s="20" t="n">
        <f aca="false">IF(H_Direct=1,IF(CK89&lt;=0,AAW89-CK89*TX89,AAW89-MIN(MIN(CK89*TX89,(XJ89+AAW89)),AAW89)),AAW89)</f>
        <v>0</v>
      </c>
      <c r="AAY89" s="20" t="n">
        <f aca="false">IF(H_Direct=1,IF(CL89&lt;=0,AAX89-CL89*TY89,AAX89-MIN(MIN(CL89*TY89,(XK89+AAX89)),AAX89)),AAX89)</f>
        <v>0</v>
      </c>
      <c r="AAZ89" s="20" t="n">
        <f aca="false">IF(H_Direct=1,IF(CM89&lt;=0,AAY89-CM89*TZ89,AAY89-MIN(MIN(CM89*TZ89,(XL89+AAY89)),AAY89)),AAY89)</f>
        <v>0</v>
      </c>
      <c r="ABA89" s="20" t="n">
        <f aca="false">IF(H_Direct=1,IF(CN89&lt;=0,AAZ89-CN89*UA89,AAZ89-MIN(MIN(CN89*UA89,(XM89+AAZ89)),AAZ89)),AAZ89)</f>
        <v>0</v>
      </c>
      <c r="ABB89" s="20" t="n">
        <f aca="false">IF(H_Direct=1,IF(CO89&lt;=0,ABA89-CO89*UB89,ABA89-MIN(MIN(CO89*UB89,(XN89+ABA89)),ABA89)),ABA89)</f>
        <v>0</v>
      </c>
      <c r="ABC89" s="20" t="n">
        <f aca="false">IF(H_Direct=1,IF(CP89&lt;=0,ABB89-CP89*UC89,ABB89-MIN(MIN(CP89*UC89,(XO89+ABB89)),ABB89)),ABB89)</f>
        <v>0</v>
      </c>
      <c r="ABD89" s="20" t="n">
        <f aca="false">IF(H_Direct=1,IF(CQ89&lt;=0,ABC89-CQ89*UD89,ABC89-MIN(MIN(CQ89*UD89,(XP89+ABC89)),ABC89)),ABC89)</f>
        <v>0</v>
      </c>
      <c r="ABE89" s="20" t="n">
        <f aca="false">IF(H_Direct=1,IF(CR89&lt;=0,ABD89-CR89*UE89,ABD89-MIN(MIN(CR89*UE89,(XQ89+ABD89)),ABD89)),ABD89)</f>
        <v>0</v>
      </c>
      <c r="ABF89" s="20" t="n">
        <f aca="false">IF(H_Direct=1,IF(CS89&lt;=0,ABE89-CS89*UF89,ABE89-MIN(MIN(CS89*UF89,(XR89+ABE89)),ABE89)),ABE89)</f>
        <v>0</v>
      </c>
      <c r="ABG89" s="20" t="n">
        <f aca="false">IF(H_Direct=1,IF(CT89&lt;=0,ABF89-CT89*UG89,ABF89-MIN(MIN(CT89*UG89,(XS89+ABF89)),ABF89)),ABF89)</f>
        <v>0</v>
      </c>
      <c r="ABH89" s="20" t="n">
        <f aca="false">IF(H_Direct=1,IF(CU89&lt;=0,ABG89-CU89*UH89,ABG89-MIN(MIN(CU89*UH89,(XT89+ABG89)),ABG89)),ABG89)</f>
        <v>0</v>
      </c>
      <c r="ABI89" s="20" t="n">
        <f aca="false">IF(H_Direct=1,IF(CV89&lt;=0,ABH89-CV89*UI89,ABH89-MIN(MIN(CV89*UI89,(XU89+ABH89)),ABH89)),ABH89)</f>
        <v>0</v>
      </c>
      <c r="ABJ89" s="20" t="n">
        <f aca="false">IF(H_Direct=1,IF(CW89&lt;=0,ABI89-CW89*UJ89,ABI89-MIN(MIN(CW89*UJ89,(XV89+ABI89)),ABI89)),ABI89)</f>
        <v>0</v>
      </c>
      <c r="ABK89" s="20" t="n">
        <f aca="false">IF(H_Direct=1,IF(CX89&lt;=0,ABJ89-CX89*UK89,ABJ89-MIN(MIN(CX89*UK89,(XW89+ABJ89)),ABJ89)),ABJ89)</f>
        <v>0</v>
      </c>
      <c r="ABL89" s="20" t="n">
        <f aca="false">IF(H_Direct=1,IF(CY89&lt;=0,ABK89-CY89*UL89,ABK89-MIN(MIN(CY89*UL89,(XX89+ABK89)),ABK89)),ABK89)</f>
        <v>0</v>
      </c>
      <c r="ABM89" s="20" t="n">
        <f aca="false">IF(H_Direct=1,IF(CZ89&lt;=0,ABL89-CZ89*UM89,ABL89-MIN(MIN(CZ89*UM89,(XY89+ABL89)),ABL89)),ABL89)</f>
        <v>0</v>
      </c>
      <c r="ABN89" s="20" t="n">
        <f aca="false">IF(H_Direct=1,IF(DA89&lt;=0,ABM89-DA89*UN89,ABM89-MIN(MIN(DA89*UN89,(XZ89+ABM89)),ABM89)),ABM89)</f>
        <v>0</v>
      </c>
      <c r="ABO89" s="20" t="n">
        <f aca="false">IF(H_Direct=1,IF(DB89&lt;=0,ABN89-DB89*UO89,ABN89-MIN(MIN(DB89*UO89,(YA89+ABN89)),ABN89)),ABN89)</f>
        <v>0</v>
      </c>
      <c r="ABP89" s="20" t="n">
        <f aca="false">IF(H_Direct=1,IF(DC89&lt;=0,ABO89-DC89*UP89,ABO89-MIN(MIN(DC89*UP89,(YB89+ABO89)),ABO89)),ABO89)</f>
        <v>0</v>
      </c>
      <c r="ABQ89" s="20" t="n">
        <f aca="false">IF(H_Direct=1,IF(DD89&lt;=0,ABP89-DD89*UQ89,ABP89-MIN(MIN(DD89*UQ89,(YC89+ABP89)),ABP89)),ABP89)</f>
        <v>0</v>
      </c>
      <c r="ABR89" s="20" t="n">
        <f aca="false">IF(H_Direct=1,IF(DE89&lt;=0,ABQ89-DE89*UR89,ABQ89-MIN(MIN(DE89*UR89,(YD89+ABQ89)),ABQ89)),ABQ89)</f>
        <v>0</v>
      </c>
      <c r="ABS89" s="20" t="n">
        <f aca="false">IF(H_Direct=1,IF(DF89&lt;=0,ABR89-DF89*US89,ABR89-MIN(MIN(DF89*US89,(YE89+ABR89)),ABR89)),ABR89)</f>
        <v>0</v>
      </c>
      <c r="ABT89" s="20" t="n">
        <f aca="false">IF(H_Direct=1,IF(DG89&lt;=0,ABS89-DG89*UT89,ABS89-MIN(MIN(DG89*UT89,(YF89+ABS89)),ABS89)),ABS89)</f>
        <v>0</v>
      </c>
      <c r="ABU89" s="20" t="n">
        <f aca="false">IF(H_Direct=1,IF(DH89&lt;=0,ABT89-DH89*UU89,ABT89-MIN(MIN(DH89*UU89,(YG89+ABT89)),ABT89)),ABT89)</f>
        <v>0</v>
      </c>
      <c r="ABV89" s="20" t="n">
        <f aca="false">IF(H_Direct=1,IF(DI89&lt;=0,ABU89-DI89*UV89,ABU89-MIN(MIN(DI89*UV89,(YH89+ABU89)),ABU89)),ABU89)</f>
        <v>0</v>
      </c>
      <c r="ABW89" s="20" t="n">
        <f aca="false">IF(H_Direct=1,IF(DJ89&lt;=0,ABV89-DJ89*UW89,ABV89-MIN(MIN(DJ89*UW89,(YI89+ABV89)),ABV89)),ABV89)</f>
        <v>0</v>
      </c>
      <c r="ABX89" s="20" t="n">
        <f aca="false">IF(H_Direct=1,IF(DK89&lt;=0,ABW89-DK89*UX89,ABW89-MIN(MIN(DK89*UX89,(YJ89+ABW89)),ABW89)),ABW89)</f>
        <v>0</v>
      </c>
      <c r="ABY89" s="20" t="n">
        <f aca="false">IF(H_Direct=1,IF(DL89&lt;=0,ABX89-DL89*UY89,ABX89-MIN(MIN(DL89*UY89,(YK89+ABX89)),ABX89)),ABX89)</f>
        <v>0</v>
      </c>
      <c r="ABZ89" s="20" t="n">
        <f aca="false">IF(H_Direct=1,IF(DM89&lt;=0,ABY89-DM89*UZ89,ABY89-MIN(MIN(DM89*UZ89,(YL89+ABY89)),ABY89)),ABY89)</f>
        <v>0</v>
      </c>
      <c r="ACA89" s="20" t="n">
        <f aca="false">IF(H_Direct=1,IF(DN89&lt;=0,ABZ89-DN89*VA89,ABZ89-MIN(MIN(DN89*VA89,(YM89+ABZ89)),ABZ89)),ABZ89)</f>
        <v>0</v>
      </c>
      <c r="ACB89" s="20" t="n">
        <f aca="false">IF(H_Direct=1,IF(DO89&lt;=0,ACA89-DO89*VB89,ACA89-MIN(MIN(DO89*VB89,(YN89+ACA89)),ACA89)),ACA89)</f>
        <v>0</v>
      </c>
      <c r="ACC89" s="20" t="n">
        <f aca="false">IF(H_Direct=1,IF(DP89&lt;=0,ACB89-DP89*VC89,ACB89-MIN(MIN(DP89*VC89,(YO89+ACB89)),ACB89)),ACB89)</f>
        <v>0</v>
      </c>
      <c r="ACD89" s="20" t="n">
        <f aca="false">IF(H_Direct=1,IF(DQ89&lt;=0,ACC89-DQ89*VD89,ACC89-MIN(MIN(DQ89*VD89,(YP89+ACC89)),ACC89)),ACC89)</f>
        <v>0</v>
      </c>
      <c r="ACE89" s="20" t="n">
        <f aca="false">IF(H_Direct=1,IF(DR89&lt;=0,ACD89-DR89*VE89,ACD89-MIN(MIN(DR89*VE89,(YQ89+ACD89)),ACD89)),ACD89)</f>
        <v>0</v>
      </c>
      <c r="ACF89" s="20" t="n">
        <f aca="false">IF(H_Direct=1,IF(DS89&lt;=0,ACE89-DS89*VF89,ACE89-MIN(MIN(DS89*VF89,(YR89+ACE89)),ACE89)),ACE89)</f>
        <v>0</v>
      </c>
      <c r="ACG89" s="20" t="n">
        <f aca="false">IF(H_Direct=1,IF(DT89&lt;=0,ACF89-DT89*VG89,ACF89-MIN(MIN(DT89*VG89,(YS89+ACF89)),ACF89)),ACF89)</f>
        <v>0</v>
      </c>
      <c r="ACH89" s="20" t="n">
        <f aca="false">IF(H_Direct=1,IF(DU89&lt;=0,ACG89-DU89*VH89,ACG89-MIN(MIN(DU89*VH89,(YT89+ACG89)),ACG89)),ACG89)</f>
        <v>0</v>
      </c>
      <c r="ACI89" s="20" t="n">
        <f aca="false">IF(H_Direct=1,IF(DV89&lt;=0,ACH89-DV89*VI89,ACH89-MIN(MIN(DV89*VI89,(YU89+ACH89)),ACH89)),ACH89)</f>
        <v>0</v>
      </c>
      <c r="ACJ89" s="20" t="n">
        <f aca="false">IF(H_Direct=1,IF(DW89&lt;=0,ACI89-DW89*VJ89,ACI89-MIN(MIN(DW89*VJ89,(YV89+ACI89)),ACI89)),ACI89)</f>
        <v>0</v>
      </c>
      <c r="ACK89" s="20" t="n">
        <f aca="false">IF(H_Direct=1,IF(DX89&lt;=0,ACJ89-DX89*VK89,ACJ89-MIN(MIN(DX89*VK89,(YW89+ACJ89)),ACJ89)),ACJ89)</f>
        <v>0</v>
      </c>
      <c r="ACL89" s="20" t="n">
        <f aca="false">IF(H_Direct=1,IF(DY89&lt;=0,ACK89-DY89*VL89,ACK89-MIN(MIN(DY89*VL89,(YX89+ACK89)),ACK89)),ACK89)</f>
        <v>0</v>
      </c>
      <c r="ACM89" s="20" t="n">
        <f aca="false">IF(H_Direct=1,IF(DZ89&lt;=0,ACL89-DZ89*VM89,ACL89-MIN(MIN(DZ89*VM89,(YY89+ACL89)),ACL89)),ACL89)</f>
        <v>0</v>
      </c>
      <c r="ACN89" s="20" t="n">
        <f aca="false">IF(H_Direct=1,IF(EA89&lt;=0,ACM89-EA89*VN89,ACM89-MIN(MIN(EA89*VN89,(YZ89+ACM89)),ACM89)),ACM89)</f>
        <v>0</v>
      </c>
      <c r="ACO89" s="20" t="n">
        <f aca="false">IF(H_Direct=1,IF(EB89&lt;=0,ACN89-EB89*VO89,ACN89-MIN(MIN(EB89*VO89,(ZA89+ACN89)),ACN89)),ACN89)</f>
        <v>0</v>
      </c>
      <c r="ACP89" s="20" t="n">
        <f aca="false">IF(H_Direct=1,IF(EC89&lt;=0,ACO89-EC89*VP89,ACO89-MIN(MIN(EC89*VP89,(ZB89+ACO89)),ACO89)),ACO89)</f>
        <v>0</v>
      </c>
      <c r="ACQ89" s="20" t="n">
        <f aca="false">IF(H_Direct=1,IF(ED89&lt;=0,ACP89-ED89*VQ89,ACP89-MIN(MIN(ED89*VQ89,(ZC89+ACP89)),ACP89)),ACP89)</f>
        <v>0</v>
      </c>
      <c r="ACR89" s="20" t="n">
        <f aca="false">IF(H_Direct=1,IF(EE89&lt;=0,ACQ89-EE89*VR89,ACQ89-MIN(MIN(EE89*VR89,(ZD89+ACQ89)),ACQ89)),ACQ89)</f>
        <v>0</v>
      </c>
      <c r="ACS89" s="20" t="n">
        <f aca="false">IF(H_Direct=1,IF(EF89&lt;=0,ACR89-EF89*VS89,ACR89-MIN(MIN(EF89*VS89,(ZE89+ACR89)),ACR89)),ACR89)</f>
        <v>0</v>
      </c>
      <c r="ACT89" s="20" t="n">
        <f aca="false">IF(H_Direct=1,IF(EG89&lt;=0,ACS89-EG89*VT89,ACS89-MIN(MIN(EG89*VT89,(ZF89+ACS89)),ACS89)),ACS89)</f>
        <v>0</v>
      </c>
      <c r="ACU89" s="20" t="n">
        <f aca="false">IF(H_Direct=1,IF(EH89&lt;=0,ACT89-EH89*VU89,ACT89-MIN(MIN(EH89*VU89,(ZG89+ACT89)),ACT89)),ACT89)</f>
        <v>0</v>
      </c>
      <c r="ACV89" s="20" t="n">
        <f aca="false">IF(H_Direct=1,IF(EI89&lt;=0,ACU89-EI89*VV89,ACU89-MIN(MIN(EI89*VV89,(ZH89+ACU89)),ACU89)),ACU89)</f>
        <v>0</v>
      </c>
      <c r="ACW89" s="20" t="n">
        <f aca="false">IF(H_Direct=1,IF(EJ89&lt;=0,ACV89-EJ89*VW89,ACV89-MIN(MIN(EJ89*VW89,(ZI89+ACV89)),ACV89)),ACV89)</f>
        <v>0</v>
      </c>
      <c r="ACX89" s="20" t="n">
        <f aca="false">IF(H_Direct=1,IF(EK89&lt;=0,ACW89-EK89*VX89,ACW89-MIN(MIN(EK89*VX89,(ZJ89+ACW89)),ACW89)),ACW89)</f>
        <v>0</v>
      </c>
      <c r="ACY89" s="20" t="n">
        <f aca="false">IF(H_Direct=1,IF(EL89&lt;=0,ACX89-EL89*VY89,ACX89-MIN(MIN(EL89*VY89,(ZK89+ACX89)),ACX89)),ACX89)</f>
        <v>0</v>
      </c>
      <c r="ACZ89" s="20" t="n">
        <f aca="false">IF(H_Direct=1,IF(EM89&lt;=0,ACY89-EM89*VZ89,ACY89-MIN(MIN(EM89*VZ89,(ZL89+ACY89)),ACY89)),ACY89)</f>
        <v>0</v>
      </c>
      <c r="ADA89" s="20" t="n">
        <f aca="false">IF(H_Direct=1,IF(EN89&lt;=0,ACZ89-EN89*WA89,ACZ89-MIN(MIN(EN89*WA89,(ZM89+ACZ89)),ACZ89)),ACZ89)</f>
        <v>0</v>
      </c>
      <c r="ADB89" s="20" t="n">
        <f aca="false">IF(H_Direct=1,IF(EO89&lt;=0,ADA89-EO89*WB89,ADA89-MIN(MIN(EO89*WB89,(ZN89+ADA89)),ADA89)),ADA89)</f>
        <v>0</v>
      </c>
      <c r="ADC89" s="20" t="n">
        <f aca="false">IF(H_Direct=1,IF(EP89&lt;=0,ADB89-EP89*WC89,ADB89-MIN(MIN(EP89*WC89,(ZO89+ADB89)),ADB89)),ADB89)</f>
        <v>0</v>
      </c>
      <c r="ADD89" s="20" t="n">
        <f aca="false">IF(H_Direct=1,IF(EQ89&lt;=0,ADC89-EQ89*WD89,ADC89-MIN(MIN(EQ89*WD89,(ZP89+ADC89)),ADC89)),ADC89)</f>
        <v>0</v>
      </c>
      <c r="ADE89" s="20" t="n">
        <f aca="false">IF(H_Direct=1,IF(ER89&lt;=0,ADD89-ER89*WE89,ADD89-MIN(MIN(ER89*WE89,(ZQ89+ADD89)),ADD89)),ADD89)</f>
        <v>0</v>
      </c>
      <c r="ADF89" s="20" t="n">
        <f aca="false">IF(H_Direct=1,IF(ES89&lt;=0,ADE89-ES89*WF89,ADE89-MIN(MIN(ES89*WF89,(ZR89+ADE89)),ADE89)),ADE89)</f>
        <v>0</v>
      </c>
      <c r="ADG89" s="20" t="n">
        <f aca="false">IF(H_Direct=1,IF(ET89&lt;=0,ADF89-ET89*WG89,ADF89-MIN(MIN(ET89*WG89,(ZS89+ADF89)),ADF89)),ADF89)</f>
        <v>0</v>
      </c>
      <c r="ADH89" s="20" t="n">
        <f aca="false">IF(H_Direct=1,IF(EU89&lt;=0,ADG89-EU89*WH89,ADG89-MIN(MIN(EU89*WH89,(ZT89+ADG89)),ADG89)),ADG89)</f>
        <v>0</v>
      </c>
      <c r="ADI89" s="20" t="n">
        <f aca="false">IF(H_Direct=1,IF(EV89&lt;=0,ADH89-EV89*WI89,ADH89-MIN(MIN(EV89*WI89,(ZU89+ADH89)),ADH89)),ADH89)</f>
        <v>0</v>
      </c>
      <c r="ADJ89" s="20" t="n">
        <f aca="false">ADI89</f>
        <v>0</v>
      </c>
      <c r="ADK89" s="20" t="n">
        <f aca="false">ADJ89</f>
        <v>0</v>
      </c>
      <c r="ADL89" s="20" t="n">
        <f aca="false">ADK89</f>
        <v>0</v>
      </c>
      <c r="ADM89" s="20" t="n">
        <f aca="false">ADL89</f>
        <v>0</v>
      </c>
      <c r="ADN89" s="20" t="n">
        <f aca="false">ADM89</f>
        <v>0</v>
      </c>
      <c r="ADO89" s="20" t="n">
        <f aca="false">ADN89</f>
        <v>0</v>
      </c>
      <c r="ADP89" s="20" t="n">
        <f aca="false">ADO89</f>
        <v>0</v>
      </c>
      <c r="ADQ89" s="20" t="n">
        <f aca="false">ADP89</f>
        <v>0</v>
      </c>
      <c r="ADR89" s="20" t="n">
        <f aca="false">(AKR88-TE89+0)*(1+BQ89)</f>
        <v>0</v>
      </c>
      <c r="ADS89" s="20" t="n">
        <f aca="false">(AKS88-TF89+0)*(1+BQ89)</f>
        <v>0</v>
      </c>
      <c r="ADT89" s="20" t="n">
        <f aca="false">(AKT88-TG89+0)*(1+BQ89)</f>
        <v>0</v>
      </c>
      <c r="ADU89" s="20" t="n">
        <f aca="false">(AKU88-TH89+0)*(1+BQ89)</f>
        <v>0</v>
      </c>
      <c r="ADV89" s="20" t="n">
        <f aca="false">(AKV88-TI89+0)*(1+BQ89)</f>
        <v>0</v>
      </c>
      <c r="ADW89" s="20" t="n">
        <f aca="false">(AKW88-TJ89+0)*(1+BQ89)</f>
        <v>0</v>
      </c>
      <c r="ADX89" s="20" t="n">
        <f aca="false">(AKX88-TK89+0)*(1+BQ89)</f>
        <v>0</v>
      </c>
      <c r="ADY89" s="20" t="n">
        <f aca="false">(AKY88-TL89+0)*(1+BQ89)</f>
        <v>0</v>
      </c>
      <c r="ADZ89" s="20" t="n">
        <f aca="false">(AKZ88-TM89+0)*(1+BQ89)</f>
        <v>0</v>
      </c>
      <c r="AEA89" s="20" t="n">
        <f aca="false">(ALA88-TN89+0)*(1+BQ89)</f>
        <v>0</v>
      </c>
      <c r="AEB89" s="20" t="n">
        <f aca="false">(ALB88-TO89+0)*(1+BQ89)</f>
        <v>0</v>
      </c>
      <c r="AEC89" s="20" t="n">
        <f aca="false">(ALC88-TP89+0)*(1+BQ89)</f>
        <v>0</v>
      </c>
      <c r="AED89" s="20" t="n">
        <f aca="false">(ALD88-TQ89+0)*(1+BQ89)</f>
        <v>0</v>
      </c>
      <c r="AEE89" s="20" t="n">
        <f aca="false">(ALE88-TR89+0)*(1+BQ89)</f>
        <v>0</v>
      </c>
      <c r="AEF89" s="20" t="n">
        <f aca="false">(ALF88-TS89+0)*(1+BQ89)</f>
        <v>0</v>
      </c>
      <c r="AEG89" s="20" t="n">
        <f aca="false">(ALG88-TT89+0)*(1+BQ89)</f>
        <v>0</v>
      </c>
      <c r="AEH89" s="20" t="n">
        <f aca="false">(ALH88-TU89+0)*(1+BQ89)</f>
        <v>0</v>
      </c>
      <c r="AEI89" s="20" t="n">
        <f aca="false">(ALI88-TV89+0)*(1+BQ89)</f>
        <v>0</v>
      </c>
      <c r="AEJ89" s="20" t="n">
        <f aca="false">(ALJ88-TW89+0)*(1+BQ89)</f>
        <v>0</v>
      </c>
      <c r="AEK89" s="20" t="n">
        <f aca="false">(ALK88-TX89+0)*(1+BQ89)</f>
        <v>0</v>
      </c>
      <c r="AEL89" s="20" t="n">
        <f aca="false">(ALL88-TY89+0)*(1+BQ89)</f>
        <v>0</v>
      </c>
      <c r="AEM89" s="20" t="n">
        <f aca="false">(ALM88-TZ89+0)*(1+BQ89)</f>
        <v>0</v>
      </c>
      <c r="AEN89" s="20" t="n">
        <f aca="false">(ALN88-UA89+0)*(1+BQ89)</f>
        <v>0</v>
      </c>
      <c r="AEO89" s="20" t="n">
        <f aca="false">(ALO88-UB89+0)*(1+BQ89)</f>
        <v>0</v>
      </c>
      <c r="AEP89" s="20" t="n">
        <f aca="false">(ALP88-UC89+0)*(1+BQ89)</f>
        <v>0</v>
      </c>
      <c r="AEQ89" s="20" t="n">
        <f aca="false">(ALQ88-UD89+0)*(1+BQ89)</f>
        <v>0</v>
      </c>
      <c r="AER89" s="20" t="n">
        <f aca="false">(ALR88-UE89+0)*(1+BQ89)</f>
        <v>0</v>
      </c>
      <c r="AES89" s="20" t="n">
        <f aca="false">(ALS88-UF89+0)*(1+BQ89)</f>
        <v>0</v>
      </c>
      <c r="AET89" s="20" t="n">
        <f aca="false">(ALT88-UG89+0)*(1+BQ89)</f>
        <v>0</v>
      </c>
      <c r="AEU89" s="20" t="n">
        <f aca="false">(ALU88-UH89+0)*(1+BQ89)</f>
        <v>0</v>
      </c>
      <c r="AEV89" s="20" t="n">
        <f aca="false">(ALV88-UI89+0)*(1+BQ89)</f>
        <v>0</v>
      </c>
      <c r="AEW89" s="20" t="n">
        <f aca="false">(ALW88-UJ89+0)*(1+BQ89)</f>
        <v>0</v>
      </c>
      <c r="AEX89" s="20" t="n">
        <f aca="false">(ALX88-UK89+0)*(1+BQ89)</f>
        <v>0</v>
      </c>
      <c r="AEY89" s="20" t="n">
        <f aca="false">(ALY88-UL89+0)*(1+BQ89)</f>
        <v>0</v>
      </c>
      <c r="AEZ89" s="20" t="n">
        <f aca="false">(ALZ88-UM89+0)*(1+BQ89)</f>
        <v>0</v>
      </c>
      <c r="AFA89" s="20" t="n">
        <f aca="false">(AMA88-UN89+0)*(1+BQ89)</f>
        <v>0</v>
      </c>
      <c r="AFB89" s="20" t="n">
        <f aca="false">(AMB88-UO89+0)*(1+BQ89)</f>
        <v>0</v>
      </c>
      <c r="AFC89" s="20" t="n">
        <f aca="false">(AMC88-UP89+0)*(1+BQ89)</f>
        <v>0</v>
      </c>
      <c r="AFD89" s="20" t="n">
        <f aca="false">(AMD88-UQ89+0)*(1+BQ89)</f>
        <v>0</v>
      </c>
      <c r="AFE89" s="20" t="n">
        <f aca="false">(AME88-UR89+0)*(1+BQ89)</f>
        <v>0</v>
      </c>
      <c r="AFF89" s="20" t="n">
        <f aca="false">(AMF88-US89+0)*(1+BQ89)</f>
        <v>0</v>
      </c>
      <c r="AFG89" s="20" t="n">
        <f aca="false">(AMG88-UT89+0)*(1+BQ89)</f>
        <v>0</v>
      </c>
      <c r="AFH89" s="20" t="n">
        <f aca="false">(AMH88-UU89+0)*(1+BQ89)</f>
        <v>0</v>
      </c>
      <c r="AFI89" s="20" t="n">
        <f aca="false">(AMI88-UV89+0)*(1+BQ89)</f>
        <v>0</v>
      </c>
      <c r="AFJ89" s="20" t="n">
        <f aca="false">(AMJ88-UW89+0)*(1+BQ89)</f>
        <v>0</v>
      </c>
      <c r="AFK89" s="20" t="n">
        <f aca="false">(AMK88-UX89+0)*(1+BQ89)</f>
        <v>0</v>
      </c>
      <c r="AFL89" s="20" t="n">
        <f aca="false">(AML88-UY89+0)*(1+BQ89)</f>
        <v>0</v>
      </c>
      <c r="AFM89" s="20" t="n">
        <f aca="false">(AMM88-UZ89+0)*(1+BQ89)</f>
        <v>0</v>
      </c>
      <c r="AFN89" s="20" t="n">
        <f aca="false">(AMN88-VA89+0)*(1+BQ89)</f>
        <v>0</v>
      </c>
      <c r="AFO89" s="20" t="n">
        <f aca="false">(AMO88-VB89+0)*(1+BQ89)</f>
        <v>0</v>
      </c>
      <c r="AFP89" s="20" t="n">
        <f aca="false">(AMP88-VC89+0)*(1+BQ89)</f>
        <v>0</v>
      </c>
      <c r="AFQ89" s="20" t="n">
        <f aca="false">(AMQ88-VD89+0)*(1+BQ89)</f>
        <v>0</v>
      </c>
      <c r="AFR89" s="20" t="n">
        <f aca="false">(AMR88-VE89+0)*(1+BQ89)</f>
        <v>0</v>
      </c>
      <c r="AFS89" s="20" t="n">
        <f aca="false">(AMS88-VF89+0)*(1+BQ89)</f>
        <v>0</v>
      </c>
      <c r="AFT89" s="20" t="n">
        <f aca="false">(AMT88-VG89+0)*(1+BQ89)</f>
        <v>0</v>
      </c>
      <c r="AFU89" s="20" t="n">
        <f aca="false">(AMU88-VH89+0)*(1+BQ89)</f>
        <v>0</v>
      </c>
      <c r="AFV89" s="20" t="n">
        <f aca="false">(AMV88-VI89+0)*(1+BQ89)</f>
        <v>0</v>
      </c>
      <c r="AFW89" s="20" t="n">
        <f aca="false">(AMW88-VJ89+0)*(1+BQ89)</f>
        <v>0</v>
      </c>
      <c r="AFX89" s="20" t="n">
        <f aca="false">(AMX88-VK89+0)*(1+BQ89)</f>
        <v>0</v>
      </c>
      <c r="AFY89" s="20" t="n">
        <f aca="false">(AMY88-VL89+0)*(1+BQ89)</f>
        <v>0</v>
      </c>
      <c r="AFZ89" s="20" t="n">
        <f aca="false">(AMZ88-VM89+0)*(1+BQ89)</f>
        <v>0</v>
      </c>
      <c r="AGA89" s="20" t="n">
        <f aca="false">(ANA88-VN89+0)*(1+BQ89)</f>
        <v>0</v>
      </c>
      <c r="AGB89" s="20" t="n">
        <f aca="false">(ANB88-VO89+0)*(1+BQ89)</f>
        <v>0</v>
      </c>
      <c r="AGC89" s="20" t="n">
        <f aca="false">(ANC88-VP89+0)*(1+BQ89)</f>
        <v>0</v>
      </c>
      <c r="AGD89" s="20" t="n">
        <f aca="false">(AND88-VQ89+0)*(1+BQ89)</f>
        <v>0</v>
      </c>
      <c r="AGE89" s="20" t="n">
        <f aca="false">(ANE88-VR89+0)*(1+BQ89)</f>
        <v>0</v>
      </c>
      <c r="AGF89" s="20" t="n">
        <f aca="false">(ANF88-VS89+0)*(1+BQ89)</f>
        <v>0</v>
      </c>
      <c r="AGG89" s="20" t="n">
        <f aca="false">(ANG88-VT89+0)*(1+BQ89)</f>
        <v>0</v>
      </c>
      <c r="AGH89" s="20" t="n">
        <f aca="false">(ANH88-VU89+0)*(1+BQ89)</f>
        <v>0</v>
      </c>
      <c r="AGI89" s="20" t="n">
        <f aca="false">(ANI88-VV89+0)*(1+BQ89)</f>
        <v>0</v>
      </c>
      <c r="AGJ89" s="20" t="n">
        <f aca="false">(ANJ88-VW89+0)*(1+BQ89)</f>
        <v>0</v>
      </c>
      <c r="AGK89" s="20" t="n">
        <f aca="false">(ANK88-VX89+0)*(1+BQ89)</f>
        <v>0</v>
      </c>
      <c r="AGL89" s="20" t="n">
        <f aca="false">(ANL88-VY89+0)*(1+BQ89)</f>
        <v>0</v>
      </c>
      <c r="AGM89" s="20" t="n">
        <f aca="false">(ANM88-VZ89+0)*(1+BQ89)</f>
        <v>0</v>
      </c>
      <c r="AGN89" s="20" t="n">
        <f aca="false">(ANN88-WA89+0)*(1+BQ89)</f>
        <v>0</v>
      </c>
      <c r="AGO89" s="20" t="n">
        <f aca="false">(ANO88-WB89+0)*(1+BQ89)</f>
        <v>0</v>
      </c>
      <c r="AGP89" s="20" t="n">
        <f aca="false">(ANP88-WC89+0)*(1+BQ89)</f>
        <v>0</v>
      </c>
      <c r="AGQ89" s="20" t="n">
        <f aca="false">(ANQ88-WD89+0)*(1+BQ89)</f>
        <v>0</v>
      </c>
      <c r="AGR89" s="20" t="n">
        <f aca="false">(ANR88-WE89+0)*(1+BQ89)</f>
        <v>0</v>
      </c>
      <c r="AGS89" s="20" t="n">
        <f aca="false">(ANS88-WF89+0)*(1+BQ89)</f>
        <v>0</v>
      </c>
      <c r="AGT89" s="20" t="n">
        <f aca="false">(ANT88-WG89+0)*(1+BQ89)</f>
        <v>0</v>
      </c>
      <c r="AGU89" s="20" t="n">
        <f aca="false">(ANU88-WH89+0)*(1+BQ89)</f>
        <v>0</v>
      </c>
      <c r="AGV89" s="20" t="n">
        <f aca="false">((P89+S89)-WI89+BE89)*(1+BQ89)</f>
        <v>0</v>
      </c>
      <c r="AGW89" s="20" t="n">
        <v>0</v>
      </c>
      <c r="AGX89" s="20" t="n">
        <v>0</v>
      </c>
      <c r="AGY89" s="20" t="n">
        <v>0</v>
      </c>
      <c r="AGZ89" s="20" t="n">
        <v>0</v>
      </c>
      <c r="AHA89" s="20" t="n">
        <v>0</v>
      </c>
      <c r="AHB89" s="20" t="n">
        <v>0</v>
      </c>
      <c r="AHC89" s="20" t="n">
        <v>0</v>
      </c>
      <c r="AHD89" s="20" t="n">
        <v>0</v>
      </c>
      <c r="AHE89" s="20" t="n">
        <f aca="false">IF(AKR88&gt;0,AOE88-AOE88*TE89/AKR88,0)+0</f>
        <v>0</v>
      </c>
      <c r="AHF89" s="20" t="n">
        <f aca="false">IF(AKS88&gt;0,AOF88-AOF88*TF89/AKS88,0)+0</f>
        <v>0</v>
      </c>
      <c r="AHG89" s="20" t="n">
        <f aca="false">IF(AKT88&gt;0,AOG88-AOG88*TG89/AKT88,0)+0</f>
        <v>0</v>
      </c>
      <c r="AHH89" s="20" t="n">
        <f aca="false">IF(AKU88&gt;0,AOH88-AOH88*TH89/AKU88,0)+0</f>
        <v>0</v>
      </c>
      <c r="AHI89" s="20" t="n">
        <f aca="false">IF(AKV88&gt;0,AOI88-AOI88*TI89/AKV88,0)+0</f>
        <v>0</v>
      </c>
      <c r="AHJ89" s="20" t="n">
        <f aca="false">IF(AKW88&gt;0,AOJ88-AOJ88*TJ89/AKW88,0)+0</f>
        <v>0</v>
      </c>
      <c r="AHK89" s="20" t="n">
        <f aca="false">IF(AKX88&gt;0,AOK88-AOK88*TK89/AKX88,0)+0</f>
        <v>0</v>
      </c>
      <c r="AHL89" s="20" t="n">
        <f aca="false">IF(AKY88&gt;0,AOL88-AOL88*TL89/AKY88,0)+0</f>
        <v>0</v>
      </c>
      <c r="AHM89" s="20" t="n">
        <f aca="false">IF(AKZ88&gt;0,AOM88-AOM88*TM89/AKZ88,0)+0</f>
        <v>0</v>
      </c>
      <c r="AHN89" s="20" t="n">
        <f aca="false">IF(ALA88&gt;0,AON88-AON88*TN89/ALA88,0)+0</f>
        <v>0</v>
      </c>
      <c r="AHO89" s="20" t="n">
        <f aca="false">IF(ALB88&gt;0,AOO88-AOO88*TO89/ALB88,0)+0</f>
        <v>0</v>
      </c>
      <c r="AHP89" s="20" t="n">
        <f aca="false">IF(ALC88&gt;0,AOP88-AOP88*TP89/ALC88,0)+0</f>
        <v>0</v>
      </c>
      <c r="AHQ89" s="20" t="n">
        <f aca="false">IF(ALD88&gt;0,AOQ88-AOQ88*TQ89/ALD88,0)+0</f>
        <v>0</v>
      </c>
      <c r="AHR89" s="20" t="n">
        <f aca="false">IF(ALE88&gt;0,AOR88-AOR88*TR89/ALE88,0)+0</f>
        <v>0</v>
      </c>
      <c r="AHS89" s="20" t="n">
        <f aca="false">IF(ALF88&gt;0,AOS88-AOS88*TS89/ALF88,0)+0</f>
        <v>0</v>
      </c>
      <c r="AHT89" s="20" t="n">
        <f aca="false">IF(ALG88&gt;0,AOT88-AOT88*TT89/ALG88,0)+0</f>
        <v>0</v>
      </c>
      <c r="AHU89" s="20" t="n">
        <f aca="false">IF(ALH88&gt;0,AOU88-AOU88*TU89/ALH88,0)+0</f>
        <v>0</v>
      </c>
      <c r="AHV89" s="20" t="n">
        <f aca="false">IF(ALI88&gt;0,AOV88-AOV88*TV89/ALI88,0)+0</f>
        <v>0</v>
      </c>
      <c r="AHW89" s="20" t="n">
        <f aca="false">IF(ALJ88&gt;0,AOW88-AOW88*TW89/ALJ88,0)+0</f>
        <v>0</v>
      </c>
      <c r="AHX89" s="20" t="n">
        <f aca="false">IF(ALK88&gt;0,AOX88-AOX88*TX89/ALK88,0)+0</f>
        <v>0</v>
      </c>
      <c r="AHY89" s="20" t="n">
        <f aca="false">IF(ALL88&gt;0,AOY88-AOY88*TY89/ALL88,0)+0</f>
        <v>0</v>
      </c>
      <c r="AHZ89" s="20" t="n">
        <f aca="false">IF(ALM88&gt;0,AOZ88-AOZ88*TZ89/ALM88,0)+0</f>
        <v>0</v>
      </c>
      <c r="AIA89" s="20" t="n">
        <f aca="false">IF(ALN88&gt;0,APA88-APA88*UA89/ALN88,0)+0</f>
        <v>0</v>
      </c>
      <c r="AIB89" s="20" t="n">
        <f aca="false">IF(ALO88&gt;0,APB88-APB88*UB89/ALO88,0)+0</f>
        <v>0</v>
      </c>
      <c r="AIC89" s="20" t="n">
        <f aca="false">IF(ALP88&gt;0,APC88-APC88*UC89/ALP88,0)+0</f>
        <v>0</v>
      </c>
      <c r="AID89" s="20" t="n">
        <f aca="false">IF(ALQ88&gt;0,APD88-APD88*UD89/ALQ88,0)+0</f>
        <v>0</v>
      </c>
      <c r="AIE89" s="20" t="n">
        <f aca="false">IF(ALR88&gt;0,APE88-APE88*UE89/ALR88,0)+0</f>
        <v>0</v>
      </c>
      <c r="AIF89" s="20" t="n">
        <f aca="false">IF(ALS88&gt;0,APF88-APF88*UF89/ALS88,0)+0</f>
        <v>0</v>
      </c>
      <c r="AIG89" s="20" t="n">
        <f aca="false">IF(ALT88&gt;0,APG88-APG88*UG89/ALT88,0)+0</f>
        <v>0</v>
      </c>
      <c r="AIH89" s="20" t="n">
        <f aca="false">IF(ALU88&gt;0,APH88-APH88*UH89/ALU88,0)+0</f>
        <v>0</v>
      </c>
      <c r="AII89" s="20" t="n">
        <f aca="false">IF(ALV88&gt;0,API88-API88*UI89/ALV88,0)+0</f>
        <v>0</v>
      </c>
      <c r="AIJ89" s="20" t="n">
        <f aca="false">IF(ALW88&gt;0,APJ88-APJ88*UJ89/ALW88,0)+0</f>
        <v>0</v>
      </c>
      <c r="AIK89" s="20" t="n">
        <f aca="false">IF(ALX88&gt;0,APK88-APK88*UK89/ALX88,0)+0</f>
        <v>0</v>
      </c>
      <c r="AIL89" s="20" t="n">
        <f aca="false">IF(ALY88&gt;0,APL88-APL88*UL89/ALY88,0)+0</f>
        <v>0</v>
      </c>
      <c r="AIM89" s="20" t="n">
        <f aca="false">IF(ALZ88&gt;0,APM88-APM88*UM89/ALZ88,0)+0</f>
        <v>0</v>
      </c>
      <c r="AIN89" s="20" t="n">
        <f aca="false">IF(AMA88&gt;0,APN88-APN88*UN89/AMA88,0)+0</f>
        <v>0</v>
      </c>
      <c r="AIO89" s="20" t="n">
        <f aca="false">IF(AMB88&gt;0,APO88-APO88*UO89/AMB88,0)+0</f>
        <v>0</v>
      </c>
      <c r="AIP89" s="20" t="n">
        <f aca="false">IF(AMC88&gt;0,APP88-APP88*UP89/AMC88,0)+0</f>
        <v>0</v>
      </c>
      <c r="AIQ89" s="20" t="n">
        <f aca="false">IF(AMD88&gt;0,APQ88-APQ88*UQ89/AMD88,0)+0</f>
        <v>0</v>
      </c>
      <c r="AIR89" s="20" t="n">
        <f aca="false">IF(AME88&gt;0,APR88-APR88*UR89/AME88,0)+0</f>
        <v>0</v>
      </c>
      <c r="AIS89" s="20" t="n">
        <f aca="false">IF(AMF88&gt;0,APS88-APS88*US89/AMF88,0)+0</f>
        <v>0</v>
      </c>
      <c r="AIT89" s="20" t="n">
        <f aca="false">IF(AMG88&gt;0,APT88-APT88*UT89/AMG88,0)+0</f>
        <v>0</v>
      </c>
      <c r="AIU89" s="20" t="n">
        <f aca="false">IF(AMH88&gt;0,APU88-APU88*UU89/AMH88,0)+0</f>
        <v>0</v>
      </c>
      <c r="AIV89" s="20" t="n">
        <f aca="false">IF(AMI88&gt;0,APV88-APV88*UV89/AMI88,0)+0</f>
        <v>0</v>
      </c>
      <c r="AIW89" s="20" t="n">
        <f aca="false">IF(AMJ88&gt;0,APW88-APW88*UW89/AMJ88,0)+0</f>
        <v>0</v>
      </c>
      <c r="AIX89" s="20" t="n">
        <f aca="false">IF(AMK88&gt;0,APX88-APX88*UX89/AMK88,0)+0</f>
        <v>0</v>
      </c>
      <c r="AIY89" s="20" t="n">
        <f aca="false">IF(AML88&gt;0,APY88-APY88*UY89/AML88,0)+0</f>
        <v>0</v>
      </c>
      <c r="AIZ89" s="20" t="n">
        <f aca="false">IF(AMM88&gt;0,APZ88-APZ88*UZ89/AMM88,0)+0</f>
        <v>0</v>
      </c>
      <c r="AJA89" s="20" t="n">
        <f aca="false">IF(AMN88&gt;0,AQA88-AQA88*VA89/AMN88,0)+0</f>
        <v>0</v>
      </c>
      <c r="AJB89" s="20" t="n">
        <f aca="false">IF(AMO88&gt;0,AQB88-AQB88*VB89/AMO88,0)+0</f>
        <v>0</v>
      </c>
      <c r="AJC89" s="20" t="n">
        <f aca="false">IF(AMP88&gt;0,AQC88-AQC88*VC89/AMP88,0)+0</f>
        <v>0</v>
      </c>
      <c r="AJD89" s="20" t="n">
        <f aca="false">IF(AMQ88&gt;0,AQD88-AQD88*VD89/AMQ88,0)+0</f>
        <v>0</v>
      </c>
      <c r="AJE89" s="20" t="n">
        <f aca="false">IF(AMR88&gt;0,AQE88-AQE88*VE89/AMR88,0)+0</f>
        <v>0</v>
      </c>
      <c r="AJF89" s="20" t="n">
        <f aca="false">IF(AMS88&gt;0,AQF88-AQF88*VF89/AMS88,0)+0</f>
        <v>0</v>
      </c>
      <c r="AJG89" s="20" t="n">
        <f aca="false">IF(AMT88&gt;0,AQG88-AQG88*VG89/AMT88,0)+0</f>
        <v>0</v>
      </c>
      <c r="AJH89" s="20" t="n">
        <f aca="false">IF(AMU88&gt;0,AQH88-AQH88*VH89/AMU88,0)+0</f>
        <v>0</v>
      </c>
      <c r="AJI89" s="20" t="n">
        <f aca="false">IF(AMV88&gt;0,AQI88-AQI88*VI89/AMV88,0)+0</f>
        <v>0</v>
      </c>
      <c r="AJJ89" s="20" t="n">
        <f aca="false">IF(AMW88&gt;0,AQJ88-AQJ88*VJ89/AMW88,0)+0</f>
        <v>0</v>
      </c>
      <c r="AJK89" s="20" t="n">
        <f aca="false">IF(AMX88&gt;0,AQK88-AQK88*VK89/AMX88,0)+0</f>
        <v>0</v>
      </c>
      <c r="AJL89" s="20" t="n">
        <f aca="false">IF(AMY88&gt;0,AQL88-AQL88*VL89/AMY88,0)+0</f>
        <v>0</v>
      </c>
      <c r="AJM89" s="20" t="n">
        <f aca="false">IF(AMZ88&gt;0,AQM88-AQM88*VM89/AMZ88,0)+0</f>
        <v>0</v>
      </c>
      <c r="AJN89" s="20" t="n">
        <f aca="false">IF(ANA88&gt;0,AQN88-AQN88*VN89/ANA88,0)+0</f>
        <v>0</v>
      </c>
      <c r="AJO89" s="20" t="n">
        <f aca="false">IF(ANB88&gt;0,AQO88-AQO88*VO89/ANB88,0)+0</f>
        <v>0</v>
      </c>
      <c r="AJP89" s="20" t="n">
        <f aca="false">IF(ANC88&gt;0,AQP88-AQP88*VP89/ANC88,0)+0</f>
        <v>0</v>
      </c>
      <c r="AJQ89" s="20" t="n">
        <f aca="false">IF(AND88&gt;0,AQQ88-AQQ88*VQ89/AND88,0)+0</f>
        <v>0</v>
      </c>
      <c r="AJR89" s="20" t="n">
        <f aca="false">IF(ANE88&gt;0,AQR88-AQR88*VR89/ANE88,0)+0</f>
        <v>0</v>
      </c>
      <c r="AJS89" s="20" t="n">
        <f aca="false">IF(ANF88&gt;0,AQS88-AQS88*VS89/ANF88,0)+0</f>
        <v>0</v>
      </c>
      <c r="AJT89" s="20" t="n">
        <f aca="false">IF(ANG88&gt;0,AQT88-AQT88*VT89/ANG88,0)+0</f>
        <v>0</v>
      </c>
      <c r="AJU89" s="20" t="n">
        <f aca="false">IF(ANH88&gt;0,AQU88-AQU88*VU89/ANH88,0)+0</f>
        <v>0</v>
      </c>
      <c r="AJV89" s="20" t="n">
        <f aca="false">IF(ANI88&gt;0,AQV88-AQV88*VV89/ANI88,0)+0</f>
        <v>0</v>
      </c>
      <c r="AJW89" s="20" t="n">
        <f aca="false">IF(ANJ88&gt;0,AQW88-AQW88*VW89/ANJ88,0)+0</f>
        <v>0</v>
      </c>
      <c r="AJX89" s="20" t="n">
        <f aca="false">IF(ANK88&gt;0,AQX88-AQX88*VX89/ANK88,0)+0</f>
        <v>0</v>
      </c>
      <c r="AJY89" s="20" t="n">
        <f aca="false">IF(ANL88&gt;0,AQY88-AQY88*VY89/ANL88,0)+0</f>
        <v>0</v>
      </c>
      <c r="AJZ89" s="20" t="n">
        <f aca="false">IF(ANM88&gt;0,AQZ88-AQZ88*VZ89/ANM88,0)+0</f>
        <v>0</v>
      </c>
      <c r="AKA89" s="20" t="n">
        <f aca="false">IF(ANN88&gt;0,ARA88-ARA88*WA89/ANN88,0)+0</f>
        <v>0</v>
      </c>
      <c r="AKB89" s="20" t="n">
        <f aca="false">IF(ANO88&gt;0,ARB88-ARB88*WB89/ANO88,0)+0</f>
        <v>0</v>
      </c>
      <c r="AKC89" s="20" t="n">
        <f aca="false">IF(ANP88&gt;0,ARC88-ARC88*WC89/ANP88,0)+0</f>
        <v>0</v>
      </c>
      <c r="AKD89" s="20" t="n">
        <f aca="false">IF(ANQ88&gt;0,ARD88-ARD88*WD89/ANQ88,0)+0</f>
        <v>0</v>
      </c>
      <c r="AKE89" s="20" t="n">
        <f aca="false">IF(ANR88&gt;0,ARE88-ARE88*WE89/ANR88,0)+0</f>
        <v>0</v>
      </c>
      <c r="AKF89" s="20" t="n">
        <f aca="false">IF(ANS88&gt;0,ARF88-ARF88*WF89/ANS88,0)+0</f>
        <v>0</v>
      </c>
      <c r="AKG89" s="20" t="n">
        <f aca="false">IF(ANT88&gt;0,ARG88-ARG88*WG89/ANT88,0)+0</f>
        <v>0</v>
      </c>
      <c r="AKH89" s="20" t="n">
        <f aca="false">IF(ANU88&gt;0,ARH88-ARH88*WH89/ANU88,0)+0</f>
        <v>0</v>
      </c>
      <c r="AKI89" s="20" t="n">
        <f aca="false">IF((P89+S89)&gt;0,(P89+S89)-(P89+S89)*WI89/(P89+S89),0)+BE89</f>
        <v>0</v>
      </c>
      <c r="AKJ89" s="20" t="n">
        <v>0</v>
      </c>
      <c r="AKK89" s="20" t="n">
        <v>0</v>
      </c>
      <c r="AKL89" s="20" t="n">
        <v>0</v>
      </c>
      <c r="AKM89" s="20" t="n">
        <v>0</v>
      </c>
      <c r="AKN89" s="20" t="n">
        <v>0</v>
      </c>
      <c r="AKO89" s="20" t="n">
        <v>0</v>
      </c>
      <c r="AKP89" s="20" t="n">
        <v>0</v>
      </c>
      <c r="AKQ89" s="20" t="n">
        <v>0</v>
      </c>
      <c r="AKR89" s="20" t="n">
        <f aca="false">ADR89-AVE89</f>
        <v>0</v>
      </c>
      <c r="AKS89" s="20" t="n">
        <f aca="false">ADS89-AVF89</f>
        <v>0</v>
      </c>
      <c r="AKT89" s="20" t="n">
        <f aca="false">ADT89-AVG89</f>
        <v>0</v>
      </c>
      <c r="AKU89" s="20" t="n">
        <f aca="false">ADU89-AVH89</f>
        <v>0</v>
      </c>
      <c r="AKV89" s="20" t="n">
        <f aca="false">ADV89-AVI89</f>
        <v>0</v>
      </c>
      <c r="AKW89" s="20" t="n">
        <f aca="false">ADW89-AVJ89</f>
        <v>0</v>
      </c>
      <c r="AKX89" s="20" t="n">
        <f aca="false">ADX89-AVK89</f>
        <v>0</v>
      </c>
      <c r="AKY89" s="20" t="n">
        <f aca="false">ADY89-AVL89</f>
        <v>0</v>
      </c>
      <c r="AKZ89" s="20" t="n">
        <f aca="false">ADZ89-AVM89</f>
        <v>0</v>
      </c>
      <c r="ALA89" s="20" t="n">
        <f aca="false">AEA89-AVN89</f>
        <v>0</v>
      </c>
      <c r="ALB89" s="20" t="n">
        <f aca="false">AEB89-AVO89</f>
        <v>0</v>
      </c>
      <c r="ALC89" s="20" t="n">
        <f aca="false">AEC89-AVP89</f>
        <v>0</v>
      </c>
      <c r="ALD89" s="20" t="n">
        <f aca="false">AED89-AVQ89</f>
        <v>0</v>
      </c>
      <c r="ALE89" s="20" t="n">
        <f aca="false">AEE89-AVR89</f>
        <v>0</v>
      </c>
      <c r="ALF89" s="20" t="n">
        <f aca="false">AEF89-AVS89</f>
        <v>0</v>
      </c>
      <c r="ALG89" s="20" t="n">
        <f aca="false">AEG89-AVT89</f>
        <v>0</v>
      </c>
      <c r="ALH89" s="20" t="n">
        <f aca="false">AEH89-AVU89</f>
        <v>0</v>
      </c>
      <c r="ALI89" s="20" t="n">
        <f aca="false">AEI89-AVV89</f>
        <v>0</v>
      </c>
      <c r="ALJ89" s="20" t="n">
        <f aca="false">AEJ89-AVW89</f>
        <v>0</v>
      </c>
      <c r="ALK89" s="20" t="n">
        <f aca="false">AEK89-AVX89</f>
        <v>0</v>
      </c>
      <c r="ALL89" s="20" t="n">
        <f aca="false">AEL89-AVY89</f>
        <v>0</v>
      </c>
      <c r="ALM89" s="20" t="n">
        <f aca="false">AEM89-AVZ89</f>
        <v>0</v>
      </c>
      <c r="ALN89" s="20" t="n">
        <f aca="false">AEN89-AWA89</f>
        <v>0</v>
      </c>
      <c r="ALO89" s="20" t="n">
        <f aca="false">AEO89-AWB89</f>
        <v>0</v>
      </c>
      <c r="ALP89" s="20" t="n">
        <f aca="false">AEP89-AWC89</f>
        <v>0</v>
      </c>
      <c r="ALQ89" s="20" t="n">
        <f aca="false">AEQ89-AWD89</f>
        <v>0</v>
      </c>
      <c r="ALR89" s="20" t="n">
        <f aca="false">AER89-AWE89</f>
        <v>0</v>
      </c>
      <c r="ALS89" s="20" t="n">
        <f aca="false">AES89-AWF89</f>
        <v>0</v>
      </c>
      <c r="ALT89" s="20" t="n">
        <f aca="false">AET89-AWG89</f>
        <v>0</v>
      </c>
      <c r="ALU89" s="20" t="n">
        <f aca="false">AEU89-AWH89</f>
        <v>0</v>
      </c>
      <c r="ALV89" s="20" t="n">
        <f aca="false">AEV89-AWI89</f>
        <v>0</v>
      </c>
      <c r="ALW89" s="20" t="n">
        <f aca="false">AEW89-AWJ89</f>
        <v>0</v>
      </c>
      <c r="ALX89" s="20" t="n">
        <f aca="false">AEX89-AWK89</f>
        <v>0</v>
      </c>
      <c r="ALY89" s="20" t="n">
        <f aca="false">AEY89-AWL89</f>
        <v>0</v>
      </c>
      <c r="ALZ89" s="20" t="n">
        <f aca="false">AEZ89-AWM89</f>
        <v>0</v>
      </c>
      <c r="AMA89" s="20" t="n">
        <f aca="false">AFA89-AWN89</f>
        <v>0</v>
      </c>
      <c r="AMB89" s="20" t="n">
        <f aca="false">AFB89-AWO89</f>
        <v>0</v>
      </c>
      <c r="AMC89" s="20" t="n">
        <f aca="false">AFC89-AWP89</f>
        <v>0</v>
      </c>
      <c r="AMD89" s="20" t="n">
        <f aca="false">AFD89-AWQ89</f>
        <v>0</v>
      </c>
      <c r="AME89" s="20" t="n">
        <f aca="false">AFE89-AWR89</f>
        <v>0</v>
      </c>
      <c r="AMF89" s="20" t="n">
        <f aca="false">AFF89-AWS89</f>
        <v>0</v>
      </c>
      <c r="AMG89" s="20" t="n">
        <f aca="false">AFG89-AWT89</f>
        <v>0</v>
      </c>
      <c r="AMH89" s="20" t="n">
        <f aca="false">AFH89-AWU89</f>
        <v>0</v>
      </c>
      <c r="AMI89" s="20" t="n">
        <f aca="false">AFI89-AWV89</f>
        <v>0</v>
      </c>
      <c r="AMJ89" s="20" t="n">
        <f aca="false">AFJ89-AWW89</f>
        <v>0</v>
      </c>
      <c r="AMK89" s="20" t="n">
        <f aca="false">AFK89-AWX89</f>
        <v>0</v>
      </c>
      <c r="AML89" s="20" t="n">
        <f aca="false">AFL89-AWY89</f>
        <v>0</v>
      </c>
      <c r="AMM89" s="20" t="n">
        <f aca="false">AFM89-AWZ89</f>
        <v>0</v>
      </c>
      <c r="AMN89" s="20" t="n">
        <f aca="false">AFN89-AXA89</f>
        <v>0</v>
      </c>
      <c r="AMO89" s="20" t="n">
        <f aca="false">AFO89-AXB89</f>
        <v>0</v>
      </c>
      <c r="AMP89" s="20" t="n">
        <f aca="false">AFP89-AXC89</f>
        <v>0</v>
      </c>
      <c r="AMQ89" s="20" t="n">
        <f aca="false">AFQ89-AXD89</f>
        <v>0</v>
      </c>
      <c r="AMR89" s="20" t="n">
        <f aca="false">AFR89-AXE89</f>
        <v>0</v>
      </c>
      <c r="AMS89" s="20" t="n">
        <f aca="false">AFS89-AXF89</f>
        <v>0</v>
      </c>
      <c r="AMT89" s="20" t="n">
        <f aca="false">AFT89-AXG89</f>
        <v>0</v>
      </c>
      <c r="AMU89" s="20" t="n">
        <f aca="false">AFU89-AXH89</f>
        <v>0</v>
      </c>
      <c r="AMV89" s="20" t="n">
        <f aca="false">AFV89-AXI89</f>
        <v>0</v>
      </c>
      <c r="AMW89" s="20" t="n">
        <f aca="false">AFW89-AXJ89</f>
        <v>0</v>
      </c>
      <c r="AMX89" s="20" t="n">
        <f aca="false">AFX89-AXK89</f>
        <v>0</v>
      </c>
      <c r="AMY89" s="20" t="n">
        <f aca="false">AFY89-AXL89</f>
        <v>0</v>
      </c>
      <c r="AMZ89" s="20" t="n">
        <f aca="false">AFZ89-AXM89</f>
        <v>0</v>
      </c>
      <c r="ANA89" s="20" t="n">
        <f aca="false">AGA89-AXN89</f>
        <v>0</v>
      </c>
      <c r="ANB89" s="20" t="n">
        <f aca="false">AGB89-AXO89</f>
        <v>0</v>
      </c>
      <c r="ANC89" s="20" t="n">
        <f aca="false">AGC89-AXP89</f>
        <v>0</v>
      </c>
      <c r="AND89" s="20" t="n">
        <f aca="false">AGD89-AXQ89</f>
        <v>0</v>
      </c>
      <c r="ANE89" s="20" t="n">
        <f aca="false">AGE89-AXR89</f>
        <v>0</v>
      </c>
      <c r="ANF89" s="20" t="n">
        <f aca="false">AGF89-AXS89</f>
        <v>0</v>
      </c>
      <c r="ANG89" s="20" t="n">
        <f aca="false">AGG89-AXT89</f>
        <v>0</v>
      </c>
      <c r="ANH89" s="20" t="n">
        <f aca="false">AGH89-AXU89</f>
        <v>0</v>
      </c>
      <c r="ANI89" s="20" t="n">
        <f aca="false">AGI89-AXV89</f>
        <v>0</v>
      </c>
      <c r="ANJ89" s="20" t="n">
        <f aca="false">AGJ89-AXW89</f>
        <v>0</v>
      </c>
      <c r="ANK89" s="20" t="n">
        <f aca="false">AGK89-AXX89</f>
        <v>0</v>
      </c>
      <c r="ANL89" s="20" t="n">
        <f aca="false">AGL89-AXY89</f>
        <v>0</v>
      </c>
      <c r="ANM89" s="20" t="n">
        <f aca="false">AGM89-AXZ89</f>
        <v>0</v>
      </c>
      <c r="ANN89" s="20" t="n">
        <f aca="false">AGN89-AYA89</f>
        <v>0</v>
      </c>
      <c r="ANO89" s="20" t="n">
        <f aca="false">AGO89-AYB89</f>
        <v>0</v>
      </c>
      <c r="ANP89" s="20" t="n">
        <f aca="false">AGP89-AYC89</f>
        <v>0</v>
      </c>
      <c r="ANQ89" s="20" t="n">
        <f aca="false">AGQ89-AYD89</f>
        <v>0</v>
      </c>
      <c r="ANR89" s="20" t="n">
        <f aca="false">AGR89-AYE89</f>
        <v>0</v>
      </c>
      <c r="ANS89" s="20" t="n">
        <f aca="false">AGS89-AYF89</f>
        <v>0</v>
      </c>
      <c r="ANT89" s="20" t="n">
        <f aca="false">AGT89-AYG89</f>
        <v>0</v>
      </c>
      <c r="ANU89" s="20" t="n">
        <f aca="false">AGU89-AYH89</f>
        <v>0</v>
      </c>
      <c r="ANV89" s="20" t="n">
        <f aca="false">AGV89-AYI89</f>
        <v>0</v>
      </c>
      <c r="ANW89" s="20" t="n">
        <v>0</v>
      </c>
      <c r="ANX89" s="20" t="n">
        <v>0</v>
      </c>
      <c r="ANY89" s="20" t="n">
        <v>0</v>
      </c>
      <c r="ANZ89" s="20" t="n">
        <v>0</v>
      </c>
      <c r="AOA89" s="20" t="n">
        <v>0</v>
      </c>
      <c r="AOB89" s="20" t="n">
        <v>0</v>
      </c>
      <c r="AOC89" s="20" t="n">
        <v>0</v>
      </c>
      <c r="AOD89" s="20" t="n">
        <v>0</v>
      </c>
      <c r="AOE89" s="20" t="n">
        <f aca="false">IF(AND(H_Direct=0,H_TaxEvt=1,ARR88+1&gt;=H_Deemed),AKR89,AHE89)</f>
        <v>0</v>
      </c>
      <c r="AOF89" s="20" t="n">
        <f aca="false">IF(AND(H_Direct=0,H_TaxEvt=1,ARS88+1&gt;=H_Deemed),AKS89,AHF89)</f>
        <v>0</v>
      </c>
      <c r="AOG89" s="20" t="n">
        <f aca="false">IF(AND(H_Direct=0,H_TaxEvt=1,ART88+1&gt;=H_Deemed),AKT89,AHG89)</f>
        <v>0</v>
      </c>
      <c r="AOH89" s="20" t="n">
        <f aca="false">IF(AND(H_Direct=0,H_TaxEvt=1,ARU88+1&gt;=H_Deemed),AKU89,AHH89)</f>
        <v>0</v>
      </c>
      <c r="AOI89" s="20" t="n">
        <f aca="false">IF(AND(H_Direct=0,H_TaxEvt=1,ARV88+1&gt;=H_Deemed),AKV89,AHI89)</f>
        <v>0</v>
      </c>
      <c r="AOJ89" s="20" t="n">
        <f aca="false">IF(AND(H_Direct=0,H_TaxEvt=1,ARW88+1&gt;=H_Deemed),AKW89,AHJ89)</f>
        <v>0</v>
      </c>
      <c r="AOK89" s="20" t="n">
        <f aca="false">IF(AND(H_Direct=0,H_TaxEvt=1,ARX88+1&gt;=H_Deemed),AKX89,AHK89)</f>
        <v>0</v>
      </c>
      <c r="AOL89" s="20" t="n">
        <f aca="false">IF(AND(H_Direct=0,H_TaxEvt=1,ARY88+1&gt;=H_Deemed),AKY89,AHL89)</f>
        <v>0</v>
      </c>
      <c r="AOM89" s="20" t="n">
        <f aca="false">IF(AND(H_Direct=0,H_TaxEvt=1,ARZ88+1&gt;=H_Deemed),AKZ89,AHM89)</f>
        <v>0</v>
      </c>
      <c r="AON89" s="20" t="n">
        <f aca="false">IF(AND(H_Direct=0,H_TaxEvt=1,ASA88+1&gt;=H_Deemed),ALA89,AHN89)</f>
        <v>0</v>
      </c>
      <c r="AOO89" s="20" t="n">
        <f aca="false">IF(AND(H_Direct=0,H_TaxEvt=1,ASB88+1&gt;=H_Deemed),ALB89,AHO89)</f>
        <v>0</v>
      </c>
      <c r="AOP89" s="20" t="n">
        <f aca="false">IF(AND(H_Direct=0,H_TaxEvt=1,ASC88+1&gt;=H_Deemed),ALC89,AHP89)</f>
        <v>0</v>
      </c>
      <c r="AOQ89" s="20" t="n">
        <f aca="false">IF(AND(H_Direct=0,H_TaxEvt=1,ASD88+1&gt;=H_Deemed),ALD89,AHQ89)</f>
        <v>0</v>
      </c>
      <c r="AOR89" s="20" t="n">
        <f aca="false">IF(AND(H_Direct=0,H_TaxEvt=1,ASE88+1&gt;=H_Deemed),ALE89,AHR89)</f>
        <v>0</v>
      </c>
      <c r="AOS89" s="20" t="n">
        <f aca="false">IF(AND(H_Direct=0,H_TaxEvt=1,ASF88+1&gt;=H_Deemed),ALF89,AHS89)</f>
        <v>0</v>
      </c>
      <c r="AOT89" s="20" t="n">
        <f aca="false">IF(AND(H_Direct=0,H_TaxEvt=1,ASG88+1&gt;=H_Deemed),ALG89,AHT89)</f>
        <v>0</v>
      </c>
      <c r="AOU89" s="20" t="n">
        <f aca="false">IF(AND(H_Direct=0,H_TaxEvt=1,ASH88+1&gt;=H_Deemed),ALH89,AHU89)</f>
        <v>0</v>
      </c>
      <c r="AOV89" s="20" t="n">
        <f aca="false">IF(AND(H_Direct=0,H_TaxEvt=1,ASI88+1&gt;=H_Deemed),ALI89,AHV89)</f>
        <v>0</v>
      </c>
      <c r="AOW89" s="20" t="n">
        <f aca="false">IF(AND(H_Direct=0,H_TaxEvt=1,ASJ88+1&gt;=H_Deemed),ALJ89,AHW89)</f>
        <v>0</v>
      </c>
      <c r="AOX89" s="20" t="n">
        <f aca="false">IF(AND(H_Direct=0,H_TaxEvt=1,ASK88+1&gt;=H_Deemed),ALK89,AHX89)</f>
        <v>0</v>
      </c>
      <c r="AOY89" s="20" t="n">
        <f aca="false">IF(AND(H_Direct=0,H_TaxEvt=1,ASL88+1&gt;=H_Deemed),ALL89,AHY89)</f>
        <v>0</v>
      </c>
      <c r="AOZ89" s="20" t="n">
        <f aca="false">IF(AND(H_Direct=0,H_TaxEvt=1,ASM88+1&gt;=H_Deemed),ALM89,AHZ89)</f>
        <v>0</v>
      </c>
      <c r="APA89" s="20" t="n">
        <f aca="false">IF(AND(H_Direct=0,H_TaxEvt=1,ASN88+1&gt;=H_Deemed),ALN89,AIA89)</f>
        <v>0</v>
      </c>
      <c r="APB89" s="20" t="n">
        <f aca="false">IF(AND(H_Direct=0,H_TaxEvt=1,ASO88+1&gt;=H_Deemed),ALO89,AIB89)</f>
        <v>0</v>
      </c>
      <c r="APC89" s="20" t="n">
        <f aca="false">IF(AND(H_Direct=0,H_TaxEvt=1,ASP88+1&gt;=H_Deemed),ALP89,AIC89)</f>
        <v>0</v>
      </c>
      <c r="APD89" s="20" t="n">
        <f aca="false">IF(AND(H_Direct=0,H_TaxEvt=1,ASQ88+1&gt;=H_Deemed),ALQ89,AID89)</f>
        <v>0</v>
      </c>
      <c r="APE89" s="20" t="n">
        <f aca="false">IF(AND(H_Direct=0,H_TaxEvt=1,ASR88+1&gt;=H_Deemed),ALR89,AIE89)</f>
        <v>0</v>
      </c>
      <c r="APF89" s="20" t="n">
        <f aca="false">IF(AND(H_Direct=0,H_TaxEvt=1,ASS88+1&gt;=H_Deemed),ALS89,AIF89)</f>
        <v>0</v>
      </c>
      <c r="APG89" s="20" t="n">
        <f aca="false">IF(AND(H_Direct=0,H_TaxEvt=1,AST88+1&gt;=H_Deemed),ALT89,AIG89)</f>
        <v>0</v>
      </c>
      <c r="APH89" s="20" t="n">
        <f aca="false">IF(AND(H_Direct=0,H_TaxEvt=1,ASU88+1&gt;=H_Deemed),ALU89,AIH89)</f>
        <v>0</v>
      </c>
      <c r="API89" s="20" t="n">
        <f aca="false">IF(AND(H_Direct=0,H_TaxEvt=1,ASV88+1&gt;=H_Deemed),ALV89,AII89)</f>
        <v>0</v>
      </c>
      <c r="APJ89" s="20" t="n">
        <f aca="false">IF(AND(H_Direct=0,H_TaxEvt=1,ASW88+1&gt;=H_Deemed),ALW89,AIJ89)</f>
        <v>0</v>
      </c>
      <c r="APK89" s="20" t="n">
        <f aca="false">IF(AND(H_Direct=0,H_TaxEvt=1,ASX88+1&gt;=H_Deemed),ALX89,AIK89)</f>
        <v>0</v>
      </c>
      <c r="APL89" s="20" t="n">
        <f aca="false">IF(AND(H_Direct=0,H_TaxEvt=1,ASY88+1&gt;=H_Deemed),ALY89,AIL89)</f>
        <v>0</v>
      </c>
      <c r="APM89" s="20" t="n">
        <f aca="false">IF(AND(H_Direct=0,H_TaxEvt=1,ASZ88+1&gt;=H_Deemed),ALZ89,AIM89)</f>
        <v>0</v>
      </c>
      <c r="APN89" s="20" t="n">
        <f aca="false">IF(AND(H_Direct=0,H_TaxEvt=1,ATA88+1&gt;=H_Deemed),AMA89,AIN89)</f>
        <v>0</v>
      </c>
      <c r="APO89" s="20" t="n">
        <f aca="false">IF(AND(H_Direct=0,H_TaxEvt=1,ATB88+1&gt;=H_Deemed),AMB89,AIO89)</f>
        <v>0</v>
      </c>
      <c r="APP89" s="20" t="n">
        <f aca="false">IF(AND(H_Direct=0,H_TaxEvt=1,ATC88+1&gt;=H_Deemed),AMC89,AIP89)</f>
        <v>0</v>
      </c>
      <c r="APQ89" s="20" t="n">
        <f aca="false">IF(AND(H_Direct=0,H_TaxEvt=1,ATD88+1&gt;=H_Deemed),AMD89,AIQ89)</f>
        <v>0</v>
      </c>
      <c r="APR89" s="20" t="n">
        <f aca="false">IF(AND(H_Direct=0,H_TaxEvt=1,ATE88+1&gt;=H_Deemed),AME89,AIR89)</f>
        <v>0</v>
      </c>
      <c r="APS89" s="20" t="n">
        <f aca="false">IF(AND(H_Direct=0,H_TaxEvt=1,ATF88+1&gt;=H_Deemed),AMF89,AIS89)</f>
        <v>0</v>
      </c>
      <c r="APT89" s="20" t="n">
        <f aca="false">IF(AND(H_Direct=0,H_TaxEvt=1,ATG88+1&gt;=H_Deemed),AMG89,AIT89)</f>
        <v>0</v>
      </c>
      <c r="APU89" s="20" t="n">
        <f aca="false">IF(AND(H_Direct=0,H_TaxEvt=1,ATH88+1&gt;=H_Deemed),AMH89,AIU89)</f>
        <v>0</v>
      </c>
      <c r="APV89" s="20" t="n">
        <f aca="false">IF(AND(H_Direct=0,H_TaxEvt=1,ATI88+1&gt;=H_Deemed),AMI89,AIV89)</f>
        <v>0</v>
      </c>
      <c r="APW89" s="20" t="n">
        <f aca="false">IF(AND(H_Direct=0,H_TaxEvt=1,ATJ88+1&gt;=H_Deemed),AMJ89,AIW89)</f>
        <v>0</v>
      </c>
      <c r="APX89" s="20" t="n">
        <f aca="false">IF(AND(H_Direct=0,H_TaxEvt=1,ATK88+1&gt;=H_Deemed),AMK89,AIX89)</f>
        <v>0</v>
      </c>
      <c r="APY89" s="20" t="n">
        <f aca="false">IF(AND(H_Direct=0,H_TaxEvt=1,ATL88+1&gt;=H_Deemed),AML89,AIY89)</f>
        <v>0</v>
      </c>
      <c r="APZ89" s="20" t="n">
        <f aca="false">IF(AND(H_Direct=0,H_TaxEvt=1,ATM88+1&gt;=H_Deemed),AMM89,AIZ89)</f>
        <v>0</v>
      </c>
      <c r="AQA89" s="20" t="n">
        <f aca="false">IF(AND(H_Direct=0,H_TaxEvt=1,ATN88+1&gt;=H_Deemed),AMN89,AJA89)</f>
        <v>0</v>
      </c>
      <c r="AQB89" s="20" t="n">
        <f aca="false">IF(AND(H_Direct=0,H_TaxEvt=1,ATO88+1&gt;=H_Deemed),AMO89,AJB89)</f>
        <v>0</v>
      </c>
      <c r="AQC89" s="20" t="n">
        <f aca="false">IF(AND(H_Direct=0,H_TaxEvt=1,ATP88+1&gt;=H_Deemed),AMP89,AJC89)</f>
        <v>0</v>
      </c>
      <c r="AQD89" s="20" t="n">
        <f aca="false">IF(AND(H_Direct=0,H_TaxEvt=1,ATQ88+1&gt;=H_Deemed),AMQ89,AJD89)</f>
        <v>0</v>
      </c>
      <c r="AQE89" s="20" t="n">
        <f aca="false">IF(AND(H_Direct=0,H_TaxEvt=1,ATR88+1&gt;=H_Deemed),AMR89,AJE89)</f>
        <v>0</v>
      </c>
      <c r="AQF89" s="20" t="n">
        <f aca="false">IF(AND(H_Direct=0,H_TaxEvt=1,ATS88+1&gt;=H_Deemed),AMS89,AJF89)</f>
        <v>0</v>
      </c>
      <c r="AQG89" s="20" t="n">
        <f aca="false">IF(AND(H_Direct=0,H_TaxEvt=1,ATT88+1&gt;=H_Deemed),AMT89,AJG89)</f>
        <v>0</v>
      </c>
      <c r="AQH89" s="20" t="n">
        <f aca="false">IF(AND(H_Direct=0,H_TaxEvt=1,ATU88+1&gt;=H_Deemed),AMU89,AJH89)</f>
        <v>0</v>
      </c>
      <c r="AQI89" s="20" t="n">
        <f aca="false">IF(AND(H_Direct=0,H_TaxEvt=1,ATV88+1&gt;=H_Deemed),AMV89,AJI89)</f>
        <v>0</v>
      </c>
      <c r="AQJ89" s="20" t="n">
        <f aca="false">IF(AND(H_Direct=0,H_TaxEvt=1,ATW88+1&gt;=H_Deemed),AMW89,AJJ89)</f>
        <v>0</v>
      </c>
      <c r="AQK89" s="20" t="n">
        <f aca="false">IF(AND(H_Direct=0,H_TaxEvt=1,ATX88+1&gt;=H_Deemed),AMX89,AJK89)</f>
        <v>0</v>
      </c>
      <c r="AQL89" s="20" t="n">
        <f aca="false">IF(AND(H_Direct=0,H_TaxEvt=1,ATY88+1&gt;=H_Deemed),AMY89,AJL89)</f>
        <v>0</v>
      </c>
      <c r="AQM89" s="20" t="n">
        <f aca="false">IF(AND(H_Direct=0,H_TaxEvt=1,ATZ88+1&gt;=H_Deemed),AMZ89,AJM89)</f>
        <v>0</v>
      </c>
      <c r="AQN89" s="20" t="n">
        <f aca="false">IF(AND(H_Direct=0,H_TaxEvt=1,AUA88+1&gt;=H_Deemed),ANA89,AJN89)</f>
        <v>0</v>
      </c>
      <c r="AQO89" s="20" t="n">
        <f aca="false">IF(AND(H_Direct=0,H_TaxEvt=1,AUB88+1&gt;=H_Deemed),ANB89,AJO89)</f>
        <v>0</v>
      </c>
      <c r="AQP89" s="20" t="n">
        <f aca="false">IF(AND(H_Direct=0,H_TaxEvt=1,AUC88+1&gt;=H_Deemed),ANC89,AJP89)</f>
        <v>0</v>
      </c>
      <c r="AQQ89" s="20" t="n">
        <f aca="false">IF(AND(H_Direct=0,H_TaxEvt=1,AUD88+1&gt;=H_Deemed),AND89,AJQ89)</f>
        <v>0</v>
      </c>
      <c r="AQR89" s="20" t="n">
        <f aca="false">IF(AND(H_Direct=0,H_TaxEvt=1,AUE88+1&gt;=H_Deemed),ANE89,AJR89)</f>
        <v>0</v>
      </c>
      <c r="AQS89" s="20" t="n">
        <f aca="false">IF(AND(H_Direct=0,H_TaxEvt=1,AUF88+1&gt;=H_Deemed),ANF89,AJS89)</f>
        <v>0</v>
      </c>
      <c r="AQT89" s="20" t="n">
        <f aca="false">IF(AND(H_Direct=0,H_TaxEvt=1,AUG88+1&gt;=H_Deemed),ANG89,AJT89)</f>
        <v>0</v>
      </c>
      <c r="AQU89" s="20" t="n">
        <f aca="false">IF(AND(H_Direct=0,H_TaxEvt=1,AUH88+1&gt;=H_Deemed),ANH89,AJU89)</f>
        <v>0</v>
      </c>
      <c r="AQV89" s="20" t="n">
        <f aca="false">IF(AND(H_Direct=0,H_TaxEvt=1,AUI88+1&gt;=H_Deemed),ANI89,AJV89)</f>
        <v>0</v>
      </c>
      <c r="AQW89" s="20" t="n">
        <f aca="false">IF(AND(H_Direct=0,H_TaxEvt=1,AUJ88+1&gt;=H_Deemed),ANJ89,AJW89)</f>
        <v>0</v>
      </c>
      <c r="AQX89" s="20" t="n">
        <f aca="false">IF(AND(H_Direct=0,H_TaxEvt=1,AUK88+1&gt;=H_Deemed),ANK89,AJX89)</f>
        <v>0</v>
      </c>
      <c r="AQY89" s="20" t="n">
        <f aca="false">IF(AND(H_Direct=0,H_TaxEvt=1,AUL88+1&gt;=H_Deemed),ANL89,AJY89)</f>
        <v>0</v>
      </c>
      <c r="AQZ89" s="20" t="n">
        <f aca="false">IF(AND(H_Direct=0,H_TaxEvt=1,AUM88+1&gt;=H_Deemed),ANM89,AJZ89)</f>
        <v>0</v>
      </c>
      <c r="ARA89" s="20" t="n">
        <f aca="false">IF(AND(H_Direct=0,H_TaxEvt=1,AUN88+1&gt;=H_Deemed),ANN89,AKA89)</f>
        <v>0</v>
      </c>
      <c r="ARB89" s="20" t="n">
        <f aca="false">IF(AND(H_Direct=0,H_TaxEvt=1,AUO88+1&gt;=H_Deemed),ANO89,AKB89)</f>
        <v>0</v>
      </c>
      <c r="ARC89" s="20" t="n">
        <f aca="false">IF(AND(H_Direct=0,H_TaxEvt=1,AUP88+1&gt;=H_Deemed),ANP89,AKC89)</f>
        <v>0</v>
      </c>
      <c r="ARD89" s="20" t="n">
        <f aca="false">IF(AND(H_Direct=0,H_TaxEvt=1,AUQ88+1&gt;=H_Deemed),ANQ89,AKD89)</f>
        <v>0</v>
      </c>
      <c r="ARE89" s="20" t="n">
        <f aca="false">IF(AND(H_Direct=0,H_TaxEvt=1,AUR88+1&gt;=H_Deemed),ANR89,AKE89)</f>
        <v>0</v>
      </c>
      <c r="ARF89" s="20" t="n">
        <f aca="false">IF(AND(H_Direct=0,H_TaxEvt=1,AUS88+1&gt;=H_Deemed),ANS89,AKF89)</f>
        <v>0</v>
      </c>
      <c r="ARG89" s="20" t="n">
        <f aca="false">IF(AND(H_Direct=0,H_TaxEvt=1,AUT88+1&gt;=H_Deemed),ANT89,AKG89)</f>
        <v>0</v>
      </c>
      <c r="ARH89" s="20" t="n">
        <f aca="false">IF(AND(H_Direct=0,H_TaxEvt=1,AUU88+1&gt;=H_Deemed),ANU89,AKH89)</f>
        <v>0</v>
      </c>
      <c r="ARI89" s="20" t="n">
        <f aca="false">IF(AND(H_Direct=0,H_TaxEvt=1,0+1&gt;=H_Deemed),ANV89,AKI89)</f>
        <v>0</v>
      </c>
      <c r="ARJ89" s="20" t="n">
        <v>0</v>
      </c>
      <c r="ARK89" s="20" t="n">
        <v>0</v>
      </c>
      <c r="ARL89" s="20" t="n">
        <v>0</v>
      </c>
      <c r="ARM89" s="20" t="n">
        <v>0</v>
      </c>
      <c r="ARN89" s="20" t="n">
        <v>0</v>
      </c>
      <c r="ARO89" s="20" t="n">
        <v>0</v>
      </c>
      <c r="ARP89" s="20" t="n">
        <v>0</v>
      </c>
      <c r="ARQ89" s="20" t="n">
        <v>0</v>
      </c>
      <c r="ARR89" s="20" t="n">
        <f aca="false">IF(AND(H_Direct=0,H_TaxEvt=1),IF(ARR88+1&gt;=H_Deemed,0,ARR88+1),ARR88)</f>
        <v>2</v>
      </c>
      <c r="ARS89" s="20" t="n">
        <f aca="false">IF(AND(H_Direct=0,H_TaxEvt=1),IF(ARS88+1&gt;=H_Deemed,0,ARS88+1),ARS88)</f>
        <v>2</v>
      </c>
      <c r="ART89" s="20" t="n">
        <f aca="false">IF(AND(H_Direct=0,H_TaxEvt=1),IF(ART88+1&gt;=H_Deemed,0,ART88+1),ART88)</f>
        <v>1</v>
      </c>
      <c r="ARU89" s="20" t="n">
        <f aca="false">IF(AND(H_Direct=0,H_TaxEvt=1),IF(ARU88+1&gt;=H_Deemed,0,ARU88+1),ARU88)</f>
        <v>0</v>
      </c>
      <c r="ARV89" s="20" t="n">
        <f aca="false">IF(AND(H_Direct=0,H_TaxEvt=1),IF(ARV88+1&gt;=H_Deemed,0,ARV88+1),ARV88)</f>
        <v>7</v>
      </c>
      <c r="ARW89" s="20" t="n">
        <f aca="false">IF(AND(H_Direct=0,H_TaxEvt=1),IF(ARW88+1&gt;=H_Deemed,0,ARW88+1),ARW88)</f>
        <v>6</v>
      </c>
      <c r="ARX89" s="20" t="n">
        <f aca="false">IF(AND(H_Direct=0,H_TaxEvt=1),IF(ARX88+1&gt;=H_Deemed,0,ARX88+1),ARX88)</f>
        <v>5</v>
      </c>
      <c r="ARY89" s="20" t="n">
        <f aca="false">IF(AND(H_Direct=0,H_TaxEvt=1),IF(ARY88+1&gt;=H_Deemed,0,ARY88+1),ARY88)</f>
        <v>4</v>
      </c>
      <c r="ARZ89" s="20" t="n">
        <f aca="false">IF(AND(H_Direct=0,H_TaxEvt=1),IF(ARZ88+1&gt;=H_Deemed,0,ARZ88+1),ARZ88)</f>
        <v>3</v>
      </c>
      <c r="ASA89" s="20" t="n">
        <f aca="false">IF(AND(H_Direct=0,H_TaxEvt=1),IF(ASA88+1&gt;=H_Deemed,0,ASA88+1),ASA88)</f>
        <v>2</v>
      </c>
      <c r="ASB89" s="20" t="n">
        <f aca="false">IF(AND(H_Direct=0,H_TaxEvt=1),IF(ASB88+1&gt;=H_Deemed,0,ASB88+1),ASB88)</f>
        <v>1</v>
      </c>
      <c r="ASC89" s="20" t="n">
        <f aca="false">IF(AND(H_Direct=0,H_TaxEvt=1),IF(ASC88+1&gt;=H_Deemed,0,ASC88+1),ASC88)</f>
        <v>0</v>
      </c>
      <c r="ASD89" s="20" t="n">
        <f aca="false">IF(AND(H_Direct=0,H_TaxEvt=1),IF(ASD88+1&gt;=H_Deemed,0,ASD88+1),ASD88)</f>
        <v>7</v>
      </c>
      <c r="ASE89" s="20" t="n">
        <f aca="false">IF(AND(H_Direct=0,H_TaxEvt=1),IF(ASE88+1&gt;=H_Deemed,0,ASE88+1),ASE88)</f>
        <v>6</v>
      </c>
      <c r="ASF89" s="20" t="n">
        <f aca="false">IF(AND(H_Direct=0,H_TaxEvt=1),IF(ASF88+1&gt;=H_Deemed,0,ASF88+1),ASF88)</f>
        <v>5</v>
      </c>
      <c r="ASG89" s="20" t="n">
        <f aca="false">IF(AND(H_Direct=0,H_TaxEvt=1),IF(ASG88+1&gt;=H_Deemed,0,ASG88+1),ASG88)</f>
        <v>4</v>
      </c>
      <c r="ASH89" s="20" t="n">
        <f aca="false">IF(AND(H_Direct=0,H_TaxEvt=1),IF(ASH88+1&gt;=H_Deemed,0,ASH88+1),ASH88)</f>
        <v>3</v>
      </c>
      <c r="ASI89" s="20" t="n">
        <f aca="false">IF(AND(H_Direct=0,H_TaxEvt=1),IF(ASI88+1&gt;=H_Deemed,0,ASI88+1),ASI88)</f>
        <v>2</v>
      </c>
      <c r="ASJ89" s="20" t="n">
        <f aca="false">IF(AND(H_Direct=0,H_TaxEvt=1),IF(ASJ88+1&gt;=H_Deemed,0,ASJ88+1),ASJ88)</f>
        <v>1</v>
      </c>
      <c r="ASK89" s="20" t="n">
        <f aca="false">IF(AND(H_Direct=0,H_TaxEvt=1),IF(ASK88+1&gt;=H_Deemed,0,ASK88+1),ASK88)</f>
        <v>0</v>
      </c>
      <c r="ASL89" s="20" t="n">
        <f aca="false">IF(AND(H_Direct=0,H_TaxEvt=1),IF(ASL88+1&gt;=H_Deemed,0,ASL88+1),ASL88)</f>
        <v>7</v>
      </c>
      <c r="ASM89" s="20" t="n">
        <f aca="false">IF(AND(H_Direct=0,H_TaxEvt=1),IF(ASM88+1&gt;=H_Deemed,0,ASM88+1),ASM88)</f>
        <v>6</v>
      </c>
      <c r="ASN89" s="20" t="n">
        <f aca="false">IF(AND(H_Direct=0,H_TaxEvt=1),IF(ASN88+1&gt;=H_Deemed,0,ASN88+1),ASN88)</f>
        <v>5</v>
      </c>
      <c r="ASO89" s="20" t="n">
        <f aca="false">IF(AND(H_Direct=0,H_TaxEvt=1),IF(ASO88+1&gt;=H_Deemed,0,ASO88+1),ASO88)</f>
        <v>4</v>
      </c>
      <c r="ASP89" s="20" t="n">
        <f aca="false">IF(AND(H_Direct=0,H_TaxEvt=1),IF(ASP88+1&gt;=H_Deemed,0,ASP88+1),ASP88)</f>
        <v>3</v>
      </c>
      <c r="ASQ89" s="20" t="n">
        <f aca="false">IF(AND(H_Direct=0,H_TaxEvt=1),IF(ASQ88+1&gt;=H_Deemed,0,ASQ88+1),ASQ88)</f>
        <v>2</v>
      </c>
      <c r="ASR89" s="20" t="n">
        <f aca="false">IF(AND(H_Direct=0,H_TaxEvt=1),IF(ASR88+1&gt;=H_Deemed,0,ASR88+1),ASR88)</f>
        <v>1</v>
      </c>
      <c r="ASS89" s="20" t="n">
        <f aca="false">IF(AND(H_Direct=0,H_TaxEvt=1),IF(ASS88+1&gt;=H_Deemed,0,ASS88+1),ASS88)</f>
        <v>0</v>
      </c>
      <c r="AST89" s="20" t="n">
        <f aca="false">IF(AND(H_Direct=0,H_TaxEvt=1),IF(AST88+1&gt;=H_Deemed,0,AST88+1),AST88)</f>
        <v>7</v>
      </c>
      <c r="ASU89" s="20" t="n">
        <f aca="false">IF(AND(H_Direct=0,H_TaxEvt=1),IF(ASU88+1&gt;=H_Deemed,0,ASU88+1),ASU88)</f>
        <v>6</v>
      </c>
      <c r="ASV89" s="20" t="n">
        <f aca="false">IF(AND(H_Direct=0,H_TaxEvt=1),IF(ASV88+1&gt;=H_Deemed,0,ASV88+1),ASV88)</f>
        <v>5</v>
      </c>
      <c r="ASW89" s="20" t="n">
        <f aca="false">IF(AND(H_Direct=0,H_TaxEvt=1),IF(ASW88+1&gt;=H_Deemed,0,ASW88+1),ASW88)</f>
        <v>4</v>
      </c>
      <c r="ASX89" s="20" t="n">
        <f aca="false">IF(AND(H_Direct=0,H_TaxEvt=1),IF(ASX88+1&gt;=H_Deemed,0,ASX88+1),ASX88)</f>
        <v>3</v>
      </c>
      <c r="ASY89" s="20" t="n">
        <f aca="false">IF(AND(H_Direct=0,H_TaxEvt=1),IF(ASY88+1&gt;=H_Deemed,0,ASY88+1),ASY88)</f>
        <v>2</v>
      </c>
      <c r="ASZ89" s="20" t="n">
        <f aca="false">IF(AND(H_Direct=0,H_TaxEvt=1),IF(ASZ88+1&gt;=H_Deemed,0,ASZ88+1),ASZ88)</f>
        <v>1</v>
      </c>
      <c r="ATA89" s="20" t="n">
        <f aca="false">IF(AND(H_Direct=0,H_TaxEvt=1),IF(ATA88+1&gt;=H_Deemed,0,ATA88+1),ATA88)</f>
        <v>0</v>
      </c>
      <c r="ATB89" s="20" t="n">
        <f aca="false">IF(AND(H_Direct=0,H_TaxEvt=1),IF(ATB88+1&gt;=H_Deemed,0,ATB88+1),ATB88)</f>
        <v>7</v>
      </c>
      <c r="ATC89" s="20" t="n">
        <f aca="false">IF(AND(H_Direct=0,H_TaxEvt=1),IF(ATC88+1&gt;=H_Deemed,0,ATC88+1),ATC88)</f>
        <v>6</v>
      </c>
      <c r="ATD89" s="20" t="n">
        <f aca="false">IF(AND(H_Direct=0,H_TaxEvt=1),IF(ATD88+1&gt;=H_Deemed,0,ATD88+1),ATD88)</f>
        <v>5</v>
      </c>
      <c r="ATE89" s="20" t="n">
        <f aca="false">IF(AND(H_Direct=0,H_TaxEvt=1),IF(ATE88+1&gt;=H_Deemed,0,ATE88+1),ATE88)</f>
        <v>4</v>
      </c>
      <c r="ATF89" s="20" t="n">
        <f aca="false">IF(AND(H_Direct=0,H_TaxEvt=1),IF(ATF88+1&gt;=H_Deemed,0,ATF88+1),ATF88)</f>
        <v>3</v>
      </c>
      <c r="ATG89" s="20" t="n">
        <f aca="false">IF(AND(H_Direct=0,H_TaxEvt=1),IF(ATG88+1&gt;=H_Deemed,0,ATG88+1),ATG88)</f>
        <v>2</v>
      </c>
      <c r="ATH89" s="20" t="n">
        <f aca="false">IF(AND(H_Direct=0,H_TaxEvt=1),IF(ATH88+1&gt;=H_Deemed,0,ATH88+1),ATH88)</f>
        <v>1</v>
      </c>
      <c r="ATI89" s="20" t="n">
        <f aca="false">IF(AND(H_Direct=0,H_TaxEvt=1),IF(ATI88+1&gt;=H_Deemed,0,ATI88+1),ATI88)</f>
        <v>0</v>
      </c>
      <c r="ATJ89" s="20" t="n">
        <f aca="false">IF(AND(H_Direct=0,H_TaxEvt=1),IF(ATJ88+1&gt;=H_Deemed,0,ATJ88+1),ATJ88)</f>
        <v>7</v>
      </c>
      <c r="ATK89" s="20" t="n">
        <f aca="false">IF(AND(H_Direct=0,H_TaxEvt=1),IF(ATK88+1&gt;=H_Deemed,0,ATK88+1),ATK88)</f>
        <v>6</v>
      </c>
      <c r="ATL89" s="20" t="n">
        <f aca="false">IF(AND(H_Direct=0,H_TaxEvt=1),IF(ATL88+1&gt;=H_Deemed,0,ATL88+1),ATL88)</f>
        <v>5</v>
      </c>
      <c r="ATM89" s="20" t="n">
        <f aca="false">IF(AND(H_Direct=0,H_TaxEvt=1),IF(ATM88+1&gt;=H_Deemed,0,ATM88+1),ATM88)</f>
        <v>4</v>
      </c>
      <c r="ATN89" s="20" t="n">
        <f aca="false">IF(AND(H_Direct=0,H_TaxEvt=1),IF(ATN88+1&gt;=H_Deemed,0,ATN88+1),ATN88)</f>
        <v>3</v>
      </c>
      <c r="ATO89" s="20" t="n">
        <f aca="false">IF(AND(H_Direct=0,H_TaxEvt=1),IF(ATO88+1&gt;=H_Deemed,0,ATO88+1),ATO88)</f>
        <v>2</v>
      </c>
      <c r="ATP89" s="20" t="n">
        <f aca="false">IF(AND(H_Direct=0,H_TaxEvt=1),IF(ATP88+1&gt;=H_Deemed,0,ATP88+1),ATP88)</f>
        <v>1</v>
      </c>
      <c r="ATQ89" s="20" t="n">
        <f aca="false">IF(AND(H_Direct=0,H_TaxEvt=1),IF(ATQ88+1&gt;=H_Deemed,0,ATQ88+1),ATQ88)</f>
        <v>0</v>
      </c>
      <c r="ATR89" s="20" t="n">
        <f aca="false">IF(AND(H_Direct=0,H_TaxEvt=1),IF(ATR88+1&gt;=H_Deemed,0,ATR88+1),ATR88)</f>
        <v>7</v>
      </c>
      <c r="ATS89" s="20" t="n">
        <f aca="false">IF(AND(H_Direct=0,H_TaxEvt=1),IF(ATS88+1&gt;=H_Deemed,0,ATS88+1),ATS88)</f>
        <v>6</v>
      </c>
      <c r="ATT89" s="20" t="n">
        <f aca="false">IF(AND(H_Direct=0,H_TaxEvt=1),IF(ATT88+1&gt;=H_Deemed,0,ATT88+1),ATT88)</f>
        <v>5</v>
      </c>
      <c r="ATU89" s="20" t="n">
        <f aca="false">IF(AND(H_Direct=0,H_TaxEvt=1),IF(ATU88+1&gt;=H_Deemed,0,ATU88+1),ATU88)</f>
        <v>4</v>
      </c>
      <c r="ATV89" s="20" t="n">
        <f aca="false">IF(AND(H_Direct=0,H_TaxEvt=1),IF(ATV88+1&gt;=H_Deemed,0,ATV88+1),ATV88)</f>
        <v>3</v>
      </c>
      <c r="ATW89" s="20" t="n">
        <f aca="false">IF(AND(H_Direct=0,H_TaxEvt=1),IF(ATW88+1&gt;=H_Deemed,0,ATW88+1),ATW88)</f>
        <v>2</v>
      </c>
      <c r="ATX89" s="20" t="n">
        <f aca="false">IF(AND(H_Direct=0,H_TaxEvt=1),IF(ATX88+1&gt;=H_Deemed,0,ATX88+1),ATX88)</f>
        <v>1</v>
      </c>
      <c r="ATY89" s="20" t="n">
        <f aca="false">IF(AND(H_Direct=0,H_TaxEvt=1),IF(ATY88+1&gt;=H_Deemed,0,ATY88+1),ATY88)</f>
        <v>0</v>
      </c>
      <c r="ATZ89" s="20" t="n">
        <f aca="false">IF(AND(H_Direct=0,H_TaxEvt=1),IF(ATZ88+1&gt;=H_Deemed,0,ATZ88+1),ATZ88)</f>
        <v>7</v>
      </c>
      <c r="AUA89" s="20" t="n">
        <f aca="false">IF(AND(H_Direct=0,H_TaxEvt=1),IF(AUA88+1&gt;=H_Deemed,0,AUA88+1),AUA88)</f>
        <v>6</v>
      </c>
      <c r="AUB89" s="20" t="n">
        <f aca="false">IF(AND(H_Direct=0,H_TaxEvt=1),IF(AUB88+1&gt;=H_Deemed,0,AUB88+1),AUB88)</f>
        <v>5</v>
      </c>
      <c r="AUC89" s="20" t="n">
        <f aca="false">IF(AND(H_Direct=0,H_TaxEvt=1),IF(AUC88+1&gt;=H_Deemed,0,AUC88+1),AUC88)</f>
        <v>4</v>
      </c>
      <c r="AUD89" s="20" t="n">
        <f aca="false">IF(AND(H_Direct=0,H_TaxEvt=1),IF(AUD88+1&gt;=H_Deemed,0,AUD88+1),AUD88)</f>
        <v>3</v>
      </c>
      <c r="AUE89" s="20" t="n">
        <f aca="false">IF(AND(H_Direct=0,H_TaxEvt=1),IF(AUE88+1&gt;=H_Deemed,0,AUE88+1),AUE88)</f>
        <v>2</v>
      </c>
      <c r="AUF89" s="20" t="n">
        <f aca="false">IF(AND(H_Direct=0,H_TaxEvt=1),IF(AUF88+1&gt;=H_Deemed,0,AUF88+1),AUF88)</f>
        <v>1</v>
      </c>
      <c r="AUG89" s="20" t="n">
        <f aca="false">IF(AND(H_Direct=0,H_TaxEvt=1),IF(AUG88+1&gt;=H_Deemed,0,AUG88+1),AUG88)</f>
        <v>0</v>
      </c>
      <c r="AUH89" s="20" t="n">
        <f aca="false">IF(AND(H_Direct=0,H_TaxEvt=1),IF(AUH88+1&gt;=H_Deemed,0,AUH88+1),AUH88)</f>
        <v>7</v>
      </c>
      <c r="AUI89" s="20" t="n">
        <f aca="false">IF(AND(H_Direct=0,H_TaxEvt=1),IF(AUI88+1&gt;=H_Deemed,0,AUI88+1),AUI88)</f>
        <v>6</v>
      </c>
      <c r="AUJ89" s="20" t="n">
        <f aca="false">IF(AND(H_Direct=0,H_TaxEvt=1),IF(AUJ88+1&gt;=H_Deemed,0,AUJ88+1),AUJ88)</f>
        <v>5</v>
      </c>
      <c r="AUK89" s="20" t="n">
        <f aca="false">IF(AND(H_Direct=0,H_TaxEvt=1),IF(AUK88+1&gt;=H_Deemed,0,AUK88+1),AUK88)</f>
        <v>4</v>
      </c>
      <c r="AUL89" s="20" t="n">
        <f aca="false">IF(AND(H_Direct=0,H_TaxEvt=1),IF(AUL88+1&gt;=H_Deemed,0,AUL88+1),AUL88)</f>
        <v>3</v>
      </c>
      <c r="AUM89" s="20" t="n">
        <f aca="false">IF(AND(H_Direct=0,H_TaxEvt=1),IF(AUM88+1&gt;=H_Deemed,0,AUM88+1),AUM88)</f>
        <v>2</v>
      </c>
      <c r="AUN89" s="20" t="n">
        <f aca="false">IF(AND(H_Direct=0,H_TaxEvt=1),IF(AUN88+1&gt;=H_Deemed,0,AUN88+1),AUN88)</f>
        <v>1</v>
      </c>
      <c r="AUO89" s="20" t="n">
        <f aca="false">IF(AND(H_Direct=0,H_TaxEvt=1),IF(AUO88+1&gt;=H_Deemed,0,AUO88+1),AUO88)</f>
        <v>0</v>
      </c>
      <c r="AUP89" s="20" t="n">
        <f aca="false">IF(AND(H_Direct=0,H_TaxEvt=1),IF(AUP88+1&gt;=H_Deemed,0,AUP88+1),AUP88)</f>
        <v>7</v>
      </c>
      <c r="AUQ89" s="20" t="n">
        <f aca="false">IF(AND(H_Direct=0,H_TaxEvt=1),IF(AUQ88+1&gt;=H_Deemed,0,AUQ88+1),AUQ88)</f>
        <v>6</v>
      </c>
      <c r="AUR89" s="20" t="n">
        <f aca="false">IF(AND(H_Direct=0,H_TaxEvt=1),IF(AUR88+1&gt;=H_Deemed,0,AUR88+1),AUR88)</f>
        <v>5</v>
      </c>
      <c r="AUS89" s="20" t="n">
        <f aca="false">IF(AND(H_Direct=0,H_TaxEvt=1),IF(AUS88+1&gt;=H_Deemed,0,AUS88+1),AUS88)</f>
        <v>4</v>
      </c>
      <c r="AUT89" s="20" t="n">
        <f aca="false">IF(AND(H_Direct=0,H_TaxEvt=1),IF(AUT88+1&gt;=H_Deemed,0,AUT88+1),AUT88)</f>
        <v>3</v>
      </c>
      <c r="AUU89" s="20" t="n">
        <f aca="false">IF(AND(H_Direct=0,H_TaxEvt=1),IF(AUU88+1&gt;=H_Deemed,0,AUU88+1),AUU88)</f>
        <v>2</v>
      </c>
      <c r="AUV89" s="20" t="n">
        <f aca="false">IF(AND(H_Direct=0,H_TaxEvt=1),IF(0+1&gt;=H_Deemed,0,0+1),0)</f>
        <v>1</v>
      </c>
      <c r="AUW89" s="20" t="n">
        <v>0</v>
      </c>
      <c r="AUX89" s="20" t="n">
        <v>0</v>
      </c>
      <c r="AUY89" s="20" t="n">
        <v>0</v>
      </c>
      <c r="AUZ89" s="20" t="n">
        <v>0</v>
      </c>
      <c r="AVA89" s="20" t="n">
        <v>0</v>
      </c>
      <c r="AVB89" s="20" t="n">
        <v>0</v>
      </c>
      <c r="AVC89" s="20" t="n">
        <v>0</v>
      </c>
      <c r="AVD89" s="20" t="n">
        <v>0</v>
      </c>
      <c r="AVE89" s="20" t="n">
        <f aca="false">IF(AND(H_Direct=0,H_TaxEvt=1,ARR88+1&gt;=H_Deemed),MAX(0,ADR89-AHE89)*H_Exit,0)</f>
        <v>0</v>
      </c>
      <c r="AVF89" s="20" t="n">
        <f aca="false">IF(AND(H_Direct=0,H_TaxEvt=1,ARS88+1&gt;=H_Deemed),MAX(0,ADS89-AHF89)*H_Exit,0)</f>
        <v>0</v>
      </c>
      <c r="AVG89" s="20" t="n">
        <f aca="false">IF(AND(H_Direct=0,H_TaxEvt=1,ART88+1&gt;=H_Deemed),MAX(0,ADT89-AHG89)*H_Exit,0)</f>
        <v>0</v>
      </c>
      <c r="AVH89" s="20" t="n">
        <f aca="false">IF(AND(H_Direct=0,H_TaxEvt=1,ARU88+1&gt;=H_Deemed),MAX(0,ADU89-AHH89)*H_Exit,0)</f>
        <v>0</v>
      </c>
      <c r="AVI89" s="20" t="n">
        <f aca="false">IF(AND(H_Direct=0,H_TaxEvt=1,ARV88+1&gt;=H_Deemed),MAX(0,ADV89-AHI89)*H_Exit,0)</f>
        <v>0</v>
      </c>
      <c r="AVJ89" s="20" t="n">
        <f aca="false">IF(AND(H_Direct=0,H_TaxEvt=1,ARW88+1&gt;=H_Deemed),MAX(0,ADW89-AHJ89)*H_Exit,0)</f>
        <v>0</v>
      </c>
      <c r="AVK89" s="20" t="n">
        <f aca="false">IF(AND(H_Direct=0,H_TaxEvt=1,ARX88+1&gt;=H_Deemed),MAX(0,ADX89-AHK89)*H_Exit,0)</f>
        <v>0</v>
      </c>
      <c r="AVL89" s="20" t="n">
        <f aca="false">IF(AND(H_Direct=0,H_TaxEvt=1,ARY88+1&gt;=H_Deemed),MAX(0,ADY89-AHL89)*H_Exit,0)</f>
        <v>0</v>
      </c>
      <c r="AVM89" s="20" t="n">
        <f aca="false">IF(AND(H_Direct=0,H_TaxEvt=1,ARZ88+1&gt;=H_Deemed),MAX(0,ADZ89-AHM89)*H_Exit,0)</f>
        <v>0</v>
      </c>
      <c r="AVN89" s="20" t="n">
        <f aca="false">IF(AND(H_Direct=0,H_TaxEvt=1,ASA88+1&gt;=H_Deemed),MAX(0,AEA89-AHN89)*H_Exit,0)</f>
        <v>0</v>
      </c>
      <c r="AVO89" s="20" t="n">
        <f aca="false">IF(AND(H_Direct=0,H_TaxEvt=1,ASB88+1&gt;=H_Deemed),MAX(0,AEB89-AHO89)*H_Exit,0)</f>
        <v>0</v>
      </c>
      <c r="AVP89" s="20" t="n">
        <f aca="false">IF(AND(H_Direct=0,H_TaxEvt=1,ASC88+1&gt;=H_Deemed),MAX(0,AEC89-AHP89)*H_Exit,0)</f>
        <v>0</v>
      </c>
      <c r="AVQ89" s="20" t="n">
        <f aca="false">IF(AND(H_Direct=0,H_TaxEvt=1,ASD88+1&gt;=H_Deemed),MAX(0,AED89-AHQ89)*H_Exit,0)</f>
        <v>0</v>
      </c>
      <c r="AVR89" s="20" t="n">
        <f aca="false">IF(AND(H_Direct=0,H_TaxEvt=1,ASE88+1&gt;=H_Deemed),MAX(0,AEE89-AHR89)*H_Exit,0)</f>
        <v>0</v>
      </c>
      <c r="AVS89" s="20" t="n">
        <f aca="false">IF(AND(H_Direct=0,H_TaxEvt=1,ASF88+1&gt;=H_Deemed),MAX(0,AEF89-AHS89)*H_Exit,0)</f>
        <v>0</v>
      </c>
      <c r="AVT89" s="20" t="n">
        <f aca="false">IF(AND(H_Direct=0,H_TaxEvt=1,ASG88+1&gt;=H_Deemed),MAX(0,AEG89-AHT89)*H_Exit,0)</f>
        <v>0</v>
      </c>
      <c r="AVU89" s="20" t="n">
        <f aca="false">IF(AND(H_Direct=0,H_TaxEvt=1,ASH88+1&gt;=H_Deemed),MAX(0,AEH89-AHU89)*H_Exit,0)</f>
        <v>0</v>
      </c>
      <c r="AVV89" s="20" t="n">
        <f aca="false">IF(AND(H_Direct=0,H_TaxEvt=1,ASI88+1&gt;=H_Deemed),MAX(0,AEI89-AHV89)*H_Exit,0)</f>
        <v>0</v>
      </c>
      <c r="AVW89" s="20" t="n">
        <f aca="false">IF(AND(H_Direct=0,H_TaxEvt=1,ASJ88+1&gt;=H_Deemed),MAX(0,AEJ89-AHW89)*H_Exit,0)</f>
        <v>0</v>
      </c>
      <c r="AVX89" s="20" t="n">
        <f aca="false">IF(AND(H_Direct=0,H_TaxEvt=1,ASK88+1&gt;=H_Deemed),MAX(0,AEK89-AHX89)*H_Exit,0)</f>
        <v>0</v>
      </c>
      <c r="AVY89" s="20" t="n">
        <f aca="false">IF(AND(H_Direct=0,H_TaxEvt=1,ASL88+1&gt;=H_Deemed),MAX(0,AEL89-AHY89)*H_Exit,0)</f>
        <v>0</v>
      </c>
      <c r="AVZ89" s="20" t="n">
        <f aca="false">IF(AND(H_Direct=0,H_TaxEvt=1,ASM88+1&gt;=H_Deemed),MAX(0,AEM89-AHZ89)*H_Exit,0)</f>
        <v>0</v>
      </c>
      <c r="AWA89" s="20" t="n">
        <f aca="false">IF(AND(H_Direct=0,H_TaxEvt=1,ASN88+1&gt;=H_Deemed),MAX(0,AEN89-AIA89)*H_Exit,0)</f>
        <v>0</v>
      </c>
      <c r="AWB89" s="20" t="n">
        <f aca="false">IF(AND(H_Direct=0,H_TaxEvt=1,ASO88+1&gt;=H_Deemed),MAX(0,AEO89-AIB89)*H_Exit,0)</f>
        <v>0</v>
      </c>
      <c r="AWC89" s="20" t="n">
        <f aca="false">IF(AND(H_Direct=0,H_TaxEvt=1,ASP88+1&gt;=H_Deemed),MAX(0,AEP89-AIC89)*H_Exit,0)</f>
        <v>0</v>
      </c>
      <c r="AWD89" s="20" t="n">
        <f aca="false">IF(AND(H_Direct=0,H_TaxEvt=1,ASQ88+1&gt;=H_Deemed),MAX(0,AEQ89-AID89)*H_Exit,0)</f>
        <v>0</v>
      </c>
      <c r="AWE89" s="20" t="n">
        <f aca="false">IF(AND(H_Direct=0,H_TaxEvt=1,ASR88+1&gt;=H_Deemed),MAX(0,AER89-AIE89)*H_Exit,0)</f>
        <v>0</v>
      </c>
      <c r="AWF89" s="20" t="n">
        <f aca="false">IF(AND(H_Direct=0,H_TaxEvt=1,ASS88+1&gt;=H_Deemed),MAX(0,AES89-AIF89)*H_Exit,0)</f>
        <v>0</v>
      </c>
      <c r="AWG89" s="20" t="n">
        <f aca="false">IF(AND(H_Direct=0,H_TaxEvt=1,AST88+1&gt;=H_Deemed),MAX(0,AET89-AIG89)*H_Exit,0)</f>
        <v>0</v>
      </c>
      <c r="AWH89" s="20" t="n">
        <f aca="false">IF(AND(H_Direct=0,H_TaxEvt=1,ASU88+1&gt;=H_Deemed),MAX(0,AEU89-AIH89)*H_Exit,0)</f>
        <v>0</v>
      </c>
      <c r="AWI89" s="20" t="n">
        <f aca="false">IF(AND(H_Direct=0,H_TaxEvt=1,ASV88+1&gt;=H_Deemed),MAX(0,AEV89-AII89)*H_Exit,0)</f>
        <v>0</v>
      </c>
      <c r="AWJ89" s="20" t="n">
        <f aca="false">IF(AND(H_Direct=0,H_TaxEvt=1,ASW88+1&gt;=H_Deemed),MAX(0,AEW89-AIJ89)*H_Exit,0)</f>
        <v>0</v>
      </c>
      <c r="AWK89" s="20" t="n">
        <f aca="false">IF(AND(H_Direct=0,H_TaxEvt=1,ASX88+1&gt;=H_Deemed),MAX(0,AEX89-AIK89)*H_Exit,0)</f>
        <v>0</v>
      </c>
      <c r="AWL89" s="20" t="n">
        <f aca="false">IF(AND(H_Direct=0,H_TaxEvt=1,ASY88+1&gt;=H_Deemed),MAX(0,AEY89-AIL89)*H_Exit,0)</f>
        <v>0</v>
      </c>
      <c r="AWM89" s="20" t="n">
        <f aca="false">IF(AND(H_Direct=0,H_TaxEvt=1,ASZ88+1&gt;=H_Deemed),MAX(0,AEZ89-AIM89)*H_Exit,0)</f>
        <v>0</v>
      </c>
      <c r="AWN89" s="20" t="n">
        <f aca="false">IF(AND(H_Direct=0,H_TaxEvt=1,ATA88+1&gt;=H_Deemed),MAX(0,AFA89-AIN89)*H_Exit,0)</f>
        <v>0</v>
      </c>
      <c r="AWO89" s="20" t="n">
        <f aca="false">IF(AND(H_Direct=0,H_TaxEvt=1,ATB88+1&gt;=H_Deemed),MAX(0,AFB89-AIO89)*H_Exit,0)</f>
        <v>0</v>
      </c>
      <c r="AWP89" s="20" t="n">
        <f aca="false">IF(AND(H_Direct=0,H_TaxEvt=1,ATC88+1&gt;=H_Deemed),MAX(0,AFC89-AIP89)*H_Exit,0)</f>
        <v>0</v>
      </c>
      <c r="AWQ89" s="20" t="n">
        <f aca="false">IF(AND(H_Direct=0,H_TaxEvt=1,ATD88+1&gt;=H_Deemed),MAX(0,AFD89-AIQ89)*H_Exit,0)</f>
        <v>0</v>
      </c>
      <c r="AWR89" s="20" t="n">
        <f aca="false">IF(AND(H_Direct=0,H_TaxEvt=1,ATE88+1&gt;=H_Deemed),MAX(0,AFE89-AIR89)*H_Exit,0)</f>
        <v>0</v>
      </c>
      <c r="AWS89" s="20" t="n">
        <f aca="false">IF(AND(H_Direct=0,H_TaxEvt=1,ATF88+1&gt;=H_Deemed),MAX(0,AFF89-AIS89)*H_Exit,0)</f>
        <v>0</v>
      </c>
      <c r="AWT89" s="20" t="n">
        <f aca="false">IF(AND(H_Direct=0,H_TaxEvt=1,ATG88+1&gt;=H_Deemed),MAX(0,AFG89-AIT89)*H_Exit,0)</f>
        <v>0</v>
      </c>
      <c r="AWU89" s="20" t="n">
        <f aca="false">IF(AND(H_Direct=0,H_TaxEvt=1,ATH88+1&gt;=H_Deemed),MAX(0,AFH89-AIU89)*H_Exit,0)</f>
        <v>0</v>
      </c>
      <c r="AWV89" s="20" t="n">
        <f aca="false">IF(AND(H_Direct=0,H_TaxEvt=1,ATI88+1&gt;=H_Deemed),MAX(0,AFI89-AIV89)*H_Exit,0)</f>
        <v>0</v>
      </c>
      <c r="AWW89" s="20" t="n">
        <f aca="false">IF(AND(H_Direct=0,H_TaxEvt=1,ATJ88+1&gt;=H_Deemed),MAX(0,AFJ89-AIW89)*H_Exit,0)</f>
        <v>0</v>
      </c>
      <c r="AWX89" s="20" t="n">
        <f aca="false">IF(AND(H_Direct=0,H_TaxEvt=1,ATK88+1&gt;=H_Deemed),MAX(0,AFK89-AIX89)*H_Exit,0)</f>
        <v>0</v>
      </c>
      <c r="AWY89" s="20" t="n">
        <f aca="false">IF(AND(H_Direct=0,H_TaxEvt=1,ATL88+1&gt;=H_Deemed),MAX(0,AFL89-AIY89)*H_Exit,0)</f>
        <v>0</v>
      </c>
      <c r="AWZ89" s="20" t="n">
        <f aca="false">IF(AND(H_Direct=0,H_TaxEvt=1,ATM88+1&gt;=H_Deemed),MAX(0,AFM89-AIZ89)*H_Exit,0)</f>
        <v>0</v>
      </c>
      <c r="AXA89" s="20" t="n">
        <f aca="false">IF(AND(H_Direct=0,H_TaxEvt=1,ATN88+1&gt;=H_Deemed),MAX(0,AFN89-AJA89)*H_Exit,0)</f>
        <v>0</v>
      </c>
      <c r="AXB89" s="20" t="n">
        <f aca="false">IF(AND(H_Direct=0,H_TaxEvt=1,ATO88+1&gt;=H_Deemed),MAX(0,AFO89-AJB89)*H_Exit,0)</f>
        <v>0</v>
      </c>
      <c r="AXC89" s="20" t="n">
        <f aca="false">IF(AND(H_Direct=0,H_TaxEvt=1,ATP88+1&gt;=H_Deemed),MAX(0,AFP89-AJC89)*H_Exit,0)</f>
        <v>0</v>
      </c>
      <c r="AXD89" s="20" t="n">
        <f aca="false">IF(AND(H_Direct=0,H_TaxEvt=1,ATQ88+1&gt;=H_Deemed),MAX(0,AFQ89-AJD89)*H_Exit,0)</f>
        <v>0</v>
      </c>
      <c r="AXE89" s="20" t="n">
        <f aca="false">IF(AND(H_Direct=0,H_TaxEvt=1,ATR88+1&gt;=H_Deemed),MAX(0,AFR89-AJE89)*H_Exit,0)</f>
        <v>0</v>
      </c>
      <c r="AXF89" s="20" t="n">
        <f aca="false">IF(AND(H_Direct=0,H_TaxEvt=1,ATS88+1&gt;=H_Deemed),MAX(0,AFS89-AJF89)*H_Exit,0)</f>
        <v>0</v>
      </c>
      <c r="AXG89" s="20" t="n">
        <f aca="false">IF(AND(H_Direct=0,H_TaxEvt=1,ATT88+1&gt;=H_Deemed),MAX(0,AFT89-AJG89)*H_Exit,0)</f>
        <v>0</v>
      </c>
      <c r="AXH89" s="20" t="n">
        <f aca="false">IF(AND(H_Direct=0,H_TaxEvt=1,ATU88+1&gt;=H_Deemed),MAX(0,AFU89-AJH89)*H_Exit,0)</f>
        <v>0</v>
      </c>
      <c r="AXI89" s="20" t="n">
        <f aca="false">IF(AND(H_Direct=0,H_TaxEvt=1,ATV88+1&gt;=H_Deemed),MAX(0,AFV89-AJI89)*H_Exit,0)</f>
        <v>0</v>
      </c>
      <c r="AXJ89" s="20" t="n">
        <f aca="false">IF(AND(H_Direct=0,H_TaxEvt=1,ATW88+1&gt;=H_Deemed),MAX(0,AFW89-AJJ89)*H_Exit,0)</f>
        <v>0</v>
      </c>
      <c r="AXK89" s="20" t="n">
        <f aca="false">IF(AND(H_Direct=0,H_TaxEvt=1,ATX88+1&gt;=H_Deemed),MAX(0,AFX89-AJK89)*H_Exit,0)</f>
        <v>0</v>
      </c>
      <c r="AXL89" s="20" t="n">
        <f aca="false">IF(AND(H_Direct=0,H_TaxEvt=1,ATY88+1&gt;=H_Deemed),MAX(0,AFY89-AJL89)*H_Exit,0)</f>
        <v>0</v>
      </c>
      <c r="AXM89" s="20" t="n">
        <f aca="false">IF(AND(H_Direct=0,H_TaxEvt=1,ATZ88+1&gt;=H_Deemed),MAX(0,AFZ89-AJM89)*H_Exit,0)</f>
        <v>0</v>
      </c>
      <c r="AXN89" s="20" t="n">
        <f aca="false">IF(AND(H_Direct=0,H_TaxEvt=1,AUA88+1&gt;=H_Deemed),MAX(0,AGA89-AJN89)*H_Exit,0)</f>
        <v>0</v>
      </c>
      <c r="AXO89" s="20" t="n">
        <f aca="false">IF(AND(H_Direct=0,H_TaxEvt=1,AUB88+1&gt;=H_Deemed),MAX(0,AGB89-AJO89)*H_Exit,0)</f>
        <v>0</v>
      </c>
      <c r="AXP89" s="20" t="n">
        <f aca="false">IF(AND(H_Direct=0,H_TaxEvt=1,AUC88+1&gt;=H_Deemed),MAX(0,AGC89-AJP89)*H_Exit,0)</f>
        <v>0</v>
      </c>
      <c r="AXQ89" s="20" t="n">
        <f aca="false">IF(AND(H_Direct=0,H_TaxEvt=1,AUD88+1&gt;=H_Deemed),MAX(0,AGD89-AJQ89)*H_Exit,0)</f>
        <v>0</v>
      </c>
      <c r="AXR89" s="20" t="n">
        <f aca="false">IF(AND(H_Direct=0,H_TaxEvt=1,AUE88+1&gt;=H_Deemed),MAX(0,AGE89-AJR89)*H_Exit,0)</f>
        <v>0</v>
      </c>
      <c r="AXS89" s="20" t="n">
        <f aca="false">IF(AND(H_Direct=0,H_TaxEvt=1,AUF88+1&gt;=H_Deemed),MAX(0,AGF89-AJS89)*H_Exit,0)</f>
        <v>0</v>
      </c>
      <c r="AXT89" s="20" t="n">
        <f aca="false">IF(AND(H_Direct=0,H_TaxEvt=1,AUG88+1&gt;=H_Deemed),MAX(0,AGG89-AJT89)*H_Exit,0)</f>
        <v>0</v>
      </c>
      <c r="AXU89" s="20" t="n">
        <f aca="false">IF(AND(H_Direct=0,H_TaxEvt=1,AUH88+1&gt;=H_Deemed),MAX(0,AGH89-AJU89)*H_Exit,0)</f>
        <v>0</v>
      </c>
      <c r="AXV89" s="20" t="n">
        <f aca="false">IF(AND(H_Direct=0,H_TaxEvt=1,AUI88+1&gt;=H_Deemed),MAX(0,AGI89-AJV89)*H_Exit,0)</f>
        <v>0</v>
      </c>
      <c r="AXW89" s="20" t="n">
        <f aca="false">IF(AND(H_Direct=0,H_TaxEvt=1,AUJ88+1&gt;=H_Deemed),MAX(0,AGJ89-AJW89)*H_Exit,0)</f>
        <v>0</v>
      </c>
      <c r="AXX89" s="20" t="n">
        <f aca="false">IF(AND(H_Direct=0,H_TaxEvt=1,AUK88+1&gt;=H_Deemed),MAX(0,AGK89-AJX89)*H_Exit,0)</f>
        <v>0</v>
      </c>
      <c r="AXY89" s="20" t="n">
        <f aca="false">IF(AND(H_Direct=0,H_TaxEvt=1,AUL88+1&gt;=H_Deemed),MAX(0,AGL89-AJY89)*H_Exit,0)</f>
        <v>0</v>
      </c>
      <c r="AXZ89" s="20" t="n">
        <f aca="false">IF(AND(H_Direct=0,H_TaxEvt=1,AUM88+1&gt;=H_Deemed),MAX(0,AGM89-AJZ89)*H_Exit,0)</f>
        <v>0</v>
      </c>
      <c r="AYA89" s="20" t="n">
        <f aca="false">IF(AND(H_Direct=0,H_TaxEvt=1,AUN88+1&gt;=H_Deemed),MAX(0,AGN89-AKA89)*H_Exit,0)</f>
        <v>0</v>
      </c>
      <c r="AYB89" s="20" t="n">
        <f aca="false">IF(AND(H_Direct=0,H_TaxEvt=1,AUO88+1&gt;=H_Deemed),MAX(0,AGO89-AKB89)*H_Exit,0)</f>
        <v>0</v>
      </c>
      <c r="AYC89" s="20" t="n">
        <f aca="false">IF(AND(H_Direct=0,H_TaxEvt=1,AUP88+1&gt;=H_Deemed),MAX(0,AGP89-AKC89)*H_Exit,0)</f>
        <v>0</v>
      </c>
      <c r="AYD89" s="20" t="n">
        <f aca="false">IF(AND(H_Direct=0,H_TaxEvt=1,AUQ88+1&gt;=H_Deemed),MAX(0,AGQ89-AKD89)*H_Exit,0)</f>
        <v>0</v>
      </c>
      <c r="AYE89" s="20" t="n">
        <f aca="false">IF(AND(H_Direct=0,H_TaxEvt=1,AUR88+1&gt;=H_Deemed),MAX(0,AGR89-AKE89)*H_Exit,0)</f>
        <v>0</v>
      </c>
      <c r="AYF89" s="20" t="n">
        <f aca="false">IF(AND(H_Direct=0,H_TaxEvt=1,AUS88+1&gt;=H_Deemed),MAX(0,AGS89-AKF89)*H_Exit,0)</f>
        <v>0</v>
      </c>
      <c r="AYG89" s="20" t="n">
        <f aca="false">IF(AND(H_Direct=0,H_TaxEvt=1,AUT88+1&gt;=H_Deemed),MAX(0,AGT89-AKG89)*H_Exit,0)</f>
        <v>0</v>
      </c>
      <c r="AYH89" s="20" t="n">
        <f aca="false">IF(AND(H_Direct=0,H_TaxEvt=1,AUU88+1&gt;=H_Deemed),MAX(0,AGU89-AKH89)*H_Exit,0)</f>
        <v>0</v>
      </c>
      <c r="AYI89" s="20" t="n">
        <f aca="false">IF(AND(H_Direct=0,H_TaxEvt=1,0+1&gt;=H_Deemed),MAX(0,AGV89-AKI89)*H_Exit,0)</f>
        <v>0</v>
      </c>
      <c r="AYJ89" s="20" t="n">
        <v>0</v>
      </c>
      <c r="AYK89" s="20" t="n">
        <v>0</v>
      </c>
      <c r="AYL89" s="20" t="n">
        <v>0</v>
      </c>
      <c r="AYM89" s="20" t="n">
        <v>0</v>
      </c>
      <c r="AYN89" s="20" t="n">
        <v>0</v>
      </c>
      <c r="AYO89" s="20" t="n">
        <v>0</v>
      </c>
      <c r="AYP89" s="20" t="n">
        <v>0</v>
      </c>
      <c r="AYQ89" s="20" t="n">
        <v>0</v>
      </c>
    </row>
    <row r="90" customFormat="false" ht="15" hidden="false" customHeight="false" outlineLevel="0" collapsed="false">
      <c r="B90" s="20" t="n">
        <v>82</v>
      </c>
      <c r="C90" s="20" t="n">
        <f aca="false">'Plan cashflow'!C90</f>
        <v>0</v>
      </c>
      <c r="D90" s="20" t="n">
        <f aca="false">'Plan cashflow'!D90</f>
        <v>120</v>
      </c>
      <c r="E90" s="20" t="n">
        <f aca="false">AS_Year0+82</f>
        <v>2108</v>
      </c>
      <c r="F90" s="50" t="n">
        <f aca="false">'Plan cashflow'!F90</f>
        <v>5.07240689800269</v>
      </c>
      <c r="G90" s="59" t="n">
        <f aca="true">IF(MAX(TODAY(),DATE(E90,1,1))&gt;=H_CGTfrom,H_CGT1,H_CGT0)</f>
        <v>0.31</v>
      </c>
      <c r="H90" s="20" t="n">
        <f aca="false">H_Exempt*H_Persons</f>
        <v>1270</v>
      </c>
      <c r="I90" s="20" t="n">
        <f aca="false">AX89</f>
        <v>0</v>
      </c>
      <c r="J90" s="60" t="n">
        <f aca="false">BF89</f>
        <v>0</v>
      </c>
      <c r="K90" s="60" t="n">
        <f aca="false">BG89</f>
        <v>0</v>
      </c>
      <c r="L90" s="20" t="n">
        <f aca="false">IF(AND(In_polLump&gt;0,In_polLumpAge&gt;0,D90=In_polLumpAge),In_polLump,0)</f>
        <v>0</v>
      </c>
      <c r="M90" s="20" t="n">
        <f aca="false">IF(AND(In_homeUse="Yes, I'd downsize",In_downAge&gt;0,D90=In_downAge,OR(In_home="Own outright",In_home="Own with mortgage"),In_homeValue&gt;0),MAX(0,MAX(0,In_homeValue-In_downValue)*F90*0.9-'Plan cashflow'!HR89),0)</f>
        <v>0</v>
      </c>
      <c r="N90" s="20" t="n">
        <f aca="false">'Plan pay &amp; tax'!Y316</f>
        <v>0</v>
      </c>
      <c r="O90" s="20" t="n">
        <f aca="false">L90+M90+(1-H_Sh)*N90</f>
        <v>0</v>
      </c>
      <c r="P90" s="20" t="n">
        <f aca="false">H_Sh*N90</f>
        <v>0</v>
      </c>
      <c r="Q90" s="20" t="n">
        <f aca="false">'Plan cashflow'!UL90</f>
        <v>0</v>
      </c>
      <c r="R90" s="20" t="n">
        <f aca="false">(1-H_Sh)*Q90</f>
        <v>0</v>
      </c>
      <c r="S90" s="20" t="n">
        <f aca="false">H_Sh*Q90</f>
        <v>0</v>
      </c>
      <c r="T90" s="20" t="n">
        <f aca="false">J90+K90+O90</f>
        <v>0</v>
      </c>
      <c r="U90" s="20" t="n">
        <f aca="false">T90+R90</f>
        <v>0</v>
      </c>
      <c r="V90" s="60" t="n">
        <f aca="false">SUM(FE90:IQ90)</f>
        <v>0</v>
      </c>
      <c r="W90" s="60" t="n">
        <f aca="false">IF(AJ90&lt;=0,0,IF(AL90&lt;=0,AJ90,AJ90-G90*MAX(0,AL90*AJ90-(AY90+AZ90))))</f>
        <v>0</v>
      </c>
      <c r="X90" s="60" t="n">
        <f aca="false">IF(AR90&lt;=0,0,IF(AT90&lt;=0,AR90,AR90-G90*MAX(0,AT90*AR90-(BA90+BB90))))</f>
        <v>0</v>
      </c>
      <c r="Y90" s="60" t="n">
        <f aca="false">T90+V90-S90+W90+X90</f>
        <v>0</v>
      </c>
      <c r="Z90" s="60" t="n">
        <f aca="false">'Plan cashflow'!UK90</f>
        <v>0</v>
      </c>
      <c r="AA90" s="20" t="n">
        <f aca="false">MIN(Z90,U90)</f>
        <v>0</v>
      </c>
      <c r="AB90" s="20" t="n">
        <f aca="false">Z90-AA90</f>
        <v>0</v>
      </c>
      <c r="AC90" s="20" t="n">
        <f aca="false">MIN(AA90,J90+O90+R90)</f>
        <v>0</v>
      </c>
      <c r="AD90" s="20" t="n">
        <f aca="false">AA90-AC90</f>
        <v>0</v>
      </c>
      <c r="AE90" s="20" t="n">
        <f aca="false">J90+O90+R90-AC90</f>
        <v>0</v>
      </c>
      <c r="AF90" s="20" t="n">
        <f aca="false">K90-AD90</f>
        <v>0</v>
      </c>
      <c r="AG90" s="20" t="n">
        <f aca="false">SUM(PR90:TD90)</f>
        <v>0</v>
      </c>
      <c r="AH90" s="20" t="n">
        <f aca="false">SUM(TE90:WQ90)</f>
        <v>0</v>
      </c>
      <c r="AI90" s="20" t="n">
        <f aca="false">MAX(0,AB90-AG90)</f>
        <v>0</v>
      </c>
      <c r="AJ90" s="57" t="n">
        <f aca="false">BI89</f>
        <v>0</v>
      </c>
      <c r="AK90" s="20" t="n">
        <f aca="false">BJ89</f>
        <v>0</v>
      </c>
      <c r="AL90" s="20" t="n">
        <f aca="false">IF(AJ90&gt;0,(AJ90-AK90)/AJ90,0)</f>
        <v>0</v>
      </c>
      <c r="AM90" s="20" t="n">
        <f aca="false">IF(AJ90&lt;=0,0,IF(AL90&lt;=0,MIN(AI90,AJ90),MIN(AI90,AJ90-G90*MAX(0,AL90*AJ90-(AAD90+ADQ90)))))</f>
        <v>0</v>
      </c>
      <c r="AN90" s="20" t="n">
        <f aca="false">IF(AJ90&lt;=0,0,IF(AL90&lt;=0,AM90,IF(AM90&lt;=(AAD90+ADQ90)/AL90,AM90,(AM90-G90*(AAD90+ADQ90))/(1-G90*AL90))))</f>
        <v>0</v>
      </c>
      <c r="AO90" s="20" t="n">
        <f aca="false">IF(AL90&gt;0,MAX(0,AAD90-(MIN(AL90*AN90,(AAD90+ADQ90))-MIN(MIN(AL90*AN90,(AAD90+ADQ90)),ADQ90))),AAD90)</f>
        <v>1270</v>
      </c>
      <c r="AP90" s="20" t="n">
        <f aca="false">IF(AL90&lt;=0,ADQ90-AL90*AN90,ADQ90-MIN(MIN(AL90*AN90,(AAD90+ADQ90)),ADQ90))</f>
        <v>0</v>
      </c>
      <c r="AQ90" s="20" t="n">
        <f aca="false">MAX(0,AI90-AM90)</f>
        <v>0</v>
      </c>
      <c r="AR90" s="57" t="n">
        <f aca="false">BK89</f>
        <v>0</v>
      </c>
      <c r="AS90" s="20" t="n">
        <f aca="false">BL89</f>
        <v>0</v>
      </c>
      <c r="AT90" s="20" t="n">
        <f aca="false">IF(AR90&gt;0,(AR90-AS90)/AR90,0)</f>
        <v>0</v>
      </c>
      <c r="AU90" s="20" t="n">
        <f aca="false">IF(AR90&lt;=0,0,IF(AT90&lt;=0,MIN(AQ90,AR90),MIN(AQ90,AR90-G90*MAX(0,AT90*AR90-(AO90+AP90)))))</f>
        <v>0</v>
      </c>
      <c r="AV90" s="20" t="n">
        <f aca="false">IF(AR90&lt;=0,0,IF(AT90&lt;=0,AU90,IF(AU90&lt;=(AO90+AP90)/AT90,AU90,(AU90-G90*(AO90+AP90))/(1-G90*AT90))))</f>
        <v>0</v>
      </c>
      <c r="AW90" s="20" t="n">
        <f aca="false">IF(AT90&gt;0,MAX(0,AO90-(MIN(AT90*AV90,(AO90+AP90))-MIN(MIN(AT90*AV90,(AO90+AP90)),AP90))),AO90)</f>
        <v>1270</v>
      </c>
      <c r="AX90" s="20" t="n">
        <f aca="false">IF(AT90&lt;=0,AP90-AT90*AV90,AP90-MIN(MIN(AT90*AV90,(AO90+AP90)),AP90))</f>
        <v>0</v>
      </c>
      <c r="AY90" s="20" t="n">
        <f aca="false">MD90</f>
        <v>1270</v>
      </c>
      <c r="AZ90" s="20" t="n">
        <f aca="false">PQ90</f>
        <v>0</v>
      </c>
      <c r="BA90" s="20" t="n">
        <f aca="false">IF(AL90&gt;0,MAX(0,AY90-(MIN(AL90*AJ90,AY90+AZ90)-MIN(MIN(AL90*AJ90,AY90+AZ90),AZ90))),AY90)</f>
        <v>1270</v>
      </c>
      <c r="BB90" s="20" t="n">
        <f aca="false">IF(AL90&lt;=0,AZ90-AL90*AJ90,AZ90-MIN(MIN(AL90*AJ90,AY90+AZ90),AZ90))</f>
        <v>0</v>
      </c>
      <c r="BC90" s="20" t="n">
        <f aca="false">'Plan cashflow'!UM90</f>
        <v>0</v>
      </c>
      <c r="BD90" s="20" t="n">
        <f aca="false">(1-H_Sh)*BC90</f>
        <v>0</v>
      </c>
      <c r="BE90" s="20" t="n">
        <f aca="false">H_Sh*BC90</f>
        <v>0</v>
      </c>
      <c r="BF90" s="60" t="n">
        <f aca="false">(AE90+BD90)*(1+AS_Cash)</f>
        <v>0</v>
      </c>
      <c r="BG90" s="60" t="n">
        <f aca="false">AF90*(1+AS_Cash)</f>
        <v>0</v>
      </c>
      <c r="BH90" s="60" t="n">
        <f aca="false">SUM(AKR90:AOD90)</f>
        <v>0</v>
      </c>
      <c r="BI90" s="60" t="n">
        <f aca="false">(AJ90-AN90)*(1+AS_Infl)</f>
        <v>0</v>
      </c>
      <c r="BJ90" s="20" t="n">
        <f aca="false">IF(AJ90&gt;0,AK90-AK90*AN90/AJ90,0)</f>
        <v>0</v>
      </c>
      <c r="BK90" s="60" t="n">
        <f aca="false">(AR90-AV90)*(1+BQ90)</f>
        <v>0</v>
      </c>
      <c r="BL90" s="20" t="n">
        <f aca="false">IF(AR90&gt;0,AS90-AS90*AV90/AR90,0)</f>
        <v>0</v>
      </c>
      <c r="BM90" s="60" t="n">
        <f aca="false">BF90+BG90+BH90+BI90+BK90</f>
        <v>0</v>
      </c>
      <c r="BN90" s="60" t="n">
        <f aca="false">(AH90-AG90)+(AN90-AM90)+(AV90-AU90)</f>
        <v>0</v>
      </c>
      <c r="BO90" s="20" t="n">
        <f aca="false">(AE90+BD90+AF90+MAX(0,'Plan cashflow'!QH90)+IF(Slot1_Rate=AS_Cash,'Plan cashflow'!QM90/(1+AS_Cash),0)+IF(Slot2_Rate=AS_Cash,'Plan cashflow'!QQ90/(1+AS_Cash),0)+IF(Slot3_Rate=AS_Cash,'Plan cashflow'!QU90/(1+AS_Cash),0)+IF(Slot4_Rate=AS_Cash,'Plan cashflow'!QY90/(1+AS_Cash),0)+IF(Slot5_Rate=AS_Cash,'Plan cashflow'!RC90/(1+AS_Cash),0)+IF(Slot6_Rate=AS_Cash,'Plan cashflow'!RG90/(1+AS_Cash),0)+IF(Slot7_Rate=AS_Cash,'Plan cashflow'!RK90/(1+AS_Cash),0)+IF(Slot8_Rate=AS_Cash,'Plan cashflow'!RO90/(1+AS_Cash),0)+IF(Slot9_Rate=AS_Cash,'Plan cashflow'!RS90/(1+AS_Cash),0)+IF(Slot10_Rate=AS_Cash,'Plan cashflow'!RW90/(1+AS_Cash),0)+IF(Slot11_Rate=AS_Cash,'Plan cashflow'!SA90/(1+AS_Cash),0)+IF(Slot12_Rate=AS_Cash,'Plan cashflow'!SE90/(1+AS_Cash),0)+IF(Slot13_Rate=AS_Cash,'Plan cashflow'!SI90/(1+AS_Cash),0)+IF(Slot14_Rate=AS_Cash,'Plan cashflow'!SM90/(1+AS_Cash),0)+IF(Slot15_Rate=AS_Cash,'Plan cashflow'!SQ90/(1+AS_Cash),0)+IF(Slot16_Rate=AS_Cash,'Plan cashflow'!SU90/(1+AS_Cash),0)+IF(Slot17_Rate=AS_Cash,'Plan cashflow'!SY90/(1+AS_Cash),0)+IF(Slot18_Rate=AS_Cash,'Plan cashflow'!TC90/(1+AS_Cash),0)+IF(Slot19_Rate=AS_Cash,'Plan cashflow'!TG90/(1+AS_Cash),0)+IF(Slot20_Rate=AS_Cash,'Plan cashflow'!TK90/(1+AS_Cash),0))*AS_Cash*H_DIRT/(1-H_DIRT)</f>
        <v>0</v>
      </c>
      <c r="BP90" s="60" t="n">
        <f aca="false">SUM(AVE90:AYQ90)</f>
        <v>0</v>
      </c>
      <c r="BQ90" s="54" t="n">
        <f aca="false">IF(H_TaxEvt=1,H_InvG,AS_Inv)</f>
        <v>0.04</v>
      </c>
      <c r="BR90" s="20" t="n">
        <f aca="false">IF(AKR89&gt;0,(AKR89-AOE89)/AKR89,0)</f>
        <v>0</v>
      </c>
      <c r="BS90" s="20" t="n">
        <f aca="false">IF(AKS89&gt;0,(AKS89-AOF89)/AKS89,0)</f>
        <v>0</v>
      </c>
      <c r="BT90" s="20" t="n">
        <f aca="false">IF(AKT89&gt;0,(AKT89-AOG89)/AKT89,0)</f>
        <v>0</v>
      </c>
      <c r="BU90" s="20" t="n">
        <f aca="false">IF(AKU89&gt;0,(AKU89-AOH89)/AKU89,0)</f>
        <v>0</v>
      </c>
      <c r="BV90" s="20" t="n">
        <f aca="false">IF(AKV89&gt;0,(AKV89-AOI89)/AKV89,0)</f>
        <v>0</v>
      </c>
      <c r="BW90" s="20" t="n">
        <f aca="false">IF(AKW89&gt;0,(AKW89-AOJ89)/AKW89,0)</f>
        <v>0</v>
      </c>
      <c r="BX90" s="20" t="n">
        <f aca="false">IF(AKX89&gt;0,(AKX89-AOK89)/AKX89,0)</f>
        <v>0</v>
      </c>
      <c r="BY90" s="20" t="n">
        <f aca="false">IF(AKY89&gt;0,(AKY89-AOL89)/AKY89,0)</f>
        <v>0</v>
      </c>
      <c r="BZ90" s="20" t="n">
        <f aca="false">IF(AKZ89&gt;0,(AKZ89-AOM89)/AKZ89,0)</f>
        <v>0</v>
      </c>
      <c r="CA90" s="20" t="n">
        <f aca="false">IF(ALA89&gt;0,(ALA89-AON89)/ALA89,0)</f>
        <v>0</v>
      </c>
      <c r="CB90" s="20" t="n">
        <f aca="false">IF(ALB89&gt;0,(ALB89-AOO89)/ALB89,0)</f>
        <v>0</v>
      </c>
      <c r="CC90" s="20" t="n">
        <f aca="false">IF(ALC89&gt;0,(ALC89-AOP89)/ALC89,0)</f>
        <v>0</v>
      </c>
      <c r="CD90" s="20" t="n">
        <f aca="false">IF(ALD89&gt;0,(ALD89-AOQ89)/ALD89,0)</f>
        <v>0</v>
      </c>
      <c r="CE90" s="20" t="n">
        <f aca="false">IF(ALE89&gt;0,(ALE89-AOR89)/ALE89,0)</f>
        <v>0</v>
      </c>
      <c r="CF90" s="20" t="n">
        <f aca="false">IF(ALF89&gt;0,(ALF89-AOS89)/ALF89,0)</f>
        <v>0</v>
      </c>
      <c r="CG90" s="20" t="n">
        <f aca="false">IF(ALG89&gt;0,(ALG89-AOT89)/ALG89,0)</f>
        <v>0</v>
      </c>
      <c r="CH90" s="20" t="n">
        <f aca="false">IF(ALH89&gt;0,(ALH89-AOU89)/ALH89,0)</f>
        <v>0</v>
      </c>
      <c r="CI90" s="20" t="n">
        <f aca="false">IF(ALI89&gt;0,(ALI89-AOV89)/ALI89,0)</f>
        <v>0</v>
      </c>
      <c r="CJ90" s="20" t="n">
        <f aca="false">IF(ALJ89&gt;0,(ALJ89-AOW89)/ALJ89,0)</f>
        <v>0</v>
      </c>
      <c r="CK90" s="20" t="n">
        <f aca="false">IF(ALK89&gt;0,(ALK89-AOX89)/ALK89,0)</f>
        <v>0</v>
      </c>
      <c r="CL90" s="20" t="n">
        <f aca="false">IF(ALL89&gt;0,(ALL89-AOY89)/ALL89,0)</f>
        <v>0</v>
      </c>
      <c r="CM90" s="20" t="n">
        <f aca="false">IF(ALM89&gt;0,(ALM89-AOZ89)/ALM89,0)</f>
        <v>0</v>
      </c>
      <c r="CN90" s="20" t="n">
        <f aca="false">IF(ALN89&gt;0,(ALN89-APA89)/ALN89,0)</f>
        <v>0</v>
      </c>
      <c r="CO90" s="20" t="n">
        <f aca="false">IF(ALO89&gt;0,(ALO89-APB89)/ALO89,0)</f>
        <v>0</v>
      </c>
      <c r="CP90" s="20" t="n">
        <f aca="false">IF(ALP89&gt;0,(ALP89-APC89)/ALP89,0)</f>
        <v>0</v>
      </c>
      <c r="CQ90" s="20" t="n">
        <f aca="false">IF(ALQ89&gt;0,(ALQ89-APD89)/ALQ89,0)</f>
        <v>0</v>
      </c>
      <c r="CR90" s="20" t="n">
        <f aca="false">IF(ALR89&gt;0,(ALR89-APE89)/ALR89,0)</f>
        <v>0</v>
      </c>
      <c r="CS90" s="20" t="n">
        <f aca="false">IF(ALS89&gt;0,(ALS89-APF89)/ALS89,0)</f>
        <v>0</v>
      </c>
      <c r="CT90" s="20" t="n">
        <f aca="false">IF(ALT89&gt;0,(ALT89-APG89)/ALT89,0)</f>
        <v>0</v>
      </c>
      <c r="CU90" s="20" t="n">
        <f aca="false">IF(ALU89&gt;0,(ALU89-APH89)/ALU89,0)</f>
        <v>0</v>
      </c>
      <c r="CV90" s="20" t="n">
        <f aca="false">IF(ALV89&gt;0,(ALV89-API89)/ALV89,0)</f>
        <v>0</v>
      </c>
      <c r="CW90" s="20" t="n">
        <f aca="false">IF(ALW89&gt;0,(ALW89-APJ89)/ALW89,0)</f>
        <v>0</v>
      </c>
      <c r="CX90" s="20" t="n">
        <f aca="false">IF(ALX89&gt;0,(ALX89-APK89)/ALX89,0)</f>
        <v>0</v>
      </c>
      <c r="CY90" s="20" t="n">
        <f aca="false">IF(ALY89&gt;0,(ALY89-APL89)/ALY89,0)</f>
        <v>0</v>
      </c>
      <c r="CZ90" s="20" t="n">
        <f aca="false">IF(ALZ89&gt;0,(ALZ89-APM89)/ALZ89,0)</f>
        <v>0</v>
      </c>
      <c r="DA90" s="20" t="n">
        <f aca="false">IF(AMA89&gt;0,(AMA89-APN89)/AMA89,0)</f>
        <v>0</v>
      </c>
      <c r="DB90" s="20" t="n">
        <f aca="false">IF(AMB89&gt;0,(AMB89-APO89)/AMB89,0)</f>
        <v>0</v>
      </c>
      <c r="DC90" s="20" t="n">
        <f aca="false">IF(AMC89&gt;0,(AMC89-APP89)/AMC89,0)</f>
        <v>0</v>
      </c>
      <c r="DD90" s="20" t="n">
        <f aca="false">IF(AMD89&gt;0,(AMD89-APQ89)/AMD89,0)</f>
        <v>0</v>
      </c>
      <c r="DE90" s="20" t="n">
        <f aca="false">IF(AME89&gt;0,(AME89-APR89)/AME89,0)</f>
        <v>0</v>
      </c>
      <c r="DF90" s="20" t="n">
        <f aca="false">IF(AMF89&gt;0,(AMF89-APS89)/AMF89,0)</f>
        <v>0</v>
      </c>
      <c r="DG90" s="20" t="n">
        <f aca="false">IF(AMG89&gt;0,(AMG89-APT89)/AMG89,0)</f>
        <v>0</v>
      </c>
      <c r="DH90" s="20" t="n">
        <f aca="false">IF(AMH89&gt;0,(AMH89-APU89)/AMH89,0)</f>
        <v>0</v>
      </c>
      <c r="DI90" s="20" t="n">
        <f aca="false">IF(AMI89&gt;0,(AMI89-APV89)/AMI89,0)</f>
        <v>0</v>
      </c>
      <c r="DJ90" s="20" t="n">
        <f aca="false">IF(AMJ89&gt;0,(AMJ89-APW89)/AMJ89,0)</f>
        <v>0</v>
      </c>
      <c r="DK90" s="20" t="n">
        <f aca="false">IF(AMK89&gt;0,(AMK89-APX89)/AMK89,0)</f>
        <v>0</v>
      </c>
      <c r="DL90" s="20" t="n">
        <f aca="false">IF(AML89&gt;0,(AML89-APY89)/AML89,0)</f>
        <v>0</v>
      </c>
      <c r="DM90" s="20" t="n">
        <f aca="false">IF(AMM89&gt;0,(AMM89-APZ89)/AMM89,0)</f>
        <v>0</v>
      </c>
      <c r="DN90" s="20" t="n">
        <f aca="false">IF(AMN89&gt;0,(AMN89-AQA89)/AMN89,0)</f>
        <v>0</v>
      </c>
      <c r="DO90" s="20" t="n">
        <f aca="false">IF(AMO89&gt;0,(AMO89-AQB89)/AMO89,0)</f>
        <v>0</v>
      </c>
      <c r="DP90" s="20" t="n">
        <f aca="false">IF(AMP89&gt;0,(AMP89-AQC89)/AMP89,0)</f>
        <v>0</v>
      </c>
      <c r="DQ90" s="20" t="n">
        <f aca="false">IF(AMQ89&gt;0,(AMQ89-AQD89)/AMQ89,0)</f>
        <v>0</v>
      </c>
      <c r="DR90" s="20" t="n">
        <f aca="false">IF(AMR89&gt;0,(AMR89-AQE89)/AMR89,0)</f>
        <v>0</v>
      </c>
      <c r="DS90" s="20" t="n">
        <f aca="false">IF(AMS89&gt;0,(AMS89-AQF89)/AMS89,0)</f>
        <v>0</v>
      </c>
      <c r="DT90" s="20" t="n">
        <f aca="false">IF(AMT89&gt;0,(AMT89-AQG89)/AMT89,0)</f>
        <v>0</v>
      </c>
      <c r="DU90" s="20" t="n">
        <f aca="false">IF(AMU89&gt;0,(AMU89-AQH89)/AMU89,0)</f>
        <v>0</v>
      </c>
      <c r="DV90" s="20" t="n">
        <f aca="false">IF(AMV89&gt;0,(AMV89-AQI89)/AMV89,0)</f>
        <v>0</v>
      </c>
      <c r="DW90" s="20" t="n">
        <f aca="false">IF(AMW89&gt;0,(AMW89-AQJ89)/AMW89,0)</f>
        <v>0</v>
      </c>
      <c r="DX90" s="20" t="n">
        <f aca="false">IF(AMX89&gt;0,(AMX89-AQK89)/AMX89,0)</f>
        <v>0</v>
      </c>
      <c r="DY90" s="20" t="n">
        <f aca="false">IF(AMY89&gt;0,(AMY89-AQL89)/AMY89,0)</f>
        <v>0</v>
      </c>
      <c r="DZ90" s="20" t="n">
        <f aca="false">IF(AMZ89&gt;0,(AMZ89-AQM89)/AMZ89,0)</f>
        <v>0</v>
      </c>
      <c r="EA90" s="20" t="n">
        <f aca="false">IF(ANA89&gt;0,(ANA89-AQN89)/ANA89,0)</f>
        <v>0</v>
      </c>
      <c r="EB90" s="20" t="n">
        <f aca="false">IF(ANB89&gt;0,(ANB89-AQO89)/ANB89,0)</f>
        <v>0</v>
      </c>
      <c r="EC90" s="20" t="n">
        <f aca="false">IF(ANC89&gt;0,(ANC89-AQP89)/ANC89,0)</f>
        <v>0</v>
      </c>
      <c r="ED90" s="20" t="n">
        <f aca="false">IF(AND89&gt;0,(AND89-AQQ89)/AND89,0)</f>
        <v>0</v>
      </c>
      <c r="EE90" s="20" t="n">
        <f aca="false">IF(ANE89&gt;0,(ANE89-AQR89)/ANE89,0)</f>
        <v>0</v>
      </c>
      <c r="EF90" s="20" t="n">
        <f aca="false">IF(ANF89&gt;0,(ANF89-AQS89)/ANF89,0)</f>
        <v>0</v>
      </c>
      <c r="EG90" s="20" t="n">
        <f aca="false">IF(ANG89&gt;0,(ANG89-AQT89)/ANG89,0)</f>
        <v>0</v>
      </c>
      <c r="EH90" s="20" t="n">
        <f aca="false">IF(ANH89&gt;0,(ANH89-AQU89)/ANH89,0)</f>
        <v>0</v>
      </c>
      <c r="EI90" s="20" t="n">
        <f aca="false">IF(ANI89&gt;0,(ANI89-AQV89)/ANI89,0)</f>
        <v>0</v>
      </c>
      <c r="EJ90" s="20" t="n">
        <f aca="false">IF(ANJ89&gt;0,(ANJ89-AQW89)/ANJ89,0)</f>
        <v>0</v>
      </c>
      <c r="EK90" s="20" t="n">
        <f aca="false">IF(ANK89&gt;0,(ANK89-AQX89)/ANK89,0)</f>
        <v>0</v>
      </c>
      <c r="EL90" s="20" t="n">
        <f aca="false">IF(ANL89&gt;0,(ANL89-AQY89)/ANL89,0)</f>
        <v>0</v>
      </c>
      <c r="EM90" s="20" t="n">
        <f aca="false">IF(ANM89&gt;0,(ANM89-AQZ89)/ANM89,0)</f>
        <v>0</v>
      </c>
      <c r="EN90" s="20" t="n">
        <f aca="false">IF(ANN89&gt;0,(ANN89-ARA89)/ANN89,0)</f>
        <v>0</v>
      </c>
      <c r="EO90" s="20" t="n">
        <f aca="false">IF(ANO89&gt;0,(ANO89-ARB89)/ANO89,0)</f>
        <v>0</v>
      </c>
      <c r="EP90" s="20" t="n">
        <f aca="false">IF(ANP89&gt;0,(ANP89-ARC89)/ANP89,0)</f>
        <v>0</v>
      </c>
      <c r="EQ90" s="20" t="n">
        <f aca="false">IF(ANQ89&gt;0,(ANQ89-ARD89)/ANQ89,0)</f>
        <v>0</v>
      </c>
      <c r="ER90" s="20" t="n">
        <f aca="false">IF(ANR89&gt;0,(ANR89-ARE89)/ANR89,0)</f>
        <v>0</v>
      </c>
      <c r="ES90" s="20" t="n">
        <f aca="false">IF(ANS89&gt;0,(ANS89-ARF89)/ANS89,0)</f>
        <v>0</v>
      </c>
      <c r="ET90" s="20" t="n">
        <f aca="false">IF(ANT89&gt;0,(ANT89-ARG89)/ANT89,0)</f>
        <v>0</v>
      </c>
      <c r="EU90" s="20" t="n">
        <f aca="false">IF(ANU89&gt;0,(ANU89-ARH89)/ANU89,0)</f>
        <v>0</v>
      </c>
      <c r="EV90" s="20" t="n">
        <f aca="false">IF(ANV89&gt;0,(ANV89-ARI89)/ANV89,0)</f>
        <v>0</v>
      </c>
      <c r="EW90" s="20" t="n">
        <f aca="false">IF((P90+S90)&gt;0,((P90+S90)-(P90+S90))/(P90+S90),0)</f>
        <v>0</v>
      </c>
      <c r="EX90" s="20" t="n">
        <v>0</v>
      </c>
      <c r="EY90" s="20" t="n">
        <v>0</v>
      </c>
      <c r="EZ90" s="20" t="n">
        <v>0</v>
      </c>
      <c r="FA90" s="20" t="n">
        <v>0</v>
      </c>
      <c r="FB90" s="20" t="n">
        <v>0</v>
      </c>
      <c r="FC90" s="20" t="n">
        <v>0</v>
      </c>
      <c r="FD90" s="20" t="n">
        <v>0</v>
      </c>
      <c r="FE90" s="20" t="n">
        <f aca="false">IF(H_Direct=1,IF(AKR89&lt;=0,0,IF(BR90&lt;=0,AKR89,AKR89-G90*MAX(0,BR90*AKR89-(H90+I90)))),AKR89*(1-MAX(0,BR90)*H_Exit))</f>
        <v>0</v>
      </c>
      <c r="FF90" s="20" t="n">
        <f aca="false">IF(H_Direct=1,IF(AKS89&lt;=0,0,IF(BS90&lt;=0,AKS89,AKS89-G90*MAX(0,BS90*AKS89-(IR90+ME90)))),AKS89*(1-MAX(0,BS90)*H_Exit))</f>
        <v>0</v>
      </c>
      <c r="FG90" s="20" t="n">
        <f aca="false">IF(H_Direct=1,IF(AKT89&lt;=0,0,IF(BT90&lt;=0,AKT89,AKT89-G90*MAX(0,BT90*AKT89-(IS90+MF90)))),AKT89*(1-MAX(0,BT90)*H_Exit))</f>
        <v>0</v>
      </c>
      <c r="FH90" s="20" t="n">
        <f aca="false">IF(H_Direct=1,IF(AKU89&lt;=0,0,IF(BU90&lt;=0,AKU89,AKU89-G90*MAX(0,BU90*AKU89-(IT90+MG90)))),AKU89*(1-MAX(0,BU90)*H_Exit))</f>
        <v>0</v>
      </c>
      <c r="FI90" s="20" t="n">
        <f aca="false">IF(H_Direct=1,IF(AKV89&lt;=0,0,IF(BV90&lt;=0,AKV89,AKV89-G90*MAX(0,BV90*AKV89-(IU90+MH90)))),AKV89*(1-MAX(0,BV90)*H_Exit))</f>
        <v>0</v>
      </c>
      <c r="FJ90" s="20" t="n">
        <f aca="false">IF(H_Direct=1,IF(AKW89&lt;=0,0,IF(BW90&lt;=0,AKW89,AKW89-G90*MAX(0,BW90*AKW89-(IV90+MI90)))),AKW89*(1-MAX(0,BW90)*H_Exit))</f>
        <v>0</v>
      </c>
      <c r="FK90" s="20" t="n">
        <f aca="false">IF(H_Direct=1,IF(AKX89&lt;=0,0,IF(BX90&lt;=0,AKX89,AKX89-G90*MAX(0,BX90*AKX89-(IW90+MJ90)))),AKX89*(1-MAX(0,BX90)*H_Exit))</f>
        <v>0</v>
      </c>
      <c r="FL90" s="20" t="n">
        <f aca="false">IF(H_Direct=1,IF(AKY89&lt;=0,0,IF(BY90&lt;=0,AKY89,AKY89-G90*MAX(0,BY90*AKY89-(IX90+MK90)))),AKY89*(1-MAX(0,BY90)*H_Exit))</f>
        <v>0</v>
      </c>
      <c r="FM90" s="20" t="n">
        <f aca="false">IF(H_Direct=1,IF(AKZ89&lt;=0,0,IF(BZ90&lt;=0,AKZ89,AKZ89-G90*MAX(0,BZ90*AKZ89-(IY90+ML90)))),AKZ89*(1-MAX(0,BZ90)*H_Exit))</f>
        <v>0</v>
      </c>
      <c r="FN90" s="20" t="n">
        <f aca="false">IF(H_Direct=1,IF(ALA89&lt;=0,0,IF(CA90&lt;=0,ALA89,ALA89-G90*MAX(0,CA90*ALA89-(IZ90+MM90)))),ALA89*(1-MAX(0,CA90)*H_Exit))</f>
        <v>0</v>
      </c>
      <c r="FO90" s="20" t="n">
        <f aca="false">IF(H_Direct=1,IF(ALB89&lt;=0,0,IF(CB90&lt;=0,ALB89,ALB89-G90*MAX(0,CB90*ALB89-(JA90+MN90)))),ALB89*(1-MAX(0,CB90)*H_Exit))</f>
        <v>0</v>
      </c>
      <c r="FP90" s="20" t="n">
        <f aca="false">IF(H_Direct=1,IF(ALC89&lt;=0,0,IF(CC90&lt;=0,ALC89,ALC89-G90*MAX(0,CC90*ALC89-(JB90+MO90)))),ALC89*(1-MAX(0,CC90)*H_Exit))</f>
        <v>0</v>
      </c>
      <c r="FQ90" s="20" t="n">
        <f aca="false">IF(H_Direct=1,IF(ALD89&lt;=0,0,IF(CD90&lt;=0,ALD89,ALD89-G90*MAX(0,CD90*ALD89-(JC90+MP90)))),ALD89*(1-MAX(0,CD90)*H_Exit))</f>
        <v>0</v>
      </c>
      <c r="FR90" s="20" t="n">
        <f aca="false">IF(H_Direct=1,IF(ALE89&lt;=0,0,IF(CE90&lt;=0,ALE89,ALE89-G90*MAX(0,CE90*ALE89-(JD90+MQ90)))),ALE89*(1-MAX(0,CE90)*H_Exit))</f>
        <v>0</v>
      </c>
      <c r="FS90" s="20" t="n">
        <f aca="false">IF(H_Direct=1,IF(ALF89&lt;=0,0,IF(CF90&lt;=0,ALF89,ALF89-G90*MAX(0,CF90*ALF89-(JE90+MR90)))),ALF89*(1-MAX(0,CF90)*H_Exit))</f>
        <v>0</v>
      </c>
      <c r="FT90" s="20" t="n">
        <f aca="false">IF(H_Direct=1,IF(ALG89&lt;=0,0,IF(CG90&lt;=0,ALG89,ALG89-G90*MAX(0,CG90*ALG89-(JF90+MS90)))),ALG89*(1-MAX(0,CG90)*H_Exit))</f>
        <v>0</v>
      </c>
      <c r="FU90" s="20" t="n">
        <f aca="false">IF(H_Direct=1,IF(ALH89&lt;=0,0,IF(CH90&lt;=0,ALH89,ALH89-G90*MAX(0,CH90*ALH89-(JG90+MT90)))),ALH89*(1-MAX(0,CH90)*H_Exit))</f>
        <v>0</v>
      </c>
      <c r="FV90" s="20" t="n">
        <f aca="false">IF(H_Direct=1,IF(ALI89&lt;=0,0,IF(CI90&lt;=0,ALI89,ALI89-G90*MAX(0,CI90*ALI89-(JH90+MU90)))),ALI89*(1-MAX(0,CI90)*H_Exit))</f>
        <v>0</v>
      </c>
      <c r="FW90" s="20" t="n">
        <f aca="false">IF(H_Direct=1,IF(ALJ89&lt;=0,0,IF(CJ90&lt;=0,ALJ89,ALJ89-G90*MAX(0,CJ90*ALJ89-(JI90+MV90)))),ALJ89*(1-MAX(0,CJ90)*H_Exit))</f>
        <v>0</v>
      </c>
      <c r="FX90" s="20" t="n">
        <f aca="false">IF(H_Direct=1,IF(ALK89&lt;=0,0,IF(CK90&lt;=0,ALK89,ALK89-G90*MAX(0,CK90*ALK89-(JJ90+MW90)))),ALK89*(1-MAX(0,CK90)*H_Exit))</f>
        <v>0</v>
      </c>
      <c r="FY90" s="20" t="n">
        <f aca="false">IF(H_Direct=1,IF(ALL89&lt;=0,0,IF(CL90&lt;=0,ALL89,ALL89-G90*MAX(0,CL90*ALL89-(JK90+MX90)))),ALL89*(1-MAX(0,CL90)*H_Exit))</f>
        <v>0</v>
      </c>
      <c r="FZ90" s="20" t="n">
        <f aca="false">IF(H_Direct=1,IF(ALM89&lt;=0,0,IF(CM90&lt;=0,ALM89,ALM89-G90*MAX(0,CM90*ALM89-(JL90+MY90)))),ALM89*(1-MAX(0,CM90)*H_Exit))</f>
        <v>0</v>
      </c>
      <c r="GA90" s="20" t="n">
        <f aca="false">IF(H_Direct=1,IF(ALN89&lt;=0,0,IF(CN90&lt;=0,ALN89,ALN89-G90*MAX(0,CN90*ALN89-(JM90+MZ90)))),ALN89*(1-MAX(0,CN90)*H_Exit))</f>
        <v>0</v>
      </c>
      <c r="GB90" s="20" t="n">
        <f aca="false">IF(H_Direct=1,IF(ALO89&lt;=0,0,IF(CO90&lt;=0,ALO89,ALO89-G90*MAX(0,CO90*ALO89-(JN90+NA90)))),ALO89*(1-MAX(0,CO90)*H_Exit))</f>
        <v>0</v>
      </c>
      <c r="GC90" s="20" t="n">
        <f aca="false">IF(H_Direct=1,IF(ALP89&lt;=0,0,IF(CP90&lt;=0,ALP89,ALP89-G90*MAX(0,CP90*ALP89-(JO90+NB90)))),ALP89*(1-MAX(0,CP90)*H_Exit))</f>
        <v>0</v>
      </c>
      <c r="GD90" s="20" t="n">
        <f aca="false">IF(H_Direct=1,IF(ALQ89&lt;=0,0,IF(CQ90&lt;=0,ALQ89,ALQ89-G90*MAX(0,CQ90*ALQ89-(JP90+NC90)))),ALQ89*(1-MAX(0,CQ90)*H_Exit))</f>
        <v>0</v>
      </c>
      <c r="GE90" s="20" t="n">
        <f aca="false">IF(H_Direct=1,IF(ALR89&lt;=0,0,IF(CR90&lt;=0,ALR89,ALR89-G90*MAX(0,CR90*ALR89-(JQ90+ND90)))),ALR89*(1-MAX(0,CR90)*H_Exit))</f>
        <v>0</v>
      </c>
      <c r="GF90" s="20" t="n">
        <f aca="false">IF(H_Direct=1,IF(ALS89&lt;=0,0,IF(CS90&lt;=0,ALS89,ALS89-G90*MAX(0,CS90*ALS89-(JR90+NE90)))),ALS89*(1-MAX(0,CS90)*H_Exit))</f>
        <v>0</v>
      </c>
      <c r="GG90" s="20" t="n">
        <f aca="false">IF(H_Direct=1,IF(ALT89&lt;=0,0,IF(CT90&lt;=0,ALT89,ALT89-G90*MAX(0,CT90*ALT89-(JS90+NF90)))),ALT89*(1-MAX(0,CT90)*H_Exit))</f>
        <v>0</v>
      </c>
      <c r="GH90" s="20" t="n">
        <f aca="false">IF(H_Direct=1,IF(ALU89&lt;=0,0,IF(CU90&lt;=0,ALU89,ALU89-G90*MAX(0,CU90*ALU89-(JT90+NG90)))),ALU89*(1-MAX(0,CU90)*H_Exit))</f>
        <v>0</v>
      </c>
      <c r="GI90" s="20" t="n">
        <f aca="false">IF(H_Direct=1,IF(ALV89&lt;=0,0,IF(CV90&lt;=0,ALV89,ALV89-G90*MAX(0,CV90*ALV89-(JU90+NH90)))),ALV89*(1-MAX(0,CV90)*H_Exit))</f>
        <v>0</v>
      </c>
      <c r="GJ90" s="20" t="n">
        <f aca="false">IF(H_Direct=1,IF(ALW89&lt;=0,0,IF(CW90&lt;=0,ALW89,ALW89-G90*MAX(0,CW90*ALW89-(JV90+NI90)))),ALW89*(1-MAX(0,CW90)*H_Exit))</f>
        <v>0</v>
      </c>
      <c r="GK90" s="20" t="n">
        <f aca="false">IF(H_Direct=1,IF(ALX89&lt;=0,0,IF(CX90&lt;=0,ALX89,ALX89-G90*MAX(0,CX90*ALX89-(JW90+NJ90)))),ALX89*(1-MAX(0,CX90)*H_Exit))</f>
        <v>0</v>
      </c>
      <c r="GL90" s="20" t="n">
        <f aca="false">IF(H_Direct=1,IF(ALY89&lt;=0,0,IF(CY90&lt;=0,ALY89,ALY89-G90*MAX(0,CY90*ALY89-(JX90+NK90)))),ALY89*(1-MAX(0,CY90)*H_Exit))</f>
        <v>0</v>
      </c>
      <c r="GM90" s="20" t="n">
        <f aca="false">IF(H_Direct=1,IF(ALZ89&lt;=0,0,IF(CZ90&lt;=0,ALZ89,ALZ89-G90*MAX(0,CZ90*ALZ89-(JY90+NL90)))),ALZ89*(1-MAX(0,CZ90)*H_Exit))</f>
        <v>0</v>
      </c>
      <c r="GN90" s="20" t="n">
        <f aca="false">IF(H_Direct=1,IF(AMA89&lt;=0,0,IF(DA90&lt;=0,AMA89,AMA89-G90*MAX(0,DA90*AMA89-(JZ90+NM90)))),AMA89*(1-MAX(0,DA90)*H_Exit))</f>
        <v>0</v>
      </c>
      <c r="GO90" s="20" t="n">
        <f aca="false">IF(H_Direct=1,IF(AMB89&lt;=0,0,IF(DB90&lt;=0,AMB89,AMB89-G90*MAX(0,DB90*AMB89-(KA90+NN90)))),AMB89*(1-MAX(0,DB90)*H_Exit))</f>
        <v>0</v>
      </c>
      <c r="GP90" s="20" t="n">
        <f aca="false">IF(H_Direct=1,IF(AMC89&lt;=0,0,IF(DC90&lt;=0,AMC89,AMC89-G90*MAX(0,DC90*AMC89-(KB90+NO90)))),AMC89*(1-MAX(0,DC90)*H_Exit))</f>
        <v>0</v>
      </c>
      <c r="GQ90" s="20" t="n">
        <f aca="false">IF(H_Direct=1,IF(AMD89&lt;=0,0,IF(DD90&lt;=0,AMD89,AMD89-G90*MAX(0,DD90*AMD89-(KC90+NP90)))),AMD89*(1-MAX(0,DD90)*H_Exit))</f>
        <v>0</v>
      </c>
      <c r="GR90" s="20" t="n">
        <f aca="false">IF(H_Direct=1,IF(AME89&lt;=0,0,IF(DE90&lt;=0,AME89,AME89-G90*MAX(0,DE90*AME89-(KD90+NQ90)))),AME89*(1-MAX(0,DE90)*H_Exit))</f>
        <v>0</v>
      </c>
      <c r="GS90" s="20" t="n">
        <f aca="false">IF(H_Direct=1,IF(AMF89&lt;=0,0,IF(DF90&lt;=0,AMF89,AMF89-G90*MAX(0,DF90*AMF89-(KE90+NR90)))),AMF89*(1-MAX(0,DF90)*H_Exit))</f>
        <v>0</v>
      </c>
      <c r="GT90" s="20" t="n">
        <f aca="false">IF(H_Direct=1,IF(AMG89&lt;=0,0,IF(DG90&lt;=0,AMG89,AMG89-G90*MAX(0,DG90*AMG89-(KF90+NS90)))),AMG89*(1-MAX(0,DG90)*H_Exit))</f>
        <v>0</v>
      </c>
      <c r="GU90" s="20" t="n">
        <f aca="false">IF(H_Direct=1,IF(AMH89&lt;=0,0,IF(DH90&lt;=0,AMH89,AMH89-G90*MAX(0,DH90*AMH89-(KG90+NT90)))),AMH89*(1-MAX(0,DH90)*H_Exit))</f>
        <v>0</v>
      </c>
      <c r="GV90" s="20" t="n">
        <f aca="false">IF(H_Direct=1,IF(AMI89&lt;=0,0,IF(DI90&lt;=0,AMI89,AMI89-G90*MAX(0,DI90*AMI89-(KH90+NU90)))),AMI89*(1-MAX(0,DI90)*H_Exit))</f>
        <v>0</v>
      </c>
      <c r="GW90" s="20" t="n">
        <f aca="false">IF(H_Direct=1,IF(AMJ89&lt;=0,0,IF(DJ90&lt;=0,AMJ89,AMJ89-G90*MAX(0,DJ90*AMJ89-(KI90+NV90)))),AMJ89*(1-MAX(0,DJ90)*H_Exit))</f>
        <v>0</v>
      </c>
      <c r="GX90" s="20" t="n">
        <f aca="false">IF(H_Direct=1,IF(AMK89&lt;=0,0,IF(DK90&lt;=0,AMK89,AMK89-G90*MAX(0,DK90*AMK89-(KJ90+NW90)))),AMK89*(1-MAX(0,DK90)*H_Exit))</f>
        <v>0</v>
      </c>
      <c r="GY90" s="20" t="n">
        <f aca="false">IF(H_Direct=1,IF(AML89&lt;=0,0,IF(DL90&lt;=0,AML89,AML89-G90*MAX(0,DL90*AML89-(KK90+NX90)))),AML89*(1-MAX(0,DL90)*H_Exit))</f>
        <v>0</v>
      </c>
      <c r="GZ90" s="20" t="n">
        <f aca="false">IF(H_Direct=1,IF(AMM89&lt;=0,0,IF(DM90&lt;=0,AMM89,AMM89-G90*MAX(0,DM90*AMM89-(KL90+NY90)))),AMM89*(1-MAX(0,DM90)*H_Exit))</f>
        <v>0</v>
      </c>
      <c r="HA90" s="20" t="n">
        <f aca="false">IF(H_Direct=1,IF(AMN89&lt;=0,0,IF(DN90&lt;=0,AMN89,AMN89-G90*MAX(0,DN90*AMN89-(KM90+NZ90)))),AMN89*(1-MAX(0,DN90)*H_Exit))</f>
        <v>0</v>
      </c>
      <c r="HB90" s="20" t="n">
        <f aca="false">IF(H_Direct=1,IF(AMO89&lt;=0,0,IF(DO90&lt;=0,AMO89,AMO89-G90*MAX(0,DO90*AMO89-(KN90+OA90)))),AMO89*(1-MAX(0,DO90)*H_Exit))</f>
        <v>0</v>
      </c>
      <c r="HC90" s="20" t="n">
        <f aca="false">IF(H_Direct=1,IF(AMP89&lt;=0,0,IF(DP90&lt;=0,AMP89,AMP89-G90*MAX(0,DP90*AMP89-(KO90+OB90)))),AMP89*(1-MAX(0,DP90)*H_Exit))</f>
        <v>0</v>
      </c>
      <c r="HD90" s="20" t="n">
        <f aca="false">IF(H_Direct=1,IF(AMQ89&lt;=0,0,IF(DQ90&lt;=0,AMQ89,AMQ89-G90*MAX(0,DQ90*AMQ89-(KP90+OC90)))),AMQ89*(1-MAX(0,DQ90)*H_Exit))</f>
        <v>0</v>
      </c>
      <c r="HE90" s="20" t="n">
        <f aca="false">IF(H_Direct=1,IF(AMR89&lt;=0,0,IF(DR90&lt;=0,AMR89,AMR89-G90*MAX(0,DR90*AMR89-(KQ90+OD90)))),AMR89*(1-MAX(0,DR90)*H_Exit))</f>
        <v>0</v>
      </c>
      <c r="HF90" s="20" t="n">
        <f aca="false">IF(H_Direct=1,IF(AMS89&lt;=0,0,IF(DS90&lt;=0,AMS89,AMS89-G90*MAX(0,DS90*AMS89-(KR90+OE90)))),AMS89*(1-MAX(0,DS90)*H_Exit))</f>
        <v>0</v>
      </c>
      <c r="HG90" s="20" t="n">
        <f aca="false">IF(H_Direct=1,IF(AMT89&lt;=0,0,IF(DT90&lt;=0,AMT89,AMT89-G90*MAX(0,DT90*AMT89-(KS90+OF90)))),AMT89*(1-MAX(0,DT90)*H_Exit))</f>
        <v>0</v>
      </c>
      <c r="HH90" s="20" t="n">
        <f aca="false">IF(H_Direct=1,IF(AMU89&lt;=0,0,IF(DU90&lt;=0,AMU89,AMU89-G90*MAX(0,DU90*AMU89-(KT90+OG90)))),AMU89*(1-MAX(0,DU90)*H_Exit))</f>
        <v>0</v>
      </c>
      <c r="HI90" s="20" t="n">
        <f aca="false">IF(H_Direct=1,IF(AMV89&lt;=0,0,IF(DV90&lt;=0,AMV89,AMV89-G90*MAX(0,DV90*AMV89-(KU90+OH90)))),AMV89*(1-MAX(0,DV90)*H_Exit))</f>
        <v>0</v>
      </c>
      <c r="HJ90" s="20" t="n">
        <f aca="false">IF(H_Direct=1,IF(AMW89&lt;=0,0,IF(DW90&lt;=0,AMW89,AMW89-G90*MAX(0,DW90*AMW89-(KV90+OI90)))),AMW89*(1-MAX(0,DW90)*H_Exit))</f>
        <v>0</v>
      </c>
      <c r="HK90" s="20" t="n">
        <f aca="false">IF(H_Direct=1,IF(AMX89&lt;=0,0,IF(DX90&lt;=0,AMX89,AMX89-G90*MAX(0,DX90*AMX89-(KW90+OJ90)))),AMX89*(1-MAX(0,DX90)*H_Exit))</f>
        <v>0</v>
      </c>
      <c r="HL90" s="20" t="n">
        <f aca="false">IF(H_Direct=1,IF(AMY89&lt;=0,0,IF(DY90&lt;=0,AMY89,AMY89-G90*MAX(0,DY90*AMY89-(KX90+OK90)))),AMY89*(1-MAX(0,DY90)*H_Exit))</f>
        <v>0</v>
      </c>
      <c r="HM90" s="20" t="n">
        <f aca="false">IF(H_Direct=1,IF(AMZ89&lt;=0,0,IF(DZ90&lt;=0,AMZ89,AMZ89-G90*MAX(0,DZ90*AMZ89-(KY90+OL90)))),AMZ89*(1-MAX(0,DZ90)*H_Exit))</f>
        <v>0</v>
      </c>
      <c r="HN90" s="20" t="n">
        <f aca="false">IF(H_Direct=1,IF(ANA89&lt;=0,0,IF(EA90&lt;=0,ANA89,ANA89-G90*MAX(0,EA90*ANA89-(KZ90+OM90)))),ANA89*(1-MAX(0,EA90)*H_Exit))</f>
        <v>0</v>
      </c>
      <c r="HO90" s="20" t="n">
        <f aca="false">IF(H_Direct=1,IF(ANB89&lt;=0,0,IF(EB90&lt;=0,ANB89,ANB89-G90*MAX(0,EB90*ANB89-(LA90+ON90)))),ANB89*(1-MAX(0,EB90)*H_Exit))</f>
        <v>0</v>
      </c>
      <c r="HP90" s="20" t="n">
        <f aca="false">IF(H_Direct=1,IF(ANC89&lt;=0,0,IF(EC90&lt;=0,ANC89,ANC89-G90*MAX(0,EC90*ANC89-(LB90+OO90)))),ANC89*(1-MAX(0,EC90)*H_Exit))</f>
        <v>0</v>
      </c>
      <c r="HQ90" s="20" t="n">
        <f aca="false">IF(H_Direct=1,IF(AND89&lt;=0,0,IF(ED90&lt;=0,AND89,AND89-G90*MAX(0,ED90*AND89-(LC90+OP90)))),AND89*(1-MAX(0,ED90)*H_Exit))</f>
        <v>0</v>
      </c>
      <c r="HR90" s="20" t="n">
        <f aca="false">IF(H_Direct=1,IF(ANE89&lt;=0,0,IF(EE90&lt;=0,ANE89,ANE89-G90*MAX(0,EE90*ANE89-(LD90+OQ90)))),ANE89*(1-MAX(0,EE90)*H_Exit))</f>
        <v>0</v>
      </c>
      <c r="HS90" s="20" t="n">
        <f aca="false">IF(H_Direct=1,IF(ANF89&lt;=0,0,IF(EF90&lt;=0,ANF89,ANF89-G90*MAX(0,EF90*ANF89-(LE90+OR90)))),ANF89*(1-MAX(0,EF90)*H_Exit))</f>
        <v>0</v>
      </c>
      <c r="HT90" s="20" t="n">
        <f aca="false">IF(H_Direct=1,IF(ANG89&lt;=0,0,IF(EG90&lt;=0,ANG89,ANG89-G90*MAX(0,EG90*ANG89-(LF90+OS90)))),ANG89*(1-MAX(0,EG90)*H_Exit))</f>
        <v>0</v>
      </c>
      <c r="HU90" s="20" t="n">
        <f aca="false">IF(H_Direct=1,IF(ANH89&lt;=0,0,IF(EH90&lt;=0,ANH89,ANH89-G90*MAX(0,EH90*ANH89-(LG90+OT90)))),ANH89*(1-MAX(0,EH90)*H_Exit))</f>
        <v>0</v>
      </c>
      <c r="HV90" s="20" t="n">
        <f aca="false">IF(H_Direct=1,IF(ANI89&lt;=0,0,IF(EI90&lt;=0,ANI89,ANI89-G90*MAX(0,EI90*ANI89-(LH90+OU90)))),ANI89*(1-MAX(0,EI90)*H_Exit))</f>
        <v>0</v>
      </c>
      <c r="HW90" s="20" t="n">
        <f aca="false">IF(H_Direct=1,IF(ANJ89&lt;=0,0,IF(EJ90&lt;=0,ANJ89,ANJ89-G90*MAX(0,EJ90*ANJ89-(LI90+OV90)))),ANJ89*(1-MAX(0,EJ90)*H_Exit))</f>
        <v>0</v>
      </c>
      <c r="HX90" s="20" t="n">
        <f aca="false">IF(H_Direct=1,IF(ANK89&lt;=0,0,IF(EK90&lt;=0,ANK89,ANK89-G90*MAX(0,EK90*ANK89-(LJ90+OW90)))),ANK89*(1-MAX(0,EK90)*H_Exit))</f>
        <v>0</v>
      </c>
      <c r="HY90" s="20" t="n">
        <f aca="false">IF(H_Direct=1,IF(ANL89&lt;=0,0,IF(EL90&lt;=0,ANL89,ANL89-G90*MAX(0,EL90*ANL89-(LK90+OX90)))),ANL89*(1-MAX(0,EL90)*H_Exit))</f>
        <v>0</v>
      </c>
      <c r="HZ90" s="20" t="n">
        <f aca="false">IF(H_Direct=1,IF(ANM89&lt;=0,0,IF(EM90&lt;=0,ANM89,ANM89-G90*MAX(0,EM90*ANM89-(LL90+OY90)))),ANM89*(1-MAX(0,EM90)*H_Exit))</f>
        <v>0</v>
      </c>
      <c r="IA90" s="20" t="n">
        <f aca="false">IF(H_Direct=1,IF(ANN89&lt;=0,0,IF(EN90&lt;=0,ANN89,ANN89-G90*MAX(0,EN90*ANN89-(LM90+OZ90)))),ANN89*(1-MAX(0,EN90)*H_Exit))</f>
        <v>0</v>
      </c>
      <c r="IB90" s="20" t="n">
        <f aca="false">IF(H_Direct=1,IF(ANO89&lt;=0,0,IF(EO90&lt;=0,ANO89,ANO89-G90*MAX(0,EO90*ANO89-(LN90+PA90)))),ANO89*(1-MAX(0,EO90)*H_Exit))</f>
        <v>0</v>
      </c>
      <c r="IC90" s="20" t="n">
        <f aca="false">IF(H_Direct=1,IF(ANP89&lt;=0,0,IF(EP90&lt;=0,ANP89,ANP89-G90*MAX(0,EP90*ANP89-(LO90+PB90)))),ANP89*(1-MAX(0,EP90)*H_Exit))</f>
        <v>0</v>
      </c>
      <c r="ID90" s="20" t="n">
        <f aca="false">IF(H_Direct=1,IF(ANQ89&lt;=0,0,IF(EQ90&lt;=0,ANQ89,ANQ89-G90*MAX(0,EQ90*ANQ89-(LP90+PC90)))),ANQ89*(1-MAX(0,EQ90)*H_Exit))</f>
        <v>0</v>
      </c>
      <c r="IE90" s="20" t="n">
        <f aca="false">IF(H_Direct=1,IF(ANR89&lt;=0,0,IF(ER90&lt;=0,ANR89,ANR89-G90*MAX(0,ER90*ANR89-(LQ90+PD90)))),ANR89*(1-MAX(0,ER90)*H_Exit))</f>
        <v>0</v>
      </c>
      <c r="IF90" s="20" t="n">
        <f aca="false">IF(H_Direct=1,IF(ANS89&lt;=0,0,IF(ES90&lt;=0,ANS89,ANS89-G90*MAX(0,ES90*ANS89-(LR90+PE90)))),ANS89*(1-MAX(0,ES90)*H_Exit))</f>
        <v>0</v>
      </c>
      <c r="IG90" s="20" t="n">
        <f aca="false">IF(H_Direct=1,IF(ANT89&lt;=0,0,IF(ET90&lt;=0,ANT89,ANT89-G90*MAX(0,ET90*ANT89-(LS90+PF90)))),ANT89*(1-MAX(0,ET90)*H_Exit))</f>
        <v>0</v>
      </c>
      <c r="IH90" s="20" t="n">
        <f aca="false">IF(H_Direct=1,IF(ANU89&lt;=0,0,IF(EU90&lt;=0,ANU89,ANU89-G90*MAX(0,EU90*ANU89-(LT90+PG90)))),ANU89*(1-MAX(0,EU90)*H_Exit))</f>
        <v>0</v>
      </c>
      <c r="II90" s="20" t="n">
        <f aca="false">IF(H_Direct=1,IF(ANV89&lt;=0,0,IF(EV90&lt;=0,ANV89,ANV89-G90*MAX(0,EV90*ANV89-(LU90+PH90)))),ANV89*(1-MAX(0,EV90)*H_Exit))</f>
        <v>0</v>
      </c>
      <c r="IJ90" s="20" t="n">
        <f aca="false">IF(H_Direct=1,IF((P90+S90)&lt;=0,0,IF(EW90&lt;=0,(P90+S90),(P90+S90)-G90*MAX(0,EW90*(P90+S90)-(LV90+PI90)))),(P90+S90)*(1-MAX(0,EW90)*H_Exit))</f>
        <v>0</v>
      </c>
      <c r="IK90" s="20" t="n">
        <v>0</v>
      </c>
      <c r="IL90" s="20" t="n">
        <v>0</v>
      </c>
      <c r="IM90" s="20" t="n">
        <v>0</v>
      </c>
      <c r="IN90" s="20" t="n">
        <v>0</v>
      </c>
      <c r="IO90" s="20" t="n">
        <v>0</v>
      </c>
      <c r="IP90" s="20" t="n">
        <v>0</v>
      </c>
      <c r="IQ90" s="20" t="n">
        <v>0</v>
      </c>
      <c r="IR90" s="20" t="n">
        <f aca="false">IF(AND(H_Direct=1,BR90&gt;0),MAX(0,H90-(MIN(BR90*AKR89,H90+I90)-MIN(MIN(BR90*AKR89,H90+I90),I90))),H90)</f>
        <v>1270</v>
      </c>
      <c r="IS90" s="20" t="n">
        <f aca="false">IF(AND(H_Direct=1,BS90&gt;0),MAX(0,IR90-(MIN(BS90*AKS89,IR90+ME90)-MIN(MIN(BS90*AKS89,IR90+ME90),ME90))),IR90)</f>
        <v>1270</v>
      </c>
      <c r="IT90" s="20" t="n">
        <f aca="false">IF(AND(H_Direct=1,BT90&gt;0),MAX(0,IS90-(MIN(BT90*AKT89,IS90+MF90)-MIN(MIN(BT90*AKT89,IS90+MF90),MF90))),IS90)</f>
        <v>1270</v>
      </c>
      <c r="IU90" s="20" t="n">
        <f aca="false">IF(AND(H_Direct=1,BU90&gt;0),MAX(0,IT90-(MIN(BU90*AKU89,IT90+MG90)-MIN(MIN(BU90*AKU89,IT90+MG90),MG90))),IT90)</f>
        <v>1270</v>
      </c>
      <c r="IV90" s="20" t="n">
        <f aca="false">IF(AND(H_Direct=1,BV90&gt;0),MAX(0,IU90-(MIN(BV90*AKV89,IU90+MH90)-MIN(MIN(BV90*AKV89,IU90+MH90),MH90))),IU90)</f>
        <v>1270</v>
      </c>
      <c r="IW90" s="20" t="n">
        <f aca="false">IF(AND(H_Direct=1,BW90&gt;0),MAX(0,IV90-(MIN(BW90*AKW89,IV90+MI90)-MIN(MIN(BW90*AKW89,IV90+MI90),MI90))),IV90)</f>
        <v>1270</v>
      </c>
      <c r="IX90" s="20" t="n">
        <f aca="false">IF(AND(H_Direct=1,BX90&gt;0),MAX(0,IW90-(MIN(BX90*AKX89,IW90+MJ90)-MIN(MIN(BX90*AKX89,IW90+MJ90),MJ90))),IW90)</f>
        <v>1270</v>
      </c>
      <c r="IY90" s="20" t="n">
        <f aca="false">IF(AND(H_Direct=1,BY90&gt;0),MAX(0,IX90-(MIN(BY90*AKY89,IX90+MK90)-MIN(MIN(BY90*AKY89,IX90+MK90),MK90))),IX90)</f>
        <v>1270</v>
      </c>
      <c r="IZ90" s="20" t="n">
        <f aca="false">IF(AND(H_Direct=1,BZ90&gt;0),MAX(0,IY90-(MIN(BZ90*AKZ89,IY90+ML90)-MIN(MIN(BZ90*AKZ89,IY90+ML90),ML90))),IY90)</f>
        <v>1270</v>
      </c>
      <c r="JA90" s="20" t="n">
        <f aca="false">IF(AND(H_Direct=1,CA90&gt;0),MAX(0,IZ90-(MIN(CA90*ALA89,IZ90+MM90)-MIN(MIN(CA90*ALA89,IZ90+MM90),MM90))),IZ90)</f>
        <v>1270</v>
      </c>
      <c r="JB90" s="20" t="n">
        <f aca="false">IF(AND(H_Direct=1,CB90&gt;0),MAX(0,JA90-(MIN(CB90*ALB89,JA90+MN90)-MIN(MIN(CB90*ALB89,JA90+MN90),MN90))),JA90)</f>
        <v>1270</v>
      </c>
      <c r="JC90" s="20" t="n">
        <f aca="false">IF(AND(H_Direct=1,CC90&gt;0),MAX(0,JB90-(MIN(CC90*ALC89,JB90+MO90)-MIN(MIN(CC90*ALC89,JB90+MO90),MO90))),JB90)</f>
        <v>1270</v>
      </c>
      <c r="JD90" s="20" t="n">
        <f aca="false">IF(AND(H_Direct=1,CD90&gt;0),MAX(0,JC90-(MIN(CD90*ALD89,JC90+MP90)-MIN(MIN(CD90*ALD89,JC90+MP90),MP90))),JC90)</f>
        <v>1270</v>
      </c>
      <c r="JE90" s="20" t="n">
        <f aca="false">IF(AND(H_Direct=1,CE90&gt;0),MAX(0,JD90-(MIN(CE90*ALE89,JD90+MQ90)-MIN(MIN(CE90*ALE89,JD90+MQ90),MQ90))),JD90)</f>
        <v>1270</v>
      </c>
      <c r="JF90" s="20" t="n">
        <f aca="false">IF(AND(H_Direct=1,CF90&gt;0),MAX(0,JE90-(MIN(CF90*ALF89,JE90+MR90)-MIN(MIN(CF90*ALF89,JE90+MR90),MR90))),JE90)</f>
        <v>1270</v>
      </c>
      <c r="JG90" s="20" t="n">
        <f aca="false">IF(AND(H_Direct=1,CG90&gt;0),MAX(0,JF90-(MIN(CG90*ALG89,JF90+MS90)-MIN(MIN(CG90*ALG89,JF90+MS90),MS90))),JF90)</f>
        <v>1270</v>
      </c>
      <c r="JH90" s="20" t="n">
        <f aca="false">IF(AND(H_Direct=1,CH90&gt;0),MAX(0,JG90-(MIN(CH90*ALH89,JG90+MT90)-MIN(MIN(CH90*ALH89,JG90+MT90),MT90))),JG90)</f>
        <v>1270</v>
      </c>
      <c r="JI90" s="20" t="n">
        <f aca="false">IF(AND(H_Direct=1,CI90&gt;0),MAX(0,JH90-(MIN(CI90*ALI89,JH90+MU90)-MIN(MIN(CI90*ALI89,JH90+MU90),MU90))),JH90)</f>
        <v>1270</v>
      </c>
      <c r="JJ90" s="20" t="n">
        <f aca="false">IF(AND(H_Direct=1,CJ90&gt;0),MAX(0,JI90-(MIN(CJ90*ALJ89,JI90+MV90)-MIN(MIN(CJ90*ALJ89,JI90+MV90),MV90))),JI90)</f>
        <v>1270</v>
      </c>
      <c r="JK90" s="20" t="n">
        <f aca="false">IF(AND(H_Direct=1,CK90&gt;0),MAX(0,JJ90-(MIN(CK90*ALK89,JJ90+MW90)-MIN(MIN(CK90*ALK89,JJ90+MW90),MW90))),JJ90)</f>
        <v>1270</v>
      </c>
      <c r="JL90" s="20" t="n">
        <f aca="false">IF(AND(H_Direct=1,CL90&gt;0),MAX(0,JK90-(MIN(CL90*ALL89,JK90+MX90)-MIN(MIN(CL90*ALL89,JK90+MX90),MX90))),JK90)</f>
        <v>1270</v>
      </c>
      <c r="JM90" s="20" t="n">
        <f aca="false">IF(AND(H_Direct=1,CM90&gt;0),MAX(0,JL90-(MIN(CM90*ALM89,JL90+MY90)-MIN(MIN(CM90*ALM89,JL90+MY90),MY90))),JL90)</f>
        <v>1270</v>
      </c>
      <c r="JN90" s="20" t="n">
        <f aca="false">IF(AND(H_Direct=1,CN90&gt;0),MAX(0,JM90-(MIN(CN90*ALN89,JM90+MZ90)-MIN(MIN(CN90*ALN89,JM90+MZ90),MZ90))),JM90)</f>
        <v>1270</v>
      </c>
      <c r="JO90" s="20" t="n">
        <f aca="false">IF(AND(H_Direct=1,CO90&gt;0),MAX(0,JN90-(MIN(CO90*ALO89,JN90+NA90)-MIN(MIN(CO90*ALO89,JN90+NA90),NA90))),JN90)</f>
        <v>1270</v>
      </c>
      <c r="JP90" s="20" t="n">
        <f aca="false">IF(AND(H_Direct=1,CP90&gt;0),MAX(0,JO90-(MIN(CP90*ALP89,JO90+NB90)-MIN(MIN(CP90*ALP89,JO90+NB90),NB90))),JO90)</f>
        <v>1270</v>
      </c>
      <c r="JQ90" s="20" t="n">
        <f aca="false">IF(AND(H_Direct=1,CQ90&gt;0),MAX(0,JP90-(MIN(CQ90*ALQ89,JP90+NC90)-MIN(MIN(CQ90*ALQ89,JP90+NC90),NC90))),JP90)</f>
        <v>1270</v>
      </c>
      <c r="JR90" s="20" t="n">
        <f aca="false">IF(AND(H_Direct=1,CR90&gt;0),MAX(0,JQ90-(MIN(CR90*ALR89,JQ90+ND90)-MIN(MIN(CR90*ALR89,JQ90+ND90),ND90))),JQ90)</f>
        <v>1270</v>
      </c>
      <c r="JS90" s="20" t="n">
        <f aca="false">IF(AND(H_Direct=1,CS90&gt;0),MAX(0,JR90-(MIN(CS90*ALS89,JR90+NE90)-MIN(MIN(CS90*ALS89,JR90+NE90),NE90))),JR90)</f>
        <v>1270</v>
      </c>
      <c r="JT90" s="20" t="n">
        <f aca="false">IF(AND(H_Direct=1,CT90&gt;0),MAX(0,JS90-(MIN(CT90*ALT89,JS90+NF90)-MIN(MIN(CT90*ALT89,JS90+NF90),NF90))),JS90)</f>
        <v>1270</v>
      </c>
      <c r="JU90" s="20" t="n">
        <f aca="false">IF(AND(H_Direct=1,CU90&gt;0),MAX(0,JT90-(MIN(CU90*ALU89,JT90+NG90)-MIN(MIN(CU90*ALU89,JT90+NG90),NG90))),JT90)</f>
        <v>1270</v>
      </c>
      <c r="JV90" s="20" t="n">
        <f aca="false">IF(AND(H_Direct=1,CV90&gt;0),MAX(0,JU90-(MIN(CV90*ALV89,JU90+NH90)-MIN(MIN(CV90*ALV89,JU90+NH90),NH90))),JU90)</f>
        <v>1270</v>
      </c>
      <c r="JW90" s="20" t="n">
        <f aca="false">IF(AND(H_Direct=1,CW90&gt;0),MAX(0,JV90-(MIN(CW90*ALW89,JV90+NI90)-MIN(MIN(CW90*ALW89,JV90+NI90),NI90))),JV90)</f>
        <v>1270</v>
      </c>
      <c r="JX90" s="20" t="n">
        <f aca="false">IF(AND(H_Direct=1,CX90&gt;0),MAX(0,JW90-(MIN(CX90*ALX89,JW90+NJ90)-MIN(MIN(CX90*ALX89,JW90+NJ90),NJ90))),JW90)</f>
        <v>1270</v>
      </c>
      <c r="JY90" s="20" t="n">
        <f aca="false">IF(AND(H_Direct=1,CY90&gt;0),MAX(0,JX90-(MIN(CY90*ALY89,JX90+NK90)-MIN(MIN(CY90*ALY89,JX90+NK90),NK90))),JX90)</f>
        <v>1270</v>
      </c>
      <c r="JZ90" s="20" t="n">
        <f aca="false">IF(AND(H_Direct=1,CZ90&gt;0),MAX(0,JY90-(MIN(CZ90*ALZ89,JY90+NL90)-MIN(MIN(CZ90*ALZ89,JY90+NL90),NL90))),JY90)</f>
        <v>1270</v>
      </c>
      <c r="KA90" s="20" t="n">
        <f aca="false">IF(AND(H_Direct=1,DA90&gt;0),MAX(0,JZ90-(MIN(DA90*AMA89,JZ90+NM90)-MIN(MIN(DA90*AMA89,JZ90+NM90),NM90))),JZ90)</f>
        <v>1270</v>
      </c>
      <c r="KB90" s="20" t="n">
        <f aca="false">IF(AND(H_Direct=1,DB90&gt;0),MAX(0,KA90-(MIN(DB90*AMB89,KA90+NN90)-MIN(MIN(DB90*AMB89,KA90+NN90),NN90))),KA90)</f>
        <v>1270</v>
      </c>
      <c r="KC90" s="20" t="n">
        <f aca="false">IF(AND(H_Direct=1,DC90&gt;0),MAX(0,KB90-(MIN(DC90*AMC89,KB90+NO90)-MIN(MIN(DC90*AMC89,KB90+NO90),NO90))),KB90)</f>
        <v>1270</v>
      </c>
      <c r="KD90" s="20" t="n">
        <f aca="false">IF(AND(H_Direct=1,DD90&gt;0),MAX(0,KC90-(MIN(DD90*AMD89,KC90+NP90)-MIN(MIN(DD90*AMD89,KC90+NP90),NP90))),KC90)</f>
        <v>1270</v>
      </c>
      <c r="KE90" s="20" t="n">
        <f aca="false">IF(AND(H_Direct=1,DE90&gt;0),MAX(0,KD90-(MIN(DE90*AME89,KD90+NQ90)-MIN(MIN(DE90*AME89,KD90+NQ90),NQ90))),KD90)</f>
        <v>1270</v>
      </c>
      <c r="KF90" s="20" t="n">
        <f aca="false">IF(AND(H_Direct=1,DF90&gt;0),MAX(0,KE90-(MIN(DF90*AMF89,KE90+NR90)-MIN(MIN(DF90*AMF89,KE90+NR90),NR90))),KE90)</f>
        <v>1270</v>
      </c>
      <c r="KG90" s="20" t="n">
        <f aca="false">IF(AND(H_Direct=1,DG90&gt;0),MAX(0,KF90-(MIN(DG90*AMG89,KF90+NS90)-MIN(MIN(DG90*AMG89,KF90+NS90),NS90))),KF90)</f>
        <v>1270</v>
      </c>
      <c r="KH90" s="20" t="n">
        <f aca="false">IF(AND(H_Direct=1,DH90&gt;0),MAX(0,KG90-(MIN(DH90*AMH89,KG90+NT90)-MIN(MIN(DH90*AMH89,KG90+NT90),NT90))),KG90)</f>
        <v>1270</v>
      </c>
      <c r="KI90" s="20" t="n">
        <f aca="false">IF(AND(H_Direct=1,DI90&gt;0),MAX(0,KH90-(MIN(DI90*AMI89,KH90+NU90)-MIN(MIN(DI90*AMI89,KH90+NU90),NU90))),KH90)</f>
        <v>1270</v>
      </c>
      <c r="KJ90" s="20" t="n">
        <f aca="false">IF(AND(H_Direct=1,DJ90&gt;0),MAX(0,KI90-(MIN(DJ90*AMJ89,KI90+NV90)-MIN(MIN(DJ90*AMJ89,KI90+NV90),NV90))),KI90)</f>
        <v>1270</v>
      </c>
      <c r="KK90" s="20" t="n">
        <f aca="false">IF(AND(H_Direct=1,DK90&gt;0),MAX(0,KJ90-(MIN(DK90*AMK89,KJ90+NW90)-MIN(MIN(DK90*AMK89,KJ90+NW90),NW90))),KJ90)</f>
        <v>1270</v>
      </c>
      <c r="KL90" s="20" t="n">
        <f aca="false">IF(AND(H_Direct=1,DL90&gt;0),MAX(0,KK90-(MIN(DL90*AML89,KK90+NX90)-MIN(MIN(DL90*AML89,KK90+NX90),NX90))),KK90)</f>
        <v>1270</v>
      </c>
      <c r="KM90" s="20" t="n">
        <f aca="false">IF(AND(H_Direct=1,DM90&gt;0),MAX(0,KL90-(MIN(DM90*AMM89,KL90+NY90)-MIN(MIN(DM90*AMM89,KL90+NY90),NY90))),KL90)</f>
        <v>1270</v>
      </c>
      <c r="KN90" s="20" t="n">
        <f aca="false">IF(AND(H_Direct=1,DN90&gt;0),MAX(0,KM90-(MIN(DN90*AMN89,KM90+NZ90)-MIN(MIN(DN90*AMN89,KM90+NZ90),NZ90))),KM90)</f>
        <v>1270</v>
      </c>
      <c r="KO90" s="20" t="n">
        <f aca="false">IF(AND(H_Direct=1,DO90&gt;0),MAX(0,KN90-(MIN(DO90*AMO89,KN90+OA90)-MIN(MIN(DO90*AMO89,KN90+OA90),OA90))),KN90)</f>
        <v>1270</v>
      </c>
      <c r="KP90" s="20" t="n">
        <f aca="false">IF(AND(H_Direct=1,DP90&gt;0),MAX(0,KO90-(MIN(DP90*AMP89,KO90+OB90)-MIN(MIN(DP90*AMP89,KO90+OB90),OB90))),KO90)</f>
        <v>1270</v>
      </c>
      <c r="KQ90" s="20" t="n">
        <f aca="false">IF(AND(H_Direct=1,DQ90&gt;0),MAX(0,KP90-(MIN(DQ90*AMQ89,KP90+OC90)-MIN(MIN(DQ90*AMQ89,KP90+OC90),OC90))),KP90)</f>
        <v>1270</v>
      </c>
      <c r="KR90" s="20" t="n">
        <f aca="false">IF(AND(H_Direct=1,DR90&gt;0),MAX(0,KQ90-(MIN(DR90*AMR89,KQ90+OD90)-MIN(MIN(DR90*AMR89,KQ90+OD90),OD90))),KQ90)</f>
        <v>1270</v>
      </c>
      <c r="KS90" s="20" t="n">
        <f aca="false">IF(AND(H_Direct=1,DS90&gt;0),MAX(0,KR90-(MIN(DS90*AMS89,KR90+OE90)-MIN(MIN(DS90*AMS89,KR90+OE90),OE90))),KR90)</f>
        <v>1270</v>
      </c>
      <c r="KT90" s="20" t="n">
        <f aca="false">IF(AND(H_Direct=1,DT90&gt;0),MAX(0,KS90-(MIN(DT90*AMT89,KS90+OF90)-MIN(MIN(DT90*AMT89,KS90+OF90),OF90))),KS90)</f>
        <v>1270</v>
      </c>
      <c r="KU90" s="20" t="n">
        <f aca="false">IF(AND(H_Direct=1,DU90&gt;0),MAX(0,KT90-(MIN(DU90*AMU89,KT90+OG90)-MIN(MIN(DU90*AMU89,KT90+OG90),OG90))),KT90)</f>
        <v>1270</v>
      </c>
      <c r="KV90" s="20" t="n">
        <f aca="false">IF(AND(H_Direct=1,DV90&gt;0),MAX(0,KU90-(MIN(DV90*AMV89,KU90+OH90)-MIN(MIN(DV90*AMV89,KU90+OH90),OH90))),KU90)</f>
        <v>1270</v>
      </c>
      <c r="KW90" s="20" t="n">
        <f aca="false">IF(AND(H_Direct=1,DW90&gt;0),MAX(0,KV90-(MIN(DW90*AMW89,KV90+OI90)-MIN(MIN(DW90*AMW89,KV90+OI90),OI90))),KV90)</f>
        <v>1270</v>
      </c>
      <c r="KX90" s="20" t="n">
        <f aca="false">IF(AND(H_Direct=1,DX90&gt;0),MAX(0,KW90-(MIN(DX90*AMX89,KW90+OJ90)-MIN(MIN(DX90*AMX89,KW90+OJ90),OJ90))),KW90)</f>
        <v>1270</v>
      </c>
      <c r="KY90" s="20" t="n">
        <f aca="false">IF(AND(H_Direct=1,DY90&gt;0),MAX(0,KX90-(MIN(DY90*AMY89,KX90+OK90)-MIN(MIN(DY90*AMY89,KX90+OK90),OK90))),KX90)</f>
        <v>1270</v>
      </c>
      <c r="KZ90" s="20" t="n">
        <f aca="false">IF(AND(H_Direct=1,DZ90&gt;0),MAX(0,KY90-(MIN(DZ90*AMZ89,KY90+OL90)-MIN(MIN(DZ90*AMZ89,KY90+OL90),OL90))),KY90)</f>
        <v>1270</v>
      </c>
      <c r="LA90" s="20" t="n">
        <f aca="false">IF(AND(H_Direct=1,EA90&gt;0),MAX(0,KZ90-(MIN(EA90*ANA89,KZ90+OM90)-MIN(MIN(EA90*ANA89,KZ90+OM90),OM90))),KZ90)</f>
        <v>1270</v>
      </c>
      <c r="LB90" s="20" t="n">
        <f aca="false">IF(AND(H_Direct=1,EB90&gt;0),MAX(0,LA90-(MIN(EB90*ANB89,LA90+ON90)-MIN(MIN(EB90*ANB89,LA90+ON90),ON90))),LA90)</f>
        <v>1270</v>
      </c>
      <c r="LC90" s="20" t="n">
        <f aca="false">IF(AND(H_Direct=1,EC90&gt;0),MAX(0,LB90-(MIN(EC90*ANC89,LB90+OO90)-MIN(MIN(EC90*ANC89,LB90+OO90),OO90))),LB90)</f>
        <v>1270</v>
      </c>
      <c r="LD90" s="20" t="n">
        <f aca="false">IF(AND(H_Direct=1,ED90&gt;0),MAX(0,LC90-(MIN(ED90*AND89,LC90+OP90)-MIN(MIN(ED90*AND89,LC90+OP90),OP90))),LC90)</f>
        <v>1270</v>
      </c>
      <c r="LE90" s="20" t="n">
        <f aca="false">IF(AND(H_Direct=1,EE90&gt;0),MAX(0,LD90-(MIN(EE90*ANE89,LD90+OQ90)-MIN(MIN(EE90*ANE89,LD90+OQ90),OQ90))),LD90)</f>
        <v>1270</v>
      </c>
      <c r="LF90" s="20" t="n">
        <f aca="false">IF(AND(H_Direct=1,EF90&gt;0),MAX(0,LE90-(MIN(EF90*ANF89,LE90+OR90)-MIN(MIN(EF90*ANF89,LE90+OR90),OR90))),LE90)</f>
        <v>1270</v>
      </c>
      <c r="LG90" s="20" t="n">
        <f aca="false">IF(AND(H_Direct=1,EG90&gt;0),MAX(0,LF90-(MIN(EG90*ANG89,LF90+OS90)-MIN(MIN(EG90*ANG89,LF90+OS90),OS90))),LF90)</f>
        <v>1270</v>
      </c>
      <c r="LH90" s="20" t="n">
        <f aca="false">IF(AND(H_Direct=1,EH90&gt;0),MAX(0,LG90-(MIN(EH90*ANH89,LG90+OT90)-MIN(MIN(EH90*ANH89,LG90+OT90),OT90))),LG90)</f>
        <v>1270</v>
      </c>
      <c r="LI90" s="20" t="n">
        <f aca="false">IF(AND(H_Direct=1,EI90&gt;0),MAX(0,LH90-(MIN(EI90*ANI89,LH90+OU90)-MIN(MIN(EI90*ANI89,LH90+OU90),OU90))),LH90)</f>
        <v>1270</v>
      </c>
      <c r="LJ90" s="20" t="n">
        <f aca="false">IF(AND(H_Direct=1,EJ90&gt;0),MAX(0,LI90-(MIN(EJ90*ANJ89,LI90+OV90)-MIN(MIN(EJ90*ANJ89,LI90+OV90),OV90))),LI90)</f>
        <v>1270</v>
      </c>
      <c r="LK90" s="20" t="n">
        <f aca="false">IF(AND(H_Direct=1,EK90&gt;0),MAX(0,LJ90-(MIN(EK90*ANK89,LJ90+OW90)-MIN(MIN(EK90*ANK89,LJ90+OW90),OW90))),LJ90)</f>
        <v>1270</v>
      </c>
      <c r="LL90" s="20" t="n">
        <f aca="false">IF(AND(H_Direct=1,EL90&gt;0),MAX(0,LK90-(MIN(EL90*ANL89,LK90+OX90)-MIN(MIN(EL90*ANL89,LK90+OX90),OX90))),LK90)</f>
        <v>1270</v>
      </c>
      <c r="LM90" s="20" t="n">
        <f aca="false">IF(AND(H_Direct=1,EM90&gt;0),MAX(0,LL90-(MIN(EM90*ANM89,LL90+OY90)-MIN(MIN(EM90*ANM89,LL90+OY90),OY90))),LL90)</f>
        <v>1270</v>
      </c>
      <c r="LN90" s="20" t="n">
        <f aca="false">IF(AND(H_Direct=1,EN90&gt;0),MAX(0,LM90-(MIN(EN90*ANN89,LM90+OZ90)-MIN(MIN(EN90*ANN89,LM90+OZ90),OZ90))),LM90)</f>
        <v>1270</v>
      </c>
      <c r="LO90" s="20" t="n">
        <f aca="false">IF(AND(H_Direct=1,EO90&gt;0),MAX(0,LN90-(MIN(EO90*ANO89,LN90+PA90)-MIN(MIN(EO90*ANO89,LN90+PA90),PA90))),LN90)</f>
        <v>1270</v>
      </c>
      <c r="LP90" s="20" t="n">
        <f aca="false">IF(AND(H_Direct=1,EP90&gt;0),MAX(0,LO90-(MIN(EP90*ANP89,LO90+PB90)-MIN(MIN(EP90*ANP89,LO90+PB90),PB90))),LO90)</f>
        <v>1270</v>
      </c>
      <c r="LQ90" s="20" t="n">
        <f aca="false">IF(AND(H_Direct=1,EQ90&gt;0),MAX(0,LP90-(MIN(EQ90*ANQ89,LP90+PC90)-MIN(MIN(EQ90*ANQ89,LP90+PC90),PC90))),LP90)</f>
        <v>1270</v>
      </c>
      <c r="LR90" s="20" t="n">
        <f aca="false">IF(AND(H_Direct=1,ER90&gt;0),MAX(0,LQ90-(MIN(ER90*ANR89,LQ90+PD90)-MIN(MIN(ER90*ANR89,LQ90+PD90),PD90))),LQ90)</f>
        <v>1270</v>
      </c>
      <c r="LS90" s="20" t="n">
        <f aca="false">IF(AND(H_Direct=1,ES90&gt;0),MAX(0,LR90-(MIN(ES90*ANS89,LR90+PE90)-MIN(MIN(ES90*ANS89,LR90+PE90),PE90))),LR90)</f>
        <v>1270</v>
      </c>
      <c r="LT90" s="20" t="n">
        <f aca="false">IF(AND(H_Direct=1,ET90&gt;0),MAX(0,LS90-(MIN(ET90*ANT89,LS90+PF90)-MIN(MIN(ET90*ANT89,LS90+PF90),PF90))),LS90)</f>
        <v>1270</v>
      </c>
      <c r="LU90" s="20" t="n">
        <f aca="false">IF(AND(H_Direct=1,EU90&gt;0),MAX(0,LT90-(MIN(EU90*ANU89,LT90+PG90)-MIN(MIN(EU90*ANU89,LT90+PG90),PG90))),LT90)</f>
        <v>1270</v>
      </c>
      <c r="LV90" s="20" t="n">
        <f aca="false">IF(AND(H_Direct=1,EV90&gt;0),MAX(0,LU90-(MIN(EV90*ANV89,LU90+PH90)-MIN(MIN(EV90*ANV89,LU90+PH90),PH90))),LU90)</f>
        <v>1270</v>
      </c>
      <c r="LW90" s="20" t="n">
        <f aca="false">IF(AND(H_Direct=1,EW90&gt;0),MAX(0,LV90-(MIN(EW90*(P90+S90),LV90+PI90)-MIN(MIN(EW90*(P90+S90),LV90+PI90),PI90))),LV90)</f>
        <v>1270</v>
      </c>
      <c r="LX90" s="20" t="n">
        <f aca="false">LW90</f>
        <v>1270</v>
      </c>
      <c r="LY90" s="20" t="n">
        <f aca="false">LX90</f>
        <v>1270</v>
      </c>
      <c r="LZ90" s="20" t="n">
        <f aca="false">LY90</f>
        <v>1270</v>
      </c>
      <c r="MA90" s="20" t="n">
        <f aca="false">LZ90</f>
        <v>1270</v>
      </c>
      <c r="MB90" s="20" t="n">
        <f aca="false">MA90</f>
        <v>1270</v>
      </c>
      <c r="MC90" s="20" t="n">
        <f aca="false">MB90</f>
        <v>1270</v>
      </c>
      <c r="MD90" s="20" t="n">
        <f aca="false">MC90</f>
        <v>1270</v>
      </c>
      <c r="ME90" s="20" t="n">
        <f aca="false">IF(H_Direct=1,IF(BR90&lt;=0,I90-BR90*AKR89,I90-MIN(MIN(BR90*AKR89,H90+I90),I90)),I90)</f>
        <v>0</v>
      </c>
      <c r="MF90" s="20" t="n">
        <f aca="false">IF(H_Direct=1,IF(BS90&lt;=0,ME90-BS90*AKS89,ME90-MIN(MIN(BS90*AKS89,IR90+ME90),ME90)),ME90)</f>
        <v>0</v>
      </c>
      <c r="MG90" s="20" t="n">
        <f aca="false">IF(H_Direct=1,IF(BT90&lt;=0,MF90-BT90*AKT89,MF90-MIN(MIN(BT90*AKT89,IS90+MF90),MF90)),MF90)</f>
        <v>0</v>
      </c>
      <c r="MH90" s="20" t="n">
        <f aca="false">IF(H_Direct=1,IF(BU90&lt;=0,MG90-BU90*AKU89,MG90-MIN(MIN(BU90*AKU89,IT90+MG90),MG90)),MG90)</f>
        <v>0</v>
      </c>
      <c r="MI90" s="20" t="n">
        <f aca="false">IF(H_Direct=1,IF(BV90&lt;=0,MH90-BV90*AKV89,MH90-MIN(MIN(BV90*AKV89,IU90+MH90),MH90)),MH90)</f>
        <v>0</v>
      </c>
      <c r="MJ90" s="20" t="n">
        <f aca="false">IF(H_Direct=1,IF(BW90&lt;=0,MI90-BW90*AKW89,MI90-MIN(MIN(BW90*AKW89,IV90+MI90),MI90)),MI90)</f>
        <v>0</v>
      </c>
      <c r="MK90" s="20" t="n">
        <f aca="false">IF(H_Direct=1,IF(BX90&lt;=0,MJ90-BX90*AKX89,MJ90-MIN(MIN(BX90*AKX89,IW90+MJ90),MJ90)),MJ90)</f>
        <v>0</v>
      </c>
      <c r="ML90" s="20" t="n">
        <f aca="false">IF(H_Direct=1,IF(BY90&lt;=0,MK90-BY90*AKY89,MK90-MIN(MIN(BY90*AKY89,IX90+MK90),MK90)),MK90)</f>
        <v>0</v>
      </c>
      <c r="MM90" s="20" t="n">
        <f aca="false">IF(H_Direct=1,IF(BZ90&lt;=0,ML90-BZ90*AKZ89,ML90-MIN(MIN(BZ90*AKZ89,IY90+ML90),ML90)),ML90)</f>
        <v>0</v>
      </c>
      <c r="MN90" s="20" t="n">
        <f aca="false">IF(H_Direct=1,IF(CA90&lt;=0,MM90-CA90*ALA89,MM90-MIN(MIN(CA90*ALA89,IZ90+MM90),MM90)),MM90)</f>
        <v>0</v>
      </c>
      <c r="MO90" s="20" t="n">
        <f aca="false">IF(H_Direct=1,IF(CB90&lt;=0,MN90-CB90*ALB89,MN90-MIN(MIN(CB90*ALB89,JA90+MN90),MN90)),MN90)</f>
        <v>0</v>
      </c>
      <c r="MP90" s="20" t="n">
        <f aca="false">IF(H_Direct=1,IF(CC90&lt;=0,MO90-CC90*ALC89,MO90-MIN(MIN(CC90*ALC89,JB90+MO90),MO90)),MO90)</f>
        <v>0</v>
      </c>
      <c r="MQ90" s="20" t="n">
        <f aca="false">IF(H_Direct=1,IF(CD90&lt;=0,MP90-CD90*ALD89,MP90-MIN(MIN(CD90*ALD89,JC90+MP90),MP90)),MP90)</f>
        <v>0</v>
      </c>
      <c r="MR90" s="20" t="n">
        <f aca="false">IF(H_Direct=1,IF(CE90&lt;=0,MQ90-CE90*ALE89,MQ90-MIN(MIN(CE90*ALE89,JD90+MQ90),MQ90)),MQ90)</f>
        <v>0</v>
      </c>
      <c r="MS90" s="20" t="n">
        <f aca="false">IF(H_Direct=1,IF(CF90&lt;=0,MR90-CF90*ALF89,MR90-MIN(MIN(CF90*ALF89,JE90+MR90),MR90)),MR90)</f>
        <v>0</v>
      </c>
      <c r="MT90" s="20" t="n">
        <f aca="false">IF(H_Direct=1,IF(CG90&lt;=0,MS90-CG90*ALG89,MS90-MIN(MIN(CG90*ALG89,JF90+MS90),MS90)),MS90)</f>
        <v>0</v>
      </c>
      <c r="MU90" s="20" t="n">
        <f aca="false">IF(H_Direct=1,IF(CH90&lt;=0,MT90-CH90*ALH89,MT90-MIN(MIN(CH90*ALH89,JG90+MT90),MT90)),MT90)</f>
        <v>0</v>
      </c>
      <c r="MV90" s="20" t="n">
        <f aca="false">IF(H_Direct=1,IF(CI90&lt;=0,MU90-CI90*ALI89,MU90-MIN(MIN(CI90*ALI89,JH90+MU90),MU90)),MU90)</f>
        <v>0</v>
      </c>
      <c r="MW90" s="20" t="n">
        <f aca="false">IF(H_Direct=1,IF(CJ90&lt;=0,MV90-CJ90*ALJ89,MV90-MIN(MIN(CJ90*ALJ89,JI90+MV90),MV90)),MV90)</f>
        <v>0</v>
      </c>
      <c r="MX90" s="20" t="n">
        <f aca="false">IF(H_Direct=1,IF(CK90&lt;=0,MW90-CK90*ALK89,MW90-MIN(MIN(CK90*ALK89,JJ90+MW90),MW90)),MW90)</f>
        <v>0</v>
      </c>
      <c r="MY90" s="20" t="n">
        <f aca="false">IF(H_Direct=1,IF(CL90&lt;=0,MX90-CL90*ALL89,MX90-MIN(MIN(CL90*ALL89,JK90+MX90),MX90)),MX90)</f>
        <v>0</v>
      </c>
      <c r="MZ90" s="20" t="n">
        <f aca="false">IF(H_Direct=1,IF(CM90&lt;=0,MY90-CM90*ALM89,MY90-MIN(MIN(CM90*ALM89,JL90+MY90),MY90)),MY90)</f>
        <v>0</v>
      </c>
      <c r="NA90" s="20" t="n">
        <f aca="false">IF(H_Direct=1,IF(CN90&lt;=0,MZ90-CN90*ALN89,MZ90-MIN(MIN(CN90*ALN89,JM90+MZ90),MZ90)),MZ90)</f>
        <v>0</v>
      </c>
      <c r="NB90" s="20" t="n">
        <f aca="false">IF(H_Direct=1,IF(CO90&lt;=0,NA90-CO90*ALO89,NA90-MIN(MIN(CO90*ALO89,JN90+NA90),NA90)),NA90)</f>
        <v>0</v>
      </c>
      <c r="NC90" s="20" t="n">
        <f aca="false">IF(H_Direct=1,IF(CP90&lt;=0,NB90-CP90*ALP89,NB90-MIN(MIN(CP90*ALP89,JO90+NB90),NB90)),NB90)</f>
        <v>0</v>
      </c>
      <c r="ND90" s="20" t="n">
        <f aca="false">IF(H_Direct=1,IF(CQ90&lt;=0,NC90-CQ90*ALQ89,NC90-MIN(MIN(CQ90*ALQ89,JP90+NC90),NC90)),NC90)</f>
        <v>0</v>
      </c>
      <c r="NE90" s="20" t="n">
        <f aca="false">IF(H_Direct=1,IF(CR90&lt;=0,ND90-CR90*ALR89,ND90-MIN(MIN(CR90*ALR89,JQ90+ND90),ND90)),ND90)</f>
        <v>0</v>
      </c>
      <c r="NF90" s="20" t="n">
        <f aca="false">IF(H_Direct=1,IF(CS90&lt;=0,NE90-CS90*ALS89,NE90-MIN(MIN(CS90*ALS89,JR90+NE90),NE90)),NE90)</f>
        <v>0</v>
      </c>
      <c r="NG90" s="20" t="n">
        <f aca="false">IF(H_Direct=1,IF(CT90&lt;=0,NF90-CT90*ALT89,NF90-MIN(MIN(CT90*ALT89,JS90+NF90),NF90)),NF90)</f>
        <v>0</v>
      </c>
      <c r="NH90" s="20" t="n">
        <f aca="false">IF(H_Direct=1,IF(CU90&lt;=0,NG90-CU90*ALU89,NG90-MIN(MIN(CU90*ALU89,JT90+NG90),NG90)),NG90)</f>
        <v>0</v>
      </c>
      <c r="NI90" s="20" t="n">
        <f aca="false">IF(H_Direct=1,IF(CV90&lt;=0,NH90-CV90*ALV89,NH90-MIN(MIN(CV90*ALV89,JU90+NH90),NH90)),NH90)</f>
        <v>0</v>
      </c>
      <c r="NJ90" s="20" t="n">
        <f aca="false">IF(H_Direct=1,IF(CW90&lt;=0,NI90-CW90*ALW89,NI90-MIN(MIN(CW90*ALW89,JV90+NI90),NI90)),NI90)</f>
        <v>0</v>
      </c>
      <c r="NK90" s="20" t="n">
        <f aca="false">IF(H_Direct=1,IF(CX90&lt;=0,NJ90-CX90*ALX89,NJ90-MIN(MIN(CX90*ALX89,JW90+NJ90),NJ90)),NJ90)</f>
        <v>0</v>
      </c>
      <c r="NL90" s="20" t="n">
        <f aca="false">IF(H_Direct=1,IF(CY90&lt;=0,NK90-CY90*ALY89,NK90-MIN(MIN(CY90*ALY89,JX90+NK90),NK90)),NK90)</f>
        <v>0</v>
      </c>
      <c r="NM90" s="20" t="n">
        <f aca="false">IF(H_Direct=1,IF(CZ90&lt;=0,NL90-CZ90*ALZ89,NL90-MIN(MIN(CZ90*ALZ89,JY90+NL90),NL90)),NL90)</f>
        <v>0</v>
      </c>
      <c r="NN90" s="20" t="n">
        <f aca="false">IF(H_Direct=1,IF(DA90&lt;=0,NM90-DA90*AMA89,NM90-MIN(MIN(DA90*AMA89,JZ90+NM90),NM90)),NM90)</f>
        <v>0</v>
      </c>
      <c r="NO90" s="20" t="n">
        <f aca="false">IF(H_Direct=1,IF(DB90&lt;=0,NN90-DB90*AMB89,NN90-MIN(MIN(DB90*AMB89,KA90+NN90),NN90)),NN90)</f>
        <v>0</v>
      </c>
      <c r="NP90" s="20" t="n">
        <f aca="false">IF(H_Direct=1,IF(DC90&lt;=0,NO90-DC90*AMC89,NO90-MIN(MIN(DC90*AMC89,KB90+NO90),NO90)),NO90)</f>
        <v>0</v>
      </c>
      <c r="NQ90" s="20" t="n">
        <f aca="false">IF(H_Direct=1,IF(DD90&lt;=0,NP90-DD90*AMD89,NP90-MIN(MIN(DD90*AMD89,KC90+NP90),NP90)),NP90)</f>
        <v>0</v>
      </c>
      <c r="NR90" s="20" t="n">
        <f aca="false">IF(H_Direct=1,IF(DE90&lt;=0,NQ90-DE90*AME89,NQ90-MIN(MIN(DE90*AME89,KD90+NQ90),NQ90)),NQ90)</f>
        <v>0</v>
      </c>
      <c r="NS90" s="20" t="n">
        <f aca="false">IF(H_Direct=1,IF(DF90&lt;=0,NR90-DF90*AMF89,NR90-MIN(MIN(DF90*AMF89,KE90+NR90),NR90)),NR90)</f>
        <v>0</v>
      </c>
      <c r="NT90" s="20" t="n">
        <f aca="false">IF(H_Direct=1,IF(DG90&lt;=0,NS90-DG90*AMG89,NS90-MIN(MIN(DG90*AMG89,KF90+NS90),NS90)),NS90)</f>
        <v>0</v>
      </c>
      <c r="NU90" s="20" t="n">
        <f aca="false">IF(H_Direct=1,IF(DH90&lt;=0,NT90-DH90*AMH89,NT90-MIN(MIN(DH90*AMH89,KG90+NT90),NT90)),NT90)</f>
        <v>0</v>
      </c>
      <c r="NV90" s="20" t="n">
        <f aca="false">IF(H_Direct=1,IF(DI90&lt;=0,NU90-DI90*AMI89,NU90-MIN(MIN(DI90*AMI89,KH90+NU90),NU90)),NU90)</f>
        <v>0</v>
      </c>
      <c r="NW90" s="20" t="n">
        <f aca="false">IF(H_Direct=1,IF(DJ90&lt;=0,NV90-DJ90*AMJ89,NV90-MIN(MIN(DJ90*AMJ89,KI90+NV90),NV90)),NV90)</f>
        <v>0</v>
      </c>
      <c r="NX90" s="20" t="n">
        <f aca="false">IF(H_Direct=1,IF(DK90&lt;=0,NW90-DK90*AMK89,NW90-MIN(MIN(DK90*AMK89,KJ90+NW90),NW90)),NW90)</f>
        <v>0</v>
      </c>
      <c r="NY90" s="20" t="n">
        <f aca="false">IF(H_Direct=1,IF(DL90&lt;=0,NX90-DL90*AML89,NX90-MIN(MIN(DL90*AML89,KK90+NX90),NX90)),NX90)</f>
        <v>0</v>
      </c>
      <c r="NZ90" s="20" t="n">
        <f aca="false">IF(H_Direct=1,IF(DM90&lt;=0,NY90-DM90*AMM89,NY90-MIN(MIN(DM90*AMM89,KL90+NY90),NY90)),NY90)</f>
        <v>0</v>
      </c>
      <c r="OA90" s="20" t="n">
        <f aca="false">IF(H_Direct=1,IF(DN90&lt;=0,NZ90-DN90*AMN89,NZ90-MIN(MIN(DN90*AMN89,KM90+NZ90),NZ90)),NZ90)</f>
        <v>0</v>
      </c>
      <c r="OB90" s="20" t="n">
        <f aca="false">IF(H_Direct=1,IF(DO90&lt;=0,OA90-DO90*AMO89,OA90-MIN(MIN(DO90*AMO89,KN90+OA90),OA90)),OA90)</f>
        <v>0</v>
      </c>
      <c r="OC90" s="20" t="n">
        <f aca="false">IF(H_Direct=1,IF(DP90&lt;=0,OB90-DP90*AMP89,OB90-MIN(MIN(DP90*AMP89,KO90+OB90),OB90)),OB90)</f>
        <v>0</v>
      </c>
      <c r="OD90" s="20" t="n">
        <f aca="false">IF(H_Direct=1,IF(DQ90&lt;=0,OC90-DQ90*AMQ89,OC90-MIN(MIN(DQ90*AMQ89,KP90+OC90),OC90)),OC90)</f>
        <v>0</v>
      </c>
      <c r="OE90" s="20" t="n">
        <f aca="false">IF(H_Direct=1,IF(DR90&lt;=0,OD90-DR90*AMR89,OD90-MIN(MIN(DR90*AMR89,KQ90+OD90),OD90)),OD90)</f>
        <v>0</v>
      </c>
      <c r="OF90" s="20" t="n">
        <f aca="false">IF(H_Direct=1,IF(DS90&lt;=0,OE90-DS90*AMS89,OE90-MIN(MIN(DS90*AMS89,KR90+OE90),OE90)),OE90)</f>
        <v>0</v>
      </c>
      <c r="OG90" s="20" t="n">
        <f aca="false">IF(H_Direct=1,IF(DT90&lt;=0,OF90-DT90*AMT89,OF90-MIN(MIN(DT90*AMT89,KS90+OF90),OF90)),OF90)</f>
        <v>0</v>
      </c>
      <c r="OH90" s="20" t="n">
        <f aca="false">IF(H_Direct=1,IF(DU90&lt;=0,OG90-DU90*AMU89,OG90-MIN(MIN(DU90*AMU89,KT90+OG90),OG90)),OG90)</f>
        <v>0</v>
      </c>
      <c r="OI90" s="20" t="n">
        <f aca="false">IF(H_Direct=1,IF(DV90&lt;=0,OH90-DV90*AMV89,OH90-MIN(MIN(DV90*AMV89,KU90+OH90),OH90)),OH90)</f>
        <v>0</v>
      </c>
      <c r="OJ90" s="20" t="n">
        <f aca="false">IF(H_Direct=1,IF(DW90&lt;=0,OI90-DW90*AMW89,OI90-MIN(MIN(DW90*AMW89,KV90+OI90),OI90)),OI90)</f>
        <v>0</v>
      </c>
      <c r="OK90" s="20" t="n">
        <f aca="false">IF(H_Direct=1,IF(DX90&lt;=0,OJ90-DX90*AMX89,OJ90-MIN(MIN(DX90*AMX89,KW90+OJ90),OJ90)),OJ90)</f>
        <v>0</v>
      </c>
      <c r="OL90" s="20" t="n">
        <f aca="false">IF(H_Direct=1,IF(DY90&lt;=0,OK90-DY90*AMY89,OK90-MIN(MIN(DY90*AMY89,KX90+OK90),OK90)),OK90)</f>
        <v>0</v>
      </c>
      <c r="OM90" s="20" t="n">
        <f aca="false">IF(H_Direct=1,IF(DZ90&lt;=0,OL90-DZ90*AMZ89,OL90-MIN(MIN(DZ90*AMZ89,KY90+OL90),OL90)),OL90)</f>
        <v>0</v>
      </c>
      <c r="ON90" s="20" t="n">
        <f aca="false">IF(H_Direct=1,IF(EA90&lt;=0,OM90-EA90*ANA89,OM90-MIN(MIN(EA90*ANA89,KZ90+OM90),OM90)),OM90)</f>
        <v>0</v>
      </c>
      <c r="OO90" s="20" t="n">
        <f aca="false">IF(H_Direct=1,IF(EB90&lt;=0,ON90-EB90*ANB89,ON90-MIN(MIN(EB90*ANB89,LA90+ON90),ON90)),ON90)</f>
        <v>0</v>
      </c>
      <c r="OP90" s="20" t="n">
        <f aca="false">IF(H_Direct=1,IF(EC90&lt;=0,OO90-EC90*ANC89,OO90-MIN(MIN(EC90*ANC89,LB90+OO90),OO90)),OO90)</f>
        <v>0</v>
      </c>
      <c r="OQ90" s="20" t="n">
        <f aca="false">IF(H_Direct=1,IF(ED90&lt;=0,OP90-ED90*AND89,OP90-MIN(MIN(ED90*AND89,LC90+OP90),OP90)),OP90)</f>
        <v>0</v>
      </c>
      <c r="OR90" s="20" t="n">
        <f aca="false">IF(H_Direct=1,IF(EE90&lt;=0,OQ90-EE90*ANE89,OQ90-MIN(MIN(EE90*ANE89,LD90+OQ90),OQ90)),OQ90)</f>
        <v>0</v>
      </c>
      <c r="OS90" s="20" t="n">
        <f aca="false">IF(H_Direct=1,IF(EF90&lt;=0,OR90-EF90*ANF89,OR90-MIN(MIN(EF90*ANF89,LE90+OR90),OR90)),OR90)</f>
        <v>0</v>
      </c>
      <c r="OT90" s="20" t="n">
        <f aca="false">IF(H_Direct=1,IF(EG90&lt;=0,OS90-EG90*ANG89,OS90-MIN(MIN(EG90*ANG89,LF90+OS90),OS90)),OS90)</f>
        <v>0</v>
      </c>
      <c r="OU90" s="20" t="n">
        <f aca="false">IF(H_Direct=1,IF(EH90&lt;=0,OT90-EH90*ANH89,OT90-MIN(MIN(EH90*ANH89,LG90+OT90),OT90)),OT90)</f>
        <v>0</v>
      </c>
      <c r="OV90" s="20" t="n">
        <f aca="false">IF(H_Direct=1,IF(EI90&lt;=0,OU90-EI90*ANI89,OU90-MIN(MIN(EI90*ANI89,LH90+OU90),OU90)),OU90)</f>
        <v>0</v>
      </c>
      <c r="OW90" s="20" t="n">
        <f aca="false">IF(H_Direct=1,IF(EJ90&lt;=0,OV90-EJ90*ANJ89,OV90-MIN(MIN(EJ90*ANJ89,LI90+OV90),OV90)),OV90)</f>
        <v>0</v>
      </c>
      <c r="OX90" s="20" t="n">
        <f aca="false">IF(H_Direct=1,IF(EK90&lt;=0,OW90-EK90*ANK89,OW90-MIN(MIN(EK90*ANK89,LJ90+OW90),OW90)),OW90)</f>
        <v>0</v>
      </c>
      <c r="OY90" s="20" t="n">
        <f aca="false">IF(H_Direct=1,IF(EL90&lt;=0,OX90-EL90*ANL89,OX90-MIN(MIN(EL90*ANL89,LK90+OX90),OX90)),OX90)</f>
        <v>0</v>
      </c>
      <c r="OZ90" s="20" t="n">
        <f aca="false">IF(H_Direct=1,IF(EM90&lt;=0,OY90-EM90*ANM89,OY90-MIN(MIN(EM90*ANM89,LL90+OY90),OY90)),OY90)</f>
        <v>0</v>
      </c>
      <c r="PA90" s="20" t="n">
        <f aca="false">IF(H_Direct=1,IF(EN90&lt;=0,OZ90-EN90*ANN89,OZ90-MIN(MIN(EN90*ANN89,LM90+OZ90),OZ90)),OZ90)</f>
        <v>0</v>
      </c>
      <c r="PB90" s="20" t="n">
        <f aca="false">IF(H_Direct=1,IF(EO90&lt;=0,PA90-EO90*ANO89,PA90-MIN(MIN(EO90*ANO89,LN90+PA90),PA90)),PA90)</f>
        <v>0</v>
      </c>
      <c r="PC90" s="20" t="n">
        <f aca="false">IF(H_Direct=1,IF(EP90&lt;=0,PB90-EP90*ANP89,PB90-MIN(MIN(EP90*ANP89,LO90+PB90),PB90)),PB90)</f>
        <v>0</v>
      </c>
      <c r="PD90" s="20" t="n">
        <f aca="false">IF(H_Direct=1,IF(EQ90&lt;=0,PC90-EQ90*ANQ89,PC90-MIN(MIN(EQ90*ANQ89,LP90+PC90),PC90)),PC90)</f>
        <v>0</v>
      </c>
      <c r="PE90" s="20" t="n">
        <f aca="false">IF(H_Direct=1,IF(ER90&lt;=0,PD90-ER90*ANR89,PD90-MIN(MIN(ER90*ANR89,LQ90+PD90),PD90)),PD90)</f>
        <v>0</v>
      </c>
      <c r="PF90" s="20" t="n">
        <f aca="false">IF(H_Direct=1,IF(ES90&lt;=0,PE90-ES90*ANS89,PE90-MIN(MIN(ES90*ANS89,LR90+PE90),PE90)),PE90)</f>
        <v>0</v>
      </c>
      <c r="PG90" s="20" t="n">
        <f aca="false">IF(H_Direct=1,IF(ET90&lt;=0,PF90-ET90*ANT89,PF90-MIN(MIN(ET90*ANT89,LS90+PF90),PF90)),PF90)</f>
        <v>0</v>
      </c>
      <c r="PH90" s="20" t="n">
        <f aca="false">IF(H_Direct=1,IF(EU90&lt;=0,PG90-EU90*ANU89,PG90-MIN(MIN(EU90*ANU89,LT90+PG90),PG90)),PG90)</f>
        <v>0</v>
      </c>
      <c r="PI90" s="20" t="n">
        <f aca="false">IF(H_Direct=1,IF(EV90&lt;=0,PH90-EV90*ANV89,PH90-MIN(MIN(EV90*ANV89,LU90+PH90),PH90)),PH90)</f>
        <v>0</v>
      </c>
      <c r="PJ90" s="20" t="n">
        <f aca="false">IF(H_Direct=1,IF(EW90&lt;=0,PI90-EW90*(P90+S90),PI90-MIN(MIN(EW90*(P90+S90),LV90+PI90),PI90)),PI90)</f>
        <v>0</v>
      </c>
      <c r="PK90" s="20" t="n">
        <f aca="false">PJ90</f>
        <v>0</v>
      </c>
      <c r="PL90" s="20" t="n">
        <f aca="false">PK90</f>
        <v>0</v>
      </c>
      <c r="PM90" s="20" t="n">
        <f aca="false">PL90</f>
        <v>0</v>
      </c>
      <c r="PN90" s="20" t="n">
        <f aca="false">PM90</f>
        <v>0</v>
      </c>
      <c r="PO90" s="20" t="n">
        <f aca="false">PN90</f>
        <v>0</v>
      </c>
      <c r="PP90" s="20" t="n">
        <f aca="false">PO90</f>
        <v>0</v>
      </c>
      <c r="PQ90" s="20" t="n">
        <f aca="false">PP90</f>
        <v>0</v>
      </c>
      <c r="PR90" s="20" t="n">
        <f aca="false">IF(H_Direct=1,IF(AKR89&lt;=0,0,IF(BR90&lt;=0,MIN(MAX(0,AB90),AKR89),MIN(MAX(0,AB90),AKR89-G90*MAX(0,BR90*AKR89-(H90+I90))))),MIN(FE90,MAX(0,AB90)))</f>
        <v>0</v>
      </c>
      <c r="PS90" s="20" t="n">
        <f aca="false">IF(H_Direct=1,IF(AKS89&lt;=0,0,IF(BS90&lt;=0,MIN(MAX(0,AB90-SUM(PR90:PR90)),AKS89),MIN(MAX(0,AB90-SUM(PR90:PR90)),AKS89-G90*MAX(0,BS90*AKS89-(WR90+AAE90))))),MIN(FF90,MAX(0,AB90-SUM(PR90:PR90))))</f>
        <v>0</v>
      </c>
      <c r="PT90" s="20" t="n">
        <f aca="false">IF(H_Direct=1,IF(AKT89&lt;=0,0,IF(BT90&lt;=0,MIN(MAX(0,AB90-SUM(PR90:PS90)),AKT89),MIN(MAX(0,AB90-SUM(PR90:PS90)),AKT89-G90*MAX(0,BT90*AKT89-(WS90+AAF90))))),MIN(FG90,MAX(0,AB90-SUM(PR90:PS90))))</f>
        <v>0</v>
      </c>
      <c r="PU90" s="20" t="n">
        <f aca="false">IF(H_Direct=1,IF(AKU89&lt;=0,0,IF(BU90&lt;=0,MIN(MAX(0,AB90-SUM(PR90:PT90)),AKU89),MIN(MAX(0,AB90-SUM(PR90:PT90)),AKU89-G90*MAX(0,BU90*AKU89-(WT90+AAG90))))),MIN(FH90,MAX(0,AB90-SUM(PR90:PT90))))</f>
        <v>0</v>
      </c>
      <c r="PV90" s="20" t="n">
        <f aca="false">IF(H_Direct=1,IF(AKV89&lt;=0,0,IF(BV90&lt;=0,MIN(MAX(0,AB90-SUM(PR90:PU90)),AKV89),MIN(MAX(0,AB90-SUM(PR90:PU90)),AKV89-G90*MAX(0,BV90*AKV89-(WU90+AAH90))))),MIN(FI90,MAX(0,AB90-SUM(PR90:PU90))))</f>
        <v>0</v>
      </c>
      <c r="PW90" s="20" t="n">
        <f aca="false">IF(H_Direct=1,IF(AKW89&lt;=0,0,IF(BW90&lt;=0,MIN(MAX(0,AB90-SUM(PR90:PV90)),AKW89),MIN(MAX(0,AB90-SUM(PR90:PV90)),AKW89-G90*MAX(0,BW90*AKW89-(WV90+AAI90))))),MIN(FJ90,MAX(0,AB90-SUM(PR90:PV90))))</f>
        <v>0</v>
      </c>
      <c r="PX90" s="20" t="n">
        <f aca="false">IF(H_Direct=1,IF(AKX89&lt;=0,0,IF(BX90&lt;=0,MIN(MAX(0,AB90-SUM(PR90:PW90)),AKX89),MIN(MAX(0,AB90-SUM(PR90:PW90)),AKX89-G90*MAX(0,BX90*AKX89-(WW90+AAJ90))))),MIN(FK90,MAX(0,AB90-SUM(PR90:PW90))))</f>
        <v>0</v>
      </c>
      <c r="PY90" s="20" t="n">
        <f aca="false">IF(H_Direct=1,IF(AKY89&lt;=0,0,IF(BY90&lt;=0,MIN(MAX(0,AB90-SUM(PR90:PX90)),AKY89),MIN(MAX(0,AB90-SUM(PR90:PX90)),AKY89-G90*MAX(0,BY90*AKY89-(WX90+AAK90))))),MIN(FL90,MAX(0,AB90-SUM(PR90:PX90))))</f>
        <v>0</v>
      </c>
      <c r="PZ90" s="20" t="n">
        <f aca="false">IF(H_Direct=1,IF(AKZ89&lt;=0,0,IF(BZ90&lt;=0,MIN(MAX(0,AB90-SUM(PR90:PY90)),AKZ89),MIN(MAX(0,AB90-SUM(PR90:PY90)),AKZ89-G90*MAX(0,BZ90*AKZ89-(WY90+AAL90))))),MIN(FM90,MAX(0,AB90-SUM(PR90:PY90))))</f>
        <v>0</v>
      </c>
      <c r="QA90" s="20" t="n">
        <f aca="false">IF(H_Direct=1,IF(ALA89&lt;=0,0,IF(CA90&lt;=0,MIN(MAX(0,AB90-SUM(PR90:PZ90)),ALA89),MIN(MAX(0,AB90-SUM(PR90:PZ90)),ALA89-G90*MAX(0,CA90*ALA89-(WZ90+AAM90))))),MIN(FN90,MAX(0,AB90-SUM(PR90:PZ90))))</f>
        <v>0</v>
      </c>
      <c r="QB90" s="20" t="n">
        <f aca="false">IF(H_Direct=1,IF(ALB89&lt;=0,0,IF(CB90&lt;=0,MIN(MAX(0,AB90-SUM(PR90:QA90)),ALB89),MIN(MAX(0,AB90-SUM(PR90:QA90)),ALB89-G90*MAX(0,CB90*ALB89-(XA90+AAN90))))),MIN(FO90,MAX(0,AB90-SUM(PR90:QA90))))</f>
        <v>0</v>
      </c>
      <c r="QC90" s="20" t="n">
        <f aca="false">IF(H_Direct=1,IF(ALC89&lt;=0,0,IF(CC90&lt;=0,MIN(MAX(0,AB90-SUM(PR90:QB90)),ALC89),MIN(MAX(0,AB90-SUM(PR90:QB90)),ALC89-G90*MAX(0,CC90*ALC89-(XB90+AAO90))))),MIN(FP90,MAX(0,AB90-SUM(PR90:QB90))))</f>
        <v>0</v>
      </c>
      <c r="QD90" s="20" t="n">
        <f aca="false">IF(H_Direct=1,IF(ALD89&lt;=0,0,IF(CD90&lt;=0,MIN(MAX(0,AB90-SUM(PR90:QC90)),ALD89),MIN(MAX(0,AB90-SUM(PR90:QC90)),ALD89-G90*MAX(0,CD90*ALD89-(XC90+AAP90))))),MIN(FQ90,MAX(0,AB90-SUM(PR90:QC90))))</f>
        <v>0</v>
      </c>
      <c r="QE90" s="20" t="n">
        <f aca="false">IF(H_Direct=1,IF(ALE89&lt;=0,0,IF(CE90&lt;=0,MIN(MAX(0,AB90-SUM(PR90:QD90)),ALE89),MIN(MAX(0,AB90-SUM(PR90:QD90)),ALE89-G90*MAX(0,CE90*ALE89-(XD90+AAQ90))))),MIN(FR90,MAX(0,AB90-SUM(PR90:QD90))))</f>
        <v>0</v>
      </c>
      <c r="QF90" s="20" t="n">
        <f aca="false">IF(H_Direct=1,IF(ALF89&lt;=0,0,IF(CF90&lt;=0,MIN(MAX(0,AB90-SUM(PR90:QE90)),ALF89),MIN(MAX(0,AB90-SUM(PR90:QE90)),ALF89-G90*MAX(0,CF90*ALF89-(XE90+AAR90))))),MIN(FS90,MAX(0,AB90-SUM(PR90:QE90))))</f>
        <v>0</v>
      </c>
      <c r="QG90" s="20" t="n">
        <f aca="false">IF(H_Direct=1,IF(ALG89&lt;=0,0,IF(CG90&lt;=0,MIN(MAX(0,AB90-SUM(PR90:QF90)),ALG89),MIN(MAX(0,AB90-SUM(PR90:QF90)),ALG89-G90*MAX(0,CG90*ALG89-(XF90+AAS90))))),MIN(FT90,MAX(0,AB90-SUM(PR90:QF90))))</f>
        <v>0</v>
      </c>
      <c r="QH90" s="20" t="n">
        <f aca="false">IF(H_Direct=1,IF(ALH89&lt;=0,0,IF(CH90&lt;=0,MIN(MAX(0,AB90-SUM(PR90:QG90)),ALH89),MIN(MAX(0,AB90-SUM(PR90:QG90)),ALH89-G90*MAX(0,CH90*ALH89-(XG90+AAT90))))),MIN(FU90,MAX(0,AB90-SUM(PR90:QG90))))</f>
        <v>0</v>
      </c>
      <c r="QI90" s="20" t="n">
        <f aca="false">IF(H_Direct=1,IF(ALI89&lt;=0,0,IF(CI90&lt;=0,MIN(MAX(0,AB90-SUM(PR90:QH90)),ALI89),MIN(MAX(0,AB90-SUM(PR90:QH90)),ALI89-G90*MAX(0,CI90*ALI89-(XH90+AAU90))))),MIN(FV90,MAX(0,AB90-SUM(PR90:QH90))))</f>
        <v>0</v>
      </c>
      <c r="QJ90" s="20" t="n">
        <f aca="false">IF(H_Direct=1,IF(ALJ89&lt;=0,0,IF(CJ90&lt;=0,MIN(MAX(0,AB90-SUM(PR90:QI90)),ALJ89),MIN(MAX(0,AB90-SUM(PR90:QI90)),ALJ89-G90*MAX(0,CJ90*ALJ89-(XI90+AAV90))))),MIN(FW90,MAX(0,AB90-SUM(PR90:QI90))))</f>
        <v>0</v>
      </c>
      <c r="QK90" s="20" t="n">
        <f aca="false">IF(H_Direct=1,IF(ALK89&lt;=0,0,IF(CK90&lt;=0,MIN(MAX(0,AB90-SUM(PR90:QJ90)),ALK89),MIN(MAX(0,AB90-SUM(PR90:QJ90)),ALK89-G90*MAX(0,CK90*ALK89-(XJ90+AAW90))))),MIN(FX90,MAX(0,AB90-SUM(PR90:QJ90))))</f>
        <v>0</v>
      </c>
      <c r="QL90" s="20" t="n">
        <f aca="false">IF(H_Direct=1,IF(ALL89&lt;=0,0,IF(CL90&lt;=0,MIN(MAX(0,AB90-SUM(PR90:QK90)),ALL89),MIN(MAX(0,AB90-SUM(PR90:QK90)),ALL89-G90*MAX(0,CL90*ALL89-(XK90+AAX90))))),MIN(FY90,MAX(0,AB90-SUM(PR90:QK90))))</f>
        <v>0</v>
      </c>
      <c r="QM90" s="20" t="n">
        <f aca="false">IF(H_Direct=1,IF(ALM89&lt;=0,0,IF(CM90&lt;=0,MIN(MAX(0,AB90-SUM(PR90:QL90)),ALM89),MIN(MAX(0,AB90-SUM(PR90:QL90)),ALM89-G90*MAX(0,CM90*ALM89-(XL90+AAY90))))),MIN(FZ90,MAX(0,AB90-SUM(PR90:QL90))))</f>
        <v>0</v>
      </c>
      <c r="QN90" s="20" t="n">
        <f aca="false">IF(H_Direct=1,IF(ALN89&lt;=0,0,IF(CN90&lt;=0,MIN(MAX(0,AB90-SUM(PR90:QM90)),ALN89),MIN(MAX(0,AB90-SUM(PR90:QM90)),ALN89-G90*MAX(0,CN90*ALN89-(XM90+AAZ90))))),MIN(GA90,MAX(0,AB90-SUM(PR90:QM90))))</f>
        <v>0</v>
      </c>
      <c r="QO90" s="20" t="n">
        <f aca="false">IF(H_Direct=1,IF(ALO89&lt;=0,0,IF(CO90&lt;=0,MIN(MAX(0,AB90-SUM(PR90:QN90)),ALO89),MIN(MAX(0,AB90-SUM(PR90:QN90)),ALO89-G90*MAX(0,CO90*ALO89-(XN90+ABA90))))),MIN(GB90,MAX(0,AB90-SUM(PR90:QN90))))</f>
        <v>0</v>
      </c>
      <c r="QP90" s="20" t="n">
        <f aca="false">IF(H_Direct=1,IF(ALP89&lt;=0,0,IF(CP90&lt;=0,MIN(MAX(0,AB90-SUM(PR90:QO90)),ALP89),MIN(MAX(0,AB90-SUM(PR90:QO90)),ALP89-G90*MAX(0,CP90*ALP89-(XO90+ABB90))))),MIN(GC90,MAX(0,AB90-SUM(PR90:QO90))))</f>
        <v>0</v>
      </c>
      <c r="QQ90" s="20" t="n">
        <f aca="false">IF(H_Direct=1,IF(ALQ89&lt;=0,0,IF(CQ90&lt;=0,MIN(MAX(0,AB90-SUM(PR90:QP90)),ALQ89),MIN(MAX(0,AB90-SUM(PR90:QP90)),ALQ89-G90*MAX(0,CQ90*ALQ89-(XP90+ABC90))))),MIN(GD90,MAX(0,AB90-SUM(PR90:QP90))))</f>
        <v>0</v>
      </c>
      <c r="QR90" s="20" t="n">
        <f aca="false">IF(H_Direct=1,IF(ALR89&lt;=0,0,IF(CR90&lt;=0,MIN(MAX(0,AB90-SUM(PR90:QQ90)),ALR89),MIN(MAX(0,AB90-SUM(PR90:QQ90)),ALR89-G90*MAX(0,CR90*ALR89-(XQ90+ABD90))))),MIN(GE90,MAX(0,AB90-SUM(PR90:QQ90))))</f>
        <v>0</v>
      </c>
      <c r="QS90" s="20" t="n">
        <f aca="false">IF(H_Direct=1,IF(ALS89&lt;=0,0,IF(CS90&lt;=0,MIN(MAX(0,AB90-SUM(PR90:QR90)),ALS89),MIN(MAX(0,AB90-SUM(PR90:QR90)),ALS89-G90*MAX(0,CS90*ALS89-(XR90+ABE90))))),MIN(GF90,MAX(0,AB90-SUM(PR90:QR90))))</f>
        <v>0</v>
      </c>
      <c r="QT90" s="20" t="n">
        <f aca="false">IF(H_Direct=1,IF(ALT89&lt;=0,0,IF(CT90&lt;=0,MIN(MAX(0,AB90-SUM(PR90:QS90)),ALT89),MIN(MAX(0,AB90-SUM(PR90:QS90)),ALT89-G90*MAX(0,CT90*ALT89-(XS90+ABF90))))),MIN(GG90,MAX(0,AB90-SUM(PR90:QS90))))</f>
        <v>0</v>
      </c>
      <c r="QU90" s="20" t="n">
        <f aca="false">IF(H_Direct=1,IF(ALU89&lt;=0,0,IF(CU90&lt;=0,MIN(MAX(0,AB90-SUM(PR90:QT90)),ALU89),MIN(MAX(0,AB90-SUM(PR90:QT90)),ALU89-G90*MAX(0,CU90*ALU89-(XT90+ABG90))))),MIN(GH90,MAX(0,AB90-SUM(PR90:QT90))))</f>
        <v>0</v>
      </c>
      <c r="QV90" s="20" t="n">
        <f aca="false">IF(H_Direct=1,IF(ALV89&lt;=0,0,IF(CV90&lt;=0,MIN(MAX(0,AB90-SUM(PR90:QU90)),ALV89),MIN(MAX(0,AB90-SUM(PR90:QU90)),ALV89-G90*MAX(0,CV90*ALV89-(XU90+ABH90))))),MIN(GI90,MAX(0,AB90-SUM(PR90:QU90))))</f>
        <v>0</v>
      </c>
      <c r="QW90" s="20" t="n">
        <f aca="false">IF(H_Direct=1,IF(ALW89&lt;=0,0,IF(CW90&lt;=0,MIN(MAX(0,AB90-SUM(PR90:QV90)),ALW89),MIN(MAX(0,AB90-SUM(PR90:QV90)),ALW89-G90*MAX(0,CW90*ALW89-(XV90+ABI90))))),MIN(GJ90,MAX(0,AB90-SUM(PR90:QV90))))</f>
        <v>0</v>
      </c>
      <c r="QX90" s="20" t="n">
        <f aca="false">IF(H_Direct=1,IF(ALX89&lt;=0,0,IF(CX90&lt;=0,MIN(MAX(0,AB90-SUM(PR90:QW90)),ALX89),MIN(MAX(0,AB90-SUM(PR90:QW90)),ALX89-G90*MAX(0,CX90*ALX89-(XW90+ABJ90))))),MIN(GK90,MAX(0,AB90-SUM(PR90:QW90))))</f>
        <v>0</v>
      </c>
      <c r="QY90" s="20" t="n">
        <f aca="false">IF(H_Direct=1,IF(ALY89&lt;=0,0,IF(CY90&lt;=0,MIN(MAX(0,AB90-SUM(PR90:QX90)),ALY89),MIN(MAX(0,AB90-SUM(PR90:QX90)),ALY89-G90*MAX(0,CY90*ALY89-(XX90+ABK90))))),MIN(GL90,MAX(0,AB90-SUM(PR90:QX90))))</f>
        <v>0</v>
      </c>
      <c r="QZ90" s="20" t="n">
        <f aca="false">IF(H_Direct=1,IF(ALZ89&lt;=0,0,IF(CZ90&lt;=0,MIN(MAX(0,AB90-SUM(PR90:QY90)),ALZ89),MIN(MAX(0,AB90-SUM(PR90:QY90)),ALZ89-G90*MAX(0,CZ90*ALZ89-(XY90+ABL90))))),MIN(GM90,MAX(0,AB90-SUM(PR90:QY90))))</f>
        <v>0</v>
      </c>
      <c r="RA90" s="20" t="n">
        <f aca="false">IF(H_Direct=1,IF(AMA89&lt;=0,0,IF(DA90&lt;=0,MIN(MAX(0,AB90-SUM(PR90:QZ90)),AMA89),MIN(MAX(0,AB90-SUM(PR90:QZ90)),AMA89-G90*MAX(0,DA90*AMA89-(XZ90+ABM90))))),MIN(GN90,MAX(0,AB90-SUM(PR90:QZ90))))</f>
        <v>0</v>
      </c>
      <c r="RB90" s="20" t="n">
        <f aca="false">IF(H_Direct=1,IF(AMB89&lt;=0,0,IF(DB90&lt;=0,MIN(MAX(0,AB90-SUM(PR90:RA90)),AMB89),MIN(MAX(0,AB90-SUM(PR90:RA90)),AMB89-G90*MAX(0,DB90*AMB89-(YA90+ABN90))))),MIN(GO90,MAX(0,AB90-SUM(PR90:RA90))))</f>
        <v>0</v>
      </c>
      <c r="RC90" s="20" t="n">
        <f aca="false">IF(H_Direct=1,IF(AMC89&lt;=0,0,IF(DC90&lt;=0,MIN(MAX(0,AB90-SUM(PR90:RB90)),AMC89),MIN(MAX(0,AB90-SUM(PR90:RB90)),AMC89-G90*MAX(0,DC90*AMC89-(YB90+ABO90))))),MIN(GP90,MAX(0,AB90-SUM(PR90:RB90))))</f>
        <v>0</v>
      </c>
      <c r="RD90" s="20" t="n">
        <f aca="false">IF(H_Direct=1,IF(AMD89&lt;=0,0,IF(DD90&lt;=0,MIN(MAX(0,AB90-SUM(PR90:RC90)),AMD89),MIN(MAX(0,AB90-SUM(PR90:RC90)),AMD89-G90*MAX(0,DD90*AMD89-(YC90+ABP90))))),MIN(GQ90,MAX(0,AB90-SUM(PR90:RC90))))</f>
        <v>0</v>
      </c>
      <c r="RE90" s="20" t="n">
        <f aca="false">IF(H_Direct=1,IF(AME89&lt;=0,0,IF(DE90&lt;=0,MIN(MAX(0,AB90-SUM(PR90:RD90)),AME89),MIN(MAX(0,AB90-SUM(PR90:RD90)),AME89-G90*MAX(0,DE90*AME89-(YD90+ABQ90))))),MIN(GR90,MAX(0,AB90-SUM(PR90:RD90))))</f>
        <v>0</v>
      </c>
      <c r="RF90" s="20" t="n">
        <f aca="false">IF(H_Direct=1,IF(AMF89&lt;=0,0,IF(DF90&lt;=0,MIN(MAX(0,AB90-SUM(PR90:RE90)),AMF89),MIN(MAX(0,AB90-SUM(PR90:RE90)),AMF89-G90*MAX(0,DF90*AMF89-(YE90+ABR90))))),MIN(GS90,MAX(0,AB90-SUM(PR90:RE90))))</f>
        <v>0</v>
      </c>
      <c r="RG90" s="20" t="n">
        <f aca="false">IF(H_Direct=1,IF(AMG89&lt;=0,0,IF(DG90&lt;=0,MIN(MAX(0,AB90-SUM(PR90:RF90)),AMG89),MIN(MAX(0,AB90-SUM(PR90:RF90)),AMG89-G90*MAX(0,DG90*AMG89-(YF90+ABS90))))),MIN(GT90,MAX(0,AB90-SUM(PR90:RF90))))</f>
        <v>0</v>
      </c>
      <c r="RH90" s="20" t="n">
        <f aca="false">IF(H_Direct=1,IF(AMH89&lt;=0,0,IF(DH90&lt;=0,MIN(MAX(0,AB90-SUM(PR90:RG90)),AMH89),MIN(MAX(0,AB90-SUM(PR90:RG90)),AMH89-G90*MAX(0,DH90*AMH89-(YG90+ABT90))))),MIN(GU90,MAX(0,AB90-SUM(PR90:RG90))))</f>
        <v>0</v>
      </c>
      <c r="RI90" s="20" t="n">
        <f aca="false">IF(H_Direct=1,IF(AMI89&lt;=0,0,IF(DI90&lt;=0,MIN(MAX(0,AB90-SUM(PR90:RH90)),AMI89),MIN(MAX(0,AB90-SUM(PR90:RH90)),AMI89-G90*MAX(0,DI90*AMI89-(YH90+ABU90))))),MIN(GV90,MAX(0,AB90-SUM(PR90:RH90))))</f>
        <v>0</v>
      </c>
      <c r="RJ90" s="20" t="n">
        <f aca="false">IF(H_Direct=1,IF(AMJ89&lt;=0,0,IF(DJ90&lt;=0,MIN(MAX(0,AB90-SUM(PR90:RI90)),AMJ89),MIN(MAX(0,AB90-SUM(PR90:RI90)),AMJ89-G90*MAX(0,DJ90*AMJ89-(YI90+ABV90))))),MIN(GW90,MAX(0,AB90-SUM(PR90:RI90))))</f>
        <v>0</v>
      </c>
      <c r="RK90" s="20" t="n">
        <f aca="false">IF(H_Direct=1,IF(AMK89&lt;=0,0,IF(DK90&lt;=0,MIN(MAX(0,AB90-SUM(PR90:RJ90)),AMK89),MIN(MAX(0,AB90-SUM(PR90:RJ90)),AMK89-G90*MAX(0,DK90*AMK89-(YJ90+ABW90))))),MIN(GX90,MAX(0,AB90-SUM(PR90:RJ90))))</f>
        <v>0</v>
      </c>
      <c r="RL90" s="20" t="n">
        <f aca="false">IF(H_Direct=1,IF(AML89&lt;=0,0,IF(DL90&lt;=0,MIN(MAX(0,AB90-SUM(PR90:RK90)),AML89),MIN(MAX(0,AB90-SUM(PR90:RK90)),AML89-G90*MAX(0,DL90*AML89-(YK90+ABX90))))),MIN(GY90,MAX(0,AB90-SUM(PR90:RK90))))</f>
        <v>0</v>
      </c>
      <c r="RM90" s="20" t="n">
        <f aca="false">IF(H_Direct=1,IF(AMM89&lt;=0,0,IF(DM90&lt;=0,MIN(MAX(0,AB90-SUM(PR90:RL90)),AMM89),MIN(MAX(0,AB90-SUM(PR90:RL90)),AMM89-G90*MAX(0,DM90*AMM89-(YL90+ABY90))))),MIN(GZ90,MAX(0,AB90-SUM(PR90:RL90))))</f>
        <v>0</v>
      </c>
      <c r="RN90" s="20" t="n">
        <f aca="false">IF(H_Direct=1,IF(AMN89&lt;=0,0,IF(DN90&lt;=0,MIN(MAX(0,AB90-SUM(PR90:RM90)),AMN89),MIN(MAX(0,AB90-SUM(PR90:RM90)),AMN89-G90*MAX(0,DN90*AMN89-(YM90+ABZ90))))),MIN(HA90,MAX(0,AB90-SUM(PR90:RM90))))</f>
        <v>0</v>
      </c>
      <c r="RO90" s="20" t="n">
        <f aca="false">IF(H_Direct=1,IF(AMO89&lt;=0,0,IF(DO90&lt;=0,MIN(MAX(0,AB90-SUM(PR90:RN90)),AMO89),MIN(MAX(0,AB90-SUM(PR90:RN90)),AMO89-G90*MAX(0,DO90*AMO89-(YN90+ACA90))))),MIN(HB90,MAX(0,AB90-SUM(PR90:RN90))))</f>
        <v>0</v>
      </c>
      <c r="RP90" s="20" t="n">
        <f aca="false">IF(H_Direct=1,IF(AMP89&lt;=0,0,IF(DP90&lt;=0,MIN(MAX(0,AB90-SUM(PR90:RO90)),AMP89),MIN(MAX(0,AB90-SUM(PR90:RO90)),AMP89-G90*MAX(0,DP90*AMP89-(YO90+ACB90))))),MIN(HC90,MAX(0,AB90-SUM(PR90:RO90))))</f>
        <v>0</v>
      </c>
      <c r="RQ90" s="20" t="n">
        <f aca="false">IF(H_Direct=1,IF(AMQ89&lt;=0,0,IF(DQ90&lt;=0,MIN(MAX(0,AB90-SUM(PR90:RP90)),AMQ89),MIN(MAX(0,AB90-SUM(PR90:RP90)),AMQ89-G90*MAX(0,DQ90*AMQ89-(YP90+ACC90))))),MIN(HD90,MAX(0,AB90-SUM(PR90:RP90))))</f>
        <v>0</v>
      </c>
      <c r="RR90" s="20" t="n">
        <f aca="false">IF(H_Direct=1,IF(AMR89&lt;=0,0,IF(DR90&lt;=0,MIN(MAX(0,AB90-SUM(PR90:RQ90)),AMR89),MIN(MAX(0,AB90-SUM(PR90:RQ90)),AMR89-G90*MAX(0,DR90*AMR89-(YQ90+ACD90))))),MIN(HE90,MAX(0,AB90-SUM(PR90:RQ90))))</f>
        <v>0</v>
      </c>
      <c r="RS90" s="20" t="n">
        <f aca="false">IF(H_Direct=1,IF(AMS89&lt;=0,0,IF(DS90&lt;=0,MIN(MAX(0,AB90-SUM(PR90:RR90)),AMS89),MIN(MAX(0,AB90-SUM(PR90:RR90)),AMS89-G90*MAX(0,DS90*AMS89-(YR90+ACE90))))),MIN(HF90,MAX(0,AB90-SUM(PR90:RR90))))</f>
        <v>0</v>
      </c>
      <c r="RT90" s="20" t="n">
        <f aca="false">IF(H_Direct=1,IF(AMT89&lt;=0,0,IF(DT90&lt;=0,MIN(MAX(0,AB90-SUM(PR90:RS90)),AMT89),MIN(MAX(0,AB90-SUM(PR90:RS90)),AMT89-G90*MAX(0,DT90*AMT89-(YS90+ACF90))))),MIN(HG90,MAX(0,AB90-SUM(PR90:RS90))))</f>
        <v>0</v>
      </c>
      <c r="RU90" s="20" t="n">
        <f aca="false">IF(H_Direct=1,IF(AMU89&lt;=0,0,IF(DU90&lt;=0,MIN(MAX(0,AB90-SUM(PR90:RT90)),AMU89),MIN(MAX(0,AB90-SUM(PR90:RT90)),AMU89-G90*MAX(0,DU90*AMU89-(YT90+ACG90))))),MIN(HH90,MAX(0,AB90-SUM(PR90:RT90))))</f>
        <v>0</v>
      </c>
      <c r="RV90" s="20" t="n">
        <f aca="false">IF(H_Direct=1,IF(AMV89&lt;=0,0,IF(DV90&lt;=0,MIN(MAX(0,AB90-SUM(PR90:RU90)),AMV89),MIN(MAX(0,AB90-SUM(PR90:RU90)),AMV89-G90*MAX(0,DV90*AMV89-(YU90+ACH90))))),MIN(HI90,MAX(0,AB90-SUM(PR90:RU90))))</f>
        <v>0</v>
      </c>
      <c r="RW90" s="20" t="n">
        <f aca="false">IF(H_Direct=1,IF(AMW89&lt;=0,0,IF(DW90&lt;=0,MIN(MAX(0,AB90-SUM(PR90:RV90)),AMW89),MIN(MAX(0,AB90-SUM(PR90:RV90)),AMW89-G90*MAX(0,DW90*AMW89-(YV90+ACI90))))),MIN(HJ90,MAX(0,AB90-SUM(PR90:RV90))))</f>
        <v>0</v>
      </c>
      <c r="RX90" s="20" t="n">
        <f aca="false">IF(H_Direct=1,IF(AMX89&lt;=0,0,IF(DX90&lt;=0,MIN(MAX(0,AB90-SUM(PR90:RW90)),AMX89),MIN(MAX(0,AB90-SUM(PR90:RW90)),AMX89-G90*MAX(0,DX90*AMX89-(YW90+ACJ90))))),MIN(HK90,MAX(0,AB90-SUM(PR90:RW90))))</f>
        <v>0</v>
      </c>
      <c r="RY90" s="20" t="n">
        <f aca="false">IF(H_Direct=1,IF(AMY89&lt;=0,0,IF(DY90&lt;=0,MIN(MAX(0,AB90-SUM(PR90:RX90)),AMY89),MIN(MAX(0,AB90-SUM(PR90:RX90)),AMY89-G90*MAX(0,DY90*AMY89-(YX90+ACK90))))),MIN(HL90,MAX(0,AB90-SUM(PR90:RX90))))</f>
        <v>0</v>
      </c>
      <c r="RZ90" s="20" t="n">
        <f aca="false">IF(H_Direct=1,IF(AMZ89&lt;=0,0,IF(DZ90&lt;=0,MIN(MAX(0,AB90-SUM(PR90:RY90)),AMZ89),MIN(MAX(0,AB90-SUM(PR90:RY90)),AMZ89-G90*MAX(0,DZ90*AMZ89-(YY90+ACL90))))),MIN(HM90,MAX(0,AB90-SUM(PR90:RY90))))</f>
        <v>0</v>
      </c>
      <c r="SA90" s="20" t="n">
        <f aca="false">IF(H_Direct=1,IF(ANA89&lt;=0,0,IF(EA90&lt;=0,MIN(MAX(0,AB90-SUM(PR90:RZ90)),ANA89),MIN(MAX(0,AB90-SUM(PR90:RZ90)),ANA89-G90*MAX(0,EA90*ANA89-(YZ90+ACM90))))),MIN(HN90,MAX(0,AB90-SUM(PR90:RZ90))))</f>
        <v>0</v>
      </c>
      <c r="SB90" s="20" t="n">
        <f aca="false">IF(H_Direct=1,IF(ANB89&lt;=0,0,IF(EB90&lt;=0,MIN(MAX(0,AB90-SUM(PR90:SA90)),ANB89),MIN(MAX(0,AB90-SUM(PR90:SA90)),ANB89-G90*MAX(0,EB90*ANB89-(ZA90+ACN90))))),MIN(HO90,MAX(0,AB90-SUM(PR90:SA90))))</f>
        <v>0</v>
      </c>
      <c r="SC90" s="20" t="n">
        <f aca="false">IF(H_Direct=1,IF(ANC89&lt;=0,0,IF(EC90&lt;=0,MIN(MAX(0,AB90-SUM(PR90:SB90)),ANC89),MIN(MAX(0,AB90-SUM(PR90:SB90)),ANC89-G90*MAX(0,EC90*ANC89-(ZB90+ACO90))))),MIN(HP90,MAX(0,AB90-SUM(PR90:SB90))))</f>
        <v>0</v>
      </c>
      <c r="SD90" s="20" t="n">
        <f aca="false">IF(H_Direct=1,IF(AND89&lt;=0,0,IF(ED90&lt;=0,MIN(MAX(0,AB90-SUM(PR90:SC90)),AND89),MIN(MAX(0,AB90-SUM(PR90:SC90)),AND89-G90*MAX(0,ED90*AND89-(ZC90+ACP90))))),MIN(HQ90,MAX(0,AB90-SUM(PR90:SC90))))</f>
        <v>0</v>
      </c>
      <c r="SE90" s="20" t="n">
        <f aca="false">IF(H_Direct=1,IF(ANE89&lt;=0,0,IF(EE90&lt;=0,MIN(MAX(0,AB90-SUM(PR90:SD90)),ANE89),MIN(MAX(0,AB90-SUM(PR90:SD90)),ANE89-G90*MAX(0,EE90*ANE89-(ZD90+ACQ90))))),MIN(HR90,MAX(0,AB90-SUM(PR90:SD90))))</f>
        <v>0</v>
      </c>
      <c r="SF90" s="20" t="n">
        <f aca="false">IF(H_Direct=1,IF(ANF89&lt;=0,0,IF(EF90&lt;=0,MIN(MAX(0,AB90-SUM(PR90:SE90)),ANF89),MIN(MAX(0,AB90-SUM(PR90:SE90)),ANF89-G90*MAX(0,EF90*ANF89-(ZE90+ACR90))))),MIN(HS90,MAX(0,AB90-SUM(PR90:SE90))))</f>
        <v>0</v>
      </c>
      <c r="SG90" s="20" t="n">
        <f aca="false">IF(H_Direct=1,IF(ANG89&lt;=0,0,IF(EG90&lt;=0,MIN(MAX(0,AB90-SUM(PR90:SF90)),ANG89),MIN(MAX(0,AB90-SUM(PR90:SF90)),ANG89-G90*MAX(0,EG90*ANG89-(ZF90+ACS90))))),MIN(HT90,MAX(0,AB90-SUM(PR90:SF90))))</f>
        <v>0</v>
      </c>
      <c r="SH90" s="20" t="n">
        <f aca="false">IF(H_Direct=1,IF(ANH89&lt;=0,0,IF(EH90&lt;=0,MIN(MAX(0,AB90-SUM(PR90:SG90)),ANH89),MIN(MAX(0,AB90-SUM(PR90:SG90)),ANH89-G90*MAX(0,EH90*ANH89-(ZG90+ACT90))))),MIN(HU90,MAX(0,AB90-SUM(PR90:SG90))))</f>
        <v>0</v>
      </c>
      <c r="SI90" s="20" t="n">
        <f aca="false">IF(H_Direct=1,IF(ANI89&lt;=0,0,IF(EI90&lt;=0,MIN(MAX(0,AB90-SUM(PR90:SH90)),ANI89),MIN(MAX(0,AB90-SUM(PR90:SH90)),ANI89-G90*MAX(0,EI90*ANI89-(ZH90+ACU90))))),MIN(HV90,MAX(0,AB90-SUM(PR90:SH90))))</f>
        <v>0</v>
      </c>
      <c r="SJ90" s="20" t="n">
        <f aca="false">IF(H_Direct=1,IF(ANJ89&lt;=0,0,IF(EJ90&lt;=0,MIN(MAX(0,AB90-SUM(PR90:SI90)),ANJ89),MIN(MAX(0,AB90-SUM(PR90:SI90)),ANJ89-G90*MAX(0,EJ90*ANJ89-(ZI90+ACV90))))),MIN(HW90,MAX(0,AB90-SUM(PR90:SI90))))</f>
        <v>0</v>
      </c>
      <c r="SK90" s="20" t="n">
        <f aca="false">IF(H_Direct=1,IF(ANK89&lt;=0,0,IF(EK90&lt;=0,MIN(MAX(0,AB90-SUM(PR90:SJ90)),ANK89),MIN(MAX(0,AB90-SUM(PR90:SJ90)),ANK89-G90*MAX(0,EK90*ANK89-(ZJ90+ACW90))))),MIN(HX90,MAX(0,AB90-SUM(PR90:SJ90))))</f>
        <v>0</v>
      </c>
      <c r="SL90" s="20" t="n">
        <f aca="false">IF(H_Direct=1,IF(ANL89&lt;=0,0,IF(EL90&lt;=0,MIN(MAX(0,AB90-SUM(PR90:SK90)),ANL89),MIN(MAX(0,AB90-SUM(PR90:SK90)),ANL89-G90*MAX(0,EL90*ANL89-(ZK90+ACX90))))),MIN(HY90,MAX(0,AB90-SUM(PR90:SK90))))</f>
        <v>0</v>
      </c>
      <c r="SM90" s="20" t="n">
        <f aca="false">IF(H_Direct=1,IF(ANM89&lt;=0,0,IF(EM90&lt;=0,MIN(MAX(0,AB90-SUM(PR90:SL90)),ANM89),MIN(MAX(0,AB90-SUM(PR90:SL90)),ANM89-G90*MAX(0,EM90*ANM89-(ZL90+ACY90))))),MIN(HZ90,MAX(0,AB90-SUM(PR90:SL90))))</f>
        <v>0</v>
      </c>
      <c r="SN90" s="20" t="n">
        <f aca="false">IF(H_Direct=1,IF(ANN89&lt;=0,0,IF(EN90&lt;=0,MIN(MAX(0,AB90-SUM(PR90:SM90)),ANN89),MIN(MAX(0,AB90-SUM(PR90:SM90)),ANN89-G90*MAX(0,EN90*ANN89-(ZM90+ACZ90))))),MIN(IA90,MAX(0,AB90-SUM(PR90:SM90))))</f>
        <v>0</v>
      </c>
      <c r="SO90" s="20" t="n">
        <f aca="false">IF(H_Direct=1,IF(ANO89&lt;=0,0,IF(EO90&lt;=0,MIN(MAX(0,AB90-SUM(PR90:SN90)),ANO89),MIN(MAX(0,AB90-SUM(PR90:SN90)),ANO89-G90*MAX(0,EO90*ANO89-(ZN90+ADA90))))),MIN(IB90,MAX(0,AB90-SUM(PR90:SN90))))</f>
        <v>0</v>
      </c>
      <c r="SP90" s="20" t="n">
        <f aca="false">IF(H_Direct=1,IF(ANP89&lt;=0,0,IF(EP90&lt;=0,MIN(MAX(0,AB90-SUM(PR90:SO90)),ANP89),MIN(MAX(0,AB90-SUM(PR90:SO90)),ANP89-G90*MAX(0,EP90*ANP89-(ZO90+ADB90))))),MIN(IC90,MAX(0,AB90-SUM(PR90:SO90))))</f>
        <v>0</v>
      </c>
      <c r="SQ90" s="20" t="n">
        <f aca="false">IF(H_Direct=1,IF(ANQ89&lt;=0,0,IF(EQ90&lt;=0,MIN(MAX(0,AB90-SUM(PR90:SP90)),ANQ89),MIN(MAX(0,AB90-SUM(PR90:SP90)),ANQ89-G90*MAX(0,EQ90*ANQ89-(ZP90+ADC90))))),MIN(ID90,MAX(0,AB90-SUM(PR90:SP90))))</f>
        <v>0</v>
      </c>
      <c r="SR90" s="20" t="n">
        <f aca="false">IF(H_Direct=1,IF(ANR89&lt;=0,0,IF(ER90&lt;=0,MIN(MAX(0,AB90-SUM(PR90:SQ90)),ANR89),MIN(MAX(0,AB90-SUM(PR90:SQ90)),ANR89-G90*MAX(0,ER90*ANR89-(ZQ90+ADD90))))),MIN(IE90,MAX(0,AB90-SUM(PR90:SQ90))))</f>
        <v>0</v>
      </c>
      <c r="SS90" s="20" t="n">
        <f aca="false">IF(H_Direct=1,IF(ANS89&lt;=0,0,IF(ES90&lt;=0,MIN(MAX(0,AB90-SUM(PR90:SR90)),ANS89),MIN(MAX(0,AB90-SUM(PR90:SR90)),ANS89-G90*MAX(0,ES90*ANS89-(ZR90+ADE90))))),MIN(IF90,MAX(0,AB90-SUM(PR90:SR90))))</f>
        <v>0</v>
      </c>
      <c r="ST90" s="20" t="n">
        <f aca="false">IF(H_Direct=1,IF(ANT89&lt;=0,0,IF(ET90&lt;=0,MIN(MAX(0,AB90-SUM(PR90:SS90)),ANT89),MIN(MAX(0,AB90-SUM(PR90:SS90)),ANT89-G90*MAX(0,ET90*ANT89-(ZS90+ADF90))))),MIN(IG90,MAX(0,AB90-SUM(PR90:SS90))))</f>
        <v>0</v>
      </c>
      <c r="SU90" s="20" t="n">
        <f aca="false">IF(H_Direct=1,IF(ANU89&lt;=0,0,IF(EU90&lt;=0,MIN(MAX(0,AB90-SUM(PR90:ST90)),ANU89),MIN(MAX(0,AB90-SUM(PR90:ST90)),ANU89-G90*MAX(0,EU90*ANU89-(ZT90+ADG90))))),MIN(IH90,MAX(0,AB90-SUM(PR90:ST90))))</f>
        <v>0</v>
      </c>
      <c r="SV90" s="20" t="n">
        <f aca="false">IF(H_Direct=1,IF(ANV89&lt;=0,0,IF(EV90&lt;=0,MIN(MAX(0,AB90-SUM(PR90:SU90)),ANV89),MIN(MAX(0,AB90-SUM(PR90:SU90)),ANV89-G90*MAX(0,EV90*ANV89-(ZU90+ADH90))))),MIN(II90,MAX(0,AB90-SUM(PR90:SU90))))</f>
        <v>0</v>
      </c>
      <c r="SW90" s="20" t="n">
        <f aca="false">IF(H_Direct=1,IF((P90+S90)&lt;=0,0,IF(EW90&lt;=0,MIN(MAX(0,AB90-SUM(PR90:SV90)),(P90+S90)),MIN(MAX(0,AB90-SUM(PR90:SV90)),(P90+S90)-G90*MAX(0,EW90*(P90+S90)-(ZV90+ADI90))))),MIN(IJ90,MAX(0,AB90-SUM(PR90:SV90))))</f>
        <v>0</v>
      </c>
      <c r="SX90" s="20" t="n">
        <v>0</v>
      </c>
      <c r="SY90" s="20" t="n">
        <v>0</v>
      </c>
      <c r="SZ90" s="20" t="n">
        <v>0</v>
      </c>
      <c r="TA90" s="20" t="n">
        <v>0</v>
      </c>
      <c r="TB90" s="20" t="n">
        <v>0</v>
      </c>
      <c r="TC90" s="20" t="n">
        <v>0</v>
      </c>
      <c r="TD90" s="20" t="n">
        <v>0</v>
      </c>
      <c r="TE90" s="20" t="n">
        <f aca="false">IF(AKR89&lt;=0,0,IF(H_Direct=1,IF(BR90&lt;=0,PR90,IF(PR90&lt;=(H90+I90)/BR90,PR90,(PR90-G90*(H90+I90))/(1-G90*BR90))),PR90/(1-MAX(0,BR90)*H_Exit)))</f>
        <v>0</v>
      </c>
      <c r="TF90" s="20" t="n">
        <f aca="false">IF(AKS89&lt;=0,0,IF(H_Direct=1,IF(BS90&lt;=0,PS90,IF(PS90&lt;=(WR90+AAE90)/BS90,PS90,(PS90-G90*(WR90+AAE90))/(1-G90*BS90))),PS90/(1-MAX(0,BS90)*H_Exit)))</f>
        <v>0</v>
      </c>
      <c r="TG90" s="20" t="n">
        <f aca="false">IF(AKT89&lt;=0,0,IF(H_Direct=1,IF(BT90&lt;=0,PT90,IF(PT90&lt;=(WS90+AAF90)/BT90,PT90,(PT90-G90*(WS90+AAF90))/(1-G90*BT90))),PT90/(1-MAX(0,BT90)*H_Exit)))</f>
        <v>0</v>
      </c>
      <c r="TH90" s="20" t="n">
        <f aca="false">IF(AKU89&lt;=0,0,IF(H_Direct=1,IF(BU90&lt;=0,PU90,IF(PU90&lt;=(WT90+AAG90)/BU90,PU90,(PU90-G90*(WT90+AAG90))/(1-G90*BU90))),PU90/(1-MAX(0,BU90)*H_Exit)))</f>
        <v>0</v>
      </c>
      <c r="TI90" s="20" t="n">
        <f aca="false">IF(AKV89&lt;=0,0,IF(H_Direct=1,IF(BV90&lt;=0,PV90,IF(PV90&lt;=(WU90+AAH90)/BV90,PV90,(PV90-G90*(WU90+AAH90))/(1-G90*BV90))),PV90/(1-MAX(0,BV90)*H_Exit)))</f>
        <v>0</v>
      </c>
      <c r="TJ90" s="20" t="n">
        <f aca="false">IF(AKW89&lt;=0,0,IF(H_Direct=1,IF(BW90&lt;=0,PW90,IF(PW90&lt;=(WV90+AAI90)/BW90,PW90,(PW90-G90*(WV90+AAI90))/(1-G90*BW90))),PW90/(1-MAX(0,BW90)*H_Exit)))</f>
        <v>0</v>
      </c>
      <c r="TK90" s="20" t="n">
        <f aca="false">IF(AKX89&lt;=0,0,IF(H_Direct=1,IF(BX90&lt;=0,PX90,IF(PX90&lt;=(WW90+AAJ90)/BX90,PX90,(PX90-G90*(WW90+AAJ90))/(1-G90*BX90))),PX90/(1-MAX(0,BX90)*H_Exit)))</f>
        <v>0</v>
      </c>
      <c r="TL90" s="20" t="n">
        <f aca="false">IF(AKY89&lt;=0,0,IF(H_Direct=1,IF(BY90&lt;=0,PY90,IF(PY90&lt;=(WX90+AAK90)/BY90,PY90,(PY90-G90*(WX90+AAK90))/(1-G90*BY90))),PY90/(1-MAX(0,BY90)*H_Exit)))</f>
        <v>0</v>
      </c>
      <c r="TM90" s="20" t="n">
        <f aca="false">IF(AKZ89&lt;=0,0,IF(H_Direct=1,IF(BZ90&lt;=0,PZ90,IF(PZ90&lt;=(WY90+AAL90)/BZ90,PZ90,(PZ90-G90*(WY90+AAL90))/(1-G90*BZ90))),PZ90/(1-MAX(0,BZ90)*H_Exit)))</f>
        <v>0</v>
      </c>
      <c r="TN90" s="20" t="n">
        <f aca="false">IF(ALA89&lt;=0,0,IF(H_Direct=1,IF(CA90&lt;=0,QA90,IF(QA90&lt;=(WZ90+AAM90)/CA90,QA90,(QA90-G90*(WZ90+AAM90))/(1-G90*CA90))),QA90/(1-MAX(0,CA90)*H_Exit)))</f>
        <v>0</v>
      </c>
      <c r="TO90" s="20" t="n">
        <f aca="false">IF(ALB89&lt;=0,0,IF(H_Direct=1,IF(CB90&lt;=0,QB90,IF(QB90&lt;=(XA90+AAN90)/CB90,QB90,(QB90-G90*(XA90+AAN90))/(1-G90*CB90))),QB90/(1-MAX(0,CB90)*H_Exit)))</f>
        <v>0</v>
      </c>
      <c r="TP90" s="20" t="n">
        <f aca="false">IF(ALC89&lt;=0,0,IF(H_Direct=1,IF(CC90&lt;=0,QC90,IF(QC90&lt;=(XB90+AAO90)/CC90,QC90,(QC90-G90*(XB90+AAO90))/(1-G90*CC90))),QC90/(1-MAX(0,CC90)*H_Exit)))</f>
        <v>0</v>
      </c>
      <c r="TQ90" s="20" t="n">
        <f aca="false">IF(ALD89&lt;=0,0,IF(H_Direct=1,IF(CD90&lt;=0,QD90,IF(QD90&lt;=(XC90+AAP90)/CD90,QD90,(QD90-G90*(XC90+AAP90))/(1-G90*CD90))),QD90/(1-MAX(0,CD90)*H_Exit)))</f>
        <v>0</v>
      </c>
      <c r="TR90" s="20" t="n">
        <f aca="false">IF(ALE89&lt;=0,0,IF(H_Direct=1,IF(CE90&lt;=0,QE90,IF(QE90&lt;=(XD90+AAQ90)/CE90,QE90,(QE90-G90*(XD90+AAQ90))/(1-G90*CE90))),QE90/(1-MAX(0,CE90)*H_Exit)))</f>
        <v>0</v>
      </c>
      <c r="TS90" s="20" t="n">
        <f aca="false">IF(ALF89&lt;=0,0,IF(H_Direct=1,IF(CF90&lt;=0,QF90,IF(QF90&lt;=(XE90+AAR90)/CF90,QF90,(QF90-G90*(XE90+AAR90))/(1-G90*CF90))),QF90/(1-MAX(0,CF90)*H_Exit)))</f>
        <v>0</v>
      </c>
      <c r="TT90" s="20" t="n">
        <f aca="false">IF(ALG89&lt;=0,0,IF(H_Direct=1,IF(CG90&lt;=0,QG90,IF(QG90&lt;=(XF90+AAS90)/CG90,QG90,(QG90-G90*(XF90+AAS90))/(1-G90*CG90))),QG90/(1-MAX(0,CG90)*H_Exit)))</f>
        <v>0</v>
      </c>
      <c r="TU90" s="20" t="n">
        <f aca="false">IF(ALH89&lt;=0,0,IF(H_Direct=1,IF(CH90&lt;=0,QH90,IF(QH90&lt;=(XG90+AAT90)/CH90,QH90,(QH90-G90*(XG90+AAT90))/(1-G90*CH90))),QH90/(1-MAX(0,CH90)*H_Exit)))</f>
        <v>0</v>
      </c>
      <c r="TV90" s="20" t="n">
        <f aca="false">IF(ALI89&lt;=0,0,IF(H_Direct=1,IF(CI90&lt;=0,QI90,IF(QI90&lt;=(XH90+AAU90)/CI90,QI90,(QI90-G90*(XH90+AAU90))/(1-G90*CI90))),QI90/(1-MAX(0,CI90)*H_Exit)))</f>
        <v>0</v>
      </c>
      <c r="TW90" s="20" t="n">
        <f aca="false">IF(ALJ89&lt;=0,0,IF(H_Direct=1,IF(CJ90&lt;=0,QJ90,IF(QJ90&lt;=(XI90+AAV90)/CJ90,QJ90,(QJ90-G90*(XI90+AAV90))/(1-G90*CJ90))),QJ90/(1-MAX(0,CJ90)*H_Exit)))</f>
        <v>0</v>
      </c>
      <c r="TX90" s="20" t="n">
        <f aca="false">IF(ALK89&lt;=0,0,IF(H_Direct=1,IF(CK90&lt;=0,QK90,IF(QK90&lt;=(XJ90+AAW90)/CK90,QK90,(QK90-G90*(XJ90+AAW90))/(1-G90*CK90))),QK90/(1-MAX(0,CK90)*H_Exit)))</f>
        <v>0</v>
      </c>
      <c r="TY90" s="20" t="n">
        <f aca="false">IF(ALL89&lt;=0,0,IF(H_Direct=1,IF(CL90&lt;=0,QL90,IF(QL90&lt;=(XK90+AAX90)/CL90,QL90,(QL90-G90*(XK90+AAX90))/(1-G90*CL90))),QL90/(1-MAX(0,CL90)*H_Exit)))</f>
        <v>0</v>
      </c>
      <c r="TZ90" s="20" t="n">
        <f aca="false">IF(ALM89&lt;=0,0,IF(H_Direct=1,IF(CM90&lt;=0,QM90,IF(QM90&lt;=(XL90+AAY90)/CM90,QM90,(QM90-G90*(XL90+AAY90))/(1-G90*CM90))),QM90/(1-MAX(0,CM90)*H_Exit)))</f>
        <v>0</v>
      </c>
      <c r="UA90" s="20" t="n">
        <f aca="false">IF(ALN89&lt;=0,0,IF(H_Direct=1,IF(CN90&lt;=0,QN90,IF(QN90&lt;=(XM90+AAZ90)/CN90,QN90,(QN90-G90*(XM90+AAZ90))/(1-G90*CN90))),QN90/(1-MAX(0,CN90)*H_Exit)))</f>
        <v>0</v>
      </c>
      <c r="UB90" s="20" t="n">
        <f aca="false">IF(ALO89&lt;=0,0,IF(H_Direct=1,IF(CO90&lt;=0,QO90,IF(QO90&lt;=(XN90+ABA90)/CO90,QO90,(QO90-G90*(XN90+ABA90))/(1-G90*CO90))),QO90/(1-MAX(0,CO90)*H_Exit)))</f>
        <v>0</v>
      </c>
      <c r="UC90" s="20" t="n">
        <f aca="false">IF(ALP89&lt;=0,0,IF(H_Direct=1,IF(CP90&lt;=0,QP90,IF(QP90&lt;=(XO90+ABB90)/CP90,QP90,(QP90-G90*(XO90+ABB90))/(1-G90*CP90))),QP90/(1-MAX(0,CP90)*H_Exit)))</f>
        <v>0</v>
      </c>
      <c r="UD90" s="20" t="n">
        <f aca="false">IF(ALQ89&lt;=0,0,IF(H_Direct=1,IF(CQ90&lt;=0,QQ90,IF(QQ90&lt;=(XP90+ABC90)/CQ90,QQ90,(QQ90-G90*(XP90+ABC90))/(1-G90*CQ90))),QQ90/(1-MAX(0,CQ90)*H_Exit)))</f>
        <v>0</v>
      </c>
      <c r="UE90" s="20" t="n">
        <f aca="false">IF(ALR89&lt;=0,0,IF(H_Direct=1,IF(CR90&lt;=0,QR90,IF(QR90&lt;=(XQ90+ABD90)/CR90,QR90,(QR90-G90*(XQ90+ABD90))/(1-G90*CR90))),QR90/(1-MAX(0,CR90)*H_Exit)))</f>
        <v>0</v>
      </c>
      <c r="UF90" s="20" t="n">
        <f aca="false">IF(ALS89&lt;=0,0,IF(H_Direct=1,IF(CS90&lt;=0,QS90,IF(QS90&lt;=(XR90+ABE90)/CS90,QS90,(QS90-G90*(XR90+ABE90))/(1-G90*CS90))),QS90/(1-MAX(0,CS90)*H_Exit)))</f>
        <v>0</v>
      </c>
      <c r="UG90" s="20" t="n">
        <f aca="false">IF(ALT89&lt;=0,0,IF(H_Direct=1,IF(CT90&lt;=0,QT90,IF(QT90&lt;=(XS90+ABF90)/CT90,QT90,(QT90-G90*(XS90+ABF90))/(1-G90*CT90))),QT90/(1-MAX(0,CT90)*H_Exit)))</f>
        <v>0</v>
      </c>
      <c r="UH90" s="20" t="n">
        <f aca="false">IF(ALU89&lt;=0,0,IF(H_Direct=1,IF(CU90&lt;=0,QU90,IF(QU90&lt;=(XT90+ABG90)/CU90,QU90,(QU90-G90*(XT90+ABG90))/(1-G90*CU90))),QU90/(1-MAX(0,CU90)*H_Exit)))</f>
        <v>0</v>
      </c>
      <c r="UI90" s="20" t="n">
        <f aca="false">IF(ALV89&lt;=0,0,IF(H_Direct=1,IF(CV90&lt;=0,QV90,IF(QV90&lt;=(XU90+ABH90)/CV90,QV90,(QV90-G90*(XU90+ABH90))/(1-G90*CV90))),QV90/(1-MAX(0,CV90)*H_Exit)))</f>
        <v>0</v>
      </c>
      <c r="UJ90" s="20" t="n">
        <f aca="false">IF(ALW89&lt;=0,0,IF(H_Direct=1,IF(CW90&lt;=0,QW90,IF(QW90&lt;=(XV90+ABI90)/CW90,QW90,(QW90-G90*(XV90+ABI90))/(1-G90*CW90))),QW90/(1-MAX(0,CW90)*H_Exit)))</f>
        <v>0</v>
      </c>
      <c r="UK90" s="20" t="n">
        <f aca="false">IF(ALX89&lt;=0,0,IF(H_Direct=1,IF(CX90&lt;=0,QX90,IF(QX90&lt;=(XW90+ABJ90)/CX90,QX90,(QX90-G90*(XW90+ABJ90))/(1-G90*CX90))),QX90/(1-MAX(0,CX90)*H_Exit)))</f>
        <v>0</v>
      </c>
      <c r="UL90" s="20" t="n">
        <f aca="false">IF(ALY89&lt;=0,0,IF(H_Direct=1,IF(CY90&lt;=0,QY90,IF(QY90&lt;=(XX90+ABK90)/CY90,QY90,(QY90-G90*(XX90+ABK90))/(1-G90*CY90))),QY90/(1-MAX(0,CY90)*H_Exit)))</f>
        <v>0</v>
      </c>
      <c r="UM90" s="20" t="n">
        <f aca="false">IF(ALZ89&lt;=0,0,IF(H_Direct=1,IF(CZ90&lt;=0,QZ90,IF(QZ90&lt;=(XY90+ABL90)/CZ90,QZ90,(QZ90-G90*(XY90+ABL90))/(1-G90*CZ90))),QZ90/(1-MAX(0,CZ90)*H_Exit)))</f>
        <v>0</v>
      </c>
      <c r="UN90" s="20" t="n">
        <f aca="false">IF(AMA89&lt;=0,0,IF(H_Direct=1,IF(DA90&lt;=0,RA90,IF(RA90&lt;=(XZ90+ABM90)/DA90,RA90,(RA90-G90*(XZ90+ABM90))/(1-G90*DA90))),RA90/(1-MAX(0,DA90)*H_Exit)))</f>
        <v>0</v>
      </c>
      <c r="UO90" s="20" t="n">
        <f aca="false">IF(AMB89&lt;=0,0,IF(H_Direct=1,IF(DB90&lt;=0,RB90,IF(RB90&lt;=(YA90+ABN90)/DB90,RB90,(RB90-G90*(YA90+ABN90))/(1-G90*DB90))),RB90/(1-MAX(0,DB90)*H_Exit)))</f>
        <v>0</v>
      </c>
      <c r="UP90" s="20" t="n">
        <f aca="false">IF(AMC89&lt;=0,0,IF(H_Direct=1,IF(DC90&lt;=0,RC90,IF(RC90&lt;=(YB90+ABO90)/DC90,RC90,(RC90-G90*(YB90+ABO90))/(1-G90*DC90))),RC90/(1-MAX(0,DC90)*H_Exit)))</f>
        <v>0</v>
      </c>
      <c r="UQ90" s="20" t="n">
        <f aca="false">IF(AMD89&lt;=0,0,IF(H_Direct=1,IF(DD90&lt;=0,RD90,IF(RD90&lt;=(YC90+ABP90)/DD90,RD90,(RD90-G90*(YC90+ABP90))/(1-G90*DD90))),RD90/(1-MAX(0,DD90)*H_Exit)))</f>
        <v>0</v>
      </c>
      <c r="UR90" s="20" t="n">
        <f aca="false">IF(AME89&lt;=0,0,IF(H_Direct=1,IF(DE90&lt;=0,RE90,IF(RE90&lt;=(YD90+ABQ90)/DE90,RE90,(RE90-G90*(YD90+ABQ90))/(1-G90*DE90))),RE90/(1-MAX(0,DE90)*H_Exit)))</f>
        <v>0</v>
      </c>
      <c r="US90" s="20" t="n">
        <f aca="false">IF(AMF89&lt;=0,0,IF(H_Direct=1,IF(DF90&lt;=0,RF90,IF(RF90&lt;=(YE90+ABR90)/DF90,RF90,(RF90-G90*(YE90+ABR90))/(1-G90*DF90))),RF90/(1-MAX(0,DF90)*H_Exit)))</f>
        <v>0</v>
      </c>
      <c r="UT90" s="20" t="n">
        <f aca="false">IF(AMG89&lt;=0,0,IF(H_Direct=1,IF(DG90&lt;=0,RG90,IF(RG90&lt;=(YF90+ABS90)/DG90,RG90,(RG90-G90*(YF90+ABS90))/(1-G90*DG90))),RG90/(1-MAX(0,DG90)*H_Exit)))</f>
        <v>0</v>
      </c>
      <c r="UU90" s="20" t="n">
        <f aca="false">IF(AMH89&lt;=0,0,IF(H_Direct=1,IF(DH90&lt;=0,RH90,IF(RH90&lt;=(YG90+ABT90)/DH90,RH90,(RH90-G90*(YG90+ABT90))/(1-G90*DH90))),RH90/(1-MAX(0,DH90)*H_Exit)))</f>
        <v>0</v>
      </c>
      <c r="UV90" s="20" t="n">
        <f aca="false">IF(AMI89&lt;=0,0,IF(H_Direct=1,IF(DI90&lt;=0,RI90,IF(RI90&lt;=(YH90+ABU90)/DI90,RI90,(RI90-G90*(YH90+ABU90))/(1-G90*DI90))),RI90/(1-MAX(0,DI90)*H_Exit)))</f>
        <v>0</v>
      </c>
      <c r="UW90" s="20" t="n">
        <f aca="false">IF(AMJ89&lt;=0,0,IF(H_Direct=1,IF(DJ90&lt;=0,RJ90,IF(RJ90&lt;=(YI90+ABV90)/DJ90,RJ90,(RJ90-G90*(YI90+ABV90))/(1-G90*DJ90))),RJ90/(1-MAX(0,DJ90)*H_Exit)))</f>
        <v>0</v>
      </c>
      <c r="UX90" s="20" t="n">
        <f aca="false">IF(AMK89&lt;=0,0,IF(H_Direct=1,IF(DK90&lt;=0,RK90,IF(RK90&lt;=(YJ90+ABW90)/DK90,RK90,(RK90-G90*(YJ90+ABW90))/(1-G90*DK90))),RK90/(1-MAX(0,DK90)*H_Exit)))</f>
        <v>0</v>
      </c>
      <c r="UY90" s="20" t="n">
        <f aca="false">IF(AML89&lt;=0,0,IF(H_Direct=1,IF(DL90&lt;=0,RL90,IF(RL90&lt;=(YK90+ABX90)/DL90,RL90,(RL90-G90*(YK90+ABX90))/(1-G90*DL90))),RL90/(1-MAX(0,DL90)*H_Exit)))</f>
        <v>0</v>
      </c>
      <c r="UZ90" s="20" t="n">
        <f aca="false">IF(AMM89&lt;=0,0,IF(H_Direct=1,IF(DM90&lt;=0,RM90,IF(RM90&lt;=(YL90+ABY90)/DM90,RM90,(RM90-G90*(YL90+ABY90))/(1-G90*DM90))),RM90/(1-MAX(0,DM90)*H_Exit)))</f>
        <v>0</v>
      </c>
      <c r="VA90" s="20" t="n">
        <f aca="false">IF(AMN89&lt;=0,0,IF(H_Direct=1,IF(DN90&lt;=0,RN90,IF(RN90&lt;=(YM90+ABZ90)/DN90,RN90,(RN90-G90*(YM90+ABZ90))/(1-G90*DN90))),RN90/(1-MAX(0,DN90)*H_Exit)))</f>
        <v>0</v>
      </c>
      <c r="VB90" s="20" t="n">
        <f aca="false">IF(AMO89&lt;=0,0,IF(H_Direct=1,IF(DO90&lt;=0,RO90,IF(RO90&lt;=(YN90+ACA90)/DO90,RO90,(RO90-G90*(YN90+ACA90))/(1-G90*DO90))),RO90/(1-MAX(0,DO90)*H_Exit)))</f>
        <v>0</v>
      </c>
      <c r="VC90" s="20" t="n">
        <f aca="false">IF(AMP89&lt;=0,0,IF(H_Direct=1,IF(DP90&lt;=0,RP90,IF(RP90&lt;=(YO90+ACB90)/DP90,RP90,(RP90-G90*(YO90+ACB90))/(1-G90*DP90))),RP90/(1-MAX(0,DP90)*H_Exit)))</f>
        <v>0</v>
      </c>
      <c r="VD90" s="20" t="n">
        <f aca="false">IF(AMQ89&lt;=0,0,IF(H_Direct=1,IF(DQ90&lt;=0,RQ90,IF(RQ90&lt;=(YP90+ACC90)/DQ90,RQ90,(RQ90-G90*(YP90+ACC90))/(1-G90*DQ90))),RQ90/(1-MAX(0,DQ90)*H_Exit)))</f>
        <v>0</v>
      </c>
      <c r="VE90" s="20" t="n">
        <f aca="false">IF(AMR89&lt;=0,0,IF(H_Direct=1,IF(DR90&lt;=0,RR90,IF(RR90&lt;=(YQ90+ACD90)/DR90,RR90,(RR90-G90*(YQ90+ACD90))/(1-G90*DR90))),RR90/(1-MAX(0,DR90)*H_Exit)))</f>
        <v>0</v>
      </c>
      <c r="VF90" s="20" t="n">
        <f aca="false">IF(AMS89&lt;=0,0,IF(H_Direct=1,IF(DS90&lt;=0,RS90,IF(RS90&lt;=(YR90+ACE90)/DS90,RS90,(RS90-G90*(YR90+ACE90))/(1-G90*DS90))),RS90/(1-MAX(0,DS90)*H_Exit)))</f>
        <v>0</v>
      </c>
      <c r="VG90" s="20" t="n">
        <f aca="false">IF(AMT89&lt;=0,0,IF(H_Direct=1,IF(DT90&lt;=0,RT90,IF(RT90&lt;=(YS90+ACF90)/DT90,RT90,(RT90-G90*(YS90+ACF90))/(1-G90*DT90))),RT90/(1-MAX(0,DT90)*H_Exit)))</f>
        <v>0</v>
      </c>
      <c r="VH90" s="20" t="n">
        <f aca="false">IF(AMU89&lt;=0,0,IF(H_Direct=1,IF(DU90&lt;=0,RU90,IF(RU90&lt;=(YT90+ACG90)/DU90,RU90,(RU90-G90*(YT90+ACG90))/(1-G90*DU90))),RU90/(1-MAX(0,DU90)*H_Exit)))</f>
        <v>0</v>
      </c>
      <c r="VI90" s="20" t="n">
        <f aca="false">IF(AMV89&lt;=0,0,IF(H_Direct=1,IF(DV90&lt;=0,RV90,IF(RV90&lt;=(YU90+ACH90)/DV90,RV90,(RV90-G90*(YU90+ACH90))/(1-G90*DV90))),RV90/(1-MAX(0,DV90)*H_Exit)))</f>
        <v>0</v>
      </c>
      <c r="VJ90" s="20" t="n">
        <f aca="false">IF(AMW89&lt;=0,0,IF(H_Direct=1,IF(DW90&lt;=0,RW90,IF(RW90&lt;=(YV90+ACI90)/DW90,RW90,(RW90-G90*(YV90+ACI90))/(1-G90*DW90))),RW90/(1-MAX(0,DW90)*H_Exit)))</f>
        <v>0</v>
      </c>
      <c r="VK90" s="20" t="n">
        <f aca="false">IF(AMX89&lt;=0,0,IF(H_Direct=1,IF(DX90&lt;=0,RX90,IF(RX90&lt;=(YW90+ACJ90)/DX90,RX90,(RX90-G90*(YW90+ACJ90))/(1-G90*DX90))),RX90/(1-MAX(0,DX90)*H_Exit)))</f>
        <v>0</v>
      </c>
      <c r="VL90" s="20" t="n">
        <f aca="false">IF(AMY89&lt;=0,0,IF(H_Direct=1,IF(DY90&lt;=0,RY90,IF(RY90&lt;=(YX90+ACK90)/DY90,RY90,(RY90-G90*(YX90+ACK90))/(1-G90*DY90))),RY90/(1-MAX(0,DY90)*H_Exit)))</f>
        <v>0</v>
      </c>
      <c r="VM90" s="20" t="n">
        <f aca="false">IF(AMZ89&lt;=0,0,IF(H_Direct=1,IF(DZ90&lt;=0,RZ90,IF(RZ90&lt;=(YY90+ACL90)/DZ90,RZ90,(RZ90-G90*(YY90+ACL90))/(1-G90*DZ90))),RZ90/(1-MAX(0,DZ90)*H_Exit)))</f>
        <v>0</v>
      </c>
      <c r="VN90" s="20" t="n">
        <f aca="false">IF(ANA89&lt;=0,0,IF(H_Direct=1,IF(EA90&lt;=0,SA90,IF(SA90&lt;=(YZ90+ACM90)/EA90,SA90,(SA90-G90*(YZ90+ACM90))/(1-G90*EA90))),SA90/(1-MAX(0,EA90)*H_Exit)))</f>
        <v>0</v>
      </c>
      <c r="VO90" s="20" t="n">
        <f aca="false">IF(ANB89&lt;=0,0,IF(H_Direct=1,IF(EB90&lt;=0,SB90,IF(SB90&lt;=(ZA90+ACN90)/EB90,SB90,(SB90-G90*(ZA90+ACN90))/(1-G90*EB90))),SB90/(1-MAX(0,EB90)*H_Exit)))</f>
        <v>0</v>
      </c>
      <c r="VP90" s="20" t="n">
        <f aca="false">IF(ANC89&lt;=0,0,IF(H_Direct=1,IF(EC90&lt;=0,SC90,IF(SC90&lt;=(ZB90+ACO90)/EC90,SC90,(SC90-G90*(ZB90+ACO90))/(1-G90*EC90))),SC90/(1-MAX(0,EC90)*H_Exit)))</f>
        <v>0</v>
      </c>
      <c r="VQ90" s="20" t="n">
        <f aca="false">IF(AND89&lt;=0,0,IF(H_Direct=1,IF(ED90&lt;=0,SD90,IF(SD90&lt;=(ZC90+ACP90)/ED90,SD90,(SD90-G90*(ZC90+ACP90))/(1-G90*ED90))),SD90/(1-MAX(0,ED90)*H_Exit)))</f>
        <v>0</v>
      </c>
      <c r="VR90" s="20" t="n">
        <f aca="false">IF(ANE89&lt;=0,0,IF(H_Direct=1,IF(EE90&lt;=0,SE90,IF(SE90&lt;=(ZD90+ACQ90)/EE90,SE90,(SE90-G90*(ZD90+ACQ90))/(1-G90*EE90))),SE90/(1-MAX(0,EE90)*H_Exit)))</f>
        <v>0</v>
      </c>
      <c r="VS90" s="20" t="n">
        <f aca="false">IF(ANF89&lt;=0,0,IF(H_Direct=1,IF(EF90&lt;=0,SF90,IF(SF90&lt;=(ZE90+ACR90)/EF90,SF90,(SF90-G90*(ZE90+ACR90))/(1-G90*EF90))),SF90/(1-MAX(0,EF90)*H_Exit)))</f>
        <v>0</v>
      </c>
      <c r="VT90" s="20" t="n">
        <f aca="false">IF(ANG89&lt;=0,0,IF(H_Direct=1,IF(EG90&lt;=0,SG90,IF(SG90&lt;=(ZF90+ACS90)/EG90,SG90,(SG90-G90*(ZF90+ACS90))/(1-G90*EG90))),SG90/(1-MAX(0,EG90)*H_Exit)))</f>
        <v>0</v>
      </c>
      <c r="VU90" s="20" t="n">
        <f aca="false">IF(ANH89&lt;=0,0,IF(H_Direct=1,IF(EH90&lt;=0,SH90,IF(SH90&lt;=(ZG90+ACT90)/EH90,SH90,(SH90-G90*(ZG90+ACT90))/(1-G90*EH90))),SH90/(1-MAX(0,EH90)*H_Exit)))</f>
        <v>0</v>
      </c>
      <c r="VV90" s="20" t="n">
        <f aca="false">IF(ANI89&lt;=0,0,IF(H_Direct=1,IF(EI90&lt;=0,SI90,IF(SI90&lt;=(ZH90+ACU90)/EI90,SI90,(SI90-G90*(ZH90+ACU90))/(1-G90*EI90))),SI90/(1-MAX(0,EI90)*H_Exit)))</f>
        <v>0</v>
      </c>
      <c r="VW90" s="20" t="n">
        <f aca="false">IF(ANJ89&lt;=0,0,IF(H_Direct=1,IF(EJ90&lt;=0,SJ90,IF(SJ90&lt;=(ZI90+ACV90)/EJ90,SJ90,(SJ90-G90*(ZI90+ACV90))/(1-G90*EJ90))),SJ90/(1-MAX(0,EJ90)*H_Exit)))</f>
        <v>0</v>
      </c>
      <c r="VX90" s="20" t="n">
        <f aca="false">IF(ANK89&lt;=0,0,IF(H_Direct=1,IF(EK90&lt;=0,SK90,IF(SK90&lt;=(ZJ90+ACW90)/EK90,SK90,(SK90-G90*(ZJ90+ACW90))/(1-G90*EK90))),SK90/(1-MAX(0,EK90)*H_Exit)))</f>
        <v>0</v>
      </c>
      <c r="VY90" s="20" t="n">
        <f aca="false">IF(ANL89&lt;=0,0,IF(H_Direct=1,IF(EL90&lt;=0,SL90,IF(SL90&lt;=(ZK90+ACX90)/EL90,SL90,(SL90-G90*(ZK90+ACX90))/(1-G90*EL90))),SL90/(1-MAX(0,EL90)*H_Exit)))</f>
        <v>0</v>
      </c>
      <c r="VZ90" s="20" t="n">
        <f aca="false">IF(ANM89&lt;=0,0,IF(H_Direct=1,IF(EM90&lt;=0,SM90,IF(SM90&lt;=(ZL90+ACY90)/EM90,SM90,(SM90-G90*(ZL90+ACY90))/(1-G90*EM90))),SM90/(1-MAX(0,EM90)*H_Exit)))</f>
        <v>0</v>
      </c>
      <c r="WA90" s="20" t="n">
        <f aca="false">IF(ANN89&lt;=0,0,IF(H_Direct=1,IF(EN90&lt;=0,SN90,IF(SN90&lt;=(ZM90+ACZ90)/EN90,SN90,(SN90-G90*(ZM90+ACZ90))/(1-G90*EN90))),SN90/(1-MAX(0,EN90)*H_Exit)))</f>
        <v>0</v>
      </c>
      <c r="WB90" s="20" t="n">
        <f aca="false">IF(ANO89&lt;=0,0,IF(H_Direct=1,IF(EO90&lt;=0,SO90,IF(SO90&lt;=(ZN90+ADA90)/EO90,SO90,(SO90-G90*(ZN90+ADA90))/(1-G90*EO90))),SO90/(1-MAX(0,EO90)*H_Exit)))</f>
        <v>0</v>
      </c>
      <c r="WC90" s="20" t="n">
        <f aca="false">IF(ANP89&lt;=0,0,IF(H_Direct=1,IF(EP90&lt;=0,SP90,IF(SP90&lt;=(ZO90+ADB90)/EP90,SP90,(SP90-G90*(ZO90+ADB90))/(1-G90*EP90))),SP90/(1-MAX(0,EP90)*H_Exit)))</f>
        <v>0</v>
      </c>
      <c r="WD90" s="20" t="n">
        <f aca="false">IF(ANQ89&lt;=0,0,IF(H_Direct=1,IF(EQ90&lt;=0,SQ90,IF(SQ90&lt;=(ZP90+ADC90)/EQ90,SQ90,(SQ90-G90*(ZP90+ADC90))/(1-G90*EQ90))),SQ90/(1-MAX(0,EQ90)*H_Exit)))</f>
        <v>0</v>
      </c>
      <c r="WE90" s="20" t="n">
        <f aca="false">IF(ANR89&lt;=0,0,IF(H_Direct=1,IF(ER90&lt;=0,SR90,IF(SR90&lt;=(ZQ90+ADD90)/ER90,SR90,(SR90-G90*(ZQ90+ADD90))/(1-G90*ER90))),SR90/(1-MAX(0,ER90)*H_Exit)))</f>
        <v>0</v>
      </c>
      <c r="WF90" s="20" t="n">
        <f aca="false">IF(ANS89&lt;=0,0,IF(H_Direct=1,IF(ES90&lt;=0,SS90,IF(SS90&lt;=(ZR90+ADE90)/ES90,SS90,(SS90-G90*(ZR90+ADE90))/(1-G90*ES90))),SS90/(1-MAX(0,ES90)*H_Exit)))</f>
        <v>0</v>
      </c>
      <c r="WG90" s="20" t="n">
        <f aca="false">IF(ANT89&lt;=0,0,IF(H_Direct=1,IF(ET90&lt;=0,ST90,IF(ST90&lt;=(ZS90+ADF90)/ET90,ST90,(ST90-G90*(ZS90+ADF90))/(1-G90*ET90))),ST90/(1-MAX(0,ET90)*H_Exit)))</f>
        <v>0</v>
      </c>
      <c r="WH90" s="20" t="n">
        <f aca="false">IF(ANU89&lt;=0,0,IF(H_Direct=1,IF(EU90&lt;=0,SU90,IF(SU90&lt;=(ZT90+ADG90)/EU90,SU90,(SU90-G90*(ZT90+ADG90))/(1-G90*EU90))),SU90/(1-MAX(0,EU90)*H_Exit)))</f>
        <v>0</v>
      </c>
      <c r="WI90" s="20" t="n">
        <f aca="false">IF(ANV89&lt;=0,0,IF(H_Direct=1,IF(EV90&lt;=0,SV90,IF(SV90&lt;=(ZU90+ADH90)/EV90,SV90,(SV90-G90*(ZU90+ADH90))/(1-G90*EV90))),SV90/(1-MAX(0,EV90)*H_Exit)))</f>
        <v>0</v>
      </c>
      <c r="WJ90" s="20" t="n">
        <f aca="false">IF((P90+S90)&lt;=0,0,IF(H_Direct=1,IF(EW90&lt;=0,SW90,IF(SW90&lt;=(ZV90+ADI90)/EW90,SW90,(SW90-G90*(ZV90+ADI90))/(1-G90*EW90))),SW90/(1-MAX(0,EW90)*H_Exit)))</f>
        <v>0</v>
      </c>
      <c r="WK90" s="20" t="n">
        <v>0</v>
      </c>
      <c r="WL90" s="20" t="n">
        <v>0</v>
      </c>
      <c r="WM90" s="20" t="n">
        <v>0</v>
      </c>
      <c r="WN90" s="20" t="n">
        <v>0</v>
      </c>
      <c r="WO90" s="20" t="n">
        <v>0</v>
      </c>
      <c r="WP90" s="20" t="n">
        <v>0</v>
      </c>
      <c r="WQ90" s="20" t="n">
        <v>0</v>
      </c>
      <c r="WR90" s="20" t="n">
        <f aca="false">IF(AND(H_Direct=1,BR90&gt;0),MAX(0,H90-(MIN(BR90*TE90,(H90+I90))-MIN(MIN(BR90*TE90,(H90+I90)),I90))),H90)</f>
        <v>1270</v>
      </c>
      <c r="WS90" s="20" t="n">
        <f aca="false">IF(AND(H_Direct=1,BS90&gt;0),MAX(0,WR90-(MIN(BS90*TF90,(WR90+AAE90))-MIN(MIN(BS90*TF90,(WR90+AAE90)),AAE90))),WR90)</f>
        <v>1270</v>
      </c>
      <c r="WT90" s="20" t="n">
        <f aca="false">IF(AND(H_Direct=1,BT90&gt;0),MAX(0,WS90-(MIN(BT90*TG90,(WS90+AAF90))-MIN(MIN(BT90*TG90,(WS90+AAF90)),AAF90))),WS90)</f>
        <v>1270</v>
      </c>
      <c r="WU90" s="20" t="n">
        <f aca="false">IF(AND(H_Direct=1,BU90&gt;0),MAX(0,WT90-(MIN(BU90*TH90,(WT90+AAG90))-MIN(MIN(BU90*TH90,(WT90+AAG90)),AAG90))),WT90)</f>
        <v>1270</v>
      </c>
      <c r="WV90" s="20" t="n">
        <f aca="false">IF(AND(H_Direct=1,BV90&gt;0),MAX(0,WU90-(MIN(BV90*TI90,(WU90+AAH90))-MIN(MIN(BV90*TI90,(WU90+AAH90)),AAH90))),WU90)</f>
        <v>1270</v>
      </c>
      <c r="WW90" s="20" t="n">
        <f aca="false">IF(AND(H_Direct=1,BW90&gt;0),MAX(0,WV90-(MIN(BW90*TJ90,(WV90+AAI90))-MIN(MIN(BW90*TJ90,(WV90+AAI90)),AAI90))),WV90)</f>
        <v>1270</v>
      </c>
      <c r="WX90" s="20" t="n">
        <f aca="false">IF(AND(H_Direct=1,BX90&gt;0),MAX(0,WW90-(MIN(BX90*TK90,(WW90+AAJ90))-MIN(MIN(BX90*TK90,(WW90+AAJ90)),AAJ90))),WW90)</f>
        <v>1270</v>
      </c>
      <c r="WY90" s="20" t="n">
        <f aca="false">IF(AND(H_Direct=1,BY90&gt;0),MAX(0,WX90-(MIN(BY90*TL90,(WX90+AAK90))-MIN(MIN(BY90*TL90,(WX90+AAK90)),AAK90))),WX90)</f>
        <v>1270</v>
      </c>
      <c r="WZ90" s="20" t="n">
        <f aca="false">IF(AND(H_Direct=1,BZ90&gt;0),MAX(0,WY90-(MIN(BZ90*TM90,(WY90+AAL90))-MIN(MIN(BZ90*TM90,(WY90+AAL90)),AAL90))),WY90)</f>
        <v>1270</v>
      </c>
      <c r="XA90" s="20" t="n">
        <f aca="false">IF(AND(H_Direct=1,CA90&gt;0),MAX(0,WZ90-(MIN(CA90*TN90,(WZ90+AAM90))-MIN(MIN(CA90*TN90,(WZ90+AAM90)),AAM90))),WZ90)</f>
        <v>1270</v>
      </c>
      <c r="XB90" s="20" t="n">
        <f aca="false">IF(AND(H_Direct=1,CB90&gt;0),MAX(0,XA90-(MIN(CB90*TO90,(XA90+AAN90))-MIN(MIN(CB90*TO90,(XA90+AAN90)),AAN90))),XA90)</f>
        <v>1270</v>
      </c>
      <c r="XC90" s="20" t="n">
        <f aca="false">IF(AND(H_Direct=1,CC90&gt;0),MAX(0,XB90-(MIN(CC90*TP90,(XB90+AAO90))-MIN(MIN(CC90*TP90,(XB90+AAO90)),AAO90))),XB90)</f>
        <v>1270</v>
      </c>
      <c r="XD90" s="20" t="n">
        <f aca="false">IF(AND(H_Direct=1,CD90&gt;0),MAX(0,XC90-(MIN(CD90*TQ90,(XC90+AAP90))-MIN(MIN(CD90*TQ90,(XC90+AAP90)),AAP90))),XC90)</f>
        <v>1270</v>
      </c>
      <c r="XE90" s="20" t="n">
        <f aca="false">IF(AND(H_Direct=1,CE90&gt;0),MAX(0,XD90-(MIN(CE90*TR90,(XD90+AAQ90))-MIN(MIN(CE90*TR90,(XD90+AAQ90)),AAQ90))),XD90)</f>
        <v>1270</v>
      </c>
      <c r="XF90" s="20" t="n">
        <f aca="false">IF(AND(H_Direct=1,CF90&gt;0),MAX(0,XE90-(MIN(CF90*TS90,(XE90+AAR90))-MIN(MIN(CF90*TS90,(XE90+AAR90)),AAR90))),XE90)</f>
        <v>1270</v>
      </c>
      <c r="XG90" s="20" t="n">
        <f aca="false">IF(AND(H_Direct=1,CG90&gt;0),MAX(0,XF90-(MIN(CG90*TT90,(XF90+AAS90))-MIN(MIN(CG90*TT90,(XF90+AAS90)),AAS90))),XF90)</f>
        <v>1270</v>
      </c>
      <c r="XH90" s="20" t="n">
        <f aca="false">IF(AND(H_Direct=1,CH90&gt;0),MAX(0,XG90-(MIN(CH90*TU90,(XG90+AAT90))-MIN(MIN(CH90*TU90,(XG90+AAT90)),AAT90))),XG90)</f>
        <v>1270</v>
      </c>
      <c r="XI90" s="20" t="n">
        <f aca="false">IF(AND(H_Direct=1,CI90&gt;0),MAX(0,XH90-(MIN(CI90*TV90,(XH90+AAU90))-MIN(MIN(CI90*TV90,(XH90+AAU90)),AAU90))),XH90)</f>
        <v>1270</v>
      </c>
      <c r="XJ90" s="20" t="n">
        <f aca="false">IF(AND(H_Direct=1,CJ90&gt;0),MAX(0,XI90-(MIN(CJ90*TW90,(XI90+AAV90))-MIN(MIN(CJ90*TW90,(XI90+AAV90)),AAV90))),XI90)</f>
        <v>1270</v>
      </c>
      <c r="XK90" s="20" t="n">
        <f aca="false">IF(AND(H_Direct=1,CK90&gt;0),MAX(0,XJ90-(MIN(CK90*TX90,(XJ90+AAW90))-MIN(MIN(CK90*TX90,(XJ90+AAW90)),AAW90))),XJ90)</f>
        <v>1270</v>
      </c>
      <c r="XL90" s="20" t="n">
        <f aca="false">IF(AND(H_Direct=1,CL90&gt;0),MAX(0,XK90-(MIN(CL90*TY90,(XK90+AAX90))-MIN(MIN(CL90*TY90,(XK90+AAX90)),AAX90))),XK90)</f>
        <v>1270</v>
      </c>
      <c r="XM90" s="20" t="n">
        <f aca="false">IF(AND(H_Direct=1,CM90&gt;0),MAX(0,XL90-(MIN(CM90*TZ90,(XL90+AAY90))-MIN(MIN(CM90*TZ90,(XL90+AAY90)),AAY90))),XL90)</f>
        <v>1270</v>
      </c>
      <c r="XN90" s="20" t="n">
        <f aca="false">IF(AND(H_Direct=1,CN90&gt;0),MAX(0,XM90-(MIN(CN90*UA90,(XM90+AAZ90))-MIN(MIN(CN90*UA90,(XM90+AAZ90)),AAZ90))),XM90)</f>
        <v>1270</v>
      </c>
      <c r="XO90" s="20" t="n">
        <f aca="false">IF(AND(H_Direct=1,CO90&gt;0),MAX(0,XN90-(MIN(CO90*UB90,(XN90+ABA90))-MIN(MIN(CO90*UB90,(XN90+ABA90)),ABA90))),XN90)</f>
        <v>1270</v>
      </c>
      <c r="XP90" s="20" t="n">
        <f aca="false">IF(AND(H_Direct=1,CP90&gt;0),MAX(0,XO90-(MIN(CP90*UC90,(XO90+ABB90))-MIN(MIN(CP90*UC90,(XO90+ABB90)),ABB90))),XO90)</f>
        <v>1270</v>
      </c>
      <c r="XQ90" s="20" t="n">
        <f aca="false">IF(AND(H_Direct=1,CQ90&gt;0),MAX(0,XP90-(MIN(CQ90*UD90,(XP90+ABC90))-MIN(MIN(CQ90*UD90,(XP90+ABC90)),ABC90))),XP90)</f>
        <v>1270</v>
      </c>
      <c r="XR90" s="20" t="n">
        <f aca="false">IF(AND(H_Direct=1,CR90&gt;0),MAX(0,XQ90-(MIN(CR90*UE90,(XQ90+ABD90))-MIN(MIN(CR90*UE90,(XQ90+ABD90)),ABD90))),XQ90)</f>
        <v>1270</v>
      </c>
      <c r="XS90" s="20" t="n">
        <f aca="false">IF(AND(H_Direct=1,CS90&gt;0),MAX(0,XR90-(MIN(CS90*UF90,(XR90+ABE90))-MIN(MIN(CS90*UF90,(XR90+ABE90)),ABE90))),XR90)</f>
        <v>1270</v>
      </c>
      <c r="XT90" s="20" t="n">
        <f aca="false">IF(AND(H_Direct=1,CT90&gt;0),MAX(0,XS90-(MIN(CT90*UG90,(XS90+ABF90))-MIN(MIN(CT90*UG90,(XS90+ABF90)),ABF90))),XS90)</f>
        <v>1270</v>
      </c>
      <c r="XU90" s="20" t="n">
        <f aca="false">IF(AND(H_Direct=1,CU90&gt;0),MAX(0,XT90-(MIN(CU90*UH90,(XT90+ABG90))-MIN(MIN(CU90*UH90,(XT90+ABG90)),ABG90))),XT90)</f>
        <v>1270</v>
      </c>
      <c r="XV90" s="20" t="n">
        <f aca="false">IF(AND(H_Direct=1,CV90&gt;0),MAX(0,XU90-(MIN(CV90*UI90,(XU90+ABH90))-MIN(MIN(CV90*UI90,(XU90+ABH90)),ABH90))),XU90)</f>
        <v>1270</v>
      </c>
      <c r="XW90" s="20" t="n">
        <f aca="false">IF(AND(H_Direct=1,CW90&gt;0),MAX(0,XV90-(MIN(CW90*UJ90,(XV90+ABI90))-MIN(MIN(CW90*UJ90,(XV90+ABI90)),ABI90))),XV90)</f>
        <v>1270</v>
      </c>
      <c r="XX90" s="20" t="n">
        <f aca="false">IF(AND(H_Direct=1,CX90&gt;0),MAX(0,XW90-(MIN(CX90*UK90,(XW90+ABJ90))-MIN(MIN(CX90*UK90,(XW90+ABJ90)),ABJ90))),XW90)</f>
        <v>1270</v>
      </c>
      <c r="XY90" s="20" t="n">
        <f aca="false">IF(AND(H_Direct=1,CY90&gt;0),MAX(0,XX90-(MIN(CY90*UL90,(XX90+ABK90))-MIN(MIN(CY90*UL90,(XX90+ABK90)),ABK90))),XX90)</f>
        <v>1270</v>
      </c>
      <c r="XZ90" s="20" t="n">
        <f aca="false">IF(AND(H_Direct=1,CZ90&gt;0),MAX(0,XY90-(MIN(CZ90*UM90,(XY90+ABL90))-MIN(MIN(CZ90*UM90,(XY90+ABL90)),ABL90))),XY90)</f>
        <v>1270</v>
      </c>
      <c r="YA90" s="20" t="n">
        <f aca="false">IF(AND(H_Direct=1,DA90&gt;0),MAX(0,XZ90-(MIN(DA90*UN90,(XZ90+ABM90))-MIN(MIN(DA90*UN90,(XZ90+ABM90)),ABM90))),XZ90)</f>
        <v>1270</v>
      </c>
      <c r="YB90" s="20" t="n">
        <f aca="false">IF(AND(H_Direct=1,DB90&gt;0),MAX(0,YA90-(MIN(DB90*UO90,(YA90+ABN90))-MIN(MIN(DB90*UO90,(YA90+ABN90)),ABN90))),YA90)</f>
        <v>1270</v>
      </c>
      <c r="YC90" s="20" t="n">
        <f aca="false">IF(AND(H_Direct=1,DC90&gt;0),MAX(0,YB90-(MIN(DC90*UP90,(YB90+ABO90))-MIN(MIN(DC90*UP90,(YB90+ABO90)),ABO90))),YB90)</f>
        <v>1270</v>
      </c>
      <c r="YD90" s="20" t="n">
        <f aca="false">IF(AND(H_Direct=1,DD90&gt;0),MAX(0,YC90-(MIN(DD90*UQ90,(YC90+ABP90))-MIN(MIN(DD90*UQ90,(YC90+ABP90)),ABP90))),YC90)</f>
        <v>1270</v>
      </c>
      <c r="YE90" s="20" t="n">
        <f aca="false">IF(AND(H_Direct=1,DE90&gt;0),MAX(0,YD90-(MIN(DE90*UR90,(YD90+ABQ90))-MIN(MIN(DE90*UR90,(YD90+ABQ90)),ABQ90))),YD90)</f>
        <v>1270</v>
      </c>
      <c r="YF90" s="20" t="n">
        <f aca="false">IF(AND(H_Direct=1,DF90&gt;0),MAX(0,YE90-(MIN(DF90*US90,(YE90+ABR90))-MIN(MIN(DF90*US90,(YE90+ABR90)),ABR90))),YE90)</f>
        <v>1270</v>
      </c>
      <c r="YG90" s="20" t="n">
        <f aca="false">IF(AND(H_Direct=1,DG90&gt;0),MAX(0,YF90-(MIN(DG90*UT90,(YF90+ABS90))-MIN(MIN(DG90*UT90,(YF90+ABS90)),ABS90))),YF90)</f>
        <v>1270</v>
      </c>
      <c r="YH90" s="20" t="n">
        <f aca="false">IF(AND(H_Direct=1,DH90&gt;0),MAX(0,YG90-(MIN(DH90*UU90,(YG90+ABT90))-MIN(MIN(DH90*UU90,(YG90+ABT90)),ABT90))),YG90)</f>
        <v>1270</v>
      </c>
      <c r="YI90" s="20" t="n">
        <f aca="false">IF(AND(H_Direct=1,DI90&gt;0),MAX(0,YH90-(MIN(DI90*UV90,(YH90+ABU90))-MIN(MIN(DI90*UV90,(YH90+ABU90)),ABU90))),YH90)</f>
        <v>1270</v>
      </c>
      <c r="YJ90" s="20" t="n">
        <f aca="false">IF(AND(H_Direct=1,DJ90&gt;0),MAX(0,YI90-(MIN(DJ90*UW90,(YI90+ABV90))-MIN(MIN(DJ90*UW90,(YI90+ABV90)),ABV90))),YI90)</f>
        <v>1270</v>
      </c>
      <c r="YK90" s="20" t="n">
        <f aca="false">IF(AND(H_Direct=1,DK90&gt;0),MAX(0,YJ90-(MIN(DK90*UX90,(YJ90+ABW90))-MIN(MIN(DK90*UX90,(YJ90+ABW90)),ABW90))),YJ90)</f>
        <v>1270</v>
      </c>
      <c r="YL90" s="20" t="n">
        <f aca="false">IF(AND(H_Direct=1,DL90&gt;0),MAX(0,YK90-(MIN(DL90*UY90,(YK90+ABX90))-MIN(MIN(DL90*UY90,(YK90+ABX90)),ABX90))),YK90)</f>
        <v>1270</v>
      </c>
      <c r="YM90" s="20" t="n">
        <f aca="false">IF(AND(H_Direct=1,DM90&gt;0),MAX(0,YL90-(MIN(DM90*UZ90,(YL90+ABY90))-MIN(MIN(DM90*UZ90,(YL90+ABY90)),ABY90))),YL90)</f>
        <v>1270</v>
      </c>
      <c r="YN90" s="20" t="n">
        <f aca="false">IF(AND(H_Direct=1,DN90&gt;0),MAX(0,YM90-(MIN(DN90*VA90,(YM90+ABZ90))-MIN(MIN(DN90*VA90,(YM90+ABZ90)),ABZ90))),YM90)</f>
        <v>1270</v>
      </c>
      <c r="YO90" s="20" t="n">
        <f aca="false">IF(AND(H_Direct=1,DO90&gt;0),MAX(0,YN90-(MIN(DO90*VB90,(YN90+ACA90))-MIN(MIN(DO90*VB90,(YN90+ACA90)),ACA90))),YN90)</f>
        <v>1270</v>
      </c>
      <c r="YP90" s="20" t="n">
        <f aca="false">IF(AND(H_Direct=1,DP90&gt;0),MAX(0,YO90-(MIN(DP90*VC90,(YO90+ACB90))-MIN(MIN(DP90*VC90,(YO90+ACB90)),ACB90))),YO90)</f>
        <v>1270</v>
      </c>
      <c r="YQ90" s="20" t="n">
        <f aca="false">IF(AND(H_Direct=1,DQ90&gt;0),MAX(0,YP90-(MIN(DQ90*VD90,(YP90+ACC90))-MIN(MIN(DQ90*VD90,(YP90+ACC90)),ACC90))),YP90)</f>
        <v>1270</v>
      </c>
      <c r="YR90" s="20" t="n">
        <f aca="false">IF(AND(H_Direct=1,DR90&gt;0),MAX(0,YQ90-(MIN(DR90*VE90,(YQ90+ACD90))-MIN(MIN(DR90*VE90,(YQ90+ACD90)),ACD90))),YQ90)</f>
        <v>1270</v>
      </c>
      <c r="YS90" s="20" t="n">
        <f aca="false">IF(AND(H_Direct=1,DS90&gt;0),MAX(0,YR90-(MIN(DS90*VF90,(YR90+ACE90))-MIN(MIN(DS90*VF90,(YR90+ACE90)),ACE90))),YR90)</f>
        <v>1270</v>
      </c>
      <c r="YT90" s="20" t="n">
        <f aca="false">IF(AND(H_Direct=1,DT90&gt;0),MAX(0,YS90-(MIN(DT90*VG90,(YS90+ACF90))-MIN(MIN(DT90*VG90,(YS90+ACF90)),ACF90))),YS90)</f>
        <v>1270</v>
      </c>
      <c r="YU90" s="20" t="n">
        <f aca="false">IF(AND(H_Direct=1,DU90&gt;0),MAX(0,YT90-(MIN(DU90*VH90,(YT90+ACG90))-MIN(MIN(DU90*VH90,(YT90+ACG90)),ACG90))),YT90)</f>
        <v>1270</v>
      </c>
      <c r="YV90" s="20" t="n">
        <f aca="false">IF(AND(H_Direct=1,DV90&gt;0),MAX(0,YU90-(MIN(DV90*VI90,(YU90+ACH90))-MIN(MIN(DV90*VI90,(YU90+ACH90)),ACH90))),YU90)</f>
        <v>1270</v>
      </c>
      <c r="YW90" s="20" t="n">
        <f aca="false">IF(AND(H_Direct=1,DW90&gt;0),MAX(0,YV90-(MIN(DW90*VJ90,(YV90+ACI90))-MIN(MIN(DW90*VJ90,(YV90+ACI90)),ACI90))),YV90)</f>
        <v>1270</v>
      </c>
      <c r="YX90" s="20" t="n">
        <f aca="false">IF(AND(H_Direct=1,DX90&gt;0),MAX(0,YW90-(MIN(DX90*VK90,(YW90+ACJ90))-MIN(MIN(DX90*VK90,(YW90+ACJ90)),ACJ90))),YW90)</f>
        <v>1270</v>
      </c>
      <c r="YY90" s="20" t="n">
        <f aca="false">IF(AND(H_Direct=1,DY90&gt;0),MAX(0,YX90-(MIN(DY90*VL90,(YX90+ACK90))-MIN(MIN(DY90*VL90,(YX90+ACK90)),ACK90))),YX90)</f>
        <v>1270</v>
      </c>
      <c r="YZ90" s="20" t="n">
        <f aca="false">IF(AND(H_Direct=1,DZ90&gt;0),MAX(0,YY90-(MIN(DZ90*VM90,(YY90+ACL90))-MIN(MIN(DZ90*VM90,(YY90+ACL90)),ACL90))),YY90)</f>
        <v>1270</v>
      </c>
      <c r="ZA90" s="20" t="n">
        <f aca="false">IF(AND(H_Direct=1,EA90&gt;0),MAX(0,YZ90-(MIN(EA90*VN90,(YZ90+ACM90))-MIN(MIN(EA90*VN90,(YZ90+ACM90)),ACM90))),YZ90)</f>
        <v>1270</v>
      </c>
      <c r="ZB90" s="20" t="n">
        <f aca="false">IF(AND(H_Direct=1,EB90&gt;0),MAX(0,ZA90-(MIN(EB90*VO90,(ZA90+ACN90))-MIN(MIN(EB90*VO90,(ZA90+ACN90)),ACN90))),ZA90)</f>
        <v>1270</v>
      </c>
      <c r="ZC90" s="20" t="n">
        <f aca="false">IF(AND(H_Direct=1,EC90&gt;0),MAX(0,ZB90-(MIN(EC90*VP90,(ZB90+ACO90))-MIN(MIN(EC90*VP90,(ZB90+ACO90)),ACO90))),ZB90)</f>
        <v>1270</v>
      </c>
      <c r="ZD90" s="20" t="n">
        <f aca="false">IF(AND(H_Direct=1,ED90&gt;0),MAX(0,ZC90-(MIN(ED90*VQ90,(ZC90+ACP90))-MIN(MIN(ED90*VQ90,(ZC90+ACP90)),ACP90))),ZC90)</f>
        <v>1270</v>
      </c>
      <c r="ZE90" s="20" t="n">
        <f aca="false">IF(AND(H_Direct=1,EE90&gt;0),MAX(0,ZD90-(MIN(EE90*VR90,(ZD90+ACQ90))-MIN(MIN(EE90*VR90,(ZD90+ACQ90)),ACQ90))),ZD90)</f>
        <v>1270</v>
      </c>
      <c r="ZF90" s="20" t="n">
        <f aca="false">IF(AND(H_Direct=1,EF90&gt;0),MAX(0,ZE90-(MIN(EF90*VS90,(ZE90+ACR90))-MIN(MIN(EF90*VS90,(ZE90+ACR90)),ACR90))),ZE90)</f>
        <v>1270</v>
      </c>
      <c r="ZG90" s="20" t="n">
        <f aca="false">IF(AND(H_Direct=1,EG90&gt;0),MAX(0,ZF90-(MIN(EG90*VT90,(ZF90+ACS90))-MIN(MIN(EG90*VT90,(ZF90+ACS90)),ACS90))),ZF90)</f>
        <v>1270</v>
      </c>
      <c r="ZH90" s="20" t="n">
        <f aca="false">IF(AND(H_Direct=1,EH90&gt;0),MAX(0,ZG90-(MIN(EH90*VU90,(ZG90+ACT90))-MIN(MIN(EH90*VU90,(ZG90+ACT90)),ACT90))),ZG90)</f>
        <v>1270</v>
      </c>
      <c r="ZI90" s="20" t="n">
        <f aca="false">IF(AND(H_Direct=1,EI90&gt;0),MAX(0,ZH90-(MIN(EI90*VV90,(ZH90+ACU90))-MIN(MIN(EI90*VV90,(ZH90+ACU90)),ACU90))),ZH90)</f>
        <v>1270</v>
      </c>
      <c r="ZJ90" s="20" t="n">
        <f aca="false">IF(AND(H_Direct=1,EJ90&gt;0),MAX(0,ZI90-(MIN(EJ90*VW90,(ZI90+ACV90))-MIN(MIN(EJ90*VW90,(ZI90+ACV90)),ACV90))),ZI90)</f>
        <v>1270</v>
      </c>
      <c r="ZK90" s="20" t="n">
        <f aca="false">IF(AND(H_Direct=1,EK90&gt;0),MAX(0,ZJ90-(MIN(EK90*VX90,(ZJ90+ACW90))-MIN(MIN(EK90*VX90,(ZJ90+ACW90)),ACW90))),ZJ90)</f>
        <v>1270</v>
      </c>
      <c r="ZL90" s="20" t="n">
        <f aca="false">IF(AND(H_Direct=1,EL90&gt;0),MAX(0,ZK90-(MIN(EL90*VY90,(ZK90+ACX90))-MIN(MIN(EL90*VY90,(ZK90+ACX90)),ACX90))),ZK90)</f>
        <v>1270</v>
      </c>
      <c r="ZM90" s="20" t="n">
        <f aca="false">IF(AND(H_Direct=1,EM90&gt;0),MAX(0,ZL90-(MIN(EM90*VZ90,(ZL90+ACY90))-MIN(MIN(EM90*VZ90,(ZL90+ACY90)),ACY90))),ZL90)</f>
        <v>1270</v>
      </c>
      <c r="ZN90" s="20" t="n">
        <f aca="false">IF(AND(H_Direct=1,EN90&gt;0),MAX(0,ZM90-(MIN(EN90*WA90,(ZM90+ACZ90))-MIN(MIN(EN90*WA90,(ZM90+ACZ90)),ACZ90))),ZM90)</f>
        <v>1270</v>
      </c>
      <c r="ZO90" s="20" t="n">
        <f aca="false">IF(AND(H_Direct=1,EO90&gt;0),MAX(0,ZN90-(MIN(EO90*WB90,(ZN90+ADA90))-MIN(MIN(EO90*WB90,(ZN90+ADA90)),ADA90))),ZN90)</f>
        <v>1270</v>
      </c>
      <c r="ZP90" s="20" t="n">
        <f aca="false">IF(AND(H_Direct=1,EP90&gt;0),MAX(0,ZO90-(MIN(EP90*WC90,(ZO90+ADB90))-MIN(MIN(EP90*WC90,(ZO90+ADB90)),ADB90))),ZO90)</f>
        <v>1270</v>
      </c>
      <c r="ZQ90" s="20" t="n">
        <f aca="false">IF(AND(H_Direct=1,EQ90&gt;0),MAX(0,ZP90-(MIN(EQ90*WD90,(ZP90+ADC90))-MIN(MIN(EQ90*WD90,(ZP90+ADC90)),ADC90))),ZP90)</f>
        <v>1270</v>
      </c>
      <c r="ZR90" s="20" t="n">
        <f aca="false">IF(AND(H_Direct=1,ER90&gt;0),MAX(0,ZQ90-(MIN(ER90*WE90,(ZQ90+ADD90))-MIN(MIN(ER90*WE90,(ZQ90+ADD90)),ADD90))),ZQ90)</f>
        <v>1270</v>
      </c>
      <c r="ZS90" s="20" t="n">
        <f aca="false">IF(AND(H_Direct=1,ES90&gt;0),MAX(0,ZR90-(MIN(ES90*WF90,(ZR90+ADE90))-MIN(MIN(ES90*WF90,(ZR90+ADE90)),ADE90))),ZR90)</f>
        <v>1270</v>
      </c>
      <c r="ZT90" s="20" t="n">
        <f aca="false">IF(AND(H_Direct=1,ET90&gt;0),MAX(0,ZS90-(MIN(ET90*WG90,(ZS90+ADF90))-MIN(MIN(ET90*WG90,(ZS90+ADF90)),ADF90))),ZS90)</f>
        <v>1270</v>
      </c>
      <c r="ZU90" s="20" t="n">
        <f aca="false">IF(AND(H_Direct=1,EU90&gt;0),MAX(0,ZT90-(MIN(EU90*WH90,(ZT90+ADG90))-MIN(MIN(EU90*WH90,(ZT90+ADG90)),ADG90))),ZT90)</f>
        <v>1270</v>
      </c>
      <c r="ZV90" s="20" t="n">
        <f aca="false">IF(AND(H_Direct=1,EV90&gt;0),MAX(0,ZU90-(MIN(EV90*WI90,(ZU90+ADH90))-MIN(MIN(EV90*WI90,(ZU90+ADH90)),ADH90))),ZU90)</f>
        <v>1270</v>
      </c>
      <c r="ZW90" s="20" t="n">
        <f aca="false">IF(AND(H_Direct=1,EW90&gt;0),MAX(0,ZV90-(MIN(EW90*WJ90,(ZV90+ADI90))-MIN(MIN(EW90*WJ90,(ZV90+ADI90)),ADI90))),ZV90)</f>
        <v>1270</v>
      </c>
      <c r="ZX90" s="20" t="n">
        <f aca="false">ZW90</f>
        <v>1270</v>
      </c>
      <c r="ZY90" s="20" t="n">
        <f aca="false">ZX90</f>
        <v>1270</v>
      </c>
      <c r="ZZ90" s="20" t="n">
        <f aca="false">ZY90</f>
        <v>1270</v>
      </c>
      <c r="AAA90" s="20" t="n">
        <f aca="false">ZZ90</f>
        <v>1270</v>
      </c>
      <c r="AAB90" s="20" t="n">
        <f aca="false">AAA90</f>
        <v>1270</v>
      </c>
      <c r="AAC90" s="20" t="n">
        <f aca="false">AAB90</f>
        <v>1270</v>
      </c>
      <c r="AAD90" s="20" t="n">
        <f aca="false">AAC90</f>
        <v>1270</v>
      </c>
      <c r="AAE90" s="20" t="n">
        <f aca="false">IF(H_Direct=1,IF(BR90&lt;=0,I90-BR90*TE90,I90-MIN(MIN(BR90*TE90,(H90+I90)),I90)),I90)</f>
        <v>0</v>
      </c>
      <c r="AAF90" s="20" t="n">
        <f aca="false">IF(H_Direct=1,IF(BS90&lt;=0,AAE90-BS90*TF90,AAE90-MIN(MIN(BS90*TF90,(WR90+AAE90)),AAE90)),AAE90)</f>
        <v>0</v>
      </c>
      <c r="AAG90" s="20" t="n">
        <f aca="false">IF(H_Direct=1,IF(BT90&lt;=0,AAF90-BT90*TG90,AAF90-MIN(MIN(BT90*TG90,(WS90+AAF90)),AAF90)),AAF90)</f>
        <v>0</v>
      </c>
      <c r="AAH90" s="20" t="n">
        <f aca="false">IF(H_Direct=1,IF(BU90&lt;=0,AAG90-BU90*TH90,AAG90-MIN(MIN(BU90*TH90,(WT90+AAG90)),AAG90)),AAG90)</f>
        <v>0</v>
      </c>
      <c r="AAI90" s="20" t="n">
        <f aca="false">IF(H_Direct=1,IF(BV90&lt;=0,AAH90-BV90*TI90,AAH90-MIN(MIN(BV90*TI90,(WU90+AAH90)),AAH90)),AAH90)</f>
        <v>0</v>
      </c>
      <c r="AAJ90" s="20" t="n">
        <f aca="false">IF(H_Direct=1,IF(BW90&lt;=0,AAI90-BW90*TJ90,AAI90-MIN(MIN(BW90*TJ90,(WV90+AAI90)),AAI90)),AAI90)</f>
        <v>0</v>
      </c>
      <c r="AAK90" s="20" t="n">
        <f aca="false">IF(H_Direct=1,IF(BX90&lt;=0,AAJ90-BX90*TK90,AAJ90-MIN(MIN(BX90*TK90,(WW90+AAJ90)),AAJ90)),AAJ90)</f>
        <v>0</v>
      </c>
      <c r="AAL90" s="20" t="n">
        <f aca="false">IF(H_Direct=1,IF(BY90&lt;=0,AAK90-BY90*TL90,AAK90-MIN(MIN(BY90*TL90,(WX90+AAK90)),AAK90)),AAK90)</f>
        <v>0</v>
      </c>
      <c r="AAM90" s="20" t="n">
        <f aca="false">IF(H_Direct=1,IF(BZ90&lt;=0,AAL90-BZ90*TM90,AAL90-MIN(MIN(BZ90*TM90,(WY90+AAL90)),AAL90)),AAL90)</f>
        <v>0</v>
      </c>
      <c r="AAN90" s="20" t="n">
        <f aca="false">IF(H_Direct=1,IF(CA90&lt;=0,AAM90-CA90*TN90,AAM90-MIN(MIN(CA90*TN90,(WZ90+AAM90)),AAM90)),AAM90)</f>
        <v>0</v>
      </c>
      <c r="AAO90" s="20" t="n">
        <f aca="false">IF(H_Direct=1,IF(CB90&lt;=0,AAN90-CB90*TO90,AAN90-MIN(MIN(CB90*TO90,(XA90+AAN90)),AAN90)),AAN90)</f>
        <v>0</v>
      </c>
      <c r="AAP90" s="20" t="n">
        <f aca="false">IF(H_Direct=1,IF(CC90&lt;=0,AAO90-CC90*TP90,AAO90-MIN(MIN(CC90*TP90,(XB90+AAO90)),AAO90)),AAO90)</f>
        <v>0</v>
      </c>
      <c r="AAQ90" s="20" t="n">
        <f aca="false">IF(H_Direct=1,IF(CD90&lt;=0,AAP90-CD90*TQ90,AAP90-MIN(MIN(CD90*TQ90,(XC90+AAP90)),AAP90)),AAP90)</f>
        <v>0</v>
      </c>
      <c r="AAR90" s="20" t="n">
        <f aca="false">IF(H_Direct=1,IF(CE90&lt;=0,AAQ90-CE90*TR90,AAQ90-MIN(MIN(CE90*TR90,(XD90+AAQ90)),AAQ90)),AAQ90)</f>
        <v>0</v>
      </c>
      <c r="AAS90" s="20" t="n">
        <f aca="false">IF(H_Direct=1,IF(CF90&lt;=0,AAR90-CF90*TS90,AAR90-MIN(MIN(CF90*TS90,(XE90+AAR90)),AAR90)),AAR90)</f>
        <v>0</v>
      </c>
      <c r="AAT90" s="20" t="n">
        <f aca="false">IF(H_Direct=1,IF(CG90&lt;=0,AAS90-CG90*TT90,AAS90-MIN(MIN(CG90*TT90,(XF90+AAS90)),AAS90)),AAS90)</f>
        <v>0</v>
      </c>
      <c r="AAU90" s="20" t="n">
        <f aca="false">IF(H_Direct=1,IF(CH90&lt;=0,AAT90-CH90*TU90,AAT90-MIN(MIN(CH90*TU90,(XG90+AAT90)),AAT90)),AAT90)</f>
        <v>0</v>
      </c>
      <c r="AAV90" s="20" t="n">
        <f aca="false">IF(H_Direct=1,IF(CI90&lt;=0,AAU90-CI90*TV90,AAU90-MIN(MIN(CI90*TV90,(XH90+AAU90)),AAU90)),AAU90)</f>
        <v>0</v>
      </c>
      <c r="AAW90" s="20" t="n">
        <f aca="false">IF(H_Direct=1,IF(CJ90&lt;=0,AAV90-CJ90*TW90,AAV90-MIN(MIN(CJ90*TW90,(XI90+AAV90)),AAV90)),AAV90)</f>
        <v>0</v>
      </c>
      <c r="AAX90" s="20" t="n">
        <f aca="false">IF(H_Direct=1,IF(CK90&lt;=0,AAW90-CK90*TX90,AAW90-MIN(MIN(CK90*TX90,(XJ90+AAW90)),AAW90)),AAW90)</f>
        <v>0</v>
      </c>
      <c r="AAY90" s="20" t="n">
        <f aca="false">IF(H_Direct=1,IF(CL90&lt;=0,AAX90-CL90*TY90,AAX90-MIN(MIN(CL90*TY90,(XK90+AAX90)),AAX90)),AAX90)</f>
        <v>0</v>
      </c>
      <c r="AAZ90" s="20" t="n">
        <f aca="false">IF(H_Direct=1,IF(CM90&lt;=0,AAY90-CM90*TZ90,AAY90-MIN(MIN(CM90*TZ90,(XL90+AAY90)),AAY90)),AAY90)</f>
        <v>0</v>
      </c>
      <c r="ABA90" s="20" t="n">
        <f aca="false">IF(H_Direct=1,IF(CN90&lt;=0,AAZ90-CN90*UA90,AAZ90-MIN(MIN(CN90*UA90,(XM90+AAZ90)),AAZ90)),AAZ90)</f>
        <v>0</v>
      </c>
      <c r="ABB90" s="20" t="n">
        <f aca="false">IF(H_Direct=1,IF(CO90&lt;=0,ABA90-CO90*UB90,ABA90-MIN(MIN(CO90*UB90,(XN90+ABA90)),ABA90)),ABA90)</f>
        <v>0</v>
      </c>
      <c r="ABC90" s="20" t="n">
        <f aca="false">IF(H_Direct=1,IF(CP90&lt;=0,ABB90-CP90*UC90,ABB90-MIN(MIN(CP90*UC90,(XO90+ABB90)),ABB90)),ABB90)</f>
        <v>0</v>
      </c>
      <c r="ABD90" s="20" t="n">
        <f aca="false">IF(H_Direct=1,IF(CQ90&lt;=0,ABC90-CQ90*UD90,ABC90-MIN(MIN(CQ90*UD90,(XP90+ABC90)),ABC90)),ABC90)</f>
        <v>0</v>
      </c>
      <c r="ABE90" s="20" t="n">
        <f aca="false">IF(H_Direct=1,IF(CR90&lt;=0,ABD90-CR90*UE90,ABD90-MIN(MIN(CR90*UE90,(XQ90+ABD90)),ABD90)),ABD90)</f>
        <v>0</v>
      </c>
      <c r="ABF90" s="20" t="n">
        <f aca="false">IF(H_Direct=1,IF(CS90&lt;=0,ABE90-CS90*UF90,ABE90-MIN(MIN(CS90*UF90,(XR90+ABE90)),ABE90)),ABE90)</f>
        <v>0</v>
      </c>
      <c r="ABG90" s="20" t="n">
        <f aca="false">IF(H_Direct=1,IF(CT90&lt;=0,ABF90-CT90*UG90,ABF90-MIN(MIN(CT90*UG90,(XS90+ABF90)),ABF90)),ABF90)</f>
        <v>0</v>
      </c>
      <c r="ABH90" s="20" t="n">
        <f aca="false">IF(H_Direct=1,IF(CU90&lt;=0,ABG90-CU90*UH90,ABG90-MIN(MIN(CU90*UH90,(XT90+ABG90)),ABG90)),ABG90)</f>
        <v>0</v>
      </c>
      <c r="ABI90" s="20" t="n">
        <f aca="false">IF(H_Direct=1,IF(CV90&lt;=0,ABH90-CV90*UI90,ABH90-MIN(MIN(CV90*UI90,(XU90+ABH90)),ABH90)),ABH90)</f>
        <v>0</v>
      </c>
      <c r="ABJ90" s="20" t="n">
        <f aca="false">IF(H_Direct=1,IF(CW90&lt;=0,ABI90-CW90*UJ90,ABI90-MIN(MIN(CW90*UJ90,(XV90+ABI90)),ABI90)),ABI90)</f>
        <v>0</v>
      </c>
      <c r="ABK90" s="20" t="n">
        <f aca="false">IF(H_Direct=1,IF(CX90&lt;=0,ABJ90-CX90*UK90,ABJ90-MIN(MIN(CX90*UK90,(XW90+ABJ90)),ABJ90)),ABJ90)</f>
        <v>0</v>
      </c>
      <c r="ABL90" s="20" t="n">
        <f aca="false">IF(H_Direct=1,IF(CY90&lt;=0,ABK90-CY90*UL90,ABK90-MIN(MIN(CY90*UL90,(XX90+ABK90)),ABK90)),ABK90)</f>
        <v>0</v>
      </c>
      <c r="ABM90" s="20" t="n">
        <f aca="false">IF(H_Direct=1,IF(CZ90&lt;=0,ABL90-CZ90*UM90,ABL90-MIN(MIN(CZ90*UM90,(XY90+ABL90)),ABL90)),ABL90)</f>
        <v>0</v>
      </c>
      <c r="ABN90" s="20" t="n">
        <f aca="false">IF(H_Direct=1,IF(DA90&lt;=0,ABM90-DA90*UN90,ABM90-MIN(MIN(DA90*UN90,(XZ90+ABM90)),ABM90)),ABM90)</f>
        <v>0</v>
      </c>
      <c r="ABO90" s="20" t="n">
        <f aca="false">IF(H_Direct=1,IF(DB90&lt;=0,ABN90-DB90*UO90,ABN90-MIN(MIN(DB90*UO90,(YA90+ABN90)),ABN90)),ABN90)</f>
        <v>0</v>
      </c>
      <c r="ABP90" s="20" t="n">
        <f aca="false">IF(H_Direct=1,IF(DC90&lt;=0,ABO90-DC90*UP90,ABO90-MIN(MIN(DC90*UP90,(YB90+ABO90)),ABO90)),ABO90)</f>
        <v>0</v>
      </c>
      <c r="ABQ90" s="20" t="n">
        <f aca="false">IF(H_Direct=1,IF(DD90&lt;=0,ABP90-DD90*UQ90,ABP90-MIN(MIN(DD90*UQ90,(YC90+ABP90)),ABP90)),ABP90)</f>
        <v>0</v>
      </c>
      <c r="ABR90" s="20" t="n">
        <f aca="false">IF(H_Direct=1,IF(DE90&lt;=0,ABQ90-DE90*UR90,ABQ90-MIN(MIN(DE90*UR90,(YD90+ABQ90)),ABQ90)),ABQ90)</f>
        <v>0</v>
      </c>
      <c r="ABS90" s="20" t="n">
        <f aca="false">IF(H_Direct=1,IF(DF90&lt;=0,ABR90-DF90*US90,ABR90-MIN(MIN(DF90*US90,(YE90+ABR90)),ABR90)),ABR90)</f>
        <v>0</v>
      </c>
      <c r="ABT90" s="20" t="n">
        <f aca="false">IF(H_Direct=1,IF(DG90&lt;=0,ABS90-DG90*UT90,ABS90-MIN(MIN(DG90*UT90,(YF90+ABS90)),ABS90)),ABS90)</f>
        <v>0</v>
      </c>
      <c r="ABU90" s="20" t="n">
        <f aca="false">IF(H_Direct=1,IF(DH90&lt;=0,ABT90-DH90*UU90,ABT90-MIN(MIN(DH90*UU90,(YG90+ABT90)),ABT90)),ABT90)</f>
        <v>0</v>
      </c>
      <c r="ABV90" s="20" t="n">
        <f aca="false">IF(H_Direct=1,IF(DI90&lt;=0,ABU90-DI90*UV90,ABU90-MIN(MIN(DI90*UV90,(YH90+ABU90)),ABU90)),ABU90)</f>
        <v>0</v>
      </c>
      <c r="ABW90" s="20" t="n">
        <f aca="false">IF(H_Direct=1,IF(DJ90&lt;=0,ABV90-DJ90*UW90,ABV90-MIN(MIN(DJ90*UW90,(YI90+ABV90)),ABV90)),ABV90)</f>
        <v>0</v>
      </c>
      <c r="ABX90" s="20" t="n">
        <f aca="false">IF(H_Direct=1,IF(DK90&lt;=0,ABW90-DK90*UX90,ABW90-MIN(MIN(DK90*UX90,(YJ90+ABW90)),ABW90)),ABW90)</f>
        <v>0</v>
      </c>
      <c r="ABY90" s="20" t="n">
        <f aca="false">IF(H_Direct=1,IF(DL90&lt;=0,ABX90-DL90*UY90,ABX90-MIN(MIN(DL90*UY90,(YK90+ABX90)),ABX90)),ABX90)</f>
        <v>0</v>
      </c>
      <c r="ABZ90" s="20" t="n">
        <f aca="false">IF(H_Direct=1,IF(DM90&lt;=0,ABY90-DM90*UZ90,ABY90-MIN(MIN(DM90*UZ90,(YL90+ABY90)),ABY90)),ABY90)</f>
        <v>0</v>
      </c>
      <c r="ACA90" s="20" t="n">
        <f aca="false">IF(H_Direct=1,IF(DN90&lt;=0,ABZ90-DN90*VA90,ABZ90-MIN(MIN(DN90*VA90,(YM90+ABZ90)),ABZ90)),ABZ90)</f>
        <v>0</v>
      </c>
      <c r="ACB90" s="20" t="n">
        <f aca="false">IF(H_Direct=1,IF(DO90&lt;=0,ACA90-DO90*VB90,ACA90-MIN(MIN(DO90*VB90,(YN90+ACA90)),ACA90)),ACA90)</f>
        <v>0</v>
      </c>
      <c r="ACC90" s="20" t="n">
        <f aca="false">IF(H_Direct=1,IF(DP90&lt;=0,ACB90-DP90*VC90,ACB90-MIN(MIN(DP90*VC90,(YO90+ACB90)),ACB90)),ACB90)</f>
        <v>0</v>
      </c>
      <c r="ACD90" s="20" t="n">
        <f aca="false">IF(H_Direct=1,IF(DQ90&lt;=0,ACC90-DQ90*VD90,ACC90-MIN(MIN(DQ90*VD90,(YP90+ACC90)),ACC90)),ACC90)</f>
        <v>0</v>
      </c>
      <c r="ACE90" s="20" t="n">
        <f aca="false">IF(H_Direct=1,IF(DR90&lt;=0,ACD90-DR90*VE90,ACD90-MIN(MIN(DR90*VE90,(YQ90+ACD90)),ACD90)),ACD90)</f>
        <v>0</v>
      </c>
      <c r="ACF90" s="20" t="n">
        <f aca="false">IF(H_Direct=1,IF(DS90&lt;=0,ACE90-DS90*VF90,ACE90-MIN(MIN(DS90*VF90,(YR90+ACE90)),ACE90)),ACE90)</f>
        <v>0</v>
      </c>
      <c r="ACG90" s="20" t="n">
        <f aca="false">IF(H_Direct=1,IF(DT90&lt;=0,ACF90-DT90*VG90,ACF90-MIN(MIN(DT90*VG90,(YS90+ACF90)),ACF90)),ACF90)</f>
        <v>0</v>
      </c>
      <c r="ACH90" s="20" t="n">
        <f aca="false">IF(H_Direct=1,IF(DU90&lt;=0,ACG90-DU90*VH90,ACG90-MIN(MIN(DU90*VH90,(YT90+ACG90)),ACG90)),ACG90)</f>
        <v>0</v>
      </c>
      <c r="ACI90" s="20" t="n">
        <f aca="false">IF(H_Direct=1,IF(DV90&lt;=0,ACH90-DV90*VI90,ACH90-MIN(MIN(DV90*VI90,(YU90+ACH90)),ACH90)),ACH90)</f>
        <v>0</v>
      </c>
      <c r="ACJ90" s="20" t="n">
        <f aca="false">IF(H_Direct=1,IF(DW90&lt;=0,ACI90-DW90*VJ90,ACI90-MIN(MIN(DW90*VJ90,(YV90+ACI90)),ACI90)),ACI90)</f>
        <v>0</v>
      </c>
      <c r="ACK90" s="20" t="n">
        <f aca="false">IF(H_Direct=1,IF(DX90&lt;=0,ACJ90-DX90*VK90,ACJ90-MIN(MIN(DX90*VK90,(YW90+ACJ90)),ACJ90)),ACJ90)</f>
        <v>0</v>
      </c>
      <c r="ACL90" s="20" t="n">
        <f aca="false">IF(H_Direct=1,IF(DY90&lt;=0,ACK90-DY90*VL90,ACK90-MIN(MIN(DY90*VL90,(YX90+ACK90)),ACK90)),ACK90)</f>
        <v>0</v>
      </c>
      <c r="ACM90" s="20" t="n">
        <f aca="false">IF(H_Direct=1,IF(DZ90&lt;=0,ACL90-DZ90*VM90,ACL90-MIN(MIN(DZ90*VM90,(YY90+ACL90)),ACL90)),ACL90)</f>
        <v>0</v>
      </c>
      <c r="ACN90" s="20" t="n">
        <f aca="false">IF(H_Direct=1,IF(EA90&lt;=0,ACM90-EA90*VN90,ACM90-MIN(MIN(EA90*VN90,(YZ90+ACM90)),ACM90)),ACM90)</f>
        <v>0</v>
      </c>
      <c r="ACO90" s="20" t="n">
        <f aca="false">IF(H_Direct=1,IF(EB90&lt;=0,ACN90-EB90*VO90,ACN90-MIN(MIN(EB90*VO90,(ZA90+ACN90)),ACN90)),ACN90)</f>
        <v>0</v>
      </c>
      <c r="ACP90" s="20" t="n">
        <f aca="false">IF(H_Direct=1,IF(EC90&lt;=0,ACO90-EC90*VP90,ACO90-MIN(MIN(EC90*VP90,(ZB90+ACO90)),ACO90)),ACO90)</f>
        <v>0</v>
      </c>
      <c r="ACQ90" s="20" t="n">
        <f aca="false">IF(H_Direct=1,IF(ED90&lt;=0,ACP90-ED90*VQ90,ACP90-MIN(MIN(ED90*VQ90,(ZC90+ACP90)),ACP90)),ACP90)</f>
        <v>0</v>
      </c>
      <c r="ACR90" s="20" t="n">
        <f aca="false">IF(H_Direct=1,IF(EE90&lt;=0,ACQ90-EE90*VR90,ACQ90-MIN(MIN(EE90*VR90,(ZD90+ACQ90)),ACQ90)),ACQ90)</f>
        <v>0</v>
      </c>
      <c r="ACS90" s="20" t="n">
        <f aca="false">IF(H_Direct=1,IF(EF90&lt;=0,ACR90-EF90*VS90,ACR90-MIN(MIN(EF90*VS90,(ZE90+ACR90)),ACR90)),ACR90)</f>
        <v>0</v>
      </c>
      <c r="ACT90" s="20" t="n">
        <f aca="false">IF(H_Direct=1,IF(EG90&lt;=0,ACS90-EG90*VT90,ACS90-MIN(MIN(EG90*VT90,(ZF90+ACS90)),ACS90)),ACS90)</f>
        <v>0</v>
      </c>
      <c r="ACU90" s="20" t="n">
        <f aca="false">IF(H_Direct=1,IF(EH90&lt;=0,ACT90-EH90*VU90,ACT90-MIN(MIN(EH90*VU90,(ZG90+ACT90)),ACT90)),ACT90)</f>
        <v>0</v>
      </c>
      <c r="ACV90" s="20" t="n">
        <f aca="false">IF(H_Direct=1,IF(EI90&lt;=0,ACU90-EI90*VV90,ACU90-MIN(MIN(EI90*VV90,(ZH90+ACU90)),ACU90)),ACU90)</f>
        <v>0</v>
      </c>
      <c r="ACW90" s="20" t="n">
        <f aca="false">IF(H_Direct=1,IF(EJ90&lt;=0,ACV90-EJ90*VW90,ACV90-MIN(MIN(EJ90*VW90,(ZI90+ACV90)),ACV90)),ACV90)</f>
        <v>0</v>
      </c>
      <c r="ACX90" s="20" t="n">
        <f aca="false">IF(H_Direct=1,IF(EK90&lt;=0,ACW90-EK90*VX90,ACW90-MIN(MIN(EK90*VX90,(ZJ90+ACW90)),ACW90)),ACW90)</f>
        <v>0</v>
      </c>
      <c r="ACY90" s="20" t="n">
        <f aca="false">IF(H_Direct=1,IF(EL90&lt;=0,ACX90-EL90*VY90,ACX90-MIN(MIN(EL90*VY90,(ZK90+ACX90)),ACX90)),ACX90)</f>
        <v>0</v>
      </c>
      <c r="ACZ90" s="20" t="n">
        <f aca="false">IF(H_Direct=1,IF(EM90&lt;=0,ACY90-EM90*VZ90,ACY90-MIN(MIN(EM90*VZ90,(ZL90+ACY90)),ACY90)),ACY90)</f>
        <v>0</v>
      </c>
      <c r="ADA90" s="20" t="n">
        <f aca="false">IF(H_Direct=1,IF(EN90&lt;=0,ACZ90-EN90*WA90,ACZ90-MIN(MIN(EN90*WA90,(ZM90+ACZ90)),ACZ90)),ACZ90)</f>
        <v>0</v>
      </c>
      <c r="ADB90" s="20" t="n">
        <f aca="false">IF(H_Direct=1,IF(EO90&lt;=0,ADA90-EO90*WB90,ADA90-MIN(MIN(EO90*WB90,(ZN90+ADA90)),ADA90)),ADA90)</f>
        <v>0</v>
      </c>
      <c r="ADC90" s="20" t="n">
        <f aca="false">IF(H_Direct=1,IF(EP90&lt;=0,ADB90-EP90*WC90,ADB90-MIN(MIN(EP90*WC90,(ZO90+ADB90)),ADB90)),ADB90)</f>
        <v>0</v>
      </c>
      <c r="ADD90" s="20" t="n">
        <f aca="false">IF(H_Direct=1,IF(EQ90&lt;=0,ADC90-EQ90*WD90,ADC90-MIN(MIN(EQ90*WD90,(ZP90+ADC90)),ADC90)),ADC90)</f>
        <v>0</v>
      </c>
      <c r="ADE90" s="20" t="n">
        <f aca="false">IF(H_Direct=1,IF(ER90&lt;=0,ADD90-ER90*WE90,ADD90-MIN(MIN(ER90*WE90,(ZQ90+ADD90)),ADD90)),ADD90)</f>
        <v>0</v>
      </c>
      <c r="ADF90" s="20" t="n">
        <f aca="false">IF(H_Direct=1,IF(ES90&lt;=0,ADE90-ES90*WF90,ADE90-MIN(MIN(ES90*WF90,(ZR90+ADE90)),ADE90)),ADE90)</f>
        <v>0</v>
      </c>
      <c r="ADG90" s="20" t="n">
        <f aca="false">IF(H_Direct=1,IF(ET90&lt;=0,ADF90-ET90*WG90,ADF90-MIN(MIN(ET90*WG90,(ZS90+ADF90)),ADF90)),ADF90)</f>
        <v>0</v>
      </c>
      <c r="ADH90" s="20" t="n">
        <f aca="false">IF(H_Direct=1,IF(EU90&lt;=0,ADG90-EU90*WH90,ADG90-MIN(MIN(EU90*WH90,(ZT90+ADG90)),ADG90)),ADG90)</f>
        <v>0</v>
      </c>
      <c r="ADI90" s="20" t="n">
        <f aca="false">IF(H_Direct=1,IF(EV90&lt;=0,ADH90-EV90*WI90,ADH90-MIN(MIN(EV90*WI90,(ZU90+ADH90)),ADH90)),ADH90)</f>
        <v>0</v>
      </c>
      <c r="ADJ90" s="20" t="n">
        <f aca="false">IF(H_Direct=1,IF(EW90&lt;=0,ADI90-EW90*WJ90,ADI90-MIN(MIN(EW90*WJ90,(ZV90+ADI90)),ADI90)),ADI90)</f>
        <v>0</v>
      </c>
      <c r="ADK90" s="20" t="n">
        <f aca="false">ADJ90</f>
        <v>0</v>
      </c>
      <c r="ADL90" s="20" t="n">
        <f aca="false">ADK90</f>
        <v>0</v>
      </c>
      <c r="ADM90" s="20" t="n">
        <f aca="false">ADL90</f>
        <v>0</v>
      </c>
      <c r="ADN90" s="20" t="n">
        <f aca="false">ADM90</f>
        <v>0</v>
      </c>
      <c r="ADO90" s="20" t="n">
        <f aca="false">ADN90</f>
        <v>0</v>
      </c>
      <c r="ADP90" s="20" t="n">
        <f aca="false">ADO90</f>
        <v>0</v>
      </c>
      <c r="ADQ90" s="20" t="n">
        <f aca="false">ADP90</f>
        <v>0</v>
      </c>
      <c r="ADR90" s="20" t="n">
        <f aca="false">(AKR89-TE90+0)*(1+BQ90)</f>
        <v>0</v>
      </c>
      <c r="ADS90" s="20" t="n">
        <f aca="false">(AKS89-TF90+0)*(1+BQ90)</f>
        <v>0</v>
      </c>
      <c r="ADT90" s="20" t="n">
        <f aca="false">(AKT89-TG90+0)*(1+BQ90)</f>
        <v>0</v>
      </c>
      <c r="ADU90" s="20" t="n">
        <f aca="false">(AKU89-TH90+0)*(1+BQ90)</f>
        <v>0</v>
      </c>
      <c r="ADV90" s="20" t="n">
        <f aca="false">(AKV89-TI90+0)*(1+BQ90)</f>
        <v>0</v>
      </c>
      <c r="ADW90" s="20" t="n">
        <f aca="false">(AKW89-TJ90+0)*(1+BQ90)</f>
        <v>0</v>
      </c>
      <c r="ADX90" s="20" t="n">
        <f aca="false">(AKX89-TK90+0)*(1+BQ90)</f>
        <v>0</v>
      </c>
      <c r="ADY90" s="20" t="n">
        <f aca="false">(AKY89-TL90+0)*(1+BQ90)</f>
        <v>0</v>
      </c>
      <c r="ADZ90" s="20" t="n">
        <f aca="false">(AKZ89-TM90+0)*(1+BQ90)</f>
        <v>0</v>
      </c>
      <c r="AEA90" s="20" t="n">
        <f aca="false">(ALA89-TN90+0)*(1+BQ90)</f>
        <v>0</v>
      </c>
      <c r="AEB90" s="20" t="n">
        <f aca="false">(ALB89-TO90+0)*(1+BQ90)</f>
        <v>0</v>
      </c>
      <c r="AEC90" s="20" t="n">
        <f aca="false">(ALC89-TP90+0)*(1+BQ90)</f>
        <v>0</v>
      </c>
      <c r="AED90" s="20" t="n">
        <f aca="false">(ALD89-TQ90+0)*(1+BQ90)</f>
        <v>0</v>
      </c>
      <c r="AEE90" s="20" t="n">
        <f aca="false">(ALE89-TR90+0)*(1+BQ90)</f>
        <v>0</v>
      </c>
      <c r="AEF90" s="20" t="n">
        <f aca="false">(ALF89-TS90+0)*(1+BQ90)</f>
        <v>0</v>
      </c>
      <c r="AEG90" s="20" t="n">
        <f aca="false">(ALG89-TT90+0)*(1+BQ90)</f>
        <v>0</v>
      </c>
      <c r="AEH90" s="20" t="n">
        <f aca="false">(ALH89-TU90+0)*(1+BQ90)</f>
        <v>0</v>
      </c>
      <c r="AEI90" s="20" t="n">
        <f aca="false">(ALI89-TV90+0)*(1+BQ90)</f>
        <v>0</v>
      </c>
      <c r="AEJ90" s="20" t="n">
        <f aca="false">(ALJ89-TW90+0)*(1+BQ90)</f>
        <v>0</v>
      </c>
      <c r="AEK90" s="20" t="n">
        <f aca="false">(ALK89-TX90+0)*(1+BQ90)</f>
        <v>0</v>
      </c>
      <c r="AEL90" s="20" t="n">
        <f aca="false">(ALL89-TY90+0)*(1+BQ90)</f>
        <v>0</v>
      </c>
      <c r="AEM90" s="20" t="n">
        <f aca="false">(ALM89-TZ90+0)*(1+BQ90)</f>
        <v>0</v>
      </c>
      <c r="AEN90" s="20" t="n">
        <f aca="false">(ALN89-UA90+0)*(1+BQ90)</f>
        <v>0</v>
      </c>
      <c r="AEO90" s="20" t="n">
        <f aca="false">(ALO89-UB90+0)*(1+BQ90)</f>
        <v>0</v>
      </c>
      <c r="AEP90" s="20" t="n">
        <f aca="false">(ALP89-UC90+0)*(1+BQ90)</f>
        <v>0</v>
      </c>
      <c r="AEQ90" s="20" t="n">
        <f aca="false">(ALQ89-UD90+0)*(1+BQ90)</f>
        <v>0</v>
      </c>
      <c r="AER90" s="20" t="n">
        <f aca="false">(ALR89-UE90+0)*(1+BQ90)</f>
        <v>0</v>
      </c>
      <c r="AES90" s="20" t="n">
        <f aca="false">(ALS89-UF90+0)*(1+BQ90)</f>
        <v>0</v>
      </c>
      <c r="AET90" s="20" t="n">
        <f aca="false">(ALT89-UG90+0)*(1+BQ90)</f>
        <v>0</v>
      </c>
      <c r="AEU90" s="20" t="n">
        <f aca="false">(ALU89-UH90+0)*(1+BQ90)</f>
        <v>0</v>
      </c>
      <c r="AEV90" s="20" t="n">
        <f aca="false">(ALV89-UI90+0)*(1+BQ90)</f>
        <v>0</v>
      </c>
      <c r="AEW90" s="20" t="n">
        <f aca="false">(ALW89-UJ90+0)*(1+BQ90)</f>
        <v>0</v>
      </c>
      <c r="AEX90" s="20" t="n">
        <f aca="false">(ALX89-UK90+0)*(1+BQ90)</f>
        <v>0</v>
      </c>
      <c r="AEY90" s="20" t="n">
        <f aca="false">(ALY89-UL90+0)*(1+BQ90)</f>
        <v>0</v>
      </c>
      <c r="AEZ90" s="20" t="n">
        <f aca="false">(ALZ89-UM90+0)*(1+BQ90)</f>
        <v>0</v>
      </c>
      <c r="AFA90" s="20" t="n">
        <f aca="false">(AMA89-UN90+0)*(1+BQ90)</f>
        <v>0</v>
      </c>
      <c r="AFB90" s="20" t="n">
        <f aca="false">(AMB89-UO90+0)*(1+BQ90)</f>
        <v>0</v>
      </c>
      <c r="AFC90" s="20" t="n">
        <f aca="false">(AMC89-UP90+0)*(1+BQ90)</f>
        <v>0</v>
      </c>
      <c r="AFD90" s="20" t="n">
        <f aca="false">(AMD89-UQ90+0)*(1+BQ90)</f>
        <v>0</v>
      </c>
      <c r="AFE90" s="20" t="n">
        <f aca="false">(AME89-UR90+0)*(1+BQ90)</f>
        <v>0</v>
      </c>
      <c r="AFF90" s="20" t="n">
        <f aca="false">(AMF89-US90+0)*(1+BQ90)</f>
        <v>0</v>
      </c>
      <c r="AFG90" s="20" t="n">
        <f aca="false">(AMG89-UT90+0)*(1+BQ90)</f>
        <v>0</v>
      </c>
      <c r="AFH90" s="20" t="n">
        <f aca="false">(AMH89-UU90+0)*(1+BQ90)</f>
        <v>0</v>
      </c>
      <c r="AFI90" s="20" t="n">
        <f aca="false">(AMI89-UV90+0)*(1+BQ90)</f>
        <v>0</v>
      </c>
      <c r="AFJ90" s="20" t="n">
        <f aca="false">(AMJ89-UW90+0)*(1+BQ90)</f>
        <v>0</v>
      </c>
      <c r="AFK90" s="20" t="n">
        <f aca="false">(AMK89-UX90+0)*(1+BQ90)</f>
        <v>0</v>
      </c>
      <c r="AFL90" s="20" t="n">
        <f aca="false">(AML89-UY90+0)*(1+BQ90)</f>
        <v>0</v>
      </c>
      <c r="AFM90" s="20" t="n">
        <f aca="false">(AMM89-UZ90+0)*(1+BQ90)</f>
        <v>0</v>
      </c>
      <c r="AFN90" s="20" t="n">
        <f aca="false">(AMN89-VA90+0)*(1+BQ90)</f>
        <v>0</v>
      </c>
      <c r="AFO90" s="20" t="n">
        <f aca="false">(AMO89-VB90+0)*(1+BQ90)</f>
        <v>0</v>
      </c>
      <c r="AFP90" s="20" t="n">
        <f aca="false">(AMP89-VC90+0)*(1+BQ90)</f>
        <v>0</v>
      </c>
      <c r="AFQ90" s="20" t="n">
        <f aca="false">(AMQ89-VD90+0)*(1+BQ90)</f>
        <v>0</v>
      </c>
      <c r="AFR90" s="20" t="n">
        <f aca="false">(AMR89-VE90+0)*(1+BQ90)</f>
        <v>0</v>
      </c>
      <c r="AFS90" s="20" t="n">
        <f aca="false">(AMS89-VF90+0)*(1+BQ90)</f>
        <v>0</v>
      </c>
      <c r="AFT90" s="20" t="n">
        <f aca="false">(AMT89-VG90+0)*(1+BQ90)</f>
        <v>0</v>
      </c>
      <c r="AFU90" s="20" t="n">
        <f aca="false">(AMU89-VH90+0)*(1+BQ90)</f>
        <v>0</v>
      </c>
      <c r="AFV90" s="20" t="n">
        <f aca="false">(AMV89-VI90+0)*(1+BQ90)</f>
        <v>0</v>
      </c>
      <c r="AFW90" s="20" t="n">
        <f aca="false">(AMW89-VJ90+0)*(1+BQ90)</f>
        <v>0</v>
      </c>
      <c r="AFX90" s="20" t="n">
        <f aca="false">(AMX89-VK90+0)*(1+BQ90)</f>
        <v>0</v>
      </c>
      <c r="AFY90" s="20" t="n">
        <f aca="false">(AMY89-VL90+0)*(1+BQ90)</f>
        <v>0</v>
      </c>
      <c r="AFZ90" s="20" t="n">
        <f aca="false">(AMZ89-VM90+0)*(1+BQ90)</f>
        <v>0</v>
      </c>
      <c r="AGA90" s="20" t="n">
        <f aca="false">(ANA89-VN90+0)*(1+BQ90)</f>
        <v>0</v>
      </c>
      <c r="AGB90" s="20" t="n">
        <f aca="false">(ANB89-VO90+0)*(1+BQ90)</f>
        <v>0</v>
      </c>
      <c r="AGC90" s="20" t="n">
        <f aca="false">(ANC89-VP90+0)*(1+BQ90)</f>
        <v>0</v>
      </c>
      <c r="AGD90" s="20" t="n">
        <f aca="false">(AND89-VQ90+0)*(1+BQ90)</f>
        <v>0</v>
      </c>
      <c r="AGE90" s="20" t="n">
        <f aca="false">(ANE89-VR90+0)*(1+BQ90)</f>
        <v>0</v>
      </c>
      <c r="AGF90" s="20" t="n">
        <f aca="false">(ANF89-VS90+0)*(1+BQ90)</f>
        <v>0</v>
      </c>
      <c r="AGG90" s="20" t="n">
        <f aca="false">(ANG89-VT90+0)*(1+BQ90)</f>
        <v>0</v>
      </c>
      <c r="AGH90" s="20" t="n">
        <f aca="false">(ANH89-VU90+0)*(1+BQ90)</f>
        <v>0</v>
      </c>
      <c r="AGI90" s="20" t="n">
        <f aca="false">(ANI89-VV90+0)*(1+BQ90)</f>
        <v>0</v>
      </c>
      <c r="AGJ90" s="20" t="n">
        <f aca="false">(ANJ89-VW90+0)*(1+BQ90)</f>
        <v>0</v>
      </c>
      <c r="AGK90" s="20" t="n">
        <f aca="false">(ANK89-VX90+0)*(1+BQ90)</f>
        <v>0</v>
      </c>
      <c r="AGL90" s="20" t="n">
        <f aca="false">(ANL89-VY90+0)*(1+BQ90)</f>
        <v>0</v>
      </c>
      <c r="AGM90" s="20" t="n">
        <f aca="false">(ANM89-VZ90+0)*(1+BQ90)</f>
        <v>0</v>
      </c>
      <c r="AGN90" s="20" t="n">
        <f aca="false">(ANN89-WA90+0)*(1+BQ90)</f>
        <v>0</v>
      </c>
      <c r="AGO90" s="20" t="n">
        <f aca="false">(ANO89-WB90+0)*(1+BQ90)</f>
        <v>0</v>
      </c>
      <c r="AGP90" s="20" t="n">
        <f aca="false">(ANP89-WC90+0)*(1+BQ90)</f>
        <v>0</v>
      </c>
      <c r="AGQ90" s="20" t="n">
        <f aca="false">(ANQ89-WD90+0)*(1+BQ90)</f>
        <v>0</v>
      </c>
      <c r="AGR90" s="20" t="n">
        <f aca="false">(ANR89-WE90+0)*(1+BQ90)</f>
        <v>0</v>
      </c>
      <c r="AGS90" s="20" t="n">
        <f aca="false">(ANS89-WF90+0)*(1+BQ90)</f>
        <v>0</v>
      </c>
      <c r="AGT90" s="20" t="n">
        <f aca="false">(ANT89-WG90+0)*(1+BQ90)</f>
        <v>0</v>
      </c>
      <c r="AGU90" s="20" t="n">
        <f aca="false">(ANU89-WH90+0)*(1+BQ90)</f>
        <v>0</v>
      </c>
      <c r="AGV90" s="20" t="n">
        <f aca="false">(ANV89-WI90+0)*(1+BQ90)</f>
        <v>0</v>
      </c>
      <c r="AGW90" s="20" t="n">
        <f aca="false">((P90+S90)-WJ90+BE90)*(1+BQ90)</f>
        <v>0</v>
      </c>
      <c r="AGX90" s="20" t="n">
        <v>0</v>
      </c>
      <c r="AGY90" s="20" t="n">
        <v>0</v>
      </c>
      <c r="AGZ90" s="20" t="n">
        <v>0</v>
      </c>
      <c r="AHA90" s="20" t="n">
        <v>0</v>
      </c>
      <c r="AHB90" s="20" t="n">
        <v>0</v>
      </c>
      <c r="AHC90" s="20" t="n">
        <v>0</v>
      </c>
      <c r="AHD90" s="20" t="n">
        <v>0</v>
      </c>
      <c r="AHE90" s="20" t="n">
        <f aca="false">IF(AKR89&gt;0,AOE89-AOE89*TE90/AKR89,0)+0</f>
        <v>0</v>
      </c>
      <c r="AHF90" s="20" t="n">
        <f aca="false">IF(AKS89&gt;0,AOF89-AOF89*TF90/AKS89,0)+0</f>
        <v>0</v>
      </c>
      <c r="AHG90" s="20" t="n">
        <f aca="false">IF(AKT89&gt;0,AOG89-AOG89*TG90/AKT89,0)+0</f>
        <v>0</v>
      </c>
      <c r="AHH90" s="20" t="n">
        <f aca="false">IF(AKU89&gt;0,AOH89-AOH89*TH90/AKU89,0)+0</f>
        <v>0</v>
      </c>
      <c r="AHI90" s="20" t="n">
        <f aca="false">IF(AKV89&gt;0,AOI89-AOI89*TI90/AKV89,0)+0</f>
        <v>0</v>
      </c>
      <c r="AHJ90" s="20" t="n">
        <f aca="false">IF(AKW89&gt;0,AOJ89-AOJ89*TJ90/AKW89,0)+0</f>
        <v>0</v>
      </c>
      <c r="AHK90" s="20" t="n">
        <f aca="false">IF(AKX89&gt;0,AOK89-AOK89*TK90/AKX89,0)+0</f>
        <v>0</v>
      </c>
      <c r="AHL90" s="20" t="n">
        <f aca="false">IF(AKY89&gt;0,AOL89-AOL89*TL90/AKY89,0)+0</f>
        <v>0</v>
      </c>
      <c r="AHM90" s="20" t="n">
        <f aca="false">IF(AKZ89&gt;0,AOM89-AOM89*TM90/AKZ89,0)+0</f>
        <v>0</v>
      </c>
      <c r="AHN90" s="20" t="n">
        <f aca="false">IF(ALA89&gt;0,AON89-AON89*TN90/ALA89,0)+0</f>
        <v>0</v>
      </c>
      <c r="AHO90" s="20" t="n">
        <f aca="false">IF(ALB89&gt;0,AOO89-AOO89*TO90/ALB89,0)+0</f>
        <v>0</v>
      </c>
      <c r="AHP90" s="20" t="n">
        <f aca="false">IF(ALC89&gt;0,AOP89-AOP89*TP90/ALC89,0)+0</f>
        <v>0</v>
      </c>
      <c r="AHQ90" s="20" t="n">
        <f aca="false">IF(ALD89&gt;0,AOQ89-AOQ89*TQ90/ALD89,0)+0</f>
        <v>0</v>
      </c>
      <c r="AHR90" s="20" t="n">
        <f aca="false">IF(ALE89&gt;0,AOR89-AOR89*TR90/ALE89,0)+0</f>
        <v>0</v>
      </c>
      <c r="AHS90" s="20" t="n">
        <f aca="false">IF(ALF89&gt;0,AOS89-AOS89*TS90/ALF89,0)+0</f>
        <v>0</v>
      </c>
      <c r="AHT90" s="20" t="n">
        <f aca="false">IF(ALG89&gt;0,AOT89-AOT89*TT90/ALG89,0)+0</f>
        <v>0</v>
      </c>
      <c r="AHU90" s="20" t="n">
        <f aca="false">IF(ALH89&gt;0,AOU89-AOU89*TU90/ALH89,0)+0</f>
        <v>0</v>
      </c>
      <c r="AHV90" s="20" t="n">
        <f aca="false">IF(ALI89&gt;0,AOV89-AOV89*TV90/ALI89,0)+0</f>
        <v>0</v>
      </c>
      <c r="AHW90" s="20" t="n">
        <f aca="false">IF(ALJ89&gt;0,AOW89-AOW89*TW90/ALJ89,0)+0</f>
        <v>0</v>
      </c>
      <c r="AHX90" s="20" t="n">
        <f aca="false">IF(ALK89&gt;0,AOX89-AOX89*TX90/ALK89,0)+0</f>
        <v>0</v>
      </c>
      <c r="AHY90" s="20" t="n">
        <f aca="false">IF(ALL89&gt;0,AOY89-AOY89*TY90/ALL89,0)+0</f>
        <v>0</v>
      </c>
      <c r="AHZ90" s="20" t="n">
        <f aca="false">IF(ALM89&gt;0,AOZ89-AOZ89*TZ90/ALM89,0)+0</f>
        <v>0</v>
      </c>
      <c r="AIA90" s="20" t="n">
        <f aca="false">IF(ALN89&gt;0,APA89-APA89*UA90/ALN89,0)+0</f>
        <v>0</v>
      </c>
      <c r="AIB90" s="20" t="n">
        <f aca="false">IF(ALO89&gt;0,APB89-APB89*UB90/ALO89,0)+0</f>
        <v>0</v>
      </c>
      <c r="AIC90" s="20" t="n">
        <f aca="false">IF(ALP89&gt;0,APC89-APC89*UC90/ALP89,0)+0</f>
        <v>0</v>
      </c>
      <c r="AID90" s="20" t="n">
        <f aca="false">IF(ALQ89&gt;0,APD89-APD89*UD90/ALQ89,0)+0</f>
        <v>0</v>
      </c>
      <c r="AIE90" s="20" t="n">
        <f aca="false">IF(ALR89&gt;0,APE89-APE89*UE90/ALR89,0)+0</f>
        <v>0</v>
      </c>
      <c r="AIF90" s="20" t="n">
        <f aca="false">IF(ALS89&gt;0,APF89-APF89*UF90/ALS89,0)+0</f>
        <v>0</v>
      </c>
      <c r="AIG90" s="20" t="n">
        <f aca="false">IF(ALT89&gt;0,APG89-APG89*UG90/ALT89,0)+0</f>
        <v>0</v>
      </c>
      <c r="AIH90" s="20" t="n">
        <f aca="false">IF(ALU89&gt;0,APH89-APH89*UH90/ALU89,0)+0</f>
        <v>0</v>
      </c>
      <c r="AII90" s="20" t="n">
        <f aca="false">IF(ALV89&gt;0,API89-API89*UI90/ALV89,0)+0</f>
        <v>0</v>
      </c>
      <c r="AIJ90" s="20" t="n">
        <f aca="false">IF(ALW89&gt;0,APJ89-APJ89*UJ90/ALW89,0)+0</f>
        <v>0</v>
      </c>
      <c r="AIK90" s="20" t="n">
        <f aca="false">IF(ALX89&gt;0,APK89-APK89*UK90/ALX89,0)+0</f>
        <v>0</v>
      </c>
      <c r="AIL90" s="20" t="n">
        <f aca="false">IF(ALY89&gt;0,APL89-APL89*UL90/ALY89,0)+0</f>
        <v>0</v>
      </c>
      <c r="AIM90" s="20" t="n">
        <f aca="false">IF(ALZ89&gt;0,APM89-APM89*UM90/ALZ89,0)+0</f>
        <v>0</v>
      </c>
      <c r="AIN90" s="20" t="n">
        <f aca="false">IF(AMA89&gt;0,APN89-APN89*UN90/AMA89,0)+0</f>
        <v>0</v>
      </c>
      <c r="AIO90" s="20" t="n">
        <f aca="false">IF(AMB89&gt;0,APO89-APO89*UO90/AMB89,0)+0</f>
        <v>0</v>
      </c>
      <c r="AIP90" s="20" t="n">
        <f aca="false">IF(AMC89&gt;0,APP89-APP89*UP90/AMC89,0)+0</f>
        <v>0</v>
      </c>
      <c r="AIQ90" s="20" t="n">
        <f aca="false">IF(AMD89&gt;0,APQ89-APQ89*UQ90/AMD89,0)+0</f>
        <v>0</v>
      </c>
      <c r="AIR90" s="20" t="n">
        <f aca="false">IF(AME89&gt;0,APR89-APR89*UR90/AME89,0)+0</f>
        <v>0</v>
      </c>
      <c r="AIS90" s="20" t="n">
        <f aca="false">IF(AMF89&gt;0,APS89-APS89*US90/AMF89,0)+0</f>
        <v>0</v>
      </c>
      <c r="AIT90" s="20" t="n">
        <f aca="false">IF(AMG89&gt;0,APT89-APT89*UT90/AMG89,0)+0</f>
        <v>0</v>
      </c>
      <c r="AIU90" s="20" t="n">
        <f aca="false">IF(AMH89&gt;0,APU89-APU89*UU90/AMH89,0)+0</f>
        <v>0</v>
      </c>
      <c r="AIV90" s="20" t="n">
        <f aca="false">IF(AMI89&gt;0,APV89-APV89*UV90/AMI89,0)+0</f>
        <v>0</v>
      </c>
      <c r="AIW90" s="20" t="n">
        <f aca="false">IF(AMJ89&gt;0,APW89-APW89*UW90/AMJ89,0)+0</f>
        <v>0</v>
      </c>
      <c r="AIX90" s="20" t="n">
        <f aca="false">IF(AMK89&gt;0,APX89-APX89*UX90/AMK89,0)+0</f>
        <v>0</v>
      </c>
      <c r="AIY90" s="20" t="n">
        <f aca="false">IF(AML89&gt;0,APY89-APY89*UY90/AML89,0)+0</f>
        <v>0</v>
      </c>
      <c r="AIZ90" s="20" t="n">
        <f aca="false">IF(AMM89&gt;0,APZ89-APZ89*UZ90/AMM89,0)+0</f>
        <v>0</v>
      </c>
      <c r="AJA90" s="20" t="n">
        <f aca="false">IF(AMN89&gt;0,AQA89-AQA89*VA90/AMN89,0)+0</f>
        <v>0</v>
      </c>
      <c r="AJB90" s="20" t="n">
        <f aca="false">IF(AMO89&gt;0,AQB89-AQB89*VB90/AMO89,0)+0</f>
        <v>0</v>
      </c>
      <c r="AJC90" s="20" t="n">
        <f aca="false">IF(AMP89&gt;0,AQC89-AQC89*VC90/AMP89,0)+0</f>
        <v>0</v>
      </c>
      <c r="AJD90" s="20" t="n">
        <f aca="false">IF(AMQ89&gt;0,AQD89-AQD89*VD90/AMQ89,0)+0</f>
        <v>0</v>
      </c>
      <c r="AJE90" s="20" t="n">
        <f aca="false">IF(AMR89&gt;0,AQE89-AQE89*VE90/AMR89,0)+0</f>
        <v>0</v>
      </c>
      <c r="AJF90" s="20" t="n">
        <f aca="false">IF(AMS89&gt;0,AQF89-AQF89*VF90/AMS89,0)+0</f>
        <v>0</v>
      </c>
      <c r="AJG90" s="20" t="n">
        <f aca="false">IF(AMT89&gt;0,AQG89-AQG89*VG90/AMT89,0)+0</f>
        <v>0</v>
      </c>
      <c r="AJH90" s="20" t="n">
        <f aca="false">IF(AMU89&gt;0,AQH89-AQH89*VH90/AMU89,0)+0</f>
        <v>0</v>
      </c>
      <c r="AJI90" s="20" t="n">
        <f aca="false">IF(AMV89&gt;0,AQI89-AQI89*VI90/AMV89,0)+0</f>
        <v>0</v>
      </c>
      <c r="AJJ90" s="20" t="n">
        <f aca="false">IF(AMW89&gt;0,AQJ89-AQJ89*VJ90/AMW89,0)+0</f>
        <v>0</v>
      </c>
      <c r="AJK90" s="20" t="n">
        <f aca="false">IF(AMX89&gt;0,AQK89-AQK89*VK90/AMX89,0)+0</f>
        <v>0</v>
      </c>
      <c r="AJL90" s="20" t="n">
        <f aca="false">IF(AMY89&gt;0,AQL89-AQL89*VL90/AMY89,0)+0</f>
        <v>0</v>
      </c>
      <c r="AJM90" s="20" t="n">
        <f aca="false">IF(AMZ89&gt;0,AQM89-AQM89*VM90/AMZ89,0)+0</f>
        <v>0</v>
      </c>
      <c r="AJN90" s="20" t="n">
        <f aca="false">IF(ANA89&gt;0,AQN89-AQN89*VN90/ANA89,0)+0</f>
        <v>0</v>
      </c>
      <c r="AJO90" s="20" t="n">
        <f aca="false">IF(ANB89&gt;0,AQO89-AQO89*VO90/ANB89,0)+0</f>
        <v>0</v>
      </c>
      <c r="AJP90" s="20" t="n">
        <f aca="false">IF(ANC89&gt;0,AQP89-AQP89*VP90/ANC89,0)+0</f>
        <v>0</v>
      </c>
      <c r="AJQ90" s="20" t="n">
        <f aca="false">IF(AND89&gt;0,AQQ89-AQQ89*VQ90/AND89,0)+0</f>
        <v>0</v>
      </c>
      <c r="AJR90" s="20" t="n">
        <f aca="false">IF(ANE89&gt;0,AQR89-AQR89*VR90/ANE89,0)+0</f>
        <v>0</v>
      </c>
      <c r="AJS90" s="20" t="n">
        <f aca="false">IF(ANF89&gt;0,AQS89-AQS89*VS90/ANF89,0)+0</f>
        <v>0</v>
      </c>
      <c r="AJT90" s="20" t="n">
        <f aca="false">IF(ANG89&gt;0,AQT89-AQT89*VT90/ANG89,0)+0</f>
        <v>0</v>
      </c>
      <c r="AJU90" s="20" t="n">
        <f aca="false">IF(ANH89&gt;0,AQU89-AQU89*VU90/ANH89,0)+0</f>
        <v>0</v>
      </c>
      <c r="AJV90" s="20" t="n">
        <f aca="false">IF(ANI89&gt;0,AQV89-AQV89*VV90/ANI89,0)+0</f>
        <v>0</v>
      </c>
      <c r="AJW90" s="20" t="n">
        <f aca="false">IF(ANJ89&gt;0,AQW89-AQW89*VW90/ANJ89,0)+0</f>
        <v>0</v>
      </c>
      <c r="AJX90" s="20" t="n">
        <f aca="false">IF(ANK89&gt;0,AQX89-AQX89*VX90/ANK89,0)+0</f>
        <v>0</v>
      </c>
      <c r="AJY90" s="20" t="n">
        <f aca="false">IF(ANL89&gt;0,AQY89-AQY89*VY90/ANL89,0)+0</f>
        <v>0</v>
      </c>
      <c r="AJZ90" s="20" t="n">
        <f aca="false">IF(ANM89&gt;0,AQZ89-AQZ89*VZ90/ANM89,0)+0</f>
        <v>0</v>
      </c>
      <c r="AKA90" s="20" t="n">
        <f aca="false">IF(ANN89&gt;0,ARA89-ARA89*WA90/ANN89,0)+0</f>
        <v>0</v>
      </c>
      <c r="AKB90" s="20" t="n">
        <f aca="false">IF(ANO89&gt;0,ARB89-ARB89*WB90/ANO89,0)+0</f>
        <v>0</v>
      </c>
      <c r="AKC90" s="20" t="n">
        <f aca="false">IF(ANP89&gt;0,ARC89-ARC89*WC90/ANP89,0)+0</f>
        <v>0</v>
      </c>
      <c r="AKD90" s="20" t="n">
        <f aca="false">IF(ANQ89&gt;0,ARD89-ARD89*WD90/ANQ89,0)+0</f>
        <v>0</v>
      </c>
      <c r="AKE90" s="20" t="n">
        <f aca="false">IF(ANR89&gt;0,ARE89-ARE89*WE90/ANR89,0)+0</f>
        <v>0</v>
      </c>
      <c r="AKF90" s="20" t="n">
        <f aca="false">IF(ANS89&gt;0,ARF89-ARF89*WF90/ANS89,0)+0</f>
        <v>0</v>
      </c>
      <c r="AKG90" s="20" t="n">
        <f aca="false">IF(ANT89&gt;0,ARG89-ARG89*WG90/ANT89,0)+0</f>
        <v>0</v>
      </c>
      <c r="AKH90" s="20" t="n">
        <f aca="false">IF(ANU89&gt;0,ARH89-ARH89*WH90/ANU89,0)+0</f>
        <v>0</v>
      </c>
      <c r="AKI90" s="20" t="n">
        <f aca="false">IF(ANV89&gt;0,ARI89-ARI89*WI90/ANV89,0)+0</f>
        <v>0</v>
      </c>
      <c r="AKJ90" s="20" t="n">
        <f aca="false">IF((P90+S90)&gt;0,(P90+S90)-(P90+S90)*WJ90/(P90+S90),0)+BE90</f>
        <v>0</v>
      </c>
      <c r="AKK90" s="20" t="n">
        <v>0</v>
      </c>
      <c r="AKL90" s="20" t="n">
        <v>0</v>
      </c>
      <c r="AKM90" s="20" t="n">
        <v>0</v>
      </c>
      <c r="AKN90" s="20" t="n">
        <v>0</v>
      </c>
      <c r="AKO90" s="20" t="n">
        <v>0</v>
      </c>
      <c r="AKP90" s="20" t="n">
        <v>0</v>
      </c>
      <c r="AKQ90" s="20" t="n">
        <v>0</v>
      </c>
      <c r="AKR90" s="20" t="n">
        <f aca="false">ADR90-AVE90</f>
        <v>0</v>
      </c>
      <c r="AKS90" s="20" t="n">
        <f aca="false">ADS90-AVF90</f>
        <v>0</v>
      </c>
      <c r="AKT90" s="20" t="n">
        <f aca="false">ADT90-AVG90</f>
        <v>0</v>
      </c>
      <c r="AKU90" s="20" t="n">
        <f aca="false">ADU90-AVH90</f>
        <v>0</v>
      </c>
      <c r="AKV90" s="20" t="n">
        <f aca="false">ADV90-AVI90</f>
        <v>0</v>
      </c>
      <c r="AKW90" s="20" t="n">
        <f aca="false">ADW90-AVJ90</f>
        <v>0</v>
      </c>
      <c r="AKX90" s="20" t="n">
        <f aca="false">ADX90-AVK90</f>
        <v>0</v>
      </c>
      <c r="AKY90" s="20" t="n">
        <f aca="false">ADY90-AVL90</f>
        <v>0</v>
      </c>
      <c r="AKZ90" s="20" t="n">
        <f aca="false">ADZ90-AVM90</f>
        <v>0</v>
      </c>
      <c r="ALA90" s="20" t="n">
        <f aca="false">AEA90-AVN90</f>
        <v>0</v>
      </c>
      <c r="ALB90" s="20" t="n">
        <f aca="false">AEB90-AVO90</f>
        <v>0</v>
      </c>
      <c r="ALC90" s="20" t="n">
        <f aca="false">AEC90-AVP90</f>
        <v>0</v>
      </c>
      <c r="ALD90" s="20" t="n">
        <f aca="false">AED90-AVQ90</f>
        <v>0</v>
      </c>
      <c r="ALE90" s="20" t="n">
        <f aca="false">AEE90-AVR90</f>
        <v>0</v>
      </c>
      <c r="ALF90" s="20" t="n">
        <f aca="false">AEF90-AVS90</f>
        <v>0</v>
      </c>
      <c r="ALG90" s="20" t="n">
        <f aca="false">AEG90-AVT90</f>
        <v>0</v>
      </c>
      <c r="ALH90" s="20" t="n">
        <f aca="false">AEH90-AVU90</f>
        <v>0</v>
      </c>
      <c r="ALI90" s="20" t="n">
        <f aca="false">AEI90-AVV90</f>
        <v>0</v>
      </c>
      <c r="ALJ90" s="20" t="n">
        <f aca="false">AEJ90-AVW90</f>
        <v>0</v>
      </c>
      <c r="ALK90" s="20" t="n">
        <f aca="false">AEK90-AVX90</f>
        <v>0</v>
      </c>
      <c r="ALL90" s="20" t="n">
        <f aca="false">AEL90-AVY90</f>
        <v>0</v>
      </c>
      <c r="ALM90" s="20" t="n">
        <f aca="false">AEM90-AVZ90</f>
        <v>0</v>
      </c>
      <c r="ALN90" s="20" t="n">
        <f aca="false">AEN90-AWA90</f>
        <v>0</v>
      </c>
      <c r="ALO90" s="20" t="n">
        <f aca="false">AEO90-AWB90</f>
        <v>0</v>
      </c>
      <c r="ALP90" s="20" t="n">
        <f aca="false">AEP90-AWC90</f>
        <v>0</v>
      </c>
      <c r="ALQ90" s="20" t="n">
        <f aca="false">AEQ90-AWD90</f>
        <v>0</v>
      </c>
      <c r="ALR90" s="20" t="n">
        <f aca="false">AER90-AWE90</f>
        <v>0</v>
      </c>
      <c r="ALS90" s="20" t="n">
        <f aca="false">AES90-AWF90</f>
        <v>0</v>
      </c>
      <c r="ALT90" s="20" t="n">
        <f aca="false">AET90-AWG90</f>
        <v>0</v>
      </c>
      <c r="ALU90" s="20" t="n">
        <f aca="false">AEU90-AWH90</f>
        <v>0</v>
      </c>
      <c r="ALV90" s="20" t="n">
        <f aca="false">AEV90-AWI90</f>
        <v>0</v>
      </c>
      <c r="ALW90" s="20" t="n">
        <f aca="false">AEW90-AWJ90</f>
        <v>0</v>
      </c>
      <c r="ALX90" s="20" t="n">
        <f aca="false">AEX90-AWK90</f>
        <v>0</v>
      </c>
      <c r="ALY90" s="20" t="n">
        <f aca="false">AEY90-AWL90</f>
        <v>0</v>
      </c>
      <c r="ALZ90" s="20" t="n">
        <f aca="false">AEZ90-AWM90</f>
        <v>0</v>
      </c>
      <c r="AMA90" s="20" t="n">
        <f aca="false">AFA90-AWN90</f>
        <v>0</v>
      </c>
      <c r="AMB90" s="20" t="n">
        <f aca="false">AFB90-AWO90</f>
        <v>0</v>
      </c>
      <c r="AMC90" s="20" t="n">
        <f aca="false">AFC90-AWP90</f>
        <v>0</v>
      </c>
      <c r="AMD90" s="20" t="n">
        <f aca="false">AFD90-AWQ90</f>
        <v>0</v>
      </c>
      <c r="AME90" s="20" t="n">
        <f aca="false">AFE90-AWR90</f>
        <v>0</v>
      </c>
      <c r="AMF90" s="20" t="n">
        <f aca="false">AFF90-AWS90</f>
        <v>0</v>
      </c>
      <c r="AMG90" s="20" t="n">
        <f aca="false">AFG90-AWT90</f>
        <v>0</v>
      </c>
      <c r="AMH90" s="20" t="n">
        <f aca="false">AFH90-AWU90</f>
        <v>0</v>
      </c>
      <c r="AMI90" s="20" t="n">
        <f aca="false">AFI90-AWV90</f>
        <v>0</v>
      </c>
      <c r="AMJ90" s="20" t="n">
        <f aca="false">AFJ90-AWW90</f>
        <v>0</v>
      </c>
      <c r="AMK90" s="20" t="n">
        <f aca="false">AFK90-AWX90</f>
        <v>0</v>
      </c>
      <c r="AML90" s="20" t="n">
        <f aca="false">AFL90-AWY90</f>
        <v>0</v>
      </c>
      <c r="AMM90" s="20" t="n">
        <f aca="false">AFM90-AWZ90</f>
        <v>0</v>
      </c>
      <c r="AMN90" s="20" t="n">
        <f aca="false">AFN90-AXA90</f>
        <v>0</v>
      </c>
      <c r="AMO90" s="20" t="n">
        <f aca="false">AFO90-AXB90</f>
        <v>0</v>
      </c>
      <c r="AMP90" s="20" t="n">
        <f aca="false">AFP90-AXC90</f>
        <v>0</v>
      </c>
      <c r="AMQ90" s="20" t="n">
        <f aca="false">AFQ90-AXD90</f>
        <v>0</v>
      </c>
      <c r="AMR90" s="20" t="n">
        <f aca="false">AFR90-AXE90</f>
        <v>0</v>
      </c>
      <c r="AMS90" s="20" t="n">
        <f aca="false">AFS90-AXF90</f>
        <v>0</v>
      </c>
      <c r="AMT90" s="20" t="n">
        <f aca="false">AFT90-AXG90</f>
        <v>0</v>
      </c>
      <c r="AMU90" s="20" t="n">
        <f aca="false">AFU90-AXH90</f>
        <v>0</v>
      </c>
      <c r="AMV90" s="20" t="n">
        <f aca="false">AFV90-AXI90</f>
        <v>0</v>
      </c>
      <c r="AMW90" s="20" t="n">
        <f aca="false">AFW90-AXJ90</f>
        <v>0</v>
      </c>
      <c r="AMX90" s="20" t="n">
        <f aca="false">AFX90-AXK90</f>
        <v>0</v>
      </c>
      <c r="AMY90" s="20" t="n">
        <f aca="false">AFY90-AXL90</f>
        <v>0</v>
      </c>
      <c r="AMZ90" s="20" t="n">
        <f aca="false">AFZ90-AXM90</f>
        <v>0</v>
      </c>
      <c r="ANA90" s="20" t="n">
        <f aca="false">AGA90-AXN90</f>
        <v>0</v>
      </c>
      <c r="ANB90" s="20" t="n">
        <f aca="false">AGB90-AXO90</f>
        <v>0</v>
      </c>
      <c r="ANC90" s="20" t="n">
        <f aca="false">AGC90-AXP90</f>
        <v>0</v>
      </c>
      <c r="AND90" s="20" t="n">
        <f aca="false">AGD90-AXQ90</f>
        <v>0</v>
      </c>
      <c r="ANE90" s="20" t="n">
        <f aca="false">AGE90-AXR90</f>
        <v>0</v>
      </c>
      <c r="ANF90" s="20" t="n">
        <f aca="false">AGF90-AXS90</f>
        <v>0</v>
      </c>
      <c r="ANG90" s="20" t="n">
        <f aca="false">AGG90-AXT90</f>
        <v>0</v>
      </c>
      <c r="ANH90" s="20" t="n">
        <f aca="false">AGH90-AXU90</f>
        <v>0</v>
      </c>
      <c r="ANI90" s="20" t="n">
        <f aca="false">AGI90-AXV90</f>
        <v>0</v>
      </c>
      <c r="ANJ90" s="20" t="n">
        <f aca="false">AGJ90-AXW90</f>
        <v>0</v>
      </c>
      <c r="ANK90" s="20" t="n">
        <f aca="false">AGK90-AXX90</f>
        <v>0</v>
      </c>
      <c r="ANL90" s="20" t="n">
        <f aca="false">AGL90-AXY90</f>
        <v>0</v>
      </c>
      <c r="ANM90" s="20" t="n">
        <f aca="false">AGM90-AXZ90</f>
        <v>0</v>
      </c>
      <c r="ANN90" s="20" t="n">
        <f aca="false">AGN90-AYA90</f>
        <v>0</v>
      </c>
      <c r="ANO90" s="20" t="n">
        <f aca="false">AGO90-AYB90</f>
        <v>0</v>
      </c>
      <c r="ANP90" s="20" t="n">
        <f aca="false">AGP90-AYC90</f>
        <v>0</v>
      </c>
      <c r="ANQ90" s="20" t="n">
        <f aca="false">AGQ90-AYD90</f>
        <v>0</v>
      </c>
      <c r="ANR90" s="20" t="n">
        <f aca="false">AGR90-AYE90</f>
        <v>0</v>
      </c>
      <c r="ANS90" s="20" t="n">
        <f aca="false">AGS90-AYF90</f>
        <v>0</v>
      </c>
      <c r="ANT90" s="20" t="n">
        <f aca="false">AGT90-AYG90</f>
        <v>0</v>
      </c>
      <c r="ANU90" s="20" t="n">
        <f aca="false">AGU90-AYH90</f>
        <v>0</v>
      </c>
      <c r="ANV90" s="20" t="n">
        <f aca="false">AGV90-AYI90</f>
        <v>0</v>
      </c>
      <c r="ANW90" s="20" t="n">
        <f aca="false">AGW90-AYJ90</f>
        <v>0</v>
      </c>
      <c r="ANX90" s="20" t="n">
        <v>0</v>
      </c>
      <c r="ANY90" s="20" t="n">
        <v>0</v>
      </c>
      <c r="ANZ90" s="20" t="n">
        <v>0</v>
      </c>
      <c r="AOA90" s="20" t="n">
        <v>0</v>
      </c>
      <c r="AOB90" s="20" t="n">
        <v>0</v>
      </c>
      <c r="AOC90" s="20" t="n">
        <v>0</v>
      </c>
      <c r="AOD90" s="20" t="n">
        <v>0</v>
      </c>
      <c r="AOE90" s="20" t="n">
        <f aca="false">IF(AND(H_Direct=0,H_TaxEvt=1,ARR89+1&gt;=H_Deemed),AKR90,AHE90)</f>
        <v>0</v>
      </c>
      <c r="AOF90" s="20" t="n">
        <f aca="false">IF(AND(H_Direct=0,H_TaxEvt=1,ARS89+1&gt;=H_Deemed),AKS90,AHF90)</f>
        <v>0</v>
      </c>
      <c r="AOG90" s="20" t="n">
        <f aca="false">IF(AND(H_Direct=0,H_TaxEvt=1,ART89+1&gt;=H_Deemed),AKT90,AHG90)</f>
        <v>0</v>
      </c>
      <c r="AOH90" s="20" t="n">
        <f aca="false">IF(AND(H_Direct=0,H_TaxEvt=1,ARU89+1&gt;=H_Deemed),AKU90,AHH90)</f>
        <v>0</v>
      </c>
      <c r="AOI90" s="20" t="n">
        <f aca="false">IF(AND(H_Direct=0,H_TaxEvt=1,ARV89+1&gt;=H_Deemed),AKV90,AHI90)</f>
        <v>0</v>
      </c>
      <c r="AOJ90" s="20" t="n">
        <f aca="false">IF(AND(H_Direct=0,H_TaxEvt=1,ARW89+1&gt;=H_Deemed),AKW90,AHJ90)</f>
        <v>0</v>
      </c>
      <c r="AOK90" s="20" t="n">
        <f aca="false">IF(AND(H_Direct=0,H_TaxEvt=1,ARX89+1&gt;=H_Deemed),AKX90,AHK90)</f>
        <v>0</v>
      </c>
      <c r="AOL90" s="20" t="n">
        <f aca="false">IF(AND(H_Direct=0,H_TaxEvt=1,ARY89+1&gt;=H_Deemed),AKY90,AHL90)</f>
        <v>0</v>
      </c>
      <c r="AOM90" s="20" t="n">
        <f aca="false">IF(AND(H_Direct=0,H_TaxEvt=1,ARZ89+1&gt;=H_Deemed),AKZ90,AHM90)</f>
        <v>0</v>
      </c>
      <c r="AON90" s="20" t="n">
        <f aca="false">IF(AND(H_Direct=0,H_TaxEvt=1,ASA89+1&gt;=H_Deemed),ALA90,AHN90)</f>
        <v>0</v>
      </c>
      <c r="AOO90" s="20" t="n">
        <f aca="false">IF(AND(H_Direct=0,H_TaxEvt=1,ASB89+1&gt;=H_Deemed),ALB90,AHO90)</f>
        <v>0</v>
      </c>
      <c r="AOP90" s="20" t="n">
        <f aca="false">IF(AND(H_Direct=0,H_TaxEvt=1,ASC89+1&gt;=H_Deemed),ALC90,AHP90)</f>
        <v>0</v>
      </c>
      <c r="AOQ90" s="20" t="n">
        <f aca="false">IF(AND(H_Direct=0,H_TaxEvt=1,ASD89+1&gt;=H_Deemed),ALD90,AHQ90)</f>
        <v>0</v>
      </c>
      <c r="AOR90" s="20" t="n">
        <f aca="false">IF(AND(H_Direct=0,H_TaxEvt=1,ASE89+1&gt;=H_Deemed),ALE90,AHR90)</f>
        <v>0</v>
      </c>
      <c r="AOS90" s="20" t="n">
        <f aca="false">IF(AND(H_Direct=0,H_TaxEvt=1,ASF89+1&gt;=H_Deemed),ALF90,AHS90)</f>
        <v>0</v>
      </c>
      <c r="AOT90" s="20" t="n">
        <f aca="false">IF(AND(H_Direct=0,H_TaxEvt=1,ASG89+1&gt;=H_Deemed),ALG90,AHT90)</f>
        <v>0</v>
      </c>
      <c r="AOU90" s="20" t="n">
        <f aca="false">IF(AND(H_Direct=0,H_TaxEvt=1,ASH89+1&gt;=H_Deemed),ALH90,AHU90)</f>
        <v>0</v>
      </c>
      <c r="AOV90" s="20" t="n">
        <f aca="false">IF(AND(H_Direct=0,H_TaxEvt=1,ASI89+1&gt;=H_Deemed),ALI90,AHV90)</f>
        <v>0</v>
      </c>
      <c r="AOW90" s="20" t="n">
        <f aca="false">IF(AND(H_Direct=0,H_TaxEvt=1,ASJ89+1&gt;=H_Deemed),ALJ90,AHW90)</f>
        <v>0</v>
      </c>
      <c r="AOX90" s="20" t="n">
        <f aca="false">IF(AND(H_Direct=0,H_TaxEvt=1,ASK89+1&gt;=H_Deemed),ALK90,AHX90)</f>
        <v>0</v>
      </c>
      <c r="AOY90" s="20" t="n">
        <f aca="false">IF(AND(H_Direct=0,H_TaxEvt=1,ASL89+1&gt;=H_Deemed),ALL90,AHY90)</f>
        <v>0</v>
      </c>
      <c r="AOZ90" s="20" t="n">
        <f aca="false">IF(AND(H_Direct=0,H_TaxEvt=1,ASM89+1&gt;=H_Deemed),ALM90,AHZ90)</f>
        <v>0</v>
      </c>
      <c r="APA90" s="20" t="n">
        <f aca="false">IF(AND(H_Direct=0,H_TaxEvt=1,ASN89+1&gt;=H_Deemed),ALN90,AIA90)</f>
        <v>0</v>
      </c>
      <c r="APB90" s="20" t="n">
        <f aca="false">IF(AND(H_Direct=0,H_TaxEvt=1,ASO89+1&gt;=H_Deemed),ALO90,AIB90)</f>
        <v>0</v>
      </c>
      <c r="APC90" s="20" t="n">
        <f aca="false">IF(AND(H_Direct=0,H_TaxEvt=1,ASP89+1&gt;=H_Deemed),ALP90,AIC90)</f>
        <v>0</v>
      </c>
      <c r="APD90" s="20" t="n">
        <f aca="false">IF(AND(H_Direct=0,H_TaxEvt=1,ASQ89+1&gt;=H_Deemed),ALQ90,AID90)</f>
        <v>0</v>
      </c>
      <c r="APE90" s="20" t="n">
        <f aca="false">IF(AND(H_Direct=0,H_TaxEvt=1,ASR89+1&gt;=H_Deemed),ALR90,AIE90)</f>
        <v>0</v>
      </c>
      <c r="APF90" s="20" t="n">
        <f aca="false">IF(AND(H_Direct=0,H_TaxEvt=1,ASS89+1&gt;=H_Deemed),ALS90,AIF90)</f>
        <v>0</v>
      </c>
      <c r="APG90" s="20" t="n">
        <f aca="false">IF(AND(H_Direct=0,H_TaxEvt=1,AST89+1&gt;=H_Deemed),ALT90,AIG90)</f>
        <v>0</v>
      </c>
      <c r="APH90" s="20" t="n">
        <f aca="false">IF(AND(H_Direct=0,H_TaxEvt=1,ASU89+1&gt;=H_Deemed),ALU90,AIH90)</f>
        <v>0</v>
      </c>
      <c r="API90" s="20" t="n">
        <f aca="false">IF(AND(H_Direct=0,H_TaxEvt=1,ASV89+1&gt;=H_Deemed),ALV90,AII90)</f>
        <v>0</v>
      </c>
      <c r="APJ90" s="20" t="n">
        <f aca="false">IF(AND(H_Direct=0,H_TaxEvt=1,ASW89+1&gt;=H_Deemed),ALW90,AIJ90)</f>
        <v>0</v>
      </c>
      <c r="APK90" s="20" t="n">
        <f aca="false">IF(AND(H_Direct=0,H_TaxEvt=1,ASX89+1&gt;=H_Deemed),ALX90,AIK90)</f>
        <v>0</v>
      </c>
      <c r="APL90" s="20" t="n">
        <f aca="false">IF(AND(H_Direct=0,H_TaxEvt=1,ASY89+1&gt;=H_Deemed),ALY90,AIL90)</f>
        <v>0</v>
      </c>
      <c r="APM90" s="20" t="n">
        <f aca="false">IF(AND(H_Direct=0,H_TaxEvt=1,ASZ89+1&gt;=H_Deemed),ALZ90,AIM90)</f>
        <v>0</v>
      </c>
      <c r="APN90" s="20" t="n">
        <f aca="false">IF(AND(H_Direct=0,H_TaxEvt=1,ATA89+1&gt;=H_Deemed),AMA90,AIN90)</f>
        <v>0</v>
      </c>
      <c r="APO90" s="20" t="n">
        <f aca="false">IF(AND(H_Direct=0,H_TaxEvt=1,ATB89+1&gt;=H_Deemed),AMB90,AIO90)</f>
        <v>0</v>
      </c>
      <c r="APP90" s="20" t="n">
        <f aca="false">IF(AND(H_Direct=0,H_TaxEvt=1,ATC89+1&gt;=H_Deemed),AMC90,AIP90)</f>
        <v>0</v>
      </c>
      <c r="APQ90" s="20" t="n">
        <f aca="false">IF(AND(H_Direct=0,H_TaxEvt=1,ATD89+1&gt;=H_Deemed),AMD90,AIQ90)</f>
        <v>0</v>
      </c>
      <c r="APR90" s="20" t="n">
        <f aca="false">IF(AND(H_Direct=0,H_TaxEvt=1,ATE89+1&gt;=H_Deemed),AME90,AIR90)</f>
        <v>0</v>
      </c>
      <c r="APS90" s="20" t="n">
        <f aca="false">IF(AND(H_Direct=0,H_TaxEvt=1,ATF89+1&gt;=H_Deemed),AMF90,AIS90)</f>
        <v>0</v>
      </c>
      <c r="APT90" s="20" t="n">
        <f aca="false">IF(AND(H_Direct=0,H_TaxEvt=1,ATG89+1&gt;=H_Deemed),AMG90,AIT90)</f>
        <v>0</v>
      </c>
      <c r="APU90" s="20" t="n">
        <f aca="false">IF(AND(H_Direct=0,H_TaxEvt=1,ATH89+1&gt;=H_Deemed),AMH90,AIU90)</f>
        <v>0</v>
      </c>
      <c r="APV90" s="20" t="n">
        <f aca="false">IF(AND(H_Direct=0,H_TaxEvt=1,ATI89+1&gt;=H_Deemed),AMI90,AIV90)</f>
        <v>0</v>
      </c>
      <c r="APW90" s="20" t="n">
        <f aca="false">IF(AND(H_Direct=0,H_TaxEvt=1,ATJ89+1&gt;=H_Deemed),AMJ90,AIW90)</f>
        <v>0</v>
      </c>
      <c r="APX90" s="20" t="n">
        <f aca="false">IF(AND(H_Direct=0,H_TaxEvt=1,ATK89+1&gt;=H_Deemed),AMK90,AIX90)</f>
        <v>0</v>
      </c>
      <c r="APY90" s="20" t="n">
        <f aca="false">IF(AND(H_Direct=0,H_TaxEvt=1,ATL89+1&gt;=H_Deemed),AML90,AIY90)</f>
        <v>0</v>
      </c>
      <c r="APZ90" s="20" t="n">
        <f aca="false">IF(AND(H_Direct=0,H_TaxEvt=1,ATM89+1&gt;=H_Deemed),AMM90,AIZ90)</f>
        <v>0</v>
      </c>
      <c r="AQA90" s="20" t="n">
        <f aca="false">IF(AND(H_Direct=0,H_TaxEvt=1,ATN89+1&gt;=H_Deemed),AMN90,AJA90)</f>
        <v>0</v>
      </c>
      <c r="AQB90" s="20" t="n">
        <f aca="false">IF(AND(H_Direct=0,H_TaxEvt=1,ATO89+1&gt;=H_Deemed),AMO90,AJB90)</f>
        <v>0</v>
      </c>
      <c r="AQC90" s="20" t="n">
        <f aca="false">IF(AND(H_Direct=0,H_TaxEvt=1,ATP89+1&gt;=H_Deemed),AMP90,AJC90)</f>
        <v>0</v>
      </c>
      <c r="AQD90" s="20" t="n">
        <f aca="false">IF(AND(H_Direct=0,H_TaxEvt=1,ATQ89+1&gt;=H_Deemed),AMQ90,AJD90)</f>
        <v>0</v>
      </c>
      <c r="AQE90" s="20" t="n">
        <f aca="false">IF(AND(H_Direct=0,H_TaxEvt=1,ATR89+1&gt;=H_Deemed),AMR90,AJE90)</f>
        <v>0</v>
      </c>
      <c r="AQF90" s="20" t="n">
        <f aca="false">IF(AND(H_Direct=0,H_TaxEvt=1,ATS89+1&gt;=H_Deemed),AMS90,AJF90)</f>
        <v>0</v>
      </c>
      <c r="AQG90" s="20" t="n">
        <f aca="false">IF(AND(H_Direct=0,H_TaxEvt=1,ATT89+1&gt;=H_Deemed),AMT90,AJG90)</f>
        <v>0</v>
      </c>
      <c r="AQH90" s="20" t="n">
        <f aca="false">IF(AND(H_Direct=0,H_TaxEvt=1,ATU89+1&gt;=H_Deemed),AMU90,AJH90)</f>
        <v>0</v>
      </c>
      <c r="AQI90" s="20" t="n">
        <f aca="false">IF(AND(H_Direct=0,H_TaxEvt=1,ATV89+1&gt;=H_Deemed),AMV90,AJI90)</f>
        <v>0</v>
      </c>
      <c r="AQJ90" s="20" t="n">
        <f aca="false">IF(AND(H_Direct=0,H_TaxEvt=1,ATW89+1&gt;=H_Deemed),AMW90,AJJ90)</f>
        <v>0</v>
      </c>
      <c r="AQK90" s="20" t="n">
        <f aca="false">IF(AND(H_Direct=0,H_TaxEvt=1,ATX89+1&gt;=H_Deemed),AMX90,AJK90)</f>
        <v>0</v>
      </c>
      <c r="AQL90" s="20" t="n">
        <f aca="false">IF(AND(H_Direct=0,H_TaxEvt=1,ATY89+1&gt;=H_Deemed),AMY90,AJL90)</f>
        <v>0</v>
      </c>
      <c r="AQM90" s="20" t="n">
        <f aca="false">IF(AND(H_Direct=0,H_TaxEvt=1,ATZ89+1&gt;=H_Deemed),AMZ90,AJM90)</f>
        <v>0</v>
      </c>
      <c r="AQN90" s="20" t="n">
        <f aca="false">IF(AND(H_Direct=0,H_TaxEvt=1,AUA89+1&gt;=H_Deemed),ANA90,AJN90)</f>
        <v>0</v>
      </c>
      <c r="AQO90" s="20" t="n">
        <f aca="false">IF(AND(H_Direct=0,H_TaxEvt=1,AUB89+1&gt;=H_Deemed),ANB90,AJO90)</f>
        <v>0</v>
      </c>
      <c r="AQP90" s="20" t="n">
        <f aca="false">IF(AND(H_Direct=0,H_TaxEvt=1,AUC89+1&gt;=H_Deemed),ANC90,AJP90)</f>
        <v>0</v>
      </c>
      <c r="AQQ90" s="20" t="n">
        <f aca="false">IF(AND(H_Direct=0,H_TaxEvt=1,AUD89+1&gt;=H_Deemed),AND90,AJQ90)</f>
        <v>0</v>
      </c>
      <c r="AQR90" s="20" t="n">
        <f aca="false">IF(AND(H_Direct=0,H_TaxEvt=1,AUE89+1&gt;=H_Deemed),ANE90,AJR90)</f>
        <v>0</v>
      </c>
      <c r="AQS90" s="20" t="n">
        <f aca="false">IF(AND(H_Direct=0,H_TaxEvt=1,AUF89+1&gt;=H_Deemed),ANF90,AJS90)</f>
        <v>0</v>
      </c>
      <c r="AQT90" s="20" t="n">
        <f aca="false">IF(AND(H_Direct=0,H_TaxEvt=1,AUG89+1&gt;=H_Deemed),ANG90,AJT90)</f>
        <v>0</v>
      </c>
      <c r="AQU90" s="20" t="n">
        <f aca="false">IF(AND(H_Direct=0,H_TaxEvt=1,AUH89+1&gt;=H_Deemed),ANH90,AJU90)</f>
        <v>0</v>
      </c>
      <c r="AQV90" s="20" t="n">
        <f aca="false">IF(AND(H_Direct=0,H_TaxEvt=1,AUI89+1&gt;=H_Deemed),ANI90,AJV90)</f>
        <v>0</v>
      </c>
      <c r="AQW90" s="20" t="n">
        <f aca="false">IF(AND(H_Direct=0,H_TaxEvt=1,AUJ89+1&gt;=H_Deemed),ANJ90,AJW90)</f>
        <v>0</v>
      </c>
      <c r="AQX90" s="20" t="n">
        <f aca="false">IF(AND(H_Direct=0,H_TaxEvt=1,AUK89+1&gt;=H_Deemed),ANK90,AJX90)</f>
        <v>0</v>
      </c>
      <c r="AQY90" s="20" t="n">
        <f aca="false">IF(AND(H_Direct=0,H_TaxEvt=1,AUL89+1&gt;=H_Deemed),ANL90,AJY90)</f>
        <v>0</v>
      </c>
      <c r="AQZ90" s="20" t="n">
        <f aca="false">IF(AND(H_Direct=0,H_TaxEvt=1,AUM89+1&gt;=H_Deemed),ANM90,AJZ90)</f>
        <v>0</v>
      </c>
      <c r="ARA90" s="20" t="n">
        <f aca="false">IF(AND(H_Direct=0,H_TaxEvt=1,AUN89+1&gt;=H_Deemed),ANN90,AKA90)</f>
        <v>0</v>
      </c>
      <c r="ARB90" s="20" t="n">
        <f aca="false">IF(AND(H_Direct=0,H_TaxEvt=1,AUO89+1&gt;=H_Deemed),ANO90,AKB90)</f>
        <v>0</v>
      </c>
      <c r="ARC90" s="20" t="n">
        <f aca="false">IF(AND(H_Direct=0,H_TaxEvt=1,AUP89+1&gt;=H_Deemed),ANP90,AKC90)</f>
        <v>0</v>
      </c>
      <c r="ARD90" s="20" t="n">
        <f aca="false">IF(AND(H_Direct=0,H_TaxEvt=1,AUQ89+1&gt;=H_Deemed),ANQ90,AKD90)</f>
        <v>0</v>
      </c>
      <c r="ARE90" s="20" t="n">
        <f aca="false">IF(AND(H_Direct=0,H_TaxEvt=1,AUR89+1&gt;=H_Deemed),ANR90,AKE90)</f>
        <v>0</v>
      </c>
      <c r="ARF90" s="20" t="n">
        <f aca="false">IF(AND(H_Direct=0,H_TaxEvt=1,AUS89+1&gt;=H_Deemed),ANS90,AKF90)</f>
        <v>0</v>
      </c>
      <c r="ARG90" s="20" t="n">
        <f aca="false">IF(AND(H_Direct=0,H_TaxEvt=1,AUT89+1&gt;=H_Deemed),ANT90,AKG90)</f>
        <v>0</v>
      </c>
      <c r="ARH90" s="20" t="n">
        <f aca="false">IF(AND(H_Direct=0,H_TaxEvt=1,AUU89+1&gt;=H_Deemed),ANU90,AKH90)</f>
        <v>0</v>
      </c>
      <c r="ARI90" s="20" t="n">
        <f aca="false">IF(AND(H_Direct=0,H_TaxEvt=1,AUV89+1&gt;=H_Deemed),ANV90,AKI90)</f>
        <v>0</v>
      </c>
      <c r="ARJ90" s="20" t="n">
        <f aca="false">IF(AND(H_Direct=0,H_TaxEvt=1,0+1&gt;=H_Deemed),ANW90,AKJ90)</f>
        <v>0</v>
      </c>
      <c r="ARK90" s="20" t="n">
        <v>0</v>
      </c>
      <c r="ARL90" s="20" t="n">
        <v>0</v>
      </c>
      <c r="ARM90" s="20" t="n">
        <v>0</v>
      </c>
      <c r="ARN90" s="20" t="n">
        <v>0</v>
      </c>
      <c r="ARO90" s="20" t="n">
        <v>0</v>
      </c>
      <c r="ARP90" s="20" t="n">
        <v>0</v>
      </c>
      <c r="ARQ90" s="20" t="n">
        <v>0</v>
      </c>
      <c r="ARR90" s="20" t="n">
        <f aca="false">IF(AND(H_Direct=0,H_TaxEvt=1),IF(ARR89+1&gt;=H_Deemed,0,ARR89+1),ARR89)</f>
        <v>3</v>
      </c>
      <c r="ARS90" s="20" t="n">
        <f aca="false">IF(AND(H_Direct=0,H_TaxEvt=1),IF(ARS89+1&gt;=H_Deemed,0,ARS89+1),ARS89)</f>
        <v>3</v>
      </c>
      <c r="ART90" s="20" t="n">
        <f aca="false">IF(AND(H_Direct=0,H_TaxEvt=1),IF(ART89+1&gt;=H_Deemed,0,ART89+1),ART89)</f>
        <v>2</v>
      </c>
      <c r="ARU90" s="20" t="n">
        <f aca="false">IF(AND(H_Direct=0,H_TaxEvt=1),IF(ARU89+1&gt;=H_Deemed,0,ARU89+1),ARU89)</f>
        <v>1</v>
      </c>
      <c r="ARV90" s="20" t="n">
        <f aca="false">IF(AND(H_Direct=0,H_TaxEvt=1),IF(ARV89+1&gt;=H_Deemed,0,ARV89+1),ARV89)</f>
        <v>0</v>
      </c>
      <c r="ARW90" s="20" t="n">
        <f aca="false">IF(AND(H_Direct=0,H_TaxEvt=1),IF(ARW89+1&gt;=H_Deemed,0,ARW89+1),ARW89)</f>
        <v>7</v>
      </c>
      <c r="ARX90" s="20" t="n">
        <f aca="false">IF(AND(H_Direct=0,H_TaxEvt=1),IF(ARX89+1&gt;=H_Deemed,0,ARX89+1),ARX89)</f>
        <v>6</v>
      </c>
      <c r="ARY90" s="20" t="n">
        <f aca="false">IF(AND(H_Direct=0,H_TaxEvt=1),IF(ARY89+1&gt;=H_Deemed,0,ARY89+1),ARY89)</f>
        <v>5</v>
      </c>
      <c r="ARZ90" s="20" t="n">
        <f aca="false">IF(AND(H_Direct=0,H_TaxEvt=1),IF(ARZ89+1&gt;=H_Deemed,0,ARZ89+1),ARZ89)</f>
        <v>4</v>
      </c>
      <c r="ASA90" s="20" t="n">
        <f aca="false">IF(AND(H_Direct=0,H_TaxEvt=1),IF(ASA89+1&gt;=H_Deemed,0,ASA89+1),ASA89)</f>
        <v>3</v>
      </c>
      <c r="ASB90" s="20" t="n">
        <f aca="false">IF(AND(H_Direct=0,H_TaxEvt=1),IF(ASB89+1&gt;=H_Deemed,0,ASB89+1),ASB89)</f>
        <v>2</v>
      </c>
      <c r="ASC90" s="20" t="n">
        <f aca="false">IF(AND(H_Direct=0,H_TaxEvt=1),IF(ASC89+1&gt;=H_Deemed,0,ASC89+1),ASC89)</f>
        <v>1</v>
      </c>
      <c r="ASD90" s="20" t="n">
        <f aca="false">IF(AND(H_Direct=0,H_TaxEvt=1),IF(ASD89+1&gt;=H_Deemed,0,ASD89+1),ASD89)</f>
        <v>0</v>
      </c>
      <c r="ASE90" s="20" t="n">
        <f aca="false">IF(AND(H_Direct=0,H_TaxEvt=1),IF(ASE89+1&gt;=H_Deemed,0,ASE89+1),ASE89)</f>
        <v>7</v>
      </c>
      <c r="ASF90" s="20" t="n">
        <f aca="false">IF(AND(H_Direct=0,H_TaxEvt=1),IF(ASF89+1&gt;=H_Deemed,0,ASF89+1),ASF89)</f>
        <v>6</v>
      </c>
      <c r="ASG90" s="20" t="n">
        <f aca="false">IF(AND(H_Direct=0,H_TaxEvt=1),IF(ASG89+1&gt;=H_Deemed,0,ASG89+1),ASG89)</f>
        <v>5</v>
      </c>
      <c r="ASH90" s="20" t="n">
        <f aca="false">IF(AND(H_Direct=0,H_TaxEvt=1),IF(ASH89+1&gt;=H_Deemed,0,ASH89+1),ASH89)</f>
        <v>4</v>
      </c>
      <c r="ASI90" s="20" t="n">
        <f aca="false">IF(AND(H_Direct=0,H_TaxEvt=1),IF(ASI89+1&gt;=H_Deemed,0,ASI89+1),ASI89)</f>
        <v>3</v>
      </c>
      <c r="ASJ90" s="20" t="n">
        <f aca="false">IF(AND(H_Direct=0,H_TaxEvt=1),IF(ASJ89+1&gt;=H_Deemed,0,ASJ89+1),ASJ89)</f>
        <v>2</v>
      </c>
      <c r="ASK90" s="20" t="n">
        <f aca="false">IF(AND(H_Direct=0,H_TaxEvt=1),IF(ASK89+1&gt;=H_Deemed,0,ASK89+1),ASK89)</f>
        <v>1</v>
      </c>
      <c r="ASL90" s="20" t="n">
        <f aca="false">IF(AND(H_Direct=0,H_TaxEvt=1),IF(ASL89+1&gt;=H_Deemed,0,ASL89+1),ASL89)</f>
        <v>0</v>
      </c>
      <c r="ASM90" s="20" t="n">
        <f aca="false">IF(AND(H_Direct=0,H_TaxEvt=1),IF(ASM89+1&gt;=H_Deemed,0,ASM89+1),ASM89)</f>
        <v>7</v>
      </c>
      <c r="ASN90" s="20" t="n">
        <f aca="false">IF(AND(H_Direct=0,H_TaxEvt=1),IF(ASN89+1&gt;=H_Deemed,0,ASN89+1),ASN89)</f>
        <v>6</v>
      </c>
      <c r="ASO90" s="20" t="n">
        <f aca="false">IF(AND(H_Direct=0,H_TaxEvt=1),IF(ASO89+1&gt;=H_Deemed,0,ASO89+1),ASO89)</f>
        <v>5</v>
      </c>
      <c r="ASP90" s="20" t="n">
        <f aca="false">IF(AND(H_Direct=0,H_TaxEvt=1),IF(ASP89+1&gt;=H_Deemed,0,ASP89+1),ASP89)</f>
        <v>4</v>
      </c>
      <c r="ASQ90" s="20" t="n">
        <f aca="false">IF(AND(H_Direct=0,H_TaxEvt=1),IF(ASQ89+1&gt;=H_Deemed,0,ASQ89+1),ASQ89)</f>
        <v>3</v>
      </c>
      <c r="ASR90" s="20" t="n">
        <f aca="false">IF(AND(H_Direct=0,H_TaxEvt=1),IF(ASR89+1&gt;=H_Deemed,0,ASR89+1),ASR89)</f>
        <v>2</v>
      </c>
      <c r="ASS90" s="20" t="n">
        <f aca="false">IF(AND(H_Direct=0,H_TaxEvt=1),IF(ASS89+1&gt;=H_Deemed,0,ASS89+1),ASS89)</f>
        <v>1</v>
      </c>
      <c r="AST90" s="20" t="n">
        <f aca="false">IF(AND(H_Direct=0,H_TaxEvt=1),IF(AST89+1&gt;=H_Deemed,0,AST89+1),AST89)</f>
        <v>0</v>
      </c>
      <c r="ASU90" s="20" t="n">
        <f aca="false">IF(AND(H_Direct=0,H_TaxEvt=1),IF(ASU89+1&gt;=H_Deemed,0,ASU89+1),ASU89)</f>
        <v>7</v>
      </c>
      <c r="ASV90" s="20" t="n">
        <f aca="false">IF(AND(H_Direct=0,H_TaxEvt=1),IF(ASV89+1&gt;=H_Deemed,0,ASV89+1),ASV89)</f>
        <v>6</v>
      </c>
      <c r="ASW90" s="20" t="n">
        <f aca="false">IF(AND(H_Direct=0,H_TaxEvt=1),IF(ASW89+1&gt;=H_Deemed,0,ASW89+1),ASW89)</f>
        <v>5</v>
      </c>
      <c r="ASX90" s="20" t="n">
        <f aca="false">IF(AND(H_Direct=0,H_TaxEvt=1),IF(ASX89+1&gt;=H_Deemed,0,ASX89+1),ASX89)</f>
        <v>4</v>
      </c>
      <c r="ASY90" s="20" t="n">
        <f aca="false">IF(AND(H_Direct=0,H_TaxEvt=1),IF(ASY89+1&gt;=H_Deemed,0,ASY89+1),ASY89)</f>
        <v>3</v>
      </c>
      <c r="ASZ90" s="20" t="n">
        <f aca="false">IF(AND(H_Direct=0,H_TaxEvt=1),IF(ASZ89+1&gt;=H_Deemed,0,ASZ89+1),ASZ89)</f>
        <v>2</v>
      </c>
      <c r="ATA90" s="20" t="n">
        <f aca="false">IF(AND(H_Direct=0,H_TaxEvt=1),IF(ATA89+1&gt;=H_Deemed,0,ATA89+1),ATA89)</f>
        <v>1</v>
      </c>
      <c r="ATB90" s="20" t="n">
        <f aca="false">IF(AND(H_Direct=0,H_TaxEvt=1),IF(ATB89+1&gt;=H_Deemed,0,ATB89+1),ATB89)</f>
        <v>0</v>
      </c>
      <c r="ATC90" s="20" t="n">
        <f aca="false">IF(AND(H_Direct=0,H_TaxEvt=1),IF(ATC89+1&gt;=H_Deemed,0,ATC89+1),ATC89)</f>
        <v>7</v>
      </c>
      <c r="ATD90" s="20" t="n">
        <f aca="false">IF(AND(H_Direct=0,H_TaxEvt=1),IF(ATD89+1&gt;=H_Deemed,0,ATD89+1),ATD89)</f>
        <v>6</v>
      </c>
      <c r="ATE90" s="20" t="n">
        <f aca="false">IF(AND(H_Direct=0,H_TaxEvt=1),IF(ATE89+1&gt;=H_Deemed,0,ATE89+1),ATE89)</f>
        <v>5</v>
      </c>
      <c r="ATF90" s="20" t="n">
        <f aca="false">IF(AND(H_Direct=0,H_TaxEvt=1),IF(ATF89+1&gt;=H_Deemed,0,ATF89+1),ATF89)</f>
        <v>4</v>
      </c>
      <c r="ATG90" s="20" t="n">
        <f aca="false">IF(AND(H_Direct=0,H_TaxEvt=1),IF(ATG89+1&gt;=H_Deemed,0,ATG89+1),ATG89)</f>
        <v>3</v>
      </c>
      <c r="ATH90" s="20" t="n">
        <f aca="false">IF(AND(H_Direct=0,H_TaxEvt=1),IF(ATH89+1&gt;=H_Deemed,0,ATH89+1),ATH89)</f>
        <v>2</v>
      </c>
      <c r="ATI90" s="20" t="n">
        <f aca="false">IF(AND(H_Direct=0,H_TaxEvt=1),IF(ATI89+1&gt;=H_Deemed,0,ATI89+1),ATI89)</f>
        <v>1</v>
      </c>
      <c r="ATJ90" s="20" t="n">
        <f aca="false">IF(AND(H_Direct=0,H_TaxEvt=1),IF(ATJ89+1&gt;=H_Deemed,0,ATJ89+1),ATJ89)</f>
        <v>0</v>
      </c>
      <c r="ATK90" s="20" t="n">
        <f aca="false">IF(AND(H_Direct=0,H_TaxEvt=1),IF(ATK89+1&gt;=H_Deemed,0,ATK89+1),ATK89)</f>
        <v>7</v>
      </c>
      <c r="ATL90" s="20" t="n">
        <f aca="false">IF(AND(H_Direct=0,H_TaxEvt=1),IF(ATL89+1&gt;=H_Deemed,0,ATL89+1),ATL89)</f>
        <v>6</v>
      </c>
      <c r="ATM90" s="20" t="n">
        <f aca="false">IF(AND(H_Direct=0,H_TaxEvt=1),IF(ATM89+1&gt;=H_Deemed,0,ATM89+1),ATM89)</f>
        <v>5</v>
      </c>
      <c r="ATN90" s="20" t="n">
        <f aca="false">IF(AND(H_Direct=0,H_TaxEvt=1),IF(ATN89+1&gt;=H_Deemed,0,ATN89+1),ATN89)</f>
        <v>4</v>
      </c>
      <c r="ATO90" s="20" t="n">
        <f aca="false">IF(AND(H_Direct=0,H_TaxEvt=1),IF(ATO89+1&gt;=H_Deemed,0,ATO89+1),ATO89)</f>
        <v>3</v>
      </c>
      <c r="ATP90" s="20" t="n">
        <f aca="false">IF(AND(H_Direct=0,H_TaxEvt=1),IF(ATP89+1&gt;=H_Deemed,0,ATP89+1),ATP89)</f>
        <v>2</v>
      </c>
      <c r="ATQ90" s="20" t="n">
        <f aca="false">IF(AND(H_Direct=0,H_TaxEvt=1),IF(ATQ89+1&gt;=H_Deemed,0,ATQ89+1),ATQ89)</f>
        <v>1</v>
      </c>
      <c r="ATR90" s="20" t="n">
        <f aca="false">IF(AND(H_Direct=0,H_TaxEvt=1),IF(ATR89+1&gt;=H_Deemed,0,ATR89+1),ATR89)</f>
        <v>0</v>
      </c>
      <c r="ATS90" s="20" t="n">
        <f aca="false">IF(AND(H_Direct=0,H_TaxEvt=1),IF(ATS89+1&gt;=H_Deemed,0,ATS89+1),ATS89)</f>
        <v>7</v>
      </c>
      <c r="ATT90" s="20" t="n">
        <f aca="false">IF(AND(H_Direct=0,H_TaxEvt=1),IF(ATT89+1&gt;=H_Deemed,0,ATT89+1),ATT89)</f>
        <v>6</v>
      </c>
      <c r="ATU90" s="20" t="n">
        <f aca="false">IF(AND(H_Direct=0,H_TaxEvt=1),IF(ATU89+1&gt;=H_Deemed,0,ATU89+1),ATU89)</f>
        <v>5</v>
      </c>
      <c r="ATV90" s="20" t="n">
        <f aca="false">IF(AND(H_Direct=0,H_TaxEvt=1),IF(ATV89+1&gt;=H_Deemed,0,ATV89+1),ATV89)</f>
        <v>4</v>
      </c>
      <c r="ATW90" s="20" t="n">
        <f aca="false">IF(AND(H_Direct=0,H_TaxEvt=1),IF(ATW89+1&gt;=H_Deemed,0,ATW89+1),ATW89)</f>
        <v>3</v>
      </c>
      <c r="ATX90" s="20" t="n">
        <f aca="false">IF(AND(H_Direct=0,H_TaxEvt=1),IF(ATX89+1&gt;=H_Deemed,0,ATX89+1),ATX89)</f>
        <v>2</v>
      </c>
      <c r="ATY90" s="20" t="n">
        <f aca="false">IF(AND(H_Direct=0,H_TaxEvt=1),IF(ATY89+1&gt;=H_Deemed,0,ATY89+1),ATY89)</f>
        <v>1</v>
      </c>
      <c r="ATZ90" s="20" t="n">
        <f aca="false">IF(AND(H_Direct=0,H_TaxEvt=1),IF(ATZ89+1&gt;=H_Deemed,0,ATZ89+1),ATZ89)</f>
        <v>0</v>
      </c>
      <c r="AUA90" s="20" t="n">
        <f aca="false">IF(AND(H_Direct=0,H_TaxEvt=1),IF(AUA89+1&gt;=H_Deemed,0,AUA89+1),AUA89)</f>
        <v>7</v>
      </c>
      <c r="AUB90" s="20" t="n">
        <f aca="false">IF(AND(H_Direct=0,H_TaxEvt=1),IF(AUB89+1&gt;=H_Deemed,0,AUB89+1),AUB89)</f>
        <v>6</v>
      </c>
      <c r="AUC90" s="20" t="n">
        <f aca="false">IF(AND(H_Direct=0,H_TaxEvt=1),IF(AUC89+1&gt;=H_Deemed,0,AUC89+1),AUC89)</f>
        <v>5</v>
      </c>
      <c r="AUD90" s="20" t="n">
        <f aca="false">IF(AND(H_Direct=0,H_TaxEvt=1),IF(AUD89+1&gt;=H_Deemed,0,AUD89+1),AUD89)</f>
        <v>4</v>
      </c>
      <c r="AUE90" s="20" t="n">
        <f aca="false">IF(AND(H_Direct=0,H_TaxEvt=1),IF(AUE89+1&gt;=H_Deemed,0,AUE89+1),AUE89)</f>
        <v>3</v>
      </c>
      <c r="AUF90" s="20" t="n">
        <f aca="false">IF(AND(H_Direct=0,H_TaxEvt=1),IF(AUF89+1&gt;=H_Deemed,0,AUF89+1),AUF89)</f>
        <v>2</v>
      </c>
      <c r="AUG90" s="20" t="n">
        <f aca="false">IF(AND(H_Direct=0,H_TaxEvt=1),IF(AUG89+1&gt;=H_Deemed,0,AUG89+1),AUG89)</f>
        <v>1</v>
      </c>
      <c r="AUH90" s="20" t="n">
        <f aca="false">IF(AND(H_Direct=0,H_TaxEvt=1),IF(AUH89+1&gt;=H_Deemed,0,AUH89+1),AUH89)</f>
        <v>0</v>
      </c>
      <c r="AUI90" s="20" t="n">
        <f aca="false">IF(AND(H_Direct=0,H_TaxEvt=1),IF(AUI89+1&gt;=H_Deemed,0,AUI89+1),AUI89)</f>
        <v>7</v>
      </c>
      <c r="AUJ90" s="20" t="n">
        <f aca="false">IF(AND(H_Direct=0,H_TaxEvt=1),IF(AUJ89+1&gt;=H_Deemed,0,AUJ89+1),AUJ89)</f>
        <v>6</v>
      </c>
      <c r="AUK90" s="20" t="n">
        <f aca="false">IF(AND(H_Direct=0,H_TaxEvt=1),IF(AUK89+1&gt;=H_Deemed,0,AUK89+1),AUK89)</f>
        <v>5</v>
      </c>
      <c r="AUL90" s="20" t="n">
        <f aca="false">IF(AND(H_Direct=0,H_TaxEvt=1),IF(AUL89+1&gt;=H_Deemed,0,AUL89+1),AUL89)</f>
        <v>4</v>
      </c>
      <c r="AUM90" s="20" t="n">
        <f aca="false">IF(AND(H_Direct=0,H_TaxEvt=1),IF(AUM89+1&gt;=H_Deemed,0,AUM89+1),AUM89)</f>
        <v>3</v>
      </c>
      <c r="AUN90" s="20" t="n">
        <f aca="false">IF(AND(H_Direct=0,H_TaxEvt=1),IF(AUN89+1&gt;=H_Deemed,0,AUN89+1),AUN89)</f>
        <v>2</v>
      </c>
      <c r="AUO90" s="20" t="n">
        <f aca="false">IF(AND(H_Direct=0,H_TaxEvt=1),IF(AUO89+1&gt;=H_Deemed,0,AUO89+1),AUO89)</f>
        <v>1</v>
      </c>
      <c r="AUP90" s="20" t="n">
        <f aca="false">IF(AND(H_Direct=0,H_TaxEvt=1),IF(AUP89+1&gt;=H_Deemed,0,AUP89+1),AUP89)</f>
        <v>0</v>
      </c>
      <c r="AUQ90" s="20" t="n">
        <f aca="false">IF(AND(H_Direct=0,H_TaxEvt=1),IF(AUQ89+1&gt;=H_Deemed,0,AUQ89+1),AUQ89)</f>
        <v>7</v>
      </c>
      <c r="AUR90" s="20" t="n">
        <f aca="false">IF(AND(H_Direct=0,H_TaxEvt=1),IF(AUR89+1&gt;=H_Deemed,0,AUR89+1),AUR89)</f>
        <v>6</v>
      </c>
      <c r="AUS90" s="20" t="n">
        <f aca="false">IF(AND(H_Direct=0,H_TaxEvt=1),IF(AUS89+1&gt;=H_Deemed,0,AUS89+1),AUS89)</f>
        <v>5</v>
      </c>
      <c r="AUT90" s="20" t="n">
        <f aca="false">IF(AND(H_Direct=0,H_TaxEvt=1),IF(AUT89+1&gt;=H_Deemed,0,AUT89+1),AUT89)</f>
        <v>4</v>
      </c>
      <c r="AUU90" s="20" t="n">
        <f aca="false">IF(AND(H_Direct=0,H_TaxEvt=1),IF(AUU89+1&gt;=H_Deemed,0,AUU89+1),AUU89)</f>
        <v>3</v>
      </c>
      <c r="AUV90" s="20" t="n">
        <f aca="false">IF(AND(H_Direct=0,H_TaxEvt=1),IF(AUV89+1&gt;=H_Deemed,0,AUV89+1),AUV89)</f>
        <v>2</v>
      </c>
      <c r="AUW90" s="20" t="n">
        <f aca="false">IF(AND(H_Direct=0,H_TaxEvt=1),IF(0+1&gt;=H_Deemed,0,0+1),0)</f>
        <v>1</v>
      </c>
      <c r="AUX90" s="20" t="n">
        <v>0</v>
      </c>
      <c r="AUY90" s="20" t="n">
        <v>0</v>
      </c>
      <c r="AUZ90" s="20" t="n">
        <v>0</v>
      </c>
      <c r="AVA90" s="20" t="n">
        <v>0</v>
      </c>
      <c r="AVB90" s="20" t="n">
        <v>0</v>
      </c>
      <c r="AVC90" s="20" t="n">
        <v>0</v>
      </c>
      <c r="AVD90" s="20" t="n">
        <v>0</v>
      </c>
      <c r="AVE90" s="20" t="n">
        <f aca="false">IF(AND(H_Direct=0,H_TaxEvt=1,ARR89+1&gt;=H_Deemed),MAX(0,ADR90-AHE90)*H_Exit,0)</f>
        <v>0</v>
      </c>
      <c r="AVF90" s="20" t="n">
        <f aca="false">IF(AND(H_Direct=0,H_TaxEvt=1,ARS89+1&gt;=H_Deemed),MAX(0,ADS90-AHF90)*H_Exit,0)</f>
        <v>0</v>
      </c>
      <c r="AVG90" s="20" t="n">
        <f aca="false">IF(AND(H_Direct=0,H_TaxEvt=1,ART89+1&gt;=H_Deemed),MAX(0,ADT90-AHG90)*H_Exit,0)</f>
        <v>0</v>
      </c>
      <c r="AVH90" s="20" t="n">
        <f aca="false">IF(AND(H_Direct=0,H_TaxEvt=1,ARU89+1&gt;=H_Deemed),MAX(0,ADU90-AHH90)*H_Exit,0)</f>
        <v>0</v>
      </c>
      <c r="AVI90" s="20" t="n">
        <f aca="false">IF(AND(H_Direct=0,H_TaxEvt=1,ARV89+1&gt;=H_Deemed),MAX(0,ADV90-AHI90)*H_Exit,0)</f>
        <v>0</v>
      </c>
      <c r="AVJ90" s="20" t="n">
        <f aca="false">IF(AND(H_Direct=0,H_TaxEvt=1,ARW89+1&gt;=H_Deemed),MAX(0,ADW90-AHJ90)*H_Exit,0)</f>
        <v>0</v>
      </c>
      <c r="AVK90" s="20" t="n">
        <f aca="false">IF(AND(H_Direct=0,H_TaxEvt=1,ARX89+1&gt;=H_Deemed),MAX(0,ADX90-AHK90)*H_Exit,0)</f>
        <v>0</v>
      </c>
      <c r="AVL90" s="20" t="n">
        <f aca="false">IF(AND(H_Direct=0,H_TaxEvt=1,ARY89+1&gt;=H_Deemed),MAX(0,ADY90-AHL90)*H_Exit,0)</f>
        <v>0</v>
      </c>
      <c r="AVM90" s="20" t="n">
        <f aca="false">IF(AND(H_Direct=0,H_TaxEvt=1,ARZ89+1&gt;=H_Deemed),MAX(0,ADZ90-AHM90)*H_Exit,0)</f>
        <v>0</v>
      </c>
      <c r="AVN90" s="20" t="n">
        <f aca="false">IF(AND(H_Direct=0,H_TaxEvt=1,ASA89+1&gt;=H_Deemed),MAX(0,AEA90-AHN90)*H_Exit,0)</f>
        <v>0</v>
      </c>
      <c r="AVO90" s="20" t="n">
        <f aca="false">IF(AND(H_Direct=0,H_TaxEvt=1,ASB89+1&gt;=H_Deemed),MAX(0,AEB90-AHO90)*H_Exit,0)</f>
        <v>0</v>
      </c>
      <c r="AVP90" s="20" t="n">
        <f aca="false">IF(AND(H_Direct=0,H_TaxEvt=1,ASC89+1&gt;=H_Deemed),MAX(0,AEC90-AHP90)*H_Exit,0)</f>
        <v>0</v>
      </c>
      <c r="AVQ90" s="20" t="n">
        <f aca="false">IF(AND(H_Direct=0,H_TaxEvt=1,ASD89+1&gt;=H_Deemed),MAX(0,AED90-AHQ90)*H_Exit,0)</f>
        <v>0</v>
      </c>
      <c r="AVR90" s="20" t="n">
        <f aca="false">IF(AND(H_Direct=0,H_TaxEvt=1,ASE89+1&gt;=H_Deemed),MAX(0,AEE90-AHR90)*H_Exit,0)</f>
        <v>0</v>
      </c>
      <c r="AVS90" s="20" t="n">
        <f aca="false">IF(AND(H_Direct=0,H_TaxEvt=1,ASF89+1&gt;=H_Deemed),MAX(0,AEF90-AHS90)*H_Exit,0)</f>
        <v>0</v>
      </c>
      <c r="AVT90" s="20" t="n">
        <f aca="false">IF(AND(H_Direct=0,H_TaxEvt=1,ASG89+1&gt;=H_Deemed),MAX(0,AEG90-AHT90)*H_Exit,0)</f>
        <v>0</v>
      </c>
      <c r="AVU90" s="20" t="n">
        <f aca="false">IF(AND(H_Direct=0,H_TaxEvt=1,ASH89+1&gt;=H_Deemed),MAX(0,AEH90-AHU90)*H_Exit,0)</f>
        <v>0</v>
      </c>
      <c r="AVV90" s="20" t="n">
        <f aca="false">IF(AND(H_Direct=0,H_TaxEvt=1,ASI89+1&gt;=H_Deemed),MAX(0,AEI90-AHV90)*H_Exit,0)</f>
        <v>0</v>
      </c>
      <c r="AVW90" s="20" t="n">
        <f aca="false">IF(AND(H_Direct=0,H_TaxEvt=1,ASJ89+1&gt;=H_Deemed),MAX(0,AEJ90-AHW90)*H_Exit,0)</f>
        <v>0</v>
      </c>
      <c r="AVX90" s="20" t="n">
        <f aca="false">IF(AND(H_Direct=0,H_TaxEvt=1,ASK89+1&gt;=H_Deemed),MAX(0,AEK90-AHX90)*H_Exit,0)</f>
        <v>0</v>
      </c>
      <c r="AVY90" s="20" t="n">
        <f aca="false">IF(AND(H_Direct=0,H_TaxEvt=1,ASL89+1&gt;=H_Deemed),MAX(0,AEL90-AHY90)*H_Exit,0)</f>
        <v>0</v>
      </c>
      <c r="AVZ90" s="20" t="n">
        <f aca="false">IF(AND(H_Direct=0,H_TaxEvt=1,ASM89+1&gt;=H_Deemed),MAX(0,AEM90-AHZ90)*H_Exit,0)</f>
        <v>0</v>
      </c>
      <c r="AWA90" s="20" t="n">
        <f aca="false">IF(AND(H_Direct=0,H_TaxEvt=1,ASN89+1&gt;=H_Deemed),MAX(0,AEN90-AIA90)*H_Exit,0)</f>
        <v>0</v>
      </c>
      <c r="AWB90" s="20" t="n">
        <f aca="false">IF(AND(H_Direct=0,H_TaxEvt=1,ASO89+1&gt;=H_Deemed),MAX(0,AEO90-AIB90)*H_Exit,0)</f>
        <v>0</v>
      </c>
      <c r="AWC90" s="20" t="n">
        <f aca="false">IF(AND(H_Direct=0,H_TaxEvt=1,ASP89+1&gt;=H_Deemed),MAX(0,AEP90-AIC90)*H_Exit,0)</f>
        <v>0</v>
      </c>
      <c r="AWD90" s="20" t="n">
        <f aca="false">IF(AND(H_Direct=0,H_TaxEvt=1,ASQ89+1&gt;=H_Deemed),MAX(0,AEQ90-AID90)*H_Exit,0)</f>
        <v>0</v>
      </c>
      <c r="AWE90" s="20" t="n">
        <f aca="false">IF(AND(H_Direct=0,H_TaxEvt=1,ASR89+1&gt;=H_Deemed),MAX(0,AER90-AIE90)*H_Exit,0)</f>
        <v>0</v>
      </c>
      <c r="AWF90" s="20" t="n">
        <f aca="false">IF(AND(H_Direct=0,H_TaxEvt=1,ASS89+1&gt;=H_Deemed),MAX(0,AES90-AIF90)*H_Exit,0)</f>
        <v>0</v>
      </c>
      <c r="AWG90" s="20" t="n">
        <f aca="false">IF(AND(H_Direct=0,H_TaxEvt=1,AST89+1&gt;=H_Deemed),MAX(0,AET90-AIG90)*H_Exit,0)</f>
        <v>0</v>
      </c>
      <c r="AWH90" s="20" t="n">
        <f aca="false">IF(AND(H_Direct=0,H_TaxEvt=1,ASU89+1&gt;=H_Deemed),MAX(0,AEU90-AIH90)*H_Exit,0)</f>
        <v>0</v>
      </c>
      <c r="AWI90" s="20" t="n">
        <f aca="false">IF(AND(H_Direct=0,H_TaxEvt=1,ASV89+1&gt;=H_Deemed),MAX(0,AEV90-AII90)*H_Exit,0)</f>
        <v>0</v>
      </c>
      <c r="AWJ90" s="20" t="n">
        <f aca="false">IF(AND(H_Direct=0,H_TaxEvt=1,ASW89+1&gt;=H_Deemed),MAX(0,AEW90-AIJ90)*H_Exit,0)</f>
        <v>0</v>
      </c>
      <c r="AWK90" s="20" t="n">
        <f aca="false">IF(AND(H_Direct=0,H_TaxEvt=1,ASX89+1&gt;=H_Deemed),MAX(0,AEX90-AIK90)*H_Exit,0)</f>
        <v>0</v>
      </c>
      <c r="AWL90" s="20" t="n">
        <f aca="false">IF(AND(H_Direct=0,H_TaxEvt=1,ASY89+1&gt;=H_Deemed),MAX(0,AEY90-AIL90)*H_Exit,0)</f>
        <v>0</v>
      </c>
      <c r="AWM90" s="20" t="n">
        <f aca="false">IF(AND(H_Direct=0,H_TaxEvt=1,ASZ89+1&gt;=H_Deemed),MAX(0,AEZ90-AIM90)*H_Exit,0)</f>
        <v>0</v>
      </c>
      <c r="AWN90" s="20" t="n">
        <f aca="false">IF(AND(H_Direct=0,H_TaxEvt=1,ATA89+1&gt;=H_Deemed),MAX(0,AFA90-AIN90)*H_Exit,0)</f>
        <v>0</v>
      </c>
      <c r="AWO90" s="20" t="n">
        <f aca="false">IF(AND(H_Direct=0,H_TaxEvt=1,ATB89+1&gt;=H_Deemed),MAX(0,AFB90-AIO90)*H_Exit,0)</f>
        <v>0</v>
      </c>
      <c r="AWP90" s="20" t="n">
        <f aca="false">IF(AND(H_Direct=0,H_TaxEvt=1,ATC89+1&gt;=H_Deemed),MAX(0,AFC90-AIP90)*H_Exit,0)</f>
        <v>0</v>
      </c>
      <c r="AWQ90" s="20" t="n">
        <f aca="false">IF(AND(H_Direct=0,H_TaxEvt=1,ATD89+1&gt;=H_Deemed),MAX(0,AFD90-AIQ90)*H_Exit,0)</f>
        <v>0</v>
      </c>
      <c r="AWR90" s="20" t="n">
        <f aca="false">IF(AND(H_Direct=0,H_TaxEvt=1,ATE89+1&gt;=H_Deemed),MAX(0,AFE90-AIR90)*H_Exit,0)</f>
        <v>0</v>
      </c>
      <c r="AWS90" s="20" t="n">
        <f aca="false">IF(AND(H_Direct=0,H_TaxEvt=1,ATF89+1&gt;=H_Deemed),MAX(0,AFF90-AIS90)*H_Exit,0)</f>
        <v>0</v>
      </c>
      <c r="AWT90" s="20" t="n">
        <f aca="false">IF(AND(H_Direct=0,H_TaxEvt=1,ATG89+1&gt;=H_Deemed),MAX(0,AFG90-AIT90)*H_Exit,0)</f>
        <v>0</v>
      </c>
      <c r="AWU90" s="20" t="n">
        <f aca="false">IF(AND(H_Direct=0,H_TaxEvt=1,ATH89+1&gt;=H_Deemed),MAX(0,AFH90-AIU90)*H_Exit,0)</f>
        <v>0</v>
      </c>
      <c r="AWV90" s="20" t="n">
        <f aca="false">IF(AND(H_Direct=0,H_TaxEvt=1,ATI89+1&gt;=H_Deemed),MAX(0,AFI90-AIV90)*H_Exit,0)</f>
        <v>0</v>
      </c>
      <c r="AWW90" s="20" t="n">
        <f aca="false">IF(AND(H_Direct=0,H_TaxEvt=1,ATJ89+1&gt;=H_Deemed),MAX(0,AFJ90-AIW90)*H_Exit,0)</f>
        <v>0</v>
      </c>
      <c r="AWX90" s="20" t="n">
        <f aca="false">IF(AND(H_Direct=0,H_TaxEvt=1,ATK89+1&gt;=H_Deemed),MAX(0,AFK90-AIX90)*H_Exit,0)</f>
        <v>0</v>
      </c>
      <c r="AWY90" s="20" t="n">
        <f aca="false">IF(AND(H_Direct=0,H_TaxEvt=1,ATL89+1&gt;=H_Deemed),MAX(0,AFL90-AIY90)*H_Exit,0)</f>
        <v>0</v>
      </c>
      <c r="AWZ90" s="20" t="n">
        <f aca="false">IF(AND(H_Direct=0,H_TaxEvt=1,ATM89+1&gt;=H_Deemed),MAX(0,AFM90-AIZ90)*H_Exit,0)</f>
        <v>0</v>
      </c>
      <c r="AXA90" s="20" t="n">
        <f aca="false">IF(AND(H_Direct=0,H_TaxEvt=1,ATN89+1&gt;=H_Deemed),MAX(0,AFN90-AJA90)*H_Exit,0)</f>
        <v>0</v>
      </c>
      <c r="AXB90" s="20" t="n">
        <f aca="false">IF(AND(H_Direct=0,H_TaxEvt=1,ATO89+1&gt;=H_Deemed),MAX(0,AFO90-AJB90)*H_Exit,0)</f>
        <v>0</v>
      </c>
      <c r="AXC90" s="20" t="n">
        <f aca="false">IF(AND(H_Direct=0,H_TaxEvt=1,ATP89+1&gt;=H_Deemed),MAX(0,AFP90-AJC90)*H_Exit,0)</f>
        <v>0</v>
      </c>
      <c r="AXD90" s="20" t="n">
        <f aca="false">IF(AND(H_Direct=0,H_TaxEvt=1,ATQ89+1&gt;=H_Deemed),MAX(0,AFQ90-AJD90)*H_Exit,0)</f>
        <v>0</v>
      </c>
      <c r="AXE90" s="20" t="n">
        <f aca="false">IF(AND(H_Direct=0,H_TaxEvt=1,ATR89+1&gt;=H_Deemed),MAX(0,AFR90-AJE90)*H_Exit,0)</f>
        <v>0</v>
      </c>
      <c r="AXF90" s="20" t="n">
        <f aca="false">IF(AND(H_Direct=0,H_TaxEvt=1,ATS89+1&gt;=H_Deemed),MAX(0,AFS90-AJF90)*H_Exit,0)</f>
        <v>0</v>
      </c>
      <c r="AXG90" s="20" t="n">
        <f aca="false">IF(AND(H_Direct=0,H_TaxEvt=1,ATT89+1&gt;=H_Deemed),MAX(0,AFT90-AJG90)*H_Exit,0)</f>
        <v>0</v>
      </c>
      <c r="AXH90" s="20" t="n">
        <f aca="false">IF(AND(H_Direct=0,H_TaxEvt=1,ATU89+1&gt;=H_Deemed),MAX(0,AFU90-AJH90)*H_Exit,0)</f>
        <v>0</v>
      </c>
      <c r="AXI90" s="20" t="n">
        <f aca="false">IF(AND(H_Direct=0,H_TaxEvt=1,ATV89+1&gt;=H_Deemed),MAX(0,AFV90-AJI90)*H_Exit,0)</f>
        <v>0</v>
      </c>
      <c r="AXJ90" s="20" t="n">
        <f aca="false">IF(AND(H_Direct=0,H_TaxEvt=1,ATW89+1&gt;=H_Deemed),MAX(0,AFW90-AJJ90)*H_Exit,0)</f>
        <v>0</v>
      </c>
      <c r="AXK90" s="20" t="n">
        <f aca="false">IF(AND(H_Direct=0,H_TaxEvt=1,ATX89+1&gt;=H_Deemed),MAX(0,AFX90-AJK90)*H_Exit,0)</f>
        <v>0</v>
      </c>
      <c r="AXL90" s="20" t="n">
        <f aca="false">IF(AND(H_Direct=0,H_TaxEvt=1,ATY89+1&gt;=H_Deemed),MAX(0,AFY90-AJL90)*H_Exit,0)</f>
        <v>0</v>
      </c>
      <c r="AXM90" s="20" t="n">
        <f aca="false">IF(AND(H_Direct=0,H_TaxEvt=1,ATZ89+1&gt;=H_Deemed),MAX(0,AFZ90-AJM90)*H_Exit,0)</f>
        <v>0</v>
      </c>
      <c r="AXN90" s="20" t="n">
        <f aca="false">IF(AND(H_Direct=0,H_TaxEvt=1,AUA89+1&gt;=H_Deemed),MAX(0,AGA90-AJN90)*H_Exit,0)</f>
        <v>0</v>
      </c>
      <c r="AXO90" s="20" t="n">
        <f aca="false">IF(AND(H_Direct=0,H_TaxEvt=1,AUB89+1&gt;=H_Deemed),MAX(0,AGB90-AJO90)*H_Exit,0)</f>
        <v>0</v>
      </c>
      <c r="AXP90" s="20" t="n">
        <f aca="false">IF(AND(H_Direct=0,H_TaxEvt=1,AUC89+1&gt;=H_Deemed),MAX(0,AGC90-AJP90)*H_Exit,0)</f>
        <v>0</v>
      </c>
      <c r="AXQ90" s="20" t="n">
        <f aca="false">IF(AND(H_Direct=0,H_TaxEvt=1,AUD89+1&gt;=H_Deemed),MAX(0,AGD90-AJQ90)*H_Exit,0)</f>
        <v>0</v>
      </c>
      <c r="AXR90" s="20" t="n">
        <f aca="false">IF(AND(H_Direct=0,H_TaxEvt=1,AUE89+1&gt;=H_Deemed),MAX(0,AGE90-AJR90)*H_Exit,0)</f>
        <v>0</v>
      </c>
      <c r="AXS90" s="20" t="n">
        <f aca="false">IF(AND(H_Direct=0,H_TaxEvt=1,AUF89+1&gt;=H_Deemed),MAX(0,AGF90-AJS90)*H_Exit,0)</f>
        <v>0</v>
      </c>
      <c r="AXT90" s="20" t="n">
        <f aca="false">IF(AND(H_Direct=0,H_TaxEvt=1,AUG89+1&gt;=H_Deemed),MAX(0,AGG90-AJT90)*H_Exit,0)</f>
        <v>0</v>
      </c>
      <c r="AXU90" s="20" t="n">
        <f aca="false">IF(AND(H_Direct=0,H_TaxEvt=1,AUH89+1&gt;=H_Deemed),MAX(0,AGH90-AJU90)*H_Exit,0)</f>
        <v>0</v>
      </c>
      <c r="AXV90" s="20" t="n">
        <f aca="false">IF(AND(H_Direct=0,H_TaxEvt=1,AUI89+1&gt;=H_Deemed),MAX(0,AGI90-AJV90)*H_Exit,0)</f>
        <v>0</v>
      </c>
      <c r="AXW90" s="20" t="n">
        <f aca="false">IF(AND(H_Direct=0,H_TaxEvt=1,AUJ89+1&gt;=H_Deemed),MAX(0,AGJ90-AJW90)*H_Exit,0)</f>
        <v>0</v>
      </c>
      <c r="AXX90" s="20" t="n">
        <f aca="false">IF(AND(H_Direct=0,H_TaxEvt=1,AUK89+1&gt;=H_Deemed),MAX(0,AGK90-AJX90)*H_Exit,0)</f>
        <v>0</v>
      </c>
      <c r="AXY90" s="20" t="n">
        <f aca="false">IF(AND(H_Direct=0,H_TaxEvt=1,AUL89+1&gt;=H_Deemed),MAX(0,AGL90-AJY90)*H_Exit,0)</f>
        <v>0</v>
      </c>
      <c r="AXZ90" s="20" t="n">
        <f aca="false">IF(AND(H_Direct=0,H_TaxEvt=1,AUM89+1&gt;=H_Deemed),MAX(0,AGM90-AJZ90)*H_Exit,0)</f>
        <v>0</v>
      </c>
      <c r="AYA90" s="20" t="n">
        <f aca="false">IF(AND(H_Direct=0,H_TaxEvt=1,AUN89+1&gt;=H_Deemed),MAX(0,AGN90-AKA90)*H_Exit,0)</f>
        <v>0</v>
      </c>
      <c r="AYB90" s="20" t="n">
        <f aca="false">IF(AND(H_Direct=0,H_TaxEvt=1,AUO89+1&gt;=H_Deemed),MAX(0,AGO90-AKB90)*H_Exit,0)</f>
        <v>0</v>
      </c>
      <c r="AYC90" s="20" t="n">
        <f aca="false">IF(AND(H_Direct=0,H_TaxEvt=1,AUP89+1&gt;=H_Deemed),MAX(0,AGP90-AKC90)*H_Exit,0)</f>
        <v>0</v>
      </c>
      <c r="AYD90" s="20" t="n">
        <f aca="false">IF(AND(H_Direct=0,H_TaxEvt=1,AUQ89+1&gt;=H_Deemed),MAX(0,AGQ90-AKD90)*H_Exit,0)</f>
        <v>0</v>
      </c>
      <c r="AYE90" s="20" t="n">
        <f aca="false">IF(AND(H_Direct=0,H_TaxEvt=1,AUR89+1&gt;=H_Deemed),MAX(0,AGR90-AKE90)*H_Exit,0)</f>
        <v>0</v>
      </c>
      <c r="AYF90" s="20" t="n">
        <f aca="false">IF(AND(H_Direct=0,H_TaxEvt=1,AUS89+1&gt;=H_Deemed),MAX(0,AGS90-AKF90)*H_Exit,0)</f>
        <v>0</v>
      </c>
      <c r="AYG90" s="20" t="n">
        <f aca="false">IF(AND(H_Direct=0,H_TaxEvt=1,AUT89+1&gt;=H_Deemed),MAX(0,AGT90-AKG90)*H_Exit,0)</f>
        <v>0</v>
      </c>
      <c r="AYH90" s="20" t="n">
        <f aca="false">IF(AND(H_Direct=0,H_TaxEvt=1,AUU89+1&gt;=H_Deemed),MAX(0,AGU90-AKH90)*H_Exit,0)</f>
        <v>0</v>
      </c>
      <c r="AYI90" s="20" t="n">
        <f aca="false">IF(AND(H_Direct=0,H_TaxEvt=1,AUV89+1&gt;=H_Deemed),MAX(0,AGV90-AKI90)*H_Exit,0)</f>
        <v>0</v>
      </c>
      <c r="AYJ90" s="20" t="n">
        <f aca="false">IF(AND(H_Direct=0,H_TaxEvt=1,0+1&gt;=H_Deemed),MAX(0,AGW90-AKJ90)*H_Exit,0)</f>
        <v>0</v>
      </c>
      <c r="AYK90" s="20" t="n">
        <v>0</v>
      </c>
      <c r="AYL90" s="20" t="n">
        <v>0</v>
      </c>
      <c r="AYM90" s="20" t="n">
        <v>0</v>
      </c>
      <c r="AYN90" s="20" t="n">
        <v>0</v>
      </c>
      <c r="AYO90" s="20" t="n">
        <v>0</v>
      </c>
      <c r="AYP90" s="20" t="n">
        <v>0</v>
      </c>
      <c r="AYQ90" s="20" t="n">
        <v>0</v>
      </c>
    </row>
    <row r="91" customFormat="false" ht="15" hidden="false" customHeight="false" outlineLevel="0" collapsed="false">
      <c r="B91" s="20" t="n">
        <v>83</v>
      </c>
      <c r="C91" s="20" t="n">
        <f aca="false">'Plan cashflow'!C91</f>
        <v>0</v>
      </c>
      <c r="D91" s="20" t="n">
        <f aca="false">'Plan cashflow'!D91</f>
        <v>121</v>
      </c>
      <c r="E91" s="20" t="n">
        <f aca="false">AS_Year0+83</f>
        <v>2109</v>
      </c>
      <c r="F91" s="50" t="n">
        <f aca="false">'Plan cashflow'!F91</f>
        <v>5.17385503596275</v>
      </c>
      <c r="G91" s="59" t="n">
        <f aca="true">IF(MAX(TODAY(),DATE(E91,1,1))&gt;=H_CGTfrom,H_CGT1,H_CGT0)</f>
        <v>0.31</v>
      </c>
      <c r="H91" s="20" t="n">
        <f aca="false">H_Exempt*H_Persons</f>
        <v>1270</v>
      </c>
      <c r="I91" s="20" t="n">
        <f aca="false">AX90</f>
        <v>0</v>
      </c>
      <c r="J91" s="60" t="n">
        <f aca="false">BF90</f>
        <v>0</v>
      </c>
      <c r="K91" s="60" t="n">
        <f aca="false">BG90</f>
        <v>0</v>
      </c>
      <c r="L91" s="20" t="n">
        <f aca="false">IF(AND(In_polLump&gt;0,In_polLumpAge&gt;0,D91=In_polLumpAge),In_polLump,0)</f>
        <v>0</v>
      </c>
      <c r="M91" s="20" t="n">
        <f aca="false">IF(AND(In_homeUse="Yes, I'd downsize",In_downAge&gt;0,D91=In_downAge,OR(In_home="Own outright",In_home="Own with mortgage"),In_homeValue&gt;0),MAX(0,MAX(0,In_homeValue-In_downValue)*F91*0.9-'Plan cashflow'!HR90),0)</f>
        <v>0</v>
      </c>
      <c r="N91" s="20" t="n">
        <f aca="false">'Plan pay &amp; tax'!Y317</f>
        <v>0</v>
      </c>
      <c r="O91" s="20" t="n">
        <f aca="false">L91+M91+(1-H_Sh)*N91</f>
        <v>0</v>
      </c>
      <c r="P91" s="20" t="n">
        <f aca="false">H_Sh*N91</f>
        <v>0</v>
      </c>
      <c r="Q91" s="20" t="n">
        <f aca="false">'Plan cashflow'!UL91</f>
        <v>0</v>
      </c>
      <c r="R91" s="20" t="n">
        <f aca="false">(1-H_Sh)*Q91</f>
        <v>0</v>
      </c>
      <c r="S91" s="20" t="n">
        <f aca="false">H_Sh*Q91</f>
        <v>0</v>
      </c>
      <c r="T91" s="20" t="n">
        <f aca="false">J91+K91+O91</f>
        <v>0</v>
      </c>
      <c r="U91" s="20" t="n">
        <f aca="false">T91+R91</f>
        <v>0</v>
      </c>
      <c r="V91" s="60" t="n">
        <f aca="false">SUM(FE91:IQ91)</f>
        <v>0</v>
      </c>
      <c r="W91" s="60" t="n">
        <f aca="false">IF(AJ91&lt;=0,0,IF(AL91&lt;=0,AJ91,AJ91-G91*MAX(0,AL91*AJ91-(AY91+AZ91))))</f>
        <v>0</v>
      </c>
      <c r="X91" s="60" t="n">
        <f aca="false">IF(AR91&lt;=0,0,IF(AT91&lt;=0,AR91,AR91-G91*MAX(0,AT91*AR91-(BA91+BB91))))</f>
        <v>0</v>
      </c>
      <c r="Y91" s="60" t="n">
        <f aca="false">T91+V91-S91+W91+X91</f>
        <v>0</v>
      </c>
      <c r="Z91" s="60" t="n">
        <f aca="false">'Plan cashflow'!UK91</f>
        <v>0</v>
      </c>
      <c r="AA91" s="20" t="n">
        <f aca="false">MIN(Z91,U91)</f>
        <v>0</v>
      </c>
      <c r="AB91" s="20" t="n">
        <f aca="false">Z91-AA91</f>
        <v>0</v>
      </c>
      <c r="AC91" s="20" t="n">
        <f aca="false">MIN(AA91,J91+O91+R91)</f>
        <v>0</v>
      </c>
      <c r="AD91" s="20" t="n">
        <f aca="false">AA91-AC91</f>
        <v>0</v>
      </c>
      <c r="AE91" s="20" t="n">
        <f aca="false">J91+O91+R91-AC91</f>
        <v>0</v>
      </c>
      <c r="AF91" s="20" t="n">
        <f aca="false">K91-AD91</f>
        <v>0</v>
      </c>
      <c r="AG91" s="20" t="n">
        <f aca="false">SUM(PR91:TD91)</f>
        <v>0</v>
      </c>
      <c r="AH91" s="20" t="n">
        <f aca="false">SUM(TE91:WQ91)</f>
        <v>0</v>
      </c>
      <c r="AI91" s="20" t="n">
        <f aca="false">MAX(0,AB91-AG91)</f>
        <v>0</v>
      </c>
      <c r="AJ91" s="57" t="n">
        <f aca="false">BI90</f>
        <v>0</v>
      </c>
      <c r="AK91" s="20" t="n">
        <f aca="false">BJ90</f>
        <v>0</v>
      </c>
      <c r="AL91" s="20" t="n">
        <f aca="false">IF(AJ91&gt;0,(AJ91-AK91)/AJ91,0)</f>
        <v>0</v>
      </c>
      <c r="AM91" s="20" t="n">
        <f aca="false">IF(AJ91&lt;=0,0,IF(AL91&lt;=0,MIN(AI91,AJ91),MIN(AI91,AJ91-G91*MAX(0,AL91*AJ91-(AAD91+ADQ91)))))</f>
        <v>0</v>
      </c>
      <c r="AN91" s="20" t="n">
        <f aca="false">IF(AJ91&lt;=0,0,IF(AL91&lt;=0,AM91,IF(AM91&lt;=(AAD91+ADQ91)/AL91,AM91,(AM91-G91*(AAD91+ADQ91))/(1-G91*AL91))))</f>
        <v>0</v>
      </c>
      <c r="AO91" s="20" t="n">
        <f aca="false">IF(AL91&gt;0,MAX(0,AAD91-(MIN(AL91*AN91,(AAD91+ADQ91))-MIN(MIN(AL91*AN91,(AAD91+ADQ91)),ADQ91))),AAD91)</f>
        <v>1270</v>
      </c>
      <c r="AP91" s="20" t="n">
        <f aca="false">IF(AL91&lt;=0,ADQ91-AL91*AN91,ADQ91-MIN(MIN(AL91*AN91,(AAD91+ADQ91)),ADQ91))</f>
        <v>0</v>
      </c>
      <c r="AQ91" s="20" t="n">
        <f aca="false">MAX(0,AI91-AM91)</f>
        <v>0</v>
      </c>
      <c r="AR91" s="57" t="n">
        <f aca="false">BK90</f>
        <v>0</v>
      </c>
      <c r="AS91" s="20" t="n">
        <f aca="false">BL90</f>
        <v>0</v>
      </c>
      <c r="AT91" s="20" t="n">
        <f aca="false">IF(AR91&gt;0,(AR91-AS91)/AR91,0)</f>
        <v>0</v>
      </c>
      <c r="AU91" s="20" t="n">
        <f aca="false">IF(AR91&lt;=0,0,IF(AT91&lt;=0,MIN(AQ91,AR91),MIN(AQ91,AR91-G91*MAX(0,AT91*AR91-(AO91+AP91)))))</f>
        <v>0</v>
      </c>
      <c r="AV91" s="20" t="n">
        <f aca="false">IF(AR91&lt;=0,0,IF(AT91&lt;=0,AU91,IF(AU91&lt;=(AO91+AP91)/AT91,AU91,(AU91-G91*(AO91+AP91))/(1-G91*AT91))))</f>
        <v>0</v>
      </c>
      <c r="AW91" s="20" t="n">
        <f aca="false">IF(AT91&gt;0,MAX(0,AO91-(MIN(AT91*AV91,(AO91+AP91))-MIN(MIN(AT91*AV91,(AO91+AP91)),AP91))),AO91)</f>
        <v>1270</v>
      </c>
      <c r="AX91" s="20" t="n">
        <f aca="false">IF(AT91&lt;=0,AP91-AT91*AV91,AP91-MIN(MIN(AT91*AV91,(AO91+AP91)),AP91))</f>
        <v>0</v>
      </c>
      <c r="AY91" s="20" t="n">
        <f aca="false">MD91</f>
        <v>1270</v>
      </c>
      <c r="AZ91" s="20" t="n">
        <f aca="false">PQ91</f>
        <v>0</v>
      </c>
      <c r="BA91" s="20" t="n">
        <f aca="false">IF(AL91&gt;0,MAX(0,AY91-(MIN(AL91*AJ91,AY91+AZ91)-MIN(MIN(AL91*AJ91,AY91+AZ91),AZ91))),AY91)</f>
        <v>1270</v>
      </c>
      <c r="BB91" s="20" t="n">
        <f aca="false">IF(AL91&lt;=0,AZ91-AL91*AJ91,AZ91-MIN(MIN(AL91*AJ91,AY91+AZ91),AZ91))</f>
        <v>0</v>
      </c>
      <c r="BC91" s="20" t="n">
        <f aca="false">'Plan cashflow'!UM91</f>
        <v>0</v>
      </c>
      <c r="BD91" s="20" t="n">
        <f aca="false">(1-H_Sh)*BC91</f>
        <v>0</v>
      </c>
      <c r="BE91" s="20" t="n">
        <f aca="false">H_Sh*BC91</f>
        <v>0</v>
      </c>
      <c r="BF91" s="60" t="n">
        <f aca="false">(AE91+BD91)*(1+AS_Cash)</f>
        <v>0</v>
      </c>
      <c r="BG91" s="60" t="n">
        <f aca="false">AF91*(1+AS_Cash)</f>
        <v>0</v>
      </c>
      <c r="BH91" s="60" t="n">
        <f aca="false">SUM(AKR91:AOD91)</f>
        <v>0</v>
      </c>
      <c r="BI91" s="60" t="n">
        <f aca="false">(AJ91-AN91)*(1+AS_Infl)</f>
        <v>0</v>
      </c>
      <c r="BJ91" s="20" t="n">
        <f aca="false">IF(AJ91&gt;0,AK91-AK91*AN91/AJ91,0)</f>
        <v>0</v>
      </c>
      <c r="BK91" s="60" t="n">
        <f aca="false">(AR91-AV91)*(1+BQ91)</f>
        <v>0</v>
      </c>
      <c r="BL91" s="20" t="n">
        <f aca="false">IF(AR91&gt;0,AS91-AS91*AV91/AR91,0)</f>
        <v>0</v>
      </c>
      <c r="BM91" s="60" t="n">
        <f aca="false">BF91+BG91+BH91+BI91+BK91</f>
        <v>0</v>
      </c>
      <c r="BN91" s="60" t="n">
        <f aca="false">(AH91-AG91)+(AN91-AM91)+(AV91-AU91)</f>
        <v>0</v>
      </c>
      <c r="BO91" s="20" t="n">
        <f aca="false">(AE91+BD91+AF91+MAX(0,'Plan cashflow'!QH91)+IF(Slot1_Rate=AS_Cash,'Plan cashflow'!QM91/(1+AS_Cash),0)+IF(Slot2_Rate=AS_Cash,'Plan cashflow'!QQ91/(1+AS_Cash),0)+IF(Slot3_Rate=AS_Cash,'Plan cashflow'!QU91/(1+AS_Cash),0)+IF(Slot4_Rate=AS_Cash,'Plan cashflow'!QY91/(1+AS_Cash),0)+IF(Slot5_Rate=AS_Cash,'Plan cashflow'!RC91/(1+AS_Cash),0)+IF(Slot6_Rate=AS_Cash,'Plan cashflow'!RG91/(1+AS_Cash),0)+IF(Slot7_Rate=AS_Cash,'Plan cashflow'!RK91/(1+AS_Cash),0)+IF(Slot8_Rate=AS_Cash,'Plan cashflow'!RO91/(1+AS_Cash),0)+IF(Slot9_Rate=AS_Cash,'Plan cashflow'!RS91/(1+AS_Cash),0)+IF(Slot10_Rate=AS_Cash,'Plan cashflow'!RW91/(1+AS_Cash),0)+IF(Slot11_Rate=AS_Cash,'Plan cashflow'!SA91/(1+AS_Cash),0)+IF(Slot12_Rate=AS_Cash,'Plan cashflow'!SE91/(1+AS_Cash),0)+IF(Slot13_Rate=AS_Cash,'Plan cashflow'!SI91/(1+AS_Cash),0)+IF(Slot14_Rate=AS_Cash,'Plan cashflow'!SM91/(1+AS_Cash),0)+IF(Slot15_Rate=AS_Cash,'Plan cashflow'!SQ91/(1+AS_Cash),0)+IF(Slot16_Rate=AS_Cash,'Plan cashflow'!SU91/(1+AS_Cash),0)+IF(Slot17_Rate=AS_Cash,'Plan cashflow'!SY91/(1+AS_Cash),0)+IF(Slot18_Rate=AS_Cash,'Plan cashflow'!TC91/(1+AS_Cash),0)+IF(Slot19_Rate=AS_Cash,'Plan cashflow'!TG91/(1+AS_Cash),0)+IF(Slot20_Rate=AS_Cash,'Plan cashflow'!TK91/(1+AS_Cash),0))*AS_Cash*H_DIRT/(1-H_DIRT)</f>
        <v>0</v>
      </c>
      <c r="BP91" s="60" t="n">
        <f aca="false">SUM(AVE91:AYQ91)</f>
        <v>0</v>
      </c>
      <c r="BQ91" s="54" t="n">
        <f aca="false">IF(H_TaxEvt=1,H_InvG,AS_Inv)</f>
        <v>0.04</v>
      </c>
      <c r="BR91" s="20" t="n">
        <f aca="false">IF(AKR90&gt;0,(AKR90-AOE90)/AKR90,0)</f>
        <v>0</v>
      </c>
      <c r="BS91" s="20" t="n">
        <f aca="false">IF(AKS90&gt;0,(AKS90-AOF90)/AKS90,0)</f>
        <v>0</v>
      </c>
      <c r="BT91" s="20" t="n">
        <f aca="false">IF(AKT90&gt;0,(AKT90-AOG90)/AKT90,0)</f>
        <v>0</v>
      </c>
      <c r="BU91" s="20" t="n">
        <f aca="false">IF(AKU90&gt;0,(AKU90-AOH90)/AKU90,0)</f>
        <v>0</v>
      </c>
      <c r="BV91" s="20" t="n">
        <f aca="false">IF(AKV90&gt;0,(AKV90-AOI90)/AKV90,0)</f>
        <v>0</v>
      </c>
      <c r="BW91" s="20" t="n">
        <f aca="false">IF(AKW90&gt;0,(AKW90-AOJ90)/AKW90,0)</f>
        <v>0</v>
      </c>
      <c r="BX91" s="20" t="n">
        <f aca="false">IF(AKX90&gt;0,(AKX90-AOK90)/AKX90,0)</f>
        <v>0</v>
      </c>
      <c r="BY91" s="20" t="n">
        <f aca="false">IF(AKY90&gt;0,(AKY90-AOL90)/AKY90,0)</f>
        <v>0</v>
      </c>
      <c r="BZ91" s="20" t="n">
        <f aca="false">IF(AKZ90&gt;0,(AKZ90-AOM90)/AKZ90,0)</f>
        <v>0</v>
      </c>
      <c r="CA91" s="20" t="n">
        <f aca="false">IF(ALA90&gt;0,(ALA90-AON90)/ALA90,0)</f>
        <v>0</v>
      </c>
      <c r="CB91" s="20" t="n">
        <f aca="false">IF(ALB90&gt;0,(ALB90-AOO90)/ALB90,0)</f>
        <v>0</v>
      </c>
      <c r="CC91" s="20" t="n">
        <f aca="false">IF(ALC90&gt;0,(ALC90-AOP90)/ALC90,0)</f>
        <v>0</v>
      </c>
      <c r="CD91" s="20" t="n">
        <f aca="false">IF(ALD90&gt;0,(ALD90-AOQ90)/ALD90,0)</f>
        <v>0</v>
      </c>
      <c r="CE91" s="20" t="n">
        <f aca="false">IF(ALE90&gt;0,(ALE90-AOR90)/ALE90,0)</f>
        <v>0</v>
      </c>
      <c r="CF91" s="20" t="n">
        <f aca="false">IF(ALF90&gt;0,(ALF90-AOS90)/ALF90,0)</f>
        <v>0</v>
      </c>
      <c r="CG91" s="20" t="n">
        <f aca="false">IF(ALG90&gt;0,(ALG90-AOT90)/ALG90,0)</f>
        <v>0</v>
      </c>
      <c r="CH91" s="20" t="n">
        <f aca="false">IF(ALH90&gt;0,(ALH90-AOU90)/ALH90,0)</f>
        <v>0</v>
      </c>
      <c r="CI91" s="20" t="n">
        <f aca="false">IF(ALI90&gt;0,(ALI90-AOV90)/ALI90,0)</f>
        <v>0</v>
      </c>
      <c r="CJ91" s="20" t="n">
        <f aca="false">IF(ALJ90&gt;0,(ALJ90-AOW90)/ALJ90,0)</f>
        <v>0</v>
      </c>
      <c r="CK91" s="20" t="n">
        <f aca="false">IF(ALK90&gt;0,(ALK90-AOX90)/ALK90,0)</f>
        <v>0</v>
      </c>
      <c r="CL91" s="20" t="n">
        <f aca="false">IF(ALL90&gt;0,(ALL90-AOY90)/ALL90,0)</f>
        <v>0</v>
      </c>
      <c r="CM91" s="20" t="n">
        <f aca="false">IF(ALM90&gt;0,(ALM90-AOZ90)/ALM90,0)</f>
        <v>0</v>
      </c>
      <c r="CN91" s="20" t="n">
        <f aca="false">IF(ALN90&gt;0,(ALN90-APA90)/ALN90,0)</f>
        <v>0</v>
      </c>
      <c r="CO91" s="20" t="n">
        <f aca="false">IF(ALO90&gt;0,(ALO90-APB90)/ALO90,0)</f>
        <v>0</v>
      </c>
      <c r="CP91" s="20" t="n">
        <f aca="false">IF(ALP90&gt;0,(ALP90-APC90)/ALP90,0)</f>
        <v>0</v>
      </c>
      <c r="CQ91" s="20" t="n">
        <f aca="false">IF(ALQ90&gt;0,(ALQ90-APD90)/ALQ90,0)</f>
        <v>0</v>
      </c>
      <c r="CR91" s="20" t="n">
        <f aca="false">IF(ALR90&gt;0,(ALR90-APE90)/ALR90,0)</f>
        <v>0</v>
      </c>
      <c r="CS91" s="20" t="n">
        <f aca="false">IF(ALS90&gt;0,(ALS90-APF90)/ALS90,0)</f>
        <v>0</v>
      </c>
      <c r="CT91" s="20" t="n">
        <f aca="false">IF(ALT90&gt;0,(ALT90-APG90)/ALT90,0)</f>
        <v>0</v>
      </c>
      <c r="CU91" s="20" t="n">
        <f aca="false">IF(ALU90&gt;0,(ALU90-APH90)/ALU90,0)</f>
        <v>0</v>
      </c>
      <c r="CV91" s="20" t="n">
        <f aca="false">IF(ALV90&gt;0,(ALV90-API90)/ALV90,0)</f>
        <v>0</v>
      </c>
      <c r="CW91" s="20" t="n">
        <f aca="false">IF(ALW90&gt;0,(ALW90-APJ90)/ALW90,0)</f>
        <v>0</v>
      </c>
      <c r="CX91" s="20" t="n">
        <f aca="false">IF(ALX90&gt;0,(ALX90-APK90)/ALX90,0)</f>
        <v>0</v>
      </c>
      <c r="CY91" s="20" t="n">
        <f aca="false">IF(ALY90&gt;0,(ALY90-APL90)/ALY90,0)</f>
        <v>0</v>
      </c>
      <c r="CZ91" s="20" t="n">
        <f aca="false">IF(ALZ90&gt;0,(ALZ90-APM90)/ALZ90,0)</f>
        <v>0</v>
      </c>
      <c r="DA91" s="20" t="n">
        <f aca="false">IF(AMA90&gt;0,(AMA90-APN90)/AMA90,0)</f>
        <v>0</v>
      </c>
      <c r="DB91" s="20" t="n">
        <f aca="false">IF(AMB90&gt;0,(AMB90-APO90)/AMB90,0)</f>
        <v>0</v>
      </c>
      <c r="DC91" s="20" t="n">
        <f aca="false">IF(AMC90&gt;0,(AMC90-APP90)/AMC90,0)</f>
        <v>0</v>
      </c>
      <c r="DD91" s="20" t="n">
        <f aca="false">IF(AMD90&gt;0,(AMD90-APQ90)/AMD90,0)</f>
        <v>0</v>
      </c>
      <c r="DE91" s="20" t="n">
        <f aca="false">IF(AME90&gt;0,(AME90-APR90)/AME90,0)</f>
        <v>0</v>
      </c>
      <c r="DF91" s="20" t="n">
        <f aca="false">IF(AMF90&gt;0,(AMF90-APS90)/AMF90,0)</f>
        <v>0</v>
      </c>
      <c r="DG91" s="20" t="n">
        <f aca="false">IF(AMG90&gt;0,(AMG90-APT90)/AMG90,0)</f>
        <v>0</v>
      </c>
      <c r="DH91" s="20" t="n">
        <f aca="false">IF(AMH90&gt;0,(AMH90-APU90)/AMH90,0)</f>
        <v>0</v>
      </c>
      <c r="DI91" s="20" t="n">
        <f aca="false">IF(AMI90&gt;0,(AMI90-APV90)/AMI90,0)</f>
        <v>0</v>
      </c>
      <c r="DJ91" s="20" t="n">
        <f aca="false">IF(AMJ90&gt;0,(AMJ90-APW90)/AMJ90,0)</f>
        <v>0</v>
      </c>
      <c r="DK91" s="20" t="n">
        <f aca="false">IF(AMK90&gt;0,(AMK90-APX90)/AMK90,0)</f>
        <v>0</v>
      </c>
      <c r="DL91" s="20" t="n">
        <f aca="false">IF(AML90&gt;0,(AML90-APY90)/AML90,0)</f>
        <v>0</v>
      </c>
      <c r="DM91" s="20" t="n">
        <f aca="false">IF(AMM90&gt;0,(AMM90-APZ90)/AMM90,0)</f>
        <v>0</v>
      </c>
      <c r="DN91" s="20" t="n">
        <f aca="false">IF(AMN90&gt;0,(AMN90-AQA90)/AMN90,0)</f>
        <v>0</v>
      </c>
      <c r="DO91" s="20" t="n">
        <f aca="false">IF(AMO90&gt;0,(AMO90-AQB90)/AMO90,0)</f>
        <v>0</v>
      </c>
      <c r="DP91" s="20" t="n">
        <f aca="false">IF(AMP90&gt;0,(AMP90-AQC90)/AMP90,0)</f>
        <v>0</v>
      </c>
      <c r="DQ91" s="20" t="n">
        <f aca="false">IF(AMQ90&gt;0,(AMQ90-AQD90)/AMQ90,0)</f>
        <v>0</v>
      </c>
      <c r="DR91" s="20" t="n">
        <f aca="false">IF(AMR90&gt;0,(AMR90-AQE90)/AMR90,0)</f>
        <v>0</v>
      </c>
      <c r="DS91" s="20" t="n">
        <f aca="false">IF(AMS90&gt;0,(AMS90-AQF90)/AMS90,0)</f>
        <v>0</v>
      </c>
      <c r="DT91" s="20" t="n">
        <f aca="false">IF(AMT90&gt;0,(AMT90-AQG90)/AMT90,0)</f>
        <v>0</v>
      </c>
      <c r="DU91" s="20" t="n">
        <f aca="false">IF(AMU90&gt;0,(AMU90-AQH90)/AMU90,0)</f>
        <v>0</v>
      </c>
      <c r="DV91" s="20" t="n">
        <f aca="false">IF(AMV90&gt;0,(AMV90-AQI90)/AMV90,0)</f>
        <v>0</v>
      </c>
      <c r="DW91" s="20" t="n">
        <f aca="false">IF(AMW90&gt;0,(AMW90-AQJ90)/AMW90,0)</f>
        <v>0</v>
      </c>
      <c r="DX91" s="20" t="n">
        <f aca="false">IF(AMX90&gt;0,(AMX90-AQK90)/AMX90,0)</f>
        <v>0</v>
      </c>
      <c r="DY91" s="20" t="n">
        <f aca="false">IF(AMY90&gt;0,(AMY90-AQL90)/AMY90,0)</f>
        <v>0</v>
      </c>
      <c r="DZ91" s="20" t="n">
        <f aca="false">IF(AMZ90&gt;0,(AMZ90-AQM90)/AMZ90,0)</f>
        <v>0</v>
      </c>
      <c r="EA91" s="20" t="n">
        <f aca="false">IF(ANA90&gt;0,(ANA90-AQN90)/ANA90,0)</f>
        <v>0</v>
      </c>
      <c r="EB91" s="20" t="n">
        <f aca="false">IF(ANB90&gt;0,(ANB90-AQO90)/ANB90,0)</f>
        <v>0</v>
      </c>
      <c r="EC91" s="20" t="n">
        <f aca="false">IF(ANC90&gt;0,(ANC90-AQP90)/ANC90,0)</f>
        <v>0</v>
      </c>
      <c r="ED91" s="20" t="n">
        <f aca="false">IF(AND90&gt;0,(AND90-AQQ90)/AND90,0)</f>
        <v>0</v>
      </c>
      <c r="EE91" s="20" t="n">
        <f aca="false">IF(ANE90&gt;0,(ANE90-AQR90)/ANE90,0)</f>
        <v>0</v>
      </c>
      <c r="EF91" s="20" t="n">
        <f aca="false">IF(ANF90&gt;0,(ANF90-AQS90)/ANF90,0)</f>
        <v>0</v>
      </c>
      <c r="EG91" s="20" t="n">
        <f aca="false">IF(ANG90&gt;0,(ANG90-AQT90)/ANG90,0)</f>
        <v>0</v>
      </c>
      <c r="EH91" s="20" t="n">
        <f aca="false">IF(ANH90&gt;0,(ANH90-AQU90)/ANH90,0)</f>
        <v>0</v>
      </c>
      <c r="EI91" s="20" t="n">
        <f aca="false">IF(ANI90&gt;0,(ANI90-AQV90)/ANI90,0)</f>
        <v>0</v>
      </c>
      <c r="EJ91" s="20" t="n">
        <f aca="false">IF(ANJ90&gt;0,(ANJ90-AQW90)/ANJ90,0)</f>
        <v>0</v>
      </c>
      <c r="EK91" s="20" t="n">
        <f aca="false">IF(ANK90&gt;0,(ANK90-AQX90)/ANK90,0)</f>
        <v>0</v>
      </c>
      <c r="EL91" s="20" t="n">
        <f aca="false">IF(ANL90&gt;0,(ANL90-AQY90)/ANL90,0)</f>
        <v>0</v>
      </c>
      <c r="EM91" s="20" t="n">
        <f aca="false">IF(ANM90&gt;0,(ANM90-AQZ90)/ANM90,0)</f>
        <v>0</v>
      </c>
      <c r="EN91" s="20" t="n">
        <f aca="false">IF(ANN90&gt;0,(ANN90-ARA90)/ANN90,0)</f>
        <v>0</v>
      </c>
      <c r="EO91" s="20" t="n">
        <f aca="false">IF(ANO90&gt;0,(ANO90-ARB90)/ANO90,0)</f>
        <v>0</v>
      </c>
      <c r="EP91" s="20" t="n">
        <f aca="false">IF(ANP90&gt;0,(ANP90-ARC90)/ANP90,0)</f>
        <v>0</v>
      </c>
      <c r="EQ91" s="20" t="n">
        <f aca="false">IF(ANQ90&gt;0,(ANQ90-ARD90)/ANQ90,0)</f>
        <v>0</v>
      </c>
      <c r="ER91" s="20" t="n">
        <f aca="false">IF(ANR90&gt;0,(ANR90-ARE90)/ANR90,0)</f>
        <v>0</v>
      </c>
      <c r="ES91" s="20" t="n">
        <f aca="false">IF(ANS90&gt;0,(ANS90-ARF90)/ANS90,0)</f>
        <v>0</v>
      </c>
      <c r="ET91" s="20" t="n">
        <f aca="false">IF(ANT90&gt;0,(ANT90-ARG90)/ANT90,0)</f>
        <v>0</v>
      </c>
      <c r="EU91" s="20" t="n">
        <f aca="false">IF(ANU90&gt;0,(ANU90-ARH90)/ANU90,0)</f>
        <v>0</v>
      </c>
      <c r="EV91" s="20" t="n">
        <f aca="false">IF(ANV90&gt;0,(ANV90-ARI90)/ANV90,0)</f>
        <v>0</v>
      </c>
      <c r="EW91" s="20" t="n">
        <f aca="false">IF(ANW90&gt;0,(ANW90-ARJ90)/ANW90,0)</f>
        <v>0</v>
      </c>
      <c r="EX91" s="20" t="n">
        <f aca="false">IF((P91+S91)&gt;0,((P91+S91)-(P91+S91))/(P91+S91),0)</f>
        <v>0</v>
      </c>
      <c r="EY91" s="20" t="n">
        <v>0</v>
      </c>
      <c r="EZ91" s="20" t="n">
        <v>0</v>
      </c>
      <c r="FA91" s="20" t="n">
        <v>0</v>
      </c>
      <c r="FB91" s="20" t="n">
        <v>0</v>
      </c>
      <c r="FC91" s="20" t="n">
        <v>0</v>
      </c>
      <c r="FD91" s="20" t="n">
        <v>0</v>
      </c>
      <c r="FE91" s="20" t="n">
        <f aca="false">IF(H_Direct=1,IF(AKR90&lt;=0,0,IF(BR91&lt;=0,AKR90,AKR90-G91*MAX(0,BR91*AKR90-(H91+I91)))),AKR90*(1-MAX(0,BR91)*H_Exit))</f>
        <v>0</v>
      </c>
      <c r="FF91" s="20" t="n">
        <f aca="false">IF(H_Direct=1,IF(AKS90&lt;=0,0,IF(BS91&lt;=0,AKS90,AKS90-G91*MAX(0,BS91*AKS90-(IR91+ME91)))),AKS90*(1-MAX(0,BS91)*H_Exit))</f>
        <v>0</v>
      </c>
      <c r="FG91" s="20" t="n">
        <f aca="false">IF(H_Direct=1,IF(AKT90&lt;=0,0,IF(BT91&lt;=0,AKT90,AKT90-G91*MAX(0,BT91*AKT90-(IS91+MF91)))),AKT90*(1-MAX(0,BT91)*H_Exit))</f>
        <v>0</v>
      </c>
      <c r="FH91" s="20" t="n">
        <f aca="false">IF(H_Direct=1,IF(AKU90&lt;=0,0,IF(BU91&lt;=0,AKU90,AKU90-G91*MAX(0,BU91*AKU90-(IT91+MG91)))),AKU90*(1-MAX(0,BU91)*H_Exit))</f>
        <v>0</v>
      </c>
      <c r="FI91" s="20" t="n">
        <f aca="false">IF(H_Direct=1,IF(AKV90&lt;=0,0,IF(BV91&lt;=0,AKV90,AKV90-G91*MAX(0,BV91*AKV90-(IU91+MH91)))),AKV90*(1-MAX(0,BV91)*H_Exit))</f>
        <v>0</v>
      </c>
      <c r="FJ91" s="20" t="n">
        <f aca="false">IF(H_Direct=1,IF(AKW90&lt;=0,0,IF(BW91&lt;=0,AKW90,AKW90-G91*MAX(0,BW91*AKW90-(IV91+MI91)))),AKW90*(1-MAX(0,BW91)*H_Exit))</f>
        <v>0</v>
      </c>
      <c r="FK91" s="20" t="n">
        <f aca="false">IF(H_Direct=1,IF(AKX90&lt;=0,0,IF(BX91&lt;=0,AKX90,AKX90-G91*MAX(0,BX91*AKX90-(IW91+MJ91)))),AKX90*(1-MAX(0,BX91)*H_Exit))</f>
        <v>0</v>
      </c>
      <c r="FL91" s="20" t="n">
        <f aca="false">IF(H_Direct=1,IF(AKY90&lt;=0,0,IF(BY91&lt;=0,AKY90,AKY90-G91*MAX(0,BY91*AKY90-(IX91+MK91)))),AKY90*(1-MAX(0,BY91)*H_Exit))</f>
        <v>0</v>
      </c>
      <c r="FM91" s="20" t="n">
        <f aca="false">IF(H_Direct=1,IF(AKZ90&lt;=0,0,IF(BZ91&lt;=0,AKZ90,AKZ90-G91*MAX(0,BZ91*AKZ90-(IY91+ML91)))),AKZ90*(1-MAX(0,BZ91)*H_Exit))</f>
        <v>0</v>
      </c>
      <c r="FN91" s="20" t="n">
        <f aca="false">IF(H_Direct=1,IF(ALA90&lt;=0,0,IF(CA91&lt;=0,ALA90,ALA90-G91*MAX(0,CA91*ALA90-(IZ91+MM91)))),ALA90*(1-MAX(0,CA91)*H_Exit))</f>
        <v>0</v>
      </c>
      <c r="FO91" s="20" t="n">
        <f aca="false">IF(H_Direct=1,IF(ALB90&lt;=0,0,IF(CB91&lt;=0,ALB90,ALB90-G91*MAX(0,CB91*ALB90-(JA91+MN91)))),ALB90*(1-MAX(0,CB91)*H_Exit))</f>
        <v>0</v>
      </c>
      <c r="FP91" s="20" t="n">
        <f aca="false">IF(H_Direct=1,IF(ALC90&lt;=0,0,IF(CC91&lt;=0,ALC90,ALC90-G91*MAX(0,CC91*ALC90-(JB91+MO91)))),ALC90*(1-MAX(0,CC91)*H_Exit))</f>
        <v>0</v>
      </c>
      <c r="FQ91" s="20" t="n">
        <f aca="false">IF(H_Direct=1,IF(ALD90&lt;=0,0,IF(CD91&lt;=0,ALD90,ALD90-G91*MAX(0,CD91*ALD90-(JC91+MP91)))),ALD90*(1-MAX(0,CD91)*H_Exit))</f>
        <v>0</v>
      </c>
      <c r="FR91" s="20" t="n">
        <f aca="false">IF(H_Direct=1,IF(ALE90&lt;=0,0,IF(CE91&lt;=0,ALE90,ALE90-G91*MAX(0,CE91*ALE90-(JD91+MQ91)))),ALE90*(1-MAX(0,CE91)*H_Exit))</f>
        <v>0</v>
      </c>
      <c r="FS91" s="20" t="n">
        <f aca="false">IF(H_Direct=1,IF(ALF90&lt;=0,0,IF(CF91&lt;=0,ALF90,ALF90-G91*MAX(0,CF91*ALF90-(JE91+MR91)))),ALF90*(1-MAX(0,CF91)*H_Exit))</f>
        <v>0</v>
      </c>
      <c r="FT91" s="20" t="n">
        <f aca="false">IF(H_Direct=1,IF(ALG90&lt;=0,0,IF(CG91&lt;=0,ALG90,ALG90-G91*MAX(0,CG91*ALG90-(JF91+MS91)))),ALG90*(1-MAX(0,CG91)*H_Exit))</f>
        <v>0</v>
      </c>
      <c r="FU91" s="20" t="n">
        <f aca="false">IF(H_Direct=1,IF(ALH90&lt;=0,0,IF(CH91&lt;=0,ALH90,ALH90-G91*MAX(0,CH91*ALH90-(JG91+MT91)))),ALH90*(1-MAX(0,CH91)*H_Exit))</f>
        <v>0</v>
      </c>
      <c r="FV91" s="20" t="n">
        <f aca="false">IF(H_Direct=1,IF(ALI90&lt;=0,0,IF(CI91&lt;=0,ALI90,ALI90-G91*MAX(0,CI91*ALI90-(JH91+MU91)))),ALI90*(1-MAX(0,CI91)*H_Exit))</f>
        <v>0</v>
      </c>
      <c r="FW91" s="20" t="n">
        <f aca="false">IF(H_Direct=1,IF(ALJ90&lt;=0,0,IF(CJ91&lt;=0,ALJ90,ALJ90-G91*MAX(0,CJ91*ALJ90-(JI91+MV91)))),ALJ90*(1-MAX(0,CJ91)*H_Exit))</f>
        <v>0</v>
      </c>
      <c r="FX91" s="20" t="n">
        <f aca="false">IF(H_Direct=1,IF(ALK90&lt;=0,0,IF(CK91&lt;=0,ALK90,ALK90-G91*MAX(0,CK91*ALK90-(JJ91+MW91)))),ALK90*(1-MAX(0,CK91)*H_Exit))</f>
        <v>0</v>
      </c>
      <c r="FY91" s="20" t="n">
        <f aca="false">IF(H_Direct=1,IF(ALL90&lt;=0,0,IF(CL91&lt;=0,ALL90,ALL90-G91*MAX(0,CL91*ALL90-(JK91+MX91)))),ALL90*(1-MAX(0,CL91)*H_Exit))</f>
        <v>0</v>
      </c>
      <c r="FZ91" s="20" t="n">
        <f aca="false">IF(H_Direct=1,IF(ALM90&lt;=0,0,IF(CM91&lt;=0,ALM90,ALM90-G91*MAX(0,CM91*ALM90-(JL91+MY91)))),ALM90*(1-MAX(0,CM91)*H_Exit))</f>
        <v>0</v>
      </c>
      <c r="GA91" s="20" t="n">
        <f aca="false">IF(H_Direct=1,IF(ALN90&lt;=0,0,IF(CN91&lt;=0,ALN90,ALN90-G91*MAX(0,CN91*ALN90-(JM91+MZ91)))),ALN90*(1-MAX(0,CN91)*H_Exit))</f>
        <v>0</v>
      </c>
      <c r="GB91" s="20" t="n">
        <f aca="false">IF(H_Direct=1,IF(ALO90&lt;=0,0,IF(CO91&lt;=0,ALO90,ALO90-G91*MAX(0,CO91*ALO90-(JN91+NA91)))),ALO90*(1-MAX(0,CO91)*H_Exit))</f>
        <v>0</v>
      </c>
      <c r="GC91" s="20" t="n">
        <f aca="false">IF(H_Direct=1,IF(ALP90&lt;=0,0,IF(CP91&lt;=0,ALP90,ALP90-G91*MAX(0,CP91*ALP90-(JO91+NB91)))),ALP90*(1-MAX(0,CP91)*H_Exit))</f>
        <v>0</v>
      </c>
      <c r="GD91" s="20" t="n">
        <f aca="false">IF(H_Direct=1,IF(ALQ90&lt;=0,0,IF(CQ91&lt;=0,ALQ90,ALQ90-G91*MAX(0,CQ91*ALQ90-(JP91+NC91)))),ALQ90*(1-MAX(0,CQ91)*H_Exit))</f>
        <v>0</v>
      </c>
      <c r="GE91" s="20" t="n">
        <f aca="false">IF(H_Direct=1,IF(ALR90&lt;=0,0,IF(CR91&lt;=0,ALR90,ALR90-G91*MAX(0,CR91*ALR90-(JQ91+ND91)))),ALR90*(1-MAX(0,CR91)*H_Exit))</f>
        <v>0</v>
      </c>
      <c r="GF91" s="20" t="n">
        <f aca="false">IF(H_Direct=1,IF(ALS90&lt;=0,0,IF(CS91&lt;=0,ALS90,ALS90-G91*MAX(0,CS91*ALS90-(JR91+NE91)))),ALS90*(1-MAX(0,CS91)*H_Exit))</f>
        <v>0</v>
      </c>
      <c r="GG91" s="20" t="n">
        <f aca="false">IF(H_Direct=1,IF(ALT90&lt;=0,0,IF(CT91&lt;=0,ALT90,ALT90-G91*MAX(0,CT91*ALT90-(JS91+NF91)))),ALT90*(1-MAX(0,CT91)*H_Exit))</f>
        <v>0</v>
      </c>
      <c r="GH91" s="20" t="n">
        <f aca="false">IF(H_Direct=1,IF(ALU90&lt;=0,0,IF(CU91&lt;=0,ALU90,ALU90-G91*MAX(0,CU91*ALU90-(JT91+NG91)))),ALU90*(1-MAX(0,CU91)*H_Exit))</f>
        <v>0</v>
      </c>
      <c r="GI91" s="20" t="n">
        <f aca="false">IF(H_Direct=1,IF(ALV90&lt;=0,0,IF(CV91&lt;=0,ALV90,ALV90-G91*MAX(0,CV91*ALV90-(JU91+NH91)))),ALV90*(1-MAX(0,CV91)*H_Exit))</f>
        <v>0</v>
      </c>
      <c r="GJ91" s="20" t="n">
        <f aca="false">IF(H_Direct=1,IF(ALW90&lt;=0,0,IF(CW91&lt;=0,ALW90,ALW90-G91*MAX(0,CW91*ALW90-(JV91+NI91)))),ALW90*(1-MAX(0,CW91)*H_Exit))</f>
        <v>0</v>
      </c>
      <c r="GK91" s="20" t="n">
        <f aca="false">IF(H_Direct=1,IF(ALX90&lt;=0,0,IF(CX91&lt;=0,ALX90,ALX90-G91*MAX(0,CX91*ALX90-(JW91+NJ91)))),ALX90*(1-MAX(0,CX91)*H_Exit))</f>
        <v>0</v>
      </c>
      <c r="GL91" s="20" t="n">
        <f aca="false">IF(H_Direct=1,IF(ALY90&lt;=0,0,IF(CY91&lt;=0,ALY90,ALY90-G91*MAX(0,CY91*ALY90-(JX91+NK91)))),ALY90*(1-MAX(0,CY91)*H_Exit))</f>
        <v>0</v>
      </c>
      <c r="GM91" s="20" t="n">
        <f aca="false">IF(H_Direct=1,IF(ALZ90&lt;=0,0,IF(CZ91&lt;=0,ALZ90,ALZ90-G91*MAX(0,CZ91*ALZ90-(JY91+NL91)))),ALZ90*(1-MAX(0,CZ91)*H_Exit))</f>
        <v>0</v>
      </c>
      <c r="GN91" s="20" t="n">
        <f aca="false">IF(H_Direct=1,IF(AMA90&lt;=0,0,IF(DA91&lt;=0,AMA90,AMA90-G91*MAX(0,DA91*AMA90-(JZ91+NM91)))),AMA90*(1-MAX(0,DA91)*H_Exit))</f>
        <v>0</v>
      </c>
      <c r="GO91" s="20" t="n">
        <f aca="false">IF(H_Direct=1,IF(AMB90&lt;=0,0,IF(DB91&lt;=0,AMB90,AMB90-G91*MAX(0,DB91*AMB90-(KA91+NN91)))),AMB90*(1-MAX(0,DB91)*H_Exit))</f>
        <v>0</v>
      </c>
      <c r="GP91" s="20" t="n">
        <f aca="false">IF(H_Direct=1,IF(AMC90&lt;=0,0,IF(DC91&lt;=0,AMC90,AMC90-G91*MAX(0,DC91*AMC90-(KB91+NO91)))),AMC90*(1-MAX(0,DC91)*H_Exit))</f>
        <v>0</v>
      </c>
      <c r="GQ91" s="20" t="n">
        <f aca="false">IF(H_Direct=1,IF(AMD90&lt;=0,0,IF(DD91&lt;=0,AMD90,AMD90-G91*MAX(0,DD91*AMD90-(KC91+NP91)))),AMD90*(1-MAX(0,DD91)*H_Exit))</f>
        <v>0</v>
      </c>
      <c r="GR91" s="20" t="n">
        <f aca="false">IF(H_Direct=1,IF(AME90&lt;=0,0,IF(DE91&lt;=0,AME90,AME90-G91*MAX(0,DE91*AME90-(KD91+NQ91)))),AME90*(1-MAX(0,DE91)*H_Exit))</f>
        <v>0</v>
      </c>
      <c r="GS91" s="20" t="n">
        <f aca="false">IF(H_Direct=1,IF(AMF90&lt;=0,0,IF(DF91&lt;=0,AMF90,AMF90-G91*MAX(0,DF91*AMF90-(KE91+NR91)))),AMF90*(1-MAX(0,DF91)*H_Exit))</f>
        <v>0</v>
      </c>
      <c r="GT91" s="20" t="n">
        <f aca="false">IF(H_Direct=1,IF(AMG90&lt;=0,0,IF(DG91&lt;=0,AMG90,AMG90-G91*MAX(0,DG91*AMG90-(KF91+NS91)))),AMG90*(1-MAX(0,DG91)*H_Exit))</f>
        <v>0</v>
      </c>
      <c r="GU91" s="20" t="n">
        <f aca="false">IF(H_Direct=1,IF(AMH90&lt;=0,0,IF(DH91&lt;=0,AMH90,AMH90-G91*MAX(0,DH91*AMH90-(KG91+NT91)))),AMH90*(1-MAX(0,DH91)*H_Exit))</f>
        <v>0</v>
      </c>
      <c r="GV91" s="20" t="n">
        <f aca="false">IF(H_Direct=1,IF(AMI90&lt;=0,0,IF(DI91&lt;=0,AMI90,AMI90-G91*MAX(0,DI91*AMI90-(KH91+NU91)))),AMI90*(1-MAX(0,DI91)*H_Exit))</f>
        <v>0</v>
      </c>
      <c r="GW91" s="20" t="n">
        <f aca="false">IF(H_Direct=1,IF(AMJ90&lt;=0,0,IF(DJ91&lt;=0,AMJ90,AMJ90-G91*MAX(0,DJ91*AMJ90-(KI91+NV91)))),AMJ90*(1-MAX(0,DJ91)*H_Exit))</f>
        <v>0</v>
      </c>
      <c r="GX91" s="20" t="n">
        <f aca="false">IF(H_Direct=1,IF(AMK90&lt;=0,0,IF(DK91&lt;=0,AMK90,AMK90-G91*MAX(0,DK91*AMK90-(KJ91+NW91)))),AMK90*(1-MAX(0,DK91)*H_Exit))</f>
        <v>0</v>
      </c>
      <c r="GY91" s="20" t="n">
        <f aca="false">IF(H_Direct=1,IF(AML90&lt;=0,0,IF(DL91&lt;=0,AML90,AML90-G91*MAX(0,DL91*AML90-(KK91+NX91)))),AML90*(1-MAX(0,DL91)*H_Exit))</f>
        <v>0</v>
      </c>
      <c r="GZ91" s="20" t="n">
        <f aca="false">IF(H_Direct=1,IF(AMM90&lt;=0,0,IF(DM91&lt;=0,AMM90,AMM90-G91*MAX(0,DM91*AMM90-(KL91+NY91)))),AMM90*(1-MAX(0,DM91)*H_Exit))</f>
        <v>0</v>
      </c>
      <c r="HA91" s="20" t="n">
        <f aca="false">IF(H_Direct=1,IF(AMN90&lt;=0,0,IF(DN91&lt;=0,AMN90,AMN90-G91*MAX(0,DN91*AMN90-(KM91+NZ91)))),AMN90*(1-MAX(0,DN91)*H_Exit))</f>
        <v>0</v>
      </c>
      <c r="HB91" s="20" t="n">
        <f aca="false">IF(H_Direct=1,IF(AMO90&lt;=0,0,IF(DO91&lt;=0,AMO90,AMO90-G91*MAX(0,DO91*AMO90-(KN91+OA91)))),AMO90*(1-MAX(0,DO91)*H_Exit))</f>
        <v>0</v>
      </c>
      <c r="HC91" s="20" t="n">
        <f aca="false">IF(H_Direct=1,IF(AMP90&lt;=0,0,IF(DP91&lt;=0,AMP90,AMP90-G91*MAX(0,DP91*AMP90-(KO91+OB91)))),AMP90*(1-MAX(0,DP91)*H_Exit))</f>
        <v>0</v>
      </c>
      <c r="HD91" s="20" t="n">
        <f aca="false">IF(H_Direct=1,IF(AMQ90&lt;=0,0,IF(DQ91&lt;=0,AMQ90,AMQ90-G91*MAX(0,DQ91*AMQ90-(KP91+OC91)))),AMQ90*(1-MAX(0,DQ91)*H_Exit))</f>
        <v>0</v>
      </c>
      <c r="HE91" s="20" t="n">
        <f aca="false">IF(H_Direct=1,IF(AMR90&lt;=0,0,IF(DR91&lt;=0,AMR90,AMR90-G91*MAX(0,DR91*AMR90-(KQ91+OD91)))),AMR90*(1-MAX(0,DR91)*H_Exit))</f>
        <v>0</v>
      </c>
      <c r="HF91" s="20" t="n">
        <f aca="false">IF(H_Direct=1,IF(AMS90&lt;=0,0,IF(DS91&lt;=0,AMS90,AMS90-G91*MAX(0,DS91*AMS90-(KR91+OE91)))),AMS90*(1-MAX(0,DS91)*H_Exit))</f>
        <v>0</v>
      </c>
      <c r="HG91" s="20" t="n">
        <f aca="false">IF(H_Direct=1,IF(AMT90&lt;=0,0,IF(DT91&lt;=0,AMT90,AMT90-G91*MAX(0,DT91*AMT90-(KS91+OF91)))),AMT90*(1-MAX(0,DT91)*H_Exit))</f>
        <v>0</v>
      </c>
      <c r="HH91" s="20" t="n">
        <f aca="false">IF(H_Direct=1,IF(AMU90&lt;=0,0,IF(DU91&lt;=0,AMU90,AMU90-G91*MAX(0,DU91*AMU90-(KT91+OG91)))),AMU90*(1-MAX(0,DU91)*H_Exit))</f>
        <v>0</v>
      </c>
      <c r="HI91" s="20" t="n">
        <f aca="false">IF(H_Direct=1,IF(AMV90&lt;=0,0,IF(DV91&lt;=0,AMV90,AMV90-G91*MAX(0,DV91*AMV90-(KU91+OH91)))),AMV90*(1-MAX(0,DV91)*H_Exit))</f>
        <v>0</v>
      </c>
      <c r="HJ91" s="20" t="n">
        <f aca="false">IF(H_Direct=1,IF(AMW90&lt;=0,0,IF(DW91&lt;=0,AMW90,AMW90-G91*MAX(0,DW91*AMW90-(KV91+OI91)))),AMW90*(1-MAX(0,DW91)*H_Exit))</f>
        <v>0</v>
      </c>
      <c r="HK91" s="20" t="n">
        <f aca="false">IF(H_Direct=1,IF(AMX90&lt;=0,0,IF(DX91&lt;=0,AMX90,AMX90-G91*MAX(0,DX91*AMX90-(KW91+OJ91)))),AMX90*(1-MAX(0,DX91)*H_Exit))</f>
        <v>0</v>
      </c>
      <c r="HL91" s="20" t="n">
        <f aca="false">IF(H_Direct=1,IF(AMY90&lt;=0,0,IF(DY91&lt;=0,AMY90,AMY90-G91*MAX(0,DY91*AMY90-(KX91+OK91)))),AMY90*(1-MAX(0,DY91)*H_Exit))</f>
        <v>0</v>
      </c>
      <c r="HM91" s="20" t="n">
        <f aca="false">IF(H_Direct=1,IF(AMZ90&lt;=0,0,IF(DZ91&lt;=0,AMZ90,AMZ90-G91*MAX(0,DZ91*AMZ90-(KY91+OL91)))),AMZ90*(1-MAX(0,DZ91)*H_Exit))</f>
        <v>0</v>
      </c>
      <c r="HN91" s="20" t="n">
        <f aca="false">IF(H_Direct=1,IF(ANA90&lt;=0,0,IF(EA91&lt;=0,ANA90,ANA90-G91*MAX(0,EA91*ANA90-(KZ91+OM91)))),ANA90*(1-MAX(0,EA91)*H_Exit))</f>
        <v>0</v>
      </c>
      <c r="HO91" s="20" t="n">
        <f aca="false">IF(H_Direct=1,IF(ANB90&lt;=0,0,IF(EB91&lt;=0,ANB90,ANB90-G91*MAX(0,EB91*ANB90-(LA91+ON91)))),ANB90*(1-MAX(0,EB91)*H_Exit))</f>
        <v>0</v>
      </c>
      <c r="HP91" s="20" t="n">
        <f aca="false">IF(H_Direct=1,IF(ANC90&lt;=0,0,IF(EC91&lt;=0,ANC90,ANC90-G91*MAX(0,EC91*ANC90-(LB91+OO91)))),ANC90*(1-MAX(0,EC91)*H_Exit))</f>
        <v>0</v>
      </c>
      <c r="HQ91" s="20" t="n">
        <f aca="false">IF(H_Direct=1,IF(AND90&lt;=0,0,IF(ED91&lt;=0,AND90,AND90-G91*MAX(0,ED91*AND90-(LC91+OP91)))),AND90*(1-MAX(0,ED91)*H_Exit))</f>
        <v>0</v>
      </c>
      <c r="HR91" s="20" t="n">
        <f aca="false">IF(H_Direct=1,IF(ANE90&lt;=0,0,IF(EE91&lt;=0,ANE90,ANE90-G91*MAX(0,EE91*ANE90-(LD91+OQ91)))),ANE90*(1-MAX(0,EE91)*H_Exit))</f>
        <v>0</v>
      </c>
      <c r="HS91" s="20" t="n">
        <f aca="false">IF(H_Direct=1,IF(ANF90&lt;=0,0,IF(EF91&lt;=0,ANF90,ANF90-G91*MAX(0,EF91*ANF90-(LE91+OR91)))),ANF90*(1-MAX(0,EF91)*H_Exit))</f>
        <v>0</v>
      </c>
      <c r="HT91" s="20" t="n">
        <f aca="false">IF(H_Direct=1,IF(ANG90&lt;=0,0,IF(EG91&lt;=0,ANG90,ANG90-G91*MAX(0,EG91*ANG90-(LF91+OS91)))),ANG90*(1-MAX(0,EG91)*H_Exit))</f>
        <v>0</v>
      </c>
      <c r="HU91" s="20" t="n">
        <f aca="false">IF(H_Direct=1,IF(ANH90&lt;=0,0,IF(EH91&lt;=0,ANH90,ANH90-G91*MAX(0,EH91*ANH90-(LG91+OT91)))),ANH90*(1-MAX(0,EH91)*H_Exit))</f>
        <v>0</v>
      </c>
      <c r="HV91" s="20" t="n">
        <f aca="false">IF(H_Direct=1,IF(ANI90&lt;=0,0,IF(EI91&lt;=0,ANI90,ANI90-G91*MAX(0,EI91*ANI90-(LH91+OU91)))),ANI90*(1-MAX(0,EI91)*H_Exit))</f>
        <v>0</v>
      </c>
      <c r="HW91" s="20" t="n">
        <f aca="false">IF(H_Direct=1,IF(ANJ90&lt;=0,0,IF(EJ91&lt;=0,ANJ90,ANJ90-G91*MAX(0,EJ91*ANJ90-(LI91+OV91)))),ANJ90*(1-MAX(0,EJ91)*H_Exit))</f>
        <v>0</v>
      </c>
      <c r="HX91" s="20" t="n">
        <f aca="false">IF(H_Direct=1,IF(ANK90&lt;=0,0,IF(EK91&lt;=0,ANK90,ANK90-G91*MAX(0,EK91*ANK90-(LJ91+OW91)))),ANK90*(1-MAX(0,EK91)*H_Exit))</f>
        <v>0</v>
      </c>
      <c r="HY91" s="20" t="n">
        <f aca="false">IF(H_Direct=1,IF(ANL90&lt;=0,0,IF(EL91&lt;=0,ANL90,ANL90-G91*MAX(0,EL91*ANL90-(LK91+OX91)))),ANL90*(1-MAX(0,EL91)*H_Exit))</f>
        <v>0</v>
      </c>
      <c r="HZ91" s="20" t="n">
        <f aca="false">IF(H_Direct=1,IF(ANM90&lt;=0,0,IF(EM91&lt;=0,ANM90,ANM90-G91*MAX(0,EM91*ANM90-(LL91+OY91)))),ANM90*(1-MAX(0,EM91)*H_Exit))</f>
        <v>0</v>
      </c>
      <c r="IA91" s="20" t="n">
        <f aca="false">IF(H_Direct=1,IF(ANN90&lt;=0,0,IF(EN91&lt;=0,ANN90,ANN90-G91*MAX(0,EN91*ANN90-(LM91+OZ91)))),ANN90*(1-MAX(0,EN91)*H_Exit))</f>
        <v>0</v>
      </c>
      <c r="IB91" s="20" t="n">
        <f aca="false">IF(H_Direct=1,IF(ANO90&lt;=0,0,IF(EO91&lt;=0,ANO90,ANO90-G91*MAX(0,EO91*ANO90-(LN91+PA91)))),ANO90*(1-MAX(0,EO91)*H_Exit))</f>
        <v>0</v>
      </c>
      <c r="IC91" s="20" t="n">
        <f aca="false">IF(H_Direct=1,IF(ANP90&lt;=0,0,IF(EP91&lt;=0,ANP90,ANP90-G91*MAX(0,EP91*ANP90-(LO91+PB91)))),ANP90*(1-MAX(0,EP91)*H_Exit))</f>
        <v>0</v>
      </c>
      <c r="ID91" s="20" t="n">
        <f aca="false">IF(H_Direct=1,IF(ANQ90&lt;=0,0,IF(EQ91&lt;=0,ANQ90,ANQ90-G91*MAX(0,EQ91*ANQ90-(LP91+PC91)))),ANQ90*(1-MAX(0,EQ91)*H_Exit))</f>
        <v>0</v>
      </c>
      <c r="IE91" s="20" t="n">
        <f aca="false">IF(H_Direct=1,IF(ANR90&lt;=0,0,IF(ER91&lt;=0,ANR90,ANR90-G91*MAX(0,ER91*ANR90-(LQ91+PD91)))),ANR90*(1-MAX(0,ER91)*H_Exit))</f>
        <v>0</v>
      </c>
      <c r="IF91" s="20" t="n">
        <f aca="false">IF(H_Direct=1,IF(ANS90&lt;=0,0,IF(ES91&lt;=0,ANS90,ANS90-G91*MAX(0,ES91*ANS90-(LR91+PE91)))),ANS90*(1-MAX(0,ES91)*H_Exit))</f>
        <v>0</v>
      </c>
      <c r="IG91" s="20" t="n">
        <f aca="false">IF(H_Direct=1,IF(ANT90&lt;=0,0,IF(ET91&lt;=0,ANT90,ANT90-G91*MAX(0,ET91*ANT90-(LS91+PF91)))),ANT90*(1-MAX(0,ET91)*H_Exit))</f>
        <v>0</v>
      </c>
      <c r="IH91" s="20" t="n">
        <f aca="false">IF(H_Direct=1,IF(ANU90&lt;=0,0,IF(EU91&lt;=0,ANU90,ANU90-G91*MAX(0,EU91*ANU90-(LT91+PG91)))),ANU90*(1-MAX(0,EU91)*H_Exit))</f>
        <v>0</v>
      </c>
      <c r="II91" s="20" t="n">
        <f aca="false">IF(H_Direct=1,IF(ANV90&lt;=0,0,IF(EV91&lt;=0,ANV90,ANV90-G91*MAX(0,EV91*ANV90-(LU91+PH91)))),ANV90*(1-MAX(0,EV91)*H_Exit))</f>
        <v>0</v>
      </c>
      <c r="IJ91" s="20" t="n">
        <f aca="false">IF(H_Direct=1,IF(ANW90&lt;=0,0,IF(EW91&lt;=0,ANW90,ANW90-G91*MAX(0,EW91*ANW90-(LV91+PI91)))),ANW90*(1-MAX(0,EW91)*H_Exit))</f>
        <v>0</v>
      </c>
      <c r="IK91" s="20" t="n">
        <f aca="false">IF(H_Direct=1,IF((P91+S91)&lt;=0,0,IF(EX91&lt;=0,(P91+S91),(P91+S91)-G91*MAX(0,EX91*(P91+S91)-(LW91+PJ91)))),(P91+S91)*(1-MAX(0,EX91)*H_Exit))</f>
        <v>0</v>
      </c>
      <c r="IL91" s="20" t="n">
        <v>0</v>
      </c>
      <c r="IM91" s="20" t="n">
        <v>0</v>
      </c>
      <c r="IN91" s="20" t="n">
        <v>0</v>
      </c>
      <c r="IO91" s="20" t="n">
        <v>0</v>
      </c>
      <c r="IP91" s="20" t="n">
        <v>0</v>
      </c>
      <c r="IQ91" s="20" t="n">
        <v>0</v>
      </c>
      <c r="IR91" s="20" t="n">
        <f aca="false">IF(AND(H_Direct=1,BR91&gt;0),MAX(0,H91-(MIN(BR91*AKR90,H91+I91)-MIN(MIN(BR91*AKR90,H91+I91),I91))),H91)</f>
        <v>1270</v>
      </c>
      <c r="IS91" s="20" t="n">
        <f aca="false">IF(AND(H_Direct=1,BS91&gt;0),MAX(0,IR91-(MIN(BS91*AKS90,IR91+ME91)-MIN(MIN(BS91*AKS90,IR91+ME91),ME91))),IR91)</f>
        <v>1270</v>
      </c>
      <c r="IT91" s="20" t="n">
        <f aca="false">IF(AND(H_Direct=1,BT91&gt;0),MAX(0,IS91-(MIN(BT91*AKT90,IS91+MF91)-MIN(MIN(BT91*AKT90,IS91+MF91),MF91))),IS91)</f>
        <v>1270</v>
      </c>
      <c r="IU91" s="20" t="n">
        <f aca="false">IF(AND(H_Direct=1,BU91&gt;0),MAX(0,IT91-(MIN(BU91*AKU90,IT91+MG91)-MIN(MIN(BU91*AKU90,IT91+MG91),MG91))),IT91)</f>
        <v>1270</v>
      </c>
      <c r="IV91" s="20" t="n">
        <f aca="false">IF(AND(H_Direct=1,BV91&gt;0),MAX(0,IU91-(MIN(BV91*AKV90,IU91+MH91)-MIN(MIN(BV91*AKV90,IU91+MH91),MH91))),IU91)</f>
        <v>1270</v>
      </c>
      <c r="IW91" s="20" t="n">
        <f aca="false">IF(AND(H_Direct=1,BW91&gt;0),MAX(0,IV91-(MIN(BW91*AKW90,IV91+MI91)-MIN(MIN(BW91*AKW90,IV91+MI91),MI91))),IV91)</f>
        <v>1270</v>
      </c>
      <c r="IX91" s="20" t="n">
        <f aca="false">IF(AND(H_Direct=1,BX91&gt;0),MAX(0,IW91-(MIN(BX91*AKX90,IW91+MJ91)-MIN(MIN(BX91*AKX90,IW91+MJ91),MJ91))),IW91)</f>
        <v>1270</v>
      </c>
      <c r="IY91" s="20" t="n">
        <f aca="false">IF(AND(H_Direct=1,BY91&gt;0),MAX(0,IX91-(MIN(BY91*AKY90,IX91+MK91)-MIN(MIN(BY91*AKY90,IX91+MK91),MK91))),IX91)</f>
        <v>1270</v>
      </c>
      <c r="IZ91" s="20" t="n">
        <f aca="false">IF(AND(H_Direct=1,BZ91&gt;0),MAX(0,IY91-(MIN(BZ91*AKZ90,IY91+ML91)-MIN(MIN(BZ91*AKZ90,IY91+ML91),ML91))),IY91)</f>
        <v>1270</v>
      </c>
      <c r="JA91" s="20" t="n">
        <f aca="false">IF(AND(H_Direct=1,CA91&gt;0),MAX(0,IZ91-(MIN(CA91*ALA90,IZ91+MM91)-MIN(MIN(CA91*ALA90,IZ91+MM91),MM91))),IZ91)</f>
        <v>1270</v>
      </c>
      <c r="JB91" s="20" t="n">
        <f aca="false">IF(AND(H_Direct=1,CB91&gt;0),MAX(0,JA91-(MIN(CB91*ALB90,JA91+MN91)-MIN(MIN(CB91*ALB90,JA91+MN91),MN91))),JA91)</f>
        <v>1270</v>
      </c>
      <c r="JC91" s="20" t="n">
        <f aca="false">IF(AND(H_Direct=1,CC91&gt;0),MAX(0,JB91-(MIN(CC91*ALC90,JB91+MO91)-MIN(MIN(CC91*ALC90,JB91+MO91),MO91))),JB91)</f>
        <v>1270</v>
      </c>
      <c r="JD91" s="20" t="n">
        <f aca="false">IF(AND(H_Direct=1,CD91&gt;0),MAX(0,JC91-(MIN(CD91*ALD90,JC91+MP91)-MIN(MIN(CD91*ALD90,JC91+MP91),MP91))),JC91)</f>
        <v>1270</v>
      </c>
      <c r="JE91" s="20" t="n">
        <f aca="false">IF(AND(H_Direct=1,CE91&gt;0),MAX(0,JD91-(MIN(CE91*ALE90,JD91+MQ91)-MIN(MIN(CE91*ALE90,JD91+MQ91),MQ91))),JD91)</f>
        <v>1270</v>
      </c>
      <c r="JF91" s="20" t="n">
        <f aca="false">IF(AND(H_Direct=1,CF91&gt;0),MAX(0,JE91-(MIN(CF91*ALF90,JE91+MR91)-MIN(MIN(CF91*ALF90,JE91+MR91),MR91))),JE91)</f>
        <v>1270</v>
      </c>
      <c r="JG91" s="20" t="n">
        <f aca="false">IF(AND(H_Direct=1,CG91&gt;0),MAX(0,JF91-(MIN(CG91*ALG90,JF91+MS91)-MIN(MIN(CG91*ALG90,JF91+MS91),MS91))),JF91)</f>
        <v>1270</v>
      </c>
      <c r="JH91" s="20" t="n">
        <f aca="false">IF(AND(H_Direct=1,CH91&gt;0),MAX(0,JG91-(MIN(CH91*ALH90,JG91+MT91)-MIN(MIN(CH91*ALH90,JG91+MT91),MT91))),JG91)</f>
        <v>1270</v>
      </c>
      <c r="JI91" s="20" t="n">
        <f aca="false">IF(AND(H_Direct=1,CI91&gt;0),MAX(0,JH91-(MIN(CI91*ALI90,JH91+MU91)-MIN(MIN(CI91*ALI90,JH91+MU91),MU91))),JH91)</f>
        <v>1270</v>
      </c>
      <c r="JJ91" s="20" t="n">
        <f aca="false">IF(AND(H_Direct=1,CJ91&gt;0),MAX(0,JI91-(MIN(CJ91*ALJ90,JI91+MV91)-MIN(MIN(CJ91*ALJ90,JI91+MV91),MV91))),JI91)</f>
        <v>1270</v>
      </c>
      <c r="JK91" s="20" t="n">
        <f aca="false">IF(AND(H_Direct=1,CK91&gt;0),MAX(0,JJ91-(MIN(CK91*ALK90,JJ91+MW91)-MIN(MIN(CK91*ALK90,JJ91+MW91),MW91))),JJ91)</f>
        <v>1270</v>
      </c>
      <c r="JL91" s="20" t="n">
        <f aca="false">IF(AND(H_Direct=1,CL91&gt;0),MAX(0,JK91-(MIN(CL91*ALL90,JK91+MX91)-MIN(MIN(CL91*ALL90,JK91+MX91),MX91))),JK91)</f>
        <v>1270</v>
      </c>
      <c r="JM91" s="20" t="n">
        <f aca="false">IF(AND(H_Direct=1,CM91&gt;0),MAX(0,JL91-(MIN(CM91*ALM90,JL91+MY91)-MIN(MIN(CM91*ALM90,JL91+MY91),MY91))),JL91)</f>
        <v>1270</v>
      </c>
      <c r="JN91" s="20" t="n">
        <f aca="false">IF(AND(H_Direct=1,CN91&gt;0),MAX(0,JM91-(MIN(CN91*ALN90,JM91+MZ91)-MIN(MIN(CN91*ALN90,JM91+MZ91),MZ91))),JM91)</f>
        <v>1270</v>
      </c>
      <c r="JO91" s="20" t="n">
        <f aca="false">IF(AND(H_Direct=1,CO91&gt;0),MAX(0,JN91-(MIN(CO91*ALO90,JN91+NA91)-MIN(MIN(CO91*ALO90,JN91+NA91),NA91))),JN91)</f>
        <v>1270</v>
      </c>
      <c r="JP91" s="20" t="n">
        <f aca="false">IF(AND(H_Direct=1,CP91&gt;0),MAX(0,JO91-(MIN(CP91*ALP90,JO91+NB91)-MIN(MIN(CP91*ALP90,JO91+NB91),NB91))),JO91)</f>
        <v>1270</v>
      </c>
      <c r="JQ91" s="20" t="n">
        <f aca="false">IF(AND(H_Direct=1,CQ91&gt;0),MAX(0,JP91-(MIN(CQ91*ALQ90,JP91+NC91)-MIN(MIN(CQ91*ALQ90,JP91+NC91),NC91))),JP91)</f>
        <v>1270</v>
      </c>
      <c r="JR91" s="20" t="n">
        <f aca="false">IF(AND(H_Direct=1,CR91&gt;0),MAX(0,JQ91-(MIN(CR91*ALR90,JQ91+ND91)-MIN(MIN(CR91*ALR90,JQ91+ND91),ND91))),JQ91)</f>
        <v>1270</v>
      </c>
      <c r="JS91" s="20" t="n">
        <f aca="false">IF(AND(H_Direct=1,CS91&gt;0),MAX(0,JR91-(MIN(CS91*ALS90,JR91+NE91)-MIN(MIN(CS91*ALS90,JR91+NE91),NE91))),JR91)</f>
        <v>1270</v>
      </c>
      <c r="JT91" s="20" t="n">
        <f aca="false">IF(AND(H_Direct=1,CT91&gt;0),MAX(0,JS91-(MIN(CT91*ALT90,JS91+NF91)-MIN(MIN(CT91*ALT90,JS91+NF91),NF91))),JS91)</f>
        <v>1270</v>
      </c>
      <c r="JU91" s="20" t="n">
        <f aca="false">IF(AND(H_Direct=1,CU91&gt;0),MAX(0,JT91-(MIN(CU91*ALU90,JT91+NG91)-MIN(MIN(CU91*ALU90,JT91+NG91),NG91))),JT91)</f>
        <v>1270</v>
      </c>
      <c r="JV91" s="20" t="n">
        <f aca="false">IF(AND(H_Direct=1,CV91&gt;0),MAX(0,JU91-(MIN(CV91*ALV90,JU91+NH91)-MIN(MIN(CV91*ALV90,JU91+NH91),NH91))),JU91)</f>
        <v>1270</v>
      </c>
      <c r="JW91" s="20" t="n">
        <f aca="false">IF(AND(H_Direct=1,CW91&gt;0),MAX(0,JV91-(MIN(CW91*ALW90,JV91+NI91)-MIN(MIN(CW91*ALW90,JV91+NI91),NI91))),JV91)</f>
        <v>1270</v>
      </c>
      <c r="JX91" s="20" t="n">
        <f aca="false">IF(AND(H_Direct=1,CX91&gt;0),MAX(0,JW91-(MIN(CX91*ALX90,JW91+NJ91)-MIN(MIN(CX91*ALX90,JW91+NJ91),NJ91))),JW91)</f>
        <v>1270</v>
      </c>
      <c r="JY91" s="20" t="n">
        <f aca="false">IF(AND(H_Direct=1,CY91&gt;0),MAX(0,JX91-(MIN(CY91*ALY90,JX91+NK91)-MIN(MIN(CY91*ALY90,JX91+NK91),NK91))),JX91)</f>
        <v>1270</v>
      </c>
      <c r="JZ91" s="20" t="n">
        <f aca="false">IF(AND(H_Direct=1,CZ91&gt;0),MAX(0,JY91-(MIN(CZ91*ALZ90,JY91+NL91)-MIN(MIN(CZ91*ALZ90,JY91+NL91),NL91))),JY91)</f>
        <v>1270</v>
      </c>
      <c r="KA91" s="20" t="n">
        <f aca="false">IF(AND(H_Direct=1,DA91&gt;0),MAX(0,JZ91-(MIN(DA91*AMA90,JZ91+NM91)-MIN(MIN(DA91*AMA90,JZ91+NM91),NM91))),JZ91)</f>
        <v>1270</v>
      </c>
      <c r="KB91" s="20" t="n">
        <f aca="false">IF(AND(H_Direct=1,DB91&gt;0),MAX(0,KA91-(MIN(DB91*AMB90,KA91+NN91)-MIN(MIN(DB91*AMB90,KA91+NN91),NN91))),KA91)</f>
        <v>1270</v>
      </c>
      <c r="KC91" s="20" t="n">
        <f aca="false">IF(AND(H_Direct=1,DC91&gt;0),MAX(0,KB91-(MIN(DC91*AMC90,KB91+NO91)-MIN(MIN(DC91*AMC90,KB91+NO91),NO91))),KB91)</f>
        <v>1270</v>
      </c>
      <c r="KD91" s="20" t="n">
        <f aca="false">IF(AND(H_Direct=1,DD91&gt;0),MAX(0,KC91-(MIN(DD91*AMD90,KC91+NP91)-MIN(MIN(DD91*AMD90,KC91+NP91),NP91))),KC91)</f>
        <v>1270</v>
      </c>
      <c r="KE91" s="20" t="n">
        <f aca="false">IF(AND(H_Direct=1,DE91&gt;0),MAX(0,KD91-(MIN(DE91*AME90,KD91+NQ91)-MIN(MIN(DE91*AME90,KD91+NQ91),NQ91))),KD91)</f>
        <v>1270</v>
      </c>
      <c r="KF91" s="20" t="n">
        <f aca="false">IF(AND(H_Direct=1,DF91&gt;0),MAX(0,KE91-(MIN(DF91*AMF90,KE91+NR91)-MIN(MIN(DF91*AMF90,KE91+NR91),NR91))),KE91)</f>
        <v>1270</v>
      </c>
      <c r="KG91" s="20" t="n">
        <f aca="false">IF(AND(H_Direct=1,DG91&gt;0),MAX(0,KF91-(MIN(DG91*AMG90,KF91+NS91)-MIN(MIN(DG91*AMG90,KF91+NS91),NS91))),KF91)</f>
        <v>1270</v>
      </c>
      <c r="KH91" s="20" t="n">
        <f aca="false">IF(AND(H_Direct=1,DH91&gt;0),MAX(0,KG91-(MIN(DH91*AMH90,KG91+NT91)-MIN(MIN(DH91*AMH90,KG91+NT91),NT91))),KG91)</f>
        <v>1270</v>
      </c>
      <c r="KI91" s="20" t="n">
        <f aca="false">IF(AND(H_Direct=1,DI91&gt;0),MAX(0,KH91-(MIN(DI91*AMI90,KH91+NU91)-MIN(MIN(DI91*AMI90,KH91+NU91),NU91))),KH91)</f>
        <v>1270</v>
      </c>
      <c r="KJ91" s="20" t="n">
        <f aca="false">IF(AND(H_Direct=1,DJ91&gt;0),MAX(0,KI91-(MIN(DJ91*AMJ90,KI91+NV91)-MIN(MIN(DJ91*AMJ90,KI91+NV91),NV91))),KI91)</f>
        <v>1270</v>
      </c>
      <c r="KK91" s="20" t="n">
        <f aca="false">IF(AND(H_Direct=1,DK91&gt;0),MAX(0,KJ91-(MIN(DK91*AMK90,KJ91+NW91)-MIN(MIN(DK91*AMK90,KJ91+NW91),NW91))),KJ91)</f>
        <v>1270</v>
      </c>
      <c r="KL91" s="20" t="n">
        <f aca="false">IF(AND(H_Direct=1,DL91&gt;0),MAX(0,KK91-(MIN(DL91*AML90,KK91+NX91)-MIN(MIN(DL91*AML90,KK91+NX91),NX91))),KK91)</f>
        <v>1270</v>
      </c>
      <c r="KM91" s="20" t="n">
        <f aca="false">IF(AND(H_Direct=1,DM91&gt;0),MAX(0,KL91-(MIN(DM91*AMM90,KL91+NY91)-MIN(MIN(DM91*AMM90,KL91+NY91),NY91))),KL91)</f>
        <v>1270</v>
      </c>
      <c r="KN91" s="20" t="n">
        <f aca="false">IF(AND(H_Direct=1,DN91&gt;0),MAX(0,KM91-(MIN(DN91*AMN90,KM91+NZ91)-MIN(MIN(DN91*AMN90,KM91+NZ91),NZ91))),KM91)</f>
        <v>1270</v>
      </c>
      <c r="KO91" s="20" t="n">
        <f aca="false">IF(AND(H_Direct=1,DO91&gt;0),MAX(0,KN91-(MIN(DO91*AMO90,KN91+OA91)-MIN(MIN(DO91*AMO90,KN91+OA91),OA91))),KN91)</f>
        <v>1270</v>
      </c>
      <c r="KP91" s="20" t="n">
        <f aca="false">IF(AND(H_Direct=1,DP91&gt;0),MAX(0,KO91-(MIN(DP91*AMP90,KO91+OB91)-MIN(MIN(DP91*AMP90,KO91+OB91),OB91))),KO91)</f>
        <v>1270</v>
      </c>
      <c r="KQ91" s="20" t="n">
        <f aca="false">IF(AND(H_Direct=1,DQ91&gt;0),MAX(0,KP91-(MIN(DQ91*AMQ90,KP91+OC91)-MIN(MIN(DQ91*AMQ90,KP91+OC91),OC91))),KP91)</f>
        <v>1270</v>
      </c>
      <c r="KR91" s="20" t="n">
        <f aca="false">IF(AND(H_Direct=1,DR91&gt;0),MAX(0,KQ91-(MIN(DR91*AMR90,KQ91+OD91)-MIN(MIN(DR91*AMR90,KQ91+OD91),OD91))),KQ91)</f>
        <v>1270</v>
      </c>
      <c r="KS91" s="20" t="n">
        <f aca="false">IF(AND(H_Direct=1,DS91&gt;0),MAX(0,KR91-(MIN(DS91*AMS90,KR91+OE91)-MIN(MIN(DS91*AMS90,KR91+OE91),OE91))),KR91)</f>
        <v>1270</v>
      </c>
      <c r="KT91" s="20" t="n">
        <f aca="false">IF(AND(H_Direct=1,DT91&gt;0),MAX(0,KS91-(MIN(DT91*AMT90,KS91+OF91)-MIN(MIN(DT91*AMT90,KS91+OF91),OF91))),KS91)</f>
        <v>1270</v>
      </c>
      <c r="KU91" s="20" t="n">
        <f aca="false">IF(AND(H_Direct=1,DU91&gt;0),MAX(0,KT91-(MIN(DU91*AMU90,KT91+OG91)-MIN(MIN(DU91*AMU90,KT91+OG91),OG91))),KT91)</f>
        <v>1270</v>
      </c>
      <c r="KV91" s="20" t="n">
        <f aca="false">IF(AND(H_Direct=1,DV91&gt;0),MAX(0,KU91-(MIN(DV91*AMV90,KU91+OH91)-MIN(MIN(DV91*AMV90,KU91+OH91),OH91))),KU91)</f>
        <v>1270</v>
      </c>
      <c r="KW91" s="20" t="n">
        <f aca="false">IF(AND(H_Direct=1,DW91&gt;0),MAX(0,KV91-(MIN(DW91*AMW90,KV91+OI91)-MIN(MIN(DW91*AMW90,KV91+OI91),OI91))),KV91)</f>
        <v>1270</v>
      </c>
      <c r="KX91" s="20" t="n">
        <f aca="false">IF(AND(H_Direct=1,DX91&gt;0),MAX(0,KW91-(MIN(DX91*AMX90,KW91+OJ91)-MIN(MIN(DX91*AMX90,KW91+OJ91),OJ91))),KW91)</f>
        <v>1270</v>
      </c>
      <c r="KY91" s="20" t="n">
        <f aca="false">IF(AND(H_Direct=1,DY91&gt;0),MAX(0,KX91-(MIN(DY91*AMY90,KX91+OK91)-MIN(MIN(DY91*AMY90,KX91+OK91),OK91))),KX91)</f>
        <v>1270</v>
      </c>
      <c r="KZ91" s="20" t="n">
        <f aca="false">IF(AND(H_Direct=1,DZ91&gt;0),MAX(0,KY91-(MIN(DZ91*AMZ90,KY91+OL91)-MIN(MIN(DZ91*AMZ90,KY91+OL91),OL91))),KY91)</f>
        <v>1270</v>
      </c>
      <c r="LA91" s="20" t="n">
        <f aca="false">IF(AND(H_Direct=1,EA91&gt;0),MAX(0,KZ91-(MIN(EA91*ANA90,KZ91+OM91)-MIN(MIN(EA91*ANA90,KZ91+OM91),OM91))),KZ91)</f>
        <v>1270</v>
      </c>
      <c r="LB91" s="20" t="n">
        <f aca="false">IF(AND(H_Direct=1,EB91&gt;0),MAX(0,LA91-(MIN(EB91*ANB90,LA91+ON91)-MIN(MIN(EB91*ANB90,LA91+ON91),ON91))),LA91)</f>
        <v>1270</v>
      </c>
      <c r="LC91" s="20" t="n">
        <f aca="false">IF(AND(H_Direct=1,EC91&gt;0),MAX(0,LB91-(MIN(EC91*ANC90,LB91+OO91)-MIN(MIN(EC91*ANC90,LB91+OO91),OO91))),LB91)</f>
        <v>1270</v>
      </c>
      <c r="LD91" s="20" t="n">
        <f aca="false">IF(AND(H_Direct=1,ED91&gt;0),MAX(0,LC91-(MIN(ED91*AND90,LC91+OP91)-MIN(MIN(ED91*AND90,LC91+OP91),OP91))),LC91)</f>
        <v>1270</v>
      </c>
      <c r="LE91" s="20" t="n">
        <f aca="false">IF(AND(H_Direct=1,EE91&gt;0),MAX(0,LD91-(MIN(EE91*ANE90,LD91+OQ91)-MIN(MIN(EE91*ANE90,LD91+OQ91),OQ91))),LD91)</f>
        <v>1270</v>
      </c>
      <c r="LF91" s="20" t="n">
        <f aca="false">IF(AND(H_Direct=1,EF91&gt;0),MAX(0,LE91-(MIN(EF91*ANF90,LE91+OR91)-MIN(MIN(EF91*ANF90,LE91+OR91),OR91))),LE91)</f>
        <v>1270</v>
      </c>
      <c r="LG91" s="20" t="n">
        <f aca="false">IF(AND(H_Direct=1,EG91&gt;0),MAX(0,LF91-(MIN(EG91*ANG90,LF91+OS91)-MIN(MIN(EG91*ANG90,LF91+OS91),OS91))),LF91)</f>
        <v>1270</v>
      </c>
      <c r="LH91" s="20" t="n">
        <f aca="false">IF(AND(H_Direct=1,EH91&gt;0),MAX(0,LG91-(MIN(EH91*ANH90,LG91+OT91)-MIN(MIN(EH91*ANH90,LG91+OT91),OT91))),LG91)</f>
        <v>1270</v>
      </c>
      <c r="LI91" s="20" t="n">
        <f aca="false">IF(AND(H_Direct=1,EI91&gt;0),MAX(0,LH91-(MIN(EI91*ANI90,LH91+OU91)-MIN(MIN(EI91*ANI90,LH91+OU91),OU91))),LH91)</f>
        <v>1270</v>
      </c>
      <c r="LJ91" s="20" t="n">
        <f aca="false">IF(AND(H_Direct=1,EJ91&gt;0),MAX(0,LI91-(MIN(EJ91*ANJ90,LI91+OV91)-MIN(MIN(EJ91*ANJ90,LI91+OV91),OV91))),LI91)</f>
        <v>1270</v>
      </c>
      <c r="LK91" s="20" t="n">
        <f aca="false">IF(AND(H_Direct=1,EK91&gt;0),MAX(0,LJ91-(MIN(EK91*ANK90,LJ91+OW91)-MIN(MIN(EK91*ANK90,LJ91+OW91),OW91))),LJ91)</f>
        <v>1270</v>
      </c>
      <c r="LL91" s="20" t="n">
        <f aca="false">IF(AND(H_Direct=1,EL91&gt;0),MAX(0,LK91-(MIN(EL91*ANL90,LK91+OX91)-MIN(MIN(EL91*ANL90,LK91+OX91),OX91))),LK91)</f>
        <v>1270</v>
      </c>
      <c r="LM91" s="20" t="n">
        <f aca="false">IF(AND(H_Direct=1,EM91&gt;0),MAX(0,LL91-(MIN(EM91*ANM90,LL91+OY91)-MIN(MIN(EM91*ANM90,LL91+OY91),OY91))),LL91)</f>
        <v>1270</v>
      </c>
      <c r="LN91" s="20" t="n">
        <f aca="false">IF(AND(H_Direct=1,EN91&gt;0),MAX(0,LM91-(MIN(EN91*ANN90,LM91+OZ91)-MIN(MIN(EN91*ANN90,LM91+OZ91),OZ91))),LM91)</f>
        <v>1270</v>
      </c>
      <c r="LO91" s="20" t="n">
        <f aca="false">IF(AND(H_Direct=1,EO91&gt;0),MAX(0,LN91-(MIN(EO91*ANO90,LN91+PA91)-MIN(MIN(EO91*ANO90,LN91+PA91),PA91))),LN91)</f>
        <v>1270</v>
      </c>
      <c r="LP91" s="20" t="n">
        <f aca="false">IF(AND(H_Direct=1,EP91&gt;0),MAX(0,LO91-(MIN(EP91*ANP90,LO91+PB91)-MIN(MIN(EP91*ANP90,LO91+PB91),PB91))),LO91)</f>
        <v>1270</v>
      </c>
      <c r="LQ91" s="20" t="n">
        <f aca="false">IF(AND(H_Direct=1,EQ91&gt;0),MAX(0,LP91-(MIN(EQ91*ANQ90,LP91+PC91)-MIN(MIN(EQ91*ANQ90,LP91+PC91),PC91))),LP91)</f>
        <v>1270</v>
      </c>
      <c r="LR91" s="20" t="n">
        <f aca="false">IF(AND(H_Direct=1,ER91&gt;0),MAX(0,LQ91-(MIN(ER91*ANR90,LQ91+PD91)-MIN(MIN(ER91*ANR90,LQ91+PD91),PD91))),LQ91)</f>
        <v>1270</v>
      </c>
      <c r="LS91" s="20" t="n">
        <f aca="false">IF(AND(H_Direct=1,ES91&gt;0),MAX(0,LR91-(MIN(ES91*ANS90,LR91+PE91)-MIN(MIN(ES91*ANS90,LR91+PE91),PE91))),LR91)</f>
        <v>1270</v>
      </c>
      <c r="LT91" s="20" t="n">
        <f aca="false">IF(AND(H_Direct=1,ET91&gt;0),MAX(0,LS91-(MIN(ET91*ANT90,LS91+PF91)-MIN(MIN(ET91*ANT90,LS91+PF91),PF91))),LS91)</f>
        <v>1270</v>
      </c>
      <c r="LU91" s="20" t="n">
        <f aca="false">IF(AND(H_Direct=1,EU91&gt;0),MAX(0,LT91-(MIN(EU91*ANU90,LT91+PG91)-MIN(MIN(EU91*ANU90,LT91+PG91),PG91))),LT91)</f>
        <v>1270</v>
      </c>
      <c r="LV91" s="20" t="n">
        <f aca="false">IF(AND(H_Direct=1,EV91&gt;0),MAX(0,LU91-(MIN(EV91*ANV90,LU91+PH91)-MIN(MIN(EV91*ANV90,LU91+PH91),PH91))),LU91)</f>
        <v>1270</v>
      </c>
      <c r="LW91" s="20" t="n">
        <f aca="false">IF(AND(H_Direct=1,EW91&gt;0),MAX(0,LV91-(MIN(EW91*ANW90,LV91+PI91)-MIN(MIN(EW91*ANW90,LV91+PI91),PI91))),LV91)</f>
        <v>1270</v>
      </c>
      <c r="LX91" s="20" t="n">
        <f aca="false">IF(AND(H_Direct=1,EX91&gt;0),MAX(0,LW91-(MIN(EX91*(P91+S91),LW91+PJ91)-MIN(MIN(EX91*(P91+S91),LW91+PJ91),PJ91))),LW91)</f>
        <v>1270</v>
      </c>
      <c r="LY91" s="20" t="n">
        <f aca="false">LX91</f>
        <v>1270</v>
      </c>
      <c r="LZ91" s="20" t="n">
        <f aca="false">LY91</f>
        <v>1270</v>
      </c>
      <c r="MA91" s="20" t="n">
        <f aca="false">LZ91</f>
        <v>1270</v>
      </c>
      <c r="MB91" s="20" t="n">
        <f aca="false">MA91</f>
        <v>1270</v>
      </c>
      <c r="MC91" s="20" t="n">
        <f aca="false">MB91</f>
        <v>1270</v>
      </c>
      <c r="MD91" s="20" t="n">
        <f aca="false">MC91</f>
        <v>1270</v>
      </c>
      <c r="ME91" s="20" t="n">
        <f aca="false">IF(H_Direct=1,IF(BR91&lt;=0,I91-BR91*AKR90,I91-MIN(MIN(BR91*AKR90,H91+I91),I91)),I91)</f>
        <v>0</v>
      </c>
      <c r="MF91" s="20" t="n">
        <f aca="false">IF(H_Direct=1,IF(BS91&lt;=0,ME91-BS91*AKS90,ME91-MIN(MIN(BS91*AKS90,IR91+ME91),ME91)),ME91)</f>
        <v>0</v>
      </c>
      <c r="MG91" s="20" t="n">
        <f aca="false">IF(H_Direct=1,IF(BT91&lt;=0,MF91-BT91*AKT90,MF91-MIN(MIN(BT91*AKT90,IS91+MF91),MF91)),MF91)</f>
        <v>0</v>
      </c>
      <c r="MH91" s="20" t="n">
        <f aca="false">IF(H_Direct=1,IF(BU91&lt;=0,MG91-BU91*AKU90,MG91-MIN(MIN(BU91*AKU90,IT91+MG91),MG91)),MG91)</f>
        <v>0</v>
      </c>
      <c r="MI91" s="20" t="n">
        <f aca="false">IF(H_Direct=1,IF(BV91&lt;=0,MH91-BV91*AKV90,MH91-MIN(MIN(BV91*AKV90,IU91+MH91),MH91)),MH91)</f>
        <v>0</v>
      </c>
      <c r="MJ91" s="20" t="n">
        <f aca="false">IF(H_Direct=1,IF(BW91&lt;=0,MI91-BW91*AKW90,MI91-MIN(MIN(BW91*AKW90,IV91+MI91),MI91)),MI91)</f>
        <v>0</v>
      </c>
      <c r="MK91" s="20" t="n">
        <f aca="false">IF(H_Direct=1,IF(BX91&lt;=0,MJ91-BX91*AKX90,MJ91-MIN(MIN(BX91*AKX90,IW91+MJ91),MJ91)),MJ91)</f>
        <v>0</v>
      </c>
      <c r="ML91" s="20" t="n">
        <f aca="false">IF(H_Direct=1,IF(BY91&lt;=0,MK91-BY91*AKY90,MK91-MIN(MIN(BY91*AKY90,IX91+MK91),MK91)),MK91)</f>
        <v>0</v>
      </c>
      <c r="MM91" s="20" t="n">
        <f aca="false">IF(H_Direct=1,IF(BZ91&lt;=0,ML91-BZ91*AKZ90,ML91-MIN(MIN(BZ91*AKZ90,IY91+ML91),ML91)),ML91)</f>
        <v>0</v>
      </c>
      <c r="MN91" s="20" t="n">
        <f aca="false">IF(H_Direct=1,IF(CA91&lt;=0,MM91-CA91*ALA90,MM91-MIN(MIN(CA91*ALA90,IZ91+MM91),MM91)),MM91)</f>
        <v>0</v>
      </c>
      <c r="MO91" s="20" t="n">
        <f aca="false">IF(H_Direct=1,IF(CB91&lt;=0,MN91-CB91*ALB90,MN91-MIN(MIN(CB91*ALB90,JA91+MN91),MN91)),MN91)</f>
        <v>0</v>
      </c>
      <c r="MP91" s="20" t="n">
        <f aca="false">IF(H_Direct=1,IF(CC91&lt;=0,MO91-CC91*ALC90,MO91-MIN(MIN(CC91*ALC90,JB91+MO91),MO91)),MO91)</f>
        <v>0</v>
      </c>
      <c r="MQ91" s="20" t="n">
        <f aca="false">IF(H_Direct=1,IF(CD91&lt;=0,MP91-CD91*ALD90,MP91-MIN(MIN(CD91*ALD90,JC91+MP91),MP91)),MP91)</f>
        <v>0</v>
      </c>
      <c r="MR91" s="20" t="n">
        <f aca="false">IF(H_Direct=1,IF(CE91&lt;=0,MQ91-CE91*ALE90,MQ91-MIN(MIN(CE91*ALE90,JD91+MQ91),MQ91)),MQ91)</f>
        <v>0</v>
      </c>
      <c r="MS91" s="20" t="n">
        <f aca="false">IF(H_Direct=1,IF(CF91&lt;=0,MR91-CF91*ALF90,MR91-MIN(MIN(CF91*ALF90,JE91+MR91),MR91)),MR91)</f>
        <v>0</v>
      </c>
      <c r="MT91" s="20" t="n">
        <f aca="false">IF(H_Direct=1,IF(CG91&lt;=0,MS91-CG91*ALG90,MS91-MIN(MIN(CG91*ALG90,JF91+MS91),MS91)),MS91)</f>
        <v>0</v>
      </c>
      <c r="MU91" s="20" t="n">
        <f aca="false">IF(H_Direct=1,IF(CH91&lt;=0,MT91-CH91*ALH90,MT91-MIN(MIN(CH91*ALH90,JG91+MT91),MT91)),MT91)</f>
        <v>0</v>
      </c>
      <c r="MV91" s="20" t="n">
        <f aca="false">IF(H_Direct=1,IF(CI91&lt;=0,MU91-CI91*ALI90,MU91-MIN(MIN(CI91*ALI90,JH91+MU91),MU91)),MU91)</f>
        <v>0</v>
      </c>
      <c r="MW91" s="20" t="n">
        <f aca="false">IF(H_Direct=1,IF(CJ91&lt;=0,MV91-CJ91*ALJ90,MV91-MIN(MIN(CJ91*ALJ90,JI91+MV91),MV91)),MV91)</f>
        <v>0</v>
      </c>
      <c r="MX91" s="20" t="n">
        <f aca="false">IF(H_Direct=1,IF(CK91&lt;=0,MW91-CK91*ALK90,MW91-MIN(MIN(CK91*ALK90,JJ91+MW91),MW91)),MW91)</f>
        <v>0</v>
      </c>
      <c r="MY91" s="20" t="n">
        <f aca="false">IF(H_Direct=1,IF(CL91&lt;=0,MX91-CL91*ALL90,MX91-MIN(MIN(CL91*ALL90,JK91+MX91),MX91)),MX91)</f>
        <v>0</v>
      </c>
      <c r="MZ91" s="20" t="n">
        <f aca="false">IF(H_Direct=1,IF(CM91&lt;=0,MY91-CM91*ALM90,MY91-MIN(MIN(CM91*ALM90,JL91+MY91),MY91)),MY91)</f>
        <v>0</v>
      </c>
      <c r="NA91" s="20" t="n">
        <f aca="false">IF(H_Direct=1,IF(CN91&lt;=0,MZ91-CN91*ALN90,MZ91-MIN(MIN(CN91*ALN90,JM91+MZ91),MZ91)),MZ91)</f>
        <v>0</v>
      </c>
      <c r="NB91" s="20" t="n">
        <f aca="false">IF(H_Direct=1,IF(CO91&lt;=0,NA91-CO91*ALO90,NA91-MIN(MIN(CO91*ALO90,JN91+NA91),NA91)),NA91)</f>
        <v>0</v>
      </c>
      <c r="NC91" s="20" t="n">
        <f aca="false">IF(H_Direct=1,IF(CP91&lt;=0,NB91-CP91*ALP90,NB91-MIN(MIN(CP91*ALP90,JO91+NB91),NB91)),NB91)</f>
        <v>0</v>
      </c>
      <c r="ND91" s="20" t="n">
        <f aca="false">IF(H_Direct=1,IF(CQ91&lt;=0,NC91-CQ91*ALQ90,NC91-MIN(MIN(CQ91*ALQ90,JP91+NC91),NC91)),NC91)</f>
        <v>0</v>
      </c>
      <c r="NE91" s="20" t="n">
        <f aca="false">IF(H_Direct=1,IF(CR91&lt;=0,ND91-CR91*ALR90,ND91-MIN(MIN(CR91*ALR90,JQ91+ND91),ND91)),ND91)</f>
        <v>0</v>
      </c>
      <c r="NF91" s="20" t="n">
        <f aca="false">IF(H_Direct=1,IF(CS91&lt;=0,NE91-CS91*ALS90,NE91-MIN(MIN(CS91*ALS90,JR91+NE91),NE91)),NE91)</f>
        <v>0</v>
      </c>
      <c r="NG91" s="20" t="n">
        <f aca="false">IF(H_Direct=1,IF(CT91&lt;=0,NF91-CT91*ALT90,NF91-MIN(MIN(CT91*ALT90,JS91+NF91),NF91)),NF91)</f>
        <v>0</v>
      </c>
      <c r="NH91" s="20" t="n">
        <f aca="false">IF(H_Direct=1,IF(CU91&lt;=0,NG91-CU91*ALU90,NG91-MIN(MIN(CU91*ALU90,JT91+NG91),NG91)),NG91)</f>
        <v>0</v>
      </c>
      <c r="NI91" s="20" t="n">
        <f aca="false">IF(H_Direct=1,IF(CV91&lt;=0,NH91-CV91*ALV90,NH91-MIN(MIN(CV91*ALV90,JU91+NH91),NH91)),NH91)</f>
        <v>0</v>
      </c>
      <c r="NJ91" s="20" t="n">
        <f aca="false">IF(H_Direct=1,IF(CW91&lt;=0,NI91-CW91*ALW90,NI91-MIN(MIN(CW91*ALW90,JV91+NI91),NI91)),NI91)</f>
        <v>0</v>
      </c>
      <c r="NK91" s="20" t="n">
        <f aca="false">IF(H_Direct=1,IF(CX91&lt;=0,NJ91-CX91*ALX90,NJ91-MIN(MIN(CX91*ALX90,JW91+NJ91),NJ91)),NJ91)</f>
        <v>0</v>
      </c>
      <c r="NL91" s="20" t="n">
        <f aca="false">IF(H_Direct=1,IF(CY91&lt;=0,NK91-CY91*ALY90,NK91-MIN(MIN(CY91*ALY90,JX91+NK91),NK91)),NK91)</f>
        <v>0</v>
      </c>
      <c r="NM91" s="20" t="n">
        <f aca="false">IF(H_Direct=1,IF(CZ91&lt;=0,NL91-CZ91*ALZ90,NL91-MIN(MIN(CZ91*ALZ90,JY91+NL91),NL91)),NL91)</f>
        <v>0</v>
      </c>
      <c r="NN91" s="20" t="n">
        <f aca="false">IF(H_Direct=1,IF(DA91&lt;=0,NM91-DA91*AMA90,NM91-MIN(MIN(DA91*AMA90,JZ91+NM91),NM91)),NM91)</f>
        <v>0</v>
      </c>
      <c r="NO91" s="20" t="n">
        <f aca="false">IF(H_Direct=1,IF(DB91&lt;=0,NN91-DB91*AMB90,NN91-MIN(MIN(DB91*AMB90,KA91+NN91),NN91)),NN91)</f>
        <v>0</v>
      </c>
      <c r="NP91" s="20" t="n">
        <f aca="false">IF(H_Direct=1,IF(DC91&lt;=0,NO91-DC91*AMC90,NO91-MIN(MIN(DC91*AMC90,KB91+NO91),NO91)),NO91)</f>
        <v>0</v>
      </c>
      <c r="NQ91" s="20" t="n">
        <f aca="false">IF(H_Direct=1,IF(DD91&lt;=0,NP91-DD91*AMD90,NP91-MIN(MIN(DD91*AMD90,KC91+NP91),NP91)),NP91)</f>
        <v>0</v>
      </c>
      <c r="NR91" s="20" t="n">
        <f aca="false">IF(H_Direct=1,IF(DE91&lt;=0,NQ91-DE91*AME90,NQ91-MIN(MIN(DE91*AME90,KD91+NQ91),NQ91)),NQ91)</f>
        <v>0</v>
      </c>
      <c r="NS91" s="20" t="n">
        <f aca="false">IF(H_Direct=1,IF(DF91&lt;=0,NR91-DF91*AMF90,NR91-MIN(MIN(DF91*AMF90,KE91+NR91),NR91)),NR91)</f>
        <v>0</v>
      </c>
      <c r="NT91" s="20" t="n">
        <f aca="false">IF(H_Direct=1,IF(DG91&lt;=0,NS91-DG91*AMG90,NS91-MIN(MIN(DG91*AMG90,KF91+NS91),NS91)),NS91)</f>
        <v>0</v>
      </c>
      <c r="NU91" s="20" t="n">
        <f aca="false">IF(H_Direct=1,IF(DH91&lt;=0,NT91-DH91*AMH90,NT91-MIN(MIN(DH91*AMH90,KG91+NT91),NT91)),NT91)</f>
        <v>0</v>
      </c>
      <c r="NV91" s="20" t="n">
        <f aca="false">IF(H_Direct=1,IF(DI91&lt;=0,NU91-DI91*AMI90,NU91-MIN(MIN(DI91*AMI90,KH91+NU91),NU91)),NU91)</f>
        <v>0</v>
      </c>
      <c r="NW91" s="20" t="n">
        <f aca="false">IF(H_Direct=1,IF(DJ91&lt;=0,NV91-DJ91*AMJ90,NV91-MIN(MIN(DJ91*AMJ90,KI91+NV91),NV91)),NV91)</f>
        <v>0</v>
      </c>
      <c r="NX91" s="20" t="n">
        <f aca="false">IF(H_Direct=1,IF(DK91&lt;=0,NW91-DK91*AMK90,NW91-MIN(MIN(DK91*AMK90,KJ91+NW91),NW91)),NW91)</f>
        <v>0</v>
      </c>
      <c r="NY91" s="20" t="n">
        <f aca="false">IF(H_Direct=1,IF(DL91&lt;=0,NX91-DL91*AML90,NX91-MIN(MIN(DL91*AML90,KK91+NX91),NX91)),NX91)</f>
        <v>0</v>
      </c>
      <c r="NZ91" s="20" t="n">
        <f aca="false">IF(H_Direct=1,IF(DM91&lt;=0,NY91-DM91*AMM90,NY91-MIN(MIN(DM91*AMM90,KL91+NY91),NY91)),NY91)</f>
        <v>0</v>
      </c>
      <c r="OA91" s="20" t="n">
        <f aca="false">IF(H_Direct=1,IF(DN91&lt;=0,NZ91-DN91*AMN90,NZ91-MIN(MIN(DN91*AMN90,KM91+NZ91),NZ91)),NZ91)</f>
        <v>0</v>
      </c>
      <c r="OB91" s="20" t="n">
        <f aca="false">IF(H_Direct=1,IF(DO91&lt;=0,OA91-DO91*AMO90,OA91-MIN(MIN(DO91*AMO90,KN91+OA91),OA91)),OA91)</f>
        <v>0</v>
      </c>
      <c r="OC91" s="20" t="n">
        <f aca="false">IF(H_Direct=1,IF(DP91&lt;=0,OB91-DP91*AMP90,OB91-MIN(MIN(DP91*AMP90,KO91+OB91),OB91)),OB91)</f>
        <v>0</v>
      </c>
      <c r="OD91" s="20" t="n">
        <f aca="false">IF(H_Direct=1,IF(DQ91&lt;=0,OC91-DQ91*AMQ90,OC91-MIN(MIN(DQ91*AMQ90,KP91+OC91),OC91)),OC91)</f>
        <v>0</v>
      </c>
      <c r="OE91" s="20" t="n">
        <f aca="false">IF(H_Direct=1,IF(DR91&lt;=0,OD91-DR91*AMR90,OD91-MIN(MIN(DR91*AMR90,KQ91+OD91),OD91)),OD91)</f>
        <v>0</v>
      </c>
      <c r="OF91" s="20" t="n">
        <f aca="false">IF(H_Direct=1,IF(DS91&lt;=0,OE91-DS91*AMS90,OE91-MIN(MIN(DS91*AMS90,KR91+OE91),OE91)),OE91)</f>
        <v>0</v>
      </c>
      <c r="OG91" s="20" t="n">
        <f aca="false">IF(H_Direct=1,IF(DT91&lt;=0,OF91-DT91*AMT90,OF91-MIN(MIN(DT91*AMT90,KS91+OF91),OF91)),OF91)</f>
        <v>0</v>
      </c>
      <c r="OH91" s="20" t="n">
        <f aca="false">IF(H_Direct=1,IF(DU91&lt;=0,OG91-DU91*AMU90,OG91-MIN(MIN(DU91*AMU90,KT91+OG91),OG91)),OG91)</f>
        <v>0</v>
      </c>
      <c r="OI91" s="20" t="n">
        <f aca="false">IF(H_Direct=1,IF(DV91&lt;=0,OH91-DV91*AMV90,OH91-MIN(MIN(DV91*AMV90,KU91+OH91),OH91)),OH91)</f>
        <v>0</v>
      </c>
      <c r="OJ91" s="20" t="n">
        <f aca="false">IF(H_Direct=1,IF(DW91&lt;=0,OI91-DW91*AMW90,OI91-MIN(MIN(DW91*AMW90,KV91+OI91),OI91)),OI91)</f>
        <v>0</v>
      </c>
      <c r="OK91" s="20" t="n">
        <f aca="false">IF(H_Direct=1,IF(DX91&lt;=0,OJ91-DX91*AMX90,OJ91-MIN(MIN(DX91*AMX90,KW91+OJ91),OJ91)),OJ91)</f>
        <v>0</v>
      </c>
      <c r="OL91" s="20" t="n">
        <f aca="false">IF(H_Direct=1,IF(DY91&lt;=0,OK91-DY91*AMY90,OK91-MIN(MIN(DY91*AMY90,KX91+OK91),OK91)),OK91)</f>
        <v>0</v>
      </c>
      <c r="OM91" s="20" t="n">
        <f aca="false">IF(H_Direct=1,IF(DZ91&lt;=0,OL91-DZ91*AMZ90,OL91-MIN(MIN(DZ91*AMZ90,KY91+OL91),OL91)),OL91)</f>
        <v>0</v>
      </c>
      <c r="ON91" s="20" t="n">
        <f aca="false">IF(H_Direct=1,IF(EA91&lt;=0,OM91-EA91*ANA90,OM91-MIN(MIN(EA91*ANA90,KZ91+OM91),OM91)),OM91)</f>
        <v>0</v>
      </c>
      <c r="OO91" s="20" t="n">
        <f aca="false">IF(H_Direct=1,IF(EB91&lt;=0,ON91-EB91*ANB90,ON91-MIN(MIN(EB91*ANB90,LA91+ON91),ON91)),ON91)</f>
        <v>0</v>
      </c>
      <c r="OP91" s="20" t="n">
        <f aca="false">IF(H_Direct=1,IF(EC91&lt;=0,OO91-EC91*ANC90,OO91-MIN(MIN(EC91*ANC90,LB91+OO91),OO91)),OO91)</f>
        <v>0</v>
      </c>
      <c r="OQ91" s="20" t="n">
        <f aca="false">IF(H_Direct=1,IF(ED91&lt;=0,OP91-ED91*AND90,OP91-MIN(MIN(ED91*AND90,LC91+OP91),OP91)),OP91)</f>
        <v>0</v>
      </c>
      <c r="OR91" s="20" t="n">
        <f aca="false">IF(H_Direct=1,IF(EE91&lt;=0,OQ91-EE91*ANE90,OQ91-MIN(MIN(EE91*ANE90,LD91+OQ91),OQ91)),OQ91)</f>
        <v>0</v>
      </c>
      <c r="OS91" s="20" t="n">
        <f aca="false">IF(H_Direct=1,IF(EF91&lt;=0,OR91-EF91*ANF90,OR91-MIN(MIN(EF91*ANF90,LE91+OR91),OR91)),OR91)</f>
        <v>0</v>
      </c>
      <c r="OT91" s="20" t="n">
        <f aca="false">IF(H_Direct=1,IF(EG91&lt;=0,OS91-EG91*ANG90,OS91-MIN(MIN(EG91*ANG90,LF91+OS91),OS91)),OS91)</f>
        <v>0</v>
      </c>
      <c r="OU91" s="20" t="n">
        <f aca="false">IF(H_Direct=1,IF(EH91&lt;=0,OT91-EH91*ANH90,OT91-MIN(MIN(EH91*ANH90,LG91+OT91),OT91)),OT91)</f>
        <v>0</v>
      </c>
      <c r="OV91" s="20" t="n">
        <f aca="false">IF(H_Direct=1,IF(EI91&lt;=0,OU91-EI91*ANI90,OU91-MIN(MIN(EI91*ANI90,LH91+OU91),OU91)),OU91)</f>
        <v>0</v>
      </c>
      <c r="OW91" s="20" t="n">
        <f aca="false">IF(H_Direct=1,IF(EJ91&lt;=0,OV91-EJ91*ANJ90,OV91-MIN(MIN(EJ91*ANJ90,LI91+OV91),OV91)),OV91)</f>
        <v>0</v>
      </c>
      <c r="OX91" s="20" t="n">
        <f aca="false">IF(H_Direct=1,IF(EK91&lt;=0,OW91-EK91*ANK90,OW91-MIN(MIN(EK91*ANK90,LJ91+OW91),OW91)),OW91)</f>
        <v>0</v>
      </c>
      <c r="OY91" s="20" t="n">
        <f aca="false">IF(H_Direct=1,IF(EL91&lt;=0,OX91-EL91*ANL90,OX91-MIN(MIN(EL91*ANL90,LK91+OX91),OX91)),OX91)</f>
        <v>0</v>
      </c>
      <c r="OZ91" s="20" t="n">
        <f aca="false">IF(H_Direct=1,IF(EM91&lt;=0,OY91-EM91*ANM90,OY91-MIN(MIN(EM91*ANM90,LL91+OY91),OY91)),OY91)</f>
        <v>0</v>
      </c>
      <c r="PA91" s="20" t="n">
        <f aca="false">IF(H_Direct=1,IF(EN91&lt;=0,OZ91-EN91*ANN90,OZ91-MIN(MIN(EN91*ANN90,LM91+OZ91),OZ91)),OZ91)</f>
        <v>0</v>
      </c>
      <c r="PB91" s="20" t="n">
        <f aca="false">IF(H_Direct=1,IF(EO91&lt;=0,PA91-EO91*ANO90,PA91-MIN(MIN(EO91*ANO90,LN91+PA91),PA91)),PA91)</f>
        <v>0</v>
      </c>
      <c r="PC91" s="20" t="n">
        <f aca="false">IF(H_Direct=1,IF(EP91&lt;=0,PB91-EP91*ANP90,PB91-MIN(MIN(EP91*ANP90,LO91+PB91),PB91)),PB91)</f>
        <v>0</v>
      </c>
      <c r="PD91" s="20" t="n">
        <f aca="false">IF(H_Direct=1,IF(EQ91&lt;=0,PC91-EQ91*ANQ90,PC91-MIN(MIN(EQ91*ANQ90,LP91+PC91),PC91)),PC91)</f>
        <v>0</v>
      </c>
      <c r="PE91" s="20" t="n">
        <f aca="false">IF(H_Direct=1,IF(ER91&lt;=0,PD91-ER91*ANR90,PD91-MIN(MIN(ER91*ANR90,LQ91+PD91),PD91)),PD91)</f>
        <v>0</v>
      </c>
      <c r="PF91" s="20" t="n">
        <f aca="false">IF(H_Direct=1,IF(ES91&lt;=0,PE91-ES91*ANS90,PE91-MIN(MIN(ES91*ANS90,LR91+PE91),PE91)),PE91)</f>
        <v>0</v>
      </c>
      <c r="PG91" s="20" t="n">
        <f aca="false">IF(H_Direct=1,IF(ET91&lt;=0,PF91-ET91*ANT90,PF91-MIN(MIN(ET91*ANT90,LS91+PF91),PF91)),PF91)</f>
        <v>0</v>
      </c>
      <c r="PH91" s="20" t="n">
        <f aca="false">IF(H_Direct=1,IF(EU91&lt;=0,PG91-EU91*ANU90,PG91-MIN(MIN(EU91*ANU90,LT91+PG91),PG91)),PG91)</f>
        <v>0</v>
      </c>
      <c r="PI91" s="20" t="n">
        <f aca="false">IF(H_Direct=1,IF(EV91&lt;=0,PH91-EV91*ANV90,PH91-MIN(MIN(EV91*ANV90,LU91+PH91),PH91)),PH91)</f>
        <v>0</v>
      </c>
      <c r="PJ91" s="20" t="n">
        <f aca="false">IF(H_Direct=1,IF(EW91&lt;=0,PI91-EW91*ANW90,PI91-MIN(MIN(EW91*ANW90,LV91+PI91),PI91)),PI91)</f>
        <v>0</v>
      </c>
      <c r="PK91" s="20" t="n">
        <f aca="false">IF(H_Direct=1,IF(EX91&lt;=0,PJ91-EX91*(P91+S91),PJ91-MIN(MIN(EX91*(P91+S91),LW91+PJ91),PJ91)),PJ91)</f>
        <v>0</v>
      </c>
      <c r="PL91" s="20" t="n">
        <f aca="false">PK91</f>
        <v>0</v>
      </c>
      <c r="PM91" s="20" t="n">
        <f aca="false">PL91</f>
        <v>0</v>
      </c>
      <c r="PN91" s="20" t="n">
        <f aca="false">PM91</f>
        <v>0</v>
      </c>
      <c r="PO91" s="20" t="n">
        <f aca="false">PN91</f>
        <v>0</v>
      </c>
      <c r="PP91" s="20" t="n">
        <f aca="false">PO91</f>
        <v>0</v>
      </c>
      <c r="PQ91" s="20" t="n">
        <f aca="false">PP91</f>
        <v>0</v>
      </c>
      <c r="PR91" s="20" t="n">
        <f aca="false">IF(H_Direct=1,IF(AKR90&lt;=0,0,IF(BR91&lt;=0,MIN(MAX(0,AB91),AKR90),MIN(MAX(0,AB91),AKR90-G91*MAX(0,BR91*AKR90-(H91+I91))))),MIN(FE91,MAX(0,AB91)))</f>
        <v>0</v>
      </c>
      <c r="PS91" s="20" t="n">
        <f aca="false">IF(H_Direct=1,IF(AKS90&lt;=0,0,IF(BS91&lt;=0,MIN(MAX(0,AB91-SUM(PR91:PR91)),AKS90),MIN(MAX(0,AB91-SUM(PR91:PR91)),AKS90-G91*MAX(0,BS91*AKS90-(WR91+AAE91))))),MIN(FF91,MAX(0,AB91-SUM(PR91:PR91))))</f>
        <v>0</v>
      </c>
      <c r="PT91" s="20" t="n">
        <f aca="false">IF(H_Direct=1,IF(AKT90&lt;=0,0,IF(BT91&lt;=0,MIN(MAX(0,AB91-SUM(PR91:PS91)),AKT90),MIN(MAX(0,AB91-SUM(PR91:PS91)),AKT90-G91*MAX(0,BT91*AKT90-(WS91+AAF91))))),MIN(FG91,MAX(0,AB91-SUM(PR91:PS91))))</f>
        <v>0</v>
      </c>
      <c r="PU91" s="20" t="n">
        <f aca="false">IF(H_Direct=1,IF(AKU90&lt;=0,0,IF(BU91&lt;=0,MIN(MAX(0,AB91-SUM(PR91:PT91)),AKU90),MIN(MAX(0,AB91-SUM(PR91:PT91)),AKU90-G91*MAX(0,BU91*AKU90-(WT91+AAG91))))),MIN(FH91,MAX(0,AB91-SUM(PR91:PT91))))</f>
        <v>0</v>
      </c>
      <c r="PV91" s="20" t="n">
        <f aca="false">IF(H_Direct=1,IF(AKV90&lt;=0,0,IF(BV91&lt;=0,MIN(MAX(0,AB91-SUM(PR91:PU91)),AKV90),MIN(MAX(0,AB91-SUM(PR91:PU91)),AKV90-G91*MAX(0,BV91*AKV90-(WU91+AAH91))))),MIN(FI91,MAX(0,AB91-SUM(PR91:PU91))))</f>
        <v>0</v>
      </c>
      <c r="PW91" s="20" t="n">
        <f aca="false">IF(H_Direct=1,IF(AKW90&lt;=0,0,IF(BW91&lt;=0,MIN(MAX(0,AB91-SUM(PR91:PV91)),AKW90),MIN(MAX(0,AB91-SUM(PR91:PV91)),AKW90-G91*MAX(0,BW91*AKW90-(WV91+AAI91))))),MIN(FJ91,MAX(0,AB91-SUM(PR91:PV91))))</f>
        <v>0</v>
      </c>
      <c r="PX91" s="20" t="n">
        <f aca="false">IF(H_Direct=1,IF(AKX90&lt;=0,0,IF(BX91&lt;=0,MIN(MAX(0,AB91-SUM(PR91:PW91)),AKX90),MIN(MAX(0,AB91-SUM(PR91:PW91)),AKX90-G91*MAX(0,BX91*AKX90-(WW91+AAJ91))))),MIN(FK91,MAX(0,AB91-SUM(PR91:PW91))))</f>
        <v>0</v>
      </c>
      <c r="PY91" s="20" t="n">
        <f aca="false">IF(H_Direct=1,IF(AKY90&lt;=0,0,IF(BY91&lt;=0,MIN(MAX(0,AB91-SUM(PR91:PX91)),AKY90),MIN(MAX(0,AB91-SUM(PR91:PX91)),AKY90-G91*MAX(0,BY91*AKY90-(WX91+AAK91))))),MIN(FL91,MAX(0,AB91-SUM(PR91:PX91))))</f>
        <v>0</v>
      </c>
      <c r="PZ91" s="20" t="n">
        <f aca="false">IF(H_Direct=1,IF(AKZ90&lt;=0,0,IF(BZ91&lt;=0,MIN(MAX(0,AB91-SUM(PR91:PY91)),AKZ90),MIN(MAX(0,AB91-SUM(PR91:PY91)),AKZ90-G91*MAX(0,BZ91*AKZ90-(WY91+AAL91))))),MIN(FM91,MAX(0,AB91-SUM(PR91:PY91))))</f>
        <v>0</v>
      </c>
      <c r="QA91" s="20" t="n">
        <f aca="false">IF(H_Direct=1,IF(ALA90&lt;=0,0,IF(CA91&lt;=0,MIN(MAX(0,AB91-SUM(PR91:PZ91)),ALA90),MIN(MAX(0,AB91-SUM(PR91:PZ91)),ALA90-G91*MAX(0,CA91*ALA90-(WZ91+AAM91))))),MIN(FN91,MAX(0,AB91-SUM(PR91:PZ91))))</f>
        <v>0</v>
      </c>
      <c r="QB91" s="20" t="n">
        <f aca="false">IF(H_Direct=1,IF(ALB90&lt;=0,0,IF(CB91&lt;=0,MIN(MAX(0,AB91-SUM(PR91:QA91)),ALB90),MIN(MAX(0,AB91-SUM(PR91:QA91)),ALB90-G91*MAX(0,CB91*ALB90-(XA91+AAN91))))),MIN(FO91,MAX(0,AB91-SUM(PR91:QA91))))</f>
        <v>0</v>
      </c>
      <c r="QC91" s="20" t="n">
        <f aca="false">IF(H_Direct=1,IF(ALC90&lt;=0,0,IF(CC91&lt;=0,MIN(MAX(0,AB91-SUM(PR91:QB91)),ALC90),MIN(MAX(0,AB91-SUM(PR91:QB91)),ALC90-G91*MAX(0,CC91*ALC90-(XB91+AAO91))))),MIN(FP91,MAX(0,AB91-SUM(PR91:QB91))))</f>
        <v>0</v>
      </c>
      <c r="QD91" s="20" t="n">
        <f aca="false">IF(H_Direct=1,IF(ALD90&lt;=0,0,IF(CD91&lt;=0,MIN(MAX(0,AB91-SUM(PR91:QC91)),ALD90),MIN(MAX(0,AB91-SUM(PR91:QC91)),ALD90-G91*MAX(0,CD91*ALD90-(XC91+AAP91))))),MIN(FQ91,MAX(0,AB91-SUM(PR91:QC91))))</f>
        <v>0</v>
      </c>
      <c r="QE91" s="20" t="n">
        <f aca="false">IF(H_Direct=1,IF(ALE90&lt;=0,0,IF(CE91&lt;=0,MIN(MAX(0,AB91-SUM(PR91:QD91)),ALE90),MIN(MAX(0,AB91-SUM(PR91:QD91)),ALE90-G91*MAX(0,CE91*ALE90-(XD91+AAQ91))))),MIN(FR91,MAX(0,AB91-SUM(PR91:QD91))))</f>
        <v>0</v>
      </c>
      <c r="QF91" s="20" t="n">
        <f aca="false">IF(H_Direct=1,IF(ALF90&lt;=0,0,IF(CF91&lt;=0,MIN(MAX(0,AB91-SUM(PR91:QE91)),ALF90),MIN(MAX(0,AB91-SUM(PR91:QE91)),ALF90-G91*MAX(0,CF91*ALF90-(XE91+AAR91))))),MIN(FS91,MAX(0,AB91-SUM(PR91:QE91))))</f>
        <v>0</v>
      </c>
      <c r="QG91" s="20" t="n">
        <f aca="false">IF(H_Direct=1,IF(ALG90&lt;=0,0,IF(CG91&lt;=0,MIN(MAX(0,AB91-SUM(PR91:QF91)),ALG90),MIN(MAX(0,AB91-SUM(PR91:QF91)),ALG90-G91*MAX(0,CG91*ALG90-(XF91+AAS91))))),MIN(FT91,MAX(0,AB91-SUM(PR91:QF91))))</f>
        <v>0</v>
      </c>
      <c r="QH91" s="20" t="n">
        <f aca="false">IF(H_Direct=1,IF(ALH90&lt;=0,0,IF(CH91&lt;=0,MIN(MAX(0,AB91-SUM(PR91:QG91)),ALH90),MIN(MAX(0,AB91-SUM(PR91:QG91)),ALH90-G91*MAX(0,CH91*ALH90-(XG91+AAT91))))),MIN(FU91,MAX(0,AB91-SUM(PR91:QG91))))</f>
        <v>0</v>
      </c>
      <c r="QI91" s="20" t="n">
        <f aca="false">IF(H_Direct=1,IF(ALI90&lt;=0,0,IF(CI91&lt;=0,MIN(MAX(0,AB91-SUM(PR91:QH91)),ALI90),MIN(MAX(0,AB91-SUM(PR91:QH91)),ALI90-G91*MAX(0,CI91*ALI90-(XH91+AAU91))))),MIN(FV91,MAX(0,AB91-SUM(PR91:QH91))))</f>
        <v>0</v>
      </c>
      <c r="QJ91" s="20" t="n">
        <f aca="false">IF(H_Direct=1,IF(ALJ90&lt;=0,0,IF(CJ91&lt;=0,MIN(MAX(0,AB91-SUM(PR91:QI91)),ALJ90),MIN(MAX(0,AB91-SUM(PR91:QI91)),ALJ90-G91*MAX(0,CJ91*ALJ90-(XI91+AAV91))))),MIN(FW91,MAX(0,AB91-SUM(PR91:QI91))))</f>
        <v>0</v>
      </c>
      <c r="QK91" s="20" t="n">
        <f aca="false">IF(H_Direct=1,IF(ALK90&lt;=0,0,IF(CK91&lt;=0,MIN(MAX(0,AB91-SUM(PR91:QJ91)),ALK90),MIN(MAX(0,AB91-SUM(PR91:QJ91)),ALK90-G91*MAX(0,CK91*ALK90-(XJ91+AAW91))))),MIN(FX91,MAX(0,AB91-SUM(PR91:QJ91))))</f>
        <v>0</v>
      </c>
      <c r="QL91" s="20" t="n">
        <f aca="false">IF(H_Direct=1,IF(ALL90&lt;=0,0,IF(CL91&lt;=0,MIN(MAX(0,AB91-SUM(PR91:QK91)),ALL90),MIN(MAX(0,AB91-SUM(PR91:QK91)),ALL90-G91*MAX(0,CL91*ALL90-(XK91+AAX91))))),MIN(FY91,MAX(0,AB91-SUM(PR91:QK91))))</f>
        <v>0</v>
      </c>
      <c r="QM91" s="20" t="n">
        <f aca="false">IF(H_Direct=1,IF(ALM90&lt;=0,0,IF(CM91&lt;=0,MIN(MAX(0,AB91-SUM(PR91:QL91)),ALM90),MIN(MAX(0,AB91-SUM(PR91:QL91)),ALM90-G91*MAX(0,CM91*ALM90-(XL91+AAY91))))),MIN(FZ91,MAX(0,AB91-SUM(PR91:QL91))))</f>
        <v>0</v>
      </c>
      <c r="QN91" s="20" t="n">
        <f aca="false">IF(H_Direct=1,IF(ALN90&lt;=0,0,IF(CN91&lt;=0,MIN(MAX(0,AB91-SUM(PR91:QM91)),ALN90),MIN(MAX(0,AB91-SUM(PR91:QM91)),ALN90-G91*MAX(0,CN91*ALN90-(XM91+AAZ91))))),MIN(GA91,MAX(0,AB91-SUM(PR91:QM91))))</f>
        <v>0</v>
      </c>
      <c r="QO91" s="20" t="n">
        <f aca="false">IF(H_Direct=1,IF(ALO90&lt;=0,0,IF(CO91&lt;=0,MIN(MAX(0,AB91-SUM(PR91:QN91)),ALO90),MIN(MAX(0,AB91-SUM(PR91:QN91)),ALO90-G91*MAX(0,CO91*ALO90-(XN91+ABA91))))),MIN(GB91,MAX(0,AB91-SUM(PR91:QN91))))</f>
        <v>0</v>
      </c>
      <c r="QP91" s="20" t="n">
        <f aca="false">IF(H_Direct=1,IF(ALP90&lt;=0,0,IF(CP91&lt;=0,MIN(MAX(0,AB91-SUM(PR91:QO91)),ALP90),MIN(MAX(0,AB91-SUM(PR91:QO91)),ALP90-G91*MAX(0,CP91*ALP90-(XO91+ABB91))))),MIN(GC91,MAX(0,AB91-SUM(PR91:QO91))))</f>
        <v>0</v>
      </c>
      <c r="QQ91" s="20" t="n">
        <f aca="false">IF(H_Direct=1,IF(ALQ90&lt;=0,0,IF(CQ91&lt;=0,MIN(MAX(0,AB91-SUM(PR91:QP91)),ALQ90),MIN(MAX(0,AB91-SUM(PR91:QP91)),ALQ90-G91*MAX(0,CQ91*ALQ90-(XP91+ABC91))))),MIN(GD91,MAX(0,AB91-SUM(PR91:QP91))))</f>
        <v>0</v>
      </c>
      <c r="QR91" s="20" t="n">
        <f aca="false">IF(H_Direct=1,IF(ALR90&lt;=0,0,IF(CR91&lt;=0,MIN(MAX(0,AB91-SUM(PR91:QQ91)),ALR90),MIN(MAX(0,AB91-SUM(PR91:QQ91)),ALR90-G91*MAX(0,CR91*ALR90-(XQ91+ABD91))))),MIN(GE91,MAX(0,AB91-SUM(PR91:QQ91))))</f>
        <v>0</v>
      </c>
      <c r="QS91" s="20" t="n">
        <f aca="false">IF(H_Direct=1,IF(ALS90&lt;=0,0,IF(CS91&lt;=0,MIN(MAX(0,AB91-SUM(PR91:QR91)),ALS90),MIN(MAX(0,AB91-SUM(PR91:QR91)),ALS90-G91*MAX(0,CS91*ALS90-(XR91+ABE91))))),MIN(GF91,MAX(0,AB91-SUM(PR91:QR91))))</f>
        <v>0</v>
      </c>
      <c r="QT91" s="20" t="n">
        <f aca="false">IF(H_Direct=1,IF(ALT90&lt;=0,0,IF(CT91&lt;=0,MIN(MAX(0,AB91-SUM(PR91:QS91)),ALT90),MIN(MAX(0,AB91-SUM(PR91:QS91)),ALT90-G91*MAX(0,CT91*ALT90-(XS91+ABF91))))),MIN(GG91,MAX(0,AB91-SUM(PR91:QS91))))</f>
        <v>0</v>
      </c>
      <c r="QU91" s="20" t="n">
        <f aca="false">IF(H_Direct=1,IF(ALU90&lt;=0,0,IF(CU91&lt;=0,MIN(MAX(0,AB91-SUM(PR91:QT91)),ALU90),MIN(MAX(0,AB91-SUM(PR91:QT91)),ALU90-G91*MAX(0,CU91*ALU90-(XT91+ABG91))))),MIN(GH91,MAX(0,AB91-SUM(PR91:QT91))))</f>
        <v>0</v>
      </c>
      <c r="QV91" s="20" t="n">
        <f aca="false">IF(H_Direct=1,IF(ALV90&lt;=0,0,IF(CV91&lt;=0,MIN(MAX(0,AB91-SUM(PR91:QU91)),ALV90),MIN(MAX(0,AB91-SUM(PR91:QU91)),ALV90-G91*MAX(0,CV91*ALV90-(XU91+ABH91))))),MIN(GI91,MAX(0,AB91-SUM(PR91:QU91))))</f>
        <v>0</v>
      </c>
      <c r="QW91" s="20" t="n">
        <f aca="false">IF(H_Direct=1,IF(ALW90&lt;=0,0,IF(CW91&lt;=0,MIN(MAX(0,AB91-SUM(PR91:QV91)),ALW90),MIN(MAX(0,AB91-SUM(PR91:QV91)),ALW90-G91*MAX(0,CW91*ALW90-(XV91+ABI91))))),MIN(GJ91,MAX(0,AB91-SUM(PR91:QV91))))</f>
        <v>0</v>
      </c>
      <c r="QX91" s="20" t="n">
        <f aca="false">IF(H_Direct=1,IF(ALX90&lt;=0,0,IF(CX91&lt;=0,MIN(MAX(0,AB91-SUM(PR91:QW91)),ALX90),MIN(MAX(0,AB91-SUM(PR91:QW91)),ALX90-G91*MAX(0,CX91*ALX90-(XW91+ABJ91))))),MIN(GK91,MAX(0,AB91-SUM(PR91:QW91))))</f>
        <v>0</v>
      </c>
      <c r="QY91" s="20" t="n">
        <f aca="false">IF(H_Direct=1,IF(ALY90&lt;=0,0,IF(CY91&lt;=0,MIN(MAX(0,AB91-SUM(PR91:QX91)),ALY90),MIN(MAX(0,AB91-SUM(PR91:QX91)),ALY90-G91*MAX(0,CY91*ALY90-(XX91+ABK91))))),MIN(GL91,MAX(0,AB91-SUM(PR91:QX91))))</f>
        <v>0</v>
      </c>
      <c r="QZ91" s="20" t="n">
        <f aca="false">IF(H_Direct=1,IF(ALZ90&lt;=0,0,IF(CZ91&lt;=0,MIN(MAX(0,AB91-SUM(PR91:QY91)),ALZ90),MIN(MAX(0,AB91-SUM(PR91:QY91)),ALZ90-G91*MAX(0,CZ91*ALZ90-(XY91+ABL91))))),MIN(GM91,MAX(0,AB91-SUM(PR91:QY91))))</f>
        <v>0</v>
      </c>
      <c r="RA91" s="20" t="n">
        <f aca="false">IF(H_Direct=1,IF(AMA90&lt;=0,0,IF(DA91&lt;=0,MIN(MAX(0,AB91-SUM(PR91:QZ91)),AMA90),MIN(MAX(0,AB91-SUM(PR91:QZ91)),AMA90-G91*MAX(0,DA91*AMA90-(XZ91+ABM91))))),MIN(GN91,MAX(0,AB91-SUM(PR91:QZ91))))</f>
        <v>0</v>
      </c>
      <c r="RB91" s="20" t="n">
        <f aca="false">IF(H_Direct=1,IF(AMB90&lt;=0,0,IF(DB91&lt;=0,MIN(MAX(0,AB91-SUM(PR91:RA91)),AMB90),MIN(MAX(0,AB91-SUM(PR91:RA91)),AMB90-G91*MAX(0,DB91*AMB90-(YA91+ABN91))))),MIN(GO91,MAX(0,AB91-SUM(PR91:RA91))))</f>
        <v>0</v>
      </c>
      <c r="RC91" s="20" t="n">
        <f aca="false">IF(H_Direct=1,IF(AMC90&lt;=0,0,IF(DC91&lt;=0,MIN(MAX(0,AB91-SUM(PR91:RB91)),AMC90),MIN(MAX(0,AB91-SUM(PR91:RB91)),AMC90-G91*MAX(0,DC91*AMC90-(YB91+ABO91))))),MIN(GP91,MAX(0,AB91-SUM(PR91:RB91))))</f>
        <v>0</v>
      </c>
      <c r="RD91" s="20" t="n">
        <f aca="false">IF(H_Direct=1,IF(AMD90&lt;=0,0,IF(DD91&lt;=0,MIN(MAX(0,AB91-SUM(PR91:RC91)),AMD90),MIN(MAX(0,AB91-SUM(PR91:RC91)),AMD90-G91*MAX(0,DD91*AMD90-(YC91+ABP91))))),MIN(GQ91,MAX(0,AB91-SUM(PR91:RC91))))</f>
        <v>0</v>
      </c>
      <c r="RE91" s="20" t="n">
        <f aca="false">IF(H_Direct=1,IF(AME90&lt;=0,0,IF(DE91&lt;=0,MIN(MAX(0,AB91-SUM(PR91:RD91)),AME90),MIN(MAX(0,AB91-SUM(PR91:RD91)),AME90-G91*MAX(0,DE91*AME90-(YD91+ABQ91))))),MIN(GR91,MAX(0,AB91-SUM(PR91:RD91))))</f>
        <v>0</v>
      </c>
      <c r="RF91" s="20" t="n">
        <f aca="false">IF(H_Direct=1,IF(AMF90&lt;=0,0,IF(DF91&lt;=0,MIN(MAX(0,AB91-SUM(PR91:RE91)),AMF90),MIN(MAX(0,AB91-SUM(PR91:RE91)),AMF90-G91*MAX(0,DF91*AMF90-(YE91+ABR91))))),MIN(GS91,MAX(0,AB91-SUM(PR91:RE91))))</f>
        <v>0</v>
      </c>
      <c r="RG91" s="20" t="n">
        <f aca="false">IF(H_Direct=1,IF(AMG90&lt;=0,0,IF(DG91&lt;=0,MIN(MAX(0,AB91-SUM(PR91:RF91)),AMG90),MIN(MAX(0,AB91-SUM(PR91:RF91)),AMG90-G91*MAX(0,DG91*AMG90-(YF91+ABS91))))),MIN(GT91,MAX(0,AB91-SUM(PR91:RF91))))</f>
        <v>0</v>
      </c>
      <c r="RH91" s="20" t="n">
        <f aca="false">IF(H_Direct=1,IF(AMH90&lt;=0,0,IF(DH91&lt;=0,MIN(MAX(0,AB91-SUM(PR91:RG91)),AMH90),MIN(MAX(0,AB91-SUM(PR91:RG91)),AMH90-G91*MAX(0,DH91*AMH90-(YG91+ABT91))))),MIN(GU91,MAX(0,AB91-SUM(PR91:RG91))))</f>
        <v>0</v>
      </c>
      <c r="RI91" s="20" t="n">
        <f aca="false">IF(H_Direct=1,IF(AMI90&lt;=0,0,IF(DI91&lt;=0,MIN(MAX(0,AB91-SUM(PR91:RH91)),AMI90),MIN(MAX(0,AB91-SUM(PR91:RH91)),AMI90-G91*MAX(0,DI91*AMI90-(YH91+ABU91))))),MIN(GV91,MAX(0,AB91-SUM(PR91:RH91))))</f>
        <v>0</v>
      </c>
      <c r="RJ91" s="20" t="n">
        <f aca="false">IF(H_Direct=1,IF(AMJ90&lt;=0,0,IF(DJ91&lt;=0,MIN(MAX(0,AB91-SUM(PR91:RI91)),AMJ90),MIN(MAX(0,AB91-SUM(PR91:RI91)),AMJ90-G91*MAX(0,DJ91*AMJ90-(YI91+ABV91))))),MIN(GW91,MAX(0,AB91-SUM(PR91:RI91))))</f>
        <v>0</v>
      </c>
      <c r="RK91" s="20" t="n">
        <f aca="false">IF(H_Direct=1,IF(AMK90&lt;=0,0,IF(DK91&lt;=0,MIN(MAX(0,AB91-SUM(PR91:RJ91)),AMK90),MIN(MAX(0,AB91-SUM(PR91:RJ91)),AMK90-G91*MAX(0,DK91*AMK90-(YJ91+ABW91))))),MIN(GX91,MAX(0,AB91-SUM(PR91:RJ91))))</f>
        <v>0</v>
      </c>
      <c r="RL91" s="20" t="n">
        <f aca="false">IF(H_Direct=1,IF(AML90&lt;=0,0,IF(DL91&lt;=0,MIN(MAX(0,AB91-SUM(PR91:RK91)),AML90),MIN(MAX(0,AB91-SUM(PR91:RK91)),AML90-G91*MAX(0,DL91*AML90-(YK91+ABX91))))),MIN(GY91,MAX(0,AB91-SUM(PR91:RK91))))</f>
        <v>0</v>
      </c>
      <c r="RM91" s="20" t="n">
        <f aca="false">IF(H_Direct=1,IF(AMM90&lt;=0,0,IF(DM91&lt;=0,MIN(MAX(0,AB91-SUM(PR91:RL91)),AMM90),MIN(MAX(0,AB91-SUM(PR91:RL91)),AMM90-G91*MAX(0,DM91*AMM90-(YL91+ABY91))))),MIN(GZ91,MAX(0,AB91-SUM(PR91:RL91))))</f>
        <v>0</v>
      </c>
      <c r="RN91" s="20" t="n">
        <f aca="false">IF(H_Direct=1,IF(AMN90&lt;=0,0,IF(DN91&lt;=0,MIN(MAX(0,AB91-SUM(PR91:RM91)),AMN90),MIN(MAX(0,AB91-SUM(PR91:RM91)),AMN90-G91*MAX(0,DN91*AMN90-(YM91+ABZ91))))),MIN(HA91,MAX(0,AB91-SUM(PR91:RM91))))</f>
        <v>0</v>
      </c>
      <c r="RO91" s="20" t="n">
        <f aca="false">IF(H_Direct=1,IF(AMO90&lt;=0,0,IF(DO91&lt;=0,MIN(MAX(0,AB91-SUM(PR91:RN91)),AMO90),MIN(MAX(0,AB91-SUM(PR91:RN91)),AMO90-G91*MAX(0,DO91*AMO90-(YN91+ACA91))))),MIN(HB91,MAX(0,AB91-SUM(PR91:RN91))))</f>
        <v>0</v>
      </c>
      <c r="RP91" s="20" t="n">
        <f aca="false">IF(H_Direct=1,IF(AMP90&lt;=0,0,IF(DP91&lt;=0,MIN(MAX(0,AB91-SUM(PR91:RO91)),AMP90),MIN(MAX(0,AB91-SUM(PR91:RO91)),AMP90-G91*MAX(0,DP91*AMP90-(YO91+ACB91))))),MIN(HC91,MAX(0,AB91-SUM(PR91:RO91))))</f>
        <v>0</v>
      </c>
      <c r="RQ91" s="20" t="n">
        <f aca="false">IF(H_Direct=1,IF(AMQ90&lt;=0,0,IF(DQ91&lt;=0,MIN(MAX(0,AB91-SUM(PR91:RP91)),AMQ90),MIN(MAX(0,AB91-SUM(PR91:RP91)),AMQ90-G91*MAX(0,DQ91*AMQ90-(YP91+ACC91))))),MIN(HD91,MAX(0,AB91-SUM(PR91:RP91))))</f>
        <v>0</v>
      </c>
      <c r="RR91" s="20" t="n">
        <f aca="false">IF(H_Direct=1,IF(AMR90&lt;=0,0,IF(DR91&lt;=0,MIN(MAX(0,AB91-SUM(PR91:RQ91)),AMR90),MIN(MAX(0,AB91-SUM(PR91:RQ91)),AMR90-G91*MAX(0,DR91*AMR90-(YQ91+ACD91))))),MIN(HE91,MAX(0,AB91-SUM(PR91:RQ91))))</f>
        <v>0</v>
      </c>
      <c r="RS91" s="20" t="n">
        <f aca="false">IF(H_Direct=1,IF(AMS90&lt;=0,0,IF(DS91&lt;=0,MIN(MAX(0,AB91-SUM(PR91:RR91)),AMS90),MIN(MAX(0,AB91-SUM(PR91:RR91)),AMS90-G91*MAX(0,DS91*AMS90-(YR91+ACE91))))),MIN(HF91,MAX(0,AB91-SUM(PR91:RR91))))</f>
        <v>0</v>
      </c>
      <c r="RT91" s="20" t="n">
        <f aca="false">IF(H_Direct=1,IF(AMT90&lt;=0,0,IF(DT91&lt;=0,MIN(MAX(0,AB91-SUM(PR91:RS91)),AMT90),MIN(MAX(0,AB91-SUM(PR91:RS91)),AMT90-G91*MAX(0,DT91*AMT90-(YS91+ACF91))))),MIN(HG91,MAX(0,AB91-SUM(PR91:RS91))))</f>
        <v>0</v>
      </c>
      <c r="RU91" s="20" t="n">
        <f aca="false">IF(H_Direct=1,IF(AMU90&lt;=0,0,IF(DU91&lt;=0,MIN(MAX(0,AB91-SUM(PR91:RT91)),AMU90),MIN(MAX(0,AB91-SUM(PR91:RT91)),AMU90-G91*MAX(0,DU91*AMU90-(YT91+ACG91))))),MIN(HH91,MAX(0,AB91-SUM(PR91:RT91))))</f>
        <v>0</v>
      </c>
      <c r="RV91" s="20" t="n">
        <f aca="false">IF(H_Direct=1,IF(AMV90&lt;=0,0,IF(DV91&lt;=0,MIN(MAX(0,AB91-SUM(PR91:RU91)),AMV90),MIN(MAX(0,AB91-SUM(PR91:RU91)),AMV90-G91*MAX(0,DV91*AMV90-(YU91+ACH91))))),MIN(HI91,MAX(0,AB91-SUM(PR91:RU91))))</f>
        <v>0</v>
      </c>
      <c r="RW91" s="20" t="n">
        <f aca="false">IF(H_Direct=1,IF(AMW90&lt;=0,0,IF(DW91&lt;=0,MIN(MAX(0,AB91-SUM(PR91:RV91)),AMW90),MIN(MAX(0,AB91-SUM(PR91:RV91)),AMW90-G91*MAX(0,DW91*AMW90-(YV91+ACI91))))),MIN(HJ91,MAX(0,AB91-SUM(PR91:RV91))))</f>
        <v>0</v>
      </c>
      <c r="RX91" s="20" t="n">
        <f aca="false">IF(H_Direct=1,IF(AMX90&lt;=0,0,IF(DX91&lt;=0,MIN(MAX(0,AB91-SUM(PR91:RW91)),AMX90),MIN(MAX(0,AB91-SUM(PR91:RW91)),AMX90-G91*MAX(0,DX91*AMX90-(YW91+ACJ91))))),MIN(HK91,MAX(0,AB91-SUM(PR91:RW91))))</f>
        <v>0</v>
      </c>
      <c r="RY91" s="20" t="n">
        <f aca="false">IF(H_Direct=1,IF(AMY90&lt;=0,0,IF(DY91&lt;=0,MIN(MAX(0,AB91-SUM(PR91:RX91)),AMY90),MIN(MAX(0,AB91-SUM(PR91:RX91)),AMY90-G91*MAX(0,DY91*AMY90-(YX91+ACK91))))),MIN(HL91,MAX(0,AB91-SUM(PR91:RX91))))</f>
        <v>0</v>
      </c>
      <c r="RZ91" s="20" t="n">
        <f aca="false">IF(H_Direct=1,IF(AMZ90&lt;=0,0,IF(DZ91&lt;=0,MIN(MAX(0,AB91-SUM(PR91:RY91)),AMZ90),MIN(MAX(0,AB91-SUM(PR91:RY91)),AMZ90-G91*MAX(0,DZ91*AMZ90-(YY91+ACL91))))),MIN(HM91,MAX(0,AB91-SUM(PR91:RY91))))</f>
        <v>0</v>
      </c>
      <c r="SA91" s="20" t="n">
        <f aca="false">IF(H_Direct=1,IF(ANA90&lt;=0,0,IF(EA91&lt;=0,MIN(MAX(0,AB91-SUM(PR91:RZ91)),ANA90),MIN(MAX(0,AB91-SUM(PR91:RZ91)),ANA90-G91*MAX(0,EA91*ANA90-(YZ91+ACM91))))),MIN(HN91,MAX(0,AB91-SUM(PR91:RZ91))))</f>
        <v>0</v>
      </c>
      <c r="SB91" s="20" t="n">
        <f aca="false">IF(H_Direct=1,IF(ANB90&lt;=0,0,IF(EB91&lt;=0,MIN(MAX(0,AB91-SUM(PR91:SA91)),ANB90),MIN(MAX(0,AB91-SUM(PR91:SA91)),ANB90-G91*MAX(0,EB91*ANB90-(ZA91+ACN91))))),MIN(HO91,MAX(0,AB91-SUM(PR91:SA91))))</f>
        <v>0</v>
      </c>
      <c r="SC91" s="20" t="n">
        <f aca="false">IF(H_Direct=1,IF(ANC90&lt;=0,0,IF(EC91&lt;=0,MIN(MAX(0,AB91-SUM(PR91:SB91)),ANC90),MIN(MAX(0,AB91-SUM(PR91:SB91)),ANC90-G91*MAX(0,EC91*ANC90-(ZB91+ACO91))))),MIN(HP91,MAX(0,AB91-SUM(PR91:SB91))))</f>
        <v>0</v>
      </c>
      <c r="SD91" s="20" t="n">
        <f aca="false">IF(H_Direct=1,IF(AND90&lt;=0,0,IF(ED91&lt;=0,MIN(MAX(0,AB91-SUM(PR91:SC91)),AND90),MIN(MAX(0,AB91-SUM(PR91:SC91)),AND90-G91*MAX(0,ED91*AND90-(ZC91+ACP91))))),MIN(HQ91,MAX(0,AB91-SUM(PR91:SC91))))</f>
        <v>0</v>
      </c>
      <c r="SE91" s="20" t="n">
        <f aca="false">IF(H_Direct=1,IF(ANE90&lt;=0,0,IF(EE91&lt;=0,MIN(MAX(0,AB91-SUM(PR91:SD91)),ANE90),MIN(MAX(0,AB91-SUM(PR91:SD91)),ANE90-G91*MAX(0,EE91*ANE90-(ZD91+ACQ91))))),MIN(HR91,MAX(0,AB91-SUM(PR91:SD91))))</f>
        <v>0</v>
      </c>
      <c r="SF91" s="20" t="n">
        <f aca="false">IF(H_Direct=1,IF(ANF90&lt;=0,0,IF(EF91&lt;=0,MIN(MAX(0,AB91-SUM(PR91:SE91)),ANF90),MIN(MAX(0,AB91-SUM(PR91:SE91)),ANF90-G91*MAX(0,EF91*ANF90-(ZE91+ACR91))))),MIN(HS91,MAX(0,AB91-SUM(PR91:SE91))))</f>
        <v>0</v>
      </c>
      <c r="SG91" s="20" t="n">
        <f aca="false">IF(H_Direct=1,IF(ANG90&lt;=0,0,IF(EG91&lt;=0,MIN(MAX(0,AB91-SUM(PR91:SF91)),ANG90),MIN(MAX(0,AB91-SUM(PR91:SF91)),ANG90-G91*MAX(0,EG91*ANG90-(ZF91+ACS91))))),MIN(HT91,MAX(0,AB91-SUM(PR91:SF91))))</f>
        <v>0</v>
      </c>
      <c r="SH91" s="20" t="n">
        <f aca="false">IF(H_Direct=1,IF(ANH90&lt;=0,0,IF(EH91&lt;=0,MIN(MAX(0,AB91-SUM(PR91:SG91)),ANH90),MIN(MAX(0,AB91-SUM(PR91:SG91)),ANH90-G91*MAX(0,EH91*ANH90-(ZG91+ACT91))))),MIN(HU91,MAX(0,AB91-SUM(PR91:SG91))))</f>
        <v>0</v>
      </c>
      <c r="SI91" s="20" t="n">
        <f aca="false">IF(H_Direct=1,IF(ANI90&lt;=0,0,IF(EI91&lt;=0,MIN(MAX(0,AB91-SUM(PR91:SH91)),ANI90),MIN(MAX(0,AB91-SUM(PR91:SH91)),ANI90-G91*MAX(0,EI91*ANI90-(ZH91+ACU91))))),MIN(HV91,MAX(0,AB91-SUM(PR91:SH91))))</f>
        <v>0</v>
      </c>
      <c r="SJ91" s="20" t="n">
        <f aca="false">IF(H_Direct=1,IF(ANJ90&lt;=0,0,IF(EJ91&lt;=0,MIN(MAX(0,AB91-SUM(PR91:SI91)),ANJ90),MIN(MAX(0,AB91-SUM(PR91:SI91)),ANJ90-G91*MAX(0,EJ91*ANJ90-(ZI91+ACV91))))),MIN(HW91,MAX(0,AB91-SUM(PR91:SI91))))</f>
        <v>0</v>
      </c>
      <c r="SK91" s="20" t="n">
        <f aca="false">IF(H_Direct=1,IF(ANK90&lt;=0,0,IF(EK91&lt;=0,MIN(MAX(0,AB91-SUM(PR91:SJ91)),ANK90),MIN(MAX(0,AB91-SUM(PR91:SJ91)),ANK90-G91*MAX(0,EK91*ANK90-(ZJ91+ACW91))))),MIN(HX91,MAX(0,AB91-SUM(PR91:SJ91))))</f>
        <v>0</v>
      </c>
      <c r="SL91" s="20" t="n">
        <f aca="false">IF(H_Direct=1,IF(ANL90&lt;=0,0,IF(EL91&lt;=0,MIN(MAX(0,AB91-SUM(PR91:SK91)),ANL90),MIN(MAX(0,AB91-SUM(PR91:SK91)),ANL90-G91*MAX(0,EL91*ANL90-(ZK91+ACX91))))),MIN(HY91,MAX(0,AB91-SUM(PR91:SK91))))</f>
        <v>0</v>
      </c>
      <c r="SM91" s="20" t="n">
        <f aca="false">IF(H_Direct=1,IF(ANM90&lt;=0,0,IF(EM91&lt;=0,MIN(MAX(0,AB91-SUM(PR91:SL91)),ANM90),MIN(MAX(0,AB91-SUM(PR91:SL91)),ANM90-G91*MAX(0,EM91*ANM90-(ZL91+ACY91))))),MIN(HZ91,MAX(0,AB91-SUM(PR91:SL91))))</f>
        <v>0</v>
      </c>
      <c r="SN91" s="20" t="n">
        <f aca="false">IF(H_Direct=1,IF(ANN90&lt;=0,0,IF(EN91&lt;=0,MIN(MAX(0,AB91-SUM(PR91:SM91)),ANN90),MIN(MAX(0,AB91-SUM(PR91:SM91)),ANN90-G91*MAX(0,EN91*ANN90-(ZM91+ACZ91))))),MIN(IA91,MAX(0,AB91-SUM(PR91:SM91))))</f>
        <v>0</v>
      </c>
      <c r="SO91" s="20" t="n">
        <f aca="false">IF(H_Direct=1,IF(ANO90&lt;=0,0,IF(EO91&lt;=0,MIN(MAX(0,AB91-SUM(PR91:SN91)),ANO90),MIN(MAX(0,AB91-SUM(PR91:SN91)),ANO90-G91*MAX(0,EO91*ANO90-(ZN91+ADA91))))),MIN(IB91,MAX(0,AB91-SUM(PR91:SN91))))</f>
        <v>0</v>
      </c>
      <c r="SP91" s="20" t="n">
        <f aca="false">IF(H_Direct=1,IF(ANP90&lt;=0,0,IF(EP91&lt;=0,MIN(MAX(0,AB91-SUM(PR91:SO91)),ANP90),MIN(MAX(0,AB91-SUM(PR91:SO91)),ANP90-G91*MAX(0,EP91*ANP90-(ZO91+ADB91))))),MIN(IC91,MAX(0,AB91-SUM(PR91:SO91))))</f>
        <v>0</v>
      </c>
      <c r="SQ91" s="20" t="n">
        <f aca="false">IF(H_Direct=1,IF(ANQ90&lt;=0,0,IF(EQ91&lt;=0,MIN(MAX(0,AB91-SUM(PR91:SP91)),ANQ90),MIN(MAX(0,AB91-SUM(PR91:SP91)),ANQ90-G91*MAX(0,EQ91*ANQ90-(ZP91+ADC91))))),MIN(ID91,MAX(0,AB91-SUM(PR91:SP91))))</f>
        <v>0</v>
      </c>
      <c r="SR91" s="20" t="n">
        <f aca="false">IF(H_Direct=1,IF(ANR90&lt;=0,0,IF(ER91&lt;=0,MIN(MAX(0,AB91-SUM(PR91:SQ91)),ANR90),MIN(MAX(0,AB91-SUM(PR91:SQ91)),ANR90-G91*MAX(0,ER91*ANR90-(ZQ91+ADD91))))),MIN(IE91,MAX(0,AB91-SUM(PR91:SQ91))))</f>
        <v>0</v>
      </c>
      <c r="SS91" s="20" t="n">
        <f aca="false">IF(H_Direct=1,IF(ANS90&lt;=0,0,IF(ES91&lt;=0,MIN(MAX(0,AB91-SUM(PR91:SR91)),ANS90),MIN(MAX(0,AB91-SUM(PR91:SR91)),ANS90-G91*MAX(0,ES91*ANS90-(ZR91+ADE91))))),MIN(IF91,MAX(0,AB91-SUM(PR91:SR91))))</f>
        <v>0</v>
      </c>
      <c r="ST91" s="20" t="n">
        <f aca="false">IF(H_Direct=1,IF(ANT90&lt;=0,0,IF(ET91&lt;=0,MIN(MAX(0,AB91-SUM(PR91:SS91)),ANT90),MIN(MAX(0,AB91-SUM(PR91:SS91)),ANT90-G91*MAX(0,ET91*ANT90-(ZS91+ADF91))))),MIN(IG91,MAX(0,AB91-SUM(PR91:SS91))))</f>
        <v>0</v>
      </c>
      <c r="SU91" s="20" t="n">
        <f aca="false">IF(H_Direct=1,IF(ANU90&lt;=0,0,IF(EU91&lt;=0,MIN(MAX(0,AB91-SUM(PR91:ST91)),ANU90),MIN(MAX(0,AB91-SUM(PR91:ST91)),ANU90-G91*MAX(0,EU91*ANU90-(ZT91+ADG91))))),MIN(IH91,MAX(0,AB91-SUM(PR91:ST91))))</f>
        <v>0</v>
      </c>
      <c r="SV91" s="20" t="n">
        <f aca="false">IF(H_Direct=1,IF(ANV90&lt;=0,0,IF(EV91&lt;=0,MIN(MAX(0,AB91-SUM(PR91:SU91)),ANV90),MIN(MAX(0,AB91-SUM(PR91:SU91)),ANV90-G91*MAX(0,EV91*ANV90-(ZU91+ADH91))))),MIN(II91,MAX(0,AB91-SUM(PR91:SU91))))</f>
        <v>0</v>
      </c>
      <c r="SW91" s="20" t="n">
        <f aca="false">IF(H_Direct=1,IF(ANW90&lt;=0,0,IF(EW91&lt;=0,MIN(MAX(0,AB91-SUM(PR91:SV91)),ANW90),MIN(MAX(0,AB91-SUM(PR91:SV91)),ANW90-G91*MAX(0,EW91*ANW90-(ZV91+ADI91))))),MIN(IJ91,MAX(0,AB91-SUM(PR91:SV91))))</f>
        <v>0</v>
      </c>
      <c r="SX91" s="20" t="n">
        <f aca="false">IF(H_Direct=1,IF((P91+S91)&lt;=0,0,IF(EX91&lt;=0,MIN(MAX(0,AB91-SUM(PR91:SW91)),(P91+S91)),MIN(MAX(0,AB91-SUM(PR91:SW91)),(P91+S91)-G91*MAX(0,EX91*(P91+S91)-(ZW91+ADJ91))))),MIN(IK91,MAX(0,AB91-SUM(PR91:SW91))))</f>
        <v>0</v>
      </c>
      <c r="SY91" s="20" t="n">
        <v>0</v>
      </c>
      <c r="SZ91" s="20" t="n">
        <v>0</v>
      </c>
      <c r="TA91" s="20" t="n">
        <v>0</v>
      </c>
      <c r="TB91" s="20" t="n">
        <v>0</v>
      </c>
      <c r="TC91" s="20" t="n">
        <v>0</v>
      </c>
      <c r="TD91" s="20" t="n">
        <v>0</v>
      </c>
      <c r="TE91" s="20" t="n">
        <f aca="false">IF(AKR90&lt;=0,0,IF(H_Direct=1,IF(BR91&lt;=0,PR91,IF(PR91&lt;=(H91+I91)/BR91,PR91,(PR91-G91*(H91+I91))/(1-G91*BR91))),PR91/(1-MAX(0,BR91)*H_Exit)))</f>
        <v>0</v>
      </c>
      <c r="TF91" s="20" t="n">
        <f aca="false">IF(AKS90&lt;=0,0,IF(H_Direct=1,IF(BS91&lt;=0,PS91,IF(PS91&lt;=(WR91+AAE91)/BS91,PS91,(PS91-G91*(WR91+AAE91))/(1-G91*BS91))),PS91/(1-MAX(0,BS91)*H_Exit)))</f>
        <v>0</v>
      </c>
      <c r="TG91" s="20" t="n">
        <f aca="false">IF(AKT90&lt;=0,0,IF(H_Direct=1,IF(BT91&lt;=0,PT91,IF(PT91&lt;=(WS91+AAF91)/BT91,PT91,(PT91-G91*(WS91+AAF91))/(1-G91*BT91))),PT91/(1-MAX(0,BT91)*H_Exit)))</f>
        <v>0</v>
      </c>
      <c r="TH91" s="20" t="n">
        <f aca="false">IF(AKU90&lt;=0,0,IF(H_Direct=1,IF(BU91&lt;=0,PU91,IF(PU91&lt;=(WT91+AAG91)/BU91,PU91,(PU91-G91*(WT91+AAG91))/(1-G91*BU91))),PU91/(1-MAX(0,BU91)*H_Exit)))</f>
        <v>0</v>
      </c>
      <c r="TI91" s="20" t="n">
        <f aca="false">IF(AKV90&lt;=0,0,IF(H_Direct=1,IF(BV91&lt;=0,PV91,IF(PV91&lt;=(WU91+AAH91)/BV91,PV91,(PV91-G91*(WU91+AAH91))/(1-G91*BV91))),PV91/(1-MAX(0,BV91)*H_Exit)))</f>
        <v>0</v>
      </c>
      <c r="TJ91" s="20" t="n">
        <f aca="false">IF(AKW90&lt;=0,0,IF(H_Direct=1,IF(BW91&lt;=0,PW91,IF(PW91&lt;=(WV91+AAI91)/BW91,PW91,(PW91-G91*(WV91+AAI91))/(1-G91*BW91))),PW91/(1-MAX(0,BW91)*H_Exit)))</f>
        <v>0</v>
      </c>
      <c r="TK91" s="20" t="n">
        <f aca="false">IF(AKX90&lt;=0,0,IF(H_Direct=1,IF(BX91&lt;=0,PX91,IF(PX91&lt;=(WW91+AAJ91)/BX91,PX91,(PX91-G91*(WW91+AAJ91))/(1-G91*BX91))),PX91/(1-MAX(0,BX91)*H_Exit)))</f>
        <v>0</v>
      </c>
      <c r="TL91" s="20" t="n">
        <f aca="false">IF(AKY90&lt;=0,0,IF(H_Direct=1,IF(BY91&lt;=0,PY91,IF(PY91&lt;=(WX91+AAK91)/BY91,PY91,(PY91-G91*(WX91+AAK91))/(1-G91*BY91))),PY91/(1-MAX(0,BY91)*H_Exit)))</f>
        <v>0</v>
      </c>
      <c r="TM91" s="20" t="n">
        <f aca="false">IF(AKZ90&lt;=0,0,IF(H_Direct=1,IF(BZ91&lt;=0,PZ91,IF(PZ91&lt;=(WY91+AAL91)/BZ91,PZ91,(PZ91-G91*(WY91+AAL91))/(1-G91*BZ91))),PZ91/(1-MAX(0,BZ91)*H_Exit)))</f>
        <v>0</v>
      </c>
      <c r="TN91" s="20" t="n">
        <f aca="false">IF(ALA90&lt;=0,0,IF(H_Direct=1,IF(CA91&lt;=0,QA91,IF(QA91&lt;=(WZ91+AAM91)/CA91,QA91,(QA91-G91*(WZ91+AAM91))/(1-G91*CA91))),QA91/(1-MAX(0,CA91)*H_Exit)))</f>
        <v>0</v>
      </c>
      <c r="TO91" s="20" t="n">
        <f aca="false">IF(ALB90&lt;=0,0,IF(H_Direct=1,IF(CB91&lt;=0,QB91,IF(QB91&lt;=(XA91+AAN91)/CB91,QB91,(QB91-G91*(XA91+AAN91))/(1-G91*CB91))),QB91/(1-MAX(0,CB91)*H_Exit)))</f>
        <v>0</v>
      </c>
      <c r="TP91" s="20" t="n">
        <f aca="false">IF(ALC90&lt;=0,0,IF(H_Direct=1,IF(CC91&lt;=0,QC91,IF(QC91&lt;=(XB91+AAO91)/CC91,QC91,(QC91-G91*(XB91+AAO91))/(1-G91*CC91))),QC91/(1-MAX(0,CC91)*H_Exit)))</f>
        <v>0</v>
      </c>
      <c r="TQ91" s="20" t="n">
        <f aca="false">IF(ALD90&lt;=0,0,IF(H_Direct=1,IF(CD91&lt;=0,QD91,IF(QD91&lt;=(XC91+AAP91)/CD91,QD91,(QD91-G91*(XC91+AAP91))/(1-G91*CD91))),QD91/(1-MAX(0,CD91)*H_Exit)))</f>
        <v>0</v>
      </c>
      <c r="TR91" s="20" t="n">
        <f aca="false">IF(ALE90&lt;=0,0,IF(H_Direct=1,IF(CE91&lt;=0,QE91,IF(QE91&lt;=(XD91+AAQ91)/CE91,QE91,(QE91-G91*(XD91+AAQ91))/(1-G91*CE91))),QE91/(1-MAX(0,CE91)*H_Exit)))</f>
        <v>0</v>
      </c>
      <c r="TS91" s="20" t="n">
        <f aca="false">IF(ALF90&lt;=0,0,IF(H_Direct=1,IF(CF91&lt;=0,QF91,IF(QF91&lt;=(XE91+AAR91)/CF91,QF91,(QF91-G91*(XE91+AAR91))/(1-G91*CF91))),QF91/(1-MAX(0,CF91)*H_Exit)))</f>
        <v>0</v>
      </c>
      <c r="TT91" s="20" t="n">
        <f aca="false">IF(ALG90&lt;=0,0,IF(H_Direct=1,IF(CG91&lt;=0,QG91,IF(QG91&lt;=(XF91+AAS91)/CG91,QG91,(QG91-G91*(XF91+AAS91))/(1-G91*CG91))),QG91/(1-MAX(0,CG91)*H_Exit)))</f>
        <v>0</v>
      </c>
      <c r="TU91" s="20" t="n">
        <f aca="false">IF(ALH90&lt;=0,0,IF(H_Direct=1,IF(CH91&lt;=0,QH91,IF(QH91&lt;=(XG91+AAT91)/CH91,QH91,(QH91-G91*(XG91+AAT91))/(1-G91*CH91))),QH91/(1-MAX(0,CH91)*H_Exit)))</f>
        <v>0</v>
      </c>
      <c r="TV91" s="20" t="n">
        <f aca="false">IF(ALI90&lt;=0,0,IF(H_Direct=1,IF(CI91&lt;=0,QI91,IF(QI91&lt;=(XH91+AAU91)/CI91,QI91,(QI91-G91*(XH91+AAU91))/(1-G91*CI91))),QI91/(1-MAX(0,CI91)*H_Exit)))</f>
        <v>0</v>
      </c>
      <c r="TW91" s="20" t="n">
        <f aca="false">IF(ALJ90&lt;=0,0,IF(H_Direct=1,IF(CJ91&lt;=0,QJ91,IF(QJ91&lt;=(XI91+AAV91)/CJ91,QJ91,(QJ91-G91*(XI91+AAV91))/(1-G91*CJ91))),QJ91/(1-MAX(0,CJ91)*H_Exit)))</f>
        <v>0</v>
      </c>
      <c r="TX91" s="20" t="n">
        <f aca="false">IF(ALK90&lt;=0,0,IF(H_Direct=1,IF(CK91&lt;=0,QK91,IF(QK91&lt;=(XJ91+AAW91)/CK91,QK91,(QK91-G91*(XJ91+AAW91))/(1-G91*CK91))),QK91/(1-MAX(0,CK91)*H_Exit)))</f>
        <v>0</v>
      </c>
      <c r="TY91" s="20" t="n">
        <f aca="false">IF(ALL90&lt;=0,0,IF(H_Direct=1,IF(CL91&lt;=0,QL91,IF(QL91&lt;=(XK91+AAX91)/CL91,QL91,(QL91-G91*(XK91+AAX91))/(1-G91*CL91))),QL91/(1-MAX(0,CL91)*H_Exit)))</f>
        <v>0</v>
      </c>
      <c r="TZ91" s="20" t="n">
        <f aca="false">IF(ALM90&lt;=0,0,IF(H_Direct=1,IF(CM91&lt;=0,QM91,IF(QM91&lt;=(XL91+AAY91)/CM91,QM91,(QM91-G91*(XL91+AAY91))/(1-G91*CM91))),QM91/(1-MAX(0,CM91)*H_Exit)))</f>
        <v>0</v>
      </c>
      <c r="UA91" s="20" t="n">
        <f aca="false">IF(ALN90&lt;=0,0,IF(H_Direct=1,IF(CN91&lt;=0,QN91,IF(QN91&lt;=(XM91+AAZ91)/CN91,QN91,(QN91-G91*(XM91+AAZ91))/(1-G91*CN91))),QN91/(1-MAX(0,CN91)*H_Exit)))</f>
        <v>0</v>
      </c>
      <c r="UB91" s="20" t="n">
        <f aca="false">IF(ALO90&lt;=0,0,IF(H_Direct=1,IF(CO91&lt;=0,QO91,IF(QO91&lt;=(XN91+ABA91)/CO91,QO91,(QO91-G91*(XN91+ABA91))/(1-G91*CO91))),QO91/(1-MAX(0,CO91)*H_Exit)))</f>
        <v>0</v>
      </c>
      <c r="UC91" s="20" t="n">
        <f aca="false">IF(ALP90&lt;=0,0,IF(H_Direct=1,IF(CP91&lt;=0,QP91,IF(QP91&lt;=(XO91+ABB91)/CP91,QP91,(QP91-G91*(XO91+ABB91))/(1-G91*CP91))),QP91/(1-MAX(0,CP91)*H_Exit)))</f>
        <v>0</v>
      </c>
      <c r="UD91" s="20" t="n">
        <f aca="false">IF(ALQ90&lt;=0,0,IF(H_Direct=1,IF(CQ91&lt;=0,QQ91,IF(QQ91&lt;=(XP91+ABC91)/CQ91,QQ91,(QQ91-G91*(XP91+ABC91))/(1-G91*CQ91))),QQ91/(1-MAX(0,CQ91)*H_Exit)))</f>
        <v>0</v>
      </c>
      <c r="UE91" s="20" t="n">
        <f aca="false">IF(ALR90&lt;=0,0,IF(H_Direct=1,IF(CR91&lt;=0,QR91,IF(QR91&lt;=(XQ91+ABD91)/CR91,QR91,(QR91-G91*(XQ91+ABD91))/(1-G91*CR91))),QR91/(1-MAX(0,CR91)*H_Exit)))</f>
        <v>0</v>
      </c>
      <c r="UF91" s="20" t="n">
        <f aca="false">IF(ALS90&lt;=0,0,IF(H_Direct=1,IF(CS91&lt;=0,QS91,IF(QS91&lt;=(XR91+ABE91)/CS91,QS91,(QS91-G91*(XR91+ABE91))/(1-G91*CS91))),QS91/(1-MAX(0,CS91)*H_Exit)))</f>
        <v>0</v>
      </c>
      <c r="UG91" s="20" t="n">
        <f aca="false">IF(ALT90&lt;=0,0,IF(H_Direct=1,IF(CT91&lt;=0,QT91,IF(QT91&lt;=(XS91+ABF91)/CT91,QT91,(QT91-G91*(XS91+ABF91))/(1-G91*CT91))),QT91/(1-MAX(0,CT91)*H_Exit)))</f>
        <v>0</v>
      </c>
      <c r="UH91" s="20" t="n">
        <f aca="false">IF(ALU90&lt;=0,0,IF(H_Direct=1,IF(CU91&lt;=0,QU91,IF(QU91&lt;=(XT91+ABG91)/CU91,QU91,(QU91-G91*(XT91+ABG91))/(1-G91*CU91))),QU91/(1-MAX(0,CU91)*H_Exit)))</f>
        <v>0</v>
      </c>
      <c r="UI91" s="20" t="n">
        <f aca="false">IF(ALV90&lt;=0,0,IF(H_Direct=1,IF(CV91&lt;=0,QV91,IF(QV91&lt;=(XU91+ABH91)/CV91,QV91,(QV91-G91*(XU91+ABH91))/(1-G91*CV91))),QV91/(1-MAX(0,CV91)*H_Exit)))</f>
        <v>0</v>
      </c>
      <c r="UJ91" s="20" t="n">
        <f aca="false">IF(ALW90&lt;=0,0,IF(H_Direct=1,IF(CW91&lt;=0,QW91,IF(QW91&lt;=(XV91+ABI91)/CW91,QW91,(QW91-G91*(XV91+ABI91))/(1-G91*CW91))),QW91/(1-MAX(0,CW91)*H_Exit)))</f>
        <v>0</v>
      </c>
      <c r="UK91" s="20" t="n">
        <f aca="false">IF(ALX90&lt;=0,0,IF(H_Direct=1,IF(CX91&lt;=0,QX91,IF(QX91&lt;=(XW91+ABJ91)/CX91,QX91,(QX91-G91*(XW91+ABJ91))/(1-G91*CX91))),QX91/(1-MAX(0,CX91)*H_Exit)))</f>
        <v>0</v>
      </c>
      <c r="UL91" s="20" t="n">
        <f aca="false">IF(ALY90&lt;=0,0,IF(H_Direct=1,IF(CY91&lt;=0,QY91,IF(QY91&lt;=(XX91+ABK91)/CY91,QY91,(QY91-G91*(XX91+ABK91))/(1-G91*CY91))),QY91/(1-MAX(0,CY91)*H_Exit)))</f>
        <v>0</v>
      </c>
      <c r="UM91" s="20" t="n">
        <f aca="false">IF(ALZ90&lt;=0,0,IF(H_Direct=1,IF(CZ91&lt;=0,QZ91,IF(QZ91&lt;=(XY91+ABL91)/CZ91,QZ91,(QZ91-G91*(XY91+ABL91))/(1-G91*CZ91))),QZ91/(1-MAX(0,CZ91)*H_Exit)))</f>
        <v>0</v>
      </c>
      <c r="UN91" s="20" t="n">
        <f aca="false">IF(AMA90&lt;=0,0,IF(H_Direct=1,IF(DA91&lt;=0,RA91,IF(RA91&lt;=(XZ91+ABM91)/DA91,RA91,(RA91-G91*(XZ91+ABM91))/(1-G91*DA91))),RA91/(1-MAX(0,DA91)*H_Exit)))</f>
        <v>0</v>
      </c>
      <c r="UO91" s="20" t="n">
        <f aca="false">IF(AMB90&lt;=0,0,IF(H_Direct=1,IF(DB91&lt;=0,RB91,IF(RB91&lt;=(YA91+ABN91)/DB91,RB91,(RB91-G91*(YA91+ABN91))/(1-G91*DB91))),RB91/(1-MAX(0,DB91)*H_Exit)))</f>
        <v>0</v>
      </c>
      <c r="UP91" s="20" t="n">
        <f aca="false">IF(AMC90&lt;=0,0,IF(H_Direct=1,IF(DC91&lt;=0,RC91,IF(RC91&lt;=(YB91+ABO91)/DC91,RC91,(RC91-G91*(YB91+ABO91))/(1-G91*DC91))),RC91/(1-MAX(0,DC91)*H_Exit)))</f>
        <v>0</v>
      </c>
      <c r="UQ91" s="20" t="n">
        <f aca="false">IF(AMD90&lt;=0,0,IF(H_Direct=1,IF(DD91&lt;=0,RD91,IF(RD91&lt;=(YC91+ABP91)/DD91,RD91,(RD91-G91*(YC91+ABP91))/(1-G91*DD91))),RD91/(1-MAX(0,DD91)*H_Exit)))</f>
        <v>0</v>
      </c>
      <c r="UR91" s="20" t="n">
        <f aca="false">IF(AME90&lt;=0,0,IF(H_Direct=1,IF(DE91&lt;=0,RE91,IF(RE91&lt;=(YD91+ABQ91)/DE91,RE91,(RE91-G91*(YD91+ABQ91))/(1-G91*DE91))),RE91/(1-MAX(0,DE91)*H_Exit)))</f>
        <v>0</v>
      </c>
      <c r="US91" s="20" t="n">
        <f aca="false">IF(AMF90&lt;=0,0,IF(H_Direct=1,IF(DF91&lt;=0,RF91,IF(RF91&lt;=(YE91+ABR91)/DF91,RF91,(RF91-G91*(YE91+ABR91))/(1-G91*DF91))),RF91/(1-MAX(0,DF91)*H_Exit)))</f>
        <v>0</v>
      </c>
      <c r="UT91" s="20" t="n">
        <f aca="false">IF(AMG90&lt;=0,0,IF(H_Direct=1,IF(DG91&lt;=0,RG91,IF(RG91&lt;=(YF91+ABS91)/DG91,RG91,(RG91-G91*(YF91+ABS91))/(1-G91*DG91))),RG91/(1-MAX(0,DG91)*H_Exit)))</f>
        <v>0</v>
      </c>
      <c r="UU91" s="20" t="n">
        <f aca="false">IF(AMH90&lt;=0,0,IF(H_Direct=1,IF(DH91&lt;=0,RH91,IF(RH91&lt;=(YG91+ABT91)/DH91,RH91,(RH91-G91*(YG91+ABT91))/(1-G91*DH91))),RH91/(1-MAX(0,DH91)*H_Exit)))</f>
        <v>0</v>
      </c>
      <c r="UV91" s="20" t="n">
        <f aca="false">IF(AMI90&lt;=0,0,IF(H_Direct=1,IF(DI91&lt;=0,RI91,IF(RI91&lt;=(YH91+ABU91)/DI91,RI91,(RI91-G91*(YH91+ABU91))/(1-G91*DI91))),RI91/(1-MAX(0,DI91)*H_Exit)))</f>
        <v>0</v>
      </c>
      <c r="UW91" s="20" t="n">
        <f aca="false">IF(AMJ90&lt;=0,0,IF(H_Direct=1,IF(DJ91&lt;=0,RJ91,IF(RJ91&lt;=(YI91+ABV91)/DJ91,RJ91,(RJ91-G91*(YI91+ABV91))/(1-G91*DJ91))),RJ91/(1-MAX(0,DJ91)*H_Exit)))</f>
        <v>0</v>
      </c>
      <c r="UX91" s="20" t="n">
        <f aca="false">IF(AMK90&lt;=0,0,IF(H_Direct=1,IF(DK91&lt;=0,RK91,IF(RK91&lt;=(YJ91+ABW91)/DK91,RK91,(RK91-G91*(YJ91+ABW91))/(1-G91*DK91))),RK91/(1-MAX(0,DK91)*H_Exit)))</f>
        <v>0</v>
      </c>
      <c r="UY91" s="20" t="n">
        <f aca="false">IF(AML90&lt;=0,0,IF(H_Direct=1,IF(DL91&lt;=0,RL91,IF(RL91&lt;=(YK91+ABX91)/DL91,RL91,(RL91-G91*(YK91+ABX91))/(1-G91*DL91))),RL91/(1-MAX(0,DL91)*H_Exit)))</f>
        <v>0</v>
      </c>
      <c r="UZ91" s="20" t="n">
        <f aca="false">IF(AMM90&lt;=0,0,IF(H_Direct=1,IF(DM91&lt;=0,RM91,IF(RM91&lt;=(YL91+ABY91)/DM91,RM91,(RM91-G91*(YL91+ABY91))/(1-G91*DM91))),RM91/(1-MAX(0,DM91)*H_Exit)))</f>
        <v>0</v>
      </c>
      <c r="VA91" s="20" t="n">
        <f aca="false">IF(AMN90&lt;=0,0,IF(H_Direct=1,IF(DN91&lt;=0,RN91,IF(RN91&lt;=(YM91+ABZ91)/DN91,RN91,(RN91-G91*(YM91+ABZ91))/(1-G91*DN91))),RN91/(1-MAX(0,DN91)*H_Exit)))</f>
        <v>0</v>
      </c>
      <c r="VB91" s="20" t="n">
        <f aca="false">IF(AMO90&lt;=0,0,IF(H_Direct=1,IF(DO91&lt;=0,RO91,IF(RO91&lt;=(YN91+ACA91)/DO91,RO91,(RO91-G91*(YN91+ACA91))/(1-G91*DO91))),RO91/(1-MAX(0,DO91)*H_Exit)))</f>
        <v>0</v>
      </c>
      <c r="VC91" s="20" t="n">
        <f aca="false">IF(AMP90&lt;=0,0,IF(H_Direct=1,IF(DP91&lt;=0,RP91,IF(RP91&lt;=(YO91+ACB91)/DP91,RP91,(RP91-G91*(YO91+ACB91))/(1-G91*DP91))),RP91/(1-MAX(0,DP91)*H_Exit)))</f>
        <v>0</v>
      </c>
      <c r="VD91" s="20" t="n">
        <f aca="false">IF(AMQ90&lt;=0,0,IF(H_Direct=1,IF(DQ91&lt;=0,RQ91,IF(RQ91&lt;=(YP91+ACC91)/DQ91,RQ91,(RQ91-G91*(YP91+ACC91))/(1-G91*DQ91))),RQ91/(1-MAX(0,DQ91)*H_Exit)))</f>
        <v>0</v>
      </c>
      <c r="VE91" s="20" t="n">
        <f aca="false">IF(AMR90&lt;=0,0,IF(H_Direct=1,IF(DR91&lt;=0,RR91,IF(RR91&lt;=(YQ91+ACD91)/DR91,RR91,(RR91-G91*(YQ91+ACD91))/(1-G91*DR91))),RR91/(1-MAX(0,DR91)*H_Exit)))</f>
        <v>0</v>
      </c>
      <c r="VF91" s="20" t="n">
        <f aca="false">IF(AMS90&lt;=0,0,IF(H_Direct=1,IF(DS91&lt;=0,RS91,IF(RS91&lt;=(YR91+ACE91)/DS91,RS91,(RS91-G91*(YR91+ACE91))/(1-G91*DS91))),RS91/(1-MAX(0,DS91)*H_Exit)))</f>
        <v>0</v>
      </c>
      <c r="VG91" s="20" t="n">
        <f aca="false">IF(AMT90&lt;=0,0,IF(H_Direct=1,IF(DT91&lt;=0,RT91,IF(RT91&lt;=(YS91+ACF91)/DT91,RT91,(RT91-G91*(YS91+ACF91))/(1-G91*DT91))),RT91/(1-MAX(0,DT91)*H_Exit)))</f>
        <v>0</v>
      </c>
      <c r="VH91" s="20" t="n">
        <f aca="false">IF(AMU90&lt;=0,0,IF(H_Direct=1,IF(DU91&lt;=0,RU91,IF(RU91&lt;=(YT91+ACG91)/DU91,RU91,(RU91-G91*(YT91+ACG91))/(1-G91*DU91))),RU91/(1-MAX(0,DU91)*H_Exit)))</f>
        <v>0</v>
      </c>
      <c r="VI91" s="20" t="n">
        <f aca="false">IF(AMV90&lt;=0,0,IF(H_Direct=1,IF(DV91&lt;=0,RV91,IF(RV91&lt;=(YU91+ACH91)/DV91,RV91,(RV91-G91*(YU91+ACH91))/(1-G91*DV91))),RV91/(1-MAX(0,DV91)*H_Exit)))</f>
        <v>0</v>
      </c>
      <c r="VJ91" s="20" t="n">
        <f aca="false">IF(AMW90&lt;=0,0,IF(H_Direct=1,IF(DW91&lt;=0,RW91,IF(RW91&lt;=(YV91+ACI91)/DW91,RW91,(RW91-G91*(YV91+ACI91))/(1-G91*DW91))),RW91/(1-MAX(0,DW91)*H_Exit)))</f>
        <v>0</v>
      </c>
      <c r="VK91" s="20" t="n">
        <f aca="false">IF(AMX90&lt;=0,0,IF(H_Direct=1,IF(DX91&lt;=0,RX91,IF(RX91&lt;=(YW91+ACJ91)/DX91,RX91,(RX91-G91*(YW91+ACJ91))/(1-G91*DX91))),RX91/(1-MAX(0,DX91)*H_Exit)))</f>
        <v>0</v>
      </c>
      <c r="VL91" s="20" t="n">
        <f aca="false">IF(AMY90&lt;=0,0,IF(H_Direct=1,IF(DY91&lt;=0,RY91,IF(RY91&lt;=(YX91+ACK91)/DY91,RY91,(RY91-G91*(YX91+ACK91))/(1-G91*DY91))),RY91/(1-MAX(0,DY91)*H_Exit)))</f>
        <v>0</v>
      </c>
      <c r="VM91" s="20" t="n">
        <f aca="false">IF(AMZ90&lt;=0,0,IF(H_Direct=1,IF(DZ91&lt;=0,RZ91,IF(RZ91&lt;=(YY91+ACL91)/DZ91,RZ91,(RZ91-G91*(YY91+ACL91))/(1-G91*DZ91))),RZ91/(1-MAX(0,DZ91)*H_Exit)))</f>
        <v>0</v>
      </c>
      <c r="VN91" s="20" t="n">
        <f aca="false">IF(ANA90&lt;=0,0,IF(H_Direct=1,IF(EA91&lt;=0,SA91,IF(SA91&lt;=(YZ91+ACM91)/EA91,SA91,(SA91-G91*(YZ91+ACM91))/(1-G91*EA91))),SA91/(1-MAX(0,EA91)*H_Exit)))</f>
        <v>0</v>
      </c>
      <c r="VO91" s="20" t="n">
        <f aca="false">IF(ANB90&lt;=0,0,IF(H_Direct=1,IF(EB91&lt;=0,SB91,IF(SB91&lt;=(ZA91+ACN91)/EB91,SB91,(SB91-G91*(ZA91+ACN91))/(1-G91*EB91))),SB91/(1-MAX(0,EB91)*H_Exit)))</f>
        <v>0</v>
      </c>
      <c r="VP91" s="20" t="n">
        <f aca="false">IF(ANC90&lt;=0,0,IF(H_Direct=1,IF(EC91&lt;=0,SC91,IF(SC91&lt;=(ZB91+ACO91)/EC91,SC91,(SC91-G91*(ZB91+ACO91))/(1-G91*EC91))),SC91/(1-MAX(0,EC91)*H_Exit)))</f>
        <v>0</v>
      </c>
      <c r="VQ91" s="20" t="n">
        <f aca="false">IF(AND90&lt;=0,0,IF(H_Direct=1,IF(ED91&lt;=0,SD91,IF(SD91&lt;=(ZC91+ACP91)/ED91,SD91,(SD91-G91*(ZC91+ACP91))/(1-G91*ED91))),SD91/(1-MAX(0,ED91)*H_Exit)))</f>
        <v>0</v>
      </c>
      <c r="VR91" s="20" t="n">
        <f aca="false">IF(ANE90&lt;=0,0,IF(H_Direct=1,IF(EE91&lt;=0,SE91,IF(SE91&lt;=(ZD91+ACQ91)/EE91,SE91,(SE91-G91*(ZD91+ACQ91))/(1-G91*EE91))),SE91/(1-MAX(0,EE91)*H_Exit)))</f>
        <v>0</v>
      </c>
      <c r="VS91" s="20" t="n">
        <f aca="false">IF(ANF90&lt;=0,0,IF(H_Direct=1,IF(EF91&lt;=0,SF91,IF(SF91&lt;=(ZE91+ACR91)/EF91,SF91,(SF91-G91*(ZE91+ACR91))/(1-G91*EF91))),SF91/(1-MAX(0,EF91)*H_Exit)))</f>
        <v>0</v>
      </c>
      <c r="VT91" s="20" t="n">
        <f aca="false">IF(ANG90&lt;=0,0,IF(H_Direct=1,IF(EG91&lt;=0,SG91,IF(SG91&lt;=(ZF91+ACS91)/EG91,SG91,(SG91-G91*(ZF91+ACS91))/(1-G91*EG91))),SG91/(1-MAX(0,EG91)*H_Exit)))</f>
        <v>0</v>
      </c>
      <c r="VU91" s="20" t="n">
        <f aca="false">IF(ANH90&lt;=0,0,IF(H_Direct=1,IF(EH91&lt;=0,SH91,IF(SH91&lt;=(ZG91+ACT91)/EH91,SH91,(SH91-G91*(ZG91+ACT91))/(1-G91*EH91))),SH91/(1-MAX(0,EH91)*H_Exit)))</f>
        <v>0</v>
      </c>
      <c r="VV91" s="20" t="n">
        <f aca="false">IF(ANI90&lt;=0,0,IF(H_Direct=1,IF(EI91&lt;=0,SI91,IF(SI91&lt;=(ZH91+ACU91)/EI91,SI91,(SI91-G91*(ZH91+ACU91))/(1-G91*EI91))),SI91/(1-MAX(0,EI91)*H_Exit)))</f>
        <v>0</v>
      </c>
      <c r="VW91" s="20" t="n">
        <f aca="false">IF(ANJ90&lt;=0,0,IF(H_Direct=1,IF(EJ91&lt;=0,SJ91,IF(SJ91&lt;=(ZI91+ACV91)/EJ91,SJ91,(SJ91-G91*(ZI91+ACV91))/(1-G91*EJ91))),SJ91/(1-MAX(0,EJ91)*H_Exit)))</f>
        <v>0</v>
      </c>
      <c r="VX91" s="20" t="n">
        <f aca="false">IF(ANK90&lt;=0,0,IF(H_Direct=1,IF(EK91&lt;=0,SK91,IF(SK91&lt;=(ZJ91+ACW91)/EK91,SK91,(SK91-G91*(ZJ91+ACW91))/(1-G91*EK91))),SK91/(1-MAX(0,EK91)*H_Exit)))</f>
        <v>0</v>
      </c>
      <c r="VY91" s="20" t="n">
        <f aca="false">IF(ANL90&lt;=0,0,IF(H_Direct=1,IF(EL91&lt;=0,SL91,IF(SL91&lt;=(ZK91+ACX91)/EL91,SL91,(SL91-G91*(ZK91+ACX91))/(1-G91*EL91))),SL91/(1-MAX(0,EL91)*H_Exit)))</f>
        <v>0</v>
      </c>
      <c r="VZ91" s="20" t="n">
        <f aca="false">IF(ANM90&lt;=0,0,IF(H_Direct=1,IF(EM91&lt;=0,SM91,IF(SM91&lt;=(ZL91+ACY91)/EM91,SM91,(SM91-G91*(ZL91+ACY91))/(1-G91*EM91))),SM91/(1-MAX(0,EM91)*H_Exit)))</f>
        <v>0</v>
      </c>
      <c r="WA91" s="20" t="n">
        <f aca="false">IF(ANN90&lt;=0,0,IF(H_Direct=1,IF(EN91&lt;=0,SN91,IF(SN91&lt;=(ZM91+ACZ91)/EN91,SN91,(SN91-G91*(ZM91+ACZ91))/(1-G91*EN91))),SN91/(1-MAX(0,EN91)*H_Exit)))</f>
        <v>0</v>
      </c>
      <c r="WB91" s="20" t="n">
        <f aca="false">IF(ANO90&lt;=0,0,IF(H_Direct=1,IF(EO91&lt;=0,SO91,IF(SO91&lt;=(ZN91+ADA91)/EO91,SO91,(SO91-G91*(ZN91+ADA91))/(1-G91*EO91))),SO91/(1-MAX(0,EO91)*H_Exit)))</f>
        <v>0</v>
      </c>
      <c r="WC91" s="20" t="n">
        <f aca="false">IF(ANP90&lt;=0,0,IF(H_Direct=1,IF(EP91&lt;=0,SP91,IF(SP91&lt;=(ZO91+ADB91)/EP91,SP91,(SP91-G91*(ZO91+ADB91))/(1-G91*EP91))),SP91/(1-MAX(0,EP91)*H_Exit)))</f>
        <v>0</v>
      </c>
      <c r="WD91" s="20" t="n">
        <f aca="false">IF(ANQ90&lt;=0,0,IF(H_Direct=1,IF(EQ91&lt;=0,SQ91,IF(SQ91&lt;=(ZP91+ADC91)/EQ91,SQ91,(SQ91-G91*(ZP91+ADC91))/(1-G91*EQ91))),SQ91/(1-MAX(0,EQ91)*H_Exit)))</f>
        <v>0</v>
      </c>
      <c r="WE91" s="20" t="n">
        <f aca="false">IF(ANR90&lt;=0,0,IF(H_Direct=1,IF(ER91&lt;=0,SR91,IF(SR91&lt;=(ZQ91+ADD91)/ER91,SR91,(SR91-G91*(ZQ91+ADD91))/(1-G91*ER91))),SR91/(1-MAX(0,ER91)*H_Exit)))</f>
        <v>0</v>
      </c>
      <c r="WF91" s="20" t="n">
        <f aca="false">IF(ANS90&lt;=0,0,IF(H_Direct=1,IF(ES91&lt;=0,SS91,IF(SS91&lt;=(ZR91+ADE91)/ES91,SS91,(SS91-G91*(ZR91+ADE91))/(1-G91*ES91))),SS91/(1-MAX(0,ES91)*H_Exit)))</f>
        <v>0</v>
      </c>
      <c r="WG91" s="20" t="n">
        <f aca="false">IF(ANT90&lt;=0,0,IF(H_Direct=1,IF(ET91&lt;=0,ST91,IF(ST91&lt;=(ZS91+ADF91)/ET91,ST91,(ST91-G91*(ZS91+ADF91))/(1-G91*ET91))),ST91/(1-MAX(0,ET91)*H_Exit)))</f>
        <v>0</v>
      </c>
      <c r="WH91" s="20" t="n">
        <f aca="false">IF(ANU90&lt;=0,0,IF(H_Direct=1,IF(EU91&lt;=0,SU91,IF(SU91&lt;=(ZT91+ADG91)/EU91,SU91,(SU91-G91*(ZT91+ADG91))/(1-G91*EU91))),SU91/(1-MAX(0,EU91)*H_Exit)))</f>
        <v>0</v>
      </c>
      <c r="WI91" s="20" t="n">
        <f aca="false">IF(ANV90&lt;=0,0,IF(H_Direct=1,IF(EV91&lt;=0,SV91,IF(SV91&lt;=(ZU91+ADH91)/EV91,SV91,(SV91-G91*(ZU91+ADH91))/(1-G91*EV91))),SV91/(1-MAX(0,EV91)*H_Exit)))</f>
        <v>0</v>
      </c>
      <c r="WJ91" s="20" t="n">
        <f aca="false">IF(ANW90&lt;=0,0,IF(H_Direct=1,IF(EW91&lt;=0,SW91,IF(SW91&lt;=(ZV91+ADI91)/EW91,SW91,(SW91-G91*(ZV91+ADI91))/(1-G91*EW91))),SW91/(1-MAX(0,EW91)*H_Exit)))</f>
        <v>0</v>
      </c>
      <c r="WK91" s="20" t="n">
        <f aca="false">IF((P91+S91)&lt;=0,0,IF(H_Direct=1,IF(EX91&lt;=0,SX91,IF(SX91&lt;=(ZW91+ADJ91)/EX91,SX91,(SX91-G91*(ZW91+ADJ91))/(1-G91*EX91))),SX91/(1-MAX(0,EX91)*H_Exit)))</f>
        <v>0</v>
      </c>
      <c r="WL91" s="20" t="n">
        <v>0</v>
      </c>
      <c r="WM91" s="20" t="n">
        <v>0</v>
      </c>
      <c r="WN91" s="20" t="n">
        <v>0</v>
      </c>
      <c r="WO91" s="20" t="n">
        <v>0</v>
      </c>
      <c r="WP91" s="20" t="n">
        <v>0</v>
      </c>
      <c r="WQ91" s="20" t="n">
        <v>0</v>
      </c>
      <c r="WR91" s="20" t="n">
        <f aca="false">IF(AND(H_Direct=1,BR91&gt;0),MAX(0,H91-(MIN(BR91*TE91,(H91+I91))-MIN(MIN(BR91*TE91,(H91+I91)),I91))),H91)</f>
        <v>1270</v>
      </c>
      <c r="WS91" s="20" t="n">
        <f aca="false">IF(AND(H_Direct=1,BS91&gt;0),MAX(0,WR91-(MIN(BS91*TF91,(WR91+AAE91))-MIN(MIN(BS91*TF91,(WR91+AAE91)),AAE91))),WR91)</f>
        <v>1270</v>
      </c>
      <c r="WT91" s="20" t="n">
        <f aca="false">IF(AND(H_Direct=1,BT91&gt;0),MAX(0,WS91-(MIN(BT91*TG91,(WS91+AAF91))-MIN(MIN(BT91*TG91,(WS91+AAF91)),AAF91))),WS91)</f>
        <v>1270</v>
      </c>
      <c r="WU91" s="20" t="n">
        <f aca="false">IF(AND(H_Direct=1,BU91&gt;0),MAX(0,WT91-(MIN(BU91*TH91,(WT91+AAG91))-MIN(MIN(BU91*TH91,(WT91+AAG91)),AAG91))),WT91)</f>
        <v>1270</v>
      </c>
      <c r="WV91" s="20" t="n">
        <f aca="false">IF(AND(H_Direct=1,BV91&gt;0),MAX(0,WU91-(MIN(BV91*TI91,(WU91+AAH91))-MIN(MIN(BV91*TI91,(WU91+AAH91)),AAH91))),WU91)</f>
        <v>1270</v>
      </c>
      <c r="WW91" s="20" t="n">
        <f aca="false">IF(AND(H_Direct=1,BW91&gt;0),MAX(0,WV91-(MIN(BW91*TJ91,(WV91+AAI91))-MIN(MIN(BW91*TJ91,(WV91+AAI91)),AAI91))),WV91)</f>
        <v>1270</v>
      </c>
      <c r="WX91" s="20" t="n">
        <f aca="false">IF(AND(H_Direct=1,BX91&gt;0),MAX(0,WW91-(MIN(BX91*TK91,(WW91+AAJ91))-MIN(MIN(BX91*TK91,(WW91+AAJ91)),AAJ91))),WW91)</f>
        <v>1270</v>
      </c>
      <c r="WY91" s="20" t="n">
        <f aca="false">IF(AND(H_Direct=1,BY91&gt;0),MAX(0,WX91-(MIN(BY91*TL91,(WX91+AAK91))-MIN(MIN(BY91*TL91,(WX91+AAK91)),AAK91))),WX91)</f>
        <v>1270</v>
      </c>
      <c r="WZ91" s="20" t="n">
        <f aca="false">IF(AND(H_Direct=1,BZ91&gt;0),MAX(0,WY91-(MIN(BZ91*TM91,(WY91+AAL91))-MIN(MIN(BZ91*TM91,(WY91+AAL91)),AAL91))),WY91)</f>
        <v>1270</v>
      </c>
      <c r="XA91" s="20" t="n">
        <f aca="false">IF(AND(H_Direct=1,CA91&gt;0),MAX(0,WZ91-(MIN(CA91*TN91,(WZ91+AAM91))-MIN(MIN(CA91*TN91,(WZ91+AAM91)),AAM91))),WZ91)</f>
        <v>1270</v>
      </c>
      <c r="XB91" s="20" t="n">
        <f aca="false">IF(AND(H_Direct=1,CB91&gt;0),MAX(0,XA91-(MIN(CB91*TO91,(XA91+AAN91))-MIN(MIN(CB91*TO91,(XA91+AAN91)),AAN91))),XA91)</f>
        <v>1270</v>
      </c>
      <c r="XC91" s="20" t="n">
        <f aca="false">IF(AND(H_Direct=1,CC91&gt;0),MAX(0,XB91-(MIN(CC91*TP91,(XB91+AAO91))-MIN(MIN(CC91*TP91,(XB91+AAO91)),AAO91))),XB91)</f>
        <v>1270</v>
      </c>
      <c r="XD91" s="20" t="n">
        <f aca="false">IF(AND(H_Direct=1,CD91&gt;0),MAX(0,XC91-(MIN(CD91*TQ91,(XC91+AAP91))-MIN(MIN(CD91*TQ91,(XC91+AAP91)),AAP91))),XC91)</f>
        <v>1270</v>
      </c>
      <c r="XE91" s="20" t="n">
        <f aca="false">IF(AND(H_Direct=1,CE91&gt;0),MAX(0,XD91-(MIN(CE91*TR91,(XD91+AAQ91))-MIN(MIN(CE91*TR91,(XD91+AAQ91)),AAQ91))),XD91)</f>
        <v>1270</v>
      </c>
      <c r="XF91" s="20" t="n">
        <f aca="false">IF(AND(H_Direct=1,CF91&gt;0),MAX(0,XE91-(MIN(CF91*TS91,(XE91+AAR91))-MIN(MIN(CF91*TS91,(XE91+AAR91)),AAR91))),XE91)</f>
        <v>1270</v>
      </c>
      <c r="XG91" s="20" t="n">
        <f aca="false">IF(AND(H_Direct=1,CG91&gt;0),MAX(0,XF91-(MIN(CG91*TT91,(XF91+AAS91))-MIN(MIN(CG91*TT91,(XF91+AAS91)),AAS91))),XF91)</f>
        <v>1270</v>
      </c>
      <c r="XH91" s="20" t="n">
        <f aca="false">IF(AND(H_Direct=1,CH91&gt;0),MAX(0,XG91-(MIN(CH91*TU91,(XG91+AAT91))-MIN(MIN(CH91*TU91,(XG91+AAT91)),AAT91))),XG91)</f>
        <v>1270</v>
      </c>
      <c r="XI91" s="20" t="n">
        <f aca="false">IF(AND(H_Direct=1,CI91&gt;0),MAX(0,XH91-(MIN(CI91*TV91,(XH91+AAU91))-MIN(MIN(CI91*TV91,(XH91+AAU91)),AAU91))),XH91)</f>
        <v>1270</v>
      </c>
      <c r="XJ91" s="20" t="n">
        <f aca="false">IF(AND(H_Direct=1,CJ91&gt;0),MAX(0,XI91-(MIN(CJ91*TW91,(XI91+AAV91))-MIN(MIN(CJ91*TW91,(XI91+AAV91)),AAV91))),XI91)</f>
        <v>1270</v>
      </c>
      <c r="XK91" s="20" t="n">
        <f aca="false">IF(AND(H_Direct=1,CK91&gt;0),MAX(0,XJ91-(MIN(CK91*TX91,(XJ91+AAW91))-MIN(MIN(CK91*TX91,(XJ91+AAW91)),AAW91))),XJ91)</f>
        <v>1270</v>
      </c>
      <c r="XL91" s="20" t="n">
        <f aca="false">IF(AND(H_Direct=1,CL91&gt;0),MAX(0,XK91-(MIN(CL91*TY91,(XK91+AAX91))-MIN(MIN(CL91*TY91,(XK91+AAX91)),AAX91))),XK91)</f>
        <v>1270</v>
      </c>
      <c r="XM91" s="20" t="n">
        <f aca="false">IF(AND(H_Direct=1,CM91&gt;0),MAX(0,XL91-(MIN(CM91*TZ91,(XL91+AAY91))-MIN(MIN(CM91*TZ91,(XL91+AAY91)),AAY91))),XL91)</f>
        <v>1270</v>
      </c>
      <c r="XN91" s="20" t="n">
        <f aca="false">IF(AND(H_Direct=1,CN91&gt;0),MAX(0,XM91-(MIN(CN91*UA91,(XM91+AAZ91))-MIN(MIN(CN91*UA91,(XM91+AAZ91)),AAZ91))),XM91)</f>
        <v>1270</v>
      </c>
      <c r="XO91" s="20" t="n">
        <f aca="false">IF(AND(H_Direct=1,CO91&gt;0),MAX(0,XN91-(MIN(CO91*UB91,(XN91+ABA91))-MIN(MIN(CO91*UB91,(XN91+ABA91)),ABA91))),XN91)</f>
        <v>1270</v>
      </c>
      <c r="XP91" s="20" t="n">
        <f aca="false">IF(AND(H_Direct=1,CP91&gt;0),MAX(0,XO91-(MIN(CP91*UC91,(XO91+ABB91))-MIN(MIN(CP91*UC91,(XO91+ABB91)),ABB91))),XO91)</f>
        <v>1270</v>
      </c>
      <c r="XQ91" s="20" t="n">
        <f aca="false">IF(AND(H_Direct=1,CQ91&gt;0),MAX(0,XP91-(MIN(CQ91*UD91,(XP91+ABC91))-MIN(MIN(CQ91*UD91,(XP91+ABC91)),ABC91))),XP91)</f>
        <v>1270</v>
      </c>
      <c r="XR91" s="20" t="n">
        <f aca="false">IF(AND(H_Direct=1,CR91&gt;0),MAX(0,XQ91-(MIN(CR91*UE91,(XQ91+ABD91))-MIN(MIN(CR91*UE91,(XQ91+ABD91)),ABD91))),XQ91)</f>
        <v>1270</v>
      </c>
      <c r="XS91" s="20" t="n">
        <f aca="false">IF(AND(H_Direct=1,CS91&gt;0),MAX(0,XR91-(MIN(CS91*UF91,(XR91+ABE91))-MIN(MIN(CS91*UF91,(XR91+ABE91)),ABE91))),XR91)</f>
        <v>1270</v>
      </c>
      <c r="XT91" s="20" t="n">
        <f aca="false">IF(AND(H_Direct=1,CT91&gt;0),MAX(0,XS91-(MIN(CT91*UG91,(XS91+ABF91))-MIN(MIN(CT91*UG91,(XS91+ABF91)),ABF91))),XS91)</f>
        <v>1270</v>
      </c>
      <c r="XU91" s="20" t="n">
        <f aca="false">IF(AND(H_Direct=1,CU91&gt;0),MAX(0,XT91-(MIN(CU91*UH91,(XT91+ABG91))-MIN(MIN(CU91*UH91,(XT91+ABG91)),ABG91))),XT91)</f>
        <v>1270</v>
      </c>
      <c r="XV91" s="20" t="n">
        <f aca="false">IF(AND(H_Direct=1,CV91&gt;0),MAX(0,XU91-(MIN(CV91*UI91,(XU91+ABH91))-MIN(MIN(CV91*UI91,(XU91+ABH91)),ABH91))),XU91)</f>
        <v>1270</v>
      </c>
      <c r="XW91" s="20" t="n">
        <f aca="false">IF(AND(H_Direct=1,CW91&gt;0),MAX(0,XV91-(MIN(CW91*UJ91,(XV91+ABI91))-MIN(MIN(CW91*UJ91,(XV91+ABI91)),ABI91))),XV91)</f>
        <v>1270</v>
      </c>
      <c r="XX91" s="20" t="n">
        <f aca="false">IF(AND(H_Direct=1,CX91&gt;0),MAX(0,XW91-(MIN(CX91*UK91,(XW91+ABJ91))-MIN(MIN(CX91*UK91,(XW91+ABJ91)),ABJ91))),XW91)</f>
        <v>1270</v>
      </c>
      <c r="XY91" s="20" t="n">
        <f aca="false">IF(AND(H_Direct=1,CY91&gt;0),MAX(0,XX91-(MIN(CY91*UL91,(XX91+ABK91))-MIN(MIN(CY91*UL91,(XX91+ABK91)),ABK91))),XX91)</f>
        <v>1270</v>
      </c>
      <c r="XZ91" s="20" t="n">
        <f aca="false">IF(AND(H_Direct=1,CZ91&gt;0),MAX(0,XY91-(MIN(CZ91*UM91,(XY91+ABL91))-MIN(MIN(CZ91*UM91,(XY91+ABL91)),ABL91))),XY91)</f>
        <v>1270</v>
      </c>
      <c r="YA91" s="20" t="n">
        <f aca="false">IF(AND(H_Direct=1,DA91&gt;0),MAX(0,XZ91-(MIN(DA91*UN91,(XZ91+ABM91))-MIN(MIN(DA91*UN91,(XZ91+ABM91)),ABM91))),XZ91)</f>
        <v>1270</v>
      </c>
      <c r="YB91" s="20" t="n">
        <f aca="false">IF(AND(H_Direct=1,DB91&gt;0),MAX(0,YA91-(MIN(DB91*UO91,(YA91+ABN91))-MIN(MIN(DB91*UO91,(YA91+ABN91)),ABN91))),YA91)</f>
        <v>1270</v>
      </c>
      <c r="YC91" s="20" t="n">
        <f aca="false">IF(AND(H_Direct=1,DC91&gt;0),MAX(0,YB91-(MIN(DC91*UP91,(YB91+ABO91))-MIN(MIN(DC91*UP91,(YB91+ABO91)),ABO91))),YB91)</f>
        <v>1270</v>
      </c>
      <c r="YD91" s="20" t="n">
        <f aca="false">IF(AND(H_Direct=1,DD91&gt;0),MAX(0,YC91-(MIN(DD91*UQ91,(YC91+ABP91))-MIN(MIN(DD91*UQ91,(YC91+ABP91)),ABP91))),YC91)</f>
        <v>1270</v>
      </c>
      <c r="YE91" s="20" t="n">
        <f aca="false">IF(AND(H_Direct=1,DE91&gt;0),MAX(0,YD91-(MIN(DE91*UR91,(YD91+ABQ91))-MIN(MIN(DE91*UR91,(YD91+ABQ91)),ABQ91))),YD91)</f>
        <v>1270</v>
      </c>
      <c r="YF91" s="20" t="n">
        <f aca="false">IF(AND(H_Direct=1,DF91&gt;0),MAX(0,YE91-(MIN(DF91*US91,(YE91+ABR91))-MIN(MIN(DF91*US91,(YE91+ABR91)),ABR91))),YE91)</f>
        <v>1270</v>
      </c>
      <c r="YG91" s="20" t="n">
        <f aca="false">IF(AND(H_Direct=1,DG91&gt;0),MAX(0,YF91-(MIN(DG91*UT91,(YF91+ABS91))-MIN(MIN(DG91*UT91,(YF91+ABS91)),ABS91))),YF91)</f>
        <v>1270</v>
      </c>
      <c r="YH91" s="20" t="n">
        <f aca="false">IF(AND(H_Direct=1,DH91&gt;0),MAX(0,YG91-(MIN(DH91*UU91,(YG91+ABT91))-MIN(MIN(DH91*UU91,(YG91+ABT91)),ABT91))),YG91)</f>
        <v>1270</v>
      </c>
      <c r="YI91" s="20" t="n">
        <f aca="false">IF(AND(H_Direct=1,DI91&gt;0),MAX(0,YH91-(MIN(DI91*UV91,(YH91+ABU91))-MIN(MIN(DI91*UV91,(YH91+ABU91)),ABU91))),YH91)</f>
        <v>1270</v>
      </c>
      <c r="YJ91" s="20" t="n">
        <f aca="false">IF(AND(H_Direct=1,DJ91&gt;0),MAX(0,YI91-(MIN(DJ91*UW91,(YI91+ABV91))-MIN(MIN(DJ91*UW91,(YI91+ABV91)),ABV91))),YI91)</f>
        <v>1270</v>
      </c>
      <c r="YK91" s="20" t="n">
        <f aca="false">IF(AND(H_Direct=1,DK91&gt;0),MAX(0,YJ91-(MIN(DK91*UX91,(YJ91+ABW91))-MIN(MIN(DK91*UX91,(YJ91+ABW91)),ABW91))),YJ91)</f>
        <v>1270</v>
      </c>
      <c r="YL91" s="20" t="n">
        <f aca="false">IF(AND(H_Direct=1,DL91&gt;0),MAX(0,YK91-(MIN(DL91*UY91,(YK91+ABX91))-MIN(MIN(DL91*UY91,(YK91+ABX91)),ABX91))),YK91)</f>
        <v>1270</v>
      </c>
      <c r="YM91" s="20" t="n">
        <f aca="false">IF(AND(H_Direct=1,DM91&gt;0),MAX(0,YL91-(MIN(DM91*UZ91,(YL91+ABY91))-MIN(MIN(DM91*UZ91,(YL91+ABY91)),ABY91))),YL91)</f>
        <v>1270</v>
      </c>
      <c r="YN91" s="20" t="n">
        <f aca="false">IF(AND(H_Direct=1,DN91&gt;0),MAX(0,YM91-(MIN(DN91*VA91,(YM91+ABZ91))-MIN(MIN(DN91*VA91,(YM91+ABZ91)),ABZ91))),YM91)</f>
        <v>1270</v>
      </c>
      <c r="YO91" s="20" t="n">
        <f aca="false">IF(AND(H_Direct=1,DO91&gt;0),MAX(0,YN91-(MIN(DO91*VB91,(YN91+ACA91))-MIN(MIN(DO91*VB91,(YN91+ACA91)),ACA91))),YN91)</f>
        <v>1270</v>
      </c>
      <c r="YP91" s="20" t="n">
        <f aca="false">IF(AND(H_Direct=1,DP91&gt;0),MAX(0,YO91-(MIN(DP91*VC91,(YO91+ACB91))-MIN(MIN(DP91*VC91,(YO91+ACB91)),ACB91))),YO91)</f>
        <v>1270</v>
      </c>
      <c r="YQ91" s="20" t="n">
        <f aca="false">IF(AND(H_Direct=1,DQ91&gt;0),MAX(0,YP91-(MIN(DQ91*VD91,(YP91+ACC91))-MIN(MIN(DQ91*VD91,(YP91+ACC91)),ACC91))),YP91)</f>
        <v>1270</v>
      </c>
      <c r="YR91" s="20" t="n">
        <f aca="false">IF(AND(H_Direct=1,DR91&gt;0),MAX(0,YQ91-(MIN(DR91*VE91,(YQ91+ACD91))-MIN(MIN(DR91*VE91,(YQ91+ACD91)),ACD91))),YQ91)</f>
        <v>1270</v>
      </c>
      <c r="YS91" s="20" t="n">
        <f aca="false">IF(AND(H_Direct=1,DS91&gt;0),MAX(0,YR91-(MIN(DS91*VF91,(YR91+ACE91))-MIN(MIN(DS91*VF91,(YR91+ACE91)),ACE91))),YR91)</f>
        <v>1270</v>
      </c>
      <c r="YT91" s="20" t="n">
        <f aca="false">IF(AND(H_Direct=1,DT91&gt;0),MAX(0,YS91-(MIN(DT91*VG91,(YS91+ACF91))-MIN(MIN(DT91*VG91,(YS91+ACF91)),ACF91))),YS91)</f>
        <v>1270</v>
      </c>
      <c r="YU91" s="20" t="n">
        <f aca="false">IF(AND(H_Direct=1,DU91&gt;0),MAX(0,YT91-(MIN(DU91*VH91,(YT91+ACG91))-MIN(MIN(DU91*VH91,(YT91+ACG91)),ACG91))),YT91)</f>
        <v>1270</v>
      </c>
      <c r="YV91" s="20" t="n">
        <f aca="false">IF(AND(H_Direct=1,DV91&gt;0),MAX(0,YU91-(MIN(DV91*VI91,(YU91+ACH91))-MIN(MIN(DV91*VI91,(YU91+ACH91)),ACH91))),YU91)</f>
        <v>1270</v>
      </c>
      <c r="YW91" s="20" t="n">
        <f aca="false">IF(AND(H_Direct=1,DW91&gt;0),MAX(0,YV91-(MIN(DW91*VJ91,(YV91+ACI91))-MIN(MIN(DW91*VJ91,(YV91+ACI91)),ACI91))),YV91)</f>
        <v>1270</v>
      </c>
      <c r="YX91" s="20" t="n">
        <f aca="false">IF(AND(H_Direct=1,DX91&gt;0),MAX(0,YW91-(MIN(DX91*VK91,(YW91+ACJ91))-MIN(MIN(DX91*VK91,(YW91+ACJ91)),ACJ91))),YW91)</f>
        <v>1270</v>
      </c>
      <c r="YY91" s="20" t="n">
        <f aca="false">IF(AND(H_Direct=1,DY91&gt;0),MAX(0,YX91-(MIN(DY91*VL91,(YX91+ACK91))-MIN(MIN(DY91*VL91,(YX91+ACK91)),ACK91))),YX91)</f>
        <v>1270</v>
      </c>
      <c r="YZ91" s="20" t="n">
        <f aca="false">IF(AND(H_Direct=1,DZ91&gt;0),MAX(0,YY91-(MIN(DZ91*VM91,(YY91+ACL91))-MIN(MIN(DZ91*VM91,(YY91+ACL91)),ACL91))),YY91)</f>
        <v>1270</v>
      </c>
      <c r="ZA91" s="20" t="n">
        <f aca="false">IF(AND(H_Direct=1,EA91&gt;0),MAX(0,YZ91-(MIN(EA91*VN91,(YZ91+ACM91))-MIN(MIN(EA91*VN91,(YZ91+ACM91)),ACM91))),YZ91)</f>
        <v>1270</v>
      </c>
      <c r="ZB91" s="20" t="n">
        <f aca="false">IF(AND(H_Direct=1,EB91&gt;0),MAX(0,ZA91-(MIN(EB91*VO91,(ZA91+ACN91))-MIN(MIN(EB91*VO91,(ZA91+ACN91)),ACN91))),ZA91)</f>
        <v>1270</v>
      </c>
      <c r="ZC91" s="20" t="n">
        <f aca="false">IF(AND(H_Direct=1,EC91&gt;0),MAX(0,ZB91-(MIN(EC91*VP91,(ZB91+ACO91))-MIN(MIN(EC91*VP91,(ZB91+ACO91)),ACO91))),ZB91)</f>
        <v>1270</v>
      </c>
      <c r="ZD91" s="20" t="n">
        <f aca="false">IF(AND(H_Direct=1,ED91&gt;0),MAX(0,ZC91-(MIN(ED91*VQ91,(ZC91+ACP91))-MIN(MIN(ED91*VQ91,(ZC91+ACP91)),ACP91))),ZC91)</f>
        <v>1270</v>
      </c>
      <c r="ZE91" s="20" t="n">
        <f aca="false">IF(AND(H_Direct=1,EE91&gt;0),MAX(0,ZD91-(MIN(EE91*VR91,(ZD91+ACQ91))-MIN(MIN(EE91*VR91,(ZD91+ACQ91)),ACQ91))),ZD91)</f>
        <v>1270</v>
      </c>
      <c r="ZF91" s="20" t="n">
        <f aca="false">IF(AND(H_Direct=1,EF91&gt;0),MAX(0,ZE91-(MIN(EF91*VS91,(ZE91+ACR91))-MIN(MIN(EF91*VS91,(ZE91+ACR91)),ACR91))),ZE91)</f>
        <v>1270</v>
      </c>
      <c r="ZG91" s="20" t="n">
        <f aca="false">IF(AND(H_Direct=1,EG91&gt;0),MAX(0,ZF91-(MIN(EG91*VT91,(ZF91+ACS91))-MIN(MIN(EG91*VT91,(ZF91+ACS91)),ACS91))),ZF91)</f>
        <v>1270</v>
      </c>
      <c r="ZH91" s="20" t="n">
        <f aca="false">IF(AND(H_Direct=1,EH91&gt;0),MAX(0,ZG91-(MIN(EH91*VU91,(ZG91+ACT91))-MIN(MIN(EH91*VU91,(ZG91+ACT91)),ACT91))),ZG91)</f>
        <v>1270</v>
      </c>
      <c r="ZI91" s="20" t="n">
        <f aca="false">IF(AND(H_Direct=1,EI91&gt;0),MAX(0,ZH91-(MIN(EI91*VV91,(ZH91+ACU91))-MIN(MIN(EI91*VV91,(ZH91+ACU91)),ACU91))),ZH91)</f>
        <v>1270</v>
      </c>
      <c r="ZJ91" s="20" t="n">
        <f aca="false">IF(AND(H_Direct=1,EJ91&gt;0),MAX(0,ZI91-(MIN(EJ91*VW91,(ZI91+ACV91))-MIN(MIN(EJ91*VW91,(ZI91+ACV91)),ACV91))),ZI91)</f>
        <v>1270</v>
      </c>
      <c r="ZK91" s="20" t="n">
        <f aca="false">IF(AND(H_Direct=1,EK91&gt;0),MAX(0,ZJ91-(MIN(EK91*VX91,(ZJ91+ACW91))-MIN(MIN(EK91*VX91,(ZJ91+ACW91)),ACW91))),ZJ91)</f>
        <v>1270</v>
      </c>
      <c r="ZL91" s="20" t="n">
        <f aca="false">IF(AND(H_Direct=1,EL91&gt;0),MAX(0,ZK91-(MIN(EL91*VY91,(ZK91+ACX91))-MIN(MIN(EL91*VY91,(ZK91+ACX91)),ACX91))),ZK91)</f>
        <v>1270</v>
      </c>
      <c r="ZM91" s="20" t="n">
        <f aca="false">IF(AND(H_Direct=1,EM91&gt;0),MAX(0,ZL91-(MIN(EM91*VZ91,(ZL91+ACY91))-MIN(MIN(EM91*VZ91,(ZL91+ACY91)),ACY91))),ZL91)</f>
        <v>1270</v>
      </c>
      <c r="ZN91" s="20" t="n">
        <f aca="false">IF(AND(H_Direct=1,EN91&gt;0),MAX(0,ZM91-(MIN(EN91*WA91,(ZM91+ACZ91))-MIN(MIN(EN91*WA91,(ZM91+ACZ91)),ACZ91))),ZM91)</f>
        <v>1270</v>
      </c>
      <c r="ZO91" s="20" t="n">
        <f aca="false">IF(AND(H_Direct=1,EO91&gt;0),MAX(0,ZN91-(MIN(EO91*WB91,(ZN91+ADA91))-MIN(MIN(EO91*WB91,(ZN91+ADA91)),ADA91))),ZN91)</f>
        <v>1270</v>
      </c>
      <c r="ZP91" s="20" t="n">
        <f aca="false">IF(AND(H_Direct=1,EP91&gt;0),MAX(0,ZO91-(MIN(EP91*WC91,(ZO91+ADB91))-MIN(MIN(EP91*WC91,(ZO91+ADB91)),ADB91))),ZO91)</f>
        <v>1270</v>
      </c>
      <c r="ZQ91" s="20" t="n">
        <f aca="false">IF(AND(H_Direct=1,EQ91&gt;0),MAX(0,ZP91-(MIN(EQ91*WD91,(ZP91+ADC91))-MIN(MIN(EQ91*WD91,(ZP91+ADC91)),ADC91))),ZP91)</f>
        <v>1270</v>
      </c>
      <c r="ZR91" s="20" t="n">
        <f aca="false">IF(AND(H_Direct=1,ER91&gt;0),MAX(0,ZQ91-(MIN(ER91*WE91,(ZQ91+ADD91))-MIN(MIN(ER91*WE91,(ZQ91+ADD91)),ADD91))),ZQ91)</f>
        <v>1270</v>
      </c>
      <c r="ZS91" s="20" t="n">
        <f aca="false">IF(AND(H_Direct=1,ES91&gt;0),MAX(0,ZR91-(MIN(ES91*WF91,(ZR91+ADE91))-MIN(MIN(ES91*WF91,(ZR91+ADE91)),ADE91))),ZR91)</f>
        <v>1270</v>
      </c>
      <c r="ZT91" s="20" t="n">
        <f aca="false">IF(AND(H_Direct=1,ET91&gt;0),MAX(0,ZS91-(MIN(ET91*WG91,(ZS91+ADF91))-MIN(MIN(ET91*WG91,(ZS91+ADF91)),ADF91))),ZS91)</f>
        <v>1270</v>
      </c>
      <c r="ZU91" s="20" t="n">
        <f aca="false">IF(AND(H_Direct=1,EU91&gt;0),MAX(0,ZT91-(MIN(EU91*WH91,(ZT91+ADG91))-MIN(MIN(EU91*WH91,(ZT91+ADG91)),ADG91))),ZT91)</f>
        <v>1270</v>
      </c>
      <c r="ZV91" s="20" t="n">
        <f aca="false">IF(AND(H_Direct=1,EV91&gt;0),MAX(0,ZU91-(MIN(EV91*WI91,(ZU91+ADH91))-MIN(MIN(EV91*WI91,(ZU91+ADH91)),ADH91))),ZU91)</f>
        <v>1270</v>
      </c>
      <c r="ZW91" s="20" t="n">
        <f aca="false">IF(AND(H_Direct=1,EW91&gt;0),MAX(0,ZV91-(MIN(EW91*WJ91,(ZV91+ADI91))-MIN(MIN(EW91*WJ91,(ZV91+ADI91)),ADI91))),ZV91)</f>
        <v>1270</v>
      </c>
      <c r="ZX91" s="20" t="n">
        <f aca="false">IF(AND(H_Direct=1,EX91&gt;0),MAX(0,ZW91-(MIN(EX91*WK91,(ZW91+ADJ91))-MIN(MIN(EX91*WK91,(ZW91+ADJ91)),ADJ91))),ZW91)</f>
        <v>1270</v>
      </c>
      <c r="ZY91" s="20" t="n">
        <f aca="false">ZX91</f>
        <v>1270</v>
      </c>
      <c r="ZZ91" s="20" t="n">
        <f aca="false">ZY91</f>
        <v>1270</v>
      </c>
      <c r="AAA91" s="20" t="n">
        <f aca="false">ZZ91</f>
        <v>1270</v>
      </c>
      <c r="AAB91" s="20" t="n">
        <f aca="false">AAA91</f>
        <v>1270</v>
      </c>
      <c r="AAC91" s="20" t="n">
        <f aca="false">AAB91</f>
        <v>1270</v>
      </c>
      <c r="AAD91" s="20" t="n">
        <f aca="false">AAC91</f>
        <v>1270</v>
      </c>
      <c r="AAE91" s="20" t="n">
        <f aca="false">IF(H_Direct=1,IF(BR91&lt;=0,I91-BR91*TE91,I91-MIN(MIN(BR91*TE91,(H91+I91)),I91)),I91)</f>
        <v>0</v>
      </c>
      <c r="AAF91" s="20" t="n">
        <f aca="false">IF(H_Direct=1,IF(BS91&lt;=0,AAE91-BS91*TF91,AAE91-MIN(MIN(BS91*TF91,(WR91+AAE91)),AAE91)),AAE91)</f>
        <v>0</v>
      </c>
      <c r="AAG91" s="20" t="n">
        <f aca="false">IF(H_Direct=1,IF(BT91&lt;=0,AAF91-BT91*TG91,AAF91-MIN(MIN(BT91*TG91,(WS91+AAF91)),AAF91)),AAF91)</f>
        <v>0</v>
      </c>
      <c r="AAH91" s="20" t="n">
        <f aca="false">IF(H_Direct=1,IF(BU91&lt;=0,AAG91-BU91*TH91,AAG91-MIN(MIN(BU91*TH91,(WT91+AAG91)),AAG91)),AAG91)</f>
        <v>0</v>
      </c>
      <c r="AAI91" s="20" t="n">
        <f aca="false">IF(H_Direct=1,IF(BV91&lt;=0,AAH91-BV91*TI91,AAH91-MIN(MIN(BV91*TI91,(WU91+AAH91)),AAH91)),AAH91)</f>
        <v>0</v>
      </c>
      <c r="AAJ91" s="20" t="n">
        <f aca="false">IF(H_Direct=1,IF(BW91&lt;=0,AAI91-BW91*TJ91,AAI91-MIN(MIN(BW91*TJ91,(WV91+AAI91)),AAI91)),AAI91)</f>
        <v>0</v>
      </c>
      <c r="AAK91" s="20" t="n">
        <f aca="false">IF(H_Direct=1,IF(BX91&lt;=0,AAJ91-BX91*TK91,AAJ91-MIN(MIN(BX91*TK91,(WW91+AAJ91)),AAJ91)),AAJ91)</f>
        <v>0</v>
      </c>
      <c r="AAL91" s="20" t="n">
        <f aca="false">IF(H_Direct=1,IF(BY91&lt;=0,AAK91-BY91*TL91,AAK91-MIN(MIN(BY91*TL91,(WX91+AAK91)),AAK91)),AAK91)</f>
        <v>0</v>
      </c>
      <c r="AAM91" s="20" t="n">
        <f aca="false">IF(H_Direct=1,IF(BZ91&lt;=0,AAL91-BZ91*TM91,AAL91-MIN(MIN(BZ91*TM91,(WY91+AAL91)),AAL91)),AAL91)</f>
        <v>0</v>
      </c>
      <c r="AAN91" s="20" t="n">
        <f aca="false">IF(H_Direct=1,IF(CA91&lt;=0,AAM91-CA91*TN91,AAM91-MIN(MIN(CA91*TN91,(WZ91+AAM91)),AAM91)),AAM91)</f>
        <v>0</v>
      </c>
      <c r="AAO91" s="20" t="n">
        <f aca="false">IF(H_Direct=1,IF(CB91&lt;=0,AAN91-CB91*TO91,AAN91-MIN(MIN(CB91*TO91,(XA91+AAN91)),AAN91)),AAN91)</f>
        <v>0</v>
      </c>
      <c r="AAP91" s="20" t="n">
        <f aca="false">IF(H_Direct=1,IF(CC91&lt;=0,AAO91-CC91*TP91,AAO91-MIN(MIN(CC91*TP91,(XB91+AAO91)),AAO91)),AAO91)</f>
        <v>0</v>
      </c>
      <c r="AAQ91" s="20" t="n">
        <f aca="false">IF(H_Direct=1,IF(CD91&lt;=0,AAP91-CD91*TQ91,AAP91-MIN(MIN(CD91*TQ91,(XC91+AAP91)),AAP91)),AAP91)</f>
        <v>0</v>
      </c>
      <c r="AAR91" s="20" t="n">
        <f aca="false">IF(H_Direct=1,IF(CE91&lt;=0,AAQ91-CE91*TR91,AAQ91-MIN(MIN(CE91*TR91,(XD91+AAQ91)),AAQ91)),AAQ91)</f>
        <v>0</v>
      </c>
      <c r="AAS91" s="20" t="n">
        <f aca="false">IF(H_Direct=1,IF(CF91&lt;=0,AAR91-CF91*TS91,AAR91-MIN(MIN(CF91*TS91,(XE91+AAR91)),AAR91)),AAR91)</f>
        <v>0</v>
      </c>
      <c r="AAT91" s="20" t="n">
        <f aca="false">IF(H_Direct=1,IF(CG91&lt;=0,AAS91-CG91*TT91,AAS91-MIN(MIN(CG91*TT91,(XF91+AAS91)),AAS91)),AAS91)</f>
        <v>0</v>
      </c>
      <c r="AAU91" s="20" t="n">
        <f aca="false">IF(H_Direct=1,IF(CH91&lt;=0,AAT91-CH91*TU91,AAT91-MIN(MIN(CH91*TU91,(XG91+AAT91)),AAT91)),AAT91)</f>
        <v>0</v>
      </c>
      <c r="AAV91" s="20" t="n">
        <f aca="false">IF(H_Direct=1,IF(CI91&lt;=0,AAU91-CI91*TV91,AAU91-MIN(MIN(CI91*TV91,(XH91+AAU91)),AAU91)),AAU91)</f>
        <v>0</v>
      </c>
      <c r="AAW91" s="20" t="n">
        <f aca="false">IF(H_Direct=1,IF(CJ91&lt;=0,AAV91-CJ91*TW91,AAV91-MIN(MIN(CJ91*TW91,(XI91+AAV91)),AAV91)),AAV91)</f>
        <v>0</v>
      </c>
      <c r="AAX91" s="20" t="n">
        <f aca="false">IF(H_Direct=1,IF(CK91&lt;=0,AAW91-CK91*TX91,AAW91-MIN(MIN(CK91*TX91,(XJ91+AAW91)),AAW91)),AAW91)</f>
        <v>0</v>
      </c>
      <c r="AAY91" s="20" t="n">
        <f aca="false">IF(H_Direct=1,IF(CL91&lt;=0,AAX91-CL91*TY91,AAX91-MIN(MIN(CL91*TY91,(XK91+AAX91)),AAX91)),AAX91)</f>
        <v>0</v>
      </c>
      <c r="AAZ91" s="20" t="n">
        <f aca="false">IF(H_Direct=1,IF(CM91&lt;=0,AAY91-CM91*TZ91,AAY91-MIN(MIN(CM91*TZ91,(XL91+AAY91)),AAY91)),AAY91)</f>
        <v>0</v>
      </c>
      <c r="ABA91" s="20" t="n">
        <f aca="false">IF(H_Direct=1,IF(CN91&lt;=0,AAZ91-CN91*UA91,AAZ91-MIN(MIN(CN91*UA91,(XM91+AAZ91)),AAZ91)),AAZ91)</f>
        <v>0</v>
      </c>
      <c r="ABB91" s="20" t="n">
        <f aca="false">IF(H_Direct=1,IF(CO91&lt;=0,ABA91-CO91*UB91,ABA91-MIN(MIN(CO91*UB91,(XN91+ABA91)),ABA91)),ABA91)</f>
        <v>0</v>
      </c>
      <c r="ABC91" s="20" t="n">
        <f aca="false">IF(H_Direct=1,IF(CP91&lt;=0,ABB91-CP91*UC91,ABB91-MIN(MIN(CP91*UC91,(XO91+ABB91)),ABB91)),ABB91)</f>
        <v>0</v>
      </c>
      <c r="ABD91" s="20" t="n">
        <f aca="false">IF(H_Direct=1,IF(CQ91&lt;=0,ABC91-CQ91*UD91,ABC91-MIN(MIN(CQ91*UD91,(XP91+ABC91)),ABC91)),ABC91)</f>
        <v>0</v>
      </c>
      <c r="ABE91" s="20" t="n">
        <f aca="false">IF(H_Direct=1,IF(CR91&lt;=0,ABD91-CR91*UE91,ABD91-MIN(MIN(CR91*UE91,(XQ91+ABD91)),ABD91)),ABD91)</f>
        <v>0</v>
      </c>
      <c r="ABF91" s="20" t="n">
        <f aca="false">IF(H_Direct=1,IF(CS91&lt;=0,ABE91-CS91*UF91,ABE91-MIN(MIN(CS91*UF91,(XR91+ABE91)),ABE91)),ABE91)</f>
        <v>0</v>
      </c>
      <c r="ABG91" s="20" t="n">
        <f aca="false">IF(H_Direct=1,IF(CT91&lt;=0,ABF91-CT91*UG91,ABF91-MIN(MIN(CT91*UG91,(XS91+ABF91)),ABF91)),ABF91)</f>
        <v>0</v>
      </c>
      <c r="ABH91" s="20" t="n">
        <f aca="false">IF(H_Direct=1,IF(CU91&lt;=0,ABG91-CU91*UH91,ABG91-MIN(MIN(CU91*UH91,(XT91+ABG91)),ABG91)),ABG91)</f>
        <v>0</v>
      </c>
      <c r="ABI91" s="20" t="n">
        <f aca="false">IF(H_Direct=1,IF(CV91&lt;=0,ABH91-CV91*UI91,ABH91-MIN(MIN(CV91*UI91,(XU91+ABH91)),ABH91)),ABH91)</f>
        <v>0</v>
      </c>
      <c r="ABJ91" s="20" t="n">
        <f aca="false">IF(H_Direct=1,IF(CW91&lt;=0,ABI91-CW91*UJ91,ABI91-MIN(MIN(CW91*UJ91,(XV91+ABI91)),ABI91)),ABI91)</f>
        <v>0</v>
      </c>
      <c r="ABK91" s="20" t="n">
        <f aca="false">IF(H_Direct=1,IF(CX91&lt;=0,ABJ91-CX91*UK91,ABJ91-MIN(MIN(CX91*UK91,(XW91+ABJ91)),ABJ91)),ABJ91)</f>
        <v>0</v>
      </c>
      <c r="ABL91" s="20" t="n">
        <f aca="false">IF(H_Direct=1,IF(CY91&lt;=0,ABK91-CY91*UL91,ABK91-MIN(MIN(CY91*UL91,(XX91+ABK91)),ABK91)),ABK91)</f>
        <v>0</v>
      </c>
      <c r="ABM91" s="20" t="n">
        <f aca="false">IF(H_Direct=1,IF(CZ91&lt;=0,ABL91-CZ91*UM91,ABL91-MIN(MIN(CZ91*UM91,(XY91+ABL91)),ABL91)),ABL91)</f>
        <v>0</v>
      </c>
      <c r="ABN91" s="20" t="n">
        <f aca="false">IF(H_Direct=1,IF(DA91&lt;=0,ABM91-DA91*UN91,ABM91-MIN(MIN(DA91*UN91,(XZ91+ABM91)),ABM91)),ABM91)</f>
        <v>0</v>
      </c>
      <c r="ABO91" s="20" t="n">
        <f aca="false">IF(H_Direct=1,IF(DB91&lt;=0,ABN91-DB91*UO91,ABN91-MIN(MIN(DB91*UO91,(YA91+ABN91)),ABN91)),ABN91)</f>
        <v>0</v>
      </c>
      <c r="ABP91" s="20" t="n">
        <f aca="false">IF(H_Direct=1,IF(DC91&lt;=0,ABO91-DC91*UP91,ABO91-MIN(MIN(DC91*UP91,(YB91+ABO91)),ABO91)),ABO91)</f>
        <v>0</v>
      </c>
      <c r="ABQ91" s="20" t="n">
        <f aca="false">IF(H_Direct=1,IF(DD91&lt;=0,ABP91-DD91*UQ91,ABP91-MIN(MIN(DD91*UQ91,(YC91+ABP91)),ABP91)),ABP91)</f>
        <v>0</v>
      </c>
      <c r="ABR91" s="20" t="n">
        <f aca="false">IF(H_Direct=1,IF(DE91&lt;=0,ABQ91-DE91*UR91,ABQ91-MIN(MIN(DE91*UR91,(YD91+ABQ91)),ABQ91)),ABQ91)</f>
        <v>0</v>
      </c>
      <c r="ABS91" s="20" t="n">
        <f aca="false">IF(H_Direct=1,IF(DF91&lt;=0,ABR91-DF91*US91,ABR91-MIN(MIN(DF91*US91,(YE91+ABR91)),ABR91)),ABR91)</f>
        <v>0</v>
      </c>
      <c r="ABT91" s="20" t="n">
        <f aca="false">IF(H_Direct=1,IF(DG91&lt;=0,ABS91-DG91*UT91,ABS91-MIN(MIN(DG91*UT91,(YF91+ABS91)),ABS91)),ABS91)</f>
        <v>0</v>
      </c>
      <c r="ABU91" s="20" t="n">
        <f aca="false">IF(H_Direct=1,IF(DH91&lt;=0,ABT91-DH91*UU91,ABT91-MIN(MIN(DH91*UU91,(YG91+ABT91)),ABT91)),ABT91)</f>
        <v>0</v>
      </c>
      <c r="ABV91" s="20" t="n">
        <f aca="false">IF(H_Direct=1,IF(DI91&lt;=0,ABU91-DI91*UV91,ABU91-MIN(MIN(DI91*UV91,(YH91+ABU91)),ABU91)),ABU91)</f>
        <v>0</v>
      </c>
      <c r="ABW91" s="20" t="n">
        <f aca="false">IF(H_Direct=1,IF(DJ91&lt;=0,ABV91-DJ91*UW91,ABV91-MIN(MIN(DJ91*UW91,(YI91+ABV91)),ABV91)),ABV91)</f>
        <v>0</v>
      </c>
      <c r="ABX91" s="20" t="n">
        <f aca="false">IF(H_Direct=1,IF(DK91&lt;=0,ABW91-DK91*UX91,ABW91-MIN(MIN(DK91*UX91,(YJ91+ABW91)),ABW91)),ABW91)</f>
        <v>0</v>
      </c>
      <c r="ABY91" s="20" t="n">
        <f aca="false">IF(H_Direct=1,IF(DL91&lt;=0,ABX91-DL91*UY91,ABX91-MIN(MIN(DL91*UY91,(YK91+ABX91)),ABX91)),ABX91)</f>
        <v>0</v>
      </c>
      <c r="ABZ91" s="20" t="n">
        <f aca="false">IF(H_Direct=1,IF(DM91&lt;=0,ABY91-DM91*UZ91,ABY91-MIN(MIN(DM91*UZ91,(YL91+ABY91)),ABY91)),ABY91)</f>
        <v>0</v>
      </c>
      <c r="ACA91" s="20" t="n">
        <f aca="false">IF(H_Direct=1,IF(DN91&lt;=0,ABZ91-DN91*VA91,ABZ91-MIN(MIN(DN91*VA91,(YM91+ABZ91)),ABZ91)),ABZ91)</f>
        <v>0</v>
      </c>
      <c r="ACB91" s="20" t="n">
        <f aca="false">IF(H_Direct=1,IF(DO91&lt;=0,ACA91-DO91*VB91,ACA91-MIN(MIN(DO91*VB91,(YN91+ACA91)),ACA91)),ACA91)</f>
        <v>0</v>
      </c>
      <c r="ACC91" s="20" t="n">
        <f aca="false">IF(H_Direct=1,IF(DP91&lt;=0,ACB91-DP91*VC91,ACB91-MIN(MIN(DP91*VC91,(YO91+ACB91)),ACB91)),ACB91)</f>
        <v>0</v>
      </c>
      <c r="ACD91" s="20" t="n">
        <f aca="false">IF(H_Direct=1,IF(DQ91&lt;=0,ACC91-DQ91*VD91,ACC91-MIN(MIN(DQ91*VD91,(YP91+ACC91)),ACC91)),ACC91)</f>
        <v>0</v>
      </c>
      <c r="ACE91" s="20" t="n">
        <f aca="false">IF(H_Direct=1,IF(DR91&lt;=0,ACD91-DR91*VE91,ACD91-MIN(MIN(DR91*VE91,(YQ91+ACD91)),ACD91)),ACD91)</f>
        <v>0</v>
      </c>
      <c r="ACF91" s="20" t="n">
        <f aca="false">IF(H_Direct=1,IF(DS91&lt;=0,ACE91-DS91*VF91,ACE91-MIN(MIN(DS91*VF91,(YR91+ACE91)),ACE91)),ACE91)</f>
        <v>0</v>
      </c>
      <c r="ACG91" s="20" t="n">
        <f aca="false">IF(H_Direct=1,IF(DT91&lt;=0,ACF91-DT91*VG91,ACF91-MIN(MIN(DT91*VG91,(YS91+ACF91)),ACF91)),ACF91)</f>
        <v>0</v>
      </c>
      <c r="ACH91" s="20" t="n">
        <f aca="false">IF(H_Direct=1,IF(DU91&lt;=0,ACG91-DU91*VH91,ACG91-MIN(MIN(DU91*VH91,(YT91+ACG91)),ACG91)),ACG91)</f>
        <v>0</v>
      </c>
      <c r="ACI91" s="20" t="n">
        <f aca="false">IF(H_Direct=1,IF(DV91&lt;=0,ACH91-DV91*VI91,ACH91-MIN(MIN(DV91*VI91,(YU91+ACH91)),ACH91)),ACH91)</f>
        <v>0</v>
      </c>
      <c r="ACJ91" s="20" t="n">
        <f aca="false">IF(H_Direct=1,IF(DW91&lt;=0,ACI91-DW91*VJ91,ACI91-MIN(MIN(DW91*VJ91,(YV91+ACI91)),ACI91)),ACI91)</f>
        <v>0</v>
      </c>
      <c r="ACK91" s="20" t="n">
        <f aca="false">IF(H_Direct=1,IF(DX91&lt;=0,ACJ91-DX91*VK91,ACJ91-MIN(MIN(DX91*VK91,(YW91+ACJ91)),ACJ91)),ACJ91)</f>
        <v>0</v>
      </c>
      <c r="ACL91" s="20" t="n">
        <f aca="false">IF(H_Direct=1,IF(DY91&lt;=0,ACK91-DY91*VL91,ACK91-MIN(MIN(DY91*VL91,(YX91+ACK91)),ACK91)),ACK91)</f>
        <v>0</v>
      </c>
      <c r="ACM91" s="20" t="n">
        <f aca="false">IF(H_Direct=1,IF(DZ91&lt;=0,ACL91-DZ91*VM91,ACL91-MIN(MIN(DZ91*VM91,(YY91+ACL91)),ACL91)),ACL91)</f>
        <v>0</v>
      </c>
      <c r="ACN91" s="20" t="n">
        <f aca="false">IF(H_Direct=1,IF(EA91&lt;=0,ACM91-EA91*VN91,ACM91-MIN(MIN(EA91*VN91,(YZ91+ACM91)),ACM91)),ACM91)</f>
        <v>0</v>
      </c>
      <c r="ACO91" s="20" t="n">
        <f aca="false">IF(H_Direct=1,IF(EB91&lt;=0,ACN91-EB91*VO91,ACN91-MIN(MIN(EB91*VO91,(ZA91+ACN91)),ACN91)),ACN91)</f>
        <v>0</v>
      </c>
      <c r="ACP91" s="20" t="n">
        <f aca="false">IF(H_Direct=1,IF(EC91&lt;=0,ACO91-EC91*VP91,ACO91-MIN(MIN(EC91*VP91,(ZB91+ACO91)),ACO91)),ACO91)</f>
        <v>0</v>
      </c>
      <c r="ACQ91" s="20" t="n">
        <f aca="false">IF(H_Direct=1,IF(ED91&lt;=0,ACP91-ED91*VQ91,ACP91-MIN(MIN(ED91*VQ91,(ZC91+ACP91)),ACP91)),ACP91)</f>
        <v>0</v>
      </c>
      <c r="ACR91" s="20" t="n">
        <f aca="false">IF(H_Direct=1,IF(EE91&lt;=0,ACQ91-EE91*VR91,ACQ91-MIN(MIN(EE91*VR91,(ZD91+ACQ91)),ACQ91)),ACQ91)</f>
        <v>0</v>
      </c>
      <c r="ACS91" s="20" t="n">
        <f aca="false">IF(H_Direct=1,IF(EF91&lt;=0,ACR91-EF91*VS91,ACR91-MIN(MIN(EF91*VS91,(ZE91+ACR91)),ACR91)),ACR91)</f>
        <v>0</v>
      </c>
      <c r="ACT91" s="20" t="n">
        <f aca="false">IF(H_Direct=1,IF(EG91&lt;=0,ACS91-EG91*VT91,ACS91-MIN(MIN(EG91*VT91,(ZF91+ACS91)),ACS91)),ACS91)</f>
        <v>0</v>
      </c>
      <c r="ACU91" s="20" t="n">
        <f aca="false">IF(H_Direct=1,IF(EH91&lt;=0,ACT91-EH91*VU91,ACT91-MIN(MIN(EH91*VU91,(ZG91+ACT91)),ACT91)),ACT91)</f>
        <v>0</v>
      </c>
      <c r="ACV91" s="20" t="n">
        <f aca="false">IF(H_Direct=1,IF(EI91&lt;=0,ACU91-EI91*VV91,ACU91-MIN(MIN(EI91*VV91,(ZH91+ACU91)),ACU91)),ACU91)</f>
        <v>0</v>
      </c>
      <c r="ACW91" s="20" t="n">
        <f aca="false">IF(H_Direct=1,IF(EJ91&lt;=0,ACV91-EJ91*VW91,ACV91-MIN(MIN(EJ91*VW91,(ZI91+ACV91)),ACV91)),ACV91)</f>
        <v>0</v>
      </c>
      <c r="ACX91" s="20" t="n">
        <f aca="false">IF(H_Direct=1,IF(EK91&lt;=0,ACW91-EK91*VX91,ACW91-MIN(MIN(EK91*VX91,(ZJ91+ACW91)),ACW91)),ACW91)</f>
        <v>0</v>
      </c>
      <c r="ACY91" s="20" t="n">
        <f aca="false">IF(H_Direct=1,IF(EL91&lt;=0,ACX91-EL91*VY91,ACX91-MIN(MIN(EL91*VY91,(ZK91+ACX91)),ACX91)),ACX91)</f>
        <v>0</v>
      </c>
      <c r="ACZ91" s="20" t="n">
        <f aca="false">IF(H_Direct=1,IF(EM91&lt;=0,ACY91-EM91*VZ91,ACY91-MIN(MIN(EM91*VZ91,(ZL91+ACY91)),ACY91)),ACY91)</f>
        <v>0</v>
      </c>
      <c r="ADA91" s="20" t="n">
        <f aca="false">IF(H_Direct=1,IF(EN91&lt;=0,ACZ91-EN91*WA91,ACZ91-MIN(MIN(EN91*WA91,(ZM91+ACZ91)),ACZ91)),ACZ91)</f>
        <v>0</v>
      </c>
      <c r="ADB91" s="20" t="n">
        <f aca="false">IF(H_Direct=1,IF(EO91&lt;=0,ADA91-EO91*WB91,ADA91-MIN(MIN(EO91*WB91,(ZN91+ADA91)),ADA91)),ADA91)</f>
        <v>0</v>
      </c>
      <c r="ADC91" s="20" t="n">
        <f aca="false">IF(H_Direct=1,IF(EP91&lt;=0,ADB91-EP91*WC91,ADB91-MIN(MIN(EP91*WC91,(ZO91+ADB91)),ADB91)),ADB91)</f>
        <v>0</v>
      </c>
      <c r="ADD91" s="20" t="n">
        <f aca="false">IF(H_Direct=1,IF(EQ91&lt;=0,ADC91-EQ91*WD91,ADC91-MIN(MIN(EQ91*WD91,(ZP91+ADC91)),ADC91)),ADC91)</f>
        <v>0</v>
      </c>
      <c r="ADE91" s="20" t="n">
        <f aca="false">IF(H_Direct=1,IF(ER91&lt;=0,ADD91-ER91*WE91,ADD91-MIN(MIN(ER91*WE91,(ZQ91+ADD91)),ADD91)),ADD91)</f>
        <v>0</v>
      </c>
      <c r="ADF91" s="20" t="n">
        <f aca="false">IF(H_Direct=1,IF(ES91&lt;=0,ADE91-ES91*WF91,ADE91-MIN(MIN(ES91*WF91,(ZR91+ADE91)),ADE91)),ADE91)</f>
        <v>0</v>
      </c>
      <c r="ADG91" s="20" t="n">
        <f aca="false">IF(H_Direct=1,IF(ET91&lt;=0,ADF91-ET91*WG91,ADF91-MIN(MIN(ET91*WG91,(ZS91+ADF91)),ADF91)),ADF91)</f>
        <v>0</v>
      </c>
      <c r="ADH91" s="20" t="n">
        <f aca="false">IF(H_Direct=1,IF(EU91&lt;=0,ADG91-EU91*WH91,ADG91-MIN(MIN(EU91*WH91,(ZT91+ADG91)),ADG91)),ADG91)</f>
        <v>0</v>
      </c>
      <c r="ADI91" s="20" t="n">
        <f aca="false">IF(H_Direct=1,IF(EV91&lt;=0,ADH91-EV91*WI91,ADH91-MIN(MIN(EV91*WI91,(ZU91+ADH91)),ADH91)),ADH91)</f>
        <v>0</v>
      </c>
      <c r="ADJ91" s="20" t="n">
        <f aca="false">IF(H_Direct=1,IF(EW91&lt;=0,ADI91-EW91*WJ91,ADI91-MIN(MIN(EW91*WJ91,(ZV91+ADI91)),ADI91)),ADI91)</f>
        <v>0</v>
      </c>
      <c r="ADK91" s="20" t="n">
        <f aca="false">IF(H_Direct=1,IF(EX91&lt;=0,ADJ91-EX91*WK91,ADJ91-MIN(MIN(EX91*WK91,(ZW91+ADJ91)),ADJ91)),ADJ91)</f>
        <v>0</v>
      </c>
      <c r="ADL91" s="20" t="n">
        <f aca="false">ADK91</f>
        <v>0</v>
      </c>
      <c r="ADM91" s="20" t="n">
        <f aca="false">ADL91</f>
        <v>0</v>
      </c>
      <c r="ADN91" s="20" t="n">
        <f aca="false">ADM91</f>
        <v>0</v>
      </c>
      <c r="ADO91" s="20" t="n">
        <f aca="false">ADN91</f>
        <v>0</v>
      </c>
      <c r="ADP91" s="20" t="n">
        <f aca="false">ADO91</f>
        <v>0</v>
      </c>
      <c r="ADQ91" s="20" t="n">
        <f aca="false">ADP91</f>
        <v>0</v>
      </c>
      <c r="ADR91" s="20" t="n">
        <f aca="false">(AKR90-TE91+0)*(1+BQ91)</f>
        <v>0</v>
      </c>
      <c r="ADS91" s="20" t="n">
        <f aca="false">(AKS90-TF91+0)*(1+BQ91)</f>
        <v>0</v>
      </c>
      <c r="ADT91" s="20" t="n">
        <f aca="false">(AKT90-TG91+0)*(1+BQ91)</f>
        <v>0</v>
      </c>
      <c r="ADU91" s="20" t="n">
        <f aca="false">(AKU90-TH91+0)*(1+BQ91)</f>
        <v>0</v>
      </c>
      <c r="ADV91" s="20" t="n">
        <f aca="false">(AKV90-TI91+0)*(1+BQ91)</f>
        <v>0</v>
      </c>
      <c r="ADW91" s="20" t="n">
        <f aca="false">(AKW90-TJ91+0)*(1+BQ91)</f>
        <v>0</v>
      </c>
      <c r="ADX91" s="20" t="n">
        <f aca="false">(AKX90-TK91+0)*(1+BQ91)</f>
        <v>0</v>
      </c>
      <c r="ADY91" s="20" t="n">
        <f aca="false">(AKY90-TL91+0)*(1+BQ91)</f>
        <v>0</v>
      </c>
      <c r="ADZ91" s="20" t="n">
        <f aca="false">(AKZ90-TM91+0)*(1+BQ91)</f>
        <v>0</v>
      </c>
      <c r="AEA91" s="20" t="n">
        <f aca="false">(ALA90-TN91+0)*(1+BQ91)</f>
        <v>0</v>
      </c>
      <c r="AEB91" s="20" t="n">
        <f aca="false">(ALB90-TO91+0)*(1+BQ91)</f>
        <v>0</v>
      </c>
      <c r="AEC91" s="20" t="n">
        <f aca="false">(ALC90-TP91+0)*(1+BQ91)</f>
        <v>0</v>
      </c>
      <c r="AED91" s="20" t="n">
        <f aca="false">(ALD90-TQ91+0)*(1+BQ91)</f>
        <v>0</v>
      </c>
      <c r="AEE91" s="20" t="n">
        <f aca="false">(ALE90-TR91+0)*(1+BQ91)</f>
        <v>0</v>
      </c>
      <c r="AEF91" s="20" t="n">
        <f aca="false">(ALF90-TS91+0)*(1+BQ91)</f>
        <v>0</v>
      </c>
      <c r="AEG91" s="20" t="n">
        <f aca="false">(ALG90-TT91+0)*(1+BQ91)</f>
        <v>0</v>
      </c>
      <c r="AEH91" s="20" t="n">
        <f aca="false">(ALH90-TU91+0)*(1+BQ91)</f>
        <v>0</v>
      </c>
      <c r="AEI91" s="20" t="n">
        <f aca="false">(ALI90-TV91+0)*(1+BQ91)</f>
        <v>0</v>
      </c>
      <c r="AEJ91" s="20" t="n">
        <f aca="false">(ALJ90-TW91+0)*(1+BQ91)</f>
        <v>0</v>
      </c>
      <c r="AEK91" s="20" t="n">
        <f aca="false">(ALK90-TX91+0)*(1+BQ91)</f>
        <v>0</v>
      </c>
      <c r="AEL91" s="20" t="n">
        <f aca="false">(ALL90-TY91+0)*(1+BQ91)</f>
        <v>0</v>
      </c>
      <c r="AEM91" s="20" t="n">
        <f aca="false">(ALM90-TZ91+0)*(1+BQ91)</f>
        <v>0</v>
      </c>
      <c r="AEN91" s="20" t="n">
        <f aca="false">(ALN90-UA91+0)*(1+BQ91)</f>
        <v>0</v>
      </c>
      <c r="AEO91" s="20" t="n">
        <f aca="false">(ALO90-UB91+0)*(1+BQ91)</f>
        <v>0</v>
      </c>
      <c r="AEP91" s="20" t="n">
        <f aca="false">(ALP90-UC91+0)*(1+BQ91)</f>
        <v>0</v>
      </c>
      <c r="AEQ91" s="20" t="n">
        <f aca="false">(ALQ90-UD91+0)*(1+BQ91)</f>
        <v>0</v>
      </c>
      <c r="AER91" s="20" t="n">
        <f aca="false">(ALR90-UE91+0)*(1+BQ91)</f>
        <v>0</v>
      </c>
      <c r="AES91" s="20" t="n">
        <f aca="false">(ALS90-UF91+0)*(1+BQ91)</f>
        <v>0</v>
      </c>
      <c r="AET91" s="20" t="n">
        <f aca="false">(ALT90-UG91+0)*(1+BQ91)</f>
        <v>0</v>
      </c>
      <c r="AEU91" s="20" t="n">
        <f aca="false">(ALU90-UH91+0)*(1+BQ91)</f>
        <v>0</v>
      </c>
      <c r="AEV91" s="20" t="n">
        <f aca="false">(ALV90-UI91+0)*(1+BQ91)</f>
        <v>0</v>
      </c>
      <c r="AEW91" s="20" t="n">
        <f aca="false">(ALW90-UJ91+0)*(1+BQ91)</f>
        <v>0</v>
      </c>
      <c r="AEX91" s="20" t="n">
        <f aca="false">(ALX90-UK91+0)*(1+BQ91)</f>
        <v>0</v>
      </c>
      <c r="AEY91" s="20" t="n">
        <f aca="false">(ALY90-UL91+0)*(1+BQ91)</f>
        <v>0</v>
      </c>
      <c r="AEZ91" s="20" t="n">
        <f aca="false">(ALZ90-UM91+0)*(1+BQ91)</f>
        <v>0</v>
      </c>
      <c r="AFA91" s="20" t="n">
        <f aca="false">(AMA90-UN91+0)*(1+BQ91)</f>
        <v>0</v>
      </c>
      <c r="AFB91" s="20" t="n">
        <f aca="false">(AMB90-UO91+0)*(1+BQ91)</f>
        <v>0</v>
      </c>
      <c r="AFC91" s="20" t="n">
        <f aca="false">(AMC90-UP91+0)*(1+BQ91)</f>
        <v>0</v>
      </c>
      <c r="AFD91" s="20" t="n">
        <f aca="false">(AMD90-UQ91+0)*(1+BQ91)</f>
        <v>0</v>
      </c>
      <c r="AFE91" s="20" t="n">
        <f aca="false">(AME90-UR91+0)*(1+BQ91)</f>
        <v>0</v>
      </c>
      <c r="AFF91" s="20" t="n">
        <f aca="false">(AMF90-US91+0)*(1+BQ91)</f>
        <v>0</v>
      </c>
      <c r="AFG91" s="20" t="n">
        <f aca="false">(AMG90-UT91+0)*(1+BQ91)</f>
        <v>0</v>
      </c>
      <c r="AFH91" s="20" t="n">
        <f aca="false">(AMH90-UU91+0)*(1+BQ91)</f>
        <v>0</v>
      </c>
      <c r="AFI91" s="20" t="n">
        <f aca="false">(AMI90-UV91+0)*(1+BQ91)</f>
        <v>0</v>
      </c>
      <c r="AFJ91" s="20" t="n">
        <f aca="false">(AMJ90-UW91+0)*(1+BQ91)</f>
        <v>0</v>
      </c>
      <c r="AFK91" s="20" t="n">
        <f aca="false">(AMK90-UX91+0)*(1+BQ91)</f>
        <v>0</v>
      </c>
      <c r="AFL91" s="20" t="n">
        <f aca="false">(AML90-UY91+0)*(1+BQ91)</f>
        <v>0</v>
      </c>
      <c r="AFM91" s="20" t="n">
        <f aca="false">(AMM90-UZ91+0)*(1+BQ91)</f>
        <v>0</v>
      </c>
      <c r="AFN91" s="20" t="n">
        <f aca="false">(AMN90-VA91+0)*(1+BQ91)</f>
        <v>0</v>
      </c>
      <c r="AFO91" s="20" t="n">
        <f aca="false">(AMO90-VB91+0)*(1+BQ91)</f>
        <v>0</v>
      </c>
      <c r="AFP91" s="20" t="n">
        <f aca="false">(AMP90-VC91+0)*(1+BQ91)</f>
        <v>0</v>
      </c>
      <c r="AFQ91" s="20" t="n">
        <f aca="false">(AMQ90-VD91+0)*(1+BQ91)</f>
        <v>0</v>
      </c>
      <c r="AFR91" s="20" t="n">
        <f aca="false">(AMR90-VE91+0)*(1+BQ91)</f>
        <v>0</v>
      </c>
      <c r="AFS91" s="20" t="n">
        <f aca="false">(AMS90-VF91+0)*(1+BQ91)</f>
        <v>0</v>
      </c>
      <c r="AFT91" s="20" t="n">
        <f aca="false">(AMT90-VG91+0)*(1+BQ91)</f>
        <v>0</v>
      </c>
      <c r="AFU91" s="20" t="n">
        <f aca="false">(AMU90-VH91+0)*(1+BQ91)</f>
        <v>0</v>
      </c>
      <c r="AFV91" s="20" t="n">
        <f aca="false">(AMV90-VI91+0)*(1+BQ91)</f>
        <v>0</v>
      </c>
      <c r="AFW91" s="20" t="n">
        <f aca="false">(AMW90-VJ91+0)*(1+BQ91)</f>
        <v>0</v>
      </c>
      <c r="AFX91" s="20" t="n">
        <f aca="false">(AMX90-VK91+0)*(1+BQ91)</f>
        <v>0</v>
      </c>
      <c r="AFY91" s="20" t="n">
        <f aca="false">(AMY90-VL91+0)*(1+BQ91)</f>
        <v>0</v>
      </c>
      <c r="AFZ91" s="20" t="n">
        <f aca="false">(AMZ90-VM91+0)*(1+BQ91)</f>
        <v>0</v>
      </c>
      <c r="AGA91" s="20" t="n">
        <f aca="false">(ANA90-VN91+0)*(1+BQ91)</f>
        <v>0</v>
      </c>
      <c r="AGB91" s="20" t="n">
        <f aca="false">(ANB90-VO91+0)*(1+BQ91)</f>
        <v>0</v>
      </c>
      <c r="AGC91" s="20" t="n">
        <f aca="false">(ANC90-VP91+0)*(1+BQ91)</f>
        <v>0</v>
      </c>
      <c r="AGD91" s="20" t="n">
        <f aca="false">(AND90-VQ91+0)*(1+BQ91)</f>
        <v>0</v>
      </c>
      <c r="AGE91" s="20" t="n">
        <f aca="false">(ANE90-VR91+0)*(1+BQ91)</f>
        <v>0</v>
      </c>
      <c r="AGF91" s="20" t="n">
        <f aca="false">(ANF90-VS91+0)*(1+BQ91)</f>
        <v>0</v>
      </c>
      <c r="AGG91" s="20" t="n">
        <f aca="false">(ANG90-VT91+0)*(1+BQ91)</f>
        <v>0</v>
      </c>
      <c r="AGH91" s="20" t="n">
        <f aca="false">(ANH90-VU91+0)*(1+BQ91)</f>
        <v>0</v>
      </c>
      <c r="AGI91" s="20" t="n">
        <f aca="false">(ANI90-VV91+0)*(1+BQ91)</f>
        <v>0</v>
      </c>
      <c r="AGJ91" s="20" t="n">
        <f aca="false">(ANJ90-VW91+0)*(1+BQ91)</f>
        <v>0</v>
      </c>
      <c r="AGK91" s="20" t="n">
        <f aca="false">(ANK90-VX91+0)*(1+BQ91)</f>
        <v>0</v>
      </c>
      <c r="AGL91" s="20" t="n">
        <f aca="false">(ANL90-VY91+0)*(1+BQ91)</f>
        <v>0</v>
      </c>
      <c r="AGM91" s="20" t="n">
        <f aca="false">(ANM90-VZ91+0)*(1+BQ91)</f>
        <v>0</v>
      </c>
      <c r="AGN91" s="20" t="n">
        <f aca="false">(ANN90-WA91+0)*(1+BQ91)</f>
        <v>0</v>
      </c>
      <c r="AGO91" s="20" t="n">
        <f aca="false">(ANO90-WB91+0)*(1+BQ91)</f>
        <v>0</v>
      </c>
      <c r="AGP91" s="20" t="n">
        <f aca="false">(ANP90-WC91+0)*(1+BQ91)</f>
        <v>0</v>
      </c>
      <c r="AGQ91" s="20" t="n">
        <f aca="false">(ANQ90-WD91+0)*(1+BQ91)</f>
        <v>0</v>
      </c>
      <c r="AGR91" s="20" t="n">
        <f aca="false">(ANR90-WE91+0)*(1+BQ91)</f>
        <v>0</v>
      </c>
      <c r="AGS91" s="20" t="n">
        <f aca="false">(ANS90-WF91+0)*(1+BQ91)</f>
        <v>0</v>
      </c>
      <c r="AGT91" s="20" t="n">
        <f aca="false">(ANT90-WG91+0)*(1+BQ91)</f>
        <v>0</v>
      </c>
      <c r="AGU91" s="20" t="n">
        <f aca="false">(ANU90-WH91+0)*(1+BQ91)</f>
        <v>0</v>
      </c>
      <c r="AGV91" s="20" t="n">
        <f aca="false">(ANV90-WI91+0)*(1+BQ91)</f>
        <v>0</v>
      </c>
      <c r="AGW91" s="20" t="n">
        <f aca="false">(ANW90-WJ91+0)*(1+BQ91)</f>
        <v>0</v>
      </c>
      <c r="AGX91" s="20" t="n">
        <f aca="false">((P91+S91)-WK91+BE91)*(1+BQ91)</f>
        <v>0</v>
      </c>
      <c r="AGY91" s="20" t="n">
        <v>0</v>
      </c>
      <c r="AGZ91" s="20" t="n">
        <v>0</v>
      </c>
      <c r="AHA91" s="20" t="n">
        <v>0</v>
      </c>
      <c r="AHB91" s="20" t="n">
        <v>0</v>
      </c>
      <c r="AHC91" s="20" t="n">
        <v>0</v>
      </c>
      <c r="AHD91" s="20" t="n">
        <v>0</v>
      </c>
      <c r="AHE91" s="20" t="n">
        <f aca="false">IF(AKR90&gt;0,AOE90-AOE90*TE91/AKR90,0)+0</f>
        <v>0</v>
      </c>
      <c r="AHF91" s="20" t="n">
        <f aca="false">IF(AKS90&gt;0,AOF90-AOF90*TF91/AKS90,0)+0</f>
        <v>0</v>
      </c>
      <c r="AHG91" s="20" t="n">
        <f aca="false">IF(AKT90&gt;0,AOG90-AOG90*TG91/AKT90,0)+0</f>
        <v>0</v>
      </c>
      <c r="AHH91" s="20" t="n">
        <f aca="false">IF(AKU90&gt;0,AOH90-AOH90*TH91/AKU90,0)+0</f>
        <v>0</v>
      </c>
      <c r="AHI91" s="20" t="n">
        <f aca="false">IF(AKV90&gt;0,AOI90-AOI90*TI91/AKV90,0)+0</f>
        <v>0</v>
      </c>
      <c r="AHJ91" s="20" t="n">
        <f aca="false">IF(AKW90&gt;0,AOJ90-AOJ90*TJ91/AKW90,0)+0</f>
        <v>0</v>
      </c>
      <c r="AHK91" s="20" t="n">
        <f aca="false">IF(AKX90&gt;0,AOK90-AOK90*TK91/AKX90,0)+0</f>
        <v>0</v>
      </c>
      <c r="AHL91" s="20" t="n">
        <f aca="false">IF(AKY90&gt;0,AOL90-AOL90*TL91/AKY90,0)+0</f>
        <v>0</v>
      </c>
      <c r="AHM91" s="20" t="n">
        <f aca="false">IF(AKZ90&gt;0,AOM90-AOM90*TM91/AKZ90,0)+0</f>
        <v>0</v>
      </c>
      <c r="AHN91" s="20" t="n">
        <f aca="false">IF(ALA90&gt;0,AON90-AON90*TN91/ALA90,0)+0</f>
        <v>0</v>
      </c>
      <c r="AHO91" s="20" t="n">
        <f aca="false">IF(ALB90&gt;0,AOO90-AOO90*TO91/ALB90,0)+0</f>
        <v>0</v>
      </c>
      <c r="AHP91" s="20" t="n">
        <f aca="false">IF(ALC90&gt;0,AOP90-AOP90*TP91/ALC90,0)+0</f>
        <v>0</v>
      </c>
      <c r="AHQ91" s="20" t="n">
        <f aca="false">IF(ALD90&gt;0,AOQ90-AOQ90*TQ91/ALD90,0)+0</f>
        <v>0</v>
      </c>
      <c r="AHR91" s="20" t="n">
        <f aca="false">IF(ALE90&gt;0,AOR90-AOR90*TR91/ALE90,0)+0</f>
        <v>0</v>
      </c>
      <c r="AHS91" s="20" t="n">
        <f aca="false">IF(ALF90&gt;0,AOS90-AOS90*TS91/ALF90,0)+0</f>
        <v>0</v>
      </c>
      <c r="AHT91" s="20" t="n">
        <f aca="false">IF(ALG90&gt;0,AOT90-AOT90*TT91/ALG90,0)+0</f>
        <v>0</v>
      </c>
      <c r="AHU91" s="20" t="n">
        <f aca="false">IF(ALH90&gt;0,AOU90-AOU90*TU91/ALH90,0)+0</f>
        <v>0</v>
      </c>
      <c r="AHV91" s="20" t="n">
        <f aca="false">IF(ALI90&gt;0,AOV90-AOV90*TV91/ALI90,0)+0</f>
        <v>0</v>
      </c>
      <c r="AHW91" s="20" t="n">
        <f aca="false">IF(ALJ90&gt;0,AOW90-AOW90*TW91/ALJ90,0)+0</f>
        <v>0</v>
      </c>
      <c r="AHX91" s="20" t="n">
        <f aca="false">IF(ALK90&gt;0,AOX90-AOX90*TX91/ALK90,0)+0</f>
        <v>0</v>
      </c>
      <c r="AHY91" s="20" t="n">
        <f aca="false">IF(ALL90&gt;0,AOY90-AOY90*TY91/ALL90,0)+0</f>
        <v>0</v>
      </c>
      <c r="AHZ91" s="20" t="n">
        <f aca="false">IF(ALM90&gt;0,AOZ90-AOZ90*TZ91/ALM90,0)+0</f>
        <v>0</v>
      </c>
      <c r="AIA91" s="20" t="n">
        <f aca="false">IF(ALN90&gt;0,APA90-APA90*UA91/ALN90,0)+0</f>
        <v>0</v>
      </c>
      <c r="AIB91" s="20" t="n">
        <f aca="false">IF(ALO90&gt;0,APB90-APB90*UB91/ALO90,0)+0</f>
        <v>0</v>
      </c>
      <c r="AIC91" s="20" t="n">
        <f aca="false">IF(ALP90&gt;0,APC90-APC90*UC91/ALP90,0)+0</f>
        <v>0</v>
      </c>
      <c r="AID91" s="20" t="n">
        <f aca="false">IF(ALQ90&gt;0,APD90-APD90*UD91/ALQ90,0)+0</f>
        <v>0</v>
      </c>
      <c r="AIE91" s="20" t="n">
        <f aca="false">IF(ALR90&gt;0,APE90-APE90*UE91/ALR90,0)+0</f>
        <v>0</v>
      </c>
      <c r="AIF91" s="20" t="n">
        <f aca="false">IF(ALS90&gt;0,APF90-APF90*UF91/ALS90,0)+0</f>
        <v>0</v>
      </c>
      <c r="AIG91" s="20" t="n">
        <f aca="false">IF(ALT90&gt;0,APG90-APG90*UG91/ALT90,0)+0</f>
        <v>0</v>
      </c>
      <c r="AIH91" s="20" t="n">
        <f aca="false">IF(ALU90&gt;0,APH90-APH90*UH91/ALU90,0)+0</f>
        <v>0</v>
      </c>
      <c r="AII91" s="20" t="n">
        <f aca="false">IF(ALV90&gt;0,API90-API90*UI91/ALV90,0)+0</f>
        <v>0</v>
      </c>
      <c r="AIJ91" s="20" t="n">
        <f aca="false">IF(ALW90&gt;0,APJ90-APJ90*UJ91/ALW90,0)+0</f>
        <v>0</v>
      </c>
      <c r="AIK91" s="20" t="n">
        <f aca="false">IF(ALX90&gt;0,APK90-APK90*UK91/ALX90,0)+0</f>
        <v>0</v>
      </c>
      <c r="AIL91" s="20" t="n">
        <f aca="false">IF(ALY90&gt;0,APL90-APL90*UL91/ALY90,0)+0</f>
        <v>0</v>
      </c>
      <c r="AIM91" s="20" t="n">
        <f aca="false">IF(ALZ90&gt;0,APM90-APM90*UM91/ALZ90,0)+0</f>
        <v>0</v>
      </c>
      <c r="AIN91" s="20" t="n">
        <f aca="false">IF(AMA90&gt;0,APN90-APN90*UN91/AMA90,0)+0</f>
        <v>0</v>
      </c>
      <c r="AIO91" s="20" t="n">
        <f aca="false">IF(AMB90&gt;0,APO90-APO90*UO91/AMB90,0)+0</f>
        <v>0</v>
      </c>
      <c r="AIP91" s="20" t="n">
        <f aca="false">IF(AMC90&gt;0,APP90-APP90*UP91/AMC90,0)+0</f>
        <v>0</v>
      </c>
      <c r="AIQ91" s="20" t="n">
        <f aca="false">IF(AMD90&gt;0,APQ90-APQ90*UQ91/AMD90,0)+0</f>
        <v>0</v>
      </c>
      <c r="AIR91" s="20" t="n">
        <f aca="false">IF(AME90&gt;0,APR90-APR90*UR91/AME90,0)+0</f>
        <v>0</v>
      </c>
      <c r="AIS91" s="20" t="n">
        <f aca="false">IF(AMF90&gt;0,APS90-APS90*US91/AMF90,0)+0</f>
        <v>0</v>
      </c>
      <c r="AIT91" s="20" t="n">
        <f aca="false">IF(AMG90&gt;0,APT90-APT90*UT91/AMG90,0)+0</f>
        <v>0</v>
      </c>
      <c r="AIU91" s="20" t="n">
        <f aca="false">IF(AMH90&gt;0,APU90-APU90*UU91/AMH90,0)+0</f>
        <v>0</v>
      </c>
      <c r="AIV91" s="20" t="n">
        <f aca="false">IF(AMI90&gt;0,APV90-APV90*UV91/AMI90,0)+0</f>
        <v>0</v>
      </c>
      <c r="AIW91" s="20" t="n">
        <f aca="false">IF(AMJ90&gt;0,APW90-APW90*UW91/AMJ90,0)+0</f>
        <v>0</v>
      </c>
      <c r="AIX91" s="20" t="n">
        <f aca="false">IF(AMK90&gt;0,APX90-APX90*UX91/AMK90,0)+0</f>
        <v>0</v>
      </c>
      <c r="AIY91" s="20" t="n">
        <f aca="false">IF(AML90&gt;0,APY90-APY90*UY91/AML90,0)+0</f>
        <v>0</v>
      </c>
      <c r="AIZ91" s="20" t="n">
        <f aca="false">IF(AMM90&gt;0,APZ90-APZ90*UZ91/AMM90,0)+0</f>
        <v>0</v>
      </c>
      <c r="AJA91" s="20" t="n">
        <f aca="false">IF(AMN90&gt;0,AQA90-AQA90*VA91/AMN90,0)+0</f>
        <v>0</v>
      </c>
      <c r="AJB91" s="20" t="n">
        <f aca="false">IF(AMO90&gt;0,AQB90-AQB90*VB91/AMO90,0)+0</f>
        <v>0</v>
      </c>
      <c r="AJC91" s="20" t="n">
        <f aca="false">IF(AMP90&gt;0,AQC90-AQC90*VC91/AMP90,0)+0</f>
        <v>0</v>
      </c>
      <c r="AJD91" s="20" t="n">
        <f aca="false">IF(AMQ90&gt;0,AQD90-AQD90*VD91/AMQ90,0)+0</f>
        <v>0</v>
      </c>
      <c r="AJE91" s="20" t="n">
        <f aca="false">IF(AMR90&gt;0,AQE90-AQE90*VE91/AMR90,0)+0</f>
        <v>0</v>
      </c>
      <c r="AJF91" s="20" t="n">
        <f aca="false">IF(AMS90&gt;0,AQF90-AQF90*VF91/AMS90,0)+0</f>
        <v>0</v>
      </c>
      <c r="AJG91" s="20" t="n">
        <f aca="false">IF(AMT90&gt;0,AQG90-AQG90*VG91/AMT90,0)+0</f>
        <v>0</v>
      </c>
      <c r="AJH91" s="20" t="n">
        <f aca="false">IF(AMU90&gt;0,AQH90-AQH90*VH91/AMU90,0)+0</f>
        <v>0</v>
      </c>
      <c r="AJI91" s="20" t="n">
        <f aca="false">IF(AMV90&gt;0,AQI90-AQI90*VI91/AMV90,0)+0</f>
        <v>0</v>
      </c>
      <c r="AJJ91" s="20" t="n">
        <f aca="false">IF(AMW90&gt;0,AQJ90-AQJ90*VJ91/AMW90,0)+0</f>
        <v>0</v>
      </c>
      <c r="AJK91" s="20" t="n">
        <f aca="false">IF(AMX90&gt;0,AQK90-AQK90*VK91/AMX90,0)+0</f>
        <v>0</v>
      </c>
      <c r="AJL91" s="20" t="n">
        <f aca="false">IF(AMY90&gt;0,AQL90-AQL90*VL91/AMY90,0)+0</f>
        <v>0</v>
      </c>
      <c r="AJM91" s="20" t="n">
        <f aca="false">IF(AMZ90&gt;0,AQM90-AQM90*VM91/AMZ90,0)+0</f>
        <v>0</v>
      </c>
      <c r="AJN91" s="20" t="n">
        <f aca="false">IF(ANA90&gt;0,AQN90-AQN90*VN91/ANA90,0)+0</f>
        <v>0</v>
      </c>
      <c r="AJO91" s="20" t="n">
        <f aca="false">IF(ANB90&gt;0,AQO90-AQO90*VO91/ANB90,0)+0</f>
        <v>0</v>
      </c>
      <c r="AJP91" s="20" t="n">
        <f aca="false">IF(ANC90&gt;0,AQP90-AQP90*VP91/ANC90,0)+0</f>
        <v>0</v>
      </c>
      <c r="AJQ91" s="20" t="n">
        <f aca="false">IF(AND90&gt;0,AQQ90-AQQ90*VQ91/AND90,0)+0</f>
        <v>0</v>
      </c>
      <c r="AJR91" s="20" t="n">
        <f aca="false">IF(ANE90&gt;0,AQR90-AQR90*VR91/ANE90,0)+0</f>
        <v>0</v>
      </c>
      <c r="AJS91" s="20" t="n">
        <f aca="false">IF(ANF90&gt;0,AQS90-AQS90*VS91/ANF90,0)+0</f>
        <v>0</v>
      </c>
      <c r="AJT91" s="20" t="n">
        <f aca="false">IF(ANG90&gt;0,AQT90-AQT90*VT91/ANG90,0)+0</f>
        <v>0</v>
      </c>
      <c r="AJU91" s="20" t="n">
        <f aca="false">IF(ANH90&gt;0,AQU90-AQU90*VU91/ANH90,0)+0</f>
        <v>0</v>
      </c>
      <c r="AJV91" s="20" t="n">
        <f aca="false">IF(ANI90&gt;0,AQV90-AQV90*VV91/ANI90,0)+0</f>
        <v>0</v>
      </c>
      <c r="AJW91" s="20" t="n">
        <f aca="false">IF(ANJ90&gt;0,AQW90-AQW90*VW91/ANJ90,0)+0</f>
        <v>0</v>
      </c>
      <c r="AJX91" s="20" t="n">
        <f aca="false">IF(ANK90&gt;0,AQX90-AQX90*VX91/ANK90,0)+0</f>
        <v>0</v>
      </c>
      <c r="AJY91" s="20" t="n">
        <f aca="false">IF(ANL90&gt;0,AQY90-AQY90*VY91/ANL90,0)+0</f>
        <v>0</v>
      </c>
      <c r="AJZ91" s="20" t="n">
        <f aca="false">IF(ANM90&gt;0,AQZ90-AQZ90*VZ91/ANM90,0)+0</f>
        <v>0</v>
      </c>
      <c r="AKA91" s="20" t="n">
        <f aca="false">IF(ANN90&gt;0,ARA90-ARA90*WA91/ANN90,0)+0</f>
        <v>0</v>
      </c>
      <c r="AKB91" s="20" t="n">
        <f aca="false">IF(ANO90&gt;0,ARB90-ARB90*WB91/ANO90,0)+0</f>
        <v>0</v>
      </c>
      <c r="AKC91" s="20" t="n">
        <f aca="false">IF(ANP90&gt;0,ARC90-ARC90*WC91/ANP90,0)+0</f>
        <v>0</v>
      </c>
      <c r="AKD91" s="20" t="n">
        <f aca="false">IF(ANQ90&gt;0,ARD90-ARD90*WD91/ANQ90,0)+0</f>
        <v>0</v>
      </c>
      <c r="AKE91" s="20" t="n">
        <f aca="false">IF(ANR90&gt;0,ARE90-ARE90*WE91/ANR90,0)+0</f>
        <v>0</v>
      </c>
      <c r="AKF91" s="20" t="n">
        <f aca="false">IF(ANS90&gt;0,ARF90-ARF90*WF91/ANS90,0)+0</f>
        <v>0</v>
      </c>
      <c r="AKG91" s="20" t="n">
        <f aca="false">IF(ANT90&gt;0,ARG90-ARG90*WG91/ANT90,0)+0</f>
        <v>0</v>
      </c>
      <c r="AKH91" s="20" t="n">
        <f aca="false">IF(ANU90&gt;0,ARH90-ARH90*WH91/ANU90,0)+0</f>
        <v>0</v>
      </c>
      <c r="AKI91" s="20" t="n">
        <f aca="false">IF(ANV90&gt;0,ARI90-ARI90*WI91/ANV90,0)+0</f>
        <v>0</v>
      </c>
      <c r="AKJ91" s="20" t="n">
        <f aca="false">IF(ANW90&gt;0,ARJ90-ARJ90*WJ91/ANW90,0)+0</f>
        <v>0</v>
      </c>
      <c r="AKK91" s="20" t="n">
        <f aca="false">IF((P91+S91)&gt;0,(P91+S91)-(P91+S91)*WK91/(P91+S91),0)+BE91</f>
        <v>0</v>
      </c>
      <c r="AKL91" s="20" t="n">
        <v>0</v>
      </c>
      <c r="AKM91" s="20" t="n">
        <v>0</v>
      </c>
      <c r="AKN91" s="20" t="n">
        <v>0</v>
      </c>
      <c r="AKO91" s="20" t="n">
        <v>0</v>
      </c>
      <c r="AKP91" s="20" t="n">
        <v>0</v>
      </c>
      <c r="AKQ91" s="20" t="n">
        <v>0</v>
      </c>
      <c r="AKR91" s="20" t="n">
        <f aca="false">ADR91-AVE91</f>
        <v>0</v>
      </c>
      <c r="AKS91" s="20" t="n">
        <f aca="false">ADS91-AVF91</f>
        <v>0</v>
      </c>
      <c r="AKT91" s="20" t="n">
        <f aca="false">ADT91-AVG91</f>
        <v>0</v>
      </c>
      <c r="AKU91" s="20" t="n">
        <f aca="false">ADU91-AVH91</f>
        <v>0</v>
      </c>
      <c r="AKV91" s="20" t="n">
        <f aca="false">ADV91-AVI91</f>
        <v>0</v>
      </c>
      <c r="AKW91" s="20" t="n">
        <f aca="false">ADW91-AVJ91</f>
        <v>0</v>
      </c>
      <c r="AKX91" s="20" t="n">
        <f aca="false">ADX91-AVK91</f>
        <v>0</v>
      </c>
      <c r="AKY91" s="20" t="n">
        <f aca="false">ADY91-AVL91</f>
        <v>0</v>
      </c>
      <c r="AKZ91" s="20" t="n">
        <f aca="false">ADZ91-AVM91</f>
        <v>0</v>
      </c>
      <c r="ALA91" s="20" t="n">
        <f aca="false">AEA91-AVN91</f>
        <v>0</v>
      </c>
      <c r="ALB91" s="20" t="n">
        <f aca="false">AEB91-AVO91</f>
        <v>0</v>
      </c>
      <c r="ALC91" s="20" t="n">
        <f aca="false">AEC91-AVP91</f>
        <v>0</v>
      </c>
      <c r="ALD91" s="20" t="n">
        <f aca="false">AED91-AVQ91</f>
        <v>0</v>
      </c>
      <c r="ALE91" s="20" t="n">
        <f aca="false">AEE91-AVR91</f>
        <v>0</v>
      </c>
      <c r="ALF91" s="20" t="n">
        <f aca="false">AEF91-AVS91</f>
        <v>0</v>
      </c>
      <c r="ALG91" s="20" t="n">
        <f aca="false">AEG91-AVT91</f>
        <v>0</v>
      </c>
      <c r="ALH91" s="20" t="n">
        <f aca="false">AEH91-AVU91</f>
        <v>0</v>
      </c>
      <c r="ALI91" s="20" t="n">
        <f aca="false">AEI91-AVV91</f>
        <v>0</v>
      </c>
      <c r="ALJ91" s="20" t="n">
        <f aca="false">AEJ91-AVW91</f>
        <v>0</v>
      </c>
      <c r="ALK91" s="20" t="n">
        <f aca="false">AEK91-AVX91</f>
        <v>0</v>
      </c>
      <c r="ALL91" s="20" t="n">
        <f aca="false">AEL91-AVY91</f>
        <v>0</v>
      </c>
      <c r="ALM91" s="20" t="n">
        <f aca="false">AEM91-AVZ91</f>
        <v>0</v>
      </c>
      <c r="ALN91" s="20" t="n">
        <f aca="false">AEN91-AWA91</f>
        <v>0</v>
      </c>
      <c r="ALO91" s="20" t="n">
        <f aca="false">AEO91-AWB91</f>
        <v>0</v>
      </c>
      <c r="ALP91" s="20" t="n">
        <f aca="false">AEP91-AWC91</f>
        <v>0</v>
      </c>
      <c r="ALQ91" s="20" t="n">
        <f aca="false">AEQ91-AWD91</f>
        <v>0</v>
      </c>
      <c r="ALR91" s="20" t="n">
        <f aca="false">AER91-AWE91</f>
        <v>0</v>
      </c>
      <c r="ALS91" s="20" t="n">
        <f aca="false">AES91-AWF91</f>
        <v>0</v>
      </c>
      <c r="ALT91" s="20" t="n">
        <f aca="false">AET91-AWG91</f>
        <v>0</v>
      </c>
      <c r="ALU91" s="20" t="n">
        <f aca="false">AEU91-AWH91</f>
        <v>0</v>
      </c>
      <c r="ALV91" s="20" t="n">
        <f aca="false">AEV91-AWI91</f>
        <v>0</v>
      </c>
      <c r="ALW91" s="20" t="n">
        <f aca="false">AEW91-AWJ91</f>
        <v>0</v>
      </c>
      <c r="ALX91" s="20" t="n">
        <f aca="false">AEX91-AWK91</f>
        <v>0</v>
      </c>
      <c r="ALY91" s="20" t="n">
        <f aca="false">AEY91-AWL91</f>
        <v>0</v>
      </c>
      <c r="ALZ91" s="20" t="n">
        <f aca="false">AEZ91-AWM91</f>
        <v>0</v>
      </c>
      <c r="AMA91" s="20" t="n">
        <f aca="false">AFA91-AWN91</f>
        <v>0</v>
      </c>
      <c r="AMB91" s="20" t="n">
        <f aca="false">AFB91-AWO91</f>
        <v>0</v>
      </c>
      <c r="AMC91" s="20" t="n">
        <f aca="false">AFC91-AWP91</f>
        <v>0</v>
      </c>
      <c r="AMD91" s="20" t="n">
        <f aca="false">AFD91-AWQ91</f>
        <v>0</v>
      </c>
      <c r="AME91" s="20" t="n">
        <f aca="false">AFE91-AWR91</f>
        <v>0</v>
      </c>
      <c r="AMF91" s="20" t="n">
        <f aca="false">AFF91-AWS91</f>
        <v>0</v>
      </c>
      <c r="AMG91" s="20" t="n">
        <f aca="false">AFG91-AWT91</f>
        <v>0</v>
      </c>
      <c r="AMH91" s="20" t="n">
        <f aca="false">AFH91-AWU91</f>
        <v>0</v>
      </c>
      <c r="AMI91" s="20" t="n">
        <f aca="false">AFI91-AWV91</f>
        <v>0</v>
      </c>
      <c r="AMJ91" s="20" t="n">
        <f aca="false">AFJ91-AWW91</f>
        <v>0</v>
      </c>
      <c r="AMK91" s="20" t="n">
        <f aca="false">AFK91-AWX91</f>
        <v>0</v>
      </c>
      <c r="AML91" s="20" t="n">
        <f aca="false">AFL91-AWY91</f>
        <v>0</v>
      </c>
      <c r="AMM91" s="20" t="n">
        <f aca="false">AFM91-AWZ91</f>
        <v>0</v>
      </c>
      <c r="AMN91" s="20" t="n">
        <f aca="false">AFN91-AXA91</f>
        <v>0</v>
      </c>
      <c r="AMO91" s="20" t="n">
        <f aca="false">AFO91-AXB91</f>
        <v>0</v>
      </c>
      <c r="AMP91" s="20" t="n">
        <f aca="false">AFP91-AXC91</f>
        <v>0</v>
      </c>
      <c r="AMQ91" s="20" t="n">
        <f aca="false">AFQ91-AXD91</f>
        <v>0</v>
      </c>
      <c r="AMR91" s="20" t="n">
        <f aca="false">AFR91-AXE91</f>
        <v>0</v>
      </c>
      <c r="AMS91" s="20" t="n">
        <f aca="false">AFS91-AXF91</f>
        <v>0</v>
      </c>
      <c r="AMT91" s="20" t="n">
        <f aca="false">AFT91-AXG91</f>
        <v>0</v>
      </c>
      <c r="AMU91" s="20" t="n">
        <f aca="false">AFU91-AXH91</f>
        <v>0</v>
      </c>
      <c r="AMV91" s="20" t="n">
        <f aca="false">AFV91-AXI91</f>
        <v>0</v>
      </c>
      <c r="AMW91" s="20" t="n">
        <f aca="false">AFW91-AXJ91</f>
        <v>0</v>
      </c>
      <c r="AMX91" s="20" t="n">
        <f aca="false">AFX91-AXK91</f>
        <v>0</v>
      </c>
      <c r="AMY91" s="20" t="n">
        <f aca="false">AFY91-AXL91</f>
        <v>0</v>
      </c>
      <c r="AMZ91" s="20" t="n">
        <f aca="false">AFZ91-AXM91</f>
        <v>0</v>
      </c>
      <c r="ANA91" s="20" t="n">
        <f aca="false">AGA91-AXN91</f>
        <v>0</v>
      </c>
      <c r="ANB91" s="20" t="n">
        <f aca="false">AGB91-AXO91</f>
        <v>0</v>
      </c>
      <c r="ANC91" s="20" t="n">
        <f aca="false">AGC91-AXP91</f>
        <v>0</v>
      </c>
      <c r="AND91" s="20" t="n">
        <f aca="false">AGD91-AXQ91</f>
        <v>0</v>
      </c>
      <c r="ANE91" s="20" t="n">
        <f aca="false">AGE91-AXR91</f>
        <v>0</v>
      </c>
      <c r="ANF91" s="20" t="n">
        <f aca="false">AGF91-AXS91</f>
        <v>0</v>
      </c>
      <c r="ANG91" s="20" t="n">
        <f aca="false">AGG91-AXT91</f>
        <v>0</v>
      </c>
      <c r="ANH91" s="20" t="n">
        <f aca="false">AGH91-AXU91</f>
        <v>0</v>
      </c>
      <c r="ANI91" s="20" t="n">
        <f aca="false">AGI91-AXV91</f>
        <v>0</v>
      </c>
      <c r="ANJ91" s="20" t="n">
        <f aca="false">AGJ91-AXW91</f>
        <v>0</v>
      </c>
      <c r="ANK91" s="20" t="n">
        <f aca="false">AGK91-AXX91</f>
        <v>0</v>
      </c>
      <c r="ANL91" s="20" t="n">
        <f aca="false">AGL91-AXY91</f>
        <v>0</v>
      </c>
      <c r="ANM91" s="20" t="n">
        <f aca="false">AGM91-AXZ91</f>
        <v>0</v>
      </c>
      <c r="ANN91" s="20" t="n">
        <f aca="false">AGN91-AYA91</f>
        <v>0</v>
      </c>
      <c r="ANO91" s="20" t="n">
        <f aca="false">AGO91-AYB91</f>
        <v>0</v>
      </c>
      <c r="ANP91" s="20" t="n">
        <f aca="false">AGP91-AYC91</f>
        <v>0</v>
      </c>
      <c r="ANQ91" s="20" t="n">
        <f aca="false">AGQ91-AYD91</f>
        <v>0</v>
      </c>
      <c r="ANR91" s="20" t="n">
        <f aca="false">AGR91-AYE91</f>
        <v>0</v>
      </c>
      <c r="ANS91" s="20" t="n">
        <f aca="false">AGS91-AYF91</f>
        <v>0</v>
      </c>
      <c r="ANT91" s="20" t="n">
        <f aca="false">AGT91-AYG91</f>
        <v>0</v>
      </c>
      <c r="ANU91" s="20" t="n">
        <f aca="false">AGU91-AYH91</f>
        <v>0</v>
      </c>
      <c r="ANV91" s="20" t="n">
        <f aca="false">AGV91-AYI91</f>
        <v>0</v>
      </c>
      <c r="ANW91" s="20" t="n">
        <f aca="false">AGW91-AYJ91</f>
        <v>0</v>
      </c>
      <c r="ANX91" s="20" t="n">
        <f aca="false">AGX91-AYK91</f>
        <v>0</v>
      </c>
      <c r="ANY91" s="20" t="n">
        <v>0</v>
      </c>
      <c r="ANZ91" s="20" t="n">
        <v>0</v>
      </c>
      <c r="AOA91" s="20" t="n">
        <v>0</v>
      </c>
      <c r="AOB91" s="20" t="n">
        <v>0</v>
      </c>
      <c r="AOC91" s="20" t="n">
        <v>0</v>
      </c>
      <c r="AOD91" s="20" t="n">
        <v>0</v>
      </c>
      <c r="AOE91" s="20" t="n">
        <f aca="false">IF(AND(H_Direct=0,H_TaxEvt=1,ARR90+1&gt;=H_Deemed),AKR91,AHE91)</f>
        <v>0</v>
      </c>
      <c r="AOF91" s="20" t="n">
        <f aca="false">IF(AND(H_Direct=0,H_TaxEvt=1,ARS90+1&gt;=H_Deemed),AKS91,AHF91)</f>
        <v>0</v>
      </c>
      <c r="AOG91" s="20" t="n">
        <f aca="false">IF(AND(H_Direct=0,H_TaxEvt=1,ART90+1&gt;=H_Deemed),AKT91,AHG91)</f>
        <v>0</v>
      </c>
      <c r="AOH91" s="20" t="n">
        <f aca="false">IF(AND(H_Direct=0,H_TaxEvt=1,ARU90+1&gt;=H_Deemed),AKU91,AHH91)</f>
        <v>0</v>
      </c>
      <c r="AOI91" s="20" t="n">
        <f aca="false">IF(AND(H_Direct=0,H_TaxEvt=1,ARV90+1&gt;=H_Deemed),AKV91,AHI91)</f>
        <v>0</v>
      </c>
      <c r="AOJ91" s="20" t="n">
        <f aca="false">IF(AND(H_Direct=0,H_TaxEvt=1,ARW90+1&gt;=H_Deemed),AKW91,AHJ91)</f>
        <v>0</v>
      </c>
      <c r="AOK91" s="20" t="n">
        <f aca="false">IF(AND(H_Direct=0,H_TaxEvt=1,ARX90+1&gt;=H_Deemed),AKX91,AHK91)</f>
        <v>0</v>
      </c>
      <c r="AOL91" s="20" t="n">
        <f aca="false">IF(AND(H_Direct=0,H_TaxEvt=1,ARY90+1&gt;=H_Deemed),AKY91,AHL91)</f>
        <v>0</v>
      </c>
      <c r="AOM91" s="20" t="n">
        <f aca="false">IF(AND(H_Direct=0,H_TaxEvt=1,ARZ90+1&gt;=H_Deemed),AKZ91,AHM91)</f>
        <v>0</v>
      </c>
      <c r="AON91" s="20" t="n">
        <f aca="false">IF(AND(H_Direct=0,H_TaxEvt=1,ASA90+1&gt;=H_Deemed),ALA91,AHN91)</f>
        <v>0</v>
      </c>
      <c r="AOO91" s="20" t="n">
        <f aca="false">IF(AND(H_Direct=0,H_TaxEvt=1,ASB90+1&gt;=H_Deemed),ALB91,AHO91)</f>
        <v>0</v>
      </c>
      <c r="AOP91" s="20" t="n">
        <f aca="false">IF(AND(H_Direct=0,H_TaxEvt=1,ASC90+1&gt;=H_Deemed),ALC91,AHP91)</f>
        <v>0</v>
      </c>
      <c r="AOQ91" s="20" t="n">
        <f aca="false">IF(AND(H_Direct=0,H_TaxEvt=1,ASD90+1&gt;=H_Deemed),ALD91,AHQ91)</f>
        <v>0</v>
      </c>
      <c r="AOR91" s="20" t="n">
        <f aca="false">IF(AND(H_Direct=0,H_TaxEvt=1,ASE90+1&gt;=H_Deemed),ALE91,AHR91)</f>
        <v>0</v>
      </c>
      <c r="AOS91" s="20" t="n">
        <f aca="false">IF(AND(H_Direct=0,H_TaxEvt=1,ASF90+1&gt;=H_Deemed),ALF91,AHS91)</f>
        <v>0</v>
      </c>
      <c r="AOT91" s="20" t="n">
        <f aca="false">IF(AND(H_Direct=0,H_TaxEvt=1,ASG90+1&gt;=H_Deemed),ALG91,AHT91)</f>
        <v>0</v>
      </c>
      <c r="AOU91" s="20" t="n">
        <f aca="false">IF(AND(H_Direct=0,H_TaxEvt=1,ASH90+1&gt;=H_Deemed),ALH91,AHU91)</f>
        <v>0</v>
      </c>
      <c r="AOV91" s="20" t="n">
        <f aca="false">IF(AND(H_Direct=0,H_TaxEvt=1,ASI90+1&gt;=H_Deemed),ALI91,AHV91)</f>
        <v>0</v>
      </c>
      <c r="AOW91" s="20" t="n">
        <f aca="false">IF(AND(H_Direct=0,H_TaxEvt=1,ASJ90+1&gt;=H_Deemed),ALJ91,AHW91)</f>
        <v>0</v>
      </c>
      <c r="AOX91" s="20" t="n">
        <f aca="false">IF(AND(H_Direct=0,H_TaxEvt=1,ASK90+1&gt;=H_Deemed),ALK91,AHX91)</f>
        <v>0</v>
      </c>
      <c r="AOY91" s="20" t="n">
        <f aca="false">IF(AND(H_Direct=0,H_TaxEvt=1,ASL90+1&gt;=H_Deemed),ALL91,AHY91)</f>
        <v>0</v>
      </c>
      <c r="AOZ91" s="20" t="n">
        <f aca="false">IF(AND(H_Direct=0,H_TaxEvt=1,ASM90+1&gt;=H_Deemed),ALM91,AHZ91)</f>
        <v>0</v>
      </c>
      <c r="APA91" s="20" t="n">
        <f aca="false">IF(AND(H_Direct=0,H_TaxEvt=1,ASN90+1&gt;=H_Deemed),ALN91,AIA91)</f>
        <v>0</v>
      </c>
      <c r="APB91" s="20" t="n">
        <f aca="false">IF(AND(H_Direct=0,H_TaxEvt=1,ASO90+1&gt;=H_Deemed),ALO91,AIB91)</f>
        <v>0</v>
      </c>
      <c r="APC91" s="20" t="n">
        <f aca="false">IF(AND(H_Direct=0,H_TaxEvt=1,ASP90+1&gt;=H_Deemed),ALP91,AIC91)</f>
        <v>0</v>
      </c>
      <c r="APD91" s="20" t="n">
        <f aca="false">IF(AND(H_Direct=0,H_TaxEvt=1,ASQ90+1&gt;=H_Deemed),ALQ91,AID91)</f>
        <v>0</v>
      </c>
      <c r="APE91" s="20" t="n">
        <f aca="false">IF(AND(H_Direct=0,H_TaxEvt=1,ASR90+1&gt;=H_Deemed),ALR91,AIE91)</f>
        <v>0</v>
      </c>
      <c r="APF91" s="20" t="n">
        <f aca="false">IF(AND(H_Direct=0,H_TaxEvt=1,ASS90+1&gt;=H_Deemed),ALS91,AIF91)</f>
        <v>0</v>
      </c>
      <c r="APG91" s="20" t="n">
        <f aca="false">IF(AND(H_Direct=0,H_TaxEvt=1,AST90+1&gt;=H_Deemed),ALT91,AIG91)</f>
        <v>0</v>
      </c>
      <c r="APH91" s="20" t="n">
        <f aca="false">IF(AND(H_Direct=0,H_TaxEvt=1,ASU90+1&gt;=H_Deemed),ALU91,AIH91)</f>
        <v>0</v>
      </c>
      <c r="API91" s="20" t="n">
        <f aca="false">IF(AND(H_Direct=0,H_TaxEvt=1,ASV90+1&gt;=H_Deemed),ALV91,AII91)</f>
        <v>0</v>
      </c>
      <c r="APJ91" s="20" t="n">
        <f aca="false">IF(AND(H_Direct=0,H_TaxEvt=1,ASW90+1&gt;=H_Deemed),ALW91,AIJ91)</f>
        <v>0</v>
      </c>
      <c r="APK91" s="20" t="n">
        <f aca="false">IF(AND(H_Direct=0,H_TaxEvt=1,ASX90+1&gt;=H_Deemed),ALX91,AIK91)</f>
        <v>0</v>
      </c>
      <c r="APL91" s="20" t="n">
        <f aca="false">IF(AND(H_Direct=0,H_TaxEvt=1,ASY90+1&gt;=H_Deemed),ALY91,AIL91)</f>
        <v>0</v>
      </c>
      <c r="APM91" s="20" t="n">
        <f aca="false">IF(AND(H_Direct=0,H_TaxEvt=1,ASZ90+1&gt;=H_Deemed),ALZ91,AIM91)</f>
        <v>0</v>
      </c>
      <c r="APN91" s="20" t="n">
        <f aca="false">IF(AND(H_Direct=0,H_TaxEvt=1,ATA90+1&gt;=H_Deemed),AMA91,AIN91)</f>
        <v>0</v>
      </c>
      <c r="APO91" s="20" t="n">
        <f aca="false">IF(AND(H_Direct=0,H_TaxEvt=1,ATB90+1&gt;=H_Deemed),AMB91,AIO91)</f>
        <v>0</v>
      </c>
      <c r="APP91" s="20" t="n">
        <f aca="false">IF(AND(H_Direct=0,H_TaxEvt=1,ATC90+1&gt;=H_Deemed),AMC91,AIP91)</f>
        <v>0</v>
      </c>
      <c r="APQ91" s="20" t="n">
        <f aca="false">IF(AND(H_Direct=0,H_TaxEvt=1,ATD90+1&gt;=H_Deemed),AMD91,AIQ91)</f>
        <v>0</v>
      </c>
      <c r="APR91" s="20" t="n">
        <f aca="false">IF(AND(H_Direct=0,H_TaxEvt=1,ATE90+1&gt;=H_Deemed),AME91,AIR91)</f>
        <v>0</v>
      </c>
      <c r="APS91" s="20" t="n">
        <f aca="false">IF(AND(H_Direct=0,H_TaxEvt=1,ATF90+1&gt;=H_Deemed),AMF91,AIS91)</f>
        <v>0</v>
      </c>
      <c r="APT91" s="20" t="n">
        <f aca="false">IF(AND(H_Direct=0,H_TaxEvt=1,ATG90+1&gt;=H_Deemed),AMG91,AIT91)</f>
        <v>0</v>
      </c>
      <c r="APU91" s="20" t="n">
        <f aca="false">IF(AND(H_Direct=0,H_TaxEvt=1,ATH90+1&gt;=H_Deemed),AMH91,AIU91)</f>
        <v>0</v>
      </c>
      <c r="APV91" s="20" t="n">
        <f aca="false">IF(AND(H_Direct=0,H_TaxEvt=1,ATI90+1&gt;=H_Deemed),AMI91,AIV91)</f>
        <v>0</v>
      </c>
      <c r="APW91" s="20" t="n">
        <f aca="false">IF(AND(H_Direct=0,H_TaxEvt=1,ATJ90+1&gt;=H_Deemed),AMJ91,AIW91)</f>
        <v>0</v>
      </c>
      <c r="APX91" s="20" t="n">
        <f aca="false">IF(AND(H_Direct=0,H_TaxEvt=1,ATK90+1&gt;=H_Deemed),AMK91,AIX91)</f>
        <v>0</v>
      </c>
      <c r="APY91" s="20" t="n">
        <f aca="false">IF(AND(H_Direct=0,H_TaxEvt=1,ATL90+1&gt;=H_Deemed),AML91,AIY91)</f>
        <v>0</v>
      </c>
      <c r="APZ91" s="20" t="n">
        <f aca="false">IF(AND(H_Direct=0,H_TaxEvt=1,ATM90+1&gt;=H_Deemed),AMM91,AIZ91)</f>
        <v>0</v>
      </c>
      <c r="AQA91" s="20" t="n">
        <f aca="false">IF(AND(H_Direct=0,H_TaxEvt=1,ATN90+1&gt;=H_Deemed),AMN91,AJA91)</f>
        <v>0</v>
      </c>
      <c r="AQB91" s="20" t="n">
        <f aca="false">IF(AND(H_Direct=0,H_TaxEvt=1,ATO90+1&gt;=H_Deemed),AMO91,AJB91)</f>
        <v>0</v>
      </c>
      <c r="AQC91" s="20" t="n">
        <f aca="false">IF(AND(H_Direct=0,H_TaxEvt=1,ATP90+1&gt;=H_Deemed),AMP91,AJC91)</f>
        <v>0</v>
      </c>
      <c r="AQD91" s="20" t="n">
        <f aca="false">IF(AND(H_Direct=0,H_TaxEvt=1,ATQ90+1&gt;=H_Deemed),AMQ91,AJD91)</f>
        <v>0</v>
      </c>
      <c r="AQE91" s="20" t="n">
        <f aca="false">IF(AND(H_Direct=0,H_TaxEvt=1,ATR90+1&gt;=H_Deemed),AMR91,AJE91)</f>
        <v>0</v>
      </c>
      <c r="AQF91" s="20" t="n">
        <f aca="false">IF(AND(H_Direct=0,H_TaxEvt=1,ATS90+1&gt;=H_Deemed),AMS91,AJF91)</f>
        <v>0</v>
      </c>
      <c r="AQG91" s="20" t="n">
        <f aca="false">IF(AND(H_Direct=0,H_TaxEvt=1,ATT90+1&gt;=H_Deemed),AMT91,AJG91)</f>
        <v>0</v>
      </c>
      <c r="AQH91" s="20" t="n">
        <f aca="false">IF(AND(H_Direct=0,H_TaxEvt=1,ATU90+1&gt;=H_Deemed),AMU91,AJH91)</f>
        <v>0</v>
      </c>
      <c r="AQI91" s="20" t="n">
        <f aca="false">IF(AND(H_Direct=0,H_TaxEvt=1,ATV90+1&gt;=H_Deemed),AMV91,AJI91)</f>
        <v>0</v>
      </c>
      <c r="AQJ91" s="20" t="n">
        <f aca="false">IF(AND(H_Direct=0,H_TaxEvt=1,ATW90+1&gt;=H_Deemed),AMW91,AJJ91)</f>
        <v>0</v>
      </c>
      <c r="AQK91" s="20" t="n">
        <f aca="false">IF(AND(H_Direct=0,H_TaxEvt=1,ATX90+1&gt;=H_Deemed),AMX91,AJK91)</f>
        <v>0</v>
      </c>
      <c r="AQL91" s="20" t="n">
        <f aca="false">IF(AND(H_Direct=0,H_TaxEvt=1,ATY90+1&gt;=H_Deemed),AMY91,AJL91)</f>
        <v>0</v>
      </c>
      <c r="AQM91" s="20" t="n">
        <f aca="false">IF(AND(H_Direct=0,H_TaxEvt=1,ATZ90+1&gt;=H_Deemed),AMZ91,AJM91)</f>
        <v>0</v>
      </c>
      <c r="AQN91" s="20" t="n">
        <f aca="false">IF(AND(H_Direct=0,H_TaxEvt=1,AUA90+1&gt;=H_Deemed),ANA91,AJN91)</f>
        <v>0</v>
      </c>
      <c r="AQO91" s="20" t="n">
        <f aca="false">IF(AND(H_Direct=0,H_TaxEvt=1,AUB90+1&gt;=H_Deemed),ANB91,AJO91)</f>
        <v>0</v>
      </c>
      <c r="AQP91" s="20" t="n">
        <f aca="false">IF(AND(H_Direct=0,H_TaxEvt=1,AUC90+1&gt;=H_Deemed),ANC91,AJP91)</f>
        <v>0</v>
      </c>
      <c r="AQQ91" s="20" t="n">
        <f aca="false">IF(AND(H_Direct=0,H_TaxEvt=1,AUD90+1&gt;=H_Deemed),AND91,AJQ91)</f>
        <v>0</v>
      </c>
      <c r="AQR91" s="20" t="n">
        <f aca="false">IF(AND(H_Direct=0,H_TaxEvt=1,AUE90+1&gt;=H_Deemed),ANE91,AJR91)</f>
        <v>0</v>
      </c>
      <c r="AQS91" s="20" t="n">
        <f aca="false">IF(AND(H_Direct=0,H_TaxEvt=1,AUF90+1&gt;=H_Deemed),ANF91,AJS91)</f>
        <v>0</v>
      </c>
      <c r="AQT91" s="20" t="n">
        <f aca="false">IF(AND(H_Direct=0,H_TaxEvt=1,AUG90+1&gt;=H_Deemed),ANG91,AJT91)</f>
        <v>0</v>
      </c>
      <c r="AQU91" s="20" t="n">
        <f aca="false">IF(AND(H_Direct=0,H_TaxEvt=1,AUH90+1&gt;=H_Deemed),ANH91,AJU91)</f>
        <v>0</v>
      </c>
      <c r="AQV91" s="20" t="n">
        <f aca="false">IF(AND(H_Direct=0,H_TaxEvt=1,AUI90+1&gt;=H_Deemed),ANI91,AJV91)</f>
        <v>0</v>
      </c>
      <c r="AQW91" s="20" t="n">
        <f aca="false">IF(AND(H_Direct=0,H_TaxEvt=1,AUJ90+1&gt;=H_Deemed),ANJ91,AJW91)</f>
        <v>0</v>
      </c>
      <c r="AQX91" s="20" t="n">
        <f aca="false">IF(AND(H_Direct=0,H_TaxEvt=1,AUK90+1&gt;=H_Deemed),ANK91,AJX91)</f>
        <v>0</v>
      </c>
      <c r="AQY91" s="20" t="n">
        <f aca="false">IF(AND(H_Direct=0,H_TaxEvt=1,AUL90+1&gt;=H_Deemed),ANL91,AJY91)</f>
        <v>0</v>
      </c>
      <c r="AQZ91" s="20" t="n">
        <f aca="false">IF(AND(H_Direct=0,H_TaxEvt=1,AUM90+1&gt;=H_Deemed),ANM91,AJZ91)</f>
        <v>0</v>
      </c>
      <c r="ARA91" s="20" t="n">
        <f aca="false">IF(AND(H_Direct=0,H_TaxEvt=1,AUN90+1&gt;=H_Deemed),ANN91,AKA91)</f>
        <v>0</v>
      </c>
      <c r="ARB91" s="20" t="n">
        <f aca="false">IF(AND(H_Direct=0,H_TaxEvt=1,AUO90+1&gt;=H_Deemed),ANO91,AKB91)</f>
        <v>0</v>
      </c>
      <c r="ARC91" s="20" t="n">
        <f aca="false">IF(AND(H_Direct=0,H_TaxEvt=1,AUP90+1&gt;=H_Deemed),ANP91,AKC91)</f>
        <v>0</v>
      </c>
      <c r="ARD91" s="20" t="n">
        <f aca="false">IF(AND(H_Direct=0,H_TaxEvt=1,AUQ90+1&gt;=H_Deemed),ANQ91,AKD91)</f>
        <v>0</v>
      </c>
      <c r="ARE91" s="20" t="n">
        <f aca="false">IF(AND(H_Direct=0,H_TaxEvt=1,AUR90+1&gt;=H_Deemed),ANR91,AKE91)</f>
        <v>0</v>
      </c>
      <c r="ARF91" s="20" t="n">
        <f aca="false">IF(AND(H_Direct=0,H_TaxEvt=1,AUS90+1&gt;=H_Deemed),ANS91,AKF91)</f>
        <v>0</v>
      </c>
      <c r="ARG91" s="20" t="n">
        <f aca="false">IF(AND(H_Direct=0,H_TaxEvt=1,AUT90+1&gt;=H_Deemed),ANT91,AKG91)</f>
        <v>0</v>
      </c>
      <c r="ARH91" s="20" t="n">
        <f aca="false">IF(AND(H_Direct=0,H_TaxEvt=1,AUU90+1&gt;=H_Deemed),ANU91,AKH91)</f>
        <v>0</v>
      </c>
      <c r="ARI91" s="20" t="n">
        <f aca="false">IF(AND(H_Direct=0,H_TaxEvt=1,AUV90+1&gt;=H_Deemed),ANV91,AKI91)</f>
        <v>0</v>
      </c>
      <c r="ARJ91" s="20" t="n">
        <f aca="false">IF(AND(H_Direct=0,H_TaxEvt=1,AUW90+1&gt;=H_Deemed),ANW91,AKJ91)</f>
        <v>0</v>
      </c>
      <c r="ARK91" s="20" t="n">
        <f aca="false">IF(AND(H_Direct=0,H_TaxEvt=1,0+1&gt;=H_Deemed),ANX91,AKK91)</f>
        <v>0</v>
      </c>
      <c r="ARL91" s="20" t="n">
        <v>0</v>
      </c>
      <c r="ARM91" s="20" t="n">
        <v>0</v>
      </c>
      <c r="ARN91" s="20" t="n">
        <v>0</v>
      </c>
      <c r="ARO91" s="20" t="n">
        <v>0</v>
      </c>
      <c r="ARP91" s="20" t="n">
        <v>0</v>
      </c>
      <c r="ARQ91" s="20" t="n">
        <v>0</v>
      </c>
      <c r="ARR91" s="20" t="n">
        <f aca="false">IF(AND(H_Direct=0,H_TaxEvt=1),IF(ARR90+1&gt;=H_Deemed,0,ARR90+1),ARR90)</f>
        <v>4</v>
      </c>
      <c r="ARS91" s="20" t="n">
        <f aca="false">IF(AND(H_Direct=0,H_TaxEvt=1),IF(ARS90+1&gt;=H_Deemed,0,ARS90+1),ARS90)</f>
        <v>4</v>
      </c>
      <c r="ART91" s="20" t="n">
        <f aca="false">IF(AND(H_Direct=0,H_TaxEvt=1),IF(ART90+1&gt;=H_Deemed,0,ART90+1),ART90)</f>
        <v>3</v>
      </c>
      <c r="ARU91" s="20" t="n">
        <f aca="false">IF(AND(H_Direct=0,H_TaxEvt=1),IF(ARU90+1&gt;=H_Deemed,0,ARU90+1),ARU90)</f>
        <v>2</v>
      </c>
      <c r="ARV91" s="20" t="n">
        <f aca="false">IF(AND(H_Direct=0,H_TaxEvt=1),IF(ARV90+1&gt;=H_Deemed,0,ARV90+1),ARV90)</f>
        <v>1</v>
      </c>
      <c r="ARW91" s="20" t="n">
        <f aca="false">IF(AND(H_Direct=0,H_TaxEvt=1),IF(ARW90+1&gt;=H_Deemed,0,ARW90+1),ARW90)</f>
        <v>0</v>
      </c>
      <c r="ARX91" s="20" t="n">
        <f aca="false">IF(AND(H_Direct=0,H_TaxEvt=1),IF(ARX90+1&gt;=H_Deemed,0,ARX90+1),ARX90)</f>
        <v>7</v>
      </c>
      <c r="ARY91" s="20" t="n">
        <f aca="false">IF(AND(H_Direct=0,H_TaxEvt=1),IF(ARY90+1&gt;=H_Deemed,0,ARY90+1),ARY90)</f>
        <v>6</v>
      </c>
      <c r="ARZ91" s="20" t="n">
        <f aca="false">IF(AND(H_Direct=0,H_TaxEvt=1),IF(ARZ90+1&gt;=H_Deemed,0,ARZ90+1),ARZ90)</f>
        <v>5</v>
      </c>
      <c r="ASA91" s="20" t="n">
        <f aca="false">IF(AND(H_Direct=0,H_TaxEvt=1),IF(ASA90+1&gt;=H_Deemed,0,ASA90+1),ASA90)</f>
        <v>4</v>
      </c>
      <c r="ASB91" s="20" t="n">
        <f aca="false">IF(AND(H_Direct=0,H_TaxEvt=1),IF(ASB90+1&gt;=H_Deemed,0,ASB90+1),ASB90)</f>
        <v>3</v>
      </c>
      <c r="ASC91" s="20" t="n">
        <f aca="false">IF(AND(H_Direct=0,H_TaxEvt=1),IF(ASC90+1&gt;=H_Deemed,0,ASC90+1),ASC90)</f>
        <v>2</v>
      </c>
      <c r="ASD91" s="20" t="n">
        <f aca="false">IF(AND(H_Direct=0,H_TaxEvt=1),IF(ASD90+1&gt;=H_Deemed,0,ASD90+1),ASD90)</f>
        <v>1</v>
      </c>
      <c r="ASE91" s="20" t="n">
        <f aca="false">IF(AND(H_Direct=0,H_TaxEvt=1),IF(ASE90+1&gt;=H_Deemed,0,ASE90+1),ASE90)</f>
        <v>0</v>
      </c>
      <c r="ASF91" s="20" t="n">
        <f aca="false">IF(AND(H_Direct=0,H_TaxEvt=1),IF(ASF90+1&gt;=H_Deemed,0,ASF90+1),ASF90)</f>
        <v>7</v>
      </c>
      <c r="ASG91" s="20" t="n">
        <f aca="false">IF(AND(H_Direct=0,H_TaxEvt=1),IF(ASG90+1&gt;=H_Deemed,0,ASG90+1),ASG90)</f>
        <v>6</v>
      </c>
      <c r="ASH91" s="20" t="n">
        <f aca="false">IF(AND(H_Direct=0,H_TaxEvt=1),IF(ASH90+1&gt;=H_Deemed,0,ASH90+1),ASH90)</f>
        <v>5</v>
      </c>
      <c r="ASI91" s="20" t="n">
        <f aca="false">IF(AND(H_Direct=0,H_TaxEvt=1),IF(ASI90+1&gt;=H_Deemed,0,ASI90+1),ASI90)</f>
        <v>4</v>
      </c>
      <c r="ASJ91" s="20" t="n">
        <f aca="false">IF(AND(H_Direct=0,H_TaxEvt=1),IF(ASJ90+1&gt;=H_Deemed,0,ASJ90+1),ASJ90)</f>
        <v>3</v>
      </c>
      <c r="ASK91" s="20" t="n">
        <f aca="false">IF(AND(H_Direct=0,H_TaxEvt=1),IF(ASK90+1&gt;=H_Deemed,0,ASK90+1),ASK90)</f>
        <v>2</v>
      </c>
      <c r="ASL91" s="20" t="n">
        <f aca="false">IF(AND(H_Direct=0,H_TaxEvt=1),IF(ASL90+1&gt;=H_Deemed,0,ASL90+1),ASL90)</f>
        <v>1</v>
      </c>
      <c r="ASM91" s="20" t="n">
        <f aca="false">IF(AND(H_Direct=0,H_TaxEvt=1),IF(ASM90+1&gt;=H_Deemed,0,ASM90+1),ASM90)</f>
        <v>0</v>
      </c>
      <c r="ASN91" s="20" t="n">
        <f aca="false">IF(AND(H_Direct=0,H_TaxEvt=1),IF(ASN90+1&gt;=H_Deemed,0,ASN90+1),ASN90)</f>
        <v>7</v>
      </c>
      <c r="ASO91" s="20" t="n">
        <f aca="false">IF(AND(H_Direct=0,H_TaxEvt=1),IF(ASO90+1&gt;=H_Deemed,0,ASO90+1),ASO90)</f>
        <v>6</v>
      </c>
      <c r="ASP91" s="20" t="n">
        <f aca="false">IF(AND(H_Direct=0,H_TaxEvt=1),IF(ASP90+1&gt;=H_Deemed,0,ASP90+1),ASP90)</f>
        <v>5</v>
      </c>
      <c r="ASQ91" s="20" t="n">
        <f aca="false">IF(AND(H_Direct=0,H_TaxEvt=1),IF(ASQ90+1&gt;=H_Deemed,0,ASQ90+1),ASQ90)</f>
        <v>4</v>
      </c>
      <c r="ASR91" s="20" t="n">
        <f aca="false">IF(AND(H_Direct=0,H_TaxEvt=1),IF(ASR90+1&gt;=H_Deemed,0,ASR90+1),ASR90)</f>
        <v>3</v>
      </c>
      <c r="ASS91" s="20" t="n">
        <f aca="false">IF(AND(H_Direct=0,H_TaxEvt=1),IF(ASS90+1&gt;=H_Deemed,0,ASS90+1),ASS90)</f>
        <v>2</v>
      </c>
      <c r="AST91" s="20" t="n">
        <f aca="false">IF(AND(H_Direct=0,H_TaxEvt=1),IF(AST90+1&gt;=H_Deemed,0,AST90+1),AST90)</f>
        <v>1</v>
      </c>
      <c r="ASU91" s="20" t="n">
        <f aca="false">IF(AND(H_Direct=0,H_TaxEvt=1),IF(ASU90+1&gt;=H_Deemed,0,ASU90+1),ASU90)</f>
        <v>0</v>
      </c>
      <c r="ASV91" s="20" t="n">
        <f aca="false">IF(AND(H_Direct=0,H_TaxEvt=1),IF(ASV90+1&gt;=H_Deemed,0,ASV90+1),ASV90)</f>
        <v>7</v>
      </c>
      <c r="ASW91" s="20" t="n">
        <f aca="false">IF(AND(H_Direct=0,H_TaxEvt=1),IF(ASW90+1&gt;=H_Deemed,0,ASW90+1),ASW90)</f>
        <v>6</v>
      </c>
      <c r="ASX91" s="20" t="n">
        <f aca="false">IF(AND(H_Direct=0,H_TaxEvt=1),IF(ASX90+1&gt;=H_Deemed,0,ASX90+1),ASX90)</f>
        <v>5</v>
      </c>
      <c r="ASY91" s="20" t="n">
        <f aca="false">IF(AND(H_Direct=0,H_TaxEvt=1),IF(ASY90+1&gt;=H_Deemed,0,ASY90+1),ASY90)</f>
        <v>4</v>
      </c>
      <c r="ASZ91" s="20" t="n">
        <f aca="false">IF(AND(H_Direct=0,H_TaxEvt=1),IF(ASZ90+1&gt;=H_Deemed,0,ASZ90+1),ASZ90)</f>
        <v>3</v>
      </c>
      <c r="ATA91" s="20" t="n">
        <f aca="false">IF(AND(H_Direct=0,H_TaxEvt=1),IF(ATA90+1&gt;=H_Deemed,0,ATA90+1),ATA90)</f>
        <v>2</v>
      </c>
      <c r="ATB91" s="20" t="n">
        <f aca="false">IF(AND(H_Direct=0,H_TaxEvt=1),IF(ATB90+1&gt;=H_Deemed,0,ATB90+1),ATB90)</f>
        <v>1</v>
      </c>
      <c r="ATC91" s="20" t="n">
        <f aca="false">IF(AND(H_Direct=0,H_TaxEvt=1),IF(ATC90+1&gt;=H_Deemed,0,ATC90+1),ATC90)</f>
        <v>0</v>
      </c>
      <c r="ATD91" s="20" t="n">
        <f aca="false">IF(AND(H_Direct=0,H_TaxEvt=1),IF(ATD90+1&gt;=H_Deemed,0,ATD90+1),ATD90)</f>
        <v>7</v>
      </c>
      <c r="ATE91" s="20" t="n">
        <f aca="false">IF(AND(H_Direct=0,H_TaxEvt=1),IF(ATE90+1&gt;=H_Deemed,0,ATE90+1),ATE90)</f>
        <v>6</v>
      </c>
      <c r="ATF91" s="20" t="n">
        <f aca="false">IF(AND(H_Direct=0,H_TaxEvt=1),IF(ATF90+1&gt;=H_Deemed,0,ATF90+1),ATF90)</f>
        <v>5</v>
      </c>
      <c r="ATG91" s="20" t="n">
        <f aca="false">IF(AND(H_Direct=0,H_TaxEvt=1),IF(ATG90+1&gt;=H_Deemed,0,ATG90+1),ATG90)</f>
        <v>4</v>
      </c>
      <c r="ATH91" s="20" t="n">
        <f aca="false">IF(AND(H_Direct=0,H_TaxEvt=1),IF(ATH90+1&gt;=H_Deemed,0,ATH90+1),ATH90)</f>
        <v>3</v>
      </c>
      <c r="ATI91" s="20" t="n">
        <f aca="false">IF(AND(H_Direct=0,H_TaxEvt=1),IF(ATI90+1&gt;=H_Deemed,0,ATI90+1),ATI90)</f>
        <v>2</v>
      </c>
      <c r="ATJ91" s="20" t="n">
        <f aca="false">IF(AND(H_Direct=0,H_TaxEvt=1),IF(ATJ90+1&gt;=H_Deemed,0,ATJ90+1),ATJ90)</f>
        <v>1</v>
      </c>
      <c r="ATK91" s="20" t="n">
        <f aca="false">IF(AND(H_Direct=0,H_TaxEvt=1),IF(ATK90+1&gt;=H_Deemed,0,ATK90+1),ATK90)</f>
        <v>0</v>
      </c>
      <c r="ATL91" s="20" t="n">
        <f aca="false">IF(AND(H_Direct=0,H_TaxEvt=1),IF(ATL90+1&gt;=H_Deemed,0,ATL90+1),ATL90)</f>
        <v>7</v>
      </c>
      <c r="ATM91" s="20" t="n">
        <f aca="false">IF(AND(H_Direct=0,H_TaxEvt=1),IF(ATM90+1&gt;=H_Deemed,0,ATM90+1),ATM90)</f>
        <v>6</v>
      </c>
      <c r="ATN91" s="20" t="n">
        <f aca="false">IF(AND(H_Direct=0,H_TaxEvt=1),IF(ATN90+1&gt;=H_Deemed,0,ATN90+1),ATN90)</f>
        <v>5</v>
      </c>
      <c r="ATO91" s="20" t="n">
        <f aca="false">IF(AND(H_Direct=0,H_TaxEvt=1),IF(ATO90+1&gt;=H_Deemed,0,ATO90+1),ATO90)</f>
        <v>4</v>
      </c>
      <c r="ATP91" s="20" t="n">
        <f aca="false">IF(AND(H_Direct=0,H_TaxEvt=1),IF(ATP90+1&gt;=H_Deemed,0,ATP90+1),ATP90)</f>
        <v>3</v>
      </c>
      <c r="ATQ91" s="20" t="n">
        <f aca="false">IF(AND(H_Direct=0,H_TaxEvt=1),IF(ATQ90+1&gt;=H_Deemed,0,ATQ90+1),ATQ90)</f>
        <v>2</v>
      </c>
      <c r="ATR91" s="20" t="n">
        <f aca="false">IF(AND(H_Direct=0,H_TaxEvt=1),IF(ATR90+1&gt;=H_Deemed,0,ATR90+1),ATR90)</f>
        <v>1</v>
      </c>
      <c r="ATS91" s="20" t="n">
        <f aca="false">IF(AND(H_Direct=0,H_TaxEvt=1),IF(ATS90+1&gt;=H_Deemed,0,ATS90+1),ATS90)</f>
        <v>0</v>
      </c>
      <c r="ATT91" s="20" t="n">
        <f aca="false">IF(AND(H_Direct=0,H_TaxEvt=1),IF(ATT90+1&gt;=H_Deemed,0,ATT90+1),ATT90)</f>
        <v>7</v>
      </c>
      <c r="ATU91" s="20" t="n">
        <f aca="false">IF(AND(H_Direct=0,H_TaxEvt=1),IF(ATU90+1&gt;=H_Deemed,0,ATU90+1),ATU90)</f>
        <v>6</v>
      </c>
      <c r="ATV91" s="20" t="n">
        <f aca="false">IF(AND(H_Direct=0,H_TaxEvt=1),IF(ATV90+1&gt;=H_Deemed,0,ATV90+1),ATV90)</f>
        <v>5</v>
      </c>
      <c r="ATW91" s="20" t="n">
        <f aca="false">IF(AND(H_Direct=0,H_TaxEvt=1),IF(ATW90+1&gt;=H_Deemed,0,ATW90+1),ATW90)</f>
        <v>4</v>
      </c>
      <c r="ATX91" s="20" t="n">
        <f aca="false">IF(AND(H_Direct=0,H_TaxEvt=1),IF(ATX90+1&gt;=H_Deemed,0,ATX90+1),ATX90)</f>
        <v>3</v>
      </c>
      <c r="ATY91" s="20" t="n">
        <f aca="false">IF(AND(H_Direct=0,H_TaxEvt=1),IF(ATY90+1&gt;=H_Deemed,0,ATY90+1),ATY90)</f>
        <v>2</v>
      </c>
      <c r="ATZ91" s="20" t="n">
        <f aca="false">IF(AND(H_Direct=0,H_TaxEvt=1),IF(ATZ90+1&gt;=H_Deemed,0,ATZ90+1),ATZ90)</f>
        <v>1</v>
      </c>
      <c r="AUA91" s="20" t="n">
        <f aca="false">IF(AND(H_Direct=0,H_TaxEvt=1),IF(AUA90+1&gt;=H_Deemed,0,AUA90+1),AUA90)</f>
        <v>0</v>
      </c>
      <c r="AUB91" s="20" t="n">
        <f aca="false">IF(AND(H_Direct=0,H_TaxEvt=1),IF(AUB90+1&gt;=H_Deemed,0,AUB90+1),AUB90)</f>
        <v>7</v>
      </c>
      <c r="AUC91" s="20" t="n">
        <f aca="false">IF(AND(H_Direct=0,H_TaxEvt=1),IF(AUC90+1&gt;=H_Deemed,0,AUC90+1),AUC90)</f>
        <v>6</v>
      </c>
      <c r="AUD91" s="20" t="n">
        <f aca="false">IF(AND(H_Direct=0,H_TaxEvt=1),IF(AUD90+1&gt;=H_Deemed,0,AUD90+1),AUD90)</f>
        <v>5</v>
      </c>
      <c r="AUE91" s="20" t="n">
        <f aca="false">IF(AND(H_Direct=0,H_TaxEvt=1),IF(AUE90+1&gt;=H_Deemed,0,AUE90+1),AUE90)</f>
        <v>4</v>
      </c>
      <c r="AUF91" s="20" t="n">
        <f aca="false">IF(AND(H_Direct=0,H_TaxEvt=1),IF(AUF90+1&gt;=H_Deemed,0,AUF90+1),AUF90)</f>
        <v>3</v>
      </c>
      <c r="AUG91" s="20" t="n">
        <f aca="false">IF(AND(H_Direct=0,H_TaxEvt=1),IF(AUG90+1&gt;=H_Deemed,0,AUG90+1),AUG90)</f>
        <v>2</v>
      </c>
      <c r="AUH91" s="20" t="n">
        <f aca="false">IF(AND(H_Direct=0,H_TaxEvt=1),IF(AUH90+1&gt;=H_Deemed,0,AUH90+1),AUH90)</f>
        <v>1</v>
      </c>
      <c r="AUI91" s="20" t="n">
        <f aca="false">IF(AND(H_Direct=0,H_TaxEvt=1),IF(AUI90+1&gt;=H_Deemed,0,AUI90+1),AUI90)</f>
        <v>0</v>
      </c>
      <c r="AUJ91" s="20" t="n">
        <f aca="false">IF(AND(H_Direct=0,H_TaxEvt=1),IF(AUJ90+1&gt;=H_Deemed,0,AUJ90+1),AUJ90)</f>
        <v>7</v>
      </c>
      <c r="AUK91" s="20" t="n">
        <f aca="false">IF(AND(H_Direct=0,H_TaxEvt=1),IF(AUK90+1&gt;=H_Deemed,0,AUK90+1),AUK90)</f>
        <v>6</v>
      </c>
      <c r="AUL91" s="20" t="n">
        <f aca="false">IF(AND(H_Direct=0,H_TaxEvt=1),IF(AUL90+1&gt;=H_Deemed,0,AUL90+1),AUL90)</f>
        <v>5</v>
      </c>
      <c r="AUM91" s="20" t="n">
        <f aca="false">IF(AND(H_Direct=0,H_TaxEvt=1),IF(AUM90+1&gt;=H_Deemed,0,AUM90+1),AUM90)</f>
        <v>4</v>
      </c>
      <c r="AUN91" s="20" t="n">
        <f aca="false">IF(AND(H_Direct=0,H_TaxEvt=1),IF(AUN90+1&gt;=H_Deemed,0,AUN90+1),AUN90)</f>
        <v>3</v>
      </c>
      <c r="AUO91" s="20" t="n">
        <f aca="false">IF(AND(H_Direct=0,H_TaxEvt=1),IF(AUO90+1&gt;=H_Deemed,0,AUO90+1),AUO90)</f>
        <v>2</v>
      </c>
      <c r="AUP91" s="20" t="n">
        <f aca="false">IF(AND(H_Direct=0,H_TaxEvt=1),IF(AUP90+1&gt;=H_Deemed,0,AUP90+1),AUP90)</f>
        <v>1</v>
      </c>
      <c r="AUQ91" s="20" t="n">
        <f aca="false">IF(AND(H_Direct=0,H_TaxEvt=1),IF(AUQ90+1&gt;=H_Deemed,0,AUQ90+1),AUQ90)</f>
        <v>0</v>
      </c>
      <c r="AUR91" s="20" t="n">
        <f aca="false">IF(AND(H_Direct=0,H_TaxEvt=1),IF(AUR90+1&gt;=H_Deemed,0,AUR90+1),AUR90)</f>
        <v>7</v>
      </c>
      <c r="AUS91" s="20" t="n">
        <f aca="false">IF(AND(H_Direct=0,H_TaxEvt=1),IF(AUS90+1&gt;=H_Deemed,0,AUS90+1),AUS90)</f>
        <v>6</v>
      </c>
      <c r="AUT91" s="20" t="n">
        <f aca="false">IF(AND(H_Direct=0,H_TaxEvt=1),IF(AUT90+1&gt;=H_Deemed,0,AUT90+1),AUT90)</f>
        <v>5</v>
      </c>
      <c r="AUU91" s="20" t="n">
        <f aca="false">IF(AND(H_Direct=0,H_TaxEvt=1),IF(AUU90+1&gt;=H_Deemed,0,AUU90+1),AUU90)</f>
        <v>4</v>
      </c>
      <c r="AUV91" s="20" t="n">
        <f aca="false">IF(AND(H_Direct=0,H_TaxEvt=1),IF(AUV90+1&gt;=H_Deemed,0,AUV90+1),AUV90)</f>
        <v>3</v>
      </c>
      <c r="AUW91" s="20" t="n">
        <f aca="false">IF(AND(H_Direct=0,H_TaxEvt=1),IF(AUW90+1&gt;=H_Deemed,0,AUW90+1),AUW90)</f>
        <v>2</v>
      </c>
      <c r="AUX91" s="20" t="n">
        <f aca="false">IF(AND(H_Direct=0,H_TaxEvt=1),IF(0+1&gt;=H_Deemed,0,0+1),0)</f>
        <v>1</v>
      </c>
      <c r="AUY91" s="20" t="n">
        <v>0</v>
      </c>
      <c r="AUZ91" s="20" t="n">
        <v>0</v>
      </c>
      <c r="AVA91" s="20" t="n">
        <v>0</v>
      </c>
      <c r="AVB91" s="20" t="n">
        <v>0</v>
      </c>
      <c r="AVC91" s="20" t="n">
        <v>0</v>
      </c>
      <c r="AVD91" s="20" t="n">
        <v>0</v>
      </c>
      <c r="AVE91" s="20" t="n">
        <f aca="false">IF(AND(H_Direct=0,H_TaxEvt=1,ARR90+1&gt;=H_Deemed),MAX(0,ADR91-AHE91)*H_Exit,0)</f>
        <v>0</v>
      </c>
      <c r="AVF91" s="20" t="n">
        <f aca="false">IF(AND(H_Direct=0,H_TaxEvt=1,ARS90+1&gt;=H_Deemed),MAX(0,ADS91-AHF91)*H_Exit,0)</f>
        <v>0</v>
      </c>
      <c r="AVG91" s="20" t="n">
        <f aca="false">IF(AND(H_Direct=0,H_TaxEvt=1,ART90+1&gt;=H_Deemed),MAX(0,ADT91-AHG91)*H_Exit,0)</f>
        <v>0</v>
      </c>
      <c r="AVH91" s="20" t="n">
        <f aca="false">IF(AND(H_Direct=0,H_TaxEvt=1,ARU90+1&gt;=H_Deemed),MAX(0,ADU91-AHH91)*H_Exit,0)</f>
        <v>0</v>
      </c>
      <c r="AVI91" s="20" t="n">
        <f aca="false">IF(AND(H_Direct=0,H_TaxEvt=1,ARV90+1&gt;=H_Deemed),MAX(0,ADV91-AHI91)*H_Exit,0)</f>
        <v>0</v>
      </c>
      <c r="AVJ91" s="20" t="n">
        <f aca="false">IF(AND(H_Direct=0,H_TaxEvt=1,ARW90+1&gt;=H_Deemed),MAX(0,ADW91-AHJ91)*H_Exit,0)</f>
        <v>0</v>
      </c>
      <c r="AVK91" s="20" t="n">
        <f aca="false">IF(AND(H_Direct=0,H_TaxEvt=1,ARX90+1&gt;=H_Deemed),MAX(0,ADX91-AHK91)*H_Exit,0)</f>
        <v>0</v>
      </c>
      <c r="AVL91" s="20" t="n">
        <f aca="false">IF(AND(H_Direct=0,H_TaxEvt=1,ARY90+1&gt;=H_Deemed),MAX(0,ADY91-AHL91)*H_Exit,0)</f>
        <v>0</v>
      </c>
      <c r="AVM91" s="20" t="n">
        <f aca="false">IF(AND(H_Direct=0,H_TaxEvt=1,ARZ90+1&gt;=H_Deemed),MAX(0,ADZ91-AHM91)*H_Exit,0)</f>
        <v>0</v>
      </c>
      <c r="AVN91" s="20" t="n">
        <f aca="false">IF(AND(H_Direct=0,H_TaxEvt=1,ASA90+1&gt;=H_Deemed),MAX(0,AEA91-AHN91)*H_Exit,0)</f>
        <v>0</v>
      </c>
      <c r="AVO91" s="20" t="n">
        <f aca="false">IF(AND(H_Direct=0,H_TaxEvt=1,ASB90+1&gt;=H_Deemed),MAX(0,AEB91-AHO91)*H_Exit,0)</f>
        <v>0</v>
      </c>
      <c r="AVP91" s="20" t="n">
        <f aca="false">IF(AND(H_Direct=0,H_TaxEvt=1,ASC90+1&gt;=H_Deemed),MAX(0,AEC91-AHP91)*H_Exit,0)</f>
        <v>0</v>
      </c>
      <c r="AVQ91" s="20" t="n">
        <f aca="false">IF(AND(H_Direct=0,H_TaxEvt=1,ASD90+1&gt;=H_Deemed),MAX(0,AED91-AHQ91)*H_Exit,0)</f>
        <v>0</v>
      </c>
      <c r="AVR91" s="20" t="n">
        <f aca="false">IF(AND(H_Direct=0,H_TaxEvt=1,ASE90+1&gt;=H_Deemed),MAX(0,AEE91-AHR91)*H_Exit,0)</f>
        <v>0</v>
      </c>
      <c r="AVS91" s="20" t="n">
        <f aca="false">IF(AND(H_Direct=0,H_TaxEvt=1,ASF90+1&gt;=H_Deemed),MAX(0,AEF91-AHS91)*H_Exit,0)</f>
        <v>0</v>
      </c>
      <c r="AVT91" s="20" t="n">
        <f aca="false">IF(AND(H_Direct=0,H_TaxEvt=1,ASG90+1&gt;=H_Deemed),MAX(0,AEG91-AHT91)*H_Exit,0)</f>
        <v>0</v>
      </c>
      <c r="AVU91" s="20" t="n">
        <f aca="false">IF(AND(H_Direct=0,H_TaxEvt=1,ASH90+1&gt;=H_Deemed),MAX(0,AEH91-AHU91)*H_Exit,0)</f>
        <v>0</v>
      </c>
      <c r="AVV91" s="20" t="n">
        <f aca="false">IF(AND(H_Direct=0,H_TaxEvt=1,ASI90+1&gt;=H_Deemed),MAX(0,AEI91-AHV91)*H_Exit,0)</f>
        <v>0</v>
      </c>
      <c r="AVW91" s="20" t="n">
        <f aca="false">IF(AND(H_Direct=0,H_TaxEvt=1,ASJ90+1&gt;=H_Deemed),MAX(0,AEJ91-AHW91)*H_Exit,0)</f>
        <v>0</v>
      </c>
      <c r="AVX91" s="20" t="n">
        <f aca="false">IF(AND(H_Direct=0,H_TaxEvt=1,ASK90+1&gt;=H_Deemed),MAX(0,AEK91-AHX91)*H_Exit,0)</f>
        <v>0</v>
      </c>
      <c r="AVY91" s="20" t="n">
        <f aca="false">IF(AND(H_Direct=0,H_TaxEvt=1,ASL90+1&gt;=H_Deemed),MAX(0,AEL91-AHY91)*H_Exit,0)</f>
        <v>0</v>
      </c>
      <c r="AVZ91" s="20" t="n">
        <f aca="false">IF(AND(H_Direct=0,H_TaxEvt=1,ASM90+1&gt;=H_Deemed),MAX(0,AEM91-AHZ91)*H_Exit,0)</f>
        <v>0</v>
      </c>
      <c r="AWA91" s="20" t="n">
        <f aca="false">IF(AND(H_Direct=0,H_TaxEvt=1,ASN90+1&gt;=H_Deemed),MAX(0,AEN91-AIA91)*H_Exit,0)</f>
        <v>0</v>
      </c>
      <c r="AWB91" s="20" t="n">
        <f aca="false">IF(AND(H_Direct=0,H_TaxEvt=1,ASO90+1&gt;=H_Deemed),MAX(0,AEO91-AIB91)*H_Exit,0)</f>
        <v>0</v>
      </c>
      <c r="AWC91" s="20" t="n">
        <f aca="false">IF(AND(H_Direct=0,H_TaxEvt=1,ASP90+1&gt;=H_Deemed),MAX(0,AEP91-AIC91)*H_Exit,0)</f>
        <v>0</v>
      </c>
      <c r="AWD91" s="20" t="n">
        <f aca="false">IF(AND(H_Direct=0,H_TaxEvt=1,ASQ90+1&gt;=H_Deemed),MAX(0,AEQ91-AID91)*H_Exit,0)</f>
        <v>0</v>
      </c>
      <c r="AWE91" s="20" t="n">
        <f aca="false">IF(AND(H_Direct=0,H_TaxEvt=1,ASR90+1&gt;=H_Deemed),MAX(0,AER91-AIE91)*H_Exit,0)</f>
        <v>0</v>
      </c>
      <c r="AWF91" s="20" t="n">
        <f aca="false">IF(AND(H_Direct=0,H_TaxEvt=1,ASS90+1&gt;=H_Deemed),MAX(0,AES91-AIF91)*H_Exit,0)</f>
        <v>0</v>
      </c>
      <c r="AWG91" s="20" t="n">
        <f aca="false">IF(AND(H_Direct=0,H_TaxEvt=1,AST90+1&gt;=H_Deemed),MAX(0,AET91-AIG91)*H_Exit,0)</f>
        <v>0</v>
      </c>
      <c r="AWH91" s="20" t="n">
        <f aca="false">IF(AND(H_Direct=0,H_TaxEvt=1,ASU90+1&gt;=H_Deemed),MAX(0,AEU91-AIH91)*H_Exit,0)</f>
        <v>0</v>
      </c>
      <c r="AWI91" s="20" t="n">
        <f aca="false">IF(AND(H_Direct=0,H_TaxEvt=1,ASV90+1&gt;=H_Deemed),MAX(0,AEV91-AII91)*H_Exit,0)</f>
        <v>0</v>
      </c>
      <c r="AWJ91" s="20" t="n">
        <f aca="false">IF(AND(H_Direct=0,H_TaxEvt=1,ASW90+1&gt;=H_Deemed),MAX(0,AEW91-AIJ91)*H_Exit,0)</f>
        <v>0</v>
      </c>
      <c r="AWK91" s="20" t="n">
        <f aca="false">IF(AND(H_Direct=0,H_TaxEvt=1,ASX90+1&gt;=H_Deemed),MAX(0,AEX91-AIK91)*H_Exit,0)</f>
        <v>0</v>
      </c>
      <c r="AWL91" s="20" t="n">
        <f aca="false">IF(AND(H_Direct=0,H_TaxEvt=1,ASY90+1&gt;=H_Deemed),MAX(0,AEY91-AIL91)*H_Exit,0)</f>
        <v>0</v>
      </c>
      <c r="AWM91" s="20" t="n">
        <f aca="false">IF(AND(H_Direct=0,H_TaxEvt=1,ASZ90+1&gt;=H_Deemed),MAX(0,AEZ91-AIM91)*H_Exit,0)</f>
        <v>0</v>
      </c>
      <c r="AWN91" s="20" t="n">
        <f aca="false">IF(AND(H_Direct=0,H_TaxEvt=1,ATA90+1&gt;=H_Deemed),MAX(0,AFA91-AIN91)*H_Exit,0)</f>
        <v>0</v>
      </c>
      <c r="AWO91" s="20" t="n">
        <f aca="false">IF(AND(H_Direct=0,H_TaxEvt=1,ATB90+1&gt;=H_Deemed),MAX(0,AFB91-AIO91)*H_Exit,0)</f>
        <v>0</v>
      </c>
      <c r="AWP91" s="20" t="n">
        <f aca="false">IF(AND(H_Direct=0,H_TaxEvt=1,ATC90+1&gt;=H_Deemed),MAX(0,AFC91-AIP91)*H_Exit,0)</f>
        <v>0</v>
      </c>
      <c r="AWQ91" s="20" t="n">
        <f aca="false">IF(AND(H_Direct=0,H_TaxEvt=1,ATD90+1&gt;=H_Deemed),MAX(0,AFD91-AIQ91)*H_Exit,0)</f>
        <v>0</v>
      </c>
      <c r="AWR91" s="20" t="n">
        <f aca="false">IF(AND(H_Direct=0,H_TaxEvt=1,ATE90+1&gt;=H_Deemed),MAX(0,AFE91-AIR91)*H_Exit,0)</f>
        <v>0</v>
      </c>
      <c r="AWS91" s="20" t="n">
        <f aca="false">IF(AND(H_Direct=0,H_TaxEvt=1,ATF90+1&gt;=H_Deemed),MAX(0,AFF91-AIS91)*H_Exit,0)</f>
        <v>0</v>
      </c>
      <c r="AWT91" s="20" t="n">
        <f aca="false">IF(AND(H_Direct=0,H_TaxEvt=1,ATG90+1&gt;=H_Deemed),MAX(0,AFG91-AIT91)*H_Exit,0)</f>
        <v>0</v>
      </c>
      <c r="AWU91" s="20" t="n">
        <f aca="false">IF(AND(H_Direct=0,H_TaxEvt=1,ATH90+1&gt;=H_Deemed),MAX(0,AFH91-AIU91)*H_Exit,0)</f>
        <v>0</v>
      </c>
      <c r="AWV91" s="20" t="n">
        <f aca="false">IF(AND(H_Direct=0,H_TaxEvt=1,ATI90+1&gt;=H_Deemed),MAX(0,AFI91-AIV91)*H_Exit,0)</f>
        <v>0</v>
      </c>
      <c r="AWW91" s="20" t="n">
        <f aca="false">IF(AND(H_Direct=0,H_TaxEvt=1,ATJ90+1&gt;=H_Deemed),MAX(0,AFJ91-AIW91)*H_Exit,0)</f>
        <v>0</v>
      </c>
      <c r="AWX91" s="20" t="n">
        <f aca="false">IF(AND(H_Direct=0,H_TaxEvt=1,ATK90+1&gt;=H_Deemed),MAX(0,AFK91-AIX91)*H_Exit,0)</f>
        <v>0</v>
      </c>
      <c r="AWY91" s="20" t="n">
        <f aca="false">IF(AND(H_Direct=0,H_TaxEvt=1,ATL90+1&gt;=H_Deemed),MAX(0,AFL91-AIY91)*H_Exit,0)</f>
        <v>0</v>
      </c>
      <c r="AWZ91" s="20" t="n">
        <f aca="false">IF(AND(H_Direct=0,H_TaxEvt=1,ATM90+1&gt;=H_Deemed),MAX(0,AFM91-AIZ91)*H_Exit,0)</f>
        <v>0</v>
      </c>
      <c r="AXA91" s="20" t="n">
        <f aca="false">IF(AND(H_Direct=0,H_TaxEvt=1,ATN90+1&gt;=H_Deemed),MAX(0,AFN91-AJA91)*H_Exit,0)</f>
        <v>0</v>
      </c>
      <c r="AXB91" s="20" t="n">
        <f aca="false">IF(AND(H_Direct=0,H_TaxEvt=1,ATO90+1&gt;=H_Deemed),MAX(0,AFO91-AJB91)*H_Exit,0)</f>
        <v>0</v>
      </c>
      <c r="AXC91" s="20" t="n">
        <f aca="false">IF(AND(H_Direct=0,H_TaxEvt=1,ATP90+1&gt;=H_Deemed),MAX(0,AFP91-AJC91)*H_Exit,0)</f>
        <v>0</v>
      </c>
      <c r="AXD91" s="20" t="n">
        <f aca="false">IF(AND(H_Direct=0,H_TaxEvt=1,ATQ90+1&gt;=H_Deemed),MAX(0,AFQ91-AJD91)*H_Exit,0)</f>
        <v>0</v>
      </c>
      <c r="AXE91" s="20" t="n">
        <f aca="false">IF(AND(H_Direct=0,H_TaxEvt=1,ATR90+1&gt;=H_Deemed),MAX(0,AFR91-AJE91)*H_Exit,0)</f>
        <v>0</v>
      </c>
      <c r="AXF91" s="20" t="n">
        <f aca="false">IF(AND(H_Direct=0,H_TaxEvt=1,ATS90+1&gt;=H_Deemed),MAX(0,AFS91-AJF91)*H_Exit,0)</f>
        <v>0</v>
      </c>
      <c r="AXG91" s="20" t="n">
        <f aca="false">IF(AND(H_Direct=0,H_TaxEvt=1,ATT90+1&gt;=H_Deemed),MAX(0,AFT91-AJG91)*H_Exit,0)</f>
        <v>0</v>
      </c>
      <c r="AXH91" s="20" t="n">
        <f aca="false">IF(AND(H_Direct=0,H_TaxEvt=1,ATU90+1&gt;=H_Deemed),MAX(0,AFU91-AJH91)*H_Exit,0)</f>
        <v>0</v>
      </c>
      <c r="AXI91" s="20" t="n">
        <f aca="false">IF(AND(H_Direct=0,H_TaxEvt=1,ATV90+1&gt;=H_Deemed),MAX(0,AFV91-AJI91)*H_Exit,0)</f>
        <v>0</v>
      </c>
      <c r="AXJ91" s="20" t="n">
        <f aca="false">IF(AND(H_Direct=0,H_TaxEvt=1,ATW90+1&gt;=H_Deemed),MAX(0,AFW91-AJJ91)*H_Exit,0)</f>
        <v>0</v>
      </c>
      <c r="AXK91" s="20" t="n">
        <f aca="false">IF(AND(H_Direct=0,H_TaxEvt=1,ATX90+1&gt;=H_Deemed),MAX(0,AFX91-AJK91)*H_Exit,0)</f>
        <v>0</v>
      </c>
      <c r="AXL91" s="20" t="n">
        <f aca="false">IF(AND(H_Direct=0,H_TaxEvt=1,ATY90+1&gt;=H_Deemed),MAX(0,AFY91-AJL91)*H_Exit,0)</f>
        <v>0</v>
      </c>
      <c r="AXM91" s="20" t="n">
        <f aca="false">IF(AND(H_Direct=0,H_TaxEvt=1,ATZ90+1&gt;=H_Deemed),MAX(0,AFZ91-AJM91)*H_Exit,0)</f>
        <v>0</v>
      </c>
      <c r="AXN91" s="20" t="n">
        <f aca="false">IF(AND(H_Direct=0,H_TaxEvt=1,AUA90+1&gt;=H_Deemed),MAX(0,AGA91-AJN91)*H_Exit,0)</f>
        <v>0</v>
      </c>
      <c r="AXO91" s="20" t="n">
        <f aca="false">IF(AND(H_Direct=0,H_TaxEvt=1,AUB90+1&gt;=H_Deemed),MAX(0,AGB91-AJO91)*H_Exit,0)</f>
        <v>0</v>
      </c>
      <c r="AXP91" s="20" t="n">
        <f aca="false">IF(AND(H_Direct=0,H_TaxEvt=1,AUC90+1&gt;=H_Deemed),MAX(0,AGC91-AJP91)*H_Exit,0)</f>
        <v>0</v>
      </c>
      <c r="AXQ91" s="20" t="n">
        <f aca="false">IF(AND(H_Direct=0,H_TaxEvt=1,AUD90+1&gt;=H_Deemed),MAX(0,AGD91-AJQ91)*H_Exit,0)</f>
        <v>0</v>
      </c>
      <c r="AXR91" s="20" t="n">
        <f aca="false">IF(AND(H_Direct=0,H_TaxEvt=1,AUE90+1&gt;=H_Deemed),MAX(0,AGE91-AJR91)*H_Exit,0)</f>
        <v>0</v>
      </c>
      <c r="AXS91" s="20" t="n">
        <f aca="false">IF(AND(H_Direct=0,H_TaxEvt=1,AUF90+1&gt;=H_Deemed),MAX(0,AGF91-AJS91)*H_Exit,0)</f>
        <v>0</v>
      </c>
      <c r="AXT91" s="20" t="n">
        <f aca="false">IF(AND(H_Direct=0,H_TaxEvt=1,AUG90+1&gt;=H_Deemed),MAX(0,AGG91-AJT91)*H_Exit,0)</f>
        <v>0</v>
      </c>
      <c r="AXU91" s="20" t="n">
        <f aca="false">IF(AND(H_Direct=0,H_TaxEvt=1,AUH90+1&gt;=H_Deemed),MAX(0,AGH91-AJU91)*H_Exit,0)</f>
        <v>0</v>
      </c>
      <c r="AXV91" s="20" t="n">
        <f aca="false">IF(AND(H_Direct=0,H_TaxEvt=1,AUI90+1&gt;=H_Deemed),MAX(0,AGI91-AJV91)*H_Exit,0)</f>
        <v>0</v>
      </c>
      <c r="AXW91" s="20" t="n">
        <f aca="false">IF(AND(H_Direct=0,H_TaxEvt=1,AUJ90+1&gt;=H_Deemed),MAX(0,AGJ91-AJW91)*H_Exit,0)</f>
        <v>0</v>
      </c>
      <c r="AXX91" s="20" t="n">
        <f aca="false">IF(AND(H_Direct=0,H_TaxEvt=1,AUK90+1&gt;=H_Deemed),MAX(0,AGK91-AJX91)*H_Exit,0)</f>
        <v>0</v>
      </c>
      <c r="AXY91" s="20" t="n">
        <f aca="false">IF(AND(H_Direct=0,H_TaxEvt=1,AUL90+1&gt;=H_Deemed),MAX(0,AGL91-AJY91)*H_Exit,0)</f>
        <v>0</v>
      </c>
      <c r="AXZ91" s="20" t="n">
        <f aca="false">IF(AND(H_Direct=0,H_TaxEvt=1,AUM90+1&gt;=H_Deemed),MAX(0,AGM91-AJZ91)*H_Exit,0)</f>
        <v>0</v>
      </c>
      <c r="AYA91" s="20" t="n">
        <f aca="false">IF(AND(H_Direct=0,H_TaxEvt=1,AUN90+1&gt;=H_Deemed),MAX(0,AGN91-AKA91)*H_Exit,0)</f>
        <v>0</v>
      </c>
      <c r="AYB91" s="20" t="n">
        <f aca="false">IF(AND(H_Direct=0,H_TaxEvt=1,AUO90+1&gt;=H_Deemed),MAX(0,AGO91-AKB91)*H_Exit,0)</f>
        <v>0</v>
      </c>
      <c r="AYC91" s="20" t="n">
        <f aca="false">IF(AND(H_Direct=0,H_TaxEvt=1,AUP90+1&gt;=H_Deemed),MAX(0,AGP91-AKC91)*H_Exit,0)</f>
        <v>0</v>
      </c>
      <c r="AYD91" s="20" t="n">
        <f aca="false">IF(AND(H_Direct=0,H_TaxEvt=1,AUQ90+1&gt;=H_Deemed),MAX(0,AGQ91-AKD91)*H_Exit,0)</f>
        <v>0</v>
      </c>
      <c r="AYE91" s="20" t="n">
        <f aca="false">IF(AND(H_Direct=0,H_TaxEvt=1,AUR90+1&gt;=H_Deemed),MAX(0,AGR91-AKE91)*H_Exit,0)</f>
        <v>0</v>
      </c>
      <c r="AYF91" s="20" t="n">
        <f aca="false">IF(AND(H_Direct=0,H_TaxEvt=1,AUS90+1&gt;=H_Deemed),MAX(0,AGS91-AKF91)*H_Exit,0)</f>
        <v>0</v>
      </c>
      <c r="AYG91" s="20" t="n">
        <f aca="false">IF(AND(H_Direct=0,H_TaxEvt=1,AUT90+1&gt;=H_Deemed),MAX(0,AGT91-AKG91)*H_Exit,0)</f>
        <v>0</v>
      </c>
      <c r="AYH91" s="20" t="n">
        <f aca="false">IF(AND(H_Direct=0,H_TaxEvt=1,AUU90+1&gt;=H_Deemed),MAX(0,AGU91-AKH91)*H_Exit,0)</f>
        <v>0</v>
      </c>
      <c r="AYI91" s="20" t="n">
        <f aca="false">IF(AND(H_Direct=0,H_TaxEvt=1,AUV90+1&gt;=H_Deemed),MAX(0,AGV91-AKI91)*H_Exit,0)</f>
        <v>0</v>
      </c>
      <c r="AYJ91" s="20" t="n">
        <f aca="false">IF(AND(H_Direct=0,H_TaxEvt=1,AUW90+1&gt;=H_Deemed),MAX(0,AGW91-AKJ91)*H_Exit,0)</f>
        <v>0</v>
      </c>
      <c r="AYK91" s="20" t="n">
        <f aca="false">IF(AND(H_Direct=0,H_TaxEvt=1,0+1&gt;=H_Deemed),MAX(0,AGX91-AKK91)*H_Exit,0)</f>
        <v>0</v>
      </c>
      <c r="AYL91" s="20" t="n">
        <v>0</v>
      </c>
      <c r="AYM91" s="20" t="n">
        <v>0</v>
      </c>
      <c r="AYN91" s="20" t="n">
        <v>0</v>
      </c>
      <c r="AYO91" s="20" t="n">
        <v>0</v>
      </c>
      <c r="AYP91" s="20" t="n">
        <v>0</v>
      </c>
      <c r="AYQ91" s="20" t="n">
        <v>0</v>
      </c>
    </row>
    <row r="92" customFormat="false" ht="15" hidden="false" customHeight="false" outlineLevel="0" collapsed="false">
      <c r="B92" s="20" t="n">
        <v>84</v>
      </c>
      <c r="C92" s="20" t="n">
        <f aca="false">'Plan cashflow'!C92</f>
        <v>0</v>
      </c>
      <c r="D92" s="20" t="n">
        <f aca="false">'Plan cashflow'!D92</f>
        <v>122</v>
      </c>
      <c r="E92" s="20" t="n">
        <f aca="false">AS_Year0+84</f>
        <v>2110</v>
      </c>
      <c r="F92" s="50" t="n">
        <f aca="false">'Plan cashflow'!F92</f>
        <v>5.277332136682</v>
      </c>
      <c r="G92" s="59" t="n">
        <f aca="true">IF(MAX(TODAY(),DATE(E92,1,1))&gt;=H_CGTfrom,H_CGT1,H_CGT0)</f>
        <v>0.31</v>
      </c>
      <c r="H92" s="20" t="n">
        <f aca="false">H_Exempt*H_Persons</f>
        <v>1270</v>
      </c>
      <c r="I92" s="20" t="n">
        <f aca="false">AX91</f>
        <v>0</v>
      </c>
      <c r="J92" s="60" t="n">
        <f aca="false">BF91</f>
        <v>0</v>
      </c>
      <c r="K92" s="60" t="n">
        <f aca="false">BG91</f>
        <v>0</v>
      </c>
      <c r="L92" s="20" t="n">
        <f aca="false">IF(AND(In_polLump&gt;0,In_polLumpAge&gt;0,D92=In_polLumpAge),In_polLump,0)</f>
        <v>0</v>
      </c>
      <c r="M92" s="20" t="n">
        <f aca="false">IF(AND(In_homeUse="Yes, I'd downsize",In_downAge&gt;0,D92=In_downAge,OR(In_home="Own outright",In_home="Own with mortgage"),In_homeValue&gt;0),MAX(0,MAX(0,In_homeValue-In_downValue)*F92*0.9-'Plan cashflow'!HR91),0)</f>
        <v>0</v>
      </c>
      <c r="N92" s="20" t="n">
        <f aca="false">'Plan pay &amp; tax'!Y318</f>
        <v>0</v>
      </c>
      <c r="O92" s="20" t="n">
        <f aca="false">L92+M92+(1-H_Sh)*N92</f>
        <v>0</v>
      </c>
      <c r="P92" s="20" t="n">
        <f aca="false">H_Sh*N92</f>
        <v>0</v>
      </c>
      <c r="Q92" s="20" t="n">
        <f aca="false">'Plan cashflow'!UL92</f>
        <v>0</v>
      </c>
      <c r="R92" s="20" t="n">
        <f aca="false">(1-H_Sh)*Q92</f>
        <v>0</v>
      </c>
      <c r="S92" s="20" t="n">
        <f aca="false">H_Sh*Q92</f>
        <v>0</v>
      </c>
      <c r="T92" s="20" t="n">
        <f aca="false">J92+K92+O92</f>
        <v>0</v>
      </c>
      <c r="U92" s="20" t="n">
        <f aca="false">T92+R92</f>
        <v>0</v>
      </c>
      <c r="V92" s="60" t="n">
        <f aca="false">SUM(FE92:IQ92)</f>
        <v>0</v>
      </c>
      <c r="W92" s="60" t="n">
        <f aca="false">IF(AJ92&lt;=0,0,IF(AL92&lt;=0,AJ92,AJ92-G92*MAX(0,AL92*AJ92-(AY92+AZ92))))</f>
        <v>0</v>
      </c>
      <c r="X92" s="60" t="n">
        <f aca="false">IF(AR92&lt;=0,0,IF(AT92&lt;=0,AR92,AR92-G92*MAX(0,AT92*AR92-(BA92+BB92))))</f>
        <v>0</v>
      </c>
      <c r="Y92" s="60" t="n">
        <f aca="false">T92+V92-S92+W92+X92</f>
        <v>0</v>
      </c>
      <c r="Z92" s="60" t="n">
        <f aca="false">'Plan cashflow'!UK92</f>
        <v>0</v>
      </c>
      <c r="AA92" s="20" t="n">
        <f aca="false">MIN(Z92,U92)</f>
        <v>0</v>
      </c>
      <c r="AB92" s="20" t="n">
        <f aca="false">Z92-AA92</f>
        <v>0</v>
      </c>
      <c r="AC92" s="20" t="n">
        <f aca="false">MIN(AA92,J92+O92+R92)</f>
        <v>0</v>
      </c>
      <c r="AD92" s="20" t="n">
        <f aca="false">AA92-AC92</f>
        <v>0</v>
      </c>
      <c r="AE92" s="20" t="n">
        <f aca="false">J92+O92+R92-AC92</f>
        <v>0</v>
      </c>
      <c r="AF92" s="20" t="n">
        <f aca="false">K92-AD92</f>
        <v>0</v>
      </c>
      <c r="AG92" s="20" t="n">
        <f aca="false">SUM(PR92:TD92)</f>
        <v>0</v>
      </c>
      <c r="AH92" s="20" t="n">
        <f aca="false">SUM(TE92:WQ92)</f>
        <v>0</v>
      </c>
      <c r="AI92" s="20" t="n">
        <f aca="false">MAX(0,AB92-AG92)</f>
        <v>0</v>
      </c>
      <c r="AJ92" s="57" t="n">
        <f aca="false">BI91</f>
        <v>0</v>
      </c>
      <c r="AK92" s="20" t="n">
        <f aca="false">BJ91</f>
        <v>0</v>
      </c>
      <c r="AL92" s="20" t="n">
        <f aca="false">IF(AJ92&gt;0,(AJ92-AK92)/AJ92,0)</f>
        <v>0</v>
      </c>
      <c r="AM92" s="20" t="n">
        <f aca="false">IF(AJ92&lt;=0,0,IF(AL92&lt;=0,MIN(AI92,AJ92),MIN(AI92,AJ92-G92*MAX(0,AL92*AJ92-(AAD92+ADQ92)))))</f>
        <v>0</v>
      </c>
      <c r="AN92" s="20" t="n">
        <f aca="false">IF(AJ92&lt;=0,0,IF(AL92&lt;=0,AM92,IF(AM92&lt;=(AAD92+ADQ92)/AL92,AM92,(AM92-G92*(AAD92+ADQ92))/(1-G92*AL92))))</f>
        <v>0</v>
      </c>
      <c r="AO92" s="20" t="n">
        <f aca="false">IF(AL92&gt;0,MAX(0,AAD92-(MIN(AL92*AN92,(AAD92+ADQ92))-MIN(MIN(AL92*AN92,(AAD92+ADQ92)),ADQ92))),AAD92)</f>
        <v>1270</v>
      </c>
      <c r="AP92" s="20" t="n">
        <f aca="false">IF(AL92&lt;=0,ADQ92-AL92*AN92,ADQ92-MIN(MIN(AL92*AN92,(AAD92+ADQ92)),ADQ92))</f>
        <v>0</v>
      </c>
      <c r="AQ92" s="20" t="n">
        <f aca="false">MAX(0,AI92-AM92)</f>
        <v>0</v>
      </c>
      <c r="AR92" s="57" t="n">
        <f aca="false">BK91</f>
        <v>0</v>
      </c>
      <c r="AS92" s="20" t="n">
        <f aca="false">BL91</f>
        <v>0</v>
      </c>
      <c r="AT92" s="20" t="n">
        <f aca="false">IF(AR92&gt;0,(AR92-AS92)/AR92,0)</f>
        <v>0</v>
      </c>
      <c r="AU92" s="20" t="n">
        <f aca="false">IF(AR92&lt;=0,0,IF(AT92&lt;=0,MIN(AQ92,AR92),MIN(AQ92,AR92-G92*MAX(0,AT92*AR92-(AO92+AP92)))))</f>
        <v>0</v>
      </c>
      <c r="AV92" s="20" t="n">
        <f aca="false">IF(AR92&lt;=0,0,IF(AT92&lt;=0,AU92,IF(AU92&lt;=(AO92+AP92)/AT92,AU92,(AU92-G92*(AO92+AP92))/(1-G92*AT92))))</f>
        <v>0</v>
      </c>
      <c r="AW92" s="20" t="n">
        <f aca="false">IF(AT92&gt;0,MAX(0,AO92-(MIN(AT92*AV92,(AO92+AP92))-MIN(MIN(AT92*AV92,(AO92+AP92)),AP92))),AO92)</f>
        <v>1270</v>
      </c>
      <c r="AX92" s="20" t="n">
        <f aca="false">IF(AT92&lt;=0,AP92-AT92*AV92,AP92-MIN(MIN(AT92*AV92,(AO92+AP92)),AP92))</f>
        <v>0</v>
      </c>
      <c r="AY92" s="20" t="n">
        <f aca="false">MD92</f>
        <v>1270</v>
      </c>
      <c r="AZ92" s="20" t="n">
        <f aca="false">PQ92</f>
        <v>0</v>
      </c>
      <c r="BA92" s="20" t="n">
        <f aca="false">IF(AL92&gt;0,MAX(0,AY92-(MIN(AL92*AJ92,AY92+AZ92)-MIN(MIN(AL92*AJ92,AY92+AZ92),AZ92))),AY92)</f>
        <v>1270</v>
      </c>
      <c r="BB92" s="20" t="n">
        <f aca="false">IF(AL92&lt;=0,AZ92-AL92*AJ92,AZ92-MIN(MIN(AL92*AJ92,AY92+AZ92),AZ92))</f>
        <v>0</v>
      </c>
      <c r="BC92" s="20" t="n">
        <f aca="false">'Plan cashflow'!UM92</f>
        <v>0</v>
      </c>
      <c r="BD92" s="20" t="n">
        <f aca="false">(1-H_Sh)*BC92</f>
        <v>0</v>
      </c>
      <c r="BE92" s="20" t="n">
        <f aca="false">H_Sh*BC92</f>
        <v>0</v>
      </c>
      <c r="BF92" s="60" t="n">
        <f aca="false">(AE92+BD92)*(1+AS_Cash)</f>
        <v>0</v>
      </c>
      <c r="BG92" s="60" t="n">
        <f aca="false">AF92*(1+AS_Cash)</f>
        <v>0</v>
      </c>
      <c r="BH92" s="60" t="n">
        <f aca="false">SUM(AKR92:AOD92)</f>
        <v>0</v>
      </c>
      <c r="BI92" s="60" t="n">
        <f aca="false">(AJ92-AN92)*(1+AS_Infl)</f>
        <v>0</v>
      </c>
      <c r="BJ92" s="20" t="n">
        <f aca="false">IF(AJ92&gt;0,AK92-AK92*AN92/AJ92,0)</f>
        <v>0</v>
      </c>
      <c r="BK92" s="60" t="n">
        <f aca="false">(AR92-AV92)*(1+BQ92)</f>
        <v>0</v>
      </c>
      <c r="BL92" s="20" t="n">
        <f aca="false">IF(AR92&gt;0,AS92-AS92*AV92/AR92,0)</f>
        <v>0</v>
      </c>
      <c r="BM92" s="60" t="n">
        <f aca="false">BF92+BG92+BH92+BI92+BK92</f>
        <v>0</v>
      </c>
      <c r="BN92" s="60" t="n">
        <f aca="false">(AH92-AG92)+(AN92-AM92)+(AV92-AU92)</f>
        <v>0</v>
      </c>
      <c r="BO92" s="20" t="n">
        <f aca="false">(AE92+BD92+AF92+MAX(0,'Plan cashflow'!QH92)+IF(Slot1_Rate=AS_Cash,'Plan cashflow'!QM92/(1+AS_Cash),0)+IF(Slot2_Rate=AS_Cash,'Plan cashflow'!QQ92/(1+AS_Cash),0)+IF(Slot3_Rate=AS_Cash,'Plan cashflow'!QU92/(1+AS_Cash),0)+IF(Slot4_Rate=AS_Cash,'Plan cashflow'!QY92/(1+AS_Cash),0)+IF(Slot5_Rate=AS_Cash,'Plan cashflow'!RC92/(1+AS_Cash),0)+IF(Slot6_Rate=AS_Cash,'Plan cashflow'!RG92/(1+AS_Cash),0)+IF(Slot7_Rate=AS_Cash,'Plan cashflow'!RK92/(1+AS_Cash),0)+IF(Slot8_Rate=AS_Cash,'Plan cashflow'!RO92/(1+AS_Cash),0)+IF(Slot9_Rate=AS_Cash,'Plan cashflow'!RS92/(1+AS_Cash),0)+IF(Slot10_Rate=AS_Cash,'Plan cashflow'!RW92/(1+AS_Cash),0)+IF(Slot11_Rate=AS_Cash,'Plan cashflow'!SA92/(1+AS_Cash),0)+IF(Slot12_Rate=AS_Cash,'Plan cashflow'!SE92/(1+AS_Cash),0)+IF(Slot13_Rate=AS_Cash,'Plan cashflow'!SI92/(1+AS_Cash),0)+IF(Slot14_Rate=AS_Cash,'Plan cashflow'!SM92/(1+AS_Cash),0)+IF(Slot15_Rate=AS_Cash,'Plan cashflow'!SQ92/(1+AS_Cash),0)+IF(Slot16_Rate=AS_Cash,'Plan cashflow'!SU92/(1+AS_Cash),0)+IF(Slot17_Rate=AS_Cash,'Plan cashflow'!SY92/(1+AS_Cash),0)+IF(Slot18_Rate=AS_Cash,'Plan cashflow'!TC92/(1+AS_Cash),0)+IF(Slot19_Rate=AS_Cash,'Plan cashflow'!TG92/(1+AS_Cash),0)+IF(Slot20_Rate=AS_Cash,'Plan cashflow'!TK92/(1+AS_Cash),0))*AS_Cash*H_DIRT/(1-H_DIRT)</f>
        <v>0</v>
      </c>
      <c r="BP92" s="60" t="n">
        <f aca="false">SUM(AVE92:AYQ92)</f>
        <v>0</v>
      </c>
      <c r="BQ92" s="54" t="n">
        <f aca="false">IF(H_TaxEvt=1,H_InvG,AS_Inv)</f>
        <v>0.04</v>
      </c>
      <c r="BR92" s="20" t="n">
        <f aca="false">IF(AKR91&gt;0,(AKR91-AOE91)/AKR91,0)</f>
        <v>0</v>
      </c>
      <c r="BS92" s="20" t="n">
        <f aca="false">IF(AKS91&gt;0,(AKS91-AOF91)/AKS91,0)</f>
        <v>0</v>
      </c>
      <c r="BT92" s="20" t="n">
        <f aca="false">IF(AKT91&gt;0,(AKT91-AOG91)/AKT91,0)</f>
        <v>0</v>
      </c>
      <c r="BU92" s="20" t="n">
        <f aca="false">IF(AKU91&gt;0,(AKU91-AOH91)/AKU91,0)</f>
        <v>0</v>
      </c>
      <c r="BV92" s="20" t="n">
        <f aca="false">IF(AKV91&gt;0,(AKV91-AOI91)/AKV91,0)</f>
        <v>0</v>
      </c>
      <c r="BW92" s="20" t="n">
        <f aca="false">IF(AKW91&gt;0,(AKW91-AOJ91)/AKW91,0)</f>
        <v>0</v>
      </c>
      <c r="BX92" s="20" t="n">
        <f aca="false">IF(AKX91&gt;0,(AKX91-AOK91)/AKX91,0)</f>
        <v>0</v>
      </c>
      <c r="BY92" s="20" t="n">
        <f aca="false">IF(AKY91&gt;0,(AKY91-AOL91)/AKY91,0)</f>
        <v>0</v>
      </c>
      <c r="BZ92" s="20" t="n">
        <f aca="false">IF(AKZ91&gt;0,(AKZ91-AOM91)/AKZ91,0)</f>
        <v>0</v>
      </c>
      <c r="CA92" s="20" t="n">
        <f aca="false">IF(ALA91&gt;0,(ALA91-AON91)/ALA91,0)</f>
        <v>0</v>
      </c>
      <c r="CB92" s="20" t="n">
        <f aca="false">IF(ALB91&gt;0,(ALB91-AOO91)/ALB91,0)</f>
        <v>0</v>
      </c>
      <c r="CC92" s="20" t="n">
        <f aca="false">IF(ALC91&gt;0,(ALC91-AOP91)/ALC91,0)</f>
        <v>0</v>
      </c>
      <c r="CD92" s="20" t="n">
        <f aca="false">IF(ALD91&gt;0,(ALD91-AOQ91)/ALD91,0)</f>
        <v>0</v>
      </c>
      <c r="CE92" s="20" t="n">
        <f aca="false">IF(ALE91&gt;0,(ALE91-AOR91)/ALE91,0)</f>
        <v>0</v>
      </c>
      <c r="CF92" s="20" t="n">
        <f aca="false">IF(ALF91&gt;0,(ALF91-AOS91)/ALF91,0)</f>
        <v>0</v>
      </c>
      <c r="CG92" s="20" t="n">
        <f aca="false">IF(ALG91&gt;0,(ALG91-AOT91)/ALG91,0)</f>
        <v>0</v>
      </c>
      <c r="CH92" s="20" t="n">
        <f aca="false">IF(ALH91&gt;0,(ALH91-AOU91)/ALH91,0)</f>
        <v>0</v>
      </c>
      <c r="CI92" s="20" t="n">
        <f aca="false">IF(ALI91&gt;0,(ALI91-AOV91)/ALI91,0)</f>
        <v>0</v>
      </c>
      <c r="CJ92" s="20" t="n">
        <f aca="false">IF(ALJ91&gt;0,(ALJ91-AOW91)/ALJ91,0)</f>
        <v>0</v>
      </c>
      <c r="CK92" s="20" t="n">
        <f aca="false">IF(ALK91&gt;0,(ALK91-AOX91)/ALK91,0)</f>
        <v>0</v>
      </c>
      <c r="CL92" s="20" t="n">
        <f aca="false">IF(ALL91&gt;0,(ALL91-AOY91)/ALL91,0)</f>
        <v>0</v>
      </c>
      <c r="CM92" s="20" t="n">
        <f aca="false">IF(ALM91&gt;0,(ALM91-AOZ91)/ALM91,0)</f>
        <v>0</v>
      </c>
      <c r="CN92" s="20" t="n">
        <f aca="false">IF(ALN91&gt;0,(ALN91-APA91)/ALN91,0)</f>
        <v>0</v>
      </c>
      <c r="CO92" s="20" t="n">
        <f aca="false">IF(ALO91&gt;0,(ALO91-APB91)/ALO91,0)</f>
        <v>0</v>
      </c>
      <c r="CP92" s="20" t="n">
        <f aca="false">IF(ALP91&gt;0,(ALP91-APC91)/ALP91,0)</f>
        <v>0</v>
      </c>
      <c r="CQ92" s="20" t="n">
        <f aca="false">IF(ALQ91&gt;0,(ALQ91-APD91)/ALQ91,0)</f>
        <v>0</v>
      </c>
      <c r="CR92" s="20" t="n">
        <f aca="false">IF(ALR91&gt;0,(ALR91-APE91)/ALR91,0)</f>
        <v>0</v>
      </c>
      <c r="CS92" s="20" t="n">
        <f aca="false">IF(ALS91&gt;0,(ALS91-APF91)/ALS91,0)</f>
        <v>0</v>
      </c>
      <c r="CT92" s="20" t="n">
        <f aca="false">IF(ALT91&gt;0,(ALT91-APG91)/ALT91,0)</f>
        <v>0</v>
      </c>
      <c r="CU92" s="20" t="n">
        <f aca="false">IF(ALU91&gt;0,(ALU91-APH91)/ALU91,0)</f>
        <v>0</v>
      </c>
      <c r="CV92" s="20" t="n">
        <f aca="false">IF(ALV91&gt;0,(ALV91-API91)/ALV91,0)</f>
        <v>0</v>
      </c>
      <c r="CW92" s="20" t="n">
        <f aca="false">IF(ALW91&gt;0,(ALW91-APJ91)/ALW91,0)</f>
        <v>0</v>
      </c>
      <c r="CX92" s="20" t="n">
        <f aca="false">IF(ALX91&gt;0,(ALX91-APK91)/ALX91,0)</f>
        <v>0</v>
      </c>
      <c r="CY92" s="20" t="n">
        <f aca="false">IF(ALY91&gt;0,(ALY91-APL91)/ALY91,0)</f>
        <v>0</v>
      </c>
      <c r="CZ92" s="20" t="n">
        <f aca="false">IF(ALZ91&gt;0,(ALZ91-APM91)/ALZ91,0)</f>
        <v>0</v>
      </c>
      <c r="DA92" s="20" t="n">
        <f aca="false">IF(AMA91&gt;0,(AMA91-APN91)/AMA91,0)</f>
        <v>0</v>
      </c>
      <c r="DB92" s="20" t="n">
        <f aca="false">IF(AMB91&gt;0,(AMB91-APO91)/AMB91,0)</f>
        <v>0</v>
      </c>
      <c r="DC92" s="20" t="n">
        <f aca="false">IF(AMC91&gt;0,(AMC91-APP91)/AMC91,0)</f>
        <v>0</v>
      </c>
      <c r="DD92" s="20" t="n">
        <f aca="false">IF(AMD91&gt;0,(AMD91-APQ91)/AMD91,0)</f>
        <v>0</v>
      </c>
      <c r="DE92" s="20" t="n">
        <f aca="false">IF(AME91&gt;0,(AME91-APR91)/AME91,0)</f>
        <v>0</v>
      </c>
      <c r="DF92" s="20" t="n">
        <f aca="false">IF(AMF91&gt;0,(AMF91-APS91)/AMF91,0)</f>
        <v>0</v>
      </c>
      <c r="DG92" s="20" t="n">
        <f aca="false">IF(AMG91&gt;0,(AMG91-APT91)/AMG91,0)</f>
        <v>0</v>
      </c>
      <c r="DH92" s="20" t="n">
        <f aca="false">IF(AMH91&gt;0,(AMH91-APU91)/AMH91,0)</f>
        <v>0</v>
      </c>
      <c r="DI92" s="20" t="n">
        <f aca="false">IF(AMI91&gt;0,(AMI91-APV91)/AMI91,0)</f>
        <v>0</v>
      </c>
      <c r="DJ92" s="20" t="n">
        <f aca="false">IF(AMJ91&gt;0,(AMJ91-APW91)/AMJ91,0)</f>
        <v>0</v>
      </c>
      <c r="DK92" s="20" t="n">
        <f aca="false">IF(AMK91&gt;0,(AMK91-APX91)/AMK91,0)</f>
        <v>0</v>
      </c>
      <c r="DL92" s="20" t="n">
        <f aca="false">IF(AML91&gt;0,(AML91-APY91)/AML91,0)</f>
        <v>0</v>
      </c>
      <c r="DM92" s="20" t="n">
        <f aca="false">IF(AMM91&gt;0,(AMM91-APZ91)/AMM91,0)</f>
        <v>0</v>
      </c>
      <c r="DN92" s="20" t="n">
        <f aca="false">IF(AMN91&gt;0,(AMN91-AQA91)/AMN91,0)</f>
        <v>0</v>
      </c>
      <c r="DO92" s="20" t="n">
        <f aca="false">IF(AMO91&gt;0,(AMO91-AQB91)/AMO91,0)</f>
        <v>0</v>
      </c>
      <c r="DP92" s="20" t="n">
        <f aca="false">IF(AMP91&gt;0,(AMP91-AQC91)/AMP91,0)</f>
        <v>0</v>
      </c>
      <c r="DQ92" s="20" t="n">
        <f aca="false">IF(AMQ91&gt;0,(AMQ91-AQD91)/AMQ91,0)</f>
        <v>0</v>
      </c>
      <c r="DR92" s="20" t="n">
        <f aca="false">IF(AMR91&gt;0,(AMR91-AQE91)/AMR91,0)</f>
        <v>0</v>
      </c>
      <c r="DS92" s="20" t="n">
        <f aca="false">IF(AMS91&gt;0,(AMS91-AQF91)/AMS91,0)</f>
        <v>0</v>
      </c>
      <c r="DT92" s="20" t="n">
        <f aca="false">IF(AMT91&gt;0,(AMT91-AQG91)/AMT91,0)</f>
        <v>0</v>
      </c>
      <c r="DU92" s="20" t="n">
        <f aca="false">IF(AMU91&gt;0,(AMU91-AQH91)/AMU91,0)</f>
        <v>0</v>
      </c>
      <c r="DV92" s="20" t="n">
        <f aca="false">IF(AMV91&gt;0,(AMV91-AQI91)/AMV91,0)</f>
        <v>0</v>
      </c>
      <c r="DW92" s="20" t="n">
        <f aca="false">IF(AMW91&gt;0,(AMW91-AQJ91)/AMW91,0)</f>
        <v>0</v>
      </c>
      <c r="DX92" s="20" t="n">
        <f aca="false">IF(AMX91&gt;0,(AMX91-AQK91)/AMX91,0)</f>
        <v>0</v>
      </c>
      <c r="DY92" s="20" t="n">
        <f aca="false">IF(AMY91&gt;0,(AMY91-AQL91)/AMY91,0)</f>
        <v>0</v>
      </c>
      <c r="DZ92" s="20" t="n">
        <f aca="false">IF(AMZ91&gt;0,(AMZ91-AQM91)/AMZ91,0)</f>
        <v>0</v>
      </c>
      <c r="EA92" s="20" t="n">
        <f aca="false">IF(ANA91&gt;0,(ANA91-AQN91)/ANA91,0)</f>
        <v>0</v>
      </c>
      <c r="EB92" s="20" t="n">
        <f aca="false">IF(ANB91&gt;0,(ANB91-AQO91)/ANB91,0)</f>
        <v>0</v>
      </c>
      <c r="EC92" s="20" t="n">
        <f aca="false">IF(ANC91&gt;0,(ANC91-AQP91)/ANC91,0)</f>
        <v>0</v>
      </c>
      <c r="ED92" s="20" t="n">
        <f aca="false">IF(AND91&gt;0,(AND91-AQQ91)/AND91,0)</f>
        <v>0</v>
      </c>
      <c r="EE92" s="20" t="n">
        <f aca="false">IF(ANE91&gt;0,(ANE91-AQR91)/ANE91,0)</f>
        <v>0</v>
      </c>
      <c r="EF92" s="20" t="n">
        <f aca="false">IF(ANF91&gt;0,(ANF91-AQS91)/ANF91,0)</f>
        <v>0</v>
      </c>
      <c r="EG92" s="20" t="n">
        <f aca="false">IF(ANG91&gt;0,(ANG91-AQT91)/ANG91,0)</f>
        <v>0</v>
      </c>
      <c r="EH92" s="20" t="n">
        <f aca="false">IF(ANH91&gt;0,(ANH91-AQU91)/ANH91,0)</f>
        <v>0</v>
      </c>
      <c r="EI92" s="20" t="n">
        <f aca="false">IF(ANI91&gt;0,(ANI91-AQV91)/ANI91,0)</f>
        <v>0</v>
      </c>
      <c r="EJ92" s="20" t="n">
        <f aca="false">IF(ANJ91&gt;0,(ANJ91-AQW91)/ANJ91,0)</f>
        <v>0</v>
      </c>
      <c r="EK92" s="20" t="n">
        <f aca="false">IF(ANK91&gt;0,(ANK91-AQX91)/ANK91,0)</f>
        <v>0</v>
      </c>
      <c r="EL92" s="20" t="n">
        <f aca="false">IF(ANL91&gt;0,(ANL91-AQY91)/ANL91,0)</f>
        <v>0</v>
      </c>
      <c r="EM92" s="20" t="n">
        <f aca="false">IF(ANM91&gt;0,(ANM91-AQZ91)/ANM91,0)</f>
        <v>0</v>
      </c>
      <c r="EN92" s="20" t="n">
        <f aca="false">IF(ANN91&gt;0,(ANN91-ARA91)/ANN91,0)</f>
        <v>0</v>
      </c>
      <c r="EO92" s="20" t="n">
        <f aca="false">IF(ANO91&gt;0,(ANO91-ARB91)/ANO91,0)</f>
        <v>0</v>
      </c>
      <c r="EP92" s="20" t="n">
        <f aca="false">IF(ANP91&gt;0,(ANP91-ARC91)/ANP91,0)</f>
        <v>0</v>
      </c>
      <c r="EQ92" s="20" t="n">
        <f aca="false">IF(ANQ91&gt;0,(ANQ91-ARD91)/ANQ91,0)</f>
        <v>0</v>
      </c>
      <c r="ER92" s="20" t="n">
        <f aca="false">IF(ANR91&gt;0,(ANR91-ARE91)/ANR91,0)</f>
        <v>0</v>
      </c>
      <c r="ES92" s="20" t="n">
        <f aca="false">IF(ANS91&gt;0,(ANS91-ARF91)/ANS91,0)</f>
        <v>0</v>
      </c>
      <c r="ET92" s="20" t="n">
        <f aca="false">IF(ANT91&gt;0,(ANT91-ARG91)/ANT91,0)</f>
        <v>0</v>
      </c>
      <c r="EU92" s="20" t="n">
        <f aca="false">IF(ANU91&gt;0,(ANU91-ARH91)/ANU91,0)</f>
        <v>0</v>
      </c>
      <c r="EV92" s="20" t="n">
        <f aca="false">IF(ANV91&gt;0,(ANV91-ARI91)/ANV91,0)</f>
        <v>0</v>
      </c>
      <c r="EW92" s="20" t="n">
        <f aca="false">IF(ANW91&gt;0,(ANW91-ARJ91)/ANW91,0)</f>
        <v>0</v>
      </c>
      <c r="EX92" s="20" t="n">
        <f aca="false">IF(ANX91&gt;0,(ANX91-ARK91)/ANX91,0)</f>
        <v>0</v>
      </c>
      <c r="EY92" s="20" t="n">
        <f aca="false">IF((P92+S92)&gt;0,((P92+S92)-(P92+S92))/(P92+S92),0)</f>
        <v>0</v>
      </c>
      <c r="EZ92" s="20" t="n">
        <v>0</v>
      </c>
      <c r="FA92" s="20" t="n">
        <v>0</v>
      </c>
      <c r="FB92" s="20" t="n">
        <v>0</v>
      </c>
      <c r="FC92" s="20" t="n">
        <v>0</v>
      </c>
      <c r="FD92" s="20" t="n">
        <v>0</v>
      </c>
      <c r="FE92" s="20" t="n">
        <f aca="false">IF(H_Direct=1,IF(AKR91&lt;=0,0,IF(BR92&lt;=0,AKR91,AKR91-G92*MAX(0,BR92*AKR91-(H92+I92)))),AKR91*(1-MAX(0,BR92)*H_Exit))</f>
        <v>0</v>
      </c>
      <c r="FF92" s="20" t="n">
        <f aca="false">IF(H_Direct=1,IF(AKS91&lt;=0,0,IF(BS92&lt;=0,AKS91,AKS91-G92*MAX(0,BS92*AKS91-(IR92+ME92)))),AKS91*(1-MAX(0,BS92)*H_Exit))</f>
        <v>0</v>
      </c>
      <c r="FG92" s="20" t="n">
        <f aca="false">IF(H_Direct=1,IF(AKT91&lt;=0,0,IF(BT92&lt;=0,AKT91,AKT91-G92*MAX(0,BT92*AKT91-(IS92+MF92)))),AKT91*(1-MAX(0,BT92)*H_Exit))</f>
        <v>0</v>
      </c>
      <c r="FH92" s="20" t="n">
        <f aca="false">IF(H_Direct=1,IF(AKU91&lt;=0,0,IF(BU92&lt;=0,AKU91,AKU91-G92*MAX(0,BU92*AKU91-(IT92+MG92)))),AKU91*(1-MAX(0,BU92)*H_Exit))</f>
        <v>0</v>
      </c>
      <c r="FI92" s="20" t="n">
        <f aca="false">IF(H_Direct=1,IF(AKV91&lt;=0,0,IF(BV92&lt;=0,AKV91,AKV91-G92*MAX(0,BV92*AKV91-(IU92+MH92)))),AKV91*(1-MAX(0,BV92)*H_Exit))</f>
        <v>0</v>
      </c>
      <c r="FJ92" s="20" t="n">
        <f aca="false">IF(H_Direct=1,IF(AKW91&lt;=0,0,IF(BW92&lt;=0,AKW91,AKW91-G92*MAX(0,BW92*AKW91-(IV92+MI92)))),AKW91*(1-MAX(0,BW92)*H_Exit))</f>
        <v>0</v>
      </c>
      <c r="FK92" s="20" t="n">
        <f aca="false">IF(H_Direct=1,IF(AKX91&lt;=0,0,IF(BX92&lt;=0,AKX91,AKX91-G92*MAX(0,BX92*AKX91-(IW92+MJ92)))),AKX91*(1-MAX(0,BX92)*H_Exit))</f>
        <v>0</v>
      </c>
      <c r="FL92" s="20" t="n">
        <f aca="false">IF(H_Direct=1,IF(AKY91&lt;=0,0,IF(BY92&lt;=0,AKY91,AKY91-G92*MAX(0,BY92*AKY91-(IX92+MK92)))),AKY91*(1-MAX(0,BY92)*H_Exit))</f>
        <v>0</v>
      </c>
      <c r="FM92" s="20" t="n">
        <f aca="false">IF(H_Direct=1,IF(AKZ91&lt;=0,0,IF(BZ92&lt;=0,AKZ91,AKZ91-G92*MAX(0,BZ92*AKZ91-(IY92+ML92)))),AKZ91*(1-MAX(0,BZ92)*H_Exit))</f>
        <v>0</v>
      </c>
      <c r="FN92" s="20" t="n">
        <f aca="false">IF(H_Direct=1,IF(ALA91&lt;=0,0,IF(CA92&lt;=0,ALA91,ALA91-G92*MAX(0,CA92*ALA91-(IZ92+MM92)))),ALA91*(1-MAX(0,CA92)*H_Exit))</f>
        <v>0</v>
      </c>
      <c r="FO92" s="20" t="n">
        <f aca="false">IF(H_Direct=1,IF(ALB91&lt;=0,0,IF(CB92&lt;=0,ALB91,ALB91-G92*MAX(0,CB92*ALB91-(JA92+MN92)))),ALB91*(1-MAX(0,CB92)*H_Exit))</f>
        <v>0</v>
      </c>
      <c r="FP92" s="20" t="n">
        <f aca="false">IF(H_Direct=1,IF(ALC91&lt;=0,0,IF(CC92&lt;=0,ALC91,ALC91-G92*MAX(0,CC92*ALC91-(JB92+MO92)))),ALC91*(1-MAX(0,CC92)*H_Exit))</f>
        <v>0</v>
      </c>
      <c r="FQ92" s="20" t="n">
        <f aca="false">IF(H_Direct=1,IF(ALD91&lt;=0,0,IF(CD92&lt;=0,ALD91,ALD91-G92*MAX(0,CD92*ALD91-(JC92+MP92)))),ALD91*(1-MAX(0,CD92)*H_Exit))</f>
        <v>0</v>
      </c>
      <c r="FR92" s="20" t="n">
        <f aca="false">IF(H_Direct=1,IF(ALE91&lt;=0,0,IF(CE92&lt;=0,ALE91,ALE91-G92*MAX(0,CE92*ALE91-(JD92+MQ92)))),ALE91*(1-MAX(0,CE92)*H_Exit))</f>
        <v>0</v>
      </c>
      <c r="FS92" s="20" t="n">
        <f aca="false">IF(H_Direct=1,IF(ALF91&lt;=0,0,IF(CF92&lt;=0,ALF91,ALF91-G92*MAX(0,CF92*ALF91-(JE92+MR92)))),ALF91*(1-MAX(0,CF92)*H_Exit))</f>
        <v>0</v>
      </c>
      <c r="FT92" s="20" t="n">
        <f aca="false">IF(H_Direct=1,IF(ALG91&lt;=0,0,IF(CG92&lt;=0,ALG91,ALG91-G92*MAX(0,CG92*ALG91-(JF92+MS92)))),ALG91*(1-MAX(0,CG92)*H_Exit))</f>
        <v>0</v>
      </c>
      <c r="FU92" s="20" t="n">
        <f aca="false">IF(H_Direct=1,IF(ALH91&lt;=0,0,IF(CH92&lt;=0,ALH91,ALH91-G92*MAX(0,CH92*ALH91-(JG92+MT92)))),ALH91*(1-MAX(0,CH92)*H_Exit))</f>
        <v>0</v>
      </c>
      <c r="FV92" s="20" t="n">
        <f aca="false">IF(H_Direct=1,IF(ALI91&lt;=0,0,IF(CI92&lt;=0,ALI91,ALI91-G92*MAX(0,CI92*ALI91-(JH92+MU92)))),ALI91*(1-MAX(0,CI92)*H_Exit))</f>
        <v>0</v>
      </c>
      <c r="FW92" s="20" t="n">
        <f aca="false">IF(H_Direct=1,IF(ALJ91&lt;=0,0,IF(CJ92&lt;=0,ALJ91,ALJ91-G92*MAX(0,CJ92*ALJ91-(JI92+MV92)))),ALJ91*(1-MAX(0,CJ92)*H_Exit))</f>
        <v>0</v>
      </c>
      <c r="FX92" s="20" t="n">
        <f aca="false">IF(H_Direct=1,IF(ALK91&lt;=0,0,IF(CK92&lt;=0,ALK91,ALK91-G92*MAX(0,CK92*ALK91-(JJ92+MW92)))),ALK91*(1-MAX(0,CK92)*H_Exit))</f>
        <v>0</v>
      </c>
      <c r="FY92" s="20" t="n">
        <f aca="false">IF(H_Direct=1,IF(ALL91&lt;=0,0,IF(CL92&lt;=0,ALL91,ALL91-G92*MAX(0,CL92*ALL91-(JK92+MX92)))),ALL91*(1-MAX(0,CL92)*H_Exit))</f>
        <v>0</v>
      </c>
      <c r="FZ92" s="20" t="n">
        <f aca="false">IF(H_Direct=1,IF(ALM91&lt;=0,0,IF(CM92&lt;=0,ALM91,ALM91-G92*MAX(0,CM92*ALM91-(JL92+MY92)))),ALM91*(1-MAX(0,CM92)*H_Exit))</f>
        <v>0</v>
      </c>
      <c r="GA92" s="20" t="n">
        <f aca="false">IF(H_Direct=1,IF(ALN91&lt;=0,0,IF(CN92&lt;=0,ALN91,ALN91-G92*MAX(0,CN92*ALN91-(JM92+MZ92)))),ALN91*(1-MAX(0,CN92)*H_Exit))</f>
        <v>0</v>
      </c>
      <c r="GB92" s="20" t="n">
        <f aca="false">IF(H_Direct=1,IF(ALO91&lt;=0,0,IF(CO92&lt;=0,ALO91,ALO91-G92*MAX(0,CO92*ALO91-(JN92+NA92)))),ALO91*(1-MAX(0,CO92)*H_Exit))</f>
        <v>0</v>
      </c>
      <c r="GC92" s="20" t="n">
        <f aca="false">IF(H_Direct=1,IF(ALP91&lt;=0,0,IF(CP92&lt;=0,ALP91,ALP91-G92*MAX(0,CP92*ALP91-(JO92+NB92)))),ALP91*(1-MAX(0,CP92)*H_Exit))</f>
        <v>0</v>
      </c>
      <c r="GD92" s="20" t="n">
        <f aca="false">IF(H_Direct=1,IF(ALQ91&lt;=0,0,IF(CQ92&lt;=0,ALQ91,ALQ91-G92*MAX(0,CQ92*ALQ91-(JP92+NC92)))),ALQ91*(1-MAX(0,CQ92)*H_Exit))</f>
        <v>0</v>
      </c>
      <c r="GE92" s="20" t="n">
        <f aca="false">IF(H_Direct=1,IF(ALR91&lt;=0,0,IF(CR92&lt;=0,ALR91,ALR91-G92*MAX(0,CR92*ALR91-(JQ92+ND92)))),ALR91*(1-MAX(0,CR92)*H_Exit))</f>
        <v>0</v>
      </c>
      <c r="GF92" s="20" t="n">
        <f aca="false">IF(H_Direct=1,IF(ALS91&lt;=0,0,IF(CS92&lt;=0,ALS91,ALS91-G92*MAX(0,CS92*ALS91-(JR92+NE92)))),ALS91*(1-MAX(0,CS92)*H_Exit))</f>
        <v>0</v>
      </c>
      <c r="GG92" s="20" t="n">
        <f aca="false">IF(H_Direct=1,IF(ALT91&lt;=0,0,IF(CT92&lt;=0,ALT91,ALT91-G92*MAX(0,CT92*ALT91-(JS92+NF92)))),ALT91*(1-MAX(0,CT92)*H_Exit))</f>
        <v>0</v>
      </c>
      <c r="GH92" s="20" t="n">
        <f aca="false">IF(H_Direct=1,IF(ALU91&lt;=0,0,IF(CU92&lt;=0,ALU91,ALU91-G92*MAX(0,CU92*ALU91-(JT92+NG92)))),ALU91*(1-MAX(0,CU92)*H_Exit))</f>
        <v>0</v>
      </c>
      <c r="GI92" s="20" t="n">
        <f aca="false">IF(H_Direct=1,IF(ALV91&lt;=0,0,IF(CV92&lt;=0,ALV91,ALV91-G92*MAX(0,CV92*ALV91-(JU92+NH92)))),ALV91*(1-MAX(0,CV92)*H_Exit))</f>
        <v>0</v>
      </c>
      <c r="GJ92" s="20" t="n">
        <f aca="false">IF(H_Direct=1,IF(ALW91&lt;=0,0,IF(CW92&lt;=0,ALW91,ALW91-G92*MAX(0,CW92*ALW91-(JV92+NI92)))),ALW91*(1-MAX(0,CW92)*H_Exit))</f>
        <v>0</v>
      </c>
      <c r="GK92" s="20" t="n">
        <f aca="false">IF(H_Direct=1,IF(ALX91&lt;=0,0,IF(CX92&lt;=0,ALX91,ALX91-G92*MAX(0,CX92*ALX91-(JW92+NJ92)))),ALX91*(1-MAX(0,CX92)*H_Exit))</f>
        <v>0</v>
      </c>
      <c r="GL92" s="20" t="n">
        <f aca="false">IF(H_Direct=1,IF(ALY91&lt;=0,0,IF(CY92&lt;=0,ALY91,ALY91-G92*MAX(0,CY92*ALY91-(JX92+NK92)))),ALY91*(1-MAX(0,CY92)*H_Exit))</f>
        <v>0</v>
      </c>
      <c r="GM92" s="20" t="n">
        <f aca="false">IF(H_Direct=1,IF(ALZ91&lt;=0,0,IF(CZ92&lt;=0,ALZ91,ALZ91-G92*MAX(0,CZ92*ALZ91-(JY92+NL92)))),ALZ91*(1-MAX(0,CZ92)*H_Exit))</f>
        <v>0</v>
      </c>
      <c r="GN92" s="20" t="n">
        <f aca="false">IF(H_Direct=1,IF(AMA91&lt;=0,0,IF(DA92&lt;=0,AMA91,AMA91-G92*MAX(0,DA92*AMA91-(JZ92+NM92)))),AMA91*(1-MAX(0,DA92)*H_Exit))</f>
        <v>0</v>
      </c>
      <c r="GO92" s="20" t="n">
        <f aca="false">IF(H_Direct=1,IF(AMB91&lt;=0,0,IF(DB92&lt;=0,AMB91,AMB91-G92*MAX(0,DB92*AMB91-(KA92+NN92)))),AMB91*(1-MAX(0,DB92)*H_Exit))</f>
        <v>0</v>
      </c>
      <c r="GP92" s="20" t="n">
        <f aca="false">IF(H_Direct=1,IF(AMC91&lt;=0,0,IF(DC92&lt;=0,AMC91,AMC91-G92*MAX(0,DC92*AMC91-(KB92+NO92)))),AMC91*(1-MAX(0,DC92)*H_Exit))</f>
        <v>0</v>
      </c>
      <c r="GQ92" s="20" t="n">
        <f aca="false">IF(H_Direct=1,IF(AMD91&lt;=0,0,IF(DD92&lt;=0,AMD91,AMD91-G92*MAX(0,DD92*AMD91-(KC92+NP92)))),AMD91*(1-MAX(0,DD92)*H_Exit))</f>
        <v>0</v>
      </c>
      <c r="GR92" s="20" t="n">
        <f aca="false">IF(H_Direct=1,IF(AME91&lt;=0,0,IF(DE92&lt;=0,AME91,AME91-G92*MAX(0,DE92*AME91-(KD92+NQ92)))),AME91*(1-MAX(0,DE92)*H_Exit))</f>
        <v>0</v>
      </c>
      <c r="GS92" s="20" t="n">
        <f aca="false">IF(H_Direct=1,IF(AMF91&lt;=0,0,IF(DF92&lt;=0,AMF91,AMF91-G92*MAX(0,DF92*AMF91-(KE92+NR92)))),AMF91*(1-MAX(0,DF92)*H_Exit))</f>
        <v>0</v>
      </c>
      <c r="GT92" s="20" t="n">
        <f aca="false">IF(H_Direct=1,IF(AMG91&lt;=0,0,IF(DG92&lt;=0,AMG91,AMG91-G92*MAX(0,DG92*AMG91-(KF92+NS92)))),AMG91*(1-MAX(0,DG92)*H_Exit))</f>
        <v>0</v>
      </c>
      <c r="GU92" s="20" t="n">
        <f aca="false">IF(H_Direct=1,IF(AMH91&lt;=0,0,IF(DH92&lt;=0,AMH91,AMH91-G92*MAX(0,DH92*AMH91-(KG92+NT92)))),AMH91*(1-MAX(0,DH92)*H_Exit))</f>
        <v>0</v>
      </c>
      <c r="GV92" s="20" t="n">
        <f aca="false">IF(H_Direct=1,IF(AMI91&lt;=0,0,IF(DI92&lt;=0,AMI91,AMI91-G92*MAX(0,DI92*AMI91-(KH92+NU92)))),AMI91*(1-MAX(0,DI92)*H_Exit))</f>
        <v>0</v>
      </c>
      <c r="GW92" s="20" t="n">
        <f aca="false">IF(H_Direct=1,IF(AMJ91&lt;=0,0,IF(DJ92&lt;=0,AMJ91,AMJ91-G92*MAX(0,DJ92*AMJ91-(KI92+NV92)))),AMJ91*(1-MAX(0,DJ92)*H_Exit))</f>
        <v>0</v>
      </c>
      <c r="GX92" s="20" t="n">
        <f aca="false">IF(H_Direct=1,IF(AMK91&lt;=0,0,IF(DK92&lt;=0,AMK91,AMK91-G92*MAX(0,DK92*AMK91-(KJ92+NW92)))),AMK91*(1-MAX(0,DK92)*H_Exit))</f>
        <v>0</v>
      </c>
      <c r="GY92" s="20" t="n">
        <f aca="false">IF(H_Direct=1,IF(AML91&lt;=0,0,IF(DL92&lt;=0,AML91,AML91-G92*MAX(0,DL92*AML91-(KK92+NX92)))),AML91*(1-MAX(0,DL92)*H_Exit))</f>
        <v>0</v>
      </c>
      <c r="GZ92" s="20" t="n">
        <f aca="false">IF(H_Direct=1,IF(AMM91&lt;=0,0,IF(DM92&lt;=0,AMM91,AMM91-G92*MAX(0,DM92*AMM91-(KL92+NY92)))),AMM91*(1-MAX(0,DM92)*H_Exit))</f>
        <v>0</v>
      </c>
      <c r="HA92" s="20" t="n">
        <f aca="false">IF(H_Direct=1,IF(AMN91&lt;=0,0,IF(DN92&lt;=0,AMN91,AMN91-G92*MAX(0,DN92*AMN91-(KM92+NZ92)))),AMN91*(1-MAX(0,DN92)*H_Exit))</f>
        <v>0</v>
      </c>
      <c r="HB92" s="20" t="n">
        <f aca="false">IF(H_Direct=1,IF(AMO91&lt;=0,0,IF(DO92&lt;=0,AMO91,AMO91-G92*MAX(0,DO92*AMO91-(KN92+OA92)))),AMO91*(1-MAX(0,DO92)*H_Exit))</f>
        <v>0</v>
      </c>
      <c r="HC92" s="20" t="n">
        <f aca="false">IF(H_Direct=1,IF(AMP91&lt;=0,0,IF(DP92&lt;=0,AMP91,AMP91-G92*MAX(0,DP92*AMP91-(KO92+OB92)))),AMP91*(1-MAX(0,DP92)*H_Exit))</f>
        <v>0</v>
      </c>
      <c r="HD92" s="20" t="n">
        <f aca="false">IF(H_Direct=1,IF(AMQ91&lt;=0,0,IF(DQ92&lt;=0,AMQ91,AMQ91-G92*MAX(0,DQ92*AMQ91-(KP92+OC92)))),AMQ91*(1-MAX(0,DQ92)*H_Exit))</f>
        <v>0</v>
      </c>
      <c r="HE92" s="20" t="n">
        <f aca="false">IF(H_Direct=1,IF(AMR91&lt;=0,0,IF(DR92&lt;=0,AMR91,AMR91-G92*MAX(0,DR92*AMR91-(KQ92+OD92)))),AMR91*(1-MAX(0,DR92)*H_Exit))</f>
        <v>0</v>
      </c>
      <c r="HF92" s="20" t="n">
        <f aca="false">IF(H_Direct=1,IF(AMS91&lt;=0,0,IF(DS92&lt;=0,AMS91,AMS91-G92*MAX(0,DS92*AMS91-(KR92+OE92)))),AMS91*(1-MAX(0,DS92)*H_Exit))</f>
        <v>0</v>
      </c>
      <c r="HG92" s="20" t="n">
        <f aca="false">IF(H_Direct=1,IF(AMT91&lt;=0,0,IF(DT92&lt;=0,AMT91,AMT91-G92*MAX(0,DT92*AMT91-(KS92+OF92)))),AMT91*(1-MAX(0,DT92)*H_Exit))</f>
        <v>0</v>
      </c>
      <c r="HH92" s="20" t="n">
        <f aca="false">IF(H_Direct=1,IF(AMU91&lt;=0,0,IF(DU92&lt;=0,AMU91,AMU91-G92*MAX(0,DU92*AMU91-(KT92+OG92)))),AMU91*(1-MAX(0,DU92)*H_Exit))</f>
        <v>0</v>
      </c>
      <c r="HI92" s="20" t="n">
        <f aca="false">IF(H_Direct=1,IF(AMV91&lt;=0,0,IF(DV92&lt;=0,AMV91,AMV91-G92*MAX(0,DV92*AMV91-(KU92+OH92)))),AMV91*(1-MAX(0,DV92)*H_Exit))</f>
        <v>0</v>
      </c>
      <c r="HJ92" s="20" t="n">
        <f aca="false">IF(H_Direct=1,IF(AMW91&lt;=0,0,IF(DW92&lt;=0,AMW91,AMW91-G92*MAX(0,DW92*AMW91-(KV92+OI92)))),AMW91*(1-MAX(0,DW92)*H_Exit))</f>
        <v>0</v>
      </c>
      <c r="HK92" s="20" t="n">
        <f aca="false">IF(H_Direct=1,IF(AMX91&lt;=0,0,IF(DX92&lt;=0,AMX91,AMX91-G92*MAX(0,DX92*AMX91-(KW92+OJ92)))),AMX91*(1-MAX(0,DX92)*H_Exit))</f>
        <v>0</v>
      </c>
      <c r="HL92" s="20" t="n">
        <f aca="false">IF(H_Direct=1,IF(AMY91&lt;=0,0,IF(DY92&lt;=0,AMY91,AMY91-G92*MAX(0,DY92*AMY91-(KX92+OK92)))),AMY91*(1-MAX(0,DY92)*H_Exit))</f>
        <v>0</v>
      </c>
      <c r="HM92" s="20" t="n">
        <f aca="false">IF(H_Direct=1,IF(AMZ91&lt;=0,0,IF(DZ92&lt;=0,AMZ91,AMZ91-G92*MAX(0,DZ92*AMZ91-(KY92+OL92)))),AMZ91*(1-MAX(0,DZ92)*H_Exit))</f>
        <v>0</v>
      </c>
      <c r="HN92" s="20" t="n">
        <f aca="false">IF(H_Direct=1,IF(ANA91&lt;=0,0,IF(EA92&lt;=0,ANA91,ANA91-G92*MAX(0,EA92*ANA91-(KZ92+OM92)))),ANA91*(1-MAX(0,EA92)*H_Exit))</f>
        <v>0</v>
      </c>
      <c r="HO92" s="20" t="n">
        <f aca="false">IF(H_Direct=1,IF(ANB91&lt;=0,0,IF(EB92&lt;=0,ANB91,ANB91-G92*MAX(0,EB92*ANB91-(LA92+ON92)))),ANB91*(1-MAX(0,EB92)*H_Exit))</f>
        <v>0</v>
      </c>
      <c r="HP92" s="20" t="n">
        <f aca="false">IF(H_Direct=1,IF(ANC91&lt;=0,0,IF(EC92&lt;=0,ANC91,ANC91-G92*MAX(0,EC92*ANC91-(LB92+OO92)))),ANC91*(1-MAX(0,EC92)*H_Exit))</f>
        <v>0</v>
      </c>
      <c r="HQ92" s="20" t="n">
        <f aca="false">IF(H_Direct=1,IF(AND91&lt;=0,0,IF(ED92&lt;=0,AND91,AND91-G92*MAX(0,ED92*AND91-(LC92+OP92)))),AND91*(1-MAX(0,ED92)*H_Exit))</f>
        <v>0</v>
      </c>
      <c r="HR92" s="20" t="n">
        <f aca="false">IF(H_Direct=1,IF(ANE91&lt;=0,0,IF(EE92&lt;=0,ANE91,ANE91-G92*MAX(0,EE92*ANE91-(LD92+OQ92)))),ANE91*(1-MAX(0,EE92)*H_Exit))</f>
        <v>0</v>
      </c>
      <c r="HS92" s="20" t="n">
        <f aca="false">IF(H_Direct=1,IF(ANF91&lt;=0,0,IF(EF92&lt;=0,ANF91,ANF91-G92*MAX(0,EF92*ANF91-(LE92+OR92)))),ANF91*(1-MAX(0,EF92)*H_Exit))</f>
        <v>0</v>
      </c>
      <c r="HT92" s="20" t="n">
        <f aca="false">IF(H_Direct=1,IF(ANG91&lt;=0,0,IF(EG92&lt;=0,ANG91,ANG91-G92*MAX(0,EG92*ANG91-(LF92+OS92)))),ANG91*(1-MAX(0,EG92)*H_Exit))</f>
        <v>0</v>
      </c>
      <c r="HU92" s="20" t="n">
        <f aca="false">IF(H_Direct=1,IF(ANH91&lt;=0,0,IF(EH92&lt;=0,ANH91,ANH91-G92*MAX(0,EH92*ANH91-(LG92+OT92)))),ANH91*(1-MAX(0,EH92)*H_Exit))</f>
        <v>0</v>
      </c>
      <c r="HV92" s="20" t="n">
        <f aca="false">IF(H_Direct=1,IF(ANI91&lt;=0,0,IF(EI92&lt;=0,ANI91,ANI91-G92*MAX(0,EI92*ANI91-(LH92+OU92)))),ANI91*(1-MAX(0,EI92)*H_Exit))</f>
        <v>0</v>
      </c>
      <c r="HW92" s="20" t="n">
        <f aca="false">IF(H_Direct=1,IF(ANJ91&lt;=0,0,IF(EJ92&lt;=0,ANJ91,ANJ91-G92*MAX(0,EJ92*ANJ91-(LI92+OV92)))),ANJ91*(1-MAX(0,EJ92)*H_Exit))</f>
        <v>0</v>
      </c>
      <c r="HX92" s="20" t="n">
        <f aca="false">IF(H_Direct=1,IF(ANK91&lt;=0,0,IF(EK92&lt;=0,ANK91,ANK91-G92*MAX(0,EK92*ANK91-(LJ92+OW92)))),ANK91*(1-MAX(0,EK92)*H_Exit))</f>
        <v>0</v>
      </c>
      <c r="HY92" s="20" t="n">
        <f aca="false">IF(H_Direct=1,IF(ANL91&lt;=0,0,IF(EL92&lt;=0,ANL91,ANL91-G92*MAX(0,EL92*ANL91-(LK92+OX92)))),ANL91*(1-MAX(0,EL92)*H_Exit))</f>
        <v>0</v>
      </c>
      <c r="HZ92" s="20" t="n">
        <f aca="false">IF(H_Direct=1,IF(ANM91&lt;=0,0,IF(EM92&lt;=0,ANM91,ANM91-G92*MAX(0,EM92*ANM91-(LL92+OY92)))),ANM91*(1-MAX(0,EM92)*H_Exit))</f>
        <v>0</v>
      </c>
      <c r="IA92" s="20" t="n">
        <f aca="false">IF(H_Direct=1,IF(ANN91&lt;=0,0,IF(EN92&lt;=0,ANN91,ANN91-G92*MAX(0,EN92*ANN91-(LM92+OZ92)))),ANN91*(1-MAX(0,EN92)*H_Exit))</f>
        <v>0</v>
      </c>
      <c r="IB92" s="20" t="n">
        <f aca="false">IF(H_Direct=1,IF(ANO91&lt;=0,0,IF(EO92&lt;=0,ANO91,ANO91-G92*MAX(0,EO92*ANO91-(LN92+PA92)))),ANO91*(1-MAX(0,EO92)*H_Exit))</f>
        <v>0</v>
      </c>
      <c r="IC92" s="20" t="n">
        <f aca="false">IF(H_Direct=1,IF(ANP91&lt;=0,0,IF(EP92&lt;=0,ANP91,ANP91-G92*MAX(0,EP92*ANP91-(LO92+PB92)))),ANP91*(1-MAX(0,EP92)*H_Exit))</f>
        <v>0</v>
      </c>
      <c r="ID92" s="20" t="n">
        <f aca="false">IF(H_Direct=1,IF(ANQ91&lt;=0,0,IF(EQ92&lt;=0,ANQ91,ANQ91-G92*MAX(0,EQ92*ANQ91-(LP92+PC92)))),ANQ91*(1-MAX(0,EQ92)*H_Exit))</f>
        <v>0</v>
      </c>
      <c r="IE92" s="20" t="n">
        <f aca="false">IF(H_Direct=1,IF(ANR91&lt;=0,0,IF(ER92&lt;=0,ANR91,ANR91-G92*MAX(0,ER92*ANR91-(LQ92+PD92)))),ANR91*(1-MAX(0,ER92)*H_Exit))</f>
        <v>0</v>
      </c>
      <c r="IF92" s="20" t="n">
        <f aca="false">IF(H_Direct=1,IF(ANS91&lt;=0,0,IF(ES92&lt;=0,ANS91,ANS91-G92*MAX(0,ES92*ANS91-(LR92+PE92)))),ANS91*(1-MAX(0,ES92)*H_Exit))</f>
        <v>0</v>
      </c>
      <c r="IG92" s="20" t="n">
        <f aca="false">IF(H_Direct=1,IF(ANT91&lt;=0,0,IF(ET92&lt;=0,ANT91,ANT91-G92*MAX(0,ET92*ANT91-(LS92+PF92)))),ANT91*(1-MAX(0,ET92)*H_Exit))</f>
        <v>0</v>
      </c>
      <c r="IH92" s="20" t="n">
        <f aca="false">IF(H_Direct=1,IF(ANU91&lt;=0,0,IF(EU92&lt;=0,ANU91,ANU91-G92*MAX(0,EU92*ANU91-(LT92+PG92)))),ANU91*(1-MAX(0,EU92)*H_Exit))</f>
        <v>0</v>
      </c>
      <c r="II92" s="20" t="n">
        <f aca="false">IF(H_Direct=1,IF(ANV91&lt;=0,0,IF(EV92&lt;=0,ANV91,ANV91-G92*MAX(0,EV92*ANV91-(LU92+PH92)))),ANV91*(1-MAX(0,EV92)*H_Exit))</f>
        <v>0</v>
      </c>
      <c r="IJ92" s="20" t="n">
        <f aca="false">IF(H_Direct=1,IF(ANW91&lt;=0,0,IF(EW92&lt;=0,ANW91,ANW91-G92*MAX(0,EW92*ANW91-(LV92+PI92)))),ANW91*(1-MAX(0,EW92)*H_Exit))</f>
        <v>0</v>
      </c>
      <c r="IK92" s="20" t="n">
        <f aca="false">IF(H_Direct=1,IF(ANX91&lt;=0,0,IF(EX92&lt;=0,ANX91,ANX91-G92*MAX(0,EX92*ANX91-(LW92+PJ92)))),ANX91*(1-MAX(0,EX92)*H_Exit))</f>
        <v>0</v>
      </c>
      <c r="IL92" s="20" t="n">
        <f aca="false">IF(H_Direct=1,IF((P92+S92)&lt;=0,0,IF(EY92&lt;=0,(P92+S92),(P92+S92)-G92*MAX(0,EY92*(P92+S92)-(LX92+PK92)))),(P92+S92)*(1-MAX(0,EY92)*H_Exit))</f>
        <v>0</v>
      </c>
      <c r="IM92" s="20" t="n">
        <v>0</v>
      </c>
      <c r="IN92" s="20" t="n">
        <v>0</v>
      </c>
      <c r="IO92" s="20" t="n">
        <v>0</v>
      </c>
      <c r="IP92" s="20" t="n">
        <v>0</v>
      </c>
      <c r="IQ92" s="20" t="n">
        <v>0</v>
      </c>
      <c r="IR92" s="20" t="n">
        <f aca="false">IF(AND(H_Direct=1,BR92&gt;0),MAX(0,H92-(MIN(BR92*AKR91,H92+I92)-MIN(MIN(BR92*AKR91,H92+I92),I92))),H92)</f>
        <v>1270</v>
      </c>
      <c r="IS92" s="20" t="n">
        <f aca="false">IF(AND(H_Direct=1,BS92&gt;0),MAX(0,IR92-(MIN(BS92*AKS91,IR92+ME92)-MIN(MIN(BS92*AKS91,IR92+ME92),ME92))),IR92)</f>
        <v>1270</v>
      </c>
      <c r="IT92" s="20" t="n">
        <f aca="false">IF(AND(H_Direct=1,BT92&gt;0),MAX(0,IS92-(MIN(BT92*AKT91,IS92+MF92)-MIN(MIN(BT92*AKT91,IS92+MF92),MF92))),IS92)</f>
        <v>1270</v>
      </c>
      <c r="IU92" s="20" t="n">
        <f aca="false">IF(AND(H_Direct=1,BU92&gt;0),MAX(0,IT92-(MIN(BU92*AKU91,IT92+MG92)-MIN(MIN(BU92*AKU91,IT92+MG92),MG92))),IT92)</f>
        <v>1270</v>
      </c>
      <c r="IV92" s="20" t="n">
        <f aca="false">IF(AND(H_Direct=1,BV92&gt;0),MAX(0,IU92-(MIN(BV92*AKV91,IU92+MH92)-MIN(MIN(BV92*AKV91,IU92+MH92),MH92))),IU92)</f>
        <v>1270</v>
      </c>
      <c r="IW92" s="20" t="n">
        <f aca="false">IF(AND(H_Direct=1,BW92&gt;0),MAX(0,IV92-(MIN(BW92*AKW91,IV92+MI92)-MIN(MIN(BW92*AKW91,IV92+MI92),MI92))),IV92)</f>
        <v>1270</v>
      </c>
      <c r="IX92" s="20" t="n">
        <f aca="false">IF(AND(H_Direct=1,BX92&gt;0),MAX(0,IW92-(MIN(BX92*AKX91,IW92+MJ92)-MIN(MIN(BX92*AKX91,IW92+MJ92),MJ92))),IW92)</f>
        <v>1270</v>
      </c>
      <c r="IY92" s="20" t="n">
        <f aca="false">IF(AND(H_Direct=1,BY92&gt;0),MAX(0,IX92-(MIN(BY92*AKY91,IX92+MK92)-MIN(MIN(BY92*AKY91,IX92+MK92),MK92))),IX92)</f>
        <v>1270</v>
      </c>
      <c r="IZ92" s="20" t="n">
        <f aca="false">IF(AND(H_Direct=1,BZ92&gt;0),MAX(0,IY92-(MIN(BZ92*AKZ91,IY92+ML92)-MIN(MIN(BZ92*AKZ91,IY92+ML92),ML92))),IY92)</f>
        <v>1270</v>
      </c>
      <c r="JA92" s="20" t="n">
        <f aca="false">IF(AND(H_Direct=1,CA92&gt;0),MAX(0,IZ92-(MIN(CA92*ALA91,IZ92+MM92)-MIN(MIN(CA92*ALA91,IZ92+MM92),MM92))),IZ92)</f>
        <v>1270</v>
      </c>
      <c r="JB92" s="20" t="n">
        <f aca="false">IF(AND(H_Direct=1,CB92&gt;0),MAX(0,JA92-(MIN(CB92*ALB91,JA92+MN92)-MIN(MIN(CB92*ALB91,JA92+MN92),MN92))),JA92)</f>
        <v>1270</v>
      </c>
      <c r="JC92" s="20" t="n">
        <f aca="false">IF(AND(H_Direct=1,CC92&gt;0),MAX(0,JB92-(MIN(CC92*ALC91,JB92+MO92)-MIN(MIN(CC92*ALC91,JB92+MO92),MO92))),JB92)</f>
        <v>1270</v>
      </c>
      <c r="JD92" s="20" t="n">
        <f aca="false">IF(AND(H_Direct=1,CD92&gt;0),MAX(0,JC92-(MIN(CD92*ALD91,JC92+MP92)-MIN(MIN(CD92*ALD91,JC92+MP92),MP92))),JC92)</f>
        <v>1270</v>
      </c>
      <c r="JE92" s="20" t="n">
        <f aca="false">IF(AND(H_Direct=1,CE92&gt;0),MAX(0,JD92-(MIN(CE92*ALE91,JD92+MQ92)-MIN(MIN(CE92*ALE91,JD92+MQ92),MQ92))),JD92)</f>
        <v>1270</v>
      </c>
      <c r="JF92" s="20" t="n">
        <f aca="false">IF(AND(H_Direct=1,CF92&gt;0),MAX(0,JE92-(MIN(CF92*ALF91,JE92+MR92)-MIN(MIN(CF92*ALF91,JE92+MR92),MR92))),JE92)</f>
        <v>1270</v>
      </c>
      <c r="JG92" s="20" t="n">
        <f aca="false">IF(AND(H_Direct=1,CG92&gt;0),MAX(0,JF92-(MIN(CG92*ALG91,JF92+MS92)-MIN(MIN(CG92*ALG91,JF92+MS92),MS92))),JF92)</f>
        <v>1270</v>
      </c>
      <c r="JH92" s="20" t="n">
        <f aca="false">IF(AND(H_Direct=1,CH92&gt;0),MAX(0,JG92-(MIN(CH92*ALH91,JG92+MT92)-MIN(MIN(CH92*ALH91,JG92+MT92),MT92))),JG92)</f>
        <v>1270</v>
      </c>
      <c r="JI92" s="20" t="n">
        <f aca="false">IF(AND(H_Direct=1,CI92&gt;0),MAX(0,JH92-(MIN(CI92*ALI91,JH92+MU92)-MIN(MIN(CI92*ALI91,JH92+MU92),MU92))),JH92)</f>
        <v>1270</v>
      </c>
      <c r="JJ92" s="20" t="n">
        <f aca="false">IF(AND(H_Direct=1,CJ92&gt;0),MAX(0,JI92-(MIN(CJ92*ALJ91,JI92+MV92)-MIN(MIN(CJ92*ALJ91,JI92+MV92),MV92))),JI92)</f>
        <v>1270</v>
      </c>
      <c r="JK92" s="20" t="n">
        <f aca="false">IF(AND(H_Direct=1,CK92&gt;0),MAX(0,JJ92-(MIN(CK92*ALK91,JJ92+MW92)-MIN(MIN(CK92*ALK91,JJ92+MW92),MW92))),JJ92)</f>
        <v>1270</v>
      </c>
      <c r="JL92" s="20" t="n">
        <f aca="false">IF(AND(H_Direct=1,CL92&gt;0),MAX(0,JK92-(MIN(CL92*ALL91,JK92+MX92)-MIN(MIN(CL92*ALL91,JK92+MX92),MX92))),JK92)</f>
        <v>1270</v>
      </c>
      <c r="JM92" s="20" t="n">
        <f aca="false">IF(AND(H_Direct=1,CM92&gt;0),MAX(0,JL92-(MIN(CM92*ALM91,JL92+MY92)-MIN(MIN(CM92*ALM91,JL92+MY92),MY92))),JL92)</f>
        <v>1270</v>
      </c>
      <c r="JN92" s="20" t="n">
        <f aca="false">IF(AND(H_Direct=1,CN92&gt;0),MAX(0,JM92-(MIN(CN92*ALN91,JM92+MZ92)-MIN(MIN(CN92*ALN91,JM92+MZ92),MZ92))),JM92)</f>
        <v>1270</v>
      </c>
      <c r="JO92" s="20" t="n">
        <f aca="false">IF(AND(H_Direct=1,CO92&gt;0),MAX(0,JN92-(MIN(CO92*ALO91,JN92+NA92)-MIN(MIN(CO92*ALO91,JN92+NA92),NA92))),JN92)</f>
        <v>1270</v>
      </c>
      <c r="JP92" s="20" t="n">
        <f aca="false">IF(AND(H_Direct=1,CP92&gt;0),MAX(0,JO92-(MIN(CP92*ALP91,JO92+NB92)-MIN(MIN(CP92*ALP91,JO92+NB92),NB92))),JO92)</f>
        <v>1270</v>
      </c>
      <c r="JQ92" s="20" t="n">
        <f aca="false">IF(AND(H_Direct=1,CQ92&gt;0),MAX(0,JP92-(MIN(CQ92*ALQ91,JP92+NC92)-MIN(MIN(CQ92*ALQ91,JP92+NC92),NC92))),JP92)</f>
        <v>1270</v>
      </c>
      <c r="JR92" s="20" t="n">
        <f aca="false">IF(AND(H_Direct=1,CR92&gt;0),MAX(0,JQ92-(MIN(CR92*ALR91,JQ92+ND92)-MIN(MIN(CR92*ALR91,JQ92+ND92),ND92))),JQ92)</f>
        <v>1270</v>
      </c>
      <c r="JS92" s="20" t="n">
        <f aca="false">IF(AND(H_Direct=1,CS92&gt;0),MAX(0,JR92-(MIN(CS92*ALS91,JR92+NE92)-MIN(MIN(CS92*ALS91,JR92+NE92),NE92))),JR92)</f>
        <v>1270</v>
      </c>
      <c r="JT92" s="20" t="n">
        <f aca="false">IF(AND(H_Direct=1,CT92&gt;0),MAX(0,JS92-(MIN(CT92*ALT91,JS92+NF92)-MIN(MIN(CT92*ALT91,JS92+NF92),NF92))),JS92)</f>
        <v>1270</v>
      </c>
      <c r="JU92" s="20" t="n">
        <f aca="false">IF(AND(H_Direct=1,CU92&gt;0),MAX(0,JT92-(MIN(CU92*ALU91,JT92+NG92)-MIN(MIN(CU92*ALU91,JT92+NG92),NG92))),JT92)</f>
        <v>1270</v>
      </c>
      <c r="JV92" s="20" t="n">
        <f aca="false">IF(AND(H_Direct=1,CV92&gt;0),MAX(0,JU92-(MIN(CV92*ALV91,JU92+NH92)-MIN(MIN(CV92*ALV91,JU92+NH92),NH92))),JU92)</f>
        <v>1270</v>
      </c>
      <c r="JW92" s="20" t="n">
        <f aca="false">IF(AND(H_Direct=1,CW92&gt;0),MAX(0,JV92-(MIN(CW92*ALW91,JV92+NI92)-MIN(MIN(CW92*ALW91,JV92+NI92),NI92))),JV92)</f>
        <v>1270</v>
      </c>
      <c r="JX92" s="20" t="n">
        <f aca="false">IF(AND(H_Direct=1,CX92&gt;0),MAX(0,JW92-(MIN(CX92*ALX91,JW92+NJ92)-MIN(MIN(CX92*ALX91,JW92+NJ92),NJ92))),JW92)</f>
        <v>1270</v>
      </c>
      <c r="JY92" s="20" t="n">
        <f aca="false">IF(AND(H_Direct=1,CY92&gt;0),MAX(0,JX92-(MIN(CY92*ALY91,JX92+NK92)-MIN(MIN(CY92*ALY91,JX92+NK92),NK92))),JX92)</f>
        <v>1270</v>
      </c>
      <c r="JZ92" s="20" t="n">
        <f aca="false">IF(AND(H_Direct=1,CZ92&gt;0),MAX(0,JY92-(MIN(CZ92*ALZ91,JY92+NL92)-MIN(MIN(CZ92*ALZ91,JY92+NL92),NL92))),JY92)</f>
        <v>1270</v>
      </c>
      <c r="KA92" s="20" t="n">
        <f aca="false">IF(AND(H_Direct=1,DA92&gt;0),MAX(0,JZ92-(MIN(DA92*AMA91,JZ92+NM92)-MIN(MIN(DA92*AMA91,JZ92+NM92),NM92))),JZ92)</f>
        <v>1270</v>
      </c>
      <c r="KB92" s="20" t="n">
        <f aca="false">IF(AND(H_Direct=1,DB92&gt;0),MAX(0,KA92-(MIN(DB92*AMB91,KA92+NN92)-MIN(MIN(DB92*AMB91,KA92+NN92),NN92))),KA92)</f>
        <v>1270</v>
      </c>
      <c r="KC92" s="20" t="n">
        <f aca="false">IF(AND(H_Direct=1,DC92&gt;0),MAX(0,KB92-(MIN(DC92*AMC91,KB92+NO92)-MIN(MIN(DC92*AMC91,KB92+NO92),NO92))),KB92)</f>
        <v>1270</v>
      </c>
      <c r="KD92" s="20" t="n">
        <f aca="false">IF(AND(H_Direct=1,DD92&gt;0),MAX(0,KC92-(MIN(DD92*AMD91,KC92+NP92)-MIN(MIN(DD92*AMD91,KC92+NP92),NP92))),KC92)</f>
        <v>1270</v>
      </c>
      <c r="KE92" s="20" t="n">
        <f aca="false">IF(AND(H_Direct=1,DE92&gt;0),MAX(0,KD92-(MIN(DE92*AME91,KD92+NQ92)-MIN(MIN(DE92*AME91,KD92+NQ92),NQ92))),KD92)</f>
        <v>1270</v>
      </c>
      <c r="KF92" s="20" t="n">
        <f aca="false">IF(AND(H_Direct=1,DF92&gt;0),MAX(0,KE92-(MIN(DF92*AMF91,KE92+NR92)-MIN(MIN(DF92*AMF91,KE92+NR92),NR92))),KE92)</f>
        <v>1270</v>
      </c>
      <c r="KG92" s="20" t="n">
        <f aca="false">IF(AND(H_Direct=1,DG92&gt;0),MAX(0,KF92-(MIN(DG92*AMG91,KF92+NS92)-MIN(MIN(DG92*AMG91,KF92+NS92),NS92))),KF92)</f>
        <v>1270</v>
      </c>
      <c r="KH92" s="20" t="n">
        <f aca="false">IF(AND(H_Direct=1,DH92&gt;0),MAX(0,KG92-(MIN(DH92*AMH91,KG92+NT92)-MIN(MIN(DH92*AMH91,KG92+NT92),NT92))),KG92)</f>
        <v>1270</v>
      </c>
      <c r="KI92" s="20" t="n">
        <f aca="false">IF(AND(H_Direct=1,DI92&gt;0),MAX(0,KH92-(MIN(DI92*AMI91,KH92+NU92)-MIN(MIN(DI92*AMI91,KH92+NU92),NU92))),KH92)</f>
        <v>1270</v>
      </c>
      <c r="KJ92" s="20" t="n">
        <f aca="false">IF(AND(H_Direct=1,DJ92&gt;0),MAX(0,KI92-(MIN(DJ92*AMJ91,KI92+NV92)-MIN(MIN(DJ92*AMJ91,KI92+NV92),NV92))),KI92)</f>
        <v>1270</v>
      </c>
      <c r="KK92" s="20" t="n">
        <f aca="false">IF(AND(H_Direct=1,DK92&gt;0),MAX(0,KJ92-(MIN(DK92*AMK91,KJ92+NW92)-MIN(MIN(DK92*AMK91,KJ92+NW92),NW92))),KJ92)</f>
        <v>1270</v>
      </c>
      <c r="KL92" s="20" t="n">
        <f aca="false">IF(AND(H_Direct=1,DL92&gt;0),MAX(0,KK92-(MIN(DL92*AML91,KK92+NX92)-MIN(MIN(DL92*AML91,KK92+NX92),NX92))),KK92)</f>
        <v>1270</v>
      </c>
      <c r="KM92" s="20" t="n">
        <f aca="false">IF(AND(H_Direct=1,DM92&gt;0),MAX(0,KL92-(MIN(DM92*AMM91,KL92+NY92)-MIN(MIN(DM92*AMM91,KL92+NY92),NY92))),KL92)</f>
        <v>1270</v>
      </c>
      <c r="KN92" s="20" t="n">
        <f aca="false">IF(AND(H_Direct=1,DN92&gt;0),MAX(0,KM92-(MIN(DN92*AMN91,KM92+NZ92)-MIN(MIN(DN92*AMN91,KM92+NZ92),NZ92))),KM92)</f>
        <v>1270</v>
      </c>
      <c r="KO92" s="20" t="n">
        <f aca="false">IF(AND(H_Direct=1,DO92&gt;0),MAX(0,KN92-(MIN(DO92*AMO91,KN92+OA92)-MIN(MIN(DO92*AMO91,KN92+OA92),OA92))),KN92)</f>
        <v>1270</v>
      </c>
      <c r="KP92" s="20" t="n">
        <f aca="false">IF(AND(H_Direct=1,DP92&gt;0),MAX(0,KO92-(MIN(DP92*AMP91,KO92+OB92)-MIN(MIN(DP92*AMP91,KO92+OB92),OB92))),KO92)</f>
        <v>1270</v>
      </c>
      <c r="KQ92" s="20" t="n">
        <f aca="false">IF(AND(H_Direct=1,DQ92&gt;0),MAX(0,KP92-(MIN(DQ92*AMQ91,KP92+OC92)-MIN(MIN(DQ92*AMQ91,KP92+OC92),OC92))),KP92)</f>
        <v>1270</v>
      </c>
      <c r="KR92" s="20" t="n">
        <f aca="false">IF(AND(H_Direct=1,DR92&gt;0),MAX(0,KQ92-(MIN(DR92*AMR91,KQ92+OD92)-MIN(MIN(DR92*AMR91,KQ92+OD92),OD92))),KQ92)</f>
        <v>1270</v>
      </c>
      <c r="KS92" s="20" t="n">
        <f aca="false">IF(AND(H_Direct=1,DS92&gt;0),MAX(0,KR92-(MIN(DS92*AMS91,KR92+OE92)-MIN(MIN(DS92*AMS91,KR92+OE92),OE92))),KR92)</f>
        <v>1270</v>
      </c>
      <c r="KT92" s="20" t="n">
        <f aca="false">IF(AND(H_Direct=1,DT92&gt;0),MAX(0,KS92-(MIN(DT92*AMT91,KS92+OF92)-MIN(MIN(DT92*AMT91,KS92+OF92),OF92))),KS92)</f>
        <v>1270</v>
      </c>
      <c r="KU92" s="20" t="n">
        <f aca="false">IF(AND(H_Direct=1,DU92&gt;0),MAX(0,KT92-(MIN(DU92*AMU91,KT92+OG92)-MIN(MIN(DU92*AMU91,KT92+OG92),OG92))),KT92)</f>
        <v>1270</v>
      </c>
      <c r="KV92" s="20" t="n">
        <f aca="false">IF(AND(H_Direct=1,DV92&gt;0),MAX(0,KU92-(MIN(DV92*AMV91,KU92+OH92)-MIN(MIN(DV92*AMV91,KU92+OH92),OH92))),KU92)</f>
        <v>1270</v>
      </c>
      <c r="KW92" s="20" t="n">
        <f aca="false">IF(AND(H_Direct=1,DW92&gt;0),MAX(0,KV92-(MIN(DW92*AMW91,KV92+OI92)-MIN(MIN(DW92*AMW91,KV92+OI92),OI92))),KV92)</f>
        <v>1270</v>
      </c>
      <c r="KX92" s="20" t="n">
        <f aca="false">IF(AND(H_Direct=1,DX92&gt;0),MAX(0,KW92-(MIN(DX92*AMX91,KW92+OJ92)-MIN(MIN(DX92*AMX91,KW92+OJ92),OJ92))),KW92)</f>
        <v>1270</v>
      </c>
      <c r="KY92" s="20" t="n">
        <f aca="false">IF(AND(H_Direct=1,DY92&gt;0),MAX(0,KX92-(MIN(DY92*AMY91,KX92+OK92)-MIN(MIN(DY92*AMY91,KX92+OK92),OK92))),KX92)</f>
        <v>1270</v>
      </c>
      <c r="KZ92" s="20" t="n">
        <f aca="false">IF(AND(H_Direct=1,DZ92&gt;0),MAX(0,KY92-(MIN(DZ92*AMZ91,KY92+OL92)-MIN(MIN(DZ92*AMZ91,KY92+OL92),OL92))),KY92)</f>
        <v>1270</v>
      </c>
      <c r="LA92" s="20" t="n">
        <f aca="false">IF(AND(H_Direct=1,EA92&gt;0),MAX(0,KZ92-(MIN(EA92*ANA91,KZ92+OM92)-MIN(MIN(EA92*ANA91,KZ92+OM92),OM92))),KZ92)</f>
        <v>1270</v>
      </c>
      <c r="LB92" s="20" t="n">
        <f aca="false">IF(AND(H_Direct=1,EB92&gt;0),MAX(0,LA92-(MIN(EB92*ANB91,LA92+ON92)-MIN(MIN(EB92*ANB91,LA92+ON92),ON92))),LA92)</f>
        <v>1270</v>
      </c>
      <c r="LC92" s="20" t="n">
        <f aca="false">IF(AND(H_Direct=1,EC92&gt;0),MAX(0,LB92-(MIN(EC92*ANC91,LB92+OO92)-MIN(MIN(EC92*ANC91,LB92+OO92),OO92))),LB92)</f>
        <v>1270</v>
      </c>
      <c r="LD92" s="20" t="n">
        <f aca="false">IF(AND(H_Direct=1,ED92&gt;0),MAX(0,LC92-(MIN(ED92*AND91,LC92+OP92)-MIN(MIN(ED92*AND91,LC92+OP92),OP92))),LC92)</f>
        <v>1270</v>
      </c>
      <c r="LE92" s="20" t="n">
        <f aca="false">IF(AND(H_Direct=1,EE92&gt;0),MAX(0,LD92-(MIN(EE92*ANE91,LD92+OQ92)-MIN(MIN(EE92*ANE91,LD92+OQ92),OQ92))),LD92)</f>
        <v>1270</v>
      </c>
      <c r="LF92" s="20" t="n">
        <f aca="false">IF(AND(H_Direct=1,EF92&gt;0),MAX(0,LE92-(MIN(EF92*ANF91,LE92+OR92)-MIN(MIN(EF92*ANF91,LE92+OR92),OR92))),LE92)</f>
        <v>1270</v>
      </c>
      <c r="LG92" s="20" t="n">
        <f aca="false">IF(AND(H_Direct=1,EG92&gt;0),MAX(0,LF92-(MIN(EG92*ANG91,LF92+OS92)-MIN(MIN(EG92*ANG91,LF92+OS92),OS92))),LF92)</f>
        <v>1270</v>
      </c>
      <c r="LH92" s="20" t="n">
        <f aca="false">IF(AND(H_Direct=1,EH92&gt;0),MAX(0,LG92-(MIN(EH92*ANH91,LG92+OT92)-MIN(MIN(EH92*ANH91,LG92+OT92),OT92))),LG92)</f>
        <v>1270</v>
      </c>
      <c r="LI92" s="20" t="n">
        <f aca="false">IF(AND(H_Direct=1,EI92&gt;0),MAX(0,LH92-(MIN(EI92*ANI91,LH92+OU92)-MIN(MIN(EI92*ANI91,LH92+OU92),OU92))),LH92)</f>
        <v>1270</v>
      </c>
      <c r="LJ92" s="20" t="n">
        <f aca="false">IF(AND(H_Direct=1,EJ92&gt;0),MAX(0,LI92-(MIN(EJ92*ANJ91,LI92+OV92)-MIN(MIN(EJ92*ANJ91,LI92+OV92),OV92))),LI92)</f>
        <v>1270</v>
      </c>
      <c r="LK92" s="20" t="n">
        <f aca="false">IF(AND(H_Direct=1,EK92&gt;0),MAX(0,LJ92-(MIN(EK92*ANK91,LJ92+OW92)-MIN(MIN(EK92*ANK91,LJ92+OW92),OW92))),LJ92)</f>
        <v>1270</v>
      </c>
      <c r="LL92" s="20" t="n">
        <f aca="false">IF(AND(H_Direct=1,EL92&gt;0),MAX(0,LK92-(MIN(EL92*ANL91,LK92+OX92)-MIN(MIN(EL92*ANL91,LK92+OX92),OX92))),LK92)</f>
        <v>1270</v>
      </c>
      <c r="LM92" s="20" t="n">
        <f aca="false">IF(AND(H_Direct=1,EM92&gt;0),MAX(0,LL92-(MIN(EM92*ANM91,LL92+OY92)-MIN(MIN(EM92*ANM91,LL92+OY92),OY92))),LL92)</f>
        <v>1270</v>
      </c>
      <c r="LN92" s="20" t="n">
        <f aca="false">IF(AND(H_Direct=1,EN92&gt;0),MAX(0,LM92-(MIN(EN92*ANN91,LM92+OZ92)-MIN(MIN(EN92*ANN91,LM92+OZ92),OZ92))),LM92)</f>
        <v>1270</v>
      </c>
      <c r="LO92" s="20" t="n">
        <f aca="false">IF(AND(H_Direct=1,EO92&gt;0),MAX(0,LN92-(MIN(EO92*ANO91,LN92+PA92)-MIN(MIN(EO92*ANO91,LN92+PA92),PA92))),LN92)</f>
        <v>1270</v>
      </c>
      <c r="LP92" s="20" t="n">
        <f aca="false">IF(AND(H_Direct=1,EP92&gt;0),MAX(0,LO92-(MIN(EP92*ANP91,LO92+PB92)-MIN(MIN(EP92*ANP91,LO92+PB92),PB92))),LO92)</f>
        <v>1270</v>
      </c>
      <c r="LQ92" s="20" t="n">
        <f aca="false">IF(AND(H_Direct=1,EQ92&gt;0),MAX(0,LP92-(MIN(EQ92*ANQ91,LP92+PC92)-MIN(MIN(EQ92*ANQ91,LP92+PC92),PC92))),LP92)</f>
        <v>1270</v>
      </c>
      <c r="LR92" s="20" t="n">
        <f aca="false">IF(AND(H_Direct=1,ER92&gt;0),MAX(0,LQ92-(MIN(ER92*ANR91,LQ92+PD92)-MIN(MIN(ER92*ANR91,LQ92+PD92),PD92))),LQ92)</f>
        <v>1270</v>
      </c>
      <c r="LS92" s="20" t="n">
        <f aca="false">IF(AND(H_Direct=1,ES92&gt;0),MAX(0,LR92-(MIN(ES92*ANS91,LR92+PE92)-MIN(MIN(ES92*ANS91,LR92+PE92),PE92))),LR92)</f>
        <v>1270</v>
      </c>
      <c r="LT92" s="20" t="n">
        <f aca="false">IF(AND(H_Direct=1,ET92&gt;0),MAX(0,LS92-(MIN(ET92*ANT91,LS92+PF92)-MIN(MIN(ET92*ANT91,LS92+PF92),PF92))),LS92)</f>
        <v>1270</v>
      </c>
      <c r="LU92" s="20" t="n">
        <f aca="false">IF(AND(H_Direct=1,EU92&gt;0),MAX(0,LT92-(MIN(EU92*ANU91,LT92+PG92)-MIN(MIN(EU92*ANU91,LT92+PG92),PG92))),LT92)</f>
        <v>1270</v>
      </c>
      <c r="LV92" s="20" t="n">
        <f aca="false">IF(AND(H_Direct=1,EV92&gt;0),MAX(0,LU92-(MIN(EV92*ANV91,LU92+PH92)-MIN(MIN(EV92*ANV91,LU92+PH92),PH92))),LU92)</f>
        <v>1270</v>
      </c>
      <c r="LW92" s="20" t="n">
        <f aca="false">IF(AND(H_Direct=1,EW92&gt;0),MAX(0,LV92-(MIN(EW92*ANW91,LV92+PI92)-MIN(MIN(EW92*ANW91,LV92+PI92),PI92))),LV92)</f>
        <v>1270</v>
      </c>
      <c r="LX92" s="20" t="n">
        <f aca="false">IF(AND(H_Direct=1,EX92&gt;0),MAX(0,LW92-(MIN(EX92*ANX91,LW92+PJ92)-MIN(MIN(EX92*ANX91,LW92+PJ92),PJ92))),LW92)</f>
        <v>1270</v>
      </c>
      <c r="LY92" s="20" t="n">
        <f aca="false">IF(AND(H_Direct=1,EY92&gt;0),MAX(0,LX92-(MIN(EY92*(P92+S92),LX92+PK92)-MIN(MIN(EY92*(P92+S92),LX92+PK92),PK92))),LX92)</f>
        <v>1270</v>
      </c>
      <c r="LZ92" s="20" t="n">
        <f aca="false">LY92</f>
        <v>1270</v>
      </c>
      <c r="MA92" s="20" t="n">
        <f aca="false">LZ92</f>
        <v>1270</v>
      </c>
      <c r="MB92" s="20" t="n">
        <f aca="false">MA92</f>
        <v>1270</v>
      </c>
      <c r="MC92" s="20" t="n">
        <f aca="false">MB92</f>
        <v>1270</v>
      </c>
      <c r="MD92" s="20" t="n">
        <f aca="false">MC92</f>
        <v>1270</v>
      </c>
      <c r="ME92" s="20" t="n">
        <f aca="false">IF(H_Direct=1,IF(BR92&lt;=0,I92-BR92*AKR91,I92-MIN(MIN(BR92*AKR91,H92+I92),I92)),I92)</f>
        <v>0</v>
      </c>
      <c r="MF92" s="20" t="n">
        <f aca="false">IF(H_Direct=1,IF(BS92&lt;=0,ME92-BS92*AKS91,ME92-MIN(MIN(BS92*AKS91,IR92+ME92),ME92)),ME92)</f>
        <v>0</v>
      </c>
      <c r="MG92" s="20" t="n">
        <f aca="false">IF(H_Direct=1,IF(BT92&lt;=0,MF92-BT92*AKT91,MF92-MIN(MIN(BT92*AKT91,IS92+MF92),MF92)),MF92)</f>
        <v>0</v>
      </c>
      <c r="MH92" s="20" t="n">
        <f aca="false">IF(H_Direct=1,IF(BU92&lt;=0,MG92-BU92*AKU91,MG92-MIN(MIN(BU92*AKU91,IT92+MG92),MG92)),MG92)</f>
        <v>0</v>
      </c>
      <c r="MI92" s="20" t="n">
        <f aca="false">IF(H_Direct=1,IF(BV92&lt;=0,MH92-BV92*AKV91,MH92-MIN(MIN(BV92*AKV91,IU92+MH92),MH92)),MH92)</f>
        <v>0</v>
      </c>
      <c r="MJ92" s="20" t="n">
        <f aca="false">IF(H_Direct=1,IF(BW92&lt;=0,MI92-BW92*AKW91,MI92-MIN(MIN(BW92*AKW91,IV92+MI92),MI92)),MI92)</f>
        <v>0</v>
      </c>
      <c r="MK92" s="20" t="n">
        <f aca="false">IF(H_Direct=1,IF(BX92&lt;=0,MJ92-BX92*AKX91,MJ92-MIN(MIN(BX92*AKX91,IW92+MJ92),MJ92)),MJ92)</f>
        <v>0</v>
      </c>
      <c r="ML92" s="20" t="n">
        <f aca="false">IF(H_Direct=1,IF(BY92&lt;=0,MK92-BY92*AKY91,MK92-MIN(MIN(BY92*AKY91,IX92+MK92),MK92)),MK92)</f>
        <v>0</v>
      </c>
      <c r="MM92" s="20" t="n">
        <f aca="false">IF(H_Direct=1,IF(BZ92&lt;=0,ML92-BZ92*AKZ91,ML92-MIN(MIN(BZ92*AKZ91,IY92+ML92),ML92)),ML92)</f>
        <v>0</v>
      </c>
      <c r="MN92" s="20" t="n">
        <f aca="false">IF(H_Direct=1,IF(CA92&lt;=0,MM92-CA92*ALA91,MM92-MIN(MIN(CA92*ALA91,IZ92+MM92),MM92)),MM92)</f>
        <v>0</v>
      </c>
      <c r="MO92" s="20" t="n">
        <f aca="false">IF(H_Direct=1,IF(CB92&lt;=0,MN92-CB92*ALB91,MN92-MIN(MIN(CB92*ALB91,JA92+MN92),MN92)),MN92)</f>
        <v>0</v>
      </c>
      <c r="MP92" s="20" t="n">
        <f aca="false">IF(H_Direct=1,IF(CC92&lt;=0,MO92-CC92*ALC91,MO92-MIN(MIN(CC92*ALC91,JB92+MO92),MO92)),MO92)</f>
        <v>0</v>
      </c>
      <c r="MQ92" s="20" t="n">
        <f aca="false">IF(H_Direct=1,IF(CD92&lt;=0,MP92-CD92*ALD91,MP92-MIN(MIN(CD92*ALD91,JC92+MP92),MP92)),MP92)</f>
        <v>0</v>
      </c>
      <c r="MR92" s="20" t="n">
        <f aca="false">IF(H_Direct=1,IF(CE92&lt;=0,MQ92-CE92*ALE91,MQ92-MIN(MIN(CE92*ALE91,JD92+MQ92),MQ92)),MQ92)</f>
        <v>0</v>
      </c>
      <c r="MS92" s="20" t="n">
        <f aca="false">IF(H_Direct=1,IF(CF92&lt;=0,MR92-CF92*ALF91,MR92-MIN(MIN(CF92*ALF91,JE92+MR92),MR92)),MR92)</f>
        <v>0</v>
      </c>
      <c r="MT92" s="20" t="n">
        <f aca="false">IF(H_Direct=1,IF(CG92&lt;=0,MS92-CG92*ALG91,MS92-MIN(MIN(CG92*ALG91,JF92+MS92),MS92)),MS92)</f>
        <v>0</v>
      </c>
      <c r="MU92" s="20" t="n">
        <f aca="false">IF(H_Direct=1,IF(CH92&lt;=0,MT92-CH92*ALH91,MT92-MIN(MIN(CH92*ALH91,JG92+MT92),MT92)),MT92)</f>
        <v>0</v>
      </c>
      <c r="MV92" s="20" t="n">
        <f aca="false">IF(H_Direct=1,IF(CI92&lt;=0,MU92-CI92*ALI91,MU92-MIN(MIN(CI92*ALI91,JH92+MU92),MU92)),MU92)</f>
        <v>0</v>
      </c>
      <c r="MW92" s="20" t="n">
        <f aca="false">IF(H_Direct=1,IF(CJ92&lt;=0,MV92-CJ92*ALJ91,MV92-MIN(MIN(CJ92*ALJ91,JI92+MV92),MV92)),MV92)</f>
        <v>0</v>
      </c>
      <c r="MX92" s="20" t="n">
        <f aca="false">IF(H_Direct=1,IF(CK92&lt;=0,MW92-CK92*ALK91,MW92-MIN(MIN(CK92*ALK91,JJ92+MW92),MW92)),MW92)</f>
        <v>0</v>
      </c>
      <c r="MY92" s="20" t="n">
        <f aca="false">IF(H_Direct=1,IF(CL92&lt;=0,MX92-CL92*ALL91,MX92-MIN(MIN(CL92*ALL91,JK92+MX92),MX92)),MX92)</f>
        <v>0</v>
      </c>
      <c r="MZ92" s="20" t="n">
        <f aca="false">IF(H_Direct=1,IF(CM92&lt;=0,MY92-CM92*ALM91,MY92-MIN(MIN(CM92*ALM91,JL92+MY92),MY92)),MY92)</f>
        <v>0</v>
      </c>
      <c r="NA92" s="20" t="n">
        <f aca="false">IF(H_Direct=1,IF(CN92&lt;=0,MZ92-CN92*ALN91,MZ92-MIN(MIN(CN92*ALN91,JM92+MZ92),MZ92)),MZ92)</f>
        <v>0</v>
      </c>
      <c r="NB92" s="20" t="n">
        <f aca="false">IF(H_Direct=1,IF(CO92&lt;=0,NA92-CO92*ALO91,NA92-MIN(MIN(CO92*ALO91,JN92+NA92),NA92)),NA92)</f>
        <v>0</v>
      </c>
      <c r="NC92" s="20" t="n">
        <f aca="false">IF(H_Direct=1,IF(CP92&lt;=0,NB92-CP92*ALP91,NB92-MIN(MIN(CP92*ALP91,JO92+NB92),NB92)),NB92)</f>
        <v>0</v>
      </c>
      <c r="ND92" s="20" t="n">
        <f aca="false">IF(H_Direct=1,IF(CQ92&lt;=0,NC92-CQ92*ALQ91,NC92-MIN(MIN(CQ92*ALQ91,JP92+NC92),NC92)),NC92)</f>
        <v>0</v>
      </c>
      <c r="NE92" s="20" t="n">
        <f aca="false">IF(H_Direct=1,IF(CR92&lt;=0,ND92-CR92*ALR91,ND92-MIN(MIN(CR92*ALR91,JQ92+ND92),ND92)),ND92)</f>
        <v>0</v>
      </c>
      <c r="NF92" s="20" t="n">
        <f aca="false">IF(H_Direct=1,IF(CS92&lt;=0,NE92-CS92*ALS91,NE92-MIN(MIN(CS92*ALS91,JR92+NE92),NE92)),NE92)</f>
        <v>0</v>
      </c>
      <c r="NG92" s="20" t="n">
        <f aca="false">IF(H_Direct=1,IF(CT92&lt;=0,NF92-CT92*ALT91,NF92-MIN(MIN(CT92*ALT91,JS92+NF92),NF92)),NF92)</f>
        <v>0</v>
      </c>
      <c r="NH92" s="20" t="n">
        <f aca="false">IF(H_Direct=1,IF(CU92&lt;=0,NG92-CU92*ALU91,NG92-MIN(MIN(CU92*ALU91,JT92+NG92),NG92)),NG92)</f>
        <v>0</v>
      </c>
      <c r="NI92" s="20" t="n">
        <f aca="false">IF(H_Direct=1,IF(CV92&lt;=0,NH92-CV92*ALV91,NH92-MIN(MIN(CV92*ALV91,JU92+NH92),NH92)),NH92)</f>
        <v>0</v>
      </c>
      <c r="NJ92" s="20" t="n">
        <f aca="false">IF(H_Direct=1,IF(CW92&lt;=0,NI92-CW92*ALW91,NI92-MIN(MIN(CW92*ALW91,JV92+NI92),NI92)),NI92)</f>
        <v>0</v>
      </c>
      <c r="NK92" s="20" t="n">
        <f aca="false">IF(H_Direct=1,IF(CX92&lt;=0,NJ92-CX92*ALX91,NJ92-MIN(MIN(CX92*ALX91,JW92+NJ92),NJ92)),NJ92)</f>
        <v>0</v>
      </c>
      <c r="NL92" s="20" t="n">
        <f aca="false">IF(H_Direct=1,IF(CY92&lt;=0,NK92-CY92*ALY91,NK92-MIN(MIN(CY92*ALY91,JX92+NK92),NK92)),NK92)</f>
        <v>0</v>
      </c>
      <c r="NM92" s="20" t="n">
        <f aca="false">IF(H_Direct=1,IF(CZ92&lt;=0,NL92-CZ92*ALZ91,NL92-MIN(MIN(CZ92*ALZ91,JY92+NL92),NL92)),NL92)</f>
        <v>0</v>
      </c>
      <c r="NN92" s="20" t="n">
        <f aca="false">IF(H_Direct=1,IF(DA92&lt;=0,NM92-DA92*AMA91,NM92-MIN(MIN(DA92*AMA91,JZ92+NM92),NM92)),NM92)</f>
        <v>0</v>
      </c>
      <c r="NO92" s="20" t="n">
        <f aca="false">IF(H_Direct=1,IF(DB92&lt;=0,NN92-DB92*AMB91,NN92-MIN(MIN(DB92*AMB91,KA92+NN92),NN92)),NN92)</f>
        <v>0</v>
      </c>
      <c r="NP92" s="20" t="n">
        <f aca="false">IF(H_Direct=1,IF(DC92&lt;=0,NO92-DC92*AMC91,NO92-MIN(MIN(DC92*AMC91,KB92+NO92),NO92)),NO92)</f>
        <v>0</v>
      </c>
      <c r="NQ92" s="20" t="n">
        <f aca="false">IF(H_Direct=1,IF(DD92&lt;=0,NP92-DD92*AMD91,NP92-MIN(MIN(DD92*AMD91,KC92+NP92),NP92)),NP92)</f>
        <v>0</v>
      </c>
      <c r="NR92" s="20" t="n">
        <f aca="false">IF(H_Direct=1,IF(DE92&lt;=0,NQ92-DE92*AME91,NQ92-MIN(MIN(DE92*AME91,KD92+NQ92),NQ92)),NQ92)</f>
        <v>0</v>
      </c>
      <c r="NS92" s="20" t="n">
        <f aca="false">IF(H_Direct=1,IF(DF92&lt;=0,NR92-DF92*AMF91,NR92-MIN(MIN(DF92*AMF91,KE92+NR92),NR92)),NR92)</f>
        <v>0</v>
      </c>
      <c r="NT92" s="20" t="n">
        <f aca="false">IF(H_Direct=1,IF(DG92&lt;=0,NS92-DG92*AMG91,NS92-MIN(MIN(DG92*AMG91,KF92+NS92),NS92)),NS92)</f>
        <v>0</v>
      </c>
      <c r="NU92" s="20" t="n">
        <f aca="false">IF(H_Direct=1,IF(DH92&lt;=0,NT92-DH92*AMH91,NT92-MIN(MIN(DH92*AMH91,KG92+NT92),NT92)),NT92)</f>
        <v>0</v>
      </c>
      <c r="NV92" s="20" t="n">
        <f aca="false">IF(H_Direct=1,IF(DI92&lt;=0,NU92-DI92*AMI91,NU92-MIN(MIN(DI92*AMI91,KH92+NU92),NU92)),NU92)</f>
        <v>0</v>
      </c>
      <c r="NW92" s="20" t="n">
        <f aca="false">IF(H_Direct=1,IF(DJ92&lt;=0,NV92-DJ92*AMJ91,NV92-MIN(MIN(DJ92*AMJ91,KI92+NV92),NV92)),NV92)</f>
        <v>0</v>
      </c>
      <c r="NX92" s="20" t="n">
        <f aca="false">IF(H_Direct=1,IF(DK92&lt;=0,NW92-DK92*AMK91,NW92-MIN(MIN(DK92*AMK91,KJ92+NW92),NW92)),NW92)</f>
        <v>0</v>
      </c>
      <c r="NY92" s="20" t="n">
        <f aca="false">IF(H_Direct=1,IF(DL92&lt;=0,NX92-DL92*AML91,NX92-MIN(MIN(DL92*AML91,KK92+NX92),NX92)),NX92)</f>
        <v>0</v>
      </c>
      <c r="NZ92" s="20" t="n">
        <f aca="false">IF(H_Direct=1,IF(DM92&lt;=0,NY92-DM92*AMM91,NY92-MIN(MIN(DM92*AMM91,KL92+NY92),NY92)),NY92)</f>
        <v>0</v>
      </c>
      <c r="OA92" s="20" t="n">
        <f aca="false">IF(H_Direct=1,IF(DN92&lt;=0,NZ92-DN92*AMN91,NZ92-MIN(MIN(DN92*AMN91,KM92+NZ92),NZ92)),NZ92)</f>
        <v>0</v>
      </c>
      <c r="OB92" s="20" t="n">
        <f aca="false">IF(H_Direct=1,IF(DO92&lt;=0,OA92-DO92*AMO91,OA92-MIN(MIN(DO92*AMO91,KN92+OA92),OA92)),OA92)</f>
        <v>0</v>
      </c>
      <c r="OC92" s="20" t="n">
        <f aca="false">IF(H_Direct=1,IF(DP92&lt;=0,OB92-DP92*AMP91,OB92-MIN(MIN(DP92*AMP91,KO92+OB92),OB92)),OB92)</f>
        <v>0</v>
      </c>
      <c r="OD92" s="20" t="n">
        <f aca="false">IF(H_Direct=1,IF(DQ92&lt;=0,OC92-DQ92*AMQ91,OC92-MIN(MIN(DQ92*AMQ91,KP92+OC92),OC92)),OC92)</f>
        <v>0</v>
      </c>
      <c r="OE92" s="20" t="n">
        <f aca="false">IF(H_Direct=1,IF(DR92&lt;=0,OD92-DR92*AMR91,OD92-MIN(MIN(DR92*AMR91,KQ92+OD92),OD92)),OD92)</f>
        <v>0</v>
      </c>
      <c r="OF92" s="20" t="n">
        <f aca="false">IF(H_Direct=1,IF(DS92&lt;=0,OE92-DS92*AMS91,OE92-MIN(MIN(DS92*AMS91,KR92+OE92),OE92)),OE92)</f>
        <v>0</v>
      </c>
      <c r="OG92" s="20" t="n">
        <f aca="false">IF(H_Direct=1,IF(DT92&lt;=0,OF92-DT92*AMT91,OF92-MIN(MIN(DT92*AMT91,KS92+OF92),OF92)),OF92)</f>
        <v>0</v>
      </c>
      <c r="OH92" s="20" t="n">
        <f aca="false">IF(H_Direct=1,IF(DU92&lt;=0,OG92-DU92*AMU91,OG92-MIN(MIN(DU92*AMU91,KT92+OG92),OG92)),OG92)</f>
        <v>0</v>
      </c>
      <c r="OI92" s="20" t="n">
        <f aca="false">IF(H_Direct=1,IF(DV92&lt;=0,OH92-DV92*AMV91,OH92-MIN(MIN(DV92*AMV91,KU92+OH92),OH92)),OH92)</f>
        <v>0</v>
      </c>
      <c r="OJ92" s="20" t="n">
        <f aca="false">IF(H_Direct=1,IF(DW92&lt;=0,OI92-DW92*AMW91,OI92-MIN(MIN(DW92*AMW91,KV92+OI92),OI92)),OI92)</f>
        <v>0</v>
      </c>
      <c r="OK92" s="20" t="n">
        <f aca="false">IF(H_Direct=1,IF(DX92&lt;=0,OJ92-DX92*AMX91,OJ92-MIN(MIN(DX92*AMX91,KW92+OJ92),OJ92)),OJ92)</f>
        <v>0</v>
      </c>
      <c r="OL92" s="20" t="n">
        <f aca="false">IF(H_Direct=1,IF(DY92&lt;=0,OK92-DY92*AMY91,OK92-MIN(MIN(DY92*AMY91,KX92+OK92),OK92)),OK92)</f>
        <v>0</v>
      </c>
      <c r="OM92" s="20" t="n">
        <f aca="false">IF(H_Direct=1,IF(DZ92&lt;=0,OL92-DZ92*AMZ91,OL92-MIN(MIN(DZ92*AMZ91,KY92+OL92),OL92)),OL92)</f>
        <v>0</v>
      </c>
      <c r="ON92" s="20" t="n">
        <f aca="false">IF(H_Direct=1,IF(EA92&lt;=0,OM92-EA92*ANA91,OM92-MIN(MIN(EA92*ANA91,KZ92+OM92),OM92)),OM92)</f>
        <v>0</v>
      </c>
      <c r="OO92" s="20" t="n">
        <f aca="false">IF(H_Direct=1,IF(EB92&lt;=0,ON92-EB92*ANB91,ON92-MIN(MIN(EB92*ANB91,LA92+ON92),ON92)),ON92)</f>
        <v>0</v>
      </c>
      <c r="OP92" s="20" t="n">
        <f aca="false">IF(H_Direct=1,IF(EC92&lt;=0,OO92-EC92*ANC91,OO92-MIN(MIN(EC92*ANC91,LB92+OO92),OO92)),OO92)</f>
        <v>0</v>
      </c>
      <c r="OQ92" s="20" t="n">
        <f aca="false">IF(H_Direct=1,IF(ED92&lt;=0,OP92-ED92*AND91,OP92-MIN(MIN(ED92*AND91,LC92+OP92),OP92)),OP92)</f>
        <v>0</v>
      </c>
      <c r="OR92" s="20" t="n">
        <f aca="false">IF(H_Direct=1,IF(EE92&lt;=0,OQ92-EE92*ANE91,OQ92-MIN(MIN(EE92*ANE91,LD92+OQ92),OQ92)),OQ92)</f>
        <v>0</v>
      </c>
      <c r="OS92" s="20" t="n">
        <f aca="false">IF(H_Direct=1,IF(EF92&lt;=0,OR92-EF92*ANF91,OR92-MIN(MIN(EF92*ANF91,LE92+OR92),OR92)),OR92)</f>
        <v>0</v>
      </c>
      <c r="OT92" s="20" t="n">
        <f aca="false">IF(H_Direct=1,IF(EG92&lt;=0,OS92-EG92*ANG91,OS92-MIN(MIN(EG92*ANG91,LF92+OS92),OS92)),OS92)</f>
        <v>0</v>
      </c>
      <c r="OU92" s="20" t="n">
        <f aca="false">IF(H_Direct=1,IF(EH92&lt;=0,OT92-EH92*ANH91,OT92-MIN(MIN(EH92*ANH91,LG92+OT92),OT92)),OT92)</f>
        <v>0</v>
      </c>
      <c r="OV92" s="20" t="n">
        <f aca="false">IF(H_Direct=1,IF(EI92&lt;=0,OU92-EI92*ANI91,OU92-MIN(MIN(EI92*ANI91,LH92+OU92),OU92)),OU92)</f>
        <v>0</v>
      </c>
      <c r="OW92" s="20" t="n">
        <f aca="false">IF(H_Direct=1,IF(EJ92&lt;=0,OV92-EJ92*ANJ91,OV92-MIN(MIN(EJ92*ANJ91,LI92+OV92),OV92)),OV92)</f>
        <v>0</v>
      </c>
      <c r="OX92" s="20" t="n">
        <f aca="false">IF(H_Direct=1,IF(EK92&lt;=0,OW92-EK92*ANK91,OW92-MIN(MIN(EK92*ANK91,LJ92+OW92),OW92)),OW92)</f>
        <v>0</v>
      </c>
      <c r="OY92" s="20" t="n">
        <f aca="false">IF(H_Direct=1,IF(EL92&lt;=0,OX92-EL92*ANL91,OX92-MIN(MIN(EL92*ANL91,LK92+OX92),OX92)),OX92)</f>
        <v>0</v>
      </c>
      <c r="OZ92" s="20" t="n">
        <f aca="false">IF(H_Direct=1,IF(EM92&lt;=0,OY92-EM92*ANM91,OY92-MIN(MIN(EM92*ANM91,LL92+OY92),OY92)),OY92)</f>
        <v>0</v>
      </c>
      <c r="PA92" s="20" t="n">
        <f aca="false">IF(H_Direct=1,IF(EN92&lt;=0,OZ92-EN92*ANN91,OZ92-MIN(MIN(EN92*ANN91,LM92+OZ92),OZ92)),OZ92)</f>
        <v>0</v>
      </c>
      <c r="PB92" s="20" t="n">
        <f aca="false">IF(H_Direct=1,IF(EO92&lt;=0,PA92-EO92*ANO91,PA92-MIN(MIN(EO92*ANO91,LN92+PA92),PA92)),PA92)</f>
        <v>0</v>
      </c>
      <c r="PC92" s="20" t="n">
        <f aca="false">IF(H_Direct=1,IF(EP92&lt;=0,PB92-EP92*ANP91,PB92-MIN(MIN(EP92*ANP91,LO92+PB92),PB92)),PB92)</f>
        <v>0</v>
      </c>
      <c r="PD92" s="20" t="n">
        <f aca="false">IF(H_Direct=1,IF(EQ92&lt;=0,PC92-EQ92*ANQ91,PC92-MIN(MIN(EQ92*ANQ91,LP92+PC92),PC92)),PC92)</f>
        <v>0</v>
      </c>
      <c r="PE92" s="20" t="n">
        <f aca="false">IF(H_Direct=1,IF(ER92&lt;=0,PD92-ER92*ANR91,PD92-MIN(MIN(ER92*ANR91,LQ92+PD92),PD92)),PD92)</f>
        <v>0</v>
      </c>
      <c r="PF92" s="20" t="n">
        <f aca="false">IF(H_Direct=1,IF(ES92&lt;=0,PE92-ES92*ANS91,PE92-MIN(MIN(ES92*ANS91,LR92+PE92),PE92)),PE92)</f>
        <v>0</v>
      </c>
      <c r="PG92" s="20" t="n">
        <f aca="false">IF(H_Direct=1,IF(ET92&lt;=0,PF92-ET92*ANT91,PF92-MIN(MIN(ET92*ANT91,LS92+PF92),PF92)),PF92)</f>
        <v>0</v>
      </c>
      <c r="PH92" s="20" t="n">
        <f aca="false">IF(H_Direct=1,IF(EU92&lt;=0,PG92-EU92*ANU91,PG92-MIN(MIN(EU92*ANU91,LT92+PG92),PG92)),PG92)</f>
        <v>0</v>
      </c>
      <c r="PI92" s="20" t="n">
        <f aca="false">IF(H_Direct=1,IF(EV92&lt;=0,PH92-EV92*ANV91,PH92-MIN(MIN(EV92*ANV91,LU92+PH92),PH92)),PH92)</f>
        <v>0</v>
      </c>
      <c r="PJ92" s="20" t="n">
        <f aca="false">IF(H_Direct=1,IF(EW92&lt;=0,PI92-EW92*ANW91,PI92-MIN(MIN(EW92*ANW91,LV92+PI92),PI92)),PI92)</f>
        <v>0</v>
      </c>
      <c r="PK92" s="20" t="n">
        <f aca="false">IF(H_Direct=1,IF(EX92&lt;=0,PJ92-EX92*ANX91,PJ92-MIN(MIN(EX92*ANX91,LW92+PJ92),PJ92)),PJ92)</f>
        <v>0</v>
      </c>
      <c r="PL92" s="20" t="n">
        <f aca="false">IF(H_Direct=1,IF(EY92&lt;=0,PK92-EY92*(P92+S92),PK92-MIN(MIN(EY92*(P92+S92),LX92+PK92),PK92)),PK92)</f>
        <v>0</v>
      </c>
      <c r="PM92" s="20" t="n">
        <f aca="false">PL92</f>
        <v>0</v>
      </c>
      <c r="PN92" s="20" t="n">
        <f aca="false">PM92</f>
        <v>0</v>
      </c>
      <c r="PO92" s="20" t="n">
        <f aca="false">PN92</f>
        <v>0</v>
      </c>
      <c r="PP92" s="20" t="n">
        <f aca="false">PO92</f>
        <v>0</v>
      </c>
      <c r="PQ92" s="20" t="n">
        <f aca="false">PP92</f>
        <v>0</v>
      </c>
      <c r="PR92" s="20" t="n">
        <f aca="false">IF(H_Direct=1,IF(AKR91&lt;=0,0,IF(BR92&lt;=0,MIN(MAX(0,AB92),AKR91),MIN(MAX(0,AB92),AKR91-G92*MAX(0,BR92*AKR91-(H92+I92))))),MIN(FE92,MAX(0,AB92)))</f>
        <v>0</v>
      </c>
      <c r="PS92" s="20" t="n">
        <f aca="false">IF(H_Direct=1,IF(AKS91&lt;=0,0,IF(BS92&lt;=0,MIN(MAX(0,AB92-SUM(PR92:PR92)),AKS91),MIN(MAX(0,AB92-SUM(PR92:PR92)),AKS91-G92*MAX(0,BS92*AKS91-(WR92+AAE92))))),MIN(FF92,MAX(0,AB92-SUM(PR92:PR92))))</f>
        <v>0</v>
      </c>
      <c r="PT92" s="20" t="n">
        <f aca="false">IF(H_Direct=1,IF(AKT91&lt;=0,0,IF(BT92&lt;=0,MIN(MAX(0,AB92-SUM(PR92:PS92)),AKT91),MIN(MAX(0,AB92-SUM(PR92:PS92)),AKT91-G92*MAX(0,BT92*AKT91-(WS92+AAF92))))),MIN(FG92,MAX(0,AB92-SUM(PR92:PS92))))</f>
        <v>0</v>
      </c>
      <c r="PU92" s="20" t="n">
        <f aca="false">IF(H_Direct=1,IF(AKU91&lt;=0,0,IF(BU92&lt;=0,MIN(MAX(0,AB92-SUM(PR92:PT92)),AKU91),MIN(MAX(0,AB92-SUM(PR92:PT92)),AKU91-G92*MAX(0,BU92*AKU91-(WT92+AAG92))))),MIN(FH92,MAX(0,AB92-SUM(PR92:PT92))))</f>
        <v>0</v>
      </c>
      <c r="PV92" s="20" t="n">
        <f aca="false">IF(H_Direct=1,IF(AKV91&lt;=0,0,IF(BV92&lt;=0,MIN(MAX(0,AB92-SUM(PR92:PU92)),AKV91),MIN(MAX(0,AB92-SUM(PR92:PU92)),AKV91-G92*MAX(0,BV92*AKV91-(WU92+AAH92))))),MIN(FI92,MAX(0,AB92-SUM(PR92:PU92))))</f>
        <v>0</v>
      </c>
      <c r="PW92" s="20" t="n">
        <f aca="false">IF(H_Direct=1,IF(AKW91&lt;=0,0,IF(BW92&lt;=0,MIN(MAX(0,AB92-SUM(PR92:PV92)),AKW91),MIN(MAX(0,AB92-SUM(PR92:PV92)),AKW91-G92*MAX(0,BW92*AKW91-(WV92+AAI92))))),MIN(FJ92,MAX(0,AB92-SUM(PR92:PV92))))</f>
        <v>0</v>
      </c>
      <c r="PX92" s="20" t="n">
        <f aca="false">IF(H_Direct=1,IF(AKX91&lt;=0,0,IF(BX92&lt;=0,MIN(MAX(0,AB92-SUM(PR92:PW92)),AKX91),MIN(MAX(0,AB92-SUM(PR92:PW92)),AKX91-G92*MAX(0,BX92*AKX91-(WW92+AAJ92))))),MIN(FK92,MAX(0,AB92-SUM(PR92:PW92))))</f>
        <v>0</v>
      </c>
      <c r="PY92" s="20" t="n">
        <f aca="false">IF(H_Direct=1,IF(AKY91&lt;=0,0,IF(BY92&lt;=0,MIN(MAX(0,AB92-SUM(PR92:PX92)),AKY91),MIN(MAX(0,AB92-SUM(PR92:PX92)),AKY91-G92*MAX(0,BY92*AKY91-(WX92+AAK92))))),MIN(FL92,MAX(0,AB92-SUM(PR92:PX92))))</f>
        <v>0</v>
      </c>
      <c r="PZ92" s="20" t="n">
        <f aca="false">IF(H_Direct=1,IF(AKZ91&lt;=0,0,IF(BZ92&lt;=0,MIN(MAX(0,AB92-SUM(PR92:PY92)),AKZ91),MIN(MAX(0,AB92-SUM(PR92:PY92)),AKZ91-G92*MAX(0,BZ92*AKZ91-(WY92+AAL92))))),MIN(FM92,MAX(0,AB92-SUM(PR92:PY92))))</f>
        <v>0</v>
      </c>
      <c r="QA92" s="20" t="n">
        <f aca="false">IF(H_Direct=1,IF(ALA91&lt;=0,0,IF(CA92&lt;=0,MIN(MAX(0,AB92-SUM(PR92:PZ92)),ALA91),MIN(MAX(0,AB92-SUM(PR92:PZ92)),ALA91-G92*MAX(0,CA92*ALA91-(WZ92+AAM92))))),MIN(FN92,MAX(0,AB92-SUM(PR92:PZ92))))</f>
        <v>0</v>
      </c>
      <c r="QB92" s="20" t="n">
        <f aca="false">IF(H_Direct=1,IF(ALB91&lt;=0,0,IF(CB92&lt;=0,MIN(MAX(0,AB92-SUM(PR92:QA92)),ALB91),MIN(MAX(0,AB92-SUM(PR92:QA92)),ALB91-G92*MAX(0,CB92*ALB91-(XA92+AAN92))))),MIN(FO92,MAX(0,AB92-SUM(PR92:QA92))))</f>
        <v>0</v>
      </c>
      <c r="QC92" s="20" t="n">
        <f aca="false">IF(H_Direct=1,IF(ALC91&lt;=0,0,IF(CC92&lt;=0,MIN(MAX(0,AB92-SUM(PR92:QB92)),ALC91),MIN(MAX(0,AB92-SUM(PR92:QB92)),ALC91-G92*MAX(0,CC92*ALC91-(XB92+AAO92))))),MIN(FP92,MAX(0,AB92-SUM(PR92:QB92))))</f>
        <v>0</v>
      </c>
      <c r="QD92" s="20" t="n">
        <f aca="false">IF(H_Direct=1,IF(ALD91&lt;=0,0,IF(CD92&lt;=0,MIN(MAX(0,AB92-SUM(PR92:QC92)),ALD91),MIN(MAX(0,AB92-SUM(PR92:QC92)),ALD91-G92*MAX(0,CD92*ALD91-(XC92+AAP92))))),MIN(FQ92,MAX(0,AB92-SUM(PR92:QC92))))</f>
        <v>0</v>
      </c>
      <c r="QE92" s="20" t="n">
        <f aca="false">IF(H_Direct=1,IF(ALE91&lt;=0,0,IF(CE92&lt;=0,MIN(MAX(0,AB92-SUM(PR92:QD92)),ALE91),MIN(MAX(0,AB92-SUM(PR92:QD92)),ALE91-G92*MAX(0,CE92*ALE91-(XD92+AAQ92))))),MIN(FR92,MAX(0,AB92-SUM(PR92:QD92))))</f>
        <v>0</v>
      </c>
      <c r="QF92" s="20" t="n">
        <f aca="false">IF(H_Direct=1,IF(ALF91&lt;=0,0,IF(CF92&lt;=0,MIN(MAX(0,AB92-SUM(PR92:QE92)),ALF91),MIN(MAX(0,AB92-SUM(PR92:QE92)),ALF91-G92*MAX(0,CF92*ALF91-(XE92+AAR92))))),MIN(FS92,MAX(0,AB92-SUM(PR92:QE92))))</f>
        <v>0</v>
      </c>
      <c r="QG92" s="20" t="n">
        <f aca="false">IF(H_Direct=1,IF(ALG91&lt;=0,0,IF(CG92&lt;=0,MIN(MAX(0,AB92-SUM(PR92:QF92)),ALG91),MIN(MAX(0,AB92-SUM(PR92:QF92)),ALG91-G92*MAX(0,CG92*ALG91-(XF92+AAS92))))),MIN(FT92,MAX(0,AB92-SUM(PR92:QF92))))</f>
        <v>0</v>
      </c>
      <c r="QH92" s="20" t="n">
        <f aca="false">IF(H_Direct=1,IF(ALH91&lt;=0,0,IF(CH92&lt;=0,MIN(MAX(0,AB92-SUM(PR92:QG92)),ALH91),MIN(MAX(0,AB92-SUM(PR92:QG92)),ALH91-G92*MAX(0,CH92*ALH91-(XG92+AAT92))))),MIN(FU92,MAX(0,AB92-SUM(PR92:QG92))))</f>
        <v>0</v>
      </c>
      <c r="QI92" s="20" t="n">
        <f aca="false">IF(H_Direct=1,IF(ALI91&lt;=0,0,IF(CI92&lt;=0,MIN(MAX(0,AB92-SUM(PR92:QH92)),ALI91),MIN(MAX(0,AB92-SUM(PR92:QH92)),ALI91-G92*MAX(0,CI92*ALI91-(XH92+AAU92))))),MIN(FV92,MAX(0,AB92-SUM(PR92:QH92))))</f>
        <v>0</v>
      </c>
      <c r="QJ92" s="20" t="n">
        <f aca="false">IF(H_Direct=1,IF(ALJ91&lt;=0,0,IF(CJ92&lt;=0,MIN(MAX(0,AB92-SUM(PR92:QI92)),ALJ91),MIN(MAX(0,AB92-SUM(PR92:QI92)),ALJ91-G92*MAX(0,CJ92*ALJ91-(XI92+AAV92))))),MIN(FW92,MAX(0,AB92-SUM(PR92:QI92))))</f>
        <v>0</v>
      </c>
      <c r="QK92" s="20" t="n">
        <f aca="false">IF(H_Direct=1,IF(ALK91&lt;=0,0,IF(CK92&lt;=0,MIN(MAX(0,AB92-SUM(PR92:QJ92)),ALK91),MIN(MAX(0,AB92-SUM(PR92:QJ92)),ALK91-G92*MAX(0,CK92*ALK91-(XJ92+AAW92))))),MIN(FX92,MAX(0,AB92-SUM(PR92:QJ92))))</f>
        <v>0</v>
      </c>
      <c r="QL92" s="20" t="n">
        <f aca="false">IF(H_Direct=1,IF(ALL91&lt;=0,0,IF(CL92&lt;=0,MIN(MAX(0,AB92-SUM(PR92:QK92)),ALL91),MIN(MAX(0,AB92-SUM(PR92:QK92)),ALL91-G92*MAX(0,CL92*ALL91-(XK92+AAX92))))),MIN(FY92,MAX(0,AB92-SUM(PR92:QK92))))</f>
        <v>0</v>
      </c>
      <c r="QM92" s="20" t="n">
        <f aca="false">IF(H_Direct=1,IF(ALM91&lt;=0,0,IF(CM92&lt;=0,MIN(MAX(0,AB92-SUM(PR92:QL92)),ALM91),MIN(MAX(0,AB92-SUM(PR92:QL92)),ALM91-G92*MAX(0,CM92*ALM91-(XL92+AAY92))))),MIN(FZ92,MAX(0,AB92-SUM(PR92:QL92))))</f>
        <v>0</v>
      </c>
      <c r="QN92" s="20" t="n">
        <f aca="false">IF(H_Direct=1,IF(ALN91&lt;=0,0,IF(CN92&lt;=0,MIN(MAX(0,AB92-SUM(PR92:QM92)),ALN91),MIN(MAX(0,AB92-SUM(PR92:QM92)),ALN91-G92*MAX(0,CN92*ALN91-(XM92+AAZ92))))),MIN(GA92,MAX(0,AB92-SUM(PR92:QM92))))</f>
        <v>0</v>
      </c>
      <c r="QO92" s="20" t="n">
        <f aca="false">IF(H_Direct=1,IF(ALO91&lt;=0,0,IF(CO92&lt;=0,MIN(MAX(0,AB92-SUM(PR92:QN92)),ALO91),MIN(MAX(0,AB92-SUM(PR92:QN92)),ALO91-G92*MAX(0,CO92*ALO91-(XN92+ABA92))))),MIN(GB92,MAX(0,AB92-SUM(PR92:QN92))))</f>
        <v>0</v>
      </c>
      <c r="QP92" s="20" t="n">
        <f aca="false">IF(H_Direct=1,IF(ALP91&lt;=0,0,IF(CP92&lt;=0,MIN(MAX(0,AB92-SUM(PR92:QO92)),ALP91),MIN(MAX(0,AB92-SUM(PR92:QO92)),ALP91-G92*MAX(0,CP92*ALP91-(XO92+ABB92))))),MIN(GC92,MAX(0,AB92-SUM(PR92:QO92))))</f>
        <v>0</v>
      </c>
      <c r="QQ92" s="20" t="n">
        <f aca="false">IF(H_Direct=1,IF(ALQ91&lt;=0,0,IF(CQ92&lt;=0,MIN(MAX(0,AB92-SUM(PR92:QP92)),ALQ91),MIN(MAX(0,AB92-SUM(PR92:QP92)),ALQ91-G92*MAX(0,CQ92*ALQ91-(XP92+ABC92))))),MIN(GD92,MAX(0,AB92-SUM(PR92:QP92))))</f>
        <v>0</v>
      </c>
      <c r="QR92" s="20" t="n">
        <f aca="false">IF(H_Direct=1,IF(ALR91&lt;=0,0,IF(CR92&lt;=0,MIN(MAX(0,AB92-SUM(PR92:QQ92)),ALR91),MIN(MAX(0,AB92-SUM(PR92:QQ92)),ALR91-G92*MAX(0,CR92*ALR91-(XQ92+ABD92))))),MIN(GE92,MAX(0,AB92-SUM(PR92:QQ92))))</f>
        <v>0</v>
      </c>
      <c r="QS92" s="20" t="n">
        <f aca="false">IF(H_Direct=1,IF(ALS91&lt;=0,0,IF(CS92&lt;=0,MIN(MAX(0,AB92-SUM(PR92:QR92)),ALS91),MIN(MAX(0,AB92-SUM(PR92:QR92)),ALS91-G92*MAX(0,CS92*ALS91-(XR92+ABE92))))),MIN(GF92,MAX(0,AB92-SUM(PR92:QR92))))</f>
        <v>0</v>
      </c>
      <c r="QT92" s="20" t="n">
        <f aca="false">IF(H_Direct=1,IF(ALT91&lt;=0,0,IF(CT92&lt;=0,MIN(MAX(0,AB92-SUM(PR92:QS92)),ALT91),MIN(MAX(0,AB92-SUM(PR92:QS92)),ALT91-G92*MAX(0,CT92*ALT91-(XS92+ABF92))))),MIN(GG92,MAX(0,AB92-SUM(PR92:QS92))))</f>
        <v>0</v>
      </c>
      <c r="QU92" s="20" t="n">
        <f aca="false">IF(H_Direct=1,IF(ALU91&lt;=0,0,IF(CU92&lt;=0,MIN(MAX(0,AB92-SUM(PR92:QT92)),ALU91),MIN(MAX(0,AB92-SUM(PR92:QT92)),ALU91-G92*MAX(0,CU92*ALU91-(XT92+ABG92))))),MIN(GH92,MAX(0,AB92-SUM(PR92:QT92))))</f>
        <v>0</v>
      </c>
      <c r="QV92" s="20" t="n">
        <f aca="false">IF(H_Direct=1,IF(ALV91&lt;=0,0,IF(CV92&lt;=0,MIN(MAX(0,AB92-SUM(PR92:QU92)),ALV91),MIN(MAX(0,AB92-SUM(PR92:QU92)),ALV91-G92*MAX(0,CV92*ALV91-(XU92+ABH92))))),MIN(GI92,MAX(0,AB92-SUM(PR92:QU92))))</f>
        <v>0</v>
      </c>
      <c r="QW92" s="20" t="n">
        <f aca="false">IF(H_Direct=1,IF(ALW91&lt;=0,0,IF(CW92&lt;=0,MIN(MAX(0,AB92-SUM(PR92:QV92)),ALW91),MIN(MAX(0,AB92-SUM(PR92:QV92)),ALW91-G92*MAX(0,CW92*ALW91-(XV92+ABI92))))),MIN(GJ92,MAX(0,AB92-SUM(PR92:QV92))))</f>
        <v>0</v>
      </c>
      <c r="QX92" s="20" t="n">
        <f aca="false">IF(H_Direct=1,IF(ALX91&lt;=0,0,IF(CX92&lt;=0,MIN(MAX(0,AB92-SUM(PR92:QW92)),ALX91),MIN(MAX(0,AB92-SUM(PR92:QW92)),ALX91-G92*MAX(0,CX92*ALX91-(XW92+ABJ92))))),MIN(GK92,MAX(0,AB92-SUM(PR92:QW92))))</f>
        <v>0</v>
      </c>
      <c r="QY92" s="20" t="n">
        <f aca="false">IF(H_Direct=1,IF(ALY91&lt;=0,0,IF(CY92&lt;=0,MIN(MAX(0,AB92-SUM(PR92:QX92)),ALY91),MIN(MAX(0,AB92-SUM(PR92:QX92)),ALY91-G92*MAX(0,CY92*ALY91-(XX92+ABK92))))),MIN(GL92,MAX(0,AB92-SUM(PR92:QX92))))</f>
        <v>0</v>
      </c>
      <c r="QZ92" s="20" t="n">
        <f aca="false">IF(H_Direct=1,IF(ALZ91&lt;=0,0,IF(CZ92&lt;=0,MIN(MAX(0,AB92-SUM(PR92:QY92)),ALZ91),MIN(MAX(0,AB92-SUM(PR92:QY92)),ALZ91-G92*MAX(0,CZ92*ALZ91-(XY92+ABL92))))),MIN(GM92,MAX(0,AB92-SUM(PR92:QY92))))</f>
        <v>0</v>
      </c>
      <c r="RA92" s="20" t="n">
        <f aca="false">IF(H_Direct=1,IF(AMA91&lt;=0,0,IF(DA92&lt;=0,MIN(MAX(0,AB92-SUM(PR92:QZ92)),AMA91),MIN(MAX(0,AB92-SUM(PR92:QZ92)),AMA91-G92*MAX(0,DA92*AMA91-(XZ92+ABM92))))),MIN(GN92,MAX(0,AB92-SUM(PR92:QZ92))))</f>
        <v>0</v>
      </c>
      <c r="RB92" s="20" t="n">
        <f aca="false">IF(H_Direct=1,IF(AMB91&lt;=0,0,IF(DB92&lt;=0,MIN(MAX(0,AB92-SUM(PR92:RA92)),AMB91),MIN(MAX(0,AB92-SUM(PR92:RA92)),AMB91-G92*MAX(0,DB92*AMB91-(YA92+ABN92))))),MIN(GO92,MAX(0,AB92-SUM(PR92:RA92))))</f>
        <v>0</v>
      </c>
      <c r="RC92" s="20" t="n">
        <f aca="false">IF(H_Direct=1,IF(AMC91&lt;=0,0,IF(DC92&lt;=0,MIN(MAX(0,AB92-SUM(PR92:RB92)),AMC91),MIN(MAX(0,AB92-SUM(PR92:RB92)),AMC91-G92*MAX(0,DC92*AMC91-(YB92+ABO92))))),MIN(GP92,MAX(0,AB92-SUM(PR92:RB92))))</f>
        <v>0</v>
      </c>
      <c r="RD92" s="20" t="n">
        <f aca="false">IF(H_Direct=1,IF(AMD91&lt;=0,0,IF(DD92&lt;=0,MIN(MAX(0,AB92-SUM(PR92:RC92)),AMD91),MIN(MAX(0,AB92-SUM(PR92:RC92)),AMD91-G92*MAX(0,DD92*AMD91-(YC92+ABP92))))),MIN(GQ92,MAX(0,AB92-SUM(PR92:RC92))))</f>
        <v>0</v>
      </c>
      <c r="RE92" s="20" t="n">
        <f aca="false">IF(H_Direct=1,IF(AME91&lt;=0,0,IF(DE92&lt;=0,MIN(MAX(0,AB92-SUM(PR92:RD92)),AME91),MIN(MAX(0,AB92-SUM(PR92:RD92)),AME91-G92*MAX(0,DE92*AME91-(YD92+ABQ92))))),MIN(GR92,MAX(0,AB92-SUM(PR92:RD92))))</f>
        <v>0</v>
      </c>
      <c r="RF92" s="20" t="n">
        <f aca="false">IF(H_Direct=1,IF(AMF91&lt;=0,0,IF(DF92&lt;=0,MIN(MAX(0,AB92-SUM(PR92:RE92)),AMF91),MIN(MAX(0,AB92-SUM(PR92:RE92)),AMF91-G92*MAX(0,DF92*AMF91-(YE92+ABR92))))),MIN(GS92,MAX(0,AB92-SUM(PR92:RE92))))</f>
        <v>0</v>
      </c>
      <c r="RG92" s="20" t="n">
        <f aca="false">IF(H_Direct=1,IF(AMG91&lt;=0,0,IF(DG92&lt;=0,MIN(MAX(0,AB92-SUM(PR92:RF92)),AMG91),MIN(MAX(0,AB92-SUM(PR92:RF92)),AMG91-G92*MAX(0,DG92*AMG91-(YF92+ABS92))))),MIN(GT92,MAX(0,AB92-SUM(PR92:RF92))))</f>
        <v>0</v>
      </c>
      <c r="RH92" s="20" t="n">
        <f aca="false">IF(H_Direct=1,IF(AMH91&lt;=0,0,IF(DH92&lt;=0,MIN(MAX(0,AB92-SUM(PR92:RG92)),AMH91),MIN(MAX(0,AB92-SUM(PR92:RG92)),AMH91-G92*MAX(0,DH92*AMH91-(YG92+ABT92))))),MIN(GU92,MAX(0,AB92-SUM(PR92:RG92))))</f>
        <v>0</v>
      </c>
      <c r="RI92" s="20" t="n">
        <f aca="false">IF(H_Direct=1,IF(AMI91&lt;=0,0,IF(DI92&lt;=0,MIN(MAX(0,AB92-SUM(PR92:RH92)),AMI91),MIN(MAX(0,AB92-SUM(PR92:RH92)),AMI91-G92*MAX(0,DI92*AMI91-(YH92+ABU92))))),MIN(GV92,MAX(0,AB92-SUM(PR92:RH92))))</f>
        <v>0</v>
      </c>
      <c r="RJ92" s="20" t="n">
        <f aca="false">IF(H_Direct=1,IF(AMJ91&lt;=0,0,IF(DJ92&lt;=0,MIN(MAX(0,AB92-SUM(PR92:RI92)),AMJ91),MIN(MAX(0,AB92-SUM(PR92:RI92)),AMJ91-G92*MAX(0,DJ92*AMJ91-(YI92+ABV92))))),MIN(GW92,MAX(0,AB92-SUM(PR92:RI92))))</f>
        <v>0</v>
      </c>
      <c r="RK92" s="20" t="n">
        <f aca="false">IF(H_Direct=1,IF(AMK91&lt;=0,0,IF(DK92&lt;=0,MIN(MAX(0,AB92-SUM(PR92:RJ92)),AMK91),MIN(MAX(0,AB92-SUM(PR92:RJ92)),AMK91-G92*MAX(0,DK92*AMK91-(YJ92+ABW92))))),MIN(GX92,MAX(0,AB92-SUM(PR92:RJ92))))</f>
        <v>0</v>
      </c>
      <c r="RL92" s="20" t="n">
        <f aca="false">IF(H_Direct=1,IF(AML91&lt;=0,0,IF(DL92&lt;=0,MIN(MAX(0,AB92-SUM(PR92:RK92)),AML91),MIN(MAX(0,AB92-SUM(PR92:RK92)),AML91-G92*MAX(0,DL92*AML91-(YK92+ABX92))))),MIN(GY92,MAX(0,AB92-SUM(PR92:RK92))))</f>
        <v>0</v>
      </c>
      <c r="RM92" s="20" t="n">
        <f aca="false">IF(H_Direct=1,IF(AMM91&lt;=0,0,IF(DM92&lt;=0,MIN(MAX(0,AB92-SUM(PR92:RL92)),AMM91),MIN(MAX(0,AB92-SUM(PR92:RL92)),AMM91-G92*MAX(0,DM92*AMM91-(YL92+ABY92))))),MIN(GZ92,MAX(0,AB92-SUM(PR92:RL92))))</f>
        <v>0</v>
      </c>
      <c r="RN92" s="20" t="n">
        <f aca="false">IF(H_Direct=1,IF(AMN91&lt;=0,0,IF(DN92&lt;=0,MIN(MAX(0,AB92-SUM(PR92:RM92)),AMN91),MIN(MAX(0,AB92-SUM(PR92:RM92)),AMN91-G92*MAX(0,DN92*AMN91-(YM92+ABZ92))))),MIN(HA92,MAX(0,AB92-SUM(PR92:RM92))))</f>
        <v>0</v>
      </c>
      <c r="RO92" s="20" t="n">
        <f aca="false">IF(H_Direct=1,IF(AMO91&lt;=0,0,IF(DO92&lt;=0,MIN(MAX(0,AB92-SUM(PR92:RN92)),AMO91),MIN(MAX(0,AB92-SUM(PR92:RN92)),AMO91-G92*MAX(0,DO92*AMO91-(YN92+ACA92))))),MIN(HB92,MAX(0,AB92-SUM(PR92:RN92))))</f>
        <v>0</v>
      </c>
      <c r="RP92" s="20" t="n">
        <f aca="false">IF(H_Direct=1,IF(AMP91&lt;=0,0,IF(DP92&lt;=0,MIN(MAX(0,AB92-SUM(PR92:RO92)),AMP91),MIN(MAX(0,AB92-SUM(PR92:RO92)),AMP91-G92*MAX(0,DP92*AMP91-(YO92+ACB92))))),MIN(HC92,MAX(0,AB92-SUM(PR92:RO92))))</f>
        <v>0</v>
      </c>
      <c r="RQ92" s="20" t="n">
        <f aca="false">IF(H_Direct=1,IF(AMQ91&lt;=0,0,IF(DQ92&lt;=0,MIN(MAX(0,AB92-SUM(PR92:RP92)),AMQ91),MIN(MAX(0,AB92-SUM(PR92:RP92)),AMQ91-G92*MAX(0,DQ92*AMQ91-(YP92+ACC92))))),MIN(HD92,MAX(0,AB92-SUM(PR92:RP92))))</f>
        <v>0</v>
      </c>
      <c r="RR92" s="20" t="n">
        <f aca="false">IF(H_Direct=1,IF(AMR91&lt;=0,0,IF(DR92&lt;=0,MIN(MAX(0,AB92-SUM(PR92:RQ92)),AMR91),MIN(MAX(0,AB92-SUM(PR92:RQ92)),AMR91-G92*MAX(0,DR92*AMR91-(YQ92+ACD92))))),MIN(HE92,MAX(0,AB92-SUM(PR92:RQ92))))</f>
        <v>0</v>
      </c>
      <c r="RS92" s="20" t="n">
        <f aca="false">IF(H_Direct=1,IF(AMS91&lt;=0,0,IF(DS92&lt;=0,MIN(MAX(0,AB92-SUM(PR92:RR92)),AMS91),MIN(MAX(0,AB92-SUM(PR92:RR92)),AMS91-G92*MAX(0,DS92*AMS91-(YR92+ACE92))))),MIN(HF92,MAX(0,AB92-SUM(PR92:RR92))))</f>
        <v>0</v>
      </c>
      <c r="RT92" s="20" t="n">
        <f aca="false">IF(H_Direct=1,IF(AMT91&lt;=0,0,IF(DT92&lt;=0,MIN(MAX(0,AB92-SUM(PR92:RS92)),AMT91),MIN(MAX(0,AB92-SUM(PR92:RS92)),AMT91-G92*MAX(0,DT92*AMT91-(YS92+ACF92))))),MIN(HG92,MAX(0,AB92-SUM(PR92:RS92))))</f>
        <v>0</v>
      </c>
      <c r="RU92" s="20" t="n">
        <f aca="false">IF(H_Direct=1,IF(AMU91&lt;=0,0,IF(DU92&lt;=0,MIN(MAX(0,AB92-SUM(PR92:RT92)),AMU91),MIN(MAX(0,AB92-SUM(PR92:RT92)),AMU91-G92*MAX(0,DU92*AMU91-(YT92+ACG92))))),MIN(HH92,MAX(0,AB92-SUM(PR92:RT92))))</f>
        <v>0</v>
      </c>
      <c r="RV92" s="20" t="n">
        <f aca="false">IF(H_Direct=1,IF(AMV91&lt;=0,0,IF(DV92&lt;=0,MIN(MAX(0,AB92-SUM(PR92:RU92)),AMV91),MIN(MAX(0,AB92-SUM(PR92:RU92)),AMV91-G92*MAX(0,DV92*AMV91-(YU92+ACH92))))),MIN(HI92,MAX(0,AB92-SUM(PR92:RU92))))</f>
        <v>0</v>
      </c>
      <c r="RW92" s="20" t="n">
        <f aca="false">IF(H_Direct=1,IF(AMW91&lt;=0,0,IF(DW92&lt;=0,MIN(MAX(0,AB92-SUM(PR92:RV92)),AMW91),MIN(MAX(0,AB92-SUM(PR92:RV92)),AMW91-G92*MAX(0,DW92*AMW91-(YV92+ACI92))))),MIN(HJ92,MAX(0,AB92-SUM(PR92:RV92))))</f>
        <v>0</v>
      </c>
      <c r="RX92" s="20" t="n">
        <f aca="false">IF(H_Direct=1,IF(AMX91&lt;=0,0,IF(DX92&lt;=0,MIN(MAX(0,AB92-SUM(PR92:RW92)),AMX91),MIN(MAX(0,AB92-SUM(PR92:RW92)),AMX91-G92*MAX(0,DX92*AMX91-(YW92+ACJ92))))),MIN(HK92,MAX(0,AB92-SUM(PR92:RW92))))</f>
        <v>0</v>
      </c>
      <c r="RY92" s="20" t="n">
        <f aca="false">IF(H_Direct=1,IF(AMY91&lt;=0,0,IF(DY92&lt;=0,MIN(MAX(0,AB92-SUM(PR92:RX92)),AMY91),MIN(MAX(0,AB92-SUM(PR92:RX92)),AMY91-G92*MAX(0,DY92*AMY91-(YX92+ACK92))))),MIN(HL92,MAX(0,AB92-SUM(PR92:RX92))))</f>
        <v>0</v>
      </c>
      <c r="RZ92" s="20" t="n">
        <f aca="false">IF(H_Direct=1,IF(AMZ91&lt;=0,0,IF(DZ92&lt;=0,MIN(MAX(0,AB92-SUM(PR92:RY92)),AMZ91),MIN(MAX(0,AB92-SUM(PR92:RY92)),AMZ91-G92*MAX(0,DZ92*AMZ91-(YY92+ACL92))))),MIN(HM92,MAX(0,AB92-SUM(PR92:RY92))))</f>
        <v>0</v>
      </c>
      <c r="SA92" s="20" t="n">
        <f aca="false">IF(H_Direct=1,IF(ANA91&lt;=0,0,IF(EA92&lt;=0,MIN(MAX(0,AB92-SUM(PR92:RZ92)),ANA91),MIN(MAX(0,AB92-SUM(PR92:RZ92)),ANA91-G92*MAX(0,EA92*ANA91-(YZ92+ACM92))))),MIN(HN92,MAX(0,AB92-SUM(PR92:RZ92))))</f>
        <v>0</v>
      </c>
      <c r="SB92" s="20" t="n">
        <f aca="false">IF(H_Direct=1,IF(ANB91&lt;=0,0,IF(EB92&lt;=0,MIN(MAX(0,AB92-SUM(PR92:SA92)),ANB91),MIN(MAX(0,AB92-SUM(PR92:SA92)),ANB91-G92*MAX(0,EB92*ANB91-(ZA92+ACN92))))),MIN(HO92,MAX(0,AB92-SUM(PR92:SA92))))</f>
        <v>0</v>
      </c>
      <c r="SC92" s="20" t="n">
        <f aca="false">IF(H_Direct=1,IF(ANC91&lt;=0,0,IF(EC92&lt;=0,MIN(MAX(0,AB92-SUM(PR92:SB92)),ANC91),MIN(MAX(0,AB92-SUM(PR92:SB92)),ANC91-G92*MAX(0,EC92*ANC91-(ZB92+ACO92))))),MIN(HP92,MAX(0,AB92-SUM(PR92:SB92))))</f>
        <v>0</v>
      </c>
      <c r="SD92" s="20" t="n">
        <f aca="false">IF(H_Direct=1,IF(AND91&lt;=0,0,IF(ED92&lt;=0,MIN(MAX(0,AB92-SUM(PR92:SC92)),AND91),MIN(MAX(0,AB92-SUM(PR92:SC92)),AND91-G92*MAX(0,ED92*AND91-(ZC92+ACP92))))),MIN(HQ92,MAX(0,AB92-SUM(PR92:SC92))))</f>
        <v>0</v>
      </c>
      <c r="SE92" s="20" t="n">
        <f aca="false">IF(H_Direct=1,IF(ANE91&lt;=0,0,IF(EE92&lt;=0,MIN(MAX(0,AB92-SUM(PR92:SD92)),ANE91),MIN(MAX(0,AB92-SUM(PR92:SD92)),ANE91-G92*MAX(0,EE92*ANE91-(ZD92+ACQ92))))),MIN(HR92,MAX(0,AB92-SUM(PR92:SD92))))</f>
        <v>0</v>
      </c>
      <c r="SF92" s="20" t="n">
        <f aca="false">IF(H_Direct=1,IF(ANF91&lt;=0,0,IF(EF92&lt;=0,MIN(MAX(0,AB92-SUM(PR92:SE92)),ANF91),MIN(MAX(0,AB92-SUM(PR92:SE92)),ANF91-G92*MAX(0,EF92*ANF91-(ZE92+ACR92))))),MIN(HS92,MAX(0,AB92-SUM(PR92:SE92))))</f>
        <v>0</v>
      </c>
      <c r="SG92" s="20" t="n">
        <f aca="false">IF(H_Direct=1,IF(ANG91&lt;=0,0,IF(EG92&lt;=0,MIN(MAX(0,AB92-SUM(PR92:SF92)),ANG91),MIN(MAX(0,AB92-SUM(PR92:SF92)),ANG91-G92*MAX(0,EG92*ANG91-(ZF92+ACS92))))),MIN(HT92,MAX(0,AB92-SUM(PR92:SF92))))</f>
        <v>0</v>
      </c>
      <c r="SH92" s="20" t="n">
        <f aca="false">IF(H_Direct=1,IF(ANH91&lt;=0,0,IF(EH92&lt;=0,MIN(MAX(0,AB92-SUM(PR92:SG92)),ANH91),MIN(MAX(0,AB92-SUM(PR92:SG92)),ANH91-G92*MAX(0,EH92*ANH91-(ZG92+ACT92))))),MIN(HU92,MAX(0,AB92-SUM(PR92:SG92))))</f>
        <v>0</v>
      </c>
      <c r="SI92" s="20" t="n">
        <f aca="false">IF(H_Direct=1,IF(ANI91&lt;=0,0,IF(EI92&lt;=0,MIN(MAX(0,AB92-SUM(PR92:SH92)),ANI91),MIN(MAX(0,AB92-SUM(PR92:SH92)),ANI91-G92*MAX(0,EI92*ANI91-(ZH92+ACU92))))),MIN(HV92,MAX(0,AB92-SUM(PR92:SH92))))</f>
        <v>0</v>
      </c>
      <c r="SJ92" s="20" t="n">
        <f aca="false">IF(H_Direct=1,IF(ANJ91&lt;=0,0,IF(EJ92&lt;=0,MIN(MAX(0,AB92-SUM(PR92:SI92)),ANJ91),MIN(MAX(0,AB92-SUM(PR92:SI92)),ANJ91-G92*MAX(0,EJ92*ANJ91-(ZI92+ACV92))))),MIN(HW92,MAX(0,AB92-SUM(PR92:SI92))))</f>
        <v>0</v>
      </c>
      <c r="SK92" s="20" t="n">
        <f aca="false">IF(H_Direct=1,IF(ANK91&lt;=0,0,IF(EK92&lt;=0,MIN(MAX(0,AB92-SUM(PR92:SJ92)),ANK91),MIN(MAX(0,AB92-SUM(PR92:SJ92)),ANK91-G92*MAX(0,EK92*ANK91-(ZJ92+ACW92))))),MIN(HX92,MAX(0,AB92-SUM(PR92:SJ92))))</f>
        <v>0</v>
      </c>
      <c r="SL92" s="20" t="n">
        <f aca="false">IF(H_Direct=1,IF(ANL91&lt;=0,0,IF(EL92&lt;=0,MIN(MAX(0,AB92-SUM(PR92:SK92)),ANL91),MIN(MAX(0,AB92-SUM(PR92:SK92)),ANL91-G92*MAX(0,EL92*ANL91-(ZK92+ACX92))))),MIN(HY92,MAX(0,AB92-SUM(PR92:SK92))))</f>
        <v>0</v>
      </c>
      <c r="SM92" s="20" t="n">
        <f aca="false">IF(H_Direct=1,IF(ANM91&lt;=0,0,IF(EM92&lt;=0,MIN(MAX(0,AB92-SUM(PR92:SL92)),ANM91),MIN(MAX(0,AB92-SUM(PR92:SL92)),ANM91-G92*MAX(0,EM92*ANM91-(ZL92+ACY92))))),MIN(HZ92,MAX(0,AB92-SUM(PR92:SL92))))</f>
        <v>0</v>
      </c>
      <c r="SN92" s="20" t="n">
        <f aca="false">IF(H_Direct=1,IF(ANN91&lt;=0,0,IF(EN92&lt;=0,MIN(MAX(0,AB92-SUM(PR92:SM92)),ANN91),MIN(MAX(0,AB92-SUM(PR92:SM92)),ANN91-G92*MAX(0,EN92*ANN91-(ZM92+ACZ92))))),MIN(IA92,MAX(0,AB92-SUM(PR92:SM92))))</f>
        <v>0</v>
      </c>
      <c r="SO92" s="20" t="n">
        <f aca="false">IF(H_Direct=1,IF(ANO91&lt;=0,0,IF(EO92&lt;=0,MIN(MAX(0,AB92-SUM(PR92:SN92)),ANO91),MIN(MAX(0,AB92-SUM(PR92:SN92)),ANO91-G92*MAX(0,EO92*ANO91-(ZN92+ADA92))))),MIN(IB92,MAX(0,AB92-SUM(PR92:SN92))))</f>
        <v>0</v>
      </c>
      <c r="SP92" s="20" t="n">
        <f aca="false">IF(H_Direct=1,IF(ANP91&lt;=0,0,IF(EP92&lt;=0,MIN(MAX(0,AB92-SUM(PR92:SO92)),ANP91),MIN(MAX(0,AB92-SUM(PR92:SO92)),ANP91-G92*MAX(0,EP92*ANP91-(ZO92+ADB92))))),MIN(IC92,MAX(0,AB92-SUM(PR92:SO92))))</f>
        <v>0</v>
      </c>
      <c r="SQ92" s="20" t="n">
        <f aca="false">IF(H_Direct=1,IF(ANQ91&lt;=0,0,IF(EQ92&lt;=0,MIN(MAX(0,AB92-SUM(PR92:SP92)),ANQ91),MIN(MAX(0,AB92-SUM(PR92:SP92)),ANQ91-G92*MAX(0,EQ92*ANQ91-(ZP92+ADC92))))),MIN(ID92,MAX(0,AB92-SUM(PR92:SP92))))</f>
        <v>0</v>
      </c>
      <c r="SR92" s="20" t="n">
        <f aca="false">IF(H_Direct=1,IF(ANR91&lt;=0,0,IF(ER92&lt;=0,MIN(MAX(0,AB92-SUM(PR92:SQ92)),ANR91),MIN(MAX(0,AB92-SUM(PR92:SQ92)),ANR91-G92*MAX(0,ER92*ANR91-(ZQ92+ADD92))))),MIN(IE92,MAX(0,AB92-SUM(PR92:SQ92))))</f>
        <v>0</v>
      </c>
      <c r="SS92" s="20" t="n">
        <f aca="false">IF(H_Direct=1,IF(ANS91&lt;=0,0,IF(ES92&lt;=0,MIN(MAX(0,AB92-SUM(PR92:SR92)),ANS91),MIN(MAX(0,AB92-SUM(PR92:SR92)),ANS91-G92*MAX(0,ES92*ANS91-(ZR92+ADE92))))),MIN(IF92,MAX(0,AB92-SUM(PR92:SR92))))</f>
        <v>0</v>
      </c>
      <c r="ST92" s="20" t="n">
        <f aca="false">IF(H_Direct=1,IF(ANT91&lt;=0,0,IF(ET92&lt;=0,MIN(MAX(0,AB92-SUM(PR92:SS92)),ANT91),MIN(MAX(0,AB92-SUM(PR92:SS92)),ANT91-G92*MAX(0,ET92*ANT91-(ZS92+ADF92))))),MIN(IG92,MAX(0,AB92-SUM(PR92:SS92))))</f>
        <v>0</v>
      </c>
      <c r="SU92" s="20" t="n">
        <f aca="false">IF(H_Direct=1,IF(ANU91&lt;=0,0,IF(EU92&lt;=0,MIN(MAX(0,AB92-SUM(PR92:ST92)),ANU91),MIN(MAX(0,AB92-SUM(PR92:ST92)),ANU91-G92*MAX(0,EU92*ANU91-(ZT92+ADG92))))),MIN(IH92,MAX(0,AB92-SUM(PR92:ST92))))</f>
        <v>0</v>
      </c>
      <c r="SV92" s="20" t="n">
        <f aca="false">IF(H_Direct=1,IF(ANV91&lt;=0,0,IF(EV92&lt;=0,MIN(MAX(0,AB92-SUM(PR92:SU92)),ANV91),MIN(MAX(0,AB92-SUM(PR92:SU92)),ANV91-G92*MAX(0,EV92*ANV91-(ZU92+ADH92))))),MIN(II92,MAX(0,AB92-SUM(PR92:SU92))))</f>
        <v>0</v>
      </c>
      <c r="SW92" s="20" t="n">
        <f aca="false">IF(H_Direct=1,IF(ANW91&lt;=0,0,IF(EW92&lt;=0,MIN(MAX(0,AB92-SUM(PR92:SV92)),ANW91),MIN(MAX(0,AB92-SUM(PR92:SV92)),ANW91-G92*MAX(0,EW92*ANW91-(ZV92+ADI92))))),MIN(IJ92,MAX(0,AB92-SUM(PR92:SV92))))</f>
        <v>0</v>
      </c>
      <c r="SX92" s="20" t="n">
        <f aca="false">IF(H_Direct=1,IF(ANX91&lt;=0,0,IF(EX92&lt;=0,MIN(MAX(0,AB92-SUM(PR92:SW92)),ANX91),MIN(MAX(0,AB92-SUM(PR92:SW92)),ANX91-G92*MAX(0,EX92*ANX91-(ZW92+ADJ92))))),MIN(IK92,MAX(0,AB92-SUM(PR92:SW92))))</f>
        <v>0</v>
      </c>
      <c r="SY92" s="20" t="n">
        <f aca="false">IF(H_Direct=1,IF((P92+S92)&lt;=0,0,IF(EY92&lt;=0,MIN(MAX(0,AB92-SUM(PR92:SX92)),(P92+S92)),MIN(MAX(0,AB92-SUM(PR92:SX92)),(P92+S92)-G92*MAX(0,EY92*(P92+S92)-(ZX92+ADK92))))),MIN(IL92,MAX(0,AB92-SUM(PR92:SX92))))</f>
        <v>0</v>
      </c>
      <c r="SZ92" s="20" t="n">
        <v>0</v>
      </c>
      <c r="TA92" s="20" t="n">
        <v>0</v>
      </c>
      <c r="TB92" s="20" t="n">
        <v>0</v>
      </c>
      <c r="TC92" s="20" t="n">
        <v>0</v>
      </c>
      <c r="TD92" s="20" t="n">
        <v>0</v>
      </c>
      <c r="TE92" s="20" t="n">
        <f aca="false">IF(AKR91&lt;=0,0,IF(H_Direct=1,IF(BR92&lt;=0,PR92,IF(PR92&lt;=(H92+I92)/BR92,PR92,(PR92-G92*(H92+I92))/(1-G92*BR92))),PR92/(1-MAX(0,BR92)*H_Exit)))</f>
        <v>0</v>
      </c>
      <c r="TF92" s="20" t="n">
        <f aca="false">IF(AKS91&lt;=0,0,IF(H_Direct=1,IF(BS92&lt;=0,PS92,IF(PS92&lt;=(WR92+AAE92)/BS92,PS92,(PS92-G92*(WR92+AAE92))/(1-G92*BS92))),PS92/(1-MAX(0,BS92)*H_Exit)))</f>
        <v>0</v>
      </c>
      <c r="TG92" s="20" t="n">
        <f aca="false">IF(AKT91&lt;=0,0,IF(H_Direct=1,IF(BT92&lt;=0,PT92,IF(PT92&lt;=(WS92+AAF92)/BT92,PT92,(PT92-G92*(WS92+AAF92))/(1-G92*BT92))),PT92/(1-MAX(0,BT92)*H_Exit)))</f>
        <v>0</v>
      </c>
      <c r="TH92" s="20" t="n">
        <f aca="false">IF(AKU91&lt;=0,0,IF(H_Direct=1,IF(BU92&lt;=0,PU92,IF(PU92&lt;=(WT92+AAG92)/BU92,PU92,(PU92-G92*(WT92+AAG92))/(1-G92*BU92))),PU92/(1-MAX(0,BU92)*H_Exit)))</f>
        <v>0</v>
      </c>
      <c r="TI92" s="20" t="n">
        <f aca="false">IF(AKV91&lt;=0,0,IF(H_Direct=1,IF(BV92&lt;=0,PV92,IF(PV92&lt;=(WU92+AAH92)/BV92,PV92,(PV92-G92*(WU92+AAH92))/(1-G92*BV92))),PV92/(1-MAX(0,BV92)*H_Exit)))</f>
        <v>0</v>
      </c>
      <c r="TJ92" s="20" t="n">
        <f aca="false">IF(AKW91&lt;=0,0,IF(H_Direct=1,IF(BW92&lt;=0,PW92,IF(PW92&lt;=(WV92+AAI92)/BW92,PW92,(PW92-G92*(WV92+AAI92))/(1-G92*BW92))),PW92/(1-MAX(0,BW92)*H_Exit)))</f>
        <v>0</v>
      </c>
      <c r="TK92" s="20" t="n">
        <f aca="false">IF(AKX91&lt;=0,0,IF(H_Direct=1,IF(BX92&lt;=0,PX92,IF(PX92&lt;=(WW92+AAJ92)/BX92,PX92,(PX92-G92*(WW92+AAJ92))/(1-G92*BX92))),PX92/(1-MAX(0,BX92)*H_Exit)))</f>
        <v>0</v>
      </c>
      <c r="TL92" s="20" t="n">
        <f aca="false">IF(AKY91&lt;=0,0,IF(H_Direct=1,IF(BY92&lt;=0,PY92,IF(PY92&lt;=(WX92+AAK92)/BY92,PY92,(PY92-G92*(WX92+AAK92))/(1-G92*BY92))),PY92/(1-MAX(0,BY92)*H_Exit)))</f>
        <v>0</v>
      </c>
      <c r="TM92" s="20" t="n">
        <f aca="false">IF(AKZ91&lt;=0,0,IF(H_Direct=1,IF(BZ92&lt;=0,PZ92,IF(PZ92&lt;=(WY92+AAL92)/BZ92,PZ92,(PZ92-G92*(WY92+AAL92))/(1-G92*BZ92))),PZ92/(1-MAX(0,BZ92)*H_Exit)))</f>
        <v>0</v>
      </c>
      <c r="TN92" s="20" t="n">
        <f aca="false">IF(ALA91&lt;=0,0,IF(H_Direct=1,IF(CA92&lt;=0,QA92,IF(QA92&lt;=(WZ92+AAM92)/CA92,QA92,(QA92-G92*(WZ92+AAM92))/(1-G92*CA92))),QA92/(1-MAX(0,CA92)*H_Exit)))</f>
        <v>0</v>
      </c>
      <c r="TO92" s="20" t="n">
        <f aca="false">IF(ALB91&lt;=0,0,IF(H_Direct=1,IF(CB92&lt;=0,QB92,IF(QB92&lt;=(XA92+AAN92)/CB92,QB92,(QB92-G92*(XA92+AAN92))/(1-G92*CB92))),QB92/(1-MAX(0,CB92)*H_Exit)))</f>
        <v>0</v>
      </c>
      <c r="TP92" s="20" t="n">
        <f aca="false">IF(ALC91&lt;=0,0,IF(H_Direct=1,IF(CC92&lt;=0,QC92,IF(QC92&lt;=(XB92+AAO92)/CC92,QC92,(QC92-G92*(XB92+AAO92))/(1-G92*CC92))),QC92/(1-MAX(0,CC92)*H_Exit)))</f>
        <v>0</v>
      </c>
      <c r="TQ92" s="20" t="n">
        <f aca="false">IF(ALD91&lt;=0,0,IF(H_Direct=1,IF(CD92&lt;=0,QD92,IF(QD92&lt;=(XC92+AAP92)/CD92,QD92,(QD92-G92*(XC92+AAP92))/(1-G92*CD92))),QD92/(1-MAX(0,CD92)*H_Exit)))</f>
        <v>0</v>
      </c>
      <c r="TR92" s="20" t="n">
        <f aca="false">IF(ALE91&lt;=0,0,IF(H_Direct=1,IF(CE92&lt;=0,QE92,IF(QE92&lt;=(XD92+AAQ92)/CE92,QE92,(QE92-G92*(XD92+AAQ92))/(1-G92*CE92))),QE92/(1-MAX(0,CE92)*H_Exit)))</f>
        <v>0</v>
      </c>
      <c r="TS92" s="20" t="n">
        <f aca="false">IF(ALF91&lt;=0,0,IF(H_Direct=1,IF(CF92&lt;=0,QF92,IF(QF92&lt;=(XE92+AAR92)/CF92,QF92,(QF92-G92*(XE92+AAR92))/(1-G92*CF92))),QF92/(1-MAX(0,CF92)*H_Exit)))</f>
        <v>0</v>
      </c>
      <c r="TT92" s="20" t="n">
        <f aca="false">IF(ALG91&lt;=0,0,IF(H_Direct=1,IF(CG92&lt;=0,QG92,IF(QG92&lt;=(XF92+AAS92)/CG92,QG92,(QG92-G92*(XF92+AAS92))/(1-G92*CG92))),QG92/(1-MAX(0,CG92)*H_Exit)))</f>
        <v>0</v>
      </c>
      <c r="TU92" s="20" t="n">
        <f aca="false">IF(ALH91&lt;=0,0,IF(H_Direct=1,IF(CH92&lt;=0,QH92,IF(QH92&lt;=(XG92+AAT92)/CH92,QH92,(QH92-G92*(XG92+AAT92))/(1-G92*CH92))),QH92/(1-MAX(0,CH92)*H_Exit)))</f>
        <v>0</v>
      </c>
      <c r="TV92" s="20" t="n">
        <f aca="false">IF(ALI91&lt;=0,0,IF(H_Direct=1,IF(CI92&lt;=0,QI92,IF(QI92&lt;=(XH92+AAU92)/CI92,QI92,(QI92-G92*(XH92+AAU92))/(1-G92*CI92))),QI92/(1-MAX(0,CI92)*H_Exit)))</f>
        <v>0</v>
      </c>
      <c r="TW92" s="20" t="n">
        <f aca="false">IF(ALJ91&lt;=0,0,IF(H_Direct=1,IF(CJ92&lt;=0,QJ92,IF(QJ92&lt;=(XI92+AAV92)/CJ92,QJ92,(QJ92-G92*(XI92+AAV92))/(1-G92*CJ92))),QJ92/(1-MAX(0,CJ92)*H_Exit)))</f>
        <v>0</v>
      </c>
      <c r="TX92" s="20" t="n">
        <f aca="false">IF(ALK91&lt;=0,0,IF(H_Direct=1,IF(CK92&lt;=0,QK92,IF(QK92&lt;=(XJ92+AAW92)/CK92,QK92,(QK92-G92*(XJ92+AAW92))/(1-G92*CK92))),QK92/(1-MAX(0,CK92)*H_Exit)))</f>
        <v>0</v>
      </c>
      <c r="TY92" s="20" t="n">
        <f aca="false">IF(ALL91&lt;=0,0,IF(H_Direct=1,IF(CL92&lt;=0,QL92,IF(QL92&lt;=(XK92+AAX92)/CL92,QL92,(QL92-G92*(XK92+AAX92))/(1-G92*CL92))),QL92/(1-MAX(0,CL92)*H_Exit)))</f>
        <v>0</v>
      </c>
      <c r="TZ92" s="20" t="n">
        <f aca="false">IF(ALM91&lt;=0,0,IF(H_Direct=1,IF(CM92&lt;=0,QM92,IF(QM92&lt;=(XL92+AAY92)/CM92,QM92,(QM92-G92*(XL92+AAY92))/(1-G92*CM92))),QM92/(1-MAX(0,CM92)*H_Exit)))</f>
        <v>0</v>
      </c>
      <c r="UA92" s="20" t="n">
        <f aca="false">IF(ALN91&lt;=0,0,IF(H_Direct=1,IF(CN92&lt;=0,QN92,IF(QN92&lt;=(XM92+AAZ92)/CN92,QN92,(QN92-G92*(XM92+AAZ92))/(1-G92*CN92))),QN92/(1-MAX(0,CN92)*H_Exit)))</f>
        <v>0</v>
      </c>
      <c r="UB92" s="20" t="n">
        <f aca="false">IF(ALO91&lt;=0,0,IF(H_Direct=1,IF(CO92&lt;=0,QO92,IF(QO92&lt;=(XN92+ABA92)/CO92,QO92,(QO92-G92*(XN92+ABA92))/(1-G92*CO92))),QO92/(1-MAX(0,CO92)*H_Exit)))</f>
        <v>0</v>
      </c>
      <c r="UC92" s="20" t="n">
        <f aca="false">IF(ALP91&lt;=0,0,IF(H_Direct=1,IF(CP92&lt;=0,QP92,IF(QP92&lt;=(XO92+ABB92)/CP92,QP92,(QP92-G92*(XO92+ABB92))/(1-G92*CP92))),QP92/(1-MAX(0,CP92)*H_Exit)))</f>
        <v>0</v>
      </c>
      <c r="UD92" s="20" t="n">
        <f aca="false">IF(ALQ91&lt;=0,0,IF(H_Direct=1,IF(CQ92&lt;=0,QQ92,IF(QQ92&lt;=(XP92+ABC92)/CQ92,QQ92,(QQ92-G92*(XP92+ABC92))/(1-G92*CQ92))),QQ92/(1-MAX(0,CQ92)*H_Exit)))</f>
        <v>0</v>
      </c>
      <c r="UE92" s="20" t="n">
        <f aca="false">IF(ALR91&lt;=0,0,IF(H_Direct=1,IF(CR92&lt;=0,QR92,IF(QR92&lt;=(XQ92+ABD92)/CR92,QR92,(QR92-G92*(XQ92+ABD92))/(1-G92*CR92))),QR92/(1-MAX(0,CR92)*H_Exit)))</f>
        <v>0</v>
      </c>
      <c r="UF92" s="20" t="n">
        <f aca="false">IF(ALS91&lt;=0,0,IF(H_Direct=1,IF(CS92&lt;=0,QS92,IF(QS92&lt;=(XR92+ABE92)/CS92,QS92,(QS92-G92*(XR92+ABE92))/(1-G92*CS92))),QS92/(1-MAX(0,CS92)*H_Exit)))</f>
        <v>0</v>
      </c>
      <c r="UG92" s="20" t="n">
        <f aca="false">IF(ALT91&lt;=0,0,IF(H_Direct=1,IF(CT92&lt;=0,QT92,IF(QT92&lt;=(XS92+ABF92)/CT92,QT92,(QT92-G92*(XS92+ABF92))/(1-G92*CT92))),QT92/(1-MAX(0,CT92)*H_Exit)))</f>
        <v>0</v>
      </c>
      <c r="UH92" s="20" t="n">
        <f aca="false">IF(ALU91&lt;=0,0,IF(H_Direct=1,IF(CU92&lt;=0,QU92,IF(QU92&lt;=(XT92+ABG92)/CU92,QU92,(QU92-G92*(XT92+ABG92))/(1-G92*CU92))),QU92/(1-MAX(0,CU92)*H_Exit)))</f>
        <v>0</v>
      </c>
      <c r="UI92" s="20" t="n">
        <f aca="false">IF(ALV91&lt;=0,0,IF(H_Direct=1,IF(CV92&lt;=0,QV92,IF(QV92&lt;=(XU92+ABH92)/CV92,QV92,(QV92-G92*(XU92+ABH92))/(1-G92*CV92))),QV92/(1-MAX(0,CV92)*H_Exit)))</f>
        <v>0</v>
      </c>
      <c r="UJ92" s="20" t="n">
        <f aca="false">IF(ALW91&lt;=0,0,IF(H_Direct=1,IF(CW92&lt;=0,QW92,IF(QW92&lt;=(XV92+ABI92)/CW92,QW92,(QW92-G92*(XV92+ABI92))/(1-G92*CW92))),QW92/(1-MAX(0,CW92)*H_Exit)))</f>
        <v>0</v>
      </c>
      <c r="UK92" s="20" t="n">
        <f aca="false">IF(ALX91&lt;=0,0,IF(H_Direct=1,IF(CX92&lt;=0,QX92,IF(QX92&lt;=(XW92+ABJ92)/CX92,QX92,(QX92-G92*(XW92+ABJ92))/(1-G92*CX92))),QX92/(1-MAX(0,CX92)*H_Exit)))</f>
        <v>0</v>
      </c>
      <c r="UL92" s="20" t="n">
        <f aca="false">IF(ALY91&lt;=0,0,IF(H_Direct=1,IF(CY92&lt;=0,QY92,IF(QY92&lt;=(XX92+ABK92)/CY92,QY92,(QY92-G92*(XX92+ABK92))/(1-G92*CY92))),QY92/(1-MAX(0,CY92)*H_Exit)))</f>
        <v>0</v>
      </c>
      <c r="UM92" s="20" t="n">
        <f aca="false">IF(ALZ91&lt;=0,0,IF(H_Direct=1,IF(CZ92&lt;=0,QZ92,IF(QZ92&lt;=(XY92+ABL92)/CZ92,QZ92,(QZ92-G92*(XY92+ABL92))/(1-G92*CZ92))),QZ92/(1-MAX(0,CZ92)*H_Exit)))</f>
        <v>0</v>
      </c>
      <c r="UN92" s="20" t="n">
        <f aca="false">IF(AMA91&lt;=0,0,IF(H_Direct=1,IF(DA92&lt;=0,RA92,IF(RA92&lt;=(XZ92+ABM92)/DA92,RA92,(RA92-G92*(XZ92+ABM92))/(1-G92*DA92))),RA92/(1-MAX(0,DA92)*H_Exit)))</f>
        <v>0</v>
      </c>
      <c r="UO92" s="20" t="n">
        <f aca="false">IF(AMB91&lt;=0,0,IF(H_Direct=1,IF(DB92&lt;=0,RB92,IF(RB92&lt;=(YA92+ABN92)/DB92,RB92,(RB92-G92*(YA92+ABN92))/(1-G92*DB92))),RB92/(1-MAX(0,DB92)*H_Exit)))</f>
        <v>0</v>
      </c>
      <c r="UP92" s="20" t="n">
        <f aca="false">IF(AMC91&lt;=0,0,IF(H_Direct=1,IF(DC92&lt;=0,RC92,IF(RC92&lt;=(YB92+ABO92)/DC92,RC92,(RC92-G92*(YB92+ABO92))/(1-G92*DC92))),RC92/(1-MAX(0,DC92)*H_Exit)))</f>
        <v>0</v>
      </c>
      <c r="UQ92" s="20" t="n">
        <f aca="false">IF(AMD91&lt;=0,0,IF(H_Direct=1,IF(DD92&lt;=0,RD92,IF(RD92&lt;=(YC92+ABP92)/DD92,RD92,(RD92-G92*(YC92+ABP92))/(1-G92*DD92))),RD92/(1-MAX(0,DD92)*H_Exit)))</f>
        <v>0</v>
      </c>
      <c r="UR92" s="20" t="n">
        <f aca="false">IF(AME91&lt;=0,0,IF(H_Direct=1,IF(DE92&lt;=0,RE92,IF(RE92&lt;=(YD92+ABQ92)/DE92,RE92,(RE92-G92*(YD92+ABQ92))/(1-G92*DE92))),RE92/(1-MAX(0,DE92)*H_Exit)))</f>
        <v>0</v>
      </c>
      <c r="US92" s="20" t="n">
        <f aca="false">IF(AMF91&lt;=0,0,IF(H_Direct=1,IF(DF92&lt;=0,RF92,IF(RF92&lt;=(YE92+ABR92)/DF92,RF92,(RF92-G92*(YE92+ABR92))/(1-G92*DF92))),RF92/(1-MAX(0,DF92)*H_Exit)))</f>
        <v>0</v>
      </c>
      <c r="UT92" s="20" t="n">
        <f aca="false">IF(AMG91&lt;=0,0,IF(H_Direct=1,IF(DG92&lt;=0,RG92,IF(RG92&lt;=(YF92+ABS92)/DG92,RG92,(RG92-G92*(YF92+ABS92))/(1-G92*DG92))),RG92/(1-MAX(0,DG92)*H_Exit)))</f>
        <v>0</v>
      </c>
      <c r="UU92" s="20" t="n">
        <f aca="false">IF(AMH91&lt;=0,0,IF(H_Direct=1,IF(DH92&lt;=0,RH92,IF(RH92&lt;=(YG92+ABT92)/DH92,RH92,(RH92-G92*(YG92+ABT92))/(1-G92*DH92))),RH92/(1-MAX(0,DH92)*H_Exit)))</f>
        <v>0</v>
      </c>
      <c r="UV92" s="20" t="n">
        <f aca="false">IF(AMI91&lt;=0,0,IF(H_Direct=1,IF(DI92&lt;=0,RI92,IF(RI92&lt;=(YH92+ABU92)/DI92,RI92,(RI92-G92*(YH92+ABU92))/(1-G92*DI92))),RI92/(1-MAX(0,DI92)*H_Exit)))</f>
        <v>0</v>
      </c>
      <c r="UW92" s="20" t="n">
        <f aca="false">IF(AMJ91&lt;=0,0,IF(H_Direct=1,IF(DJ92&lt;=0,RJ92,IF(RJ92&lt;=(YI92+ABV92)/DJ92,RJ92,(RJ92-G92*(YI92+ABV92))/(1-G92*DJ92))),RJ92/(1-MAX(0,DJ92)*H_Exit)))</f>
        <v>0</v>
      </c>
      <c r="UX92" s="20" t="n">
        <f aca="false">IF(AMK91&lt;=0,0,IF(H_Direct=1,IF(DK92&lt;=0,RK92,IF(RK92&lt;=(YJ92+ABW92)/DK92,RK92,(RK92-G92*(YJ92+ABW92))/(1-G92*DK92))),RK92/(1-MAX(0,DK92)*H_Exit)))</f>
        <v>0</v>
      </c>
      <c r="UY92" s="20" t="n">
        <f aca="false">IF(AML91&lt;=0,0,IF(H_Direct=1,IF(DL92&lt;=0,RL92,IF(RL92&lt;=(YK92+ABX92)/DL92,RL92,(RL92-G92*(YK92+ABX92))/(1-G92*DL92))),RL92/(1-MAX(0,DL92)*H_Exit)))</f>
        <v>0</v>
      </c>
      <c r="UZ92" s="20" t="n">
        <f aca="false">IF(AMM91&lt;=0,0,IF(H_Direct=1,IF(DM92&lt;=0,RM92,IF(RM92&lt;=(YL92+ABY92)/DM92,RM92,(RM92-G92*(YL92+ABY92))/(1-G92*DM92))),RM92/(1-MAX(0,DM92)*H_Exit)))</f>
        <v>0</v>
      </c>
      <c r="VA92" s="20" t="n">
        <f aca="false">IF(AMN91&lt;=0,0,IF(H_Direct=1,IF(DN92&lt;=0,RN92,IF(RN92&lt;=(YM92+ABZ92)/DN92,RN92,(RN92-G92*(YM92+ABZ92))/(1-G92*DN92))),RN92/(1-MAX(0,DN92)*H_Exit)))</f>
        <v>0</v>
      </c>
      <c r="VB92" s="20" t="n">
        <f aca="false">IF(AMO91&lt;=0,0,IF(H_Direct=1,IF(DO92&lt;=0,RO92,IF(RO92&lt;=(YN92+ACA92)/DO92,RO92,(RO92-G92*(YN92+ACA92))/(1-G92*DO92))),RO92/(1-MAX(0,DO92)*H_Exit)))</f>
        <v>0</v>
      </c>
      <c r="VC92" s="20" t="n">
        <f aca="false">IF(AMP91&lt;=0,0,IF(H_Direct=1,IF(DP92&lt;=0,RP92,IF(RP92&lt;=(YO92+ACB92)/DP92,RP92,(RP92-G92*(YO92+ACB92))/(1-G92*DP92))),RP92/(1-MAX(0,DP92)*H_Exit)))</f>
        <v>0</v>
      </c>
      <c r="VD92" s="20" t="n">
        <f aca="false">IF(AMQ91&lt;=0,0,IF(H_Direct=1,IF(DQ92&lt;=0,RQ92,IF(RQ92&lt;=(YP92+ACC92)/DQ92,RQ92,(RQ92-G92*(YP92+ACC92))/(1-G92*DQ92))),RQ92/(1-MAX(0,DQ92)*H_Exit)))</f>
        <v>0</v>
      </c>
      <c r="VE92" s="20" t="n">
        <f aca="false">IF(AMR91&lt;=0,0,IF(H_Direct=1,IF(DR92&lt;=0,RR92,IF(RR92&lt;=(YQ92+ACD92)/DR92,RR92,(RR92-G92*(YQ92+ACD92))/(1-G92*DR92))),RR92/(1-MAX(0,DR92)*H_Exit)))</f>
        <v>0</v>
      </c>
      <c r="VF92" s="20" t="n">
        <f aca="false">IF(AMS91&lt;=0,0,IF(H_Direct=1,IF(DS92&lt;=0,RS92,IF(RS92&lt;=(YR92+ACE92)/DS92,RS92,(RS92-G92*(YR92+ACE92))/(1-G92*DS92))),RS92/(1-MAX(0,DS92)*H_Exit)))</f>
        <v>0</v>
      </c>
      <c r="VG92" s="20" t="n">
        <f aca="false">IF(AMT91&lt;=0,0,IF(H_Direct=1,IF(DT92&lt;=0,RT92,IF(RT92&lt;=(YS92+ACF92)/DT92,RT92,(RT92-G92*(YS92+ACF92))/(1-G92*DT92))),RT92/(1-MAX(0,DT92)*H_Exit)))</f>
        <v>0</v>
      </c>
      <c r="VH92" s="20" t="n">
        <f aca="false">IF(AMU91&lt;=0,0,IF(H_Direct=1,IF(DU92&lt;=0,RU92,IF(RU92&lt;=(YT92+ACG92)/DU92,RU92,(RU92-G92*(YT92+ACG92))/(1-G92*DU92))),RU92/(1-MAX(0,DU92)*H_Exit)))</f>
        <v>0</v>
      </c>
      <c r="VI92" s="20" t="n">
        <f aca="false">IF(AMV91&lt;=0,0,IF(H_Direct=1,IF(DV92&lt;=0,RV92,IF(RV92&lt;=(YU92+ACH92)/DV92,RV92,(RV92-G92*(YU92+ACH92))/(1-G92*DV92))),RV92/(1-MAX(0,DV92)*H_Exit)))</f>
        <v>0</v>
      </c>
      <c r="VJ92" s="20" t="n">
        <f aca="false">IF(AMW91&lt;=0,0,IF(H_Direct=1,IF(DW92&lt;=0,RW92,IF(RW92&lt;=(YV92+ACI92)/DW92,RW92,(RW92-G92*(YV92+ACI92))/(1-G92*DW92))),RW92/(1-MAX(0,DW92)*H_Exit)))</f>
        <v>0</v>
      </c>
      <c r="VK92" s="20" t="n">
        <f aca="false">IF(AMX91&lt;=0,0,IF(H_Direct=1,IF(DX92&lt;=0,RX92,IF(RX92&lt;=(YW92+ACJ92)/DX92,RX92,(RX92-G92*(YW92+ACJ92))/(1-G92*DX92))),RX92/(1-MAX(0,DX92)*H_Exit)))</f>
        <v>0</v>
      </c>
      <c r="VL92" s="20" t="n">
        <f aca="false">IF(AMY91&lt;=0,0,IF(H_Direct=1,IF(DY92&lt;=0,RY92,IF(RY92&lt;=(YX92+ACK92)/DY92,RY92,(RY92-G92*(YX92+ACK92))/(1-G92*DY92))),RY92/(1-MAX(0,DY92)*H_Exit)))</f>
        <v>0</v>
      </c>
      <c r="VM92" s="20" t="n">
        <f aca="false">IF(AMZ91&lt;=0,0,IF(H_Direct=1,IF(DZ92&lt;=0,RZ92,IF(RZ92&lt;=(YY92+ACL92)/DZ92,RZ92,(RZ92-G92*(YY92+ACL92))/(1-G92*DZ92))),RZ92/(1-MAX(0,DZ92)*H_Exit)))</f>
        <v>0</v>
      </c>
      <c r="VN92" s="20" t="n">
        <f aca="false">IF(ANA91&lt;=0,0,IF(H_Direct=1,IF(EA92&lt;=0,SA92,IF(SA92&lt;=(YZ92+ACM92)/EA92,SA92,(SA92-G92*(YZ92+ACM92))/(1-G92*EA92))),SA92/(1-MAX(0,EA92)*H_Exit)))</f>
        <v>0</v>
      </c>
      <c r="VO92" s="20" t="n">
        <f aca="false">IF(ANB91&lt;=0,0,IF(H_Direct=1,IF(EB92&lt;=0,SB92,IF(SB92&lt;=(ZA92+ACN92)/EB92,SB92,(SB92-G92*(ZA92+ACN92))/(1-G92*EB92))),SB92/(1-MAX(0,EB92)*H_Exit)))</f>
        <v>0</v>
      </c>
      <c r="VP92" s="20" t="n">
        <f aca="false">IF(ANC91&lt;=0,0,IF(H_Direct=1,IF(EC92&lt;=0,SC92,IF(SC92&lt;=(ZB92+ACO92)/EC92,SC92,(SC92-G92*(ZB92+ACO92))/(1-G92*EC92))),SC92/(1-MAX(0,EC92)*H_Exit)))</f>
        <v>0</v>
      </c>
      <c r="VQ92" s="20" t="n">
        <f aca="false">IF(AND91&lt;=0,0,IF(H_Direct=1,IF(ED92&lt;=0,SD92,IF(SD92&lt;=(ZC92+ACP92)/ED92,SD92,(SD92-G92*(ZC92+ACP92))/(1-G92*ED92))),SD92/(1-MAX(0,ED92)*H_Exit)))</f>
        <v>0</v>
      </c>
      <c r="VR92" s="20" t="n">
        <f aca="false">IF(ANE91&lt;=0,0,IF(H_Direct=1,IF(EE92&lt;=0,SE92,IF(SE92&lt;=(ZD92+ACQ92)/EE92,SE92,(SE92-G92*(ZD92+ACQ92))/(1-G92*EE92))),SE92/(1-MAX(0,EE92)*H_Exit)))</f>
        <v>0</v>
      </c>
      <c r="VS92" s="20" t="n">
        <f aca="false">IF(ANF91&lt;=0,0,IF(H_Direct=1,IF(EF92&lt;=0,SF92,IF(SF92&lt;=(ZE92+ACR92)/EF92,SF92,(SF92-G92*(ZE92+ACR92))/(1-G92*EF92))),SF92/(1-MAX(0,EF92)*H_Exit)))</f>
        <v>0</v>
      </c>
      <c r="VT92" s="20" t="n">
        <f aca="false">IF(ANG91&lt;=0,0,IF(H_Direct=1,IF(EG92&lt;=0,SG92,IF(SG92&lt;=(ZF92+ACS92)/EG92,SG92,(SG92-G92*(ZF92+ACS92))/(1-G92*EG92))),SG92/(1-MAX(0,EG92)*H_Exit)))</f>
        <v>0</v>
      </c>
      <c r="VU92" s="20" t="n">
        <f aca="false">IF(ANH91&lt;=0,0,IF(H_Direct=1,IF(EH92&lt;=0,SH92,IF(SH92&lt;=(ZG92+ACT92)/EH92,SH92,(SH92-G92*(ZG92+ACT92))/(1-G92*EH92))),SH92/(1-MAX(0,EH92)*H_Exit)))</f>
        <v>0</v>
      </c>
      <c r="VV92" s="20" t="n">
        <f aca="false">IF(ANI91&lt;=0,0,IF(H_Direct=1,IF(EI92&lt;=0,SI92,IF(SI92&lt;=(ZH92+ACU92)/EI92,SI92,(SI92-G92*(ZH92+ACU92))/(1-G92*EI92))),SI92/(1-MAX(0,EI92)*H_Exit)))</f>
        <v>0</v>
      </c>
      <c r="VW92" s="20" t="n">
        <f aca="false">IF(ANJ91&lt;=0,0,IF(H_Direct=1,IF(EJ92&lt;=0,SJ92,IF(SJ92&lt;=(ZI92+ACV92)/EJ92,SJ92,(SJ92-G92*(ZI92+ACV92))/(1-G92*EJ92))),SJ92/(1-MAX(0,EJ92)*H_Exit)))</f>
        <v>0</v>
      </c>
      <c r="VX92" s="20" t="n">
        <f aca="false">IF(ANK91&lt;=0,0,IF(H_Direct=1,IF(EK92&lt;=0,SK92,IF(SK92&lt;=(ZJ92+ACW92)/EK92,SK92,(SK92-G92*(ZJ92+ACW92))/(1-G92*EK92))),SK92/(1-MAX(0,EK92)*H_Exit)))</f>
        <v>0</v>
      </c>
      <c r="VY92" s="20" t="n">
        <f aca="false">IF(ANL91&lt;=0,0,IF(H_Direct=1,IF(EL92&lt;=0,SL92,IF(SL92&lt;=(ZK92+ACX92)/EL92,SL92,(SL92-G92*(ZK92+ACX92))/(1-G92*EL92))),SL92/(1-MAX(0,EL92)*H_Exit)))</f>
        <v>0</v>
      </c>
      <c r="VZ92" s="20" t="n">
        <f aca="false">IF(ANM91&lt;=0,0,IF(H_Direct=1,IF(EM92&lt;=0,SM92,IF(SM92&lt;=(ZL92+ACY92)/EM92,SM92,(SM92-G92*(ZL92+ACY92))/(1-G92*EM92))),SM92/(1-MAX(0,EM92)*H_Exit)))</f>
        <v>0</v>
      </c>
      <c r="WA92" s="20" t="n">
        <f aca="false">IF(ANN91&lt;=0,0,IF(H_Direct=1,IF(EN92&lt;=0,SN92,IF(SN92&lt;=(ZM92+ACZ92)/EN92,SN92,(SN92-G92*(ZM92+ACZ92))/(1-G92*EN92))),SN92/(1-MAX(0,EN92)*H_Exit)))</f>
        <v>0</v>
      </c>
      <c r="WB92" s="20" t="n">
        <f aca="false">IF(ANO91&lt;=0,0,IF(H_Direct=1,IF(EO92&lt;=0,SO92,IF(SO92&lt;=(ZN92+ADA92)/EO92,SO92,(SO92-G92*(ZN92+ADA92))/(1-G92*EO92))),SO92/(1-MAX(0,EO92)*H_Exit)))</f>
        <v>0</v>
      </c>
      <c r="WC92" s="20" t="n">
        <f aca="false">IF(ANP91&lt;=0,0,IF(H_Direct=1,IF(EP92&lt;=0,SP92,IF(SP92&lt;=(ZO92+ADB92)/EP92,SP92,(SP92-G92*(ZO92+ADB92))/(1-G92*EP92))),SP92/(1-MAX(0,EP92)*H_Exit)))</f>
        <v>0</v>
      </c>
      <c r="WD92" s="20" t="n">
        <f aca="false">IF(ANQ91&lt;=0,0,IF(H_Direct=1,IF(EQ92&lt;=0,SQ92,IF(SQ92&lt;=(ZP92+ADC92)/EQ92,SQ92,(SQ92-G92*(ZP92+ADC92))/(1-G92*EQ92))),SQ92/(1-MAX(0,EQ92)*H_Exit)))</f>
        <v>0</v>
      </c>
      <c r="WE92" s="20" t="n">
        <f aca="false">IF(ANR91&lt;=0,0,IF(H_Direct=1,IF(ER92&lt;=0,SR92,IF(SR92&lt;=(ZQ92+ADD92)/ER92,SR92,(SR92-G92*(ZQ92+ADD92))/(1-G92*ER92))),SR92/(1-MAX(0,ER92)*H_Exit)))</f>
        <v>0</v>
      </c>
      <c r="WF92" s="20" t="n">
        <f aca="false">IF(ANS91&lt;=0,0,IF(H_Direct=1,IF(ES92&lt;=0,SS92,IF(SS92&lt;=(ZR92+ADE92)/ES92,SS92,(SS92-G92*(ZR92+ADE92))/(1-G92*ES92))),SS92/(1-MAX(0,ES92)*H_Exit)))</f>
        <v>0</v>
      </c>
      <c r="WG92" s="20" t="n">
        <f aca="false">IF(ANT91&lt;=0,0,IF(H_Direct=1,IF(ET92&lt;=0,ST92,IF(ST92&lt;=(ZS92+ADF92)/ET92,ST92,(ST92-G92*(ZS92+ADF92))/(1-G92*ET92))),ST92/(1-MAX(0,ET92)*H_Exit)))</f>
        <v>0</v>
      </c>
      <c r="WH92" s="20" t="n">
        <f aca="false">IF(ANU91&lt;=0,0,IF(H_Direct=1,IF(EU92&lt;=0,SU92,IF(SU92&lt;=(ZT92+ADG92)/EU92,SU92,(SU92-G92*(ZT92+ADG92))/(1-G92*EU92))),SU92/(1-MAX(0,EU92)*H_Exit)))</f>
        <v>0</v>
      </c>
      <c r="WI92" s="20" t="n">
        <f aca="false">IF(ANV91&lt;=0,0,IF(H_Direct=1,IF(EV92&lt;=0,SV92,IF(SV92&lt;=(ZU92+ADH92)/EV92,SV92,(SV92-G92*(ZU92+ADH92))/(1-G92*EV92))),SV92/(1-MAX(0,EV92)*H_Exit)))</f>
        <v>0</v>
      </c>
      <c r="WJ92" s="20" t="n">
        <f aca="false">IF(ANW91&lt;=0,0,IF(H_Direct=1,IF(EW92&lt;=0,SW92,IF(SW92&lt;=(ZV92+ADI92)/EW92,SW92,(SW92-G92*(ZV92+ADI92))/(1-G92*EW92))),SW92/(1-MAX(0,EW92)*H_Exit)))</f>
        <v>0</v>
      </c>
      <c r="WK92" s="20" t="n">
        <f aca="false">IF(ANX91&lt;=0,0,IF(H_Direct=1,IF(EX92&lt;=0,SX92,IF(SX92&lt;=(ZW92+ADJ92)/EX92,SX92,(SX92-G92*(ZW92+ADJ92))/(1-G92*EX92))),SX92/(1-MAX(0,EX92)*H_Exit)))</f>
        <v>0</v>
      </c>
      <c r="WL92" s="20" t="n">
        <f aca="false">IF((P92+S92)&lt;=0,0,IF(H_Direct=1,IF(EY92&lt;=0,SY92,IF(SY92&lt;=(ZX92+ADK92)/EY92,SY92,(SY92-G92*(ZX92+ADK92))/(1-G92*EY92))),SY92/(1-MAX(0,EY92)*H_Exit)))</f>
        <v>0</v>
      </c>
      <c r="WM92" s="20" t="n">
        <v>0</v>
      </c>
      <c r="WN92" s="20" t="n">
        <v>0</v>
      </c>
      <c r="WO92" s="20" t="n">
        <v>0</v>
      </c>
      <c r="WP92" s="20" t="n">
        <v>0</v>
      </c>
      <c r="WQ92" s="20" t="n">
        <v>0</v>
      </c>
      <c r="WR92" s="20" t="n">
        <f aca="false">IF(AND(H_Direct=1,BR92&gt;0),MAX(0,H92-(MIN(BR92*TE92,(H92+I92))-MIN(MIN(BR92*TE92,(H92+I92)),I92))),H92)</f>
        <v>1270</v>
      </c>
      <c r="WS92" s="20" t="n">
        <f aca="false">IF(AND(H_Direct=1,BS92&gt;0),MAX(0,WR92-(MIN(BS92*TF92,(WR92+AAE92))-MIN(MIN(BS92*TF92,(WR92+AAE92)),AAE92))),WR92)</f>
        <v>1270</v>
      </c>
      <c r="WT92" s="20" t="n">
        <f aca="false">IF(AND(H_Direct=1,BT92&gt;0),MAX(0,WS92-(MIN(BT92*TG92,(WS92+AAF92))-MIN(MIN(BT92*TG92,(WS92+AAF92)),AAF92))),WS92)</f>
        <v>1270</v>
      </c>
      <c r="WU92" s="20" t="n">
        <f aca="false">IF(AND(H_Direct=1,BU92&gt;0),MAX(0,WT92-(MIN(BU92*TH92,(WT92+AAG92))-MIN(MIN(BU92*TH92,(WT92+AAG92)),AAG92))),WT92)</f>
        <v>1270</v>
      </c>
      <c r="WV92" s="20" t="n">
        <f aca="false">IF(AND(H_Direct=1,BV92&gt;0),MAX(0,WU92-(MIN(BV92*TI92,(WU92+AAH92))-MIN(MIN(BV92*TI92,(WU92+AAH92)),AAH92))),WU92)</f>
        <v>1270</v>
      </c>
      <c r="WW92" s="20" t="n">
        <f aca="false">IF(AND(H_Direct=1,BW92&gt;0),MAX(0,WV92-(MIN(BW92*TJ92,(WV92+AAI92))-MIN(MIN(BW92*TJ92,(WV92+AAI92)),AAI92))),WV92)</f>
        <v>1270</v>
      </c>
      <c r="WX92" s="20" t="n">
        <f aca="false">IF(AND(H_Direct=1,BX92&gt;0),MAX(0,WW92-(MIN(BX92*TK92,(WW92+AAJ92))-MIN(MIN(BX92*TK92,(WW92+AAJ92)),AAJ92))),WW92)</f>
        <v>1270</v>
      </c>
      <c r="WY92" s="20" t="n">
        <f aca="false">IF(AND(H_Direct=1,BY92&gt;0),MAX(0,WX92-(MIN(BY92*TL92,(WX92+AAK92))-MIN(MIN(BY92*TL92,(WX92+AAK92)),AAK92))),WX92)</f>
        <v>1270</v>
      </c>
      <c r="WZ92" s="20" t="n">
        <f aca="false">IF(AND(H_Direct=1,BZ92&gt;0),MAX(0,WY92-(MIN(BZ92*TM92,(WY92+AAL92))-MIN(MIN(BZ92*TM92,(WY92+AAL92)),AAL92))),WY92)</f>
        <v>1270</v>
      </c>
      <c r="XA92" s="20" t="n">
        <f aca="false">IF(AND(H_Direct=1,CA92&gt;0),MAX(0,WZ92-(MIN(CA92*TN92,(WZ92+AAM92))-MIN(MIN(CA92*TN92,(WZ92+AAM92)),AAM92))),WZ92)</f>
        <v>1270</v>
      </c>
      <c r="XB92" s="20" t="n">
        <f aca="false">IF(AND(H_Direct=1,CB92&gt;0),MAX(0,XA92-(MIN(CB92*TO92,(XA92+AAN92))-MIN(MIN(CB92*TO92,(XA92+AAN92)),AAN92))),XA92)</f>
        <v>1270</v>
      </c>
      <c r="XC92" s="20" t="n">
        <f aca="false">IF(AND(H_Direct=1,CC92&gt;0),MAX(0,XB92-(MIN(CC92*TP92,(XB92+AAO92))-MIN(MIN(CC92*TP92,(XB92+AAO92)),AAO92))),XB92)</f>
        <v>1270</v>
      </c>
      <c r="XD92" s="20" t="n">
        <f aca="false">IF(AND(H_Direct=1,CD92&gt;0),MAX(0,XC92-(MIN(CD92*TQ92,(XC92+AAP92))-MIN(MIN(CD92*TQ92,(XC92+AAP92)),AAP92))),XC92)</f>
        <v>1270</v>
      </c>
      <c r="XE92" s="20" t="n">
        <f aca="false">IF(AND(H_Direct=1,CE92&gt;0),MAX(0,XD92-(MIN(CE92*TR92,(XD92+AAQ92))-MIN(MIN(CE92*TR92,(XD92+AAQ92)),AAQ92))),XD92)</f>
        <v>1270</v>
      </c>
      <c r="XF92" s="20" t="n">
        <f aca="false">IF(AND(H_Direct=1,CF92&gt;0),MAX(0,XE92-(MIN(CF92*TS92,(XE92+AAR92))-MIN(MIN(CF92*TS92,(XE92+AAR92)),AAR92))),XE92)</f>
        <v>1270</v>
      </c>
      <c r="XG92" s="20" t="n">
        <f aca="false">IF(AND(H_Direct=1,CG92&gt;0),MAX(0,XF92-(MIN(CG92*TT92,(XF92+AAS92))-MIN(MIN(CG92*TT92,(XF92+AAS92)),AAS92))),XF92)</f>
        <v>1270</v>
      </c>
      <c r="XH92" s="20" t="n">
        <f aca="false">IF(AND(H_Direct=1,CH92&gt;0),MAX(0,XG92-(MIN(CH92*TU92,(XG92+AAT92))-MIN(MIN(CH92*TU92,(XG92+AAT92)),AAT92))),XG92)</f>
        <v>1270</v>
      </c>
      <c r="XI92" s="20" t="n">
        <f aca="false">IF(AND(H_Direct=1,CI92&gt;0),MAX(0,XH92-(MIN(CI92*TV92,(XH92+AAU92))-MIN(MIN(CI92*TV92,(XH92+AAU92)),AAU92))),XH92)</f>
        <v>1270</v>
      </c>
      <c r="XJ92" s="20" t="n">
        <f aca="false">IF(AND(H_Direct=1,CJ92&gt;0),MAX(0,XI92-(MIN(CJ92*TW92,(XI92+AAV92))-MIN(MIN(CJ92*TW92,(XI92+AAV92)),AAV92))),XI92)</f>
        <v>1270</v>
      </c>
      <c r="XK92" s="20" t="n">
        <f aca="false">IF(AND(H_Direct=1,CK92&gt;0),MAX(0,XJ92-(MIN(CK92*TX92,(XJ92+AAW92))-MIN(MIN(CK92*TX92,(XJ92+AAW92)),AAW92))),XJ92)</f>
        <v>1270</v>
      </c>
      <c r="XL92" s="20" t="n">
        <f aca="false">IF(AND(H_Direct=1,CL92&gt;0),MAX(0,XK92-(MIN(CL92*TY92,(XK92+AAX92))-MIN(MIN(CL92*TY92,(XK92+AAX92)),AAX92))),XK92)</f>
        <v>1270</v>
      </c>
      <c r="XM92" s="20" t="n">
        <f aca="false">IF(AND(H_Direct=1,CM92&gt;0),MAX(0,XL92-(MIN(CM92*TZ92,(XL92+AAY92))-MIN(MIN(CM92*TZ92,(XL92+AAY92)),AAY92))),XL92)</f>
        <v>1270</v>
      </c>
      <c r="XN92" s="20" t="n">
        <f aca="false">IF(AND(H_Direct=1,CN92&gt;0),MAX(0,XM92-(MIN(CN92*UA92,(XM92+AAZ92))-MIN(MIN(CN92*UA92,(XM92+AAZ92)),AAZ92))),XM92)</f>
        <v>1270</v>
      </c>
      <c r="XO92" s="20" t="n">
        <f aca="false">IF(AND(H_Direct=1,CO92&gt;0),MAX(0,XN92-(MIN(CO92*UB92,(XN92+ABA92))-MIN(MIN(CO92*UB92,(XN92+ABA92)),ABA92))),XN92)</f>
        <v>1270</v>
      </c>
      <c r="XP92" s="20" t="n">
        <f aca="false">IF(AND(H_Direct=1,CP92&gt;0),MAX(0,XO92-(MIN(CP92*UC92,(XO92+ABB92))-MIN(MIN(CP92*UC92,(XO92+ABB92)),ABB92))),XO92)</f>
        <v>1270</v>
      </c>
      <c r="XQ92" s="20" t="n">
        <f aca="false">IF(AND(H_Direct=1,CQ92&gt;0),MAX(0,XP92-(MIN(CQ92*UD92,(XP92+ABC92))-MIN(MIN(CQ92*UD92,(XP92+ABC92)),ABC92))),XP92)</f>
        <v>1270</v>
      </c>
      <c r="XR92" s="20" t="n">
        <f aca="false">IF(AND(H_Direct=1,CR92&gt;0),MAX(0,XQ92-(MIN(CR92*UE92,(XQ92+ABD92))-MIN(MIN(CR92*UE92,(XQ92+ABD92)),ABD92))),XQ92)</f>
        <v>1270</v>
      </c>
      <c r="XS92" s="20" t="n">
        <f aca="false">IF(AND(H_Direct=1,CS92&gt;0),MAX(0,XR92-(MIN(CS92*UF92,(XR92+ABE92))-MIN(MIN(CS92*UF92,(XR92+ABE92)),ABE92))),XR92)</f>
        <v>1270</v>
      </c>
      <c r="XT92" s="20" t="n">
        <f aca="false">IF(AND(H_Direct=1,CT92&gt;0),MAX(0,XS92-(MIN(CT92*UG92,(XS92+ABF92))-MIN(MIN(CT92*UG92,(XS92+ABF92)),ABF92))),XS92)</f>
        <v>1270</v>
      </c>
      <c r="XU92" s="20" t="n">
        <f aca="false">IF(AND(H_Direct=1,CU92&gt;0),MAX(0,XT92-(MIN(CU92*UH92,(XT92+ABG92))-MIN(MIN(CU92*UH92,(XT92+ABG92)),ABG92))),XT92)</f>
        <v>1270</v>
      </c>
      <c r="XV92" s="20" t="n">
        <f aca="false">IF(AND(H_Direct=1,CV92&gt;0),MAX(0,XU92-(MIN(CV92*UI92,(XU92+ABH92))-MIN(MIN(CV92*UI92,(XU92+ABH92)),ABH92))),XU92)</f>
        <v>1270</v>
      </c>
      <c r="XW92" s="20" t="n">
        <f aca="false">IF(AND(H_Direct=1,CW92&gt;0),MAX(0,XV92-(MIN(CW92*UJ92,(XV92+ABI92))-MIN(MIN(CW92*UJ92,(XV92+ABI92)),ABI92))),XV92)</f>
        <v>1270</v>
      </c>
      <c r="XX92" s="20" t="n">
        <f aca="false">IF(AND(H_Direct=1,CX92&gt;0),MAX(0,XW92-(MIN(CX92*UK92,(XW92+ABJ92))-MIN(MIN(CX92*UK92,(XW92+ABJ92)),ABJ92))),XW92)</f>
        <v>1270</v>
      </c>
      <c r="XY92" s="20" t="n">
        <f aca="false">IF(AND(H_Direct=1,CY92&gt;0),MAX(0,XX92-(MIN(CY92*UL92,(XX92+ABK92))-MIN(MIN(CY92*UL92,(XX92+ABK92)),ABK92))),XX92)</f>
        <v>1270</v>
      </c>
      <c r="XZ92" s="20" t="n">
        <f aca="false">IF(AND(H_Direct=1,CZ92&gt;0),MAX(0,XY92-(MIN(CZ92*UM92,(XY92+ABL92))-MIN(MIN(CZ92*UM92,(XY92+ABL92)),ABL92))),XY92)</f>
        <v>1270</v>
      </c>
      <c r="YA92" s="20" t="n">
        <f aca="false">IF(AND(H_Direct=1,DA92&gt;0),MAX(0,XZ92-(MIN(DA92*UN92,(XZ92+ABM92))-MIN(MIN(DA92*UN92,(XZ92+ABM92)),ABM92))),XZ92)</f>
        <v>1270</v>
      </c>
      <c r="YB92" s="20" t="n">
        <f aca="false">IF(AND(H_Direct=1,DB92&gt;0),MAX(0,YA92-(MIN(DB92*UO92,(YA92+ABN92))-MIN(MIN(DB92*UO92,(YA92+ABN92)),ABN92))),YA92)</f>
        <v>1270</v>
      </c>
      <c r="YC92" s="20" t="n">
        <f aca="false">IF(AND(H_Direct=1,DC92&gt;0),MAX(0,YB92-(MIN(DC92*UP92,(YB92+ABO92))-MIN(MIN(DC92*UP92,(YB92+ABO92)),ABO92))),YB92)</f>
        <v>1270</v>
      </c>
      <c r="YD92" s="20" t="n">
        <f aca="false">IF(AND(H_Direct=1,DD92&gt;0),MAX(0,YC92-(MIN(DD92*UQ92,(YC92+ABP92))-MIN(MIN(DD92*UQ92,(YC92+ABP92)),ABP92))),YC92)</f>
        <v>1270</v>
      </c>
      <c r="YE92" s="20" t="n">
        <f aca="false">IF(AND(H_Direct=1,DE92&gt;0),MAX(0,YD92-(MIN(DE92*UR92,(YD92+ABQ92))-MIN(MIN(DE92*UR92,(YD92+ABQ92)),ABQ92))),YD92)</f>
        <v>1270</v>
      </c>
      <c r="YF92" s="20" t="n">
        <f aca="false">IF(AND(H_Direct=1,DF92&gt;0),MAX(0,YE92-(MIN(DF92*US92,(YE92+ABR92))-MIN(MIN(DF92*US92,(YE92+ABR92)),ABR92))),YE92)</f>
        <v>1270</v>
      </c>
      <c r="YG92" s="20" t="n">
        <f aca="false">IF(AND(H_Direct=1,DG92&gt;0),MAX(0,YF92-(MIN(DG92*UT92,(YF92+ABS92))-MIN(MIN(DG92*UT92,(YF92+ABS92)),ABS92))),YF92)</f>
        <v>1270</v>
      </c>
      <c r="YH92" s="20" t="n">
        <f aca="false">IF(AND(H_Direct=1,DH92&gt;0),MAX(0,YG92-(MIN(DH92*UU92,(YG92+ABT92))-MIN(MIN(DH92*UU92,(YG92+ABT92)),ABT92))),YG92)</f>
        <v>1270</v>
      </c>
      <c r="YI92" s="20" t="n">
        <f aca="false">IF(AND(H_Direct=1,DI92&gt;0),MAX(0,YH92-(MIN(DI92*UV92,(YH92+ABU92))-MIN(MIN(DI92*UV92,(YH92+ABU92)),ABU92))),YH92)</f>
        <v>1270</v>
      </c>
      <c r="YJ92" s="20" t="n">
        <f aca="false">IF(AND(H_Direct=1,DJ92&gt;0),MAX(0,YI92-(MIN(DJ92*UW92,(YI92+ABV92))-MIN(MIN(DJ92*UW92,(YI92+ABV92)),ABV92))),YI92)</f>
        <v>1270</v>
      </c>
      <c r="YK92" s="20" t="n">
        <f aca="false">IF(AND(H_Direct=1,DK92&gt;0),MAX(0,YJ92-(MIN(DK92*UX92,(YJ92+ABW92))-MIN(MIN(DK92*UX92,(YJ92+ABW92)),ABW92))),YJ92)</f>
        <v>1270</v>
      </c>
      <c r="YL92" s="20" t="n">
        <f aca="false">IF(AND(H_Direct=1,DL92&gt;0),MAX(0,YK92-(MIN(DL92*UY92,(YK92+ABX92))-MIN(MIN(DL92*UY92,(YK92+ABX92)),ABX92))),YK92)</f>
        <v>1270</v>
      </c>
      <c r="YM92" s="20" t="n">
        <f aca="false">IF(AND(H_Direct=1,DM92&gt;0),MAX(0,YL92-(MIN(DM92*UZ92,(YL92+ABY92))-MIN(MIN(DM92*UZ92,(YL92+ABY92)),ABY92))),YL92)</f>
        <v>1270</v>
      </c>
      <c r="YN92" s="20" t="n">
        <f aca="false">IF(AND(H_Direct=1,DN92&gt;0),MAX(0,YM92-(MIN(DN92*VA92,(YM92+ABZ92))-MIN(MIN(DN92*VA92,(YM92+ABZ92)),ABZ92))),YM92)</f>
        <v>1270</v>
      </c>
      <c r="YO92" s="20" t="n">
        <f aca="false">IF(AND(H_Direct=1,DO92&gt;0),MAX(0,YN92-(MIN(DO92*VB92,(YN92+ACA92))-MIN(MIN(DO92*VB92,(YN92+ACA92)),ACA92))),YN92)</f>
        <v>1270</v>
      </c>
      <c r="YP92" s="20" t="n">
        <f aca="false">IF(AND(H_Direct=1,DP92&gt;0),MAX(0,YO92-(MIN(DP92*VC92,(YO92+ACB92))-MIN(MIN(DP92*VC92,(YO92+ACB92)),ACB92))),YO92)</f>
        <v>1270</v>
      </c>
      <c r="YQ92" s="20" t="n">
        <f aca="false">IF(AND(H_Direct=1,DQ92&gt;0),MAX(0,YP92-(MIN(DQ92*VD92,(YP92+ACC92))-MIN(MIN(DQ92*VD92,(YP92+ACC92)),ACC92))),YP92)</f>
        <v>1270</v>
      </c>
      <c r="YR92" s="20" t="n">
        <f aca="false">IF(AND(H_Direct=1,DR92&gt;0),MAX(0,YQ92-(MIN(DR92*VE92,(YQ92+ACD92))-MIN(MIN(DR92*VE92,(YQ92+ACD92)),ACD92))),YQ92)</f>
        <v>1270</v>
      </c>
      <c r="YS92" s="20" t="n">
        <f aca="false">IF(AND(H_Direct=1,DS92&gt;0),MAX(0,YR92-(MIN(DS92*VF92,(YR92+ACE92))-MIN(MIN(DS92*VF92,(YR92+ACE92)),ACE92))),YR92)</f>
        <v>1270</v>
      </c>
      <c r="YT92" s="20" t="n">
        <f aca="false">IF(AND(H_Direct=1,DT92&gt;0),MAX(0,YS92-(MIN(DT92*VG92,(YS92+ACF92))-MIN(MIN(DT92*VG92,(YS92+ACF92)),ACF92))),YS92)</f>
        <v>1270</v>
      </c>
      <c r="YU92" s="20" t="n">
        <f aca="false">IF(AND(H_Direct=1,DU92&gt;0),MAX(0,YT92-(MIN(DU92*VH92,(YT92+ACG92))-MIN(MIN(DU92*VH92,(YT92+ACG92)),ACG92))),YT92)</f>
        <v>1270</v>
      </c>
      <c r="YV92" s="20" t="n">
        <f aca="false">IF(AND(H_Direct=1,DV92&gt;0),MAX(0,YU92-(MIN(DV92*VI92,(YU92+ACH92))-MIN(MIN(DV92*VI92,(YU92+ACH92)),ACH92))),YU92)</f>
        <v>1270</v>
      </c>
      <c r="YW92" s="20" t="n">
        <f aca="false">IF(AND(H_Direct=1,DW92&gt;0),MAX(0,YV92-(MIN(DW92*VJ92,(YV92+ACI92))-MIN(MIN(DW92*VJ92,(YV92+ACI92)),ACI92))),YV92)</f>
        <v>1270</v>
      </c>
      <c r="YX92" s="20" t="n">
        <f aca="false">IF(AND(H_Direct=1,DX92&gt;0),MAX(0,YW92-(MIN(DX92*VK92,(YW92+ACJ92))-MIN(MIN(DX92*VK92,(YW92+ACJ92)),ACJ92))),YW92)</f>
        <v>1270</v>
      </c>
      <c r="YY92" s="20" t="n">
        <f aca="false">IF(AND(H_Direct=1,DY92&gt;0),MAX(0,YX92-(MIN(DY92*VL92,(YX92+ACK92))-MIN(MIN(DY92*VL92,(YX92+ACK92)),ACK92))),YX92)</f>
        <v>1270</v>
      </c>
      <c r="YZ92" s="20" t="n">
        <f aca="false">IF(AND(H_Direct=1,DZ92&gt;0),MAX(0,YY92-(MIN(DZ92*VM92,(YY92+ACL92))-MIN(MIN(DZ92*VM92,(YY92+ACL92)),ACL92))),YY92)</f>
        <v>1270</v>
      </c>
      <c r="ZA92" s="20" t="n">
        <f aca="false">IF(AND(H_Direct=1,EA92&gt;0),MAX(0,YZ92-(MIN(EA92*VN92,(YZ92+ACM92))-MIN(MIN(EA92*VN92,(YZ92+ACM92)),ACM92))),YZ92)</f>
        <v>1270</v>
      </c>
      <c r="ZB92" s="20" t="n">
        <f aca="false">IF(AND(H_Direct=1,EB92&gt;0),MAX(0,ZA92-(MIN(EB92*VO92,(ZA92+ACN92))-MIN(MIN(EB92*VO92,(ZA92+ACN92)),ACN92))),ZA92)</f>
        <v>1270</v>
      </c>
      <c r="ZC92" s="20" t="n">
        <f aca="false">IF(AND(H_Direct=1,EC92&gt;0),MAX(0,ZB92-(MIN(EC92*VP92,(ZB92+ACO92))-MIN(MIN(EC92*VP92,(ZB92+ACO92)),ACO92))),ZB92)</f>
        <v>1270</v>
      </c>
      <c r="ZD92" s="20" t="n">
        <f aca="false">IF(AND(H_Direct=1,ED92&gt;0),MAX(0,ZC92-(MIN(ED92*VQ92,(ZC92+ACP92))-MIN(MIN(ED92*VQ92,(ZC92+ACP92)),ACP92))),ZC92)</f>
        <v>1270</v>
      </c>
      <c r="ZE92" s="20" t="n">
        <f aca="false">IF(AND(H_Direct=1,EE92&gt;0),MAX(0,ZD92-(MIN(EE92*VR92,(ZD92+ACQ92))-MIN(MIN(EE92*VR92,(ZD92+ACQ92)),ACQ92))),ZD92)</f>
        <v>1270</v>
      </c>
      <c r="ZF92" s="20" t="n">
        <f aca="false">IF(AND(H_Direct=1,EF92&gt;0),MAX(0,ZE92-(MIN(EF92*VS92,(ZE92+ACR92))-MIN(MIN(EF92*VS92,(ZE92+ACR92)),ACR92))),ZE92)</f>
        <v>1270</v>
      </c>
      <c r="ZG92" s="20" t="n">
        <f aca="false">IF(AND(H_Direct=1,EG92&gt;0),MAX(0,ZF92-(MIN(EG92*VT92,(ZF92+ACS92))-MIN(MIN(EG92*VT92,(ZF92+ACS92)),ACS92))),ZF92)</f>
        <v>1270</v>
      </c>
      <c r="ZH92" s="20" t="n">
        <f aca="false">IF(AND(H_Direct=1,EH92&gt;0),MAX(0,ZG92-(MIN(EH92*VU92,(ZG92+ACT92))-MIN(MIN(EH92*VU92,(ZG92+ACT92)),ACT92))),ZG92)</f>
        <v>1270</v>
      </c>
      <c r="ZI92" s="20" t="n">
        <f aca="false">IF(AND(H_Direct=1,EI92&gt;0),MAX(0,ZH92-(MIN(EI92*VV92,(ZH92+ACU92))-MIN(MIN(EI92*VV92,(ZH92+ACU92)),ACU92))),ZH92)</f>
        <v>1270</v>
      </c>
      <c r="ZJ92" s="20" t="n">
        <f aca="false">IF(AND(H_Direct=1,EJ92&gt;0),MAX(0,ZI92-(MIN(EJ92*VW92,(ZI92+ACV92))-MIN(MIN(EJ92*VW92,(ZI92+ACV92)),ACV92))),ZI92)</f>
        <v>1270</v>
      </c>
      <c r="ZK92" s="20" t="n">
        <f aca="false">IF(AND(H_Direct=1,EK92&gt;0),MAX(0,ZJ92-(MIN(EK92*VX92,(ZJ92+ACW92))-MIN(MIN(EK92*VX92,(ZJ92+ACW92)),ACW92))),ZJ92)</f>
        <v>1270</v>
      </c>
      <c r="ZL92" s="20" t="n">
        <f aca="false">IF(AND(H_Direct=1,EL92&gt;0),MAX(0,ZK92-(MIN(EL92*VY92,(ZK92+ACX92))-MIN(MIN(EL92*VY92,(ZK92+ACX92)),ACX92))),ZK92)</f>
        <v>1270</v>
      </c>
      <c r="ZM92" s="20" t="n">
        <f aca="false">IF(AND(H_Direct=1,EM92&gt;0),MAX(0,ZL92-(MIN(EM92*VZ92,(ZL92+ACY92))-MIN(MIN(EM92*VZ92,(ZL92+ACY92)),ACY92))),ZL92)</f>
        <v>1270</v>
      </c>
      <c r="ZN92" s="20" t="n">
        <f aca="false">IF(AND(H_Direct=1,EN92&gt;0),MAX(0,ZM92-(MIN(EN92*WA92,(ZM92+ACZ92))-MIN(MIN(EN92*WA92,(ZM92+ACZ92)),ACZ92))),ZM92)</f>
        <v>1270</v>
      </c>
      <c r="ZO92" s="20" t="n">
        <f aca="false">IF(AND(H_Direct=1,EO92&gt;0),MAX(0,ZN92-(MIN(EO92*WB92,(ZN92+ADA92))-MIN(MIN(EO92*WB92,(ZN92+ADA92)),ADA92))),ZN92)</f>
        <v>1270</v>
      </c>
      <c r="ZP92" s="20" t="n">
        <f aca="false">IF(AND(H_Direct=1,EP92&gt;0),MAX(0,ZO92-(MIN(EP92*WC92,(ZO92+ADB92))-MIN(MIN(EP92*WC92,(ZO92+ADB92)),ADB92))),ZO92)</f>
        <v>1270</v>
      </c>
      <c r="ZQ92" s="20" t="n">
        <f aca="false">IF(AND(H_Direct=1,EQ92&gt;0),MAX(0,ZP92-(MIN(EQ92*WD92,(ZP92+ADC92))-MIN(MIN(EQ92*WD92,(ZP92+ADC92)),ADC92))),ZP92)</f>
        <v>1270</v>
      </c>
      <c r="ZR92" s="20" t="n">
        <f aca="false">IF(AND(H_Direct=1,ER92&gt;0),MAX(0,ZQ92-(MIN(ER92*WE92,(ZQ92+ADD92))-MIN(MIN(ER92*WE92,(ZQ92+ADD92)),ADD92))),ZQ92)</f>
        <v>1270</v>
      </c>
      <c r="ZS92" s="20" t="n">
        <f aca="false">IF(AND(H_Direct=1,ES92&gt;0),MAX(0,ZR92-(MIN(ES92*WF92,(ZR92+ADE92))-MIN(MIN(ES92*WF92,(ZR92+ADE92)),ADE92))),ZR92)</f>
        <v>1270</v>
      </c>
      <c r="ZT92" s="20" t="n">
        <f aca="false">IF(AND(H_Direct=1,ET92&gt;0),MAX(0,ZS92-(MIN(ET92*WG92,(ZS92+ADF92))-MIN(MIN(ET92*WG92,(ZS92+ADF92)),ADF92))),ZS92)</f>
        <v>1270</v>
      </c>
      <c r="ZU92" s="20" t="n">
        <f aca="false">IF(AND(H_Direct=1,EU92&gt;0),MAX(0,ZT92-(MIN(EU92*WH92,(ZT92+ADG92))-MIN(MIN(EU92*WH92,(ZT92+ADG92)),ADG92))),ZT92)</f>
        <v>1270</v>
      </c>
      <c r="ZV92" s="20" t="n">
        <f aca="false">IF(AND(H_Direct=1,EV92&gt;0),MAX(0,ZU92-(MIN(EV92*WI92,(ZU92+ADH92))-MIN(MIN(EV92*WI92,(ZU92+ADH92)),ADH92))),ZU92)</f>
        <v>1270</v>
      </c>
      <c r="ZW92" s="20" t="n">
        <f aca="false">IF(AND(H_Direct=1,EW92&gt;0),MAX(0,ZV92-(MIN(EW92*WJ92,(ZV92+ADI92))-MIN(MIN(EW92*WJ92,(ZV92+ADI92)),ADI92))),ZV92)</f>
        <v>1270</v>
      </c>
      <c r="ZX92" s="20" t="n">
        <f aca="false">IF(AND(H_Direct=1,EX92&gt;0),MAX(0,ZW92-(MIN(EX92*WK92,(ZW92+ADJ92))-MIN(MIN(EX92*WK92,(ZW92+ADJ92)),ADJ92))),ZW92)</f>
        <v>1270</v>
      </c>
      <c r="ZY92" s="20" t="n">
        <f aca="false">IF(AND(H_Direct=1,EY92&gt;0),MAX(0,ZX92-(MIN(EY92*WL92,(ZX92+ADK92))-MIN(MIN(EY92*WL92,(ZX92+ADK92)),ADK92))),ZX92)</f>
        <v>1270</v>
      </c>
      <c r="ZZ92" s="20" t="n">
        <f aca="false">ZY92</f>
        <v>1270</v>
      </c>
      <c r="AAA92" s="20" t="n">
        <f aca="false">ZZ92</f>
        <v>1270</v>
      </c>
      <c r="AAB92" s="20" t="n">
        <f aca="false">AAA92</f>
        <v>1270</v>
      </c>
      <c r="AAC92" s="20" t="n">
        <f aca="false">AAB92</f>
        <v>1270</v>
      </c>
      <c r="AAD92" s="20" t="n">
        <f aca="false">AAC92</f>
        <v>1270</v>
      </c>
      <c r="AAE92" s="20" t="n">
        <f aca="false">IF(H_Direct=1,IF(BR92&lt;=0,I92-BR92*TE92,I92-MIN(MIN(BR92*TE92,(H92+I92)),I92)),I92)</f>
        <v>0</v>
      </c>
      <c r="AAF92" s="20" t="n">
        <f aca="false">IF(H_Direct=1,IF(BS92&lt;=0,AAE92-BS92*TF92,AAE92-MIN(MIN(BS92*TF92,(WR92+AAE92)),AAE92)),AAE92)</f>
        <v>0</v>
      </c>
      <c r="AAG92" s="20" t="n">
        <f aca="false">IF(H_Direct=1,IF(BT92&lt;=0,AAF92-BT92*TG92,AAF92-MIN(MIN(BT92*TG92,(WS92+AAF92)),AAF92)),AAF92)</f>
        <v>0</v>
      </c>
      <c r="AAH92" s="20" t="n">
        <f aca="false">IF(H_Direct=1,IF(BU92&lt;=0,AAG92-BU92*TH92,AAG92-MIN(MIN(BU92*TH92,(WT92+AAG92)),AAG92)),AAG92)</f>
        <v>0</v>
      </c>
      <c r="AAI92" s="20" t="n">
        <f aca="false">IF(H_Direct=1,IF(BV92&lt;=0,AAH92-BV92*TI92,AAH92-MIN(MIN(BV92*TI92,(WU92+AAH92)),AAH92)),AAH92)</f>
        <v>0</v>
      </c>
      <c r="AAJ92" s="20" t="n">
        <f aca="false">IF(H_Direct=1,IF(BW92&lt;=0,AAI92-BW92*TJ92,AAI92-MIN(MIN(BW92*TJ92,(WV92+AAI92)),AAI92)),AAI92)</f>
        <v>0</v>
      </c>
      <c r="AAK92" s="20" t="n">
        <f aca="false">IF(H_Direct=1,IF(BX92&lt;=0,AAJ92-BX92*TK92,AAJ92-MIN(MIN(BX92*TK92,(WW92+AAJ92)),AAJ92)),AAJ92)</f>
        <v>0</v>
      </c>
      <c r="AAL92" s="20" t="n">
        <f aca="false">IF(H_Direct=1,IF(BY92&lt;=0,AAK92-BY92*TL92,AAK92-MIN(MIN(BY92*TL92,(WX92+AAK92)),AAK92)),AAK92)</f>
        <v>0</v>
      </c>
      <c r="AAM92" s="20" t="n">
        <f aca="false">IF(H_Direct=1,IF(BZ92&lt;=0,AAL92-BZ92*TM92,AAL92-MIN(MIN(BZ92*TM92,(WY92+AAL92)),AAL92)),AAL92)</f>
        <v>0</v>
      </c>
      <c r="AAN92" s="20" t="n">
        <f aca="false">IF(H_Direct=1,IF(CA92&lt;=0,AAM92-CA92*TN92,AAM92-MIN(MIN(CA92*TN92,(WZ92+AAM92)),AAM92)),AAM92)</f>
        <v>0</v>
      </c>
      <c r="AAO92" s="20" t="n">
        <f aca="false">IF(H_Direct=1,IF(CB92&lt;=0,AAN92-CB92*TO92,AAN92-MIN(MIN(CB92*TO92,(XA92+AAN92)),AAN92)),AAN92)</f>
        <v>0</v>
      </c>
      <c r="AAP92" s="20" t="n">
        <f aca="false">IF(H_Direct=1,IF(CC92&lt;=0,AAO92-CC92*TP92,AAO92-MIN(MIN(CC92*TP92,(XB92+AAO92)),AAO92)),AAO92)</f>
        <v>0</v>
      </c>
      <c r="AAQ92" s="20" t="n">
        <f aca="false">IF(H_Direct=1,IF(CD92&lt;=0,AAP92-CD92*TQ92,AAP92-MIN(MIN(CD92*TQ92,(XC92+AAP92)),AAP92)),AAP92)</f>
        <v>0</v>
      </c>
      <c r="AAR92" s="20" t="n">
        <f aca="false">IF(H_Direct=1,IF(CE92&lt;=0,AAQ92-CE92*TR92,AAQ92-MIN(MIN(CE92*TR92,(XD92+AAQ92)),AAQ92)),AAQ92)</f>
        <v>0</v>
      </c>
      <c r="AAS92" s="20" t="n">
        <f aca="false">IF(H_Direct=1,IF(CF92&lt;=0,AAR92-CF92*TS92,AAR92-MIN(MIN(CF92*TS92,(XE92+AAR92)),AAR92)),AAR92)</f>
        <v>0</v>
      </c>
      <c r="AAT92" s="20" t="n">
        <f aca="false">IF(H_Direct=1,IF(CG92&lt;=0,AAS92-CG92*TT92,AAS92-MIN(MIN(CG92*TT92,(XF92+AAS92)),AAS92)),AAS92)</f>
        <v>0</v>
      </c>
      <c r="AAU92" s="20" t="n">
        <f aca="false">IF(H_Direct=1,IF(CH92&lt;=0,AAT92-CH92*TU92,AAT92-MIN(MIN(CH92*TU92,(XG92+AAT92)),AAT92)),AAT92)</f>
        <v>0</v>
      </c>
      <c r="AAV92" s="20" t="n">
        <f aca="false">IF(H_Direct=1,IF(CI92&lt;=0,AAU92-CI92*TV92,AAU92-MIN(MIN(CI92*TV92,(XH92+AAU92)),AAU92)),AAU92)</f>
        <v>0</v>
      </c>
      <c r="AAW92" s="20" t="n">
        <f aca="false">IF(H_Direct=1,IF(CJ92&lt;=0,AAV92-CJ92*TW92,AAV92-MIN(MIN(CJ92*TW92,(XI92+AAV92)),AAV92)),AAV92)</f>
        <v>0</v>
      </c>
      <c r="AAX92" s="20" t="n">
        <f aca="false">IF(H_Direct=1,IF(CK92&lt;=0,AAW92-CK92*TX92,AAW92-MIN(MIN(CK92*TX92,(XJ92+AAW92)),AAW92)),AAW92)</f>
        <v>0</v>
      </c>
      <c r="AAY92" s="20" t="n">
        <f aca="false">IF(H_Direct=1,IF(CL92&lt;=0,AAX92-CL92*TY92,AAX92-MIN(MIN(CL92*TY92,(XK92+AAX92)),AAX92)),AAX92)</f>
        <v>0</v>
      </c>
      <c r="AAZ92" s="20" t="n">
        <f aca="false">IF(H_Direct=1,IF(CM92&lt;=0,AAY92-CM92*TZ92,AAY92-MIN(MIN(CM92*TZ92,(XL92+AAY92)),AAY92)),AAY92)</f>
        <v>0</v>
      </c>
      <c r="ABA92" s="20" t="n">
        <f aca="false">IF(H_Direct=1,IF(CN92&lt;=0,AAZ92-CN92*UA92,AAZ92-MIN(MIN(CN92*UA92,(XM92+AAZ92)),AAZ92)),AAZ92)</f>
        <v>0</v>
      </c>
      <c r="ABB92" s="20" t="n">
        <f aca="false">IF(H_Direct=1,IF(CO92&lt;=0,ABA92-CO92*UB92,ABA92-MIN(MIN(CO92*UB92,(XN92+ABA92)),ABA92)),ABA92)</f>
        <v>0</v>
      </c>
      <c r="ABC92" s="20" t="n">
        <f aca="false">IF(H_Direct=1,IF(CP92&lt;=0,ABB92-CP92*UC92,ABB92-MIN(MIN(CP92*UC92,(XO92+ABB92)),ABB92)),ABB92)</f>
        <v>0</v>
      </c>
      <c r="ABD92" s="20" t="n">
        <f aca="false">IF(H_Direct=1,IF(CQ92&lt;=0,ABC92-CQ92*UD92,ABC92-MIN(MIN(CQ92*UD92,(XP92+ABC92)),ABC92)),ABC92)</f>
        <v>0</v>
      </c>
      <c r="ABE92" s="20" t="n">
        <f aca="false">IF(H_Direct=1,IF(CR92&lt;=0,ABD92-CR92*UE92,ABD92-MIN(MIN(CR92*UE92,(XQ92+ABD92)),ABD92)),ABD92)</f>
        <v>0</v>
      </c>
      <c r="ABF92" s="20" t="n">
        <f aca="false">IF(H_Direct=1,IF(CS92&lt;=0,ABE92-CS92*UF92,ABE92-MIN(MIN(CS92*UF92,(XR92+ABE92)),ABE92)),ABE92)</f>
        <v>0</v>
      </c>
      <c r="ABG92" s="20" t="n">
        <f aca="false">IF(H_Direct=1,IF(CT92&lt;=0,ABF92-CT92*UG92,ABF92-MIN(MIN(CT92*UG92,(XS92+ABF92)),ABF92)),ABF92)</f>
        <v>0</v>
      </c>
      <c r="ABH92" s="20" t="n">
        <f aca="false">IF(H_Direct=1,IF(CU92&lt;=0,ABG92-CU92*UH92,ABG92-MIN(MIN(CU92*UH92,(XT92+ABG92)),ABG92)),ABG92)</f>
        <v>0</v>
      </c>
      <c r="ABI92" s="20" t="n">
        <f aca="false">IF(H_Direct=1,IF(CV92&lt;=0,ABH92-CV92*UI92,ABH92-MIN(MIN(CV92*UI92,(XU92+ABH92)),ABH92)),ABH92)</f>
        <v>0</v>
      </c>
      <c r="ABJ92" s="20" t="n">
        <f aca="false">IF(H_Direct=1,IF(CW92&lt;=0,ABI92-CW92*UJ92,ABI92-MIN(MIN(CW92*UJ92,(XV92+ABI92)),ABI92)),ABI92)</f>
        <v>0</v>
      </c>
      <c r="ABK92" s="20" t="n">
        <f aca="false">IF(H_Direct=1,IF(CX92&lt;=0,ABJ92-CX92*UK92,ABJ92-MIN(MIN(CX92*UK92,(XW92+ABJ92)),ABJ92)),ABJ92)</f>
        <v>0</v>
      </c>
      <c r="ABL92" s="20" t="n">
        <f aca="false">IF(H_Direct=1,IF(CY92&lt;=0,ABK92-CY92*UL92,ABK92-MIN(MIN(CY92*UL92,(XX92+ABK92)),ABK92)),ABK92)</f>
        <v>0</v>
      </c>
      <c r="ABM92" s="20" t="n">
        <f aca="false">IF(H_Direct=1,IF(CZ92&lt;=0,ABL92-CZ92*UM92,ABL92-MIN(MIN(CZ92*UM92,(XY92+ABL92)),ABL92)),ABL92)</f>
        <v>0</v>
      </c>
      <c r="ABN92" s="20" t="n">
        <f aca="false">IF(H_Direct=1,IF(DA92&lt;=0,ABM92-DA92*UN92,ABM92-MIN(MIN(DA92*UN92,(XZ92+ABM92)),ABM92)),ABM92)</f>
        <v>0</v>
      </c>
      <c r="ABO92" s="20" t="n">
        <f aca="false">IF(H_Direct=1,IF(DB92&lt;=0,ABN92-DB92*UO92,ABN92-MIN(MIN(DB92*UO92,(YA92+ABN92)),ABN92)),ABN92)</f>
        <v>0</v>
      </c>
      <c r="ABP92" s="20" t="n">
        <f aca="false">IF(H_Direct=1,IF(DC92&lt;=0,ABO92-DC92*UP92,ABO92-MIN(MIN(DC92*UP92,(YB92+ABO92)),ABO92)),ABO92)</f>
        <v>0</v>
      </c>
      <c r="ABQ92" s="20" t="n">
        <f aca="false">IF(H_Direct=1,IF(DD92&lt;=0,ABP92-DD92*UQ92,ABP92-MIN(MIN(DD92*UQ92,(YC92+ABP92)),ABP92)),ABP92)</f>
        <v>0</v>
      </c>
      <c r="ABR92" s="20" t="n">
        <f aca="false">IF(H_Direct=1,IF(DE92&lt;=0,ABQ92-DE92*UR92,ABQ92-MIN(MIN(DE92*UR92,(YD92+ABQ92)),ABQ92)),ABQ92)</f>
        <v>0</v>
      </c>
      <c r="ABS92" s="20" t="n">
        <f aca="false">IF(H_Direct=1,IF(DF92&lt;=0,ABR92-DF92*US92,ABR92-MIN(MIN(DF92*US92,(YE92+ABR92)),ABR92)),ABR92)</f>
        <v>0</v>
      </c>
      <c r="ABT92" s="20" t="n">
        <f aca="false">IF(H_Direct=1,IF(DG92&lt;=0,ABS92-DG92*UT92,ABS92-MIN(MIN(DG92*UT92,(YF92+ABS92)),ABS92)),ABS92)</f>
        <v>0</v>
      </c>
      <c r="ABU92" s="20" t="n">
        <f aca="false">IF(H_Direct=1,IF(DH92&lt;=0,ABT92-DH92*UU92,ABT92-MIN(MIN(DH92*UU92,(YG92+ABT92)),ABT92)),ABT92)</f>
        <v>0</v>
      </c>
      <c r="ABV92" s="20" t="n">
        <f aca="false">IF(H_Direct=1,IF(DI92&lt;=0,ABU92-DI92*UV92,ABU92-MIN(MIN(DI92*UV92,(YH92+ABU92)),ABU92)),ABU92)</f>
        <v>0</v>
      </c>
      <c r="ABW92" s="20" t="n">
        <f aca="false">IF(H_Direct=1,IF(DJ92&lt;=0,ABV92-DJ92*UW92,ABV92-MIN(MIN(DJ92*UW92,(YI92+ABV92)),ABV92)),ABV92)</f>
        <v>0</v>
      </c>
      <c r="ABX92" s="20" t="n">
        <f aca="false">IF(H_Direct=1,IF(DK92&lt;=0,ABW92-DK92*UX92,ABW92-MIN(MIN(DK92*UX92,(YJ92+ABW92)),ABW92)),ABW92)</f>
        <v>0</v>
      </c>
      <c r="ABY92" s="20" t="n">
        <f aca="false">IF(H_Direct=1,IF(DL92&lt;=0,ABX92-DL92*UY92,ABX92-MIN(MIN(DL92*UY92,(YK92+ABX92)),ABX92)),ABX92)</f>
        <v>0</v>
      </c>
      <c r="ABZ92" s="20" t="n">
        <f aca="false">IF(H_Direct=1,IF(DM92&lt;=0,ABY92-DM92*UZ92,ABY92-MIN(MIN(DM92*UZ92,(YL92+ABY92)),ABY92)),ABY92)</f>
        <v>0</v>
      </c>
      <c r="ACA92" s="20" t="n">
        <f aca="false">IF(H_Direct=1,IF(DN92&lt;=0,ABZ92-DN92*VA92,ABZ92-MIN(MIN(DN92*VA92,(YM92+ABZ92)),ABZ92)),ABZ92)</f>
        <v>0</v>
      </c>
      <c r="ACB92" s="20" t="n">
        <f aca="false">IF(H_Direct=1,IF(DO92&lt;=0,ACA92-DO92*VB92,ACA92-MIN(MIN(DO92*VB92,(YN92+ACA92)),ACA92)),ACA92)</f>
        <v>0</v>
      </c>
      <c r="ACC92" s="20" t="n">
        <f aca="false">IF(H_Direct=1,IF(DP92&lt;=0,ACB92-DP92*VC92,ACB92-MIN(MIN(DP92*VC92,(YO92+ACB92)),ACB92)),ACB92)</f>
        <v>0</v>
      </c>
      <c r="ACD92" s="20" t="n">
        <f aca="false">IF(H_Direct=1,IF(DQ92&lt;=0,ACC92-DQ92*VD92,ACC92-MIN(MIN(DQ92*VD92,(YP92+ACC92)),ACC92)),ACC92)</f>
        <v>0</v>
      </c>
      <c r="ACE92" s="20" t="n">
        <f aca="false">IF(H_Direct=1,IF(DR92&lt;=0,ACD92-DR92*VE92,ACD92-MIN(MIN(DR92*VE92,(YQ92+ACD92)),ACD92)),ACD92)</f>
        <v>0</v>
      </c>
      <c r="ACF92" s="20" t="n">
        <f aca="false">IF(H_Direct=1,IF(DS92&lt;=0,ACE92-DS92*VF92,ACE92-MIN(MIN(DS92*VF92,(YR92+ACE92)),ACE92)),ACE92)</f>
        <v>0</v>
      </c>
      <c r="ACG92" s="20" t="n">
        <f aca="false">IF(H_Direct=1,IF(DT92&lt;=0,ACF92-DT92*VG92,ACF92-MIN(MIN(DT92*VG92,(YS92+ACF92)),ACF92)),ACF92)</f>
        <v>0</v>
      </c>
      <c r="ACH92" s="20" t="n">
        <f aca="false">IF(H_Direct=1,IF(DU92&lt;=0,ACG92-DU92*VH92,ACG92-MIN(MIN(DU92*VH92,(YT92+ACG92)),ACG92)),ACG92)</f>
        <v>0</v>
      </c>
      <c r="ACI92" s="20" t="n">
        <f aca="false">IF(H_Direct=1,IF(DV92&lt;=0,ACH92-DV92*VI92,ACH92-MIN(MIN(DV92*VI92,(YU92+ACH92)),ACH92)),ACH92)</f>
        <v>0</v>
      </c>
      <c r="ACJ92" s="20" t="n">
        <f aca="false">IF(H_Direct=1,IF(DW92&lt;=0,ACI92-DW92*VJ92,ACI92-MIN(MIN(DW92*VJ92,(YV92+ACI92)),ACI92)),ACI92)</f>
        <v>0</v>
      </c>
      <c r="ACK92" s="20" t="n">
        <f aca="false">IF(H_Direct=1,IF(DX92&lt;=0,ACJ92-DX92*VK92,ACJ92-MIN(MIN(DX92*VK92,(YW92+ACJ92)),ACJ92)),ACJ92)</f>
        <v>0</v>
      </c>
      <c r="ACL92" s="20" t="n">
        <f aca="false">IF(H_Direct=1,IF(DY92&lt;=0,ACK92-DY92*VL92,ACK92-MIN(MIN(DY92*VL92,(YX92+ACK92)),ACK92)),ACK92)</f>
        <v>0</v>
      </c>
      <c r="ACM92" s="20" t="n">
        <f aca="false">IF(H_Direct=1,IF(DZ92&lt;=0,ACL92-DZ92*VM92,ACL92-MIN(MIN(DZ92*VM92,(YY92+ACL92)),ACL92)),ACL92)</f>
        <v>0</v>
      </c>
      <c r="ACN92" s="20" t="n">
        <f aca="false">IF(H_Direct=1,IF(EA92&lt;=0,ACM92-EA92*VN92,ACM92-MIN(MIN(EA92*VN92,(YZ92+ACM92)),ACM92)),ACM92)</f>
        <v>0</v>
      </c>
      <c r="ACO92" s="20" t="n">
        <f aca="false">IF(H_Direct=1,IF(EB92&lt;=0,ACN92-EB92*VO92,ACN92-MIN(MIN(EB92*VO92,(ZA92+ACN92)),ACN92)),ACN92)</f>
        <v>0</v>
      </c>
      <c r="ACP92" s="20" t="n">
        <f aca="false">IF(H_Direct=1,IF(EC92&lt;=0,ACO92-EC92*VP92,ACO92-MIN(MIN(EC92*VP92,(ZB92+ACO92)),ACO92)),ACO92)</f>
        <v>0</v>
      </c>
      <c r="ACQ92" s="20" t="n">
        <f aca="false">IF(H_Direct=1,IF(ED92&lt;=0,ACP92-ED92*VQ92,ACP92-MIN(MIN(ED92*VQ92,(ZC92+ACP92)),ACP92)),ACP92)</f>
        <v>0</v>
      </c>
      <c r="ACR92" s="20" t="n">
        <f aca="false">IF(H_Direct=1,IF(EE92&lt;=0,ACQ92-EE92*VR92,ACQ92-MIN(MIN(EE92*VR92,(ZD92+ACQ92)),ACQ92)),ACQ92)</f>
        <v>0</v>
      </c>
      <c r="ACS92" s="20" t="n">
        <f aca="false">IF(H_Direct=1,IF(EF92&lt;=0,ACR92-EF92*VS92,ACR92-MIN(MIN(EF92*VS92,(ZE92+ACR92)),ACR92)),ACR92)</f>
        <v>0</v>
      </c>
      <c r="ACT92" s="20" t="n">
        <f aca="false">IF(H_Direct=1,IF(EG92&lt;=0,ACS92-EG92*VT92,ACS92-MIN(MIN(EG92*VT92,(ZF92+ACS92)),ACS92)),ACS92)</f>
        <v>0</v>
      </c>
      <c r="ACU92" s="20" t="n">
        <f aca="false">IF(H_Direct=1,IF(EH92&lt;=0,ACT92-EH92*VU92,ACT92-MIN(MIN(EH92*VU92,(ZG92+ACT92)),ACT92)),ACT92)</f>
        <v>0</v>
      </c>
      <c r="ACV92" s="20" t="n">
        <f aca="false">IF(H_Direct=1,IF(EI92&lt;=0,ACU92-EI92*VV92,ACU92-MIN(MIN(EI92*VV92,(ZH92+ACU92)),ACU92)),ACU92)</f>
        <v>0</v>
      </c>
      <c r="ACW92" s="20" t="n">
        <f aca="false">IF(H_Direct=1,IF(EJ92&lt;=0,ACV92-EJ92*VW92,ACV92-MIN(MIN(EJ92*VW92,(ZI92+ACV92)),ACV92)),ACV92)</f>
        <v>0</v>
      </c>
      <c r="ACX92" s="20" t="n">
        <f aca="false">IF(H_Direct=1,IF(EK92&lt;=0,ACW92-EK92*VX92,ACW92-MIN(MIN(EK92*VX92,(ZJ92+ACW92)),ACW92)),ACW92)</f>
        <v>0</v>
      </c>
      <c r="ACY92" s="20" t="n">
        <f aca="false">IF(H_Direct=1,IF(EL92&lt;=0,ACX92-EL92*VY92,ACX92-MIN(MIN(EL92*VY92,(ZK92+ACX92)),ACX92)),ACX92)</f>
        <v>0</v>
      </c>
      <c r="ACZ92" s="20" t="n">
        <f aca="false">IF(H_Direct=1,IF(EM92&lt;=0,ACY92-EM92*VZ92,ACY92-MIN(MIN(EM92*VZ92,(ZL92+ACY92)),ACY92)),ACY92)</f>
        <v>0</v>
      </c>
      <c r="ADA92" s="20" t="n">
        <f aca="false">IF(H_Direct=1,IF(EN92&lt;=0,ACZ92-EN92*WA92,ACZ92-MIN(MIN(EN92*WA92,(ZM92+ACZ92)),ACZ92)),ACZ92)</f>
        <v>0</v>
      </c>
      <c r="ADB92" s="20" t="n">
        <f aca="false">IF(H_Direct=1,IF(EO92&lt;=0,ADA92-EO92*WB92,ADA92-MIN(MIN(EO92*WB92,(ZN92+ADA92)),ADA92)),ADA92)</f>
        <v>0</v>
      </c>
      <c r="ADC92" s="20" t="n">
        <f aca="false">IF(H_Direct=1,IF(EP92&lt;=0,ADB92-EP92*WC92,ADB92-MIN(MIN(EP92*WC92,(ZO92+ADB92)),ADB92)),ADB92)</f>
        <v>0</v>
      </c>
      <c r="ADD92" s="20" t="n">
        <f aca="false">IF(H_Direct=1,IF(EQ92&lt;=0,ADC92-EQ92*WD92,ADC92-MIN(MIN(EQ92*WD92,(ZP92+ADC92)),ADC92)),ADC92)</f>
        <v>0</v>
      </c>
      <c r="ADE92" s="20" t="n">
        <f aca="false">IF(H_Direct=1,IF(ER92&lt;=0,ADD92-ER92*WE92,ADD92-MIN(MIN(ER92*WE92,(ZQ92+ADD92)),ADD92)),ADD92)</f>
        <v>0</v>
      </c>
      <c r="ADF92" s="20" t="n">
        <f aca="false">IF(H_Direct=1,IF(ES92&lt;=0,ADE92-ES92*WF92,ADE92-MIN(MIN(ES92*WF92,(ZR92+ADE92)),ADE92)),ADE92)</f>
        <v>0</v>
      </c>
      <c r="ADG92" s="20" t="n">
        <f aca="false">IF(H_Direct=1,IF(ET92&lt;=0,ADF92-ET92*WG92,ADF92-MIN(MIN(ET92*WG92,(ZS92+ADF92)),ADF92)),ADF92)</f>
        <v>0</v>
      </c>
      <c r="ADH92" s="20" t="n">
        <f aca="false">IF(H_Direct=1,IF(EU92&lt;=0,ADG92-EU92*WH92,ADG92-MIN(MIN(EU92*WH92,(ZT92+ADG92)),ADG92)),ADG92)</f>
        <v>0</v>
      </c>
      <c r="ADI92" s="20" t="n">
        <f aca="false">IF(H_Direct=1,IF(EV92&lt;=0,ADH92-EV92*WI92,ADH92-MIN(MIN(EV92*WI92,(ZU92+ADH92)),ADH92)),ADH92)</f>
        <v>0</v>
      </c>
      <c r="ADJ92" s="20" t="n">
        <f aca="false">IF(H_Direct=1,IF(EW92&lt;=0,ADI92-EW92*WJ92,ADI92-MIN(MIN(EW92*WJ92,(ZV92+ADI92)),ADI92)),ADI92)</f>
        <v>0</v>
      </c>
      <c r="ADK92" s="20" t="n">
        <f aca="false">IF(H_Direct=1,IF(EX92&lt;=0,ADJ92-EX92*WK92,ADJ92-MIN(MIN(EX92*WK92,(ZW92+ADJ92)),ADJ92)),ADJ92)</f>
        <v>0</v>
      </c>
      <c r="ADL92" s="20" t="n">
        <f aca="false">IF(H_Direct=1,IF(EY92&lt;=0,ADK92-EY92*WL92,ADK92-MIN(MIN(EY92*WL92,(ZX92+ADK92)),ADK92)),ADK92)</f>
        <v>0</v>
      </c>
      <c r="ADM92" s="20" t="n">
        <f aca="false">ADL92</f>
        <v>0</v>
      </c>
      <c r="ADN92" s="20" t="n">
        <f aca="false">ADM92</f>
        <v>0</v>
      </c>
      <c r="ADO92" s="20" t="n">
        <f aca="false">ADN92</f>
        <v>0</v>
      </c>
      <c r="ADP92" s="20" t="n">
        <f aca="false">ADO92</f>
        <v>0</v>
      </c>
      <c r="ADQ92" s="20" t="n">
        <f aca="false">ADP92</f>
        <v>0</v>
      </c>
      <c r="ADR92" s="20" t="n">
        <f aca="false">(AKR91-TE92+0)*(1+BQ92)</f>
        <v>0</v>
      </c>
      <c r="ADS92" s="20" t="n">
        <f aca="false">(AKS91-TF92+0)*(1+BQ92)</f>
        <v>0</v>
      </c>
      <c r="ADT92" s="20" t="n">
        <f aca="false">(AKT91-TG92+0)*(1+BQ92)</f>
        <v>0</v>
      </c>
      <c r="ADU92" s="20" t="n">
        <f aca="false">(AKU91-TH92+0)*(1+BQ92)</f>
        <v>0</v>
      </c>
      <c r="ADV92" s="20" t="n">
        <f aca="false">(AKV91-TI92+0)*(1+BQ92)</f>
        <v>0</v>
      </c>
      <c r="ADW92" s="20" t="n">
        <f aca="false">(AKW91-TJ92+0)*(1+BQ92)</f>
        <v>0</v>
      </c>
      <c r="ADX92" s="20" t="n">
        <f aca="false">(AKX91-TK92+0)*(1+BQ92)</f>
        <v>0</v>
      </c>
      <c r="ADY92" s="20" t="n">
        <f aca="false">(AKY91-TL92+0)*(1+BQ92)</f>
        <v>0</v>
      </c>
      <c r="ADZ92" s="20" t="n">
        <f aca="false">(AKZ91-TM92+0)*(1+BQ92)</f>
        <v>0</v>
      </c>
      <c r="AEA92" s="20" t="n">
        <f aca="false">(ALA91-TN92+0)*(1+BQ92)</f>
        <v>0</v>
      </c>
      <c r="AEB92" s="20" t="n">
        <f aca="false">(ALB91-TO92+0)*(1+BQ92)</f>
        <v>0</v>
      </c>
      <c r="AEC92" s="20" t="n">
        <f aca="false">(ALC91-TP92+0)*(1+BQ92)</f>
        <v>0</v>
      </c>
      <c r="AED92" s="20" t="n">
        <f aca="false">(ALD91-TQ92+0)*(1+BQ92)</f>
        <v>0</v>
      </c>
      <c r="AEE92" s="20" t="n">
        <f aca="false">(ALE91-TR92+0)*(1+BQ92)</f>
        <v>0</v>
      </c>
      <c r="AEF92" s="20" t="n">
        <f aca="false">(ALF91-TS92+0)*(1+BQ92)</f>
        <v>0</v>
      </c>
      <c r="AEG92" s="20" t="n">
        <f aca="false">(ALG91-TT92+0)*(1+BQ92)</f>
        <v>0</v>
      </c>
      <c r="AEH92" s="20" t="n">
        <f aca="false">(ALH91-TU92+0)*(1+BQ92)</f>
        <v>0</v>
      </c>
      <c r="AEI92" s="20" t="n">
        <f aca="false">(ALI91-TV92+0)*(1+BQ92)</f>
        <v>0</v>
      </c>
      <c r="AEJ92" s="20" t="n">
        <f aca="false">(ALJ91-TW92+0)*(1+BQ92)</f>
        <v>0</v>
      </c>
      <c r="AEK92" s="20" t="n">
        <f aca="false">(ALK91-TX92+0)*(1+BQ92)</f>
        <v>0</v>
      </c>
      <c r="AEL92" s="20" t="n">
        <f aca="false">(ALL91-TY92+0)*(1+BQ92)</f>
        <v>0</v>
      </c>
      <c r="AEM92" s="20" t="n">
        <f aca="false">(ALM91-TZ92+0)*(1+BQ92)</f>
        <v>0</v>
      </c>
      <c r="AEN92" s="20" t="n">
        <f aca="false">(ALN91-UA92+0)*(1+BQ92)</f>
        <v>0</v>
      </c>
      <c r="AEO92" s="20" t="n">
        <f aca="false">(ALO91-UB92+0)*(1+BQ92)</f>
        <v>0</v>
      </c>
      <c r="AEP92" s="20" t="n">
        <f aca="false">(ALP91-UC92+0)*(1+BQ92)</f>
        <v>0</v>
      </c>
      <c r="AEQ92" s="20" t="n">
        <f aca="false">(ALQ91-UD92+0)*(1+BQ92)</f>
        <v>0</v>
      </c>
      <c r="AER92" s="20" t="n">
        <f aca="false">(ALR91-UE92+0)*(1+BQ92)</f>
        <v>0</v>
      </c>
      <c r="AES92" s="20" t="n">
        <f aca="false">(ALS91-UF92+0)*(1+BQ92)</f>
        <v>0</v>
      </c>
      <c r="AET92" s="20" t="n">
        <f aca="false">(ALT91-UG92+0)*(1+BQ92)</f>
        <v>0</v>
      </c>
      <c r="AEU92" s="20" t="n">
        <f aca="false">(ALU91-UH92+0)*(1+BQ92)</f>
        <v>0</v>
      </c>
      <c r="AEV92" s="20" t="n">
        <f aca="false">(ALV91-UI92+0)*(1+BQ92)</f>
        <v>0</v>
      </c>
      <c r="AEW92" s="20" t="n">
        <f aca="false">(ALW91-UJ92+0)*(1+BQ92)</f>
        <v>0</v>
      </c>
      <c r="AEX92" s="20" t="n">
        <f aca="false">(ALX91-UK92+0)*(1+BQ92)</f>
        <v>0</v>
      </c>
      <c r="AEY92" s="20" t="n">
        <f aca="false">(ALY91-UL92+0)*(1+BQ92)</f>
        <v>0</v>
      </c>
      <c r="AEZ92" s="20" t="n">
        <f aca="false">(ALZ91-UM92+0)*(1+BQ92)</f>
        <v>0</v>
      </c>
      <c r="AFA92" s="20" t="n">
        <f aca="false">(AMA91-UN92+0)*(1+BQ92)</f>
        <v>0</v>
      </c>
      <c r="AFB92" s="20" t="n">
        <f aca="false">(AMB91-UO92+0)*(1+BQ92)</f>
        <v>0</v>
      </c>
      <c r="AFC92" s="20" t="n">
        <f aca="false">(AMC91-UP92+0)*(1+BQ92)</f>
        <v>0</v>
      </c>
      <c r="AFD92" s="20" t="n">
        <f aca="false">(AMD91-UQ92+0)*(1+BQ92)</f>
        <v>0</v>
      </c>
      <c r="AFE92" s="20" t="n">
        <f aca="false">(AME91-UR92+0)*(1+BQ92)</f>
        <v>0</v>
      </c>
      <c r="AFF92" s="20" t="n">
        <f aca="false">(AMF91-US92+0)*(1+BQ92)</f>
        <v>0</v>
      </c>
      <c r="AFG92" s="20" t="n">
        <f aca="false">(AMG91-UT92+0)*(1+BQ92)</f>
        <v>0</v>
      </c>
      <c r="AFH92" s="20" t="n">
        <f aca="false">(AMH91-UU92+0)*(1+BQ92)</f>
        <v>0</v>
      </c>
      <c r="AFI92" s="20" t="n">
        <f aca="false">(AMI91-UV92+0)*(1+BQ92)</f>
        <v>0</v>
      </c>
      <c r="AFJ92" s="20" t="n">
        <f aca="false">(AMJ91-UW92+0)*(1+BQ92)</f>
        <v>0</v>
      </c>
      <c r="AFK92" s="20" t="n">
        <f aca="false">(AMK91-UX92+0)*(1+BQ92)</f>
        <v>0</v>
      </c>
      <c r="AFL92" s="20" t="n">
        <f aca="false">(AML91-UY92+0)*(1+BQ92)</f>
        <v>0</v>
      </c>
      <c r="AFM92" s="20" t="n">
        <f aca="false">(AMM91-UZ92+0)*(1+BQ92)</f>
        <v>0</v>
      </c>
      <c r="AFN92" s="20" t="n">
        <f aca="false">(AMN91-VA92+0)*(1+BQ92)</f>
        <v>0</v>
      </c>
      <c r="AFO92" s="20" t="n">
        <f aca="false">(AMO91-VB92+0)*(1+BQ92)</f>
        <v>0</v>
      </c>
      <c r="AFP92" s="20" t="n">
        <f aca="false">(AMP91-VC92+0)*(1+BQ92)</f>
        <v>0</v>
      </c>
      <c r="AFQ92" s="20" t="n">
        <f aca="false">(AMQ91-VD92+0)*(1+BQ92)</f>
        <v>0</v>
      </c>
      <c r="AFR92" s="20" t="n">
        <f aca="false">(AMR91-VE92+0)*(1+BQ92)</f>
        <v>0</v>
      </c>
      <c r="AFS92" s="20" t="n">
        <f aca="false">(AMS91-VF92+0)*(1+BQ92)</f>
        <v>0</v>
      </c>
      <c r="AFT92" s="20" t="n">
        <f aca="false">(AMT91-VG92+0)*(1+BQ92)</f>
        <v>0</v>
      </c>
      <c r="AFU92" s="20" t="n">
        <f aca="false">(AMU91-VH92+0)*(1+BQ92)</f>
        <v>0</v>
      </c>
      <c r="AFV92" s="20" t="n">
        <f aca="false">(AMV91-VI92+0)*(1+BQ92)</f>
        <v>0</v>
      </c>
      <c r="AFW92" s="20" t="n">
        <f aca="false">(AMW91-VJ92+0)*(1+BQ92)</f>
        <v>0</v>
      </c>
      <c r="AFX92" s="20" t="n">
        <f aca="false">(AMX91-VK92+0)*(1+BQ92)</f>
        <v>0</v>
      </c>
      <c r="AFY92" s="20" t="n">
        <f aca="false">(AMY91-VL92+0)*(1+BQ92)</f>
        <v>0</v>
      </c>
      <c r="AFZ92" s="20" t="n">
        <f aca="false">(AMZ91-VM92+0)*(1+BQ92)</f>
        <v>0</v>
      </c>
      <c r="AGA92" s="20" t="n">
        <f aca="false">(ANA91-VN92+0)*(1+BQ92)</f>
        <v>0</v>
      </c>
      <c r="AGB92" s="20" t="n">
        <f aca="false">(ANB91-VO92+0)*(1+BQ92)</f>
        <v>0</v>
      </c>
      <c r="AGC92" s="20" t="n">
        <f aca="false">(ANC91-VP92+0)*(1+BQ92)</f>
        <v>0</v>
      </c>
      <c r="AGD92" s="20" t="n">
        <f aca="false">(AND91-VQ92+0)*(1+BQ92)</f>
        <v>0</v>
      </c>
      <c r="AGE92" s="20" t="n">
        <f aca="false">(ANE91-VR92+0)*(1+BQ92)</f>
        <v>0</v>
      </c>
      <c r="AGF92" s="20" t="n">
        <f aca="false">(ANF91-VS92+0)*(1+BQ92)</f>
        <v>0</v>
      </c>
      <c r="AGG92" s="20" t="n">
        <f aca="false">(ANG91-VT92+0)*(1+BQ92)</f>
        <v>0</v>
      </c>
      <c r="AGH92" s="20" t="n">
        <f aca="false">(ANH91-VU92+0)*(1+BQ92)</f>
        <v>0</v>
      </c>
      <c r="AGI92" s="20" t="n">
        <f aca="false">(ANI91-VV92+0)*(1+BQ92)</f>
        <v>0</v>
      </c>
      <c r="AGJ92" s="20" t="n">
        <f aca="false">(ANJ91-VW92+0)*(1+BQ92)</f>
        <v>0</v>
      </c>
      <c r="AGK92" s="20" t="n">
        <f aca="false">(ANK91-VX92+0)*(1+BQ92)</f>
        <v>0</v>
      </c>
      <c r="AGL92" s="20" t="n">
        <f aca="false">(ANL91-VY92+0)*(1+BQ92)</f>
        <v>0</v>
      </c>
      <c r="AGM92" s="20" t="n">
        <f aca="false">(ANM91-VZ92+0)*(1+BQ92)</f>
        <v>0</v>
      </c>
      <c r="AGN92" s="20" t="n">
        <f aca="false">(ANN91-WA92+0)*(1+BQ92)</f>
        <v>0</v>
      </c>
      <c r="AGO92" s="20" t="n">
        <f aca="false">(ANO91-WB92+0)*(1+BQ92)</f>
        <v>0</v>
      </c>
      <c r="AGP92" s="20" t="n">
        <f aca="false">(ANP91-WC92+0)*(1+BQ92)</f>
        <v>0</v>
      </c>
      <c r="AGQ92" s="20" t="n">
        <f aca="false">(ANQ91-WD92+0)*(1+BQ92)</f>
        <v>0</v>
      </c>
      <c r="AGR92" s="20" t="n">
        <f aca="false">(ANR91-WE92+0)*(1+BQ92)</f>
        <v>0</v>
      </c>
      <c r="AGS92" s="20" t="n">
        <f aca="false">(ANS91-WF92+0)*(1+BQ92)</f>
        <v>0</v>
      </c>
      <c r="AGT92" s="20" t="n">
        <f aca="false">(ANT91-WG92+0)*(1+BQ92)</f>
        <v>0</v>
      </c>
      <c r="AGU92" s="20" t="n">
        <f aca="false">(ANU91-WH92+0)*(1+BQ92)</f>
        <v>0</v>
      </c>
      <c r="AGV92" s="20" t="n">
        <f aca="false">(ANV91-WI92+0)*(1+BQ92)</f>
        <v>0</v>
      </c>
      <c r="AGW92" s="20" t="n">
        <f aca="false">(ANW91-WJ92+0)*(1+BQ92)</f>
        <v>0</v>
      </c>
      <c r="AGX92" s="20" t="n">
        <f aca="false">(ANX91-WK92+0)*(1+BQ92)</f>
        <v>0</v>
      </c>
      <c r="AGY92" s="20" t="n">
        <f aca="false">((P92+S92)-WL92+BE92)*(1+BQ92)</f>
        <v>0</v>
      </c>
      <c r="AGZ92" s="20" t="n">
        <v>0</v>
      </c>
      <c r="AHA92" s="20" t="n">
        <v>0</v>
      </c>
      <c r="AHB92" s="20" t="n">
        <v>0</v>
      </c>
      <c r="AHC92" s="20" t="n">
        <v>0</v>
      </c>
      <c r="AHD92" s="20" t="n">
        <v>0</v>
      </c>
      <c r="AHE92" s="20" t="n">
        <f aca="false">IF(AKR91&gt;0,AOE91-AOE91*TE92/AKR91,0)+0</f>
        <v>0</v>
      </c>
      <c r="AHF92" s="20" t="n">
        <f aca="false">IF(AKS91&gt;0,AOF91-AOF91*TF92/AKS91,0)+0</f>
        <v>0</v>
      </c>
      <c r="AHG92" s="20" t="n">
        <f aca="false">IF(AKT91&gt;0,AOG91-AOG91*TG92/AKT91,0)+0</f>
        <v>0</v>
      </c>
      <c r="AHH92" s="20" t="n">
        <f aca="false">IF(AKU91&gt;0,AOH91-AOH91*TH92/AKU91,0)+0</f>
        <v>0</v>
      </c>
      <c r="AHI92" s="20" t="n">
        <f aca="false">IF(AKV91&gt;0,AOI91-AOI91*TI92/AKV91,0)+0</f>
        <v>0</v>
      </c>
      <c r="AHJ92" s="20" t="n">
        <f aca="false">IF(AKW91&gt;0,AOJ91-AOJ91*TJ92/AKW91,0)+0</f>
        <v>0</v>
      </c>
      <c r="AHK92" s="20" t="n">
        <f aca="false">IF(AKX91&gt;0,AOK91-AOK91*TK92/AKX91,0)+0</f>
        <v>0</v>
      </c>
      <c r="AHL92" s="20" t="n">
        <f aca="false">IF(AKY91&gt;0,AOL91-AOL91*TL92/AKY91,0)+0</f>
        <v>0</v>
      </c>
      <c r="AHM92" s="20" t="n">
        <f aca="false">IF(AKZ91&gt;0,AOM91-AOM91*TM92/AKZ91,0)+0</f>
        <v>0</v>
      </c>
      <c r="AHN92" s="20" t="n">
        <f aca="false">IF(ALA91&gt;0,AON91-AON91*TN92/ALA91,0)+0</f>
        <v>0</v>
      </c>
      <c r="AHO92" s="20" t="n">
        <f aca="false">IF(ALB91&gt;0,AOO91-AOO91*TO92/ALB91,0)+0</f>
        <v>0</v>
      </c>
      <c r="AHP92" s="20" t="n">
        <f aca="false">IF(ALC91&gt;0,AOP91-AOP91*TP92/ALC91,0)+0</f>
        <v>0</v>
      </c>
      <c r="AHQ92" s="20" t="n">
        <f aca="false">IF(ALD91&gt;0,AOQ91-AOQ91*TQ92/ALD91,0)+0</f>
        <v>0</v>
      </c>
      <c r="AHR92" s="20" t="n">
        <f aca="false">IF(ALE91&gt;0,AOR91-AOR91*TR92/ALE91,0)+0</f>
        <v>0</v>
      </c>
      <c r="AHS92" s="20" t="n">
        <f aca="false">IF(ALF91&gt;0,AOS91-AOS91*TS92/ALF91,0)+0</f>
        <v>0</v>
      </c>
      <c r="AHT92" s="20" t="n">
        <f aca="false">IF(ALG91&gt;0,AOT91-AOT91*TT92/ALG91,0)+0</f>
        <v>0</v>
      </c>
      <c r="AHU92" s="20" t="n">
        <f aca="false">IF(ALH91&gt;0,AOU91-AOU91*TU92/ALH91,0)+0</f>
        <v>0</v>
      </c>
      <c r="AHV92" s="20" t="n">
        <f aca="false">IF(ALI91&gt;0,AOV91-AOV91*TV92/ALI91,0)+0</f>
        <v>0</v>
      </c>
      <c r="AHW92" s="20" t="n">
        <f aca="false">IF(ALJ91&gt;0,AOW91-AOW91*TW92/ALJ91,0)+0</f>
        <v>0</v>
      </c>
      <c r="AHX92" s="20" t="n">
        <f aca="false">IF(ALK91&gt;0,AOX91-AOX91*TX92/ALK91,0)+0</f>
        <v>0</v>
      </c>
      <c r="AHY92" s="20" t="n">
        <f aca="false">IF(ALL91&gt;0,AOY91-AOY91*TY92/ALL91,0)+0</f>
        <v>0</v>
      </c>
      <c r="AHZ92" s="20" t="n">
        <f aca="false">IF(ALM91&gt;0,AOZ91-AOZ91*TZ92/ALM91,0)+0</f>
        <v>0</v>
      </c>
      <c r="AIA92" s="20" t="n">
        <f aca="false">IF(ALN91&gt;0,APA91-APA91*UA92/ALN91,0)+0</f>
        <v>0</v>
      </c>
      <c r="AIB92" s="20" t="n">
        <f aca="false">IF(ALO91&gt;0,APB91-APB91*UB92/ALO91,0)+0</f>
        <v>0</v>
      </c>
      <c r="AIC92" s="20" t="n">
        <f aca="false">IF(ALP91&gt;0,APC91-APC91*UC92/ALP91,0)+0</f>
        <v>0</v>
      </c>
      <c r="AID92" s="20" t="n">
        <f aca="false">IF(ALQ91&gt;0,APD91-APD91*UD92/ALQ91,0)+0</f>
        <v>0</v>
      </c>
      <c r="AIE92" s="20" t="n">
        <f aca="false">IF(ALR91&gt;0,APE91-APE91*UE92/ALR91,0)+0</f>
        <v>0</v>
      </c>
      <c r="AIF92" s="20" t="n">
        <f aca="false">IF(ALS91&gt;0,APF91-APF91*UF92/ALS91,0)+0</f>
        <v>0</v>
      </c>
      <c r="AIG92" s="20" t="n">
        <f aca="false">IF(ALT91&gt;0,APG91-APG91*UG92/ALT91,0)+0</f>
        <v>0</v>
      </c>
      <c r="AIH92" s="20" t="n">
        <f aca="false">IF(ALU91&gt;0,APH91-APH91*UH92/ALU91,0)+0</f>
        <v>0</v>
      </c>
      <c r="AII92" s="20" t="n">
        <f aca="false">IF(ALV91&gt;0,API91-API91*UI92/ALV91,0)+0</f>
        <v>0</v>
      </c>
      <c r="AIJ92" s="20" t="n">
        <f aca="false">IF(ALW91&gt;0,APJ91-APJ91*UJ92/ALW91,0)+0</f>
        <v>0</v>
      </c>
      <c r="AIK92" s="20" t="n">
        <f aca="false">IF(ALX91&gt;0,APK91-APK91*UK92/ALX91,0)+0</f>
        <v>0</v>
      </c>
      <c r="AIL92" s="20" t="n">
        <f aca="false">IF(ALY91&gt;0,APL91-APL91*UL92/ALY91,0)+0</f>
        <v>0</v>
      </c>
      <c r="AIM92" s="20" t="n">
        <f aca="false">IF(ALZ91&gt;0,APM91-APM91*UM92/ALZ91,0)+0</f>
        <v>0</v>
      </c>
      <c r="AIN92" s="20" t="n">
        <f aca="false">IF(AMA91&gt;0,APN91-APN91*UN92/AMA91,0)+0</f>
        <v>0</v>
      </c>
      <c r="AIO92" s="20" t="n">
        <f aca="false">IF(AMB91&gt;0,APO91-APO91*UO92/AMB91,0)+0</f>
        <v>0</v>
      </c>
      <c r="AIP92" s="20" t="n">
        <f aca="false">IF(AMC91&gt;0,APP91-APP91*UP92/AMC91,0)+0</f>
        <v>0</v>
      </c>
      <c r="AIQ92" s="20" t="n">
        <f aca="false">IF(AMD91&gt;0,APQ91-APQ91*UQ92/AMD91,0)+0</f>
        <v>0</v>
      </c>
      <c r="AIR92" s="20" t="n">
        <f aca="false">IF(AME91&gt;0,APR91-APR91*UR92/AME91,0)+0</f>
        <v>0</v>
      </c>
      <c r="AIS92" s="20" t="n">
        <f aca="false">IF(AMF91&gt;0,APS91-APS91*US92/AMF91,0)+0</f>
        <v>0</v>
      </c>
      <c r="AIT92" s="20" t="n">
        <f aca="false">IF(AMG91&gt;0,APT91-APT91*UT92/AMG91,0)+0</f>
        <v>0</v>
      </c>
      <c r="AIU92" s="20" t="n">
        <f aca="false">IF(AMH91&gt;0,APU91-APU91*UU92/AMH91,0)+0</f>
        <v>0</v>
      </c>
      <c r="AIV92" s="20" t="n">
        <f aca="false">IF(AMI91&gt;0,APV91-APV91*UV92/AMI91,0)+0</f>
        <v>0</v>
      </c>
      <c r="AIW92" s="20" t="n">
        <f aca="false">IF(AMJ91&gt;0,APW91-APW91*UW92/AMJ91,0)+0</f>
        <v>0</v>
      </c>
      <c r="AIX92" s="20" t="n">
        <f aca="false">IF(AMK91&gt;0,APX91-APX91*UX92/AMK91,0)+0</f>
        <v>0</v>
      </c>
      <c r="AIY92" s="20" t="n">
        <f aca="false">IF(AML91&gt;0,APY91-APY91*UY92/AML91,0)+0</f>
        <v>0</v>
      </c>
      <c r="AIZ92" s="20" t="n">
        <f aca="false">IF(AMM91&gt;0,APZ91-APZ91*UZ92/AMM91,0)+0</f>
        <v>0</v>
      </c>
      <c r="AJA92" s="20" t="n">
        <f aca="false">IF(AMN91&gt;0,AQA91-AQA91*VA92/AMN91,0)+0</f>
        <v>0</v>
      </c>
      <c r="AJB92" s="20" t="n">
        <f aca="false">IF(AMO91&gt;0,AQB91-AQB91*VB92/AMO91,0)+0</f>
        <v>0</v>
      </c>
      <c r="AJC92" s="20" t="n">
        <f aca="false">IF(AMP91&gt;0,AQC91-AQC91*VC92/AMP91,0)+0</f>
        <v>0</v>
      </c>
      <c r="AJD92" s="20" t="n">
        <f aca="false">IF(AMQ91&gt;0,AQD91-AQD91*VD92/AMQ91,0)+0</f>
        <v>0</v>
      </c>
      <c r="AJE92" s="20" t="n">
        <f aca="false">IF(AMR91&gt;0,AQE91-AQE91*VE92/AMR91,0)+0</f>
        <v>0</v>
      </c>
      <c r="AJF92" s="20" t="n">
        <f aca="false">IF(AMS91&gt;0,AQF91-AQF91*VF92/AMS91,0)+0</f>
        <v>0</v>
      </c>
      <c r="AJG92" s="20" t="n">
        <f aca="false">IF(AMT91&gt;0,AQG91-AQG91*VG92/AMT91,0)+0</f>
        <v>0</v>
      </c>
      <c r="AJH92" s="20" t="n">
        <f aca="false">IF(AMU91&gt;0,AQH91-AQH91*VH92/AMU91,0)+0</f>
        <v>0</v>
      </c>
      <c r="AJI92" s="20" t="n">
        <f aca="false">IF(AMV91&gt;0,AQI91-AQI91*VI92/AMV91,0)+0</f>
        <v>0</v>
      </c>
      <c r="AJJ92" s="20" t="n">
        <f aca="false">IF(AMW91&gt;0,AQJ91-AQJ91*VJ92/AMW91,0)+0</f>
        <v>0</v>
      </c>
      <c r="AJK92" s="20" t="n">
        <f aca="false">IF(AMX91&gt;0,AQK91-AQK91*VK92/AMX91,0)+0</f>
        <v>0</v>
      </c>
      <c r="AJL92" s="20" t="n">
        <f aca="false">IF(AMY91&gt;0,AQL91-AQL91*VL92/AMY91,0)+0</f>
        <v>0</v>
      </c>
      <c r="AJM92" s="20" t="n">
        <f aca="false">IF(AMZ91&gt;0,AQM91-AQM91*VM92/AMZ91,0)+0</f>
        <v>0</v>
      </c>
      <c r="AJN92" s="20" t="n">
        <f aca="false">IF(ANA91&gt;0,AQN91-AQN91*VN92/ANA91,0)+0</f>
        <v>0</v>
      </c>
      <c r="AJO92" s="20" t="n">
        <f aca="false">IF(ANB91&gt;0,AQO91-AQO91*VO92/ANB91,0)+0</f>
        <v>0</v>
      </c>
      <c r="AJP92" s="20" t="n">
        <f aca="false">IF(ANC91&gt;0,AQP91-AQP91*VP92/ANC91,0)+0</f>
        <v>0</v>
      </c>
      <c r="AJQ92" s="20" t="n">
        <f aca="false">IF(AND91&gt;0,AQQ91-AQQ91*VQ92/AND91,0)+0</f>
        <v>0</v>
      </c>
      <c r="AJR92" s="20" t="n">
        <f aca="false">IF(ANE91&gt;0,AQR91-AQR91*VR92/ANE91,0)+0</f>
        <v>0</v>
      </c>
      <c r="AJS92" s="20" t="n">
        <f aca="false">IF(ANF91&gt;0,AQS91-AQS91*VS92/ANF91,0)+0</f>
        <v>0</v>
      </c>
      <c r="AJT92" s="20" t="n">
        <f aca="false">IF(ANG91&gt;0,AQT91-AQT91*VT92/ANG91,0)+0</f>
        <v>0</v>
      </c>
      <c r="AJU92" s="20" t="n">
        <f aca="false">IF(ANH91&gt;0,AQU91-AQU91*VU92/ANH91,0)+0</f>
        <v>0</v>
      </c>
      <c r="AJV92" s="20" t="n">
        <f aca="false">IF(ANI91&gt;0,AQV91-AQV91*VV92/ANI91,0)+0</f>
        <v>0</v>
      </c>
      <c r="AJW92" s="20" t="n">
        <f aca="false">IF(ANJ91&gt;0,AQW91-AQW91*VW92/ANJ91,0)+0</f>
        <v>0</v>
      </c>
      <c r="AJX92" s="20" t="n">
        <f aca="false">IF(ANK91&gt;0,AQX91-AQX91*VX92/ANK91,0)+0</f>
        <v>0</v>
      </c>
      <c r="AJY92" s="20" t="n">
        <f aca="false">IF(ANL91&gt;0,AQY91-AQY91*VY92/ANL91,0)+0</f>
        <v>0</v>
      </c>
      <c r="AJZ92" s="20" t="n">
        <f aca="false">IF(ANM91&gt;0,AQZ91-AQZ91*VZ92/ANM91,0)+0</f>
        <v>0</v>
      </c>
      <c r="AKA92" s="20" t="n">
        <f aca="false">IF(ANN91&gt;0,ARA91-ARA91*WA92/ANN91,0)+0</f>
        <v>0</v>
      </c>
      <c r="AKB92" s="20" t="n">
        <f aca="false">IF(ANO91&gt;0,ARB91-ARB91*WB92/ANO91,0)+0</f>
        <v>0</v>
      </c>
      <c r="AKC92" s="20" t="n">
        <f aca="false">IF(ANP91&gt;0,ARC91-ARC91*WC92/ANP91,0)+0</f>
        <v>0</v>
      </c>
      <c r="AKD92" s="20" t="n">
        <f aca="false">IF(ANQ91&gt;0,ARD91-ARD91*WD92/ANQ91,0)+0</f>
        <v>0</v>
      </c>
      <c r="AKE92" s="20" t="n">
        <f aca="false">IF(ANR91&gt;0,ARE91-ARE91*WE92/ANR91,0)+0</f>
        <v>0</v>
      </c>
      <c r="AKF92" s="20" t="n">
        <f aca="false">IF(ANS91&gt;0,ARF91-ARF91*WF92/ANS91,0)+0</f>
        <v>0</v>
      </c>
      <c r="AKG92" s="20" t="n">
        <f aca="false">IF(ANT91&gt;0,ARG91-ARG91*WG92/ANT91,0)+0</f>
        <v>0</v>
      </c>
      <c r="AKH92" s="20" t="n">
        <f aca="false">IF(ANU91&gt;0,ARH91-ARH91*WH92/ANU91,0)+0</f>
        <v>0</v>
      </c>
      <c r="AKI92" s="20" t="n">
        <f aca="false">IF(ANV91&gt;0,ARI91-ARI91*WI92/ANV91,0)+0</f>
        <v>0</v>
      </c>
      <c r="AKJ92" s="20" t="n">
        <f aca="false">IF(ANW91&gt;0,ARJ91-ARJ91*WJ92/ANW91,0)+0</f>
        <v>0</v>
      </c>
      <c r="AKK92" s="20" t="n">
        <f aca="false">IF(ANX91&gt;0,ARK91-ARK91*WK92/ANX91,0)+0</f>
        <v>0</v>
      </c>
      <c r="AKL92" s="20" t="n">
        <f aca="false">IF((P92+S92)&gt;0,(P92+S92)-(P92+S92)*WL92/(P92+S92),0)+BE92</f>
        <v>0</v>
      </c>
      <c r="AKM92" s="20" t="n">
        <v>0</v>
      </c>
      <c r="AKN92" s="20" t="n">
        <v>0</v>
      </c>
      <c r="AKO92" s="20" t="n">
        <v>0</v>
      </c>
      <c r="AKP92" s="20" t="n">
        <v>0</v>
      </c>
      <c r="AKQ92" s="20" t="n">
        <v>0</v>
      </c>
      <c r="AKR92" s="20" t="n">
        <f aca="false">ADR92-AVE92</f>
        <v>0</v>
      </c>
      <c r="AKS92" s="20" t="n">
        <f aca="false">ADS92-AVF92</f>
        <v>0</v>
      </c>
      <c r="AKT92" s="20" t="n">
        <f aca="false">ADT92-AVG92</f>
        <v>0</v>
      </c>
      <c r="AKU92" s="20" t="n">
        <f aca="false">ADU92-AVH92</f>
        <v>0</v>
      </c>
      <c r="AKV92" s="20" t="n">
        <f aca="false">ADV92-AVI92</f>
        <v>0</v>
      </c>
      <c r="AKW92" s="20" t="n">
        <f aca="false">ADW92-AVJ92</f>
        <v>0</v>
      </c>
      <c r="AKX92" s="20" t="n">
        <f aca="false">ADX92-AVK92</f>
        <v>0</v>
      </c>
      <c r="AKY92" s="20" t="n">
        <f aca="false">ADY92-AVL92</f>
        <v>0</v>
      </c>
      <c r="AKZ92" s="20" t="n">
        <f aca="false">ADZ92-AVM92</f>
        <v>0</v>
      </c>
      <c r="ALA92" s="20" t="n">
        <f aca="false">AEA92-AVN92</f>
        <v>0</v>
      </c>
      <c r="ALB92" s="20" t="n">
        <f aca="false">AEB92-AVO92</f>
        <v>0</v>
      </c>
      <c r="ALC92" s="20" t="n">
        <f aca="false">AEC92-AVP92</f>
        <v>0</v>
      </c>
      <c r="ALD92" s="20" t="n">
        <f aca="false">AED92-AVQ92</f>
        <v>0</v>
      </c>
      <c r="ALE92" s="20" t="n">
        <f aca="false">AEE92-AVR92</f>
        <v>0</v>
      </c>
      <c r="ALF92" s="20" t="n">
        <f aca="false">AEF92-AVS92</f>
        <v>0</v>
      </c>
      <c r="ALG92" s="20" t="n">
        <f aca="false">AEG92-AVT92</f>
        <v>0</v>
      </c>
      <c r="ALH92" s="20" t="n">
        <f aca="false">AEH92-AVU92</f>
        <v>0</v>
      </c>
      <c r="ALI92" s="20" t="n">
        <f aca="false">AEI92-AVV92</f>
        <v>0</v>
      </c>
      <c r="ALJ92" s="20" t="n">
        <f aca="false">AEJ92-AVW92</f>
        <v>0</v>
      </c>
      <c r="ALK92" s="20" t="n">
        <f aca="false">AEK92-AVX92</f>
        <v>0</v>
      </c>
      <c r="ALL92" s="20" t="n">
        <f aca="false">AEL92-AVY92</f>
        <v>0</v>
      </c>
      <c r="ALM92" s="20" t="n">
        <f aca="false">AEM92-AVZ92</f>
        <v>0</v>
      </c>
      <c r="ALN92" s="20" t="n">
        <f aca="false">AEN92-AWA92</f>
        <v>0</v>
      </c>
      <c r="ALO92" s="20" t="n">
        <f aca="false">AEO92-AWB92</f>
        <v>0</v>
      </c>
      <c r="ALP92" s="20" t="n">
        <f aca="false">AEP92-AWC92</f>
        <v>0</v>
      </c>
      <c r="ALQ92" s="20" t="n">
        <f aca="false">AEQ92-AWD92</f>
        <v>0</v>
      </c>
      <c r="ALR92" s="20" t="n">
        <f aca="false">AER92-AWE92</f>
        <v>0</v>
      </c>
      <c r="ALS92" s="20" t="n">
        <f aca="false">AES92-AWF92</f>
        <v>0</v>
      </c>
      <c r="ALT92" s="20" t="n">
        <f aca="false">AET92-AWG92</f>
        <v>0</v>
      </c>
      <c r="ALU92" s="20" t="n">
        <f aca="false">AEU92-AWH92</f>
        <v>0</v>
      </c>
      <c r="ALV92" s="20" t="n">
        <f aca="false">AEV92-AWI92</f>
        <v>0</v>
      </c>
      <c r="ALW92" s="20" t="n">
        <f aca="false">AEW92-AWJ92</f>
        <v>0</v>
      </c>
      <c r="ALX92" s="20" t="n">
        <f aca="false">AEX92-AWK92</f>
        <v>0</v>
      </c>
      <c r="ALY92" s="20" t="n">
        <f aca="false">AEY92-AWL92</f>
        <v>0</v>
      </c>
      <c r="ALZ92" s="20" t="n">
        <f aca="false">AEZ92-AWM92</f>
        <v>0</v>
      </c>
      <c r="AMA92" s="20" t="n">
        <f aca="false">AFA92-AWN92</f>
        <v>0</v>
      </c>
      <c r="AMB92" s="20" t="n">
        <f aca="false">AFB92-AWO92</f>
        <v>0</v>
      </c>
      <c r="AMC92" s="20" t="n">
        <f aca="false">AFC92-AWP92</f>
        <v>0</v>
      </c>
      <c r="AMD92" s="20" t="n">
        <f aca="false">AFD92-AWQ92</f>
        <v>0</v>
      </c>
      <c r="AME92" s="20" t="n">
        <f aca="false">AFE92-AWR92</f>
        <v>0</v>
      </c>
      <c r="AMF92" s="20" t="n">
        <f aca="false">AFF92-AWS92</f>
        <v>0</v>
      </c>
      <c r="AMG92" s="20" t="n">
        <f aca="false">AFG92-AWT92</f>
        <v>0</v>
      </c>
      <c r="AMH92" s="20" t="n">
        <f aca="false">AFH92-AWU92</f>
        <v>0</v>
      </c>
      <c r="AMI92" s="20" t="n">
        <f aca="false">AFI92-AWV92</f>
        <v>0</v>
      </c>
      <c r="AMJ92" s="20" t="n">
        <f aca="false">AFJ92-AWW92</f>
        <v>0</v>
      </c>
      <c r="AMK92" s="20" t="n">
        <f aca="false">AFK92-AWX92</f>
        <v>0</v>
      </c>
      <c r="AML92" s="20" t="n">
        <f aca="false">AFL92-AWY92</f>
        <v>0</v>
      </c>
      <c r="AMM92" s="20" t="n">
        <f aca="false">AFM92-AWZ92</f>
        <v>0</v>
      </c>
      <c r="AMN92" s="20" t="n">
        <f aca="false">AFN92-AXA92</f>
        <v>0</v>
      </c>
      <c r="AMO92" s="20" t="n">
        <f aca="false">AFO92-AXB92</f>
        <v>0</v>
      </c>
      <c r="AMP92" s="20" t="n">
        <f aca="false">AFP92-AXC92</f>
        <v>0</v>
      </c>
      <c r="AMQ92" s="20" t="n">
        <f aca="false">AFQ92-AXD92</f>
        <v>0</v>
      </c>
      <c r="AMR92" s="20" t="n">
        <f aca="false">AFR92-AXE92</f>
        <v>0</v>
      </c>
      <c r="AMS92" s="20" t="n">
        <f aca="false">AFS92-AXF92</f>
        <v>0</v>
      </c>
      <c r="AMT92" s="20" t="n">
        <f aca="false">AFT92-AXG92</f>
        <v>0</v>
      </c>
      <c r="AMU92" s="20" t="n">
        <f aca="false">AFU92-AXH92</f>
        <v>0</v>
      </c>
      <c r="AMV92" s="20" t="n">
        <f aca="false">AFV92-AXI92</f>
        <v>0</v>
      </c>
      <c r="AMW92" s="20" t="n">
        <f aca="false">AFW92-AXJ92</f>
        <v>0</v>
      </c>
      <c r="AMX92" s="20" t="n">
        <f aca="false">AFX92-AXK92</f>
        <v>0</v>
      </c>
      <c r="AMY92" s="20" t="n">
        <f aca="false">AFY92-AXL92</f>
        <v>0</v>
      </c>
      <c r="AMZ92" s="20" t="n">
        <f aca="false">AFZ92-AXM92</f>
        <v>0</v>
      </c>
      <c r="ANA92" s="20" t="n">
        <f aca="false">AGA92-AXN92</f>
        <v>0</v>
      </c>
      <c r="ANB92" s="20" t="n">
        <f aca="false">AGB92-AXO92</f>
        <v>0</v>
      </c>
      <c r="ANC92" s="20" t="n">
        <f aca="false">AGC92-AXP92</f>
        <v>0</v>
      </c>
      <c r="AND92" s="20" t="n">
        <f aca="false">AGD92-AXQ92</f>
        <v>0</v>
      </c>
      <c r="ANE92" s="20" t="n">
        <f aca="false">AGE92-AXR92</f>
        <v>0</v>
      </c>
      <c r="ANF92" s="20" t="n">
        <f aca="false">AGF92-AXS92</f>
        <v>0</v>
      </c>
      <c r="ANG92" s="20" t="n">
        <f aca="false">AGG92-AXT92</f>
        <v>0</v>
      </c>
      <c r="ANH92" s="20" t="n">
        <f aca="false">AGH92-AXU92</f>
        <v>0</v>
      </c>
      <c r="ANI92" s="20" t="n">
        <f aca="false">AGI92-AXV92</f>
        <v>0</v>
      </c>
      <c r="ANJ92" s="20" t="n">
        <f aca="false">AGJ92-AXW92</f>
        <v>0</v>
      </c>
      <c r="ANK92" s="20" t="n">
        <f aca="false">AGK92-AXX92</f>
        <v>0</v>
      </c>
      <c r="ANL92" s="20" t="n">
        <f aca="false">AGL92-AXY92</f>
        <v>0</v>
      </c>
      <c r="ANM92" s="20" t="n">
        <f aca="false">AGM92-AXZ92</f>
        <v>0</v>
      </c>
      <c r="ANN92" s="20" t="n">
        <f aca="false">AGN92-AYA92</f>
        <v>0</v>
      </c>
      <c r="ANO92" s="20" t="n">
        <f aca="false">AGO92-AYB92</f>
        <v>0</v>
      </c>
      <c r="ANP92" s="20" t="n">
        <f aca="false">AGP92-AYC92</f>
        <v>0</v>
      </c>
      <c r="ANQ92" s="20" t="n">
        <f aca="false">AGQ92-AYD92</f>
        <v>0</v>
      </c>
      <c r="ANR92" s="20" t="n">
        <f aca="false">AGR92-AYE92</f>
        <v>0</v>
      </c>
      <c r="ANS92" s="20" t="n">
        <f aca="false">AGS92-AYF92</f>
        <v>0</v>
      </c>
      <c r="ANT92" s="20" t="n">
        <f aca="false">AGT92-AYG92</f>
        <v>0</v>
      </c>
      <c r="ANU92" s="20" t="n">
        <f aca="false">AGU92-AYH92</f>
        <v>0</v>
      </c>
      <c r="ANV92" s="20" t="n">
        <f aca="false">AGV92-AYI92</f>
        <v>0</v>
      </c>
      <c r="ANW92" s="20" t="n">
        <f aca="false">AGW92-AYJ92</f>
        <v>0</v>
      </c>
      <c r="ANX92" s="20" t="n">
        <f aca="false">AGX92-AYK92</f>
        <v>0</v>
      </c>
      <c r="ANY92" s="20" t="n">
        <f aca="false">AGY92-AYL92</f>
        <v>0</v>
      </c>
      <c r="ANZ92" s="20" t="n">
        <v>0</v>
      </c>
      <c r="AOA92" s="20" t="n">
        <v>0</v>
      </c>
      <c r="AOB92" s="20" t="n">
        <v>0</v>
      </c>
      <c r="AOC92" s="20" t="n">
        <v>0</v>
      </c>
      <c r="AOD92" s="20" t="n">
        <v>0</v>
      </c>
      <c r="AOE92" s="20" t="n">
        <f aca="false">IF(AND(H_Direct=0,H_TaxEvt=1,ARR91+1&gt;=H_Deemed),AKR92,AHE92)</f>
        <v>0</v>
      </c>
      <c r="AOF92" s="20" t="n">
        <f aca="false">IF(AND(H_Direct=0,H_TaxEvt=1,ARS91+1&gt;=H_Deemed),AKS92,AHF92)</f>
        <v>0</v>
      </c>
      <c r="AOG92" s="20" t="n">
        <f aca="false">IF(AND(H_Direct=0,H_TaxEvt=1,ART91+1&gt;=H_Deemed),AKT92,AHG92)</f>
        <v>0</v>
      </c>
      <c r="AOH92" s="20" t="n">
        <f aca="false">IF(AND(H_Direct=0,H_TaxEvt=1,ARU91+1&gt;=H_Deemed),AKU92,AHH92)</f>
        <v>0</v>
      </c>
      <c r="AOI92" s="20" t="n">
        <f aca="false">IF(AND(H_Direct=0,H_TaxEvt=1,ARV91+1&gt;=H_Deemed),AKV92,AHI92)</f>
        <v>0</v>
      </c>
      <c r="AOJ92" s="20" t="n">
        <f aca="false">IF(AND(H_Direct=0,H_TaxEvt=1,ARW91+1&gt;=H_Deemed),AKW92,AHJ92)</f>
        <v>0</v>
      </c>
      <c r="AOK92" s="20" t="n">
        <f aca="false">IF(AND(H_Direct=0,H_TaxEvt=1,ARX91+1&gt;=H_Deemed),AKX92,AHK92)</f>
        <v>0</v>
      </c>
      <c r="AOL92" s="20" t="n">
        <f aca="false">IF(AND(H_Direct=0,H_TaxEvt=1,ARY91+1&gt;=H_Deemed),AKY92,AHL92)</f>
        <v>0</v>
      </c>
      <c r="AOM92" s="20" t="n">
        <f aca="false">IF(AND(H_Direct=0,H_TaxEvt=1,ARZ91+1&gt;=H_Deemed),AKZ92,AHM92)</f>
        <v>0</v>
      </c>
      <c r="AON92" s="20" t="n">
        <f aca="false">IF(AND(H_Direct=0,H_TaxEvt=1,ASA91+1&gt;=H_Deemed),ALA92,AHN92)</f>
        <v>0</v>
      </c>
      <c r="AOO92" s="20" t="n">
        <f aca="false">IF(AND(H_Direct=0,H_TaxEvt=1,ASB91+1&gt;=H_Deemed),ALB92,AHO92)</f>
        <v>0</v>
      </c>
      <c r="AOP92" s="20" t="n">
        <f aca="false">IF(AND(H_Direct=0,H_TaxEvt=1,ASC91+1&gt;=H_Deemed),ALC92,AHP92)</f>
        <v>0</v>
      </c>
      <c r="AOQ92" s="20" t="n">
        <f aca="false">IF(AND(H_Direct=0,H_TaxEvt=1,ASD91+1&gt;=H_Deemed),ALD92,AHQ92)</f>
        <v>0</v>
      </c>
      <c r="AOR92" s="20" t="n">
        <f aca="false">IF(AND(H_Direct=0,H_TaxEvt=1,ASE91+1&gt;=H_Deemed),ALE92,AHR92)</f>
        <v>0</v>
      </c>
      <c r="AOS92" s="20" t="n">
        <f aca="false">IF(AND(H_Direct=0,H_TaxEvt=1,ASF91+1&gt;=H_Deemed),ALF92,AHS92)</f>
        <v>0</v>
      </c>
      <c r="AOT92" s="20" t="n">
        <f aca="false">IF(AND(H_Direct=0,H_TaxEvt=1,ASG91+1&gt;=H_Deemed),ALG92,AHT92)</f>
        <v>0</v>
      </c>
      <c r="AOU92" s="20" t="n">
        <f aca="false">IF(AND(H_Direct=0,H_TaxEvt=1,ASH91+1&gt;=H_Deemed),ALH92,AHU92)</f>
        <v>0</v>
      </c>
      <c r="AOV92" s="20" t="n">
        <f aca="false">IF(AND(H_Direct=0,H_TaxEvt=1,ASI91+1&gt;=H_Deemed),ALI92,AHV92)</f>
        <v>0</v>
      </c>
      <c r="AOW92" s="20" t="n">
        <f aca="false">IF(AND(H_Direct=0,H_TaxEvt=1,ASJ91+1&gt;=H_Deemed),ALJ92,AHW92)</f>
        <v>0</v>
      </c>
      <c r="AOX92" s="20" t="n">
        <f aca="false">IF(AND(H_Direct=0,H_TaxEvt=1,ASK91+1&gt;=H_Deemed),ALK92,AHX92)</f>
        <v>0</v>
      </c>
      <c r="AOY92" s="20" t="n">
        <f aca="false">IF(AND(H_Direct=0,H_TaxEvt=1,ASL91+1&gt;=H_Deemed),ALL92,AHY92)</f>
        <v>0</v>
      </c>
      <c r="AOZ92" s="20" t="n">
        <f aca="false">IF(AND(H_Direct=0,H_TaxEvt=1,ASM91+1&gt;=H_Deemed),ALM92,AHZ92)</f>
        <v>0</v>
      </c>
      <c r="APA92" s="20" t="n">
        <f aca="false">IF(AND(H_Direct=0,H_TaxEvt=1,ASN91+1&gt;=H_Deemed),ALN92,AIA92)</f>
        <v>0</v>
      </c>
      <c r="APB92" s="20" t="n">
        <f aca="false">IF(AND(H_Direct=0,H_TaxEvt=1,ASO91+1&gt;=H_Deemed),ALO92,AIB92)</f>
        <v>0</v>
      </c>
      <c r="APC92" s="20" t="n">
        <f aca="false">IF(AND(H_Direct=0,H_TaxEvt=1,ASP91+1&gt;=H_Deemed),ALP92,AIC92)</f>
        <v>0</v>
      </c>
      <c r="APD92" s="20" t="n">
        <f aca="false">IF(AND(H_Direct=0,H_TaxEvt=1,ASQ91+1&gt;=H_Deemed),ALQ92,AID92)</f>
        <v>0</v>
      </c>
      <c r="APE92" s="20" t="n">
        <f aca="false">IF(AND(H_Direct=0,H_TaxEvt=1,ASR91+1&gt;=H_Deemed),ALR92,AIE92)</f>
        <v>0</v>
      </c>
      <c r="APF92" s="20" t="n">
        <f aca="false">IF(AND(H_Direct=0,H_TaxEvt=1,ASS91+1&gt;=H_Deemed),ALS92,AIF92)</f>
        <v>0</v>
      </c>
      <c r="APG92" s="20" t="n">
        <f aca="false">IF(AND(H_Direct=0,H_TaxEvt=1,AST91+1&gt;=H_Deemed),ALT92,AIG92)</f>
        <v>0</v>
      </c>
      <c r="APH92" s="20" t="n">
        <f aca="false">IF(AND(H_Direct=0,H_TaxEvt=1,ASU91+1&gt;=H_Deemed),ALU92,AIH92)</f>
        <v>0</v>
      </c>
      <c r="API92" s="20" t="n">
        <f aca="false">IF(AND(H_Direct=0,H_TaxEvt=1,ASV91+1&gt;=H_Deemed),ALV92,AII92)</f>
        <v>0</v>
      </c>
      <c r="APJ92" s="20" t="n">
        <f aca="false">IF(AND(H_Direct=0,H_TaxEvt=1,ASW91+1&gt;=H_Deemed),ALW92,AIJ92)</f>
        <v>0</v>
      </c>
      <c r="APK92" s="20" t="n">
        <f aca="false">IF(AND(H_Direct=0,H_TaxEvt=1,ASX91+1&gt;=H_Deemed),ALX92,AIK92)</f>
        <v>0</v>
      </c>
      <c r="APL92" s="20" t="n">
        <f aca="false">IF(AND(H_Direct=0,H_TaxEvt=1,ASY91+1&gt;=H_Deemed),ALY92,AIL92)</f>
        <v>0</v>
      </c>
      <c r="APM92" s="20" t="n">
        <f aca="false">IF(AND(H_Direct=0,H_TaxEvt=1,ASZ91+1&gt;=H_Deemed),ALZ92,AIM92)</f>
        <v>0</v>
      </c>
      <c r="APN92" s="20" t="n">
        <f aca="false">IF(AND(H_Direct=0,H_TaxEvt=1,ATA91+1&gt;=H_Deemed),AMA92,AIN92)</f>
        <v>0</v>
      </c>
      <c r="APO92" s="20" t="n">
        <f aca="false">IF(AND(H_Direct=0,H_TaxEvt=1,ATB91+1&gt;=H_Deemed),AMB92,AIO92)</f>
        <v>0</v>
      </c>
      <c r="APP92" s="20" t="n">
        <f aca="false">IF(AND(H_Direct=0,H_TaxEvt=1,ATC91+1&gt;=H_Deemed),AMC92,AIP92)</f>
        <v>0</v>
      </c>
      <c r="APQ92" s="20" t="n">
        <f aca="false">IF(AND(H_Direct=0,H_TaxEvt=1,ATD91+1&gt;=H_Deemed),AMD92,AIQ92)</f>
        <v>0</v>
      </c>
      <c r="APR92" s="20" t="n">
        <f aca="false">IF(AND(H_Direct=0,H_TaxEvt=1,ATE91+1&gt;=H_Deemed),AME92,AIR92)</f>
        <v>0</v>
      </c>
      <c r="APS92" s="20" t="n">
        <f aca="false">IF(AND(H_Direct=0,H_TaxEvt=1,ATF91+1&gt;=H_Deemed),AMF92,AIS92)</f>
        <v>0</v>
      </c>
      <c r="APT92" s="20" t="n">
        <f aca="false">IF(AND(H_Direct=0,H_TaxEvt=1,ATG91+1&gt;=H_Deemed),AMG92,AIT92)</f>
        <v>0</v>
      </c>
      <c r="APU92" s="20" t="n">
        <f aca="false">IF(AND(H_Direct=0,H_TaxEvt=1,ATH91+1&gt;=H_Deemed),AMH92,AIU92)</f>
        <v>0</v>
      </c>
      <c r="APV92" s="20" t="n">
        <f aca="false">IF(AND(H_Direct=0,H_TaxEvt=1,ATI91+1&gt;=H_Deemed),AMI92,AIV92)</f>
        <v>0</v>
      </c>
      <c r="APW92" s="20" t="n">
        <f aca="false">IF(AND(H_Direct=0,H_TaxEvt=1,ATJ91+1&gt;=H_Deemed),AMJ92,AIW92)</f>
        <v>0</v>
      </c>
      <c r="APX92" s="20" t="n">
        <f aca="false">IF(AND(H_Direct=0,H_TaxEvt=1,ATK91+1&gt;=H_Deemed),AMK92,AIX92)</f>
        <v>0</v>
      </c>
      <c r="APY92" s="20" t="n">
        <f aca="false">IF(AND(H_Direct=0,H_TaxEvt=1,ATL91+1&gt;=H_Deemed),AML92,AIY92)</f>
        <v>0</v>
      </c>
      <c r="APZ92" s="20" t="n">
        <f aca="false">IF(AND(H_Direct=0,H_TaxEvt=1,ATM91+1&gt;=H_Deemed),AMM92,AIZ92)</f>
        <v>0</v>
      </c>
      <c r="AQA92" s="20" t="n">
        <f aca="false">IF(AND(H_Direct=0,H_TaxEvt=1,ATN91+1&gt;=H_Deemed),AMN92,AJA92)</f>
        <v>0</v>
      </c>
      <c r="AQB92" s="20" t="n">
        <f aca="false">IF(AND(H_Direct=0,H_TaxEvt=1,ATO91+1&gt;=H_Deemed),AMO92,AJB92)</f>
        <v>0</v>
      </c>
      <c r="AQC92" s="20" t="n">
        <f aca="false">IF(AND(H_Direct=0,H_TaxEvt=1,ATP91+1&gt;=H_Deemed),AMP92,AJC92)</f>
        <v>0</v>
      </c>
      <c r="AQD92" s="20" t="n">
        <f aca="false">IF(AND(H_Direct=0,H_TaxEvt=1,ATQ91+1&gt;=H_Deemed),AMQ92,AJD92)</f>
        <v>0</v>
      </c>
      <c r="AQE92" s="20" t="n">
        <f aca="false">IF(AND(H_Direct=0,H_TaxEvt=1,ATR91+1&gt;=H_Deemed),AMR92,AJE92)</f>
        <v>0</v>
      </c>
      <c r="AQF92" s="20" t="n">
        <f aca="false">IF(AND(H_Direct=0,H_TaxEvt=1,ATS91+1&gt;=H_Deemed),AMS92,AJF92)</f>
        <v>0</v>
      </c>
      <c r="AQG92" s="20" t="n">
        <f aca="false">IF(AND(H_Direct=0,H_TaxEvt=1,ATT91+1&gt;=H_Deemed),AMT92,AJG92)</f>
        <v>0</v>
      </c>
      <c r="AQH92" s="20" t="n">
        <f aca="false">IF(AND(H_Direct=0,H_TaxEvt=1,ATU91+1&gt;=H_Deemed),AMU92,AJH92)</f>
        <v>0</v>
      </c>
      <c r="AQI92" s="20" t="n">
        <f aca="false">IF(AND(H_Direct=0,H_TaxEvt=1,ATV91+1&gt;=H_Deemed),AMV92,AJI92)</f>
        <v>0</v>
      </c>
      <c r="AQJ92" s="20" t="n">
        <f aca="false">IF(AND(H_Direct=0,H_TaxEvt=1,ATW91+1&gt;=H_Deemed),AMW92,AJJ92)</f>
        <v>0</v>
      </c>
      <c r="AQK92" s="20" t="n">
        <f aca="false">IF(AND(H_Direct=0,H_TaxEvt=1,ATX91+1&gt;=H_Deemed),AMX92,AJK92)</f>
        <v>0</v>
      </c>
      <c r="AQL92" s="20" t="n">
        <f aca="false">IF(AND(H_Direct=0,H_TaxEvt=1,ATY91+1&gt;=H_Deemed),AMY92,AJL92)</f>
        <v>0</v>
      </c>
      <c r="AQM92" s="20" t="n">
        <f aca="false">IF(AND(H_Direct=0,H_TaxEvt=1,ATZ91+1&gt;=H_Deemed),AMZ92,AJM92)</f>
        <v>0</v>
      </c>
      <c r="AQN92" s="20" t="n">
        <f aca="false">IF(AND(H_Direct=0,H_TaxEvt=1,AUA91+1&gt;=H_Deemed),ANA92,AJN92)</f>
        <v>0</v>
      </c>
      <c r="AQO92" s="20" t="n">
        <f aca="false">IF(AND(H_Direct=0,H_TaxEvt=1,AUB91+1&gt;=H_Deemed),ANB92,AJO92)</f>
        <v>0</v>
      </c>
      <c r="AQP92" s="20" t="n">
        <f aca="false">IF(AND(H_Direct=0,H_TaxEvt=1,AUC91+1&gt;=H_Deemed),ANC92,AJP92)</f>
        <v>0</v>
      </c>
      <c r="AQQ92" s="20" t="n">
        <f aca="false">IF(AND(H_Direct=0,H_TaxEvt=1,AUD91+1&gt;=H_Deemed),AND92,AJQ92)</f>
        <v>0</v>
      </c>
      <c r="AQR92" s="20" t="n">
        <f aca="false">IF(AND(H_Direct=0,H_TaxEvt=1,AUE91+1&gt;=H_Deemed),ANE92,AJR92)</f>
        <v>0</v>
      </c>
      <c r="AQS92" s="20" t="n">
        <f aca="false">IF(AND(H_Direct=0,H_TaxEvt=1,AUF91+1&gt;=H_Deemed),ANF92,AJS92)</f>
        <v>0</v>
      </c>
      <c r="AQT92" s="20" t="n">
        <f aca="false">IF(AND(H_Direct=0,H_TaxEvt=1,AUG91+1&gt;=H_Deemed),ANG92,AJT92)</f>
        <v>0</v>
      </c>
      <c r="AQU92" s="20" t="n">
        <f aca="false">IF(AND(H_Direct=0,H_TaxEvt=1,AUH91+1&gt;=H_Deemed),ANH92,AJU92)</f>
        <v>0</v>
      </c>
      <c r="AQV92" s="20" t="n">
        <f aca="false">IF(AND(H_Direct=0,H_TaxEvt=1,AUI91+1&gt;=H_Deemed),ANI92,AJV92)</f>
        <v>0</v>
      </c>
      <c r="AQW92" s="20" t="n">
        <f aca="false">IF(AND(H_Direct=0,H_TaxEvt=1,AUJ91+1&gt;=H_Deemed),ANJ92,AJW92)</f>
        <v>0</v>
      </c>
      <c r="AQX92" s="20" t="n">
        <f aca="false">IF(AND(H_Direct=0,H_TaxEvt=1,AUK91+1&gt;=H_Deemed),ANK92,AJX92)</f>
        <v>0</v>
      </c>
      <c r="AQY92" s="20" t="n">
        <f aca="false">IF(AND(H_Direct=0,H_TaxEvt=1,AUL91+1&gt;=H_Deemed),ANL92,AJY92)</f>
        <v>0</v>
      </c>
      <c r="AQZ92" s="20" t="n">
        <f aca="false">IF(AND(H_Direct=0,H_TaxEvt=1,AUM91+1&gt;=H_Deemed),ANM92,AJZ92)</f>
        <v>0</v>
      </c>
      <c r="ARA92" s="20" t="n">
        <f aca="false">IF(AND(H_Direct=0,H_TaxEvt=1,AUN91+1&gt;=H_Deemed),ANN92,AKA92)</f>
        <v>0</v>
      </c>
      <c r="ARB92" s="20" t="n">
        <f aca="false">IF(AND(H_Direct=0,H_TaxEvt=1,AUO91+1&gt;=H_Deemed),ANO92,AKB92)</f>
        <v>0</v>
      </c>
      <c r="ARC92" s="20" t="n">
        <f aca="false">IF(AND(H_Direct=0,H_TaxEvt=1,AUP91+1&gt;=H_Deemed),ANP92,AKC92)</f>
        <v>0</v>
      </c>
      <c r="ARD92" s="20" t="n">
        <f aca="false">IF(AND(H_Direct=0,H_TaxEvt=1,AUQ91+1&gt;=H_Deemed),ANQ92,AKD92)</f>
        <v>0</v>
      </c>
      <c r="ARE92" s="20" t="n">
        <f aca="false">IF(AND(H_Direct=0,H_TaxEvt=1,AUR91+1&gt;=H_Deemed),ANR92,AKE92)</f>
        <v>0</v>
      </c>
      <c r="ARF92" s="20" t="n">
        <f aca="false">IF(AND(H_Direct=0,H_TaxEvt=1,AUS91+1&gt;=H_Deemed),ANS92,AKF92)</f>
        <v>0</v>
      </c>
      <c r="ARG92" s="20" t="n">
        <f aca="false">IF(AND(H_Direct=0,H_TaxEvt=1,AUT91+1&gt;=H_Deemed),ANT92,AKG92)</f>
        <v>0</v>
      </c>
      <c r="ARH92" s="20" t="n">
        <f aca="false">IF(AND(H_Direct=0,H_TaxEvt=1,AUU91+1&gt;=H_Deemed),ANU92,AKH92)</f>
        <v>0</v>
      </c>
      <c r="ARI92" s="20" t="n">
        <f aca="false">IF(AND(H_Direct=0,H_TaxEvt=1,AUV91+1&gt;=H_Deemed),ANV92,AKI92)</f>
        <v>0</v>
      </c>
      <c r="ARJ92" s="20" t="n">
        <f aca="false">IF(AND(H_Direct=0,H_TaxEvt=1,AUW91+1&gt;=H_Deemed),ANW92,AKJ92)</f>
        <v>0</v>
      </c>
      <c r="ARK92" s="20" t="n">
        <f aca="false">IF(AND(H_Direct=0,H_TaxEvt=1,AUX91+1&gt;=H_Deemed),ANX92,AKK92)</f>
        <v>0</v>
      </c>
      <c r="ARL92" s="20" t="n">
        <f aca="false">IF(AND(H_Direct=0,H_TaxEvt=1,0+1&gt;=H_Deemed),ANY92,AKL92)</f>
        <v>0</v>
      </c>
      <c r="ARM92" s="20" t="n">
        <v>0</v>
      </c>
      <c r="ARN92" s="20" t="n">
        <v>0</v>
      </c>
      <c r="ARO92" s="20" t="n">
        <v>0</v>
      </c>
      <c r="ARP92" s="20" t="n">
        <v>0</v>
      </c>
      <c r="ARQ92" s="20" t="n">
        <v>0</v>
      </c>
      <c r="ARR92" s="20" t="n">
        <f aca="false">IF(AND(H_Direct=0,H_TaxEvt=1),IF(ARR91+1&gt;=H_Deemed,0,ARR91+1),ARR91)</f>
        <v>5</v>
      </c>
      <c r="ARS92" s="20" t="n">
        <f aca="false">IF(AND(H_Direct=0,H_TaxEvt=1),IF(ARS91+1&gt;=H_Deemed,0,ARS91+1),ARS91)</f>
        <v>5</v>
      </c>
      <c r="ART92" s="20" t="n">
        <f aca="false">IF(AND(H_Direct=0,H_TaxEvt=1),IF(ART91+1&gt;=H_Deemed,0,ART91+1),ART91)</f>
        <v>4</v>
      </c>
      <c r="ARU92" s="20" t="n">
        <f aca="false">IF(AND(H_Direct=0,H_TaxEvt=1),IF(ARU91+1&gt;=H_Deemed,0,ARU91+1),ARU91)</f>
        <v>3</v>
      </c>
      <c r="ARV92" s="20" t="n">
        <f aca="false">IF(AND(H_Direct=0,H_TaxEvt=1),IF(ARV91+1&gt;=H_Deemed,0,ARV91+1),ARV91)</f>
        <v>2</v>
      </c>
      <c r="ARW92" s="20" t="n">
        <f aca="false">IF(AND(H_Direct=0,H_TaxEvt=1),IF(ARW91+1&gt;=H_Deemed,0,ARW91+1),ARW91)</f>
        <v>1</v>
      </c>
      <c r="ARX92" s="20" t="n">
        <f aca="false">IF(AND(H_Direct=0,H_TaxEvt=1),IF(ARX91+1&gt;=H_Deemed,0,ARX91+1),ARX91)</f>
        <v>0</v>
      </c>
      <c r="ARY92" s="20" t="n">
        <f aca="false">IF(AND(H_Direct=0,H_TaxEvt=1),IF(ARY91+1&gt;=H_Deemed,0,ARY91+1),ARY91)</f>
        <v>7</v>
      </c>
      <c r="ARZ92" s="20" t="n">
        <f aca="false">IF(AND(H_Direct=0,H_TaxEvt=1),IF(ARZ91+1&gt;=H_Deemed,0,ARZ91+1),ARZ91)</f>
        <v>6</v>
      </c>
      <c r="ASA92" s="20" t="n">
        <f aca="false">IF(AND(H_Direct=0,H_TaxEvt=1),IF(ASA91+1&gt;=H_Deemed,0,ASA91+1),ASA91)</f>
        <v>5</v>
      </c>
      <c r="ASB92" s="20" t="n">
        <f aca="false">IF(AND(H_Direct=0,H_TaxEvt=1),IF(ASB91+1&gt;=H_Deemed,0,ASB91+1),ASB91)</f>
        <v>4</v>
      </c>
      <c r="ASC92" s="20" t="n">
        <f aca="false">IF(AND(H_Direct=0,H_TaxEvt=1),IF(ASC91+1&gt;=H_Deemed,0,ASC91+1),ASC91)</f>
        <v>3</v>
      </c>
      <c r="ASD92" s="20" t="n">
        <f aca="false">IF(AND(H_Direct=0,H_TaxEvt=1),IF(ASD91+1&gt;=H_Deemed,0,ASD91+1),ASD91)</f>
        <v>2</v>
      </c>
      <c r="ASE92" s="20" t="n">
        <f aca="false">IF(AND(H_Direct=0,H_TaxEvt=1),IF(ASE91+1&gt;=H_Deemed,0,ASE91+1),ASE91)</f>
        <v>1</v>
      </c>
      <c r="ASF92" s="20" t="n">
        <f aca="false">IF(AND(H_Direct=0,H_TaxEvt=1),IF(ASF91+1&gt;=H_Deemed,0,ASF91+1),ASF91)</f>
        <v>0</v>
      </c>
      <c r="ASG92" s="20" t="n">
        <f aca="false">IF(AND(H_Direct=0,H_TaxEvt=1),IF(ASG91+1&gt;=H_Deemed,0,ASG91+1),ASG91)</f>
        <v>7</v>
      </c>
      <c r="ASH92" s="20" t="n">
        <f aca="false">IF(AND(H_Direct=0,H_TaxEvt=1),IF(ASH91+1&gt;=H_Deemed,0,ASH91+1),ASH91)</f>
        <v>6</v>
      </c>
      <c r="ASI92" s="20" t="n">
        <f aca="false">IF(AND(H_Direct=0,H_TaxEvt=1),IF(ASI91+1&gt;=H_Deemed,0,ASI91+1),ASI91)</f>
        <v>5</v>
      </c>
      <c r="ASJ92" s="20" t="n">
        <f aca="false">IF(AND(H_Direct=0,H_TaxEvt=1),IF(ASJ91+1&gt;=H_Deemed,0,ASJ91+1),ASJ91)</f>
        <v>4</v>
      </c>
      <c r="ASK92" s="20" t="n">
        <f aca="false">IF(AND(H_Direct=0,H_TaxEvt=1),IF(ASK91+1&gt;=H_Deemed,0,ASK91+1),ASK91)</f>
        <v>3</v>
      </c>
      <c r="ASL92" s="20" t="n">
        <f aca="false">IF(AND(H_Direct=0,H_TaxEvt=1),IF(ASL91+1&gt;=H_Deemed,0,ASL91+1),ASL91)</f>
        <v>2</v>
      </c>
      <c r="ASM92" s="20" t="n">
        <f aca="false">IF(AND(H_Direct=0,H_TaxEvt=1),IF(ASM91+1&gt;=H_Deemed,0,ASM91+1),ASM91)</f>
        <v>1</v>
      </c>
      <c r="ASN92" s="20" t="n">
        <f aca="false">IF(AND(H_Direct=0,H_TaxEvt=1),IF(ASN91+1&gt;=H_Deemed,0,ASN91+1),ASN91)</f>
        <v>0</v>
      </c>
      <c r="ASO92" s="20" t="n">
        <f aca="false">IF(AND(H_Direct=0,H_TaxEvt=1),IF(ASO91+1&gt;=H_Deemed,0,ASO91+1),ASO91)</f>
        <v>7</v>
      </c>
      <c r="ASP92" s="20" t="n">
        <f aca="false">IF(AND(H_Direct=0,H_TaxEvt=1),IF(ASP91+1&gt;=H_Deemed,0,ASP91+1),ASP91)</f>
        <v>6</v>
      </c>
      <c r="ASQ92" s="20" t="n">
        <f aca="false">IF(AND(H_Direct=0,H_TaxEvt=1),IF(ASQ91+1&gt;=H_Deemed,0,ASQ91+1),ASQ91)</f>
        <v>5</v>
      </c>
      <c r="ASR92" s="20" t="n">
        <f aca="false">IF(AND(H_Direct=0,H_TaxEvt=1),IF(ASR91+1&gt;=H_Deemed,0,ASR91+1),ASR91)</f>
        <v>4</v>
      </c>
      <c r="ASS92" s="20" t="n">
        <f aca="false">IF(AND(H_Direct=0,H_TaxEvt=1),IF(ASS91+1&gt;=H_Deemed,0,ASS91+1),ASS91)</f>
        <v>3</v>
      </c>
      <c r="AST92" s="20" t="n">
        <f aca="false">IF(AND(H_Direct=0,H_TaxEvt=1),IF(AST91+1&gt;=H_Deemed,0,AST91+1),AST91)</f>
        <v>2</v>
      </c>
      <c r="ASU92" s="20" t="n">
        <f aca="false">IF(AND(H_Direct=0,H_TaxEvt=1),IF(ASU91+1&gt;=H_Deemed,0,ASU91+1),ASU91)</f>
        <v>1</v>
      </c>
      <c r="ASV92" s="20" t="n">
        <f aca="false">IF(AND(H_Direct=0,H_TaxEvt=1),IF(ASV91+1&gt;=H_Deemed,0,ASV91+1),ASV91)</f>
        <v>0</v>
      </c>
      <c r="ASW92" s="20" t="n">
        <f aca="false">IF(AND(H_Direct=0,H_TaxEvt=1),IF(ASW91+1&gt;=H_Deemed,0,ASW91+1),ASW91)</f>
        <v>7</v>
      </c>
      <c r="ASX92" s="20" t="n">
        <f aca="false">IF(AND(H_Direct=0,H_TaxEvt=1),IF(ASX91+1&gt;=H_Deemed,0,ASX91+1),ASX91)</f>
        <v>6</v>
      </c>
      <c r="ASY92" s="20" t="n">
        <f aca="false">IF(AND(H_Direct=0,H_TaxEvt=1),IF(ASY91+1&gt;=H_Deemed,0,ASY91+1),ASY91)</f>
        <v>5</v>
      </c>
      <c r="ASZ92" s="20" t="n">
        <f aca="false">IF(AND(H_Direct=0,H_TaxEvt=1),IF(ASZ91+1&gt;=H_Deemed,0,ASZ91+1),ASZ91)</f>
        <v>4</v>
      </c>
      <c r="ATA92" s="20" t="n">
        <f aca="false">IF(AND(H_Direct=0,H_TaxEvt=1),IF(ATA91+1&gt;=H_Deemed,0,ATA91+1),ATA91)</f>
        <v>3</v>
      </c>
      <c r="ATB92" s="20" t="n">
        <f aca="false">IF(AND(H_Direct=0,H_TaxEvt=1),IF(ATB91+1&gt;=H_Deemed,0,ATB91+1),ATB91)</f>
        <v>2</v>
      </c>
      <c r="ATC92" s="20" t="n">
        <f aca="false">IF(AND(H_Direct=0,H_TaxEvt=1),IF(ATC91+1&gt;=H_Deemed,0,ATC91+1),ATC91)</f>
        <v>1</v>
      </c>
      <c r="ATD92" s="20" t="n">
        <f aca="false">IF(AND(H_Direct=0,H_TaxEvt=1),IF(ATD91+1&gt;=H_Deemed,0,ATD91+1),ATD91)</f>
        <v>0</v>
      </c>
      <c r="ATE92" s="20" t="n">
        <f aca="false">IF(AND(H_Direct=0,H_TaxEvt=1),IF(ATE91+1&gt;=H_Deemed,0,ATE91+1),ATE91)</f>
        <v>7</v>
      </c>
      <c r="ATF92" s="20" t="n">
        <f aca="false">IF(AND(H_Direct=0,H_TaxEvt=1),IF(ATF91+1&gt;=H_Deemed,0,ATF91+1),ATF91)</f>
        <v>6</v>
      </c>
      <c r="ATG92" s="20" t="n">
        <f aca="false">IF(AND(H_Direct=0,H_TaxEvt=1),IF(ATG91+1&gt;=H_Deemed,0,ATG91+1),ATG91)</f>
        <v>5</v>
      </c>
      <c r="ATH92" s="20" t="n">
        <f aca="false">IF(AND(H_Direct=0,H_TaxEvt=1),IF(ATH91+1&gt;=H_Deemed,0,ATH91+1),ATH91)</f>
        <v>4</v>
      </c>
      <c r="ATI92" s="20" t="n">
        <f aca="false">IF(AND(H_Direct=0,H_TaxEvt=1),IF(ATI91+1&gt;=H_Deemed,0,ATI91+1),ATI91)</f>
        <v>3</v>
      </c>
      <c r="ATJ92" s="20" t="n">
        <f aca="false">IF(AND(H_Direct=0,H_TaxEvt=1),IF(ATJ91+1&gt;=H_Deemed,0,ATJ91+1),ATJ91)</f>
        <v>2</v>
      </c>
      <c r="ATK92" s="20" t="n">
        <f aca="false">IF(AND(H_Direct=0,H_TaxEvt=1),IF(ATK91+1&gt;=H_Deemed,0,ATK91+1),ATK91)</f>
        <v>1</v>
      </c>
      <c r="ATL92" s="20" t="n">
        <f aca="false">IF(AND(H_Direct=0,H_TaxEvt=1),IF(ATL91+1&gt;=H_Deemed,0,ATL91+1),ATL91)</f>
        <v>0</v>
      </c>
      <c r="ATM92" s="20" t="n">
        <f aca="false">IF(AND(H_Direct=0,H_TaxEvt=1),IF(ATM91+1&gt;=H_Deemed,0,ATM91+1),ATM91)</f>
        <v>7</v>
      </c>
      <c r="ATN92" s="20" t="n">
        <f aca="false">IF(AND(H_Direct=0,H_TaxEvt=1),IF(ATN91+1&gt;=H_Deemed,0,ATN91+1),ATN91)</f>
        <v>6</v>
      </c>
      <c r="ATO92" s="20" t="n">
        <f aca="false">IF(AND(H_Direct=0,H_TaxEvt=1),IF(ATO91+1&gt;=H_Deemed,0,ATO91+1),ATO91)</f>
        <v>5</v>
      </c>
      <c r="ATP92" s="20" t="n">
        <f aca="false">IF(AND(H_Direct=0,H_TaxEvt=1),IF(ATP91+1&gt;=H_Deemed,0,ATP91+1),ATP91)</f>
        <v>4</v>
      </c>
      <c r="ATQ92" s="20" t="n">
        <f aca="false">IF(AND(H_Direct=0,H_TaxEvt=1),IF(ATQ91+1&gt;=H_Deemed,0,ATQ91+1),ATQ91)</f>
        <v>3</v>
      </c>
      <c r="ATR92" s="20" t="n">
        <f aca="false">IF(AND(H_Direct=0,H_TaxEvt=1),IF(ATR91+1&gt;=H_Deemed,0,ATR91+1),ATR91)</f>
        <v>2</v>
      </c>
      <c r="ATS92" s="20" t="n">
        <f aca="false">IF(AND(H_Direct=0,H_TaxEvt=1),IF(ATS91+1&gt;=H_Deemed,0,ATS91+1),ATS91)</f>
        <v>1</v>
      </c>
      <c r="ATT92" s="20" t="n">
        <f aca="false">IF(AND(H_Direct=0,H_TaxEvt=1),IF(ATT91+1&gt;=H_Deemed,0,ATT91+1),ATT91)</f>
        <v>0</v>
      </c>
      <c r="ATU92" s="20" t="n">
        <f aca="false">IF(AND(H_Direct=0,H_TaxEvt=1),IF(ATU91+1&gt;=H_Deemed,0,ATU91+1),ATU91)</f>
        <v>7</v>
      </c>
      <c r="ATV92" s="20" t="n">
        <f aca="false">IF(AND(H_Direct=0,H_TaxEvt=1),IF(ATV91+1&gt;=H_Deemed,0,ATV91+1),ATV91)</f>
        <v>6</v>
      </c>
      <c r="ATW92" s="20" t="n">
        <f aca="false">IF(AND(H_Direct=0,H_TaxEvt=1),IF(ATW91+1&gt;=H_Deemed,0,ATW91+1),ATW91)</f>
        <v>5</v>
      </c>
      <c r="ATX92" s="20" t="n">
        <f aca="false">IF(AND(H_Direct=0,H_TaxEvt=1),IF(ATX91+1&gt;=H_Deemed,0,ATX91+1),ATX91)</f>
        <v>4</v>
      </c>
      <c r="ATY92" s="20" t="n">
        <f aca="false">IF(AND(H_Direct=0,H_TaxEvt=1),IF(ATY91+1&gt;=H_Deemed,0,ATY91+1),ATY91)</f>
        <v>3</v>
      </c>
      <c r="ATZ92" s="20" t="n">
        <f aca="false">IF(AND(H_Direct=0,H_TaxEvt=1),IF(ATZ91+1&gt;=H_Deemed,0,ATZ91+1),ATZ91)</f>
        <v>2</v>
      </c>
      <c r="AUA92" s="20" t="n">
        <f aca="false">IF(AND(H_Direct=0,H_TaxEvt=1),IF(AUA91+1&gt;=H_Deemed,0,AUA91+1),AUA91)</f>
        <v>1</v>
      </c>
      <c r="AUB92" s="20" t="n">
        <f aca="false">IF(AND(H_Direct=0,H_TaxEvt=1),IF(AUB91+1&gt;=H_Deemed,0,AUB91+1),AUB91)</f>
        <v>0</v>
      </c>
      <c r="AUC92" s="20" t="n">
        <f aca="false">IF(AND(H_Direct=0,H_TaxEvt=1),IF(AUC91+1&gt;=H_Deemed,0,AUC91+1),AUC91)</f>
        <v>7</v>
      </c>
      <c r="AUD92" s="20" t="n">
        <f aca="false">IF(AND(H_Direct=0,H_TaxEvt=1),IF(AUD91+1&gt;=H_Deemed,0,AUD91+1),AUD91)</f>
        <v>6</v>
      </c>
      <c r="AUE92" s="20" t="n">
        <f aca="false">IF(AND(H_Direct=0,H_TaxEvt=1),IF(AUE91+1&gt;=H_Deemed,0,AUE91+1),AUE91)</f>
        <v>5</v>
      </c>
      <c r="AUF92" s="20" t="n">
        <f aca="false">IF(AND(H_Direct=0,H_TaxEvt=1),IF(AUF91+1&gt;=H_Deemed,0,AUF91+1),AUF91)</f>
        <v>4</v>
      </c>
      <c r="AUG92" s="20" t="n">
        <f aca="false">IF(AND(H_Direct=0,H_TaxEvt=1),IF(AUG91+1&gt;=H_Deemed,0,AUG91+1),AUG91)</f>
        <v>3</v>
      </c>
      <c r="AUH92" s="20" t="n">
        <f aca="false">IF(AND(H_Direct=0,H_TaxEvt=1),IF(AUH91+1&gt;=H_Deemed,0,AUH91+1),AUH91)</f>
        <v>2</v>
      </c>
      <c r="AUI92" s="20" t="n">
        <f aca="false">IF(AND(H_Direct=0,H_TaxEvt=1),IF(AUI91+1&gt;=H_Deemed,0,AUI91+1),AUI91)</f>
        <v>1</v>
      </c>
      <c r="AUJ92" s="20" t="n">
        <f aca="false">IF(AND(H_Direct=0,H_TaxEvt=1),IF(AUJ91+1&gt;=H_Deemed,0,AUJ91+1),AUJ91)</f>
        <v>0</v>
      </c>
      <c r="AUK92" s="20" t="n">
        <f aca="false">IF(AND(H_Direct=0,H_TaxEvt=1),IF(AUK91+1&gt;=H_Deemed,0,AUK91+1),AUK91)</f>
        <v>7</v>
      </c>
      <c r="AUL92" s="20" t="n">
        <f aca="false">IF(AND(H_Direct=0,H_TaxEvt=1),IF(AUL91+1&gt;=H_Deemed,0,AUL91+1),AUL91)</f>
        <v>6</v>
      </c>
      <c r="AUM92" s="20" t="n">
        <f aca="false">IF(AND(H_Direct=0,H_TaxEvt=1),IF(AUM91+1&gt;=H_Deemed,0,AUM91+1),AUM91)</f>
        <v>5</v>
      </c>
      <c r="AUN92" s="20" t="n">
        <f aca="false">IF(AND(H_Direct=0,H_TaxEvt=1),IF(AUN91+1&gt;=H_Deemed,0,AUN91+1),AUN91)</f>
        <v>4</v>
      </c>
      <c r="AUO92" s="20" t="n">
        <f aca="false">IF(AND(H_Direct=0,H_TaxEvt=1),IF(AUO91+1&gt;=H_Deemed,0,AUO91+1),AUO91)</f>
        <v>3</v>
      </c>
      <c r="AUP92" s="20" t="n">
        <f aca="false">IF(AND(H_Direct=0,H_TaxEvt=1),IF(AUP91+1&gt;=H_Deemed,0,AUP91+1),AUP91)</f>
        <v>2</v>
      </c>
      <c r="AUQ92" s="20" t="n">
        <f aca="false">IF(AND(H_Direct=0,H_TaxEvt=1),IF(AUQ91+1&gt;=H_Deemed,0,AUQ91+1),AUQ91)</f>
        <v>1</v>
      </c>
      <c r="AUR92" s="20" t="n">
        <f aca="false">IF(AND(H_Direct=0,H_TaxEvt=1),IF(AUR91+1&gt;=H_Deemed,0,AUR91+1),AUR91)</f>
        <v>0</v>
      </c>
      <c r="AUS92" s="20" t="n">
        <f aca="false">IF(AND(H_Direct=0,H_TaxEvt=1),IF(AUS91+1&gt;=H_Deemed,0,AUS91+1),AUS91)</f>
        <v>7</v>
      </c>
      <c r="AUT92" s="20" t="n">
        <f aca="false">IF(AND(H_Direct=0,H_TaxEvt=1),IF(AUT91+1&gt;=H_Deemed,0,AUT91+1),AUT91)</f>
        <v>6</v>
      </c>
      <c r="AUU92" s="20" t="n">
        <f aca="false">IF(AND(H_Direct=0,H_TaxEvt=1),IF(AUU91+1&gt;=H_Deemed,0,AUU91+1),AUU91)</f>
        <v>5</v>
      </c>
      <c r="AUV92" s="20" t="n">
        <f aca="false">IF(AND(H_Direct=0,H_TaxEvt=1),IF(AUV91+1&gt;=H_Deemed,0,AUV91+1),AUV91)</f>
        <v>4</v>
      </c>
      <c r="AUW92" s="20" t="n">
        <f aca="false">IF(AND(H_Direct=0,H_TaxEvt=1),IF(AUW91+1&gt;=H_Deemed,0,AUW91+1),AUW91)</f>
        <v>3</v>
      </c>
      <c r="AUX92" s="20" t="n">
        <f aca="false">IF(AND(H_Direct=0,H_TaxEvt=1),IF(AUX91+1&gt;=H_Deemed,0,AUX91+1),AUX91)</f>
        <v>2</v>
      </c>
      <c r="AUY92" s="20" t="n">
        <f aca="false">IF(AND(H_Direct=0,H_TaxEvt=1),IF(0+1&gt;=H_Deemed,0,0+1),0)</f>
        <v>1</v>
      </c>
      <c r="AUZ92" s="20" t="n">
        <v>0</v>
      </c>
      <c r="AVA92" s="20" t="n">
        <v>0</v>
      </c>
      <c r="AVB92" s="20" t="n">
        <v>0</v>
      </c>
      <c r="AVC92" s="20" t="n">
        <v>0</v>
      </c>
      <c r="AVD92" s="20" t="n">
        <v>0</v>
      </c>
      <c r="AVE92" s="20" t="n">
        <f aca="false">IF(AND(H_Direct=0,H_TaxEvt=1,ARR91+1&gt;=H_Deemed),MAX(0,ADR92-AHE92)*H_Exit,0)</f>
        <v>0</v>
      </c>
      <c r="AVF92" s="20" t="n">
        <f aca="false">IF(AND(H_Direct=0,H_TaxEvt=1,ARS91+1&gt;=H_Deemed),MAX(0,ADS92-AHF92)*H_Exit,0)</f>
        <v>0</v>
      </c>
      <c r="AVG92" s="20" t="n">
        <f aca="false">IF(AND(H_Direct=0,H_TaxEvt=1,ART91+1&gt;=H_Deemed),MAX(0,ADT92-AHG92)*H_Exit,0)</f>
        <v>0</v>
      </c>
      <c r="AVH92" s="20" t="n">
        <f aca="false">IF(AND(H_Direct=0,H_TaxEvt=1,ARU91+1&gt;=H_Deemed),MAX(0,ADU92-AHH92)*H_Exit,0)</f>
        <v>0</v>
      </c>
      <c r="AVI92" s="20" t="n">
        <f aca="false">IF(AND(H_Direct=0,H_TaxEvt=1,ARV91+1&gt;=H_Deemed),MAX(0,ADV92-AHI92)*H_Exit,0)</f>
        <v>0</v>
      </c>
      <c r="AVJ92" s="20" t="n">
        <f aca="false">IF(AND(H_Direct=0,H_TaxEvt=1,ARW91+1&gt;=H_Deemed),MAX(0,ADW92-AHJ92)*H_Exit,0)</f>
        <v>0</v>
      </c>
      <c r="AVK92" s="20" t="n">
        <f aca="false">IF(AND(H_Direct=0,H_TaxEvt=1,ARX91+1&gt;=H_Deemed),MAX(0,ADX92-AHK92)*H_Exit,0)</f>
        <v>0</v>
      </c>
      <c r="AVL92" s="20" t="n">
        <f aca="false">IF(AND(H_Direct=0,H_TaxEvt=1,ARY91+1&gt;=H_Deemed),MAX(0,ADY92-AHL92)*H_Exit,0)</f>
        <v>0</v>
      </c>
      <c r="AVM92" s="20" t="n">
        <f aca="false">IF(AND(H_Direct=0,H_TaxEvt=1,ARZ91+1&gt;=H_Deemed),MAX(0,ADZ92-AHM92)*H_Exit,0)</f>
        <v>0</v>
      </c>
      <c r="AVN92" s="20" t="n">
        <f aca="false">IF(AND(H_Direct=0,H_TaxEvt=1,ASA91+1&gt;=H_Deemed),MAX(0,AEA92-AHN92)*H_Exit,0)</f>
        <v>0</v>
      </c>
      <c r="AVO92" s="20" t="n">
        <f aca="false">IF(AND(H_Direct=0,H_TaxEvt=1,ASB91+1&gt;=H_Deemed),MAX(0,AEB92-AHO92)*H_Exit,0)</f>
        <v>0</v>
      </c>
      <c r="AVP92" s="20" t="n">
        <f aca="false">IF(AND(H_Direct=0,H_TaxEvt=1,ASC91+1&gt;=H_Deemed),MAX(0,AEC92-AHP92)*H_Exit,0)</f>
        <v>0</v>
      </c>
      <c r="AVQ92" s="20" t="n">
        <f aca="false">IF(AND(H_Direct=0,H_TaxEvt=1,ASD91+1&gt;=H_Deemed),MAX(0,AED92-AHQ92)*H_Exit,0)</f>
        <v>0</v>
      </c>
      <c r="AVR92" s="20" t="n">
        <f aca="false">IF(AND(H_Direct=0,H_TaxEvt=1,ASE91+1&gt;=H_Deemed),MAX(0,AEE92-AHR92)*H_Exit,0)</f>
        <v>0</v>
      </c>
      <c r="AVS92" s="20" t="n">
        <f aca="false">IF(AND(H_Direct=0,H_TaxEvt=1,ASF91+1&gt;=H_Deemed),MAX(0,AEF92-AHS92)*H_Exit,0)</f>
        <v>0</v>
      </c>
      <c r="AVT92" s="20" t="n">
        <f aca="false">IF(AND(H_Direct=0,H_TaxEvt=1,ASG91+1&gt;=H_Deemed),MAX(0,AEG92-AHT92)*H_Exit,0)</f>
        <v>0</v>
      </c>
      <c r="AVU92" s="20" t="n">
        <f aca="false">IF(AND(H_Direct=0,H_TaxEvt=1,ASH91+1&gt;=H_Deemed),MAX(0,AEH92-AHU92)*H_Exit,0)</f>
        <v>0</v>
      </c>
      <c r="AVV92" s="20" t="n">
        <f aca="false">IF(AND(H_Direct=0,H_TaxEvt=1,ASI91+1&gt;=H_Deemed),MAX(0,AEI92-AHV92)*H_Exit,0)</f>
        <v>0</v>
      </c>
      <c r="AVW92" s="20" t="n">
        <f aca="false">IF(AND(H_Direct=0,H_TaxEvt=1,ASJ91+1&gt;=H_Deemed),MAX(0,AEJ92-AHW92)*H_Exit,0)</f>
        <v>0</v>
      </c>
      <c r="AVX92" s="20" t="n">
        <f aca="false">IF(AND(H_Direct=0,H_TaxEvt=1,ASK91+1&gt;=H_Deemed),MAX(0,AEK92-AHX92)*H_Exit,0)</f>
        <v>0</v>
      </c>
      <c r="AVY92" s="20" t="n">
        <f aca="false">IF(AND(H_Direct=0,H_TaxEvt=1,ASL91+1&gt;=H_Deemed),MAX(0,AEL92-AHY92)*H_Exit,0)</f>
        <v>0</v>
      </c>
      <c r="AVZ92" s="20" t="n">
        <f aca="false">IF(AND(H_Direct=0,H_TaxEvt=1,ASM91+1&gt;=H_Deemed),MAX(0,AEM92-AHZ92)*H_Exit,0)</f>
        <v>0</v>
      </c>
      <c r="AWA92" s="20" t="n">
        <f aca="false">IF(AND(H_Direct=0,H_TaxEvt=1,ASN91+1&gt;=H_Deemed),MAX(0,AEN92-AIA92)*H_Exit,0)</f>
        <v>0</v>
      </c>
      <c r="AWB92" s="20" t="n">
        <f aca="false">IF(AND(H_Direct=0,H_TaxEvt=1,ASO91+1&gt;=H_Deemed),MAX(0,AEO92-AIB92)*H_Exit,0)</f>
        <v>0</v>
      </c>
      <c r="AWC92" s="20" t="n">
        <f aca="false">IF(AND(H_Direct=0,H_TaxEvt=1,ASP91+1&gt;=H_Deemed),MAX(0,AEP92-AIC92)*H_Exit,0)</f>
        <v>0</v>
      </c>
      <c r="AWD92" s="20" t="n">
        <f aca="false">IF(AND(H_Direct=0,H_TaxEvt=1,ASQ91+1&gt;=H_Deemed),MAX(0,AEQ92-AID92)*H_Exit,0)</f>
        <v>0</v>
      </c>
      <c r="AWE92" s="20" t="n">
        <f aca="false">IF(AND(H_Direct=0,H_TaxEvt=1,ASR91+1&gt;=H_Deemed),MAX(0,AER92-AIE92)*H_Exit,0)</f>
        <v>0</v>
      </c>
      <c r="AWF92" s="20" t="n">
        <f aca="false">IF(AND(H_Direct=0,H_TaxEvt=1,ASS91+1&gt;=H_Deemed),MAX(0,AES92-AIF92)*H_Exit,0)</f>
        <v>0</v>
      </c>
      <c r="AWG92" s="20" t="n">
        <f aca="false">IF(AND(H_Direct=0,H_TaxEvt=1,AST91+1&gt;=H_Deemed),MAX(0,AET92-AIG92)*H_Exit,0)</f>
        <v>0</v>
      </c>
      <c r="AWH92" s="20" t="n">
        <f aca="false">IF(AND(H_Direct=0,H_TaxEvt=1,ASU91+1&gt;=H_Deemed),MAX(0,AEU92-AIH92)*H_Exit,0)</f>
        <v>0</v>
      </c>
      <c r="AWI92" s="20" t="n">
        <f aca="false">IF(AND(H_Direct=0,H_TaxEvt=1,ASV91+1&gt;=H_Deemed),MAX(0,AEV92-AII92)*H_Exit,0)</f>
        <v>0</v>
      </c>
      <c r="AWJ92" s="20" t="n">
        <f aca="false">IF(AND(H_Direct=0,H_TaxEvt=1,ASW91+1&gt;=H_Deemed),MAX(0,AEW92-AIJ92)*H_Exit,0)</f>
        <v>0</v>
      </c>
      <c r="AWK92" s="20" t="n">
        <f aca="false">IF(AND(H_Direct=0,H_TaxEvt=1,ASX91+1&gt;=H_Deemed),MAX(0,AEX92-AIK92)*H_Exit,0)</f>
        <v>0</v>
      </c>
      <c r="AWL92" s="20" t="n">
        <f aca="false">IF(AND(H_Direct=0,H_TaxEvt=1,ASY91+1&gt;=H_Deemed),MAX(0,AEY92-AIL92)*H_Exit,0)</f>
        <v>0</v>
      </c>
      <c r="AWM92" s="20" t="n">
        <f aca="false">IF(AND(H_Direct=0,H_TaxEvt=1,ASZ91+1&gt;=H_Deemed),MAX(0,AEZ92-AIM92)*H_Exit,0)</f>
        <v>0</v>
      </c>
      <c r="AWN92" s="20" t="n">
        <f aca="false">IF(AND(H_Direct=0,H_TaxEvt=1,ATA91+1&gt;=H_Deemed),MAX(0,AFA92-AIN92)*H_Exit,0)</f>
        <v>0</v>
      </c>
      <c r="AWO92" s="20" t="n">
        <f aca="false">IF(AND(H_Direct=0,H_TaxEvt=1,ATB91+1&gt;=H_Deemed),MAX(0,AFB92-AIO92)*H_Exit,0)</f>
        <v>0</v>
      </c>
      <c r="AWP92" s="20" t="n">
        <f aca="false">IF(AND(H_Direct=0,H_TaxEvt=1,ATC91+1&gt;=H_Deemed),MAX(0,AFC92-AIP92)*H_Exit,0)</f>
        <v>0</v>
      </c>
      <c r="AWQ92" s="20" t="n">
        <f aca="false">IF(AND(H_Direct=0,H_TaxEvt=1,ATD91+1&gt;=H_Deemed),MAX(0,AFD92-AIQ92)*H_Exit,0)</f>
        <v>0</v>
      </c>
      <c r="AWR92" s="20" t="n">
        <f aca="false">IF(AND(H_Direct=0,H_TaxEvt=1,ATE91+1&gt;=H_Deemed),MAX(0,AFE92-AIR92)*H_Exit,0)</f>
        <v>0</v>
      </c>
      <c r="AWS92" s="20" t="n">
        <f aca="false">IF(AND(H_Direct=0,H_TaxEvt=1,ATF91+1&gt;=H_Deemed),MAX(0,AFF92-AIS92)*H_Exit,0)</f>
        <v>0</v>
      </c>
      <c r="AWT92" s="20" t="n">
        <f aca="false">IF(AND(H_Direct=0,H_TaxEvt=1,ATG91+1&gt;=H_Deemed),MAX(0,AFG92-AIT92)*H_Exit,0)</f>
        <v>0</v>
      </c>
      <c r="AWU92" s="20" t="n">
        <f aca="false">IF(AND(H_Direct=0,H_TaxEvt=1,ATH91+1&gt;=H_Deemed),MAX(0,AFH92-AIU92)*H_Exit,0)</f>
        <v>0</v>
      </c>
      <c r="AWV92" s="20" t="n">
        <f aca="false">IF(AND(H_Direct=0,H_TaxEvt=1,ATI91+1&gt;=H_Deemed),MAX(0,AFI92-AIV92)*H_Exit,0)</f>
        <v>0</v>
      </c>
      <c r="AWW92" s="20" t="n">
        <f aca="false">IF(AND(H_Direct=0,H_TaxEvt=1,ATJ91+1&gt;=H_Deemed),MAX(0,AFJ92-AIW92)*H_Exit,0)</f>
        <v>0</v>
      </c>
      <c r="AWX92" s="20" t="n">
        <f aca="false">IF(AND(H_Direct=0,H_TaxEvt=1,ATK91+1&gt;=H_Deemed),MAX(0,AFK92-AIX92)*H_Exit,0)</f>
        <v>0</v>
      </c>
      <c r="AWY92" s="20" t="n">
        <f aca="false">IF(AND(H_Direct=0,H_TaxEvt=1,ATL91+1&gt;=H_Deemed),MAX(0,AFL92-AIY92)*H_Exit,0)</f>
        <v>0</v>
      </c>
      <c r="AWZ92" s="20" t="n">
        <f aca="false">IF(AND(H_Direct=0,H_TaxEvt=1,ATM91+1&gt;=H_Deemed),MAX(0,AFM92-AIZ92)*H_Exit,0)</f>
        <v>0</v>
      </c>
      <c r="AXA92" s="20" t="n">
        <f aca="false">IF(AND(H_Direct=0,H_TaxEvt=1,ATN91+1&gt;=H_Deemed),MAX(0,AFN92-AJA92)*H_Exit,0)</f>
        <v>0</v>
      </c>
      <c r="AXB92" s="20" t="n">
        <f aca="false">IF(AND(H_Direct=0,H_TaxEvt=1,ATO91+1&gt;=H_Deemed),MAX(0,AFO92-AJB92)*H_Exit,0)</f>
        <v>0</v>
      </c>
      <c r="AXC92" s="20" t="n">
        <f aca="false">IF(AND(H_Direct=0,H_TaxEvt=1,ATP91+1&gt;=H_Deemed),MAX(0,AFP92-AJC92)*H_Exit,0)</f>
        <v>0</v>
      </c>
      <c r="AXD92" s="20" t="n">
        <f aca="false">IF(AND(H_Direct=0,H_TaxEvt=1,ATQ91+1&gt;=H_Deemed),MAX(0,AFQ92-AJD92)*H_Exit,0)</f>
        <v>0</v>
      </c>
      <c r="AXE92" s="20" t="n">
        <f aca="false">IF(AND(H_Direct=0,H_TaxEvt=1,ATR91+1&gt;=H_Deemed),MAX(0,AFR92-AJE92)*H_Exit,0)</f>
        <v>0</v>
      </c>
      <c r="AXF92" s="20" t="n">
        <f aca="false">IF(AND(H_Direct=0,H_TaxEvt=1,ATS91+1&gt;=H_Deemed),MAX(0,AFS92-AJF92)*H_Exit,0)</f>
        <v>0</v>
      </c>
      <c r="AXG92" s="20" t="n">
        <f aca="false">IF(AND(H_Direct=0,H_TaxEvt=1,ATT91+1&gt;=H_Deemed),MAX(0,AFT92-AJG92)*H_Exit,0)</f>
        <v>0</v>
      </c>
      <c r="AXH92" s="20" t="n">
        <f aca="false">IF(AND(H_Direct=0,H_TaxEvt=1,ATU91+1&gt;=H_Deemed),MAX(0,AFU92-AJH92)*H_Exit,0)</f>
        <v>0</v>
      </c>
      <c r="AXI92" s="20" t="n">
        <f aca="false">IF(AND(H_Direct=0,H_TaxEvt=1,ATV91+1&gt;=H_Deemed),MAX(0,AFV92-AJI92)*H_Exit,0)</f>
        <v>0</v>
      </c>
      <c r="AXJ92" s="20" t="n">
        <f aca="false">IF(AND(H_Direct=0,H_TaxEvt=1,ATW91+1&gt;=H_Deemed),MAX(0,AFW92-AJJ92)*H_Exit,0)</f>
        <v>0</v>
      </c>
      <c r="AXK92" s="20" t="n">
        <f aca="false">IF(AND(H_Direct=0,H_TaxEvt=1,ATX91+1&gt;=H_Deemed),MAX(0,AFX92-AJK92)*H_Exit,0)</f>
        <v>0</v>
      </c>
      <c r="AXL92" s="20" t="n">
        <f aca="false">IF(AND(H_Direct=0,H_TaxEvt=1,ATY91+1&gt;=H_Deemed),MAX(0,AFY92-AJL92)*H_Exit,0)</f>
        <v>0</v>
      </c>
      <c r="AXM92" s="20" t="n">
        <f aca="false">IF(AND(H_Direct=0,H_TaxEvt=1,ATZ91+1&gt;=H_Deemed),MAX(0,AFZ92-AJM92)*H_Exit,0)</f>
        <v>0</v>
      </c>
      <c r="AXN92" s="20" t="n">
        <f aca="false">IF(AND(H_Direct=0,H_TaxEvt=1,AUA91+1&gt;=H_Deemed),MAX(0,AGA92-AJN92)*H_Exit,0)</f>
        <v>0</v>
      </c>
      <c r="AXO92" s="20" t="n">
        <f aca="false">IF(AND(H_Direct=0,H_TaxEvt=1,AUB91+1&gt;=H_Deemed),MAX(0,AGB92-AJO92)*H_Exit,0)</f>
        <v>0</v>
      </c>
      <c r="AXP92" s="20" t="n">
        <f aca="false">IF(AND(H_Direct=0,H_TaxEvt=1,AUC91+1&gt;=H_Deemed),MAX(0,AGC92-AJP92)*H_Exit,0)</f>
        <v>0</v>
      </c>
      <c r="AXQ92" s="20" t="n">
        <f aca="false">IF(AND(H_Direct=0,H_TaxEvt=1,AUD91+1&gt;=H_Deemed),MAX(0,AGD92-AJQ92)*H_Exit,0)</f>
        <v>0</v>
      </c>
      <c r="AXR92" s="20" t="n">
        <f aca="false">IF(AND(H_Direct=0,H_TaxEvt=1,AUE91+1&gt;=H_Deemed),MAX(0,AGE92-AJR92)*H_Exit,0)</f>
        <v>0</v>
      </c>
      <c r="AXS92" s="20" t="n">
        <f aca="false">IF(AND(H_Direct=0,H_TaxEvt=1,AUF91+1&gt;=H_Deemed),MAX(0,AGF92-AJS92)*H_Exit,0)</f>
        <v>0</v>
      </c>
      <c r="AXT92" s="20" t="n">
        <f aca="false">IF(AND(H_Direct=0,H_TaxEvt=1,AUG91+1&gt;=H_Deemed),MAX(0,AGG92-AJT92)*H_Exit,0)</f>
        <v>0</v>
      </c>
      <c r="AXU92" s="20" t="n">
        <f aca="false">IF(AND(H_Direct=0,H_TaxEvt=1,AUH91+1&gt;=H_Deemed),MAX(0,AGH92-AJU92)*H_Exit,0)</f>
        <v>0</v>
      </c>
      <c r="AXV92" s="20" t="n">
        <f aca="false">IF(AND(H_Direct=0,H_TaxEvt=1,AUI91+1&gt;=H_Deemed),MAX(0,AGI92-AJV92)*H_Exit,0)</f>
        <v>0</v>
      </c>
      <c r="AXW92" s="20" t="n">
        <f aca="false">IF(AND(H_Direct=0,H_TaxEvt=1,AUJ91+1&gt;=H_Deemed),MAX(0,AGJ92-AJW92)*H_Exit,0)</f>
        <v>0</v>
      </c>
      <c r="AXX92" s="20" t="n">
        <f aca="false">IF(AND(H_Direct=0,H_TaxEvt=1,AUK91+1&gt;=H_Deemed),MAX(0,AGK92-AJX92)*H_Exit,0)</f>
        <v>0</v>
      </c>
      <c r="AXY92" s="20" t="n">
        <f aca="false">IF(AND(H_Direct=0,H_TaxEvt=1,AUL91+1&gt;=H_Deemed),MAX(0,AGL92-AJY92)*H_Exit,0)</f>
        <v>0</v>
      </c>
      <c r="AXZ92" s="20" t="n">
        <f aca="false">IF(AND(H_Direct=0,H_TaxEvt=1,AUM91+1&gt;=H_Deemed),MAX(0,AGM92-AJZ92)*H_Exit,0)</f>
        <v>0</v>
      </c>
      <c r="AYA92" s="20" t="n">
        <f aca="false">IF(AND(H_Direct=0,H_TaxEvt=1,AUN91+1&gt;=H_Deemed),MAX(0,AGN92-AKA92)*H_Exit,0)</f>
        <v>0</v>
      </c>
      <c r="AYB92" s="20" t="n">
        <f aca="false">IF(AND(H_Direct=0,H_TaxEvt=1,AUO91+1&gt;=H_Deemed),MAX(0,AGO92-AKB92)*H_Exit,0)</f>
        <v>0</v>
      </c>
      <c r="AYC92" s="20" t="n">
        <f aca="false">IF(AND(H_Direct=0,H_TaxEvt=1,AUP91+1&gt;=H_Deemed),MAX(0,AGP92-AKC92)*H_Exit,0)</f>
        <v>0</v>
      </c>
      <c r="AYD92" s="20" t="n">
        <f aca="false">IF(AND(H_Direct=0,H_TaxEvt=1,AUQ91+1&gt;=H_Deemed),MAX(0,AGQ92-AKD92)*H_Exit,0)</f>
        <v>0</v>
      </c>
      <c r="AYE92" s="20" t="n">
        <f aca="false">IF(AND(H_Direct=0,H_TaxEvt=1,AUR91+1&gt;=H_Deemed),MAX(0,AGR92-AKE92)*H_Exit,0)</f>
        <v>0</v>
      </c>
      <c r="AYF92" s="20" t="n">
        <f aca="false">IF(AND(H_Direct=0,H_TaxEvt=1,AUS91+1&gt;=H_Deemed),MAX(0,AGS92-AKF92)*H_Exit,0)</f>
        <v>0</v>
      </c>
      <c r="AYG92" s="20" t="n">
        <f aca="false">IF(AND(H_Direct=0,H_TaxEvt=1,AUT91+1&gt;=H_Deemed),MAX(0,AGT92-AKG92)*H_Exit,0)</f>
        <v>0</v>
      </c>
      <c r="AYH92" s="20" t="n">
        <f aca="false">IF(AND(H_Direct=0,H_TaxEvt=1,AUU91+1&gt;=H_Deemed),MAX(0,AGU92-AKH92)*H_Exit,0)</f>
        <v>0</v>
      </c>
      <c r="AYI92" s="20" t="n">
        <f aca="false">IF(AND(H_Direct=0,H_TaxEvt=1,AUV91+1&gt;=H_Deemed),MAX(0,AGV92-AKI92)*H_Exit,0)</f>
        <v>0</v>
      </c>
      <c r="AYJ92" s="20" t="n">
        <f aca="false">IF(AND(H_Direct=0,H_TaxEvt=1,AUW91+1&gt;=H_Deemed),MAX(0,AGW92-AKJ92)*H_Exit,0)</f>
        <v>0</v>
      </c>
      <c r="AYK92" s="20" t="n">
        <f aca="false">IF(AND(H_Direct=0,H_TaxEvt=1,AUX91+1&gt;=H_Deemed),MAX(0,AGX92-AKK92)*H_Exit,0)</f>
        <v>0</v>
      </c>
      <c r="AYL92" s="20" t="n">
        <f aca="false">IF(AND(H_Direct=0,H_TaxEvt=1,0+1&gt;=H_Deemed),MAX(0,AGY92-AKL92)*H_Exit,0)</f>
        <v>0</v>
      </c>
      <c r="AYM92" s="20" t="n">
        <v>0</v>
      </c>
      <c r="AYN92" s="20" t="n">
        <v>0</v>
      </c>
      <c r="AYO92" s="20" t="n">
        <v>0</v>
      </c>
      <c r="AYP92" s="20" t="n">
        <v>0</v>
      </c>
      <c r="AYQ92" s="20" t="n">
        <v>0</v>
      </c>
    </row>
    <row r="93" customFormat="false" ht="15" hidden="false" customHeight="false" outlineLevel="0" collapsed="false">
      <c r="B93" s="20" t="n">
        <v>85</v>
      </c>
      <c r="C93" s="20" t="n">
        <f aca="false">'Plan cashflow'!C93</f>
        <v>0</v>
      </c>
      <c r="D93" s="20" t="n">
        <f aca="false">'Plan cashflow'!D93</f>
        <v>123</v>
      </c>
      <c r="E93" s="20" t="n">
        <f aca="false">AS_Year0+85</f>
        <v>2111</v>
      </c>
      <c r="F93" s="50" t="n">
        <f aca="false">'Plan cashflow'!F93</f>
        <v>5.38287877941564</v>
      </c>
      <c r="G93" s="59" t="n">
        <f aca="true">IF(MAX(TODAY(),DATE(E93,1,1))&gt;=H_CGTfrom,H_CGT1,H_CGT0)</f>
        <v>0.31</v>
      </c>
      <c r="H93" s="20" t="n">
        <f aca="false">H_Exempt*H_Persons</f>
        <v>1270</v>
      </c>
      <c r="I93" s="20" t="n">
        <f aca="false">AX92</f>
        <v>0</v>
      </c>
      <c r="J93" s="60" t="n">
        <f aca="false">BF92</f>
        <v>0</v>
      </c>
      <c r="K93" s="60" t="n">
        <f aca="false">BG92</f>
        <v>0</v>
      </c>
      <c r="L93" s="20" t="n">
        <f aca="false">IF(AND(In_polLump&gt;0,In_polLumpAge&gt;0,D93=In_polLumpAge),In_polLump,0)</f>
        <v>0</v>
      </c>
      <c r="M93" s="20" t="n">
        <f aca="false">IF(AND(In_homeUse="Yes, I'd downsize",In_downAge&gt;0,D93=In_downAge,OR(In_home="Own outright",In_home="Own with mortgage"),In_homeValue&gt;0),MAX(0,MAX(0,In_homeValue-In_downValue)*F93*0.9-'Plan cashflow'!HR92),0)</f>
        <v>0</v>
      </c>
      <c r="N93" s="20" t="n">
        <f aca="false">'Plan pay &amp; tax'!Y319</f>
        <v>0</v>
      </c>
      <c r="O93" s="20" t="n">
        <f aca="false">L93+M93+(1-H_Sh)*N93</f>
        <v>0</v>
      </c>
      <c r="P93" s="20" t="n">
        <f aca="false">H_Sh*N93</f>
        <v>0</v>
      </c>
      <c r="Q93" s="20" t="n">
        <f aca="false">'Plan cashflow'!UL93</f>
        <v>0</v>
      </c>
      <c r="R93" s="20" t="n">
        <f aca="false">(1-H_Sh)*Q93</f>
        <v>0</v>
      </c>
      <c r="S93" s="20" t="n">
        <f aca="false">H_Sh*Q93</f>
        <v>0</v>
      </c>
      <c r="T93" s="20" t="n">
        <f aca="false">J93+K93+O93</f>
        <v>0</v>
      </c>
      <c r="U93" s="20" t="n">
        <f aca="false">T93+R93</f>
        <v>0</v>
      </c>
      <c r="V93" s="60" t="n">
        <f aca="false">SUM(FE93:IQ93)</f>
        <v>0</v>
      </c>
      <c r="W93" s="60" t="n">
        <f aca="false">IF(AJ93&lt;=0,0,IF(AL93&lt;=0,AJ93,AJ93-G93*MAX(0,AL93*AJ93-(AY93+AZ93))))</f>
        <v>0</v>
      </c>
      <c r="X93" s="60" t="n">
        <f aca="false">IF(AR93&lt;=0,0,IF(AT93&lt;=0,AR93,AR93-G93*MAX(0,AT93*AR93-(BA93+BB93))))</f>
        <v>0</v>
      </c>
      <c r="Y93" s="60" t="n">
        <f aca="false">T93+V93-S93+W93+X93</f>
        <v>0</v>
      </c>
      <c r="Z93" s="60" t="n">
        <f aca="false">'Plan cashflow'!UK93</f>
        <v>0</v>
      </c>
      <c r="AA93" s="20" t="n">
        <f aca="false">MIN(Z93,U93)</f>
        <v>0</v>
      </c>
      <c r="AB93" s="20" t="n">
        <f aca="false">Z93-AA93</f>
        <v>0</v>
      </c>
      <c r="AC93" s="20" t="n">
        <f aca="false">MIN(AA93,J93+O93+R93)</f>
        <v>0</v>
      </c>
      <c r="AD93" s="20" t="n">
        <f aca="false">AA93-AC93</f>
        <v>0</v>
      </c>
      <c r="AE93" s="20" t="n">
        <f aca="false">J93+O93+R93-AC93</f>
        <v>0</v>
      </c>
      <c r="AF93" s="20" t="n">
        <f aca="false">K93-AD93</f>
        <v>0</v>
      </c>
      <c r="AG93" s="20" t="n">
        <f aca="false">SUM(PR93:TD93)</f>
        <v>0</v>
      </c>
      <c r="AH93" s="20" t="n">
        <f aca="false">SUM(TE93:WQ93)</f>
        <v>0</v>
      </c>
      <c r="AI93" s="20" t="n">
        <f aca="false">MAX(0,AB93-AG93)</f>
        <v>0</v>
      </c>
      <c r="AJ93" s="57" t="n">
        <f aca="false">BI92</f>
        <v>0</v>
      </c>
      <c r="AK93" s="20" t="n">
        <f aca="false">BJ92</f>
        <v>0</v>
      </c>
      <c r="AL93" s="20" t="n">
        <f aca="false">IF(AJ93&gt;0,(AJ93-AK93)/AJ93,0)</f>
        <v>0</v>
      </c>
      <c r="AM93" s="20" t="n">
        <f aca="false">IF(AJ93&lt;=0,0,IF(AL93&lt;=0,MIN(AI93,AJ93),MIN(AI93,AJ93-G93*MAX(0,AL93*AJ93-(AAD93+ADQ93)))))</f>
        <v>0</v>
      </c>
      <c r="AN93" s="20" t="n">
        <f aca="false">IF(AJ93&lt;=0,0,IF(AL93&lt;=0,AM93,IF(AM93&lt;=(AAD93+ADQ93)/AL93,AM93,(AM93-G93*(AAD93+ADQ93))/(1-G93*AL93))))</f>
        <v>0</v>
      </c>
      <c r="AO93" s="20" t="n">
        <f aca="false">IF(AL93&gt;0,MAX(0,AAD93-(MIN(AL93*AN93,(AAD93+ADQ93))-MIN(MIN(AL93*AN93,(AAD93+ADQ93)),ADQ93))),AAD93)</f>
        <v>1270</v>
      </c>
      <c r="AP93" s="20" t="n">
        <f aca="false">IF(AL93&lt;=0,ADQ93-AL93*AN93,ADQ93-MIN(MIN(AL93*AN93,(AAD93+ADQ93)),ADQ93))</f>
        <v>0</v>
      </c>
      <c r="AQ93" s="20" t="n">
        <f aca="false">MAX(0,AI93-AM93)</f>
        <v>0</v>
      </c>
      <c r="AR93" s="57" t="n">
        <f aca="false">BK92</f>
        <v>0</v>
      </c>
      <c r="AS93" s="20" t="n">
        <f aca="false">BL92</f>
        <v>0</v>
      </c>
      <c r="AT93" s="20" t="n">
        <f aca="false">IF(AR93&gt;0,(AR93-AS93)/AR93,0)</f>
        <v>0</v>
      </c>
      <c r="AU93" s="20" t="n">
        <f aca="false">IF(AR93&lt;=0,0,IF(AT93&lt;=0,MIN(AQ93,AR93),MIN(AQ93,AR93-G93*MAX(0,AT93*AR93-(AO93+AP93)))))</f>
        <v>0</v>
      </c>
      <c r="AV93" s="20" t="n">
        <f aca="false">IF(AR93&lt;=0,0,IF(AT93&lt;=0,AU93,IF(AU93&lt;=(AO93+AP93)/AT93,AU93,(AU93-G93*(AO93+AP93))/(1-G93*AT93))))</f>
        <v>0</v>
      </c>
      <c r="AW93" s="20" t="n">
        <f aca="false">IF(AT93&gt;0,MAX(0,AO93-(MIN(AT93*AV93,(AO93+AP93))-MIN(MIN(AT93*AV93,(AO93+AP93)),AP93))),AO93)</f>
        <v>1270</v>
      </c>
      <c r="AX93" s="20" t="n">
        <f aca="false">IF(AT93&lt;=0,AP93-AT93*AV93,AP93-MIN(MIN(AT93*AV93,(AO93+AP93)),AP93))</f>
        <v>0</v>
      </c>
      <c r="AY93" s="20" t="n">
        <f aca="false">MD93</f>
        <v>1270</v>
      </c>
      <c r="AZ93" s="20" t="n">
        <f aca="false">PQ93</f>
        <v>0</v>
      </c>
      <c r="BA93" s="20" t="n">
        <f aca="false">IF(AL93&gt;0,MAX(0,AY93-(MIN(AL93*AJ93,AY93+AZ93)-MIN(MIN(AL93*AJ93,AY93+AZ93),AZ93))),AY93)</f>
        <v>1270</v>
      </c>
      <c r="BB93" s="20" t="n">
        <f aca="false">IF(AL93&lt;=0,AZ93-AL93*AJ93,AZ93-MIN(MIN(AL93*AJ93,AY93+AZ93),AZ93))</f>
        <v>0</v>
      </c>
      <c r="BC93" s="20" t="n">
        <f aca="false">'Plan cashflow'!UM93</f>
        <v>0</v>
      </c>
      <c r="BD93" s="20" t="n">
        <f aca="false">(1-H_Sh)*BC93</f>
        <v>0</v>
      </c>
      <c r="BE93" s="20" t="n">
        <f aca="false">H_Sh*BC93</f>
        <v>0</v>
      </c>
      <c r="BF93" s="60" t="n">
        <f aca="false">(AE93+BD93)*(1+AS_Cash)</f>
        <v>0</v>
      </c>
      <c r="BG93" s="60" t="n">
        <f aca="false">AF93*(1+AS_Cash)</f>
        <v>0</v>
      </c>
      <c r="BH93" s="60" t="n">
        <f aca="false">SUM(AKR93:AOD93)</f>
        <v>0</v>
      </c>
      <c r="BI93" s="60" t="n">
        <f aca="false">(AJ93-AN93)*(1+AS_Infl)</f>
        <v>0</v>
      </c>
      <c r="BJ93" s="20" t="n">
        <f aca="false">IF(AJ93&gt;0,AK93-AK93*AN93/AJ93,0)</f>
        <v>0</v>
      </c>
      <c r="BK93" s="60" t="n">
        <f aca="false">(AR93-AV93)*(1+BQ93)</f>
        <v>0</v>
      </c>
      <c r="BL93" s="20" t="n">
        <f aca="false">IF(AR93&gt;0,AS93-AS93*AV93/AR93,0)</f>
        <v>0</v>
      </c>
      <c r="BM93" s="60" t="n">
        <f aca="false">BF93+BG93+BH93+BI93+BK93</f>
        <v>0</v>
      </c>
      <c r="BN93" s="60" t="n">
        <f aca="false">(AH93-AG93)+(AN93-AM93)+(AV93-AU93)</f>
        <v>0</v>
      </c>
      <c r="BO93" s="20" t="n">
        <f aca="false">(AE93+BD93+AF93+MAX(0,'Plan cashflow'!QH93)+IF(Slot1_Rate=AS_Cash,'Plan cashflow'!QM93/(1+AS_Cash),0)+IF(Slot2_Rate=AS_Cash,'Plan cashflow'!QQ93/(1+AS_Cash),0)+IF(Slot3_Rate=AS_Cash,'Plan cashflow'!QU93/(1+AS_Cash),0)+IF(Slot4_Rate=AS_Cash,'Plan cashflow'!QY93/(1+AS_Cash),0)+IF(Slot5_Rate=AS_Cash,'Plan cashflow'!RC93/(1+AS_Cash),0)+IF(Slot6_Rate=AS_Cash,'Plan cashflow'!RG93/(1+AS_Cash),0)+IF(Slot7_Rate=AS_Cash,'Plan cashflow'!RK93/(1+AS_Cash),0)+IF(Slot8_Rate=AS_Cash,'Plan cashflow'!RO93/(1+AS_Cash),0)+IF(Slot9_Rate=AS_Cash,'Plan cashflow'!RS93/(1+AS_Cash),0)+IF(Slot10_Rate=AS_Cash,'Plan cashflow'!RW93/(1+AS_Cash),0)+IF(Slot11_Rate=AS_Cash,'Plan cashflow'!SA93/(1+AS_Cash),0)+IF(Slot12_Rate=AS_Cash,'Plan cashflow'!SE93/(1+AS_Cash),0)+IF(Slot13_Rate=AS_Cash,'Plan cashflow'!SI93/(1+AS_Cash),0)+IF(Slot14_Rate=AS_Cash,'Plan cashflow'!SM93/(1+AS_Cash),0)+IF(Slot15_Rate=AS_Cash,'Plan cashflow'!SQ93/(1+AS_Cash),0)+IF(Slot16_Rate=AS_Cash,'Plan cashflow'!SU93/(1+AS_Cash),0)+IF(Slot17_Rate=AS_Cash,'Plan cashflow'!SY93/(1+AS_Cash),0)+IF(Slot18_Rate=AS_Cash,'Plan cashflow'!TC93/(1+AS_Cash),0)+IF(Slot19_Rate=AS_Cash,'Plan cashflow'!TG93/(1+AS_Cash),0)+IF(Slot20_Rate=AS_Cash,'Plan cashflow'!TK93/(1+AS_Cash),0))*AS_Cash*H_DIRT/(1-H_DIRT)</f>
        <v>0</v>
      </c>
      <c r="BP93" s="60" t="n">
        <f aca="false">SUM(AVE93:AYQ93)</f>
        <v>0</v>
      </c>
      <c r="BQ93" s="54" t="n">
        <f aca="false">IF(H_TaxEvt=1,H_InvG,AS_Inv)</f>
        <v>0.04</v>
      </c>
      <c r="BR93" s="20" t="n">
        <f aca="false">IF(AKR92&gt;0,(AKR92-AOE92)/AKR92,0)</f>
        <v>0</v>
      </c>
      <c r="BS93" s="20" t="n">
        <f aca="false">IF(AKS92&gt;0,(AKS92-AOF92)/AKS92,0)</f>
        <v>0</v>
      </c>
      <c r="BT93" s="20" t="n">
        <f aca="false">IF(AKT92&gt;0,(AKT92-AOG92)/AKT92,0)</f>
        <v>0</v>
      </c>
      <c r="BU93" s="20" t="n">
        <f aca="false">IF(AKU92&gt;0,(AKU92-AOH92)/AKU92,0)</f>
        <v>0</v>
      </c>
      <c r="BV93" s="20" t="n">
        <f aca="false">IF(AKV92&gt;0,(AKV92-AOI92)/AKV92,0)</f>
        <v>0</v>
      </c>
      <c r="BW93" s="20" t="n">
        <f aca="false">IF(AKW92&gt;0,(AKW92-AOJ92)/AKW92,0)</f>
        <v>0</v>
      </c>
      <c r="BX93" s="20" t="n">
        <f aca="false">IF(AKX92&gt;0,(AKX92-AOK92)/AKX92,0)</f>
        <v>0</v>
      </c>
      <c r="BY93" s="20" t="n">
        <f aca="false">IF(AKY92&gt;0,(AKY92-AOL92)/AKY92,0)</f>
        <v>0</v>
      </c>
      <c r="BZ93" s="20" t="n">
        <f aca="false">IF(AKZ92&gt;0,(AKZ92-AOM92)/AKZ92,0)</f>
        <v>0</v>
      </c>
      <c r="CA93" s="20" t="n">
        <f aca="false">IF(ALA92&gt;0,(ALA92-AON92)/ALA92,0)</f>
        <v>0</v>
      </c>
      <c r="CB93" s="20" t="n">
        <f aca="false">IF(ALB92&gt;0,(ALB92-AOO92)/ALB92,0)</f>
        <v>0</v>
      </c>
      <c r="CC93" s="20" t="n">
        <f aca="false">IF(ALC92&gt;0,(ALC92-AOP92)/ALC92,0)</f>
        <v>0</v>
      </c>
      <c r="CD93" s="20" t="n">
        <f aca="false">IF(ALD92&gt;0,(ALD92-AOQ92)/ALD92,0)</f>
        <v>0</v>
      </c>
      <c r="CE93" s="20" t="n">
        <f aca="false">IF(ALE92&gt;0,(ALE92-AOR92)/ALE92,0)</f>
        <v>0</v>
      </c>
      <c r="CF93" s="20" t="n">
        <f aca="false">IF(ALF92&gt;0,(ALF92-AOS92)/ALF92,0)</f>
        <v>0</v>
      </c>
      <c r="CG93" s="20" t="n">
        <f aca="false">IF(ALG92&gt;0,(ALG92-AOT92)/ALG92,0)</f>
        <v>0</v>
      </c>
      <c r="CH93" s="20" t="n">
        <f aca="false">IF(ALH92&gt;0,(ALH92-AOU92)/ALH92,0)</f>
        <v>0</v>
      </c>
      <c r="CI93" s="20" t="n">
        <f aca="false">IF(ALI92&gt;0,(ALI92-AOV92)/ALI92,0)</f>
        <v>0</v>
      </c>
      <c r="CJ93" s="20" t="n">
        <f aca="false">IF(ALJ92&gt;0,(ALJ92-AOW92)/ALJ92,0)</f>
        <v>0</v>
      </c>
      <c r="CK93" s="20" t="n">
        <f aca="false">IF(ALK92&gt;0,(ALK92-AOX92)/ALK92,0)</f>
        <v>0</v>
      </c>
      <c r="CL93" s="20" t="n">
        <f aca="false">IF(ALL92&gt;0,(ALL92-AOY92)/ALL92,0)</f>
        <v>0</v>
      </c>
      <c r="CM93" s="20" t="n">
        <f aca="false">IF(ALM92&gt;0,(ALM92-AOZ92)/ALM92,0)</f>
        <v>0</v>
      </c>
      <c r="CN93" s="20" t="n">
        <f aca="false">IF(ALN92&gt;0,(ALN92-APA92)/ALN92,0)</f>
        <v>0</v>
      </c>
      <c r="CO93" s="20" t="n">
        <f aca="false">IF(ALO92&gt;0,(ALO92-APB92)/ALO92,0)</f>
        <v>0</v>
      </c>
      <c r="CP93" s="20" t="n">
        <f aca="false">IF(ALP92&gt;0,(ALP92-APC92)/ALP92,0)</f>
        <v>0</v>
      </c>
      <c r="CQ93" s="20" t="n">
        <f aca="false">IF(ALQ92&gt;0,(ALQ92-APD92)/ALQ92,0)</f>
        <v>0</v>
      </c>
      <c r="CR93" s="20" t="n">
        <f aca="false">IF(ALR92&gt;0,(ALR92-APE92)/ALR92,0)</f>
        <v>0</v>
      </c>
      <c r="CS93" s="20" t="n">
        <f aca="false">IF(ALS92&gt;0,(ALS92-APF92)/ALS92,0)</f>
        <v>0</v>
      </c>
      <c r="CT93" s="20" t="n">
        <f aca="false">IF(ALT92&gt;0,(ALT92-APG92)/ALT92,0)</f>
        <v>0</v>
      </c>
      <c r="CU93" s="20" t="n">
        <f aca="false">IF(ALU92&gt;0,(ALU92-APH92)/ALU92,0)</f>
        <v>0</v>
      </c>
      <c r="CV93" s="20" t="n">
        <f aca="false">IF(ALV92&gt;0,(ALV92-API92)/ALV92,0)</f>
        <v>0</v>
      </c>
      <c r="CW93" s="20" t="n">
        <f aca="false">IF(ALW92&gt;0,(ALW92-APJ92)/ALW92,0)</f>
        <v>0</v>
      </c>
      <c r="CX93" s="20" t="n">
        <f aca="false">IF(ALX92&gt;0,(ALX92-APK92)/ALX92,0)</f>
        <v>0</v>
      </c>
      <c r="CY93" s="20" t="n">
        <f aca="false">IF(ALY92&gt;0,(ALY92-APL92)/ALY92,0)</f>
        <v>0</v>
      </c>
      <c r="CZ93" s="20" t="n">
        <f aca="false">IF(ALZ92&gt;0,(ALZ92-APM92)/ALZ92,0)</f>
        <v>0</v>
      </c>
      <c r="DA93" s="20" t="n">
        <f aca="false">IF(AMA92&gt;0,(AMA92-APN92)/AMA92,0)</f>
        <v>0</v>
      </c>
      <c r="DB93" s="20" t="n">
        <f aca="false">IF(AMB92&gt;0,(AMB92-APO92)/AMB92,0)</f>
        <v>0</v>
      </c>
      <c r="DC93" s="20" t="n">
        <f aca="false">IF(AMC92&gt;0,(AMC92-APP92)/AMC92,0)</f>
        <v>0</v>
      </c>
      <c r="DD93" s="20" t="n">
        <f aca="false">IF(AMD92&gt;0,(AMD92-APQ92)/AMD92,0)</f>
        <v>0</v>
      </c>
      <c r="DE93" s="20" t="n">
        <f aca="false">IF(AME92&gt;0,(AME92-APR92)/AME92,0)</f>
        <v>0</v>
      </c>
      <c r="DF93" s="20" t="n">
        <f aca="false">IF(AMF92&gt;0,(AMF92-APS92)/AMF92,0)</f>
        <v>0</v>
      </c>
      <c r="DG93" s="20" t="n">
        <f aca="false">IF(AMG92&gt;0,(AMG92-APT92)/AMG92,0)</f>
        <v>0</v>
      </c>
      <c r="DH93" s="20" t="n">
        <f aca="false">IF(AMH92&gt;0,(AMH92-APU92)/AMH92,0)</f>
        <v>0</v>
      </c>
      <c r="DI93" s="20" t="n">
        <f aca="false">IF(AMI92&gt;0,(AMI92-APV92)/AMI92,0)</f>
        <v>0</v>
      </c>
      <c r="DJ93" s="20" t="n">
        <f aca="false">IF(AMJ92&gt;0,(AMJ92-APW92)/AMJ92,0)</f>
        <v>0</v>
      </c>
      <c r="DK93" s="20" t="n">
        <f aca="false">IF(AMK92&gt;0,(AMK92-APX92)/AMK92,0)</f>
        <v>0</v>
      </c>
      <c r="DL93" s="20" t="n">
        <f aca="false">IF(AML92&gt;0,(AML92-APY92)/AML92,0)</f>
        <v>0</v>
      </c>
      <c r="DM93" s="20" t="n">
        <f aca="false">IF(AMM92&gt;0,(AMM92-APZ92)/AMM92,0)</f>
        <v>0</v>
      </c>
      <c r="DN93" s="20" t="n">
        <f aca="false">IF(AMN92&gt;0,(AMN92-AQA92)/AMN92,0)</f>
        <v>0</v>
      </c>
      <c r="DO93" s="20" t="n">
        <f aca="false">IF(AMO92&gt;0,(AMO92-AQB92)/AMO92,0)</f>
        <v>0</v>
      </c>
      <c r="DP93" s="20" t="n">
        <f aca="false">IF(AMP92&gt;0,(AMP92-AQC92)/AMP92,0)</f>
        <v>0</v>
      </c>
      <c r="DQ93" s="20" t="n">
        <f aca="false">IF(AMQ92&gt;0,(AMQ92-AQD92)/AMQ92,0)</f>
        <v>0</v>
      </c>
      <c r="DR93" s="20" t="n">
        <f aca="false">IF(AMR92&gt;0,(AMR92-AQE92)/AMR92,0)</f>
        <v>0</v>
      </c>
      <c r="DS93" s="20" t="n">
        <f aca="false">IF(AMS92&gt;0,(AMS92-AQF92)/AMS92,0)</f>
        <v>0</v>
      </c>
      <c r="DT93" s="20" t="n">
        <f aca="false">IF(AMT92&gt;0,(AMT92-AQG92)/AMT92,0)</f>
        <v>0</v>
      </c>
      <c r="DU93" s="20" t="n">
        <f aca="false">IF(AMU92&gt;0,(AMU92-AQH92)/AMU92,0)</f>
        <v>0</v>
      </c>
      <c r="DV93" s="20" t="n">
        <f aca="false">IF(AMV92&gt;0,(AMV92-AQI92)/AMV92,0)</f>
        <v>0</v>
      </c>
      <c r="DW93" s="20" t="n">
        <f aca="false">IF(AMW92&gt;0,(AMW92-AQJ92)/AMW92,0)</f>
        <v>0</v>
      </c>
      <c r="DX93" s="20" t="n">
        <f aca="false">IF(AMX92&gt;0,(AMX92-AQK92)/AMX92,0)</f>
        <v>0</v>
      </c>
      <c r="DY93" s="20" t="n">
        <f aca="false">IF(AMY92&gt;0,(AMY92-AQL92)/AMY92,0)</f>
        <v>0</v>
      </c>
      <c r="DZ93" s="20" t="n">
        <f aca="false">IF(AMZ92&gt;0,(AMZ92-AQM92)/AMZ92,0)</f>
        <v>0</v>
      </c>
      <c r="EA93" s="20" t="n">
        <f aca="false">IF(ANA92&gt;0,(ANA92-AQN92)/ANA92,0)</f>
        <v>0</v>
      </c>
      <c r="EB93" s="20" t="n">
        <f aca="false">IF(ANB92&gt;0,(ANB92-AQO92)/ANB92,0)</f>
        <v>0</v>
      </c>
      <c r="EC93" s="20" t="n">
        <f aca="false">IF(ANC92&gt;0,(ANC92-AQP92)/ANC92,0)</f>
        <v>0</v>
      </c>
      <c r="ED93" s="20" t="n">
        <f aca="false">IF(AND92&gt;0,(AND92-AQQ92)/AND92,0)</f>
        <v>0</v>
      </c>
      <c r="EE93" s="20" t="n">
        <f aca="false">IF(ANE92&gt;0,(ANE92-AQR92)/ANE92,0)</f>
        <v>0</v>
      </c>
      <c r="EF93" s="20" t="n">
        <f aca="false">IF(ANF92&gt;0,(ANF92-AQS92)/ANF92,0)</f>
        <v>0</v>
      </c>
      <c r="EG93" s="20" t="n">
        <f aca="false">IF(ANG92&gt;0,(ANG92-AQT92)/ANG92,0)</f>
        <v>0</v>
      </c>
      <c r="EH93" s="20" t="n">
        <f aca="false">IF(ANH92&gt;0,(ANH92-AQU92)/ANH92,0)</f>
        <v>0</v>
      </c>
      <c r="EI93" s="20" t="n">
        <f aca="false">IF(ANI92&gt;0,(ANI92-AQV92)/ANI92,0)</f>
        <v>0</v>
      </c>
      <c r="EJ93" s="20" t="n">
        <f aca="false">IF(ANJ92&gt;0,(ANJ92-AQW92)/ANJ92,0)</f>
        <v>0</v>
      </c>
      <c r="EK93" s="20" t="n">
        <f aca="false">IF(ANK92&gt;0,(ANK92-AQX92)/ANK92,0)</f>
        <v>0</v>
      </c>
      <c r="EL93" s="20" t="n">
        <f aca="false">IF(ANL92&gt;0,(ANL92-AQY92)/ANL92,0)</f>
        <v>0</v>
      </c>
      <c r="EM93" s="20" t="n">
        <f aca="false">IF(ANM92&gt;0,(ANM92-AQZ92)/ANM92,0)</f>
        <v>0</v>
      </c>
      <c r="EN93" s="20" t="n">
        <f aca="false">IF(ANN92&gt;0,(ANN92-ARA92)/ANN92,0)</f>
        <v>0</v>
      </c>
      <c r="EO93" s="20" t="n">
        <f aca="false">IF(ANO92&gt;0,(ANO92-ARB92)/ANO92,0)</f>
        <v>0</v>
      </c>
      <c r="EP93" s="20" t="n">
        <f aca="false">IF(ANP92&gt;0,(ANP92-ARC92)/ANP92,0)</f>
        <v>0</v>
      </c>
      <c r="EQ93" s="20" t="n">
        <f aca="false">IF(ANQ92&gt;0,(ANQ92-ARD92)/ANQ92,0)</f>
        <v>0</v>
      </c>
      <c r="ER93" s="20" t="n">
        <f aca="false">IF(ANR92&gt;0,(ANR92-ARE92)/ANR92,0)</f>
        <v>0</v>
      </c>
      <c r="ES93" s="20" t="n">
        <f aca="false">IF(ANS92&gt;0,(ANS92-ARF92)/ANS92,0)</f>
        <v>0</v>
      </c>
      <c r="ET93" s="20" t="n">
        <f aca="false">IF(ANT92&gt;0,(ANT92-ARG92)/ANT92,0)</f>
        <v>0</v>
      </c>
      <c r="EU93" s="20" t="n">
        <f aca="false">IF(ANU92&gt;0,(ANU92-ARH92)/ANU92,0)</f>
        <v>0</v>
      </c>
      <c r="EV93" s="20" t="n">
        <f aca="false">IF(ANV92&gt;0,(ANV92-ARI92)/ANV92,0)</f>
        <v>0</v>
      </c>
      <c r="EW93" s="20" t="n">
        <f aca="false">IF(ANW92&gt;0,(ANW92-ARJ92)/ANW92,0)</f>
        <v>0</v>
      </c>
      <c r="EX93" s="20" t="n">
        <f aca="false">IF(ANX92&gt;0,(ANX92-ARK92)/ANX92,0)</f>
        <v>0</v>
      </c>
      <c r="EY93" s="20" t="n">
        <f aca="false">IF(ANY92&gt;0,(ANY92-ARL92)/ANY92,0)</f>
        <v>0</v>
      </c>
      <c r="EZ93" s="20" t="n">
        <f aca="false">IF((P93+S93)&gt;0,((P93+S93)-(P93+S93))/(P93+S93),0)</f>
        <v>0</v>
      </c>
      <c r="FA93" s="20" t="n">
        <v>0</v>
      </c>
      <c r="FB93" s="20" t="n">
        <v>0</v>
      </c>
      <c r="FC93" s="20" t="n">
        <v>0</v>
      </c>
      <c r="FD93" s="20" t="n">
        <v>0</v>
      </c>
      <c r="FE93" s="20" t="n">
        <f aca="false">IF(H_Direct=1,IF(AKR92&lt;=0,0,IF(BR93&lt;=0,AKR92,AKR92-G93*MAX(0,BR93*AKR92-(H93+I93)))),AKR92*(1-MAX(0,BR93)*H_Exit))</f>
        <v>0</v>
      </c>
      <c r="FF93" s="20" t="n">
        <f aca="false">IF(H_Direct=1,IF(AKS92&lt;=0,0,IF(BS93&lt;=0,AKS92,AKS92-G93*MAX(0,BS93*AKS92-(IR93+ME93)))),AKS92*(1-MAX(0,BS93)*H_Exit))</f>
        <v>0</v>
      </c>
      <c r="FG93" s="20" t="n">
        <f aca="false">IF(H_Direct=1,IF(AKT92&lt;=0,0,IF(BT93&lt;=0,AKT92,AKT92-G93*MAX(0,BT93*AKT92-(IS93+MF93)))),AKT92*(1-MAX(0,BT93)*H_Exit))</f>
        <v>0</v>
      </c>
      <c r="FH93" s="20" t="n">
        <f aca="false">IF(H_Direct=1,IF(AKU92&lt;=0,0,IF(BU93&lt;=0,AKU92,AKU92-G93*MAX(0,BU93*AKU92-(IT93+MG93)))),AKU92*(1-MAX(0,BU93)*H_Exit))</f>
        <v>0</v>
      </c>
      <c r="FI93" s="20" t="n">
        <f aca="false">IF(H_Direct=1,IF(AKV92&lt;=0,0,IF(BV93&lt;=0,AKV92,AKV92-G93*MAX(0,BV93*AKV92-(IU93+MH93)))),AKV92*(1-MAX(0,BV93)*H_Exit))</f>
        <v>0</v>
      </c>
      <c r="FJ93" s="20" t="n">
        <f aca="false">IF(H_Direct=1,IF(AKW92&lt;=0,0,IF(BW93&lt;=0,AKW92,AKW92-G93*MAX(0,BW93*AKW92-(IV93+MI93)))),AKW92*(1-MAX(0,BW93)*H_Exit))</f>
        <v>0</v>
      </c>
      <c r="FK93" s="20" t="n">
        <f aca="false">IF(H_Direct=1,IF(AKX92&lt;=0,0,IF(BX93&lt;=0,AKX92,AKX92-G93*MAX(0,BX93*AKX92-(IW93+MJ93)))),AKX92*(1-MAX(0,BX93)*H_Exit))</f>
        <v>0</v>
      </c>
      <c r="FL93" s="20" t="n">
        <f aca="false">IF(H_Direct=1,IF(AKY92&lt;=0,0,IF(BY93&lt;=0,AKY92,AKY92-G93*MAX(0,BY93*AKY92-(IX93+MK93)))),AKY92*(1-MAX(0,BY93)*H_Exit))</f>
        <v>0</v>
      </c>
      <c r="FM93" s="20" t="n">
        <f aca="false">IF(H_Direct=1,IF(AKZ92&lt;=0,0,IF(BZ93&lt;=0,AKZ92,AKZ92-G93*MAX(0,BZ93*AKZ92-(IY93+ML93)))),AKZ92*(1-MAX(0,BZ93)*H_Exit))</f>
        <v>0</v>
      </c>
      <c r="FN93" s="20" t="n">
        <f aca="false">IF(H_Direct=1,IF(ALA92&lt;=0,0,IF(CA93&lt;=0,ALA92,ALA92-G93*MAX(0,CA93*ALA92-(IZ93+MM93)))),ALA92*(1-MAX(0,CA93)*H_Exit))</f>
        <v>0</v>
      </c>
      <c r="FO93" s="20" t="n">
        <f aca="false">IF(H_Direct=1,IF(ALB92&lt;=0,0,IF(CB93&lt;=0,ALB92,ALB92-G93*MAX(0,CB93*ALB92-(JA93+MN93)))),ALB92*(1-MAX(0,CB93)*H_Exit))</f>
        <v>0</v>
      </c>
      <c r="FP93" s="20" t="n">
        <f aca="false">IF(H_Direct=1,IF(ALC92&lt;=0,0,IF(CC93&lt;=0,ALC92,ALC92-G93*MAX(0,CC93*ALC92-(JB93+MO93)))),ALC92*(1-MAX(0,CC93)*H_Exit))</f>
        <v>0</v>
      </c>
      <c r="FQ93" s="20" t="n">
        <f aca="false">IF(H_Direct=1,IF(ALD92&lt;=0,0,IF(CD93&lt;=0,ALD92,ALD92-G93*MAX(0,CD93*ALD92-(JC93+MP93)))),ALD92*(1-MAX(0,CD93)*H_Exit))</f>
        <v>0</v>
      </c>
      <c r="FR93" s="20" t="n">
        <f aca="false">IF(H_Direct=1,IF(ALE92&lt;=0,0,IF(CE93&lt;=0,ALE92,ALE92-G93*MAX(0,CE93*ALE92-(JD93+MQ93)))),ALE92*(1-MAX(0,CE93)*H_Exit))</f>
        <v>0</v>
      </c>
      <c r="FS93" s="20" t="n">
        <f aca="false">IF(H_Direct=1,IF(ALF92&lt;=0,0,IF(CF93&lt;=0,ALF92,ALF92-G93*MAX(0,CF93*ALF92-(JE93+MR93)))),ALF92*(1-MAX(0,CF93)*H_Exit))</f>
        <v>0</v>
      </c>
      <c r="FT93" s="20" t="n">
        <f aca="false">IF(H_Direct=1,IF(ALG92&lt;=0,0,IF(CG93&lt;=0,ALG92,ALG92-G93*MAX(0,CG93*ALG92-(JF93+MS93)))),ALG92*(1-MAX(0,CG93)*H_Exit))</f>
        <v>0</v>
      </c>
      <c r="FU93" s="20" t="n">
        <f aca="false">IF(H_Direct=1,IF(ALH92&lt;=0,0,IF(CH93&lt;=0,ALH92,ALH92-G93*MAX(0,CH93*ALH92-(JG93+MT93)))),ALH92*(1-MAX(0,CH93)*H_Exit))</f>
        <v>0</v>
      </c>
      <c r="FV93" s="20" t="n">
        <f aca="false">IF(H_Direct=1,IF(ALI92&lt;=0,0,IF(CI93&lt;=0,ALI92,ALI92-G93*MAX(0,CI93*ALI92-(JH93+MU93)))),ALI92*(1-MAX(0,CI93)*H_Exit))</f>
        <v>0</v>
      </c>
      <c r="FW93" s="20" t="n">
        <f aca="false">IF(H_Direct=1,IF(ALJ92&lt;=0,0,IF(CJ93&lt;=0,ALJ92,ALJ92-G93*MAX(0,CJ93*ALJ92-(JI93+MV93)))),ALJ92*(1-MAX(0,CJ93)*H_Exit))</f>
        <v>0</v>
      </c>
      <c r="FX93" s="20" t="n">
        <f aca="false">IF(H_Direct=1,IF(ALK92&lt;=0,0,IF(CK93&lt;=0,ALK92,ALK92-G93*MAX(0,CK93*ALK92-(JJ93+MW93)))),ALK92*(1-MAX(0,CK93)*H_Exit))</f>
        <v>0</v>
      </c>
      <c r="FY93" s="20" t="n">
        <f aca="false">IF(H_Direct=1,IF(ALL92&lt;=0,0,IF(CL93&lt;=0,ALL92,ALL92-G93*MAX(0,CL93*ALL92-(JK93+MX93)))),ALL92*(1-MAX(0,CL93)*H_Exit))</f>
        <v>0</v>
      </c>
      <c r="FZ93" s="20" t="n">
        <f aca="false">IF(H_Direct=1,IF(ALM92&lt;=0,0,IF(CM93&lt;=0,ALM92,ALM92-G93*MAX(0,CM93*ALM92-(JL93+MY93)))),ALM92*(1-MAX(0,CM93)*H_Exit))</f>
        <v>0</v>
      </c>
      <c r="GA93" s="20" t="n">
        <f aca="false">IF(H_Direct=1,IF(ALN92&lt;=0,0,IF(CN93&lt;=0,ALN92,ALN92-G93*MAX(0,CN93*ALN92-(JM93+MZ93)))),ALN92*(1-MAX(0,CN93)*H_Exit))</f>
        <v>0</v>
      </c>
      <c r="GB93" s="20" t="n">
        <f aca="false">IF(H_Direct=1,IF(ALO92&lt;=0,0,IF(CO93&lt;=0,ALO92,ALO92-G93*MAX(0,CO93*ALO92-(JN93+NA93)))),ALO92*(1-MAX(0,CO93)*H_Exit))</f>
        <v>0</v>
      </c>
      <c r="GC93" s="20" t="n">
        <f aca="false">IF(H_Direct=1,IF(ALP92&lt;=0,0,IF(CP93&lt;=0,ALP92,ALP92-G93*MAX(0,CP93*ALP92-(JO93+NB93)))),ALP92*(1-MAX(0,CP93)*H_Exit))</f>
        <v>0</v>
      </c>
      <c r="GD93" s="20" t="n">
        <f aca="false">IF(H_Direct=1,IF(ALQ92&lt;=0,0,IF(CQ93&lt;=0,ALQ92,ALQ92-G93*MAX(0,CQ93*ALQ92-(JP93+NC93)))),ALQ92*(1-MAX(0,CQ93)*H_Exit))</f>
        <v>0</v>
      </c>
      <c r="GE93" s="20" t="n">
        <f aca="false">IF(H_Direct=1,IF(ALR92&lt;=0,0,IF(CR93&lt;=0,ALR92,ALR92-G93*MAX(0,CR93*ALR92-(JQ93+ND93)))),ALR92*(1-MAX(0,CR93)*H_Exit))</f>
        <v>0</v>
      </c>
      <c r="GF93" s="20" t="n">
        <f aca="false">IF(H_Direct=1,IF(ALS92&lt;=0,0,IF(CS93&lt;=0,ALS92,ALS92-G93*MAX(0,CS93*ALS92-(JR93+NE93)))),ALS92*(1-MAX(0,CS93)*H_Exit))</f>
        <v>0</v>
      </c>
      <c r="GG93" s="20" t="n">
        <f aca="false">IF(H_Direct=1,IF(ALT92&lt;=0,0,IF(CT93&lt;=0,ALT92,ALT92-G93*MAX(0,CT93*ALT92-(JS93+NF93)))),ALT92*(1-MAX(0,CT93)*H_Exit))</f>
        <v>0</v>
      </c>
      <c r="GH93" s="20" t="n">
        <f aca="false">IF(H_Direct=1,IF(ALU92&lt;=0,0,IF(CU93&lt;=0,ALU92,ALU92-G93*MAX(0,CU93*ALU92-(JT93+NG93)))),ALU92*(1-MAX(0,CU93)*H_Exit))</f>
        <v>0</v>
      </c>
      <c r="GI93" s="20" t="n">
        <f aca="false">IF(H_Direct=1,IF(ALV92&lt;=0,0,IF(CV93&lt;=0,ALV92,ALV92-G93*MAX(0,CV93*ALV92-(JU93+NH93)))),ALV92*(1-MAX(0,CV93)*H_Exit))</f>
        <v>0</v>
      </c>
      <c r="GJ93" s="20" t="n">
        <f aca="false">IF(H_Direct=1,IF(ALW92&lt;=0,0,IF(CW93&lt;=0,ALW92,ALW92-G93*MAX(0,CW93*ALW92-(JV93+NI93)))),ALW92*(1-MAX(0,CW93)*H_Exit))</f>
        <v>0</v>
      </c>
      <c r="GK93" s="20" t="n">
        <f aca="false">IF(H_Direct=1,IF(ALX92&lt;=0,0,IF(CX93&lt;=0,ALX92,ALX92-G93*MAX(0,CX93*ALX92-(JW93+NJ93)))),ALX92*(1-MAX(0,CX93)*H_Exit))</f>
        <v>0</v>
      </c>
      <c r="GL93" s="20" t="n">
        <f aca="false">IF(H_Direct=1,IF(ALY92&lt;=0,0,IF(CY93&lt;=0,ALY92,ALY92-G93*MAX(0,CY93*ALY92-(JX93+NK93)))),ALY92*(1-MAX(0,CY93)*H_Exit))</f>
        <v>0</v>
      </c>
      <c r="GM93" s="20" t="n">
        <f aca="false">IF(H_Direct=1,IF(ALZ92&lt;=0,0,IF(CZ93&lt;=0,ALZ92,ALZ92-G93*MAX(0,CZ93*ALZ92-(JY93+NL93)))),ALZ92*(1-MAX(0,CZ93)*H_Exit))</f>
        <v>0</v>
      </c>
      <c r="GN93" s="20" t="n">
        <f aca="false">IF(H_Direct=1,IF(AMA92&lt;=0,0,IF(DA93&lt;=0,AMA92,AMA92-G93*MAX(0,DA93*AMA92-(JZ93+NM93)))),AMA92*(1-MAX(0,DA93)*H_Exit))</f>
        <v>0</v>
      </c>
      <c r="GO93" s="20" t="n">
        <f aca="false">IF(H_Direct=1,IF(AMB92&lt;=0,0,IF(DB93&lt;=0,AMB92,AMB92-G93*MAX(0,DB93*AMB92-(KA93+NN93)))),AMB92*(1-MAX(0,DB93)*H_Exit))</f>
        <v>0</v>
      </c>
      <c r="GP93" s="20" t="n">
        <f aca="false">IF(H_Direct=1,IF(AMC92&lt;=0,0,IF(DC93&lt;=0,AMC92,AMC92-G93*MAX(0,DC93*AMC92-(KB93+NO93)))),AMC92*(1-MAX(0,DC93)*H_Exit))</f>
        <v>0</v>
      </c>
      <c r="GQ93" s="20" t="n">
        <f aca="false">IF(H_Direct=1,IF(AMD92&lt;=0,0,IF(DD93&lt;=0,AMD92,AMD92-G93*MAX(0,DD93*AMD92-(KC93+NP93)))),AMD92*(1-MAX(0,DD93)*H_Exit))</f>
        <v>0</v>
      </c>
      <c r="GR93" s="20" t="n">
        <f aca="false">IF(H_Direct=1,IF(AME92&lt;=0,0,IF(DE93&lt;=0,AME92,AME92-G93*MAX(0,DE93*AME92-(KD93+NQ93)))),AME92*(1-MAX(0,DE93)*H_Exit))</f>
        <v>0</v>
      </c>
      <c r="GS93" s="20" t="n">
        <f aca="false">IF(H_Direct=1,IF(AMF92&lt;=0,0,IF(DF93&lt;=0,AMF92,AMF92-G93*MAX(0,DF93*AMF92-(KE93+NR93)))),AMF92*(1-MAX(0,DF93)*H_Exit))</f>
        <v>0</v>
      </c>
      <c r="GT93" s="20" t="n">
        <f aca="false">IF(H_Direct=1,IF(AMG92&lt;=0,0,IF(DG93&lt;=0,AMG92,AMG92-G93*MAX(0,DG93*AMG92-(KF93+NS93)))),AMG92*(1-MAX(0,DG93)*H_Exit))</f>
        <v>0</v>
      </c>
      <c r="GU93" s="20" t="n">
        <f aca="false">IF(H_Direct=1,IF(AMH92&lt;=0,0,IF(DH93&lt;=0,AMH92,AMH92-G93*MAX(0,DH93*AMH92-(KG93+NT93)))),AMH92*(1-MAX(0,DH93)*H_Exit))</f>
        <v>0</v>
      </c>
      <c r="GV93" s="20" t="n">
        <f aca="false">IF(H_Direct=1,IF(AMI92&lt;=0,0,IF(DI93&lt;=0,AMI92,AMI92-G93*MAX(0,DI93*AMI92-(KH93+NU93)))),AMI92*(1-MAX(0,DI93)*H_Exit))</f>
        <v>0</v>
      </c>
      <c r="GW93" s="20" t="n">
        <f aca="false">IF(H_Direct=1,IF(AMJ92&lt;=0,0,IF(DJ93&lt;=0,AMJ92,AMJ92-G93*MAX(0,DJ93*AMJ92-(KI93+NV93)))),AMJ92*(1-MAX(0,DJ93)*H_Exit))</f>
        <v>0</v>
      </c>
      <c r="GX93" s="20" t="n">
        <f aca="false">IF(H_Direct=1,IF(AMK92&lt;=0,0,IF(DK93&lt;=0,AMK92,AMK92-G93*MAX(0,DK93*AMK92-(KJ93+NW93)))),AMK92*(1-MAX(0,DK93)*H_Exit))</f>
        <v>0</v>
      </c>
      <c r="GY93" s="20" t="n">
        <f aca="false">IF(H_Direct=1,IF(AML92&lt;=0,0,IF(DL93&lt;=0,AML92,AML92-G93*MAX(0,DL93*AML92-(KK93+NX93)))),AML92*(1-MAX(0,DL93)*H_Exit))</f>
        <v>0</v>
      </c>
      <c r="GZ93" s="20" t="n">
        <f aca="false">IF(H_Direct=1,IF(AMM92&lt;=0,0,IF(DM93&lt;=0,AMM92,AMM92-G93*MAX(0,DM93*AMM92-(KL93+NY93)))),AMM92*(1-MAX(0,DM93)*H_Exit))</f>
        <v>0</v>
      </c>
      <c r="HA93" s="20" t="n">
        <f aca="false">IF(H_Direct=1,IF(AMN92&lt;=0,0,IF(DN93&lt;=0,AMN92,AMN92-G93*MAX(0,DN93*AMN92-(KM93+NZ93)))),AMN92*(1-MAX(0,DN93)*H_Exit))</f>
        <v>0</v>
      </c>
      <c r="HB93" s="20" t="n">
        <f aca="false">IF(H_Direct=1,IF(AMO92&lt;=0,0,IF(DO93&lt;=0,AMO92,AMO92-G93*MAX(0,DO93*AMO92-(KN93+OA93)))),AMO92*(1-MAX(0,DO93)*H_Exit))</f>
        <v>0</v>
      </c>
      <c r="HC93" s="20" t="n">
        <f aca="false">IF(H_Direct=1,IF(AMP92&lt;=0,0,IF(DP93&lt;=0,AMP92,AMP92-G93*MAX(0,DP93*AMP92-(KO93+OB93)))),AMP92*(1-MAX(0,DP93)*H_Exit))</f>
        <v>0</v>
      </c>
      <c r="HD93" s="20" t="n">
        <f aca="false">IF(H_Direct=1,IF(AMQ92&lt;=0,0,IF(DQ93&lt;=0,AMQ92,AMQ92-G93*MAX(0,DQ93*AMQ92-(KP93+OC93)))),AMQ92*(1-MAX(0,DQ93)*H_Exit))</f>
        <v>0</v>
      </c>
      <c r="HE93" s="20" t="n">
        <f aca="false">IF(H_Direct=1,IF(AMR92&lt;=0,0,IF(DR93&lt;=0,AMR92,AMR92-G93*MAX(0,DR93*AMR92-(KQ93+OD93)))),AMR92*(1-MAX(0,DR93)*H_Exit))</f>
        <v>0</v>
      </c>
      <c r="HF93" s="20" t="n">
        <f aca="false">IF(H_Direct=1,IF(AMS92&lt;=0,0,IF(DS93&lt;=0,AMS92,AMS92-G93*MAX(0,DS93*AMS92-(KR93+OE93)))),AMS92*(1-MAX(0,DS93)*H_Exit))</f>
        <v>0</v>
      </c>
      <c r="HG93" s="20" t="n">
        <f aca="false">IF(H_Direct=1,IF(AMT92&lt;=0,0,IF(DT93&lt;=0,AMT92,AMT92-G93*MAX(0,DT93*AMT92-(KS93+OF93)))),AMT92*(1-MAX(0,DT93)*H_Exit))</f>
        <v>0</v>
      </c>
      <c r="HH93" s="20" t="n">
        <f aca="false">IF(H_Direct=1,IF(AMU92&lt;=0,0,IF(DU93&lt;=0,AMU92,AMU92-G93*MAX(0,DU93*AMU92-(KT93+OG93)))),AMU92*(1-MAX(0,DU93)*H_Exit))</f>
        <v>0</v>
      </c>
      <c r="HI93" s="20" t="n">
        <f aca="false">IF(H_Direct=1,IF(AMV92&lt;=0,0,IF(DV93&lt;=0,AMV92,AMV92-G93*MAX(0,DV93*AMV92-(KU93+OH93)))),AMV92*(1-MAX(0,DV93)*H_Exit))</f>
        <v>0</v>
      </c>
      <c r="HJ93" s="20" t="n">
        <f aca="false">IF(H_Direct=1,IF(AMW92&lt;=0,0,IF(DW93&lt;=0,AMW92,AMW92-G93*MAX(0,DW93*AMW92-(KV93+OI93)))),AMW92*(1-MAX(0,DW93)*H_Exit))</f>
        <v>0</v>
      </c>
      <c r="HK93" s="20" t="n">
        <f aca="false">IF(H_Direct=1,IF(AMX92&lt;=0,0,IF(DX93&lt;=0,AMX92,AMX92-G93*MAX(0,DX93*AMX92-(KW93+OJ93)))),AMX92*(1-MAX(0,DX93)*H_Exit))</f>
        <v>0</v>
      </c>
      <c r="HL93" s="20" t="n">
        <f aca="false">IF(H_Direct=1,IF(AMY92&lt;=0,0,IF(DY93&lt;=0,AMY92,AMY92-G93*MAX(0,DY93*AMY92-(KX93+OK93)))),AMY92*(1-MAX(0,DY93)*H_Exit))</f>
        <v>0</v>
      </c>
      <c r="HM93" s="20" t="n">
        <f aca="false">IF(H_Direct=1,IF(AMZ92&lt;=0,0,IF(DZ93&lt;=0,AMZ92,AMZ92-G93*MAX(0,DZ93*AMZ92-(KY93+OL93)))),AMZ92*(1-MAX(0,DZ93)*H_Exit))</f>
        <v>0</v>
      </c>
      <c r="HN93" s="20" t="n">
        <f aca="false">IF(H_Direct=1,IF(ANA92&lt;=0,0,IF(EA93&lt;=0,ANA92,ANA92-G93*MAX(0,EA93*ANA92-(KZ93+OM93)))),ANA92*(1-MAX(0,EA93)*H_Exit))</f>
        <v>0</v>
      </c>
      <c r="HO93" s="20" t="n">
        <f aca="false">IF(H_Direct=1,IF(ANB92&lt;=0,0,IF(EB93&lt;=0,ANB92,ANB92-G93*MAX(0,EB93*ANB92-(LA93+ON93)))),ANB92*(1-MAX(0,EB93)*H_Exit))</f>
        <v>0</v>
      </c>
      <c r="HP93" s="20" t="n">
        <f aca="false">IF(H_Direct=1,IF(ANC92&lt;=0,0,IF(EC93&lt;=0,ANC92,ANC92-G93*MAX(0,EC93*ANC92-(LB93+OO93)))),ANC92*(1-MAX(0,EC93)*H_Exit))</f>
        <v>0</v>
      </c>
      <c r="HQ93" s="20" t="n">
        <f aca="false">IF(H_Direct=1,IF(AND92&lt;=0,0,IF(ED93&lt;=0,AND92,AND92-G93*MAX(0,ED93*AND92-(LC93+OP93)))),AND92*(1-MAX(0,ED93)*H_Exit))</f>
        <v>0</v>
      </c>
      <c r="HR93" s="20" t="n">
        <f aca="false">IF(H_Direct=1,IF(ANE92&lt;=0,0,IF(EE93&lt;=0,ANE92,ANE92-G93*MAX(0,EE93*ANE92-(LD93+OQ93)))),ANE92*(1-MAX(0,EE93)*H_Exit))</f>
        <v>0</v>
      </c>
      <c r="HS93" s="20" t="n">
        <f aca="false">IF(H_Direct=1,IF(ANF92&lt;=0,0,IF(EF93&lt;=0,ANF92,ANF92-G93*MAX(0,EF93*ANF92-(LE93+OR93)))),ANF92*(1-MAX(0,EF93)*H_Exit))</f>
        <v>0</v>
      </c>
      <c r="HT93" s="20" t="n">
        <f aca="false">IF(H_Direct=1,IF(ANG92&lt;=0,0,IF(EG93&lt;=0,ANG92,ANG92-G93*MAX(0,EG93*ANG92-(LF93+OS93)))),ANG92*(1-MAX(0,EG93)*H_Exit))</f>
        <v>0</v>
      </c>
      <c r="HU93" s="20" t="n">
        <f aca="false">IF(H_Direct=1,IF(ANH92&lt;=0,0,IF(EH93&lt;=0,ANH92,ANH92-G93*MAX(0,EH93*ANH92-(LG93+OT93)))),ANH92*(1-MAX(0,EH93)*H_Exit))</f>
        <v>0</v>
      </c>
      <c r="HV93" s="20" t="n">
        <f aca="false">IF(H_Direct=1,IF(ANI92&lt;=0,0,IF(EI93&lt;=0,ANI92,ANI92-G93*MAX(0,EI93*ANI92-(LH93+OU93)))),ANI92*(1-MAX(0,EI93)*H_Exit))</f>
        <v>0</v>
      </c>
      <c r="HW93" s="20" t="n">
        <f aca="false">IF(H_Direct=1,IF(ANJ92&lt;=0,0,IF(EJ93&lt;=0,ANJ92,ANJ92-G93*MAX(0,EJ93*ANJ92-(LI93+OV93)))),ANJ92*(1-MAX(0,EJ93)*H_Exit))</f>
        <v>0</v>
      </c>
      <c r="HX93" s="20" t="n">
        <f aca="false">IF(H_Direct=1,IF(ANK92&lt;=0,0,IF(EK93&lt;=0,ANK92,ANK92-G93*MAX(0,EK93*ANK92-(LJ93+OW93)))),ANK92*(1-MAX(0,EK93)*H_Exit))</f>
        <v>0</v>
      </c>
      <c r="HY93" s="20" t="n">
        <f aca="false">IF(H_Direct=1,IF(ANL92&lt;=0,0,IF(EL93&lt;=0,ANL92,ANL92-G93*MAX(0,EL93*ANL92-(LK93+OX93)))),ANL92*(1-MAX(0,EL93)*H_Exit))</f>
        <v>0</v>
      </c>
      <c r="HZ93" s="20" t="n">
        <f aca="false">IF(H_Direct=1,IF(ANM92&lt;=0,0,IF(EM93&lt;=0,ANM92,ANM92-G93*MAX(0,EM93*ANM92-(LL93+OY93)))),ANM92*(1-MAX(0,EM93)*H_Exit))</f>
        <v>0</v>
      </c>
      <c r="IA93" s="20" t="n">
        <f aca="false">IF(H_Direct=1,IF(ANN92&lt;=0,0,IF(EN93&lt;=0,ANN92,ANN92-G93*MAX(0,EN93*ANN92-(LM93+OZ93)))),ANN92*(1-MAX(0,EN93)*H_Exit))</f>
        <v>0</v>
      </c>
      <c r="IB93" s="20" t="n">
        <f aca="false">IF(H_Direct=1,IF(ANO92&lt;=0,0,IF(EO93&lt;=0,ANO92,ANO92-G93*MAX(0,EO93*ANO92-(LN93+PA93)))),ANO92*(1-MAX(0,EO93)*H_Exit))</f>
        <v>0</v>
      </c>
      <c r="IC93" s="20" t="n">
        <f aca="false">IF(H_Direct=1,IF(ANP92&lt;=0,0,IF(EP93&lt;=0,ANP92,ANP92-G93*MAX(0,EP93*ANP92-(LO93+PB93)))),ANP92*(1-MAX(0,EP93)*H_Exit))</f>
        <v>0</v>
      </c>
      <c r="ID93" s="20" t="n">
        <f aca="false">IF(H_Direct=1,IF(ANQ92&lt;=0,0,IF(EQ93&lt;=0,ANQ92,ANQ92-G93*MAX(0,EQ93*ANQ92-(LP93+PC93)))),ANQ92*(1-MAX(0,EQ93)*H_Exit))</f>
        <v>0</v>
      </c>
      <c r="IE93" s="20" t="n">
        <f aca="false">IF(H_Direct=1,IF(ANR92&lt;=0,0,IF(ER93&lt;=0,ANR92,ANR92-G93*MAX(0,ER93*ANR92-(LQ93+PD93)))),ANR92*(1-MAX(0,ER93)*H_Exit))</f>
        <v>0</v>
      </c>
      <c r="IF93" s="20" t="n">
        <f aca="false">IF(H_Direct=1,IF(ANS92&lt;=0,0,IF(ES93&lt;=0,ANS92,ANS92-G93*MAX(0,ES93*ANS92-(LR93+PE93)))),ANS92*(1-MAX(0,ES93)*H_Exit))</f>
        <v>0</v>
      </c>
      <c r="IG93" s="20" t="n">
        <f aca="false">IF(H_Direct=1,IF(ANT92&lt;=0,0,IF(ET93&lt;=0,ANT92,ANT92-G93*MAX(0,ET93*ANT92-(LS93+PF93)))),ANT92*(1-MAX(0,ET93)*H_Exit))</f>
        <v>0</v>
      </c>
      <c r="IH93" s="20" t="n">
        <f aca="false">IF(H_Direct=1,IF(ANU92&lt;=0,0,IF(EU93&lt;=0,ANU92,ANU92-G93*MAX(0,EU93*ANU92-(LT93+PG93)))),ANU92*(1-MAX(0,EU93)*H_Exit))</f>
        <v>0</v>
      </c>
      <c r="II93" s="20" t="n">
        <f aca="false">IF(H_Direct=1,IF(ANV92&lt;=0,0,IF(EV93&lt;=0,ANV92,ANV92-G93*MAX(0,EV93*ANV92-(LU93+PH93)))),ANV92*(1-MAX(0,EV93)*H_Exit))</f>
        <v>0</v>
      </c>
      <c r="IJ93" s="20" t="n">
        <f aca="false">IF(H_Direct=1,IF(ANW92&lt;=0,0,IF(EW93&lt;=0,ANW92,ANW92-G93*MAX(0,EW93*ANW92-(LV93+PI93)))),ANW92*(1-MAX(0,EW93)*H_Exit))</f>
        <v>0</v>
      </c>
      <c r="IK93" s="20" t="n">
        <f aca="false">IF(H_Direct=1,IF(ANX92&lt;=0,0,IF(EX93&lt;=0,ANX92,ANX92-G93*MAX(0,EX93*ANX92-(LW93+PJ93)))),ANX92*(1-MAX(0,EX93)*H_Exit))</f>
        <v>0</v>
      </c>
      <c r="IL93" s="20" t="n">
        <f aca="false">IF(H_Direct=1,IF(ANY92&lt;=0,0,IF(EY93&lt;=0,ANY92,ANY92-G93*MAX(0,EY93*ANY92-(LX93+PK93)))),ANY92*(1-MAX(0,EY93)*H_Exit))</f>
        <v>0</v>
      </c>
      <c r="IM93" s="20" t="n">
        <f aca="false">IF(H_Direct=1,IF((P93+S93)&lt;=0,0,IF(EZ93&lt;=0,(P93+S93),(P93+S93)-G93*MAX(0,EZ93*(P93+S93)-(LY93+PL93)))),(P93+S93)*(1-MAX(0,EZ93)*H_Exit))</f>
        <v>0</v>
      </c>
      <c r="IN93" s="20" t="n">
        <v>0</v>
      </c>
      <c r="IO93" s="20" t="n">
        <v>0</v>
      </c>
      <c r="IP93" s="20" t="n">
        <v>0</v>
      </c>
      <c r="IQ93" s="20" t="n">
        <v>0</v>
      </c>
      <c r="IR93" s="20" t="n">
        <f aca="false">IF(AND(H_Direct=1,BR93&gt;0),MAX(0,H93-(MIN(BR93*AKR92,H93+I93)-MIN(MIN(BR93*AKR92,H93+I93),I93))),H93)</f>
        <v>1270</v>
      </c>
      <c r="IS93" s="20" t="n">
        <f aca="false">IF(AND(H_Direct=1,BS93&gt;0),MAX(0,IR93-(MIN(BS93*AKS92,IR93+ME93)-MIN(MIN(BS93*AKS92,IR93+ME93),ME93))),IR93)</f>
        <v>1270</v>
      </c>
      <c r="IT93" s="20" t="n">
        <f aca="false">IF(AND(H_Direct=1,BT93&gt;0),MAX(0,IS93-(MIN(BT93*AKT92,IS93+MF93)-MIN(MIN(BT93*AKT92,IS93+MF93),MF93))),IS93)</f>
        <v>1270</v>
      </c>
      <c r="IU93" s="20" t="n">
        <f aca="false">IF(AND(H_Direct=1,BU93&gt;0),MAX(0,IT93-(MIN(BU93*AKU92,IT93+MG93)-MIN(MIN(BU93*AKU92,IT93+MG93),MG93))),IT93)</f>
        <v>1270</v>
      </c>
      <c r="IV93" s="20" t="n">
        <f aca="false">IF(AND(H_Direct=1,BV93&gt;0),MAX(0,IU93-(MIN(BV93*AKV92,IU93+MH93)-MIN(MIN(BV93*AKV92,IU93+MH93),MH93))),IU93)</f>
        <v>1270</v>
      </c>
      <c r="IW93" s="20" t="n">
        <f aca="false">IF(AND(H_Direct=1,BW93&gt;0),MAX(0,IV93-(MIN(BW93*AKW92,IV93+MI93)-MIN(MIN(BW93*AKW92,IV93+MI93),MI93))),IV93)</f>
        <v>1270</v>
      </c>
      <c r="IX93" s="20" t="n">
        <f aca="false">IF(AND(H_Direct=1,BX93&gt;0),MAX(0,IW93-(MIN(BX93*AKX92,IW93+MJ93)-MIN(MIN(BX93*AKX92,IW93+MJ93),MJ93))),IW93)</f>
        <v>1270</v>
      </c>
      <c r="IY93" s="20" t="n">
        <f aca="false">IF(AND(H_Direct=1,BY93&gt;0),MAX(0,IX93-(MIN(BY93*AKY92,IX93+MK93)-MIN(MIN(BY93*AKY92,IX93+MK93),MK93))),IX93)</f>
        <v>1270</v>
      </c>
      <c r="IZ93" s="20" t="n">
        <f aca="false">IF(AND(H_Direct=1,BZ93&gt;0),MAX(0,IY93-(MIN(BZ93*AKZ92,IY93+ML93)-MIN(MIN(BZ93*AKZ92,IY93+ML93),ML93))),IY93)</f>
        <v>1270</v>
      </c>
      <c r="JA93" s="20" t="n">
        <f aca="false">IF(AND(H_Direct=1,CA93&gt;0),MAX(0,IZ93-(MIN(CA93*ALA92,IZ93+MM93)-MIN(MIN(CA93*ALA92,IZ93+MM93),MM93))),IZ93)</f>
        <v>1270</v>
      </c>
      <c r="JB93" s="20" t="n">
        <f aca="false">IF(AND(H_Direct=1,CB93&gt;0),MAX(0,JA93-(MIN(CB93*ALB92,JA93+MN93)-MIN(MIN(CB93*ALB92,JA93+MN93),MN93))),JA93)</f>
        <v>1270</v>
      </c>
      <c r="JC93" s="20" t="n">
        <f aca="false">IF(AND(H_Direct=1,CC93&gt;0),MAX(0,JB93-(MIN(CC93*ALC92,JB93+MO93)-MIN(MIN(CC93*ALC92,JB93+MO93),MO93))),JB93)</f>
        <v>1270</v>
      </c>
      <c r="JD93" s="20" t="n">
        <f aca="false">IF(AND(H_Direct=1,CD93&gt;0),MAX(0,JC93-(MIN(CD93*ALD92,JC93+MP93)-MIN(MIN(CD93*ALD92,JC93+MP93),MP93))),JC93)</f>
        <v>1270</v>
      </c>
      <c r="JE93" s="20" t="n">
        <f aca="false">IF(AND(H_Direct=1,CE93&gt;0),MAX(0,JD93-(MIN(CE93*ALE92,JD93+MQ93)-MIN(MIN(CE93*ALE92,JD93+MQ93),MQ93))),JD93)</f>
        <v>1270</v>
      </c>
      <c r="JF93" s="20" t="n">
        <f aca="false">IF(AND(H_Direct=1,CF93&gt;0),MAX(0,JE93-(MIN(CF93*ALF92,JE93+MR93)-MIN(MIN(CF93*ALF92,JE93+MR93),MR93))),JE93)</f>
        <v>1270</v>
      </c>
      <c r="JG93" s="20" t="n">
        <f aca="false">IF(AND(H_Direct=1,CG93&gt;0),MAX(0,JF93-(MIN(CG93*ALG92,JF93+MS93)-MIN(MIN(CG93*ALG92,JF93+MS93),MS93))),JF93)</f>
        <v>1270</v>
      </c>
      <c r="JH93" s="20" t="n">
        <f aca="false">IF(AND(H_Direct=1,CH93&gt;0),MAX(0,JG93-(MIN(CH93*ALH92,JG93+MT93)-MIN(MIN(CH93*ALH92,JG93+MT93),MT93))),JG93)</f>
        <v>1270</v>
      </c>
      <c r="JI93" s="20" t="n">
        <f aca="false">IF(AND(H_Direct=1,CI93&gt;0),MAX(0,JH93-(MIN(CI93*ALI92,JH93+MU93)-MIN(MIN(CI93*ALI92,JH93+MU93),MU93))),JH93)</f>
        <v>1270</v>
      </c>
      <c r="JJ93" s="20" t="n">
        <f aca="false">IF(AND(H_Direct=1,CJ93&gt;0),MAX(0,JI93-(MIN(CJ93*ALJ92,JI93+MV93)-MIN(MIN(CJ93*ALJ92,JI93+MV93),MV93))),JI93)</f>
        <v>1270</v>
      </c>
      <c r="JK93" s="20" t="n">
        <f aca="false">IF(AND(H_Direct=1,CK93&gt;0),MAX(0,JJ93-(MIN(CK93*ALK92,JJ93+MW93)-MIN(MIN(CK93*ALK92,JJ93+MW93),MW93))),JJ93)</f>
        <v>1270</v>
      </c>
      <c r="JL93" s="20" t="n">
        <f aca="false">IF(AND(H_Direct=1,CL93&gt;0),MAX(0,JK93-(MIN(CL93*ALL92,JK93+MX93)-MIN(MIN(CL93*ALL92,JK93+MX93),MX93))),JK93)</f>
        <v>1270</v>
      </c>
      <c r="JM93" s="20" t="n">
        <f aca="false">IF(AND(H_Direct=1,CM93&gt;0),MAX(0,JL93-(MIN(CM93*ALM92,JL93+MY93)-MIN(MIN(CM93*ALM92,JL93+MY93),MY93))),JL93)</f>
        <v>1270</v>
      </c>
      <c r="JN93" s="20" t="n">
        <f aca="false">IF(AND(H_Direct=1,CN93&gt;0),MAX(0,JM93-(MIN(CN93*ALN92,JM93+MZ93)-MIN(MIN(CN93*ALN92,JM93+MZ93),MZ93))),JM93)</f>
        <v>1270</v>
      </c>
      <c r="JO93" s="20" t="n">
        <f aca="false">IF(AND(H_Direct=1,CO93&gt;0),MAX(0,JN93-(MIN(CO93*ALO92,JN93+NA93)-MIN(MIN(CO93*ALO92,JN93+NA93),NA93))),JN93)</f>
        <v>1270</v>
      </c>
      <c r="JP93" s="20" t="n">
        <f aca="false">IF(AND(H_Direct=1,CP93&gt;0),MAX(0,JO93-(MIN(CP93*ALP92,JO93+NB93)-MIN(MIN(CP93*ALP92,JO93+NB93),NB93))),JO93)</f>
        <v>1270</v>
      </c>
      <c r="JQ93" s="20" t="n">
        <f aca="false">IF(AND(H_Direct=1,CQ93&gt;0),MAX(0,JP93-(MIN(CQ93*ALQ92,JP93+NC93)-MIN(MIN(CQ93*ALQ92,JP93+NC93),NC93))),JP93)</f>
        <v>1270</v>
      </c>
      <c r="JR93" s="20" t="n">
        <f aca="false">IF(AND(H_Direct=1,CR93&gt;0),MAX(0,JQ93-(MIN(CR93*ALR92,JQ93+ND93)-MIN(MIN(CR93*ALR92,JQ93+ND93),ND93))),JQ93)</f>
        <v>1270</v>
      </c>
      <c r="JS93" s="20" t="n">
        <f aca="false">IF(AND(H_Direct=1,CS93&gt;0),MAX(0,JR93-(MIN(CS93*ALS92,JR93+NE93)-MIN(MIN(CS93*ALS92,JR93+NE93),NE93))),JR93)</f>
        <v>1270</v>
      </c>
      <c r="JT93" s="20" t="n">
        <f aca="false">IF(AND(H_Direct=1,CT93&gt;0),MAX(0,JS93-(MIN(CT93*ALT92,JS93+NF93)-MIN(MIN(CT93*ALT92,JS93+NF93),NF93))),JS93)</f>
        <v>1270</v>
      </c>
      <c r="JU93" s="20" t="n">
        <f aca="false">IF(AND(H_Direct=1,CU93&gt;0),MAX(0,JT93-(MIN(CU93*ALU92,JT93+NG93)-MIN(MIN(CU93*ALU92,JT93+NG93),NG93))),JT93)</f>
        <v>1270</v>
      </c>
      <c r="JV93" s="20" t="n">
        <f aca="false">IF(AND(H_Direct=1,CV93&gt;0),MAX(0,JU93-(MIN(CV93*ALV92,JU93+NH93)-MIN(MIN(CV93*ALV92,JU93+NH93),NH93))),JU93)</f>
        <v>1270</v>
      </c>
      <c r="JW93" s="20" t="n">
        <f aca="false">IF(AND(H_Direct=1,CW93&gt;0),MAX(0,JV93-(MIN(CW93*ALW92,JV93+NI93)-MIN(MIN(CW93*ALW92,JV93+NI93),NI93))),JV93)</f>
        <v>1270</v>
      </c>
      <c r="JX93" s="20" t="n">
        <f aca="false">IF(AND(H_Direct=1,CX93&gt;0),MAX(0,JW93-(MIN(CX93*ALX92,JW93+NJ93)-MIN(MIN(CX93*ALX92,JW93+NJ93),NJ93))),JW93)</f>
        <v>1270</v>
      </c>
      <c r="JY93" s="20" t="n">
        <f aca="false">IF(AND(H_Direct=1,CY93&gt;0),MAX(0,JX93-(MIN(CY93*ALY92,JX93+NK93)-MIN(MIN(CY93*ALY92,JX93+NK93),NK93))),JX93)</f>
        <v>1270</v>
      </c>
      <c r="JZ93" s="20" t="n">
        <f aca="false">IF(AND(H_Direct=1,CZ93&gt;0),MAX(0,JY93-(MIN(CZ93*ALZ92,JY93+NL93)-MIN(MIN(CZ93*ALZ92,JY93+NL93),NL93))),JY93)</f>
        <v>1270</v>
      </c>
      <c r="KA93" s="20" t="n">
        <f aca="false">IF(AND(H_Direct=1,DA93&gt;0),MAX(0,JZ93-(MIN(DA93*AMA92,JZ93+NM93)-MIN(MIN(DA93*AMA92,JZ93+NM93),NM93))),JZ93)</f>
        <v>1270</v>
      </c>
      <c r="KB93" s="20" t="n">
        <f aca="false">IF(AND(H_Direct=1,DB93&gt;0),MAX(0,KA93-(MIN(DB93*AMB92,KA93+NN93)-MIN(MIN(DB93*AMB92,KA93+NN93),NN93))),KA93)</f>
        <v>1270</v>
      </c>
      <c r="KC93" s="20" t="n">
        <f aca="false">IF(AND(H_Direct=1,DC93&gt;0),MAX(0,KB93-(MIN(DC93*AMC92,KB93+NO93)-MIN(MIN(DC93*AMC92,KB93+NO93),NO93))),KB93)</f>
        <v>1270</v>
      </c>
      <c r="KD93" s="20" t="n">
        <f aca="false">IF(AND(H_Direct=1,DD93&gt;0),MAX(0,KC93-(MIN(DD93*AMD92,KC93+NP93)-MIN(MIN(DD93*AMD92,KC93+NP93),NP93))),KC93)</f>
        <v>1270</v>
      </c>
      <c r="KE93" s="20" t="n">
        <f aca="false">IF(AND(H_Direct=1,DE93&gt;0),MAX(0,KD93-(MIN(DE93*AME92,KD93+NQ93)-MIN(MIN(DE93*AME92,KD93+NQ93),NQ93))),KD93)</f>
        <v>1270</v>
      </c>
      <c r="KF93" s="20" t="n">
        <f aca="false">IF(AND(H_Direct=1,DF93&gt;0),MAX(0,KE93-(MIN(DF93*AMF92,KE93+NR93)-MIN(MIN(DF93*AMF92,KE93+NR93),NR93))),KE93)</f>
        <v>1270</v>
      </c>
      <c r="KG93" s="20" t="n">
        <f aca="false">IF(AND(H_Direct=1,DG93&gt;0),MAX(0,KF93-(MIN(DG93*AMG92,KF93+NS93)-MIN(MIN(DG93*AMG92,KF93+NS93),NS93))),KF93)</f>
        <v>1270</v>
      </c>
      <c r="KH93" s="20" t="n">
        <f aca="false">IF(AND(H_Direct=1,DH93&gt;0),MAX(0,KG93-(MIN(DH93*AMH92,KG93+NT93)-MIN(MIN(DH93*AMH92,KG93+NT93),NT93))),KG93)</f>
        <v>1270</v>
      </c>
      <c r="KI93" s="20" t="n">
        <f aca="false">IF(AND(H_Direct=1,DI93&gt;0),MAX(0,KH93-(MIN(DI93*AMI92,KH93+NU93)-MIN(MIN(DI93*AMI92,KH93+NU93),NU93))),KH93)</f>
        <v>1270</v>
      </c>
      <c r="KJ93" s="20" t="n">
        <f aca="false">IF(AND(H_Direct=1,DJ93&gt;0),MAX(0,KI93-(MIN(DJ93*AMJ92,KI93+NV93)-MIN(MIN(DJ93*AMJ92,KI93+NV93),NV93))),KI93)</f>
        <v>1270</v>
      </c>
      <c r="KK93" s="20" t="n">
        <f aca="false">IF(AND(H_Direct=1,DK93&gt;0),MAX(0,KJ93-(MIN(DK93*AMK92,KJ93+NW93)-MIN(MIN(DK93*AMK92,KJ93+NW93),NW93))),KJ93)</f>
        <v>1270</v>
      </c>
      <c r="KL93" s="20" t="n">
        <f aca="false">IF(AND(H_Direct=1,DL93&gt;0),MAX(0,KK93-(MIN(DL93*AML92,KK93+NX93)-MIN(MIN(DL93*AML92,KK93+NX93),NX93))),KK93)</f>
        <v>1270</v>
      </c>
      <c r="KM93" s="20" t="n">
        <f aca="false">IF(AND(H_Direct=1,DM93&gt;0),MAX(0,KL93-(MIN(DM93*AMM92,KL93+NY93)-MIN(MIN(DM93*AMM92,KL93+NY93),NY93))),KL93)</f>
        <v>1270</v>
      </c>
      <c r="KN93" s="20" t="n">
        <f aca="false">IF(AND(H_Direct=1,DN93&gt;0),MAX(0,KM93-(MIN(DN93*AMN92,KM93+NZ93)-MIN(MIN(DN93*AMN92,KM93+NZ93),NZ93))),KM93)</f>
        <v>1270</v>
      </c>
      <c r="KO93" s="20" t="n">
        <f aca="false">IF(AND(H_Direct=1,DO93&gt;0),MAX(0,KN93-(MIN(DO93*AMO92,KN93+OA93)-MIN(MIN(DO93*AMO92,KN93+OA93),OA93))),KN93)</f>
        <v>1270</v>
      </c>
      <c r="KP93" s="20" t="n">
        <f aca="false">IF(AND(H_Direct=1,DP93&gt;0),MAX(0,KO93-(MIN(DP93*AMP92,KO93+OB93)-MIN(MIN(DP93*AMP92,KO93+OB93),OB93))),KO93)</f>
        <v>1270</v>
      </c>
      <c r="KQ93" s="20" t="n">
        <f aca="false">IF(AND(H_Direct=1,DQ93&gt;0),MAX(0,KP93-(MIN(DQ93*AMQ92,KP93+OC93)-MIN(MIN(DQ93*AMQ92,KP93+OC93),OC93))),KP93)</f>
        <v>1270</v>
      </c>
      <c r="KR93" s="20" t="n">
        <f aca="false">IF(AND(H_Direct=1,DR93&gt;0),MAX(0,KQ93-(MIN(DR93*AMR92,KQ93+OD93)-MIN(MIN(DR93*AMR92,KQ93+OD93),OD93))),KQ93)</f>
        <v>1270</v>
      </c>
      <c r="KS93" s="20" t="n">
        <f aca="false">IF(AND(H_Direct=1,DS93&gt;0),MAX(0,KR93-(MIN(DS93*AMS92,KR93+OE93)-MIN(MIN(DS93*AMS92,KR93+OE93),OE93))),KR93)</f>
        <v>1270</v>
      </c>
      <c r="KT93" s="20" t="n">
        <f aca="false">IF(AND(H_Direct=1,DT93&gt;0),MAX(0,KS93-(MIN(DT93*AMT92,KS93+OF93)-MIN(MIN(DT93*AMT92,KS93+OF93),OF93))),KS93)</f>
        <v>1270</v>
      </c>
      <c r="KU93" s="20" t="n">
        <f aca="false">IF(AND(H_Direct=1,DU93&gt;0),MAX(0,KT93-(MIN(DU93*AMU92,KT93+OG93)-MIN(MIN(DU93*AMU92,KT93+OG93),OG93))),KT93)</f>
        <v>1270</v>
      </c>
      <c r="KV93" s="20" t="n">
        <f aca="false">IF(AND(H_Direct=1,DV93&gt;0),MAX(0,KU93-(MIN(DV93*AMV92,KU93+OH93)-MIN(MIN(DV93*AMV92,KU93+OH93),OH93))),KU93)</f>
        <v>1270</v>
      </c>
      <c r="KW93" s="20" t="n">
        <f aca="false">IF(AND(H_Direct=1,DW93&gt;0),MAX(0,KV93-(MIN(DW93*AMW92,KV93+OI93)-MIN(MIN(DW93*AMW92,KV93+OI93),OI93))),KV93)</f>
        <v>1270</v>
      </c>
      <c r="KX93" s="20" t="n">
        <f aca="false">IF(AND(H_Direct=1,DX93&gt;0),MAX(0,KW93-(MIN(DX93*AMX92,KW93+OJ93)-MIN(MIN(DX93*AMX92,KW93+OJ93),OJ93))),KW93)</f>
        <v>1270</v>
      </c>
      <c r="KY93" s="20" t="n">
        <f aca="false">IF(AND(H_Direct=1,DY93&gt;0),MAX(0,KX93-(MIN(DY93*AMY92,KX93+OK93)-MIN(MIN(DY93*AMY92,KX93+OK93),OK93))),KX93)</f>
        <v>1270</v>
      </c>
      <c r="KZ93" s="20" t="n">
        <f aca="false">IF(AND(H_Direct=1,DZ93&gt;0),MAX(0,KY93-(MIN(DZ93*AMZ92,KY93+OL93)-MIN(MIN(DZ93*AMZ92,KY93+OL93),OL93))),KY93)</f>
        <v>1270</v>
      </c>
      <c r="LA93" s="20" t="n">
        <f aca="false">IF(AND(H_Direct=1,EA93&gt;0),MAX(0,KZ93-(MIN(EA93*ANA92,KZ93+OM93)-MIN(MIN(EA93*ANA92,KZ93+OM93),OM93))),KZ93)</f>
        <v>1270</v>
      </c>
      <c r="LB93" s="20" t="n">
        <f aca="false">IF(AND(H_Direct=1,EB93&gt;0),MAX(0,LA93-(MIN(EB93*ANB92,LA93+ON93)-MIN(MIN(EB93*ANB92,LA93+ON93),ON93))),LA93)</f>
        <v>1270</v>
      </c>
      <c r="LC93" s="20" t="n">
        <f aca="false">IF(AND(H_Direct=1,EC93&gt;0),MAX(0,LB93-(MIN(EC93*ANC92,LB93+OO93)-MIN(MIN(EC93*ANC92,LB93+OO93),OO93))),LB93)</f>
        <v>1270</v>
      </c>
      <c r="LD93" s="20" t="n">
        <f aca="false">IF(AND(H_Direct=1,ED93&gt;0),MAX(0,LC93-(MIN(ED93*AND92,LC93+OP93)-MIN(MIN(ED93*AND92,LC93+OP93),OP93))),LC93)</f>
        <v>1270</v>
      </c>
      <c r="LE93" s="20" t="n">
        <f aca="false">IF(AND(H_Direct=1,EE93&gt;0),MAX(0,LD93-(MIN(EE93*ANE92,LD93+OQ93)-MIN(MIN(EE93*ANE92,LD93+OQ93),OQ93))),LD93)</f>
        <v>1270</v>
      </c>
      <c r="LF93" s="20" t="n">
        <f aca="false">IF(AND(H_Direct=1,EF93&gt;0),MAX(0,LE93-(MIN(EF93*ANF92,LE93+OR93)-MIN(MIN(EF93*ANF92,LE93+OR93),OR93))),LE93)</f>
        <v>1270</v>
      </c>
      <c r="LG93" s="20" t="n">
        <f aca="false">IF(AND(H_Direct=1,EG93&gt;0),MAX(0,LF93-(MIN(EG93*ANG92,LF93+OS93)-MIN(MIN(EG93*ANG92,LF93+OS93),OS93))),LF93)</f>
        <v>1270</v>
      </c>
      <c r="LH93" s="20" t="n">
        <f aca="false">IF(AND(H_Direct=1,EH93&gt;0),MAX(0,LG93-(MIN(EH93*ANH92,LG93+OT93)-MIN(MIN(EH93*ANH92,LG93+OT93),OT93))),LG93)</f>
        <v>1270</v>
      </c>
      <c r="LI93" s="20" t="n">
        <f aca="false">IF(AND(H_Direct=1,EI93&gt;0),MAX(0,LH93-(MIN(EI93*ANI92,LH93+OU93)-MIN(MIN(EI93*ANI92,LH93+OU93),OU93))),LH93)</f>
        <v>1270</v>
      </c>
      <c r="LJ93" s="20" t="n">
        <f aca="false">IF(AND(H_Direct=1,EJ93&gt;0),MAX(0,LI93-(MIN(EJ93*ANJ92,LI93+OV93)-MIN(MIN(EJ93*ANJ92,LI93+OV93),OV93))),LI93)</f>
        <v>1270</v>
      </c>
      <c r="LK93" s="20" t="n">
        <f aca="false">IF(AND(H_Direct=1,EK93&gt;0),MAX(0,LJ93-(MIN(EK93*ANK92,LJ93+OW93)-MIN(MIN(EK93*ANK92,LJ93+OW93),OW93))),LJ93)</f>
        <v>1270</v>
      </c>
      <c r="LL93" s="20" t="n">
        <f aca="false">IF(AND(H_Direct=1,EL93&gt;0),MAX(0,LK93-(MIN(EL93*ANL92,LK93+OX93)-MIN(MIN(EL93*ANL92,LK93+OX93),OX93))),LK93)</f>
        <v>1270</v>
      </c>
      <c r="LM93" s="20" t="n">
        <f aca="false">IF(AND(H_Direct=1,EM93&gt;0),MAX(0,LL93-(MIN(EM93*ANM92,LL93+OY93)-MIN(MIN(EM93*ANM92,LL93+OY93),OY93))),LL93)</f>
        <v>1270</v>
      </c>
      <c r="LN93" s="20" t="n">
        <f aca="false">IF(AND(H_Direct=1,EN93&gt;0),MAX(0,LM93-(MIN(EN93*ANN92,LM93+OZ93)-MIN(MIN(EN93*ANN92,LM93+OZ93),OZ93))),LM93)</f>
        <v>1270</v>
      </c>
      <c r="LO93" s="20" t="n">
        <f aca="false">IF(AND(H_Direct=1,EO93&gt;0),MAX(0,LN93-(MIN(EO93*ANO92,LN93+PA93)-MIN(MIN(EO93*ANO92,LN93+PA93),PA93))),LN93)</f>
        <v>1270</v>
      </c>
      <c r="LP93" s="20" t="n">
        <f aca="false">IF(AND(H_Direct=1,EP93&gt;0),MAX(0,LO93-(MIN(EP93*ANP92,LO93+PB93)-MIN(MIN(EP93*ANP92,LO93+PB93),PB93))),LO93)</f>
        <v>1270</v>
      </c>
      <c r="LQ93" s="20" t="n">
        <f aca="false">IF(AND(H_Direct=1,EQ93&gt;0),MAX(0,LP93-(MIN(EQ93*ANQ92,LP93+PC93)-MIN(MIN(EQ93*ANQ92,LP93+PC93),PC93))),LP93)</f>
        <v>1270</v>
      </c>
      <c r="LR93" s="20" t="n">
        <f aca="false">IF(AND(H_Direct=1,ER93&gt;0),MAX(0,LQ93-(MIN(ER93*ANR92,LQ93+PD93)-MIN(MIN(ER93*ANR92,LQ93+PD93),PD93))),LQ93)</f>
        <v>1270</v>
      </c>
      <c r="LS93" s="20" t="n">
        <f aca="false">IF(AND(H_Direct=1,ES93&gt;0),MAX(0,LR93-(MIN(ES93*ANS92,LR93+PE93)-MIN(MIN(ES93*ANS92,LR93+PE93),PE93))),LR93)</f>
        <v>1270</v>
      </c>
      <c r="LT93" s="20" t="n">
        <f aca="false">IF(AND(H_Direct=1,ET93&gt;0),MAX(0,LS93-(MIN(ET93*ANT92,LS93+PF93)-MIN(MIN(ET93*ANT92,LS93+PF93),PF93))),LS93)</f>
        <v>1270</v>
      </c>
      <c r="LU93" s="20" t="n">
        <f aca="false">IF(AND(H_Direct=1,EU93&gt;0),MAX(0,LT93-(MIN(EU93*ANU92,LT93+PG93)-MIN(MIN(EU93*ANU92,LT93+PG93),PG93))),LT93)</f>
        <v>1270</v>
      </c>
      <c r="LV93" s="20" t="n">
        <f aca="false">IF(AND(H_Direct=1,EV93&gt;0),MAX(0,LU93-(MIN(EV93*ANV92,LU93+PH93)-MIN(MIN(EV93*ANV92,LU93+PH93),PH93))),LU93)</f>
        <v>1270</v>
      </c>
      <c r="LW93" s="20" t="n">
        <f aca="false">IF(AND(H_Direct=1,EW93&gt;0),MAX(0,LV93-(MIN(EW93*ANW92,LV93+PI93)-MIN(MIN(EW93*ANW92,LV93+PI93),PI93))),LV93)</f>
        <v>1270</v>
      </c>
      <c r="LX93" s="20" t="n">
        <f aca="false">IF(AND(H_Direct=1,EX93&gt;0),MAX(0,LW93-(MIN(EX93*ANX92,LW93+PJ93)-MIN(MIN(EX93*ANX92,LW93+PJ93),PJ93))),LW93)</f>
        <v>1270</v>
      </c>
      <c r="LY93" s="20" t="n">
        <f aca="false">IF(AND(H_Direct=1,EY93&gt;0),MAX(0,LX93-(MIN(EY93*ANY92,LX93+PK93)-MIN(MIN(EY93*ANY92,LX93+PK93),PK93))),LX93)</f>
        <v>1270</v>
      </c>
      <c r="LZ93" s="20" t="n">
        <f aca="false">IF(AND(H_Direct=1,EZ93&gt;0),MAX(0,LY93-(MIN(EZ93*(P93+S93),LY93+PL93)-MIN(MIN(EZ93*(P93+S93),LY93+PL93),PL93))),LY93)</f>
        <v>1270</v>
      </c>
      <c r="MA93" s="20" t="n">
        <f aca="false">LZ93</f>
        <v>1270</v>
      </c>
      <c r="MB93" s="20" t="n">
        <f aca="false">MA93</f>
        <v>1270</v>
      </c>
      <c r="MC93" s="20" t="n">
        <f aca="false">MB93</f>
        <v>1270</v>
      </c>
      <c r="MD93" s="20" t="n">
        <f aca="false">MC93</f>
        <v>1270</v>
      </c>
      <c r="ME93" s="20" t="n">
        <f aca="false">IF(H_Direct=1,IF(BR93&lt;=0,I93-BR93*AKR92,I93-MIN(MIN(BR93*AKR92,H93+I93),I93)),I93)</f>
        <v>0</v>
      </c>
      <c r="MF93" s="20" t="n">
        <f aca="false">IF(H_Direct=1,IF(BS93&lt;=0,ME93-BS93*AKS92,ME93-MIN(MIN(BS93*AKS92,IR93+ME93),ME93)),ME93)</f>
        <v>0</v>
      </c>
      <c r="MG93" s="20" t="n">
        <f aca="false">IF(H_Direct=1,IF(BT93&lt;=0,MF93-BT93*AKT92,MF93-MIN(MIN(BT93*AKT92,IS93+MF93),MF93)),MF93)</f>
        <v>0</v>
      </c>
      <c r="MH93" s="20" t="n">
        <f aca="false">IF(H_Direct=1,IF(BU93&lt;=0,MG93-BU93*AKU92,MG93-MIN(MIN(BU93*AKU92,IT93+MG93),MG93)),MG93)</f>
        <v>0</v>
      </c>
      <c r="MI93" s="20" t="n">
        <f aca="false">IF(H_Direct=1,IF(BV93&lt;=0,MH93-BV93*AKV92,MH93-MIN(MIN(BV93*AKV92,IU93+MH93),MH93)),MH93)</f>
        <v>0</v>
      </c>
      <c r="MJ93" s="20" t="n">
        <f aca="false">IF(H_Direct=1,IF(BW93&lt;=0,MI93-BW93*AKW92,MI93-MIN(MIN(BW93*AKW92,IV93+MI93),MI93)),MI93)</f>
        <v>0</v>
      </c>
      <c r="MK93" s="20" t="n">
        <f aca="false">IF(H_Direct=1,IF(BX93&lt;=0,MJ93-BX93*AKX92,MJ93-MIN(MIN(BX93*AKX92,IW93+MJ93),MJ93)),MJ93)</f>
        <v>0</v>
      </c>
      <c r="ML93" s="20" t="n">
        <f aca="false">IF(H_Direct=1,IF(BY93&lt;=0,MK93-BY93*AKY92,MK93-MIN(MIN(BY93*AKY92,IX93+MK93),MK93)),MK93)</f>
        <v>0</v>
      </c>
      <c r="MM93" s="20" t="n">
        <f aca="false">IF(H_Direct=1,IF(BZ93&lt;=0,ML93-BZ93*AKZ92,ML93-MIN(MIN(BZ93*AKZ92,IY93+ML93),ML93)),ML93)</f>
        <v>0</v>
      </c>
      <c r="MN93" s="20" t="n">
        <f aca="false">IF(H_Direct=1,IF(CA93&lt;=0,MM93-CA93*ALA92,MM93-MIN(MIN(CA93*ALA92,IZ93+MM93),MM93)),MM93)</f>
        <v>0</v>
      </c>
      <c r="MO93" s="20" t="n">
        <f aca="false">IF(H_Direct=1,IF(CB93&lt;=0,MN93-CB93*ALB92,MN93-MIN(MIN(CB93*ALB92,JA93+MN93),MN93)),MN93)</f>
        <v>0</v>
      </c>
      <c r="MP93" s="20" t="n">
        <f aca="false">IF(H_Direct=1,IF(CC93&lt;=0,MO93-CC93*ALC92,MO93-MIN(MIN(CC93*ALC92,JB93+MO93),MO93)),MO93)</f>
        <v>0</v>
      </c>
      <c r="MQ93" s="20" t="n">
        <f aca="false">IF(H_Direct=1,IF(CD93&lt;=0,MP93-CD93*ALD92,MP93-MIN(MIN(CD93*ALD92,JC93+MP93),MP93)),MP93)</f>
        <v>0</v>
      </c>
      <c r="MR93" s="20" t="n">
        <f aca="false">IF(H_Direct=1,IF(CE93&lt;=0,MQ93-CE93*ALE92,MQ93-MIN(MIN(CE93*ALE92,JD93+MQ93),MQ93)),MQ93)</f>
        <v>0</v>
      </c>
      <c r="MS93" s="20" t="n">
        <f aca="false">IF(H_Direct=1,IF(CF93&lt;=0,MR93-CF93*ALF92,MR93-MIN(MIN(CF93*ALF92,JE93+MR93),MR93)),MR93)</f>
        <v>0</v>
      </c>
      <c r="MT93" s="20" t="n">
        <f aca="false">IF(H_Direct=1,IF(CG93&lt;=0,MS93-CG93*ALG92,MS93-MIN(MIN(CG93*ALG92,JF93+MS93),MS93)),MS93)</f>
        <v>0</v>
      </c>
      <c r="MU93" s="20" t="n">
        <f aca="false">IF(H_Direct=1,IF(CH93&lt;=0,MT93-CH93*ALH92,MT93-MIN(MIN(CH93*ALH92,JG93+MT93),MT93)),MT93)</f>
        <v>0</v>
      </c>
      <c r="MV93" s="20" t="n">
        <f aca="false">IF(H_Direct=1,IF(CI93&lt;=0,MU93-CI93*ALI92,MU93-MIN(MIN(CI93*ALI92,JH93+MU93),MU93)),MU93)</f>
        <v>0</v>
      </c>
      <c r="MW93" s="20" t="n">
        <f aca="false">IF(H_Direct=1,IF(CJ93&lt;=0,MV93-CJ93*ALJ92,MV93-MIN(MIN(CJ93*ALJ92,JI93+MV93),MV93)),MV93)</f>
        <v>0</v>
      </c>
      <c r="MX93" s="20" t="n">
        <f aca="false">IF(H_Direct=1,IF(CK93&lt;=0,MW93-CK93*ALK92,MW93-MIN(MIN(CK93*ALK92,JJ93+MW93),MW93)),MW93)</f>
        <v>0</v>
      </c>
      <c r="MY93" s="20" t="n">
        <f aca="false">IF(H_Direct=1,IF(CL93&lt;=0,MX93-CL93*ALL92,MX93-MIN(MIN(CL93*ALL92,JK93+MX93),MX93)),MX93)</f>
        <v>0</v>
      </c>
      <c r="MZ93" s="20" t="n">
        <f aca="false">IF(H_Direct=1,IF(CM93&lt;=0,MY93-CM93*ALM92,MY93-MIN(MIN(CM93*ALM92,JL93+MY93),MY93)),MY93)</f>
        <v>0</v>
      </c>
      <c r="NA93" s="20" t="n">
        <f aca="false">IF(H_Direct=1,IF(CN93&lt;=0,MZ93-CN93*ALN92,MZ93-MIN(MIN(CN93*ALN92,JM93+MZ93),MZ93)),MZ93)</f>
        <v>0</v>
      </c>
      <c r="NB93" s="20" t="n">
        <f aca="false">IF(H_Direct=1,IF(CO93&lt;=0,NA93-CO93*ALO92,NA93-MIN(MIN(CO93*ALO92,JN93+NA93),NA93)),NA93)</f>
        <v>0</v>
      </c>
      <c r="NC93" s="20" t="n">
        <f aca="false">IF(H_Direct=1,IF(CP93&lt;=0,NB93-CP93*ALP92,NB93-MIN(MIN(CP93*ALP92,JO93+NB93),NB93)),NB93)</f>
        <v>0</v>
      </c>
      <c r="ND93" s="20" t="n">
        <f aca="false">IF(H_Direct=1,IF(CQ93&lt;=0,NC93-CQ93*ALQ92,NC93-MIN(MIN(CQ93*ALQ92,JP93+NC93),NC93)),NC93)</f>
        <v>0</v>
      </c>
      <c r="NE93" s="20" t="n">
        <f aca="false">IF(H_Direct=1,IF(CR93&lt;=0,ND93-CR93*ALR92,ND93-MIN(MIN(CR93*ALR92,JQ93+ND93),ND93)),ND93)</f>
        <v>0</v>
      </c>
      <c r="NF93" s="20" t="n">
        <f aca="false">IF(H_Direct=1,IF(CS93&lt;=0,NE93-CS93*ALS92,NE93-MIN(MIN(CS93*ALS92,JR93+NE93),NE93)),NE93)</f>
        <v>0</v>
      </c>
      <c r="NG93" s="20" t="n">
        <f aca="false">IF(H_Direct=1,IF(CT93&lt;=0,NF93-CT93*ALT92,NF93-MIN(MIN(CT93*ALT92,JS93+NF93),NF93)),NF93)</f>
        <v>0</v>
      </c>
      <c r="NH93" s="20" t="n">
        <f aca="false">IF(H_Direct=1,IF(CU93&lt;=0,NG93-CU93*ALU92,NG93-MIN(MIN(CU93*ALU92,JT93+NG93),NG93)),NG93)</f>
        <v>0</v>
      </c>
      <c r="NI93" s="20" t="n">
        <f aca="false">IF(H_Direct=1,IF(CV93&lt;=0,NH93-CV93*ALV92,NH93-MIN(MIN(CV93*ALV92,JU93+NH93),NH93)),NH93)</f>
        <v>0</v>
      </c>
      <c r="NJ93" s="20" t="n">
        <f aca="false">IF(H_Direct=1,IF(CW93&lt;=0,NI93-CW93*ALW92,NI93-MIN(MIN(CW93*ALW92,JV93+NI93),NI93)),NI93)</f>
        <v>0</v>
      </c>
      <c r="NK93" s="20" t="n">
        <f aca="false">IF(H_Direct=1,IF(CX93&lt;=0,NJ93-CX93*ALX92,NJ93-MIN(MIN(CX93*ALX92,JW93+NJ93),NJ93)),NJ93)</f>
        <v>0</v>
      </c>
      <c r="NL93" s="20" t="n">
        <f aca="false">IF(H_Direct=1,IF(CY93&lt;=0,NK93-CY93*ALY92,NK93-MIN(MIN(CY93*ALY92,JX93+NK93),NK93)),NK93)</f>
        <v>0</v>
      </c>
      <c r="NM93" s="20" t="n">
        <f aca="false">IF(H_Direct=1,IF(CZ93&lt;=0,NL93-CZ93*ALZ92,NL93-MIN(MIN(CZ93*ALZ92,JY93+NL93),NL93)),NL93)</f>
        <v>0</v>
      </c>
      <c r="NN93" s="20" t="n">
        <f aca="false">IF(H_Direct=1,IF(DA93&lt;=0,NM93-DA93*AMA92,NM93-MIN(MIN(DA93*AMA92,JZ93+NM93),NM93)),NM93)</f>
        <v>0</v>
      </c>
      <c r="NO93" s="20" t="n">
        <f aca="false">IF(H_Direct=1,IF(DB93&lt;=0,NN93-DB93*AMB92,NN93-MIN(MIN(DB93*AMB92,KA93+NN93),NN93)),NN93)</f>
        <v>0</v>
      </c>
      <c r="NP93" s="20" t="n">
        <f aca="false">IF(H_Direct=1,IF(DC93&lt;=0,NO93-DC93*AMC92,NO93-MIN(MIN(DC93*AMC92,KB93+NO93),NO93)),NO93)</f>
        <v>0</v>
      </c>
      <c r="NQ93" s="20" t="n">
        <f aca="false">IF(H_Direct=1,IF(DD93&lt;=0,NP93-DD93*AMD92,NP93-MIN(MIN(DD93*AMD92,KC93+NP93),NP93)),NP93)</f>
        <v>0</v>
      </c>
      <c r="NR93" s="20" t="n">
        <f aca="false">IF(H_Direct=1,IF(DE93&lt;=0,NQ93-DE93*AME92,NQ93-MIN(MIN(DE93*AME92,KD93+NQ93),NQ93)),NQ93)</f>
        <v>0</v>
      </c>
      <c r="NS93" s="20" t="n">
        <f aca="false">IF(H_Direct=1,IF(DF93&lt;=0,NR93-DF93*AMF92,NR93-MIN(MIN(DF93*AMF92,KE93+NR93),NR93)),NR93)</f>
        <v>0</v>
      </c>
      <c r="NT93" s="20" t="n">
        <f aca="false">IF(H_Direct=1,IF(DG93&lt;=0,NS93-DG93*AMG92,NS93-MIN(MIN(DG93*AMG92,KF93+NS93),NS93)),NS93)</f>
        <v>0</v>
      </c>
      <c r="NU93" s="20" t="n">
        <f aca="false">IF(H_Direct=1,IF(DH93&lt;=0,NT93-DH93*AMH92,NT93-MIN(MIN(DH93*AMH92,KG93+NT93),NT93)),NT93)</f>
        <v>0</v>
      </c>
      <c r="NV93" s="20" t="n">
        <f aca="false">IF(H_Direct=1,IF(DI93&lt;=0,NU93-DI93*AMI92,NU93-MIN(MIN(DI93*AMI92,KH93+NU93),NU93)),NU93)</f>
        <v>0</v>
      </c>
      <c r="NW93" s="20" t="n">
        <f aca="false">IF(H_Direct=1,IF(DJ93&lt;=0,NV93-DJ93*AMJ92,NV93-MIN(MIN(DJ93*AMJ92,KI93+NV93),NV93)),NV93)</f>
        <v>0</v>
      </c>
      <c r="NX93" s="20" t="n">
        <f aca="false">IF(H_Direct=1,IF(DK93&lt;=0,NW93-DK93*AMK92,NW93-MIN(MIN(DK93*AMK92,KJ93+NW93),NW93)),NW93)</f>
        <v>0</v>
      </c>
      <c r="NY93" s="20" t="n">
        <f aca="false">IF(H_Direct=1,IF(DL93&lt;=0,NX93-DL93*AML92,NX93-MIN(MIN(DL93*AML92,KK93+NX93),NX93)),NX93)</f>
        <v>0</v>
      </c>
      <c r="NZ93" s="20" t="n">
        <f aca="false">IF(H_Direct=1,IF(DM93&lt;=0,NY93-DM93*AMM92,NY93-MIN(MIN(DM93*AMM92,KL93+NY93),NY93)),NY93)</f>
        <v>0</v>
      </c>
      <c r="OA93" s="20" t="n">
        <f aca="false">IF(H_Direct=1,IF(DN93&lt;=0,NZ93-DN93*AMN92,NZ93-MIN(MIN(DN93*AMN92,KM93+NZ93),NZ93)),NZ93)</f>
        <v>0</v>
      </c>
      <c r="OB93" s="20" t="n">
        <f aca="false">IF(H_Direct=1,IF(DO93&lt;=0,OA93-DO93*AMO92,OA93-MIN(MIN(DO93*AMO92,KN93+OA93),OA93)),OA93)</f>
        <v>0</v>
      </c>
      <c r="OC93" s="20" t="n">
        <f aca="false">IF(H_Direct=1,IF(DP93&lt;=0,OB93-DP93*AMP92,OB93-MIN(MIN(DP93*AMP92,KO93+OB93),OB93)),OB93)</f>
        <v>0</v>
      </c>
      <c r="OD93" s="20" t="n">
        <f aca="false">IF(H_Direct=1,IF(DQ93&lt;=0,OC93-DQ93*AMQ92,OC93-MIN(MIN(DQ93*AMQ92,KP93+OC93),OC93)),OC93)</f>
        <v>0</v>
      </c>
      <c r="OE93" s="20" t="n">
        <f aca="false">IF(H_Direct=1,IF(DR93&lt;=0,OD93-DR93*AMR92,OD93-MIN(MIN(DR93*AMR92,KQ93+OD93),OD93)),OD93)</f>
        <v>0</v>
      </c>
      <c r="OF93" s="20" t="n">
        <f aca="false">IF(H_Direct=1,IF(DS93&lt;=0,OE93-DS93*AMS92,OE93-MIN(MIN(DS93*AMS92,KR93+OE93),OE93)),OE93)</f>
        <v>0</v>
      </c>
      <c r="OG93" s="20" t="n">
        <f aca="false">IF(H_Direct=1,IF(DT93&lt;=0,OF93-DT93*AMT92,OF93-MIN(MIN(DT93*AMT92,KS93+OF93),OF93)),OF93)</f>
        <v>0</v>
      </c>
      <c r="OH93" s="20" t="n">
        <f aca="false">IF(H_Direct=1,IF(DU93&lt;=0,OG93-DU93*AMU92,OG93-MIN(MIN(DU93*AMU92,KT93+OG93),OG93)),OG93)</f>
        <v>0</v>
      </c>
      <c r="OI93" s="20" t="n">
        <f aca="false">IF(H_Direct=1,IF(DV93&lt;=0,OH93-DV93*AMV92,OH93-MIN(MIN(DV93*AMV92,KU93+OH93),OH93)),OH93)</f>
        <v>0</v>
      </c>
      <c r="OJ93" s="20" t="n">
        <f aca="false">IF(H_Direct=1,IF(DW93&lt;=0,OI93-DW93*AMW92,OI93-MIN(MIN(DW93*AMW92,KV93+OI93),OI93)),OI93)</f>
        <v>0</v>
      </c>
      <c r="OK93" s="20" t="n">
        <f aca="false">IF(H_Direct=1,IF(DX93&lt;=0,OJ93-DX93*AMX92,OJ93-MIN(MIN(DX93*AMX92,KW93+OJ93),OJ93)),OJ93)</f>
        <v>0</v>
      </c>
      <c r="OL93" s="20" t="n">
        <f aca="false">IF(H_Direct=1,IF(DY93&lt;=0,OK93-DY93*AMY92,OK93-MIN(MIN(DY93*AMY92,KX93+OK93),OK93)),OK93)</f>
        <v>0</v>
      </c>
      <c r="OM93" s="20" t="n">
        <f aca="false">IF(H_Direct=1,IF(DZ93&lt;=0,OL93-DZ93*AMZ92,OL93-MIN(MIN(DZ93*AMZ92,KY93+OL93),OL93)),OL93)</f>
        <v>0</v>
      </c>
      <c r="ON93" s="20" t="n">
        <f aca="false">IF(H_Direct=1,IF(EA93&lt;=0,OM93-EA93*ANA92,OM93-MIN(MIN(EA93*ANA92,KZ93+OM93),OM93)),OM93)</f>
        <v>0</v>
      </c>
      <c r="OO93" s="20" t="n">
        <f aca="false">IF(H_Direct=1,IF(EB93&lt;=0,ON93-EB93*ANB92,ON93-MIN(MIN(EB93*ANB92,LA93+ON93),ON93)),ON93)</f>
        <v>0</v>
      </c>
      <c r="OP93" s="20" t="n">
        <f aca="false">IF(H_Direct=1,IF(EC93&lt;=0,OO93-EC93*ANC92,OO93-MIN(MIN(EC93*ANC92,LB93+OO93),OO93)),OO93)</f>
        <v>0</v>
      </c>
      <c r="OQ93" s="20" t="n">
        <f aca="false">IF(H_Direct=1,IF(ED93&lt;=0,OP93-ED93*AND92,OP93-MIN(MIN(ED93*AND92,LC93+OP93),OP93)),OP93)</f>
        <v>0</v>
      </c>
      <c r="OR93" s="20" t="n">
        <f aca="false">IF(H_Direct=1,IF(EE93&lt;=0,OQ93-EE93*ANE92,OQ93-MIN(MIN(EE93*ANE92,LD93+OQ93),OQ93)),OQ93)</f>
        <v>0</v>
      </c>
      <c r="OS93" s="20" t="n">
        <f aca="false">IF(H_Direct=1,IF(EF93&lt;=0,OR93-EF93*ANF92,OR93-MIN(MIN(EF93*ANF92,LE93+OR93),OR93)),OR93)</f>
        <v>0</v>
      </c>
      <c r="OT93" s="20" t="n">
        <f aca="false">IF(H_Direct=1,IF(EG93&lt;=0,OS93-EG93*ANG92,OS93-MIN(MIN(EG93*ANG92,LF93+OS93),OS93)),OS93)</f>
        <v>0</v>
      </c>
      <c r="OU93" s="20" t="n">
        <f aca="false">IF(H_Direct=1,IF(EH93&lt;=0,OT93-EH93*ANH92,OT93-MIN(MIN(EH93*ANH92,LG93+OT93),OT93)),OT93)</f>
        <v>0</v>
      </c>
      <c r="OV93" s="20" t="n">
        <f aca="false">IF(H_Direct=1,IF(EI93&lt;=0,OU93-EI93*ANI92,OU93-MIN(MIN(EI93*ANI92,LH93+OU93),OU93)),OU93)</f>
        <v>0</v>
      </c>
      <c r="OW93" s="20" t="n">
        <f aca="false">IF(H_Direct=1,IF(EJ93&lt;=0,OV93-EJ93*ANJ92,OV93-MIN(MIN(EJ93*ANJ92,LI93+OV93),OV93)),OV93)</f>
        <v>0</v>
      </c>
      <c r="OX93" s="20" t="n">
        <f aca="false">IF(H_Direct=1,IF(EK93&lt;=0,OW93-EK93*ANK92,OW93-MIN(MIN(EK93*ANK92,LJ93+OW93),OW93)),OW93)</f>
        <v>0</v>
      </c>
      <c r="OY93" s="20" t="n">
        <f aca="false">IF(H_Direct=1,IF(EL93&lt;=0,OX93-EL93*ANL92,OX93-MIN(MIN(EL93*ANL92,LK93+OX93),OX93)),OX93)</f>
        <v>0</v>
      </c>
      <c r="OZ93" s="20" t="n">
        <f aca="false">IF(H_Direct=1,IF(EM93&lt;=0,OY93-EM93*ANM92,OY93-MIN(MIN(EM93*ANM92,LL93+OY93),OY93)),OY93)</f>
        <v>0</v>
      </c>
      <c r="PA93" s="20" t="n">
        <f aca="false">IF(H_Direct=1,IF(EN93&lt;=0,OZ93-EN93*ANN92,OZ93-MIN(MIN(EN93*ANN92,LM93+OZ93),OZ93)),OZ93)</f>
        <v>0</v>
      </c>
      <c r="PB93" s="20" t="n">
        <f aca="false">IF(H_Direct=1,IF(EO93&lt;=0,PA93-EO93*ANO92,PA93-MIN(MIN(EO93*ANO92,LN93+PA93),PA93)),PA93)</f>
        <v>0</v>
      </c>
      <c r="PC93" s="20" t="n">
        <f aca="false">IF(H_Direct=1,IF(EP93&lt;=0,PB93-EP93*ANP92,PB93-MIN(MIN(EP93*ANP92,LO93+PB93),PB93)),PB93)</f>
        <v>0</v>
      </c>
      <c r="PD93" s="20" t="n">
        <f aca="false">IF(H_Direct=1,IF(EQ93&lt;=0,PC93-EQ93*ANQ92,PC93-MIN(MIN(EQ93*ANQ92,LP93+PC93),PC93)),PC93)</f>
        <v>0</v>
      </c>
      <c r="PE93" s="20" t="n">
        <f aca="false">IF(H_Direct=1,IF(ER93&lt;=0,PD93-ER93*ANR92,PD93-MIN(MIN(ER93*ANR92,LQ93+PD93),PD93)),PD93)</f>
        <v>0</v>
      </c>
      <c r="PF93" s="20" t="n">
        <f aca="false">IF(H_Direct=1,IF(ES93&lt;=0,PE93-ES93*ANS92,PE93-MIN(MIN(ES93*ANS92,LR93+PE93),PE93)),PE93)</f>
        <v>0</v>
      </c>
      <c r="PG93" s="20" t="n">
        <f aca="false">IF(H_Direct=1,IF(ET93&lt;=0,PF93-ET93*ANT92,PF93-MIN(MIN(ET93*ANT92,LS93+PF93),PF93)),PF93)</f>
        <v>0</v>
      </c>
      <c r="PH93" s="20" t="n">
        <f aca="false">IF(H_Direct=1,IF(EU93&lt;=0,PG93-EU93*ANU92,PG93-MIN(MIN(EU93*ANU92,LT93+PG93),PG93)),PG93)</f>
        <v>0</v>
      </c>
      <c r="PI93" s="20" t="n">
        <f aca="false">IF(H_Direct=1,IF(EV93&lt;=0,PH93-EV93*ANV92,PH93-MIN(MIN(EV93*ANV92,LU93+PH93),PH93)),PH93)</f>
        <v>0</v>
      </c>
      <c r="PJ93" s="20" t="n">
        <f aca="false">IF(H_Direct=1,IF(EW93&lt;=0,PI93-EW93*ANW92,PI93-MIN(MIN(EW93*ANW92,LV93+PI93),PI93)),PI93)</f>
        <v>0</v>
      </c>
      <c r="PK93" s="20" t="n">
        <f aca="false">IF(H_Direct=1,IF(EX93&lt;=0,PJ93-EX93*ANX92,PJ93-MIN(MIN(EX93*ANX92,LW93+PJ93),PJ93)),PJ93)</f>
        <v>0</v>
      </c>
      <c r="PL93" s="20" t="n">
        <f aca="false">IF(H_Direct=1,IF(EY93&lt;=0,PK93-EY93*ANY92,PK93-MIN(MIN(EY93*ANY92,LX93+PK93),PK93)),PK93)</f>
        <v>0</v>
      </c>
      <c r="PM93" s="20" t="n">
        <f aca="false">IF(H_Direct=1,IF(EZ93&lt;=0,PL93-EZ93*(P93+S93),PL93-MIN(MIN(EZ93*(P93+S93),LY93+PL93),PL93)),PL93)</f>
        <v>0</v>
      </c>
      <c r="PN93" s="20" t="n">
        <f aca="false">PM93</f>
        <v>0</v>
      </c>
      <c r="PO93" s="20" t="n">
        <f aca="false">PN93</f>
        <v>0</v>
      </c>
      <c r="PP93" s="20" t="n">
        <f aca="false">PO93</f>
        <v>0</v>
      </c>
      <c r="PQ93" s="20" t="n">
        <f aca="false">PP93</f>
        <v>0</v>
      </c>
      <c r="PR93" s="20" t="n">
        <f aca="false">IF(H_Direct=1,IF(AKR92&lt;=0,0,IF(BR93&lt;=0,MIN(MAX(0,AB93),AKR92),MIN(MAX(0,AB93),AKR92-G93*MAX(0,BR93*AKR92-(H93+I93))))),MIN(FE93,MAX(0,AB93)))</f>
        <v>0</v>
      </c>
      <c r="PS93" s="20" t="n">
        <f aca="false">IF(H_Direct=1,IF(AKS92&lt;=0,0,IF(BS93&lt;=0,MIN(MAX(0,AB93-SUM(PR93:PR93)),AKS92),MIN(MAX(0,AB93-SUM(PR93:PR93)),AKS92-G93*MAX(0,BS93*AKS92-(WR93+AAE93))))),MIN(FF93,MAX(0,AB93-SUM(PR93:PR93))))</f>
        <v>0</v>
      </c>
      <c r="PT93" s="20" t="n">
        <f aca="false">IF(H_Direct=1,IF(AKT92&lt;=0,0,IF(BT93&lt;=0,MIN(MAX(0,AB93-SUM(PR93:PS93)),AKT92),MIN(MAX(0,AB93-SUM(PR93:PS93)),AKT92-G93*MAX(0,BT93*AKT92-(WS93+AAF93))))),MIN(FG93,MAX(0,AB93-SUM(PR93:PS93))))</f>
        <v>0</v>
      </c>
      <c r="PU93" s="20" t="n">
        <f aca="false">IF(H_Direct=1,IF(AKU92&lt;=0,0,IF(BU93&lt;=0,MIN(MAX(0,AB93-SUM(PR93:PT93)),AKU92),MIN(MAX(0,AB93-SUM(PR93:PT93)),AKU92-G93*MAX(0,BU93*AKU92-(WT93+AAG93))))),MIN(FH93,MAX(0,AB93-SUM(PR93:PT93))))</f>
        <v>0</v>
      </c>
      <c r="PV93" s="20" t="n">
        <f aca="false">IF(H_Direct=1,IF(AKV92&lt;=0,0,IF(BV93&lt;=0,MIN(MAX(0,AB93-SUM(PR93:PU93)),AKV92),MIN(MAX(0,AB93-SUM(PR93:PU93)),AKV92-G93*MAX(0,BV93*AKV92-(WU93+AAH93))))),MIN(FI93,MAX(0,AB93-SUM(PR93:PU93))))</f>
        <v>0</v>
      </c>
      <c r="PW93" s="20" t="n">
        <f aca="false">IF(H_Direct=1,IF(AKW92&lt;=0,0,IF(BW93&lt;=0,MIN(MAX(0,AB93-SUM(PR93:PV93)),AKW92),MIN(MAX(0,AB93-SUM(PR93:PV93)),AKW92-G93*MAX(0,BW93*AKW92-(WV93+AAI93))))),MIN(FJ93,MAX(0,AB93-SUM(PR93:PV93))))</f>
        <v>0</v>
      </c>
      <c r="PX93" s="20" t="n">
        <f aca="false">IF(H_Direct=1,IF(AKX92&lt;=0,0,IF(BX93&lt;=0,MIN(MAX(0,AB93-SUM(PR93:PW93)),AKX92),MIN(MAX(0,AB93-SUM(PR93:PW93)),AKX92-G93*MAX(0,BX93*AKX92-(WW93+AAJ93))))),MIN(FK93,MAX(0,AB93-SUM(PR93:PW93))))</f>
        <v>0</v>
      </c>
      <c r="PY93" s="20" t="n">
        <f aca="false">IF(H_Direct=1,IF(AKY92&lt;=0,0,IF(BY93&lt;=0,MIN(MAX(0,AB93-SUM(PR93:PX93)),AKY92),MIN(MAX(0,AB93-SUM(PR93:PX93)),AKY92-G93*MAX(0,BY93*AKY92-(WX93+AAK93))))),MIN(FL93,MAX(0,AB93-SUM(PR93:PX93))))</f>
        <v>0</v>
      </c>
      <c r="PZ93" s="20" t="n">
        <f aca="false">IF(H_Direct=1,IF(AKZ92&lt;=0,0,IF(BZ93&lt;=0,MIN(MAX(0,AB93-SUM(PR93:PY93)),AKZ92),MIN(MAX(0,AB93-SUM(PR93:PY93)),AKZ92-G93*MAX(0,BZ93*AKZ92-(WY93+AAL93))))),MIN(FM93,MAX(0,AB93-SUM(PR93:PY93))))</f>
        <v>0</v>
      </c>
      <c r="QA93" s="20" t="n">
        <f aca="false">IF(H_Direct=1,IF(ALA92&lt;=0,0,IF(CA93&lt;=0,MIN(MAX(0,AB93-SUM(PR93:PZ93)),ALA92),MIN(MAX(0,AB93-SUM(PR93:PZ93)),ALA92-G93*MAX(0,CA93*ALA92-(WZ93+AAM93))))),MIN(FN93,MAX(0,AB93-SUM(PR93:PZ93))))</f>
        <v>0</v>
      </c>
      <c r="QB93" s="20" t="n">
        <f aca="false">IF(H_Direct=1,IF(ALB92&lt;=0,0,IF(CB93&lt;=0,MIN(MAX(0,AB93-SUM(PR93:QA93)),ALB92),MIN(MAX(0,AB93-SUM(PR93:QA93)),ALB92-G93*MAX(0,CB93*ALB92-(XA93+AAN93))))),MIN(FO93,MAX(0,AB93-SUM(PR93:QA93))))</f>
        <v>0</v>
      </c>
      <c r="QC93" s="20" t="n">
        <f aca="false">IF(H_Direct=1,IF(ALC92&lt;=0,0,IF(CC93&lt;=0,MIN(MAX(0,AB93-SUM(PR93:QB93)),ALC92),MIN(MAX(0,AB93-SUM(PR93:QB93)),ALC92-G93*MAX(0,CC93*ALC92-(XB93+AAO93))))),MIN(FP93,MAX(0,AB93-SUM(PR93:QB93))))</f>
        <v>0</v>
      </c>
      <c r="QD93" s="20" t="n">
        <f aca="false">IF(H_Direct=1,IF(ALD92&lt;=0,0,IF(CD93&lt;=0,MIN(MAX(0,AB93-SUM(PR93:QC93)),ALD92),MIN(MAX(0,AB93-SUM(PR93:QC93)),ALD92-G93*MAX(0,CD93*ALD92-(XC93+AAP93))))),MIN(FQ93,MAX(0,AB93-SUM(PR93:QC93))))</f>
        <v>0</v>
      </c>
      <c r="QE93" s="20" t="n">
        <f aca="false">IF(H_Direct=1,IF(ALE92&lt;=0,0,IF(CE93&lt;=0,MIN(MAX(0,AB93-SUM(PR93:QD93)),ALE92),MIN(MAX(0,AB93-SUM(PR93:QD93)),ALE92-G93*MAX(0,CE93*ALE92-(XD93+AAQ93))))),MIN(FR93,MAX(0,AB93-SUM(PR93:QD93))))</f>
        <v>0</v>
      </c>
      <c r="QF93" s="20" t="n">
        <f aca="false">IF(H_Direct=1,IF(ALF92&lt;=0,0,IF(CF93&lt;=0,MIN(MAX(0,AB93-SUM(PR93:QE93)),ALF92),MIN(MAX(0,AB93-SUM(PR93:QE93)),ALF92-G93*MAX(0,CF93*ALF92-(XE93+AAR93))))),MIN(FS93,MAX(0,AB93-SUM(PR93:QE93))))</f>
        <v>0</v>
      </c>
      <c r="QG93" s="20" t="n">
        <f aca="false">IF(H_Direct=1,IF(ALG92&lt;=0,0,IF(CG93&lt;=0,MIN(MAX(0,AB93-SUM(PR93:QF93)),ALG92),MIN(MAX(0,AB93-SUM(PR93:QF93)),ALG92-G93*MAX(0,CG93*ALG92-(XF93+AAS93))))),MIN(FT93,MAX(0,AB93-SUM(PR93:QF93))))</f>
        <v>0</v>
      </c>
      <c r="QH93" s="20" t="n">
        <f aca="false">IF(H_Direct=1,IF(ALH92&lt;=0,0,IF(CH93&lt;=0,MIN(MAX(0,AB93-SUM(PR93:QG93)),ALH92),MIN(MAX(0,AB93-SUM(PR93:QG93)),ALH92-G93*MAX(0,CH93*ALH92-(XG93+AAT93))))),MIN(FU93,MAX(0,AB93-SUM(PR93:QG93))))</f>
        <v>0</v>
      </c>
      <c r="QI93" s="20" t="n">
        <f aca="false">IF(H_Direct=1,IF(ALI92&lt;=0,0,IF(CI93&lt;=0,MIN(MAX(0,AB93-SUM(PR93:QH93)),ALI92),MIN(MAX(0,AB93-SUM(PR93:QH93)),ALI92-G93*MAX(0,CI93*ALI92-(XH93+AAU93))))),MIN(FV93,MAX(0,AB93-SUM(PR93:QH93))))</f>
        <v>0</v>
      </c>
      <c r="QJ93" s="20" t="n">
        <f aca="false">IF(H_Direct=1,IF(ALJ92&lt;=0,0,IF(CJ93&lt;=0,MIN(MAX(0,AB93-SUM(PR93:QI93)),ALJ92),MIN(MAX(0,AB93-SUM(PR93:QI93)),ALJ92-G93*MAX(0,CJ93*ALJ92-(XI93+AAV93))))),MIN(FW93,MAX(0,AB93-SUM(PR93:QI93))))</f>
        <v>0</v>
      </c>
      <c r="QK93" s="20" t="n">
        <f aca="false">IF(H_Direct=1,IF(ALK92&lt;=0,0,IF(CK93&lt;=0,MIN(MAX(0,AB93-SUM(PR93:QJ93)),ALK92),MIN(MAX(0,AB93-SUM(PR93:QJ93)),ALK92-G93*MAX(0,CK93*ALK92-(XJ93+AAW93))))),MIN(FX93,MAX(0,AB93-SUM(PR93:QJ93))))</f>
        <v>0</v>
      </c>
      <c r="QL93" s="20" t="n">
        <f aca="false">IF(H_Direct=1,IF(ALL92&lt;=0,0,IF(CL93&lt;=0,MIN(MAX(0,AB93-SUM(PR93:QK93)),ALL92),MIN(MAX(0,AB93-SUM(PR93:QK93)),ALL92-G93*MAX(0,CL93*ALL92-(XK93+AAX93))))),MIN(FY93,MAX(0,AB93-SUM(PR93:QK93))))</f>
        <v>0</v>
      </c>
      <c r="QM93" s="20" t="n">
        <f aca="false">IF(H_Direct=1,IF(ALM92&lt;=0,0,IF(CM93&lt;=0,MIN(MAX(0,AB93-SUM(PR93:QL93)),ALM92),MIN(MAX(0,AB93-SUM(PR93:QL93)),ALM92-G93*MAX(0,CM93*ALM92-(XL93+AAY93))))),MIN(FZ93,MAX(0,AB93-SUM(PR93:QL93))))</f>
        <v>0</v>
      </c>
      <c r="QN93" s="20" t="n">
        <f aca="false">IF(H_Direct=1,IF(ALN92&lt;=0,0,IF(CN93&lt;=0,MIN(MAX(0,AB93-SUM(PR93:QM93)),ALN92),MIN(MAX(0,AB93-SUM(PR93:QM93)),ALN92-G93*MAX(0,CN93*ALN92-(XM93+AAZ93))))),MIN(GA93,MAX(0,AB93-SUM(PR93:QM93))))</f>
        <v>0</v>
      </c>
      <c r="QO93" s="20" t="n">
        <f aca="false">IF(H_Direct=1,IF(ALO92&lt;=0,0,IF(CO93&lt;=0,MIN(MAX(0,AB93-SUM(PR93:QN93)),ALO92),MIN(MAX(0,AB93-SUM(PR93:QN93)),ALO92-G93*MAX(0,CO93*ALO92-(XN93+ABA93))))),MIN(GB93,MAX(0,AB93-SUM(PR93:QN93))))</f>
        <v>0</v>
      </c>
      <c r="QP93" s="20" t="n">
        <f aca="false">IF(H_Direct=1,IF(ALP92&lt;=0,0,IF(CP93&lt;=0,MIN(MAX(0,AB93-SUM(PR93:QO93)),ALP92),MIN(MAX(0,AB93-SUM(PR93:QO93)),ALP92-G93*MAX(0,CP93*ALP92-(XO93+ABB93))))),MIN(GC93,MAX(0,AB93-SUM(PR93:QO93))))</f>
        <v>0</v>
      </c>
      <c r="QQ93" s="20" t="n">
        <f aca="false">IF(H_Direct=1,IF(ALQ92&lt;=0,0,IF(CQ93&lt;=0,MIN(MAX(0,AB93-SUM(PR93:QP93)),ALQ92),MIN(MAX(0,AB93-SUM(PR93:QP93)),ALQ92-G93*MAX(0,CQ93*ALQ92-(XP93+ABC93))))),MIN(GD93,MAX(0,AB93-SUM(PR93:QP93))))</f>
        <v>0</v>
      </c>
      <c r="QR93" s="20" t="n">
        <f aca="false">IF(H_Direct=1,IF(ALR92&lt;=0,0,IF(CR93&lt;=0,MIN(MAX(0,AB93-SUM(PR93:QQ93)),ALR92),MIN(MAX(0,AB93-SUM(PR93:QQ93)),ALR92-G93*MAX(0,CR93*ALR92-(XQ93+ABD93))))),MIN(GE93,MAX(0,AB93-SUM(PR93:QQ93))))</f>
        <v>0</v>
      </c>
      <c r="QS93" s="20" t="n">
        <f aca="false">IF(H_Direct=1,IF(ALS92&lt;=0,0,IF(CS93&lt;=0,MIN(MAX(0,AB93-SUM(PR93:QR93)),ALS92),MIN(MAX(0,AB93-SUM(PR93:QR93)),ALS92-G93*MAX(0,CS93*ALS92-(XR93+ABE93))))),MIN(GF93,MAX(0,AB93-SUM(PR93:QR93))))</f>
        <v>0</v>
      </c>
      <c r="QT93" s="20" t="n">
        <f aca="false">IF(H_Direct=1,IF(ALT92&lt;=0,0,IF(CT93&lt;=0,MIN(MAX(0,AB93-SUM(PR93:QS93)),ALT92),MIN(MAX(0,AB93-SUM(PR93:QS93)),ALT92-G93*MAX(0,CT93*ALT92-(XS93+ABF93))))),MIN(GG93,MAX(0,AB93-SUM(PR93:QS93))))</f>
        <v>0</v>
      </c>
      <c r="QU93" s="20" t="n">
        <f aca="false">IF(H_Direct=1,IF(ALU92&lt;=0,0,IF(CU93&lt;=0,MIN(MAX(0,AB93-SUM(PR93:QT93)),ALU92),MIN(MAX(0,AB93-SUM(PR93:QT93)),ALU92-G93*MAX(0,CU93*ALU92-(XT93+ABG93))))),MIN(GH93,MAX(0,AB93-SUM(PR93:QT93))))</f>
        <v>0</v>
      </c>
      <c r="QV93" s="20" t="n">
        <f aca="false">IF(H_Direct=1,IF(ALV92&lt;=0,0,IF(CV93&lt;=0,MIN(MAX(0,AB93-SUM(PR93:QU93)),ALV92),MIN(MAX(0,AB93-SUM(PR93:QU93)),ALV92-G93*MAX(0,CV93*ALV92-(XU93+ABH93))))),MIN(GI93,MAX(0,AB93-SUM(PR93:QU93))))</f>
        <v>0</v>
      </c>
      <c r="QW93" s="20" t="n">
        <f aca="false">IF(H_Direct=1,IF(ALW92&lt;=0,0,IF(CW93&lt;=0,MIN(MAX(0,AB93-SUM(PR93:QV93)),ALW92),MIN(MAX(0,AB93-SUM(PR93:QV93)),ALW92-G93*MAX(0,CW93*ALW92-(XV93+ABI93))))),MIN(GJ93,MAX(0,AB93-SUM(PR93:QV93))))</f>
        <v>0</v>
      </c>
      <c r="QX93" s="20" t="n">
        <f aca="false">IF(H_Direct=1,IF(ALX92&lt;=0,0,IF(CX93&lt;=0,MIN(MAX(0,AB93-SUM(PR93:QW93)),ALX92),MIN(MAX(0,AB93-SUM(PR93:QW93)),ALX92-G93*MAX(0,CX93*ALX92-(XW93+ABJ93))))),MIN(GK93,MAX(0,AB93-SUM(PR93:QW93))))</f>
        <v>0</v>
      </c>
      <c r="QY93" s="20" t="n">
        <f aca="false">IF(H_Direct=1,IF(ALY92&lt;=0,0,IF(CY93&lt;=0,MIN(MAX(0,AB93-SUM(PR93:QX93)),ALY92),MIN(MAX(0,AB93-SUM(PR93:QX93)),ALY92-G93*MAX(0,CY93*ALY92-(XX93+ABK93))))),MIN(GL93,MAX(0,AB93-SUM(PR93:QX93))))</f>
        <v>0</v>
      </c>
      <c r="QZ93" s="20" t="n">
        <f aca="false">IF(H_Direct=1,IF(ALZ92&lt;=0,0,IF(CZ93&lt;=0,MIN(MAX(0,AB93-SUM(PR93:QY93)),ALZ92),MIN(MAX(0,AB93-SUM(PR93:QY93)),ALZ92-G93*MAX(0,CZ93*ALZ92-(XY93+ABL93))))),MIN(GM93,MAX(0,AB93-SUM(PR93:QY93))))</f>
        <v>0</v>
      </c>
      <c r="RA93" s="20" t="n">
        <f aca="false">IF(H_Direct=1,IF(AMA92&lt;=0,0,IF(DA93&lt;=0,MIN(MAX(0,AB93-SUM(PR93:QZ93)),AMA92),MIN(MAX(0,AB93-SUM(PR93:QZ93)),AMA92-G93*MAX(0,DA93*AMA92-(XZ93+ABM93))))),MIN(GN93,MAX(0,AB93-SUM(PR93:QZ93))))</f>
        <v>0</v>
      </c>
      <c r="RB93" s="20" t="n">
        <f aca="false">IF(H_Direct=1,IF(AMB92&lt;=0,0,IF(DB93&lt;=0,MIN(MAX(0,AB93-SUM(PR93:RA93)),AMB92),MIN(MAX(0,AB93-SUM(PR93:RA93)),AMB92-G93*MAX(0,DB93*AMB92-(YA93+ABN93))))),MIN(GO93,MAX(0,AB93-SUM(PR93:RA93))))</f>
        <v>0</v>
      </c>
      <c r="RC93" s="20" t="n">
        <f aca="false">IF(H_Direct=1,IF(AMC92&lt;=0,0,IF(DC93&lt;=0,MIN(MAX(0,AB93-SUM(PR93:RB93)),AMC92),MIN(MAX(0,AB93-SUM(PR93:RB93)),AMC92-G93*MAX(0,DC93*AMC92-(YB93+ABO93))))),MIN(GP93,MAX(0,AB93-SUM(PR93:RB93))))</f>
        <v>0</v>
      </c>
      <c r="RD93" s="20" t="n">
        <f aca="false">IF(H_Direct=1,IF(AMD92&lt;=0,0,IF(DD93&lt;=0,MIN(MAX(0,AB93-SUM(PR93:RC93)),AMD92),MIN(MAX(0,AB93-SUM(PR93:RC93)),AMD92-G93*MAX(0,DD93*AMD92-(YC93+ABP93))))),MIN(GQ93,MAX(0,AB93-SUM(PR93:RC93))))</f>
        <v>0</v>
      </c>
      <c r="RE93" s="20" t="n">
        <f aca="false">IF(H_Direct=1,IF(AME92&lt;=0,0,IF(DE93&lt;=0,MIN(MAX(0,AB93-SUM(PR93:RD93)),AME92),MIN(MAX(0,AB93-SUM(PR93:RD93)),AME92-G93*MAX(0,DE93*AME92-(YD93+ABQ93))))),MIN(GR93,MAX(0,AB93-SUM(PR93:RD93))))</f>
        <v>0</v>
      </c>
      <c r="RF93" s="20" t="n">
        <f aca="false">IF(H_Direct=1,IF(AMF92&lt;=0,0,IF(DF93&lt;=0,MIN(MAX(0,AB93-SUM(PR93:RE93)),AMF92),MIN(MAX(0,AB93-SUM(PR93:RE93)),AMF92-G93*MAX(0,DF93*AMF92-(YE93+ABR93))))),MIN(GS93,MAX(0,AB93-SUM(PR93:RE93))))</f>
        <v>0</v>
      </c>
      <c r="RG93" s="20" t="n">
        <f aca="false">IF(H_Direct=1,IF(AMG92&lt;=0,0,IF(DG93&lt;=0,MIN(MAX(0,AB93-SUM(PR93:RF93)),AMG92),MIN(MAX(0,AB93-SUM(PR93:RF93)),AMG92-G93*MAX(0,DG93*AMG92-(YF93+ABS93))))),MIN(GT93,MAX(0,AB93-SUM(PR93:RF93))))</f>
        <v>0</v>
      </c>
      <c r="RH93" s="20" t="n">
        <f aca="false">IF(H_Direct=1,IF(AMH92&lt;=0,0,IF(DH93&lt;=0,MIN(MAX(0,AB93-SUM(PR93:RG93)),AMH92),MIN(MAX(0,AB93-SUM(PR93:RG93)),AMH92-G93*MAX(0,DH93*AMH92-(YG93+ABT93))))),MIN(GU93,MAX(0,AB93-SUM(PR93:RG93))))</f>
        <v>0</v>
      </c>
      <c r="RI93" s="20" t="n">
        <f aca="false">IF(H_Direct=1,IF(AMI92&lt;=0,0,IF(DI93&lt;=0,MIN(MAX(0,AB93-SUM(PR93:RH93)),AMI92),MIN(MAX(0,AB93-SUM(PR93:RH93)),AMI92-G93*MAX(0,DI93*AMI92-(YH93+ABU93))))),MIN(GV93,MAX(0,AB93-SUM(PR93:RH93))))</f>
        <v>0</v>
      </c>
      <c r="RJ93" s="20" t="n">
        <f aca="false">IF(H_Direct=1,IF(AMJ92&lt;=0,0,IF(DJ93&lt;=0,MIN(MAX(0,AB93-SUM(PR93:RI93)),AMJ92),MIN(MAX(0,AB93-SUM(PR93:RI93)),AMJ92-G93*MAX(0,DJ93*AMJ92-(YI93+ABV93))))),MIN(GW93,MAX(0,AB93-SUM(PR93:RI93))))</f>
        <v>0</v>
      </c>
      <c r="RK93" s="20" t="n">
        <f aca="false">IF(H_Direct=1,IF(AMK92&lt;=0,0,IF(DK93&lt;=0,MIN(MAX(0,AB93-SUM(PR93:RJ93)),AMK92),MIN(MAX(0,AB93-SUM(PR93:RJ93)),AMK92-G93*MAX(0,DK93*AMK92-(YJ93+ABW93))))),MIN(GX93,MAX(0,AB93-SUM(PR93:RJ93))))</f>
        <v>0</v>
      </c>
      <c r="RL93" s="20" t="n">
        <f aca="false">IF(H_Direct=1,IF(AML92&lt;=0,0,IF(DL93&lt;=0,MIN(MAX(0,AB93-SUM(PR93:RK93)),AML92),MIN(MAX(0,AB93-SUM(PR93:RK93)),AML92-G93*MAX(0,DL93*AML92-(YK93+ABX93))))),MIN(GY93,MAX(0,AB93-SUM(PR93:RK93))))</f>
        <v>0</v>
      </c>
      <c r="RM93" s="20" t="n">
        <f aca="false">IF(H_Direct=1,IF(AMM92&lt;=0,0,IF(DM93&lt;=0,MIN(MAX(0,AB93-SUM(PR93:RL93)),AMM92),MIN(MAX(0,AB93-SUM(PR93:RL93)),AMM92-G93*MAX(0,DM93*AMM92-(YL93+ABY93))))),MIN(GZ93,MAX(0,AB93-SUM(PR93:RL93))))</f>
        <v>0</v>
      </c>
      <c r="RN93" s="20" t="n">
        <f aca="false">IF(H_Direct=1,IF(AMN92&lt;=0,0,IF(DN93&lt;=0,MIN(MAX(0,AB93-SUM(PR93:RM93)),AMN92),MIN(MAX(0,AB93-SUM(PR93:RM93)),AMN92-G93*MAX(0,DN93*AMN92-(YM93+ABZ93))))),MIN(HA93,MAX(0,AB93-SUM(PR93:RM93))))</f>
        <v>0</v>
      </c>
      <c r="RO93" s="20" t="n">
        <f aca="false">IF(H_Direct=1,IF(AMO92&lt;=0,0,IF(DO93&lt;=0,MIN(MAX(0,AB93-SUM(PR93:RN93)),AMO92),MIN(MAX(0,AB93-SUM(PR93:RN93)),AMO92-G93*MAX(0,DO93*AMO92-(YN93+ACA93))))),MIN(HB93,MAX(0,AB93-SUM(PR93:RN93))))</f>
        <v>0</v>
      </c>
      <c r="RP93" s="20" t="n">
        <f aca="false">IF(H_Direct=1,IF(AMP92&lt;=0,0,IF(DP93&lt;=0,MIN(MAX(0,AB93-SUM(PR93:RO93)),AMP92),MIN(MAX(0,AB93-SUM(PR93:RO93)),AMP92-G93*MAX(0,DP93*AMP92-(YO93+ACB93))))),MIN(HC93,MAX(0,AB93-SUM(PR93:RO93))))</f>
        <v>0</v>
      </c>
      <c r="RQ93" s="20" t="n">
        <f aca="false">IF(H_Direct=1,IF(AMQ92&lt;=0,0,IF(DQ93&lt;=0,MIN(MAX(0,AB93-SUM(PR93:RP93)),AMQ92),MIN(MAX(0,AB93-SUM(PR93:RP93)),AMQ92-G93*MAX(0,DQ93*AMQ92-(YP93+ACC93))))),MIN(HD93,MAX(0,AB93-SUM(PR93:RP93))))</f>
        <v>0</v>
      </c>
      <c r="RR93" s="20" t="n">
        <f aca="false">IF(H_Direct=1,IF(AMR92&lt;=0,0,IF(DR93&lt;=0,MIN(MAX(0,AB93-SUM(PR93:RQ93)),AMR92),MIN(MAX(0,AB93-SUM(PR93:RQ93)),AMR92-G93*MAX(0,DR93*AMR92-(YQ93+ACD93))))),MIN(HE93,MAX(0,AB93-SUM(PR93:RQ93))))</f>
        <v>0</v>
      </c>
      <c r="RS93" s="20" t="n">
        <f aca="false">IF(H_Direct=1,IF(AMS92&lt;=0,0,IF(DS93&lt;=0,MIN(MAX(0,AB93-SUM(PR93:RR93)),AMS92),MIN(MAX(0,AB93-SUM(PR93:RR93)),AMS92-G93*MAX(0,DS93*AMS92-(YR93+ACE93))))),MIN(HF93,MAX(0,AB93-SUM(PR93:RR93))))</f>
        <v>0</v>
      </c>
      <c r="RT93" s="20" t="n">
        <f aca="false">IF(H_Direct=1,IF(AMT92&lt;=0,0,IF(DT93&lt;=0,MIN(MAX(0,AB93-SUM(PR93:RS93)),AMT92),MIN(MAX(0,AB93-SUM(PR93:RS93)),AMT92-G93*MAX(0,DT93*AMT92-(YS93+ACF93))))),MIN(HG93,MAX(0,AB93-SUM(PR93:RS93))))</f>
        <v>0</v>
      </c>
      <c r="RU93" s="20" t="n">
        <f aca="false">IF(H_Direct=1,IF(AMU92&lt;=0,0,IF(DU93&lt;=0,MIN(MAX(0,AB93-SUM(PR93:RT93)),AMU92),MIN(MAX(0,AB93-SUM(PR93:RT93)),AMU92-G93*MAX(0,DU93*AMU92-(YT93+ACG93))))),MIN(HH93,MAX(0,AB93-SUM(PR93:RT93))))</f>
        <v>0</v>
      </c>
      <c r="RV93" s="20" t="n">
        <f aca="false">IF(H_Direct=1,IF(AMV92&lt;=0,0,IF(DV93&lt;=0,MIN(MAX(0,AB93-SUM(PR93:RU93)),AMV92),MIN(MAX(0,AB93-SUM(PR93:RU93)),AMV92-G93*MAX(0,DV93*AMV92-(YU93+ACH93))))),MIN(HI93,MAX(0,AB93-SUM(PR93:RU93))))</f>
        <v>0</v>
      </c>
      <c r="RW93" s="20" t="n">
        <f aca="false">IF(H_Direct=1,IF(AMW92&lt;=0,0,IF(DW93&lt;=0,MIN(MAX(0,AB93-SUM(PR93:RV93)),AMW92),MIN(MAX(0,AB93-SUM(PR93:RV93)),AMW92-G93*MAX(0,DW93*AMW92-(YV93+ACI93))))),MIN(HJ93,MAX(0,AB93-SUM(PR93:RV93))))</f>
        <v>0</v>
      </c>
      <c r="RX93" s="20" t="n">
        <f aca="false">IF(H_Direct=1,IF(AMX92&lt;=0,0,IF(DX93&lt;=0,MIN(MAX(0,AB93-SUM(PR93:RW93)),AMX92),MIN(MAX(0,AB93-SUM(PR93:RW93)),AMX92-G93*MAX(0,DX93*AMX92-(YW93+ACJ93))))),MIN(HK93,MAX(0,AB93-SUM(PR93:RW93))))</f>
        <v>0</v>
      </c>
      <c r="RY93" s="20" t="n">
        <f aca="false">IF(H_Direct=1,IF(AMY92&lt;=0,0,IF(DY93&lt;=0,MIN(MAX(0,AB93-SUM(PR93:RX93)),AMY92),MIN(MAX(0,AB93-SUM(PR93:RX93)),AMY92-G93*MAX(0,DY93*AMY92-(YX93+ACK93))))),MIN(HL93,MAX(0,AB93-SUM(PR93:RX93))))</f>
        <v>0</v>
      </c>
      <c r="RZ93" s="20" t="n">
        <f aca="false">IF(H_Direct=1,IF(AMZ92&lt;=0,0,IF(DZ93&lt;=0,MIN(MAX(0,AB93-SUM(PR93:RY93)),AMZ92),MIN(MAX(0,AB93-SUM(PR93:RY93)),AMZ92-G93*MAX(0,DZ93*AMZ92-(YY93+ACL93))))),MIN(HM93,MAX(0,AB93-SUM(PR93:RY93))))</f>
        <v>0</v>
      </c>
      <c r="SA93" s="20" t="n">
        <f aca="false">IF(H_Direct=1,IF(ANA92&lt;=0,0,IF(EA93&lt;=0,MIN(MAX(0,AB93-SUM(PR93:RZ93)),ANA92),MIN(MAX(0,AB93-SUM(PR93:RZ93)),ANA92-G93*MAX(0,EA93*ANA92-(YZ93+ACM93))))),MIN(HN93,MAX(0,AB93-SUM(PR93:RZ93))))</f>
        <v>0</v>
      </c>
      <c r="SB93" s="20" t="n">
        <f aca="false">IF(H_Direct=1,IF(ANB92&lt;=0,0,IF(EB93&lt;=0,MIN(MAX(0,AB93-SUM(PR93:SA93)),ANB92),MIN(MAX(0,AB93-SUM(PR93:SA93)),ANB92-G93*MAX(0,EB93*ANB92-(ZA93+ACN93))))),MIN(HO93,MAX(0,AB93-SUM(PR93:SA93))))</f>
        <v>0</v>
      </c>
      <c r="SC93" s="20" t="n">
        <f aca="false">IF(H_Direct=1,IF(ANC92&lt;=0,0,IF(EC93&lt;=0,MIN(MAX(0,AB93-SUM(PR93:SB93)),ANC92),MIN(MAX(0,AB93-SUM(PR93:SB93)),ANC92-G93*MAX(0,EC93*ANC92-(ZB93+ACO93))))),MIN(HP93,MAX(0,AB93-SUM(PR93:SB93))))</f>
        <v>0</v>
      </c>
      <c r="SD93" s="20" t="n">
        <f aca="false">IF(H_Direct=1,IF(AND92&lt;=0,0,IF(ED93&lt;=0,MIN(MAX(0,AB93-SUM(PR93:SC93)),AND92),MIN(MAX(0,AB93-SUM(PR93:SC93)),AND92-G93*MAX(0,ED93*AND92-(ZC93+ACP93))))),MIN(HQ93,MAX(0,AB93-SUM(PR93:SC93))))</f>
        <v>0</v>
      </c>
      <c r="SE93" s="20" t="n">
        <f aca="false">IF(H_Direct=1,IF(ANE92&lt;=0,0,IF(EE93&lt;=0,MIN(MAX(0,AB93-SUM(PR93:SD93)),ANE92),MIN(MAX(0,AB93-SUM(PR93:SD93)),ANE92-G93*MAX(0,EE93*ANE92-(ZD93+ACQ93))))),MIN(HR93,MAX(0,AB93-SUM(PR93:SD93))))</f>
        <v>0</v>
      </c>
      <c r="SF93" s="20" t="n">
        <f aca="false">IF(H_Direct=1,IF(ANF92&lt;=0,0,IF(EF93&lt;=0,MIN(MAX(0,AB93-SUM(PR93:SE93)),ANF92),MIN(MAX(0,AB93-SUM(PR93:SE93)),ANF92-G93*MAX(0,EF93*ANF92-(ZE93+ACR93))))),MIN(HS93,MAX(0,AB93-SUM(PR93:SE93))))</f>
        <v>0</v>
      </c>
      <c r="SG93" s="20" t="n">
        <f aca="false">IF(H_Direct=1,IF(ANG92&lt;=0,0,IF(EG93&lt;=0,MIN(MAX(0,AB93-SUM(PR93:SF93)),ANG92),MIN(MAX(0,AB93-SUM(PR93:SF93)),ANG92-G93*MAX(0,EG93*ANG92-(ZF93+ACS93))))),MIN(HT93,MAX(0,AB93-SUM(PR93:SF93))))</f>
        <v>0</v>
      </c>
      <c r="SH93" s="20" t="n">
        <f aca="false">IF(H_Direct=1,IF(ANH92&lt;=0,0,IF(EH93&lt;=0,MIN(MAX(0,AB93-SUM(PR93:SG93)),ANH92),MIN(MAX(0,AB93-SUM(PR93:SG93)),ANH92-G93*MAX(0,EH93*ANH92-(ZG93+ACT93))))),MIN(HU93,MAX(0,AB93-SUM(PR93:SG93))))</f>
        <v>0</v>
      </c>
      <c r="SI93" s="20" t="n">
        <f aca="false">IF(H_Direct=1,IF(ANI92&lt;=0,0,IF(EI93&lt;=0,MIN(MAX(0,AB93-SUM(PR93:SH93)),ANI92),MIN(MAX(0,AB93-SUM(PR93:SH93)),ANI92-G93*MAX(0,EI93*ANI92-(ZH93+ACU93))))),MIN(HV93,MAX(0,AB93-SUM(PR93:SH93))))</f>
        <v>0</v>
      </c>
      <c r="SJ93" s="20" t="n">
        <f aca="false">IF(H_Direct=1,IF(ANJ92&lt;=0,0,IF(EJ93&lt;=0,MIN(MAX(0,AB93-SUM(PR93:SI93)),ANJ92),MIN(MAX(0,AB93-SUM(PR93:SI93)),ANJ92-G93*MAX(0,EJ93*ANJ92-(ZI93+ACV93))))),MIN(HW93,MAX(0,AB93-SUM(PR93:SI93))))</f>
        <v>0</v>
      </c>
      <c r="SK93" s="20" t="n">
        <f aca="false">IF(H_Direct=1,IF(ANK92&lt;=0,0,IF(EK93&lt;=0,MIN(MAX(0,AB93-SUM(PR93:SJ93)),ANK92),MIN(MAX(0,AB93-SUM(PR93:SJ93)),ANK92-G93*MAX(0,EK93*ANK92-(ZJ93+ACW93))))),MIN(HX93,MAX(0,AB93-SUM(PR93:SJ93))))</f>
        <v>0</v>
      </c>
      <c r="SL93" s="20" t="n">
        <f aca="false">IF(H_Direct=1,IF(ANL92&lt;=0,0,IF(EL93&lt;=0,MIN(MAX(0,AB93-SUM(PR93:SK93)),ANL92),MIN(MAX(0,AB93-SUM(PR93:SK93)),ANL92-G93*MAX(0,EL93*ANL92-(ZK93+ACX93))))),MIN(HY93,MAX(0,AB93-SUM(PR93:SK93))))</f>
        <v>0</v>
      </c>
      <c r="SM93" s="20" t="n">
        <f aca="false">IF(H_Direct=1,IF(ANM92&lt;=0,0,IF(EM93&lt;=0,MIN(MAX(0,AB93-SUM(PR93:SL93)),ANM92),MIN(MAX(0,AB93-SUM(PR93:SL93)),ANM92-G93*MAX(0,EM93*ANM92-(ZL93+ACY93))))),MIN(HZ93,MAX(0,AB93-SUM(PR93:SL93))))</f>
        <v>0</v>
      </c>
      <c r="SN93" s="20" t="n">
        <f aca="false">IF(H_Direct=1,IF(ANN92&lt;=0,0,IF(EN93&lt;=0,MIN(MAX(0,AB93-SUM(PR93:SM93)),ANN92),MIN(MAX(0,AB93-SUM(PR93:SM93)),ANN92-G93*MAX(0,EN93*ANN92-(ZM93+ACZ93))))),MIN(IA93,MAX(0,AB93-SUM(PR93:SM93))))</f>
        <v>0</v>
      </c>
      <c r="SO93" s="20" t="n">
        <f aca="false">IF(H_Direct=1,IF(ANO92&lt;=0,0,IF(EO93&lt;=0,MIN(MAX(0,AB93-SUM(PR93:SN93)),ANO92),MIN(MAX(0,AB93-SUM(PR93:SN93)),ANO92-G93*MAX(0,EO93*ANO92-(ZN93+ADA93))))),MIN(IB93,MAX(0,AB93-SUM(PR93:SN93))))</f>
        <v>0</v>
      </c>
      <c r="SP93" s="20" t="n">
        <f aca="false">IF(H_Direct=1,IF(ANP92&lt;=0,0,IF(EP93&lt;=0,MIN(MAX(0,AB93-SUM(PR93:SO93)),ANP92),MIN(MAX(0,AB93-SUM(PR93:SO93)),ANP92-G93*MAX(0,EP93*ANP92-(ZO93+ADB93))))),MIN(IC93,MAX(0,AB93-SUM(PR93:SO93))))</f>
        <v>0</v>
      </c>
      <c r="SQ93" s="20" t="n">
        <f aca="false">IF(H_Direct=1,IF(ANQ92&lt;=0,0,IF(EQ93&lt;=0,MIN(MAX(0,AB93-SUM(PR93:SP93)),ANQ92),MIN(MAX(0,AB93-SUM(PR93:SP93)),ANQ92-G93*MAX(0,EQ93*ANQ92-(ZP93+ADC93))))),MIN(ID93,MAX(0,AB93-SUM(PR93:SP93))))</f>
        <v>0</v>
      </c>
      <c r="SR93" s="20" t="n">
        <f aca="false">IF(H_Direct=1,IF(ANR92&lt;=0,0,IF(ER93&lt;=0,MIN(MAX(0,AB93-SUM(PR93:SQ93)),ANR92),MIN(MAX(0,AB93-SUM(PR93:SQ93)),ANR92-G93*MAX(0,ER93*ANR92-(ZQ93+ADD93))))),MIN(IE93,MAX(0,AB93-SUM(PR93:SQ93))))</f>
        <v>0</v>
      </c>
      <c r="SS93" s="20" t="n">
        <f aca="false">IF(H_Direct=1,IF(ANS92&lt;=0,0,IF(ES93&lt;=0,MIN(MAX(0,AB93-SUM(PR93:SR93)),ANS92),MIN(MAX(0,AB93-SUM(PR93:SR93)),ANS92-G93*MAX(0,ES93*ANS92-(ZR93+ADE93))))),MIN(IF93,MAX(0,AB93-SUM(PR93:SR93))))</f>
        <v>0</v>
      </c>
      <c r="ST93" s="20" t="n">
        <f aca="false">IF(H_Direct=1,IF(ANT92&lt;=0,0,IF(ET93&lt;=0,MIN(MAX(0,AB93-SUM(PR93:SS93)),ANT92),MIN(MAX(0,AB93-SUM(PR93:SS93)),ANT92-G93*MAX(0,ET93*ANT92-(ZS93+ADF93))))),MIN(IG93,MAX(0,AB93-SUM(PR93:SS93))))</f>
        <v>0</v>
      </c>
      <c r="SU93" s="20" t="n">
        <f aca="false">IF(H_Direct=1,IF(ANU92&lt;=0,0,IF(EU93&lt;=0,MIN(MAX(0,AB93-SUM(PR93:ST93)),ANU92),MIN(MAX(0,AB93-SUM(PR93:ST93)),ANU92-G93*MAX(0,EU93*ANU92-(ZT93+ADG93))))),MIN(IH93,MAX(0,AB93-SUM(PR93:ST93))))</f>
        <v>0</v>
      </c>
      <c r="SV93" s="20" t="n">
        <f aca="false">IF(H_Direct=1,IF(ANV92&lt;=0,0,IF(EV93&lt;=0,MIN(MAX(0,AB93-SUM(PR93:SU93)),ANV92),MIN(MAX(0,AB93-SUM(PR93:SU93)),ANV92-G93*MAX(0,EV93*ANV92-(ZU93+ADH93))))),MIN(II93,MAX(0,AB93-SUM(PR93:SU93))))</f>
        <v>0</v>
      </c>
      <c r="SW93" s="20" t="n">
        <f aca="false">IF(H_Direct=1,IF(ANW92&lt;=0,0,IF(EW93&lt;=0,MIN(MAX(0,AB93-SUM(PR93:SV93)),ANW92),MIN(MAX(0,AB93-SUM(PR93:SV93)),ANW92-G93*MAX(0,EW93*ANW92-(ZV93+ADI93))))),MIN(IJ93,MAX(0,AB93-SUM(PR93:SV93))))</f>
        <v>0</v>
      </c>
      <c r="SX93" s="20" t="n">
        <f aca="false">IF(H_Direct=1,IF(ANX92&lt;=0,0,IF(EX93&lt;=0,MIN(MAX(0,AB93-SUM(PR93:SW93)),ANX92),MIN(MAX(0,AB93-SUM(PR93:SW93)),ANX92-G93*MAX(0,EX93*ANX92-(ZW93+ADJ93))))),MIN(IK93,MAX(0,AB93-SUM(PR93:SW93))))</f>
        <v>0</v>
      </c>
      <c r="SY93" s="20" t="n">
        <f aca="false">IF(H_Direct=1,IF(ANY92&lt;=0,0,IF(EY93&lt;=0,MIN(MAX(0,AB93-SUM(PR93:SX93)),ANY92),MIN(MAX(0,AB93-SUM(PR93:SX93)),ANY92-G93*MAX(0,EY93*ANY92-(ZX93+ADK93))))),MIN(IL93,MAX(0,AB93-SUM(PR93:SX93))))</f>
        <v>0</v>
      </c>
      <c r="SZ93" s="20" t="n">
        <f aca="false">IF(H_Direct=1,IF((P93+S93)&lt;=0,0,IF(EZ93&lt;=0,MIN(MAX(0,AB93-SUM(PR93:SY93)),(P93+S93)),MIN(MAX(0,AB93-SUM(PR93:SY93)),(P93+S93)-G93*MAX(0,EZ93*(P93+S93)-(ZY93+ADL93))))),MIN(IM93,MAX(0,AB93-SUM(PR93:SY93))))</f>
        <v>0</v>
      </c>
      <c r="TA93" s="20" t="n">
        <v>0</v>
      </c>
      <c r="TB93" s="20" t="n">
        <v>0</v>
      </c>
      <c r="TC93" s="20" t="n">
        <v>0</v>
      </c>
      <c r="TD93" s="20" t="n">
        <v>0</v>
      </c>
      <c r="TE93" s="20" t="n">
        <f aca="false">IF(AKR92&lt;=0,0,IF(H_Direct=1,IF(BR93&lt;=0,PR93,IF(PR93&lt;=(H93+I93)/BR93,PR93,(PR93-G93*(H93+I93))/(1-G93*BR93))),PR93/(1-MAX(0,BR93)*H_Exit)))</f>
        <v>0</v>
      </c>
      <c r="TF93" s="20" t="n">
        <f aca="false">IF(AKS92&lt;=0,0,IF(H_Direct=1,IF(BS93&lt;=0,PS93,IF(PS93&lt;=(WR93+AAE93)/BS93,PS93,(PS93-G93*(WR93+AAE93))/(1-G93*BS93))),PS93/(1-MAX(0,BS93)*H_Exit)))</f>
        <v>0</v>
      </c>
      <c r="TG93" s="20" t="n">
        <f aca="false">IF(AKT92&lt;=0,0,IF(H_Direct=1,IF(BT93&lt;=0,PT93,IF(PT93&lt;=(WS93+AAF93)/BT93,PT93,(PT93-G93*(WS93+AAF93))/(1-G93*BT93))),PT93/(1-MAX(0,BT93)*H_Exit)))</f>
        <v>0</v>
      </c>
      <c r="TH93" s="20" t="n">
        <f aca="false">IF(AKU92&lt;=0,0,IF(H_Direct=1,IF(BU93&lt;=0,PU93,IF(PU93&lt;=(WT93+AAG93)/BU93,PU93,(PU93-G93*(WT93+AAG93))/(1-G93*BU93))),PU93/(1-MAX(0,BU93)*H_Exit)))</f>
        <v>0</v>
      </c>
      <c r="TI93" s="20" t="n">
        <f aca="false">IF(AKV92&lt;=0,0,IF(H_Direct=1,IF(BV93&lt;=0,PV93,IF(PV93&lt;=(WU93+AAH93)/BV93,PV93,(PV93-G93*(WU93+AAH93))/(1-G93*BV93))),PV93/(1-MAX(0,BV93)*H_Exit)))</f>
        <v>0</v>
      </c>
      <c r="TJ93" s="20" t="n">
        <f aca="false">IF(AKW92&lt;=0,0,IF(H_Direct=1,IF(BW93&lt;=0,PW93,IF(PW93&lt;=(WV93+AAI93)/BW93,PW93,(PW93-G93*(WV93+AAI93))/(1-G93*BW93))),PW93/(1-MAX(0,BW93)*H_Exit)))</f>
        <v>0</v>
      </c>
      <c r="TK93" s="20" t="n">
        <f aca="false">IF(AKX92&lt;=0,0,IF(H_Direct=1,IF(BX93&lt;=0,PX93,IF(PX93&lt;=(WW93+AAJ93)/BX93,PX93,(PX93-G93*(WW93+AAJ93))/(1-G93*BX93))),PX93/(1-MAX(0,BX93)*H_Exit)))</f>
        <v>0</v>
      </c>
      <c r="TL93" s="20" t="n">
        <f aca="false">IF(AKY92&lt;=0,0,IF(H_Direct=1,IF(BY93&lt;=0,PY93,IF(PY93&lt;=(WX93+AAK93)/BY93,PY93,(PY93-G93*(WX93+AAK93))/(1-G93*BY93))),PY93/(1-MAX(0,BY93)*H_Exit)))</f>
        <v>0</v>
      </c>
      <c r="TM93" s="20" t="n">
        <f aca="false">IF(AKZ92&lt;=0,0,IF(H_Direct=1,IF(BZ93&lt;=0,PZ93,IF(PZ93&lt;=(WY93+AAL93)/BZ93,PZ93,(PZ93-G93*(WY93+AAL93))/(1-G93*BZ93))),PZ93/(1-MAX(0,BZ93)*H_Exit)))</f>
        <v>0</v>
      </c>
      <c r="TN93" s="20" t="n">
        <f aca="false">IF(ALA92&lt;=0,0,IF(H_Direct=1,IF(CA93&lt;=0,QA93,IF(QA93&lt;=(WZ93+AAM93)/CA93,QA93,(QA93-G93*(WZ93+AAM93))/(1-G93*CA93))),QA93/(1-MAX(0,CA93)*H_Exit)))</f>
        <v>0</v>
      </c>
      <c r="TO93" s="20" t="n">
        <f aca="false">IF(ALB92&lt;=0,0,IF(H_Direct=1,IF(CB93&lt;=0,QB93,IF(QB93&lt;=(XA93+AAN93)/CB93,QB93,(QB93-G93*(XA93+AAN93))/(1-G93*CB93))),QB93/(1-MAX(0,CB93)*H_Exit)))</f>
        <v>0</v>
      </c>
      <c r="TP93" s="20" t="n">
        <f aca="false">IF(ALC92&lt;=0,0,IF(H_Direct=1,IF(CC93&lt;=0,QC93,IF(QC93&lt;=(XB93+AAO93)/CC93,QC93,(QC93-G93*(XB93+AAO93))/(1-G93*CC93))),QC93/(1-MAX(0,CC93)*H_Exit)))</f>
        <v>0</v>
      </c>
      <c r="TQ93" s="20" t="n">
        <f aca="false">IF(ALD92&lt;=0,0,IF(H_Direct=1,IF(CD93&lt;=0,QD93,IF(QD93&lt;=(XC93+AAP93)/CD93,QD93,(QD93-G93*(XC93+AAP93))/(1-G93*CD93))),QD93/(1-MAX(0,CD93)*H_Exit)))</f>
        <v>0</v>
      </c>
      <c r="TR93" s="20" t="n">
        <f aca="false">IF(ALE92&lt;=0,0,IF(H_Direct=1,IF(CE93&lt;=0,QE93,IF(QE93&lt;=(XD93+AAQ93)/CE93,QE93,(QE93-G93*(XD93+AAQ93))/(1-G93*CE93))),QE93/(1-MAX(0,CE93)*H_Exit)))</f>
        <v>0</v>
      </c>
      <c r="TS93" s="20" t="n">
        <f aca="false">IF(ALF92&lt;=0,0,IF(H_Direct=1,IF(CF93&lt;=0,QF93,IF(QF93&lt;=(XE93+AAR93)/CF93,QF93,(QF93-G93*(XE93+AAR93))/(1-G93*CF93))),QF93/(1-MAX(0,CF93)*H_Exit)))</f>
        <v>0</v>
      </c>
      <c r="TT93" s="20" t="n">
        <f aca="false">IF(ALG92&lt;=0,0,IF(H_Direct=1,IF(CG93&lt;=0,QG93,IF(QG93&lt;=(XF93+AAS93)/CG93,QG93,(QG93-G93*(XF93+AAS93))/(1-G93*CG93))),QG93/(1-MAX(0,CG93)*H_Exit)))</f>
        <v>0</v>
      </c>
      <c r="TU93" s="20" t="n">
        <f aca="false">IF(ALH92&lt;=0,0,IF(H_Direct=1,IF(CH93&lt;=0,QH93,IF(QH93&lt;=(XG93+AAT93)/CH93,QH93,(QH93-G93*(XG93+AAT93))/(1-G93*CH93))),QH93/(1-MAX(0,CH93)*H_Exit)))</f>
        <v>0</v>
      </c>
      <c r="TV93" s="20" t="n">
        <f aca="false">IF(ALI92&lt;=0,0,IF(H_Direct=1,IF(CI93&lt;=0,QI93,IF(QI93&lt;=(XH93+AAU93)/CI93,QI93,(QI93-G93*(XH93+AAU93))/(1-G93*CI93))),QI93/(1-MAX(0,CI93)*H_Exit)))</f>
        <v>0</v>
      </c>
      <c r="TW93" s="20" t="n">
        <f aca="false">IF(ALJ92&lt;=0,0,IF(H_Direct=1,IF(CJ93&lt;=0,QJ93,IF(QJ93&lt;=(XI93+AAV93)/CJ93,QJ93,(QJ93-G93*(XI93+AAV93))/(1-G93*CJ93))),QJ93/(1-MAX(0,CJ93)*H_Exit)))</f>
        <v>0</v>
      </c>
      <c r="TX93" s="20" t="n">
        <f aca="false">IF(ALK92&lt;=0,0,IF(H_Direct=1,IF(CK93&lt;=0,QK93,IF(QK93&lt;=(XJ93+AAW93)/CK93,QK93,(QK93-G93*(XJ93+AAW93))/(1-G93*CK93))),QK93/(1-MAX(0,CK93)*H_Exit)))</f>
        <v>0</v>
      </c>
      <c r="TY93" s="20" t="n">
        <f aca="false">IF(ALL92&lt;=0,0,IF(H_Direct=1,IF(CL93&lt;=0,QL93,IF(QL93&lt;=(XK93+AAX93)/CL93,QL93,(QL93-G93*(XK93+AAX93))/(1-G93*CL93))),QL93/(1-MAX(0,CL93)*H_Exit)))</f>
        <v>0</v>
      </c>
      <c r="TZ93" s="20" t="n">
        <f aca="false">IF(ALM92&lt;=0,0,IF(H_Direct=1,IF(CM93&lt;=0,QM93,IF(QM93&lt;=(XL93+AAY93)/CM93,QM93,(QM93-G93*(XL93+AAY93))/(1-G93*CM93))),QM93/(1-MAX(0,CM93)*H_Exit)))</f>
        <v>0</v>
      </c>
      <c r="UA93" s="20" t="n">
        <f aca="false">IF(ALN92&lt;=0,0,IF(H_Direct=1,IF(CN93&lt;=0,QN93,IF(QN93&lt;=(XM93+AAZ93)/CN93,QN93,(QN93-G93*(XM93+AAZ93))/(1-G93*CN93))),QN93/(1-MAX(0,CN93)*H_Exit)))</f>
        <v>0</v>
      </c>
      <c r="UB93" s="20" t="n">
        <f aca="false">IF(ALO92&lt;=0,0,IF(H_Direct=1,IF(CO93&lt;=0,QO93,IF(QO93&lt;=(XN93+ABA93)/CO93,QO93,(QO93-G93*(XN93+ABA93))/(1-G93*CO93))),QO93/(1-MAX(0,CO93)*H_Exit)))</f>
        <v>0</v>
      </c>
      <c r="UC93" s="20" t="n">
        <f aca="false">IF(ALP92&lt;=0,0,IF(H_Direct=1,IF(CP93&lt;=0,QP93,IF(QP93&lt;=(XO93+ABB93)/CP93,QP93,(QP93-G93*(XO93+ABB93))/(1-G93*CP93))),QP93/(1-MAX(0,CP93)*H_Exit)))</f>
        <v>0</v>
      </c>
      <c r="UD93" s="20" t="n">
        <f aca="false">IF(ALQ92&lt;=0,0,IF(H_Direct=1,IF(CQ93&lt;=0,QQ93,IF(QQ93&lt;=(XP93+ABC93)/CQ93,QQ93,(QQ93-G93*(XP93+ABC93))/(1-G93*CQ93))),QQ93/(1-MAX(0,CQ93)*H_Exit)))</f>
        <v>0</v>
      </c>
      <c r="UE93" s="20" t="n">
        <f aca="false">IF(ALR92&lt;=0,0,IF(H_Direct=1,IF(CR93&lt;=0,QR93,IF(QR93&lt;=(XQ93+ABD93)/CR93,QR93,(QR93-G93*(XQ93+ABD93))/(1-G93*CR93))),QR93/(1-MAX(0,CR93)*H_Exit)))</f>
        <v>0</v>
      </c>
      <c r="UF93" s="20" t="n">
        <f aca="false">IF(ALS92&lt;=0,0,IF(H_Direct=1,IF(CS93&lt;=0,QS93,IF(QS93&lt;=(XR93+ABE93)/CS93,QS93,(QS93-G93*(XR93+ABE93))/(1-G93*CS93))),QS93/(1-MAX(0,CS93)*H_Exit)))</f>
        <v>0</v>
      </c>
      <c r="UG93" s="20" t="n">
        <f aca="false">IF(ALT92&lt;=0,0,IF(H_Direct=1,IF(CT93&lt;=0,QT93,IF(QT93&lt;=(XS93+ABF93)/CT93,QT93,(QT93-G93*(XS93+ABF93))/(1-G93*CT93))),QT93/(1-MAX(0,CT93)*H_Exit)))</f>
        <v>0</v>
      </c>
      <c r="UH93" s="20" t="n">
        <f aca="false">IF(ALU92&lt;=0,0,IF(H_Direct=1,IF(CU93&lt;=0,QU93,IF(QU93&lt;=(XT93+ABG93)/CU93,QU93,(QU93-G93*(XT93+ABG93))/(1-G93*CU93))),QU93/(1-MAX(0,CU93)*H_Exit)))</f>
        <v>0</v>
      </c>
      <c r="UI93" s="20" t="n">
        <f aca="false">IF(ALV92&lt;=0,0,IF(H_Direct=1,IF(CV93&lt;=0,QV93,IF(QV93&lt;=(XU93+ABH93)/CV93,QV93,(QV93-G93*(XU93+ABH93))/(1-G93*CV93))),QV93/(1-MAX(0,CV93)*H_Exit)))</f>
        <v>0</v>
      </c>
      <c r="UJ93" s="20" t="n">
        <f aca="false">IF(ALW92&lt;=0,0,IF(H_Direct=1,IF(CW93&lt;=0,QW93,IF(QW93&lt;=(XV93+ABI93)/CW93,QW93,(QW93-G93*(XV93+ABI93))/(1-G93*CW93))),QW93/(1-MAX(0,CW93)*H_Exit)))</f>
        <v>0</v>
      </c>
      <c r="UK93" s="20" t="n">
        <f aca="false">IF(ALX92&lt;=0,0,IF(H_Direct=1,IF(CX93&lt;=0,QX93,IF(QX93&lt;=(XW93+ABJ93)/CX93,QX93,(QX93-G93*(XW93+ABJ93))/(1-G93*CX93))),QX93/(1-MAX(0,CX93)*H_Exit)))</f>
        <v>0</v>
      </c>
      <c r="UL93" s="20" t="n">
        <f aca="false">IF(ALY92&lt;=0,0,IF(H_Direct=1,IF(CY93&lt;=0,QY93,IF(QY93&lt;=(XX93+ABK93)/CY93,QY93,(QY93-G93*(XX93+ABK93))/(1-G93*CY93))),QY93/(1-MAX(0,CY93)*H_Exit)))</f>
        <v>0</v>
      </c>
      <c r="UM93" s="20" t="n">
        <f aca="false">IF(ALZ92&lt;=0,0,IF(H_Direct=1,IF(CZ93&lt;=0,QZ93,IF(QZ93&lt;=(XY93+ABL93)/CZ93,QZ93,(QZ93-G93*(XY93+ABL93))/(1-G93*CZ93))),QZ93/(1-MAX(0,CZ93)*H_Exit)))</f>
        <v>0</v>
      </c>
      <c r="UN93" s="20" t="n">
        <f aca="false">IF(AMA92&lt;=0,0,IF(H_Direct=1,IF(DA93&lt;=0,RA93,IF(RA93&lt;=(XZ93+ABM93)/DA93,RA93,(RA93-G93*(XZ93+ABM93))/(1-G93*DA93))),RA93/(1-MAX(0,DA93)*H_Exit)))</f>
        <v>0</v>
      </c>
      <c r="UO93" s="20" t="n">
        <f aca="false">IF(AMB92&lt;=0,0,IF(H_Direct=1,IF(DB93&lt;=0,RB93,IF(RB93&lt;=(YA93+ABN93)/DB93,RB93,(RB93-G93*(YA93+ABN93))/(1-G93*DB93))),RB93/(1-MAX(0,DB93)*H_Exit)))</f>
        <v>0</v>
      </c>
      <c r="UP93" s="20" t="n">
        <f aca="false">IF(AMC92&lt;=0,0,IF(H_Direct=1,IF(DC93&lt;=0,RC93,IF(RC93&lt;=(YB93+ABO93)/DC93,RC93,(RC93-G93*(YB93+ABO93))/(1-G93*DC93))),RC93/(1-MAX(0,DC93)*H_Exit)))</f>
        <v>0</v>
      </c>
      <c r="UQ93" s="20" t="n">
        <f aca="false">IF(AMD92&lt;=0,0,IF(H_Direct=1,IF(DD93&lt;=0,RD93,IF(RD93&lt;=(YC93+ABP93)/DD93,RD93,(RD93-G93*(YC93+ABP93))/(1-G93*DD93))),RD93/(1-MAX(0,DD93)*H_Exit)))</f>
        <v>0</v>
      </c>
      <c r="UR93" s="20" t="n">
        <f aca="false">IF(AME92&lt;=0,0,IF(H_Direct=1,IF(DE93&lt;=0,RE93,IF(RE93&lt;=(YD93+ABQ93)/DE93,RE93,(RE93-G93*(YD93+ABQ93))/(1-G93*DE93))),RE93/(1-MAX(0,DE93)*H_Exit)))</f>
        <v>0</v>
      </c>
      <c r="US93" s="20" t="n">
        <f aca="false">IF(AMF92&lt;=0,0,IF(H_Direct=1,IF(DF93&lt;=0,RF93,IF(RF93&lt;=(YE93+ABR93)/DF93,RF93,(RF93-G93*(YE93+ABR93))/(1-G93*DF93))),RF93/(1-MAX(0,DF93)*H_Exit)))</f>
        <v>0</v>
      </c>
      <c r="UT93" s="20" t="n">
        <f aca="false">IF(AMG92&lt;=0,0,IF(H_Direct=1,IF(DG93&lt;=0,RG93,IF(RG93&lt;=(YF93+ABS93)/DG93,RG93,(RG93-G93*(YF93+ABS93))/(1-G93*DG93))),RG93/(1-MAX(0,DG93)*H_Exit)))</f>
        <v>0</v>
      </c>
      <c r="UU93" s="20" t="n">
        <f aca="false">IF(AMH92&lt;=0,0,IF(H_Direct=1,IF(DH93&lt;=0,RH93,IF(RH93&lt;=(YG93+ABT93)/DH93,RH93,(RH93-G93*(YG93+ABT93))/(1-G93*DH93))),RH93/(1-MAX(0,DH93)*H_Exit)))</f>
        <v>0</v>
      </c>
      <c r="UV93" s="20" t="n">
        <f aca="false">IF(AMI92&lt;=0,0,IF(H_Direct=1,IF(DI93&lt;=0,RI93,IF(RI93&lt;=(YH93+ABU93)/DI93,RI93,(RI93-G93*(YH93+ABU93))/(1-G93*DI93))),RI93/(1-MAX(0,DI93)*H_Exit)))</f>
        <v>0</v>
      </c>
      <c r="UW93" s="20" t="n">
        <f aca="false">IF(AMJ92&lt;=0,0,IF(H_Direct=1,IF(DJ93&lt;=0,RJ93,IF(RJ93&lt;=(YI93+ABV93)/DJ93,RJ93,(RJ93-G93*(YI93+ABV93))/(1-G93*DJ93))),RJ93/(1-MAX(0,DJ93)*H_Exit)))</f>
        <v>0</v>
      </c>
      <c r="UX93" s="20" t="n">
        <f aca="false">IF(AMK92&lt;=0,0,IF(H_Direct=1,IF(DK93&lt;=0,RK93,IF(RK93&lt;=(YJ93+ABW93)/DK93,RK93,(RK93-G93*(YJ93+ABW93))/(1-G93*DK93))),RK93/(1-MAX(0,DK93)*H_Exit)))</f>
        <v>0</v>
      </c>
      <c r="UY93" s="20" t="n">
        <f aca="false">IF(AML92&lt;=0,0,IF(H_Direct=1,IF(DL93&lt;=0,RL93,IF(RL93&lt;=(YK93+ABX93)/DL93,RL93,(RL93-G93*(YK93+ABX93))/(1-G93*DL93))),RL93/(1-MAX(0,DL93)*H_Exit)))</f>
        <v>0</v>
      </c>
      <c r="UZ93" s="20" t="n">
        <f aca="false">IF(AMM92&lt;=0,0,IF(H_Direct=1,IF(DM93&lt;=0,RM93,IF(RM93&lt;=(YL93+ABY93)/DM93,RM93,(RM93-G93*(YL93+ABY93))/(1-G93*DM93))),RM93/(1-MAX(0,DM93)*H_Exit)))</f>
        <v>0</v>
      </c>
      <c r="VA93" s="20" t="n">
        <f aca="false">IF(AMN92&lt;=0,0,IF(H_Direct=1,IF(DN93&lt;=0,RN93,IF(RN93&lt;=(YM93+ABZ93)/DN93,RN93,(RN93-G93*(YM93+ABZ93))/(1-G93*DN93))),RN93/(1-MAX(0,DN93)*H_Exit)))</f>
        <v>0</v>
      </c>
      <c r="VB93" s="20" t="n">
        <f aca="false">IF(AMO92&lt;=0,0,IF(H_Direct=1,IF(DO93&lt;=0,RO93,IF(RO93&lt;=(YN93+ACA93)/DO93,RO93,(RO93-G93*(YN93+ACA93))/(1-G93*DO93))),RO93/(1-MAX(0,DO93)*H_Exit)))</f>
        <v>0</v>
      </c>
      <c r="VC93" s="20" t="n">
        <f aca="false">IF(AMP92&lt;=0,0,IF(H_Direct=1,IF(DP93&lt;=0,RP93,IF(RP93&lt;=(YO93+ACB93)/DP93,RP93,(RP93-G93*(YO93+ACB93))/(1-G93*DP93))),RP93/(1-MAX(0,DP93)*H_Exit)))</f>
        <v>0</v>
      </c>
      <c r="VD93" s="20" t="n">
        <f aca="false">IF(AMQ92&lt;=0,0,IF(H_Direct=1,IF(DQ93&lt;=0,RQ93,IF(RQ93&lt;=(YP93+ACC93)/DQ93,RQ93,(RQ93-G93*(YP93+ACC93))/(1-G93*DQ93))),RQ93/(1-MAX(0,DQ93)*H_Exit)))</f>
        <v>0</v>
      </c>
      <c r="VE93" s="20" t="n">
        <f aca="false">IF(AMR92&lt;=0,0,IF(H_Direct=1,IF(DR93&lt;=0,RR93,IF(RR93&lt;=(YQ93+ACD93)/DR93,RR93,(RR93-G93*(YQ93+ACD93))/(1-G93*DR93))),RR93/(1-MAX(0,DR93)*H_Exit)))</f>
        <v>0</v>
      </c>
      <c r="VF93" s="20" t="n">
        <f aca="false">IF(AMS92&lt;=0,0,IF(H_Direct=1,IF(DS93&lt;=0,RS93,IF(RS93&lt;=(YR93+ACE93)/DS93,RS93,(RS93-G93*(YR93+ACE93))/(1-G93*DS93))),RS93/(1-MAX(0,DS93)*H_Exit)))</f>
        <v>0</v>
      </c>
      <c r="VG93" s="20" t="n">
        <f aca="false">IF(AMT92&lt;=0,0,IF(H_Direct=1,IF(DT93&lt;=0,RT93,IF(RT93&lt;=(YS93+ACF93)/DT93,RT93,(RT93-G93*(YS93+ACF93))/(1-G93*DT93))),RT93/(1-MAX(0,DT93)*H_Exit)))</f>
        <v>0</v>
      </c>
      <c r="VH93" s="20" t="n">
        <f aca="false">IF(AMU92&lt;=0,0,IF(H_Direct=1,IF(DU93&lt;=0,RU93,IF(RU93&lt;=(YT93+ACG93)/DU93,RU93,(RU93-G93*(YT93+ACG93))/(1-G93*DU93))),RU93/(1-MAX(0,DU93)*H_Exit)))</f>
        <v>0</v>
      </c>
      <c r="VI93" s="20" t="n">
        <f aca="false">IF(AMV92&lt;=0,0,IF(H_Direct=1,IF(DV93&lt;=0,RV93,IF(RV93&lt;=(YU93+ACH93)/DV93,RV93,(RV93-G93*(YU93+ACH93))/(1-G93*DV93))),RV93/(1-MAX(0,DV93)*H_Exit)))</f>
        <v>0</v>
      </c>
      <c r="VJ93" s="20" t="n">
        <f aca="false">IF(AMW92&lt;=0,0,IF(H_Direct=1,IF(DW93&lt;=0,RW93,IF(RW93&lt;=(YV93+ACI93)/DW93,RW93,(RW93-G93*(YV93+ACI93))/(1-G93*DW93))),RW93/(1-MAX(0,DW93)*H_Exit)))</f>
        <v>0</v>
      </c>
      <c r="VK93" s="20" t="n">
        <f aca="false">IF(AMX92&lt;=0,0,IF(H_Direct=1,IF(DX93&lt;=0,RX93,IF(RX93&lt;=(YW93+ACJ93)/DX93,RX93,(RX93-G93*(YW93+ACJ93))/(1-G93*DX93))),RX93/(1-MAX(0,DX93)*H_Exit)))</f>
        <v>0</v>
      </c>
      <c r="VL93" s="20" t="n">
        <f aca="false">IF(AMY92&lt;=0,0,IF(H_Direct=1,IF(DY93&lt;=0,RY93,IF(RY93&lt;=(YX93+ACK93)/DY93,RY93,(RY93-G93*(YX93+ACK93))/(1-G93*DY93))),RY93/(1-MAX(0,DY93)*H_Exit)))</f>
        <v>0</v>
      </c>
      <c r="VM93" s="20" t="n">
        <f aca="false">IF(AMZ92&lt;=0,0,IF(H_Direct=1,IF(DZ93&lt;=0,RZ93,IF(RZ93&lt;=(YY93+ACL93)/DZ93,RZ93,(RZ93-G93*(YY93+ACL93))/(1-G93*DZ93))),RZ93/(1-MAX(0,DZ93)*H_Exit)))</f>
        <v>0</v>
      </c>
      <c r="VN93" s="20" t="n">
        <f aca="false">IF(ANA92&lt;=0,0,IF(H_Direct=1,IF(EA93&lt;=0,SA93,IF(SA93&lt;=(YZ93+ACM93)/EA93,SA93,(SA93-G93*(YZ93+ACM93))/(1-G93*EA93))),SA93/(1-MAX(0,EA93)*H_Exit)))</f>
        <v>0</v>
      </c>
      <c r="VO93" s="20" t="n">
        <f aca="false">IF(ANB92&lt;=0,0,IF(H_Direct=1,IF(EB93&lt;=0,SB93,IF(SB93&lt;=(ZA93+ACN93)/EB93,SB93,(SB93-G93*(ZA93+ACN93))/(1-G93*EB93))),SB93/(1-MAX(0,EB93)*H_Exit)))</f>
        <v>0</v>
      </c>
      <c r="VP93" s="20" t="n">
        <f aca="false">IF(ANC92&lt;=0,0,IF(H_Direct=1,IF(EC93&lt;=0,SC93,IF(SC93&lt;=(ZB93+ACO93)/EC93,SC93,(SC93-G93*(ZB93+ACO93))/(1-G93*EC93))),SC93/(1-MAX(0,EC93)*H_Exit)))</f>
        <v>0</v>
      </c>
      <c r="VQ93" s="20" t="n">
        <f aca="false">IF(AND92&lt;=0,0,IF(H_Direct=1,IF(ED93&lt;=0,SD93,IF(SD93&lt;=(ZC93+ACP93)/ED93,SD93,(SD93-G93*(ZC93+ACP93))/(1-G93*ED93))),SD93/(1-MAX(0,ED93)*H_Exit)))</f>
        <v>0</v>
      </c>
      <c r="VR93" s="20" t="n">
        <f aca="false">IF(ANE92&lt;=0,0,IF(H_Direct=1,IF(EE93&lt;=0,SE93,IF(SE93&lt;=(ZD93+ACQ93)/EE93,SE93,(SE93-G93*(ZD93+ACQ93))/(1-G93*EE93))),SE93/(1-MAX(0,EE93)*H_Exit)))</f>
        <v>0</v>
      </c>
      <c r="VS93" s="20" t="n">
        <f aca="false">IF(ANF92&lt;=0,0,IF(H_Direct=1,IF(EF93&lt;=0,SF93,IF(SF93&lt;=(ZE93+ACR93)/EF93,SF93,(SF93-G93*(ZE93+ACR93))/(1-G93*EF93))),SF93/(1-MAX(0,EF93)*H_Exit)))</f>
        <v>0</v>
      </c>
      <c r="VT93" s="20" t="n">
        <f aca="false">IF(ANG92&lt;=0,0,IF(H_Direct=1,IF(EG93&lt;=0,SG93,IF(SG93&lt;=(ZF93+ACS93)/EG93,SG93,(SG93-G93*(ZF93+ACS93))/(1-G93*EG93))),SG93/(1-MAX(0,EG93)*H_Exit)))</f>
        <v>0</v>
      </c>
      <c r="VU93" s="20" t="n">
        <f aca="false">IF(ANH92&lt;=0,0,IF(H_Direct=1,IF(EH93&lt;=0,SH93,IF(SH93&lt;=(ZG93+ACT93)/EH93,SH93,(SH93-G93*(ZG93+ACT93))/(1-G93*EH93))),SH93/(1-MAX(0,EH93)*H_Exit)))</f>
        <v>0</v>
      </c>
      <c r="VV93" s="20" t="n">
        <f aca="false">IF(ANI92&lt;=0,0,IF(H_Direct=1,IF(EI93&lt;=0,SI93,IF(SI93&lt;=(ZH93+ACU93)/EI93,SI93,(SI93-G93*(ZH93+ACU93))/(1-G93*EI93))),SI93/(1-MAX(0,EI93)*H_Exit)))</f>
        <v>0</v>
      </c>
      <c r="VW93" s="20" t="n">
        <f aca="false">IF(ANJ92&lt;=0,0,IF(H_Direct=1,IF(EJ93&lt;=0,SJ93,IF(SJ93&lt;=(ZI93+ACV93)/EJ93,SJ93,(SJ93-G93*(ZI93+ACV93))/(1-G93*EJ93))),SJ93/(1-MAX(0,EJ93)*H_Exit)))</f>
        <v>0</v>
      </c>
      <c r="VX93" s="20" t="n">
        <f aca="false">IF(ANK92&lt;=0,0,IF(H_Direct=1,IF(EK93&lt;=0,SK93,IF(SK93&lt;=(ZJ93+ACW93)/EK93,SK93,(SK93-G93*(ZJ93+ACW93))/(1-G93*EK93))),SK93/(1-MAX(0,EK93)*H_Exit)))</f>
        <v>0</v>
      </c>
      <c r="VY93" s="20" t="n">
        <f aca="false">IF(ANL92&lt;=0,0,IF(H_Direct=1,IF(EL93&lt;=0,SL93,IF(SL93&lt;=(ZK93+ACX93)/EL93,SL93,(SL93-G93*(ZK93+ACX93))/(1-G93*EL93))),SL93/(1-MAX(0,EL93)*H_Exit)))</f>
        <v>0</v>
      </c>
      <c r="VZ93" s="20" t="n">
        <f aca="false">IF(ANM92&lt;=0,0,IF(H_Direct=1,IF(EM93&lt;=0,SM93,IF(SM93&lt;=(ZL93+ACY93)/EM93,SM93,(SM93-G93*(ZL93+ACY93))/(1-G93*EM93))),SM93/(1-MAX(0,EM93)*H_Exit)))</f>
        <v>0</v>
      </c>
      <c r="WA93" s="20" t="n">
        <f aca="false">IF(ANN92&lt;=0,0,IF(H_Direct=1,IF(EN93&lt;=0,SN93,IF(SN93&lt;=(ZM93+ACZ93)/EN93,SN93,(SN93-G93*(ZM93+ACZ93))/(1-G93*EN93))),SN93/(1-MAX(0,EN93)*H_Exit)))</f>
        <v>0</v>
      </c>
      <c r="WB93" s="20" t="n">
        <f aca="false">IF(ANO92&lt;=0,0,IF(H_Direct=1,IF(EO93&lt;=0,SO93,IF(SO93&lt;=(ZN93+ADA93)/EO93,SO93,(SO93-G93*(ZN93+ADA93))/(1-G93*EO93))),SO93/(1-MAX(0,EO93)*H_Exit)))</f>
        <v>0</v>
      </c>
      <c r="WC93" s="20" t="n">
        <f aca="false">IF(ANP92&lt;=0,0,IF(H_Direct=1,IF(EP93&lt;=0,SP93,IF(SP93&lt;=(ZO93+ADB93)/EP93,SP93,(SP93-G93*(ZO93+ADB93))/(1-G93*EP93))),SP93/(1-MAX(0,EP93)*H_Exit)))</f>
        <v>0</v>
      </c>
      <c r="WD93" s="20" t="n">
        <f aca="false">IF(ANQ92&lt;=0,0,IF(H_Direct=1,IF(EQ93&lt;=0,SQ93,IF(SQ93&lt;=(ZP93+ADC93)/EQ93,SQ93,(SQ93-G93*(ZP93+ADC93))/(1-G93*EQ93))),SQ93/(1-MAX(0,EQ93)*H_Exit)))</f>
        <v>0</v>
      </c>
      <c r="WE93" s="20" t="n">
        <f aca="false">IF(ANR92&lt;=0,0,IF(H_Direct=1,IF(ER93&lt;=0,SR93,IF(SR93&lt;=(ZQ93+ADD93)/ER93,SR93,(SR93-G93*(ZQ93+ADD93))/(1-G93*ER93))),SR93/(1-MAX(0,ER93)*H_Exit)))</f>
        <v>0</v>
      </c>
      <c r="WF93" s="20" t="n">
        <f aca="false">IF(ANS92&lt;=0,0,IF(H_Direct=1,IF(ES93&lt;=0,SS93,IF(SS93&lt;=(ZR93+ADE93)/ES93,SS93,(SS93-G93*(ZR93+ADE93))/(1-G93*ES93))),SS93/(1-MAX(0,ES93)*H_Exit)))</f>
        <v>0</v>
      </c>
      <c r="WG93" s="20" t="n">
        <f aca="false">IF(ANT92&lt;=0,0,IF(H_Direct=1,IF(ET93&lt;=0,ST93,IF(ST93&lt;=(ZS93+ADF93)/ET93,ST93,(ST93-G93*(ZS93+ADF93))/(1-G93*ET93))),ST93/(1-MAX(0,ET93)*H_Exit)))</f>
        <v>0</v>
      </c>
      <c r="WH93" s="20" t="n">
        <f aca="false">IF(ANU92&lt;=0,0,IF(H_Direct=1,IF(EU93&lt;=0,SU93,IF(SU93&lt;=(ZT93+ADG93)/EU93,SU93,(SU93-G93*(ZT93+ADG93))/(1-G93*EU93))),SU93/(1-MAX(0,EU93)*H_Exit)))</f>
        <v>0</v>
      </c>
      <c r="WI93" s="20" t="n">
        <f aca="false">IF(ANV92&lt;=0,0,IF(H_Direct=1,IF(EV93&lt;=0,SV93,IF(SV93&lt;=(ZU93+ADH93)/EV93,SV93,(SV93-G93*(ZU93+ADH93))/(1-G93*EV93))),SV93/(1-MAX(0,EV93)*H_Exit)))</f>
        <v>0</v>
      </c>
      <c r="WJ93" s="20" t="n">
        <f aca="false">IF(ANW92&lt;=0,0,IF(H_Direct=1,IF(EW93&lt;=0,SW93,IF(SW93&lt;=(ZV93+ADI93)/EW93,SW93,(SW93-G93*(ZV93+ADI93))/(1-G93*EW93))),SW93/(1-MAX(0,EW93)*H_Exit)))</f>
        <v>0</v>
      </c>
      <c r="WK93" s="20" t="n">
        <f aca="false">IF(ANX92&lt;=0,0,IF(H_Direct=1,IF(EX93&lt;=0,SX93,IF(SX93&lt;=(ZW93+ADJ93)/EX93,SX93,(SX93-G93*(ZW93+ADJ93))/(1-G93*EX93))),SX93/(1-MAX(0,EX93)*H_Exit)))</f>
        <v>0</v>
      </c>
      <c r="WL93" s="20" t="n">
        <f aca="false">IF(ANY92&lt;=0,0,IF(H_Direct=1,IF(EY93&lt;=0,SY93,IF(SY93&lt;=(ZX93+ADK93)/EY93,SY93,(SY93-G93*(ZX93+ADK93))/(1-G93*EY93))),SY93/(1-MAX(0,EY93)*H_Exit)))</f>
        <v>0</v>
      </c>
      <c r="WM93" s="20" t="n">
        <f aca="false">IF((P93+S93)&lt;=0,0,IF(H_Direct=1,IF(EZ93&lt;=0,SZ93,IF(SZ93&lt;=(ZY93+ADL93)/EZ93,SZ93,(SZ93-G93*(ZY93+ADL93))/(1-G93*EZ93))),SZ93/(1-MAX(0,EZ93)*H_Exit)))</f>
        <v>0</v>
      </c>
      <c r="WN93" s="20" t="n">
        <v>0</v>
      </c>
      <c r="WO93" s="20" t="n">
        <v>0</v>
      </c>
      <c r="WP93" s="20" t="n">
        <v>0</v>
      </c>
      <c r="WQ93" s="20" t="n">
        <v>0</v>
      </c>
      <c r="WR93" s="20" t="n">
        <f aca="false">IF(AND(H_Direct=1,BR93&gt;0),MAX(0,H93-(MIN(BR93*TE93,(H93+I93))-MIN(MIN(BR93*TE93,(H93+I93)),I93))),H93)</f>
        <v>1270</v>
      </c>
      <c r="WS93" s="20" t="n">
        <f aca="false">IF(AND(H_Direct=1,BS93&gt;0),MAX(0,WR93-(MIN(BS93*TF93,(WR93+AAE93))-MIN(MIN(BS93*TF93,(WR93+AAE93)),AAE93))),WR93)</f>
        <v>1270</v>
      </c>
      <c r="WT93" s="20" t="n">
        <f aca="false">IF(AND(H_Direct=1,BT93&gt;0),MAX(0,WS93-(MIN(BT93*TG93,(WS93+AAF93))-MIN(MIN(BT93*TG93,(WS93+AAF93)),AAF93))),WS93)</f>
        <v>1270</v>
      </c>
      <c r="WU93" s="20" t="n">
        <f aca="false">IF(AND(H_Direct=1,BU93&gt;0),MAX(0,WT93-(MIN(BU93*TH93,(WT93+AAG93))-MIN(MIN(BU93*TH93,(WT93+AAG93)),AAG93))),WT93)</f>
        <v>1270</v>
      </c>
      <c r="WV93" s="20" t="n">
        <f aca="false">IF(AND(H_Direct=1,BV93&gt;0),MAX(0,WU93-(MIN(BV93*TI93,(WU93+AAH93))-MIN(MIN(BV93*TI93,(WU93+AAH93)),AAH93))),WU93)</f>
        <v>1270</v>
      </c>
      <c r="WW93" s="20" t="n">
        <f aca="false">IF(AND(H_Direct=1,BW93&gt;0),MAX(0,WV93-(MIN(BW93*TJ93,(WV93+AAI93))-MIN(MIN(BW93*TJ93,(WV93+AAI93)),AAI93))),WV93)</f>
        <v>1270</v>
      </c>
      <c r="WX93" s="20" t="n">
        <f aca="false">IF(AND(H_Direct=1,BX93&gt;0),MAX(0,WW93-(MIN(BX93*TK93,(WW93+AAJ93))-MIN(MIN(BX93*TK93,(WW93+AAJ93)),AAJ93))),WW93)</f>
        <v>1270</v>
      </c>
      <c r="WY93" s="20" t="n">
        <f aca="false">IF(AND(H_Direct=1,BY93&gt;0),MAX(0,WX93-(MIN(BY93*TL93,(WX93+AAK93))-MIN(MIN(BY93*TL93,(WX93+AAK93)),AAK93))),WX93)</f>
        <v>1270</v>
      </c>
      <c r="WZ93" s="20" t="n">
        <f aca="false">IF(AND(H_Direct=1,BZ93&gt;0),MAX(0,WY93-(MIN(BZ93*TM93,(WY93+AAL93))-MIN(MIN(BZ93*TM93,(WY93+AAL93)),AAL93))),WY93)</f>
        <v>1270</v>
      </c>
      <c r="XA93" s="20" t="n">
        <f aca="false">IF(AND(H_Direct=1,CA93&gt;0),MAX(0,WZ93-(MIN(CA93*TN93,(WZ93+AAM93))-MIN(MIN(CA93*TN93,(WZ93+AAM93)),AAM93))),WZ93)</f>
        <v>1270</v>
      </c>
      <c r="XB93" s="20" t="n">
        <f aca="false">IF(AND(H_Direct=1,CB93&gt;0),MAX(0,XA93-(MIN(CB93*TO93,(XA93+AAN93))-MIN(MIN(CB93*TO93,(XA93+AAN93)),AAN93))),XA93)</f>
        <v>1270</v>
      </c>
      <c r="XC93" s="20" t="n">
        <f aca="false">IF(AND(H_Direct=1,CC93&gt;0),MAX(0,XB93-(MIN(CC93*TP93,(XB93+AAO93))-MIN(MIN(CC93*TP93,(XB93+AAO93)),AAO93))),XB93)</f>
        <v>1270</v>
      </c>
      <c r="XD93" s="20" t="n">
        <f aca="false">IF(AND(H_Direct=1,CD93&gt;0),MAX(0,XC93-(MIN(CD93*TQ93,(XC93+AAP93))-MIN(MIN(CD93*TQ93,(XC93+AAP93)),AAP93))),XC93)</f>
        <v>1270</v>
      </c>
      <c r="XE93" s="20" t="n">
        <f aca="false">IF(AND(H_Direct=1,CE93&gt;0),MAX(0,XD93-(MIN(CE93*TR93,(XD93+AAQ93))-MIN(MIN(CE93*TR93,(XD93+AAQ93)),AAQ93))),XD93)</f>
        <v>1270</v>
      </c>
      <c r="XF93" s="20" t="n">
        <f aca="false">IF(AND(H_Direct=1,CF93&gt;0),MAX(0,XE93-(MIN(CF93*TS93,(XE93+AAR93))-MIN(MIN(CF93*TS93,(XE93+AAR93)),AAR93))),XE93)</f>
        <v>1270</v>
      </c>
      <c r="XG93" s="20" t="n">
        <f aca="false">IF(AND(H_Direct=1,CG93&gt;0),MAX(0,XF93-(MIN(CG93*TT93,(XF93+AAS93))-MIN(MIN(CG93*TT93,(XF93+AAS93)),AAS93))),XF93)</f>
        <v>1270</v>
      </c>
      <c r="XH93" s="20" t="n">
        <f aca="false">IF(AND(H_Direct=1,CH93&gt;0),MAX(0,XG93-(MIN(CH93*TU93,(XG93+AAT93))-MIN(MIN(CH93*TU93,(XG93+AAT93)),AAT93))),XG93)</f>
        <v>1270</v>
      </c>
      <c r="XI93" s="20" t="n">
        <f aca="false">IF(AND(H_Direct=1,CI93&gt;0),MAX(0,XH93-(MIN(CI93*TV93,(XH93+AAU93))-MIN(MIN(CI93*TV93,(XH93+AAU93)),AAU93))),XH93)</f>
        <v>1270</v>
      </c>
      <c r="XJ93" s="20" t="n">
        <f aca="false">IF(AND(H_Direct=1,CJ93&gt;0),MAX(0,XI93-(MIN(CJ93*TW93,(XI93+AAV93))-MIN(MIN(CJ93*TW93,(XI93+AAV93)),AAV93))),XI93)</f>
        <v>1270</v>
      </c>
      <c r="XK93" s="20" t="n">
        <f aca="false">IF(AND(H_Direct=1,CK93&gt;0),MAX(0,XJ93-(MIN(CK93*TX93,(XJ93+AAW93))-MIN(MIN(CK93*TX93,(XJ93+AAW93)),AAW93))),XJ93)</f>
        <v>1270</v>
      </c>
      <c r="XL93" s="20" t="n">
        <f aca="false">IF(AND(H_Direct=1,CL93&gt;0),MAX(0,XK93-(MIN(CL93*TY93,(XK93+AAX93))-MIN(MIN(CL93*TY93,(XK93+AAX93)),AAX93))),XK93)</f>
        <v>1270</v>
      </c>
      <c r="XM93" s="20" t="n">
        <f aca="false">IF(AND(H_Direct=1,CM93&gt;0),MAX(0,XL93-(MIN(CM93*TZ93,(XL93+AAY93))-MIN(MIN(CM93*TZ93,(XL93+AAY93)),AAY93))),XL93)</f>
        <v>1270</v>
      </c>
      <c r="XN93" s="20" t="n">
        <f aca="false">IF(AND(H_Direct=1,CN93&gt;0),MAX(0,XM93-(MIN(CN93*UA93,(XM93+AAZ93))-MIN(MIN(CN93*UA93,(XM93+AAZ93)),AAZ93))),XM93)</f>
        <v>1270</v>
      </c>
      <c r="XO93" s="20" t="n">
        <f aca="false">IF(AND(H_Direct=1,CO93&gt;0),MAX(0,XN93-(MIN(CO93*UB93,(XN93+ABA93))-MIN(MIN(CO93*UB93,(XN93+ABA93)),ABA93))),XN93)</f>
        <v>1270</v>
      </c>
      <c r="XP93" s="20" t="n">
        <f aca="false">IF(AND(H_Direct=1,CP93&gt;0),MAX(0,XO93-(MIN(CP93*UC93,(XO93+ABB93))-MIN(MIN(CP93*UC93,(XO93+ABB93)),ABB93))),XO93)</f>
        <v>1270</v>
      </c>
      <c r="XQ93" s="20" t="n">
        <f aca="false">IF(AND(H_Direct=1,CQ93&gt;0),MAX(0,XP93-(MIN(CQ93*UD93,(XP93+ABC93))-MIN(MIN(CQ93*UD93,(XP93+ABC93)),ABC93))),XP93)</f>
        <v>1270</v>
      </c>
      <c r="XR93" s="20" t="n">
        <f aca="false">IF(AND(H_Direct=1,CR93&gt;0),MAX(0,XQ93-(MIN(CR93*UE93,(XQ93+ABD93))-MIN(MIN(CR93*UE93,(XQ93+ABD93)),ABD93))),XQ93)</f>
        <v>1270</v>
      </c>
      <c r="XS93" s="20" t="n">
        <f aca="false">IF(AND(H_Direct=1,CS93&gt;0),MAX(0,XR93-(MIN(CS93*UF93,(XR93+ABE93))-MIN(MIN(CS93*UF93,(XR93+ABE93)),ABE93))),XR93)</f>
        <v>1270</v>
      </c>
      <c r="XT93" s="20" t="n">
        <f aca="false">IF(AND(H_Direct=1,CT93&gt;0),MAX(0,XS93-(MIN(CT93*UG93,(XS93+ABF93))-MIN(MIN(CT93*UG93,(XS93+ABF93)),ABF93))),XS93)</f>
        <v>1270</v>
      </c>
      <c r="XU93" s="20" t="n">
        <f aca="false">IF(AND(H_Direct=1,CU93&gt;0),MAX(0,XT93-(MIN(CU93*UH93,(XT93+ABG93))-MIN(MIN(CU93*UH93,(XT93+ABG93)),ABG93))),XT93)</f>
        <v>1270</v>
      </c>
      <c r="XV93" s="20" t="n">
        <f aca="false">IF(AND(H_Direct=1,CV93&gt;0),MAX(0,XU93-(MIN(CV93*UI93,(XU93+ABH93))-MIN(MIN(CV93*UI93,(XU93+ABH93)),ABH93))),XU93)</f>
        <v>1270</v>
      </c>
      <c r="XW93" s="20" t="n">
        <f aca="false">IF(AND(H_Direct=1,CW93&gt;0),MAX(0,XV93-(MIN(CW93*UJ93,(XV93+ABI93))-MIN(MIN(CW93*UJ93,(XV93+ABI93)),ABI93))),XV93)</f>
        <v>1270</v>
      </c>
      <c r="XX93" s="20" t="n">
        <f aca="false">IF(AND(H_Direct=1,CX93&gt;0),MAX(0,XW93-(MIN(CX93*UK93,(XW93+ABJ93))-MIN(MIN(CX93*UK93,(XW93+ABJ93)),ABJ93))),XW93)</f>
        <v>1270</v>
      </c>
      <c r="XY93" s="20" t="n">
        <f aca="false">IF(AND(H_Direct=1,CY93&gt;0),MAX(0,XX93-(MIN(CY93*UL93,(XX93+ABK93))-MIN(MIN(CY93*UL93,(XX93+ABK93)),ABK93))),XX93)</f>
        <v>1270</v>
      </c>
      <c r="XZ93" s="20" t="n">
        <f aca="false">IF(AND(H_Direct=1,CZ93&gt;0),MAX(0,XY93-(MIN(CZ93*UM93,(XY93+ABL93))-MIN(MIN(CZ93*UM93,(XY93+ABL93)),ABL93))),XY93)</f>
        <v>1270</v>
      </c>
      <c r="YA93" s="20" t="n">
        <f aca="false">IF(AND(H_Direct=1,DA93&gt;0),MAX(0,XZ93-(MIN(DA93*UN93,(XZ93+ABM93))-MIN(MIN(DA93*UN93,(XZ93+ABM93)),ABM93))),XZ93)</f>
        <v>1270</v>
      </c>
      <c r="YB93" s="20" t="n">
        <f aca="false">IF(AND(H_Direct=1,DB93&gt;0),MAX(0,YA93-(MIN(DB93*UO93,(YA93+ABN93))-MIN(MIN(DB93*UO93,(YA93+ABN93)),ABN93))),YA93)</f>
        <v>1270</v>
      </c>
      <c r="YC93" s="20" t="n">
        <f aca="false">IF(AND(H_Direct=1,DC93&gt;0),MAX(0,YB93-(MIN(DC93*UP93,(YB93+ABO93))-MIN(MIN(DC93*UP93,(YB93+ABO93)),ABO93))),YB93)</f>
        <v>1270</v>
      </c>
      <c r="YD93" s="20" t="n">
        <f aca="false">IF(AND(H_Direct=1,DD93&gt;0),MAX(0,YC93-(MIN(DD93*UQ93,(YC93+ABP93))-MIN(MIN(DD93*UQ93,(YC93+ABP93)),ABP93))),YC93)</f>
        <v>1270</v>
      </c>
      <c r="YE93" s="20" t="n">
        <f aca="false">IF(AND(H_Direct=1,DE93&gt;0),MAX(0,YD93-(MIN(DE93*UR93,(YD93+ABQ93))-MIN(MIN(DE93*UR93,(YD93+ABQ93)),ABQ93))),YD93)</f>
        <v>1270</v>
      </c>
      <c r="YF93" s="20" t="n">
        <f aca="false">IF(AND(H_Direct=1,DF93&gt;0),MAX(0,YE93-(MIN(DF93*US93,(YE93+ABR93))-MIN(MIN(DF93*US93,(YE93+ABR93)),ABR93))),YE93)</f>
        <v>1270</v>
      </c>
      <c r="YG93" s="20" t="n">
        <f aca="false">IF(AND(H_Direct=1,DG93&gt;0),MAX(0,YF93-(MIN(DG93*UT93,(YF93+ABS93))-MIN(MIN(DG93*UT93,(YF93+ABS93)),ABS93))),YF93)</f>
        <v>1270</v>
      </c>
      <c r="YH93" s="20" t="n">
        <f aca="false">IF(AND(H_Direct=1,DH93&gt;0),MAX(0,YG93-(MIN(DH93*UU93,(YG93+ABT93))-MIN(MIN(DH93*UU93,(YG93+ABT93)),ABT93))),YG93)</f>
        <v>1270</v>
      </c>
      <c r="YI93" s="20" t="n">
        <f aca="false">IF(AND(H_Direct=1,DI93&gt;0),MAX(0,YH93-(MIN(DI93*UV93,(YH93+ABU93))-MIN(MIN(DI93*UV93,(YH93+ABU93)),ABU93))),YH93)</f>
        <v>1270</v>
      </c>
      <c r="YJ93" s="20" t="n">
        <f aca="false">IF(AND(H_Direct=1,DJ93&gt;0),MAX(0,YI93-(MIN(DJ93*UW93,(YI93+ABV93))-MIN(MIN(DJ93*UW93,(YI93+ABV93)),ABV93))),YI93)</f>
        <v>1270</v>
      </c>
      <c r="YK93" s="20" t="n">
        <f aca="false">IF(AND(H_Direct=1,DK93&gt;0),MAX(0,YJ93-(MIN(DK93*UX93,(YJ93+ABW93))-MIN(MIN(DK93*UX93,(YJ93+ABW93)),ABW93))),YJ93)</f>
        <v>1270</v>
      </c>
      <c r="YL93" s="20" t="n">
        <f aca="false">IF(AND(H_Direct=1,DL93&gt;0),MAX(0,YK93-(MIN(DL93*UY93,(YK93+ABX93))-MIN(MIN(DL93*UY93,(YK93+ABX93)),ABX93))),YK93)</f>
        <v>1270</v>
      </c>
      <c r="YM93" s="20" t="n">
        <f aca="false">IF(AND(H_Direct=1,DM93&gt;0),MAX(0,YL93-(MIN(DM93*UZ93,(YL93+ABY93))-MIN(MIN(DM93*UZ93,(YL93+ABY93)),ABY93))),YL93)</f>
        <v>1270</v>
      </c>
      <c r="YN93" s="20" t="n">
        <f aca="false">IF(AND(H_Direct=1,DN93&gt;0),MAX(0,YM93-(MIN(DN93*VA93,(YM93+ABZ93))-MIN(MIN(DN93*VA93,(YM93+ABZ93)),ABZ93))),YM93)</f>
        <v>1270</v>
      </c>
      <c r="YO93" s="20" t="n">
        <f aca="false">IF(AND(H_Direct=1,DO93&gt;0),MAX(0,YN93-(MIN(DO93*VB93,(YN93+ACA93))-MIN(MIN(DO93*VB93,(YN93+ACA93)),ACA93))),YN93)</f>
        <v>1270</v>
      </c>
      <c r="YP93" s="20" t="n">
        <f aca="false">IF(AND(H_Direct=1,DP93&gt;0),MAX(0,YO93-(MIN(DP93*VC93,(YO93+ACB93))-MIN(MIN(DP93*VC93,(YO93+ACB93)),ACB93))),YO93)</f>
        <v>1270</v>
      </c>
      <c r="YQ93" s="20" t="n">
        <f aca="false">IF(AND(H_Direct=1,DQ93&gt;0),MAX(0,YP93-(MIN(DQ93*VD93,(YP93+ACC93))-MIN(MIN(DQ93*VD93,(YP93+ACC93)),ACC93))),YP93)</f>
        <v>1270</v>
      </c>
      <c r="YR93" s="20" t="n">
        <f aca="false">IF(AND(H_Direct=1,DR93&gt;0),MAX(0,YQ93-(MIN(DR93*VE93,(YQ93+ACD93))-MIN(MIN(DR93*VE93,(YQ93+ACD93)),ACD93))),YQ93)</f>
        <v>1270</v>
      </c>
      <c r="YS93" s="20" t="n">
        <f aca="false">IF(AND(H_Direct=1,DS93&gt;0),MAX(0,YR93-(MIN(DS93*VF93,(YR93+ACE93))-MIN(MIN(DS93*VF93,(YR93+ACE93)),ACE93))),YR93)</f>
        <v>1270</v>
      </c>
      <c r="YT93" s="20" t="n">
        <f aca="false">IF(AND(H_Direct=1,DT93&gt;0),MAX(0,YS93-(MIN(DT93*VG93,(YS93+ACF93))-MIN(MIN(DT93*VG93,(YS93+ACF93)),ACF93))),YS93)</f>
        <v>1270</v>
      </c>
      <c r="YU93" s="20" t="n">
        <f aca="false">IF(AND(H_Direct=1,DU93&gt;0),MAX(0,YT93-(MIN(DU93*VH93,(YT93+ACG93))-MIN(MIN(DU93*VH93,(YT93+ACG93)),ACG93))),YT93)</f>
        <v>1270</v>
      </c>
      <c r="YV93" s="20" t="n">
        <f aca="false">IF(AND(H_Direct=1,DV93&gt;0),MAX(0,YU93-(MIN(DV93*VI93,(YU93+ACH93))-MIN(MIN(DV93*VI93,(YU93+ACH93)),ACH93))),YU93)</f>
        <v>1270</v>
      </c>
      <c r="YW93" s="20" t="n">
        <f aca="false">IF(AND(H_Direct=1,DW93&gt;0),MAX(0,YV93-(MIN(DW93*VJ93,(YV93+ACI93))-MIN(MIN(DW93*VJ93,(YV93+ACI93)),ACI93))),YV93)</f>
        <v>1270</v>
      </c>
      <c r="YX93" s="20" t="n">
        <f aca="false">IF(AND(H_Direct=1,DX93&gt;0),MAX(0,YW93-(MIN(DX93*VK93,(YW93+ACJ93))-MIN(MIN(DX93*VK93,(YW93+ACJ93)),ACJ93))),YW93)</f>
        <v>1270</v>
      </c>
      <c r="YY93" s="20" t="n">
        <f aca="false">IF(AND(H_Direct=1,DY93&gt;0),MAX(0,YX93-(MIN(DY93*VL93,(YX93+ACK93))-MIN(MIN(DY93*VL93,(YX93+ACK93)),ACK93))),YX93)</f>
        <v>1270</v>
      </c>
      <c r="YZ93" s="20" t="n">
        <f aca="false">IF(AND(H_Direct=1,DZ93&gt;0),MAX(0,YY93-(MIN(DZ93*VM93,(YY93+ACL93))-MIN(MIN(DZ93*VM93,(YY93+ACL93)),ACL93))),YY93)</f>
        <v>1270</v>
      </c>
      <c r="ZA93" s="20" t="n">
        <f aca="false">IF(AND(H_Direct=1,EA93&gt;0),MAX(0,YZ93-(MIN(EA93*VN93,(YZ93+ACM93))-MIN(MIN(EA93*VN93,(YZ93+ACM93)),ACM93))),YZ93)</f>
        <v>1270</v>
      </c>
      <c r="ZB93" s="20" t="n">
        <f aca="false">IF(AND(H_Direct=1,EB93&gt;0),MAX(0,ZA93-(MIN(EB93*VO93,(ZA93+ACN93))-MIN(MIN(EB93*VO93,(ZA93+ACN93)),ACN93))),ZA93)</f>
        <v>1270</v>
      </c>
      <c r="ZC93" s="20" t="n">
        <f aca="false">IF(AND(H_Direct=1,EC93&gt;0),MAX(0,ZB93-(MIN(EC93*VP93,(ZB93+ACO93))-MIN(MIN(EC93*VP93,(ZB93+ACO93)),ACO93))),ZB93)</f>
        <v>1270</v>
      </c>
      <c r="ZD93" s="20" t="n">
        <f aca="false">IF(AND(H_Direct=1,ED93&gt;0),MAX(0,ZC93-(MIN(ED93*VQ93,(ZC93+ACP93))-MIN(MIN(ED93*VQ93,(ZC93+ACP93)),ACP93))),ZC93)</f>
        <v>1270</v>
      </c>
      <c r="ZE93" s="20" t="n">
        <f aca="false">IF(AND(H_Direct=1,EE93&gt;0),MAX(0,ZD93-(MIN(EE93*VR93,(ZD93+ACQ93))-MIN(MIN(EE93*VR93,(ZD93+ACQ93)),ACQ93))),ZD93)</f>
        <v>1270</v>
      </c>
      <c r="ZF93" s="20" t="n">
        <f aca="false">IF(AND(H_Direct=1,EF93&gt;0),MAX(0,ZE93-(MIN(EF93*VS93,(ZE93+ACR93))-MIN(MIN(EF93*VS93,(ZE93+ACR93)),ACR93))),ZE93)</f>
        <v>1270</v>
      </c>
      <c r="ZG93" s="20" t="n">
        <f aca="false">IF(AND(H_Direct=1,EG93&gt;0),MAX(0,ZF93-(MIN(EG93*VT93,(ZF93+ACS93))-MIN(MIN(EG93*VT93,(ZF93+ACS93)),ACS93))),ZF93)</f>
        <v>1270</v>
      </c>
      <c r="ZH93" s="20" t="n">
        <f aca="false">IF(AND(H_Direct=1,EH93&gt;0),MAX(0,ZG93-(MIN(EH93*VU93,(ZG93+ACT93))-MIN(MIN(EH93*VU93,(ZG93+ACT93)),ACT93))),ZG93)</f>
        <v>1270</v>
      </c>
      <c r="ZI93" s="20" t="n">
        <f aca="false">IF(AND(H_Direct=1,EI93&gt;0),MAX(0,ZH93-(MIN(EI93*VV93,(ZH93+ACU93))-MIN(MIN(EI93*VV93,(ZH93+ACU93)),ACU93))),ZH93)</f>
        <v>1270</v>
      </c>
      <c r="ZJ93" s="20" t="n">
        <f aca="false">IF(AND(H_Direct=1,EJ93&gt;0),MAX(0,ZI93-(MIN(EJ93*VW93,(ZI93+ACV93))-MIN(MIN(EJ93*VW93,(ZI93+ACV93)),ACV93))),ZI93)</f>
        <v>1270</v>
      </c>
      <c r="ZK93" s="20" t="n">
        <f aca="false">IF(AND(H_Direct=1,EK93&gt;0),MAX(0,ZJ93-(MIN(EK93*VX93,(ZJ93+ACW93))-MIN(MIN(EK93*VX93,(ZJ93+ACW93)),ACW93))),ZJ93)</f>
        <v>1270</v>
      </c>
      <c r="ZL93" s="20" t="n">
        <f aca="false">IF(AND(H_Direct=1,EL93&gt;0),MAX(0,ZK93-(MIN(EL93*VY93,(ZK93+ACX93))-MIN(MIN(EL93*VY93,(ZK93+ACX93)),ACX93))),ZK93)</f>
        <v>1270</v>
      </c>
      <c r="ZM93" s="20" t="n">
        <f aca="false">IF(AND(H_Direct=1,EM93&gt;0),MAX(0,ZL93-(MIN(EM93*VZ93,(ZL93+ACY93))-MIN(MIN(EM93*VZ93,(ZL93+ACY93)),ACY93))),ZL93)</f>
        <v>1270</v>
      </c>
      <c r="ZN93" s="20" t="n">
        <f aca="false">IF(AND(H_Direct=1,EN93&gt;0),MAX(0,ZM93-(MIN(EN93*WA93,(ZM93+ACZ93))-MIN(MIN(EN93*WA93,(ZM93+ACZ93)),ACZ93))),ZM93)</f>
        <v>1270</v>
      </c>
      <c r="ZO93" s="20" t="n">
        <f aca="false">IF(AND(H_Direct=1,EO93&gt;0),MAX(0,ZN93-(MIN(EO93*WB93,(ZN93+ADA93))-MIN(MIN(EO93*WB93,(ZN93+ADA93)),ADA93))),ZN93)</f>
        <v>1270</v>
      </c>
      <c r="ZP93" s="20" t="n">
        <f aca="false">IF(AND(H_Direct=1,EP93&gt;0),MAX(0,ZO93-(MIN(EP93*WC93,(ZO93+ADB93))-MIN(MIN(EP93*WC93,(ZO93+ADB93)),ADB93))),ZO93)</f>
        <v>1270</v>
      </c>
      <c r="ZQ93" s="20" t="n">
        <f aca="false">IF(AND(H_Direct=1,EQ93&gt;0),MAX(0,ZP93-(MIN(EQ93*WD93,(ZP93+ADC93))-MIN(MIN(EQ93*WD93,(ZP93+ADC93)),ADC93))),ZP93)</f>
        <v>1270</v>
      </c>
      <c r="ZR93" s="20" t="n">
        <f aca="false">IF(AND(H_Direct=1,ER93&gt;0),MAX(0,ZQ93-(MIN(ER93*WE93,(ZQ93+ADD93))-MIN(MIN(ER93*WE93,(ZQ93+ADD93)),ADD93))),ZQ93)</f>
        <v>1270</v>
      </c>
      <c r="ZS93" s="20" t="n">
        <f aca="false">IF(AND(H_Direct=1,ES93&gt;0),MAX(0,ZR93-(MIN(ES93*WF93,(ZR93+ADE93))-MIN(MIN(ES93*WF93,(ZR93+ADE93)),ADE93))),ZR93)</f>
        <v>1270</v>
      </c>
      <c r="ZT93" s="20" t="n">
        <f aca="false">IF(AND(H_Direct=1,ET93&gt;0),MAX(0,ZS93-(MIN(ET93*WG93,(ZS93+ADF93))-MIN(MIN(ET93*WG93,(ZS93+ADF93)),ADF93))),ZS93)</f>
        <v>1270</v>
      </c>
      <c r="ZU93" s="20" t="n">
        <f aca="false">IF(AND(H_Direct=1,EU93&gt;0),MAX(0,ZT93-(MIN(EU93*WH93,(ZT93+ADG93))-MIN(MIN(EU93*WH93,(ZT93+ADG93)),ADG93))),ZT93)</f>
        <v>1270</v>
      </c>
      <c r="ZV93" s="20" t="n">
        <f aca="false">IF(AND(H_Direct=1,EV93&gt;0),MAX(0,ZU93-(MIN(EV93*WI93,(ZU93+ADH93))-MIN(MIN(EV93*WI93,(ZU93+ADH93)),ADH93))),ZU93)</f>
        <v>1270</v>
      </c>
      <c r="ZW93" s="20" t="n">
        <f aca="false">IF(AND(H_Direct=1,EW93&gt;0),MAX(0,ZV93-(MIN(EW93*WJ93,(ZV93+ADI93))-MIN(MIN(EW93*WJ93,(ZV93+ADI93)),ADI93))),ZV93)</f>
        <v>1270</v>
      </c>
      <c r="ZX93" s="20" t="n">
        <f aca="false">IF(AND(H_Direct=1,EX93&gt;0),MAX(0,ZW93-(MIN(EX93*WK93,(ZW93+ADJ93))-MIN(MIN(EX93*WK93,(ZW93+ADJ93)),ADJ93))),ZW93)</f>
        <v>1270</v>
      </c>
      <c r="ZY93" s="20" t="n">
        <f aca="false">IF(AND(H_Direct=1,EY93&gt;0),MAX(0,ZX93-(MIN(EY93*WL93,(ZX93+ADK93))-MIN(MIN(EY93*WL93,(ZX93+ADK93)),ADK93))),ZX93)</f>
        <v>1270</v>
      </c>
      <c r="ZZ93" s="20" t="n">
        <f aca="false">IF(AND(H_Direct=1,EZ93&gt;0),MAX(0,ZY93-(MIN(EZ93*WM93,(ZY93+ADL93))-MIN(MIN(EZ93*WM93,(ZY93+ADL93)),ADL93))),ZY93)</f>
        <v>1270</v>
      </c>
      <c r="AAA93" s="20" t="n">
        <f aca="false">ZZ93</f>
        <v>1270</v>
      </c>
      <c r="AAB93" s="20" t="n">
        <f aca="false">AAA93</f>
        <v>1270</v>
      </c>
      <c r="AAC93" s="20" t="n">
        <f aca="false">AAB93</f>
        <v>1270</v>
      </c>
      <c r="AAD93" s="20" t="n">
        <f aca="false">AAC93</f>
        <v>1270</v>
      </c>
      <c r="AAE93" s="20" t="n">
        <f aca="false">IF(H_Direct=1,IF(BR93&lt;=0,I93-BR93*TE93,I93-MIN(MIN(BR93*TE93,(H93+I93)),I93)),I93)</f>
        <v>0</v>
      </c>
      <c r="AAF93" s="20" t="n">
        <f aca="false">IF(H_Direct=1,IF(BS93&lt;=0,AAE93-BS93*TF93,AAE93-MIN(MIN(BS93*TF93,(WR93+AAE93)),AAE93)),AAE93)</f>
        <v>0</v>
      </c>
      <c r="AAG93" s="20" t="n">
        <f aca="false">IF(H_Direct=1,IF(BT93&lt;=0,AAF93-BT93*TG93,AAF93-MIN(MIN(BT93*TG93,(WS93+AAF93)),AAF93)),AAF93)</f>
        <v>0</v>
      </c>
      <c r="AAH93" s="20" t="n">
        <f aca="false">IF(H_Direct=1,IF(BU93&lt;=0,AAG93-BU93*TH93,AAG93-MIN(MIN(BU93*TH93,(WT93+AAG93)),AAG93)),AAG93)</f>
        <v>0</v>
      </c>
      <c r="AAI93" s="20" t="n">
        <f aca="false">IF(H_Direct=1,IF(BV93&lt;=0,AAH93-BV93*TI93,AAH93-MIN(MIN(BV93*TI93,(WU93+AAH93)),AAH93)),AAH93)</f>
        <v>0</v>
      </c>
      <c r="AAJ93" s="20" t="n">
        <f aca="false">IF(H_Direct=1,IF(BW93&lt;=0,AAI93-BW93*TJ93,AAI93-MIN(MIN(BW93*TJ93,(WV93+AAI93)),AAI93)),AAI93)</f>
        <v>0</v>
      </c>
      <c r="AAK93" s="20" t="n">
        <f aca="false">IF(H_Direct=1,IF(BX93&lt;=0,AAJ93-BX93*TK93,AAJ93-MIN(MIN(BX93*TK93,(WW93+AAJ93)),AAJ93)),AAJ93)</f>
        <v>0</v>
      </c>
      <c r="AAL93" s="20" t="n">
        <f aca="false">IF(H_Direct=1,IF(BY93&lt;=0,AAK93-BY93*TL93,AAK93-MIN(MIN(BY93*TL93,(WX93+AAK93)),AAK93)),AAK93)</f>
        <v>0</v>
      </c>
      <c r="AAM93" s="20" t="n">
        <f aca="false">IF(H_Direct=1,IF(BZ93&lt;=0,AAL93-BZ93*TM93,AAL93-MIN(MIN(BZ93*TM93,(WY93+AAL93)),AAL93)),AAL93)</f>
        <v>0</v>
      </c>
      <c r="AAN93" s="20" t="n">
        <f aca="false">IF(H_Direct=1,IF(CA93&lt;=0,AAM93-CA93*TN93,AAM93-MIN(MIN(CA93*TN93,(WZ93+AAM93)),AAM93)),AAM93)</f>
        <v>0</v>
      </c>
      <c r="AAO93" s="20" t="n">
        <f aca="false">IF(H_Direct=1,IF(CB93&lt;=0,AAN93-CB93*TO93,AAN93-MIN(MIN(CB93*TO93,(XA93+AAN93)),AAN93)),AAN93)</f>
        <v>0</v>
      </c>
      <c r="AAP93" s="20" t="n">
        <f aca="false">IF(H_Direct=1,IF(CC93&lt;=0,AAO93-CC93*TP93,AAO93-MIN(MIN(CC93*TP93,(XB93+AAO93)),AAO93)),AAO93)</f>
        <v>0</v>
      </c>
      <c r="AAQ93" s="20" t="n">
        <f aca="false">IF(H_Direct=1,IF(CD93&lt;=0,AAP93-CD93*TQ93,AAP93-MIN(MIN(CD93*TQ93,(XC93+AAP93)),AAP93)),AAP93)</f>
        <v>0</v>
      </c>
      <c r="AAR93" s="20" t="n">
        <f aca="false">IF(H_Direct=1,IF(CE93&lt;=0,AAQ93-CE93*TR93,AAQ93-MIN(MIN(CE93*TR93,(XD93+AAQ93)),AAQ93)),AAQ93)</f>
        <v>0</v>
      </c>
      <c r="AAS93" s="20" t="n">
        <f aca="false">IF(H_Direct=1,IF(CF93&lt;=0,AAR93-CF93*TS93,AAR93-MIN(MIN(CF93*TS93,(XE93+AAR93)),AAR93)),AAR93)</f>
        <v>0</v>
      </c>
      <c r="AAT93" s="20" t="n">
        <f aca="false">IF(H_Direct=1,IF(CG93&lt;=0,AAS93-CG93*TT93,AAS93-MIN(MIN(CG93*TT93,(XF93+AAS93)),AAS93)),AAS93)</f>
        <v>0</v>
      </c>
      <c r="AAU93" s="20" t="n">
        <f aca="false">IF(H_Direct=1,IF(CH93&lt;=0,AAT93-CH93*TU93,AAT93-MIN(MIN(CH93*TU93,(XG93+AAT93)),AAT93)),AAT93)</f>
        <v>0</v>
      </c>
      <c r="AAV93" s="20" t="n">
        <f aca="false">IF(H_Direct=1,IF(CI93&lt;=0,AAU93-CI93*TV93,AAU93-MIN(MIN(CI93*TV93,(XH93+AAU93)),AAU93)),AAU93)</f>
        <v>0</v>
      </c>
      <c r="AAW93" s="20" t="n">
        <f aca="false">IF(H_Direct=1,IF(CJ93&lt;=0,AAV93-CJ93*TW93,AAV93-MIN(MIN(CJ93*TW93,(XI93+AAV93)),AAV93)),AAV93)</f>
        <v>0</v>
      </c>
      <c r="AAX93" s="20" t="n">
        <f aca="false">IF(H_Direct=1,IF(CK93&lt;=0,AAW93-CK93*TX93,AAW93-MIN(MIN(CK93*TX93,(XJ93+AAW93)),AAW93)),AAW93)</f>
        <v>0</v>
      </c>
      <c r="AAY93" s="20" t="n">
        <f aca="false">IF(H_Direct=1,IF(CL93&lt;=0,AAX93-CL93*TY93,AAX93-MIN(MIN(CL93*TY93,(XK93+AAX93)),AAX93)),AAX93)</f>
        <v>0</v>
      </c>
      <c r="AAZ93" s="20" t="n">
        <f aca="false">IF(H_Direct=1,IF(CM93&lt;=0,AAY93-CM93*TZ93,AAY93-MIN(MIN(CM93*TZ93,(XL93+AAY93)),AAY93)),AAY93)</f>
        <v>0</v>
      </c>
      <c r="ABA93" s="20" t="n">
        <f aca="false">IF(H_Direct=1,IF(CN93&lt;=0,AAZ93-CN93*UA93,AAZ93-MIN(MIN(CN93*UA93,(XM93+AAZ93)),AAZ93)),AAZ93)</f>
        <v>0</v>
      </c>
      <c r="ABB93" s="20" t="n">
        <f aca="false">IF(H_Direct=1,IF(CO93&lt;=0,ABA93-CO93*UB93,ABA93-MIN(MIN(CO93*UB93,(XN93+ABA93)),ABA93)),ABA93)</f>
        <v>0</v>
      </c>
      <c r="ABC93" s="20" t="n">
        <f aca="false">IF(H_Direct=1,IF(CP93&lt;=0,ABB93-CP93*UC93,ABB93-MIN(MIN(CP93*UC93,(XO93+ABB93)),ABB93)),ABB93)</f>
        <v>0</v>
      </c>
      <c r="ABD93" s="20" t="n">
        <f aca="false">IF(H_Direct=1,IF(CQ93&lt;=0,ABC93-CQ93*UD93,ABC93-MIN(MIN(CQ93*UD93,(XP93+ABC93)),ABC93)),ABC93)</f>
        <v>0</v>
      </c>
      <c r="ABE93" s="20" t="n">
        <f aca="false">IF(H_Direct=1,IF(CR93&lt;=0,ABD93-CR93*UE93,ABD93-MIN(MIN(CR93*UE93,(XQ93+ABD93)),ABD93)),ABD93)</f>
        <v>0</v>
      </c>
      <c r="ABF93" s="20" t="n">
        <f aca="false">IF(H_Direct=1,IF(CS93&lt;=0,ABE93-CS93*UF93,ABE93-MIN(MIN(CS93*UF93,(XR93+ABE93)),ABE93)),ABE93)</f>
        <v>0</v>
      </c>
      <c r="ABG93" s="20" t="n">
        <f aca="false">IF(H_Direct=1,IF(CT93&lt;=0,ABF93-CT93*UG93,ABF93-MIN(MIN(CT93*UG93,(XS93+ABF93)),ABF93)),ABF93)</f>
        <v>0</v>
      </c>
      <c r="ABH93" s="20" t="n">
        <f aca="false">IF(H_Direct=1,IF(CU93&lt;=0,ABG93-CU93*UH93,ABG93-MIN(MIN(CU93*UH93,(XT93+ABG93)),ABG93)),ABG93)</f>
        <v>0</v>
      </c>
      <c r="ABI93" s="20" t="n">
        <f aca="false">IF(H_Direct=1,IF(CV93&lt;=0,ABH93-CV93*UI93,ABH93-MIN(MIN(CV93*UI93,(XU93+ABH93)),ABH93)),ABH93)</f>
        <v>0</v>
      </c>
      <c r="ABJ93" s="20" t="n">
        <f aca="false">IF(H_Direct=1,IF(CW93&lt;=0,ABI93-CW93*UJ93,ABI93-MIN(MIN(CW93*UJ93,(XV93+ABI93)),ABI93)),ABI93)</f>
        <v>0</v>
      </c>
      <c r="ABK93" s="20" t="n">
        <f aca="false">IF(H_Direct=1,IF(CX93&lt;=0,ABJ93-CX93*UK93,ABJ93-MIN(MIN(CX93*UK93,(XW93+ABJ93)),ABJ93)),ABJ93)</f>
        <v>0</v>
      </c>
      <c r="ABL93" s="20" t="n">
        <f aca="false">IF(H_Direct=1,IF(CY93&lt;=0,ABK93-CY93*UL93,ABK93-MIN(MIN(CY93*UL93,(XX93+ABK93)),ABK93)),ABK93)</f>
        <v>0</v>
      </c>
      <c r="ABM93" s="20" t="n">
        <f aca="false">IF(H_Direct=1,IF(CZ93&lt;=0,ABL93-CZ93*UM93,ABL93-MIN(MIN(CZ93*UM93,(XY93+ABL93)),ABL93)),ABL93)</f>
        <v>0</v>
      </c>
      <c r="ABN93" s="20" t="n">
        <f aca="false">IF(H_Direct=1,IF(DA93&lt;=0,ABM93-DA93*UN93,ABM93-MIN(MIN(DA93*UN93,(XZ93+ABM93)),ABM93)),ABM93)</f>
        <v>0</v>
      </c>
      <c r="ABO93" s="20" t="n">
        <f aca="false">IF(H_Direct=1,IF(DB93&lt;=0,ABN93-DB93*UO93,ABN93-MIN(MIN(DB93*UO93,(YA93+ABN93)),ABN93)),ABN93)</f>
        <v>0</v>
      </c>
      <c r="ABP93" s="20" t="n">
        <f aca="false">IF(H_Direct=1,IF(DC93&lt;=0,ABO93-DC93*UP93,ABO93-MIN(MIN(DC93*UP93,(YB93+ABO93)),ABO93)),ABO93)</f>
        <v>0</v>
      </c>
      <c r="ABQ93" s="20" t="n">
        <f aca="false">IF(H_Direct=1,IF(DD93&lt;=0,ABP93-DD93*UQ93,ABP93-MIN(MIN(DD93*UQ93,(YC93+ABP93)),ABP93)),ABP93)</f>
        <v>0</v>
      </c>
      <c r="ABR93" s="20" t="n">
        <f aca="false">IF(H_Direct=1,IF(DE93&lt;=0,ABQ93-DE93*UR93,ABQ93-MIN(MIN(DE93*UR93,(YD93+ABQ93)),ABQ93)),ABQ93)</f>
        <v>0</v>
      </c>
      <c r="ABS93" s="20" t="n">
        <f aca="false">IF(H_Direct=1,IF(DF93&lt;=0,ABR93-DF93*US93,ABR93-MIN(MIN(DF93*US93,(YE93+ABR93)),ABR93)),ABR93)</f>
        <v>0</v>
      </c>
      <c r="ABT93" s="20" t="n">
        <f aca="false">IF(H_Direct=1,IF(DG93&lt;=0,ABS93-DG93*UT93,ABS93-MIN(MIN(DG93*UT93,(YF93+ABS93)),ABS93)),ABS93)</f>
        <v>0</v>
      </c>
      <c r="ABU93" s="20" t="n">
        <f aca="false">IF(H_Direct=1,IF(DH93&lt;=0,ABT93-DH93*UU93,ABT93-MIN(MIN(DH93*UU93,(YG93+ABT93)),ABT93)),ABT93)</f>
        <v>0</v>
      </c>
      <c r="ABV93" s="20" t="n">
        <f aca="false">IF(H_Direct=1,IF(DI93&lt;=0,ABU93-DI93*UV93,ABU93-MIN(MIN(DI93*UV93,(YH93+ABU93)),ABU93)),ABU93)</f>
        <v>0</v>
      </c>
      <c r="ABW93" s="20" t="n">
        <f aca="false">IF(H_Direct=1,IF(DJ93&lt;=0,ABV93-DJ93*UW93,ABV93-MIN(MIN(DJ93*UW93,(YI93+ABV93)),ABV93)),ABV93)</f>
        <v>0</v>
      </c>
      <c r="ABX93" s="20" t="n">
        <f aca="false">IF(H_Direct=1,IF(DK93&lt;=0,ABW93-DK93*UX93,ABW93-MIN(MIN(DK93*UX93,(YJ93+ABW93)),ABW93)),ABW93)</f>
        <v>0</v>
      </c>
      <c r="ABY93" s="20" t="n">
        <f aca="false">IF(H_Direct=1,IF(DL93&lt;=0,ABX93-DL93*UY93,ABX93-MIN(MIN(DL93*UY93,(YK93+ABX93)),ABX93)),ABX93)</f>
        <v>0</v>
      </c>
      <c r="ABZ93" s="20" t="n">
        <f aca="false">IF(H_Direct=1,IF(DM93&lt;=0,ABY93-DM93*UZ93,ABY93-MIN(MIN(DM93*UZ93,(YL93+ABY93)),ABY93)),ABY93)</f>
        <v>0</v>
      </c>
      <c r="ACA93" s="20" t="n">
        <f aca="false">IF(H_Direct=1,IF(DN93&lt;=0,ABZ93-DN93*VA93,ABZ93-MIN(MIN(DN93*VA93,(YM93+ABZ93)),ABZ93)),ABZ93)</f>
        <v>0</v>
      </c>
      <c r="ACB93" s="20" t="n">
        <f aca="false">IF(H_Direct=1,IF(DO93&lt;=0,ACA93-DO93*VB93,ACA93-MIN(MIN(DO93*VB93,(YN93+ACA93)),ACA93)),ACA93)</f>
        <v>0</v>
      </c>
      <c r="ACC93" s="20" t="n">
        <f aca="false">IF(H_Direct=1,IF(DP93&lt;=0,ACB93-DP93*VC93,ACB93-MIN(MIN(DP93*VC93,(YO93+ACB93)),ACB93)),ACB93)</f>
        <v>0</v>
      </c>
      <c r="ACD93" s="20" t="n">
        <f aca="false">IF(H_Direct=1,IF(DQ93&lt;=0,ACC93-DQ93*VD93,ACC93-MIN(MIN(DQ93*VD93,(YP93+ACC93)),ACC93)),ACC93)</f>
        <v>0</v>
      </c>
      <c r="ACE93" s="20" t="n">
        <f aca="false">IF(H_Direct=1,IF(DR93&lt;=0,ACD93-DR93*VE93,ACD93-MIN(MIN(DR93*VE93,(YQ93+ACD93)),ACD93)),ACD93)</f>
        <v>0</v>
      </c>
      <c r="ACF93" s="20" t="n">
        <f aca="false">IF(H_Direct=1,IF(DS93&lt;=0,ACE93-DS93*VF93,ACE93-MIN(MIN(DS93*VF93,(YR93+ACE93)),ACE93)),ACE93)</f>
        <v>0</v>
      </c>
      <c r="ACG93" s="20" t="n">
        <f aca="false">IF(H_Direct=1,IF(DT93&lt;=0,ACF93-DT93*VG93,ACF93-MIN(MIN(DT93*VG93,(YS93+ACF93)),ACF93)),ACF93)</f>
        <v>0</v>
      </c>
      <c r="ACH93" s="20" t="n">
        <f aca="false">IF(H_Direct=1,IF(DU93&lt;=0,ACG93-DU93*VH93,ACG93-MIN(MIN(DU93*VH93,(YT93+ACG93)),ACG93)),ACG93)</f>
        <v>0</v>
      </c>
      <c r="ACI93" s="20" t="n">
        <f aca="false">IF(H_Direct=1,IF(DV93&lt;=0,ACH93-DV93*VI93,ACH93-MIN(MIN(DV93*VI93,(YU93+ACH93)),ACH93)),ACH93)</f>
        <v>0</v>
      </c>
      <c r="ACJ93" s="20" t="n">
        <f aca="false">IF(H_Direct=1,IF(DW93&lt;=0,ACI93-DW93*VJ93,ACI93-MIN(MIN(DW93*VJ93,(YV93+ACI93)),ACI93)),ACI93)</f>
        <v>0</v>
      </c>
      <c r="ACK93" s="20" t="n">
        <f aca="false">IF(H_Direct=1,IF(DX93&lt;=0,ACJ93-DX93*VK93,ACJ93-MIN(MIN(DX93*VK93,(YW93+ACJ93)),ACJ93)),ACJ93)</f>
        <v>0</v>
      </c>
      <c r="ACL93" s="20" t="n">
        <f aca="false">IF(H_Direct=1,IF(DY93&lt;=0,ACK93-DY93*VL93,ACK93-MIN(MIN(DY93*VL93,(YX93+ACK93)),ACK93)),ACK93)</f>
        <v>0</v>
      </c>
      <c r="ACM93" s="20" t="n">
        <f aca="false">IF(H_Direct=1,IF(DZ93&lt;=0,ACL93-DZ93*VM93,ACL93-MIN(MIN(DZ93*VM93,(YY93+ACL93)),ACL93)),ACL93)</f>
        <v>0</v>
      </c>
      <c r="ACN93" s="20" t="n">
        <f aca="false">IF(H_Direct=1,IF(EA93&lt;=0,ACM93-EA93*VN93,ACM93-MIN(MIN(EA93*VN93,(YZ93+ACM93)),ACM93)),ACM93)</f>
        <v>0</v>
      </c>
      <c r="ACO93" s="20" t="n">
        <f aca="false">IF(H_Direct=1,IF(EB93&lt;=0,ACN93-EB93*VO93,ACN93-MIN(MIN(EB93*VO93,(ZA93+ACN93)),ACN93)),ACN93)</f>
        <v>0</v>
      </c>
      <c r="ACP93" s="20" t="n">
        <f aca="false">IF(H_Direct=1,IF(EC93&lt;=0,ACO93-EC93*VP93,ACO93-MIN(MIN(EC93*VP93,(ZB93+ACO93)),ACO93)),ACO93)</f>
        <v>0</v>
      </c>
      <c r="ACQ93" s="20" t="n">
        <f aca="false">IF(H_Direct=1,IF(ED93&lt;=0,ACP93-ED93*VQ93,ACP93-MIN(MIN(ED93*VQ93,(ZC93+ACP93)),ACP93)),ACP93)</f>
        <v>0</v>
      </c>
      <c r="ACR93" s="20" t="n">
        <f aca="false">IF(H_Direct=1,IF(EE93&lt;=0,ACQ93-EE93*VR93,ACQ93-MIN(MIN(EE93*VR93,(ZD93+ACQ93)),ACQ93)),ACQ93)</f>
        <v>0</v>
      </c>
      <c r="ACS93" s="20" t="n">
        <f aca="false">IF(H_Direct=1,IF(EF93&lt;=0,ACR93-EF93*VS93,ACR93-MIN(MIN(EF93*VS93,(ZE93+ACR93)),ACR93)),ACR93)</f>
        <v>0</v>
      </c>
      <c r="ACT93" s="20" t="n">
        <f aca="false">IF(H_Direct=1,IF(EG93&lt;=0,ACS93-EG93*VT93,ACS93-MIN(MIN(EG93*VT93,(ZF93+ACS93)),ACS93)),ACS93)</f>
        <v>0</v>
      </c>
      <c r="ACU93" s="20" t="n">
        <f aca="false">IF(H_Direct=1,IF(EH93&lt;=0,ACT93-EH93*VU93,ACT93-MIN(MIN(EH93*VU93,(ZG93+ACT93)),ACT93)),ACT93)</f>
        <v>0</v>
      </c>
      <c r="ACV93" s="20" t="n">
        <f aca="false">IF(H_Direct=1,IF(EI93&lt;=0,ACU93-EI93*VV93,ACU93-MIN(MIN(EI93*VV93,(ZH93+ACU93)),ACU93)),ACU93)</f>
        <v>0</v>
      </c>
      <c r="ACW93" s="20" t="n">
        <f aca="false">IF(H_Direct=1,IF(EJ93&lt;=0,ACV93-EJ93*VW93,ACV93-MIN(MIN(EJ93*VW93,(ZI93+ACV93)),ACV93)),ACV93)</f>
        <v>0</v>
      </c>
      <c r="ACX93" s="20" t="n">
        <f aca="false">IF(H_Direct=1,IF(EK93&lt;=0,ACW93-EK93*VX93,ACW93-MIN(MIN(EK93*VX93,(ZJ93+ACW93)),ACW93)),ACW93)</f>
        <v>0</v>
      </c>
      <c r="ACY93" s="20" t="n">
        <f aca="false">IF(H_Direct=1,IF(EL93&lt;=0,ACX93-EL93*VY93,ACX93-MIN(MIN(EL93*VY93,(ZK93+ACX93)),ACX93)),ACX93)</f>
        <v>0</v>
      </c>
      <c r="ACZ93" s="20" t="n">
        <f aca="false">IF(H_Direct=1,IF(EM93&lt;=0,ACY93-EM93*VZ93,ACY93-MIN(MIN(EM93*VZ93,(ZL93+ACY93)),ACY93)),ACY93)</f>
        <v>0</v>
      </c>
      <c r="ADA93" s="20" t="n">
        <f aca="false">IF(H_Direct=1,IF(EN93&lt;=0,ACZ93-EN93*WA93,ACZ93-MIN(MIN(EN93*WA93,(ZM93+ACZ93)),ACZ93)),ACZ93)</f>
        <v>0</v>
      </c>
      <c r="ADB93" s="20" t="n">
        <f aca="false">IF(H_Direct=1,IF(EO93&lt;=0,ADA93-EO93*WB93,ADA93-MIN(MIN(EO93*WB93,(ZN93+ADA93)),ADA93)),ADA93)</f>
        <v>0</v>
      </c>
      <c r="ADC93" s="20" t="n">
        <f aca="false">IF(H_Direct=1,IF(EP93&lt;=0,ADB93-EP93*WC93,ADB93-MIN(MIN(EP93*WC93,(ZO93+ADB93)),ADB93)),ADB93)</f>
        <v>0</v>
      </c>
      <c r="ADD93" s="20" t="n">
        <f aca="false">IF(H_Direct=1,IF(EQ93&lt;=0,ADC93-EQ93*WD93,ADC93-MIN(MIN(EQ93*WD93,(ZP93+ADC93)),ADC93)),ADC93)</f>
        <v>0</v>
      </c>
      <c r="ADE93" s="20" t="n">
        <f aca="false">IF(H_Direct=1,IF(ER93&lt;=0,ADD93-ER93*WE93,ADD93-MIN(MIN(ER93*WE93,(ZQ93+ADD93)),ADD93)),ADD93)</f>
        <v>0</v>
      </c>
      <c r="ADF93" s="20" t="n">
        <f aca="false">IF(H_Direct=1,IF(ES93&lt;=0,ADE93-ES93*WF93,ADE93-MIN(MIN(ES93*WF93,(ZR93+ADE93)),ADE93)),ADE93)</f>
        <v>0</v>
      </c>
      <c r="ADG93" s="20" t="n">
        <f aca="false">IF(H_Direct=1,IF(ET93&lt;=0,ADF93-ET93*WG93,ADF93-MIN(MIN(ET93*WG93,(ZS93+ADF93)),ADF93)),ADF93)</f>
        <v>0</v>
      </c>
      <c r="ADH93" s="20" t="n">
        <f aca="false">IF(H_Direct=1,IF(EU93&lt;=0,ADG93-EU93*WH93,ADG93-MIN(MIN(EU93*WH93,(ZT93+ADG93)),ADG93)),ADG93)</f>
        <v>0</v>
      </c>
      <c r="ADI93" s="20" t="n">
        <f aca="false">IF(H_Direct=1,IF(EV93&lt;=0,ADH93-EV93*WI93,ADH93-MIN(MIN(EV93*WI93,(ZU93+ADH93)),ADH93)),ADH93)</f>
        <v>0</v>
      </c>
      <c r="ADJ93" s="20" t="n">
        <f aca="false">IF(H_Direct=1,IF(EW93&lt;=0,ADI93-EW93*WJ93,ADI93-MIN(MIN(EW93*WJ93,(ZV93+ADI93)),ADI93)),ADI93)</f>
        <v>0</v>
      </c>
      <c r="ADK93" s="20" t="n">
        <f aca="false">IF(H_Direct=1,IF(EX93&lt;=0,ADJ93-EX93*WK93,ADJ93-MIN(MIN(EX93*WK93,(ZW93+ADJ93)),ADJ93)),ADJ93)</f>
        <v>0</v>
      </c>
      <c r="ADL93" s="20" t="n">
        <f aca="false">IF(H_Direct=1,IF(EY93&lt;=0,ADK93-EY93*WL93,ADK93-MIN(MIN(EY93*WL93,(ZX93+ADK93)),ADK93)),ADK93)</f>
        <v>0</v>
      </c>
      <c r="ADM93" s="20" t="n">
        <f aca="false">IF(H_Direct=1,IF(EZ93&lt;=0,ADL93-EZ93*WM93,ADL93-MIN(MIN(EZ93*WM93,(ZY93+ADL93)),ADL93)),ADL93)</f>
        <v>0</v>
      </c>
      <c r="ADN93" s="20" t="n">
        <f aca="false">ADM93</f>
        <v>0</v>
      </c>
      <c r="ADO93" s="20" t="n">
        <f aca="false">ADN93</f>
        <v>0</v>
      </c>
      <c r="ADP93" s="20" t="n">
        <f aca="false">ADO93</f>
        <v>0</v>
      </c>
      <c r="ADQ93" s="20" t="n">
        <f aca="false">ADP93</f>
        <v>0</v>
      </c>
      <c r="ADR93" s="20" t="n">
        <f aca="false">(AKR92-TE93+0)*(1+BQ93)</f>
        <v>0</v>
      </c>
      <c r="ADS93" s="20" t="n">
        <f aca="false">(AKS92-TF93+0)*(1+BQ93)</f>
        <v>0</v>
      </c>
      <c r="ADT93" s="20" t="n">
        <f aca="false">(AKT92-TG93+0)*(1+BQ93)</f>
        <v>0</v>
      </c>
      <c r="ADU93" s="20" t="n">
        <f aca="false">(AKU92-TH93+0)*(1+BQ93)</f>
        <v>0</v>
      </c>
      <c r="ADV93" s="20" t="n">
        <f aca="false">(AKV92-TI93+0)*(1+BQ93)</f>
        <v>0</v>
      </c>
      <c r="ADW93" s="20" t="n">
        <f aca="false">(AKW92-TJ93+0)*(1+BQ93)</f>
        <v>0</v>
      </c>
      <c r="ADX93" s="20" t="n">
        <f aca="false">(AKX92-TK93+0)*(1+BQ93)</f>
        <v>0</v>
      </c>
      <c r="ADY93" s="20" t="n">
        <f aca="false">(AKY92-TL93+0)*(1+BQ93)</f>
        <v>0</v>
      </c>
      <c r="ADZ93" s="20" t="n">
        <f aca="false">(AKZ92-TM93+0)*(1+BQ93)</f>
        <v>0</v>
      </c>
      <c r="AEA93" s="20" t="n">
        <f aca="false">(ALA92-TN93+0)*(1+BQ93)</f>
        <v>0</v>
      </c>
      <c r="AEB93" s="20" t="n">
        <f aca="false">(ALB92-TO93+0)*(1+BQ93)</f>
        <v>0</v>
      </c>
      <c r="AEC93" s="20" t="n">
        <f aca="false">(ALC92-TP93+0)*(1+BQ93)</f>
        <v>0</v>
      </c>
      <c r="AED93" s="20" t="n">
        <f aca="false">(ALD92-TQ93+0)*(1+BQ93)</f>
        <v>0</v>
      </c>
      <c r="AEE93" s="20" t="n">
        <f aca="false">(ALE92-TR93+0)*(1+BQ93)</f>
        <v>0</v>
      </c>
      <c r="AEF93" s="20" t="n">
        <f aca="false">(ALF92-TS93+0)*(1+BQ93)</f>
        <v>0</v>
      </c>
      <c r="AEG93" s="20" t="n">
        <f aca="false">(ALG92-TT93+0)*(1+BQ93)</f>
        <v>0</v>
      </c>
      <c r="AEH93" s="20" t="n">
        <f aca="false">(ALH92-TU93+0)*(1+BQ93)</f>
        <v>0</v>
      </c>
      <c r="AEI93" s="20" t="n">
        <f aca="false">(ALI92-TV93+0)*(1+BQ93)</f>
        <v>0</v>
      </c>
      <c r="AEJ93" s="20" t="n">
        <f aca="false">(ALJ92-TW93+0)*(1+BQ93)</f>
        <v>0</v>
      </c>
      <c r="AEK93" s="20" t="n">
        <f aca="false">(ALK92-TX93+0)*(1+BQ93)</f>
        <v>0</v>
      </c>
      <c r="AEL93" s="20" t="n">
        <f aca="false">(ALL92-TY93+0)*(1+BQ93)</f>
        <v>0</v>
      </c>
      <c r="AEM93" s="20" t="n">
        <f aca="false">(ALM92-TZ93+0)*(1+BQ93)</f>
        <v>0</v>
      </c>
      <c r="AEN93" s="20" t="n">
        <f aca="false">(ALN92-UA93+0)*(1+BQ93)</f>
        <v>0</v>
      </c>
      <c r="AEO93" s="20" t="n">
        <f aca="false">(ALO92-UB93+0)*(1+BQ93)</f>
        <v>0</v>
      </c>
      <c r="AEP93" s="20" t="n">
        <f aca="false">(ALP92-UC93+0)*(1+BQ93)</f>
        <v>0</v>
      </c>
      <c r="AEQ93" s="20" t="n">
        <f aca="false">(ALQ92-UD93+0)*(1+BQ93)</f>
        <v>0</v>
      </c>
      <c r="AER93" s="20" t="n">
        <f aca="false">(ALR92-UE93+0)*(1+BQ93)</f>
        <v>0</v>
      </c>
      <c r="AES93" s="20" t="n">
        <f aca="false">(ALS92-UF93+0)*(1+BQ93)</f>
        <v>0</v>
      </c>
      <c r="AET93" s="20" t="n">
        <f aca="false">(ALT92-UG93+0)*(1+BQ93)</f>
        <v>0</v>
      </c>
      <c r="AEU93" s="20" t="n">
        <f aca="false">(ALU92-UH93+0)*(1+BQ93)</f>
        <v>0</v>
      </c>
      <c r="AEV93" s="20" t="n">
        <f aca="false">(ALV92-UI93+0)*(1+BQ93)</f>
        <v>0</v>
      </c>
      <c r="AEW93" s="20" t="n">
        <f aca="false">(ALW92-UJ93+0)*(1+BQ93)</f>
        <v>0</v>
      </c>
      <c r="AEX93" s="20" t="n">
        <f aca="false">(ALX92-UK93+0)*(1+BQ93)</f>
        <v>0</v>
      </c>
      <c r="AEY93" s="20" t="n">
        <f aca="false">(ALY92-UL93+0)*(1+BQ93)</f>
        <v>0</v>
      </c>
      <c r="AEZ93" s="20" t="n">
        <f aca="false">(ALZ92-UM93+0)*(1+BQ93)</f>
        <v>0</v>
      </c>
      <c r="AFA93" s="20" t="n">
        <f aca="false">(AMA92-UN93+0)*(1+BQ93)</f>
        <v>0</v>
      </c>
      <c r="AFB93" s="20" t="n">
        <f aca="false">(AMB92-UO93+0)*(1+BQ93)</f>
        <v>0</v>
      </c>
      <c r="AFC93" s="20" t="n">
        <f aca="false">(AMC92-UP93+0)*(1+BQ93)</f>
        <v>0</v>
      </c>
      <c r="AFD93" s="20" t="n">
        <f aca="false">(AMD92-UQ93+0)*(1+BQ93)</f>
        <v>0</v>
      </c>
      <c r="AFE93" s="20" t="n">
        <f aca="false">(AME92-UR93+0)*(1+BQ93)</f>
        <v>0</v>
      </c>
      <c r="AFF93" s="20" t="n">
        <f aca="false">(AMF92-US93+0)*(1+BQ93)</f>
        <v>0</v>
      </c>
      <c r="AFG93" s="20" t="n">
        <f aca="false">(AMG92-UT93+0)*(1+BQ93)</f>
        <v>0</v>
      </c>
      <c r="AFH93" s="20" t="n">
        <f aca="false">(AMH92-UU93+0)*(1+BQ93)</f>
        <v>0</v>
      </c>
      <c r="AFI93" s="20" t="n">
        <f aca="false">(AMI92-UV93+0)*(1+BQ93)</f>
        <v>0</v>
      </c>
      <c r="AFJ93" s="20" t="n">
        <f aca="false">(AMJ92-UW93+0)*(1+BQ93)</f>
        <v>0</v>
      </c>
      <c r="AFK93" s="20" t="n">
        <f aca="false">(AMK92-UX93+0)*(1+BQ93)</f>
        <v>0</v>
      </c>
      <c r="AFL93" s="20" t="n">
        <f aca="false">(AML92-UY93+0)*(1+BQ93)</f>
        <v>0</v>
      </c>
      <c r="AFM93" s="20" t="n">
        <f aca="false">(AMM92-UZ93+0)*(1+BQ93)</f>
        <v>0</v>
      </c>
      <c r="AFN93" s="20" t="n">
        <f aca="false">(AMN92-VA93+0)*(1+BQ93)</f>
        <v>0</v>
      </c>
      <c r="AFO93" s="20" t="n">
        <f aca="false">(AMO92-VB93+0)*(1+BQ93)</f>
        <v>0</v>
      </c>
      <c r="AFP93" s="20" t="n">
        <f aca="false">(AMP92-VC93+0)*(1+BQ93)</f>
        <v>0</v>
      </c>
      <c r="AFQ93" s="20" t="n">
        <f aca="false">(AMQ92-VD93+0)*(1+BQ93)</f>
        <v>0</v>
      </c>
      <c r="AFR93" s="20" t="n">
        <f aca="false">(AMR92-VE93+0)*(1+BQ93)</f>
        <v>0</v>
      </c>
      <c r="AFS93" s="20" t="n">
        <f aca="false">(AMS92-VF93+0)*(1+BQ93)</f>
        <v>0</v>
      </c>
      <c r="AFT93" s="20" t="n">
        <f aca="false">(AMT92-VG93+0)*(1+BQ93)</f>
        <v>0</v>
      </c>
      <c r="AFU93" s="20" t="n">
        <f aca="false">(AMU92-VH93+0)*(1+BQ93)</f>
        <v>0</v>
      </c>
      <c r="AFV93" s="20" t="n">
        <f aca="false">(AMV92-VI93+0)*(1+BQ93)</f>
        <v>0</v>
      </c>
      <c r="AFW93" s="20" t="n">
        <f aca="false">(AMW92-VJ93+0)*(1+BQ93)</f>
        <v>0</v>
      </c>
      <c r="AFX93" s="20" t="n">
        <f aca="false">(AMX92-VK93+0)*(1+BQ93)</f>
        <v>0</v>
      </c>
      <c r="AFY93" s="20" t="n">
        <f aca="false">(AMY92-VL93+0)*(1+BQ93)</f>
        <v>0</v>
      </c>
      <c r="AFZ93" s="20" t="n">
        <f aca="false">(AMZ92-VM93+0)*(1+BQ93)</f>
        <v>0</v>
      </c>
      <c r="AGA93" s="20" t="n">
        <f aca="false">(ANA92-VN93+0)*(1+BQ93)</f>
        <v>0</v>
      </c>
      <c r="AGB93" s="20" t="n">
        <f aca="false">(ANB92-VO93+0)*(1+BQ93)</f>
        <v>0</v>
      </c>
      <c r="AGC93" s="20" t="n">
        <f aca="false">(ANC92-VP93+0)*(1+BQ93)</f>
        <v>0</v>
      </c>
      <c r="AGD93" s="20" t="n">
        <f aca="false">(AND92-VQ93+0)*(1+BQ93)</f>
        <v>0</v>
      </c>
      <c r="AGE93" s="20" t="n">
        <f aca="false">(ANE92-VR93+0)*(1+BQ93)</f>
        <v>0</v>
      </c>
      <c r="AGF93" s="20" t="n">
        <f aca="false">(ANF92-VS93+0)*(1+BQ93)</f>
        <v>0</v>
      </c>
      <c r="AGG93" s="20" t="n">
        <f aca="false">(ANG92-VT93+0)*(1+BQ93)</f>
        <v>0</v>
      </c>
      <c r="AGH93" s="20" t="n">
        <f aca="false">(ANH92-VU93+0)*(1+BQ93)</f>
        <v>0</v>
      </c>
      <c r="AGI93" s="20" t="n">
        <f aca="false">(ANI92-VV93+0)*(1+BQ93)</f>
        <v>0</v>
      </c>
      <c r="AGJ93" s="20" t="n">
        <f aca="false">(ANJ92-VW93+0)*(1+BQ93)</f>
        <v>0</v>
      </c>
      <c r="AGK93" s="20" t="n">
        <f aca="false">(ANK92-VX93+0)*(1+BQ93)</f>
        <v>0</v>
      </c>
      <c r="AGL93" s="20" t="n">
        <f aca="false">(ANL92-VY93+0)*(1+BQ93)</f>
        <v>0</v>
      </c>
      <c r="AGM93" s="20" t="n">
        <f aca="false">(ANM92-VZ93+0)*(1+BQ93)</f>
        <v>0</v>
      </c>
      <c r="AGN93" s="20" t="n">
        <f aca="false">(ANN92-WA93+0)*(1+BQ93)</f>
        <v>0</v>
      </c>
      <c r="AGO93" s="20" t="n">
        <f aca="false">(ANO92-WB93+0)*(1+BQ93)</f>
        <v>0</v>
      </c>
      <c r="AGP93" s="20" t="n">
        <f aca="false">(ANP92-WC93+0)*(1+BQ93)</f>
        <v>0</v>
      </c>
      <c r="AGQ93" s="20" t="n">
        <f aca="false">(ANQ92-WD93+0)*(1+BQ93)</f>
        <v>0</v>
      </c>
      <c r="AGR93" s="20" t="n">
        <f aca="false">(ANR92-WE93+0)*(1+BQ93)</f>
        <v>0</v>
      </c>
      <c r="AGS93" s="20" t="n">
        <f aca="false">(ANS92-WF93+0)*(1+BQ93)</f>
        <v>0</v>
      </c>
      <c r="AGT93" s="20" t="n">
        <f aca="false">(ANT92-WG93+0)*(1+BQ93)</f>
        <v>0</v>
      </c>
      <c r="AGU93" s="20" t="n">
        <f aca="false">(ANU92-WH93+0)*(1+BQ93)</f>
        <v>0</v>
      </c>
      <c r="AGV93" s="20" t="n">
        <f aca="false">(ANV92-WI93+0)*(1+BQ93)</f>
        <v>0</v>
      </c>
      <c r="AGW93" s="20" t="n">
        <f aca="false">(ANW92-WJ93+0)*(1+BQ93)</f>
        <v>0</v>
      </c>
      <c r="AGX93" s="20" t="n">
        <f aca="false">(ANX92-WK93+0)*(1+BQ93)</f>
        <v>0</v>
      </c>
      <c r="AGY93" s="20" t="n">
        <f aca="false">(ANY92-WL93+0)*(1+BQ93)</f>
        <v>0</v>
      </c>
      <c r="AGZ93" s="20" t="n">
        <f aca="false">((P93+S93)-WM93+BE93)*(1+BQ93)</f>
        <v>0</v>
      </c>
      <c r="AHA93" s="20" t="n">
        <v>0</v>
      </c>
      <c r="AHB93" s="20" t="n">
        <v>0</v>
      </c>
      <c r="AHC93" s="20" t="n">
        <v>0</v>
      </c>
      <c r="AHD93" s="20" t="n">
        <v>0</v>
      </c>
      <c r="AHE93" s="20" t="n">
        <f aca="false">IF(AKR92&gt;0,AOE92-AOE92*TE93/AKR92,0)+0</f>
        <v>0</v>
      </c>
      <c r="AHF93" s="20" t="n">
        <f aca="false">IF(AKS92&gt;0,AOF92-AOF92*TF93/AKS92,0)+0</f>
        <v>0</v>
      </c>
      <c r="AHG93" s="20" t="n">
        <f aca="false">IF(AKT92&gt;0,AOG92-AOG92*TG93/AKT92,0)+0</f>
        <v>0</v>
      </c>
      <c r="AHH93" s="20" t="n">
        <f aca="false">IF(AKU92&gt;0,AOH92-AOH92*TH93/AKU92,0)+0</f>
        <v>0</v>
      </c>
      <c r="AHI93" s="20" t="n">
        <f aca="false">IF(AKV92&gt;0,AOI92-AOI92*TI93/AKV92,0)+0</f>
        <v>0</v>
      </c>
      <c r="AHJ93" s="20" t="n">
        <f aca="false">IF(AKW92&gt;0,AOJ92-AOJ92*TJ93/AKW92,0)+0</f>
        <v>0</v>
      </c>
      <c r="AHK93" s="20" t="n">
        <f aca="false">IF(AKX92&gt;0,AOK92-AOK92*TK93/AKX92,0)+0</f>
        <v>0</v>
      </c>
      <c r="AHL93" s="20" t="n">
        <f aca="false">IF(AKY92&gt;0,AOL92-AOL92*TL93/AKY92,0)+0</f>
        <v>0</v>
      </c>
      <c r="AHM93" s="20" t="n">
        <f aca="false">IF(AKZ92&gt;0,AOM92-AOM92*TM93/AKZ92,0)+0</f>
        <v>0</v>
      </c>
      <c r="AHN93" s="20" t="n">
        <f aca="false">IF(ALA92&gt;0,AON92-AON92*TN93/ALA92,0)+0</f>
        <v>0</v>
      </c>
      <c r="AHO93" s="20" t="n">
        <f aca="false">IF(ALB92&gt;0,AOO92-AOO92*TO93/ALB92,0)+0</f>
        <v>0</v>
      </c>
      <c r="AHP93" s="20" t="n">
        <f aca="false">IF(ALC92&gt;0,AOP92-AOP92*TP93/ALC92,0)+0</f>
        <v>0</v>
      </c>
      <c r="AHQ93" s="20" t="n">
        <f aca="false">IF(ALD92&gt;0,AOQ92-AOQ92*TQ93/ALD92,0)+0</f>
        <v>0</v>
      </c>
      <c r="AHR93" s="20" t="n">
        <f aca="false">IF(ALE92&gt;0,AOR92-AOR92*TR93/ALE92,0)+0</f>
        <v>0</v>
      </c>
      <c r="AHS93" s="20" t="n">
        <f aca="false">IF(ALF92&gt;0,AOS92-AOS92*TS93/ALF92,0)+0</f>
        <v>0</v>
      </c>
      <c r="AHT93" s="20" t="n">
        <f aca="false">IF(ALG92&gt;0,AOT92-AOT92*TT93/ALG92,0)+0</f>
        <v>0</v>
      </c>
      <c r="AHU93" s="20" t="n">
        <f aca="false">IF(ALH92&gt;0,AOU92-AOU92*TU93/ALH92,0)+0</f>
        <v>0</v>
      </c>
      <c r="AHV93" s="20" t="n">
        <f aca="false">IF(ALI92&gt;0,AOV92-AOV92*TV93/ALI92,0)+0</f>
        <v>0</v>
      </c>
      <c r="AHW93" s="20" t="n">
        <f aca="false">IF(ALJ92&gt;0,AOW92-AOW92*TW93/ALJ92,0)+0</f>
        <v>0</v>
      </c>
      <c r="AHX93" s="20" t="n">
        <f aca="false">IF(ALK92&gt;0,AOX92-AOX92*TX93/ALK92,0)+0</f>
        <v>0</v>
      </c>
      <c r="AHY93" s="20" t="n">
        <f aca="false">IF(ALL92&gt;0,AOY92-AOY92*TY93/ALL92,0)+0</f>
        <v>0</v>
      </c>
      <c r="AHZ93" s="20" t="n">
        <f aca="false">IF(ALM92&gt;0,AOZ92-AOZ92*TZ93/ALM92,0)+0</f>
        <v>0</v>
      </c>
      <c r="AIA93" s="20" t="n">
        <f aca="false">IF(ALN92&gt;0,APA92-APA92*UA93/ALN92,0)+0</f>
        <v>0</v>
      </c>
      <c r="AIB93" s="20" t="n">
        <f aca="false">IF(ALO92&gt;0,APB92-APB92*UB93/ALO92,0)+0</f>
        <v>0</v>
      </c>
      <c r="AIC93" s="20" t="n">
        <f aca="false">IF(ALP92&gt;0,APC92-APC92*UC93/ALP92,0)+0</f>
        <v>0</v>
      </c>
      <c r="AID93" s="20" t="n">
        <f aca="false">IF(ALQ92&gt;0,APD92-APD92*UD93/ALQ92,0)+0</f>
        <v>0</v>
      </c>
      <c r="AIE93" s="20" t="n">
        <f aca="false">IF(ALR92&gt;0,APE92-APE92*UE93/ALR92,0)+0</f>
        <v>0</v>
      </c>
      <c r="AIF93" s="20" t="n">
        <f aca="false">IF(ALS92&gt;0,APF92-APF92*UF93/ALS92,0)+0</f>
        <v>0</v>
      </c>
      <c r="AIG93" s="20" t="n">
        <f aca="false">IF(ALT92&gt;0,APG92-APG92*UG93/ALT92,0)+0</f>
        <v>0</v>
      </c>
      <c r="AIH93" s="20" t="n">
        <f aca="false">IF(ALU92&gt;0,APH92-APH92*UH93/ALU92,0)+0</f>
        <v>0</v>
      </c>
      <c r="AII93" s="20" t="n">
        <f aca="false">IF(ALV92&gt;0,API92-API92*UI93/ALV92,0)+0</f>
        <v>0</v>
      </c>
      <c r="AIJ93" s="20" t="n">
        <f aca="false">IF(ALW92&gt;0,APJ92-APJ92*UJ93/ALW92,0)+0</f>
        <v>0</v>
      </c>
      <c r="AIK93" s="20" t="n">
        <f aca="false">IF(ALX92&gt;0,APK92-APK92*UK93/ALX92,0)+0</f>
        <v>0</v>
      </c>
      <c r="AIL93" s="20" t="n">
        <f aca="false">IF(ALY92&gt;0,APL92-APL92*UL93/ALY92,0)+0</f>
        <v>0</v>
      </c>
      <c r="AIM93" s="20" t="n">
        <f aca="false">IF(ALZ92&gt;0,APM92-APM92*UM93/ALZ92,0)+0</f>
        <v>0</v>
      </c>
      <c r="AIN93" s="20" t="n">
        <f aca="false">IF(AMA92&gt;0,APN92-APN92*UN93/AMA92,0)+0</f>
        <v>0</v>
      </c>
      <c r="AIO93" s="20" t="n">
        <f aca="false">IF(AMB92&gt;0,APO92-APO92*UO93/AMB92,0)+0</f>
        <v>0</v>
      </c>
      <c r="AIP93" s="20" t="n">
        <f aca="false">IF(AMC92&gt;0,APP92-APP92*UP93/AMC92,0)+0</f>
        <v>0</v>
      </c>
      <c r="AIQ93" s="20" t="n">
        <f aca="false">IF(AMD92&gt;0,APQ92-APQ92*UQ93/AMD92,0)+0</f>
        <v>0</v>
      </c>
      <c r="AIR93" s="20" t="n">
        <f aca="false">IF(AME92&gt;0,APR92-APR92*UR93/AME92,0)+0</f>
        <v>0</v>
      </c>
      <c r="AIS93" s="20" t="n">
        <f aca="false">IF(AMF92&gt;0,APS92-APS92*US93/AMF92,0)+0</f>
        <v>0</v>
      </c>
      <c r="AIT93" s="20" t="n">
        <f aca="false">IF(AMG92&gt;0,APT92-APT92*UT93/AMG92,0)+0</f>
        <v>0</v>
      </c>
      <c r="AIU93" s="20" t="n">
        <f aca="false">IF(AMH92&gt;0,APU92-APU92*UU93/AMH92,0)+0</f>
        <v>0</v>
      </c>
      <c r="AIV93" s="20" t="n">
        <f aca="false">IF(AMI92&gt;0,APV92-APV92*UV93/AMI92,0)+0</f>
        <v>0</v>
      </c>
      <c r="AIW93" s="20" t="n">
        <f aca="false">IF(AMJ92&gt;0,APW92-APW92*UW93/AMJ92,0)+0</f>
        <v>0</v>
      </c>
      <c r="AIX93" s="20" t="n">
        <f aca="false">IF(AMK92&gt;0,APX92-APX92*UX93/AMK92,0)+0</f>
        <v>0</v>
      </c>
      <c r="AIY93" s="20" t="n">
        <f aca="false">IF(AML92&gt;0,APY92-APY92*UY93/AML92,0)+0</f>
        <v>0</v>
      </c>
      <c r="AIZ93" s="20" t="n">
        <f aca="false">IF(AMM92&gt;0,APZ92-APZ92*UZ93/AMM92,0)+0</f>
        <v>0</v>
      </c>
      <c r="AJA93" s="20" t="n">
        <f aca="false">IF(AMN92&gt;0,AQA92-AQA92*VA93/AMN92,0)+0</f>
        <v>0</v>
      </c>
      <c r="AJB93" s="20" t="n">
        <f aca="false">IF(AMO92&gt;0,AQB92-AQB92*VB93/AMO92,0)+0</f>
        <v>0</v>
      </c>
      <c r="AJC93" s="20" t="n">
        <f aca="false">IF(AMP92&gt;0,AQC92-AQC92*VC93/AMP92,0)+0</f>
        <v>0</v>
      </c>
      <c r="AJD93" s="20" t="n">
        <f aca="false">IF(AMQ92&gt;0,AQD92-AQD92*VD93/AMQ92,0)+0</f>
        <v>0</v>
      </c>
      <c r="AJE93" s="20" t="n">
        <f aca="false">IF(AMR92&gt;0,AQE92-AQE92*VE93/AMR92,0)+0</f>
        <v>0</v>
      </c>
      <c r="AJF93" s="20" t="n">
        <f aca="false">IF(AMS92&gt;0,AQF92-AQF92*VF93/AMS92,0)+0</f>
        <v>0</v>
      </c>
      <c r="AJG93" s="20" t="n">
        <f aca="false">IF(AMT92&gt;0,AQG92-AQG92*VG93/AMT92,0)+0</f>
        <v>0</v>
      </c>
      <c r="AJH93" s="20" t="n">
        <f aca="false">IF(AMU92&gt;0,AQH92-AQH92*VH93/AMU92,0)+0</f>
        <v>0</v>
      </c>
      <c r="AJI93" s="20" t="n">
        <f aca="false">IF(AMV92&gt;0,AQI92-AQI92*VI93/AMV92,0)+0</f>
        <v>0</v>
      </c>
      <c r="AJJ93" s="20" t="n">
        <f aca="false">IF(AMW92&gt;0,AQJ92-AQJ92*VJ93/AMW92,0)+0</f>
        <v>0</v>
      </c>
      <c r="AJK93" s="20" t="n">
        <f aca="false">IF(AMX92&gt;0,AQK92-AQK92*VK93/AMX92,0)+0</f>
        <v>0</v>
      </c>
      <c r="AJL93" s="20" t="n">
        <f aca="false">IF(AMY92&gt;0,AQL92-AQL92*VL93/AMY92,0)+0</f>
        <v>0</v>
      </c>
      <c r="AJM93" s="20" t="n">
        <f aca="false">IF(AMZ92&gt;0,AQM92-AQM92*VM93/AMZ92,0)+0</f>
        <v>0</v>
      </c>
      <c r="AJN93" s="20" t="n">
        <f aca="false">IF(ANA92&gt;0,AQN92-AQN92*VN93/ANA92,0)+0</f>
        <v>0</v>
      </c>
      <c r="AJO93" s="20" t="n">
        <f aca="false">IF(ANB92&gt;0,AQO92-AQO92*VO93/ANB92,0)+0</f>
        <v>0</v>
      </c>
      <c r="AJP93" s="20" t="n">
        <f aca="false">IF(ANC92&gt;0,AQP92-AQP92*VP93/ANC92,0)+0</f>
        <v>0</v>
      </c>
      <c r="AJQ93" s="20" t="n">
        <f aca="false">IF(AND92&gt;0,AQQ92-AQQ92*VQ93/AND92,0)+0</f>
        <v>0</v>
      </c>
      <c r="AJR93" s="20" t="n">
        <f aca="false">IF(ANE92&gt;0,AQR92-AQR92*VR93/ANE92,0)+0</f>
        <v>0</v>
      </c>
      <c r="AJS93" s="20" t="n">
        <f aca="false">IF(ANF92&gt;0,AQS92-AQS92*VS93/ANF92,0)+0</f>
        <v>0</v>
      </c>
      <c r="AJT93" s="20" t="n">
        <f aca="false">IF(ANG92&gt;0,AQT92-AQT92*VT93/ANG92,0)+0</f>
        <v>0</v>
      </c>
      <c r="AJU93" s="20" t="n">
        <f aca="false">IF(ANH92&gt;0,AQU92-AQU92*VU93/ANH92,0)+0</f>
        <v>0</v>
      </c>
      <c r="AJV93" s="20" t="n">
        <f aca="false">IF(ANI92&gt;0,AQV92-AQV92*VV93/ANI92,0)+0</f>
        <v>0</v>
      </c>
      <c r="AJW93" s="20" t="n">
        <f aca="false">IF(ANJ92&gt;0,AQW92-AQW92*VW93/ANJ92,0)+0</f>
        <v>0</v>
      </c>
      <c r="AJX93" s="20" t="n">
        <f aca="false">IF(ANK92&gt;0,AQX92-AQX92*VX93/ANK92,0)+0</f>
        <v>0</v>
      </c>
      <c r="AJY93" s="20" t="n">
        <f aca="false">IF(ANL92&gt;0,AQY92-AQY92*VY93/ANL92,0)+0</f>
        <v>0</v>
      </c>
      <c r="AJZ93" s="20" t="n">
        <f aca="false">IF(ANM92&gt;0,AQZ92-AQZ92*VZ93/ANM92,0)+0</f>
        <v>0</v>
      </c>
      <c r="AKA93" s="20" t="n">
        <f aca="false">IF(ANN92&gt;0,ARA92-ARA92*WA93/ANN92,0)+0</f>
        <v>0</v>
      </c>
      <c r="AKB93" s="20" t="n">
        <f aca="false">IF(ANO92&gt;0,ARB92-ARB92*WB93/ANO92,0)+0</f>
        <v>0</v>
      </c>
      <c r="AKC93" s="20" t="n">
        <f aca="false">IF(ANP92&gt;0,ARC92-ARC92*WC93/ANP92,0)+0</f>
        <v>0</v>
      </c>
      <c r="AKD93" s="20" t="n">
        <f aca="false">IF(ANQ92&gt;0,ARD92-ARD92*WD93/ANQ92,0)+0</f>
        <v>0</v>
      </c>
      <c r="AKE93" s="20" t="n">
        <f aca="false">IF(ANR92&gt;0,ARE92-ARE92*WE93/ANR92,0)+0</f>
        <v>0</v>
      </c>
      <c r="AKF93" s="20" t="n">
        <f aca="false">IF(ANS92&gt;0,ARF92-ARF92*WF93/ANS92,0)+0</f>
        <v>0</v>
      </c>
      <c r="AKG93" s="20" t="n">
        <f aca="false">IF(ANT92&gt;0,ARG92-ARG92*WG93/ANT92,0)+0</f>
        <v>0</v>
      </c>
      <c r="AKH93" s="20" t="n">
        <f aca="false">IF(ANU92&gt;0,ARH92-ARH92*WH93/ANU92,0)+0</f>
        <v>0</v>
      </c>
      <c r="AKI93" s="20" t="n">
        <f aca="false">IF(ANV92&gt;0,ARI92-ARI92*WI93/ANV92,0)+0</f>
        <v>0</v>
      </c>
      <c r="AKJ93" s="20" t="n">
        <f aca="false">IF(ANW92&gt;0,ARJ92-ARJ92*WJ93/ANW92,0)+0</f>
        <v>0</v>
      </c>
      <c r="AKK93" s="20" t="n">
        <f aca="false">IF(ANX92&gt;0,ARK92-ARK92*WK93/ANX92,0)+0</f>
        <v>0</v>
      </c>
      <c r="AKL93" s="20" t="n">
        <f aca="false">IF(ANY92&gt;0,ARL92-ARL92*WL93/ANY92,0)+0</f>
        <v>0</v>
      </c>
      <c r="AKM93" s="20" t="n">
        <f aca="false">IF((P93+S93)&gt;0,(P93+S93)-(P93+S93)*WM93/(P93+S93),0)+BE93</f>
        <v>0</v>
      </c>
      <c r="AKN93" s="20" t="n">
        <v>0</v>
      </c>
      <c r="AKO93" s="20" t="n">
        <v>0</v>
      </c>
      <c r="AKP93" s="20" t="n">
        <v>0</v>
      </c>
      <c r="AKQ93" s="20" t="n">
        <v>0</v>
      </c>
      <c r="AKR93" s="20" t="n">
        <f aca="false">ADR93-AVE93</f>
        <v>0</v>
      </c>
      <c r="AKS93" s="20" t="n">
        <f aca="false">ADS93-AVF93</f>
        <v>0</v>
      </c>
      <c r="AKT93" s="20" t="n">
        <f aca="false">ADT93-AVG93</f>
        <v>0</v>
      </c>
      <c r="AKU93" s="20" t="n">
        <f aca="false">ADU93-AVH93</f>
        <v>0</v>
      </c>
      <c r="AKV93" s="20" t="n">
        <f aca="false">ADV93-AVI93</f>
        <v>0</v>
      </c>
      <c r="AKW93" s="20" t="n">
        <f aca="false">ADW93-AVJ93</f>
        <v>0</v>
      </c>
      <c r="AKX93" s="20" t="n">
        <f aca="false">ADX93-AVK93</f>
        <v>0</v>
      </c>
      <c r="AKY93" s="20" t="n">
        <f aca="false">ADY93-AVL93</f>
        <v>0</v>
      </c>
      <c r="AKZ93" s="20" t="n">
        <f aca="false">ADZ93-AVM93</f>
        <v>0</v>
      </c>
      <c r="ALA93" s="20" t="n">
        <f aca="false">AEA93-AVN93</f>
        <v>0</v>
      </c>
      <c r="ALB93" s="20" t="n">
        <f aca="false">AEB93-AVO93</f>
        <v>0</v>
      </c>
      <c r="ALC93" s="20" t="n">
        <f aca="false">AEC93-AVP93</f>
        <v>0</v>
      </c>
      <c r="ALD93" s="20" t="n">
        <f aca="false">AED93-AVQ93</f>
        <v>0</v>
      </c>
      <c r="ALE93" s="20" t="n">
        <f aca="false">AEE93-AVR93</f>
        <v>0</v>
      </c>
      <c r="ALF93" s="20" t="n">
        <f aca="false">AEF93-AVS93</f>
        <v>0</v>
      </c>
      <c r="ALG93" s="20" t="n">
        <f aca="false">AEG93-AVT93</f>
        <v>0</v>
      </c>
      <c r="ALH93" s="20" t="n">
        <f aca="false">AEH93-AVU93</f>
        <v>0</v>
      </c>
      <c r="ALI93" s="20" t="n">
        <f aca="false">AEI93-AVV93</f>
        <v>0</v>
      </c>
      <c r="ALJ93" s="20" t="n">
        <f aca="false">AEJ93-AVW93</f>
        <v>0</v>
      </c>
      <c r="ALK93" s="20" t="n">
        <f aca="false">AEK93-AVX93</f>
        <v>0</v>
      </c>
      <c r="ALL93" s="20" t="n">
        <f aca="false">AEL93-AVY93</f>
        <v>0</v>
      </c>
      <c r="ALM93" s="20" t="n">
        <f aca="false">AEM93-AVZ93</f>
        <v>0</v>
      </c>
      <c r="ALN93" s="20" t="n">
        <f aca="false">AEN93-AWA93</f>
        <v>0</v>
      </c>
      <c r="ALO93" s="20" t="n">
        <f aca="false">AEO93-AWB93</f>
        <v>0</v>
      </c>
      <c r="ALP93" s="20" t="n">
        <f aca="false">AEP93-AWC93</f>
        <v>0</v>
      </c>
      <c r="ALQ93" s="20" t="n">
        <f aca="false">AEQ93-AWD93</f>
        <v>0</v>
      </c>
      <c r="ALR93" s="20" t="n">
        <f aca="false">AER93-AWE93</f>
        <v>0</v>
      </c>
      <c r="ALS93" s="20" t="n">
        <f aca="false">AES93-AWF93</f>
        <v>0</v>
      </c>
      <c r="ALT93" s="20" t="n">
        <f aca="false">AET93-AWG93</f>
        <v>0</v>
      </c>
      <c r="ALU93" s="20" t="n">
        <f aca="false">AEU93-AWH93</f>
        <v>0</v>
      </c>
      <c r="ALV93" s="20" t="n">
        <f aca="false">AEV93-AWI93</f>
        <v>0</v>
      </c>
      <c r="ALW93" s="20" t="n">
        <f aca="false">AEW93-AWJ93</f>
        <v>0</v>
      </c>
      <c r="ALX93" s="20" t="n">
        <f aca="false">AEX93-AWK93</f>
        <v>0</v>
      </c>
      <c r="ALY93" s="20" t="n">
        <f aca="false">AEY93-AWL93</f>
        <v>0</v>
      </c>
      <c r="ALZ93" s="20" t="n">
        <f aca="false">AEZ93-AWM93</f>
        <v>0</v>
      </c>
      <c r="AMA93" s="20" t="n">
        <f aca="false">AFA93-AWN93</f>
        <v>0</v>
      </c>
      <c r="AMB93" s="20" t="n">
        <f aca="false">AFB93-AWO93</f>
        <v>0</v>
      </c>
      <c r="AMC93" s="20" t="n">
        <f aca="false">AFC93-AWP93</f>
        <v>0</v>
      </c>
      <c r="AMD93" s="20" t="n">
        <f aca="false">AFD93-AWQ93</f>
        <v>0</v>
      </c>
      <c r="AME93" s="20" t="n">
        <f aca="false">AFE93-AWR93</f>
        <v>0</v>
      </c>
      <c r="AMF93" s="20" t="n">
        <f aca="false">AFF93-AWS93</f>
        <v>0</v>
      </c>
      <c r="AMG93" s="20" t="n">
        <f aca="false">AFG93-AWT93</f>
        <v>0</v>
      </c>
      <c r="AMH93" s="20" t="n">
        <f aca="false">AFH93-AWU93</f>
        <v>0</v>
      </c>
      <c r="AMI93" s="20" t="n">
        <f aca="false">AFI93-AWV93</f>
        <v>0</v>
      </c>
      <c r="AMJ93" s="20" t="n">
        <f aca="false">AFJ93-AWW93</f>
        <v>0</v>
      </c>
      <c r="AMK93" s="20" t="n">
        <f aca="false">AFK93-AWX93</f>
        <v>0</v>
      </c>
      <c r="AML93" s="20" t="n">
        <f aca="false">AFL93-AWY93</f>
        <v>0</v>
      </c>
      <c r="AMM93" s="20" t="n">
        <f aca="false">AFM93-AWZ93</f>
        <v>0</v>
      </c>
      <c r="AMN93" s="20" t="n">
        <f aca="false">AFN93-AXA93</f>
        <v>0</v>
      </c>
      <c r="AMO93" s="20" t="n">
        <f aca="false">AFO93-AXB93</f>
        <v>0</v>
      </c>
      <c r="AMP93" s="20" t="n">
        <f aca="false">AFP93-AXC93</f>
        <v>0</v>
      </c>
      <c r="AMQ93" s="20" t="n">
        <f aca="false">AFQ93-AXD93</f>
        <v>0</v>
      </c>
      <c r="AMR93" s="20" t="n">
        <f aca="false">AFR93-AXE93</f>
        <v>0</v>
      </c>
      <c r="AMS93" s="20" t="n">
        <f aca="false">AFS93-AXF93</f>
        <v>0</v>
      </c>
      <c r="AMT93" s="20" t="n">
        <f aca="false">AFT93-AXG93</f>
        <v>0</v>
      </c>
      <c r="AMU93" s="20" t="n">
        <f aca="false">AFU93-AXH93</f>
        <v>0</v>
      </c>
      <c r="AMV93" s="20" t="n">
        <f aca="false">AFV93-AXI93</f>
        <v>0</v>
      </c>
      <c r="AMW93" s="20" t="n">
        <f aca="false">AFW93-AXJ93</f>
        <v>0</v>
      </c>
      <c r="AMX93" s="20" t="n">
        <f aca="false">AFX93-AXK93</f>
        <v>0</v>
      </c>
      <c r="AMY93" s="20" t="n">
        <f aca="false">AFY93-AXL93</f>
        <v>0</v>
      </c>
      <c r="AMZ93" s="20" t="n">
        <f aca="false">AFZ93-AXM93</f>
        <v>0</v>
      </c>
      <c r="ANA93" s="20" t="n">
        <f aca="false">AGA93-AXN93</f>
        <v>0</v>
      </c>
      <c r="ANB93" s="20" t="n">
        <f aca="false">AGB93-AXO93</f>
        <v>0</v>
      </c>
      <c r="ANC93" s="20" t="n">
        <f aca="false">AGC93-AXP93</f>
        <v>0</v>
      </c>
      <c r="AND93" s="20" t="n">
        <f aca="false">AGD93-AXQ93</f>
        <v>0</v>
      </c>
      <c r="ANE93" s="20" t="n">
        <f aca="false">AGE93-AXR93</f>
        <v>0</v>
      </c>
      <c r="ANF93" s="20" t="n">
        <f aca="false">AGF93-AXS93</f>
        <v>0</v>
      </c>
      <c r="ANG93" s="20" t="n">
        <f aca="false">AGG93-AXT93</f>
        <v>0</v>
      </c>
      <c r="ANH93" s="20" t="n">
        <f aca="false">AGH93-AXU93</f>
        <v>0</v>
      </c>
      <c r="ANI93" s="20" t="n">
        <f aca="false">AGI93-AXV93</f>
        <v>0</v>
      </c>
      <c r="ANJ93" s="20" t="n">
        <f aca="false">AGJ93-AXW93</f>
        <v>0</v>
      </c>
      <c r="ANK93" s="20" t="n">
        <f aca="false">AGK93-AXX93</f>
        <v>0</v>
      </c>
      <c r="ANL93" s="20" t="n">
        <f aca="false">AGL93-AXY93</f>
        <v>0</v>
      </c>
      <c r="ANM93" s="20" t="n">
        <f aca="false">AGM93-AXZ93</f>
        <v>0</v>
      </c>
      <c r="ANN93" s="20" t="n">
        <f aca="false">AGN93-AYA93</f>
        <v>0</v>
      </c>
      <c r="ANO93" s="20" t="n">
        <f aca="false">AGO93-AYB93</f>
        <v>0</v>
      </c>
      <c r="ANP93" s="20" t="n">
        <f aca="false">AGP93-AYC93</f>
        <v>0</v>
      </c>
      <c r="ANQ93" s="20" t="n">
        <f aca="false">AGQ93-AYD93</f>
        <v>0</v>
      </c>
      <c r="ANR93" s="20" t="n">
        <f aca="false">AGR93-AYE93</f>
        <v>0</v>
      </c>
      <c r="ANS93" s="20" t="n">
        <f aca="false">AGS93-AYF93</f>
        <v>0</v>
      </c>
      <c r="ANT93" s="20" t="n">
        <f aca="false">AGT93-AYG93</f>
        <v>0</v>
      </c>
      <c r="ANU93" s="20" t="n">
        <f aca="false">AGU93-AYH93</f>
        <v>0</v>
      </c>
      <c r="ANV93" s="20" t="n">
        <f aca="false">AGV93-AYI93</f>
        <v>0</v>
      </c>
      <c r="ANW93" s="20" t="n">
        <f aca="false">AGW93-AYJ93</f>
        <v>0</v>
      </c>
      <c r="ANX93" s="20" t="n">
        <f aca="false">AGX93-AYK93</f>
        <v>0</v>
      </c>
      <c r="ANY93" s="20" t="n">
        <f aca="false">AGY93-AYL93</f>
        <v>0</v>
      </c>
      <c r="ANZ93" s="20" t="n">
        <f aca="false">AGZ93-AYM93</f>
        <v>0</v>
      </c>
      <c r="AOA93" s="20" t="n">
        <v>0</v>
      </c>
      <c r="AOB93" s="20" t="n">
        <v>0</v>
      </c>
      <c r="AOC93" s="20" t="n">
        <v>0</v>
      </c>
      <c r="AOD93" s="20" t="n">
        <v>0</v>
      </c>
      <c r="AOE93" s="20" t="n">
        <f aca="false">IF(AND(H_Direct=0,H_TaxEvt=1,ARR92+1&gt;=H_Deemed),AKR93,AHE93)</f>
        <v>0</v>
      </c>
      <c r="AOF93" s="20" t="n">
        <f aca="false">IF(AND(H_Direct=0,H_TaxEvt=1,ARS92+1&gt;=H_Deemed),AKS93,AHF93)</f>
        <v>0</v>
      </c>
      <c r="AOG93" s="20" t="n">
        <f aca="false">IF(AND(H_Direct=0,H_TaxEvt=1,ART92+1&gt;=H_Deemed),AKT93,AHG93)</f>
        <v>0</v>
      </c>
      <c r="AOH93" s="20" t="n">
        <f aca="false">IF(AND(H_Direct=0,H_TaxEvt=1,ARU92+1&gt;=H_Deemed),AKU93,AHH93)</f>
        <v>0</v>
      </c>
      <c r="AOI93" s="20" t="n">
        <f aca="false">IF(AND(H_Direct=0,H_TaxEvt=1,ARV92+1&gt;=H_Deemed),AKV93,AHI93)</f>
        <v>0</v>
      </c>
      <c r="AOJ93" s="20" t="n">
        <f aca="false">IF(AND(H_Direct=0,H_TaxEvt=1,ARW92+1&gt;=H_Deemed),AKW93,AHJ93)</f>
        <v>0</v>
      </c>
      <c r="AOK93" s="20" t="n">
        <f aca="false">IF(AND(H_Direct=0,H_TaxEvt=1,ARX92+1&gt;=H_Deemed),AKX93,AHK93)</f>
        <v>0</v>
      </c>
      <c r="AOL93" s="20" t="n">
        <f aca="false">IF(AND(H_Direct=0,H_TaxEvt=1,ARY92+1&gt;=H_Deemed),AKY93,AHL93)</f>
        <v>0</v>
      </c>
      <c r="AOM93" s="20" t="n">
        <f aca="false">IF(AND(H_Direct=0,H_TaxEvt=1,ARZ92+1&gt;=H_Deemed),AKZ93,AHM93)</f>
        <v>0</v>
      </c>
      <c r="AON93" s="20" t="n">
        <f aca="false">IF(AND(H_Direct=0,H_TaxEvt=1,ASA92+1&gt;=H_Deemed),ALA93,AHN93)</f>
        <v>0</v>
      </c>
      <c r="AOO93" s="20" t="n">
        <f aca="false">IF(AND(H_Direct=0,H_TaxEvt=1,ASB92+1&gt;=H_Deemed),ALB93,AHO93)</f>
        <v>0</v>
      </c>
      <c r="AOP93" s="20" t="n">
        <f aca="false">IF(AND(H_Direct=0,H_TaxEvt=1,ASC92+1&gt;=H_Deemed),ALC93,AHP93)</f>
        <v>0</v>
      </c>
      <c r="AOQ93" s="20" t="n">
        <f aca="false">IF(AND(H_Direct=0,H_TaxEvt=1,ASD92+1&gt;=H_Deemed),ALD93,AHQ93)</f>
        <v>0</v>
      </c>
      <c r="AOR93" s="20" t="n">
        <f aca="false">IF(AND(H_Direct=0,H_TaxEvt=1,ASE92+1&gt;=H_Deemed),ALE93,AHR93)</f>
        <v>0</v>
      </c>
      <c r="AOS93" s="20" t="n">
        <f aca="false">IF(AND(H_Direct=0,H_TaxEvt=1,ASF92+1&gt;=H_Deemed),ALF93,AHS93)</f>
        <v>0</v>
      </c>
      <c r="AOT93" s="20" t="n">
        <f aca="false">IF(AND(H_Direct=0,H_TaxEvt=1,ASG92+1&gt;=H_Deemed),ALG93,AHT93)</f>
        <v>0</v>
      </c>
      <c r="AOU93" s="20" t="n">
        <f aca="false">IF(AND(H_Direct=0,H_TaxEvt=1,ASH92+1&gt;=H_Deemed),ALH93,AHU93)</f>
        <v>0</v>
      </c>
      <c r="AOV93" s="20" t="n">
        <f aca="false">IF(AND(H_Direct=0,H_TaxEvt=1,ASI92+1&gt;=H_Deemed),ALI93,AHV93)</f>
        <v>0</v>
      </c>
      <c r="AOW93" s="20" t="n">
        <f aca="false">IF(AND(H_Direct=0,H_TaxEvt=1,ASJ92+1&gt;=H_Deemed),ALJ93,AHW93)</f>
        <v>0</v>
      </c>
      <c r="AOX93" s="20" t="n">
        <f aca="false">IF(AND(H_Direct=0,H_TaxEvt=1,ASK92+1&gt;=H_Deemed),ALK93,AHX93)</f>
        <v>0</v>
      </c>
      <c r="AOY93" s="20" t="n">
        <f aca="false">IF(AND(H_Direct=0,H_TaxEvt=1,ASL92+1&gt;=H_Deemed),ALL93,AHY93)</f>
        <v>0</v>
      </c>
      <c r="AOZ93" s="20" t="n">
        <f aca="false">IF(AND(H_Direct=0,H_TaxEvt=1,ASM92+1&gt;=H_Deemed),ALM93,AHZ93)</f>
        <v>0</v>
      </c>
      <c r="APA93" s="20" t="n">
        <f aca="false">IF(AND(H_Direct=0,H_TaxEvt=1,ASN92+1&gt;=H_Deemed),ALN93,AIA93)</f>
        <v>0</v>
      </c>
      <c r="APB93" s="20" t="n">
        <f aca="false">IF(AND(H_Direct=0,H_TaxEvt=1,ASO92+1&gt;=H_Deemed),ALO93,AIB93)</f>
        <v>0</v>
      </c>
      <c r="APC93" s="20" t="n">
        <f aca="false">IF(AND(H_Direct=0,H_TaxEvt=1,ASP92+1&gt;=H_Deemed),ALP93,AIC93)</f>
        <v>0</v>
      </c>
      <c r="APD93" s="20" t="n">
        <f aca="false">IF(AND(H_Direct=0,H_TaxEvt=1,ASQ92+1&gt;=H_Deemed),ALQ93,AID93)</f>
        <v>0</v>
      </c>
      <c r="APE93" s="20" t="n">
        <f aca="false">IF(AND(H_Direct=0,H_TaxEvt=1,ASR92+1&gt;=H_Deemed),ALR93,AIE93)</f>
        <v>0</v>
      </c>
      <c r="APF93" s="20" t="n">
        <f aca="false">IF(AND(H_Direct=0,H_TaxEvt=1,ASS92+1&gt;=H_Deemed),ALS93,AIF93)</f>
        <v>0</v>
      </c>
      <c r="APG93" s="20" t="n">
        <f aca="false">IF(AND(H_Direct=0,H_TaxEvt=1,AST92+1&gt;=H_Deemed),ALT93,AIG93)</f>
        <v>0</v>
      </c>
      <c r="APH93" s="20" t="n">
        <f aca="false">IF(AND(H_Direct=0,H_TaxEvt=1,ASU92+1&gt;=H_Deemed),ALU93,AIH93)</f>
        <v>0</v>
      </c>
      <c r="API93" s="20" t="n">
        <f aca="false">IF(AND(H_Direct=0,H_TaxEvt=1,ASV92+1&gt;=H_Deemed),ALV93,AII93)</f>
        <v>0</v>
      </c>
      <c r="APJ93" s="20" t="n">
        <f aca="false">IF(AND(H_Direct=0,H_TaxEvt=1,ASW92+1&gt;=H_Deemed),ALW93,AIJ93)</f>
        <v>0</v>
      </c>
      <c r="APK93" s="20" t="n">
        <f aca="false">IF(AND(H_Direct=0,H_TaxEvt=1,ASX92+1&gt;=H_Deemed),ALX93,AIK93)</f>
        <v>0</v>
      </c>
      <c r="APL93" s="20" t="n">
        <f aca="false">IF(AND(H_Direct=0,H_TaxEvt=1,ASY92+1&gt;=H_Deemed),ALY93,AIL93)</f>
        <v>0</v>
      </c>
      <c r="APM93" s="20" t="n">
        <f aca="false">IF(AND(H_Direct=0,H_TaxEvt=1,ASZ92+1&gt;=H_Deemed),ALZ93,AIM93)</f>
        <v>0</v>
      </c>
      <c r="APN93" s="20" t="n">
        <f aca="false">IF(AND(H_Direct=0,H_TaxEvt=1,ATA92+1&gt;=H_Deemed),AMA93,AIN93)</f>
        <v>0</v>
      </c>
      <c r="APO93" s="20" t="n">
        <f aca="false">IF(AND(H_Direct=0,H_TaxEvt=1,ATB92+1&gt;=H_Deemed),AMB93,AIO93)</f>
        <v>0</v>
      </c>
      <c r="APP93" s="20" t="n">
        <f aca="false">IF(AND(H_Direct=0,H_TaxEvt=1,ATC92+1&gt;=H_Deemed),AMC93,AIP93)</f>
        <v>0</v>
      </c>
      <c r="APQ93" s="20" t="n">
        <f aca="false">IF(AND(H_Direct=0,H_TaxEvt=1,ATD92+1&gt;=H_Deemed),AMD93,AIQ93)</f>
        <v>0</v>
      </c>
      <c r="APR93" s="20" t="n">
        <f aca="false">IF(AND(H_Direct=0,H_TaxEvt=1,ATE92+1&gt;=H_Deemed),AME93,AIR93)</f>
        <v>0</v>
      </c>
      <c r="APS93" s="20" t="n">
        <f aca="false">IF(AND(H_Direct=0,H_TaxEvt=1,ATF92+1&gt;=H_Deemed),AMF93,AIS93)</f>
        <v>0</v>
      </c>
      <c r="APT93" s="20" t="n">
        <f aca="false">IF(AND(H_Direct=0,H_TaxEvt=1,ATG92+1&gt;=H_Deemed),AMG93,AIT93)</f>
        <v>0</v>
      </c>
      <c r="APU93" s="20" t="n">
        <f aca="false">IF(AND(H_Direct=0,H_TaxEvt=1,ATH92+1&gt;=H_Deemed),AMH93,AIU93)</f>
        <v>0</v>
      </c>
      <c r="APV93" s="20" t="n">
        <f aca="false">IF(AND(H_Direct=0,H_TaxEvt=1,ATI92+1&gt;=H_Deemed),AMI93,AIV93)</f>
        <v>0</v>
      </c>
      <c r="APW93" s="20" t="n">
        <f aca="false">IF(AND(H_Direct=0,H_TaxEvt=1,ATJ92+1&gt;=H_Deemed),AMJ93,AIW93)</f>
        <v>0</v>
      </c>
      <c r="APX93" s="20" t="n">
        <f aca="false">IF(AND(H_Direct=0,H_TaxEvt=1,ATK92+1&gt;=H_Deemed),AMK93,AIX93)</f>
        <v>0</v>
      </c>
      <c r="APY93" s="20" t="n">
        <f aca="false">IF(AND(H_Direct=0,H_TaxEvt=1,ATL92+1&gt;=H_Deemed),AML93,AIY93)</f>
        <v>0</v>
      </c>
      <c r="APZ93" s="20" t="n">
        <f aca="false">IF(AND(H_Direct=0,H_TaxEvt=1,ATM92+1&gt;=H_Deemed),AMM93,AIZ93)</f>
        <v>0</v>
      </c>
      <c r="AQA93" s="20" t="n">
        <f aca="false">IF(AND(H_Direct=0,H_TaxEvt=1,ATN92+1&gt;=H_Deemed),AMN93,AJA93)</f>
        <v>0</v>
      </c>
      <c r="AQB93" s="20" t="n">
        <f aca="false">IF(AND(H_Direct=0,H_TaxEvt=1,ATO92+1&gt;=H_Deemed),AMO93,AJB93)</f>
        <v>0</v>
      </c>
      <c r="AQC93" s="20" t="n">
        <f aca="false">IF(AND(H_Direct=0,H_TaxEvt=1,ATP92+1&gt;=H_Deemed),AMP93,AJC93)</f>
        <v>0</v>
      </c>
      <c r="AQD93" s="20" t="n">
        <f aca="false">IF(AND(H_Direct=0,H_TaxEvt=1,ATQ92+1&gt;=H_Deemed),AMQ93,AJD93)</f>
        <v>0</v>
      </c>
      <c r="AQE93" s="20" t="n">
        <f aca="false">IF(AND(H_Direct=0,H_TaxEvt=1,ATR92+1&gt;=H_Deemed),AMR93,AJE93)</f>
        <v>0</v>
      </c>
      <c r="AQF93" s="20" t="n">
        <f aca="false">IF(AND(H_Direct=0,H_TaxEvt=1,ATS92+1&gt;=H_Deemed),AMS93,AJF93)</f>
        <v>0</v>
      </c>
      <c r="AQG93" s="20" t="n">
        <f aca="false">IF(AND(H_Direct=0,H_TaxEvt=1,ATT92+1&gt;=H_Deemed),AMT93,AJG93)</f>
        <v>0</v>
      </c>
      <c r="AQH93" s="20" t="n">
        <f aca="false">IF(AND(H_Direct=0,H_TaxEvt=1,ATU92+1&gt;=H_Deemed),AMU93,AJH93)</f>
        <v>0</v>
      </c>
      <c r="AQI93" s="20" t="n">
        <f aca="false">IF(AND(H_Direct=0,H_TaxEvt=1,ATV92+1&gt;=H_Deemed),AMV93,AJI93)</f>
        <v>0</v>
      </c>
      <c r="AQJ93" s="20" t="n">
        <f aca="false">IF(AND(H_Direct=0,H_TaxEvt=1,ATW92+1&gt;=H_Deemed),AMW93,AJJ93)</f>
        <v>0</v>
      </c>
      <c r="AQK93" s="20" t="n">
        <f aca="false">IF(AND(H_Direct=0,H_TaxEvt=1,ATX92+1&gt;=H_Deemed),AMX93,AJK93)</f>
        <v>0</v>
      </c>
      <c r="AQL93" s="20" t="n">
        <f aca="false">IF(AND(H_Direct=0,H_TaxEvt=1,ATY92+1&gt;=H_Deemed),AMY93,AJL93)</f>
        <v>0</v>
      </c>
      <c r="AQM93" s="20" t="n">
        <f aca="false">IF(AND(H_Direct=0,H_TaxEvt=1,ATZ92+1&gt;=H_Deemed),AMZ93,AJM93)</f>
        <v>0</v>
      </c>
      <c r="AQN93" s="20" t="n">
        <f aca="false">IF(AND(H_Direct=0,H_TaxEvt=1,AUA92+1&gt;=H_Deemed),ANA93,AJN93)</f>
        <v>0</v>
      </c>
      <c r="AQO93" s="20" t="n">
        <f aca="false">IF(AND(H_Direct=0,H_TaxEvt=1,AUB92+1&gt;=H_Deemed),ANB93,AJO93)</f>
        <v>0</v>
      </c>
      <c r="AQP93" s="20" t="n">
        <f aca="false">IF(AND(H_Direct=0,H_TaxEvt=1,AUC92+1&gt;=H_Deemed),ANC93,AJP93)</f>
        <v>0</v>
      </c>
      <c r="AQQ93" s="20" t="n">
        <f aca="false">IF(AND(H_Direct=0,H_TaxEvt=1,AUD92+1&gt;=H_Deemed),AND93,AJQ93)</f>
        <v>0</v>
      </c>
      <c r="AQR93" s="20" t="n">
        <f aca="false">IF(AND(H_Direct=0,H_TaxEvt=1,AUE92+1&gt;=H_Deemed),ANE93,AJR93)</f>
        <v>0</v>
      </c>
      <c r="AQS93" s="20" t="n">
        <f aca="false">IF(AND(H_Direct=0,H_TaxEvt=1,AUF92+1&gt;=H_Deemed),ANF93,AJS93)</f>
        <v>0</v>
      </c>
      <c r="AQT93" s="20" t="n">
        <f aca="false">IF(AND(H_Direct=0,H_TaxEvt=1,AUG92+1&gt;=H_Deemed),ANG93,AJT93)</f>
        <v>0</v>
      </c>
      <c r="AQU93" s="20" t="n">
        <f aca="false">IF(AND(H_Direct=0,H_TaxEvt=1,AUH92+1&gt;=H_Deemed),ANH93,AJU93)</f>
        <v>0</v>
      </c>
      <c r="AQV93" s="20" t="n">
        <f aca="false">IF(AND(H_Direct=0,H_TaxEvt=1,AUI92+1&gt;=H_Deemed),ANI93,AJV93)</f>
        <v>0</v>
      </c>
      <c r="AQW93" s="20" t="n">
        <f aca="false">IF(AND(H_Direct=0,H_TaxEvt=1,AUJ92+1&gt;=H_Deemed),ANJ93,AJW93)</f>
        <v>0</v>
      </c>
      <c r="AQX93" s="20" t="n">
        <f aca="false">IF(AND(H_Direct=0,H_TaxEvt=1,AUK92+1&gt;=H_Deemed),ANK93,AJX93)</f>
        <v>0</v>
      </c>
      <c r="AQY93" s="20" t="n">
        <f aca="false">IF(AND(H_Direct=0,H_TaxEvt=1,AUL92+1&gt;=H_Deemed),ANL93,AJY93)</f>
        <v>0</v>
      </c>
      <c r="AQZ93" s="20" t="n">
        <f aca="false">IF(AND(H_Direct=0,H_TaxEvt=1,AUM92+1&gt;=H_Deemed),ANM93,AJZ93)</f>
        <v>0</v>
      </c>
      <c r="ARA93" s="20" t="n">
        <f aca="false">IF(AND(H_Direct=0,H_TaxEvt=1,AUN92+1&gt;=H_Deemed),ANN93,AKA93)</f>
        <v>0</v>
      </c>
      <c r="ARB93" s="20" t="n">
        <f aca="false">IF(AND(H_Direct=0,H_TaxEvt=1,AUO92+1&gt;=H_Deemed),ANO93,AKB93)</f>
        <v>0</v>
      </c>
      <c r="ARC93" s="20" t="n">
        <f aca="false">IF(AND(H_Direct=0,H_TaxEvt=1,AUP92+1&gt;=H_Deemed),ANP93,AKC93)</f>
        <v>0</v>
      </c>
      <c r="ARD93" s="20" t="n">
        <f aca="false">IF(AND(H_Direct=0,H_TaxEvt=1,AUQ92+1&gt;=H_Deemed),ANQ93,AKD93)</f>
        <v>0</v>
      </c>
      <c r="ARE93" s="20" t="n">
        <f aca="false">IF(AND(H_Direct=0,H_TaxEvt=1,AUR92+1&gt;=H_Deemed),ANR93,AKE93)</f>
        <v>0</v>
      </c>
      <c r="ARF93" s="20" t="n">
        <f aca="false">IF(AND(H_Direct=0,H_TaxEvt=1,AUS92+1&gt;=H_Deemed),ANS93,AKF93)</f>
        <v>0</v>
      </c>
      <c r="ARG93" s="20" t="n">
        <f aca="false">IF(AND(H_Direct=0,H_TaxEvt=1,AUT92+1&gt;=H_Deemed),ANT93,AKG93)</f>
        <v>0</v>
      </c>
      <c r="ARH93" s="20" t="n">
        <f aca="false">IF(AND(H_Direct=0,H_TaxEvt=1,AUU92+1&gt;=H_Deemed),ANU93,AKH93)</f>
        <v>0</v>
      </c>
      <c r="ARI93" s="20" t="n">
        <f aca="false">IF(AND(H_Direct=0,H_TaxEvt=1,AUV92+1&gt;=H_Deemed),ANV93,AKI93)</f>
        <v>0</v>
      </c>
      <c r="ARJ93" s="20" t="n">
        <f aca="false">IF(AND(H_Direct=0,H_TaxEvt=1,AUW92+1&gt;=H_Deemed),ANW93,AKJ93)</f>
        <v>0</v>
      </c>
      <c r="ARK93" s="20" t="n">
        <f aca="false">IF(AND(H_Direct=0,H_TaxEvt=1,AUX92+1&gt;=H_Deemed),ANX93,AKK93)</f>
        <v>0</v>
      </c>
      <c r="ARL93" s="20" t="n">
        <f aca="false">IF(AND(H_Direct=0,H_TaxEvt=1,AUY92+1&gt;=H_Deemed),ANY93,AKL93)</f>
        <v>0</v>
      </c>
      <c r="ARM93" s="20" t="n">
        <f aca="false">IF(AND(H_Direct=0,H_TaxEvt=1,0+1&gt;=H_Deemed),ANZ93,AKM93)</f>
        <v>0</v>
      </c>
      <c r="ARN93" s="20" t="n">
        <v>0</v>
      </c>
      <c r="ARO93" s="20" t="n">
        <v>0</v>
      </c>
      <c r="ARP93" s="20" t="n">
        <v>0</v>
      </c>
      <c r="ARQ93" s="20" t="n">
        <v>0</v>
      </c>
      <c r="ARR93" s="20" t="n">
        <f aca="false">IF(AND(H_Direct=0,H_TaxEvt=1),IF(ARR92+1&gt;=H_Deemed,0,ARR92+1),ARR92)</f>
        <v>6</v>
      </c>
      <c r="ARS93" s="20" t="n">
        <f aca="false">IF(AND(H_Direct=0,H_TaxEvt=1),IF(ARS92+1&gt;=H_Deemed,0,ARS92+1),ARS92)</f>
        <v>6</v>
      </c>
      <c r="ART93" s="20" t="n">
        <f aca="false">IF(AND(H_Direct=0,H_TaxEvt=1),IF(ART92+1&gt;=H_Deemed,0,ART92+1),ART92)</f>
        <v>5</v>
      </c>
      <c r="ARU93" s="20" t="n">
        <f aca="false">IF(AND(H_Direct=0,H_TaxEvt=1),IF(ARU92+1&gt;=H_Deemed,0,ARU92+1),ARU92)</f>
        <v>4</v>
      </c>
      <c r="ARV93" s="20" t="n">
        <f aca="false">IF(AND(H_Direct=0,H_TaxEvt=1),IF(ARV92+1&gt;=H_Deemed,0,ARV92+1),ARV92)</f>
        <v>3</v>
      </c>
      <c r="ARW93" s="20" t="n">
        <f aca="false">IF(AND(H_Direct=0,H_TaxEvt=1),IF(ARW92+1&gt;=H_Deemed,0,ARW92+1),ARW92)</f>
        <v>2</v>
      </c>
      <c r="ARX93" s="20" t="n">
        <f aca="false">IF(AND(H_Direct=0,H_TaxEvt=1),IF(ARX92+1&gt;=H_Deemed,0,ARX92+1),ARX92)</f>
        <v>1</v>
      </c>
      <c r="ARY93" s="20" t="n">
        <f aca="false">IF(AND(H_Direct=0,H_TaxEvt=1),IF(ARY92+1&gt;=H_Deemed,0,ARY92+1),ARY92)</f>
        <v>0</v>
      </c>
      <c r="ARZ93" s="20" t="n">
        <f aca="false">IF(AND(H_Direct=0,H_TaxEvt=1),IF(ARZ92+1&gt;=H_Deemed,0,ARZ92+1),ARZ92)</f>
        <v>7</v>
      </c>
      <c r="ASA93" s="20" t="n">
        <f aca="false">IF(AND(H_Direct=0,H_TaxEvt=1),IF(ASA92+1&gt;=H_Deemed,0,ASA92+1),ASA92)</f>
        <v>6</v>
      </c>
      <c r="ASB93" s="20" t="n">
        <f aca="false">IF(AND(H_Direct=0,H_TaxEvt=1),IF(ASB92+1&gt;=H_Deemed,0,ASB92+1),ASB92)</f>
        <v>5</v>
      </c>
      <c r="ASC93" s="20" t="n">
        <f aca="false">IF(AND(H_Direct=0,H_TaxEvt=1),IF(ASC92+1&gt;=H_Deemed,0,ASC92+1),ASC92)</f>
        <v>4</v>
      </c>
      <c r="ASD93" s="20" t="n">
        <f aca="false">IF(AND(H_Direct=0,H_TaxEvt=1),IF(ASD92+1&gt;=H_Deemed,0,ASD92+1),ASD92)</f>
        <v>3</v>
      </c>
      <c r="ASE93" s="20" t="n">
        <f aca="false">IF(AND(H_Direct=0,H_TaxEvt=1),IF(ASE92+1&gt;=H_Deemed,0,ASE92+1),ASE92)</f>
        <v>2</v>
      </c>
      <c r="ASF93" s="20" t="n">
        <f aca="false">IF(AND(H_Direct=0,H_TaxEvt=1),IF(ASF92+1&gt;=H_Deemed,0,ASF92+1),ASF92)</f>
        <v>1</v>
      </c>
      <c r="ASG93" s="20" t="n">
        <f aca="false">IF(AND(H_Direct=0,H_TaxEvt=1),IF(ASG92+1&gt;=H_Deemed,0,ASG92+1),ASG92)</f>
        <v>0</v>
      </c>
      <c r="ASH93" s="20" t="n">
        <f aca="false">IF(AND(H_Direct=0,H_TaxEvt=1),IF(ASH92+1&gt;=H_Deemed,0,ASH92+1),ASH92)</f>
        <v>7</v>
      </c>
      <c r="ASI93" s="20" t="n">
        <f aca="false">IF(AND(H_Direct=0,H_TaxEvt=1),IF(ASI92+1&gt;=H_Deemed,0,ASI92+1),ASI92)</f>
        <v>6</v>
      </c>
      <c r="ASJ93" s="20" t="n">
        <f aca="false">IF(AND(H_Direct=0,H_TaxEvt=1),IF(ASJ92+1&gt;=H_Deemed,0,ASJ92+1),ASJ92)</f>
        <v>5</v>
      </c>
      <c r="ASK93" s="20" t="n">
        <f aca="false">IF(AND(H_Direct=0,H_TaxEvt=1),IF(ASK92+1&gt;=H_Deemed,0,ASK92+1),ASK92)</f>
        <v>4</v>
      </c>
      <c r="ASL93" s="20" t="n">
        <f aca="false">IF(AND(H_Direct=0,H_TaxEvt=1),IF(ASL92+1&gt;=H_Deemed,0,ASL92+1),ASL92)</f>
        <v>3</v>
      </c>
      <c r="ASM93" s="20" t="n">
        <f aca="false">IF(AND(H_Direct=0,H_TaxEvt=1),IF(ASM92+1&gt;=H_Deemed,0,ASM92+1),ASM92)</f>
        <v>2</v>
      </c>
      <c r="ASN93" s="20" t="n">
        <f aca="false">IF(AND(H_Direct=0,H_TaxEvt=1),IF(ASN92+1&gt;=H_Deemed,0,ASN92+1),ASN92)</f>
        <v>1</v>
      </c>
      <c r="ASO93" s="20" t="n">
        <f aca="false">IF(AND(H_Direct=0,H_TaxEvt=1),IF(ASO92+1&gt;=H_Deemed,0,ASO92+1),ASO92)</f>
        <v>0</v>
      </c>
      <c r="ASP93" s="20" t="n">
        <f aca="false">IF(AND(H_Direct=0,H_TaxEvt=1),IF(ASP92+1&gt;=H_Deemed,0,ASP92+1),ASP92)</f>
        <v>7</v>
      </c>
      <c r="ASQ93" s="20" t="n">
        <f aca="false">IF(AND(H_Direct=0,H_TaxEvt=1),IF(ASQ92+1&gt;=H_Deemed,0,ASQ92+1),ASQ92)</f>
        <v>6</v>
      </c>
      <c r="ASR93" s="20" t="n">
        <f aca="false">IF(AND(H_Direct=0,H_TaxEvt=1),IF(ASR92+1&gt;=H_Deemed,0,ASR92+1),ASR92)</f>
        <v>5</v>
      </c>
      <c r="ASS93" s="20" t="n">
        <f aca="false">IF(AND(H_Direct=0,H_TaxEvt=1),IF(ASS92+1&gt;=H_Deemed,0,ASS92+1),ASS92)</f>
        <v>4</v>
      </c>
      <c r="AST93" s="20" t="n">
        <f aca="false">IF(AND(H_Direct=0,H_TaxEvt=1),IF(AST92+1&gt;=H_Deemed,0,AST92+1),AST92)</f>
        <v>3</v>
      </c>
      <c r="ASU93" s="20" t="n">
        <f aca="false">IF(AND(H_Direct=0,H_TaxEvt=1),IF(ASU92+1&gt;=H_Deemed,0,ASU92+1),ASU92)</f>
        <v>2</v>
      </c>
      <c r="ASV93" s="20" t="n">
        <f aca="false">IF(AND(H_Direct=0,H_TaxEvt=1),IF(ASV92+1&gt;=H_Deemed,0,ASV92+1),ASV92)</f>
        <v>1</v>
      </c>
      <c r="ASW93" s="20" t="n">
        <f aca="false">IF(AND(H_Direct=0,H_TaxEvt=1),IF(ASW92+1&gt;=H_Deemed,0,ASW92+1),ASW92)</f>
        <v>0</v>
      </c>
      <c r="ASX93" s="20" t="n">
        <f aca="false">IF(AND(H_Direct=0,H_TaxEvt=1),IF(ASX92+1&gt;=H_Deemed,0,ASX92+1),ASX92)</f>
        <v>7</v>
      </c>
      <c r="ASY93" s="20" t="n">
        <f aca="false">IF(AND(H_Direct=0,H_TaxEvt=1),IF(ASY92+1&gt;=H_Deemed,0,ASY92+1),ASY92)</f>
        <v>6</v>
      </c>
      <c r="ASZ93" s="20" t="n">
        <f aca="false">IF(AND(H_Direct=0,H_TaxEvt=1),IF(ASZ92+1&gt;=H_Deemed,0,ASZ92+1),ASZ92)</f>
        <v>5</v>
      </c>
      <c r="ATA93" s="20" t="n">
        <f aca="false">IF(AND(H_Direct=0,H_TaxEvt=1),IF(ATA92+1&gt;=H_Deemed,0,ATA92+1),ATA92)</f>
        <v>4</v>
      </c>
      <c r="ATB93" s="20" t="n">
        <f aca="false">IF(AND(H_Direct=0,H_TaxEvt=1),IF(ATB92+1&gt;=H_Deemed,0,ATB92+1),ATB92)</f>
        <v>3</v>
      </c>
      <c r="ATC93" s="20" t="n">
        <f aca="false">IF(AND(H_Direct=0,H_TaxEvt=1),IF(ATC92+1&gt;=H_Deemed,0,ATC92+1),ATC92)</f>
        <v>2</v>
      </c>
      <c r="ATD93" s="20" t="n">
        <f aca="false">IF(AND(H_Direct=0,H_TaxEvt=1),IF(ATD92+1&gt;=H_Deemed,0,ATD92+1),ATD92)</f>
        <v>1</v>
      </c>
      <c r="ATE93" s="20" t="n">
        <f aca="false">IF(AND(H_Direct=0,H_TaxEvt=1),IF(ATE92+1&gt;=H_Deemed,0,ATE92+1),ATE92)</f>
        <v>0</v>
      </c>
      <c r="ATF93" s="20" t="n">
        <f aca="false">IF(AND(H_Direct=0,H_TaxEvt=1),IF(ATF92+1&gt;=H_Deemed,0,ATF92+1),ATF92)</f>
        <v>7</v>
      </c>
      <c r="ATG93" s="20" t="n">
        <f aca="false">IF(AND(H_Direct=0,H_TaxEvt=1),IF(ATG92+1&gt;=H_Deemed,0,ATG92+1),ATG92)</f>
        <v>6</v>
      </c>
      <c r="ATH93" s="20" t="n">
        <f aca="false">IF(AND(H_Direct=0,H_TaxEvt=1),IF(ATH92+1&gt;=H_Deemed,0,ATH92+1),ATH92)</f>
        <v>5</v>
      </c>
      <c r="ATI93" s="20" t="n">
        <f aca="false">IF(AND(H_Direct=0,H_TaxEvt=1),IF(ATI92+1&gt;=H_Deemed,0,ATI92+1),ATI92)</f>
        <v>4</v>
      </c>
      <c r="ATJ93" s="20" t="n">
        <f aca="false">IF(AND(H_Direct=0,H_TaxEvt=1),IF(ATJ92+1&gt;=H_Deemed,0,ATJ92+1),ATJ92)</f>
        <v>3</v>
      </c>
      <c r="ATK93" s="20" t="n">
        <f aca="false">IF(AND(H_Direct=0,H_TaxEvt=1),IF(ATK92+1&gt;=H_Deemed,0,ATK92+1),ATK92)</f>
        <v>2</v>
      </c>
      <c r="ATL93" s="20" t="n">
        <f aca="false">IF(AND(H_Direct=0,H_TaxEvt=1),IF(ATL92+1&gt;=H_Deemed,0,ATL92+1),ATL92)</f>
        <v>1</v>
      </c>
      <c r="ATM93" s="20" t="n">
        <f aca="false">IF(AND(H_Direct=0,H_TaxEvt=1),IF(ATM92+1&gt;=H_Deemed,0,ATM92+1),ATM92)</f>
        <v>0</v>
      </c>
      <c r="ATN93" s="20" t="n">
        <f aca="false">IF(AND(H_Direct=0,H_TaxEvt=1),IF(ATN92+1&gt;=H_Deemed,0,ATN92+1),ATN92)</f>
        <v>7</v>
      </c>
      <c r="ATO93" s="20" t="n">
        <f aca="false">IF(AND(H_Direct=0,H_TaxEvt=1),IF(ATO92+1&gt;=H_Deemed,0,ATO92+1),ATO92)</f>
        <v>6</v>
      </c>
      <c r="ATP93" s="20" t="n">
        <f aca="false">IF(AND(H_Direct=0,H_TaxEvt=1),IF(ATP92+1&gt;=H_Deemed,0,ATP92+1),ATP92)</f>
        <v>5</v>
      </c>
      <c r="ATQ93" s="20" t="n">
        <f aca="false">IF(AND(H_Direct=0,H_TaxEvt=1),IF(ATQ92+1&gt;=H_Deemed,0,ATQ92+1),ATQ92)</f>
        <v>4</v>
      </c>
      <c r="ATR93" s="20" t="n">
        <f aca="false">IF(AND(H_Direct=0,H_TaxEvt=1),IF(ATR92+1&gt;=H_Deemed,0,ATR92+1),ATR92)</f>
        <v>3</v>
      </c>
      <c r="ATS93" s="20" t="n">
        <f aca="false">IF(AND(H_Direct=0,H_TaxEvt=1),IF(ATS92+1&gt;=H_Deemed,0,ATS92+1),ATS92)</f>
        <v>2</v>
      </c>
      <c r="ATT93" s="20" t="n">
        <f aca="false">IF(AND(H_Direct=0,H_TaxEvt=1),IF(ATT92+1&gt;=H_Deemed,0,ATT92+1),ATT92)</f>
        <v>1</v>
      </c>
      <c r="ATU93" s="20" t="n">
        <f aca="false">IF(AND(H_Direct=0,H_TaxEvt=1),IF(ATU92+1&gt;=H_Deemed,0,ATU92+1),ATU92)</f>
        <v>0</v>
      </c>
      <c r="ATV93" s="20" t="n">
        <f aca="false">IF(AND(H_Direct=0,H_TaxEvt=1),IF(ATV92+1&gt;=H_Deemed,0,ATV92+1),ATV92)</f>
        <v>7</v>
      </c>
      <c r="ATW93" s="20" t="n">
        <f aca="false">IF(AND(H_Direct=0,H_TaxEvt=1),IF(ATW92+1&gt;=H_Deemed,0,ATW92+1),ATW92)</f>
        <v>6</v>
      </c>
      <c r="ATX93" s="20" t="n">
        <f aca="false">IF(AND(H_Direct=0,H_TaxEvt=1),IF(ATX92+1&gt;=H_Deemed,0,ATX92+1),ATX92)</f>
        <v>5</v>
      </c>
      <c r="ATY93" s="20" t="n">
        <f aca="false">IF(AND(H_Direct=0,H_TaxEvt=1),IF(ATY92+1&gt;=H_Deemed,0,ATY92+1),ATY92)</f>
        <v>4</v>
      </c>
      <c r="ATZ93" s="20" t="n">
        <f aca="false">IF(AND(H_Direct=0,H_TaxEvt=1),IF(ATZ92+1&gt;=H_Deemed,0,ATZ92+1),ATZ92)</f>
        <v>3</v>
      </c>
      <c r="AUA93" s="20" t="n">
        <f aca="false">IF(AND(H_Direct=0,H_TaxEvt=1),IF(AUA92+1&gt;=H_Deemed,0,AUA92+1),AUA92)</f>
        <v>2</v>
      </c>
      <c r="AUB93" s="20" t="n">
        <f aca="false">IF(AND(H_Direct=0,H_TaxEvt=1),IF(AUB92+1&gt;=H_Deemed,0,AUB92+1),AUB92)</f>
        <v>1</v>
      </c>
      <c r="AUC93" s="20" t="n">
        <f aca="false">IF(AND(H_Direct=0,H_TaxEvt=1),IF(AUC92+1&gt;=H_Deemed,0,AUC92+1),AUC92)</f>
        <v>0</v>
      </c>
      <c r="AUD93" s="20" t="n">
        <f aca="false">IF(AND(H_Direct=0,H_TaxEvt=1),IF(AUD92+1&gt;=H_Deemed,0,AUD92+1),AUD92)</f>
        <v>7</v>
      </c>
      <c r="AUE93" s="20" t="n">
        <f aca="false">IF(AND(H_Direct=0,H_TaxEvt=1),IF(AUE92+1&gt;=H_Deemed,0,AUE92+1),AUE92)</f>
        <v>6</v>
      </c>
      <c r="AUF93" s="20" t="n">
        <f aca="false">IF(AND(H_Direct=0,H_TaxEvt=1),IF(AUF92+1&gt;=H_Deemed,0,AUF92+1),AUF92)</f>
        <v>5</v>
      </c>
      <c r="AUG93" s="20" t="n">
        <f aca="false">IF(AND(H_Direct=0,H_TaxEvt=1),IF(AUG92+1&gt;=H_Deemed,0,AUG92+1),AUG92)</f>
        <v>4</v>
      </c>
      <c r="AUH93" s="20" t="n">
        <f aca="false">IF(AND(H_Direct=0,H_TaxEvt=1),IF(AUH92+1&gt;=H_Deemed,0,AUH92+1),AUH92)</f>
        <v>3</v>
      </c>
      <c r="AUI93" s="20" t="n">
        <f aca="false">IF(AND(H_Direct=0,H_TaxEvt=1),IF(AUI92+1&gt;=H_Deemed,0,AUI92+1),AUI92)</f>
        <v>2</v>
      </c>
      <c r="AUJ93" s="20" t="n">
        <f aca="false">IF(AND(H_Direct=0,H_TaxEvt=1),IF(AUJ92+1&gt;=H_Deemed,0,AUJ92+1),AUJ92)</f>
        <v>1</v>
      </c>
      <c r="AUK93" s="20" t="n">
        <f aca="false">IF(AND(H_Direct=0,H_TaxEvt=1),IF(AUK92+1&gt;=H_Deemed,0,AUK92+1),AUK92)</f>
        <v>0</v>
      </c>
      <c r="AUL93" s="20" t="n">
        <f aca="false">IF(AND(H_Direct=0,H_TaxEvt=1),IF(AUL92+1&gt;=H_Deemed,0,AUL92+1),AUL92)</f>
        <v>7</v>
      </c>
      <c r="AUM93" s="20" t="n">
        <f aca="false">IF(AND(H_Direct=0,H_TaxEvt=1),IF(AUM92+1&gt;=H_Deemed,0,AUM92+1),AUM92)</f>
        <v>6</v>
      </c>
      <c r="AUN93" s="20" t="n">
        <f aca="false">IF(AND(H_Direct=0,H_TaxEvt=1),IF(AUN92+1&gt;=H_Deemed,0,AUN92+1),AUN92)</f>
        <v>5</v>
      </c>
      <c r="AUO93" s="20" t="n">
        <f aca="false">IF(AND(H_Direct=0,H_TaxEvt=1),IF(AUO92+1&gt;=H_Deemed,0,AUO92+1),AUO92)</f>
        <v>4</v>
      </c>
      <c r="AUP93" s="20" t="n">
        <f aca="false">IF(AND(H_Direct=0,H_TaxEvt=1),IF(AUP92+1&gt;=H_Deemed,0,AUP92+1),AUP92)</f>
        <v>3</v>
      </c>
      <c r="AUQ93" s="20" t="n">
        <f aca="false">IF(AND(H_Direct=0,H_TaxEvt=1),IF(AUQ92+1&gt;=H_Deemed,0,AUQ92+1),AUQ92)</f>
        <v>2</v>
      </c>
      <c r="AUR93" s="20" t="n">
        <f aca="false">IF(AND(H_Direct=0,H_TaxEvt=1),IF(AUR92+1&gt;=H_Deemed,0,AUR92+1),AUR92)</f>
        <v>1</v>
      </c>
      <c r="AUS93" s="20" t="n">
        <f aca="false">IF(AND(H_Direct=0,H_TaxEvt=1),IF(AUS92+1&gt;=H_Deemed,0,AUS92+1),AUS92)</f>
        <v>0</v>
      </c>
      <c r="AUT93" s="20" t="n">
        <f aca="false">IF(AND(H_Direct=0,H_TaxEvt=1),IF(AUT92+1&gt;=H_Deemed,0,AUT92+1),AUT92)</f>
        <v>7</v>
      </c>
      <c r="AUU93" s="20" t="n">
        <f aca="false">IF(AND(H_Direct=0,H_TaxEvt=1),IF(AUU92+1&gt;=H_Deemed,0,AUU92+1),AUU92)</f>
        <v>6</v>
      </c>
      <c r="AUV93" s="20" t="n">
        <f aca="false">IF(AND(H_Direct=0,H_TaxEvt=1),IF(AUV92+1&gt;=H_Deemed,0,AUV92+1),AUV92)</f>
        <v>5</v>
      </c>
      <c r="AUW93" s="20" t="n">
        <f aca="false">IF(AND(H_Direct=0,H_TaxEvt=1),IF(AUW92+1&gt;=H_Deemed,0,AUW92+1),AUW92)</f>
        <v>4</v>
      </c>
      <c r="AUX93" s="20" t="n">
        <f aca="false">IF(AND(H_Direct=0,H_TaxEvt=1),IF(AUX92+1&gt;=H_Deemed,0,AUX92+1),AUX92)</f>
        <v>3</v>
      </c>
      <c r="AUY93" s="20" t="n">
        <f aca="false">IF(AND(H_Direct=0,H_TaxEvt=1),IF(AUY92+1&gt;=H_Deemed,0,AUY92+1),AUY92)</f>
        <v>2</v>
      </c>
      <c r="AUZ93" s="20" t="n">
        <f aca="false">IF(AND(H_Direct=0,H_TaxEvt=1),IF(0+1&gt;=H_Deemed,0,0+1),0)</f>
        <v>1</v>
      </c>
      <c r="AVA93" s="20" t="n">
        <v>0</v>
      </c>
      <c r="AVB93" s="20" t="n">
        <v>0</v>
      </c>
      <c r="AVC93" s="20" t="n">
        <v>0</v>
      </c>
      <c r="AVD93" s="20" t="n">
        <v>0</v>
      </c>
      <c r="AVE93" s="20" t="n">
        <f aca="false">IF(AND(H_Direct=0,H_TaxEvt=1,ARR92+1&gt;=H_Deemed),MAX(0,ADR93-AHE93)*H_Exit,0)</f>
        <v>0</v>
      </c>
      <c r="AVF93" s="20" t="n">
        <f aca="false">IF(AND(H_Direct=0,H_TaxEvt=1,ARS92+1&gt;=H_Deemed),MAX(0,ADS93-AHF93)*H_Exit,0)</f>
        <v>0</v>
      </c>
      <c r="AVG93" s="20" t="n">
        <f aca="false">IF(AND(H_Direct=0,H_TaxEvt=1,ART92+1&gt;=H_Deemed),MAX(0,ADT93-AHG93)*H_Exit,0)</f>
        <v>0</v>
      </c>
      <c r="AVH93" s="20" t="n">
        <f aca="false">IF(AND(H_Direct=0,H_TaxEvt=1,ARU92+1&gt;=H_Deemed),MAX(0,ADU93-AHH93)*H_Exit,0)</f>
        <v>0</v>
      </c>
      <c r="AVI93" s="20" t="n">
        <f aca="false">IF(AND(H_Direct=0,H_TaxEvt=1,ARV92+1&gt;=H_Deemed),MAX(0,ADV93-AHI93)*H_Exit,0)</f>
        <v>0</v>
      </c>
      <c r="AVJ93" s="20" t="n">
        <f aca="false">IF(AND(H_Direct=0,H_TaxEvt=1,ARW92+1&gt;=H_Deemed),MAX(0,ADW93-AHJ93)*H_Exit,0)</f>
        <v>0</v>
      </c>
      <c r="AVK93" s="20" t="n">
        <f aca="false">IF(AND(H_Direct=0,H_TaxEvt=1,ARX92+1&gt;=H_Deemed),MAX(0,ADX93-AHK93)*H_Exit,0)</f>
        <v>0</v>
      </c>
      <c r="AVL93" s="20" t="n">
        <f aca="false">IF(AND(H_Direct=0,H_TaxEvt=1,ARY92+1&gt;=H_Deemed),MAX(0,ADY93-AHL93)*H_Exit,0)</f>
        <v>0</v>
      </c>
      <c r="AVM93" s="20" t="n">
        <f aca="false">IF(AND(H_Direct=0,H_TaxEvt=1,ARZ92+1&gt;=H_Deemed),MAX(0,ADZ93-AHM93)*H_Exit,0)</f>
        <v>0</v>
      </c>
      <c r="AVN93" s="20" t="n">
        <f aca="false">IF(AND(H_Direct=0,H_TaxEvt=1,ASA92+1&gt;=H_Deemed),MAX(0,AEA93-AHN93)*H_Exit,0)</f>
        <v>0</v>
      </c>
      <c r="AVO93" s="20" t="n">
        <f aca="false">IF(AND(H_Direct=0,H_TaxEvt=1,ASB92+1&gt;=H_Deemed),MAX(0,AEB93-AHO93)*H_Exit,0)</f>
        <v>0</v>
      </c>
      <c r="AVP93" s="20" t="n">
        <f aca="false">IF(AND(H_Direct=0,H_TaxEvt=1,ASC92+1&gt;=H_Deemed),MAX(0,AEC93-AHP93)*H_Exit,0)</f>
        <v>0</v>
      </c>
      <c r="AVQ93" s="20" t="n">
        <f aca="false">IF(AND(H_Direct=0,H_TaxEvt=1,ASD92+1&gt;=H_Deemed),MAX(0,AED93-AHQ93)*H_Exit,0)</f>
        <v>0</v>
      </c>
      <c r="AVR93" s="20" t="n">
        <f aca="false">IF(AND(H_Direct=0,H_TaxEvt=1,ASE92+1&gt;=H_Deemed),MAX(0,AEE93-AHR93)*H_Exit,0)</f>
        <v>0</v>
      </c>
      <c r="AVS93" s="20" t="n">
        <f aca="false">IF(AND(H_Direct=0,H_TaxEvt=1,ASF92+1&gt;=H_Deemed),MAX(0,AEF93-AHS93)*H_Exit,0)</f>
        <v>0</v>
      </c>
      <c r="AVT93" s="20" t="n">
        <f aca="false">IF(AND(H_Direct=0,H_TaxEvt=1,ASG92+1&gt;=H_Deemed),MAX(0,AEG93-AHT93)*H_Exit,0)</f>
        <v>0</v>
      </c>
      <c r="AVU93" s="20" t="n">
        <f aca="false">IF(AND(H_Direct=0,H_TaxEvt=1,ASH92+1&gt;=H_Deemed),MAX(0,AEH93-AHU93)*H_Exit,0)</f>
        <v>0</v>
      </c>
      <c r="AVV93" s="20" t="n">
        <f aca="false">IF(AND(H_Direct=0,H_TaxEvt=1,ASI92+1&gt;=H_Deemed),MAX(0,AEI93-AHV93)*H_Exit,0)</f>
        <v>0</v>
      </c>
      <c r="AVW93" s="20" t="n">
        <f aca="false">IF(AND(H_Direct=0,H_TaxEvt=1,ASJ92+1&gt;=H_Deemed),MAX(0,AEJ93-AHW93)*H_Exit,0)</f>
        <v>0</v>
      </c>
      <c r="AVX93" s="20" t="n">
        <f aca="false">IF(AND(H_Direct=0,H_TaxEvt=1,ASK92+1&gt;=H_Deemed),MAX(0,AEK93-AHX93)*H_Exit,0)</f>
        <v>0</v>
      </c>
      <c r="AVY93" s="20" t="n">
        <f aca="false">IF(AND(H_Direct=0,H_TaxEvt=1,ASL92+1&gt;=H_Deemed),MAX(0,AEL93-AHY93)*H_Exit,0)</f>
        <v>0</v>
      </c>
      <c r="AVZ93" s="20" t="n">
        <f aca="false">IF(AND(H_Direct=0,H_TaxEvt=1,ASM92+1&gt;=H_Deemed),MAX(0,AEM93-AHZ93)*H_Exit,0)</f>
        <v>0</v>
      </c>
      <c r="AWA93" s="20" t="n">
        <f aca="false">IF(AND(H_Direct=0,H_TaxEvt=1,ASN92+1&gt;=H_Deemed),MAX(0,AEN93-AIA93)*H_Exit,0)</f>
        <v>0</v>
      </c>
      <c r="AWB93" s="20" t="n">
        <f aca="false">IF(AND(H_Direct=0,H_TaxEvt=1,ASO92+1&gt;=H_Deemed),MAX(0,AEO93-AIB93)*H_Exit,0)</f>
        <v>0</v>
      </c>
      <c r="AWC93" s="20" t="n">
        <f aca="false">IF(AND(H_Direct=0,H_TaxEvt=1,ASP92+1&gt;=H_Deemed),MAX(0,AEP93-AIC93)*H_Exit,0)</f>
        <v>0</v>
      </c>
      <c r="AWD93" s="20" t="n">
        <f aca="false">IF(AND(H_Direct=0,H_TaxEvt=1,ASQ92+1&gt;=H_Deemed),MAX(0,AEQ93-AID93)*H_Exit,0)</f>
        <v>0</v>
      </c>
      <c r="AWE93" s="20" t="n">
        <f aca="false">IF(AND(H_Direct=0,H_TaxEvt=1,ASR92+1&gt;=H_Deemed),MAX(0,AER93-AIE93)*H_Exit,0)</f>
        <v>0</v>
      </c>
      <c r="AWF93" s="20" t="n">
        <f aca="false">IF(AND(H_Direct=0,H_TaxEvt=1,ASS92+1&gt;=H_Deemed),MAX(0,AES93-AIF93)*H_Exit,0)</f>
        <v>0</v>
      </c>
      <c r="AWG93" s="20" t="n">
        <f aca="false">IF(AND(H_Direct=0,H_TaxEvt=1,AST92+1&gt;=H_Deemed),MAX(0,AET93-AIG93)*H_Exit,0)</f>
        <v>0</v>
      </c>
      <c r="AWH93" s="20" t="n">
        <f aca="false">IF(AND(H_Direct=0,H_TaxEvt=1,ASU92+1&gt;=H_Deemed),MAX(0,AEU93-AIH93)*H_Exit,0)</f>
        <v>0</v>
      </c>
      <c r="AWI93" s="20" t="n">
        <f aca="false">IF(AND(H_Direct=0,H_TaxEvt=1,ASV92+1&gt;=H_Deemed),MAX(0,AEV93-AII93)*H_Exit,0)</f>
        <v>0</v>
      </c>
      <c r="AWJ93" s="20" t="n">
        <f aca="false">IF(AND(H_Direct=0,H_TaxEvt=1,ASW92+1&gt;=H_Deemed),MAX(0,AEW93-AIJ93)*H_Exit,0)</f>
        <v>0</v>
      </c>
      <c r="AWK93" s="20" t="n">
        <f aca="false">IF(AND(H_Direct=0,H_TaxEvt=1,ASX92+1&gt;=H_Deemed),MAX(0,AEX93-AIK93)*H_Exit,0)</f>
        <v>0</v>
      </c>
      <c r="AWL93" s="20" t="n">
        <f aca="false">IF(AND(H_Direct=0,H_TaxEvt=1,ASY92+1&gt;=H_Deemed),MAX(0,AEY93-AIL93)*H_Exit,0)</f>
        <v>0</v>
      </c>
      <c r="AWM93" s="20" t="n">
        <f aca="false">IF(AND(H_Direct=0,H_TaxEvt=1,ASZ92+1&gt;=H_Deemed),MAX(0,AEZ93-AIM93)*H_Exit,0)</f>
        <v>0</v>
      </c>
      <c r="AWN93" s="20" t="n">
        <f aca="false">IF(AND(H_Direct=0,H_TaxEvt=1,ATA92+1&gt;=H_Deemed),MAX(0,AFA93-AIN93)*H_Exit,0)</f>
        <v>0</v>
      </c>
      <c r="AWO93" s="20" t="n">
        <f aca="false">IF(AND(H_Direct=0,H_TaxEvt=1,ATB92+1&gt;=H_Deemed),MAX(0,AFB93-AIO93)*H_Exit,0)</f>
        <v>0</v>
      </c>
      <c r="AWP93" s="20" t="n">
        <f aca="false">IF(AND(H_Direct=0,H_TaxEvt=1,ATC92+1&gt;=H_Deemed),MAX(0,AFC93-AIP93)*H_Exit,0)</f>
        <v>0</v>
      </c>
      <c r="AWQ93" s="20" t="n">
        <f aca="false">IF(AND(H_Direct=0,H_TaxEvt=1,ATD92+1&gt;=H_Deemed),MAX(0,AFD93-AIQ93)*H_Exit,0)</f>
        <v>0</v>
      </c>
      <c r="AWR93" s="20" t="n">
        <f aca="false">IF(AND(H_Direct=0,H_TaxEvt=1,ATE92+1&gt;=H_Deemed),MAX(0,AFE93-AIR93)*H_Exit,0)</f>
        <v>0</v>
      </c>
      <c r="AWS93" s="20" t="n">
        <f aca="false">IF(AND(H_Direct=0,H_TaxEvt=1,ATF92+1&gt;=H_Deemed),MAX(0,AFF93-AIS93)*H_Exit,0)</f>
        <v>0</v>
      </c>
      <c r="AWT93" s="20" t="n">
        <f aca="false">IF(AND(H_Direct=0,H_TaxEvt=1,ATG92+1&gt;=H_Deemed),MAX(0,AFG93-AIT93)*H_Exit,0)</f>
        <v>0</v>
      </c>
      <c r="AWU93" s="20" t="n">
        <f aca="false">IF(AND(H_Direct=0,H_TaxEvt=1,ATH92+1&gt;=H_Deemed),MAX(0,AFH93-AIU93)*H_Exit,0)</f>
        <v>0</v>
      </c>
      <c r="AWV93" s="20" t="n">
        <f aca="false">IF(AND(H_Direct=0,H_TaxEvt=1,ATI92+1&gt;=H_Deemed),MAX(0,AFI93-AIV93)*H_Exit,0)</f>
        <v>0</v>
      </c>
      <c r="AWW93" s="20" t="n">
        <f aca="false">IF(AND(H_Direct=0,H_TaxEvt=1,ATJ92+1&gt;=H_Deemed),MAX(0,AFJ93-AIW93)*H_Exit,0)</f>
        <v>0</v>
      </c>
      <c r="AWX93" s="20" t="n">
        <f aca="false">IF(AND(H_Direct=0,H_TaxEvt=1,ATK92+1&gt;=H_Deemed),MAX(0,AFK93-AIX93)*H_Exit,0)</f>
        <v>0</v>
      </c>
      <c r="AWY93" s="20" t="n">
        <f aca="false">IF(AND(H_Direct=0,H_TaxEvt=1,ATL92+1&gt;=H_Deemed),MAX(0,AFL93-AIY93)*H_Exit,0)</f>
        <v>0</v>
      </c>
      <c r="AWZ93" s="20" t="n">
        <f aca="false">IF(AND(H_Direct=0,H_TaxEvt=1,ATM92+1&gt;=H_Deemed),MAX(0,AFM93-AIZ93)*H_Exit,0)</f>
        <v>0</v>
      </c>
      <c r="AXA93" s="20" t="n">
        <f aca="false">IF(AND(H_Direct=0,H_TaxEvt=1,ATN92+1&gt;=H_Deemed),MAX(0,AFN93-AJA93)*H_Exit,0)</f>
        <v>0</v>
      </c>
      <c r="AXB93" s="20" t="n">
        <f aca="false">IF(AND(H_Direct=0,H_TaxEvt=1,ATO92+1&gt;=H_Deemed),MAX(0,AFO93-AJB93)*H_Exit,0)</f>
        <v>0</v>
      </c>
      <c r="AXC93" s="20" t="n">
        <f aca="false">IF(AND(H_Direct=0,H_TaxEvt=1,ATP92+1&gt;=H_Deemed),MAX(0,AFP93-AJC93)*H_Exit,0)</f>
        <v>0</v>
      </c>
      <c r="AXD93" s="20" t="n">
        <f aca="false">IF(AND(H_Direct=0,H_TaxEvt=1,ATQ92+1&gt;=H_Deemed),MAX(0,AFQ93-AJD93)*H_Exit,0)</f>
        <v>0</v>
      </c>
      <c r="AXE93" s="20" t="n">
        <f aca="false">IF(AND(H_Direct=0,H_TaxEvt=1,ATR92+1&gt;=H_Deemed),MAX(0,AFR93-AJE93)*H_Exit,0)</f>
        <v>0</v>
      </c>
      <c r="AXF93" s="20" t="n">
        <f aca="false">IF(AND(H_Direct=0,H_TaxEvt=1,ATS92+1&gt;=H_Deemed),MAX(0,AFS93-AJF93)*H_Exit,0)</f>
        <v>0</v>
      </c>
      <c r="AXG93" s="20" t="n">
        <f aca="false">IF(AND(H_Direct=0,H_TaxEvt=1,ATT92+1&gt;=H_Deemed),MAX(0,AFT93-AJG93)*H_Exit,0)</f>
        <v>0</v>
      </c>
      <c r="AXH93" s="20" t="n">
        <f aca="false">IF(AND(H_Direct=0,H_TaxEvt=1,ATU92+1&gt;=H_Deemed),MAX(0,AFU93-AJH93)*H_Exit,0)</f>
        <v>0</v>
      </c>
      <c r="AXI93" s="20" t="n">
        <f aca="false">IF(AND(H_Direct=0,H_TaxEvt=1,ATV92+1&gt;=H_Deemed),MAX(0,AFV93-AJI93)*H_Exit,0)</f>
        <v>0</v>
      </c>
      <c r="AXJ93" s="20" t="n">
        <f aca="false">IF(AND(H_Direct=0,H_TaxEvt=1,ATW92+1&gt;=H_Deemed),MAX(0,AFW93-AJJ93)*H_Exit,0)</f>
        <v>0</v>
      </c>
      <c r="AXK93" s="20" t="n">
        <f aca="false">IF(AND(H_Direct=0,H_TaxEvt=1,ATX92+1&gt;=H_Deemed),MAX(0,AFX93-AJK93)*H_Exit,0)</f>
        <v>0</v>
      </c>
      <c r="AXL93" s="20" t="n">
        <f aca="false">IF(AND(H_Direct=0,H_TaxEvt=1,ATY92+1&gt;=H_Deemed),MAX(0,AFY93-AJL93)*H_Exit,0)</f>
        <v>0</v>
      </c>
      <c r="AXM93" s="20" t="n">
        <f aca="false">IF(AND(H_Direct=0,H_TaxEvt=1,ATZ92+1&gt;=H_Deemed),MAX(0,AFZ93-AJM93)*H_Exit,0)</f>
        <v>0</v>
      </c>
      <c r="AXN93" s="20" t="n">
        <f aca="false">IF(AND(H_Direct=0,H_TaxEvt=1,AUA92+1&gt;=H_Deemed),MAX(0,AGA93-AJN93)*H_Exit,0)</f>
        <v>0</v>
      </c>
      <c r="AXO93" s="20" t="n">
        <f aca="false">IF(AND(H_Direct=0,H_TaxEvt=1,AUB92+1&gt;=H_Deemed),MAX(0,AGB93-AJO93)*H_Exit,0)</f>
        <v>0</v>
      </c>
      <c r="AXP93" s="20" t="n">
        <f aca="false">IF(AND(H_Direct=0,H_TaxEvt=1,AUC92+1&gt;=H_Deemed),MAX(0,AGC93-AJP93)*H_Exit,0)</f>
        <v>0</v>
      </c>
      <c r="AXQ93" s="20" t="n">
        <f aca="false">IF(AND(H_Direct=0,H_TaxEvt=1,AUD92+1&gt;=H_Deemed),MAX(0,AGD93-AJQ93)*H_Exit,0)</f>
        <v>0</v>
      </c>
      <c r="AXR93" s="20" t="n">
        <f aca="false">IF(AND(H_Direct=0,H_TaxEvt=1,AUE92+1&gt;=H_Deemed),MAX(0,AGE93-AJR93)*H_Exit,0)</f>
        <v>0</v>
      </c>
      <c r="AXS93" s="20" t="n">
        <f aca="false">IF(AND(H_Direct=0,H_TaxEvt=1,AUF92+1&gt;=H_Deemed),MAX(0,AGF93-AJS93)*H_Exit,0)</f>
        <v>0</v>
      </c>
      <c r="AXT93" s="20" t="n">
        <f aca="false">IF(AND(H_Direct=0,H_TaxEvt=1,AUG92+1&gt;=H_Deemed),MAX(0,AGG93-AJT93)*H_Exit,0)</f>
        <v>0</v>
      </c>
      <c r="AXU93" s="20" t="n">
        <f aca="false">IF(AND(H_Direct=0,H_TaxEvt=1,AUH92+1&gt;=H_Deemed),MAX(0,AGH93-AJU93)*H_Exit,0)</f>
        <v>0</v>
      </c>
      <c r="AXV93" s="20" t="n">
        <f aca="false">IF(AND(H_Direct=0,H_TaxEvt=1,AUI92+1&gt;=H_Deemed),MAX(0,AGI93-AJV93)*H_Exit,0)</f>
        <v>0</v>
      </c>
      <c r="AXW93" s="20" t="n">
        <f aca="false">IF(AND(H_Direct=0,H_TaxEvt=1,AUJ92+1&gt;=H_Deemed),MAX(0,AGJ93-AJW93)*H_Exit,0)</f>
        <v>0</v>
      </c>
      <c r="AXX93" s="20" t="n">
        <f aca="false">IF(AND(H_Direct=0,H_TaxEvt=1,AUK92+1&gt;=H_Deemed),MAX(0,AGK93-AJX93)*H_Exit,0)</f>
        <v>0</v>
      </c>
      <c r="AXY93" s="20" t="n">
        <f aca="false">IF(AND(H_Direct=0,H_TaxEvt=1,AUL92+1&gt;=H_Deemed),MAX(0,AGL93-AJY93)*H_Exit,0)</f>
        <v>0</v>
      </c>
      <c r="AXZ93" s="20" t="n">
        <f aca="false">IF(AND(H_Direct=0,H_TaxEvt=1,AUM92+1&gt;=H_Deemed),MAX(0,AGM93-AJZ93)*H_Exit,0)</f>
        <v>0</v>
      </c>
      <c r="AYA93" s="20" t="n">
        <f aca="false">IF(AND(H_Direct=0,H_TaxEvt=1,AUN92+1&gt;=H_Deemed),MAX(0,AGN93-AKA93)*H_Exit,0)</f>
        <v>0</v>
      </c>
      <c r="AYB93" s="20" t="n">
        <f aca="false">IF(AND(H_Direct=0,H_TaxEvt=1,AUO92+1&gt;=H_Deemed),MAX(0,AGO93-AKB93)*H_Exit,0)</f>
        <v>0</v>
      </c>
      <c r="AYC93" s="20" t="n">
        <f aca="false">IF(AND(H_Direct=0,H_TaxEvt=1,AUP92+1&gt;=H_Deemed),MAX(0,AGP93-AKC93)*H_Exit,0)</f>
        <v>0</v>
      </c>
      <c r="AYD93" s="20" t="n">
        <f aca="false">IF(AND(H_Direct=0,H_TaxEvt=1,AUQ92+1&gt;=H_Deemed),MAX(0,AGQ93-AKD93)*H_Exit,0)</f>
        <v>0</v>
      </c>
      <c r="AYE93" s="20" t="n">
        <f aca="false">IF(AND(H_Direct=0,H_TaxEvt=1,AUR92+1&gt;=H_Deemed),MAX(0,AGR93-AKE93)*H_Exit,0)</f>
        <v>0</v>
      </c>
      <c r="AYF93" s="20" t="n">
        <f aca="false">IF(AND(H_Direct=0,H_TaxEvt=1,AUS92+1&gt;=H_Deemed),MAX(0,AGS93-AKF93)*H_Exit,0)</f>
        <v>0</v>
      </c>
      <c r="AYG93" s="20" t="n">
        <f aca="false">IF(AND(H_Direct=0,H_TaxEvt=1,AUT92+1&gt;=H_Deemed),MAX(0,AGT93-AKG93)*H_Exit,0)</f>
        <v>0</v>
      </c>
      <c r="AYH93" s="20" t="n">
        <f aca="false">IF(AND(H_Direct=0,H_TaxEvt=1,AUU92+1&gt;=H_Deemed),MAX(0,AGU93-AKH93)*H_Exit,0)</f>
        <v>0</v>
      </c>
      <c r="AYI93" s="20" t="n">
        <f aca="false">IF(AND(H_Direct=0,H_TaxEvt=1,AUV92+1&gt;=H_Deemed),MAX(0,AGV93-AKI93)*H_Exit,0)</f>
        <v>0</v>
      </c>
      <c r="AYJ93" s="20" t="n">
        <f aca="false">IF(AND(H_Direct=0,H_TaxEvt=1,AUW92+1&gt;=H_Deemed),MAX(0,AGW93-AKJ93)*H_Exit,0)</f>
        <v>0</v>
      </c>
      <c r="AYK93" s="20" t="n">
        <f aca="false">IF(AND(H_Direct=0,H_TaxEvt=1,AUX92+1&gt;=H_Deemed),MAX(0,AGX93-AKK93)*H_Exit,0)</f>
        <v>0</v>
      </c>
      <c r="AYL93" s="20" t="n">
        <f aca="false">IF(AND(H_Direct=0,H_TaxEvt=1,AUY92+1&gt;=H_Deemed),MAX(0,AGY93-AKL93)*H_Exit,0)</f>
        <v>0</v>
      </c>
      <c r="AYM93" s="20" t="n">
        <f aca="false">IF(AND(H_Direct=0,H_TaxEvt=1,0+1&gt;=H_Deemed),MAX(0,AGZ93-AKM93)*H_Exit,0)</f>
        <v>0</v>
      </c>
      <c r="AYN93" s="20" t="n">
        <v>0</v>
      </c>
      <c r="AYO93" s="20" t="n">
        <v>0</v>
      </c>
      <c r="AYP93" s="20" t="n">
        <v>0</v>
      </c>
      <c r="AYQ93" s="20" t="n">
        <v>0</v>
      </c>
    </row>
    <row r="94" customFormat="false" ht="15" hidden="false" customHeight="false" outlineLevel="0" collapsed="false">
      <c r="B94" s="20" t="n">
        <v>86</v>
      </c>
      <c r="C94" s="20" t="n">
        <f aca="false">'Plan cashflow'!C94</f>
        <v>0</v>
      </c>
      <c r="D94" s="20" t="n">
        <f aca="false">'Plan cashflow'!D94</f>
        <v>124</v>
      </c>
      <c r="E94" s="20" t="n">
        <f aca="false">AS_Year0+86</f>
        <v>2112</v>
      </c>
      <c r="F94" s="50" t="n">
        <f aca="false">'Plan cashflow'!F94</f>
        <v>5.49053635500395</v>
      </c>
      <c r="G94" s="59" t="n">
        <f aca="true">IF(MAX(TODAY(),DATE(E94,1,1))&gt;=H_CGTfrom,H_CGT1,H_CGT0)</f>
        <v>0.31</v>
      </c>
      <c r="H94" s="20" t="n">
        <f aca="false">H_Exempt*H_Persons</f>
        <v>1270</v>
      </c>
      <c r="I94" s="20" t="n">
        <f aca="false">AX93</f>
        <v>0</v>
      </c>
      <c r="J94" s="60" t="n">
        <f aca="false">BF93</f>
        <v>0</v>
      </c>
      <c r="K94" s="60" t="n">
        <f aca="false">BG93</f>
        <v>0</v>
      </c>
      <c r="L94" s="20" t="n">
        <f aca="false">IF(AND(In_polLump&gt;0,In_polLumpAge&gt;0,D94=In_polLumpAge),In_polLump,0)</f>
        <v>0</v>
      </c>
      <c r="M94" s="20" t="n">
        <f aca="false">IF(AND(In_homeUse="Yes, I'd downsize",In_downAge&gt;0,D94=In_downAge,OR(In_home="Own outright",In_home="Own with mortgage"),In_homeValue&gt;0),MAX(0,MAX(0,In_homeValue-In_downValue)*F94*0.9-'Plan cashflow'!HR93),0)</f>
        <v>0</v>
      </c>
      <c r="N94" s="20" t="n">
        <f aca="false">'Plan pay &amp; tax'!Y320</f>
        <v>0</v>
      </c>
      <c r="O94" s="20" t="n">
        <f aca="false">L94+M94+(1-H_Sh)*N94</f>
        <v>0</v>
      </c>
      <c r="P94" s="20" t="n">
        <f aca="false">H_Sh*N94</f>
        <v>0</v>
      </c>
      <c r="Q94" s="20" t="n">
        <f aca="false">'Plan cashflow'!UL94</f>
        <v>0</v>
      </c>
      <c r="R94" s="20" t="n">
        <f aca="false">(1-H_Sh)*Q94</f>
        <v>0</v>
      </c>
      <c r="S94" s="20" t="n">
        <f aca="false">H_Sh*Q94</f>
        <v>0</v>
      </c>
      <c r="T94" s="20" t="n">
        <f aca="false">J94+K94+O94</f>
        <v>0</v>
      </c>
      <c r="U94" s="20" t="n">
        <f aca="false">T94+R94</f>
        <v>0</v>
      </c>
      <c r="V94" s="60" t="n">
        <f aca="false">SUM(FE94:IQ94)</f>
        <v>0</v>
      </c>
      <c r="W94" s="60" t="n">
        <f aca="false">IF(AJ94&lt;=0,0,IF(AL94&lt;=0,AJ94,AJ94-G94*MAX(0,AL94*AJ94-(AY94+AZ94))))</f>
        <v>0</v>
      </c>
      <c r="X94" s="60" t="n">
        <f aca="false">IF(AR94&lt;=0,0,IF(AT94&lt;=0,AR94,AR94-G94*MAX(0,AT94*AR94-(BA94+BB94))))</f>
        <v>0</v>
      </c>
      <c r="Y94" s="60" t="n">
        <f aca="false">T94+V94-S94+W94+X94</f>
        <v>0</v>
      </c>
      <c r="Z94" s="60" t="n">
        <f aca="false">'Plan cashflow'!UK94</f>
        <v>0</v>
      </c>
      <c r="AA94" s="20" t="n">
        <f aca="false">MIN(Z94,U94)</f>
        <v>0</v>
      </c>
      <c r="AB94" s="20" t="n">
        <f aca="false">Z94-AA94</f>
        <v>0</v>
      </c>
      <c r="AC94" s="20" t="n">
        <f aca="false">MIN(AA94,J94+O94+R94)</f>
        <v>0</v>
      </c>
      <c r="AD94" s="20" t="n">
        <f aca="false">AA94-AC94</f>
        <v>0</v>
      </c>
      <c r="AE94" s="20" t="n">
        <f aca="false">J94+O94+R94-AC94</f>
        <v>0</v>
      </c>
      <c r="AF94" s="20" t="n">
        <f aca="false">K94-AD94</f>
        <v>0</v>
      </c>
      <c r="AG94" s="20" t="n">
        <f aca="false">SUM(PR94:TD94)</f>
        <v>0</v>
      </c>
      <c r="AH94" s="20" t="n">
        <f aca="false">SUM(TE94:WQ94)</f>
        <v>0</v>
      </c>
      <c r="AI94" s="20" t="n">
        <f aca="false">MAX(0,AB94-AG94)</f>
        <v>0</v>
      </c>
      <c r="AJ94" s="57" t="n">
        <f aca="false">BI93</f>
        <v>0</v>
      </c>
      <c r="AK94" s="20" t="n">
        <f aca="false">BJ93</f>
        <v>0</v>
      </c>
      <c r="AL94" s="20" t="n">
        <f aca="false">IF(AJ94&gt;0,(AJ94-AK94)/AJ94,0)</f>
        <v>0</v>
      </c>
      <c r="AM94" s="20" t="n">
        <f aca="false">IF(AJ94&lt;=0,0,IF(AL94&lt;=0,MIN(AI94,AJ94),MIN(AI94,AJ94-G94*MAX(0,AL94*AJ94-(AAD94+ADQ94)))))</f>
        <v>0</v>
      </c>
      <c r="AN94" s="20" t="n">
        <f aca="false">IF(AJ94&lt;=0,0,IF(AL94&lt;=0,AM94,IF(AM94&lt;=(AAD94+ADQ94)/AL94,AM94,(AM94-G94*(AAD94+ADQ94))/(1-G94*AL94))))</f>
        <v>0</v>
      </c>
      <c r="AO94" s="20" t="n">
        <f aca="false">IF(AL94&gt;0,MAX(0,AAD94-(MIN(AL94*AN94,(AAD94+ADQ94))-MIN(MIN(AL94*AN94,(AAD94+ADQ94)),ADQ94))),AAD94)</f>
        <v>1270</v>
      </c>
      <c r="AP94" s="20" t="n">
        <f aca="false">IF(AL94&lt;=0,ADQ94-AL94*AN94,ADQ94-MIN(MIN(AL94*AN94,(AAD94+ADQ94)),ADQ94))</f>
        <v>0</v>
      </c>
      <c r="AQ94" s="20" t="n">
        <f aca="false">MAX(0,AI94-AM94)</f>
        <v>0</v>
      </c>
      <c r="AR94" s="57" t="n">
        <f aca="false">BK93</f>
        <v>0</v>
      </c>
      <c r="AS94" s="20" t="n">
        <f aca="false">BL93</f>
        <v>0</v>
      </c>
      <c r="AT94" s="20" t="n">
        <f aca="false">IF(AR94&gt;0,(AR94-AS94)/AR94,0)</f>
        <v>0</v>
      </c>
      <c r="AU94" s="20" t="n">
        <f aca="false">IF(AR94&lt;=0,0,IF(AT94&lt;=0,MIN(AQ94,AR94),MIN(AQ94,AR94-G94*MAX(0,AT94*AR94-(AO94+AP94)))))</f>
        <v>0</v>
      </c>
      <c r="AV94" s="20" t="n">
        <f aca="false">IF(AR94&lt;=0,0,IF(AT94&lt;=0,AU94,IF(AU94&lt;=(AO94+AP94)/AT94,AU94,(AU94-G94*(AO94+AP94))/(1-G94*AT94))))</f>
        <v>0</v>
      </c>
      <c r="AW94" s="20" t="n">
        <f aca="false">IF(AT94&gt;0,MAX(0,AO94-(MIN(AT94*AV94,(AO94+AP94))-MIN(MIN(AT94*AV94,(AO94+AP94)),AP94))),AO94)</f>
        <v>1270</v>
      </c>
      <c r="AX94" s="20" t="n">
        <f aca="false">IF(AT94&lt;=0,AP94-AT94*AV94,AP94-MIN(MIN(AT94*AV94,(AO94+AP94)),AP94))</f>
        <v>0</v>
      </c>
      <c r="AY94" s="20" t="n">
        <f aca="false">MD94</f>
        <v>1270</v>
      </c>
      <c r="AZ94" s="20" t="n">
        <f aca="false">PQ94</f>
        <v>0</v>
      </c>
      <c r="BA94" s="20" t="n">
        <f aca="false">IF(AL94&gt;0,MAX(0,AY94-(MIN(AL94*AJ94,AY94+AZ94)-MIN(MIN(AL94*AJ94,AY94+AZ94),AZ94))),AY94)</f>
        <v>1270</v>
      </c>
      <c r="BB94" s="20" t="n">
        <f aca="false">IF(AL94&lt;=0,AZ94-AL94*AJ94,AZ94-MIN(MIN(AL94*AJ94,AY94+AZ94),AZ94))</f>
        <v>0</v>
      </c>
      <c r="BC94" s="20" t="n">
        <f aca="false">'Plan cashflow'!UM94</f>
        <v>0</v>
      </c>
      <c r="BD94" s="20" t="n">
        <f aca="false">(1-H_Sh)*BC94</f>
        <v>0</v>
      </c>
      <c r="BE94" s="20" t="n">
        <f aca="false">H_Sh*BC94</f>
        <v>0</v>
      </c>
      <c r="BF94" s="60" t="n">
        <f aca="false">(AE94+BD94)*(1+AS_Cash)</f>
        <v>0</v>
      </c>
      <c r="BG94" s="60" t="n">
        <f aca="false">AF94*(1+AS_Cash)</f>
        <v>0</v>
      </c>
      <c r="BH94" s="60" t="n">
        <f aca="false">SUM(AKR94:AOD94)</f>
        <v>0</v>
      </c>
      <c r="BI94" s="60" t="n">
        <f aca="false">(AJ94-AN94)*(1+AS_Infl)</f>
        <v>0</v>
      </c>
      <c r="BJ94" s="20" t="n">
        <f aca="false">IF(AJ94&gt;0,AK94-AK94*AN94/AJ94,0)</f>
        <v>0</v>
      </c>
      <c r="BK94" s="60" t="n">
        <f aca="false">(AR94-AV94)*(1+BQ94)</f>
        <v>0</v>
      </c>
      <c r="BL94" s="20" t="n">
        <f aca="false">IF(AR94&gt;0,AS94-AS94*AV94/AR94,0)</f>
        <v>0</v>
      </c>
      <c r="BM94" s="60" t="n">
        <f aca="false">BF94+BG94+BH94+BI94+BK94</f>
        <v>0</v>
      </c>
      <c r="BN94" s="60" t="n">
        <f aca="false">(AH94-AG94)+(AN94-AM94)+(AV94-AU94)</f>
        <v>0</v>
      </c>
      <c r="BO94" s="20" t="n">
        <f aca="false">(AE94+BD94+AF94+MAX(0,'Plan cashflow'!QH94)+IF(Slot1_Rate=AS_Cash,'Plan cashflow'!QM94/(1+AS_Cash),0)+IF(Slot2_Rate=AS_Cash,'Plan cashflow'!QQ94/(1+AS_Cash),0)+IF(Slot3_Rate=AS_Cash,'Plan cashflow'!QU94/(1+AS_Cash),0)+IF(Slot4_Rate=AS_Cash,'Plan cashflow'!QY94/(1+AS_Cash),0)+IF(Slot5_Rate=AS_Cash,'Plan cashflow'!RC94/(1+AS_Cash),0)+IF(Slot6_Rate=AS_Cash,'Plan cashflow'!RG94/(1+AS_Cash),0)+IF(Slot7_Rate=AS_Cash,'Plan cashflow'!RK94/(1+AS_Cash),0)+IF(Slot8_Rate=AS_Cash,'Plan cashflow'!RO94/(1+AS_Cash),0)+IF(Slot9_Rate=AS_Cash,'Plan cashflow'!RS94/(1+AS_Cash),0)+IF(Slot10_Rate=AS_Cash,'Plan cashflow'!RW94/(1+AS_Cash),0)+IF(Slot11_Rate=AS_Cash,'Plan cashflow'!SA94/(1+AS_Cash),0)+IF(Slot12_Rate=AS_Cash,'Plan cashflow'!SE94/(1+AS_Cash),0)+IF(Slot13_Rate=AS_Cash,'Plan cashflow'!SI94/(1+AS_Cash),0)+IF(Slot14_Rate=AS_Cash,'Plan cashflow'!SM94/(1+AS_Cash),0)+IF(Slot15_Rate=AS_Cash,'Plan cashflow'!SQ94/(1+AS_Cash),0)+IF(Slot16_Rate=AS_Cash,'Plan cashflow'!SU94/(1+AS_Cash),0)+IF(Slot17_Rate=AS_Cash,'Plan cashflow'!SY94/(1+AS_Cash),0)+IF(Slot18_Rate=AS_Cash,'Plan cashflow'!TC94/(1+AS_Cash),0)+IF(Slot19_Rate=AS_Cash,'Plan cashflow'!TG94/(1+AS_Cash),0)+IF(Slot20_Rate=AS_Cash,'Plan cashflow'!TK94/(1+AS_Cash),0))*AS_Cash*H_DIRT/(1-H_DIRT)</f>
        <v>0</v>
      </c>
      <c r="BP94" s="60" t="n">
        <f aca="false">SUM(AVE94:AYQ94)</f>
        <v>0</v>
      </c>
      <c r="BQ94" s="54" t="n">
        <f aca="false">IF(H_TaxEvt=1,H_InvG,AS_Inv)</f>
        <v>0.04</v>
      </c>
      <c r="BR94" s="20" t="n">
        <f aca="false">IF(AKR93&gt;0,(AKR93-AOE93)/AKR93,0)</f>
        <v>0</v>
      </c>
      <c r="BS94" s="20" t="n">
        <f aca="false">IF(AKS93&gt;0,(AKS93-AOF93)/AKS93,0)</f>
        <v>0</v>
      </c>
      <c r="BT94" s="20" t="n">
        <f aca="false">IF(AKT93&gt;0,(AKT93-AOG93)/AKT93,0)</f>
        <v>0</v>
      </c>
      <c r="BU94" s="20" t="n">
        <f aca="false">IF(AKU93&gt;0,(AKU93-AOH93)/AKU93,0)</f>
        <v>0</v>
      </c>
      <c r="BV94" s="20" t="n">
        <f aca="false">IF(AKV93&gt;0,(AKV93-AOI93)/AKV93,0)</f>
        <v>0</v>
      </c>
      <c r="BW94" s="20" t="n">
        <f aca="false">IF(AKW93&gt;0,(AKW93-AOJ93)/AKW93,0)</f>
        <v>0</v>
      </c>
      <c r="BX94" s="20" t="n">
        <f aca="false">IF(AKX93&gt;0,(AKX93-AOK93)/AKX93,0)</f>
        <v>0</v>
      </c>
      <c r="BY94" s="20" t="n">
        <f aca="false">IF(AKY93&gt;0,(AKY93-AOL93)/AKY93,0)</f>
        <v>0</v>
      </c>
      <c r="BZ94" s="20" t="n">
        <f aca="false">IF(AKZ93&gt;0,(AKZ93-AOM93)/AKZ93,0)</f>
        <v>0</v>
      </c>
      <c r="CA94" s="20" t="n">
        <f aca="false">IF(ALA93&gt;0,(ALA93-AON93)/ALA93,0)</f>
        <v>0</v>
      </c>
      <c r="CB94" s="20" t="n">
        <f aca="false">IF(ALB93&gt;0,(ALB93-AOO93)/ALB93,0)</f>
        <v>0</v>
      </c>
      <c r="CC94" s="20" t="n">
        <f aca="false">IF(ALC93&gt;0,(ALC93-AOP93)/ALC93,0)</f>
        <v>0</v>
      </c>
      <c r="CD94" s="20" t="n">
        <f aca="false">IF(ALD93&gt;0,(ALD93-AOQ93)/ALD93,0)</f>
        <v>0</v>
      </c>
      <c r="CE94" s="20" t="n">
        <f aca="false">IF(ALE93&gt;0,(ALE93-AOR93)/ALE93,0)</f>
        <v>0</v>
      </c>
      <c r="CF94" s="20" t="n">
        <f aca="false">IF(ALF93&gt;0,(ALF93-AOS93)/ALF93,0)</f>
        <v>0</v>
      </c>
      <c r="CG94" s="20" t="n">
        <f aca="false">IF(ALG93&gt;0,(ALG93-AOT93)/ALG93,0)</f>
        <v>0</v>
      </c>
      <c r="CH94" s="20" t="n">
        <f aca="false">IF(ALH93&gt;0,(ALH93-AOU93)/ALH93,0)</f>
        <v>0</v>
      </c>
      <c r="CI94" s="20" t="n">
        <f aca="false">IF(ALI93&gt;0,(ALI93-AOV93)/ALI93,0)</f>
        <v>0</v>
      </c>
      <c r="CJ94" s="20" t="n">
        <f aca="false">IF(ALJ93&gt;0,(ALJ93-AOW93)/ALJ93,0)</f>
        <v>0</v>
      </c>
      <c r="CK94" s="20" t="n">
        <f aca="false">IF(ALK93&gt;0,(ALK93-AOX93)/ALK93,0)</f>
        <v>0</v>
      </c>
      <c r="CL94" s="20" t="n">
        <f aca="false">IF(ALL93&gt;0,(ALL93-AOY93)/ALL93,0)</f>
        <v>0</v>
      </c>
      <c r="CM94" s="20" t="n">
        <f aca="false">IF(ALM93&gt;0,(ALM93-AOZ93)/ALM93,0)</f>
        <v>0</v>
      </c>
      <c r="CN94" s="20" t="n">
        <f aca="false">IF(ALN93&gt;0,(ALN93-APA93)/ALN93,0)</f>
        <v>0</v>
      </c>
      <c r="CO94" s="20" t="n">
        <f aca="false">IF(ALO93&gt;0,(ALO93-APB93)/ALO93,0)</f>
        <v>0</v>
      </c>
      <c r="CP94" s="20" t="n">
        <f aca="false">IF(ALP93&gt;0,(ALP93-APC93)/ALP93,0)</f>
        <v>0</v>
      </c>
      <c r="CQ94" s="20" t="n">
        <f aca="false">IF(ALQ93&gt;0,(ALQ93-APD93)/ALQ93,0)</f>
        <v>0</v>
      </c>
      <c r="CR94" s="20" t="n">
        <f aca="false">IF(ALR93&gt;0,(ALR93-APE93)/ALR93,0)</f>
        <v>0</v>
      </c>
      <c r="CS94" s="20" t="n">
        <f aca="false">IF(ALS93&gt;0,(ALS93-APF93)/ALS93,0)</f>
        <v>0</v>
      </c>
      <c r="CT94" s="20" t="n">
        <f aca="false">IF(ALT93&gt;0,(ALT93-APG93)/ALT93,0)</f>
        <v>0</v>
      </c>
      <c r="CU94" s="20" t="n">
        <f aca="false">IF(ALU93&gt;0,(ALU93-APH93)/ALU93,0)</f>
        <v>0</v>
      </c>
      <c r="CV94" s="20" t="n">
        <f aca="false">IF(ALV93&gt;0,(ALV93-API93)/ALV93,0)</f>
        <v>0</v>
      </c>
      <c r="CW94" s="20" t="n">
        <f aca="false">IF(ALW93&gt;0,(ALW93-APJ93)/ALW93,0)</f>
        <v>0</v>
      </c>
      <c r="CX94" s="20" t="n">
        <f aca="false">IF(ALX93&gt;0,(ALX93-APK93)/ALX93,0)</f>
        <v>0</v>
      </c>
      <c r="CY94" s="20" t="n">
        <f aca="false">IF(ALY93&gt;0,(ALY93-APL93)/ALY93,0)</f>
        <v>0</v>
      </c>
      <c r="CZ94" s="20" t="n">
        <f aca="false">IF(ALZ93&gt;0,(ALZ93-APM93)/ALZ93,0)</f>
        <v>0</v>
      </c>
      <c r="DA94" s="20" t="n">
        <f aca="false">IF(AMA93&gt;0,(AMA93-APN93)/AMA93,0)</f>
        <v>0</v>
      </c>
      <c r="DB94" s="20" t="n">
        <f aca="false">IF(AMB93&gt;0,(AMB93-APO93)/AMB93,0)</f>
        <v>0</v>
      </c>
      <c r="DC94" s="20" t="n">
        <f aca="false">IF(AMC93&gt;0,(AMC93-APP93)/AMC93,0)</f>
        <v>0</v>
      </c>
      <c r="DD94" s="20" t="n">
        <f aca="false">IF(AMD93&gt;0,(AMD93-APQ93)/AMD93,0)</f>
        <v>0</v>
      </c>
      <c r="DE94" s="20" t="n">
        <f aca="false">IF(AME93&gt;0,(AME93-APR93)/AME93,0)</f>
        <v>0</v>
      </c>
      <c r="DF94" s="20" t="n">
        <f aca="false">IF(AMF93&gt;0,(AMF93-APS93)/AMF93,0)</f>
        <v>0</v>
      </c>
      <c r="DG94" s="20" t="n">
        <f aca="false">IF(AMG93&gt;0,(AMG93-APT93)/AMG93,0)</f>
        <v>0</v>
      </c>
      <c r="DH94" s="20" t="n">
        <f aca="false">IF(AMH93&gt;0,(AMH93-APU93)/AMH93,0)</f>
        <v>0</v>
      </c>
      <c r="DI94" s="20" t="n">
        <f aca="false">IF(AMI93&gt;0,(AMI93-APV93)/AMI93,0)</f>
        <v>0</v>
      </c>
      <c r="DJ94" s="20" t="n">
        <f aca="false">IF(AMJ93&gt;0,(AMJ93-APW93)/AMJ93,0)</f>
        <v>0</v>
      </c>
      <c r="DK94" s="20" t="n">
        <f aca="false">IF(AMK93&gt;0,(AMK93-APX93)/AMK93,0)</f>
        <v>0</v>
      </c>
      <c r="DL94" s="20" t="n">
        <f aca="false">IF(AML93&gt;0,(AML93-APY93)/AML93,0)</f>
        <v>0</v>
      </c>
      <c r="DM94" s="20" t="n">
        <f aca="false">IF(AMM93&gt;0,(AMM93-APZ93)/AMM93,0)</f>
        <v>0</v>
      </c>
      <c r="DN94" s="20" t="n">
        <f aca="false">IF(AMN93&gt;0,(AMN93-AQA93)/AMN93,0)</f>
        <v>0</v>
      </c>
      <c r="DO94" s="20" t="n">
        <f aca="false">IF(AMO93&gt;0,(AMO93-AQB93)/AMO93,0)</f>
        <v>0</v>
      </c>
      <c r="DP94" s="20" t="n">
        <f aca="false">IF(AMP93&gt;0,(AMP93-AQC93)/AMP93,0)</f>
        <v>0</v>
      </c>
      <c r="DQ94" s="20" t="n">
        <f aca="false">IF(AMQ93&gt;0,(AMQ93-AQD93)/AMQ93,0)</f>
        <v>0</v>
      </c>
      <c r="DR94" s="20" t="n">
        <f aca="false">IF(AMR93&gt;0,(AMR93-AQE93)/AMR93,0)</f>
        <v>0</v>
      </c>
      <c r="DS94" s="20" t="n">
        <f aca="false">IF(AMS93&gt;0,(AMS93-AQF93)/AMS93,0)</f>
        <v>0</v>
      </c>
      <c r="DT94" s="20" t="n">
        <f aca="false">IF(AMT93&gt;0,(AMT93-AQG93)/AMT93,0)</f>
        <v>0</v>
      </c>
      <c r="DU94" s="20" t="n">
        <f aca="false">IF(AMU93&gt;0,(AMU93-AQH93)/AMU93,0)</f>
        <v>0</v>
      </c>
      <c r="DV94" s="20" t="n">
        <f aca="false">IF(AMV93&gt;0,(AMV93-AQI93)/AMV93,0)</f>
        <v>0</v>
      </c>
      <c r="DW94" s="20" t="n">
        <f aca="false">IF(AMW93&gt;0,(AMW93-AQJ93)/AMW93,0)</f>
        <v>0</v>
      </c>
      <c r="DX94" s="20" t="n">
        <f aca="false">IF(AMX93&gt;0,(AMX93-AQK93)/AMX93,0)</f>
        <v>0</v>
      </c>
      <c r="DY94" s="20" t="n">
        <f aca="false">IF(AMY93&gt;0,(AMY93-AQL93)/AMY93,0)</f>
        <v>0</v>
      </c>
      <c r="DZ94" s="20" t="n">
        <f aca="false">IF(AMZ93&gt;0,(AMZ93-AQM93)/AMZ93,0)</f>
        <v>0</v>
      </c>
      <c r="EA94" s="20" t="n">
        <f aca="false">IF(ANA93&gt;0,(ANA93-AQN93)/ANA93,0)</f>
        <v>0</v>
      </c>
      <c r="EB94" s="20" t="n">
        <f aca="false">IF(ANB93&gt;0,(ANB93-AQO93)/ANB93,0)</f>
        <v>0</v>
      </c>
      <c r="EC94" s="20" t="n">
        <f aca="false">IF(ANC93&gt;0,(ANC93-AQP93)/ANC93,0)</f>
        <v>0</v>
      </c>
      <c r="ED94" s="20" t="n">
        <f aca="false">IF(AND93&gt;0,(AND93-AQQ93)/AND93,0)</f>
        <v>0</v>
      </c>
      <c r="EE94" s="20" t="n">
        <f aca="false">IF(ANE93&gt;0,(ANE93-AQR93)/ANE93,0)</f>
        <v>0</v>
      </c>
      <c r="EF94" s="20" t="n">
        <f aca="false">IF(ANF93&gt;0,(ANF93-AQS93)/ANF93,0)</f>
        <v>0</v>
      </c>
      <c r="EG94" s="20" t="n">
        <f aca="false">IF(ANG93&gt;0,(ANG93-AQT93)/ANG93,0)</f>
        <v>0</v>
      </c>
      <c r="EH94" s="20" t="n">
        <f aca="false">IF(ANH93&gt;0,(ANH93-AQU93)/ANH93,0)</f>
        <v>0</v>
      </c>
      <c r="EI94" s="20" t="n">
        <f aca="false">IF(ANI93&gt;0,(ANI93-AQV93)/ANI93,0)</f>
        <v>0</v>
      </c>
      <c r="EJ94" s="20" t="n">
        <f aca="false">IF(ANJ93&gt;0,(ANJ93-AQW93)/ANJ93,0)</f>
        <v>0</v>
      </c>
      <c r="EK94" s="20" t="n">
        <f aca="false">IF(ANK93&gt;0,(ANK93-AQX93)/ANK93,0)</f>
        <v>0</v>
      </c>
      <c r="EL94" s="20" t="n">
        <f aca="false">IF(ANL93&gt;0,(ANL93-AQY93)/ANL93,0)</f>
        <v>0</v>
      </c>
      <c r="EM94" s="20" t="n">
        <f aca="false">IF(ANM93&gt;0,(ANM93-AQZ93)/ANM93,0)</f>
        <v>0</v>
      </c>
      <c r="EN94" s="20" t="n">
        <f aca="false">IF(ANN93&gt;0,(ANN93-ARA93)/ANN93,0)</f>
        <v>0</v>
      </c>
      <c r="EO94" s="20" t="n">
        <f aca="false">IF(ANO93&gt;0,(ANO93-ARB93)/ANO93,0)</f>
        <v>0</v>
      </c>
      <c r="EP94" s="20" t="n">
        <f aca="false">IF(ANP93&gt;0,(ANP93-ARC93)/ANP93,0)</f>
        <v>0</v>
      </c>
      <c r="EQ94" s="20" t="n">
        <f aca="false">IF(ANQ93&gt;0,(ANQ93-ARD93)/ANQ93,0)</f>
        <v>0</v>
      </c>
      <c r="ER94" s="20" t="n">
        <f aca="false">IF(ANR93&gt;0,(ANR93-ARE93)/ANR93,0)</f>
        <v>0</v>
      </c>
      <c r="ES94" s="20" t="n">
        <f aca="false">IF(ANS93&gt;0,(ANS93-ARF93)/ANS93,0)</f>
        <v>0</v>
      </c>
      <c r="ET94" s="20" t="n">
        <f aca="false">IF(ANT93&gt;0,(ANT93-ARG93)/ANT93,0)</f>
        <v>0</v>
      </c>
      <c r="EU94" s="20" t="n">
        <f aca="false">IF(ANU93&gt;0,(ANU93-ARH93)/ANU93,0)</f>
        <v>0</v>
      </c>
      <c r="EV94" s="20" t="n">
        <f aca="false">IF(ANV93&gt;0,(ANV93-ARI93)/ANV93,0)</f>
        <v>0</v>
      </c>
      <c r="EW94" s="20" t="n">
        <f aca="false">IF(ANW93&gt;0,(ANW93-ARJ93)/ANW93,0)</f>
        <v>0</v>
      </c>
      <c r="EX94" s="20" t="n">
        <f aca="false">IF(ANX93&gt;0,(ANX93-ARK93)/ANX93,0)</f>
        <v>0</v>
      </c>
      <c r="EY94" s="20" t="n">
        <f aca="false">IF(ANY93&gt;0,(ANY93-ARL93)/ANY93,0)</f>
        <v>0</v>
      </c>
      <c r="EZ94" s="20" t="n">
        <f aca="false">IF(ANZ93&gt;0,(ANZ93-ARM93)/ANZ93,0)</f>
        <v>0</v>
      </c>
      <c r="FA94" s="20" t="n">
        <f aca="false">IF((P94+S94)&gt;0,((P94+S94)-(P94+S94))/(P94+S94),0)</f>
        <v>0</v>
      </c>
      <c r="FB94" s="20" t="n">
        <v>0</v>
      </c>
      <c r="FC94" s="20" t="n">
        <v>0</v>
      </c>
      <c r="FD94" s="20" t="n">
        <v>0</v>
      </c>
      <c r="FE94" s="20" t="n">
        <f aca="false">IF(H_Direct=1,IF(AKR93&lt;=0,0,IF(BR94&lt;=0,AKR93,AKR93-G94*MAX(0,BR94*AKR93-(H94+I94)))),AKR93*(1-MAX(0,BR94)*H_Exit))</f>
        <v>0</v>
      </c>
      <c r="FF94" s="20" t="n">
        <f aca="false">IF(H_Direct=1,IF(AKS93&lt;=0,0,IF(BS94&lt;=0,AKS93,AKS93-G94*MAX(0,BS94*AKS93-(IR94+ME94)))),AKS93*(1-MAX(0,BS94)*H_Exit))</f>
        <v>0</v>
      </c>
      <c r="FG94" s="20" t="n">
        <f aca="false">IF(H_Direct=1,IF(AKT93&lt;=0,0,IF(BT94&lt;=0,AKT93,AKT93-G94*MAX(0,BT94*AKT93-(IS94+MF94)))),AKT93*(1-MAX(0,BT94)*H_Exit))</f>
        <v>0</v>
      </c>
      <c r="FH94" s="20" t="n">
        <f aca="false">IF(H_Direct=1,IF(AKU93&lt;=0,0,IF(BU94&lt;=0,AKU93,AKU93-G94*MAX(0,BU94*AKU93-(IT94+MG94)))),AKU93*(1-MAX(0,BU94)*H_Exit))</f>
        <v>0</v>
      </c>
      <c r="FI94" s="20" t="n">
        <f aca="false">IF(H_Direct=1,IF(AKV93&lt;=0,0,IF(BV94&lt;=0,AKV93,AKV93-G94*MAX(0,BV94*AKV93-(IU94+MH94)))),AKV93*(1-MAX(0,BV94)*H_Exit))</f>
        <v>0</v>
      </c>
      <c r="FJ94" s="20" t="n">
        <f aca="false">IF(H_Direct=1,IF(AKW93&lt;=0,0,IF(BW94&lt;=0,AKW93,AKW93-G94*MAX(0,BW94*AKW93-(IV94+MI94)))),AKW93*(1-MAX(0,BW94)*H_Exit))</f>
        <v>0</v>
      </c>
      <c r="FK94" s="20" t="n">
        <f aca="false">IF(H_Direct=1,IF(AKX93&lt;=0,0,IF(BX94&lt;=0,AKX93,AKX93-G94*MAX(0,BX94*AKX93-(IW94+MJ94)))),AKX93*(1-MAX(0,BX94)*H_Exit))</f>
        <v>0</v>
      </c>
      <c r="FL94" s="20" t="n">
        <f aca="false">IF(H_Direct=1,IF(AKY93&lt;=0,0,IF(BY94&lt;=0,AKY93,AKY93-G94*MAX(0,BY94*AKY93-(IX94+MK94)))),AKY93*(1-MAX(0,BY94)*H_Exit))</f>
        <v>0</v>
      </c>
      <c r="FM94" s="20" t="n">
        <f aca="false">IF(H_Direct=1,IF(AKZ93&lt;=0,0,IF(BZ94&lt;=0,AKZ93,AKZ93-G94*MAX(0,BZ94*AKZ93-(IY94+ML94)))),AKZ93*(1-MAX(0,BZ94)*H_Exit))</f>
        <v>0</v>
      </c>
      <c r="FN94" s="20" t="n">
        <f aca="false">IF(H_Direct=1,IF(ALA93&lt;=0,0,IF(CA94&lt;=0,ALA93,ALA93-G94*MAX(0,CA94*ALA93-(IZ94+MM94)))),ALA93*(1-MAX(0,CA94)*H_Exit))</f>
        <v>0</v>
      </c>
      <c r="FO94" s="20" t="n">
        <f aca="false">IF(H_Direct=1,IF(ALB93&lt;=0,0,IF(CB94&lt;=0,ALB93,ALB93-G94*MAX(0,CB94*ALB93-(JA94+MN94)))),ALB93*(1-MAX(0,CB94)*H_Exit))</f>
        <v>0</v>
      </c>
      <c r="FP94" s="20" t="n">
        <f aca="false">IF(H_Direct=1,IF(ALC93&lt;=0,0,IF(CC94&lt;=0,ALC93,ALC93-G94*MAX(0,CC94*ALC93-(JB94+MO94)))),ALC93*(1-MAX(0,CC94)*H_Exit))</f>
        <v>0</v>
      </c>
      <c r="FQ94" s="20" t="n">
        <f aca="false">IF(H_Direct=1,IF(ALD93&lt;=0,0,IF(CD94&lt;=0,ALD93,ALD93-G94*MAX(0,CD94*ALD93-(JC94+MP94)))),ALD93*(1-MAX(0,CD94)*H_Exit))</f>
        <v>0</v>
      </c>
      <c r="FR94" s="20" t="n">
        <f aca="false">IF(H_Direct=1,IF(ALE93&lt;=0,0,IF(CE94&lt;=0,ALE93,ALE93-G94*MAX(0,CE94*ALE93-(JD94+MQ94)))),ALE93*(1-MAX(0,CE94)*H_Exit))</f>
        <v>0</v>
      </c>
      <c r="FS94" s="20" t="n">
        <f aca="false">IF(H_Direct=1,IF(ALF93&lt;=0,0,IF(CF94&lt;=0,ALF93,ALF93-G94*MAX(0,CF94*ALF93-(JE94+MR94)))),ALF93*(1-MAX(0,CF94)*H_Exit))</f>
        <v>0</v>
      </c>
      <c r="FT94" s="20" t="n">
        <f aca="false">IF(H_Direct=1,IF(ALG93&lt;=0,0,IF(CG94&lt;=0,ALG93,ALG93-G94*MAX(0,CG94*ALG93-(JF94+MS94)))),ALG93*(1-MAX(0,CG94)*H_Exit))</f>
        <v>0</v>
      </c>
      <c r="FU94" s="20" t="n">
        <f aca="false">IF(H_Direct=1,IF(ALH93&lt;=0,0,IF(CH94&lt;=0,ALH93,ALH93-G94*MAX(0,CH94*ALH93-(JG94+MT94)))),ALH93*(1-MAX(0,CH94)*H_Exit))</f>
        <v>0</v>
      </c>
      <c r="FV94" s="20" t="n">
        <f aca="false">IF(H_Direct=1,IF(ALI93&lt;=0,0,IF(CI94&lt;=0,ALI93,ALI93-G94*MAX(0,CI94*ALI93-(JH94+MU94)))),ALI93*(1-MAX(0,CI94)*H_Exit))</f>
        <v>0</v>
      </c>
      <c r="FW94" s="20" t="n">
        <f aca="false">IF(H_Direct=1,IF(ALJ93&lt;=0,0,IF(CJ94&lt;=0,ALJ93,ALJ93-G94*MAX(0,CJ94*ALJ93-(JI94+MV94)))),ALJ93*(1-MAX(0,CJ94)*H_Exit))</f>
        <v>0</v>
      </c>
      <c r="FX94" s="20" t="n">
        <f aca="false">IF(H_Direct=1,IF(ALK93&lt;=0,0,IF(CK94&lt;=0,ALK93,ALK93-G94*MAX(0,CK94*ALK93-(JJ94+MW94)))),ALK93*(1-MAX(0,CK94)*H_Exit))</f>
        <v>0</v>
      </c>
      <c r="FY94" s="20" t="n">
        <f aca="false">IF(H_Direct=1,IF(ALL93&lt;=0,0,IF(CL94&lt;=0,ALL93,ALL93-G94*MAX(0,CL94*ALL93-(JK94+MX94)))),ALL93*(1-MAX(0,CL94)*H_Exit))</f>
        <v>0</v>
      </c>
      <c r="FZ94" s="20" t="n">
        <f aca="false">IF(H_Direct=1,IF(ALM93&lt;=0,0,IF(CM94&lt;=0,ALM93,ALM93-G94*MAX(0,CM94*ALM93-(JL94+MY94)))),ALM93*(1-MAX(0,CM94)*H_Exit))</f>
        <v>0</v>
      </c>
      <c r="GA94" s="20" t="n">
        <f aca="false">IF(H_Direct=1,IF(ALN93&lt;=0,0,IF(CN94&lt;=0,ALN93,ALN93-G94*MAX(0,CN94*ALN93-(JM94+MZ94)))),ALN93*(1-MAX(0,CN94)*H_Exit))</f>
        <v>0</v>
      </c>
      <c r="GB94" s="20" t="n">
        <f aca="false">IF(H_Direct=1,IF(ALO93&lt;=0,0,IF(CO94&lt;=0,ALO93,ALO93-G94*MAX(0,CO94*ALO93-(JN94+NA94)))),ALO93*(1-MAX(0,CO94)*H_Exit))</f>
        <v>0</v>
      </c>
      <c r="GC94" s="20" t="n">
        <f aca="false">IF(H_Direct=1,IF(ALP93&lt;=0,0,IF(CP94&lt;=0,ALP93,ALP93-G94*MAX(0,CP94*ALP93-(JO94+NB94)))),ALP93*(1-MAX(0,CP94)*H_Exit))</f>
        <v>0</v>
      </c>
      <c r="GD94" s="20" t="n">
        <f aca="false">IF(H_Direct=1,IF(ALQ93&lt;=0,0,IF(CQ94&lt;=0,ALQ93,ALQ93-G94*MAX(0,CQ94*ALQ93-(JP94+NC94)))),ALQ93*(1-MAX(0,CQ94)*H_Exit))</f>
        <v>0</v>
      </c>
      <c r="GE94" s="20" t="n">
        <f aca="false">IF(H_Direct=1,IF(ALR93&lt;=0,0,IF(CR94&lt;=0,ALR93,ALR93-G94*MAX(0,CR94*ALR93-(JQ94+ND94)))),ALR93*(1-MAX(0,CR94)*H_Exit))</f>
        <v>0</v>
      </c>
      <c r="GF94" s="20" t="n">
        <f aca="false">IF(H_Direct=1,IF(ALS93&lt;=0,0,IF(CS94&lt;=0,ALS93,ALS93-G94*MAX(0,CS94*ALS93-(JR94+NE94)))),ALS93*(1-MAX(0,CS94)*H_Exit))</f>
        <v>0</v>
      </c>
      <c r="GG94" s="20" t="n">
        <f aca="false">IF(H_Direct=1,IF(ALT93&lt;=0,0,IF(CT94&lt;=0,ALT93,ALT93-G94*MAX(0,CT94*ALT93-(JS94+NF94)))),ALT93*(1-MAX(0,CT94)*H_Exit))</f>
        <v>0</v>
      </c>
      <c r="GH94" s="20" t="n">
        <f aca="false">IF(H_Direct=1,IF(ALU93&lt;=0,0,IF(CU94&lt;=0,ALU93,ALU93-G94*MAX(0,CU94*ALU93-(JT94+NG94)))),ALU93*(1-MAX(0,CU94)*H_Exit))</f>
        <v>0</v>
      </c>
      <c r="GI94" s="20" t="n">
        <f aca="false">IF(H_Direct=1,IF(ALV93&lt;=0,0,IF(CV94&lt;=0,ALV93,ALV93-G94*MAX(0,CV94*ALV93-(JU94+NH94)))),ALV93*(1-MAX(0,CV94)*H_Exit))</f>
        <v>0</v>
      </c>
      <c r="GJ94" s="20" t="n">
        <f aca="false">IF(H_Direct=1,IF(ALW93&lt;=0,0,IF(CW94&lt;=0,ALW93,ALW93-G94*MAX(0,CW94*ALW93-(JV94+NI94)))),ALW93*(1-MAX(0,CW94)*H_Exit))</f>
        <v>0</v>
      </c>
      <c r="GK94" s="20" t="n">
        <f aca="false">IF(H_Direct=1,IF(ALX93&lt;=0,0,IF(CX94&lt;=0,ALX93,ALX93-G94*MAX(0,CX94*ALX93-(JW94+NJ94)))),ALX93*(1-MAX(0,CX94)*H_Exit))</f>
        <v>0</v>
      </c>
      <c r="GL94" s="20" t="n">
        <f aca="false">IF(H_Direct=1,IF(ALY93&lt;=0,0,IF(CY94&lt;=0,ALY93,ALY93-G94*MAX(0,CY94*ALY93-(JX94+NK94)))),ALY93*(1-MAX(0,CY94)*H_Exit))</f>
        <v>0</v>
      </c>
      <c r="GM94" s="20" t="n">
        <f aca="false">IF(H_Direct=1,IF(ALZ93&lt;=0,0,IF(CZ94&lt;=0,ALZ93,ALZ93-G94*MAX(0,CZ94*ALZ93-(JY94+NL94)))),ALZ93*(1-MAX(0,CZ94)*H_Exit))</f>
        <v>0</v>
      </c>
      <c r="GN94" s="20" t="n">
        <f aca="false">IF(H_Direct=1,IF(AMA93&lt;=0,0,IF(DA94&lt;=0,AMA93,AMA93-G94*MAX(0,DA94*AMA93-(JZ94+NM94)))),AMA93*(1-MAX(0,DA94)*H_Exit))</f>
        <v>0</v>
      </c>
      <c r="GO94" s="20" t="n">
        <f aca="false">IF(H_Direct=1,IF(AMB93&lt;=0,0,IF(DB94&lt;=0,AMB93,AMB93-G94*MAX(0,DB94*AMB93-(KA94+NN94)))),AMB93*(1-MAX(0,DB94)*H_Exit))</f>
        <v>0</v>
      </c>
      <c r="GP94" s="20" t="n">
        <f aca="false">IF(H_Direct=1,IF(AMC93&lt;=0,0,IF(DC94&lt;=0,AMC93,AMC93-G94*MAX(0,DC94*AMC93-(KB94+NO94)))),AMC93*(1-MAX(0,DC94)*H_Exit))</f>
        <v>0</v>
      </c>
      <c r="GQ94" s="20" t="n">
        <f aca="false">IF(H_Direct=1,IF(AMD93&lt;=0,0,IF(DD94&lt;=0,AMD93,AMD93-G94*MAX(0,DD94*AMD93-(KC94+NP94)))),AMD93*(1-MAX(0,DD94)*H_Exit))</f>
        <v>0</v>
      </c>
      <c r="GR94" s="20" t="n">
        <f aca="false">IF(H_Direct=1,IF(AME93&lt;=0,0,IF(DE94&lt;=0,AME93,AME93-G94*MAX(0,DE94*AME93-(KD94+NQ94)))),AME93*(1-MAX(0,DE94)*H_Exit))</f>
        <v>0</v>
      </c>
      <c r="GS94" s="20" t="n">
        <f aca="false">IF(H_Direct=1,IF(AMF93&lt;=0,0,IF(DF94&lt;=0,AMF93,AMF93-G94*MAX(0,DF94*AMF93-(KE94+NR94)))),AMF93*(1-MAX(0,DF94)*H_Exit))</f>
        <v>0</v>
      </c>
      <c r="GT94" s="20" t="n">
        <f aca="false">IF(H_Direct=1,IF(AMG93&lt;=0,0,IF(DG94&lt;=0,AMG93,AMG93-G94*MAX(0,DG94*AMG93-(KF94+NS94)))),AMG93*(1-MAX(0,DG94)*H_Exit))</f>
        <v>0</v>
      </c>
      <c r="GU94" s="20" t="n">
        <f aca="false">IF(H_Direct=1,IF(AMH93&lt;=0,0,IF(DH94&lt;=0,AMH93,AMH93-G94*MAX(0,DH94*AMH93-(KG94+NT94)))),AMH93*(1-MAX(0,DH94)*H_Exit))</f>
        <v>0</v>
      </c>
      <c r="GV94" s="20" t="n">
        <f aca="false">IF(H_Direct=1,IF(AMI93&lt;=0,0,IF(DI94&lt;=0,AMI93,AMI93-G94*MAX(0,DI94*AMI93-(KH94+NU94)))),AMI93*(1-MAX(0,DI94)*H_Exit))</f>
        <v>0</v>
      </c>
      <c r="GW94" s="20" t="n">
        <f aca="false">IF(H_Direct=1,IF(AMJ93&lt;=0,0,IF(DJ94&lt;=0,AMJ93,AMJ93-G94*MAX(0,DJ94*AMJ93-(KI94+NV94)))),AMJ93*(1-MAX(0,DJ94)*H_Exit))</f>
        <v>0</v>
      </c>
      <c r="GX94" s="20" t="n">
        <f aca="false">IF(H_Direct=1,IF(AMK93&lt;=0,0,IF(DK94&lt;=0,AMK93,AMK93-G94*MAX(0,DK94*AMK93-(KJ94+NW94)))),AMK93*(1-MAX(0,DK94)*H_Exit))</f>
        <v>0</v>
      </c>
      <c r="GY94" s="20" t="n">
        <f aca="false">IF(H_Direct=1,IF(AML93&lt;=0,0,IF(DL94&lt;=0,AML93,AML93-G94*MAX(0,DL94*AML93-(KK94+NX94)))),AML93*(1-MAX(0,DL94)*H_Exit))</f>
        <v>0</v>
      </c>
      <c r="GZ94" s="20" t="n">
        <f aca="false">IF(H_Direct=1,IF(AMM93&lt;=0,0,IF(DM94&lt;=0,AMM93,AMM93-G94*MAX(0,DM94*AMM93-(KL94+NY94)))),AMM93*(1-MAX(0,DM94)*H_Exit))</f>
        <v>0</v>
      </c>
      <c r="HA94" s="20" t="n">
        <f aca="false">IF(H_Direct=1,IF(AMN93&lt;=0,0,IF(DN94&lt;=0,AMN93,AMN93-G94*MAX(0,DN94*AMN93-(KM94+NZ94)))),AMN93*(1-MAX(0,DN94)*H_Exit))</f>
        <v>0</v>
      </c>
      <c r="HB94" s="20" t="n">
        <f aca="false">IF(H_Direct=1,IF(AMO93&lt;=0,0,IF(DO94&lt;=0,AMO93,AMO93-G94*MAX(0,DO94*AMO93-(KN94+OA94)))),AMO93*(1-MAX(0,DO94)*H_Exit))</f>
        <v>0</v>
      </c>
      <c r="HC94" s="20" t="n">
        <f aca="false">IF(H_Direct=1,IF(AMP93&lt;=0,0,IF(DP94&lt;=0,AMP93,AMP93-G94*MAX(0,DP94*AMP93-(KO94+OB94)))),AMP93*(1-MAX(0,DP94)*H_Exit))</f>
        <v>0</v>
      </c>
      <c r="HD94" s="20" t="n">
        <f aca="false">IF(H_Direct=1,IF(AMQ93&lt;=0,0,IF(DQ94&lt;=0,AMQ93,AMQ93-G94*MAX(0,DQ94*AMQ93-(KP94+OC94)))),AMQ93*(1-MAX(0,DQ94)*H_Exit))</f>
        <v>0</v>
      </c>
      <c r="HE94" s="20" t="n">
        <f aca="false">IF(H_Direct=1,IF(AMR93&lt;=0,0,IF(DR94&lt;=0,AMR93,AMR93-G94*MAX(0,DR94*AMR93-(KQ94+OD94)))),AMR93*(1-MAX(0,DR94)*H_Exit))</f>
        <v>0</v>
      </c>
      <c r="HF94" s="20" t="n">
        <f aca="false">IF(H_Direct=1,IF(AMS93&lt;=0,0,IF(DS94&lt;=0,AMS93,AMS93-G94*MAX(0,DS94*AMS93-(KR94+OE94)))),AMS93*(1-MAX(0,DS94)*H_Exit))</f>
        <v>0</v>
      </c>
      <c r="HG94" s="20" t="n">
        <f aca="false">IF(H_Direct=1,IF(AMT93&lt;=0,0,IF(DT94&lt;=0,AMT93,AMT93-G94*MAX(0,DT94*AMT93-(KS94+OF94)))),AMT93*(1-MAX(0,DT94)*H_Exit))</f>
        <v>0</v>
      </c>
      <c r="HH94" s="20" t="n">
        <f aca="false">IF(H_Direct=1,IF(AMU93&lt;=0,0,IF(DU94&lt;=0,AMU93,AMU93-G94*MAX(0,DU94*AMU93-(KT94+OG94)))),AMU93*(1-MAX(0,DU94)*H_Exit))</f>
        <v>0</v>
      </c>
      <c r="HI94" s="20" t="n">
        <f aca="false">IF(H_Direct=1,IF(AMV93&lt;=0,0,IF(DV94&lt;=0,AMV93,AMV93-G94*MAX(0,DV94*AMV93-(KU94+OH94)))),AMV93*(1-MAX(0,DV94)*H_Exit))</f>
        <v>0</v>
      </c>
      <c r="HJ94" s="20" t="n">
        <f aca="false">IF(H_Direct=1,IF(AMW93&lt;=0,0,IF(DW94&lt;=0,AMW93,AMW93-G94*MAX(0,DW94*AMW93-(KV94+OI94)))),AMW93*(1-MAX(0,DW94)*H_Exit))</f>
        <v>0</v>
      </c>
      <c r="HK94" s="20" t="n">
        <f aca="false">IF(H_Direct=1,IF(AMX93&lt;=0,0,IF(DX94&lt;=0,AMX93,AMX93-G94*MAX(0,DX94*AMX93-(KW94+OJ94)))),AMX93*(1-MAX(0,DX94)*H_Exit))</f>
        <v>0</v>
      </c>
      <c r="HL94" s="20" t="n">
        <f aca="false">IF(H_Direct=1,IF(AMY93&lt;=0,0,IF(DY94&lt;=0,AMY93,AMY93-G94*MAX(0,DY94*AMY93-(KX94+OK94)))),AMY93*(1-MAX(0,DY94)*H_Exit))</f>
        <v>0</v>
      </c>
      <c r="HM94" s="20" t="n">
        <f aca="false">IF(H_Direct=1,IF(AMZ93&lt;=0,0,IF(DZ94&lt;=0,AMZ93,AMZ93-G94*MAX(0,DZ94*AMZ93-(KY94+OL94)))),AMZ93*(1-MAX(0,DZ94)*H_Exit))</f>
        <v>0</v>
      </c>
      <c r="HN94" s="20" t="n">
        <f aca="false">IF(H_Direct=1,IF(ANA93&lt;=0,0,IF(EA94&lt;=0,ANA93,ANA93-G94*MAX(0,EA94*ANA93-(KZ94+OM94)))),ANA93*(1-MAX(0,EA94)*H_Exit))</f>
        <v>0</v>
      </c>
      <c r="HO94" s="20" t="n">
        <f aca="false">IF(H_Direct=1,IF(ANB93&lt;=0,0,IF(EB94&lt;=0,ANB93,ANB93-G94*MAX(0,EB94*ANB93-(LA94+ON94)))),ANB93*(1-MAX(0,EB94)*H_Exit))</f>
        <v>0</v>
      </c>
      <c r="HP94" s="20" t="n">
        <f aca="false">IF(H_Direct=1,IF(ANC93&lt;=0,0,IF(EC94&lt;=0,ANC93,ANC93-G94*MAX(0,EC94*ANC93-(LB94+OO94)))),ANC93*(1-MAX(0,EC94)*H_Exit))</f>
        <v>0</v>
      </c>
      <c r="HQ94" s="20" t="n">
        <f aca="false">IF(H_Direct=1,IF(AND93&lt;=0,0,IF(ED94&lt;=0,AND93,AND93-G94*MAX(0,ED94*AND93-(LC94+OP94)))),AND93*(1-MAX(0,ED94)*H_Exit))</f>
        <v>0</v>
      </c>
      <c r="HR94" s="20" t="n">
        <f aca="false">IF(H_Direct=1,IF(ANE93&lt;=0,0,IF(EE94&lt;=0,ANE93,ANE93-G94*MAX(0,EE94*ANE93-(LD94+OQ94)))),ANE93*(1-MAX(0,EE94)*H_Exit))</f>
        <v>0</v>
      </c>
      <c r="HS94" s="20" t="n">
        <f aca="false">IF(H_Direct=1,IF(ANF93&lt;=0,0,IF(EF94&lt;=0,ANF93,ANF93-G94*MAX(0,EF94*ANF93-(LE94+OR94)))),ANF93*(1-MAX(0,EF94)*H_Exit))</f>
        <v>0</v>
      </c>
      <c r="HT94" s="20" t="n">
        <f aca="false">IF(H_Direct=1,IF(ANG93&lt;=0,0,IF(EG94&lt;=0,ANG93,ANG93-G94*MAX(0,EG94*ANG93-(LF94+OS94)))),ANG93*(1-MAX(0,EG94)*H_Exit))</f>
        <v>0</v>
      </c>
      <c r="HU94" s="20" t="n">
        <f aca="false">IF(H_Direct=1,IF(ANH93&lt;=0,0,IF(EH94&lt;=0,ANH93,ANH93-G94*MAX(0,EH94*ANH93-(LG94+OT94)))),ANH93*(1-MAX(0,EH94)*H_Exit))</f>
        <v>0</v>
      </c>
      <c r="HV94" s="20" t="n">
        <f aca="false">IF(H_Direct=1,IF(ANI93&lt;=0,0,IF(EI94&lt;=0,ANI93,ANI93-G94*MAX(0,EI94*ANI93-(LH94+OU94)))),ANI93*(1-MAX(0,EI94)*H_Exit))</f>
        <v>0</v>
      </c>
      <c r="HW94" s="20" t="n">
        <f aca="false">IF(H_Direct=1,IF(ANJ93&lt;=0,0,IF(EJ94&lt;=0,ANJ93,ANJ93-G94*MAX(0,EJ94*ANJ93-(LI94+OV94)))),ANJ93*(1-MAX(0,EJ94)*H_Exit))</f>
        <v>0</v>
      </c>
      <c r="HX94" s="20" t="n">
        <f aca="false">IF(H_Direct=1,IF(ANK93&lt;=0,0,IF(EK94&lt;=0,ANK93,ANK93-G94*MAX(0,EK94*ANK93-(LJ94+OW94)))),ANK93*(1-MAX(0,EK94)*H_Exit))</f>
        <v>0</v>
      </c>
      <c r="HY94" s="20" t="n">
        <f aca="false">IF(H_Direct=1,IF(ANL93&lt;=0,0,IF(EL94&lt;=0,ANL93,ANL93-G94*MAX(0,EL94*ANL93-(LK94+OX94)))),ANL93*(1-MAX(0,EL94)*H_Exit))</f>
        <v>0</v>
      </c>
      <c r="HZ94" s="20" t="n">
        <f aca="false">IF(H_Direct=1,IF(ANM93&lt;=0,0,IF(EM94&lt;=0,ANM93,ANM93-G94*MAX(0,EM94*ANM93-(LL94+OY94)))),ANM93*(1-MAX(0,EM94)*H_Exit))</f>
        <v>0</v>
      </c>
      <c r="IA94" s="20" t="n">
        <f aca="false">IF(H_Direct=1,IF(ANN93&lt;=0,0,IF(EN94&lt;=0,ANN93,ANN93-G94*MAX(0,EN94*ANN93-(LM94+OZ94)))),ANN93*(1-MAX(0,EN94)*H_Exit))</f>
        <v>0</v>
      </c>
      <c r="IB94" s="20" t="n">
        <f aca="false">IF(H_Direct=1,IF(ANO93&lt;=0,0,IF(EO94&lt;=0,ANO93,ANO93-G94*MAX(0,EO94*ANO93-(LN94+PA94)))),ANO93*(1-MAX(0,EO94)*H_Exit))</f>
        <v>0</v>
      </c>
      <c r="IC94" s="20" t="n">
        <f aca="false">IF(H_Direct=1,IF(ANP93&lt;=0,0,IF(EP94&lt;=0,ANP93,ANP93-G94*MAX(0,EP94*ANP93-(LO94+PB94)))),ANP93*(1-MAX(0,EP94)*H_Exit))</f>
        <v>0</v>
      </c>
      <c r="ID94" s="20" t="n">
        <f aca="false">IF(H_Direct=1,IF(ANQ93&lt;=0,0,IF(EQ94&lt;=0,ANQ93,ANQ93-G94*MAX(0,EQ94*ANQ93-(LP94+PC94)))),ANQ93*(1-MAX(0,EQ94)*H_Exit))</f>
        <v>0</v>
      </c>
      <c r="IE94" s="20" t="n">
        <f aca="false">IF(H_Direct=1,IF(ANR93&lt;=0,0,IF(ER94&lt;=0,ANR93,ANR93-G94*MAX(0,ER94*ANR93-(LQ94+PD94)))),ANR93*(1-MAX(0,ER94)*H_Exit))</f>
        <v>0</v>
      </c>
      <c r="IF94" s="20" t="n">
        <f aca="false">IF(H_Direct=1,IF(ANS93&lt;=0,0,IF(ES94&lt;=0,ANS93,ANS93-G94*MAX(0,ES94*ANS93-(LR94+PE94)))),ANS93*(1-MAX(0,ES94)*H_Exit))</f>
        <v>0</v>
      </c>
      <c r="IG94" s="20" t="n">
        <f aca="false">IF(H_Direct=1,IF(ANT93&lt;=0,0,IF(ET94&lt;=0,ANT93,ANT93-G94*MAX(0,ET94*ANT93-(LS94+PF94)))),ANT93*(1-MAX(0,ET94)*H_Exit))</f>
        <v>0</v>
      </c>
      <c r="IH94" s="20" t="n">
        <f aca="false">IF(H_Direct=1,IF(ANU93&lt;=0,0,IF(EU94&lt;=0,ANU93,ANU93-G94*MAX(0,EU94*ANU93-(LT94+PG94)))),ANU93*(1-MAX(0,EU94)*H_Exit))</f>
        <v>0</v>
      </c>
      <c r="II94" s="20" t="n">
        <f aca="false">IF(H_Direct=1,IF(ANV93&lt;=0,0,IF(EV94&lt;=0,ANV93,ANV93-G94*MAX(0,EV94*ANV93-(LU94+PH94)))),ANV93*(1-MAX(0,EV94)*H_Exit))</f>
        <v>0</v>
      </c>
      <c r="IJ94" s="20" t="n">
        <f aca="false">IF(H_Direct=1,IF(ANW93&lt;=0,0,IF(EW94&lt;=0,ANW93,ANW93-G94*MAX(0,EW94*ANW93-(LV94+PI94)))),ANW93*(1-MAX(0,EW94)*H_Exit))</f>
        <v>0</v>
      </c>
      <c r="IK94" s="20" t="n">
        <f aca="false">IF(H_Direct=1,IF(ANX93&lt;=0,0,IF(EX94&lt;=0,ANX93,ANX93-G94*MAX(0,EX94*ANX93-(LW94+PJ94)))),ANX93*(1-MAX(0,EX94)*H_Exit))</f>
        <v>0</v>
      </c>
      <c r="IL94" s="20" t="n">
        <f aca="false">IF(H_Direct=1,IF(ANY93&lt;=0,0,IF(EY94&lt;=0,ANY93,ANY93-G94*MAX(0,EY94*ANY93-(LX94+PK94)))),ANY93*(1-MAX(0,EY94)*H_Exit))</f>
        <v>0</v>
      </c>
      <c r="IM94" s="20" t="n">
        <f aca="false">IF(H_Direct=1,IF(ANZ93&lt;=0,0,IF(EZ94&lt;=0,ANZ93,ANZ93-G94*MAX(0,EZ94*ANZ93-(LY94+PL94)))),ANZ93*(1-MAX(0,EZ94)*H_Exit))</f>
        <v>0</v>
      </c>
      <c r="IN94" s="20" t="n">
        <f aca="false">IF(H_Direct=1,IF((P94+S94)&lt;=0,0,IF(FA94&lt;=0,(P94+S94),(P94+S94)-G94*MAX(0,FA94*(P94+S94)-(LZ94+PM94)))),(P94+S94)*(1-MAX(0,FA94)*H_Exit))</f>
        <v>0</v>
      </c>
      <c r="IO94" s="20" t="n">
        <v>0</v>
      </c>
      <c r="IP94" s="20" t="n">
        <v>0</v>
      </c>
      <c r="IQ94" s="20" t="n">
        <v>0</v>
      </c>
      <c r="IR94" s="20" t="n">
        <f aca="false">IF(AND(H_Direct=1,BR94&gt;0),MAX(0,H94-(MIN(BR94*AKR93,H94+I94)-MIN(MIN(BR94*AKR93,H94+I94),I94))),H94)</f>
        <v>1270</v>
      </c>
      <c r="IS94" s="20" t="n">
        <f aca="false">IF(AND(H_Direct=1,BS94&gt;0),MAX(0,IR94-(MIN(BS94*AKS93,IR94+ME94)-MIN(MIN(BS94*AKS93,IR94+ME94),ME94))),IR94)</f>
        <v>1270</v>
      </c>
      <c r="IT94" s="20" t="n">
        <f aca="false">IF(AND(H_Direct=1,BT94&gt;0),MAX(0,IS94-(MIN(BT94*AKT93,IS94+MF94)-MIN(MIN(BT94*AKT93,IS94+MF94),MF94))),IS94)</f>
        <v>1270</v>
      </c>
      <c r="IU94" s="20" t="n">
        <f aca="false">IF(AND(H_Direct=1,BU94&gt;0),MAX(0,IT94-(MIN(BU94*AKU93,IT94+MG94)-MIN(MIN(BU94*AKU93,IT94+MG94),MG94))),IT94)</f>
        <v>1270</v>
      </c>
      <c r="IV94" s="20" t="n">
        <f aca="false">IF(AND(H_Direct=1,BV94&gt;0),MAX(0,IU94-(MIN(BV94*AKV93,IU94+MH94)-MIN(MIN(BV94*AKV93,IU94+MH94),MH94))),IU94)</f>
        <v>1270</v>
      </c>
      <c r="IW94" s="20" t="n">
        <f aca="false">IF(AND(H_Direct=1,BW94&gt;0),MAX(0,IV94-(MIN(BW94*AKW93,IV94+MI94)-MIN(MIN(BW94*AKW93,IV94+MI94),MI94))),IV94)</f>
        <v>1270</v>
      </c>
      <c r="IX94" s="20" t="n">
        <f aca="false">IF(AND(H_Direct=1,BX94&gt;0),MAX(0,IW94-(MIN(BX94*AKX93,IW94+MJ94)-MIN(MIN(BX94*AKX93,IW94+MJ94),MJ94))),IW94)</f>
        <v>1270</v>
      </c>
      <c r="IY94" s="20" t="n">
        <f aca="false">IF(AND(H_Direct=1,BY94&gt;0),MAX(0,IX94-(MIN(BY94*AKY93,IX94+MK94)-MIN(MIN(BY94*AKY93,IX94+MK94),MK94))),IX94)</f>
        <v>1270</v>
      </c>
      <c r="IZ94" s="20" t="n">
        <f aca="false">IF(AND(H_Direct=1,BZ94&gt;0),MAX(0,IY94-(MIN(BZ94*AKZ93,IY94+ML94)-MIN(MIN(BZ94*AKZ93,IY94+ML94),ML94))),IY94)</f>
        <v>1270</v>
      </c>
      <c r="JA94" s="20" t="n">
        <f aca="false">IF(AND(H_Direct=1,CA94&gt;0),MAX(0,IZ94-(MIN(CA94*ALA93,IZ94+MM94)-MIN(MIN(CA94*ALA93,IZ94+MM94),MM94))),IZ94)</f>
        <v>1270</v>
      </c>
      <c r="JB94" s="20" t="n">
        <f aca="false">IF(AND(H_Direct=1,CB94&gt;0),MAX(0,JA94-(MIN(CB94*ALB93,JA94+MN94)-MIN(MIN(CB94*ALB93,JA94+MN94),MN94))),JA94)</f>
        <v>1270</v>
      </c>
      <c r="JC94" s="20" t="n">
        <f aca="false">IF(AND(H_Direct=1,CC94&gt;0),MAX(0,JB94-(MIN(CC94*ALC93,JB94+MO94)-MIN(MIN(CC94*ALC93,JB94+MO94),MO94))),JB94)</f>
        <v>1270</v>
      </c>
      <c r="JD94" s="20" t="n">
        <f aca="false">IF(AND(H_Direct=1,CD94&gt;0),MAX(0,JC94-(MIN(CD94*ALD93,JC94+MP94)-MIN(MIN(CD94*ALD93,JC94+MP94),MP94))),JC94)</f>
        <v>1270</v>
      </c>
      <c r="JE94" s="20" t="n">
        <f aca="false">IF(AND(H_Direct=1,CE94&gt;0),MAX(0,JD94-(MIN(CE94*ALE93,JD94+MQ94)-MIN(MIN(CE94*ALE93,JD94+MQ94),MQ94))),JD94)</f>
        <v>1270</v>
      </c>
      <c r="JF94" s="20" t="n">
        <f aca="false">IF(AND(H_Direct=1,CF94&gt;0),MAX(0,JE94-(MIN(CF94*ALF93,JE94+MR94)-MIN(MIN(CF94*ALF93,JE94+MR94),MR94))),JE94)</f>
        <v>1270</v>
      </c>
      <c r="JG94" s="20" t="n">
        <f aca="false">IF(AND(H_Direct=1,CG94&gt;0),MAX(0,JF94-(MIN(CG94*ALG93,JF94+MS94)-MIN(MIN(CG94*ALG93,JF94+MS94),MS94))),JF94)</f>
        <v>1270</v>
      </c>
      <c r="JH94" s="20" t="n">
        <f aca="false">IF(AND(H_Direct=1,CH94&gt;0),MAX(0,JG94-(MIN(CH94*ALH93,JG94+MT94)-MIN(MIN(CH94*ALH93,JG94+MT94),MT94))),JG94)</f>
        <v>1270</v>
      </c>
      <c r="JI94" s="20" t="n">
        <f aca="false">IF(AND(H_Direct=1,CI94&gt;0),MAX(0,JH94-(MIN(CI94*ALI93,JH94+MU94)-MIN(MIN(CI94*ALI93,JH94+MU94),MU94))),JH94)</f>
        <v>1270</v>
      </c>
      <c r="JJ94" s="20" t="n">
        <f aca="false">IF(AND(H_Direct=1,CJ94&gt;0),MAX(0,JI94-(MIN(CJ94*ALJ93,JI94+MV94)-MIN(MIN(CJ94*ALJ93,JI94+MV94),MV94))),JI94)</f>
        <v>1270</v>
      </c>
      <c r="JK94" s="20" t="n">
        <f aca="false">IF(AND(H_Direct=1,CK94&gt;0),MAX(0,JJ94-(MIN(CK94*ALK93,JJ94+MW94)-MIN(MIN(CK94*ALK93,JJ94+MW94),MW94))),JJ94)</f>
        <v>1270</v>
      </c>
      <c r="JL94" s="20" t="n">
        <f aca="false">IF(AND(H_Direct=1,CL94&gt;0),MAX(0,JK94-(MIN(CL94*ALL93,JK94+MX94)-MIN(MIN(CL94*ALL93,JK94+MX94),MX94))),JK94)</f>
        <v>1270</v>
      </c>
      <c r="JM94" s="20" t="n">
        <f aca="false">IF(AND(H_Direct=1,CM94&gt;0),MAX(0,JL94-(MIN(CM94*ALM93,JL94+MY94)-MIN(MIN(CM94*ALM93,JL94+MY94),MY94))),JL94)</f>
        <v>1270</v>
      </c>
      <c r="JN94" s="20" t="n">
        <f aca="false">IF(AND(H_Direct=1,CN94&gt;0),MAX(0,JM94-(MIN(CN94*ALN93,JM94+MZ94)-MIN(MIN(CN94*ALN93,JM94+MZ94),MZ94))),JM94)</f>
        <v>1270</v>
      </c>
      <c r="JO94" s="20" t="n">
        <f aca="false">IF(AND(H_Direct=1,CO94&gt;0),MAX(0,JN94-(MIN(CO94*ALO93,JN94+NA94)-MIN(MIN(CO94*ALO93,JN94+NA94),NA94))),JN94)</f>
        <v>1270</v>
      </c>
      <c r="JP94" s="20" t="n">
        <f aca="false">IF(AND(H_Direct=1,CP94&gt;0),MAX(0,JO94-(MIN(CP94*ALP93,JO94+NB94)-MIN(MIN(CP94*ALP93,JO94+NB94),NB94))),JO94)</f>
        <v>1270</v>
      </c>
      <c r="JQ94" s="20" t="n">
        <f aca="false">IF(AND(H_Direct=1,CQ94&gt;0),MAX(0,JP94-(MIN(CQ94*ALQ93,JP94+NC94)-MIN(MIN(CQ94*ALQ93,JP94+NC94),NC94))),JP94)</f>
        <v>1270</v>
      </c>
      <c r="JR94" s="20" t="n">
        <f aca="false">IF(AND(H_Direct=1,CR94&gt;0),MAX(0,JQ94-(MIN(CR94*ALR93,JQ94+ND94)-MIN(MIN(CR94*ALR93,JQ94+ND94),ND94))),JQ94)</f>
        <v>1270</v>
      </c>
      <c r="JS94" s="20" t="n">
        <f aca="false">IF(AND(H_Direct=1,CS94&gt;0),MAX(0,JR94-(MIN(CS94*ALS93,JR94+NE94)-MIN(MIN(CS94*ALS93,JR94+NE94),NE94))),JR94)</f>
        <v>1270</v>
      </c>
      <c r="JT94" s="20" t="n">
        <f aca="false">IF(AND(H_Direct=1,CT94&gt;0),MAX(0,JS94-(MIN(CT94*ALT93,JS94+NF94)-MIN(MIN(CT94*ALT93,JS94+NF94),NF94))),JS94)</f>
        <v>1270</v>
      </c>
      <c r="JU94" s="20" t="n">
        <f aca="false">IF(AND(H_Direct=1,CU94&gt;0),MAX(0,JT94-(MIN(CU94*ALU93,JT94+NG94)-MIN(MIN(CU94*ALU93,JT94+NG94),NG94))),JT94)</f>
        <v>1270</v>
      </c>
      <c r="JV94" s="20" t="n">
        <f aca="false">IF(AND(H_Direct=1,CV94&gt;0),MAX(0,JU94-(MIN(CV94*ALV93,JU94+NH94)-MIN(MIN(CV94*ALV93,JU94+NH94),NH94))),JU94)</f>
        <v>1270</v>
      </c>
      <c r="JW94" s="20" t="n">
        <f aca="false">IF(AND(H_Direct=1,CW94&gt;0),MAX(0,JV94-(MIN(CW94*ALW93,JV94+NI94)-MIN(MIN(CW94*ALW93,JV94+NI94),NI94))),JV94)</f>
        <v>1270</v>
      </c>
      <c r="JX94" s="20" t="n">
        <f aca="false">IF(AND(H_Direct=1,CX94&gt;0),MAX(0,JW94-(MIN(CX94*ALX93,JW94+NJ94)-MIN(MIN(CX94*ALX93,JW94+NJ94),NJ94))),JW94)</f>
        <v>1270</v>
      </c>
      <c r="JY94" s="20" t="n">
        <f aca="false">IF(AND(H_Direct=1,CY94&gt;0),MAX(0,JX94-(MIN(CY94*ALY93,JX94+NK94)-MIN(MIN(CY94*ALY93,JX94+NK94),NK94))),JX94)</f>
        <v>1270</v>
      </c>
      <c r="JZ94" s="20" t="n">
        <f aca="false">IF(AND(H_Direct=1,CZ94&gt;0),MAX(0,JY94-(MIN(CZ94*ALZ93,JY94+NL94)-MIN(MIN(CZ94*ALZ93,JY94+NL94),NL94))),JY94)</f>
        <v>1270</v>
      </c>
      <c r="KA94" s="20" t="n">
        <f aca="false">IF(AND(H_Direct=1,DA94&gt;0),MAX(0,JZ94-(MIN(DA94*AMA93,JZ94+NM94)-MIN(MIN(DA94*AMA93,JZ94+NM94),NM94))),JZ94)</f>
        <v>1270</v>
      </c>
      <c r="KB94" s="20" t="n">
        <f aca="false">IF(AND(H_Direct=1,DB94&gt;0),MAX(0,KA94-(MIN(DB94*AMB93,KA94+NN94)-MIN(MIN(DB94*AMB93,KA94+NN94),NN94))),KA94)</f>
        <v>1270</v>
      </c>
      <c r="KC94" s="20" t="n">
        <f aca="false">IF(AND(H_Direct=1,DC94&gt;0),MAX(0,KB94-(MIN(DC94*AMC93,KB94+NO94)-MIN(MIN(DC94*AMC93,KB94+NO94),NO94))),KB94)</f>
        <v>1270</v>
      </c>
      <c r="KD94" s="20" t="n">
        <f aca="false">IF(AND(H_Direct=1,DD94&gt;0),MAX(0,KC94-(MIN(DD94*AMD93,KC94+NP94)-MIN(MIN(DD94*AMD93,KC94+NP94),NP94))),KC94)</f>
        <v>1270</v>
      </c>
      <c r="KE94" s="20" t="n">
        <f aca="false">IF(AND(H_Direct=1,DE94&gt;0),MAX(0,KD94-(MIN(DE94*AME93,KD94+NQ94)-MIN(MIN(DE94*AME93,KD94+NQ94),NQ94))),KD94)</f>
        <v>1270</v>
      </c>
      <c r="KF94" s="20" t="n">
        <f aca="false">IF(AND(H_Direct=1,DF94&gt;0),MAX(0,KE94-(MIN(DF94*AMF93,KE94+NR94)-MIN(MIN(DF94*AMF93,KE94+NR94),NR94))),KE94)</f>
        <v>1270</v>
      </c>
      <c r="KG94" s="20" t="n">
        <f aca="false">IF(AND(H_Direct=1,DG94&gt;0),MAX(0,KF94-(MIN(DG94*AMG93,KF94+NS94)-MIN(MIN(DG94*AMG93,KF94+NS94),NS94))),KF94)</f>
        <v>1270</v>
      </c>
      <c r="KH94" s="20" t="n">
        <f aca="false">IF(AND(H_Direct=1,DH94&gt;0),MAX(0,KG94-(MIN(DH94*AMH93,KG94+NT94)-MIN(MIN(DH94*AMH93,KG94+NT94),NT94))),KG94)</f>
        <v>1270</v>
      </c>
      <c r="KI94" s="20" t="n">
        <f aca="false">IF(AND(H_Direct=1,DI94&gt;0),MAX(0,KH94-(MIN(DI94*AMI93,KH94+NU94)-MIN(MIN(DI94*AMI93,KH94+NU94),NU94))),KH94)</f>
        <v>1270</v>
      </c>
      <c r="KJ94" s="20" t="n">
        <f aca="false">IF(AND(H_Direct=1,DJ94&gt;0),MAX(0,KI94-(MIN(DJ94*AMJ93,KI94+NV94)-MIN(MIN(DJ94*AMJ93,KI94+NV94),NV94))),KI94)</f>
        <v>1270</v>
      </c>
      <c r="KK94" s="20" t="n">
        <f aca="false">IF(AND(H_Direct=1,DK94&gt;0),MAX(0,KJ94-(MIN(DK94*AMK93,KJ94+NW94)-MIN(MIN(DK94*AMK93,KJ94+NW94),NW94))),KJ94)</f>
        <v>1270</v>
      </c>
      <c r="KL94" s="20" t="n">
        <f aca="false">IF(AND(H_Direct=1,DL94&gt;0),MAX(0,KK94-(MIN(DL94*AML93,KK94+NX94)-MIN(MIN(DL94*AML93,KK94+NX94),NX94))),KK94)</f>
        <v>1270</v>
      </c>
      <c r="KM94" s="20" t="n">
        <f aca="false">IF(AND(H_Direct=1,DM94&gt;0),MAX(0,KL94-(MIN(DM94*AMM93,KL94+NY94)-MIN(MIN(DM94*AMM93,KL94+NY94),NY94))),KL94)</f>
        <v>1270</v>
      </c>
      <c r="KN94" s="20" t="n">
        <f aca="false">IF(AND(H_Direct=1,DN94&gt;0),MAX(0,KM94-(MIN(DN94*AMN93,KM94+NZ94)-MIN(MIN(DN94*AMN93,KM94+NZ94),NZ94))),KM94)</f>
        <v>1270</v>
      </c>
      <c r="KO94" s="20" t="n">
        <f aca="false">IF(AND(H_Direct=1,DO94&gt;0),MAX(0,KN94-(MIN(DO94*AMO93,KN94+OA94)-MIN(MIN(DO94*AMO93,KN94+OA94),OA94))),KN94)</f>
        <v>1270</v>
      </c>
      <c r="KP94" s="20" t="n">
        <f aca="false">IF(AND(H_Direct=1,DP94&gt;0),MAX(0,KO94-(MIN(DP94*AMP93,KO94+OB94)-MIN(MIN(DP94*AMP93,KO94+OB94),OB94))),KO94)</f>
        <v>1270</v>
      </c>
      <c r="KQ94" s="20" t="n">
        <f aca="false">IF(AND(H_Direct=1,DQ94&gt;0),MAX(0,KP94-(MIN(DQ94*AMQ93,KP94+OC94)-MIN(MIN(DQ94*AMQ93,KP94+OC94),OC94))),KP94)</f>
        <v>1270</v>
      </c>
      <c r="KR94" s="20" t="n">
        <f aca="false">IF(AND(H_Direct=1,DR94&gt;0),MAX(0,KQ94-(MIN(DR94*AMR93,KQ94+OD94)-MIN(MIN(DR94*AMR93,KQ94+OD94),OD94))),KQ94)</f>
        <v>1270</v>
      </c>
      <c r="KS94" s="20" t="n">
        <f aca="false">IF(AND(H_Direct=1,DS94&gt;0),MAX(0,KR94-(MIN(DS94*AMS93,KR94+OE94)-MIN(MIN(DS94*AMS93,KR94+OE94),OE94))),KR94)</f>
        <v>1270</v>
      </c>
      <c r="KT94" s="20" t="n">
        <f aca="false">IF(AND(H_Direct=1,DT94&gt;0),MAX(0,KS94-(MIN(DT94*AMT93,KS94+OF94)-MIN(MIN(DT94*AMT93,KS94+OF94),OF94))),KS94)</f>
        <v>1270</v>
      </c>
      <c r="KU94" s="20" t="n">
        <f aca="false">IF(AND(H_Direct=1,DU94&gt;0),MAX(0,KT94-(MIN(DU94*AMU93,KT94+OG94)-MIN(MIN(DU94*AMU93,KT94+OG94),OG94))),KT94)</f>
        <v>1270</v>
      </c>
      <c r="KV94" s="20" t="n">
        <f aca="false">IF(AND(H_Direct=1,DV94&gt;0),MAX(0,KU94-(MIN(DV94*AMV93,KU94+OH94)-MIN(MIN(DV94*AMV93,KU94+OH94),OH94))),KU94)</f>
        <v>1270</v>
      </c>
      <c r="KW94" s="20" t="n">
        <f aca="false">IF(AND(H_Direct=1,DW94&gt;0),MAX(0,KV94-(MIN(DW94*AMW93,KV94+OI94)-MIN(MIN(DW94*AMW93,KV94+OI94),OI94))),KV94)</f>
        <v>1270</v>
      </c>
      <c r="KX94" s="20" t="n">
        <f aca="false">IF(AND(H_Direct=1,DX94&gt;0),MAX(0,KW94-(MIN(DX94*AMX93,KW94+OJ94)-MIN(MIN(DX94*AMX93,KW94+OJ94),OJ94))),KW94)</f>
        <v>1270</v>
      </c>
      <c r="KY94" s="20" t="n">
        <f aca="false">IF(AND(H_Direct=1,DY94&gt;0),MAX(0,KX94-(MIN(DY94*AMY93,KX94+OK94)-MIN(MIN(DY94*AMY93,KX94+OK94),OK94))),KX94)</f>
        <v>1270</v>
      </c>
      <c r="KZ94" s="20" t="n">
        <f aca="false">IF(AND(H_Direct=1,DZ94&gt;0),MAX(0,KY94-(MIN(DZ94*AMZ93,KY94+OL94)-MIN(MIN(DZ94*AMZ93,KY94+OL94),OL94))),KY94)</f>
        <v>1270</v>
      </c>
      <c r="LA94" s="20" t="n">
        <f aca="false">IF(AND(H_Direct=1,EA94&gt;0),MAX(0,KZ94-(MIN(EA94*ANA93,KZ94+OM94)-MIN(MIN(EA94*ANA93,KZ94+OM94),OM94))),KZ94)</f>
        <v>1270</v>
      </c>
      <c r="LB94" s="20" t="n">
        <f aca="false">IF(AND(H_Direct=1,EB94&gt;0),MAX(0,LA94-(MIN(EB94*ANB93,LA94+ON94)-MIN(MIN(EB94*ANB93,LA94+ON94),ON94))),LA94)</f>
        <v>1270</v>
      </c>
      <c r="LC94" s="20" t="n">
        <f aca="false">IF(AND(H_Direct=1,EC94&gt;0),MAX(0,LB94-(MIN(EC94*ANC93,LB94+OO94)-MIN(MIN(EC94*ANC93,LB94+OO94),OO94))),LB94)</f>
        <v>1270</v>
      </c>
      <c r="LD94" s="20" t="n">
        <f aca="false">IF(AND(H_Direct=1,ED94&gt;0),MAX(0,LC94-(MIN(ED94*AND93,LC94+OP94)-MIN(MIN(ED94*AND93,LC94+OP94),OP94))),LC94)</f>
        <v>1270</v>
      </c>
      <c r="LE94" s="20" t="n">
        <f aca="false">IF(AND(H_Direct=1,EE94&gt;0),MAX(0,LD94-(MIN(EE94*ANE93,LD94+OQ94)-MIN(MIN(EE94*ANE93,LD94+OQ94),OQ94))),LD94)</f>
        <v>1270</v>
      </c>
      <c r="LF94" s="20" t="n">
        <f aca="false">IF(AND(H_Direct=1,EF94&gt;0),MAX(0,LE94-(MIN(EF94*ANF93,LE94+OR94)-MIN(MIN(EF94*ANF93,LE94+OR94),OR94))),LE94)</f>
        <v>1270</v>
      </c>
      <c r="LG94" s="20" t="n">
        <f aca="false">IF(AND(H_Direct=1,EG94&gt;0),MAX(0,LF94-(MIN(EG94*ANG93,LF94+OS94)-MIN(MIN(EG94*ANG93,LF94+OS94),OS94))),LF94)</f>
        <v>1270</v>
      </c>
      <c r="LH94" s="20" t="n">
        <f aca="false">IF(AND(H_Direct=1,EH94&gt;0),MAX(0,LG94-(MIN(EH94*ANH93,LG94+OT94)-MIN(MIN(EH94*ANH93,LG94+OT94),OT94))),LG94)</f>
        <v>1270</v>
      </c>
      <c r="LI94" s="20" t="n">
        <f aca="false">IF(AND(H_Direct=1,EI94&gt;0),MAX(0,LH94-(MIN(EI94*ANI93,LH94+OU94)-MIN(MIN(EI94*ANI93,LH94+OU94),OU94))),LH94)</f>
        <v>1270</v>
      </c>
      <c r="LJ94" s="20" t="n">
        <f aca="false">IF(AND(H_Direct=1,EJ94&gt;0),MAX(0,LI94-(MIN(EJ94*ANJ93,LI94+OV94)-MIN(MIN(EJ94*ANJ93,LI94+OV94),OV94))),LI94)</f>
        <v>1270</v>
      </c>
      <c r="LK94" s="20" t="n">
        <f aca="false">IF(AND(H_Direct=1,EK94&gt;0),MAX(0,LJ94-(MIN(EK94*ANK93,LJ94+OW94)-MIN(MIN(EK94*ANK93,LJ94+OW94),OW94))),LJ94)</f>
        <v>1270</v>
      </c>
      <c r="LL94" s="20" t="n">
        <f aca="false">IF(AND(H_Direct=1,EL94&gt;0),MAX(0,LK94-(MIN(EL94*ANL93,LK94+OX94)-MIN(MIN(EL94*ANL93,LK94+OX94),OX94))),LK94)</f>
        <v>1270</v>
      </c>
      <c r="LM94" s="20" t="n">
        <f aca="false">IF(AND(H_Direct=1,EM94&gt;0),MAX(0,LL94-(MIN(EM94*ANM93,LL94+OY94)-MIN(MIN(EM94*ANM93,LL94+OY94),OY94))),LL94)</f>
        <v>1270</v>
      </c>
      <c r="LN94" s="20" t="n">
        <f aca="false">IF(AND(H_Direct=1,EN94&gt;0),MAX(0,LM94-(MIN(EN94*ANN93,LM94+OZ94)-MIN(MIN(EN94*ANN93,LM94+OZ94),OZ94))),LM94)</f>
        <v>1270</v>
      </c>
      <c r="LO94" s="20" t="n">
        <f aca="false">IF(AND(H_Direct=1,EO94&gt;0),MAX(0,LN94-(MIN(EO94*ANO93,LN94+PA94)-MIN(MIN(EO94*ANO93,LN94+PA94),PA94))),LN94)</f>
        <v>1270</v>
      </c>
      <c r="LP94" s="20" t="n">
        <f aca="false">IF(AND(H_Direct=1,EP94&gt;0),MAX(0,LO94-(MIN(EP94*ANP93,LO94+PB94)-MIN(MIN(EP94*ANP93,LO94+PB94),PB94))),LO94)</f>
        <v>1270</v>
      </c>
      <c r="LQ94" s="20" t="n">
        <f aca="false">IF(AND(H_Direct=1,EQ94&gt;0),MAX(0,LP94-(MIN(EQ94*ANQ93,LP94+PC94)-MIN(MIN(EQ94*ANQ93,LP94+PC94),PC94))),LP94)</f>
        <v>1270</v>
      </c>
      <c r="LR94" s="20" t="n">
        <f aca="false">IF(AND(H_Direct=1,ER94&gt;0),MAX(0,LQ94-(MIN(ER94*ANR93,LQ94+PD94)-MIN(MIN(ER94*ANR93,LQ94+PD94),PD94))),LQ94)</f>
        <v>1270</v>
      </c>
      <c r="LS94" s="20" t="n">
        <f aca="false">IF(AND(H_Direct=1,ES94&gt;0),MAX(0,LR94-(MIN(ES94*ANS93,LR94+PE94)-MIN(MIN(ES94*ANS93,LR94+PE94),PE94))),LR94)</f>
        <v>1270</v>
      </c>
      <c r="LT94" s="20" t="n">
        <f aca="false">IF(AND(H_Direct=1,ET94&gt;0),MAX(0,LS94-(MIN(ET94*ANT93,LS94+PF94)-MIN(MIN(ET94*ANT93,LS94+PF94),PF94))),LS94)</f>
        <v>1270</v>
      </c>
      <c r="LU94" s="20" t="n">
        <f aca="false">IF(AND(H_Direct=1,EU94&gt;0),MAX(0,LT94-(MIN(EU94*ANU93,LT94+PG94)-MIN(MIN(EU94*ANU93,LT94+PG94),PG94))),LT94)</f>
        <v>1270</v>
      </c>
      <c r="LV94" s="20" t="n">
        <f aca="false">IF(AND(H_Direct=1,EV94&gt;0),MAX(0,LU94-(MIN(EV94*ANV93,LU94+PH94)-MIN(MIN(EV94*ANV93,LU94+PH94),PH94))),LU94)</f>
        <v>1270</v>
      </c>
      <c r="LW94" s="20" t="n">
        <f aca="false">IF(AND(H_Direct=1,EW94&gt;0),MAX(0,LV94-(MIN(EW94*ANW93,LV94+PI94)-MIN(MIN(EW94*ANW93,LV94+PI94),PI94))),LV94)</f>
        <v>1270</v>
      </c>
      <c r="LX94" s="20" t="n">
        <f aca="false">IF(AND(H_Direct=1,EX94&gt;0),MAX(0,LW94-(MIN(EX94*ANX93,LW94+PJ94)-MIN(MIN(EX94*ANX93,LW94+PJ94),PJ94))),LW94)</f>
        <v>1270</v>
      </c>
      <c r="LY94" s="20" t="n">
        <f aca="false">IF(AND(H_Direct=1,EY94&gt;0),MAX(0,LX94-(MIN(EY94*ANY93,LX94+PK94)-MIN(MIN(EY94*ANY93,LX94+PK94),PK94))),LX94)</f>
        <v>1270</v>
      </c>
      <c r="LZ94" s="20" t="n">
        <f aca="false">IF(AND(H_Direct=1,EZ94&gt;0),MAX(0,LY94-(MIN(EZ94*ANZ93,LY94+PL94)-MIN(MIN(EZ94*ANZ93,LY94+PL94),PL94))),LY94)</f>
        <v>1270</v>
      </c>
      <c r="MA94" s="20" t="n">
        <f aca="false">IF(AND(H_Direct=1,FA94&gt;0),MAX(0,LZ94-(MIN(FA94*(P94+S94),LZ94+PM94)-MIN(MIN(FA94*(P94+S94),LZ94+PM94),PM94))),LZ94)</f>
        <v>1270</v>
      </c>
      <c r="MB94" s="20" t="n">
        <f aca="false">MA94</f>
        <v>1270</v>
      </c>
      <c r="MC94" s="20" t="n">
        <f aca="false">MB94</f>
        <v>1270</v>
      </c>
      <c r="MD94" s="20" t="n">
        <f aca="false">MC94</f>
        <v>1270</v>
      </c>
      <c r="ME94" s="20" t="n">
        <f aca="false">IF(H_Direct=1,IF(BR94&lt;=0,I94-BR94*AKR93,I94-MIN(MIN(BR94*AKR93,H94+I94),I94)),I94)</f>
        <v>0</v>
      </c>
      <c r="MF94" s="20" t="n">
        <f aca="false">IF(H_Direct=1,IF(BS94&lt;=0,ME94-BS94*AKS93,ME94-MIN(MIN(BS94*AKS93,IR94+ME94),ME94)),ME94)</f>
        <v>0</v>
      </c>
      <c r="MG94" s="20" t="n">
        <f aca="false">IF(H_Direct=1,IF(BT94&lt;=0,MF94-BT94*AKT93,MF94-MIN(MIN(BT94*AKT93,IS94+MF94),MF94)),MF94)</f>
        <v>0</v>
      </c>
      <c r="MH94" s="20" t="n">
        <f aca="false">IF(H_Direct=1,IF(BU94&lt;=0,MG94-BU94*AKU93,MG94-MIN(MIN(BU94*AKU93,IT94+MG94),MG94)),MG94)</f>
        <v>0</v>
      </c>
      <c r="MI94" s="20" t="n">
        <f aca="false">IF(H_Direct=1,IF(BV94&lt;=0,MH94-BV94*AKV93,MH94-MIN(MIN(BV94*AKV93,IU94+MH94),MH94)),MH94)</f>
        <v>0</v>
      </c>
      <c r="MJ94" s="20" t="n">
        <f aca="false">IF(H_Direct=1,IF(BW94&lt;=0,MI94-BW94*AKW93,MI94-MIN(MIN(BW94*AKW93,IV94+MI94),MI94)),MI94)</f>
        <v>0</v>
      </c>
      <c r="MK94" s="20" t="n">
        <f aca="false">IF(H_Direct=1,IF(BX94&lt;=0,MJ94-BX94*AKX93,MJ94-MIN(MIN(BX94*AKX93,IW94+MJ94),MJ94)),MJ94)</f>
        <v>0</v>
      </c>
      <c r="ML94" s="20" t="n">
        <f aca="false">IF(H_Direct=1,IF(BY94&lt;=0,MK94-BY94*AKY93,MK94-MIN(MIN(BY94*AKY93,IX94+MK94),MK94)),MK94)</f>
        <v>0</v>
      </c>
      <c r="MM94" s="20" t="n">
        <f aca="false">IF(H_Direct=1,IF(BZ94&lt;=0,ML94-BZ94*AKZ93,ML94-MIN(MIN(BZ94*AKZ93,IY94+ML94),ML94)),ML94)</f>
        <v>0</v>
      </c>
      <c r="MN94" s="20" t="n">
        <f aca="false">IF(H_Direct=1,IF(CA94&lt;=0,MM94-CA94*ALA93,MM94-MIN(MIN(CA94*ALA93,IZ94+MM94),MM94)),MM94)</f>
        <v>0</v>
      </c>
      <c r="MO94" s="20" t="n">
        <f aca="false">IF(H_Direct=1,IF(CB94&lt;=0,MN94-CB94*ALB93,MN94-MIN(MIN(CB94*ALB93,JA94+MN94),MN94)),MN94)</f>
        <v>0</v>
      </c>
      <c r="MP94" s="20" t="n">
        <f aca="false">IF(H_Direct=1,IF(CC94&lt;=0,MO94-CC94*ALC93,MO94-MIN(MIN(CC94*ALC93,JB94+MO94),MO94)),MO94)</f>
        <v>0</v>
      </c>
      <c r="MQ94" s="20" t="n">
        <f aca="false">IF(H_Direct=1,IF(CD94&lt;=0,MP94-CD94*ALD93,MP94-MIN(MIN(CD94*ALD93,JC94+MP94),MP94)),MP94)</f>
        <v>0</v>
      </c>
      <c r="MR94" s="20" t="n">
        <f aca="false">IF(H_Direct=1,IF(CE94&lt;=0,MQ94-CE94*ALE93,MQ94-MIN(MIN(CE94*ALE93,JD94+MQ94),MQ94)),MQ94)</f>
        <v>0</v>
      </c>
      <c r="MS94" s="20" t="n">
        <f aca="false">IF(H_Direct=1,IF(CF94&lt;=0,MR94-CF94*ALF93,MR94-MIN(MIN(CF94*ALF93,JE94+MR94),MR94)),MR94)</f>
        <v>0</v>
      </c>
      <c r="MT94" s="20" t="n">
        <f aca="false">IF(H_Direct=1,IF(CG94&lt;=0,MS94-CG94*ALG93,MS94-MIN(MIN(CG94*ALG93,JF94+MS94),MS94)),MS94)</f>
        <v>0</v>
      </c>
      <c r="MU94" s="20" t="n">
        <f aca="false">IF(H_Direct=1,IF(CH94&lt;=0,MT94-CH94*ALH93,MT94-MIN(MIN(CH94*ALH93,JG94+MT94),MT94)),MT94)</f>
        <v>0</v>
      </c>
      <c r="MV94" s="20" t="n">
        <f aca="false">IF(H_Direct=1,IF(CI94&lt;=0,MU94-CI94*ALI93,MU94-MIN(MIN(CI94*ALI93,JH94+MU94),MU94)),MU94)</f>
        <v>0</v>
      </c>
      <c r="MW94" s="20" t="n">
        <f aca="false">IF(H_Direct=1,IF(CJ94&lt;=0,MV94-CJ94*ALJ93,MV94-MIN(MIN(CJ94*ALJ93,JI94+MV94),MV94)),MV94)</f>
        <v>0</v>
      </c>
      <c r="MX94" s="20" t="n">
        <f aca="false">IF(H_Direct=1,IF(CK94&lt;=0,MW94-CK94*ALK93,MW94-MIN(MIN(CK94*ALK93,JJ94+MW94),MW94)),MW94)</f>
        <v>0</v>
      </c>
      <c r="MY94" s="20" t="n">
        <f aca="false">IF(H_Direct=1,IF(CL94&lt;=0,MX94-CL94*ALL93,MX94-MIN(MIN(CL94*ALL93,JK94+MX94),MX94)),MX94)</f>
        <v>0</v>
      </c>
      <c r="MZ94" s="20" t="n">
        <f aca="false">IF(H_Direct=1,IF(CM94&lt;=0,MY94-CM94*ALM93,MY94-MIN(MIN(CM94*ALM93,JL94+MY94),MY94)),MY94)</f>
        <v>0</v>
      </c>
      <c r="NA94" s="20" t="n">
        <f aca="false">IF(H_Direct=1,IF(CN94&lt;=0,MZ94-CN94*ALN93,MZ94-MIN(MIN(CN94*ALN93,JM94+MZ94),MZ94)),MZ94)</f>
        <v>0</v>
      </c>
      <c r="NB94" s="20" t="n">
        <f aca="false">IF(H_Direct=1,IF(CO94&lt;=0,NA94-CO94*ALO93,NA94-MIN(MIN(CO94*ALO93,JN94+NA94),NA94)),NA94)</f>
        <v>0</v>
      </c>
      <c r="NC94" s="20" t="n">
        <f aca="false">IF(H_Direct=1,IF(CP94&lt;=0,NB94-CP94*ALP93,NB94-MIN(MIN(CP94*ALP93,JO94+NB94),NB94)),NB94)</f>
        <v>0</v>
      </c>
      <c r="ND94" s="20" t="n">
        <f aca="false">IF(H_Direct=1,IF(CQ94&lt;=0,NC94-CQ94*ALQ93,NC94-MIN(MIN(CQ94*ALQ93,JP94+NC94),NC94)),NC94)</f>
        <v>0</v>
      </c>
      <c r="NE94" s="20" t="n">
        <f aca="false">IF(H_Direct=1,IF(CR94&lt;=0,ND94-CR94*ALR93,ND94-MIN(MIN(CR94*ALR93,JQ94+ND94),ND94)),ND94)</f>
        <v>0</v>
      </c>
      <c r="NF94" s="20" t="n">
        <f aca="false">IF(H_Direct=1,IF(CS94&lt;=0,NE94-CS94*ALS93,NE94-MIN(MIN(CS94*ALS93,JR94+NE94),NE94)),NE94)</f>
        <v>0</v>
      </c>
      <c r="NG94" s="20" t="n">
        <f aca="false">IF(H_Direct=1,IF(CT94&lt;=0,NF94-CT94*ALT93,NF94-MIN(MIN(CT94*ALT93,JS94+NF94),NF94)),NF94)</f>
        <v>0</v>
      </c>
      <c r="NH94" s="20" t="n">
        <f aca="false">IF(H_Direct=1,IF(CU94&lt;=0,NG94-CU94*ALU93,NG94-MIN(MIN(CU94*ALU93,JT94+NG94),NG94)),NG94)</f>
        <v>0</v>
      </c>
      <c r="NI94" s="20" t="n">
        <f aca="false">IF(H_Direct=1,IF(CV94&lt;=0,NH94-CV94*ALV93,NH94-MIN(MIN(CV94*ALV93,JU94+NH94),NH94)),NH94)</f>
        <v>0</v>
      </c>
      <c r="NJ94" s="20" t="n">
        <f aca="false">IF(H_Direct=1,IF(CW94&lt;=0,NI94-CW94*ALW93,NI94-MIN(MIN(CW94*ALW93,JV94+NI94),NI94)),NI94)</f>
        <v>0</v>
      </c>
      <c r="NK94" s="20" t="n">
        <f aca="false">IF(H_Direct=1,IF(CX94&lt;=0,NJ94-CX94*ALX93,NJ94-MIN(MIN(CX94*ALX93,JW94+NJ94),NJ94)),NJ94)</f>
        <v>0</v>
      </c>
      <c r="NL94" s="20" t="n">
        <f aca="false">IF(H_Direct=1,IF(CY94&lt;=0,NK94-CY94*ALY93,NK94-MIN(MIN(CY94*ALY93,JX94+NK94),NK94)),NK94)</f>
        <v>0</v>
      </c>
      <c r="NM94" s="20" t="n">
        <f aca="false">IF(H_Direct=1,IF(CZ94&lt;=0,NL94-CZ94*ALZ93,NL94-MIN(MIN(CZ94*ALZ93,JY94+NL94),NL94)),NL94)</f>
        <v>0</v>
      </c>
      <c r="NN94" s="20" t="n">
        <f aca="false">IF(H_Direct=1,IF(DA94&lt;=0,NM94-DA94*AMA93,NM94-MIN(MIN(DA94*AMA93,JZ94+NM94),NM94)),NM94)</f>
        <v>0</v>
      </c>
      <c r="NO94" s="20" t="n">
        <f aca="false">IF(H_Direct=1,IF(DB94&lt;=0,NN94-DB94*AMB93,NN94-MIN(MIN(DB94*AMB93,KA94+NN94),NN94)),NN94)</f>
        <v>0</v>
      </c>
      <c r="NP94" s="20" t="n">
        <f aca="false">IF(H_Direct=1,IF(DC94&lt;=0,NO94-DC94*AMC93,NO94-MIN(MIN(DC94*AMC93,KB94+NO94),NO94)),NO94)</f>
        <v>0</v>
      </c>
      <c r="NQ94" s="20" t="n">
        <f aca="false">IF(H_Direct=1,IF(DD94&lt;=0,NP94-DD94*AMD93,NP94-MIN(MIN(DD94*AMD93,KC94+NP94),NP94)),NP94)</f>
        <v>0</v>
      </c>
      <c r="NR94" s="20" t="n">
        <f aca="false">IF(H_Direct=1,IF(DE94&lt;=0,NQ94-DE94*AME93,NQ94-MIN(MIN(DE94*AME93,KD94+NQ94),NQ94)),NQ94)</f>
        <v>0</v>
      </c>
      <c r="NS94" s="20" t="n">
        <f aca="false">IF(H_Direct=1,IF(DF94&lt;=0,NR94-DF94*AMF93,NR94-MIN(MIN(DF94*AMF93,KE94+NR94),NR94)),NR94)</f>
        <v>0</v>
      </c>
      <c r="NT94" s="20" t="n">
        <f aca="false">IF(H_Direct=1,IF(DG94&lt;=0,NS94-DG94*AMG93,NS94-MIN(MIN(DG94*AMG93,KF94+NS94),NS94)),NS94)</f>
        <v>0</v>
      </c>
      <c r="NU94" s="20" t="n">
        <f aca="false">IF(H_Direct=1,IF(DH94&lt;=0,NT94-DH94*AMH93,NT94-MIN(MIN(DH94*AMH93,KG94+NT94),NT94)),NT94)</f>
        <v>0</v>
      </c>
      <c r="NV94" s="20" t="n">
        <f aca="false">IF(H_Direct=1,IF(DI94&lt;=0,NU94-DI94*AMI93,NU94-MIN(MIN(DI94*AMI93,KH94+NU94),NU94)),NU94)</f>
        <v>0</v>
      </c>
      <c r="NW94" s="20" t="n">
        <f aca="false">IF(H_Direct=1,IF(DJ94&lt;=0,NV94-DJ94*AMJ93,NV94-MIN(MIN(DJ94*AMJ93,KI94+NV94),NV94)),NV94)</f>
        <v>0</v>
      </c>
      <c r="NX94" s="20" t="n">
        <f aca="false">IF(H_Direct=1,IF(DK94&lt;=0,NW94-DK94*AMK93,NW94-MIN(MIN(DK94*AMK93,KJ94+NW94),NW94)),NW94)</f>
        <v>0</v>
      </c>
      <c r="NY94" s="20" t="n">
        <f aca="false">IF(H_Direct=1,IF(DL94&lt;=0,NX94-DL94*AML93,NX94-MIN(MIN(DL94*AML93,KK94+NX94),NX94)),NX94)</f>
        <v>0</v>
      </c>
      <c r="NZ94" s="20" t="n">
        <f aca="false">IF(H_Direct=1,IF(DM94&lt;=0,NY94-DM94*AMM93,NY94-MIN(MIN(DM94*AMM93,KL94+NY94),NY94)),NY94)</f>
        <v>0</v>
      </c>
      <c r="OA94" s="20" t="n">
        <f aca="false">IF(H_Direct=1,IF(DN94&lt;=0,NZ94-DN94*AMN93,NZ94-MIN(MIN(DN94*AMN93,KM94+NZ94),NZ94)),NZ94)</f>
        <v>0</v>
      </c>
      <c r="OB94" s="20" t="n">
        <f aca="false">IF(H_Direct=1,IF(DO94&lt;=0,OA94-DO94*AMO93,OA94-MIN(MIN(DO94*AMO93,KN94+OA94),OA94)),OA94)</f>
        <v>0</v>
      </c>
      <c r="OC94" s="20" t="n">
        <f aca="false">IF(H_Direct=1,IF(DP94&lt;=0,OB94-DP94*AMP93,OB94-MIN(MIN(DP94*AMP93,KO94+OB94),OB94)),OB94)</f>
        <v>0</v>
      </c>
      <c r="OD94" s="20" t="n">
        <f aca="false">IF(H_Direct=1,IF(DQ94&lt;=0,OC94-DQ94*AMQ93,OC94-MIN(MIN(DQ94*AMQ93,KP94+OC94),OC94)),OC94)</f>
        <v>0</v>
      </c>
      <c r="OE94" s="20" t="n">
        <f aca="false">IF(H_Direct=1,IF(DR94&lt;=0,OD94-DR94*AMR93,OD94-MIN(MIN(DR94*AMR93,KQ94+OD94),OD94)),OD94)</f>
        <v>0</v>
      </c>
      <c r="OF94" s="20" t="n">
        <f aca="false">IF(H_Direct=1,IF(DS94&lt;=0,OE94-DS94*AMS93,OE94-MIN(MIN(DS94*AMS93,KR94+OE94),OE94)),OE94)</f>
        <v>0</v>
      </c>
      <c r="OG94" s="20" t="n">
        <f aca="false">IF(H_Direct=1,IF(DT94&lt;=0,OF94-DT94*AMT93,OF94-MIN(MIN(DT94*AMT93,KS94+OF94),OF94)),OF94)</f>
        <v>0</v>
      </c>
      <c r="OH94" s="20" t="n">
        <f aca="false">IF(H_Direct=1,IF(DU94&lt;=0,OG94-DU94*AMU93,OG94-MIN(MIN(DU94*AMU93,KT94+OG94),OG94)),OG94)</f>
        <v>0</v>
      </c>
      <c r="OI94" s="20" t="n">
        <f aca="false">IF(H_Direct=1,IF(DV94&lt;=0,OH94-DV94*AMV93,OH94-MIN(MIN(DV94*AMV93,KU94+OH94),OH94)),OH94)</f>
        <v>0</v>
      </c>
      <c r="OJ94" s="20" t="n">
        <f aca="false">IF(H_Direct=1,IF(DW94&lt;=0,OI94-DW94*AMW93,OI94-MIN(MIN(DW94*AMW93,KV94+OI94),OI94)),OI94)</f>
        <v>0</v>
      </c>
      <c r="OK94" s="20" t="n">
        <f aca="false">IF(H_Direct=1,IF(DX94&lt;=0,OJ94-DX94*AMX93,OJ94-MIN(MIN(DX94*AMX93,KW94+OJ94),OJ94)),OJ94)</f>
        <v>0</v>
      </c>
      <c r="OL94" s="20" t="n">
        <f aca="false">IF(H_Direct=1,IF(DY94&lt;=0,OK94-DY94*AMY93,OK94-MIN(MIN(DY94*AMY93,KX94+OK94),OK94)),OK94)</f>
        <v>0</v>
      </c>
      <c r="OM94" s="20" t="n">
        <f aca="false">IF(H_Direct=1,IF(DZ94&lt;=0,OL94-DZ94*AMZ93,OL94-MIN(MIN(DZ94*AMZ93,KY94+OL94),OL94)),OL94)</f>
        <v>0</v>
      </c>
      <c r="ON94" s="20" t="n">
        <f aca="false">IF(H_Direct=1,IF(EA94&lt;=0,OM94-EA94*ANA93,OM94-MIN(MIN(EA94*ANA93,KZ94+OM94),OM94)),OM94)</f>
        <v>0</v>
      </c>
      <c r="OO94" s="20" t="n">
        <f aca="false">IF(H_Direct=1,IF(EB94&lt;=0,ON94-EB94*ANB93,ON94-MIN(MIN(EB94*ANB93,LA94+ON94),ON94)),ON94)</f>
        <v>0</v>
      </c>
      <c r="OP94" s="20" t="n">
        <f aca="false">IF(H_Direct=1,IF(EC94&lt;=0,OO94-EC94*ANC93,OO94-MIN(MIN(EC94*ANC93,LB94+OO94),OO94)),OO94)</f>
        <v>0</v>
      </c>
      <c r="OQ94" s="20" t="n">
        <f aca="false">IF(H_Direct=1,IF(ED94&lt;=0,OP94-ED94*AND93,OP94-MIN(MIN(ED94*AND93,LC94+OP94),OP94)),OP94)</f>
        <v>0</v>
      </c>
      <c r="OR94" s="20" t="n">
        <f aca="false">IF(H_Direct=1,IF(EE94&lt;=0,OQ94-EE94*ANE93,OQ94-MIN(MIN(EE94*ANE93,LD94+OQ94),OQ94)),OQ94)</f>
        <v>0</v>
      </c>
      <c r="OS94" s="20" t="n">
        <f aca="false">IF(H_Direct=1,IF(EF94&lt;=0,OR94-EF94*ANF93,OR94-MIN(MIN(EF94*ANF93,LE94+OR94),OR94)),OR94)</f>
        <v>0</v>
      </c>
      <c r="OT94" s="20" t="n">
        <f aca="false">IF(H_Direct=1,IF(EG94&lt;=0,OS94-EG94*ANG93,OS94-MIN(MIN(EG94*ANG93,LF94+OS94),OS94)),OS94)</f>
        <v>0</v>
      </c>
      <c r="OU94" s="20" t="n">
        <f aca="false">IF(H_Direct=1,IF(EH94&lt;=0,OT94-EH94*ANH93,OT94-MIN(MIN(EH94*ANH93,LG94+OT94),OT94)),OT94)</f>
        <v>0</v>
      </c>
      <c r="OV94" s="20" t="n">
        <f aca="false">IF(H_Direct=1,IF(EI94&lt;=0,OU94-EI94*ANI93,OU94-MIN(MIN(EI94*ANI93,LH94+OU94),OU94)),OU94)</f>
        <v>0</v>
      </c>
      <c r="OW94" s="20" t="n">
        <f aca="false">IF(H_Direct=1,IF(EJ94&lt;=0,OV94-EJ94*ANJ93,OV94-MIN(MIN(EJ94*ANJ93,LI94+OV94),OV94)),OV94)</f>
        <v>0</v>
      </c>
      <c r="OX94" s="20" t="n">
        <f aca="false">IF(H_Direct=1,IF(EK94&lt;=0,OW94-EK94*ANK93,OW94-MIN(MIN(EK94*ANK93,LJ94+OW94),OW94)),OW94)</f>
        <v>0</v>
      </c>
      <c r="OY94" s="20" t="n">
        <f aca="false">IF(H_Direct=1,IF(EL94&lt;=0,OX94-EL94*ANL93,OX94-MIN(MIN(EL94*ANL93,LK94+OX94),OX94)),OX94)</f>
        <v>0</v>
      </c>
      <c r="OZ94" s="20" t="n">
        <f aca="false">IF(H_Direct=1,IF(EM94&lt;=0,OY94-EM94*ANM93,OY94-MIN(MIN(EM94*ANM93,LL94+OY94),OY94)),OY94)</f>
        <v>0</v>
      </c>
      <c r="PA94" s="20" t="n">
        <f aca="false">IF(H_Direct=1,IF(EN94&lt;=0,OZ94-EN94*ANN93,OZ94-MIN(MIN(EN94*ANN93,LM94+OZ94),OZ94)),OZ94)</f>
        <v>0</v>
      </c>
      <c r="PB94" s="20" t="n">
        <f aca="false">IF(H_Direct=1,IF(EO94&lt;=0,PA94-EO94*ANO93,PA94-MIN(MIN(EO94*ANO93,LN94+PA94),PA94)),PA94)</f>
        <v>0</v>
      </c>
      <c r="PC94" s="20" t="n">
        <f aca="false">IF(H_Direct=1,IF(EP94&lt;=0,PB94-EP94*ANP93,PB94-MIN(MIN(EP94*ANP93,LO94+PB94),PB94)),PB94)</f>
        <v>0</v>
      </c>
      <c r="PD94" s="20" t="n">
        <f aca="false">IF(H_Direct=1,IF(EQ94&lt;=0,PC94-EQ94*ANQ93,PC94-MIN(MIN(EQ94*ANQ93,LP94+PC94),PC94)),PC94)</f>
        <v>0</v>
      </c>
      <c r="PE94" s="20" t="n">
        <f aca="false">IF(H_Direct=1,IF(ER94&lt;=0,PD94-ER94*ANR93,PD94-MIN(MIN(ER94*ANR93,LQ94+PD94),PD94)),PD94)</f>
        <v>0</v>
      </c>
      <c r="PF94" s="20" t="n">
        <f aca="false">IF(H_Direct=1,IF(ES94&lt;=0,PE94-ES94*ANS93,PE94-MIN(MIN(ES94*ANS93,LR94+PE94),PE94)),PE94)</f>
        <v>0</v>
      </c>
      <c r="PG94" s="20" t="n">
        <f aca="false">IF(H_Direct=1,IF(ET94&lt;=0,PF94-ET94*ANT93,PF94-MIN(MIN(ET94*ANT93,LS94+PF94),PF94)),PF94)</f>
        <v>0</v>
      </c>
      <c r="PH94" s="20" t="n">
        <f aca="false">IF(H_Direct=1,IF(EU94&lt;=0,PG94-EU94*ANU93,PG94-MIN(MIN(EU94*ANU93,LT94+PG94),PG94)),PG94)</f>
        <v>0</v>
      </c>
      <c r="PI94" s="20" t="n">
        <f aca="false">IF(H_Direct=1,IF(EV94&lt;=0,PH94-EV94*ANV93,PH94-MIN(MIN(EV94*ANV93,LU94+PH94),PH94)),PH94)</f>
        <v>0</v>
      </c>
      <c r="PJ94" s="20" t="n">
        <f aca="false">IF(H_Direct=1,IF(EW94&lt;=0,PI94-EW94*ANW93,PI94-MIN(MIN(EW94*ANW93,LV94+PI94),PI94)),PI94)</f>
        <v>0</v>
      </c>
      <c r="PK94" s="20" t="n">
        <f aca="false">IF(H_Direct=1,IF(EX94&lt;=0,PJ94-EX94*ANX93,PJ94-MIN(MIN(EX94*ANX93,LW94+PJ94),PJ94)),PJ94)</f>
        <v>0</v>
      </c>
      <c r="PL94" s="20" t="n">
        <f aca="false">IF(H_Direct=1,IF(EY94&lt;=0,PK94-EY94*ANY93,PK94-MIN(MIN(EY94*ANY93,LX94+PK94),PK94)),PK94)</f>
        <v>0</v>
      </c>
      <c r="PM94" s="20" t="n">
        <f aca="false">IF(H_Direct=1,IF(EZ94&lt;=0,PL94-EZ94*ANZ93,PL94-MIN(MIN(EZ94*ANZ93,LY94+PL94),PL94)),PL94)</f>
        <v>0</v>
      </c>
      <c r="PN94" s="20" t="n">
        <f aca="false">IF(H_Direct=1,IF(FA94&lt;=0,PM94-FA94*(P94+S94),PM94-MIN(MIN(FA94*(P94+S94),LZ94+PM94),PM94)),PM94)</f>
        <v>0</v>
      </c>
      <c r="PO94" s="20" t="n">
        <f aca="false">PN94</f>
        <v>0</v>
      </c>
      <c r="PP94" s="20" t="n">
        <f aca="false">PO94</f>
        <v>0</v>
      </c>
      <c r="PQ94" s="20" t="n">
        <f aca="false">PP94</f>
        <v>0</v>
      </c>
      <c r="PR94" s="20" t="n">
        <f aca="false">IF(H_Direct=1,IF(AKR93&lt;=0,0,IF(BR94&lt;=0,MIN(MAX(0,AB94),AKR93),MIN(MAX(0,AB94),AKR93-G94*MAX(0,BR94*AKR93-(H94+I94))))),MIN(FE94,MAX(0,AB94)))</f>
        <v>0</v>
      </c>
      <c r="PS94" s="20" t="n">
        <f aca="false">IF(H_Direct=1,IF(AKS93&lt;=0,0,IF(BS94&lt;=0,MIN(MAX(0,AB94-SUM(PR94:PR94)),AKS93),MIN(MAX(0,AB94-SUM(PR94:PR94)),AKS93-G94*MAX(0,BS94*AKS93-(WR94+AAE94))))),MIN(FF94,MAX(0,AB94-SUM(PR94:PR94))))</f>
        <v>0</v>
      </c>
      <c r="PT94" s="20" t="n">
        <f aca="false">IF(H_Direct=1,IF(AKT93&lt;=0,0,IF(BT94&lt;=0,MIN(MAX(0,AB94-SUM(PR94:PS94)),AKT93),MIN(MAX(0,AB94-SUM(PR94:PS94)),AKT93-G94*MAX(0,BT94*AKT93-(WS94+AAF94))))),MIN(FG94,MAX(0,AB94-SUM(PR94:PS94))))</f>
        <v>0</v>
      </c>
      <c r="PU94" s="20" t="n">
        <f aca="false">IF(H_Direct=1,IF(AKU93&lt;=0,0,IF(BU94&lt;=0,MIN(MAX(0,AB94-SUM(PR94:PT94)),AKU93),MIN(MAX(0,AB94-SUM(PR94:PT94)),AKU93-G94*MAX(0,BU94*AKU93-(WT94+AAG94))))),MIN(FH94,MAX(0,AB94-SUM(PR94:PT94))))</f>
        <v>0</v>
      </c>
      <c r="PV94" s="20" t="n">
        <f aca="false">IF(H_Direct=1,IF(AKV93&lt;=0,0,IF(BV94&lt;=0,MIN(MAX(0,AB94-SUM(PR94:PU94)),AKV93),MIN(MAX(0,AB94-SUM(PR94:PU94)),AKV93-G94*MAX(0,BV94*AKV93-(WU94+AAH94))))),MIN(FI94,MAX(0,AB94-SUM(PR94:PU94))))</f>
        <v>0</v>
      </c>
      <c r="PW94" s="20" t="n">
        <f aca="false">IF(H_Direct=1,IF(AKW93&lt;=0,0,IF(BW94&lt;=0,MIN(MAX(0,AB94-SUM(PR94:PV94)),AKW93),MIN(MAX(0,AB94-SUM(PR94:PV94)),AKW93-G94*MAX(0,BW94*AKW93-(WV94+AAI94))))),MIN(FJ94,MAX(0,AB94-SUM(PR94:PV94))))</f>
        <v>0</v>
      </c>
      <c r="PX94" s="20" t="n">
        <f aca="false">IF(H_Direct=1,IF(AKX93&lt;=0,0,IF(BX94&lt;=0,MIN(MAX(0,AB94-SUM(PR94:PW94)),AKX93),MIN(MAX(0,AB94-SUM(PR94:PW94)),AKX93-G94*MAX(0,BX94*AKX93-(WW94+AAJ94))))),MIN(FK94,MAX(0,AB94-SUM(PR94:PW94))))</f>
        <v>0</v>
      </c>
      <c r="PY94" s="20" t="n">
        <f aca="false">IF(H_Direct=1,IF(AKY93&lt;=0,0,IF(BY94&lt;=0,MIN(MAX(0,AB94-SUM(PR94:PX94)),AKY93),MIN(MAX(0,AB94-SUM(PR94:PX94)),AKY93-G94*MAX(0,BY94*AKY93-(WX94+AAK94))))),MIN(FL94,MAX(0,AB94-SUM(PR94:PX94))))</f>
        <v>0</v>
      </c>
      <c r="PZ94" s="20" t="n">
        <f aca="false">IF(H_Direct=1,IF(AKZ93&lt;=0,0,IF(BZ94&lt;=0,MIN(MAX(0,AB94-SUM(PR94:PY94)),AKZ93),MIN(MAX(0,AB94-SUM(PR94:PY94)),AKZ93-G94*MAX(0,BZ94*AKZ93-(WY94+AAL94))))),MIN(FM94,MAX(0,AB94-SUM(PR94:PY94))))</f>
        <v>0</v>
      </c>
      <c r="QA94" s="20" t="n">
        <f aca="false">IF(H_Direct=1,IF(ALA93&lt;=0,0,IF(CA94&lt;=0,MIN(MAX(0,AB94-SUM(PR94:PZ94)),ALA93),MIN(MAX(0,AB94-SUM(PR94:PZ94)),ALA93-G94*MAX(0,CA94*ALA93-(WZ94+AAM94))))),MIN(FN94,MAX(0,AB94-SUM(PR94:PZ94))))</f>
        <v>0</v>
      </c>
      <c r="QB94" s="20" t="n">
        <f aca="false">IF(H_Direct=1,IF(ALB93&lt;=0,0,IF(CB94&lt;=0,MIN(MAX(0,AB94-SUM(PR94:QA94)),ALB93),MIN(MAX(0,AB94-SUM(PR94:QA94)),ALB93-G94*MAX(0,CB94*ALB93-(XA94+AAN94))))),MIN(FO94,MAX(0,AB94-SUM(PR94:QA94))))</f>
        <v>0</v>
      </c>
      <c r="QC94" s="20" t="n">
        <f aca="false">IF(H_Direct=1,IF(ALC93&lt;=0,0,IF(CC94&lt;=0,MIN(MAX(0,AB94-SUM(PR94:QB94)),ALC93),MIN(MAX(0,AB94-SUM(PR94:QB94)),ALC93-G94*MAX(0,CC94*ALC93-(XB94+AAO94))))),MIN(FP94,MAX(0,AB94-SUM(PR94:QB94))))</f>
        <v>0</v>
      </c>
      <c r="QD94" s="20" t="n">
        <f aca="false">IF(H_Direct=1,IF(ALD93&lt;=0,0,IF(CD94&lt;=0,MIN(MAX(0,AB94-SUM(PR94:QC94)),ALD93),MIN(MAX(0,AB94-SUM(PR94:QC94)),ALD93-G94*MAX(0,CD94*ALD93-(XC94+AAP94))))),MIN(FQ94,MAX(0,AB94-SUM(PR94:QC94))))</f>
        <v>0</v>
      </c>
      <c r="QE94" s="20" t="n">
        <f aca="false">IF(H_Direct=1,IF(ALE93&lt;=0,0,IF(CE94&lt;=0,MIN(MAX(0,AB94-SUM(PR94:QD94)),ALE93),MIN(MAX(0,AB94-SUM(PR94:QD94)),ALE93-G94*MAX(0,CE94*ALE93-(XD94+AAQ94))))),MIN(FR94,MAX(0,AB94-SUM(PR94:QD94))))</f>
        <v>0</v>
      </c>
      <c r="QF94" s="20" t="n">
        <f aca="false">IF(H_Direct=1,IF(ALF93&lt;=0,0,IF(CF94&lt;=0,MIN(MAX(0,AB94-SUM(PR94:QE94)),ALF93),MIN(MAX(0,AB94-SUM(PR94:QE94)),ALF93-G94*MAX(0,CF94*ALF93-(XE94+AAR94))))),MIN(FS94,MAX(0,AB94-SUM(PR94:QE94))))</f>
        <v>0</v>
      </c>
      <c r="QG94" s="20" t="n">
        <f aca="false">IF(H_Direct=1,IF(ALG93&lt;=0,0,IF(CG94&lt;=0,MIN(MAX(0,AB94-SUM(PR94:QF94)),ALG93),MIN(MAX(0,AB94-SUM(PR94:QF94)),ALG93-G94*MAX(0,CG94*ALG93-(XF94+AAS94))))),MIN(FT94,MAX(0,AB94-SUM(PR94:QF94))))</f>
        <v>0</v>
      </c>
      <c r="QH94" s="20" t="n">
        <f aca="false">IF(H_Direct=1,IF(ALH93&lt;=0,0,IF(CH94&lt;=0,MIN(MAX(0,AB94-SUM(PR94:QG94)),ALH93),MIN(MAX(0,AB94-SUM(PR94:QG94)),ALH93-G94*MAX(0,CH94*ALH93-(XG94+AAT94))))),MIN(FU94,MAX(0,AB94-SUM(PR94:QG94))))</f>
        <v>0</v>
      </c>
      <c r="QI94" s="20" t="n">
        <f aca="false">IF(H_Direct=1,IF(ALI93&lt;=0,0,IF(CI94&lt;=0,MIN(MAX(0,AB94-SUM(PR94:QH94)),ALI93),MIN(MAX(0,AB94-SUM(PR94:QH94)),ALI93-G94*MAX(0,CI94*ALI93-(XH94+AAU94))))),MIN(FV94,MAX(0,AB94-SUM(PR94:QH94))))</f>
        <v>0</v>
      </c>
      <c r="QJ94" s="20" t="n">
        <f aca="false">IF(H_Direct=1,IF(ALJ93&lt;=0,0,IF(CJ94&lt;=0,MIN(MAX(0,AB94-SUM(PR94:QI94)),ALJ93),MIN(MAX(0,AB94-SUM(PR94:QI94)),ALJ93-G94*MAX(0,CJ94*ALJ93-(XI94+AAV94))))),MIN(FW94,MAX(0,AB94-SUM(PR94:QI94))))</f>
        <v>0</v>
      </c>
      <c r="QK94" s="20" t="n">
        <f aca="false">IF(H_Direct=1,IF(ALK93&lt;=0,0,IF(CK94&lt;=0,MIN(MAX(0,AB94-SUM(PR94:QJ94)),ALK93),MIN(MAX(0,AB94-SUM(PR94:QJ94)),ALK93-G94*MAX(0,CK94*ALK93-(XJ94+AAW94))))),MIN(FX94,MAX(0,AB94-SUM(PR94:QJ94))))</f>
        <v>0</v>
      </c>
      <c r="QL94" s="20" t="n">
        <f aca="false">IF(H_Direct=1,IF(ALL93&lt;=0,0,IF(CL94&lt;=0,MIN(MAX(0,AB94-SUM(PR94:QK94)),ALL93),MIN(MAX(0,AB94-SUM(PR94:QK94)),ALL93-G94*MAX(0,CL94*ALL93-(XK94+AAX94))))),MIN(FY94,MAX(0,AB94-SUM(PR94:QK94))))</f>
        <v>0</v>
      </c>
      <c r="QM94" s="20" t="n">
        <f aca="false">IF(H_Direct=1,IF(ALM93&lt;=0,0,IF(CM94&lt;=0,MIN(MAX(0,AB94-SUM(PR94:QL94)),ALM93),MIN(MAX(0,AB94-SUM(PR94:QL94)),ALM93-G94*MAX(0,CM94*ALM93-(XL94+AAY94))))),MIN(FZ94,MAX(0,AB94-SUM(PR94:QL94))))</f>
        <v>0</v>
      </c>
      <c r="QN94" s="20" t="n">
        <f aca="false">IF(H_Direct=1,IF(ALN93&lt;=0,0,IF(CN94&lt;=0,MIN(MAX(0,AB94-SUM(PR94:QM94)),ALN93),MIN(MAX(0,AB94-SUM(PR94:QM94)),ALN93-G94*MAX(0,CN94*ALN93-(XM94+AAZ94))))),MIN(GA94,MAX(0,AB94-SUM(PR94:QM94))))</f>
        <v>0</v>
      </c>
      <c r="QO94" s="20" t="n">
        <f aca="false">IF(H_Direct=1,IF(ALO93&lt;=0,0,IF(CO94&lt;=0,MIN(MAX(0,AB94-SUM(PR94:QN94)),ALO93),MIN(MAX(0,AB94-SUM(PR94:QN94)),ALO93-G94*MAX(0,CO94*ALO93-(XN94+ABA94))))),MIN(GB94,MAX(0,AB94-SUM(PR94:QN94))))</f>
        <v>0</v>
      </c>
      <c r="QP94" s="20" t="n">
        <f aca="false">IF(H_Direct=1,IF(ALP93&lt;=0,0,IF(CP94&lt;=0,MIN(MAX(0,AB94-SUM(PR94:QO94)),ALP93),MIN(MAX(0,AB94-SUM(PR94:QO94)),ALP93-G94*MAX(0,CP94*ALP93-(XO94+ABB94))))),MIN(GC94,MAX(0,AB94-SUM(PR94:QO94))))</f>
        <v>0</v>
      </c>
      <c r="QQ94" s="20" t="n">
        <f aca="false">IF(H_Direct=1,IF(ALQ93&lt;=0,0,IF(CQ94&lt;=0,MIN(MAX(0,AB94-SUM(PR94:QP94)),ALQ93),MIN(MAX(0,AB94-SUM(PR94:QP94)),ALQ93-G94*MAX(0,CQ94*ALQ93-(XP94+ABC94))))),MIN(GD94,MAX(0,AB94-SUM(PR94:QP94))))</f>
        <v>0</v>
      </c>
      <c r="QR94" s="20" t="n">
        <f aca="false">IF(H_Direct=1,IF(ALR93&lt;=0,0,IF(CR94&lt;=0,MIN(MAX(0,AB94-SUM(PR94:QQ94)),ALR93),MIN(MAX(0,AB94-SUM(PR94:QQ94)),ALR93-G94*MAX(0,CR94*ALR93-(XQ94+ABD94))))),MIN(GE94,MAX(0,AB94-SUM(PR94:QQ94))))</f>
        <v>0</v>
      </c>
      <c r="QS94" s="20" t="n">
        <f aca="false">IF(H_Direct=1,IF(ALS93&lt;=0,0,IF(CS94&lt;=0,MIN(MAX(0,AB94-SUM(PR94:QR94)),ALS93),MIN(MAX(0,AB94-SUM(PR94:QR94)),ALS93-G94*MAX(0,CS94*ALS93-(XR94+ABE94))))),MIN(GF94,MAX(0,AB94-SUM(PR94:QR94))))</f>
        <v>0</v>
      </c>
      <c r="QT94" s="20" t="n">
        <f aca="false">IF(H_Direct=1,IF(ALT93&lt;=0,0,IF(CT94&lt;=0,MIN(MAX(0,AB94-SUM(PR94:QS94)),ALT93),MIN(MAX(0,AB94-SUM(PR94:QS94)),ALT93-G94*MAX(0,CT94*ALT93-(XS94+ABF94))))),MIN(GG94,MAX(0,AB94-SUM(PR94:QS94))))</f>
        <v>0</v>
      </c>
      <c r="QU94" s="20" t="n">
        <f aca="false">IF(H_Direct=1,IF(ALU93&lt;=0,0,IF(CU94&lt;=0,MIN(MAX(0,AB94-SUM(PR94:QT94)),ALU93),MIN(MAX(0,AB94-SUM(PR94:QT94)),ALU93-G94*MAX(0,CU94*ALU93-(XT94+ABG94))))),MIN(GH94,MAX(0,AB94-SUM(PR94:QT94))))</f>
        <v>0</v>
      </c>
      <c r="QV94" s="20" t="n">
        <f aca="false">IF(H_Direct=1,IF(ALV93&lt;=0,0,IF(CV94&lt;=0,MIN(MAX(0,AB94-SUM(PR94:QU94)),ALV93),MIN(MAX(0,AB94-SUM(PR94:QU94)),ALV93-G94*MAX(0,CV94*ALV93-(XU94+ABH94))))),MIN(GI94,MAX(0,AB94-SUM(PR94:QU94))))</f>
        <v>0</v>
      </c>
      <c r="QW94" s="20" t="n">
        <f aca="false">IF(H_Direct=1,IF(ALW93&lt;=0,0,IF(CW94&lt;=0,MIN(MAX(0,AB94-SUM(PR94:QV94)),ALW93),MIN(MAX(0,AB94-SUM(PR94:QV94)),ALW93-G94*MAX(0,CW94*ALW93-(XV94+ABI94))))),MIN(GJ94,MAX(0,AB94-SUM(PR94:QV94))))</f>
        <v>0</v>
      </c>
      <c r="QX94" s="20" t="n">
        <f aca="false">IF(H_Direct=1,IF(ALX93&lt;=0,0,IF(CX94&lt;=0,MIN(MAX(0,AB94-SUM(PR94:QW94)),ALX93),MIN(MAX(0,AB94-SUM(PR94:QW94)),ALX93-G94*MAX(0,CX94*ALX93-(XW94+ABJ94))))),MIN(GK94,MAX(0,AB94-SUM(PR94:QW94))))</f>
        <v>0</v>
      </c>
      <c r="QY94" s="20" t="n">
        <f aca="false">IF(H_Direct=1,IF(ALY93&lt;=0,0,IF(CY94&lt;=0,MIN(MAX(0,AB94-SUM(PR94:QX94)),ALY93),MIN(MAX(0,AB94-SUM(PR94:QX94)),ALY93-G94*MAX(0,CY94*ALY93-(XX94+ABK94))))),MIN(GL94,MAX(0,AB94-SUM(PR94:QX94))))</f>
        <v>0</v>
      </c>
      <c r="QZ94" s="20" t="n">
        <f aca="false">IF(H_Direct=1,IF(ALZ93&lt;=0,0,IF(CZ94&lt;=0,MIN(MAX(0,AB94-SUM(PR94:QY94)),ALZ93),MIN(MAX(0,AB94-SUM(PR94:QY94)),ALZ93-G94*MAX(0,CZ94*ALZ93-(XY94+ABL94))))),MIN(GM94,MAX(0,AB94-SUM(PR94:QY94))))</f>
        <v>0</v>
      </c>
      <c r="RA94" s="20" t="n">
        <f aca="false">IF(H_Direct=1,IF(AMA93&lt;=0,0,IF(DA94&lt;=0,MIN(MAX(0,AB94-SUM(PR94:QZ94)),AMA93),MIN(MAX(0,AB94-SUM(PR94:QZ94)),AMA93-G94*MAX(0,DA94*AMA93-(XZ94+ABM94))))),MIN(GN94,MAX(0,AB94-SUM(PR94:QZ94))))</f>
        <v>0</v>
      </c>
      <c r="RB94" s="20" t="n">
        <f aca="false">IF(H_Direct=1,IF(AMB93&lt;=0,0,IF(DB94&lt;=0,MIN(MAX(0,AB94-SUM(PR94:RA94)),AMB93),MIN(MAX(0,AB94-SUM(PR94:RA94)),AMB93-G94*MAX(0,DB94*AMB93-(YA94+ABN94))))),MIN(GO94,MAX(0,AB94-SUM(PR94:RA94))))</f>
        <v>0</v>
      </c>
      <c r="RC94" s="20" t="n">
        <f aca="false">IF(H_Direct=1,IF(AMC93&lt;=0,0,IF(DC94&lt;=0,MIN(MAX(0,AB94-SUM(PR94:RB94)),AMC93),MIN(MAX(0,AB94-SUM(PR94:RB94)),AMC93-G94*MAX(0,DC94*AMC93-(YB94+ABO94))))),MIN(GP94,MAX(0,AB94-SUM(PR94:RB94))))</f>
        <v>0</v>
      </c>
      <c r="RD94" s="20" t="n">
        <f aca="false">IF(H_Direct=1,IF(AMD93&lt;=0,0,IF(DD94&lt;=0,MIN(MAX(0,AB94-SUM(PR94:RC94)),AMD93),MIN(MAX(0,AB94-SUM(PR94:RC94)),AMD93-G94*MAX(0,DD94*AMD93-(YC94+ABP94))))),MIN(GQ94,MAX(0,AB94-SUM(PR94:RC94))))</f>
        <v>0</v>
      </c>
      <c r="RE94" s="20" t="n">
        <f aca="false">IF(H_Direct=1,IF(AME93&lt;=0,0,IF(DE94&lt;=0,MIN(MAX(0,AB94-SUM(PR94:RD94)),AME93),MIN(MAX(0,AB94-SUM(PR94:RD94)),AME93-G94*MAX(0,DE94*AME93-(YD94+ABQ94))))),MIN(GR94,MAX(0,AB94-SUM(PR94:RD94))))</f>
        <v>0</v>
      </c>
      <c r="RF94" s="20" t="n">
        <f aca="false">IF(H_Direct=1,IF(AMF93&lt;=0,0,IF(DF94&lt;=0,MIN(MAX(0,AB94-SUM(PR94:RE94)),AMF93),MIN(MAX(0,AB94-SUM(PR94:RE94)),AMF93-G94*MAX(0,DF94*AMF93-(YE94+ABR94))))),MIN(GS94,MAX(0,AB94-SUM(PR94:RE94))))</f>
        <v>0</v>
      </c>
      <c r="RG94" s="20" t="n">
        <f aca="false">IF(H_Direct=1,IF(AMG93&lt;=0,0,IF(DG94&lt;=0,MIN(MAX(0,AB94-SUM(PR94:RF94)),AMG93),MIN(MAX(0,AB94-SUM(PR94:RF94)),AMG93-G94*MAX(0,DG94*AMG93-(YF94+ABS94))))),MIN(GT94,MAX(0,AB94-SUM(PR94:RF94))))</f>
        <v>0</v>
      </c>
      <c r="RH94" s="20" t="n">
        <f aca="false">IF(H_Direct=1,IF(AMH93&lt;=0,0,IF(DH94&lt;=0,MIN(MAX(0,AB94-SUM(PR94:RG94)),AMH93),MIN(MAX(0,AB94-SUM(PR94:RG94)),AMH93-G94*MAX(0,DH94*AMH93-(YG94+ABT94))))),MIN(GU94,MAX(0,AB94-SUM(PR94:RG94))))</f>
        <v>0</v>
      </c>
      <c r="RI94" s="20" t="n">
        <f aca="false">IF(H_Direct=1,IF(AMI93&lt;=0,0,IF(DI94&lt;=0,MIN(MAX(0,AB94-SUM(PR94:RH94)),AMI93),MIN(MAX(0,AB94-SUM(PR94:RH94)),AMI93-G94*MAX(0,DI94*AMI93-(YH94+ABU94))))),MIN(GV94,MAX(0,AB94-SUM(PR94:RH94))))</f>
        <v>0</v>
      </c>
      <c r="RJ94" s="20" t="n">
        <f aca="false">IF(H_Direct=1,IF(AMJ93&lt;=0,0,IF(DJ94&lt;=0,MIN(MAX(0,AB94-SUM(PR94:RI94)),AMJ93),MIN(MAX(0,AB94-SUM(PR94:RI94)),AMJ93-G94*MAX(0,DJ94*AMJ93-(YI94+ABV94))))),MIN(GW94,MAX(0,AB94-SUM(PR94:RI94))))</f>
        <v>0</v>
      </c>
      <c r="RK94" s="20" t="n">
        <f aca="false">IF(H_Direct=1,IF(AMK93&lt;=0,0,IF(DK94&lt;=0,MIN(MAX(0,AB94-SUM(PR94:RJ94)),AMK93),MIN(MAX(0,AB94-SUM(PR94:RJ94)),AMK93-G94*MAX(0,DK94*AMK93-(YJ94+ABW94))))),MIN(GX94,MAX(0,AB94-SUM(PR94:RJ94))))</f>
        <v>0</v>
      </c>
      <c r="RL94" s="20" t="n">
        <f aca="false">IF(H_Direct=1,IF(AML93&lt;=0,0,IF(DL94&lt;=0,MIN(MAX(0,AB94-SUM(PR94:RK94)),AML93),MIN(MAX(0,AB94-SUM(PR94:RK94)),AML93-G94*MAX(0,DL94*AML93-(YK94+ABX94))))),MIN(GY94,MAX(0,AB94-SUM(PR94:RK94))))</f>
        <v>0</v>
      </c>
      <c r="RM94" s="20" t="n">
        <f aca="false">IF(H_Direct=1,IF(AMM93&lt;=0,0,IF(DM94&lt;=0,MIN(MAX(0,AB94-SUM(PR94:RL94)),AMM93),MIN(MAX(0,AB94-SUM(PR94:RL94)),AMM93-G94*MAX(0,DM94*AMM93-(YL94+ABY94))))),MIN(GZ94,MAX(0,AB94-SUM(PR94:RL94))))</f>
        <v>0</v>
      </c>
      <c r="RN94" s="20" t="n">
        <f aca="false">IF(H_Direct=1,IF(AMN93&lt;=0,0,IF(DN94&lt;=0,MIN(MAX(0,AB94-SUM(PR94:RM94)),AMN93),MIN(MAX(0,AB94-SUM(PR94:RM94)),AMN93-G94*MAX(0,DN94*AMN93-(YM94+ABZ94))))),MIN(HA94,MAX(0,AB94-SUM(PR94:RM94))))</f>
        <v>0</v>
      </c>
      <c r="RO94" s="20" t="n">
        <f aca="false">IF(H_Direct=1,IF(AMO93&lt;=0,0,IF(DO94&lt;=0,MIN(MAX(0,AB94-SUM(PR94:RN94)),AMO93),MIN(MAX(0,AB94-SUM(PR94:RN94)),AMO93-G94*MAX(0,DO94*AMO93-(YN94+ACA94))))),MIN(HB94,MAX(0,AB94-SUM(PR94:RN94))))</f>
        <v>0</v>
      </c>
      <c r="RP94" s="20" t="n">
        <f aca="false">IF(H_Direct=1,IF(AMP93&lt;=0,0,IF(DP94&lt;=0,MIN(MAX(0,AB94-SUM(PR94:RO94)),AMP93),MIN(MAX(0,AB94-SUM(PR94:RO94)),AMP93-G94*MAX(0,DP94*AMP93-(YO94+ACB94))))),MIN(HC94,MAX(0,AB94-SUM(PR94:RO94))))</f>
        <v>0</v>
      </c>
      <c r="RQ94" s="20" t="n">
        <f aca="false">IF(H_Direct=1,IF(AMQ93&lt;=0,0,IF(DQ94&lt;=0,MIN(MAX(0,AB94-SUM(PR94:RP94)),AMQ93),MIN(MAX(0,AB94-SUM(PR94:RP94)),AMQ93-G94*MAX(0,DQ94*AMQ93-(YP94+ACC94))))),MIN(HD94,MAX(0,AB94-SUM(PR94:RP94))))</f>
        <v>0</v>
      </c>
      <c r="RR94" s="20" t="n">
        <f aca="false">IF(H_Direct=1,IF(AMR93&lt;=0,0,IF(DR94&lt;=0,MIN(MAX(0,AB94-SUM(PR94:RQ94)),AMR93),MIN(MAX(0,AB94-SUM(PR94:RQ94)),AMR93-G94*MAX(0,DR94*AMR93-(YQ94+ACD94))))),MIN(HE94,MAX(0,AB94-SUM(PR94:RQ94))))</f>
        <v>0</v>
      </c>
      <c r="RS94" s="20" t="n">
        <f aca="false">IF(H_Direct=1,IF(AMS93&lt;=0,0,IF(DS94&lt;=0,MIN(MAX(0,AB94-SUM(PR94:RR94)),AMS93),MIN(MAX(0,AB94-SUM(PR94:RR94)),AMS93-G94*MAX(0,DS94*AMS93-(YR94+ACE94))))),MIN(HF94,MAX(0,AB94-SUM(PR94:RR94))))</f>
        <v>0</v>
      </c>
      <c r="RT94" s="20" t="n">
        <f aca="false">IF(H_Direct=1,IF(AMT93&lt;=0,0,IF(DT94&lt;=0,MIN(MAX(0,AB94-SUM(PR94:RS94)),AMT93),MIN(MAX(0,AB94-SUM(PR94:RS94)),AMT93-G94*MAX(0,DT94*AMT93-(YS94+ACF94))))),MIN(HG94,MAX(0,AB94-SUM(PR94:RS94))))</f>
        <v>0</v>
      </c>
      <c r="RU94" s="20" t="n">
        <f aca="false">IF(H_Direct=1,IF(AMU93&lt;=0,0,IF(DU94&lt;=0,MIN(MAX(0,AB94-SUM(PR94:RT94)),AMU93),MIN(MAX(0,AB94-SUM(PR94:RT94)),AMU93-G94*MAX(0,DU94*AMU93-(YT94+ACG94))))),MIN(HH94,MAX(0,AB94-SUM(PR94:RT94))))</f>
        <v>0</v>
      </c>
      <c r="RV94" s="20" t="n">
        <f aca="false">IF(H_Direct=1,IF(AMV93&lt;=0,0,IF(DV94&lt;=0,MIN(MAX(0,AB94-SUM(PR94:RU94)),AMV93),MIN(MAX(0,AB94-SUM(PR94:RU94)),AMV93-G94*MAX(0,DV94*AMV93-(YU94+ACH94))))),MIN(HI94,MAX(0,AB94-SUM(PR94:RU94))))</f>
        <v>0</v>
      </c>
      <c r="RW94" s="20" t="n">
        <f aca="false">IF(H_Direct=1,IF(AMW93&lt;=0,0,IF(DW94&lt;=0,MIN(MAX(0,AB94-SUM(PR94:RV94)),AMW93),MIN(MAX(0,AB94-SUM(PR94:RV94)),AMW93-G94*MAX(0,DW94*AMW93-(YV94+ACI94))))),MIN(HJ94,MAX(0,AB94-SUM(PR94:RV94))))</f>
        <v>0</v>
      </c>
      <c r="RX94" s="20" t="n">
        <f aca="false">IF(H_Direct=1,IF(AMX93&lt;=0,0,IF(DX94&lt;=0,MIN(MAX(0,AB94-SUM(PR94:RW94)),AMX93),MIN(MAX(0,AB94-SUM(PR94:RW94)),AMX93-G94*MAX(0,DX94*AMX93-(YW94+ACJ94))))),MIN(HK94,MAX(0,AB94-SUM(PR94:RW94))))</f>
        <v>0</v>
      </c>
      <c r="RY94" s="20" t="n">
        <f aca="false">IF(H_Direct=1,IF(AMY93&lt;=0,0,IF(DY94&lt;=0,MIN(MAX(0,AB94-SUM(PR94:RX94)),AMY93),MIN(MAX(0,AB94-SUM(PR94:RX94)),AMY93-G94*MAX(0,DY94*AMY93-(YX94+ACK94))))),MIN(HL94,MAX(0,AB94-SUM(PR94:RX94))))</f>
        <v>0</v>
      </c>
      <c r="RZ94" s="20" t="n">
        <f aca="false">IF(H_Direct=1,IF(AMZ93&lt;=0,0,IF(DZ94&lt;=0,MIN(MAX(0,AB94-SUM(PR94:RY94)),AMZ93),MIN(MAX(0,AB94-SUM(PR94:RY94)),AMZ93-G94*MAX(0,DZ94*AMZ93-(YY94+ACL94))))),MIN(HM94,MAX(0,AB94-SUM(PR94:RY94))))</f>
        <v>0</v>
      </c>
      <c r="SA94" s="20" t="n">
        <f aca="false">IF(H_Direct=1,IF(ANA93&lt;=0,0,IF(EA94&lt;=0,MIN(MAX(0,AB94-SUM(PR94:RZ94)),ANA93),MIN(MAX(0,AB94-SUM(PR94:RZ94)),ANA93-G94*MAX(0,EA94*ANA93-(YZ94+ACM94))))),MIN(HN94,MAX(0,AB94-SUM(PR94:RZ94))))</f>
        <v>0</v>
      </c>
      <c r="SB94" s="20" t="n">
        <f aca="false">IF(H_Direct=1,IF(ANB93&lt;=0,0,IF(EB94&lt;=0,MIN(MAX(0,AB94-SUM(PR94:SA94)),ANB93),MIN(MAX(0,AB94-SUM(PR94:SA94)),ANB93-G94*MAX(0,EB94*ANB93-(ZA94+ACN94))))),MIN(HO94,MAX(0,AB94-SUM(PR94:SA94))))</f>
        <v>0</v>
      </c>
      <c r="SC94" s="20" t="n">
        <f aca="false">IF(H_Direct=1,IF(ANC93&lt;=0,0,IF(EC94&lt;=0,MIN(MAX(0,AB94-SUM(PR94:SB94)),ANC93),MIN(MAX(0,AB94-SUM(PR94:SB94)),ANC93-G94*MAX(0,EC94*ANC93-(ZB94+ACO94))))),MIN(HP94,MAX(0,AB94-SUM(PR94:SB94))))</f>
        <v>0</v>
      </c>
      <c r="SD94" s="20" t="n">
        <f aca="false">IF(H_Direct=1,IF(AND93&lt;=0,0,IF(ED94&lt;=0,MIN(MAX(0,AB94-SUM(PR94:SC94)),AND93),MIN(MAX(0,AB94-SUM(PR94:SC94)),AND93-G94*MAX(0,ED94*AND93-(ZC94+ACP94))))),MIN(HQ94,MAX(0,AB94-SUM(PR94:SC94))))</f>
        <v>0</v>
      </c>
      <c r="SE94" s="20" t="n">
        <f aca="false">IF(H_Direct=1,IF(ANE93&lt;=0,0,IF(EE94&lt;=0,MIN(MAX(0,AB94-SUM(PR94:SD94)),ANE93),MIN(MAX(0,AB94-SUM(PR94:SD94)),ANE93-G94*MAX(0,EE94*ANE93-(ZD94+ACQ94))))),MIN(HR94,MAX(0,AB94-SUM(PR94:SD94))))</f>
        <v>0</v>
      </c>
      <c r="SF94" s="20" t="n">
        <f aca="false">IF(H_Direct=1,IF(ANF93&lt;=0,0,IF(EF94&lt;=0,MIN(MAX(0,AB94-SUM(PR94:SE94)),ANF93),MIN(MAX(0,AB94-SUM(PR94:SE94)),ANF93-G94*MAX(0,EF94*ANF93-(ZE94+ACR94))))),MIN(HS94,MAX(0,AB94-SUM(PR94:SE94))))</f>
        <v>0</v>
      </c>
      <c r="SG94" s="20" t="n">
        <f aca="false">IF(H_Direct=1,IF(ANG93&lt;=0,0,IF(EG94&lt;=0,MIN(MAX(0,AB94-SUM(PR94:SF94)),ANG93),MIN(MAX(0,AB94-SUM(PR94:SF94)),ANG93-G94*MAX(0,EG94*ANG93-(ZF94+ACS94))))),MIN(HT94,MAX(0,AB94-SUM(PR94:SF94))))</f>
        <v>0</v>
      </c>
      <c r="SH94" s="20" t="n">
        <f aca="false">IF(H_Direct=1,IF(ANH93&lt;=0,0,IF(EH94&lt;=0,MIN(MAX(0,AB94-SUM(PR94:SG94)),ANH93),MIN(MAX(0,AB94-SUM(PR94:SG94)),ANH93-G94*MAX(0,EH94*ANH93-(ZG94+ACT94))))),MIN(HU94,MAX(0,AB94-SUM(PR94:SG94))))</f>
        <v>0</v>
      </c>
      <c r="SI94" s="20" t="n">
        <f aca="false">IF(H_Direct=1,IF(ANI93&lt;=0,0,IF(EI94&lt;=0,MIN(MAX(0,AB94-SUM(PR94:SH94)),ANI93),MIN(MAX(0,AB94-SUM(PR94:SH94)),ANI93-G94*MAX(0,EI94*ANI93-(ZH94+ACU94))))),MIN(HV94,MAX(0,AB94-SUM(PR94:SH94))))</f>
        <v>0</v>
      </c>
      <c r="SJ94" s="20" t="n">
        <f aca="false">IF(H_Direct=1,IF(ANJ93&lt;=0,0,IF(EJ94&lt;=0,MIN(MAX(0,AB94-SUM(PR94:SI94)),ANJ93),MIN(MAX(0,AB94-SUM(PR94:SI94)),ANJ93-G94*MAX(0,EJ94*ANJ93-(ZI94+ACV94))))),MIN(HW94,MAX(0,AB94-SUM(PR94:SI94))))</f>
        <v>0</v>
      </c>
      <c r="SK94" s="20" t="n">
        <f aca="false">IF(H_Direct=1,IF(ANK93&lt;=0,0,IF(EK94&lt;=0,MIN(MAX(0,AB94-SUM(PR94:SJ94)),ANK93),MIN(MAX(0,AB94-SUM(PR94:SJ94)),ANK93-G94*MAX(0,EK94*ANK93-(ZJ94+ACW94))))),MIN(HX94,MAX(0,AB94-SUM(PR94:SJ94))))</f>
        <v>0</v>
      </c>
      <c r="SL94" s="20" t="n">
        <f aca="false">IF(H_Direct=1,IF(ANL93&lt;=0,0,IF(EL94&lt;=0,MIN(MAX(0,AB94-SUM(PR94:SK94)),ANL93),MIN(MAX(0,AB94-SUM(PR94:SK94)),ANL93-G94*MAX(0,EL94*ANL93-(ZK94+ACX94))))),MIN(HY94,MAX(0,AB94-SUM(PR94:SK94))))</f>
        <v>0</v>
      </c>
      <c r="SM94" s="20" t="n">
        <f aca="false">IF(H_Direct=1,IF(ANM93&lt;=0,0,IF(EM94&lt;=0,MIN(MAX(0,AB94-SUM(PR94:SL94)),ANM93),MIN(MAX(0,AB94-SUM(PR94:SL94)),ANM93-G94*MAX(0,EM94*ANM93-(ZL94+ACY94))))),MIN(HZ94,MAX(0,AB94-SUM(PR94:SL94))))</f>
        <v>0</v>
      </c>
      <c r="SN94" s="20" t="n">
        <f aca="false">IF(H_Direct=1,IF(ANN93&lt;=0,0,IF(EN94&lt;=0,MIN(MAX(0,AB94-SUM(PR94:SM94)),ANN93),MIN(MAX(0,AB94-SUM(PR94:SM94)),ANN93-G94*MAX(0,EN94*ANN93-(ZM94+ACZ94))))),MIN(IA94,MAX(0,AB94-SUM(PR94:SM94))))</f>
        <v>0</v>
      </c>
      <c r="SO94" s="20" t="n">
        <f aca="false">IF(H_Direct=1,IF(ANO93&lt;=0,0,IF(EO94&lt;=0,MIN(MAX(0,AB94-SUM(PR94:SN94)),ANO93),MIN(MAX(0,AB94-SUM(PR94:SN94)),ANO93-G94*MAX(0,EO94*ANO93-(ZN94+ADA94))))),MIN(IB94,MAX(0,AB94-SUM(PR94:SN94))))</f>
        <v>0</v>
      </c>
      <c r="SP94" s="20" t="n">
        <f aca="false">IF(H_Direct=1,IF(ANP93&lt;=0,0,IF(EP94&lt;=0,MIN(MAX(0,AB94-SUM(PR94:SO94)),ANP93),MIN(MAX(0,AB94-SUM(PR94:SO94)),ANP93-G94*MAX(0,EP94*ANP93-(ZO94+ADB94))))),MIN(IC94,MAX(0,AB94-SUM(PR94:SO94))))</f>
        <v>0</v>
      </c>
      <c r="SQ94" s="20" t="n">
        <f aca="false">IF(H_Direct=1,IF(ANQ93&lt;=0,0,IF(EQ94&lt;=0,MIN(MAX(0,AB94-SUM(PR94:SP94)),ANQ93),MIN(MAX(0,AB94-SUM(PR94:SP94)),ANQ93-G94*MAX(0,EQ94*ANQ93-(ZP94+ADC94))))),MIN(ID94,MAX(0,AB94-SUM(PR94:SP94))))</f>
        <v>0</v>
      </c>
      <c r="SR94" s="20" t="n">
        <f aca="false">IF(H_Direct=1,IF(ANR93&lt;=0,0,IF(ER94&lt;=0,MIN(MAX(0,AB94-SUM(PR94:SQ94)),ANR93),MIN(MAX(0,AB94-SUM(PR94:SQ94)),ANR93-G94*MAX(0,ER94*ANR93-(ZQ94+ADD94))))),MIN(IE94,MAX(0,AB94-SUM(PR94:SQ94))))</f>
        <v>0</v>
      </c>
      <c r="SS94" s="20" t="n">
        <f aca="false">IF(H_Direct=1,IF(ANS93&lt;=0,0,IF(ES94&lt;=0,MIN(MAX(0,AB94-SUM(PR94:SR94)),ANS93),MIN(MAX(0,AB94-SUM(PR94:SR94)),ANS93-G94*MAX(0,ES94*ANS93-(ZR94+ADE94))))),MIN(IF94,MAX(0,AB94-SUM(PR94:SR94))))</f>
        <v>0</v>
      </c>
      <c r="ST94" s="20" t="n">
        <f aca="false">IF(H_Direct=1,IF(ANT93&lt;=0,0,IF(ET94&lt;=0,MIN(MAX(0,AB94-SUM(PR94:SS94)),ANT93),MIN(MAX(0,AB94-SUM(PR94:SS94)),ANT93-G94*MAX(0,ET94*ANT93-(ZS94+ADF94))))),MIN(IG94,MAX(0,AB94-SUM(PR94:SS94))))</f>
        <v>0</v>
      </c>
      <c r="SU94" s="20" t="n">
        <f aca="false">IF(H_Direct=1,IF(ANU93&lt;=0,0,IF(EU94&lt;=0,MIN(MAX(0,AB94-SUM(PR94:ST94)),ANU93),MIN(MAX(0,AB94-SUM(PR94:ST94)),ANU93-G94*MAX(0,EU94*ANU93-(ZT94+ADG94))))),MIN(IH94,MAX(0,AB94-SUM(PR94:ST94))))</f>
        <v>0</v>
      </c>
      <c r="SV94" s="20" t="n">
        <f aca="false">IF(H_Direct=1,IF(ANV93&lt;=0,0,IF(EV94&lt;=0,MIN(MAX(0,AB94-SUM(PR94:SU94)),ANV93),MIN(MAX(0,AB94-SUM(PR94:SU94)),ANV93-G94*MAX(0,EV94*ANV93-(ZU94+ADH94))))),MIN(II94,MAX(0,AB94-SUM(PR94:SU94))))</f>
        <v>0</v>
      </c>
      <c r="SW94" s="20" t="n">
        <f aca="false">IF(H_Direct=1,IF(ANW93&lt;=0,0,IF(EW94&lt;=0,MIN(MAX(0,AB94-SUM(PR94:SV94)),ANW93),MIN(MAX(0,AB94-SUM(PR94:SV94)),ANW93-G94*MAX(0,EW94*ANW93-(ZV94+ADI94))))),MIN(IJ94,MAX(0,AB94-SUM(PR94:SV94))))</f>
        <v>0</v>
      </c>
      <c r="SX94" s="20" t="n">
        <f aca="false">IF(H_Direct=1,IF(ANX93&lt;=0,0,IF(EX94&lt;=0,MIN(MAX(0,AB94-SUM(PR94:SW94)),ANX93),MIN(MAX(0,AB94-SUM(PR94:SW94)),ANX93-G94*MAX(0,EX94*ANX93-(ZW94+ADJ94))))),MIN(IK94,MAX(0,AB94-SUM(PR94:SW94))))</f>
        <v>0</v>
      </c>
      <c r="SY94" s="20" t="n">
        <f aca="false">IF(H_Direct=1,IF(ANY93&lt;=0,0,IF(EY94&lt;=0,MIN(MAX(0,AB94-SUM(PR94:SX94)),ANY93),MIN(MAX(0,AB94-SUM(PR94:SX94)),ANY93-G94*MAX(0,EY94*ANY93-(ZX94+ADK94))))),MIN(IL94,MAX(0,AB94-SUM(PR94:SX94))))</f>
        <v>0</v>
      </c>
      <c r="SZ94" s="20" t="n">
        <f aca="false">IF(H_Direct=1,IF(ANZ93&lt;=0,0,IF(EZ94&lt;=0,MIN(MAX(0,AB94-SUM(PR94:SY94)),ANZ93),MIN(MAX(0,AB94-SUM(PR94:SY94)),ANZ93-G94*MAX(0,EZ94*ANZ93-(ZY94+ADL94))))),MIN(IM94,MAX(0,AB94-SUM(PR94:SY94))))</f>
        <v>0</v>
      </c>
      <c r="TA94" s="20" t="n">
        <f aca="false">IF(H_Direct=1,IF((P94+S94)&lt;=0,0,IF(FA94&lt;=0,MIN(MAX(0,AB94-SUM(PR94:SZ94)),(P94+S94)),MIN(MAX(0,AB94-SUM(PR94:SZ94)),(P94+S94)-G94*MAX(0,FA94*(P94+S94)-(ZZ94+ADM94))))),MIN(IN94,MAX(0,AB94-SUM(PR94:SZ94))))</f>
        <v>0</v>
      </c>
      <c r="TB94" s="20" t="n">
        <v>0</v>
      </c>
      <c r="TC94" s="20" t="n">
        <v>0</v>
      </c>
      <c r="TD94" s="20" t="n">
        <v>0</v>
      </c>
      <c r="TE94" s="20" t="n">
        <f aca="false">IF(AKR93&lt;=0,0,IF(H_Direct=1,IF(BR94&lt;=0,PR94,IF(PR94&lt;=(H94+I94)/BR94,PR94,(PR94-G94*(H94+I94))/(1-G94*BR94))),PR94/(1-MAX(0,BR94)*H_Exit)))</f>
        <v>0</v>
      </c>
      <c r="TF94" s="20" t="n">
        <f aca="false">IF(AKS93&lt;=0,0,IF(H_Direct=1,IF(BS94&lt;=0,PS94,IF(PS94&lt;=(WR94+AAE94)/BS94,PS94,(PS94-G94*(WR94+AAE94))/(1-G94*BS94))),PS94/(1-MAX(0,BS94)*H_Exit)))</f>
        <v>0</v>
      </c>
      <c r="TG94" s="20" t="n">
        <f aca="false">IF(AKT93&lt;=0,0,IF(H_Direct=1,IF(BT94&lt;=0,PT94,IF(PT94&lt;=(WS94+AAF94)/BT94,PT94,(PT94-G94*(WS94+AAF94))/(1-G94*BT94))),PT94/(1-MAX(0,BT94)*H_Exit)))</f>
        <v>0</v>
      </c>
      <c r="TH94" s="20" t="n">
        <f aca="false">IF(AKU93&lt;=0,0,IF(H_Direct=1,IF(BU94&lt;=0,PU94,IF(PU94&lt;=(WT94+AAG94)/BU94,PU94,(PU94-G94*(WT94+AAG94))/(1-G94*BU94))),PU94/(1-MAX(0,BU94)*H_Exit)))</f>
        <v>0</v>
      </c>
      <c r="TI94" s="20" t="n">
        <f aca="false">IF(AKV93&lt;=0,0,IF(H_Direct=1,IF(BV94&lt;=0,PV94,IF(PV94&lt;=(WU94+AAH94)/BV94,PV94,(PV94-G94*(WU94+AAH94))/(1-G94*BV94))),PV94/(1-MAX(0,BV94)*H_Exit)))</f>
        <v>0</v>
      </c>
      <c r="TJ94" s="20" t="n">
        <f aca="false">IF(AKW93&lt;=0,0,IF(H_Direct=1,IF(BW94&lt;=0,PW94,IF(PW94&lt;=(WV94+AAI94)/BW94,PW94,(PW94-G94*(WV94+AAI94))/(1-G94*BW94))),PW94/(1-MAX(0,BW94)*H_Exit)))</f>
        <v>0</v>
      </c>
      <c r="TK94" s="20" t="n">
        <f aca="false">IF(AKX93&lt;=0,0,IF(H_Direct=1,IF(BX94&lt;=0,PX94,IF(PX94&lt;=(WW94+AAJ94)/BX94,PX94,(PX94-G94*(WW94+AAJ94))/(1-G94*BX94))),PX94/(1-MAX(0,BX94)*H_Exit)))</f>
        <v>0</v>
      </c>
      <c r="TL94" s="20" t="n">
        <f aca="false">IF(AKY93&lt;=0,0,IF(H_Direct=1,IF(BY94&lt;=0,PY94,IF(PY94&lt;=(WX94+AAK94)/BY94,PY94,(PY94-G94*(WX94+AAK94))/(1-G94*BY94))),PY94/(1-MAX(0,BY94)*H_Exit)))</f>
        <v>0</v>
      </c>
      <c r="TM94" s="20" t="n">
        <f aca="false">IF(AKZ93&lt;=0,0,IF(H_Direct=1,IF(BZ94&lt;=0,PZ94,IF(PZ94&lt;=(WY94+AAL94)/BZ94,PZ94,(PZ94-G94*(WY94+AAL94))/(1-G94*BZ94))),PZ94/(1-MAX(0,BZ94)*H_Exit)))</f>
        <v>0</v>
      </c>
      <c r="TN94" s="20" t="n">
        <f aca="false">IF(ALA93&lt;=0,0,IF(H_Direct=1,IF(CA94&lt;=0,QA94,IF(QA94&lt;=(WZ94+AAM94)/CA94,QA94,(QA94-G94*(WZ94+AAM94))/(1-G94*CA94))),QA94/(1-MAX(0,CA94)*H_Exit)))</f>
        <v>0</v>
      </c>
      <c r="TO94" s="20" t="n">
        <f aca="false">IF(ALB93&lt;=0,0,IF(H_Direct=1,IF(CB94&lt;=0,QB94,IF(QB94&lt;=(XA94+AAN94)/CB94,QB94,(QB94-G94*(XA94+AAN94))/(1-G94*CB94))),QB94/(1-MAX(0,CB94)*H_Exit)))</f>
        <v>0</v>
      </c>
      <c r="TP94" s="20" t="n">
        <f aca="false">IF(ALC93&lt;=0,0,IF(H_Direct=1,IF(CC94&lt;=0,QC94,IF(QC94&lt;=(XB94+AAO94)/CC94,QC94,(QC94-G94*(XB94+AAO94))/(1-G94*CC94))),QC94/(1-MAX(0,CC94)*H_Exit)))</f>
        <v>0</v>
      </c>
      <c r="TQ94" s="20" t="n">
        <f aca="false">IF(ALD93&lt;=0,0,IF(H_Direct=1,IF(CD94&lt;=0,QD94,IF(QD94&lt;=(XC94+AAP94)/CD94,QD94,(QD94-G94*(XC94+AAP94))/(1-G94*CD94))),QD94/(1-MAX(0,CD94)*H_Exit)))</f>
        <v>0</v>
      </c>
      <c r="TR94" s="20" t="n">
        <f aca="false">IF(ALE93&lt;=0,0,IF(H_Direct=1,IF(CE94&lt;=0,QE94,IF(QE94&lt;=(XD94+AAQ94)/CE94,QE94,(QE94-G94*(XD94+AAQ94))/(1-G94*CE94))),QE94/(1-MAX(0,CE94)*H_Exit)))</f>
        <v>0</v>
      </c>
      <c r="TS94" s="20" t="n">
        <f aca="false">IF(ALF93&lt;=0,0,IF(H_Direct=1,IF(CF94&lt;=0,QF94,IF(QF94&lt;=(XE94+AAR94)/CF94,QF94,(QF94-G94*(XE94+AAR94))/(1-G94*CF94))),QF94/(1-MAX(0,CF94)*H_Exit)))</f>
        <v>0</v>
      </c>
      <c r="TT94" s="20" t="n">
        <f aca="false">IF(ALG93&lt;=0,0,IF(H_Direct=1,IF(CG94&lt;=0,QG94,IF(QG94&lt;=(XF94+AAS94)/CG94,QG94,(QG94-G94*(XF94+AAS94))/(1-G94*CG94))),QG94/(1-MAX(0,CG94)*H_Exit)))</f>
        <v>0</v>
      </c>
      <c r="TU94" s="20" t="n">
        <f aca="false">IF(ALH93&lt;=0,0,IF(H_Direct=1,IF(CH94&lt;=0,QH94,IF(QH94&lt;=(XG94+AAT94)/CH94,QH94,(QH94-G94*(XG94+AAT94))/(1-G94*CH94))),QH94/(1-MAX(0,CH94)*H_Exit)))</f>
        <v>0</v>
      </c>
      <c r="TV94" s="20" t="n">
        <f aca="false">IF(ALI93&lt;=0,0,IF(H_Direct=1,IF(CI94&lt;=0,QI94,IF(QI94&lt;=(XH94+AAU94)/CI94,QI94,(QI94-G94*(XH94+AAU94))/(1-G94*CI94))),QI94/(1-MAX(0,CI94)*H_Exit)))</f>
        <v>0</v>
      </c>
      <c r="TW94" s="20" t="n">
        <f aca="false">IF(ALJ93&lt;=0,0,IF(H_Direct=1,IF(CJ94&lt;=0,QJ94,IF(QJ94&lt;=(XI94+AAV94)/CJ94,QJ94,(QJ94-G94*(XI94+AAV94))/(1-G94*CJ94))),QJ94/(1-MAX(0,CJ94)*H_Exit)))</f>
        <v>0</v>
      </c>
      <c r="TX94" s="20" t="n">
        <f aca="false">IF(ALK93&lt;=0,0,IF(H_Direct=1,IF(CK94&lt;=0,QK94,IF(QK94&lt;=(XJ94+AAW94)/CK94,QK94,(QK94-G94*(XJ94+AAW94))/(1-G94*CK94))),QK94/(1-MAX(0,CK94)*H_Exit)))</f>
        <v>0</v>
      </c>
      <c r="TY94" s="20" t="n">
        <f aca="false">IF(ALL93&lt;=0,0,IF(H_Direct=1,IF(CL94&lt;=0,QL94,IF(QL94&lt;=(XK94+AAX94)/CL94,QL94,(QL94-G94*(XK94+AAX94))/(1-G94*CL94))),QL94/(1-MAX(0,CL94)*H_Exit)))</f>
        <v>0</v>
      </c>
      <c r="TZ94" s="20" t="n">
        <f aca="false">IF(ALM93&lt;=0,0,IF(H_Direct=1,IF(CM94&lt;=0,QM94,IF(QM94&lt;=(XL94+AAY94)/CM94,QM94,(QM94-G94*(XL94+AAY94))/(1-G94*CM94))),QM94/(1-MAX(0,CM94)*H_Exit)))</f>
        <v>0</v>
      </c>
      <c r="UA94" s="20" t="n">
        <f aca="false">IF(ALN93&lt;=0,0,IF(H_Direct=1,IF(CN94&lt;=0,QN94,IF(QN94&lt;=(XM94+AAZ94)/CN94,QN94,(QN94-G94*(XM94+AAZ94))/(1-G94*CN94))),QN94/(1-MAX(0,CN94)*H_Exit)))</f>
        <v>0</v>
      </c>
      <c r="UB94" s="20" t="n">
        <f aca="false">IF(ALO93&lt;=0,0,IF(H_Direct=1,IF(CO94&lt;=0,QO94,IF(QO94&lt;=(XN94+ABA94)/CO94,QO94,(QO94-G94*(XN94+ABA94))/(1-G94*CO94))),QO94/(1-MAX(0,CO94)*H_Exit)))</f>
        <v>0</v>
      </c>
      <c r="UC94" s="20" t="n">
        <f aca="false">IF(ALP93&lt;=0,0,IF(H_Direct=1,IF(CP94&lt;=0,QP94,IF(QP94&lt;=(XO94+ABB94)/CP94,QP94,(QP94-G94*(XO94+ABB94))/(1-G94*CP94))),QP94/(1-MAX(0,CP94)*H_Exit)))</f>
        <v>0</v>
      </c>
      <c r="UD94" s="20" t="n">
        <f aca="false">IF(ALQ93&lt;=0,0,IF(H_Direct=1,IF(CQ94&lt;=0,QQ94,IF(QQ94&lt;=(XP94+ABC94)/CQ94,QQ94,(QQ94-G94*(XP94+ABC94))/(1-G94*CQ94))),QQ94/(1-MAX(0,CQ94)*H_Exit)))</f>
        <v>0</v>
      </c>
      <c r="UE94" s="20" t="n">
        <f aca="false">IF(ALR93&lt;=0,0,IF(H_Direct=1,IF(CR94&lt;=0,QR94,IF(QR94&lt;=(XQ94+ABD94)/CR94,QR94,(QR94-G94*(XQ94+ABD94))/(1-G94*CR94))),QR94/(1-MAX(0,CR94)*H_Exit)))</f>
        <v>0</v>
      </c>
      <c r="UF94" s="20" t="n">
        <f aca="false">IF(ALS93&lt;=0,0,IF(H_Direct=1,IF(CS94&lt;=0,QS94,IF(QS94&lt;=(XR94+ABE94)/CS94,QS94,(QS94-G94*(XR94+ABE94))/(1-G94*CS94))),QS94/(1-MAX(0,CS94)*H_Exit)))</f>
        <v>0</v>
      </c>
      <c r="UG94" s="20" t="n">
        <f aca="false">IF(ALT93&lt;=0,0,IF(H_Direct=1,IF(CT94&lt;=0,QT94,IF(QT94&lt;=(XS94+ABF94)/CT94,QT94,(QT94-G94*(XS94+ABF94))/(1-G94*CT94))),QT94/(1-MAX(0,CT94)*H_Exit)))</f>
        <v>0</v>
      </c>
      <c r="UH94" s="20" t="n">
        <f aca="false">IF(ALU93&lt;=0,0,IF(H_Direct=1,IF(CU94&lt;=0,QU94,IF(QU94&lt;=(XT94+ABG94)/CU94,QU94,(QU94-G94*(XT94+ABG94))/(1-G94*CU94))),QU94/(1-MAX(0,CU94)*H_Exit)))</f>
        <v>0</v>
      </c>
      <c r="UI94" s="20" t="n">
        <f aca="false">IF(ALV93&lt;=0,0,IF(H_Direct=1,IF(CV94&lt;=0,QV94,IF(QV94&lt;=(XU94+ABH94)/CV94,QV94,(QV94-G94*(XU94+ABH94))/(1-G94*CV94))),QV94/(1-MAX(0,CV94)*H_Exit)))</f>
        <v>0</v>
      </c>
      <c r="UJ94" s="20" t="n">
        <f aca="false">IF(ALW93&lt;=0,0,IF(H_Direct=1,IF(CW94&lt;=0,QW94,IF(QW94&lt;=(XV94+ABI94)/CW94,QW94,(QW94-G94*(XV94+ABI94))/(1-G94*CW94))),QW94/(1-MAX(0,CW94)*H_Exit)))</f>
        <v>0</v>
      </c>
      <c r="UK94" s="20" t="n">
        <f aca="false">IF(ALX93&lt;=0,0,IF(H_Direct=1,IF(CX94&lt;=0,QX94,IF(QX94&lt;=(XW94+ABJ94)/CX94,QX94,(QX94-G94*(XW94+ABJ94))/(1-G94*CX94))),QX94/(1-MAX(0,CX94)*H_Exit)))</f>
        <v>0</v>
      </c>
      <c r="UL94" s="20" t="n">
        <f aca="false">IF(ALY93&lt;=0,0,IF(H_Direct=1,IF(CY94&lt;=0,QY94,IF(QY94&lt;=(XX94+ABK94)/CY94,QY94,(QY94-G94*(XX94+ABK94))/(1-G94*CY94))),QY94/(1-MAX(0,CY94)*H_Exit)))</f>
        <v>0</v>
      </c>
      <c r="UM94" s="20" t="n">
        <f aca="false">IF(ALZ93&lt;=0,0,IF(H_Direct=1,IF(CZ94&lt;=0,QZ94,IF(QZ94&lt;=(XY94+ABL94)/CZ94,QZ94,(QZ94-G94*(XY94+ABL94))/(1-G94*CZ94))),QZ94/(1-MAX(0,CZ94)*H_Exit)))</f>
        <v>0</v>
      </c>
      <c r="UN94" s="20" t="n">
        <f aca="false">IF(AMA93&lt;=0,0,IF(H_Direct=1,IF(DA94&lt;=0,RA94,IF(RA94&lt;=(XZ94+ABM94)/DA94,RA94,(RA94-G94*(XZ94+ABM94))/(1-G94*DA94))),RA94/(1-MAX(0,DA94)*H_Exit)))</f>
        <v>0</v>
      </c>
      <c r="UO94" s="20" t="n">
        <f aca="false">IF(AMB93&lt;=0,0,IF(H_Direct=1,IF(DB94&lt;=0,RB94,IF(RB94&lt;=(YA94+ABN94)/DB94,RB94,(RB94-G94*(YA94+ABN94))/(1-G94*DB94))),RB94/(1-MAX(0,DB94)*H_Exit)))</f>
        <v>0</v>
      </c>
      <c r="UP94" s="20" t="n">
        <f aca="false">IF(AMC93&lt;=0,0,IF(H_Direct=1,IF(DC94&lt;=0,RC94,IF(RC94&lt;=(YB94+ABO94)/DC94,RC94,(RC94-G94*(YB94+ABO94))/(1-G94*DC94))),RC94/(1-MAX(0,DC94)*H_Exit)))</f>
        <v>0</v>
      </c>
      <c r="UQ94" s="20" t="n">
        <f aca="false">IF(AMD93&lt;=0,0,IF(H_Direct=1,IF(DD94&lt;=0,RD94,IF(RD94&lt;=(YC94+ABP94)/DD94,RD94,(RD94-G94*(YC94+ABP94))/(1-G94*DD94))),RD94/(1-MAX(0,DD94)*H_Exit)))</f>
        <v>0</v>
      </c>
      <c r="UR94" s="20" t="n">
        <f aca="false">IF(AME93&lt;=0,0,IF(H_Direct=1,IF(DE94&lt;=0,RE94,IF(RE94&lt;=(YD94+ABQ94)/DE94,RE94,(RE94-G94*(YD94+ABQ94))/(1-G94*DE94))),RE94/(1-MAX(0,DE94)*H_Exit)))</f>
        <v>0</v>
      </c>
      <c r="US94" s="20" t="n">
        <f aca="false">IF(AMF93&lt;=0,0,IF(H_Direct=1,IF(DF94&lt;=0,RF94,IF(RF94&lt;=(YE94+ABR94)/DF94,RF94,(RF94-G94*(YE94+ABR94))/(1-G94*DF94))),RF94/(1-MAX(0,DF94)*H_Exit)))</f>
        <v>0</v>
      </c>
      <c r="UT94" s="20" t="n">
        <f aca="false">IF(AMG93&lt;=0,0,IF(H_Direct=1,IF(DG94&lt;=0,RG94,IF(RG94&lt;=(YF94+ABS94)/DG94,RG94,(RG94-G94*(YF94+ABS94))/(1-G94*DG94))),RG94/(1-MAX(0,DG94)*H_Exit)))</f>
        <v>0</v>
      </c>
      <c r="UU94" s="20" t="n">
        <f aca="false">IF(AMH93&lt;=0,0,IF(H_Direct=1,IF(DH94&lt;=0,RH94,IF(RH94&lt;=(YG94+ABT94)/DH94,RH94,(RH94-G94*(YG94+ABT94))/(1-G94*DH94))),RH94/(1-MAX(0,DH94)*H_Exit)))</f>
        <v>0</v>
      </c>
      <c r="UV94" s="20" t="n">
        <f aca="false">IF(AMI93&lt;=0,0,IF(H_Direct=1,IF(DI94&lt;=0,RI94,IF(RI94&lt;=(YH94+ABU94)/DI94,RI94,(RI94-G94*(YH94+ABU94))/(1-G94*DI94))),RI94/(1-MAX(0,DI94)*H_Exit)))</f>
        <v>0</v>
      </c>
      <c r="UW94" s="20" t="n">
        <f aca="false">IF(AMJ93&lt;=0,0,IF(H_Direct=1,IF(DJ94&lt;=0,RJ94,IF(RJ94&lt;=(YI94+ABV94)/DJ94,RJ94,(RJ94-G94*(YI94+ABV94))/(1-G94*DJ94))),RJ94/(1-MAX(0,DJ94)*H_Exit)))</f>
        <v>0</v>
      </c>
      <c r="UX94" s="20" t="n">
        <f aca="false">IF(AMK93&lt;=0,0,IF(H_Direct=1,IF(DK94&lt;=0,RK94,IF(RK94&lt;=(YJ94+ABW94)/DK94,RK94,(RK94-G94*(YJ94+ABW94))/(1-G94*DK94))),RK94/(1-MAX(0,DK94)*H_Exit)))</f>
        <v>0</v>
      </c>
      <c r="UY94" s="20" t="n">
        <f aca="false">IF(AML93&lt;=0,0,IF(H_Direct=1,IF(DL94&lt;=0,RL94,IF(RL94&lt;=(YK94+ABX94)/DL94,RL94,(RL94-G94*(YK94+ABX94))/(1-G94*DL94))),RL94/(1-MAX(0,DL94)*H_Exit)))</f>
        <v>0</v>
      </c>
      <c r="UZ94" s="20" t="n">
        <f aca="false">IF(AMM93&lt;=0,0,IF(H_Direct=1,IF(DM94&lt;=0,RM94,IF(RM94&lt;=(YL94+ABY94)/DM94,RM94,(RM94-G94*(YL94+ABY94))/(1-G94*DM94))),RM94/(1-MAX(0,DM94)*H_Exit)))</f>
        <v>0</v>
      </c>
      <c r="VA94" s="20" t="n">
        <f aca="false">IF(AMN93&lt;=0,0,IF(H_Direct=1,IF(DN94&lt;=0,RN94,IF(RN94&lt;=(YM94+ABZ94)/DN94,RN94,(RN94-G94*(YM94+ABZ94))/(1-G94*DN94))),RN94/(1-MAX(0,DN94)*H_Exit)))</f>
        <v>0</v>
      </c>
      <c r="VB94" s="20" t="n">
        <f aca="false">IF(AMO93&lt;=0,0,IF(H_Direct=1,IF(DO94&lt;=0,RO94,IF(RO94&lt;=(YN94+ACA94)/DO94,RO94,(RO94-G94*(YN94+ACA94))/(1-G94*DO94))),RO94/(1-MAX(0,DO94)*H_Exit)))</f>
        <v>0</v>
      </c>
      <c r="VC94" s="20" t="n">
        <f aca="false">IF(AMP93&lt;=0,0,IF(H_Direct=1,IF(DP94&lt;=0,RP94,IF(RP94&lt;=(YO94+ACB94)/DP94,RP94,(RP94-G94*(YO94+ACB94))/(1-G94*DP94))),RP94/(1-MAX(0,DP94)*H_Exit)))</f>
        <v>0</v>
      </c>
      <c r="VD94" s="20" t="n">
        <f aca="false">IF(AMQ93&lt;=0,0,IF(H_Direct=1,IF(DQ94&lt;=0,RQ94,IF(RQ94&lt;=(YP94+ACC94)/DQ94,RQ94,(RQ94-G94*(YP94+ACC94))/(1-G94*DQ94))),RQ94/(1-MAX(0,DQ94)*H_Exit)))</f>
        <v>0</v>
      </c>
      <c r="VE94" s="20" t="n">
        <f aca="false">IF(AMR93&lt;=0,0,IF(H_Direct=1,IF(DR94&lt;=0,RR94,IF(RR94&lt;=(YQ94+ACD94)/DR94,RR94,(RR94-G94*(YQ94+ACD94))/(1-G94*DR94))),RR94/(1-MAX(0,DR94)*H_Exit)))</f>
        <v>0</v>
      </c>
      <c r="VF94" s="20" t="n">
        <f aca="false">IF(AMS93&lt;=0,0,IF(H_Direct=1,IF(DS94&lt;=0,RS94,IF(RS94&lt;=(YR94+ACE94)/DS94,RS94,(RS94-G94*(YR94+ACE94))/(1-G94*DS94))),RS94/(1-MAX(0,DS94)*H_Exit)))</f>
        <v>0</v>
      </c>
      <c r="VG94" s="20" t="n">
        <f aca="false">IF(AMT93&lt;=0,0,IF(H_Direct=1,IF(DT94&lt;=0,RT94,IF(RT94&lt;=(YS94+ACF94)/DT94,RT94,(RT94-G94*(YS94+ACF94))/(1-G94*DT94))),RT94/(1-MAX(0,DT94)*H_Exit)))</f>
        <v>0</v>
      </c>
      <c r="VH94" s="20" t="n">
        <f aca="false">IF(AMU93&lt;=0,0,IF(H_Direct=1,IF(DU94&lt;=0,RU94,IF(RU94&lt;=(YT94+ACG94)/DU94,RU94,(RU94-G94*(YT94+ACG94))/(1-G94*DU94))),RU94/(1-MAX(0,DU94)*H_Exit)))</f>
        <v>0</v>
      </c>
      <c r="VI94" s="20" t="n">
        <f aca="false">IF(AMV93&lt;=0,0,IF(H_Direct=1,IF(DV94&lt;=0,RV94,IF(RV94&lt;=(YU94+ACH94)/DV94,RV94,(RV94-G94*(YU94+ACH94))/(1-G94*DV94))),RV94/(1-MAX(0,DV94)*H_Exit)))</f>
        <v>0</v>
      </c>
      <c r="VJ94" s="20" t="n">
        <f aca="false">IF(AMW93&lt;=0,0,IF(H_Direct=1,IF(DW94&lt;=0,RW94,IF(RW94&lt;=(YV94+ACI94)/DW94,RW94,(RW94-G94*(YV94+ACI94))/(1-G94*DW94))),RW94/(1-MAX(0,DW94)*H_Exit)))</f>
        <v>0</v>
      </c>
      <c r="VK94" s="20" t="n">
        <f aca="false">IF(AMX93&lt;=0,0,IF(H_Direct=1,IF(DX94&lt;=0,RX94,IF(RX94&lt;=(YW94+ACJ94)/DX94,RX94,(RX94-G94*(YW94+ACJ94))/(1-G94*DX94))),RX94/(1-MAX(0,DX94)*H_Exit)))</f>
        <v>0</v>
      </c>
      <c r="VL94" s="20" t="n">
        <f aca="false">IF(AMY93&lt;=0,0,IF(H_Direct=1,IF(DY94&lt;=0,RY94,IF(RY94&lt;=(YX94+ACK94)/DY94,RY94,(RY94-G94*(YX94+ACK94))/(1-G94*DY94))),RY94/(1-MAX(0,DY94)*H_Exit)))</f>
        <v>0</v>
      </c>
      <c r="VM94" s="20" t="n">
        <f aca="false">IF(AMZ93&lt;=0,0,IF(H_Direct=1,IF(DZ94&lt;=0,RZ94,IF(RZ94&lt;=(YY94+ACL94)/DZ94,RZ94,(RZ94-G94*(YY94+ACL94))/(1-G94*DZ94))),RZ94/(1-MAX(0,DZ94)*H_Exit)))</f>
        <v>0</v>
      </c>
      <c r="VN94" s="20" t="n">
        <f aca="false">IF(ANA93&lt;=0,0,IF(H_Direct=1,IF(EA94&lt;=0,SA94,IF(SA94&lt;=(YZ94+ACM94)/EA94,SA94,(SA94-G94*(YZ94+ACM94))/(1-G94*EA94))),SA94/(1-MAX(0,EA94)*H_Exit)))</f>
        <v>0</v>
      </c>
      <c r="VO94" s="20" t="n">
        <f aca="false">IF(ANB93&lt;=0,0,IF(H_Direct=1,IF(EB94&lt;=0,SB94,IF(SB94&lt;=(ZA94+ACN94)/EB94,SB94,(SB94-G94*(ZA94+ACN94))/(1-G94*EB94))),SB94/(1-MAX(0,EB94)*H_Exit)))</f>
        <v>0</v>
      </c>
      <c r="VP94" s="20" t="n">
        <f aca="false">IF(ANC93&lt;=0,0,IF(H_Direct=1,IF(EC94&lt;=0,SC94,IF(SC94&lt;=(ZB94+ACO94)/EC94,SC94,(SC94-G94*(ZB94+ACO94))/(1-G94*EC94))),SC94/(1-MAX(0,EC94)*H_Exit)))</f>
        <v>0</v>
      </c>
      <c r="VQ94" s="20" t="n">
        <f aca="false">IF(AND93&lt;=0,0,IF(H_Direct=1,IF(ED94&lt;=0,SD94,IF(SD94&lt;=(ZC94+ACP94)/ED94,SD94,(SD94-G94*(ZC94+ACP94))/(1-G94*ED94))),SD94/(1-MAX(0,ED94)*H_Exit)))</f>
        <v>0</v>
      </c>
      <c r="VR94" s="20" t="n">
        <f aca="false">IF(ANE93&lt;=0,0,IF(H_Direct=1,IF(EE94&lt;=0,SE94,IF(SE94&lt;=(ZD94+ACQ94)/EE94,SE94,(SE94-G94*(ZD94+ACQ94))/(1-G94*EE94))),SE94/(1-MAX(0,EE94)*H_Exit)))</f>
        <v>0</v>
      </c>
      <c r="VS94" s="20" t="n">
        <f aca="false">IF(ANF93&lt;=0,0,IF(H_Direct=1,IF(EF94&lt;=0,SF94,IF(SF94&lt;=(ZE94+ACR94)/EF94,SF94,(SF94-G94*(ZE94+ACR94))/(1-G94*EF94))),SF94/(1-MAX(0,EF94)*H_Exit)))</f>
        <v>0</v>
      </c>
      <c r="VT94" s="20" t="n">
        <f aca="false">IF(ANG93&lt;=0,0,IF(H_Direct=1,IF(EG94&lt;=0,SG94,IF(SG94&lt;=(ZF94+ACS94)/EG94,SG94,(SG94-G94*(ZF94+ACS94))/(1-G94*EG94))),SG94/(1-MAX(0,EG94)*H_Exit)))</f>
        <v>0</v>
      </c>
      <c r="VU94" s="20" t="n">
        <f aca="false">IF(ANH93&lt;=0,0,IF(H_Direct=1,IF(EH94&lt;=0,SH94,IF(SH94&lt;=(ZG94+ACT94)/EH94,SH94,(SH94-G94*(ZG94+ACT94))/(1-G94*EH94))),SH94/(1-MAX(0,EH94)*H_Exit)))</f>
        <v>0</v>
      </c>
      <c r="VV94" s="20" t="n">
        <f aca="false">IF(ANI93&lt;=0,0,IF(H_Direct=1,IF(EI94&lt;=0,SI94,IF(SI94&lt;=(ZH94+ACU94)/EI94,SI94,(SI94-G94*(ZH94+ACU94))/(1-G94*EI94))),SI94/(1-MAX(0,EI94)*H_Exit)))</f>
        <v>0</v>
      </c>
      <c r="VW94" s="20" t="n">
        <f aca="false">IF(ANJ93&lt;=0,0,IF(H_Direct=1,IF(EJ94&lt;=0,SJ94,IF(SJ94&lt;=(ZI94+ACV94)/EJ94,SJ94,(SJ94-G94*(ZI94+ACV94))/(1-G94*EJ94))),SJ94/(1-MAX(0,EJ94)*H_Exit)))</f>
        <v>0</v>
      </c>
      <c r="VX94" s="20" t="n">
        <f aca="false">IF(ANK93&lt;=0,0,IF(H_Direct=1,IF(EK94&lt;=0,SK94,IF(SK94&lt;=(ZJ94+ACW94)/EK94,SK94,(SK94-G94*(ZJ94+ACW94))/(1-G94*EK94))),SK94/(1-MAX(0,EK94)*H_Exit)))</f>
        <v>0</v>
      </c>
      <c r="VY94" s="20" t="n">
        <f aca="false">IF(ANL93&lt;=0,0,IF(H_Direct=1,IF(EL94&lt;=0,SL94,IF(SL94&lt;=(ZK94+ACX94)/EL94,SL94,(SL94-G94*(ZK94+ACX94))/(1-G94*EL94))),SL94/(1-MAX(0,EL94)*H_Exit)))</f>
        <v>0</v>
      </c>
      <c r="VZ94" s="20" t="n">
        <f aca="false">IF(ANM93&lt;=0,0,IF(H_Direct=1,IF(EM94&lt;=0,SM94,IF(SM94&lt;=(ZL94+ACY94)/EM94,SM94,(SM94-G94*(ZL94+ACY94))/(1-G94*EM94))),SM94/(1-MAX(0,EM94)*H_Exit)))</f>
        <v>0</v>
      </c>
      <c r="WA94" s="20" t="n">
        <f aca="false">IF(ANN93&lt;=0,0,IF(H_Direct=1,IF(EN94&lt;=0,SN94,IF(SN94&lt;=(ZM94+ACZ94)/EN94,SN94,(SN94-G94*(ZM94+ACZ94))/(1-G94*EN94))),SN94/(1-MAX(0,EN94)*H_Exit)))</f>
        <v>0</v>
      </c>
      <c r="WB94" s="20" t="n">
        <f aca="false">IF(ANO93&lt;=0,0,IF(H_Direct=1,IF(EO94&lt;=0,SO94,IF(SO94&lt;=(ZN94+ADA94)/EO94,SO94,(SO94-G94*(ZN94+ADA94))/(1-G94*EO94))),SO94/(1-MAX(0,EO94)*H_Exit)))</f>
        <v>0</v>
      </c>
      <c r="WC94" s="20" t="n">
        <f aca="false">IF(ANP93&lt;=0,0,IF(H_Direct=1,IF(EP94&lt;=0,SP94,IF(SP94&lt;=(ZO94+ADB94)/EP94,SP94,(SP94-G94*(ZO94+ADB94))/(1-G94*EP94))),SP94/(1-MAX(0,EP94)*H_Exit)))</f>
        <v>0</v>
      </c>
      <c r="WD94" s="20" t="n">
        <f aca="false">IF(ANQ93&lt;=0,0,IF(H_Direct=1,IF(EQ94&lt;=0,SQ94,IF(SQ94&lt;=(ZP94+ADC94)/EQ94,SQ94,(SQ94-G94*(ZP94+ADC94))/(1-G94*EQ94))),SQ94/(1-MAX(0,EQ94)*H_Exit)))</f>
        <v>0</v>
      </c>
      <c r="WE94" s="20" t="n">
        <f aca="false">IF(ANR93&lt;=0,0,IF(H_Direct=1,IF(ER94&lt;=0,SR94,IF(SR94&lt;=(ZQ94+ADD94)/ER94,SR94,(SR94-G94*(ZQ94+ADD94))/(1-G94*ER94))),SR94/(1-MAX(0,ER94)*H_Exit)))</f>
        <v>0</v>
      </c>
      <c r="WF94" s="20" t="n">
        <f aca="false">IF(ANS93&lt;=0,0,IF(H_Direct=1,IF(ES94&lt;=0,SS94,IF(SS94&lt;=(ZR94+ADE94)/ES94,SS94,(SS94-G94*(ZR94+ADE94))/(1-G94*ES94))),SS94/(1-MAX(0,ES94)*H_Exit)))</f>
        <v>0</v>
      </c>
      <c r="WG94" s="20" t="n">
        <f aca="false">IF(ANT93&lt;=0,0,IF(H_Direct=1,IF(ET94&lt;=0,ST94,IF(ST94&lt;=(ZS94+ADF94)/ET94,ST94,(ST94-G94*(ZS94+ADF94))/(1-G94*ET94))),ST94/(1-MAX(0,ET94)*H_Exit)))</f>
        <v>0</v>
      </c>
      <c r="WH94" s="20" t="n">
        <f aca="false">IF(ANU93&lt;=0,0,IF(H_Direct=1,IF(EU94&lt;=0,SU94,IF(SU94&lt;=(ZT94+ADG94)/EU94,SU94,(SU94-G94*(ZT94+ADG94))/(1-G94*EU94))),SU94/(1-MAX(0,EU94)*H_Exit)))</f>
        <v>0</v>
      </c>
      <c r="WI94" s="20" t="n">
        <f aca="false">IF(ANV93&lt;=0,0,IF(H_Direct=1,IF(EV94&lt;=0,SV94,IF(SV94&lt;=(ZU94+ADH94)/EV94,SV94,(SV94-G94*(ZU94+ADH94))/(1-G94*EV94))),SV94/(1-MAX(0,EV94)*H_Exit)))</f>
        <v>0</v>
      </c>
      <c r="WJ94" s="20" t="n">
        <f aca="false">IF(ANW93&lt;=0,0,IF(H_Direct=1,IF(EW94&lt;=0,SW94,IF(SW94&lt;=(ZV94+ADI94)/EW94,SW94,(SW94-G94*(ZV94+ADI94))/(1-G94*EW94))),SW94/(1-MAX(0,EW94)*H_Exit)))</f>
        <v>0</v>
      </c>
      <c r="WK94" s="20" t="n">
        <f aca="false">IF(ANX93&lt;=0,0,IF(H_Direct=1,IF(EX94&lt;=0,SX94,IF(SX94&lt;=(ZW94+ADJ94)/EX94,SX94,(SX94-G94*(ZW94+ADJ94))/(1-G94*EX94))),SX94/(1-MAX(0,EX94)*H_Exit)))</f>
        <v>0</v>
      </c>
      <c r="WL94" s="20" t="n">
        <f aca="false">IF(ANY93&lt;=0,0,IF(H_Direct=1,IF(EY94&lt;=0,SY94,IF(SY94&lt;=(ZX94+ADK94)/EY94,SY94,(SY94-G94*(ZX94+ADK94))/(1-G94*EY94))),SY94/(1-MAX(0,EY94)*H_Exit)))</f>
        <v>0</v>
      </c>
      <c r="WM94" s="20" t="n">
        <f aca="false">IF(ANZ93&lt;=0,0,IF(H_Direct=1,IF(EZ94&lt;=0,SZ94,IF(SZ94&lt;=(ZY94+ADL94)/EZ94,SZ94,(SZ94-G94*(ZY94+ADL94))/(1-G94*EZ94))),SZ94/(1-MAX(0,EZ94)*H_Exit)))</f>
        <v>0</v>
      </c>
      <c r="WN94" s="20" t="n">
        <f aca="false">IF((P94+S94)&lt;=0,0,IF(H_Direct=1,IF(FA94&lt;=0,TA94,IF(TA94&lt;=(ZZ94+ADM94)/FA94,TA94,(TA94-G94*(ZZ94+ADM94))/(1-G94*FA94))),TA94/(1-MAX(0,FA94)*H_Exit)))</f>
        <v>0</v>
      </c>
      <c r="WO94" s="20" t="n">
        <v>0</v>
      </c>
      <c r="WP94" s="20" t="n">
        <v>0</v>
      </c>
      <c r="WQ94" s="20" t="n">
        <v>0</v>
      </c>
      <c r="WR94" s="20" t="n">
        <f aca="false">IF(AND(H_Direct=1,BR94&gt;0),MAX(0,H94-(MIN(BR94*TE94,(H94+I94))-MIN(MIN(BR94*TE94,(H94+I94)),I94))),H94)</f>
        <v>1270</v>
      </c>
      <c r="WS94" s="20" t="n">
        <f aca="false">IF(AND(H_Direct=1,BS94&gt;0),MAX(0,WR94-(MIN(BS94*TF94,(WR94+AAE94))-MIN(MIN(BS94*TF94,(WR94+AAE94)),AAE94))),WR94)</f>
        <v>1270</v>
      </c>
      <c r="WT94" s="20" t="n">
        <f aca="false">IF(AND(H_Direct=1,BT94&gt;0),MAX(0,WS94-(MIN(BT94*TG94,(WS94+AAF94))-MIN(MIN(BT94*TG94,(WS94+AAF94)),AAF94))),WS94)</f>
        <v>1270</v>
      </c>
      <c r="WU94" s="20" t="n">
        <f aca="false">IF(AND(H_Direct=1,BU94&gt;0),MAX(0,WT94-(MIN(BU94*TH94,(WT94+AAG94))-MIN(MIN(BU94*TH94,(WT94+AAG94)),AAG94))),WT94)</f>
        <v>1270</v>
      </c>
      <c r="WV94" s="20" t="n">
        <f aca="false">IF(AND(H_Direct=1,BV94&gt;0),MAX(0,WU94-(MIN(BV94*TI94,(WU94+AAH94))-MIN(MIN(BV94*TI94,(WU94+AAH94)),AAH94))),WU94)</f>
        <v>1270</v>
      </c>
      <c r="WW94" s="20" t="n">
        <f aca="false">IF(AND(H_Direct=1,BW94&gt;0),MAX(0,WV94-(MIN(BW94*TJ94,(WV94+AAI94))-MIN(MIN(BW94*TJ94,(WV94+AAI94)),AAI94))),WV94)</f>
        <v>1270</v>
      </c>
      <c r="WX94" s="20" t="n">
        <f aca="false">IF(AND(H_Direct=1,BX94&gt;0),MAX(0,WW94-(MIN(BX94*TK94,(WW94+AAJ94))-MIN(MIN(BX94*TK94,(WW94+AAJ94)),AAJ94))),WW94)</f>
        <v>1270</v>
      </c>
      <c r="WY94" s="20" t="n">
        <f aca="false">IF(AND(H_Direct=1,BY94&gt;0),MAX(0,WX94-(MIN(BY94*TL94,(WX94+AAK94))-MIN(MIN(BY94*TL94,(WX94+AAK94)),AAK94))),WX94)</f>
        <v>1270</v>
      </c>
      <c r="WZ94" s="20" t="n">
        <f aca="false">IF(AND(H_Direct=1,BZ94&gt;0),MAX(0,WY94-(MIN(BZ94*TM94,(WY94+AAL94))-MIN(MIN(BZ94*TM94,(WY94+AAL94)),AAL94))),WY94)</f>
        <v>1270</v>
      </c>
      <c r="XA94" s="20" t="n">
        <f aca="false">IF(AND(H_Direct=1,CA94&gt;0),MAX(0,WZ94-(MIN(CA94*TN94,(WZ94+AAM94))-MIN(MIN(CA94*TN94,(WZ94+AAM94)),AAM94))),WZ94)</f>
        <v>1270</v>
      </c>
      <c r="XB94" s="20" t="n">
        <f aca="false">IF(AND(H_Direct=1,CB94&gt;0),MAX(0,XA94-(MIN(CB94*TO94,(XA94+AAN94))-MIN(MIN(CB94*TO94,(XA94+AAN94)),AAN94))),XA94)</f>
        <v>1270</v>
      </c>
      <c r="XC94" s="20" t="n">
        <f aca="false">IF(AND(H_Direct=1,CC94&gt;0),MAX(0,XB94-(MIN(CC94*TP94,(XB94+AAO94))-MIN(MIN(CC94*TP94,(XB94+AAO94)),AAO94))),XB94)</f>
        <v>1270</v>
      </c>
      <c r="XD94" s="20" t="n">
        <f aca="false">IF(AND(H_Direct=1,CD94&gt;0),MAX(0,XC94-(MIN(CD94*TQ94,(XC94+AAP94))-MIN(MIN(CD94*TQ94,(XC94+AAP94)),AAP94))),XC94)</f>
        <v>1270</v>
      </c>
      <c r="XE94" s="20" t="n">
        <f aca="false">IF(AND(H_Direct=1,CE94&gt;0),MAX(0,XD94-(MIN(CE94*TR94,(XD94+AAQ94))-MIN(MIN(CE94*TR94,(XD94+AAQ94)),AAQ94))),XD94)</f>
        <v>1270</v>
      </c>
      <c r="XF94" s="20" t="n">
        <f aca="false">IF(AND(H_Direct=1,CF94&gt;0),MAX(0,XE94-(MIN(CF94*TS94,(XE94+AAR94))-MIN(MIN(CF94*TS94,(XE94+AAR94)),AAR94))),XE94)</f>
        <v>1270</v>
      </c>
      <c r="XG94" s="20" t="n">
        <f aca="false">IF(AND(H_Direct=1,CG94&gt;0),MAX(0,XF94-(MIN(CG94*TT94,(XF94+AAS94))-MIN(MIN(CG94*TT94,(XF94+AAS94)),AAS94))),XF94)</f>
        <v>1270</v>
      </c>
      <c r="XH94" s="20" t="n">
        <f aca="false">IF(AND(H_Direct=1,CH94&gt;0),MAX(0,XG94-(MIN(CH94*TU94,(XG94+AAT94))-MIN(MIN(CH94*TU94,(XG94+AAT94)),AAT94))),XG94)</f>
        <v>1270</v>
      </c>
      <c r="XI94" s="20" t="n">
        <f aca="false">IF(AND(H_Direct=1,CI94&gt;0),MAX(0,XH94-(MIN(CI94*TV94,(XH94+AAU94))-MIN(MIN(CI94*TV94,(XH94+AAU94)),AAU94))),XH94)</f>
        <v>1270</v>
      </c>
      <c r="XJ94" s="20" t="n">
        <f aca="false">IF(AND(H_Direct=1,CJ94&gt;0),MAX(0,XI94-(MIN(CJ94*TW94,(XI94+AAV94))-MIN(MIN(CJ94*TW94,(XI94+AAV94)),AAV94))),XI94)</f>
        <v>1270</v>
      </c>
      <c r="XK94" s="20" t="n">
        <f aca="false">IF(AND(H_Direct=1,CK94&gt;0),MAX(0,XJ94-(MIN(CK94*TX94,(XJ94+AAW94))-MIN(MIN(CK94*TX94,(XJ94+AAW94)),AAW94))),XJ94)</f>
        <v>1270</v>
      </c>
      <c r="XL94" s="20" t="n">
        <f aca="false">IF(AND(H_Direct=1,CL94&gt;0),MAX(0,XK94-(MIN(CL94*TY94,(XK94+AAX94))-MIN(MIN(CL94*TY94,(XK94+AAX94)),AAX94))),XK94)</f>
        <v>1270</v>
      </c>
      <c r="XM94" s="20" t="n">
        <f aca="false">IF(AND(H_Direct=1,CM94&gt;0),MAX(0,XL94-(MIN(CM94*TZ94,(XL94+AAY94))-MIN(MIN(CM94*TZ94,(XL94+AAY94)),AAY94))),XL94)</f>
        <v>1270</v>
      </c>
      <c r="XN94" s="20" t="n">
        <f aca="false">IF(AND(H_Direct=1,CN94&gt;0),MAX(0,XM94-(MIN(CN94*UA94,(XM94+AAZ94))-MIN(MIN(CN94*UA94,(XM94+AAZ94)),AAZ94))),XM94)</f>
        <v>1270</v>
      </c>
      <c r="XO94" s="20" t="n">
        <f aca="false">IF(AND(H_Direct=1,CO94&gt;0),MAX(0,XN94-(MIN(CO94*UB94,(XN94+ABA94))-MIN(MIN(CO94*UB94,(XN94+ABA94)),ABA94))),XN94)</f>
        <v>1270</v>
      </c>
      <c r="XP94" s="20" t="n">
        <f aca="false">IF(AND(H_Direct=1,CP94&gt;0),MAX(0,XO94-(MIN(CP94*UC94,(XO94+ABB94))-MIN(MIN(CP94*UC94,(XO94+ABB94)),ABB94))),XO94)</f>
        <v>1270</v>
      </c>
      <c r="XQ94" s="20" t="n">
        <f aca="false">IF(AND(H_Direct=1,CQ94&gt;0),MAX(0,XP94-(MIN(CQ94*UD94,(XP94+ABC94))-MIN(MIN(CQ94*UD94,(XP94+ABC94)),ABC94))),XP94)</f>
        <v>1270</v>
      </c>
      <c r="XR94" s="20" t="n">
        <f aca="false">IF(AND(H_Direct=1,CR94&gt;0),MAX(0,XQ94-(MIN(CR94*UE94,(XQ94+ABD94))-MIN(MIN(CR94*UE94,(XQ94+ABD94)),ABD94))),XQ94)</f>
        <v>1270</v>
      </c>
      <c r="XS94" s="20" t="n">
        <f aca="false">IF(AND(H_Direct=1,CS94&gt;0),MAX(0,XR94-(MIN(CS94*UF94,(XR94+ABE94))-MIN(MIN(CS94*UF94,(XR94+ABE94)),ABE94))),XR94)</f>
        <v>1270</v>
      </c>
      <c r="XT94" s="20" t="n">
        <f aca="false">IF(AND(H_Direct=1,CT94&gt;0),MAX(0,XS94-(MIN(CT94*UG94,(XS94+ABF94))-MIN(MIN(CT94*UG94,(XS94+ABF94)),ABF94))),XS94)</f>
        <v>1270</v>
      </c>
      <c r="XU94" s="20" t="n">
        <f aca="false">IF(AND(H_Direct=1,CU94&gt;0),MAX(0,XT94-(MIN(CU94*UH94,(XT94+ABG94))-MIN(MIN(CU94*UH94,(XT94+ABG94)),ABG94))),XT94)</f>
        <v>1270</v>
      </c>
      <c r="XV94" s="20" t="n">
        <f aca="false">IF(AND(H_Direct=1,CV94&gt;0),MAX(0,XU94-(MIN(CV94*UI94,(XU94+ABH94))-MIN(MIN(CV94*UI94,(XU94+ABH94)),ABH94))),XU94)</f>
        <v>1270</v>
      </c>
      <c r="XW94" s="20" t="n">
        <f aca="false">IF(AND(H_Direct=1,CW94&gt;0),MAX(0,XV94-(MIN(CW94*UJ94,(XV94+ABI94))-MIN(MIN(CW94*UJ94,(XV94+ABI94)),ABI94))),XV94)</f>
        <v>1270</v>
      </c>
      <c r="XX94" s="20" t="n">
        <f aca="false">IF(AND(H_Direct=1,CX94&gt;0),MAX(0,XW94-(MIN(CX94*UK94,(XW94+ABJ94))-MIN(MIN(CX94*UK94,(XW94+ABJ94)),ABJ94))),XW94)</f>
        <v>1270</v>
      </c>
      <c r="XY94" s="20" t="n">
        <f aca="false">IF(AND(H_Direct=1,CY94&gt;0),MAX(0,XX94-(MIN(CY94*UL94,(XX94+ABK94))-MIN(MIN(CY94*UL94,(XX94+ABK94)),ABK94))),XX94)</f>
        <v>1270</v>
      </c>
      <c r="XZ94" s="20" t="n">
        <f aca="false">IF(AND(H_Direct=1,CZ94&gt;0),MAX(0,XY94-(MIN(CZ94*UM94,(XY94+ABL94))-MIN(MIN(CZ94*UM94,(XY94+ABL94)),ABL94))),XY94)</f>
        <v>1270</v>
      </c>
      <c r="YA94" s="20" t="n">
        <f aca="false">IF(AND(H_Direct=1,DA94&gt;0),MAX(0,XZ94-(MIN(DA94*UN94,(XZ94+ABM94))-MIN(MIN(DA94*UN94,(XZ94+ABM94)),ABM94))),XZ94)</f>
        <v>1270</v>
      </c>
      <c r="YB94" s="20" t="n">
        <f aca="false">IF(AND(H_Direct=1,DB94&gt;0),MAX(0,YA94-(MIN(DB94*UO94,(YA94+ABN94))-MIN(MIN(DB94*UO94,(YA94+ABN94)),ABN94))),YA94)</f>
        <v>1270</v>
      </c>
      <c r="YC94" s="20" t="n">
        <f aca="false">IF(AND(H_Direct=1,DC94&gt;0),MAX(0,YB94-(MIN(DC94*UP94,(YB94+ABO94))-MIN(MIN(DC94*UP94,(YB94+ABO94)),ABO94))),YB94)</f>
        <v>1270</v>
      </c>
      <c r="YD94" s="20" t="n">
        <f aca="false">IF(AND(H_Direct=1,DD94&gt;0),MAX(0,YC94-(MIN(DD94*UQ94,(YC94+ABP94))-MIN(MIN(DD94*UQ94,(YC94+ABP94)),ABP94))),YC94)</f>
        <v>1270</v>
      </c>
      <c r="YE94" s="20" t="n">
        <f aca="false">IF(AND(H_Direct=1,DE94&gt;0),MAX(0,YD94-(MIN(DE94*UR94,(YD94+ABQ94))-MIN(MIN(DE94*UR94,(YD94+ABQ94)),ABQ94))),YD94)</f>
        <v>1270</v>
      </c>
      <c r="YF94" s="20" t="n">
        <f aca="false">IF(AND(H_Direct=1,DF94&gt;0),MAX(0,YE94-(MIN(DF94*US94,(YE94+ABR94))-MIN(MIN(DF94*US94,(YE94+ABR94)),ABR94))),YE94)</f>
        <v>1270</v>
      </c>
      <c r="YG94" s="20" t="n">
        <f aca="false">IF(AND(H_Direct=1,DG94&gt;0),MAX(0,YF94-(MIN(DG94*UT94,(YF94+ABS94))-MIN(MIN(DG94*UT94,(YF94+ABS94)),ABS94))),YF94)</f>
        <v>1270</v>
      </c>
      <c r="YH94" s="20" t="n">
        <f aca="false">IF(AND(H_Direct=1,DH94&gt;0),MAX(0,YG94-(MIN(DH94*UU94,(YG94+ABT94))-MIN(MIN(DH94*UU94,(YG94+ABT94)),ABT94))),YG94)</f>
        <v>1270</v>
      </c>
      <c r="YI94" s="20" t="n">
        <f aca="false">IF(AND(H_Direct=1,DI94&gt;0),MAX(0,YH94-(MIN(DI94*UV94,(YH94+ABU94))-MIN(MIN(DI94*UV94,(YH94+ABU94)),ABU94))),YH94)</f>
        <v>1270</v>
      </c>
      <c r="YJ94" s="20" t="n">
        <f aca="false">IF(AND(H_Direct=1,DJ94&gt;0),MAX(0,YI94-(MIN(DJ94*UW94,(YI94+ABV94))-MIN(MIN(DJ94*UW94,(YI94+ABV94)),ABV94))),YI94)</f>
        <v>1270</v>
      </c>
      <c r="YK94" s="20" t="n">
        <f aca="false">IF(AND(H_Direct=1,DK94&gt;0),MAX(0,YJ94-(MIN(DK94*UX94,(YJ94+ABW94))-MIN(MIN(DK94*UX94,(YJ94+ABW94)),ABW94))),YJ94)</f>
        <v>1270</v>
      </c>
      <c r="YL94" s="20" t="n">
        <f aca="false">IF(AND(H_Direct=1,DL94&gt;0),MAX(0,YK94-(MIN(DL94*UY94,(YK94+ABX94))-MIN(MIN(DL94*UY94,(YK94+ABX94)),ABX94))),YK94)</f>
        <v>1270</v>
      </c>
      <c r="YM94" s="20" t="n">
        <f aca="false">IF(AND(H_Direct=1,DM94&gt;0),MAX(0,YL94-(MIN(DM94*UZ94,(YL94+ABY94))-MIN(MIN(DM94*UZ94,(YL94+ABY94)),ABY94))),YL94)</f>
        <v>1270</v>
      </c>
      <c r="YN94" s="20" t="n">
        <f aca="false">IF(AND(H_Direct=1,DN94&gt;0),MAX(0,YM94-(MIN(DN94*VA94,(YM94+ABZ94))-MIN(MIN(DN94*VA94,(YM94+ABZ94)),ABZ94))),YM94)</f>
        <v>1270</v>
      </c>
      <c r="YO94" s="20" t="n">
        <f aca="false">IF(AND(H_Direct=1,DO94&gt;0),MAX(0,YN94-(MIN(DO94*VB94,(YN94+ACA94))-MIN(MIN(DO94*VB94,(YN94+ACA94)),ACA94))),YN94)</f>
        <v>1270</v>
      </c>
      <c r="YP94" s="20" t="n">
        <f aca="false">IF(AND(H_Direct=1,DP94&gt;0),MAX(0,YO94-(MIN(DP94*VC94,(YO94+ACB94))-MIN(MIN(DP94*VC94,(YO94+ACB94)),ACB94))),YO94)</f>
        <v>1270</v>
      </c>
      <c r="YQ94" s="20" t="n">
        <f aca="false">IF(AND(H_Direct=1,DQ94&gt;0),MAX(0,YP94-(MIN(DQ94*VD94,(YP94+ACC94))-MIN(MIN(DQ94*VD94,(YP94+ACC94)),ACC94))),YP94)</f>
        <v>1270</v>
      </c>
      <c r="YR94" s="20" t="n">
        <f aca="false">IF(AND(H_Direct=1,DR94&gt;0),MAX(0,YQ94-(MIN(DR94*VE94,(YQ94+ACD94))-MIN(MIN(DR94*VE94,(YQ94+ACD94)),ACD94))),YQ94)</f>
        <v>1270</v>
      </c>
      <c r="YS94" s="20" t="n">
        <f aca="false">IF(AND(H_Direct=1,DS94&gt;0),MAX(0,YR94-(MIN(DS94*VF94,(YR94+ACE94))-MIN(MIN(DS94*VF94,(YR94+ACE94)),ACE94))),YR94)</f>
        <v>1270</v>
      </c>
      <c r="YT94" s="20" t="n">
        <f aca="false">IF(AND(H_Direct=1,DT94&gt;0),MAX(0,YS94-(MIN(DT94*VG94,(YS94+ACF94))-MIN(MIN(DT94*VG94,(YS94+ACF94)),ACF94))),YS94)</f>
        <v>1270</v>
      </c>
      <c r="YU94" s="20" t="n">
        <f aca="false">IF(AND(H_Direct=1,DU94&gt;0),MAX(0,YT94-(MIN(DU94*VH94,(YT94+ACG94))-MIN(MIN(DU94*VH94,(YT94+ACG94)),ACG94))),YT94)</f>
        <v>1270</v>
      </c>
      <c r="YV94" s="20" t="n">
        <f aca="false">IF(AND(H_Direct=1,DV94&gt;0),MAX(0,YU94-(MIN(DV94*VI94,(YU94+ACH94))-MIN(MIN(DV94*VI94,(YU94+ACH94)),ACH94))),YU94)</f>
        <v>1270</v>
      </c>
      <c r="YW94" s="20" t="n">
        <f aca="false">IF(AND(H_Direct=1,DW94&gt;0),MAX(0,YV94-(MIN(DW94*VJ94,(YV94+ACI94))-MIN(MIN(DW94*VJ94,(YV94+ACI94)),ACI94))),YV94)</f>
        <v>1270</v>
      </c>
      <c r="YX94" s="20" t="n">
        <f aca="false">IF(AND(H_Direct=1,DX94&gt;0),MAX(0,YW94-(MIN(DX94*VK94,(YW94+ACJ94))-MIN(MIN(DX94*VK94,(YW94+ACJ94)),ACJ94))),YW94)</f>
        <v>1270</v>
      </c>
      <c r="YY94" s="20" t="n">
        <f aca="false">IF(AND(H_Direct=1,DY94&gt;0),MAX(0,YX94-(MIN(DY94*VL94,(YX94+ACK94))-MIN(MIN(DY94*VL94,(YX94+ACK94)),ACK94))),YX94)</f>
        <v>1270</v>
      </c>
      <c r="YZ94" s="20" t="n">
        <f aca="false">IF(AND(H_Direct=1,DZ94&gt;0),MAX(0,YY94-(MIN(DZ94*VM94,(YY94+ACL94))-MIN(MIN(DZ94*VM94,(YY94+ACL94)),ACL94))),YY94)</f>
        <v>1270</v>
      </c>
      <c r="ZA94" s="20" t="n">
        <f aca="false">IF(AND(H_Direct=1,EA94&gt;0),MAX(0,YZ94-(MIN(EA94*VN94,(YZ94+ACM94))-MIN(MIN(EA94*VN94,(YZ94+ACM94)),ACM94))),YZ94)</f>
        <v>1270</v>
      </c>
      <c r="ZB94" s="20" t="n">
        <f aca="false">IF(AND(H_Direct=1,EB94&gt;0),MAX(0,ZA94-(MIN(EB94*VO94,(ZA94+ACN94))-MIN(MIN(EB94*VO94,(ZA94+ACN94)),ACN94))),ZA94)</f>
        <v>1270</v>
      </c>
      <c r="ZC94" s="20" t="n">
        <f aca="false">IF(AND(H_Direct=1,EC94&gt;0),MAX(0,ZB94-(MIN(EC94*VP94,(ZB94+ACO94))-MIN(MIN(EC94*VP94,(ZB94+ACO94)),ACO94))),ZB94)</f>
        <v>1270</v>
      </c>
      <c r="ZD94" s="20" t="n">
        <f aca="false">IF(AND(H_Direct=1,ED94&gt;0),MAX(0,ZC94-(MIN(ED94*VQ94,(ZC94+ACP94))-MIN(MIN(ED94*VQ94,(ZC94+ACP94)),ACP94))),ZC94)</f>
        <v>1270</v>
      </c>
      <c r="ZE94" s="20" t="n">
        <f aca="false">IF(AND(H_Direct=1,EE94&gt;0),MAX(0,ZD94-(MIN(EE94*VR94,(ZD94+ACQ94))-MIN(MIN(EE94*VR94,(ZD94+ACQ94)),ACQ94))),ZD94)</f>
        <v>1270</v>
      </c>
      <c r="ZF94" s="20" t="n">
        <f aca="false">IF(AND(H_Direct=1,EF94&gt;0),MAX(0,ZE94-(MIN(EF94*VS94,(ZE94+ACR94))-MIN(MIN(EF94*VS94,(ZE94+ACR94)),ACR94))),ZE94)</f>
        <v>1270</v>
      </c>
      <c r="ZG94" s="20" t="n">
        <f aca="false">IF(AND(H_Direct=1,EG94&gt;0),MAX(0,ZF94-(MIN(EG94*VT94,(ZF94+ACS94))-MIN(MIN(EG94*VT94,(ZF94+ACS94)),ACS94))),ZF94)</f>
        <v>1270</v>
      </c>
      <c r="ZH94" s="20" t="n">
        <f aca="false">IF(AND(H_Direct=1,EH94&gt;0),MAX(0,ZG94-(MIN(EH94*VU94,(ZG94+ACT94))-MIN(MIN(EH94*VU94,(ZG94+ACT94)),ACT94))),ZG94)</f>
        <v>1270</v>
      </c>
      <c r="ZI94" s="20" t="n">
        <f aca="false">IF(AND(H_Direct=1,EI94&gt;0),MAX(0,ZH94-(MIN(EI94*VV94,(ZH94+ACU94))-MIN(MIN(EI94*VV94,(ZH94+ACU94)),ACU94))),ZH94)</f>
        <v>1270</v>
      </c>
      <c r="ZJ94" s="20" t="n">
        <f aca="false">IF(AND(H_Direct=1,EJ94&gt;0),MAX(0,ZI94-(MIN(EJ94*VW94,(ZI94+ACV94))-MIN(MIN(EJ94*VW94,(ZI94+ACV94)),ACV94))),ZI94)</f>
        <v>1270</v>
      </c>
      <c r="ZK94" s="20" t="n">
        <f aca="false">IF(AND(H_Direct=1,EK94&gt;0),MAX(0,ZJ94-(MIN(EK94*VX94,(ZJ94+ACW94))-MIN(MIN(EK94*VX94,(ZJ94+ACW94)),ACW94))),ZJ94)</f>
        <v>1270</v>
      </c>
      <c r="ZL94" s="20" t="n">
        <f aca="false">IF(AND(H_Direct=1,EL94&gt;0),MAX(0,ZK94-(MIN(EL94*VY94,(ZK94+ACX94))-MIN(MIN(EL94*VY94,(ZK94+ACX94)),ACX94))),ZK94)</f>
        <v>1270</v>
      </c>
      <c r="ZM94" s="20" t="n">
        <f aca="false">IF(AND(H_Direct=1,EM94&gt;0),MAX(0,ZL94-(MIN(EM94*VZ94,(ZL94+ACY94))-MIN(MIN(EM94*VZ94,(ZL94+ACY94)),ACY94))),ZL94)</f>
        <v>1270</v>
      </c>
      <c r="ZN94" s="20" t="n">
        <f aca="false">IF(AND(H_Direct=1,EN94&gt;0),MAX(0,ZM94-(MIN(EN94*WA94,(ZM94+ACZ94))-MIN(MIN(EN94*WA94,(ZM94+ACZ94)),ACZ94))),ZM94)</f>
        <v>1270</v>
      </c>
      <c r="ZO94" s="20" t="n">
        <f aca="false">IF(AND(H_Direct=1,EO94&gt;0),MAX(0,ZN94-(MIN(EO94*WB94,(ZN94+ADA94))-MIN(MIN(EO94*WB94,(ZN94+ADA94)),ADA94))),ZN94)</f>
        <v>1270</v>
      </c>
      <c r="ZP94" s="20" t="n">
        <f aca="false">IF(AND(H_Direct=1,EP94&gt;0),MAX(0,ZO94-(MIN(EP94*WC94,(ZO94+ADB94))-MIN(MIN(EP94*WC94,(ZO94+ADB94)),ADB94))),ZO94)</f>
        <v>1270</v>
      </c>
      <c r="ZQ94" s="20" t="n">
        <f aca="false">IF(AND(H_Direct=1,EQ94&gt;0),MAX(0,ZP94-(MIN(EQ94*WD94,(ZP94+ADC94))-MIN(MIN(EQ94*WD94,(ZP94+ADC94)),ADC94))),ZP94)</f>
        <v>1270</v>
      </c>
      <c r="ZR94" s="20" t="n">
        <f aca="false">IF(AND(H_Direct=1,ER94&gt;0),MAX(0,ZQ94-(MIN(ER94*WE94,(ZQ94+ADD94))-MIN(MIN(ER94*WE94,(ZQ94+ADD94)),ADD94))),ZQ94)</f>
        <v>1270</v>
      </c>
      <c r="ZS94" s="20" t="n">
        <f aca="false">IF(AND(H_Direct=1,ES94&gt;0),MAX(0,ZR94-(MIN(ES94*WF94,(ZR94+ADE94))-MIN(MIN(ES94*WF94,(ZR94+ADE94)),ADE94))),ZR94)</f>
        <v>1270</v>
      </c>
      <c r="ZT94" s="20" t="n">
        <f aca="false">IF(AND(H_Direct=1,ET94&gt;0),MAX(0,ZS94-(MIN(ET94*WG94,(ZS94+ADF94))-MIN(MIN(ET94*WG94,(ZS94+ADF94)),ADF94))),ZS94)</f>
        <v>1270</v>
      </c>
      <c r="ZU94" s="20" t="n">
        <f aca="false">IF(AND(H_Direct=1,EU94&gt;0),MAX(0,ZT94-(MIN(EU94*WH94,(ZT94+ADG94))-MIN(MIN(EU94*WH94,(ZT94+ADG94)),ADG94))),ZT94)</f>
        <v>1270</v>
      </c>
      <c r="ZV94" s="20" t="n">
        <f aca="false">IF(AND(H_Direct=1,EV94&gt;0),MAX(0,ZU94-(MIN(EV94*WI94,(ZU94+ADH94))-MIN(MIN(EV94*WI94,(ZU94+ADH94)),ADH94))),ZU94)</f>
        <v>1270</v>
      </c>
      <c r="ZW94" s="20" t="n">
        <f aca="false">IF(AND(H_Direct=1,EW94&gt;0),MAX(0,ZV94-(MIN(EW94*WJ94,(ZV94+ADI94))-MIN(MIN(EW94*WJ94,(ZV94+ADI94)),ADI94))),ZV94)</f>
        <v>1270</v>
      </c>
      <c r="ZX94" s="20" t="n">
        <f aca="false">IF(AND(H_Direct=1,EX94&gt;0),MAX(0,ZW94-(MIN(EX94*WK94,(ZW94+ADJ94))-MIN(MIN(EX94*WK94,(ZW94+ADJ94)),ADJ94))),ZW94)</f>
        <v>1270</v>
      </c>
      <c r="ZY94" s="20" t="n">
        <f aca="false">IF(AND(H_Direct=1,EY94&gt;0),MAX(0,ZX94-(MIN(EY94*WL94,(ZX94+ADK94))-MIN(MIN(EY94*WL94,(ZX94+ADK94)),ADK94))),ZX94)</f>
        <v>1270</v>
      </c>
      <c r="ZZ94" s="20" t="n">
        <f aca="false">IF(AND(H_Direct=1,EZ94&gt;0),MAX(0,ZY94-(MIN(EZ94*WM94,(ZY94+ADL94))-MIN(MIN(EZ94*WM94,(ZY94+ADL94)),ADL94))),ZY94)</f>
        <v>1270</v>
      </c>
      <c r="AAA94" s="20" t="n">
        <f aca="false">IF(AND(H_Direct=1,FA94&gt;0),MAX(0,ZZ94-(MIN(FA94*WN94,(ZZ94+ADM94))-MIN(MIN(FA94*WN94,(ZZ94+ADM94)),ADM94))),ZZ94)</f>
        <v>1270</v>
      </c>
      <c r="AAB94" s="20" t="n">
        <f aca="false">AAA94</f>
        <v>1270</v>
      </c>
      <c r="AAC94" s="20" t="n">
        <f aca="false">AAB94</f>
        <v>1270</v>
      </c>
      <c r="AAD94" s="20" t="n">
        <f aca="false">AAC94</f>
        <v>1270</v>
      </c>
      <c r="AAE94" s="20" t="n">
        <f aca="false">IF(H_Direct=1,IF(BR94&lt;=0,I94-BR94*TE94,I94-MIN(MIN(BR94*TE94,(H94+I94)),I94)),I94)</f>
        <v>0</v>
      </c>
      <c r="AAF94" s="20" t="n">
        <f aca="false">IF(H_Direct=1,IF(BS94&lt;=0,AAE94-BS94*TF94,AAE94-MIN(MIN(BS94*TF94,(WR94+AAE94)),AAE94)),AAE94)</f>
        <v>0</v>
      </c>
      <c r="AAG94" s="20" t="n">
        <f aca="false">IF(H_Direct=1,IF(BT94&lt;=0,AAF94-BT94*TG94,AAF94-MIN(MIN(BT94*TG94,(WS94+AAF94)),AAF94)),AAF94)</f>
        <v>0</v>
      </c>
      <c r="AAH94" s="20" t="n">
        <f aca="false">IF(H_Direct=1,IF(BU94&lt;=0,AAG94-BU94*TH94,AAG94-MIN(MIN(BU94*TH94,(WT94+AAG94)),AAG94)),AAG94)</f>
        <v>0</v>
      </c>
      <c r="AAI94" s="20" t="n">
        <f aca="false">IF(H_Direct=1,IF(BV94&lt;=0,AAH94-BV94*TI94,AAH94-MIN(MIN(BV94*TI94,(WU94+AAH94)),AAH94)),AAH94)</f>
        <v>0</v>
      </c>
      <c r="AAJ94" s="20" t="n">
        <f aca="false">IF(H_Direct=1,IF(BW94&lt;=0,AAI94-BW94*TJ94,AAI94-MIN(MIN(BW94*TJ94,(WV94+AAI94)),AAI94)),AAI94)</f>
        <v>0</v>
      </c>
      <c r="AAK94" s="20" t="n">
        <f aca="false">IF(H_Direct=1,IF(BX94&lt;=0,AAJ94-BX94*TK94,AAJ94-MIN(MIN(BX94*TK94,(WW94+AAJ94)),AAJ94)),AAJ94)</f>
        <v>0</v>
      </c>
      <c r="AAL94" s="20" t="n">
        <f aca="false">IF(H_Direct=1,IF(BY94&lt;=0,AAK94-BY94*TL94,AAK94-MIN(MIN(BY94*TL94,(WX94+AAK94)),AAK94)),AAK94)</f>
        <v>0</v>
      </c>
      <c r="AAM94" s="20" t="n">
        <f aca="false">IF(H_Direct=1,IF(BZ94&lt;=0,AAL94-BZ94*TM94,AAL94-MIN(MIN(BZ94*TM94,(WY94+AAL94)),AAL94)),AAL94)</f>
        <v>0</v>
      </c>
      <c r="AAN94" s="20" t="n">
        <f aca="false">IF(H_Direct=1,IF(CA94&lt;=0,AAM94-CA94*TN94,AAM94-MIN(MIN(CA94*TN94,(WZ94+AAM94)),AAM94)),AAM94)</f>
        <v>0</v>
      </c>
      <c r="AAO94" s="20" t="n">
        <f aca="false">IF(H_Direct=1,IF(CB94&lt;=0,AAN94-CB94*TO94,AAN94-MIN(MIN(CB94*TO94,(XA94+AAN94)),AAN94)),AAN94)</f>
        <v>0</v>
      </c>
      <c r="AAP94" s="20" t="n">
        <f aca="false">IF(H_Direct=1,IF(CC94&lt;=0,AAO94-CC94*TP94,AAO94-MIN(MIN(CC94*TP94,(XB94+AAO94)),AAO94)),AAO94)</f>
        <v>0</v>
      </c>
      <c r="AAQ94" s="20" t="n">
        <f aca="false">IF(H_Direct=1,IF(CD94&lt;=0,AAP94-CD94*TQ94,AAP94-MIN(MIN(CD94*TQ94,(XC94+AAP94)),AAP94)),AAP94)</f>
        <v>0</v>
      </c>
      <c r="AAR94" s="20" t="n">
        <f aca="false">IF(H_Direct=1,IF(CE94&lt;=0,AAQ94-CE94*TR94,AAQ94-MIN(MIN(CE94*TR94,(XD94+AAQ94)),AAQ94)),AAQ94)</f>
        <v>0</v>
      </c>
      <c r="AAS94" s="20" t="n">
        <f aca="false">IF(H_Direct=1,IF(CF94&lt;=0,AAR94-CF94*TS94,AAR94-MIN(MIN(CF94*TS94,(XE94+AAR94)),AAR94)),AAR94)</f>
        <v>0</v>
      </c>
      <c r="AAT94" s="20" t="n">
        <f aca="false">IF(H_Direct=1,IF(CG94&lt;=0,AAS94-CG94*TT94,AAS94-MIN(MIN(CG94*TT94,(XF94+AAS94)),AAS94)),AAS94)</f>
        <v>0</v>
      </c>
      <c r="AAU94" s="20" t="n">
        <f aca="false">IF(H_Direct=1,IF(CH94&lt;=0,AAT94-CH94*TU94,AAT94-MIN(MIN(CH94*TU94,(XG94+AAT94)),AAT94)),AAT94)</f>
        <v>0</v>
      </c>
      <c r="AAV94" s="20" t="n">
        <f aca="false">IF(H_Direct=1,IF(CI94&lt;=0,AAU94-CI94*TV94,AAU94-MIN(MIN(CI94*TV94,(XH94+AAU94)),AAU94)),AAU94)</f>
        <v>0</v>
      </c>
      <c r="AAW94" s="20" t="n">
        <f aca="false">IF(H_Direct=1,IF(CJ94&lt;=0,AAV94-CJ94*TW94,AAV94-MIN(MIN(CJ94*TW94,(XI94+AAV94)),AAV94)),AAV94)</f>
        <v>0</v>
      </c>
      <c r="AAX94" s="20" t="n">
        <f aca="false">IF(H_Direct=1,IF(CK94&lt;=0,AAW94-CK94*TX94,AAW94-MIN(MIN(CK94*TX94,(XJ94+AAW94)),AAW94)),AAW94)</f>
        <v>0</v>
      </c>
      <c r="AAY94" s="20" t="n">
        <f aca="false">IF(H_Direct=1,IF(CL94&lt;=0,AAX94-CL94*TY94,AAX94-MIN(MIN(CL94*TY94,(XK94+AAX94)),AAX94)),AAX94)</f>
        <v>0</v>
      </c>
      <c r="AAZ94" s="20" t="n">
        <f aca="false">IF(H_Direct=1,IF(CM94&lt;=0,AAY94-CM94*TZ94,AAY94-MIN(MIN(CM94*TZ94,(XL94+AAY94)),AAY94)),AAY94)</f>
        <v>0</v>
      </c>
      <c r="ABA94" s="20" t="n">
        <f aca="false">IF(H_Direct=1,IF(CN94&lt;=0,AAZ94-CN94*UA94,AAZ94-MIN(MIN(CN94*UA94,(XM94+AAZ94)),AAZ94)),AAZ94)</f>
        <v>0</v>
      </c>
      <c r="ABB94" s="20" t="n">
        <f aca="false">IF(H_Direct=1,IF(CO94&lt;=0,ABA94-CO94*UB94,ABA94-MIN(MIN(CO94*UB94,(XN94+ABA94)),ABA94)),ABA94)</f>
        <v>0</v>
      </c>
      <c r="ABC94" s="20" t="n">
        <f aca="false">IF(H_Direct=1,IF(CP94&lt;=0,ABB94-CP94*UC94,ABB94-MIN(MIN(CP94*UC94,(XO94+ABB94)),ABB94)),ABB94)</f>
        <v>0</v>
      </c>
      <c r="ABD94" s="20" t="n">
        <f aca="false">IF(H_Direct=1,IF(CQ94&lt;=0,ABC94-CQ94*UD94,ABC94-MIN(MIN(CQ94*UD94,(XP94+ABC94)),ABC94)),ABC94)</f>
        <v>0</v>
      </c>
      <c r="ABE94" s="20" t="n">
        <f aca="false">IF(H_Direct=1,IF(CR94&lt;=0,ABD94-CR94*UE94,ABD94-MIN(MIN(CR94*UE94,(XQ94+ABD94)),ABD94)),ABD94)</f>
        <v>0</v>
      </c>
      <c r="ABF94" s="20" t="n">
        <f aca="false">IF(H_Direct=1,IF(CS94&lt;=0,ABE94-CS94*UF94,ABE94-MIN(MIN(CS94*UF94,(XR94+ABE94)),ABE94)),ABE94)</f>
        <v>0</v>
      </c>
      <c r="ABG94" s="20" t="n">
        <f aca="false">IF(H_Direct=1,IF(CT94&lt;=0,ABF94-CT94*UG94,ABF94-MIN(MIN(CT94*UG94,(XS94+ABF94)),ABF94)),ABF94)</f>
        <v>0</v>
      </c>
      <c r="ABH94" s="20" t="n">
        <f aca="false">IF(H_Direct=1,IF(CU94&lt;=0,ABG94-CU94*UH94,ABG94-MIN(MIN(CU94*UH94,(XT94+ABG94)),ABG94)),ABG94)</f>
        <v>0</v>
      </c>
      <c r="ABI94" s="20" t="n">
        <f aca="false">IF(H_Direct=1,IF(CV94&lt;=0,ABH94-CV94*UI94,ABH94-MIN(MIN(CV94*UI94,(XU94+ABH94)),ABH94)),ABH94)</f>
        <v>0</v>
      </c>
      <c r="ABJ94" s="20" t="n">
        <f aca="false">IF(H_Direct=1,IF(CW94&lt;=0,ABI94-CW94*UJ94,ABI94-MIN(MIN(CW94*UJ94,(XV94+ABI94)),ABI94)),ABI94)</f>
        <v>0</v>
      </c>
      <c r="ABK94" s="20" t="n">
        <f aca="false">IF(H_Direct=1,IF(CX94&lt;=0,ABJ94-CX94*UK94,ABJ94-MIN(MIN(CX94*UK94,(XW94+ABJ94)),ABJ94)),ABJ94)</f>
        <v>0</v>
      </c>
      <c r="ABL94" s="20" t="n">
        <f aca="false">IF(H_Direct=1,IF(CY94&lt;=0,ABK94-CY94*UL94,ABK94-MIN(MIN(CY94*UL94,(XX94+ABK94)),ABK94)),ABK94)</f>
        <v>0</v>
      </c>
      <c r="ABM94" s="20" t="n">
        <f aca="false">IF(H_Direct=1,IF(CZ94&lt;=0,ABL94-CZ94*UM94,ABL94-MIN(MIN(CZ94*UM94,(XY94+ABL94)),ABL94)),ABL94)</f>
        <v>0</v>
      </c>
      <c r="ABN94" s="20" t="n">
        <f aca="false">IF(H_Direct=1,IF(DA94&lt;=0,ABM94-DA94*UN94,ABM94-MIN(MIN(DA94*UN94,(XZ94+ABM94)),ABM94)),ABM94)</f>
        <v>0</v>
      </c>
      <c r="ABO94" s="20" t="n">
        <f aca="false">IF(H_Direct=1,IF(DB94&lt;=0,ABN94-DB94*UO94,ABN94-MIN(MIN(DB94*UO94,(YA94+ABN94)),ABN94)),ABN94)</f>
        <v>0</v>
      </c>
      <c r="ABP94" s="20" t="n">
        <f aca="false">IF(H_Direct=1,IF(DC94&lt;=0,ABO94-DC94*UP94,ABO94-MIN(MIN(DC94*UP94,(YB94+ABO94)),ABO94)),ABO94)</f>
        <v>0</v>
      </c>
      <c r="ABQ94" s="20" t="n">
        <f aca="false">IF(H_Direct=1,IF(DD94&lt;=0,ABP94-DD94*UQ94,ABP94-MIN(MIN(DD94*UQ94,(YC94+ABP94)),ABP94)),ABP94)</f>
        <v>0</v>
      </c>
      <c r="ABR94" s="20" t="n">
        <f aca="false">IF(H_Direct=1,IF(DE94&lt;=0,ABQ94-DE94*UR94,ABQ94-MIN(MIN(DE94*UR94,(YD94+ABQ94)),ABQ94)),ABQ94)</f>
        <v>0</v>
      </c>
      <c r="ABS94" s="20" t="n">
        <f aca="false">IF(H_Direct=1,IF(DF94&lt;=0,ABR94-DF94*US94,ABR94-MIN(MIN(DF94*US94,(YE94+ABR94)),ABR94)),ABR94)</f>
        <v>0</v>
      </c>
      <c r="ABT94" s="20" t="n">
        <f aca="false">IF(H_Direct=1,IF(DG94&lt;=0,ABS94-DG94*UT94,ABS94-MIN(MIN(DG94*UT94,(YF94+ABS94)),ABS94)),ABS94)</f>
        <v>0</v>
      </c>
      <c r="ABU94" s="20" t="n">
        <f aca="false">IF(H_Direct=1,IF(DH94&lt;=0,ABT94-DH94*UU94,ABT94-MIN(MIN(DH94*UU94,(YG94+ABT94)),ABT94)),ABT94)</f>
        <v>0</v>
      </c>
      <c r="ABV94" s="20" t="n">
        <f aca="false">IF(H_Direct=1,IF(DI94&lt;=0,ABU94-DI94*UV94,ABU94-MIN(MIN(DI94*UV94,(YH94+ABU94)),ABU94)),ABU94)</f>
        <v>0</v>
      </c>
      <c r="ABW94" s="20" t="n">
        <f aca="false">IF(H_Direct=1,IF(DJ94&lt;=0,ABV94-DJ94*UW94,ABV94-MIN(MIN(DJ94*UW94,(YI94+ABV94)),ABV94)),ABV94)</f>
        <v>0</v>
      </c>
      <c r="ABX94" s="20" t="n">
        <f aca="false">IF(H_Direct=1,IF(DK94&lt;=0,ABW94-DK94*UX94,ABW94-MIN(MIN(DK94*UX94,(YJ94+ABW94)),ABW94)),ABW94)</f>
        <v>0</v>
      </c>
      <c r="ABY94" s="20" t="n">
        <f aca="false">IF(H_Direct=1,IF(DL94&lt;=0,ABX94-DL94*UY94,ABX94-MIN(MIN(DL94*UY94,(YK94+ABX94)),ABX94)),ABX94)</f>
        <v>0</v>
      </c>
      <c r="ABZ94" s="20" t="n">
        <f aca="false">IF(H_Direct=1,IF(DM94&lt;=0,ABY94-DM94*UZ94,ABY94-MIN(MIN(DM94*UZ94,(YL94+ABY94)),ABY94)),ABY94)</f>
        <v>0</v>
      </c>
      <c r="ACA94" s="20" t="n">
        <f aca="false">IF(H_Direct=1,IF(DN94&lt;=0,ABZ94-DN94*VA94,ABZ94-MIN(MIN(DN94*VA94,(YM94+ABZ94)),ABZ94)),ABZ94)</f>
        <v>0</v>
      </c>
      <c r="ACB94" s="20" t="n">
        <f aca="false">IF(H_Direct=1,IF(DO94&lt;=0,ACA94-DO94*VB94,ACA94-MIN(MIN(DO94*VB94,(YN94+ACA94)),ACA94)),ACA94)</f>
        <v>0</v>
      </c>
      <c r="ACC94" s="20" t="n">
        <f aca="false">IF(H_Direct=1,IF(DP94&lt;=0,ACB94-DP94*VC94,ACB94-MIN(MIN(DP94*VC94,(YO94+ACB94)),ACB94)),ACB94)</f>
        <v>0</v>
      </c>
      <c r="ACD94" s="20" t="n">
        <f aca="false">IF(H_Direct=1,IF(DQ94&lt;=0,ACC94-DQ94*VD94,ACC94-MIN(MIN(DQ94*VD94,(YP94+ACC94)),ACC94)),ACC94)</f>
        <v>0</v>
      </c>
      <c r="ACE94" s="20" t="n">
        <f aca="false">IF(H_Direct=1,IF(DR94&lt;=0,ACD94-DR94*VE94,ACD94-MIN(MIN(DR94*VE94,(YQ94+ACD94)),ACD94)),ACD94)</f>
        <v>0</v>
      </c>
      <c r="ACF94" s="20" t="n">
        <f aca="false">IF(H_Direct=1,IF(DS94&lt;=0,ACE94-DS94*VF94,ACE94-MIN(MIN(DS94*VF94,(YR94+ACE94)),ACE94)),ACE94)</f>
        <v>0</v>
      </c>
      <c r="ACG94" s="20" t="n">
        <f aca="false">IF(H_Direct=1,IF(DT94&lt;=0,ACF94-DT94*VG94,ACF94-MIN(MIN(DT94*VG94,(YS94+ACF94)),ACF94)),ACF94)</f>
        <v>0</v>
      </c>
      <c r="ACH94" s="20" t="n">
        <f aca="false">IF(H_Direct=1,IF(DU94&lt;=0,ACG94-DU94*VH94,ACG94-MIN(MIN(DU94*VH94,(YT94+ACG94)),ACG94)),ACG94)</f>
        <v>0</v>
      </c>
      <c r="ACI94" s="20" t="n">
        <f aca="false">IF(H_Direct=1,IF(DV94&lt;=0,ACH94-DV94*VI94,ACH94-MIN(MIN(DV94*VI94,(YU94+ACH94)),ACH94)),ACH94)</f>
        <v>0</v>
      </c>
      <c r="ACJ94" s="20" t="n">
        <f aca="false">IF(H_Direct=1,IF(DW94&lt;=0,ACI94-DW94*VJ94,ACI94-MIN(MIN(DW94*VJ94,(YV94+ACI94)),ACI94)),ACI94)</f>
        <v>0</v>
      </c>
      <c r="ACK94" s="20" t="n">
        <f aca="false">IF(H_Direct=1,IF(DX94&lt;=0,ACJ94-DX94*VK94,ACJ94-MIN(MIN(DX94*VK94,(YW94+ACJ94)),ACJ94)),ACJ94)</f>
        <v>0</v>
      </c>
      <c r="ACL94" s="20" t="n">
        <f aca="false">IF(H_Direct=1,IF(DY94&lt;=0,ACK94-DY94*VL94,ACK94-MIN(MIN(DY94*VL94,(YX94+ACK94)),ACK94)),ACK94)</f>
        <v>0</v>
      </c>
      <c r="ACM94" s="20" t="n">
        <f aca="false">IF(H_Direct=1,IF(DZ94&lt;=0,ACL94-DZ94*VM94,ACL94-MIN(MIN(DZ94*VM94,(YY94+ACL94)),ACL94)),ACL94)</f>
        <v>0</v>
      </c>
      <c r="ACN94" s="20" t="n">
        <f aca="false">IF(H_Direct=1,IF(EA94&lt;=0,ACM94-EA94*VN94,ACM94-MIN(MIN(EA94*VN94,(YZ94+ACM94)),ACM94)),ACM94)</f>
        <v>0</v>
      </c>
      <c r="ACO94" s="20" t="n">
        <f aca="false">IF(H_Direct=1,IF(EB94&lt;=0,ACN94-EB94*VO94,ACN94-MIN(MIN(EB94*VO94,(ZA94+ACN94)),ACN94)),ACN94)</f>
        <v>0</v>
      </c>
      <c r="ACP94" s="20" t="n">
        <f aca="false">IF(H_Direct=1,IF(EC94&lt;=0,ACO94-EC94*VP94,ACO94-MIN(MIN(EC94*VP94,(ZB94+ACO94)),ACO94)),ACO94)</f>
        <v>0</v>
      </c>
      <c r="ACQ94" s="20" t="n">
        <f aca="false">IF(H_Direct=1,IF(ED94&lt;=0,ACP94-ED94*VQ94,ACP94-MIN(MIN(ED94*VQ94,(ZC94+ACP94)),ACP94)),ACP94)</f>
        <v>0</v>
      </c>
      <c r="ACR94" s="20" t="n">
        <f aca="false">IF(H_Direct=1,IF(EE94&lt;=0,ACQ94-EE94*VR94,ACQ94-MIN(MIN(EE94*VR94,(ZD94+ACQ94)),ACQ94)),ACQ94)</f>
        <v>0</v>
      </c>
      <c r="ACS94" s="20" t="n">
        <f aca="false">IF(H_Direct=1,IF(EF94&lt;=0,ACR94-EF94*VS94,ACR94-MIN(MIN(EF94*VS94,(ZE94+ACR94)),ACR94)),ACR94)</f>
        <v>0</v>
      </c>
      <c r="ACT94" s="20" t="n">
        <f aca="false">IF(H_Direct=1,IF(EG94&lt;=0,ACS94-EG94*VT94,ACS94-MIN(MIN(EG94*VT94,(ZF94+ACS94)),ACS94)),ACS94)</f>
        <v>0</v>
      </c>
      <c r="ACU94" s="20" t="n">
        <f aca="false">IF(H_Direct=1,IF(EH94&lt;=0,ACT94-EH94*VU94,ACT94-MIN(MIN(EH94*VU94,(ZG94+ACT94)),ACT94)),ACT94)</f>
        <v>0</v>
      </c>
      <c r="ACV94" s="20" t="n">
        <f aca="false">IF(H_Direct=1,IF(EI94&lt;=0,ACU94-EI94*VV94,ACU94-MIN(MIN(EI94*VV94,(ZH94+ACU94)),ACU94)),ACU94)</f>
        <v>0</v>
      </c>
      <c r="ACW94" s="20" t="n">
        <f aca="false">IF(H_Direct=1,IF(EJ94&lt;=0,ACV94-EJ94*VW94,ACV94-MIN(MIN(EJ94*VW94,(ZI94+ACV94)),ACV94)),ACV94)</f>
        <v>0</v>
      </c>
      <c r="ACX94" s="20" t="n">
        <f aca="false">IF(H_Direct=1,IF(EK94&lt;=0,ACW94-EK94*VX94,ACW94-MIN(MIN(EK94*VX94,(ZJ94+ACW94)),ACW94)),ACW94)</f>
        <v>0</v>
      </c>
      <c r="ACY94" s="20" t="n">
        <f aca="false">IF(H_Direct=1,IF(EL94&lt;=0,ACX94-EL94*VY94,ACX94-MIN(MIN(EL94*VY94,(ZK94+ACX94)),ACX94)),ACX94)</f>
        <v>0</v>
      </c>
      <c r="ACZ94" s="20" t="n">
        <f aca="false">IF(H_Direct=1,IF(EM94&lt;=0,ACY94-EM94*VZ94,ACY94-MIN(MIN(EM94*VZ94,(ZL94+ACY94)),ACY94)),ACY94)</f>
        <v>0</v>
      </c>
      <c r="ADA94" s="20" t="n">
        <f aca="false">IF(H_Direct=1,IF(EN94&lt;=0,ACZ94-EN94*WA94,ACZ94-MIN(MIN(EN94*WA94,(ZM94+ACZ94)),ACZ94)),ACZ94)</f>
        <v>0</v>
      </c>
      <c r="ADB94" s="20" t="n">
        <f aca="false">IF(H_Direct=1,IF(EO94&lt;=0,ADA94-EO94*WB94,ADA94-MIN(MIN(EO94*WB94,(ZN94+ADA94)),ADA94)),ADA94)</f>
        <v>0</v>
      </c>
      <c r="ADC94" s="20" t="n">
        <f aca="false">IF(H_Direct=1,IF(EP94&lt;=0,ADB94-EP94*WC94,ADB94-MIN(MIN(EP94*WC94,(ZO94+ADB94)),ADB94)),ADB94)</f>
        <v>0</v>
      </c>
      <c r="ADD94" s="20" t="n">
        <f aca="false">IF(H_Direct=1,IF(EQ94&lt;=0,ADC94-EQ94*WD94,ADC94-MIN(MIN(EQ94*WD94,(ZP94+ADC94)),ADC94)),ADC94)</f>
        <v>0</v>
      </c>
      <c r="ADE94" s="20" t="n">
        <f aca="false">IF(H_Direct=1,IF(ER94&lt;=0,ADD94-ER94*WE94,ADD94-MIN(MIN(ER94*WE94,(ZQ94+ADD94)),ADD94)),ADD94)</f>
        <v>0</v>
      </c>
      <c r="ADF94" s="20" t="n">
        <f aca="false">IF(H_Direct=1,IF(ES94&lt;=0,ADE94-ES94*WF94,ADE94-MIN(MIN(ES94*WF94,(ZR94+ADE94)),ADE94)),ADE94)</f>
        <v>0</v>
      </c>
      <c r="ADG94" s="20" t="n">
        <f aca="false">IF(H_Direct=1,IF(ET94&lt;=0,ADF94-ET94*WG94,ADF94-MIN(MIN(ET94*WG94,(ZS94+ADF94)),ADF94)),ADF94)</f>
        <v>0</v>
      </c>
      <c r="ADH94" s="20" t="n">
        <f aca="false">IF(H_Direct=1,IF(EU94&lt;=0,ADG94-EU94*WH94,ADG94-MIN(MIN(EU94*WH94,(ZT94+ADG94)),ADG94)),ADG94)</f>
        <v>0</v>
      </c>
      <c r="ADI94" s="20" t="n">
        <f aca="false">IF(H_Direct=1,IF(EV94&lt;=0,ADH94-EV94*WI94,ADH94-MIN(MIN(EV94*WI94,(ZU94+ADH94)),ADH94)),ADH94)</f>
        <v>0</v>
      </c>
      <c r="ADJ94" s="20" t="n">
        <f aca="false">IF(H_Direct=1,IF(EW94&lt;=0,ADI94-EW94*WJ94,ADI94-MIN(MIN(EW94*WJ94,(ZV94+ADI94)),ADI94)),ADI94)</f>
        <v>0</v>
      </c>
      <c r="ADK94" s="20" t="n">
        <f aca="false">IF(H_Direct=1,IF(EX94&lt;=0,ADJ94-EX94*WK94,ADJ94-MIN(MIN(EX94*WK94,(ZW94+ADJ94)),ADJ94)),ADJ94)</f>
        <v>0</v>
      </c>
      <c r="ADL94" s="20" t="n">
        <f aca="false">IF(H_Direct=1,IF(EY94&lt;=0,ADK94-EY94*WL94,ADK94-MIN(MIN(EY94*WL94,(ZX94+ADK94)),ADK94)),ADK94)</f>
        <v>0</v>
      </c>
      <c r="ADM94" s="20" t="n">
        <f aca="false">IF(H_Direct=1,IF(EZ94&lt;=0,ADL94-EZ94*WM94,ADL94-MIN(MIN(EZ94*WM94,(ZY94+ADL94)),ADL94)),ADL94)</f>
        <v>0</v>
      </c>
      <c r="ADN94" s="20" t="n">
        <f aca="false">IF(H_Direct=1,IF(FA94&lt;=0,ADM94-FA94*WN94,ADM94-MIN(MIN(FA94*WN94,(ZZ94+ADM94)),ADM94)),ADM94)</f>
        <v>0</v>
      </c>
      <c r="ADO94" s="20" t="n">
        <f aca="false">ADN94</f>
        <v>0</v>
      </c>
      <c r="ADP94" s="20" t="n">
        <f aca="false">ADO94</f>
        <v>0</v>
      </c>
      <c r="ADQ94" s="20" t="n">
        <f aca="false">ADP94</f>
        <v>0</v>
      </c>
      <c r="ADR94" s="20" t="n">
        <f aca="false">(AKR93-TE94+0)*(1+BQ94)</f>
        <v>0</v>
      </c>
      <c r="ADS94" s="20" t="n">
        <f aca="false">(AKS93-TF94+0)*(1+BQ94)</f>
        <v>0</v>
      </c>
      <c r="ADT94" s="20" t="n">
        <f aca="false">(AKT93-TG94+0)*(1+BQ94)</f>
        <v>0</v>
      </c>
      <c r="ADU94" s="20" t="n">
        <f aca="false">(AKU93-TH94+0)*(1+BQ94)</f>
        <v>0</v>
      </c>
      <c r="ADV94" s="20" t="n">
        <f aca="false">(AKV93-TI94+0)*(1+BQ94)</f>
        <v>0</v>
      </c>
      <c r="ADW94" s="20" t="n">
        <f aca="false">(AKW93-TJ94+0)*(1+BQ94)</f>
        <v>0</v>
      </c>
      <c r="ADX94" s="20" t="n">
        <f aca="false">(AKX93-TK94+0)*(1+BQ94)</f>
        <v>0</v>
      </c>
      <c r="ADY94" s="20" t="n">
        <f aca="false">(AKY93-TL94+0)*(1+BQ94)</f>
        <v>0</v>
      </c>
      <c r="ADZ94" s="20" t="n">
        <f aca="false">(AKZ93-TM94+0)*(1+BQ94)</f>
        <v>0</v>
      </c>
      <c r="AEA94" s="20" t="n">
        <f aca="false">(ALA93-TN94+0)*(1+BQ94)</f>
        <v>0</v>
      </c>
      <c r="AEB94" s="20" t="n">
        <f aca="false">(ALB93-TO94+0)*(1+BQ94)</f>
        <v>0</v>
      </c>
      <c r="AEC94" s="20" t="n">
        <f aca="false">(ALC93-TP94+0)*(1+BQ94)</f>
        <v>0</v>
      </c>
      <c r="AED94" s="20" t="n">
        <f aca="false">(ALD93-TQ94+0)*(1+BQ94)</f>
        <v>0</v>
      </c>
      <c r="AEE94" s="20" t="n">
        <f aca="false">(ALE93-TR94+0)*(1+BQ94)</f>
        <v>0</v>
      </c>
      <c r="AEF94" s="20" t="n">
        <f aca="false">(ALF93-TS94+0)*(1+BQ94)</f>
        <v>0</v>
      </c>
      <c r="AEG94" s="20" t="n">
        <f aca="false">(ALG93-TT94+0)*(1+BQ94)</f>
        <v>0</v>
      </c>
      <c r="AEH94" s="20" t="n">
        <f aca="false">(ALH93-TU94+0)*(1+BQ94)</f>
        <v>0</v>
      </c>
      <c r="AEI94" s="20" t="n">
        <f aca="false">(ALI93-TV94+0)*(1+BQ94)</f>
        <v>0</v>
      </c>
      <c r="AEJ94" s="20" t="n">
        <f aca="false">(ALJ93-TW94+0)*(1+BQ94)</f>
        <v>0</v>
      </c>
      <c r="AEK94" s="20" t="n">
        <f aca="false">(ALK93-TX94+0)*(1+BQ94)</f>
        <v>0</v>
      </c>
      <c r="AEL94" s="20" t="n">
        <f aca="false">(ALL93-TY94+0)*(1+BQ94)</f>
        <v>0</v>
      </c>
      <c r="AEM94" s="20" t="n">
        <f aca="false">(ALM93-TZ94+0)*(1+BQ94)</f>
        <v>0</v>
      </c>
      <c r="AEN94" s="20" t="n">
        <f aca="false">(ALN93-UA94+0)*(1+BQ94)</f>
        <v>0</v>
      </c>
      <c r="AEO94" s="20" t="n">
        <f aca="false">(ALO93-UB94+0)*(1+BQ94)</f>
        <v>0</v>
      </c>
      <c r="AEP94" s="20" t="n">
        <f aca="false">(ALP93-UC94+0)*(1+BQ94)</f>
        <v>0</v>
      </c>
      <c r="AEQ94" s="20" t="n">
        <f aca="false">(ALQ93-UD94+0)*(1+BQ94)</f>
        <v>0</v>
      </c>
      <c r="AER94" s="20" t="n">
        <f aca="false">(ALR93-UE94+0)*(1+BQ94)</f>
        <v>0</v>
      </c>
      <c r="AES94" s="20" t="n">
        <f aca="false">(ALS93-UF94+0)*(1+BQ94)</f>
        <v>0</v>
      </c>
      <c r="AET94" s="20" t="n">
        <f aca="false">(ALT93-UG94+0)*(1+BQ94)</f>
        <v>0</v>
      </c>
      <c r="AEU94" s="20" t="n">
        <f aca="false">(ALU93-UH94+0)*(1+BQ94)</f>
        <v>0</v>
      </c>
      <c r="AEV94" s="20" t="n">
        <f aca="false">(ALV93-UI94+0)*(1+BQ94)</f>
        <v>0</v>
      </c>
      <c r="AEW94" s="20" t="n">
        <f aca="false">(ALW93-UJ94+0)*(1+BQ94)</f>
        <v>0</v>
      </c>
      <c r="AEX94" s="20" t="n">
        <f aca="false">(ALX93-UK94+0)*(1+BQ94)</f>
        <v>0</v>
      </c>
      <c r="AEY94" s="20" t="n">
        <f aca="false">(ALY93-UL94+0)*(1+BQ94)</f>
        <v>0</v>
      </c>
      <c r="AEZ94" s="20" t="n">
        <f aca="false">(ALZ93-UM94+0)*(1+BQ94)</f>
        <v>0</v>
      </c>
      <c r="AFA94" s="20" t="n">
        <f aca="false">(AMA93-UN94+0)*(1+BQ94)</f>
        <v>0</v>
      </c>
      <c r="AFB94" s="20" t="n">
        <f aca="false">(AMB93-UO94+0)*(1+BQ94)</f>
        <v>0</v>
      </c>
      <c r="AFC94" s="20" t="n">
        <f aca="false">(AMC93-UP94+0)*(1+BQ94)</f>
        <v>0</v>
      </c>
      <c r="AFD94" s="20" t="n">
        <f aca="false">(AMD93-UQ94+0)*(1+BQ94)</f>
        <v>0</v>
      </c>
      <c r="AFE94" s="20" t="n">
        <f aca="false">(AME93-UR94+0)*(1+BQ94)</f>
        <v>0</v>
      </c>
      <c r="AFF94" s="20" t="n">
        <f aca="false">(AMF93-US94+0)*(1+BQ94)</f>
        <v>0</v>
      </c>
      <c r="AFG94" s="20" t="n">
        <f aca="false">(AMG93-UT94+0)*(1+BQ94)</f>
        <v>0</v>
      </c>
      <c r="AFH94" s="20" t="n">
        <f aca="false">(AMH93-UU94+0)*(1+BQ94)</f>
        <v>0</v>
      </c>
      <c r="AFI94" s="20" t="n">
        <f aca="false">(AMI93-UV94+0)*(1+BQ94)</f>
        <v>0</v>
      </c>
      <c r="AFJ94" s="20" t="n">
        <f aca="false">(AMJ93-UW94+0)*(1+BQ94)</f>
        <v>0</v>
      </c>
      <c r="AFK94" s="20" t="n">
        <f aca="false">(AMK93-UX94+0)*(1+BQ94)</f>
        <v>0</v>
      </c>
      <c r="AFL94" s="20" t="n">
        <f aca="false">(AML93-UY94+0)*(1+BQ94)</f>
        <v>0</v>
      </c>
      <c r="AFM94" s="20" t="n">
        <f aca="false">(AMM93-UZ94+0)*(1+BQ94)</f>
        <v>0</v>
      </c>
      <c r="AFN94" s="20" t="n">
        <f aca="false">(AMN93-VA94+0)*(1+BQ94)</f>
        <v>0</v>
      </c>
      <c r="AFO94" s="20" t="n">
        <f aca="false">(AMO93-VB94+0)*(1+BQ94)</f>
        <v>0</v>
      </c>
      <c r="AFP94" s="20" t="n">
        <f aca="false">(AMP93-VC94+0)*(1+BQ94)</f>
        <v>0</v>
      </c>
      <c r="AFQ94" s="20" t="n">
        <f aca="false">(AMQ93-VD94+0)*(1+BQ94)</f>
        <v>0</v>
      </c>
      <c r="AFR94" s="20" t="n">
        <f aca="false">(AMR93-VE94+0)*(1+BQ94)</f>
        <v>0</v>
      </c>
      <c r="AFS94" s="20" t="n">
        <f aca="false">(AMS93-VF94+0)*(1+BQ94)</f>
        <v>0</v>
      </c>
      <c r="AFT94" s="20" t="n">
        <f aca="false">(AMT93-VG94+0)*(1+BQ94)</f>
        <v>0</v>
      </c>
      <c r="AFU94" s="20" t="n">
        <f aca="false">(AMU93-VH94+0)*(1+BQ94)</f>
        <v>0</v>
      </c>
      <c r="AFV94" s="20" t="n">
        <f aca="false">(AMV93-VI94+0)*(1+BQ94)</f>
        <v>0</v>
      </c>
      <c r="AFW94" s="20" t="n">
        <f aca="false">(AMW93-VJ94+0)*(1+BQ94)</f>
        <v>0</v>
      </c>
      <c r="AFX94" s="20" t="n">
        <f aca="false">(AMX93-VK94+0)*(1+BQ94)</f>
        <v>0</v>
      </c>
      <c r="AFY94" s="20" t="n">
        <f aca="false">(AMY93-VL94+0)*(1+BQ94)</f>
        <v>0</v>
      </c>
      <c r="AFZ94" s="20" t="n">
        <f aca="false">(AMZ93-VM94+0)*(1+BQ94)</f>
        <v>0</v>
      </c>
      <c r="AGA94" s="20" t="n">
        <f aca="false">(ANA93-VN94+0)*(1+BQ94)</f>
        <v>0</v>
      </c>
      <c r="AGB94" s="20" t="n">
        <f aca="false">(ANB93-VO94+0)*(1+BQ94)</f>
        <v>0</v>
      </c>
      <c r="AGC94" s="20" t="n">
        <f aca="false">(ANC93-VP94+0)*(1+BQ94)</f>
        <v>0</v>
      </c>
      <c r="AGD94" s="20" t="n">
        <f aca="false">(AND93-VQ94+0)*(1+BQ94)</f>
        <v>0</v>
      </c>
      <c r="AGE94" s="20" t="n">
        <f aca="false">(ANE93-VR94+0)*(1+BQ94)</f>
        <v>0</v>
      </c>
      <c r="AGF94" s="20" t="n">
        <f aca="false">(ANF93-VS94+0)*(1+BQ94)</f>
        <v>0</v>
      </c>
      <c r="AGG94" s="20" t="n">
        <f aca="false">(ANG93-VT94+0)*(1+BQ94)</f>
        <v>0</v>
      </c>
      <c r="AGH94" s="20" t="n">
        <f aca="false">(ANH93-VU94+0)*(1+BQ94)</f>
        <v>0</v>
      </c>
      <c r="AGI94" s="20" t="n">
        <f aca="false">(ANI93-VV94+0)*(1+BQ94)</f>
        <v>0</v>
      </c>
      <c r="AGJ94" s="20" t="n">
        <f aca="false">(ANJ93-VW94+0)*(1+BQ94)</f>
        <v>0</v>
      </c>
      <c r="AGK94" s="20" t="n">
        <f aca="false">(ANK93-VX94+0)*(1+BQ94)</f>
        <v>0</v>
      </c>
      <c r="AGL94" s="20" t="n">
        <f aca="false">(ANL93-VY94+0)*(1+BQ94)</f>
        <v>0</v>
      </c>
      <c r="AGM94" s="20" t="n">
        <f aca="false">(ANM93-VZ94+0)*(1+BQ94)</f>
        <v>0</v>
      </c>
      <c r="AGN94" s="20" t="n">
        <f aca="false">(ANN93-WA94+0)*(1+BQ94)</f>
        <v>0</v>
      </c>
      <c r="AGO94" s="20" t="n">
        <f aca="false">(ANO93-WB94+0)*(1+BQ94)</f>
        <v>0</v>
      </c>
      <c r="AGP94" s="20" t="n">
        <f aca="false">(ANP93-WC94+0)*(1+BQ94)</f>
        <v>0</v>
      </c>
      <c r="AGQ94" s="20" t="n">
        <f aca="false">(ANQ93-WD94+0)*(1+BQ94)</f>
        <v>0</v>
      </c>
      <c r="AGR94" s="20" t="n">
        <f aca="false">(ANR93-WE94+0)*(1+BQ94)</f>
        <v>0</v>
      </c>
      <c r="AGS94" s="20" t="n">
        <f aca="false">(ANS93-WF94+0)*(1+BQ94)</f>
        <v>0</v>
      </c>
      <c r="AGT94" s="20" t="n">
        <f aca="false">(ANT93-WG94+0)*(1+BQ94)</f>
        <v>0</v>
      </c>
      <c r="AGU94" s="20" t="n">
        <f aca="false">(ANU93-WH94+0)*(1+BQ94)</f>
        <v>0</v>
      </c>
      <c r="AGV94" s="20" t="n">
        <f aca="false">(ANV93-WI94+0)*(1+BQ94)</f>
        <v>0</v>
      </c>
      <c r="AGW94" s="20" t="n">
        <f aca="false">(ANW93-WJ94+0)*(1+BQ94)</f>
        <v>0</v>
      </c>
      <c r="AGX94" s="20" t="n">
        <f aca="false">(ANX93-WK94+0)*(1+BQ94)</f>
        <v>0</v>
      </c>
      <c r="AGY94" s="20" t="n">
        <f aca="false">(ANY93-WL94+0)*(1+BQ94)</f>
        <v>0</v>
      </c>
      <c r="AGZ94" s="20" t="n">
        <f aca="false">(ANZ93-WM94+0)*(1+BQ94)</f>
        <v>0</v>
      </c>
      <c r="AHA94" s="20" t="n">
        <f aca="false">((P94+S94)-WN94+BE94)*(1+BQ94)</f>
        <v>0</v>
      </c>
      <c r="AHB94" s="20" t="n">
        <v>0</v>
      </c>
      <c r="AHC94" s="20" t="n">
        <v>0</v>
      </c>
      <c r="AHD94" s="20" t="n">
        <v>0</v>
      </c>
      <c r="AHE94" s="20" t="n">
        <f aca="false">IF(AKR93&gt;0,AOE93-AOE93*TE94/AKR93,0)+0</f>
        <v>0</v>
      </c>
      <c r="AHF94" s="20" t="n">
        <f aca="false">IF(AKS93&gt;0,AOF93-AOF93*TF94/AKS93,0)+0</f>
        <v>0</v>
      </c>
      <c r="AHG94" s="20" t="n">
        <f aca="false">IF(AKT93&gt;0,AOG93-AOG93*TG94/AKT93,0)+0</f>
        <v>0</v>
      </c>
      <c r="AHH94" s="20" t="n">
        <f aca="false">IF(AKU93&gt;0,AOH93-AOH93*TH94/AKU93,0)+0</f>
        <v>0</v>
      </c>
      <c r="AHI94" s="20" t="n">
        <f aca="false">IF(AKV93&gt;0,AOI93-AOI93*TI94/AKV93,0)+0</f>
        <v>0</v>
      </c>
      <c r="AHJ94" s="20" t="n">
        <f aca="false">IF(AKW93&gt;0,AOJ93-AOJ93*TJ94/AKW93,0)+0</f>
        <v>0</v>
      </c>
      <c r="AHK94" s="20" t="n">
        <f aca="false">IF(AKX93&gt;0,AOK93-AOK93*TK94/AKX93,0)+0</f>
        <v>0</v>
      </c>
      <c r="AHL94" s="20" t="n">
        <f aca="false">IF(AKY93&gt;0,AOL93-AOL93*TL94/AKY93,0)+0</f>
        <v>0</v>
      </c>
      <c r="AHM94" s="20" t="n">
        <f aca="false">IF(AKZ93&gt;0,AOM93-AOM93*TM94/AKZ93,0)+0</f>
        <v>0</v>
      </c>
      <c r="AHN94" s="20" t="n">
        <f aca="false">IF(ALA93&gt;0,AON93-AON93*TN94/ALA93,0)+0</f>
        <v>0</v>
      </c>
      <c r="AHO94" s="20" t="n">
        <f aca="false">IF(ALB93&gt;0,AOO93-AOO93*TO94/ALB93,0)+0</f>
        <v>0</v>
      </c>
      <c r="AHP94" s="20" t="n">
        <f aca="false">IF(ALC93&gt;0,AOP93-AOP93*TP94/ALC93,0)+0</f>
        <v>0</v>
      </c>
      <c r="AHQ94" s="20" t="n">
        <f aca="false">IF(ALD93&gt;0,AOQ93-AOQ93*TQ94/ALD93,0)+0</f>
        <v>0</v>
      </c>
      <c r="AHR94" s="20" t="n">
        <f aca="false">IF(ALE93&gt;0,AOR93-AOR93*TR94/ALE93,0)+0</f>
        <v>0</v>
      </c>
      <c r="AHS94" s="20" t="n">
        <f aca="false">IF(ALF93&gt;0,AOS93-AOS93*TS94/ALF93,0)+0</f>
        <v>0</v>
      </c>
      <c r="AHT94" s="20" t="n">
        <f aca="false">IF(ALG93&gt;0,AOT93-AOT93*TT94/ALG93,0)+0</f>
        <v>0</v>
      </c>
      <c r="AHU94" s="20" t="n">
        <f aca="false">IF(ALH93&gt;0,AOU93-AOU93*TU94/ALH93,0)+0</f>
        <v>0</v>
      </c>
      <c r="AHV94" s="20" t="n">
        <f aca="false">IF(ALI93&gt;0,AOV93-AOV93*TV94/ALI93,0)+0</f>
        <v>0</v>
      </c>
      <c r="AHW94" s="20" t="n">
        <f aca="false">IF(ALJ93&gt;0,AOW93-AOW93*TW94/ALJ93,0)+0</f>
        <v>0</v>
      </c>
      <c r="AHX94" s="20" t="n">
        <f aca="false">IF(ALK93&gt;0,AOX93-AOX93*TX94/ALK93,0)+0</f>
        <v>0</v>
      </c>
      <c r="AHY94" s="20" t="n">
        <f aca="false">IF(ALL93&gt;0,AOY93-AOY93*TY94/ALL93,0)+0</f>
        <v>0</v>
      </c>
      <c r="AHZ94" s="20" t="n">
        <f aca="false">IF(ALM93&gt;0,AOZ93-AOZ93*TZ94/ALM93,0)+0</f>
        <v>0</v>
      </c>
      <c r="AIA94" s="20" t="n">
        <f aca="false">IF(ALN93&gt;0,APA93-APA93*UA94/ALN93,0)+0</f>
        <v>0</v>
      </c>
      <c r="AIB94" s="20" t="n">
        <f aca="false">IF(ALO93&gt;0,APB93-APB93*UB94/ALO93,0)+0</f>
        <v>0</v>
      </c>
      <c r="AIC94" s="20" t="n">
        <f aca="false">IF(ALP93&gt;0,APC93-APC93*UC94/ALP93,0)+0</f>
        <v>0</v>
      </c>
      <c r="AID94" s="20" t="n">
        <f aca="false">IF(ALQ93&gt;0,APD93-APD93*UD94/ALQ93,0)+0</f>
        <v>0</v>
      </c>
      <c r="AIE94" s="20" t="n">
        <f aca="false">IF(ALR93&gt;0,APE93-APE93*UE94/ALR93,0)+0</f>
        <v>0</v>
      </c>
      <c r="AIF94" s="20" t="n">
        <f aca="false">IF(ALS93&gt;0,APF93-APF93*UF94/ALS93,0)+0</f>
        <v>0</v>
      </c>
      <c r="AIG94" s="20" t="n">
        <f aca="false">IF(ALT93&gt;0,APG93-APG93*UG94/ALT93,0)+0</f>
        <v>0</v>
      </c>
      <c r="AIH94" s="20" t="n">
        <f aca="false">IF(ALU93&gt;0,APH93-APH93*UH94/ALU93,0)+0</f>
        <v>0</v>
      </c>
      <c r="AII94" s="20" t="n">
        <f aca="false">IF(ALV93&gt;0,API93-API93*UI94/ALV93,0)+0</f>
        <v>0</v>
      </c>
      <c r="AIJ94" s="20" t="n">
        <f aca="false">IF(ALW93&gt;0,APJ93-APJ93*UJ94/ALW93,0)+0</f>
        <v>0</v>
      </c>
      <c r="AIK94" s="20" t="n">
        <f aca="false">IF(ALX93&gt;0,APK93-APK93*UK94/ALX93,0)+0</f>
        <v>0</v>
      </c>
      <c r="AIL94" s="20" t="n">
        <f aca="false">IF(ALY93&gt;0,APL93-APL93*UL94/ALY93,0)+0</f>
        <v>0</v>
      </c>
      <c r="AIM94" s="20" t="n">
        <f aca="false">IF(ALZ93&gt;0,APM93-APM93*UM94/ALZ93,0)+0</f>
        <v>0</v>
      </c>
      <c r="AIN94" s="20" t="n">
        <f aca="false">IF(AMA93&gt;0,APN93-APN93*UN94/AMA93,0)+0</f>
        <v>0</v>
      </c>
      <c r="AIO94" s="20" t="n">
        <f aca="false">IF(AMB93&gt;0,APO93-APO93*UO94/AMB93,0)+0</f>
        <v>0</v>
      </c>
      <c r="AIP94" s="20" t="n">
        <f aca="false">IF(AMC93&gt;0,APP93-APP93*UP94/AMC93,0)+0</f>
        <v>0</v>
      </c>
      <c r="AIQ94" s="20" t="n">
        <f aca="false">IF(AMD93&gt;0,APQ93-APQ93*UQ94/AMD93,0)+0</f>
        <v>0</v>
      </c>
      <c r="AIR94" s="20" t="n">
        <f aca="false">IF(AME93&gt;0,APR93-APR93*UR94/AME93,0)+0</f>
        <v>0</v>
      </c>
      <c r="AIS94" s="20" t="n">
        <f aca="false">IF(AMF93&gt;0,APS93-APS93*US94/AMF93,0)+0</f>
        <v>0</v>
      </c>
      <c r="AIT94" s="20" t="n">
        <f aca="false">IF(AMG93&gt;0,APT93-APT93*UT94/AMG93,0)+0</f>
        <v>0</v>
      </c>
      <c r="AIU94" s="20" t="n">
        <f aca="false">IF(AMH93&gt;0,APU93-APU93*UU94/AMH93,0)+0</f>
        <v>0</v>
      </c>
      <c r="AIV94" s="20" t="n">
        <f aca="false">IF(AMI93&gt;0,APV93-APV93*UV94/AMI93,0)+0</f>
        <v>0</v>
      </c>
      <c r="AIW94" s="20" t="n">
        <f aca="false">IF(AMJ93&gt;0,APW93-APW93*UW94/AMJ93,0)+0</f>
        <v>0</v>
      </c>
      <c r="AIX94" s="20" t="n">
        <f aca="false">IF(AMK93&gt;0,APX93-APX93*UX94/AMK93,0)+0</f>
        <v>0</v>
      </c>
      <c r="AIY94" s="20" t="n">
        <f aca="false">IF(AML93&gt;0,APY93-APY93*UY94/AML93,0)+0</f>
        <v>0</v>
      </c>
      <c r="AIZ94" s="20" t="n">
        <f aca="false">IF(AMM93&gt;0,APZ93-APZ93*UZ94/AMM93,0)+0</f>
        <v>0</v>
      </c>
      <c r="AJA94" s="20" t="n">
        <f aca="false">IF(AMN93&gt;0,AQA93-AQA93*VA94/AMN93,0)+0</f>
        <v>0</v>
      </c>
      <c r="AJB94" s="20" t="n">
        <f aca="false">IF(AMO93&gt;0,AQB93-AQB93*VB94/AMO93,0)+0</f>
        <v>0</v>
      </c>
      <c r="AJC94" s="20" t="n">
        <f aca="false">IF(AMP93&gt;0,AQC93-AQC93*VC94/AMP93,0)+0</f>
        <v>0</v>
      </c>
      <c r="AJD94" s="20" t="n">
        <f aca="false">IF(AMQ93&gt;0,AQD93-AQD93*VD94/AMQ93,0)+0</f>
        <v>0</v>
      </c>
      <c r="AJE94" s="20" t="n">
        <f aca="false">IF(AMR93&gt;0,AQE93-AQE93*VE94/AMR93,0)+0</f>
        <v>0</v>
      </c>
      <c r="AJF94" s="20" t="n">
        <f aca="false">IF(AMS93&gt;0,AQF93-AQF93*VF94/AMS93,0)+0</f>
        <v>0</v>
      </c>
      <c r="AJG94" s="20" t="n">
        <f aca="false">IF(AMT93&gt;0,AQG93-AQG93*VG94/AMT93,0)+0</f>
        <v>0</v>
      </c>
      <c r="AJH94" s="20" t="n">
        <f aca="false">IF(AMU93&gt;0,AQH93-AQH93*VH94/AMU93,0)+0</f>
        <v>0</v>
      </c>
      <c r="AJI94" s="20" t="n">
        <f aca="false">IF(AMV93&gt;0,AQI93-AQI93*VI94/AMV93,0)+0</f>
        <v>0</v>
      </c>
      <c r="AJJ94" s="20" t="n">
        <f aca="false">IF(AMW93&gt;0,AQJ93-AQJ93*VJ94/AMW93,0)+0</f>
        <v>0</v>
      </c>
      <c r="AJK94" s="20" t="n">
        <f aca="false">IF(AMX93&gt;0,AQK93-AQK93*VK94/AMX93,0)+0</f>
        <v>0</v>
      </c>
      <c r="AJL94" s="20" t="n">
        <f aca="false">IF(AMY93&gt;0,AQL93-AQL93*VL94/AMY93,0)+0</f>
        <v>0</v>
      </c>
      <c r="AJM94" s="20" t="n">
        <f aca="false">IF(AMZ93&gt;0,AQM93-AQM93*VM94/AMZ93,0)+0</f>
        <v>0</v>
      </c>
      <c r="AJN94" s="20" t="n">
        <f aca="false">IF(ANA93&gt;0,AQN93-AQN93*VN94/ANA93,0)+0</f>
        <v>0</v>
      </c>
      <c r="AJO94" s="20" t="n">
        <f aca="false">IF(ANB93&gt;0,AQO93-AQO93*VO94/ANB93,0)+0</f>
        <v>0</v>
      </c>
      <c r="AJP94" s="20" t="n">
        <f aca="false">IF(ANC93&gt;0,AQP93-AQP93*VP94/ANC93,0)+0</f>
        <v>0</v>
      </c>
      <c r="AJQ94" s="20" t="n">
        <f aca="false">IF(AND93&gt;0,AQQ93-AQQ93*VQ94/AND93,0)+0</f>
        <v>0</v>
      </c>
      <c r="AJR94" s="20" t="n">
        <f aca="false">IF(ANE93&gt;0,AQR93-AQR93*VR94/ANE93,0)+0</f>
        <v>0</v>
      </c>
      <c r="AJS94" s="20" t="n">
        <f aca="false">IF(ANF93&gt;0,AQS93-AQS93*VS94/ANF93,0)+0</f>
        <v>0</v>
      </c>
      <c r="AJT94" s="20" t="n">
        <f aca="false">IF(ANG93&gt;0,AQT93-AQT93*VT94/ANG93,0)+0</f>
        <v>0</v>
      </c>
      <c r="AJU94" s="20" t="n">
        <f aca="false">IF(ANH93&gt;0,AQU93-AQU93*VU94/ANH93,0)+0</f>
        <v>0</v>
      </c>
      <c r="AJV94" s="20" t="n">
        <f aca="false">IF(ANI93&gt;0,AQV93-AQV93*VV94/ANI93,0)+0</f>
        <v>0</v>
      </c>
      <c r="AJW94" s="20" t="n">
        <f aca="false">IF(ANJ93&gt;0,AQW93-AQW93*VW94/ANJ93,0)+0</f>
        <v>0</v>
      </c>
      <c r="AJX94" s="20" t="n">
        <f aca="false">IF(ANK93&gt;0,AQX93-AQX93*VX94/ANK93,0)+0</f>
        <v>0</v>
      </c>
      <c r="AJY94" s="20" t="n">
        <f aca="false">IF(ANL93&gt;0,AQY93-AQY93*VY94/ANL93,0)+0</f>
        <v>0</v>
      </c>
      <c r="AJZ94" s="20" t="n">
        <f aca="false">IF(ANM93&gt;0,AQZ93-AQZ93*VZ94/ANM93,0)+0</f>
        <v>0</v>
      </c>
      <c r="AKA94" s="20" t="n">
        <f aca="false">IF(ANN93&gt;0,ARA93-ARA93*WA94/ANN93,0)+0</f>
        <v>0</v>
      </c>
      <c r="AKB94" s="20" t="n">
        <f aca="false">IF(ANO93&gt;0,ARB93-ARB93*WB94/ANO93,0)+0</f>
        <v>0</v>
      </c>
      <c r="AKC94" s="20" t="n">
        <f aca="false">IF(ANP93&gt;0,ARC93-ARC93*WC94/ANP93,0)+0</f>
        <v>0</v>
      </c>
      <c r="AKD94" s="20" t="n">
        <f aca="false">IF(ANQ93&gt;0,ARD93-ARD93*WD94/ANQ93,0)+0</f>
        <v>0</v>
      </c>
      <c r="AKE94" s="20" t="n">
        <f aca="false">IF(ANR93&gt;0,ARE93-ARE93*WE94/ANR93,0)+0</f>
        <v>0</v>
      </c>
      <c r="AKF94" s="20" t="n">
        <f aca="false">IF(ANS93&gt;0,ARF93-ARF93*WF94/ANS93,0)+0</f>
        <v>0</v>
      </c>
      <c r="AKG94" s="20" t="n">
        <f aca="false">IF(ANT93&gt;0,ARG93-ARG93*WG94/ANT93,0)+0</f>
        <v>0</v>
      </c>
      <c r="AKH94" s="20" t="n">
        <f aca="false">IF(ANU93&gt;0,ARH93-ARH93*WH94/ANU93,0)+0</f>
        <v>0</v>
      </c>
      <c r="AKI94" s="20" t="n">
        <f aca="false">IF(ANV93&gt;0,ARI93-ARI93*WI94/ANV93,0)+0</f>
        <v>0</v>
      </c>
      <c r="AKJ94" s="20" t="n">
        <f aca="false">IF(ANW93&gt;0,ARJ93-ARJ93*WJ94/ANW93,0)+0</f>
        <v>0</v>
      </c>
      <c r="AKK94" s="20" t="n">
        <f aca="false">IF(ANX93&gt;0,ARK93-ARK93*WK94/ANX93,0)+0</f>
        <v>0</v>
      </c>
      <c r="AKL94" s="20" t="n">
        <f aca="false">IF(ANY93&gt;0,ARL93-ARL93*WL94/ANY93,0)+0</f>
        <v>0</v>
      </c>
      <c r="AKM94" s="20" t="n">
        <f aca="false">IF(ANZ93&gt;0,ARM93-ARM93*WM94/ANZ93,0)+0</f>
        <v>0</v>
      </c>
      <c r="AKN94" s="20" t="n">
        <f aca="false">IF((P94+S94)&gt;0,(P94+S94)-(P94+S94)*WN94/(P94+S94),0)+BE94</f>
        <v>0</v>
      </c>
      <c r="AKO94" s="20" t="n">
        <v>0</v>
      </c>
      <c r="AKP94" s="20" t="n">
        <v>0</v>
      </c>
      <c r="AKQ94" s="20" t="n">
        <v>0</v>
      </c>
      <c r="AKR94" s="20" t="n">
        <f aca="false">ADR94-AVE94</f>
        <v>0</v>
      </c>
      <c r="AKS94" s="20" t="n">
        <f aca="false">ADS94-AVF94</f>
        <v>0</v>
      </c>
      <c r="AKT94" s="20" t="n">
        <f aca="false">ADT94-AVG94</f>
        <v>0</v>
      </c>
      <c r="AKU94" s="20" t="n">
        <f aca="false">ADU94-AVH94</f>
        <v>0</v>
      </c>
      <c r="AKV94" s="20" t="n">
        <f aca="false">ADV94-AVI94</f>
        <v>0</v>
      </c>
      <c r="AKW94" s="20" t="n">
        <f aca="false">ADW94-AVJ94</f>
        <v>0</v>
      </c>
      <c r="AKX94" s="20" t="n">
        <f aca="false">ADX94-AVK94</f>
        <v>0</v>
      </c>
      <c r="AKY94" s="20" t="n">
        <f aca="false">ADY94-AVL94</f>
        <v>0</v>
      </c>
      <c r="AKZ94" s="20" t="n">
        <f aca="false">ADZ94-AVM94</f>
        <v>0</v>
      </c>
      <c r="ALA94" s="20" t="n">
        <f aca="false">AEA94-AVN94</f>
        <v>0</v>
      </c>
      <c r="ALB94" s="20" t="n">
        <f aca="false">AEB94-AVO94</f>
        <v>0</v>
      </c>
      <c r="ALC94" s="20" t="n">
        <f aca="false">AEC94-AVP94</f>
        <v>0</v>
      </c>
      <c r="ALD94" s="20" t="n">
        <f aca="false">AED94-AVQ94</f>
        <v>0</v>
      </c>
      <c r="ALE94" s="20" t="n">
        <f aca="false">AEE94-AVR94</f>
        <v>0</v>
      </c>
      <c r="ALF94" s="20" t="n">
        <f aca="false">AEF94-AVS94</f>
        <v>0</v>
      </c>
      <c r="ALG94" s="20" t="n">
        <f aca="false">AEG94-AVT94</f>
        <v>0</v>
      </c>
      <c r="ALH94" s="20" t="n">
        <f aca="false">AEH94-AVU94</f>
        <v>0</v>
      </c>
      <c r="ALI94" s="20" t="n">
        <f aca="false">AEI94-AVV94</f>
        <v>0</v>
      </c>
      <c r="ALJ94" s="20" t="n">
        <f aca="false">AEJ94-AVW94</f>
        <v>0</v>
      </c>
      <c r="ALK94" s="20" t="n">
        <f aca="false">AEK94-AVX94</f>
        <v>0</v>
      </c>
      <c r="ALL94" s="20" t="n">
        <f aca="false">AEL94-AVY94</f>
        <v>0</v>
      </c>
      <c r="ALM94" s="20" t="n">
        <f aca="false">AEM94-AVZ94</f>
        <v>0</v>
      </c>
      <c r="ALN94" s="20" t="n">
        <f aca="false">AEN94-AWA94</f>
        <v>0</v>
      </c>
      <c r="ALO94" s="20" t="n">
        <f aca="false">AEO94-AWB94</f>
        <v>0</v>
      </c>
      <c r="ALP94" s="20" t="n">
        <f aca="false">AEP94-AWC94</f>
        <v>0</v>
      </c>
      <c r="ALQ94" s="20" t="n">
        <f aca="false">AEQ94-AWD94</f>
        <v>0</v>
      </c>
      <c r="ALR94" s="20" t="n">
        <f aca="false">AER94-AWE94</f>
        <v>0</v>
      </c>
      <c r="ALS94" s="20" t="n">
        <f aca="false">AES94-AWF94</f>
        <v>0</v>
      </c>
      <c r="ALT94" s="20" t="n">
        <f aca="false">AET94-AWG94</f>
        <v>0</v>
      </c>
      <c r="ALU94" s="20" t="n">
        <f aca="false">AEU94-AWH94</f>
        <v>0</v>
      </c>
      <c r="ALV94" s="20" t="n">
        <f aca="false">AEV94-AWI94</f>
        <v>0</v>
      </c>
      <c r="ALW94" s="20" t="n">
        <f aca="false">AEW94-AWJ94</f>
        <v>0</v>
      </c>
      <c r="ALX94" s="20" t="n">
        <f aca="false">AEX94-AWK94</f>
        <v>0</v>
      </c>
      <c r="ALY94" s="20" t="n">
        <f aca="false">AEY94-AWL94</f>
        <v>0</v>
      </c>
      <c r="ALZ94" s="20" t="n">
        <f aca="false">AEZ94-AWM94</f>
        <v>0</v>
      </c>
      <c r="AMA94" s="20" t="n">
        <f aca="false">AFA94-AWN94</f>
        <v>0</v>
      </c>
      <c r="AMB94" s="20" t="n">
        <f aca="false">AFB94-AWO94</f>
        <v>0</v>
      </c>
      <c r="AMC94" s="20" t="n">
        <f aca="false">AFC94-AWP94</f>
        <v>0</v>
      </c>
      <c r="AMD94" s="20" t="n">
        <f aca="false">AFD94-AWQ94</f>
        <v>0</v>
      </c>
      <c r="AME94" s="20" t="n">
        <f aca="false">AFE94-AWR94</f>
        <v>0</v>
      </c>
      <c r="AMF94" s="20" t="n">
        <f aca="false">AFF94-AWS94</f>
        <v>0</v>
      </c>
      <c r="AMG94" s="20" t="n">
        <f aca="false">AFG94-AWT94</f>
        <v>0</v>
      </c>
      <c r="AMH94" s="20" t="n">
        <f aca="false">AFH94-AWU94</f>
        <v>0</v>
      </c>
      <c r="AMI94" s="20" t="n">
        <f aca="false">AFI94-AWV94</f>
        <v>0</v>
      </c>
      <c r="AMJ94" s="20" t="n">
        <f aca="false">AFJ94-AWW94</f>
        <v>0</v>
      </c>
      <c r="AMK94" s="20" t="n">
        <f aca="false">AFK94-AWX94</f>
        <v>0</v>
      </c>
      <c r="AML94" s="20" t="n">
        <f aca="false">AFL94-AWY94</f>
        <v>0</v>
      </c>
      <c r="AMM94" s="20" t="n">
        <f aca="false">AFM94-AWZ94</f>
        <v>0</v>
      </c>
      <c r="AMN94" s="20" t="n">
        <f aca="false">AFN94-AXA94</f>
        <v>0</v>
      </c>
      <c r="AMO94" s="20" t="n">
        <f aca="false">AFO94-AXB94</f>
        <v>0</v>
      </c>
      <c r="AMP94" s="20" t="n">
        <f aca="false">AFP94-AXC94</f>
        <v>0</v>
      </c>
      <c r="AMQ94" s="20" t="n">
        <f aca="false">AFQ94-AXD94</f>
        <v>0</v>
      </c>
      <c r="AMR94" s="20" t="n">
        <f aca="false">AFR94-AXE94</f>
        <v>0</v>
      </c>
      <c r="AMS94" s="20" t="n">
        <f aca="false">AFS94-AXF94</f>
        <v>0</v>
      </c>
      <c r="AMT94" s="20" t="n">
        <f aca="false">AFT94-AXG94</f>
        <v>0</v>
      </c>
      <c r="AMU94" s="20" t="n">
        <f aca="false">AFU94-AXH94</f>
        <v>0</v>
      </c>
      <c r="AMV94" s="20" t="n">
        <f aca="false">AFV94-AXI94</f>
        <v>0</v>
      </c>
      <c r="AMW94" s="20" t="n">
        <f aca="false">AFW94-AXJ94</f>
        <v>0</v>
      </c>
      <c r="AMX94" s="20" t="n">
        <f aca="false">AFX94-AXK94</f>
        <v>0</v>
      </c>
      <c r="AMY94" s="20" t="n">
        <f aca="false">AFY94-AXL94</f>
        <v>0</v>
      </c>
      <c r="AMZ94" s="20" t="n">
        <f aca="false">AFZ94-AXM94</f>
        <v>0</v>
      </c>
      <c r="ANA94" s="20" t="n">
        <f aca="false">AGA94-AXN94</f>
        <v>0</v>
      </c>
      <c r="ANB94" s="20" t="n">
        <f aca="false">AGB94-AXO94</f>
        <v>0</v>
      </c>
      <c r="ANC94" s="20" t="n">
        <f aca="false">AGC94-AXP94</f>
        <v>0</v>
      </c>
      <c r="AND94" s="20" t="n">
        <f aca="false">AGD94-AXQ94</f>
        <v>0</v>
      </c>
      <c r="ANE94" s="20" t="n">
        <f aca="false">AGE94-AXR94</f>
        <v>0</v>
      </c>
      <c r="ANF94" s="20" t="n">
        <f aca="false">AGF94-AXS94</f>
        <v>0</v>
      </c>
      <c r="ANG94" s="20" t="n">
        <f aca="false">AGG94-AXT94</f>
        <v>0</v>
      </c>
      <c r="ANH94" s="20" t="n">
        <f aca="false">AGH94-AXU94</f>
        <v>0</v>
      </c>
      <c r="ANI94" s="20" t="n">
        <f aca="false">AGI94-AXV94</f>
        <v>0</v>
      </c>
      <c r="ANJ94" s="20" t="n">
        <f aca="false">AGJ94-AXW94</f>
        <v>0</v>
      </c>
      <c r="ANK94" s="20" t="n">
        <f aca="false">AGK94-AXX94</f>
        <v>0</v>
      </c>
      <c r="ANL94" s="20" t="n">
        <f aca="false">AGL94-AXY94</f>
        <v>0</v>
      </c>
      <c r="ANM94" s="20" t="n">
        <f aca="false">AGM94-AXZ94</f>
        <v>0</v>
      </c>
      <c r="ANN94" s="20" t="n">
        <f aca="false">AGN94-AYA94</f>
        <v>0</v>
      </c>
      <c r="ANO94" s="20" t="n">
        <f aca="false">AGO94-AYB94</f>
        <v>0</v>
      </c>
      <c r="ANP94" s="20" t="n">
        <f aca="false">AGP94-AYC94</f>
        <v>0</v>
      </c>
      <c r="ANQ94" s="20" t="n">
        <f aca="false">AGQ94-AYD94</f>
        <v>0</v>
      </c>
      <c r="ANR94" s="20" t="n">
        <f aca="false">AGR94-AYE94</f>
        <v>0</v>
      </c>
      <c r="ANS94" s="20" t="n">
        <f aca="false">AGS94-AYF94</f>
        <v>0</v>
      </c>
      <c r="ANT94" s="20" t="n">
        <f aca="false">AGT94-AYG94</f>
        <v>0</v>
      </c>
      <c r="ANU94" s="20" t="n">
        <f aca="false">AGU94-AYH94</f>
        <v>0</v>
      </c>
      <c r="ANV94" s="20" t="n">
        <f aca="false">AGV94-AYI94</f>
        <v>0</v>
      </c>
      <c r="ANW94" s="20" t="n">
        <f aca="false">AGW94-AYJ94</f>
        <v>0</v>
      </c>
      <c r="ANX94" s="20" t="n">
        <f aca="false">AGX94-AYK94</f>
        <v>0</v>
      </c>
      <c r="ANY94" s="20" t="n">
        <f aca="false">AGY94-AYL94</f>
        <v>0</v>
      </c>
      <c r="ANZ94" s="20" t="n">
        <f aca="false">AGZ94-AYM94</f>
        <v>0</v>
      </c>
      <c r="AOA94" s="20" t="n">
        <f aca="false">AHA94-AYN94</f>
        <v>0</v>
      </c>
      <c r="AOB94" s="20" t="n">
        <v>0</v>
      </c>
      <c r="AOC94" s="20" t="n">
        <v>0</v>
      </c>
      <c r="AOD94" s="20" t="n">
        <v>0</v>
      </c>
      <c r="AOE94" s="20" t="n">
        <f aca="false">IF(AND(H_Direct=0,H_TaxEvt=1,ARR93+1&gt;=H_Deemed),AKR94,AHE94)</f>
        <v>0</v>
      </c>
      <c r="AOF94" s="20" t="n">
        <f aca="false">IF(AND(H_Direct=0,H_TaxEvt=1,ARS93+1&gt;=H_Deemed),AKS94,AHF94)</f>
        <v>0</v>
      </c>
      <c r="AOG94" s="20" t="n">
        <f aca="false">IF(AND(H_Direct=0,H_TaxEvt=1,ART93+1&gt;=H_Deemed),AKT94,AHG94)</f>
        <v>0</v>
      </c>
      <c r="AOH94" s="20" t="n">
        <f aca="false">IF(AND(H_Direct=0,H_TaxEvt=1,ARU93+1&gt;=H_Deemed),AKU94,AHH94)</f>
        <v>0</v>
      </c>
      <c r="AOI94" s="20" t="n">
        <f aca="false">IF(AND(H_Direct=0,H_TaxEvt=1,ARV93+1&gt;=H_Deemed),AKV94,AHI94)</f>
        <v>0</v>
      </c>
      <c r="AOJ94" s="20" t="n">
        <f aca="false">IF(AND(H_Direct=0,H_TaxEvt=1,ARW93+1&gt;=H_Deemed),AKW94,AHJ94)</f>
        <v>0</v>
      </c>
      <c r="AOK94" s="20" t="n">
        <f aca="false">IF(AND(H_Direct=0,H_TaxEvt=1,ARX93+1&gt;=H_Deemed),AKX94,AHK94)</f>
        <v>0</v>
      </c>
      <c r="AOL94" s="20" t="n">
        <f aca="false">IF(AND(H_Direct=0,H_TaxEvt=1,ARY93+1&gt;=H_Deemed),AKY94,AHL94)</f>
        <v>0</v>
      </c>
      <c r="AOM94" s="20" t="n">
        <f aca="false">IF(AND(H_Direct=0,H_TaxEvt=1,ARZ93+1&gt;=H_Deemed),AKZ94,AHM94)</f>
        <v>0</v>
      </c>
      <c r="AON94" s="20" t="n">
        <f aca="false">IF(AND(H_Direct=0,H_TaxEvt=1,ASA93+1&gt;=H_Deemed),ALA94,AHN94)</f>
        <v>0</v>
      </c>
      <c r="AOO94" s="20" t="n">
        <f aca="false">IF(AND(H_Direct=0,H_TaxEvt=1,ASB93+1&gt;=H_Deemed),ALB94,AHO94)</f>
        <v>0</v>
      </c>
      <c r="AOP94" s="20" t="n">
        <f aca="false">IF(AND(H_Direct=0,H_TaxEvt=1,ASC93+1&gt;=H_Deemed),ALC94,AHP94)</f>
        <v>0</v>
      </c>
      <c r="AOQ94" s="20" t="n">
        <f aca="false">IF(AND(H_Direct=0,H_TaxEvt=1,ASD93+1&gt;=H_Deemed),ALD94,AHQ94)</f>
        <v>0</v>
      </c>
      <c r="AOR94" s="20" t="n">
        <f aca="false">IF(AND(H_Direct=0,H_TaxEvt=1,ASE93+1&gt;=H_Deemed),ALE94,AHR94)</f>
        <v>0</v>
      </c>
      <c r="AOS94" s="20" t="n">
        <f aca="false">IF(AND(H_Direct=0,H_TaxEvt=1,ASF93+1&gt;=H_Deemed),ALF94,AHS94)</f>
        <v>0</v>
      </c>
      <c r="AOT94" s="20" t="n">
        <f aca="false">IF(AND(H_Direct=0,H_TaxEvt=1,ASG93+1&gt;=H_Deemed),ALG94,AHT94)</f>
        <v>0</v>
      </c>
      <c r="AOU94" s="20" t="n">
        <f aca="false">IF(AND(H_Direct=0,H_TaxEvt=1,ASH93+1&gt;=H_Deemed),ALH94,AHU94)</f>
        <v>0</v>
      </c>
      <c r="AOV94" s="20" t="n">
        <f aca="false">IF(AND(H_Direct=0,H_TaxEvt=1,ASI93+1&gt;=H_Deemed),ALI94,AHV94)</f>
        <v>0</v>
      </c>
      <c r="AOW94" s="20" t="n">
        <f aca="false">IF(AND(H_Direct=0,H_TaxEvt=1,ASJ93+1&gt;=H_Deemed),ALJ94,AHW94)</f>
        <v>0</v>
      </c>
      <c r="AOX94" s="20" t="n">
        <f aca="false">IF(AND(H_Direct=0,H_TaxEvt=1,ASK93+1&gt;=H_Deemed),ALK94,AHX94)</f>
        <v>0</v>
      </c>
      <c r="AOY94" s="20" t="n">
        <f aca="false">IF(AND(H_Direct=0,H_TaxEvt=1,ASL93+1&gt;=H_Deemed),ALL94,AHY94)</f>
        <v>0</v>
      </c>
      <c r="AOZ94" s="20" t="n">
        <f aca="false">IF(AND(H_Direct=0,H_TaxEvt=1,ASM93+1&gt;=H_Deemed),ALM94,AHZ94)</f>
        <v>0</v>
      </c>
      <c r="APA94" s="20" t="n">
        <f aca="false">IF(AND(H_Direct=0,H_TaxEvt=1,ASN93+1&gt;=H_Deemed),ALN94,AIA94)</f>
        <v>0</v>
      </c>
      <c r="APB94" s="20" t="n">
        <f aca="false">IF(AND(H_Direct=0,H_TaxEvt=1,ASO93+1&gt;=H_Deemed),ALO94,AIB94)</f>
        <v>0</v>
      </c>
      <c r="APC94" s="20" t="n">
        <f aca="false">IF(AND(H_Direct=0,H_TaxEvt=1,ASP93+1&gt;=H_Deemed),ALP94,AIC94)</f>
        <v>0</v>
      </c>
      <c r="APD94" s="20" t="n">
        <f aca="false">IF(AND(H_Direct=0,H_TaxEvt=1,ASQ93+1&gt;=H_Deemed),ALQ94,AID94)</f>
        <v>0</v>
      </c>
      <c r="APE94" s="20" t="n">
        <f aca="false">IF(AND(H_Direct=0,H_TaxEvt=1,ASR93+1&gt;=H_Deemed),ALR94,AIE94)</f>
        <v>0</v>
      </c>
      <c r="APF94" s="20" t="n">
        <f aca="false">IF(AND(H_Direct=0,H_TaxEvt=1,ASS93+1&gt;=H_Deemed),ALS94,AIF94)</f>
        <v>0</v>
      </c>
      <c r="APG94" s="20" t="n">
        <f aca="false">IF(AND(H_Direct=0,H_TaxEvt=1,AST93+1&gt;=H_Deemed),ALT94,AIG94)</f>
        <v>0</v>
      </c>
      <c r="APH94" s="20" t="n">
        <f aca="false">IF(AND(H_Direct=0,H_TaxEvt=1,ASU93+1&gt;=H_Deemed),ALU94,AIH94)</f>
        <v>0</v>
      </c>
      <c r="API94" s="20" t="n">
        <f aca="false">IF(AND(H_Direct=0,H_TaxEvt=1,ASV93+1&gt;=H_Deemed),ALV94,AII94)</f>
        <v>0</v>
      </c>
      <c r="APJ94" s="20" t="n">
        <f aca="false">IF(AND(H_Direct=0,H_TaxEvt=1,ASW93+1&gt;=H_Deemed),ALW94,AIJ94)</f>
        <v>0</v>
      </c>
      <c r="APK94" s="20" t="n">
        <f aca="false">IF(AND(H_Direct=0,H_TaxEvt=1,ASX93+1&gt;=H_Deemed),ALX94,AIK94)</f>
        <v>0</v>
      </c>
      <c r="APL94" s="20" t="n">
        <f aca="false">IF(AND(H_Direct=0,H_TaxEvt=1,ASY93+1&gt;=H_Deemed),ALY94,AIL94)</f>
        <v>0</v>
      </c>
      <c r="APM94" s="20" t="n">
        <f aca="false">IF(AND(H_Direct=0,H_TaxEvt=1,ASZ93+1&gt;=H_Deemed),ALZ94,AIM94)</f>
        <v>0</v>
      </c>
      <c r="APN94" s="20" t="n">
        <f aca="false">IF(AND(H_Direct=0,H_TaxEvt=1,ATA93+1&gt;=H_Deemed),AMA94,AIN94)</f>
        <v>0</v>
      </c>
      <c r="APO94" s="20" t="n">
        <f aca="false">IF(AND(H_Direct=0,H_TaxEvt=1,ATB93+1&gt;=H_Deemed),AMB94,AIO94)</f>
        <v>0</v>
      </c>
      <c r="APP94" s="20" t="n">
        <f aca="false">IF(AND(H_Direct=0,H_TaxEvt=1,ATC93+1&gt;=H_Deemed),AMC94,AIP94)</f>
        <v>0</v>
      </c>
      <c r="APQ94" s="20" t="n">
        <f aca="false">IF(AND(H_Direct=0,H_TaxEvt=1,ATD93+1&gt;=H_Deemed),AMD94,AIQ94)</f>
        <v>0</v>
      </c>
      <c r="APR94" s="20" t="n">
        <f aca="false">IF(AND(H_Direct=0,H_TaxEvt=1,ATE93+1&gt;=H_Deemed),AME94,AIR94)</f>
        <v>0</v>
      </c>
      <c r="APS94" s="20" t="n">
        <f aca="false">IF(AND(H_Direct=0,H_TaxEvt=1,ATF93+1&gt;=H_Deemed),AMF94,AIS94)</f>
        <v>0</v>
      </c>
      <c r="APT94" s="20" t="n">
        <f aca="false">IF(AND(H_Direct=0,H_TaxEvt=1,ATG93+1&gt;=H_Deemed),AMG94,AIT94)</f>
        <v>0</v>
      </c>
      <c r="APU94" s="20" t="n">
        <f aca="false">IF(AND(H_Direct=0,H_TaxEvt=1,ATH93+1&gt;=H_Deemed),AMH94,AIU94)</f>
        <v>0</v>
      </c>
      <c r="APV94" s="20" t="n">
        <f aca="false">IF(AND(H_Direct=0,H_TaxEvt=1,ATI93+1&gt;=H_Deemed),AMI94,AIV94)</f>
        <v>0</v>
      </c>
      <c r="APW94" s="20" t="n">
        <f aca="false">IF(AND(H_Direct=0,H_TaxEvt=1,ATJ93+1&gt;=H_Deemed),AMJ94,AIW94)</f>
        <v>0</v>
      </c>
      <c r="APX94" s="20" t="n">
        <f aca="false">IF(AND(H_Direct=0,H_TaxEvt=1,ATK93+1&gt;=H_Deemed),AMK94,AIX94)</f>
        <v>0</v>
      </c>
      <c r="APY94" s="20" t="n">
        <f aca="false">IF(AND(H_Direct=0,H_TaxEvt=1,ATL93+1&gt;=H_Deemed),AML94,AIY94)</f>
        <v>0</v>
      </c>
      <c r="APZ94" s="20" t="n">
        <f aca="false">IF(AND(H_Direct=0,H_TaxEvt=1,ATM93+1&gt;=H_Deemed),AMM94,AIZ94)</f>
        <v>0</v>
      </c>
      <c r="AQA94" s="20" t="n">
        <f aca="false">IF(AND(H_Direct=0,H_TaxEvt=1,ATN93+1&gt;=H_Deemed),AMN94,AJA94)</f>
        <v>0</v>
      </c>
      <c r="AQB94" s="20" t="n">
        <f aca="false">IF(AND(H_Direct=0,H_TaxEvt=1,ATO93+1&gt;=H_Deemed),AMO94,AJB94)</f>
        <v>0</v>
      </c>
      <c r="AQC94" s="20" t="n">
        <f aca="false">IF(AND(H_Direct=0,H_TaxEvt=1,ATP93+1&gt;=H_Deemed),AMP94,AJC94)</f>
        <v>0</v>
      </c>
      <c r="AQD94" s="20" t="n">
        <f aca="false">IF(AND(H_Direct=0,H_TaxEvt=1,ATQ93+1&gt;=H_Deemed),AMQ94,AJD94)</f>
        <v>0</v>
      </c>
      <c r="AQE94" s="20" t="n">
        <f aca="false">IF(AND(H_Direct=0,H_TaxEvt=1,ATR93+1&gt;=H_Deemed),AMR94,AJE94)</f>
        <v>0</v>
      </c>
      <c r="AQF94" s="20" t="n">
        <f aca="false">IF(AND(H_Direct=0,H_TaxEvt=1,ATS93+1&gt;=H_Deemed),AMS94,AJF94)</f>
        <v>0</v>
      </c>
      <c r="AQG94" s="20" t="n">
        <f aca="false">IF(AND(H_Direct=0,H_TaxEvt=1,ATT93+1&gt;=H_Deemed),AMT94,AJG94)</f>
        <v>0</v>
      </c>
      <c r="AQH94" s="20" t="n">
        <f aca="false">IF(AND(H_Direct=0,H_TaxEvt=1,ATU93+1&gt;=H_Deemed),AMU94,AJH94)</f>
        <v>0</v>
      </c>
      <c r="AQI94" s="20" t="n">
        <f aca="false">IF(AND(H_Direct=0,H_TaxEvt=1,ATV93+1&gt;=H_Deemed),AMV94,AJI94)</f>
        <v>0</v>
      </c>
      <c r="AQJ94" s="20" t="n">
        <f aca="false">IF(AND(H_Direct=0,H_TaxEvt=1,ATW93+1&gt;=H_Deemed),AMW94,AJJ94)</f>
        <v>0</v>
      </c>
      <c r="AQK94" s="20" t="n">
        <f aca="false">IF(AND(H_Direct=0,H_TaxEvt=1,ATX93+1&gt;=H_Deemed),AMX94,AJK94)</f>
        <v>0</v>
      </c>
      <c r="AQL94" s="20" t="n">
        <f aca="false">IF(AND(H_Direct=0,H_TaxEvt=1,ATY93+1&gt;=H_Deemed),AMY94,AJL94)</f>
        <v>0</v>
      </c>
      <c r="AQM94" s="20" t="n">
        <f aca="false">IF(AND(H_Direct=0,H_TaxEvt=1,ATZ93+1&gt;=H_Deemed),AMZ94,AJM94)</f>
        <v>0</v>
      </c>
      <c r="AQN94" s="20" t="n">
        <f aca="false">IF(AND(H_Direct=0,H_TaxEvt=1,AUA93+1&gt;=H_Deemed),ANA94,AJN94)</f>
        <v>0</v>
      </c>
      <c r="AQO94" s="20" t="n">
        <f aca="false">IF(AND(H_Direct=0,H_TaxEvt=1,AUB93+1&gt;=H_Deemed),ANB94,AJO94)</f>
        <v>0</v>
      </c>
      <c r="AQP94" s="20" t="n">
        <f aca="false">IF(AND(H_Direct=0,H_TaxEvt=1,AUC93+1&gt;=H_Deemed),ANC94,AJP94)</f>
        <v>0</v>
      </c>
      <c r="AQQ94" s="20" t="n">
        <f aca="false">IF(AND(H_Direct=0,H_TaxEvt=1,AUD93+1&gt;=H_Deemed),AND94,AJQ94)</f>
        <v>0</v>
      </c>
      <c r="AQR94" s="20" t="n">
        <f aca="false">IF(AND(H_Direct=0,H_TaxEvt=1,AUE93+1&gt;=H_Deemed),ANE94,AJR94)</f>
        <v>0</v>
      </c>
      <c r="AQS94" s="20" t="n">
        <f aca="false">IF(AND(H_Direct=0,H_TaxEvt=1,AUF93+1&gt;=H_Deemed),ANF94,AJS94)</f>
        <v>0</v>
      </c>
      <c r="AQT94" s="20" t="n">
        <f aca="false">IF(AND(H_Direct=0,H_TaxEvt=1,AUG93+1&gt;=H_Deemed),ANG94,AJT94)</f>
        <v>0</v>
      </c>
      <c r="AQU94" s="20" t="n">
        <f aca="false">IF(AND(H_Direct=0,H_TaxEvt=1,AUH93+1&gt;=H_Deemed),ANH94,AJU94)</f>
        <v>0</v>
      </c>
      <c r="AQV94" s="20" t="n">
        <f aca="false">IF(AND(H_Direct=0,H_TaxEvt=1,AUI93+1&gt;=H_Deemed),ANI94,AJV94)</f>
        <v>0</v>
      </c>
      <c r="AQW94" s="20" t="n">
        <f aca="false">IF(AND(H_Direct=0,H_TaxEvt=1,AUJ93+1&gt;=H_Deemed),ANJ94,AJW94)</f>
        <v>0</v>
      </c>
      <c r="AQX94" s="20" t="n">
        <f aca="false">IF(AND(H_Direct=0,H_TaxEvt=1,AUK93+1&gt;=H_Deemed),ANK94,AJX94)</f>
        <v>0</v>
      </c>
      <c r="AQY94" s="20" t="n">
        <f aca="false">IF(AND(H_Direct=0,H_TaxEvt=1,AUL93+1&gt;=H_Deemed),ANL94,AJY94)</f>
        <v>0</v>
      </c>
      <c r="AQZ94" s="20" t="n">
        <f aca="false">IF(AND(H_Direct=0,H_TaxEvt=1,AUM93+1&gt;=H_Deemed),ANM94,AJZ94)</f>
        <v>0</v>
      </c>
      <c r="ARA94" s="20" t="n">
        <f aca="false">IF(AND(H_Direct=0,H_TaxEvt=1,AUN93+1&gt;=H_Deemed),ANN94,AKA94)</f>
        <v>0</v>
      </c>
      <c r="ARB94" s="20" t="n">
        <f aca="false">IF(AND(H_Direct=0,H_TaxEvt=1,AUO93+1&gt;=H_Deemed),ANO94,AKB94)</f>
        <v>0</v>
      </c>
      <c r="ARC94" s="20" t="n">
        <f aca="false">IF(AND(H_Direct=0,H_TaxEvt=1,AUP93+1&gt;=H_Deemed),ANP94,AKC94)</f>
        <v>0</v>
      </c>
      <c r="ARD94" s="20" t="n">
        <f aca="false">IF(AND(H_Direct=0,H_TaxEvt=1,AUQ93+1&gt;=H_Deemed),ANQ94,AKD94)</f>
        <v>0</v>
      </c>
      <c r="ARE94" s="20" t="n">
        <f aca="false">IF(AND(H_Direct=0,H_TaxEvt=1,AUR93+1&gt;=H_Deemed),ANR94,AKE94)</f>
        <v>0</v>
      </c>
      <c r="ARF94" s="20" t="n">
        <f aca="false">IF(AND(H_Direct=0,H_TaxEvt=1,AUS93+1&gt;=H_Deemed),ANS94,AKF94)</f>
        <v>0</v>
      </c>
      <c r="ARG94" s="20" t="n">
        <f aca="false">IF(AND(H_Direct=0,H_TaxEvt=1,AUT93+1&gt;=H_Deemed),ANT94,AKG94)</f>
        <v>0</v>
      </c>
      <c r="ARH94" s="20" t="n">
        <f aca="false">IF(AND(H_Direct=0,H_TaxEvt=1,AUU93+1&gt;=H_Deemed),ANU94,AKH94)</f>
        <v>0</v>
      </c>
      <c r="ARI94" s="20" t="n">
        <f aca="false">IF(AND(H_Direct=0,H_TaxEvt=1,AUV93+1&gt;=H_Deemed),ANV94,AKI94)</f>
        <v>0</v>
      </c>
      <c r="ARJ94" s="20" t="n">
        <f aca="false">IF(AND(H_Direct=0,H_TaxEvt=1,AUW93+1&gt;=H_Deemed),ANW94,AKJ94)</f>
        <v>0</v>
      </c>
      <c r="ARK94" s="20" t="n">
        <f aca="false">IF(AND(H_Direct=0,H_TaxEvt=1,AUX93+1&gt;=H_Deemed),ANX94,AKK94)</f>
        <v>0</v>
      </c>
      <c r="ARL94" s="20" t="n">
        <f aca="false">IF(AND(H_Direct=0,H_TaxEvt=1,AUY93+1&gt;=H_Deemed),ANY94,AKL94)</f>
        <v>0</v>
      </c>
      <c r="ARM94" s="20" t="n">
        <f aca="false">IF(AND(H_Direct=0,H_TaxEvt=1,AUZ93+1&gt;=H_Deemed),ANZ94,AKM94)</f>
        <v>0</v>
      </c>
      <c r="ARN94" s="20" t="n">
        <f aca="false">IF(AND(H_Direct=0,H_TaxEvt=1,0+1&gt;=H_Deemed),AOA94,AKN94)</f>
        <v>0</v>
      </c>
      <c r="ARO94" s="20" t="n">
        <v>0</v>
      </c>
      <c r="ARP94" s="20" t="n">
        <v>0</v>
      </c>
      <c r="ARQ94" s="20" t="n">
        <v>0</v>
      </c>
      <c r="ARR94" s="20" t="n">
        <f aca="false">IF(AND(H_Direct=0,H_TaxEvt=1),IF(ARR93+1&gt;=H_Deemed,0,ARR93+1),ARR93)</f>
        <v>7</v>
      </c>
      <c r="ARS94" s="20" t="n">
        <f aca="false">IF(AND(H_Direct=0,H_TaxEvt=1),IF(ARS93+1&gt;=H_Deemed,0,ARS93+1),ARS93)</f>
        <v>7</v>
      </c>
      <c r="ART94" s="20" t="n">
        <f aca="false">IF(AND(H_Direct=0,H_TaxEvt=1),IF(ART93+1&gt;=H_Deemed,0,ART93+1),ART93)</f>
        <v>6</v>
      </c>
      <c r="ARU94" s="20" t="n">
        <f aca="false">IF(AND(H_Direct=0,H_TaxEvt=1),IF(ARU93+1&gt;=H_Deemed,0,ARU93+1),ARU93)</f>
        <v>5</v>
      </c>
      <c r="ARV94" s="20" t="n">
        <f aca="false">IF(AND(H_Direct=0,H_TaxEvt=1),IF(ARV93+1&gt;=H_Deemed,0,ARV93+1),ARV93)</f>
        <v>4</v>
      </c>
      <c r="ARW94" s="20" t="n">
        <f aca="false">IF(AND(H_Direct=0,H_TaxEvt=1),IF(ARW93+1&gt;=H_Deemed,0,ARW93+1),ARW93)</f>
        <v>3</v>
      </c>
      <c r="ARX94" s="20" t="n">
        <f aca="false">IF(AND(H_Direct=0,H_TaxEvt=1),IF(ARX93+1&gt;=H_Deemed,0,ARX93+1),ARX93)</f>
        <v>2</v>
      </c>
      <c r="ARY94" s="20" t="n">
        <f aca="false">IF(AND(H_Direct=0,H_TaxEvt=1),IF(ARY93+1&gt;=H_Deemed,0,ARY93+1),ARY93)</f>
        <v>1</v>
      </c>
      <c r="ARZ94" s="20" t="n">
        <f aca="false">IF(AND(H_Direct=0,H_TaxEvt=1),IF(ARZ93+1&gt;=H_Deemed,0,ARZ93+1),ARZ93)</f>
        <v>0</v>
      </c>
      <c r="ASA94" s="20" t="n">
        <f aca="false">IF(AND(H_Direct=0,H_TaxEvt=1),IF(ASA93+1&gt;=H_Deemed,0,ASA93+1),ASA93)</f>
        <v>7</v>
      </c>
      <c r="ASB94" s="20" t="n">
        <f aca="false">IF(AND(H_Direct=0,H_TaxEvt=1),IF(ASB93+1&gt;=H_Deemed,0,ASB93+1),ASB93)</f>
        <v>6</v>
      </c>
      <c r="ASC94" s="20" t="n">
        <f aca="false">IF(AND(H_Direct=0,H_TaxEvt=1),IF(ASC93+1&gt;=H_Deemed,0,ASC93+1),ASC93)</f>
        <v>5</v>
      </c>
      <c r="ASD94" s="20" t="n">
        <f aca="false">IF(AND(H_Direct=0,H_TaxEvt=1),IF(ASD93+1&gt;=H_Deemed,0,ASD93+1),ASD93)</f>
        <v>4</v>
      </c>
      <c r="ASE94" s="20" t="n">
        <f aca="false">IF(AND(H_Direct=0,H_TaxEvt=1),IF(ASE93+1&gt;=H_Deemed,0,ASE93+1),ASE93)</f>
        <v>3</v>
      </c>
      <c r="ASF94" s="20" t="n">
        <f aca="false">IF(AND(H_Direct=0,H_TaxEvt=1),IF(ASF93+1&gt;=H_Deemed,0,ASF93+1),ASF93)</f>
        <v>2</v>
      </c>
      <c r="ASG94" s="20" t="n">
        <f aca="false">IF(AND(H_Direct=0,H_TaxEvt=1),IF(ASG93+1&gt;=H_Deemed,0,ASG93+1),ASG93)</f>
        <v>1</v>
      </c>
      <c r="ASH94" s="20" t="n">
        <f aca="false">IF(AND(H_Direct=0,H_TaxEvt=1),IF(ASH93+1&gt;=H_Deemed,0,ASH93+1),ASH93)</f>
        <v>0</v>
      </c>
      <c r="ASI94" s="20" t="n">
        <f aca="false">IF(AND(H_Direct=0,H_TaxEvt=1),IF(ASI93+1&gt;=H_Deemed,0,ASI93+1),ASI93)</f>
        <v>7</v>
      </c>
      <c r="ASJ94" s="20" t="n">
        <f aca="false">IF(AND(H_Direct=0,H_TaxEvt=1),IF(ASJ93+1&gt;=H_Deemed,0,ASJ93+1),ASJ93)</f>
        <v>6</v>
      </c>
      <c r="ASK94" s="20" t="n">
        <f aca="false">IF(AND(H_Direct=0,H_TaxEvt=1),IF(ASK93+1&gt;=H_Deemed,0,ASK93+1),ASK93)</f>
        <v>5</v>
      </c>
      <c r="ASL94" s="20" t="n">
        <f aca="false">IF(AND(H_Direct=0,H_TaxEvt=1),IF(ASL93+1&gt;=H_Deemed,0,ASL93+1),ASL93)</f>
        <v>4</v>
      </c>
      <c r="ASM94" s="20" t="n">
        <f aca="false">IF(AND(H_Direct=0,H_TaxEvt=1),IF(ASM93+1&gt;=H_Deemed,0,ASM93+1),ASM93)</f>
        <v>3</v>
      </c>
      <c r="ASN94" s="20" t="n">
        <f aca="false">IF(AND(H_Direct=0,H_TaxEvt=1),IF(ASN93+1&gt;=H_Deemed,0,ASN93+1),ASN93)</f>
        <v>2</v>
      </c>
      <c r="ASO94" s="20" t="n">
        <f aca="false">IF(AND(H_Direct=0,H_TaxEvt=1),IF(ASO93+1&gt;=H_Deemed,0,ASO93+1),ASO93)</f>
        <v>1</v>
      </c>
      <c r="ASP94" s="20" t="n">
        <f aca="false">IF(AND(H_Direct=0,H_TaxEvt=1),IF(ASP93+1&gt;=H_Deemed,0,ASP93+1),ASP93)</f>
        <v>0</v>
      </c>
      <c r="ASQ94" s="20" t="n">
        <f aca="false">IF(AND(H_Direct=0,H_TaxEvt=1),IF(ASQ93+1&gt;=H_Deemed,0,ASQ93+1),ASQ93)</f>
        <v>7</v>
      </c>
      <c r="ASR94" s="20" t="n">
        <f aca="false">IF(AND(H_Direct=0,H_TaxEvt=1),IF(ASR93+1&gt;=H_Deemed,0,ASR93+1),ASR93)</f>
        <v>6</v>
      </c>
      <c r="ASS94" s="20" t="n">
        <f aca="false">IF(AND(H_Direct=0,H_TaxEvt=1),IF(ASS93+1&gt;=H_Deemed,0,ASS93+1),ASS93)</f>
        <v>5</v>
      </c>
      <c r="AST94" s="20" t="n">
        <f aca="false">IF(AND(H_Direct=0,H_TaxEvt=1),IF(AST93+1&gt;=H_Deemed,0,AST93+1),AST93)</f>
        <v>4</v>
      </c>
      <c r="ASU94" s="20" t="n">
        <f aca="false">IF(AND(H_Direct=0,H_TaxEvt=1),IF(ASU93+1&gt;=H_Deemed,0,ASU93+1),ASU93)</f>
        <v>3</v>
      </c>
      <c r="ASV94" s="20" t="n">
        <f aca="false">IF(AND(H_Direct=0,H_TaxEvt=1),IF(ASV93+1&gt;=H_Deemed,0,ASV93+1),ASV93)</f>
        <v>2</v>
      </c>
      <c r="ASW94" s="20" t="n">
        <f aca="false">IF(AND(H_Direct=0,H_TaxEvt=1),IF(ASW93+1&gt;=H_Deemed,0,ASW93+1),ASW93)</f>
        <v>1</v>
      </c>
      <c r="ASX94" s="20" t="n">
        <f aca="false">IF(AND(H_Direct=0,H_TaxEvt=1),IF(ASX93+1&gt;=H_Deemed,0,ASX93+1),ASX93)</f>
        <v>0</v>
      </c>
      <c r="ASY94" s="20" t="n">
        <f aca="false">IF(AND(H_Direct=0,H_TaxEvt=1),IF(ASY93+1&gt;=H_Deemed,0,ASY93+1),ASY93)</f>
        <v>7</v>
      </c>
      <c r="ASZ94" s="20" t="n">
        <f aca="false">IF(AND(H_Direct=0,H_TaxEvt=1),IF(ASZ93+1&gt;=H_Deemed,0,ASZ93+1),ASZ93)</f>
        <v>6</v>
      </c>
      <c r="ATA94" s="20" t="n">
        <f aca="false">IF(AND(H_Direct=0,H_TaxEvt=1),IF(ATA93+1&gt;=H_Deemed,0,ATA93+1),ATA93)</f>
        <v>5</v>
      </c>
      <c r="ATB94" s="20" t="n">
        <f aca="false">IF(AND(H_Direct=0,H_TaxEvt=1),IF(ATB93+1&gt;=H_Deemed,0,ATB93+1),ATB93)</f>
        <v>4</v>
      </c>
      <c r="ATC94" s="20" t="n">
        <f aca="false">IF(AND(H_Direct=0,H_TaxEvt=1),IF(ATC93+1&gt;=H_Deemed,0,ATC93+1),ATC93)</f>
        <v>3</v>
      </c>
      <c r="ATD94" s="20" t="n">
        <f aca="false">IF(AND(H_Direct=0,H_TaxEvt=1),IF(ATD93+1&gt;=H_Deemed,0,ATD93+1),ATD93)</f>
        <v>2</v>
      </c>
      <c r="ATE94" s="20" t="n">
        <f aca="false">IF(AND(H_Direct=0,H_TaxEvt=1),IF(ATE93+1&gt;=H_Deemed,0,ATE93+1),ATE93)</f>
        <v>1</v>
      </c>
      <c r="ATF94" s="20" t="n">
        <f aca="false">IF(AND(H_Direct=0,H_TaxEvt=1),IF(ATF93+1&gt;=H_Deemed,0,ATF93+1),ATF93)</f>
        <v>0</v>
      </c>
      <c r="ATG94" s="20" t="n">
        <f aca="false">IF(AND(H_Direct=0,H_TaxEvt=1),IF(ATG93+1&gt;=H_Deemed,0,ATG93+1),ATG93)</f>
        <v>7</v>
      </c>
      <c r="ATH94" s="20" t="n">
        <f aca="false">IF(AND(H_Direct=0,H_TaxEvt=1),IF(ATH93+1&gt;=H_Deemed,0,ATH93+1),ATH93)</f>
        <v>6</v>
      </c>
      <c r="ATI94" s="20" t="n">
        <f aca="false">IF(AND(H_Direct=0,H_TaxEvt=1),IF(ATI93+1&gt;=H_Deemed,0,ATI93+1),ATI93)</f>
        <v>5</v>
      </c>
      <c r="ATJ94" s="20" t="n">
        <f aca="false">IF(AND(H_Direct=0,H_TaxEvt=1),IF(ATJ93+1&gt;=H_Deemed,0,ATJ93+1),ATJ93)</f>
        <v>4</v>
      </c>
      <c r="ATK94" s="20" t="n">
        <f aca="false">IF(AND(H_Direct=0,H_TaxEvt=1),IF(ATK93+1&gt;=H_Deemed,0,ATK93+1),ATK93)</f>
        <v>3</v>
      </c>
      <c r="ATL94" s="20" t="n">
        <f aca="false">IF(AND(H_Direct=0,H_TaxEvt=1),IF(ATL93+1&gt;=H_Deemed,0,ATL93+1),ATL93)</f>
        <v>2</v>
      </c>
      <c r="ATM94" s="20" t="n">
        <f aca="false">IF(AND(H_Direct=0,H_TaxEvt=1),IF(ATM93+1&gt;=H_Deemed,0,ATM93+1),ATM93)</f>
        <v>1</v>
      </c>
      <c r="ATN94" s="20" t="n">
        <f aca="false">IF(AND(H_Direct=0,H_TaxEvt=1),IF(ATN93+1&gt;=H_Deemed,0,ATN93+1),ATN93)</f>
        <v>0</v>
      </c>
      <c r="ATO94" s="20" t="n">
        <f aca="false">IF(AND(H_Direct=0,H_TaxEvt=1),IF(ATO93+1&gt;=H_Deemed,0,ATO93+1),ATO93)</f>
        <v>7</v>
      </c>
      <c r="ATP94" s="20" t="n">
        <f aca="false">IF(AND(H_Direct=0,H_TaxEvt=1),IF(ATP93+1&gt;=H_Deemed,0,ATP93+1),ATP93)</f>
        <v>6</v>
      </c>
      <c r="ATQ94" s="20" t="n">
        <f aca="false">IF(AND(H_Direct=0,H_TaxEvt=1),IF(ATQ93+1&gt;=H_Deemed,0,ATQ93+1),ATQ93)</f>
        <v>5</v>
      </c>
      <c r="ATR94" s="20" t="n">
        <f aca="false">IF(AND(H_Direct=0,H_TaxEvt=1),IF(ATR93+1&gt;=H_Deemed,0,ATR93+1),ATR93)</f>
        <v>4</v>
      </c>
      <c r="ATS94" s="20" t="n">
        <f aca="false">IF(AND(H_Direct=0,H_TaxEvt=1),IF(ATS93+1&gt;=H_Deemed,0,ATS93+1),ATS93)</f>
        <v>3</v>
      </c>
      <c r="ATT94" s="20" t="n">
        <f aca="false">IF(AND(H_Direct=0,H_TaxEvt=1),IF(ATT93+1&gt;=H_Deemed,0,ATT93+1),ATT93)</f>
        <v>2</v>
      </c>
      <c r="ATU94" s="20" t="n">
        <f aca="false">IF(AND(H_Direct=0,H_TaxEvt=1),IF(ATU93+1&gt;=H_Deemed,0,ATU93+1),ATU93)</f>
        <v>1</v>
      </c>
      <c r="ATV94" s="20" t="n">
        <f aca="false">IF(AND(H_Direct=0,H_TaxEvt=1),IF(ATV93+1&gt;=H_Deemed,0,ATV93+1),ATV93)</f>
        <v>0</v>
      </c>
      <c r="ATW94" s="20" t="n">
        <f aca="false">IF(AND(H_Direct=0,H_TaxEvt=1),IF(ATW93+1&gt;=H_Deemed,0,ATW93+1),ATW93)</f>
        <v>7</v>
      </c>
      <c r="ATX94" s="20" t="n">
        <f aca="false">IF(AND(H_Direct=0,H_TaxEvt=1),IF(ATX93+1&gt;=H_Deemed,0,ATX93+1),ATX93)</f>
        <v>6</v>
      </c>
      <c r="ATY94" s="20" t="n">
        <f aca="false">IF(AND(H_Direct=0,H_TaxEvt=1),IF(ATY93+1&gt;=H_Deemed,0,ATY93+1),ATY93)</f>
        <v>5</v>
      </c>
      <c r="ATZ94" s="20" t="n">
        <f aca="false">IF(AND(H_Direct=0,H_TaxEvt=1),IF(ATZ93+1&gt;=H_Deemed,0,ATZ93+1),ATZ93)</f>
        <v>4</v>
      </c>
      <c r="AUA94" s="20" t="n">
        <f aca="false">IF(AND(H_Direct=0,H_TaxEvt=1),IF(AUA93+1&gt;=H_Deemed,0,AUA93+1),AUA93)</f>
        <v>3</v>
      </c>
      <c r="AUB94" s="20" t="n">
        <f aca="false">IF(AND(H_Direct=0,H_TaxEvt=1),IF(AUB93+1&gt;=H_Deemed,0,AUB93+1),AUB93)</f>
        <v>2</v>
      </c>
      <c r="AUC94" s="20" t="n">
        <f aca="false">IF(AND(H_Direct=0,H_TaxEvt=1),IF(AUC93+1&gt;=H_Deemed,0,AUC93+1),AUC93)</f>
        <v>1</v>
      </c>
      <c r="AUD94" s="20" t="n">
        <f aca="false">IF(AND(H_Direct=0,H_TaxEvt=1),IF(AUD93+1&gt;=H_Deemed,0,AUD93+1),AUD93)</f>
        <v>0</v>
      </c>
      <c r="AUE94" s="20" t="n">
        <f aca="false">IF(AND(H_Direct=0,H_TaxEvt=1),IF(AUE93+1&gt;=H_Deemed,0,AUE93+1),AUE93)</f>
        <v>7</v>
      </c>
      <c r="AUF94" s="20" t="n">
        <f aca="false">IF(AND(H_Direct=0,H_TaxEvt=1),IF(AUF93+1&gt;=H_Deemed,0,AUF93+1),AUF93)</f>
        <v>6</v>
      </c>
      <c r="AUG94" s="20" t="n">
        <f aca="false">IF(AND(H_Direct=0,H_TaxEvt=1),IF(AUG93+1&gt;=H_Deemed,0,AUG93+1),AUG93)</f>
        <v>5</v>
      </c>
      <c r="AUH94" s="20" t="n">
        <f aca="false">IF(AND(H_Direct=0,H_TaxEvt=1),IF(AUH93+1&gt;=H_Deemed,0,AUH93+1),AUH93)</f>
        <v>4</v>
      </c>
      <c r="AUI94" s="20" t="n">
        <f aca="false">IF(AND(H_Direct=0,H_TaxEvt=1),IF(AUI93+1&gt;=H_Deemed,0,AUI93+1),AUI93)</f>
        <v>3</v>
      </c>
      <c r="AUJ94" s="20" t="n">
        <f aca="false">IF(AND(H_Direct=0,H_TaxEvt=1),IF(AUJ93+1&gt;=H_Deemed,0,AUJ93+1),AUJ93)</f>
        <v>2</v>
      </c>
      <c r="AUK94" s="20" t="n">
        <f aca="false">IF(AND(H_Direct=0,H_TaxEvt=1),IF(AUK93+1&gt;=H_Deemed,0,AUK93+1),AUK93)</f>
        <v>1</v>
      </c>
      <c r="AUL94" s="20" t="n">
        <f aca="false">IF(AND(H_Direct=0,H_TaxEvt=1),IF(AUL93+1&gt;=H_Deemed,0,AUL93+1),AUL93)</f>
        <v>0</v>
      </c>
      <c r="AUM94" s="20" t="n">
        <f aca="false">IF(AND(H_Direct=0,H_TaxEvt=1),IF(AUM93+1&gt;=H_Deemed,0,AUM93+1),AUM93)</f>
        <v>7</v>
      </c>
      <c r="AUN94" s="20" t="n">
        <f aca="false">IF(AND(H_Direct=0,H_TaxEvt=1),IF(AUN93+1&gt;=H_Deemed,0,AUN93+1),AUN93)</f>
        <v>6</v>
      </c>
      <c r="AUO94" s="20" t="n">
        <f aca="false">IF(AND(H_Direct=0,H_TaxEvt=1),IF(AUO93+1&gt;=H_Deemed,0,AUO93+1),AUO93)</f>
        <v>5</v>
      </c>
      <c r="AUP94" s="20" t="n">
        <f aca="false">IF(AND(H_Direct=0,H_TaxEvt=1),IF(AUP93+1&gt;=H_Deemed,0,AUP93+1),AUP93)</f>
        <v>4</v>
      </c>
      <c r="AUQ94" s="20" t="n">
        <f aca="false">IF(AND(H_Direct=0,H_TaxEvt=1),IF(AUQ93+1&gt;=H_Deemed,0,AUQ93+1),AUQ93)</f>
        <v>3</v>
      </c>
      <c r="AUR94" s="20" t="n">
        <f aca="false">IF(AND(H_Direct=0,H_TaxEvt=1),IF(AUR93+1&gt;=H_Deemed,0,AUR93+1),AUR93)</f>
        <v>2</v>
      </c>
      <c r="AUS94" s="20" t="n">
        <f aca="false">IF(AND(H_Direct=0,H_TaxEvt=1),IF(AUS93+1&gt;=H_Deemed,0,AUS93+1),AUS93)</f>
        <v>1</v>
      </c>
      <c r="AUT94" s="20" t="n">
        <f aca="false">IF(AND(H_Direct=0,H_TaxEvt=1),IF(AUT93+1&gt;=H_Deemed,0,AUT93+1),AUT93)</f>
        <v>0</v>
      </c>
      <c r="AUU94" s="20" t="n">
        <f aca="false">IF(AND(H_Direct=0,H_TaxEvt=1),IF(AUU93+1&gt;=H_Deemed,0,AUU93+1),AUU93)</f>
        <v>7</v>
      </c>
      <c r="AUV94" s="20" t="n">
        <f aca="false">IF(AND(H_Direct=0,H_TaxEvt=1),IF(AUV93+1&gt;=H_Deemed,0,AUV93+1),AUV93)</f>
        <v>6</v>
      </c>
      <c r="AUW94" s="20" t="n">
        <f aca="false">IF(AND(H_Direct=0,H_TaxEvt=1),IF(AUW93+1&gt;=H_Deemed,0,AUW93+1),AUW93)</f>
        <v>5</v>
      </c>
      <c r="AUX94" s="20" t="n">
        <f aca="false">IF(AND(H_Direct=0,H_TaxEvt=1),IF(AUX93+1&gt;=H_Deemed,0,AUX93+1),AUX93)</f>
        <v>4</v>
      </c>
      <c r="AUY94" s="20" t="n">
        <f aca="false">IF(AND(H_Direct=0,H_TaxEvt=1),IF(AUY93+1&gt;=H_Deemed,0,AUY93+1),AUY93)</f>
        <v>3</v>
      </c>
      <c r="AUZ94" s="20" t="n">
        <f aca="false">IF(AND(H_Direct=0,H_TaxEvt=1),IF(AUZ93+1&gt;=H_Deemed,0,AUZ93+1),AUZ93)</f>
        <v>2</v>
      </c>
      <c r="AVA94" s="20" t="n">
        <f aca="false">IF(AND(H_Direct=0,H_TaxEvt=1),IF(0+1&gt;=H_Deemed,0,0+1),0)</f>
        <v>1</v>
      </c>
      <c r="AVB94" s="20" t="n">
        <v>0</v>
      </c>
      <c r="AVC94" s="20" t="n">
        <v>0</v>
      </c>
      <c r="AVD94" s="20" t="n">
        <v>0</v>
      </c>
      <c r="AVE94" s="20" t="n">
        <f aca="false">IF(AND(H_Direct=0,H_TaxEvt=1,ARR93+1&gt;=H_Deemed),MAX(0,ADR94-AHE94)*H_Exit,0)</f>
        <v>0</v>
      </c>
      <c r="AVF94" s="20" t="n">
        <f aca="false">IF(AND(H_Direct=0,H_TaxEvt=1,ARS93+1&gt;=H_Deemed),MAX(0,ADS94-AHF94)*H_Exit,0)</f>
        <v>0</v>
      </c>
      <c r="AVG94" s="20" t="n">
        <f aca="false">IF(AND(H_Direct=0,H_TaxEvt=1,ART93+1&gt;=H_Deemed),MAX(0,ADT94-AHG94)*H_Exit,0)</f>
        <v>0</v>
      </c>
      <c r="AVH94" s="20" t="n">
        <f aca="false">IF(AND(H_Direct=0,H_TaxEvt=1,ARU93+1&gt;=H_Deemed),MAX(0,ADU94-AHH94)*H_Exit,0)</f>
        <v>0</v>
      </c>
      <c r="AVI94" s="20" t="n">
        <f aca="false">IF(AND(H_Direct=0,H_TaxEvt=1,ARV93+1&gt;=H_Deemed),MAX(0,ADV94-AHI94)*H_Exit,0)</f>
        <v>0</v>
      </c>
      <c r="AVJ94" s="20" t="n">
        <f aca="false">IF(AND(H_Direct=0,H_TaxEvt=1,ARW93+1&gt;=H_Deemed),MAX(0,ADW94-AHJ94)*H_Exit,0)</f>
        <v>0</v>
      </c>
      <c r="AVK94" s="20" t="n">
        <f aca="false">IF(AND(H_Direct=0,H_TaxEvt=1,ARX93+1&gt;=H_Deemed),MAX(0,ADX94-AHK94)*H_Exit,0)</f>
        <v>0</v>
      </c>
      <c r="AVL94" s="20" t="n">
        <f aca="false">IF(AND(H_Direct=0,H_TaxEvt=1,ARY93+1&gt;=H_Deemed),MAX(0,ADY94-AHL94)*H_Exit,0)</f>
        <v>0</v>
      </c>
      <c r="AVM94" s="20" t="n">
        <f aca="false">IF(AND(H_Direct=0,H_TaxEvt=1,ARZ93+1&gt;=H_Deemed),MAX(0,ADZ94-AHM94)*H_Exit,0)</f>
        <v>0</v>
      </c>
      <c r="AVN94" s="20" t="n">
        <f aca="false">IF(AND(H_Direct=0,H_TaxEvt=1,ASA93+1&gt;=H_Deemed),MAX(0,AEA94-AHN94)*H_Exit,0)</f>
        <v>0</v>
      </c>
      <c r="AVO94" s="20" t="n">
        <f aca="false">IF(AND(H_Direct=0,H_TaxEvt=1,ASB93+1&gt;=H_Deemed),MAX(0,AEB94-AHO94)*H_Exit,0)</f>
        <v>0</v>
      </c>
      <c r="AVP94" s="20" t="n">
        <f aca="false">IF(AND(H_Direct=0,H_TaxEvt=1,ASC93+1&gt;=H_Deemed),MAX(0,AEC94-AHP94)*H_Exit,0)</f>
        <v>0</v>
      </c>
      <c r="AVQ94" s="20" t="n">
        <f aca="false">IF(AND(H_Direct=0,H_TaxEvt=1,ASD93+1&gt;=H_Deemed),MAX(0,AED94-AHQ94)*H_Exit,0)</f>
        <v>0</v>
      </c>
      <c r="AVR94" s="20" t="n">
        <f aca="false">IF(AND(H_Direct=0,H_TaxEvt=1,ASE93+1&gt;=H_Deemed),MAX(0,AEE94-AHR94)*H_Exit,0)</f>
        <v>0</v>
      </c>
      <c r="AVS94" s="20" t="n">
        <f aca="false">IF(AND(H_Direct=0,H_TaxEvt=1,ASF93+1&gt;=H_Deemed),MAX(0,AEF94-AHS94)*H_Exit,0)</f>
        <v>0</v>
      </c>
      <c r="AVT94" s="20" t="n">
        <f aca="false">IF(AND(H_Direct=0,H_TaxEvt=1,ASG93+1&gt;=H_Deemed),MAX(0,AEG94-AHT94)*H_Exit,0)</f>
        <v>0</v>
      </c>
      <c r="AVU94" s="20" t="n">
        <f aca="false">IF(AND(H_Direct=0,H_TaxEvt=1,ASH93+1&gt;=H_Deemed),MAX(0,AEH94-AHU94)*H_Exit,0)</f>
        <v>0</v>
      </c>
      <c r="AVV94" s="20" t="n">
        <f aca="false">IF(AND(H_Direct=0,H_TaxEvt=1,ASI93+1&gt;=H_Deemed),MAX(0,AEI94-AHV94)*H_Exit,0)</f>
        <v>0</v>
      </c>
      <c r="AVW94" s="20" t="n">
        <f aca="false">IF(AND(H_Direct=0,H_TaxEvt=1,ASJ93+1&gt;=H_Deemed),MAX(0,AEJ94-AHW94)*H_Exit,0)</f>
        <v>0</v>
      </c>
      <c r="AVX94" s="20" t="n">
        <f aca="false">IF(AND(H_Direct=0,H_TaxEvt=1,ASK93+1&gt;=H_Deemed),MAX(0,AEK94-AHX94)*H_Exit,0)</f>
        <v>0</v>
      </c>
      <c r="AVY94" s="20" t="n">
        <f aca="false">IF(AND(H_Direct=0,H_TaxEvt=1,ASL93+1&gt;=H_Deemed),MAX(0,AEL94-AHY94)*H_Exit,0)</f>
        <v>0</v>
      </c>
      <c r="AVZ94" s="20" t="n">
        <f aca="false">IF(AND(H_Direct=0,H_TaxEvt=1,ASM93+1&gt;=H_Deemed),MAX(0,AEM94-AHZ94)*H_Exit,0)</f>
        <v>0</v>
      </c>
      <c r="AWA94" s="20" t="n">
        <f aca="false">IF(AND(H_Direct=0,H_TaxEvt=1,ASN93+1&gt;=H_Deemed),MAX(0,AEN94-AIA94)*H_Exit,0)</f>
        <v>0</v>
      </c>
      <c r="AWB94" s="20" t="n">
        <f aca="false">IF(AND(H_Direct=0,H_TaxEvt=1,ASO93+1&gt;=H_Deemed),MAX(0,AEO94-AIB94)*H_Exit,0)</f>
        <v>0</v>
      </c>
      <c r="AWC94" s="20" t="n">
        <f aca="false">IF(AND(H_Direct=0,H_TaxEvt=1,ASP93+1&gt;=H_Deemed),MAX(0,AEP94-AIC94)*H_Exit,0)</f>
        <v>0</v>
      </c>
      <c r="AWD94" s="20" t="n">
        <f aca="false">IF(AND(H_Direct=0,H_TaxEvt=1,ASQ93+1&gt;=H_Deemed),MAX(0,AEQ94-AID94)*H_Exit,0)</f>
        <v>0</v>
      </c>
      <c r="AWE94" s="20" t="n">
        <f aca="false">IF(AND(H_Direct=0,H_TaxEvt=1,ASR93+1&gt;=H_Deemed),MAX(0,AER94-AIE94)*H_Exit,0)</f>
        <v>0</v>
      </c>
      <c r="AWF94" s="20" t="n">
        <f aca="false">IF(AND(H_Direct=0,H_TaxEvt=1,ASS93+1&gt;=H_Deemed),MAX(0,AES94-AIF94)*H_Exit,0)</f>
        <v>0</v>
      </c>
      <c r="AWG94" s="20" t="n">
        <f aca="false">IF(AND(H_Direct=0,H_TaxEvt=1,AST93+1&gt;=H_Deemed),MAX(0,AET94-AIG94)*H_Exit,0)</f>
        <v>0</v>
      </c>
      <c r="AWH94" s="20" t="n">
        <f aca="false">IF(AND(H_Direct=0,H_TaxEvt=1,ASU93+1&gt;=H_Deemed),MAX(0,AEU94-AIH94)*H_Exit,0)</f>
        <v>0</v>
      </c>
      <c r="AWI94" s="20" t="n">
        <f aca="false">IF(AND(H_Direct=0,H_TaxEvt=1,ASV93+1&gt;=H_Deemed),MAX(0,AEV94-AII94)*H_Exit,0)</f>
        <v>0</v>
      </c>
      <c r="AWJ94" s="20" t="n">
        <f aca="false">IF(AND(H_Direct=0,H_TaxEvt=1,ASW93+1&gt;=H_Deemed),MAX(0,AEW94-AIJ94)*H_Exit,0)</f>
        <v>0</v>
      </c>
      <c r="AWK94" s="20" t="n">
        <f aca="false">IF(AND(H_Direct=0,H_TaxEvt=1,ASX93+1&gt;=H_Deemed),MAX(0,AEX94-AIK94)*H_Exit,0)</f>
        <v>0</v>
      </c>
      <c r="AWL94" s="20" t="n">
        <f aca="false">IF(AND(H_Direct=0,H_TaxEvt=1,ASY93+1&gt;=H_Deemed),MAX(0,AEY94-AIL94)*H_Exit,0)</f>
        <v>0</v>
      </c>
      <c r="AWM94" s="20" t="n">
        <f aca="false">IF(AND(H_Direct=0,H_TaxEvt=1,ASZ93+1&gt;=H_Deemed),MAX(0,AEZ94-AIM94)*H_Exit,0)</f>
        <v>0</v>
      </c>
      <c r="AWN94" s="20" t="n">
        <f aca="false">IF(AND(H_Direct=0,H_TaxEvt=1,ATA93+1&gt;=H_Deemed),MAX(0,AFA94-AIN94)*H_Exit,0)</f>
        <v>0</v>
      </c>
      <c r="AWO94" s="20" t="n">
        <f aca="false">IF(AND(H_Direct=0,H_TaxEvt=1,ATB93+1&gt;=H_Deemed),MAX(0,AFB94-AIO94)*H_Exit,0)</f>
        <v>0</v>
      </c>
      <c r="AWP94" s="20" t="n">
        <f aca="false">IF(AND(H_Direct=0,H_TaxEvt=1,ATC93+1&gt;=H_Deemed),MAX(0,AFC94-AIP94)*H_Exit,0)</f>
        <v>0</v>
      </c>
      <c r="AWQ94" s="20" t="n">
        <f aca="false">IF(AND(H_Direct=0,H_TaxEvt=1,ATD93+1&gt;=H_Deemed),MAX(0,AFD94-AIQ94)*H_Exit,0)</f>
        <v>0</v>
      </c>
      <c r="AWR94" s="20" t="n">
        <f aca="false">IF(AND(H_Direct=0,H_TaxEvt=1,ATE93+1&gt;=H_Deemed),MAX(0,AFE94-AIR94)*H_Exit,0)</f>
        <v>0</v>
      </c>
      <c r="AWS94" s="20" t="n">
        <f aca="false">IF(AND(H_Direct=0,H_TaxEvt=1,ATF93+1&gt;=H_Deemed),MAX(0,AFF94-AIS94)*H_Exit,0)</f>
        <v>0</v>
      </c>
      <c r="AWT94" s="20" t="n">
        <f aca="false">IF(AND(H_Direct=0,H_TaxEvt=1,ATG93+1&gt;=H_Deemed),MAX(0,AFG94-AIT94)*H_Exit,0)</f>
        <v>0</v>
      </c>
      <c r="AWU94" s="20" t="n">
        <f aca="false">IF(AND(H_Direct=0,H_TaxEvt=1,ATH93+1&gt;=H_Deemed),MAX(0,AFH94-AIU94)*H_Exit,0)</f>
        <v>0</v>
      </c>
      <c r="AWV94" s="20" t="n">
        <f aca="false">IF(AND(H_Direct=0,H_TaxEvt=1,ATI93+1&gt;=H_Deemed),MAX(0,AFI94-AIV94)*H_Exit,0)</f>
        <v>0</v>
      </c>
      <c r="AWW94" s="20" t="n">
        <f aca="false">IF(AND(H_Direct=0,H_TaxEvt=1,ATJ93+1&gt;=H_Deemed),MAX(0,AFJ94-AIW94)*H_Exit,0)</f>
        <v>0</v>
      </c>
      <c r="AWX94" s="20" t="n">
        <f aca="false">IF(AND(H_Direct=0,H_TaxEvt=1,ATK93+1&gt;=H_Deemed),MAX(0,AFK94-AIX94)*H_Exit,0)</f>
        <v>0</v>
      </c>
      <c r="AWY94" s="20" t="n">
        <f aca="false">IF(AND(H_Direct=0,H_TaxEvt=1,ATL93+1&gt;=H_Deemed),MAX(0,AFL94-AIY94)*H_Exit,0)</f>
        <v>0</v>
      </c>
      <c r="AWZ94" s="20" t="n">
        <f aca="false">IF(AND(H_Direct=0,H_TaxEvt=1,ATM93+1&gt;=H_Deemed),MAX(0,AFM94-AIZ94)*H_Exit,0)</f>
        <v>0</v>
      </c>
      <c r="AXA94" s="20" t="n">
        <f aca="false">IF(AND(H_Direct=0,H_TaxEvt=1,ATN93+1&gt;=H_Deemed),MAX(0,AFN94-AJA94)*H_Exit,0)</f>
        <v>0</v>
      </c>
      <c r="AXB94" s="20" t="n">
        <f aca="false">IF(AND(H_Direct=0,H_TaxEvt=1,ATO93+1&gt;=H_Deemed),MAX(0,AFO94-AJB94)*H_Exit,0)</f>
        <v>0</v>
      </c>
      <c r="AXC94" s="20" t="n">
        <f aca="false">IF(AND(H_Direct=0,H_TaxEvt=1,ATP93+1&gt;=H_Deemed),MAX(0,AFP94-AJC94)*H_Exit,0)</f>
        <v>0</v>
      </c>
      <c r="AXD94" s="20" t="n">
        <f aca="false">IF(AND(H_Direct=0,H_TaxEvt=1,ATQ93+1&gt;=H_Deemed),MAX(0,AFQ94-AJD94)*H_Exit,0)</f>
        <v>0</v>
      </c>
      <c r="AXE94" s="20" t="n">
        <f aca="false">IF(AND(H_Direct=0,H_TaxEvt=1,ATR93+1&gt;=H_Deemed),MAX(0,AFR94-AJE94)*H_Exit,0)</f>
        <v>0</v>
      </c>
      <c r="AXF94" s="20" t="n">
        <f aca="false">IF(AND(H_Direct=0,H_TaxEvt=1,ATS93+1&gt;=H_Deemed),MAX(0,AFS94-AJF94)*H_Exit,0)</f>
        <v>0</v>
      </c>
      <c r="AXG94" s="20" t="n">
        <f aca="false">IF(AND(H_Direct=0,H_TaxEvt=1,ATT93+1&gt;=H_Deemed),MAX(0,AFT94-AJG94)*H_Exit,0)</f>
        <v>0</v>
      </c>
      <c r="AXH94" s="20" t="n">
        <f aca="false">IF(AND(H_Direct=0,H_TaxEvt=1,ATU93+1&gt;=H_Deemed),MAX(0,AFU94-AJH94)*H_Exit,0)</f>
        <v>0</v>
      </c>
      <c r="AXI94" s="20" t="n">
        <f aca="false">IF(AND(H_Direct=0,H_TaxEvt=1,ATV93+1&gt;=H_Deemed),MAX(0,AFV94-AJI94)*H_Exit,0)</f>
        <v>0</v>
      </c>
      <c r="AXJ94" s="20" t="n">
        <f aca="false">IF(AND(H_Direct=0,H_TaxEvt=1,ATW93+1&gt;=H_Deemed),MAX(0,AFW94-AJJ94)*H_Exit,0)</f>
        <v>0</v>
      </c>
      <c r="AXK94" s="20" t="n">
        <f aca="false">IF(AND(H_Direct=0,H_TaxEvt=1,ATX93+1&gt;=H_Deemed),MAX(0,AFX94-AJK94)*H_Exit,0)</f>
        <v>0</v>
      </c>
      <c r="AXL94" s="20" t="n">
        <f aca="false">IF(AND(H_Direct=0,H_TaxEvt=1,ATY93+1&gt;=H_Deemed),MAX(0,AFY94-AJL94)*H_Exit,0)</f>
        <v>0</v>
      </c>
      <c r="AXM94" s="20" t="n">
        <f aca="false">IF(AND(H_Direct=0,H_TaxEvt=1,ATZ93+1&gt;=H_Deemed),MAX(0,AFZ94-AJM94)*H_Exit,0)</f>
        <v>0</v>
      </c>
      <c r="AXN94" s="20" t="n">
        <f aca="false">IF(AND(H_Direct=0,H_TaxEvt=1,AUA93+1&gt;=H_Deemed),MAX(0,AGA94-AJN94)*H_Exit,0)</f>
        <v>0</v>
      </c>
      <c r="AXO94" s="20" t="n">
        <f aca="false">IF(AND(H_Direct=0,H_TaxEvt=1,AUB93+1&gt;=H_Deemed),MAX(0,AGB94-AJO94)*H_Exit,0)</f>
        <v>0</v>
      </c>
      <c r="AXP94" s="20" t="n">
        <f aca="false">IF(AND(H_Direct=0,H_TaxEvt=1,AUC93+1&gt;=H_Deemed),MAX(0,AGC94-AJP94)*H_Exit,0)</f>
        <v>0</v>
      </c>
      <c r="AXQ94" s="20" t="n">
        <f aca="false">IF(AND(H_Direct=0,H_TaxEvt=1,AUD93+1&gt;=H_Deemed),MAX(0,AGD94-AJQ94)*H_Exit,0)</f>
        <v>0</v>
      </c>
      <c r="AXR94" s="20" t="n">
        <f aca="false">IF(AND(H_Direct=0,H_TaxEvt=1,AUE93+1&gt;=H_Deemed),MAX(0,AGE94-AJR94)*H_Exit,0)</f>
        <v>0</v>
      </c>
      <c r="AXS94" s="20" t="n">
        <f aca="false">IF(AND(H_Direct=0,H_TaxEvt=1,AUF93+1&gt;=H_Deemed),MAX(0,AGF94-AJS94)*H_Exit,0)</f>
        <v>0</v>
      </c>
      <c r="AXT94" s="20" t="n">
        <f aca="false">IF(AND(H_Direct=0,H_TaxEvt=1,AUG93+1&gt;=H_Deemed),MAX(0,AGG94-AJT94)*H_Exit,0)</f>
        <v>0</v>
      </c>
      <c r="AXU94" s="20" t="n">
        <f aca="false">IF(AND(H_Direct=0,H_TaxEvt=1,AUH93+1&gt;=H_Deemed),MAX(0,AGH94-AJU94)*H_Exit,0)</f>
        <v>0</v>
      </c>
      <c r="AXV94" s="20" t="n">
        <f aca="false">IF(AND(H_Direct=0,H_TaxEvt=1,AUI93+1&gt;=H_Deemed),MAX(0,AGI94-AJV94)*H_Exit,0)</f>
        <v>0</v>
      </c>
      <c r="AXW94" s="20" t="n">
        <f aca="false">IF(AND(H_Direct=0,H_TaxEvt=1,AUJ93+1&gt;=H_Deemed),MAX(0,AGJ94-AJW94)*H_Exit,0)</f>
        <v>0</v>
      </c>
      <c r="AXX94" s="20" t="n">
        <f aca="false">IF(AND(H_Direct=0,H_TaxEvt=1,AUK93+1&gt;=H_Deemed),MAX(0,AGK94-AJX94)*H_Exit,0)</f>
        <v>0</v>
      </c>
      <c r="AXY94" s="20" t="n">
        <f aca="false">IF(AND(H_Direct=0,H_TaxEvt=1,AUL93+1&gt;=H_Deemed),MAX(0,AGL94-AJY94)*H_Exit,0)</f>
        <v>0</v>
      </c>
      <c r="AXZ94" s="20" t="n">
        <f aca="false">IF(AND(H_Direct=0,H_TaxEvt=1,AUM93+1&gt;=H_Deemed),MAX(0,AGM94-AJZ94)*H_Exit,0)</f>
        <v>0</v>
      </c>
      <c r="AYA94" s="20" t="n">
        <f aca="false">IF(AND(H_Direct=0,H_TaxEvt=1,AUN93+1&gt;=H_Deemed),MAX(0,AGN94-AKA94)*H_Exit,0)</f>
        <v>0</v>
      </c>
      <c r="AYB94" s="20" t="n">
        <f aca="false">IF(AND(H_Direct=0,H_TaxEvt=1,AUO93+1&gt;=H_Deemed),MAX(0,AGO94-AKB94)*H_Exit,0)</f>
        <v>0</v>
      </c>
      <c r="AYC94" s="20" t="n">
        <f aca="false">IF(AND(H_Direct=0,H_TaxEvt=1,AUP93+1&gt;=H_Deemed),MAX(0,AGP94-AKC94)*H_Exit,0)</f>
        <v>0</v>
      </c>
      <c r="AYD94" s="20" t="n">
        <f aca="false">IF(AND(H_Direct=0,H_TaxEvt=1,AUQ93+1&gt;=H_Deemed),MAX(0,AGQ94-AKD94)*H_Exit,0)</f>
        <v>0</v>
      </c>
      <c r="AYE94" s="20" t="n">
        <f aca="false">IF(AND(H_Direct=0,H_TaxEvt=1,AUR93+1&gt;=H_Deemed),MAX(0,AGR94-AKE94)*H_Exit,0)</f>
        <v>0</v>
      </c>
      <c r="AYF94" s="20" t="n">
        <f aca="false">IF(AND(H_Direct=0,H_TaxEvt=1,AUS93+1&gt;=H_Deemed),MAX(0,AGS94-AKF94)*H_Exit,0)</f>
        <v>0</v>
      </c>
      <c r="AYG94" s="20" t="n">
        <f aca="false">IF(AND(H_Direct=0,H_TaxEvt=1,AUT93+1&gt;=H_Deemed),MAX(0,AGT94-AKG94)*H_Exit,0)</f>
        <v>0</v>
      </c>
      <c r="AYH94" s="20" t="n">
        <f aca="false">IF(AND(H_Direct=0,H_TaxEvt=1,AUU93+1&gt;=H_Deemed),MAX(0,AGU94-AKH94)*H_Exit,0)</f>
        <v>0</v>
      </c>
      <c r="AYI94" s="20" t="n">
        <f aca="false">IF(AND(H_Direct=0,H_TaxEvt=1,AUV93+1&gt;=H_Deemed),MAX(0,AGV94-AKI94)*H_Exit,0)</f>
        <v>0</v>
      </c>
      <c r="AYJ94" s="20" t="n">
        <f aca="false">IF(AND(H_Direct=0,H_TaxEvt=1,AUW93+1&gt;=H_Deemed),MAX(0,AGW94-AKJ94)*H_Exit,0)</f>
        <v>0</v>
      </c>
      <c r="AYK94" s="20" t="n">
        <f aca="false">IF(AND(H_Direct=0,H_TaxEvt=1,AUX93+1&gt;=H_Deemed),MAX(0,AGX94-AKK94)*H_Exit,0)</f>
        <v>0</v>
      </c>
      <c r="AYL94" s="20" t="n">
        <f aca="false">IF(AND(H_Direct=0,H_TaxEvt=1,AUY93+1&gt;=H_Deemed),MAX(0,AGY94-AKL94)*H_Exit,0)</f>
        <v>0</v>
      </c>
      <c r="AYM94" s="20" t="n">
        <f aca="false">IF(AND(H_Direct=0,H_TaxEvt=1,AUZ93+1&gt;=H_Deemed),MAX(0,AGZ94-AKM94)*H_Exit,0)</f>
        <v>0</v>
      </c>
      <c r="AYN94" s="20" t="n">
        <f aca="false">IF(AND(H_Direct=0,H_TaxEvt=1,0+1&gt;=H_Deemed),MAX(0,AHA94-AKN94)*H_Exit,0)</f>
        <v>0</v>
      </c>
      <c r="AYO94" s="20" t="n">
        <v>0</v>
      </c>
      <c r="AYP94" s="20" t="n">
        <v>0</v>
      </c>
      <c r="AYQ94" s="20" t="n">
        <v>0</v>
      </c>
    </row>
    <row r="95" customFormat="false" ht="15" hidden="false" customHeight="false" outlineLevel="0" collapsed="false">
      <c r="B95" s="20" t="n">
        <v>87</v>
      </c>
      <c r="C95" s="20" t="n">
        <f aca="false">'Plan cashflow'!C95</f>
        <v>0</v>
      </c>
      <c r="D95" s="20" t="n">
        <f aca="false">'Plan cashflow'!D95</f>
        <v>125</v>
      </c>
      <c r="E95" s="20" t="n">
        <f aca="false">AS_Year0+87</f>
        <v>2113</v>
      </c>
      <c r="F95" s="50" t="n">
        <f aca="false">'Plan cashflow'!F95</f>
        <v>5.60034708210403</v>
      </c>
      <c r="G95" s="59" t="n">
        <f aca="true">IF(MAX(TODAY(),DATE(E95,1,1))&gt;=H_CGTfrom,H_CGT1,H_CGT0)</f>
        <v>0.31</v>
      </c>
      <c r="H95" s="20" t="n">
        <f aca="false">H_Exempt*H_Persons</f>
        <v>1270</v>
      </c>
      <c r="I95" s="20" t="n">
        <f aca="false">AX94</f>
        <v>0</v>
      </c>
      <c r="J95" s="60" t="n">
        <f aca="false">BF94</f>
        <v>0</v>
      </c>
      <c r="K95" s="60" t="n">
        <f aca="false">BG94</f>
        <v>0</v>
      </c>
      <c r="L95" s="20" t="n">
        <f aca="false">IF(AND(In_polLump&gt;0,In_polLumpAge&gt;0,D95=In_polLumpAge),In_polLump,0)</f>
        <v>0</v>
      </c>
      <c r="M95" s="20" t="n">
        <f aca="false">IF(AND(In_homeUse="Yes, I'd downsize",In_downAge&gt;0,D95=In_downAge,OR(In_home="Own outright",In_home="Own with mortgage"),In_homeValue&gt;0),MAX(0,MAX(0,In_homeValue-In_downValue)*F95*0.9-'Plan cashflow'!HR94),0)</f>
        <v>0</v>
      </c>
      <c r="N95" s="20" t="n">
        <f aca="false">'Plan pay &amp; tax'!Y321</f>
        <v>0</v>
      </c>
      <c r="O95" s="20" t="n">
        <f aca="false">L95+M95+(1-H_Sh)*N95</f>
        <v>0</v>
      </c>
      <c r="P95" s="20" t="n">
        <f aca="false">H_Sh*N95</f>
        <v>0</v>
      </c>
      <c r="Q95" s="20" t="n">
        <f aca="false">'Plan cashflow'!UL95</f>
        <v>0</v>
      </c>
      <c r="R95" s="20" t="n">
        <f aca="false">(1-H_Sh)*Q95</f>
        <v>0</v>
      </c>
      <c r="S95" s="20" t="n">
        <f aca="false">H_Sh*Q95</f>
        <v>0</v>
      </c>
      <c r="T95" s="20" t="n">
        <f aca="false">J95+K95+O95</f>
        <v>0</v>
      </c>
      <c r="U95" s="20" t="n">
        <f aca="false">T95+R95</f>
        <v>0</v>
      </c>
      <c r="V95" s="60" t="n">
        <f aca="false">SUM(FE95:IQ95)</f>
        <v>0</v>
      </c>
      <c r="W95" s="60" t="n">
        <f aca="false">IF(AJ95&lt;=0,0,IF(AL95&lt;=0,AJ95,AJ95-G95*MAX(0,AL95*AJ95-(AY95+AZ95))))</f>
        <v>0</v>
      </c>
      <c r="X95" s="60" t="n">
        <f aca="false">IF(AR95&lt;=0,0,IF(AT95&lt;=0,AR95,AR95-G95*MAX(0,AT95*AR95-(BA95+BB95))))</f>
        <v>0</v>
      </c>
      <c r="Y95" s="60" t="n">
        <f aca="false">T95+V95-S95+W95+X95</f>
        <v>0</v>
      </c>
      <c r="Z95" s="60" t="n">
        <f aca="false">'Plan cashflow'!UK95</f>
        <v>0</v>
      </c>
      <c r="AA95" s="20" t="n">
        <f aca="false">MIN(Z95,U95)</f>
        <v>0</v>
      </c>
      <c r="AB95" s="20" t="n">
        <f aca="false">Z95-AA95</f>
        <v>0</v>
      </c>
      <c r="AC95" s="20" t="n">
        <f aca="false">MIN(AA95,J95+O95+R95)</f>
        <v>0</v>
      </c>
      <c r="AD95" s="20" t="n">
        <f aca="false">AA95-AC95</f>
        <v>0</v>
      </c>
      <c r="AE95" s="20" t="n">
        <f aca="false">J95+O95+R95-AC95</f>
        <v>0</v>
      </c>
      <c r="AF95" s="20" t="n">
        <f aca="false">K95-AD95</f>
        <v>0</v>
      </c>
      <c r="AG95" s="20" t="n">
        <f aca="false">SUM(PR95:TD95)</f>
        <v>0</v>
      </c>
      <c r="AH95" s="20" t="n">
        <f aca="false">SUM(TE95:WQ95)</f>
        <v>0</v>
      </c>
      <c r="AI95" s="20" t="n">
        <f aca="false">MAX(0,AB95-AG95)</f>
        <v>0</v>
      </c>
      <c r="AJ95" s="57" t="n">
        <f aca="false">BI94</f>
        <v>0</v>
      </c>
      <c r="AK95" s="20" t="n">
        <f aca="false">BJ94</f>
        <v>0</v>
      </c>
      <c r="AL95" s="20" t="n">
        <f aca="false">IF(AJ95&gt;0,(AJ95-AK95)/AJ95,0)</f>
        <v>0</v>
      </c>
      <c r="AM95" s="20" t="n">
        <f aca="false">IF(AJ95&lt;=0,0,IF(AL95&lt;=0,MIN(AI95,AJ95),MIN(AI95,AJ95-G95*MAX(0,AL95*AJ95-(AAD95+ADQ95)))))</f>
        <v>0</v>
      </c>
      <c r="AN95" s="20" t="n">
        <f aca="false">IF(AJ95&lt;=0,0,IF(AL95&lt;=0,AM95,IF(AM95&lt;=(AAD95+ADQ95)/AL95,AM95,(AM95-G95*(AAD95+ADQ95))/(1-G95*AL95))))</f>
        <v>0</v>
      </c>
      <c r="AO95" s="20" t="n">
        <f aca="false">IF(AL95&gt;0,MAX(0,AAD95-(MIN(AL95*AN95,(AAD95+ADQ95))-MIN(MIN(AL95*AN95,(AAD95+ADQ95)),ADQ95))),AAD95)</f>
        <v>1270</v>
      </c>
      <c r="AP95" s="20" t="n">
        <f aca="false">IF(AL95&lt;=0,ADQ95-AL95*AN95,ADQ95-MIN(MIN(AL95*AN95,(AAD95+ADQ95)),ADQ95))</f>
        <v>0</v>
      </c>
      <c r="AQ95" s="20" t="n">
        <f aca="false">MAX(0,AI95-AM95)</f>
        <v>0</v>
      </c>
      <c r="AR95" s="57" t="n">
        <f aca="false">BK94</f>
        <v>0</v>
      </c>
      <c r="AS95" s="20" t="n">
        <f aca="false">BL94</f>
        <v>0</v>
      </c>
      <c r="AT95" s="20" t="n">
        <f aca="false">IF(AR95&gt;0,(AR95-AS95)/AR95,0)</f>
        <v>0</v>
      </c>
      <c r="AU95" s="20" t="n">
        <f aca="false">IF(AR95&lt;=0,0,IF(AT95&lt;=0,MIN(AQ95,AR95),MIN(AQ95,AR95-G95*MAX(0,AT95*AR95-(AO95+AP95)))))</f>
        <v>0</v>
      </c>
      <c r="AV95" s="20" t="n">
        <f aca="false">IF(AR95&lt;=0,0,IF(AT95&lt;=0,AU95,IF(AU95&lt;=(AO95+AP95)/AT95,AU95,(AU95-G95*(AO95+AP95))/(1-G95*AT95))))</f>
        <v>0</v>
      </c>
      <c r="AW95" s="20" t="n">
        <f aca="false">IF(AT95&gt;0,MAX(0,AO95-(MIN(AT95*AV95,(AO95+AP95))-MIN(MIN(AT95*AV95,(AO95+AP95)),AP95))),AO95)</f>
        <v>1270</v>
      </c>
      <c r="AX95" s="20" t="n">
        <f aca="false">IF(AT95&lt;=0,AP95-AT95*AV95,AP95-MIN(MIN(AT95*AV95,(AO95+AP95)),AP95))</f>
        <v>0</v>
      </c>
      <c r="AY95" s="20" t="n">
        <f aca="false">MD95</f>
        <v>1270</v>
      </c>
      <c r="AZ95" s="20" t="n">
        <f aca="false">PQ95</f>
        <v>0</v>
      </c>
      <c r="BA95" s="20" t="n">
        <f aca="false">IF(AL95&gt;0,MAX(0,AY95-(MIN(AL95*AJ95,AY95+AZ95)-MIN(MIN(AL95*AJ95,AY95+AZ95),AZ95))),AY95)</f>
        <v>1270</v>
      </c>
      <c r="BB95" s="20" t="n">
        <f aca="false">IF(AL95&lt;=0,AZ95-AL95*AJ95,AZ95-MIN(MIN(AL95*AJ95,AY95+AZ95),AZ95))</f>
        <v>0</v>
      </c>
      <c r="BC95" s="20" t="n">
        <f aca="false">'Plan cashflow'!UM95</f>
        <v>0</v>
      </c>
      <c r="BD95" s="20" t="n">
        <f aca="false">(1-H_Sh)*BC95</f>
        <v>0</v>
      </c>
      <c r="BE95" s="20" t="n">
        <f aca="false">H_Sh*BC95</f>
        <v>0</v>
      </c>
      <c r="BF95" s="60" t="n">
        <f aca="false">(AE95+BD95)*(1+AS_Cash)</f>
        <v>0</v>
      </c>
      <c r="BG95" s="60" t="n">
        <f aca="false">AF95*(1+AS_Cash)</f>
        <v>0</v>
      </c>
      <c r="BH95" s="60" t="n">
        <f aca="false">SUM(AKR95:AOD95)</f>
        <v>0</v>
      </c>
      <c r="BI95" s="60" t="n">
        <f aca="false">(AJ95-AN95)*(1+AS_Infl)</f>
        <v>0</v>
      </c>
      <c r="BJ95" s="20" t="n">
        <f aca="false">IF(AJ95&gt;0,AK95-AK95*AN95/AJ95,0)</f>
        <v>0</v>
      </c>
      <c r="BK95" s="60" t="n">
        <f aca="false">(AR95-AV95)*(1+BQ95)</f>
        <v>0</v>
      </c>
      <c r="BL95" s="20" t="n">
        <f aca="false">IF(AR95&gt;0,AS95-AS95*AV95/AR95,0)</f>
        <v>0</v>
      </c>
      <c r="BM95" s="60" t="n">
        <f aca="false">BF95+BG95+BH95+BI95+BK95</f>
        <v>0</v>
      </c>
      <c r="BN95" s="60" t="n">
        <f aca="false">(AH95-AG95)+(AN95-AM95)+(AV95-AU95)</f>
        <v>0</v>
      </c>
      <c r="BO95" s="20" t="n">
        <f aca="false">(AE95+BD95+AF95+MAX(0,'Plan cashflow'!QH95)+IF(Slot1_Rate=AS_Cash,'Plan cashflow'!QM95/(1+AS_Cash),0)+IF(Slot2_Rate=AS_Cash,'Plan cashflow'!QQ95/(1+AS_Cash),0)+IF(Slot3_Rate=AS_Cash,'Plan cashflow'!QU95/(1+AS_Cash),0)+IF(Slot4_Rate=AS_Cash,'Plan cashflow'!QY95/(1+AS_Cash),0)+IF(Slot5_Rate=AS_Cash,'Plan cashflow'!RC95/(1+AS_Cash),0)+IF(Slot6_Rate=AS_Cash,'Plan cashflow'!RG95/(1+AS_Cash),0)+IF(Slot7_Rate=AS_Cash,'Plan cashflow'!RK95/(1+AS_Cash),0)+IF(Slot8_Rate=AS_Cash,'Plan cashflow'!RO95/(1+AS_Cash),0)+IF(Slot9_Rate=AS_Cash,'Plan cashflow'!RS95/(1+AS_Cash),0)+IF(Slot10_Rate=AS_Cash,'Plan cashflow'!RW95/(1+AS_Cash),0)+IF(Slot11_Rate=AS_Cash,'Plan cashflow'!SA95/(1+AS_Cash),0)+IF(Slot12_Rate=AS_Cash,'Plan cashflow'!SE95/(1+AS_Cash),0)+IF(Slot13_Rate=AS_Cash,'Plan cashflow'!SI95/(1+AS_Cash),0)+IF(Slot14_Rate=AS_Cash,'Plan cashflow'!SM95/(1+AS_Cash),0)+IF(Slot15_Rate=AS_Cash,'Plan cashflow'!SQ95/(1+AS_Cash),0)+IF(Slot16_Rate=AS_Cash,'Plan cashflow'!SU95/(1+AS_Cash),0)+IF(Slot17_Rate=AS_Cash,'Plan cashflow'!SY95/(1+AS_Cash),0)+IF(Slot18_Rate=AS_Cash,'Plan cashflow'!TC95/(1+AS_Cash),0)+IF(Slot19_Rate=AS_Cash,'Plan cashflow'!TG95/(1+AS_Cash),0)+IF(Slot20_Rate=AS_Cash,'Plan cashflow'!TK95/(1+AS_Cash),0))*AS_Cash*H_DIRT/(1-H_DIRT)</f>
        <v>0</v>
      </c>
      <c r="BP95" s="60" t="n">
        <f aca="false">SUM(AVE95:AYQ95)</f>
        <v>0</v>
      </c>
      <c r="BQ95" s="54" t="n">
        <f aca="false">IF(H_TaxEvt=1,H_InvG,AS_Inv)</f>
        <v>0.04</v>
      </c>
      <c r="BR95" s="20" t="n">
        <f aca="false">IF(AKR94&gt;0,(AKR94-AOE94)/AKR94,0)</f>
        <v>0</v>
      </c>
      <c r="BS95" s="20" t="n">
        <f aca="false">IF(AKS94&gt;0,(AKS94-AOF94)/AKS94,0)</f>
        <v>0</v>
      </c>
      <c r="BT95" s="20" t="n">
        <f aca="false">IF(AKT94&gt;0,(AKT94-AOG94)/AKT94,0)</f>
        <v>0</v>
      </c>
      <c r="BU95" s="20" t="n">
        <f aca="false">IF(AKU94&gt;0,(AKU94-AOH94)/AKU94,0)</f>
        <v>0</v>
      </c>
      <c r="BV95" s="20" t="n">
        <f aca="false">IF(AKV94&gt;0,(AKV94-AOI94)/AKV94,0)</f>
        <v>0</v>
      </c>
      <c r="BW95" s="20" t="n">
        <f aca="false">IF(AKW94&gt;0,(AKW94-AOJ94)/AKW94,0)</f>
        <v>0</v>
      </c>
      <c r="BX95" s="20" t="n">
        <f aca="false">IF(AKX94&gt;0,(AKX94-AOK94)/AKX94,0)</f>
        <v>0</v>
      </c>
      <c r="BY95" s="20" t="n">
        <f aca="false">IF(AKY94&gt;0,(AKY94-AOL94)/AKY94,0)</f>
        <v>0</v>
      </c>
      <c r="BZ95" s="20" t="n">
        <f aca="false">IF(AKZ94&gt;0,(AKZ94-AOM94)/AKZ94,0)</f>
        <v>0</v>
      </c>
      <c r="CA95" s="20" t="n">
        <f aca="false">IF(ALA94&gt;0,(ALA94-AON94)/ALA94,0)</f>
        <v>0</v>
      </c>
      <c r="CB95" s="20" t="n">
        <f aca="false">IF(ALB94&gt;0,(ALB94-AOO94)/ALB94,0)</f>
        <v>0</v>
      </c>
      <c r="CC95" s="20" t="n">
        <f aca="false">IF(ALC94&gt;0,(ALC94-AOP94)/ALC94,0)</f>
        <v>0</v>
      </c>
      <c r="CD95" s="20" t="n">
        <f aca="false">IF(ALD94&gt;0,(ALD94-AOQ94)/ALD94,0)</f>
        <v>0</v>
      </c>
      <c r="CE95" s="20" t="n">
        <f aca="false">IF(ALE94&gt;0,(ALE94-AOR94)/ALE94,0)</f>
        <v>0</v>
      </c>
      <c r="CF95" s="20" t="n">
        <f aca="false">IF(ALF94&gt;0,(ALF94-AOS94)/ALF94,0)</f>
        <v>0</v>
      </c>
      <c r="CG95" s="20" t="n">
        <f aca="false">IF(ALG94&gt;0,(ALG94-AOT94)/ALG94,0)</f>
        <v>0</v>
      </c>
      <c r="CH95" s="20" t="n">
        <f aca="false">IF(ALH94&gt;0,(ALH94-AOU94)/ALH94,0)</f>
        <v>0</v>
      </c>
      <c r="CI95" s="20" t="n">
        <f aca="false">IF(ALI94&gt;0,(ALI94-AOV94)/ALI94,0)</f>
        <v>0</v>
      </c>
      <c r="CJ95" s="20" t="n">
        <f aca="false">IF(ALJ94&gt;0,(ALJ94-AOW94)/ALJ94,0)</f>
        <v>0</v>
      </c>
      <c r="CK95" s="20" t="n">
        <f aca="false">IF(ALK94&gt;0,(ALK94-AOX94)/ALK94,0)</f>
        <v>0</v>
      </c>
      <c r="CL95" s="20" t="n">
        <f aca="false">IF(ALL94&gt;0,(ALL94-AOY94)/ALL94,0)</f>
        <v>0</v>
      </c>
      <c r="CM95" s="20" t="n">
        <f aca="false">IF(ALM94&gt;0,(ALM94-AOZ94)/ALM94,0)</f>
        <v>0</v>
      </c>
      <c r="CN95" s="20" t="n">
        <f aca="false">IF(ALN94&gt;0,(ALN94-APA94)/ALN94,0)</f>
        <v>0</v>
      </c>
      <c r="CO95" s="20" t="n">
        <f aca="false">IF(ALO94&gt;0,(ALO94-APB94)/ALO94,0)</f>
        <v>0</v>
      </c>
      <c r="CP95" s="20" t="n">
        <f aca="false">IF(ALP94&gt;0,(ALP94-APC94)/ALP94,0)</f>
        <v>0</v>
      </c>
      <c r="CQ95" s="20" t="n">
        <f aca="false">IF(ALQ94&gt;0,(ALQ94-APD94)/ALQ94,0)</f>
        <v>0</v>
      </c>
      <c r="CR95" s="20" t="n">
        <f aca="false">IF(ALR94&gt;0,(ALR94-APE94)/ALR94,0)</f>
        <v>0</v>
      </c>
      <c r="CS95" s="20" t="n">
        <f aca="false">IF(ALS94&gt;0,(ALS94-APF94)/ALS94,0)</f>
        <v>0</v>
      </c>
      <c r="CT95" s="20" t="n">
        <f aca="false">IF(ALT94&gt;0,(ALT94-APG94)/ALT94,0)</f>
        <v>0</v>
      </c>
      <c r="CU95" s="20" t="n">
        <f aca="false">IF(ALU94&gt;0,(ALU94-APH94)/ALU94,0)</f>
        <v>0</v>
      </c>
      <c r="CV95" s="20" t="n">
        <f aca="false">IF(ALV94&gt;0,(ALV94-API94)/ALV94,0)</f>
        <v>0</v>
      </c>
      <c r="CW95" s="20" t="n">
        <f aca="false">IF(ALW94&gt;0,(ALW94-APJ94)/ALW94,0)</f>
        <v>0</v>
      </c>
      <c r="CX95" s="20" t="n">
        <f aca="false">IF(ALX94&gt;0,(ALX94-APK94)/ALX94,0)</f>
        <v>0</v>
      </c>
      <c r="CY95" s="20" t="n">
        <f aca="false">IF(ALY94&gt;0,(ALY94-APL94)/ALY94,0)</f>
        <v>0</v>
      </c>
      <c r="CZ95" s="20" t="n">
        <f aca="false">IF(ALZ94&gt;0,(ALZ94-APM94)/ALZ94,0)</f>
        <v>0</v>
      </c>
      <c r="DA95" s="20" t="n">
        <f aca="false">IF(AMA94&gt;0,(AMA94-APN94)/AMA94,0)</f>
        <v>0</v>
      </c>
      <c r="DB95" s="20" t="n">
        <f aca="false">IF(AMB94&gt;0,(AMB94-APO94)/AMB94,0)</f>
        <v>0</v>
      </c>
      <c r="DC95" s="20" t="n">
        <f aca="false">IF(AMC94&gt;0,(AMC94-APP94)/AMC94,0)</f>
        <v>0</v>
      </c>
      <c r="DD95" s="20" t="n">
        <f aca="false">IF(AMD94&gt;0,(AMD94-APQ94)/AMD94,0)</f>
        <v>0</v>
      </c>
      <c r="DE95" s="20" t="n">
        <f aca="false">IF(AME94&gt;0,(AME94-APR94)/AME94,0)</f>
        <v>0</v>
      </c>
      <c r="DF95" s="20" t="n">
        <f aca="false">IF(AMF94&gt;0,(AMF94-APS94)/AMF94,0)</f>
        <v>0</v>
      </c>
      <c r="DG95" s="20" t="n">
        <f aca="false">IF(AMG94&gt;0,(AMG94-APT94)/AMG94,0)</f>
        <v>0</v>
      </c>
      <c r="DH95" s="20" t="n">
        <f aca="false">IF(AMH94&gt;0,(AMH94-APU94)/AMH94,0)</f>
        <v>0</v>
      </c>
      <c r="DI95" s="20" t="n">
        <f aca="false">IF(AMI94&gt;0,(AMI94-APV94)/AMI94,0)</f>
        <v>0</v>
      </c>
      <c r="DJ95" s="20" t="n">
        <f aca="false">IF(AMJ94&gt;0,(AMJ94-APW94)/AMJ94,0)</f>
        <v>0</v>
      </c>
      <c r="DK95" s="20" t="n">
        <f aca="false">IF(AMK94&gt;0,(AMK94-APX94)/AMK94,0)</f>
        <v>0</v>
      </c>
      <c r="DL95" s="20" t="n">
        <f aca="false">IF(AML94&gt;0,(AML94-APY94)/AML94,0)</f>
        <v>0</v>
      </c>
      <c r="DM95" s="20" t="n">
        <f aca="false">IF(AMM94&gt;0,(AMM94-APZ94)/AMM94,0)</f>
        <v>0</v>
      </c>
      <c r="DN95" s="20" t="n">
        <f aca="false">IF(AMN94&gt;0,(AMN94-AQA94)/AMN94,0)</f>
        <v>0</v>
      </c>
      <c r="DO95" s="20" t="n">
        <f aca="false">IF(AMO94&gt;0,(AMO94-AQB94)/AMO94,0)</f>
        <v>0</v>
      </c>
      <c r="DP95" s="20" t="n">
        <f aca="false">IF(AMP94&gt;0,(AMP94-AQC94)/AMP94,0)</f>
        <v>0</v>
      </c>
      <c r="DQ95" s="20" t="n">
        <f aca="false">IF(AMQ94&gt;0,(AMQ94-AQD94)/AMQ94,0)</f>
        <v>0</v>
      </c>
      <c r="DR95" s="20" t="n">
        <f aca="false">IF(AMR94&gt;0,(AMR94-AQE94)/AMR94,0)</f>
        <v>0</v>
      </c>
      <c r="DS95" s="20" t="n">
        <f aca="false">IF(AMS94&gt;0,(AMS94-AQF94)/AMS94,0)</f>
        <v>0</v>
      </c>
      <c r="DT95" s="20" t="n">
        <f aca="false">IF(AMT94&gt;0,(AMT94-AQG94)/AMT94,0)</f>
        <v>0</v>
      </c>
      <c r="DU95" s="20" t="n">
        <f aca="false">IF(AMU94&gt;0,(AMU94-AQH94)/AMU94,0)</f>
        <v>0</v>
      </c>
      <c r="DV95" s="20" t="n">
        <f aca="false">IF(AMV94&gt;0,(AMV94-AQI94)/AMV94,0)</f>
        <v>0</v>
      </c>
      <c r="DW95" s="20" t="n">
        <f aca="false">IF(AMW94&gt;0,(AMW94-AQJ94)/AMW94,0)</f>
        <v>0</v>
      </c>
      <c r="DX95" s="20" t="n">
        <f aca="false">IF(AMX94&gt;0,(AMX94-AQK94)/AMX94,0)</f>
        <v>0</v>
      </c>
      <c r="DY95" s="20" t="n">
        <f aca="false">IF(AMY94&gt;0,(AMY94-AQL94)/AMY94,0)</f>
        <v>0</v>
      </c>
      <c r="DZ95" s="20" t="n">
        <f aca="false">IF(AMZ94&gt;0,(AMZ94-AQM94)/AMZ94,0)</f>
        <v>0</v>
      </c>
      <c r="EA95" s="20" t="n">
        <f aca="false">IF(ANA94&gt;0,(ANA94-AQN94)/ANA94,0)</f>
        <v>0</v>
      </c>
      <c r="EB95" s="20" t="n">
        <f aca="false">IF(ANB94&gt;0,(ANB94-AQO94)/ANB94,0)</f>
        <v>0</v>
      </c>
      <c r="EC95" s="20" t="n">
        <f aca="false">IF(ANC94&gt;0,(ANC94-AQP94)/ANC94,0)</f>
        <v>0</v>
      </c>
      <c r="ED95" s="20" t="n">
        <f aca="false">IF(AND94&gt;0,(AND94-AQQ94)/AND94,0)</f>
        <v>0</v>
      </c>
      <c r="EE95" s="20" t="n">
        <f aca="false">IF(ANE94&gt;0,(ANE94-AQR94)/ANE94,0)</f>
        <v>0</v>
      </c>
      <c r="EF95" s="20" t="n">
        <f aca="false">IF(ANF94&gt;0,(ANF94-AQS94)/ANF94,0)</f>
        <v>0</v>
      </c>
      <c r="EG95" s="20" t="n">
        <f aca="false">IF(ANG94&gt;0,(ANG94-AQT94)/ANG94,0)</f>
        <v>0</v>
      </c>
      <c r="EH95" s="20" t="n">
        <f aca="false">IF(ANH94&gt;0,(ANH94-AQU94)/ANH94,0)</f>
        <v>0</v>
      </c>
      <c r="EI95" s="20" t="n">
        <f aca="false">IF(ANI94&gt;0,(ANI94-AQV94)/ANI94,0)</f>
        <v>0</v>
      </c>
      <c r="EJ95" s="20" t="n">
        <f aca="false">IF(ANJ94&gt;0,(ANJ94-AQW94)/ANJ94,0)</f>
        <v>0</v>
      </c>
      <c r="EK95" s="20" t="n">
        <f aca="false">IF(ANK94&gt;0,(ANK94-AQX94)/ANK94,0)</f>
        <v>0</v>
      </c>
      <c r="EL95" s="20" t="n">
        <f aca="false">IF(ANL94&gt;0,(ANL94-AQY94)/ANL94,0)</f>
        <v>0</v>
      </c>
      <c r="EM95" s="20" t="n">
        <f aca="false">IF(ANM94&gt;0,(ANM94-AQZ94)/ANM94,0)</f>
        <v>0</v>
      </c>
      <c r="EN95" s="20" t="n">
        <f aca="false">IF(ANN94&gt;0,(ANN94-ARA94)/ANN94,0)</f>
        <v>0</v>
      </c>
      <c r="EO95" s="20" t="n">
        <f aca="false">IF(ANO94&gt;0,(ANO94-ARB94)/ANO94,0)</f>
        <v>0</v>
      </c>
      <c r="EP95" s="20" t="n">
        <f aca="false">IF(ANP94&gt;0,(ANP94-ARC94)/ANP94,0)</f>
        <v>0</v>
      </c>
      <c r="EQ95" s="20" t="n">
        <f aca="false">IF(ANQ94&gt;0,(ANQ94-ARD94)/ANQ94,0)</f>
        <v>0</v>
      </c>
      <c r="ER95" s="20" t="n">
        <f aca="false">IF(ANR94&gt;0,(ANR94-ARE94)/ANR94,0)</f>
        <v>0</v>
      </c>
      <c r="ES95" s="20" t="n">
        <f aca="false">IF(ANS94&gt;0,(ANS94-ARF94)/ANS94,0)</f>
        <v>0</v>
      </c>
      <c r="ET95" s="20" t="n">
        <f aca="false">IF(ANT94&gt;0,(ANT94-ARG94)/ANT94,0)</f>
        <v>0</v>
      </c>
      <c r="EU95" s="20" t="n">
        <f aca="false">IF(ANU94&gt;0,(ANU94-ARH94)/ANU94,0)</f>
        <v>0</v>
      </c>
      <c r="EV95" s="20" t="n">
        <f aca="false">IF(ANV94&gt;0,(ANV94-ARI94)/ANV94,0)</f>
        <v>0</v>
      </c>
      <c r="EW95" s="20" t="n">
        <f aca="false">IF(ANW94&gt;0,(ANW94-ARJ94)/ANW94,0)</f>
        <v>0</v>
      </c>
      <c r="EX95" s="20" t="n">
        <f aca="false">IF(ANX94&gt;0,(ANX94-ARK94)/ANX94,0)</f>
        <v>0</v>
      </c>
      <c r="EY95" s="20" t="n">
        <f aca="false">IF(ANY94&gt;0,(ANY94-ARL94)/ANY94,0)</f>
        <v>0</v>
      </c>
      <c r="EZ95" s="20" t="n">
        <f aca="false">IF(ANZ94&gt;0,(ANZ94-ARM94)/ANZ94,0)</f>
        <v>0</v>
      </c>
      <c r="FA95" s="20" t="n">
        <f aca="false">IF(AOA94&gt;0,(AOA94-ARN94)/AOA94,0)</f>
        <v>0</v>
      </c>
      <c r="FB95" s="20" t="n">
        <f aca="false">IF((P95+S95)&gt;0,((P95+S95)-(P95+S95))/(P95+S95),0)</f>
        <v>0</v>
      </c>
      <c r="FC95" s="20" t="n">
        <v>0</v>
      </c>
      <c r="FD95" s="20" t="n">
        <v>0</v>
      </c>
      <c r="FE95" s="20" t="n">
        <f aca="false">IF(H_Direct=1,IF(AKR94&lt;=0,0,IF(BR95&lt;=0,AKR94,AKR94-G95*MAX(0,BR95*AKR94-(H95+I95)))),AKR94*(1-MAX(0,BR95)*H_Exit))</f>
        <v>0</v>
      </c>
      <c r="FF95" s="20" t="n">
        <f aca="false">IF(H_Direct=1,IF(AKS94&lt;=0,0,IF(BS95&lt;=0,AKS94,AKS94-G95*MAX(0,BS95*AKS94-(IR95+ME95)))),AKS94*(1-MAX(0,BS95)*H_Exit))</f>
        <v>0</v>
      </c>
      <c r="FG95" s="20" t="n">
        <f aca="false">IF(H_Direct=1,IF(AKT94&lt;=0,0,IF(BT95&lt;=0,AKT94,AKT94-G95*MAX(0,BT95*AKT94-(IS95+MF95)))),AKT94*(1-MAX(0,BT95)*H_Exit))</f>
        <v>0</v>
      </c>
      <c r="FH95" s="20" t="n">
        <f aca="false">IF(H_Direct=1,IF(AKU94&lt;=0,0,IF(BU95&lt;=0,AKU94,AKU94-G95*MAX(0,BU95*AKU94-(IT95+MG95)))),AKU94*(1-MAX(0,BU95)*H_Exit))</f>
        <v>0</v>
      </c>
      <c r="FI95" s="20" t="n">
        <f aca="false">IF(H_Direct=1,IF(AKV94&lt;=0,0,IF(BV95&lt;=0,AKV94,AKV94-G95*MAX(0,BV95*AKV94-(IU95+MH95)))),AKV94*(1-MAX(0,BV95)*H_Exit))</f>
        <v>0</v>
      </c>
      <c r="FJ95" s="20" t="n">
        <f aca="false">IF(H_Direct=1,IF(AKW94&lt;=0,0,IF(BW95&lt;=0,AKW94,AKW94-G95*MAX(0,BW95*AKW94-(IV95+MI95)))),AKW94*(1-MAX(0,BW95)*H_Exit))</f>
        <v>0</v>
      </c>
      <c r="FK95" s="20" t="n">
        <f aca="false">IF(H_Direct=1,IF(AKX94&lt;=0,0,IF(BX95&lt;=0,AKX94,AKX94-G95*MAX(0,BX95*AKX94-(IW95+MJ95)))),AKX94*(1-MAX(0,BX95)*H_Exit))</f>
        <v>0</v>
      </c>
      <c r="FL95" s="20" t="n">
        <f aca="false">IF(H_Direct=1,IF(AKY94&lt;=0,0,IF(BY95&lt;=0,AKY94,AKY94-G95*MAX(0,BY95*AKY94-(IX95+MK95)))),AKY94*(1-MAX(0,BY95)*H_Exit))</f>
        <v>0</v>
      </c>
      <c r="FM95" s="20" t="n">
        <f aca="false">IF(H_Direct=1,IF(AKZ94&lt;=0,0,IF(BZ95&lt;=0,AKZ94,AKZ94-G95*MAX(0,BZ95*AKZ94-(IY95+ML95)))),AKZ94*(1-MAX(0,BZ95)*H_Exit))</f>
        <v>0</v>
      </c>
      <c r="FN95" s="20" t="n">
        <f aca="false">IF(H_Direct=1,IF(ALA94&lt;=0,0,IF(CA95&lt;=0,ALA94,ALA94-G95*MAX(0,CA95*ALA94-(IZ95+MM95)))),ALA94*(1-MAX(0,CA95)*H_Exit))</f>
        <v>0</v>
      </c>
      <c r="FO95" s="20" t="n">
        <f aca="false">IF(H_Direct=1,IF(ALB94&lt;=0,0,IF(CB95&lt;=0,ALB94,ALB94-G95*MAX(0,CB95*ALB94-(JA95+MN95)))),ALB94*(1-MAX(0,CB95)*H_Exit))</f>
        <v>0</v>
      </c>
      <c r="FP95" s="20" t="n">
        <f aca="false">IF(H_Direct=1,IF(ALC94&lt;=0,0,IF(CC95&lt;=0,ALC94,ALC94-G95*MAX(0,CC95*ALC94-(JB95+MO95)))),ALC94*(1-MAX(0,CC95)*H_Exit))</f>
        <v>0</v>
      </c>
      <c r="FQ95" s="20" t="n">
        <f aca="false">IF(H_Direct=1,IF(ALD94&lt;=0,0,IF(CD95&lt;=0,ALD94,ALD94-G95*MAX(0,CD95*ALD94-(JC95+MP95)))),ALD94*(1-MAX(0,CD95)*H_Exit))</f>
        <v>0</v>
      </c>
      <c r="FR95" s="20" t="n">
        <f aca="false">IF(H_Direct=1,IF(ALE94&lt;=0,0,IF(CE95&lt;=0,ALE94,ALE94-G95*MAX(0,CE95*ALE94-(JD95+MQ95)))),ALE94*(1-MAX(0,CE95)*H_Exit))</f>
        <v>0</v>
      </c>
      <c r="FS95" s="20" t="n">
        <f aca="false">IF(H_Direct=1,IF(ALF94&lt;=0,0,IF(CF95&lt;=0,ALF94,ALF94-G95*MAX(0,CF95*ALF94-(JE95+MR95)))),ALF94*(1-MAX(0,CF95)*H_Exit))</f>
        <v>0</v>
      </c>
      <c r="FT95" s="20" t="n">
        <f aca="false">IF(H_Direct=1,IF(ALG94&lt;=0,0,IF(CG95&lt;=0,ALG94,ALG94-G95*MAX(0,CG95*ALG94-(JF95+MS95)))),ALG94*(1-MAX(0,CG95)*H_Exit))</f>
        <v>0</v>
      </c>
      <c r="FU95" s="20" t="n">
        <f aca="false">IF(H_Direct=1,IF(ALH94&lt;=0,0,IF(CH95&lt;=0,ALH94,ALH94-G95*MAX(0,CH95*ALH94-(JG95+MT95)))),ALH94*(1-MAX(0,CH95)*H_Exit))</f>
        <v>0</v>
      </c>
      <c r="FV95" s="20" t="n">
        <f aca="false">IF(H_Direct=1,IF(ALI94&lt;=0,0,IF(CI95&lt;=0,ALI94,ALI94-G95*MAX(0,CI95*ALI94-(JH95+MU95)))),ALI94*(1-MAX(0,CI95)*H_Exit))</f>
        <v>0</v>
      </c>
      <c r="FW95" s="20" t="n">
        <f aca="false">IF(H_Direct=1,IF(ALJ94&lt;=0,0,IF(CJ95&lt;=0,ALJ94,ALJ94-G95*MAX(0,CJ95*ALJ94-(JI95+MV95)))),ALJ94*(1-MAX(0,CJ95)*H_Exit))</f>
        <v>0</v>
      </c>
      <c r="FX95" s="20" t="n">
        <f aca="false">IF(H_Direct=1,IF(ALK94&lt;=0,0,IF(CK95&lt;=0,ALK94,ALK94-G95*MAX(0,CK95*ALK94-(JJ95+MW95)))),ALK94*(1-MAX(0,CK95)*H_Exit))</f>
        <v>0</v>
      </c>
      <c r="FY95" s="20" t="n">
        <f aca="false">IF(H_Direct=1,IF(ALL94&lt;=0,0,IF(CL95&lt;=0,ALL94,ALL94-G95*MAX(0,CL95*ALL94-(JK95+MX95)))),ALL94*(1-MAX(0,CL95)*H_Exit))</f>
        <v>0</v>
      </c>
      <c r="FZ95" s="20" t="n">
        <f aca="false">IF(H_Direct=1,IF(ALM94&lt;=0,0,IF(CM95&lt;=0,ALM94,ALM94-G95*MAX(0,CM95*ALM94-(JL95+MY95)))),ALM94*(1-MAX(0,CM95)*H_Exit))</f>
        <v>0</v>
      </c>
      <c r="GA95" s="20" t="n">
        <f aca="false">IF(H_Direct=1,IF(ALN94&lt;=0,0,IF(CN95&lt;=0,ALN94,ALN94-G95*MAX(0,CN95*ALN94-(JM95+MZ95)))),ALN94*(1-MAX(0,CN95)*H_Exit))</f>
        <v>0</v>
      </c>
      <c r="GB95" s="20" t="n">
        <f aca="false">IF(H_Direct=1,IF(ALO94&lt;=0,0,IF(CO95&lt;=0,ALO94,ALO94-G95*MAX(0,CO95*ALO94-(JN95+NA95)))),ALO94*(1-MAX(0,CO95)*H_Exit))</f>
        <v>0</v>
      </c>
      <c r="GC95" s="20" t="n">
        <f aca="false">IF(H_Direct=1,IF(ALP94&lt;=0,0,IF(CP95&lt;=0,ALP94,ALP94-G95*MAX(0,CP95*ALP94-(JO95+NB95)))),ALP94*(1-MAX(0,CP95)*H_Exit))</f>
        <v>0</v>
      </c>
      <c r="GD95" s="20" t="n">
        <f aca="false">IF(H_Direct=1,IF(ALQ94&lt;=0,0,IF(CQ95&lt;=0,ALQ94,ALQ94-G95*MAX(0,CQ95*ALQ94-(JP95+NC95)))),ALQ94*(1-MAX(0,CQ95)*H_Exit))</f>
        <v>0</v>
      </c>
      <c r="GE95" s="20" t="n">
        <f aca="false">IF(H_Direct=1,IF(ALR94&lt;=0,0,IF(CR95&lt;=0,ALR94,ALR94-G95*MAX(0,CR95*ALR94-(JQ95+ND95)))),ALR94*(1-MAX(0,CR95)*H_Exit))</f>
        <v>0</v>
      </c>
      <c r="GF95" s="20" t="n">
        <f aca="false">IF(H_Direct=1,IF(ALS94&lt;=0,0,IF(CS95&lt;=0,ALS94,ALS94-G95*MAX(0,CS95*ALS94-(JR95+NE95)))),ALS94*(1-MAX(0,CS95)*H_Exit))</f>
        <v>0</v>
      </c>
      <c r="GG95" s="20" t="n">
        <f aca="false">IF(H_Direct=1,IF(ALT94&lt;=0,0,IF(CT95&lt;=0,ALT94,ALT94-G95*MAX(0,CT95*ALT94-(JS95+NF95)))),ALT94*(1-MAX(0,CT95)*H_Exit))</f>
        <v>0</v>
      </c>
      <c r="GH95" s="20" t="n">
        <f aca="false">IF(H_Direct=1,IF(ALU94&lt;=0,0,IF(CU95&lt;=0,ALU94,ALU94-G95*MAX(0,CU95*ALU94-(JT95+NG95)))),ALU94*(1-MAX(0,CU95)*H_Exit))</f>
        <v>0</v>
      </c>
      <c r="GI95" s="20" t="n">
        <f aca="false">IF(H_Direct=1,IF(ALV94&lt;=0,0,IF(CV95&lt;=0,ALV94,ALV94-G95*MAX(0,CV95*ALV94-(JU95+NH95)))),ALV94*(1-MAX(0,CV95)*H_Exit))</f>
        <v>0</v>
      </c>
      <c r="GJ95" s="20" t="n">
        <f aca="false">IF(H_Direct=1,IF(ALW94&lt;=0,0,IF(CW95&lt;=0,ALW94,ALW94-G95*MAX(0,CW95*ALW94-(JV95+NI95)))),ALW94*(1-MAX(0,CW95)*H_Exit))</f>
        <v>0</v>
      </c>
      <c r="GK95" s="20" t="n">
        <f aca="false">IF(H_Direct=1,IF(ALX94&lt;=0,0,IF(CX95&lt;=0,ALX94,ALX94-G95*MAX(0,CX95*ALX94-(JW95+NJ95)))),ALX94*(1-MAX(0,CX95)*H_Exit))</f>
        <v>0</v>
      </c>
      <c r="GL95" s="20" t="n">
        <f aca="false">IF(H_Direct=1,IF(ALY94&lt;=0,0,IF(CY95&lt;=0,ALY94,ALY94-G95*MAX(0,CY95*ALY94-(JX95+NK95)))),ALY94*(1-MAX(0,CY95)*H_Exit))</f>
        <v>0</v>
      </c>
      <c r="GM95" s="20" t="n">
        <f aca="false">IF(H_Direct=1,IF(ALZ94&lt;=0,0,IF(CZ95&lt;=0,ALZ94,ALZ94-G95*MAX(0,CZ95*ALZ94-(JY95+NL95)))),ALZ94*(1-MAX(0,CZ95)*H_Exit))</f>
        <v>0</v>
      </c>
      <c r="GN95" s="20" t="n">
        <f aca="false">IF(H_Direct=1,IF(AMA94&lt;=0,0,IF(DA95&lt;=0,AMA94,AMA94-G95*MAX(0,DA95*AMA94-(JZ95+NM95)))),AMA94*(1-MAX(0,DA95)*H_Exit))</f>
        <v>0</v>
      </c>
      <c r="GO95" s="20" t="n">
        <f aca="false">IF(H_Direct=1,IF(AMB94&lt;=0,0,IF(DB95&lt;=0,AMB94,AMB94-G95*MAX(0,DB95*AMB94-(KA95+NN95)))),AMB94*(1-MAX(0,DB95)*H_Exit))</f>
        <v>0</v>
      </c>
      <c r="GP95" s="20" t="n">
        <f aca="false">IF(H_Direct=1,IF(AMC94&lt;=0,0,IF(DC95&lt;=0,AMC94,AMC94-G95*MAX(0,DC95*AMC94-(KB95+NO95)))),AMC94*(1-MAX(0,DC95)*H_Exit))</f>
        <v>0</v>
      </c>
      <c r="GQ95" s="20" t="n">
        <f aca="false">IF(H_Direct=1,IF(AMD94&lt;=0,0,IF(DD95&lt;=0,AMD94,AMD94-G95*MAX(0,DD95*AMD94-(KC95+NP95)))),AMD94*(1-MAX(0,DD95)*H_Exit))</f>
        <v>0</v>
      </c>
      <c r="GR95" s="20" t="n">
        <f aca="false">IF(H_Direct=1,IF(AME94&lt;=0,0,IF(DE95&lt;=0,AME94,AME94-G95*MAX(0,DE95*AME94-(KD95+NQ95)))),AME94*(1-MAX(0,DE95)*H_Exit))</f>
        <v>0</v>
      </c>
      <c r="GS95" s="20" t="n">
        <f aca="false">IF(H_Direct=1,IF(AMF94&lt;=0,0,IF(DF95&lt;=0,AMF94,AMF94-G95*MAX(0,DF95*AMF94-(KE95+NR95)))),AMF94*(1-MAX(0,DF95)*H_Exit))</f>
        <v>0</v>
      </c>
      <c r="GT95" s="20" t="n">
        <f aca="false">IF(H_Direct=1,IF(AMG94&lt;=0,0,IF(DG95&lt;=0,AMG94,AMG94-G95*MAX(0,DG95*AMG94-(KF95+NS95)))),AMG94*(1-MAX(0,DG95)*H_Exit))</f>
        <v>0</v>
      </c>
      <c r="GU95" s="20" t="n">
        <f aca="false">IF(H_Direct=1,IF(AMH94&lt;=0,0,IF(DH95&lt;=0,AMH94,AMH94-G95*MAX(0,DH95*AMH94-(KG95+NT95)))),AMH94*(1-MAX(0,DH95)*H_Exit))</f>
        <v>0</v>
      </c>
      <c r="GV95" s="20" t="n">
        <f aca="false">IF(H_Direct=1,IF(AMI94&lt;=0,0,IF(DI95&lt;=0,AMI94,AMI94-G95*MAX(0,DI95*AMI94-(KH95+NU95)))),AMI94*(1-MAX(0,DI95)*H_Exit))</f>
        <v>0</v>
      </c>
      <c r="GW95" s="20" t="n">
        <f aca="false">IF(H_Direct=1,IF(AMJ94&lt;=0,0,IF(DJ95&lt;=0,AMJ94,AMJ94-G95*MAX(0,DJ95*AMJ94-(KI95+NV95)))),AMJ94*(1-MAX(0,DJ95)*H_Exit))</f>
        <v>0</v>
      </c>
      <c r="GX95" s="20" t="n">
        <f aca="false">IF(H_Direct=1,IF(AMK94&lt;=0,0,IF(DK95&lt;=0,AMK94,AMK94-G95*MAX(0,DK95*AMK94-(KJ95+NW95)))),AMK94*(1-MAX(0,DK95)*H_Exit))</f>
        <v>0</v>
      </c>
      <c r="GY95" s="20" t="n">
        <f aca="false">IF(H_Direct=1,IF(AML94&lt;=0,0,IF(DL95&lt;=0,AML94,AML94-G95*MAX(0,DL95*AML94-(KK95+NX95)))),AML94*(1-MAX(0,DL95)*H_Exit))</f>
        <v>0</v>
      </c>
      <c r="GZ95" s="20" t="n">
        <f aca="false">IF(H_Direct=1,IF(AMM94&lt;=0,0,IF(DM95&lt;=0,AMM94,AMM94-G95*MAX(0,DM95*AMM94-(KL95+NY95)))),AMM94*(1-MAX(0,DM95)*H_Exit))</f>
        <v>0</v>
      </c>
      <c r="HA95" s="20" t="n">
        <f aca="false">IF(H_Direct=1,IF(AMN94&lt;=0,0,IF(DN95&lt;=0,AMN94,AMN94-G95*MAX(0,DN95*AMN94-(KM95+NZ95)))),AMN94*(1-MAX(0,DN95)*H_Exit))</f>
        <v>0</v>
      </c>
      <c r="HB95" s="20" t="n">
        <f aca="false">IF(H_Direct=1,IF(AMO94&lt;=0,0,IF(DO95&lt;=0,AMO94,AMO94-G95*MAX(0,DO95*AMO94-(KN95+OA95)))),AMO94*(1-MAX(0,DO95)*H_Exit))</f>
        <v>0</v>
      </c>
      <c r="HC95" s="20" t="n">
        <f aca="false">IF(H_Direct=1,IF(AMP94&lt;=0,0,IF(DP95&lt;=0,AMP94,AMP94-G95*MAX(0,DP95*AMP94-(KO95+OB95)))),AMP94*(1-MAX(0,DP95)*H_Exit))</f>
        <v>0</v>
      </c>
      <c r="HD95" s="20" t="n">
        <f aca="false">IF(H_Direct=1,IF(AMQ94&lt;=0,0,IF(DQ95&lt;=0,AMQ94,AMQ94-G95*MAX(0,DQ95*AMQ94-(KP95+OC95)))),AMQ94*(1-MAX(0,DQ95)*H_Exit))</f>
        <v>0</v>
      </c>
      <c r="HE95" s="20" t="n">
        <f aca="false">IF(H_Direct=1,IF(AMR94&lt;=0,0,IF(DR95&lt;=0,AMR94,AMR94-G95*MAX(0,DR95*AMR94-(KQ95+OD95)))),AMR94*(1-MAX(0,DR95)*H_Exit))</f>
        <v>0</v>
      </c>
      <c r="HF95" s="20" t="n">
        <f aca="false">IF(H_Direct=1,IF(AMS94&lt;=0,0,IF(DS95&lt;=0,AMS94,AMS94-G95*MAX(0,DS95*AMS94-(KR95+OE95)))),AMS94*(1-MAX(0,DS95)*H_Exit))</f>
        <v>0</v>
      </c>
      <c r="HG95" s="20" t="n">
        <f aca="false">IF(H_Direct=1,IF(AMT94&lt;=0,0,IF(DT95&lt;=0,AMT94,AMT94-G95*MAX(0,DT95*AMT94-(KS95+OF95)))),AMT94*(1-MAX(0,DT95)*H_Exit))</f>
        <v>0</v>
      </c>
      <c r="HH95" s="20" t="n">
        <f aca="false">IF(H_Direct=1,IF(AMU94&lt;=0,0,IF(DU95&lt;=0,AMU94,AMU94-G95*MAX(0,DU95*AMU94-(KT95+OG95)))),AMU94*(1-MAX(0,DU95)*H_Exit))</f>
        <v>0</v>
      </c>
      <c r="HI95" s="20" t="n">
        <f aca="false">IF(H_Direct=1,IF(AMV94&lt;=0,0,IF(DV95&lt;=0,AMV94,AMV94-G95*MAX(0,DV95*AMV94-(KU95+OH95)))),AMV94*(1-MAX(0,DV95)*H_Exit))</f>
        <v>0</v>
      </c>
      <c r="HJ95" s="20" t="n">
        <f aca="false">IF(H_Direct=1,IF(AMW94&lt;=0,0,IF(DW95&lt;=0,AMW94,AMW94-G95*MAX(0,DW95*AMW94-(KV95+OI95)))),AMW94*(1-MAX(0,DW95)*H_Exit))</f>
        <v>0</v>
      </c>
      <c r="HK95" s="20" t="n">
        <f aca="false">IF(H_Direct=1,IF(AMX94&lt;=0,0,IF(DX95&lt;=0,AMX94,AMX94-G95*MAX(0,DX95*AMX94-(KW95+OJ95)))),AMX94*(1-MAX(0,DX95)*H_Exit))</f>
        <v>0</v>
      </c>
      <c r="HL95" s="20" t="n">
        <f aca="false">IF(H_Direct=1,IF(AMY94&lt;=0,0,IF(DY95&lt;=0,AMY94,AMY94-G95*MAX(0,DY95*AMY94-(KX95+OK95)))),AMY94*(1-MAX(0,DY95)*H_Exit))</f>
        <v>0</v>
      </c>
      <c r="HM95" s="20" t="n">
        <f aca="false">IF(H_Direct=1,IF(AMZ94&lt;=0,0,IF(DZ95&lt;=0,AMZ94,AMZ94-G95*MAX(0,DZ95*AMZ94-(KY95+OL95)))),AMZ94*(1-MAX(0,DZ95)*H_Exit))</f>
        <v>0</v>
      </c>
      <c r="HN95" s="20" t="n">
        <f aca="false">IF(H_Direct=1,IF(ANA94&lt;=0,0,IF(EA95&lt;=0,ANA94,ANA94-G95*MAX(0,EA95*ANA94-(KZ95+OM95)))),ANA94*(1-MAX(0,EA95)*H_Exit))</f>
        <v>0</v>
      </c>
      <c r="HO95" s="20" t="n">
        <f aca="false">IF(H_Direct=1,IF(ANB94&lt;=0,0,IF(EB95&lt;=0,ANB94,ANB94-G95*MAX(0,EB95*ANB94-(LA95+ON95)))),ANB94*(1-MAX(0,EB95)*H_Exit))</f>
        <v>0</v>
      </c>
      <c r="HP95" s="20" t="n">
        <f aca="false">IF(H_Direct=1,IF(ANC94&lt;=0,0,IF(EC95&lt;=0,ANC94,ANC94-G95*MAX(0,EC95*ANC94-(LB95+OO95)))),ANC94*(1-MAX(0,EC95)*H_Exit))</f>
        <v>0</v>
      </c>
      <c r="HQ95" s="20" t="n">
        <f aca="false">IF(H_Direct=1,IF(AND94&lt;=0,0,IF(ED95&lt;=0,AND94,AND94-G95*MAX(0,ED95*AND94-(LC95+OP95)))),AND94*(1-MAX(0,ED95)*H_Exit))</f>
        <v>0</v>
      </c>
      <c r="HR95" s="20" t="n">
        <f aca="false">IF(H_Direct=1,IF(ANE94&lt;=0,0,IF(EE95&lt;=0,ANE94,ANE94-G95*MAX(0,EE95*ANE94-(LD95+OQ95)))),ANE94*(1-MAX(0,EE95)*H_Exit))</f>
        <v>0</v>
      </c>
      <c r="HS95" s="20" t="n">
        <f aca="false">IF(H_Direct=1,IF(ANF94&lt;=0,0,IF(EF95&lt;=0,ANF94,ANF94-G95*MAX(0,EF95*ANF94-(LE95+OR95)))),ANF94*(1-MAX(0,EF95)*H_Exit))</f>
        <v>0</v>
      </c>
      <c r="HT95" s="20" t="n">
        <f aca="false">IF(H_Direct=1,IF(ANG94&lt;=0,0,IF(EG95&lt;=0,ANG94,ANG94-G95*MAX(0,EG95*ANG94-(LF95+OS95)))),ANG94*(1-MAX(0,EG95)*H_Exit))</f>
        <v>0</v>
      </c>
      <c r="HU95" s="20" t="n">
        <f aca="false">IF(H_Direct=1,IF(ANH94&lt;=0,0,IF(EH95&lt;=0,ANH94,ANH94-G95*MAX(0,EH95*ANH94-(LG95+OT95)))),ANH94*(1-MAX(0,EH95)*H_Exit))</f>
        <v>0</v>
      </c>
      <c r="HV95" s="20" t="n">
        <f aca="false">IF(H_Direct=1,IF(ANI94&lt;=0,0,IF(EI95&lt;=0,ANI94,ANI94-G95*MAX(0,EI95*ANI94-(LH95+OU95)))),ANI94*(1-MAX(0,EI95)*H_Exit))</f>
        <v>0</v>
      </c>
      <c r="HW95" s="20" t="n">
        <f aca="false">IF(H_Direct=1,IF(ANJ94&lt;=0,0,IF(EJ95&lt;=0,ANJ94,ANJ94-G95*MAX(0,EJ95*ANJ94-(LI95+OV95)))),ANJ94*(1-MAX(0,EJ95)*H_Exit))</f>
        <v>0</v>
      </c>
      <c r="HX95" s="20" t="n">
        <f aca="false">IF(H_Direct=1,IF(ANK94&lt;=0,0,IF(EK95&lt;=0,ANK94,ANK94-G95*MAX(0,EK95*ANK94-(LJ95+OW95)))),ANK94*(1-MAX(0,EK95)*H_Exit))</f>
        <v>0</v>
      </c>
      <c r="HY95" s="20" t="n">
        <f aca="false">IF(H_Direct=1,IF(ANL94&lt;=0,0,IF(EL95&lt;=0,ANL94,ANL94-G95*MAX(0,EL95*ANL94-(LK95+OX95)))),ANL94*(1-MAX(0,EL95)*H_Exit))</f>
        <v>0</v>
      </c>
      <c r="HZ95" s="20" t="n">
        <f aca="false">IF(H_Direct=1,IF(ANM94&lt;=0,0,IF(EM95&lt;=0,ANM94,ANM94-G95*MAX(0,EM95*ANM94-(LL95+OY95)))),ANM94*(1-MAX(0,EM95)*H_Exit))</f>
        <v>0</v>
      </c>
      <c r="IA95" s="20" t="n">
        <f aca="false">IF(H_Direct=1,IF(ANN94&lt;=0,0,IF(EN95&lt;=0,ANN94,ANN94-G95*MAX(0,EN95*ANN94-(LM95+OZ95)))),ANN94*(1-MAX(0,EN95)*H_Exit))</f>
        <v>0</v>
      </c>
      <c r="IB95" s="20" t="n">
        <f aca="false">IF(H_Direct=1,IF(ANO94&lt;=0,0,IF(EO95&lt;=0,ANO94,ANO94-G95*MAX(0,EO95*ANO94-(LN95+PA95)))),ANO94*(1-MAX(0,EO95)*H_Exit))</f>
        <v>0</v>
      </c>
      <c r="IC95" s="20" t="n">
        <f aca="false">IF(H_Direct=1,IF(ANP94&lt;=0,0,IF(EP95&lt;=0,ANP94,ANP94-G95*MAX(0,EP95*ANP94-(LO95+PB95)))),ANP94*(1-MAX(0,EP95)*H_Exit))</f>
        <v>0</v>
      </c>
      <c r="ID95" s="20" t="n">
        <f aca="false">IF(H_Direct=1,IF(ANQ94&lt;=0,0,IF(EQ95&lt;=0,ANQ94,ANQ94-G95*MAX(0,EQ95*ANQ94-(LP95+PC95)))),ANQ94*(1-MAX(0,EQ95)*H_Exit))</f>
        <v>0</v>
      </c>
      <c r="IE95" s="20" t="n">
        <f aca="false">IF(H_Direct=1,IF(ANR94&lt;=0,0,IF(ER95&lt;=0,ANR94,ANR94-G95*MAX(0,ER95*ANR94-(LQ95+PD95)))),ANR94*(1-MAX(0,ER95)*H_Exit))</f>
        <v>0</v>
      </c>
      <c r="IF95" s="20" t="n">
        <f aca="false">IF(H_Direct=1,IF(ANS94&lt;=0,0,IF(ES95&lt;=0,ANS94,ANS94-G95*MAX(0,ES95*ANS94-(LR95+PE95)))),ANS94*(1-MAX(0,ES95)*H_Exit))</f>
        <v>0</v>
      </c>
      <c r="IG95" s="20" t="n">
        <f aca="false">IF(H_Direct=1,IF(ANT94&lt;=0,0,IF(ET95&lt;=0,ANT94,ANT94-G95*MAX(0,ET95*ANT94-(LS95+PF95)))),ANT94*(1-MAX(0,ET95)*H_Exit))</f>
        <v>0</v>
      </c>
      <c r="IH95" s="20" t="n">
        <f aca="false">IF(H_Direct=1,IF(ANU94&lt;=0,0,IF(EU95&lt;=0,ANU94,ANU94-G95*MAX(0,EU95*ANU94-(LT95+PG95)))),ANU94*(1-MAX(0,EU95)*H_Exit))</f>
        <v>0</v>
      </c>
      <c r="II95" s="20" t="n">
        <f aca="false">IF(H_Direct=1,IF(ANV94&lt;=0,0,IF(EV95&lt;=0,ANV94,ANV94-G95*MAX(0,EV95*ANV94-(LU95+PH95)))),ANV94*(1-MAX(0,EV95)*H_Exit))</f>
        <v>0</v>
      </c>
      <c r="IJ95" s="20" t="n">
        <f aca="false">IF(H_Direct=1,IF(ANW94&lt;=0,0,IF(EW95&lt;=0,ANW94,ANW94-G95*MAX(0,EW95*ANW94-(LV95+PI95)))),ANW94*(1-MAX(0,EW95)*H_Exit))</f>
        <v>0</v>
      </c>
      <c r="IK95" s="20" t="n">
        <f aca="false">IF(H_Direct=1,IF(ANX94&lt;=0,0,IF(EX95&lt;=0,ANX94,ANX94-G95*MAX(0,EX95*ANX94-(LW95+PJ95)))),ANX94*(1-MAX(0,EX95)*H_Exit))</f>
        <v>0</v>
      </c>
      <c r="IL95" s="20" t="n">
        <f aca="false">IF(H_Direct=1,IF(ANY94&lt;=0,0,IF(EY95&lt;=0,ANY94,ANY94-G95*MAX(0,EY95*ANY94-(LX95+PK95)))),ANY94*(1-MAX(0,EY95)*H_Exit))</f>
        <v>0</v>
      </c>
      <c r="IM95" s="20" t="n">
        <f aca="false">IF(H_Direct=1,IF(ANZ94&lt;=0,0,IF(EZ95&lt;=0,ANZ94,ANZ94-G95*MAX(0,EZ95*ANZ94-(LY95+PL95)))),ANZ94*(1-MAX(0,EZ95)*H_Exit))</f>
        <v>0</v>
      </c>
      <c r="IN95" s="20" t="n">
        <f aca="false">IF(H_Direct=1,IF(AOA94&lt;=0,0,IF(FA95&lt;=0,AOA94,AOA94-G95*MAX(0,FA95*AOA94-(LZ95+PM95)))),AOA94*(1-MAX(0,FA95)*H_Exit))</f>
        <v>0</v>
      </c>
      <c r="IO95" s="20" t="n">
        <f aca="false">IF(H_Direct=1,IF((P95+S95)&lt;=0,0,IF(FB95&lt;=0,(P95+S95),(P95+S95)-G95*MAX(0,FB95*(P95+S95)-(MA95+PN95)))),(P95+S95)*(1-MAX(0,FB95)*H_Exit))</f>
        <v>0</v>
      </c>
      <c r="IP95" s="20" t="n">
        <v>0</v>
      </c>
      <c r="IQ95" s="20" t="n">
        <v>0</v>
      </c>
      <c r="IR95" s="20" t="n">
        <f aca="false">IF(AND(H_Direct=1,BR95&gt;0),MAX(0,H95-(MIN(BR95*AKR94,H95+I95)-MIN(MIN(BR95*AKR94,H95+I95),I95))),H95)</f>
        <v>1270</v>
      </c>
      <c r="IS95" s="20" t="n">
        <f aca="false">IF(AND(H_Direct=1,BS95&gt;0),MAX(0,IR95-(MIN(BS95*AKS94,IR95+ME95)-MIN(MIN(BS95*AKS94,IR95+ME95),ME95))),IR95)</f>
        <v>1270</v>
      </c>
      <c r="IT95" s="20" t="n">
        <f aca="false">IF(AND(H_Direct=1,BT95&gt;0),MAX(0,IS95-(MIN(BT95*AKT94,IS95+MF95)-MIN(MIN(BT95*AKT94,IS95+MF95),MF95))),IS95)</f>
        <v>1270</v>
      </c>
      <c r="IU95" s="20" t="n">
        <f aca="false">IF(AND(H_Direct=1,BU95&gt;0),MAX(0,IT95-(MIN(BU95*AKU94,IT95+MG95)-MIN(MIN(BU95*AKU94,IT95+MG95),MG95))),IT95)</f>
        <v>1270</v>
      </c>
      <c r="IV95" s="20" t="n">
        <f aca="false">IF(AND(H_Direct=1,BV95&gt;0),MAX(0,IU95-(MIN(BV95*AKV94,IU95+MH95)-MIN(MIN(BV95*AKV94,IU95+MH95),MH95))),IU95)</f>
        <v>1270</v>
      </c>
      <c r="IW95" s="20" t="n">
        <f aca="false">IF(AND(H_Direct=1,BW95&gt;0),MAX(0,IV95-(MIN(BW95*AKW94,IV95+MI95)-MIN(MIN(BW95*AKW94,IV95+MI95),MI95))),IV95)</f>
        <v>1270</v>
      </c>
      <c r="IX95" s="20" t="n">
        <f aca="false">IF(AND(H_Direct=1,BX95&gt;0),MAX(0,IW95-(MIN(BX95*AKX94,IW95+MJ95)-MIN(MIN(BX95*AKX94,IW95+MJ95),MJ95))),IW95)</f>
        <v>1270</v>
      </c>
      <c r="IY95" s="20" t="n">
        <f aca="false">IF(AND(H_Direct=1,BY95&gt;0),MAX(0,IX95-(MIN(BY95*AKY94,IX95+MK95)-MIN(MIN(BY95*AKY94,IX95+MK95),MK95))),IX95)</f>
        <v>1270</v>
      </c>
      <c r="IZ95" s="20" t="n">
        <f aca="false">IF(AND(H_Direct=1,BZ95&gt;0),MAX(0,IY95-(MIN(BZ95*AKZ94,IY95+ML95)-MIN(MIN(BZ95*AKZ94,IY95+ML95),ML95))),IY95)</f>
        <v>1270</v>
      </c>
      <c r="JA95" s="20" t="n">
        <f aca="false">IF(AND(H_Direct=1,CA95&gt;0),MAX(0,IZ95-(MIN(CA95*ALA94,IZ95+MM95)-MIN(MIN(CA95*ALA94,IZ95+MM95),MM95))),IZ95)</f>
        <v>1270</v>
      </c>
      <c r="JB95" s="20" t="n">
        <f aca="false">IF(AND(H_Direct=1,CB95&gt;0),MAX(0,JA95-(MIN(CB95*ALB94,JA95+MN95)-MIN(MIN(CB95*ALB94,JA95+MN95),MN95))),JA95)</f>
        <v>1270</v>
      </c>
      <c r="JC95" s="20" t="n">
        <f aca="false">IF(AND(H_Direct=1,CC95&gt;0),MAX(0,JB95-(MIN(CC95*ALC94,JB95+MO95)-MIN(MIN(CC95*ALC94,JB95+MO95),MO95))),JB95)</f>
        <v>1270</v>
      </c>
      <c r="JD95" s="20" t="n">
        <f aca="false">IF(AND(H_Direct=1,CD95&gt;0),MAX(0,JC95-(MIN(CD95*ALD94,JC95+MP95)-MIN(MIN(CD95*ALD94,JC95+MP95),MP95))),JC95)</f>
        <v>1270</v>
      </c>
      <c r="JE95" s="20" t="n">
        <f aca="false">IF(AND(H_Direct=1,CE95&gt;0),MAX(0,JD95-(MIN(CE95*ALE94,JD95+MQ95)-MIN(MIN(CE95*ALE94,JD95+MQ95),MQ95))),JD95)</f>
        <v>1270</v>
      </c>
      <c r="JF95" s="20" t="n">
        <f aca="false">IF(AND(H_Direct=1,CF95&gt;0),MAX(0,JE95-(MIN(CF95*ALF94,JE95+MR95)-MIN(MIN(CF95*ALF94,JE95+MR95),MR95))),JE95)</f>
        <v>1270</v>
      </c>
      <c r="JG95" s="20" t="n">
        <f aca="false">IF(AND(H_Direct=1,CG95&gt;0),MAX(0,JF95-(MIN(CG95*ALG94,JF95+MS95)-MIN(MIN(CG95*ALG94,JF95+MS95),MS95))),JF95)</f>
        <v>1270</v>
      </c>
      <c r="JH95" s="20" t="n">
        <f aca="false">IF(AND(H_Direct=1,CH95&gt;0),MAX(0,JG95-(MIN(CH95*ALH94,JG95+MT95)-MIN(MIN(CH95*ALH94,JG95+MT95),MT95))),JG95)</f>
        <v>1270</v>
      </c>
      <c r="JI95" s="20" t="n">
        <f aca="false">IF(AND(H_Direct=1,CI95&gt;0),MAX(0,JH95-(MIN(CI95*ALI94,JH95+MU95)-MIN(MIN(CI95*ALI94,JH95+MU95),MU95))),JH95)</f>
        <v>1270</v>
      </c>
      <c r="JJ95" s="20" t="n">
        <f aca="false">IF(AND(H_Direct=1,CJ95&gt;0),MAX(0,JI95-(MIN(CJ95*ALJ94,JI95+MV95)-MIN(MIN(CJ95*ALJ94,JI95+MV95),MV95))),JI95)</f>
        <v>1270</v>
      </c>
      <c r="JK95" s="20" t="n">
        <f aca="false">IF(AND(H_Direct=1,CK95&gt;0),MAX(0,JJ95-(MIN(CK95*ALK94,JJ95+MW95)-MIN(MIN(CK95*ALK94,JJ95+MW95),MW95))),JJ95)</f>
        <v>1270</v>
      </c>
      <c r="JL95" s="20" t="n">
        <f aca="false">IF(AND(H_Direct=1,CL95&gt;0),MAX(0,JK95-(MIN(CL95*ALL94,JK95+MX95)-MIN(MIN(CL95*ALL94,JK95+MX95),MX95))),JK95)</f>
        <v>1270</v>
      </c>
      <c r="JM95" s="20" t="n">
        <f aca="false">IF(AND(H_Direct=1,CM95&gt;0),MAX(0,JL95-(MIN(CM95*ALM94,JL95+MY95)-MIN(MIN(CM95*ALM94,JL95+MY95),MY95))),JL95)</f>
        <v>1270</v>
      </c>
      <c r="JN95" s="20" t="n">
        <f aca="false">IF(AND(H_Direct=1,CN95&gt;0),MAX(0,JM95-(MIN(CN95*ALN94,JM95+MZ95)-MIN(MIN(CN95*ALN94,JM95+MZ95),MZ95))),JM95)</f>
        <v>1270</v>
      </c>
      <c r="JO95" s="20" t="n">
        <f aca="false">IF(AND(H_Direct=1,CO95&gt;0),MAX(0,JN95-(MIN(CO95*ALO94,JN95+NA95)-MIN(MIN(CO95*ALO94,JN95+NA95),NA95))),JN95)</f>
        <v>1270</v>
      </c>
      <c r="JP95" s="20" t="n">
        <f aca="false">IF(AND(H_Direct=1,CP95&gt;0),MAX(0,JO95-(MIN(CP95*ALP94,JO95+NB95)-MIN(MIN(CP95*ALP94,JO95+NB95),NB95))),JO95)</f>
        <v>1270</v>
      </c>
      <c r="JQ95" s="20" t="n">
        <f aca="false">IF(AND(H_Direct=1,CQ95&gt;0),MAX(0,JP95-(MIN(CQ95*ALQ94,JP95+NC95)-MIN(MIN(CQ95*ALQ94,JP95+NC95),NC95))),JP95)</f>
        <v>1270</v>
      </c>
      <c r="JR95" s="20" t="n">
        <f aca="false">IF(AND(H_Direct=1,CR95&gt;0),MAX(0,JQ95-(MIN(CR95*ALR94,JQ95+ND95)-MIN(MIN(CR95*ALR94,JQ95+ND95),ND95))),JQ95)</f>
        <v>1270</v>
      </c>
      <c r="JS95" s="20" t="n">
        <f aca="false">IF(AND(H_Direct=1,CS95&gt;0),MAX(0,JR95-(MIN(CS95*ALS94,JR95+NE95)-MIN(MIN(CS95*ALS94,JR95+NE95),NE95))),JR95)</f>
        <v>1270</v>
      </c>
      <c r="JT95" s="20" t="n">
        <f aca="false">IF(AND(H_Direct=1,CT95&gt;0),MAX(0,JS95-(MIN(CT95*ALT94,JS95+NF95)-MIN(MIN(CT95*ALT94,JS95+NF95),NF95))),JS95)</f>
        <v>1270</v>
      </c>
      <c r="JU95" s="20" t="n">
        <f aca="false">IF(AND(H_Direct=1,CU95&gt;0),MAX(0,JT95-(MIN(CU95*ALU94,JT95+NG95)-MIN(MIN(CU95*ALU94,JT95+NG95),NG95))),JT95)</f>
        <v>1270</v>
      </c>
      <c r="JV95" s="20" t="n">
        <f aca="false">IF(AND(H_Direct=1,CV95&gt;0),MAX(0,JU95-(MIN(CV95*ALV94,JU95+NH95)-MIN(MIN(CV95*ALV94,JU95+NH95),NH95))),JU95)</f>
        <v>1270</v>
      </c>
      <c r="JW95" s="20" t="n">
        <f aca="false">IF(AND(H_Direct=1,CW95&gt;0),MAX(0,JV95-(MIN(CW95*ALW94,JV95+NI95)-MIN(MIN(CW95*ALW94,JV95+NI95),NI95))),JV95)</f>
        <v>1270</v>
      </c>
      <c r="JX95" s="20" t="n">
        <f aca="false">IF(AND(H_Direct=1,CX95&gt;0),MAX(0,JW95-(MIN(CX95*ALX94,JW95+NJ95)-MIN(MIN(CX95*ALX94,JW95+NJ95),NJ95))),JW95)</f>
        <v>1270</v>
      </c>
      <c r="JY95" s="20" t="n">
        <f aca="false">IF(AND(H_Direct=1,CY95&gt;0),MAX(0,JX95-(MIN(CY95*ALY94,JX95+NK95)-MIN(MIN(CY95*ALY94,JX95+NK95),NK95))),JX95)</f>
        <v>1270</v>
      </c>
      <c r="JZ95" s="20" t="n">
        <f aca="false">IF(AND(H_Direct=1,CZ95&gt;0),MAX(0,JY95-(MIN(CZ95*ALZ94,JY95+NL95)-MIN(MIN(CZ95*ALZ94,JY95+NL95),NL95))),JY95)</f>
        <v>1270</v>
      </c>
      <c r="KA95" s="20" t="n">
        <f aca="false">IF(AND(H_Direct=1,DA95&gt;0),MAX(0,JZ95-(MIN(DA95*AMA94,JZ95+NM95)-MIN(MIN(DA95*AMA94,JZ95+NM95),NM95))),JZ95)</f>
        <v>1270</v>
      </c>
      <c r="KB95" s="20" t="n">
        <f aca="false">IF(AND(H_Direct=1,DB95&gt;0),MAX(0,KA95-(MIN(DB95*AMB94,KA95+NN95)-MIN(MIN(DB95*AMB94,KA95+NN95),NN95))),KA95)</f>
        <v>1270</v>
      </c>
      <c r="KC95" s="20" t="n">
        <f aca="false">IF(AND(H_Direct=1,DC95&gt;0),MAX(0,KB95-(MIN(DC95*AMC94,KB95+NO95)-MIN(MIN(DC95*AMC94,KB95+NO95),NO95))),KB95)</f>
        <v>1270</v>
      </c>
      <c r="KD95" s="20" t="n">
        <f aca="false">IF(AND(H_Direct=1,DD95&gt;0),MAX(0,KC95-(MIN(DD95*AMD94,KC95+NP95)-MIN(MIN(DD95*AMD94,KC95+NP95),NP95))),KC95)</f>
        <v>1270</v>
      </c>
      <c r="KE95" s="20" t="n">
        <f aca="false">IF(AND(H_Direct=1,DE95&gt;0),MAX(0,KD95-(MIN(DE95*AME94,KD95+NQ95)-MIN(MIN(DE95*AME94,KD95+NQ95),NQ95))),KD95)</f>
        <v>1270</v>
      </c>
      <c r="KF95" s="20" t="n">
        <f aca="false">IF(AND(H_Direct=1,DF95&gt;0),MAX(0,KE95-(MIN(DF95*AMF94,KE95+NR95)-MIN(MIN(DF95*AMF94,KE95+NR95),NR95))),KE95)</f>
        <v>1270</v>
      </c>
      <c r="KG95" s="20" t="n">
        <f aca="false">IF(AND(H_Direct=1,DG95&gt;0),MAX(0,KF95-(MIN(DG95*AMG94,KF95+NS95)-MIN(MIN(DG95*AMG94,KF95+NS95),NS95))),KF95)</f>
        <v>1270</v>
      </c>
      <c r="KH95" s="20" t="n">
        <f aca="false">IF(AND(H_Direct=1,DH95&gt;0),MAX(0,KG95-(MIN(DH95*AMH94,KG95+NT95)-MIN(MIN(DH95*AMH94,KG95+NT95),NT95))),KG95)</f>
        <v>1270</v>
      </c>
      <c r="KI95" s="20" t="n">
        <f aca="false">IF(AND(H_Direct=1,DI95&gt;0),MAX(0,KH95-(MIN(DI95*AMI94,KH95+NU95)-MIN(MIN(DI95*AMI94,KH95+NU95),NU95))),KH95)</f>
        <v>1270</v>
      </c>
      <c r="KJ95" s="20" t="n">
        <f aca="false">IF(AND(H_Direct=1,DJ95&gt;0),MAX(0,KI95-(MIN(DJ95*AMJ94,KI95+NV95)-MIN(MIN(DJ95*AMJ94,KI95+NV95),NV95))),KI95)</f>
        <v>1270</v>
      </c>
      <c r="KK95" s="20" t="n">
        <f aca="false">IF(AND(H_Direct=1,DK95&gt;0),MAX(0,KJ95-(MIN(DK95*AMK94,KJ95+NW95)-MIN(MIN(DK95*AMK94,KJ95+NW95),NW95))),KJ95)</f>
        <v>1270</v>
      </c>
      <c r="KL95" s="20" t="n">
        <f aca="false">IF(AND(H_Direct=1,DL95&gt;0),MAX(0,KK95-(MIN(DL95*AML94,KK95+NX95)-MIN(MIN(DL95*AML94,KK95+NX95),NX95))),KK95)</f>
        <v>1270</v>
      </c>
      <c r="KM95" s="20" t="n">
        <f aca="false">IF(AND(H_Direct=1,DM95&gt;0),MAX(0,KL95-(MIN(DM95*AMM94,KL95+NY95)-MIN(MIN(DM95*AMM94,KL95+NY95),NY95))),KL95)</f>
        <v>1270</v>
      </c>
      <c r="KN95" s="20" t="n">
        <f aca="false">IF(AND(H_Direct=1,DN95&gt;0),MAX(0,KM95-(MIN(DN95*AMN94,KM95+NZ95)-MIN(MIN(DN95*AMN94,KM95+NZ95),NZ95))),KM95)</f>
        <v>1270</v>
      </c>
      <c r="KO95" s="20" t="n">
        <f aca="false">IF(AND(H_Direct=1,DO95&gt;0),MAX(0,KN95-(MIN(DO95*AMO94,KN95+OA95)-MIN(MIN(DO95*AMO94,KN95+OA95),OA95))),KN95)</f>
        <v>1270</v>
      </c>
      <c r="KP95" s="20" t="n">
        <f aca="false">IF(AND(H_Direct=1,DP95&gt;0),MAX(0,KO95-(MIN(DP95*AMP94,KO95+OB95)-MIN(MIN(DP95*AMP94,KO95+OB95),OB95))),KO95)</f>
        <v>1270</v>
      </c>
      <c r="KQ95" s="20" t="n">
        <f aca="false">IF(AND(H_Direct=1,DQ95&gt;0),MAX(0,KP95-(MIN(DQ95*AMQ94,KP95+OC95)-MIN(MIN(DQ95*AMQ94,KP95+OC95),OC95))),KP95)</f>
        <v>1270</v>
      </c>
      <c r="KR95" s="20" t="n">
        <f aca="false">IF(AND(H_Direct=1,DR95&gt;0),MAX(0,KQ95-(MIN(DR95*AMR94,KQ95+OD95)-MIN(MIN(DR95*AMR94,KQ95+OD95),OD95))),KQ95)</f>
        <v>1270</v>
      </c>
      <c r="KS95" s="20" t="n">
        <f aca="false">IF(AND(H_Direct=1,DS95&gt;0),MAX(0,KR95-(MIN(DS95*AMS94,KR95+OE95)-MIN(MIN(DS95*AMS94,KR95+OE95),OE95))),KR95)</f>
        <v>1270</v>
      </c>
      <c r="KT95" s="20" t="n">
        <f aca="false">IF(AND(H_Direct=1,DT95&gt;0),MAX(0,KS95-(MIN(DT95*AMT94,KS95+OF95)-MIN(MIN(DT95*AMT94,KS95+OF95),OF95))),KS95)</f>
        <v>1270</v>
      </c>
      <c r="KU95" s="20" t="n">
        <f aca="false">IF(AND(H_Direct=1,DU95&gt;0),MAX(0,KT95-(MIN(DU95*AMU94,KT95+OG95)-MIN(MIN(DU95*AMU94,KT95+OG95),OG95))),KT95)</f>
        <v>1270</v>
      </c>
      <c r="KV95" s="20" t="n">
        <f aca="false">IF(AND(H_Direct=1,DV95&gt;0),MAX(0,KU95-(MIN(DV95*AMV94,KU95+OH95)-MIN(MIN(DV95*AMV94,KU95+OH95),OH95))),KU95)</f>
        <v>1270</v>
      </c>
      <c r="KW95" s="20" t="n">
        <f aca="false">IF(AND(H_Direct=1,DW95&gt;0),MAX(0,KV95-(MIN(DW95*AMW94,KV95+OI95)-MIN(MIN(DW95*AMW94,KV95+OI95),OI95))),KV95)</f>
        <v>1270</v>
      </c>
      <c r="KX95" s="20" t="n">
        <f aca="false">IF(AND(H_Direct=1,DX95&gt;0),MAX(0,KW95-(MIN(DX95*AMX94,KW95+OJ95)-MIN(MIN(DX95*AMX94,KW95+OJ95),OJ95))),KW95)</f>
        <v>1270</v>
      </c>
      <c r="KY95" s="20" t="n">
        <f aca="false">IF(AND(H_Direct=1,DY95&gt;0),MAX(0,KX95-(MIN(DY95*AMY94,KX95+OK95)-MIN(MIN(DY95*AMY94,KX95+OK95),OK95))),KX95)</f>
        <v>1270</v>
      </c>
      <c r="KZ95" s="20" t="n">
        <f aca="false">IF(AND(H_Direct=1,DZ95&gt;0),MAX(0,KY95-(MIN(DZ95*AMZ94,KY95+OL95)-MIN(MIN(DZ95*AMZ94,KY95+OL95),OL95))),KY95)</f>
        <v>1270</v>
      </c>
      <c r="LA95" s="20" t="n">
        <f aca="false">IF(AND(H_Direct=1,EA95&gt;0),MAX(0,KZ95-(MIN(EA95*ANA94,KZ95+OM95)-MIN(MIN(EA95*ANA94,KZ95+OM95),OM95))),KZ95)</f>
        <v>1270</v>
      </c>
      <c r="LB95" s="20" t="n">
        <f aca="false">IF(AND(H_Direct=1,EB95&gt;0),MAX(0,LA95-(MIN(EB95*ANB94,LA95+ON95)-MIN(MIN(EB95*ANB94,LA95+ON95),ON95))),LA95)</f>
        <v>1270</v>
      </c>
      <c r="LC95" s="20" t="n">
        <f aca="false">IF(AND(H_Direct=1,EC95&gt;0),MAX(0,LB95-(MIN(EC95*ANC94,LB95+OO95)-MIN(MIN(EC95*ANC94,LB95+OO95),OO95))),LB95)</f>
        <v>1270</v>
      </c>
      <c r="LD95" s="20" t="n">
        <f aca="false">IF(AND(H_Direct=1,ED95&gt;0),MAX(0,LC95-(MIN(ED95*AND94,LC95+OP95)-MIN(MIN(ED95*AND94,LC95+OP95),OP95))),LC95)</f>
        <v>1270</v>
      </c>
      <c r="LE95" s="20" t="n">
        <f aca="false">IF(AND(H_Direct=1,EE95&gt;0),MAX(0,LD95-(MIN(EE95*ANE94,LD95+OQ95)-MIN(MIN(EE95*ANE94,LD95+OQ95),OQ95))),LD95)</f>
        <v>1270</v>
      </c>
      <c r="LF95" s="20" t="n">
        <f aca="false">IF(AND(H_Direct=1,EF95&gt;0),MAX(0,LE95-(MIN(EF95*ANF94,LE95+OR95)-MIN(MIN(EF95*ANF94,LE95+OR95),OR95))),LE95)</f>
        <v>1270</v>
      </c>
      <c r="LG95" s="20" t="n">
        <f aca="false">IF(AND(H_Direct=1,EG95&gt;0),MAX(0,LF95-(MIN(EG95*ANG94,LF95+OS95)-MIN(MIN(EG95*ANG94,LF95+OS95),OS95))),LF95)</f>
        <v>1270</v>
      </c>
      <c r="LH95" s="20" t="n">
        <f aca="false">IF(AND(H_Direct=1,EH95&gt;0),MAX(0,LG95-(MIN(EH95*ANH94,LG95+OT95)-MIN(MIN(EH95*ANH94,LG95+OT95),OT95))),LG95)</f>
        <v>1270</v>
      </c>
      <c r="LI95" s="20" t="n">
        <f aca="false">IF(AND(H_Direct=1,EI95&gt;0),MAX(0,LH95-(MIN(EI95*ANI94,LH95+OU95)-MIN(MIN(EI95*ANI94,LH95+OU95),OU95))),LH95)</f>
        <v>1270</v>
      </c>
      <c r="LJ95" s="20" t="n">
        <f aca="false">IF(AND(H_Direct=1,EJ95&gt;0),MAX(0,LI95-(MIN(EJ95*ANJ94,LI95+OV95)-MIN(MIN(EJ95*ANJ94,LI95+OV95),OV95))),LI95)</f>
        <v>1270</v>
      </c>
      <c r="LK95" s="20" t="n">
        <f aca="false">IF(AND(H_Direct=1,EK95&gt;0),MAX(0,LJ95-(MIN(EK95*ANK94,LJ95+OW95)-MIN(MIN(EK95*ANK94,LJ95+OW95),OW95))),LJ95)</f>
        <v>1270</v>
      </c>
      <c r="LL95" s="20" t="n">
        <f aca="false">IF(AND(H_Direct=1,EL95&gt;0),MAX(0,LK95-(MIN(EL95*ANL94,LK95+OX95)-MIN(MIN(EL95*ANL94,LK95+OX95),OX95))),LK95)</f>
        <v>1270</v>
      </c>
      <c r="LM95" s="20" t="n">
        <f aca="false">IF(AND(H_Direct=1,EM95&gt;0),MAX(0,LL95-(MIN(EM95*ANM94,LL95+OY95)-MIN(MIN(EM95*ANM94,LL95+OY95),OY95))),LL95)</f>
        <v>1270</v>
      </c>
      <c r="LN95" s="20" t="n">
        <f aca="false">IF(AND(H_Direct=1,EN95&gt;0),MAX(0,LM95-(MIN(EN95*ANN94,LM95+OZ95)-MIN(MIN(EN95*ANN94,LM95+OZ95),OZ95))),LM95)</f>
        <v>1270</v>
      </c>
      <c r="LO95" s="20" t="n">
        <f aca="false">IF(AND(H_Direct=1,EO95&gt;0),MAX(0,LN95-(MIN(EO95*ANO94,LN95+PA95)-MIN(MIN(EO95*ANO94,LN95+PA95),PA95))),LN95)</f>
        <v>1270</v>
      </c>
      <c r="LP95" s="20" t="n">
        <f aca="false">IF(AND(H_Direct=1,EP95&gt;0),MAX(0,LO95-(MIN(EP95*ANP94,LO95+PB95)-MIN(MIN(EP95*ANP94,LO95+PB95),PB95))),LO95)</f>
        <v>1270</v>
      </c>
      <c r="LQ95" s="20" t="n">
        <f aca="false">IF(AND(H_Direct=1,EQ95&gt;0),MAX(0,LP95-(MIN(EQ95*ANQ94,LP95+PC95)-MIN(MIN(EQ95*ANQ94,LP95+PC95),PC95))),LP95)</f>
        <v>1270</v>
      </c>
      <c r="LR95" s="20" t="n">
        <f aca="false">IF(AND(H_Direct=1,ER95&gt;0),MAX(0,LQ95-(MIN(ER95*ANR94,LQ95+PD95)-MIN(MIN(ER95*ANR94,LQ95+PD95),PD95))),LQ95)</f>
        <v>1270</v>
      </c>
      <c r="LS95" s="20" t="n">
        <f aca="false">IF(AND(H_Direct=1,ES95&gt;0),MAX(0,LR95-(MIN(ES95*ANS94,LR95+PE95)-MIN(MIN(ES95*ANS94,LR95+PE95),PE95))),LR95)</f>
        <v>1270</v>
      </c>
      <c r="LT95" s="20" t="n">
        <f aca="false">IF(AND(H_Direct=1,ET95&gt;0),MAX(0,LS95-(MIN(ET95*ANT94,LS95+PF95)-MIN(MIN(ET95*ANT94,LS95+PF95),PF95))),LS95)</f>
        <v>1270</v>
      </c>
      <c r="LU95" s="20" t="n">
        <f aca="false">IF(AND(H_Direct=1,EU95&gt;0),MAX(0,LT95-(MIN(EU95*ANU94,LT95+PG95)-MIN(MIN(EU95*ANU94,LT95+PG95),PG95))),LT95)</f>
        <v>1270</v>
      </c>
      <c r="LV95" s="20" t="n">
        <f aca="false">IF(AND(H_Direct=1,EV95&gt;0),MAX(0,LU95-(MIN(EV95*ANV94,LU95+PH95)-MIN(MIN(EV95*ANV94,LU95+PH95),PH95))),LU95)</f>
        <v>1270</v>
      </c>
      <c r="LW95" s="20" t="n">
        <f aca="false">IF(AND(H_Direct=1,EW95&gt;0),MAX(0,LV95-(MIN(EW95*ANW94,LV95+PI95)-MIN(MIN(EW95*ANW94,LV95+PI95),PI95))),LV95)</f>
        <v>1270</v>
      </c>
      <c r="LX95" s="20" t="n">
        <f aca="false">IF(AND(H_Direct=1,EX95&gt;0),MAX(0,LW95-(MIN(EX95*ANX94,LW95+PJ95)-MIN(MIN(EX95*ANX94,LW95+PJ95),PJ95))),LW95)</f>
        <v>1270</v>
      </c>
      <c r="LY95" s="20" t="n">
        <f aca="false">IF(AND(H_Direct=1,EY95&gt;0),MAX(0,LX95-(MIN(EY95*ANY94,LX95+PK95)-MIN(MIN(EY95*ANY94,LX95+PK95),PK95))),LX95)</f>
        <v>1270</v>
      </c>
      <c r="LZ95" s="20" t="n">
        <f aca="false">IF(AND(H_Direct=1,EZ95&gt;0),MAX(0,LY95-(MIN(EZ95*ANZ94,LY95+PL95)-MIN(MIN(EZ95*ANZ94,LY95+PL95),PL95))),LY95)</f>
        <v>1270</v>
      </c>
      <c r="MA95" s="20" t="n">
        <f aca="false">IF(AND(H_Direct=1,FA95&gt;0),MAX(0,LZ95-(MIN(FA95*AOA94,LZ95+PM95)-MIN(MIN(FA95*AOA94,LZ95+PM95),PM95))),LZ95)</f>
        <v>1270</v>
      </c>
      <c r="MB95" s="20" t="n">
        <f aca="false">IF(AND(H_Direct=1,FB95&gt;0),MAX(0,MA95-(MIN(FB95*(P95+S95),MA95+PN95)-MIN(MIN(FB95*(P95+S95),MA95+PN95),PN95))),MA95)</f>
        <v>1270</v>
      </c>
      <c r="MC95" s="20" t="n">
        <f aca="false">MB95</f>
        <v>1270</v>
      </c>
      <c r="MD95" s="20" t="n">
        <f aca="false">MC95</f>
        <v>1270</v>
      </c>
      <c r="ME95" s="20" t="n">
        <f aca="false">IF(H_Direct=1,IF(BR95&lt;=0,I95-BR95*AKR94,I95-MIN(MIN(BR95*AKR94,H95+I95),I95)),I95)</f>
        <v>0</v>
      </c>
      <c r="MF95" s="20" t="n">
        <f aca="false">IF(H_Direct=1,IF(BS95&lt;=0,ME95-BS95*AKS94,ME95-MIN(MIN(BS95*AKS94,IR95+ME95),ME95)),ME95)</f>
        <v>0</v>
      </c>
      <c r="MG95" s="20" t="n">
        <f aca="false">IF(H_Direct=1,IF(BT95&lt;=0,MF95-BT95*AKT94,MF95-MIN(MIN(BT95*AKT94,IS95+MF95),MF95)),MF95)</f>
        <v>0</v>
      </c>
      <c r="MH95" s="20" t="n">
        <f aca="false">IF(H_Direct=1,IF(BU95&lt;=0,MG95-BU95*AKU94,MG95-MIN(MIN(BU95*AKU94,IT95+MG95),MG95)),MG95)</f>
        <v>0</v>
      </c>
      <c r="MI95" s="20" t="n">
        <f aca="false">IF(H_Direct=1,IF(BV95&lt;=0,MH95-BV95*AKV94,MH95-MIN(MIN(BV95*AKV94,IU95+MH95),MH95)),MH95)</f>
        <v>0</v>
      </c>
      <c r="MJ95" s="20" t="n">
        <f aca="false">IF(H_Direct=1,IF(BW95&lt;=0,MI95-BW95*AKW94,MI95-MIN(MIN(BW95*AKW94,IV95+MI95),MI95)),MI95)</f>
        <v>0</v>
      </c>
      <c r="MK95" s="20" t="n">
        <f aca="false">IF(H_Direct=1,IF(BX95&lt;=0,MJ95-BX95*AKX94,MJ95-MIN(MIN(BX95*AKX94,IW95+MJ95),MJ95)),MJ95)</f>
        <v>0</v>
      </c>
      <c r="ML95" s="20" t="n">
        <f aca="false">IF(H_Direct=1,IF(BY95&lt;=0,MK95-BY95*AKY94,MK95-MIN(MIN(BY95*AKY94,IX95+MK95),MK95)),MK95)</f>
        <v>0</v>
      </c>
      <c r="MM95" s="20" t="n">
        <f aca="false">IF(H_Direct=1,IF(BZ95&lt;=0,ML95-BZ95*AKZ94,ML95-MIN(MIN(BZ95*AKZ94,IY95+ML95),ML95)),ML95)</f>
        <v>0</v>
      </c>
      <c r="MN95" s="20" t="n">
        <f aca="false">IF(H_Direct=1,IF(CA95&lt;=0,MM95-CA95*ALA94,MM95-MIN(MIN(CA95*ALA94,IZ95+MM95),MM95)),MM95)</f>
        <v>0</v>
      </c>
      <c r="MO95" s="20" t="n">
        <f aca="false">IF(H_Direct=1,IF(CB95&lt;=0,MN95-CB95*ALB94,MN95-MIN(MIN(CB95*ALB94,JA95+MN95),MN95)),MN95)</f>
        <v>0</v>
      </c>
      <c r="MP95" s="20" t="n">
        <f aca="false">IF(H_Direct=1,IF(CC95&lt;=0,MO95-CC95*ALC94,MO95-MIN(MIN(CC95*ALC94,JB95+MO95),MO95)),MO95)</f>
        <v>0</v>
      </c>
      <c r="MQ95" s="20" t="n">
        <f aca="false">IF(H_Direct=1,IF(CD95&lt;=0,MP95-CD95*ALD94,MP95-MIN(MIN(CD95*ALD94,JC95+MP95),MP95)),MP95)</f>
        <v>0</v>
      </c>
      <c r="MR95" s="20" t="n">
        <f aca="false">IF(H_Direct=1,IF(CE95&lt;=0,MQ95-CE95*ALE94,MQ95-MIN(MIN(CE95*ALE94,JD95+MQ95),MQ95)),MQ95)</f>
        <v>0</v>
      </c>
      <c r="MS95" s="20" t="n">
        <f aca="false">IF(H_Direct=1,IF(CF95&lt;=0,MR95-CF95*ALF94,MR95-MIN(MIN(CF95*ALF94,JE95+MR95),MR95)),MR95)</f>
        <v>0</v>
      </c>
      <c r="MT95" s="20" t="n">
        <f aca="false">IF(H_Direct=1,IF(CG95&lt;=0,MS95-CG95*ALG94,MS95-MIN(MIN(CG95*ALG94,JF95+MS95),MS95)),MS95)</f>
        <v>0</v>
      </c>
      <c r="MU95" s="20" t="n">
        <f aca="false">IF(H_Direct=1,IF(CH95&lt;=0,MT95-CH95*ALH94,MT95-MIN(MIN(CH95*ALH94,JG95+MT95),MT95)),MT95)</f>
        <v>0</v>
      </c>
      <c r="MV95" s="20" t="n">
        <f aca="false">IF(H_Direct=1,IF(CI95&lt;=0,MU95-CI95*ALI94,MU95-MIN(MIN(CI95*ALI94,JH95+MU95),MU95)),MU95)</f>
        <v>0</v>
      </c>
      <c r="MW95" s="20" t="n">
        <f aca="false">IF(H_Direct=1,IF(CJ95&lt;=0,MV95-CJ95*ALJ94,MV95-MIN(MIN(CJ95*ALJ94,JI95+MV95),MV95)),MV95)</f>
        <v>0</v>
      </c>
      <c r="MX95" s="20" t="n">
        <f aca="false">IF(H_Direct=1,IF(CK95&lt;=0,MW95-CK95*ALK94,MW95-MIN(MIN(CK95*ALK94,JJ95+MW95),MW95)),MW95)</f>
        <v>0</v>
      </c>
      <c r="MY95" s="20" t="n">
        <f aca="false">IF(H_Direct=1,IF(CL95&lt;=0,MX95-CL95*ALL94,MX95-MIN(MIN(CL95*ALL94,JK95+MX95),MX95)),MX95)</f>
        <v>0</v>
      </c>
      <c r="MZ95" s="20" t="n">
        <f aca="false">IF(H_Direct=1,IF(CM95&lt;=0,MY95-CM95*ALM94,MY95-MIN(MIN(CM95*ALM94,JL95+MY95),MY95)),MY95)</f>
        <v>0</v>
      </c>
      <c r="NA95" s="20" t="n">
        <f aca="false">IF(H_Direct=1,IF(CN95&lt;=0,MZ95-CN95*ALN94,MZ95-MIN(MIN(CN95*ALN94,JM95+MZ95),MZ95)),MZ95)</f>
        <v>0</v>
      </c>
      <c r="NB95" s="20" t="n">
        <f aca="false">IF(H_Direct=1,IF(CO95&lt;=0,NA95-CO95*ALO94,NA95-MIN(MIN(CO95*ALO94,JN95+NA95),NA95)),NA95)</f>
        <v>0</v>
      </c>
      <c r="NC95" s="20" t="n">
        <f aca="false">IF(H_Direct=1,IF(CP95&lt;=0,NB95-CP95*ALP94,NB95-MIN(MIN(CP95*ALP94,JO95+NB95),NB95)),NB95)</f>
        <v>0</v>
      </c>
      <c r="ND95" s="20" t="n">
        <f aca="false">IF(H_Direct=1,IF(CQ95&lt;=0,NC95-CQ95*ALQ94,NC95-MIN(MIN(CQ95*ALQ94,JP95+NC95),NC95)),NC95)</f>
        <v>0</v>
      </c>
      <c r="NE95" s="20" t="n">
        <f aca="false">IF(H_Direct=1,IF(CR95&lt;=0,ND95-CR95*ALR94,ND95-MIN(MIN(CR95*ALR94,JQ95+ND95),ND95)),ND95)</f>
        <v>0</v>
      </c>
      <c r="NF95" s="20" t="n">
        <f aca="false">IF(H_Direct=1,IF(CS95&lt;=0,NE95-CS95*ALS94,NE95-MIN(MIN(CS95*ALS94,JR95+NE95),NE95)),NE95)</f>
        <v>0</v>
      </c>
      <c r="NG95" s="20" t="n">
        <f aca="false">IF(H_Direct=1,IF(CT95&lt;=0,NF95-CT95*ALT94,NF95-MIN(MIN(CT95*ALT94,JS95+NF95),NF95)),NF95)</f>
        <v>0</v>
      </c>
      <c r="NH95" s="20" t="n">
        <f aca="false">IF(H_Direct=1,IF(CU95&lt;=0,NG95-CU95*ALU94,NG95-MIN(MIN(CU95*ALU94,JT95+NG95),NG95)),NG95)</f>
        <v>0</v>
      </c>
      <c r="NI95" s="20" t="n">
        <f aca="false">IF(H_Direct=1,IF(CV95&lt;=0,NH95-CV95*ALV94,NH95-MIN(MIN(CV95*ALV94,JU95+NH95),NH95)),NH95)</f>
        <v>0</v>
      </c>
      <c r="NJ95" s="20" t="n">
        <f aca="false">IF(H_Direct=1,IF(CW95&lt;=0,NI95-CW95*ALW94,NI95-MIN(MIN(CW95*ALW94,JV95+NI95),NI95)),NI95)</f>
        <v>0</v>
      </c>
      <c r="NK95" s="20" t="n">
        <f aca="false">IF(H_Direct=1,IF(CX95&lt;=0,NJ95-CX95*ALX94,NJ95-MIN(MIN(CX95*ALX94,JW95+NJ95),NJ95)),NJ95)</f>
        <v>0</v>
      </c>
      <c r="NL95" s="20" t="n">
        <f aca="false">IF(H_Direct=1,IF(CY95&lt;=0,NK95-CY95*ALY94,NK95-MIN(MIN(CY95*ALY94,JX95+NK95),NK95)),NK95)</f>
        <v>0</v>
      </c>
      <c r="NM95" s="20" t="n">
        <f aca="false">IF(H_Direct=1,IF(CZ95&lt;=0,NL95-CZ95*ALZ94,NL95-MIN(MIN(CZ95*ALZ94,JY95+NL95),NL95)),NL95)</f>
        <v>0</v>
      </c>
      <c r="NN95" s="20" t="n">
        <f aca="false">IF(H_Direct=1,IF(DA95&lt;=0,NM95-DA95*AMA94,NM95-MIN(MIN(DA95*AMA94,JZ95+NM95),NM95)),NM95)</f>
        <v>0</v>
      </c>
      <c r="NO95" s="20" t="n">
        <f aca="false">IF(H_Direct=1,IF(DB95&lt;=0,NN95-DB95*AMB94,NN95-MIN(MIN(DB95*AMB94,KA95+NN95),NN95)),NN95)</f>
        <v>0</v>
      </c>
      <c r="NP95" s="20" t="n">
        <f aca="false">IF(H_Direct=1,IF(DC95&lt;=0,NO95-DC95*AMC94,NO95-MIN(MIN(DC95*AMC94,KB95+NO95),NO95)),NO95)</f>
        <v>0</v>
      </c>
      <c r="NQ95" s="20" t="n">
        <f aca="false">IF(H_Direct=1,IF(DD95&lt;=0,NP95-DD95*AMD94,NP95-MIN(MIN(DD95*AMD94,KC95+NP95),NP95)),NP95)</f>
        <v>0</v>
      </c>
      <c r="NR95" s="20" t="n">
        <f aca="false">IF(H_Direct=1,IF(DE95&lt;=0,NQ95-DE95*AME94,NQ95-MIN(MIN(DE95*AME94,KD95+NQ95),NQ95)),NQ95)</f>
        <v>0</v>
      </c>
      <c r="NS95" s="20" t="n">
        <f aca="false">IF(H_Direct=1,IF(DF95&lt;=0,NR95-DF95*AMF94,NR95-MIN(MIN(DF95*AMF94,KE95+NR95),NR95)),NR95)</f>
        <v>0</v>
      </c>
      <c r="NT95" s="20" t="n">
        <f aca="false">IF(H_Direct=1,IF(DG95&lt;=0,NS95-DG95*AMG94,NS95-MIN(MIN(DG95*AMG94,KF95+NS95),NS95)),NS95)</f>
        <v>0</v>
      </c>
      <c r="NU95" s="20" t="n">
        <f aca="false">IF(H_Direct=1,IF(DH95&lt;=0,NT95-DH95*AMH94,NT95-MIN(MIN(DH95*AMH94,KG95+NT95),NT95)),NT95)</f>
        <v>0</v>
      </c>
      <c r="NV95" s="20" t="n">
        <f aca="false">IF(H_Direct=1,IF(DI95&lt;=0,NU95-DI95*AMI94,NU95-MIN(MIN(DI95*AMI94,KH95+NU95),NU95)),NU95)</f>
        <v>0</v>
      </c>
      <c r="NW95" s="20" t="n">
        <f aca="false">IF(H_Direct=1,IF(DJ95&lt;=0,NV95-DJ95*AMJ94,NV95-MIN(MIN(DJ95*AMJ94,KI95+NV95),NV95)),NV95)</f>
        <v>0</v>
      </c>
      <c r="NX95" s="20" t="n">
        <f aca="false">IF(H_Direct=1,IF(DK95&lt;=0,NW95-DK95*AMK94,NW95-MIN(MIN(DK95*AMK94,KJ95+NW95),NW95)),NW95)</f>
        <v>0</v>
      </c>
      <c r="NY95" s="20" t="n">
        <f aca="false">IF(H_Direct=1,IF(DL95&lt;=0,NX95-DL95*AML94,NX95-MIN(MIN(DL95*AML94,KK95+NX95),NX95)),NX95)</f>
        <v>0</v>
      </c>
      <c r="NZ95" s="20" t="n">
        <f aca="false">IF(H_Direct=1,IF(DM95&lt;=0,NY95-DM95*AMM94,NY95-MIN(MIN(DM95*AMM94,KL95+NY95),NY95)),NY95)</f>
        <v>0</v>
      </c>
      <c r="OA95" s="20" t="n">
        <f aca="false">IF(H_Direct=1,IF(DN95&lt;=0,NZ95-DN95*AMN94,NZ95-MIN(MIN(DN95*AMN94,KM95+NZ95),NZ95)),NZ95)</f>
        <v>0</v>
      </c>
      <c r="OB95" s="20" t="n">
        <f aca="false">IF(H_Direct=1,IF(DO95&lt;=0,OA95-DO95*AMO94,OA95-MIN(MIN(DO95*AMO94,KN95+OA95),OA95)),OA95)</f>
        <v>0</v>
      </c>
      <c r="OC95" s="20" t="n">
        <f aca="false">IF(H_Direct=1,IF(DP95&lt;=0,OB95-DP95*AMP94,OB95-MIN(MIN(DP95*AMP94,KO95+OB95),OB95)),OB95)</f>
        <v>0</v>
      </c>
      <c r="OD95" s="20" t="n">
        <f aca="false">IF(H_Direct=1,IF(DQ95&lt;=0,OC95-DQ95*AMQ94,OC95-MIN(MIN(DQ95*AMQ94,KP95+OC95),OC95)),OC95)</f>
        <v>0</v>
      </c>
      <c r="OE95" s="20" t="n">
        <f aca="false">IF(H_Direct=1,IF(DR95&lt;=0,OD95-DR95*AMR94,OD95-MIN(MIN(DR95*AMR94,KQ95+OD95),OD95)),OD95)</f>
        <v>0</v>
      </c>
      <c r="OF95" s="20" t="n">
        <f aca="false">IF(H_Direct=1,IF(DS95&lt;=0,OE95-DS95*AMS94,OE95-MIN(MIN(DS95*AMS94,KR95+OE95),OE95)),OE95)</f>
        <v>0</v>
      </c>
      <c r="OG95" s="20" t="n">
        <f aca="false">IF(H_Direct=1,IF(DT95&lt;=0,OF95-DT95*AMT94,OF95-MIN(MIN(DT95*AMT94,KS95+OF95),OF95)),OF95)</f>
        <v>0</v>
      </c>
      <c r="OH95" s="20" t="n">
        <f aca="false">IF(H_Direct=1,IF(DU95&lt;=0,OG95-DU95*AMU94,OG95-MIN(MIN(DU95*AMU94,KT95+OG95),OG95)),OG95)</f>
        <v>0</v>
      </c>
      <c r="OI95" s="20" t="n">
        <f aca="false">IF(H_Direct=1,IF(DV95&lt;=0,OH95-DV95*AMV94,OH95-MIN(MIN(DV95*AMV94,KU95+OH95),OH95)),OH95)</f>
        <v>0</v>
      </c>
      <c r="OJ95" s="20" t="n">
        <f aca="false">IF(H_Direct=1,IF(DW95&lt;=0,OI95-DW95*AMW94,OI95-MIN(MIN(DW95*AMW94,KV95+OI95),OI95)),OI95)</f>
        <v>0</v>
      </c>
      <c r="OK95" s="20" t="n">
        <f aca="false">IF(H_Direct=1,IF(DX95&lt;=0,OJ95-DX95*AMX94,OJ95-MIN(MIN(DX95*AMX94,KW95+OJ95),OJ95)),OJ95)</f>
        <v>0</v>
      </c>
      <c r="OL95" s="20" t="n">
        <f aca="false">IF(H_Direct=1,IF(DY95&lt;=0,OK95-DY95*AMY94,OK95-MIN(MIN(DY95*AMY94,KX95+OK95),OK95)),OK95)</f>
        <v>0</v>
      </c>
      <c r="OM95" s="20" t="n">
        <f aca="false">IF(H_Direct=1,IF(DZ95&lt;=0,OL95-DZ95*AMZ94,OL95-MIN(MIN(DZ95*AMZ94,KY95+OL95),OL95)),OL95)</f>
        <v>0</v>
      </c>
      <c r="ON95" s="20" t="n">
        <f aca="false">IF(H_Direct=1,IF(EA95&lt;=0,OM95-EA95*ANA94,OM95-MIN(MIN(EA95*ANA94,KZ95+OM95),OM95)),OM95)</f>
        <v>0</v>
      </c>
      <c r="OO95" s="20" t="n">
        <f aca="false">IF(H_Direct=1,IF(EB95&lt;=0,ON95-EB95*ANB94,ON95-MIN(MIN(EB95*ANB94,LA95+ON95),ON95)),ON95)</f>
        <v>0</v>
      </c>
      <c r="OP95" s="20" t="n">
        <f aca="false">IF(H_Direct=1,IF(EC95&lt;=0,OO95-EC95*ANC94,OO95-MIN(MIN(EC95*ANC94,LB95+OO95),OO95)),OO95)</f>
        <v>0</v>
      </c>
      <c r="OQ95" s="20" t="n">
        <f aca="false">IF(H_Direct=1,IF(ED95&lt;=0,OP95-ED95*AND94,OP95-MIN(MIN(ED95*AND94,LC95+OP95),OP95)),OP95)</f>
        <v>0</v>
      </c>
      <c r="OR95" s="20" t="n">
        <f aca="false">IF(H_Direct=1,IF(EE95&lt;=0,OQ95-EE95*ANE94,OQ95-MIN(MIN(EE95*ANE94,LD95+OQ95),OQ95)),OQ95)</f>
        <v>0</v>
      </c>
      <c r="OS95" s="20" t="n">
        <f aca="false">IF(H_Direct=1,IF(EF95&lt;=0,OR95-EF95*ANF94,OR95-MIN(MIN(EF95*ANF94,LE95+OR95),OR95)),OR95)</f>
        <v>0</v>
      </c>
      <c r="OT95" s="20" t="n">
        <f aca="false">IF(H_Direct=1,IF(EG95&lt;=0,OS95-EG95*ANG94,OS95-MIN(MIN(EG95*ANG94,LF95+OS95),OS95)),OS95)</f>
        <v>0</v>
      </c>
      <c r="OU95" s="20" t="n">
        <f aca="false">IF(H_Direct=1,IF(EH95&lt;=0,OT95-EH95*ANH94,OT95-MIN(MIN(EH95*ANH94,LG95+OT95),OT95)),OT95)</f>
        <v>0</v>
      </c>
      <c r="OV95" s="20" t="n">
        <f aca="false">IF(H_Direct=1,IF(EI95&lt;=0,OU95-EI95*ANI94,OU95-MIN(MIN(EI95*ANI94,LH95+OU95),OU95)),OU95)</f>
        <v>0</v>
      </c>
      <c r="OW95" s="20" t="n">
        <f aca="false">IF(H_Direct=1,IF(EJ95&lt;=0,OV95-EJ95*ANJ94,OV95-MIN(MIN(EJ95*ANJ94,LI95+OV95),OV95)),OV95)</f>
        <v>0</v>
      </c>
      <c r="OX95" s="20" t="n">
        <f aca="false">IF(H_Direct=1,IF(EK95&lt;=0,OW95-EK95*ANK94,OW95-MIN(MIN(EK95*ANK94,LJ95+OW95),OW95)),OW95)</f>
        <v>0</v>
      </c>
      <c r="OY95" s="20" t="n">
        <f aca="false">IF(H_Direct=1,IF(EL95&lt;=0,OX95-EL95*ANL94,OX95-MIN(MIN(EL95*ANL94,LK95+OX95),OX95)),OX95)</f>
        <v>0</v>
      </c>
      <c r="OZ95" s="20" t="n">
        <f aca="false">IF(H_Direct=1,IF(EM95&lt;=0,OY95-EM95*ANM94,OY95-MIN(MIN(EM95*ANM94,LL95+OY95),OY95)),OY95)</f>
        <v>0</v>
      </c>
      <c r="PA95" s="20" t="n">
        <f aca="false">IF(H_Direct=1,IF(EN95&lt;=0,OZ95-EN95*ANN94,OZ95-MIN(MIN(EN95*ANN94,LM95+OZ95),OZ95)),OZ95)</f>
        <v>0</v>
      </c>
      <c r="PB95" s="20" t="n">
        <f aca="false">IF(H_Direct=1,IF(EO95&lt;=0,PA95-EO95*ANO94,PA95-MIN(MIN(EO95*ANO94,LN95+PA95),PA95)),PA95)</f>
        <v>0</v>
      </c>
      <c r="PC95" s="20" t="n">
        <f aca="false">IF(H_Direct=1,IF(EP95&lt;=0,PB95-EP95*ANP94,PB95-MIN(MIN(EP95*ANP94,LO95+PB95),PB95)),PB95)</f>
        <v>0</v>
      </c>
      <c r="PD95" s="20" t="n">
        <f aca="false">IF(H_Direct=1,IF(EQ95&lt;=0,PC95-EQ95*ANQ94,PC95-MIN(MIN(EQ95*ANQ94,LP95+PC95),PC95)),PC95)</f>
        <v>0</v>
      </c>
      <c r="PE95" s="20" t="n">
        <f aca="false">IF(H_Direct=1,IF(ER95&lt;=0,PD95-ER95*ANR94,PD95-MIN(MIN(ER95*ANR94,LQ95+PD95),PD95)),PD95)</f>
        <v>0</v>
      </c>
      <c r="PF95" s="20" t="n">
        <f aca="false">IF(H_Direct=1,IF(ES95&lt;=0,PE95-ES95*ANS94,PE95-MIN(MIN(ES95*ANS94,LR95+PE95),PE95)),PE95)</f>
        <v>0</v>
      </c>
      <c r="PG95" s="20" t="n">
        <f aca="false">IF(H_Direct=1,IF(ET95&lt;=0,PF95-ET95*ANT94,PF95-MIN(MIN(ET95*ANT94,LS95+PF95),PF95)),PF95)</f>
        <v>0</v>
      </c>
      <c r="PH95" s="20" t="n">
        <f aca="false">IF(H_Direct=1,IF(EU95&lt;=0,PG95-EU95*ANU94,PG95-MIN(MIN(EU95*ANU94,LT95+PG95),PG95)),PG95)</f>
        <v>0</v>
      </c>
      <c r="PI95" s="20" t="n">
        <f aca="false">IF(H_Direct=1,IF(EV95&lt;=0,PH95-EV95*ANV94,PH95-MIN(MIN(EV95*ANV94,LU95+PH95),PH95)),PH95)</f>
        <v>0</v>
      </c>
      <c r="PJ95" s="20" t="n">
        <f aca="false">IF(H_Direct=1,IF(EW95&lt;=0,PI95-EW95*ANW94,PI95-MIN(MIN(EW95*ANW94,LV95+PI95),PI95)),PI95)</f>
        <v>0</v>
      </c>
      <c r="PK95" s="20" t="n">
        <f aca="false">IF(H_Direct=1,IF(EX95&lt;=0,PJ95-EX95*ANX94,PJ95-MIN(MIN(EX95*ANX94,LW95+PJ95),PJ95)),PJ95)</f>
        <v>0</v>
      </c>
      <c r="PL95" s="20" t="n">
        <f aca="false">IF(H_Direct=1,IF(EY95&lt;=0,PK95-EY95*ANY94,PK95-MIN(MIN(EY95*ANY94,LX95+PK95),PK95)),PK95)</f>
        <v>0</v>
      </c>
      <c r="PM95" s="20" t="n">
        <f aca="false">IF(H_Direct=1,IF(EZ95&lt;=0,PL95-EZ95*ANZ94,PL95-MIN(MIN(EZ95*ANZ94,LY95+PL95),PL95)),PL95)</f>
        <v>0</v>
      </c>
      <c r="PN95" s="20" t="n">
        <f aca="false">IF(H_Direct=1,IF(FA95&lt;=0,PM95-FA95*AOA94,PM95-MIN(MIN(FA95*AOA94,LZ95+PM95),PM95)),PM95)</f>
        <v>0</v>
      </c>
      <c r="PO95" s="20" t="n">
        <f aca="false">IF(H_Direct=1,IF(FB95&lt;=0,PN95-FB95*(P95+S95),PN95-MIN(MIN(FB95*(P95+S95),MA95+PN95),PN95)),PN95)</f>
        <v>0</v>
      </c>
      <c r="PP95" s="20" t="n">
        <f aca="false">PO95</f>
        <v>0</v>
      </c>
      <c r="PQ95" s="20" t="n">
        <f aca="false">PP95</f>
        <v>0</v>
      </c>
      <c r="PR95" s="20" t="n">
        <f aca="false">IF(H_Direct=1,IF(AKR94&lt;=0,0,IF(BR95&lt;=0,MIN(MAX(0,AB95),AKR94),MIN(MAX(0,AB95),AKR94-G95*MAX(0,BR95*AKR94-(H95+I95))))),MIN(FE95,MAX(0,AB95)))</f>
        <v>0</v>
      </c>
      <c r="PS95" s="20" t="n">
        <f aca="false">IF(H_Direct=1,IF(AKS94&lt;=0,0,IF(BS95&lt;=0,MIN(MAX(0,AB95-SUM(PR95:PR95)),AKS94),MIN(MAX(0,AB95-SUM(PR95:PR95)),AKS94-G95*MAX(0,BS95*AKS94-(WR95+AAE95))))),MIN(FF95,MAX(0,AB95-SUM(PR95:PR95))))</f>
        <v>0</v>
      </c>
      <c r="PT95" s="20" t="n">
        <f aca="false">IF(H_Direct=1,IF(AKT94&lt;=0,0,IF(BT95&lt;=0,MIN(MAX(0,AB95-SUM(PR95:PS95)),AKT94),MIN(MAX(0,AB95-SUM(PR95:PS95)),AKT94-G95*MAX(0,BT95*AKT94-(WS95+AAF95))))),MIN(FG95,MAX(0,AB95-SUM(PR95:PS95))))</f>
        <v>0</v>
      </c>
      <c r="PU95" s="20" t="n">
        <f aca="false">IF(H_Direct=1,IF(AKU94&lt;=0,0,IF(BU95&lt;=0,MIN(MAX(0,AB95-SUM(PR95:PT95)),AKU94),MIN(MAX(0,AB95-SUM(PR95:PT95)),AKU94-G95*MAX(0,BU95*AKU94-(WT95+AAG95))))),MIN(FH95,MAX(0,AB95-SUM(PR95:PT95))))</f>
        <v>0</v>
      </c>
      <c r="PV95" s="20" t="n">
        <f aca="false">IF(H_Direct=1,IF(AKV94&lt;=0,0,IF(BV95&lt;=0,MIN(MAX(0,AB95-SUM(PR95:PU95)),AKV94),MIN(MAX(0,AB95-SUM(PR95:PU95)),AKV94-G95*MAX(0,BV95*AKV94-(WU95+AAH95))))),MIN(FI95,MAX(0,AB95-SUM(PR95:PU95))))</f>
        <v>0</v>
      </c>
      <c r="PW95" s="20" t="n">
        <f aca="false">IF(H_Direct=1,IF(AKW94&lt;=0,0,IF(BW95&lt;=0,MIN(MAX(0,AB95-SUM(PR95:PV95)),AKW94),MIN(MAX(0,AB95-SUM(PR95:PV95)),AKW94-G95*MAX(0,BW95*AKW94-(WV95+AAI95))))),MIN(FJ95,MAX(0,AB95-SUM(PR95:PV95))))</f>
        <v>0</v>
      </c>
      <c r="PX95" s="20" t="n">
        <f aca="false">IF(H_Direct=1,IF(AKX94&lt;=0,0,IF(BX95&lt;=0,MIN(MAX(0,AB95-SUM(PR95:PW95)),AKX94),MIN(MAX(0,AB95-SUM(PR95:PW95)),AKX94-G95*MAX(0,BX95*AKX94-(WW95+AAJ95))))),MIN(FK95,MAX(0,AB95-SUM(PR95:PW95))))</f>
        <v>0</v>
      </c>
      <c r="PY95" s="20" t="n">
        <f aca="false">IF(H_Direct=1,IF(AKY94&lt;=0,0,IF(BY95&lt;=0,MIN(MAX(0,AB95-SUM(PR95:PX95)),AKY94),MIN(MAX(0,AB95-SUM(PR95:PX95)),AKY94-G95*MAX(0,BY95*AKY94-(WX95+AAK95))))),MIN(FL95,MAX(0,AB95-SUM(PR95:PX95))))</f>
        <v>0</v>
      </c>
      <c r="PZ95" s="20" t="n">
        <f aca="false">IF(H_Direct=1,IF(AKZ94&lt;=0,0,IF(BZ95&lt;=0,MIN(MAX(0,AB95-SUM(PR95:PY95)),AKZ94),MIN(MAX(0,AB95-SUM(PR95:PY95)),AKZ94-G95*MAX(0,BZ95*AKZ94-(WY95+AAL95))))),MIN(FM95,MAX(0,AB95-SUM(PR95:PY95))))</f>
        <v>0</v>
      </c>
      <c r="QA95" s="20" t="n">
        <f aca="false">IF(H_Direct=1,IF(ALA94&lt;=0,0,IF(CA95&lt;=0,MIN(MAX(0,AB95-SUM(PR95:PZ95)),ALA94),MIN(MAX(0,AB95-SUM(PR95:PZ95)),ALA94-G95*MAX(0,CA95*ALA94-(WZ95+AAM95))))),MIN(FN95,MAX(0,AB95-SUM(PR95:PZ95))))</f>
        <v>0</v>
      </c>
      <c r="QB95" s="20" t="n">
        <f aca="false">IF(H_Direct=1,IF(ALB94&lt;=0,0,IF(CB95&lt;=0,MIN(MAX(0,AB95-SUM(PR95:QA95)),ALB94),MIN(MAX(0,AB95-SUM(PR95:QA95)),ALB94-G95*MAX(0,CB95*ALB94-(XA95+AAN95))))),MIN(FO95,MAX(0,AB95-SUM(PR95:QA95))))</f>
        <v>0</v>
      </c>
      <c r="QC95" s="20" t="n">
        <f aca="false">IF(H_Direct=1,IF(ALC94&lt;=0,0,IF(CC95&lt;=0,MIN(MAX(0,AB95-SUM(PR95:QB95)),ALC94),MIN(MAX(0,AB95-SUM(PR95:QB95)),ALC94-G95*MAX(0,CC95*ALC94-(XB95+AAO95))))),MIN(FP95,MAX(0,AB95-SUM(PR95:QB95))))</f>
        <v>0</v>
      </c>
      <c r="QD95" s="20" t="n">
        <f aca="false">IF(H_Direct=1,IF(ALD94&lt;=0,0,IF(CD95&lt;=0,MIN(MAX(0,AB95-SUM(PR95:QC95)),ALD94),MIN(MAX(0,AB95-SUM(PR95:QC95)),ALD94-G95*MAX(0,CD95*ALD94-(XC95+AAP95))))),MIN(FQ95,MAX(0,AB95-SUM(PR95:QC95))))</f>
        <v>0</v>
      </c>
      <c r="QE95" s="20" t="n">
        <f aca="false">IF(H_Direct=1,IF(ALE94&lt;=0,0,IF(CE95&lt;=0,MIN(MAX(0,AB95-SUM(PR95:QD95)),ALE94),MIN(MAX(0,AB95-SUM(PR95:QD95)),ALE94-G95*MAX(0,CE95*ALE94-(XD95+AAQ95))))),MIN(FR95,MAX(0,AB95-SUM(PR95:QD95))))</f>
        <v>0</v>
      </c>
      <c r="QF95" s="20" t="n">
        <f aca="false">IF(H_Direct=1,IF(ALF94&lt;=0,0,IF(CF95&lt;=0,MIN(MAX(0,AB95-SUM(PR95:QE95)),ALF94),MIN(MAX(0,AB95-SUM(PR95:QE95)),ALF94-G95*MAX(0,CF95*ALF94-(XE95+AAR95))))),MIN(FS95,MAX(0,AB95-SUM(PR95:QE95))))</f>
        <v>0</v>
      </c>
      <c r="QG95" s="20" t="n">
        <f aca="false">IF(H_Direct=1,IF(ALG94&lt;=0,0,IF(CG95&lt;=0,MIN(MAX(0,AB95-SUM(PR95:QF95)),ALG94),MIN(MAX(0,AB95-SUM(PR95:QF95)),ALG94-G95*MAX(0,CG95*ALG94-(XF95+AAS95))))),MIN(FT95,MAX(0,AB95-SUM(PR95:QF95))))</f>
        <v>0</v>
      </c>
      <c r="QH95" s="20" t="n">
        <f aca="false">IF(H_Direct=1,IF(ALH94&lt;=0,0,IF(CH95&lt;=0,MIN(MAX(0,AB95-SUM(PR95:QG95)),ALH94),MIN(MAX(0,AB95-SUM(PR95:QG95)),ALH94-G95*MAX(0,CH95*ALH94-(XG95+AAT95))))),MIN(FU95,MAX(0,AB95-SUM(PR95:QG95))))</f>
        <v>0</v>
      </c>
      <c r="QI95" s="20" t="n">
        <f aca="false">IF(H_Direct=1,IF(ALI94&lt;=0,0,IF(CI95&lt;=0,MIN(MAX(0,AB95-SUM(PR95:QH95)),ALI94),MIN(MAX(0,AB95-SUM(PR95:QH95)),ALI94-G95*MAX(0,CI95*ALI94-(XH95+AAU95))))),MIN(FV95,MAX(0,AB95-SUM(PR95:QH95))))</f>
        <v>0</v>
      </c>
      <c r="QJ95" s="20" t="n">
        <f aca="false">IF(H_Direct=1,IF(ALJ94&lt;=0,0,IF(CJ95&lt;=0,MIN(MAX(0,AB95-SUM(PR95:QI95)),ALJ94),MIN(MAX(0,AB95-SUM(PR95:QI95)),ALJ94-G95*MAX(0,CJ95*ALJ94-(XI95+AAV95))))),MIN(FW95,MAX(0,AB95-SUM(PR95:QI95))))</f>
        <v>0</v>
      </c>
      <c r="QK95" s="20" t="n">
        <f aca="false">IF(H_Direct=1,IF(ALK94&lt;=0,0,IF(CK95&lt;=0,MIN(MAX(0,AB95-SUM(PR95:QJ95)),ALK94),MIN(MAX(0,AB95-SUM(PR95:QJ95)),ALK94-G95*MAX(0,CK95*ALK94-(XJ95+AAW95))))),MIN(FX95,MAX(0,AB95-SUM(PR95:QJ95))))</f>
        <v>0</v>
      </c>
      <c r="QL95" s="20" t="n">
        <f aca="false">IF(H_Direct=1,IF(ALL94&lt;=0,0,IF(CL95&lt;=0,MIN(MAX(0,AB95-SUM(PR95:QK95)),ALL94),MIN(MAX(0,AB95-SUM(PR95:QK95)),ALL94-G95*MAX(0,CL95*ALL94-(XK95+AAX95))))),MIN(FY95,MAX(0,AB95-SUM(PR95:QK95))))</f>
        <v>0</v>
      </c>
      <c r="QM95" s="20" t="n">
        <f aca="false">IF(H_Direct=1,IF(ALM94&lt;=0,0,IF(CM95&lt;=0,MIN(MAX(0,AB95-SUM(PR95:QL95)),ALM94),MIN(MAX(0,AB95-SUM(PR95:QL95)),ALM94-G95*MAX(0,CM95*ALM94-(XL95+AAY95))))),MIN(FZ95,MAX(0,AB95-SUM(PR95:QL95))))</f>
        <v>0</v>
      </c>
      <c r="QN95" s="20" t="n">
        <f aca="false">IF(H_Direct=1,IF(ALN94&lt;=0,0,IF(CN95&lt;=0,MIN(MAX(0,AB95-SUM(PR95:QM95)),ALN94),MIN(MAX(0,AB95-SUM(PR95:QM95)),ALN94-G95*MAX(0,CN95*ALN94-(XM95+AAZ95))))),MIN(GA95,MAX(0,AB95-SUM(PR95:QM95))))</f>
        <v>0</v>
      </c>
      <c r="QO95" s="20" t="n">
        <f aca="false">IF(H_Direct=1,IF(ALO94&lt;=0,0,IF(CO95&lt;=0,MIN(MAX(0,AB95-SUM(PR95:QN95)),ALO94),MIN(MAX(0,AB95-SUM(PR95:QN95)),ALO94-G95*MAX(0,CO95*ALO94-(XN95+ABA95))))),MIN(GB95,MAX(0,AB95-SUM(PR95:QN95))))</f>
        <v>0</v>
      </c>
      <c r="QP95" s="20" t="n">
        <f aca="false">IF(H_Direct=1,IF(ALP94&lt;=0,0,IF(CP95&lt;=0,MIN(MAX(0,AB95-SUM(PR95:QO95)),ALP94),MIN(MAX(0,AB95-SUM(PR95:QO95)),ALP94-G95*MAX(0,CP95*ALP94-(XO95+ABB95))))),MIN(GC95,MAX(0,AB95-SUM(PR95:QO95))))</f>
        <v>0</v>
      </c>
      <c r="QQ95" s="20" t="n">
        <f aca="false">IF(H_Direct=1,IF(ALQ94&lt;=0,0,IF(CQ95&lt;=0,MIN(MAX(0,AB95-SUM(PR95:QP95)),ALQ94),MIN(MAX(0,AB95-SUM(PR95:QP95)),ALQ94-G95*MAX(0,CQ95*ALQ94-(XP95+ABC95))))),MIN(GD95,MAX(0,AB95-SUM(PR95:QP95))))</f>
        <v>0</v>
      </c>
      <c r="QR95" s="20" t="n">
        <f aca="false">IF(H_Direct=1,IF(ALR94&lt;=0,0,IF(CR95&lt;=0,MIN(MAX(0,AB95-SUM(PR95:QQ95)),ALR94),MIN(MAX(0,AB95-SUM(PR95:QQ95)),ALR94-G95*MAX(0,CR95*ALR94-(XQ95+ABD95))))),MIN(GE95,MAX(0,AB95-SUM(PR95:QQ95))))</f>
        <v>0</v>
      </c>
      <c r="QS95" s="20" t="n">
        <f aca="false">IF(H_Direct=1,IF(ALS94&lt;=0,0,IF(CS95&lt;=0,MIN(MAX(0,AB95-SUM(PR95:QR95)),ALS94),MIN(MAX(0,AB95-SUM(PR95:QR95)),ALS94-G95*MAX(0,CS95*ALS94-(XR95+ABE95))))),MIN(GF95,MAX(0,AB95-SUM(PR95:QR95))))</f>
        <v>0</v>
      </c>
      <c r="QT95" s="20" t="n">
        <f aca="false">IF(H_Direct=1,IF(ALT94&lt;=0,0,IF(CT95&lt;=0,MIN(MAX(0,AB95-SUM(PR95:QS95)),ALT94),MIN(MAX(0,AB95-SUM(PR95:QS95)),ALT94-G95*MAX(0,CT95*ALT94-(XS95+ABF95))))),MIN(GG95,MAX(0,AB95-SUM(PR95:QS95))))</f>
        <v>0</v>
      </c>
      <c r="QU95" s="20" t="n">
        <f aca="false">IF(H_Direct=1,IF(ALU94&lt;=0,0,IF(CU95&lt;=0,MIN(MAX(0,AB95-SUM(PR95:QT95)),ALU94),MIN(MAX(0,AB95-SUM(PR95:QT95)),ALU94-G95*MAX(0,CU95*ALU94-(XT95+ABG95))))),MIN(GH95,MAX(0,AB95-SUM(PR95:QT95))))</f>
        <v>0</v>
      </c>
      <c r="QV95" s="20" t="n">
        <f aca="false">IF(H_Direct=1,IF(ALV94&lt;=0,0,IF(CV95&lt;=0,MIN(MAX(0,AB95-SUM(PR95:QU95)),ALV94),MIN(MAX(0,AB95-SUM(PR95:QU95)),ALV94-G95*MAX(0,CV95*ALV94-(XU95+ABH95))))),MIN(GI95,MAX(0,AB95-SUM(PR95:QU95))))</f>
        <v>0</v>
      </c>
      <c r="QW95" s="20" t="n">
        <f aca="false">IF(H_Direct=1,IF(ALW94&lt;=0,0,IF(CW95&lt;=0,MIN(MAX(0,AB95-SUM(PR95:QV95)),ALW94),MIN(MAX(0,AB95-SUM(PR95:QV95)),ALW94-G95*MAX(0,CW95*ALW94-(XV95+ABI95))))),MIN(GJ95,MAX(0,AB95-SUM(PR95:QV95))))</f>
        <v>0</v>
      </c>
      <c r="QX95" s="20" t="n">
        <f aca="false">IF(H_Direct=1,IF(ALX94&lt;=0,0,IF(CX95&lt;=0,MIN(MAX(0,AB95-SUM(PR95:QW95)),ALX94),MIN(MAX(0,AB95-SUM(PR95:QW95)),ALX94-G95*MAX(0,CX95*ALX94-(XW95+ABJ95))))),MIN(GK95,MAX(0,AB95-SUM(PR95:QW95))))</f>
        <v>0</v>
      </c>
      <c r="QY95" s="20" t="n">
        <f aca="false">IF(H_Direct=1,IF(ALY94&lt;=0,0,IF(CY95&lt;=0,MIN(MAX(0,AB95-SUM(PR95:QX95)),ALY94),MIN(MAX(0,AB95-SUM(PR95:QX95)),ALY94-G95*MAX(0,CY95*ALY94-(XX95+ABK95))))),MIN(GL95,MAX(0,AB95-SUM(PR95:QX95))))</f>
        <v>0</v>
      </c>
      <c r="QZ95" s="20" t="n">
        <f aca="false">IF(H_Direct=1,IF(ALZ94&lt;=0,0,IF(CZ95&lt;=0,MIN(MAX(0,AB95-SUM(PR95:QY95)),ALZ94),MIN(MAX(0,AB95-SUM(PR95:QY95)),ALZ94-G95*MAX(0,CZ95*ALZ94-(XY95+ABL95))))),MIN(GM95,MAX(0,AB95-SUM(PR95:QY95))))</f>
        <v>0</v>
      </c>
      <c r="RA95" s="20" t="n">
        <f aca="false">IF(H_Direct=1,IF(AMA94&lt;=0,0,IF(DA95&lt;=0,MIN(MAX(0,AB95-SUM(PR95:QZ95)),AMA94),MIN(MAX(0,AB95-SUM(PR95:QZ95)),AMA94-G95*MAX(0,DA95*AMA94-(XZ95+ABM95))))),MIN(GN95,MAX(0,AB95-SUM(PR95:QZ95))))</f>
        <v>0</v>
      </c>
      <c r="RB95" s="20" t="n">
        <f aca="false">IF(H_Direct=1,IF(AMB94&lt;=0,0,IF(DB95&lt;=0,MIN(MAX(0,AB95-SUM(PR95:RA95)),AMB94),MIN(MAX(0,AB95-SUM(PR95:RA95)),AMB94-G95*MAX(0,DB95*AMB94-(YA95+ABN95))))),MIN(GO95,MAX(0,AB95-SUM(PR95:RA95))))</f>
        <v>0</v>
      </c>
      <c r="RC95" s="20" t="n">
        <f aca="false">IF(H_Direct=1,IF(AMC94&lt;=0,0,IF(DC95&lt;=0,MIN(MAX(0,AB95-SUM(PR95:RB95)),AMC94),MIN(MAX(0,AB95-SUM(PR95:RB95)),AMC94-G95*MAX(0,DC95*AMC94-(YB95+ABO95))))),MIN(GP95,MAX(0,AB95-SUM(PR95:RB95))))</f>
        <v>0</v>
      </c>
      <c r="RD95" s="20" t="n">
        <f aca="false">IF(H_Direct=1,IF(AMD94&lt;=0,0,IF(DD95&lt;=0,MIN(MAX(0,AB95-SUM(PR95:RC95)),AMD94),MIN(MAX(0,AB95-SUM(PR95:RC95)),AMD94-G95*MAX(0,DD95*AMD94-(YC95+ABP95))))),MIN(GQ95,MAX(0,AB95-SUM(PR95:RC95))))</f>
        <v>0</v>
      </c>
      <c r="RE95" s="20" t="n">
        <f aca="false">IF(H_Direct=1,IF(AME94&lt;=0,0,IF(DE95&lt;=0,MIN(MAX(0,AB95-SUM(PR95:RD95)),AME94),MIN(MAX(0,AB95-SUM(PR95:RD95)),AME94-G95*MAX(0,DE95*AME94-(YD95+ABQ95))))),MIN(GR95,MAX(0,AB95-SUM(PR95:RD95))))</f>
        <v>0</v>
      </c>
      <c r="RF95" s="20" t="n">
        <f aca="false">IF(H_Direct=1,IF(AMF94&lt;=0,0,IF(DF95&lt;=0,MIN(MAX(0,AB95-SUM(PR95:RE95)),AMF94),MIN(MAX(0,AB95-SUM(PR95:RE95)),AMF94-G95*MAX(0,DF95*AMF94-(YE95+ABR95))))),MIN(GS95,MAX(0,AB95-SUM(PR95:RE95))))</f>
        <v>0</v>
      </c>
      <c r="RG95" s="20" t="n">
        <f aca="false">IF(H_Direct=1,IF(AMG94&lt;=0,0,IF(DG95&lt;=0,MIN(MAX(0,AB95-SUM(PR95:RF95)),AMG94),MIN(MAX(0,AB95-SUM(PR95:RF95)),AMG94-G95*MAX(0,DG95*AMG94-(YF95+ABS95))))),MIN(GT95,MAX(0,AB95-SUM(PR95:RF95))))</f>
        <v>0</v>
      </c>
      <c r="RH95" s="20" t="n">
        <f aca="false">IF(H_Direct=1,IF(AMH94&lt;=0,0,IF(DH95&lt;=0,MIN(MAX(0,AB95-SUM(PR95:RG95)),AMH94),MIN(MAX(0,AB95-SUM(PR95:RG95)),AMH94-G95*MAX(0,DH95*AMH94-(YG95+ABT95))))),MIN(GU95,MAX(0,AB95-SUM(PR95:RG95))))</f>
        <v>0</v>
      </c>
      <c r="RI95" s="20" t="n">
        <f aca="false">IF(H_Direct=1,IF(AMI94&lt;=0,0,IF(DI95&lt;=0,MIN(MAX(0,AB95-SUM(PR95:RH95)),AMI94),MIN(MAX(0,AB95-SUM(PR95:RH95)),AMI94-G95*MAX(0,DI95*AMI94-(YH95+ABU95))))),MIN(GV95,MAX(0,AB95-SUM(PR95:RH95))))</f>
        <v>0</v>
      </c>
      <c r="RJ95" s="20" t="n">
        <f aca="false">IF(H_Direct=1,IF(AMJ94&lt;=0,0,IF(DJ95&lt;=0,MIN(MAX(0,AB95-SUM(PR95:RI95)),AMJ94),MIN(MAX(0,AB95-SUM(PR95:RI95)),AMJ94-G95*MAX(0,DJ95*AMJ94-(YI95+ABV95))))),MIN(GW95,MAX(0,AB95-SUM(PR95:RI95))))</f>
        <v>0</v>
      </c>
      <c r="RK95" s="20" t="n">
        <f aca="false">IF(H_Direct=1,IF(AMK94&lt;=0,0,IF(DK95&lt;=0,MIN(MAX(0,AB95-SUM(PR95:RJ95)),AMK94),MIN(MAX(0,AB95-SUM(PR95:RJ95)),AMK94-G95*MAX(0,DK95*AMK94-(YJ95+ABW95))))),MIN(GX95,MAX(0,AB95-SUM(PR95:RJ95))))</f>
        <v>0</v>
      </c>
      <c r="RL95" s="20" t="n">
        <f aca="false">IF(H_Direct=1,IF(AML94&lt;=0,0,IF(DL95&lt;=0,MIN(MAX(0,AB95-SUM(PR95:RK95)),AML94),MIN(MAX(0,AB95-SUM(PR95:RK95)),AML94-G95*MAX(0,DL95*AML94-(YK95+ABX95))))),MIN(GY95,MAX(0,AB95-SUM(PR95:RK95))))</f>
        <v>0</v>
      </c>
      <c r="RM95" s="20" t="n">
        <f aca="false">IF(H_Direct=1,IF(AMM94&lt;=0,0,IF(DM95&lt;=0,MIN(MAX(0,AB95-SUM(PR95:RL95)),AMM94),MIN(MAX(0,AB95-SUM(PR95:RL95)),AMM94-G95*MAX(0,DM95*AMM94-(YL95+ABY95))))),MIN(GZ95,MAX(0,AB95-SUM(PR95:RL95))))</f>
        <v>0</v>
      </c>
      <c r="RN95" s="20" t="n">
        <f aca="false">IF(H_Direct=1,IF(AMN94&lt;=0,0,IF(DN95&lt;=0,MIN(MAX(0,AB95-SUM(PR95:RM95)),AMN94),MIN(MAX(0,AB95-SUM(PR95:RM95)),AMN94-G95*MAX(0,DN95*AMN94-(YM95+ABZ95))))),MIN(HA95,MAX(0,AB95-SUM(PR95:RM95))))</f>
        <v>0</v>
      </c>
      <c r="RO95" s="20" t="n">
        <f aca="false">IF(H_Direct=1,IF(AMO94&lt;=0,0,IF(DO95&lt;=0,MIN(MAX(0,AB95-SUM(PR95:RN95)),AMO94),MIN(MAX(0,AB95-SUM(PR95:RN95)),AMO94-G95*MAX(0,DO95*AMO94-(YN95+ACA95))))),MIN(HB95,MAX(0,AB95-SUM(PR95:RN95))))</f>
        <v>0</v>
      </c>
      <c r="RP95" s="20" t="n">
        <f aca="false">IF(H_Direct=1,IF(AMP94&lt;=0,0,IF(DP95&lt;=0,MIN(MAX(0,AB95-SUM(PR95:RO95)),AMP94),MIN(MAX(0,AB95-SUM(PR95:RO95)),AMP94-G95*MAX(0,DP95*AMP94-(YO95+ACB95))))),MIN(HC95,MAX(0,AB95-SUM(PR95:RO95))))</f>
        <v>0</v>
      </c>
      <c r="RQ95" s="20" t="n">
        <f aca="false">IF(H_Direct=1,IF(AMQ94&lt;=0,0,IF(DQ95&lt;=0,MIN(MAX(0,AB95-SUM(PR95:RP95)),AMQ94),MIN(MAX(0,AB95-SUM(PR95:RP95)),AMQ94-G95*MAX(0,DQ95*AMQ94-(YP95+ACC95))))),MIN(HD95,MAX(0,AB95-SUM(PR95:RP95))))</f>
        <v>0</v>
      </c>
      <c r="RR95" s="20" t="n">
        <f aca="false">IF(H_Direct=1,IF(AMR94&lt;=0,0,IF(DR95&lt;=0,MIN(MAX(0,AB95-SUM(PR95:RQ95)),AMR94),MIN(MAX(0,AB95-SUM(PR95:RQ95)),AMR94-G95*MAX(0,DR95*AMR94-(YQ95+ACD95))))),MIN(HE95,MAX(0,AB95-SUM(PR95:RQ95))))</f>
        <v>0</v>
      </c>
      <c r="RS95" s="20" t="n">
        <f aca="false">IF(H_Direct=1,IF(AMS94&lt;=0,0,IF(DS95&lt;=0,MIN(MAX(0,AB95-SUM(PR95:RR95)),AMS94),MIN(MAX(0,AB95-SUM(PR95:RR95)),AMS94-G95*MAX(0,DS95*AMS94-(YR95+ACE95))))),MIN(HF95,MAX(0,AB95-SUM(PR95:RR95))))</f>
        <v>0</v>
      </c>
      <c r="RT95" s="20" t="n">
        <f aca="false">IF(H_Direct=1,IF(AMT94&lt;=0,0,IF(DT95&lt;=0,MIN(MAX(0,AB95-SUM(PR95:RS95)),AMT94),MIN(MAX(0,AB95-SUM(PR95:RS95)),AMT94-G95*MAX(0,DT95*AMT94-(YS95+ACF95))))),MIN(HG95,MAX(0,AB95-SUM(PR95:RS95))))</f>
        <v>0</v>
      </c>
      <c r="RU95" s="20" t="n">
        <f aca="false">IF(H_Direct=1,IF(AMU94&lt;=0,0,IF(DU95&lt;=0,MIN(MAX(0,AB95-SUM(PR95:RT95)),AMU94),MIN(MAX(0,AB95-SUM(PR95:RT95)),AMU94-G95*MAX(0,DU95*AMU94-(YT95+ACG95))))),MIN(HH95,MAX(0,AB95-SUM(PR95:RT95))))</f>
        <v>0</v>
      </c>
      <c r="RV95" s="20" t="n">
        <f aca="false">IF(H_Direct=1,IF(AMV94&lt;=0,0,IF(DV95&lt;=0,MIN(MAX(0,AB95-SUM(PR95:RU95)),AMV94),MIN(MAX(0,AB95-SUM(PR95:RU95)),AMV94-G95*MAX(0,DV95*AMV94-(YU95+ACH95))))),MIN(HI95,MAX(0,AB95-SUM(PR95:RU95))))</f>
        <v>0</v>
      </c>
      <c r="RW95" s="20" t="n">
        <f aca="false">IF(H_Direct=1,IF(AMW94&lt;=0,0,IF(DW95&lt;=0,MIN(MAX(0,AB95-SUM(PR95:RV95)),AMW94),MIN(MAX(0,AB95-SUM(PR95:RV95)),AMW94-G95*MAX(0,DW95*AMW94-(YV95+ACI95))))),MIN(HJ95,MAX(0,AB95-SUM(PR95:RV95))))</f>
        <v>0</v>
      </c>
      <c r="RX95" s="20" t="n">
        <f aca="false">IF(H_Direct=1,IF(AMX94&lt;=0,0,IF(DX95&lt;=0,MIN(MAX(0,AB95-SUM(PR95:RW95)),AMX94),MIN(MAX(0,AB95-SUM(PR95:RW95)),AMX94-G95*MAX(0,DX95*AMX94-(YW95+ACJ95))))),MIN(HK95,MAX(0,AB95-SUM(PR95:RW95))))</f>
        <v>0</v>
      </c>
      <c r="RY95" s="20" t="n">
        <f aca="false">IF(H_Direct=1,IF(AMY94&lt;=0,0,IF(DY95&lt;=0,MIN(MAX(0,AB95-SUM(PR95:RX95)),AMY94),MIN(MAX(0,AB95-SUM(PR95:RX95)),AMY94-G95*MAX(0,DY95*AMY94-(YX95+ACK95))))),MIN(HL95,MAX(0,AB95-SUM(PR95:RX95))))</f>
        <v>0</v>
      </c>
      <c r="RZ95" s="20" t="n">
        <f aca="false">IF(H_Direct=1,IF(AMZ94&lt;=0,0,IF(DZ95&lt;=0,MIN(MAX(0,AB95-SUM(PR95:RY95)),AMZ94),MIN(MAX(0,AB95-SUM(PR95:RY95)),AMZ94-G95*MAX(0,DZ95*AMZ94-(YY95+ACL95))))),MIN(HM95,MAX(0,AB95-SUM(PR95:RY95))))</f>
        <v>0</v>
      </c>
      <c r="SA95" s="20" t="n">
        <f aca="false">IF(H_Direct=1,IF(ANA94&lt;=0,0,IF(EA95&lt;=0,MIN(MAX(0,AB95-SUM(PR95:RZ95)),ANA94),MIN(MAX(0,AB95-SUM(PR95:RZ95)),ANA94-G95*MAX(0,EA95*ANA94-(YZ95+ACM95))))),MIN(HN95,MAX(0,AB95-SUM(PR95:RZ95))))</f>
        <v>0</v>
      </c>
      <c r="SB95" s="20" t="n">
        <f aca="false">IF(H_Direct=1,IF(ANB94&lt;=0,0,IF(EB95&lt;=0,MIN(MAX(0,AB95-SUM(PR95:SA95)),ANB94),MIN(MAX(0,AB95-SUM(PR95:SA95)),ANB94-G95*MAX(0,EB95*ANB94-(ZA95+ACN95))))),MIN(HO95,MAX(0,AB95-SUM(PR95:SA95))))</f>
        <v>0</v>
      </c>
      <c r="SC95" s="20" t="n">
        <f aca="false">IF(H_Direct=1,IF(ANC94&lt;=0,0,IF(EC95&lt;=0,MIN(MAX(0,AB95-SUM(PR95:SB95)),ANC94),MIN(MAX(0,AB95-SUM(PR95:SB95)),ANC94-G95*MAX(0,EC95*ANC94-(ZB95+ACO95))))),MIN(HP95,MAX(0,AB95-SUM(PR95:SB95))))</f>
        <v>0</v>
      </c>
      <c r="SD95" s="20" t="n">
        <f aca="false">IF(H_Direct=1,IF(AND94&lt;=0,0,IF(ED95&lt;=0,MIN(MAX(0,AB95-SUM(PR95:SC95)),AND94),MIN(MAX(0,AB95-SUM(PR95:SC95)),AND94-G95*MAX(0,ED95*AND94-(ZC95+ACP95))))),MIN(HQ95,MAX(0,AB95-SUM(PR95:SC95))))</f>
        <v>0</v>
      </c>
      <c r="SE95" s="20" t="n">
        <f aca="false">IF(H_Direct=1,IF(ANE94&lt;=0,0,IF(EE95&lt;=0,MIN(MAX(0,AB95-SUM(PR95:SD95)),ANE94),MIN(MAX(0,AB95-SUM(PR95:SD95)),ANE94-G95*MAX(0,EE95*ANE94-(ZD95+ACQ95))))),MIN(HR95,MAX(0,AB95-SUM(PR95:SD95))))</f>
        <v>0</v>
      </c>
      <c r="SF95" s="20" t="n">
        <f aca="false">IF(H_Direct=1,IF(ANF94&lt;=0,0,IF(EF95&lt;=0,MIN(MAX(0,AB95-SUM(PR95:SE95)),ANF94),MIN(MAX(0,AB95-SUM(PR95:SE95)),ANF94-G95*MAX(0,EF95*ANF94-(ZE95+ACR95))))),MIN(HS95,MAX(0,AB95-SUM(PR95:SE95))))</f>
        <v>0</v>
      </c>
      <c r="SG95" s="20" t="n">
        <f aca="false">IF(H_Direct=1,IF(ANG94&lt;=0,0,IF(EG95&lt;=0,MIN(MAX(0,AB95-SUM(PR95:SF95)),ANG94),MIN(MAX(0,AB95-SUM(PR95:SF95)),ANG94-G95*MAX(0,EG95*ANG94-(ZF95+ACS95))))),MIN(HT95,MAX(0,AB95-SUM(PR95:SF95))))</f>
        <v>0</v>
      </c>
      <c r="SH95" s="20" t="n">
        <f aca="false">IF(H_Direct=1,IF(ANH94&lt;=0,0,IF(EH95&lt;=0,MIN(MAX(0,AB95-SUM(PR95:SG95)),ANH94),MIN(MAX(0,AB95-SUM(PR95:SG95)),ANH94-G95*MAX(0,EH95*ANH94-(ZG95+ACT95))))),MIN(HU95,MAX(0,AB95-SUM(PR95:SG95))))</f>
        <v>0</v>
      </c>
      <c r="SI95" s="20" t="n">
        <f aca="false">IF(H_Direct=1,IF(ANI94&lt;=0,0,IF(EI95&lt;=0,MIN(MAX(0,AB95-SUM(PR95:SH95)),ANI94),MIN(MAX(0,AB95-SUM(PR95:SH95)),ANI94-G95*MAX(0,EI95*ANI94-(ZH95+ACU95))))),MIN(HV95,MAX(0,AB95-SUM(PR95:SH95))))</f>
        <v>0</v>
      </c>
      <c r="SJ95" s="20" t="n">
        <f aca="false">IF(H_Direct=1,IF(ANJ94&lt;=0,0,IF(EJ95&lt;=0,MIN(MAX(0,AB95-SUM(PR95:SI95)),ANJ94),MIN(MAX(0,AB95-SUM(PR95:SI95)),ANJ94-G95*MAX(0,EJ95*ANJ94-(ZI95+ACV95))))),MIN(HW95,MAX(0,AB95-SUM(PR95:SI95))))</f>
        <v>0</v>
      </c>
      <c r="SK95" s="20" t="n">
        <f aca="false">IF(H_Direct=1,IF(ANK94&lt;=0,0,IF(EK95&lt;=0,MIN(MAX(0,AB95-SUM(PR95:SJ95)),ANK94),MIN(MAX(0,AB95-SUM(PR95:SJ95)),ANK94-G95*MAX(0,EK95*ANK94-(ZJ95+ACW95))))),MIN(HX95,MAX(0,AB95-SUM(PR95:SJ95))))</f>
        <v>0</v>
      </c>
      <c r="SL95" s="20" t="n">
        <f aca="false">IF(H_Direct=1,IF(ANL94&lt;=0,0,IF(EL95&lt;=0,MIN(MAX(0,AB95-SUM(PR95:SK95)),ANL94),MIN(MAX(0,AB95-SUM(PR95:SK95)),ANL94-G95*MAX(0,EL95*ANL94-(ZK95+ACX95))))),MIN(HY95,MAX(0,AB95-SUM(PR95:SK95))))</f>
        <v>0</v>
      </c>
      <c r="SM95" s="20" t="n">
        <f aca="false">IF(H_Direct=1,IF(ANM94&lt;=0,0,IF(EM95&lt;=0,MIN(MAX(0,AB95-SUM(PR95:SL95)),ANM94),MIN(MAX(0,AB95-SUM(PR95:SL95)),ANM94-G95*MAX(0,EM95*ANM94-(ZL95+ACY95))))),MIN(HZ95,MAX(0,AB95-SUM(PR95:SL95))))</f>
        <v>0</v>
      </c>
      <c r="SN95" s="20" t="n">
        <f aca="false">IF(H_Direct=1,IF(ANN94&lt;=0,0,IF(EN95&lt;=0,MIN(MAX(0,AB95-SUM(PR95:SM95)),ANN94),MIN(MAX(0,AB95-SUM(PR95:SM95)),ANN94-G95*MAX(0,EN95*ANN94-(ZM95+ACZ95))))),MIN(IA95,MAX(0,AB95-SUM(PR95:SM95))))</f>
        <v>0</v>
      </c>
      <c r="SO95" s="20" t="n">
        <f aca="false">IF(H_Direct=1,IF(ANO94&lt;=0,0,IF(EO95&lt;=0,MIN(MAX(0,AB95-SUM(PR95:SN95)),ANO94),MIN(MAX(0,AB95-SUM(PR95:SN95)),ANO94-G95*MAX(0,EO95*ANO94-(ZN95+ADA95))))),MIN(IB95,MAX(0,AB95-SUM(PR95:SN95))))</f>
        <v>0</v>
      </c>
      <c r="SP95" s="20" t="n">
        <f aca="false">IF(H_Direct=1,IF(ANP94&lt;=0,0,IF(EP95&lt;=0,MIN(MAX(0,AB95-SUM(PR95:SO95)),ANP94),MIN(MAX(0,AB95-SUM(PR95:SO95)),ANP94-G95*MAX(0,EP95*ANP94-(ZO95+ADB95))))),MIN(IC95,MAX(0,AB95-SUM(PR95:SO95))))</f>
        <v>0</v>
      </c>
      <c r="SQ95" s="20" t="n">
        <f aca="false">IF(H_Direct=1,IF(ANQ94&lt;=0,0,IF(EQ95&lt;=0,MIN(MAX(0,AB95-SUM(PR95:SP95)),ANQ94),MIN(MAX(0,AB95-SUM(PR95:SP95)),ANQ94-G95*MAX(0,EQ95*ANQ94-(ZP95+ADC95))))),MIN(ID95,MAX(0,AB95-SUM(PR95:SP95))))</f>
        <v>0</v>
      </c>
      <c r="SR95" s="20" t="n">
        <f aca="false">IF(H_Direct=1,IF(ANR94&lt;=0,0,IF(ER95&lt;=0,MIN(MAX(0,AB95-SUM(PR95:SQ95)),ANR94),MIN(MAX(0,AB95-SUM(PR95:SQ95)),ANR94-G95*MAX(0,ER95*ANR94-(ZQ95+ADD95))))),MIN(IE95,MAX(0,AB95-SUM(PR95:SQ95))))</f>
        <v>0</v>
      </c>
      <c r="SS95" s="20" t="n">
        <f aca="false">IF(H_Direct=1,IF(ANS94&lt;=0,0,IF(ES95&lt;=0,MIN(MAX(0,AB95-SUM(PR95:SR95)),ANS94),MIN(MAX(0,AB95-SUM(PR95:SR95)),ANS94-G95*MAX(0,ES95*ANS94-(ZR95+ADE95))))),MIN(IF95,MAX(0,AB95-SUM(PR95:SR95))))</f>
        <v>0</v>
      </c>
      <c r="ST95" s="20" t="n">
        <f aca="false">IF(H_Direct=1,IF(ANT94&lt;=0,0,IF(ET95&lt;=0,MIN(MAX(0,AB95-SUM(PR95:SS95)),ANT94),MIN(MAX(0,AB95-SUM(PR95:SS95)),ANT94-G95*MAX(0,ET95*ANT94-(ZS95+ADF95))))),MIN(IG95,MAX(0,AB95-SUM(PR95:SS95))))</f>
        <v>0</v>
      </c>
      <c r="SU95" s="20" t="n">
        <f aca="false">IF(H_Direct=1,IF(ANU94&lt;=0,0,IF(EU95&lt;=0,MIN(MAX(0,AB95-SUM(PR95:ST95)),ANU94),MIN(MAX(0,AB95-SUM(PR95:ST95)),ANU94-G95*MAX(0,EU95*ANU94-(ZT95+ADG95))))),MIN(IH95,MAX(0,AB95-SUM(PR95:ST95))))</f>
        <v>0</v>
      </c>
      <c r="SV95" s="20" t="n">
        <f aca="false">IF(H_Direct=1,IF(ANV94&lt;=0,0,IF(EV95&lt;=0,MIN(MAX(0,AB95-SUM(PR95:SU95)),ANV94),MIN(MAX(0,AB95-SUM(PR95:SU95)),ANV94-G95*MAX(0,EV95*ANV94-(ZU95+ADH95))))),MIN(II95,MAX(0,AB95-SUM(PR95:SU95))))</f>
        <v>0</v>
      </c>
      <c r="SW95" s="20" t="n">
        <f aca="false">IF(H_Direct=1,IF(ANW94&lt;=0,0,IF(EW95&lt;=0,MIN(MAX(0,AB95-SUM(PR95:SV95)),ANW94),MIN(MAX(0,AB95-SUM(PR95:SV95)),ANW94-G95*MAX(0,EW95*ANW94-(ZV95+ADI95))))),MIN(IJ95,MAX(0,AB95-SUM(PR95:SV95))))</f>
        <v>0</v>
      </c>
      <c r="SX95" s="20" t="n">
        <f aca="false">IF(H_Direct=1,IF(ANX94&lt;=0,0,IF(EX95&lt;=0,MIN(MAX(0,AB95-SUM(PR95:SW95)),ANX94),MIN(MAX(0,AB95-SUM(PR95:SW95)),ANX94-G95*MAX(0,EX95*ANX94-(ZW95+ADJ95))))),MIN(IK95,MAX(0,AB95-SUM(PR95:SW95))))</f>
        <v>0</v>
      </c>
      <c r="SY95" s="20" t="n">
        <f aca="false">IF(H_Direct=1,IF(ANY94&lt;=0,0,IF(EY95&lt;=0,MIN(MAX(0,AB95-SUM(PR95:SX95)),ANY94),MIN(MAX(0,AB95-SUM(PR95:SX95)),ANY94-G95*MAX(0,EY95*ANY94-(ZX95+ADK95))))),MIN(IL95,MAX(0,AB95-SUM(PR95:SX95))))</f>
        <v>0</v>
      </c>
      <c r="SZ95" s="20" t="n">
        <f aca="false">IF(H_Direct=1,IF(ANZ94&lt;=0,0,IF(EZ95&lt;=0,MIN(MAX(0,AB95-SUM(PR95:SY95)),ANZ94),MIN(MAX(0,AB95-SUM(PR95:SY95)),ANZ94-G95*MAX(0,EZ95*ANZ94-(ZY95+ADL95))))),MIN(IM95,MAX(0,AB95-SUM(PR95:SY95))))</f>
        <v>0</v>
      </c>
      <c r="TA95" s="20" t="n">
        <f aca="false">IF(H_Direct=1,IF(AOA94&lt;=0,0,IF(FA95&lt;=0,MIN(MAX(0,AB95-SUM(PR95:SZ95)),AOA94),MIN(MAX(0,AB95-SUM(PR95:SZ95)),AOA94-G95*MAX(0,FA95*AOA94-(ZZ95+ADM95))))),MIN(IN95,MAX(0,AB95-SUM(PR95:SZ95))))</f>
        <v>0</v>
      </c>
      <c r="TB95" s="20" t="n">
        <f aca="false">IF(H_Direct=1,IF((P95+S95)&lt;=0,0,IF(FB95&lt;=0,MIN(MAX(0,AB95-SUM(PR95:TA95)),(P95+S95)),MIN(MAX(0,AB95-SUM(PR95:TA95)),(P95+S95)-G95*MAX(0,FB95*(P95+S95)-(AAA95+ADN95))))),MIN(IO95,MAX(0,AB95-SUM(PR95:TA95))))</f>
        <v>0</v>
      </c>
      <c r="TC95" s="20" t="n">
        <v>0</v>
      </c>
      <c r="TD95" s="20" t="n">
        <v>0</v>
      </c>
      <c r="TE95" s="20" t="n">
        <f aca="false">IF(AKR94&lt;=0,0,IF(H_Direct=1,IF(BR95&lt;=0,PR95,IF(PR95&lt;=(H95+I95)/BR95,PR95,(PR95-G95*(H95+I95))/(1-G95*BR95))),PR95/(1-MAX(0,BR95)*H_Exit)))</f>
        <v>0</v>
      </c>
      <c r="TF95" s="20" t="n">
        <f aca="false">IF(AKS94&lt;=0,0,IF(H_Direct=1,IF(BS95&lt;=0,PS95,IF(PS95&lt;=(WR95+AAE95)/BS95,PS95,(PS95-G95*(WR95+AAE95))/(1-G95*BS95))),PS95/(1-MAX(0,BS95)*H_Exit)))</f>
        <v>0</v>
      </c>
      <c r="TG95" s="20" t="n">
        <f aca="false">IF(AKT94&lt;=0,0,IF(H_Direct=1,IF(BT95&lt;=0,PT95,IF(PT95&lt;=(WS95+AAF95)/BT95,PT95,(PT95-G95*(WS95+AAF95))/(1-G95*BT95))),PT95/(1-MAX(0,BT95)*H_Exit)))</f>
        <v>0</v>
      </c>
      <c r="TH95" s="20" t="n">
        <f aca="false">IF(AKU94&lt;=0,0,IF(H_Direct=1,IF(BU95&lt;=0,PU95,IF(PU95&lt;=(WT95+AAG95)/BU95,PU95,(PU95-G95*(WT95+AAG95))/(1-G95*BU95))),PU95/(1-MAX(0,BU95)*H_Exit)))</f>
        <v>0</v>
      </c>
      <c r="TI95" s="20" t="n">
        <f aca="false">IF(AKV94&lt;=0,0,IF(H_Direct=1,IF(BV95&lt;=0,PV95,IF(PV95&lt;=(WU95+AAH95)/BV95,PV95,(PV95-G95*(WU95+AAH95))/(1-G95*BV95))),PV95/(1-MAX(0,BV95)*H_Exit)))</f>
        <v>0</v>
      </c>
      <c r="TJ95" s="20" t="n">
        <f aca="false">IF(AKW94&lt;=0,0,IF(H_Direct=1,IF(BW95&lt;=0,PW95,IF(PW95&lt;=(WV95+AAI95)/BW95,PW95,(PW95-G95*(WV95+AAI95))/(1-G95*BW95))),PW95/(1-MAX(0,BW95)*H_Exit)))</f>
        <v>0</v>
      </c>
      <c r="TK95" s="20" t="n">
        <f aca="false">IF(AKX94&lt;=0,0,IF(H_Direct=1,IF(BX95&lt;=0,PX95,IF(PX95&lt;=(WW95+AAJ95)/BX95,PX95,(PX95-G95*(WW95+AAJ95))/(1-G95*BX95))),PX95/(1-MAX(0,BX95)*H_Exit)))</f>
        <v>0</v>
      </c>
      <c r="TL95" s="20" t="n">
        <f aca="false">IF(AKY94&lt;=0,0,IF(H_Direct=1,IF(BY95&lt;=0,PY95,IF(PY95&lt;=(WX95+AAK95)/BY95,PY95,(PY95-G95*(WX95+AAK95))/(1-G95*BY95))),PY95/(1-MAX(0,BY95)*H_Exit)))</f>
        <v>0</v>
      </c>
      <c r="TM95" s="20" t="n">
        <f aca="false">IF(AKZ94&lt;=0,0,IF(H_Direct=1,IF(BZ95&lt;=0,PZ95,IF(PZ95&lt;=(WY95+AAL95)/BZ95,PZ95,(PZ95-G95*(WY95+AAL95))/(1-G95*BZ95))),PZ95/(1-MAX(0,BZ95)*H_Exit)))</f>
        <v>0</v>
      </c>
      <c r="TN95" s="20" t="n">
        <f aca="false">IF(ALA94&lt;=0,0,IF(H_Direct=1,IF(CA95&lt;=0,QA95,IF(QA95&lt;=(WZ95+AAM95)/CA95,QA95,(QA95-G95*(WZ95+AAM95))/(1-G95*CA95))),QA95/(1-MAX(0,CA95)*H_Exit)))</f>
        <v>0</v>
      </c>
      <c r="TO95" s="20" t="n">
        <f aca="false">IF(ALB94&lt;=0,0,IF(H_Direct=1,IF(CB95&lt;=0,QB95,IF(QB95&lt;=(XA95+AAN95)/CB95,QB95,(QB95-G95*(XA95+AAN95))/(1-G95*CB95))),QB95/(1-MAX(0,CB95)*H_Exit)))</f>
        <v>0</v>
      </c>
      <c r="TP95" s="20" t="n">
        <f aca="false">IF(ALC94&lt;=0,0,IF(H_Direct=1,IF(CC95&lt;=0,QC95,IF(QC95&lt;=(XB95+AAO95)/CC95,QC95,(QC95-G95*(XB95+AAO95))/(1-G95*CC95))),QC95/(1-MAX(0,CC95)*H_Exit)))</f>
        <v>0</v>
      </c>
      <c r="TQ95" s="20" t="n">
        <f aca="false">IF(ALD94&lt;=0,0,IF(H_Direct=1,IF(CD95&lt;=0,QD95,IF(QD95&lt;=(XC95+AAP95)/CD95,QD95,(QD95-G95*(XC95+AAP95))/(1-G95*CD95))),QD95/(1-MAX(0,CD95)*H_Exit)))</f>
        <v>0</v>
      </c>
      <c r="TR95" s="20" t="n">
        <f aca="false">IF(ALE94&lt;=0,0,IF(H_Direct=1,IF(CE95&lt;=0,QE95,IF(QE95&lt;=(XD95+AAQ95)/CE95,QE95,(QE95-G95*(XD95+AAQ95))/(1-G95*CE95))),QE95/(1-MAX(0,CE95)*H_Exit)))</f>
        <v>0</v>
      </c>
      <c r="TS95" s="20" t="n">
        <f aca="false">IF(ALF94&lt;=0,0,IF(H_Direct=1,IF(CF95&lt;=0,QF95,IF(QF95&lt;=(XE95+AAR95)/CF95,QF95,(QF95-G95*(XE95+AAR95))/(1-G95*CF95))),QF95/(1-MAX(0,CF95)*H_Exit)))</f>
        <v>0</v>
      </c>
      <c r="TT95" s="20" t="n">
        <f aca="false">IF(ALG94&lt;=0,0,IF(H_Direct=1,IF(CG95&lt;=0,QG95,IF(QG95&lt;=(XF95+AAS95)/CG95,QG95,(QG95-G95*(XF95+AAS95))/(1-G95*CG95))),QG95/(1-MAX(0,CG95)*H_Exit)))</f>
        <v>0</v>
      </c>
      <c r="TU95" s="20" t="n">
        <f aca="false">IF(ALH94&lt;=0,0,IF(H_Direct=1,IF(CH95&lt;=0,QH95,IF(QH95&lt;=(XG95+AAT95)/CH95,QH95,(QH95-G95*(XG95+AAT95))/(1-G95*CH95))),QH95/(1-MAX(0,CH95)*H_Exit)))</f>
        <v>0</v>
      </c>
      <c r="TV95" s="20" t="n">
        <f aca="false">IF(ALI94&lt;=0,0,IF(H_Direct=1,IF(CI95&lt;=0,QI95,IF(QI95&lt;=(XH95+AAU95)/CI95,QI95,(QI95-G95*(XH95+AAU95))/(1-G95*CI95))),QI95/(1-MAX(0,CI95)*H_Exit)))</f>
        <v>0</v>
      </c>
      <c r="TW95" s="20" t="n">
        <f aca="false">IF(ALJ94&lt;=0,0,IF(H_Direct=1,IF(CJ95&lt;=0,QJ95,IF(QJ95&lt;=(XI95+AAV95)/CJ95,QJ95,(QJ95-G95*(XI95+AAV95))/(1-G95*CJ95))),QJ95/(1-MAX(0,CJ95)*H_Exit)))</f>
        <v>0</v>
      </c>
      <c r="TX95" s="20" t="n">
        <f aca="false">IF(ALK94&lt;=0,0,IF(H_Direct=1,IF(CK95&lt;=0,QK95,IF(QK95&lt;=(XJ95+AAW95)/CK95,QK95,(QK95-G95*(XJ95+AAW95))/(1-G95*CK95))),QK95/(1-MAX(0,CK95)*H_Exit)))</f>
        <v>0</v>
      </c>
      <c r="TY95" s="20" t="n">
        <f aca="false">IF(ALL94&lt;=0,0,IF(H_Direct=1,IF(CL95&lt;=0,QL95,IF(QL95&lt;=(XK95+AAX95)/CL95,QL95,(QL95-G95*(XK95+AAX95))/(1-G95*CL95))),QL95/(1-MAX(0,CL95)*H_Exit)))</f>
        <v>0</v>
      </c>
      <c r="TZ95" s="20" t="n">
        <f aca="false">IF(ALM94&lt;=0,0,IF(H_Direct=1,IF(CM95&lt;=0,QM95,IF(QM95&lt;=(XL95+AAY95)/CM95,QM95,(QM95-G95*(XL95+AAY95))/(1-G95*CM95))),QM95/(1-MAX(0,CM95)*H_Exit)))</f>
        <v>0</v>
      </c>
      <c r="UA95" s="20" t="n">
        <f aca="false">IF(ALN94&lt;=0,0,IF(H_Direct=1,IF(CN95&lt;=0,QN95,IF(QN95&lt;=(XM95+AAZ95)/CN95,QN95,(QN95-G95*(XM95+AAZ95))/(1-G95*CN95))),QN95/(1-MAX(0,CN95)*H_Exit)))</f>
        <v>0</v>
      </c>
      <c r="UB95" s="20" t="n">
        <f aca="false">IF(ALO94&lt;=0,0,IF(H_Direct=1,IF(CO95&lt;=0,QO95,IF(QO95&lt;=(XN95+ABA95)/CO95,QO95,(QO95-G95*(XN95+ABA95))/(1-G95*CO95))),QO95/(1-MAX(0,CO95)*H_Exit)))</f>
        <v>0</v>
      </c>
      <c r="UC95" s="20" t="n">
        <f aca="false">IF(ALP94&lt;=0,0,IF(H_Direct=1,IF(CP95&lt;=0,QP95,IF(QP95&lt;=(XO95+ABB95)/CP95,QP95,(QP95-G95*(XO95+ABB95))/(1-G95*CP95))),QP95/(1-MAX(0,CP95)*H_Exit)))</f>
        <v>0</v>
      </c>
      <c r="UD95" s="20" t="n">
        <f aca="false">IF(ALQ94&lt;=0,0,IF(H_Direct=1,IF(CQ95&lt;=0,QQ95,IF(QQ95&lt;=(XP95+ABC95)/CQ95,QQ95,(QQ95-G95*(XP95+ABC95))/(1-G95*CQ95))),QQ95/(1-MAX(0,CQ95)*H_Exit)))</f>
        <v>0</v>
      </c>
      <c r="UE95" s="20" t="n">
        <f aca="false">IF(ALR94&lt;=0,0,IF(H_Direct=1,IF(CR95&lt;=0,QR95,IF(QR95&lt;=(XQ95+ABD95)/CR95,QR95,(QR95-G95*(XQ95+ABD95))/(1-G95*CR95))),QR95/(1-MAX(0,CR95)*H_Exit)))</f>
        <v>0</v>
      </c>
      <c r="UF95" s="20" t="n">
        <f aca="false">IF(ALS94&lt;=0,0,IF(H_Direct=1,IF(CS95&lt;=0,QS95,IF(QS95&lt;=(XR95+ABE95)/CS95,QS95,(QS95-G95*(XR95+ABE95))/(1-G95*CS95))),QS95/(1-MAX(0,CS95)*H_Exit)))</f>
        <v>0</v>
      </c>
      <c r="UG95" s="20" t="n">
        <f aca="false">IF(ALT94&lt;=0,0,IF(H_Direct=1,IF(CT95&lt;=0,QT95,IF(QT95&lt;=(XS95+ABF95)/CT95,QT95,(QT95-G95*(XS95+ABF95))/(1-G95*CT95))),QT95/(1-MAX(0,CT95)*H_Exit)))</f>
        <v>0</v>
      </c>
      <c r="UH95" s="20" t="n">
        <f aca="false">IF(ALU94&lt;=0,0,IF(H_Direct=1,IF(CU95&lt;=0,QU95,IF(QU95&lt;=(XT95+ABG95)/CU95,QU95,(QU95-G95*(XT95+ABG95))/(1-G95*CU95))),QU95/(1-MAX(0,CU95)*H_Exit)))</f>
        <v>0</v>
      </c>
      <c r="UI95" s="20" t="n">
        <f aca="false">IF(ALV94&lt;=0,0,IF(H_Direct=1,IF(CV95&lt;=0,QV95,IF(QV95&lt;=(XU95+ABH95)/CV95,QV95,(QV95-G95*(XU95+ABH95))/(1-G95*CV95))),QV95/(1-MAX(0,CV95)*H_Exit)))</f>
        <v>0</v>
      </c>
      <c r="UJ95" s="20" t="n">
        <f aca="false">IF(ALW94&lt;=0,0,IF(H_Direct=1,IF(CW95&lt;=0,QW95,IF(QW95&lt;=(XV95+ABI95)/CW95,QW95,(QW95-G95*(XV95+ABI95))/(1-G95*CW95))),QW95/(1-MAX(0,CW95)*H_Exit)))</f>
        <v>0</v>
      </c>
      <c r="UK95" s="20" t="n">
        <f aca="false">IF(ALX94&lt;=0,0,IF(H_Direct=1,IF(CX95&lt;=0,QX95,IF(QX95&lt;=(XW95+ABJ95)/CX95,QX95,(QX95-G95*(XW95+ABJ95))/(1-G95*CX95))),QX95/(1-MAX(0,CX95)*H_Exit)))</f>
        <v>0</v>
      </c>
      <c r="UL95" s="20" t="n">
        <f aca="false">IF(ALY94&lt;=0,0,IF(H_Direct=1,IF(CY95&lt;=0,QY95,IF(QY95&lt;=(XX95+ABK95)/CY95,QY95,(QY95-G95*(XX95+ABK95))/(1-G95*CY95))),QY95/(1-MAX(0,CY95)*H_Exit)))</f>
        <v>0</v>
      </c>
      <c r="UM95" s="20" t="n">
        <f aca="false">IF(ALZ94&lt;=0,0,IF(H_Direct=1,IF(CZ95&lt;=0,QZ95,IF(QZ95&lt;=(XY95+ABL95)/CZ95,QZ95,(QZ95-G95*(XY95+ABL95))/(1-G95*CZ95))),QZ95/(1-MAX(0,CZ95)*H_Exit)))</f>
        <v>0</v>
      </c>
      <c r="UN95" s="20" t="n">
        <f aca="false">IF(AMA94&lt;=0,0,IF(H_Direct=1,IF(DA95&lt;=0,RA95,IF(RA95&lt;=(XZ95+ABM95)/DA95,RA95,(RA95-G95*(XZ95+ABM95))/(1-G95*DA95))),RA95/(1-MAX(0,DA95)*H_Exit)))</f>
        <v>0</v>
      </c>
      <c r="UO95" s="20" t="n">
        <f aca="false">IF(AMB94&lt;=0,0,IF(H_Direct=1,IF(DB95&lt;=0,RB95,IF(RB95&lt;=(YA95+ABN95)/DB95,RB95,(RB95-G95*(YA95+ABN95))/(1-G95*DB95))),RB95/(1-MAX(0,DB95)*H_Exit)))</f>
        <v>0</v>
      </c>
      <c r="UP95" s="20" t="n">
        <f aca="false">IF(AMC94&lt;=0,0,IF(H_Direct=1,IF(DC95&lt;=0,RC95,IF(RC95&lt;=(YB95+ABO95)/DC95,RC95,(RC95-G95*(YB95+ABO95))/(1-G95*DC95))),RC95/(1-MAX(0,DC95)*H_Exit)))</f>
        <v>0</v>
      </c>
      <c r="UQ95" s="20" t="n">
        <f aca="false">IF(AMD94&lt;=0,0,IF(H_Direct=1,IF(DD95&lt;=0,RD95,IF(RD95&lt;=(YC95+ABP95)/DD95,RD95,(RD95-G95*(YC95+ABP95))/(1-G95*DD95))),RD95/(1-MAX(0,DD95)*H_Exit)))</f>
        <v>0</v>
      </c>
      <c r="UR95" s="20" t="n">
        <f aca="false">IF(AME94&lt;=0,0,IF(H_Direct=1,IF(DE95&lt;=0,RE95,IF(RE95&lt;=(YD95+ABQ95)/DE95,RE95,(RE95-G95*(YD95+ABQ95))/(1-G95*DE95))),RE95/(1-MAX(0,DE95)*H_Exit)))</f>
        <v>0</v>
      </c>
      <c r="US95" s="20" t="n">
        <f aca="false">IF(AMF94&lt;=0,0,IF(H_Direct=1,IF(DF95&lt;=0,RF95,IF(RF95&lt;=(YE95+ABR95)/DF95,RF95,(RF95-G95*(YE95+ABR95))/(1-G95*DF95))),RF95/(1-MAX(0,DF95)*H_Exit)))</f>
        <v>0</v>
      </c>
      <c r="UT95" s="20" t="n">
        <f aca="false">IF(AMG94&lt;=0,0,IF(H_Direct=1,IF(DG95&lt;=0,RG95,IF(RG95&lt;=(YF95+ABS95)/DG95,RG95,(RG95-G95*(YF95+ABS95))/(1-G95*DG95))),RG95/(1-MAX(0,DG95)*H_Exit)))</f>
        <v>0</v>
      </c>
      <c r="UU95" s="20" t="n">
        <f aca="false">IF(AMH94&lt;=0,0,IF(H_Direct=1,IF(DH95&lt;=0,RH95,IF(RH95&lt;=(YG95+ABT95)/DH95,RH95,(RH95-G95*(YG95+ABT95))/(1-G95*DH95))),RH95/(1-MAX(0,DH95)*H_Exit)))</f>
        <v>0</v>
      </c>
      <c r="UV95" s="20" t="n">
        <f aca="false">IF(AMI94&lt;=0,0,IF(H_Direct=1,IF(DI95&lt;=0,RI95,IF(RI95&lt;=(YH95+ABU95)/DI95,RI95,(RI95-G95*(YH95+ABU95))/(1-G95*DI95))),RI95/(1-MAX(0,DI95)*H_Exit)))</f>
        <v>0</v>
      </c>
      <c r="UW95" s="20" t="n">
        <f aca="false">IF(AMJ94&lt;=0,0,IF(H_Direct=1,IF(DJ95&lt;=0,RJ95,IF(RJ95&lt;=(YI95+ABV95)/DJ95,RJ95,(RJ95-G95*(YI95+ABV95))/(1-G95*DJ95))),RJ95/(1-MAX(0,DJ95)*H_Exit)))</f>
        <v>0</v>
      </c>
      <c r="UX95" s="20" t="n">
        <f aca="false">IF(AMK94&lt;=0,0,IF(H_Direct=1,IF(DK95&lt;=0,RK95,IF(RK95&lt;=(YJ95+ABW95)/DK95,RK95,(RK95-G95*(YJ95+ABW95))/(1-G95*DK95))),RK95/(1-MAX(0,DK95)*H_Exit)))</f>
        <v>0</v>
      </c>
      <c r="UY95" s="20" t="n">
        <f aca="false">IF(AML94&lt;=0,0,IF(H_Direct=1,IF(DL95&lt;=0,RL95,IF(RL95&lt;=(YK95+ABX95)/DL95,RL95,(RL95-G95*(YK95+ABX95))/(1-G95*DL95))),RL95/(1-MAX(0,DL95)*H_Exit)))</f>
        <v>0</v>
      </c>
      <c r="UZ95" s="20" t="n">
        <f aca="false">IF(AMM94&lt;=0,0,IF(H_Direct=1,IF(DM95&lt;=0,RM95,IF(RM95&lt;=(YL95+ABY95)/DM95,RM95,(RM95-G95*(YL95+ABY95))/(1-G95*DM95))),RM95/(1-MAX(0,DM95)*H_Exit)))</f>
        <v>0</v>
      </c>
      <c r="VA95" s="20" t="n">
        <f aca="false">IF(AMN94&lt;=0,0,IF(H_Direct=1,IF(DN95&lt;=0,RN95,IF(RN95&lt;=(YM95+ABZ95)/DN95,RN95,(RN95-G95*(YM95+ABZ95))/(1-G95*DN95))),RN95/(1-MAX(0,DN95)*H_Exit)))</f>
        <v>0</v>
      </c>
      <c r="VB95" s="20" t="n">
        <f aca="false">IF(AMO94&lt;=0,0,IF(H_Direct=1,IF(DO95&lt;=0,RO95,IF(RO95&lt;=(YN95+ACA95)/DO95,RO95,(RO95-G95*(YN95+ACA95))/(1-G95*DO95))),RO95/(1-MAX(0,DO95)*H_Exit)))</f>
        <v>0</v>
      </c>
      <c r="VC95" s="20" t="n">
        <f aca="false">IF(AMP94&lt;=0,0,IF(H_Direct=1,IF(DP95&lt;=0,RP95,IF(RP95&lt;=(YO95+ACB95)/DP95,RP95,(RP95-G95*(YO95+ACB95))/(1-G95*DP95))),RP95/(1-MAX(0,DP95)*H_Exit)))</f>
        <v>0</v>
      </c>
      <c r="VD95" s="20" t="n">
        <f aca="false">IF(AMQ94&lt;=0,0,IF(H_Direct=1,IF(DQ95&lt;=0,RQ95,IF(RQ95&lt;=(YP95+ACC95)/DQ95,RQ95,(RQ95-G95*(YP95+ACC95))/(1-G95*DQ95))),RQ95/(1-MAX(0,DQ95)*H_Exit)))</f>
        <v>0</v>
      </c>
      <c r="VE95" s="20" t="n">
        <f aca="false">IF(AMR94&lt;=0,0,IF(H_Direct=1,IF(DR95&lt;=0,RR95,IF(RR95&lt;=(YQ95+ACD95)/DR95,RR95,(RR95-G95*(YQ95+ACD95))/(1-G95*DR95))),RR95/(1-MAX(0,DR95)*H_Exit)))</f>
        <v>0</v>
      </c>
      <c r="VF95" s="20" t="n">
        <f aca="false">IF(AMS94&lt;=0,0,IF(H_Direct=1,IF(DS95&lt;=0,RS95,IF(RS95&lt;=(YR95+ACE95)/DS95,RS95,(RS95-G95*(YR95+ACE95))/(1-G95*DS95))),RS95/(1-MAX(0,DS95)*H_Exit)))</f>
        <v>0</v>
      </c>
      <c r="VG95" s="20" t="n">
        <f aca="false">IF(AMT94&lt;=0,0,IF(H_Direct=1,IF(DT95&lt;=0,RT95,IF(RT95&lt;=(YS95+ACF95)/DT95,RT95,(RT95-G95*(YS95+ACF95))/(1-G95*DT95))),RT95/(1-MAX(0,DT95)*H_Exit)))</f>
        <v>0</v>
      </c>
      <c r="VH95" s="20" t="n">
        <f aca="false">IF(AMU94&lt;=0,0,IF(H_Direct=1,IF(DU95&lt;=0,RU95,IF(RU95&lt;=(YT95+ACG95)/DU95,RU95,(RU95-G95*(YT95+ACG95))/(1-G95*DU95))),RU95/(1-MAX(0,DU95)*H_Exit)))</f>
        <v>0</v>
      </c>
      <c r="VI95" s="20" t="n">
        <f aca="false">IF(AMV94&lt;=0,0,IF(H_Direct=1,IF(DV95&lt;=0,RV95,IF(RV95&lt;=(YU95+ACH95)/DV95,RV95,(RV95-G95*(YU95+ACH95))/(1-G95*DV95))),RV95/(1-MAX(0,DV95)*H_Exit)))</f>
        <v>0</v>
      </c>
      <c r="VJ95" s="20" t="n">
        <f aca="false">IF(AMW94&lt;=0,0,IF(H_Direct=1,IF(DW95&lt;=0,RW95,IF(RW95&lt;=(YV95+ACI95)/DW95,RW95,(RW95-G95*(YV95+ACI95))/(1-G95*DW95))),RW95/(1-MAX(0,DW95)*H_Exit)))</f>
        <v>0</v>
      </c>
      <c r="VK95" s="20" t="n">
        <f aca="false">IF(AMX94&lt;=0,0,IF(H_Direct=1,IF(DX95&lt;=0,RX95,IF(RX95&lt;=(YW95+ACJ95)/DX95,RX95,(RX95-G95*(YW95+ACJ95))/(1-G95*DX95))),RX95/(1-MAX(0,DX95)*H_Exit)))</f>
        <v>0</v>
      </c>
      <c r="VL95" s="20" t="n">
        <f aca="false">IF(AMY94&lt;=0,0,IF(H_Direct=1,IF(DY95&lt;=0,RY95,IF(RY95&lt;=(YX95+ACK95)/DY95,RY95,(RY95-G95*(YX95+ACK95))/(1-G95*DY95))),RY95/(1-MAX(0,DY95)*H_Exit)))</f>
        <v>0</v>
      </c>
      <c r="VM95" s="20" t="n">
        <f aca="false">IF(AMZ94&lt;=0,0,IF(H_Direct=1,IF(DZ95&lt;=0,RZ95,IF(RZ95&lt;=(YY95+ACL95)/DZ95,RZ95,(RZ95-G95*(YY95+ACL95))/(1-G95*DZ95))),RZ95/(1-MAX(0,DZ95)*H_Exit)))</f>
        <v>0</v>
      </c>
      <c r="VN95" s="20" t="n">
        <f aca="false">IF(ANA94&lt;=0,0,IF(H_Direct=1,IF(EA95&lt;=0,SA95,IF(SA95&lt;=(YZ95+ACM95)/EA95,SA95,(SA95-G95*(YZ95+ACM95))/(1-G95*EA95))),SA95/(1-MAX(0,EA95)*H_Exit)))</f>
        <v>0</v>
      </c>
      <c r="VO95" s="20" t="n">
        <f aca="false">IF(ANB94&lt;=0,0,IF(H_Direct=1,IF(EB95&lt;=0,SB95,IF(SB95&lt;=(ZA95+ACN95)/EB95,SB95,(SB95-G95*(ZA95+ACN95))/(1-G95*EB95))),SB95/(1-MAX(0,EB95)*H_Exit)))</f>
        <v>0</v>
      </c>
      <c r="VP95" s="20" t="n">
        <f aca="false">IF(ANC94&lt;=0,0,IF(H_Direct=1,IF(EC95&lt;=0,SC95,IF(SC95&lt;=(ZB95+ACO95)/EC95,SC95,(SC95-G95*(ZB95+ACO95))/(1-G95*EC95))),SC95/(1-MAX(0,EC95)*H_Exit)))</f>
        <v>0</v>
      </c>
      <c r="VQ95" s="20" t="n">
        <f aca="false">IF(AND94&lt;=0,0,IF(H_Direct=1,IF(ED95&lt;=0,SD95,IF(SD95&lt;=(ZC95+ACP95)/ED95,SD95,(SD95-G95*(ZC95+ACP95))/(1-G95*ED95))),SD95/(1-MAX(0,ED95)*H_Exit)))</f>
        <v>0</v>
      </c>
      <c r="VR95" s="20" t="n">
        <f aca="false">IF(ANE94&lt;=0,0,IF(H_Direct=1,IF(EE95&lt;=0,SE95,IF(SE95&lt;=(ZD95+ACQ95)/EE95,SE95,(SE95-G95*(ZD95+ACQ95))/(1-G95*EE95))),SE95/(1-MAX(0,EE95)*H_Exit)))</f>
        <v>0</v>
      </c>
      <c r="VS95" s="20" t="n">
        <f aca="false">IF(ANF94&lt;=0,0,IF(H_Direct=1,IF(EF95&lt;=0,SF95,IF(SF95&lt;=(ZE95+ACR95)/EF95,SF95,(SF95-G95*(ZE95+ACR95))/(1-G95*EF95))),SF95/(1-MAX(0,EF95)*H_Exit)))</f>
        <v>0</v>
      </c>
      <c r="VT95" s="20" t="n">
        <f aca="false">IF(ANG94&lt;=0,0,IF(H_Direct=1,IF(EG95&lt;=0,SG95,IF(SG95&lt;=(ZF95+ACS95)/EG95,SG95,(SG95-G95*(ZF95+ACS95))/(1-G95*EG95))),SG95/(1-MAX(0,EG95)*H_Exit)))</f>
        <v>0</v>
      </c>
      <c r="VU95" s="20" t="n">
        <f aca="false">IF(ANH94&lt;=0,0,IF(H_Direct=1,IF(EH95&lt;=0,SH95,IF(SH95&lt;=(ZG95+ACT95)/EH95,SH95,(SH95-G95*(ZG95+ACT95))/(1-G95*EH95))),SH95/(1-MAX(0,EH95)*H_Exit)))</f>
        <v>0</v>
      </c>
      <c r="VV95" s="20" t="n">
        <f aca="false">IF(ANI94&lt;=0,0,IF(H_Direct=1,IF(EI95&lt;=0,SI95,IF(SI95&lt;=(ZH95+ACU95)/EI95,SI95,(SI95-G95*(ZH95+ACU95))/(1-G95*EI95))),SI95/(1-MAX(0,EI95)*H_Exit)))</f>
        <v>0</v>
      </c>
      <c r="VW95" s="20" t="n">
        <f aca="false">IF(ANJ94&lt;=0,0,IF(H_Direct=1,IF(EJ95&lt;=0,SJ95,IF(SJ95&lt;=(ZI95+ACV95)/EJ95,SJ95,(SJ95-G95*(ZI95+ACV95))/(1-G95*EJ95))),SJ95/(1-MAX(0,EJ95)*H_Exit)))</f>
        <v>0</v>
      </c>
      <c r="VX95" s="20" t="n">
        <f aca="false">IF(ANK94&lt;=0,0,IF(H_Direct=1,IF(EK95&lt;=0,SK95,IF(SK95&lt;=(ZJ95+ACW95)/EK95,SK95,(SK95-G95*(ZJ95+ACW95))/(1-G95*EK95))),SK95/(1-MAX(0,EK95)*H_Exit)))</f>
        <v>0</v>
      </c>
      <c r="VY95" s="20" t="n">
        <f aca="false">IF(ANL94&lt;=0,0,IF(H_Direct=1,IF(EL95&lt;=0,SL95,IF(SL95&lt;=(ZK95+ACX95)/EL95,SL95,(SL95-G95*(ZK95+ACX95))/(1-G95*EL95))),SL95/(1-MAX(0,EL95)*H_Exit)))</f>
        <v>0</v>
      </c>
      <c r="VZ95" s="20" t="n">
        <f aca="false">IF(ANM94&lt;=0,0,IF(H_Direct=1,IF(EM95&lt;=0,SM95,IF(SM95&lt;=(ZL95+ACY95)/EM95,SM95,(SM95-G95*(ZL95+ACY95))/(1-G95*EM95))),SM95/(1-MAX(0,EM95)*H_Exit)))</f>
        <v>0</v>
      </c>
      <c r="WA95" s="20" t="n">
        <f aca="false">IF(ANN94&lt;=0,0,IF(H_Direct=1,IF(EN95&lt;=0,SN95,IF(SN95&lt;=(ZM95+ACZ95)/EN95,SN95,(SN95-G95*(ZM95+ACZ95))/(1-G95*EN95))),SN95/(1-MAX(0,EN95)*H_Exit)))</f>
        <v>0</v>
      </c>
      <c r="WB95" s="20" t="n">
        <f aca="false">IF(ANO94&lt;=0,0,IF(H_Direct=1,IF(EO95&lt;=0,SO95,IF(SO95&lt;=(ZN95+ADA95)/EO95,SO95,(SO95-G95*(ZN95+ADA95))/(1-G95*EO95))),SO95/(1-MAX(0,EO95)*H_Exit)))</f>
        <v>0</v>
      </c>
      <c r="WC95" s="20" t="n">
        <f aca="false">IF(ANP94&lt;=0,0,IF(H_Direct=1,IF(EP95&lt;=0,SP95,IF(SP95&lt;=(ZO95+ADB95)/EP95,SP95,(SP95-G95*(ZO95+ADB95))/(1-G95*EP95))),SP95/(1-MAX(0,EP95)*H_Exit)))</f>
        <v>0</v>
      </c>
      <c r="WD95" s="20" t="n">
        <f aca="false">IF(ANQ94&lt;=0,0,IF(H_Direct=1,IF(EQ95&lt;=0,SQ95,IF(SQ95&lt;=(ZP95+ADC95)/EQ95,SQ95,(SQ95-G95*(ZP95+ADC95))/(1-G95*EQ95))),SQ95/(1-MAX(0,EQ95)*H_Exit)))</f>
        <v>0</v>
      </c>
      <c r="WE95" s="20" t="n">
        <f aca="false">IF(ANR94&lt;=0,0,IF(H_Direct=1,IF(ER95&lt;=0,SR95,IF(SR95&lt;=(ZQ95+ADD95)/ER95,SR95,(SR95-G95*(ZQ95+ADD95))/(1-G95*ER95))),SR95/(1-MAX(0,ER95)*H_Exit)))</f>
        <v>0</v>
      </c>
      <c r="WF95" s="20" t="n">
        <f aca="false">IF(ANS94&lt;=0,0,IF(H_Direct=1,IF(ES95&lt;=0,SS95,IF(SS95&lt;=(ZR95+ADE95)/ES95,SS95,(SS95-G95*(ZR95+ADE95))/(1-G95*ES95))),SS95/(1-MAX(0,ES95)*H_Exit)))</f>
        <v>0</v>
      </c>
      <c r="WG95" s="20" t="n">
        <f aca="false">IF(ANT94&lt;=0,0,IF(H_Direct=1,IF(ET95&lt;=0,ST95,IF(ST95&lt;=(ZS95+ADF95)/ET95,ST95,(ST95-G95*(ZS95+ADF95))/(1-G95*ET95))),ST95/(1-MAX(0,ET95)*H_Exit)))</f>
        <v>0</v>
      </c>
      <c r="WH95" s="20" t="n">
        <f aca="false">IF(ANU94&lt;=0,0,IF(H_Direct=1,IF(EU95&lt;=0,SU95,IF(SU95&lt;=(ZT95+ADG95)/EU95,SU95,(SU95-G95*(ZT95+ADG95))/(1-G95*EU95))),SU95/(1-MAX(0,EU95)*H_Exit)))</f>
        <v>0</v>
      </c>
      <c r="WI95" s="20" t="n">
        <f aca="false">IF(ANV94&lt;=0,0,IF(H_Direct=1,IF(EV95&lt;=0,SV95,IF(SV95&lt;=(ZU95+ADH95)/EV95,SV95,(SV95-G95*(ZU95+ADH95))/(1-G95*EV95))),SV95/(1-MAX(0,EV95)*H_Exit)))</f>
        <v>0</v>
      </c>
      <c r="WJ95" s="20" t="n">
        <f aca="false">IF(ANW94&lt;=0,0,IF(H_Direct=1,IF(EW95&lt;=0,SW95,IF(SW95&lt;=(ZV95+ADI95)/EW95,SW95,(SW95-G95*(ZV95+ADI95))/(1-G95*EW95))),SW95/(1-MAX(0,EW95)*H_Exit)))</f>
        <v>0</v>
      </c>
      <c r="WK95" s="20" t="n">
        <f aca="false">IF(ANX94&lt;=0,0,IF(H_Direct=1,IF(EX95&lt;=0,SX95,IF(SX95&lt;=(ZW95+ADJ95)/EX95,SX95,(SX95-G95*(ZW95+ADJ95))/(1-G95*EX95))),SX95/(1-MAX(0,EX95)*H_Exit)))</f>
        <v>0</v>
      </c>
      <c r="WL95" s="20" t="n">
        <f aca="false">IF(ANY94&lt;=0,0,IF(H_Direct=1,IF(EY95&lt;=0,SY95,IF(SY95&lt;=(ZX95+ADK95)/EY95,SY95,(SY95-G95*(ZX95+ADK95))/(1-G95*EY95))),SY95/(1-MAX(0,EY95)*H_Exit)))</f>
        <v>0</v>
      </c>
      <c r="WM95" s="20" t="n">
        <f aca="false">IF(ANZ94&lt;=0,0,IF(H_Direct=1,IF(EZ95&lt;=0,SZ95,IF(SZ95&lt;=(ZY95+ADL95)/EZ95,SZ95,(SZ95-G95*(ZY95+ADL95))/(1-G95*EZ95))),SZ95/(1-MAX(0,EZ95)*H_Exit)))</f>
        <v>0</v>
      </c>
      <c r="WN95" s="20" t="n">
        <f aca="false">IF(AOA94&lt;=0,0,IF(H_Direct=1,IF(FA95&lt;=0,TA95,IF(TA95&lt;=(ZZ95+ADM95)/FA95,TA95,(TA95-G95*(ZZ95+ADM95))/(1-G95*FA95))),TA95/(1-MAX(0,FA95)*H_Exit)))</f>
        <v>0</v>
      </c>
      <c r="WO95" s="20" t="n">
        <f aca="false">IF((P95+S95)&lt;=0,0,IF(H_Direct=1,IF(FB95&lt;=0,TB95,IF(TB95&lt;=(AAA95+ADN95)/FB95,TB95,(TB95-G95*(AAA95+ADN95))/(1-G95*FB95))),TB95/(1-MAX(0,FB95)*H_Exit)))</f>
        <v>0</v>
      </c>
      <c r="WP95" s="20" t="n">
        <v>0</v>
      </c>
      <c r="WQ95" s="20" t="n">
        <v>0</v>
      </c>
      <c r="WR95" s="20" t="n">
        <f aca="false">IF(AND(H_Direct=1,BR95&gt;0),MAX(0,H95-(MIN(BR95*TE95,(H95+I95))-MIN(MIN(BR95*TE95,(H95+I95)),I95))),H95)</f>
        <v>1270</v>
      </c>
      <c r="WS95" s="20" t="n">
        <f aca="false">IF(AND(H_Direct=1,BS95&gt;0),MAX(0,WR95-(MIN(BS95*TF95,(WR95+AAE95))-MIN(MIN(BS95*TF95,(WR95+AAE95)),AAE95))),WR95)</f>
        <v>1270</v>
      </c>
      <c r="WT95" s="20" t="n">
        <f aca="false">IF(AND(H_Direct=1,BT95&gt;0),MAX(0,WS95-(MIN(BT95*TG95,(WS95+AAF95))-MIN(MIN(BT95*TG95,(WS95+AAF95)),AAF95))),WS95)</f>
        <v>1270</v>
      </c>
      <c r="WU95" s="20" t="n">
        <f aca="false">IF(AND(H_Direct=1,BU95&gt;0),MAX(0,WT95-(MIN(BU95*TH95,(WT95+AAG95))-MIN(MIN(BU95*TH95,(WT95+AAG95)),AAG95))),WT95)</f>
        <v>1270</v>
      </c>
      <c r="WV95" s="20" t="n">
        <f aca="false">IF(AND(H_Direct=1,BV95&gt;0),MAX(0,WU95-(MIN(BV95*TI95,(WU95+AAH95))-MIN(MIN(BV95*TI95,(WU95+AAH95)),AAH95))),WU95)</f>
        <v>1270</v>
      </c>
      <c r="WW95" s="20" t="n">
        <f aca="false">IF(AND(H_Direct=1,BW95&gt;0),MAX(0,WV95-(MIN(BW95*TJ95,(WV95+AAI95))-MIN(MIN(BW95*TJ95,(WV95+AAI95)),AAI95))),WV95)</f>
        <v>1270</v>
      </c>
      <c r="WX95" s="20" t="n">
        <f aca="false">IF(AND(H_Direct=1,BX95&gt;0),MAX(0,WW95-(MIN(BX95*TK95,(WW95+AAJ95))-MIN(MIN(BX95*TK95,(WW95+AAJ95)),AAJ95))),WW95)</f>
        <v>1270</v>
      </c>
      <c r="WY95" s="20" t="n">
        <f aca="false">IF(AND(H_Direct=1,BY95&gt;0),MAX(0,WX95-(MIN(BY95*TL95,(WX95+AAK95))-MIN(MIN(BY95*TL95,(WX95+AAK95)),AAK95))),WX95)</f>
        <v>1270</v>
      </c>
      <c r="WZ95" s="20" t="n">
        <f aca="false">IF(AND(H_Direct=1,BZ95&gt;0),MAX(0,WY95-(MIN(BZ95*TM95,(WY95+AAL95))-MIN(MIN(BZ95*TM95,(WY95+AAL95)),AAL95))),WY95)</f>
        <v>1270</v>
      </c>
      <c r="XA95" s="20" t="n">
        <f aca="false">IF(AND(H_Direct=1,CA95&gt;0),MAX(0,WZ95-(MIN(CA95*TN95,(WZ95+AAM95))-MIN(MIN(CA95*TN95,(WZ95+AAM95)),AAM95))),WZ95)</f>
        <v>1270</v>
      </c>
      <c r="XB95" s="20" t="n">
        <f aca="false">IF(AND(H_Direct=1,CB95&gt;0),MAX(0,XA95-(MIN(CB95*TO95,(XA95+AAN95))-MIN(MIN(CB95*TO95,(XA95+AAN95)),AAN95))),XA95)</f>
        <v>1270</v>
      </c>
      <c r="XC95" s="20" t="n">
        <f aca="false">IF(AND(H_Direct=1,CC95&gt;0),MAX(0,XB95-(MIN(CC95*TP95,(XB95+AAO95))-MIN(MIN(CC95*TP95,(XB95+AAO95)),AAO95))),XB95)</f>
        <v>1270</v>
      </c>
      <c r="XD95" s="20" t="n">
        <f aca="false">IF(AND(H_Direct=1,CD95&gt;0),MAX(0,XC95-(MIN(CD95*TQ95,(XC95+AAP95))-MIN(MIN(CD95*TQ95,(XC95+AAP95)),AAP95))),XC95)</f>
        <v>1270</v>
      </c>
      <c r="XE95" s="20" t="n">
        <f aca="false">IF(AND(H_Direct=1,CE95&gt;0),MAX(0,XD95-(MIN(CE95*TR95,(XD95+AAQ95))-MIN(MIN(CE95*TR95,(XD95+AAQ95)),AAQ95))),XD95)</f>
        <v>1270</v>
      </c>
      <c r="XF95" s="20" t="n">
        <f aca="false">IF(AND(H_Direct=1,CF95&gt;0),MAX(0,XE95-(MIN(CF95*TS95,(XE95+AAR95))-MIN(MIN(CF95*TS95,(XE95+AAR95)),AAR95))),XE95)</f>
        <v>1270</v>
      </c>
      <c r="XG95" s="20" t="n">
        <f aca="false">IF(AND(H_Direct=1,CG95&gt;0),MAX(0,XF95-(MIN(CG95*TT95,(XF95+AAS95))-MIN(MIN(CG95*TT95,(XF95+AAS95)),AAS95))),XF95)</f>
        <v>1270</v>
      </c>
      <c r="XH95" s="20" t="n">
        <f aca="false">IF(AND(H_Direct=1,CH95&gt;0),MAX(0,XG95-(MIN(CH95*TU95,(XG95+AAT95))-MIN(MIN(CH95*TU95,(XG95+AAT95)),AAT95))),XG95)</f>
        <v>1270</v>
      </c>
      <c r="XI95" s="20" t="n">
        <f aca="false">IF(AND(H_Direct=1,CI95&gt;0),MAX(0,XH95-(MIN(CI95*TV95,(XH95+AAU95))-MIN(MIN(CI95*TV95,(XH95+AAU95)),AAU95))),XH95)</f>
        <v>1270</v>
      </c>
      <c r="XJ95" s="20" t="n">
        <f aca="false">IF(AND(H_Direct=1,CJ95&gt;0),MAX(0,XI95-(MIN(CJ95*TW95,(XI95+AAV95))-MIN(MIN(CJ95*TW95,(XI95+AAV95)),AAV95))),XI95)</f>
        <v>1270</v>
      </c>
      <c r="XK95" s="20" t="n">
        <f aca="false">IF(AND(H_Direct=1,CK95&gt;0),MAX(0,XJ95-(MIN(CK95*TX95,(XJ95+AAW95))-MIN(MIN(CK95*TX95,(XJ95+AAW95)),AAW95))),XJ95)</f>
        <v>1270</v>
      </c>
      <c r="XL95" s="20" t="n">
        <f aca="false">IF(AND(H_Direct=1,CL95&gt;0),MAX(0,XK95-(MIN(CL95*TY95,(XK95+AAX95))-MIN(MIN(CL95*TY95,(XK95+AAX95)),AAX95))),XK95)</f>
        <v>1270</v>
      </c>
      <c r="XM95" s="20" t="n">
        <f aca="false">IF(AND(H_Direct=1,CM95&gt;0),MAX(0,XL95-(MIN(CM95*TZ95,(XL95+AAY95))-MIN(MIN(CM95*TZ95,(XL95+AAY95)),AAY95))),XL95)</f>
        <v>1270</v>
      </c>
      <c r="XN95" s="20" t="n">
        <f aca="false">IF(AND(H_Direct=1,CN95&gt;0),MAX(0,XM95-(MIN(CN95*UA95,(XM95+AAZ95))-MIN(MIN(CN95*UA95,(XM95+AAZ95)),AAZ95))),XM95)</f>
        <v>1270</v>
      </c>
      <c r="XO95" s="20" t="n">
        <f aca="false">IF(AND(H_Direct=1,CO95&gt;0),MAX(0,XN95-(MIN(CO95*UB95,(XN95+ABA95))-MIN(MIN(CO95*UB95,(XN95+ABA95)),ABA95))),XN95)</f>
        <v>1270</v>
      </c>
      <c r="XP95" s="20" t="n">
        <f aca="false">IF(AND(H_Direct=1,CP95&gt;0),MAX(0,XO95-(MIN(CP95*UC95,(XO95+ABB95))-MIN(MIN(CP95*UC95,(XO95+ABB95)),ABB95))),XO95)</f>
        <v>1270</v>
      </c>
      <c r="XQ95" s="20" t="n">
        <f aca="false">IF(AND(H_Direct=1,CQ95&gt;0),MAX(0,XP95-(MIN(CQ95*UD95,(XP95+ABC95))-MIN(MIN(CQ95*UD95,(XP95+ABC95)),ABC95))),XP95)</f>
        <v>1270</v>
      </c>
      <c r="XR95" s="20" t="n">
        <f aca="false">IF(AND(H_Direct=1,CR95&gt;0),MAX(0,XQ95-(MIN(CR95*UE95,(XQ95+ABD95))-MIN(MIN(CR95*UE95,(XQ95+ABD95)),ABD95))),XQ95)</f>
        <v>1270</v>
      </c>
      <c r="XS95" s="20" t="n">
        <f aca="false">IF(AND(H_Direct=1,CS95&gt;0),MAX(0,XR95-(MIN(CS95*UF95,(XR95+ABE95))-MIN(MIN(CS95*UF95,(XR95+ABE95)),ABE95))),XR95)</f>
        <v>1270</v>
      </c>
      <c r="XT95" s="20" t="n">
        <f aca="false">IF(AND(H_Direct=1,CT95&gt;0),MAX(0,XS95-(MIN(CT95*UG95,(XS95+ABF95))-MIN(MIN(CT95*UG95,(XS95+ABF95)),ABF95))),XS95)</f>
        <v>1270</v>
      </c>
      <c r="XU95" s="20" t="n">
        <f aca="false">IF(AND(H_Direct=1,CU95&gt;0),MAX(0,XT95-(MIN(CU95*UH95,(XT95+ABG95))-MIN(MIN(CU95*UH95,(XT95+ABG95)),ABG95))),XT95)</f>
        <v>1270</v>
      </c>
      <c r="XV95" s="20" t="n">
        <f aca="false">IF(AND(H_Direct=1,CV95&gt;0),MAX(0,XU95-(MIN(CV95*UI95,(XU95+ABH95))-MIN(MIN(CV95*UI95,(XU95+ABH95)),ABH95))),XU95)</f>
        <v>1270</v>
      </c>
      <c r="XW95" s="20" t="n">
        <f aca="false">IF(AND(H_Direct=1,CW95&gt;0),MAX(0,XV95-(MIN(CW95*UJ95,(XV95+ABI95))-MIN(MIN(CW95*UJ95,(XV95+ABI95)),ABI95))),XV95)</f>
        <v>1270</v>
      </c>
      <c r="XX95" s="20" t="n">
        <f aca="false">IF(AND(H_Direct=1,CX95&gt;0),MAX(0,XW95-(MIN(CX95*UK95,(XW95+ABJ95))-MIN(MIN(CX95*UK95,(XW95+ABJ95)),ABJ95))),XW95)</f>
        <v>1270</v>
      </c>
      <c r="XY95" s="20" t="n">
        <f aca="false">IF(AND(H_Direct=1,CY95&gt;0),MAX(0,XX95-(MIN(CY95*UL95,(XX95+ABK95))-MIN(MIN(CY95*UL95,(XX95+ABK95)),ABK95))),XX95)</f>
        <v>1270</v>
      </c>
      <c r="XZ95" s="20" t="n">
        <f aca="false">IF(AND(H_Direct=1,CZ95&gt;0),MAX(0,XY95-(MIN(CZ95*UM95,(XY95+ABL95))-MIN(MIN(CZ95*UM95,(XY95+ABL95)),ABL95))),XY95)</f>
        <v>1270</v>
      </c>
      <c r="YA95" s="20" t="n">
        <f aca="false">IF(AND(H_Direct=1,DA95&gt;0),MAX(0,XZ95-(MIN(DA95*UN95,(XZ95+ABM95))-MIN(MIN(DA95*UN95,(XZ95+ABM95)),ABM95))),XZ95)</f>
        <v>1270</v>
      </c>
      <c r="YB95" s="20" t="n">
        <f aca="false">IF(AND(H_Direct=1,DB95&gt;0),MAX(0,YA95-(MIN(DB95*UO95,(YA95+ABN95))-MIN(MIN(DB95*UO95,(YA95+ABN95)),ABN95))),YA95)</f>
        <v>1270</v>
      </c>
      <c r="YC95" s="20" t="n">
        <f aca="false">IF(AND(H_Direct=1,DC95&gt;0),MAX(0,YB95-(MIN(DC95*UP95,(YB95+ABO95))-MIN(MIN(DC95*UP95,(YB95+ABO95)),ABO95))),YB95)</f>
        <v>1270</v>
      </c>
      <c r="YD95" s="20" t="n">
        <f aca="false">IF(AND(H_Direct=1,DD95&gt;0),MAX(0,YC95-(MIN(DD95*UQ95,(YC95+ABP95))-MIN(MIN(DD95*UQ95,(YC95+ABP95)),ABP95))),YC95)</f>
        <v>1270</v>
      </c>
      <c r="YE95" s="20" t="n">
        <f aca="false">IF(AND(H_Direct=1,DE95&gt;0),MAX(0,YD95-(MIN(DE95*UR95,(YD95+ABQ95))-MIN(MIN(DE95*UR95,(YD95+ABQ95)),ABQ95))),YD95)</f>
        <v>1270</v>
      </c>
      <c r="YF95" s="20" t="n">
        <f aca="false">IF(AND(H_Direct=1,DF95&gt;0),MAX(0,YE95-(MIN(DF95*US95,(YE95+ABR95))-MIN(MIN(DF95*US95,(YE95+ABR95)),ABR95))),YE95)</f>
        <v>1270</v>
      </c>
      <c r="YG95" s="20" t="n">
        <f aca="false">IF(AND(H_Direct=1,DG95&gt;0),MAX(0,YF95-(MIN(DG95*UT95,(YF95+ABS95))-MIN(MIN(DG95*UT95,(YF95+ABS95)),ABS95))),YF95)</f>
        <v>1270</v>
      </c>
      <c r="YH95" s="20" t="n">
        <f aca="false">IF(AND(H_Direct=1,DH95&gt;0),MAX(0,YG95-(MIN(DH95*UU95,(YG95+ABT95))-MIN(MIN(DH95*UU95,(YG95+ABT95)),ABT95))),YG95)</f>
        <v>1270</v>
      </c>
      <c r="YI95" s="20" t="n">
        <f aca="false">IF(AND(H_Direct=1,DI95&gt;0),MAX(0,YH95-(MIN(DI95*UV95,(YH95+ABU95))-MIN(MIN(DI95*UV95,(YH95+ABU95)),ABU95))),YH95)</f>
        <v>1270</v>
      </c>
      <c r="YJ95" s="20" t="n">
        <f aca="false">IF(AND(H_Direct=1,DJ95&gt;0),MAX(0,YI95-(MIN(DJ95*UW95,(YI95+ABV95))-MIN(MIN(DJ95*UW95,(YI95+ABV95)),ABV95))),YI95)</f>
        <v>1270</v>
      </c>
      <c r="YK95" s="20" t="n">
        <f aca="false">IF(AND(H_Direct=1,DK95&gt;0),MAX(0,YJ95-(MIN(DK95*UX95,(YJ95+ABW95))-MIN(MIN(DK95*UX95,(YJ95+ABW95)),ABW95))),YJ95)</f>
        <v>1270</v>
      </c>
      <c r="YL95" s="20" t="n">
        <f aca="false">IF(AND(H_Direct=1,DL95&gt;0),MAX(0,YK95-(MIN(DL95*UY95,(YK95+ABX95))-MIN(MIN(DL95*UY95,(YK95+ABX95)),ABX95))),YK95)</f>
        <v>1270</v>
      </c>
      <c r="YM95" s="20" t="n">
        <f aca="false">IF(AND(H_Direct=1,DM95&gt;0),MAX(0,YL95-(MIN(DM95*UZ95,(YL95+ABY95))-MIN(MIN(DM95*UZ95,(YL95+ABY95)),ABY95))),YL95)</f>
        <v>1270</v>
      </c>
      <c r="YN95" s="20" t="n">
        <f aca="false">IF(AND(H_Direct=1,DN95&gt;0),MAX(0,YM95-(MIN(DN95*VA95,(YM95+ABZ95))-MIN(MIN(DN95*VA95,(YM95+ABZ95)),ABZ95))),YM95)</f>
        <v>1270</v>
      </c>
      <c r="YO95" s="20" t="n">
        <f aca="false">IF(AND(H_Direct=1,DO95&gt;0),MAX(0,YN95-(MIN(DO95*VB95,(YN95+ACA95))-MIN(MIN(DO95*VB95,(YN95+ACA95)),ACA95))),YN95)</f>
        <v>1270</v>
      </c>
      <c r="YP95" s="20" t="n">
        <f aca="false">IF(AND(H_Direct=1,DP95&gt;0),MAX(0,YO95-(MIN(DP95*VC95,(YO95+ACB95))-MIN(MIN(DP95*VC95,(YO95+ACB95)),ACB95))),YO95)</f>
        <v>1270</v>
      </c>
      <c r="YQ95" s="20" t="n">
        <f aca="false">IF(AND(H_Direct=1,DQ95&gt;0),MAX(0,YP95-(MIN(DQ95*VD95,(YP95+ACC95))-MIN(MIN(DQ95*VD95,(YP95+ACC95)),ACC95))),YP95)</f>
        <v>1270</v>
      </c>
      <c r="YR95" s="20" t="n">
        <f aca="false">IF(AND(H_Direct=1,DR95&gt;0),MAX(0,YQ95-(MIN(DR95*VE95,(YQ95+ACD95))-MIN(MIN(DR95*VE95,(YQ95+ACD95)),ACD95))),YQ95)</f>
        <v>1270</v>
      </c>
      <c r="YS95" s="20" t="n">
        <f aca="false">IF(AND(H_Direct=1,DS95&gt;0),MAX(0,YR95-(MIN(DS95*VF95,(YR95+ACE95))-MIN(MIN(DS95*VF95,(YR95+ACE95)),ACE95))),YR95)</f>
        <v>1270</v>
      </c>
      <c r="YT95" s="20" t="n">
        <f aca="false">IF(AND(H_Direct=1,DT95&gt;0),MAX(0,YS95-(MIN(DT95*VG95,(YS95+ACF95))-MIN(MIN(DT95*VG95,(YS95+ACF95)),ACF95))),YS95)</f>
        <v>1270</v>
      </c>
      <c r="YU95" s="20" t="n">
        <f aca="false">IF(AND(H_Direct=1,DU95&gt;0),MAX(0,YT95-(MIN(DU95*VH95,(YT95+ACG95))-MIN(MIN(DU95*VH95,(YT95+ACG95)),ACG95))),YT95)</f>
        <v>1270</v>
      </c>
      <c r="YV95" s="20" t="n">
        <f aca="false">IF(AND(H_Direct=1,DV95&gt;0),MAX(0,YU95-(MIN(DV95*VI95,(YU95+ACH95))-MIN(MIN(DV95*VI95,(YU95+ACH95)),ACH95))),YU95)</f>
        <v>1270</v>
      </c>
      <c r="YW95" s="20" t="n">
        <f aca="false">IF(AND(H_Direct=1,DW95&gt;0),MAX(0,YV95-(MIN(DW95*VJ95,(YV95+ACI95))-MIN(MIN(DW95*VJ95,(YV95+ACI95)),ACI95))),YV95)</f>
        <v>1270</v>
      </c>
      <c r="YX95" s="20" t="n">
        <f aca="false">IF(AND(H_Direct=1,DX95&gt;0),MAX(0,YW95-(MIN(DX95*VK95,(YW95+ACJ95))-MIN(MIN(DX95*VK95,(YW95+ACJ95)),ACJ95))),YW95)</f>
        <v>1270</v>
      </c>
      <c r="YY95" s="20" t="n">
        <f aca="false">IF(AND(H_Direct=1,DY95&gt;0),MAX(0,YX95-(MIN(DY95*VL95,(YX95+ACK95))-MIN(MIN(DY95*VL95,(YX95+ACK95)),ACK95))),YX95)</f>
        <v>1270</v>
      </c>
      <c r="YZ95" s="20" t="n">
        <f aca="false">IF(AND(H_Direct=1,DZ95&gt;0),MAX(0,YY95-(MIN(DZ95*VM95,(YY95+ACL95))-MIN(MIN(DZ95*VM95,(YY95+ACL95)),ACL95))),YY95)</f>
        <v>1270</v>
      </c>
      <c r="ZA95" s="20" t="n">
        <f aca="false">IF(AND(H_Direct=1,EA95&gt;0),MAX(0,YZ95-(MIN(EA95*VN95,(YZ95+ACM95))-MIN(MIN(EA95*VN95,(YZ95+ACM95)),ACM95))),YZ95)</f>
        <v>1270</v>
      </c>
      <c r="ZB95" s="20" t="n">
        <f aca="false">IF(AND(H_Direct=1,EB95&gt;0),MAX(0,ZA95-(MIN(EB95*VO95,(ZA95+ACN95))-MIN(MIN(EB95*VO95,(ZA95+ACN95)),ACN95))),ZA95)</f>
        <v>1270</v>
      </c>
      <c r="ZC95" s="20" t="n">
        <f aca="false">IF(AND(H_Direct=1,EC95&gt;0),MAX(0,ZB95-(MIN(EC95*VP95,(ZB95+ACO95))-MIN(MIN(EC95*VP95,(ZB95+ACO95)),ACO95))),ZB95)</f>
        <v>1270</v>
      </c>
      <c r="ZD95" s="20" t="n">
        <f aca="false">IF(AND(H_Direct=1,ED95&gt;0),MAX(0,ZC95-(MIN(ED95*VQ95,(ZC95+ACP95))-MIN(MIN(ED95*VQ95,(ZC95+ACP95)),ACP95))),ZC95)</f>
        <v>1270</v>
      </c>
      <c r="ZE95" s="20" t="n">
        <f aca="false">IF(AND(H_Direct=1,EE95&gt;0),MAX(0,ZD95-(MIN(EE95*VR95,(ZD95+ACQ95))-MIN(MIN(EE95*VR95,(ZD95+ACQ95)),ACQ95))),ZD95)</f>
        <v>1270</v>
      </c>
      <c r="ZF95" s="20" t="n">
        <f aca="false">IF(AND(H_Direct=1,EF95&gt;0),MAX(0,ZE95-(MIN(EF95*VS95,(ZE95+ACR95))-MIN(MIN(EF95*VS95,(ZE95+ACR95)),ACR95))),ZE95)</f>
        <v>1270</v>
      </c>
      <c r="ZG95" s="20" t="n">
        <f aca="false">IF(AND(H_Direct=1,EG95&gt;0),MAX(0,ZF95-(MIN(EG95*VT95,(ZF95+ACS95))-MIN(MIN(EG95*VT95,(ZF95+ACS95)),ACS95))),ZF95)</f>
        <v>1270</v>
      </c>
      <c r="ZH95" s="20" t="n">
        <f aca="false">IF(AND(H_Direct=1,EH95&gt;0),MAX(0,ZG95-(MIN(EH95*VU95,(ZG95+ACT95))-MIN(MIN(EH95*VU95,(ZG95+ACT95)),ACT95))),ZG95)</f>
        <v>1270</v>
      </c>
      <c r="ZI95" s="20" t="n">
        <f aca="false">IF(AND(H_Direct=1,EI95&gt;0),MAX(0,ZH95-(MIN(EI95*VV95,(ZH95+ACU95))-MIN(MIN(EI95*VV95,(ZH95+ACU95)),ACU95))),ZH95)</f>
        <v>1270</v>
      </c>
      <c r="ZJ95" s="20" t="n">
        <f aca="false">IF(AND(H_Direct=1,EJ95&gt;0),MAX(0,ZI95-(MIN(EJ95*VW95,(ZI95+ACV95))-MIN(MIN(EJ95*VW95,(ZI95+ACV95)),ACV95))),ZI95)</f>
        <v>1270</v>
      </c>
      <c r="ZK95" s="20" t="n">
        <f aca="false">IF(AND(H_Direct=1,EK95&gt;0),MAX(0,ZJ95-(MIN(EK95*VX95,(ZJ95+ACW95))-MIN(MIN(EK95*VX95,(ZJ95+ACW95)),ACW95))),ZJ95)</f>
        <v>1270</v>
      </c>
      <c r="ZL95" s="20" t="n">
        <f aca="false">IF(AND(H_Direct=1,EL95&gt;0),MAX(0,ZK95-(MIN(EL95*VY95,(ZK95+ACX95))-MIN(MIN(EL95*VY95,(ZK95+ACX95)),ACX95))),ZK95)</f>
        <v>1270</v>
      </c>
      <c r="ZM95" s="20" t="n">
        <f aca="false">IF(AND(H_Direct=1,EM95&gt;0),MAX(0,ZL95-(MIN(EM95*VZ95,(ZL95+ACY95))-MIN(MIN(EM95*VZ95,(ZL95+ACY95)),ACY95))),ZL95)</f>
        <v>1270</v>
      </c>
      <c r="ZN95" s="20" t="n">
        <f aca="false">IF(AND(H_Direct=1,EN95&gt;0),MAX(0,ZM95-(MIN(EN95*WA95,(ZM95+ACZ95))-MIN(MIN(EN95*WA95,(ZM95+ACZ95)),ACZ95))),ZM95)</f>
        <v>1270</v>
      </c>
      <c r="ZO95" s="20" t="n">
        <f aca="false">IF(AND(H_Direct=1,EO95&gt;0),MAX(0,ZN95-(MIN(EO95*WB95,(ZN95+ADA95))-MIN(MIN(EO95*WB95,(ZN95+ADA95)),ADA95))),ZN95)</f>
        <v>1270</v>
      </c>
      <c r="ZP95" s="20" t="n">
        <f aca="false">IF(AND(H_Direct=1,EP95&gt;0),MAX(0,ZO95-(MIN(EP95*WC95,(ZO95+ADB95))-MIN(MIN(EP95*WC95,(ZO95+ADB95)),ADB95))),ZO95)</f>
        <v>1270</v>
      </c>
      <c r="ZQ95" s="20" t="n">
        <f aca="false">IF(AND(H_Direct=1,EQ95&gt;0),MAX(0,ZP95-(MIN(EQ95*WD95,(ZP95+ADC95))-MIN(MIN(EQ95*WD95,(ZP95+ADC95)),ADC95))),ZP95)</f>
        <v>1270</v>
      </c>
      <c r="ZR95" s="20" t="n">
        <f aca="false">IF(AND(H_Direct=1,ER95&gt;0),MAX(0,ZQ95-(MIN(ER95*WE95,(ZQ95+ADD95))-MIN(MIN(ER95*WE95,(ZQ95+ADD95)),ADD95))),ZQ95)</f>
        <v>1270</v>
      </c>
      <c r="ZS95" s="20" t="n">
        <f aca="false">IF(AND(H_Direct=1,ES95&gt;0),MAX(0,ZR95-(MIN(ES95*WF95,(ZR95+ADE95))-MIN(MIN(ES95*WF95,(ZR95+ADE95)),ADE95))),ZR95)</f>
        <v>1270</v>
      </c>
      <c r="ZT95" s="20" t="n">
        <f aca="false">IF(AND(H_Direct=1,ET95&gt;0),MAX(0,ZS95-(MIN(ET95*WG95,(ZS95+ADF95))-MIN(MIN(ET95*WG95,(ZS95+ADF95)),ADF95))),ZS95)</f>
        <v>1270</v>
      </c>
      <c r="ZU95" s="20" t="n">
        <f aca="false">IF(AND(H_Direct=1,EU95&gt;0),MAX(0,ZT95-(MIN(EU95*WH95,(ZT95+ADG95))-MIN(MIN(EU95*WH95,(ZT95+ADG95)),ADG95))),ZT95)</f>
        <v>1270</v>
      </c>
      <c r="ZV95" s="20" t="n">
        <f aca="false">IF(AND(H_Direct=1,EV95&gt;0),MAX(0,ZU95-(MIN(EV95*WI95,(ZU95+ADH95))-MIN(MIN(EV95*WI95,(ZU95+ADH95)),ADH95))),ZU95)</f>
        <v>1270</v>
      </c>
      <c r="ZW95" s="20" t="n">
        <f aca="false">IF(AND(H_Direct=1,EW95&gt;0),MAX(0,ZV95-(MIN(EW95*WJ95,(ZV95+ADI95))-MIN(MIN(EW95*WJ95,(ZV95+ADI95)),ADI95))),ZV95)</f>
        <v>1270</v>
      </c>
      <c r="ZX95" s="20" t="n">
        <f aca="false">IF(AND(H_Direct=1,EX95&gt;0),MAX(0,ZW95-(MIN(EX95*WK95,(ZW95+ADJ95))-MIN(MIN(EX95*WK95,(ZW95+ADJ95)),ADJ95))),ZW95)</f>
        <v>1270</v>
      </c>
      <c r="ZY95" s="20" t="n">
        <f aca="false">IF(AND(H_Direct=1,EY95&gt;0),MAX(0,ZX95-(MIN(EY95*WL95,(ZX95+ADK95))-MIN(MIN(EY95*WL95,(ZX95+ADK95)),ADK95))),ZX95)</f>
        <v>1270</v>
      </c>
      <c r="ZZ95" s="20" t="n">
        <f aca="false">IF(AND(H_Direct=1,EZ95&gt;0),MAX(0,ZY95-(MIN(EZ95*WM95,(ZY95+ADL95))-MIN(MIN(EZ95*WM95,(ZY95+ADL95)),ADL95))),ZY95)</f>
        <v>1270</v>
      </c>
      <c r="AAA95" s="20" t="n">
        <f aca="false">IF(AND(H_Direct=1,FA95&gt;0),MAX(0,ZZ95-(MIN(FA95*WN95,(ZZ95+ADM95))-MIN(MIN(FA95*WN95,(ZZ95+ADM95)),ADM95))),ZZ95)</f>
        <v>1270</v>
      </c>
      <c r="AAB95" s="20" t="n">
        <f aca="false">IF(AND(H_Direct=1,FB95&gt;0),MAX(0,AAA95-(MIN(FB95*WO95,(AAA95+ADN95))-MIN(MIN(FB95*WO95,(AAA95+ADN95)),ADN95))),AAA95)</f>
        <v>1270</v>
      </c>
      <c r="AAC95" s="20" t="n">
        <f aca="false">AAB95</f>
        <v>1270</v>
      </c>
      <c r="AAD95" s="20" t="n">
        <f aca="false">AAC95</f>
        <v>1270</v>
      </c>
      <c r="AAE95" s="20" t="n">
        <f aca="false">IF(H_Direct=1,IF(BR95&lt;=0,I95-BR95*TE95,I95-MIN(MIN(BR95*TE95,(H95+I95)),I95)),I95)</f>
        <v>0</v>
      </c>
      <c r="AAF95" s="20" t="n">
        <f aca="false">IF(H_Direct=1,IF(BS95&lt;=0,AAE95-BS95*TF95,AAE95-MIN(MIN(BS95*TF95,(WR95+AAE95)),AAE95)),AAE95)</f>
        <v>0</v>
      </c>
      <c r="AAG95" s="20" t="n">
        <f aca="false">IF(H_Direct=1,IF(BT95&lt;=0,AAF95-BT95*TG95,AAF95-MIN(MIN(BT95*TG95,(WS95+AAF95)),AAF95)),AAF95)</f>
        <v>0</v>
      </c>
      <c r="AAH95" s="20" t="n">
        <f aca="false">IF(H_Direct=1,IF(BU95&lt;=0,AAG95-BU95*TH95,AAG95-MIN(MIN(BU95*TH95,(WT95+AAG95)),AAG95)),AAG95)</f>
        <v>0</v>
      </c>
      <c r="AAI95" s="20" t="n">
        <f aca="false">IF(H_Direct=1,IF(BV95&lt;=0,AAH95-BV95*TI95,AAH95-MIN(MIN(BV95*TI95,(WU95+AAH95)),AAH95)),AAH95)</f>
        <v>0</v>
      </c>
      <c r="AAJ95" s="20" t="n">
        <f aca="false">IF(H_Direct=1,IF(BW95&lt;=0,AAI95-BW95*TJ95,AAI95-MIN(MIN(BW95*TJ95,(WV95+AAI95)),AAI95)),AAI95)</f>
        <v>0</v>
      </c>
      <c r="AAK95" s="20" t="n">
        <f aca="false">IF(H_Direct=1,IF(BX95&lt;=0,AAJ95-BX95*TK95,AAJ95-MIN(MIN(BX95*TK95,(WW95+AAJ95)),AAJ95)),AAJ95)</f>
        <v>0</v>
      </c>
      <c r="AAL95" s="20" t="n">
        <f aca="false">IF(H_Direct=1,IF(BY95&lt;=0,AAK95-BY95*TL95,AAK95-MIN(MIN(BY95*TL95,(WX95+AAK95)),AAK95)),AAK95)</f>
        <v>0</v>
      </c>
      <c r="AAM95" s="20" t="n">
        <f aca="false">IF(H_Direct=1,IF(BZ95&lt;=0,AAL95-BZ95*TM95,AAL95-MIN(MIN(BZ95*TM95,(WY95+AAL95)),AAL95)),AAL95)</f>
        <v>0</v>
      </c>
      <c r="AAN95" s="20" t="n">
        <f aca="false">IF(H_Direct=1,IF(CA95&lt;=0,AAM95-CA95*TN95,AAM95-MIN(MIN(CA95*TN95,(WZ95+AAM95)),AAM95)),AAM95)</f>
        <v>0</v>
      </c>
      <c r="AAO95" s="20" t="n">
        <f aca="false">IF(H_Direct=1,IF(CB95&lt;=0,AAN95-CB95*TO95,AAN95-MIN(MIN(CB95*TO95,(XA95+AAN95)),AAN95)),AAN95)</f>
        <v>0</v>
      </c>
      <c r="AAP95" s="20" t="n">
        <f aca="false">IF(H_Direct=1,IF(CC95&lt;=0,AAO95-CC95*TP95,AAO95-MIN(MIN(CC95*TP95,(XB95+AAO95)),AAO95)),AAO95)</f>
        <v>0</v>
      </c>
      <c r="AAQ95" s="20" t="n">
        <f aca="false">IF(H_Direct=1,IF(CD95&lt;=0,AAP95-CD95*TQ95,AAP95-MIN(MIN(CD95*TQ95,(XC95+AAP95)),AAP95)),AAP95)</f>
        <v>0</v>
      </c>
      <c r="AAR95" s="20" t="n">
        <f aca="false">IF(H_Direct=1,IF(CE95&lt;=0,AAQ95-CE95*TR95,AAQ95-MIN(MIN(CE95*TR95,(XD95+AAQ95)),AAQ95)),AAQ95)</f>
        <v>0</v>
      </c>
      <c r="AAS95" s="20" t="n">
        <f aca="false">IF(H_Direct=1,IF(CF95&lt;=0,AAR95-CF95*TS95,AAR95-MIN(MIN(CF95*TS95,(XE95+AAR95)),AAR95)),AAR95)</f>
        <v>0</v>
      </c>
      <c r="AAT95" s="20" t="n">
        <f aca="false">IF(H_Direct=1,IF(CG95&lt;=0,AAS95-CG95*TT95,AAS95-MIN(MIN(CG95*TT95,(XF95+AAS95)),AAS95)),AAS95)</f>
        <v>0</v>
      </c>
      <c r="AAU95" s="20" t="n">
        <f aca="false">IF(H_Direct=1,IF(CH95&lt;=0,AAT95-CH95*TU95,AAT95-MIN(MIN(CH95*TU95,(XG95+AAT95)),AAT95)),AAT95)</f>
        <v>0</v>
      </c>
      <c r="AAV95" s="20" t="n">
        <f aca="false">IF(H_Direct=1,IF(CI95&lt;=0,AAU95-CI95*TV95,AAU95-MIN(MIN(CI95*TV95,(XH95+AAU95)),AAU95)),AAU95)</f>
        <v>0</v>
      </c>
      <c r="AAW95" s="20" t="n">
        <f aca="false">IF(H_Direct=1,IF(CJ95&lt;=0,AAV95-CJ95*TW95,AAV95-MIN(MIN(CJ95*TW95,(XI95+AAV95)),AAV95)),AAV95)</f>
        <v>0</v>
      </c>
      <c r="AAX95" s="20" t="n">
        <f aca="false">IF(H_Direct=1,IF(CK95&lt;=0,AAW95-CK95*TX95,AAW95-MIN(MIN(CK95*TX95,(XJ95+AAW95)),AAW95)),AAW95)</f>
        <v>0</v>
      </c>
      <c r="AAY95" s="20" t="n">
        <f aca="false">IF(H_Direct=1,IF(CL95&lt;=0,AAX95-CL95*TY95,AAX95-MIN(MIN(CL95*TY95,(XK95+AAX95)),AAX95)),AAX95)</f>
        <v>0</v>
      </c>
      <c r="AAZ95" s="20" t="n">
        <f aca="false">IF(H_Direct=1,IF(CM95&lt;=0,AAY95-CM95*TZ95,AAY95-MIN(MIN(CM95*TZ95,(XL95+AAY95)),AAY95)),AAY95)</f>
        <v>0</v>
      </c>
      <c r="ABA95" s="20" t="n">
        <f aca="false">IF(H_Direct=1,IF(CN95&lt;=0,AAZ95-CN95*UA95,AAZ95-MIN(MIN(CN95*UA95,(XM95+AAZ95)),AAZ95)),AAZ95)</f>
        <v>0</v>
      </c>
      <c r="ABB95" s="20" t="n">
        <f aca="false">IF(H_Direct=1,IF(CO95&lt;=0,ABA95-CO95*UB95,ABA95-MIN(MIN(CO95*UB95,(XN95+ABA95)),ABA95)),ABA95)</f>
        <v>0</v>
      </c>
      <c r="ABC95" s="20" t="n">
        <f aca="false">IF(H_Direct=1,IF(CP95&lt;=0,ABB95-CP95*UC95,ABB95-MIN(MIN(CP95*UC95,(XO95+ABB95)),ABB95)),ABB95)</f>
        <v>0</v>
      </c>
      <c r="ABD95" s="20" t="n">
        <f aca="false">IF(H_Direct=1,IF(CQ95&lt;=0,ABC95-CQ95*UD95,ABC95-MIN(MIN(CQ95*UD95,(XP95+ABC95)),ABC95)),ABC95)</f>
        <v>0</v>
      </c>
      <c r="ABE95" s="20" t="n">
        <f aca="false">IF(H_Direct=1,IF(CR95&lt;=0,ABD95-CR95*UE95,ABD95-MIN(MIN(CR95*UE95,(XQ95+ABD95)),ABD95)),ABD95)</f>
        <v>0</v>
      </c>
      <c r="ABF95" s="20" t="n">
        <f aca="false">IF(H_Direct=1,IF(CS95&lt;=0,ABE95-CS95*UF95,ABE95-MIN(MIN(CS95*UF95,(XR95+ABE95)),ABE95)),ABE95)</f>
        <v>0</v>
      </c>
      <c r="ABG95" s="20" t="n">
        <f aca="false">IF(H_Direct=1,IF(CT95&lt;=0,ABF95-CT95*UG95,ABF95-MIN(MIN(CT95*UG95,(XS95+ABF95)),ABF95)),ABF95)</f>
        <v>0</v>
      </c>
      <c r="ABH95" s="20" t="n">
        <f aca="false">IF(H_Direct=1,IF(CU95&lt;=0,ABG95-CU95*UH95,ABG95-MIN(MIN(CU95*UH95,(XT95+ABG95)),ABG95)),ABG95)</f>
        <v>0</v>
      </c>
      <c r="ABI95" s="20" t="n">
        <f aca="false">IF(H_Direct=1,IF(CV95&lt;=0,ABH95-CV95*UI95,ABH95-MIN(MIN(CV95*UI95,(XU95+ABH95)),ABH95)),ABH95)</f>
        <v>0</v>
      </c>
      <c r="ABJ95" s="20" t="n">
        <f aca="false">IF(H_Direct=1,IF(CW95&lt;=0,ABI95-CW95*UJ95,ABI95-MIN(MIN(CW95*UJ95,(XV95+ABI95)),ABI95)),ABI95)</f>
        <v>0</v>
      </c>
      <c r="ABK95" s="20" t="n">
        <f aca="false">IF(H_Direct=1,IF(CX95&lt;=0,ABJ95-CX95*UK95,ABJ95-MIN(MIN(CX95*UK95,(XW95+ABJ95)),ABJ95)),ABJ95)</f>
        <v>0</v>
      </c>
      <c r="ABL95" s="20" t="n">
        <f aca="false">IF(H_Direct=1,IF(CY95&lt;=0,ABK95-CY95*UL95,ABK95-MIN(MIN(CY95*UL95,(XX95+ABK95)),ABK95)),ABK95)</f>
        <v>0</v>
      </c>
      <c r="ABM95" s="20" t="n">
        <f aca="false">IF(H_Direct=1,IF(CZ95&lt;=0,ABL95-CZ95*UM95,ABL95-MIN(MIN(CZ95*UM95,(XY95+ABL95)),ABL95)),ABL95)</f>
        <v>0</v>
      </c>
      <c r="ABN95" s="20" t="n">
        <f aca="false">IF(H_Direct=1,IF(DA95&lt;=0,ABM95-DA95*UN95,ABM95-MIN(MIN(DA95*UN95,(XZ95+ABM95)),ABM95)),ABM95)</f>
        <v>0</v>
      </c>
      <c r="ABO95" s="20" t="n">
        <f aca="false">IF(H_Direct=1,IF(DB95&lt;=0,ABN95-DB95*UO95,ABN95-MIN(MIN(DB95*UO95,(YA95+ABN95)),ABN95)),ABN95)</f>
        <v>0</v>
      </c>
      <c r="ABP95" s="20" t="n">
        <f aca="false">IF(H_Direct=1,IF(DC95&lt;=0,ABO95-DC95*UP95,ABO95-MIN(MIN(DC95*UP95,(YB95+ABO95)),ABO95)),ABO95)</f>
        <v>0</v>
      </c>
      <c r="ABQ95" s="20" t="n">
        <f aca="false">IF(H_Direct=1,IF(DD95&lt;=0,ABP95-DD95*UQ95,ABP95-MIN(MIN(DD95*UQ95,(YC95+ABP95)),ABP95)),ABP95)</f>
        <v>0</v>
      </c>
      <c r="ABR95" s="20" t="n">
        <f aca="false">IF(H_Direct=1,IF(DE95&lt;=0,ABQ95-DE95*UR95,ABQ95-MIN(MIN(DE95*UR95,(YD95+ABQ95)),ABQ95)),ABQ95)</f>
        <v>0</v>
      </c>
      <c r="ABS95" s="20" t="n">
        <f aca="false">IF(H_Direct=1,IF(DF95&lt;=0,ABR95-DF95*US95,ABR95-MIN(MIN(DF95*US95,(YE95+ABR95)),ABR95)),ABR95)</f>
        <v>0</v>
      </c>
      <c r="ABT95" s="20" t="n">
        <f aca="false">IF(H_Direct=1,IF(DG95&lt;=0,ABS95-DG95*UT95,ABS95-MIN(MIN(DG95*UT95,(YF95+ABS95)),ABS95)),ABS95)</f>
        <v>0</v>
      </c>
      <c r="ABU95" s="20" t="n">
        <f aca="false">IF(H_Direct=1,IF(DH95&lt;=0,ABT95-DH95*UU95,ABT95-MIN(MIN(DH95*UU95,(YG95+ABT95)),ABT95)),ABT95)</f>
        <v>0</v>
      </c>
      <c r="ABV95" s="20" t="n">
        <f aca="false">IF(H_Direct=1,IF(DI95&lt;=0,ABU95-DI95*UV95,ABU95-MIN(MIN(DI95*UV95,(YH95+ABU95)),ABU95)),ABU95)</f>
        <v>0</v>
      </c>
      <c r="ABW95" s="20" t="n">
        <f aca="false">IF(H_Direct=1,IF(DJ95&lt;=0,ABV95-DJ95*UW95,ABV95-MIN(MIN(DJ95*UW95,(YI95+ABV95)),ABV95)),ABV95)</f>
        <v>0</v>
      </c>
      <c r="ABX95" s="20" t="n">
        <f aca="false">IF(H_Direct=1,IF(DK95&lt;=0,ABW95-DK95*UX95,ABW95-MIN(MIN(DK95*UX95,(YJ95+ABW95)),ABW95)),ABW95)</f>
        <v>0</v>
      </c>
      <c r="ABY95" s="20" t="n">
        <f aca="false">IF(H_Direct=1,IF(DL95&lt;=0,ABX95-DL95*UY95,ABX95-MIN(MIN(DL95*UY95,(YK95+ABX95)),ABX95)),ABX95)</f>
        <v>0</v>
      </c>
      <c r="ABZ95" s="20" t="n">
        <f aca="false">IF(H_Direct=1,IF(DM95&lt;=0,ABY95-DM95*UZ95,ABY95-MIN(MIN(DM95*UZ95,(YL95+ABY95)),ABY95)),ABY95)</f>
        <v>0</v>
      </c>
      <c r="ACA95" s="20" t="n">
        <f aca="false">IF(H_Direct=1,IF(DN95&lt;=0,ABZ95-DN95*VA95,ABZ95-MIN(MIN(DN95*VA95,(YM95+ABZ95)),ABZ95)),ABZ95)</f>
        <v>0</v>
      </c>
      <c r="ACB95" s="20" t="n">
        <f aca="false">IF(H_Direct=1,IF(DO95&lt;=0,ACA95-DO95*VB95,ACA95-MIN(MIN(DO95*VB95,(YN95+ACA95)),ACA95)),ACA95)</f>
        <v>0</v>
      </c>
      <c r="ACC95" s="20" t="n">
        <f aca="false">IF(H_Direct=1,IF(DP95&lt;=0,ACB95-DP95*VC95,ACB95-MIN(MIN(DP95*VC95,(YO95+ACB95)),ACB95)),ACB95)</f>
        <v>0</v>
      </c>
      <c r="ACD95" s="20" t="n">
        <f aca="false">IF(H_Direct=1,IF(DQ95&lt;=0,ACC95-DQ95*VD95,ACC95-MIN(MIN(DQ95*VD95,(YP95+ACC95)),ACC95)),ACC95)</f>
        <v>0</v>
      </c>
      <c r="ACE95" s="20" t="n">
        <f aca="false">IF(H_Direct=1,IF(DR95&lt;=0,ACD95-DR95*VE95,ACD95-MIN(MIN(DR95*VE95,(YQ95+ACD95)),ACD95)),ACD95)</f>
        <v>0</v>
      </c>
      <c r="ACF95" s="20" t="n">
        <f aca="false">IF(H_Direct=1,IF(DS95&lt;=0,ACE95-DS95*VF95,ACE95-MIN(MIN(DS95*VF95,(YR95+ACE95)),ACE95)),ACE95)</f>
        <v>0</v>
      </c>
      <c r="ACG95" s="20" t="n">
        <f aca="false">IF(H_Direct=1,IF(DT95&lt;=0,ACF95-DT95*VG95,ACF95-MIN(MIN(DT95*VG95,(YS95+ACF95)),ACF95)),ACF95)</f>
        <v>0</v>
      </c>
      <c r="ACH95" s="20" t="n">
        <f aca="false">IF(H_Direct=1,IF(DU95&lt;=0,ACG95-DU95*VH95,ACG95-MIN(MIN(DU95*VH95,(YT95+ACG95)),ACG95)),ACG95)</f>
        <v>0</v>
      </c>
      <c r="ACI95" s="20" t="n">
        <f aca="false">IF(H_Direct=1,IF(DV95&lt;=0,ACH95-DV95*VI95,ACH95-MIN(MIN(DV95*VI95,(YU95+ACH95)),ACH95)),ACH95)</f>
        <v>0</v>
      </c>
      <c r="ACJ95" s="20" t="n">
        <f aca="false">IF(H_Direct=1,IF(DW95&lt;=0,ACI95-DW95*VJ95,ACI95-MIN(MIN(DW95*VJ95,(YV95+ACI95)),ACI95)),ACI95)</f>
        <v>0</v>
      </c>
      <c r="ACK95" s="20" t="n">
        <f aca="false">IF(H_Direct=1,IF(DX95&lt;=0,ACJ95-DX95*VK95,ACJ95-MIN(MIN(DX95*VK95,(YW95+ACJ95)),ACJ95)),ACJ95)</f>
        <v>0</v>
      </c>
      <c r="ACL95" s="20" t="n">
        <f aca="false">IF(H_Direct=1,IF(DY95&lt;=0,ACK95-DY95*VL95,ACK95-MIN(MIN(DY95*VL95,(YX95+ACK95)),ACK95)),ACK95)</f>
        <v>0</v>
      </c>
      <c r="ACM95" s="20" t="n">
        <f aca="false">IF(H_Direct=1,IF(DZ95&lt;=0,ACL95-DZ95*VM95,ACL95-MIN(MIN(DZ95*VM95,(YY95+ACL95)),ACL95)),ACL95)</f>
        <v>0</v>
      </c>
      <c r="ACN95" s="20" t="n">
        <f aca="false">IF(H_Direct=1,IF(EA95&lt;=0,ACM95-EA95*VN95,ACM95-MIN(MIN(EA95*VN95,(YZ95+ACM95)),ACM95)),ACM95)</f>
        <v>0</v>
      </c>
      <c r="ACO95" s="20" t="n">
        <f aca="false">IF(H_Direct=1,IF(EB95&lt;=0,ACN95-EB95*VO95,ACN95-MIN(MIN(EB95*VO95,(ZA95+ACN95)),ACN95)),ACN95)</f>
        <v>0</v>
      </c>
      <c r="ACP95" s="20" t="n">
        <f aca="false">IF(H_Direct=1,IF(EC95&lt;=0,ACO95-EC95*VP95,ACO95-MIN(MIN(EC95*VP95,(ZB95+ACO95)),ACO95)),ACO95)</f>
        <v>0</v>
      </c>
      <c r="ACQ95" s="20" t="n">
        <f aca="false">IF(H_Direct=1,IF(ED95&lt;=0,ACP95-ED95*VQ95,ACP95-MIN(MIN(ED95*VQ95,(ZC95+ACP95)),ACP95)),ACP95)</f>
        <v>0</v>
      </c>
      <c r="ACR95" s="20" t="n">
        <f aca="false">IF(H_Direct=1,IF(EE95&lt;=0,ACQ95-EE95*VR95,ACQ95-MIN(MIN(EE95*VR95,(ZD95+ACQ95)),ACQ95)),ACQ95)</f>
        <v>0</v>
      </c>
      <c r="ACS95" s="20" t="n">
        <f aca="false">IF(H_Direct=1,IF(EF95&lt;=0,ACR95-EF95*VS95,ACR95-MIN(MIN(EF95*VS95,(ZE95+ACR95)),ACR95)),ACR95)</f>
        <v>0</v>
      </c>
      <c r="ACT95" s="20" t="n">
        <f aca="false">IF(H_Direct=1,IF(EG95&lt;=0,ACS95-EG95*VT95,ACS95-MIN(MIN(EG95*VT95,(ZF95+ACS95)),ACS95)),ACS95)</f>
        <v>0</v>
      </c>
      <c r="ACU95" s="20" t="n">
        <f aca="false">IF(H_Direct=1,IF(EH95&lt;=0,ACT95-EH95*VU95,ACT95-MIN(MIN(EH95*VU95,(ZG95+ACT95)),ACT95)),ACT95)</f>
        <v>0</v>
      </c>
      <c r="ACV95" s="20" t="n">
        <f aca="false">IF(H_Direct=1,IF(EI95&lt;=0,ACU95-EI95*VV95,ACU95-MIN(MIN(EI95*VV95,(ZH95+ACU95)),ACU95)),ACU95)</f>
        <v>0</v>
      </c>
      <c r="ACW95" s="20" t="n">
        <f aca="false">IF(H_Direct=1,IF(EJ95&lt;=0,ACV95-EJ95*VW95,ACV95-MIN(MIN(EJ95*VW95,(ZI95+ACV95)),ACV95)),ACV95)</f>
        <v>0</v>
      </c>
      <c r="ACX95" s="20" t="n">
        <f aca="false">IF(H_Direct=1,IF(EK95&lt;=0,ACW95-EK95*VX95,ACW95-MIN(MIN(EK95*VX95,(ZJ95+ACW95)),ACW95)),ACW95)</f>
        <v>0</v>
      </c>
      <c r="ACY95" s="20" t="n">
        <f aca="false">IF(H_Direct=1,IF(EL95&lt;=0,ACX95-EL95*VY95,ACX95-MIN(MIN(EL95*VY95,(ZK95+ACX95)),ACX95)),ACX95)</f>
        <v>0</v>
      </c>
      <c r="ACZ95" s="20" t="n">
        <f aca="false">IF(H_Direct=1,IF(EM95&lt;=0,ACY95-EM95*VZ95,ACY95-MIN(MIN(EM95*VZ95,(ZL95+ACY95)),ACY95)),ACY95)</f>
        <v>0</v>
      </c>
      <c r="ADA95" s="20" t="n">
        <f aca="false">IF(H_Direct=1,IF(EN95&lt;=0,ACZ95-EN95*WA95,ACZ95-MIN(MIN(EN95*WA95,(ZM95+ACZ95)),ACZ95)),ACZ95)</f>
        <v>0</v>
      </c>
      <c r="ADB95" s="20" t="n">
        <f aca="false">IF(H_Direct=1,IF(EO95&lt;=0,ADA95-EO95*WB95,ADA95-MIN(MIN(EO95*WB95,(ZN95+ADA95)),ADA95)),ADA95)</f>
        <v>0</v>
      </c>
      <c r="ADC95" s="20" t="n">
        <f aca="false">IF(H_Direct=1,IF(EP95&lt;=0,ADB95-EP95*WC95,ADB95-MIN(MIN(EP95*WC95,(ZO95+ADB95)),ADB95)),ADB95)</f>
        <v>0</v>
      </c>
      <c r="ADD95" s="20" t="n">
        <f aca="false">IF(H_Direct=1,IF(EQ95&lt;=0,ADC95-EQ95*WD95,ADC95-MIN(MIN(EQ95*WD95,(ZP95+ADC95)),ADC95)),ADC95)</f>
        <v>0</v>
      </c>
      <c r="ADE95" s="20" t="n">
        <f aca="false">IF(H_Direct=1,IF(ER95&lt;=0,ADD95-ER95*WE95,ADD95-MIN(MIN(ER95*WE95,(ZQ95+ADD95)),ADD95)),ADD95)</f>
        <v>0</v>
      </c>
      <c r="ADF95" s="20" t="n">
        <f aca="false">IF(H_Direct=1,IF(ES95&lt;=0,ADE95-ES95*WF95,ADE95-MIN(MIN(ES95*WF95,(ZR95+ADE95)),ADE95)),ADE95)</f>
        <v>0</v>
      </c>
      <c r="ADG95" s="20" t="n">
        <f aca="false">IF(H_Direct=1,IF(ET95&lt;=0,ADF95-ET95*WG95,ADF95-MIN(MIN(ET95*WG95,(ZS95+ADF95)),ADF95)),ADF95)</f>
        <v>0</v>
      </c>
      <c r="ADH95" s="20" t="n">
        <f aca="false">IF(H_Direct=1,IF(EU95&lt;=0,ADG95-EU95*WH95,ADG95-MIN(MIN(EU95*WH95,(ZT95+ADG95)),ADG95)),ADG95)</f>
        <v>0</v>
      </c>
      <c r="ADI95" s="20" t="n">
        <f aca="false">IF(H_Direct=1,IF(EV95&lt;=0,ADH95-EV95*WI95,ADH95-MIN(MIN(EV95*WI95,(ZU95+ADH95)),ADH95)),ADH95)</f>
        <v>0</v>
      </c>
      <c r="ADJ95" s="20" t="n">
        <f aca="false">IF(H_Direct=1,IF(EW95&lt;=0,ADI95-EW95*WJ95,ADI95-MIN(MIN(EW95*WJ95,(ZV95+ADI95)),ADI95)),ADI95)</f>
        <v>0</v>
      </c>
      <c r="ADK95" s="20" t="n">
        <f aca="false">IF(H_Direct=1,IF(EX95&lt;=0,ADJ95-EX95*WK95,ADJ95-MIN(MIN(EX95*WK95,(ZW95+ADJ95)),ADJ95)),ADJ95)</f>
        <v>0</v>
      </c>
      <c r="ADL95" s="20" t="n">
        <f aca="false">IF(H_Direct=1,IF(EY95&lt;=0,ADK95-EY95*WL95,ADK95-MIN(MIN(EY95*WL95,(ZX95+ADK95)),ADK95)),ADK95)</f>
        <v>0</v>
      </c>
      <c r="ADM95" s="20" t="n">
        <f aca="false">IF(H_Direct=1,IF(EZ95&lt;=0,ADL95-EZ95*WM95,ADL95-MIN(MIN(EZ95*WM95,(ZY95+ADL95)),ADL95)),ADL95)</f>
        <v>0</v>
      </c>
      <c r="ADN95" s="20" t="n">
        <f aca="false">IF(H_Direct=1,IF(FA95&lt;=0,ADM95-FA95*WN95,ADM95-MIN(MIN(FA95*WN95,(ZZ95+ADM95)),ADM95)),ADM95)</f>
        <v>0</v>
      </c>
      <c r="ADO95" s="20" t="n">
        <f aca="false">IF(H_Direct=1,IF(FB95&lt;=0,ADN95-FB95*WO95,ADN95-MIN(MIN(FB95*WO95,(AAA95+ADN95)),ADN95)),ADN95)</f>
        <v>0</v>
      </c>
      <c r="ADP95" s="20" t="n">
        <f aca="false">ADO95</f>
        <v>0</v>
      </c>
      <c r="ADQ95" s="20" t="n">
        <f aca="false">ADP95</f>
        <v>0</v>
      </c>
      <c r="ADR95" s="20" t="n">
        <f aca="false">(AKR94-TE95+0)*(1+BQ95)</f>
        <v>0</v>
      </c>
      <c r="ADS95" s="20" t="n">
        <f aca="false">(AKS94-TF95+0)*(1+BQ95)</f>
        <v>0</v>
      </c>
      <c r="ADT95" s="20" t="n">
        <f aca="false">(AKT94-TG95+0)*(1+BQ95)</f>
        <v>0</v>
      </c>
      <c r="ADU95" s="20" t="n">
        <f aca="false">(AKU94-TH95+0)*(1+BQ95)</f>
        <v>0</v>
      </c>
      <c r="ADV95" s="20" t="n">
        <f aca="false">(AKV94-TI95+0)*(1+BQ95)</f>
        <v>0</v>
      </c>
      <c r="ADW95" s="20" t="n">
        <f aca="false">(AKW94-TJ95+0)*(1+BQ95)</f>
        <v>0</v>
      </c>
      <c r="ADX95" s="20" t="n">
        <f aca="false">(AKX94-TK95+0)*(1+BQ95)</f>
        <v>0</v>
      </c>
      <c r="ADY95" s="20" t="n">
        <f aca="false">(AKY94-TL95+0)*(1+BQ95)</f>
        <v>0</v>
      </c>
      <c r="ADZ95" s="20" t="n">
        <f aca="false">(AKZ94-TM95+0)*(1+BQ95)</f>
        <v>0</v>
      </c>
      <c r="AEA95" s="20" t="n">
        <f aca="false">(ALA94-TN95+0)*(1+BQ95)</f>
        <v>0</v>
      </c>
      <c r="AEB95" s="20" t="n">
        <f aca="false">(ALB94-TO95+0)*(1+BQ95)</f>
        <v>0</v>
      </c>
      <c r="AEC95" s="20" t="n">
        <f aca="false">(ALC94-TP95+0)*(1+BQ95)</f>
        <v>0</v>
      </c>
      <c r="AED95" s="20" t="n">
        <f aca="false">(ALD94-TQ95+0)*(1+BQ95)</f>
        <v>0</v>
      </c>
      <c r="AEE95" s="20" t="n">
        <f aca="false">(ALE94-TR95+0)*(1+BQ95)</f>
        <v>0</v>
      </c>
      <c r="AEF95" s="20" t="n">
        <f aca="false">(ALF94-TS95+0)*(1+BQ95)</f>
        <v>0</v>
      </c>
      <c r="AEG95" s="20" t="n">
        <f aca="false">(ALG94-TT95+0)*(1+BQ95)</f>
        <v>0</v>
      </c>
      <c r="AEH95" s="20" t="n">
        <f aca="false">(ALH94-TU95+0)*(1+BQ95)</f>
        <v>0</v>
      </c>
      <c r="AEI95" s="20" t="n">
        <f aca="false">(ALI94-TV95+0)*(1+BQ95)</f>
        <v>0</v>
      </c>
      <c r="AEJ95" s="20" t="n">
        <f aca="false">(ALJ94-TW95+0)*(1+BQ95)</f>
        <v>0</v>
      </c>
      <c r="AEK95" s="20" t="n">
        <f aca="false">(ALK94-TX95+0)*(1+BQ95)</f>
        <v>0</v>
      </c>
      <c r="AEL95" s="20" t="n">
        <f aca="false">(ALL94-TY95+0)*(1+BQ95)</f>
        <v>0</v>
      </c>
      <c r="AEM95" s="20" t="n">
        <f aca="false">(ALM94-TZ95+0)*(1+BQ95)</f>
        <v>0</v>
      </c>
      <c r="AEN95" s="20" t="n">
        <f aca="false">(ALN94-UA95+0)*(1+BQ95)</f>
        <v>0</v>
      </c>
      <c r="AEO95" s="20" t="n">
        <f aca="false">(ALO94-UB95+0)*(1+BQ95)</f>
        <v>0</v>
      </c>
      <c r="AEP95" s="20" t="n">
        <f aca="false">(ALP94-UC95+0)*(1+BQ95)</f>
        <v>0</v>
      </c>
      <c r="AEQ95" s="20" t="n">
        <f aca="false">(ALQ94-UD95+0)*(1+BQ95)</f>
        <v>0</v>
      </c>
      <c r="AER95" s="20" t="n">
        <f aca="false">(ALR94-UE95+0)*(1+BQ95)</f>
        <v>0</v>
      </c>
      <c r="AES95" s="20" t="n">
        <f aca="false">(ALS94-UF95+0)*(1+BQ95)</f>
        <v>0</v>
      </c>
      <c r="AET95" s="20" t="n">
        <f aca="false">(ALT94-UG95+0)*(1+BQ95)</f>
        <v>0</v>
      </c>
      <c r="AEU95" s="20" t="n">
        <f aca="false">(ALU94-UH95+0)*(1+BQ95)</f>
        <v>0</v>
      </c>
      <c r="AEV95" s="20" t="n">
        <f aca="false">(ALV94-UI95+0)*(1+BQ95)</f>
        <v>0</v>
      </c>
      <c r="AEW95" s="20" t="n">
        <f aca="false">(ALW94-UJ95+0)*(1+BQ95)</f>
        <v>0</v>
      </c>
      <c r="AEX95" s="20" t="n">
        <f aca="false">(ALX94-UK95+0)*(1+BQ95)</f>
        <v>0</v>
      </c>
      <c r="AEY95" s="20" t="n">
        <f aca="false">(ALY94-UL95+0)*(1+BQ95)</f>
        <v>0</v>
      </c>
      <c r="AEZ95" s="20" t="n">
        <f aca="false">(ALZ94-UM95+0)*(1+BQ95)</f>
        <v>0</v>
      </c>
      <c r="AFA95" s="20" t="n">
        <f aca="false">(AMA94-UN95+0)*(1+BQ95)</f>
        <v>0</v>
      </c>
      <c r="AFB95" s="20" t="n">
        <f aca="false">(AMB94-UO95+0)*(1+BQ95)</f>
        <v>0</v>
      </c>
      <c r="AFC95" s="20" t="n">
        <f aca="false">(AMC94-UP95+0)*(1+BQ95)</f>
        <v>0</v>
      </c>
      <c r="AFD95" s="20" t="n">
        <f aca="false">(AMD94-UQ95+0)*(1+BQ95)</f>
        <v>0</v>
      </c>
      <c r="AFE95" s="20" t="n">
        <f aca="false">(AME94-UR95+0)*(1+BQ95)</f>
        <v>0</v>
      </c>
      <c r="AFF95" s="20" t="n">
        <f aca="false">(AMF94-US95+0)*(1+BQ95)</f>
        <v>0</v>
      </c>
      <c r="AFG95" s="20" t="n">
        <f aca="false">(AMG94-UT95+0)*(1+BQ95)</f>
        <v>0</v>
      </c>
      <c r="AFH95" s="20" t="n">
        <f aca="false">(AMH94-UU95+0)*(1+BQ95)</f>
        <v>0</v>
      </c>
      <c r="AFI95" s="20" t="n">
        <f aca="false">(AMI94-UV95+0)*(1+BQ95)</f>
        <v>0</v>
      </c>
      <c r="AFJ95" s="20" t="n">
        <f aca="false">(AMJ94-UW95+0)*(1+BQ95)</f>
        <v>0</v>
      </c>
      <c r="AFK95" s="20" t="n">
        <f aca="false">(AMK94-UX95+0)*(1+BQ95)</f>
        <v>0</v>
      </c>
      <c r="AFL95" s="20" t="n">
        <f aca="false">(AML94-UY95+0)*(1+BQ95)</f>
        <v>0</v>
      </c>
      <c r="AFM95" s="20" t="n">
        <f aca="false">(AMM94-UZ95+0)*(1+BQ95)</f>
        <v>0</v>
      </c>
      <c r="AFN95" s="20" t="n">
        <f aca="false">(AMN94-VA95+0)*(1+BQ95)</f>
        <v>0</v>
      </c>
      <c r="AFO95" s="20" t="n">
        <f aca="false">(AMO94-VB95+0)*(1+BQ95)</f>
        <v>0</v>
      </c>
      <c r="AFP95" s="20" t="n">
        <f aca="false">(AMP94-VC95+0)*(1+BQ95)</f>
        <v>0</v>
      </c>
      <c r="AFQ95" s="20" t="n">
        <f aca="false">(AMQ94-VD95+0)*(1+BQ95)</f>
        <v>0</v>
      </c>
      <c r="AFR95" s="20" t="n">
        <f aca="false">(AMR94-VE95+0)*(1+BQ95)</f>
        <v>0</v>
      </c>
      <c r="AFS95" s="20" t="n">
        <f aca="false">(AMS94-VF95+0)*(1+BQ95)</f>
        <v>0</v>
      </c>
      <c r="AFT95" s="20" t="n">
        <f aca="false">(AMT94-VG95+0)*(1+BQ95)</f>
        <v>0</v>
      </c>
      <c r="AFU95" s="20" t="n">
        <f aca="false">(AMU94-VH95+0)*(1+BQ95)</f>
        <v>0</v>
      </c>
      <c r="AFV95" s="20" t="n">
        <f aca="false">(AMV94-VI95+0)*(1+BQ95)</f>
        <v>0</v>
      </c>
      <c r="AFW95" s="20" t="n">
        <f aca="false">(AMW94-VJ95+0)*(1+BQ95)</f>
        <v>0</v>
      </c>
      <c r="AFX95" s="20" t="n">
        <f aca="false">(AMX94-VK95+0)*(1+BQ95)</f>
        <v>0</v>
      </c>
      <c r="AFY95" s="20" t="n">
        <f aca="false">(AMY94-VL95+0)*(1+BQ95)</f>
        <v>0</v>
      </c>
      <c r="AFZ95" s="20" t="n">
        <f aca="false">(AMZ94-VM95+0)*(1+BQ95)</f>
        <v>0</v>
      </c>
      <c r="AGA95" s="20" t="n">
        <f aca="false">(ANA94-VN95+0)*(1+BQ95)</f>
        <v>0</v>
      </c>
      <c r="AGB95" s="20" t="n">
        <f aca="false">(ANB94-VO95+0)*(1+BQ95)</f>
        <v>0</v>
      </c>
      <c r="AGC95" s="20" t="n">
        <f aca="false">(ANC94-VP95+0)*(1+BQ95)</f>
        <v>0</v>
      </c>
      <c r="AGD95" s="20" t="n">
        <f aca="false">(AND94-VQ95+0)*(1+BQ95)</f>
        <v>0</v>
      </c>
      <c r="AGE95" s="20" t="n">
        <f aca="false">(ANE94-VR95+0)*(1+BQ95)</f>
        <v>0</v>
      </c>
      <c r="AGF95" s="20" t="n">
        <f aca="false">(ANF94-VS95+0)*(1+BQ95)</f>
        <v>0</v>
      </c>
      <c r="AGG95" s="20" t="n">
        <f aca="false">(ANG94-VT95+0)*(1+BQ95)</f>
        <v>0</v>
      </c>
      <c r="AGH95" s="20" t="n">
        <f aca="false">(ANH94-VU95+0)*(1+BQ95)</f>
        <v>0</v>
      </c>
      <c r="AGI95" s="20" t="n">
        <f aca="false">(ANI94-VV95+0)*(1+BQ95)</f>
        <v>0</v>
      </c>
      <c r="AGJ95" s="20" t="n">
        <f aca="false">(ANJ94-VW95+0)*(1+BQ95)</f>
        <v>0</v>
      </c>
      <c r="AGK95" s="20" t="n">
        <f aca="false">(ANK94-VX95+0)*(1+BQ95)</f>
        <v>0</v>
      </c>
      <c r="AGL95" s="20" t="n">
        <f aca="false">(ANL94-VY95+0)*(1+BQ95)</f>
        <v>0</v>
      </c>
      <c r="AGM95" s="20" t="n">
        <f aca="false">(ANM94-VZ95+0)*(1+BQ95)</f>
        <v>0</v>
      </c>
      <c r="AGN95" s="20" t="n">
        <f aca="false">(ANN94-WA95+0)*(1+BQ95)</f>
        <v>0</v>
      </c>
      <c r="AGO95" s="20" t="n">
        <f aca="false">(ANO94-WB95+0)*(1+BQ95)</f>
        <v>0</v>
      </c>
      <c r="AGP95" s="20" t="n">
        <f aca="false">(ANP94-WC95+0)*(1+BQ95)</f>
        <v>0</v>
      </c>
      <c r="AGQ95" s="20" t="n">
        <f aca="false">(ANQ94-WD95+0)*(1+BQ95)</f>
        <v>0</v>
      </c>
      <c r="AGR95" s="20" t="n">
        <f aca="false">(ANR94-WE95+0)*(1+BQ95)</f>
        <v>0</v>
      </c>
      <c r="AGS95" s="20" t="n">
        <f aca="false">(ANS94-WF95+0)*(1+BQ95)</f>
        <v>0</v>
      </c>
      <c r="AGT95" s="20" t="n">
        <f aca="false">(ANT94-WG95+0)*(1+BQ95)</f>
        <v>0</v>
      </c>
      <c r="AGU95" s="20" t="n">
        <f aca="false">(ANU94-WH95+0)*(1+BQ95)</f>
        <v>0</v>
      </c>
      <c r="AGV95" s="20" t="n">
        <f aca="false">(ANV94-WI95+0)*(1+BQ95)</f>
        <v>0</v>
      </c>
      <c r="AGW95" s="20" t="n">
        <f aca="false">(ANW94-WJ95+0)*(1+BQ95)</f>
        <v>0</v>
      </c>
      <c r="AGX95" s="20" t="n">
        <f aca="false">(ANX94-WK95+0)*(1+BQ95)</f>
        <v>0</v>
      </c>
      <c r="AGY95" s="20" t="n">
        <f aca="false">(ANY94-WL95+0)*(1+BQ95)</f>
        <v>0</v>
      </c>
      <c r="AGZ95" s="20" t="n">
        <f aca="false">(ANZ94-WM95+0)*(1+BQ95)</f>
        <v>0</v>
      </c>
      <c r="AHA95" s="20" t="n">
        <f aca="false">(AOA94-WN95+0)*(1+BQ95)</f>
        <v>0</v>
      </c>
      <c r="AHB95" s="20" t="n">
        <f aca="false">((P95+S95)-WO95+BE95)*(1+BQ95)</f>
        <v>0</v>
      </c>
      <c r="AHC95" s="20" t="n">
        <v>0</v>
      </c>
      <c r="AHD95" s="20" t="n">
        <v>0</v>
      </c>
      <c r="AHE95" s="20" t="n">
        <f aca="false">IF(AKR94&gt;0,AOE94-AOE94*TE95/AKR94,0)+0</f>
        <v>0</v>
      </c>
      <c r="AHF95" s="20" t="n">
        <f aca="false">IF(AKS94&gt;0,AOF94-AOF94*TF95/AKS94,0)+0</f>
        <v>0</v>
      </c>
      <c r="AHG95" s="20" t="n">
        <f aca="false">IF(AKT94&gt;0,AOG94-AOG94*TG95/AKT94,0)+0</f>
        <v>0</v>
      </c>
      <c r="AHH95" s="20" t="n">
        <f aca="false">IF(AKU94&gt;0,AOH94-AOH94*TH95/AKU94,0)+0</f>
        <v>0</v>
      </c>
      <c r="AHI95" s="20" t="n">
        <f aca="false">IF(AKV94&gt;0,AOI94-AOI94*TI95/AKV94,0)+0</f>
        <v>0</v>
      </c>
      <c r="AHJ95" s="20" t="n">
        <f aca="false">IF(AKW94&gt;0,AOJ94-AOJ94*TJ95/AKW94,0)+0</f>
        <v>0</v>
      </c>
      <c r="AHK95" s="20" t="n">
        <f aca="false">IF(AKX94&gt;0,AOK94-AOK94*TK95/AKX94,0)+0</f>
        <v>0</v>
      </c>
      <c r="AHL95" s="20" t="n">
        <f aca="false">IF(AKY94&gt;0,AOL94-AOL94*TL95/AKY94,0)+0</f>
        <v>0</v>
      </c>
      <c r="AHM95" s="20" t="n">
        <f aca="false">IF(AKZ94&gt;0,AOM94-AOM94*TM95/AKZ94,0)+0</f>
        <v>0</v>
      </c>
      <c r="AHN95" s="20" t="n">
        <f aca="false">IF(ALA94&gt;0,AON94-AON94*TN95/ALA94,0)+0</f>
        <v>0</v>
      </c>
      <c r="AHO95" s="20" t="n">
        <f aca="false">IF(ALB94&gt;0,AOO94-AOO94*TO95/ALB94,0)+0</f>
        <v>0</v>
      </c>
      <c r="AHP95" s="20" t="n">
        <f aca="false">IF(ALC94&gt;0,AOP94-AOP94*TP95/ALC94,0)+0</f>
        <v>0</v>
      </c>
      <c r="AHQ95" s="20" t="n">
        <f aca="false">IF(ALD94&gt;0,AOQ94-AOQ94*TQ95/ALD94,0)+0</f>
        <v>0</v>
      </c>
      <c r="AHR95" s="20" t="n">
        <f aca="false">IF(ALE94&gt;0,AOR94-AOR94*TR95/ALE94,0)+0</f>
        <v>0</v>
      </c>
      <c r="AHS95" s="20" t="n">
        <f aca="false">IF(ALF94&gt;0,AOS94-AOS94*TS95/ALF94,0)+0</f>
        <v>0</v>
      </c>
      <c r="AHT95" s="20" t="n">
        <f aca="false">IF(ALG94&gt;0,AOT94-AOT94*TT95/ALG94,0)+0</f>
        <v>0</v>
      </c>
      <c r="AHU95" s="20" t="n">
        <f aca="false">IF(ALH94&gt;0,AOU94-AOU94*TU95/ALH94,0)+0</f>
        <v>0</v>
      </c>
      <c r="AHV95" s="20" t="n">
        <f aca="false">IF(ALI94&gt;0,AOV94-AOV94*TV95/ALI94,0)+0</f>
        <v>0</v>
      </c>
      <c r="AHW95" s="20" t="n">
        <f aca="false">IF(ALJ94&gt;0,AOW94-AOW94*TW95/ALJ94,0)+0</f>
        <v>0</v>
      </c>
      <c r="AHX95" s="20" t="n">
        <f aca="false">IF(ALK94&gt;0,AOX94-AOX94*TX95/ALK94,0)+0</f>
        <v>0</v>
      </c>
      <c r="AHY95" s="20" t="n">
        <f aca="false">IF(ALL94&gt;0,AOY94-AOY94*TY95/ALL94,0)+0</f>
        <v>0</v>
      </c>
      <c r="AHZ95" s="20" t="n">
        <f aca="false">IF(ALM94&gt;0,AOZ94-AOZ94*TZ95/ALM94,0)+0</f>
        <v>0</v>
      </c>
      <c r="AIA95" s="20" t="n">
        <f aca="false">IF(ALN94&gt;0,APA94-APA94*UA95/ALN94,0)+0</f>
        <v>0</v>
      </c>
      <c r="AIB95" s="20" t="n">
        <f aca="false">IF(ALO94&gt;0,APB94-APB94*UB95/ALO94,0)+0</f>
        <v>0</v>
      </c>
      <c r="AIC95" s="20" t="n">
        <f aca="false">IF(ALP94&gt;0,APC94-APC94*UC95/ALP94,0)+0</f>
        <v>0</v>
      </c>
      <c r="AID95" s="20" t="n">
        <f aca="false">IF(ALQ94&gt;0,APD94-APD94*UD95/ALQ94,0)+0</f>
        <v>0</v>
      </c>
      <c r="AIE95" s="20" t="n">
        <f aca="false">IF(ALR94&gt;0,APE94-APE94*UE95/ALR94,0)+0</f>
        <v>0</v>
      </c>
      <c r="AIF95" s="20" t="n">
        <f aca="false">IF(ALS94&gt;0,APF94-APF94*UF95/ALS94,0)+0</f>
        <v>0</v>
      </c>
      <c r="AIG95" s="20" t="n">
        <f aca="false">IF(ALT94&gt;0,APG94-APG94*UG95/ALT94,0)+0</f>
        <v>0</v>
      </c>
      <c r="AIH95" s="20" t="n">
        <f aca="false">IF(ALU94&gt;0,APH94-APH94*UH95/ALU94,0)+0</f>
        <v>0</v>
      </c>
      <c r="AII95" s="20" t="n">
        <f aca="false">IF(ALV94&gt;0,API94-API94*UI95/ALV94,0)+0</f>
        <v>0</v>
      </c>
      <c r="AIJ95" s="20" t="n">
        <f aca="false">IF(ALW94&gt;0,APJ94-APJ94*UJ95/ALW94,0)+0</f>
        <v>0</v>
      </c>
      <c r="AIK95" s="20" t="n">
        <f aca="false">IF(ALX94&gt;0,APK94-APK94*UK95/ALX94,0)+0</f>
        <v>0</v>
      </c>
      <c r="AIL95" s="20" t="n">
        <f aca="false">IF(ALY94&gt;0,APL94-APL94*UL95/ALY94,0)+0</f>
        <v>0</v>
      </c>
      <c r="AIM95" s="20" t="n">
        <f aca="false">IF(ALZ94&gt;0,APM94-APM94*UM95/ALZ94,0)+0</f>
        <v>0</v>
      </c>
      <c r="AIN95" s="20" t="n">
        <f aca="false">IF(AMA94&gt;0,APN94-APN94*UN95/AMA94,0)+0</f>
        <v>0</v>
      </c>
      <c r="AIO95" s="20" t="n">
        <f aca="false">IF(AMB94&gt;0,APO94-APO94*UO95/AMB94,0)+0</f>
        <v>0</v>
      </c>
      <c r="AIP95" s="20" t="n">
        <f aca="false">IF(AMC94&gt;0,APP94-APP94*UP95/AMC94,0)+0</f>
        <v>0</v>
      </c>
      <c r="AIQ95" s="20" t="n">
        <f aca="false">IF(AMD94&gt;0,APQ94-APQ94*UQ95/AMD94,0)+0</f>
        <v>0</v>
      </c>
      <c r="AIR95" s="20" t="n">
        <f aca="false">IF(AME94&gt;0,APR94-APR94*UR95/AME94,0)+0</f>
        <v>0</v>
      </c>
      <c r="AIS95" s="20" t="n">
        <f aca="false">IF(AMF94&gt;0,APS94-APS94*US95/AMF94,0)+0</f>
        <v>0</v>
      </c>
      <c r="AIT95" s="20" t="n">
        <f aca="false">IF(AMG94&gt;0,APT94-APT94*UT95/AMG94,0)+0</f>
        <v>0</v>
      </c>
      <c r="AIU95" s="20" t="n">
        <f aca="false">IF(AMH94&gt;0,APU94-APU94*UU95/AMH94,0)+0</f>
        <v>0</v>
      </c>
      <c r="AIV95" s="20" t="n">
        <f aca="false">IF(AMI94&gt;0,APV94-APV94*UV95/AMI94,0)+0</f>
        <v>0</v>
      </c>
      <c r="AIW95" s="20" t="n">
        <f aca="false">IF(AMJ94&gt;0,APW94-APW94*UW95/AMJ94,0)+0</f>
        <v>0</v>
      </c>
      <c r="AIX95" s="20" t="n">
        <f aca="false">IF(AMK94&gt;0,APX94-APX94*UX95/AMK94,0)+0</f>
        <v>0</v>
      </c>
      <c r="AIY95" s="20" t="n">
        <f aca="false">IF(AML94&gt;0,APY94-APY94*UY95/AML94,0)+0</f>
        <v>0</v>
      </c>
      <c r="AIZ95" s="20" t="n">
        <f aca="false">IF(AMM94&gt;0,APZ94-APZ94*UZ95/AMM94,0)+0</f>
        <v>0</v>
      </c>
      <c r="AJA95" s="20" t="n">
        <f aca="false">IF(AMN94&gt;0,AQA94-AQA94*VA95/AMN94,0)+0</f>
        <v>0</v>
      </c>
      <c r="AJB95" s="20" t="n">
        <f aca="false">IF(AMO94&gt;0,AQB94-AQB94*VB95/AMO94,0)+0</f>
        <v>0</v>
      </c>
      <c r="AJC95" s="20" t="n">
        <f aca="false">IF(AMP94&gt;0,AQC94-AQC94*VC95/AMP94,0)+0</f>
        <v>0</v>
      </c>
      <c r="AJD95" s="20" t="n">
        <f aca="false">IF(AMQ94&gt;0,AQD94-AQD94*VD95/AMQ94,0)+0</f>
        <v>0</v>
      </c>
      <c r="AJE95" s="20" t="n">
        <f aca="false">IF(AMR94&gt;0,AQE94-AQE94*VE95/AMR94,0)+0</f>
        <v>0</v>
      </c>
      <c r="AJF95" s="20" t="n">
        <f aca="false">IF(AMS94&gt;0,AQF94-AQF94*VF95/AMS94,0)+0</f>
        <v>0</v>
      </c>
      <c r="AJG95" s="20" t="n">
        <f aca="false">IF(AMT94&gt;0,AQG94-AQG94*VG95/AMT94,0)+0</f>
        <v>0</v>
      </c>
      <c r="AJH95" s="20" t="n">
        <f aca="false">IF(AMU94&gt;0,AQH94-AQH94*VH95/AMU94,0)+0</f>
        <v>0</v>
      </c>
      <c r="AJI95" s="20" t="n">
        <f aca="false">IF(AMV94&gt;0,AQI94-AQI94*VI95/AMV94,0)+0</f>
        <v>0</v>
      </c>
      <c r="AJJ95" s="20" t="n">
        <f aca="false">IF(AMW94&gt;0,AQJ94-AQJ94*VJ95/AMW94,0)+0</f>
        <v>0</v>
      </c>
      <c r="AJK95" s="20" t="n">
        <f aca="false">IF(AMX94&gt;0,AQK94-AQK94*VK95/AMX94,0)+0</f>
        <v>0</v>
      </c>
      <c r="AJL95" s="20" t="n">
        <f aca="false">IF(AMY94&gt;0,AQL94-AQL94*VL95/AMY94,0)+0</f>
        <v>0</v>
      </c>
      <c r="AJM95" s="20" t="n">
        <f aca="false">IF(AMZ94&gt;0,AQM94-AQM94*VM95/AMZ94,0)+0</f>
        <v>0</v>
      </c>
      <c r="AJN95" s="20" t="n">
        <f aca="false">IF(ANA94&gt;0,AQN94-AQN94*VN95/ANA94,0)+0</f>
        <v>0</v>
      </c>
      <c r="AJO95" s="20" t="n">
        <f aca="false">IF(ANB94&gt;0,AQO94-AQO94*VO95/ANB94,0)+0</f>
        <v>0</v>
      </c>
      <c r="AJP95" s="20" t="n">
        <f aca="false">IF(ANC94&gt;0,AQP94-AQP94*VP95/ANC94,0)+0</f>
        <v>0</v>
      </c>
      <c r="AJQ95" s="20" t="n">
        <f aca="false">IF(AND94&gt;0,AQQ94-AQQ94*VQ95/AND94,0)+0</f>
        <v>0</v>
      </c>
      <c r="AJR95" s="20" t="n">
        <f aca="false">IF(ANE94&gt;0,AQR94-AQR94*VR95/ANE94,0)+0</f>
        <v>0</v>
      </c>
      <c r="AJS95" s="20" t="n">
        <f aca="false">IF(ANF94&gt;0,AQS94-AQS94*VS95/ANF94,0)+0</f>
        <v>0</v>
      </c>
      <c r="AJT95" s="20" t="n">
        <f aca="false">IF(ANG94&gt;0,AQT94-AQT94*VT95/ANG94,0)+0</f>
        <v>0</v>
      </c>
      <c r="AJU95" s="20" t="n">
        <f aca="false">IF(ANH94&gt;0,AQU94-AQU94*VU95/ANH94,0)+0</f>
        <v>0</v>
      </c>
      <c r="AJV95" s="20" t="n">
        <f aca="false">IF(ANI94&gt;0,AQV94-AQV94*VV95/ANI94,0)+0</f>
        <v>0</v>
      </c>
      <c r="AJW95" s="20" t="n">
        <f aca="false">IF(ANJ94&gt;0,AQW94-AQW94*VW95/ANJ94,0)+0</f>
        <v>0</v>
      </c>
      <c r="AJX95" s="20" t="n">
        <f aca="false">IF(ANK94&gt;0,AQX94-AQX94*VX95/ANK94,0)+0</f>
        <v>0</v>
      </c>
      <c r="AJY95" s="20" t="n">
        <f aca="false">IF(ANL94&gt;0,AQY94-AQY94*VY95/ANL94,0)+0</f>
        <v>0</v>
      </c>
      <c r="AJZ95" s="20" t="n">
        <f aca="false">IF(ANM94&gt;0,AQZ94-AQZ94*VZ95/ANM94,0)+0</f>
        <v>0</v>
      </c>
      <c r="AKA95" s="20" t="n">
        <f aca="false">IF(ANN94&gt;0,ARA94-ARA94*WA95/ANN94,0)+0</f>
        <v>0</v>
      </c>
      <c r="AKB95" s="20" t="n">
        <f aca="false">IF(ANO94&gt;0,ARB94-ARB94*WB95/ANO94,0)+0</f>
        <v>0</v>
      </c>
      <c r="AKC95" s="20" t="n">
        <f aca="false">IF(ANP94&gt;0,ARC94-ARC94*WC95/ANP94,0)+0</f>
        <v>0</v>
      </c>
      <c r="AKD95" s="20" t="n">
        <f aca="false">IF(ANQ94&gt;0,ARD94-ARD94*WD95/ANQ94,0)+0</f>
        <v>0</v>
      </c>
      <c r="AKE95" s="20" t="n">
        <f aca="false">IF(ANR94&gt;0,ARE94-ARE94*WE95/ANR94,0)+0</f>
        <v>0</v>
      </c>
      <c r="AKF95" s="20" t="n">
        <f aca="false">IF(ANS94&gt;0,ARF94-ARF94*WF95/ANS94,0)+0</f>
        <v>0</v>
      </c>
      <c r="AKG95" s="20" t="n">
        <f aca="false">IF(ANT94&gt;0,ARG94-ARG94*WG95/ANT94,0)+0</f>
        <v>0</v>
      </c>
      <c r="AKH95" s="20" t="n">
        <f aca="false">IF(ANU94&gt;0,ARH94-ARH94*WH95/ANU94,0)+0</f>
        <v>0</v>
      </c>
      <c r="AKI95" s="20" t="n">
        <f aca="false">IF(ANV94&gt;0,ARI94-ARI94*WI95/ANV94,0)+0</f>
        <v>0</v>
      </c>
      <c r="AKJ95" s="20" t="n">
        <f aca="false">IF(ANW94&gt;0,ARJ94-ARJ94*WJ95/ANW94,0)+0</f>
        <v>0</v>
      </c>
      <c r="AKK95" s="20" t="n">
        <f aca="false">IF(ANX94&gt;0,ARK94-ARK94*WK95/ANX94,0)+0</f>
        <v>0</v>
      </c>
      <c r="AKL95" s="20" t="n">
        <f aca="false">IF(ANY94&gt;0,ARL94-ARL94*WL95/ANY94,0)+0</f>
        <v>0</v>
      </c>
      <c r="AKM95" s="20" t="n">
        <f aca="false">IF(ANZ94&gt;0,ARM94-ARM94*WM95/ANZ94,0)+0</f>
        <v>0</v>
      </c>
      <c r="AKN95" s="20" t="n">
        <f aca="false">IF(AOA94&gt;0,ARN94-ARN94*WN95/AOA94,0)+0</f>
        <v>0</v>
      </c>
      <c r="AKO95" s="20" t="n">
        <f aca="false">IF((P95+S95)&gt;0,(P95+S95)-(P95+S95)*WO95/(P95+S95),0)+BE95</f>
        <v>0</v>
      </c>
      <c r="AKP95" s="20" t="n">
        <v>0</v>
      </c>
      <c r="AKQ95" s="20" t="n">
        <v>0</v>
      </c>
      <c r="AKR95" s="20" t="n">
        <f aca="false">ADR95-AVE95</f>
        <v>0</v>
      </c>
      <c r="AKS95" s="20" t="n">
        <f aca="false">ADS95-AVF95</f>
        <v>0</v>
      </c>
      <c r="AKT95" s="20" t="n">
        <f aca="false">ADT95-AVG95</f>
        <v>0</v>
      </c>
      <c r="AKU95" s="20" t="n">
        <f aca="false">ADU95-AVH95</f>
        <v>0</v>
      </c>
      <c r="AKV95" s="20" t="n">
        <f aca="false">ADV95-AVI95</f>
        <v>0</v>
      </c>
      <c r="AKW95" s="20" t="n">
        <f aca="false">ADW95-AVJ95</f>
        <v>0</v>
      </c>
      <c r="AKX95" s="20" t="n">
        <f aca="false">ADX95-AVK95</f>
        <v>0</v>
      </c>
      <c r="AKY95" s="20" t="n">
        <f aca="false">ADY95-AVL95</f>
        <v>0</v>
      </c>
      <c r="AKZ95" s="20" t="n">
        <f aca="false">ADZ95-AVM95</f>
        <v>0</v>
      </c>
      <c r="ALA95" s="20" t="n">
        <f aca="false">AEA95-AVN95</f>
        <v>0</v>
      </c>
      <c r="ALB95" s="20" t="n">
        <f aca="false">AEB95-AVO95</f>
        <v>0</v>
      </c>
      <c r="ALC95" s="20" t="n">
        <f aca="false">AEC95-AVP95</f>
        <v>0</v>
      </c>
      <c r="ALD95" s="20" t="n">
        <f aca="false">AED95-AVQ95</f>
        <v>0</v>
      </c>
      <c r="ALE95" s="20" t="n">
        <f aca="false">AEE95-AVR95</f>
        <v>0</v>
      </c>
      <c r="ALF95" s="20" t="n">
        <f aca="false">AEF95-AVS95</f>
        <v>0</v>
      </c>
      <c r="ALG95" s="20" t="n">
        <f aca="false">AEG95-AVT95</f>
        <v>0</v>
      </c>
      <c r="ALH95" s="20" t="n">
        <f aca="false">AEH95-AVU95</f>
        <v>0</v>
      </c>
      <c r="ALI95" s="20" t="n">
        <f aca="false">AEI95-AVV95</f>
        <v>0</v>
      </c>
      <c r="ALJ95" s="20" t="n">
        <f aca="false">AEJ95-AVW95</f>
        <v>0</v>
      </c>
      <c r="ALK95" s="20" t="n">
        <f aca="false">AEK95-AVX95</f>
        <v>0</v>
      </c>
      <c r="ALL95" s="20" t="n">
        <f aca="false">AEL95-AVY95</f>
        <v>0</v>
      </c>
      <c r="ALM95" s="20" t="n">
        <f aca="false">AEM95-AVZ95</f>
        <v>0</v>
      </c>
      <c r="ALN95" s="20" t="n">
        <f aca="false">AEN95-AWA95</f>
        <v>0</v>
      </c>
      <c r="ALO95" s="20" t="n">
        <f aca="false">AEO95-AWB95</f>
        <v>0</v>
      </c>
      <c r="ALP95" s="20" t="n">
        <f aca="false">AEP95-AWC95</f>
        <v>0</v>
      </c>
      <c r="ALQ95" s="20" t="n">
        <f aca="false">AEQ95-AWD95</f>
        <v>0</v>
      </c>
      <c r="ALR95" s="20" t="n">
        <f aca="false">AER95-AWE95</f>
        <v>0</v>
      </c>
      <c r="ALS95" s="20" t="n">
        <f aca="false">AES95-AWF95</f>
        <v>0</v>
      </c>
      <c r="ALT95" s="20" t="n">
        <f aca="false">AET95-AWG95</f>
        <v>0</v>
      </c>
      <c r="ALU95" s="20" t="n">
        <f aca="false">AEU95-AWH95</f>
        <v>0</v>
      </c>
      <c r="ALV95" s="20" t="n">
        <f aca="false">AEV95-AWI95</f>
        <v>0</v>
      </c>
      <c r="ALW95" s="20" t="n">
        <f aca="false">AEW95-AWJ95</f>
        <v>0</v>
      </c>
      <c r="ALX95" s="20" t="n">
        <f aca="false">AEX95-AWK95</f>
        <v>0</v>
      </c>
      <c r="ALY95" s="20" t="n">
        <f aca="false">AEY95-AWL95</f>
        <v>0</v>
      </c>
      <c r="ALZ95" s="20" t="n">
        <f aca="false">AEZ95-AWM95</f>
        <v>0</v>
      </c>
      <c r="AMA95" s="20" t="n">
        <f aca="false">AFA95-AWN95</f>
        <v>0</v>
      </c>
      <c r="AMB95" s="20" t="n">
        <f aca="false">AFB95-AWO95</f>
        <v>0</v>
      </c>
      <c r="AMC95" s="20" t="n">
        <f aca="false">AFC95-AWP95</f>
        <v>0</v>
      </c>
      <c r="AMD95" s="20" t="n">
        <f aca="false">AFD95-AWQ95</f>
        <v>0</v>
      </c>
      <c r="AME95" s="20" t="n">
        <f aca="false">AFE95-AWR95</f>
        <v>0</v>
      </c>
      <c r="AMF95" s="20" t="n">
        <f aca="false">AFF95-AWS95</f>
        <v>0</v>
      </c>
      <c r="AMG95" s="20" t="n">
        <f aca="false">AFG95-AWT95</f>
        <v>0</v>
      </c>
      <c r="AMH95" s="20" t="n">
        <f aca="false">AFH95-AWU95</f>
        <v>0</v>
      </c>
      <c r="AMI95" s="20" t="n">
        <f aca="false">AFI95-AWV95</f>
        <v>0</v>
      </c>
      <c r="AMJ95" s="20" t="n">
        <f aca="false">AFJ95-AWW95</f>
        <v>0</v>
      </c>
      <c r="AMK95" s="20" t="n">
        <f aca="false">AFK95-AWX95</f>
        <v>0</v>
      </c>
      <c r="AML95" s="20" t="n">
        <f aca="false">AFL95-AWY95</f>
        <v>0</v>
      </c>
      <c r="AMM95" s="20" t="n">
        <f aca="false">AFM95-AWZ95</f>
        <v>0</v>
      </c>
      <c r="AMN95" s="20" t="n">
        <f aca="false">AFN95-AXA95</f>
        <v>0</v>
      </c>
      <c r="AMO95" s="20" t="n">
        <f aca="false">AFO95-AXB95</f>
        <v>0</v>
      </c>
      <c r="AMP95" s="20" t="n">
        <f aca="false">AFP95-AXC95</f>
        <v>0</v>
      </c>
      <c r="AMQ95" s="20" t="n">
        <f aca="false">AFQ95-AXD95</f>
        <v>0</v>
      </c>
      <c r="AMR95" s="20" t="n">
        <f aca="false">AFR95-AXE95</f>
        <v>0</v>
      </c>
      <c r="AMS95" s="20" t="n">
        <f aca="false">AFS95-AXF95</f>
        <v>0</v>
      </c>
      <c r="AMT95" s="20" t="n">
        <f aca="false">AFT95-AXG95</f>
        <v>0</v>
      </c>
      <c r="AMU95" s="20" t="n">
        <f aca="false">AFU95-AXH95</f>
        <v>0</v>
      </c>
      <c r="AMV95" s="20" t="n">
        <f aca="false">AFV95-AXI95</f>
        <v>0</v>
      </c>
      <c r="AMW95" s="20" t="n">
        <f aca="false">AFW95-AXJ95</f>
        <v>0</v>
      </c>
      <c r="AMX95" s="20" t="n">
        <f aca="false">AFX95-AXK95</f>
        <v>0</v>
      </c>
      <c r="AMY95" s="20" t="n">
        <f aca="false">AFY95-AXL95</f>
        <v>0</v>
      </c>
      <c r="AMZ95" s="20" t="n">
        <f aca="false">AFZ95-AXM95</f>
        <v>0</v>
      </c>
      <c r="ANA95" s="20" t="n">
        <f aca="false">AGA95-AXN95</f>
        <v>0</v>
      </c>
      <c r="ANB95" s="20" t="n">
        <f aca="false">AGB95-AXO95</f>
        <v>0</v>
      </c>
      <c r="ANC95" s="20" t="n">
        <f aca="false">AGC95-AXP95</f>
        <v>0</v>
      </c>
      <c r="AND95" s="20" t="n">
        <f aca="false">AGD95-AXQ95</f>
        <v>0</v>
      </c>
      <c r="ANE95" s="20" t="n">
        <f aca="false">AGE95-AXR95</f>
        <v>0</v>
      </c>
      <c r="ANF95" s="20" t="n">
        <f aca="false">AGF95-AXS95</f>
        <v>0</v>
      </c>
      <c r="ANG95" s="20" t="n">
        <f aca="false">AGG95-AXT95</f>
        <v>0</v>
      </c>
      <c r="ANH95" s="20" t="n">
        <f aca="false">AGH95-AXU95</f>
        <v>0</v>
      </c>
      <c r="ANI95" s="20" t="n">
        <f aca="false">AGI95-AXV95</f>
        <v>0</v>
      </c>
      <c r="ANJ95" s="20" t="n">
        <f aca="false">AGJ95-AXW95</f>
        <v>0</v>
      </c>
      <c r="ANK95" s="20" t="n">
        <f aca="false">AGK95-AXX95</f>
        <v>0</v>
      </c>
      <c r="ANL95" s="20" t="n">
        <f aca="false">AGL95-AXY95</f>
        <v>0</v>
      </c>
      <c r="ANM95" s="20" t="n">
        <f aca="false">AGM95-AXZ95</f>
        <v>0</v>
      </c>
      <c r="ANN95" s="20" t="n">
        <f aca="false">AGN95-AYA95</f>
        <v>0</v>
      </c>
      <c r="ANO95" s="20" t="n">
        <f aca="false">AGO95-AYB95</f>
        <v>0</v>
      </c>
      <c r="ANP95" s="20" t="n">
        <f aca="false">AGP95-AYC95</f>
        <v>0</v>
      </c>
      <c r="ANQ95" s="20" t="n">
        <f aca="false">AGQ95-AYD95</f>
        <v>0</v>
      </c>
      <c r="ANR95" s="20" t="n">
        <f aca="false">AGR95-AYE95</f>
        <v>0</v>
      </c>
      <c r="ANS95" s="20" t="n">
        <f aca="false">AGS95-AYF95</f>
        <v>0</v>
      </c>
      <c r="ANT95" s="20" t="n">
        <f aca="false">AGT95-AYG95</f>
        <v>0</v>
      </c>
      <c r="ANU95" s="20" t="n">
        <f aca="false">AGU95-AYH95</f>
        <v>0</v>
      </c>
      <c r="ANV95" s="20" t="n">
        <f aca="false">AGV95-AYI95</f>
        <v>0</v>
      </c>
      <c r="ANW95" s="20" t="n">
        <f aca="false">AGW95-AYJ95</f>
        <v>0</v>
      </c>
      <c r="ANX95" s="20" t="n">
        <f aca="false">AGX95-AYK95</f>
        <v>0</v>
      </c>
      <c r="ANY95" s="20" t="n">
        <f aca="false">AGY95-AYL95</f>
        <v>0</v>
      </c>
      <c r="ANZ95" s="20" t="n">
        <f aca="false">AGZ95-AYM95</f>
        <v>0</v>
      </c>
      <c r="AOA95" s="20" t="n">
        <f aca="false">AHA95-AYN95</f>
        <v>0</v>
      </c>
      <c r="AOB95" s="20" t="n">
        <f aca="false">AHB95-AYO95</f>
        <v>0</v>
      </c>
      <c r="AOC95" s="20" t="n">
        <v>0</v>
      </c>
      <c r="AOD95" s="20" t="n">
        <v>0</v>
      </c>
      <c r="AOE95" s="20" t="n">
        <f aca="false">IF(AND(H_Direct=0,H_TaxEvt=1,ARR94+1&gt;=H_Deemed),AKR95,AHE95)</f>
        <v>0</v>
      </c>
      <c r="AOF95" s="20" t="n">
        <f aca="false">IF(AND(H_Direct=0,H_TaxEvt=1,ARS94+1&gt;=H_Deemed),AKS95,AHF95)</f>
        <v>0</v>
      </c>
      <c r="AOG95" s="20" t="n">
        <f aca="false">IF(AND(H_Direct=0,H_TaxEvt=1,ART94+1&gt;=H_Deemed),AKT95,AHG95)</f>
        <v>0</v>
      </c>
      <c r="AOH95" s="20" t="n">
        <f aca="false">IF(AND(H_Direct=0,H_TaxEvt=1,ARU94+1&gt;=H_Deemed),AKU95,AHH95)</f>
        <v>0</v>
      </c>
      <c r="AOI95" s="20" t="n">
        <f aca="false">IF(AND(H_Direct=0,H_TaxEvt=1,ARV94+1&gt;=H_Deemed),AKV95,AHI95)</f>
        <v>0</v>
      </c>
      <c r="AOJ95" s="20" t="n">
        <f aca="false">IF(AND(H_Direct=0,H_TaxEvt=1,ARW94+1&gt;=H_Deemed),AKW95,AHJ95)</f>
        <v>0</v>
      </c>
      <c r="AOK95" s="20" t="n">
        <f aca="false">IF(AND(H_Direct=0,H_TaxEvt=1,ARX94+1&gt;=H_Deemed),AKX95,AHK95)</f>
        <v>0</v>
      </c>
      <c r="AOL95" s="20" t="n">
        <f aca="false">IF(AND(H_Direct=0,H_TaxEvt=1,ARY94+1&gt;=H_Deemed),AKY95,AHL95)</f>
        <v>0</v>
      </c>
      <c r="AOM95" s="20" t="n">
        <f aca="false">IF(AND(H_Direct=0,H_TaxEvt=1,ARZ94+1&gt;=H_Deemed),AKZ95,AHM95)</f>
        <v>0</v>
      </c>
      <c r="AON95" s="20" t="n">
        <f aca="false">IF(AND(H_Direct=0,H_TaxEvt=1,ASA94+1&gt;=H_Deemed),ALA95,AHN95)</f>
        <v>0</v>
      </c>
      <c r="AOO95" s="20" t="n">
        <f aca="false">IF(AND(H_Direct=0,H_TaxEvt=1,ASB94+1&gt;=H_Deemed),ALB95,AHO95)</f>
        <v>0</v>
      </c>
      <c r="AOP95" s="20" t="n">
        <f aca="false">IF(AND(H_Direct=0,H_TaxEvt=1,ASC94+1&gt;=H_Deemed),ALC95,AHP95)</f>
        <v>0</v>
      </c>
      <c r="AOQ95" s="20" t="n">
        <f aca="false">IF(AND(H_Direct=0,H_TaxEvt=1,ASD94+1&gt;=H_Deemed),ALD95,AHQ95)</f>
        <v>0</v>
      </c>
      <c r="AOR95" s="20" t="n">
        <f aca="false">IF(AND(H_Direct=0,H_TaxEvt=1,ASE94+1&gt;=H_Deemed),ALE95,AHR95)</f>
        <v>0</v>
      </c>
      <c r="AOS95" s="20" t="n">
        <f aca="false">IF(AND(H_Direct=0,H_TaxEvt=1,ASF94+1&gt;=H_Deemed),ALF95,AHS95)</f>
        <v>0</v>
      </c>
      <c r="AOT95" s="20" t="n">
        <f aca="false">IF(AND(H_Direct=0,H_TaxEvt=1,ASG94+1&gt;=H_Deemed),ALG95,AHT95)</f>
        <v>0</v>
      </c>
      <c r="AOU95" s="20" t="n">
        <f aca="false">IF(AND(H_Direct=0,H_TaxEvt=1,ASH94+1&gt;=H_Deemed),ALH95,AHU95)</f>
        <v>0</v>
      </c>
      <c r="AOV95" s="20" t="n">
        <f aca="false">IF(AND(H_Direct=0,H_TaxEvt=1,ASI94+1&gt;=H_Deemed),ALI95,AHV95)</f>
        <v>0</v>
      </c>
      <c r="AOW95" s="20" t="n">
        <f aca="false">IF(AND(H_Direct=0,H_TaxEvt=1,ASJ94+1&gt;=H_Deemed),ALJ95,AHW95)</f>
        <v>0</v>
      </c>
      <c r="AOX95" s="20" t="n">
        <f aca="false">IF(AND(H_Direct=0,H_TaxEvt=1,ASK94+1&gt;=H_Deemed),ALK95,AHX95)</f>
        <v>0</v>
      </c>
      <c r="AOY95" s="20" t="n">
        <f aca="false">IF(AND(H_Direct=0,H_TaxEvt=1,ASL94+1&gt;=H_Deemed),ALL95,AHY95)</f>
        <v>0</v>
      </c>
      <c r="AOZ95" s="20" t="n">
        <f aca="false">IF(AND(H_Direct=0,H_TaxEvt=1,ASM94+1&gt;=H_Deemed),ALM95,AHZ95)</f>
        <v>0</v>
      </c>
      <c r="APA95" s="20" t="n">
        <f aca="false">IF(AND(H_Direct=0,H_TaxEvt=1,ASN94+1&gt;=H_Deemed),ALN95,AIA95)</f>
        <v>0</v>
      </c>
      <c r="APB95" s="20" t="n">
        <f aca="false">IF(AND(H_Direct=0,H_TaxEvt=1,ASO94+1&gt;=H_Deemed),ALO95,AIB95)</f>
        <v>0</v>
      </c>
      <c r="APC95" s="20" t="n">
        <f aca="false">IF(AND(H_Direct=0,H_TaxEvt=1,ASP94+1&gt;=H_Deemed),ALP95,AIC95)</f>
        <v>0</v>
      </c>
      <c r="APD95" s="20" t="n">
        <f aca="false">IF(AND(H_Direct=0,H_TaxEvt=1,ASQ94+1&gt;=H_Deemed),ALQ95,AID95)</f>
        <v>0</v>
      </c>
      <c r="APE95" s="20" t="n">
        <f aca="false">IF(AND(H_Direct=0,H_TaxEvt=1,ASR94+1&gt;=H_Deemed),ALR95,AIE95)</f>
        <v>0</v>
      </c>
      <c r="APF95" s="20" t="n">
        <f aca="false">IF(AND(H_Direct=0,H_TaxEvt=1,ASS94+1&gt;=H_Deemed),ALS95,AIF95)</f>
        <v>0</v>
      </c>
      <c r="APG95" s="20" t="n">
        <f aca="false">IF(AND(H_Direct=0,H_TaxEvt=1,AST94+1&gt;=H_Deemed),ALT95,AIG95)</f>
        <v>0</v>
      </c>
      <c r="APH95" s="20" t="n">
        <f aca="false">IF(AND(H_Direct=0,H_TaxEvt=1,ASU94+1&gt;=H_Deemed),ALU95,AIH95)</f>
        <v>0</v>
      </c>
      <c r="API95" s="20" t="n">
        <f aca="false">IF(AND(H_Direct=0,H_TaxEvt=1,ASV94+1&gt;=H_Deemed),ALV95,AII95)</f>
        <v>0</v>
      </c>
      <c r="APJ95" s="20" t="n">
        <f aca="false">IF(AND(H_Direct=0,H_TaxEvt=1,ASW94+1&gt;=H_Deemed),ALW95,AIJ95)</f>
        <v>0</v>
      </c>
      <c r="APK95" s="20" t="n">
        <f aca="false">IF(AND(H_Direct=0,H_TaxEvt=1,ASX94+1&gt;=H_Deemed),ALX95,AIK95)</f>
        <v>0</v>
      </c>
      <c r="APL95" s="20" t="n">
        <f aca="false">IF(AND(H_Direct=0,H_TaxEvt=1,ASY94+1&gt;=H_Deemed),ALY95,AIL95)</f>
        <v>0</v>
      </c>
      <c r="APM95" s="20" t="n">
        <f aca="false">IF(AND(H_Direct=0,H_TaxEvt=1,ASZ94+1&gt;=H_Deemed),ALZ95,AIM95)</f>
        <v>0</v>
      </c>
      <c r="APN95" s="20" t="n">
        <f aca="false">IF(AND(H_Direct=0,H_TaxEvt=1,ATA94+1&gt;=H_Deemed),AMA95,AIN95)</f>
        <v>0</v>
      </c>
      <c r="APO95" s="20" t="n">
        <f aca="false">IF(AND(H_Direct=0,H_TaxEvt=1,ATB94+1&gt;=H_Deemed),AMB95,AIO95)</f>
        <v>0</v>
      </c>
      <c r="APP95" s="20" t="n">
        <f aca="false">IF(AND(H_Direct=0,H_TaxEvt=1,ATC94+1&gt;=H_Deemed),AMC95,AIP95)</f>
        <v>0</v>
      </c>
      <c r="APQ95" s="20" t="n">
        <f aca="false">IF(AND(H_Direct=0,H_TaxEvt=1,ATD94+1&gt;=H_Deemed),AMD95,AIQ95)</f>
        <v>0</v>
      </c>
      <c r="APR95" s="20" t="n">
        <f aca="false">IF(AND(H_Direct=0,H_TaxEvt=1,ATE94+1&gt;=H_Deemed),AME95,AIR95)</f>
        <v>0</v>
      </c>
      <c r="APS95" s="20" t="n">
        <f aca="false">IF(AND(H_Direct=0,H_TaxEvt=1,ATF94+1&gt;=H_Deemed),AMF95,AIS95)</f>
        <v>0</v>
      </c>
      <c r="APT95" s="20" t="n">
        <f aca="false">IF(AND(H_Direct=0,H_TaxEvt=1,ATG94+1&gt;=H_Deemed),AMG95,AIT95)</f>
        <v>0</v>
      </c>
      <c r="APU95" s="20" t="n">
        <f aca="false">IF(AND(H_Direct=0,H_TaxEvt=1,ATH94+1&gt;=H_Deemed),AMH95,AIU95)</f>
        <v>0</v>
      </c>
      <c r="APV95" s="20" t="n">
        <f aca="false">IF(AND(H_Direct=0,H_TaxEvt=1,ATI94+1&gt;=H_Deemed),AMI95,AIV95)</f>
        <v>0</v>
      </c>
      <c r="APW95" s="20" t="n">
        <f aca="false">IF(AND(H_Direct=0,H_TaxEvt=1,ATJ94+1&gt;=H_Deemed),AMJ95,AIW95)</f>
        <v>0</v>
      </c>
      <c r="APX95" s="20" t="n">
        <f aca="false">IF(AND(H_Direct=0,H_TaxEvt=1,ATK94+1&gt;=H_Deemed),AMK95,AIX95)</f>
        <v>0</v>
      </c>
      <c r="APY95" s="20" t="n">
        <f aca="false">IF(AND(H_Direct=0,H_TaxEvt=1,ATL94+1&gt;=H_Deemed),AML95,AIY95)</f>
        <v>0</v>
      </c>
      <c r="APZ95" s="20" t="n">
        <f aca="false">IF(AND(H_Direct=0,H_TaxEvt=1,ATM94+1&gt;=H_Deemed),AMM95,AIZ95)</f>
        <v>0</v>
      </c>
      <c r="AQA95" s="20" t="n">
        <f aca="false">IF(AND(H_Direct=0,H_TaxEvt=1,ATN94+1&gt;=H_Deemed),AMN95,AJA95)</f>
        <v>0</v>
      </c>
      <c r="AQB95" s="20" t="n">
        <f aca="false">IF(AND(H_Direct=0,H_TaxEvt=1,ATO94+1&gt;=H_Deemed),AMO95,AJB95)</f>
        <v>0</v>
      </c>
      <c r="AQC95" s="20" t="n">
        <f aca="false">IF(AND(H_Direct=0,H_TaxEvt=1,ATP94+1&gt;=H_Deemed),AMP95,AJC95)</f>
        <v>0</v>
      </c>
      <c r="AQD95" s="20" t="n">
        <f aca="false">IF(AND(H_Direct=0,H_TaxEvt=1,ATQ94+1&gt;=H_Deemed),AMQ95,AJD95)</f>
        <v>0</v>
      </c>
      <c r="AQE95" s="20" t="n">
        <f aca="false">IF(AND(H_Direct=0,H_TaxEvt=1,ATR94+1&gt;=H_Deemed),AMR95,AJE95)</f>
        <v>0</v>
      </c>
      <c r="AQF95" s="20" t="n">
        <f aca="false">IF(AND(H_Direct=0,H_TaxEvt=1,ATS94+1&gt;=H_Deemed),AMS95,AJF95)</f>
        <v>0</v>
      </c>
      <c r="AQG95" s="20" t="n">
        <f aca="false">IF(AND(H_Direct=0,H_TaxEvt=1,ATT94+1&gt;=H_Deemed),AMT95,AJG95)</f>
        <v>0</v>
      </c>
      <c r="AQH95" s="20" t="n">
        <f aca="false">IF(AND(H_Direct=0,H_TaxEvt=1,ATU94+1&gt;=H_Deemed),AMU95,AJH95)</f>
        <v>0</v>
      </c>
      <c r="AQI95" s="20" t="n">
        <f aca="false">IF(AND(H_Direct=0,H_TaxEvt=1,ATV94+1&gt;=H_Deemed),AMV95,AJI95)</f>
        <v>0</v>
      </c>
      <c r="AQJ95" s="20" t="n">
        <f aca="false">IF(AND(H_Direct=0,H_TaxEvt=1,ATW94+1&gt;=H_Deemed),AMW95,AJJ95)</f>
        <v>0</v>
      </c>
      <c r="AQK95" s="20" t="n">
        <f aca="false">IF(AND(H_Direct=0,H_TaxEvt=1,ATX94+1&gt;=H_Deemed),AMX95,AJK95)</f>
        <v>0</v>
      </c>
      <c r="AQL95" s="20" t="n">
        <f aca="false">IF(AND(H_Direct=0,H_TaxEvt=1,ATY94+1&gt;=H_Deemed),AMY95,AJL95)</f>
        <v>0</v>
      </c>
      <c r="AQM95" s="20" t="n">
        <f aca="false">IF(AND(H_Direct=0,H_TaxEvt=1,ATZ94+1&gt;=H_Deemed),AMZ95,AJM95)</f>
        <v>0</v>
      </c>
      <c r="AQN95" s="20" t="n">
        <f aca="false">IF(AND(H_Direct=0,H_TaxEvt=1,AUA94+1&gt;=H_Deemed),ANA95,AJN95)</f>
        <v>0</v>
      </c>
      <c r="AQO95" s="20" t="n">
        <f aca="false">IF(AND(H_Direct=0,H_TaxEvt=1,AUB94+1&gt;=H_Deemed),ANB95,AJO95)</f>
        <v>0</v>
      </c>
      <c r="AQP95" s="20" t="n">
        <f aca="false">IF(AND(H_Direct=0,H_TaxEvt=1,AUC94+1&gt;=H_Deemed),ANC95,AJP95)</f>
        <v>0</v>
      </c>
      <c r="AQQ95" s="20" t="n">
        <f aca="false">IF(AND(H_Direct=0,H_TaxEvt=1,AUD94+1&gt;=H_Deemed),AND95,AJQ95)</f>
        <v>0</v>
      </c>
      <c r="AQR95" s="20" t="n">
        <f aca="false">IF(AND(H_Direct=0,H_TaxEvt=1,AUE94+1&gt;=H_Deemed),ANE95,AJR95)</f>
        <v>0</v>
      </c>
      <c r="AQS95" s="20" t="n">
        <f aca="false">IF(AND(H_Direct=0,H_TaxEvt=1,AUF94+1&gt;=H_Deemed),ANF95,AJS95)</f>
        <v>0</v>
      </c>
      <c r="AQT95" s="20" t="n">
        <f aca="false">IF(AND(H_Direct=0,H_TaxEvt=1,AUG94+1&gt;=H_Deemed),ANG95,AJT95)</f>
        <v>0</v>
      </c>
      <c r="AQU95" s="20" t="n">
        <f aca="false">IF(AND(H_Direct=0,H_TaxEvt=1,AUH94+1&gt;=H_Deemed),ANH95,AJU95)</f>
        <v>0</v>
      </c>
      <c r="AQV95" s="20" t="n">
        <f aca="false">IF(AND(H_Direct=0,H_TaxEvt=1,AUI94+1&gt;=H_Deemed),ANI95,AJV95)</f>
        <v>0</v>
      </c>
      <c r="AQW95" s="20" t="n">
        <f aca="false">IF(AND(H_Direct=0,H_TaxEvt=1,AUJ94+1&gt;=H_Deemed),ANJ95,AJW95)</f>
        <v>0</v>
      </c>
      <c r="AQX95" s="20" t="n">
        <f aca="false">IF(AND(H_Direct=0,H_TaxEvt=1,AUK94+1&gt;=H_Deemed),ANK95,AJX95)</f>
        <v>0</v>
      </c>
      <c r="AQY95" s="20" t="n">
        <f aca="false">IF(AND(H_Direct=0,H_TaxEvt=1,AUL94+1&gt;=H_Deemed),ANL95,AJY95)</f>
        <v>0</v>
      </c>
      <c r="AQZ95" s="20" t="n">
        <f aca="false">IF(AND(H_Direct=0,H_TaxEvt=1,AUM94+1&gt;=H_Deemed),ANM95,AJZ95)</f>
        <v>0</v>
      </c>
      <c r="ARA95" s="20" t="n">
        <f aca="false">IF(AND(H_Direct=0,H_TaxEvt=1,AUN94+1&gt;=H_Deemed),ANN95,AKA95)</f>
        <v>0</v>
      </c>
      <c r="ARB95" s="20" t="n">
        <f aca="false">IF(AND(H_Direct=0,H_TaxEvt=1,AUO94+1&gt;=H_Deemed),ANO95,AKB95)</f>
        <v>0</v>
      </c>
      <c r="ARC95" s="20" t="n">
        <f aca="false">IF(AND(H_Direct=0,H_TaxEvt=1,AUP94+1&gt;=H_Deemed),ANP95,AKC95)</f>
        <v>0</v>
      </c>
      <c r="ARD95" s="20" t="n">
        <f aca="false">IF(AND(H_Direct=0,H_TaxEvt=1,AUQ94+1&gt;=H_Deemed),ANQ95,AKD95)</f>
        <v>0</v>
      </c>
      <c r="ARE95" s="20" t="n">
        <f aca="false">IF(AND(H_Direct=0,H_TaxEvt=1,AUR94+1&gt;=H_Deemed),ANR95,AKE95)</f>
        <v>0</v>
      </c>
      <c r="ARF95" s="20" t="n">
        <f aca="false">IF(AND(H_Direct=0,H_TaxEvt=1,AUS94+1&gt;=H_Deemed),ANS95,AKF95)</f>
        <v>0</v>
      </c>
      <c r="ARG95" s="20" t="n">
        <f aca="false">IF(AND(H_Direct=0,H_TaxEvt=1,AUT94+1&gt;=H_Deemed),ANT95,AKG95)</f>
        <v>0</v>
      </c>
      <c r="ARH95" s="20" t="n">
        <f aca="false">IF(AND(H_Direct=0,H_TaxEvt=1,AUU94+1&gt;=H_Deemed),ANU95,AKH95)</f>
        <v>0</v>
      </c>
      <c r="ARI95" s="20" t="n">
        <f aca="false">IF(AND(H_Direct=0,H_TaxEvt=1,AUV94+1&gt;=H_Deemed),ANV95,AKI95)</f>
        <v>0</v>
      </c>
      <c r="ARJ95" s="20" t="n">
        <f aca="false">IF(AND(H_Direct=0,H_TaxEvt=1,AUW94+1&gt;=H_Deemed),ANW95,AKJ95)</f>
        <v>0</v>
      </c>
      <c r="ARK95" s="20" t="n">
        <f aca="false">IF(AND(H_Direct=0,H_TaxEvt=1,AUX94+1&gt;=H_Deemed),ANX95,AKK95)</f>
        <v>0</v>
      </c>
      <c r="ARL95" s="20" t="n">
        <f aca="false">IF(AND(H_Direct=0,H_TaxEvt=1,AUY94+1&gt;=H_Deemed),ANY95,AKL95)</f>
        <v>0</v>
      </c>
      <c r="ARM95" s="20" t="n">
        <f aca="false">IF(AND(H_Direct=0,H_TaxEvt=1,AUZ94+1&gt;=H_Deemed),ANZ95,AKM95)</f>
        <v>0</v>
      </c>
      <c r="ARN95" s="20" t="n">
        <f aca="false">IF(AND(H_Direct=0,H_TaxEvt=1,AVA94+1&gt;=H_Deemed),AOA95,AKN95)</f>
        <v>0</v>
      </c>
      <c r="ARO95" s="20" t="n">
        <f aca="false">IF(AND(H_Direct=0,H_TaxEvt=1,0+1&gt;=H_Deemed),AOB95,AKO95)</f>
        <v>0</v>
      </c>
      <c r="ARP95" s="20" t="n">
        <v>0</v>
      </c>
      <c r="ARQ95" s="20" t="n">
        <v>0</v>
      </c>
      <c r="ARR95" s="20" t="n">
        <f aca="false">IF(AND(H_Direct=0,H_TaxEvt=1),IF(ARR94+1&gt;=H_Deemed,0,ARR94+1),ARR94)</f>
        <v>0</v>
      </c>
      <c r="ARS95" s="20" t="n">
        <f aca="false">IF(AND(H_Direct=0,H_TaxEvt=1),IF(ARS94+1&gt;=H_Deemed,0,ARS94+1),ARS94)</f>
        <v>0</v>
      </c>
      <c r="ART95" s="20" t="n">
        <f aca="false">IF(AND(H_Direct=0,H_TaxEvt=1),IF(ART94+1&gt;=H_Deemed,0,ART94+1),ART94)</f>
        <v>7</v>
      </c>
      <c r="ARU95" s="20" t="n">
        <f aca="false">IF(AND(H_Direct=0,H_TaxEvt=1),IF(ARU94+1&gt;=H_Deemed,0,ARU94+1),ARU94)</f>
        <v>6</v>
      </c>
      <c r="ARV95" s="20" t="n">
        <f aca="false">IF(AND(H_Direct=0,H_TaxEvt=1),IF(ARV94+1&gt;=H_Deemed,0,ARV94+1),ARV94)</f>
        <v>5</v>
      </c>
      <c r="ARW95" s="20" t="n">
        <f aca="false">IF(AND(H_Direct=0,H_TaxEvt=1),IF(ARW94+1&gt;=H_Deemed,0,ARW94+1),ARW94)</f>
        <v>4</v>
      </c>
      <c r="ARX95" s="20" t="n">
        <f aca="false">IF(AND(H_Direct=0,H_TaxEvt=1),IF(ARX94+1&gt;=H_Deemed,0,ARX94+1),ARX94)</f>
        <v>3</v>
      </c>
      <c r="ARY95" s="20" t="n">
        <f aca="false">IF(AND(H_Direct=0,H_TaxEvt=1),IF(ARY94+1&gt;=H_Deemed,0,ARY94+1),ARY94)</f>
        <v>2</v>
      </c>
      <c r="ARZ95" s="20" t="n">
        <f aca="false">IF(AND(H_Direct=0,H_TaxEvt=1),IF(ARZ94+1&gt;=H_Deemed,0,ARZ94+1),ARZ94)</f>
        <v>1</v>
      </c>
      <c r="ASA95" s="20" t="n">
        <f aca="false">IF(AND(H_Direct=0,H_TaxEvt=1),IF(ASA94+1&gt;=H_Deemed,0,ASA94+1),ASA94)</f>
        <v>0</v>
      </c>
      <c r="ASB95" s="20" t="n">
        <f aca="false">IF(AND(H_Direct=0,H_TaxEvt=1),IF(ASB94+1&gt;=H_Deemed,0,ASB94+1),ASB94)</f>
        <v>7</v>
      </c>
      <c r="ASC95" s="20" t="n">
        <f aca="false">IF(AND(H_Direct=0,H_TaxEvt=1),IF(ASC94+1&gt;=H_Deemed,0,ASC94+1),ASC94)</f>
        <v>6</v>
      </c>
      <c r="ASD95" s="20" t="n">
        <f aca="false">IF(AND(H_Direct=0,H_TaxEvt=1),IF(ASD94+1&gt;=H_Deemed,0,ASD94+1),ASD94)</f>
        <v>5</v>
      </c>
      <c r="ASE95" s="20" t="n">
        <f aca="false">IF(AND(H_Direct=0,H_TaxEvt=1),IF(ASE94+1&gt;=H_Deemed,0,ASE94+1),ASE94)</f>
        <v>4</v>
      </c>
      <c r="ASF95" s="20" t="n">
        <f aca="false">IF(AND(H_Direct=0,H_TaxEvt=1),IF(ASF94+1&gt;=H_Deemed,0,ASF94+1),ASF94)</f>
        <v>3</v>
      </c>
      <c r="ASG95" s="20" t="n">
        <f aca="false">IF(AND(H_Direct=0,H_TaxEvt=1),IF(ASG94+1&gt;=H_Deemed,0,ASG94+1),ASG94)</f>
        <v>2</v>
      </c>
      <c r="ASH95" s="20" t="n">
        <f aca="false">IF(AND(H_Direct=0,H_TaxEvt=1),IF(ASH94+1&gt;=H_Deemed,0,ASH94+1),ASH94)</f>
        <v>1</v>
      </c>
      <c r="ASI95" s="20" t="n">
        <f aca="false">IF(AND(H_Direct=0,H_TaxEvt=1),IF(ASI94+1&gt;=H_Deemed,0,ASI94+1),ASI94)</f>
        <v>0</v>
      </c>
      <c r="ASJ95" s="20" t="n">
        <f aca="false">IF(AND(H_Direct=0,H_TaxEvt=1),IF(ASJ94+1&gt;=H_Deemed,0,ASJ94+1),ASJ94)</f>
        <v>7</v>
      </c>
      <c r="ASK95" s="20" t="n">
        <f aca="false">IF(AND(H_Direct=0,H_TaxEvt=1),IF(ASK94+1&gt;=H_Deemed,0,ASK94+1),ASK94)</f>
        <v>6</v>
      </c>
      <c r="ASL95" s="20" t="n">
        <f aca="false">IF(AND(H_Direct=0,H_TaxEvt=1),IF(ASL94+1&gt;=H_Deemed,0,ASL94+1),ASL94)</f>
        <v>5</v>
      </c>
      <c r="ASM95" s="20" t="n">
        <f aca="false">IF(AND(H_Direct=0,H_TaxEvt=1),IF(ASM94+1&gt;=H_Deemed,0,ASM94+1),ASM94)</f>
        <v>4</v>
      </c>
      <c r="ASN95" s="20" t="n">
        <f aca="false">IF(AND(H_Direct=0,H_TaxEvt=1),IF(ASN94+1&gt;=H_Deemed,0,ASN94+1),ASN94)</f>
        <v>3</v>
      </c>
      <c r="ASO95" s="20" t="n">
        <f aca="false">IF(AND(H_Direct=0,H_TaxEvt=1),IF(ASO94+1&gt;=H_Deemed,0,ASO94+1),ASO94)</f>
        <v>2</v>
      </c>
      <c r="ASP95" s="20" t="n">
        <f aca="false">IF(AND(H_Direct=0,H_TaxEvt=1),IF(ASP94+1&gt;=H_Deemed,0,ASP94+1),ASP94)</f>
        <v>1</v>
      </c>
      <c r="ASQ95" s="20" t="n">
        <f aca="false">IF(AND(H_Direct=0,H_TaxEvt=1),IF(ASQ94+1&gt;=H_Deemed,0,ASQ94+1),ASQ94)</f>
        <v>0</v>
      </c>
      <c r="ASR95" s="20" t="n">
        <f aca="false">IF(AND(H_Direct=0,H_TaxEvt=1),IF(ASR94+1&gt;=H_Deemed,0,ASR94+1),ASR94)</f>
        <v>7</v>
      </c>
      <c r="ASS95" s="20" t="n">
        <f aca="false">IF(AND(H_Direct=0,H_TaxEvt=1),IF(ASS94+1&gt;=H_Deemed,0,ASS94+1),ASS94)</f>
        <v>6</v>
      </c>
      <c r="AST95" s="20" t="n">
        <f aca="false">IF(AND(H_Direct=0,H_TaxEvt=1),IF(AST94+1&gt;=H_Deemed,0,AST94+1),AST94)</f>
        <v>5</v>
      </c>
      <c r="ASU95" s="20" t="n">
        <f aca="false">IF(AND(H_Direct=0,H_TaxEvt=1),IF(ASU94+1&gt;=H_Deemed,0,ASU94+1),ASU94)</f>
        <v>4</v>
      </c>
      <c r="ASV95" s="20" t="n">
        <f aca="false">IF(AND(H_Direct=0,H_TaxEvt=1),IF(ASV94+1&gt;=H_Deemed,0,ASV94+1),ASV94)</f>
        <v>3</v>
      </c>
      <c r="ASW95" s="20" t="n">
        <f aca="false">IF(AND(H_Direct=0,H_TaxEvt=1),IF(ASW94+1&gt;=H_Deemed,0,ASW94+1),ASW94)</f>
        <v>2</v>
      </c>
      <c r="ASX95" s="20" t="n">
        <f aca="false">IF(AND(H_Direct=0,H_TaxEvt=1),IF(ASX94+1&gt;=H_Deemed,0,ASX94+1),ASX94)</f>
        <v>1</v>
      </c>
      <c r="ASY95" s="20" t="n">
        <f aca="false">IF(AND(H_Direct=0,H_TaxEvt=1),IF(ASY94+1&gt;=H_Deemed,0,ASY94+1),ASY94)</f>
        <v>0</v>
      </c>
      <c r="ASZ95" s="20" t="n">
        <f aca="false">IF(AND(H_Direct=0,H_TaxEvt=1),IF(ASZ94+1&gt;=H_Deemed,0,ASZ94+1),ASZ94)</f>
        <v>7</v>
      </c>
      <c r="ATA95" s="20" t="n">
        <f aca="false">IF(AND(H_Direct=0,H_TaxEvt=1),IF(ATA94+1&gt;=H_Deemed,0,ATA94+1),ATA94)</f>
        <v>6</v>
      </c>
      <c r="ATB95" s="20" t="n">
        <f aca="false">IF(AND(H_Direct=0,H_TaxEvt=1),IF(ATB94+1&gt;=H_Deemed,0,ATB94+1),ATB94)</f>
        <v>5</v>
      </c>
      <c r="ATC95" s="20" t="n">
        <f aca="false">IF(AND(H_Direct=0,H_TaxEvt=1),IF(ATC94+1&gt;=H_Deemed,0,ATC94+1),ATC94)</f>
        <v>4</v>
      </c>
      <c r="ATD95" s="20" t="n">
        <f aca="false">IF(AND(H_Direct=0,H_TaxEvt=1),IF(ATD94+1&gt;=H_Deemed,0,ATD94+1),ATD94)</f>
        <v>3</v>
      </c>
      <c r="ATE95" s="20" t="n">
        <f aca="false">IF(AND(H_Direct=0,H_TaxEvt=1),IF(ATE94+1&gt;=H_Deemed,0,ATE94+1),ATE94)</f>
        <v>2</v>
      </c>
      <c r="ATF95" s="20" t="n">
        <f aca="false">IF(AND(H_Direct=0,H_TaxEvt=1),IF(ATF94+1&gt;=H_Deemed,0,ATF94+1),ATF94)</f>
        <v>1</v>
      </c>
      <c r="ATG95" s="20" t="n">
        <f aca="false">IF(AND(H_Direct=0,H_TaxEvt=1),IF(ATG94+1&gt;=H_Deemed,0,ATG94+1),ATG94)</f>
        <v>0</v>
      </c>
      <c r="ATH95" s="20" t="n">
        <f aca="false">IF(AND(H_Direct=0,H_TaxEvt=1),IF(ATH94+1&gt;=H_Deemed,0,ATH94+1),ATH94)</f>
        <v>7</v>
      </c>
      <c r="ATI95" s="20" t="n">
        <f aca="false">IF(AND(H_Direct=0,H_TaxEvt=1),IF(ATI94+1&gt;=H_Deemed,0,ATI94+1),ATI94)</f>
        <v>6</v>
      </c>
      <c r="ATJ95" s="20" t="n">
        <f aca="false">IF(AND(H_Direct=0,H_TaxEvt=1),IF(ATJ94+1&gt;=H_Deemed,0,ATJ94+1),ATJ94)</f>
        <v>5</v>
      </c>
      <c r="ATK95" s="20" t="n">
        <f aca="false">IF(AND(H_Direct=0,H_TaxEvt=1),IF(ATK94+1&gt;=H_Deemed,0,ATK94+1),ATK94)</f>
        <v>4</v>
      </c>
      <c r="ATL95" s="20" t="n">
        <f aca="false">IF(AND(H_Direct=0,H_TaxEvt=1),IF(ATL94+1&gt;=H_Deemed,0,ATL94+1),ATL94)</f>
        <v>3</v>
      </c>
      <c r="ATM95" s="20" t="n">
        <f aca="false">IF(AND(H_Direct=0,H_TaxEvt=1),IF(ATM94+1&gt;=H_Deemed,0,ATM94+1),ATM94)</f>
        <v>2</v>
      </c>
      <c r="ATN95" s="20" t="n">
        <f aca="false">IF(AND(H_Direct=0,H_TaxEvt=1),IF(ATN94+1&gt;=H_Deemed,0,ATN94+1),ATN94)</f>
        <v>1</v>
      </c>
      <c r="ATO95" s="20" t="n">
        <f aca="false">IF(AND(H_Direct=0,H_TaxEvt=1),IF(ATO94+1&gt;=H_Deemed,0,ATO94+1),ATO94)</f>
        <v>0</v>
      </c>
      <c r="ATP95" s="20" t="n">
        <f aca="false">IF(AND(H_Direct=0,H_TaxEvt=1),IF(ATP94+1&gt;=H_Deemed,0,ATP94+1),ATP94)</f>
        <v>7</v>
      </c>
      <c r="ATQ95" s="20" t="n">
        <f aca="false">IF(AND(H_Direct=0,H_TaxEvt=1),IF(ATQ94+1&gt;=H_Deemed,0,ATQ94+1),ATQ94)</f>
        <v>6</v>
      </c>
      <c r="ATR95" s="20" t="n">
        <f aca="false">IF(AND(H_Direct=0,H_TaxEvt=1),IF(ATR94+1&gt;=H_Deemed,0,ATR94+1),ATR94)</f>
        <v>5</v>
      </c>
      <c r="ATS95" s="20" t="n">
        <f aca="false">IF(AND(H_Direct=0,H_TaxEvt=1),IF(ATS94+1&gt;=H_Deemed,0,ATS94+1),ATS94)</f>
        <v>4</v>
      </c>
      <c r="ATT95" s="20" t="n">
        <f aca="false">IF(AND(H_Direct=0,H_TaxEvt=1),IF(ATT94+1&gt;=H_Deemed,0,ATT94+1),ATT94)</f>
        <v>3</v>
      </c>
      <c r="ATU95" s="20" t="n">
        <f aca="false">IF(AND(H_Direct=0,H_TaxEvt=1),IF(ATU94+1&gt;=H_Deemed,0,ATU94+1),ATU94)</f>
        <v>2</v>
      </c>
      <c r="ATV95" s="20" t="n">
        <f aca="false">IF(AND(H_Direct=0,H_TaxEvt=1),IF(ATV94+1&gt;=H_Deemed,0,ATV94+1),ATV94)</f>
        <v>1</v>
      </c>
      <c r="ATW95" s="20" t="n">
        <f aca="false">IF(AND(H_Direct=0,H_TaxEvt=1),IF(ATW94+1&gt;=H_Deemed,0,ATW94+1),ATW94)</f>
        <v>0</v>
      </c>
      <c r="ATX95" s="20" t="n">
        <f aca="false">IF(AND(H_Direct=0,H_TaxEvt=1),IF(ATX94+1&gt;=H_Deemed,0,ATX94+1),ATX94)</f>
        <v>7</v>
      </c>
      <c r="ATY95" s="20" t="n">
        <f aca="false">IF(AND(H_Direct=0,H_TaxEvt=1),IF(ATY94+1&gt;=H_Deemed,0,ATY94+1),ATY94)</f>
        <v>6</v>
      </c>
      <c r="ATZ95" s="20" t="n">
        <f aca="false">IF(AND(H_Direct=0,H_TaxEvt=1),IF(ATZ94+1&gt;=H_Deemed,0,ATZ94+1),ATZ94)</f>
        <v>5</v>
      </c>
      <c r="AUA95" s="20" t="n">
        <f aca="false">IF(AND(H_Direct=0,H_TaxEvt=1),IF(AUA94+1&gt;=H_Deemed,0,AUA94+1),AUA94)</f>
        <v>4</v>
      </c>
      <c r="AUB95" s="20" t="n">
        <f aca="false">IF(AND(H_Direct=0,H_TaxEvt=1),IF(AUB94+1&gt;=H_Deemed,0,AUB94+1),AUB94)</f>
        <v>3</v>
      </c>
      <c r="AUC95" s="20" t="n">
        <f aca="false">IF(AND(H_Direct=0,H_TaxEvt=1),IF(AUC94+1&gt;=H_Deemed,0,AUC94+1),AUC94)</f>
        <v>2</v>
      </c>
      <c r="AUD95" s="20" t="n">
        <f aca="false">IF(AND(H_Direct=0,H_TaxEvt=1),IF(AUD94+1&gt;=H_Deemed,0,AUD94+1),AUD94)</f>
        <v>1</v>
      </c>
      <c r="AUE95" s="20" t="n">
        <f aca="false">IF(AND(H_Direct=0,H_TaxEvt=1),IF(AUE94+1&gt;=H_Deemed,0,AUE94+1),AUE94)</f>
        <v>0</v>
      </c>
      <c r="AUF95" s="20" t="n">
        <f aca="false">IF(AND(H_Direct=0,H_TaxEvt=1),IF(AUF94+1&gt;=H_Deemed,0,AUF94+1),AUF94)</f>
        <v>7</v>
      </c>
      <c r="AUG95" s="20" t="n">
        <f aca="false">IF(AND(H_Direct=0,H_TaxEvt=1),IF(AUG94+1&gt;=H_Deemed,0,AUG94+1),AUG94)</f>
        <v>6</v>
      </c>
      <c r="AUH95" s="20" t="n">
        <f aca="false">IF(AND(H_Direct=0,H_TaxEvt=1),IF(AUH94+1&gt;=H_Deemed,0,AUH94+1),AUH94)</f>
        <v>5</v>
      </c>
      <c r="AUI95" s="20" t="n">
        <f aca="false">IF(AND(H_Direct=0,H_TaxEvt=1),IF(AUI94+1&gt;=H_Deemed,0,AUI94+1),AUI94)</f>
        <v>4</v>
      </c>
      <c r="AUJ95" s="20" t="n">
        <f aca="false">IF(AND(H_Direct=0,H_TaxEvt=1),IF(AUJ94+1&gt;=H_Deemed,0,AUJ94+1),AUJ94)</f>
        <v>3</v>
      </c>
      <c r="AUK95" s="20" t="n">
        <f aca="false">IF(AND(H_Direct=0,H_TaxEvt=1),IF(AUK94+1&gt;=H_Deemed,0,AUK94+1),AUK94)</f>
        <v>2</v>
      </c>
      <c r="AUL95" s="20" t="n">
        <f aca="false">IF(AND(H_Direct=0,H_TaxEvt=1),IF(AUL94+1&gt;=H_Deemed,0,AUL94+1),AUL94)</f>
        <v>1</v>
      </c>
      <c r="AUM95" s="20" t="n">
        <f aca="false">IF(AND(H_Direct=0,H_TaxEvt=1),IF(AUM94+1&gt;=H_Deemed,0,AUM94+1),AUM94)</f>
        <v>0</v>
      </c>
      <c r="AUN95" s="20" t="n">
        <f aca="false">IF(AND(H_Direct=0,H_TaxEvt=1),IF(AUN94+1&gt;=H_Deemed,0,AUN94+1),AUN94)</f>
        <v>7</v>
      </c>
      <c r="AUO95" s="20" t="n">
        <f aca="false">IF(AND(H_Direct=0,H_TaxEvt=1),IF(AUO94+1&gt;=H_Deemed,0,AUO94+1),AUO94)</f>
        <v>6</v>
      </c>
      <c r="AUP95" s="20" t="n">
        <f aca="false">IF(AND(H_Direct=0,H_TaxEvt=1),IF(AUP94+1&gt;=H_Deemed,0,AUP94+1),AUP94)</f>
        <v>5</v>
      </c>
      <c r="AUQ95" s="20" t="n">
        <f aca="false">IF(AND(H_Direct=0,H_TaxEvt=1),IF(AUQ94+1&gt;=H_Deemed,0,AUQ94+1),AUQ94)</f>
        <v>4</v>
      </c>
      <c r="AUR95" s="20" t="n">
        <f aca="false">IF(AND(H_Direct=0,H_TaxEvt=1),IF(AUR94+1&gt;=H_Deemed,0,AUR94+1),AUR94)</f>
        <v>3</v>
      </c>
      <c r="AUS95" s="20" t="n">
        <f aca="false">IF(AND(H_Direct=0,H_TaxEvt=1),IF(AUS94+1&gt;=H_Deemed,0,AUS94+1),AUS94)</f>
        <v>2</v>
      </c>
      <c r="AUT95" s="20" t="n">
        <f aca="false">IF(AND(H_Direct=0,H_TaxEvt=1),IF(AUT94+1&gt;=H_Deemed,0,AUT94+1),AUT94)</f>
        <v>1</v>
      </c>
      <c r="AUU95" s="20" t="n">
        <f aca="false">IF(AND(H_Direct=0,H_TaxEvt=1),IF(AUU94+1&gt;=H_Deemed,0,AUU94+1),AUU94)</f>
        <v>0</v>
      </c>
      <c r="AUV95" s="20" t="n">
        <f aca="false">IF(AND(H_Direct=0,H_TaxEvt=1),IF(AUV94+1&gt;=H_Deemed,0,AUV94+1),AUV94)</f>
        <v>7</v>
      </c>
      <c r="AUW95" s="20" t="n">
        <f aca="false">IF(AND(H_Direct=0,H_TaxEvt=1),IF(AUW94+1&gt;=H_Deemed,0,AUW94+1),AUW94)</f>
        <v>6</v>
      </c>
      <c r="AUX95" s="20" t="n">
        <f aca="false">IF(AND(H_Direct=0,H_TaxEvt=1),IF(AUX94+1&gt;=H_Deemed,0,AUX94+1),AUX94)</f>
        <v>5</v>
      </c>
      <c r="AUY95" s="20" t="n">
        <f aca="false">IF(AND(H_Direct=0,H_TaxEvt=1),IF(AUY94+1&gt;=H_Deemed,0,AUY94+1),AUY94)</f>
        <v>4</v>
      </c>
      <c r="AUZ95" s="20" t="n">
        <f aca="false">IF(AND(H_Direct=0,H_TaxEvt=1),IF(AUZ94+1&gt;=H_Deemed,0,AUZ94+1),AUZ94)</f>
        <v>3</v>
      </c>
      <c r="AVA95" s="20" t="n">
        <f aca="false">IF(AND(H_Direct=0,H_TaxEvt=1),IF(AVA94+1&gt;=H_Deemed,0,AVA94+1),AVA94)</f>
        <v>2</v>
      </c>
      <c r="AVB95" s="20" t="n">
        <f aca="false">IF(AND(H_Direct=0,H_TaxEvt=1),IF(0+1&gt;=H_Deemed,0,0+1),0)</f>
        <v>1</v>
      </c>
      <c r="AVC95" s="20" t="n">
        <v>0</v>
      </c>
      <c r="AVD95" s="20" t="n">
        <v>0</v>
      </c>
      <c r="AVE95" s="20" t="n">
        <f aca="false">IF(AND(H_Direct=0,H_TaxEvt=1,ARR94+1&gt;=H_Deemed),MAX(0,ADR95-AHE95)*H_Exit,0)</f>
        <v>0</v>
      </c>
      <c r="AVF95" s="20" t="n">
        <f aca="false">IF(AND(H_Direct=0,H_TaxEvt=1,ARS94+1&gt;=H_Deemed),MAX(0,ADS95-AHF95)*H_Exit,0)</f>
        <v>0</v>
      </c>
      <c r="AVG95" s="20" t="n">
        <f aca="false">IF(AND(H_Direct=0,H_TaxEvt=1,ART94+1&gt;=H_Deemed),MAX(0,ADT95-AHG95)*H_Exit,0)</f>
        <v>0</v>
      </c>
      <c r="AVH95" s="20" t="n">
        <f aca="false">IF(AND(H_Direct=0,H_TaxEvt=1,ARU94+1&gt;=H_Deemed),MAX(0,ADU95-AHH95)*H_Exit,0)</f>
        <v>0</v>
      </c>
      <c r="AVI95" s="20" t="n">
        <f aca="false">IF(AND(H_Direct=0,H_TaxEvt=1,ARV94+1&gt;=H_Deemed),MAX(0,ADV95-AHI95)*H_Exit,0)</f>
        <v>0</v>
      </c>
      <c r="AVJ95" s="20" t="n">
        <f aca="false">IF(AND(H_Direct=0,H_TaxEvt=1,ARW94+1&gt;=H_Deemed),MAX(0,ADW95-AHJ95)*H_Exit,0)</f>
        <v>0</v>
      </c>
      <c r="AVK95" s="20" t="n">
        <f aca="false">IF(AND(H_Direct=0,H_TaxEvt=1,ARX94+1&gt;=H_Deemed),MAX(0,ADX95-AHK95)*H_Exit,0)</f>
        <v>0</v>
      </c>
      <c r="AVL95" s="20" t="n">
        <f aca="false">IF(AND(H_Direct=0,H_TaxEvt=1,ARY94+1&gt;=H_Deemed),MAX(0,ADY95-AHL95)*H_Exit,0)</f>
        <v>0</v>
      </c>
      <c r="AVM95" s="20" t="n">
        <f aca="false">IF(AND(H_Direct=0,H_TaxEvt=1,ARZ94+1&gt;=H_Deemed),MAX(0,ADZ95-AHM95)*H_Exit,0)</f>
        <v>0</v>
      </c>
      <c r="AVN95" s="20" t="n">
        <f aca="false">IF(AND(H_Direct=0,H_TaxEvt=1,ASA94+1&gt;=H_Deemed),MAX(0,AEA95-AHN95)*H_Exit,0)</f>
        <v>0</v>
      </c>
      <c r="AVO95" s="20" t="n">
        <f aca="false">IF(AND(H_Direct=0,H_TaxEvt=1,ASB94+1&gt;=H_Deemed),MAX(0,AEB95-AHO95)*H_Exit,0)</f>
        <v>0</v>
      </c>
      <c r="AVP95" s="20" t="n">
        <f aca="false">IF(AND(H_Direct=0,H_TaxEvt=1,ASC94+1&gt;=H_Deemed),MAX(0,AEC95-AHP95)*H_Exit,0)</f>
        <v>0</v>
      </c>
      <c r="AVQ95" s="20" t="n">
        <f aca="false">IF(AND(H_Direct=0,H_TaxEvt=1,ASD94+1&gt;=H_Deemed),MAX(0,AED95-AHQ95)*H_Exit,0)</f>
        <v>0</v>
      </c>
      <c r="AVR95" s="20" t="n">
        <f aca="false">IF(AND(H_Direct=0,H_TaxEvt=1,ASE94+1&gt;=H_Deemed),MAX(0,AEE95-AHR95)*H_Exit,0)</f>
        <v>0</v>
      </c>
      <c r="AVS95" s="20" t="n">
        <f aca="false">IF(AND(H_Direct=0,H_TaxEvt=1,ASF94+1&gt;=H_Deemed),MAX(0,AEF95-AHS95)*H_Exit,0)</f>
        <v>0</v>
      </c>
      <c r="AVT95" s="20" t="n">
        <f aca="false">IF(AND(H_Direct=0,H_TaxEvt=1,ASG94+1&gt;=H_Deemed),MAX(0,AEG95-AHT95)*H_Exit,0)</f>
        <v>0</v>
      </c>
      <c r="AVU95" s="20" t="n">
        <f aca="false">IF(AND(H_Direct=0,H_TaxEvt=1,ASH94+1&gt;=H_Deemed),MAX(0,AEH95-AHU95)*H_Exit,0)</f>
        <v>0</v>
      </c>
      <c r="AVV95" s="20" t="n">
        <f aca="false">IF(AND(H_Direct=0,H_TaxEvt=1,ASI94+1&gt;=H_Deemed),MAX(0,AEI95-AHV95)*H_Exit,0)</f>
        <v>0</v>
      </c>
      <c r="AVW95" s="20" t="n">
        <f aca="false">IF(AND(H_Direct=0,H_TaxEvt=1,ASJ94+1&gt;=H_Deemed),MAX(0,AEJ95-AHW95)*H_Exit,0)</f>
        <v>0</v>
      </c>
      <c r="AVX95" s="20" t="n">
        <f aca="false">IF(AND(H_Direct=0,H_TaxEvt=1,ASK94+1&gt;=H_Deemed),MAX(0,AEK95-AHX95)*H_Exit,0)</f>
        <v>0</v>
      </c>
      <c r="AVY95" s="20" t="n">
        <f aca="false">IF(AND(H_Direct=0,H_TaxEvt=1,ASL94+1&gt;=H_Deemed),MAX(0,AEL95-AHY95)*H_Exit,0)</f>
        <v>0</v>
      </c>
      <c r="AVZ95" s="20" t="n">
        <f aca="false">IF(AND(H_Direct=0,H_TaxEvt=1,ASM94+1&gt;=H_Deemed),MAX(0,AEM95-AHZ95)*H_Exit,0)</f>
        <v>0</v>
      </c>
      <c r="AWA95" s="20" t="n">
        <f aca="false">IF(AND(H_Direct=0,H_TaxEvt=1,ASN94+1&gt;=H_Deemed),MAX(0,AEN95-AIA95)*H_Exit,0)</f>
        <v>0</v>
      </c>
      <c r="AWB95" s="20" t="n">
        <f aca="false">IF(AND(H_Direct=0,H_TaxEvt=1,ASO94+1&gt;=H_Deemed),MAX(0,AEO95-AIB95)*H_Exit,0)</f>
        <v>0</v>
      </c>
      <c r="AWC95" s="20" t="n">
        <f aca="false">IF(AND(H_Direct=0,H_TaxEvt=1,ASP94+1&gt;=H_Deemed),MAX(0,AEP95-AIC95)*H_Exit,0)</f>
        <v>0</v>
      </c>
      <c r="AWD95" s="20" t="n">
        <f aca="false">IF(AND(H_Direct=0,H_TaxEvt=1,ASQ94+1&gt;=H_Deemed),MAX(0,AEQ95-AID95)*H_Exit,0)</f>
        <v>0</v>
      </c>
      <c r="AWE95" s="20" t="n">
        <f aca="false">IF(AND(H_Direct=0,H_TaxEvt=1,ASR94+1&gt;=H_Deemed),MAX(0,AER95-AIE95)*H_Exit,0)</f>
        <v>0</v>
      </c>
      <c r="AWF95" s="20" t="n">
        <f aca="false">IF(AND(H_Direct=0,H_TaxEvt=1,ASS94+1&gt;=H_Deemed),MAX(0,AES95-AIF95)*H_Exit,0)</f>
        <v>0</v>
      </c>
      <c r="AWG95" s="20" t="n">
        <f aca="false">IF(AND(H_Direct=0,H_TaxEvt=1,AST94+1&gt;=H_Deemed),MAX(0,AET95-AIG95)*H_Exit,0)</f>
        <v>0</v>
      </c>
      <c r="AWH95" s="20" t="n">
        <f aca="false">IF(AND(H_Direct=0,H_TaxEvt=1,ASU94+1&gt;=H_Deemed),MAX(0,AEU95-AIH95)*H_Exit,0)</f>
        <v>0</v>
      </c>
      <c r="AWI95" s="20" t="n">
        <f aca="false">IF(AND(H_Direct=0,H_TaxEvt=1,ASV94+1&gt;=H_Deemed),MAX(0,AEV95-AII95)*H_Exit,0)</f>
        <v>0</v>
      </c>
      <c r="AWJ95" s="20" t="n">
        <f aca="false">IF(AND(H_Direct=0,H_TaxEvt=1,ASW94+1&gt;=H_Deemed),MAX(0,AEW95-AIJ95)*H_Exit,0)</f>
        <v>0</v>
      </c>
      <c r="AWK95" s="20" t="n">
        <f aca="false">IF(AND(H_Direct=0,H_TaxEvt=1,ASX94+1&gt;=H_Deemed),MAX(0,AEX95-AIK95)*H_Exit,0)</f>
        <v>0</v>
      </c>
      <c r="AWL95" s="20" t="n">
        <f aca="false">IF(AND(H_Direct=0,H_TaxEvt=1,ASY94+1&gt;=H_Deemed),MAX(0,AEY95-AIL95)*H_Exit,0)</f>
        <v>0</v>
      </c>
      <c r="AWM95" s="20" t="n">
        <f aca="false">IF(AND(H_Direct=0,H_TaxEvt=1,ASZ94+1&gt;=H_Deemed),MAX(0,AEZ95-AIM95)*H_Exit,0)</f>
        <v>0</v>
      </c>
      <c r="AWN95" s="20" t="n">
        <f aca="false">IF(AND(H_Direct=0,H_TaxEvt=1,ATA94+1&gt;=H_Deemed),MAX(0,AFA95-AIN95)*H_Exit,0)</f>
        <v>0</v>
      </c>
      <c r="AWO95" s="20" t="n">
        <f aca="false">IF(AND(H_Direct=0,H_TaxEvt=1,ATB94+1&gt;=H_Deemed),MAX(0,AFB95-AIO95)*H_Exit,0)</f>
        <v>0</v>
      </c>
      <c r="AWP95" s="20" t="n">
        <f aca="false">IF(AND(H_Direct=0,H_TaxEvt=1,ATC94+1&gt;=H_Deemed),MAX(0,AFC95-AIP95)*H_Exit,0)</f>
        <v>0</v>
      </c>
      <c r="AWQ95" s="20" t="n">
        <f aca="false">IF(AND(H_Direct=0,H_TaxEvt=1,ATD94+1&gt;=H_Deemed),MAX(0,AFD95-AIQ95)*H_Exit,0)</f>
        <v>0</v>
      </c>
      <c r="AWR95" s="20" t="n">
        <f aca="false">IF(AND(H_Direct=0,H_TaxEvt=1,ATE94+1&gt;=H_Deemed),MAX(0,AFE95-AIR95)*H_Exit,0)</f>
        <v>0</v>
      </c>
      <c r="AWS95" s="20" t="n">
        <f aca="false">IF(AND(H_Direct=0,H_TaxEvt=1,ATF94+1&gt;=H_Deemed),MAX(0,AFF95-AIS95)*H_Exit,0)</f>
        <v>0</v>
      </c>
      <c r="AWT95" s="20" t="n">
        <f aca="false">IF(AND(H_Direct=0,H_TaxEvt=1,ATG94+1&gt;=H_Deemed),MAX(0,AFG95-AIT95)*H_Exit,0)</f>
        <v>0</v>
      </c>
      <c r="AWU95" s="20" t="n">
        <f aca="false">IF(AND(H_Direct=0,H_TaxEvt=1,ATH94+1&gt;=H_Deemed),MAX(0,AFH95-AIU95)*H_Exit,0)</f>
        <v>0</v>
      </c>
      <c r="AWV95" s="20" t="n">
        <f aca="false">IF(AND(H_Direct=0,H_TaxEvt=1,ATI94+1&gt;=H_Deemed),MAX(0,AFI95-AIV95)*H_Exit,0)</f>
        <v>0</v>
      </c>
      <c r="AWW95" s="20" t="n">
        <f aca="false">IF(AND(H_Direct=0,H_TaxEvt=1,ATJ94+1&gt;=H_Deemed),MAX(0,AFJ95-AIW95)*H_Exit,0)</f>
        <v>0</v>
      </c>
      <c r="AWX95" s="20" t="n">
        <f aca="false">IF(AND(H_Direct=0,H_TaxEvt=1,ATK94+1&gt;=H_Deemed),MAX(0,AFK95-AIX95)*H_Exit,0)</f>
        <v>0</v>
      </c>
      <c r="AWY95" s="20" t="n">
        <f aca="false">IF(AND(H_Direct=0,H_TaxEvt=1,ATL94+1&gt;=H_Deemed),MAX(0,AFL95-AIY95)*H_Exit,0)</f>
        <v>0</v>
      </c>
      <c r="AWZ95" s="20" t="n">
        <f aca="false">IF(AND(H_Direct=0,H_TaxEvt=1,ATM94+1&gt;=H_Deemed),MAX(0,AFM95-AIZ95)*H_Exit,0)</f>
        <v>0</v>
      </c>
      <c r="AXA95" s="20" t="n">
        <f aca="false">IF(AND(H_Direct=0,H_TaxEvt=1,ATN94+1&gt;=H_Deemed),MAX(0,AFN95-AJA95)*H_Exit,0)</f>
        <v>0</v>
      </c>
      <c r="AXB95" s="20" t="n">
        <f aca="false">IF(AND(H_Direct=0,H_TaxEvt=1,ATO94+1&gt;=H_Deemed),MAX(0,AFO95-AJB95)*H_Exit,0)</f>
        <v>0</v>
      </c>
      <c r="AXC95" s="20" t="n">
        <f aca="false">IF(AND(H_Direct=0,H_TaxEvt=1,ATP94+1&gt;=H_Deemed),MAX(0,AFP95-AJC95)*H_Exit,0)</f>
        <v>0</v>
      </c>
      <c r="AXD95" s="20" t="n">
        <f aca="false">IF(AND(H_Direct=0,H_TaxEvt=1,ATQ94+1&gt;=H_Deemed),MAX(0,AFQ95-AJD95)*H_Exit,0)</f>
        <v>0</v>
      </c>
      <c r="AXE95" s="20" t="n">
        <f aca="false">IF(AND(H_Direct=0,H_TaxEvt=1,ATR94+1&gt;=H_Deemed),MAX(0,AFR95-AJE95)*H_Exit,0)</f>
        <v>0</v>
      </c>
      <c r="AXF95" s="20" t="n">
        <f aca="false">IF(AND(H_Direct=0,H_TaxEvt=1,ATS94+1&gt;=H_Deemed),MAX(0,AFS95-AJF95)*H_Exit,0)</f>
        <v>0</v>
      </c>
      <c r="AXG95" s="20" t="n">
        <f aca="false">IF(AND(H_Direct=0,H_TaxEvt=1,ATT94+1&gt;=H_Deemed),MAX(0,AFT95-AJG95)*H_Exit,0)</f>
        <v>0</v>
      </c>
      <c r="AXH95" s="20" t="n">
        <f aca="false">IF(AND(H_Direct=0,H_TaxEvt=1,ATU94+1&gt;=H_Deemed),MAX(0,AFU95-AJH95)*H_Exit,0)</f>
        <v>0</v>
      </c>
      <c r="AXI95" s="20" t="n">
        <f aca="false">IF(AND(H_Direct=0,H_TaxEvt=1,ATV94+1&gt;=H_Deemed),MAX(0,AFV95-AJI95)*H_Exit,0)</f>
        <v>0</v>
      </c>
      <c r="AXJ95" s="20" t="n">
        <f aca="false">IF(AND(H_Direct=0,H_TaxEvt=1,ATW94+1&gt;=H_Deemed),MAX(0,AFW95-AJJ95)*H_Exit,0)</f>
        <v>0</v>
      </c>
      <c r="AXK95" s="20" t="n">
        <f aca="false">IF(AND(H_Direct=0,H_TaxEvt=1,ATX94+1&gt;=H_Deemed),MAX(0,AFX95-AJK95)*H_Exit,0)</f>
        <v>0</v>
      </c>
      <c r="AXL95" s="20" t="n">
        <f aca="false">IF(AND(H_Direct=0,H_TaxEvt=1,ATY94+1&gt;=H_Deemed),MAX(0,AFY95-AJL95)*H_Exit,0)</f>
        <v>0</v>
      </c>
      <c r="AXM95" s="20" t="n">
        <f aca="false">IF(AND(H_Direct=0,H_TaxEvt=1,ATZ94+1&gt;=H_Deemed),MAX(0,AFZ95-AJM95)*H_Exit,0)</f>
        <v>0</v>
      </c>
      <c r="AXN95" s="20" t="n">
        <f aca="false">IF(AND(H_Direct=0,H_TaxEvt=1,AUA94+1&gt;=H_Deemed),MAX(0,AGA95-AJN95)*H_Exit,0)</f>
        <v>0</v>
      </c>
      <c r="AXO95" s="20" t="n">
        <f aca="false">IF(AND(H_Direct=0,H_TaxEvt=1,AUB94+1&gt;=H_Deemed),MAX(0,AGB95-AJO95)*H_Exit,0)</f>
        <v>0</v>
      </c>
      <c r="AXP95" s="20" t="n">
        <f aca="false">IF(AND(H_Direct=0,H_TaxEvt=1,AUC94+1&gt;=H_Deemed),MAX(0,AGC95-AJP95)*H_Exit,0)</f>
        <v>0</v>
      </c>
      <c r="AXQ95" s="20" t="n">
        <f aca="false">IF(AND(H_Direct=0,H_TaxEvt=1,AUD94+1&gt;=H_Deemed),MAX(0,AGD95-AJQ95)*H_Exit,0)</f>
        <v>0</v>
      </c>
      <c r="AXR95" s="20" t="n">
        <f aca="false">IF(AND(H_Direct=0,H_TaxEvt=1,AUE94+1&gt;=H_Deemed),MAX(0,AGE95-AJR95)*H_Exit,0)</f>
        <v>0</v>
      </c>
      <c r="AXS95" s="20" t="n">
        <f aca="false">IF(AND(H_Direct=0,H_TaxEvt=1,AUF94+1&gt;=H_Deemed),MAX(0,AGF95-AJS95)*H_Exit,0)</f>
        <v>0</v>
      </c>
      <c r="AXT95" s="20" t="n">
        <f aca="false">IF(AND(H_Direct=0,H_TaxEvt=1,AUG94+1&gt;=H_Deemed),MAX(0,AGG95-AJT95)*H_Exit,0)</f>
        <v>0</v>
      </c>
      <c r="AXU95" s="20" t="n">
        <f aca="false">IF(AND(H_Direct=0,H_TaxEvt=1,AUH94+1&gt;=H_Deemed),MAX(0,AGH95-AJU95)*H_Exit,0)</f>
        <v>0</v>
      </c>
      <c r="AXV95" s="20" t="n">
        <f aca="false">IF(AND(H_Direct=0,H_TaxEvt=1,AUI94+1&gt;=H_Deemed),MAX(0,AGI95-AJV95)*H_Exit,0)</f>
        <v>0</v>
      </c>
      <c r="AXW95" s="20" t="n">
        <f aca="false">IF(AND(H_Direct=0,H_TaxEvt=1,AUJ94+1&gt;=H_Deemed),MAX(0,AGJ95-AJW95)*H_Exit,0)</f>
        <v>0</v>
      </c>
      <c r="AXX95" s="20" t="n">
        <f aca="false">IF(AND(H_Direct=0,H_TaxEvt=1,AUK94+1&gt;=H_Deemed),MAX(0,AGK95-AJX95)*H_Exit,0)</f>
        <v>0</v>
      </c>
      <c r="AXY95" s="20" t="n">
        <f aca="false">IF(AND(H_Direct=0,H_TaxEvt=1,AUL94+1&gt;=H_Deemed),MAX(0,AGL95-AJY95)*H_Exit,0)</f>
        <v>0</v>
      </c>
      <c r="AXZ95" s="20" t="n">
        <f aca="false">IF(AND(H_Direct=0,H_TaxEvt=1,AUM94+1&gt;=H_Deemed),MAX(0,AGM95-AJZ95)*H_Exit,0)</f>
        <v>0</v>
      </c>
      <c r="AYA95" s="20" t="n">
        <f aca="false">IF(AND(H_Direct=0,H_TaxEvt=1,AUN94+1&gt;=H_Deemed),MAX(0,AGN95-AKA95)*H_Exit,0)</f>
        <v>0</v>
      </c>
      <c r="AYB95" s="20" t="n">
        <f aca="false">IF(AND(H_Direct=0,H_TaxEvt=1,AUO94+1&gt;=H_Deemed),MAX(0,AGO95-AKB95)*H_Exit,0)</f>
        <v>0</v>
      </c>
      <c r="AYC95" s="20" t="n">
        <f aca="false">IF(AND(H_Direct=0,H_TaxEvt=1,AUP94+1&gt;=H_Deemed),MAX(0,AGP95-AKC95)*H_Exit,0)</f>
        <v>0</v>
      </c>
      <c r="AYD95" s="20" t="n">
        <f aca="false">IF(AND(H_Direct=0,H_TaxEvt=1,AUQ94+1&gt;=H_Deemed),MAX(0,AGQ95-AKD95)*H_Exit,0)</f>
        <v>0</v>
      </c>
      <c r="AYE95" s="20" t="n">
        <f aca="false">IF(AND(H_Direct=0,H_TaxEvt=1,AUR94+1&gt;=H_Deemed),MAX(0,AGR95-AKE95)*H_Exit,0)</f>
        <v>0</v>
      </c>
      <c r="AYF95" s="20" t="n">
        <f aca="false">IF(AND(H_Direct=0,H_TaxEvt=1,AUS94+1&gt;=H_Deemed),MAX(0,AGS95-AKF95)*H_Exit,0)</f>
        <v>0</v>
      </c>
      <c r="AYG95" s="20" t="n">
        <f aca="false">IF(AND(H_Direct=0,H_TaxEvt=1,AUT94+1&gt;=H_Deemed),MAX(0,AGT95-AKG95)*H_Exit,0)</f>
        <v>0</v>
      </c>
      <c r="AYH95" s="20" t="n">
        <f aca="false">IF(AND(H_Direct=0,H_TaxEvt=1,AUU94+1&gt;=H_Deemed),MAX(0,AGU95-AKH95)*H_Exit,0)</f>
        <v>0</v>
      </c>
      <c r="AYI95" s="20" t="n">
        <f aca="false">IF(AND(H_Direct=0,H_TaxEvt=1,AUV94+1&gt;=H_Deemed),MAX(0,AGV95-AKI95)*H_Exit,0)</f>
        <v>0</v>
      </c>
      <c r="AYJ95" s="20" t="n">
        <f aca="false">IF(AND(H_Direct=0,H_TaxEvt=1,AUW94+1&gt;=H_Deemed),MAX(0,AGW95-AKJ95)*H_Exit,0)</f>
        <v>0</v>
      </c>
      <c r="AYK95" s="20" t="n">
        <f aca="false">IF(AND(H_Direct=0,H_TaxEvt=1,AUX94+1&gt;=H_Deemed),MAX(0,AGX95-AKK95)*H_Exit,0)</f>
        <v>0</v>
      </c>
      <c r="AYL95" s="20" t="n">
        <f aca="false">IF(AND(H_Direct=0,H_TaxEvt=1,AUY94+1&gt;=H_Deemed),MAX(0,AGY95-AKL95)*H_Exit,0)</f>
        <v>0</v>
      </c>
      <c r="AYM95" s="20" t="n">
        <f aca="false">IF(AND(H_Direct=0,H_TaxEvt=1,AUZ94+1&gt;=H_Deemed),MAX(0,AGZ95-AKM95)*H_Exit,0)</f>
        <v>0</v>
      </c>
      <c r="AYN95" s="20" t="n">
        <f aca="false">IF(AND(H_Direct=0,H_TaxEvt=1,AVA94+1&gt;=H_Deemed),MAX(0,AHA95-AKN95)*H_Exit,0)</f>
        <v>0</v>
      </c>
      <c r="AYO95" s="20" t="n">
        <f aca="false">IF(AND(H_Direct=0,H_TaxEvt=1,0+1&gt;=H_Deemed),MAX(0,AHB95-AKO95)*H_Exit,0)</f>
        <v>0</v>
      </c>
      <c r="AYP95" s="20" t="n">
        <v>0</v>
      </c>
      <c r="AYQ95" s="20" t="n">
        <v>0</v>
      </c>
    </row>
    <row r="96" customFormat="false" ht="15" hidden="false" customHeight="false" outlineLevel="0" collapsed="false">
      <c r="B96" s="20" t="n">
        <v>88</v>
      </c>
      <c r="C96" s="20" t="n">
        <f aca="false">'Plan cashflow'!C96</f>
        <v>0</v>
      </c>
      <c r="D96" s="20" t="n">
        <f aca="false">'Plan cashflow'!D96</f>
        <v>126</v>
      </c>
      <c r="E96" s="20" t="n">
        <f aca="false">AS_Year0+88</f>
        <v>2114</v>
      </c>
      <c r="F96" s="50" t="n">
        <f aca="false">'Plan cashflow'!F96</f>
        <v>5.71235402374611</v>
      </c>
      <c r="G96" s="59" t="n">
        <f aca="true">IF(MAX(TODAY(),DATE(E96,1,1))&gt;=H_CGTfrom,H_CGT1,H_CGT0)</f>
        <v>0.31</v>
      </c>
      <c r="H96" s="20" t="n">
        <f aca="false">H_Exempt*H_Persons</f>
        <v>1270</v>
      </c>
      <c r="I96" s="20" t="n">
        <f aca="false">AX95</f>
        <v>0</v>
      </c>
      <c r="J96" s="60" t="n">
        <f aca="false">BF95</f>
        <v>0</v>
      </c>
      <c r="K96" s="60" t="n">
        <f aca="false">BG95</f>
        <v>0</v>
      </c>
      <c r="L96" s="20" t="n">
        <f aca="false">IF(AND(In_polLump&gt;0,In_polLumpAge&gt;0,D96=In_polLumpAge),In_polLump,0)</f>
        <v>0</v>
      </c>
      <c r="M96" s="20" t="n">
        <f aca="false">IF(AND(In_homeUse="Yes, I'd downsize",In_downAge&gt;0,D96=In_downAge,OR(In_home="Own outright",In_home="Own with mortgage"),In_homeValue&gt;0),MAX(0,MAX(0,In_homeValue-In_downValue)*F96*0.9-'Plan cashflow'!HR95),0)</f>
        <v>0</v>
      </c>
      <c r="N96" s="20" t="n">
        <f aca="false">'Plan pay &amp; tax'!Y322</f>
        <v>0</v>
      </c>
      <c r="O96" s="20" t="n">
        <f aca="false">L96+M96+(1-H_Sh)*N96</f>
        <v>0</v>
      </c>
      <c r="P96" s="20" t="n">
        <f aca="false">H_Sh*N96</f>
        <v>0</v>
      </c>
      <c r="Q96" s="20" t="n">
        <f aca="false">'Plan cashflow'!UL96</f>
        <v>0</v>
      </c>
      <c r="R96" s="20" t="n">
        <f aca="false">(1-H_Sh)*Q96</f>
        <v>0</v>
      </c>
      <c r="S96" s="20" t="n">
        <f aca="false">H_Sh*Q96</f>
        <v>0</v>
      </c>
      <c r="T96" s="20" t="n">
        <f aca="false">J96+K96+O96</f>
        <v>0</v>
      </c>
      <c r="U96" s="20" t="n">
        <f aca="false">T96+R96</f>
        <v>0</v>
      </c>
      <c r="V96" s="60" t="n">
        <f aca="false">SUM(FE96:IQ96)</f>
        <v>0</v>
      </c>
      <c r="W96" s="60" t="n">
        <f aca="false">IF(AJ96&lt;=0,0,IF(AL96&lt;=0,AJ96,AJ96-G96*MAX(0,AL96*AJ96-(AY96+AZ96))))</f>
        <v>0</v>
      </c>
      <c r="X96" s="60" t="n">
        <f aca="false">IF(AR96&lt;=0,0,IF(AT96&lt;=0,AR96,AR96-G96*MAX(0,AT96*AR96-(BA96+BB96))))</f>
        <v>0</v>
      </c>
      <c r="Y96" s="60" t="n">
        <f aca="false">T96+V96-S96+W96+X96</f>
        <v>0</v>
      </c>
      <c r="Z96" s="60" t="n">
        <f aca="false">'Plan cashflow'!UK96</f>
        <v>0</v>
      </c>
      <c r="AA96" s="20" t="n">
        <f aca="false">MIN(Z96,U96)</f>
        <v>0</v>
      </c>
      <c r="AB96" s="20" t="n">
        <f aca="false">Z96-AA96</f>
        <v>0</v>
      </c>
      <c r="AC96" s="20" t="n">
        <f aca="false">MIN(AA96,J96+O96+R96)</f>
        <v>0</v>
      </c>
      <c r="AD96" s="20" t="n">
        <f aca="false">AA96-AC96</f>
        <v>0</v>
      </c>
      <c r="AE96" s="20" t="n">
        <f aca="false">J96+O96+R96-AC96</f>
        <v>0</v>
      </c>
      <c r="AF96" s="20" t="n">
        <f aca="false">K96-AD96</f>
        <v>0</v>
      </c>
      <c r="AG96" s="20" t="n">
        <f aca="false">SUM(PR96:TD96)</f>
        <v>0</v>
      </c>
      <c r="AH96" s="20" t="n">
        <f aca="false">SUM(TE96:WQ96)</f>
        <v>0</v>
      </c>
      <c r="AI96" s="20" t="n">
        <f aca="false">MAX(0,AB96-AG96)</f>
        <v>0</v>
      </c>
      <c r="AJ96" s="57" t="n">
        <f aca="false">BI95</f>
        <v>0</v>
      </c>
      <c r="AK96" s="20" t="n">
        <f aca="false">BJ95</f>
        <v>0</v>
      </c>
      <c r="AL96" s="20" t="n">
        <f aca="false">IF(AJ96&gt;0,(AJ96-AK96)/AJ96,0)</f>
        <v>0</v>
      </c>
      <c r="AM96" s="20" t="n">
        <f aca="false">IF(AJ96&lt;=0,0,IF(AL96&lt;=0,MIN(AI96,AJ96),MIN(AI96,AJ96-G96*MAX(0,AL96*AJ96-(AAD96+ADQ96)))))</f>
        <v>0</v>
      </c>
      <c r="AN96" s="20" t="n">
        <f aca="false">IF(AJ96&lt;=0,0,IF(AL96&lt;=0,AM96,IF(AM96&lt;=(AAD96+ADQ96)/AL96,AM96,(AM96-G96*(AAD96+ADQ96))/(1-G96*AL96))))</f>
        <v>0</v>
      </c>
      <c r="AO96" s="20" t="n">
        <f aca="false">IF(AL96&gt;0,MAX(0,AAD96-(MIN(AL96*AN96,(AAD96+ADQ96))-MIN(MIN(AL96*AN96,(AAD96+ADQ96)),ADQ96))),AAD96)</f>
        <v>1270</v>
      </c>
      <c r="AP96" s="20" t="n">
        <f aca="false">IF(AL96&lt;=0,ADQ96-AL96*AN96,ADQ96-MIN(MIN(AL96*AN96,(AAD96+ADQ96)),ADQ96))</f>
        <v>0</v>
      </c>
      <c r="AQ96" s="20" t="n">
        <f aca="false">MAX(0,AI96-AM96)</f>
        <v>0</v>
      </c>
      <c r="AR96" s="57" t="n">
        <f aca="false">BK95</f>
        <v>0</v>
      </c>
      <c r="AS96" s="20" t="n">
        <f aca="false">BL95</f>
        <v>0</v>
      </c>
      <c r="AT96" s="20" t="n">
        <f aca="false">IF(AR96&gt;0,(AR96-AS96)/AR96,0)</f>
        <v>0</v>
      </c>
      <c r="AU96" s="20" t="n">
        <f aca="false">IF(AR96&lt;=0,0,IF(AT96&lt;=0,MIN(AQ96,AR96),MIN(AQ96,AR96-G96*MAX(0,AT96*AR96-(AO96+AP96)))))</f>
        <v>0</v>
      </c>
      <c r="AV96" s="20" t="n">
        <f aca="false">IF(AR96&lt;=0,0,IF(AT96&lt;=0,AU96,IF(AU96&lt;=(AO96+AP96)/AT96,AU96,(AU96-G96*(AO96+AP96))/(1-G96*AT96))))</f>
        <v>0</v>
      </c>
      <c r="AW96" s="20" t="n">
        <f aca="false">IF(AT96&gt;0,MAX(0,AO96-(MIN(AT96*AV96,(AO96+AP96))-MIN(MIN(AT96*AV96,(AO96+AP96)),AP96))),AO96)</f>
        <v>1270</v>
      </c>
      <c r="AX96" s="20" t="n">
        <f aca="false">IF(AT96&lt;=0,AP96-AT96*AV96,AP96-MIN(MIN(AT96*AV96,(AO96+AP96)),AP96))</f>
        <v>0</v>
      </c>
      <c r="AY96" s="20" t="n">
        <f aca="false">MD96</f>
        <v>1270</v>
      </c>
      <c r="AZ96" s="20" t="n">
        <f aca="false">PQ96</f>
        <v>0</v>
      </c>
      <c r="BA96" s="20" t="n">
        <f aca="false">IF(AL96&gt;0,MAX(0,AY96-(MIN(AL96*AJ96,AY96+AZ96)-MIN(MIN(AL96*AJ96,AY96+AZ96),AZ96))),AY96)</f>
        <v>1270</v>
      </c>
      <c r="BB96" s="20" t="n">
        <f aca="false">IF(AL96&lt;=0,AZ96-AL96*AJ96,AZ96-MIN(MIN(AL96*AJ96,AY96+AZ96),AZ96))</f>
        <v>0</v>
      </c>
      <c r="BC96" s="20" t="n">
        <f aca="false">'Plan cashflow'!UM96</f>
        <v>0</v>
      </c>
      <c r="BD96" s="20" t="n">
        <f aca="false">(1-H_Sh)*BC96</f>
        <v>0</v>
      </c>
      <c r="BE96" s="20" t="n">
        <f aca="false">H_Sh*BC96</f>
        <v>0</v>
      </c>
      <c r="BF96" s="60" t="n">
        <f aca="false">(AE96+BD96)*(1+AS_Cash)</f>
        <v>0</v>
      </c>
      <c r="BG96" s="60" t="n">
        <f aca="false">AF96*(1+AS_Cash)</f>
        <v>0</v>
      </c>
      <c r="BH96" s="60" t="n">
        <f aca="false">SUM(AKR96:AOD96)</f>
        <v>0</v>
      </c>
      <c r="BI96" s="60" t="n">
        <f aca="false">(AJ96-AN96)*(1+AS_Infl)</f>
        <v>0</v>
      </c>
      <c r="BJ96" s="20" t="n">
        <f aca="false">IF(AJ96&gt;0,AK96-AK96*AN96/AJ96,0)</f>
        <v>0</v>
      </c>
      <c r="BK96" s="60" t="n">
        <f aca="false">(AR96-AV96)*(1+BQ96)</f>
        <v>0</v>
      </c>
      <c r="BL96" s="20" t="n">
        <f aca="false">IF(AR96&gt;0,AS96-AS96*AV96/AR96,0)</f>
        <v>0</v>
      </c>
      <c r="BM96" s="60" t="n">
        <f aca="false">BF96+BG96+BH96+BI96+BK96</f>
        <v>0</v>
      </c>
      <c r="BN96" s="60" t="n">
        <f aca="false">(AH96-AG96)+(AN96-AM96)+(AV96-AU96)</f>
        <v>0</v>
      </c>
      <c r="BO96" s="20" t="n">
        <f aca="false">(AE96+BD96+AF96+MAX(0,'Plan cashflow'!QH96)+IF(Slot1_Rate=AS_Cash,'Plan cashflow'!QM96/(1+AS_Cash),0)+IF(Slot2_Rate=AS_Cash,'Plan cashflow'!QQ96/(1+AS_Cash),0)+IF(Slot3_Rate=AS_Cash,'Plan cashflow'!QU96/(1+AS_Cash),0)+IF(Slot4_Rate=AS_Cash,'Plan cashflow'!QY96/(1+AS_Cash),0)+IF(Slot5_Rate=AS_Cash,'Plan cashflow'!RC96/(1+AS_Cash),0)+IF(Slot6_Rate=AS_Cash,'Plan cashflow'!RG96/(1+AS_Cash),0)+IF(Slot7_Rate=AS_Cash,'Plan cashflow'!RK96/(1+AS_Cash),0)+IF(Slot8_Rate=AS_Cash,'Plan cashflow'!RO96/(1+AS_Cash),0)+IF(Slot9_Rate=AS_Cash,'Plan cashflow'!RS96/(1+AS_Cash),0)+IF(Slot10_Rate=AS_Cash,'Plan cashflow'!RW96/(1+AS_Cash),0)+IF(Slot11_Rate=AS_Cash,'Plan cashflow'!SA96/(1+AS_Cash),0)+IF(Slot12_Rate=AS_Cash,'Plan cashflow'!SE96/(1+AS_Cash),0)+IF(Slot13_Rate=AS_Cash,'Plan cashflow'!SI96/(1+AS_Cash),0)+IF(Slot14_Rate=AS_Cash,'Plan cashflow'!SM96/(1+AS_Cash),0)+IF(Slot15_Rate=AS_Cash,'Plan cashflow'!SQ96/(1+AS_Cash),0)+IF(Slot16_Rate=AS_Cash,'Plan cashflow'!SU96/(1+AS_Cash),0)+IF(Slot17_Rate=AS_Cash,'Plan cashflow'!SY96/(1+AS_Cash),0)+IF(Slot18_Rate=AS_Cash,'Plan cashflow'!TC96/(1+AS_Cash),0)+IF(Slot19_Rate=AS_Cash,'Plan cashflow'!TG96/(1+AS_Cash),0)+IF(Slot20_Rate=AS_Cash,'Plan cashflow'!TK96/(1+AS_Cash),0))*AS_Cash*H_DIRT/(1-H_DIRT)</f>
        <v>0</v>
      </c>
      <c r="BP96" s="60" t="n">
        <f aca="false">SUM(AVE96:AYQ96)</f>
        <v>0</v>
      </c>
      <c r="BQ96" s="54" t="n">
        <f aca="false">IF(H_TaxEvt=1,H_InvG,AS_Inv)</f>
        <v>0.04</v>
      </c>
      <c r="BR96" s="20" t="n">
        <f aca="false">IF(AKR95&gt;0,(AKR95-AOE95)/AKR95,0)</f>
        <v>0</v>
      </c>
      <c r="BS96" s="20" t="n">
        <f aca="false">IF(AKS95&gt;0,(AKS95-AOF95)/AKS95,0)</f>
        <v>0</v>
      </c>
      <c r="BT96" s="20" t="n">
        <f aca="false">IF(AKT95&gt;0,(AKT95-AOG95)/AKT95,0)</f>
        <v>0</v>
      </c>
      <c r="BU96" s="20" t="n">
        <f aca="false">IF(AKU95&gt;0,(AKU95-AOH95)/AKU95,0)</f>
        <v>0</v>
      </c>
      <c r="BV96" s="20" t="n">
        <f aca="false">IF(AKV95&gt;0,(AKV95-AOI95)/AKV95,0)</f>
        <v>0</v>
      </c>
      <c r="BW96" s="20" t="n">
        <f aca="false">IF(AKW95&gt;0,(AKW95-AOJ95)/AKW95,0)</f>
        <v>0</v>
      </c>
      <c r="BX96" s="20" t="n">
        <f aca="false">IF(AKX95&gt;0,(AKX95-AOK95)/AKX95,0)</f>
        <v>0</v>
      </c>
      <c r="BY96" s="20" t="n">
        <f aca="false">IF(AKY95&gt;0,(AKY95-AOL95)/AKY95,0)</f>
        <v>0</v>
      </c>
      <c r="BZ96" s="20" t="n">
        <f aca="false">IF(AKZ95&gt;0,(AKZ95-AOM95)/AKZ95,0)</f>
        <v>0</v>
      </c>
      <c r="CA96" s="20" t="n">
        <f aca="false">IF(ALA95&gt;0,(ALA95-AON95)/ALA95,0)</f>
        <v>0</v>
      </c>
      <c r="CB96" s="20" t="n">
        <f aca="false">IF(ALB95&gt;0,(ALB95-AOO95)/ALB95,0)</f>
        <v>0</v>
      </c>
      <c r="CC96" s="20" t="n">
        <f aca="false">IF(ALC95&gt;0,(ALC95-AOP95)/ALC95,0)</f>
        <v>0</v>
      </c>
      <c r="CD96" s="20" t="n">
        <f aca="false">IF(ALD95&gt;0,(ALD95-AOQ95)/ALD95,0)</f>
        <v>0</v>
      </c>
      <c r="CE96" s="20" t="n">
        <f aca="false">IF(ALE95&gt;0,(ALE95-AOR95)/ALE95,0)</f>
        <v>0</v>
      </c>
      <c r="CF96" s="20" t="n">
        <f aca="false">IF(ALF95&gt;0,(ALF95-AOS95)/ALF95,0)</f>
        <v>0</v>
      </c>
      <c r="CG96" s="20" t="n">
        <f aca="false">IF(ALG95&gt;0,(ALG95-AOT95)/ALG95,0)</f>
        <v>0</v>
      </c>
      <c r="CH96" s="20" t="n">
        <f aca="false">IF(ALH95&gt;0,(ALH95-AOU95)/ALH95,0)</f>
        <v>0</v>
      </c>
      <c r="CI96" s="20" t="n">
        <f aca="false">IF(ALI95&gt;0,(ALI95-AOV95)/ALI95,0)</f>
        <v>0</v>
      </c>
      <c r="CJ96" s="20" t="n">
        <f aca="false">IF(ALJ95&gt;0,(ALJ95-AOW95)/ALJ95,0)</f>
        <v>0</v>
      </c>
      <c r="CK96" s="20" t="n">
        <f aca="false">IF(ALK95&gt;0,(ALK95-AOX95)/ALK95,0)</f>
        <v>0</v>
      </c>
      <c r="CL96" s="20" t="n">
        <f aca="false">IF(ALL95&gt;0,(ALL95-AOY95)/ALL95,0)</f>
        <v>0</v>
      </c>
      <c r="CM96" s="20" t="n">
        <f aca="false">IF(ALM95&gt;0,(ALM95-AOZ95)/ALM95,0)</f>
        <v>0</v>
      </c>
      <c r="CN96" s="20" t="n">
        <f aca="false">IF(ALN95&gt;0,(ALN95-APA95)/ALN95,0)</f>
        <v>0</v>
      </c>
      <c r="CO96" s="20" t="n">
        <f aca="false">IF(ALO95&gt;0,(ALO95-APB95)/ALO95,0)</f>
        <v>0</v>
      </c>
      <c r="CP96" s="20" t="n">
        <f aca="false">IF(ALP95&gt;0,(ALP95-APC95)/ALP95,0)</f>
        <v>0</v>
      </c>
      <c r="CQ96" s="20" t="n">
        <f aca="false">IF(ALQ95&gt;0,(ALQ95-APD95)/ALQ95,0)</f>
        <v>0</v>
      </c>
      <c r="CR96" s="20" t="n">
        <f aca="false">IF(ALR95&gt;0,(ALR95-APE95)/ALR95,0)</f>
        <v>0</v>
      </c>
      <c r="CS96" s="20" t="n">
        <f aca="false">IF(ALS95&gt;0,(ALS95-APF95)/ALS95,0)</f>
        <v>0</v>
      </c>
      <c r="CT96" s="20" t="n">
        <f aca="false">IF(ALT95&gt;0,(ALT95-APG95)/ALT95,0)</f>
        <v>0</v>
      </c>
      <c r="CU96" s="20" t="n">
        <f aca="false">IF(ALU95&gt;0,(ALU95-APH95)/ALU95,0)</f>
        <v>0</v>
      </c>
      <c r="CV96" s="20" t="n">
        <f aca="false">IF(ALV95&gt;0,(ALV95-API95)/ALV95,0)</f>
        <v>0</v>
      </c>
      <c r="CW96" s="20" t="n">
        <f aca="false">IF(ALW95&gt;0,(ALW95-APJ95)/ALW95,0)</f>
        <v>0</v>
      </c>
      <c r="CX96" s="20" t="n">
        <f aca="false">IF(ALX95&gt;0,(ALX95-APK95)/ALX95,0)</f>
        <v>0</v>
      </c>
      <c r="CY96" s="20" t="n">
        <f aca="false">IF(ALY95&gt;0,(ALY95-APL95)/ALY95,0)</f>
        <v>0</v>
      </c>
      <c r="CZ96" s="20" t="n">
        <f aca="false">IF(ALZ95&gt;0,(ALZ95-APM95)/ALZ95,0)</f>
        <v>0</v>
      </c>
      <c r="DA96" s="20" t="n">
        <f aca="false">IF(AMA95&gt;0,(AMA95-APN95)/AMA95,0)</f>
        <v>0</v>
      </c>
      <c r="DB96" s="20" t="n">
        <f aca="false">IF(AMB95&gt;0,(AMB95-APO95)/AMB95,0)</f>
        <v>0</v>
      </c>
      <c r="DC96" s="20" t="n">
        <f aca="false">IF(AMC95&gt;0,(AMC95-APP95)/AMC95,0)</f>
        <v>0</v>
      </c>
      <c r="DD96" s="20" t="n">
        <f aca="false">IF(AMD95&gt;0,(AMD95-APQ95)/AMD95,0)</f>
        <v>0</v>
      </c>
      <c r="DE96" s="20" t="n">
        <f aca="false">IF(AME95&gt;0,(AME95-APR95)/AME95,0)</f>
        <v>0</v>
      </c>
      <c r="DF96" s="20" t="n">
        <f aca="false">IF(AMF95&gt;0,(AMF95-APS95)/AMF95,0)</f>
        <v>0</v>
      </c>
      <c r="DG96" s="20" t="n">
        <f aca="false">IF(AMG95&gt;0,(AMG95-APT95)/AMG95,0)</f>
        <v>0</v>
      </c>
      <c r="DH96" s="20" t="n">
        <f aca="false">IF(AMH95&gt;0,(AMH95-APU95)/AMH95,0)</f>
        <v>0</v>
      </c>
      <c r="DI96" s="20" t="n">
        <f aca="false">IF(AMI95&gt;0,(AMI95-APV95)/AMI95,0)</f>
        <v>0</v>
      </c>
      <c r="DJ96" s="20" t="n">
        <f aca="false">IF(AMJ95&gt;0,(AMJ95-APW95)/AMJ95,0)</f>
        <v>0</v>
      </c>
      <c r="DK96" s="20" t="n">
        <f aca="false">IF(AMK95&gt;0,(AMK95-APX95)/AMK95,0)</f>
        <v>0</v>
      </c>
      <c r="DL96" s="20" t="n">
        <f aca="false">IF(AML95&gt;0,(AML95-APY95)/AML95,0)</f>
        <v>0</v>
      </c>
      <c r="DM96" s="20" t="n">
        <f aca="false">IF(AMM95&gt;0,(AMM95-APZ95)/AMM95,0)</f>
        <v>0</v>
      </c>
      <c r="DN96" s="20" t="n">
        <f aca="false">IF(AMN95&gt;0,(AMN95-AQA95)/AMN95,0)</f>
        <v>0</v>
      </c>
      <c r="DO96" s="20" t="n">
        <f aca="false">IF(AMO95&gt;0,(AMO95-AQB95)/AMO95,0)</f>
        <v>0</v>
      </c>
      <c r="DP96" s="20" t="n">
        <f aca="false">IF(AMP95&gt;0,(AMP95-AQC95)/AMP95,0)</f>
        <v>0</v>
      </c>
      <c r="DQ96" s="20" t="n">
        <f aca="false">IF(AMQ95&gt;0,(AMQ95-AQD95)/AMQ95,0)</f>
        <v>0</v>
      </c>
      <c r="DR96" s="20" t="n">
        <f aca="false">IF(AMR95&gt;0,(AMR95-AQE95)/AMR95,0)</f>
        <v>0</v>
      </c>
      <c r="DS96" s="20" t="n">
        <f aca="false">IF(AMS95&gt;0,(AMS95-AQF95)/AMS95,0)</f>
        <v>0</v>
      </c>
      <c r="DT96" s="20" t="n">
        <f aca="false">IF(AMT95&gt;0,(AMT95-AQG95)/AMT95,0)</f>
        <v>0</v>
      </c>
      <c r="DU96" s="20" t="n">
        <f aca="false">IF(AMU95&gt;0,(AMU95-AQH95)/AMU95,0)</f>
        <v>0</v>
      </c>
      <c r="DV96" s="20" t="n">
        <f aca="false">IF(AMV95&gt;0,(AMV95-AQI95)/AMV95,0)</f>
        <v>0</v>
      </c>
      <c r="DW96" s="20" t="n">
        <f aca="false">IF(AMW95&gt;0,(AMW95-AQJ95)/AMW95,0)</f>
        <v>0</v>
      </c>
      <c r="DX96" s="20" t="n">
        <f aca="false">IF(AMX95&gt;0,(AMX95-AQK95)/AMX95,0)</f>
        <v>0</v>
      </c>
      <c r="DY96" s="20" t="n">
        <f aca="false">IF(AMY95&gt;0,(AMY95-AQL95)/AMY95,0)</f>
        <v>0</v>
      </c>
      <c r="DZ96" s="20" t="n">
        <f aca="false">IF(AMZ95&gt;0,(AMZ95-AQM95)/AMZ95,0)</f>
        <v>0</v>
      </c>
      <c r="EA96" s="20" t="n">
        <f aca="false">IF(ANA95&gt;0,(ANA95-AQN95)/ANA95,0)</f>
        <v>0</v>
      </c>
      <c r="EB96" s="20" t="n">
        <f aca="false">IF(ANB95&gt;0,(ANB95-AQO95)/ANB95,0)</f>
        <v>0</v>
      </c>
      <c r="EC96" s="20" t="n">
        <f aca="false">IF(ANC95&gt;0,(ANC95-AQP95)/ANC95,0)</f>
        <v>0</v>
      </c>
      <c r="ED96" s="20" t="n">
        <f aca="false">IF(AND95&gt;0,(AND95-AQQ95)/AND95,0)</f>
        <v>0</v>
      </c>
      <c r="EE96" s="20" t="n">
        <f aca="false">IF(ANE95&gt;0,(ANE95-AQR95)/ANE95,0)</f>
        <v>0</v>
      </c>
      <c r="EF96" s="20" t="n">
        <f aca="false">IF(ANF95&gt;0,(ANF95-AQS95)/ANF95,0)</f>
        <v>0</v>
      </c>
      <c r="EG96" s="20" t="n">
        <f aca="false">IF(ANG95&gt;0,(ANG95-AQT95)/ANG95,0)</f>
        <v>0</v>
      </c>
      <c r="EH96" s="20" t="n">
        <f aca="false">IF(ANH95&gt;0,(ANH95-AQU95)/ANH95,0)</f>
        <v>0</v>
      </c>
      <c r="EI96" s="20" t="n">
        <f aca="false">IF(ANI95&gt;0,(ANI95-AQV95)/ANI95,0)</f>
        <v>0</v>
      </c>
      <c r="EJ96" s="20" t="n">
        <f aca="false">IF(ANJ95&gt;0,(ANJ95-AQW95)/ANJ95,0)</f>
        <v>0</v>
      </c>
      <c r="EK96" s="20" t="n">
        <f aca="false">IF(ANK95&gt;0,(ANK95-AQX95)/ANK95,0)</f>
        <v>0</v>
      </c>
      <c r="EL96" s="20" t="n">
        <f aca="false">IF(ANL95&gt;0,(ANL95-AQY95)/ANL95,0)</f>
        <v>0</v>
      </c>
      <c r="EM96" s="20" t="n">
        <f aca="false">IF(ANM95&gt;0,(ANM95-AQZ95)/ANM95,0)</f>
        <v>0</v>
      </c>
      <c r="EN96" s="20" t="n">
        <f aca="false">IF(ANN95&gt;0,(ANN95-ARA95)/ANN95,0)</f>
        <v>0</v>
      </c>
      <c r="EO96" s="20" t="n">
        <f aca="false">IF(ANO95&gt;0,(ANO95-ARB95)/ANO95,0)</f>
        <v>0</v>
      </c>
      <c r="EP96" s="20" t="n">
        <f aca="false">IF(ANP95&gt;0,(ANP95-ARC95)/ANP95,0)</f>
        <v>0</v>
      </c>
      <c r="EQ96" s="20" t="n">
        <f aca="false">IF(ANQ95&gt;0,(ANQ95-ARD95)/ANQ95,0)</f>
        <v>0</v>
      </c>
      <c r="ER96" s="20" t="n">
        <f aca="false">IF(ANR95&gt;0,(ANR95-ARE95)/ANR95,0)</f>
        <v>0</v>
      </c>
      <c r="ES96" s="20" t="n">
        <f aca="false">IF(ANS95&gt;0,(ANS95-ARF95)/ANS95,0)</f>
        <v>0</v>
      </c>
      <c r="ET96" s="20" t="n">
        <f aca="false">IF(ANT95&gt;0,(ANT95-ARG95)/ANT95,0)</f>
        <v>0</v>
      </c>
      <c r="EU96" s="20" t="n">
        <f aca="false">IF(ANU95&gt;0,(ANU95-ARH95)/ANU95,0)</f>
        <v>0</v>
      </c>
      <c r="EV96" s="20" t="n">
        <f aca="false">IF(ANV95&gt;0,(ANV95-ARI95)/ANV95,0)</f>
        <v>0</v>
      </c>
      <c r="EW96" s="20" t="n">
        <f aca="false">IF(ANW95&gt;0,(ANW95-ARJ95)/ANW95,0)</f>
        <v>0</v>
      </c>
      <c r="EX96" s="20" t="n">
        <f aca="false">IF(ANX95&gt;0,(ANX95-ARK95)/ANX95,0)</f>
        <v>0</v>
      </c>
      <c r="EY96" s="20" t="n">
        <f aca="false">IF(ANY95&gt;0,(ANY95-ARL95)/ANY95,0)</f>
        <v>0</v>
      </c>
      <c r="EZ96" s="20" t="n">
        <f aca="false">IF(ANZ95&gt;0,(ANZ95-ARM95)/ANZ95,0)</f>
        <v>0</v>
      </c>
      <c r="FA96" s="20" t="n">
        <f aca="false">IF(AOA95&gt;0,(AOA95-ARN95)/AOA95,0)</f>
        <v>0</v>
      </c>
      <c r="FB96" s="20" t="n">
        <f aca="false">IF(AOB95&gt;0,(AOB95-ARO95)/AOB95,0)</f>
        <v>0</v>
      </c>
      <c r="FC96" s="20" t="n">
        <f aca="false">IF((P96+S96)&gt;0,((P96+S96)-(P96+S96))/(P96+S96),0)</f>
        <v>0</v>
      </c>
      <c r="FD96" s="20" t="n">
        <v>0</v>
      </c>
      <c r="FE96" s="20" t="n">
        <f aca="false">IF(H_Direct=1,IF(AKR95&lt;=0,0,IF(BR96&lt;=0,AKR95,AKR95-G96*MAX(0,BR96*AKR95-(H96+I96)))),AKR95*(1-MAX(0,BR96)*H_Exit))</f>
        <v>0</v>
      </c>
      <c r="FF96" s="20" t="n">
        <f aca="false">IF(H_Direct=1,IF(AKS95&lt;=0,0,IF(BS96&lt;=0,AKS95,AKS95-G96*MAX(0,BS96*AKS95-(IR96+ME96)))),AKS95*(1-MAX(0,BS96)*H_Exit))</f>
        <v>0</v>
      </c>
      <c r="FG96" s="20" t="n">
        <f aca="false">IF(H_Direct=1,IF(AKT95&lt;=0,0,IF(BT96&lt;=0,AKT95,AKT95-G96*MAX(0,BT96*AKT95-(IS96+MF96)))),AKT95*(1-MAX(0,BT96)*H_Exit))</f>
        <v>0</v>
      </c>
      <c r="FH96" s="20" t="n">
        <f aca="false">IF(H_Direct=1,IF(AKU95&lt;=0,0,IF(BU96&lt;=0,AKU95,AKU95-G96*MAX(0,BU96*AKU95-(IT96+MG96)))),AKU95*(1-MAX(0,BU96)*H_Exit))</f>
        <v>0</v>
      </c>
      <c r="FI96" s="20" t="n">
        <f aca="false">IF(H_Direct=1,IF(AKV95&lt;=0,0,IF(BV96&lt;=0,AKV95,AKV95-G96*MAX(0,BV96*AKV95-(IU96+MH96)))),AKV95*(1-MAX(0,BV96)*H_Exit))</f>
        <v>0</v>
      </c>
      <c r="FJ96" s="20" t="n">
        <f aca="false">IF(H_Direct=1,IF(AKW95&lt;=0,0,IF(BW96&lt;=0,AKW95,AKW95-G96*MAX(0,BW96*AKW95-(IV96+MI96)))),AKW95*(1-MAX(0,BW96)*H_Exit))</f>
        <v>0</v>
      </c>
      <c r="FK96" s="20" t="n">
        <f aca="false">IF(H_Direct=1,IF(AKX95&lt;=0,0,IF(BX96&lt;=0,AKX95,AKX95-G96*MAX(0,BX96*AKX95-(IW96+MJ96)))),AKX95*(1-MAX(0,BX96)*H_Exit))</f>
        <v>0</v>
      </c>
      <c r="FL96" s="20" t="n">
        <f aca="false">IF(H_Direct=1,IF(AKY95&lt;=0,0,IF(BY96&lt;=0,AKY95,AKY95-G96*MAX(0,BY96*AKY95-(IX96+MK96)))),AKY95*(1-MAX(0,BY96)*H_Exit))</f>
        <v>0</v>
      </c>
      <c r="FM96" s="20" t="n">
        <f aca="false">IF(H_Direct=1,IF(AKZ95&lt;=0,0,IF(BZ96&lt;=0,AKZ95,AKZ95-G96*MAX(0,BZ96*AKZ95-(IY96+ML96)))),AKZ95*(1-MAX(0,BZ96)*H_Exit))</f>
        <v>0</v>
      </c>
      <c r="FN96" s="20" t="n">
        <f aca="false">IF(H_Direct=1,IF(ALA95&lt;=0,0,IF(CA96&lt;=0,ALA95,ALA95-G96*MAX(0,CA96*ALA95-(IZ96+MM96)))),ALA95*(1-MAX(0,CA96)*H_Exit))</f>
        <v>0</v>
      </c>
      <c r="FO96" s="20" t="n">
        <f aca="false">IF(H_Direct=1,IF(ALB95&lt;=0,0,IF(CB96&lt;=0,ALB95,ALB95-G96*MAX(0,CB96*ALB95-(JA96+MN96)))),ALB95*(1-MAX(0,CB96)*H_Exit))</f>
        <v>0</v>
      </c>
      <c r="FP96" s="20" t="n">
        <f aca="false">IF(H_Direct=1,IF(ALC95&lt;=0,0,IF(CC96&lt;=0,ALC95,ALC95-G96*MAX(0,CC96*ALC95-(JB96+MO96)))),ALC95*(1-MAX(0,CC96)*H_Exit))</f>
        <v>0</v>
      </c>
      <c r="FQ96" s="20" t="n">
        <f aca="false">IF(H_Direct=1,IF(ALD95&lt;=0,0,IF(CD96&lt;=0,ALD95,ALD95-G96*MAX(0,CD96*ALD95-(JC96+MP96)))),ALD95*(1-MAX(0,CD96)*H_Exit))</f>
        <v>0</v>
      </c>
      <c r="FR96" s="20" t="n">
        <f aca="false">IF(H_Direct=1,IF(ALE95&lt;=0,0,IF(CE96&lt;=0,ALE95,ALE95-G96*MAX(0,CE96*ALE95-(JD96+MQ96)))),ALE95*(1-MAX(0,CE96)*H_Exit))</f>
        <v>0</v>
      </c>
      <c r="FS96" s="20" t="n">
        <f aca="false">IF(H_Direct=1,IF(ALF95&lt;=0,0,IF(CF96&lt;=0,ALF95,ALF95-G96*MAX(0,CF96*ALF95-(JE96+MR96)))),ALF95*(1-MAX(0,CF96)*H_Exit))</f>
        <v>0</v>
      </c>
      <c r="FT96" s="20" t="n">
        <f aca="false">IF(H_Direct=1,IF(ALG95&lt;=0,0,IF(CG96&lt;=0,ALG95,ALG95-G96*MAX(0,CG96*ALG95-(JF96+MS96)))),ALG95*(1-MAX(0,CG96)*H_Exit))</f>
        <v>0</v>
      </c>
      <c r="FU96" s="20" t="n">
        <f aca="false">IF(H_Direct=1,IF(ALH95&lt;=0,0,IF(CH96&lt;=0,ALH95,ALH95-G96*MAX(0,CH96*ALH95-(JG96+MT96)))),ALH95*(1-MAX(0,CH96)*H_Exit))</f>
        <v>0</v>
      </c>
      <c r="FV96" s="20" t="n">
        <f aca="false">IF(H_Direct=1,IF(ALI95&lt;=0,0,IF(CI96&lt;=0,ALI95,ALI95-G96*MAX(0,CI96*ALI95-(JH96+MU96)))),ALI95*(1-MAX(0,CI96)*H_Exit))</f>
        <v>0</v>
      </c>
      <c r="FW96" s="20" t="n">
        <f aca="false">IF(H_Direct=1,IF(ALJ95&lt;=0,0,IF(CJ96&lt;=0,ALJ95,ALJ95-G96*MAX(0,CJ96*ALJ95-(JI96+MV96)))),ALJ95*(1-MAX(0,CJ96)*H_Exit))</f>
        <v>0</v>
      </c>
      <c r="FX96" s="20" t="n">
        <f aca="false">IF(H_Direct=1,IF(ALK95&lt;=0,0,IF(CK96&lt;=0,ALK95,ALK95-G96*MAX(0,CK96*ALK95-(JJ96+MW96)))),ALK95*(1-MAX(0,CK96)*H_Exit))</f>
        <v>0</v>
      </c>
      <c r="FY96" s="20" t="n">
        <f aca="false">IF(H_Direct=1,IF(ALL95&lt;=0,0,IF(CL96&lt;=0,ALL95,ALL95-G96*MAX(0,CL96*ALL95-(JK96+MX96)))),ALL95*(1-MAX(0,CL96)*H_Exit))</f>
        <v>0</v>
      </c>
      <c r="FZ96" s="20" t="n">
        <f aca="false">IF(H_Direct=1,IF(ALM95&lt;=0,0,IF(CM96&lt;=0,ALM95,ALM95-G96*MAX(0,CM96*ALM95-(JL96+MY96)))),ALM95*(1-MAX(0,CM96)*H_Exit))</f>
        <v>0</v>
      </c>
      <c r="GA96" s="20" t="n">
        <f aca="false">IF(H_Direct=1,IF(ALN95&lt;=0,0,IF(CN96&lt;=0,ALN95,ALN95-G96*MAX(0,CN96*ALN95-(JM96+MZ96)))),ALN95*(1-MAX(0,CN96)*H_Exit))</f>
        <v>0</v>
      </c>
      <c r="GB96" s="20" t="n">
        <f aca="false">IF(H_Direct=1,IF(ALO95&lt;=0,0,IF(CO96&lt;=0,ALO95,ALO95-G96*MAX(0,CO96*ALO95-(JN96+NA96)))),ALO95*(1-MAX(0,CO96)*H_Exit))</f>
        <v>0</v>
      </c>
      <c r="GC96" s="20" t="n">
        <f aca="false">IF(H_Direct=1,IF(ALP95&lt;=0,0,IF(CP96&lt;=0,ALP95,ALP95-G96*MAX(0,CP96*ALP95-(JO96+NB96)))),ALP95*(1-MAX(0,CP96)*H_Exit))</f>
        <v>0</v>
      </c>
      <c r="GD96" s="20" t="n">
        <f aca="false">IF(H_Direct=1,IF(ALQ95&lt;=0,0,IF(CQ96&lt;=0,ALQ95,ALQ95-G96*MAX(0,CQ96*ALQ95-(JP96+NC96)))),ALQ95*(1-MAX(0,CQ96)*H_Exit))</f>
        <v>0</v>
      </c>
      <c r="GE96" s="20" t="n">
        <f aca="false">IF(H_Direct=1,IF(ALR95&lt;=0,0,IF(CR96&lt;=0,ALR95,ALR95-G96*MAX(0,CR96*ALR95-(JQ96+ND96)))),ALR95*(1-MAX(0,CR96)*H_Exit))</f>
        <v>0</v>
      </c>
      <c r="GF96" s="20" t="n">
        <f aca="false">IF(H_Direct=1,IF(ALS95&lt;=0,0,IF(CS96&lt;=0,ALS95,ALS95-G96*MAX(0,CS96*ALS95-(JR96+NE96)))),ALS95*(1-MAX(0,CS96)*H_Exit))</f>
        <v>0</v>
      </c>
      <c r="GG96" s="20" t="n">
        <f aca="false">IF(H_Direct=1,IF(ALT95&lt;=0,0,IF(CT96&lt;=0,ALT95,ALT95-G96*MAX(0,CT96*ALT95-(JS96+NF96)))),ALT95*(1-MAX(0,CT96)*H_Exit))</f>
        <v>0</v>
      </c>
      <c r="GH96" s="20" t="n">
        <f aca="false">IF(H_Direct=1,IF(ALU95&lt;=0,0,IF(CU96&lt;=0,ALU95,ALU95-G96*MAX(0,CU96*ALU95-(JT96+NG96)))),ALU95*(1-MAX(0,CU96)*H_Exit))</f>
        <v>0</v>
      </c>
      <c r="GI96" s="20" t="n">
        <f aca="false">IF(H_Direct=1,IF(ALV95&lt;=0,0,IF(CV96&lt;=0,ALV95,ALV95-G96*MAX(0,CV96*ALV95-(JU96+NH96)))),ALV95*(1-MAX(0,CV96)*H_Exit))</f>
        <v>0</v>
      </c>
      <c r="GJ96" s="20" t="n">
        <f aca="false">IF(H_Direct=1,IF(ALW95&lt;=0,0,IF(CW96&lt;=0,ALW95,ALW95-G96*MAX(0,CW96*ALW95-(JV96+NI96)))),ALW95*(1-MAX(0,CW96)*H_Exit))</f>
        <v>0</v>
      </c>
      <c r="GK96" s="20" t="n">
        <f aca="false">IF(H_Direct=1,IF(ALX95&lt;=0,0,IF(CX96&lt;=0,ALX95,ALX95-G96*MAX(0,CX96*ALX95-(JW96+NJ96)))),ALX95*(1-MAX(0,CX96)*H_Exit))</f>
        <v>0</v>
      </c>
      <c r="GL96" s="20" t="n">
        <f aca="false">IF(H_Direct=1,IF(ALY95&lt;=0,0,IF(CY96&lt;=0,ALY95,ALY95-G96*MAX(0,CY96*ALY95-(JX96+NK96)))),ALY95*(1-MAX(0,CY96)*H_Exit))</f>
        <v>0</v>
      </c>
      <c r="GM96" s="20" t="n">
        <f aca="false">IF(H_Direct=1,IF(ALZ95&lt;=0,0,IF(CZ96&lt;=0,ALZ95,ALZ95-G96*MAX(0,CZ96*ALZ95-(JY96+NL96)))),ALZ95*(1-MAX(0,CZ96)*H_Exit))</f>
        <v>0</v>
      </c>
      <c r="GN96" s="20" t="n">
        <f aca="false">IF(H_Direct=1,IF(AMA95&lt;=0,0,IF(DA96&lt;=0,AMA95,AMA95-G96*MAX(0,DA96*AMA95-(JZ96+NM96)))),AMA95*(1-MAX(0,DA96)*H_Exit))</f>
        <v>0</v>
      </c>
      <c r="GO96" s="20" t="n">
        <f aca="false">IF(H_Direct=1,IF(AMB95&lt;=0,0,IF(DB96&lt;=0,AMB95,AMB95-G96*MAX(0,DB96*AMB95-(KA96+NN96)))),AMB95*(1-MAX(0,DB96)*H_Exit))</f>
        <v>0</v>
      </c>
      <c r="GP96" s="20" t="n">
        <f aca="false">IF(H_Direct=1,IF(AMC95&lt;=0,0,IF(DC96&lt;=0,AMC95,AMC95-G96*MAX(0,DC96*AMC95-(KB96+NO96)))),AMC95*(1-MAX(0,DC96)*H_Exit))</f>
        <v>0</v>
      </c>
      <c r="GQ96" s="20" t="n">
        <f aca="false">IF(H_Direct=1,IF(AMD95&lt;=0,0,IF(DD96&lt;=0,AMD95,AMD95-G96*MAX(0,DD96*AMD95-(KC96+NP96)))),AMD95*(1-MAX(0,DD96)*H_Exit))</f>
        <v>0</v>
      </c>
      <c r="GR96" s="20" t="n">
        <f aca="false">IF(H_Direct=1,IF(AME95&lt;=0,0,IF(DE96&lt;=0,AME95,AME95-G96*MAX(0,DE96*AME95-(KD96+NQ96)))),AME95*(1-MAX(0,DE96)*H_Exit))</f>
        <v>0</v>
      </c>
      <c r="GS96" s="20" t="n">
        <f aca="false">IF(H_Direct=1,IF(AMF95&lt;=0,0,IF(DF96&lt;=0,AMF95,AMF95-G96*MAX(0,DF96*AMF95-(KE96+NR96)))),AMF95*(1-MAX(0,DF96)*H_Exit))</f>
        <v>0</v>
      </c>
      <c r="GT96" s="20" t="n">
        <f aca="false">IF(H_Direct=1,IF(AMG95&lt;=0,0,IF(DG96&lt;=0,AMG95,AMG95-G96*MAX(0,DG96*AMG95-(KF96+NS96)))),AMG95*(1-MAX(0,DG96)*H_Exit))</f>
        <v>0</v>
      </c>
      <c r="GU96" s="20" t="n">
        <f aca="false">IF(H_Direct=1,IF(AMH95&lt;=0,0,IF(DH96&lt;=0,AMH95,AMH95-G96*MAX(0,DH96*AMH95-(KG96+NT96)))),AMH95*(1-MAX(0,DH96)*H_Exit))</f>
        <v>0</v>
      </c>
      <c r="GV96" s="20" t="n">
        <f aca="false">IF(H_Direct=1,IF(AMI95&lt;=0,0,IF(DI96&lt;=0,AMI95,AMI95-G96*MAX(0,DI96*AMI95-(KH96+NU96)))),AMI95*(1-MAX(0,DI96)*H_Exit))</f>
        <v>0</v>
      </c>
      <c r="GW96" s="20" t="n">
        <f aca="false">IF(H_Direct=1,IF(AMJ95&lt;=0,0,IF(DJ96&lt;=0,AMJ95,AMJ95-G96*MAX(0,DJ96*AMJ95-(KI96+NV96)))),AMJ95*(1-MAX(0,DJ96)*H_Exit))</f>
        <v>0</v>
      </c>
      <c r="GX96" s="20" t="n">
        <f aca="false">IF(H_Direct=1,IF(AMK95&lt;=0,0,IF(DK96&lt;=0,AMK95,AMK95-G96*MAX(0,DK96*AMK95-(KJ96+NW96)))),AMK95*(1-MAX(0,DK96)*H_Exit))</f>
        <v>0</v>
      </c>
      <c r="GY96" s="20" t="n">
        <f aca="false">IF(H_Direct=1,IF(AML95&lt;=0,0,IF(DL96&lt;=0,AML95,AML95-G96*MAX(0,DL96*AML95-(KK96+NX96)))),AML95*(1-MAX(0,DL96)*H_Exit))</f>
        <v>0</v>
      </c>
      <c r="GZ96" s="20" t="n">
        <f aca="false">IF(H_Direct=1,IF(AMM95&lt;=0,0,IF(DM96&lt;=0,AMM95,AMM95-G96*MAX(0,DM96*AMM95-(KL96+NY96)))),AMM95*(1-MAX(0,DM96)*H_Exit))</f>
        <v>0</v>
      </c>
      <c r="HA96" s="20" t="n">
        <f aca="false">IF(H_Direct=1,IF(AMN95&lt;=0,0,IF(DN96&lt;=0,AMN95,AMN95-G96*MAX(0,DN96*AMN95-(KM96+NZ96)))),AMN95*(1-MAX(0,DN96)*H_Exit))</f>
        <v>0</v>
      </c>
      <c r="HB96" s="20" t="n">
        <f aca="false">IF(H_Direct=1,IF(AMO95&lt;=0,0,IF(DO96&lt;=0,AMO95,AMO95-G96*MAX(0,DO96*AMO95-(KN96+OA96)))),AMO95*(1-MAX(0,DO96)*H_Exit))</f>
        <v>0</v>
      </c>
      <c r="HC96" s="20" t="n">
        <f aca="false">IF(H_Direct=1,IF(AMP95&lt;=0,0,IF(DP96&lt;=0,AMP95,AMP95-G96*MAX(0,DP96*AMP95-(KO96+OB96)))),AMP95*(1-MAX(0,DP96)*H_Exit))</f>
        <v>0</v>
      </c>
      <c r="HD96" s="20" t="n">
        <f aca="false">IF(H_Direct=1,IF(AMQ95&lt;=0,0,IF(DQ96&lt;=0,AMQ95,AMQ95-G96*MAX(0,DQ96*AMQ95-(KP96+OC96)))),AMQ95*(1-MAX(0,DQ96)*H_Exit))</f>
        <v>0</v>
      </c>
      <c r="HE96" s="20" t="n">
        <f aca="false">IF(H_Direct=1,IF(AMR95&lt;=0,0,IF(DR96&lt;=0,AMR95,AMR95-G96*MAX(0,DR96*AMR95-(KQ96+OD96)))),AMR95*(1-MAX(0,DR96)*H_Exit))</f>
        <v>0</v>
      </c>
      <c r="HF96" s="20" t="n">
        <f aca="false">IF(H_Direct=1,IF(AMS95&lt;=0,0,IF(DS96&lt;=0,AMS95,AMS95-G96*MAX(0,DS96*AMS95-(KR96+OE96)))),AMS95*(1-MAX(0,DS96)*H_Exit))</f>
        <v>0</v>
      </c>
      <c r="HG96" s="20" t="n">
        <f aca="false">IF(H_Direct=1,IF(AMT95&lt;=0,0,IF(DT96&lt;=0,AMT95,AMT95-G96*MAX(0,DT96*AMT95-(KS96+OF96)))),AMT95*(1-MAX(0,DT96)*H_Exit))</f>
        <v>0</v>
      </c>
      <c r="HH96" s="20" t="n">
        <f aca="false">IF(H_Direct=1,IF(AMU95&lt;=0,0,IF(DU96&lt;=0,AMU95,AMU95-G96*MAX(0,DU96*AMU95-(KT96+OG96)))),AMU95*(1-MAX(0,DU96)*H_Exit))</f>
        <v>0</v>
      </c>
      <c r="HI96" s="20" t="n">
        <f aca="false">IF(H_Direct=1,IF(AMV95&lt;=0,0,IF(DV96&lt;=0,AMV95,AMV95-G96*MAX(0,DV96*AMV95-(KU96+OH96)))),AMV95*(1-MAX(0,DV96)*H_Exit))</f>
        <v>0</v>
      </c>
      <c r="HJ96" s="20" t="n">
        <f aca="false">IF(H_Direct=1,IF(AMW95&lt;=0,0,IF(DW96&lt;=0,AMW95,AMW95-G96*MAX(0,DW96*AMW95-(KV96+OI96)))),AMW95*(1-MAX(0,DW96)*H_Exit))</f>
        <v>0</v>
      </c>
      <c r="HK96" s="20" t="n">
        <f aca="false">IF(H_Direct=1,IF(AMX95&lt;=0,0,IF(DX96&lt;=0,AMX95,AMX95-G96*MAX(0,DX96*AMX95-(KW96+OJ96)))),AMX95*(1-MAX(0,DX96)*H_Exit))</f>
        <v>0</v>
      </c>
      <c r="HL96" s="20" t="n">
        <f aca="false">IF(H_Direct=1,IF(AMY95&lt;=0,0,IF(DY96&lt;=0,AMY95,AMY95-G96*MAX(0,DY96*AMY95-(KX96+OK96)))),AMY95*(1-MAX(0,DY96)*H_Exit))</f>
        <v>0</v>
      </c>
      <c r="HM96" s="20" t="n">
        <f aca="false">IF(H_Direct=1,IF(AMZ95&lt;=0,0,IF(DZ96&lt;=0,AMZ95,AMZ95-G96*MAX(0,DZ96*AMZ95-(KY96+OL96)))),AMZ95*(1-MAX(0,DZ96)*H_Exit))</f>
        <v>0</v>
      </c>
      <c r="HN96" s="20" t="n">
        <f aca="false">IF(H_Direct=1,IF(ANA95&lt;=0,0,IF(EA96&lt;=0,ANA95,ANA95-G96*MAX(0,EA96*ANA95-(KZ96+OM96)))),ANA95*(1-MAX(0,EA96)*H_Exit))</f>
        <v>0</v>
      </c>
      <c r="HO96" s="20" t="n">
        <f aca="false">IF(H_Direct=1,IF(ANB95&lt;=0,0,IF(EB96&lt;=0,ANB95,ANB95-G96*MAX(0,EB96*ANB95-(LA96+ON96)))),ANB95*(1-MAX(0,EB96)*H_Exit))</f>
        <v>0</v>
      </c>
      <c r="HP96" s="20" t="n">
        <f aca="false">IF(H_Direct=1,IF(ANC95&lt;=0,0,IF(EC96&lt;=0,ANC95,ANC95-G96*MAX(0,EC96*ANC95-(LB96+OO96)))),ANC95*(1-MAX(0,EC96)*H_Exit))</f>
        <v>0</v>
      </c>
      <c r="HQ96" s="20" t="n">
        <f aca="false">IF(H_Direct=1,IF(AND95&lt;=0,0,IF(ED96&lt;=0,AND95,AND95-G96*MAX(0,ED96*AND95-(LC96+OP96)))),AND95*(1-MAX(0,ED96)*H_Exit))</f>
        <v>0</v>
      </c>
      <c r="HR96" s="20" t="n">
        <f aca="false">IF(H_Direct=1,IF(ANE95&lt;=0,0,IF(EE96&lt;=0,ANE95,ANE95-G96*MAX(0,EE96*ANE95-(LD96+OQ96)))),ANE95*(1-MAX(0,EE96)*H_Exit))</f>
        <v>0</v>
      </c>
      <c r="HS96" s="20" t="n">
        <f aca="false">IF(H_Direct=1,IF(ANF95&lt;=0,0,IF(EF96&lt;=0,ANF95,ANF95-G96*MAX(0,EF96*ANF95-(LE96+OR96)))),ANF95*(1-MAX(0,EF96)*H_Exit))</f>
        <v>0</v>
      </c>
      <c r="HT96" s="20" t="n">
        <f aca="false">IF(H_Direct=1,IF(ANG95&lt;=0,0,IF(EG96&lt;=0,ANG95,ANG95-G96*MAX(0,EG96*ANG95-(LF96+OS96)))),ANG95*(1-MAX(0,EG96)*H_Exit))</f>
        <v>0</v>
      </c>
      <c r="HU96" s="20" t="n">
        <f aca="false">IF(H_Direct=1,IF(ANH95&lt;=0,0,IF(EH96&lt;=0,ANH95,ANH95-G96*MAX(0,EH96*ANH95-(LG96+OT96)))),ANH95*(1-MAX(0,EH96)*H_Exit))</f>
        <v>0</v>
      </c>
      <c r="HV96" s="20" t="n">
        <f aca="false">IF(H_Direct=1,IF(ANI95&lt;=0,0,IF(EI96&lt;=0,ANI95,ANI95-G96*MAX(0,EI96*ANI95-(LH96+OU96)))),ANI95*(1-MAX(0,EI96)*H_Exit))</f>
        <v>0</v>
      </c>
      <c r="HW96" s="20" t="n">
        <f aca="false">IF(H_Direct=1,IF(ANJ95&lt;=0,0,IF(EJ96&lt;=0,ANJ95,ANJ95-G96*MAX(0,EJ96*ANJ95-(LI96+OV96)))),ANJ95*(1-MAX(0,EJ96)*H_Exit))</f>
        <v>0</v>
      </c>
      <c r="HX96" s="20" t="n">
        <f aca="false">IF(H_Direct=1,IF(ANK95&lt;=0,0,IF(EK96&lt;=0,ANK95,ANK95-G96*MAX(0,EK96*ANK95-(LJ96+OW96)))),ANK95*(1-MAX(0,EK96)*H_Exit))</f>
        <v>0</v>
      </c>
      <c r="HY96" s="20" t="n">
        <f aca="false">IF(H_Direct=1,IF(ANL95&lt;=0,0,IF(EL96&lt;=0,ANL95,ANL95-G96*MAX(0,EL96*ANL95-(LK96+OX96)))),ANL95*(1-MAX(0,EL96)*H_Exit))</f>
        <v>0</v>
      </c>
      <c r="HZ96" s="20" t="n">
        <f aca="false">IF(H_Direct=1,IF(ANM95&lt;=0,0,IF(EM96&lt;=0,ANM95,ANM95-G96*MAX(0,EM96*ANM95-(LL96+OY96)))),ANM95*(1-MAX(0,EM96)*H_Exit))</f>
        <v>0</v>
      </c>
      <c r="IA96" s="20" t="n">
        <f aca="false">IF(H_Direct=1,IF(ANN95&lt;=0,0,IF(EN96&lt;=0,ANN95,ANN95-G96*MAX(0,EN96*ANN95-(LM96+OZ96)))),ANN95*(1-MAX(0,EN96)*H_Exit))</f>
        <v>0</v>
      </c>
      <c r="IB96" s="20" t="n">
        <f aca="false">IF(H_Direct=1,IF(ANO95&lt;=0,0,IF(EO96&lt;=0,ANO95,ANO95-G96*MAX(0,EO96*ANO95-(LN96+PA96)))),ANO95*(1-MAX(0,EO96)*H_Exit))</f>
        <v>0</v>
      </c>
      <c r="IC96" s="20" t="n">
        <f aca="false">IF(H_Direct=1,IF(ANP95&lt;=0,0,IF(EP96&lt;=0,ANP95,ANP95-G96*MAX(0,EP96*ANP95-(LO96+PB96)))),ANP95*(1-MAX(0,EP96)*H_Exit))</f>
        <v>0</v>
      </c>
      <c r="ID96" s="20" t="n">
        <f aca="false">IF(H_Direct=1,IF(ANQ95&lt;=0,0,IF(EQ96&lt;=0,ANQ95,ANQ95-G96*MAX(0,EQ96*ANQ95-(LP96+PC96)))),ANQ95*(1-MAX(0,EQ96)*H_Exit))</f>
        <v>0</v>
      </c>
      <c r="IE96" s="20" t="n">
        <f aca="false">IF(H_Direct=1,IF(ANR95&lt;=0,0,IF(ER96&lt;=0,ANR95,ANR95-G96*MAX(0,ER96*ANR95-(LQ96+PD96)))),ANR95*(1-MAX(0,ER96)*H_Exit))</f>
        <v>0</v>
      </c>
      <c r="IF96" s="20" t="n">
        <f aca="false">IF(H_Direct=1,IF(ANS95&lt;=0,0,IF(ES96&lt;=0,ANS95,ANS95-G96*MAX(0,ES96*ANS95-(LR96+PE96)))),ANS95*(1-MAX(0,ES96)*H_Exit))</f>
        <v>0</v>
      </c>
      <c r="IG96" s="20" t="n">
        <f aca="false">IF(H_Direct=1,IF(ANT95&lt;=0,0,IF(ET96&lt;=0,ANT95,ANT95-G96*MAX(0,ET96*ANT95-(LS96+PF96)))),ANT95*(1-MAX(0,ET96)*H_Exit))</f>
        <v>0</v>
      </c>
      <c r="IH96" s="20" t="n">
        <f aca="false">IF(H_Direct=1,IF(ANU95&lt;=0,0,IF(EU96&lt;=0,ANU95,ANU95-G96*MAX(0,EU96*ANU95-(LT96+PG96)))),ANU95*(1-MAX(0,EU96)*H_Exit))</f>
        <v>0</v>
      </c>
      <c r="II96" s="20" t="n">
        <f aca="false">IF(H_Direct=1,IF(ANV95&lt;=0,0,IF(EV96&lt;=0,ANV95,ANV95-G96*MAX(0,EV96*ANV95-(LU96+PH96)))),ANV95*(1-MAX(0,EV96)*H_Exit))</f>
        <v>0</v>
      </c>
      <c r="IJ96" s="20" t="n">
        <f aca="false">IF(H_Direct=1,IF(ANW95&lt;=0,0,IF(EW96&lt;=0,ANW95,ANW95-G96*MAX(0,EW96*ANW95-(LV96+PI96)))),ANW95*(1-MAX(0,EW96)*H_Exit))</f>
        <v>0</v>
      </c>
      <c r="IK96" s="20" t="n">
        <f aca="false">IF(H_Direct=1,IF(ANX95&lt;=0,0,IF(EX96&lt;=0,ANX95,ANX95-G96*MAX(0,EX96*ANX95-(LW96+PJ96)))),ANX95*(1-MAX(0,EX96)*H_Exit))</f>
        <v>0</v>
      </c>
      <c r="IL96" s="20" t="n">
        <f aca="false">IF(H_Direct=1,IF(ANY95&lt;=0,0,IF(EY96&lt;=0,ANY95,ANY95-G96*MAX(0,EY96*ANY95-(LX96+PK96)))),ANY95*(1-MAX(0,EY96)*H_Exit))</f>
        <v>0</v>
      </c>
      <c r="IM96" s="20" t="n">
        <f aca="false">IF(H_Direct=1,IF(ANZ95&lt;=0,0,IF(EZ96&lt;=0,ANZ95,ANZ95-G96*MAX(0,EZ96*ANZ95-(LY96+PL96)))),ANZ95*(1-MAX(0,EZ96)*H_Exit))</f>
        <v>0</v>
      </c>
      <c r="IN96" s="20" t="n">
        <f aca="false">IF(H_Direct=1,IF(AOA95&lt;=0,0,IF(FA96&lt;=0,AOA95,AOA95-G96*MAX(0,FA96*AOA95-(LZ96+PM96)))),AOA95*(1-MAX(0,FA96)*H_Exit))</f>
        <v>0</v>
      </c>
      <c r="IO96" s="20" t="n">
        <f aca="false">IF(H_Direct=1,IF(AOB95&lt;=0,0,IF(FB96&lt;=0,AOB95,AOB95-G96*MAX(0,FB96*AOB95-(MA96+PN96)))),AOB95*(1-MAX(0,FB96)*H_Exit))</f>
        <v>0</v>
      </c>
      <c r="IP96" s="20" t="n">
        <f aca="false">IF(H_Direct=1,IF((P96+S96)&lt;=0,0,IF(FC96&lt;=0,(P96+S96),(P96+S96)-G96*MAX(0,FC96*(P96+S96)-(MB96+PO96)))),(P96+S96)*(1-MAX(0,FC96)*H_Exit))</f>
        <v>0</v>
      </c>
      <c r="IQ96" s="20" t="n">
        <v>0</v>
      </c>
      <c r="IR96" s="20" t="n">
        <f aca="false">IF(AND(H_Direct=1,BR96&gt;0),MAX(0,H96-(MIN(BR96*AKR95,H96+I96)-MIN(MIN(BR96*AKR95,H96+I96),I96))),H96)</f>
        <v>1270</v>
      </c>
      <c r="IS96" s="20" t="n">
        <f aca="false">IF(AND(H_Direct=1,BS96&gt;0),MAX(0,IR96-(MIN(BS96*AKS95,IR96+ME96)-MIN(MIN(BS96*AKS95,IR96+ME96),ME96))),IR96)</f>
        <v>1270</v>
      </c>
      <c r="IT96" s="20" t="n">
        <f aca="false">IF(AND(H_Direct=1,BT96&gt;0),MAX(0,IS96-(MIN(BT96*AKT95,IS96+MF96)-MIN(MIN(BT96*AKT95,IS96+MF96),MF96))),IS96)</f>
        <v>1270</v>
      </c>
      <c r="IU96" s="20" t="n">
        <f aca="false">IF(AND(H_Direct=1,BU96&gt;0),MAX(0,IT96-(MIN(BU96*AKU95,IT96+MG96)-MIN(MIN(BU96*AKU95,IT96+MG96),MG96))),IT96)</f>
        <v>1270</v>
      </c>
      <c r="IV96" s="20" t="n">
        <f aca="false">IF(AND(H_Direct=1,BV96&gt;0),MAX(0,IU96-(MIN(BV96*AKV95,IU96+MH96)-MIN(MIN(BV96*AKV95,IU96+MH96),MH96))),IU96)</f>
        <v>1270</v>
      </c>
      <c r="IW96" s="20" t="n">
        <f aca="false">IF(AND(H_Direct=1,BW96&gt;0),MAX(0,IV96-(MIN(BW96*AKW95,IV96+MI96)-MIN(MIN(BW96*AKW95,IV96+MI96),MI96))),IV96)</f>
        <v>1270</v>
      </c>
      <c r="IX96" s="20" t="n">
        <f aca="false">IF(AND(H_Direct=1,BX96&gt;0),MAX(0,IW96-(MIN(BX96*AKX95,IW96+MJ96)-MIN(MIN(BX96*AKX95,IW96+MJ96),MJ96))),IW96)</f>
        <v>1270</v>
      </c>
      <c r="IY96" s="20" t="n">
        <f aca="false">IF(AND(H_Direct=1,BY96&gt;0),MAX(0,IX96-(MIN(BY96*AKY95,IX96+MK96)-MIN(MIN(BY96*AKY95,IX96+MK96),MK96))),IX96)</f>
        <v>1270</v>
      </c>
      <c r="IZ96" s="20" t="n">
        <f aca="false">IF(AND(H_Direct=1,BZ96&gt;0),MAX(0,IY96-(MIN(BZ96*AKZ95,IY96+ML96)-MIN(MIN(BZ96*AKZ95,IY96+ML96),ML96))),IY96)</f>
        <v>1270</v>
      </c>
      <c r="JA96" s="20" t="n">
        <f aca="false">IF(AND(H_Direct=1,CA96&gt;0),MAX(0,IZ96-(MIN(CA96*ALA95,IZ96+MM96)-MIN(MIN(CA96*ALA95,IZ96+MM96),MM96))),IZ96)</f>
        <v>1270</v>
      </c>
      <c r="JB96" s="20" t="n">
        <f aca="false">IF(AND(H_Direct=1,CB96&gt;0),MAX(0,JA96-(MIN(CB96*ALB95,JA96+MN96)-MIN(MIN(CB96*ALB95,JA96+MN96),MN96))),JA96)</f>
        <v>1270</v>
      </c>
      <c r="JC96" s="20" t="n">
        <f aca="false">IF(AND(H_Direct=1,CC96&gt;0),MAX(0,JB96-(MIN(CC96*ALC95,JB96+MO96)-MIN(MIN(CC96*ALC95,JB96+MO96),MO96))),JB96)</f>
        <v>1270</v>
      </c>
      <c r="JD96" s="20" t="n">
        <f aca="false">IF(AND(H_Direct=1,CD96&gt;0),MAX(0,JC96-(MIN(CD96*ALD95,JC96+MP96)-MIN(MIN(CD96*ALD95,JC96+MP96),MP96))),JC96)</f>
        <v>1270</v>
      </c>
      <c r="JE96" s="20" t="n">
        <f aca="false">IF(AND(H_Direct=1,CE96&gt;0),MAX(0,JD96-(MIN(CE96*ALE95,JD96+MQ96)-MIN(MIN(CE96*ALE95,JD96+MQ96),MQ96))),JD96)</f>
        <v>1270</v>
      </c>
      <c r="JF96" s="20" t="n">
        <f aca="false">IF(AND(H_Direct=1,CF96&gt;0),MAX(0,JE96-(MIN(CF96*ALF95,JE96+MR96)-MIN(MIN(CF96*ALF95,JE96+MR96),MR96))),JE96)</f>
        <v>1270</v>
      </c>
      <c r="JG96" s="20" t="n">
        <f aca="false">IF(AND(H_Direct=1,CG96&gt;0),MAX(0,JF96-(MIN(CG96*ALG95,JF96+MS96)-MIN(MIN(CG96*ALG95,JF96+MS96),MS96))),JF96)</f>
        <v>1270</v>
      </c>
      <c r="JH96" s="20" t="n">
        <f aca="false">IF(AND(H_Direct=1,CH96&gt;0),MAX(0,JG96-(MIN(CH96*ALH95,JG96+MT96)-MIN(MIN(CH96*ALH95,JG96+MT96),MT96))),JG96)</f>
        <v>1270</v>
      </c>
      <c r="JI96" s="20" t="n">
        <f aca="false">IF(AND(H_Direct=1,CI96&gt;0),MAX(0,JH96-(MIN(CI96*ALI95,JH96+MU96)-MIN(MIN(CI96*ALI95,JH96+MU96),MU96))),JH96)</f>
        <v>1270</v>
      </c>
      <c r="JJ96" s="20" t="n">
        <f aca="false">IF(AND(H_Direct=1,CJ96&gt;0),MAX(0,JI96-(MIN(CJ96*ALJ95,JI96+MV96)-MIN(MIN(CJ96*ALJ95,JI96+MV96),MV96))),JI96)</f>
        <v>1270</v>
      </c>
      <c r="JK96" s="20" t="n">
        <f aca="false">IF(AND(H_Direct=1,CK96&gt;0),MAX(0,JJ96-(MIN(CK96*ALK95,JJ96+MW96)-MIN(MIN(CK96*ALK95,JJ96+MW96),MW96))),JJ96)</f>
        <v>1270</v>
      </c>
      <c r="JL96" s="20" t="n">
        <f aca="false">IF(AND(H_Direct=1,CL96&gt;0),MAX(0,JK96-(MIN(CL96*ALL95,JK96+MX96)-MIN(MIN(CL96*ALL95,JK96+MX96),MX96))),JK96)</f>
        <v>1270</v>
      </c>
      <c r="JM96" s="20" t="n">
        <f aca="false">IF(AND(H_Direct=1,CM96&gt;0),MAX(0,JL96-(MIN(CM96*ALM95,JL96+MY96)-MIN(MIN(CM96*ALM95,JL96+MY96),MY96))),JL96)</f>
        <v>1270</v>
      </c>
      <c r="JN96" s="20" t="n">
        <f aca="false">IF(AND(H_Direct=1,CN96&gt;0),MAX(0,JM96-(MIN(CN96*ALN95,JM96+MZ96)-MIN(MIN(CN96*ALN95,JM96+MZ96),MZ96))),JM96)</f>
        <v>1270</v>
      </c>
      <c r="JO96" s="20" t="n">
        <f aca="false">IF(AND(H_Direct=1,CO96&gt;0),MAX(0,JN96-(MIN(CO96*ALO95,JN96+NA96)-MIN(MIN(CO96*ALO95,JN96+NA96),NA96))),JN96)</f>
        <v>1270</v>
      </c>
      <c r="JP96" s="20" t="n">
        <f aca="false">IF(AND(H_Direct=1,CP96&gt;0),MAX(0,JO96-(MIN(CP96*ALP95,JO96+NB96)-MIN(MIN(CP96*ALP95,JO96+NB96),NB96))),JO96)</f>
        <v>1270</v>
      </c>
      <c r="JQ96" s="20" t="n">
        <f aca="false">IF(AND(H_Direct=1,CQ96&gt;0),MAX(0,JP96-(MIN(CQ96*ALQ95,JP96+NC96)-MIN(MIN(CQ96*ALQ95,JP96+NC96),NC96))),JP96)</f>
        <v>1270</v>
      </c>
      <c r="JR96" s="20" t="n">
        <f aca="false">IF(AND(H_Direct=1,CR96&gt;0),MAX(0,JQ96-(MIN(CR96*ALR95,JQ96+ND96)-MIN(MIN(CR96*ALR95,JQ96+ND96),ND96))),JQ96)</f>
        <v>1270</v>
      </c>
      <c r="JS96" s="20" t="n">
        <f aca="false">IF(AND(H_Direct=1,CS96&gt;0),MAX(0,JR96-(MIN(CS96*ALS95,JR96+NE96)-MIN(MIN(CS96*ALS95,JR96+NE96),NE96))),JR96)</f>
        <v>1270</v>
      </c>
      <c r="JT96" s="20" t="n">
        <f aca="false">IF(AND(H_Direct=1,CT96&gt;0),MAX(0,JS96-(MIN(CT96*ALT95,JS96+NF96)-MIN(MIN(CT96*ALT95,JS96+NF96),NF96))),JS96)</f>
        <v>1270</v>
      </c>
      <c r="JU96" s="20" t="n">
        <f aca="false">IF(AND(H_Direct=1,CU96&gt;0),MAX(0,JT96-(MIN(CU96*ALU95,JT96+NG96)-MIN(MIN(CU96*ALU95,JT96+NG96),NG96))),JT96)</f>
        <v>1270</v>
      </c>
      <c r="JV96" s="20" t="n">
        <f aca="false">IF(AND(H_Direct=1,CV96&gt;0),MAX(0,JU96-(MIN(CV96*ALV95,JU96+NH96)-MIN(MIN(CV96*ALV95,JU96+NH96),NH96))),JU96)</f>
        <v>1270</v>
      </c>
      <c r="JW96" s="20" t="n">
        <f aca="false">IF(AND(H_Direct=1,CW96&gt;0),MAX(0,JV96-(MIN(CW96*ALW95,JV96+NI96)-MIN(MIN(CW96*ALW95,JV96+NI96),NI96))),JV96)</f>
        <v>1270</v>
      </c>
      <c r="JX96" s="20" t="n">
        <f aca="false">IF(AND(H_Direct=1,CX96&gt;0),MAX(0,JW96-(MIN(CX96*ALX95,JW96+NJ96)-MIN(MIN(CX96*ALX95,JW96+NJ96),NJ96))),JW96)</f>
        <v>1270</v>
      </c>
      <c r="JY96" s="20" t="n">
        <f aca="false">IF(AND(H_Direct=1,CY96&gt;0),MAX(0,JX96-(MIN(CY96*ALY95,JX96+NK96)-MIN(MIN(CY96*ALY95,JX96+NK96),NK96))),JX96)</f>
        <v>1270</v>
      </c>
      <c r="JZ96" s="20" t="n">
        <f aca="false">IF(AND(H_Direct=1,CZ96&gt;0),MAX(0,JY96-(MIN(CZ96*ALZ95,JY96+NL96)-MIN(MIN(CZ96*ALZ95,JY96+NL96),NL96))),JY96)</f>
        <v>1270</v>
      </c>
      <c r="KA96" s="20" t="n">
        <f aca="false">IF(AND(H_Direct=1,DA96&gt;0),MAX(0,JZ96-(MIN(DA96*AMA95,JZ96+NM96)-MIN(MIN(DA96*AMA95,JZ96+NM96),NM96))),JZ96)</f>
        <v>1270</v>
      </c>
      <c r="KB96" s="20" t="n">
        <f aca="false">IF(AND(H_Direct=1,DB96&gt;0),MAX(0,KA96-(MIN(DB96*AMB95,KA96+NN96)-MIN(MIN(DB96*AMB95,KA96+NN96),NN96))),KA96)</f>
        <v>1270</v>
      </c>
      <c r="KC96" s="20" t="n">
        <f aca="false">IF(AND(H_Direct=1,DC96&gt;0),MAX(0,KB96-(MIN(DC96*AMC95,KB96+NO96)-MIN(MIN(DC96*AMC95,KB96+NO96),NO96))),KB96)</f>
        <v>1270</v>
      </c>
      <c r="KD96" s="20" t="n">
        <f aca="false">IF(AND(H_Direct=1,DD96&gt;0),MAX(0,KC96-(MIN(DD96*AMD95,KC96+NP96)-MIN(MIN(DD96*AMD95,KC96+NP96),NP96))),KC96)</f>
        <v>1270</v>
      </c>
      <c r="KE96" s="20" t="n">
        <f aca="false">IF(AND(H_Direct=1,DE96&gt;0),MAX(0,KD96-(MIN(DE96*AME95,KD96+NQ96)-MIN(MIN(DE96*AME95,KD96+NQ96),NQ96))),KD96)</f>
        <v>1270</v>
      </c>
      <c r="KF96" s="20" t="n">
        <f aca="false">IF(AND(H_Direct=1,DF96&gt;0),MAX(0,KE96-(MIN(DF96*AMF95,KE96+NR96)-MIN(MIN(DF96*AMF95,KE96+NR96),NR96))),KE96)</f>
        <v>1270</v>
      </c>
      <c r="KG96" s="20" t="n">
        <f aca="false">IF(AND(H_Direct=1,DG96&gt;0),MAX(0,KF96-(MIN(DG96*AMG95,KF96+NS96)-MIN(MIN(DG96*AMG95,KF96+NS96),NS96))),KF96)</f>
        <v>1270</v>
      </c>
      <c r="KH96" s="20" t="n">
        <f aca="false">IF(AND(H_Direct=1,DH96&gt;0),MAX(0,KG96-(MIN(DH96*AMH95,KG96+NT96)-MIN(MIN(DH96*AMH95,KG96+NT96),NT96))),KG96)</f>
        <v>1270</v>
      </c>
      <c r="KI96" s="20" t="n">
        <f aca="false">IF(AND(H_Direct=1,DI96&gt;0),MAX(0,KH96-(MIN(DI96*AMI95,KH96+NU96)-MIN(MIN(DI96*AMI95,KH96+NU96),NU96))),KH96)</f>
        <v>1270</v>
      </c>
      <c r="KJ96" s="20" t="n">
        <f aca="false">IF(AND(H_Direct=1,DJ96&gt;0),MAX(0,KI96-(MIN(DJ96*AMJ95,KI96+NV96)-MIN(MIN(DJ96*AMJ95,KI96+NV96),NV96))),KI96)</f>
        <v>1270</v>
      </c>
      <c r="KK96" s="20" t="n">
        <f aca="false">IF(AND(H_Direct=1,DK96&gt;0),MAX(0,KJ96-(MIN(DK96*AMK95,KJ96+NW96)-MIN(MIN(DK96*AMK95,KJ96+NW96),NW96))),KJ96)</f>
        <v>1270</v>
      </c>
      <c r="KL96" s="20" t="n">
        <f aca="false">IF(AND(H_Direct=1,DL96&gt;0),MAX(0,KK96-(MIN(DL96*AML95,KK96+NX96)-MIN(MIN(DL96*AML95,KK96+NX96),NX96))),KK96)</f>
        <v>1270</v>
      </c>
      <c r="KM96" s="20" t="n">
        <f aca="false">IF(AND(H_Direct=1,DM96&gt;0),MAX(0,KL96-(MIN(DM96*AMM95,KL96+NY96)-MIN(MIN(DM96*AMM95,KL96+NY96),NY96))),KL96)</f>
        <v>1270</v>
      </c>
      <c r="KN96" s="20" t="n">
        <f aca="false">IF(AND(H_Direct=1,DN96&gt;0),MAX(0,KM96-(MIN(DN96*AMN95,KM96+NZ96)-MIN(MIN(DN96*AMN95,KM96+NZ96),NZ96))),KM96)</f>
        <v>1270</v>
      </c>
      <c r="KO96" s="20" t="n">
        <f aca="false">IF(AND(H_Direct=1,DO96&gt;0),MAX(0,KN96-(MIN(DO96*AMO95,KN96+OA96)-MIN(MIN(DO96*AMO95,KN96+OA96),OA96))),KN96)</f>
        <v>1270</v>
      </c>
      <c r="KP96" s="20" t="n">
        <f aca="false">IF(AND(H_Direct=1,DP96&gt;0),MAX(0,KO96-(MIN(DP96*AMP95,KO96+OB96)-MIN(MIN(DP96*AMP95,KO96+OB96),OB96))),KO96)</f>
        <v>1270</v>
      </c>
      <c r="KQ96" s="20" t="n">
        <f aca="false">IF(AND(H_Direct=1,DQ96&gt;0),MAX(0,KP96-(MIN(DQ96*AMQ95,KP96+OC96)-MIN(MIN(DQ96*AMQ95,KP96+OC96),OC96))),KP96)</f>
        <v>1270</v>
      </c>
      <c r="KR96" s="20" t="n">
        <f aca="false">IF(AND(H_Direct=1,DR96&gt;0),MAX(0,KQ96-(MIN(DR96*AMR95,KQ96+OD96)-MIN(MIN(DR96*AMR95,KQ96+OD96),OD96))),KQ96)</f>
        <v>1270</v>
      </c>
      <c r="KS96" s="20" t="n">
        <f aca="false">IF(AND(H_Direct=1,DS96&gt;0),MAX(0,KR96-(MIN(DS96*AMS95,KR96+OE96)-MIN(MIN(DS96*AMS95,KR96+OE96),OE96))),KR96)</f>
        <v>1270</v>
      </c>
      <c r="KT96" s="20" t="n">
        <f aca="false">IF(AND(H_Direct=1,DT96&gt;0),MAX(0,KS96-(MIN(DT96*AMT95,KS96+OF96)-MIN(MIN(DT96*AMT95,KS96+OF96),OF96))),KS96)</f>
        <v>1270</v>
      </c>
      <c r="KU96" s="20" t="n">
        <f aca="false">IF(AND(H_Direct=1,DU96&gt;0),MAX(0,KT96-(MIN(DU96*AMU95,KT96+OG96)-MIN(MIN(DU96*AMU95,KT96+OG96),OG96))),KT96)</f>
        <v>1270</v>
      </c>
      <c r="KV96" s="20" t="n">
        <f aca="false">IF(AND(H_Direct=1,DV96&gt;0),MAX(0,KU96-(MIN(DV96*AMV95,KU96+OH96)-MIN(MIN(DV96*AMV95,KU96+OH96),OH96))),KU96)</f>
        <v>1270</v>
      </c>
      <c r="KW96" s="20" t="n">
        <f aca="false">IF(AND(H_Direct=1,DW96&gt;0),MAX(0,KV96-(MIN(DW96*AMW95,KV96+OI96)-MIN(MIN(DW96*AMW95,KV96+OI96),OI96))),KV96)</f>
        <v>1270</v>
      </c>
      <c r="KX96" s="20" t="n">
        <f aca="false">IF(AND(H_Direct=1,DX96&gt;0),MAX(0,KW96-(MIN(DX96*AMX95,KW96+OJ96)-MIN(MIN(DX96*AMX95,KW96+OJ96),OJ96))),KW96)</f>
        <v>1270</v>
      </c>
      <c r="KY96" s="20" t="n">
        <f aca="false">IF(AND(H_Direct=1,DY96&gt;0),MAX(0,KX96-(MIN(DY96*AMY95,KX96+OK96)-MIN(MIN(DY96*AMY95,KX96+OK96),OK96))),KX96)</f>
        <v>1270</v>
      </c>
      <c r="KZ96" s="20" t="n">
        <f aca="false">IF(AND(H_Direct=1,DZ96&gt;0),MAX(0,KY96-(MIN(DZ96*AMZ95,KY96+OL96)-MIN(MIN(DZ96*AMZ95,KY96+OL96),OL96))),KY96)</f>
        <v>1270</v>
      </c>
      <c r="LA96" s="20" t="n">
        <f aca="false">IF(AND(H_Direct=1,EA96&gt;0),MAX(0,KZ96-(MIN(EA96*ANA95,KZ96+OM96)-MIN(MIN(EA96*ANA95,KZ96+OM96),OM96))),KZ96)</f>
        <v>1270</v>
      </c>
      <c r="LB96" s="20" t="n">
        <f aca="false">IF(AND(H_Direct=1,EB96&gt;0),MAX(0,LA96-(MIN(EB96*ANB95,LA96+ON96)-MIN(MIN(EB96*ANB95,LA96+ON96),ON96))),LA96)</f>
        <v>1270</v>
      </c>
      <c r="LC96" s="20" t="n">
        <f aca="false">IF(AND(H_Direct=1,EC96&gt;0),MAX(0,LB96-(MIN(EC96*ANC95,LB96+OO96)-MIN(MIN(EC96*ANC95,LB96+OO96),OO96))),LB96)</f>
        <v>1270</v>
      </c>
      <c r="LD96" s="20" t="n">
        <f aca="false">IF(AND(H_Direct=1,ED96&gt;0),MAX(0,LC96-(MIN(ED96*AND95,LC96+OP96)-MIN(MIN(ED96*AND95,LC96+OP96),OP96))),LC96)</f>
        <v>1270</v>
      </c>
      <c r="LE96" s="20" t="n">
        <f aca="false">IF(AND(H_Direct=1,EE96&gt;0),MAX(0,LD96-(MIN(EE96*ANE95,LD96+OQ96)-MIN(MIN(EE96*ANE95,LD96+OQ96),OQ96))),LD96)</f>
        <v>1270</v>
      </c>
      <c r="LF96" s="20" t="n">
        <f aca="false">IF(AND(H_Direct=1,EF96&gt;0),MAX(0,LE96-(MIN(EF96*ANF95,LE96+OR96)-MIN(MIN(EF96*ANF95,LE96+OR96),OR96))),LE96)</f>
        <v>1270</v>
      </c>
      <c r="LG96" s="20" t="n">
        <f aca="false">IF(AND(H_Direct=1,EG96&gt;0),MAX(0,LF96-(MIN(EG96*ANG95,LF96+OS96)-MIN(MIN(EG96*ANG95,LF96+OS96),OS96))),LF96)</f>
        <v>1270</v>
      </c>
      <c r="LH96" s="20" t="n">
        <f aca="false">IF(AND(H_Direct=1,EH96&gt;0),MAX(0,LG96-(MIN(EH96*ANH95,LG96+OT96)-MIN(MIN(EH96*ANH95,LG96+OT96),OT96))),LG96)</f>
        <v>1270</v>
      </c>
      <c r="LI96" s="20" t="n">
        <f aca="false">IF(AND(H_Direct=1,EI96&gt;0),MAX(0,LH96-(MIN(EI96*ANI95,LH96+OU96)-MIN(MIN(EI96*ANI95,LH96+OU96),OU96))),LH96)</f>
        <v>1270</v>
      </c>
      <c r="LJ96" s="20" t="n">
        <f aca="false">IF(AND(H_Direct=1,EJ96&gt;0),MAX(0,LI96-(MIN(EJ96*ANJ95,LI96+OV96)-MIN(MIN(EJ96*ANJ95,LI96+OV96),OV96))),LI96)</f>
        <v>1270</v>
      </c>
      <c r="LK96" s="20" t="n">
        <f aca="false">IF(AND(H_Direct=1,EK96&gt;0),MAX(0,LJ96-(MIN(EK96*ANK95,LJ96+OW96)-MIN(MIN(EK96*ANK95,LJ96+OW96),OW96))),LJ96)</f>
        <v>1270</v>
      </c>
      <c r="LL96" s="20" t="n">
        <f aca="false">IF(AND(H_Direct=1,EL96&gt;0),MAX(0,LK96-(MIN(EL96*ANL95,LK96+OX96)-MIN(MIN(EL96*ANL95,LK96+OX96),OX96))),LK96)</f>
        <v>1270</v>
      </c>
      <c r="LM96" s="20" t="n">
        <f aca="false">IF(AND(H_Direct=1,EM96&gt;0),MAX(0,LL96-(MIN(EM96*ANM95,LL96+OY96)-MIN(MIN(EM96*ANM95,LL96+OY96),OY96))),LL96)</f>
        <v>1270</v>
      </c>
      <c r="LN96" s="20" t="n">
        <f aca="false">IF(AND(H_Direct=1,EN96&gt;0),MAX(0,LM96-(MIN(EN96*ANN95,LM96+OZ96)-MIN(MIN(EN96*ANN95,LM96+OZ96),OZ96))),LM96)</f>
        <v>1270</v>
      </c>
      <c r="LO96" s="20" t="n">
        <f aca="false">IF(AND(H_Direct=1,EO96&gt;0),MAX(0,LN96-(MIN(EO96*ANO95,LN96+PA96)-MIN(MIN(EO96*ANO95,LN96+PA96),PA96))),LN96)</f>
        <v>1270</v>
      </c>
      <c r="LP96" s="20" t="n">
        <f aca="false">IF(AND(H_Direct=1,EP96&gt;0),MAX(0,LO96-(MIN(EP96*ANP95,LO96+PB96)-MIN(MIN(EP96*ANP95,LO96+PB96),PB96))),LO96)</f>
        <v>1270</v>
      </c>
      <c r="LQ96" s="20" t="n">
        <f aca="false">IF(AND(H_Direct=1,EQ96&gt;0),MAX(0,LP96-(MIN(EQ96*ANQ95,LP96+PC96)-MIN(MIN(EQ96*ANQ95,LP96+PC96),PC96))),LP96)</f>
        <v>1270</v>
      </c>
      <c r="LR96" s="20" t="n">
        <f aca="false">IF(AND(H_Direct=1,ER96&gt;0),MAX(0,LQ96-(MIN(ER96*ANR95,LQ96+PD96)-MIN(MIN(ER96*ANR95,LQ96+PD96),PD96))),LQ96)</f>
        <v>1270</v>
      </c>
      <c r="LS96" s="20" t="n">
        <f aca="false">IF(AND(H_Direct=1,ES96&gt;0),MAX(0,LR96-(MIN(ES96*ANS95,LR96+PE96)-MIN(MIN(ES96*ANS95,LR96+PE96),PE96))),LR96)</f>
        <v>1270</v>
      </c>
      <c r="LT96" s="20" t="n">
        <f aca="false">IF(AND(H_Direct=1,ET96&gt;0),MAX(0,LS96-(MIN(ET96*ANT95,LS96+PF96)-MIN(MIN(ET96*ANT95,LS96+PF96),PF96))),LS96)</f>
        <v>1270</v>
      </c>
      <c r="LU96" s="20" t="n">
        <f aca="false">IF(AND(H_Direct=1,EU96&gt;0),MAX(0,LT96-(MIN(EU96*ANU95,LT96+PG96)-MIN(MIN(EU96*ANU95,LT96+PG96),PG96))),LT96)</f>
        <v>1270</v>
      </c>
      <c r="LV96" s="20" t="n">
        <f aca="false">IF(AND(H_Direct=1,EV96&gt;0),MAX(0,LU96-(MIN(EV96*ANV95,LU96+PH96)-MIN(MIN(EV96*ANV95,LU96+PH96),PH96))),LU96)</f>
        <v>1270</v>
      </c>
      <c r="LW96" s="20" t="n">
        <f aca="false">IF(AND(H_Direct=1,EW96&gt;0),MAX(0,LV96-(MIN(EW96*ANW95,LV96+PI96)-MIN(MIN(EW96*ANW95,LV96+PI96),PI96))),LV96)</f>
        <v>1270</v>
      </c>
      <c r="LX96" s="20" t="n">
        <f aca="false">IF(AND(H_Direct=1,EX96&gt;0),MAX(0,LW96-(MIN(EX96*ANX95,LW96+PJ96)-MIN(MIN(EX96*ANX95,LW96+PJ96),PJ96))),LW96)</f>
        <v>1270</v>
      </c>
      <c r="LY96" s="20" t="n">
        <f aca="false">IF(AND(H_Direct=1,EY96&gt;0),MAX(0,LX96-(MIN(EY96*ANY95,LX96+PK96)-MIN(MIN(EY96*ANY95,LX96+PK96),PK96))),LX96)</f>
        <v>1270</v>
      </c>
      <c r="LZ96" s="20" t="n">
        <f aca="false">IF(AND(H_Direct=1,EZ96&gt;0),MAX(0,LY96-(MIN(EZ96*ANZ95,LY96+PL96)-MIN(MIN(EZ96*ANZ95,LY96+PL96),PL96))),LY96)</f>
        <v>1270</v>
      </c>
      <c r="MA96" s="20" t="n">
        <f aca="false">IF(AND(H_Direct=1,FA96&gt;0),MAX(0,LZ96-(MIN(FA96*AOA95,LZ96+PM96)-MIN(MIN(FA96*AOA95,LZ96+PM96),PM96))),LZ96)</f>
        <v>1270</v>
      </c>
      <c r="MB96" s="20" t="n">
        <f aca="false">IF(AND(H_Direct=1,FB96&gt;0),MAX(0,MA96-(MIN(FB96*AOB95,MA96+PN96)-MIN(MIN(FB96*AOB95,MA96+PN96),PN96))),MA96)</f>
        <v>1270</v>
      </c>
      <c r="MC96" s="20" t="n">
        <f aca="false">IF(AND(H_Direct=1,FC96&gt;0),MAX(0,MB96-(MIN(FC96*(P96+S96),MB96+PO96)-MIN(MIN(FC96*(P96+S96),MB96+PO96),PO96))),MB96)</f>
        <v>1270</v>
      </c>
      <c r="MD96" s="20" t="n">
        <f aca="false">MC96</f>
        <v>1270</v>
      </c>
      <c r="ME96" s="20" t="n">
        <f aca="false">IF(H_Direct=1,IF(BR96&lt;=0,I96-BR96*AKR95,I96-MIN(MIN(BR96*AKR95,H96+I96),I96)),I96)</f>
        <v>0</v>
      </c>
      <c r="MF96" s="20" t="n">
        <f aca="false">IF(H_Direct=1,IF(BS96&lt;=0,ME96-BS96*AKS95,ME96-MIN(MIN(BS96*AKS95,IR96+ME96),ME96)),ME96)</f>
        <v>0</v>
      </c>
      <c r="MG96" s="20" t="n">
        <f aca="false">IF(H_Direct=1,IF(BT96&lt;=0,MF96-BT96*AKT95,MF96-MIN(MIN(BT96*AKT95,IS96+MF96),MF96)),MF96)</f>
        <v>0</v>
      </c>
      <c r="MH96" s="20" t="n">
        <f aca="false">IF(H_Direct=1,IF(BU96&lt;=0,MG96-BU96*AKU95,MG96-MIN(MIN(BU96*AKU95,IT96+MG96),MG96)),MG96)</f>
        <v>0</v>
      </c>
      <c r="MI96" s="20" t="n">
        <f aca="false">IF(H_Direct=1,IF(BV96&lt;=0,MH96-BV96*AKV95,MH96-MIN(MIN(BV96*AKV95,IU96+MH96),MH96)),MH96)</f>
        <v>0</v>
      </c>
      <c r="MJ96" s="20" t="n">
        <f aca="false">IF(H_Direct=1,IF(BW96&lt;=0,MI96-BW96*AKW95,MI96-MIN(MIN(BW96*AKW95,IV96+MI96),MI96)),MI96)</f>
        <v>0</v>
      </c>
      <c r="MK96" s="20" t="n">
        <f aca="false">IF(H_Direct=1,IF(BX96&lt;=0,MJ96-BX96*AKX95,MJ96-MIN(MIN(BX96*AKX95,IW96+MJ96),MJ96)),MJ96)</f>
        <v>0</v>
      </c>
      <c r="ML96" s="20" t="n">
        <f aca="false">IF(H_Direct=1,IF(BY96&lt;=0,MK96-BY96*AKY95,MK96-MIN(MIN(BY96*AKY95,IX96+MK96),MK96)),MK96)</f>
        <v>0</v>
      </c>
      <c r="MM96" s="20" t="n">
        <f aca="false">IF(H_Direct=1,IF(BZ96&lt;=0,ML96-BZ96*AKZ95,ML96-MIN(MIN(BZ96*AKZ95,IY96+ML96),ML96)),ML96)</f>
        <v>0</v>
      </c>
      <c r="MN96" s="20" t="n">
        <f aca="false">IF(H_Direct=1,IF(CA96&lt;=0,MM96-CA96*ALA95,MM96-MIN(MIN(CA96*ALA95,IZ96+MM96),MM96)),MM96)</f>
        <v>0</v>
      </c>
      <c r="MO96" s="20" t="n">
        <f aca="false">IF(H_Direct=1,IF(CB96&lt;=0,MN96-CB96*ALB95,MN96-MIN(MIN(CB96*ALB95,JA96+MN96),MN96)),MN96)</f>
        <v>0</v>
      </c>
      <c r="MP96" s="20" t="n">
        <f aca="false">IF(H_Direct=1,IF(CC96&lt;=0,MO96-CC96*ALC95,MO96-MIN(MIN(CC96*ALC95,JB96+MO96),MO96)),MO96)</f>
        <v>0</v>
      </c>
      <c r="MQ96" s="20" t="n">
        <f aca="false">IF(H_Direct=1,IF(CD96&lt;=0,MP96-CD96*ALD95,MP96-MIN(MIN(CD96*ALD95,JC96+MP96),MP96)),MP96)</f>
        <v>0</v>
      </c>
      <c r="MR96" s="20" t="n">
        <f aca="false">IF(H_Direct=1,IF(CE96&lt;=0,MQ96-CE96*ALE95,MQ96-MIN(MIN(CE96*ALE95,JD96+MQ96),MQ96)),MQ96)</f>
        <v>0</v>
      </c>
      <c r="MS96" s="20" t="n">
        <f aca="false">IF(H_Direct=1,IF(CF96&lt;=0,MR96-CF96*ALF95,MR96-MIN(MIN(CF96*ALF95,JE96+MR96),MR96)),MR96)</f>
        <v>0</v>
      </c>
      <c r="MT96" s="20" t="n">
        <f aca="false">IF(H_Direct=1,IF(CG96&lt;=0,MS96-CG96*ALG95,MS96-MIN(MIN(CG96*ALG95,JF96+MS96),MS96)),MS96)</f>
        <v>0</v>
      </c>
      <c r="MU96" s="20" t="n">
        <f aca="false">IF(H_Direct=1,IF(CH96&lt;=0,MT96-CH96*ALH95,MT96-MIN(MIN(CH96*ALH95,JG96+MT96),MT96)),MT96)</f>
        <v>0</v>
      </c>
      <c r="MV96" s="20" t="n">
        <f aca="false">IF(H_Direct=1,IF(CI96&lt;=0,MU96-CI96*ALI95,MU96-MIN(MIN(CI96*ALI95,JH96+MU96),MU96)),MU96)</f>
        <v>0</v>
      </c>
      <c r="MW96" s="20" t="n">
        <f aca="false">IF(H_Direct=1,IF(CJ96&lt;=0,MV96-CJ96*ALJ95,MV96-MIN(MIN(CJ96*ALJ95,JI96+MV96),MV96)),MV96)</f>
        <v>0</v>
      </c>
      <c r="MX96" s="20" t="n">
        <f aca="false">IF(H_Direct=1,IF(CK96&lt;=0,MW96-CK96*ALK95,MW96-MIN(MIN(CK96*ALK95,JJ96+MW96),MW96)),MW96)</f>
        <v>0</v>
      </c>
      <c r="MY96" s="20" t="n">
        <f aca="false">IF(H_Direct=1,IF(CL96&lt;=0,MX96-CL96*ALL95,MX96-MIN(MIN(CL96*ALL95,JK96+MX96),MX96)),MX96)</f>
        <v>0</v>
      </c>
      <c r="MZ96" s="20" t="n">
        <f aca="false">IF(H_Direct=1,IF(CM96&lt;=0,MY96-CM96*ALM95,MY96-MIN(MIN(CM96*ALM95,JL96+MY96),MY96)),MY96)</f>
        <v>0</v>
      </c>
      <c r="NA96" s="20" t="n">
        <f aca="false">IF(H_Direct=1,IF(CN96&lt;=0,MZ96-CN96*ALN95,MZ96-MIN(MIN(CN96*ALN95,JM96+MZ96),MZ96)),MZ96)</f>
        <v>0</v>
      </c>
      <c r="NB96" s="20" t="n">
        <f aca="false">IF(H_Direct=1,IF(CO96&lt;=0,NA96-CO96*ALO95,NA96-MIN(MIN(CO96*ALO95,JN96+NA96),NA96)),NA96)</f>
        <v>0</v>
      </c>
      <c r="NC96" s="20" t="n">
        <f aca="false">IF(H_Direct=1,IF(CP96&lt;=0,NB96-CP96*ALP95,NB96-MIN(MIN(CP96*ALP95,JO96+NB96),NB96)),NB96)</f>
        <v>0</v>
      </c>
      <c r="ND96" s="20" t="n">
        <f aca="false">IF(H_Direct=1,IF(CQ96&lt;=0,NC96-CQ96*ALQ95,NC96-MIN(MIN(CQ96*ALQ95,JP96+NC96),NC96)),NC96)</f>
        <v>0</v>
      </c>
      <c r="NE96" s="20" t="n">
        <f aca="false">IF(H_Direct=1,IF(CR96&lt;=0,ND96-CR96*ALR95,ND96-MIN(MIN(CR96*ALR95,JQ96+ND96),ND96)),ND96)</f>
        <v>0</v>
      </c>
      <c r="NF96" s="20" t="n">
        <f aca="false">IF(H_Direct=1,IF(CS96&lt;=0,NE96-CS96*ALS95,NE96-MIN(MIN(CS96*ALS95,JR96+NE96),NE96)),NE96)</f>
        <v>0</v>
      </c>
      <c r="NG96" s="20" t="n">
        <f aca="false">IF(H_Direct=1,IF(CT96&lt;=0,NF96-CT96*ALT95,NF96-MIN(MIN(CT96*ALT95,JS96+NF96),NF96)),NF96)</f>
        <v>0</v>
      </c>
      <c r="NH96" s="20" t="n">
        <f aca="false">IF(H_Direct=1,IF(CU96&lt;=0,NG96-CU96*ALU95,NG96-MIN(MIN(CU96*ALU95,JT96+NG96),NG96)),NG96)</f>
        <v>0</v>
      </c>
      <c r="NI96" s="20" t="n">
        <f aca="false">IF(H_Direct=1,IF(CV96&lt;=0,NH96-CV96*ALV95,NH96-MIN(MIN(CV96*ALV95,JU96+NH96),NH96)),NH96)</f>
        <v>0</v>
      </c>
      <c r="NJ96" s="20" t="n">
        <f aca="false">IF(H_Direct=1,IF(CW96&lt;=0,NI96-CW96*ALW95,NI96-MIN(MIN(CW96*ALW95,JV96+NI96),NI96)),NI96)</f>
        <v>0</v>
      </c>
      <c r="NK96" s="20" t="n">
        <f aca="false">IF(H_Direct=1,IF(CX96&lt;=0,NJ96-CX96*ALX95,NJ96-MIN(MIN(CX96*ALX95,JW96+NJ96),NJ96)),NJ96)</f>
        <v>0</v>
      </c>
      <c r="NL96" s="20" t="n">
        <f aca="false">IF(H_Direct=1,IF(CY96&lt;=0,NK96-CY96*ALY95,NK96-MIN(MIN(CY96*ALY95,JX96+NK96),NK96)),NK96)</f>
        <v>0</v>
      </c>
      <c r="NM96" s="20" t="n">
        <f aca="false">IF(H_Direct=1,IF(CZ96&lt;=0,NL96-CZ96*ALZ95,NL96-MIN(MIN(CZ96*ALZ95,JY96+NL96),NL96)),NL96)</f>
        <v>0</v>
      </c>
      <c r="NN96" s="20" t="n">
        <f aca="false">IF(H_Direct=1,IF(DA96&lt;=0,NM96-DA96*AMA95,NM96-MIN(MIN(DA96*AMA95,JZ96+NM96),NM96)),NM96)</f>
        <v>0</v>
      </c>
      <c r="NO96" s="20" t="n">
        <f aca="false">IF(H_Direct=1,IF(DB96&lt;=0,NN96-DB96*AMB95,NN96-MIN(MIN(DB96*AMB95,KA96+NN96),NN96)),NN96)</f>
        <v>0</v>
      </c>
      <c r="NP96" s="20" t="n">
        <f aca="false">IF(H_Direct=1,IF(DC96&lt;=0,NO96-DC96*AMC95,NO96-MIN(MIN(DC96*AMC95,KB96+NO96),NO96)),NO96)</f>
        <v>0</v>
      </c>
      <c r="NQ96" s="20" t="n">
        <f aca="false">IF(H_Direct=1,IF(DD96&lt;=0,NP96-DD96*AMD95,NP96-MIN(MIN(DD96*AMD95,KC96+NP96),NP96)),NP96)</f>
        <v>0</v>
      </c>
      <c r="NR96" s="20" t="n">
        <f aca="false">IF(H_Direct=1,IF(DE96&lt;=0,NQ96-DE96*AME95,NQ96-MIN(MIN(DE96*AME95,KD96+NQ96),NQ96)),NQ96)</f>
        <v>0</v>
      </c>
      <c r="NS96" s="20" t="n">
        <f aca="false">IF(H_Direct=1,IF(DF96&lt;=0,NR96-DF96*AMF95,NR96-MIN(MIN(DF96*AMF95,KE96+NR96),NR96)),NR96)</f>
        <v>0</v>
      </c>
      <c r="NT96" s="20" t="n">
        <f aca="false">IF(H_Direct=1,IF(DG96&lt;=0,NS96-DG96*AMG95,NS96-MIN(MIN(DG96*AMG95,KF96+NS96),NS96)),NS96)</f>
        <v>0</v>
      </c>
      <c r="NU96" s="20" t="n">
        <f aca="false">IF(H_Direct=1,IF(DH96&lt;=0,NT96-DH96*AMH95,NT96-MIN(MIN(DH96*AMH95,KG96+NT96),NT96)),NT96)</f>
        <v>0</v>
      </c>
      <c r="NV96" s="20" t="n">
        <f aca="false">IF(H_Direct=1,IF(DI96&lt;=0,NU96-DI96*AMI95,NU96-MIN(MIN(DI96*AMI95,KH96+NU96),NU96)),NU96)</f>
        <v>0</v>
      </c>
      <c r="NW96" s="20" t="n">
        <f aca="false">IF(H_Direct=1,IF(DJ96&lt;=0,NV96-DJ96*AMJ95,NV96-MIN(MIN(DJ96*AMJ95,KI96+NV96),NV96)),NV96)</f>
        <v>0</v>
      </c>
      <c r="NX96" s="20" t="n">
        <f aca="false">IF(H_Direct=1,IF(DK96&lt;=0,NW96-DK96*AMK95,NW96-MIN(MIN(DK96*AMK95,KJ96+NW96),NW96)),NW96)</f>
        <v>0</v>
      </c>
      <c r="NY96" s="20" t="n">
        <f aca="false">IF(H_Direct=1,IF(DL96&lt;=0,NX96-DL96*AML95,NX96-MIN(MIN(DL96*AML95,KK96+NX96),NX96)),NX96)</f>
        <v>0</v>
      </c>
      <c r="NZ96" s="20" t="n">
        <f aca="false">IF(H_Direct=1,IF(DM96&lt;=0,NY96-DM96*AMM95,NY96-MIN(MIN(DM96*AMM95,KL96+NY96),NY96)),NY96)</f>
        <v>0</v>
      </c>
      <c r="OA96" s="20" t="n">
        <f aca="false">IF(H_Direct=1,IF(DN96&lt;=0,NZ96-DN96*AMN95,NZ96-MIN(MIN(DN96*AMN95,KM96+NZ96),NZ96)),NZ96)</f>
        <v>0</v>
      </c>
      <c r="OB96" s="20" t="n">
        <f aca="false">IF(H_Direct=1,IF(DO96&lt;=0,OA96-DO96*AMO95,OA96-MIN(MIN(DO96*AMO95,KN96+OA96),OA96)),OA96)</f>
        <v>0</v>
      </c>
      <c r="OC96" s="20" t="n">
        <f aca="false">IF(H_Direct=1,IF(DP96&lt;=0,OB96-DP96*AMP95,OB96-MIN(MIN(DP96*AMP95,KO96+OB96),OB96)),OB96)</f>
        <v>0</v>
      </c>
      <c r="OD96" s="20" t="n">
        <f aca="false">IF(H_Direct=1,IF(DQ96&lt;=0,OC96-DQ96*AMQ95,OC96-MIN(MIN(DQ96*AMQ95,KP96+OC96),OC96)),OC96)</f>
        <v>0</v>
      </c>
      <c r="OE96" s="20" t="n">
        <f aca="false">IF(H_Direct=1,IF(DR96&lt;=0,OD96-DR96*AMR95,OD96-MIN(MIN(DR96*AMR95,KQ96+OD96),OD96)),OD96)</f>
        <v>0</v>
      </c>
      <c r="OF96" s="20" t="n">
        <f aca="false">IF(H_Direct=1,IF(DS96&lt;=0,OE96-DS96*AMS95,OE96-MIN(MIN(DS96*AMS95,KR96+OE96),OE96)),OE96)</f>
        <v>0</v>
      </c>
      <c r="OG96" s="20" t="n">
        <f aca="false">IF(H_Direct=1,IF(DT96&lt;=0,OF96-DT96*AMT95,OF96-MIN(MIN(DT96*AMT95,KS96+OF96),OF96)),OF96)</f>
        <v>0</v>
      </c>
      <c r="OH96" s="20" t="n">
        <f aca="false">IF(H_Direct=1,IF(DU96&lt;=0,OG96-DU96*AMU95,OG96-MIN(MIN(DU96*AMU95,KT96+OG96),OG96)),OG96)</f>
        <v>0</v>
      </c>
      <c r="OI96" s="20" t="n">
        <f aca="false">IF(H_Direct=1,IF(DV96&lt;=0,OH96-DV96*AMV95,OH96-MIN(MIN(DV96*AMV95,KU96+OH96),OH96)),OH96)</f>
        <v>0</v>
      </c>
      <c r="OJ96" s="20" t="n">
        <f aca="false">IF(H_Direct=1,IF(DW96&lt;=0,OI96-DW96*AMW95,OI96-MIN(MIN(DW96*AMW95,KV96+OI96),OI96)),OI96)</f>
        <v>0</v>
      </c>
      <c r="OK96" s="20" t="n">
        <f aca="false">IF(H_Direct=1,IF(DX96&lt;=0,OJ96-DX96*AMX95,OJ96-MIN(MIN(DX96*AMX95,KW96+OJ96),OJ96)),OJ96)</f>
        <v>0</v>
      </c>
      <c r="OL96" s="20" t="n">
        <f aca="false">IF(H_Direct=1,IF(DY96&lt;=0,OK96-DY96*AMY95,OK96-MIN(MIN(DY96*AMY95,KX96+OK96),OK96)),OK96)</f>
        <v>0</v>
      </c>
      <c r="OM96" s="20" t="n">
        <f aca="false">IF(H_Direct=1,IF(DZ96&lt;=0,OL96-DZ96*AMZ95,OL96-MIN(MIN(DZ96*AMZ95,KY96+OL96),OL96)),OL96)</f>
        <v>0</v>
      </c>
      <c r="ON96" s="20" t="n">
        <f aca="false">IF(H_Direct=1,IF(EA96&lt;=0,OM96-EA96*ANA95,OM96-MIN(MIN(EA96*ANA95,KZ96+OM96),OM96)),OM96)</f>
        <v>0</v>
      </c>
      <c r="OO96" s="20" t="n">
        <f aca="false">IF(H_Direct=1,IF(EB96&lt;=0,ON96-EB96*ANB95,ON96-MIN(MIN(EB96*ANB95,LA96+ON96),ON96)),ON96)</f>
        <v>0</v>
      </c>
      <c r="OP96" s="20" t="n">
        <f aca="false">IF(H_Direct=1,IF(EC96&lt;=0,OO96-EC96*ANC95,OO96-MIN(MIN(EC96*ANC95,LB96+OO96),OO96)),OO96)</f>
        <v>0</v>
      </c>
      <c r="OQ96" s="20" t="n">
        <f aca="false">IF(H_Direct=1,IF(ED96&lt;=0,OP96-ED96*AND95,OP96-MIN(MIN(ED96*AND95,LC96+OP96),OP96)),OP96)</f>
        <v>0</v>
      </c>
      <c r="OR96" s="20" t="n">
        <f aca="false">IF(H_Direct=1,IF(EE96&lt;=0,OQ96-EE96*ANE95,OQ96-MIN(MIN(EE96*ANE95,LD96+OQ96),OQ96)),OQ96)</f>
        <v>0</v>
      </c>
      <c r="OS96" s="20" t="n">
        <f aca="false">IF(H_Direct=1,IF(EF96&lt;=0,OR96-EF96*ANF95,OR96-MIN(MIN(EF96*ANF95,LE96+OR96),OR96)),OR96)</f>
        <v>0</v>
      </c>
      <c r="OT96" s="20" t="n">
        <f aca="false">IF(H_Direct=1,IF(EG96&lt;=0,OS96-EG96*ANG95,OS96-MIN(MIN(EG96*ANG95,LF96+OS96),OS96)),OS96)</f>
        <v>0</v>
      </c>
      <c r="OU96" s="20" t="n">
        <f aca="false">IF(H_Direct=1,IF(EH96&lt;=0,OT96-EH96*ANH95,OT96-MIN(MIN(EH96*ANH95,LG96+OT96),OT96)),OT96)</f>
        <v>0</v>
      </c>
      <c r="OV96" s="20" t="n">
        <f aca="false">IF(H_Direct=1,IF(EI96&lt;=0,OU96-EI96*ANI95,OU96-MIN(MIN(EI96*ANI95,LH96+OU96),OU96)),OU96)</f>
        <v>0</v>
      </c>
      <c r="OW96" s="20" t="n">
        <f aca="false">IF(H_Direct=1,IF(EJ96&lt;=0,OV96-EJ96*ANJ95,OV96-MIN(MIN(EJ96*ANJ95,LI96+OV96),OV96)),OV96)</f>
        <v>0</v>
      </c>
      <c r="OX96" s="20" t="n">
        <f aca="false">IF(H_Direct=1,IF(EK96&lt;=0,OW96-EK96*ANK95,OW96-MIN(MIN(EK96*ANK95,LJ96+OW96),OW96)),OW96)</f>
        <v>0</v>
      </c>
      <c r="OY96" s="20" t="n">
        <f aca="false">IF(H_Direct=1,IF(EL96&lt;=0,OX96-EL96*ANL95,OX96-MIN(MIN(EL96*ANL95,LK96+OX96),OX96)),OX96)</f>
        <v>0</v>
      </c>
      <c r="OZ96" s="20" t="n">
        <f aca="false">IF(H_Direct=1,IF(EM96&lt;=0,OY96-EM96*ANM95,OY96-MIN(MIN(EM96*ANM95,LL96+OY96),OY96)),OY96)</f>
        <v>0</v>
      </c>
      <c r="PA96" s="20" t="n">
        <f aca="false">IF(H_Direct=1,IF(EN96&lt;=0,OZ96-EN96*ANN95,OZ96-MIN(MIN(EN96*ANN95,LM96+OZ96),OZ96)),OZ96)</f>
        <v>0</v>
      </c>
      <c r="PB96" s="20" t="n">
        <f aca="false">IF(H_Direct=1,IF(EO96&lt;=0,PA96-EO96*ANO95,PA96-MIN(MIN(EO96*ANO95,LN96+PA96),PA96)),PA96)</f>
        <v>0</v>
      </c>
      <c r="PC96" s="20" t="n">
        <f aca="false">IF(H_Direct=1,IF(EP96&lt;=0,PB96-EP96*ANP95,PB96-MIN(MIN(EP96*ANP95,LO96+PB96),PB96)),PB96)</f>
        <v>0</v>
      </c>
      <c r="PD96" s="20" t="n">
        <f aca="false">IF(H_Direct=1,IF(EQ96&lt;=0,PC96-EQ96*ANQ95,PC96-MIN(MIN(EQ96*ANQ95,LP96+PC96),PC96)),PC96)</f>
        <v>0</v>
      </c>
      <c r="PE96" s="20" t="n">
        <f aca="false">IF(H_Direct=1,IF(ER96&lt;=0,PD96-ER96*ANR95,PD96-MIN(MIN(ER96*ANR95,LQ96+PD96),PD96)),PD96)</f>
        <v>0</v>
      </c>
      <c r="PF96" s="20" t="n">
        <f aca="false">IF(H_Direct=1,IF(ES96&lt;=0,PE96-ES96*ANS95,PE96-MIN(MIN(ES96*ANS95,LR96+PE96),PE96)),PE96)</f>
        <v>0</v>
      </c>
      <c r="PG96" s="20" t="n">
        <f aca="false">IF(H_Direct=1,IF(ET96&lt;=0,PF96-ET96*ANT95,PF96-MIN(MIN(ET96*ANT95,LS96+PF96),PF96)),PF96)</f>
        <v>0</v>
      </c>
      <c r="PH96" s="20" t="n">
        <f aca="false">IF(H_Direct=1,IF(EU96&lt;=0,PG96-EU96*ANU95,PG96-MIN(MIN(EU96*ANU95,LT96+PG96),PG96)),PG96)</f>
        <v>0</v>
      </c>
      <c r="PI96" s="20" t="n">
        <f aca="false">IF(H_Direct=1,IF(EV96&lt;=0,PH96-EV96*ANV95,PH96-MIN(MIN(EV96*ANV95,LU96+PH96),PH96)),PH96)</f>
        <v>0</v>
      </c>
      <c r="PJ96" s="20" t="n">
        <f aca="false">IF(H_Direct=1,IF(EW96&lt;=0,PI96-EW96*ANW95,PI96-MIN(MIN(EW96*ANW95,LV96+PI96),PI96)),PI96)</f>
        <v>0</v>
      </c>
      <c r="PK96" s="20" t="n">
        <f aca="false">IF(H_Direct=1,IF(EX96&lt;=0,PJ96-EX96*ANX95,PJ96-MIN(MIN(EX96*ANX95,LW96+PJ96),PJ96)),PJ96)</f>
        <v>0</v>
      </c>
      <c r="PL96" s="20" t="n">
        <f aca="false">IF(H_Direct=1,IF(EY96&lt;=0,PK96-EY96*ANY95,PK96-MIN(MIN(EY96*ANY95,LX96+PK96),PK96)),PK96)</f>
        <v>0</v>
      </c>
      <c r="PM96" s="20" t="n">
        <f aca="false">IF(H_Direct=1,IF(EZ96&lt;=0,PL96-EZ96*ANZ95,PL96-MIN(MIN(EZ96*ANZ95,LY96+PL96),PL96)),PL96)</f>
        <v>0</v>
      </c>
      <c r="PN96" s="20" t="n">
        <f aca="false">IF(H_Direct=1,IF(FA96&lt;=0,PM96-FA96*AOA95,PM96-MIN(MIN(FA96*AOA95,LZ96+PM96),PM96)),PM96)</f>
        <v>0</v>
      </c>
      <c r="PO96" s="20" t="n">
        <f aca="false">IF(H_Direct=1,IF(FB96&lt;=0,PN96-FB96*AOB95,PN96-MIN(MIN(FB96*AOB95,MA96+PN96),PN96)),PN96)</f>
        <v>0</v>
      </c>
      <c r="PP96" s="20" t="n">
        <f aca="false">IF(H_Direct=1,IF(FC96&lt;=0,PO96-FC96*(P96+S96),PO96-MIN(MIN(FC96*(P96+S96),MB96+PO96),PO96)),PO96)</f>
        <v>0</v>
      </c>
      <c r="PQ96" s="20" t="n">
        <f aca="false">PP96</f>
        <v>0</v>
      </c>
      <c r="PR96" s="20" t="n">
        <f aca="false">IF(H_Direct=1,IF(AKR95&lt;=0,0,IF(BR96&lt;=0,MIN(MAX(0,AB96),AKR95),MIN(MAX(0,AB96),AKR95-G96*MAX(0,BR96*AKR95-(H96+I96))))),MIN(FE96,MAX(0,AB96)))</f>
        <v>0</v>
      </c>
      <c r="PS96" s="20" t="n">
        <f aca="false">IF(H_Direct=1,IF(AKS95&lt;=0,0,IF(BS96&lt;=0,MIN(MAX(0,AB96-SUM(PR96:PR96)),AKS95),MIN(MAX(0,AB96-SUM(PR96:PR96)),AKS95-G96*MAX(0,BS96*AKS95-(WR96+AAE96))))),MIN(FF96,MAX(0,AB96-SUM(PR96:PR96))))</f>
        <v>0</v>
      </c>
      <c r="PT96" s="20" t="n">
        <f aca="false">IF(H_Direct=1,IF(AKT95&lt;=0,0,IF(BT96&lt;=0,MIN(MAX(0,AB96-SUM(PR96:PS96)),AKT95),MIN(MAX(0,AB96-SUM(PR96:PS96)),AKT95-G96*MAX(0,BT96*AKT95-(WS96+AAF96))))),MIN(FG96,MAX(0,AB96-SUM(PR96:PS96))))</f>
        <v>0</v>
      </c>
      <c r="PU96" s="20" t="n">
        <f aca="false">IF(H_Direct=1,IF(AKU95&lt;=0,0,IF(BU96&lt;=0,MIN(MAX(0,AB96-SUM(PR96:PT96)),AKU95),MIN(MAX(0,AB96-SUM(PR96:PT96)),AKU95-G96*MAX(0,BU96*AKU95-(WT96+AAG96))))),MIN(FH96,MAX(0,AB96-SUM(PR96:PT96))))</f>
        <v>0</v>
      </c>
      <c r="PV96" s="20" t="n">
        <f aca="false">IF(H_Direct=1,IF(AKV95&lt;=0,0,IF(BV96&lt;=0,MIN(MAX(0,AB96-SUM(PR96:PU96)),AKV95),MIN(MAX(0,AB96-SUM(PR96:PU96)),AKV95-G96*MAX(0,BV96*AKV95-(WU96+AAH96))))),MIN(FI96,MAX(0,AB96-SUM(PR96:PU96))))</f>
        <v>0</v>
      </c>
      <c r="PW96" s="20" t="n">
        <f aca="false">IF(H_Direct=1,IF(AKW95&lt;=0,0,IF(BW96&lt;=0,MIN(MAX(0,AB96-SUM(PR96:PV96)),AKW95),MIN(MAX(0,AB96-SUM(PR96:PV96)),AKW95-G96*MAX(0,BW96*AKW95-(WV96+AAI96))))),MIN(FJ96,MAX(0,AB96-SUM(PR96:PV96))))</f>
        <v>0</v>
      </c>
      <c r="PX96" s="20" t="n">
        <f aca="false">IF(H_Direct=1,IF(AKX95&lt;=0,0,IF(BX96&lt;=0,MIN(MAX(0,AB96-SUM(PR96:PW96)),AKX95),MIN(MAX(0,AB96-SUM(PR96:PW96)),AKX95-G96*MAX(0,BX96*AKX95-(WW96+AAJ96))))),MIN(FK96,MAX(0,AB96-SUM(PR96:PW96))))</f>
        <v>0</v>
      </c>
      <c r="PY96" s="20" t="n">
        <f aca="false">IF(H_Direct=1,IF(AKY95&lt;=0,0,IF(BY96&lt;=0,MIN(MAX(0,AB96-SUM(PR96:PX96)),AKY95),MIN(MAX(0,AB96-SUM(PR96:PX96)),AKY95-G96*MAX(0,BY96*AKY95-(WX96+AAK96))))),MIN(FL96,MAX(0,AB96-SUM(PR96:PX96))))</f>
        <v>0</v>
      </c>
      <c r="PZ96" s="20" t="n">
        <f aca="false">IF(H_Direct=1,IF(AKZ95&lt;=0,0,IF(BZ96&lt;=0,MIN(MAX(0,AB96-SUM(PR96:PY96)),AKZ95),MIN(MAX(0,AB96-SUM(PR96:PY96)),AKZ95-G96*MAX(0,BZ96*AKZ95-(WY96+AAL96))))),MIN(FM96,MAX(0,AB96-SUM(PR96:PY96))))</f>
        <v>0</v>
      </c>
      <c r="QA96" s="20" t="n">
        <f aca="false">IF(H_Direct=1,IF(ALA95&lt;=0,0,IF(CA96&lt;=0,MIN(MAX(0,AB96-SUM(PR96:PZ96)),ALA95),MIN(MAX(0,AB96-SUM(PR96:PZ96)),ALA95-G96*MAX(0,CA96*ALA95-(WZ96+AAM96))))),MIN(FN96,MAX(0,AB96-SUM(PR96:PZ96))))</f>
        <v>0</v>
      </c>
      <c r="QB96" s="20" t="n">
        <f aca="false">IF(H_Direct=1,IF(ALB95&lt;=0,0,IF(CB96&lt;=0,MIN(MAX(0,AB96-SUM(PR96:QA96)),ALB95),MIN(MAX(0,AB96-SUM(PR96:QA96)),ALB95-G96*MAX(0,CB96*ALB95-(XA96+AAN96))))),MIN(FO96,MAX(0,AB96-SUM(PR96:QA96))))</f>
        <v>0</v>
      </c>
      <c r="QC96" s="20" t="n">
        <f aca="false">IF(H_Direct=1,IF(ALC95&lt;=0,0,IF(CC96&lt;=0,MIN(MAX(0,AB96-SUM(PR96:QB96)),ALC95),MIN(MAX(0,AB96-SUM(PR96:QB96)),ALC95-G96*MAX(0,CC96*ALC95-(XB96+AAO96))))),MIN(FP96,MAX(0,AB96-SUM(PR96:QB96))))</f>
        <v>0</v>
      </c>
      <c r="QD96" s="20" t="n">
        <f aca="false">IF(H_Direct=1,IF(ALD95&lt;=0,0,IF(CD96&lt;=0,MIN(MAX(0,AB96-SUM(PR96:QC96)),ALD95),MIN(MAX(0,AB96-SUM(PR96:QC96)),ALD95-G96*MAX(0,CD96*ALD95-(XC96+AAP96))))),MIN(FQ96,MAX(0,AB96-SUM(PR96:QC96))))</f>
        <v>0</v>
      </c>
      <c r="QE96" s="20" t="n">
        <f aca="false">IF(H_Direct=1,IF(ALE95&lt;=0,0,IF(CE96&lt;=0,MIN(MAX(0,AB96-SUM(PR96:QD96)),ALE95),MIN(MAX(0,AB96-SUM(PR96:QD96)),ALE95-G96*MAX(0,CE96*ALE95-(XD96+AAQ96))))),MIN(FR96,MAX(0,AB96-SUM(PR96:QD96))))</f>
        <v>0</v>
      </c>
      <c r="QF96" s="20" t="n">
        <f aca="false">IF(H_Direct=1,IF(ALF95&lt;=0,0,IF(CF96&lt;=0,MIN(MAX(0,AB96-SUM(PR96:QE96)),ALF95),MIN(MAX(0,AB96-SUM(PR96:QE96)),ALF95-G96*MAX(0,CF96*ALF95-(XE96+AAR96))))),MIN(FS96,MAX(0,AB96-SUM(PR96:QE96))))</f>
        <v>0</v>
      </c>
      <c r="QG96" s="20" t="n">
        <f aca="false">IF(H_Direct=1,IF(ALG95&lt;=0,0,IF(CG96&lt;=0,MIN(MAX(0,AB96-SUM(PR96:QF96)),ALG95),MIN(MAX(0,AB96-SUM(PR96:QF96)),ALG95-G96*MAX(0,CG96*ALG95-(XF96+AAS96))))),MIN(FT96,MAX(0,AB96-SUM(PR96:QF96))))</f>
        <v>0</v>
      </c>
      <c r="QH96" s="20" t="n">
        <f aca="false">IF(H_Direct=1,IF(ALH95&lt;=0,0,IF(CH96&lt;=0,MIN(MAX(0,AB96-SUM(PR96:QG96)),ALH95),MIN(MAX(0,AB96-SUM(PR96:QG96)),ALH95-G96*MAX(0,CH96*ALH95-(XG96+AAT96))))),MIN(FU96,MAX(0,AB96-SUM(PR96:QG96))))</f>
        <v>0</v>
      </c>
      <c r="QI96" s="20" t="n">
        <f aca="false">IF(H_Direct=1,IF(ALI95&lt;=0,0,IF(CI96&lt;=0,MIN(MAX(0,AB96-SUM(PR96:QH96)),ALI95),MIN(MAX(0,AB96-SUM(PR96:QH96)),ALI95-G96*MAX(0,CI96*ALI95-(XH96+AAU96))))),MIN(FV96,MAX(0,AB96-SUM(PR96:QH96))))</f>
        <v>0</v>
      </c>
      <c r="QJ96" s="20" t="n">
        <f aca="false">IF(H_Direct=1,IF(ALJ95&lt;=0,0,IF(CJ96&lt;=0,MIN(MAX(0,AB96-SUM(PR96:QI96)),ALJ95),MIN(MAX(0,AB96-SUM(PR96:QI96)),ALJ95-G96*MAX(0,CJ96*ALJ95-(XI96+AAV96))))),MIN(FW96,MAX(0,AB96-SUM(PR96:QI96))))</f>
        <v>0</v>
      </c>
      <c r="QK96" s="20" t="n">
        <f aca="false">IF(H_Direct=1,IF(ALK95&lt;=0,0,IF(CK96&lt;=0,MIN(MAX(0,AB96-SUM(PR96:QJ96)),ALK95),MIN(MAX(0,AB96-SUM(PR96:QJ96)),ALK95-G96*MAX(0,CK96*ALK95-(XJ96+AAW96))))),MIN(FX96,MAX(0,AB96-SUM(PR96:QJ96))))</f>
        <v>0</v>
      </c>
      <c r="QL96" s="20" t="n">
        <f aca="false">IF(H_Direct=1,IF(ALL95&lt;=0,0,IF(CL96&lt;=0,MIN(MAX(0,AB96-SUM(PR96:QK96)),ALL95),MIN(MAX(0,AB96-SUM(PR96:QK96)),ALL95-G96*MAX(0,CL96*ALL95-(XK96+AAX96))))),MIN(FY96,MAX(0,AB96-SUM(PR96:QK96))))</f>
        <v>0</v>
      </c>
      <c r="QM96" s="20" t="n">
        <f aca="false">IF(H_Direct=1,IF(ALM95&lt;=0,0,IF(CM96&lt;=0,MIN(MAX(0,AB96-SUM(PR96:QL96)),ALM95),MIN(MAX(0,AB96-SUM(PR96:QL96)),ALM95-G96*MAX(0,CM96*ALM95-(XL96+AAY96))))),MIN(FZ96,MAX(0,AB96-SUM(PR96:QL96))))</f>
        <v>0</v>
      </c>
      <c r="QN96" s="20" t="n">
        <f aca="false">IF(H_Direct=1,IF(ALN95&lt;=0,0,IF(CN96&lt;=0,MIN(MAX(0,AB96-SUM(PR96:QM96)),ALN95),MIN(MAX(0,AB96-SUM(PR96:QM96)),ALN95-G96*MAX(0,CN96*ALN95-(XM96+AAZ96))))),MIN(GA96,MAX(0,AB96-SUM(PR96:QM96))))</f>
        <v>0</v>
      </c>
      <c r="QO96" s="20" t="n">
        <f aca="false">IF(H_Direct=1,IF(ALO95&lt;=0,0,IF(CO96&lt;=0,MIN(MAX(0,AB96-SUM(PR96:QN96)),ALO95),MIN(MAX(0,AB96-SUM(PR96:QN96)),ALO95-G96*MAX(0,CO96*ALO95-(XN96+ABA96))))),MIN(GB96,MAX(0,AB96-SUM(PR96:QN96))))</f>
        <v>0</v>
      </c>
      <c r="QP96" s="20" t="n">
        <f aca="false">IF(H_Direct=1,IF(ALP95&lt;=0,0,IF(CP96&lt;=0,MIN(MAX(0,AB96-SUM(PR96:QO96)),ALP95),MIN(MAX(0,AB96-SUM(PR96:QO96)),ALP95-G96*MAX(0,CP96*ALP95-(XO96+ABB96))))),MIN(GC96,MAX(0,AB96-SUM(PR96:QO96))))</f>
        <v>0</v>
      </c>
      <c r="QQ96" s="20" t="n">
        <f aca="false">IF(H_Direct=1,IF(ALQ95&lt;=0,0,IF(CQ96&lt;=0,MIN(MAX(0,AB96-SUM(PR96:QP96)),ALQ95),MIN(MAX(0,AB96-SUM(PR96:QP96)),ALQ95-G96*MAX(0,CQ96*ALQ95-(XP96+ABC96))))),MIN(GD96,MAX(0,AB96-SUM(PR96:QP96))))</f>
        <v>0</v>
      </c>
      <c r="QR96" s="20" t="n">
        <f aca="false">IF(H_Direct=1,IF(ALR95&lt;=0,0,IF(CR96&lt;=0,MIN(MAX(0,AB96-SUM(PR96:QQ96)),ALR95),MIN(MAX(0,AB96-SUM(PR96:QQ96)),ALR95-G96*MAX(0,CR96*ALR95-(XQ96+ABD96))))),MIN(GE96,MAX(0,AB96-SUM(PR96:QQ96))))</f>
        <v>0</v>
      </c>
      <c r="QS96" s="20" t="n">
        <f aca="false">IF(H_Direct=1,IF(ALS95&lt;=0,0,IF(CS96&lt;=0,MIN(MAX(0,AB96-SUM(PR96:QR96)),ALS95),MIN(MAX(0,AB96-SUM(PR96:QR96)),ALS95-G96*MAX(0,CS96*ALS95-(XR96+ABE96))))),MIN(GF96,MAX(0,AB96-SUM(PR96:QR96))))</f>
        <v>0</v>
      </c>
      <c r="QT96" s="20" t="n">
        <f aca="false">IF(H_Direct=1,IF(ALT95&lt;=0,0,IF(CT96&lt;=0,MIN(MAX(0,AB96-SUM(PR96:QS96)),ALT95),MIN(MAX(0,AB96-SUM(PR96:QS96)),ALT95-G96*MAX(0,CT96*ALT95-(XS96+ABF96))))),MIN(GG96,MAX(0,AB96-SUM(PR96:QS96))))</f>
        <v>0</v>
      </c>
      <c r="QU96" s="20" t="n">
        <f aca="false">IF(H_Direct=1,IF(ALU95&lt;=0,0,IF(CU96&lt;=0,MIN(MAX(0,AB96-SUM(PR96:QT96)),ALU95),MIN(MAX(0,AB96-SUM(PR96:QT96)),ALU95-G96*MAX(0,CU96*ALU95-(XT96+ABG96))))),MIN(GH96,MAX(0,AB96-SUM(PR96:QT96))))</f>
        <v>0</v>
      </c>
      <c r="QV96" s="20" t="n">
        <f aca="false">IF(H_Direct=1,IF(ALV95&lt;=0,0,IF(CV96&lt;=0,MIN(MAX(0,AB96-SUM(PR96:QU96)),ALV95),MIN(MAX(0,AB96-SUM(PR96:QU96)),ALV95-G96*MAX(0,CV96*ALV95-(XU96+ABH96))))),MIN(GI96,MAX(0,AB96-SUM(PR96:QU96))))</f>
        <v>0</v>
      </c>
      <c r="QW96" s="20" t="n">
        <f aca="false">IF(H_Direct=1,IF(ALW95&lt;=0,0,IF(CW96&lt;=0,MIN(MAX(0,AB96-SUM(PR96:QV96)),ALW95),MIN(MAX(0,AB96-SUM(PR96:QV96)),ALW95-G96*MAX(0,CW96*ALW95-(XV96+ABI96))))),MIN(GJ96,MAX(0,AB96-SUM(PR96:QV96))))</f>
        <v>0</v>
      </c>
      <c r="QX96" s="20" t="n">
        <f aca="false">IF(H_Direct=1,IF(ALX95&lt;=0,0,IF(CX96&lt;=0,MIN(MAX(0,AB96-SUM(PR96:QW96)),ALX95),MIN(MAX(0,AB96-SUM(PR96:QW96)),ALX95-G96*MAX(0,CX96*ALX95-(XW96+ABJ96))))),MIN(GK96,MAX(0,AB96-SUM(PR96:QW96))))</f>
        <v>0</v>
      </c>
      <c r="QY96" s="20" t="n">
        <f aca="false">IF(H_Direct=1,IF(ALY95&lt;=0,0,IF(CY96&lt;=0,MIN(MAX(0,AB96-SUM(PR96:QX96)),ALY95),MIN(MAX(0,AB96-SUM(PR96:QX96)),ALY95-G96*MAX(0,CY96*ALY95-(XX96+ABK96))))),MIN(GL96,MAX(0,AB96-SUM(PR96:QX96))))</f>
        <v>0</v>
      </c>
      <c r="QZ96" s="20" t="n">
        <f aca="false">IF(H_Direct=1,IF(ALZ95&lt;=0,0,IF(CZ96&lt;=0,MIN(MAX(0,AB96-SUM(PR96:QY96)),ALZ95),MIN(MAX(0,AB96-SUM(PR96:QY96)),ALZ95-G96*MAX(0,CZ96*ALZ95-(XY96+ABL96))))),MIN(GM96,MAX(0,AB96-SUM(PR96:QY96))))</f>
        <v>0</v>
      </c>
      <c r="RA96" s="20" t="n">
        <f aca="false">IF(H_Direct=1,IF(AMA95&lt;=0,0,IF(DA96&lt;=0,MIN(MAX(0,AB96-SUM(PR96:QZ96)),AMA95),MIN(MAX(0,AB96-SUM(PR96:QZ96)),AMA95-G96*MAX(0,DA96*AMA95-(XZ96+ABM96))))),MIN(GN96,MAX(0,AB96-SUM(PR96:QZ96))))</f>
        <v>0</v>
      </c>
      <c r="RB96" s="20" t="n">
        <f aca="false">IF(H_Direct=1,IF(AMB95&lt;=0,0,IF(DB96&lt;=0,MIN(MAX(0,AB96-SUM(PR96:RA96)),AMB95),MIN(MAX(0,AB96-SUM(PR96:RA96)),AMB95-G96*MAX(0,DB96*AMB95-(YA96+ABN96))))),MIN(GO96,MAX(0,AB96-SUM(PR96:RA96))))</f>
        <v>0</v>
      </c>
      <c r="RC96" s="20" t="n">
        <f aca="false">IF(H_Direct=1,IF(AMC95&lt;=0,0,IF(DC96&lt;=0,MIN(MAX(0,AB96-SUM(PR96:RB96)),AMC95),MIN(MAX(0,AB96-SUM(PR96:RB96)),AMC95-G96*MAX(0,DC96*AMC95-(YB96+ABO96))))),MIN(GP96,MAX(0,AB96-SUM(PR96:RB96))))</f>
        <v>0</v>
      </c>
      <c r="RD96" s="20" t="n">
        <f aca="false">IF(H_Direct=1,IF(AMD95&lt;=0,0,IF(DD96&lt;=0,MIN(MAX(0,AB96-SUM(PR96:RC96)),AMD95),MIN(MAX(0,AB96-SUM(PR96:RC96)),AMD95-G96*MAX(0,DD96*AMD95-(YC96+ABP96))))),MIN(GQ96,MAX(0,AB96-SUM(PR96:RC96))))</f>
        <v>0</v>
      </c>
      <c r="RE96" s="20" t="n">
        <f aca="false">IF(H_Direct=1,IF(AME95&lt;=0,0,IF(DE96&lt;=0,MIN(MAX(0,AB96-SUM(PR96:RD96)),AME95),MIN(MAX(0,AB96-SUM(PR96:RD96)),AME95-G96*MAX(0,DE96*AME95-(YD96+ABQ96))))),MIN(GR96,MAX(0,AB96-SUM(PR96:RD96))))</f>
        <v>0</v>
      </c>
      <c r="RF96" s="20" t="n">
        <f aca="false">IF(H_Direct=1,IF(AMF95&lt;=0,0,IF(DF96&lt;=0,MIN(MAX(0,AB96-SUM(PR96:RE96)),AMF95),MIN(MAX(0,AB96-SUM(PR96:RE96)),AMF95-G96*MAX(0,DF96*AMF95-(YE96+ABR96))))),MIN(GS96,MAX(0,AB96-SUM(PR96:RE96))))</f>
        <v>0</v>
      </c>
      <c r="RG96" s="20" t="n">
        <f aca="false">IF(H_Direct=1,IF(AMG95&lt;=0,0,IF(DG96&lt;=0,MIN(MAX(0,AB96-SUM(PR96:RF96)),AMG95),MIN(MAX(0,AB96-SUM(PR96:RF96)),AMG95-G96*MAX(0,DG96*AMG95-(YF96+ABS96))))),MIN(GT96,MAX(0,AB96-SUM(PR96:RF96))))</f>
        <v>0</v>
      </c>
      <c r="RH96" s="20" t="n">
        <f aca="false">IF(H_Direct=1,IF(AMH95&lt;=0,0,IF(DH96&lt;=0,MIN(MAX(0,AB96-SUM(PR96:RG96)),AMH95),MIN(MAX(0,AB96-SUM(PR96:RG96)),AMH95-G96*MAX(0,DH96*AMH95-(YG96+ABT96))))),MIN(GU96,MAX(0,AB96-SUM(PR96:RG96))))</f>
        <v>0</v>
      </c>
      <c r="RI96" s="20" t="n">
        <f aca="false">IF(H_Direct=1,IF(AMI95&lt;=0,0,IF(DI96&lt;=0,MIN(MAX(0,AB96-SUM(PR96:RH96)),AMI95),MIN(MAX(0,AB96-SUM(PR96:RH96)),AMI95-G96*MAX(0,DI96*AMI95-(YH96+ABU96))))),MIN(GV96,MAX(0,AB96-SUM(PR96:RH96))))</f>
        <v>0</v>
      </c>
      <c r="RJ96" s="20" t="n">
        <f aca="false">IF(H_Direct=1,IF(AMJ95&lt;=0,0,IF(DJ96&lt;=0,MIN(MAX(0,AB96-SUM(PR96:RI96)),AMJ95),MIN(MAX(0,AB96-SUM(PR96:RI96)),AMJ95-G96*MAX(0,DJ96*AMJ95-(YI96+ABV96))))),MIN(GW96,MAX(0,AB96-SUM(PR96:RI96))))</f>
        <v>0</v>
      </c>
      <c r="RK96" s="20" t="n">
        <f aca="false">IF(H_Direct=1,IF(AMK95&lt;=0,0,IF(DK96&lt;=0,MIN(MAX(0,AB96-SUM(PR96:RJ96)),AMK95),MIN(MAX(0,AB96-SUM(PR96:RJ96)),AMK95-G96*MAX(0,DK96*AMK95-(YJ96+ABW96))))),MIN(GX96,MAX(0,AB96-SUM(PR96:RJ96))))</f>
        <v>0</v>
      </c>
      <c r="RL96" s="20" t="n">
        <f aca="false">IF(H_Direct=1,IF(AML95&lt;=0,0,IF(DL96&lt;=0,MIN(MAX(0,AB96-SUM(PR96:RK96)),AML95),MIN(MAX(0,AB96-SUM(PR96:RK96)),AML95-G96*MAX(0,DL96*AML95-(YK96+ABX96))))),MIN(GY96,MAX(0,AB96-SUM(PR96:RK96))))</f>
        <v>0</v>
      </c>
      <c r="RM96" s="20" t="n">
        <f aca="false">IF(H_Direct=1,IF(AMM95&lt;=0,0,IF(DM96&lt;=0,MIN(MAX(0,AB96-SUM(PR96:RL96)),AMM95),MIN(MAX(0,AB96-SUM(PR96:RL96)),AMM95-G96*MAX(0,DM96*AMM95-(YL96+ABY96))))),MIN(GZ96,MAX(0,AB96-SUM(PR96:RL96))))</f>
        <v>0</v>
      </c>
      <c r="RN96" s="20" t="n">
        <f aca="false">IF(H_Direct=1,IF(AMN95&lt;=0,0,IF(DN96&lt;=0,MIN(MAX(0,AB96-SUM(PR96:RM96)),AMN95),MIN(MAX(0,AB96-SUM(PR96:RM96)),AMN95-G96*MAX(0,DN96*AMN95-(YM96+ABZ96))))),MIN(HA96,MAX(0,AB96-SUM(PR96:RM96))))</f>
        <v>0</v>
      </c>
      <c r="RO96" s="20" t="n">
        <f aca="false">IF(H_Direct=1,IF(AMO95&lt;=0,0,IF(DO96&lt;=0,MIN(MAX(0,AB96-SUM(PR96:RN96)),AMO95),MIN(MAX(0,AB96-SUM(PR96:RN96)),AMO95-G96*MAX(0,DO96*AMO95-(YN96+ACA96))))),MIN(HB96,MAX(0,AB96-SUM(PR96:RN96))))</f>
        <v>0</v>
      </c>
      <c r="RP96" s="20" t="n">
        <f aca="false">IF(H_Direct=1,IF(AMP95&lt;=0,0,IF(DP96&lt;=0,MIN(MAX(0,AB96-SUM(PR96:RO96)),AMP95),MIN(MAX(0,AB96-SUM(PR96:RO96)),AMP95-G96*MAX(0,DP96*AMP95-(YO96+ACB96))))),MIN(HC96,MAX(0,AB96-SUM(PR96:RO96))))</f>
        <v>0</v>
      </c>
      <c r="RQ96" s="20" t="n">
        <f aca="false">IF(H_Direct=1,IF(AMQ95&lt;=0,0,IF(DQ96&lt;=0,MIN(MAX(0,AB96-SUM(PR96:RP96)),AMQ95),MIN(MAX(0,AB96-SUM(PR96:RP96)),AMQ95-G96*MAX(0,DQ96*AMQ95-(YP96+ACC96))))),MIN(HD96,MAX(0,AB96-SUM(PR96:RP96))))</f>
        <v>0</v>
      </c>
      <c r="RR96" s="20" t="n">
        <f aca="false">IF(H_Direct=1,IF(AMR95&lt;=0,0,IF(DR96&lt;=0,MIN(MAX(0,AB96-SUM(PR96:RQ96)),AMR95),MIN(MAX(0,AB96-SUM(PR96:RQ96)),AMR95-G96*MAX(0,DR96*AMR95-(YQ96+ACD96))))),MIN(HE96,MAX(0,AB96-SUM(PR96:RQ96))))</f>
        <v>0</v>
      </c>
      <c r="RS96" s="20" t="n">
        <f aca="false">IF(H_Direct=1,IF(AMS95&lt;=0,0,IF(DS96&lt;=0,MIN(MAX(0,AB96-SUM(PR96:RR96)),AMS95),MIN(MAX(0,AB96-SUM(PR96:RR96)),AMS95-G96*MAX(0,DS96*AMS95-(YR96+ACE96))))),MIN(HF96,MAX(0,AB96-SUM(PR96:RR96))))</f>
        <v>0</v>
      </c>
      <c r="RT96" s="20" t="n">
        <f aca="false">IF(H_Direct=1,IF(AMT95&lt;=0,0,IF(DT96&lt;=0,MIN(MAX(0,AB96-SUM(PR96:RS96)),AMT95),MIN(MAX(0,AB96-SUM(PR96:RS96)),AMT95-G96*MAX(0,DT96*AMT95-(YS96+ACF96))))),MIN(HG96,MAX(0,AB96-SUM(PR96:RS96))))</f>
        <v>0</v>
      </c>
      <c r="RU96" s="20" t="n">
        <f aca="false">IF(H_Direct=1,IF(AMU95&lt;=0,0,IF(DU96&lt;=0,MIN(MAX(0,AB96-SUM(PR96:RT96)),AMU95),MIN(MAX(0,AB96-SUM(PR96:RT96)),AMU95-G96*MAX(0,DU96*AMU95-(YT96+ACG96))))),MIN(HH96,MAX(0,AB96-SUM(PR96:RT96))))</f>
        <v>0</v>
      </c>
      <c r="RV96" s="20" t="n">
        <f aca="false">IF(H_Direct=1,IF(AMV95&lt;=0,0,IF(DV96&lt;=0,MIN(MAX(0,AB96-SUM(PR96:RU96)),AMV95),MIN(MAX(0,AB96-SUM(PR96:RU96)),AMV95-G96*MAX(0,DV96*AMV95-(YU96+ACH96))))),MIN(HI96,MAX(0,AB96-SUM(PR96:RU96))))</f>
        <v>0</v>
      </c>
      <c r="RW96" s="20" t="n">
        <f aca="false">IF(H_Direct=1,IF(AMW95&lt;=0,0,IF(DW96&lt;=0,MIN(MAX(0,AB96-SUM(PR96:RV96)),AMW95),MIN(MAX(0,AB96-SUM(PR96:RV96)),AMW95-G96*MAX(0,DW96*AMW95-(YV96+ACI96))))),MIN(HJ96,MAX(0,AB96-SUM(PR96:RV96))))</f>
        <v>0</v>
      </c>
      <c r="RX96" s="20" t="n">
        <f aca="false">IF(H_Direct=1,IF(AMX95&lt;=0,0,IF(DX96&lt;=0,MIN(MAX(0,AB96-SUM(PR96:RW96)),AMX95),MIN(MAX(0,AB96-SUM(PR96:RW96)),AMX95-G96*MAX(0,DX96*AMX95-(YW96+ACJ96))))),MIN(HK96,MAX(0,AB96-SUM(PR96:RW96))))</f>
        <v>0</v>
      </c>
      <c r="RY96" s="20" t="n">
        <f aca="false">IF(H_Direct=1,IF(AMY95&lt;=0,0,IF(DY96&lt;=0,MIN(MAX(0,AB96-SUM(PR96:RX96)),AMY95),MIN(MAX(0,AB96-SUM(PR96:RX96)),AMY95-G96*MAX(0,DY96*AMY95-(YX96+ACK96))))),MIN(HL96,MAX(0,AB96-SUM(PR96:RX96))))</f>
        <v>0</v>
      </c>
      <c r="RZ96" s="20" t="n">
        <f aca="false">IF(H_Direct=1,IF(AMZ95&lt;=0,0,IF(DZ96&lt;=0,MIN(MAX(0,AB96-SUM(PR96:RY96)),AMZ95),MIN(MAX(0,AB96-SUM(PR96:RY96)),AMZ95-G96*MAX(0,DZ96*AMZ95-(YY96+ACL96))))),MIN(HM96,MAX(0,AB96-SUM(PR96:RY96))))</f>
        <v>0</v>
      </c>
      <c r="SA96" s="20" t="n">
        <f aca="false">IF(H_Direct=1,IF(ANA95&lt;=0,0,IF(EA96&lt;=0,MIN(MAX(0,AB96-SUM(PR96:RZ96)),ANA95),MIN(MAX(0,AB96-SUM(PR96:RZ96)),ANA95-G96*MAX(0,EA96*ANA95-(YZ96+ACM96))))),MIN(HN96,MAX(0,AB96-SUM(PR96:RZ96))))</f>
        <v>0</v>
      </c>
      <c r="SB96" s="20" t="n">
        <f aca="false">IF(H_Direct=1,IF(ANB95&lt;=0,0,IF(EB96&lt;=0,MIN(MAX(0,AB96-SUM(PR96:SA96)),ANB95),MIN(MAX(0,AB96-SUM(PR96:SA96)),ANB95-G96*MAX(0,EB96*ANB95-(ZA96+ACN96))))),MIN(HO96,MAX(0,AB96-SUM(PR96:SA96))))</f>
        <v>0</v>
      </c>
      <c r="SC96" s="20" t="n">
        <f aca="false">IF(H_Direct=1,IF(ANC95&lt;=0,0,IF(EC96&lt;=0,MIN(MAX(0,AB96-SUM(PR96:SB96)),ANC95),MIN(MAX(0,AB96-SUM(PR96:SB96)),ANC95-G96*MAX(0,EC96*ANC95-(ZB96+ACO96))))),MIN(HP96,MAX(0,AB96-SUM(PR96:SB96))))</f>
        <v>0</v>
      </c>
      <c r="SD96" s="20" t="n">
        <f aca="false">IF(H_Direct=1,IF(AND95&lt;=0,0,IF(ED96&lt;=0,MIN(MAX(0,AB96-SUM(PR96:SC96)),AND95),MIN(MAX(0,AB96-SUM(PR96:SC96)),AND95-G96*MAX(0,ED96*AND95-(ZC96+ACP96))))),MIN(HQ96,MAX(0,AB96-SUM(PR96:SC96))))</f>
        <v>0</v>
      </c>
      <c r="SE96" s="20" t="n">
        <f aca="false">IF(H_Direct=1,IF(ANE95&lt;=0,0,IF(EE96&lt;=0,MIN(MAX(0,AB96-SUM(PR96:SD96)),ANE95),MIN(MAX(0,AB96-SUM(PR96:SD96)),ANE95-G96*MAX(0,EE96*ANE95-(ZD96+ACQ96))))),MIN(HR96,MAX(0,AB96-SUM(PR96:SD96))))</f>
        <v>0</v>
      </c>
      <c r="SF96" s="20" t="n">
        <f aca="false">IF(H_Direct=1,IF(ANF95&lt;=0,0,IF(EF96&lt;=0,MIN(MAX(0,AB96-SUM(PR96:SE96)),ANF95),MIN(MAX(0,AB96-SUM(PR96:SE96)),ANF95-G96*MAX(0,EF96*ANF95-(ZE96+ACR96))))),MIN(HS96,MAX(0,AB96-SUM(PR96:SE96))))</f>
        <v>0</v>
      </c>
      <c r="SG96" s="20" t="n">
        <f aca="false">IF(H_Direct=1,IF(ANG95&lt;=0,0,IF(EG96&lt;=0,MIN(MAX(0,AB96-SUM(PR96:SF96)),ANG95),MIN(MAX(0,AB96-SUM(PR96:SF96)),ANG95-G96*MAX(0,EG96*ANG95-(ZF96+ACS96))))),MIN(HT96,MAX(0,AB96-SUM(PR96:SF96))))</f>
        <v>0</v>
      </c>
      <c r="SH96" s="20" t="n">
        <f aca="false">IF(H_Direct=1,IF(ANH95&lt;=0,0,IF(EH96&lt;=0,MIN(MAX(0,AB96-SUM(PR96:SG96)),ANH95),MIN(MAX(0,AB96-SUM(PR96:SG96)),ANH95-G96*MAX(0,EH96*ANH95-(ZG96+ACT96))))),MIN(HU96,MAX(0,AB96-SUM(PR96:SG96))))</f>
        <v>0</v>
      </c>
      <c r="SI96" s="20" t="n">
        <f aca="false">IF(H_Direct=1,IF(ANI95&lt;=0,0,IF(EI96&lt;=0,MIN(MAX(0,AB96-SUM(PR96:SH96)),ANI95),MIN(MAX(0,AB96-SUM(PR96:SH96)),ANI95-G96*MAX(0,EI96*ANI95-(ZH96+ACU96))))),MIN(HV96,MAX(0,AB96-SUM(PR96:SH96))))</f>
        <v>0</v>
      </c>
      <c r="SJ96" s="20" t="n">
        <f aca="false">IF(H_Direct=1,IF(ANJ95&lt;=0,0,IF(EJ96&lt;=0,MIN(MAX(0,AB96-SUM(PR96:SI96)),ANJ95),MIN(MAX(0,AB96-SUM(PR96:SI96)),ANJ95-G96*MAX(0,EJ96*ANJ95-(ZI96+ACV96))))),MIN(HW96,MAX(0,AB96-SUM(PR96:SI96))))</f>
        <v>0</v>
      </c>
      <c r="SK96" s="20" t="n">
        <f aca="false">IF(H_Direct=1,IF(ANK95&lt;=0,0,IF(EK96&lt;=0,MIN(MAX(0,AB96-SUM(PR96:SJ96)),ANK95),MIN(MAX(0,AB96-SUM(PR96:SJ96)),ANK95-G96*MAX(0,EK96*ANK95-(ZJ96+ACW96))))),MIN(HX96,MAX(0,AB96-SUM(PR96:SJ96))))</f>
        <v>0</v>
      </c>
      <c r="SL96" s="20" t="n">
        <f aca="false">IF(H_Direct=1,IF(ANL95&lt;=0,0,IF(EL96&lt;=0,MIN(MAX(0,AB96-SUM(PR96:SK96)),ANL95),MIN(MAX(0,AB96-SUM(PR96:SK96)),ANL95-G96*MAX(0,EL96*ANL95-(ZK96+ACX96))))),MIN(HY96,MAX(0,AB96-SUM(PR96:SK96))))</f>
        <v>0</v>
      </c>
      <c r="SM96" s="20" t="n">
        <f aca="false">IF(H_Direct=1,IF(ANM95&lt;=0,0,IF(EM96&lt;=0,MIN(MAX(0,AB96-SUM(PR96:SL96)),ANM95),MIN(MAX(0,AB96-SUM(PR96:SL96)),ANM95-G96*MAX(0,EM96*ANM95-(ZL96+ACY96))))),MIN(HZ96,MAX(0,AB96-SUM(PR96:SL96))))</f>
        <v>0</v>
      </c>
      <c r="SN96" s="20" t="n">
        <f aca="false">IF(H_Direct=1,IF(ANN95&lt;=0,0,IF(EN96&lt;=0,MIN(MAX(0,AB96-SUM(PR96:SM96)),ANN95),MIN(MAX(0,AB96-SUM(PR96:SM96)),ANN95-G96*MAX(0,EN96*ANN95-(ZM96+ACZ96))))),MIN(IA96,MAX(0,AB96-SUM(PR96:SM96))))</f>
        <v>0</v>
      </c>
      <c r="SO96" s="20" t="n">
        <f aca="false">IF(H_Direct=1,IF(ANO95&lt;=0,0,IF(EO96&lt;=0,MIN(MAX(0,AB96-SUM(PR96:SN96)),ANO95),MIN(MAX(0,AB96-SUM(PR96:SN96)),ANO95-G96*MAX(0,EO96*ANO95-(ZN96+ADA96))))),MIN(IB96,MAX(0,AB96-SUM(PR96:SN96))))</f>
        <v>0</v>
      </c>
      <c r="SP96" s="20" t="n">
        <f aca="false">IF(H_Direct=1,IF(ANP95&lt;=0,0,IF(EP96&lt;=0,MIN(MAX(0,AB96-SUM(PR96:SO96)),ANP95),MIN(MAX(0,AB96-SUM(PR96:SO96)),ANP95-G96*MAX(0,EP96*ANP95-(ZO96+ADB96))))),MIN(IC96,MAX(0,AB96-SUM(PR96:SO96))))</f>
        <v>0</v>
      </c>
      <c r="SQ96" s="20" t="n">
        <f aca="false">IF(H_Direct=1,IF(ANQ95&lt;=0,0,IF(EQ96&lt;=0,MIN(MAX(0,AB96-SUM(PR96:SP96)),ANQ95),MIN(MAX(0,AB96-SUM(PR96:SP96)),ANQ95-G96*MAX(0,EQ96*ANQ95-(ZP96+ADC96))))),MIN(ID96,MAX(0,AB96-SUM(PR96:SP96))))</f>
        <v>0</v>
      </c>
      <c r="SR96" s="20" t="n">
        <f aca="false">IF(H_Direct=1,IF(ANR95&lt;=0,0,IF(ER96&lt;=0,MIN(MAX(0,AB96-SUM(PR96:SQ96)),ANR95),MIN(MAX(0,AB96-SUM(PR96:SQ96)),ANR95-G96*MAX(0,ER96*ANR95-(ZQ96+ADD96))))),MIN(IE96,MAX(0,AB96-SUM(PR96:SQ96))))</f>
        <v>0</v>
      </c>
      <c r="SS96" s="20" t="n">
        <f aca="false">IF(H_Direct=1,IF(ANS95&lt;=0,0,IF(ES96&lt;=0,MIN(MAX(0,AB96-SUM(PR96:SR96)),ANS95),MIN(MAX(0,AB96-SUM(PR96:SR96)),ANS95-G96*MAX(0,ES96*ANS95-(ZR96+ADE96))))),MIN(IF96,MAX(0,AB96-SUM(PR96:SR96))))</f>
        <v>0</v>
      </c>
      <c r="ST96" s="20" t="n">
        <f aca="false">IF(H_Direct=1,IF(ANT95&lt;=0,0,IF(ET96&lt;=0,MIN(MAX(0,AB96-SUM(PR96:SS96)),ANT95),MIN(MAX(0,AB96-SUM(PR96:SS96)),ANT95-G96*MAX(0,ET96*ANT95-(ZS96+ADF96))))),MIN(IG96,MAX(0,AB96-SUM(PR96:SS96))))</f>
        <v>0</v>
      </c>
      <c r="SU96" s="20" t="n">
        <f aca="false">IF(H_Direct=1,IF(ANU95&lt;=0,0,IF(EU96&lt;=0,MIN(MAX(0,AB96-SUM(PR96:ST96)),ANU95),MIN(MAX(0,AB96-SUM(PR96:ST96)),ANU95-G96*MAX(0,EU96*ANU95-(ZT96+ADG96))))),MIN(IH96,MAX(0,AB96-SUM(PR96:ST96))))</f>
        <v>0</v>
      </c>
      <c r="SV96" s="20" t="n">
        <f aca="false">IF(H_Direct=1,IF(ANV95&lt;=0,0,IF(EV96&lt;=0,MIN(MAX(0,AB96-SUM(PR96:SU96)),ANV95),MIN(MAX(0,AB96-SUM(PR96:SU96)),ANV95-G96*MAX(0,EV96*ANV95-(ZU96+ADH96))))),MIN(II96,MAX(0,AB96-SUM(PR96:SU96))))</f>
        <v>0</v>
      </c>
      <c r="SW96" s="20" t="n">
        <f aca="false">IF(H_Direct=1,IF(ANW95&lt;=0,0,IF(EW96&lt;=0,MIN(MAX(0,AB96-SUM(PR96:SV96)),ANW95),MIN(MAX(0,AB96-SUM(PR96:SV96)),ANW95-G96*MAX(0,EW96*ANW95-(ZV96+ADI96))))),MIN(IJ96,MAX(0,AB96-SUM(PR96:SV96))))</f>
        <v>0</v>
      </c>
      <c r="SX96" s="20" t="n">
        <f aca="false">IF(H_Direct=1,IF(ANX95&lt;=0,0,IF(EX96&lt;=0,MIN(MAX(0,AB96-SUM(PR96:SW96)),ANX95),MIN(MAX(0,AB96-SUM(PR96:SW96)),ANX95-G96*MAX(0,EX96*ANX95-(ZW96+ADJ96))))),MIN(IK96,MAX(0,AB96-SUM(PR96:SW96))))</f>
        <v>0</v>
      </c>
      <c r="SY96" s="20" t="n">
        <f aca="false">IF(H_Direct=1,IF(ANY95&lt;=0,0,IF(EY96&lt;=0,MIN(MAX(0,AB96-SUM(PR96:SX96)),ANY95),MIN(MAX(0,AB96-SUM(PR96:SX96)),ANY95-G96*MAX(0,EY96*ANY95-(ZX96+ADK96))))),MIN(IL96,MAX(0,AB96-SUM(PR96:SX96))))</f>
        <v>0</v>
      </c>
      <c r="SZ96" s="20" t="n">
        <f aca="false">IF(H_Direct=1,IF(ANZ95&lt;=0,0,IF(EZ96&lt;=0,MIN(MAX(0,AB96-SUM(PR96:SY96)),ANZ95),MIN(MAX(0,AB96-SUM(PR96:SY96)),ANZ95-G96*MAX(0,EZ96*ANZ95-(ZY96+ADL96))))),MIN(IM96,MAX(0,AB96-SUM(PR96:SY96))))</f>
        <v>0</v>
      </c>
      <c r="TA96" s="20" t="n">
        <f aca="false">IF(H_Direct=1,IF(AOA95&lt;=0,0,IF(FA96&lt;=0,MIN(MAX(0,AB96-SUM(PR96:SZ96)),AOA95),MIN(MAX(0,AB96-SUM(PR96:SZ96)),AOA95-G96*MAX(0,FA96*AOA95-(ZZ96+ADM96))))),MIN(IN96,MAX(0,AB96-SUM(PR96:SZ96))))</f>
        <v>0</v>
      </c>
      <c r="TB96" s="20" t="n">
        <f aca="false">IF(H_Direct=1,IF(AOB95&lt;=0,0,IF(FB96&lt;=0,MIN(MAX(0,AB96-SUM(PR96:TA96)),AOB95),MIN(MAX(0,AB96-SUM(PR96:TA96)),AOB95-G96*MAX(0,FB96*AOB95-(AAA96+ADN96))))),MIN(IO96,MAX(0,AB96-SUM(PR96:TA96))))</f>
        <v>0</v>
      </c>
      <c r="TC96" s="20" t="n">
        <f aca="false">IF(H_Direct=1,IF((P96+S96)&lt;=0,0,IF(FC96&lt;=0,MIN(MAX(0,AB96-SUM(PR96:TB96)),(P96+S96)),MIN(MAX(0,AB96-SUM(PR96:TB96)),(P96+S96)-G96*MAX(0,FC96*(P96+S96)-(AAB96+ADO96))))),MIN(IP96,MAX(0,AB96-SUM(PR96:TB96))))</f>
        <v>0</v>
      </c>
      <c r="TD96" s="20" t="n">
        <v>0</v>
      </c>
      <c r="TE96" s="20" t="n">
        <f aca="false">IF(AKR95&lt;=0,0,IF(H_Direct=1,IF(BR96&lt;=0,PR96,IF(PR96&lt;=(H96+I96)/BR96,PR96,(PR96-G96*(H96+I96))/(1-G96*BR96))),PR96/(1-MAX(0,BR96)*H_Exit)))</f>
        <v>0</v>
      </c>
      <c r="TF96" s="20" t="n">
        <f aca="false">IF(AKS95&lt;=0,0,IF(H_Direct=1,IF(BS96&lt;=0,PS96,IF(PS96&lt;=(WR96+AAE96)/BS96,PS96,(PS96-G96*(WR96+AAE96))/(1-G96*BS96))),PS96/(1-MAX(0,BS96)*H_Exit)))</f>
        <v>0</v>
      </c>
      <c r="TG96" s="20" t="n">
        <f aca="false">IF(AKT95&lt;=0,0,IF(H_Direct=1,IF(BT96&lt;=0,PT96,IF(PT96&lt;=(WS96+AAF96)/BT96,PT96,(PT96-G96*(WS96+AAF96))/(1-G96*BT96))),PT96/(1-MAX(0,BT96)*H_Exit)))</f>
        <v>0</v>
      </c>
      <c r="TH96" s="20" t="n">
        <f aca="false">IF(AKU95&lt;=0,0,IF(H_Direct=1,IF(BU96&lt;=0,PU96,IF(PU96&lt;=(WT96+AAG96)/BU96,PU96,(PU96-G96*(WT96+AAG96))/(1-G96*BU96))),PU96/(1-MAX(0,BU96)*H_Exit)))</f>
        <v>0</v>
      </c>
      <c r="TI96" s="20" t="n">
        <f aca="false">IF(AKV95&lt;=0,0,IF(H_Direct=1,IF(BV96&lt;=0,PV96,IF(PV96&lt;=(WU96+AAH96)/BV96,PV96,(PV96-G96*(WU96+AAH96))/(1-G96*BV96))),PV96/(1-MAX(0,BV96)*H_Exit)))</f>
        <v>0</v>
      </c>
      <c r="TJ96" s="20" t="n">
        <f aca="false">IF(AKW95&lt;=0,0,IF(H_Direct=1,IF(BW96&lt;=0,PW96,IF(PW96&lt;=(WV96+AAI96)/BW96,PW96,(PW96-G96*(WV96+AAI96))/(1-G96*BW96))),PW96/(1-MAX(0,BW96)*H_Exit)))</f>
        <v>0</v>
      </c>
      <c r="TK96" s="20" t="n">
        <f aca="false">IF(AKX95&lt;=0,0,IF(H_Direct=1,IF(BX96&lt;=0,PX96,IF(PX96&lt;=(WW96+AAJ96)/BX96,PX96,(PX96-G96*(WW96+AAJ96))/(1-G96*BX96))),PX96/(1-MAX(0,BX96)*H_Exit)))</f>
        <v>0</v>
      </c>
      <c r="TL96" s="20" t="n">
        <f aca="false">IF(AKY95&lt;=0,0,IF(H_Direct=1,IF(BY96&lt;=0,PY96,IF(PY96&lt;=(WX96+AAK96)/BY96,PY96,(PY96-G96*(WX96+AAK96))/(1-G96*BY96))),PY96/(1-MAX(0,BY96)*H_Exit)))</f>
        <v>0</v>
      </c>
      <c r="TM96" s="20" t="n">
        <f aca="false">IF(AKZ95&lt;=0,0,IF(H_Direct=1,IF(BZ96&lt;=0,PZ96,IF(PZ96&lt;=(WY96+AAL96)/BZ96,PZ96,(PZ96-G96*(WY96+AAL96))/(1-G96*BZ96))),PZ96/(1-MAX(0,BZ96)*H_Exit)))</f>
        <v>0</v>
      </c>
      <c r="TN96" s="20" t="n">
        <f aca="false">IF(ALA95&lt;=0,0,IF(H_Direct=1,IF(CA96&lt;=0,QA96,IF(QA96&lt;=(WZ96+AAM96)/CA96,QA96,(QA96-G96*(WZ96+AAM96))/(1-G96*CA96))),QA96/(1-MAX(0,CA96)*H_Exit)))</f>
        <v>0</v>
      </c>
      <c r="TO96" s="20" t="n">
        <f aca="false">IF(ALB95&lt;=0,0,IF(H_Direct=1,IF(CB96&lt;=0,QB96,IF(QB96&lt;=(XA96+AAN96)/CB96,QB96,(QB96-G96*(XA96+AAN96))/(1-G96*CB96))),QB96/(1-MAX(0,CB96)*H_Exit)))</f>
        <v>0</v>
      </c>
      <c r="TP96" s="20" t="n">
        <f aca="false">IF(ALC95&lt;=0,0,IF(H_Direct=1,IF(CC96&lt;=0,QC96,IF(QC96&lt;=(XB96+AAO96)/CC96,QC96,(QC96-G96*(XB96+AAO96))/(1-G96*CC96))),QC96/(1-MAX(0,CC96)*H_Exit)))</f>
        <v>0</v>
      </c>
      <c r="TQ96" s="20" t="n">
        <f aca="false">IF(ALD95&lt;=0,0,IF(H_Direct=1,IF(CD96&lt;=0,QD96,IF(QD96&lt;=(XC96+AAP96)/CD96,QD96,(QD96-G96*(XC96+AAP96))/(1-G96*CD96))),QD96/(1-MAX(0,CD96)*H_Exit)))</f>
        <v>0</v>
      </c>
      <c r="TR96" s="20" t="n">
        <f aca="false">IF(ALE95&lt;=0,0,IF(H_Direct=1,IF(CE96&lt;=0,QE96,IF(QE96&lt;=(XD96+AAQ96)/CE96,QE96,(QE96-G96*(XD96+AAQ96))/(1-G96*CE96))),QE96/(1-MAX(0,CE96)*H_Exit)))</f>
        <v>0</v>
      </c>
      <c r="TS96" s="20" t="n">
        <f aca="false">IF(ALF95&lt;=0,0,IF(H_Direct=1,IF(CF96&lt;=0,QF96,IF(QF96&lt;=(XE96+AAR96)/CF96,QF96,(QF96-G96*(XE96+AAR96))/(1-G96*CF96))),QF96/(1-MAX(0,CF96)*H_Exit)))</f>
        <v>0</v>
      </c>
      <c r="TT96" s="20" t="n">
        <f aca="false">IF(ALG95&lt;=0,0,IF(H_Direct=1,IF(CG96&lt;=0,QG96,IF(QG96&lt;=(XF96+AAS96)/CG96,QG96,(QG96-G96*(XF96+AAS96))/(1-G96*CG96))),QG96/(1-MAX(0,CG96)*H_Exit)))</f>
        <v>0</v>
      </c>
      <c r="TU96" s="20" t="n">
        <f aca="false">IF(ALH95&lt;=0,0,IF(H_Direct=1,IF(CH96&lt;=0,QH96,IF(QH96&lt;=(XG96+AAT96)/CH96,QH96,(QH96-G96*(XG96+AAT96))/(1-G96*CH96))),QH96/(1-MAX(0,CH96)*H_Exit)))</f>
        <v>0</v>
      </c>
      <c r="TV96" s="20" t="n">
        <f aca="false">IF(ALI95&lt;=0,0,IF(H_Direct=1,IF(CI96&lt;=0,QI96,IF(QI96&lt;=(XH96+AAU96)/CI96,QI96,(QI96-G96*(XH96+AAU96))/(1-G96*CI96))),QI96/(1-MAX(0,CI96)*H_Exit)))</f>
        <v>0</v>
      </c>
      <c r="TW96" s="20" t="n">
        <f aca="false">IF(ALJ95&lt;=0,0,IF(H_Direct=1,IF(CJ96&lt;=0,QJ96,IF(QJ96&lt;=(XI96+AAV96)/CJ96,QJ96,(QJ96-G96*(XI96+AAV96))/(1-G96*CJ96))),QJ96/(1-MAX(0,CJ96)*H_Exit)))</f>
        <v>0</v>
      </c>
      <c r="TX96" s="20" t="n">
        <f aca="false">IF(ALK95&lt;=0,0,IF(H_Direct=1,IF(CK96&lt;=0,QK96,IF(QK96&lt;=(XJ96+AAW96)/CK96,QK96,(QK96-G96*(XJ96+AAW96))/(1-G96*CK96))),QK96/(1-MAX(0,CK96)*H_Exit)))</f>
        <v>0</v>
      </c>
      <c r="TY96" s="20" t="n">
        <f aca="false">IF(ALL95&lt;=0,0,IF(H_Direct=1,IF(CL96&lt;=0,QL96,IF(QL96&lt;=(XK96+AAX96)/CL96,QL96,(QL96-G96*(XK96+AAX96))/(1-G96*CL96))),QL96/(1-MAX(0,CL96)*H_Exit)))</f>
        <v>0</v>
      </c>
      <c r="TZ96" s="20" t="n">
        <f aca="false">IF(ALM95&lt;=0,0,IF(H_Direct=1,IF(CM96&lt;=0,QM96,IF(QM96&lt;=(XL96+AAY96)/CM96,QM96,(QM96-G96*(XL96+AAY96))/(1-G96*CM96))),QM96/(1-MAX(0,CM96)*H_Exit)))</f>
        <v>0</v>
      </c>
      <c r="UA96" s="20" t="n">
        <f aca="false">IF(ALN95&lt;=0,0,IF(H_Direct=1,IF(CN96&lt;=0,QN96,IF(QN96&lt;=(XM96+AAZ96)/CN96,QN96,(QN96-G96*(XM96+AAZ96))/(1-G96*CN96))),QN96/(1-MAX(0,CN96)*H_Exit)))</f>
        <v>0</v>
      </c>
      <c r="UB96" s="20" t="n">
        <f aca="false">IF(ALO95&lt;=0,0,IF(H_Direct=1,IF(CO96&lt;=0,QO96,IF(QO96&lt;=(XN96+ABA96)/CO96,QO96,(QO96-G96*(XN96+ABA96))/(1-G96*CO96))),QO96/(1-MAX(0,CO96)*H_Exit)))</f>
        <v>0</v>
      </c>
      <c r="UC96" s="20" t="n">
        <f aca="false">IF(ALP95&lt;=0,0,IF(H_Direct=1,IF(CP96&lt;=0,QP96,IF(QP96&lt;=(XO96+ABB96)/CP96,QP96,(QP96-G96*(XO96+ABB96))/(1-G96*CP96))),QP96/(1-MAX(0,CP96)*H_Exit)))</f>
        <v>0</v>
      </c>
      <c r="UD96" s="20" t="n">
        <f aca="false">IF(ALQ95&lt;=0,0,IF(H_Direct=1,IF(CQ96&lt;=0,QQ96,IF(QQ96&lt;=(XP96+ABC96)/CQ96,QQ96,(QQ96-G96*(XP96+ABC96))/(1-G96*CQ96))),QQ96/(1-MAX(0,CQ96)*H_Exit)))</f>
        <v>0</v>
      </c>
      <c r="UE96" s="20" t="n">
        <f aca="false">IF(ALR95&lt;=0,0,IF(H_Direct=1,IF(CR96&lt;=0,QR96,IF(QR96&lt;=(XQ96+ABD96)/CR96,QR96,(QR96-G96*(XQ96+ABD96))/(1-G96*CR96))),QR96/(1-MAX(0,CR96)*H_Exit)))</f>
        <v>0</v>
      </c>
      <c r="UF96" s="20" t="n">
        <f aca="false">IF(ALS95&lt;=0,0,IF(H_Direct=1,IF(CS96&lt;=0,QS96,IF(QS96&lt;=(XR96+ABE96)/CS96,QS96,(QS96-G96*(XR96+ABE96))/(1-G96*CS96))),QS96/(1-MAX(0,CS96)*H_Exit)))</f>
        <v>0</v>
      </c>
      <c r="UG96" s="20" t="n">
        <f aca="false">IF(ALT95&lt;=0,0,IF(H_Direct=1,IF(CT96&lt;=0,QT96,IF(QT96&lt;=(XS96+ABF96)/CT96,QT96,(QT96-G96*(XS96+ABF96))/(1-G96*CT96))),QT96/(1-MAX(0,CT96)*H_Exit)))</f>
        <v>0</v>
      </c>
      <c r="UH96" s="20" t="n">
        <f aca="false">IF(ALU95&lt;=0,0,IF(H_Direct=1,IF(CU96&lt;=0,QU96,IF(QU96&lt;=(XT96+ABG96)/CU96,QU96,(QU96-G96*(XT96+ABG96))/(1-G96*CU96))),QU96/(1-MAX(0,CU96)*H_Exit)))</f>
        <v>0</v>
      </c>
      <c r="UI96" s="20" t="n">
        <f aca="false">IF(ALV95&lt;=0,0,IF(H_Direct=1,IF(CV96&lt;=0,QV96,IF(QV96&lt;=(XU96+ABH96)/CV96,QV96,(QV96-G96*(XU96+ABH96))/(1-G96*CV96))),QV96/(1-MAX(0,CV96)*H_Exit)))</f>
        <v>0</v>
      </c>
      <c r="UJ96" s="20" t="n">
        <f aca="false">IF(ALW95&lt;=0,0,IF(H_Direct=1,IF(CW96&lt;=0,QW96,IF(QW96&lt;=(XV96+ABI96)/CW96,QW96,(QW96-G96*(XV96+ABI96))/(1-G96*CW96))),QW96/(1-MAX(0,CW96)*H_Exit)))</f>
        <v>0</v>
      </c>
      <c r="UK96" s="20" t="n">
        <f aca="false">IF(ALX95&lt;=0,0,IF(H_Direct=1,IF(CX96&lt;=0,QX96,IF(QX96&lt;=(XW96+ABJ96)/CX96,QX96,(QX96-G96*(XW96+ABJ96))/(1-G96*CX96))),QX96/(1-MAX(0,CX96)*H_Exit)))</f>
        <v>0</v>
      </c>
      <c r="UL96" s="20" t="n">
        <f aca="false">IF(ALY95&lt;=0,0,IF(H_Direct=1,IF(CY96&lt;=0,QY96,IF(QY96&lt;=(XX96+ABK96)/CY96,QY96,(QY96-G96*(XX96+ABK96))/(1-G96*CY96))),QY96/(1-MAX(0,CY96)*H_Exit)))</f>
        <v>0</v>
      </c>
      <c r="UM96" s="20" t="n">
        <f aca="false">IF(ALZ95&lt;=0,0,IF(H_Direct=1,IF(CZ96&lt;=0,QZ96,IF(QZ96&lt;=(XY96+ABL96)/CZ96,QZ96,(QZ96-G96*(XY96+ABL96))/(1-G96*CZ96))),QZ96/(1-MAX(0,CZ96)*H_Exit)))</f>
        <v>0</v>
      </c>
      <c r="UN96" s="20" t="n">
        <f aca="false">IF(AMA95&lt;=0,0,IF(H_Direct=1,IF(DA96&lt;=0,RA96,IF(RA96&lt;=(XZ96+ABM96)/DA96,RA96,(RA96-G96*(XZ96+ABM96))/(1-G96*DA96))),RA96/(1-MAX(0,DA96)*H_Exit)))</f>
        <v>0</v>
      </c>
      <c r="UO96" s="20" t="n">
        <f aca="false">IF(AMB95&lt;=0,0,IF(H_Direct=1,IF(DB96&lt;=0,RB96,IF(RB96&lt;=(YA96+ABN96)/DB96,RB96,(RB96-G96*(YA96+ABN96))/(1-G96*DB96))),RB96/(1-MAX(0,DB96)*H_Exit)))</f>
        <v>0</v>
      </c>
      <c r="UP96" s="20" t="n">
        <f aca="false">IF(AMC95&lt;=0,0,IF(H_Direct=1,IF(DC96&lt;=0,RC96,IF(RC96&lt;=(YB96+ABO96)/DC96,RC96,(RC96-G96*(YB96+ABO96))/(1-G96*DC96))),RC96/(1-MAX(0,DC96)*H_Exit)))</f>
        <v>0</v>
      </c>
      <c r="UQ96" s="20" t="n">
        <f aca="false">IF(AMD95&lt;=0,0,IF(H_Direct=1,IF(DD96&lt;=0,RD96,IF(RD96&lt;=(YC96+ABP96)/DD96,RD96,(RD96-G96*(YC96+ABP96))/(1-G96*DD96))),RD96/(1-MAX(0,DD96)*H_Exit)))</f>
        <v>0</v>
      </c>
      <c r="UR96" s="20" t="n">
        <f aca="false">IF(AME95&lt;=0,0,IF(H_Direct=1,IF(DE96&lt;=0,RE96,IF(RE96&lt;=(YD96+ABQ96)/DE96,RE96,(RE96-G96*(YD96+ABQ96))/(1-G96*DE96))),RE96/(1-MAX(0,DE96)*H_Exit)))</f>
        <v>0</v>
      </c>
      <c r="US96" s="20" t="n">
        <f aca="false">IF(AMF95&lt;=0,0,IF(H_Direct=1,IF(DF96&lt;=0,RF96,IF(RF96&lt;=(YE96+ABR96)/DF96,RF96,(RF96-G96*(YE96+ABR96))/(1-G96*DF96))),RF96/(1-MAX(0,DF96)*H_Exit)))</f>
        <v>0</v>
      </c>
      <c r="UT96" s="20" t="n">
        <f aca="false">IF(AMG95&lt;=0,0,IF(H_Direct=1,IF(DG96&lt;=0,RG96,IF(RG96&lt;=(YF96+ABS96)/DG96,RG96,(RG96-G96*(YF96+ABS96))/(1-G96*DG96))),RG96/(1-MAX(0,DG96)*H_Exit)))</f>
        <v>0</v>
      </c>
      <c r="UU96" s="20" t="n">
        <f aca="false">IF(AMH95&lt;=0,0,IF(H_Direct=1,IF(DH96&lt;=0,RH96,IF(RH96&lt;=(YG96+ABT96)/DH96,RH96,(RH96-G96*(YG96+ABT96))/(1-G96*DH96))),RH96/(1-MAX(0,DH96)*H_Exit)))</f>
        <v>0</v>
      </c>
      <c r="UV96" s="20" t="n">
        <f aca="false">IF(AMI95&lt;=0,0,IF(H_Direct=1,IF(DI96&lt;=0,RI96,IF(RI96&lt;=(YH96+ABU96)/DI96,RI96,(RI96-G96*(YH96+ABU96))/(1-G96*DI96))),RI96/(1-MAX(0,DI96)*H_Exit)))</f>
        <v>0</v>
      </c>
      <c r="UW96" s="20" t="n">
        <f aca="false">IF(AMJ95&lt;=0,0,IF(H_Direct=1,IF(DJ96&lt;=0,RJ96,IF(RJ96&lt;=(YI96+ABV96)/DJ96,RJ96,(RJ96-G96*(YI96+ABV96))/(1-G96*DJ96))),RJ96/(1-MAX(0,DJ96)*H_Exit)))</f>
        <v>0</v>
      </c>
      <c r="UX96" s="20" t="n">
        <f aca="false">IF(AMK95&lt;=0,0,IF(H_Direct=1,IF(DK96&lt;=0,RK96,IF(RK96&lt;=(YJ96+ABW96)/DK96,RK96,(RK96-G96*(YJ96+ABW96))/(1-G96*DK96))),RK96/(1-MAX(0,DK96)*H_Exit)))</f>
        <v>0</v>
      </c>
      <c r="UY96" s="20" t="n">
        <f aca="false">IF(AML95&lt;=0,0,IF(H_Direct=1,IF(DL96&lt;=0,RL96,IF(RL96&lt;=(YK96+ABX96)/DL96,RL96,(RL96-G96*(YK96+ABX96))/(1-G96*DL96))),RL96/(1-MAX(0,DL96)*H_Exit)))</f>
        <v>0</v>
      </c>
      <c r="UZ96" s="20" t="n">
        <f aca="false">IF(AMM95&lt;=0,0,IF(H_Direct=1,IF(DM96&lt;=0,RM96,IF(RM96&lt;=(YL96+ABY96)/DM96,RM96,(RM96-G96*(YL96+ABY96))/(1-G96*DM96))),RM96/(1-MAX(0,DM96)*H_Exit)))</f>
        <v>0</v>
      </c>
      <c r="VA96" s="20" t="n">
        <f aca="false">IF(AMN95&lt;=0,0,IF(H_Direct=1,IF(DN96&lt;=0,RN96,IF(RN96&lt;=(YM96+ABZ96)/DN96,RN96,(RN96-G96*(YM96+ABZ96))/(1-G96*DN96))),RN96/(1-MAX(0,DN96)*H_Exit)))</f>
        <v>0</v>
      </c>
      <c r="VB96" s="20" t="n">
        <f aca="false">IF(AMO95&lt;=0,0,IF(H_Direct=1,IF(DO96&lt;=0,RO96,IF(RO96&lt;=(YN96+ACA96)/DO96,RO96,(RO96-G96*(YN96+ACA96))/(1-G96*DO96))),RO96/(1-MAX(0,DO96)*H_Exit)))</f>
        <v>0</v>
      </c>
      <c r="VC96" s="20" t="n">
        <f aca="false">IF(AMP95&lt;=0,0,IF(H_Direct=1,IF(DP96&lt;=0,RP96,IF(RP96&lt;=(YO96+ACB96)/DP96,RP96,(RP96-G96*(YO96+ACB96))/(1-G96*DP96))),RP96/(1-MAX(0,DP96)*H_Exit)))</f>
        <v>0</v>
      </c>
      <c r="VD96" s="20" t="n">
        <f aca="false">IF(AMQ95&lt;=0,0,IF(H_Direct=1,IF(DQ96&lt;=0,RQ96,IF(RQ96&lt;=(YP96+ACC96)/DQ96,RQ96,(RQ96-G96*(YP96+ACC96))/(1-G96*DQ96))),RQ96/(1-MAX(0,DQ96)*H_Exit)))</f>
        <v>0</v>
      </c>
      <c r="VE96" s="20" t="n">
        <f aca="false">IF(AMR95&lt;=0,0,IF(H_Direct=1,IF(DR96&lt;=0,RR96,IF(RR96&lt;=(YQ96+ACD96)/DR96,RR96,(RR96-G96*(YQ96+ACD96))/(1-G96*DR96))),RR96/(1-MAX(0,DR96)*H_Exit)))</f>
        <v>0</v>
      </c>
      <c r="VF96" s="20" t="n">
        <f aca="false">IF(AMS95&lt;=0,0,IF(H_Direct=1,IF(DS96&lt;=0,RS96,IF(RS96&lt;=(YR96+ACE96)/DS96,RS96,(RS96-G96*(YR96+ACE96))/(1-G96*DS96))),RS96/(1-MAX(0,DS96)*H_Exit)))</f>
        <v>0</v>
      </c>
      <c r="VG96" s="20" t="n">
        <f aca="false">IF(AMT95&lt;=0,0,IF(H_Direct=1,IF(DT96&lt;=0,RT96,IF(RT96&lt;=(YS96+ACF96)/DT96,RT96,(RT96-G96*(YS96+ACF96))/(1-G96*DT96))),RT96/(1-MAX(0,DT96)*H_Exit)))</f>
        <v>0</v>
      </c>
      <c r="VH96" s="20" t="n">
        <f aca="false">IF(AMU95&lt;=0,0,IF(H_Direct=1,IF(DU96&lt;=0,RU96,IF(RU96&lt;=(YT96+ACG96)/DU96,RU96,(RU96-G96*(YT96+ACG96))/(1-G96*DU96))),RU96/(1-MAX(0,DU96)*H_Exit)))</f>
        <v>0</v>
      </c>
      <c r="VI96" s="20" t="n">
        <f aca="false">IF(AMV95&lt;=0,0,IF(H_Direct=1,IF(DV96&lt;=0,RV96,IF(RV96&lt;=(YU96+ACH96)/DV96,RV96,(RV96-G96*(YU96+ACH96))/(1-G96*DV96))),RV96/(1-MAX(0,DV96)*H_Exit)))</f>
        <v>0</v>
      </c>
      <c r="VJ96" s="20" t="n">
        <f aca="false">IF(AMW95&lt;=0,0,IF(H_Direct=1,IF(DW96&lt;=0,RW96,IF(RW96&lt;=(YV96+ACI96)/DW96,RW96,(RW96-G96*(YV96+ACI96))/(1-G96*DW96))),RW96/(1-MAX(0,DW96)*H_Exit)))</f>
        <v>0</v>
      </c>
      <c r="VK96" s="20" t="n">
        <f aca="false">IF(AMX95&lt;=0,0,IF(H_Direct=1,IF(DX96&lt;=0,RX96,IF(RX96&lt;=(YW96+ACJ96)/DX96,RX96,(RX96-G96*(YW96+ACJ96))/(1-G96*DX96))),RX96/(1-MAX(0,DX96)*H_Exit)))</f>
        <v>0</v>
      </c>
      <c r="VL96" s="20" t="n">
        <f aca="false">IF(AMY95&lt;=0,0,IF(H_Direct=1,IF(DY96&lt;=0,RY96,IF(RY96&lt;=(YX96+ACK96)/DY96,RY96,(RY96-G96*(YX96+ACK96))/(1-G96*DY96))),RY96/(1-MAX(0,DY96)*H_Exit)))</f>
        <v>0</v>
      </c>
      <c r="VM96" s="20" t="n">
        <f aca="false">IF(AMZ95&lt;=0,0,IF(H_Direct=1,IF(DZ96&lt;=0,RZ96,IF(RZ96&lt;=(YY96+ACL96)/DZ96,RZ96,(RZ96-G96*(YY96+ACL96))/(1-G96*DZ96))),RZ96/(1-MAX(0,DZ96)*H_Exit)))</f>
        <v>0</v>
      </c>
      <c r="VN96" s="20" t="n">
        <f aca="false">IF(ANA95&lt;=0,0,IF(H_Direct=1,IF(EA96&lt;=0,SA96,IF(SA96&lt;=(YZ96+ACM96)/EA96,SA96,(SA96-G96*(YZ96+ACM96))/(1-G96*EA96))),SA96/(1-MAX(0,EA96)*H_Exit)))</f>
        <v>0</v>
      </c>
      <c r="VO96" s="20" t="n">
        <f aca="false">IF(ANB95&lt;=0,0,IF(H_Direct=1,IF(EB96&lt;=0,SB96,IF(SB96&lt;=(ZA96+ACN96)/EB96,SB96,(SB96-G96*(ZA96+ACN96))/(1-G96*EB96))),SB96/(1-MAX(0,EB96)*H_Exit)))</f>
        <v>0</v>
      </c>
      <c r="VP96" s="20" t="n">
        <f aca="false">IF(ANC95&lt;=0,0,IF(H_Direct=1,IF(EC96&lt;=0,SC96,IF(SC96&lt;=(ZB96+ACO96)/EC96,SC96,(SC96-G96*(ZB96+ACO96))/(1-G96*EC96))),SC96/(1-MAX(0,EC96)*H_Exit)))</f>
        <v>0</v>
      </c>
      <c r="VQ96" s="20" t="n">
        <f aca="false">IF(AND95&lt;=0,0,IF(H_Direct=1,IF(ED96&lt;=0,SD96,IF(SD96&lt;=(ZC96+ACP96)/ED96,SD96,(SD96-G96*(ZC96+ACP96))/(1-G96*ED96))),SD96/(1-MAX(0,ED96)*H_Exit)))</f>
        <v>0</v>
      </c>
      <c r="VR96" s="20" t="n">
        <f aca="false">IF(ANE95&lt;=0,0,IF(H_Direct=1,IF(EE96&lt;=0,SE96,IF(SE96&lt;=(ZD96+ACQ96)/EE96,SE96,(SE96-G96*(ZD96+ACQ96))/(1-G96*EE96))),SE96/(1-MAX(0,EE96)*H_Exit)))</f>
        <v>0</v>
      </c>
      <c r="VS96" s="20" t="n">
        <f aca="false">IF(ANF95&lt;=0,0,IF(H_Direct=1,IF(EF96&lt;=0,SF96,IF(SF96&lt;=(ZE96+ACR96)/EF96,SF96,(SF96-G96*(ZE96+ACR96))/(1-G96*EF96))),SF96/(1-MAX(0,EF96)*H_Exit)))</f>
        <v>0</v>
      </c>
      <c r="VT96" s="20" t="n">
        <f aca="false">IF(ANG95&lt;=0,0,IF(H_Direct=1,IF(EG96&lt;=0,SG96,IF(SG96&lt;=(ZF96+ACS96)/EG96,SG96,(SG96-G96*(ZF96+ACS96))/(1-G96*EG96))),SG96/(1-MAX(0,EG96)*H_Exit)))</f>
        <v>0</v>
      </c>
      <c r="VU96" s="20" t="n">
        <f aca="false">IF(ANH95&lt;=0,0,IF(H_Direct=1,IF(EH96&lt;=0,SH96,IF(SH96&lt;=(ZG96+ACT96)/EH96,SH96,(SH96-G96*(ZG96+ACT96))/(1-G96*EH96))),SH96/(1-MAX(0,EH96)*H_Exit)))</f>
        <v>0</v>
      </c>
      <c r="VV96" s="20" t="n">
        <f aca="false">IF(ANI95&lt;=0,0,IF(H_Direct=1,IF(EI96&lt;=0,SI96,IF(SI96&lt;=(ZH96+ACU96)/EI96,SI96,(SI96-G96*(ZH96+ACU96))/(1-G96*EI96))),SI96/(1-MAX(0,EI96)*H_Exit)))</f>
        <v>0</v>
      </c>
      <c r="VW96" s="20" t="n">
        <f aca="false">IF(ANJ95&lt;=0,0,IF(H_Direct=1,IF(EJ96&lt;=0,SJ96,IF(SJ96&lt;=(ZI96+ACV96)/EJ96,SJ96,(SJ96-G96*(ZI96+ACV96))/(1-G96*EJ96))),SJ96/(1-MAX(0,EJ96)*H_Exit)))</f>
        <v>0</v>
      </c>
      <c r="VX96" s="20" t="n">
        <f aca="false">IF(ANK95&lt;=0,0,IF(H_Direct=1,IF(EK96&lt;=0,SK96,IF(SK96&lt;=(ZJ96+ACW96)/EK96,SK96,(SK96-G96*(ZJ96+ACW96))/(1-G96*EK96))),SK96/(1-MAX(0,EK96)*H_Exit)))</f>
        <v>0</v>
      </c>
      <c r="VY96" s="20" t="n">
        <f aca="false">IF(ANL95&lt;=0,0,IF(H_Direct=1,IF(EL96&lt;=0,SL96,IF(SL96&lt;=(ZK96+ACX96)/EL96,SL96,(SL96-G96*(ZK96+ACX96))/(1-G96*EL96))),SL96/(1-MAX(0,EL96)*H_Exit)))</f>
        <v>0</v>
      </c>
      <c r="VZ96" s="20" t="n">
        <f aca="false">IF(ANM95&lt;=0,0,IF(H_Direct=1,IF(EM96&lt;=0,SM96,IF(SM96&lt;=(ZL96+ACY96)/EM96,SM96,(SM96-G96*(ZL96+ACY96))/(1-G96*EM96))),SM96/(1-MAX(0,EM96)*H_Exit)))</f>
        <v>0</v>
      </c>
      <c r="WA96" s="20" t="n">
        <f aca="false">IF(ANN95&lt;=0,0,IF(H_Direct=1,IF(EN96&lt;=0,SN96,IF(SN96&lt;=(ZM96+ACZ96)/EN96,SN96,(SN96-G96*(ZM96+ACZ96))/(1-G96*EN96))),SN96/(1-MAX(0,EN96)*H_Exit)))</f>
        <v>0</v>
      </c>
      <c r="WB96" s="20" t="n">
        <f aca="false">IF(ANO95&lt;=0,0,IF(H_Direct=1,IF(EO96&lt;=0,SO96,IF(SO96&lt;=(ZN96+ADA96)/EO96,SO96,(SO96-G96*(ZN96+ADA96))/(1-G96*EO96))),SO96/(1-MAX(0,EO96)*H_Exit)))</f>
        <v>0</v>
      </c>
      <c r="WC96" s="20" t="n">
        <f aca="false">IF(ANP95&lt;=0,0,IF(H_Direct=1,IF(EP96&lt;=0,SP96,IF(SP96&lt;=(ZO96+ADB96)/EP96,SP96,(SP96-G96*(ZO96+ADB96))/(1-G96*EP96))),SP96/(1-MAX(0,EP96)*H_Exit)))</f>
        <v>0</v>
      </c>
      <c r="WD96" s="20" t="n">
        <f aca="false">IF(ANQ95&lt;=0,0,IF(H_Direct=1,IF(EQ96&lt;=0,SQ96,IF(SQ96&lt;=(ZP96+ADC96)/EQ96,SQ96,(SQ96-G96*(ZP96+ADC96))/(1-G96*EQ96))),SQ96/(1-MAX(0,EQ96)*H_Exit)))</f>
        <v>0</v>
      </c>
      <c r="WE96" s="20" t="n">
        <f aca="false">IF(ANR95&lt;=0,0,IF(H_Direct=1,IF(ER96&lt;=0,SR96,IF(SR96&lt;=(ZQ96+ADD96)/ER96,SR96,(SR96-G96*(ZQ96+ADD96))/(1-G96*ER96))),SR96/(1-MAX(0,ER96)*H_Exit)))</f>
        <v>0</v>
      </c>
      <c r="WF96" s="20" t="n">
        <f aca="false">IF(ANS95&lt;=0,0,IF(H_Direct=1,IF(ES96&lt;=0,SS96,IF(SS96&lt;=(ZR96+ADE96)/ES96,SS96,(SS96-G96*(ZR96+ADE96))/(1-G96*ES96))),SS96/(1-MAX(0,ES96)*H_Exit)))</f>
        <v>0</v>
      </c>
      <c r="WG96" s="20" t="n">
        <f aca="false">IF(ANT95&lt;=0,0,IF(H_Direct=1,IF(ET96&lt;=0,ST96,IF(ST96&lt;=(ZS96+ADF96)/ET96,ST96,(ST96-G96*(ZS96+ADF96))/(1-G96*ET96))),ST96/(1-MAX(0,ET96)*H_Exit)))</f>
        <v>0</v>
      </c>
      <c r="WH96" s="20" t="n">
        <f aca="false">IF(ANU95&lt;=0,0,IF(H_Direct=1,IF(EU96&lt;=0,SU96,IF(SU96&lt;=(ZT96+ADG96)/EU96,SU96,(SU96-G96*(ZT96+ADG96))/(1-G96*EU96))),SU96/(1-MAX(0,EU96)*H_Exit)))</f>
        <v>0</v>
      </c>
      <c r="WI96" s="20" t="n">
        <f aca="false">IF(ANV95&lt;=0,0,IF(H_Direct=1,IF(EV96&lt;=0,SV96,IF(SV96&lt;=(ZU96+ADH96)/EV96,SV96,(SV96-G96*(ZU96+ADH96))/(1-G96*EV96))),SV96/(1-MAX(0,EV96)*H_Exit)))</f>
        <v>0</v>
      </c>
      <c r="WJ96" s="20" t="n">
        <f aca="false">IF(ANW95&lt;=0,0,IF(H_Direct=1,IF(EW96&lt;=0,SW96,IF(SW96&lt;=(ZV96+ADI96)/EW96,SW96,(SW96-G96*(ZV96+ADI96))/(1-G96*EW96))),SW96/(1-MAX(0,EW96)*H_Exit)))</f>
        <v>0</v>
      </c>
      <c r="WK96" s="20" t="n">
        <f aca="false">IF(ANX95&lt;=0,0,IF(H_Direct=1,IF(EX96&lt;=0,SX96,IF(SX96&lt;=(ZW96+ADJ96)/EX96,SX96,(SX96-G96*(ZW96+ADJ96))/(1-G96*EX96))),SX96/(1-MAX(0,EX96)*H_Exit)))</f>
        <v>0</v>
      </c>
      <c r="WL96" s="20" t="n">
        <f aca="false">IF(ANY95&lt;=0,0,IF(H_Direct=1,IF(EY96&lt;=0,SY96,IF(SY96&lt;=(ZX96+ADK96)/EY96,SY96,(SY96-G96*(ZX96+ADK96))/(1-G96*EY96))),SY96/(1-MAX(0,EY96)*H_Exit)))</f>
        <v>0</v>
      </c>
      <c r="WM96" s="20" t="n">
        <f aca="false">IF(ANZ95&lt;=0,0,IF(H_Direct=1,IF(EZ96&lt;=0,SZ96,IF(SZ96&lt;=(ZY96+ADL96)/EZ96,SZ96,(SZ96-G96*(ZY96+ADL96))/(1-G96*EZ96))),SZ96/(1-MAX(0,EZ96)*H_Exit)))</f>
        <v>0</v>
      </c>
      <c r="WN96" s="20" t="n">
        <f aca="false">IF(AOA95&lt;=0,0,IF(H_Direct=1,IF(FA96&lt;=0,TA96,IF(TA96&lt;=(ZZ96+ADM96)/FA96,TA96,(TA96-G96*(ZZ96+ADM96))/(1-G96*FA96))),TA96/(1-MAX(0,FA96)*H_Exit)))</f>
        <v>0</v>
      </c>
      <c r="WO96" s="20" t="n">
        <f aca="false">IF(AOB95&lt;=0,0,IF(H_Direct=1,IF(FB96&lt;=0,TB96,IF(TB96&lt;=(AAA96+ADN96)/FB96,TB96,(TB96-G96*(AAA96+ADN96))/(1-G96*FB96))),TB96/(1-MAX(0,FB96)*H_Exit)))</f>
        <v>0</v>
      </c>
      <c r="WP96" s="20" t="n">
        <f aca="false">IF((P96+S96)&lt;=0,0,IF(H_Direct=1,IF(FC96&lt;=0,TC96,IF(TC96&lt;=(AAB96+ADO96)/FC96,TC96,(TC96-G96*(AAB96+ADO96))/(1-G96*FC96))),TC96/(1-MAX(0,FC96)*H_Exit)))</f>
        <v>0</v>
      </c>
      <c r="WQ96" s="20" t="n">
        <v>0</v>
      </c>
      <c r="WR96" s="20" t="n">
        <f aca="false">IF(AND(H_Direct=1,BR96&gt;0),MAX(0,H96-(MIN(BR96*TE96,(H96+I96))-MIN(MIN(BR96*TE96,(H96+I96)),I96))),H96)</f>
        <v>1270</v>
      </c>
      <c r="WS96" s="20" t="n">
        <f aca="false">IF(AND(H_Direct=1,BS96&gt;0),MAX(0,WR96-(MIN(BS96*TF96,(WR96+AAE96))-MIN(MIN(BS96*TF96,(WR96+AAE96)),AAE96))),WR96)</f>
        <v>1270</v>
      </c>
      <c r="WT96" s="20" t="n">
        <f aca="false">IF(AND(H_Direct=1,BT96&gt;0),MAX(0,WS96-(MIN(BT96*TG96,(WS96+AAF96))-MIN(MIN(BT96*TG96,(WS96+AAF96)),AAF96))),WS96)</f>
        <v>1270</v>
      </c>
      <c r="WU96" s="20" t="n">
        <f aca="false">IF(AND(H_Direct=1,BU96&gt;0),MAX(0,WT96-(MIN(BU96*TH96,(WT96+AAG96))-MIN(MIN(BU96*TH96,(WT96+AAG96)),AAG96))),WT96)</f>
        <v>1270</v>
      </c>
      <c r="WV96" s="20" t="n">
        <f aca="false">IF(AND(H_Direct=1,BV96&gt;0),MAX(0,WU96-(MIN(BV96*TI96,(WU96+AAH96))-MIN(MIN(BV96*TI96,(WU96+AAH96)),AAH96))),WU96)</f>
        <v>1270</v>
      </c>
      <c r="WW96" s="20" t="n">
        <f aca="false">IF(AND(H_Direct=1,BW96&gt;0),MAX(0,WV96-(MIN(BW96*TJ96,(WV96+AAI96))-MIN(MIN(BW96*TJ96,(WV96+AAI96)),AAI96))),WV96)</f>
        <v>1270</v>
      </c>
      <c r="WX96" s="20" t="n">
        <f aca="false">IF(AND(H_Direct=1,BX96&gt;0),MAX(0,WW96-(MIN(BX96*TK96,(WW96+AAJ96))-MIN(MIN(BX96*TK96,(WW96+AAJ96)),AAJ96))),WW96)</f>
        <v>1270</v>
      </c>
      <c r="WY96" s="20" t="n">
        <f aca="false">IF(AND(H_Direct=1,BY96&gt;0),MAX(0,WX96-(MIN(BY96*TL96,(WX96+AAK96))-MIN(MIN(BY96*TL96,(WX96+AAK96)),AAK96))),WX96)</f>
        <v>1270</v>
      </c>
      <c r="WZ96" s="20" t="n">
        <f aca="false">IF(AND(H_Direct=1,BZ96&gt;0),MAX(0,WY96-(MIN(BZ96*TM96,(WY96+AAL96))-MIN(MIN(BZ96*TM96,(WY96+AAL96)),AAL96))),WY96)</f>
        <v>1270</v>
      </c>
      <c r="XA96" s="20" t="n">
        <f aca="false">IF(AND(H_Direct=1,CA96&gt;0),MAX(0,WZ96-(MIN(CA96*TN96,(WZ96+AAM96))-MIN(MIN(CA96*TN96,(WZ96+AAM96)),AAM96))),WZ96)</f>
        <v>1270</v>
      </c>
      <c r="XB96" s="20" t="n">
        <f aca="false">IF(AND(H_Direct=1,CB96&gt;0),MAX(0,XA96-(MIN(CB96*TO96,(XA96+AAN96))-MIN(MIN(CB96*TO96,(XA96+AAN96)),AAN96))),XA96)</f>
        <v>1270</v>
      </c>
      <c r="XC96" s="20" t="n">
        <f aca="false">IF(AND(H_Direct=1,CC96&gt;0),MAX(0,XB96-(MIN(CC96*TP96,(XB96+AAO96))-MIN(MIN(CC96*TP96,(XB96+AAO96)),AAO96))),XB96)</f>
        <v>1270</v>
      </c>
      <c r="XD96" s="20" t="n">
        <f aca="false">IF(AND(H_Direct=1,CD96&gt;0),MAX(0,XC96-(MIN(CD96*TQ96,(XC96+AAP96))-MIN(MIN(CD96*TQ96,(XC96+AAP96)),AAP96))),XC96)</f>
        <v>1270</v>
      </c>
      <c r="XE96" s="20" t="n">
        <f aca="false">IF(AND(H_Direct=1,CE96&gt;0),MAX(0,XD96-(MIN(CE96*TR96,(XD96+AAQ96))-MIN(MIN(CE96*TR96,(XD96+AAQ96)),AAQ96))),XD96)</f>
        <v>1270</v>
      </c>
      <c r="XF96" s="20" t="n">
        <f aca="false">IF(AND(H_Direct=1,CF96&gt;0),MAX(0,XE96-(MIN(CF96*TS96,(XE96+AAR96))-MIN(MIN(CF96*TS96,(XE96+AAR96)),AAR96))),XE96)</f>
        <v>1270</v>
      </c>
      <c r="XG96" s="20" t="n">
        <f aca="false">IF(AND(H_Direct=1,CG96&gt;0),MAX(0,XF96-(MIN(CG96*TT96,(XF96+AAS96))-MIN(MIN(CG96*TT96,(XF96+AAS96)),AAS96))),XF96)</f>
        <v>1270</v>
      </c>
      <c r="XH96" s="20" t="n">
        <f aca="false">IF(AND(H_Direct=1,CH96&gt;0),MAX(0,XG96-(MIN(CH96*TU96,(XG96+AAT96))-MIN(MIN(CH96*TU96,(XG96+AAT96)),AAT96))),XG96)</f>
        <v>1270</v>
      </c>
      <c r="XI96" s="20" t="n">
        <f aca="false">IF(AND(H_Direct=1,CI96&gt;0),MAX(0,XH96-(MIN(CI96*TV96,(XH96+AAU96))-MIN(MIN(CI96*TV96,(XH96+AAU96)),AAU96))),XH96)</f>
        <v>1270</v>
      </c>
      <c r="XJ96" s="20" t="n">
        <f aca="false">IF(AND(H_Direct=1,CJ96&gt;0),MAX(0,XI96-(MIN(CJ96*TW96,(XI96+AAV96))-MIN(MIN(CJ96*TW96,(XI96+AAV96)),AAV96))),XI96)</f>
        <v>1270</v>
      </c>
      <c r="XK96" s="20" t="n">
        <f aca="false">IF(AND(H_Direct=1,CK96&gt;0),MAX(0,XJ96-(MIN(CK96*TX96,(XJ96+AAW96))-MIN(MIN(CK96*TX96,(XJ96+AAW96)),AAW96))),XJ96)</f>
        <v>1270</v>
      </c>
      <c r="XL96" s="20" t="n">
        <f aca="false">IF(AND(H_Direct=1,CL96&gt;0),MAX(0,XK96-(MIN(CL96*TY96,(XK96+AAX96))-MIN(MIN(CL96*TY96,(XK96+AAX96)),AAX96))),XK96)</f>
        <v>1270</v>
      </c>
      <c r="XM96" s="20" t="n">
        <f aca="false">IF(AND(H_Direct=1,CM96&gt;0),MAX(0,XL96-(MIN(CM96*TZ96,(XL96+AAY96))-MIN(MIN(CM96*TZ96,(XL96+AAY96)),AAY96))),XL96)</f>
        <v>1270</v>
      </c>
      <c r="XN96" s="20" t="n">
        <f aca="false">IF(AND(H_Direct=1,CN96&gt;0),MAX(0,XM96-(MIN(CN96*UA96,(XM96+AAZ96))-MIN(MIN(CN96*UA96,(XM96+AAZ96)),AAZ96))),XM96)</f>
        <v>1270</v>
      </c>
      <c r="XO96" s="20" t="n">
        <f aca="false">IF(AND(H_Direct=1,CO96&gt;0),MAX(0,XN96-(MIN(CO96*UB96,(XN96+ABA96))-MIN(MIN(CO96*UB96,(XN96+ABA96)),ABA96))),XN96)</f>
        <v>1270</v>
      </c>
      <c r="XP96" s="20" t="n">
        <f aca="false">IF(AND(H_Direct=1,CP96&gt;0),MAX(0,XO96-(MIN(CP96*UC96,(XO96+ABB96))-MIN(MIN(CP96*UC96,(XO96+ABB96)),ABB96))),XO96)</f>
        <v>1270</v>
      </c>
      <c r="XQ96" s="20" t="n">
        <f aca="false">IF(AND(H_Direct=1,CQ96&gt;0),MAX(0,XP96-(MIN(CQ96*UD96,(XP96+ABC96))-MIN(MIN(CQ96*UD96,(XP96+ABC96)),ABC96))),XP96)</f>
        <v>1270</v>
      </c>
      <c r="XR96" s="20" t="n">
        <f aca="false">IF(AND(H_Direct=1,CR96&gt;0),MAX(0,XQ96-(MIN(CR96*UE96,(XQ96+ABD96))-MIN(MIN(CR96*UE96,(XQ96+ABD96)),ABD96))),XQ96)</f>
        <v>1270</v>
      </c>
      <c r="XS96" s="20" t="n">
        <f aca="false">IF(AND(H_Direct=1,CS96&gt;0),MAX(0,XR96-(MIN(CS96*UF96,(XR96+ABE96))-MIN(MIN(CS96*UF96,(XR96+ABE96)),ABE96))),XR96)</f>
        <v>1270</v>
      </c>
      <c r="XT96" s="20" t="n">
        <f aca="false">IF(AND(H_Direct=1,CT96&gt;0),MAX(0,XS96-(MIN(CT96*UG96,(XS96+ABF96))-MIN(MIN(CT96*UG96,(XS96+ABF96)),ABF96))),XS96)</f>
        <v>1270</v>
      </c>
      <c r="XU96" s="20" t="n">
        <f aca="false">IF(AND(H_Direct=1,CU96&gt;0),MAX(0,XT96-(MIN(CU96*UH96,(XT96+ABG96))-MIN(MIN(CU96*UH96,(XT96+ABG96)),ABG96))),XT96)</f>
        <v>1270</v>
      </c>
      <c r="XV96" s="20" t="n">
        <f aca="false">IF(AND(H_Direct=1,CV96&gt;0),MAX(0,XU96-(MIN(CV96*UI96,(XU96+ABH96))-MIN(MIN(CV96*UI96,(XU96+ABH96)),ABH96))),XU96)</f>
        <v>1270</v>
      </c>
      <c r="XW96" s="20" t="n">
        <f aca="false">IF(AND(H_Direct=1,CW96&gt;0),MAX(0,XV96-(MIN(CW96*UJ96,(XV96+ABI96))-MIN(MIN(CW96*UJ96,(XV96+ABI96)),ABI96))),XV96)</f>
        <v>1270</v>
      </c>
      <c r="XX96" s="20" t="n">
        <f aca="false">IF(AND(H_Direct=1,CX96&gt;0),MAX(0,XW96-(MIN(CX96*UK96,(XW96+ABJ96))-MIN(MIN(CX96*UK96,(XW96+ABJ96)),ABJ96))),XW96)</f>
        <v>1270</v>
      </c>
      <c r="XY96" s="20" t="n">
        <f aca="false">IF(AND(H_Direct=1,CY96&gt;0),MAX(0,XX96-(MIN(CY96*UL96,(XX96+ABK96))-MIN(MIN(CY96*UL96,(XX96+ABK96)),ABK96))),XX96)</f>
        <v>1270</v>
      </c>
      <c r="XZ96" s="20" t="n">
        <f aca="false">IF(AND(H_Direct=1,CZ96&gt;0),MAX(0,XY96-(MIN(CZ96*UM96,(XY96+ABL96))-MIN(MIN(CZ96*UM96,(XY96+ABL96)),ABL96))),XY96)</f>
        <v>1270</v>
      </c>
      <c r="YA96" s="20" t="n">
        <f aca="false">IF(AND(H_Direct=1,DA96&gt;0),MAX(0,XZ96-(MIN(DA96*UN96,(XZ96+ABM96))-MIN(MIN(DA96*UN96,(XZ96+ABM96)),ABM96))),XZ96)</f>
        <v>1270</v>
      </c>
      <c r="YB96" s="20" t="n">
        <f aca="false">IF(AND(H_Direct=1,DB96&gt;0),MAX(0,YA96-(MIN(DB96*UO96,(YA96+ABN96))-MIN(MIN(DB96*UO96,(YA96+ABN96)),ABN96))),YA96)</f>
        <v>1270</v>
      </c>
      <c r="YC96" s="20" t="n">
        <f aca="false">IF(AND(H_Direct=1,DC96&gt;0),MAX(0,YB96-(MIN(DC96*UP96,(YB96+ABO96))-MIN(MIN(DC96*UP96,(YB96+ABO96)),ABO96))),YB96)</f>
        <v>1270</v>
      </c>
      <c r="YD96" s="20" t="n">
        <f aca="false">IF(AND(H_Direct=1,DD96&gt;0),MAX(0,YC96-(MIN(DD96*UQ96,(YC96+ABP96))-MIN(MIN(DD96*UQ96,(YC96+ABP96)),ABP96))),YC96)</f>
        <v>1270</v>
      </c>
      <c r="YE96" s="20" t="n">
        <f aca="false">IF(AND(H_Direct=1,DE96&gt;0),MAX(0,YD96-(MIN(DE96*UR96,(YD96+ABQ96))-MIN(MIN(DE96*UR96,(YD96+ABQ96)),ABQ96))),YD96)</f>
        <v>1270</v>
      </c>
      <c r="YF96" s="20" t="n">
        <f aca="false">IF(AND(H_Direct=1,DF96&gt;0),MAX(0,YE96-(MIN(DF96*US96,(YE96+ABR96))-MIN(MIN(DF96*US96,(YE96+ABR96)),ABR96))),YE96)</f>
        <v>1270</v>
      </c>
      <c r="YG96" s="20" t="n">
        <f aca="false">IF(AND(H_Direct=1,DG96&gt;0),MAX(0,YF96-(MIN(DG96*UT96,(YF96+ABS96))-MIN(MIN(DG96*UT96,(YF96+ABS96)),ABS96))),YF96)</f>
        <v>1270</v>
      </c>
      <c r="YH96" s="20" t="n">
        <f aca="false">IF(AND(H_Direct=1,DH96&gt;0),MAX(0,YG96-(MIN(DH96*UU96,(YG96+ABT96))-MIN(MIN(DH96*UU96,(YG96+ABT96)),ABT96))),YG96)</f>
        <v>1270</v>
      </c>
      <c r="YI96" s="20" t="n">
        <f aca="false">IF(AND(H_Direct=1,DI96&gt;0),MAX(0,YH96-(MIN(DI96*UV96,(YH96+ABU96))-MIN(MIN(DI96*UV96,(YH96+ABU96)),ABU96))),YH96)</f>
        <v>1270</v>
      </c>
      <c r="YJ96" s="20" t="n">
        <f aca="false">IF(AND(H_Direct=1,DJ96&gt;0),MAX(0,YI96-(MIN(DJ96*UW96,(YI96+ABV96))-MIN(MIN(DJ96*UW96,(YI96+ABV96)),ABV96))),YI96)</f>
        <v>1270</v>
      </c>
      <c r="YK96" s="20" t="n">
        <f aca="false">IF(AND(H_Direct=1,DK96&gt;0),MAX(0,YJ96-(MIN(DK96*UX96,(YJ96+ABW96))-MIN(MIN(DK96*UX96,(YJ96+ABW96)),ABW96))),YJ96)</f>
        <v>1270</v>
      </c>
      <c r="YL96" s="20" t="n">
        <f aca="false">IF(AND(H_Direct=1,DL96&gt;0),MAX(0,YK96-(MIN(DL96*UY96,(YK96+ABX96))-MIN(MIN(DL96*UY96,(YK96+ABX96)),ABX96))),YK96)</f>
        <v>1270</v>
      </c>
      <c r="YM96" s="20" t="n">
        <f aca="false">IF(AND(H_Direct=1,DM96&gt;0),MAX(0,YL96-(MIN(DM96*UZ96,(YL96+ABY96))-MIN(MIN(DM96*UZ96,(YL96+ABY96)),ABY96))),YL96)</f>
        <v>1270</v>
      </c>
      <c r="YN96" s="20" t="n">
        <f aca="false">IF(AND(H_Direct=1,DN96&gt;0),MAX(0,YM96-(MIN(DN96*VA96,(YM96+ABZ96))-MIN(MIN(DN96*VA96,(YM96+ABZ96)),ABZ96))),YM96)</f>
        <v>1270</v>
      </c>
      <c r="YO96" s="20" t="n">
        <f aca="false">IF(AND(H_Direct=1,DO96&gt;0),MAX(0,YN96-(MIN(DO96*VB96,(YN96+ACA96))-MIN(MIN(DO96*VB96,(YN96+ACA96)),ACA96))),YN96)</f>
        <v>1270</v>
      </c>
      <c r="YP96" s="20" t="n">
        <f aca="false">IF(AND(H_Direct=1,DP96&gt;0),MAX(0,YO96-(MIN(DP96*VC96,(YO96+ACB96))-MIN(MIN(DP96*VC96,(YO96+ACB96)),ACB96))),YO96)</f>
        <v>1270</v>
      </c>
      <c r="YQ96" s="20" t="n">
        <f aca="false">IF(AND(H_Direct=1,DQ96&gt;0),MAX(0,YP96-(MIN(DQ96*VD96,(YP96+ACC96))-MIN(MIN(DQ96*VD96,(YP96+ACC96)),ACC96))),YP96)</f>
        <v>1270</v>
      </c>
      <c r="YR96" s="20" t="n">
        <f aca="false">IF(AND(H_Direct=1,DR96&gt;0),MAX(0,YQ96-(MIN(DR96*VE96,(YQ96+ACD96))-MIN(MIN(DR96*VE96,(YQ96+ACD96)),ACD96))),YQ96)</f>
        <v>1270</v>
      </c>
      <c r="YS96" s="20" t="n">
        <f aca="false">IF(AND(H_Direct=1,DS96&gt;0),MAX(0,YR96-(MIN(DS96*VF96,(YR96+ACE96))-MIN(MIN(DS96*VF96,(YR96+ACE96)),ACE96))),YR96)</f>
        <v>1270</v>
      </c>
      <c r="YT96" s="20" t="n">
        <f aca="false">IF(AND(H_Direct=1,DT96&gt;0),MAX(0,YS96-(MIN(DT96*VG96,(YS96+ACF96))-MIN(MIN(DT96*VG96,(YS96+ACF96)),ACF96))),YS96)</f>
        <v>1270</v>
      </c>
      <c r="YU96" s="20" t="n">
        <f aca="false">IF(AND(H_Direct=1,DU96&gt;0),MAX(0,YT96-(MIN(DU96*VH96,(YT96+ACG96))-MIN(MIN(DU96*VH96,(YT96+ACG96)),ACG96))),YT96)</f>
        <v>1270</v>
      </c>
      <c r="YV96" s="20" t="n">
        <f aca="false">IF(AND(H_Direct=1,DV96&gt;0),MAX(0,YU96-(MIN(DV96*VI96,(YU96+ACH96))-MIN(MIN(DV96*VI96,(YU96+ACH96)),ACH96))),YU96)</f>
        <v>1270</v>
      </c>
      <c r="YW96" s="20" t="n">
        <f aca="false">IF(AND(H_Direct=1,DW96&gt;0),MAX(0,YV96-(MIN(DW96*VJ96,(YV96+ACI96))-MIN(MIN(DW96*VJ96,(YV96+ACI96)),ACI96))),YV96)</f>
        <v>1270</v>
      </c>
      <c r="YX96" s="20" t="n">
        <f aca="false">IF(AND(H_Direct=1,DX96&gt;0),MAX(0,YW96-(MIN(DX96*VK96,(YW96+ACJ96))-MIN(MIN(DX96*VK96,(YW96+ACJ96)),ACJ96))),YW96)</f>
        <v>1270</v>
      </c>
      <c r="YY96" s="20" t="n">
        <f aca="false">IF(AND(H_Direct=1,DY96&gt;0),MAX(0,YX96-(MIN(DY96*VL96,(YX96+ACK96))-MIN(MIN(DY96*VL96,(YX96+ACK96)),ACK96))),YX96)</f>
        <v>1270</v>
      </c>
      <c r="YZ96" s="20" t="n">
        <f aca="false">IF(AND(H_Direct=1,DZ96&gt;0),MAX(0,YY96-(MIN(DZ96*VM96,(YY96+ACL96))-MIN(MIN(DZ96*VM96,(YY96+ACL96)),ACL96))),YY96)</f>
        <v>1270</v>
      </c>
      <c r="ZA96" s="20" t="n">
        <f aca="false">IF(AND(H_Direct=1,EA96&gt;0),MAX(0,YZ96-(MIN(EA96*VN96,(YZ96+ACM96))-MIN(MIN(EA96*VN96,(YZ96+ACM96)),ACM96))),YZ96)</f>
        <v>1270</v>
      </c>
      <c r="ZB96" s="20" t="n">
        <f aca="false">IF(AND(H_Direct=1,EB96&gt;0),MAX(0,ZA96-(MIN(EB96*VO96,(ZA96+ACN96))-MIN(MIN(EB96*VO96,(ZA96+ACN96)),ACN96))),ZA96)</f>
        <v>1270</v>
      </c>
      <c r="ZC96" s="20" t="n">
        <f aca="false">IF(AND(H_Direct=1,EC96&gt;0),MAX(0,ZB96-(MIN(EC96*VP96,(ZB96+ACO96))-MIN(MIN(EC96*VP96,(ZB96+ACO96)),ACO96))),ZB96)</f>
        <v>1270</v>
      </c>
      <c r="ZD96" s="20" t="n">
        <f aca="false">IF(AND(H_Direct=1,ED96&gt;0),MAX(0,ZC96-(MIN(ED96*VQ96,(ZC96+ACP96))-MIN(MIN(ED96*VQ96,(ZC96+ACP96)),ACP96))),ZC96)</f>
        <v>1270</v>
      </c>
      <c r="ZE96" s="20" t="n">
        <f aca="false">IF(AND(H_Direct=1,EE96&gt;0),MAX(0,ZD96-(MIN(EE96*VR96,(ZD96+ACQ96))-MIN(MIN(EE96*VR96,(ZD96+ACQ96)),ACQ96))),ZD96)</f>
        <v>1270</v>
      </c>
      <c r="ZF96" s="20" t="n">
        <f aca="false">IF(AND(H_Direct=1,EF96&gt;0),MAX(0,ZE96-(MIN(EF96*VS96,(ZE96+ACR96))-MIN(MIN(EF96*VS96,(ZE96+ACR96)),ACR96))),ZE96)</f>
        <v>1270</v>
      </c>
      <c r="ZG96" s="20" t="n">
        <f aca="false">IF(AND(H_Direct=1,EG96&gt;0),MAX(0,ZF96-(MIN(EG96*VT96,(ZF96+ACS96))-MIN(MIN(EG96*VT96,(ZF96+ACS96)),ACS96))),ZF96)</f>
        <v>1270</v>
      </c>
      <c r="ZH96" s="20" t="n">
        <f aca="false">IF(AND(H_Direct=1,EH96&gt;0),MAX(0,ZG96-(MIN(EH96*VU96,(ZG96+ACT96))-MIN(MIN(EH96*VU96,(ZG96+ACT96)),ACT96))),ZG96)</f>
        <v>1270</v>
      </c>
      <c r="ZI96" s="20" t="n">
        <f aca="false">IF(AND(H_Direct=1,EI96&gt;0),MAX(0,ZH96-(MIN(EI96*VV96,(ZH96+ACU96))-MIN(MIN(EI96*VV96,(ZH96+ACU96)),ACU96))),ZH96)</f>
        <v>1270</v>
      </c>
      <c r="ZJ96" s="20" t="n">
        <f aca="false">IF(AND(H_Direct=1,EJ96&gt;0),MAX(0,ZI96-(MIN(EJ96*VW96,(ZI96+ACV96))-MIN(MIN(EJ96*VW96,(ZI96+ACV96)),ACV96))),ZI96)</f>
        <v>1270</v>
      </c>
      <c r="ZK96" s="20" t="n">
        <f aca="false">IF(AND(H_Direct=1,EK96&gt;0),MAX(0,ZJ96-(MIN(EK96*VX96,(ZJ96+ACW96))-MIN(MIN(EK96*VX96,(ZJ96+ACW96)),ACW96))),ZJ96)</f>
        <v>1270</v>
      </c>
      <c r="ZL96" s="20" t="n">
        <f aca="false">IF(AND(H_Direct=1,EL96&gt;0),MAX(0,ZK96-(MIN(EL96*VY96,(ZK96+ACX96))-MIN(MIN(EL96*VY96,(ZK96+ACX96)),ACX96))),ZK96)</f>
        <v>1270</v>
      </c>
      <c r="ZM96" s="20" t="n">
        <f aca="false">IF(AND(H_Direct=1,EM96&gt;0),MAX(0,ZL96-(MIN(EM96*VZ96,(ZL96+ACY96))-MIN(MIN(EM96*VZ96,(ZL96+ACY96)),ACY96))),ZL96)</f>
        <v>1270</v>
      </c>
      <c r="ZN96" s="20" t="n">
        <f aca="false">IF(AND(H_Direct=1,EN96&gt;0),MAX(0,ZM96-(MIN(EN96*WA96,(ZM96+ACZ96))-MIN(MIN(EN96*WA96,(ZM96+ACZ96)),ACZ96))),ZM96)</f>
        <v>1270</v>
      </c>
      <c r="ZO96" s="20" t="n">
        <f aca="false">IF(AND(H_Direct=1,EO96&gt;0),MAX(0,ZN96-(MIN(EO96*WB96,(ZN96+ADA96))-MIN(MIN(EO96*WB96,(ZN96+ADA96)),ADA96))),ZN96)</f>
        <v>1270</v>
      </c>
      <c r="ZP96" s="20" t="n">
        <f aca="false">IF(AND(H_Direct=1,EP96&gt;0),MAX(0,ZO96-(MIN(EP96*WC96,(ZO96+ADB96))-MIN(MIN(EP96*WC96,(ZO96+ADB96)),ADB96))),ZO96)</f>
        <v>1270</v>
      </c>
      <c r="ZQ96" s="20" t="n">
        <f aca="false">IF(AND(H_Direct=1,EQ96&gt;0),MAX(0,ZP96-(MIN(EQ96*WD96,(ZP96+ADC96))-MIN(MIN(EQ96*WD96,(ZP96+ADC96)),ADC96))),ZP96)</f>
        <v>1270</v>
      </c>
      <c r="ZR96" s="20" t="n">
        <f aca="false">IF(AND(H_Direct=1,ER96&gt;0),MAX(0,ZQ96-(MIN(ER96*WE96,(ZQ96+ADD96))-MIN(MIN(ER96*WE96,(ZQ96+ADD96)),ADD96))),ZQ96)</f>
        <v>1270</v>
      </c>
      <c r="ZS96" s="20" t="n">
        <f aca="false">IF(AND(H_Direct=1,ES96&gt;0),MAX(0,ZR96-(MIN(ES96*WF96,(ZR96+ADE96))-MIN(MIN(ES96*WF96,(ZR96+ADE96)),ADE96))),ZR96)</f>
        <v>1270</v>
      </c>
      <c r="ZT96" s="20" t="n">
        <f aca="false">IF(AND(H_Direct=1,ET96&gt;0),MAX(0,ZS96-(MIN(ET96*WG96,(ZS96+ADF96))-MIN(MIN(ET96*WG96,(ZS96+ADF96)),ADF96))),ZS96)</f>
        <v>1270</v>
      </c>
      <c r="ZU96" s="20" t="n">
        <f aca="false">IF(AND(H_Direct=1,EU96&gt;0),MAX(0,ZT96-(MIN(EU96*WH96,(ZT96+ADG96))-MIN(MIN(EU96*WH96,(ZT96+ADG96)),ADG96))),ZT96)</f>
        <v>1270</v>
      </c>
      <c r="ZV96" s="20" t="n">
        <f aca="false">IF(AND(H_Direct=1,EV96&gt;0),MAX(0,ZU96-(MIN(EV96*WI96,(ZU96+ADH96))-MIN(MIN(EV96*WI96,(ZU96+ADH96)),ADH96))),ZU96)</f>
        <v>1270</v>
      </c>
      <c r="ZW96" s="20" t="n">
        <f aca="false">IF(AND(H_Direct=1,EW96&gt;0),MAX(0,ZV96-(MIN(EW96*WJ96,(ZV96+ADI96))-MIN(MIN(EW96*WJ96,(ZV96+ADI96)),ADI96))),ZV96)</f>
        <v>1270</v>
      </c>
      <c r="ZX96" s="20" t="n">
        <f aca="false">IF(AND(H_Direct=1,EX96&gt;0),MAX(0,ZW96-(MIN(EX96*WK96,(ZW96+ADJ96))-MIN(MIN(EX96*WK96,(ZW96+ADJ96)),ADJ96))),ZW96)</f>
        <v>1270</v>
      </c>
      <c r="ZY96" s="20" t="n">
        <f aca="false">IF(AND(H_Direct=1,EY96&gt;0),MAX(0,ZX96-(MIN(EY96*WL96,(ZX96+ADK96))-MIN(MIN(EY96*WL96,(ZX96+ADK96)),ADK96))),ZX96)</f>
        <v>1270</v>
      </c>
      <c r="ZZ96" s="20" t="n">
        <f aca="false">IF(AND(H_Direct=1,EZ96&gt;0),MAX(0,ZY96-(MIN(EZ96*WM96,(ZY96+ADL96))-MIN(MIN(EZ96*WM96,(ZY96+ADL96)),ADL96))),ZY96)</f>
        <v>1270</v>
      </c>
      <c r="AAA96" s="20" t="n">
        <f aca="false">IF(AND(H_Direct=1,FA96&gt;0),MAX(0,ZZ96-(MIN(FA96*WN96,(ZZ96+ADM96))-MIN(MIN(FA96*WN96,(ZZ96+ADM96)),ADM96))),ZZ96)</f>
        <v>1270</v>
      </c>
      <c r="AAB96" s="20" t="n">
        <f aca="false">IF(AND(H_Direct=1,FB96&gt;0),MAX(0,AAA96-(MIN(FB96*WO96,(AAA96+ADN96))-MIN(MIN(FB96*WO96,(AAA96+ADN96)),ADN96))),AAA96)</f>
        <v>1270</v>
      </c>
      <c r="AAC96" s="20" t="n">
        <f aca="false">IF(AND(H_Direct=1,FC96&gt;0),MAX(0,AAB96-(MIN(FC96*WP96,(AAB96+ADO96))-MIN(MIN(FC96*WP96,(AAB96+ADO96)),ADO96))),AAB96)</f>
        <v>1270</v>
      </c>
      <c r="AAD96" s="20" t="n">
        <f aca="false">AAC96</f>
        <v>1270</v>
      </c>
      <c r="AAE96" s="20" t="n">
        <f aca="false">IF(H_Direct=1,IF(BR96&lt;=0,I96-BR96*TE96,I96-MIN(MIN(BR96*TE96,(H96+I96)),I96)),I96)</f>
        <v>0</v>
      </c>
      <c r="AAF96" s="20" t="n">
        <f aca="false">IF(H_Direct=1,IF(BS96&lt;=0,AAE96-BS96*TF96,AAE96-MIN(MIN(BS96*TF96,(WR96+AAE96)),AAE96)),AAE96)</f>
        <v>0</v>
      </c>
      <c r="AAG96" s="20" t="n">
        <f aca="false">IF(H_Direct=1,IF(BT96&lt;=0,AAF96-BT96*TG96,AAF96-MIN(MIN(BT96*TG96,(WS96+AAF96)),AAF96)),AAF96)</f>
        <v>0</v>
      </c>
      <c r="AAH96" s="20" t="n">
        <f aca="false">IF(H_Direct=1,IF(BU96&lt;=0,AAG96-BU96*TH96,AAG96-MIN(MIN(BU96*TH96,(WT96+AAG96)),AAG96)),AAG96)</f>
        <v>0</v>
      </c>
      <c r="AAI96" s="20" t="n">
        <f aca="false">IF(H_Direct=1,IF(BV96&lt;=0,AAH96-BV96*TI96,AAH96-MIN(MIN(BV96*TI96,(WU96+AAH96)),AAH96)),AAH96)</f>
        <v>0</v>
      </c>
      <c r="AAJ96" s="20" t="n">
        <f aca="false">IF(H_Direct=1,IF(BW96&lt;=0,AAI96-BW96*TJ96,AAI96-MIN(MIN(BW96*TJ96,(WV96+AAI96)),AAI96)),AAI96)</f>
        <v>0</v>
      </c>
      <c r="AAK96" s="20" t="n">
        <f aca="false">IF(H_Direct=1,IF(BX96&lt;=0,AAJ96-BX96*TK96,AAJ96-MIN(MIN(BX96*TK96,(WW96+AAJ96)),AAJ96)),AAJ96)</f>
        <v>0</v>
      </c>
      <c r="AAL96" s="20" t="n">
        <f aca="false">IF(H_Direct=1,IF(BY96&lt;=0,AAK96-BY96*TL96,AAK96-MIN(MIN(BY96*TL96,(WX96+AAK96)),AAK96)),AAK96)</f>
        <v>0</v>
      </c>
      <c r="AAM96" s="20" t="n">
        <f aca="false">IF(H_Direct=1,IF(BZ96&lt;=0,AAL96-BZ96*TM96,AAL96-MIN(MIN(BZ96*TM96,(WY96+AAL96)),AAL96)),AAL96)</f>
        <v>0</v>
      </c>
      <c r="AAN96" s="20" t="n">
        <f aca="false">IF(H_Direct=1,IF(CA96&lt;=0,AAM96-CA96*TN96,AAM96-MIN(MIN(CA96*TN96,(WZ96+AAM96)),AAM96)),AAM96)</f>
        <v>0</v>
      </c>
      <c r="AAO96" s="20" t="n">
        <f aca="false">IF(H_Direct=1,IF(CB96&lt;=0,AAN96-CB96*TO96,AAN96-MIN(MIN(CB96*TO96,(XA96+AAN96)),AAN96)),AAN96)</f>
        <v>0</v>
      </c>
      <c r="AAP96" s="20" t="n">
        <f aca="false">IF(H_Direct=1,IF(CC96&lt;=0,AAO96-CC96*TP96,AAO96-MIN(MIN(CC96*TP96,(XB96+AAO96)),AAO96)),AAO96)</f>
        <v>0</v>
      </c>
      <c r="AAQ96" s="20" t="n">
        <f aca="false">IF(H_Direct=1,IF(CD96&lt;=0,AAP96-CD96*TQ96,AAP96-MIN(MIN(CD96*TQ96,(XC96+AAP96)),AAP96)),AAP96)</f>
        <v>0</v>
      </c>
      <c r="AAR96" s="20" t="n">
        <f aca="false">IF(H_Direct=1,IF(CE96&lt;=0,AAQ96-CE96*TR96,AAQ96-MIN(MIN(CE96*TR96,(XD96+AAQ96)),AAQ96)),AAQ96)</f>
        <v>0</v>
      </c>
      <c r="AAS96" s="20" t="n">
        <f aca="false">IF(H_Direct=1,IF(CF96&lt;=0,AAR96-CF96*TS96,AAR96-MIN(MIN(CF96*TS96,(XE96+AAR96)),AAR96)),AAR96)</f>
        <v>0</v>
      </c>
      <c r="AAT96" s="20" t="n">
        <f aca="false">IF(H_Direct=1,IF(CG96&lt;=0,AAS96-CG96*TT96,AAS96-MIN(MIN(CG96*TT96,(XF96+AAS96)),AAS96)),AAS96)</f>
        <v>0</v>
      </c>
      <c r="AAU96" s="20" t="n">
        <f aca="false">IF(H_Direct=1,IF(CH96&lt;=0,AAT96-CH96*TU96,AAT96-MIN(MIN(CH96*TU96,(XG96+AAT96)),AAT96)),AAT96)</f>
        <v>0</v>
      </c>
      <c r="AAV96" s="20" t="n">
        <f aca="false">IF(H_Direct=1,IF(CI96&lt;=0,AAU96-CI96*TV96,AAU96-MIN(MIN(CI96*TV96,(XH96+AAU96)),AAU96)),AAU96)</f>
        <v>0</v>
      </c>
      <c r="AAW96" s="20" t="n">
        <f aca="false">IF(H_Direct=1,IF(CJ96&lt;=0,AAV96-CJ96*TW96,AAV96-MIN(MIN(CJ96*TW96,(XI96+AAV96)),AAV96)),AAV96)</f>
        <v>0</v>
      </c>
      <c r="AAX96" s="20" t="n">
        <f aca="false">IF(H_Direct=1,IF(CK96&lt;=0,AAW96-CK96*TX96,AAW96-MIN(MIN(CK96*TX96,(XJ96+AAW96)),AAW96)),AAW96)</f>
        <v>0</v>
      </c>
      <c r="AAY96" s="20" t="n">
        <f aca="false">IF(H_Direct=1,IF(CL96&lt;=0,AAX96-CL96*TY96,AAX96-MIN(MIN(CL96*TY96,(XK96+AAX96)),AAX96)),AAX96)</f>
        <v>0</v>
      </c>
      <c r="AAZ96" s="20" t="n">
        <f aca="false">IF(H_Direct=1,IF(CM96&lt;=0,AAY96-CM96*TZ96,AAY96-MIN(MIN(CM96*TZ96,(XL96+AAY96)),AAY96)),AAY96)</f>
        <v>0</v>
      </c>
      <c r="ABA96" s="20" t="n">
        <f aca="false">IF(H_Direct=1,IF(CN96&lt;=0,AAZ96-CN96*UA96,AAZ96-MIN(MIN(CN96*UA96,(XM96+AAZ96)),AAZ96)),AAZ96)</f>
        <v>0</v>
      </c>
      <c r="ABB96" s="20" t="n">
        <f aca="false">IF(H_Direct=1,IF(CO96&lt;=0,ABA96-CO96*UB96,ABA96-MIN(MIN(CO96*UB96,(XN96+ABA96)),ABA96)),ABA96)</f>
        <v>0</v>
      </c>
      <c r="ABC96" s="20" t="n">
        <f aca="false">IF(H_Direct=1,IF(CP96&lt;=0,ABB96-CP96*UC96,ABB96-MIN(MIN(CP96*UC96,(XO96+ABB96)),ABB96)),ABB96)</f>
        <v>0</v>
      </c>
      <c r="ABD96" s="20" t="n">
        <f aca="false">IF(H_Direct=1,IF(CQ96&lt;=0,ABC96-CQ96*UD96,ABC96-MIN(MIN(CQ96*UD96,(XP96+ABC96)),ABC96)),ABC96)</f>
        <v>0</v>
      </c>
      <c r="ABE96" s="20" t="n">
        <f aca="false">IF(H_Direct=1,IF(CR96&lt;=0,ABD96-CR96*UE96,ABD96-MIN(MIN(CR96*UE96,(XQ96+ABD96)),ABD96)),ABD96)</f>
        <v>0</v>
      </c>
      <c r="ABF96" s="20" t="n">
        <f aca="false">IF(H_Direct=1,IF(CS96&lt;=0,ABE96-CS96*UF96,ABE96-MIN(MIN(CS96*UF96,(XR96+ABE96)),ABE96)),ABE96)</f>
        <v>0</v>
      </c>
      <c r="ABG96" s="20" t="n">
        <f aca="false">IF(H_Direct=1,IF(CT96&lt;=0,ABF96-CT96*UG96,ABF96-MIN(MIN(CT96*UG96,(XS96+ABF96)),ABF96)),ABF96)</f>
        <v>0</v>
      </c>
      <c r="ABH96" s="20" t="n">
        <f aca="false">IF(H_Direct=1,IF(CU96&lt;=0,ABG96-CU96*UH96,ABG96-MIN(MIN(CU96*UH96,(XT96+ABG96)),ABG96)),ABG96)</f>
        <v>0</v>
      </c>
      <c r="ABI96" s="20" t="n">
        <f aca="false">IF(H_Direct=1,IF(CV96&lt;=0,ABH96-CV96*UI96,ABH96-MIN(MIN(CV96*UI96,(XU96+ABH96)),ABH96)),ABH96)</f>
        <v>0</v>
      </c>
      <c r="ABJ96" s="20" t="n">
        <f aca="false">IF(H_Direct=1,IF(CW96&lt;=0,ABI96-CW96*UJ96,ABI96-MIN(MIN(CW96*UJ96,(XV96+ABI96)),ABI96)),ABI96)</f>
        <v>0</v>
      </c>
      <c r="ABK96" s="20" t="n">
        <f aca="false">IF(H_Direct=1,IF(CX96&lt;=0,ABJ96-CX96*UK96,ABJ96-MIN(MIN(CX96*UK96,(XW96+ABJ96)),ABJ96)),ABJ96)</f>
        <v>0</v>
      </c>
      <c r="ABL96" s="20" t="n">
        <f aca="false">IF(H_Direct=1,IF(CY96&lt;=0,ABK96-CY96*UL96,ABK96-MIN(MIN(CY96*UL96,(XX96+ABK96)),ABK96)),ABK96)</f>
        <v>0</v>
      </c>
      <c r="ABM96" s="20" t="n">
        <f aca="false">IF(H_Direct=1,IF(CZ96&lt;=0,ABL96-CZ96*UM96,ABL96-MIN(MIN(CZ96*UM96,(XY96+ABL96)),ABL96)),ABL96)</f>
        <v>0</v>
      </c>
      <c r="ABN96" s="20" t="n">
        <f aca="false">IF(H_Direct=1,IF(DA96&lt;=0,ABM96-DA96*UN96,ABM96-MIN(MIN(DA96*UN96,(XZ96+ABM96)),ABM96)),ABM96)</f>
        <v>0</v>
      </c>
      <c r="ABO96" s="20" t="n">
        <f aca="false">IF(H_Direct=1,IF(DB96&lt;=0,ABN96-DB96*UO96,ABN96-MIN(MIN(DB96*UO96,(YA96+ABN96)),ABN96)),ABN96)</f>
        <v>0</v>
      </c>
      <c r="ABP96" s="20" t="n">
        <f aca="false">IF(H_Direct=1,IF(DC96&lt;=0,ABO96-DC96*UP96,ABO96-MIN(MIN(DC96*UP96,(YB96+ABO96)),ABO96)),ABO96)</f>
        <v>0</v>
      </c>
      <c r="ABQ96" s="20" t="n">
        <f aca="false">IF(H_Direct=1,IF(DD96&lt;=0,ABP96-DD96*UQ96,ABP96-MIN(MIN(DD96*UQ96,(YC96+ABP96)),ABP96)),ABP96)</f>
        <v>0</v>
      </c>
      <c r="ABR96" s="20" t="n">
        <f aca="false">IF(H_Direct=1,IF(DE96&lt;=0,ABQ96-DE96*UR96,ABQ96-MIN(MIN(DE96*UR96,(YD96+ABQ96)),ABQ96)),ABQ96)</f>
        <v>0</v>
      </c>
      <c r="ABS96" s="20" t="n">
        <f aca="false">IF(H_Direct=1,IF(DF96&lt;=0,ABR96-DF96*US96,ABR96-MIN(MIN(DF96*US96,(YE96+ABR96)),ABR96)),ABR96)</f>
        <v>0</v>
      </c>
      <c r="ABT96" s="20" t="n">
        <f aca="false">IF(H_Direct=1,IF(DG96&lt;=0,ABS96-DG96*UT96,ABS96-MIN(MIN(DG96*UT96,(YF96+ABS96)),ABS96)),ABS96)</f>
        <v>0</v>
      </c>
      <c r="ABU96" s="20" t="n">
        <f aca="false">IF(H_Direct=1,IF(DH96&lt;=0,ABT96-DH96*UU96,ABT96-MIN(MIN(DH96*UU96,(YG96+ABT96)),ABT96)),ABT96)</f>
        <v>0</v>
      </c>
      <c r="ABV96" s="20" t="n">
        <f aca="false">IF(H_Direct=1,IF(DI96&lt;=0,ABU96-DI96*UV96,ABU96-MIN(MIN(DI96*UV96,(YH96+ABU96)),ABU96)),ABU96)</f>
        <v>0</v>
      </c>
      <c r="ABW96" s="20" t="n">
        <f aca="false">IF(H_Direct=1,IF(DJ96&lt;=0,ABV96-DJ96*UW96,ABV96-MIN(MIN(DJ96*UW96,(YI96+ABV96)),ABV96)),ABV96)</f>
        <v>0</v>
      </c>
      <c r="ABX96" s="20" t="n">
        <f aca="false">IF(H_Direct=1,IF(DK96&lt;=0,ABW96-DK96*UX96,ABW96-MIN(MIN(DK96*UX96,(YJ96+ABW96)),ABW96)),ABW96)</f>
        <v>0</v>
      </c>
      <c r="ABY96" s="20" t="n">
        <f aca="false">IF(H_Direct=1,IF(DL96&lt;=0,ABX96-DL96*UY96,ABX96-MIN(MIN(DL96*UY96,(YK96+ABX96)),ABX96)),ABX96)</f>
        <v>0</v>
      </c>
      <c r="ABZ96" s="20" t="n">
        <f aca="false">IF(H_Direct=1,IF(DM96&lt;=0,ABY96-DM96*UZ96,ABY96-MIN(MIN(DM96*UZ96,(YL96+ABY96)),ABY96)),ABY96)</f>
        <v>0</v>
      </c>
      <c r="ACA96" s="20" t="n">
        <f aca="false">IF(H_Direct=1,IF(DN96&lt;=0,ABZ96-DN96*VA96,ABZ96-MIN(MIN(DN96*VA96,(YM96+ABZ96)),ABZ96)),ABZ96)</f>
        <v>0</v>
      </c>
      <c r="ACB96" s="20" t="n">
        <f aca="false">IF(H_Direct=1,IF(DO96&lt;=0,ACA96-DO96*VB96,ACA96-MIN(MIN(DO96*VB96,(YN96+ACA96)),ACA96)),ACA96)</f>
        <v>0</v>
      </c>
      <c r="ACC96" s="20" t="n">
        <f aca="false">IF(H_Direct=1,IF(DP96&lt;=0,ACB96-DP96*VC96,ACB96-MIN(MIN(DP96*VC96,(YO96+ACB96)),ACB96)),ACB96)</f>
        <v>0</v>
      </c>
      <c r="ACD96" s="20" t="n">
        <f aca="false">IF(H_Direct=1,IF(DQ96&lt;=0,ACC96-DQ96*VD96,ACC96-MIN(MIN(DQ96*VD96,(YP96+ACC96)),ACC96)),ACC96)</f>
        <v>0</v>
      </c>
      <c r="ACE96" s="20" t="n">
        <f aca="false">IF(H_Direct=1,IF(DR96&lt;=0,ACD96-DR96*VE96,ACD96-MIN(MIN(DR96*VE96,(YQ96+ACD96)),ACD96)),ACD96)</f>
        <v>0</v>
      </c>
      <c r="ACF96" s="20" t="n">
        <f aca="false">IF(H_Direct=1,IF(DS96&lt;=0,ACE96-DS96*VF96,ACE96-MIN(MIN(DS96*VF96,(YR96+ACE96)),ACE96)),ACE96)</f>
        <v>0</v>
      </c>
      <c r="ACG96" s="20" t="n">
        <f aca="false">IF(H_Direct=1,IF(DT96&lt;=0,ACF96-DT96*VG96,ACF96-MIN(MIN(DT96*VG96,(YS96+ACF96)),ACF96)),ACF96)</f>
        <v>0</v>
      </c>
      <c r="ACH96" s="20" t="n">
        <f aca="false">IF(H_Direct=1,IF(DU96&lt;=0,ACG96-DU96*VH96,ACG96-MIN(MIN(DU96*VH96,(YT96+ACG96)),ACG96)),ACG96)</f>
        <v>0</v>
      </c>
      <c r="ACI96" s="20" t="n">
        <f aca="false">IF(H_Direct=1,IF(DV96&lt;=0,ACH96-DV96*VI96,ACH96-MIN(MIN(DV96*VI96,(YU96+ACH96)),ACH96)),ACH96)</f>
        <v>0</v>
      </c>
      <c r="ACJ96" s="20" t="n">
        <f aca="false">IF(H_Direct=1,IF(DW96&lt;=0,ACI96-DW96*VJ96,ACI96-MIN(MIN(DW96*VJ96,(YV96+ACI96)),ACI96)),ACI96)</f>
        <v>0</v>
      </c>
      <c r="ACK96" s="20" t="n">
        <f aca="false">IF(H_Direct=1,IF(DX96&lt;=0,ACJ96-DX96*VK96,ACJ96-MIN(MIN(DX96*VK96,(YW96+ACJ96)),ACJ96)),ACJ96)</f>
        <v>0</v>
      </c>
      <c r="ACL96" s="20" t="n">
        <f aca="false">IF(H_Direct=1,IF(DY96&lt;=0,ACK96-DY96*VL96,ACK96-MIN(MIN(DY96*VL96,(YX96+ACK96)),ACK96)),ACK96)</f>
        <v>0</v>
      </c>
      <c r="ACM96" s="20" t="n">
        <f aca="false">IF(H_Direct=1,IF(DZ96&lt;=0,ACL96-DZ96*VM96,ACL96-MIN(MIN(DZ96*VM96,(YY96+ACL96)),ACL96)),ACL96)</f>
        <v>0</v>
      </c>
      <c r="ACN96" s="20" t="n">
        <f aca="false">IF(H_Direct=1,IF(EA96&lt;=0,ACM96-EA96*VN96,ACM96-MIN(MIN(EA96*VN96,(YZ96+ACM96)),ACM96)),ACM96)</f>
        <v>0</v>
      </c>
      <c r="ACO96" s="20" t="n">
        <f aca="false">IF(H_Direct=1,IF(EB96&lt;=0,ACN96-EB96*VO96,ACN96-MIN(MIN(EB96*VO96,(ZA96+ACN96)),ACN96)),ACN96)</f>
        <v>0</v>
      </c>
      <c r="ACP96" s="20" t="n">
        <f aca="false">IF(H_Direct=1,IF(EC96&lt;=0,ACO96-EC96*VP96,ACO96-MIN(MIN(EC96*VP96,(ZB96+ACO96)),ACO96)),ACO96)</f>
        <v>0</v>
      </c>
      <c r="ACQ96" s="20" t="n">
        <f aca="false">IF(H_Direct=1,IF(ED96&lt;=0,ACP96-ED96*VQ96,ACP96-MIN(MIN(ED96*VQ96,(ZC96+ACP96)),ACP96)),ACP96)</f>
        <v>0</v>
      </c>
      <c r="ACR96" s="20" t="n">
        <f aca="false">IF(H_Direct=1,IF(EE96&lt;=0,ACQ96-EE96*VR96,ACQ96-MIN(MIN(EE96*VR96,(ZD96+ACQ96)),ACQ96)),ACQ96)</f>
        <v>0</v>
      </c>
      <c r="ACS96" s="20" t="n">
        <f aca="false">IF(H_Direct=1,IF(EF96&lt;=0,ACR96-EF96*VS96,ACR96-MIN(MIN(EF96*VS96,(ZE96+ACR96)),ACR96)),ACR96)</f>
        <v>0</v>
      </c>
      <c r="ACT96" s="20" t="n">
        <f aca="false">IF(H_Direct=1,IF(EG96&lt;=0,ACS96-EG96*VT96,ACS96-MIN(MIN(EG96*VT96,(ZF96+ACS96)),ACS96)),ACS96)</f>
        <v>0</v>
      </c>
      <c r="ACU96" s="20" t="n">
        <f aca="false">IF(H_Direct=1,IF(EH96&lt;=0,ACT96-EH96*VU96,ACT96-MIN(MIN(EH96*VU96,(ZG96+ACT96)),ACT96)),ACT96)</f>
        <v>0</v>
      </c>
      <c r="ACV96" s="20" t="n">
        <f aca="false">IF(H_Direct=1,IF(EI96&lt;=0,ACU96-EI96*VV96,ACU96-MIN(MIN(EI96*VV96,(ZH96+ACU96)),ACU96)),ACU96)</f>
        <v>0</v>
      </c>
      <c r="ACW96" s="20" t="n">
        <f aca="false">IF(H_Direct=1,IF(EJ96&lt;=0,ACV96-EJ96*VW96,ACV96-MIN(MIN(EJ96*VW96,(ZI96+ACV96)),ACV96)),ACV96)</f>
        <v>0</v>
      </c>
      <c r="ACX96" s="20" t="n">
        <f aca="false">IF(H_Direct=1,IF(EK96&lt;=0,ACW96-EK96*VX96,ACW96-MIN(MIN(EK96*VX96,(ZJ96+ACW96)),ACW96)),ACW96)</f>
        <v>0</v>
      </c>
      <c r="ACY96" s="20" t="n">
        <f aca="false">IF(H_Direct=1,IF(EL96&lt;=0,ACX96-EL96*VY96,ACX96-MIN(MIN(EL96*VY96,(ZK96+ACX96)),ACX96)),ACX96)</f>
        <v>0</v>
      </c>
      <c r="ACZ96" s="20" t="n">
        <f aca="false">IF(H_Direct=1,IF(EM96&lt;=0,ACY96-EM96*VZ96,ACY96-MIN(MIN(EM96*VZ96,(ZL96+ACY96)),ACY96)),ACY96)</f>
        <v>0</v>
      </c>
      <c r="ADA96" s="20" t="n">
        <f aca="false">IF(H_Direct=1,IF(EN96&lt;=0,ACZ96-EN96*WA96,ACZ96-MIN(MIN(EN96*WA96,(ZM96+ACZ96)),ACZ96)),ACZ96)</f>
        <v>0</v>
      </c>
      <c r="ADB96" s="20" t="n">
        <f aca="false">IF(H_Direct=1,IF(EO96&lt;=0,ADA96-EO96*WB96,ADA96-MIN(MIN(EO96*WB96,(ZN96+ADA96)),ADA96)),ADA96)</f>
        <v>0</v>
      </c>
      <c r="ADC96" s="20" t="n">
        <f aca="false">IF(H_Direct=1,IF(EP96&lt;=0,ADB96-EP96*WC96,ADB96-MIN(MIN(EP96*WC96,(ZO96+ADB96)),ADB96)),ADB96)</f>
        <v>0</v>
      </c>
      <c r="ADD96" s="20" t="n">
        <f aca="false">IF(H_Direct=1,IF(EQ96&lt;=0,ADC96-EQ96*WD96,ADC96-MIN(MIN(EQ96*WD96,(ZP96+ADC96)),ADC96)),ADC96)</f>
        <v>0</v>
      </c>
      <c r="ADE96" s="20" t="n">
        <f aca="false">IF(H_Direct=1,IF(ER96&lt;=0,ADD96-ER96*WE96,ADD96-MIN(MIN(ER96*WE96,(ZQ96+ADD96)),ADD96)),ADD96)</f>
        <v>0</v>
      </c>
      <c r="ADF96" s="20" t="n">
        <f aca="false">IF(H_Direct=1,IF(ES96&lt;=0,ADE96-ES96*WF96,ADE96-MIN(MIN(ES96*WF96,(ZR96+ADE96)),ADE96)),ADE96)</f>
        <v>0</v>
      </c>
      <c r="ADG96" s="20" t="n">
        <f aca="false">IF(H_Direct=1,IF(ET96&lt;=0,ADF96-ET96*WG96,ADF96-MIN(MIN(ET96*WG96,(ZS96+ADF96)),ADF96)),ADF96)</f>
        <v>0</v>
      </c>
      <c r="ADH96" s="20" t="n">
        <f aca="false">IF(H_Direct=1,IF(EU96&lt;=0,ADG96-EU96*WH96,ADG96-MIN(MIN(EU96*WH96,(ZT96+ADG96)),ADG96)),ADG96)</f>
        <v>0</v>
      </c>
      <c r="ADI96" s="20" t="n">
        <f aca="false">IF(H_Direct=1,IF(EV96&lt;=0,ADH96-EV96*WI96,ADH96-MIN(MIN(EV96*WI96,(ZU96+ADH96)),ADH96)),ADH96)</f>
        <v>0</v>
      </c>
      <c r="ADJ96" s="20" t="n">
        <f aca="false">IF(H_Direct=1,IF(EW96&lt;=0,ADI96-EW96*WJ96,ADI96-MIN(MIN(EW96*WJ96,(ZV96+ADI96)),ADI96)),ADI96)</f>
        <v>0</v>
      </c>
      <c r="ADK96" s="20" t="n">
        <f aca="false">IF(H_Direct=1,IF(EX96&lt;=0,ADJ96-EX96*WK96,ADJ96-MIN(MIN(EX96*WK96,(ZW96+ADJ96)),ADJ96)),ADJ96)</f>
        <v>0</v>
      </c>
      <c r="ADL96" s="20" t="n">
        <f aca="false">IF(H_Direct=1,IF(EY96&lt;=0,ADK96-EY96*WL96,ADK96-MIN(MIN(EY96*WL96,(ZX96+ADK96)),ADK96)),ADK96)</f>
        <v>0</v>
      </c>
      <c r="ADM96" s="20" t="n">
        <f aca="false">IF(H_Direct=1,IF(EZ96&lt;=0,ADL96-EZ96*WM96,ADL96-MIN(MIN(EZ96*WM96,(ZY96+ADL96)),ADL96)),ADL96)</f>
        <v>0</v>
      </c>
      <c r="ADN96" s="20" t="n">
        <f aca="false">IF(H_Direct=1,IF(FA96&lt;=0,ADM96-FA96*WN96,ADM96-MIN(MIN(FA96*WN96,(ZZ96+ADM96)),ADM96)),ADM96)</f>
        <v>0</v>
      </c>
      <c r="ADO96" s="20" t="n">
        <f aca="false">IF(H_Direct=1,IF(FB96&lt;=0,ADN96-FB96*WO96,ADN96-MIN(MIN(FB96*WO96,(AAA96+ADN96)),ADN96)),ADN96)</f>
        <v>0</v>
      </c>
      <c r="ADP96" s="20" t="n">
        <f aca="false">IF(H_Direct=1,IF(FC96&lt;=0,ADO96-FC96*WP96,ADO96-MIN(MIN(FC96*WP96,(AAB96+ADO96)),ADO96)),ADO96)</f>
        <v>0</v>
      </c>
      <c r="ADQ96" s="20" t="n">
        <f aca="false">ADP96</f>
        <v>0</v>
      </c>
      <c r="ADR96" s="20" t="n">
        <f aca="false">(AKR95-TE96+0)*(1+BQ96)</f>
        <v>0</v>
      </c>
      <c r="ADS96" s="20" t="n">
        <f aca="false">(AKS95-TF96+0)*(1+BQ96)</f>
        <v>0</v>
      </c>
      <c r="ADT96" s="20" t="n">
        <f aca="false">(AKT95-TG96+0)*(1+BQ96)</f>
        <v>0</v>
      </c>
      <c r="ADU96" s="20" t="n">
        <f aca="false">(AKU95-TH96+0)*(1+BQ96)</f>
        <v>0</v>
      </c>
      <c r="ADV96" s="20" t="n">
        <f aca="false">(AKV95-TI96+0)*(1+BQ96)</f>
        <v>0</v>
      </c>
      <c r="ADW96" s="20" t="n">
        <f aca="false">(AKW95-TJ96+0)*(1+BQ96)</f>
        <v>0</v>
      </c>
      <c r="ADX96" s="20" t="n">
        <f aca="false">(AKX95-TK96+0)*(1+BQ96)</f>
        <v>0</v>
      </c>
      <c r="ADY96" s="20" t="n">
        <f aca="false">(AKY95-TL96+0)*(1+BQ96)</f>
        <v>0</v>
      </c>
      <c r="ADZ96" s="20" t="n">
        <f aca="false">(AKZ95-TM96+0)*(1+BQ96)</f>
        <v>0</v>
      </c>
      <c r="AEA96" s="20" t="n">
        <f aca="false">(ALA95-TN96+0)*(1+BQ96)</f>
        <v>0</v>
      </c>
      <c r="AEB96" s="20" t="n">
        <f aca="false">(ALB95-TO96+0)*(1+BQ96)</f>
        <v>0</v>
      </c>
      <c r="AEC96" s="20" t="n">
        <f aca="false">(ALC95-TP96+0)*(1+BQ96)</f>
        <v>0</v>
      </c>
      <c r="AED96" s="20" t="n">
        <f aca="false">(ALD95-TQ96+0)*(1+BQ96)</f>
        <v>0</v>
      </c>
      <c r="AEE96" s="20" t="n">
        <f aca="false">(ALE95-TR96+0)*(1+BQ96)</f>
        <v>0</v>
      </c>
      <c r="AEF96" s="20" t="n">
        <f aca="false">(ALF95-TS96+0)*(1+BQ96)</f>
        <v>0</v>
      </c>
      <c r="AEG96" s="20" t="n">
        <f aca="false">(ALG95-TT96+0)*(1+BQ96)</f>
        <v>0</v>
      </c>
      <c r="AEH96" s="20" t="n">
        <f aca="false">(ALH95-TU96+0)*(1+BQ96)</f>
        <v>0</v>
      </c>
      <c r="AEI96" s="20" t="n">
        <f aca="false">(ALI95-TV96+0)*(1+BQ96)</f>
        <v>0</v>
      </c>
      <c r="AEJ96" s="20" t="n">
        <f aca="false">(ALJ95-TW96+0)*(1+BQ96)</f>
        <v>0</v>
      </c>
      <c r="AEK96" s="20" t="n">
        <f aca="false">(ALK95-TX96+0)*(1+BQ96)</f>
        <v>0</v>
      </c>
      <c r="AEL96" s="20" t="n">
        <f aca="false">(ALL95-TY96+0)*(1+BQ96)</f>
        <v>0</v>
      </c>
      <c r="AEM96" s="20" t="n">
        <f aca="false">(ALM95-TZ96+0)*(1+BQ96)</f>
        <v>0</v>
      </c>
      <c r="AEN96" s="20" t="n">
        <f aca="false">(ALN95-UA96+0)*(1+BQ96)</f>
        <v>0</v>
      </c>
      <c r="AEO96" s="20" t="n">
        <f aca="false">(ALO95-UB96+0)*(1+BQ96)</f>
        <v>0</v>
      </c>
      <c r="AEP96" s="20" t="n">
        <f aca="false">(ALP95-UC96+0)*(1+BQ96)</f>
        <v>0</v>
      </c>
      <c r="AEQ96" s="20" t="n">
        <f aca="false">(ALQ95-UD96+0)*(1+BQ96)</f>
        <v>0</v>
      </c>
      <c r="AER96" s="20" t="n">
        <f aca="false">(ALR95-UE96+0)*(1+BQ96)</f>
        <v>0</v>
      </c>
      <c r="AES96" s="20" t="n">
        <f aca="false">(ALS95-UF96+0)*(1+BQ96)</f>
        <v>0</v>
      </c>
      <c r="AET96" s="20" t="n">
        <f aca="false">(ALT95-UG96+0)*(1+BQ96)</f>
        <v>0</v>
      </c>
      <c r="AEU96" s="20" t="n">
        <f aca="false">(ALU95-UH96+0)*(1+BQ96)</f>
        <v>0</v>
      </c>
      <c r="AEV96" s="20" t="n">
        <f aca="false">(ALV95-UI96+0)*(1+BQ96)</f>
        <v>0</v>
      </c>
      <c r="AEW96" s="20" t="n">
        <f aca="false">(ALW95-UJ96+0)*(1+BQ96)</f>
        <v>0</v>
      </c>
      <c r="AEX96" s="20" t="n">
        <f aca="false">(ALX95-UK96+0)*(1+BQ96)</f>
        <v>0</v>
      </c>
      <c r="AEY96" s="20" t="n">
        <f aca="false">(ALY95-UL96+0)*(1+BQ96)</f>
        <v>0</v>
      </c>
      <c r="AEZ96" s="20" t="n">
        <f aca="false">(ALZ95-UM96+0)*(1+BQ96)</f>
        <v>0</v>
      </c>
      <c r="AFA96" s="20" t="n">
        <f aca="false">(AMA95-UN96+0)*(1+BQ96)</f>
        <v>0</v>
      </c>
      <c r="AFB96" s="20" t="n">
        <f aca="false">(AMB95-UO96+0)*(1+BQ96)</f>
        <v>0</v>
      </c>
      <c r="AFC96" s="20" t="n">
        <f aca="false">(AMC95-UP96+0)*(1+BQ96)</f>
        <v>0</v>
      </c>
      <c r="AFD96" s="20" t="n">
        <f aca="false">(AMD95-UQ96+0)*(1+BQ96)</f>
        <v>0</v>
      </c>
      <c r="AFE96" s="20" t="n">
        <f aca="false">(AME95-UR96+0)*(1+BQ96)</f>
        <v>0</v>
      </c>
      <c r="AFF96" s="20" t="n">
        <f aca="false">(AMF95-US96+0)*(1+BQ96)</f>
        <v>0</v>
      </c>
      <c r="AFG96" s="20" t="n">
        <f aca="false">(AMG95-UT96+0)*(1+BQ96)</f>
        <v>0</v>
      </c>
      <c r="AFH96" s="20" t="n">
        <f aca="false">(AMH95-UU96+0)*(1+BQ96)</f>
        <v>0</v>
      </c>
      <c r="AFI96" s="20" t="n">
        <f aca="false">(AMI95-UV96+0)*(1+BQ96)</f>
        <v>0</v>
      </c>
      <c r="AFJ96" s="20" t="n">
        <f aca="false">(AMJ95-UW96+0)*(1+BQ96)</f>
        <v>0</v>
      </c>
      <c r="AFK96" s="20" t="n">
        <f aca="false">(AMK95-UX96+0)*(1+BQ96)</f>
        <v>0</v>
      </c>
      <c r="AFL96" s="20" t="n">
        <f aca="false">(AML95-UY96+0)*(1+BQ96)</f>
        <v>0</v>
      </c>
      <c r="AFM96" s="20" t="n">
        <f aca="false">(AMM95-UZ96+0)*(1+BQ96)</f>
        <v>0</v>
      </c>
      <c r="AFN96" s="20" t="n">
        <f aca="false">(AMN95-VA96+0)*(1+BQ96)</f>
        <v>0</v>
      </c>
      <c r="AFO96" s="20" t="n">
        <f aca="false">(AMO95-VB96+0)*(1+BQ96)</f>
        <v>0</v>
      </c>
      <c r="AFP96" s="20" t="n">
        <f aca="false">(AMP95-VC96+0)*(1+BQ96)</f>
        <v>0</v>
      </c>
      <c r="AFQ96" s="20" t="n">
        <f aca="false">(AMQ95-VD96+0)*(1+BQ96)</f>
        <v>0</v>
      </c>
      <c r="AFR96" s="20" t="n">
        <f aca="false">(AMR95-VE96+0)*(1+BQ96)</f>
        <v>0</v>
      </c>
      <c r="AFS96" s="20" t="n">
        <f aca="false">(AMS95-VF96+0)*(1+BQ96)</f>
        <v>0</v>
      </c>
      <c r="AFT96" s="20" t="n">
        <f aca="false">(AMT95-VG96+0)*(1+BQ96)</f>
        <v>0</v>
      </c>
      <c r="AFU96" s="20" t="n">
        <f aca="false">(AMU95-VH96+0)*(1+BQ96)</f>
        <v>0</v>
      </c>
      <c r="AFV96" s="20" t="n">
        <f aca="false">(AMV95-VI96+0)*(1+BQ96)</f>
        <v>0</v>
      </c>
      <c r="AFW96" s="20" t="n">
        <f aca="false">(AMW95-VJ96+0)*(1+BQ96)</f>
        <v>0</v>
      </c>
      <c r="AFX96" s="20" t="n">
        <f aca="false">(AMX95-VK96+0)*(1+BQ96)</f>
        <v>0</v>
      </c>
      <c r="AFY96" s="20" t="n">
        <f aca="false">(AMY95-VL96+0)*(1+BQ96)</f>
        <v>0</v>
      </c>
      <c r="AFZ96" s="20" t="n">
        <f aca="false">(AMZ95-VM96+0)*(1+BQ96)</f>
        <v>0</v>
      </c>
      <c r="AGA96" s="20" t="n">
        <f aca="false">(ANA95-VN96+0)*(1+BQ96)</f>
        <v>0</v>
      </c>
      <c r="AGB96" s="20" t="n">
        <f aca="false">(ANB95-VO96+0)*(1+BQ96)</f>
        <v>0</v>
      </c>
      <c r="AGC96" s="20" t="n">
        <f aca="false">(ANC95-VP96+0)*(1+BQ96)</f>
        <v>0</v>
      </c>
      <c r="AGD96" s="20" t="n">
        <f aca="false">(AND95-VQ96+0)*(1+BQ96)</f>
        <v>0</v>
      </c>
      <c r="AGE96" s="20" t="n">
        <f aca="false">(ANE95-VR96+0)*(1+BQ96)</f>
        <v>0</v>
      </c>
      <c r="AGF96" s="20" t="n">
        <f aca="false">(ANF95-VS96+0)*(1+BQ96)</f>
        <v>0</v>
      </c>
      <c r="AGG96" s="20" t="n">
        <f aca="false">(ANG95-VT96+0)*(1+BQ96)</f>
        <v>0</v>
      </c>
      <c r="AGH96" s="20" t="n">
        <f aca="false">(ANH95-VU96+0)*(1+BQ96)</f>
        <v>0</v>
      </c>
      <c r="AGI96" s="20" t="n">
        <f aca="false">(ANI95-VV96+0)*(1+BQ96)</f>
        <v>0</v>
      </c>
      <c r="AGJ96" s="20" t="n">
        <f aca="false">(ANJ95-VW96+0)*(1+BQ96)</f>
        <v>0</v>
      </c>
      <c r="AGK96" s="20" t="n">
        <f aca="false">(ANK95-VX96+0)*(1+BQ96)</f>
        <v>0</v>
      </c>
      <c r="AGL96" s="20" t="n">
        <f aca="false">(ANL95-VY96+0)*(1+BQ96)</f>
        <v>0</v>
      </c>
      <c r="AGM96" s="20" t="n">
        <f aca="false">(ANM95-VZ96+0)*(1+BQ96)</f>
        <v>0</v>
      </c>
      <c r="AGN96" s="20" t="n">
        <f aca="false">(ANN95-WA96+0)*(1+BQ96)</f>
        <v>0</v>
      </c>
      <c r="AGO96" s="20" t="n">
        <f aca="false">(ANO95-WB96+0)*(1+BQ96)</f>
        <v>0</v>
      </c>
      <c r="AGP96" s="20" t="n">
        <f aca="false">(ANP95-WC96+0)*(1+BQ96)</f>
        <v>0</v>
      </c>
      <c r="AGQ96" s="20" t="n">
        <f aca="false">(ANQ95-WD96+0)*(1+BQ96)</f>
        <v>0</v>
      </c>
      <c r="AGR96" s="20" t="n">
        <f aca="false">(ANR95-WE96+0)*(1+BQ96)</f>
        <v>0</v>
      </c>
      <c r="AGS96" s="20" t="n">
        <f aca="false">(ANS95-WF96+0)*(1+BQ96)</f>
        <v>0</v>
      </c>
      <c r="AGT96" s="20" t="n">
        <f aca="false">(ANT95-WG96+0)*(1+BQ96)</f>
        <v>0</v>
      </c>
      <c r="AGU96" s="20" t="n">
        <f aca="false">(ANU95-WH96+0)*(1+BQ96)</f>
        <v>0</v>
      </c>
      <c r="AGV96" s="20" t="n">
        <f aca="false">(ANV95-WI96+0)*(1+BQ96)</f>
        <v>0</v>
      </c>
      <c r="AGW96" s="20" t="n">
        <f aca="false">(ANW95-WJ96+0)*(1+BQ96)</f>
        <v>0</v>
      </c>
      <c r="AGX96" s="20" t="n">
        <f aca="false">(ANX95-WK96+0)*(1+BQ96)</f>
        <v>0</v>
      </c>
      <c r="AGY96" s="20" t="n">
        <f aca="false">(ANY95-WL96+0)*(1+BQ96)</f>
        <v>0</v>
      </c>
      <c r="AGZ96" s="20" t="n">
        <f aca="false">(ANZ95-WM96+0)*(1+BQ96)</f>
        <v>0</v>
      </c>
      <c r="AHA96" s="20" t="n">
        <f aca="false">(AOA95-WN96+0)*(1+BQ96)</f>
        <v>0</v>
      </c>
      <c r="AHB96" s="20" t="n">
        <f aca="false">(AOB95-WO96+0)*(1+BQ96)</f>
        <v>0</v>
      </c>
      <c r="AHC96" s="20" t="n">
        <f aca="false">((P96+S96)-WP96+BE96)*(1+BQ96)</f>
        <v>0</v>
      </c>
      <c r="AHD96" s="20" t="n">
        <v>0</v>
      </c>
      <c r="AHE96" s="20" t="n">
        <f aca="false">IF(AKR95&gt;0,AOE95-AOE95*TE96/AKR95,0)+0</f>
        <v>0</v>
      </c>
      <c r="AHF96" s="20" t="n">
        <f aca="false">IF(AKS95&gt;0,AOF95-AOF95*TF96/AKS95,0)+0</f>
        <v>0</v>
      </c>
      <c r="AHG96" s="20" t="n">
        <f aca="false">IF(AKT95&gt;0,AOG95-AOG95*TG96/AKT95,0)+0</f>
        <v>0</v>
      </c>
      <c r="AHH96" s="20" t="n">
        <f aca="false">IF(AKU95&gt;0,AOH95-AOH95*TH96/AKU95,0)+0</f>
        <v>0</v>
      </c>
      <c r="AHI96" s="20" t="n">
        <f aca="false">IF(AKV95&gt;0,AOI95-AOI95*TI96/AKV95,0)+0</f>
        <v>0</v>
      </c>
      <c r="AHJ96" s="20" t="n">
        <f aca="false">IF(AKW95&gt;0,AOJ95-AOJ95*TJ96/AKW95,0)+0</f>
        <v>0</v>
      </c>
      <c r="AHK96" s="20" t="n">
        <f aca="false">IF(AKX95&gt;0,AOK95-AOK95*TK96/AKX95,0)+0</f>
        <v>0</v>
      </c>
      <c r="AHL96" s="20" t="n">
        <f aca="false">IF(AKY95&gt;0,AOL95-AOL95*TL96/AKY95,0)+0</f>
        <v>0</v>
      </c>
      <c r="AHM96" s="20" t="n">
        <f aca="false">IF(AKZ95&gt;0,AOM95-AOM95*TM96/AKZ95,0)+0</f>
        <v>0</v>
      </c>
      <c r="AHN96" s="20" t="n">
        <f aca="false">IF(ALA95&gt;0,AON95-AON95*TN96/ALA95,0)+0</f>
        <v>0</v>
      </c>
      <c r="AHO96" s="20" t="n">
        <f aca="false">IF(ALB95&gt;0,AOO95-AOO95*TO96/ALB95,0)+0</f>
        <v>0</v>
      </c>
      <c r="AHP96" s="20" t="n">
        <f aca="false">IF(ALC95&gt;0,AOP95-AOP95*TP96/ALC95,0)+0</f>
        <v>0</v>
      </c>
      <c r="AHQ96" s="20" t="n">
        <f aca="false">IF(ALD95&gt;0,AOQ95-AOQ95*TQ96/ALD95,0)+0</f>
        <v>0</v>
      </c>
      <c r="AHR96" s="20" t="n">
        <f aca="false">IF(ALE95&gt;0,AOR95-AOR95*TR96/ALE95,0)+0</f>
        <v>0</v>
      </c>
      <c r="AHS96" s="20" t="n">
        <f aca="false">IF(ALF95&gt;0,AOS95-AOS95*TS96/ALF95,0)+0</f>
        <v>0</v>
      </c>
      <c r="AHT96" s="20" t="n">
        <f aca="false">IF(ALG95&gt;0,AOT95-AOT95*TT96/ALG95,0)+0</f>
        <v>0</v>
      </c>
      <c r="AHU96" s="20" t="n">
        <f aca="false">IF(ALH95&gt;0,AOU95-AOU95*TU96/ALH95,0)+0</f>
        <v>0</v>
      </c>
      <c r="AHV96" s="20" t="n">
        <f aca="false">IF(ALI95&gt;0,AOV95-AOV95*TV96/ALI95,0)+0</f>
        <v>0</v>
      </c>
      <c r="AHW96" s="20" t="n">
        <f aca="false">IF(ALJ95&gt;0,AOW95-AOW95*TW96/ALJ95,0)+0</f>
        <v>0</v>
      </c>
      <c r="AHX96" s="20" t="n">
        <f aca="false">IF(ALK95&gt;0,AOX95-AOX95*TX96/ALK95,0)+0</f>
        <v>0</v>
      </c>
      <c r="AHY96" s="20" t="n">
        <f aca="false">IF(ALL95&gt;0,AOY95-AOY95*TY96/ALL95,0)+0</f>
        <v>0</v>
      </c>
      <c r="AHZ96" s="20" t="n">
        <f aca="false">IF(ALM95&gt;0,AOZ95-AOZ95*TZ96/ALM95,0)+0</f>
        <v>0</v>
      </c>
      <c r="AIA96" s="20" t="n">
        <f aca="false">IF(ALN95&gt;0,APA95-APA95*UA96/ALN95,0)+0</f>
        <v>0</v>
      </c>
      <c r="AIB96" s="20" t="n">
        <f aca="false">IF(ALO95&gt;0,APB95-APB95*UB96/ALO95,0)+0</f>
        <v>0</v>
      </c>
      <c r="AIC96" s="20" t="n">
        <f aca="false">IF(ALP95&gt;0,APC95-APC95*UC96/ALP95,0)+0</f>
        <v>0</v>
      </c>
      <c r="AID96" s="20" t="n">
        <f aca="false">IF(ALQ95&gt;0,APD95-APD95*UD96/ALQ95,0)+0</f>
        <v>0</v>
      </c>
      <c r="AIE96" s="20" t="n">
        <f aca="false">IF(ALR95&gt;0,APE95-APE95*UE96/ALR95,0)+0</f>
        <v>0</v>
      </c>
      <c r="AIF96" s="20" t="n">
        <f aca="false">IF(ALS95&gt;0,APF95-APF95*UF96/ALS95,0)+0</f>
        <v>0</v>
      </c>
      <c r="AIG96" s="20" t="n">
        <f aca="false">IF(ALT95&gt;0,APG95-APG95*UG96/ALT95,0)+0</f>
        <v>0</v>
      </c>
      <c r="AIH96" s="20" t="n">
        <f aca="false">IF(ALU95&gt;0,APH95-APH95*UH96/ALU95,0)+0</f>
        <v>0</v>
      </c>
      <c r="AII96" s="20" t="n">
        <f aca="false">IF(ALV95&gt;0,API95-API95*UI96/ALV95,0)+0</f>
        <v>0</v>
      </c>
      <c r="AIJ96" s="20" t="n">
        <f aca="false">IF(ALW95&gt;0,APJ95-APJ95*UJ96/ALW95,0)+0</f>
        <v>0</v>
      </c>
      <c r="AIK96" s="20" t="n">
        <f aca="false">IF(ALX95&gt;0,APK95-APK95*UK96/ALX95,0)+0</f>
        <v>0</v>
      </c>
      <c r="AIL96" s="20" t="n">
        <f aca="false">IF(ALY95&gt;0,APL95-APL95*UL96/ALY95,0)+0</f>
        <v>0</v>
      </c>
      <c r="AIM96" s="20" t="n">
        <f aca="false">IF(ALZ95&gt;0,APM95-APM95*UM96/ALZ95,0)+0</f>
        <v>0</v>
      </c>
      <c r="AIN96" s="20" t="n">
        <f aca="false">IF(AMA95&gt;0,APN95-APN95*UN96/AMA95,0)+0</f>
        <v>0</v>
      </c>
      <c r="AIO96" s="20" t="n">
        <f aca="false">IF(AMB95&gt;0,APO95-APO95*UO96/AMB95,0)+0</f>
        <v>0</v>
      </c>
      <c r="AIP96" s="20" t="n">
        <f aca="false">IF(AMC95&gt;0,APP95-APP95*UP96/AMC95,0)+0</f>
        <v>0</v>
      </c>
      <c r="AIQ96" s="20" t="n">
        <f aca="false">IF(AMD95&gt;0,APQ95-APQ95*UQ96/AMD95,0)+0</f>
        <v>0</v>
      </c>
      <c r="AIR96" s="20" t="n">
        <f aca="false">IF(AME95&gt;0,APR95-APR95*UR96/AME95,0)+0</f>
        <v>0</v>
      </c>
      <c r="AIS96" s="20" t="n">
        <f aca="false">IF(AMF95&gt;0,APS95-APS95*US96/AMF95,0)+0</f>
        <v>0</v>
      </c>
      <c r="AIT96" s="20" t="n">
        <f aca="false">IF(AMG95&gt;0,APT95-APT95*UT96/AMG95,0)+0</f>
        <v>0</v>
      </c>
      <c r="AIU96" s="20" t="n">
        <f aca="false">IF(AMH95&gt;0,APU95-APU95*UU96/AMH95,0)+0</f>
        <v>0</v>
      </c>
      <c r="AIV96" s="20" t="n">
        <f aca="false">IF(AMI95&gt;0,APV95-APV95*UV96/AMI95,0)+0</f>
        <v>0</v>
      </c>
      <c r="AIW96" s="20" t="n">
        <f aca="false">IF(AMJ95&gt;0,APW95-APW95*UW96/AMJ95,0)+0</f>
        <v>0</v>
      </c>
      <c r="AIX96" s="20" t="n">
        <f aca="false">IF(AMK95&gt;0,APX95-APX95*UX96/AMK95,0)+0</f>
        <v>0</v>
      </c>
      <c r="AIY96" s="20" t="n">
        <f aca="false">IF(AML95&gt;0,APY95-APY95*UY96/AML95,0)+0</f>
        <v>0</v>
      </c>
      <c r="AIZ96" s="20" t="n">
        <f aca="false">IF(AMM95&gt;0,APZ95-APZ95*UZ96/AMM95,0)+0</f>
        <v>0</v>
      </c>
      <c r="AJA96" s="20" t="n">
        <f aca="false">IF(AMN95&gt;0,AQA95-AQA95*VA96/AMN95,0)+0</f>
        <v>0</v>
      </c>
      <c r="AJB96" s="20" t="n">
        <f aca="false">IF(AMO95&gt;0,AQB95-AQB95*VB96/AMO95,0)+0</f>
        <v>0</v>
      </c>
      <c r="AJC96" s="20" t="n">
        <f aca="false">IF(AMP95&gt;0,AQC95-AQC95*VC96/AMP95,0)+0</f>
        <v>0</v>
      </c>
      <c r="AJD96" s="20" t="n">
        <f aca="false">IF(AMQ95&gt;0,AQD95-AQD95*VD96/AMQ95,0)+0</f>
        <v>0</v>
      </c>
      <c r="AJE96" s="20" t="n">
        <f aca="false">IF(AMR95&gt;0,AQE95-AQE95*VE96/AMR95,0)+0</f>
        <v>0</v>
      </c>
      <c r="AJF96" s="20" t="n">
        <f aca="false">IF(AMS95&gt;0,AQF95-AQF95*VF96/AMS95,0)+0</f>
        <v>0</v>
      </c>
      <c r="AJG96" s="20" t="n">
        <f aca="false">IF(AMT95&gt;0,AQG95-AQG95*VG96/AMT95,0)+0</f>
        <v>0</v>
      </c>
      <c r="AJH96" s="20" t="n">
        <f aca="false">IF(AMU95&gt;0,AQH95-AQH95*VH96/AMU95,0)+0</f>
        <v>0</v>
      </c>
      <c r="AJI96" s="20" t="n">
        <f aca="false">IF(AMV95&gt;0,AQI95-AQI95*VI96/AMV95,0)+0</f>
        <v>0</v>
      </c>
      <c r="AJJ96" s="20" t="n">
        <f aca="false">IF(AMW95&gt;0,AQJ95-AQJ95*VJ96/AMW95,0)+0</f>
        <v>0</v>
      </c>
      <c r="AJK96" s="20" t="n">
        <f aca="false">IF(AMX95&gt;0,AQK95-AQK95*VK96/AMX95,0)+0</f>
        <v>0</v>
      </c>
      <c r="AJL96" s="20" t="n">
        <f aca="false">IF(AMY95&gt;0,AQL95-AQL95*VL96/AMY95,0)+0</f>
        <v>0</v>
      </c>
      <c r="AJM96" s="20" t="n">
        <f aca="false">IF(AMZ95&gt;0,AQM95-AQM95*VM96/AMZ95,0)+0</f>
        <v>0</v>
      </c>
      <c r="AJN96" s="20" t="n">
        <f aca="false">IF(ANA95&gt;0,AQN95-AQN95*VN96/ANA95,0)+0</f>
        <v>0</v>
      </c>
      <c r="AJO96" s="20" t="n">
        <f aca="false">IF(ANB95&gt;0,AQO95-AQO95*VO96/ANB95,0)+0</f>
        <v>0</v>
      </c>
      <c r="AJP96" s="20" t="n">
        <f aca="false">IF(ANC95&gt;0,AQP95-AQP95*VP96/ANC95,0)+0</f>
        <v>0</v>
      </c>
      <c r="AJQ96" s="20" t="n">
        <f aca="false">IF(AND95&gt;0,AQQ95-AQQ95*VQ96/AND95,0)+0</f>
        <v>0</v>
      </c>
      <c r="AJR96" s="20" t="n">
        <f aca="false">IF(ANE95&gt;0,AQR95-AQR95*VR96/ANE95,0)+0</f>
        <v>0</v>
      </c>
      <c r="AJS96" s="20" t="n">
        <f aca="false">IF(ANF95&gt;0,AQS95-AQS95*VS96/ANF95,0)+0</f>
        <v>0</v>
      </c>
      <c r="AJT96" s="20" t="n">
        <f aca="false">IF(ANG95&gt;0,AQT95-AQT95*VT96/ANG95,0)+0</f>
        <v>0</v>
      </c>
      <c r="AJU96" s="20" t="n">
        <f aca="false">IF(ANH95&gt;0,AQU95-AQU95*VU96/ANH95,0)+0</f>
        <v>0</v>
      </c>
      <c r="AJV96" s="20" t="n">
        <f aca="false">IF(ANI95&gt;0,AQV95-AQV95*VV96/ANI95,0)+0</f>
        <v>0</v>
      </c>
      <c r="AJW96" s="20" t="n">
        <f aca="false">IF(ANJ95&gt;0,AQW95-AQW95*VW96/ANJ95,0)+0</f>
        <v>0</v>
      </c>
      <c r="AJX96" s="20" t="n">
        <f aca="false">IF(ANK95&gt;0,AQX95-AQX95*VX96/ANK95,0)+0</f>
        <v>0</v>
      </c>
      <c r="AJY96" s="20" t="n">
        <f aca="false">IF(ANL95&gt;0,AQY95-AQY95*VY96/ANL95,0)+0</f>
        <v>0</v>
      </c>
      <c r="AJZ96" s="20" t="n">
        <f aca="false">IF(ANM95&gt;0,AQZ95-AQZ95*VZ96/ANM95,0)+0</f>
        <v>0</v>
      </c>
      <c r="AKA96" s="20" t="n">
        <f aca="false">IF(ANN95&gt;0,ARA95-ARA95*WA96/ANN95,0)+0</f>
        <v>0</v>
      </c>
      <c r="AKB96" s="20" t="n">
        <f aca="false">IF(ANO95&gt;0,ARB95-ARB95*WB96/ANO95,0)+0</f>
        <v>0</v>
      </c>
      <c r="AKC96" s="20" t="n">
        <f aca="false">IF(ANP95&gt;0,ARC95-ARC95*WC96/ANP95,0)+0</f>
        <v>0</v>
      </c>
      <c r="AKD96" s="20" t="n">
        <f aca="false">IF(ANQ95&gt;0,ARD95-ARD95*WD96/ANQ95,0)+0</f>
        <v>0</v>
      </c>
      <c r="AKE96" s="20" t="n">
        <f aca="false">IF(ANR95&gt;0,ARE95-ARE95*WE96/ANR95,0)+0</f>
        <v>0</v>
      </c>
      <c r="AKF96" s="20" t="n">
        <f aca="false">IF(ANS95&gt;0,ARF95-ARF95*WF96/ANS95,0)+0</f>
        <v>0</v>
      </c>
      <c r="AKG96" s="20" t="n">
        <f aca="false">IF(ANT95&gt;0,ARG95-ARG95*WG96/ANT95,0)+0</f>
        <v>0</v>
      </c>
      <c r="AKH96" s="20" t="n">
        <f aca="false">IF(ANU95&gt;0,ARH95-ARH95*WH96/ANU95,0)+0</f>
        <v>0</v>
      </c>
      <c r="AKI96" s="20" t="n">
        <f aca="false">IF(ANV95&gt;0,ARI95-ARI95*WI96/ANV95,0)+0</f>
        <v>0</v>
      </c>
      <c r="AKJ96" s="20" t="n">
        <f aca="false">IF(ANW95&gt;0,ARJ95-ARJ95*WJ96/ANW95,0)+0</f>
        <v>0</v>
      </c>
      <c r="AKK96" s="20" t="n">
        <f aca="false">IF(ANX95&gt;0,ARK95-ARK95*WK96/ANX95,0)+0</f>
        <v>0</v>
      </c>
      <c r="AKL96" s="20" t="n">
        <f aca="false">IF(ANY95&gt;0,ARL95-ARL95*WL96/ANY95,0)+0</f>
        <v>0</v>
      </c>
      <c r="AKM96" s="20" t="n">
        <f aca="false">IF(ANZ95&gt;0,ARM95-ARM95*WM96/ANZ95,0)+0</f>
        <v>0</v>
      </c>
      <c r="AKN96" s="20" t="n">
        <f aca="false">IF(AOA95&gt;0,ARN95-ARN95*WN96/AOA95,0)+0</f>
        <v>0</v>
      </c>
      <c r="AKO96" s="20" t="n">
        <f aca="false">IF(AOB95&gt;0,ARO95-ARO95*WO96/AOB95,0)+0</f>
        <v>0</v>
      </c>
      <c r="AKP96" s="20" t="n">
        <f aca="false">IF((P96+S96)&gt;0,(P96+S96)-(P96+S96)*WP96/(P96+S96),0)+BE96</f>
        <v>0</v>
      </c>
      <c r="AKQ96" s="20" t="n">
        <v>0</v>
      </c>
      <c r="AKR96" s="20" t="n">
        <f aca="false">ADR96-AVE96</f>
        <v>0</v>
      </c>
      <c r="AKS96" s="20" t="n">
        <f aca="false">ADS96-AVF96</f>
        <v>0</v>
      </c>
      <c r="AKT96" s="20" t="n">
        <f aca="false">ADT96-AVG96</f>
        <v>0</v>
      </c>
      <c r="AKU96" s="20" t="n">
        <f aca="false">ADU96-AVH96</f>
        <v>0</v>
      </c>
      <c r="AKV96" s="20" t="n">
        <f aca="false">ADV96-AVI96</f>
        <v>0</v>
      </c>
      <c r="AKW96" s="20" t="n">
        <f aca="false">ADW96-AVJ96</f>
        <v>0</v>
      </c>
      <c r="AKX96" s="20" t="n">
        <f aca="false">ADX96-AVK96</f>
        <v>0</v>
      </c>
      <c r="AKY96" s="20" t="n">
        <f aca="false">ADY96-AVL96</f>
        <v>0</v>
      </c>
      <c r="AKZ96" s="20" t="n">
        <f aca="false">ADZ96-AVM96</f>
        <v>0</v>
      </c>
      <c r="ALA96" s="20" t="n">
        <f aca="false">AEA96-AVN96</f>
        <v>0</v>
      </c>
      <c r="ALB96" s="20" t="n">
        <f aca="false">AEB96-AVO96</f>
        <v>0</v>
      </c>
      <c r="ALC96" s="20" t="n">
        <f aca="false">AEC96-AVP96</f>
        <v>0</v>
      </c>
      <c r="ALD96" s="20" t="n">
        <f aca="false">AED96-AVQ96</f>
        <v>0</v>
      </c>
      <c r="ALE96" s="20" t="n">
        <f aca="false">AEE96-AVR96</f>
        <v>0</v>
      </c>
      <c r="ALF96" s="20" t="n">
        <f aca="false">AEF96-AVS96</f>
        <v>0</v>
      </c>
      <c r="ALG96" s="20" t="n">
        <f aca="false">AEG96-AVT96</f>
        <v>0</v>
      </c>
      <c r="ALH96" s="20" t="n">
        <f aca="false">AEH96-AVU96</f>
        <v>0</v>
      </c>
      <c r="ALI96" s="20" t="n">
        <f aca="false">AEI96-AVV96</f>
        <v>0</v>
      </c>
      <c r="ALJ96" s="20" t="n">
        <f aca="false">AEJ96-AVW96</f>
        <v>0</v>
      </c>
      <c r="ALK96" s="20" t="n">
        <f aca="false">AEK96-AVX96</f>
        <v>0</v>
      </c>
      <c r="ALL96" s="20" t="n">
        <f aca="false">AEL96-AVY96</f>
        <v>0</v>
      </c>
      <c r="ALM96" s="20" t="n">
        <f aca="false">AEM96-AVZ96</f>
        <v>0</v>
      </c>
      <c r="ALN96" s="20" t="n">
        <f aca="false">AEN96-AWA96</f>
        <v>0</v>
      </c>
      <c r="ALO96" s="20" t="n">
        <f aca="false">AEO96-AWB96</f>
        <v>0</v>
      </c>
      <c r="ALP96" s="20" t="n">
        <f aca="false">AEP96-AWC96</f>
        <v>0</v>
      </c>
      <c r="ALQ96" s="20" t="n">
        <f aca="false">AEQ96-AWD96</f>
        <v>0</v>
      </c>
      <c r="ALR96" s="20" t="n">
        <f aca="false">AER96-AWE96</f>
        <v>0</v>
      </c>
      <c r="ALS96" s="20" t="n">
        <f aca="false">AES96-AWF96</f>
        <v>0</v>
      </c>
      <c r="ALT96" s="20" t="n">
        <f aca="false">AET96-AWG96</f>
        <v>0</v>
      </c>
      <c r="ALU96" s="20" t="n">
        <f aca="false">AEU96-AWH96</f>
        <v>0</v>
      </c>
      <c r="ALV96" s="20" t="n">
        <f aca="false">AEV96-AWI96</f>
        <v>0</v>
      </c>
      <c r="ALW96" s="20" t="n">
        <f aca="false">AEW96-AWJ96</f>
        <v>0</v>
      </c>
      <c r="ALX96" s="20" t="n">
        <f aca="false">AEX96-AWK96</f>
        <v>0</v>
      </c>
      <c r="ALY96" s="20" t="n">
        <f aca="false">AEY96-AWL96</f>
        <v>0</v>
      </c>
      <c r="ALZ96" s="20" t="n">
        <f aca="false">AEZ96-AWM96</f>
        <v>0</v>
      </c>
      <c r="AMA96" s="20" t="n">
        <f aca="false">AFA96-AWN96</f>
        <v>0</v>
      </c>
      <c r="AMB96" s="20" t="n">
        <f aca="false">AFB96-AWO96</f>
        <v>0</v>
      </c>
      <c r="AMC96" s="20" t="n">
        <f aca="false">AFC96-AWP96</f>
        <v>0</v>
      </c>
      <c r="AMD96" s="20" t="n">
        <f aca="false">AFD96-AWQ96</f>
        <v>0</v>
      </c>
      <c r="AME96" s="20" t="n">
        <f aca="false">AFE96-AWR96</f>
        <v>0</v>
      </c>
      <c r="AMF96" s="20" t="n">
        <f aca="false">AFF96-AWS96</f>
        <v>0</v>
      </c>
      <c r="AMG96" s="20" t="n">
        <f aca="false">AFG96-AWT96</f>
        <v>0</v>
      </c>
      <c r="AMH96" s="20" t="n">
        <f aca="false">AFH96-AWU96</f>
        <v>0</v>
      </c>
      <c r="AMI96" s="20" t="n">
        <f aca="false">AFI96-AWV96</f>
        <v>0</v>
      </c>
      <c r="AMJ96" s="20" t="n">
        <f aca="false">AFJ96-AWW96</f>
        <v>0</v>
      </c>
      <c r="AMK96" s="20" t="n">
        <f aca="false">AFK96-AWX96</f>
        <v>0</v>
      </c>
      <c r="AML96" s="20" t="n">
        <f aca="false">AFL96-AWY96</f>
        <v>0</v>
      </c>
      <c r="AMM96" s="20" t="n">
        <f aca="false">AFM96-AWZ96</f>
        <v>0</v>
      </c>
      <c r="AMN96" s="20" t="n">
        <f aca="false">AFN96-AXA96</f>
        <v>0</v>
      </c>
      <c r="AMO96" s="20" t="n">
        <f aca="false">AFO96-AXB96</f>
        <v>0</v>
      </c>
      <c r="AMP96" s="20" t="n">
        <f aca="false">AFP96-AXC96</f>
        <v>0</v>
      </c>
      <c r="AMQ96" s="20" t="n">
        <f aca="false">AFQ96-AXD96</f>
        <v>0</v>
      </c>
      <c r="AMR96" s="20" t="n">
        <f aca="false">AFR96-AXE96</f>
        <v>0</v>
      </c>
      <c r="AMS96" s="20" t="n">
        <f aca="false">AFS96-AXF96</f>
        <v>0</v>
      </c>
      <c r="AMT96" s="20" t="n">
        <f aca="false">AFT96-AXG96</f>
        <v>0</v>
      </c>
      <c r="AMU96" s="20" t="n">
        <f aca="false">AFU96-AXH96</f>
        <v>0</v>
      </c>
      <c r="AMV96" s="20" t="n">
        <f aca="false">AFV96-AXI96</f>
        <v>0</v>
      </c>
      <c r="AMW96" s="20" t="n">
        <f aca="false">AFW96-AXJ96</f>
        <v>0</v>
      </c>
      <c r="AMX96" s="20" t="n">
        <f aca="false">AFX96-AXK96</f>
        <v>0</v>
      </c>
      <c r="AMY96" s="20" t="n">
        <f aca="false">AFY96-AXL96</f>
        <v>0</v>
      </c>
      <c r="AMZ96" s="20" t="n">
        <f aca="false">AFZ96-AXM96</f>
        <v>0</v>
      </c>
      <c r="ANA96" s="20" t="n">
        <f aca="false">AGA96-AXN96</f>
        <v>0</v>
      </c>
      <c r="ANB96" s="20" t="n">
        <f aca="false">AGB96-AXO96</f>
        <v>0</v>
      </c>
      <c r="ANC96" s="20" t="n">
        <f aca="false">AGC96-AXP96</f>
        <v>0</v>
      </c>
      <c r="AND96" s="20" t="n">
        <f aca="false">AGD96-AXQ96</f>
        <v>0</v>
      </c>
      <c r="ANE96" s="20" t="n">
        <f aca="false">AGE96-AXR96</f>
        <v>0</v>
      </c>
      <c r="ANF96" s="20" t="n">
        <f aca="false">AGF96-AXS96</f>
        <v>0</v>
      </c>
      <c r="ANG96" s="20" t="n">
        <f aca="false">AGG96-AXT96</f>
        <v>0</v>
      </c>
      <c r="ANH96" s="20" t="n">
        <f aca="false">AGH96-AXU96</f>
        <v>0</v>
      </c>
      <c r="ANI96" s="20" t="n">
        <f aca="false">AGI96-AXV96</f>
        <v>0</v>
      </c>
      <c r="ANJ96" s="20" t="n">
        <f aca="false">AGJ96-AXW96</f>
        <v>0</v>
      </c>
      <c r="ANK96" s="20" t="n">
        <f aca="false">AGK96-AXX96</f>
        <v>0</v>
      </c>
      <c r="ANL96" s="20" t="n">
        <f aca="false">AGL96-AXY96</f>
        <v>0</v>
      </c>
      <c r="ANM96" s="20" t="n">
        <f aca="false">AGM96-AXZ96</f>
        <v>0</v>
      </c>
      <c r="ANN96" s="20" t="n">
        <f aca="false">AGN96-AYA96</f>
        <v>0</v>
      </c>
      <c r="ANO96" s="20" t="n">
        <f aca="false">AGO96-AYB96</f>
        <v>0</v>
      </c>
      <c r="ANP96" s="20" t="n">
        <f aca="false">AGP96-AYC96</f>
        <v>0</v>
      </c>
      <c r="ANQ96" s="20" t="n">
        <f aca="false">AGQ96-AYD96</f>
        <v>0</v>
      </c>
      <c r="ANR96" s="20" t="n">
        <f aca="false">AGR96-AYE96</f>
        <v>0</v>
      </c>
      <c r="ANS96" s="20" t="n">
        <f aca="false">AGS96-AYF96</f>
        <v>0</v>
      </c>
      <c r="ANT96" s="20" t="n">
        <f aca="false">AGT96-AYG96</f>
        <v>0</v>
      </c>
      <c r="ANU96" s="20" t="n">
        <f aca="false">AGU96-AYH96</f>
        <v>0</v>
      </c>
      <c r="ANV96" s="20" t="n">
        <f aca="false">AGV96-AYI96</f>
        <v>0</v>
      </c>
      <c r="ANW96" s="20" t="n">
        <f aca="false">AGW96-AYJ96</f>
        <v>0</v>
      </c>
      <c r="ANX96" s="20" t="n">
        <f aca="false">AGX96-AYK96</f>
        <v>0</v>
      </c>
      <c r="ANY96" s="20" t="n">
        <f aca="false">AGY96-AYL96</f>
        <v>0</v>
      </c>
      <c r="ANZ96" s="20" t="n">
        <f aca="false">AGZ96-AYM96</f>
        <v>0</v>
      </c>
      <c r="AOA96" s="20" t="n">
        <f aca="false">AHA96-AYN96</f>
        <v>0</v>
      </c>
      <c r="AOB96" s="20" t="n">
        <f aca="false">AHB96-AYO96</f>
        <v>0</v>
      </c>
      <c r="AOC96" s="20" t="n">
        <f aca="false">AHC96-AYP96</f>
        <v>0</v>
      </c>
      <c r="AOD96" s="20" t="n">
        <v>0</v>
      </c>
      <c r="AOE96" s="20" t="n">
        <f aca="false">IF(AND(H_Direct=0,H_TaxEvt=1,ARR95+1&gt;=H_Deemed),AKR96,AHE96)</f>
        <v>0</v>
      </c>
      <c r="AOF96" s="20" t="n">
        <f aca="false">IF(AND(H_Direct=0,H_TaxEvt=1,ARS95+1&gt;=H_Deemed),AKS96,AHF96)</f>
        <v>0</v>
      </c>
      <c r="AOG96" s="20" t="n">
        <f aca="false">IF(AND(H_Direct=0,H_TaxEvt=1,ART95+1&gt;=H_Deemed),AKT96,AHG96)</f>
        <v>0</v>
      </c>
      <c r="AOH96" s="20" t="n">
        <f aca="false">IF(AND(H_Direct=0,H_TaxEvt=1,ARU95+1&gt;=H_Deemed),AKU96,AHH96)</f>
        <v>0</v>
      </c>
      <c r="AOI96" s="20" t="n">
        <f aca="false">IF(AND(H_Direct=0,H_TaxEvt=1,ARV95+1&gt;=H_Deemed),AKV96,AHI96)</f>
        <v>0</v>
      </c>
      <c r="AOJ96" s="20" t="n">
        <f aca="false">IF(AND(H_Direct=0,H_TaxEvt=1,ARW95+1&gt;=H_Deemed),AKW96,AHJ96)</f>
        <v>0</v>
      </c>
      <c r="AOK96" s="20" t="n">
        <f aca="false">IF(AND(H_Direct=0,H_TaxEvt=1,ARX95+1&gt;=H_Deemed),AKX96,AHK96)</f>
        <v>0</v>
      </c>
      <c r="AOL96" s="20" t="n">
        <f aca="false">IF(AND(H_Direct=0,H_TaxEvt=1,ARY95+1&gt;=H_Deemed),AKY96,AHL96)</f>
        <v>0</v>
      </c>
      <c r="AOM96" s="20" t="n">
        <f aca="false">IF(AND(H_Direct=0,H_TaxEvt=1,ARZ95+1&gt;=H_Deemed),AKZ96,AHM96)</f>
        <v>0</v>
      </c>
      <c r="AON96" s="20" t="n">
        <f aca="false">IF(AND(H_Direct=0,H_TaxEvt=1,ASA95+1&gt;=H_Deemed),ALA96,AHN96)</f>
        <v>0</v>
      </c>
      <c r="AOO96" s="20" t="n">
        <f aca="false">IF(AND(H_Direct=0,H_TaxEvt=1,ASB95+1&gt;=H_Deemed),ALB96,AHO96)</f>
        <v>0</v>
      </c>
      <c r="AOP96" s="20" t="n">
        <f aca="false">IF(AND(H_Direct=0,H_TaxEvt=1,ASC95+1&gt;=H_Deemed),ALC96,AHP96)</f>
        <v>0</v>
      </c>
      <c r="AOQ96" s="20" t="n">
        <f aca="false">IF(AND(H_Direct=0,H_TaxEvt=1,ASD95+1&gt;=H_Deemed),ALD96,AHQ96)</f>
        <v>0</v>
      </c>
      <c r="AOR96" s="20" t="n">
        <f aca="false">IF(AND(H_Direct=0,H_TaxEvt=1,ASE95+1&gt;=H_Deemed),ALE96,AHR96)</f>
        <v>0</v>
      </c>
      <c r="AOS96" s="20" t="n">
        <f aca="false">IF(AND(H_Direct=0,H_TaxEvt=1,ASF95+1&gt;=H_Deemed),ALF96,AHS96)</f>
        <v>0</v>
      </c>
      <c r="AOT96" s="20" t="n">
        <f aca="false">IF(AND(H_Direct=0,H_TaxEvt=1,ASG95+1&gt;=H_Deemed),ALG96,AHT96)</f>
        <v>0</v>
      </c>
      <c r="AOU96" s="20" t="n">
        <f aca="false">IF(AND(H_Direct=0,H_TaxEvt=1,ASH95+1&gt;=H_Deemed),ALH96,AHU96)</f>
        <v>0</v>
      </c>
      <c r="AOV96" s="20" t="n">
        <f aca="false">IF(AND(H_Direct=0,H_TaxEvt=1,ASI95+1&gt;=H_Deemed),ALI96,AHV96)</f>
        <v>0</v>
      </c>
      <c r="AOW96" s="20" t="n">
        <f aca="false">IF(AND(H_Direct=0,H_TaxEvt=1,ASJ95+1&gt;=H_Deemed),ALJ96,AHW96)</f>
        <v>0</v>
      </c>
      <c r="AOX96" s="20" t="n">
        <f aca="false">IF(AND(H_Direct=0,H_TaxEvt=1,ASK95+1&gt;=H_Deemed),ALK96,AHX96)</f>
        <v>0</v>
      </c>
      <c r="AOY96" s="20" t="n">
        <f aca="false">IF(AND(H_Direct=0,H_TaxEvt=1,ASL95+1&gt;=H_Deemed),ALL96,AHY96)</f>
        <v>0</v>
      </c>
      <c r="AOZ96" s="20" t="n">
        <f aca="false">IF(AND(H_Direct=0,H_TaxEvt=1,ASM95+1&gt;=H_Deemed),ALM96,AHZ96)</f>
        <v>0</v>
      </c>
      <c r="APA96" s="20" t="n">
        <f aca="false">IF(AND(H_Direct=0,H_TaxEvt=1,ASN95+1&gt;=H_Deemed),ALN96,AIA96)</f>
        <v>0</v>
      </c>
      <c r="APB96" s="20" t="n">
        <f aca="false">IF(AND(H_Direct=0,H_TaxEvt=1,ASO95+1&gt;=H_Deemed),ALO96,AIB96)</f>
        <v>0</v>
      </c>
      <c r="APC96" s="20" t="n">
        <f aca="false">IF(AND(H_Direct=0,H_TaxEvt=1,ASP95+1&gt;=H_Deemed),ALP96,AIC96)</f>
        <v>0</v>
      </c>
      <c r="APD96" s="20" t="n">
        <f aca="false">IF(AND(H_Direct=0,H_TaxEvt=1,ASQ95+1&gt;=H_Deemed),ALQ96,AID96)</f>
        <v>0</v>
      </c>
      <c r="APE96" s="20" t="n">
        <f aca="false">IF(AND(H_Direct=0,H_TaxEvt=1,ASR95+1&gt;=H_Deemed),ALR96,AIE96)</f>
        <v>0</v>
      </c>
      <c r="APF96" s="20" t="n">
        <f aca="false">IF(AND(H_Direct=0,H_TaxEvt=1,ASS95+1&gt;=H_Deemed),ALS96,AIF96)</f>
        <v>0</v>
      </c>
      <c r="APG96" s="20" t="n">
        <f aca="false">IF(AND(H_Direct=0,H_TaxEvt=1,AST95+1&gt;=H_Deemed),ALT96,AIG96)</f>
        <v>0</v>
      </c>
      <c r="APH96" s="20" t="n">
        <f aca="false">IF(AND(H_Direct=0,H_TaxEvt=1,ASU95+1&gt;=H_Deemed),ALU96,AIH96)</f>
        <v>0</v>
      </c>
      <c r="API96" s="20" t="n">
        <f aca="false">IF(AND(H_Direct=0,H_TaxEvt=1,ASV95+1&gt;=H_Deemed),ALV96,AII96)</f>
        <v>0</v>
      </c>
      <c r="APJ96" s="20" t="n">
        <f aca="false">IF(AND(H_Direct=0,H_TaxEvt=1,ASW95+1&gt;=H_Deemed),ALW96,AIJ96)</f>
        <v>0</v>
      </c>
      <c r="APK96" s="20" t="n">
        <f aca="false">IF(AND(H_Direct=0,H_TaxEvt=1,ASX95+1&gt;=H_Deemed),ALX96,AIK96)</f>
        <v>0</v>
      </c>
      <c r="APL96" s="20" t="n">
        <f aca="false">IF(AND(H_Direct=0,H_TaxEvt=1,ASY95+1&gt;=H_Deemed),ALY96,AIL96)</f>
        <v>0</v>
      </c>
      <c r="APM96" s="20" t="n">
        <f aca="false">IF(AND(H_Direct=0,H_TaxEvt=1,ASZ95+1&gt;=H_Deemed),ALZ96,AIM96)</f>
        <v>0</v>
      </c>
      <c r="APN96" s="20" t="n">
        <f aca="false">IF(AND(H_Direct=0,H_TaxEvt=1,ATA95+1&gt;=H_Deemed),AMA96,AIN96)</f>
        <v>0</v>
      </c>
      <c r="APO96" s="20" t="n">
        <f aca="false">IF(AND(H_Direct=0,H_TaxEvt=1,ATB95+1&gt;=H_Deemed),AMB96,AIO96)</f>
        <v>0</v>
      </c>
      <c r="APP96" s="20" t="n">
        <f aca="false">IF(AND(H_Direct=0,H_TaxEvt=1,ATC95+1&gt;=H_Deemed),AMC96,AIP96)</f>
        <v>0</v>
      </c>
      <c r="APQ96" s="20" t="n">
        <f aca="false">IF(AND(H_Direct=0,H_TaxEvt=1,ATD95+1&gt;=H_Deemed),AMD96,AIQ96)</f>
        <v>0</v>
      </c>
      <c r="APR96" s="20" t="n">
        <f aca="false">IF(AND(H_Direct=0,H_TaxEvt=1,ATE95+1&gt;=H_Deemed),AME96,AIR96)</f>
        <v>0</v>
      </c>
      <c r="APS96" s="20" t="n">
        <f aca="false">IF(AND(H_Direct=0,H_TaxEvt=1,ATF95+1&gt;=H_Deemed),AMF96,AIS96)</f>
        <v>0</v>
      </c>
      <c r="APT96" s="20" t="n">
        <f aca="false">IF(AND(H_Direct=0,H_TaxEvt=1,ATG95+1&gt;=H_Deemed),AMG96,AIT96)</f>
        <v>0</v>
      </c>
      <c r="APU96" s="20" t="n">
        <f aca="false">IF(AND(H_Direct=0,H_TaxEvt=1,ATH95+1&gt;=H_Deemed),AMH96,AIU96)</f>
        <v>0</v>
      </c>
      <c r="APV96" s="20" t="n">
        <f aca="false">IF(AND(H_Direct=0,H_TaxEvt=1,ATI95+1&gt;=H_Deemed),AMI96,AIV96)</f>
        <v>0</v>
      </c>
      <c r="APW96" s="20" t="n">
        <f aca="false">IF(AND(H_Direct=0,H_TaxEvt=1,ATJ95+1&gt;=H_Deemed),AMJ96,AIW96)</f>
        <v>0</v>
      </c>
      <c r="APX96" s="20" t="n">
        <f aca="false">IF(AND(H_Direct=0,H_TaxEvt=1,ATK95+1&gt;=H_Deemed),AMK96,AIX96)</f>
        <v>0</v>
      </c>
      <c r="APY96" s="20" t="n">
        <f aca="false">IF(AND(H_Direct=0,H_TaxEvt=1,ATL95+1&gt;=H_Deemed),AML96,AIY96)</f>
        <v>0</v>
      </c>
      <c r="APZ96" s="20" t="n">
        <f aca="false">IF(AND(H_Direct=0,H_TaxEvt=1,ATM95+1&gt;=H_Deemed),AMM96,AIZ96)</f>
        <v>0</v>
      </c>
      <c r="AQA96" s="20" t="n">
        <f aca="false">IF(AND(H_Direct=0,H_TaxEvt=1,ATN95+1&gt;=H_Deemed),AMN96,AJA96)</f>
        <v>0</v>
      </c>
      <c r="AQB96" s="20" t="n">
        <f aca="false">IF(AND(H_Direct=0,H_TaxEvt=1,ATO95+1&gt;=H_Deemed),AMO96,AJB96)</f>
        <v>0</v>
      </c>
      <c r="AQC96" s="20" t="n">
        <f aca="false">IF(AND(H_Direct=0,H_TaxEvt=1,ATP95+1&gt;=H_Deemed),AMP96,AJC96)</f>
        <v>0</v>
      </c>
      <c r="AQD96" s="20" t="n">
        <f aca="false">IF(AND(H_Direct=0,H_TaxEvt=1,ATQ95+1&gt;=H_Deemed),AMQ96,AJD96)</f>
        <v>0</v>
      </c>
      <c r="AQE96" s="20" t="n">
        <f aca="false">IF(AND(H_Direct=0,H_TaxEvt=1,ATR95+1&gt;=H_Deemed),AMR96,AJE96)</f>
        <v>0</v>
      </c>
      <c r="AQF96" s="20" t="n">
        <f aca="false">IF(AND(H_Direct=0,H_TaxEvt=1,ATS95+1&gt;=H_Deemed),AMS96,AJF96)</f>
        <v>0</v>
      </c>
      <c r="AQG96" s="20" t="n">
        <f aca="false">IF(AND(H_Direct=0,H_TaxEvt=1,ATT95+1&gt;=H_Deemed),AMT96,AJG96)</f>
        <v>0</v>
      </c>
      <c r="AQH96" s="20" t="n">
        <f aca="false">IF(AND(H_Direct=0,H_TaxEvt=1,ATU95+1&gt;=H_Deemed),AMU96,AJH96)</f>
        <v>0</v>
      </c>
      <c r="AQI96" s="20" t="n">
        <f aca="false">IF(AND(H_Direct=0,H_TaxEvt=1,ATV95+1&gt;=H_Deemed),AMV96,AJI96)</f>
        <v>0</v>
      </c>
      <c r="AQJ96" s="20" t="n">
        <f aca="false">IF(AND(H_Direct=0,H_TaxEvt=1,ATW95+1&gt;=H_Deemed),AMW96,AJJ96)</f>
        <v>0</v>
      </c>
      <c r="AQK96" s="20" t="n">
        <f aca="false">IF(AND(H_Direct=0,H_TaxEvt=1,ATX95+1&gt;=H_Deemed),AMX96,AJK96)</f>
        <v>0</v>
      </c>
      <c r="AQL96" s="20" t="n">
        <f aca="false">IF(AND(H_Direct=0,H_TaxEvt=1,ATY95+1&gt;=H_Deemed),AMY96,AJL96)</f>
        <v>0</v>
      </c>
      <c r="AQM96" s="20" t="n">
        <f aca="false">IF(AND(H_Direct=0,H_TaxEvt=1,ATZ95+1&gt;=H_Deemed),AMZ96,AJM96)</f>
        <v>0</v>
      </c>
      <c r="AQN96" s="20" t="n">
        <f aca="false">IF(AND(H_Direct=0,H_TaxEvt=1,AUA95+1&gt;=H_Deemed),ANA96,AJN96)</f>
        <v>0</v>
      </c>
      <c r="AQO96" s="20" t="n">
        <f aca="false">IF(AND(H_Direct=0,H_TaxEvt=1,AUB95+1&gt;=H_Deemed),ANB96,AJO96)</f>
        <v>0</v>
      </c>
      <c r="AQP96" s="20" t="n">
        <f aca="false">IF(AND(H_Direct=0,H_TaxEvt=1,AUC95+1&gt;=H_Deemed),ANC96,AJP96)</f>
        <v>0</v>
      </c>
      <c r="AQQ96" s="20" t="n">
        <f aca="false">IF(AND(H_Direct=0,H_TaxEvt=1,AUD95+1&gt;=H_Deemed),AND96,AJQ96)</f>
        <v>0</v>
      </c>
      <c r="AQR96" s="20" t="n">
        <f aca="false">IF(AND(H_Direct=0,H_TaxEvt=1,AUE95+1&gt;=H_Deemed),ANE96,AJR96)</f>
        <v>0</v>
      </c>
      <c r="AQS96" s="20" t="n">
        <f aca="false">IF(AND(H_Direct=0,H_TaxEvt=1,AUF95+1&gt;=H_Deemed),ANF96,AJS96)</f>
        <v>0</v>
      </c>
      <c r="AQT96" s="20" t="n">
        <f aca="false">IF(AND(H_Direct=0,H_TaxEvt=1,AUG95+1&gt;=H_Deemed),ANG96,AJT96)</f>
        <v>0</v>
      </c>
      <c r="AQU96" s="20" t="n">
        <f aca="false">IF(AND(H_Direct=0,H_TaxEvt=1,AUH95+1&gt;=H_Deemed),ANH96,AJU96)</f>
        <v>0</v>
      </c>
      <c r="AQV96" s="20" t="n">
        <f aca="false">IF(AND(H_Direct=0,H_TaxEvt=1,AUI95+1&gt;=H_Deemed),ANI96,AJV96)</f>
        <v>0</v>
      </c>
      <c r="AQW96" s="20" t="n">
        <f aca="false">IF(AND(H_Direct=0,H_TaxEvt=1,AUJ95+1&gt;=H_Deemed),ANJ96,AJW96)</f>
        <v>0</v>
      </c>
      <c r="AQX96" s="20" t="n">
        <f aca="false">IF(AND(H_Direct=0,H_TaxEvt=1,AUK95+1&gt;=H_Deemed),ANK96,AJX96)</f>
        <v>0</v>
      </c>
      <c r="AQY96" s="20" t="n">
        <f aca="false">IF(AND(H_Direct=0,H_TaxEvt=1,AUL95+1&gt;=H_Deemed),ANL96,AJY96)</f>
        <v>0</v>
      </c>
      <c r="AQZ96" s="20" t="n">
        <f aca="false">IF(AND(H_Direct=0,H_TaxEvt=1,AUM95+1&gt;=H_Deemed),ANM96,AJZ96)</f>
        <v>0</v>
      </c>
      <c r="ARA96" s="20" t="n">
        <f aca="false">IF(AND(H_Direct=0,H_TaxEvt=1,AUN95+1&gt;=H_Deemed),ANN96,AKA96)</f>
        <v>0</v>
      </c>
      <c r="ARB96" s="20" t="n">
        <f aca="false">IF(AND(H_Direct=0,H_TaxEvt=1,AUO95+1&gt;=H_Deemed),ANO96,AKB96)</f>
        <v>0</v>
      </c>
      <c r="ARC96" s="20" t="n">
        <f aca="false">IF(AND(H_Direct=0,H_TaxEvt=1,AUP95+1&gt;=H_Deemed),ANP96,AKC96)</f>
        <v>0</v>
      </c>
      <c r="ARD96" s="20" t="n">
        <f aca="false">IF(AND(H_Direct=0,H_TaxEvt=1,AUQ95+1&gt;=H_Deemed),ANQ96,AKD96)</f>
        <v>0</v>
      </c>
      <c r="ARE96" s="20" t="n">
        <f aca="false">IF(AND(H_Direct=0,H_TaxEvt=1,AUR95+1&gt;=H_Deemed),ANR96,AKE96)</f>
        <v>0</v>
      </c>
      <c r="ARF96" s="20" t="n">
        <f aca="false">IF(AND(H_Direct=0,H_TaxEvt=1,AUS95+1&gt;=H_Deemed),ANS96,AKF96)</f>
        <v>0</v>
      </c>
      <c r="ARG96" s="20" t="n">
        <f aca="false">IF(AND(H_Direct=0,H_TaxEvt=1,AUT95+1&gt;=H_Deemed),ANT96,AKG96)</f>
        <v>0</v>
      </c>
      <c r="ARH96" s="20" t="n">
        <f aca="false">IF(AND(H_Direct=0,H_TaxEvt=1,AUU95+1&gt;=H_Deemed),ANU96,AKH96)</f>
        <v>0</v>
      </c>
      <c r="ARI96" s="20" t="n">
        <f aca="false">IF(AND(H_Direct=0,H_TaxEvt=1,AUV95+1&gt;=H_Deemed),ANV96,AKI96)</f>
        <v>0</v>
      </c>
      <c r="ARJ96" s="20" t="n">
        <f aca="false">IF(AND(H_Direct=0,H_TaxEvt=1,AUW95+1&gt;=H_Deemed),ANW96,AKJ96)</f>
        <v>0</v>
      </c>
      <c r="ARK96" s="20" t="n">
        <f aca="false">IF(AND(H_Direct=0,H_TaxEvt=1,AUX95+1&gt;=H_Deemed),ANX96,AKK96)</f>
        <v>0</v>
      </c>
      <c r="ARL96" s="20" t="n">
        <f aca="false">IF(AND(H_Direct=0,H_TaxEvt=1,AUY95+1&gt;=H_Deemed),ANY96,AKL96)</f>
        <v>0</v>
      </c>
      <c r="ARM96" s="20" t="n">
        <f aca="false">IF(AND(H_Direct=0,H_TaxEvt=1,AUZ95+1&gt;=H_Deemed),ANZ96,AKM96)</f>
        <v>0</v>
      </c>
      <c r="ARN96" s="20" t="n">
        <f aca="false">IF(AND(H_Direct=0,H_TaxEvt=1,AVA95+1&gt;=H_Deemed),AOA96,AKN96)</f>
        <v>0</v>
      </c>
      <c r="ARO96" s="20" t="n">
        <f aca="false">IF(AND(H_Direct=0,H_TaxEvt=1,AVB95+1&gt;=H_Deemed),AOB96,AKO96)</f>
        <v>0</v>
      </c>
      <c r="ARP96" s="20" t="n">
        <f aca="false">IF(AND(H_Direct=0,H_TaxEvt=1,0+1&gt;=H_Deemed),AOC96,AKP96)</f>
        <v>0</v>
      </c>
      <c r="ARQ96" s="20" t="n">
        <v>0</v>
      </c>
      <c r="ARR96" s="20" t="n">
        <f aca="false">IF(AND(H_Direct=0,H_TaxEvt=1),IF(ARR95+1&gt;=H_Deemed,0,ARR95+1),ARR95)</f>
        <v>1</v>
      </c>
      <c r="ARS96" s="20" t="n">
        <f aca="false">IF(AND(H_Direct=0,H_TaxEvt=1),IF(ARS95+1&gt;=H_Deemed,0,ARS95+1),ARS95)</f>
        <v>1</v>
      </c>
      <c r="ART96" s="20" t="n">
        <f aca="false">IF(AND(H_Direct=0,H_TaxEvt=1),IF(ART95+1&gt;=H_Deemed,0,ART95+1),ART95)</f>
        <v>0</v>
      </c>
      <c r="ARU96" s="20" t="n">
        <f aca="false">IF(AND(H_Direct=0,H_TaxEvt=1),IF(ARU95+1&gt;=H_Deemed,0,ARU95+1),ARU95)</f>
        <v>7</v>
      </c>
      <c r="ARV96" s="20" t="n">
        <f aca="false">IF(AND(H_Direct=0,H_TaxEvt=1),IF(ARV95+1&gt;=H_Deemed,0,ARV95+1),ARV95)</f>
        <v>6</v>
      </c>
      <c r="ARW96" s="20" t="n">
        <f aca="false">IF(AND(H_Direct=0,H_TaxEvt=1),IF(ARW95+1&gt;=H_Deemed,0,ARW95+1),ARW95)</f>
        <v>5</v>
      </c>
      <c r="ARX96" s="20" t="n">
        <f aca="false">IF(AND(H_Direct=0,H_TaxEvt=1),IF(ARX95+1&gt;=H_Deemed,0,ARX95+1),ARX95)</f>
        <v>4</v>
      </c>
      <c r="ARY96" s="20" t="n">
        <f aca="false">IF(AND(H_Direct=0,H_TaxEvt=1),IF(ARY95+1&gt;=H_Deemed,0,ARY95+1),ARY95)</f>
        <v>3</v>
      </c>
      <c r="ARZ96" s="20" t="n">
        <f aca="false">IF(AND(H_Direct=0,H_TaxEvt=1),IF(ARZ95+1&gt;=H_Deemed,0,ARZ95+1),ARZ95)</f>
        <v>2</v>
      </c>
      <c r="ASA96" s="20" t="n">
        <f aca="false">IF(AND(H_Direct=0,H_TaxEvt=1),IF(ASA95+1&gt;=H_Deemed,0,ASA95+1),ASA95)</f>
        <v>1</v>
      </c>
      <c r="ASB96" s="20" t="n">
        <f aca="false">IF(AND(H_Direct=0,H_TaxEvt=1),IF(ASB95+1&gt;=H_Deemed,0,ASB95+1),ASB95)</f>
        <v>0</v>
      </c>
      <c r="ASC96" s="20" t="n">
        <f aca="false">IF(AND(H_Direct=0,H_TaxEvt=1),IF(ASC95+1&gt;=H_Deemed,0,ASC95+1),ASC95)</f>
        <v>7</v>
      </c>
      <c r="ASD96" s="20" t="n">
        <f aca="false">IF(AND(H_Direct=0,H_TaxEvt=1),IF(ASD95+1&gt;=H_Deemed,0,ASD95+1),ASD95)</f>
        <v>6</v>
      </c>
      <c r="ASE96" s="20" t="n">
        <f aca="false">IF(AND(H_Direct=0,H_TaxEvt=1),IF(ASE95+1&gt;=H_Deemed,0,ASE95+1),ASE95)</f>
        <v>5</v>
      </c>
      <c r="ASF96" s="20" t="n">
        <f aca="false">IF(AND(H_Direct=0,H_TaxEvt=1),IF(ASF95+1&gt;=H_Deemed,0,ASF95+1),ASF95)</f>
        <v>4</v>
      </c>
      <c r="ASG96" s="20" t="n">
        <f aca="false">IF(AND(H_Direct=0,H_TaxEvt=1),IF(ASG95+1&gt;=H_Deemed,0,ASG95+1),ASG95)</f>
        <v>3</v>
      </c>
      <c r="ASH96" s="20" t="n">
        <f aca="false">IF(AND(H_Direct=0,H_TaxEvt=1),IF(ASH95+1&gt;=H_Deemed,0,ASH95+1),ASH95)</f>
        <v>2</v>
      </c>
      <c r="ASI96" s="20" t="n">
        <f aca="false">IF(AND(H_Direct=0,H_TaxEvt=1),IF(ASI95+1&gt;=H_Deemed,0,ASI95+1),ASI95)</f>
        <v>1</v>
      </c>
      <c r="ASJ96" s="20" t="n">
        <f aca="false">IF(AND(H_Direct=0,H_TaxEvt=1),IF(ASJ95+1&gt;=H_Deemed,0,ASJ95+1),ASJ95)</f>
        <v>0</v>
      </c>
      <c r="ASK96" s="20" t="n">
        <f aca="false">IF(AND(H_Direct=0,H_TaxEvt=1),IF(ASK95+1&gt;=H_Deemed,0,ASK95+1),ASK95)</f>
        <v>7</v>
      </c>
      <c r="ASL96" s="20" t="n">
        <f aca="false">IF(AND(H_Direct=0,H_TaxEvt=1),IF(ASL95+1&gt;=H_Deemed,0,ASL95+1),ASL95)</f>
        <v>6</v>
      </c>
      <c r="ASM96" s="20" t="n">
        <f aca="false">IF(AND(H_Direct=0,H_TaxEvt=1),IF(ASM95+1&gt;=H_Deemed,0,ASM95+1),ASM95)</f>
        <v>5</v>
      </c>
      <c r="ASN96" s="20" t="n">
        <f aca="false">IF(AND(H_Direct=0,H_TaxEvt=1),IF(ASN95+1&gt;=H_Deemed,0,ASN95+1),ASN95)</f>
        <v>4</v>
      </c>
      <c r="ASO96" s="20" t="n">
        <f aca="false">IF(AND(H_Direct=0,H_TaxEvt=1),IF(ASO95+1&gt;=H_Deemed,0,ASO95+1),ASO95)</f>
        <v>3</v>
      </c>
      <c r="ASP96" s="20" t="n">
        <f aca="false">IF(AND(H_Direct=0,H_TaxEvt=1),IF(ASP95+1&gt;=H_Deemed,0,ASP95+1),ASP95)</f>
        <v>2</v>
      </c>
      <c r="ASQ96" s="20" t="n">
        <f aca="false">IF(AND(H_Direct=0,H_TaxEvt=1),IF(ASQ95+1&gt;=H_Deemed,0,ASQ95+1),ASQ95)</f>
        <v>1</v>
      </c>
      <c r="ASR96" s="20" t="n">
        <f aca="false">IF(AND(H_Direct=0,H_TaxEvt=1),IF(ASR95+1&gt;=H_Deemed,0,ASR95+1),ASR95)</f>
        <v>0</v>
      </c>
      <c r="ASS96" s="20" t="n">
        <f aca="false">IF(AND(H_Direct=0,H_TaxEvt=1),IF(ASS95+1&gt;=H_Deemed,0,ASS95+1),ASS95)</f>
        <v>7</v>
      </c>
      <c r="AST96" s="20" t="n">
        <f aca="false">IF(AND(H_Direct=0,H_TaxEvt=1),IF(AST95+1&gt;=H_Deemed,0,AST95+1),AST95)</f>
        <v>6</v>
      </c>
      <c r="ASU96" s="20" t="n">
        <f aca="false">IF(AND(H_Direct=0,H_TaxEvt=1),IF(ASU95+1&gt;=H_Deemed,0,ASU95+1),ASU95)</f>
        <v>5</v>
      </c>
      <c r="ASV96" s="20" t="n">
        <f aca="false">IF(AND(H_Direct=0,H_TaxEvt=1),IF(ASV95+1&gt;=H_Deemed,0,ASV95+1),ASV95)</f>
        <v>4</v>
      </c>
      <c r="ASW96" s="20" t="n">
        <f aca="false">IF(AND(H_Direct=0,H_TaxEvt=1),IF(ASW95+1&gt;=H_Deemed,0,ASW95+1),ASW95)</f>
        <v>3</v>
      </c>
      <c r="ASX96" s="20" t="n">
        <f aca="false">IF(AND(H_Direct=0,H_TaxEvt=1),IF(ASX95+1&gt;=H_Deemed,0,ASX95+1),ASX95)</f>
        <v>2</v>
      </c>
      <c r="ASY96" s="20" t="n">
        <f aca="false">IF(AND(H_Direct=0,H_TaxEvt=1),IF(ASY95+1&gt;=H_Deemed,0,ASY95+1),ASY95)</f>
        <v>1</v>
      </c>
      <c r="ASZ96" s="20" t="n">
        <f aca="false">IF(AND(H_Direct=0,H_TaxEvt=1),IF(ASZ95+1&gt;=H_Deemed,0,ASZ95+1),ASZ95)</f>
        <v>0</v>
      </c>
      <c r="ATA96" s="20" t="n">
        <f aca="false">IF(AND(H_Direct=0,H_TaxEvt=1),IF(ATA95+1&gt;=H_Deemed,0,ATA95+1),ATA95)</f>
        <v>7</v>
      </c>
      <c r="ATB96" s="20" t="n">
        <f aca="false">IF(AND(H_Direct=0,H_TaxEvt=1),IF(ATB95+1&gt;=H_Deemed,0,ATB95+1),ATB95)</f>
        <v>6</v>
      </c>
      <c r="ATC96" s="20" t="n">
        <f aca="false">IF(AND(H_Direct=0,H_TaxEvt=1),IF(ATC95+1&gt;=H_Deemed,0,ATC95+1),ATC95)</f>
        <v>5</v>
      </c>
      <c r="ATD96" s="20" t="n">
        <f aca="false">IF(AND(H_Direct=0,H_TaxEvt=1),IF(ATD95+1&gt;=H_Deemed,0,ATD95+1),ATD95)</f>
        <v>4</v>
      </c>
      <c r="ATE96" s="20" t="n">
        <f aca="false">IF(AND(H_Direct=0,H_TaxEvt=1),IF(ATE95+1&gt;=H_Deemed,0,ATE95+1),ATE95)</f>
        <v>3</v>
      </c>
      <c r="ATF96" s="20" t="n">
        <f aca="false">IF(AND(H_Direct=0,H_TaxEvt=1),IF(ATF95+1&gt;=H_Deemed,0,ATF95+1),ATF95)</f>
        <v>2</v>
      </c>
      <c r="ATG96" s="20" t="n">
        <f aca="false">IF(AND(H_Direct=0,H_TaxEvt=1),IF(ATG95+1&gt;=H_Deemed,0,ATG95+1),ATG95)</f>
        <v>1</v>
      </c>
      <c r="ATH96" s="20" t="n">
        <f aca="false">IF(AND(H_Direct=0,H_TaxEvt=1),IF(ATH95+1&gt;=H_Deemed,0,ATH95+1),ATH95)</f>
        <v>0</v>
      </c>
      <c r="ATI96" s="20" t="n">
        <f aca="false">IF(AND(H_Direct=0,H_TaxEvt=1),IF(ATI95+1&gt;=H_Deemed,0,ATI95+1),ATI95)</f>
        <v>7</v>
      </c>
      <c r="ATJ96" s="20" t="n">
        <f aca="false">IF(AND(H_Direct=0,H_TaxEvt=1),IF(ATJ95+1&gt;=H_Deemed,0,ATJ95+1),ATJ95)</f>
        <v>6</v>
      </c>
      <c r="ATK96" s="20" t="n">
        <f aca="false">IF(AND(H_Direct=0,H_TaxEvt=1),IF(ATK95+1&gt;=H_Deemed,0,ATK95+1),ATK95)</f>
        <v>5</v>
      </c>
      <c r="ATL96" s="20" t="n">
        <f aca="false">IF(AND(H_Direct=0,H_TaxEvt=1),IF(ATL95+1&gt;=H_Deemed,0,ATL95+1),ATL95)</f>
        <v>4</v>
      </c>
      <c r="ATM96" s="20" t="n">
        <f aca="false">IF(AND(H_Direct=0,H_TaxEvt=1),IF(ATM95+1&gt;=H_Deemed,0,ATM95+1),ATM95)</f>
        <v>3</v>
      </c>
      <c r="ATN96" s="20" t="n">
        <f aca="false">IF(AND(H_Direct=0,H_TaxEvt=1),IF(ATN95+1&gt;=H_Deemed,0,ATN95+1),ATN95)</f>
        <v>2</v>
      </c>
      <c r="ATO96" s="20" t="n">
        <f aca="false">IF(AND(H_Direct=0,H_TaxEvt=1),IF(ATO95+1&gt;=H_Deemed,0,ATO95+1),ATO95)</f>
        <v>1</v>
      </c>
      <c r="ATP96" s="20" t="n">
        <f aca="false">IF(AND(H_Direct=0,H_TaxEvt=1),IF(ATP95+1&gt;=H_Deemed,0,ATP95+1),ATP95)</f>
        <v>0</v>
      </c>
      <c r="ATQ96" s="20" t="n">
        <f aca="false">IF(AND(H_Direct=0,H_TaxEvt=1),IF(ATQ95+1&gt;=H_Deemed,0,ATQ95+1),ATQ95)</f>
        <v>7</v>
      </c>
      <c r="ATR96" s="20" t="n">
        <f aca="false">IF(AND(H_Direct=0,H_TaxEvt=1),IF(ATR95+1&gt;=H_Deemed,0,ATR95+1),ATR95)</f>
        <v>6</v>
      </c>
      <c r="ATS96" s="20" t="n">
        <f aca="false">IF(AND(H_Direct=0,H_TaxEvt=1),IF(ATS95+1&gt;=H_Deemed,0,ATS95+1),ATS95)</f>
        <v>5</v>
      </c>
      <c r="ATT96" s="20" t="n">
        <f aca="false">IF(AND(H_Direct=0,H_TaxEvt=1),IF(ATT95+1&gt;=H_Deemed,0,ATT95+1),ATT95)</f>
        <v>4</v>
      </c>
      <c r="ATU96" s="20" t="n">
        <f aca="false">IF(AND(H_Direct=0,H_TaxEvt=1),IF(ATU95+1&gt;=H_Deemed,0,ATU95+1),ATU95)</f>
        <v>3</v>
      </c>
      <c r="ATV96" s="20" t="n">
        <f aca="false">IF(AND(H_Direct=0,H_TaxEvt=1),IF(ATV95+1&gt;=H_Deemed,0,ATV95+1),ATV95)</f>
        <v>2</v>
      </c>
      <c r="ATW96" s="20" t="n">
        <f aca="false">IF(AND(H_Direct=0,H_TaxEvt=1),IF(ATW95+1&gt;=H_Deemed,0,ATW95+1),ATW95)</f>
        <v>1</v>
      </c>
      <c r="ATX96" s="20" t="n">
        <f aca="false">IF(AND(H_Direct=0,H_TaxEvt=1),IF(ATX95+1&gt;=H_Deemed,0,ATX95+1),ATX95)</f>
        <v>0</v>
      </c>
      <c r="ATY96" s="20" t="n">
        <f aca="false">IF(AND(H_Direct=0,H_TaxEvt=1),IF(ATY95+1&gt;=H_Deemed,0,ATY95+1),ATY95)</f>
        <v>7</v>
      </c>
      <c r="ATZ96" s="20" t="n">
        <f aca="false">IF(AND(H_Direct=0,H_TaxEvt=1),IF(ATZ95+1&gt;=H_Deemed,0,ATZ95+1),ATZ95)</f>
        <v>6</v>
      </c>
      <c r="AUA96" s="20" t="n">
        <f aca="false">IF(AND(H_Direct=0,H_TaxEvt=1),IF(AUA95+1&gt;=H_Deemed,0,AUA95+1),AUA95)</f>
        <v>5</v>
      </c>
      <c r="AUB96" s="20" t="n">
        <f aca="false">IF(AND(H_Direct=0,H_TaxEvt=1),IF(AUB95+1&gt;=H_Deemed,0,AUB95+1),AUB95)</f>
        <v>4</v>
      </c>
      <c r="AUC96" s="20" t="n">
        <f aca="false">IF(AND(H_Direct=0,H_TaxEvt=1),IF(AUC95+1&gt;=H_Deemed,0,AUC95+1),AUC95)</f>
        <v>3</v>
      </c>
      <c r="AUD96" s="20" t="n">
        <f aca="false">IF(AND(H_Direct=0,H_TaxEvt=1),IF(AUD95+1&gt;=H_Deemed,0,AUD95+1),AUD95)</f>
        <v>2</v>
      </c>
      <c r="AUE96" s="20" t="n">
        <f aca="false">IF(AND(H_Direct=0,H_TaxEvt=1),IF(AUE95+1&gt;=H_Deemed,0,AUE95+1),AUE95)</f>
        <v>1</v>
      </c>
      <c r="AUF96" s="20" t="n">
        <f aca="false">IF(AND(H_Direct=0,H_TaxEvt=1),IF(AUF95+1&gt;=H_Deemed,0,AUF95+1),AUF95)</f>
        <v>0</v>
      </c>
      <c r="AUG96" s="20" t="n">
        <f aca="false">IF(AND(H_Direct=0,H_TaxEvt=1),IF(AUG95+1&gt;=H_Deemed,0,AUG95+1),AUG95)</f>
        <v>7</v>
      </c>
      <c r="AUH96" s="20" t="n">
        <f aca="false">IF(AND(H_Direct=0,H_TaxEvt=1),IF(AUH95+1&gt;=H_Deemed,0,AUH95+1),AUH95)</f>
        <v>6</v>
      </c>
      <c r="AUI96" s="20" t="n">
        <f aca="false">IF(AND(H_Direct=0,H_TaxEvt=1),IF(AUI95+1&gt;=H_Deemed,0,AUI95+1),AUI95)</f>
        <v>5</v>
      </c>
      <c r="AUJ96" s="20" t="n">
        <f aca="false">IF(AND(H_Direct=0,H_TaxEvt=1),IF(AUJ95+1&gt;=H_Deemed,0,AUJ95+1),AUJ95)</f>
        <v>4</v>
      </c>
      <c r="AUK96" s="20" t="n">
        <f aca="false">IF(AND(H_Direct=0,H_TaxEvt=1),IF(AUK95+1&gt;=H_Deemed,0,AUK95+1),AUK95)</f>
        <v>3</v>
      </c>
      <c r="AUL96" s="20" t="n">
        <f aca="false">IF(AND(H_Direct=0,H_TaxEvt=1),IF(AUL95+1&gt;=H_Deemed,0,AUL95+1),AUL95)</f>
        <v>2</v>
      </c>
      <c r="AUM96" s="20" t="n">
        <f aca="false">IF(AND(H_Direct=0,H_TaxEvt=1),IF(AUM95+1&gt;=H_Deemed,0,AUM95+1),AUM95)</f>
        <v>1</v>
      </c>
      <c r="AUN96" s="20" t="n">
        <f aca="false">IF(AND(H_Direct=0,H_TaxEvt=1),IF(AUN95+1&gt;=H_Deemed,0,AUN95+1),AUN95)</f>
        <v>0</v>
      </c>
      <c r="AUO96" s="20" t="n">
        <f aca="false">IF(AND(H_Direct=0,H_TaxEvt=1),IF(AUO95+1&gt;=H_Deemed,0,AUO95+1),AUO95)</f>
        <v>7</v>
      </c>
      <c r="AUP96" s="20" t="n">
        <f aca="false">IF(AND(H_Direct=0,H_TaxEvt=1),IF(AUP95+1&gt;=H_Deemed,0,AUP95+1),AUP95)</f>
        <v>6</v>
      </c>
      <c r="AUQ96" s="20" t="n">
        <f aca="false">IF(AND(H_Direct=0,H_TaxEvt=1),IF(AUQ95+1&gt;=H_Deemed,0,AUQ95+1),AUQ95)</f>
        <v>5</v>
      </c>
      <c r="AUR96" s="20" t="n">
        <f aca="false">IF(AND(H_Direct=0,H_TaxEvt=1),IF(AUR95+1&gt;=H_Deemed,0,AUR95+1),AUR95)</f>
        <v>4</v>
      </c>
      <c r="AUS96" s="20" t="n">
        <f aca="false">IF(AND(H_Direct=0,H_TaxEvt=1),IF(AUS95+1&gt;=H_Deemed,0,AUS95+1),AUS95)</f>
        <v>3</v>
      </c>
      <c r="AUT96" s="20" t="n">
        <f aca="false">IF(AND(H_Direct=0,H_TaxEvt=1),IF(AUT95+1&gt;=H_Deemed,0,AUT95+1),AUT95)</f>
        <v>2</v>
      </c>
      <c r="AUU96" s="20" t="n">
        <f aca="false">IF(AND(H_Direct=0,H_TaxEvt=1),IF(AUU95+1&gt;=H_Deemed,0,AUU95+1),AUU95)</f>
        <v>1</v>
      </c>
      <c r="AUV96" s="20" t="n">
        <f aca="false">IF(AND(H_Direct=0,H_TaxEvt=1),IF(AUV95+1&gt;=H_Deemed,0,AUV95+1),AUV95)</f>
        <v>0</v>
      </c>
      <c r="AUW96" s="20" t="n">
        <f aca="false">IF(AND(H_Direct=0,H_TaxEvt=1),IF(AUW95+1&gt;=H_Deemed,0,AUW95+1),AUW95)</f>
        <v>7</v>
      </c>
      <c r="AUX96" s="20" t="n">
        <f aca="false">IF(AND(H_Direct=0,H_TaxEvt=1),IF(AUX95+1&gt;=H_Deemed,0,AUX95+1),AUX95)</f>
        <v>6</v>
      </c>
      <c r="AUY96" s="20" t="n">
        <f aca="false">IF(AND(H_Direct=0,H_TaxEvt=1),IF(AUY95+1&gt;=H_Deemed,0,AUY95+1),AUY95)</f>
        <v>5</v>
      </c>
      <c r="AUZ96" s="20" t="n">
        <f aca="false">IF(AND(H_Direct=0,H_TaxEvt=1),IF(AUZ95+1&gt;=H_Deemed,0,AUZ95+1),AUZ95)</f>
        <v>4</v>
      </c>
      <c r="AVA96" s="20" t="n">
        <f aca="false">IF(AND(H_Direct=0,H_TaxEvt=1),IF(AVA95+1&gt;=H_Deemed,0,AVA95+1),AVA95)</f>
        <v>3</v>
      </c>
      <c r="AVB96" s="20" t="n">
        <f aca="false">IF(AND(H_Direct=0,H_TaxEvt=1),IF(AVB95+1&gt;=H_Deemed,0,AVB95+1),AVB95)</f>
        <v>2</v>
      </c>
      <c r="AVC96" s="20" t="n">
        <f aca="false">IF(AND(H_Direct=0,H_TaxEvt=1),IF(0+1&gt;=H_Deemed,0,0+1),0)</f>
        <v>1</v>
      </c>
      <c r="AVD96" s="20" t="n">
        <v>0</v>
      </c>
      <c r="AVE96" s="20" t="n">
        <f aca="false">IF(AND(H_Direct=0,H_TaxEvt=1,ARR95+1&gt;=H_Deemed),MAX(0,ADR96-AHE96)*H_Exit,0)</f>
        <v>0</v>
      </c>
      <c r="AVF96" s="20" t="n">
        <f aca="false">IF(AND(H_Direct=0,H_TaxEvt=1,ARS95+1&gt;=H_Deemed),MAX(0,ADS96-AHF96)*H_Exit,0)</f>
        <v>0</v>
      </c>
      <c r="AVG96" s="20" t="n">
        <f aca="false">IF(AND(H_Direct=0,H_TaxEvt=1,ART95+1&gt;=H_Deemed),MAX(0,ADT96-AHG96)*H_Exit,0)</f>
        <v>0</v>
      </c>
      <c r="AVH96" s="20" t="n">
        <f aca="false">IF(AND(H_Direct=0,H_TaxEvt=1,ARU95+1&gt;=H_Deemed),MAX(0,ADU96-AHH96)*H_Exit,0)</f>
        <v>0</v>
      </c>
      <c r="AVI96" s="20" t="n">
        <f aca="false">IF(AND(H_Direct=0,H_TaxEvt=1,ARV95+1&gt;=H_Deemed),MAX(0,ADV96-AHI96)*H_Exit,0)</f>
        <v>0</v>
      </c>
      <c r="AVJ96" s="20" t="n">
        <f aca="false">IF(AND(H_Direct=0,H_TaxEvt=1,ARW95+1&gt;=H_Deemed),MAX(0,ADW96-AHJ96)*H_Exit,0)</f>
        <v>0</v>
      </c>
      <c r="AVK96" s="20" t="n">
        <f aca="false">IF(AND(H_Direct=0,H_TaxEvt=1,ARX95+1&gt;=H_Deemed),MAX(0,ADX96-AHK96)*H_Exit,0)</f>
        <v>0</v>
      </c>
      <c r="AVL96" s="20" t="n">
        <f aca="false">IF(AND(H_Direct=0,H_TaxEvt=1,ARY95+1&gt;=H_Deemed),MAX(0,ADY96-AHL96)*H_Exit,0)</f>
        <v>0</v>
      </c>
      <c r="AVM96" s="20" t="n">
        <f aca="false">IF(AND(H_Direct=0,H_TaxEvt=1,ARZ95+1&gt;=H_Deemed),MAX(0,ADZ96-AHM96)*H_Exit,0)</f>
        <v>0</v>
      </c>
      <c r="AVN96" s="20" t="n">
        <f aca="false">IF(AND(H_Direct=0,H_TaxEvt=1,ASA95+1&gt;=H_Deemed),MAX(0,AEA96-AHN96)*H_Exit,0)</f>
        <v>0</v>
      </c>
      <c r="AVO96" s="20" t="n">
        <f aca="false">IF(AND(H_Direct=0,H_TaxEvt=1,ASB95+1&gt;=H_Deemed),MAX(0,AEB96-AHO96)*H_Exit,0)</f>
        <v>0</v>
      </c>
      <c r="AVP96" s="20" t="n">
        <f aca="false">IF(AND(H_Direct=0,H_TaxEvt=1,ASC95+1&gt;=H_Deemed),MAX(0,AEC96-AHP96)*H_Exit,0)</f>
        <v>0</v>
      </c>
      <c r="AVQ96" s="20" t="n">
        <f aca="false">IF(AND(H_Direct=0,H_TaxEvt=1,ASD95+1&gt;=H_Deemed),MAX(0,AED96-AHQ96)*H_Exit,0)</f>
        <v>0</v>
      </c>
      <c r="AVR96" s="20" t="n">
        <f aca="false">IF(AND(H_Direct=0,H_TaxEvt=1,ASE95+1&gt;=H_Deemed),MAX(0,AEE96-AHR96)*H_Exit,0)</f>
        <v>0</v>
      </c>
      <c r="AVS96" s="20" t="n">
        <f aca="false">IF(AND(H_Direct=0,H_TaxEvt=1,ASF95+1&gt;=H_Deemed),MAX(0,AEF96-AHS96)*H_Exit,0)</f>
        <v>0</v>
      </c>
      <c r="AVT96" s="20" t="n">
        <f aca="false">IF(AND(H_Direct=0,H_TaxEvt=1,ASG95+1&gt;=H_Deemed),MAX(0,AEG96-AHT96)*H_Exit,0)</f>
        <v>0</v>
      </c>
      <c r="AVU96" s="20" t="n">
        <f aca="false">IF(AND(H_Direct=0,H_TaxEvt=1,ASH95+1&gt;=H_Deemed),MAX(0,AEH96-AHU96)*H_Exit,0)</f>
        <v>0</v>
      </c>
      <c r="AVV96" s="20" t="n">
        <f aca="false">IF(AND(H_Direct=0,H_TaxEvt=1,ASI95+1&gt;=H_Deemed),MAX(0,AEI96-AHV96)*H_Exit,0)</f>
        <v>0</v>
      </c>
      <c r="AVW96" s="20" t="n">
        <f aca="false">IF(AND(H_Direct=0,H_TaxEvt=1,ASJ95+1&gt;=H_Deemed),MAX(0,AEJ96-AHW96)*H_Exit,0)</f>
        <v>0</v>
      </c>
      <c r="AVX96" s="20" t="n">
        <f aca="false">IF(AND(H_Direct=0,H_TaxEvt=1,ASK95+1&gt;=H_Deemed),MAX(0,AEK96-AHX96)*H_Exit,0)</f>
        <v>0</v>
      </c>
      <c r="AVY96" s="20" t="n">
        <f aca="false">IF(AND(H_Direct=0,H_TaxEvt=1,ASL95+1&gt;=H_Deemed),MAX(0,AEL96-AHY96)*H_Exit,0)</f>
        <v>0</v>
      </c>
      <c r="AVZ96" s="20" t="n">
        <f aca="false">IF(AND(H_Direct=0,H_TaxEvt=1,ASM95+1&gt;=H_Deemed),MAX(0,AEM96-AHZ96)*H_Exit,0)</f>
        <v>0</v>
      </c>
      <c r="AWA96" s="20" t="n">
        <f aca="false">IF(AND(H_Direct=0,H_TaxEvt=1,ASN95+1&gt;=H_Deemed),MAX(0,AEN96-AIA96)*H_Exit,0)</f>
        <v>0</v>
      </c>
      <c r="AWB96" s="20" t="n">
        <f aca="false">IF(AND(H_Direct=0,H_TaxEvt=1,ASO95+1&gt;=H_Deemed),MAX(0,AEO96-AIB96)*H_Exit,0)</f>
        <v>0</v>
      </c>
      <c r="AWC96" s="20" t="n">
        <f aca="false">IF(AND(H_Direct=0,H_TaxEvt=1,ASP95+1&gt;=H_Deemed),MAX(0,AEP96-AIC96)*H_Exit,0)</f>
        <v>0</v>
      </c>
      <c r="AWD96" s="20" t="n">
        <f aca="false">IF(AND(H_Direct=0,H_TaxEvt=1,ASQ95+1&gt;=H_Deemed),MAX(0,AEQ96-AID96)*H_Exit,0)</f>
        <v>0</v>
      </c>
      <c r="AWE96" s="20" t="n">
        <f aca="false">IF(AND(H_Direct=0,H_TaxEvt=1,ASR95+1&gt;=H_Deemed),MAX(0,AER96-AIE96)*H_Exit,0)</f>
        <v>0</v>
      </c>
      <c r="AWF96" s="20" t="n">
        <f aca="false">IF(AND(H_Direct=0,H_TaxEvt=1,ASS95+1&gt;=H_Deemed),MAX(0,AES96-AIF96)*H_Exit,0)</f>
        <v>0</v>
      </c>
      <c r="AWG96" s="20" t="n">
        <f aca="false">IF(AND(H_Direct=0,H_TaxEvt=1,AST95+1&gt;=H_Deemed),MAX(0,AET96-AIG96)*H_Exit,0)</f>
        <v>0</v>
      </c>
      <c r="AWH96" s="20" t="n">
        <f aca="false">IF(AND(H_Direct=0,H_TaxEvt=1,ASU95+1&gt;=H_Deemed),MAX(0,AEU96-AIH96)*H_Exit,0)</f>
        <v>0</v>
      </c>
      <c r="AWI96" s="20" t="n">
        <f aca="false">IF(AND(H_Direct=0,H_TaxEvt=1,ASV95+1&gt;=H_Deemed),MAX(0,AEV96-AII96)*H_Exit,0)</f>
        <v>0</v>
      </c>
      <c r="AWJ96" s="20" t="n">
        <f aca="false">IF(AND(H_Direct=0,H_TaxEvt=1,ASW95+1&gt;=H_Deemed),MAX(0,AEW96-AIJ96)*H_Exit,0)</f>
        <v>0</v>
      </c>
      <c r="AWK96" s="20" t="n">
        <f aca="false">IF(AND(H_Direct=0,H_TaxEvt=1,ASX95+1&gt;=H_Deemed),MAX(0,AEX96-AIK96)*H_Exit,0)</f>
        <v>0</v>
      </c>
      <c r="AWL96" s="20" t="n">
        <f aca="false">IF(AND(H_Direct=0,H_TaxEvt=1,ASY95+1&gt;=H_Deemed),MAX(0,AEY96-AIL96)*H_Exit,0)</f>
        <v>0</v>
      </c>
      <c r="AWM96" s="20" t="n">
        <f aca="false">IF(AND(H_Direct=0,H_TaxEvt=1,ASZ95+1&gt;=H_Deemed),MAX(0,AEZ96-AIM96)*H_Exit,0)</f>
        <v>0</v>
      </c>
      <c r="AWN96" s="20" t="n">
        <f aca="false">IF(AND(H_Direct=0,H_TaxEvt=1,ATA95+1&gt;=H_Deemed),MAX(0,AFA96-AIN96)*H_Exit,0)</f>
        <v>0</v>
      </c>
      <c r="AWO96" s="20" t="n">
        <f aca="false">IF(AND(H_Direct=0,H_TaxEvt=1,ATB95+1&gt;=H_Deemed),MAX(0,AFB96-AIO96)*H_Exit,0)</f>
        <v>0</v>
      </c>
      <c r="AWP96" s="20" t="n">
        <f aca="false">IF(AND(H_Direct=0,H_TaxEvt=1,ATC95+1&gt;=H_Deemed),MAX(0,AFC96-AIP96)*H_Exit,0)</f>
        <v>0</v>
      </c>
      <c r="AWQ96" s="20" t="n">
        <f aca="false">IF(AND(H_Direct=0,H_TaxEvt=1,ATD95+1&gt;=H_Deemed),MAX(0,AFD96-AIQ96)*H_Exit,0)</f>
        <v>0</v>
      </c>
      <c r="AWR96" s="20" t="n">
        <f aca="false">IF(AND(H_Direct=0,H_TaxEvt=1,ATE95+1&gt;=H_Deemed),MAX(0,AFE96-AIR96)*H_Exit,0)</f>
        <v>0</v>
      </c>
      <c r="AWS96" s="20" t="n">
        <f aca="false">IF(AND(H_Direct=0,H_TaxEvt=1,ATF95+1&gt;=H_Deemed),MAX(0,AFF96-AIS96)*H_Exit,0)</f>
        <v>0</v>
      </c>
      <c r="AWT96" s="20" t="n">
        <f aca="false">IF(AND(H_Direct=0,H_TaxEvt=1,ATG95+1&gt;=H_Deemed),MAX(0,AFG96-AIT96)*H_Exit,0)</f>
        <v>0</v>
      </c>
      <c r="AWU96" s="20" t="n">
        <f aca="false">IF(AND(H_Direct=0,H_TaxEvt=1,ATH95+1&gt;=H_Deemed),MAX(0,AFH96-AIU96)*H_Exit,0)</f>
        <v>0</v>
      </c>
      <c r="AWV96" s="20" t="n">
        <f aca="false">IF(AND(H_Direct=0,H_TaxEvt=1,ATI95+1&gt;=H_Deemed),MAX(0,AFI96-AIV96)*H_Exit,0)</f>
        <v>0</v>
      </c>
      <c r="AWW96" s="20" t="n">
        <f aca="false">IF(AND(H_Direct=0,H_TaxEvt=1,ATJ95+1&gt;=H_Deemed),MAX(0,AFJ96-AIW96)*H_Exit,0)</f>
        <v>0</v>
      </c>
      <c r="AWX96" s="20" t="n">
        <f aca="false">IF(AND(H_Direct=0,H_TaxEvt=1,ATK95+1&gt;=H_Deemed),MAX(0,AFK96-AIX96)*H_Exit,0)</f>
        <v>0</v>
      </c>
      <c r="AWY96" s="20" t="n">
        <f aca="false">IF(AND(H_Direct=0,H_TaxEvt=1,ATL95+1&gt;=H_Deemed),MAX(0,AFL96-AIY96)*H_Exit,0)</f>
        <v>0</v>
      </c>
      <c r="AWZ96" s="20" t="n">
        <f aca="false">IF(AND(H_Direct=0,H_TaxEvt=1,ATM95+1&gt;=H_Deemed),MAX(0,AFM96-AIZ96)*H_Exit,0)</f>
        <v>0</v>
      </c>
      <c r="AXA96" s="20" t="n">
        <f aca="false">IF(AND(H_Direct=0,H_TaxEvt=1,ATN95+1&gt;=H_Deemed),MAX(0,AFN96-AJA96)*H_Exit,0)</f>
        <v>0</v>
      </c>
      <c r="AXB96" s="20" t="n">
        <f aca="false">IF(AND(H_Direct=0,H_TaxEvt=1,ATO95+1&gt;=H_Deemed),MAX(0,AFO96-AJB96)*H_Exit,0)</f>
        <v>0</v>
      </c>
      <c r="AXC96" s="20" t="n">
        <f aca="false">IF(AND(H_Direct=0,H_TaxEvt=1,ATP95+1&gt;=H_Deemed),MAX(0,AFP96-AJC96)*H_Exit,0)</f>
        <v>0</v>
      </c>
      <c r="AXD96" s="20" t="n">
        <f aca="false">IF(AND(H_Direct=0,H_TaxEvt=1,ATQ95+1&gt;=H_Deemed),MAX(0,AFQ96-AJD96)*H_Exit,0)</f>
        <v>0</v>
      </c>
      <c r="AXE96" s="20" t="n">
        <f aca="false">IF(AND(H_Direct=0,H_TaxEvt=1,ATR95+1&gt;=H_Deemed),MAX(0,AFR96-AJE96)*H_Exit,0)</f>
        <v>0</v>
      </c>
      <c r="AXF96" s="20" t="n">
        <f aca="false">IF(AND(H_Direct=0,H_TaxEvt=1,ATS95+1&gt;=H_Deemed),MAX(0,AFS96-AJF96)*H_Exit,0)</f>
        <v>0</v>
      </c>
      <c r="AXG96" s="20" t="n">
        <f aca="false">IF(AND(H_Direct=0,H_TaxEvt=1,ATT95+1&gt;=H_Deemed),MAX(0,AFT96-AJG96)*H_Exit,0)</f>
        <v>0</v>
      </c>
      <c r="AXH96" s="20" t="n">
        <f aca="false">IF(AND(H_Direct=0,H_TaxEvt=1,ATU95+1&gt;=H_Deemed),MAX(0,AFU96-AJH96)*H_Exit,0)</f>
        <v>0</v>
      </c>
      <c r="AXI96" s="20" t="n">
        <f aca="false">IF(AND(H_Direct=0,H_TaxEvt=1,ATV95+1&gt;=H_Deemed),MAX(0,AFV96-AJI96)*H_Exit,0)</f>
        <v>0</v>
      </c>
      <c r="AXJ96" s="20" t="n">
        <f aca="false">IF(AND(H_Direct=0,H_TaxEvt=1,ATW95+1&gt;=H_Deemed),MAX(0,AFW96-AJJ96)*H_Exit,0)</f>
        <v>0</v>
      </c>
      <c r="AXK96" s="20" t="n">
        <f aca="false">IF(AND(H_Direct=0,H_TaxEvt=1,ATX95+1&gt;=H_Deemed),MAX(0,AFX96-AJK96)*H_Exit,0)</f>
        <v>0</v>
      </c>
      <c r="AXL96" s="20" t="n">
        <f aca="false">IF(AND(H_Direct=0,H_TaxEvt=1,ATY95+1&gt;=H_Deemed),MAX(0,AFY96-AJL96)*H_Exit,0)</f>
        <v>0</v>
      </c>
      <c r="AXM96" s="20" t="n">
        <f aca="false">IF(AND(H_Direct=0,H_TaxEvt=1,ATZ95+1&gt;=H_Deemed),MAX(0,AFZ96-AJM96)*H_Exit,0)</f>
        <v>0</v>
      </c>
      <c r="AXN96" s="20" t="n">
        <f aca="false">IF(AND(H_Direct=0,H_TaxEvt=1,AUA95+1&gt;=H_Deemed),MAX(0,AGA96-AJN96)*H_Exit,0)</f>
        <v>0</v>
      </c>
      <c r="AXO96" s="20" t="n">
        <f aca="false">IF(AND(H_Direct=0,H_TaxEvt=1,AUB95+1&gt;=H_Deemed),MAX(0,AGB96-AJO96)*H_Exit,0)</f>
        <v>0</v>
      </c>
      <c r="AXP96" s="20" t="n">
        <f aca="false">IF(AND(H_Direct=0,H_TaxEvt=1,AUC95+1&gt;=H_Deemed),MAX(0,AGC96-AJP96)*H_Exit,0)</f>
        <v>0</v>
      </c>
      <c r="AXQ96" s="20" t="n">
        <f aca="false">IF(AND(H_Direct=0,H_TaxEvt=1,AUD95+1&gt;=H_Deemed),MAX(0,AGD96-AJQ96)*H_Exit,0)</f>
        <v>0</v>
      </c>
      <c r="AXR96" s="20" t="n">
        <f aca="false">IF(AND(H_Direct=0,H_TaxEvt=1,AUE95+1&gt;=H_Deemed),MAX(0,AGE96-AJR96)*H_Exit,0)</f>
        <v>0</v>
      </c>
      <c r="AXS96" s="20" t="n">
        <f aca="false">IF(AND(H_Direct=0,H_TaxEvt=1,AUF95+1&gt;=H_Deemed),MAX(0,AGF96-AJS96)*H_Exit,0)</f>
        <v>0</v>
      </c>
      <c r="AXT96" s="20" t="n">
        <f aca="false">IF(AND(H_Direct=0,H_TaxEvt=1,AUG95+1&gt;=H_Deemed),MAX(0,AGG96-AJT96)*H_Exit,0)</f>
        <v>0</v>
      </c>
      <c r="AXU96" s="20" t="n">
        <f aca="false">IF(AND(H_Direct=0,H_TaxEvt=1,AUH95+1&gt;=H_Deemed),MAX(0,AGH96-AJU96)*H_Exit,0)</f>
        <v>0</v>
      </c>
      <c r="AXV96" s="20" t="n">
        <f aca="false">IF(AND(H_Direct=0,H_TaxEvt=1,AUI95+1&gt;=H_Deemed),MAX(0,AGI96-AJV96)*H_Exit,0)</f>
        <v>0</v>
      </c>
      <c r="AXW96" s="20" t="n">
        <f aca="false">IF(AND(H_Direct=0,H_TaxEvt=1,AUJ95+1&gt;=H_Deemed),MAX(0,AGJ96-AJW96)*H_Exit,0)</f>
        <v>0</v>
      </c>
      <c r="AXX96" s="20" t="n">
        <f aca="false">IF(AND(H_Direct=0,H_TaxEvt=1,AUK95+1&gt;=H_Deemed),MAX(0,AGK96-AJX96)*H_Exit,0)</f>
        <v>0</v>
      </c>
      <c r="AXY96" s="20" t="n">
        <f aca="false">IF(AND(H_Direct=0,H_TaxEvt=1,AUL95+1&gt;=H_Deemed),MAX(0,AGL96-AJY96)*H_Exit,0)</f>
        <v>0</v>
      </c>
      <c r="AXZ96" s="20" t="n">
        <f aca="false">IF(AND(H_Direct=0,H_TaxEvt=1,AUM95+1&gt;=H_Deemed),MAX(0,AGM96-AJZ96)*H_Exit,0)</f>
        <v>0</v>
      </c>
      <c r="AYA96" s="20" t="n">
        <f aca="false">IF(AND(H_Direct=0,H_TaxEvt=1,AUN95+1&gt;=H_Deemed),MAX(0,AGN96-AKA96)*H_Exit,0)</f>
        <v>0</v>
      </c>
      <c r="AYB96" s="20" t="n">
        <f aca="false">IF(AND(H_Direct=0,H_TaxEvt=1,AUO95+1&gt;=H_Deemed),MAX(0,AGO96-AKB96)*H_Exit,0)</f>
        <v>0</v>
      </c>
      <c r="AYC96" s="20" t="n">
        <f aca="false">IF(AND(H_Direct=0,H_TaxEvt=1,AUP95+1&gt;=H_Deemed),MAX(0,AGP96-AKC96)*H_Exit,0)</f>
        <v>0</v>
      </c>
      <c r="AYD96" s="20" t="n">
        <f aca="false">IF(AND(H_Direct=0,H_TaxEvt=1,AUQ95+1&gt;=H_Deemed),MAX(0,AGQ96-AKD96)*H_Exit,0)</f>
        <v>0</v>
      </c>
      <c r="AYE96" s="20" t="n">
        <f aca="false">IF(AND(H_Direct=0,H_TaxEvt=1,AUR95+1&gt;=H_Deemed),MAX(0,AGR96-AKE96)*H_Exit,0)</f>
        <v>0</v>
      </c>
      <c r="AYF96" s="20" t="n">
        <f aca="false">IF(AND(H_Direct=0,H_TaxEvt=1,AUS95+1&gt;=H_Deemed),MAX(0,AGS96-AKF96)*H_Exit,0)</f>
        <v>0</v>
      </c>
      <c r="AYG96" s="20" t="n">
        <f aca="false">IF(AND(H_Direct=0,H_TaxEvt=1,AUT95+1&gt;=H_Deemed),MAX(0,AGT96-AKG96)*H_Exit,0)</f>
        <v>0</v>
      </c>
      <c r="AYH96" s="20" t="n">
        <f aca="false">IF(AND(H_Direct=0,H_TaxEvt=1,AUU95+1&gt;=H_Deemed),MAX(0,AGU96-AKH96)*H_Exit,0)</f>
        <v>0</v>
      </c>
      <c r="AYI96" s="20" t="n">
        <f aca="false">IF(AND(H_Direct=0,H_TaxEvt=1,AUV95+1&gt;=H_Deemed),MAX(0,AGV96-AKI96)*H_Exit,0)</f>
        <v>0</v>
      </c>
      <c r="AYJ96" s="20" t="n">
        <f aca="false">IF(AND(H_Direct=0,H_TaxEvt=1,AUW95+1&gt;=H_Deemed),MAX(0,AGW96-AKJ96)*H_Exit,0)</f>
        <v>0</v>
      </c>
      <c r="AYK96" s="20" t="n">
        <f aca="false">IF(AND(H_Direct=0,H_TaxEvt=1,AUX95+1&gt;=H_Deemed),MAX(0,AGX96-AKK96)*H_Exit,0)</f>
        <v>0</v>
      </c>
      <c r="AYL96" s="20" t="n">
        <f aca="false">IF(AND(H_Direct=0,H_TaxEvt=1,AUY95+1&gt;=H_Deemed),MAX(0,AGY96-AKL96)*H_Exit,0)</f>
        <v>0</v>
      </c>
      <c r="AYM96" s="20" t="n">
        <f aca="false">IF(AND(H_Direct=0,H_TaxEvt=1,AUZ95+1&gt;=H_Deemed),MAX(0,AGZ96-AKM96)*H_Exit,0)</f>
        <v>0</v>
      </c>
      <c r="AYN96" s="20" t="n">
        <f aca="false">IF(AND(H_Direct=0,H_TaxEvt=1,AVA95+1&gt;=H_Deemed),MAX(0,AHA96-AKN96)*H_Exit,0)</f>
        <v>0</v>
      </c>
      <c r="AYO96" s="20" t="n">
        <f aca="false">IF(AND(H_Direct=0,H_TaxEvt=1,AVB95+1&gt;=H_Deemed),MAX(0,AHB96-AKO96)*H_Exit,0)</f>
        <v>0</v>
      </c>
      <c r="AYP96" s="20" t="n">
        <f aca="false">IF(AND(H_Direct=0,H_TaxEvt=1,0+1&gt;=H_Deemed),MAX(0,AHC96-AKP96)*H_Exit,0)</f>
        <v>0</v>
      </c>
      <c r="AYQ96" s="20" t="n">
        <v>0</v>
      </c>
    </row>
    <row r="97" customFormat="false" ht="15" hidden="false" customHeight="false" outlineLevel="0" collapsed="false">
      <c r="B97" s="20" t="n">
        <v>89</v>
      </c>
      <c r="C97" s="20" t="n">
        <f aca="false">'Plan cashflow'!C97</f>
        <v>0</v>
      </c>
      <c r="D97" s="20" t="n">
        <f aca="false">'Plan cashflow'!D97</f>
        <v>127</v>
      </c>
      <c r="E97" s="20" t="n">
        <f aca="false">AS_Year0+89</f>
        <v>2115</v>
      </c>
      <c r="F97" s="50" t="n">
        <f aca="false">'Plan cashflow'!F97</f>
        <v>5.82660110422104</v>
      </c>
      <c r="G97" s="59" t="n">
        <f aca="true">IF(MAX(TODAY(),DATE(E97,1,1))&gt;=H_CGTfrom,H_CGT1,H_CGT0)</f>
        <v>0.31</v>
      </c>
      <c r="H97" s="20" t="n">
        <f aca="false">H_Exempt*H_Persons</f>
        <v>1270</v>
      </c>
      <c r="I97" s="20" t="n">
        <f aca="false">AX96</f>
        <v>0</v>
      </c>
      <c r="J97" s="60" t="n">
        <f aca="false">BF96</f>
        <v>0</v>
      </c>
      <c r="K97" s="60" t="n">
        <f aca="false">BG96</f>
        <v>0</v>
      </c>
      <c r="L97" s="20" t="n">
        <f aca="false">IF(AND(In_polLump&gt;0,In_polLumpAge&gt;0,D97=In_polLumpAge),In_polLump,0)</f>
        <v>0</v>
      </c>
      <c r="M97" s="20" t="n">
        <f aca="false">IF(AND(In_homeUse="Yes, I'd downsize",In_downAge&gt;0,D97=In_downAge,OR(In_home="Own outright",In_home="Own with mortgage"),In_homeValue&gt;0),MAX(0,MAX(0,In_homeValue-In_downValue)*F97*0.9-'Plan cashflow'!HR96),0)</f>
        <v>0</v>
      </c>
      <c r="N97" s="20" t="n">
        <f aca="false">'Plan pay &amp; tax'!Y323</f>
        <v>0</v>
      </c>
      <c r="O97" s="20" t="n">
        <f aca="false">L97+M97+(1-H_Sh)*N97</f>
        <v>0</v>
      </c>
      <c r="P97" s="20" t="n">
        <f aca="false">H_Sh*N97</f>
        <v>0</v>
      </c>
      <c r="Q97" s="20" t="n">
        <f aca="false">'Plan cashflow'!UL97</f>
        <v>0</v>
      </c>
      <c r="R97" s="20" t="n">
        <f aca="false">(1-H_Sh)*Q97</f>
        <v>0</v>
      </c>
      <c r="S97" s="20" t="n">
        <f aca="false">H_Sh*Q97</f>
        <v>0</v>
      </c>
      <c r="T97" s="20" t="n">
        <f aca="false">J97+K97+O97</f>
        <v>0</v>
      </c>
      <c r="U97" s="20" t="n">
        <f aca="false">T97+R97</f>
        <v>0</v>
      </c>
      <c r="V97" s="60" t="n">
        <f aca="false">SUM(FE97:IQ97)</f>
        <v>0</v>
      </c>
      <c r="W97" s="60" t="n">
        <f aca="false">IF(AJ97&lt;=0,0,IF(AL97&lt;=0,AJ97,AJ97-G97*MAX(0,AL97*AJ97-(AY97+AZ97))))</f>
        <v>0</v>
      </c>
      <c r="X97" s="60" t="n">
        <f aca="false">IF(AR97&lt;=0,0,IF(AT97&lt;=0,AR97,AR97-G97*MAX(0,AT97*AR97-(BA97+BB97))))</f>
        <v>0</v>
      </c>
      <c r="Y97" s="60" t="n">
        <f aca="false">T97+V97-S97+W97+X97</f>
        <v>0</v>
      </c>
      <c r="Z97" s="60" t="n">
        <f aca="false">'Plan cashflow'!UK97</f>
        <v>0</v>
      </c>
      <c r="AA97" s="20" t="n">
        <f aca="false">MIN(Z97,U97)</f>
        <v>0</v>
      </c>
      <c r="AB97" s="20" t="n">
        <f aca="false">Z97-AA97</f>
        <v>0</v>
      </c>
      <c r="AC97" s="20" t="n">
        <f aca="false">MIN(AA97,J97+O97+R97)</f>
        <v>0</v>
      </c>
      <c r="AD97" s="20" t="n">
        <f aca="false">AA97-AC97</f>
        <v>0</v>
      </c>
      <c r="AE97" s="20" t="n">
        <f aca="false">J97+O97+R97-AC97</f>
        <v>0</v>
      </c>
      <c r="AF97" s="20" t="n">
        <f aca="false">K97-AD97</f>
        <v>0</v>
      </c>
      <c r="AG97" s="20" t="n">
        <f aca="false">SUM(PR97:TD97)</f>
        <v>0</v>
      </c>
      <c r="AH97" s="20" t="n">
        <f aca="false">SUM(TE97:WQ97)</f>
        <v>0</v>
      </c>
      <c r="AI97" s="20" t="n">
        <f aca="false">MAX(0,AB97-AG97)</f>
        <v>0</v>
      </c>
      <c r="AJ97" s="57" t="n">
        <f aca="false">BI96</f>
        <v>0</v>
      </c>
      <c r="AK97" s="20" t="n">
        <f aca="false">BJ96</f>
        <v>0</v>
      </c>
      <c r="AL97" s="20" t="n">
        <f aca="false">IF(AJ97&gt;0,(AJ97-AK97)/AJ97,0)</f>
        <v>0</v>
      </c>
      <c r="AM97" s="20" t="n">
        <f aca="false">IF(AJ97&lt;=0,0,IF(AL97&lt;=0,MIN(AI97,AJ97),MIN(AI97,AJ97-G97*MAX(0,AL97*AJ97-(AAD97+ADQ97)))))</f>
        <v>0</v>
      </c>
      <c r="AN97" s="20" t="n">
        <f aca="false">IF(AJ97&lt;=0,0,IF(AL97&lt;=0,AM97,IF(AM97&lt;=(AAD97+ADQ97)/AL97,AM97,(AM97-G97*(AAD97+ADQ97))/(1-G97*AL97))))</f>
        <v>0</v>
      </c>
      <c r="AO97" s="20" t="n">
        <f aca="false">IF(AL97&gt;0,MAX(0,AAD97-(MIN(AL97*AN97,(AAD97+ADQ97))-MIN(MIN(AL97*AN97,(AAD97+ADQ97)),ADQ97))),AAD97)</f>
        <v>1270</v>
      </c>
      <c r="AP97" s="20" t="n">
        <f aca="false">IF(AL97&lt;=0,ADQ97-AL97*AN97,ADQ97-MIN(MIN(AL97*AN97,(AAD97+ADQ97)),ADQ97))</f>
        <v>0</v>
      </c>
      <c r="AQ97" s="20" t="n">
        <f aca="false">MAX(0,AI97-AM97)</f>
        <v>0</v>
      </c>
      <c r="AR97" s="57" t="n">
        <f aca="false">BK96</f>
        <v>0</v>
      </c>
      <c r="AS97" s="20" t="n">
        <f aca="false">BL96</f>
        <v>0</v>
      </c>
      <c r="AT97" s="20" t="n">
        <f aca="false">IF(AR97&gt;0,(AR97-AS97)/AR97,0)</f>
        <v>0</v>
      </c>
      <c r="AU97" s="20" t="n">
        <f aca="false">IF(AR97&lt;=0,0,IF(AT97&lt;=0,MIN(AQ97,AR97),MIN(AQ97,AR97-G97*MAX(0,AT97*AR97-(AO97+AP97)))))</f>
        <v>0</v>
      </c>
      <c r="AV97" s="20" t="n">
        <f aca="false">IF(AR97&lt;=0,0,IF(AT97&lt;=0,AU97,IF(AU97&lt;=(AO97+AP97)/AT97,AU97,(AU97-G97*(AO97+AP97))/(1-G97*AT97))))</f>
        <v>0</v>
      </c>
      <c r="AW97" s="20" t="n">
        <f aca="false">IF(AT97&gt;0,MAX(0,AO97-(MIN(AT97*AV97,(AO97+AP97))-MIN(MIN(AT97*AV97,(AO97+AP97)),AP97))),AO97)</f>
        <v>1270</v>
      </c>
      <c r="AX97" s="20" t="n">
        <f aca="false">IF(AT97&lt;=0,AP97-AT97*AV97,AP97-MIN(MIN(AT97*AV97,(AO97+AP97)),AP97))</f>
        <v>0</v>
      </c>
      <c r="AY97" s="20" t="n">
        <f aca="false">MD97</f>
        <v>1270</v>
      </c>
      <c r="AZ97" s="20" t="n">
        <f aca="false">PQ97</f>
        <v>0</v>
      </c>
      <c r="BA97" s="20" t="n">
        <f aca="false">IF(AL97&gt;0,MAX(0,AY97-(MIN(AL97*AJ97,AY97+AZ97)-MIN(MIN(AL97*AJ97,AY97+AZ97),AZ97))),AY97)</f>
        <v>1270</v>
      </c>
      <c r="BB97" s="20" t="n">
        <f aca="false">IF(AL97&lt;=0,AZ97-AL97*AJ97,AZ97-MIN(MIN(AL97*AJ97,AY97+AZ97),AZ97))</f>
        <v>0</v>
      </c>
      <c r="BC97" s="20" t="n">
        <f aca="false">'Plan cashflow'!UM97</f>
        <v>0</v>
      </c>
      <c r="BD97" s="20" t="n">
        <f aca="false">(1-H_Sh)*BC97</f>
        <v>0</v>
      </c>
      <c r="BE97" s="20" t="n">
        <f aca="false">H_Sh*BC97</f>
        <v>0</v>
      </c>
      <c r="BF97" s="60" t="n">
        <f aca="false">(AE97+BD97)*(1+AS_Cash)</f>
        <v>0</v>
      </c>
      <c r="BG97" s="60" t="n">
        <f aca="false">AF97*(1+AS_Cash)</f>
        <v>0</v>
      </c>
      <c r="BH97" s="60" t="n">
        <f aca="false">SUM(AKR97:AOD97)</f>
        <v>0</v>
      </c>
      <c r="BI97" s="60" t="n">
        <f aca="false">(AJ97-AN97)*(1+AS_Infl)</f>
        <v>0</v>
      </c>
      <c r="BJ97" s="20" t="n">
        <f aca="false">IF(AJ97&gt;0,AK97-AK97*AN97/AJ97,0)</f>
        <v>0</v>
      </c>
      <c r="BK97" s="60" t="n">
        <f aca="false">(AR97-AV97)*(1+BQ97)</f>
        <v>0</v>
      </c>
      <c r="BL97" s="20" t="n">
        <f aca="false">IF(AR97&gt;0,AS97-AS97*AV97/AR97,0)</f>
        <v>0</v>
      </c>
      <c r="BM97" s="60" t="n">
        <f aca="false">BF97+BG97+BH97+BI97+BK97</f>
        <v>0</v>
      </c>
      <c r="BN97" s="60" t="n">
        <f aca="false">(AH97-AG97)+(AN97-AM97)+(AV97-AU97)</f>
        <v>0</v>
      </c>
      <c r="BO97" s="20" t="n">
        <f aca="false">(AE97+BD97+AF97+MAX(0,'Plan cashflow'!QH97)+IF(Slot1_Rate=AS_Cash,'Plan cashflow'!QM97/(1+AS_Cash),0)+IF(Slot2_Rate=AS_Cash,'Plan cashflow'!QQ97/(1+AS_Cash),0)+IF(Slot3_Rate=AS_Cash,'Plan cashflow'!QU97/(1+AS_Cash),0)+IF(Slot4_Rate=AS_Cash,'Plan cashflow'!QY97/(1+AS_Cash),0)+IF(Slot5_Rate=AS_Cash,'Plan cashflow'!RC97/(1+AS_Cash),0)+IF(Slot6_Rate=AS_Cash,'Plan cashflow'!RG97/(1+AS_Cash),0)+IF(Slot7_Rate=AS_Cash,'Plan cashflow'!RK97/(1+AS_Cash),0)+IF(Slot8_Rate=AS_Cash,'Plan cashflow'!RO97/(1+AS_Cash),0)+IF(Slot9_Rate=AS_Cash,'Plan cashflow'!RS97/(1+AS_Cash),0)+IF(Slot10_Rate=AS_Cash,'Plan cashflow'!RW97/(1+AS_Cash),0)+IF(Slot11_Rate=AS_Cash,'Plan cashflow'!SA97/(1+AS_Cash),0)+IF(Slot12_Rate=AS_Cash,'Plan cashflow'!SE97/(1+AS_Cash),0)+IF(Slot13_Rate=AS_Cash,'Plan cashflow'!SI97/(1+AS_Cash),0)+IF(Slot14_Rate=AS_Cash,'Plan cashflow'!SM97/(1+AS_Cash),0)+IF(Slot15_Rate=AS_Cash,'Plan cashflow'!SQ97/(1+AS_Cash),0)+IF(Slot16_Rate=AS_Cash,'Plan cashflow'!SU97/(1+AS_Cash),0)+IF(Slot17_Rate=AS_Cash,'Plan cashflow'!SY97/(1+AS_Cash),0)+IF(Slot18_Rate=AS_Cash,'Plan cashflow'!TC97/(1+AS_Cash),0)+IF(Slot19_Rate=AS_Cash,'Plan cashflow'!TG97/(1+AS_Cash),0)+IF(Slot20_Rate=AS_Cash,'Plan cashflow'!TK97/(1+AS_Cash),0))*AS_Cash*H_DIRT/(1-H_DIRT)</f>
        <v>0</v>
      </c>
      <c r="BP97" s="60" t="n">
        <f aca="false">SUM(AVE97:AYQ97)</f>
        <v>0</v>
      </c>
      <c r="BQ97" s="54" t="n">
        <f aca="false">IF(H_TaxEvt=1,H_InvG,AS_Inv)</f>
        <v>0.04</v>
      </c>
      <c r="BR97" s="20" t="n">
        <f aca="false">IF(AKR96&gt;0,(AKR96-AOE96)/AKR96,0)</f>
        <v>0</v>
      </c>
      <c r="BS97" s="20" t="n">
        <f aca="false">IF(AKS96&gt;0,(AKS96-AOF96)/AKS96,0)</f>
        <v>0</v>
      </c>
      <c r="BT97" s="20" t="n">
        <f aca="false">IF(AKT96&gt;0,(AKT96-AOG96)/AKT96,0)</f>
        <v>0</v>
      </c>
      <c r="BU97" s="20" t="n">
        <f aca="false">IF(AKU96&gt;0,(AKU96-AOH96)/AKU96,0)</f>
        <v>0</v>
      </c>
      <c r="BV97" s="20" t="n">
        <f aca="false">IF(AKV96&gt;0,(AKV96-AOI96)/AKV96,0)</f>
        <v>0</v>
      </c>
      <c r="BW97" s="20" t="n">
        <f aca="false">IF(AKW96&gt;0,(AKW96-AOJ96)/AKW96,0)</f>
        <v>0</v>
      </c>
      <c r="BX97" s="20" t="n">
        <f aca="false">IF(AKX96&gt;0,(AKX96-AOK96)/AKX96,0)</f>
        <v>0</v>
      </c>
      <c r="BY97" s="20" t="n">
        <f aca="false">IF(AKY96&gt;0,(AKY96-AOL96)/AKY96,0)</f>
        <v>0</v>
      </c>
      <c r="BZ97" s="20" t="n">
        <f aca="false">IF(AKZ96&gt;0,(AKZ96-AOM96)/AKZ96,0)</f>
        <v>0</v>
      </c>
      <c r="CA97" s="20" t="n">
        <f aca="false">IF(ALA96&gt;0,(ALA96-AON96)/ALA96,0)</f>
        <v>0</v>
      </c>
      <c r="CB97" s="20" t="n">
        <f aca="false">IF(ALB96&gt;0,(ALB96-AOO96)/ALB96,0)</f>
        <v>0</v>
      </c>
      <c r="CC97" s="20" t="n">
        <f aca="false">IF(ALC96&gt;0,(ALC96-AOP96)/ALC96,0)</f>
        <v>0</v>
      </c>
      <c r="CD97" s="20" t="n">
        <f aca="false">IF(ALD96&gt;0,(ALD96-AOQ96)/ALD96,0)</f>
        <v>0</v>
      </c>
      <c r="CE97" s="20" t="n">
        <f aca="false">IF(ALE96&gt;0,(ALE96-AOR96)/ALE96,0)</f>
        <v>0</v>
      </c>
      <c r="CF97" s="20" t="n">
        <f aca="false">IF(ALF96&gt;0,(ALF96-AOS96)/ALF96,0)</f>
        <v>0</v>
      </c>
      <c r="CG97" s="20" t="n">
        <f aca="false">IF(ALG96&gt;0,(ALG96-AOT96)/ALG96,0)</f>
        <v>0</v>
      </c>
      <c r="CH97" s="20" t="n">
        <f aca="false">IF(ALH96&gt;0,(ALH96-AOU96)/ALH96,0)</f>
        <v>0</v>
      </c>
      <c r="CI97" s="20" t="n">
        <f aca="false">IF(ALI96&gt;0,(ALI96-AOV96)/ALI96,0)</f>
        <v>0</v>
      </c>
      <c r="CJ97" s="20" t="n">
        <f aca="false">IF(ALJ96&gt;0,(ALJ96-AOW96)/ALJ96,0)</f>
        <v>0</v>
      </c>
      <c r="CK97" s="20" t="n">
        <f aca="false">IF(ALK96&gt;0,(ALK96-AOX96)/ALK96,0)</f>
        <v>0</v>
      </c>
      <c r="CL97" s="20" t="n">
        <f aca="false">IF(ALL96&gt;0,(ALL96-AOY96)/ALL96,0)</f>
        <v>0</v>
      </c>
      <c r="CM97" s="20" t="n">
        <f aca="false">IF(ALM96&gt;0,(ALM96-AOZ96)/ALM96,0)</f>
        <v>0</v>
      </c>
      <c r="CN97" s="20" t="n">
        <f aca="false">IF(ALN96&gt;0,(ALN96-APA96)/ALN96,0)</f>
        <v>0</v>
      </c>
      <c r="CO97" s="20" t="n">
        <f aca="false">IF(ALO96&gt;0,(ALO96-APB96)/ALO96,0)</f>
        <v>0</v>
      </c>
      <c r="CP97" s="20" t="n">
        <f aca="false">IF(ALP96&gt;0,(ALP96-APC96)/ALP96,0)</f>
        <v>0</v>
      </c>
      <c r="CQ97" s="20" t="n">
        <f aca="false">IF(ALQ96&gt;0,(ALQ96-APD96)/ALQ96,0)</f>
        <v>0</v>
      </c>
      <c r="CR97" s="20" t="n">
        <f aca="false">IF(ALR96&gt;0,(ALR96-APE96)/ALR96,0)</f>
        <v>0</v>
      </c>
      <c r="CS97" s="20" t="n">
        <f aca="false">IF(ALS96&gt;0,(ALS96-APF96)/ALS96,0)</f>
        <v>0</v>
      </c>
      <c r="CT97" s="20" t="n">
        <f aca="false">IF(ALT96&gt;0,(ALT96-APG96)/ALT96,0)</f>
        <v>0</v>
      </c>
      <c r="CU97" s="20" t="n">
        <f aca="false">IF(ALU96&gt;0,(ALU96-APH96)/ALU96,0)</f>
        <v>0</v>
      </c>
      <c r="CV97" s="20" t="n">
        <f aca="false">IF(ALV96&gt;0,(ALV96-API96)/ALV96,0)</f>
        <v>0</v>
      </c>
      <c r="CW97" s="20" t="n">
        <f aca="false">IF(ALW96&gt;0,(ALW96-APJ96)/ALW96,0)</f>
        <v>0</v>
      </c>
      <c r="CX97" s="20" t="n">
        <f aca="false">IF(ALX96&gt;0,(ALX96-APK96)/ALX96,0)</f>
        <v>0</v>
      </c>
      <c r="CY97" s="20" t="n">
        <f aca="false">IF(ALY96&gt;0,(ALY96-APL96)/ALY96,0)</f>
        <v>0</v>
      </c>
      <c r="CZ97" s="20" t="n">
        <f aca="false">IF(ALZ96&gt;0,(ALZ96-APM96)/ALZ96,0)</f>
        <v>0</v>
      </c>
      <c r="DA97" s="20" t="n">
        <f aca="false">IF(AMA96&gt;0,(AMA96-APN96)/AMA96,0)</f>
        <v>0</v>
      </c>
      <c r="DB97" s="20" t="n">
        <f aca="false">IF(AMB96&gt;0,(AMB96-APO96)/AMB96,0)</f>
        <v>0</v>
      </c>
      <c r="DC97" s="20" t="n">
        <f aca="false">IF(AMC96&gt;0,(AMC96-APP96)/AMC96,0)</f>
        <v>0</v>
      </c>
      <c r="DD97" s="20" t="n">
        <f aca="false">IF(AMD96&gt;0,(AMD96-APQ96)/AMD96,0)</f>
        <v>0</v>
      </c>
      <c r="DE97" s="20" t="n">
        <f aca="false">IF(AME96&gt;0,(AME96-APR96)/AME96,0)</f>
        <v>0</v>
      </c>
      <c r="DF97" s="20" t="n">
        <f aca="false">IF(AMF96&gt;0,(AMF96-APS96)/AMF96,0)</f>
        <v>0</v>
      </c>
      <c r="DG97" s="20" t="n">
        <f aca="false">IF(AMG96&gt;0,(AMG96-APT96)/AMG96,0)</f>
        <v>0</v>
      </c>
      <c r="DH97" s="20" t="n">
        <f aca="false">IF(AMH96&gt;0,(AMH96-APU96)/AMH96,0)</f>
        <v>0</v>
      </c>
      <c r="DI97" s="20" t="n">
        <f aca="false">IF(AMI96&gt;0,(AMI96-APV96)/AMI96,0)</f>
        <v>0</v>
      </c>
      <c r="DJ97" s="20" t="n">
        <f aca="false">IF(AMJ96&gt;0,(AMJ96-APW96)/AMJ96,0)</f>
        <v>0</v>
      </c>
      <c r="DK97" s="20" t="n">
        <f aca="false">IF(AMK96&gt;0,(AMK96-APX96)/AMK96,0)</f>
        <v>0</v>
      </c>
      <c r="DL97" s="20" t="n">
        <f aca="false">IF(AML96&gt;0,(AML96-APY96)/AML96,0)</f>
        <v>0</v>
      </c>
      <c r="DM97" s="20" t="n">
        <f aca="false">IF(AMM96&gt;0,(AMM96-APZ96)/AMM96,0)</f>
        <v>0</v>
      </c>
      <c r="DN97" s="20" t="n">
        <f aca="false">IF(AMN96&gt;0,(AMN96-AQA96)/AMN96,0)</f>
        <v>0</v>
      </c>
      <c r="DO97" s="20" t="n">
        <f aca="false">IF(AMO96&gt;0,(AMO96-AQB96)/AMO96,0)</f>
        <v>0</v>
      </c>
      <c r="DP97" s="20" t="n">
        <f aca="false">IF(AMP96&gt;0,(AMP96-AQC96)/AMP96,0)</f>
        <v>0</v>
      </c>
      <c r="DQ97" s="20" t="n">
        <f aca="false">IF(AMQ96&gt;0,(AMQ96-AQD96)/AMQ96,0)</f>
        <v>0</v>
      </c>
      <c r="DR97" s="20" t="n">
        <f aca="false">IF(AMR96&gt;0,(AMR96-AQE96)/AMR96,0)</f>
        <v>0</v>
      </c>
      <c r="DS97" s="20" t="n">
        <f aca="false">IF(AMS96&gt;0,(AMS96-AQF96)/AMS96,0)</f>
        <v>0</v>
      </c>
      <c r="DT97" s="20" t="n">
        <f aca="false">IF(AMT96&gt;0,(AMT96-AQG96)/AMT96,0)</f>
        <v>0</v>
      </c>
      <c r="DU97" s="20" t="n">
        <f aca="false">IF(AMU96&gt;0,(AMU96-AQH96)/AMU96,0)</f>
        <v>0</v>
      </c>
      <c r="DV97" s="20" t="n">
        <f aca="false">IF(AMV96&gt;0,(AMV96-AQI96)/AMV96,0)</f>
        <v>0</v>
      </c>
      <c r="DW97" s="20" t="n">
        <f aca="false">IF(AMW96&gt;0,(AMW96-AQJ96)/AMW96,0)</f>
        <v>0</v>
      </c>
      <c r="DX97" s="20" t="n">
        <f aca="false">IF(AMX96&gt;0,(AMX96-AQK96)/AMX96,0)</f>
        <v>0</v>
      </c>
      <c r="DY97" s="20" t="n">
        <f aca="false">IF(AMY96&gt;0,(AMY96-AQL96)/AMY96,0)</f>
        <v>0</v>
      </c>
      <c r="DZ97" s="20" t="n">
        <f aca="false">IF(AMZ96&gt;0,(AMZ96-AQM96)/AMZ96,0)</f>
        <v>0</v>
      </c>
      <c r="EA97" s="20" t="n">
        <f aca="false">IF(ANA96&gt;0,(ANA96-AQN96)/ANA96,0)</f>
        <v>0</v>
      </c>
      <c r="EB97" s="20" t="n">
        <f aca="false">IF(ANB96&gt;0,(ANB96-AQO96)/ANB96,0)</f>
        <v>0</v>
      </c>
      <c r="EC97" s="20" t="n">
        <f aca="false">IF(ANC96&gt;0,(ANC96-AQP96)/ANC96,0)</f>
        <v>0</v>
      </c>
      <c r="ED97" s="20" t="n">
        <f aca="false">IF(AND96&gt;0,(AND96-AQQ96)/AND96,0)</f>
        <v>0</v>
      </c>
      <c r="EE97" s="20" t="n">
        <f aca="false">IF(ANE96&gt;0,(ANE96-AQR96)/ANE96,0)</f>
        <v>0</v>
      </c>
      <c r="EF97" s="20" t="n">
        <f aca="false">IF(ANF96&gt;0,(ANF96-AQS96)/ANF96,0)</f>
        <v>0</v>
      </c>
      <c r="EG97" s="20" t="n">
        <f aca="false">IF(ANG96&gt;0,(ANG96-AQT96)/ANG96,0)</f>
        <v>0</v>
      </c>
      <c r="EH97" s="20" t="n">
        <f aca="false">IF(ANH96&gt;0,(ANH96-AQU96)/ANH96,0)</f>
        <v>0</v>
      </c>
      <c r="EI97" s="20" t="n">
        <f aca="false">IF(ANI96&gt;0,(ANI96-AQV96)/ANI96,0)</f>
        <v>0</v>
      </c>
      <c r="EJ97" s="20" t="n">
        <f aca="false">IF(ANJ96&gt;0,(ANJ96-AQW96)/ANJ96,0)</f>
        <v>0</v>
      </c>
      <c r="EK97" s="20" t="n">
        <f aca="false">IF(ANK96&gt;0,(ANK96-AQX96)/ANK96,0)</f>
        <v>0</v>
      </c>
      <c r="EL97" s="20" t="n">
        <f aca="false">IF(ANL96&gt;0,(ANL96-AQY96)/ANL96,0)</f>
        <v>0</v>
      </c>
      <c r="EM97" s="20" t="n">
        <f aca="false">IF(ANM96&gt;0,(ANM96-AQZ96)/ANM96,0)</f>
        <v>0</v>
      </c>
      <c r="EN97" s="20" t="n">
        <f aca="false">IF(ANN96&gt;0,(ANN96-ARA96)/ANN96,0)</f>
        <v>0</v>
      </c>
      <c r="EO97" s="20" t="n">
        <f aca="false">IF(ANO96&gt;0,(ANO96-ARB96)/ANO96,0)</f>
        <v>0</v>
      </c>
      <c r="EP97" s="20" t="n">
        <f aca="false">IF(ANP96&gt;0,(ANP96-ARC96)/ANP96,0)</f>
        <v>0</v>
      </c>
      <c r="EQ97" s="20" t="n">
        <f aca="false">IF(ANQ96&gt;0,(ANQ96-ARD96)/ANQ96,0)</f>
        <v>0</v>
      </c>
      <c r="ER97" s="20" t="n">
        <f aca="false">IF(ANR96&gt;0,(ANR96-ARE96)/ANR96,0)</f>
        <v>0</v>
      </c>
      <c r="ES97" s="20" t="n">
        <f aca="false">IF(ANS96&gt;0,(ANS96-ARF96)/ANS96,0)</f>
        <v>0</v>
      </c>
      <c r="ET97" s="20" t="n">
        <f aca="false">IF(ANT96&gt;0,(ANT96-ARG96)/ANT96,0)</f>
        <v>0</v>
      </c>
      <c r="EU97" s="20" t="n">
        <f aca="false">IF(ANU96&gt;0,(ANU96-ARH96)/ANU96,0)</f>
        <v>0</v>
      </c>
      <c r="EV97" s="20" t="n">
        <f aca="false">IF(ANV96&gt;0,(ANV96-ARI96)/ANV96,0)</f>
        <v>0</v>
      </c>
      <c r="EW97" s="20" t="n">
        <f aca="false">IF(ANW96&gt;0,(ANW96-ARJ96)/ANW96,0)</f>
        <v>0</v>
      </c>
      <c r="EX97" s="20" t="n">
        <f aca="false">IF(ANX96&gt;0,(ANX96-ARK96)/ANX96,0)</f>
        <v>0</v>
      </c>
      <c r="EY97" s="20" t="n">
        <f aca="false">IF(ANY96&gt;0,(ANY96-ARL96)/ANY96,0)</f>
        <v>0</v>
      </c>
      <c r="EZ97" s="20" t="n">
        <f aca="false">IF(ANZ96&gt;0,(ANZ96-ARM96)/ANZ96,0)</f>
        <v>0</v>
      </c>
      <c r="FA97" s="20" t="n">
        <f aca="false">IF(AOA96&gt;0,(AOA96-ARN96)/AOA96,0)</f>
        <v>0</v>
      </c>
      <c r="FB97" s="20" t="n">
        <f aca="false">IF(AOB96&gt;0,(AOB96-ARO96)/AOB96,0)</f>
        <v>0</v>
      </c>
      <c r="FC97" s="20" t="n">
        <f aca="false">IF(AOC96&gt;0,(AOC96-ARP96)/AOC96,0)</f>
        <v>0</v>
      </c>
      <c r="FD97" s="20" t="n">
        <f aca="false">IF((P97+S97)&gt;0,((P97+S97)-(P97+S97))/(P97+S97),0)</f>
        <v>0</v>
      </c>
      <c r="FE97" s="20" t="n">
        <f aca="false">IF(H_Direct=1,IF(AKR96&lt;=0,0,IF(BR97&lt;=0,AKR96,AKR96-G97*MAX(0,BR97*AKR96-(H97+I97)))),AKR96*(1-MAX(0,BR97)*H_Exit))</f>
        <v>0</v>
      </c>
      <c r="FF97" s="20" t="n">
        <f aca="false">IF(H_Direct=1,IF(AKS96&lt;=0,0,IF(BS97&lt;=0,AKS96,AKS96-G97*MAX(0,BS97*AKS96-(IR97+ME97)))),AKS96*(1-MAX(0,BS97)*H_Exit))</f>
        <v>0</v>
      </c>
      <c r="FG97" s="20" t="n">
        <f aca="false">IF(H_Direct=1,IF(AKT96&lt;=0,0,IF(BT97&lt;=0,AKT96,AKT96-G97*MAX(0,BT97*AKT96-(IS97+MF97)))),AKT96*(1-MAX(0,BT97)*H_Exit))</f>
        <v>0</v>
      </c>
      <c r="FH97" s="20" t="n">
        <f aca="false">IF(H_Direct=1,IF(AKU96&lt;=0,0,IF(BU97&lt;=0,AKU96,AKU96-G97*MAX(0,BU97*AKU96-(IT97+MG97)))),AKU96*(1-MAX(0,BU97)*H_Exit))</f>
        <v>0</v>
      </c>
      <c r="FI97" s="20" t="n">
        <f aca="false">IF(H_Direct=1,IF(AKV96&lt;=0,0,IF(BV97&lt;=0,AKV96,AKV96-G97*MAX(0,BV97*AKV96-(IU97+MH97)))),AKV96*(1-MAX(0,BV97)*H_Exit))</f>
        <v>0</v>
      </c>
      <c r="FJ97" s="20" t="n">
        <f aca="false">IF(H_Direct=1,IF(AKW96&lt;=0,0,IF(BW97&lt;=0,AKW96,AKW96-G97*MAX(0,BW97*AKW96-(IV97+MI97)))),AKW96*(1-MAX(0,BW97)*H_Exit))</f>
        <v>0</v>
      </c>
      <c r="FK97" s="20" t="n">
        <f aca="false">IF(H_Direct=1,IF(AKX96&lt;=0,0,IF(BX97&lt;=0,AKX96,AKX96-G97*MAX(0,BX97*AKX96-(IW97+MJ97)))),AKX96*(1-MAX(0,BX97)*H_Exit))</f>
        <v>0</v>
      </c>
      <c r="FL97" s="20" t="n">
        <f aca="false">IF(H_Direct=1,IF(AKY96&lt;=0,0,IF(BY97&lt;=0,AKY96,AKY96-G97*MAX(0,BY97*AKY96-(IX97+MK97)))),AKY96*(1-MAX(0,BY97)*H_Exit))</f>
        <v>0</v>
      </c>
      <c r="FM97" s="20" t="n">
        <f aca="false">IF(H_Direct=1,IF(AKZ96&lt;=0,0,IF(BZ97&lt;=0,AKZ96,AKZ96-G97*MAX(0,BZ97*AKZ96-(IY97+ML97)))),AKZ96*(1-MAX(0,BZ97)*H_Exit))</f>
        <v>0</v>
      </c>
      <c r="FN97" s="20" t="n">
        <f aca="false">IF(H_Direct=1,IF(ALA96&lt;=0,0,IF(CA97&lt;=0,ALA96,ALA96-G97*MAX(0,CA97*ALA96-(IZ97+MM97)))),ALA96*(1-MAX(0,CA97)*H_Exit))</f>
        <v>0</v>
      </c>
      <c r="FO97" s="20" t="n">
        <f aca="false">IF(H_Direct=1,IF(ALB96&lt;=0,0,IF(CB97&lt;=0,ALB96,ALB96-G97*MAX(0,CB97*ALB96-(JA97+MN97)))),ALB96*(1-MAX(0,CB97)*H_Exit))</f>
        <v>0</v>
      </c>
      <c r="FP97" s="20" t="n">
        <f aca="false">IF(H_Direct=1,IF(ALC96&lt;=0,0,IF(CC97&lt;=0,ALC96,ALC96-G97*MAX(0,CC97*ALC96-(JB97+MO97)))),ALC96*(1-MAX(0,CC97)*H_Exit))</f>
        <v>0</v>
      </c>
      <c r="FQ97" s="20" t="n">
        <f aca="false">IF(H_Direct=1,IF(ALD96&lt;=0,0,IF(CD97&lt;=0,ALD96,ALD96-G97*MAX(0,CD97*ALD96-(JC97+MP97)))),ALD96*(1-MAX(0,CD97)*H_Exit))</f>
        <v>0</v>
      </c>
      <c r="FR97" s="20" t="n">
        <f aca="false">IF(H_Direct=1,IF(ALE96&lt;=0,0,IF(CE97&lt;=0,ALE96,ALE96-G97*MAX(0,CE97*ALE96-(JD97+MQ97)))),ALE96*(1-MAX(0,CE97)*H_Exit))</f>
        <v>0</v>
      </c>
      <c r="FS97" s="20" t="n">
        <f aca="false">IF(H_Direct=1,IF(ALF96&lt;=0,0,IF(CF97&lt;=0,ALF96,ALF96-G97*MAX(0,CF97*ALF96-(JE97+MR97)))),ALF96*(1-MAX(0,CF97)*H_Exit))</f>
        <v>0</v>
      </c>
      <c r="FT97" s="20" t="n">
        <f aca="false">IF(H_Direct=1,IF(ALG96&lt;=0,0,IF(CG97&lt;=0,ALG96,ALG96-G97*MAX(0,CG97*ALG96-(JF97+MS97)))),ALG96*(1-MAX(0,CG97)*H_Exit))</f>
        <v>0</v>
      </c>
      <c r="FU97" s="20" t="n">
        <f aca="false">IF(H_Direct=1,IF(ALH96&lt;=0,0,IF(CH97&lt;=0,ALH96,ALH96-G97*MAX(0,CH97*ALH96-(JG97+MT97)))),ALH96*(1-MAX(0,CH97)*H_Exit))</f>
        <v>0</v>
      </c>
      <c r="FV97" s="20" t="n">
        <f aca="false">IF(H_Direct=1,IF(ALI96&lt;=0,0,IF(CI97&lt;=0,ALI96,ALI96-G97*MAX(0,CI97*ALI96-(JH97+MU97)))),ALI96*(1-MAX(0,CI97)*H_Exit))</f>
        <v>0</v>
      </c>
      <c r="FW97" s="20" t="n">
        <f aca="false">IF(H_Direct=1,IF(ALJ96&lt;=0,0,IF(CJ97&lt;=0,ALJ96,ALJ96-G97*MAX(0,CJ97*ALJ96-(JI97+MV97)))),ALJ96*(1-MAX(0,CJ97)*H_Exit))</f>
        <v>0</v>
      </c>
      <c r="FX97" s="20" t="n">
        <f aca="false">IF(H_Direct=1,IF(ALK96&lt;=0,0,IF(CK97&lt;=0,ALK96,ALK96-G97*MAX(0,CK97*ALK96-(JJ97+MW97)))),ALK96*(1-MAX(0,CK97)*H_Exit))</f>
        <v>0</v>
      </c>
      <c r="FY97" s="20" t="n">
        <f aca="false">IF(H_Direct=1,IF(ALL96&lt;=0,0,IF(CL97&lt;=0,ALL96,ALL96-G97*MAX(0,CL97*ALL96-(JK97+MX97)))),ALL96*(1-MAX(0,CL97)*H_Exit))</f>
        <v>0</v>
      </c>
      <c r="FZ97" s="20" t="n">
        <f aca="false">IF(H_Direct=1,IF(ALM96&lt;=0,0,IF(CM97&lt;=0,ALM96,ALM96-G97*MAX(0,CM97*ALM96-(JL97+MY97)))),ALM96*(1-MAX(0,CM97)*H_Exit))</f>
        <v>0</v>
      </c>
      <c r="GA97" s="20" t="n">
        <f aca="false">IF(H_Direct=1,IF(ALN96&lt;=0,0,IF(CN97&lt;=0,ALN96,ALN96-G97*MAX(0,CN97*ALN96-(JM97+MZ97)))),ALN96*(1-MAX(0,CN97)*H_Exit))</f>
        <v>0</v>
      </c>
      <c r="GB97" s="20" t="n">
        <f aca="false">IF(H_Direct=1,IF(ALO96&lt;=0,0,IF(CO97&lt;=0,ALO96,ALO96-G97*MAX(0,CO97*ALO96-(JN97+NA97)))),ALO96*(1-MAX(0,CO97)*H_Exit))</f>
        <v>0</v>
      </c>
      <c r="GC97" s="20" t="n">
        <f aca="false">IF(H_Direct=1,IF(ALP96&lt;=0,0,IF(CP97&lt;=0,ALP96,ALP96-G97*MAX(0,CP97*ALP96-(JO97+NB97)))),ALP96*(1-MAX(0,CP97)*H_Exit))</f>
        <v>0</v>
      </c>
      <c r="GD97" s="20" t="n">
        <f aca="false">IF(H_Direct=1,IF(ALQ96&lt;=0,0,IF(CQ97&lt;=0,ALQ96,ALQ96-G97*MAX(0,CQ97*ALQ96-(JP97+NC97)))),ALQ96*(1-MAX(0,CQ97)*H_Exit))</f>
        <v>0</v>
      </c>
      <c r="GE97" s="20" t="n">
        <f aca="false">IF(H_Direct=1,IF(ALR96&lt;=0,0,IF(CR97&lt;=0,ALR96,ALR96-G97*MAX(0,CR97*ALR96-(JQ97+ND97)))),ALR96*(1-MAX(0,CR97)*H_Exit))</f>
        <v>0</v>
      </c>
      <c r="GF97" s="20" t="n">
        <f aca="false">IF(H_Direct=1,IF(ALS96&lt;=0,0,IF(CS97&lt;=0,ALS96,ALS96-G97*MAX(0,CS97*ALS96-(JR97+NE97)))),ALS96*(1-MAX(0,CS97)*H_Exit))</f>
        <v>0</v>
      </c>
      <c r="GG97" s="20" t="n">
        <f aca="false">IF(H_Direct=1,IF(ALT96&lt;=0,0,IF(CT97&lt;=0,ALT96,ALT96-G97*MAX(0,CT97*ALT96-(JS97+NF97)))),ALT96*(1-MAX(0,CT97)*H_Exit))</f>
        <v>0</v>
      </c>
      <c r="GH97" s="20" t="n">
        <f aca="false">IF(H_Direct=1,IF(ALU96&lt;=0,0,IF(CU97&lt;=0,ALU96,ALU96-G97*MAX(0,CU97*ALU96-(JT97+NG97)))),ALU96*(1-MAX(0,CU97)*H_Exit))</f>
        <v>0</v>
      </c>
      <c r="GI97" s="20" t="n">
        <f aca="false">IF(H_Direct=1,IF(ALV96&lt;=0,0,IF(CV97&lt;=0,ALV96,ALV96-G97*MAX(0,CV97*ALV96-(JU97+NH97)))),ALV96*(1-MAX(0,CV97)*H_Exit))</f>
        <v>0</v>
      </c>
      <c r="GJ97" s="20" t="n">
        <f aca="false">IF(H_Direct=1,IF(ALW96&lt;=0,0,IF(CW97&lt;=0,ALW96,ALW96-G97*MAX(0,CW97*ALW96-(JV97+NI97)))),ALW96*(1-MAX(0,CW97)*H_Exit))</f>
        <v>0</v>
      </c>
      <c r="GK97" s="20" t="n">
        <f aca="false">IF(H_Direct=1,IF(ALX96&lt;=0,0,IF(CX97&lt;=0,ALX96,ALX96-G97*MAX(0,CX97*ALX96-(JW97+NJ97)))),ALX96*(1-MAX(0,CX97)*H_Exit))</f>
        <v>0</v>
      </c>
      <c r="GL97" s="20" t="n">
        <f aca="false">IF(H_Direct=1,IF(ALY96&lt;=0,0,IF(CY97&lt;=0,ALY96,ALY96-G97*MAX(0,CY97*ALY96-(JX97+NK97)))),ALY96*(1-MAX(0,CY97)*H_Exit))</f>
        <v>0</v>
      </c>
      <c r="GM97" s="20" t="n">
        <f aca="false">IF(H_Direct=1,IF(ALZ96&lt;=0,0,IF(CZ97&lt;=0,ALZ96,ALZ96-G97*MAX(0,CZ97*ALZ96-(JY97+NL97)))),ALZ96*(1-MAX(0,CZ97)*H_Exit))</f>
        <v>0</v>
      </c>
      <c r="GN97" s="20" t="n">
        <f aca="false">IF(H_Direct=1,IF(AMA96&lt;=0,0,IF(DA97&lt;=0,AMA96,AMA96-G97*MAX(0,DA97*AMA96-(JZ97+NM97)))),AMA96*(1-MAX(0,DA97)*H_Exit))</f>
        <v>0</v>
      </c>
      <c r="GO97" s="20" t="n">
        <f aca="false">IF(H_Direct=1,IF(AMB96&lt;=0,0,IF(DB97&lt;=0,AMB96,AMB96-G97*MAX(0,DB97*AMB96-(KA97+NN97)))),AMB96*(1-MAX(0,DB97)*H_Exit))</f>
        <v>0</v>
      </c>
      <c r="GP97" s="20" t="n">
        <f aca="false">IF(H_Direct=1,IF(AMC96&lt;=0,0,IF(DC97&lt;=0,AMC96,AMC96-G97*MAX(0,DC97*AMC96-(KB97+NO97)))),AMC96*(1-MAX(0,DC97)*H_Exit))</f>
        <v>0</v>
      </c>
      <c r="GQ97" s="20" t="n">
        <f aca="false">IF(H_Direct=1,IF(AMD96&lt;=0,0,IF(DD97&lt;=0,AMD96,AMD96-G97*MAX(0,DD97*AMD96-(KC97+NP97)))),AMD96*(1-MAX(0,DD97)*H_Exit))</f>
        <v>0</v>
      </c>
      <c r="GR97" s="20" t="n">
        <f aca="false">IF(H_Direct=1,IF(AME96&lt;=0,0,IF(DE97&lt;=0,AME96,AME96-G97*MAX(0,DE97*AME96-(KD97+NQ97)))),AME96*(1-MAX(0,DE97)*H_Exit))</f>
        <v>0</v>
      </c>
      <c r="GS97" s="20" t="n">
        <f aca="false">IF(H_Direct=1,IF(AMF96&lt;=0,0,IF(DF97&lt;=0,AMF96,AMF96-G97*MAX(0,DF97*AMF96-(KE97+NR97)))),AMF96*(1-MAX(0,DF97)*H_Exit))</f>
        <v>0</v>
      </c>
      <c r="GT97" s="20" t="n">
        <f aca="false">IF(H_Direct=1,IF(AMG96&lt;=0,0,IF(DG97&lt;=0,AMG96,AMG96-G97*MAX(0,DG97*AMG96-(KF97+NS97)))),AMG96*(1-MAX(0,DG97)*H_Exit))</f>
        <v>0</v>
      </c>
      <c r="GU97" s="20" t="n">
        <f aca="false">IF(H_Direct=1,IF(AMH96&lt;=0,0,IF(DH97&lt;=0,AMH96,AMH96-G97*MAX(0,DH97*AMH96-(KG97+NT97)))),AMH96*(1-MAX(0,DH97)*H_Exit))</f>
        <v>0</v>
      </c>
      <c r="GV97" s="20" t="n">
        <f aca="false">IF(H_Direct=1,IF(AMI96&lt;=0,0,IF(DI97&lt;=0,AMI96,AMI96-G97*MAX(0,DI97*AMI96-(KH97+NU97)))),AMI96*(1-MAX(0,DI97)*H_Exit))</f>
        <v>0</v>
      </c>
      <c r="GW97" s="20" t="n">
        <f aca="false">IF(H_Direct=1,IF(AMJ96&lt;=0,0,IF(DJ97&lt;=0,AMJ96,AMJ96-G97*MAX(0,DJ97*AMJ96-(KI97+NV97)))),AMJ96*(1-MAX(0,DJ97)*H_Exit))</f>
        <v>0</v>
      </c>
      <c r="GX97" s="20" t="n">
        <f aca="false">IF(H_Direct=1,IF(AMK96&lt;=0,0,IF(DK97&lt;=0,AMK96,AMK96-G97*MAX(0,DK97*AMK96-(KJ97+NW97)))),AMK96*(1-MAX(0,DK97)*H_Exit))</f>
        <v>0</v>
      </c>
      <c r="GY97" s="20" t="n">
        <f aca="false">IF(H_Direct=1,IF(AML96&lt;=0,0,IF(DL97&lt;=0,AML96,AML96-G97*MAX(0,DL97*AML96-(KK97+NX97)))),AML96*(1-MAX(0,DL97)*H_Exit))</f>
        <v>0</v>
      </c>
      <c r="GZ97" s="20" t="n">
        <f aca="false">IF(H_Direct=1,IF(AMM96&lt;=0,0,IF(DM97&lt;=0,AMM96,AMM96-G97*MAX(0,DM97*AMM96-(KL97+NY97)))),AMM96*(1-MAX(0,DM97)*H_Exit))</f>
        <v>0</v>
      </c>
      <c r="HA97" s="20" t="n">
        <f aca="false">IF(H_Direct=1,IF(AMN96&lt;=0,0,IF(DN97&lt;=0,AMN96,AMN96-G97*MAX(0,DN97*AMN96-(KM97+NZ97)))),AMN96*(1-MAX(0,DN97)*H_Exit))</f>
        <v>0</v>
      </c>
      <c r="HB97" s="20" t="n">
        <f aca="false">IF(H_Direct=1,IF(AMO96&lt;=0,0,IF(DO97&lt;=0,AMO96,AMO96-G97*MAX(0,DO97*AMO96-(KN97+OA97)))),AMO96*(1-MAX(0,DO97)*H_Exit))</f>
        <v>0</v>
      </c>
      <c r="HC97" s="20" t="n">
        <f aca="false">IF(H_Direct=1,IF(AMP96&lt;=0,0,IF(DP97&lt;=0,AMP96,AMP96-G97*MAX(0,DP97*AMP96-(KO97+OB97)))),AMP96*(1-MAX(0,DP97)*H_Exit))</f>
        <v>0</v>
      </c>
      <c r="HD97" s="20" t="n">
        <f aca="false">IF(H_Direct=1,IF(AMQ96&lt;=0,0,IF(DQ97&lt;=0,AMQ96,AMQ96-G97*MAX(0,DQ97*AMQ96-(KP97+OC97)))),AMQ96*(1-MAX(0,DQ97)*H_Exit))</f>
        <v>0</v>
      </c>
      <c r="HE97" s="20" t="n">
        <f aca="false">IF(H_Direct=1,IF(AMR96&lt;=0,0,IF(DR97&lt;=0,AMR96,AMR96-G97*MAX(0,DR97*AMR96-(KQ97+OD97)))),AMR96*(1-MAX(0,DR97)*H_Exit))</f>
        <v>0</v>
      </c>
      <c r="HF97" s="20" t="n">
        <f aca="false">IF(H_Direct=1,IF(AMS96&lt;=0,0,IF(DS97&lt;=0,AMS96,AMS96-G97*MAX(0,DS97*AMS96-(KR97+OE97)))),AMS96*(1-MAX(0,DS97)*H_Exit))</f>
        <v>0</v>
      </c>
      <c r="HG97" s="20" t="n">
        <f aca="false">IF(H_Direct=1,IF(AMT96&lt;=0,0,IF(DT97&lt;=0,AMT96,AMT96-G97*MAX(0,DT97*AMT96-(KS97+OF97)))),AMT96*(1-MAX(0,DT97)*H_Exit))</f>
        <v>0</v>
      </c>
      <c r="HH97" s="20" t="n">
        <f aca="false">IF(H_Direct=1,IF(AMU96&lt;=0,0,IF(DU97&lt;=0,AMU96,AMU96-G97*MAX(0,DU97*AMU96-(KT97+OG97)))),AMU96*(1-MAX(0,DU97)*H_Exit))</f>
        <v>0</v>
      </c>
      <c r="HI97" s="20" t="n">
        <f aca="false">IF(H_Direct=1,IF(AMV96&lt;=0,0,IF(DV97&lt;=0,AMV96,AMV96-G97*MAX(0,DV97*AMV96-(KU97+OH97)))),AMV96*(1-MAX(0,DV97)*H_Exit))</f>
        <v>0</v>
      </c>
      <c r="HJ97" s="20" t="n">
        <f aca="false">IF(H_Direct=1,IF(AMW96&lt;=0,0,IF(DW97&lt;=0,AMW96,AMW96-G97*MAX(0,DW97*AMW96-(KV97+OI97)))),AMW96*(1-MAX(0,DW97)*H_Exit))</f>
        <v>0</v>
      </c>
      <c r="HK97" s="20" t="n">
        <f aca="false">IF(H_Direct=1,IF(AMX96&lt;=0,0,IF(DX97&lt;=0,AMX96,AMX96-G97*MAX(0,DX97*AMX96-(KW97+OJ97)))),AMX96*(1-MAX(0,DX97)*H_Exit))</f>
        <v>0</v>
      </c>
      <c r="HL97" s="20" t="n">
        <f aca="false">IF(H_Direct=1,IF(AMY96&lt;=0,0,IF(DY97&lt;=0,AMY96,AMY96-G97*MAX(0,DY97*AMY96-(KX97+OK97)))),AMY96*(1-MAX(0,DY97)*H_Exit))</f>
        <v>0</v>
      </c>
      <c r="HM97" s="20" t="n">
        <f aca="false">IF(H_Direct=1,IF(AMZ96&lt;=0,0,IF(DZ97&lt;=0,AMZ96,AMZ96-G97*MAX(0,DZ97*AMZ96-(KY97+OL97)))),AMZ96*(1-MAX(0,DZ97)*H_Exit))</f>
        <v>0</v>
      </c>
      <c r="HN97" s="20" t="n">
        <f aca="false">IF(H_Direct=1,IF(ANA96&lt;=0,0,IF(EA97&lt;=0,ANA96,ANA96-G97*MAX(0,EA97*ANA96-(KZ97+OM97)))),ANA96*(1-MAX(0,EA97)*H_Exit))</f>
        <v>0</v>
      </c>
      <c r="HO97" s="20" t="n">
        <f aca="false">IF(H_Direct=1,IF(ANB96&lt;=0,0,IF(EB97&lt;=0,ANB96,ANB96-G97*MAX(0,EB97*ANB96-(LA97+ON97)))),ANB96*(1-MAX(0,EB97)*H_Exit))</f>
        <v>0</v>
      </c>
      <c r="HP97" s="20" t="n">
        <f aca="false">IF(H_Direct=1,IF(ANC96&lt;=0,0,IF(EC97&lt;=0,ANC96,ANC96-G97*MAX(0,EC97*ANC96-(LB97+OO97)))),ANC96*(1-MAX(0,EC97)*H_Exit))</f>
        <v>0</v>
      </c>
      <c r="HQ97" s="20" t="n">
        <f aca="false">IF(H_Direct=1,IF(AND96&lt;=0,0,IF(ED97&lt;=0,AND96,AND96-G97*MAX(0,ED97*AND96-(LC97+OP97)))),AND96*(1-MAX(0,ED97)*H_Exit))</f>
        <v>0</v>
      </c>
      <c r="HR97" s="20" t="n">
        <f aca="false">IF(H_Direct=1,IF(ANE96&lt;=0,0,IF(EE97&lt;=0,ANE96,ANE96-G97*MAX(0,EE97*ANE96-(LD97+OQ97)))),ANE96*(1-MAX(0,EE97)*H_Exit))</f>
        <v>0</v>
      </c>
      <c r="HS97" s="20" t="n">
        <f aca="false">IF(H_Direct=1,IF(ANF96&lt;=0,0,IF(EF97&lt;=0,ANF96,ANF96-G97*MAX(0,EF97*ANF96-(LE97+OR97)))),ANF96*(1-MAX(0,EF97)*H_Exit))</f>
        <v>0</v>
      </c>
      <c r="HT97" s="20" t="n">
        <f aca="false">IF(H_Direct=1,IF(ANG96&lt;=0,0,IF(EG97&lt;=0,ANG96,ANG96-G97*MAX(0,EG97*ANG96-(LF97+OS97)))),ANG96*(1-MAX(0,EG97)*H_Exit))</f>
        <v>0</v>
      </c>
      <c r="HU97" s="20" t="n">
        <f aca="false">IF(H_Direct=1,IF(ANH96&lt;=0,0,IF(EH97&lt;=0,ANH96,ANH96-G97*MAX(0,EH97*ANH96-(LG97+OT97)))),ANH96*(1-MAX(0,EH97)*H_Exit))</f>
        <v>0</v>
      </c>
      <c r="HV97" s="20" t="n">
        <f aca="false">IF(H_Direct=1,IF(ANI96&lt;=0,0,IF(EI97&lt;=0,ANI96,ANI96-G97*MAX(0,EI97*ANI96-(LH97+OU97)))),ANI96*(1-MAX(0,EI97)*H_Exit))</f>
        <v>0</v>
      </c>
      <c r="HW97" s="20" t="n">
        <f aca="false">IF(H_Direct=1,IF(ANJ96&lt;=0,0,IF(EJ97&lt;=0,ANJ96,ANJ96-G97*MAX(0,EJ97*ANJ96-(LI97+OV97)))),ANJ96*(1-MAX(0,EJ97)*H_Exit))</f>
        <v>0</v>
      </c>
      <c r="HX97" s="20" t="n">
        <f aca="false">IF(H_Direct=1,IF(ANK96&lt;=0,0,IF(EK97&lt;=0,ANK96,ANK96-G97*MAX(0,EK97*ANK96-(LJ97+OW97)))),ANK96*(1-MAX(0,EK97)*H_Exit))</f>
        <v>0</v>
      </c>
      <c r="HY97" s="20" t="n">
        <f aca="false">IF(H_Direct=1,IF(ANL96&lt;=0,0,IF(EL97&lt;=0,ANL96,ANL96-G97*MAX(0,EL97*ANL96-(LK97+OX97)))),ANL96*(1-MAX(0,EL97)*H_Exit))</f>
        <v>0</v>
      </c>
      <c r="HZ97" s="20" t="n">
        <f aca="false">IF(H_Direct=1,IF(ANM96&lt;=0,0,IF(EM97&lt;=0,ANM96,ANM96-G97*MAX(0,EM97*ANM96-(LL97+OY97)))),ANM96*(1-MAX(0,EM97)*H_Exit))</f>
        <v>0</v>
      </c>
      <c r="IA97" s="20" t="n">
        <f aca="false">IF(H_Direct=1,IF(ANN96&lt;=0,0,IF(EN97&lt;=0,ANN96,ANN96-G97*MAX(0,EN97*ANN96-(LM97+OZ97)))),ANN96*(1-MAX(0,EN97)*H_Exit))</f>
        <v>0</v>
      </c>
      <c r="IB97" s="20" t="n">
        <f aca="false">IF(H_Direct=1,IF(ANO96&lt;=0,0,IF(EO97&lt;=0,ANO96,ANO96-G97*MAX(0,EO97*ANO96-(LN97+PA97)))),ANO96*(1-MAX(0,EO97)*H_Exit))</f>
        <v>0</v>
      </c>
      <c r="IC97" s="20" t="n">
        <f aca="false">IF(H_Direct=1,IF(ANP96&lt;=0,0,IF(EP97&lt;=0,ANP96,ANP96-G97*MAX(0,EP97*ANP96-(LO97+PB97)))),ANP96*(1-MAX(0,EP97)*H_Exit))</f>
        <v>0</v>
      </c>
      <c r="ID97" s="20" t="n">
        <f aca="false">IF(H_Direct=1,IF(ANQ96&lt;=0,0,IF(EQ97&lt;=0,ANQ96,ANQ96-G97*MAX(0,EQ97*ANQ96-(LP97+PC97)))),ANQ96*(1-MAX(0,EQ97)*H_Exit))</f>
        <v>0</v>
      </c>
      <c r="IE97" s="20" t="n">
        <f aca="false">IF(H_Direct=1,IF(ANR96&lt;=0,0,IF(ER97&lt;=0,ANR96,ANR96-G97*MAX(0,ER97*ANR96-(LQ97+PD97)))),ANR96*(1-MAX(0,ER97)*H_Exit))</f>
        <v>0</v>
      </c>
      <c r="IF97" s="20" t="n">
        <f aca="false">IF(H_Direct=1,IF(ANS96&lt;=0,0,IF(ES97&lt;=0,ANS96,ANS96-G97*MAX(0,ES97*ANS96-(LR97+PE97)))),ANS96*(1-MAX(0,ES97)*H_Exit))</f>
        <v>0</v>
      </c>
      <c r="IG97" s="20" t="n">
        <f aca="false">IF(H_Direct=1,IF(ANT96&lt;=0,0,IF(ET97&lt;=0,ANT96,ANT96-G97*MAX(0,ET97*ANT96-(LS97+PF97)))),ANT96*(1-MAX(0,ET97)*H_Exit))</f>
        <v>0</v>
      </c>
      <c r="IH97" s="20" t="n">
        <f aca="false">IF(H_Direct=1,IF(ANU96&lt;=0,0,IF(EU97&lt;=0,ANU96,ANU96-G97*MAX(0,EU97*ANU96-(LT97+PG97)))),ANU96*(1-MAX(0,EU97)*H_Exit))</f>
        <v>0</v>
      </c>
      <c r="II97" s="20" t="n">
        <f aca="false">IF(H_Direct=1,IF(ANV96&lt;=0,0,IF(EV97&lt;=0,ANV96,ANV96-G97*MAX(0,EV97*ANV96-(LU97+PH97)))),ANV96*(1-MAX(0,EV97)*H_Exit))</f>
        <v>0</v>
      </c>
      <c r="IJ97" s="20" t="n">
        <f aca="false">IF(H_Direct=1,IF(ANW96&lt;=0,0,IF(EW97&lt;=0,ANW96,ANW96-G97*MAX(0,EW97*ANW96-(LV97+PI97)))),ANW96*(1-MAX(0,EW97)*H_Exit))</f>
        <v>0</v>
      </c>
      <c r="IK97" s="20" t="n">
        <f aca="false">IF(H_Direct=1,IF(ANX96&lt;=0,0,IF(EX97&lt;=0,ANX96,ANX96-G97*MAX(0,EX97*ANX96-(LW97+PJ97)))),ANX96*(1-MAX(0,EX97)*H_Exit))</f>
        <v>0</v>
      </c>
      <c r="IL97" s="20" t="n">
        <f aca="false">IF(H_Direct=1,IF(ANY96&lt;=0,0,IF(EY97&lt;=0,ANY96,ANY96-G97*MAX(0,EY97*ANY96-(LX97+PK97)))),ANY96*(1-MAX(0,EY97)*H_Exit))</f>
        <v>0</v>
      </c>
      <c r="IM97" s="20" t="n">
        <f aca="false">IF(H_Direct=1,IF(ANZ96&lt;=0,0,IF(EZ97&lt;=0,ANZ96,ANZ96-G97*MAX(0,EZ97*ANZ96-(LY97+PL97)))),ANZ96*(1-MAX(0,EZ97)*H_Exit))</f>
        <v>0</v>
      </c>
      <c r="IN97" s="20" t="n">
        <f aca="false">IF(H_Direct=1,IF(AOA96&lt;=0,0,IF(FA97&lt;=0,AOA96,AOA96-G97*MAX(0,FA97*AOA96-(LZ97+PM97)))),AOA96*(1-MAX(0,FA97)*H_Exit))</f>
        <v>0</v>
      </c>
      <c r="IO97" s="20" t="n">
        <f aca="false">IF(H_Direct=1,IF(AOB96&lt;=0,0,IF(FB97&lt;=0,AOB96,AOB96-G97*MAX(0,FB97*AOB96-(MA97+PN97)))),AOB96*(1-MAX(0,FB97)*H_Exit))</f>
        <v>0</v>
      </c>
      <c r="IP97" s="20" t="n">
        <f aca="false">IF(H_Direct=1,IF(AOC96&lt;=0,0,IF(FC97&lt;=0,AOC96,AOC96-G97*MAX(0,FC97*AOC96-(MB97+PO97)))),AOC96*(1-MAX(0,FC97)*H_Exit))</f>
        <v>0</v>
      </c>
      <c r="IQ97" s="20" t="n">
        <f aca="false">IF(H_Direct=1,IF((P97+S97)&lt;=0,0,IF(FD97&lt;=0,(P97+S97),(P97+S97)-G97*MAX(0,FD97*(P97+S97)-(MC97+PP97)))),(P97+S97)*(1-MAX(0,FD97)*H_Exit))</f>
        <v>0</v>
      </c>
      <c r="IR97" s="20" t="n">
        <f aca="false">IF(AND(H_Direct=1,BR97&gt;0),MAX(0,H97-(MIN(BR97*AKR96,H97+I97)-MIN(MIN(BR97*AKR96,H97+I97),I97))),H97)</f>
        <v>1270</v>
      </c>
      <c r="IS97" s="20" t="n">
        <f aca="false">IF(AND(H_Direct=1,BS97&gt;0),MAX(0,IR97-(MIN(BS97*AKS96,IR97+ME97)-MIN(MIN(BS97*AKS96,IR97+ME97),ME97))),IR97)</f>
        <v>1270</v>
      </c>
      <c r="IT97" s="20" t="n">
        <f aca="false">IF(AND(H_Direct=1,BT97&gt;0),MAX(0,IS97-(MIN(BT97*AKT96,IS97+MF97)-MIN(MIN(BT97*AKT96,IS97+MF97),MF97))),IS97)</f>
        <v>1270</v>
      </c>
      <c r="IU97" s="20" t="n">
        <f aca="false">IF(AND(H_Direct=1,BU97&gt;0),MAX(0,IT97-(MIN(BU97*AKU96,IT97+MG97)-MIN(MIN(BU97*AKU96,IT97+MG97),MG97))),IT97)</f>
        <v>1270</v>
      </c>
      <c r="IV97" s="20" t="n">
        <f aca="false">IF(AND(H_Direct=1,BV97&gt;0),MAX(0,IU97-(MIN(BV97*AKV96,IU97+MH97)-MIN(MIN(BV97*AKV96,IU97+MH97),MH97))),IU97)</f>
        <v>1270</v>
      </c>
      <c r="IW97" s="20" t="n">
        <f aca="false">IF(AND(H_Direct=1,BW97&gt;0),MAX(0,IV97-(MIN(BW97*AKW96,IV97+MI97)-MIN(MIN(BW97*AKW96,IV97+MI97),MI97))),IV97)</f>
        <v>1270</v>
      </c>
      <c r="IX97" s="20" t="n">
        <f aca="false">IF(AND(H_Direct=1,BX97&gt;0),MAX(0,IW97-(MIN(BX97*AKX96,IW97+MJ97)-MIN(MIN(BX97*AKX96,IW97+MJ97),MJ97))),IW97)</f>
        <v>1270</v>
      </c>
      <c r="IY97" s="20" t="n">
        <f aca="false">IF(AND(H_Direct=1,BY97&gt;0),MAX(0,IX97-(MIN(BY97*AKY96,IX97+MK97)-MIN(MIN(BY97*AKY96,IX97+MK97),MK97))),IX97)</f>
        <v>1270</v>
      </c>
      <c r="IZ97" s="20" t="n">
        <f aca="false">IF(AND(H_Direct=1,BZ97&gt;0),MAX(0,IY97-(MIN(BZ97*AKZ96,IY97+ML97)-MIN(MIN(BZ97*AKZ96,IY97+ML97),ML97))),IY97)</f>
        <v>1270</v>
      </c>
      <c r="JA97" s="20" t="n">
        <f aca="false">IF(AND(H_Direct=1,CA97&gt;0),MAX(0,IZ97-(MIN(CA97*ALA96,IZ97+MM97)-MIN(MIN(CA97*ALA96,IZ97+MM97),MM97))),IZ97)</f>
        <v>1270</v>
      </c>
      <c r="JB97" s="20" t="n">
        <f aca="false">IF(AND(H_Direct=1,CB97&gt;0),MAX(0,JA97-(MIN(CB97*ALB96,JA97+MN97)-MIN(MIN(CB97*ALB96,JA97+MN97),MN97))),JA97)</f>
        <v>1270</v>
      </c>
      <c r="JC97" s="20" t="n">
        <f aca="false">IF(AND(H_Direct=1,CC97&gt;0),MAX(0,JB97-(MIN(CC97*ALC96,JB97+MO97)-MIN(MIN(CC97*ALC96,JB97+MO97),MO97))),JB97)</f>
        <v>1270</v>
      </c>
      <c r="JD97" s="20" t="n">
        <f aca="false">IF(AND(H_Direct=1,CD97&gt;0),MAX(0,JC97-(MIN(CD97*ALD96,JC97+MP97)-MIN(MIN(CD97*ALD96,JC97+MP97),MP97))),JC97)</f>
        <v>1270</v>
      </c>
      <c r="JE97" s="20" t="n">
        <f aca="false">IF(AND(H_Direct=1,CE97&gt;0),MAX(0,JD97-(MIN(CE97*ALE96,JD97+MQ97)-MIN(MIN(CE97*ALE96,JD97+MQ97),MQ97))),JD97)</f>
        <v>1270</v>
      </c>
      <c r="JF97" s="20" t="n">
        <f aca="false">IF(AND(H_Direct=1,CF97&gt;0),MAX(0,JE97-(MIN(CF97*ALF96,JE97+MR97)-MIN(MIN(CF97*ALF96,JE97+MR97),MR97))),JE97)</f>
        <v>1270</v>
      </c>
      <c r="JG97" s="20" t="n">
        <f aca="false">IF(AND(H_Direct=1,CG97&gt;0),MAX(0,JF97-(MIN(CG97*ALG96,JF97+MS97)-MIN(MIN(CG97*ALG96,JF97+MS97),MS97))),JF97)</f>
        <v>1270</v>
      </c>
      <c r="JH97" s="20" t="n">
        <f aca="false">IF(AND(H_Direct=1,CH97&gt;0),MAX(0,JG97-(MIN(CH97*ALH96,JG97+MT97)-MIN(MIN(CH97*ALH96,JG97+MT97),MT97))),JG97)</f>
        <v>1270</v>
      </c>
      <c r="JI97" s="20" t="n">
        <f aca="false">IF(AND(H_Direct=1,CI97&gt;0),MAX(0,JH97-(MIN(CI97*ALI96,JH97+MU97)-MIN(MIN(CI97*ALI96,JH97+MU97),MU97))),JH97)</f>
        <v>1270</v>
      </c>
      <c r="JJ97" s="20" t="n">
        <f aca="false">IF(AND(H_Direct=1,CJ97&gt;0),MAX(0,JI97-(MIN(CJ97*ALJ96,JI97+MV97)-MIN(MIN(CJ97*ALJ96,JI97+MV97),MV97))),JI97)</f>
        <v>1270</v>
      </c>
      <c r="JK97" s="20" t="n">
        <f aca="false">IF(AND(H_Direct=1,CK97&gt;0),MAX(0,JJ97-(MIN(CK97*ALK96,JJ97+MW97)-MIN(MIN(CK97*ALK96,JJ97+MW97),MW97))),JJ97)</f>
        <v>1270</v>
      </c>
      <c r="JL97" s="20" t="n">
        <f aca="false">IF(AND(H_Direct=1,CL97&gt;0),MAX(0,JK97-(MIN(CL97*ALL96,JK97+MX97)-MIN(MIN(CL97*ALL96,JK97+MX97),MX97))),JK97)</f>
        <v>1270</v>
      </c>
      <c r="JM97" s="20" t="n">
        <f aca="false">IF(AND(H_Direct=1,CM97&gt;0),MAX(0,JL97-(MIN(CM97*ALM96,JL97+MY97)-MIN(MIN(CM97*ALM96,JL97+MY97),MY97))),JL97)</f>
        <v>1270</v>
      </c>
      <c r="JN97" s="20" t="n">
        <f aca="false">IF(AND(H_Direct=1,CN97&gt;0),MAX(0,JM97-(MIN(CN97*ALN96,JM97+MZ97)-MIN(MIN(CN97*ALN96,JM97+MZ97),MZ97))),JM97)</f>
        <v>1270</v>
      </c>
      <c r="JO97" s="20" t="n">
        <f aca="false">IF(AND(H_Direct=1,CO97&gt;0),MAX(0,JN97-(MIN(CO97*ALO96,JN97+NA97)-MIN(MIN(CO97*ALO96,JN97+NA97),NA97))),JN97)</f>
        <v>1270</v>
      </c>
      <c r="JP97" s="20" t="n">
        <f aca="false">IF(AND(H_Direct=1,CP97&gt;0),MAX(0,JO97-(MIN(CP97*ALP96,JO97+NB97)-MIN(MIN(CP97*ALP96,JO97+NB97),NB97))),JO97)</f>
        <v>1270</v>
      </c>
      <c r="JQ97" s="20" t="n">
        <f aca="false">IF(AND(H_Direct=1,CQ97&gt;0),MAX(0,JP97-(MIN(CQ97*ALQ96,JP97+NC97)-MIN(MIN(CQ97*ALQ96,JP97+NC97),NC97))),JP97)</f>
        <v>1270</v>
      </c>
      <c r="JR97" s="20" t="n">
        <f aca="false">IF(AND(H_Direct=1,CR97&gt;0),MAX(0,JQ97-(MIN(CR97*ALR96,JQ97+ND97)-MIN(MIN(CR97*ALR96,JQ97+ND97),ND97))),JQ97)</f>
        <v>1270</v>
      </c>
      <c r="JS97" s="20" t="n">
        <f aca="false">IF(AND(H_Direct=1,CS97&gt;0),MAX(0,JR97-(MIN(CS97*ALS96,JR97+NE97)-MIN(MIN(CS97*ALS96,JR97+NE97),NE97))),JR97)</f>
        <v>1270</v>
      </c>
      <c r="JT97" s="20" t="n">
        <f aca="false">IF(AND(H_Direct=1,CT97&gt;0),MAX(0,JS97-(MIN(CT97*ALT96,JS97+NF97)-MIN(MIN(CT97*ALT96,JS97+NF97),NF97))),JS97)</f>
        <v>1270</v>
      </c>
      <c r="JU97" s="20" t="n">
        <f aca="false">IF(AND(H_Direct=1,CU97&gt;0),MAX(0,JT97-(MIN(CU97*ALU96,JT97+NG97)-MIN(MIN(CU97*ALU96,JT97+NG97),NG97))),JT97)</f>
        <v>1270</v>
      </c>
      <c r="JV97" s="20" t="n">
        <f aca="false">IF(AND(H_Direct=1,CV97&gt;0),MAX(0,JU97-(MIN(CV97*ALV96,JU97+NH97)-MIN(MIN(CV97*ALV96,JU97+NH97),NH97))),JU97)</f>
        <v>1270</v>
      </c>
      <c r="JW97" s="20" t="n">
        <f aca="false">IF(AND(H_Direct=1,CW97&gt;0),MAX(0,JV97-(MIN(CW97*ALW96,JV97+NI97)-MIN(MIN(CW97*ALW96,JV97+NI97),NI97))),JV97)</f>
        <v>1270</v>
      </c>
      <c r="JX97" s="20" t="n">
        <f aca="false">IF(AND(H_Direct=1,CX97&gt;0),MAX(0,JW97-(MIN(CX97*ALX96,JW97+NJ97)-MIN(MIN(CX97*ALX96,JW97+NJ97),NJ97))),JW97)</f>
        <v>1270</v>
      </c>
      <c r="JY97" s="20" t="n">
        <f aca="false">IF(AND(H_Direct=1,CY97&gt;0),MAX(0,JX97-(MIN(CY97*ALY96,JX97+NK97)-MIN(MIN(CY97*ALY96,JX97+NK97),NK97))),JX97)</f>
        <v>1270</v>
      </c>
      <c r="JZ97" s="20" t="n">
        <f aca="false">IF(AND(H_Direct=1,CZ97&gt;0),MAX(0,JY97-(MIN(CZ97*ALZ96,JY97+NL97)-MIN(MIN(CZ97*ALZ96,JY97+NL97),NL97))),JY97)</f>
        <v>1270</v>
      </c>
      <c r="KA97" s="20" t="n">
        <f aca="false">IF(AND(H_Direct=1,DA97&gt;0),MAX(0,JZ97-(MIN(DA97*AMA96,JZ97+NM97)-MIN(MIN(DA97*AMA96,JZ97+NM97),NM97))),JZ97)</f>
        <v>1270</v>
      </c>
      <c r="KB97" s="20" t="n">
        <f aca="false">IF(AND(H_Direct=1,DB97&gt;0),MAX(0,KA97-(MIN(DB97*AMB96,KA97+NN97)-MIN(MIN(DB97*AMB96,KA97+NN97),NN97))),KA97)</f>
        <v>1270</v>
      </c>
      <c r="KC97" s="20" t="n">
        <f aca="false">IF(AND(H_Direct=1,DC97&gt;0),MAX(0,KB97-(MIN(DC97*AMC96,KB97+NO97)-MIN(MIN(DC97*AMC96,KB97+NO97),NO97))),KB97)</f>
        <v>1270</v>
      </c>
      <c r="KD97" s="20" t="n">
        <f aca="false">IF(AND(H_Direct=1,DD97&gt;0),MAX(0,KC97-(MIN(DD97*AMD96,KC97+NP97)-MIN(MIN(DD97*AMD96,KC97+NP97),NP97))),KC97)</f>
        <v>1270</v>
      </c>
      <c r="KE97" s="20" t="n">
        <f aca="false">IF(AND(H_Direct=1,DE97&gt;0),MAX(0,KD97-(MIN(DE97*AME96,KD97+NQ97)-MIN(MIN(DE97*AME96,KD97+NQ97),NQ97))),KD97)</f>
        <v>1270</v>
      </c>
      <c r="KF97" s="20" t="n">
        <f aca="false">IF(AND(H_Direct=1,DF97&gt;0),MAX(0,KE97-(MIN(DF97*AMF96,KE97+NR97)-MIN(MIN(DF97*AMF96,KE97+NR97),NR97))),KE97)</f>
        <v>1270</v>
      </c>
      <c r="KG97" s="20" t="n">
        <f aca="false">IF(AND(H_Direct=1,DG97&gt;0),MAX(0,KF97-(MIN(DG97*AMG96,KF97+NS97)-MIN(MIN(DG97*AMG96,KF97+NS97),NS97))),KF97)</f>
        <v>1270</v>
      </c>
      <c r="KH97" s="20" t="n">
        <f aca="false">IF(AND(H_Direct=1,DH97&gt;0),MAX(0,KG97-(MIN(DH97*AMH96,KG97+NT97)-MIN(MIN(DH97*AMH96,KG97+NT97),NT97))),KG97)</f>
        <v>1270</v>
      </c>
      <c r="KI97" s="20" t="n">
        <f aca="false">IF(AND(H_Direct=1,DI97&gt;0),MAX(0,KH97-(MIN(DI97*AMI96,KH97+NU97)-MIN(MIN(DI97*AMI96,KH97+NU97),NU97))),KH97)</f>
        <v>1270</v>
      </c>
      <c r="KJ97" s="20" t="n">
        <f aca="false">IF(AND(H_Direct=1,DJ97&gt;0),MAX(0,KI97-(MIN(DJ97*AMJ96,KI97+NV97)-MIN(MIN(DJ97*AMJ96,KI97+NV97),NV97))),KI97)</f>
        <v>1270</v>
      </c>
      <c r="KK97" s="20" t="n">
        <f aca="false">IF(AND(H_Direct=1,DK97&gt;0),MAX(0,KJ97-(MIN(DK97*AMK96,KJ97+NW97)-MIN(MIN(DK97*AMK96,KJ97+NW97),NW97))),KJ97)</f>
        <v>1270</v>
      </c>
      <c r="KL97" s="20" t="n">
        <f aca="false">IF(AND(H_Direct=1,DL97&gt;0),MAX(0,KK97-(MIN(DL97*AML96,KK97+NX97)-MIN(MIN(DL97*AML96,KK97+NX97),NX97))),KK97)</f>
        <v>1270</v>
      </c>
      <c r="KM97" s="20" t="n">
        <f aca="false">IF(AND(H_Direct=1,DM97&gt;0),MAX(0,KL97-(MIN(DM97*AMM96,KL97+NY97)-MIN(MIN(DM97*AMM96,KL97+NY97),NY97))),KL97)</f>
        <v>1270</v>
      </c>
      <c r="KN97" s="20" t="n">
        <f aca="false">IF(AND(H_Direct=1,DN97&gt;0),MAX(0,KM97-(MIN(DN97*AMN96,KM97+NZ97)-MIN(MIN(DN97*AMN96,KM97+NZ97),NZ97))),KM97)</f>
        <v>1270</v>
      </c>
      <c r="KO97" s="20" t="n">
        <f aca="false">IF(AND(H_Direct=1,DO97&gt;0),MAX(0,KN97-(MIN(DO97*AMO96,KN97+OA97)-MIN(MIN(DO97*AMO96,KN97+OA97),OA97))),KN97)</f>
        <v>1270</v>
      </c>
      <c r="KP97" s="20" t="n">
        <f aca="false">IF(AND(H_Direct=1,DP97&gt;0),MAX(0,KO97-(MIN(DP97*AMP96,KO97+OB97)-MIN(MIN(DP97*AMP96,KO97+OB97),OB97))),KO97)</f>
        <v>1270</v>
      </c>
      <c r="KQ97" s="20" t="n">
        <f aca="false">IF(AND(H_Direct=1,DQ97&gt;0),MAX(0,KP97-(MIN(DQ97*AMQ96,KP97+OC97)-MIN(MIN(DQ97*AMQ96,KP97+OC97),OC97))),KP97)</f>
        <v>1270</v>
      </c>
      <c r="KR97" s="20" t="n">
        <f aca="false">IF(AND(H_Direct=1,DR97&gt;0),MAX(0,KQ97-(MIN(DR97*AMR96,KQ97+OD97)-MIN(MIN(DR97*AMR96,KQ97+OD97),OD97))),KQ97)</f>
        <v>1270</v>
      </c>
      <c r="KS97" s="20" t="n">
        <f aca="false">IF(AND(H_Direct=1,DS97&gt;0),MAX(0,KR97-(MIN(DS97*AMS96,KR97+OE97)-MIN(MIN(DS97*AMS96,KR97+OE97),OE97))),KR97)</f>
        <v>1270</v>
      </c>
      <c r="KT97" s="20" t="n">
        <f aca="false">IF(AND(H_Direct=1,DT97&gt;0),MAX(0,KS97-(MIN(DT97*AMT96,KS97+OF97)-MIN(MIN(DT97*AMT96,KS97+OF97),OF97))),KS97)</f>
        <v>1270</v>
      </c>
      <c r="KU97" s="20" t="n">
        <f aca="false">IF(AND(H_Direct=1,DU97&gt;0),MAX(0,KT97-(MIN(DU97*AMU96,KT97+OG97)-MIN(MIN(DU97*AMU96,KT97+OG97),OG97))),KT97)</f>
        <v>1270</v>
      </c>
      <c r="KV97" s="20" t="n">
        <f aca="false">IF(AND(H_Direct=1,DV97&gt;0),MAX(0,KU97-(MIN(DV97*AMV96,KU97+OH97)-MIN(MIN(DV97*AMV96,KU97+OH97),OH97))),KU97)</f>
        <v>1270</v>
      </c>
      <c r="KW97" s="20" t="n">
        <f aca="false">IF(AND(H_Direct=1,DW97&gt;0),MAX(0,KV97-(MIN(DW97*AMW96,KV97+OI97)-MIN(MIN(DW97*AMW96,KV97+OI97),OI97))),KV97)</f>
        <v>1270</v>
      </c>
      <c r="KX97" s="20" t="n">
        <f aca="false">IF(AND(H_Direct=1,DX97&gt;0),MAX(0,KW97-(MIN(DX97*AMX96,KW97+OJ97)-MIN(MIN(DX97*AMX96,KW97+OJ97),OJ97))),KW97)</f>
        <v>1270</v>
      </c>
      <c r="KY97" s="20" t="n">
        <f aca="false">IF(AND(H_Direct=1,DY97&gt;0),MAX(0,KX97-(MIN(DY97*AMY96,KX97+OK97)-MIN(MIN(DY97*AMY96,KX97+OK97),OK97))),KX97)</f>
        <v>1270</v>
      </c>
      <c r="KZ97" s="20" t="n">
        <f aca="false">IF(AND(H_Direct=1,DZ97&gt;0),MAX(0,KY97-(MIN(DZ97*AMZ96,KY97+OL97)-MIN(MIN(DZ97*AMZ96,KY97+OL97),OL97))),KY97)</f>
        <v>1270</v>
      </c>
      <c r="LA97" s="20" t="n">
        <f aca="false">IF(AND(H_Direct=1,EA97&gt;0),MAX(0,KZ97-(MIN(EA97*ANA96,KZ97+OM97)-MIN(MIN(EA97*ANA96,KZ97+OM97),OM97))),KZ97)</f>
        <v>1270</v>
      </c>
      <c r="LB97" s="20" t="n">
        <f aca="false">IF(AND(H_Direct=1,EB97&gt;0),MAX(0,LA97-(MIN(EB97*ANB96,LA97+ON97)-MIN(MIN(EB97*ANB96,LA97+ON97),ON97))),LA97)</f>
        <v>1270</v>
      </c>
      <c r="LC97" s="20" t="n">
        <f aca="false">IF(AND(H_Direct=1,EC97&gt;0),MAX(0,LB97-(MIN(EC97*ANC96,LB97+OO97)-MIN(MIN(EC97*ANC96,LB97+OO97),OO97))),LB97)</f>
        <v>1270</v>
      </c>
      <c r="LD97" s="20" t="n">
        <f aca="false">IF(AND(H_Direct=1,ED97&gt;0),MAX(0,LC97-(MIN(ED97*AND96,LC97+OP97)-MIN(MIN(ED97*AND96,LC97+OP97),OP97))),LC97)</f>
        <v>1270</v>
      </c>
      <c r="LE97" s="20" t="n">
        <f aca="false">IF(AND(H_Direct=1,EE97&gt;0),MAX(0,LD97-(MIN(EE97*ANE96,LD97+OQ97)-MIN(MIN(EE97*ANE96,LD97+OQ97),OQ97))),LD97)</f>
        <v>1270</v>
      </c>
      <c r="LF97" s="20" t="n">
        <f aca="false">IF(AND(H_Direct=1,EF97&gt;0),MAX(0,LE97-(MIN(EF97*ANF96,LE97+OR97)-MIN(MIN(EF97*ANF96,LE97+OR97),OR97))),LE97)</f>
        <v>1270</v>
      </c>
      <c r="LG97" s="20" t="n">
        <f aca="false">IF(AND(H_Direct=1,EG97&gt;0),MAX(0,LF97-(MIN(EG97*ANG96,LF97+OS97)-MIN(MIN(EG97*ANG96,LF97+OS97),OS97))),LF97)</f>
        <v>1270</v>
      </c>
      <c r="LH97" s="20" t="n">
        <f aca="false">IF(AND(H_Direct=1,EH97&gt;0),MAX(0,LG97-(MIN(EH97*ANH96,LG97+OT97)-MIN(MIN(EH97*ANH96,LG97+OT97),OT97))),LG97)</f>
        <v>1270</v>
      </c>
      <c r="LI97" s="20" t="n">
        <f aca="false">IF(AND(H_Direct=1,EI97&gt;0),MAX(0,LH97-(MIN(EI97*ANI96,LH97+OU97)-MIN(MIN(EI97*ANI96,LH97+OU97),OU97))),LH97)</f>
        <v>1270</v>
      </c>
      <c r="LJ97" s="20" t="n">
        <f aca="false">IF(AND(H_Direct=1,EJ97&gt;0),MAX(0,LI97-(MIN(EJ97*ANJ96,LI97+OV97)-MIN(MIN(EJ97*ANJ96,LI97+OV97),OV97))),LI97)</f>
        <v>1270</v>
      </c>
      <c r="LK97" s="20" t="n">
        <f aca="false">IF(AND(H_Direct=1,EK97&gt;0),MAX(0,LJ97-(MIN(EK97*ANK96,LJ97+OW97)-MIN(MIN(EK97*ANK96,LJ97+OW97),OW97))),LJ97)</f>
        <v>1270</v>
      </c>
      <c r="LL97" s="20" t="n">
        <f aca="false">IF(AND(H_Direct=1,EL97&gt;0),MAX(0,LK97-(MIN(EL97*ANL96,LK97+OX97)-MIN(MIN(EL97*ANL96,LK97+OX97),OX97))),LK97)</f>
        <v>1270</v>
      </c>
      <c r="LM97" s="20" t="n">
        <f aca="false">IF(AND(H_Direct=1,EM97&gt;0),MAX(0,LL97-(MIN(EM97*ANM96,LL97+OY97)-MIN(MIN(EM97*ANM96,LL97+OY97),OY97))),LL97)</f>
        <v>1270</v>
      </c>
      <c r="LN97" s="20" t="n">
        <f aca="false">IF(AND(H_Direct=1,EN97&gt;0),MAX(0,LM97-(MIN(EN97*ANN96,LM97+OZ97)-MIN(MIN(EN97*ANN96,LM97+OZ97),OZ97))),LM97)</f>
        <v>1270</v>
      </c>
      <c r="LO97" s="20" t="n">
        <f aca="false">IF(AND(H_Direct=1,EO97&gt;0),MAX(0,LN97-(MIN(EO97*ANO96,LN97+PA97)-MIN(MIN(EO97*ANO96,LN97+PA97),PA97))),LN97)</f>
        <v>1270</v>
      </c>
      <c r="LP97" s="20" t="n">
        <f aca="false">IF(AND(H_Direct=1,EP97&gt;0),MAX(0,LO97-(MIN(EP97*ANP96,LO97+PB97)-MIN(MIN(EP97*ANP96,LO97+PB97),PB97))),LO97)</f>
        <v>1270</v>
      </c>
      <c r="LQ97" s="20" t="n">
        <f aca="false">IF(AND(H_Direct=1,EQ97&gt;0),MAX(0,LP97-(MIN(EQ97*ANQ96,LP97+PC97)-MIN(MIN(EQ97*ANQ96,LP97+PC97),PC97))),LP97)</f>
        <v>1270</v>
      </c>
      <c r="LR97" s="20" t="n">
        <f aca="false">IF(AND(H_Direct=1,ER97&gt;0),MAX(0,LQ97-(MIN(ER97*ANR96,LQ97+PD97)-MIN(MIN(ER97*ANR96,LQ97+PD97),PD97))),LQ97)</f>
        <v>1270</v>
      </c>
      <c r="LS97" s="20" t="n">
        <f aca="false">IF(AND(H_Direct=1,ES97&gt;0),MAX(0,LR97-(MIN(ES97*ANS96,LR97+PE97)-MIN(MIN(ES97*ANS96,LR97+PE97),PE97))),LR97)</f>
        <v>1270</v>
      </c>
      <c r="LT97" s="20" t="n">
        <f aca="false">IF(AND(H_Direct=1,ET97&gt;0),MAX(0,LS97-(MIN(ET97*ANT96,LS97+PF97)-MIN(MIN(ET97*ANT96,LS97+PF97),PF97))),LS97)</f>
        <v>1270</v>
      </c>
      <c r="LU97" s="20" t="n">
        <f aca="false">IF(AND(H_Direct=1,EU97&gt;0),MAX(0,LT97-(MIN(EU97*ANU96,LT97+PG97)-MIN(MIN(EU97*ANU96,LT97+PG97),PG97))),LT97)</f>
        <v>1270</v>
      </c>
      <c r="LV97" s="20" t="n">
        <f aca="false">IF(AND(H_Direct=1,EV97&gt;0),MAX(0,LU97-(MIN(EV97*ANV96,LU97+PH97)-MIN(MIN(EV97*ANV96,LU97+PH97),PH97))),LU97)</f>
        <v>1270</v>
      </c>
      <c r="LW97" s="20" t="n">
        <f aca="false">IF(AND(H_Direct=1,EW97&gt;0),MAX(0,LV97-(MIN(EW97*ANW96,LV97+PI97)-MIN(MIN(EW97*ANW96,LV97+PI97),PI97))),LV97)</f>
        <v>1270</v>
      </c>
      <c r="LX97" s="20" t="n">
        <f aca="false">IF(AND(H_Direct=1,EX97&gt;0),MAX(0,LW97-(MIN(EX97*ANX96,LW97+PJ97)-MIN(MIN(EX97*ANX96,LW97+PJ97),PJ97))),LW97)</f>
        <v>1270</v>
      </c>
      <c r="LY97" s="20" t="n">
        <f aca="false">IF(AND(H_Direct=1,EY97&gt;0),MAX(0,LX97-(MIN(EY97*ANY96,LX97+PK97)-MIN(MIN(EY97*ANY96,LX97+PK97),PK97))),LX97)</f>
        <v>1270</v>
      </c>
      <c r="LZ97" s="20" t="n">
        <f aca="false">IF(AND(H_Direct=1,EZ97&gt;0),MAX(0,LY97-(MIN(EZ97*ANZ96,LY97+PL97)-MIN(MIN(EZ97*ANZ96,LY97+PL97),PL97))),LY97)</f>
        <v>1270</v>
      </c>
      <c r="MA97" s="20" t="n">
        <f aca="false">IF(AND(H_Direct=1,FA97&gt;0),MAX(0,LZ97-(MIN(FA97*AOA96,LZ97+PM97)-MIN(MIN(FA97*AOA96,LZ97+PM97),PM97))),LZ97)</f>
        <v>1270</v>
      </c>
      <c r="MB97" s="20" t="n">
        <f aca="false">IF(AND(H_Direct=1,FB97&gt;0),MAX(0,MA97-(MIN(FB97*AOB96,MA97+PN97)-MIN(MIN(FB97*AOB96,MA97+PN97),PN97))),MA97)</f>
        <v>1270</v>
      </c>
      <c r="MC97" s="20" t="n">
        <f aca="false">IF(AND(H_Direct=1,FC97&gt;0),MAX(0,MB97-(MIN(FC97*AOC96,MB97+PO97)-MIN(MIN(FC97*AOC96,MB97+PO97),PO97))),MB97)</f>
        <v>1270</v>
      </c>
      <c r="MD97" s="20" t="n">
        <f aca="false">IF(AND(H_Direct=1,FD97&gt;0),MAX(0,MC97-(MIN(FD97*(P97+S97),MC97+PP97)-MIN(MIN(FD97*(P97+S97),MC97+PP97),PP97))),MC97)</f>
        <v>1270</v>
      </c>
      <c r="ME97" s="20" t="n">
        <f aca="false">IF(H_Direct=1,IF(BR97&lt;=0,I97-BR97*AKR96,I97-MIN(MIN(BR97*AKR96,H97+I97),I97)),I97)</f>
        <v>0</v>
      </c>
      <c r="MF97" s="20" t="n">
        <f aca="false">IF(H_Direct=1,IF(BS97&lt;=0,ME97-BS97*AKS96,ME97-MIN(MIN(BS97*AKS96,IR97+ME97),ME97)),ME97)</f>
        <v>0</v>
      </c>
      <c r="MG97" s="20" t="n">
        <f aca="false">IF(H_Direct=1,IF(BT97&lt;=0,MF97-BT97*AKT96,MF97-MIN(MIN(BT97*AKT96,IS97+MF97),MF97)),MF97)</f>
        <v>0</v>
      </c>
      <c r="MH97" s="20" t="n">
        <f aca="false">IF(H_Direct=1,IF(BU97&lt;=0,MG97-BU97*AKU96,MG97-MIN(MIN(BU97*AKU96,IT97+MG97),MG97)),MG97)</f>
        <v>0</v>
      </c>
      <c r="MI97" s="20" t="n">
        <f aca="false">IF(H_Direct=1,IF(BV97&lt;=0,MH97-BV97*AKV96,MH97-MIN(MIN(BV97*AKV96,IU97+MH97),MH97)),MH97)</f>
        <v>0</v>
      </c>
      <c r="MJ97" s="20" t="n">
        <f aca="false">IF(H_Direct=1,IF(BW97&lt;=0,MI97-BW97*AKW96,MI97-MIN(MIN(BW97*AKW96,IV97+MI97),MI97)),MI97)</f>
        <v>0</v>
      </c>
      <c r="MK97" s="20" t="n">
        <f aca="false">IF(H_Direct=1,IF(BX97&lt;=0,MJ97-BX97*AKX96,MJ97-MIN(MIN(BX97*AKX96,IW97+MJ97),MJ97)),MJ97)</f>
        <v>0</v>
      </c>
      <c r="ML97" s="20" t="n">
        <f aca="false">IF(H_Direct=1,IF(BY97&lt;=0,MK97-BY97*AKY96,MK97-MIN(MIN(BY97*AKY96,IX97+MK97),MK97)),MK97)</f>
        <v>0</v>
      </c>
      <c r="MM97" s="20" t="n">
        <f aca="false">IF(H_Direct=1,IF(BZ97&lt;=0,ML97-BZ97*AKZ96,ML97-MIN(MIN(BZ97*AKZ96,IY97+ML97),ML97)),ML97)</f>
        <v>0</v>
      </c>
      <c r="MN97" s="20" t="n">
        <f aca="false">IF(H_Direct=1,IF(CA97&lt;=0,MM97-CA97*ALA96,MM97-MIN(MIN(CA97*ALA96,IZ97+MM97),MM97)),MM97)</f>
        <v>0</v>
      </c>
      <c r="MO97" s="20" t="n">
        <f aca="false">IF(H_Direct=1,IF(CB97&lt;=0,MN97-CB97*ALB96,MN97-MIN(MIN(CB97*ALB96,JA97+MN97),MN97)),MN97)</f>
        <v>0</v>
      </c>
      <c r="MP97" s="20" t="n">
        <f aca="false">IF(H_Direct=1,IF(CC97&lt;=0,MO97-CC97*ALC96,MO97-MIN(MIN(CC97*ALC96,JB97+MO97),MO97)),MO97)</f>
        <v>0</v>
      </c>
      <c r="MQ97" s="20" t="n">
        <f aca="false">IF(H_Direct=1,IF(CD97&lt;=0,MP97-CD97*ALD96,MP97-MIN(MIN(CD97*ALD96,JC97+MP97),MP97)),MP97)</f>
        <v>0</v>
      </c>
      <c r="MR97" s="20" t="n">
        <f aca="false">IF(H_Direct=1,IF(CE97&lt;=0,MQ97-CE97*ALE96,MQ97-MIN(MIN(CE97*ALE96,JD97+MQ97),MQ97)),MQ97)</f>
        <v>0</v>
      </c>
      <c r="MS97" s="20" t="n">
        <f aca="false">IF(H_Direct=1,IF(CF97&lt;=0,MR97-CF97*ALF96,MR97-MIN(MIN(CF97*ALF96,JE97+MR97),MR97)),MR97)</f>
        <v>0</v>
      </c>
      <c r="MT97" s="20" t="n">
        <f aca="false">IF(H_Direct=1,IF(CG97&lt;=0,MS97-CG97*ALG96,MS97-MIN(MIN(CG97*ALG96,JF97+MS97),MS97)),MS97)</f>
        <v>0</v>
      </c>
      <c r="MU97" s="20" t="n">
        <f aca="false">IF(H_Direct=1,IF(CH97&lt;=0,MT97-CH97*ALH96,MT97-MIN(MIN(CH97*ALH96,JG97+MT97),MT97)),MT97)</f>
        <v>0</v>
      </c>
      <c r="MV97" s="20" t="n">
        <f aca="false">IF(H_Direct=1,IF(CI97&lt;=0,MU97-CI97*ALI96,MU97-MIN(MIN(CI97*ALI96,JH97+MU97),MU97)),MU97)</f>
        <v>0</v>
      </c>
      <c r="MW97" s="20" t="n">
        <f aca="false">IF(H_Direct=1,IF(CJ97&lt;=0,MV97-CJ97*ALJ96,MV97-MIN(MIN(CJ97*ALJ96,JI97+MV97),MV97)),MV97)</f>
        <v>0</v>
      </c>
      <c r="MX97" s="20" t="n">
        <f aca="false">IF(H_Direct=1,IF(CK97&lt;=0,MW97-CK97*ALK96,MW97-MIN(MIN(CK97*ALK96,JJ97+MW97),MW97)),MW97)</f>
        <v>0</v>
      </c>
      <c r="MY97" s="20" t="n">
        <f aca="false">IF(H_Direct=1,IF(CL97&lt;=0,MX97-CL97*ALL96,MX97-MIN(MIN(CL97*ALL96,JK97+MX97),MX97)),MX97)</f>
        <v>0</v>
      </c>
      <c r="MZ97" s="20" t="n">
        <f aca="false">IF(H_Direct=1,IF(CM97&lt;=0,MY97-CM97*ALM96,MY97-MIN(MIN(CM97*ALM96,JL97+MY97),MY97)),MY97)</f>
        <v>0</v>
      </c>
      <c r="NA97" s="20" t="n">
        <f aca="false">IF(H_Direct=1,IF(CN97&lt;=0,MZ97-CN97*ALN96,MZ97-MIN(MIN(CN97*ALN96,JM97+MZ97),MZ97)),MZ97)</f>
        <v>0</v>
      </c>
      <c r="NB97" s="20" t="n">
        <f aca="false">IF(H_Direct=1,IF(CO97&lt;=0,NA97-CO97*ALO96,NA97-MIN(MIN(CO97*ALO96,JN97+NA97),NA97)),NA97)</f>
        <v>0</v>
      </c>
      <c r="NC97" s="20" t="n">
        <f aca="false">IF(H_Direct=1,IF(CP97&lt;=0,NB97-CP97*ALP96,NB97-MIN(MIN(CP97*ALP96,JO97+NB97),NB97)),NB97)</f>
        <v>0</v>
      </c>
      <c r="ND97" s="20" t="n">
        <f aca="false">IF(H_Direct=1,IF(CQ97&lt;=0,NC97-CQ97*ALQ96,NC97-MIN(MIN(CQ97*ALQ96,JP97+NC97),NC97)),NC97)</f>
        <v>0</v>
      </c>
      <c r="NE97" s="20" t="n">
        <f aca="false">IF(H_Direct=1,IF(CR97&lt;=0,ND97-CR97*ALR96,ND97-MIN(MIN(CR97*ALR96,JQ97+ND97),ND97)),ND97)</f>
        <v>0</v>
      </c>
      <c r="NF97" s="20" t="n">
        <f aca="false">IF(H_Direct=1,IF(CS97&lt;=0,NE97-CS97*ALS96,NE97-MIN(MIN(CS97*ALS96,JR97+NE97),NE97)),NE97)</f>
        <v>0</v>
      </c>
      <c r="NG97" s="20" t="n">
        <f aca="false">IF(H_Direct=1,IF(CT97&lt;=0,NF97-CT97*ALT96,NF97-MIN(MIN(CT97*ALT96,JS97+NF97),NF97)),NF97)</f>
        <v>0</v>
      </c>
      <c r="NH97" s="20" t="n">
        <f aca="false">IF(H_Direct=1,IF(CU97&lt;=0,NG97-CU97*ALU96,NG97-MIN(MIN(CU97*ALU96,JT97+NG97),NG97)),NG97)</f>
        <v>0</v>
      </c>
      <c r="NI97" s="20" t="n">
        <f aca="false">IF(H_Direct=1,IF(CV97&lt;=0,NH97-CV97*ALV96,NH97-MIN(MIN(CV97*ALV96,JU97+NH97),NH97)),NH97)</f>
        <v>0</v>
      </c>
      <c r="NJ97" s="20" t="n">
        <f aca="false">IF(H_Direct=1,IF(CW97&lt;=0,NI97-CW97*ALW96,NI97-MIN(MIN(CW97*ALW96,JV97+NI97),NI97)),NI97)</f>
        <v>0</v>
      </c>
      <c r="NK97" s="20" t="n">
        <f aca="false">IF(H_Direct=1,IF(CX97&lt;=0,NJ97-CX97*ALX96,NJ97-MIN(MIN(CX97*ALX96,JW97+NJ97),NJ97)),NJ97)</f>
        <v>0</v>
      </c>
      <c r="NL97" s="20" t="n">
        <f aca="false">IF(H_Direct=1,IF(CY97&lt;=0,NK97-CY97*ALY96,NK97-MIN(MIN(CY97*ALY96,JX97+NK97),NK97)),NK97)</f>
        <v>0</v>
      </c>
      <c r="NM97" s="20" t="n">
        <f aca="false">IF(H_Direct=1,IF(CZ97&lt;=0,NL97-CZ97*ALZ96,NL97-MIN(MIN(CZ97*ALZ96,JY97+NL97),NL97)),NL97)</f>
        <v>0</v>
      </c>
      <c r="NN97" s="20" t="n">
        <f aca="false">IF(H_Direct=1,IF(DA97&lt;=0,NM97-DA97*AMA96,NM97-MIN(MIN(DA97*AMA96,JZ97+NM97),NM97)),NM97)</f>
        <v>0</v>
      </c>
      <c r="NO97" s="20" t="n">
        <f aca="false">IF(H_Direct=1,IF(DB97&lt;=0,NN97-DB97*AMB96,NN97-MIN(MIN(DB97*AMB96,KA97+NN97),NN97)),NN97)</f>
        <v>0</v>
      </c>
      <c r="NP97" s="20" t="n">
        <f aca="false">IF(H_Direct=1,IF(DC97&lt;=0,NO97-DC97*AMC96,NO97-MIN(MIN(DC97*AMC96,KB97+NO97),NO97)),NO97)</f>
        <v>0</v>
      </c>
      <c r="NQ97" s="20" t="n">
        <f aca="false">IF(H_Direct=1,IF(DD97&lt;=0,NP97-DD97*AMD96,NP97-MIN(MIN(DD97*AMD96,KC97+NP97),NP97)),NP97)</f>
        <v>0</v>
      </c>
      <c r="NR97" s="20" t="n">
        <f aca="false">IF(H_Direct=1,IF(DE97&lt;=0,NQ97-DE97*AME96,NQ97-MIN(MIN(DE97*AME96,KD97+NQ97),NQ97)),NQ97)</f>
        <v>0</v>
      </c>
      <c r="NS97" s="20" t="n">
        <f aca="false">IF(H_Direct=1,IF(DF97&lt;=0,NR97-DF97*AMF96,NR97-MIN(MIN(DF97*AMF96,KE97+NR97),NR97)),NR97)</f>
        <v>0</v>
      </c>
      <c r="NT97" s="20" t="n">
        <f aca="false">IF(H_Direct=1,IF(DG97&lt;=0,NS97-DG97*AMG96,NS97-MIN(MIN(DG97*AMG96,KF97+NS97),NS97)),NS97)</f>
        <v>0</v>
      </c>
      <c r="NU97" s="20" t="n">
        <f aca="false">IF(H_Direct=1,IF(DH97&lt;=0,NT97-DH97*AMH96,NT97-MIN(MIN(DH97*AMH96,KG97+NT97),NT97)),NT97)</f>
        <v>0</v>
      </c>
      <c r="NV97" s="20" t="n">
        <f aca="false">IF(H_Direct=1,IF(DI97&lt;=0,NU97-DI97*AMI96,NU97-MIN(MIN(DI97*AMI96,KH97+NU97),NU97)),NU97)</f>
        <v>0</v>
      </c>
      <c r="NW97" s="20" t="n">
        <f aca="false">IF(H_Direct=1,IF(DJ97&lt;=0,NV97-DJ97*AMJ96,NV97-MIN(MIN(DJ97*AMJ96,KI97+NV97),NV97)),NV97)</f>
        <v>0</v>
      </c>
      <c r="NX97" s="20" t="n">
        <f aca="false">IF(H_Direct=1,IF(DK97&lt;=0,NW97-DK97*AMK96,NW97-MIN(MIN(DK97*AMK96,KJ97+NW97),NW97)),NW97)</f>
        <v>0</v>
      </c>
      <c r="NY97" s="20" t="n">
        <f aca="false">IF(H_Direct=1,IF(DL97&lt;=0,NX97-DL97*AML96,NX97-MIN(MIN(DL97*AML96,KK97+NX97),NX97)),NX97)</f>
        <v>0</v>
      </c>
      <c r="NZ97" s="20" t="n">
        <f aca="false">IF(H_Direct=1,IF(DM97&lt;=0,NY97-DM97*AMM96,NY97-MIN(MIN(DM97*AMM96,KL97+NY97),NY97)),NY97)</f>
        <v>0</v>
      </c>
      <c r="OA97" s="20" t="n">
        <f aca="false">IF(H_Direct=1,IF(DN97&lt;=0,NZ97-DN97*AMN96,NZ97-MIN(MIN(DN97*AMN96,KM97+NZ97),NZ97)),NZ97)</f>
        <v>0</v>
      </c>
      <c r="OB97" s="20" t="n">
        <f aca="false">IF(H_Direct=1,IF(DO97&lt;=0,OA97-DO97*AMO96,OA97-MIN(MIN(DO97*AMO96,KN97+OA97),OA97)),OA97)</f>
        <v>0</v>
      </c>
      <c r="OC97" s="20" t="n">
        <f aca="false">IF(H_Direct=1,IF(DP97&lt;=0,OB97-DP97*AMP96,OB97-MIN(MIN(DP97*AMP96,KO97+OB97),OB97)),OB97)</f>
        <v>0</v>
      </c>
      <c r="OD97" s="20" t="n">
        <f aca="false">IF(H_Direct=1,IF(DQ97&lt;=0,OC97-DQ97*AMQ96,OC97-MIN(MIN(DQ97*AMQ96,KP97+OC97),OC97)),OC97)</f>
        <v>0</v>
      </c>
      <c r="OE97" s="20" t="n">
        <f aca="false">IF(H_Direct=1,IF(DR97&lt;=0,OD97-DR97*AMR96,OD97-MIN(MIN(DR97*AMR96,KQ97+OD97),OD97)),OD97)</f>
        <v>0</v>
      </c>
      <c r="OF97" s="20" t="n">
        <f aca="false">IF(H_Direct=1,IF(DS97&lt;=0,OE97-DS97*AMS96,OE97-MIN(MIN(DS97*AMS96,KR97+OE97),OE97)),OE97)</f>
        <v>0</v>
      </c>
      <c r="OG97" s="20" t="n">
        <f aca="false">IF(H_Direct=1,IF(DT97&lt;=0,OF97-DT97*AMT96,OF97-MIN(MIN(DT97*AMT96,KS97+OF97),OF97)),OF97)</f>
        <v>0</v>
      </c>
      <c r="OH97" s="20" t="n">
        <f aca="false">IF(H_Direct=1,IF(DU97&lt;=0,OG97-DU97*AMU96,OG97-MIN(MIN(DU97*AMU96,KT97+OG97),OG97)),OG97)</f>
        <v>0</v>
      </c>
      <c r="OI97" s="20" t="n">
        <f aca="false">IF(H_Direct=1,IF(DV97&lt;=0,OH97-DV97*AMV96,OH97-MIN(MIN(DV97*AMV96,KU97+OH97),OH97)),OH97)</f>
        <v>0</v>
      </c>
      <c r="OJ97" s="20" t="n">
        <f aca="false">IF(H_Direct=1,IF(DW97&lt;=0,OI97-DW97*AMW96,OI97-MIN(MIN(DW97*AMW96,KV97+OI97),OI97)),OI97)</f>
        <v>0</v>
      </c>
      <c r="OK97" s="20" t="n">
        <f aca="false">IF(H_Direct=1,IF(DX97&lt;=0,OJ97-DX97*AMX96,OJ97-MIN(MIN(DX97*AMX96,KW97+OJ97),OJ97)),OJ97)</f>
        <v>0</v>
      </c>
      <c r="OL97" s="20" t="n">
        <f aca="false">IF(H_Direct=1,IF(DY97&lt;=0,OK97-DY97*AMY96,OK97-MIN(MIN(DY97*AMY96,KX97+OK97),OK97)),OK97)</f>
        <v>0</v>
      </c>
      <c r="OM97" s="20" t="n">
        <f aca="false">IF(H_Direct=1,IF(DZ97&lt;=0,OL97-DZ97*AMZ96,OL97-MIN(MIN(DZ97*AMZ96,KY97+OL97),OL97)),OL97)</f>
        <v>0</v>
      </c>
      <c r="ON97" s="20" t="n">
        <f aca="false">IF(H_Direct=1,IF(EA97&lt;=0,OM97-EA97*ANA96,OM97-MIN(MIN(EA97*ANA96,KZ97+OM97),OM97)),OM97)</f>
        <v>0</v>
      </c>
      <c r="OO97" s="20" t="n">
        <f aca="false">IF(H_Direct=1,IF(EB97&lt;=0,ON97-EB97*ANB96,ON97-MIN(MIN(EB97*ANB96,LA97+ON97),ON97)),ON97)</f>
        <v>0</v>
      </c>
      <c r="OP97" s="20" t="n">
        <f aca="false">IF(H_Direct=1,IF(EC97&lt;=0,OO97-EC97*ANC96,OO97-MIN(MIN(EC97*ANC96,LB97+OO97),OO97)),OO97)</f>
        <v>0</v>
      </c>
      <c r="OQ97" s="20" t="n">
        <f aca="false">IF(H_Direct=1,IF(ED97&lt;=0,OP97-ED97*AND96,OP97-MIN(MIN(ED97*AND96,LC97+OP97),OP97)),OP97)</f>
        <v>0</v>
      </c>
      <c r="OR97" s="20" t="n">
        <f aca="false">IF(H_Direct=1,IF(EE97&lt;=0,OQ97-EE97*ANE96,OQ97-MIN(MIN(EE97*ANE96,LD97+OQ97),OQ97)),OQ97)</f>
        <v>0</v>
      </c>
      <c r="OS97" s="20" t="n">
        <f aca="false">IF(H_Direct=1,IF(EF97&lt;=0,OR97-EF97*ANF96,OR97-MIN(MIN(EF97*ANF96,LE97+OR97),OR97)),OR97)</f>
        <v>0</v>
      </c>
      <c r="OT97" s="20" t="n">
        <f aca="false">IF(H_Direct=1,IF(EG97&lt;=0,OS97-EG97*ANG96,OS97-MIN(MIN(EG97*ANG96,LF97+OS97),OS97)),OS97)</f>
        <v>0</v>
      </c>
      <c r="OU97" s="20" t="n">
        <f aca="false">IF(H_Direct=1,IF(EH97&lt;=0,OT97-EH97*ANH96,OT97-MIN(MIN(EH97*ANH96,LG97+OT97),OT97)),OT97)</f>
        <v>0</v>
      </c>
      <c r="OV97" s="20" t="n">
        <f aca="false">IF(H_Direct=1,IF(EI97&lt;=0,OU97-EI97*ANI96,OU97-MIN(MIN(EI97*ANI96,LH97+OU97),OU97)),OU97)</f>
        <v>0</v>
      </c>
      <c r="OW97" s="20" t="n">
        <f aca="false">IF(H_Direct=1,IF(EJ97&lt;=0,OV97-EJ97*ANJ96,OV97-MIN(MIN(EJ97*ANJ96,LI97+OV97),OV97)),OV97)</f>
        <v>0</v>
      </c>
      <c r="OX97" s="20" t="n">
        <f aca="false">IF(H_Direct=1,IF(EK97&lt;=0,OW97-EK97*ANK96,OW97-MIN(MIN(EK97*ANK96,LJ97+OW97),OW97)),OW97)</f>
        <v>0</v>
      </c>
      <c r="OY97" s="20" t="n">
        <f aca="false">IF(H_Direct=1,IF(EL97&lt;=0,OX97-EL97*ANL96,OX97-MIN(MIN(EL97*ANL96,LK97+OX97),OX97)),OX97)</f>
        <v>0</v>
      </c>
      <c r="OZ97" s="20" t="n">
        <f aca="false">IF(H_Direct=1,IF(EM97&lt;=0,OY97-EM97*ANM96,OY97-MIN(MIN(EM97*ANM96,LL97+OY97),OY97)),OY97)</f>
        <v>0</v>
      </c>
      <c r="PA97" s="20" t="n">
        <f aca="false">IF(H_Direct=1,IF(EN97&lt;=0,OZ97-EN97*ANN96,OZ97-MIN(MIN(EN97*ANN96,LM97+OZ97),OZ97)),OZ97)</f>
        <v>0</v>
      </c>
      <c r="PB97" s="20" t="n">
        <f aca="false">IF(H_Direct=1,IF(EO97&lt;=0,PA97-EO97*ANO96,PA97-MIN(MIN(EO97*ANO96,LN97+PA97),PA97)),PA97)</f>
        <v>0</v>
      </c>
      <c r="PC97" s="20" t="n">
        <f aca="false">IF(H_Direct=1,IF(EP97&lt;=0,PB97-EP97*ANP96,PB97-MIN(MIN(EP97*ANP96,LO97+PB97),PB97)),PB97)</f>
        <v>0</v>
      </c>
      <c r="PD97" s="20" t="n">
        <f aca="false">IF(H_Direct=1,IF(EQ97&lt;=0,PC97-EQ97*ANQ96,PC97-MIN(MIN(EQ97*ANQ96,LP97+PC97),PC97)),PC97)</f>
        <v>0</v>
      </c>
      <c r="PE97" s="20" t="n">
        <f aca="false">IF(H_Direct=1,IF(ER97&lt;=0,PD97-ER97*ANR96,PD97-MIN(MIN(ER97*ANR96,LQ97+PD97),PD97)),PD97)</f>
        <v>0</v>
      </c>
      <c r="PF97" s="20" t="n">
        <f aca="false">IF(H_Direct=1,IF(ES97&lt;=0,PE97-ES97*ANS96,PE97-MIN(MIN(ES97*ANS96,LR97+PE97),PE97)),PE97)</f>
        <v>0</v>
      </c>
      <c r="PG97" s="20" t="n">
        <f aca="false">IF(H_Direct=1,IF(ET97&lt;=0,PF97-ET97*ANT96,PF97-MIN(MIN(ET97*ANT96,LS97+PF97),PF97)),PF97)</f>
        <v>0</v>
      </c>
      <c r="PH97" s="20" t="n">
        <f aca="false">IF(H_Direct=1,IF(EU97&lt;=0,PG97-EU97*ANU96,PG97-MIN(MIN(EU97*ANU96,LT97+PG97),PG97)),PG97)</f>
        <v>0</v>
      </c>
      <c r="PI97" s="20" t="n">
        <f aca="false">IF(H_Direct=1,IF(EV97&lt;=0,PH97-EV97*ANV96,PH97-MIN(MIN(EV97*ANV96,LU97+PH97),PH97)),PH97)</f>
        <v>0</v>
      </c>
      <c r="PJ97" s="20" t="n">
        <f aca="false">IF(H_Direct=1,IF(EW97&lt;=0,PI97-EW97*ANW96,PI97-MIN(MIN(EW97*ANW96,LV97+PI97),PI97)),PI97)</f>
        <v>0</v>
      </c>
      <c r="PK97" s="20" t="n">
        <f aca="false">IF(H_Direct=1,IF(EX97&lt;=0,PJ97-EX97*ANX96,PJ97-MIN(MIN(EX97*ANX96,LW97+PJ97),PJ97)),PJ97)</f>
        <v>0</v>
      </c>
      <c r="PL97" s="20" t="n">
        <f aca="false">IF(H_Direct=1,IF(EY97&lt;=0,PK97-EY97*ANY96,PK97-MIN(MIN(EY97*ANY96,LX97+PK97),PK97)),PK97)</f>
        <v>0</v>
      </c>
      <c r="PM97" s="20" t="n">
        <f aca="false">IF(H_Direct=1,IF(EZ97&lt;=0,PL97-EZ97*ANZ96,PL97-MIN(MIN(EZ97*ANZ96,LY97+PL97),PL97)),PL97)</f>
        <v>0</v>
      </c>
      <c r="PN97" s="20" t="n">
        <f aca="false">IF(H_Direct=1,IF(FA97&lt;=0,PM97-FA97*AOA96,PM97-MIN(MIN(FA97*AOA96,LZ97+PM97),PM97)),PM97)</f>
        <v>0</v>
      </c>
      <c r="PO97" s="20" t="n">
        <f aca="false">IF(H_Direct=1,IF(FB97&lt;=0,PN97-FB97*AOB96,PN97-MIN(MIN(FB97*AOB96,MA97+PN97),PN97)),PN97)</f>
        <v>0</v>
      </c>
      <c r="PP97" s="20" t="n">
        <f aca="false">IF(H_Direct=1,IF(FC97&lt;=0,PO97-FC97*AOC96,PO97-MIN(MIN(FC97*AOC96,MB97+PO97),PO97)),PO97)</f>
        <v>0</v>
      </c>
      <c r="PQ97" s="20" t="n">
        <f aca="false">IF(H_Direct=1,IF(FD97&lt;=0,PP97-FD97*(P97+S97),PP97-MIN(MIN(FD97*(P97+S97),MC97+PP97),PP97)),PP97)</f>
        <v>0</v>
      </c>
      <c r="PR97" s="20" t="n">
        <f aca="false">IF(H_Direct=1,IF(AKR96&lt;=0,0,IF(BR97&lt;=0,MIN(MAX(0,AB97),AKR96),MIN(MAX(0,AB97),AKR96-G97*MAX(0,BR97*AKR96-(H97+I97))))),MIN(FE97,MAX(0,AB97)))</f>
        <v>0</v>
      </c>
      <c r="PS97" s="20" t="n">
        <f aca="false">IF(H_Direct=1,IF(AKS96&lt;=0,0,IF(BS97&lt;=0,MIN(MAX(0,AB97-SUM(PR97:PR97)),AKS96),MIN(MAX(0,AB97-SUM(PR97:PR97)),AKS96-G97*MAX(0,BS97*AKS96-(WR97+AAE97))))),MIN(FF97,MAX(0,AB97-SUM(PR97:PR97))))</f>
        <v>0</v>
      </c>
      <c r="PT97" s="20" t="n">
        <f aca="false">IF(H_Direct=1,IF(AKT96&lt;=0,0,IF(BT97&lt;=0,MIN(MAX(0,AB97-SUM(PR97:PS97)),AKT96),MIN(MAX(0,AB97-SUM(PR97:PS97)),AKT96-G97*MAX(0,BT97*AKT96-(WS97+AAF97))))),MIN(FG97,MAX(0,AB97-SUM(PR97:PS97))))</f>
        <v>0</v>
      </c>
      <c r="PU97" s="20" t="n">
        <f aca="false">IF(H_Direct=1,IF(AKU96&lt;=0,0,IF(BU97&lt;=0,MIN(MAX(0,AB97-SUM(PR97:PT97)),AKU96),MIN(MAX(0,AB97-SUM(PR97:PT97)),AKU96-G97*MAX(0,BU97*AKU96-(WT97+AAG97))))),MIN(FH97,MAX(0,AB97-SUM(PR97:PT97))))</f>
        <v>0</v>
      </c>
      <c r="PV97" s="20" t="n">
        <f aca="false">IF(H_Direct=1,IF(AKV96&lt;=0,0,IF(BV97&lt;=0,MIN(MAX(0,AB97-SUM(PR97:PU97)),AKV96),MIN(MAX(0,AB97-SUM(PR97:PU97)),AKV96-G97*MAX(0,BV97*AKV96-(WU97+AAH97))))),MIN(FI97,MAX(0,AB97-SUM(PR97:PU97))))</f>
        <v>0</v>
      </c>
      <c r="PW97" s="20" t="n">
        <f aca="false">IF(H_Direct=1,IF(AKW96&lt;=0,0,IF(BW97&lt;=0,MIN(MAX(0,AB97-SUM(PR97:PV97)),AKW96),MIN(MAX(0,AB97-SUM(PR97:PV97)),AKW96-G97*MAX(0,BW97*AKW96-(WV97+AAI97))))),MIN(FJ97,MAX(0,AB97-SUM(PR97:PV97))))</f>
        <v>0</v>
      </c>
      <c r="PX97" s="20" t="n">
        <f aca="false">IF(H_Direct=1,IF(AKX96&lt;=0,0,IF(BX97&lt;=0,MIN(MAX(0,AB97-SUM(PR97:PW97)),AKX96),MIN(MAX(0,AB97-SUM(PR97:PW97)),AKX96-G97*MAX(0,BX97*AKX96-(WW97+AAJ97))))),MIN(FK97,MAX(0,AB97-SUM(PR97:PW97))))</f>
        <v>0</v>
      </c>
      <c r="PY97" s="20" t="n">
        <f aca="false">IF(H_Direct=1,IF(AKY96&lt;=0,0,IF(BY97&lt;=0,MIN(MAX(0,AB97-SUM(PR97:PX97)),AKY96),MIN(MAX(0,AB97-SUM(PR97:PX97)),AKY96-G97*MAX(0,BY97*AKY96-(WX97+AAK97))))),MIN(FL97,MAX(0,AB97-SUM(PR97:PX97))))</f>
        <v>0</v>
      </c>
      <c r="PZ97" s="20" t="n">
        <f aca="false">IF(H_Direct=1,IF(AKZ96&lt;=0,0,IF(BZ97&lt;=0,MIN(MAX(0,AB97-SUM(PR97:PY97)),AKZ96),MIN(MAX(0,AB97-SUM(PR97:PY97)),AKZ96-G97*MAX(0,BZ97*AKZ96-(WY97+AAL97))))),MIN(FM97,MAX(0,AB97-SUM(PR97:PY97))))</f>
        <v>0</v>
      </c>
      <c r="QA97" s="20" t="n">
        <f aca="false">IF(H_Direct=1,IF(ALA96&lt;=0,0,IF(CA97&lt;=0,MIN(MAX(0,AB97-SUM(PR97:PZ97)),ALA96),MIN(MAX(0,AB97-SUM(PR97:PZ97)),ALA96-G97*MAX(0,CA97*ALA96-(WZ97+AAM97))))),MIN(FN97,MAX(0,AB97-SUM(PR97:PZ97))))</f>
        <v>0</v>
      </c>
      <c r="QB97" s="20" t="n">
        <f aca="false">IF(H_Direct=1,IF(ALB96&lt;=0,0,IF(CB97&lt;=0,MIN(MAX(0,AB97-SUM(PR97:QA97)),ALB96),MIN(MAX(0,AB97-SUM(PR97:QA97)),ALB96-G97*MAX(0,CB97*ALB96-(XA97+AAN97))))),MIN(FO97,MAX(0,AB97-SUM(PR97:QA97))))</f>
        <v>0</v>
      </c>
      <c r="QC97" s="20" t="n">
        <f aca="false">IF(H_Direct=1,IF(ALC96&lt;=0,0,IF(CC97&lt;=0,MIN(MAX(0,AB97-SUM(PR97:QB97)),ALC96),MIN(MAX(0,AB97-SUM(PR97:QB97)),ALC96-G97*MAX(0,CC97*ALC96-(XB97+AAO97))))),MIN(FP97,MAX(0,AB97-SUM(PR97:QB97))))</f>
        <v>0</v>
      </c>
      <c r="QD97" s="20" t="n">
        <f aca="false">IF(H_Direct=1,IF(ALD96&lt;=0,0,IF(CD97&lt;=0,MIN(MAX(0,AB97-SUM(PR97:QC97)),ALD96),MIN(MAX(0,AB97-SUM(PR97:QC97)),ALD96-G97*MAX(0,CD97*ALD96-(XC97+AAP97))))),MIN(FQ97,MAX(0,AB97-SUM(PR97:QC97))))</f>
        <v>0</v>
      </c>
      <c r="QE97" s="20" t="n">
        <f aca="false">IF(H_Direct=1,IF(ALE96&lt;=0,0,IF(CE97&lt;=0,MIN(MAX(0,AB97-SUM(PR97:QD97)),ALE96),MIN(MAX(0,AB97-SUM(PR97:QD97)),ALE96-G97*MAX(0,CE97*ALE96-(XD97+AAQ97))))),MIN(FR97,MAX(0,AB97-SUM(PR97:QD97))))</f>
        <v>0</v>
      </c>
      <c r="QF97" s="20" t="n">
        <f aca="false">IF(H_Direct=1,IF(ALF96&lt;=0,0,IF(CF97&lt;=0,MIN(MAX(0,AB97-SUM(PR97:QE97)),ALF96),MIN(MAX(0,AB97-SUM(PR97:QE97)),ALF96-G97*MAX(0,CF97*ALF96-(XE97+AAR97))))),MIN(FS97,MAX(0,AB97-SUM(PR97:QE97))))</f>
        <v>0</v>
      </c>
      <c r="QG97" s="20" t="n">
        <f aca="false">IF(H_Direct=1,IF(ALG96&lt;=0,0,IF(CG97&lt;=0,MIN(MAX(0,AB97-SUM(PR97:QF97)),ALG96),MIN(MAX(0,AB97-SUM(PR97:QF97)),ALG96-G97*MAX(0,CG97*ALG96-(XF97+AAS97))))),MIN(FT97,MAX(0,AB97-SUM(PR97:QF97))))</f>
        <v>0</v>
      </c>
      <c r="QH97" s="20" t="n">
        <f aca="false">IF(H_Direct=1,IF(ALH96&lt;=0,0,IF(CH97&lt;=0,MIN(MAX(0,AB97-SUM(PR97:QG97)),ALH96),MIN(MAX(0,AB97-SUM(PR97:QG97)),ALH96-G97*MAX(0,CH97*ALH96-(XG97+AAT97))))),MIN(FU97,MAX(0,AB97-SUM(PR97:QG97))))</f>
        <v>0</v>
      </c>
      <c r="QI97" s="20" t="n">
        <f aca="false">IF(H_Direct=1,IF(ALI96&lt;=0,0,IF(CI97&lt;=0,MIN(MAX(0,AB97-SUM(PR97:QH97)),ALI96),MIN(MAX(0,AB97-SUM(PR97:QH97)),ALI96-G97*MAX(0,CI97*ALI96-(XH97+AAU97))))),MIN(FV97,MAX(0,AB97-SUM(PR97:QH97))))</f>
        <v>0</v>
      </c>
      <c r="QJ97" s="20" t="n">
        <f aca="false">IF(H_Direct=1,IF(ALJ96&lt;=0,0,IF(CJ97&lt;=0,MIN(MAX(0,AB97-SUM(PR97:QI97)),ALJ96),MIN(MAX(0,AB97-SUM(PR97:QI97)),ALJ96-G97*MAX(0,CJ97*ALJ96-(XI97+AAV97))))),MIN(FW97,MAX(0,AB97-SUM(PR97:QI97))))</f>
        <v>0</v>
      </c>
      <c r="QK97" s="20" t="n">
        <f aca="false">IF(H_Direct=1,IF(ALK96&lt;=0,0,IF(CK97&lt;=0,MIN(MAX(0,AB97-SUM(PR97:QJ97)),ALK96),MIN(MAX(0,AB97-SUM(PR97:QJ97)),ALK96-G97*MAX(0,CK97*ALK96-(XJ97+AAW97))))),MIN(FX97,MAX(0,AB97-SUM(PR97:QJ97))))</f>
        <v>0</v>
      </c>
      <c r="QL97" s="20" t="n">
        <f aca="false">IF(H_Direct=1,IF(ALL96&lt;=0,0,IF(CL97&lt;=0,MIN(MAX(0,AB97-SUM(PR97:QK97)),ALL96),MIN(MAX(0,AB97-SUM(PR97:QK97)),ALL96-G97*MAX(0,CL97*ALL96-(XK97+AAX97))))),MIN(FY97,MAX(0,AB97-SUM(PR97:QK97))))</f>
        <v>0</v>
      </c>
      <c r="QM97" s="20" t="n">
        <f aca="false">IF(H_Direct=1,IF(ALM96&lt;=0,0,IF(CM97&lt;=0,MIN(MAX(0,AB97-SUM(PR97:QL97)),ALM96),MIN(MAX(0,AB97-SUM(PR97:QL97)),ALM96-G97*MAX(0,CM97*ALM96-(XL97+AAY97))))),MIN(FZ97,MAX(0,AB97-SUM(PR97:QL97))))</f>
        <v>0</v>
      </c>
      <c r="QN97" s="20" t="n">
        <f aca="false">IF(H_Direct=1,IF(ALN96&lt;=0,0,IF(CN97&lt;=0,MIN(MAX(0,AB97-SUM(PR97:QM97)),ALN96),MIN(MAX(0,AB97-SUM(PR97:QM97)),ALN96-G97*MAX(0,CN97*ALN96-(XM97+AAZ97))))),MIN(GA97,MAX(0,AB97-SUM(PR97:QM97))))</f>
        <v>0</v>
      </c>
      <c r="QO97" s="20" t="n">
        <f aca="false">IF(H_Direct=1,IF(ALO96&lt;=0,0,IF(CO97&lt;=0,MIN(MAX(0,AB97-SUM(PR97:QN97)),ALO96),MIN(MAX(0,AB97-SUM(PR97:QN97)),ALO96-G97*MAX(0,CO97*ALO96-(XN97+ABA97))))),MIN(GB97,MAX(0,AB97-SUM(PR97:QN97))))</f>
        <v>0</v>
      </c>
      <c r="QP97" s="20" t="n">
        <f aca="false">IF(H_Direct=1,IF(ALP96&lt;=0,0,IF(CP97&lt;=0,MIN(MAX(0,AB97-SUM(PR97:QO97)),ALP96),MIN(MAX(0,AB97-SUM(PR97:QO97)),ALP96-G97*MAX(0,CP97*ALP96-(XO97+ABB97))))),MIN(GC97,MAX(0,AB97-SUM(PR97:QO97))))</f>
        <v>0</v>
      </c>
      <c r="QQ97" s="20" t="n">
        <f aca="false">IF(H_Direct=1,IF(ALQ96&lt;=0,0,IF(CQ97&lt;=0,MIN(MAX(0,AB97-SUM(PR97:QP97)),ALQ96),MIN(MAX(0,AB97-SUM(PR97:QP97)),ALQ96-G97*MAX(0,CQ97*ALQ96-(XP97+ABC97))))),MIN(GD97,MAX(0,AB97-SUM(PR97:QP97))))</f>
        <v>0</v>
      </c>
      <c r="QR97" s="20" t="n">
        <f aca="false">IF(H_Direct=1,IF(ALR96&lt;=0,0,IF(CR97&lt;=0,MIN(MAX(0,AB97-SUM(PR97:QQ97)),ALR96),MIN(MAX(0,AB97-SUM(PR97:QQ97)),ALR96-G97*MAX(0,CR97*ALR96-(XQ97+ABD97))))),MIN(GE97,MAX(0,AB97-SUM(PR97:QQ97))))</f>
        <v>0</v>
      </c>
      <c r="QS97" s="20" t="n">
        <f aca="false">IF(H_Direct=1,IF(ALS96&lt;=0,0,IF(CS97&lt;=0,MIN(MAX(0,AB97-SUM(PR97:QR97)),ALS96),MIN(MAX(0,AB97-SUM(PR97:QR97)),ALS96-G97*MAX(0,CS97*ALS96-(XR97+ABE97))))),MIN(GF97,MAX(0,AB97-SUM(PR97:QR97))))</f>
        <v>0</v>
      </c>
      <c r="QT97" s="20" t="n">
        <f aca="false">IF(H_Direct=1,IF(ALT96&lt;=0,0,IF(CT97&lt;=0,MIN(MAX(0,AB97-SUM(PR97:QS97)),ALT96),MIN(MAX(0,AB97-SUM(PR97:QS97)),ALT96-G97*MAX(0,CT97*ALT96-(XS97+ABF97))))),MIN(GG97,MAX(0,AB97-SUM(PR97:QS97))))</f>
        <v>0</v>
      </c>
      <c r="QU97" s="20" t="n">
        <f aca="false">IF(H_Direct=1,IF(ALU96&lt;=0,0,IF(CU97&lt;=0,MIN(MAX(0,AB97-SUM(PR97:QT97)),ALU96),MIN(MAX(0,AB97-SUM(PR97:QT97)),ALU96-G97*MAX(0,CU97*ALU96-(XT97+ABG97))))),MIN(GH97,MAX(0,AB97-SUM(PR97:QT97))))</f>
        <v>0</v>
      </c>
      <c r="QV97" s="20" t="n">
        <f aca="false">IF(H_Direct=1,IF(ALV96&lt;=0,0,IF(CV97&lt;=0,MIN(MAX(0,AB97-SUM(PR97:QU97)),ALV96),MIN(MAX(0,AB97-SUM(PR97:QU97)),ALV96-G97*MAX(0,CV97*ALV96-(XU97+ABH97))))),MIN(GI97,MAX(0,AB97-SUM(PR97:QU97))))</f>
        <v>0</v>
      </c>
      <c r="QW97" s="20" t="n">
        <f aca="false">IF(H_Direct=1,IF(ALW96&lt;=0,0,IF(CW97&lt;=0,MIN(MAX(0,AB97-SUM(PR97:QV97)),ALW96),MIN(MAX(0,AB97-SUM(PR97:QV97)),ALW96-G97*MAX(0,CW97*ALW96-(XV97+ABI97))))),MIN(GJ97,MAX(0,AB97-SUM(PR97:QV97))))</f>
        <v>0</v>
      </c>
      <c r="QX97" s="20" t="n">
        <f aca="false">IF(H_Direct=1,IF(ALX96&lt;=0,0,IF(CX97&lt;=0,MIN(MAX(0,AB97-SUM(PR97:QW97)),ALX96),MIN(MAX(0,AB97-SUM(PR97:QW97)),ALX96-G97*MAX(0,CX97*ALX96-(XW97+ABJ97))))),MIN(GK97,MAX(0,AB97-SUM(PR97:QW97))))</f>
        <v>0</v>
      </c>
      <c r="QY97" s="20" t="n">
        <f aca="false">IF(H_Direct=1,IF(ALY96&lt;=0,0,IF(CY97&lt;=0,MIN(MAX(0,AB97-SUM(PR97:QX97)),ALY96),MIN(MAX(0,AB97-SUM(PR97:QX97)),ALY96-G97*MAX(0,CY97*ALY96-(XX97+ABK97))))),MIN(GL97,MAX(0,AB97-SUM(PR97:QX97))))</f>
        <v>0</v>
      </c>
      <c r="QZ97" s="20" t="n">
        <f aca="false">IF(H_Direct=1,IF(ALZ96&lt;=0,0,IF(CZ97&lt;=0,MIN(MAX(0,AB97-SUM(PR97:QY97)),ALZ96),MIN(MAX(0,AB97-SUM(PR97:QY97)),ALZ96-G97*MAX(0,CZ97*ALZ96-(XY97+ABL97))))),MIN(GM97,MAX(0,AB97-SUM(PR97:QY97))))</f>
        <v>0</v>
      </c>
      <c r="RA97" s="20" t="n">
        <f aca="false">IF(H_Direct=1,IF(AMA96&lt;=0,0,IF(DA97&lt;=0,MIN(MAX(0,AB97-SUM(PR97:QZ97)),AMA96),MIN(MAX(0,AB97-SUM(PR97:QZ97)),AMA96-G97*MAX(0,DA97*AMA96-(XZ97+ABM97))))),MIN(GN97,MAX(0,AB97-SUM(PR97:QZ97))))</f>
        <v>0</v>
      </c>
      <c r="RB97" s="20" t="n">
        <f aca="false">IF(H_Direct=1,IF(AMB96&lt;=0,0,IF(DB97&lt;=0,MIN(MAX(0,AB97-SUM(PR97:RA97)),AMB96),MIN(MAX(0,AB97-SUM(PR97:RA97)),AMB96-G97*MAX(0,DB97*AMB96-(YA97+ABN97))))),MIN(GO97,MAX(0,AB97-SUM(PR97:RA97))))</f>
        <v>0</v>
      </c>
      <c r="RC97" s="20" t="n">
        <f aca="false">IF(H_Direct=1,IF(AMC96&lt;=0,0,IF(DC97&lt;=0,MIN(MAX(0,AB97-SUM(PR97:RB97)),AMC96),MIN(MAX(0,AB97-SUM(PR97:RB97)),AMC96-G97*MAX(0,DC97*AMC96-(YB97+ABO97))))),MIN(GP97,MAX(0,AB97-SUM(PR97:RB97))))</f>
        <v>0</v>
      </c>
      <c r="RD97" s="20" t="n">
        <f aca="false">IF(H_Direct=1,IF(AMD96&lt;=0,0,IF(DD97&lt;=0,MIN(MAX(0,AB97-SUM(PR97:RC97)),AMD96),MIN(MAX(0,AB97-SUM(PR97:RC97)),AMD96-G97*MAX(0,DD97*AMD96-(YC97+ABP97))))),MIN(GQ97,MAX(0,AB97-SUM(PR97:RC97))))</f>
        <v>0</v>
      </c>
      <c r="RE97" s="20" t="n">
        <f aca="false">IF(H_Direct=1,IF(AME96&lt;=0,0,IF(DE97&lt;=0,MIN(MAX(0,AB97-SUM(PR97:RD97)),AME96),MIN(MAX(0,AB97-SUM(PR97:RD97)),AME96-G97*MAX(0,DE97*AME96-(YD97+ABQ97))))),MIN(GR97,MAX(0,AB97-SUM(PR97:RD97))))</f>
        <v>0</v>
      </c>
      <c r="RF97" s="20" t="n">
        <f aca="false">IF(H_Direct=1,IF(AMF96&lt;=0,0,IF(DF97&lt;=0,MIN(MAX(0,AB97-SUM(PR97:RE97)),AMF96),MIN(MAX(0,AB97-SUM(PR97:RE97)),AMF96-G97*MAX(0,DF97*AMF96-(YE97+ABR97))))),MIN(GS97,MAX(0,AB97-SUM(PR97:RE97))))</f>
        <v>0</v>
      </c>
      <c r="RG97" s="20" t="n">
        <f aca="false">IF(H_Direct=1,IF(AMG96&lt;=0,0,IF(DG97&lt;=0,MIN(MAX(0,AB97-SUM(PR97:RF97)),AMG96),MIN(MAX(0,AB97-SUM(PR97:RF97)),AMG96-G97*MAX(0,DG97*AMG96-(YF97+ABS97))))),MIN(GT97,MAX(0,AB97-SUM(PR97:RF97))))</f>
        <v>0</v>
      </c>
      <c r="RH97" s="20" t="n">
        <f aca="false">IF(H_Direct=1,IF(AMH96&lt;=0,0,IF(DH97&lt;=0,MIN(MAX(0,AB97-SUM(PR97:RG97)),AMH96),MIN(MAX(0,AB97-SUM(PR97:RG97)),AMH96-G97*MAX(0,DH97*AMH96-(YG97+ABT97))))),MIN(GU97,MAX(0,AB97-SUM(PR97:RG97))))</f>
        <v>0</v>
      </c>
      <c r="RI97" s="20" t="n">
        <f aca="false">IF(H_Direct=1,IF(AMI96&lt;=0,0,IF(DI97&lt;=0,MIN(MAX(0,AB97-SUM(PR97:RH97)),AMI96),MIN(MAX(0,AB97-SUM(PR97:RH97)),AMI96-G97*MAX(0,DI97*AMI96-(YH97+ABU97))))),MIN(GV97,MAX(0,AB97-SUM(PR97:RH97))))</f>
        <v>0</v>
      </c>
      <c r="RJ97" s="20" t="n">
        <f aca="false">IF(H_Direct=1,IF(AMJ96&lt;=0,0,IF(DJ97&lt;=0,MIN(MAX(0,AB97-SUM(PR97:RI97)),AMJ96),MIN(MAX(0,AB97-SUM(PR97:RI97)),AMJ96-G97*MAX(0,DJ97*AMJ96-(YI97+ABV97))))),MIN(GW97,MAX(0,AB97-SUM(PR97:RI97))))</f>
        <v>0</v>
      </c>
      <c r="RK97" s="20" t="n">
        <f aca="false">IF(H_Direct=1,IF(AMK96&lt;=0,0,IF(DK97&lt;=0,MIN(MAX(0,AB97-SUM(PR97:RJ97)),AMK96),MIN(MAX(0,AB97-SUM(PR97:RJ97)),AMK96-G97*MAX(0,DK97*AMK96-(YJ97+ABW97))))),MIN(GX97,MAX(0,AB97-SUM(PR97:RJ97))))</f>
        <v>0</v>
      </c>
      <c r="RL97" s="20" t="n">
        <f aca="false">IF(H_Direct=1,IF(AML96&lt;=0,0,IF(DL97&lt;=0,MIN(MAX(0,AB97-SUM(PR97:RK97)),AML96),MIN(MAX(0,AB97-SUM(PR97:RK97)),AML96-G97*MAX(0,DL97*AML96-(YK97+ABX97))))),MIN(GY97,MAX(0,AB97-SUM(PR97:RK97))))</f>
        <v>0</v>
      </c>
      <c r="RM97" s="20" t="n">
        <f aca="false">IF(H_Direct=1,IF(AMM96&lt;=0,0,IF(DM97&lt;=0,MIN(MAX(0,AB97-SUM(PR97:RL97)),AMM96),MIN(MAX(0,AB97-SUM(PR97:RL97)),AMM96-G97*MAX(0,DM97*AMM96-(YL97+ABY97))))),MIN(GZ97,MAX(0,AB97-SUM(PR97:RL97))))</f>
        <v>0</v>
      </c>
      <c r="RN97" s="20" t="n">
        <f aca="false">IF(H_Direct=1,IF(AMN96&lt;=0,0,IF(DN97&lt;=0,MIN(MAX(0,AB97-SUM(PR97:RM97)),AMN96),MIN(MAX(0,AB97-SUM(PR97:RM97)),AMN96-G97*MAX(0,DN97*AMN96-(YM97+ABZ97))))),MIN(HA97,MAX(0,AB97-SUM(PR97:RM97))))</f>
        <v>0</v>
      </c>
      <c r="RO97" s="20" t="n">
        <f aca="false">IF(H_Direct=1,IF(AMO96&lt;=0,0,IF(DO97&lt;=0,MIN(MAX(0,AB97-SUM(PR97:RN97)),AMO96),MIN(MAX(0,AB97-SUM(PR97:RN97)),AMO96-G97*MAX(0,DO97*AMO96-(YN97+ACA97))))),MIN(HB97,MAX(0,AB97-SUM(PR97:RN97))))</f>
        <v>0</v>
      </c>
      <c r="RP97" s="20" t="n">
        <f aca="false">IF(H_Direct=1,IF(AMP96&lt;=0,0,IF(DP97&lt;=0,MIN(MAX(0,AB97-SUM(PR97:RO97)),AMP96),MIN(MAX(0,AB97-SUM(PR97:RO97)),AMP96-G97*MAX(0,DP97*AMP96-(YO97+ACB97))))),MIN(HC97,MAX(0,AB97-SUM(PR97:RO97))))</f>
        <v>0</v>
      </c>
      <c r="RQ97" s="20" t="n">
        <f aca="false">IF(H_Direct=1,IF(AMQ96&lt;=0,0,IF(DQ97&lt;=0,MIN(MAX(0,AB97-SUM(PR97:RP97)),AMQ96),MIN(MAX(0,AB97-SUM(PR97:RP97)),AMQ96-G97*MAX(0,DQ97*AMQ96-(YP97+ACC97))))),MIN(HD97,MAX(0,AB97-SUM(PR97:RP97))))</f>
        <v>0</v>
      </c>
      <c r="RR97" s="20" t="n">
        <f aca="false">IF(H_Direct=1,IF(AMR96&lt;=0,0,IF(DR97&lt;=0,MIN(MAX(0,AB97-SUM(PR97:RQ97)),AMR96),MIN(MAX(0,AB97-SUM(PR97:RQ97)),AMR96-G97*MAX(0,DR97*AMR96-(YQ97+ACD97))))),MIN(HE97,MAX(0,AB97-SUM(PR97:RQ97))))</f>
        <v>0</v>
      </c>
      <c r="RS97" s="20" t="n">
        <f aca="false">IF(H_Direct=1,IF(AMS96&lt;=0,0,IF(DS97&lt;=0,MIN(MAX(0,AB97-SUM(PR97:RR97)),AMS96),MIN(MAX(0,AB97-SUM(PR97:RR97)),AMS96-G97*MAX(0,DS97*AMS96-(YR97+ACE97))))),MIN(HF97,MAX(0,AB97-SUM(PR97:RR97))))</f>
        <v>0</v>
      </c>
      <c r="RT97" s="20" t="n">
        <f aca="false">IF(H_Direct=1,IF(AMT96&lt;=0,0,IF(DT97&lt;=0,MIN(MAX(0,AB97-SUM(PR97:RS97)),AMT96),MIN(MAX(0,AB97-SUM(PR97:RS97)),AMT96-G97*MAX(0,DT97*AMT96-(YS97+ACF97))))),MIN(HG97,MAX(0,AB97-SUM(PR97:RS97))))</f>
        <v>0</v>
      </c>
      <c r="RU97" s="20" t="n">
        <f aca="false">IF(H_Direct=1,IF(AMU96&lt;=0,0,IF(DU97&lt;=0,MIN(MAX(0,AB97-SUM(PR97:RT97)),AMU96),MIN(MAX(0,AB97-SUM(PR97:RT97)),AMU96-G97*MAX(0,DU97*AMU96-(YT97+ACG97))))),MIN(HH97,MAX(0,AB97-SUM(PR97:RT97))))</f>
        <v>0</v>
      </c>
      <c r="RV97" s="20" t="n">
        <f aca="false">IF(H_Direct=1,IF(AMV96&lt;=0,0,IF(DV97&lt;=0,MIN(MAX(0,AB97-SUM(PR97:RU97)),AMV96),MIN(MAX(0,AB97-SUM(PR97:RU97)),AMV96-G97*MAX(0,DV97*AMV96-(YU97+ACH97))))),MIN(HI97,MAX(0,AB97-SUM(PR97:RU97))))</f>
        <v>0</v>
      </c>
      <c r="RW97" s="20" t="n">
        <f aca="false">IF(H_Direct=1,IF(AMW96&lt;=0,0,IF(DW97&lt;=0,MIN(MAX(0,AB97-SUM(PR97:RV97)),AMW96),MIN(MAX(0,AB97-SUM(PR97:RV97)),AMW96-G97*MAX(0,DW97*AMW96-(YV97+ACI97))))),MIN(HJ97,MAX(0,AB97-SUM(PR97:RV97))))</f>
        <v>0</v>
      </c>
      <c r="RX97" s="20" t="n">
        <f aca="false">IF(H_Direct=1,IF(AMX96&lt;=0,0,IF(DX97&lt;=0,MIN(MAX(0,AB97-SUM(PR97:RW97)),AMX96),MIN(MAX(0,AB97-SUM(PR97:RW97)),AMX96-G97*MAX(0,DX97*AMX96-(YW97+ACJ97))))),MIN(HK97,MAX(0,AB97-SUM(PR97:RW97))))</f>
        <v>0</v>
      </c>
      <c r="RY97" s="20" t="n">
        <f aca="false">IF(H_Direct=1,IF(AMY96&lt;=0,0,IF(DY97&lt;=0,MIN(MAX(0,AB97-SUM(PR97:RX97)),AMY96),MIN(MAX(0,AB97-SUM(PR97:RX97)),AMY96-G97*MAX(0,DY97*AMY96-(YX97+ACK97))))),MIN(HL97,MAX(0,AB97-SUM(PR97:RX97))))</f>
        <v>0</v>
      </c>
      <c r="RZ97" s="20" t="n">
        <f aca="false">IF(H_Direct=1,IF(AMZ96&lt;=0,0,IF(DZ97&lt;=0,MIN(MAX(0,AB97-SUM(PR97:RY97)),AMZ96),MIN(MAX(0,AB97-SUM(PR97:RY97)),AMZ96-G97*MAX(0,DZ97*AMZ96-(YY97+ACL97))))),MIN(HM97,MAX(0,AB97-SUM(PR97:RY97))))</f>
        <v>0</v>
      </c>
      <c r="SA97" s="20" t="n">
        <f aca="false">IF(H_Direct=1,IF(ANA96&lt;=0,0,IF(EA97&lt;=0,MIN(MAX(0,AB97-SUM(PR97:RZ97)),ANA96),MIN(MAX(0,AB97-SUM(PR97:RZ97)),ANA96-G97*MAX(0,EA97*ANA96-(YZ97+ACM97))))),MIN(HN97,MAX(0,AB97-SUM(PR97:RZ97))))</f>
        <v>0</v>
      </c>
      <c r="SB97" s="20" t="n">
        <f aca="false">IF(H_Direct=1,IF(ANB96&lt;=0,0,IF(EB97&lt;=0,MIN(MAX(0,AB97-SUM(PR97:SA97)),ANB96),MIN(MAX(0,AB97-SUM(PR97:SA97)),ANB96-G97*MAX(0,EB97*ANB96-(ZA97+ACN97))))),MIN(HO97,MAX(0,AB97-SUM(PR97:SA97))))</f>
        <v>0</v>
      </c>
      <c r="SC97" s="20" t="n">
        <f aca="false">IF(H_Direct=1,IF(ANC96&lt;=0,0,IF(EC97&lt;=0,MIN(MAX(0,AB97-SUM(PR97:SB97)),ANC96),MIN(MAX(0,AB97-SUM(PR97:SB97)),ANC96-G97*MAX(0,EC97*ANC96-(ZB97+ACO97))))),MIN(HP97,MAX(0,AB97-SUM(PR97:SB97))))</f>
        <v>0</v>
      </c>
      <c r="SD97" s="20" t="n">
        <f aca="false">IF(H_Direct=1,IF(AND96&lt;=0,0,IF(ED97&lt;=0,MIN(MAX(0,AB97-SUM(PR97:SC97)),AND96),MIN(MAX(0,AB97-SUM(PR97:SC97)),AND96-G97*MAX(0,ED97*AND96-(ZC97+ACP97))))),MIN(HQ97,MAX(0,AB97-SUM(PR97:SC97))))</f>
        <v>0</v>
      </c>
      <c r="SE97" s="20" t="n">
        <f aca="false">IF(H_Direct=1,IF(ANE96&lt;=0,0,IF(EE97&lt;=0,MIN(MAX(0,AB97-SUM(PR97:SD97)),ANE96),MIN(MAX(0,AB97-SUM(PR97:SD97)),ANE96-G97*MAX(0,EE97*ANE96-(ZD97+ACQ97))))),MIN(HR97,MAX(0,AB97-SUM(PR97:SD97))))</f>
        <v>0</v>
      </c>
      <c r="SF97" s="20" t="n">
        <f aca="false">IF(H_Direct=1,IF(ANF96&lt;=0,0,IF(EF97&lt;=0,MIN(MAX(0,AB97-SUM(PR97:SE97)),ANF96),MIN(MAX(0,AB97-SUM(PR97:SE97)),ANF96-G97*MAX(0,EF97*ANF96-(ZE97+ACR97))))),MIN(HS97,MAX(0,AB97-SUM(PR97:SE97))))</f>
        <v>0</v>
      </c>
      <c r="SG97" s="20" t="n">
        <f aca="false">IF(H_Direct=1,IF(ANG96&lt;=0,0,IF(EG97&lt;=0,MIN(MAX(0,AB97-SUM(PR97:SF97)),ANG96),MIN(MAX(0,AB97-SUM(PR97:SF97)),ANG96-G97*MAX(0,EG97*ANG96-(ZF97+ACS97))))),MIN(HT97,MAX(0,AB97-SUM(PR97:SF97))))</f>
        <v>0</v>
      </c>
      <c r="SH97" s="20" t="n">
        <f aca="false">IF(H_Direct=1,IF(ANH96&lt;=0,0,IF(EH97&lt;=0,MIN(MAX(0,AB97-SUM(PR97:SG97)),ANH96),MIN(MAX(0,AB97-SUM(PR97:SG97)),ANH96-G97*MAX(0,EH97*ANH96-(ZG97+ACT97))))),MIN(HU97,MAX(0,AB97-SUM(PR97:SG97))))</f>
        <v>0</v>
      </c>
      <c r="SI97" s="20" t="n">
        <f aca="false">IF(H_Direct=1,IF(ANI96&lt;=0,0,IF(EI97&lt;=0,MIN(MAX(0,AB97-SUM(PR97:SH97)),ANI96),MIN(MAX(0,AB97-SUM(PR97:SH97)),ANI96-G97*MAX(0,EI97*ANI96-(ZH97+ACU97))))),MIN(HV97,MAX(0,AB97-SUM(PR97:SH97))))</f>
        <v>0</v>
      </c>
      <c r="SJ97" s="20" t="n">
        <f aca="false">IF(H_Direct=1,IF(ANJ96&lt;=0,0,IF(EJ97&lt;=0,MIN(MAX(0,AB97-SUM(PR97:SI97)),ANJ96),MIN(MAX(0,AB97-SUM(PR97:SI97)),ANJ96-G97*MAX(0,EJ97*ANJ96-(ZI97+ACV97))))),MIN(HW97,MAX(0,AB97-SUM(PR97:SI97))))</f>
        <v>0</v>
      </c>
      <c r="SK97" s="20" t="n">
        <f aca="false">IF(H_Direct=1,IF(ANK96&lt;=0,0,IF(EK97&lt;=0,MIN(MAX(0,AB97-SUM(PR97:SJ97)),ANK96),MIN(MAX(0,AB97-SUM(PR97:SJ97)),ANK96-G97*MAX(0,EK97*ANK96-(ZJ97+ACW97))))),MIN(HX97,MAX(0,AB97-SUM(PR97:SJ97))))</f>
        <v>0</v>
      </c>
      <c r="SL97" s="20" t="n">
        <f aca="false">IF(H_Direct=1,IF(ANL96&lt;=0,0,IF(EL97&lt;=0,MIN(MAX(0,AB97-SUM(PR97:SK97)),ANL96),MIN(MAX(0,AB97-SUM(PR97:SK97)),ANL96-G97*MAX(0,EL97*ANL96-(ZK97+ACX97))))),MIN(HY97,MAX(0,AB97-SUM(PR97:SK97))))</f>
        <v>0</v>
      </c>
      <c r="SM97" s="20" t="n">
        <f aca="false">IF(H_Direct=1,IF(ANM96&lt;=0,0,IF(EM97&lt;=0,MIN(MAX(0,AB97-SUM(PR97:SL97)),ANM96),MIN(MAX(0,AB97-SUM(PR97:SL97)),ANM96-G97*MAX(0,EM97*ANM96-(ZL97+ACY97))))),MIN(HZ97,MAX(0,AB97-SUM(PR97:SL97))))</f>
        <v>0</v>
      </c>
      <c r="SN97" s="20" t="n">
        <f aca="false">IF(H_Direct=1,IF(ANN96&lt;=0,0,IF(EN97&lt;=0,MIN(MAX(0,AB97-SUM(PR97:SM97)),ANN96),MIN(MAX(0,AB97-SUM(PR97:SM97)),ANN96-G97*MAX(0,EN97*ANN96-(ZM97+ACZ97))))),MIN(IA97,MAX(0,AB97-SUM(PR97:SM97))))</f>
        <v>0</v>
      </c>
      <c r="SO97" s="20" t="n">
        <f aca="false">IF(H_Direct=1,IF(ANO96&lt;=0,0,IF(EO97&lt;=0,MIN(MAX(0,AB97-SUM(PR97:SN97)),ANO96),MIN(MAX(0,AB97-SUM(PR97:SN97)),ANO96-G97*MAX(0,EO97*ANO96-(ZN97+ADA97))))),MIN(IB97,MAX(0,AB97-SUM(PR97:SN97))))</f>
        <v>0</v>
      </c>
      <c r="SP97" s="20" t="n">
        <f aca="false">IF(H_Direct=1,IF(ANP96&lt;=0,0,IF(EP97&lt;=0,MIN(MAX(0,AB97-SUM(PR97:SO97)),ANP96),MIN(MAX(0,AB97-SUM(PR97:SO97)),ANP96-G97*MAX(0,EP97*ANP96-(ZO97+ADB97))))),MIN(IC97,MAX(0,AB97-SUM(PR97:SO97))))</f>
        <v>0</v>
      </c>
      <c r="SQ97" s="20" t="n">
        <f aca="false">IF(H_Direct=1,IF(ANQ96&lt;=0,0,IF(EQ97&lt;=0,MIN(MAX(0,AB97-SUM(PR97:SP97)),ANQ96),MIN(MAX(0,AB97-SUM(PR97:SP97)),ANQ96-G97*MAX(0,EQ97*ANQ96-(ZP97+ADC97))))),MIN(ID97,MAX(0,AB97-SUM(PR97:SP97))))</f>
        <v>0</v>
      </c>
      <c r="SR97" s="20" t="n">
        <f aca="false">IF(H_Direct=1,IF(ANR96&lt;=0,0,IF(ER97&lt;=0,MIN(MAX(0,AB97-SUM(PR97:SQ97)),ANR96),MIN(MAX(0,AB97-SUM(PR97:SQ97)),ANR96-G97*MAX(0,ER97*ANR96-(ZQ97+ADD97))))),MIN(IE97,MAX(0,AB97-SUM(PR97:SQ97))))</f>
        <v>0</v>
      </c>
      <c r="SS97" s="20" t="n">
        <f aca="false">IF(H_Direct=1,IF(ANS96&lt;=0,0,IF(ES97&lt;=0,MIN(MAX(0,AB97-SUM(PR97:SR97)),ANS96),MIN(MAX(0,AB97-SUM(PR97:SR97)),ANS96-G97*MAX(0,ES97*ANS96-(ZR97+ADE97))))),MIN(IF97,MAX(0,AB97-SUM(PR97:SR97))))</f>
        <v>0</v>
      </c>
      <c r="ST97" s="20" t="n">
        <f aca="false">IF(H_Direct=1,IF(ANT96&lt;=0,0,IF(ET97&lt;=0,MIN(MAX(0,AB97-SUM(PR97:SS97)),ANT96),MIN(MAX(0,AB97-SUM(PR97:SS97)),ANT96-G97*MAX(0,ET97*ANT96-(ZS97+ADF97))))),MIN(IG97,MAX(0,AB97-SUM(PR97:SS97))))</f>
        <v>0</v>
      </c>
      <c r="SU97" s="20" t="n">
        <f aca="false">IF(H_Direct=1,IF(ANU96&lt;=0,0,IF(EU97&lt;=0,MIN(MAX(0,AB97-SUM(PR97:ST97)),ANU96),MIN(MAX(0,AB97-SUM(PR97:ST97)),ANU96-G97*MAX(0,EU97*ANU96-(ZT97+ADG97))))),MIN(IH97,MAX(0,AB97-SUM(PR97:ST97))))</f>
        <v>0</v>
      </c>
      <c r="SV97" s="20" t="n">
        <f aca="false">IF(H_Direct=1,IF(ANV96&lt;=0,0,IF(EV97&lt;=0,MIN(MAX(0,AB97-SUM(PR97:SU97)),ANV96),MIN(MAX(0,AB97-SUM(PR97:SU97)),ANV96-G97*MAX(0,EV97*ANV96-(ZU97+ADH97))))),MIN(II97,MAX(0,AB97-SUM(PR97:SU97))))</f>
        <v>0</v>
      </c>
      <c r="SW97" s="20" t="n">
        <f aca="false">IF(H_Direct=1,IF(ANW96&lt;=0,0,IF(EW97&lt;=0,MIN(MAX(0,AB97-SUM(PR97:SV97)),ANW96),MIN(MAX(0,AB97-SUM(PR97:SV97)),ANW96-G97*MAX(0,EW97*ANW96-(ZV97+ADI97))))),MIN(IJ97,MAX(0,AB97-SUM(PR97:SV97))))</f>
        <v>0</v>
      </c>
      <c r="SX97" s="20" t="n">
        <f aca="false">IF(H_Direct=1,IF(ANX96&lt;=0,0,IF(EX97&lt;=0,MIN(MAX(0,AB97-SUM(PR97:SW97)),ANX96),MIN(MAX(0,AB97-SUM(PR97:SW97)),ANX96-G97*MAX(0,EX97*ANX96-(ZW97+ADJ97))))),MIN(IK97,MAX(0,AB97-SUM(PR97:SW97))))</f>
        <v>0</v>
      </c>
      <c r="SY97" s="20" t="n">
        <f aca="false">IF(H_Direct=1,IF(ANY96&lt;=0,0,IF(EY97&lt;=0,MIN(MAX(0,AB97-SUM(PR97:SX97)),ANY96),MIN(MAX(0,AB97-SUM(PR97:SX97)),ANY96-G97*MAX(0,EY97*ANY96-(ZX97+ADK97))))),MIN(IL97,MAX(0,AB97-SUM(PR97:SX97))))</f>
        <v>0</v>
      </c>
      <c r="SZ97" s="20" t="n">
        <f aca="false">IF(H_Direct=1,IF(ANZ96&lt;=0,0,IF(EZ97&lt;=0,MIN(MAX(0,AB97-SUM(PR97:SY97)),ANZ96),MIN(MAX(0,AB97-SUM(PR97:SY97)),ANZ96-G97*MAX(0,EZ97*ANZ96-(ZY97+ADL97))))),MIN(IM97,MAX(0,AB97-SUM(PR97:SY97))))</f>
        <v>0</v>
      </c>
      <c r="TA97" s="20" t="n">
        <f aca="false">IF(H_Direct=1,IF(AOA96&lt;=0,0,IF(FA97&lt;=0,MIN(MAX(0,AB97-SUM(PR97:SZ97)),AOA96),MIN(MAX(0,AB97-SUM(PR97:SZ97)),AOA96-G97*MAX(0,FA97*AOA96-(ZZ97+ADM97))))),MIN(IN97,MAX(0,AB97-SUM(PR97:SZ97))))</f>
        <v>0</v>
      </c>
      <c r="TB97" s="20" t="n">
        <f aca="false">IF(H_Direct=1,IF(AOB96&lt;=0,0,IF(FB97&lt;=0,MIN(MAX(0,AB97-SUM(PR97:TA97)),AOB96),MIN(MAX(0,AB97-SUM(PR97:TA97)),AOB96-G97*MAX(0,FB97*AOB96-(AAA97+ADN97))))),MIN(IO97,MAX(0,AB97-SUM(PR97:TA97))))</f>
        <v>0</v>
      </c>
      <c r="TC97" s="20" t="n">
        <f aca="false">IF(H_Direct=1,IF(AOC96&lt;=0,0,IF(FC97&lt;=0,MIN(MAX(0,AB97-SUM(PR97:TB97)),AOC96),MIN(MAX(0,AB97-SUM(PR97:TB97)),AOC96-G97*MAX(0,FC97*AOC96-(AAB97+ADO97))))),MIN(IP97,MAX(0,AB97-SUM(PR97:TB97))))</f>
        <v>0</v>
      </c>
      <c r="TD97" s="20" t="n">
        <f aca="false">IF(H_Direct=1,IF((P97+S97)&lt;=0,0,IF(FD97&lt;=0,MIN(MAX(0,AB97-SUM(PR97:TC97)),(P97+S97)),MIN(MAX(0,AB97-SUM(PR97:TC97)),(P97+S97)-G97*MAX(0,FD97*(P97+S97)-(AAC97+ADP97))))),MIN(IQ97,MAX(0,AB97-SUM(PR97:TC97))))</f>
        <v>0</v>
      </c>
      <c r="TE97" s="20" t="n">
        <f aca="false">IF(AKR96&lt;=0,0,IF(H_Direct=1,IF(BR97&lt;=0,PR97,IF(PR97&lt;=(H97+I97)/BR97,PR97,(PR97-G97*(H97+I97))/(1-G97*BR97))),PR97/(1-MAX(0,BR97)*H_Exit)))</f>
        <v>0</v>
      </c>
      <c r="TF97" s="20" t="n">
        <f aca="false">IF(AKS96&lt;=0,0,IF(H_Direct=1,IF(BS97&lt;=0,PS97,IF(PS97&lt;=(WR97+AAE97)/BS97,PS97,(PS97-G97*(WR97+AAE97))/(1-G97*BS97))),PS97/(1-MAX(0,BS97)*H_Exit)))</f>
        <v>0</v>
      </c>
      <c r="TG97" s="20" t="n">
        <f aca="false">IF(AKT96&lt;=0,0,IF(H_Direct=1,IF(BT97&lt;=0,PT97,IF(PT97&lt;=(WS97+AAF97)/BT97,PT97,(PT97-G97*(WS97+AAF97))/(1-G97*BT97))),PT97/(1-MAX(0,BT97)*H_Exit)))</f>
        <v>0</v>
      </c>
      <c r="TH97" s="20" t="n">
        <f aca="false">IF(AKU96&lt;=0,0,IF(H_Direct=1,IF(BU97&lt;=0,PU97,IF(PU97&lt;=(WT97+AAG97)/BU97,PU97,(PU97-G97*(WT97+AAG97))/(1-G97*BU97))),PU97/(1-MAX(0,BU97)*H_Exit)))</f>
        <v>0</v>
      </c>
      <c r="TI97" s="20" t="n">
        <f aca="false">IF(AKV96&lt;=0,0,IF(H_Direct=1,IF(BV97&lt;=0,PV97,IF(PV97&lt;=(WU97+AAH97)/BV97,PV97,(PV97-G97*(WU97+AAH97))/(1-G97*BV97))),PV97/(1-MAX(0,BV97)*H_Exit)))</f>
        <v>0</v>
      </c>
      <c r="TJ97" s="20" t="n">
        <f aca="false">IF(AKW96&lt;=0,0,IF(H_Direct=1,IF(BW97&lt;=0,PW97,IF(PW97&lt;=(WV97+AAI97)/BW97,PW97,(PW97-G97*(WV97+AAI97))/(1-G97*BW97))),PW97/(1-MAX(0,BW97)*H_Exit)))</f>
        <v>0</v>
      </c>
      <c r="TK97" s="20" t="n">
        <f aca="false">IF(AKX96&lt;=0,0,IF(H_Direct=1,IF(BX97&lt;=0,PX97,IF(PX97&lt;=(WW97+AAJ97)/BX97,PX97,(PX97-G97*(WW97+AAJ97))/(1-G97*BX97))),PX97/(1-MAX(0,BX97)*H_Exit)))</f>
        <v>0</v>
      </c>
      <c r="TL97" s="20" t="n">
        <f aca="false">IF(AKY96&lt;=0,0,IF(H_Direct=1,IF(BY97&lt;=0,PY97,IF(PY97&lt;=(WX97+AAK97)/BY97,PY97,(PY97-G97*(WX97+AAK97))/(1-G97*BY97))),PY97/(1-MAX(0,BY97)*H_Exit)))</f>
        <v>0</v>
      </c>
      <c r="TM97" s="20" t="n">
        <f aca="false">IF(AKZ96&lt;=0,0,IF(H_Direct=1,IF(BZ97&lt;=0,PZ97,IF(PZ97&lt;=(WY97+AAL97)/BZ97,PZ97,(PZ97-G97*(WY97+AAL97))/(1-G97*BZ97))),PZ97/(1-MAX(0,BZ97)*H_Exit)))</f>
        <v>0</v>
      </c>
      <c r="TN97" s="20" t="n">
        <f aca="false">IF(ALA96&lt;=0,0,IF(H_Direct=1,IF(CA97&lt;=0,QA97,IF(QA97&lt;=(WZ97+AAM97)/CA97,QA97,(QA97-G97*(WZ97+AAM97))/(1-G97*CA97))),QA97/(1-MAX(0,CA97)*H_Exit)))</f>
        <v>0</v>
      </c>
      <c r="TO97" s="20" t="n">
        <f aca="false">IF(ALB96&lt;=0,0,IF(H_Direct=1,IF(CB97&lt;=0,QB97,IF(QB97&lt;=(XA97+AAN97)/CB97,QB97,(QB97-G97*(XA97+AAN97))/(1-G97*CB97))),QB97/(1-MAX(0,CB97)*H_Exit)))</f>
        <v>0</v>
      </c>
      <c r="TP97" s="20" t="n">
        <f aca="false">IF(ALC96&lt;=0,0,IF(H_Direct=1,IF(CC97&lt;=0,QC97,IF(QC97&lt;=(XB97+AAO97)/CC97,QC97,(QC97-G97*(XB97+AAO97))/(1-G97*CC97))),QC97/(1-MAX(0,CC97)*H_Exit)))</f>
        <v>0</v>
      </c>
      <c r="TQ97" s="20" t="n">
        <f aca="false">IF(ALD96&lt;=0,0,IF(H_Direct=1,IF(CD97&lt;=0,QD97,IF(QD97&lt;=(XC97+AAP97)/CD97,QD97,(QD97-G97*(XC97+AAP97))/(1-G97*CD97))),QD97/(1-MAX(0,CD97)*H_Exit)))</f>
        <v>0</v>
      </c>
      <c r="TR97" s="20" t="n">
        <f aca="false">IF(ALE96&lt;=0,0,IF(H_Direct=1,IF(CE97&lt;=0,QE97,IF(QE97&lt;=(XD97+AAQ97)/CE97,QE97,(QE97-G97*(XD97+AAQ97))/(1-G97*CE97))),QE97/(1-MAX(0,CE97)*H_Exit)))</f>
        <v>0</v>
      </c>
      <c r="TS97" s="20" t="n">
        <f aca="false">IF(ALF96&lt;=0,0,IF(H_Direct=1,IF(CF97&lt;=0,QF97,IF(QF97&lt;=(XE97+AAR97)/CF97,QF97,(QF97-G97*(XE97+AAR97))/(1-G97*CF97))),QF97/(1-MAX(0,CF97)*H_Exit)))</f>
        <v>0</v>
      </c>
      <c r="TT97" s="20" t="n">
        <f aca="false">IF(ALG96&lt;=0,0,IF(H_Direct=1,IF(CG97&lt;=0,QG97,IF(QG97&lt;=(XF97+AAS97)/CG97,QG97,(QG97-G97*(XF97+AAS97))/(1-G97*CG97))),QG97/(1-MAX(0,CG97)*H_Exit)))</f>
        <v>0</v>
      </c>
      <c r="TU97" s="20" t="n">
        <f aca="false">IF(ALH96&lt;=0,0,IF(H_Direct=1,IF(CH97&lt;=0,QH97,IF(QH97&lt;=(XG97+AAT97)/CH97,QH97,(QH97-G97*(XG97+AAT97))/(1-G97*CH97))),QH97/(1-MAX(0,CH97)*H_Exit)))</f>
        <v>0</v>
      </c>
      <c r="TV97" s="20" t="n">
        <f aca="false">IF(ALI96&lt;=0,0,IF(H_Direct=1,IF(CI97&lt;=0,QI97,IF(QI97&lt;=(XH97+AAU97)/CI97,QI97,(QI97-G97*(XH97+AAU97))/(1-G97*CI97))),QI97/(1-MAX(0,CI97)*H_Exit)))</f>
        <v>0</v>
      </c>
      <c r="TW97" s="20" t="n">
        <f aca="false">IF(ALJ96&lt;=0,0,IF(H_Direct=1,IF(CJ97&lt;=0,QJ97,IF(QJ97&lt;=(XI97+AAV97)/CJ97,QJ97,(QJ97-G97*(XI97+AAV97))/(1-G97*CJ97))),QJ97/(1-MAX(0,CJ97)*H_Exit)))</f>
        <v>0</v>
      </c>
      <c r="TX97" s="20" t="n">
        <f aca="false">IF(ALK96&lt;=0,0,IF(H_Direct=1,IF(CK97&lt;=0,QK97,IF(QK97&lt;=(XJ97+AAW97)/CK97,QK97,(QK97-G97*(XJ97+AAW97))/(1-G97*CK97))),QK97/(1-MAX(0,CK97)*H_Exit)))</f>
        <v>0</v>
      </c>
      <c r="TY97" s="20" t="n">
        <f aca="false">IF(ALL96&lt;=0,0,IF(H_Direct=1,IF(CL97&lt;=0,QL97,IF(QL97&lt;=(XK97+AAX97)/CL97,QL97,(QL97-G97*(XK97+AAX97))/(1-G97*CL97))),QL97/(1-MAX(0,CL97)*H_Exit)))</f>
        <v>0</v>
      </c>
      <c r="TZ97" s="20" t="n">
        <f aca="false">IF(ALM96&lt;=0,0,IF(H_Direct=1,IF(CM97&lt;=0,QM97,IF(QM97&lt;=(XL97+AAY97)/CM97,QM97,(QM97-G97*(XL97+AAY97))/(1-G97*CM97))),QM97/(1-MAX(0,CM97)*H_Exit)))</f>
        <v>0</v>
      </c>
      <c r="UA97" s="20" t="n">
        <f aca="false">IF(ALN96&lt;=0,0,IF(H_Direct=1,IF(CN97&lt;=0,QN97,IF(QN97&lt;=(XM97+AAZ97)/CN97,QN97,(QN97-G97*(XM97+AAZ97))/(1-G97*CN97))),QN97/(1-MAX(0,CN97)*H_Exit)))</f>
        <v>0</v>
      </c>
      <c r="UB97" s="20" t="n">
        <f aca="false">IF(ALO96&lt;=0,0,IF(H_Direct=1,IF(CO97&lt;=0,QO97,IF(QO97&lt;=(XN97+ABA97)/CO97,QO97,(QO97-G97*(XN97+ABA97))/(1-G97*CO97))),QO97/(1-MAX(0,CO97)*H_Exit)))</f>
        <v>0</v>
      </c>
      <c r="UC97" s="20" t="n">
        <f aca="false">IF(ALP96&lt;=0,0,IF(H_Direct=1,IF(CP97&lt;=0,QP97,IF(QP97&lt;=(XO97+ABB97)/CP97,QP97,(QP97-G97*(XO97+ABB97))/(1-G97*CP97))),QP97/(1-MAX(0,CP97)*H_Exit)))</f>
        <v>0</v>
      </c>
      <c r="UD97" s="20" t="n">
        <f aca="false">IF(ALQ96&lt;=0,0,IF(H_Direct=1,IF(CQ97&lt;=0,QQ97,IF(QQ97&lt;=(XP97+ABC97)/CQ97,QQ97,(QQ97-G97*(XP97+ABC97))/(1-G97*CQ97))),QQ97/(1-MAX(0,CQ97)*H_Exit)))</f>
        <v>0</v>
      </c>
      <c r="UE97" s="20" t="n">
        <f aca="false">IF(ALR96&lt;=0,0,IF(H_Direct=1,IF(CR97&lt;=0,QR97,IF(QR97&lt;=(XQ97+ABD97)/CR97,QR97,(QR97-G97*(XQ97+ABD97))/(1-G97*CR97))),QR97/(1-MAX(0,CR97)*H_Exit)))</f>
        <v>0</v>
      </c>
      <c r="UF97" s="20" t="n">
        <f aca="false">IF(ALS96&lt;=0,0,IF(H_Direct=1,IF(CS97&lt;=0,QS97,IF(QS97&lt;=(XR97+ABE97)/CS97,QS97,(QS97-G97*(XR97+ABE97))/(1-G97*CS97))),QS97/(1-MAX(0,CS97)*H_Exit)))</f>
        <v>0</v>
      </c>
      <c r="UG97" s="20" t="n">
        <f aca="false">IF(ALT96&lt;=0,0,IF(H_Direct=1,IF(CT97&lt;=0,QT97,IF(QT97&lt;=(XS97+ABF97)/CT97,QT97,(QT97-G97*(XS97+ABF97))/(1-G97*CT97))),QT97/(1-MAX(0,CT97)*H_Exit)))</f>
        <v>0</v>
      </c>
      <c r="UH97" s="20" t="n">
        <f aca="false">IF(ALU96&lt;=0,0,IF(H_Direct=1,IF(CU97&lt;=0,QU97,IF(QU97&lt;=(XT97+ABG97)/CU97,QU97,(QU97-G97*(XT97+ABG97))/(1-G97*CU97))),QU97/(1-MAX(0,CU97)*H_Exit)))</f>
        <v>0</v>
      </c>
      <c r="UI97" s="20" t="n">
        <f aca="false">IF(ALV96&lt;=0,0,IF(H_Direct=1,IF(CV97&lt;=0,QV97,IF(QV97&lt;=(XU97+ABH97)/CV97,QV97,(QV97-G97*(XU97+ABH97))/(1-G97*CV97))),QV97/(1-MAX(0,CV97)*H_Exit)))</f>
        <v>0</v>
      </c>
      <c r="UJ97" s="20" t="n">
        <f aca="false">IF(ALW96&lt;=0,0,IF(H_Direct=1,IF(CW97&lt;=0,QW97,IF(QW97&lt;=(XV97+ABI97)/CW97,QW97,(QW97-G97*(XV97+ABI97))/(1-G97*CW97))),QW97/(1-MAX(0,CW97)*H_Exit)))</f>
        <v>0</v>
      </c>
      <c r="UK97" s="20" t="n">
        <f aca="false">IF(ALX96&lt;=0,0,IF(H_Direct=1,IF(CX97&lt;=0,QX97,IF(QX97&lt;=(XW97+ABJ97)/CX97,QX97,(QX97-G97*(XW97+ABJ97))/(1-G97*CX97))),QX97/(1-MAX(0,CX97)*H_Exit)))</f>
        <v>0</v>
      </c>
      <c r="UL97" s="20" t="n">
        <f aca="false">IF(ALY96&lt;=0,0,IF(H_Direct=1,IF(CY97&lt;=0,QY97,IF(QY97&lt;=(XX97+ABK97)/CY97,QY97,(QY97-G97*(XX97+ABK97))/(1-G97*CY97))),QY97/(1-MAX(0,CY97)*H_Exit)))</f>
        <v>0</v>
      </c>
      <c r="UM97" s="20" t="n">
        <f aca="false">IF(ALZ96&lt;=0,0,IF(H_Direct=1,IF(CZ97&lt;=0,QZ97,IF(QZ97&lt;=(XY97+ABL97)/CZ97,QZ97,(QZ97-G97*(XY97+ABL97))/(1-G97*CZ97))),QZ97/(1-MAX(0,CZ97)*H_Exit)))</f>
        <v>0</v>
      </c>
      <c r="UN97" s="20" t="n">
        <f aca="false">IF(AMA96&lt;=0,0,IF(H_Direct=1,IF(DA97&lt;=0,RA97,IF(RA97&lt;=(XZ97+ABM97)/DA97,RA97,(RA97-G97*(XZ97+ABM97))/(1-G97*DA97))),RA97/(1-MAX(0,DA97)*H_Exit)))</f>
        <v>0</v>
      </c>
      <c r="UO97" s="20" t="n">
        <f aca="false">IF(AMB96&lt;=0,0,IF(H_Direct=1,IF(DB97&lt;=0,RB97,IF(RB97&lt;=(YA97+ABN97)/DB97,RB97,(RB97-G97*(YA97+ABN97))/(1-G97*DB97))),RB97/(1-MAX(0,DB97)*H_Exit)))</f>
        <v>0</v>
      </c>
      <c r="UP97" s="20" t="n">
        <f aca="false">IF(AMC96&lt;=0,0,IF(H_Direct=1,IF(DC97&lt;=0,RC97,IF(RC97&lt;=(YB97+ABO97)/DC97,RC97,(RC97-G97*(YB97+ABO97))/(1-G97*DC97))),RC97/(1-MAX(0,DC97)*H_Exit)))</f>
        <v>0</v>
      </c>
      <c r="UQ97" s="20" t="n">
        <f aca="false">IF(AMD96&lt;=0,0,IF(H_Direct=1,IF(DD97&lt;=0,RD97,IF(RD97&lt;=(YC97+ABP97)/DD97,RD97,(RD97-G97*(YC97+ABP97))/(1-G97*DD97))),RD97/(1-MAX(0,DD97)*H_Exit)))</f>
        <v>0</v>
      </c>
      <c r="UR97" s="20" t="n">
        <f aca="false">IF(AME96&lt;=0,0,IF(H_Direct=1,IF(DE97&lt;=0,RE97,IF(RE97&lt;=(YD97+ABQ97)/DE97,RE97,(RE97-G97*(YD97+ABQ97))/(1-G97*DE97))),RE97/(1-MAX(0,DE97)*H_Exit)))</f>
        <v>0</v>
      </c>
      <c r="US97" s="20" t="n">
        <f aca="false">IF(AMF96&lt;=0,0,IF(H_Direct=1,IF(DF97&lt;=0,RF97,IF(RF97&lt;=(YE97+ABR97)/DF97,RF97,(RF97-G97*(YE97+ABR97))/(1-G97*DF97))),RF97/(1-MAX(0,DF97)*H_Exit)))</f>
        <v>0</v>
      </c>
      <c r="UT97" s="20" t="n">
        <f aca="false">IF(AMG96&lt;=0,0,IF(H_Direct=1,IF(DG97&lt;=0,RG97,IF(RG97&lt;=(YF97+ABS97)/DG97,RG97,(RG97-G97*(YF97+ABS97))/(1-G97*DG97))),RG97/(1-MAX(0,DG97)*H_Exit)))</f>
        <v>0</v>
      </c>
      <c r="UU97" s="20" t="n">
        <f aca="false">IF(AMH96&lt;=0,0,IF(H_Direct=1,IF(DH97&lt;=0,RH97,IF(RH97&lt;=(YG97+ABT97)/DH97,RH97,(RH97-G97*(YG97+ABT97))/(1-G97*DH97))),RH97/(1-MAX(0,DH97)*H_Exit)))</f>
        <v>0</v>
      </c>
      <c r="UV97" s="20" t="n">
        <f aca="false">IF(AMI96&lt;=0,0,IF(H_Direct=1,IF(DI97&lt;=0,RI97,IF(RI97&lt;=(YH97+ABU97)/DI97,RI97,(RI97-G97*(YH97+ABU97))/(1-G97*DI97))),RI97/(1-MAX(0,DI97)*H_Exit)))</f>
        <v>0</v>
      </c>
      <c r="UW97" s="20" t="n">
        <f aca="false">IF(AMJ96&lt;=0,0,IF(H_Direct=1,IF(DJ97&lt;=0,RJ97,IF(RJ97&lt;=(YI97+ABV97)/DJ97,RJ97,(RJ97-G97*(YI97+ABV97))/(1-G97*DJ97))),RJ97/(1-MAX(0,DJ97)*H_Exit)))</f>
        <v>0</v>
      </c>
      <c r="UX97" s="20" t="n">
        <f aca="false">IF(AMK96&lt;=0,0,IF(H_Direct=1,IF(DK97&lt;=0,RK97,IF(RK97&lt;=(YJ97+ABW97)/DK97,RK97,(RK97-G97*(YJ97+ABW97))/(1-G97*DK97))),RK97/(1-MAX(0,DK97)*H_Exit)))</f>
        <v>0</v>
      </c>
      <c r="UY97" s="20" t="n">
        <f aca="false">IF(AML96&lt;=0,0,IF(H_Direct=1,IF(DL97&lt;=0,RL97,IF(RL97&lt;=(YK97+ABX97)/DL97,RL97,(RL97-G97*(YK97+ABX97))/(1-G97*DL97))),RL97/(1-MAX(0,DL97)*H_Exit)))</f>
        <v>0</v>
      </c>
      <c r="UZ97" s="20" t="n">
        <f aca="false">IF(AMM96&lt;=0,0,IF(H_Direct=1,IF(DM97&lt;=0,RM97,IF(RM97&lt;=(YL97+ABY97)/DM97,RM97,(RM97-G97*(YL97+ABY97))/(1-G97*DM97))),RM97/(1-MAX(0,DM97)*H_Exit)))</f>
        <v>0</v>
      </c>
      <c r="VA97" s="20" t="n">
        <f aca="false">IF(AMN96&lt;=0,0,IF(H_Direct=1,IF(DN97&lt;=0,RN97,IF(RN97&lt;=(YM97+ABZ97)/DN97,RN97,(RN97-G97*(YM97+ABZ97))/(1-G97*DN97))),RN97/(1-MAX(0,DN97)*H_Exit)))</f>
        <v>0</v>
      </c>
      <c r="VB97" s="20" t="n">
        <f aca="false">IF(AMO96&lt;=0,0,IF(H_Direct=1,IF(DO97&lt;=0,RO97,IF(RO97&lt;=(YN97+ACA97)/DO97,RO97,(RO97-G97*(YN97+ACA97))/(1-G97*DO97))),RO97/(1-MAX(0,DO97)*H_Exit)))</f>
        <v>0</v>
      </c>
      <c r="VC97" s="20" t="n">
        <f aca="false">IF(AMP96&lt;=0,0,IF(H_Direct=1,IF(DP97&lt;=0,RP97,IF(RP97&lt;=(YO97+ACB97)/DP97,RP97,(RP97-G97*(YO97+ACB97))/(1-G97*DP97))),RP97/(1-MAX(0,DP97)*H_Exit)))</f>
        <v>0</v>
      </c>
      <c r="VD97" s="20" t="n">
        <f aca="false">IF(AMQ96&lt;=0,0,IF(H_Direct=1,IF(DQ97&lt;=0,RQ97,IF(RQ97&lt;=(YP97+ACC97)/DQ97,RQ97,(RQ97-G97*(YP97+ACC97))/(1-G97*DQ97))),RQ97/(1-MAX(0,DQ97)*H_Exit)))</f>
        <v>0</v>
      </c>
      <c r="VE97" s="20" t="n">
        <f aca="false">IF(AMR96&lt;=0,0,IF(H_Direct=1,IF(DR97&lt;=0,RR97,IF(RR97&lt;=(YQ97+ACD97)/DR97,RR97,(RR97-G97*(YQ97+ACD97))/(1-G97*DR97))),RR97/(1-MAX(0,DR97)*H_Exit)))</f>
        <v>0</v>
      </c>
      <c r="VF97" s="20" t="n">
        <f aca="false">IF(AMS96&lt;=0,0,IF(H_Direct=1,IF(DS97&lt;=0,RS97,IF(RS97&lt;=(YR97+ACE97)/DS97,RS97,(RS97-G97*(YR97+ACE97))/(1-G97*DS97))),RS97/(1-MAX(0,DS97)*H_Exit)))</f>
        <v>0</v>
      </c>
      <c r="VG97" s="20" t="n">
        <f aca="false">IF(AMT96&lt;=0,0,IF(H_Direct=1,IF(DT97&lt;=0,RT97,IF(RT97&lt;=(YS97+ACF97)/DT97,RT97,(RT97-G97*(YS97+ACF97))/(1-G97*DT97))),RT97/(1-MAX(0,DT97)*H_Exit)))</f>
        <v>0</v>
      </c>
      <c r="VH97" s="20" t="n">
        <f aca="false">IF(AMU96&lt;=0,0,IF(H_Direct=1,IF(DU97&lt;=0,RU97,IF(RU97&lt;=(YT97+ACG97)/DU97,RU97,(RU97-G97*(YT97+ACG97))/(1-G97*DU97))),RU97/(1-MAX(0,DU97)*H_Exit)))</f>
        <v>0</v>
      </c>
      <c r="VI97" s="20" t="n">
        <f aca="false">IF(AMV96&lt;=0,0,IF(H_Direct=1,IF(DV97&lt;=0,RV97,IF(RV97&lt;=(YU97+ACH97)/DV97,RV97,(RV97-G97*(YU97+ACH97))/(1-G97*DV97))),RV97/(1-MAX(0,DV97)*H_Exit)))</f>
        <v>0</v>
      </c>
      <c r="VJ97" s="20" t="n">
        <f aca="false">IF(AMW96&lt;=0,0,IF(H_Direct=1,IF(DW97&lt;=0,RW97,IF(RW97&lt;=(YV97+ACI97)/DW97,RW97,(RW97-G97*(YV97+ACI97))/(1-G97*DW97))),RW97/(1-MAX(0,DW97)*H_Exit)))</f>
        <v>0</v>
      </c>
      <c r="VK97" s="20" t="n">
        <f aca="false">IF(AMX96&lt;=0,0,IF(H_Direct=1,IF(DX97&lt;=0,RX97,IF(RX97&lt;=(YW97+ACJ97)/DX97,RX97,(RX97-G97*(YW97+ACJ97))/(1-G97*DX97))),RX97/(1-MAX(0,DX97)*H_Exit)))</f>
        <v>0</v>
      </c>
      <c r="VL97" s="20" t="n">
        <f aca="false">IF(AMY96&lt;=0,0,IF(H_Direct=1,IF(DY97&lt;=0,RY97,IF(RY97&lt;=(YX97+ACK97)/DY97,RY97,(RY97-G97*(YX97+ACK97))/(1-G97*DY97))),RY97/(1-MAX(0,DY97)*H_Exit)))</f>
        <v>0</v>
      </c>
      <c r="VM97" s="20" t="n">
        <f aca="false">IF(AMZ96&lt;=0,0,IF(H_Direct=1,IF(DZ97&lt;=0,RZ97,IF(RZ97&lt;=(YY97+ACL97)/DZ97,RZ97,(RZ97-G97*(YY97+ACL97))/(1-G97*DZ97))),RZ97/(1-MAX(0,DZ97)*H_Exit)))</f>
        <v>0</v>
      </c>
      <c r="VN97" s="20" t="n">
        <f aca="false">IF(ANA96&lt;=0,0,IF(H_Direct=1,IF(EA97&lt;=0,SA97,IF(SA97&lt;=(YZ97+ACM97)/EA97,SA97,(SA97-G97*(YZ97+ACM97))/(1-G97*EA97))),SA97/(1-MAX(0,EA97)*H_Exit)))</f>
        <v>0</v>
      </c>
      <c r="VO97" s="20" t="n">
        <f aca="false">IF(ANB96&lt;=0,0,IF(H_Direct=1,IF(EB97&lt;=0,SB97,IF(SB97&lt;=(ZA97+ACN97)/EB97,SB97,(SB97-G97*(ZA97+ACN97))/(1-G97*EB97))),SB97/(1-MAX(0,EB97)*H_Exit)))</f>
        <v>0</v>
      </c>
      <c r="VP97" s="20" t="n">
        <f aca="false">IF(ANC96&lt;=0,0,IF(H_Direct=1,IF(EC97&lt;=0,SC97,IF(SC97&lt;=(ZB97+ACO97)/EC97,SC97,(SC97-G97*(ZB97+ACO97))/(1-G97*EC97))),SC97/(1-MAX(0,EC97)*H_Exit)))</f>
        <v>0</v>
      </c>
      <c r="VQ97" s="20" t="n">
        <f aca="false">IF(AND96&lt;=0,0,IF(H_Direct=1,IF(ED97&lt;=0,SD97,IF(SD97&lt;=(ZC97+ACP97)/ED97,SD97,(SD97-G97*(ZC97+ACP97))/(1-G97*ED97))),SD97/(1-MAX(0,ED97)*H_Exit)))</f>
        <v>0</v>
      </c>
      <c r="VR97" s="20" t="n">
        <f aca="false">IF(ANE96&lt;=0,0,IF(H_Direct=1,IF(EE97&lt;=0,SE97,IF(SE97&lt;=(ZD97+ACQ97)/EE97,SE97,(SE97-G97*(ZD97+ACQ97))/(1-G97*EE97))),SE97/(1-MAX(0,EE97)*H_Exit)))</f>
        <v>0</v>
      </c>
      <c r="VS97" s="20" t="n">
        <f aca="false">IF(ANF96&lt;=0,0,IF(H_Direct=1,IF(EF97&lt;=0,SF97,IF(SF97&lt;=(ZE97+ACR97)/EF97,SF97,(SF97-G97*(ZE97+ACR97))/(1-G97*EF97))),SF97/(1-MAX(0,EF97)*H_Exit)))</f>
        <v>0</v>
      </c>
      <c r="VT97" s="20" t="n">
        <f aca="false">IF(ANG96&lt;=0,0,IF(H_Direct=1,IF(EG97&lt;=0,SG97,IF(SG97&lt;=(ZF97+ACS97)/EG97,SG97,(SG97-G97*(ZF97+ACS97))/(1-G97*EG97))),SG97/(1-MAX(0,EG97)*H_Exit)))</f>
        <v>0</v>
      </c>
      <c r="VU97" s="20" t="n">
        <f aca="false">IF(ANH96&lt;=0,0,IF(H_Direct=1,IF(EH97&lt;=0,SH97,IF(SH97&lt;=(ZG97+ACT97)/EH97,SH97,(SH97-G97*(ZG97+ACT97))/(1-G97*EH97))),SH97/(1-MAX(0,EH97)*H_Exit)))</f>
        <v>0</v>
      </c>
      <c r="VV97" s="20" t="n">
        <f aca="false">IF(ANI96&lt;=0,0,IF(H_Direct=1,IF(EI97&lt;=0,SI97,IF(SI97&lt;=(ZH97+ACU97)/EI97,SI97,(SI97-G97*(ZH97+ACU97))/(1-G97*EI97))),SI97/(1-MAX(0,EI97)*H_Exit)))</f>
        <v>0</v>
      </c>
      <c r="VW97" s="20" t="n">
        <f aca="false">IF(ANJ96&lt;=0,0,IF(H_Direct=1,IF(EJ97&lt;=0,SJ97,IF(SJ97&lt;=(ZI97+ACV97)/EJ97,SJ97,(SJ97-G97*(ZI97+ACV97))/(1-G97*EJ97))),SJ97/(1-MAX(0,EJ97)*H_Exit)))</f>
        <v>0</v>
      </c>
      <c r="VX97" s="20" t="n">
        <f aca="false">IF(ANK96&lt;=0,0,IF(H_Direct=1,IF(EK97&lt;=0,SK97,IF(SK97&lt;=(ZJ97+ACW97)/EK97,SK97,(SK97-G97*(ZJ97+ACW97))/(1-G97*EK97))),SK97/(1-MAX(0,EK97)*H_Exit)))</f>
        <v>0</v>
      </c>
      <c r="VY97" s="20" t="n">
        <f aca="false">IF(ANL96&lt;=0,0,IF(H_Direct=1,IF(EL97&lt;=0,SL97,IF(SL97&lt;=(ZK97+ACX97)/EL97,SL97,(SL97-G97*(ZK97+ACX97))/(1-G97*EL97))),SL97/(1-MAX(0,EL97)*H_Exit)))</f>
        <v>0</v>
      </c>
      <c r="VZ97" s="20" t="n">
        <f aca="false">IF(ANM96&lt;=0,0,IF(H_Direct=1,IF(EM97&lt;=0,SM97,IF(SM97&lt;=(ZL97+ACY97)/EM97,SM97,(SM97-G97*(ZL97+ACY97))/(1-G97*EM97))),SM97/(1-MAX(0,EM97)*H_Exit)))</f>
        <v>0</v>
      </c>
      <c r="WA97" s="20" t="n">
        <f aca="false">IF(ANN96&lt;=0,0,IF(H_Direct=1,IF(EN97&lt;=0,SN97,IF(SN97&lt;=(ZM97+ACZ97)/EN97,SN97,(SN97-G97*(ZM97+ACZ97))/(1-G97*EN97))),SN97/(1-MAX(0,EN97)*H_Exit)))</f>
        <v>0</v>
      </c>
      <c r="WB97" s="20" t="n">
        <f aca="false">IF(ANO96&lt;=0,0,IF(H_Direct=1,IF(EO97&lt;=0,SO97,IF(SO97&lt;=(ZN97+ADA97)/EO97,SO97,(SO97-G97*(ZN97+ADA97))/(1-G97*EO97))),SO97/(1-MAX(0,EO97)*H_Exit)))</f>
        <v>0</v>
      </c>
      <c r="WC97" s="20" t="n">
        <f aca="false">IF(ANP96&lt;=0,0,IF(H_Direct=1,IF(EP97&lt;=0,SP97,IF(SP97&lt;=(ZO97+ADB97)/EP97,SP97,(SP97-G97*(ZO97+ADB97))/(1-G97*EP97))),SP97/(1-MAX(0,EP97)*H_Exit)))</f>
        <v>0</v>
      </c>
      <c r="WD97" s="20" t="n">
        <f aca="false">IF(ANQ96&lt;=0,0,IF(H_Direct=1,IF(EQ97&lt;=0,SQ97,IF(SQ97&lt;=(ZP97+ADC97)/EQ97,SQ97,(SQ97-G97*(ZP97+ADC97))/(1-G97*EQ97))),SQ97/(1-MAX(0,EQ97)*H_Exit)))</f>
        <v>0</v>
      </c>
      <c r="WE97" s="20" t="n">
        <f aca="false">IF(ANR96&lt;=0,0,IF(H_Direct=1,IF(ER97&lt;=0,SR97,IF(SR97&lt;=(ZQ97+ADD97)/ER97,SR97,(SR97-G97*(ZQ97+ADD97))/(1-G97*ER97))),SR97/(1-MAX(0,ER97)*H_Exit)))</f>
        <v>0</v>
      </c>
      <c r="WF97" s="20" t="n">
        <f aca="false">IF(ANS96&lt;=0,0,IF(H_Direct=1,IF(ES97&lt;=0,SS97,IF(SS97&lt;=(ZR97+ADE97)/ES97,SS97,(SS97-G97*(ZR97+ADE97))/(1-G97*ES97))),SS97/(1-MAX(0,ES97)*H_Exit)))</f>
        <v>0</v>
      </c>
      <c r="WG97" s="20" t="n">
        <f aca="false">IF(ANT96&lt;=0,0,IF(H_Direct=1,IF(ET97&lt;=0,ST97,IF(ST97&lt;=(ZS97+ADF97)/ET97,ST97,(ST97-G97*(ZS97+ADF97))/(1-G97*ET97))),ST97/(1-MAX(0,ET97)*H_Exit)))</f>
        <v>0</v>
      </c>
      <c r="WH97" s="20" t="n">
        <f aca="false">IF(ANU96&lt;=0,0,IF(H_Direct=1,IF(EU97&lt;=0,SU97,IF(SU97&lt;=(ZT97+ADG97)/EU97,SU97,(SU97-G97*(ZT97+ADG97))/(1-G97*EU97))),SU97/(1-MAX(0,EU97)*H_Exit)))</f>
        <v>0</v>
      </c>
      <c r="WI97" s="20" t="n">
        <f aca="false">IF(ANV96&lt;=0,0,IF(H_Direct=1,IF(EV97&lt;=0,SV97,IF(SV97&lt;=(ZU97+ADH97)/EV97,SV97,(SV97-G97*(ZU97+ADH97))/(1-G97*EV97))),SV97/(1-MAX(0,EV97)*H_Exit)))</f>
        <v>0</v>
      </c>
      <c r="WJ97" s="20" t="n">
        <f aca="false">IF(ANW96&lt;=0,0,IF(H_Direct=1,IF(EW97&lt;=0,SW97,IF(SW97&lt;=(ZV97+ADI97)/EW97,SW97,(SW97-G97*(ZV97+ADI97))/(1-G97*EW97))),SW97/(1-MAX(0,EW97)*H_Exit)))</f>
        <v>0</v>
      </c>
      <c r="WK97" s="20" t="n">
        <f aca="false">IF(ANX96&lt;=0,0,IF(H_Direct=1,IF(EX97&lt;=0,SX97,IF(SX97&lt;=(ZW97+ADJ97)/EX97,SX97,(SX97-G97*(ZW97+ADJ97))/(1-G97*EX97))),SX97/(1-MAX(0,EX97)*H_Exit)))</f>
        <v>0</v>
      </c>
      <c r="WL97" s="20" t="n">
        <f aca="false">IF(ANY96&lt;=0,0,IF(H_Direct=1,IF(EY97&lt;=0,SY97,IF(SY97&lt;=(ZX97+ADK97)/EY97,SY97,(SY97-G97*(ZX97+ADK97))/(1-G97*EY97))),SY97/(1-MAX(0,EY97)*H_Exit)))</f>
        <v>0</v>
      </c>
      <c r="WM97" s="20" t="n">
        <f aca="false">IF(ANZ96&lt;=0,0,IF(H_Direct=1,IF(EZ97&lt;=0,SZ97,IF(SZ97&lt;=(ZY97+ADL97)/EZ97,SZ97,(SZ97-G97*(ZY97+ADL97))/(1-G97*EZ97))),SZ97/(1-MAX(0,EZ97)*H_Exit)))</f>
        <v>0</v>
      </c>
      <c r="WN97" s="20" t="n">
        <f aca="false">IF(AOA96&lt;=0,0,IF(H_Direct=1,IF(FA97&lt;=0,TA97,IF(TA97&lt;=(ZZ97+ADM97)/FA97,TA97,(TA97-G97*(ZZ97+ADM97))/(1-G97*FA97))),TA97/(1-MAX(0,FA97)*H_Exit)))</f>
        <v>0</v>
      </c>
      <c r="WO97" s="20" t="n">
        <f aca="false">IF(AOB96&lt;=0,0,IF(H_Direct=1,IF(FB97&lt;=0,TB97,IF(TB97&lt;=(AAA97+ADN97)/FB97,TB97,(TB97-G97*(AAA97+ADN97))/(1-G97*FB97))),TB97/(1-MAX(0,FB97)*H_Exit)))</f>
        <v>0</v>
      </c>
      <c r="WP97" s="20" t="n">
        <f aca="false">IF(AOC96&lt;=0,0,IF(H_Direct=1,IF(FC97&lt;=0,TC97,IF(TC97&lt;=(AAB97+ADO97)/FC97,TC97,(TC97-G97*(AAB97+ADO97))/(1-G97*FC97))),TC97/(1-MAX(0,FC97)*H_Exit)))</f>
        <v>0</v>
      </c>
      <c r="WQ97" s="20" t="n">
        <f aca="false">IF((P97+S97)&lt;=0,0,IF(H_Direct=1,IF(FD97&lt;=0,TD97,IF(TD97&lt;=(AAC97+ADP97)/FD97,TD97,(TD97-G97*(AAC97+ADP97))/(1-G97*FD97))),TD97/(1-MAX(0,FD97)*H_Exit)))</f>
        <v>0</v>
      </c>
      <c r="WR97" s="20" t="n">
        <f aca="false">IF(AND(H_Direct=1,BR97&gt;0),MAX(0,H97-(MIN(BR97*TE97,(H97+I97))-MIN(MIN(BR97*TE97,(H97+I97)),I97))),H97)</f>
        <v>1270</v>
      </c>
      <c r="WS97" s="20" t="n">
        <f aca="false">IF(AND(H_Direct=1,BS97&gt;0),MAX(0,WR97-(MIN(BS97*TF97,(WR97+AAE97))-MIN(MIN(BS97*TF97,(WR97+AAE97)),AAE97))),WR97)</f>
        <v>1270</v>
      </c>
      <c r="WT97" s="20" t="n">
        <f aca="false">IF(AND(H_Direct=1,BT97&gt;0),MAX(0,WS97-(MIN(BT97*TG97,(WS97+AAF97))-MIN(MIN(BT97*TG97,(WS97+AAF97)),AAF97))),WS97)</f>
        <v>1270</v>
      </c>
      <c r="WU97" s="20" t="n">
        <f aca="false">IF(AND(H_Direct=1,BU97&gt;0),MAX(0,WT97-(MIN(BU97*TH97,(WT97+AAG97))-MIN(MIN(BU97*TH97,(WT97+AAG97)),AAG97))),WT97)</f>
        <v>1270</v>
      </c>
      <c r="WV97" s="20" t="n">
        <f aca="false">IF(AND(H_Direct=1,BV97&gt;0),MAX(0,WU97-(MIN(BV97*TI97,(WU97+AAH97))-MIN(MIN(BV97*TI97,(WU97+AAH97)),AAH97))),WU97)</f>
        <v>1270</v>
      </c>
      <c r="WW97" s="20" t="n">
        <f aca="false">IF(AND(H_Direct=1,BW97&gt;0),MAX(0,WV97-(MIN(BW97*TJ97,(WV97+AAI97))-MIN(MIN(BW97*TJ97,(WV97+AAI97)),AAI97))),WV97)</f>
        <v>1270</v>
      </c>
      <c r="WX97" s="20" t="n">
        <f aca="false">IF(AND(H_Direct=1,BX97&gt;0),MAX(0,WW97-(MIN(BX97*TK97,(WW97+AAJ97))-MIN(MIN(BX97*TK97,(WW97+AAJ97)),AAJ97))),WW97)</f>
        <v>1270</v>
      </c>
      <c r="WY97" s="20" t="n">
        <f aca="false">IF(AND(H_Direct=1,BY97&gt;0),MAX(0,WX97-(MIN(BY97*TL97,(WX97+AAK97))-MIN(MIN(BY97*TL97,(WX97+AAK97)),AAK97))),WX97)</f>
        <v>1270</v>
      </c>
      <c r="WZ97" s="20" t="n">
        <f aca="false">IF(AND(H_Direct=1,BZ97&gt;0),MAX(0,WY97-(MIN(BZ97*TM97,(WY97+AAL97))-MIN(MIN(BZ97*TM97,(WY97+AAL97)),AAL97))),WY97)</f>
        <v>1270</v>
      </c>
      <c r="XA97" s="20" t="n">
        <f aca="false">IF(AND(H_Direct=1,CA97&gt;0),MAX(0,WZ97-(MIN(CA97*TN97,(WZ97+AAM97))-MIN(MIN(CA97*TN97,(WZ97+AAM97)),AAM97))),WZ97)</f>
        <v>1270</v>
      </c>
      <c r="XB97" s="20" t="n">
        <f aca="false">IF(AND(H_Direct=1,CB97&gt;0),MAX(0,XA97-(MIN(CB97*TO97,(XA97+AAN97))-MIN(MIN(CB97*TO97,(XA97+AAN97)),AAN97))),XA97)</f>
        <v>1270</v>
      </c>
      <c r="XC97" s="20" t="n">
        <f aca="false">IF(AND(H_Direct=1,CC97&gt;0),MAX(0,XB97-(MIN(CC97*TP97,(XB97+AAO97))-MIN(MIN(CC97*TP97,(XB97+AAO97)),AAO97))),XB97)</f>
        <v>1270</v>
      </c>
      <c r="XD97" s="20" t="n">
        <f aca="false">IF(AND(H_Direct=1,CD97&gt;0),MAX(0,XC97-(MIN(CD97*TQ97,(XC97+AAP97))-MIN(MIN(CD97*TQ97,(XC97+AAP97)),AAP97))),XC97)</f>
        <v>1270</v>
      </c>
      <c r="XE97" s="20" t="n">
        <f aca="false">IF(AND(H_Direct=1,CE97&gt;0),MAX(0,XD97-(MIN(CE97*TR97,(XD97+AAQ97))-MIN(MIN(CE97*TR97,(XD97+AAQ97)),AAQ97))),XD97)</f>
        <v>1270</v>
      </c>
      <c r="XF97" s="20" t="n">
        <f aca="false">IF(AND(H_Direct=1,CF97&gt;0),MAX(0,XE97-(MIN(CF97*TS97,(XE97+AAR97))-MIN(MIN(CF97*TS97,(XE97+AAR97)),AAR97))),XE97)</f>
        <v>1270</v>
      </c>
      <c r="XG97" s="20" t="n">
        <f aca="false">IF(AND(H_Direct=1,CG97&gt;0),MAX(0,XF97-(MIN(CG97*TT97,(XF97+AAS97))-MIN(MIN(CG97*TT97,(XF97+AAS97)),AAS97))),XF97)</f>
        <v>1270</v>
      </c>
      <c r="XH97" s="20" t="n">
        <f aca="false">IF(AND(H_Direct=1,CH97&gt;0),MAX(0,XG97-(MIN(CH97*TU97,(XG97+AAT97))-MIN(MIN(CH97*TU97,(XG97+AAT97)),AAT97))),XG97)</f>
        <v>1270</v>
      </c>
      <c r="XI97" s="20" t="n">
        <f aca="false">IF(AND(H_Direct=1,CI97&gt;0),MAX(0,XH97-(MIN(CI97*TV97,(XH97+AAU97))-MIN(MIN(CI97*TV97,(XH97+AAU97)),AAU97))),XH97)</f>
        <v>1270</v>
      </c>
      <c r="XJ97" s="20" t="n">
        <f aca="false">IF(AND(H_Direct=1,CJ97&gt;0),MAX(0,XI97-(MIN(CJ97*TW97,(XI97+AAV97))-MIN(MIN(CJ97*TW97,(XI97+AAV97)),AAV97))),XI97)</f>
        <v>1270</v>
      </c>
      <c r="XK97" s="20" t="n">
        <f aca="false">IF(AND(H_Direct=1,CK97&gt;0),MAX(0,XJ97-(MIN(CK97*TX97,(XJ97+AAW97))-MIN(MIN(CK97*TX97,(XJ97+AAW97)),AAW97))),XJ97)</f>
        <v>1270</v>
      </c>
      <c r="XL97" s="20" t="n">
        <f aca="false">IF(AND(H_Direct=1,CL97&gt;0),MAX(0,XK97-(MIN(CL97*TY97,(XK97+AAX97))-MIN(MIN(CL97*TY97,(XK97+AAX97)),AAX97))),XK97)</f>
        <v>1270</v>
      </c>
      <c r="XM97" s="20" t="n">
        <f aca="false">IF(AND(H_Direct=1,CM97&gt;0),MAX(0,XL97-(MIN(CM97*TZ97,(XL97+AAY97))-MIN(MIN(CM97*TZ97,(XL97+AAY97)),AAY97))),XL97)</f>
        <v>1270</v>
      </c>
      <c r="XN97" s="20" t="n">
        <f aca="false">IF(AND(H_Direct=1,CN97&gt;0),MAX(0,XM97-(MIN(CN97*UA97,(XM97+AAZ97))-MIN(MIN(CN97*UA97,(XM97+AAZ97)),AAZ97))),XM97)</f>
        <v>1270</v>
      </c>
      <c r="XO97" s="20" t="n">
        <f aca="false">IF(AND(H_Direct=1,CO97&gt;0),MAX(0,XN97-(MIN(CO97*UB97,(XN97+ABA97))-MIN(MIN(CO97*UB97,(XN97+ABA97)),ABA97))),XN97)</f>
        <v>1270</v>
      </c>
      <c r="XP97" s="20" t="n">
        <f aca="false">IF(AND(H_Direct=1,CP97&gt;0),MAX(0,XO97-(MIN(CP97*UC97,(XO97+ABB97))-MIN(MIN(CP97*UC97,(XO97+ABB97)),ABB97))),XO97)</f>
        <v>1270</v>
      </c>
      <c r="XQ97" s="20" t="n">
        <f aca="false">IF(AND(H_Direct=1,CQ97&gt;0),MAX(0,XP97-(MIN(CQ97*UD97,(XP97+ABC97))-MIN(MIN(CQ97*UD97,(XP97+ABC97)),ABC97))),XP97)</f>
        <v>1270</v>
      </c>
      <c r="XR97" s="20" t="n">
        <f aca="false">IF(AND(H_Direct=1,CR97&gt;0),MAX(0,XQ97-(MIN(CR97*UE97,(XQ97+ABD97))-MIN(MIN(CR97*UE97,(XQ97+ABD97)),ABD97))),XQ97)</f>
        <v>1270</v>
      </c>
      <c r="XS97" s="20" t="n">
        <f aca="false">IF(AND(H_Direct=1,CS97&gt;0),MAX(0,XR97-(MIN(CS97*UF97,(XR97+ABE97))-MIN(MIN(CS97*UF97,(XR97+ABE97)),ABE97))),XR97)</f>
        <v>1270</v>
      </c>
      <c r="XT97" s="20" t="n">
        <f aca="false">IF(AND(H_Direct=1,CT97&gt;0),MAX(0,XS97-(MIN(CT97*UG97,(XS97+ABF97))-MIN(MIN(CT97*UG97,(XS97+ABF97)),ABF97))),XS97)</f>
        <v>1270</v>
      </c>
      <c r="XU97" s="20" t="n">
        <f aca="false">IF(AND(H_Direct=1,CU97&gt;0),MAX(0,XT97-(MIN(CU97*UH97,(XT97+ABG97))-MIN(MIN(CU97*UH97,(XT97+ABG97)),ABG97))),XT97)</f>
        <v>1270</v>
      </c>
      <c r="XV97" s="20" t="n">
        <f aca="false">IF(AND(H_Direct=1,CV97&gt;0),MAX(0,XU97-(MIN(CV97*UI97,(XU97+ABH97))-MIN(MIN(CV97*UI97,(XU97+ABH97)),ABH97))),XU97)</f>
        <v>1270</v>
      </c>
      <c r="XW97" s="20" t="n">
        <f aca="false">IF(AND(H_Direct=1,CW97&gt;0),MAX(0,XV97-(MIN(CW97*UJ97,(XV97+ABI97))-MIN(MIN(CW97*UJ97,(XV97+ABI97)),ABI97))),XV97)</f>
        <v>1270</v>
      </c>
      <c r="XX97" s="20" t="n">
        <f aca="false">IF(AND(H_Direct=1,CX97&gt;0),MAX(0,XW97-(MIN(CX97*UK97,(XW97+ABJ97))-MIN(MIN(CX97*UK97,(XW97+ABJ97)),ABJ97))),XW97)</f>
        <v>1270</v>
      </c>
      <c r="XY97" s="20" t="n">
        <f aca="false">IF(AND(H_Direct=1,CY97&gt;0),MAX(0,XX97-(MIN(CY97*UL97,(XX97+ABK97))-MIN(MIN(CY97*UL97,(XX97+ABK97)),ABK97))),XX97)</f>
        <v>1270</v>
      </c>
      <c r="XZ97" s="20" t="n">
        <f aca="false">IF(AND(H_Direct=1,CZ97&gt;0),MAX(0,XY97-(MIN(CZ97*UM97,(XY97+ABL97))-MIN(MIN(CZ97*UM97,(XY97+ABL97)),ABL97))),XY97)</f>
        <v>1270</v>
      </c>
      <c r="YA97" s="20" t="n">
        <f aca="false">IF(AND(H_Direct=1,DA97&gt;0),MAX(0,XZ97-(MIN(DA97*UN97,(XZ97+ABM97))-MIN(MIN(DA97*UN97,(XZ97+ABM97)),ABM97))),XZ97)</f>
        <v>1270</v>
      </c>
      <c r="YB97" s="20" t="n">
        <f aca="false">IF(AND(H_Direct=1,DB97&gt;0),MAX(0,YA97-(MIN(DB97*UO97,(YA97+ABN97))-MIN(MIN(DB97*UO97,(YA97+ABN97)),ABN97))),YA97)</f>
        <v>1270</v>
      </c>
      <c r="YC97" s="20" t="n">
        <f aca="false">IF(AND(H_Direct=1,DC97&gt;0),MAX(0,YB97-(MIN(DC97*UP97,(YB97+ABO97))-MIN(MIN(DC97*UP97,(YB97+ABO97)),ABO97))),YB97)</f>
        <v>1270</v>
      </c>
      <c r="YD97" s="20" t="n">
        <f aca="false">IF(AND(H_Direct=1,DD97&gt;0),MAX(0,YC97-(MIN(DD97*UQ97,(YC97+ABP97))-MIN(MIN(DD97*UQ97,(YC97+ABP97)),ABP97))),YC97)</f>
        <v>1270</v>
      </c>
      <c r="YE97" s="20" t="n">
        <f aca="false">IF(AND(H_Direct=1,DE97&gt;0),MAX(0,YD97-(MIN(DE97*UR97,(YD97+ABQ97))-MIN(MIN(DE97*UR97,(YD97+ABQ97)),ABQ97))),YD97)</f>
        <v>1270</v>
      </c>
      <c r="YF97" s="20" t="n">
        <f aca="false">IF(AND(H_Direct=1,DF97&gt;0),MAX(0,YE97-(MIN(DF97*US97,(YE97+ABR97))-MIN(MIN(DF97*US97,(YE97+ABR97)),ABR97))),YE97)</f>
        <v>1270</v>
      </c>
      <c r="YG97" s="20" t="n">
        <f aca="false">IF(AND(H_Direct=1,DG97&gt;0),MAX(0,YF97-(MIN(DG97*UT97,(YF97+ABS97))-MIN(MIN(DG97*UT97,(YF97+ABS97)),ABS97))),YF97)</f>
        <v>1270</v>
      </c>
      <c r="YH97" s="20" t="n">
        <f aca="false">IF(AND(H_Direct=1,DH97&gt;0),MAX(0,YG97-(MIN(DH97*UU97,(YG97+ABT97))-MIN(MIN(DH97*UU97,(YG97+ABT97)),ABT97))),YG97)</f>
        <v>1270</v>
      </c>
      <c r="YI97" s="20" t="n">
        <f aca="false">IF(AND(H_Direct=1,DI97&gt;0),MAX(0,YH97-(MIN(DI97*UV97,(YH97+ABU97))-MIN(MIN(DI97*UV97,(YH97+ABU97)),ABU97))),YH97)</f>
        <v>1270</v>
      </c>
      <c r="YJ97" s="20" t="n">
        <f aca="false">IF(AND(H_Direct=1,DJ97&gt;0),MAX(0,YI97-(MIN(DJ97*UW97,(YI97+ABV97))-MIN(MIN(DJ97*UW97,(YI97+ABV97)),ABV97))),YI97)</f>
        <v>1270</v>
      </c>
      <c r="YK97" s="20" t="n">
        <f aca="false">IF(AND(H_Direct=1,DK97&gt;0),MAX(0,YJ97-(MIN(DK97*UX97,(YJ97+ABW97))-MIN(MIN(DK97*UX97,(YJ97+ABW97)),ABW97))),YJ97)</f>
        <v>1270</v>
      </c>
      <c r="YL97" s="20" t="n">
        <f aca="false">IF(AND(H_Direct=1,DL97&gt;0),MAX(0,YK97-(MIN(DL97*UY97,(YK97+ABX97))-MIN(MIN(DL97*UY97,(YK97+ABX97)),ABX97))),YK97)</f>
        <v>1270</v>
      </c>
      <c r="YM97" s="20" t="n">
        <f aca="false">IF(AND(H_Direct=1,DM97&gt;0),MAX(0,YL97-(MIN(DM97*UZ97,(YL97+ABY97))-MIN(MIN(DM97*UZ97,(YL97+ABY97)),ABY97))),YL97)</f>
        <v>1270</v>
      </c>
      <c r="YN97" s="20" t="n">
        <f aca="false">IF(AND(H_Direct=1,DN97&gt;0),MAX(0,YM97-(MIN(DN97*VA97,(YM97+ABZ97))-MIN(MIN(DN97*VA97,(YM97+ABZ97)),ABZ97))),YM97)</f>
        <v>1270</v>
      </c>
      <c r="YO97" s="20" t="n">
        <f aca="false">IF(AND(H_Direct=1,DO97&gt;0),MAX(0,YN97-(MIN(DO97*VB97,(YN97+ACA97))-MIN(MIN(DO97*VB97,(YN97+ACA97)),ACA97))),YN97)</f>
        <v>1270</v>
      </c>
      <c r="YP97" s="20" t="n">
        <f aca="false">IF(AND(H_Direct=1,DP97&gt;0),MAX(0,YO97-(MIN(DP97*VC97,(YO97+ACB97))-MIN(MIN(DP97*VC97,(YO97+ACB97)),ACB97))),YO97)</f>
        <v>1270</v>
      </c>
      <c r="YQ97" s="20" t="n">
        <f aca="false">IF(AND(H_Direct=1,DQ97&gt;0),MAX(0,YP97-(MIN(DQ97*VD97,(YP97+ACC97))-MIN(MIN(DQ97*VD97,(YP97+ACC97)),ACC97))),YP97)</f>
        <v>1270</v>
      </c>
      <c r="YR97" s="20" t="n">
        <f aca="false">IF(AND(H_Direct=1,DR97&gt;0),MAX(0,YQ97-(MIN(DR97*VE97,(YQ97+ACD97))-MIN(MIN(DR97*VE97,(YQ97+ACD97)),ACD97))),YQ97)</f>
        <v>1270</v>
      </c>
      <c r="YS97" s="20" t="n">
        <f aca="false">IF(AND(H_Direct=1,DS97&gt;0),MAX(0,YR97-(MIN(DS97*VF97,(YR97+ACE97))-MIN(MIN(DS97*VF97,(YR97+ACE97)),ACE97))),YR97)</f>
        <v>1270</v>
      </c>
      <c r="YT97" s="20" t="n">
        <f aca="false">IF(AND(H_Direct=1,DT97&gt;0),MAX(0,YS97-(MIN(DT97*VG97,(YS97+ACF97))-MIN(MIN(DT97*VG97,(YS97+ACF97)),ACF97))),YS97)</f>
        <v>1270</v>
      </c>
      <c r="YU97" s="20" t="n">
        <f aca="false">IF(AND(H_Direct=1,DU97&gt;0),MAX(0,YT97-(MIN(DU97*VH97,(YT97+ACG97))-MIN(MIN(DU97*VH97,(YT97+ACG97)),ACG97))),YT97)</f>
        <v>1270</v>
      </c>
      <c r="YV97" s="20" t="n">
        <f aca="false">IF(AND(H_Direct=1,DV97&gt;0),MAX(0,YU97-(MIN(DV97*VI97,(YU97+ACH97))-MIN(MIN(DV97*VI97,(YU97+ACH97)),ACH97))),YU97)</f>
        <v>1270</v>
      </c>
      <c r="YW97" s="20" t="n">
        <f aca="false">IF(AND(H_Direct=1,DW97&gt;0),MAX(0,YV97-(MIN(DW97*VJ97,(YV97+ACI97))-MIN(MIN(DW97*VJ97,(YV97+ACI97)),ACI97))),YV97)</f>
        <v>1270</v>
      </c>
      <c r="YX97" s="20" t="n">
        <f aca="false">IF(AND(H_Direct=1,DX97&gt;0),MAX(0,YW97-(MIN(DX97*VK97,(YW97+ACJ97))-MIN(MIN(DX97*VK97,(YW97+ACJ97)),ACJ97))),YW97)</f>
        <v>1270</v>
      </c>
      <c r="YY97" s="20" t="n">
        <f aca="false">IF(AND(H_Direct=1,DY97&gt;0),MAX(0,YX97-(MIN(DY97*VL97,(YX97+ACK97))-MIN(MIN(DY97*VL97,(YX97+ACK97)),ACK97))),YX97)</f>
        <v>1270</v>
      </c>
      <c r="YZ97" s="20" t="n">
        <f aca="false">IF(AND(H_Direct=1,DZ97&gt;0),MAX(0,YY97-(MIN(DZ97*VM97,(YY97+ACL97))-MIN(MIN(DZ97*VM97,(YY97+ACL97)),ACL97))),YY97)</f>
        <v>1270</v>
      </c>
      <c r="ZA97" s="20" t="n">
        <f aca="false">IF(AND(H_Direct=1,EA97&gt;0),MAX(0,YZ97-(MIN(EA97*VN97,(YZ97+ACM97))-MIN(MIN(EA97*VN97,(YZ97+ACM97)),ACM97))),YZ97)</f>
        <v>1270</v>
      </c>
      <c r="ZB97" s="20" t="n">
        <f aca="false">IF(AND(H_Direct=1,EB97&gt;0),MAX(0,ZA97-(MIN(EB97*VO97,(ZA97+ACN97))-MIN(MIN(EB97*VO97,(ZA97+ACN97)),ACN97))),ZA97)</f>
        <v>1270</v>
      </c>
      <c r="ZC97" s="20" t="n">
        <f aca="false">IF(AND(H_Direct=1,EC97&gt;0),MAX(0,ZB97-(MIN(EC97*VP97,(ZB97+ACO97))-MIN(MIN(EC97*VP97,(ZB97+ACO97)),ACO97))),ZB97)</f>
        <v>1270</v>
      </c>
      <c r="ZD97" s="20" t="n">
        <f aca="false">IF(AND(H_Direct=1,ED97&gt;0),MAX(0,ZC97-(MIN(ED97*VQ97,(ZC97+ACP97))-MIN(MIN(ED97*VQ97,(ZC97+ACP97)),ACP97))),ZC97)</f>
        <v>1270</v>
      </c>
      <c r="ZE97" s="20" t="n">
        <f aca="false">IF(AND(H_Direct=1,EE97&gt;0),MAX(0,ZD97-(MIN(EE97*VR97,(ZD97+ACQ97))-MIN(MIN(EE97*VR97,(ZD97+ACQ97)),ACQ97))),ZD97)</f>
        <v>1270</v>
      </c>
      <c r="ZF97" s="20" t="n">
        <f aca="false">IF(AND(H_Direct=1,EF97&gt;0),MAX(0,ZE97-(MIN(EF97*VS97,(ZE97+ACR97))-MIN(MIN(EF97*VS97,(ZE97+ACR97)),ACR97))),ZE97)</f>
        <v>1270</v>
      </c>
      <c r="ZG97" s="20" t="n">
        <f aca="false">IF(AND(H_Direct=1,EG97&gt;0),MAX(0,ZF97-(MIN(EG97*VT97,(ZF97+ACS97))-MIN(MIN(EG97*VT97,(ZF97+ACS97)),ACS97))),ZF97)</f>
        <v>1270</v>
      </c>
      <c r="ZH97" s="20" t="n">
        <f aca="false">IF(AND(H_Direct=1,EH97&gt;0),MAX(0,ZG97-(MIN(EH97*VU97,(ZG97+ACT97))-MIN(MIN(EH97*VU97,(ZG97+ACT97)),ACT97))),ZG97)</f>
        <v>1270</v>
      </c>
      <c r="ZI97" s="20" t="n">
        <f aca="false">IF(AND(H_Direct=1,EI97&gt;0),MAX(0,ZH97-(MIN(EI97*VV97,(ZH97+ACU97))-MIN(MIN(EI97*VV97,(ZH97+ACU97)),ACU97))),ZH97)</f>
        <v>1270</v>
      </c>
      <c r="ZJ97" s="20" t="n">
        <f aca="false">IF(AND(H_Direct=1,EJ97&gt;0),MAX(0,ZI97-(MIN(EJ97*VW97,(ZI97+ACV97))-MIN(MIN(EJ97*VW97,(ZI97+ACV97)),ACV97))),ZI97)</f>
        <v>1270</v>
      </c>
      <c r="ZK97" s="20" t="n">
        <f aca="false">IF(AND(H_Direct=1,EK97&gt;0),MAX(0,ZJ97-(MIN(EK97*VX97,(ZJ97+ACW97))-MIN(MIN(EK97*VX97,(ZJ97+ACW97)),ACW97))),ZJ97)</f>
        <v>1270</v>
      </c>
      <c r="ZL97" s="20" t="n">
        <f aca="false">IF(AND(H_Direct=1,EL97&gt;0),MAX(0,ZK97-(MIN(EL97*VY97,(ZK97+ACX97))-MIN(MIN(EL97*VY97,(ZK97+ACX97)),ACX97))),ZK97)</f>
        <v>1270</v>
      </c>
      <c r="ZM97" s="20" t="n">
        <f aca="false">IF(AND(H_Direct=1,EM97&gt;0),MAX(0,ZL97-(MIN(EM97*VZ97,(ZL97+ACY97))-MIN(MIN(EM97*VZ97,(ZL97+ACY97)),ACY97))),ZL97)</f>
        <v>1270</v>
      </c>
      <c r="ZN97" s="20" t="n">
        <f aca="false">IF(AND(H_Direct=1,EN97&gt;0),MAX(0,ZM97-(MIN(EN97*WA97,(ZM97+ACZ97))-MIN(MIN(EN97*WA97,(ZM97+ACZ97)),ACZ97))),ZM97)</f>
        <v>1270</v>
      </c>
      <c r="ZO97" s="20" t="n">
        <f aca="false">IF(AND(H_Direct=1,EO97&gt;0),MAX(0,ZN97-(MIN(EO97*WB97,(ZN97+ADA97))-MIN(MIN(EO97*WB97,(ZN97+ADA97)),ADA97))),ZN97)</f>
        <v>1270</v>
      </c>
      <c r="ZP97" s="20" t="n">
        <f aca="false">IF(AND(H_Direct=1,EP97&gt;0),MAX(0,ZO97-(MIN(EP97*WC97,(ZO97+ADB97))-MIN(MIN(EP97*WC97,(ZO97+ADB97)),ADB97))),ZO97)</f>
        <v>1270</v>
      </c>
      <c r="ZQ97" s="20" t="n">
        <f aca="false">IF(AND(H_Direct=1,EQ97&gt;0),MAX(0,ZP97-(MIN(EQ97*WD97,(ZP97+ADC97))-MIN(MIN(EQ97*WD97,(ZP97+ADC97)),ADC97))),ZP97)</f>
        <v>1270</v>
      </c>
      <c r="ZR97" s="20" t="n">
        <f aca="false">IF(AND(H_Direct=1,ER97&gt;0),MAX(0,ZQ97-(MIN(ER97*WE97,(ZQ97+ADD97))-MIN(MIN(ER97*WE97,(ZQ97+ADD97)),ADD97))),ZQ97)</f>
        <v>1270</v>
      </c>
      <c r="ZS97" s="20" t="n">
        <f aca="false">IF(AND(H_Direct=1,ES97&gt;0),MAX(0,ZR97-(MIN(ES97*WF97,(ZR97+ADE97))-MIN(MIN(ES97*WF97,(ZR97+ADE97)),ADE97))),ZR97)</f>
        <v>1270</v>
      </c>
      <c r="ZT97" s="20" t="n">
        <f aca="false">IF(AND(H_Direct=1,ET97&gt;0),MAX(0,ZS97-(MIN(ET97*WG97,(ZS97+ADF97))-MIN(MIN(ET97*WG97,(ZS97+ADF97)),ADF97))),ZS97)</f>
        <v>1270</v>
      </c>
      <c r="ZU97" s="20" t="n">
        <f aca="false">IF(AND(H_Direct=1,EU97&gt;0),MAX(0,ZT97-(MIN(EU97*WH97,(ZT97+ADG97))-MIN(MIN(EU97*WH97,(ZT97+ADG97)),ADG97))),ZT97)</f>
        <v>1270</v>
      </c>
      <c r="ZV97" s="20" t="n">
        <f aca="false">IF(AND(H_Direct=1,EV97&gt;0),MAX(0,ZU97-(MIN(EV97*WI97,(ZU97+ADH97))-MIN(MIN(EV97*WI97,(ZU97+ADH97)),ADH97))),ZU97)</f>
        <v>1270</v>
      </c>
      <c r="ZW97" s="20" t="n">
        <f aca="false">IF(AND(H_Direct=1,EW97&gt;0),MAX(0,ZV97-(MIN(EW97*WJ97,(ZV97+ADI97))-MIN(MIN(EW97*WJ97,(ZV97+ADI97)),ADI97))),ZV97)</f>
        <v>1270</v>
      </c>
      <c r="ZX97" s="20" t="n">
        <f aca="false">IF(AND(H_Direct=1,EX97&gt;0),MAX(0,ZW97-(MIN(EX97*WK97,(ZW97+ADJ97))-MIN(MIN(EX97*WK97,(ZW97+ADJ97)),ADJ97))),ZW97)</f>
        <v>1270</v>
      </c>
      <c r="ZY97" s="20" t="n">
        <f aca="false">IF(AND(H_Direct=1,EY97&gt;0),MAX(0,ZX97-(MIN(EY97*WL97,(ZX97+ADK97))-MIN(MIN(EY97*WL97,(ZX97+ADK97)),ADK97))),ZX97)</f>
        <v>1270</v>
      </c>
      <c r="ZZ97" s="20" t="n">
        <f aca="false">IF(AND(H_Direct=1,EZ97&gt;0),MAX(0,ZY97-(MIN(EZ97*WM97,(ZY97+ADL97))-MIN(MIN(EZ97*WM97,(ZY97+ADL97)),ADL97))),ZY97)</f>
        <v>1270</v>
      </c>
      <c r="AAA97" s="20" t="n">
        <f aca="false">IF(AND(H_Direct=1,FA97&gt;0),MAX(0,ZZ97-(MIN(FA97*WN97,(ZZ97+ADM97))-MIN(MIN(FA97*WN97,(ZZ97+ADM97)),ADM97))),ZZ97)</f>
        <v>1270</v>
      </c>
      <c r="AAB97" s="20" t="n">
        <f aca="false">IF(AND(H_Direct=1,FB97&gt;0),MAX(0,AAA97-(MIN(FB97*WO97,(AAA97+ADN97))-MIN(MIN(FB97*WO97,(AAA97+ADN97)),ADN97))),AAA97)</f>
        <v>1270</v>
      </c>
      <c r="AAC97" s="20" t="n">
        <f aca="false">IF(AND(H_Direct=1,FC97&gt;0),MAX(0,AAB97-(MIN(FC97*WP97,(AAB97+ADO97))-MIN(MIN(FC97*WP97,(AAB97+ADO97)),ADO97))),AAB97)</f>
        <v>1270</v>
      </c>
      <c r="AAD97" s="20" t="n">
        <f aca="false">IF(AND(H_Direct=1,FD97&gt;0),MAX(0,AAC97-(MIN(FD97*WQ97,(AAC97+ADP97))-MIN(MIN(FD97*WQ97,(AAC97+ADP97)),ADP97))),AAC97)</f>
        <v>1270</v>
      </c>
      <c r="AAE97" s="20" t="n">
        <f aca="false">IF(H_Direct=1,IF(BR97&lt;=0,I97-BR97*TE97,I97-MIN(MIN(BR97*TE97,(H97+I97)),I97)),I97)</f>
        <v>0</v>
      </c>
      <c r="AAF97" s="20" t="n">
        <f aca="false">IF(H_Direct=1,IF(BS97&lt;=0,AAE97-BS97*TF97,AAE97-MIN(MIN(BS97*TF97,(WR97+AAE97)),AAE97)),AAE97)</f>
        <v>0</v>
      </c>
      <c r="AAG97" s="20" t="n">
        <f aca="false">IF(H_Direct=1,IF(BT97&lt;=0,AAF97-BT97*TG97,AAF97-MIN(MIN(BT97*TG97,(WS97+AAF97)),AAF97)),AAF97)</f>
        <v>0</v>
      </c>
      <c r="AAH97" s="20" t="n">
        <f aca="false">IF(H_Direct=1,IF(BU97&lt;=0,AAG97-BU97*TH97,AAG97-MIN(MIN(BU97*TH97,(WT97+AAG97)),AAG97)),AAG97)</f>
        <v>0</v>
      </c>
      <c r="AAI97" s="20" t="n">
        <f aca="false">IF(H_Direct=1,IF(BV97&lt;=0,AAH97-BV97*TI97,AAH97-MIN(MIN(BV97*TI97,(WU97+AAH97)),AAH97)),AAH97)</f>
        <v>0</v>
      </c>
      <c r="AAJ97" s="20" t="n">
        <f aca="false">IF(H_Direct=1,IF(BW97&lt;=0,AAI97-BW97*TJ97,AAI97-MIN(MIN(BW97*TJ97,(WV97+AAI97)),AAI97)),AAI97)</f>
        <v>0</v>
      </c>
      <c r="AAK97" s="20" t="n">
        <f aca="false">IF(H_Direct=1,IF(BX97&lt;=0,AAJ97-BX97*TK97,AAJ97-MIN(MIN(BX97*TK97,(WW97+AAJ97)),AAJ97)),AAJ97)</f>
        <v>0</v>
      </c>
      <c r="AAL97" s="20" t="n">
        <f aca="false">IF(H_Direct=1,IF(BY97&lt;=0,AAK97-BY97*TL97,AAK97-MIN(MIN(BY97*TL97,(WX97+AAK97)),AAK97)),AAK97)</f>
        <v>0</v>
      </c>
      <c r="AAM97" s="20" t="n">
        <f aca="false">IF(H_Direct=1,IF(BZ97&lt;=0,AAL97-BZ97*TM97,AAL97-MIN(MIN(BZ97*TM97,(WY97+AAL97)),AAL97)),AAL97)</f>
        <v>0</v>
      </c>
      <c r="AAN97" s="20" t="n">
        <f aca="false">IF(H_Direct=1,IF(CA97&lt;=0,AAM97-CA97*TN97,AAM97-MIN(MIN(CA97*TN97,(WZ97+AAM97)),AAM97)),AAM97)</f>
        <v>0</v>
      </c>
      <c r="AAO97" s="20" t="n">
        <f aca="false">IF(H_Direct=1,IF(CB97&lt;=0,AAN97-CB97*TO97,AAN97-MIN(MIN(CB97*TO97,(XA97+AAN97)),AAN97)),AAN97)</f>
        <v>0</v>
      </c>
      <c r="AAP97" s="20" t="n">
        <f aca="false">IF(H_Direct=1,IF(CC97&lt;=0,AAO97-CC97*TP97,AAO97-MIN(MIN(CC97*TP97,(XB97+AAO97)),AAO97)),AAO97)</f>
        <v>0</v>
      </c>
      <c r="AAQ97" s="20" t="n">
        <f aca="false">IF(H_Direct=1,IF(CD97&lt;=0,AAP97-CD97*TQ97,AAP97-MIN(MIN(CD97*TQ97,(XC97+AAP97)),AAP97)),AAP97)</f>
        <v>0</v>
      </c>
      <c r="AAR97" s="20" t="n">
        <f aca="false">IF(H_Direct=1,IF(CE97&lt;=0,AAQ97-CE97*TR97,AAQ97-MIN(MIN(CE97*TR97,(XD97+AAQ97)),AAQ97)),AAQ97)</f>
        <v>0</v>
      </c>
      <c r="AAS97" s="20" t="n">
        <f aca="false">IF(H_Direct=1,IF(CF97&lt;=0,AAR97-CF97*TS97,AAR97-MIN(MIN(CF97*TS97,(XE97+AAR97)),AAR97)),AAR97)</f>
        <v>0</v>
      </c>
      <c r="AAT97" s="20" t="n">
        <f aca="false">IF(H_Direct=1,IF(CG97&lt;=0,AAS97-CG97*TT97,AAS97-MIN(MIN(CG97*TT97,(XF97+AAS97)),AAS97)),AAS97)</f>
        <v>0</v>
      </c>
      <c r="AAU97" s="20" t="n">
        <f aca="false">IF(H_Direct=1,IF(CH97&lt;=0,AAT97-CH97*TU97,AAT97-MIN(MIN(CH97*TU97,(XG97+AAT97)),AAT97)),AAT97)</f>
        <v>0</v>
      </c>
      <c r="AAV97" s="20" t="n">
        <f aca="false">IF(H_Direct=1,IF(CI97&lt;=0,AAU97-CI97*TV97,AAU97-MIN(MIN(CI97*TV97,(XH97+AAU97)),AAU97)),AAU97)</f>
        <v>0</v>
      </c>
      <c r="AAW97" s="20" t="n">
        <f aca="false">IF(H_Direct=1,IF(CJ97&lt;=0,AAV97-CJ97*TW97,AAV97-MIN(MIN(CJ97*TW97,(XI97+AAV97)),AAV97)),AAV97)</f>
        <v>0</v>
      </c>
      <c r="AAX97" s="20" t="n">
        <f aca="false">IF(H_Direct=1,IF(CK97&lt;=0,AAW97-CK97*TX97,AAW97-MIN(MIN(CK97*TX97,(XJ97+AAW97)),AAW97)),AAW97)</f>
        <v>0</v>
      </c>
      <c r="AAY97" s="20" t="n">
        <f aca="false">IF(H_Direct=1,IF(CL97&lt;=0,AAX97-CL97*TY97,AAX97-MIN(MIN(CL97*TY97,(XK97+AAX97)),AAX97)),AAX97)</f>
        <v>0</v>
      </c>
      <c r="AAZ97" s="20" t="n">
        <f aca="false">IF(H_Direct=1,IF(CM97&lt;=0,AAY97-CM97*TZ97,AAY97-MIN(MIN(CM97*TZ97,(XL97+AAY97)),AAY97)),AAY97)</f>
        <v>0</v>
      </c>
      <c r="ABA97" s="20" t="n">
        <f aca="false">IF(H_Direct=1,IF(CN97&lt;=0,AAZ97-CN97*UA97,AAZ97-MIN(MIN(CN97*UA97,(XM97+AAZ97)),AAZ97)),AAZ97)</f>
        <v>0</v>
      </c>
      <c r="ABB97" s="20" t="n">
        <f aca="false">IF(H_Direct=1,IF(CO97&lt;=0,ABA97-CO97*UB97,ABA97-MIN(MIN(CO97*UB97,(XN97+ABA97)),ABA97)),ABA97)</f>
        <v>0</v>
      </c>
      <c r="ABC97" s="20" t="n">
        <f aca="false">IF(H_Direct=1,IF(CP97&lt;=0,ABB97-CP97*UC97,ABB97-MIN(MIN(CP97*UC97,(XO97+ABB97)),ABB97)),ABB97)</f>
        <v>0</v>
      </c>
      <c r="ABD97" s="20" t="n">
        <f aca="false">IF(H_Direct=1,IF(CQ97&lt;=0,ABC97-CQ97*UD97,ABC97-MIN(MIN(CQ97*UD97,(XP97+ABC97)),ABC97)),ABC97)</f>
        <v>0</v>
      </c>
      <c r="ABE97" s="20" t="n">
        <f aca="false">IF(H_Direct=1,IF(CR97&lt;=0,ABD97-CR97*UE97,ABD97-MIN(MIN(CR97*UE97,(XQ97+ABD97)),ABD97)),ABD97)</f>
        <v>0</v>
      </c>
      <c r="ABF97" s="20" t="n">
        <f aca="false">IF(H_Direct=1,IF(CS97&lt;=0,ABE97-CS97*UF97,ABE97-MIN(MIN(CS97*UF97,(XR97+ABE97)),ABE97)),ABE97)</f>
        <v>0</v>
      </c>
      <c r="ABG97" s="20" t="n">
        <f aca="false">IF(H_Direct=1,IF(CT97&lt;=0,ABF97-CT97*UG97,ABF97-MIN(MIN(CT97*UG97,(XS97+ABF97)),ABF97)),ABF97)</f>
        <v>0</v>
      </c>
      <c r="ABH97" s="20" t="n">
        <f aca="false">IF(H_Direct=1,IF(CU97&lt;=0,ABG97-CU97*UH97,ABG97-MIN(MIN(CU97*UH97,(XT97+ABG97)),ABG97)),ABG97)</f>
        <v>0</v>
      </c>
      <c r="ABI97" s="20" t="n">
        <f aca="false">IF(H_Direct=1,IF(CV97&lt;=0,ABH97-CV97*UI97,ABH97-MIN(MIN(CV97*UI97,(XU97+ABH97)),ABH97)),ABH97)</f>
        <v>0</v>
      </c>
      <c r="ABJ97" s="20" t="n">
        <f aca="false">IF(H_Direct=1,IF(CW97&lt;=0,ABI97-CW97*UJ97,ABI97-MIN(MIN(CW97*UJ97,(XV97+ABI97)),ABI97)),ABI97)</f>
        <v>0</v>
      </c>
      <c r="ABK97" s="20" t="n">
        <f aca="false">IF(H_Direct=1,IF(CX97&lt;=0,ABJ97-CX97*UK97,ABJ97-MIN(MIN(CX97*UK97,(XW97+ABJ97)),ABJ97)),ABJ97)</f>
        <v>0</v>
      </c>
      <c r="ABL97" s="20" t="n">
        <f aca="false">IF(H_Direct=1,IF(CY97&lt;=0,ABK97-CY97*UL97,ABK97-MIN(MIN(CY97*UL97,(XX97+ABK97)),ABK97)),ABK97)</f>
        <v>0</v>
      </c>
      <c r="ABM97" s="20" t="n">
        <f aca="false">IF(H_Direct=1,IF(CZ97&lt;=0,ABL97-CZ97*UM97,ABL97-MIN(MIN(CZ97*UM97,(XY97+ABL97)),ABL97)),ABL97)</f>
        <v>0</v>
      </c>
      <c r="ABN97" s="20" t="n">
        <f aca="false">IF(H_Direct=1,IF(DA97&lt;=0,ABM97-DA97*UN97,ABM97-MIN(MIN(DA97*UN97,(XZ97+ABM97)),ABM97)),ABM97)</f>
        <v>0</v>
      </c>
      <c r="ABO97" s="20" t="n">
        <f aca="false">IF(H_Direct=1,IF(DB97&lt;=0,ABN97-DB97*UO97,ABN97-MIN(MIN(DB97*UO97,(YA97+ABN97)),ABN97)),ABN97)</f>
        <v>0</v>
      </c>
      <c r="ABP97" s="20" t="n">
        <f aca="false">IF(H_Direct=1,IF(DC97&lt;=0,ABO97-DC97*UP97,ABO97-MIN(MIN(DC97*UP97,(YB97+ABO97)),ABO97)),ABO97)</f>
        <v>0</v>
      </c>
      <c r="ABQ97" s="20" t="n">
        <f aca="false">IF(H_Direct=1,IF(DD97&lt;=0,ABP97-DD97*UQ97,ABP97-MIN(MIN(DD97*UQ97,(YC97+ABP97)),ABP97)),ABP97)</f>
        <v>0</v>
      </c>
      <c r="ABR97" s="20" t="n">
        <f aca="false">IF(H_Direct=1,IF(DE97&lt;=0,ABQ97-DE97*UR97,ABQ97-MIN(MIN(DE97*UR97,(YD97+ABQ97)),ABQ97)),ABQ97)</f>
        <v>0</v>
      </c>
      <c r="ABS97" s="20" t="n">
        <f aca="false">IF(H_Direct=1,IF(DF97&lt;=0,ABR97-DF97*US97,ABR97-MIN(MIN(DF97*US97,(YE97+ABR97)),ABR97)),ABR97)</f>
        <v>0</v>
      </c>
      <c r="ABT97" s="20" t="n">
        <f aca="false">IF(H_Direct=1,IF(DG97&lt;=0,ABS97-DG97*UT97,ABS97-MIN(MIN(DG97*UT97,(YF97+ABS97)),ABS97)),ABS97)</f>
        <v>0</v>
      </c>
      <c r="ABU97" s="20" t="n">
        <f aca="false">IF(H_Direct=1,IF(DH97&lt;=0,ABT97-DH97*UU97,ABT97-MIN(MIN(DH97*UU97,(YG97+ABT97)),ABT97)),ABT97)</f>
        <v>0</v>
      </c>
      <c r="ABV97" s="20" t="n">
        <f aca="false">IF(H_Direct=1,IF(DI97&lt;=0,ABU97-DI97*UV97,ABU97-MIN(MIN(DI97*UV97,(YH97+ABU97)),ABU97)),ABU97)</f>
        <v>0</v>
      </c>
      <c r="ABW97" s="20" t="n">
        <f aca="false">IF(H_Direct=1,IF(DJ97&lt;=0,ABV97-DJ97*UW97,ABV97-MIN(MIN(DJ97*UW97,(YI97+ABV97)),ABV97)),ABV97)</f>
        <v>0</v>
      </c>
      <c r="ABX97" s="20" t="n">
        <f aca="false">IF(H_Direct=1,IF(DK97&lt;=0,ABW97-DK97*UX97,ABW97-MIN(MIN(DK97*UX97,(YJ97+ABW97)),ABW97)),ABW97)</f>
        <v>0</v>
      </c>
      <c r="ABY97" s="20" t="n">
        <f aca="false">IF(H_Direct=1,IF(DL97&lt;=0,ABX97-DL97*UY97,ABX97-MIN(MIN(DL97*UY97,(YK97+ABX97)),ABX97)),ABX97)</f>
        <v>0</v>
      </c>
      <c r="ABZ97" s="20" t="n">
        <f aca="false">IF(H_Direct=1,IF(DM97&lt;=0,ABY97-DM97*UZ97,ABY97-MIN(MIN(DM97*UZ97,(YL97+ABY97)),ABY97)),ABY97)</f>
        <v>0</v>
      </c>
      <c r="ACA97" s="20" t="n">
        <f aca="false">IF(H_Direct=1,IF(DN97&lt;=0,ABZ97-DN97*VA97,ABZ97-MIN(MIN(DN97*VA97,(YM97+ABZ97)),ABZ97)),ABZ97)</f>
        <v>0</v>
      </c>
      <c r="ACB97" s="20" t="n">
        <f aca="false">IF(H_Direct=1,IF(DO97&lt;=0,ACA97-DO97*VB97,ACA97-MIN(MIN(DO97*VB97,(YN97+ACA97)),ACA97)),ACA97)</f>
        <v>0</v>
      </c>
      <c r="ACC97" s="20" t="n">
        <f aca="false">IF(H_Direct=1,IF(DP97&lt;=0,ACB97-DP97*VC97,ACB97-MIN(MIN(DP97*VC97,(YO97+ACB97)),ACB97)),ACB97)</f>
        <v>0</v>
      </c>
      <c r="ACD97" s="20" t="n">
        <f aca="false">IF(H_Direct=1,IF(DQ97&lt;=0,ACC97-DQ97*VD97,ACC97-MIN(MIN(DQ97*VD97,(YP97+ACC97)),ACC97)),ACC97)</f>
        <v>0</v>
      </c>
      <c r="ACE97" s="20" t="n">
        <f aca="false">IF(H_Direct=1,IF(DR97&lt;=0,ACD97-DR97*VE97,ACD97-MIN(MIN(DR97*VE97,(YQ97+ACD97)),ACD97)),ACD97)</f>
        <v>0</v>
      </c>
      <c r="ACF97" s="20" t="n">
        <f aca="false">IF(H_Direct=1,IF(DS97&lt;=0,ACE97-DS97*VF97,ACE97-MIN(MIN(DS97*VF97,(YR97+ACE97)),ACE97)),ACE97)</f>
        <v>0</v>
      </c>
      <c r="ACG97" s="20" t="n">
        <f aca="false">IF(H_Direct=1,IF(DT97&lt;=0,ACF97-DT97*VG97,ACF97-MIN(MIN(DT97*VG97,(YS97+ACF97)),ACF97)),ACF97)</f>
        <v>0</v>
      </c>
      <c r="ACH97" s="20" t="n">
        <f aca="false">IF(H_Direct=1,IF(DU97&lt;=0,ACG97-DU97*VH97,ACG97-MIN(MIN(DU97*VH97,(YT97+ACG97)),ACG97)),ACG97)</f>
        <v>0</v>
      </c>
      <c r="ACI97" s="20" t="n">
        <f aca="false">IF(H_Direct=1,IF(DV97&lt;=0,ACH97-DV97*VI97,ACH97-MIN(MIN(DV97*VI97,(YU97+ACH97)),ACH97)),ACH97)</f>
        <v>0</v>
      </c>
      <c r="ACJ97" s="20" t="n">
        <f aca="false">IF(H_Direct=1,IF(DW97&lt;=0,ACI97-DW97*VJ97,ACI97-MIN(MIN(DW97*VJ97,(YV97+ACI97)),ACI97)),ACI97)</f>
        <v>0</v>
      </c>
      <c r="ACK97" s="20" t="n">
        <f aca="false">IF(H_Direct=1,IF(DX97&lt;=0,ACJ97-DX97*VK97,ACJ97-MIN(MIN(DX97*VK97,(YW97+ACJ97)),ACJ97)),ACJ97)</f>
        <v>0</v>
      </c>
      <c r="ACL97" s="20" t="n">
        <f aca="false">IF(H_Direct=1,IF(DY97&lt;=0,ACK97-DY97*VL97,ACK97-MIN(MIN(DY97*VL97,(YX97+ACK97)),ACK97)),ACK97)</f>
        <v>0</v>
      </c>
      <c r="ACM97" s="20" t="n">
        <f aca="false">IF(H_Direct=1,IF(DZ97&lt;=0,ACL97-DZ97*VM97,ACL97-MIN(MIN(DZ97*VM97,(YY97+ACL97)),ACL97)),ACL97)</f>
        <v>0</v>
      </c>
      <c r="ACN97" s="20" t="n">
        <f aca="false">IF(H_Direct=1,IF(EA97&lt;=0,ACM97-EA97*VN97,ACM97-MIN(MIN(EA97*VN97,(YZ97+ACM97)),ACM97)),ACM97)</f>
        <v>0</v>
      </c>
      <c r="ACO97" s="20" t="n">
        <f aca="false">IF(H_Direct=1,IF(EB97&lt;=0,ACN97-EB97*VO97,ACN97-MIN(MIN(EB97*VO97,(ZA97+ACN97)),ACN97)),ACN97)</f>
        <v>0</v>
      </c>
      <c r="ACP97" s="20" t="n">
        <f aca="false">IF(H_Direct=1,IF(EC97&lt;=0,ACO97-EC97*VP97,ACO97-MIN(MIN(EC97*VP97,(ZB97+ACO97)),ACO97)),ACO97)</f>
        <v>0</v>
      </c>
      <c r="ACQ97" s="20" t="n">
        <f aca="false">IF(H_Direct=1,IF(ED97&lt;=0,ACP97-ED97*VQ97,ACP97-MIN(MIN(ED97*VQ97,(ZC97+ACP97)),ACP97)),ACP97)</f>
        <v>0</v>
      </c>
      <c r="ACR97" s="20" t="n">
        <f aca="false">IF(H_Direct=1,IF(EE97&lt;=0,ACQ97-EE97*VR97,ACQ97-MIN(MIN(EE97*VR97,(ZD97+ACQ97)),ACQ97)),ACQ97)</f>
        <v>0</v>
      </c>
      <c r="ACS97" s="20" t="n">
        <f aca="false">IF(H_Direct=1,IF(EF97&lt;=0,ACR97-EF97*VS97,ACR97-MIN(MIN(EF97*VS97,(ZE97+ACR97)),ACR97)),ACR97)</f>
        <v>0</v>
      </c>
      <c r="ACT97" s="20" t="n">
        <f aca="false">IF(H_Direct=1,IF(EG97&lt;=0,ACS97-EG97*VT97,ACS97-MIN(MIN(EG97*VT97,(ZF97+ACS97)),ACS97)),ACS97)</f>
        <v>0</v>
      </c>
      <c r="ACU97" s="20" t="n">
        <f aca="false">IF(H_Direct=1,IF(EH97&lt;=0,ACT97-EH97*VU97,ACT97-MIN(MIN(EH97*VU97,(ZG97+ACT97)),ACT97)),ACT97)</f>
        <v>0</v>
      </c>
      <c r="ACV97" s="20" t="n">
        <f aca="false">IF(H_Direct=1,IF(EI97&lt;=0,ACU97-EI97*VV97,ACU97-MIN(MIN(EI97*VV97,(ZH97+ACU97)),ACU97)),ACU97)</f>
        <v>0</v>
      </c>
      <c r="ACW97" s="20" t="n">
        <f aca="false">IF(H_Direct=1,IF(EJ97&lt;=0,ACV97-EJ97*VW97,ACV97-MIN(MIN(EJ97*VW97,(ZI97+ACV97)),ACV97)),ACV97)</f>
        <v>0</v>
      </c>
      <c r="ACX97" s="20" t="n">
        <f aca="false">IF(H_Direct=1,IF(EK97&lt;=0,ACW97-EK97*VX97,ACW97-MIN(MIN(EK97*VX97,(ZJ97+ACW97)),ACW97)),ACW97)</f>
        <v>0</v>
      </c>
      <c r="ACY97" s="20" t="n">
        <f aca="false">IF(H_Direct=1,IF(EL97&lt;=0,ACX97-EL97*VY97,ACX97-MIN(MIN(EL97*VY97,(ZK97+ACX97)),ACX97)),ACX97)</f>
        <v>0</v>
      </c>
      <c r="ACZ97" s="20" t="n">
        <f aca="false">IF(H_Direct=1,IF(EM97&lt;=0,ACY97-EM97*VZ97,ACY97-MIN(MIN(EM97*VZ97,(ZL97+ACY97)),ACY97)),ACY97)</f>
        <v>0</v>
      </c>
      <c r="ADA97" s="20" t="n">
        <f aca="false">IF(H_Direct=1,IF(EN97&lt;=0,ACZ97-EN97*WA97,ACZ97-MIN(MIN(EN97*WA97,(ZM97+ACZ97)),ACZ97)),ACZ97)</f>
        <v>0</v>
      </c>
      <c r="ADB97" s="20" t="n">
        <f aca="false">IF(H_Direct=1,IF(EO97&lt;=0,ADA97-EO97*WB97,ADA97-MIN(MIN(EO97*WB97,(ZN97+ADA97)),ADA97)),ADA97)</f>
        <v>0</v>
      </c>
      <c r="ADC97" s="20" t="n">
        <f aca="false">IF(H_Direct=1,IF(EP97&lt;=0,ADB97-EP97*WC97,ADB97-MIN(MIN(EP97*WC97,(ZO97+ADB97)),ADB97)),ADB97)</f>
        <v>0</v>
      </c>
      <c r="ADD97" s="20" t="n">
        <f aca="false">IF(H_Direct=1,IF(EQ97&lt;=0,ADC97-EQ97*WD97,ADC97-MIN(MIN(EQ97*WD97,(ZP97+ADC97)),ADC97)),ADC97)</f>
        <v>0</v>
      </c>
      <c r="ADE97" s="20" t="n">
        <f aca="false">IF(H_Direct=1,IF(ER97&lt;=0,ADD97-ER97*WE97,ADD97-MIN(MIN(ER97*WE97,(ZQ97+ADD97)),ADD97)),ADD97)</f>
        <v>0</v>
      </c>
      <c r="ADF97" s="20" t="n">
        <f aca="false">IF(H_Direct=1,IF(ES97&lt;=0,ADE97-ES97*WF97,ADE97-MIN(MIN(ES97*WF97,(ZR97+ADE97)),ADE97)),ADE97)</f>
        <v>0</v>
      </c>
      <c r="ADG97" s="20" t="n">
        <f aca="false">IF(H_Direct=1,IF(ET97&lt;=0,ADF97-ET97*WG97,ADF97-MIN(MIN(ET97*WG97,(ZS97+ADF97)),ADF97)),ADF97)</f>
        <v>0</v>
      </c>
      <c r="ADH97" s="20" t="n">
        <f aca="false">IF(H_Direct=1,IF(EU97&lt;=0,ADG97-EU97*WH97,ADG97-MIN(MIN(EU97*WH97,(ZT97+ADG97)),ADG97)),ADG97)</f>
        <v>0</v>
      </c>
      <c r="ADI97" s="20" t="n">
        <f aca="false">IF(H_Direct=1,IF(EV97&lt;=0,ADH97-EV97*WI97,ADH97-MIN(MIN(EV97*WI97,(ZU97+ADH97)),ADH97)),ADH97)</f>
        <v>0</v>
      </c>
      <c r="ADJ97" s="20" t="n">
        <f aca="false">IF(H_Direct=1,IF(EW97&lt;=0,ADI97-EW97*WJ97,ADI97-MIN(MIN(EW97*WJ97,(ZV97+ADI97)),ADI97)),ADI97)</f>
        <v>0</v>
      </c>
      <c r="ADK97" s="20" t="n">
        <f aca="false">IF(H_Direct=1,IF(EX97&lt;=0,ADJ97-EX97*WK97,ADJ97-MIN(MIN(EX97*WK97,(ZW97+ADJ97)),ADJ97)),ADJ97)</f>
        <v>0</v>
      </c>
      <c r="ADL97" s="20" t="n">
        <f aca="false">IF(H_Direct=1,IF(EY97&lt;=0,ADK97-EY97*WL97,ADK97-MIN(MIN(EY97*WL97,(ZX97+ADK97)),ADK97)),ADK97)</f>
        <v>0</v>
      </c>
      <c r="ADM97" s="20" t="n">
        <f aca="false">IF(H_Direct=1,IF(EZ97&lt;=0,ADL97-EZ97*WM97,ADL97-MIN(MIN(EZ97*WM97,(ZY97+ADL97)),ADL97)),ADL97)</f>
        <v>0</v>
      </c>
      <c r="ADN97" s="20" t="n">
        <f aca="false">IF(H_Direct=1,IF(FA97&lt;=0,ADM97-FA97*WN97,ADM97-MIN(MIN(FA97*WN97,(ZZ97+ADM97)),ADM97)),ADM97)</f>
        <v>0</v>
      </c>
      <c r="ADO97" s="20" t="n">
        <f aca="false">IF(H_Direct=1,IF(FB97&lt;=0,ADN97-FB97*WO97,ADN97-MIN(MIN(FB97*WO97,(AAA97+ADN97)),ADN97)),ADN97)</f>
        <v>0</v>
      </c>
      <c r="ADP97" s="20" t="n">
        <f aca="false">IF(H_Direct=1,IF(FC97&lt;=0,ADO97-FC97*WP97,ADO97-MIN(MIN(FC97*WP97,(AAB97+ADO97)),ADO97)),ADO97)</f>
        <v>0</v>
      </c>
      <c r="ADQ97" s="20" t="n">
        <f aca="false">IF(H_Direct=1,IF(FD97&lt;=0,ADP97-FD97*WQ97,ADP97-MIN(MIN(FD97*WQ97,(AAC97+ADP97)),ADP97)),ADP97)</f>
        <v>0</v>
      </c>
      <c r="ADR97" s="20" t="n">
        <f aca="false">(AKR96-TE97+0)*(1+BQ97)</f>
        <v>0</v>
      </c>
      <c r="ADS97" s="20" t="n">
        <f aca="false">(AKS96-TF97+0)*(1+BQ97)</f>
        <v>0</v>
      </c>
      <c r="ADT97" s="20" t="n">
        <f aca="false">(AKT96-TG97+0)*(1+BQ97)</f>
        <v>0</v>
      </c>
      <c r="ADU97" s="20" t="n">
        <f aca="false">(AKU96-TH97+0)*(1+BQ97)</f>
        <v>0</v>
      </c>
      <c r="ADV97" s="20" t="n">
        <f aca="false">(AKV96-TI97+0)*(1+BQ97)</f>
        <v>0</v>
      </c>
      <c r="ADW97" s="20" t="n">
        <f aca="false">(AKW96-TJ97+0)*(1+BQ97)</f>
        <v>0</v>
      </c>
      <c r="ADX97" s="20" t="n">
        <f aca="false">(AKX96-TK97+0)*(1+BQ97)</f>
        <v>0</v>
      </c>
      <c r="ADY97" s="20" t="n">
        <f aca="false">(AKY96-TL97+0)*(1+BQ97)</f>
        <v>0</v>
      </c>
      <c r="ADZ97" s="20" t="n">
        <f aca="false">(AKZ96-TM97+0)*(1+BQ97)</f>
        <v>0</v>
      </c>
      <c r="AEA97" s="20" t="n">
        <f aca="false">(ALA96-TN97+0)*(1+BQ97)</f>
        <v>0</v>
      </c>
      <c r="AEB97" s="20" t="n">
        <f aca="false">(ALB96-TO97+0)*(1+BQ97)</f>
        <v>0</v>
      </c>
      <c r="AEC97" s="20" t="n">
        <f aca="false">(ALC96-TP97+0)*(1+BQ97)</f>
        <v>0</v>
      </c>
      <c r="AED97" s="20" t="n">
        <f aca="false">(ALD96-TQ97+0)*(1+BQ97)</f>
        <v>0</v>
      </c>
      <c r="AEE97" s="20" t="n">
        <f aca="false">(ALE96-TR97+0)*(1+BQ97)</f>
        <v>0</v>
      </c>
      <c r="AEF97" s="20" t="n">
        <f aca="false">(ALF96-TS97+0)*(1+BQ97)</f>
        <v>0</v>
      </c>
      <c r="AEG97" s="20" t="n">
        <f aca="false">(ALG96-TT97+0)*(1+BQ97)</f>
        <v>0</v>
      </c>
      <c r="AEH97" s="20" t="n">
        <f aca="false">(ALH96-TU97+0)*(1+BQ97)</f>
        <v>0</v>
      </c>
      <c r="AEI97" s="20" t="n">
        <f aca="false">(ALI96-TV97+0)*(1+BQ97)</f>
        <v>0</v>
      </c>
      <c r="AEJ97" s="20" t="n">
        <f aca="false">(ALJ96-TW97+0)*(1+BQ97)</f>
        <v>0</v>
      </c>
      <c r="AEK97" s="20" t="n">
        <f aca="false">(ALK96-TX97+0)*(1+BQ97)</f>
        <v>0</v>
      </c>
      <c r="AEL97" s="20" t="n">
        <f aca="false">(ALL96-TY97+0)*(1+BQ97)</f>
        <v>0</v>
      </c>
      <c r="AEM97" s="20" t="n">
        <f aca="false">(ALM96-TZ97+0)*(1+BQ97)</f>
        <v>0</v>
      </c>
      <c r="AEN97" s="20" t="n">
        <f aca="false">(ALN96-UA97+0)*(1+BQ97)</f>
        <v>0</v>
      </c>
      <c r="AEO97" s="20" t="n">
        <f aca="false">(ALO96-UB97+0)*(1+BQ97)</f>
        <v>0</v>
      </c>
      <c r="AEP97" s="20" t="n">
        <f aca="false">(ALP96-UC97+0)*(1+BQ97)</f>
        <v>0</v>
      </c>
      <c r="AEQ97" s="20" t="n">
        <f aca="false">(ALQ96-UD97+0)*(1+BQ97)</f>
        <v>0</v>
      </c>
      <c r="AER97" s="20" t="n">
        <f aca="false">(ALR96-UE97+0)*(1+BQ97)</f>
        <v>0</v>
      </c>
      <c r="AES97" s="20" t="n">
        <f aca="false">(ALS96-UF97+0)*(1+BQ97)</f>
        <v>0</v>
      </c>
      <c r="AET97" s="20" t="n">
        <f aca="false">(ALT96-UG97+0)*(1+BQ97)</f>
        <v>0</v>
      </c>
      <c r="AEU97" s="20" t="n">
        <f aca="false">(ALU96-UH97+0)*(1+BQ97)</f>
        <v>0</v>
      </c>
      <c r="AEV97" s="20" t="n">
        <f aca="false">(ALV96-UI97+0)*(1+BQ97)</f>
        <v>0</v>
      </c>
      <c r="AEW97" s="20" t="n">
        <f aca="false">(ALW96-UJ97+0)*(1+BQ97)</f>
        <v>0</v>
      </c>
      <c r="AEX97" s="20" t="n">
        <f aca="false">(ALX96-UK97+0)*(1+BQ97)</f>
        <v>0</v>
      </c>
      <c r="AEY97" s="20" t="n">
        <f aca="false">(ALY96-UL97+0)*(1+BQ97)</f>
        <v>0</v>
      </c>
      <c r="AEZ97" s="20" t="n">
        <f aca="false">(ALZ96-UM97+0)*(1+BQ97)</f>
        <v>0</v>
      </c>
      <c r="AFA97" s="20" t="n">
        <f aca="false">(AMA96-UN97+0)*(1+BQ97)</f>
        <v>0</v>
      </c>
      <c r="AFB97" s="20" t="n">
        <f aca="false">(AMB96-UO97+0)*(1+BQ97)</f>
        <v>0</v>
      </c>
      <c r="AFC97" s="20" t="n">
        <f aca="false">(AMC96-UP97+0)*(1+BQ97)</f>
        <v>0</v>
      </c>
      <c r="AFD97" s="20" t="n">
        <f aca="false">(AMD96-UQ97+0)*(1+BQ97)</f>
        <v>0</v>
      </c>
      <c r="AFE97" s="20" t="n">
        <f aca="false">(AME96-UR97+0)*(1+BQ97)</f>
        <v>0</v>
      </c>
      <c r="AFF97" s="20" t="n">
        <f aca="false">(AMF96-US97+0)*(1+BQ97)</f>
        <v>0</v>
      </c>
      <c r="AFG97" s="20" t="n">
        <f aca="false">(AMG96-UT97+0)*(1+BQ97)</f>
        <v>0</v>
      </c>
      <c r="AFH97" s="20" t="n">
        <f aca="false">(AMH96-UU97+0)*(1+BQ97)</f>
        <v>0</v>
      </c>
      <c r="AFI97" s="20" t="n">
        <f aca="false">(AMI96-UV97+0)*(1+BQ97)</f>
        <v>0</v>
      </c>
      <c r="AFJ97" s="20" t="n">
        <f aca="false">(AMJ96-UW97+0)*(1+BQ97)</f>
        <v>0</v>
      </c>
      <c r="AFK97" s="20" t="n">
        <f aca="false">(AMK96-UX97+0)*(1+BQ97)</f>
        <v>0</v>
      </c>
      <c r="AFL97" s="20" t="n">
        <f aca="false">(AML96-UY97+0)*(1+BQ97)</f>
        <v>0</v>
      </c>
      <c r="AFM97" s="20" t="n">
        <f aca="false">(AMM96-UZ97+0)*(1+BQ97)</f>
        <v>0</v>
      </c>
      <c r="AFN97" s="20" t="n">
        <f aca="false">(AMN96-VA97+0)*(1+BQ97)</f>
        <v>0</v>
      </c>
      <c r="AFO97" s="20" t="n">
        <f aca="false">(AMO96-VB97+0)*(1+BQ97)</f>
        <v>0</v>
      </c>
      <c r="AFP97" s="20" t="n">
        <f aca="false">(AMP96-VC97+0)*(1+BQ97)</f>
        <v>0</v>
      </c>
      <c r="AFQ97" s="20" t="n">
        <f aca="false">(AMQ96-VD97+0)*(1+BQ97)</f>
        <v>0</v>
      </c>
      <c r="AFR97" s="20" t="n">
        <f aca="false">(AMR96-VE97+0)*(1+BQ97)</f>
        <v>0</v>
      </c>
      <c r="AFS97" s="20" t="n">
        <f aca="false">(AMS96-VF97+0)*(1+BQ97)</f>
        <v>0</v>
      </c>
      <c r="AFT97" s="20" t="n">
        <f aca="false">(AMT96-VG97+0)*(1+BQ97)</f>
        <v>0</v>
      </c>
      <c r="AFU97" s="20" t="n">
        <f aca="false">(AMU96-VH97+0)*(1+BQ97)</f>
        <v>0</v>
      </c>
      <c r="AFV97" s="20" t="n">
        <f aca="false">(AMV96-VI97+0)*(1+BQ97)</f>
        <v>0</v>
      </c>
      <c r="AFW97" s="20" t="n">
        <f aca="false">(AMW96-VJ97+0)*(1+BQ97)</f>
        <v>0</v>
      </c>
      <c r="AFX97" s="20" t="n">
        <f aca="false">(AMX96-VK97+0)*(1+BQ97)</f>
        <v>0</v>
      </c>
      <c r="AFY97" s="20" t="n">
        <f aca="false">(AMY96-VL97+0)*(1+BQ97)</f>
        <v>0</v>
      </c>
      <c r="AFZ97" s="20" t="n">
        <f aca="false">(AMZ96-VM97+0)*(1+BQ97)</f>
        <v>0</v>
      </c>
      <c r="AGA97" s="20" t="n">
        <f aca="false">(ANA96-VN97+0)*(1+BQ97)</f>
        <v>0</v>
      </c>
      <c r="AGB97" s="20" t="n">
        <f aca="false">(ANB96-VO97+0)*(1+BQ97)</f>
        <v>0</v>
      </c>
      <c r="AGC97" s="20" t="n">
        <f aca="false">(ANC96-VP97+0)*(1+BQ97)</f>
        <v>0</v>
      </c>
      <c r="AGD97" s="20" t="n">
        <f aca="false">(AND96-VQ97+0)*(1+BQ97)</f>
        <v>0</v>
      </c>
      <c r="AGE97" s="20" t="n">
        <f aca="false">(ANE96-VR97+0)*(1+BQ97)</f>
        <v>0</v>
      </c>
      <c r="AGF97" s="20" t="n">
        <f aca="false">(ANF96-VS97+0)*(1+BQ97)</f>
        <v>0</v>
      </c>
      <c r="AGG97" s="20" t="n">
        <f aca="false">(ANG96-VT97+0)*(1+BQ97)</f>
        <v>0</v>
      </c>
      <c r="AGH97" s="20" t="n">
        <f aca="false">(ANH96-VU97+0)*(1+BQ97)</f>
        <v>0</v>
      </c>
      <c r="AGI97" s="20" t="n">
        <f aca="false">(ANI96-VV97+0)*(1+BQ97)</f>
        <v>0</v>
      </c>
      <c r="AGJ97" s="20" t="n">
        <f aca="false">(ANJ96-VW97+0)*(1+BQ97)</f>
        <v>0</v>
      </c>
      <c r="AGK97" s="20" t="n">
        <f aca="false">(ANK96-VX97+0)*(1+BQ97)</f>
        <v>0</v>
      </c>
      <c r="AGL97" s="20" t="n">
        <f aca="false">(ANL96-VY97+0)*(1+BQ97)</f>
        <v>0</v>
      </c>
      <c r="AGM97" s="20" t="n">
        <f aca="false">(ANM96-VZ97+0)*(1+BQ97)</f>
        <v>0</v>
      </c>
      <c r="AGN97" s="20" t="n">
        <f aca="false">(ANN96-WA97+0)*(1+BQ97)</f>
        <v>0</v>
      </c>
      <c r="AGO97" s="20" t="n">
        <f aca="false">(ANO96-WB97+0)*(1+BQ97)</f>
        <v>0</v>
      </c>
      <c r="AGP97" s="20" t="n">
        <f aca="false">(ANP96-WC97+0)*(1+BQ97)</f>
        <v>0</v>
      </c>
      <c r="AGQ97" s="20" t="n">
        <f aca="false">(ANQ96-WD97+0)*(1+BQ97)</f>
        <v>0</v>
      </c>
      <c r="AGR97" s="20" t="n">
        <f aca="false">(ANR96-WE97+0)*(1+BQ97)</f>
        <v>0</v>
      </c>
      <c r="AGS97" s="20" t="n">
        <f aca="false">(ANS96-WF97+0)*(1+BQ97)</f>
        <v>0</v>
      </c>
      <c r="AGT97" s="20" t="n">
        <f aca="false">(ANT96-WG97+0)*(1+BQ97)</f>
        <v>0</v>
      </c>
      <c r="AGU97" s="20" t="n">
        <f aca="false">(ANU96-WH97+0)*(1+BQ97)</f>
        <v>0</v>
      </c>
      <c r="AGV97" s="20" t="n">
        <f aca="false">(ANV96-WI97+0)*(1+BQ97)</f>
        <v>0</v>
      </c>
      <c r="AGW97" s="20" t="n">
        <f aca="false">(ANW96-WJ97+0)*(1+BQ97)</f>
        <v>0</v>
      </c>
      <c r="AGX97" s="20" t="n">
        <f aca="false">(ANX96-WK97+0)*(1+BQ97)</f>
        <v>0</v>
      </c>
      <c r="AGY97" s="20" t="n">
        <f aca="false">(ANY96-WL97+0)*(1+BQ97)</f>
        <v>0</v>
      </c>
      <c r="AGZ97" s="20" t="n">
        <f aca="false">(ANZ96-WM97+0)*(1+BQ97)</f>
        <v>0</v>
      </c>
      <c r="AHA97" s="20" t="n">
        <f aca="false">(AOA96-WN97+0)*(1+BQ97)</f>
        <v>0</v>
      </c>
      <c r="AHB97" s="20" t="n">
        <f aca="false">(AOB96-WO97+0)*(1+BQ97)</f>
        <v>0</v>
      </c>
      <c r="AHC97" s="20" t="n">
        <f aca="false">(AOC96-WP97+0)*(1+BQ97)</f>
        <v>0</v>
      </c>
      <c r="AHD97" s="20" t="n">
        <f aca="false">((P97+S97)-WQ97+BE97)*(1+BQ97)</f>
        <v>0</v>
      </c>
      <c r="AHE97" s="20" t="n">
        <f aca="false">IF(AKR96&gt;0,AOE96-AOE96*TE97/AKR96,0)+0</f>
        <v>0</v>
      </c>
      <c r="AHF97" s="20" t="n">
        <f aca="false">IF(AKS96&gt;0,AOF96-AOF96*TF97/AKS96,0)+0</f>
        <v>0</v>
      </c>
      <c r="AHG97" s="20" t="n">
        <f aca="false">IF(AKT96&gt;0,AOG96-AOG96*TG97/AKT96,0)+0</f>
        <v>0</v>
      </c>
      <c r="AHH97" s="20" t="n">
        <f aca="false">IF(AKU96&gt;0,AOH96-AOH96*TH97/AKU96,0)+0</f>
        <v>0</v>
      </c>
      <c r="AHI97" s="20" t="n">
        <f aca="false">IF(AKV96&gt;0,AOI96-AOI96*TI97/AKV96,0)+0</f>
        <v>0</v>
      </c>
      <c r="AHJ97" s="20" t="n">
        <f aca="false">IF(AKW96&gt;0,AOJ96-AOJ96*TJ97/AKW96,0)+0</f>
        <v>0</v>
      </c>
      <c r="AHK97" s="20" t="n">
        <f aca="false">IF(AKX96&gt;0,AOK96-AOK96*TK97/AKX96,0)+0</f>
        <v>0</v>
      </c>
      <c r="AHL97" s="20" t="n">
        <f aca="false">IF(AKY96&gt;0,AOL96-AOL96*TL97/AKY96,0)+0</f>
        <v>0</v>
      </c>
      <c r="AHM97" s="20" t="n">
        <f aca="false">IF(AKZ96&gt;0,AOM96-AOM96*TM97/AKZ96,0)+0</f>
        <v>0</v>
      </c>
      <c r="AHN97" s="20" t="n">
        <f aca="false">IF(ALA96&gt;0,AON96-AON96*TN97/ALA96,0)+0</f>
        <v>0</v>
      </c>
      <c r="AHO97" s="20" t="n">
        <f aca="false">IF(ALB96&gt;0,AOO96-AOO96*TO97/ALB96,0)+0</f>
        <v>0</v>
      </c>
      <c r="AHP97" s="20" t="n">
        <f aca="false">IF(ALC96&gt;0,AOP96-AOP96*TP97/ALC96,0)+0</f>
        <v>0</v>
      </c>
      <c r="AHQ97" s="20" t="n">
        <f aca="false">IF(ALD96&gt;0,AOQ96-AOQ96*TQ97/ALD96,0)+0</f>
        <v>0</v>
      </c>
      <c r="AHR97" s="20" t="n">
        <f aca="false">IF(ALE96&gt;0,AOR96-AOR96*TR97/ALE96,0)+0</f>
        <v>0</v>
      </c>
      <c r="AHS97" s="20" t="n">
        <f aca="false">IF(ALF96&gt;0,AOS96-AOS96*TS97/ALF96,0)+0</f>
        <v>0</v>
      </c>
      <c r="AHT97" s="20" t="n">
        <f aca="false">IF(ALG96&gt;0,AOT96-AOT96*TT97/ALG96,0)+0</f>
        <v>0</v>
      </c>
      <c r="AHU97" s="20" t="n">
        <f aca="false">IF(ALH96&gt;0,AOU96-AOU96*TU97/ALH96,0)+0</f>
        <v>0</v>
      </c>
      <c r="AHV97" s="20" t="n">
        <f aca="false">IF(ALI96&gt;0,AOV96-AOV96*TV97/ALI96,0)+0</f>
        <v>0</v>
      </c>
      <c r="AHW97" s="20" t="n">
        <f aca="false">IF(ALJ96&gt;0,AOW96-AOW96*TW97/ALJ96,0)+0</f>
        <v>0</v>
      </c>
      <c r="AHX97" s="20" t="n">
        <f aca="false">IF(ALK96&gt;0,AOX96-AOX96*TX97/ALK96,0)+0</f>
        <v>0</v>
      </c>
      <c r="AHY97" s="20" t="n">
        <f aca="false">IF(ALL96&gt;0,AOY96-AOY96*TY97/ALL96,0)+0</f>
        <v>0</v>
      </c>
      <c r="AHZ97" s="20" t="n">
        <f aca="false">IF(ALM96&gt;0,AOZ96-AOZ96*TZ97/ALM96,0)+0</f>
        <v>0</v>
      </c>
      <c r="AIA97" s="20" t="n">
        <f aca="false">IF(ALN96&gt;0,APA96-APA96*UA97/ALN96,0)+0</f>
        <v>0</v>
      </c>
      <c r="AIB97" s="20" t="n">
        <f aca="false">IF(ALO96&gt;0,APB96-APB96*UB97/ALO96,0)+0</f>
        <v>0</v>
      </c>
      <c r="AIC97" s="20" t="n">
        <f aca="false">IF(ALP96&gt;0,APC96-APC96*UC97/ALP96,0)+0</f>
        <v>0</v>
      </c>
      <c r="AID97" s="20" t="n">
        <f aca="false">IF(ALQ96&gt;0,APD96-APD96*UD97/ALQ96,0)+0</f>
        <v>0</v>
      </c>
      <c r="AIE97" s="20" t="n">
        <f aca="false">IF(ALR96&gt;0,APE96-APE96*UE97/ALR96,0)+0</f>
        <v>0</v>
      </c>
      <c r="AIF97" s="20" t="n">
        <f aca="false">IF(ALS96&gt;0,APF96-APF96*UF97/ALS96,0)+0</f>
        <v>0</v>
      </c>
      <c r="AIG97" s="20" t="n">
        <f aca="false">IF(ALT96&gt;0,APG96-APG96*UG97/ALT96,0)+0</f>
        <v>0</v>
      </c>
      <c r="AIH97" s="20" t="n">
        <f aca="false">IF(ALU96&gt;0,APH96-APH96*UH97/ALU96,0)+0</f>
        <v>0</v>
      </c>
      <c r="AII97" s="20" t="n">
        <f aca="false">IF(ALV96&gt;0,API96-API96*UI97/ALV96,0)+0</f>
        <v>0</v>
      </c>
      <c r="AIJ97" s="20" t="n">
        <f aca="false">IF(ALW96&gt;0,APJ96-APJ96*UJ97/ALW96,0)+0</f>
        <v>0</v>
      </c>
      <c r="AIK97" s="20" t="n">
        <f aca="false">IF(ALX96&gt;0,APK96-APK96*UK97/ALX96,0)+0</f>
        <v>0</v>
      </c>
      <c r="AIL97" s="20" t="n">
        <f aca="false">IF(ALY96&gt;0,APL96-APL96*UL97/ALY96,0)+0</f>
        <v>0</v>
      </c>
      <c r="AIM97" s="20" t="n">
        <f aca="false">IF(ALZ96&gt;0,APM96-APM96*UM97/ALZ96,0)+0</f>
        <v>0</v>
      </c>
      <c r="AIN97" s="20" t="n">
        <f aca="false">IF(AMA96&gt;0,APN96-APN96*UN97/AMA96,0)+0</f>
        <v>0</v>
      </c>
      <c r="AIO97" s="20" t="n">
        <f aca="false">IF(AMB96&gt;0,APO96-APO96*UO97/AMB96,0)+0</f>
        <v>0</v>
      </c>
      <c r="AIP97" s="20" t="n">
        <f aca="false">IF(AMC96&gt;0,APP96-APP96*UP97/AMC96,0)+0</f>
        <v>0</v>
      </c>
      <c r="AIQ97" s="20" t="n">
        <f aca="false">IF(AMD96&gt;0,APQ96-APQ96*UQ97/AMD96,0)+0</f>
        <v>0</v>
      </c>
      <c r="AIR97" s="20" t="n">
        <f aca="false">IF(AME96&gt;0,APR96-APR96*UR97/AME96,0)+0</f>
        <v>0</v>
      </c>
      <c r="AIS97" s="20" t="n">
        <f aca="false">IF(AMF96&gt;0,APS96-APS96*US97/AMF96,0)+0</f>
        <v>0</v>
      </c>
      <c r="AIT97" s="20" t="n">
        <f aca="false">IF(AMG96&gt;0,APT96-APT96*UT97/AMG96,0)+0</f>
        <v>0</v>
      </c>
      <c r="AIU97" s="20" t="n">
        <f aca="false">IF(AMH96&gt;0,APU96-APU96*UU97/AMH96,0)+0</f>
        <v>0</v>
      </c>
      <c r="AIV97" s="20" t="n">
        <f aca="false">IF(AMI96&gt;0,APV96-APV96*UV97/AMI96,0)+0</f>
        <v>0</v>
      </c>
      <c r="AIW97" s="20" t="n">
        <f aca="false">IF(AMJ96&gt;0,APW96-APW96*UW97/AMJ96,0)+0</f>
        <v>0</v>
      </c>
      <c r="AIX97" s="20" t="n">
        <f aca="false">IF(AMK96&gt;0,APX96-APX96*UX97/AMK96,0)+0</f>
        <v>0</v>
      </c>
      <c r="AIY97" s="20" t="n">
        <f aca="false">IF(AML96&gt;0,APY96-APY96*UY97/AML96,0)+0</f>
        <v>0</v>
      </c>
      <c r="AIZ97" s="20" t="n">
        <f aca="false">IF(AMM96&gt;0,APZ96-APZ96*UZ97/AMM96,0)+0</f>
        <v>0</v>
      </c>
      <c r="AJA97" s="20" t="n">
        <f aca="false">IF(AMN96&gt;0,AQA96-AQA96*VA97/AMN96,0)+0</f>
        <v>0</v>
      </c>
      <c r="AJB97" s="20" t="n">
        <f aca="false">IF(AMO96&gt;0,AQB96-AQB96*VB97/AMO96,0)+0</f>
        <v>0</v>
      </c>
      <c r="AJC97" s="20" t="n">
        <f aca="false">IF(AMP96&gt;0,AQC96-AQC96*VC97/AMP96,0)+0</f>
        <v>0</v>
      </c>
      <c r="AJD97" s="20" t="n">
        <f aca="false">IF(AMQ96&gt;0,AQD96-AQD96*VD97/AMQ96,0)+0</f>
        <v>0</v>
      </c>
      <c r="AJE97" s="20" t="n">
        <f aca="false">IF(AMR96&gt;0,AQE96-AQE96*VE97/AMR96,0)+0</f>
        <v>0</v>
      </c>
      <c r="AJF97" s="20" t="n">
        <f aca="false">IF(AMS96&gt;0,AQF96-AQF96*VF97/AMS96,0)+0</f>
        <v>0</v>
      </c>
      <c r="AJG97" s="20" t="n">
        <f aca="false">IF(AMT96&gt;0,AQG96-AQG96*VG97/AMT96,0)+0</f>
        <v>0</v>
      </c>
      <c r="AJH97" s="20" t="n">
        <f aca="false">IF(AMU96&gt;0,AQH96-AQH96*VH97/AMU96,0)+0</f>
        <v>0</v>
      </c>
      <c r="AJI97" s="20" t="n">
        <f aca="false">IF(AMV96&gt;0,AQI96-AQI96*VI97/AMV96,0)+0</f>
        <v>0</v>
      </c>
      <c r="AJJ97" s="20" t="n">
        <f aca="false">IF(AMW96&gt;0,AQJ96-AQJ96*VJ97/AMW96,0)+0</f>
        <v>0</v>
      </c>
      <c r="AJK97" s="20" t="n">
        <f aca="false">IF(AMX96&gt;0,AQK96-AQK96*VK97/AMX96,0)+0</f>
        <v>0</v>
      </c>
      <c r="AJL97" s="20" t="n">
        <f aca="false">IF(AMY96&gt;0,AQL96-AQL96*VL97/AMY96,0)+0</f>
        <v>0</v>
      </c>
      <c r="AJM97" s="20" t="n">
        <f aca="false">IF(AMZ96&gt;0,AQM96-AQM96*VM97/AMZ96,0)+0</f>
        <v>0</v>
      </c>
      <c r="AJN97" s="20" t="n">
        <f aca="false">IF(ANA96&gt;0,AQN96-AQN96*VN97/ANA96,0)+0</f>
        <v>0</v>
      </c>
      <c r="AJO97" s="20" t="n">
        <f aca="false">IF(ANB96&gt;0,AQO96-AQO96*VO97/ANB96,0)+0</f>
        <v>0</v>
      </c>
      <c r="AJP97" s="20" t="n">
        <f aca="false">IF(ANC96&gt;0,AQP96-AQP96*VP97/ANC96,0)+0</f>
        <v>0</v>
      </c>
      <c r="AJQ97" s="20" t="n">
        <f aca="false">IF(AND96&gt;0,AQQ96-AQQ96*VQ97/AND96,0)+0</f>
        <v>0</v>
      </c>
      <c r="AJR97" s="20" t="n">
        <f aca="false">IF(ANE96&gt;0,AQR96-AQR96*VR97/ANE96,0)+0</f>
        <v>0</v>
      </c>
      <c r="AJS97" s="20" t="n">
        <f aca="false">IF(ANF96&gt;0,AQS96-AQS96*VS97/ANF96,0)+0</f>
        <v>0</v>
      </c>
      <c r="AJT97" s="20" t="n">
        <f aca="false">IF(ANG96&gt;0,AQT96-AQT96*VT97/ANG96,0)+0</f>
        <v>0</v>
      </c>
      <c r="AJU97" s="20" t="n">
        <f aca="false">IF(ANH96&gt;0,AQU96-AQU96*VU97/ANH96,0)+0</f>
        <v>0</v>
      </c>
      <c r="AJV97" s="20" t="n">
        <f aca="false">IF(ANI96&gt;0,AQV96-AQV96*VV97/ANI96,0)+0</f>
        <v>0</v>
      </c>
      <c r="AJW97" s="20" t="n">
        <f aca="false">IF(ANJ96&gt;0,AQW96-AQW96*VW97/ANJ96,0)+0</f>
        <v>0</v>
      </c>
      <c r="AJX97" s="20" t="n">
        <f aca="false">IF(ANK96&gt;0,AQX96-AQX96*VX97/ANK96,0)+0</f>
        <v>0</v>
      </c>
      <c r="AJY97" s="20" t="n">
        <f aca="false">IF(ANL96&gt;0,AQY96-AQY96*VY97/ANL96,0)+0</f>
        <v>0</v>
      </c>
      <c r="AJZ97" s="20" t="n">
        <f aca="false">IF(ANM96&gt;0,AQZ96-AQZ96*VZ97/ANM96,0)+0</f>
        <v>0</v>
      </c>
      <c r="AKA97" s="20" t="n">
        <f aca="false">IF(ANN96&gt;0,ARA96-ARA96*WA97/ANN96,0)+0</f>
        <v>0</v>
      </c>
      <c r="AKB97" s="20" t="n">
        <f aca="false">IF(ANO96&gt;0,ARB96-ARB96*WB97/ANO96,0)+0</f>
        <v>0</v>
      </c>
      <c r="AKC97" s="20" t="n">
        <f aca="false">IF(ANP96&gt;0,ARC96-ARC96*WC97/ANP96,0)+0</f>
        <v>0</v>
      </c>
      <c r="AKD97" s="20" t="n">
        <f aca="false">IF(ANQ96&gt;0,ARD96-ARD96*WD97/ANQ96,0)+0</f>
        <v>0</v>
      </c>
      <c r="AKE97" s="20" t="n">
        <f aca="false">IF(ANR96&gt;0,ARE96-ARE96*WE97/ANR96,0)+0</f>
        <v>0</v>
      </c>
      <c r="AKF97" s="20" t="n">
        <f aca="false">IF(ANS96&gt;0,ARF96-ARF96*WF97/ANS96,0)+0</f>
        <v>0</v>
      </c>
      <c r="AKG97" s="20" t="n">
        <f aca="false">IF(ANT96&gt;0,ARG96-ARG96*WG97/ANT96,0)+0</f>
        <v>0</v>
      </c>
      <c r="AKH97" s="20" t="n">
        <f aca="false">IF(ANU96&gt;0,ARH96-ARH96*WH97/ANU96,0)+0</f>
        <v>0</v>
      </c>
      <c r="AKI97" s="20" t="n">
        <f aca="false">IF(ANV96&gt;0,ARI96-ARI96*WI97/ANV96,0)+0</f>
        <v>0</v>
      </c>
      <c r="AKJ97" s="20" t="n">
        <f aca="false">IF(ANW96&gt;0,ARJ96-ARJ96*WJ97/ANW96,0)+0</f>
        <v>0</v>
      </c>
      <c r="AKK97" s="20" t="n">
        <f aca="false">IF(ANX96&gt;0,ARK96-ARK96*WK97/ANX96,0)+0</f>
        <v>0</v>
      </c>
      <c r="AKL97" s="20" t="n">
        <f aca="false">IF(ANY96&gt;0,ARL96-ARL96*WL97/ANY96,0)+0</f>
        <v>0</v>
      </c>
      <c r="AKM97" s="20" t="n">
        <f aca="false">IF(ANZ96&gt;0,ARM96-ARM96*WM97/ANZ96,0)+0</f>
        <v>0</v>
      </c>
      <c r="AKN97" s="20" t="n">
        <f aca="false">IF(AOA96&gt;0,ARN96-ARN96*WN97/AOA96,0)+0</f>
        <v>0</v>
      </c>
      <c r="AKO97" s="20" t="n">
        <f aca="false">IF(AOB96&gt;0,ARO96-ARO96*WO97/AOB96,0)+0</f>
        <v>0</v>
      </c>
      <c r="AKP97" s="20" t="n">
        <f aca="false">IF(AOC96&gt;0,ARP96-ARP96*WP97/AOC96,0)+0</f>
        <v>0</v>
      </c>
      <c r="AKQ97" s="20" t="n">
        <f aca="false">IF((P97+S97)&gt;0,(P97+S97)-(P97+S97)*WQ97/(P97+S97),0)+BE97</f>
        <v>0</v>
      </c>
      <c r="AKR97" s="20" t="n">
        <f aca="false">ADR97-AVE97</f>
        <v>0</v>
      </c>
      <c r="AKS97" s="20" t="n">
        <f aca="false">ADS97-AVF97</f>
        <v>0</v>
      </c>
      <c r="AKT97" s="20" t="n">
        <f aca="false">ADT97-AVG97</f>
        <v>0</v>
      </c>
      <c r="AKU97" s="20" t="n">
        <f aca="false">ADU97-AVH97</f>
        <v>0</v>
      </c>
      <c r="AKV97" s="20" t="n">
        <f aca="false">ADV97-AVI97</f>
        <v>0</v>
      </c>
      <c r="AKW97" s="20" t="n">
        <f aca="false">ADW97-AVJ97</f>
        <v>0</v>
      </c>
      <c r="AKX97" s="20" t="n">
        <f aca="false">ADX97-AVK97</f>
        <v>0</v>
      </c>
      <c r="AKY97" s="20" t="n">
        <f aca="false">ADY97-AVL97</f>
        <v>0</v>
      </c>
      <c r="AKZ97" s="20" t="n">
        <f aca="false">ADZ97-AVM97</f>
        <v>0</v>
      </c>
      <c r="ALA97" s="20" t="n">
        <f aca="false">AEA97-AVN97</f>
        <v>0</v>
      </c>
      <c r="ALB97" s="20" t="n">
        <f aca="false">AEB97-AVO97</f>
        <v>0</v>
      </c>
      <c r="ALC97" s="20" t="n">
        <f aca="false">AEC97-AVP97</f>
        <v>0</v>
      </c>
      <c r="ALD97" s="20" t="n">
        <f aca="false">AED97-AVQ97</f>
        <v>0</v>
      </c>
      <c r="ALE97" s="20" t="n">
        <f aca="false">AEE97-AVR97</f>
        <v>0</v>
      </c>
      <c r="ALF97" s="20" t="n">
        <f aca="false">AEF97-AVS97</f>
        <v>0</v>
      </c>
      <c r="ALG97" s="20" t="n">
        <f aca="false">AEG97-AVT97</f>
        <v>0</v>
      </c>
      <c r="ALH97" s="20" t="n">
        <f aca="false">AEH97-AVU97</f>
        <v>0</v>
      </c>
      <c r="ALI97" s="20" t="n">
        <f aca="false">AEI97-AVV97</f>
        <v>0</v>
      </c>
      <c r="ALJ97" s="20" t="n">
        <f aca="false">AEJ97-AVW97</f>
        <v>0</v>
      </c>
      <c r="ALK97" s="20" t="n">
        <f aca="false">AEK97-AVX97</f>
        <v>0</v>
      </c>
      <c r="ALL97" s="20" t="n">
        <f aca="false">AEL97-AVY97</f>
        <v>0</v>
      </c>
      <c r="ALM97" s="20" t="n">
        <f aca="false">AEM97-AVZ97</f>
        <v>0</v>
      </c>
      <c r="ALN97" s="20" t="n">
        <f aca="false">AEN97-AWA97</f>
        <v>0</v>
      </c>
      <c r="ALO97" s="20" t="n">
        <f aca="false">AEO97-AWB97</f>
        <v>0</v>
      </c>
      <c r="ALP97" s="20" t="n">
        <f aca="false">AEP97-AWC97</f>
        <v>0</v>
      </c>
      <c r="ALQ97" s="20" t="n">
        <f aca="false">AEQ97-AWD97</f>
        <v>0</v>
      </c>
      <c r="ALR97" s="20" t="n">
        <f aca="false">AER97-AWE97</f>
        <v>0</v>
      </c>
      <c r="ALS97" s="20" t="n">
        <f aca="false">AES97-AWF97</f>
        <v>0</v>
      </c>
      <c r="ALT97" s="20" t="n">
        <f aca="false">AET97-AWG97</f>
        <v>0</v>
      </c>
      <c r="ALU97" s="20" t="n">
        <f aca="false">AEU97-AWH97</f>
        <v>0</v>
      </c>
      <c r="ALV97" s="20" t="n">
        <f aca="false">AEV97-AWI97</f>
        <v>0</v>
      </c>
      <c r="ALW97" s="20" t="n">
        <f aca="false">AEW97-AWJ97</f>
        <v>0</v>
      </c>
      <c r="ALX97" s="20" t="n">
        <f aca="false">AEX97-AWK97</f>
        <v>0</v>
      </c>
      <c r="ALY97" s="20" t="n">
        <f aca="false">AEY97-AWL97</f>
        <v>0</v>
      </c>
      <c r="ALZ97" s="20" t="n">
        <f aca="false">AEZ97-AWM97</f>
        <v>0</v>
      </c>
      <c r="AMA97" s="20" t="n">
        <f aca="false">AFA97-AWN97</f>
        <v>0</v>
      </c>
      <c r="AMB97" s="20" t="n">
        <f aca="false">AFB97-AWO97</f>
        <v>0</v>
      </c>
      <c r="AMC97" s="20" t="n">
        <f aca="false">AFC97-AWP97</f>
        <v>0</v>
      </c>
      <c r="AMD97" s="20" t="n">
        <f aca="false">AFD97-AWQ97</f>
        <v>0</v>
      </c>
      <c r="AME97" s="20" t="n">
        <f aca="false">AFE97-AWR97</f>
        <v>0</v>
      </c>
      <c r="AMF97" s="20" t="n">
        <f aca="false">AFF97-AWS97</f>
        <v>0</v>
      </c>
      <c r="AMG97" s="20" t="n">
        <f aca="false">AFG97-AWT97</f>
        <v>0</v>
      </c>
      <c r="AMH97" s="20" t="n">
        <f aca="false">AFH97-AWU97</f>
        <v>0</v>
      </c>
      <c r="AMI97" s="20" t="n">
        <f aca="false">AFI97-AWV97</f>
        <v>0</v>
      </c>
      <c r="AMJ97" s="20" t="n">
        <f aca="false">AFJ97-AWW97</f>
        <v>0</v>
      </c>
      <c r="AMK97" s="20" t="n">
        <f aca="false">AFK97-AWX97</f>
        <v>0</v>
      </c>
      <c r="AML97" s="20" t="n">
        <f aca="false">AFL97-AWY97</f>
        <v>0</v>
      </c>
      <c r="AMM97" s="20" t="n">
        <f aca="false">AFM97-AWZ97</f>
        <v>0</v>
      </c>
      <c r="AMN97" s="20" t="n">
        <f aca="false">AFN97-AXA97</f>
        <v>0</v>
      </c>
      <c r="AMO97" s="20" t="n">
        <f aca="false">AFO97-AXB97</f>
        <v>0</v>
      </c>
      <c r="AMP97" s="20" t="n">
        <f aca="false">AFP97-AXC97</f>
        <v>0</v>
      </c>
      <c r="AMQ97" s="20" t="n">
        <f aca="false">AFQ97-AXD97</f>
        <v>0</v>
      </c>
      <c r="AMR97" s="20" t="n">
        <f aca="false">AFR97-AXE97</f>
        <v>0</v>
      </c>
      <c r="AMS97" s="20" t="n">
        <f aca="false">AFS97-AXF97</f>
        <v>0</v>
      </c>
      <c r="AMT97" s="20" t="n">
        <f aca="false">AFT97-AXG97</f>
        <v>0</v>
      </c>
      <c r="AMU97" s="20" t="n">
        <f aca="false">AFU97-AXH97</f>
        <v>0</v>
      </c>
      <c r="AMV97" s="20" t="n">
        <f aca="false">AFV97-AXI97</f>
        <v>0</v>
      </c>
      <c r="AMW97" s="20" t="n">
        <f aca="false">AFW97-AXJ97</f>
        <v>0</v>
      </c>
      <c r="AMX97" s="20" t="n">
        <f aca="false">AFX97-AXK97</f>
        <v>0</v>
      </c>
      <c r="AMY97" s="20" t="n">
        <f aca="false">AFY97-AXL97</f>
        <v>0</v>
      </c>
      <c r="AMZ97" s="20" t="n">
        <f aca="false">AFZ97-AXM97</f>
        <v>0</v>
      </c>
      <c r="ANA97" s="20" t="n">
        <f aca="false">AGA97-AXN97</f>
        <v>0</v>
      </c>
      <c r="ANB97" s="20" t="n">
        <f aca="false">AGB97-AXO97</f>
        <v>0</v>
      </c>
      <c r="ANC97" s="20" t="n">
        <f aca="false">AGC97-AXP97</f>
        <v>0</v>
      </c>
      <c r="AND97" s="20" t="n">
        <f aca="false">AGD97-AXQ97</f>
        <v>0</v>
      </c>
      <c r="ANE97" s="20" t="n">
        <f aca="false">AGE97-AXR97</f>
        <v>0</v>
      </c>
      <c r="ANF97" s="20" t="n">
        <f aca="false">AGF97-AXS97</f>
        <v>0</v>
      </c>
      <c r="ANG97" s="20" t="n">
        <f aca="false">AGG97-AXT97</f>
        <v>0</v>
      </c>
      <c r="ANH97" s="20" t="n">
        <f aca="false">AGH97-AXU97</f>
        <v>0</v>
      </c>
      <c r="ANI97" s="20" t="n">
        <f aca="false">AGI97-AXV97</f>
        <v>0</v>
      </c>
      <c r="ANJ97" s="20" t="n">
        <f aca="false">AGJ97-AXW97</f>
        <v>0</v>
      </c>
      <c r="ANK97" s="20" t="n">
        <f aca="false">AGK97-AXX97</f>
        <v>0</v>
      </c>
      <c r="ANL97" s="20" t="n">
        <f aca="false">AGL97-AXY97</f>
        <v>0</v>
      </c>
      <c r="ANM97" s="20" t="n">
        <f aca="false">AGM97-AXZ97</f>
        <v>0</v>
      </c>
      <c r="ANN97" s="20" t="n">
        <f aca="false">AGN97-AYA97</f>
        <v>0</v>
      </c>
      <c r="ANO97" s="20" t="n">
        <f aca="false">AGO97-AYB97</f>
        <v>0</v>
      </c>
      <c r="ANP97" s="20" t="n">
        <f aca="false">AGP97-AYC97</f>
        <v>0</v>
      </c>
      <c r="ANQ97" s="20" t="n">
        <f aca="false">AGQ97-AYD97</f>
        <v>0</v>
      </c>
      <c r="ANR97" s="20" t="n">
        <f aca="false">AGR97-AYE97</f>
        <v>0</v>
      </c>
      <c r="ANS97" s="20" t="n">
        <f aca="false">AGS97-AYF97</f>
        <v>0</v>
      </c>
      <c r="ANT97" s="20" t="n">
        <f aca="false">AGT97-AYG97</f>
        <v>0</v>
      </c>
      <c r="ANU97" s="20" t="n">
        <f aca="false">AGU97-AYH97</f>
        <v>0</v>
      </c>
      <c r="ANV97" s="20" t="n">
        <f aca="false">AGV97-AYI97</f>
        <v>0</v>
      </c>
      <c r="ANW97" s="20" t="n">
        <f aca="false">AGW97-AYJ97</f>
        <v>0</v>
      </c>
      <c r="ANX97" s="20" t="n">
        <f aca="false">AGX97-AYK97</f>
        <v>0</v>
      </c>
      <c r="ANY97" s="20" t="n">
        <f aca="false">AGY97-AYL97</f>
        <v>0</v>
      </c>
      <c r="ANZ97" s="20" t="n">
        <f aca="false">AGZ97-AYM97</f>
        <v>0</v>
      </c>
      <c r="AOA97" s="20" t="n">
        <f aca="false">AHA97-AYN97</f>
        <v>0</v>
      </c>
      <c r="AOB97" s="20" t="n">
        <f aca="false">AHB97-AYO97</f>
        <v>0</v>
      </c>
      <c r="AOC97" s="20" t="n">
        <f aca="false">AHC97-AYP97</f>
        <v>0</v>
      </c>
      <c r="AOD97" s="20" t="n">
        <f aca="false">AHD97-AYQ97</f>
        <v>0</v>
      </c>
      <c r="AOE97" s="20" t="n">
        <f aca="false">IF(AND(H_Direct=0,H_TaxEvt=1,ARR96+1&gt;=H_Deemed),AKR97,AHE97)</f>
        <v>0</v>
      </c>
      <c r="AOF97" s="20" t="n">
        <f aca="false">IF(AND(H_Direct=0,H_TaxEvt=1,ARS96+1&gt;=H_Deemed),AKS97,AHF97)</f>
        <v>0</v>
      </c>
      <c r="AOG97" s="20" t="n">
        <f aca="false">IF(AND(H_Direct=0,H_TaxEvt=1,ART96+1&gt;=H_Deemed),AKT97,AHG97)</f>
        <v>0</v>
      </c>
      <c r="AOH97" s="20" t="n">
        <f aca="false">IF(AND(H_Direct=0,H_TaxEvt=1,ARU96+1&gt;=H_Deemed),AKU97,AHH97)</f>
        <v>0</v>
      </c>
      <c r="AOI97" s="20" t="n">
        <f aca="false">IF(AND(H_Direct=0,H_TaxEvt=1,ARV96+1&gt;=H_Deemed),AKV97,AHI97)</f>
        <v>0</v>
      </c>
      <c r="AOJ97" s="20" t="n">
        <f aca="false">IF(AND(H_Direct=0,H_TaxEvt=1,ARW96+1&gt;=H_Deemed),AKW97,AHJ97)</f>
        <v>0</v>
      </c>
      <c r="AOK97" s="20" t="n">
        <f aca="false">IF(AND(H_Direct=0,H_TaxEvt=1,ARX96+1&gt;=H_Deemed),AKX97,AHK97)</f>
        <v>0</v>
      </c>
      <c r="AOL97" s="20" t="n">
        <f aca="false">IF(AND(H_Direct=0,H_TaxEvt=1,ARY96+1&gt;=H_Deemed),AKY97,AHL97)</f>
        <v>0</v>
      </c>
      <c r="AOM97" s="20" t="n">
        <f aca="false">IF(AND(H_Direct=0,H_TaxEvt=1,ARZ96+1&gt;=H_Deemed),AKZ97,AHM97)</f>
        <v>0</v>
      </c>
      <c r="AON97" s="20" t="n">
        <f aca="false">IF(AND(H_Direct=0,H_TaxEvt=1,ASA96+1&gt;=H_Deemed),ALA97,AHN97)</f>
        <v>0</v>
      </c>
      <c r="AOO97" s="20" t="n">
        <f aca="false">IF(AND(H_Direct=0,H_TaxEvt=1,ASB96+1&gt;=H_Deemed),ALB97,AHO97)</f>
        <v>0</v>
      </c>
      <c r="AOP97" s="20" t="n">
        <f aca="false">IF(AND(H_Direct=0,H_TaxEvt=1,ASC96+1&gt;=H_Deemed),ALC97,AHP97)</f>
        <v>0</v>
      </c>
      <c r="AOQ97" s="20" t="n">
        <f aca="false">IF(AND(H_Direct=0,H_TaxEvt=1,ASD96+1&gt;=H_Deemed),ALD97,AHQ97)</f>
        <v>0</v>
      </c>
      <c r="AOR97" s="20" t="n">
        <f aca="false">IF(AND(H_Direct=0,H_TaxEvt=1,ASE96+1&gt;=H_Deemed),ALE97,AHR97)</f>
        <v>0</v>
      </c>
      <c r="AOS97" s="20" t="n">
        <f aca="false">IF(AND(H_Direct=0,H_TaxEvt=1,ASF96+1&gt;=H_Deemed),ALF97,AHS97)</f>
        <v>0</v>
      </c>
      <c r="AOT97" s="20" t="n">
        <f aca="false">IF(AND(H_Direct=0,H_TaxEvt=1,ASG96+1&gt;=H_Deemed),ALG97,AHT97)</f>
        <v>0</v>
      </c>
      <c r="AOU97" s="20" t="n">
        <f aca="false">IF(AND(H_Direct=0,H_TaxEvt=1,ASH96+1&gt;=H_Deemed),ALH97,AHU97)</f>
        <v>0</v>
      </c>
      <c r="AOV97" s="20" t="n">
        <f aca="false">IF(AND(H_Direct=0,H_TaxEvt=1,ASI96+1&gt;=H_Deemed),ALI97,AHV97)</f>
        <v>0</v>
      </c>
      <c r="AOW97" s="20" t="n">
        <f aca="false">IF(AND(H_Direct=0,H_TaxEvt=1,ASJ96+1&gt;=H_Deemed),ALJ97,AHW97)</f>
        <v>0</v>
      </c>
      <c r="AOX97" s="20" t="n">
        <f aca="false">IF(AND(H_Direct=0,H_TaxEvt=1,ASK96+1&gt;=H_Deemed),ALK97,AHX97)</f>
        <v>0</v>
      </c>
      <c r="AOY97" s="20" t="n">
        <f aca="false">IF(AND(H_Direct=0,H_TaxEvt=1,ASL96+1&gt;=H_Deemed),ALL97,AHY97)</f>
        <v>0</v>
      </c>
      <c r="AOZ97" s="20" t="n">
        <f aca="false">IF(AND(H_Direct=0,H_TaxEvt=1,ASM96+1&gt;=H_Deemed),ALM97,AHZ97)</f>
        <v>0</v>
      </c>
      <c r="APA97" s="20" t="n">
        <f aca="false">IF(AND(H_Direct=0,H_TaxEvt=1,ASN96+1&gt;=H_Deemed),ALN97,AIA97)</f>
        <v>0</v>
      </c>
      <c r="APB97" s="20" t="n">
        <f aca="false">IF(AND(H_Direct=0,H_TaxEvt=1,ASO96+1&gt;=H_Deemed),ALO97,AIB97)</f>
        <v>0</v>
      </c>
      <c r="APC97" s="20" t="n">
        <f aca="false">IF(AND(H_Direct=0,H_TaxEvt=1,ASP96+1&gt;=H_Deemed),ALP97,AIC97)</f>
        <v>0</v>
      </c>
      <c r="APD97" s="20" t="n">
        <f aca="false">IF(AND(H_Direct=0,H_TaxEvt=1,ASQ96+1&gt;=H_Deemed),ALQ97,AID97)</f>
        <v>0</v>
      </c>
      <c r="APE97" s="20" t="n">
        <f aca="false">IF(AND(H_Direct=0,H_TaxEvt=1,ASR96+1&gt;=H_Deemed),ALR97,AIE97)</f>
        <v>0</v>
      </c>
      <c r="APF97" s="20" t="n">
        <f aca="false">IF(AND(H_Direct=0,H_TaxEvt=1,ASS96+1&gt;=H_Deemed),ALS97,AIF97)</f>
        <v>0</v>
      </c>
      <c r="APG97" s="20" t="n">
        <f aca="false">IF(AND(H_Direct=0,H_TaxEvt=1,AST96+1&gt;=H_Deemed),ALT97,AIG97)</f>
        <v>0</v>
      </c>
      <c r="APH97" s="20" t="n">
        <f aca="false">IF(AND(H_Direct=0,H_TaxEvt=1,ASU96+1&gt;=H_Deemed),ALU97,AIH97)</f>
        <v>0</v>
      </c>
      <c r="API97" s="20" t="n">
        <f aca="false">IF(AND(H_Direct=0,H_TaxEvt=1,ASV96+1&gt;=H_Deemed),ALV97,AII97)</f>
        <v>0</v>
      </c>
      <c r="APJ97" s="20" t="n">
        <f aca="false">IF(AND(H_Direct=0,H_TaxEvt=1,ASW96+1&gt;=H_Deemed),ALW97,AIJ97)</f>
        <v>0</v>
      </c>
      <c r="APK97" s="20" t="n">
        <f aca="false">IF(AND(H_Direct=0,H_TaxEvt=1,ASX96+1&gt;=H_Deemed),ALX97,AIK97)</f>
        <v>0</v>
      </c>
      <c r="APL97" s="20" t="n">
        <f aca="false">IF(AND(H_Direct=0,H_TaxEvt=1,ASY96+1&gt;=H_Deemed),ALY97,AIL97)</f>
        <v>0</v>
      </c>
      <c r="APM97" s="20" t="n">
        <f aca="false">IF(AND(H_Direct=0,H_TaxEvt=1,ASZ96+1&gt;=H_Deemed),ALZ97,AIM97)</f>
        <v>0</v>
      </c>
      <c r="APN97" s="20" t="n">
        <f aca="false">IF(AND(H_Direct=0,H_TaxEvt=1,ATA96+1&gt;=H_Deemed),AMA97,AIN97)</f>
        <v>0</v>
      </c>
      <c r="APO97" s="20" t="n">
        <f aca="false">IF(AND(H_Direct=0,H_TaxEvt=1,ATB96+1&gt;=H_Deemed),AMB97,AIO97)</f>
        <v>0</v>
      </c>
      <c r="APP97" s="20" t="n">
        <f aca="false">IF(AND(H_Direct=0,H_TaxEvt=1,ATC96+1&gt;=H_Deemed),AMC97,AIP97)</f>
        <v>0</v>
      </c>
      <c r="APQ97" s="20" t="n">
        <f aca="false">IF(AND(H_Direct=0,H_TaxEvt=1,ATD96+1&gt;=H_Deemed),AMD97,AIQ97)</f>
        <v>0</v>
      </c>
      <c r="APR97" s="20" t="n">
        <f aca="false">IF(AND(H_Direct=0,H_TaxEvt=1,ATE96+1&gt;=H_Deemed),AME97,AIR97)</f>
        <v>0</v>
      </c>
      <c r="APS97" s="20" t="n">
        <f aca="false">IF(AND(H_Direct=0,H_TaxEvt=1,ATF96+1&gt;=H_Deemed),AMF97,AIS97)</f>
        <v>0</v>
      </c>
      <c r="APT97" s="20" t="n">
        <f aca="false">IF(AND(H_Direct=0,H_TaxEvt=1,ATG96+1&gt;=H_Deemed),AMG97,AIT97)</f>
        <v>0</v>
      </c>
      <c r="APU97" s="20" t="n">
        <f aca="false">IF(AND(H_Direct=0,H_TaxEvt=1,ATH96+1&gt;=H_Deemed),AMH97,AIU97)</f>
        <v>0</v>
      </c>
      <c r="APV97" s="20" t="n">
        <f aca="false">IF(AND(H_Direct=0,H_TaxEvt=1,ATI96+1&gt;=H_Deemed),AMI97,AIV97)</f>
        <v>0</v>
      </c>
      <c r="APW97" s="20" t="n">
        <f aca="false">IF(AND(H_Direct=0,H_TaxEvt=1,ATJ96+1&gt;=H_Deemed),AMJ97,AIW97)</f>
        <v>0</v>
      </c>
      <c r="APX97" s="20" t="n">
        <f aca="false">IF(AND(H_Direct=0,H_TaxEvt=1,ATK96+1&gt;=H_Deemed),AMK97,AIX97)</f>
        <v>0</v>
      </c>
      <c r="APY97" s="20" t="n">
        <f aca="false">IF(AND(H_Direct=0,H_TaxEvt=1,ATL96+1&gt;=H_Deemed),AML97,AIY97)</f>
        <v>0</v>
      </c>
      <c r="APZ97" s="20" t="n">
        <f aca="false">IF(AND(H_Direct=0,H_TaxEvt=1,ATM96+1&gt;=H_Deemed),AMM97,AIZ97)</f>
        <v>0</v>
      </c>
      <c r="AQA97" s="20" t="n">
        <f aca="false">IF(AND(H_Direct=0,H_TaxEvt=1,ATN96+1&gt;=H_Deemed),AMN97,AJA97)</f>
        <v>0</v>
      </c>
      <c r="AQB97" s="20" t="n">
        <f aca="false">IF(AND(H_Direct=0,H_TaxEvt=1,ATO96+1&gt;=H_Deemed),AMO97,AJB97)</f>
        <v>0</v>
      </c>
      <c r="AQC97" s="20" t="n">
        <f aca="false">IF(AND(H_Direct=0,H_TaxEvt=1,ATP96+1&gt;=H_Deemed),AMP97,AJC97)</f>
        <v>0</v>
      </c>
      <c r="AQD97" s="20" t="n">
        <f aca="false">IF(AND(H_Direct=0,H_TaxEvt=1,ATQ96+1&gt;=H_Deemed),AMQ97,AJD97)</f>
        <v>0</v>
      </c>
      <c r="AQE97" s="20" t="n">
        <f aca="false">IF(AND(H_Direct=0,H_TaxEvt=1,ATR96+1&gt;=H_Deemed),AMR97,AJE97)</f>
        <v>0</v>
      </c>
      <c r="AQF97" s="20" t="n">
        <f aca="false">IF(AND(H_Direct=0,H_TaxEvt=1,ATS96+1&gt;=H_Deemed),AMS97,AJF97)</f>
        <v>0</v>
      </c>
      <c r="AQG97" s="20" t="n">
        <f aca="false">IF(AND(H_Direct=0,H_TaxEvt=1,ATT96+1&gt;=H_Deemed),AMT97,AJG97)</f>
        <v>0</v>
      </c>
      <c r="AQH97" s="20" t="n">
        <f aca="false">IF(AND(H_Direct=0,H_TaxEvt=1,ATU96+1&gt;=H_Deemed),AMU97,AJH97)</f>
        <v>0</v>
      </c>
      <c r="AQI97" s="20" t="n">
        <f aca="false">IF(AND(H_Direct=0,H_TaxEvt=1,ATV96+1&gt;=H_Deemed),AMV97,AJI97)</f>
        <v>0</v>
      </c>
      <c r="AQJ97" s="20" t="n">
        <f aca="false">IF(AND(H_Direct=0,H_TaxEvt=1,ATW96+1&gt;=H_Deemed),AMW97,AJJ97)</f>
        <v>0</v>
      </c>
      <c r="AQK97" s="20" t="n">
        <f aca="false">IF(AND(H_Direct=0,H_TaxEvt=1,ATX96+1&gt;=H_Deemed),AMX97,AJK97)</f>
        <v>0</v>
      </c>
      <c r="AQL97" s="20" t="n">
        <f aca="false">IF(AND(H_Direct=0,H_TaxEvt=1,ATY96+1&gt;=H_Deemed),AMY97,AJL97)</f>
        <v>0</v>
      </c>
      <c r="AQM97" s="20" t="n">
        <f aca="false">IF(AND(H_Direct=0,H_TaxEvt=1,ATZ96+1&gt;=H_Deemed),AMZ97,AJM97)</f>
        <v>0</v>
      </c>
      <c r="AQN97" s="20" t="n">
        <f aca="false">IF(AND(H_Direct=0,H_TaxEvt=1,AUA96+1&gt;=H_Deemed),ANA97,AJN97)</f>
        <v>0</v>
      </c>
      <c r="AQO97" s="20" t="n">
        <f aca="false">IF(AND(H_Direct=0,H_TaxEvt=1,AUB96+1&gt;=H_Deemed),ANB97,AJO97)</f>
        <v>0</v>
      </c>
      <c r="AQP97" s="20" t="n">
        <f aca="false">IF(AND(H_Direct=0,H_TaxEvt=1,AUC96+1&gt;=H_Deemed),ANC97,AJP97)</f>
        <v>0</v>
      </c>
      <c r="AQQ97" s="20" t="n">
        <f aca="false">IF(AND(H_Direct=0,H_TaxEvt=1,AUD96+1&gt;=H_Deemed),AND97,AJQ97)</f>
        <v>0</v>
      </c>
      <c r="AQR97" s="20" t="n">
        <f aca="false">IF(AND(H_Direct=0,H_TaxEvt=1,AUE96+1&gt;=H_Deemed),ANE97,AJR97)</f>
        <v>0</v>
      </c>
      <c r="AQS97" s="20" t="n">
        <f aca="false">IF(AND(H_Direct=0,H_TaxEvt=1,AUF96+1&gt;=H_Deemed),ANF97,AJS97)</f>
        <v>0</v>
      </c>
      <c r="AQT97" s="20" t="n">
        <f aca="false">IF(AND(H_Direct=0,H_TaxEvt=1,AUG96+1&gt;=H_Deemed),ANG97,AJT97)</f>
        <v>0</v>
      </c>
      <c r="AQU97" s="20" t="n">
        <f aca="false">IF(AND(H_Direct=0,H_TaxEvt=1,AUH96+1&gt;=H_Deemed),ANH97,AJU97)</f>
        <v>0</v>
      </c>
      <c r="AQV97" s="20" t="n">
        <f aca="false">IF(AND(H_Direct=0,H_TaxEvt=1,AUI96+1&gt;=H_Deemed),ANI97,AJV97)</f>
        <v>0</v>
      </c>
      <c r="AQW97" s="20" t="n">
        <f aca="false">IF(AND(H_Direct=0,H_TaxEvt=1,AUJ96+1&gt;=H_Deemed),ANJ97,AJW97)</f>
        <v>0</v>
      </c>
      <c r="AQX97" s="20" t="n">
        <f aca="false">IF(AND(H_Direct=0,H_TaxEvt=1,AUK96+1&gt;=H_Deemed),ANK97,AJX97)</f>
        <v>0</v>
      </c>
      <c r="AQY97" s="20" t="n">
        <f aca="false">IF(AND(H_Direct=0,H_TaxEvt=1,AUL96+1&gt;=H_Deemed),ANL97,AJY97)</f>
        <v>0</v>
      </c>
      <c r="AQZ97" s="20" t="n">
        <f aca="false">IF(AND(H_Direct=0,H_TaxEvt=1,AUM96+1&gt;=H_Deemed),ANM97,AJZ97)</f>
        <v>0</v>
      </c>
      <c r="ARA97" s="20" t="n">
        <f aca="false">IF(AND(H_Direct=0,H_TaxEvt=1,AUN96+1&gt;=H_Deemed),ANN97,AKA97)</f>
        <v>0</v>
      </c>
      <c r="ARB97" s="20" t="n">
        <f aca="false">IF(AND(H_Direct=0,H_TaxEvt=1,AUO96+1&gt;=H_Deemed),ANO97,AKB97)</f>
        <v>0</v>
      </c>
      <c r="ARC97" s="20" t="n">
        <f aca="false">IF(AND(H_Direct=0,H_TaxEvt=1,AUP96+1&gt;=H_Deemed),ANP97,AKC97)</f>
        <v>0</v>
      </c>
      <c r="ARD97" s="20" t="n">
        <f aca="false">IF(AND(H_Direct=0,H_TaxEvt=1,AUQ96+1&gt;=H_Deemed),ANQ97,AKD97)</f>
        <v>0</v>
      </c>
      <c r="ARE97" s="20" t="n">
        <f aca="false">IF(AND(H_Direct=0,H_TaxEvt=1,AUR96+1&gt;=H_Deemed),ANR97,AKE97)</f>
        <v>0</v>
      </c>
      <c r="ARF97" s="20" t="n">
        <f aca="false">IF(AND(H_Direct=0,H_TaxEvt=1,AUS96+1&gt;=H_Deemed),ANS97,AKF97)</f>
        <v>0</v>
      </c>
      <c r="ARG97" s="20" t="n">
        <f aca="false">IF(AND(H_Direct=0,H_TaxEvt=1,AUT96+1&gt;=H_Deemed),ANT97,AKG97)</f>
        <v>0</v>
      </c>
      <c r="ARH97" s="20" t="n">
        <f aca="false">IF(AND(H_Direct=0,H_TaxEvt=1,AUU96+1&gt;=H_Deemed),ANU97,AKH97)</f>
        <v>0</v>
      </c>
      <c r="ARI97" s="20" t="n">
        <f aca="false">IF(AND(H_Direct=0,H_TaxEvt=1,AUV96+1&gt;=H_Deemed),ANV97,AKI97)</f>
        <v>0</v>
      </c>
      <c r="ARJ97" s="20" t="n">
        <f aca="false">IF(AND(H_Direct=0,H_TaxEvt=1,AUW96+1&gt;=H_Deemed),ANW97,AKJ97)</f>
        <v>0</v>
      </c>
      <c r="ARK97" s="20" t="n">
        <f aca="false">IF(AND(H_Direct=0,H_TaxEvt=1,AUX96+1&gt;=H_Deemed),ANX97,AKK97)</f>
        <v>0</v>
      </c>
      <c r="ARL97" s="20" t="n">
        <f aca="false">IF(AND(H_Direct=0,H_TaxEvt=1,AUY96+1&gt;=H_Deemed),ANY97,AKL97)</f>
        <v>0</v>
      </c>
      <c r="ARM97" s="20" t="n">
        <f aca="false">IF(AND(H_Direct=0,H_TaxEvt=1,AUZ96+1&gt;=H_Deemed),ANZ97,AKM97)</f>
        <v>0</v>
      </c>
      <c r="ARN97" s="20" t="n">
        <f aca="false">IF(AND(H_Direct=0,H_TaxEvt=1,AVA96+1&gt;=H_Deemed),AOA97,AKN97)</f>
        <v>0</v>
      </c>
      <c r="ARO97" s="20" t="n">
        <f aca="false">IF(AND(H_Direct=0,H_TaxEvt=1,AVB96+1&gt;=H_Deemed),AOB97,AKO97)</f>
        <v>0</v>
      </c>
      <c r="ARP97" s="20" t="n">
        <f aca="false">IF(AND(H_Direct=0,H_TaxEvt=1,AVC96+1&gt;=H_Deemed),AOC97,AKP97)</f>
        <v>0</v>
      </c>
      <c r="ARQ97" s="20" t="n">
        <f aca="false">IF(AND(H_Direct=0,H_TaxEvt=1,0+1&gt;=H_Deemed),AOD97,AKQ97)</f>
        <v>0</v>
      </c>
      <c r="ARR97" s="20" t="n">
        <f aca="false">IF(AND(H_Direct=0,H_TaxEvt=1),IF(ARR96+1&gt;=H_Deemed,0,ARR96+1),ARR96)</f>
        <v>2</v>
      </c>
      <c r="ARS97" s="20" t="n">
        <f aca="false">IF(AND(H_Direct=0,H_TaxEvt=1),IF(ARS96+1&gt;=H_Deemed,0,ARS96+1),ARS96)</f>
        <v>2</v>
      </c>
      <c r="ART97" s="20" t="n">
        <f aca="false">IF(AND(H_Direct=0,H_TaxEvt=1),IF(ART96+1&gt;=H_Deemed,0,ART96+1),ART96)</f>
        <v>1</v>
      </c>
      <c r="ARU97" s="20" t="n">
        <f aca="false">IF(AND(H_Direct=0,H_TaxEvt=1),IF(ARU96+1&gt;=H_Deemed,0,ARU96+1),ARU96)</f>
        <v>0</v>
      </c>
      <c r="ARV97" s="20" t="n">
        <f aca="false">IF(AND(H_Direct=0,H_TaxEvt=1),IF(ARV96+1&gt;=H_Deemed,0,ARV96+1),ARV96)</f>
        <v>7</v>
      </c>
      <c r="ARW97" s="20" t="n">
        <f aca="false">IF(AND(H_Direct=0,H_TaxEvt=1),IF(ARW96+1&gt;=H_Deemed,0,ARW96+1),ARW96)</f>
        <v>6</v>
      </c>
      <c r="ARX97" s="20" t="n">
        <f aca="false">IF(AND(H_Direct=0,H_TaxEvt=1),IF(ARX96+1&gt;=H_Deemed,0,ARX96+1),ARX96)</f>
        <v>5</v>
      </c>
      <c r="ARY97" s="20" t="n">
        <f aca="false">IF(AND(H_Direct=0,H_TaxEvt=1),IF(ARY96+1&gt;=H_Deemed,0,ARY96+1),ARY96)</f>
        <v>4</v>
      </c>
      <c r="ARZ97" s="20" t="n">
        <f aca="false">IF(AND(H_Direct=0,H_TaxEvt=1),IF(ARZ96+1&gt;=H_Deemed,0,ARZ96+1),ARZ96)</f>
        <v>3</v>
      </c>
      <c r="ASA97" s="20" t="n">
        <f aca="false">IF(AND(H_Direct=0,H_TaxEvt=1),IF(ASA96+1&gt;=H_Deemed,0,ASA96+1),ASA96)</f>
        <v>2</v>
      </c>
      <c r="ASB97" s="20" t="n">
        <f aca="false">IF(AND(H_Direct=0,H_TaxEvt=1),IF(ASB96+1&gt;=H_Deemed,0,ASB96+1),ASB96)</f>
        <v>1</v>
      </c>
      <c r="ASC97" s="20" t="n">
        <f aca="false">IF(AND(H_Direct=0,H_TaxEvt=1),IF(ASC96+1&gt;=H_Deemed,0,ASC96+1),ASC96)</f>
        <v>0</v>
      </c>
      <c r="ASD97" s="20" t="n">
        <f aca="false">IF(AND(H_Direct=0,H_TaxEvt=1),IF(ASD96+1&gt;=H_Deemed,0,ASD96+1),ASD96)</f>
        <v>7</v>
      </c>
      <c r="ASE97" s="20" t="n">
        <f aca="false">IF(AND(H_Direct=0,H_TaxEvt=1),IF(ASE96+1&gt;=H_Deemed,0,ASE96+1),ASE96)</f>
        <v>6</v>
      </c>
      <c r="ASF97" s="20" t="n">
        <f aca="false">IF(AND(H_Direct=0,H_TaxEvt=1),IF(ASF96+1&gt;=H_Deemed,0,ASF96+1),ASF96)</f>
        <v>5</v>
      </c>
      <c r="ASG97" s="20" t="n">
        <f aca="false">IF(AND(H_Direct=0,H_TaxEvt=1),IF(ASG96+1&gt;=H_Deemed,0,ASG96+1),ASG96)</f>
        <v>4</v>
      </c>
      <c r="ASH97" s="20" t="n">
        <f aca="false">IF(AND(H_Direct=0,H_TaxEvt=1),IF(ASH96+1&gt;=H_Deemed,0,ASH96+1),ASH96)</f>
        <v>3</v>
      </c>
      <c r="ASI97" s="20" t="n">
        <f aca="false">IF(AND(H_Direct=0,H_TaxEvt=1),IF(ASI96+1&gt;=H_Deemed,0,ASI96+1),ASI96)</f>
        <v>2</v>
      </c>
      <c r="ASJ97" s="20" t="n">
        <f aca="false">IF(AND(H_Direct=0,H_TaxEvt=1),IF(ASJ96+1&gt;=H_Deemed,0,ASJ96+1),ASJ96)</f>
        <v>1</v>
      </c>
      <c r="ASK97" s="20" t="n">
        <f aca="false">IF(AND(H_Direct=0,H_TaxEvt=1),IF(ASK96+1&gt;=H_Deemed,0,ASK96+1),ASK96)</f>
        <v>0</v>
      </c>
      <c r="ASL97" s="20" t="n">
        <f aca="false">IF(AND(H_Direct=0,H_TaxEvt=1),IF(ASL96+1&gt;=H_Deemed,0,ASL96+1),ASL96)</f>
        <v>7</v>
      </c>
      <c r="ASM97" s="20" t="n">
        <f aca="false">IF(AND(H_Direct=0,H_TaxEvt=1),IF(ASM96+1&gt;=H_Deemed,0,ASM96+1),ASM96)</f>
        <v>6</v>
      </c>
      <c r="ASN97" s="20" t="n">
        <f aca="false">IF(AND(H_Direct=0,H_TaxEvt=1),IF(ASN96+1&gt;=H_Deemed,0,ASN96+1),ASN96)</f>
        <v>5</v>
      </c>
      <c r="ASO97" s="20" t="n">
        <f aca="false">IF(AND(H_Direct=0,H_TaxEvt=1),IF(ASO96+1&gt;=H_Deemed,0,ASO96+1),ASO96)</f>
        <v>4</v>
      </c>
      <c r="ASP97" s="20" t="n">
        <f aca="false">IF(AND(H_Direct=0,H_TaxEvt=1),IF(ASP96+1&gt;=H_Deemed,0,ASP96+1),ASP96)</f>
        <v>3</v>
      </c>
      <c r="ASQ97" s="20" t="n">
        <f aca="false">IF(AND(H_Direct=0,H_TaxEvt=1),IF(ASQ96+1&gt;=H_Deemed,0,ASQ96+1),ASQ96)</f>
        <v>2</v>
      </c>
      <c r="ASR97" s="20" t="n">
        <f aca="false">IF(AND(H_Direct=0,H_TaxEvt=1),IF(ASR96+1&gt;=H_Deemed,0,ASR96+1),ASR96)</f>
        <v>1</v>
      </c>
      <c r="ASS97" s="20" t="n">
        <f aca="false">IF(AND(H_Direct=0,H_TaxEvt=1),IF(ASS96+1&gt;=H_Deemed,0,ASS96+1),ASS96)</f>
        <v>0</v>
      </c>
      <c r="AST97" s="20" t="n">
        <f aca="false">IF(AND(H_Direct=0,H_TaxEvt=1),IF(AST96+1&gt;=H_Deemed,0,AST96+1),AST96)</f>
        <v>7</v>
      </c>
      <c r="ASU97" s="20" t="n">
        <f aca="false">IF(AND(H_Direct=0,H_TaxEvt=1),IF(ASU96+1&gt;=H_Deemed,0,ASU96+1),ASU96)</f>
        <v>6</v>
      </c>
      <c r="ASV97" s="20" t="n">
        <f aca="false">IF(AND(H_Direct=0,H_TaxEvt=1),IF(ASV96+1&gt;=H_Deemed,0,ASV96+1),ASV96)</f>
        <v>5</v>
      </c>
      <c r="ASW97" s="20" t="n">
        <f aca="false">IF(AND(H_Direct=0,H_TaxEvt=1),IF(ASW96+1&gt;=H_Deemed,0,ASW96+1),ASW96)</f>
        <v>4</v>
      </c>
      <c r="ASX97" s="20" t="n">
        <f aca="false">IF(AND(H_Direct=0,H_TaxEvt=1),IF(ASX96+1&gt;=H_Deemed,0,ASX96+1),ASX96)</f>
        <v>3</v>
      </c>
      <c r="ASY97" s="20" t="n">
        <f aca="false">IF(AND(H_Direct=0,H_TaxEvt=1),IF(ASY96+1&gt;=H_Deemed,0,ASY96+1),ASY96)</f>
        <v>2</v>
      </c>
      <c r="ASZ97" s="20" t="n">
        <f aca="false">IF(AND(H_Direct=0,H_TaxEvt=1),IF(ASZ96+1&gt;=H_Deemed,0,ASZ96+1),ASZ96)</f>
        <v>1</v>
      </c>
      <c r="ATA97" s="20" t="n">
        <f aca="false">IF(AND(H_Direct=0,H_TaxEvt=1),IF(ATA96+1&gt;=H_Deemed,0,ATA96+1),ATA96)</f>
        <v>0</v>
      </c>
      <c r="ATB97" s="20" t="n">
        <f aca="false">IF(AND(H_Direct=0,H_TaxEvt=1),IF(ATB96+1&gt;=H_Deemed,0,ATB96+1),ATB96)</f>
        <v>7</v>
      </c>
      <c r="ATC97" s="20" t="n">
        <f aca="false">IF(AND(H_Direct=0,H_TaxEvt=1),IF(ATC96+1&gt;=H_Deemed,0,ATC96+1),ATC96)</f>
        <v>6</v>
      </c>
      <c r="ATD97" s="20" t="n">
        <f aca="false">IF(AND(H_Direct=0,H_TaxEvt=1),IF(ATD96+1&gt;=H_Deemed,0,ATD96+1),ATD96)</f>
        <v>5</v>
      </c>
      <c r="ATE97" s="20" t="n">
        <f aca="false">IF(AND(H_Direct=0,H_TaxEvt=1),IF(ATE96+1&gt;=H_Deemed,0,ATE96+1),ATE96)</f>
        <v>4</v>
      </c>
      <c r="ATF97" s="20" t="n">
        <f aca="false">IF(AND(H_Direct=0,H_TaxEvt=1),IF(ATF96+1&gt;=H_Deemed,0,ATF96+1),ATF96)</f>
        <v>3</v>
      </c>
      <c r="ATG97" s="20" t="n">
        <f aca="false">IF(AND(H_Direct=0,H_TaxEvt=1),IF(ATG96+1&gt;=H_Deemed,0,ATG96+1),ATG96)</f>
        <v>2</v>
      </c>
      <c r="ATH97" s="20" t="n">
        <f aca="false">IF(AND(H_Direct=0,H_TaxEvt=1),IF(ATH96+1&gt;=H_Deemed,0,ATH96+1),ATH96)</f>
        <v>1</v>
      </c>
      <c r="ATI97" s="20" t="n">
        <f aca="false">IF(AND(H_Direct=0,H_TaxEvt=1),IF(ATI96+1&gt;=H_Deemed,0,ATI96+1),ATI96)</f>
        <v>0</v>
      </c>
      <c r="ATJ97" s="20" t="n">
        <f aca="false">IF(AND(H_Direct=0,H_TaxEvt=1),IF(ATJ96+1&gt;=H_Deemed,0,ATJ96+1),ATJ96)</f>
        <v>7</v>
      </c>
      <c r="ATK97" s="20" t="n">
        <f aca="false">IF(AND(H_Direct=0,H_TaxEvt=1),IF(ATK96+1&gt;=H_Deemed,0,ATK96+1),ATK96)</f>
        <v>6</v>
      </c>
      <c r="ATL97" s="20" t="n">
        <f aca="false">IF(AND(H_Direct=0,H_TaxEvt=1),IF(ATL96+1&gt;=H_Deemed,0,ATL96+1),ATL96)</f>
        <v>5</v>
      </c>
      <c r="ATM97" s="20" t="n">
        <f aca="false">IF(AND(H_Direct=0,H_TaxEvt=1),IF(ATM96+1&gt;=H_Deemed,0,ATM96+1),ATM96)</f>
        <v>4</v>
      </c>
      <c r="ATN97" s="20" t="n">
        <f aca="false">IF(AND(H_Direct=0,H_TaxEvt=1),IF(ATN96+1&gt;=H_Deemed,0,ATN96+1),ATN96)</f>
        <v>3</v>
      </c>
      <c r="ATO97" s="20" t="n">
        <f aca="false">IF(AND(H_Direct=0,H_TaxEvt=1),IF(ATO96+1&gt;=H_Deemed,0,ATO96+1),ATO96)</f>
        <v>2</v>
      </c>
      <c r="ATP97" s="20" t="n">
        <f aca="false">IF(AND(H_Direct=0,H_TaxEvt=1),IF(ATP96+1&gt;=H_Deemed,0,ATP96+1),ATP96)</f>
        <v>1</v>
      </c>
      <c r="ATQ97" s="20" t="n">
        <f aca="false">IF(AND(H_Direct=0,H_TaxEvt=1),IF(ATQ96+1&gt;=H_Deemed,0,ATQ96+1),ATQ96)</f>
        <v>0</v>
      </c>
      <c r="ATR97" s="20" t="n">
        <f aca="false">IF(AND(H_Direct=0,H_TaxEvt=1),IF(ATR96+1&gt;=H_Deemed,0,ATR96+1),ATR96)</f>
        <v>7</v>
      </c>
      <c r="ATS97" s="20" t="n">
        <f aca="false">IF(AND(H_Direct=0,H_TaxEvt=1),IF(ATS96+1&gt;=H_Deemed,0,ATS96+1),ATS96)</f>
        <v>6</v>
      </c>
      <c r="ATT97" s="20" t="n">
        <f aca="false">IF(AND(H_Direct=0,H_TaxEvt=1),IF(ATT96+1&gt;=H_Deemed,0,ATT96+1),ATT96)</f>
        <v>5</v>
      </c>
      <c r="ATU97" s="20" t="n">
        <f aca="false">IF(AND(H_Direct=0,H_TaxEvt=1),IF(ATU96+1&gt;=H_Deemed,0,ATU96+1),ATU96)</f>
        <v>4</v>
      </c>
      <c r="ATV97" s="20" t="n">
        <f aca="false">IF(AND(H_Direct=0,H_TaxEvt=1),IF(ATV96+1&gt;=H_Deemed,0,ATV96+1),ATV96)</f>
        <v>3</v>
      </c>
      <c r="ATW97" s="20" t="n">
        <f aca="false">IF(AND(H_Direct=0,H_TaxEvt=1),IF(ATW96+1&gt;=H_Deemed,0,ATW96+1),ATW96)</f>
        <v>2</v>
      </c>
      <c r="ATX97" s="20" t="n">
        <f aca="false">IF(AND(H_Direct=0,H_TaxEvt=1),IF(ATX96+1&gt;=H_Deemed,0,ATX96+1),ATX96)</f>
        <v>1</v>
      </c>
      <c r="ATY97" s="20" t="n">
        <f aca="false">IF(AND(H_Direct=0,H_TaxEvt=1),IF(ATY96+1&gt;=H_Deemed,0,ATY96+1),ATY96)</f>
        <v>0</v>
      </c>
      <c r="ATZ97" s="20" t="n">
        <f aca="false">IF(AND(H_Direct=0,H_TaxEvt=1),IF(ATZ96+1&gt;=H_Deemed,0,ATZ96+1),ATZ96)</f>
        <v>7</v>
      </c>
      <c r="AUA97" s="20" t="n">
        <f aca="false">IF(AND(H_Direct=0,H_TaxEvt=1),IF(AUA96+1&gt;=H_Deemed,0,AUA96+1),AUA96)</f>
        <v>6</v>
      </c>
      <c r="AUB97" s="20" t="n">
        <f aca="false">IF(AND(H_Direct=0,H_TaxEvt=1),IF(AUB96+1&gt;=H_Deemed,0,AUB96+1),AUB96)</f>
        <v>5</v>
      </c>
      <c r="AUC97" s="20" t="n">
        <f aca="false">IF(AND(H_Direct=0,H_TaxEvt=1),IF(AUC96+1&gt;=H_Deemed,0,AUC96+1),AUC96)</f>
        <v>4</v>
      </c>
      <c r="AUD97" s="20" t="n">
        <f aca="false">IF(AND(H_Direct=0,H_TaxEvt=1),IF(AUD96+1&gt;=H_Deemed,0,AUD96+1),AUD96)</f>
        <v>3</v>
      </c>
      <c r="AUE97" s="20" t="n">
        <f aca="false">IF(AND(H_Direct=0,H_TaxEvt=1),IF(AUE96+1&gt;=H_Deemed,0,AUE96+1),AUE96)</f>
        <v>2</v>
      </c>
      <c r="AUF97" s="20" t="n">
        <f aca="false">IF(AND(H_Direct=0,H_TaxEvt=1),IF(AUF96+1&gt;=H_Deemed,0,AUF96+1),AUF96)</f>
        <v>1</v>
      </c>
      <c r="AUG97" s="20" t="n">
        <f aca="false">IF(AND(H_Direct=0,H_TaxEvt=1),IF(AUG96+1&gt;=H_Deemed,0,AUG96+1),AUG96)</f>
        <v>0</v>
      </c>
      <c r="AUH97" s="20" t="n">
        <f aca="false">IF(AND(H_Direct=0,H_TaxEvt=1),IF(AUH96+1&gt;=H_Deemed,0,AUH96+1),AUH96)</f>
        <v>7</v>
      </c>
      <c r="AUI97" s="20" t="n">
        <f aca="false">IF(AND(H_Direct=0,H_TaxEvt=1),IF(AUI96+1&gt;=H_Deemed,0,AUI96+1),AUI96)</f>
        <v>6</v>
      </c>
      <c r="AUJ97" s="20" t="n">
        <f aca="false">IF(AND(H_Direct=0,H_TaxEvt=1),IF(AUJ96+1&gt;=H_Deemed,0,AUJ96+1),AUJ96)</f>
        <v>5</v>
      </c>
      <c r="AUK97" s="20" t="n">
        <f aca="false">IF(AND(H_Direct=0,H_TaxEvt=1),IF(AUK96+1&gt;=H_Deemed,0,AUK96+1),AUK96)</f>
        <v>4</v>
      </c>
      <c r="AUL97" s="20" t="n">
        <f aca="false">IF(AND(H_Direct=0,H_TaxEvt=1),IF(AUL96+1&gt;=H_Deemed,0,AUL96+1),AUL96)</f>
        <v>3</v>
      </c>
      <c r="AUM97" s="20" t="n">
        <f aca="false">IF(AND(H_Direct=0,H_TaxEvt=1),IF(AUM96+1&gt;=H_Deemed,0,AUM96+1),AUM96)</f>
        <v>2</v>
      </c>
      <c r="AUN97" s="20" t="n">
        <f aca="false">IF(AND(H_Direct=0,H_TaxEvt=1),IF(AUN96+1&gt;=H_Deemed,0,AUN96+1),AUN96)</f>
        <v>1</v>
      </c>
      <c r="AUO97" s="20" t="n">
        <f aca="false">IF(AND(H_Direct=0,H_TaxEvt=1),IF(AUO96+1&gt;=H_Deemed,0,AUO96+1),AUO96)</f>
        <v>0</v>
      </c>
      <c r="AUP97" s="20" t="n">
        <f aca="false">IF(AND(H_Direct=0,H_TaxEvt=1),IF(AUP96+1&gt;=H_Deemed,0,AUP96+1),AUP96)</f>
        <v>7</v>
      </c>
      <c r="AUQ97" s="20" t="n">
        <f aca="false">IF(AND(H_Direct=0,H_TaxEvt=1),IF(AUQ96+1&gt;=H_Deemed,0,AUQ96+1),AUQ96)</f>
        <v>6</v>
      </c>
      <c r="AUR97" s="20" t="n">
        <f aca="false">IF(AND(H_Direct=0,H_TaxEvt=1),IF(AUR96+1&gt;=H_Deemed,0,AUR96+1),AUR96)</f>
        <v>5</v>
      </c>
      <c r="AUS97" s="20" t="n">
        <f aca="false">IF(AND(H_Direct=0,H_TaxEvt=1),IF(AUS96+1&gt;=H_Deemed,0,AUS96+1),AUS96)</f>
        <v>4</v>
      </c>
      <c r="AUT97" s="20" t="n">
        <f aca="false">IF(AND(H_Direct=0,H_TaxEvt=1),IF(AUT96+1&gt;=H_Deemed,0,AUT96+1),AUT96)</f>
        <v>3</v>
      </c>
      <c r="AUU97" s="20" t="n">
        <f aca="false">IF(AND(H_Direct=0,H_TaxEvt=1),IF(AUU96+1&gt;=H_Deemed,0,AUU96+1),AUU96)</f>
        <v>2</v>
      </c>
      <c r="AUV97" s="20" t="n">
        <f aca="false">IF(AND(H_Direct=0,H_TaxEvt=1),IF(AUV96+1&gt;=H_Deemed,0,AUV96+1),AUV96)</f>
        <v>1</v>
      </c>
      <c r="AUW97" s="20" t="n">
        <f aca="false">IF(AND(H_Direct=0,H_TaxEvt=1),IF(AUW96+1&gt;=H_Deemed,0,AUW96+1),AUW96)</f>
        <v>0</v>
      </c>
      <c r="AUX97" s="20" t="n">
        <f aca="false">IF(AND(H_Direct=0,H_TaxEvt=1),IF(AUX96+1&gt;=H_Deemed,0,AUX96+1),AUX96)</f>
        <v>7</v>
      </c>
      <c r="AUY97" s="20" t="n">
        <f aca="false">IF(AND(H_Direct=0,H_TaxEvt=1),IF(AUY96+1&gt;=H_Deemed,0,AUY96+1),AUY96)</f>
        <v>6</v>
      </c>
      <c r="AUZ97" s="20" t="n">
        <f aca="false">IF(AND(H_Direct=0,H_TaxEvt=1),IF(AUZ96+1&gt;=H_Deemed,0,AUZ96+1),AUZ96)</f>
        <v>5</v>
      </c>
      <c r="AVA97" s="20" t="n">
        <f aca="false">IF(AND(H_Direct=0,H_TaxEvt=1),IF(AVA96+1&gt;=H_Deemed,0,AVA96+1),AVA96)</f>
        <v>4</v>
      </c>
      <c r="AVB97" s="20" t="n">
        <f aca="false">IF(AND(H_Direct=0,H_TaxEvt=1),IF(AVB96+1&gt;=H_Deemed,0,AVB96+1),AVB96)</f>
        <v>3</v>
      </c>
      <c r="AVC97" s="20" t="n">
        <f aca="false">IF(AND(H_Direct=0,H_TaxEvt=1),IF(AVC96+1&gt;=H_Deemed,0,AVC96+1),AVC96)</f>
        <v>2</v>
      </c>
      <c r="AVD97" s="20" t="n">
        <f aca="false">IF(AND(H_Direct=0,H_TaxEvt=1),IF(0+1&gt;=H_Deemed,0,0+1),0)</f>
        <v>1</v>
      </c>
      <c r="AVE97" s="20" t="n">
        <f aca="false">IF(AND(H_Direct=0,H_TaxEvt=1,ARR96+1&gt;=H_Deemed),MAX(0,ADR97-AHE97)*H_Exit,0)</f>
        <v>0</v>
      </c>
      <c r="AVF97" s="20" t="n">
        <f aca="false">IF(AND(H_Direct=0,H_TaxEvt=1,ARS96+1&gt;=H_Deemed),MAX(0,ADS97-AHF97)*H_Exit,0)</f>
        <v>0</v>
      </c>
      <c r="AVG97" s="20" t="n">
        <f aca="false">IF(AND(H_Direct=0,H_TaxEvt=1,ART96+1&gt;=H_Deemed),MAX(0,ADT97-AHG97)*H_Exit,0)</f>
        <v>0</v>
      </c>
      <c r="AVH97" s="20" t="n">
        <f aca="false">IF(AND(H_Direct=0,H_TaxEvt=1,ARU96+1&gt;=H_Deemed),MAX(0,ADU97-AHH97)*H_Exit,0)</f>
        <v>0</v>
      </c>
      <c r="AVI97" s="20" t="n">
        <f aca="false">IF(AND(H_Direct=0,H_TaxEvt=1,ARV96+1&gt;=H_Deemed),MAX(0,ADV97-AHI97)*H_Exit,0)</f>
        <v>0</v>
      </c>
      <c r="AVJ97" s="20" t="n">
        <f aca="false">IF(AND(H_Direct=0,H_TaxEvt=1,ARW96+1&gt;=H_Deemed),MAX(0,ADW97-AHJ97)*H_Exit,0)</f>
        <v>0</v>
      </c>
      <c r="AVK97" s="20" t="n">
        <f aca="false">IF(AND(H_Direct=0,H_TaxEvt=1,ARX96+1&gt;=H_Deemed),MAX(0,ADX97-AHK97)*H_Exit,0)</f>
        <v>0</v>
      </c>
      <c r="AVL97" s="20" t="n">
        <f aca="false">IF(AND(H_Direct=0,H_TaxEvt=1,ARY96+1&gt;=H_Deemed),MAX(0,ADY97-AHL97)*H_Exit,0)</f>
        <v>0</v>
      </c>
      <c r="AVM97" s="20" t="n">
        <f aca="false">IF(AND(H_Direct=0,H_TaxEvt=1,ARZ96+1&gt;=H_Deemed),MAX(0,ADZ97-AHM97)*H_Exit,0)</f>
        <v>0</v>
      </c>
      <c r="AVN97" s="20" t="n">
        <f aca="false">IF(AND(H_Direct=0,H_TaxEvt=1,ASA96+1&gt;=H_Deemed),MAX(0,AEA97-AHN97)*H_Exit,0)</f>
        <v>0</v>
      </c>
      <c r="AVO97" s="20" t="n">
        <f aca="false">IF(AND(H_Direct=0,H_TaxEvt=1,ASB96+1&gt;=H_Deemed),MAX(0,AEB97-AHO97)*H_Exit,0)</f>
        <v>0</v>
      </c>
      <c r="AVP97" s="20" t="n">
        <f aca="false">IF(AND(H_Direct=0,H_TaxEvt=1,ASC96+1&gt;=H_Deemed),MAX(0,AEC97-AHP97)*H_Exit,0)</f>
        <v>0</v>
      </c>
      <c r="AVQ97" s="20" t="n">
        <f aca="false">IF(AND(H_Direct=0,H_TaxEvt=1,ASD96+1&gt;=H_Deemed),MAX(0,AED97-AHQ97)*H_Exit,0)</f>
        <v>0</v>
      </c>
      <c r="AVR97" s="20" t="n">
        <f aca="false">IF(AND(H_Direct=0,H_TaxEvt=1,ASE96+1&gt;=H_Deemed),MAX(0,AEE97-AHR97)*H_Exit,0)</f>
        <v>0</v>
      </c>
      <c r="AVS97" s="20" t="n">
        <f aca="false">IF(AND(H_Direct=0,H_TaxEvt=1,ASF96+1&gt;=H_Deemed),MAX(0,AEF97-AHS97)*H_Exit,0)</f>
        <v>0</v>
      </c>
      <c r="AVT97" s="20" t="n">
        <f aca="false">IF(AND(H_Direct=0,H_TaxEvt=1,ASG96+1&gt;=H_Deemed),MAX(0,AEG97-AHT97)*H_Exit,0)</f>
        <v>0</v>
      </c>
      <c r="AVU97" s="20" t="n">
        <f aca="false">IF(AND(H_Direct=0,H_TaxEvt=1,ASH96+1&gt;=H_Deemed),MAX(0,AEH97-AHU97)*H_Exit,0)</f>
        <v>0</v>
      </c>
      <c r="AVV97" s="20" t="n">
        <f aca="false">IF(AND(H_Direct=0,H_TaxEvt=1,ASI96+1&gt;=H_Deemed),MAX(0,AEI97-AHV97)*H_Exit,0)</f>
        <v>0</v>
      </c>
      <c r="AVW97" s="20" t="n">
        <f aca="false">IF(AND(H_Direct=0,H_TaxEvt=1,ASJ96+1&gt;=H_Deemed),MAX(0,AEJ97-AHW97)*H_Exit,0)</f>
        <v>0</v>
      </c>
      <c r="AVX97" s="20" t="n">
        <f aca="false">IF(AND(H_Direct=0,H_TaxEvt=1,ASK96+1&gt;=H_Deemed),MAX(0,AEK97-AHX97)*H_Exit,0)</f>
        <v>0</v>
      </c>
      <c r="AVY97" s="20" t="n">
        <f aca="false">IF(AND(H_Direct=0,H_TaxEvt=1,ASL96+1&gt;=H_Deemed),MAX(0,AEL97-AHY97)*H_Exit,0)</f>
        <v>0</v>
      </c>
      <c r="AVZ97" s="20" t="n">
        <f aca="false">IF(AND(H_Direct=0,H_TaxEvt=1,ASM96+1&gt;=H_Deemed),MAX(0,AEM97-AHZ97)*H_Exit,0)</f>
        <v>0</v>
      </c>
      <c r="AWA97" s="20" t="n">
        <f aca="false">IF(AND(H_Direct=0,H_TaxEvt=1,ASN96+1&gt;=H_Deemed),MAX(0,AEN97-AIA97)*H_Exit,0)</f>
        <v>0</v>
      </c>
      <c r="AWB97" s="20" t="n">
        <f aca="false">IF(AND(H_Direct=0,H_TaxEvt=1,ASO96+1&gt;=H_Deemed),MAX(0,AEO97-AIB97)*H_Exit,0)</f>
        <v>0</v>
      </c>
      <c r="AWC97" s="20" t="n">
        <f aca="false">IF(AND(H_Direct=0,H_TaxEvt=1,ASP96+1&gt;=H_Deemed),MAX(0,AEP97-AIC97)*H_Exit,0)</f>
        <v>0</v>
      </c>
      <c r="AWD97" s="20" t="n">
        <f aca="false">IF(AND(H_Direct=0,H_TaxEvt=1,ASQ96+1&gt;=H_Deemed),MAX(0,AEQ97-AID97)*H_Exit,0)</f>
        <v>0</v>
      </c>
      <c r="AWE97" s="20" t="n">
        <f aca="false">IF(AND(H_Direct=0,H_TaxEvt=1,ASR96+1&gt;=H_Deemed),MAX(0,AER97-AIE97)*H_Exit,0)</f>
        <v>0</v>
      </c>
      <c r="AWF97" s="20" t="n">
        <f aca="false">IF(AND(H_Direct=0,H_TaxEvt=1,ASS96+1&gt;=H_Deemed),MAX(0,AES97-AIF97)*H_Exit,0)</f>
        <v>0</v>
      </c>
      <c r="AWG97" s="20" t="n">
        <f aca="false">IF(AND(H_Direct=0,H_TaxEvt=1,AST96+1&gt;=H_Deemed),MAX(0,AET97-AIG97)*H_Exit,0)</f>
        <v>0</v>
      </c>
      <c r="AWH97" s="20" t="n">
        <f aca="false">IF(AND(H_Direct=0,H_TaxEvt=1,ASU96+1&gt;=H_Deemed),MAX(0,AEU97-AIH97)*H_Exit,0)</f>
        <v>0</v>
      </c>
      <c r="AWI97" s="20" t="n">
        <f aca="false">IF(AND(H_Direct=0,H_TaxEvt=1,ASV96+1&gt;=H_Deemed),MAX(0,AEV97-AII97)*H_Exit,0)</f>
        <v>0</v>
      </c>
      <c r="AWJ97" s="20" t="n">
        <f aca="false">IF(AND(H_Direct=0,H_TaxEvt=1,ASW96+1&gt;=H_Deemed),MAX(0,AEW97-AIJ97)*H_Exit,0)</f>
        <v>0</v>
      </c>
      <c r="AWK97" s="20" t="n">
        <f aca="false">IF(AND(H_Direct=0,H_TaxEvt=1,ASX96+1&gt;=H_Deemed),MAX(0,AEX97-AIK97)*H_Exit,0)</f>
        <v>0</v>
      </c>
      <c r="AWL97" s="20" t="n">
        <f aca="false">IF(AND(H_Direct=0,H_TaxEvt=1,ASY96+1&gt;=H_Deemed),MAX(0,AEY97-AIL97)*H_Exit,0)</f>
        <v>0</v>
      </c>
      <c r="AWM97" s="20" t="n">
        <f aca="false">IF(AND(H_Direct=0,H_TaxEvt=1,ASZ96+1&gt;=H_Deemed),MAX(0,AEZ97-AIM97)*H_Exit,0)</f>
        <v>0</v>
      </c>
      <c r="AWN97" s="20" t="n">
        <f aca="false">IF(AND(H_Direct=0,H_TaxEvt=1,ATA96+1&gt;=H_Deemed),MAX(0,AFA97-AIN97)*H_Exit,0)</f>
        <v>0</v>
      </c>
      <c r="AWO97" s="20" t="n">
        <f aca="false">IF(AND(H_Direct=0,H_TaxEvt=1,ATB96+1&gt;=H_Deemed),MAX(0,AFB97-AIO97)*H_Exit,0)</f>
        <v>0</v>
      </c>
      <c r="AWP97" s="20" t="n">
        <f aca="false">IF(AND(H_Direct=0,H_TaxEvt=1,ATC96+1&gt;=H_Deemed),MAX(0,AFC97-AIP97)*H_Exit,0)</f>
        <v>0</v>
      </c>
      <c r="AWQ97" s="20" t="n">
        <f aca="false">IF(AND(H_Direct=0,H_TaxEvt=1,ATD96+1&gt;=H_Deemed),MAX(0,AFD97-AIQ97)*H_Exit,0)</f>
        <v>0</v>
      </c>
      <c r="AWR97" s="20" t="n">
        <f aca="false">IF(AND(H_Direct=0,H_TaxEvt=1,ATE96+1&gt;=H_Deemed),MAX(0,AFE97-AIR97)*H_Exit,0)</f>
        <v>0</v>
      </c>
      <c r="AWS97" s="20" t="n">
        <f aca="false">IF(AND(H_Direct=0,H_TaxEvt=1,ATF96+1&gt;=H_Deemed),MAX(0,AFF97-AIS97)*H_Exit,0)</f>
        <v>0</v>
      </c>
      <c r="AWT97" s="20" t="n">
        <f aca="false">IF(AND(H_Direct=0,H_TaxEvt=1,ATG96+1&gt;=H_Deemed),MAX(0,AFG97-AIT97)*H_Exit,0)</f>
        <v>0</v>
      </c>
      <c r="AWU97" s="20" t="n">
        <f aca="false">IF(AND(H_Direct=0,H_TaxEvt=1,ATH96+1&gt;=H_Deemed),MAX(0,AFH97-AIU97)*H_Exit,0)</f>
        <v>0</v>
      </c>
      <c r="AWV97" s="20" t="n">
        <f aca="false">IF(AND(H_Direct=0,H_TaxEvt=1,ATI96+1&gt;=H_Deemed),MAX(0,AFI97-AIV97)*H_Exit,0)</f>
        <v>0</v>
      </c>
      <c r="AWW97" s="20" t="n">
        <f aca="false">IF(AND(H_Direct=0,H_TaxEvt=1,ATJ96+1&gt;=H_Deemed),MAX(0,AFJ97-AIW97)*H_Exit,0)</f>
        <v>0</v>
      </c>
      <c r="AWX97" s="20" t="n">
        <f aca="false">IF(AND(H_Direct=0,H_TaxEvt=1,ATK96+1&gt;=H_Deemed),MAX(0,AFK97-AIX97)*H_Exit,0)</f>
        <v>0</v>
      </c>
      <c r="AWY97" s="20" t="n">
        <f aca="false">IF(AND(H_Direct=0,H_TaxEvt=1,ATL96+1&gt;=H_Deemed),MAX(0,AFL97-AIY97)*H_Exit,0)</f>
        <v>0</v>
      </c>
      <c r="AWZ97" s="20" t="n">
        <f aca="false">IF(AND(H_Direct=0,H_TaxEvt=1,ATM96+1&gt;=H_Deemed),MAX(0,AFM97-AIZ97)*H_Exit,0)</f>
        <v>0</v>
      </c>
      <c r="AXA97" s="20" t="n">
        <f aca="false">IF(AND(H_Direct=0,H_TaxEvt=1,ATN96+1&gt;=H_Deemed),MAX(0,AFN97-AJA97)*H_Exit,0)</f>
        <v>0</v>
      </c>
      <c r="AXB97" s="20" t="n">
        <f aca="false">IF(AND(H_Direct=0,H_TaxEvt=1,ATO96+1&gt;=H_Deemed),MAX(0,AFO97-AJB97)*H_Exit,0)</f>
        <v>0</v>
      </c>
      <c r="AXC97" s="20" t="n">
        <f aca="false">IF(AND(H_Direct=0,H_TaxEvt=1,ATP96+1&gt;=H_Deemed),MAX(0,AFP97-AJC97)*H_Exit,0)</f>
        <v>0</v>
      </c>
      <c r="AXD97" s="20" t="n">
        <f aca="false">IF(AND(H_Direct=0,H_TaxEvt=1,ATQ96+1&gt;=H_Deemed),MAX(0,AFQ97-AJD97)*H_Exit,0)</f>
        <v>0</v>
      </c>
      <c r="AXE97" s="20" t="n">
        <f aca="false">IF(AND(H_Direct=0,H_TaxEvt=1,ATR96+1&gt;=H_Deemed),MAX(0,AFR97-AJE97)*H_Exit,0)</f>
        <v>0</v>
      </c>
      <c r="AXF97" s="20" t="n">
        <f aca="false">IF(AND(H_Direct=0,H_TaxEvt=1,ATS96+1&gt;=H_Deemed),MAX(0,AFS97-AJF97)*H_Exit,0)</f>
        <v>0</v>
      </c>
      <c r="AXG97" s="20" t="n">
        <f aca="false">IF(AND(H_Direct=0,H_TaxEvt=1,ATT96+1&gt;=H_Deemed),MAX(0,AFT97-AJG97)*H_Exit,0)</f>
        <v>0</v>
      </c>
      <c r="AXH97" s="20" t="n">
        <f aca="false">IF(AND(H_Direct=0,H_TaxEvt=1,ATU96+1&gt;=H_Deemed),MAX(0,AFU97-AJH97)*H_Exit,0)</f>
        <v>0</v>
      </c>
      <c r="AXI97" s="20" t="n">
        <f aca="false">IF(AND(H_Direct=0,H_TaxEvt=1,ATV96+1&gt;=H_Deemed),MAX(0,AFV97-AJI97)*H_Exit,0)</f>
        <v>0</v>
      </c>
      <c r="AXJ97" s="20" t="n">
        <f aca="false">IF(AND(H_Direct=0,H_TaxEvt=1,ATW96+1&gt;=H_Deemed),MAX(0,AFW97-AJJ97)*H_Exit,0)</f>
        <v>0</v>
      </c>
      <c r="AXK97" s="20" t="n">
        <f aca="false">IF(AND(H_Direct=0,H_TaxEvt=1,ATX96+1&gt;=H_Deemed),MAX(0,AFX97-AJK97)*H_Exit,0)</f>
        <v>0</v>
      </c>
      <c r="AXL97" s="20" t="n">
        <f aca="false">IF(AND(H_Direct=0,H_TaxEvt=1,ATY96+1&gt;=H_Deemed),MAX(0,AFY97-AJL97)*H_Exit,0)</f>
        <v>0</v>
      </c>
      <c r="AXM97" s="20" t="n">
        <f aca="false">IF(AND(H_Direct=0,H_TaxEvt=1,ATZ96+1&gt;=H_Deemed),MAX(0,AFZ97-AJM97)*H_Exit,0)</f>
        <v>0</v>
      </c>
      <c r="AXN97" s="20" t="n">
        <f aca="false">IF(AND(H_Direct=0,H_TaxEvt=1,AUA96+1&gt;=H_Deemed),MAX(0,AGA97-AJN97)*H_Exit,0)</f>
        <v>0</v>
      </c>
      <c r="AXO97" s="20" t="n">
        <f aca="false">IF(AND(H_Direct=0,H_TaxEvt=1,AUB96+1&gt;=H_Deemed),MAX(0,AGB97-AJO97)*H_Exit,0)</f>
        <v>0</v>
      </c>
      <c r="AXP97" s="20" t="n">
        <f aca="false">IF(AND(H_Direct=0,H_TaxEvt=1,AUC96+1&gt;=H_Deemed),MAX(0,AGC97-AJP97)*H_Exit,0)</f>
        <v>0</v>
      </c>
      <c r="AXQ97" s="20" t="n">
        <f aca="false">IF(AND(H_Direct=0,H_TaxEvt=1,AUD96+1&gt;=H_Deemed),MAX(0,AGD97-AJQ97)*H_Exit,0)</f>
        <v>0</v>
      </c>
      <c r="AXR97" s="20" t="n">
        <f aca="false">IF(AND(H_Direct=0,H_TaxEvt=1,AUE96+1&gt;=H_Deemed),MAX(0,AGE97-AJR97)*H_Exit,0)</f>
        <v>0</v>
      </c>
      <c r="AXS97" s="20" t="n">
        <f aca="false">IF(AND(H_Direct=0,H_TaxEvt=1,AUF96+1&gt;=H_Deemed),MAX(0,AGF97-AJS97)*H_Exit,0)</f>
        <v>0</v>
      </c>
      <c r="AXT97" s="20" t="n">
        <f aca="false">IF(AND(H_Direct=0,H_TaxEvt=1,AUG96+1&gt;=H_Deemed),MAX(0,AGG97-AJT97)*H_Exit,0)</f>
        <v>0</v>
      </c>
      <c r="AXU97" s="20" t="n">
        <f aca="false">IF(AND(H_Direct=0,H_TaxEvt=1,AUH96+1&gt;=H_Deemed),MAX(0,AGH97-AJU97)*H_Exit,0)</f>
        <v>0</v>
      </c>
      <c r="AXV97" s="20" t="n">
        <f aca="false">IF(AND(H_Direct=0,H_TaxEvt=1,AUI96+1&gt;=H_Deemed),MAX(0,AGI97-AJV97)*H_Exit,0)</f>
        <v>0</v>
      </c>
      <c r="AXW97" s="20" t="n">
        <f aca="false">IF(AND(H_Direct=0,H_TaxEvt=1,AUJ96+1&gt;=H_Deemed),MAX(0,AGJ97-AJW97)*H_Exit,0)</f>
        <v>0</v>
      </c>
      <c r="AXX97" s="20" t="n">
        <f aca="false">IF(AND(H_Direct=0,H_TaxEvt=1,AUK96+1&gt;=H_Deemed),MAX(0,AGK97-AJX97)*H_Exit,0)</f>
        <v>0</v>
      </c>
      <c r="AXY97" s="20" t="n">
        <f aca="false">IF(AND(H_Direct=0,H_TaxEvt=1,AUL96+1&gt;=H_Deemed),MAX(0,AGL97-AJY97)*H_Exit,0)</f>
        <v>0</v>
      </c>
      <c r="AXZ97" s="20" t="n">
        <f aca="false">IF(AND(H_Direct=0,H_TaxEvt=1,AUM96+1&gt;=H_Deemed),MAX(0,AGM97-AJZ97)*H_Exit,0)</f>
        <v>0</v>
      </c>
      <c r="AYA97" s="20" t="n">
        <f aca="false">IF(AND(H_Direct=0,H_TaxEvt=1,AUN96+1&gt;=H_Deemed),MAX(0,AGN97-AKA97)*H_Exit,0)</f>
        <v>0</v>
      </c>
      <c r="AYB97" s="20" t="n">
        <f aca="false">IF(AND(H_Direct=0,H_TaxEvt=1,AUO96+1&gt;=H_Deemed),MAX(0,AGO97-AKB97)*H_Exit,0)</f>
        <v>0</v>
      </c>
      <c r="AYC97" s="20" t="n">
        <f aca="false">IF(AND(H_Direct=0,H_TaxEvt=1,AUP96+1&gt;=H_Deemed),MAX(0,AGP97-AKC97)*H_Exit,0)</f>
        <v>0</v>
      </c>
      <c r="AYD97" s="20" t="n">
        <f aca="false">IF(AND(H_Direct=0,H_TaxEvt=1,AUQ96+1&gt;=H_Deemed),MAX(0,AGQ97-AKD97)*H_Exit,0)</f>
        <v>0</v>
      </c>
      <c r="AYE97" s="20" t="n">
        <f aca="false">IF(AND(H_Direct=0,H_TaxEvt=1,AUR96+1&gt;=H_Deemed),MAX(0,AGR97-AKE97)*H_Exit,0)</f>
        <v>0</v>
      </c>
      <c r="AYF97" s="20" t="n">
        <f aca="false">IF(AND(H_Direct=0,H_TaxEvt=1,AUS96+1&gt;=H_Deemed),MAX(0,AGS97-AKF97)*H_Exit,0)</f>
        <v>0</v>
      </c>
      <c r="AYG97" s="20" t="n">
        <f aca="false">IF(AND(H_Direct=0,H_TaxEvt=1,AUT96+1&gt;=H_Deemed),MAX(0,AGT97-AKG97)*H_Exit,0)</f>
        <v>0</v>
      </c>
      <c r="AYH97" s="20" t="n">
        <f aca="false">IF(AND(H_Direct=0,H_TaxEvt=1,AUU96+1&gt;=H_Deemed),MAX(0,AGU97-AKH97)*H_Exit,0)</f>
        <v>0</v>
      </c>
      <c r="AYI97" s="20" t="n">
        <f aca="false">IF(AND(H_Direct=0,H_TaxEvt=1,AUV96+1&gt;=H_Deemed),MAX(0,AGV97-AKI97)*H_Exit,0)</f>
        <v>0</v>
      </c>
      <c r="AYJ97" s="20" t="n">
        <f aca="false">IF(AND(H_Direct=0,H_TaxEvt=1,AUW96+1&gt;=H_Deemed),MAX(0,AGW97-AKJ97)*H_Exit,0)</f>
        <v>0</v>
      </c>
      <c r="AYK97" s="20" t="n">
        <f aca="false">IF(AND(H_Direct=0,H_TaxEvt=1,AUX96+1&gt;=H_Deemed),MAX(0,AGX97-AKK97)*H_Exit,0)</f>
        <v>0</v>
      </c>
      <c r="AYL97" s="20" t="n">
        <f aca="false">IF(AND(H_Direct=0,H_TaxEvt=1,AUY96+1&gt;=H_Deemed),MAX(0,AGY97-AKL97)*H_Exit,0)</f>
        <v>0</v>
      </c>
      <c r="AYM97" s="20" t="n">
        <f aca="false">IF(AND(H_Direct=0,H_TaxEvt=1,AUZ96+1&gt;=H_Deemed),MAX(0,AGZ97-AKM97)*H_Exit,0)</f>
        <v>0</v>
      </c>
      <c r="AYN97" s="20" t="n">
        <f aca="false">IF(AND(H_Direct=0,H_TaxEvt=1,AVA96+1&gt;=H_Deemed),MAX(0,AHA97-AKN97)*H_Exit,0)</f>
        <v>0</v>
      </c>
      <c r="AYO97" s="20" t="n">
        <f aca="false">IF(AND(H_Direct=0,H_TaxEvt=1,AVB96+1&gt;=H_Deemed),MAX(0,AHB97-AKO97)*H_Exit,0)</f>
        <v>0</v>
      </c>
      <c r="AYP97" s="20" t="n">
        <f aca="false">IF(AND(H_Direct=0,H_TaxEvt=1,AVC96+1&gt;=H_Deemed),MAX(0,AHC97-AKP97)*H_Exit,0)</f>
        <v>0</v>
      </c>
      <c r="AYQ97" s="20" t="n">
        <f aca="false">IF(AND(H_Direct=0,H_TaxEvt=1,0+1&gt;=H_Deemed),MAX(0,AHD97-AKQ97)*H_Exit,0)</f>
        <v>0</v>
      </c>
    </row>
    <row r="100" customFormat="false" ht="15" hidden="false" customHeight="false" outlineLevel="0" collapsed="false">
      <c r="B100" s="35" t="s">
        <v>3655</v>
      </c>
    </row>
    <row r="101" customFormat="false" ht="15" hidden="false" customHeight="false" outlineLevel="0" collapsed="false">
      <c r="B101" s="20" t="s">
        <v>3656</v>
      </c>
      <c r="C101" s="62" t="n">
        <f aca="false">Exit_Tax</f>
        <v>0.38</v>
      </c>
      <c r="D101" s="38" t="s">
        <v>3657</v>
      </c>
    </row>
    <row r="102" customFormat="false" ht="15" hidden="false" customHeight="false" outlineLevel="0" collapsed="false">
      <c r="B102" s="20" t="s">
        <v>3658</v>
      </c>
      <c r="C102" s="63" t="n">
        <f aca="false">Deemed_Disposal_Years</f>
        <v>8</v>
      </c>
      <c r="D102" s="38" t="s">
        <v>3659</v>
      </c>
    </row>
    <row r="103" customFormat="false" ht="15" hidden="false" customHeight="false" outlineLevel="0" collapsed="false">
      <c r="B103" s="20" t="s">
        <v>406</v>
      </c>
      <c r="C103" s="62" t="n">
        <f aca="false">DIRT</f>
        <v>0.33</v>
      </c>
      <c r="D103" s="38" t="s">
        <v>3660</v>
      </c>
    </row>
    <row r="104" customFormat="false" ht="15" hidden="false" customHeight="false" outlineLevel="0" collapsed="false">
      <c r="B104" s="20" t="s">
        <v>3661</v>
      </c>
      <c r="C104" s="62" t="n">
        <v>0.33</v>
      </c>
      <c r="D104" s="38" t="s">
        <v>3662</v>
      </c>
    </row>
    <row r="105" customFormat="false" ht="15" hidden="false" customHeight="false" outlineLevel="0" collapsed="false">
      <c r="B105" s="20" t="s">
        <v>3663</v>
      </c>
      <c r="C105" s="62" t="n">
        <v>0.31</v>
      </c>
      <c r="D105" s="38" t="s">
        <v>3664</v>
      </c>
    </row>
    <row r="106" customFormat="false" ht="15" hidden="false" customHeight="false" outlineLevel="0" collapsed="false">
      <c r="B106" s="20" t="s">
        <v>3665</v>
      </c>
      <c r="C106" s="64" t="n">
        <f aca="false">DATE(2026,10,7)</f>
        <v>46302</v>
      </c>
      <c r="D106" s="38" t="s">
        <v>395</v>
      </c>
    </row>
    <row r="107" customFormat="false" ht="15" hidden="false" customHeight="false" outlineLevel="0" collapsed="false">
      <c r="B107" s="20" t="s">
        <v>3666</v>
      </c>
      <c r="C107" s="65" t="n">
        <v>1270</v>
      </c>
      <c r="D107" s="38" t="s">
        <v>3667</v>
      </c>
    </row>
    <row r="108" customFormat="false" ht="15" hidden="false" customHeight="false" outlineLevel="0" collapsed="false">
      <c r="B108" s="20" t="s">
        <v>3668</v>
      </c>
      <c r="C108" s="62" t="n">
        <f aca="false">IF(Has_a_cgtGain=1,In_a_cgtGain,0.4)</f>
        <v>0.4</v>
      </c>
      <c r="D108" s="38" t="s">
        <v>3669</v>
      </c>
    </row>
    <row r="109" customFormat="false" ht="15" hidden="false" customHeight="false" outlineLevel="0" collapsed="false">
      <c r="B109" s="20" t="s">
        <v>3670</v>
      </c>
      <c r="C109" s="63" t="n">
        <f aca="false">IF(In_a_invWrapper="shares",1,0)</f>
        <v>0</v>
      </c>
      <c r="D109" s="38"/>
    </row>
    <row r="110" customFormat="false" ht="15" hidden="false" customHeight="false" outlineLevel="0" collapsed="false">
      <c r="B110" s="20" t="s">
        <v>3671</v>
      </c>
      <c r="C110" s="63" t="n">
        <f aca="false">IF(AND(NOT(ISBLANK('Plan inputs'!C82)),'Plan inputs'!G82='Plan inputs'!C82),0,1)</f>
        <v>1</v>
      </c>
      <c r="D110" s="38" t="s">
        <v>3672</v>
      </c>
    </row>
    <row r="111" customFormat="false" ht="15" hidden="false" customHeight="false" outlineLevel="0" collapsed="false">
      <c r="B111" s="20" t="s">
        <v>3673</v>
      </c>
      <c r="C111" s="66" t="n">
        <f aca="false">ROUND(Set_invGross-Set_fundChg,3)</f>
        <v>0.04</v>
      </c>
      <c r="D111" s="38" t="s">
        <v>3674</v>
      </c>
    </row>
    <row r="112" customFormat="false" ht="15" hidden="false" customHeight="false" outlineLevel="0" collapsed="false">
      <c r="B112" s="20" t="s">
        <v>3675</v>
      </c>
      <c r="C112" s="63" t="n">
        <f aca="false">IF(AND(F_Partner=1,In_assetsJoint="Yes"),2,1)</f>
        <v>1</v>
      </c>
      <c r="D112" s="38"/>
    </row>
    <row r="113" customFormat="false" ht="15" hidden="false" customHeight="false" outlineLevel="0" collapsed="false">
      <c r="B113" s="20" t="s">
        <v>3676</v>
      </c>
      <c r="C113" s="62" t="n">
        <f aca="false">AS_InvShare</f>
        <v>0.4</v>
      </c>
      <c r="D113" s="38"/>
    </row>
    <row r="114" customFormat="false" ht="15" hidden="false" customHeight="false" outlineLevel="0" collapsed="false">
      <c r="B114" s="20" t="s">
        <v>3677</v>
      </c>
      <c r="C114" s="65" t="n">
        <f aca="false">F_Invest</f>
        <v>6200</v>
      </c>
      <c r="D114" s="38"/>
    </row>
    <row r="115" customFormat="false" ht="15" hidden="false" customHeight="false" outlineLevel="0" collapsed="false">
      <c r="B115" s="20" t="s">
        <v>3678</v>
      </c>
      <c r="C115" s="65" t="n">
        <f aca="false">IF(Has_invCost=1,In_invCost,IF(H_Direct=1,F_Invest*(1-H_GainSh),F_Invest))</f>
        <v>6200</v>
      </c>
      <c r="D115" s="38" t="s">
        <v>3679</v>
      </c>
    </row>
    <row r="116" customFormat="false" ht="15" hidden="false" customHeight="false" outlineLevel="0" collapsed="false">
      <c r="B116" s="20" t="s">
        <v>3680</v>
      </c>
      <c r="C116" s="63" t="n">
        <f aca="false">IF(H_Direct=1,0,MOD(MAX(0,INT(IF(Has_invYears=1,In_invYears,0))),H_Deemed))</f>
        <v>0</v>
      </c>
      <c r="D116" s="38"/>
    </row>
    <row r="117" customFormat="false" ht="15" hidden="false" customHeight="false" outlineLevel="0" collapsed="false">
      <c r="B117" s="20" t="s">
        <v>3681</v>
      </c>
      <c r="C117" s="65" t="n">
        <f aca="false">In_otherAssets</f>
        <v>0</v>
      </c>
      <c r="D117" s="38"/>
    </row>
    <row r="118" customFormat="false" ht="15" hidden="false" customHeight="false" outlineLevel="0" collapsed="false">
      <c r="B118" s="20" t="s">
        <v>3682</v>
      </c>
      <c r="C118" s="65" t="n">
        <f aca="false">IF(Has_othCost=1,In_othCost,In_otherAssets*(1-H_GainSh))</f>
        <v>0</v>
      </c>
      <c r="D118" s="38"/>
    </row>
    <row r="119" customFormat="false" ht="15" hidden="false" customHeight="false" outlineLevel="0" collapsed="false">
      <c r="B119" s="20" t="s">
        <v>3683</v>
      </c>
      <c r="C119" s="65" t="n">
        <f aca="false">In_altInv</f>
        <v>0</v>
      </c>
      <c r="D119" s="38"/>
    </row>
    <row r="120" customFormat="false" ht="15" hidden="false" customHeight="false" outlineLevel="0" collapsed="false">
      <c r="B120" s="20" t="s">
        <v>3684</v>
      </c>
      <c r="C120" s="65" t="n">
        <f aca="false">IF(Has_altCost=1,In_altCost,In_altInv*(1-H_GainSh))</f>
        <v>0</v>
      </c>
      <c r="D120" s="38"/>
    </row>
    <row r="121" customFormat="false" ht="15" hidden="false" customHeight="false" outlineLevel="0" collapsed="false">
      <c r="B121" s="20" t="s">
        <v>3685</v>
      </c>
      <c r="C121" s="65" t="n">
        <f aca="false">In_capLoss</f>
        <v>0</v>
      </c>
      <c r="D121" s="38"/>
    </row>
    <row r="122" customFormat="false" ht="15" hidden="false" customHeight="false" outlineLevel="0" collapsed="false">
      <c r="B122" s="20" t="s">
        <v>3686</v>
      </c>
      <c r="C122" s="65" t="n">
        <f aca="false">In_savings</f>
        <v>0</v>
      </c>
      <c r="D122" s="38"/>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Q2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2"/>
    <col collapsed="false" customWidth="true" hidden="false" outlineLevel="0" max="3" min="3" style="20" width="34"/>
    <col collapsed="false" customWidth="true" hidden="false" outlineLevel="0" max="7" min="4" style="20" width="14"/>
    <col collapsed="false" customWidth="true" hidden="false" outlineLevel="0" max="8" min="8" style="20" width="30"/>
    <col collapsed="false" customWidth="true" hidden="false" outlineLevel="0" max="11" min="11" style="20" width="60"/>
  </cols>
  <sheetData>
    <row r="1" customFormat="false" ht="17.25" hidden="false" customHeight="true" outlineLevel="0" collapsed="false">
      <c r="B1" s="21" t="s">
        <v>3687</v>
      </c>
    </row>
    <row r="2" customFormat="false" ht="48" hidden="false" customHeight="true" outlineLevel="0" collapsed="false">
      <c r="B2" s="2" t="s">
        <v>3688</v>
      </c>
      <c r="C2" s="2"/>
      <c r="D2" s="2"/>
      <c r="E2" s="2"/>
      <c r="F2" s="2"/>
      <c r="G2" s="2"/>
      <c r="H2" s="2"/>
    </row>
    <row r="3" customFormat="false" ht="30" hidden="false" customHeight="true" outlineLevel="0" collapsed="false">
      <c r="B3" s="22" t="str">
        <f aca="false">Warn_Goals</f>
        <v/>
      </c>
      <c r="C3" s="22"/>
      <c r="D3" s="22"/>
      <c r="E3" s="22"/>
      <c r="F3" s="22"/>
      <c r="G3" s="22"/>
      <c r="H3" s="22"/>
    </row>
    <row r="4" customFormat="false" ht="15" hidden="false" customHeight="true" outlineLevel="0" collapsed="false">
      <c r="B4" s="23" t="s">
        <v>3689</v>
      </c>
      <c r="C4" s="23" t="s">
        <v>1226</v>
      </c>
    </row>
    <row r="5" customFormat="false" ht="15" hidden="false" customHeight="true" outlineLevel="0" collapsed="false">
      <c r="B5" s="20" t="s">
        <v>3690</v>
      </c>
      <c r="C5" s="42" t="n">
        <f aca="false">ROUND(IF(F_Age&lt;F_R,('Plan cashflow'!$QI$8+'Plan cashflow'!$QJ$8)/12,0),0)</f>
        <v>135</v>
      </c>
    </row>
    <row r="6" customFormat="false" ht="15" hidden="false" customHeight="true" outlineLevel="0" collapsed="false">
      <c r="B6" s="20" t="s">
        <v>3691</v>
      </c>
      <c r="C6" s="42" t="n">
        <f aca="false">ROUND('Plan cashflow'!$QI$8/12,0)</f>
        <v>67</v>
      </c>
    </row>
    <row r="7" customFormat="false" ht="15" hidden="false" customHeight="true" outlineLevel="0" collapsed="false">
      <c r="B7" s="20" t="s">
        <v>3692</v>
      </c>
      <c r="C7" s="42" t="n">
        <f aca="false">'Plan cashflow'!$HT$8</f>
        <v>67.3316893520437</v>
      </c>
    </row>
    <row r="8" customFormat="false" ht="15" hidden="false" customHeight="true" outlineLevel="0" collapsed="false">
      <c r="B8" s="20" t="s">
        <v>3693</v>
      </c>
      <c r="C8" s="42" t="n">
        <f aca="false">SUM('Plan cashflow'!$UJ$8:$UJ$97)</f>
        <v>21</v>
      </c>
    </row>
    <row r="9" customFormat="false" ht="15" hidden="false" customHeight="true" outlineLevel="0" collapsed="false">
      <c r="B9" s="20" t="s">
        <v>3694</v>
      </c>
      <c r="C9" s="42" t="n">
        <f aca="false">SUM('Plan cashflow'!$TV$8:$TV$97)</f>
        <v>18</v>
      </c>
    </row>
    <row r="11" customFormat="false" ht="15" hidden="false" customHeight="true" outlineLevel="0" collapsed="false">
      <c r="B11" s="23" t="s">
        <v>3695</v>
      </c>
      <c r="C11" s="23" t="s">
        <v>1226</v>
      </c>
    </row>
    <row r="12" customFormat="false" ht="15" hidden="false" customHeight="true" outlineLevel="0" collapsed="false">
      <c r="B12" s="53" t="s">
        <v>49</v>
      </c>
      <c r="C12" s="53" t="s">
        <v>3696</v>
      </c>
      <c r="D12" s="53" t="s">
        <v>586</v>
      </c>
      <c r="E12" s="53" t="s">
        <v>3697</v>
      </c>
      <c r="F12" s="53" t="s">
        <v>3698</v>
      </c>
      <c r="G12" s="53" t="s">
        <v>3699</v>
      </c>
    </row>
    <row r="13" customFormat="false" ht="15" hidden="false" customHeight="true" outlineLevel="0" collapsed="false">
      <c r="B13" s="20" t="s">
        <v>3700</v>
      </c>
      <c r="C13" s="42" t="n">
        <f aca="false">IF(Has_age=0,1,0)</f>
        <v>0</v>
      </c>
      <c r="D13" s="20" t="s">
        <v>934</v>
      </c>
      <c r="E13" s="20" t="s">
        <v>3701</v>
      </c>
      <c r="F13" s="20" t="str">
        <f aca="false">""&amp;IF(C13=1,IF(""="","",",")&amp;D13,"")</f>
        <v/>
      </c>
      <c r="G13" s="20" t="str">
        <f aca="false">""&amp;IF(C13=1,IF(""="","",", ")&amp;E13,"")</f>
        <v/>
      </c>
    </row>
    <row r="14" customFormat="false" ht="15" hidden="false" customHeight="true" outlineLevel="0" collapsed="false">
      <c r="B14" s="20" t="s">
        <v>3702</v>
      </c>
      <c r="C14" s="42" t="n">
        <f aca="false">IF(AND(F_Partner=1,NOT(ISBLANK('Plan inputs'!C31)),Has_pAge=0),1,0)</f>
        <v>0</v>
      </c>
      <c r="D14" s="20" t="s">
        <v>3703</v>
      </c>
      <c r="E14" s="20" t="s">
        <v>3704</v>
      </c>
      <c r="F14" s="20" t="str">
        <f aca="false">F13&amp;IF(C14=1,IF(F13="","",",")&amp;D14,"")</f>
        <v/>
      </c>
      <c r="G14" s="20" t="str">
        <f aca="false">G13&amp;IF(C14=1,IF(G13="","",", ")&amp;E14,"")</f>
        <v/>
      </c>
    </row>
    <row r="15" customFormat="false" ht="15" hidden="false" customHeight="true" outlineLevel="0" collapsed="false">
      <c r="B15" s="20" t="s">
        <v>3705</v>
      </c>
      <c r="C15" s="42" t="n">
        <f aca="false">IF(Has_retireAge=0,1,0)</f>
        <v>0</v>
      </c>
      <c r="D15" s="20" t="s">
        <v>3706</v>
      </c>
      <c r="E15" s="20" t="s">
        <v>116</v>
      </c>
      <c r="F15" s="20" t="str">
        <f aca="false">F14&amp;IF(C15=1,IF(F14="","",",")&amp;D15,"")</f>
        <v/>
      </c>
      <c r="G15" s="20" t="str">
        <f aca="false">G14&amp;IF(C15=1,IF(G14="","",", ")&amp;E15,"")</f>
        <v/>
      </c>
    </row>
    <row r="16" customFormat="false" ht="15" hidden="false" customHeight="true" outlineLevel="0" collapsed="false">
      <c r="B16" s="20" t="s">
        <v>3707</v>
      </c>
      <c r="C16" s="42" t="n">
        <f aca="false">IF(Has_a_planEnd=0,1,0)</f>
        <v>0</v>
      </c>
      <c r="D16" s="20" t="s">
        <v>3708</v>
      </c>
      <c r="E16" s="20" t="s">
        <v>118</v>
      </c>
      <c r="F16" s="20" t="str">
        <f aca="false">F15&amp;IF(C16=1,IF(F15="","",",")&amp;D16,"")</f>
        <v/>
      </c>
      <c r="G16" s="20" t="str">
        <f aca="false">G15&amp;IF(C16=1,IF(G15="","",", ")&amp;E16,"")</f>
        <v/>
      </c>
    </row>
    <row r="17" customFormat="false" ht="15" hidden="false" customHeight="true" outlineLevel="0" collapsed="false">
      <c r="B17" s="20" t="s">
        <v>3709</v>
      </c>
      <c r="C17" s="42" t="n">
        <f aca="false">IF(Has_infl=0,1,0)</f>
        <v>0</v>
      </c>
      <c r="D17" s="20" t="s">
        <v>3710</v>
      </c>
      <c r="E17" s="20" t="s">
        <v>869</v>
      </c>
      <c r="F17" s="20" t="str">
        <f aca="false">F16&amp;IF(C17=1,IF(F16="","",",")&amp;D17,"")</f>
        <v/>
      </c>
      <c r="G17" s="20" t="str">
        <f aca="false">G16&amp;IF(C17=1,IF(G16="","",", ")&amp;E17,"")</f>
        <v/>
      </c>
    </row>
    <row r="18" customFormat="false" ht="15" hidden="false" customHeight="true" outlineLevel="0" collapsed="false">
      <c r="B18" s="20" t="s">
        <v>3711</v>
      </c>
      <c r="C18" s="42" t="n">
        <f aca="false">IF(AND(F_Partner=1,In_pIncome&gt;0,Has_pRet=0),1,0)</f>
        <v>0</v>
      </c>
      <c r="D18" s="20" t="s">
        <v>3712</v>
      </c>
      <c r="E18" s="20" t="s">
        <v>3713</v>
      </c>
      <c r="F18" s="20" t="str">
        <f aca="false">F17&amp;IF(C18=1,IF(F17="","",",")&amp;D18,"")</f>
        <v/>
      </c>
      <c r="G18" s="20" t="str">
        <f aca="false">G17&amp;IF(C18=1,IF(G17="","",", ")&amp;E18,"")</f>
        <v/>
      </c>
    </row>
    <row r="19" customFormat="false" ht="15" hidden="false" customHeight="true" outlineLevel="0" collapsed="false">
      <c r="B19" s="20" t="s">
        <v>3714</v>
      </c>
      <c r="C19" s="42" t="n">
        <f aca="false">SUM($C$13:$C$18)</f>
        <v>0</v>
      </c>
    </row>
    <row r="20" customFormat="false" ht="15" hidden="false" customHeight="true" outlineLevel="0" collapsed="false">
      <c r="B20" s="20" t="s">
        <v>3715</v>
      </c>
      <c r="C20" s="42" t="str">
        <f aca="false">F18</f>
        <v/>
      </c>
    </row>
    <row r="21" customFormat="false" ht="15" hidden="false" customHeight="true" outlineLevel="0" collapsed="false">
      <c r="B21" s="20" t="s">
        <v>3716</v>
      </c>
      <c r="C21" s="42" t="str">
        <f aca="false">G18</f>
        <v/>
      </c>
    </row>
    <row r="22" customFormat="false" ht="15" hidden="false" customHeight="true" outlineLevel="0" collapsed="false">
      <c r="B22" s="20" t="s">
        <v>3717</v>
      </c>
      <c r="C22" s="42" t="str">
        <f aca="false">IF(Gate_Count=0,"","To see your results we need "&amp;Gate_Count&amp;IF(Gate_Count=1," thing"," things"))</f>
        <v/>
      </c>
    </row>
    <row r="23" customFormat="false" ht="15" hidden="false" customHeight="true" outlineLevel="0" collapsed="false">
      <c r="B23" s="20" t="s">
        <v>3718</v>
      </c>
      <c r="C23" s="42" t="str">
        <f aca="false">IF(Gate_Count=0,"",IFERROR(INDEX($B$13:$B$18,MATCH(1,$C$13:$C$18,0)),""))</f>
        <v/>
      </c>
    </row>
    <row r="24" customFormat="false" ht="15" hidden="false" customHeight="true" outlineLevel="0" collapsed="false">
      <c r="B24" s="20" t="s">
        <v>3719</v>
      </c>
      <c r="C24" s="42" t="str">
        <f aca="false">IF(Gate_Count=0,"","Choose your "&amp;Gate_FirstLabel&amp;" to see this")</f>
        <v/>
      </c>
    </row>
    <row r="25" customFormat="false" ht="15" hidden="false" customHeight="true" outlineLevel="0" collapsed="false">
      <c r="B25" s="20" t="s">
        <v>3720</v>
      </c>
      <c r="C25" s="42" t="n">
        <f aca="false">IF(Gate_Count=0,1,0)</f>
        <v>1</v>
      </c>
    </row>
    <row r="26" customFormat="false" ht="15" hidden="false" customHeight="true" outlineLevel="0" collapsed="false">
      <c r="B26" s="20" t="s">
        <v>3721</v>
      </c>
      <c r="C26" s="42" t="n">
        <f aca="false">3+IF(AND(F_Partner=1,In_pIncome&gt;0),1,0)</f>
        <v>4</v>
      </c>
    </row>
    <row r="27" customFormat="false" ht="15" hidden="false" customHeight="true" outlineLevel="0" collapsed="false">
      <c r="B27" s="20" t="s">
        <v>3722</v>
      </c>
      <c r="C27" s="42" t="str">
        <f aca="false">IF(Req_Got=Req_Count,"All "&amp;Req_Count&amp;" chosen","Choose "&amp;Req_Count&amp;" things")</f>
        <v>All 4 chosen</v>
      </c>
    </row>
    <row r="28" customFormat="false" ht="15" hidden="false" customHeight="true" outlineLevel="0" collapsed="false">
      <c r="B28" s="20" t="s">
        <v>3723</v>
      </c>
      <c r="C28" s="42" t="n">
        <f aca="false">Req_Count-(C17+C15+C16+C18)</f>
        <v>4</v>
      </c>
    </row>
    <row r="30" customFormat="false" ht="15" hidden="false" customHeight="true" outlineLevel="0" collapsed="false">
      <c r="B30" s="23" t="s">
        <v>3724</v>
      </c>
      <c r="C30" s="23" t="s">
        <v>1226</v>
      </c>
    </row>
    <row r="31" customFormat="false" ht="15" hidden="false" customHeight="true" outlineLevel="0" collapsed="false">
      <c r="B31" s="20" t="s">
        <v>3725</v>
      </c>
      <c r="C31" s="42" t="n">
        <f aca="false">IF(SUM('Plan cashflow'!$UG$8:$UG$97)&gt;0,1,0)</f>
        <v>0</v>
      </c>
    </row>
    <row r="32" customFormat="false" ht="15" hidden="false" customHeight="true" outlineLevel="0" collapsed="false">
      <c r="B32" s="20" t="s">
        <v>3726</v>
      </c>
      <c r="C32" s="42" t="n">
        <f aca="false">IF(COUNT(GR_Best)&gt;0,MAX(GR_Best),"")</f>
        <v>99944997</v>
      </c>
    </row>
    <row r="33" customFormat="false" ht="15" hidden="false" customHeight="true" outlineLevel="0" collapsed="false">
      <c r="B33" s="20" t="s">
        <v>3727</v>
      </c>
      <c r="C33" s="42" t="n">
        <f aca="false">IF(Find_BestScore="",0,MATCH(Find_BestScore,GR_Best,0))</f>
        <v>3</v>
      </c>
    </row>
    <row r="34" customFormat="false" ht="15" hidden="false" customHeight="true" outlineLevel="0" collapsed="false">
      <c r="B34" s="20" t="s">
        <v>3728</v>
      </c>
      <c r="C34" s="42" t="n">
        <f aca="false">IF(COUNT(GR_Worst)&gt;0,MATCH(MIN(GR_Worst),GR_Worst,0),0)</f>
        <v>1</v>
      </c>
    </row>
    <row r="35" customFormat="false" ht="15" hidden="false" customHeight="true" outlineLevel="0" collapsed="false">
      <c r="B35" s="20" t="s">
        <v>3729</v>
      </c>
      <c r="C35" s="42" t="n">
        <f aca="false">IF(Find_WorstIdx&gt;0,INDEX(GR_Pct,Find_WorstIdx),"")</f>
        <v>50</v>
      </c>
    </row>
    <row r="36" customFormat="false" ht="15" hidden="false" customHeight="true" outlineLevel="0" collapsed="false">
      <c r="B36" s="20" t="s">
        <v>3730</v>
      </c>
      <c r="C36" s="42" t="str">
        <f aca="false">IF(Find_WorstIdx&gt;0,INDEX(GR_Name,Find_WorstIdx),"")</f>
        <v>Kids' education</v>
      </c>
    </row>
    <row r="37" customFormat="false" ht="15" hidden="false" customHeight="true" outlineLevel="0" collapsed="false">
      <c r="B37" s="20" t="s">
        <v>3731</v>
      </c>
      <c r="C37" s="24"/>
    </row>
    <row r="38" customFormat="false" ht="15" hidden="false" customHeight="true" outlineLevel="0" collapsed="false">
      <c r="B38" s="20" t="s">
        <v>3732</v>
      </c>
      <c r="C38" s="42" t="str">
        <f aca="false">IF(ISBLANK(Find_ExtraFor),IF(Fill_Example="Yes","none",""),Find_ExtraFor)</f>
        <v>none</v>
      </c>
    </row>
    <row r="39" customFormat="false" ht="15" hidden="false" customHeight="true" outlineLevel="0" collapsed="false">
      <c r="B39" s="20" t="s">
        <v>3733</v>
      </c>
      <c r="C39" s="42"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Be mortgage-free is 100% covered</v>
      </c>
    </row>
    <row r="40" customFormat="false" ht="15" hidden="false" customHeight="true" outlineLevel="0" collapsed="false">
      <c r="B40" s="20" t="s">
        <v>3734</v>
      </c>
      <c r="C40" s="42" t="str">
        <f aca="false">IF(Find_WorstIdx=0,"",IF(Find_WorstPct&gt;=PR_Good,"No big gaps right now",Find_WorstName&amp;" is "&amp;Find_WorstPct&amp;"% covered"))</f>
        <v>Kids' education is 50% covered</v>
      </c>
    </row>
    <row r="41" customFormat="false" ht="15" hidden="false" customHeight="true" outlineLevel="0" collapsed="false">
      <c r="B41" s="20" t="s">
        <v>3735</v>
      </c>
      <c r="C41" s="42"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Moving kids' education later, or changing the amount, would make the biggest difference</v>
      </c>
    </row>
    <row r="43" customFormat="false" ht="15" hidden="false" customHeight="true" outlineLevel="0" collapsed="false">
      <c r="B43" s="23" t="s">
        <v>3736</v>
      </c>
      <c r="C43" s="23" t="s">
        <v>1226</v>
      </c>
    </row>
    <row r="44" customFormat="false" ht="15" hidden="false" customHeight="true" outlineLevel="0" collapsed="false">
      <c r="B44" s="20" t="s">
        <v>3737</v>
      </c>
      <c r="C44" s="42" t="n">
        <f aca="false">F_R-F_Age</f>
        <v>25</v>
      </c>
    </row>
    <row r="45" customFormat="false" ht="15" hidden="false" customHeight="true" outlineLevel="0" collapsed="false">
      <c r="B45" s="20" t="s">
        <v>3738</v>
      </c>
      <c r="C45" s="42" t="n">
        <f aca="false">IF(AND(Ret_Year&gt;=0,Ret_Year&lt;=F_N),INDEX('Plan pay &amp; tax'!$S$234:$S$323,Ret_Year+1),"")</f>
        <v>595640.396053951</v>
      </c>
    </row>
    <row r="46" customFormat="false" ht="15" hidden="false" customHeight="true" outlineLevel="0" collapsed="false">
      <c r="B46" s="20" t="s">
        <v>3739</v>
      </c>
      <c r="C46" s="42" t="n">
        <f aca="false">IF(AND(Ret_Year&gt;=0,Ret_Year&lt;=F_N),INDEX('Plan cashflow'!$H$8:$H$97,Ret_Year+1)/INDEX('Plan cashflow'!$F$8:$F$97,Ret_Year+1)/12,"")</f>
        <v>2928.3717102725</v>
      </c>
    </row>
    <row r="47" customFormat="false" ht="15" hidden="false" customHeight="true" outlineLevel="0" collapsed="false">
      <c r="B47" s="20" t="s">
        <v>3740</v>
      </c>
      <c r="C47" s="42" t="n">
        <f aca="false">IF(AND(Ret_Year&gt;=0,Ret_Year&lt;=F_N),INDEX('Plan pay &amp; tax'!$Y$234:$Y$323,F_V-F_Age+1),0)</f>
        <v>148910.099013488</v>
      </c>
    </row>
    <row r="49" customFormat="false" ht="15" hidden="false" customHeight="true" outlineLevel="0" collapsed="false">
      <c r="B49" s="23" t="s">
        <v>3741</v>
      </c>
      <c r="C49" s="23" t="s">
        <v>1226</v>
      </c>
    </row>
    <row r="50" customFormat="false" ht="15" hidden="false" customHeight="true" outlineLevel="0" collapsed="false">
      <c r="B50" s="20" t="s">
        <v>3742</v>
      </c>
      <c r="C50" s="42" t="str">
        <f aca="false">IF(OR(AND(Has_income=0,In_work&lt;&gt;"Not working"),Has_costsM=0),"na",IF(ROUND(('Plan cashflow'!$H$8-'Plan cashflow'!$TQ$8)/12,0)&lt;0,"bad",IF(ROUND(('Plan cashflow'!$H$8-'Plan cashflow'!$TQ$8)/12,0)&lt;0.05*MAX(1,'Plan cashflow'!$H$8/12),"mid","ok")))</f>
        <v>mid</v>
      </c>
    </row>
    <row r="51" customFormat="false" ht="15" hidden="false" customHeight="true" outlineLevel="0" collapsed="false">
      <c r="B51" s="20" t="s">
        <v>3743</v>
      </c>
      <c r="C51" s="42" t="str">
        <f aca="false">IF(Fnd1_St="na","Add your income and spending to check this",IF(ROUND(('Plan cashflow'!$H$8-'Plan cashflow'!$TQ$8)/12,0)&lt;0,"Spending about "&amp;"€"&amp;TEXT(ROUND(-ROUND(('Plan cashflow'!$H$8-'Plan cashflow'!$TQ$8)/12,0),0),"#,##0")&amp;" a month more than comes in","About "&amp;"€"&amp;TEXT(ROUND(ROUND(('Plan cashflow'!$H$8-'Plan cashflow'!$TQ$8)/12,0),0),"#,##0")&amp;" a month spare"))</f>
        <v>About €135 a month spare</v>
      </c>
    </row>
    <row r="52" customFormat="false" ht="15" hidden="false" customHeight="true" outlineLevel="0" collapsed="false">
      <c r="B52" s="20" t="s">
        <v>3744</v>
      </c>
      <c r="C52" s="42" t="str">
        <f aca="false">IF(OR(AND(IF(AND(Has_cash=1,Has_costsM=1,F_EssM&gt;0),IF(F_Cash/F_EssM&gt;=AS_Months,"ok",IF(F_Cash/F_EssM&gt;=3,"mid","bad")),"na")="bad",IFERROR(INDEX('Plan goals'!$G$110:$G$131,MATCH("safety",GL_Key,0)),-1)&gt;=95),AND(IF(AND(Has_cash=1,Has_costsM=1,F_EssM&gt;0),IF(F_Cash/F_EssM&gt;=AS_Months,"ok",IF(F_Cash/F_EssM&gt;=3,"mid","bad")),"na")="mid",IFERROR(INDEX('Plan goals'!$G$110:$G$131,MATCH("safety",GL_Key,0)),-1)&gt;=95)),"mid",IF(AND(Has_cash=1,Has_costsM=1,F_EssM&gt;0),IF(F_Cash/F_EssM&gt;=AS_Months,"ok",IF(F_Cash/F_EssM&gt;=3,"mid","bad")),"na"))</f>
        <v>bad</v>
      </c>
    </row>
    <row r="53" customFormat="false" ht="15" hidden="false" customHeight="true" outlineLevel="0" collapsed="false">
      <c r="B53" s="20" t="s">
        <v>3745</v>
      </c>
      <c r="C53" s="42" t="str">
        <f aca="false">IF(Fnd2_St="na","Add your assets to check this",IF(Fnd2_St="ok",INT(F_Cash/F_EssM*10)/10&amp;" months of essential spending · target of "&amp;AS_Months&amp;" met",INT(F_Cash/F_EssM*10)/10&amp;" of "&amp;AS_Months&amp;" months of essential spending"))&amp;IF(AND(Fnd2_St="mid",IFERROR(INDEX('Plan goals'!$G$110:$G$131,MATCH("safety",GL_Key,0)),-1)&gt;=95),IF(OR(Has_cash=0,Has_costsM=0)," "," · your plan builds it by "&amp;(AS_Year0+INDEX(GL_AgeRaw,MATCH("safety",GL_Key,0))-F_Age)),"")</f>
        <v>1.8 of 3 months of essential spending</v>
      </c>
    </row>
    <row r="54" customFormat="false" ht="15" hidden="false" customHeight="true" outlineLevel="0" collapsed="false">
      <c r="B54" s="20" t="s">
        <v>3746</v>
      </c>
      <c r="C54" s="42" t="n">
        <f aca="false">IF(OR(F_CardPayM&lt;=F_CardBal*D_iC,F_CardPayM&lt;=0),1E+099,CEILING(ROUND(IF(D_iC&lt;&gt;0,-LN(1-F_CardBal*D_iC/F_CardPayM)/LN(1+D_iC),F_CardBal/F_CardPayM)*1000000,0)/1000000,1))</f>
        <v>11</v>
      </c>
    </row>
    <row r="55" customFormat="false" ht="15" hidden="false" customHeight="true" outlineLevel="0" collapsed="false">
      <c r="B55" s="20" t="s">
        <v>3747</v>
      </c>
      <c r="C55" s="42" t="n">
        <f aca="false">IF(OR(F_LoanPayM&lt;=F_LoanBal*D_iL,F_LoanPayM&lt;=0),1E+099,CEILING(ROUND(IF(D_iL&lt;&gt;0,-LN(1-F_LoanBal*D_iL/F_LoanPayM)/LN(1+D_iL),F_LoanBal/F_LoanPayM)*1000000,0)/1000000,1))</f>
        <v>40</v>
      </c>
    </row>
    <row r="56" customFormat="false" ht="15" hidden="false" customHeight="true" outlineLevel="0" collapsed="false">
      <c r="B56" s="20" t="s">
        <v>3748</v>
      </c>
      <c r="C56" s="42" t="n">
        <f aca="false">IF(OR(Has_cardBal=1,Has_loanBal=1,Has_debt=1),1,0)</f>
        <v>1</v>
      </c>
    </row>
    <row r="57" customFormat="false" ht="15" hidden="false" customHeight="true" outlineLevel="0" collapsed="false">
      <c r="B57" s="20" t="s">
        <v>3749</v>
      </c>
      <c r="C57" s="42" t="str">
        <f aca="false">IF(AND(L3_Debt=1,F_CardBal&gt;1),IF(L3_CardM&lt;=12,"mid","bad"),"")</f>
        <v>mid</v>
      </c>
    </row>
    <row r="58" customFormat="false" ht="15" hidden="false" customHeight="true" outlineLevel="0" collapsed="false">
      <c r="B58" s="20" t="s">
        <v>3750</v>
      </c>
      <c r="C58" s="42"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Credit card €400 clears in about 11 months</v>
      </c>
    </row>
    <row r="59" customFormat="false" ht="15" hidden="false" customHeight="true" outlineLevel="0" collapsed="false">
      <c r="B59" s="20" t="s">
        <v>3751</v>
      </c>
      <c r="C59" s="42" t="str">
        <f aca="false">IF(AND(L3_Debt=1,F_LoanBal&gt;1),IF(L3_LoanM&lt;=24,"mid","bad"),"")</f>
        <v>bad</v>
      </c>
    </row>
    <row r="60" customFormat="false" ht="15" hidden="false" customHeight="true" outlineLevel="0" collapsed="false">
      <c r="B60" s="20" t="s">
        <v>3752</v>
      </c>
      <c r="C60" s="42"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Loans of €3,500 take about 4 years to clear</v>
      </c>
    </row>
    <row r="61" customFormat="false" ht="15" hidden="false" customHeight="true" outlineLevel="0" collapsed="false">
      <c r="B61" s="20" t="s">
        <v>3753</v>
      </c>
      <c r="C61" s="42" t="str">
        <f aca="false">IF(AND(L3_Debt=1,F_Debt&lt;=1),"ok","")</f>
        <v/>
      </c>
    </row>
    <row r="62" customFormat="false" ht="15" hidden="false" customHeight="true" outlineLevel="0" collapsed="false">
      <c r="B62" s="20" t="s">
        <v>3754</v>
      </c>
      <c r="C62" s="42" t="str">
        <f aca="false">IF(L3_NoDebtSt="","","No costly debt")</f>
        <v/>
      </c>
    </row>
    <row r="63" customFormat="false" ht="15" hidden="false" customHeight="true" outlineLevel="0" collapsed="false">
      <c r="B63" s="20" t="s">
        <v>3755</v>
      </c>
      <c r="C63" s="47" t="n">
        <f aca="false">IF(In_workCover="Yes",Cover_Work_Total,0)</f>
        <v>0</v>
      </c>
    </row>
    <row r="64" customFormat="false" ht="15" hidden="false" customHeight="true" outlineLevel="0" collapsed="false">
      <c r="B64" s="20" t="s">
        <v>3756</v>
      </c>
      <c r="C64" s="47" t="n">
        <f aca="false">IF(In_life="Yes",Cover_Life_Total,0)</f>
        <v>0</v>
      </c>
    </row>
    <row r="65" customFormat="false" ht="15" hidden="false" customHeight="true" outlineLevel="0" collapsed="false">
      <c r="B65" s="20" t="s">
        <v>3757</v>
      </c>
      <c r="C65" s="42" t="n">
        <f aca="false">IF(OR(F_Partner=1,In_deps&gt;0),1,0)</f>
        <v>1</v>
      </c>
    </row>
    <row r="66" customFormat="false" ht="15" hidden="false" customHeight="true" outlineLevel="0" collapsed="false">
      <c r="B66" s="20" t="s">
        <v>3758</v>
      </c>
      <c r="C66" s="42" t="str">
        <f aca="false">IF(L3_NeedLife=0,"",IF(Has_life=0,"na",IF(OR(In_life="Yes",L3_CoverWork&gt;0),"ok",IF(In_life="No","bad","mid"))))</f>
        <v>ok</v>
      </c>
    </row>
    <row r="67" customFormat="false" ht="15" hidden="false" customHeight="true" outlineLevel="0" collapsed="false">
      <c r="B67" s="20" t="s">
        <v>3759</v>
      </c>
      <c r="C67" s="42"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Life cover in place</v>
      </c>
    </row>
    <row r="68" customFormat="false" ht="15" hidden="false" customHeight="true" outlineLevel="0" collapsed="false">
      <c r="B68" s="20" t="s">
        <v>3760</v>
      </c>
      <c r="C68" s="42" t="str">
        <f aca="false">IF(AND(In_work&lt;&gt;"",In_work&lt;&gt;"Not working"),IF(Has_ip=0,"na",IF(In_ip="Yes","ok","mid")),"")</f>
        <v>mid</v>
      </c>
    </row>
    <row r="69" customFormat="false" ht="15" hidden="false" customHeight="true" outlineLevel="0" collapsed="false">
      <c r="B69" s="20" t="s">
        <v>3761</v>
      </c>
      <c r="C69" s="42" t="str">
        <f aca="false">IF(L3_IpSt="","",IF(L3_IpSt="na","Add your protection to check income protection",IF(L3_IpSt="ok","Income protection in place"&amp;IF(AND(In_ip="Yes",IP_Listed_Total&gt;0)," ("&amp;"€"&amp;TEXT(ROUND(IP_Listed_Total,0),"#,##0")&amp;" a month)",""),"No income protection if you couldn't work")))</f>
        <v>No income protection if you couldn't work</v>
      </c>
    </row>
    <row r="70" customFormat="false" ht="15" hidden="false" customHeight="true" outlineLevel="0" collapsed="false">
      <c r="B70" s="20" t="s">
        <v>3762</v>
      </c>
      <c r="C70" s="42"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0</v>
      </c>
    </row>
    <row r="71" customFormat="false" ht="15" hidden="false" customHeight="true" outlineLevel="0" collapsed="false">
      <c r="B71" s="20" t="s">
        <v>3763</v>
      </c>
      <c r="C71" s="42"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bad</v>
      </c>
    </row>
    <row r="72" customFormat="false" ht="15" hidden="false" customHeight="true" outlineLevel="0" collapsed="false">
      <c r="B72" s="20" t="s">
        <v>3764</v>
      </c>
      <c r="C72" s="42"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Loans of €3,500 take about 4 years to clear</v>
      </c>
    </row>
    <row r="73" customFormat="false" ht="15" hidden="false" customHeight="true" outlineLevel="0" collapsed="false">
      <c r="B73" s="20" t="s">
        <v>3765</v>
      </c>
      <c r="C73" s="42" t="n">
        <f aca="false">SUMPRODUCT((GR_Key&lt;&gt;"")*(GR_Kind&lt;&gt;"legacy"))</f>
        <v>5</v>
      </c>
    </row>
    <row r="74" customFormat="false" ht="15" hidden="false" customHeight="true" outlineLevel="0" collapsed="false">
      <c r="B74" s="20" t="s">
        <v>3766</v>
      </c>
      <c r="C74" s="42" t="n">
        <f aca="false">SUMPRODUCT((GR_Key&lt;&gt;"")*(GR_Kind&lt;&gt;"legacy")*(GR_PctN&gt;=PR_Good))</f>
        <v>1</v>
      </c>
    </row>
    <row r="75" customFormat="false" ht="15" hidden="false" customHeight="true" outlineLevel="0" collapsed="false">
      <c r="B75" s="20" t="s">
        <v>3767</v>
      </c>
      <c r="C75" s="42" t="n">
        <f aca="false">SUMPRODUCT((GR_Key&lt;&gt;"")*(GR_Kind&lt;&gt;"legacy")*(GR_PctN&lt;PR_LowPct))</f>
        <v>0</v>
      </c>
    </row>
    <row r="76" customFormat="false" ht="15" hidden="false" customHeight="true" outlineLevel="0" collapsed="false">
      <c r="B76" s="20" t="s">
        <v>3768</v>
      </c>
      <c r="C76" s="42" t="n">
        <f aca="false">IF(OR(F_PenM&gt;0,IF(RG_Exists=1,INDEX(GR_PctN,RG_Row)&gt;=PR_Good,FALSE())),1,0)</f>
        <v>1</v>
      </c>
    </row>
    <row r="77" customFormat="false" ht="15" hidden="false" customHeight="true" outlineLevel="0" collapsed="false">
      <c r="B77" s="20" t="s">
        <v>3769</v>
      </c>
      <c r="C77" s="42" t="str">
        <f aca="false">IF(L4_N=0,"na",IF(L4_Low&gt;L4_N/2,"bad",IF(AND(L4_On=L4_N,L4_PenOn=1),"ok","mid")))</f>
        <v>mid</v>
      </c>
    </row>
    <row r="78" customFormat="false" ht="15" hidden="false" customHeight="true" outlineLevel="0" collapsed="false">
      <c r="B78" s="20" t="s">
        <v>3770</v>
      </c>
      <c r="C78" s="42" t="str">
        <f aca="false">IF(L4_N&gt;0,L4_On&amp;" of "&amp;L4_N&amp;" goals on track"&amp;IF(L4_PenOn=1," · pension saving under way"," · no pension saving yet"),"Add goals to check this")</f>
        <v>1 of 5 goals on track · pension saving under way</v>
      </c>
    </row>
    <row r="79" customFormat="false" ht="15" hidden="false" customHeight="true" outlineLevel="0" collapsed="false">
      <c r="B79" s="20" t="s">
        <v>3771</v>
      </c>
      <c r="C79" s="42" t="n">
        <f aca="false">SUMPRODUCT((GR_Key&lt;&gt;"")*((GR_Key="wealth")+(GR_Kind="legacy")&gt;0))</f>
        <v>0</v>
      </c>
    </row>
    <row r="80" customFormat="false" ht="15" hidden="false" customHeight="true" outlineLevel="0" collapsed="false">
      <c r="B80" s="20" t="s">
        <v>3772</v>
      </c>
      <c r="C80" s="42" t="n">
        <f aca="false">IFERROR(MATCH(1,INDEX((GR_Key&lt;&gt;"")*((GR_Key="wealth")+(GR_Kind="legacy")&gt;0)*(GR_PctN&gt;=PR_Good),0),0),0)</f>
        <v>0</v>
      </c>
    </row>
    <row r="81" customFormat="false" ht="15" hidden="false" customHeight="true" outlineLevel="0" collapsed="false">
      <c r="B81" s="20" t="s">
        <v>3773</v>
      </c>
      <c r="C81" s="42" t="n">
        <f aca="false">IFERROR(MATCH(1,INDEX((GR_Key&lt;&gt;"")*((GR_Key="wealth")+(GR_Kind="legacy")&gt;0),0),0),0)</f>
        <v>0</v>
      </c>
    </row>
    <row r="82" customFormat="false" ht="15" hidden="false" customHeight="true" outlineLevel="0" collapsed="false">
      <c r="B82" s="20" t="s">
        <v>3774</v>
      </c>
      <c r="C82" s="42" t="n">
        <f aca="false">IF(AND(Has_invest=1,F_Invest&gt;0),1,0)</f>
        <v>1</v>
      </c>
    </row>
    <row r="83" customFormat="false" ht="15" hidden="false" customHeight="true" outlineLevel="0" collapsed="false">
      <c r="B83" s="20" t="s">
        <v>3775</v>
      </c>
      <c r="C83" s="42" t="str">
        <f aca="false">IF(OR(L5_Inv=1,L5_OnIdx&gt;0),"ok",IF(L5_N&gt;0,"mid","na"))</f>
        <v>ok</v>
      </c>
    </row>
    <row r="84" customFormat="false" ht="15" hidden="false" customHeight="true" outlineLevel="0" collapsed="false">
      <c r="B84" s="20" t="s">
        <v>3776</v>
      </c>
      <c r="C84" s="42" t="str">
        <f aca="false">IF(L5_Inv=1,"Investing "&amp;"€"&amp;TEXT(ROUND(F_Invest,0),"#,##0")&amp;IF(L5_OnIdx&gt;0," · "&amp;LOWER(INDEX(GR_Name,L5_OnIdx))&amp;" on track",""),IF(L5_OnIdx&gt;0,INDEX(GR_Name,L5_OnIdx)&amp;" on track",IF(L5_N&gt;0,INDEX(GR_Name,L5_FirstIdx)&amp;" not on track yet","Not started yet")))</f>
        <v>Investing €6,200</v>
      </c>
    </row>
    <row r="85" customFormat="false" ht="15" hidden="false" customHeight="true" outlineLevel="0" collapsed="false">
      <c r="B85" s="20" t="s">
        <v>3777</v>
      </c>
      <c r="C85" s="42" t="str">
        <f aca="false">IF(AND(Fnd2_St="ok",OR(Fnd1_St="bad",Fnd1_St="mid")),"held",Fnd2_St)</f>
        <v>bad</v>
      </c>
    </row>
    <row r="86" customFormat="false" ht="15" hidden="false" customHeight="true" outlineLevel="0" collapsed="false">
      <c r="B86" s="20" t="s">
        <v>3778</v>
      </c>
      <c r="C86" s="42" t="str">
        <f aca="false">IF(AND(Fnd3_St="ok",OR(Fnd1_St="bad",Fnd1_St="mid",Fnd2_St="bad",Fnd2_St="mid")),"held",Fnd3_St)</f>
        <v>bad</v>
      </c>
    </row>
    <row r="87" customFormat="false" ht="15" hidden="false" customHeight="true" outlineLevel="0" collapsed="false">
      <c r="B87" s="20" t="s">
        <v>3779</v>
      </c>
      <c r="C87" s="42" t="str">
        <f aca="false">IF(AND(Fnd4_St="ok",OR(Fnd1_St="bad",Fnd1_St="mid",Fnd2_St="bad",Fnd2_St="mid",Fnd3_St="bad",Fnd3_St="mid")),"held",Fnd4_St)</f>
        <v>mid</v>
      </c>
    </row>
    <row r="88" customFormat="false" ht="15" hidden="false" customHeight="true" outlineLevel="0" collapsed="false">
      <c r="B88" s="20" t="s">
        <v>3780</v>
      </c>
      <c r="C88" s="42" t="str">
        <f aca="false">IF(AND(Fnd5_St="ok",OR(Fnd1_St="bad",Fnd1_St="mid",Fnd2_St="bad",Fnd2_St="mid",Fnd3_St="bad",Fnd3_St="mid",Fnd4_St="bad",Fnd4_St="mid")),"held",Fnd5_St)</f>
        <v>held</v>
      </c>
    </row>
    <row r="89" customFormat="false" ht="15" hidden="false" customHeight="true" outlineLevel="0" collapsed="false">
      <c r="B89" s="20" t="s">
        <v>3781</v>
      </c>
      <c r="C89" s="42" t="str">
        <f aca="false">Fnd1_St</f>
        <v>mid</v>
      </c>
    </row>
    <row r="91" customFormat="false" ht="15" hidden="false" customHeight="true" outlineLevel="0" collapsed="false">
      <c r="B91" s="23" t="s">
        <v>3782</v>
      </c>
      <c r="C91" s="23" t="s">
        <v>1226</v>
      </c>
    </row>
    <row r="92" customFormat="false" ht="15" hidden="false" customHeight="true" outlineLevel="0" collapsed="false">
      <c r="B92" s="20" t="s">
        <v>3783</v>
      </c>
      <c r="C92" s="42" t="n">
        <f aca="false">IF(Fnd1_Fin&lt;&gt;"ok",1,IF(Fnd2_Fin&lt;&gt;"ok",2,IF(Fnd3_Fin&lt;&gt;"ok",3,IF(Fnd4_Fin&lt;&gt;"ok",4,IF(Fnd5_Fin&lt;&gt;"ok",5,0)))))</f>
        <v>1</v>
      </c>
    </row>
    <row r="93" customFormat="false" ht="15" hidden="false" customHeight="true" outlineLevel="0" collapsed="false">
      <c r="B93" s="20" t="s">
        <v>3784</v>
      </c>
      <c r="C93" s="42" t="str">
        <f aca="false">IF(L3_Rank=9,"",IF(AND(L3_CardSt&lt;&gt;"",IF(L3_CardSt="",9,IF(L3_CardSt="bad",0,IF(L3_CardSt="mid",1,IF(L3_CardSt="na",2,3))))=L3_Rank),"debtpay",IF(AND(L3_LoanSt&lt;&gt;"",IF(L3_LoanSt="",9,IF(L3_LoanSt="bad",0,IF(L3_LoanSt="mid",1,IF(L3_LoanSt="na",2,3))))=L3_Rank),"debtpay","")))</f>
        <v>debtpay</v>
      </c>
    </row>
    <row r="94" customFormat="false" ht="15" hidden="false" customHeight="true" outlineLevel="0" collapsed="false">
      <c r="B94" s="20" t="s">
        <v>3785</v>
      </c>
      <c r="C94" s="42"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20" t="s">
        <v>3786</v>
      </c>
      <c r="C95" s="42"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About €135 a month spare.</v>
      </c>
    </row>
    <row r="96" customFormat="false" ht="15" hidden="false" customHeight="true" outlineLevel="0" collapsed="false">
      <c r="B96" s="20" t="s">
        <v>3787</v>
      </c>
      <c r="C96" s="42" t="n">
        <f aca="false">SUMPRODUCT((GR_Key&lt;&gt;"")*(GR_PctN&lt;PR_Good))</f>
        <v>4</v>
      </c>
    </row>
    <row r="97" customFormat="false" ht="15" hidden="false" customHeight="true" outlineLevel="0" collapsed="false">
      <c r="B97" s="20" t="s">
        <v>3788</v>
      </c>
      <c r="C97" s="42"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Kids' education|Travel|Emergency fund|Retire comfortably|</v>
      </c>
    </row>
    <row r="99" customFormat="false" ht="15" hidden="false" customHeight="true" outlineLevel="0" collapsed="false">
      <c r="B99" s="23" t="s">
        <v>3789</v>
      </c>
      <c r="C99" s="23" t="s">
        <v>1226</v>
      </c>
    </row>
    <row r="100" customFormat="false" ht="61.5" hidden="false" customHeight="true" outlineLevel="0" collapsed="false">
      <c r="B100" s="33" t="s">
        <v>3790</v>
      </c>
      <c r="C100" s="33" t="s">
        <v>3791</v>
      </c>
      <c r="D100" s="33" t="s">
        <v>3792</v>
      </c>
      <c r="E100" s="33" t="s">
        <v>3793</v>
      </c>
      <c r="F100" s="33" t="s">
        <v>3794</v>
      </c>
      <c r="G100" s="33" t="s">
        <v>3795</v>
      </c>
      <c r="H100" s="33" t="s">
        <v>3796</v>
      </c>
      <c r="I100" s="33" t="s">
        <v>3797</v>
      </c>
      <c r="J100" s="33" t="s">
        <v>3798</v>
      </c>
      <c r="K100" s="33" t="s">
        <v>3799</v>
      </c>
      <c r="L100" s="33" t="s">
        <v>3800</v>
      </c>
      <c r="M100" s="33" t="s">
        <v>3801</v>
      </c>
      <c r="N100" s="33" t="s">
        <v>3802</v>
      </c>
      <c r="O100" s="33" t="s">
        <v>3803</v>
      </c>
      <c r="P100" s="33" t="s">
        <v>3804</v>
      </c>
      <c r="Q100" s="33" t="s">
        <v>586</v>
      </c>
    </row>
    <row r="101" customFormat="false" ht="15" hidden="false" customHeight="true" outlineLevel="0" collapsed="false">
      <c r="B101" s="20" t="s">
        <v>3805</v>
      </c>
      <c r="C101" s="20" t="n">
        <f aca="false">IF(1,1,0)</f>
        <v>1</v>
      </c>
      <c r="D101" s="20" t="n">
        <v>0</v>
      </c>
      <c r="E101" s="20" t="n">
        <f aca="false">IF(1,1,0)</f>
        <v>1</v>
      </c>
      <c r="F101" s="20" t="n">
        <v>1</v>
      </c>
      <c r="G101" s="20" t="n">
        <f aca="false">IF(ISNUMBER(SEARCH(","&amp;"name"&amp;",",","&amp;SUBSTITUTE(In_lookKeys," ","")&amp;",")),1,0)</f>
        <v>0</v>
      </c>
      <c r="H101" s="20" t="n">
        <f aca="false">IF(ISNUMBER(SEARCH(","&amp;"name"&amp;",",","&amp;SUBSTITUTE(In_ackKeys," ","")&amp;",")),1,0)</f>
        <v>0</v>
      </c>
      <c r="I101" s="20" t="n">
        <f aca="false">C101*(1-D101)</f>
        <v>1</v>
      </c>
      <c r="J101" s="20" t="n">
        <f aca="false">I101*E101</f>
        <v>1</v>
      </c>
      <c r="K101" s="20" t="n">
        <f aca="false">C101*G101*(1-H101)</f>
        <v>0</v>
      </c>
      <c r="L101" s="20" t="n">
        <f aca="false">C101*E101*(1-F101)</f>
        <v>0</v>
      </c>
      <c r="M101" s="20" t="n">
        <f aca="false">C101*MAX(E101,G101)</f>
        <v>1</v>
      </c>
      <c r="N101" s="20" t="n">
        <v>1</v>
      </c>
      <c r="O101" s="20" t="n">
        <f aca="false">C101*IF(G101=1,1,IF(AND(D101=0,E101=0),1,0))</f>
        <v>0</v>
      </c>
      <c r="P101" s="20" t="n">
        <f aca="false">C101*E101*(1-G101)</f>
        <v>1</v>
      </c>
      <c r="Q101" s="20" t="s">
        <v>3806</v>
      </c>
    </row>
    <row r="102" customFormat="false" ht="15" hidden="false" customHeight="true" outlineLevel="0" collapsed="false">
      <c r="B102" s="20" t="s">
        <v>3701</v>
      </c>
      <c r="C102" s="20" t="n">
        <f aca="false">IF(Has_age=0,1,0)</f>
        <v>0</v>
      </c>
      <c r="D102" s="20" t="n">
        <v>0</v>
      </c>
      <c r="E102" s="20" t="n">
        <f aca="false">IF(Has_age,1,0)</f>
        <v>1</v>
      </c>
      <c r="F102" s="20" t="n">
        <v>1</v>
      </c>
      <c r="G102" s="20" t="n">
        <f aca="false">IF(ISNUMBER(SEARCH(","&amp;"age"&amp;",",","&amp;SUBSTITUTE(In_lookKeys," ","")&amp;",")),1,0)</f>
        <v>0</v>
      </c>
      <c r="H102" s="20" t="n">
        <f aca="false">IF(ISNUMBER(SEARCH(","&amp;"age"&amp;",",","&amp;SUBSTITUTE(In_ackKeys," ","")&amp;",")),1,0)</f>
        <v>0</v>
      </c>
      <c r="I102" s="20" t="n">
        <f aca="false">C102*(1-D102)</f>
        <v>0</v>
      </c>
      <c r="J102" s="20" t="n">
        <f aca="false">I102*E102</f>
        <v>0</v>
      </c>
      <c r="K102" s="20" t="n">
        <f aca="false">C102*G102*(1-H102)</f>
        <v>0</v>
      </c>
      <c r="L102" s="20" t="n">
        <f aca="false">C102*E102*(1-F102)</f>
        <v>0</v>
      </c>
      <c r="M102" s="20" t="n">
        <f aca="false">C102*MAX(E102,G102)</f>
        <v>0</v>
      </c>
      <c r="N102" s="20" t="n">
        <v>1</v>
      </c>
      <c r="O102" s="20" t="n">
        <f aca="false">C102*IF(G102=1,1,IF(AND(D102=0,E102=0),1,0))</f>
        <v>0</v>
      </c>
      <c r="P102" s="20" t="n">
        <f aca="false">C102*E102*(1-G102)</f>
        <v>0</v>
      </c>
      <c r="Q102" s="20" t="s">
        <v>934</v>
      </c>
    </row>
    <row r="103" customFormat="false" ht="15" hidden="false" customHeight="true" outlineLevel="0" collapsed="false">
      <c r="B103" s="20" t="s">
        <v>116</v>
      </c>
      <c r="C103" s="20" t="n">
        <f aca="false">IF(1,1,0)</f>
        <v>1</v>
      </c>
      <c r="D103" s="20" t="n">
        <v>0</v>
      </c>
      <c r="E103" s="20" t="n">
        <f aca="false">IF(Has_retireAge,1,0)</f>
        <v>1</v>
      </c>
      <c r="F103" s="20" t="n">
        <v>0</v>
      </c>
      <c r="G103" s="20" t="n">
        <f aca="false">IF(ISNUMBER(SEARCH(","&amp;"retireAge"&amp;",",","&amp;SUBSTITUTE(In_lookKeys," ","")&amp;",")),1,0)</f>
        <v>0</v>
      </c>
      <c r="H103" s="20" t="n">
        <f aca="false">IF(ISNUMBER(SEARCH(","&amp;"retireAge"&amp;",",","&amp;SUBSTITUTE(In_ackKeys," ","")&amp;",")),1,0)</f>
        <v>0</v>
      </c>
      <c r="I103" s="20" t="n">
        <f aca="false">C103*(1-D103)</f>
        <v>1</v>
      </c>
      <c r="J103" s="20" t="n">
        <f aca="false">I103*E103</f>
        <v>1</v>
      </c>
      <c r="K103" s="20" t="n">
        <f aca="false">C103*G103*(1-H103)</f>
        <v>0</v>
      </c>
      <c r="L103" s="20" t="n">
        <f aca="false">C103*E103*(1-F103)</f>
        <v>1</v>
      </c>
      <c r="M103" s="20" t="n">
        <f aca="false">C103*MAX(E103,G103)</f>
        <v>1</v>
      </c>
      <c r="N103" s="20" t="n">
        <v>1</v>
      </c>
      <c r="O103" s="20" t="n">
        <f aca="false">0</f>
        <v>0</v>
      </c>
      <c r="P103" s="20" t="n">
        <f aca="false">0</f>
        <v>0</v>
      </c>
      <c r="Q103" s="20" t="s">
        <v>3706</v>
      </c>
    </row>
    <row r="104" customFormat="false" ht="15" hidden="false" customHeight="true" outlineLevel="0" collapsed="false">
      <c r="B104" s="20" t="s">
        <v>3704</v>
      </c>
      <c r="C104" s="20" t="n">
        <f aca="false">IF(AND(F_Partner=1,In_pIncome&gt;0),1,0)</f>
        <v>1</v>
      </c>
      <c r="D104" s="20" t="n">
        <v>0</v>
      </c>
      <c r="E104" s="20" t="n">
        <f aca="false">IF(Has_pAge,1,0)</f>
        <v>1</v>
      </c>
      <c r="F104" s="20" t="n">
        <v>0</v>
      </c>
      <c r="G104" s="20" t="n">
        <f aca="false">IF(ISNUMBER(SEARCH(","&amp;"pAge"&amp;",",","&amp;SUBSTITUTE(In_lookKeys," ","")&amp;",")),1,0)</f>
        <v>0</v>
      </c>
      <c r="H104" s="20" t="n">
        <f aca="false">IF(ISNUMBER(SEARCH(","&amp;"pAge"&amp;",",","&amp;SUBSTITUTE(In_ackKeys," ","")&amp;",")),1,0)</f>
        <v>0</v>
      </c>
      <c r="I104" s="20" t="n">
        <f aca="false">C104*(1-D104)</f>
        <v>1</v>
      </c>
      <c r="J104" s="20" t="n">
        <f aca="false">I104*E104</f>
        <v>1</v>
      </c>
      <c r="K104" s="20" t="n">
        <f aca="false">C104*G104*(1-H104)</f>
        <v>0</v>
      </c>
      <c r="L104" s="20" t="n">
        <f aca="false">C104*E104*(1-F104)</f>
        <v>1</v>
      </c>
      <c r="M104" s="20" t="n">
        <f aca="false">C104*MAX(E104,G104)</f>
        <v>1</v>
      </c>
      <c r="N104" s="20" t="n">
        <v>1</v>
      </c>
      <c r="O104" s="20" t="n">
        <f aca="false">C104*IF(G104=1,1,IF(AND(D104=0,E104=0),1,0))</f>
        <v>0</v>
      </c>
      <c r="P104" s="20" t="n">
        <f aca="false">C104*E104*(1-G104)</f>
        <v>1</v>
      </c>
      <c r="Q104" s="20" t="s">
        <v>3703</v>
      </c>
    </row>
    <row r="105" customFormat="false" ht="15" hidden="false" customHeight="true" outlineLevel="0" collapsed="false">
      <c r="B105" s="20" t="s">
        <v>3807</v>
      </c>
      <c r="C105" s="20" t="n">
        <f aca="false">IF(1,1,0)</f>
        <v>1</v>
      </c>
      <c r="D105" s="20" t="n">
        <v>0</v>
      </c>
      <c r="E105" s="20" t="n">
        <f aca="false">IF(Has_work,1,0)</f>
        <v>1</v>
      </c>
      <c r="F105" s="20" t="n">
        <v>0</v>
      </c>
      <c r="G105" s="20" t="n">
        <f aca="false">IF(ISNUMBER(SEARCH(","&amp;"work"&amp;",",","&amp;SUBSTITUTE(In_lookKeys," ","")&amp;",")),1,0)</f>
        <v>0</v>
      </c>
      <c r="H105" s="20" t="n">
        <f aca="false">IF(ISNUMBER(SEARCH(","&amp;"work"&amp;",",","&amp;SUBSTITUTE(In_ackKeys," ","")&amp;",")),1,0)</f>
        <v>0</v>
      </c>
      <c r="I105" s="20" t="n">
        <f aca="false">C105*(1-D105)</f>
        <v>1</v>
      </c>
      <c r="J105" s="20" t="n">
        <f aca="false">I105*E105</f>
        <v>1</v>
      </c>
      <c r="K105" s="20" t="n">
        <f aca="false">C105*G105*(1-H105)</f>
        <v>0</v>
      </c>
      <c r="L105" s="20" t="n">
        <f aca="false">C105*E105*(1-F105)</f>
        <v>1</v>
      </c>
      <c r="M105" s="20" t="n">
        <f aca="false">C105*MAX(E105,G105)</f>
        <v>1</v>
      </c>
      <c r="N105" s="20" t="n">
        <v>2</v>
      </c>
      <c r="O105" s="20" t="n">
        <f aca="false">C105*IF(G105=1,1,IF(AND(D105=0,E105=0),1,0))</f>
        <v>0</v>
      </c>
      <c r="P105" s="20" t="n">
        <f aca="false">C105*E105*(1-G105)</f>
        <v>1</v>
      </c>
      <c r="Q105" s="20" t="s">
        <v>3808</v>
      </c>
    </row>
    <row r="106" customFormat="false" ht="15" hidden="false" customHeight="true" outlineLevel="0" collapsed="false">
      <c r="B106" s="20" t="s">
        <v>972</v>
      </c>
      <c r="C106" s="20" t="n">
        <f aca="false">IF(1,1,0)</f>
        <v>1</v>
      </c>
      <c r="D106" s="20" t="n">
        <v>0</v>
      </c>
      <c r="E106" s="20" t="n">
        <f aca="false">IF(Has_income,1,0)</f>
        <v>1</v>
      </c>
      <c r="F106" s="20" t="n">
        <v>0</v>
      </c>
      <c r="G106" s="20" t="n">
        <f aca="false">IF(ISNUMBER(SEARCH(","&amp;"income"&amp;",",","&amp;SUBSTITUTE(In_lookKeys," ","")&amp;",")),1,0)</f>
        <v>0</v>
      </c>
      <c r="H106" s="20" t="n">
        <f aca="false">IF(ISNUMBER(SEARCH(","&amp;"income"&amp;",",","&amp;SUBSTITUTE(In_ackKeys," ","")&amp;",")),1,0)</f>
        <v>0</v>
      </c>
      <c r="I106" s="20" t="n">
        <f aca="false">C106*(1-D106)</f>
        <v>1</v>
      </c>
      <c r="J106" s="20" t="n">
        <f aca="false">I106*E106</f>
        <v>1</v>
      </c>
      <c r="K106" s="20" t="n">
        <f aca="false">C106*G106*(1-H106)</f>
        <v>0</v>
      </c>
      <c r="L106" s="20" t="n">
        <f aca="false">C106*E106*(1-F106)</f>
        <v>1</v>
      </c>
      <c r="M106" s="20" t="n">
        <f aca="false">C106*MAX(E106,G106)</f>
        <v>1</v>
      </c>
      <c r="N106" s="20" t="n">
        <v>2</v>
      </c>
      <c r="O106" s="20" t="n">
        <f aca="false">C106*IF(G106=1,1,IF(AND(D106=0,E106=0),1,0))</f>
        <v>0</v>
      </c>
      <c r="P106" s="20" t="n">
        <f aca="false">C106*E106*(1-G106)</f>
        <v>1</v>
      </c>
      <c r="Q106" s="20" t="s">
        <v>3809</v>
      </c>
    </row>
    <row r="107" customFormat="false" ht="15" hidden="false" customHeight="true" outlineLevel="0" collapsed="false">
      <c r="B107" s="20" t="s">
        <v>974</v>
      </c>
      <c r="C107" s="20" t="n">
        <f aca="false">IF(F_Partner=1,1,0)</f>
        <v>1</v>
      </c>
      <c r="D107" s="20" t="n">
        <v>0</v>
      </c>
      <c r="E107" s="20" t="n">
        <f aca="false">IF(Has_pIncome,1,0)</f>
        <v>1</v>
      </c>
      <c r="F107" s="20" t="n">
        <v>0</v>
      </c>
      <c r="G107" s="20" t="n">
        <f aca="false">IF(ISNUMBER(SEARCH(","&amp;"pIncome"&amp;",",","&amp;SUBSTITUTE(In_lookKeys," ","")&amp;",")),1,0)</f>
        <v>0</v>
      </c>
      <c r="H107" s="20" t="n">
        <f aca="false">IF(ISNUMBER(SEARCH(","&amp;"pIncome"&amp;",",","&amp;SUBSTITUTE(In_ackKeys," ","")&amp;",")),1,0)</f>
        <v>0</v>
      </c>
      <c r="I107" s="20" t="n">
        <f aca="false">C107*(1-D107)</f>
        <v>1</v>
      </c>
      <c r="J107" s="20" t="n">
        <f aca="false">I107*E107</f>
        <v>1</v>
      </c>
      <c r="K107" s="20" t="n">
        <f aca="false">C107*G107*(1-H107)</f>
        <v>0</v>
      </c>
      <c r="L107" s="20" t="n">
        <f aca="false">C107*E107*(1-F107)</f>
        <v>1</v>
      </c>
      <c r="M107" s="20" t="n">
        <f aca="false">C107*MAX(E107,G107)</f>
        <v>1</v>
      </c>
      <c r="N107" s="20" t="n">
        <v>2</v>
      </c>
      <c r="O107" s="20" t="n">
        <f aca="false">C107*IF(G107=1,1,IF(AND(D107=0,E107=0),1,0))</f>
        <v>0</v>
      </c>
      <c r="P107" s="20" t="n">
        <f aca="false">C107*E107*(1-G107)</f>
        <v>1</v>
      </c>
      <c r="Q107" s="20" t="s">
        <v>3810</v>
      </c>
    </row>
    <row r="108" customFormat="false" ht="15" hidden="false" customHeight="true" outlineLevel="0" collapsed="false">
      <c r="B108" s="20" t="s">
        <v>1506</v>
      </c>
      <c r="C108" s="20" t="n">
        <f aca="false">IF(1,1,0)</f>
        <v>1</v>
      </c>
      <c r="D108" s="20" t="n">
        <v>1</v>
      </c>
      <c r="E108" s="20" t="n">
        <f aca="false">IF(Has_otherM,1,0)</f>
        <v>1</v>
      </c>
      <c r="F108" s="20" t="n">
        <v>0</v>
      </c>
      <c r="G108" s="20" t="n">
        <f aca="false">IF(ISNUMBER(SEARCH(","&amp;"otherM"&amp;",",","&amp;SUBSTITUTE(In_lookKeys," ","")&amp;",")),1,0)</f>
        <v>0</v>
      </c>
      <c r="H108" s="20" t="n">
        <f aca="false">IF(ISNUMBER(SEARCH(","&amp;"otherM"&amp;",",","&amp;SUBSTITUTE(In_ackKeys," ","")&amp;",")),1,0)</f>
        <v>0</v>
      </c>
      <c r="I108" s="20" t="n">
        <f aca="false">C108*(1-D108)</f>
        <v>0</v>
      </c>
      <c r="J108" s="20" t="n">
        <f aca="false">I108*E108</f>
        <v>0</v>
      </c>
      <c r="K108" s="20" t="n">
        <f aca="false">C108*G108*(1-H108)</f>
        <v>0</v>
      </c>
      <c r="L108" s="20" t="n">
        <f aca="false">C108*E108*(1-F108)</f>
        <v>1</v>
      </c>
      <c r="M108" s="20" t="n">
        <f aca="false">C108*MAX(E108,G108)</f>
        <v>1</v>
      </c>
      <c r="N108" s="20" t="n">
        <v>2</v>
      </c>
      <c r="O108" s="20" t="n">
        <f aca="false">C108*IF(G108=1,1,IF(AND(D108=0,E108=0),1,0))</f>
        <v>0</v>
      </c>
      <c r="P108" s="20" t="n">
        <f aca="false">C108*E108*(1-G108)</f>
        <v>1</v>
      </c>
      <c r="Q108" s="20" t="s">
        <v>3811</v>
      </c>
    </row>
    <row r="109" customFormat="false" ht="15" hidden="false" customHeight="true" outlineLevel="0" collapsed="false">
      <c r="B109" s="20" t="s">
        <v>3812</v>
      </c>
      <c r="C109" s="20" t="n">
        <f aca="false">IF(1,1,0)</f>
        <v>1</v>
      </c>
      <c r="D109" s="20" t="n">
        <v>0</v>
      </c>
      <c r="E109" s="20" t="n">
        <f aca="false">IF(Has_costsM,1,0)</f>
        <v>1</v>
      </c>
      <c r="F109" s="20" t="n">
        <v>0</v>
      </c>
      <c r="G109" s="20" t="n">
        <f aca="false">IF(ISNUMBER(SEARCH(","&amp;"costsM"&amp;",",","&amp;SUBSTITUTE(In_lookKeys," ","")&amp;",")),1,0)</f>
        <v>0</v>
      </c>
      <c r="H109" s="20" t="n">
        <f aca="false">IF(ISNUMBER(SEARCH(","&amp;"costsM"&amp;",",","&amp;SUBSTITUTE(In_ackKeys," ","")&amp;",")),1,0)</f>
        <v>0</v>
      </c>
      <c r="I109" s="20" t="n">
        <f aca="false">C109*(1-D109)</f>
        <v>1</v>
      </c>
      <c r="J109" s="20" t="n">
        <f aca="false">I109*E109</f>
        <v>1</v>
      </c>
      <c r="K109" s="20" t="n">
        <f aca="false">C109*G109*(1-H109)</f>
        <v>0</v>
      </c>
      <c r="L109" s="20" t="n">
        <f aca="false">C109*E109*(1-F109)</f>
        <v>1</v>
      </c>
      <c r="M109" s="20" t="n">
        <f aca="false">C109*MAX(E109,G109)</f>
        <v>1</v>
      </c>
      <c r="N109" s="20" t="n">
        <v>2</v>
      </c>
      <c r="O109" s="20" t="n">
        <f aca="false">C109*IF(G109=1,1,IF(AND(D109=0,E109=0),1,0))</f>
        <v>0</v>
      </c>
      <c r="P109" s="20" t="n">
        <f aca="false">C109*E109*(1-G109)</f>
        <v>1</v>
      </c>
      <c r="Q109" s="20" t="s">
        <v>3813</v>
      </c>
    </row>
    <row r="110" customFormat="false" ht="15" hidden="false" customHeight="true" outlineLevel="0" collapsed="false">
      <c r="B110" s="20" t="s">
        <v>982</v>
      </c>
      <c r="C110" s="20" t="n">
        <f aca="false">IF(1,1,0)</f>
        <v>1</v>
      </c>
      <c r="D110" s="20" t="n">
        <v>1</v>
      </c>
      <c r="E110" s="20" t="n">
        <f aca="false">IF(Has_oneOffY,1,0)</f>
        <v>1</v>
      </c>
      <c r="F110" s="20" t="n">
        <v>0</v>
      </c>
      <c r="G110" s="20" t="n">
        <f aca="false">IF(ISNUMBER(SEARCH(","&amp;"oneOffY"&amp;",",","&amp;SUBSTITUTE(In_lookKeys," ","")&amp;",")),1,0)</f>
        <v>0</v>
      </c>
      <c r="H110" s="20" t="n">
        <f aca="false">IF(ISNUMBER(SEARCH(","&amp;"oneOffY"&amp;",",","&amp;SUBSTITUTE(In_ackKeys," ","")&amp;",")),1,0)</f>
        <v>0</v>
      </c>
      <c r="I110" s="20" t="n">
        <f aca="false">C110*(1-D110)</f>
        <v>0</v>
      </c>
      <c r="J110" s="20" t="n">
        <f aca="false">I110*E110</f>
        <v>0</v>
      </c>
      <c r="K110" s="20" t="n">
        <f aca="false">C110*G110*(1-H110)</f>
        <v>0</v>
      </c>
      <c r="L110" s="20" t="n">
        <f aca="false">C110*E110*(1-F110)</f>
        <v>1</v>
      </c>
      <c r="M110" s="20" t="n">
        <f aca="false">C110*MAX(E110,G110)</f>
        <v>1</v>
      </c>
      <c r="N110" s="20" t="n">
        <v>2</v>
      </c>
      <c r="O110" s="20" t="n">
        <f aca="false">C110*IF(G110=1,1,IF(AND(D110=0,E110=0),1,0))</f>
        <v>0</v>
      </c>
      <c r="P110" s="20" t="n">
        <f aca="false">C110*E110*(1-G110)</f>
        <v>1</v>
      </c>
      <c r="Q110" s="20" t="s">
        <v>3814</v>
      </c>
    </row>
    <row r="111" customFormat="false" ht="15" hidden="false" customHeight="true" outlineLevel="0" collapsed="false">
      <c r="B111" s="20" t="s">
        <v>468</v>
      </c>
      <c r="C111" s="20" t="n">
        <f aca="false">IF(1,1,0)</f>
        <v>1</v>
      </c>
      <c r="D111" s="20" t="n">
        <v>0</v>
      </c>
      <c r="E111" s="20" t="n">
        <f aca="false">IF(Has_home,1,0)</f>
        <v>1</v>
      </c>
      <c r="F111" s="20" t="n">
        <v>0</v>
      </c>
      <c r="G111" s="20" t="n">
        <f aca="false">IF(ISNUMBER(SEARCH(","&amp;"home"&amp;",",","&amp;SUBSTITUTE(In_lookKeys," ","")&amp;",")),1,0)</f>
        <v>0</v>
      </c>
      <c r="H111" s="20" t="n">
        <f aca="false">IF(ISNUMBER(SEARCH(","&amp;"home"&amp;",",","&amp;SUBSTITUTE(In_ackKeys," ","")&amp;",")),1,0)</f>
        <v>0</v>
      </c>
      <c r="I111" s="20" t="n">
        <f aca="false">C111*(1-D111)</f>
        <v>1</v>
      </c>
      <c r="J111" s="20" t="n">
        <f aca="false">I111*E111</f>
        <v>1</v>
      </c>
      <c r="K111" s="20" t="n">
        <f aca="false">C111*G111*(1-H111)</f>
        <v>0</v>
      </c>
      <c r="L111" s="20" t="n">
        <f aca="false">C111*E111*(1-F111)</f>
        <v>1</v>
      </c>
      <c r="M111" s="20" t="n">
        <f aca="false">C111*MAX(E111,G111)</f>
        <v>1</v>
      </c>
      <c r="N111" s="20" t="n">
        <v>3</v>
      </c>
      <c r="O111" s="20" t="n">
        <f aca="false">C111*IF(G111=1,1,IF(AND(D111=0,E111=0),1,0))</f>
        <v>0</v>
      </c>
      <c r="P111" s="20" t="n">
        <f aca="false">C111*E111*(1-G111)</f>
        <v>1</v>
      </c>
      <c r="Q111" s="20" t="s">
        <v>1637</v>
      </c>
    </row>
    <row r="112" customFormat="false" ht="15" hidden="false" customHeight="true" outlineLevel="0" collapsed="false">
      <c r="B112" s="20" t="s">
        <v>991</v>
      </c>
      <c r="C112" s="20" t="n">
        <f aca="false">IF(LEFT(In_home,3)="Own",1,0)</f>
        <v>1</v>
      </c>
      <c r="D112" s="20" t="n">
        <v>0</v>
      </c>
      <c r="E112" s="20" t="n">
        <f aca="false">IF(Has_homeValue,1,0)</f>
        <v>1</v>
      </c>
      <c r="F112" s="20" t="n">
        <v>0</v>
      </c>
      <c r="G112" s="20" t="n">
        <f aca="false">IF(ISNUMBER(SEARCH(","&amp;"homeValue"&amp;",",","&amp;SUBSTITUTE(In_lookKeys," ","")&amp;",")),1,0)</f>
        <v>0</v>
      </c>
      <c r="H112" s="20" t="n">
        <f aca="false">IF(ISNUMBER(SEARCH(","&amp;"homeValue"&amp;",",","&amp;SUBSTITUTE(In_ackKeys," ","")&amp;",")),1,0)</f>
        <v>0</v>
      </c>
      <c r="I112" s="20" t="n">
        <f aca="false">C112*(1-D112)</f>
        <v>1</v>
      </c>
      <c r="J112" s="20" t="n">
        <f aca="false">I112*E112</f>
        <v>1</v>
      </c>
      <c r="K112" s="20" t="n">
        <f aca="false">C112*G112*(1-H112)</f>
        <v>0</v>
      </c>
      <c r="L112" s="20" t="n">
        <f aca="false">C112*E112*(1-F112)</f>
        <v>1</v>
      </c>
      <c r="M112" s="20" t="n">
        <f aca="false">C112*MAX(E112,G112)</f>
        <v>1</v>
      </c>
      <c r="N112" s="20" t="n">
        <v>3</v>
      </c>
      <c r="O112" s="20" t="n">
        <f aca="false">C112*IF(G112=1,1,IF(AND(D112=0,E112=0),1,0))</f>
        <v>0</v>
      </c>
      <c r="P112" s="20" t="n">
        <f aca="false">C112*E112*(1-G112)</f>
        <v>1</v>
      </c>
      <c r="Q112" s="20" t="s">
        <v>3815</v>
      </c>
    </row>
    <row r="113" customFormat="false" ht="15" hidden="false" customHeight="true" outlineLevel="0" collapsed="false">
      <c r="B113" s="20" t="s">
        <v>993</v>
      </c>
      <c r="C113" s="20" t="n">
        <f aca="false">IF(1,1,0)</f>
        <v>1</v>
      </c>
      <c r="D113" s="20" t="n">
        <v>0</v>
      </c>
      <c r="E113" s="20" t="n">
        <f aca="false">IF(Has_cash,1,0)</f>
        <v>1</v>
      </c>
      <c r="F113" s="20" t="n">
        <v>0</v>
      </c>
      <c r="G113" s="20" t="n">
        <f aca="false">IF(ISNUMBER(SEARCH(","&amp;"cash"&amp;",",","&amp;SUBSTITUTE(In_lookKeys," ","")&amp;",")),1,0)</f>
        <v>0</v>
      </c>
      <c r="H113" s="20" t="n">
        <f aca="false">IF(ISNUMBER(SEARCH(","&amp;"cash"&amp;",",","&amp;SUBSTITUTE(In_ackKeys," ","")&amp;",")),1,0)</f>
        <v>0</v>
      </c>
      <c r="I113" s="20" t="n">
        <f aca="false">C113*(1-D113)</f>
        <v>1</v>
      </c>
      <c r="J113" s="20" t="n">
        <f aca="false">I113*E113</f>
        <v>1</v>
      </c>
      <c r="K113" s="20" t="n">
        <f aca="false">C113*G113*(1-H113)</f>
        <v>0</v>
      </c>
      <c r="L113" s="20" t="n">
        <f aca="false">C113*E113*(1-F113)</f>
        <v>1</v>
      </c>
      <c r="M113" s="20" t="n">
        <f aca="false">C113*MAX(E113,G113)</f>
        <v>1</v>
      </c>
      <c r="N113" s="20" t="n">
        <v>3</v>
      </c>
      <c r="O113" s="20" t="n">
        <f aca="false">C113*IF(G113=1,1,IF(AND(D113=0,E113=0),1,0))</f>
        <v>0</v>
      </c>
      <c r="P113" s="20" t="n">
        <f aca="false">C113*E113*(1-G113)</f>
        <v>1</v>
      </c>
      <c r="Q113" s="20" t="s">
        <v>3816</v>
      </c>
    </row>
    <row r="114" customFormat="false" ht="15" hidden="false" customHeight="true" outlineLevel="0" collapsed="false">
      <c r="B114" s="20" t="s">
        <v>995</v>
      </c>
      <c r="C114" s="20" t="n">
        <f aca="false">IF(1,1,0)</f>
        <v>1</v>
      </c>
      <c r="D114" s="20" t="n">
        <v>0</v>
      </c>
      <c r="E114" s="20" t="n">
        <f aca="false">IF(Has_invest,1,0)</f>
        <v>1</v>
      </c>
      <c r="F114" s="20" t="n">
        <v>0</v>
      </c>
      <c r="G114" s="20" t="n">
        <f aca="false">IF(ISNUMBER(SEARCH(","&amp;"invest"&amp;",",","&amp;SUBSTITUTE(In_lookKeys," ","")&amp;",")),1,0)</f>
        <v>0</v>
      </c>
      <c r="H114" s="20" t="n">
        <f aca="false">IF(ISNUMBER(SEARCH(","&amp;"invest"&amp;",",","&amp;SUBSTITUTE(In_ackKeys," ","")&amp;",")),1,0)</f>
        <v>0</v>
      </c>
      <c r="I114" s="20" t="n">
        <f aca="false">C114*(1-D114)</f>
        <v>1</v>
      </c>
      <c r="J114" s="20" t="n">
        <f aca="false">I114*E114</f>
        <v>1</v>
      </c>
      <c r="K114" s="20" t="n">
        <f aca="false">C114*G114*(1-H114)</f>
        <v>0</v>
      </c>
      <c r="L114" s="20" t="n">
        <f aca="false">C114*E114*(1-F114)</f>
        <v>1</v>
      </c>
      <c r="M114" s="20" t="n">
        <f aca="false">C114*MAX(E114,G114)</f>
        <v>1</v>
      </c>
      <c r="N114" s="20" t="n">
        <v>3</v>
      </c>
      <c r="O114" s="20" t="n">
        <f aca="false">C114*IF(G114=1,1,IF(AND(D114=0,E114=0),1,0))</f>
        <v>0</v>
      </c>
      <c r="P114" s="20" t="n">
        <f aca="false">C114*E114*(1-G114)</f>
        <v>1</v>
      </c>
      <c r="Q114" s="20" t="s">
        <v>3817</v>
      </c>
    </row>
    <row r="115" customFormat="false" ht="15" hidden="false" customHeight="true" outlineLevel="0" collapsed="false">
      <c r="B115" s="20" t="s">
        <v>3818</v>
      </c>
      <c r="C115" s="20" t="n">
        <f aca="false">IF(1,1,0)</f>
        <v>1</v>
      </c>
      <c r="D115" s="20" t="n">
        <v>1</v>
      </c>
      <c r="E115" s="20" t="n">
        <f aca="false">IF(Has_propValue,1,0)</f>
        <v>0</v>
      </c>
      <c r="F115" s="20" t="n">
        <v>0</v>
      </c>
      <c r="G115" s="20" t="n">
        <f aca="false">IF(ISNUMBER(SEARCH(","&amp;"propValue"&amp;",",","&amp;SUBSTITUTE(In_lookKeys," ","")&amp;",")),1,0)</f>
        <v>0</v>
      </c>
      <c r="H115" s="20" t="n">
        <f aca="false">IF(ISNUMBER(SEARCH(","&amp;"propValue"&amp;",",","&amp;SUBSTITUTE(In_ackKeys," ","")&amp;",")),1,0)</f>
        <v>0</v>
      </c>
      <c r="I115" s="20" t="n">
        <f aca="false">C115*(1-D115)</f>
        <v>0</v>
      </c>
      <c r="J115" s="20" t="n">
        <f aca="false">I115*E115</f>
        <v>0</v>
      </c>
      <c r="K115" s="20" t="n">
        <f aca="false">C115*G115*(1-H115)</f>
        <v>0</v>
      </c>
      <c r="L115" s="20" t="n">
        <f aca="false">C115*E115*(1-F115)</f>
        <v>0</v>
      </c>
      <c r="M115" s="20" t="n">
        <f aca="false">C115*MAX(E115,G115)</f>
        <v>0</v>
      </c>
      <c r="N115" s="20" t="n">
        <v>3</v>
      </c>
      <c r="O115" s="20" t="n">
        <f aca="false">C115*IF(G115=1,1,IF(AND(D115=0,E115=0),1,0))</f>
        <v>0</v>
      </c>
      <c r="P115" s="20" t="n">
        <f aca="false">C115*E115*(1-G115)</f>
        <v>0</v>
      </c>
      <c r="Q115" s="20" t="s">
        <v>3819</v>
      </c>
    </row>
    <row r="116" customFormat="false" ht="15" hidden="false" customHeight="true" outlineLevel="0" collapsed="false">
      <c r="B116" s="20" t="s">
        <v>3820</v>
      </c>
      <c r="C116" s="20" t="n">
        <f aca="false">IF(1,1,0)</f>
        <v>1</v>
      </c>
      <c r="D116" s="20" t="n">
        <v>1</v>
      </c>
      <c r="E116" s="20" t="n">
        <f aca="false">IF(Has_rentM,1,0)</f>
        <v>0</v>
      </c>
      <c r="F116" s="20" t="n">
        <v>0</v>
      </c>
      <c r="G116" s="20" t="n">
        <f aca="false">IF(ISNUMBER(SEARCH(","&amp;"rentM"&amp;",",","&amp;SUBSTITUTE(In_lookKeys," ","")&amp;",")),1,0)</f>
        <v>0</v>
      </c>
      <c r="H116" s="20" t="n">
        <f aca="false">IF(ISNUMBER(SEARCH(","&amp;"rentM"&amp;",",","&amp;SUBSTITUTE(In_ackKeys," ","")&amp;",")),1,0)</f>
        <v>0</v>
      </c>
      <c r="I116" s="20" t="n">
        <f aca="false">C116*(1-D116)</f>
        <v>0</v>
      </c>
      <c r="J116" s="20" t="n">
        <f aca="false">I116*E116</f>
        <v>0</v>
      </c>
      <c r="K116" s="20" t="n">
        <f aca="false">C116*G116*(1-H116)</f>
        <v>0</v>
      </c>
      <c r="L116" s="20" t="n">
        <f aca="false">C116*E116*(1-F116)</f>
        <v>0</v>
      </c>
      <c r="M116" s="20" t="n">
        <f aca="false">C116*MAX(E116,G116)</f>
        <v>0</v>
      </c>
      <c r="N116" s="20" t="n">
        <v>3</v>
      </c>
      <c r="O116" s="20" t="n">
        <f aca="false">C116*IF(G116=1,1,IF(AND(D116=0,E116=0),1,0))</f>
        <v>0</v>
      </c>
      <c r="P116" s="20" t="n">
        <f aca="false">C116*E116*(1-G116)</f>
        <v>0</v>
      </c>
      <c r="Q116" s="20" t="s">
        <v>3821</v>
      </c>
    </row>
    <row r="117" customFormat="false" ht="15" hidden="false" customHeight="true" outlineLevel="0" collapsed="false">
      <c r="B117" s="20" t="s">
        <v>3822</v>
      </c>
      <c r="C117" s="20" t="n">
        <f aca="false">IF(1,1,0)</f>
        <v>1</v>
      </c>
      <c r="D117" s="20" t="n">
        <v>1</v>
      </c>
      <c r="E117" s="20" t="n">
        <f aca="false">IF(0,1,0)</f>
        <v>0</v>
      </c>
      <c r="F117" s="20" t="n">
        <v>0</v>
      </c>
      <c r="G117" s="20" t="n">
        <f aca="false">IF(ISNUMBER(SEARCH(","&amp;"mortYN"&amp;",",","&amp;SUBSTITUTE(In_lookKeys," ","")&amp;",")),1,0)</f>
        <v>0</v>
      </c>
      <c r="H117" s="20" t="n">
        <f aca="false">IF(ISNUMBER(SEARCH(","&amp;"mortYN"&amp;",",","&amp;SUBSTITUTE(In_ackKeys," ","")&amp;",")),1,0)</f>
        <v>0</v>
      </c>
      <c r="I117" s="20" t="n">
        <f aca="false">C117*(1-D117)</f>
        <v>0</v>
      </c>
      <c r="J117" s="20" t="n">
        <f aca="false">I117*E117</f>
        <v>0</v>
      </c>
      <c r="K117" s="20" t="n">
        <f aca="false">C117*G117*(1-H117)</f>
        <v>0</v>
      </c>
      <c r="L117" s="20" t="n">
        <f aca="false">C117*E117*(1-F117)</f>
        <v>0</v>
      </c>
      <c r="M117" s="20" t="n">
        <f aca="false">C117*MAX(E117,G117)</f>
        <v>0</v>
      </c>
      <c r="N117" s="20" t="n">
        <v>4</v>
      </c>
      <c r="O117" s="20" t="n">
        <f aca="false">C117*IF(G117=1,1,IF(AND(D117=0,E117=0),1,0))</f>
        <v>0</v>
      </c>
      <c r="P117" s="20" t="n">
        <f aca="false">C117*E117*(1-G117)</f>
        <v>0</v>
      </c>
      <c r="Q117" s="20" t="s">
        <v>3823</v>
      </c>
    </row>
    <row r="118" customFormat="false" ht="15" hidden="false" customHeight="true" outlineLevel="0" collapsed="false">
      <c r="B118" s="20" t="s">
        <v>997</v>
      </c>
      <c r="C118" s="20" t="n">
        <f aca="false">IF(In_home="Own with mortgage",1,0)</f>
        <v>1</v>
      </c>
      <c r="D118" s="20" t="n">
        <v>0</v>
      </c>
      <c r="E118" s="20" t="n">
        <f aca="false">IF(Has_mortBal,1,0)</f>
        <v>1</v>
      </c>
      <c r="F118" s="20" t="n">
        <v>0</v>
      </c>
      <c r="G118" s="20" t="n">
        <f aca="false">IF(ISNUMBER(SEARCH(","&amp;"mortBal"&amp;",",","&amp;SUBSTITUTE(In_lookKeys," ","")&amp;",")),1,0)</f>
        <v>0</v>
      </c>
      <c r="H118" s="20" t="n">
        <f aca="false">IF(ISNUMBER(SEARCH(","&amp;"mortBal"&amp;",",","&amp;SUBSTITUTE(In_ackKeys," ","")&amp;",")),1,0)</f>
        <v>0</v>
      </c>
      <c r="I118" s="20" t="n">
        <f aca="false">C118*(1-D118)</f>
        <v>1</v>
      </c>
      <c r="J118" s="20" t="n">
        <f aca="false">I118*E118</f>
        <v>1</v>
      </c>
      <c r="K118" s="20" t="n">
        <f aca="false">C118*G118*(1-H118)</f>
        <v>0</v>
      </c>
      <c r="L118" s="20" t="n">
        <f aca="false">C118*E118*(1-F118)</f>
        <v>1</v>
      </c>
      <c r="M118" s="20" t="n">
        <f aca="false">C118*MAX(E118,G118)</f>
        <v>1</v>
      </c>
      <c r="N118" s="20" t="n">
        <v>4</v>
      </c>
      <c r="O118" s="20" t="n">
        <f aca="false">C118*IF(G118=1,1,IF(AND(D118=0,E118=0),1,0))</f>
        <v>0</v>
      </c>
      <c r="P118" s="20" t="n">
        <f aca="false">C118*E118*(1-G118)</f>
        <v>1</v>
      </c>
      <c r="Q118" s="20" t="s">
        <v>3824</v>
      </c>
    </row>
    <row r="119" customFormat="false" ht="15" hidden="false" customHeight="true" outlineLevel="0" collapsed="false">
      <c r="B119" s="20" t="s">
        <v>3825</v>
      </c>
      <c r="C119" s="20" t="n">
        <f aca="false">IF(In_home="Own with mortgage",1,0)</f>
        <v>1</v>
      </c>
      <c r="D119" s="20" t="n">
        <v>0</v>
      </c>
      <c r="E119" s="20" t="n">
        <f aca="false">IF(Has_mortPayM,1,0)</f>
        <v>1</v>
      </c>
      <c r="F119" s="20" t="n">
        <v>0</v>
      </c>
      <c r="G119" s="20" t="n">
        <f aca="false">IF(OR(ISNUMBER(SEARCH(","&amp;"mortPayM"&amp;",",","&amp;SUBSTITUTE(In_lookKeys," ","")&amp;",")),F_MortPayLow=1),1,0)</f>
        <v>0</v>
      </c>
      <c r="H119" s="20" t="n">
        <f aca="false">IF(ISNUMBER(SEARCH(","&amp;"mortPayM"&amp;",",","&amp;SUBSTITUTE(In_ackKeys," ","")&amp;",")),1,0)</f>
        <v>0</v>
      </c>
      <c r="I119" s="20" t="n">
        <f aca="false">C119*(1-D119)</f>
        <v>1</v>
      </c>
      <c r="J119" s="20" t="n">
        <f aca="false">I119*E119</f>
        <v>1</v>
      </c>
      <c r="K119" s="20" t="n">
        <f aca="false">C119*G119*(1-H119)</f>
        <v>0</v>
      </c>
      <c r="L119" s="20" t="n">
        <f aca="false">C119*E119*(1-F119)</f>
        <v>1</v>
      </c>
      <c r="M119" s="20" t="n">
        <f aca="false">C119*MAX(E119,G119)</f>
        <v>1</v>
      </c>
      <c r="N119" s="20" t="n">
        <v>4</v>
      </c>
      <c r="O119" s="20" t="n">
        <f aca="false">C119*IF(G119=1,1,IF(AND(D119=0,E119=0),1,0))</f>
        <v>0</v>
      </c>
      <c r="P119" s="20" t="n">
        <f aca="false">C119*E119*(1-G119)</f>
        <v>1</v>
      </c>
      <c r="Q119" s="20" t="s">
        <v>3826</v>
      </c>
    </row>
    <row r="120" customFormat="false" ht="15" hidden="false" customHeight="true" outlineLevel="0" collapsed="false">
      <c r="B120" s="20" t="s">
        <v>3827</v>
      </c>
      <c r="C120" s="20" t="n">
        <f aca="false">IF(In_home="Own with mortgage",1,0)</f>
        <v>1</v>
      </c>
      <c r="D120" s="20" t="n">
        <v>0</v>
      </c>
      <c r="E120" s="20" t="n">
        <f aca="false">IF(Has_mortYears,1,0)</f>
        <v>1</v>
      </c>
      <c r="F120" s="20" t="n">
        <v>0</v>
      </c>
      <c r="G120" s="20" t="n">
        <f aca="false">IF(ISNUMBER(SEARCH(","&amp;"mortYears"&amp;",",","&amp;SUBSTITUTE(In_lookKeys," ","")&amp;",")),1,0)</f>
        <v>0</v>
      </c>
      <c r="H120" s="20" t="n">
        <f aca="false">IF(ISNUMBER(SEARCH(","&amp;"mortYears"&amp;",",","&amp;SUBSTITUTE(In_ackKeys," ","")&amp;",")),1,0)</f>
        <v>0</v>
      </c>
      <c r="I120" s="20" t="n">
        <f aca="false">C120*(1-D120)</f>
        <v>1</v>
      </c>
      <c r="J120" s="20" t="n">
        <f aca="false">I120*E120</f>
        <v>1</v>
      </c>
      <c r="K120" s="20" t="n">
        <f aca="false">C120*G120*(1-H120)</f>
        <v>0</v>
      </c>
      <c r="L120" s="20" t="n">
        <f aca="false">C120*E120*(1-F120)</f>
        <v>1</v>
      </c>
      <c r="M120" s="20" t="n">
        <f aca="false">C120*MAX(E120,G120)</f>
        <v>1</v>
      </c>
      <c r="N120" s="20" t="n">
        <v>4</v>
      </c>
      <c r="O120" s="20" t="n">
        <f aca="false">C120*IF(G120=1,1,IF(AND(D120=0,E120=0),1,0))</f>
        <v>0</v>
      </c>
      <c r="P120" s="20" t="n">
        <f aca="false">C120*E120*(1-G120)</f>
        <v>1</v>
      </c>
      <c r="Q120" s="20" t="s">
        <v>3828</v>
      </c>
    </row>
    <row r="121" customFormat="false" ht="15" hidden="false" customHeight="true" outlineLevel="0" collapsed="false">
      <c r="B121" s="20" t="s">
        <v>3829</v>
      </c>
      <c r="C121" s="20" t="n">
        <f aca="false">IF(In_home="Own with mortgage",1,0)</f>
        <v>1</v>
      </c>
      <c r="D121" s="20" t="n">
        <v>0</v>
      </c>
      <c r="E121" s="20" t="n">
        <f aca="false">IF(OR(In_mortRate&gt;0,Has_a_mortRate=1),1,0)</f>
        <v>1</v>
      </c>
      <c r="F121" s="20" t="n">
        <v>0</v>
      </c>
      <c r="G121" s="20" t="n">
        <f aca="false">IF(ISNUMBER(SEARCH(","&amp;"mortRate"&amp;",",","&amp;SUBSTITUTE(In_lookKeys," ","")&amp;",")),1,0)</f>
        <v>0</v>
      </c>
      <c r="H121" s="20" t="n">
        <f aca="false">IF(ISNUMBER(SEARCH(","&amp;"mortRate"&amp;",",","&amp;SUBSTITUTE(In_ackKeys," ","")&amp;",")),1,0)</f>
        <v>0</v>
      </c>
      <c r="I121" s="20" t="n">
        <f aca="false">C121*(1-D121)</f>
        <v>1</v>
      </c>
      <c r="J121" s="20" t="n">
        <f aca="false">I121*E121</f>
        <v>1</v>
      </c>
      <c r="K121" s="20" t="n">
        <f aca="false">C121*G121*(1-H121)</f>
        <v>0</v>
      </c>
      <c r="L121" s="20" t="n">
        <f aca="false">C121*E121*(1-F121)</f>
        <v>1</v>
      </c>
      <c r="M121" s="20" t="n">
        <f aca="false">C121*MAX(E121,G121)</f>
        <v>1</v>
      </c>
      <c r="N121" s="20" t="n">
        <v>4</v>
      </c>
      <c r="O121" s="20" t="n">
        <f aca="false">C121*IF(G121=1,1,IF(AND(D121=0,E121=0),1,0))</f>
        <v>0</v>
      </c>
      <c r="P121" s="20" t="n">
        <f aca="false">C121*E121*(1-G121)</f>
        <v>1</v>
      </c>
      <c r="Q121" s="20" t="s">
        <v>3830</v>
      </c>
    </row>
    <row r="122" customFormat="false" ht="15" hidden="false" customHeight="true" outlineLevel="0" collapsed="false">
      <c r="B122" s="20" t="s">
        <v>3831</v>
      </c>
      <c r="C122" s="20" t="n">
        <f aca="false">IF(1,1,0)</f>
        <v>1</v>
      </c>
      <c r="D122" s="20" t="n">
        <v>0</v>
      </c>
      <c r="E122" s="20" t="n">
        <f aca="false">IF(Has_cardBal,1,0)</f>
        <v>1</v>
      </c>
      <c r="F122" s="20" t="n">
        <v>0</v>
      </c>
      <c r="G122" s="20" t="n">
        <f aca="false">IF(ISNUMBER(SEARCH(","&amp;"cardBal"&amp;",",","&amp;SUBSTITUTE(In_lookKeys," ","")&amp;",")),1,0)</f>
        <v>0</v>
      </c>
      <c r="H122" s="20" t="n">
        <f aca="false">IF(ISNUMBER(SEARCH(","&amp;"cardBal"&amp;",",","&amp;SUBSTITUTE(In_ackKeys," ","")&amp;",")),1,0)</f>
        <v>0</v>
      </c>
      <c r="I122" s="20" t="n">
        <f aca="false">C122*(1-D122)</f>
        <v>1</v>
      </c>
      <c r="J122" s="20" t="n">
        <f aca="false">I122*E122</f>
        <v>1</v>
      </c>
      <c r="K122" s="20" t="n">
        <f aca="false">C122*G122*(1-H122)</f>
        <v>0</v>
      </c>
      <c r="L122" s="20" t="n">
        <f aca="false">C122*E122*(1-F122)</f>
        <v>1</v>
      </c>
      <c r="M122" s="20" t="n">
        <f aca="false">C122*MAX(E122,G122)</f>
        <v>1</v>
      </c>
      <c r="N122" s="20" t="n">
        <v>4</v>
      </c>
      <c r="O122" s="20" t="n">
        <f aca="false">C122*IF(G122=1,1,IF(AND(D122=0,E122=0),1,0))</f>
        <v>0</v>
      </c>
      <c r="P122" s="20" t="n">
        <f aca="false">C122*E122*(1-G122)</f>
        <v>1</v>
      </c>
      <c r="Q122" s="20" t="s">
        <v>3832</v>
      </c>
    </row>
    <row r="123" customFormat="false" ht="15" hidden="false" customHeight="true" outlineLevel="0" collapsed="false">
      <c r="B123" s="20" t="s">
        <v>1008</v>
      </c>
      <c r="C123" s="20" t="n">
        <f aca="false">IF(1,1,0)</f>
        <v>1</v>
      </c>
      <c r="D123" s="20" t="n">
        <v>0</v>
      </c>
      <c r="E123" s="20" t="n">
        <f aca="false">IF(Has_cardPayM,1,0)</f>
        <v>1</v>
      </c>
      <c r="F123" s="20" t="n">
        <v>0</v>
      </c>
      <c r="G123" s="20" t="n">
        <f aca="false">IF(OR(ISNUMBER(SEARCH(","&amp;"cardPayM"&amp;",",","&amp;SUBSTITUTE(In_lookKeys," ","")&amp;",")),AND(In_cardBal&gt;0,In_cardPayM&gt;0,IF(In_cardRate&gt;0,In_cardRate,IF(Has_a_cardRate=1,In_a_cardRate,0))&gt;0,In_cardPayM&lt;In_cardBal*(IF(In_cardRate&gt;0,In_cardRate,IF(Has_a_cardRate=1,In_a_cardRate,0))/12+0.01))),1,0)</f>
        <v>0</v>
      </c>
      <c r="H123" s="20" t="n">
        <f aca="false">IF(ISNUMBER(SEARCH(","&amp;"cardPayM"&amp;",",","&amp;SUBSTITUTE(In_ackKeys," ","")&amp;",")),1,0)</f>
        <v>0</v>
      </c>
      <c r="I123" s="20" t="n">
        <f aca="false">C123*(1-D123)</f>
        <v>1</v>
      </c>
      <c r="J123" s="20" t="n">
        <f aca="false">I123*E123</f>
        <v>1</v>
      </c>
      <c r="K123" s="20" t="n">
        <f aca="false">C123*G123*(1-H123)</f>
        <v>0</v>
      </c>
      <c r="L123" s="20" t="n">
        <f aca="false">C123*E123*(1-F123)</f>
        <v>1</v>
      </c>
      <c r="M123" s="20" t="n">
        <f aca="false">C123*MAX(E123,G123)</f>
        <v>1</v>
      </c>
      <c r="N123" s="20" t="n">
        <v>4</v>
      </c>
      <c r="O123" s="20" t="n">
        <f aca="false">C123*IF(G123=1,1,IF(AND(D123=0,E123=0),1,0))</f>
        <v>0</v>
      </c>
      <c r="P123" s="20" t="n">
        <f aca="false">C123*E123*(1-G123)</f>
        <v>1</v>
      </c>
      <c r="Q123" s="20" t="s">
        <v>3833</v>
      </c>
    </row>
    <row r="124" customFormat="false" ht="15" hidden="false" customHeight="true" outlineLevel="0" collapsed="false">
      <c r="B124" s="20" t="s">
        <v>3834</v>
      </c>
      <c r="C124" s="20" t="n">
        <f aca="false">IF(In_cardBal&gt;0,1,0)</f>
        <v>1</v>
      </c>
      <c r="D124" s="20" t="n">
        <v>0</v>
      </c>
      <c r="E124" s="20" t="n">
        <f aca="false">IF(OR(In_cardRate&gt;0,Has_a_cardRate=1),1,0)</f>
        <v>1</v>
      </c>
      <c r="F124" s="20" t="n">
        <v>0</v>
      </c>
      <c r="G124" s="20" t="n">
        <f aca="false">IF(ISNUMBER(SEARCH(","&amp;"cardRate"&amp;",",","&amp;SUBSTITUTE(In_lookKeys," ","")&amp;",")),1,0)</f>
        <v>0</v>
      </c>
      <c r="H124" s="20" t="n">
        <f aca="false">IF(ISNUMBER(SEARCH(","&amp;"cardRate"&amp;",",","&amp;SUBSTITUTE(In_ackKeys," ","")&amp;",")),1,0)</f>
        <v>0</v>
      </c>
      <c r="I124" s="20" t="n">
        <f aca="false">C124*(1-D124)</f>
        <v>1</v>
      </c>
      <c r="J124" s="20" t="n">
        <f aca="false">I124*E124</f>
        <v>1</v>
      </c>
      <c r="K124" s="20" t="n">
        <f aca="false">C124*G124*(1-H124)</f>
        <v>0</v>
      </c>
      <c r="L124" s="20" t="n">
        <f aca="false">C124*E124*(1-F124)</f>
        <v>1</v>
      </c>
      <c r="M124" s="20" t="n">
        <f aca="false">C124*MAX(E124,G124)</f>
        <v>1</v>
      </c>
      <c r="N124" s="20" t="n">
        <v>4</v>
      </c>
      <c r="O124" s="20" t="n">
        <f aca="false">C124*IF(G124=1,1,IF(AND(D124=0,E124=0),1,0))</f>
        <v>0</v>
      </c>
      <c r="P124" s="20" t="n">
        <f aca="false">C124*E124*(1-G124)</f>
        <v>1</v>
      </c>
      <c r="Q124" s="20" t="s">
        <v>3835</v>
      </c>
    </row>
    <row r="125" customFormat="false" ht="15" hidden="false" customHeight="true" outlineLevel="0" collapsed="false">
      <c r="B125" s="20" t="s">
        <v>1012</v>
      </c>
      <c r="C125" s="20" t="n">
        <f aca="false">IF(1,1,0)</f>
        <v>1</v>
      </c>
      <c r="D125" s="20" t="n">
        <v>0</v>
      </c>
      <c r="E125" s="20" t="n">
        <f aca="false">IF(Has_loanBal,1,0)</f>
        <v>1</v>
      </c>
      <c r="F125" s="20" t="n">
        <v>0</v>
      </c>
      <c r="G125" s="20" t="n">
        <f aca="false">IF(ISNUMBER(SEARCH(","&amp;"loanBal"&amp;",",","&amp;SUBSTITUTE(In_lookKeys," ","")&amp;",")),1,0)</f>
        <v>0</v>
      </c>
      <c r="H125" s="20" t="n">
        <f aca="false">IF(ISNUMBER(SEARCH(","&amp;"loanBal"&amp;",",","&amp;SUBSTITUTE(In_ackKeys," ","")&amp;",")),1,0)</f>
        <v>0</v>
      </c>
      <c r="I125" s="20" t="n">
        <f aca="false">C125*(1-D125)</f>
        <v>1</v>
      </c>
      <c r="J125" s="20" t="n">
        <f aca="false">I125*E125</f>
        <v>1</v>
      </c>
      <c r="K125" s="20" t="n">
        <f aca="false">C125*G125*(1-H125)</f>
        <v>0</v>
      </c>
      <c r="L125" s="20" t="n">
        <f aca="false">C125*E125*(1-F125)</f>
        <v>1</v>
      </c>
      <c r="M125" s="20" t="n">
        <f aca="false">C125*MAX(E125,G125)</f>
        <v>1</v>
      </c>
      <c r="N125" s="20" t="n">
        <v>4</v>
      </c>
      <c r="O125" s="20" t="n">
        <f aca="false">C125*IF(G125=1,1,IF(AND(D125=0,E125=0),1,0))</f>
        <v>0</v>
      </c>
      <c r="P125" s="20" t="n">
        <f aca="false">C125*E125*(1-G125)</f>
        <v>1</v>
      </c>
      <c r="Q125" s="20" t="s">
        <v>3836</v>
      </c>
    </row>
    <row r="126" customFormat="false" ht="15" hidden="false" customHeight="true" outlineLevel="0" collapsed="false">
      <c r="B126" s="20" t="s">
        <v>1014</v>
      </c>
      <c r="C126" s="20" t="n">
        <f aca="false">IF(1,1,0)</f>
        <v>1</v>
      </c>
      <c r="D126" s="20" t="n">
        <v>0</v>
      </c>
      <c r="E126" s="20" t="n">
        <f aca="false">IF(Has_loanPayM,1,0)</f>
        <v>1</v>
      </c>
      <c r="F126" s="20" t="n">
        <v>0</v>
      </c>
      <c r="G126" s="20" t="n">
        <f aca="false">IF(OR(ISNUMBER(SEARCH(","&amp;"loanPayM"&amp;",",","&amp;SUBSTITUTE(In_lookKeys," ","")&amp;",")),AND(In_loanBal&gt;0,In_loanPayM&gt;0,IF(In_loanRate&gt;0,In_loanRate,IF(Has_a_loanRate=1,In_a_loanRate,0))&gt;0,In_loanPayM&lt;In_loanBal*(IF(In_loanRate&gt;0,In_loanRate,IF(Has_a_loanRate=1,In_a_loanRate,0))/12+0.01))),1,0)</f>
        <v>0</v>
      </c>
      <c r="H126" s="20" t="n">
        <f aca="false">IF(ISNUMBER(SEARCH(","&amp;"loanPayM"&amp;",",","&amp;SUBSTITUTE(In_ackKeys," ","")&amp;",")),1,0)</f>
        <v>0</v>
      </c>
      <c r="I126" s="20" t="n">
        <f aca="false">C126*(1-D126)</f>
        <v>1</v>
      </c>
      <c r="J126" s="20" t="n">
        <f aca="false">I126*E126</f>
        <v>1</v>
      </c>
      <c r="K126" s="20" t="n">
        <f aca="false">C126*G126*(1-H126)</f>
        <v>0</v>
      </c>
      <c r="L126" s="20" t="n">
        <f aca="false">C126*E126*(1-F126)</f>
        <v>1</v>
      </c>
      <c r="M126" s="20" t="n">
        <f aca="false">C126*MAX(E126,G126)</f>
        <v>1</v>
      </c>
      <c r="N126" s="20" t="n">
        <v>4</v>
      </c>
      <c r="O126" s="20" t="n">
        <f aca="false">C126*IF(G126=1,1,IF(AND(D126=0,E126=0),1,0))</f>
        <v>0</v>
      </c>
      <c r="P126" s="20" t="n">
        <f aca="false">C126*E126*(1-G126)</f>
        <v>1</v>
      </c>
      <c r="Q126" s="20" t="s">
        <v>3837</v>
      </c>
    </row>
    <row r="127" customFormat="false" ht="15" hidden="false" customHeight="true" outlineLevel="0" collapsed="false">
      <c r="B127" s="20" t="s">
        <v>3838</v>
      </c>
      <c r="C127" s="20" t="n">
        <f aca="false">IF(In_loanBal+In_debt&gt;0,1,0)</f>
        <v>1</v>
      </c>
      <c r="D127" s="20" t="n">
        <v>0</v>
      </c>
      <c r="E127" s="20" t="n">
        <f aca="false">IF(OR(In_loanRate&gt;0,Has_a_loanRate=1),1,0)</f>
        <v>1</v>
      </c>
      <c r="F127" s="20" t="n">
        <v>0</v>
      </c>
      <c r="G127" s="20" t="n">
        <f aca="false">IF(ISNUMBER(SEARCH(","&amp;"loanRate"&amp;",",","&amp;SUBSTITUTE(In_lookKeys," ","")&amp;",")),1,0)</f>
        <v>0</v>
      </c>
      <c r="H127" s="20" t="n">
        <f aca="false">IF(ISNUMBER(SEARCH(","&amp;"loanRate"&amp;",",","&amp;SUBSTITUTE(In_ackKeys," ","")&amp;",")),1,0)</f>
        <v>0</v>
      </c>
      <c r="I127" s="20" t="n">
        <f aca="false">C127*(1-D127)</f>
        <v>1</v>
      </c>
      <c r="J127" s="20" t="n">
        <f aca="false">I127*E127</f>
        <v>1</v>
      </c>
      <c r="K127" s="20" t="n">
        <f aca="false">C127*G127*(1-H127)</f>
        <v>0</v>
      </c>
      <c r="L127" s="20" t="n">
        <f aca="false">C127*E127*(1-F127)</f>
        <v>1</v>
      </c>
      <c r="M127" s="20" t="n">
        <f aca="false">C127*MAX(E127,G127)</f>
        <v>1</v>
      </c>
      <c r="N127" s="20" t="n">
        <v>4</v>
      </c>
      <c r="O127" s="20" t="n">
        <f aca="false">C127*IF(G127=1,1,IF(AND(D127=0,E127=0),1,0))</f>
        <v>0</v>
      </c>
      <c r="P127" s="20" t="n">
        <f aca="false">C127*E127*(1-G127)</f>
        <v>1</v>
      </c>
      <c r="Q127" s="20" t="s">
        <v>3839</v>
      </c>
    </row>
    <row r="128" customFormat="false" ht="15" hidden="false" customHeight="true" outlineLevel="0" collapsed="false">
      <c r="B128" s="20" t="s">
        <v>3840</v>
      </c>
      <c r="C128" s="20" t="n">
        <f aca="false">IF(Mort2_Bal&gt;0,1,0)</f>
        <v>0</v>
      </c>
      <c r="D128" s="20" t="n">
        <v>0</v>
      </c>
      <c r="E128" s="20" t="n">
        <f aca="false">IF(Mort2_NeedsTerm=0,1,0)</f>
        <v>1</v>
      </c>
      <c r="F128" s="20" t="n">
        <v>0</v>
      </c>
      <c r="G128" s="20" t="n">
        <f aca="false">IF(ISNUMBER(SEARCH(","&amp;"mort2"&amp;",",","&amp;SUBSTITUTE(In_lookKeys," ","")&amp;",")),1,0)</f>
        <v>0</v>
      </c>
      <c r="H128" s="20" t="n">
        <f aca="false">IF(ISNUMBER(SEARCH(","&amp;"mort2"&amp;",",","&amp;SUBSTITUTE(In_ackKeys," ","")&amp;",")),1,0)</f>
        <v>0</v>
      </c>
      <c r="I128" s="20" t="n">
        <f aca="false">C128*(1-D128)</f>
        <v>0</v>
      </c>
      <c r="J128" s="20" t="n">
        <f aca="false">I128*E128</f>
        <v>0</v>
      </c>
      <c r="K128" s="20" t="n">
        <f aca="false">C128*G128*(1-H128)</f>
        <v>0</v>
      </c>
      <c r="L128" s="20" t="n">
        <f aca="false">C128*E128*(1-F128)</f>
        <v>0</v>
      </c>
      <c r="M128" s="20" t="n">
        <f aca="false">C128*MAX(E128,G128)</f>
        <v>0</v>
      </c>
      <c r="N128" s="20" t="n">
        <v>4</v>
      </c>
      <c r="O128" s="20" t="n">
        <f aca="false">C128*IF(G128=1,1,IF(AND(D128=0,E128=0),1,0))</f>
        <v>0</v>
      </c>
      <c r="P128" s="20" t="n">
        <f aca="false">C128*E128*(1-G128)</f>
        <v>0</v>
      </c>
      <c r="Q128" s="20" t="s">
        <v>3841</v>
      </c>
    </row>
    <row r="129" customFormat="false" ht="15" hidden="false" customHeight="true" outlineLevel="0" collapsed="false">
      <c r="B129" s="20" t="s">
        <v>3842</v>
      </c>
      <c r="C129" s="20" t="n">
        <f aca="false">IF(1,1,0)</f>
        <v>1</v>
      </c>
      <c r="D129" s="20" t="n">
        <v>0</v>
      </c>
      <c r="E129" s="20" t="n">
        <f aca="false">IF(Has_life,1,0)</f>
        <v>1</v>
      </c>
      <c r="F129" s="20" t="n">
        <v>0</v>
      </c>
      <c r="G129" s="20" t="n">
        <f aca="false">IF(ISNUMBER(SEARCH(","&amp;"life"&amp;",",","&amp;SUBSTITUTE(In_lookKeys," ","")&amp;",")),1,0)</f>
        <v>0</v>
      </c>
      <c r="H129" s="20" t="n">
        <f aca="false">IF(ISNUMBER(SEARCH(","&amp;"life"&amp;",",","&amp;SUBSTITUTE(In_ackKeys," ","")&amp;",")),1,0)</f>
        <v>0</v>
      </c>
      <c r="I129" s="20" t="n">
        <f aca="false">C129*(1-D129)</f>
        <v>1</v>
      </c>
      <c r="J129" s="20" t="n">
        <f aca="false">I129*E129</f>
        <v>1</v>
      </c>
      <c r="K129" s="20" t="n">
        <f aca="false">C129*G129*(1-H129)</f>
        <v>0</v>
      </c>
      <c r="L129" s="20" t="n">
        <f aca="false">C129*E129*(1-F129)</f>
        <v>1</v>
      </c>
      <c r="M129" s="20" t="n">
        <f aca="false">C129*MAX(E129,G129)</f>
        <v>1</v>
      </c>
      <c r="N129" s="20" t="n">
        <v>5</v>
      </c>
      <c r="O129" s="20" t="n">
        <f aca="false">C129*IF(G129=1,1,IF(AND(D129=0,E129=0),1,0))</f>
        <v>0</v>
      </c>
      <c r="P129" s="20" t="n">
        <f aca="false">C129*E129*(1-G129)</f>
        <v>1</v>
      </c>
      <c r="Q129" s="20" t="s">
        <v>3843</v>
      </c>
    </row>
    <row r="130" customFormat="false" ht="15" hidden="false" customHeight="true" outlineLevel="0" collapsed="false">
      <c r="B130" s="20" t="s">
        <v>3844</v>
      </c>
      <c r="C130" s="20" t="n">
        <f aca="false">IF(1,1,0)</f>
        <v>1</v>
      </c>
      <c r="D130" s="20" t="n">
        <v>0</v>
      </c>
      <c r="E130" s="20" t="n">
        <f aca="false">IF(Has_ip,1,0)</f>
        <v>1</v>
      </c>
      <c r="F130" s="20" t="n">
        <v>0</v>
      </c>
      <c r="G130" s="20" t="n">
        <f aca="false">IF(ISNUMBER(SEARCH(","&amp;"ip"&amp;",",","&amp;SUBSTITUTE(In_lookKeys," ","")&amp;",")),1,0)</f>
        <v>0</v>
      </c>
      <c r="H130" s="20" t="n">
        <f aca="false">IF(ISNUMBER(SEARCH(","&amp;"ip"&amp;",",","&amp;SUBSTITUTE(In_ackKeys," ","")&amp;",")),1,0)</f>
        <v>0</v>
      </c>
      <c r="I130" s="20" t="n">
        <f aca="false">C130*(1-D130)</f>
        <v>1</v>
      </c>
      <c r="J130" s="20" t="n">
        <f aca="false">I130*E130</f>
        <v>1</v>
      </c>
      <c r="K130" s="20" t="n">
        <f aca="false">C130*G130*(1-H130)</f>
        <v>0</v>
      </c>
      <c r="L130" s="20" t="n">
        <f aca="false">C130*E130*(1-F130)</f>
        <v>1</v>
      </c>
      <c r="M130" s="20" t="n">
        <f aca="false">C130*MAX(E130,G130)</f>
        <v>1</v>
      </c>
      <c r="N130" s="20" t="n">
        <v>5</v>
      </c>
      <c r="O130" s="20" t="n">
        <f aca="false">C130*IF(G130=1,1,IF(AND(D130=0,E130=0),1,0))</f>
        <v>0</v>
      </c>
      <c r="P130" s="20" t="n">
        <f aca="false">C130*E130*(1-G130)</f>
        <v>1</v>
      </c>
      <c r="Q130" s="20" t="s">
        <v>3845</v>
      </c>
    </row>
    <row r="131" customFormat="false" ht="15" hidden="false" customHeight="true" outlineLevel="0" collapsed="false">
      <c r="B131" s="20" t="s">
        <v>3846</v>
      </c>
      <c r="C131" s="20" t="n">
        <f aca="false">IF(1,1,0)</f>
        <v>1</v>
      </c>
      <c r="D131" s="20" t="n">
        <v>0</v>
      </c>
      <c r="E131" s="20" t="n">
        <f aca="false">IF(Has_ci,1,0)</f>
        <v>1</v>
      </c>
      <c r="F131" s="20" t="n">
        <v>0</v>
      </c>
      <c r="G131" s="20" t="n">
        <f aca="false">IF(ISNUMBER(SEARCH(","&amp;"ci"&amp;",",","&amp;SUBSTITUTE(In_lookKeys," ","")&amp;",")),1,0)</f>
        <v>0</v>
      </c>
      <c r="H131" s="20" t="n">
        <f aca="false">IF(ISNUMBER(SEARCH(","&amp;"ci"&amp;",",","&amp;SUBSTITUTE(In_ackKeys," ","")&amp;",")),1,0)</f>
        <v>0</v>
      </c>
      <c r="I131" s="20" t="n">
        <f aca="false">C131*(1-D131)</f>
        <v>1</v>
      </c>
      <c r="J131" s="20" t="n">
        <f aca="false">I131*E131</f>
        <v>1</v>
      </c>
      <c r="K131" s="20" t="n">
        <f aca="false">C131*G131*(1-H131)</f>
        <v>0</v>
      </c>
      <c r="L131" s="20" t="n">
        <f aca="false">C131*E131*(1-F131)</f>
        <v>1</v>
      </c>
      <c r="M131" s="20" t="n">
        <f aca="false">C131*MAX(E131,G131)</f>
        <v>1</v>
      </c>
      <c r="N131" s="20" t="n">
        <v>5</v>
      </c>
      <c r="O131" s="20" t="n">
        <f aca="false">C131*IF(G131=1,1,IF(AND(D131=0,E131=0),1,0))</f>
        <v>0</v>
      </c>
      <c r="P131" s="20" t="n">
        <f aca="false">C131*E131*(1-G131)</f>
        <v>1</v>
      </c>
      <c r="Q131" s="20" t="s">
        <v>3847</v>
      </c>
    </row>
    <row r="132" customFormat="false" ht="15" hidden="false" customHeight="true" outlineLevel="0" collapsed="false">
      <c r="B132" s="20" t="s">
        <v>3848</v>
      </c>
      <c r="C132" s="20" t="n">
        <f aca="false">IF(1,1,0)</f>
        <v>1</v>
      </c>
      <c r="D132" s="20" t="n">
        <v>0</v>
      </c>
      <c r="E132" s="20" t="n">
        <f aca="false">IF(Has_workCover,1,0)</f>
        <v>1</v>
      </c>
      <c r="F132" s="20" t="n">
        <v>0</v>
      </c>
      <c r="G132" s="20" t="n">
        <f aca="false">IF(ISNUMBER(SEARCH(","&amp;"workCover"&amp;",",","&amp;SUBSTITUTE(In_lookKeys," ","")&amp;",")),1,0)</f>
        <v>0</v>
      </c>
      <c r="H132" s="20" t="n">
        <f aca="false">IF(ISNUMBER(SEARCH(","&amp;"workCover"&amp;",",","&amp;SUBSTITUTE(In_ackKeys," ","")&amp;",")),1,0)</f>
        <v>0</v>
      </c>
      <c r="I132" s="20" t="n">
        <f aca="false">C132*(1-D132)</f>
        <v>1</v>
      </c>
      <c r="J132" s="20" t="n">
        <f aca="false">I132*E132</f>
        <v>1</v>
      </c>
      <c r="K132" s="20" t="n">
        <f aca="false">C132*G132*(1-H132)</f>
        <v>0</v>
      </c>
      <c r="L132" s="20" t="n">
        <f aca="false">C132*E132*(1-F132)</f>
        <v>1</v>
      </c>
      <c r="M132" s="20" t="n">
        <f aca="false">C132*MAX(E132,G132)</f>
        <v>1</v>
      </c>
      <c r="N132" s="20" t="n">
        <v>5</v>
      </c>
      <c r="O132" s="20" t="n">
        <f aca="false">C132*IF(G132=1,1,IF(AND(D132=0,E132=0),1,0))</f>
        <v>0</v>
      </c>
      <c r="P132" s="20" t="n">
        <f aca="false">C132*E132*(1-G132)</f>
        <v>1</v>
      </c>
      <c r="Q132" s="20" t="s">
        <v>3849</v>
      </c>
    </row>
    <row r="133" customFormat="false" ht="15" hidden="false" customHeight="true" outlineLevel="0" collapsed="false">
      <c r="B133" s="20" t="s">
        <v>3850</v>
      </c>
      <c r="C133" s="20" t="n">
        <f aca="false">IF(1,1,0)</f>
        <v>1</v>
      </c>
      <c r="D133" s="20" t="n">
        <v>0</v>
      </c>
      <c r="E133" s="20" t="n">
        <f aca="false">IF(Has_health,1,0)</f>
        <v>1</v>
      </c>
      <c r="F133" s="20" t="n">
        <v>0</v>
      </c>
      <c r="G133" s="20" t="n">
        <f aca="false">IF(ISNUMBER(SEARCH(","&amp;"health"&amp;",",","&amp;SUBSTITUTE(In_lookKeys," ","")&amp;",")),1,0)</f>
        <v>0</v>
      </c>
      <c r="H133" s="20" t="n">
        <f aca="false">IF(ISNUMBER(SEARCH(","&amp;"health"&amp;",",","&amp;SUBSTITUTE(In_ackKeys," ","")&amp;",")),1,0)</f>
        <v>0</v>
      </c>
      <c r="I133" s="20" t="n">
        <f aca="false">C133*(1-D133)</f>
        <v>1</v>
      </c>
      <c r="J133" s="20" t="n">
        <f aca="false">I133*E133</f>
        <v>1</v>
      </c>
      <c r="K133" s="20" t="n">
        <f aca="false">C133*G133*(1-H133)</f>
        <v>0</v>
      </c>
      <c r="L133" s="20" t="n">
        <f aca="false">C133*E133*(1-F133)</f>
        <v>1</v>
      </c>
      <c r="M133" s="20" t="n">
        <f aca="false">C133*MAX(E133,G133)</f>
        <v>1</v>
      </c>
      <c r="N133" s="20" t="n">
        <v>5</v>
      </c>
      <c r="O133" s="20" t="n">
        <f aca="false">C133*IF(G133=1,1,IF(AND(D133=0,E133=0),1,0))</f>
        <v>0</v>
      </c>
      <c r="P133" s="20" t="n">
        <f aca="false">C133*E133*(1-G133)</f>
        <v>1</v>
      </c>
      <c r="Q133" s="20" t="s">
        <v>1668</v>
      </c>
    </row>
    <row r="134" customFormat="false" ht="15" hidden="false" customHeight="true" outlineLevel="0" collapsed="false">
      <c r="B134" s="20" t="s">
        <v>3851</v>
      </c>
      <c r="C134" s="20" t="n">
        <f aca="false">IF(1,1,0)</f>
        <v>1</v>
      </c>
      <c r="D134" s="20" t="n">
        <v>0</v>
      </c>
      <c r="E134" s="20" t="n">
        <f aca="false">IF(Has_pension,1,0)</f>
        <v>1</v>
      </c>
      <c r="F134" s="20" t="n">
        <v>0</v>
      </c>
      <c r="G134" s="20" t="n">
        <f aca="false">IF(ISNUMBER(SEARCH(","&amp;"pension"&amp;",",","&amp;SUBSTITUTE(In_lookKeys," ","")&amp;",")),1,0)</f>
        <v>1</v>
      </c>
      <c r="H134" s="20" t="n">
        <f aca="false">IF(ISNUMBER(SEARCH(","&amp;"pension"&amp;",",","&amp;SUBSTITUTE(In_ackKeys," ","")&amp;",")),1,0)</f>
        <v>0</v>
      </c>
      <c r="I134" s="20" t="n">
        <f aca="false">C134*(1-D134)</f>
        <v>1</v>
      </c>
      <c r="J134" s="20" t="n">
        <f aca="false">I134*E134</f>
        <v>1</v>
      </c>
      <c r="K134" s="20" t="n">
        <f aca="false">C134*G134*(1-H134)</f>
        <v>1</v>
      </c>
      <c r="L134" s="20" t="n">
        <f aca="false">C134*E134*(1-F134)</f>
        <v>1</v>
      </c>
      <c r="M134" s="20" t="n">
        <f aca="false">C134*MAX(E134,G134)</f>
        <v>1</v>
      </c>
      <c r="N134" s="20" t="n">
        <v>6</v>
      </c>
      <c r="O134" s="20" t="n">
        <f aca="false">C134*IF(G134=1,1,IF(AND(D134=0,E134=0),1,0))</f>
        <v>1</v>
      </c>
      <c r="P134" s="20" t="n">
        <f aca="false">C134*E134*(1-G134)</f>
        <v>0</v>
      </c>
      <c r="Q134" s="20" t="s">
        <v>1073</v>
      </c>
    </row>
    <row r="135" customFormat="false" ht="15" hidden="false" customHeight="true" outlineLevel="0" collapsed="false">
      <c r="B135" s="20" t="s">
        <v>3852</v>
      </c>
      <c r="C135" s="20" t="n">
        <f aca="false">IF(1,1,0)</f>
        <v>1</v>
      </c>
      <c r="D135" s="20" t="n">
        <v>0</v>
      </c>
      <c r="E135" s="20" t="n">
        <f aca="false">IF(Has_pensionM,1,0)</f>
        <v>1</v>
      </c>
      <c r="F135" s="20" t="n">
        <v>0</v>
      </c>
      <c r="G135" s="20" t="n">
        <f aca="false">IF(ISNUMBER(SEARCH(","&amp;"pensionM"&amp;",",","&amp;SUBSTITUTE(In_lookKeys," ","")&amp;",")),1,0)</f>
        <v>0</v>
      </c>
      <c r="H135" s="20" t="n">
        <f aca="false">IF(ISNUMBER(SEARCH(","&amp;"pensionM"&amp;",",","&amp;SUBSTITUTE(In_ackKeys," ","")&amp;",")),1,0)</f>
        <v>0</v>
      </c>
      <c r="I135" s="20" t="n">
        <f aca="false">C135*(1-D135)</f>
        <v>1</v>
      </c>
      <c r="J135" s="20" t="n">
        <f aca="false">I135*E135</f>
        <v>1</v>
      </c>
      <c r="K135" s="20" t="n">
        <f aca="false">C135*G135*(1-H135)</f>
        <v>0</v>
      </c>
      <c r="L135" s="20" t="n">
        <f aca="false">C135*E135*(1-F135)</f>
        <v>1</v>
      </c>
      <c r="M135" s="20" t="n">
        <f aca="false">C135*MAX(E135,G135)</f>
        <v>1</v>
      </c>
      <c r="N135" s="20" t="n">
        <v>6</v>
      </c>
      <c r="O135" s="20" t="n">
        <f aca="false">C135*IF(G135=1,1,IF(AND(D135=0,E135=0),1,0))</f>
        <v>0</v>
      </c>
      <c r="P135" s="20" t="n">
        <f aca="false">C135*E135*(1-G135)</f>
        <v>1</v>
      </c>
      <c r="Q135" s="20" t="s">
        <v>3853</v>
      </c>
    </row>
    <row r="136" customFormat="false" ht="15" hidden="false" customHeight="true" outlineLevel="0" collapsed="false">
      <c r="B136" s="20" t="s">
        <v>1540</v>
      </c>
      <c r="C136" s="20" t="n">
        <f aca="false">IF(AND(In_pensionM&gt;0,In_work&lt;&gt;"Not working"),1,0)</f>
        <v>1</v>
      </c>
      <c r="D136" s="20" t="n">
        <v>1</v>
      </c>
      <c r="E136" s="20" t="n">
        <f aca="false">IF(Has_pensionOwnM,1,0)</f>
        <v>0</v>
      </c>
      <c r="F136" s="20" t="n">
        <v>0</v>
      </c>
      <c r="G136" s="20" t="n">
        <f aca="false">IF(ISNUMBER(SEARCH(","&amp;"pensionOwnM"&amp;",",","&amp;SUBSTITUTE(In_lookKeys," ","")&amp;",")),1,0)</f>
        <v>0</v>
      </c>
      <c r="H136" s="20" t="n">
        <f aca="false">IF(ISNUMBER(SEARCH(","&amp;"pensionOwnM"&amp;",",","&amp;SUBSTITUTE(In_ackKeys," ","")&amp;",")),1,0)</f>
        <v>0</v>
      </c>
      <c r="I136" s="20" t="n">
        <f aca="false">C136*(1-D136)</f>
        <v>0</v>
      </c>
      <c r="J136" s="20" t="n">
        <f aca="false">I136*E136</f>
        <v>0</v>
      </c>
      <c r="K136" s="20" t="n">
        <f aca="false">C136*G136*(1-H136)</f>
        <v>0</v>
      </c>
      <c r="L136" s="20" t="n">
        <f aca="false">C136*E136*(1-F136)</f>
        <v>0</v>
      </c>
      <c r="M136" s="20" t="n">
        <f aca="false">C136*MAX(E136,G136)</f>
        <v>0</v>
      </c>
      <c r="N136" s="20" t="n">
        <v>6</v>
      </c>
      <c r="O136" s="20" t="n">
        <f aca="false">C136*IF(G136=1,1,IF(AND(D136=0,E136=0),1,0))</f>
        <v>0</v>
      </c>
      <c r="P136" s="20" t="n">
        <f aca="false">C136*E136*(1-G136)</f>
        <v>0</v>
      </c>
      <c r="Q136" s="20" t="s">
        <v>3854</v>
      </c>
    </row>
    <row r="137" customFormat="false" ht="15" hidden="false" customHeight="true" outlineLevel="0" collapsed="false">
      <c r="B137" s="20" t="s">
        <v>3855</v>
      </c>
      <c r="C137" s="20" t="n">
        <f aca="false">IF(AND(In_work="Employed",In_age&gt;=PR_AEageMin,In_age&lt;=PR_AEageMax,In_income&gt;PR_AEearnMin,NOT(In_pensionM&gt;0)),1,0)</f>
        <v>0</v>
      </c>
      <c r="D137" s="20" t="n">
        <v>1</v>
      </c>
      <c r="E137" s="20" t="n">
        <f aca="false">IF(Has_ae,1,0)</f>
        <v>0</v>
      </c>
      <c r="F137" s="20" t="n">
        <v>0</v>
      </c>
      <c r="G137" s="20" t="n">
        <f aca="false">IF(ISNUMBER(SEARCH(","&amp;"ae"&amp;",",","&amp;SUBSTITUTE(In_lookKeys," ","")&amp;",")),1,0)</f>
        <v>0</v>
      </c>
      <c r="H137" s="20" t="n">
        <f aca="false">IF(ISNUMBER(SEARCH(","&amp;"ae"&amp;",",","&amp;SUBSTITUTE(In_ackKeys," ","")&amp;",")),1,0)</f>
        <v>0</v>
      </c>
      <c r="I137" s="20" t="n">
        <f aca="false">C137*(1-D137)</f>
        <v>0</v>
      </c>
      <c r="J137" s="20" t="n">
        <f aca="false">I137*E137</f>
        <v>0</v>
      </c>
      <c r="K137" s="20" t="n">
        <f aca="false">C137*G137*(1-H137)</f>
        <v>0</v>
      </c>
      <c r="L137" s="20" t="n">
        <f aca="false">C137*E137*(1-F137)</f>
        <v>0</v>
      </c>
      <c r="M137" s="20" t="n">
        <f aca="false">C137*MAX(E137,G137)</f>
        <v>0</v>
      </c>
      <c r="N137" s="20" t="n">
        <v>6</v>
      </c>
      <c r="O137" s="20" t="n">
        <f aca="false">C137*IF(G137=1,1,IF(AND(D137=0,E137=0),1,0))</f>
        <v>0</v>
      </c>
      <c r="P137" s="20" t="n">
        <f aca="false">C137*E137*(1-G137)</f>
        <v>0</v>
      </c>
      <c r="Q137" s="20" t="s">
        <v>3856</v>
      </c>
    </row>
    <row r="138" customFormat="false" ht="15" hidden="false" customHeight="true" outlineLevel="0" collapsed="false">
      <c r="B138" s="20" t="s">
        <v>3857</v>
      </c>
      <c r="C138" s="20" t="n">
        <f aca="false">IF(1,1,0)</f>
        <v>1</v>
      </c>
      <c r="D138" s="20" t="n">
        <v>0</v>
      </c>
      <c r="E138" s="20" t="n">
        <f aca="false">IF(Has_sp,1,0)</f>
        <v>1</v>
      </c>
      <c r="F138" s="20" t="n">
        <v>0</v>
      </c>
      <c r="G138" s="20" t="n">
        <f aca="false">IF(ISNUMBER(SEARCH(","&amp;"sp"&amp;",",","&amp;SUBSTITUTE(In_lookKeys," ","")&amp;",")),1,0)</f>
        <v>0</v>
      </c>
      <c r="H138" s="20" t="n">
        <f aca="false">IF(ISNUMBER(SEARCH(","&amp;"sp"&amp;",",","&amp;SUBSTITUTE(In_ackKeys," ","")&amp;",")),1,0)</f>
        <v>0</v>
      </c>
      <c r="I138" s="20" t="n">
        <f aca="false">C138*(1-D138)</f>
        <v>1</v>
      </c>
      <c r="J138" s="20" t="n">
        <f aca="false">I138*E138</f>
        <v>1</v>
      </c>
      <c r="K138" s="20" t="n">
        <f aca="false">C138*G138*(1-H138)</f>
        <v>0</v>
      </c>
      <c r="L138" s="20" t="n">
        <f aca="false">C138*E138*(1-F138)</f>
        <v>1</v>
      </c>
      <c r="M138" s="20" t="n">
        <f aca="false">C138*MAX(E138,G138)</f>
        <v>1</v>
      </c>
      <c r="N138" s="20" t="n">
        <v>6</v>
      </c>
      <c r="O138" s="20" t="n">
        <f aca="false">C138*IF(G138=1,1,IF(AND(D138=0,E138=0),1,0))</f>
        <v>0</v>
      </c>
      <c r="P138" s="20" t="n">
        <f aca="false">C138*E138*(1-G138)</f>
        <v>1</v>
      </c>
      <c r="Q138" s="20" t="s">
        <v>3858</v>
      </c>
    </row>
    <row r="139" customFormat="false" ht="15" hidden="false" customHeight="true" outlineLevel="0" collapsed="false">
      <c r="B139" s="20" t="s">
        <v>1590</v>
      </c>
      <c r="C139" s="20" t="n">
        <f aca="false">IF(F_Partner=1,1,0)</f>
        <v>1</v>
      </c>
      <c r="D139" s="20" t="n">
        <v>1</v>
      </c>
      <c r="E139" s="20" t="n">
        <f aca="false">IF(Has_pSp,1,0)</f>
        <v>0</v>
      </c>
      <c r="F139" s="20" t="n">
        <v>0</v>
      </c>
      <c r="G139" s="20" t="n">
        <f aca="false">IF(ISNUMBER(SEARCH(","&amp;"pSp"&amp;",",","&amp;SUBSTITUTE(In_lookKeys," ","")&amp;",")),1,0)</f>
        <v>0</v>
      </c>
      <c r="H139" s="20" t="n">
        <f aca="false">IF(ISNUMBER(SEARCH(","&amp;"pSp"&amp;",",","&amp;SUBSTITUTE(In_ackKeys," ","")&amp;",")),1,0)</f>
        <v>0</v>
      </c>
      <c r="I139" s="20" t="n">
        <f aca="false">C139*(1-D139)</f>
        <v>0</v>
      </c>
      <c r="J139" s="20" t="n">
        <f aca="false">I139*E139</f>
        <v>0</v>
      </c>
      <c r="K139" s="20" t="n">
        <f aca="false">C139*G139*(1-H139)</f>
        <v>0</v>
      </c>
      <c r="L139" s="20" t="n">
        <f aca="false">C139*E139*(1-F139)</f>
        <v>0</v>
      </c>
      <c r="M139" s="20" t="n">
        <f aca="false">C139*MAX(E139,G139)</f>
        <v>0</v>
      </c>
      <c r="N139" s="20" t="n">
        <v>6</v>
      </c>
      <c r="O139" s="20" t="n">
        <f aca="false">C139*IF(G139=1,1,IF(AND(D139=0,E139=0),1,0))</f>
        <v>0</v>
      </c>
      <c r="P139" s="20" t="n">
        <f aca="false">C139*E139*(1-G139)</f>
        <v>0</v>
      </c>
      <c r="Q139" s="20" t="s">
        <v>3859</v>
      </c>
    </row>
    <row r="140" customFormat="false" ht="15" hidden="false" customHeight="true" outlineLevel="0" collapsed="false">
      <c r="B140" s="20" t="s">
        <v>3860</v>
      </c>
      <c r="C140" s="42" t="n">
        <f aca="false">(SUM($O$101:$O$139)+SUM($O$250:$O$265))</f>
        <v>1</v>
      </c>
    </row>
    <row r="141" customFormat="false" ht="15" hidden="false" customHeight="true" outlineLevel="0" collapsed="false">
      <c r="B141" s="20" t="s">
        <v>3861</v>
      </c>
      <c r="C141" s="42" t="n">
        <f aca="false">(SUMPRODUCT($K$101:$K$139*($Q$101:$Q$139&lt;&gt;"retireAge"))+SUMPRODUCT($K$250:$K$265*($Q$250:$Q$265&lt;&gt;"retireAge")))</f>
        <v>1</v>
      </c>
    </row>
    <row r="142" customFormat="false" ht="15" hidden="false" customHeight="true" outlineLevel="0" collapsed="false">
      <c r="B142" s="20" t="s">
        <v>3862</v>
      </c>
      <c r="C142" s="42" t="n">
        <f aca="false">(SUM($P$101:$P$139)+SUM($P$250:$P$265))</f>
        <v>29</v>
      </c>
    </row>
    <row r="143" customFormat="false" ht="15" hidden="false" customHeight="true" outlineLevel="0" collapsed="false">
      <c r="B143" s="20" t="s">
        <v>3863</v>
      </c>
      <c r="C143" s="42" t="str">
        <f aca="false">IF((SUMIFS($K$101:$K$139,$N$101:$N$139,1)+SUMIFS($K$250:$K$265,$N$250:$N$265,1))&gt;0,"look",IF(OR((SUMIFS($J$101:$J$139,$N$101:$N$139,1)+SUMIFS($J$250:$J$265,$N$250:$N$265,1))=(SUMIFS($I$101:$I$139,$N$101:$N$139,1)+SUMIFS($I$250:$I$265,$N$250:$N$265,1)),In_saved1="Yes"),"done",IF((SUMIFS($L$101:$L$139,$N$101:$N$139,1)+SUMIFS($L$250:$L$265,$N$250:$N$265,1))&gt;0,"part","none")))</f>
        <v>done</v>
      </c>
    </row>
    <row r="144" customFormat="false" ht="15" hidden="false" customHeight="true" outlineLevel="0" collapsed="false">
      <c r="B144" s="20" t="s">
        <v>3864</v>
      </c>
      <c r="C144" s="42" t="str">
        <f aca="false">IF((SUMIFS($K$101:$K$139,$N$101:$N$139,2)+SUMIFS($K$250:$K$265,$N$250:$N$265,2))&gt;0,"look",IF(OR((SUMIFS($J$101:$J$139,$N$101:$N$139,2)+SUMIFS($J$250:$J$265,$N$250:$N$265,2))=(SUMIFS($I$101:$I$139,$N$101:$N$139,2)+SUMIFS($I$250:$I$265,$N$250:$N$265,2)),In_saved2="Yes"),"done",IF((SUMIFS($L$101:$L$139,$N$101:$N$139,2)+SUMIFS($L$250:$L$265,$N$250:$N$265,2))&gt;0,"part","none")))</f>
        <v>done</v>
      </c>
    </row>
    <row r="145" customFormat="false" ht="15" hidden="false" customHeight="true" outlineLevel="0" collapsed="false">
      <c r="B145" s="20" t="s">
        <v>3865</v>
      </c>
      <c r="C145" s="42" t="str">
        <f aca="false">IF((SUMIFS($K$101:$K$139,$N$101:$N$139,3)+SUMIFS($K$250:$K$265,$N$250:$N$265,3))&gt;0,"look",IF(OR((SUMIFS($J$101:$J$139,$N$101:$N$139,3)+SUMIFS($J$250:$J$265,$N$250:$N$265,3))=(SUMIFS($I$101:$I$139,$N$101:$N$139,3)+SUMIFS($I$250:$I$265,$N$250:$N$265,3)),In_saved3="Yes"),"done",IF((SUMIFS($L$101:$L$139,$N$101:$N$139,3)+SUMIFS($L$250:$L$265,$N$250:$N$265,3))&gt;0,"part","none")))</f>
        <v>done</v>
      </c>
    </row>
    <row r="146" customFormat="false" ht="15" hidden="false" customHeight="true" outlineLevel="0" collapsed="false">
      <c r="B146" s="20" t="s">
        <v>3866</v>
      </c>
      <c r="C146" s="42" t="str">
        <f aca="false">IF((SUMIFS($K$101:$K$139,$N$101:$N$139,4)+SUMIFS($K$250:$K$265,$N$250:$N$265,4))&gt;0,"look",IF(OR((SUMIFS($J$101:$J$139,$N$101:$N$139,4)+SUMIFS($J$250:$J$265,$N$250:$N$265,4))=(SUMIFS($I$101:$I$139,$N$101:$N$139,4)+SUMIFS($I$250:$I$265,$N$250:$N$265,4)),In_saved4="Yes"),"done",IF((SUMIFS($L$101:$L$139,$N$101:$N$139,4)+SUMIFS($L$250:$L$265,$N$250:$N$265,4))&gt;0,"part","none")))</f>
        <v>done</v>
      </c>
    </row>
    <row r="147" customFormat="false" ht="15" hidden="false" customHeight="true" outlineLevel="0" collapsed="false">
      <c r="B147" s="20" t="s">
        <v>3867</v>
      </c>
      <c r="C147" s="42" t="str">
        <f aca="false">IF((SUMIFS($K$101:$K$139,$N$101:$N$139,5)+SUMIFS($K$250:$K$265,$N$250:$N$265,5))&gt;0,"look",IF(OR((SUMIFS($J$101:$J$139,$N$101:$N$139,5)+SUMIFS($J$250:$J$265,$N$250:$N$265,5))=(SUMIFS($I$101:$I$139,$N$101:$N$139,5)+SUMIFS($I$250:$I$265,$N$250:$N$265,5)),In_saved5="Yes"),"done",IF((SUMIFS($L$101:$L$139,$N$101:$N$139,5)+SUMIFS($L$250:$L$265,$N$250:$N$265,5))&gt;0,"part","none")))</f>
        <v>done</v>
      </c>
    </row>
    <row r="148" customFormat="false" ht="15" hidden="false" customHeight="true" outlineLevel="0" collapsed="false">
      <c r="B148" s="20" t="s">
        <v>3868</v>
      </c>
      <c r="C148" s="42" t="str">
        <f aca="false">IF((SUMIFS($K$101:$K$139,$N$101:$N$139,6)+SUMIFS($K$250:$K$265,$N$250:$N$265,6))&gt;0,"look",IF(OR((SUMIFS($J$101:$J$139,$N$101:$N$139,6)+SUMIFS($J$250:$J$265,$N$250:$N$265,6))=(SUMIFS($I$101:$I$139,$N$101:$N$139,6)+SUMIFS($I$250:$I$265,$N$250:$N$265,6)),In_saved6="Yes"),"done",IF((SUMIFS($L$101:$L$139,$N$101:$N$139,6)+SUMIFS($L$250:$L$265,$N$250:$N$265,6))&gt;0,"part","none")))</f>
        <v>look</v>
      </c>
    </row>
    <row r="149" customFormat="false" ht="15" hidden="false" customHeight="true" outlineLevel="0" collapsed="false">
      <c r="B149" s="20" t="s">
        <v>3869</v>
      </c>
      <c r="C149" s="42" t="n">
        <f aca="false">IF(Fin1_St="done",1,0)+IF(Fin2_St="done",1,0)+IF(Fin3_St="done",1,0)+IF(Fin4_St="done",1,0)+IF(Fin5_St="done",1,0)+IF(Fin6_St="done",1,0)</f>
        <v>5</v>
      </c>
    </row>
    <row r="150" customFormat="false" ht="15" hidden="false" customHeight="true" outlineLevel="0" collapsed="false">
      <c r="B150" s="20" t="s">
        <v>3870</v>
      </c>
      <c r="C150" s="42" t="n">
        <f aca="false">IF(AND(OR(Fin1_St="done",Fin1_St="look"),OR(Fin2_St="done",Fin2_St="look"),OR(Fin3_St="done",Fin3_St="look",Fin6_St="done",Fin6_St="look")),1,0)</f>
        <v>1</v>
      </c>
    </row>
    <row r="151" customFormat="false" ht="15" hidden="false" customHeight="true" outlineLevel="0" collapsed="false">
      <c r="B151" s="20" t="s">
        <v>3871</v>
      </c>
      <c r="C151" s="42" t="n">
        <f aca="false">(SUM($I$101:$I$139)+SUM($I$250:$I$265))-(SUM($J$101:$J$139)+SUM($J$250:$J$265))</f>
        <v>0</v>
      </c>
    </row>
    <row r="152" customFormat="false" ht="15" hidden="false" customHeight="true" outlineLevel="0" collapsed="false">
      <c r="B152" s="20" t="s">
        <v>3872</v>
      </c>
      <c r="C152" s="42" t="n">
        <f aca="false">IF(AND((SUMIFS($C$101:$C$139,$N$101:$N$139,1)+SUMIFS($C$250:$C$265,$N$250:$N$265,1))&gt;0,(SUMIFS($M$101:$M$139,$N$101:$N$139,1)+SUMIFS($M$250:$M$265,$N$250:$N$265,1))=0),1,0)+IF(AND((SUMIFS($C$101:$C$139,$N$101:$N$139,2)+SUMIFS($C$250:$C$265,$N$250:$N$265,2))&gt;0,(SUMIFS($M$101:$M$139,$N$101:$N$139,2)+SUMIFS($M$250:$M$265,$N$250:$N$265,2))=0),1,0)+IF(AND((SUMIFS($C$101:$C$139,$N$101:$N$139,3)+SUMIFS($C$250:$C$265,$N$250:$N$265,3))&gt;0,(SUMIFS($M$101:$M$139,$N$101:$N$139,3)+SUMIFS($M$250:$M$265,$N$250:$N$265,3))=0),1,0)+IF(AND((SUMIFS($C$101:$C$139,$N$101:$N$139,4)+SUMIFS($C$250:$C$265,$N$250:$N$265,4))&gt;0,(SUMIFS($M$101:$M$139,$N$101:$N$139,4)+SUMIFS($M$250:$M$265,$N$250:$N$265,4))=0),1,0)+IF(AND((SUMIFS($C$101:$C$139,$N$101:$N$139,5)+SUMIFS($C$250:$C$265,$N$250:$N$265,5))&gt;0,(SUMIFS($M$101:$M$139,$N$101:$N$139,5)+SUMIFS($M$250:$M$265,$N$250:$N$265,5))=0),1,0)+IF(AND((SUMIFS($C$101:$C$139,$N$101:$N$139,6)+SUMIFS($C$250:$C$265,$N$250:$N$265,6))&gt;0,(SUMIFS($M$101:$M$139,$N$101:$N$139,6)+SUMIFS($M$250:$M$265,$N$250:$N$265,6))=0),1,0)</f>
        <v>0</v>
      </c>
    </row>
    <row r="153" customFormat="false" ht="15" hidden="false" customHeight="true" outlineLevel="0" collapsed="false">
      <c r="B153" s="20" t="s">
        <v>3873</v>
      </c>
      <c r="C153" s="42" t="n">
        <f aca="false">IF(OR(Fin_Skipped&gt;0,Fin_Quality&gt;2),1,0)</f>
        <v>0</v>
      </c>
    </row>
    <row r="154" customFormat="false" ht="15" hidden="false" customHeight="true" outlineLevel="0" collapsed="false">
      <c r="B154" s="20" t="s">
        <v>3874</v>
      </c>
      <c r="C154" s="42" t="n">
        <f aca="false">IF(AND(Home_Rough=1,Missing_Count=0),1,0)</f>
        <v>0</v>
      </c>
    </row>
    <row r="156" customFormat="false" ht="15" hidden="false" customHeight="true" outlineLevel="0" collapsed="false">
      <c r="B156" s="23" t="s">
        <v>3875</v>
      </c>
      <c r="C156" s="23" t="s">
        <v>1226</v>
      </c>
    </row>
    <row r="157" customFormat="false" ht="15" hidden="false" customHeight="true" outlineLevel="0" collapsed="false">
      <c r="B157" s="20" t="s">
        <v>3876</v>
      </c>
      <c r="C157" s="42" t="n">
        <f aca="false">F_Age+1</f>
        <v>39</v>
      </c>
    </row>
    <row r="158" customFormat="false" ht="15" hidden="false" customHeight="true" outlineLevel="0" collapsed="false">
      <c r="B158" s="20" t="s">
        <v>3877</v>
      </c>
      <c r="C158" s="42" t="n">
        <f aca="false">MAX(Retire_Min,AS_End-1)</f>
        <v>94</v>
      </c>
    </row>
    <row r="159" customFormat="false" ht="15" hidden="false" customHeight="true" outlineLevel="0" collapsed="false">
      <c r="B159" s="20" t="s">
        <v>3878</v>
      </c>
      <c r="C159" s="42"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20" t="s">
        <v>3879</v>
      </c>
      <c r="C160" s="42" t="str">
        <f aca="false">Retire_Help&amp;" Choose the age you want to plan for, any age from "&amp;Retire_Min&amp;" to "&amp;Retire_Max&amp;"."</f>
        <v>You can usually draw a pension from 60 (some occupational schemes from 50); State Pension is paid from 66. Choose the age you want to plan for, any age from 39 to 94.</v>
      </c>
    </row>
    <row r="161" customFormat="false" ht="15" hidden="false" customHeight="true" outlineLevel="0" collapsed="false">
      <c r="B161" s="20" t="s">
        <v>3880</v>
      </c>
      <c r="C161" s="42"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20" t="s">
        <v>3881</v>
      </c>
      <c r="C162" s="42"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20" t="s">
        <v>3882</v>
      </c>
      <c r="C163" s="42" t="n">
        <f aca="true">IF(Has_age=1,DATEDIF(IF(ISNUMBER('Plan inputs'!C6),'Plan inputs'!C6,'Plan inputs'!F6),TODAY(),"Y"),"")</f>
        <v>38</v>
      </c>
    </row>
    <row r="164" customFormat="false" ht="15" hidden="false" customHeight="true" outlineLevel="0" collapsed="false">
      <c r="B164" s="20" t="s">
        <v>3883</v>
      </c>
      <c r="C164" s="46" t="n">
        <f aca="true">IF(Has_age=1,DATE(YEAR(TODAY())+IF(DATE(YEAR(TODAY()),MONTH(IF(ISNUMBER('Plan inputs'!C6),'Plan inputs'!C6,'Plan inputs'!F6)),DAY(IF(ISNUMBER('Plan inputs'!C6),'Plan inputs'!C6,'Plan inputs'!F6)))&lt;=TODAY(),1,0),MONTH(IF(ISNUMBER('Plan inputs'!C6),'Plan inputs'!C6,'Plan inputs'!F6)),DAY(IF(ISNUMBER('Plan inputs'!C6),'Plan inputs'!C6,'Plan inputs'!F6))),"")</f>
        <v>46620</v>
      </c>
    </row>
    <row r="165" customFormat="false" ht="15" hidden="false" customHeight="true" outlineLevel="0" collapsed="false">
      <c r="B165" s="20" t="s">
        <v>3884</v>
      </c>
      <c r="C165" s="42" t="str">
        <f aca="true">IF(Has_age=0,"","✓ "&amp;DOB_AgeToday&amp;" today"&amp;IF(AS_Year0&gt;YEAR(TODAY())," · your plan starts Jan "&amp;AS_Year0," · turns "&amp;(DOB_AgeToday+1)&amp;" on "&amp;TEXT(DOB_NextBirthday,"d mmmm yyyy")))</f>
        <v>✓ 38 today · turns 39 on 21 August 2027</v>
      </c>
    </row>
    <row r="166" customFormat="false" ht="15" hidden="false" customHeight="true" outlineLevel="0" collapsed="false">
      <c r="B166" s="20" t="s">
        <v>3885</v>
      </c>
      <c r="C166" s="42" t="n">
        <f aca="true">IF(AND(F_Partner=1,Has_pAge=1),DATEDIF(IF(ISNUMBER('Plan inputs'!C31),'Plan inputs'!C31,'Plan inputs'!F31),TODAY(),"Y"),"")</f>
        <v>37</v>
      </c>
    </row>
    <row r="167" customFormat="false" ht="15" hidden="false" customHeight="true" outlineLevel="0" collapsed="false">
      <c r="B167" s="20" t="s">
        <v>3886</v>
      </c>
      <c r="C167" s="42" t="str">
        <f aca="true">IF(PDOB_AgeToday="","","✓ "&amp;PDOB_AgeToday&amp;" today · turns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f>
        <v>✓ 37 today · turns 38 on 3 March 2027</v>
      </c>
    </row>
    <row r="168" customFormat="false" ht="15" hidden="false" customHeight="true" outlineLevel="0" collapsed="false">
      <c r="B168" s="20" t="s">
        <v>3887</v>
      </c>
      <c r="C168" s="42" t="str">
        <f aca="false">IF(AND(O120=1,G120=0),"Assumed: add yours · we use "&amp;PR_FbMortYears&amp;" years","")</f>
        <v/>
      </c>
    </row>
    <row r="169" customFormat="false" ht="15" hidden="false" customHeight="true" outlineLevel="0" collapsed="false">
      <c r="B169" s="20" t="s">
        <v>3888</v>
      </c>
      <c r="C169" s="42" t="str">
        <f aca="false">IF(AND(O128=1,G128=0),"Assumed: add yours · we use "&amp;PR_FbMortYears&amp;" years","")</f>
        <v/>
      </c>
    </row>
    <row r="170" customFormat="false" ht="15" hidden="false" customHeight="true" outlineLevel="0" collapsed="false">
      <c r="B170" s="20" t="s">
        <v>3889</v>
      </c>
      <c r="C170" s="42" t="str">
        <f aca="false">IF(AND(O104=1,G104=0),"Assumed: add yours · we use your age","")</f>
        <v/>
      </c>
    </row>
    <row r="171" customFormat="false" ht="15" hidden="false" customHeight="true" outlineLevel="0" collapsed="false">
      <c r="B171" s="20" t="s">
        <v>3890</v>
      </c>
      <c r="C171" s="42" t="str">
        <f aca="false">IF(AND(O105=1,G105=0),"Assumed: add yours · we use Employed","")</f>
        <v/>
      </c>
    </row>
    <row r="172" customFormat="false" ht="15" hidden="false" customHeight="true" outlineLevel="0" collapsed="false">
      <c r="B172" s="20" t="s">
        <v>3891</v>
      </c>
      <c r="C172" s="42" t="str">
        <f aca="false">IF(AND(O121=1,G121=0),"Assumed: add yours · we use the Central Bank average rate","")</f>
        <v/>
      </c>
    </row>
    <row r="173" customFormat="false" ht="15" hidden="false" customHeight="true" outlineLevel="0" collapsed="false">
      <c r="B173" s="20" t="s">
        <v>3892</v>
      </c>
      <c r="C173" s="42" t="str">
        <f aca="false">IF(AND(O127=1,G127=0),"Assumed: add yours · we use the Central Bank average rate","")</f>
        <v/>
      </c>
    </row>
    <row r="174" customFormat="false" ht="15" hidden="false" customHeight="true" outlineLevel="0" collapsed="false">
      <c r="B174" s="20" t="s">
        <v>3893</v>
      </c>
      <c r="C174" s="42" t="str">
        <f aca="false">IF(AND(O124=1,G124=0),"Assumed: add yours · we use a planning rate of "&amp;ROUND(AS_CardRate*100,2)&amp;"%","")</f>
        <v/>
      </c>
    </row>
    <row r="176" customFormat="false" ht="15" hidden="false" customHeight="true" outlineLevel="0" collapsed="false">
      <c r="B176" s="23" t="s">
        <v>3894</v>
      </c>
      <c r="C176" s="23" t="s">
        <v>1226</v>
      </c>
    </row>
    <row r="177" customFormat="false" ht="15" hidden="false" customHeight="true" outlineLevel="0" collapsed="false">
      <c r="B177" s="20" t="s">
        <v>3895</v>
      </c>
      <c r="C177" s="42" t="n">
        <f aca="false">SUMPRODUCT((GR_Key&lt;&gt;"")*1)</f>
        <v>5</v>
      </c>
    </row>
    <row r="178" customFormat="false" ht="15" hidden="false" customHeight="true" outlineLevel="0" collapsed="false">
      <c r="B178" s="20" t="s">
        <v>3896</v>
      </c>
      <c r="C178" s="42" t="n">
        <f aca="false">IF(Home_N&gt;0,ROUND(SUM(GR_PctN)/Home_N,0),0)</f>
        <v>74</v>
      </c>
    </row>
    <row r="179" customFormat="false" ht="15" hidden="false" customHeight="true" outlineLevel="0" collapsed="false">
      <c r="B179" s="20" t="s">
        <v>3897</v>
      </c>
      <c r="C179" s="42" t="n">
        <f aca="false">SUMPRODUCT((GR_Key&lt;&gt;"")*(GR_PctN&gt;=PR_Good))</f>
        <v>1</v>
      </c>
    </row>
    <row r="180" customFormat="false" ht="15" hidden="false" customHeight="true" outlineLevel="0" collapsed="false">
      <c r="B180" s="20" t="s">
        <v>3898</v>
      </c>
      <c r="C180" s="42" t="str">
        <f aca="false">IF(Home_Avg&gt;=PR_Good,"good",IF(Home_Avg&gt;=PR_Nudge,"nudge","alert"))</f>
        <v>nudge</v>
      </c>
    </row>
    <row r="181" customFormat="false" ht="15" hidden="false" customHeight="true" outlineLevel="0" collapsed="false">
      <c r="B181" s="20" t="s">
        <v>3899</v>
      </c>
      <c r="C181" s="42" t="str">
        <f aca="false">IF(SUMPRODUCT((GR_Spec="mortgage")*1)&gt;0,"borrow,deposit,","")&amp;IF(SUMPRODUCT((GR_Spec="pension")*1)&gt;0,"retirement,contrib,","")&amp;"goalplanner,emergency,surplus,lifecover,compound"</f>
        <v>borrow,deposit,retirement,contrib,goalplanner,emergency,surplus,lifecover,compound</v>
      </c>
    </row>
    <row r="182" customFormat="false" ht="15" hidden="false" customHeight="true" outlineLevel="0" collapsed="false">
      <c r="B182" s="20" t="s">
        <v>3900</v>
      </c>
      <c r="C182" s="42" t="str">
        <f aca="false">IF(LEN(Tools_All)-LEN(SUBSTITUTE(Tools_All,",",""))&gt;=6,LEFT(Tools_All,FIND("|",SUBSTITUTE(Tools_All,",","|",6))-1),Tools_All)</f>
        <v>borrow,deposit,retirement,contrib,goalplanner,emergency</v>
      </c>
    </row>
    <row r="183" customFormat="false" ht="15" hidden="false" customHeight="true" outlineLevel="0" collapsed="false">
      <c r="B183" s="20" t="s">
        <v>3901</v>
      </c>
      <c r="C183" s="42" t="n">
        <f aca="false">IF(Home_N&gt;0,MATCH(MIN(GR_PctB),GR_PctB,0),0)</f>
        <v>1</v>
      </c>
    </row>
    <row r="184" customFormat="false" ht="15" hidden="false" customHeight="true" outlineLevel="0" collapsed="false">
      <c r="B184" s="20" t="s">
        <v>3902</v>
      </c>
      <c r="C184" s="42" t="str">
        <f aca="false">IF(Expert_Idx=0,"planner",INDEX(GR_Spec,Expert_Idx))</f>
        <v>planner</v>
      </c>
    </row>
    <row r="185" customFormat="false" ht="15" hidden="false" customHeight="true" outlineLevel="0" collapsed="false">
      <c r="B185" s="20" t="s">
        <v>3903</v>
      </c>
      <c r="C185" s="42"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20" t="s">
        <v>3904</v>
      </c>
      <c r="C186" s="42" t="n">
        <f aca="false">ROUND(IF('Plan cashflow'!$HU$8=1,IF('Plan cashflow'!$G$8=1,MIN(MAX(0,'Plan cashflow'!$HZ$8),'Plan cashflow'!$HS$8),'Plan cashflow'!$HS$8),0)/12,0)</f>
        <v>67</v>
      </c>
    </row>
    <row r="187" customFormat="false" ht="15" hidden="false" customHeight="true" outlineLevel="0" collapsed="false">
      <c r="B187" s="20" t="s">
        <v>3905</v>
      </c>
      <c r="C187" s="42" t="n">
        <f aca="false">INT(AS_SaveShare*Save_SurplusM/25)*25</f>
        <v>50</v>
      </c>
    </row>
    <row r="188" customFormat="false" ht="15" hidden="false" customHeight="true" outlineLevel="0" collapsed="false">
      <c r="B188" s="20" t="s">
        <v>3906</v>
      </c>
      <c r="C188" s="42" t="n">
        <f aca="false">IF(AND(Nudge_X&gt;=Save_SaveM_Base+PR_NudgeStep,Nudge_X&gt;=IF(Has_saveM=1,In_saveM,Save_SaveM_Base)+PR_NudgeStep),1,0)</f>
        <v>0</v>
      </c>
    </row>
    <row r="189" customFormat="false" ht="15" hidden="false" customHeight="true" outlineLevel="0" collapsed="false">
      <c r="B189" s="20" t="s">
        <v>3907</v>
      </c>
      <c r="C189" s="42" t="n">
        <f aca="false">MAX(0,Save_SaveM_Base+WI_M)</f>
        <v>67</v>
      </c>
    </row>
    <row r="190" customFormat="false" ht="15" hidden="false" customHeight="true" outlineLevel="0" collapsed="false">
      <c r="B190" s="20" t="s">
        <v>3908</v>
      </c>
      <c r="C190" s="42" t="n">
        <f aca="false">IF(AND(WI_M&lt;&gt;0,Wi_Total&gt;MAX(0,Save_SurplusM)+PR_MinShort),1,0)</f>
        <v>0</v>
      </c>
    </row>
    <row r="192" customFormat="false" ht="15" hidden="false" customHeight="true" outlineLevel="0" collapsed="false">
      <c r="B192" s="23" t="s">
        <v>3909</v>
      </c>
      <c r="C192" s="23" t="s">
        <v>1226</v>
      </c>
    </row>
    <row r="193" customFormat="false" ht="15" hidden="false" customHeight="true" outlineLevel="0" collapsed="false">
      <c r="B193" s="20" t="s">
        <v>3910</v>
      </c>
      <c r="C193" s="42" t="n">
        <f aca="false">SUM('Plan cashflow'!$TZ$8:$TZ$97)</f>
        <v>21</v>
      </c>
    </row>
    <row r="194" customFormat="false" ht="15" hidden="false" customHeight="true" outlineLevel="0" collapsed="false">
      <c r="B194" s="20" t="s">
        <v>3911</v>
      </c>
      <c r="C194" s="42" t="n">
        <f aca="false">SUM('Plan cashflow'!$UA$8:$UA$97)</f>
        <v>15</v>
      </c>
    </row>
    <row r="195" customFormat="false" ht="15" hidden="false" customHeight="true" outlineLevel="0" collapsed="false">
      <c r="B195" s="20" t="s">
        <v>3912</v>
      </c>
      <c r="C195" s="42" t="n">
        <f aca="false">IFERROR(MATCH(1,'Plan cashflow'!$TZ$8:$TZ$97,0),0)</f>
        <v>3</v>
      </c>
    </row>
    <row r="196" customFormat="false" ht="15" hidden="false" customHeight="true" outlineLevel="0" collapsed="false">
      <c r="B196" s="20" t="s">
        <v>3913</v>
      </c>
      <c r="C196" s="42" t="n">
        <f aca="false">IF(Chart_FirstShortIdx&gt;0,F_Age+Chart_FirstShortIdx-1,"")</f>
        <v>40</v>
      </c>
    </row>
    <row r="197" customFormat="false" ht="15" hidden="false" customHeight="true" outlineLevel="0" collapsed="false">
      <c r="B197" s="20" t="s">
        <v>3914</v>
      </c>
      <c r="C197" s="42" t="n">
        <f aca="false">IF(Chart_FirstShortIdx&gt;0,INDEX('Plan cashflow'!$TY$8:$TY$97,Chart_FirstShortIdx),"")</f>
        <v>4227.55848830376</v>
      </c>
    </row>
    <row r="198" customFormat="false" ht="15" hidden="false" customHeight="true" outlineLevel="0" collapsed="false">
      <c r="B198" s="20" t="s">
        <v>3915</v>
      </c>
      <c r="C198" s="42" t="n">
        <f aca="false">SUMPRODUCT('Plan cashflow'!$TZ$8:$TZ$97*'Plan cashflow'!$TY$8:$TY$97)</f>
        <v>524474.447706316</v>
      </c>
    </row>
    <row r="199" customFormat="false" ht="15" hidden="false" customHeight="true" outlineLevel="0" collapsed="false">
      <c r="B199" s="20" t="s">
        <v>3916</v>
      </c>
      <c r="C199" s="42" t="n">
        <f aca="false">SUM('Plan cashflow'!$UB$8:$UB$97)</f>
        <v>18</v>
      </c>
    </row>
    <row r="200" customFormat="false" ht="15" hidden="false" customHeight="true" outlineLevel="0" collapsed="false">
      <c r="B200" s="20" t="s">
        <v>3917</v>
      </c>
      <c r="C200" s="42" t="n">
        <f aca="false">IFERROR(F_Age+MATCH(1,'Plan cashflow'!$UB$8:$UB$97,0)-1,"")</f>
        <v>78</v>
      </c>
    </row>
    <row r="201" customFormat="false" ht="15" hidden="false" customHeight="true" outlineLevel="0" collapsed="false">
      <c r="B201" s="20" t="s">
        <v>3918</v>
      </c>
      <c r="C201" s="42" t="n">
        <f aca="false">IFERROR(F_Age+MATCH(1,'Plan cashflow'!$UJ$8:$UJ$97,0)-1,"")</f>
        <v>40</v>
      </c>
    </row>
    <row r="202" customFormat="false" ht="15" hidden="false" customHeight="true" outlineLevel="0" collapsed="false">
      <c r="B202" s="20" t="s">
        <v>3919</v>
      </c>
      <c r="C202" s="42" t="n">
        <f aca="false">SUM('Plan cashflow'!$UJ$8:$UJ$97)</f>
        <v>21</v>
      </c>
    </row>
    <row r="203" customFormat="false" ht="15" hidden="false" customHeight="true" outlineLevel="0" collapsed="false">
      <c r="B203" s="53" t="s">
        <v>3920</v>
      </c>
      <c r="C203" s="53" t="s">
        <v>3921</v>
      </c>
      <c r="D203" s="53" t="s">
        <v>3922</v>
      </c>
      <c r="E203" s="53" t="s">
        <v>3923</v>
      </c>
      <c r="F203" s="53" t="s">
        <v>3924</v>
      </c>
      <c r="G203" s="53" t="s">
        <v>3925</v>
      </c>
      <c r="H203" s="53" t="s">
        <v>3926</v>
      </c>
      <c r="I203" s="53" t="s">
        <v>3927</v>
      </c>
      <c r="J203" s="53" t="s">
        <v>3928</v>
      </c>
      <c r="K203" s="53" t="s">
        <v>3929</v>
      </c>
    </row>
    <row r="204" customFormat="false" ht="15" hidden="false" customHeight="true" outlineLevel="0" collapsed="false">
      <c r="B204" s="20" t="n">
        <v>1</v>
      </c>
      <c r="C204" s="20" t="n">
        <f aca="false">IF(COUNTIFS('Plan cashflow'!$UF$8:$UF$97,1,'Plan cashflow'!$C$8:$C$97,1)=0,"",INDEX('Plan cashflow'!$UE$8:$UE$97,MATCH(1,'Plan cashflow'!$UF$8:$UF$97,0)))</f>
        <v>30</v>
      </c>
      <c r="D204" s="20" t="n">
        <f aca="false">IF(COUNTIFS('Plan cashflow'!$UF$8:$UF$97,1,'Plan cashflow'!$C$8:$C$97,1)=0,"",F_Age+MATCH(1,'Plan cashflow'!$UF$8:$UF$97,0)-1)</f>
        <v>38</v>
      </c>
      <c r="E204" s="20" t="n">
        <f aca="false">IF(COUNTIFS('Plan cashflow'!$UF$8:$UF$97,1,'Plan cashflow'!$C$8:$C$97,1)=0,"",D204+COUNTIFS('Plan cashflow'!$UF$8:$UF$97,1,'Plan cashflow'!$C$8:$C$97,1)-1)</f>
        <v>39</v>
      </c>
      <c r="F204" s="20" t="n">
        <f aca="false">COUNTIFS('Plan cashflow'!$UF$8:$UF$97,1,'Plan cashflow'!$C$8:$C$97,1)</f>
        <v>2</v>
      </c>
      <c r="G204" s="20" t="n">
        <f aca="false">COUNTIFS('Plan cashflow'!$UF$8:$UF$97,1,'Plan cashflow'!$UJ$8:$UJ$97,1)</f>
        <v>0</v>
      </c>
      <c r="H204" s="20" t="n">
        <f aca="false">COUNTIFS('Plan cashflow'!$UF$8:$UF$97,1,'Plan cashflow'!$UC$8:$UC$97,1)</f>
        <v>0</v>
      </c>
      <c r="I204" s="20" t="n">
        <f aca="false">IF(G204&gt;0,SUMIFS('Plan cashflow'!$TP$8:$TP$97,'Plan cashflow'!$UF$8:$UF$97,1,'Plan cashflow'!$UJ$8:$UJ$97,1)/G204,0)</f>
        <v>0</v>
      </c>
      <c r="J204" s="20" t="str">
        <f aca="false">IF(F204=0,"",IF(G204&gt;0,"storm",IF(H204&gt;F204/3,"showers",IF(H204&gt;0,"partly","sun"))))</f>
        <v>sun</v>
      </c>
      <c r="K204" s="20" t="str">
        <f aca="false">IF(F204=0,"",IF(G204&gt;0,"Short by about "&amp;"€"&amp;TEXT(ROUND(I204,0),"#,##0")&amp;" a year in "&amp;G204&amp;" of these years.",IF(COUNTIFS('Plan cashflow'!$UF$8:$UF$97,1,'Plan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20" t="n">
        <v>2</v>
      </c>
      <c r="C205" s="20" t="n">
        <f aca="false">IF(COUNTIFS('Plan cashflow'!$UF$8:$UF$97,2,'Plan cashflow'!$C$8:$C$97,1)=0,"",INDEX('Plan cashflow'!$UE$8:$UE$97,MATCH(2,'Plan cashflow'!$UF$8:$UF$97,0)))</f>
        <v>40</v>
      </c>
      <c r="D205" s="20" t="n">
        <f aca="false">IF(COUNTIFS('Plan cashflow'!$UF$8:$UF$97,2,'Plan cashflow'!$C$8:$C$97,1)=0,"",F_Age+MATCH(2,'Plan cashflow'!$UF$8:$UF$97,0)-1)</f>
        <v>40</v>
      </c>
      <c r="E205" s="20" t="n">
        <f aca="false">IF(COUNTIFS('Plan cashflow'!$UF$8:$UF$97,2,'Plan cashflow'!$C$8:$C$97,1)=0,"",D205+COUNTIFS('Plan cashflow'!$UF$8:$UF$97,2,'Plan cashflow'!$C$8:$C$97,1)-1)</f>
        <v>49</v>
      </c>
      <c r="F205" s="20" t="n">
        <f aca="false">COUNTIFS('Plan cashflow'!$UF$8:$UF$97,2,'Plan cashflow'!$C$8:$C$97,1)</f>
        <v>10</v>
      </c>
      <c r="G205" s="20" t="n">
        <f aca="false">COUNTIFS('Plan cashflow'!$UF$8:$UF$97,2,'Plan cashflow'!$UJ$8:$UJ$97,1)</f>
        <v>3</v>
      </c>
      <c r="H205" s="20" t="n">
        <f aca="false">COUNTIFS('Plan cashflow'!$UF$8:$UF$97,2,'Plan cashflow'!$UC$8:$UC$97,1)</f>
        <v>0</v>
      </c>
      <c r="I205" s="20" t="n">
        <f aca="false">IF(G205&gt;0,SUMIFS('Plan cashflow'!$TP$8:$TP$97,'Plan cashflow'!$UF$8:$UF$97,2,'Plan cashflow'!$UJ$8:$UJ$97,1)/G205,0)</f>
        <v>12959.0960290827</v>
      </c>
      <c r="J205" s="20" t="str">
        <f aca="false">IF(F205=0,"",IF(G205&gt;0,"storm",IF(H205&gt;F205/3,"showers",IF(H205&gt;0,"partly","sun"))))</f>
        <v>storm</v>
      </c>
      <c r="K205" s="20" t="str">
        <f aca="false">IF(F205=0,"",IF(G205&gt;0,"Short by about "&amp;"€"&amp;TEXT(ROUND(I205,0),"#,##0")&amp;" a year in "&amp;G205&amp;" of these years.",IF(COUNTIFS('Plan cashflow'!$UF$8:$UF$97,2,'Plan cashflow'!$C$8:$C$97,1,'Plan pay &amp; tax'!$G$234:$G$323,0)=F205,"Living on your pensions and savings, and they hold up.",IF(H205&gt;0,"Some years dip into savings. That's what they're for.","Income comfortably covers life."))))</f>
        <v>Short by about €12,959 a year in 3 of these years.</v>
      </c>
    </row>
    <row r="206" customFormat="false" ht="15" hidden="false" customHeight="true" outlineLevel="0" collapsed="false">
      <c r="B206" s="20" t="n">
        <v>3</v>
      </c>
      <c r="C206" s="20" t="n">
        <f aca="false">IF(COUNTIFS('Plan cashflow'!$UF$8:$UF$97,3,'Plan cashflow'!$C$8:$C$97,1)=0,"",INDEX('Plan cashflow'!$UE$8:$UE$97,MATCH(3,'Plan cashflow'!$UF$8:$UF$97,0)))</f>
        <v>50</v>
      </c>
      <c r="D206" s="20" t="n">
        <f aca="false">IF(COUNTIFS('Plan cashflow'!$UF$8:$UF$97,3,'Plan cashflow'!$C$8:$C$97,1)=0,"",F_Age+MATCH(3,'Plan cashflow'!$UF$8:$UF$97,0)-1)</f>
        <v>50</v>
      </c>
      <c r="E206" s="20" t="n">
        <f aca="false">IF(COUNTIFS('Plan cashflow'!$UF$8:$UF$97,3,'Plan cashflow'!$C$8:$C$97,1)=0,"",D206+COUNTIFS('Plan cashflow'!$UF$8:$UF$97,3,'Plan cashflow'!$C$8:$C$97,1)-1)</f>
        <v>59</v>
      </c>
      <c r="F206" s="20" t="n">
        <f aca="false">COUNTIFS('Plan cashflow'!$UF$8:$UF$97,3,'Plan cashflow'!$C$8:$C$97,1)</f>
        <v>10</v>
      </c>
      <c r="G206" s="20" t="n">
        <f aca="false">COUNTIFS('Plan cashflow'!$UF$8:$UF$97,3,'Plan cashflow'!$UJ$8:$UJ$97,1)</f>
        <v>0</v>
      </c>
      <c r="H206" s="20" t="n">
        <f aca="false">COUNTIFS('Plan cashflow'!$UF$8:$UF$97,3,'Plan cashflow'!$UC$8:$UC$97,1)</f>
        <v>0</v>
      </c>
      <c r="I206" s="20" t="n">
        <f aca="false">IF(G206&gt;0,SUMIFS('Plan cashflow'!$TP$8:$TP$97,'Plan cashflow'!$UF$8:$UF$97,3,'Plan cashflow'!$UJ$8:$UJ$97,1)/G206,0)</f>
        <v>0</v>
      </c>
      <c r="J206" s="20" t="str">
        <f aca="false">IF(F206=0,"",IF(G206&gt;0,"storm",IF(H206&gt;F206/3,"showers",IF(H206&gt;0,"partly","sun"))))</f>
        <v>sun</v>
      </c>
      <c r="K206" s="20" t="str">
        <f aca="false">IF(F206=0,"",IF(G206&gt;0,"Short by about "&amp;"€"&amp;TEXT(ROUND(I206,0),"#,##0")&amp;" a year in "&amp;G206&amp;" of these years.",IF(COUNTIFS('Plan cashflow'!$UF$8:$UF$97,3,'Plan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20" t="n">
        <v>4</v>
      </c>
      <c r="C207" s="20" t="n">
        <f aca="false">IF(COUNTIFS('Plan cashflow'!$UF$8:$UF$97,4,'Plan cashflow'!$C$8:$C$97,1)=0,"",INDEX('Plan cashflow'!$UE$8:$UE$97,MATCH(4,'Plan cashflow'!$UF$8:$UF$97,0)))</f>
        <v>60</v>
      </c>
      <c r="D207" s="20" t="n">
        <f aca="false">IF(COUNTIFS('Plan cashflow'!$UF$8:$UF$97,4,'Plan cashflow'!$C$8:$C$97,1)=0,"",F_Age+MATCH(4,'Plan cashflow'!$UF$8:$UF$97,0)-1)</f>
        <v>60</v>
      </c>
      <c r="E207" s="20" t="n">
        <f aca="false">IF(COUNTIFS('Plan cashflow'!$UF$8:$UF$97,4,'Plan cashflow'!$C$8:$C$97,1)=0,"",D207+COUNTIFS('Plan cashflow'!$UF$8:$UF$97,4,'Plan cashflow'!$C$8:$C$97,1)-1)</f>
        <v>69</v>
      </c>
      <c r="F207" s="20" t="n">
        <f aca="false">COUNTIFS('Plan cashflow'!$UF$8:$UF$97,4,'Plan cashflow'!$C$8:$C$97,1)</f>
        <v>10</v>
      </c>
      <c r="G207" s="20" t="n">
        <f aca="false">COUNTIFS('Plan cashflow'!$UF$8:$UF$97,4,'Plan cashflow'!$UJ$8:$UJ$97,1)</f>
        <v>0</v>
      </c>
      <c r="H207" s="20" t="n">
        <f aca="false">COUNTIFS('Plan cashflow'!$UF$8:$UF$97,4,'Plan cashflow'!$UC$8:$UC$97,1)</f>
        <v>6</v>
      </c>
      <c r="I207" s="20" t="n">
        <f aca="false">IF(G207&gt;0,SUMIFS('Plan cashflow'!$TP$8:$TP$97,'Plan cashflow'!$UF$8:$UF$97,4,'Plan cashflow'!$UJ$8:$UJ$97,1)/G207,0)</f>
        <v>0</v>
      </c>
      <c r="J207" s="20" t="str">
        <f aca="false">IF(F207=0,"",IF(G207&gt;0,"storm",IF(H207&gt;F207/3,"showers",IF(H207&gt;0,"partly","sun"))))</f>
        <v>showers</v>
      </c>
      <c r="K207" s="20" t="str">
        <f aca="false">IF(F207=0,"",IF(G207&gt;0,"Short by about "&amp;"€"&amp;TEXT(ROUND(I207,0),"#,##0")&amp;" a year in "&amp;G207&amp;" of these years.",IF(COUNTIFS('Plan cashflow'!$UF$8:$UF$97,4,'Plan cashflow'!$C$8:$C$97,1,'Plan pay &amp; tax'!$G$234:$G$323,0)=F207,"Living on your pensions and savings, and they hold up.",IF(H207&gt;0,"Some years dip into savings. That's what they're for.","Income comfortably covers life."))))</f>
        <v>Some years dip into savings. That's what they're for.</v>
      </c>
    </row>
    <row r="208" customFormat="false" ht="15" hidden="false" customHeight="true" outlineLevel="0" collapsed="false">
      <c r="B208" s="20" t="n">
        <v>5</v>
      </c>
      <c r="C208" s="20" t="n">
        <f aca="false">IF(COUNTIFS('Plan cashflow'!$UF$8:$UF$97,5,'Plan cashflow'!$C$8:$C$97,1)=0,"",INDEX('Plan cashflow'!$UE$8:$UE$97,MATCH(5,'Plan cashflow'!$UF$8:$UF$97,0)))</f>
        <v>70</v>
      </c>
      <c r="D208" s="20" t="n">
        <f aca="false">IF(COUNTIFS('Plan cashflow'!$UF$8:$UF$97,5,'Plan cashflow'!$C$8:$C$97,1)=0,"",F_Age+MATCH(5,'Plan cashflow'!$UF$8:$UF$97,0)-1)</f>
        <v>70</v>
      </c>
      <c r="E208" s="20" t="n">
        <f aca="false">IF(COUNTIFS('Plan cashflow'!$UF$8:$UF$97,5,'Plan cashflow'!$C$8:$C$97,1)=0,"",D208+COUNTIFS('Plan cashflow'!$UF$8:$UF$97,5,'Plan cashflow'!$C$8:$C$97,1)-1)</f>
        <v>79</v>
      </c>
      <c r="F208" s="20" t="n">
        <f aca="false">COUNTIFS('Plan cashflow'!$UF$8:$UF$97,5,'Plan cashflow'!$C$8:$C$97,1)</f>
        <v>10</v>
      </c>
      <c r="G208" s="20" t="n">
        <f aca="false">COUNTIFS('Plan cashflow'!$UF$8:$UF$97,5,'Plan cashflow'!$UJ$8:$UJ$97,1)</f>
        <v>2</v>
      </c>
      <c r="H208" s="20" t="n">
        <f aca="false">COUNTIFS('Plan cashflow'!$UF$8:$UF$97,5,'Plan cashflow'!$UC$8:$UC$97,1)</f>
        <v>8</v>
      </c>
      <c r="I208" s="20" t="n">
        <f aca="false">IF(G208&gt;0,SUMIFS('Plan cashflow'!$TP$8:$TP$97,'Plan cashflow'!$UF$8:$UF$97,5,'Plan cashflow'!$UJ$8:$UJ$97,1)/G208,0)</f>
        <v>24697.449151734</v>
      </c>
      <c r="J208" s="20" t="str">
        <f aca="false">IF(F208=0,"",IF(G208&gt;0,"storm",IF(H208&gt;F208/3,"showers",IF(H208&gt;0,"partly","sun"))))</f>
        <v>storm</v>
      </c>
      <c r="K208" s="20" t="str">
        <f aca="false">IF(F208=0,"",IF(G208&gt;0,"Short by about "&amp;"€"&amp;TEXT(ROUND(I208,0),"#,##0")&amp;" a year in "&amp;G208&amp;" of these years.",IF(COUNTIFS('Plan cashflow'!$UF$8:$UF$97,5,'Plan cashflow'!$C$8:$C$97,1,'Plan pay &amp; tax'!$G$234:$G$323,0)=F208,"Living on your pensions and savings, and they hold up.",IF(H208&gt;0,"Some years dip into savings. That's what they're for.","Income comfortably covers life."))))</f>
        <v>Short by about €24,697 a year in 2 of these years.</v>
      </c>
    </row>
    <row r="209" customFormat="false" ht="15" hidden="false" customHeight="true" outlineLevel="0" collapsed="false">
      <c r="B209" s="20" t="n">
        <v>6</v>
      </c>
      <c r="C209" s="20" t="n">
        <f aca="false">IF(COUNTIFS('Plan cashflow'!$UF$8:$UF$97,6,'Plan cashflow'!$C$8:$C$97,1)=0,"",INDEX('Plan cashflow'!$UE$8:$UE$97,MATCH(6,'Plan cashflow'!$UF$8:$UF$97,0)))</f>
        <v>80</v>
      </c>
      <c r="D209" s="20" t="n">
        <f aca="false">IF(COUNTIFS('Plan cashflow'!$UF$8:$UF$97,6,'Plan cashflow'!$C$8:$C$97,1)=0,"",F_Age+MATCH(6,'Plan cashflow'!$UF$8:$UF$97,0)-1)</f>
        <v>80</v>
      </c>
      <c r="E209" s="20" t="n">
        <f aca="false">IF(COUNTIFS('Plan cashflow'!$UF$8:$UF$97,6,'Plan cashflow'!$C$8:$C$97,1)=0,"",D209+COUNTIFS('Plan cashflow'!$UF$8:$UF$97,6,'Plan cashflow'!$C$8:$C$97,1)-1)</f>
        <v>95</v>
      </c>
      <c r="F209" s="20" t="n">
        <f aca="false">COUNTIFS('Plan cashflow'!$UF$8:$UF$97,6,'Plan cashflow'!$C$8:$C$97,1)</f>
        <v>16</v>
      </c>
      <c r="G209" s="20" t="n">
        <f aca="false">COUNTIFS('Plan cashflow'!$UF$8:$UF$97,6,'Plan cashflow'!$UJ$8:$UJ$97,1)</f>
        <v>16</v>
      </c>
      <c r="H209" s="20" t="n">
        <f aca="false">COUNTIFS('Plan cashflow'!$UF$8:$UF$97,6,'Plan cashflow'!$UC$8:$UC$97,1)</f>
        <v>0</v>
      </c>
      <c r="I209" s="20" t="n">
        <f aca="false">IF(G209&gt;0,SUMIFS('Plan cashflow'!$TP$8:$TP$97,'Plan cashflow'!$UF$8:$UF$97,6,'Plan cashflow'!$UJ$8:$UJ$97,1)/G209,0)</f>
        <v>27262.641332225</v>
      </c>
      <c r="J209" s="20" t="str">
        <f aca="false">IF(F209=0,"",IF(G209&gt;0,"storm",IF(H209&gt;F209/3,"showers",IF(H209&gt;0,"partly","sun"))))</f>
        <v>storm</v>
      </c>
      <c r="K209" s="20" t="str">
        <f aca="false">IF(F209=0,"",IF(G209&gt;0,"Short by about "&amp;"€"&amp;TEXT(ROUND(I209,0),"#,##0")&amp;" a year in "&amp;G209&amp;" of these years.",IF(COUNTIFS('Plan cashflow'!$UF$8:$UF$97,6,'Plan cashflow'!$C$8:$C$97,1,'Plan pay &amp; tax'!$G$234:$G$323,0)=F209,"Living on your pensions and savings, and they hold up.",IF(H209&gt;0,"Some years dip into savings. That's what they're for.","Income comfortably covers life."))))</f>
        <v>Short by about €27,263 a year in 16 of these years.</v>
      </c>
    </row>
    <row r="210" customFormat="false" ht="15" hidden="false" customHeight="true" outlineLevel="0" collapsed="false">
      <c r="B210" s="20" t="n">
        <v>7</v>
      </c>
      <c r="C210" s="20" t="str">
        <f aca="false">IF(COUNTIFS('Plan cashflow'!$UF$8:$UF$97,7,'Plan cashflow'!$C$8:$C$97,1)=0,"",INDEX('Plan cashflow'!$UE$8:$UE$97,MATCH(7,'Plan cashflow'!$UF$8:$UF$97,0)))</f>
        <v/>
      </c>
      <c r="D210" s="20" t="str">
        <f aca="false">IF(COUNTIFS('Plan cashflow'!$UF$8:$UF$97,7,'Plan cashflow'!$C$8:$C$97,1)=0,"",F_Age+MATCH(7,'Plan cashflow'!$UF$8:$UF$97,0)-1)</f>
        <v/>
      </c>
      <c r="E210" s="20" t="str">
        <f aca="false">IF(COUNTIFS('Plan cashflow'!$UF$8:$UF$97,7,'Plan cashflow'!$C$8:$C$97,1)=0,"",D210+COUNTIFS('Plan cashflow'!$UF$8:$UF$97,7,'Plan cashflow'!$C$8:$C$97,1)-1)</f>
        <v/>
      </c>
      <c r="F210" s="20" t="n">
        <f aca="false">COUNTIFS('Plan cashflow'!$UF$8:$UF$97,7,'Plan cashflow'!$C$8:$C$97,1)</f>
        <v>0</v>
      </c>
      <c r="G210" s="20" t="n">
        <f aca="false">COUNTIFS('Plan cashflow'!$UF$8:$UF$97,7,'Plan cashflow'!$UJ$8:$UJ$97,1)</f>
        <v>0</v>
      </c>
      <c r="H210" s="20" t="n">
        <f aca="false">COUNTIFS('Plan cashflow'!$UF$8:$UF$97,7,'Plan cashflow'!$UC$8:$UC$97,1)</f>
        <v>0</v>
      </c>
      <c r="I210" s="20" t="n">
        <f aca="false">IF(G210&gt;0,SUMIFS('Plan cashflow'!$TP$8:$TP$97,'Plan cashflow'!$UF$8:$UF$97,7,'Plan cashflow'!$UJ$8:$UJ$97,1)/G210,0)</f>
        <v>0</v>
      </c>
      <c r="J210" s="20" t="str">
        <f aca="false">IF(F210=0,"",IF(G210&gt;0,"storm",IF(H210&gt;F210/3,"showers",IF(H210&gt;0,"partly","sun"))))</f>
        <v/>
      </c>
      <c r="K210" s="20" t="str">
        <f aca="false">IF(F210=0,"",IF(G210&gt;0,"Short by about "&amp;"€"&amp;TEXT(ROUND(I210,0),"#,##0")&amp;" a year in "&amp;G210&amp;" of these years.",IF(COUNTIFS('Plan cashflow'!$UF$8:$UF$97,7,'Plan cashflow'!$C$8:$C$97,1,'Plan pay &amp; tax'!$G$234:$G$323,0)=F210,"Living on your pensions and savings, and they hold up.",IF(H210&gt;0,"Some years dip into savings. That's what they're for.","Income comfortably covers life."))))</f>
        <v/>
      </c>
    </row>
    <row r="211" customFormat="false" ht="15" hidden="false" customHeight="true" outlineLevel="0" collapsed="false">
      <c r="B211" s="20" t="n">
        <v>8</v>
      </c>
      <c r="C211" s="20" t="str">
        <f aca="false">IF(COUNTIFS('Plan cashflow'!$UF$8:$UF$97,8,'Plan cashflow'!$C$8:$C$97,1)=0,"",INDEX('Plan cashflow'!$UE$8:$UE$97,MATCH(8,'Plan cashflow'!$UF$8:$UF$97,0)))</f>
        <v/>
      </c>
      <c r="D211" s="20" t="str">
        <f aca="false">IF(COUNTIFS('Plan cashflow'!$UF$8:$UF$97,8,'Plan cashflow'!$C$8:$C$97,1)=0,"",F_Age+MATCH(8,'Plan cashflow'!$UF$8:$UF$97,0)-1)</f>
        <v/>
      </c>
      <c r="E211" s="20" t="str">
        <f aca="false">IF(COUNTIFS('Plan cashflow'!$UF$8:$UF$97,8,'Plan cashflow'!$C$8:$C$97,1)=0,"",D211+COUNTIFS('Plan cashflow'!$UF$8:$UF$97,8,'Plan cashflow'!$C$8:$C$97,1)-1)</f>
        <v/>
      </c>
      <c r="F211" s="20" t="n">
        <f aca="false">COUNTIFS('Plan cashflow'!$UF$8:$UF$97,8,'Plan cashflow'!$C$8:$C$97,1)</f>
        <v>0</v>
      </c>
      <c r="G211" s="20" t="n">
        <f aca="false">COUNTIFS('Plan cashflow'!$UF$8:$UF$97,8,'Plan cashflow'!$UJ$8:$UJ$97,1)</f>
        <v>0</v>
      </c>
      <c r="H211" s="20" t="n">
        <f aca="false">COUNTIFS('Plan cashflow'!$UF$8:$UF$97,8,'Plan cashflow'!$UC$8:$UC$97,1)</f>
        <v>0</v>
      </c>
      <c r="I211" s="20" t="n">
        <f aca="false">IF(G211&gt;0,SUMIFS('Plan cashflow'!$TP$8:$TP$97,'Plan cashflow'!$UF$8:$UF$97,8,'Plan cashflow'!$UJ$8:$UJ$97,1)/G211,0)</f>
        <v>0</v>
      </c>
      <c r="J211" s="20" t="str">
        <f aca="false">IF(F211=0,"",IF(G211&gt;0,"storm",IF(H211&gt;F211/3,"showers",IF(H211&gt;0,"partly","sun"))))</f>
        <v/>
      </c>
      <c r="K211" s="20" t="str">
        <f aca="false">IF(F211=0,"",IF(G211&gt;0,"Short by about "&amp;"€"&amp;TEXT(ROUND(I211,0),"#,##0")&amp;" a year in "&amp;G211&amp;" of these years.",IF(COUNTIFS('Plan cashflow'!$UF$8:$UF$97,8,'Plan cashflow'!$C$8:$C$97,1,'Plan pay &amp; tax'!$G$234:$G$323,0)=F211,"Living on your pensions and savings, and they hold up.",IF(H211&gt;0,"Some years dip into savings. That's what they're for.","Income comfortably covers life."))))</f>
        <v/>
      </c>
    </row>
    <row r="212" customFormat="false" ht="15" hidden="false" customHeight="true" outlineLevel="0" collapsed="false">
      <c r="B212" s="20" t="n">
        <v>9</v>
      </c>
      <c r="C212" s="20" t="str">
        <f aca="false">IF(COUNTIFS('Plan cashflow'!$UF$8:$UF$97,9,'Plan cashflow'!$C$8:$C$97,1)=0,"",INDEX('Plan cashflow'!$UE$8:$UE$97,MATCH(9,'Plan cashflow'!$UF$8:$UF$97,0)))</f>
        <v/>
      </c>
      <c r="D212" s="20" t="str">
        <f aca="false">IF(COUNTIFS('Plan cashflow'!$UF$8:$UF$97,9,'Plan cashflow'!$C$8:$C$97,1)=0,"",F_Age+MATCH(9,'Plan cashflow'!$UF$8:$UF$97,0)-1)</f>
        <v/>
      </c>
      <c r="E212" s="20" t="str">
        <f aca="false">IF(COUNTIFS('Plan cashflow'!$UF$8:$UF$97,9,'Plan cashflow'!$C$8:$C$97,1)=0,"",D212+COUNTIFS('Plan cashflow'!$UF$8:$UF$97,9,'Plan cashflow'!$C$8:$C$97,1)-1)</f>
        <v/>
      </c>
      <c r="F212" s="20" t="n">
        <f aca="false">COUNTIFS('Plan cashflow'!$UF$8:$UF$97,9,'Plan cashflow'!$C$8:$C$97,1)</f>
        <v>0</v>
      </c>
      <c r="G212" s="20" t="n">
        <f aca="false">COUNTIFS('Plan cashflow'!$UF$8:$UF$97,9,'Plan cashflow'!$UJ$8:$UJ$97,1)</f>
        <v>0</v>
      </c>
      <c r="H212" s="20" t="n">
        <f aca="false">COUNTIFS('Plan cashflow'!$UF$8:$UF$97,9,'Plan cashflow'!$UC$8:$UC$97,1)</f>
        <v>0</v>
      </c>
      <c r="I212" s="20" t="n">
        <f aca="false">IF(G212&gt;0,SUMIFS('Plan cashflow'!$TP$8:$TP$97,'Plan cashflow'!$UF$8:$UF$97,9,'Plan cashflow'!$UJ$8:$UJ$97,1)/G212,0)</f>
        <v>0</v>
      </c>
      <c r="J212" s="20" t="str">
        <f aca="false">IF(F212=0,"",IF(G212&gt;0,"storm",IF(H212&gt;F212/3,"showers",IF(H212&gt;0,"partly","sun"))))</f>
        <v/>
      </c>
      <c r="K212" s="20" t="str">
        <f aca="false">IF(F212=0,"",IF(G212&gt;0,"Short by about "&amp;"€"&amp;TEXT(ROUND(I212,0),"#,##0")&amp;" a year in "&amp;G212&amp;" of these years.",IF(COUNTIFS('Plan cashflow'!$UF$8:$UF$97,9,'Plan cashflow'!$C$8:$C$97,1,'Plan pay &amp; tax'!$G$234:$G$323,0)=F212,"Living on your pensions and savings, and they hold up.",IF(H212&gt;0,"Some years dip into savings. That's what they're for.","Income comfortably covers life."))))</f>
        <v/>
      </c>
    </row>
    <row r="213" customFormat="false" ht="15" hidden="false" customHeight="true" outlineLevel="0" collapsed="false">
      <c r="B213" s="20" t="n">
        <v>10</v>
      </c>
      <c r="C213" s="20" t="str">
        <f aca="false">IF(COUNTIFS('Plan cashflow'!$UF$8:$UF$97,10,'Plan cashflow'!$C$8:$C$97,1)=0,"",INDEX('Plan cashflow'!$UE$8:$UE$97,MATCH(10,'Plan cashflow'!$UF$8:$UF$97,0)))</f>
        <v/>
      </c>
      <c r="D213" s="20" t="str">
        <f aca="false">IF(COUNTIFS('Plan cashflow'!$UF$8:$UF$97,10,'Plan cashflow'!$C$8:$C$97,1)=0,"",F_Age+MATCH(10,'Plan cashflow'!$UF$8:$UF$97,0)-1)</f>
        <v/>
      </c>
      <c r="E213" s="20" t="str">
        <f aca="false">IF(COUNTIFS('Plan cashflow'!$UF$8:$UF$97,10,'Plan cashflow'!$C$8:$C$97,1)=0,"",D213+COUNTIFS('Plan cashflow'!$UF$8:$UF$97,10,'Plan cashflow'!$C$8:$C$97,1)-1)</f>
        <v/>
      </c>
      <c r="F213" s="20" t="n">
        <f aca="false">COUNTIFS('Plan cashflow'!$UF$8:$UF$97,10,'Plan cashflow'!$C$8:$C$97,1)</f>
        <v>0</v>
      </c>
      <c r="G213" s="20" t="n">
        <f aca="false">COUNTIFS('Plan cashflow'!$UF$8:$UF$97,10,'Plan cashflow'!$UJ$8:$UJ$97,1)</f>
        <v>0</v>
      </c>
      <c r="H213" s="20" t="n">
        <f aca="false">COUNTIFS('Plan cashflow'!$UF$8:$UF$97,10,'Plan cashflow'!$UC$8:$UC$97,1)</f>
        <v>0</v>
      </c>
      <c r="I213" s="20" t="n">
        <f aca="false">IF(G213&gt;0,SUMIFS('Plan cashflow'!$TP$8:$TP$97,'Plan cashflow'!$UF$8:$UF$97,10,'Plan cashflow'!$UJ$8:$UJ$97,1)/G213,0)</f>
        <v>0</v>
      </c>
      <c r="J213" s="20" t="str">
        <f aca="false">IF(F213=0,"",IF(G213&gt;0,"storm",IF(H213&gt;F213/3,"showers",IF(H213&gt;0,"partly","sun"))))</f>
        <v/>
      </c>
      <c r="K213" s="20" t="str">
        <f aca="false">IF(F213=0,"",IF(G213&gt;0,"Short by about "&amp;"€"&amp;TEXT(ROUND(I213,0),"#,##0")&amp;" a year in "&amp;G213&amp;" of these years.",IF(COUNTIFS('Plan cashflow'!$UF$8:$UF$97,10,'Plan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23" t="s">
        <v>3930</v>
      </c>
      <c r="C215" s="23" t="s">
        <v>1226</v>
      </c>
    </row>
    <row r="216" customFormat="false" ht="15" hidden="false" customHeight="true" outlineLevel="0" collapsed="false">
      <c r="B216" s="20" t="s">
        <v>3931</v>
      </c>
      <c r="C216" s="42" t="n">
        <f aca="false">IF(COUNT(GR_NextKey)&gt;0,MATCH(MIN(GR_NextKey),GR_NextKey,0),0)</f>
        <v>1</v>
      </c>
    </row>
    <row r="217" customFormat="false" ht="15" hidden="false" customHeight="true" outlineLevel="0" collapsed="false">
      <c r="B217" s="20" t="s">
        <v>3932</v>
      </c>
      <c r="C217" s="42" t="n">
        <f aca="false">IF(Next_WIdx&gt;0,INDEX(GR_PctN,Next_WIdx),"")</f>
        <v>50</v>
      </c>
    </row>
    <row r="218" customFormat="false" ht="15" hidden="false" customHeight="true" outlineLevel="0" collapsed="false">
      <c r="B218" s="20" t="s">
        <v>3933</v>
      </c>
      <c r="C218" s="42" t="str">
        <f aca="false">IF(Next_WIdx&gt;0,INDEX(GR_Name,Next_WIdx),"")</f>
        <v>Kids' education</v>
      </c>
    </row>
    <row r="219" customFormat="false" ht="15" hidden="false" customHeight="true" outlineLevel="0" collapsed="false">
      <c r="B219" s="20" t="s">
        <v>3934</v>
      </c>
      <c r="C219" s="42" t="n">
        <f aca="false">IF(OR(Prof_UmCount&lt;13,In_rechecked&lt;&gt;"Yes"),1,0)</f>
        <v>1</v>
      </c>
    </row>
    <row r="220" customFormat="false" ht="15" hidden="false" customHeight="true" outlineLevel="0" collapsed="false">
      <c r="B220" s="20" t="s">
        <v>3935</v>
      </c>
      <c r="C220" s="42" t="n">
        <f aca="false">IF(Look_Count&gt;0,1,IF(AND(Fnd_NextN&gt;0,Fnd_NextN&lt;=4),2,IF(AND(In_booked="Yes",Prof_NeedsProfile=1),3,IF(AND(Next_WIdx&gt;0,N(Next_WPct)&lt;PR_Good,In_prefSet&lt;&gt;"Yes"),4,IF(Prof_UmCount&lt;13,5,IF(In_booked&lt;&gt;"Yes",6,7))))))</f>
        <v>1</v>
      </c>
    </row>
    <row r="221" customFormat="false" ht="15" hidden="false" customHeight="true" outlineLevel="0" collapsed="false">
      <c r="B221" s="20" t="s">
        <v>3785</v>
      </c>
      <c r="C221" s="42" t="str">
        <f aca="false">CHOOSE(Next_N,IF(Look_Count=1,"One detail needs a look",Look_Count&amp;" details need a look"),Fnd_NextT,"Check your profile before your adviser meeting","Try a what-if for "&amp;LOWER(Next_WName),"Finish your profile","Talk it through with an adviser","You're all set")</f>
        <v>One detail needs a look</v>
      </c>
    </row>
    <row r="222" customFormat="false" ht="15" hidden="false" customHeight="true" outlineLevel="0" collapsed="false">
      <c r="B222" s="20" t="s">
        <v>3786</v>
      </c>
      <c r="C222" s="42"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So your plan stays accurate. It takes a minute.</v>
      </c>
    </row>
    <row r="223" customFormat="false" ht="15" hidden="false" customHeight="true" outlineLevel="0" collapsed="false">
      <c r="B223" s="20" t="s">
        <v>3936</v>
      </c>
      <c r="C223" s="42" t="str">
        <f aca="false">CHOOSE(Next_N,"Check it","See why","Check my profile","Try it","Start","Book a meeting","See my meeting")</f>
        <v>Check it</v>
      </c>
    </row>
    <row r="225" customFormat="false" ht="15" hidden="false" customHeight="true" outlineLevel="0" collapsed="false">
      <c r="B225" s="23" t="s">
        <v>3937</v>
      </c>
      <c r="C225" s="23" t="s">
        <v>1226</v>
      </c>
    </row>
    <row r="226" customFormat="false" ht="15" hidden="false" customHeight="true" outlineLevel="0" collapsed="false">
      <c r="B226" s="20" t="s">
        <v>3938</v>
      </c>
      <c r="C226" s="42"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23" t="s">
        <v>3939</v>
      </c>
      <c r="C228" s="23" t="s">
        <v>1226</v>
      </c>
    </row>
    <row r="229" customFormat="false" ht="15" hidden="false" customHeight="true" outlineLevel="0" collapsed="false">
      <c r="B229" s="20" t="s">
        <v>3940</v>
      </c>
      <c r="C229" s="42" t="n">
        <f aca="false">IFERROR(MATCH(1,INDEX((GR_Spec="mortgage")*(GR_Kind&lt;&gt;"retire")*(GR_Key&lt;&gt;""),0),0),0)</f>
        <v>3</v>
      </c>
    </row>
    <row r="230" customFormat="false" ht="15" hidden="false" customHeight="true" outlineLevel="0" collapsed="false">
      <c r="B230" s="20" t="s">
        <v>3941</v>
      </c>
      <c r="C230" s="42" t="n">
        <f aca="false">IF(Vid_mortgage_Idx&gt;0,INDEX(GR_PctN,Vid_mortgage_Idx),"")</f>
        <v>100</v>
      </c>
    </row>
    <row r="231" customFormat="false" ht="15" hidden="false" customHeight="true" outlineLevel="0" collapsed="false">
      <c r="B231" s="20" t="s">
        <v>3942</v>
      </c>
      <c r="C231" s="42" t="n">
        <f aca="false">IF(IFERROR(MATCH(1,INDEX((GR_Spec="pension")*(GR_Kind&lt;&gt;"retire")*(GR_Key&lt;&gt;""),0),0),0)&gt;0,IFERROR(MATCH(1,INDEX((GR_Spec="pension")*(GR_Kind&lt;&gt;"retire")*(GR_Key&lt;&gt;""),0),0),0),IF(RG_Exists=1,RG_Row,0))</f>
        <v>5</v>
      </c>
    </row>
    <row r="232" customFormat="false" ht="15" hidden="false" customHeight="true" outlineLevel="0" collapsed="false">
      <c r="B232" s="20" t="s">
        <v>3943</v>
      </c>
      <c r="C232" s="42" t="n">
        <f aca="false">IF(Vid_pension_Idx&gt;0,INDEX(GR_PctN,Vid_pension_Idx),"")</f>
        <v>86</v>
      </c>
    </row>
    <row r="233" customFormat="false" ht="15" hidden="false" customHeight="true" outlineLevel="0" collapsed="false">
      <c r="B233" s="20" t="s">
        <v>3944</v>
      </c>
      <c r="C233" s="42" t="n">
        <f aca="false">IFERROR(MATCH(1,INDEX((GR_Spec="protection")*(GR_Kind&lt;&gt;"retire")*(GR_Key&lt;&gt;""),0),0),0)</f>
        <v>0</v>
      </c>
    </row>
    <row r="234" customFormat="false" ht="15" hidden="false" customHeight="true" outlineLevel="0" collapsed="false">
      <c r="B234" s="20" t="s">
        <v>3945</v>
      </c>
      <c r="C234" s="42" t="str">
        <f aca="false">IF(Vid_protection_Idx&gt;0,INDEX(GR_PctN,Vid_protection_Idx),"")</f>
        <v/>
      </c>
    </row>
    <row r="235" customFormat="false" ht="15" hidden="false" customHeight="true" outlineLevel="0" collapsed="false">
      <c r="B235" s="20" t="s">
        <v>3946</v>
      </c>
      <c r="C235" s="42" t="n">
        <f aca="false">IFERROR(MATCH(1,INDEX((GR_Spec="investment")*(GR_Kind&lt;&gt;"retire")*(GR_Key&lt;&gt;""),0),0),0)</f>
        <v>0</v>
      </c>
    </row>
    <row r="236" customFormat="false" ht="15" hidden="false" customHeight="true" outlineLevel="0" collapsed="false">
      <c r="B236" s="20" t="s">
        <v>3947</v>
      </c>
      <c r="C236" s="42" t="str">
        <f aca="false">IF(Vid_investment_Idx&gt;0,INDEX(GR_PctN,Vid_investment_Idx),"")</f>
        <v/>
      </c>
    </row>
    <row r="237" customFormat="false" ht="15" hidden="false" customHeight="true" outlineLevel="0" collapsed="false">
      <c r="B237" s="20" t="s">
        <v>3948</v>
      </c>
      <c r="C237" s="42" t="n">
        <f aca="false">IFERROR(MATCH(1,INDEX((GR_Spec="planner")*(GR_Kind&lt;&gt;"retire")*(GR_Key&lt;&gt;""),0),0),0)</f>
        <v>1</v>
      </c>
    </row>
    <row r="238" customFormat="false" ht="15" hidden="false" customHeight="true" outlineLevel="0" collapsed="false">
      <c r="B238" s="20" t="s">
        <v>3949</v>
      </c>
      <c r="C238" s="42" t="n">
        <f aca="false">IF(Vid_planner_Idx&gt;0,INDEX(GR_PctN,Vid_planner_Idx),"")</f>
        <v>50</v>
      </c>
    </row>
    <row r="239" customFormat="false" ht="15" hidden="false" customHeight="true" outlineLevel="0" collapsed="false">
      <c r="B239" s="20" t="s">
        <v>3950</v>
      </c>
      <c r="C239" s="42" t="n">
        <f aca="false">COUNTIF(README!$E$32:$E$59,"Home &amp; Mortgage")</f>
        <v>7</v>
      </c>
    </row>
    <row r="240" customFormat="false" ht="15" hidden="false" customHeight="true" outlineLevel="0" collapsed="false">
      <c r="B240" s="20" t="s">
        <v>3951</v>
      </c>
      <c r="C240" s="42" t="n">
        <f aca="false">COUNTIF(README!$E$32:$E$59,"Savings &amp; Goals")</f>
        <v>3</v>
      </c>
    </row>
    <row r="241" customFormat="false" ht="15" hidden="false" customHeight="true" outlineLevel="0" collapsed="false">
      <c r="B241" s="20" t="s">
        <v>3952</v>
      </c>
      <c r="C241" s="42" t="n">
        <f aca="false">COUNTIF(README!$E$32:$E$59,"Pensions &amp; Retirement")</f>
        <v>5</v>
      </c>
    </row>
    <row r="242" customFormat="false" ht="15" hidden="false" customHeight="true" outlineLevel="0" collapsed="false">
      <c r="B242" s="20" t="s">
        <v>3953</v>
      </c>
      <c r="C242" s="42" t="n">
        <f aca="false">COUNTIF(README!$E$32:$E$59,"Investments")</f>
        <v>5</v>
      </c>
    </row>
    <row r="243" customFormat="false" ht="15" hidden="false" customHeight="true" outlineLevel="0" collapsed="false">
      <c r="B243" s="20" t="s">
        <v>3954</v>
      </c>
      <c r="C243" s="42" t="n">
        <f aca="false">COUNTIF(README!$E$32:$E$59,"Protection")</f>
        <v>3</v>
      </c>
    </row>
    <row r="244" customFormat="false" ht="15" hidden="false" customHeight="true" outlineLevel="0" collapsed="false">
      <c r="B244" s="20" t="s">
        <v>3955</v>
      </c>
      <c r="C244" s="42" t="n">
        <f aca="false">COUNTIF(README!$E$32:$E$59,"Everyday Money")</f>
        <v>5</v>
      </c>
    </row>
    <row r="248" customFormat="false" ht="15" hidden="false" customHeight="false" outlineLevel="0" collapsed="false">
      <c r="B248" s="35" t="s">
        <v>3956</v>
      </c>
    </row>
    <row r="250" customFormat="false" ht="15" hidden="false" customHeight="false" outlineLevel="0" collapsed="false">
      <c r="B250" s="20" t="s">
        <v>3957</v>
      </c>
      <c r="C250" s="20" t="n">
        <f aca="false">IF(OR(In_home="Own outright",In_home="Own with mortgage"),1,0)</f>
        <v>1</v>
      </c>
      <c r="D250" s="20" t="n">
        <v>1</v>
      </c>
      <c r="E250" s="20" t="n">
        <f aca="false">IF(Has_homeUse,1,0)</f>
        <v>0</v>
      </c>
      <c r="F250" s="20" t="n">
        <v>0</v>
      </c>
      <c r="G250" s="20" t="n">
        <f aca="false">IF(ISNUMBER(SEARCH(","&amp;"homeUse"&amp;",",","&amp;SUBSTITUTE(In_lookKeys," ","")&amp;",")),1,0)</f>
        <v>0</v>
      </c>
      <c r="H250" s="20" t="n">
        <f aca="false">IF(ISNUMBER(SEARCH(","&amp;"homeUse"&amp;",",","&amp;SUBSTITUTE(In_ackKeys," ","")&amp;",")),1,0)</f>
        <v>0</v>
      </c>
      <c r="I250" s="20" t="n">
        <f aca="false">C250*(1-D250)</f>
        <v>0</v>
      </c>
      <c r="J250" s="20" t="n">
        <f aca="false">I250*E250</f>
        <v>0</v>
      </c>
      <c r="K250" s="20" t="n">
        <f aca="false">C250*G250*(1-H250)</f>
        <v>0</v>
      </c>
      <c r="L250" s="20" t="n">
        <f aca="false">C250*E250*(1-F250)</f>
        <v>0</v>
      </c>
      <c r="M250" s="20" t="n">
        <f aca="false">C250*MAX(E250,G250)</f>
        <v>0</v>
      </c>
      <c r="N250" s="20" t="n">
        <v>3</v>
      </c>
      <c r="O250" s="20" t="n">
        <f aca="false">C250*IF(G250=1,1,IF(AND(D250=0,E250=0),1,0))</f>
        <v>0</v>
      </c>
      <c r="P250" s="20" t="n">
        <f aca="false">C250*E250*(1-G250)</f>
        <v>0</v>
      </c>
      <c r="Q250" s="20" t="s">
        <v>3958</v>
      </c>
    </row>
    <row r="251" customFormat="false" ht="15" hidden="false" customHeight="false" outlineLevel="0" collapsed="false">
      <c r="B251" s="20" t="s">
        <v>1198</v>
      </c>
      <c r="C251" s="20" t="n">
        <f aca="false">IF(AND(OR(In_home="Own outright",In_home="Own with mortgage"),In_homeUse="Yes, I'd downsize"),1,0)</f>
        <v>0</v>
      </c>
      <c r="D251" s="20" t="n">
        <v>1</v>
      </c>
      <c r="E251" s="20" t="n">
        <f aca="false">IF(Has_downAge,1,0)</f>
        <v>0</v>
      </c>
      <c r="F251" s="20" t="n">
        <v>0</v>
      </c>
      <c r="G251" s="20" t="n">
        <f aca="false">IF(ISNUMBER(SEARCH(","&amp;"downAge"&amp;",",","&amp;SUBSTITUTE(In_lookKeys," ","")&amp;",")),1,0)</f>
        <v>0</v>
      </c>
      <c r="H251" s="20" t="n">
        <f aca="false">IF(ISNUMBER(SEARCH(","&amp;"downAge"&amp;",",","&amp;SUBSTITUTE(In_ackKeys," ","")&amp;",")),1,0)</f>
        <v>0</v>
      </c>
      <c r="I251" s="20" t="n">
        <f aca="false">C251*(1-D251)</f>
        <v>0</v>
      </c>
      <c r="J251" s="20" t="n">
        <f aca="false">I251*E251</f>
        <v>0</v>
      </c>
      <c r="K251" s="20" t="n">
        <f aca="false">C251*G251*(1-H251)</f>
        <v>0</v>
      </c>
      <c r="L251" s="20" t="n">
        <f aca="false">C251*E251*(1-F251)</f>
        <v>0</v>
      </c>
      <c r="M251" s="20" t="n">
        <f aca="false">C251*MAX(E251,G251)</f>
        <v>0</v>
      </c>
      <c r="N251" s="20" t="n">
        <v>3</v>
      </c>
      <c r="O251" s="20" t="n">
        <f aca="false">C251*IF(G251=1,1,IF(AND(D251=0,E251=0),1,0))</f>
        <v>0</v>
      </c>
      <c r="P251" s="20" t="n">
        <f aca="false">C251*E251*(1-G251)</f>
        <v>0</v>
      </c>
      <c r="Q251" s="20" t="s">
        <v>3959</v>
      </c>
    </row>
    <row r="252" customFormat="false" ht="15" hidden="false" customHeight="false" outlineLevel="0" collapsed="false">
      <c r="B252" s="20" t="s">
        <v>3960</v>
      </c>
      <c r="C252" s="20" t="n">
        <f aca="false">IF(AND(OR(In_home="Own outright",In_home="Own with mortgage"),In_homeUse="Yes, I'd downsize"),1,0)</f>
        <v>0</v>
      </c>
      <c r="D252" s="20" t="n">
        <v>1</v>
      </c>
      <c r="E252" s="20" t="n">
        <f aca="false">IF(Has_downValue,1,0)</f>
        <v>0</v>
      </c>
      <c r="F252" s="20" t="n">
        <v>0</v>
      </c>
      <c r="G252" s="20" t="n">
        <f aca="false">IF(ISNUMBER(SEARCH(","&amp;"downValue"&amp;",",","&amp;SUBSTITUTE(In_lookKeys," ","")&amp;",")),1,0)</f>
        <v>0</v>
      </c>
      <c r="H252" s="20" t="n">
        <f aca="false">IF(ISNUMBER(SEARCH(","&amp;"downValue"&amp;",",","&amp;SUBSTITUTE(In_ackKeys," ","")&amp;",")),1,0)</f>
        <v>0</v>
      </c>
      <c r="I252" s="20" t="n">
        <f aca="false">C252*(1-D252)</f>
        <v>0</v>
      </c>
      <c r="J252" s="20" t="n">
        <f aca="false">I252*E252</f>
        <v>0</v>
      </c>
      <c r="K252" s="20" t="n">
        <f aca="false">C252*G252*(1-H252)</f>
        <v>0</v>
      </c>
      <c r="L252" s="20" t="n">
        <f aca="false">C252*E252*(1-F252)</f>
        <v>0</v>
      </c>
      <c r="M252" s="20" t="n">
        <f aca="false">C252*MAX(E252,G252)</f>
        <v>0</v>
      </c>
      <c r="N252" s="20" t="n">
        <v>3</v>
      </c>
      <c r="O252" s="20" t="n">
        <f aca="false">C252*IF(G252=1,1,IF(AND(D252=0,E252=0),1,0))</f>
        <v>0</v>
      </c>
      <c r="P252" s="20" t="n">
        <f aca="false">C252*E252*(1-G252)</f>
        <v>0</v>
      </c>
      <c r="Q252" s="20" t="s">
        <v>3961</v>
      </c>
    </row>
    <row r="253" customFormat="false" ht="15" hidden="false" customHeight="false" outlineLevel="0" collapsed="false">
      <c r="B253" s="20" t="s">
        <v>3962</v>
      </c>
      <c r="C253" s="20" t="n">
        <f aca="false">IF(1,1,0)</f>
        <v>1</v>
      </c>
      <c r="D253" s="20" t="n">
        <v>1</v>
      </c>
      <c r="E253" s="20" t="n">
        <f aca="false">IF(Has_savings,1,0)</f>
        <v>0</v>
      </c>
      <c r="F253" s="20" t="n">
        <v>0</v>
      </c>
      <c r="G253" s="20" t="n">
        <f aca="false">IF(ISNUMBER(SEARCH(","&amp;"savings"&amp;",",","&amp;SUBSTITUTE(In_lookKeys," ","")&amp;",")),1,0)</f>
        <v>0</v>
      </c>
      <c r="H253" s="20" t="n">
        <f aca="false">IF(ISNUMBER(SEARCH(","&amp;"savings"&amp;",",","&amp;SUBSTITUTE(In_ackKeys," ","")&amp;",")),1,0)</f>
        <v>0</v>
      </c>
      <c r="I253" s="20" t="n">
        <f aca="false">C253*(1-D253)</f>
        <v>0</v>
      </c>
      <c r="J253" s="20" t="n">
        <f aca="false">I253*E253</f>
        <v>0</v>
      </c>
      <c r="K253" s="20" t="n">
        <f aca="false">C253*G253*(1-H253)</f>
        <v>0</v>
      </c>
      <c r="L253" s="20" t="n">
        <f aca="false">C253*E253*(1-F253)</f>
        <v>0</v>
      </c>
      <c r="M253" s="20" t="n">
        <f aca="false">C253*MAX(E253,G253)</f>
        <v>0</v>
      </c>
      <c r="N253" s="20" t="n">
        <v>3</v>
      </c>
      <c r="O253" s="20" t="n">
        <f aca="false">C253*IF(G253=1,1,IF(AND(D253=0,E253=0),1,0))</f>
        <v>0</v>
      </c>
      <c r="P253" s="20" t="n">
        <f aca="false">C253*E253*(1-G253)</f>
        <v>0</v>
      </c>
      <c r="Q253" s="20" t="s">
        <v>3963</v>
      </c>
    </row>
    <row r="254" customFormat="false" ht="15" hidden="false" customHeight="false" outlineLevel="0" collapsed="false">
      <c r="B254" s="20" t="s">
        <v>3964</v>
      </c>
      <c r="C254" s="20" t="n">
        <f aca="false">IF(In_invest&gt;0,1,0)</f>
        <v>1</v>
      </c>
      <c r="D254" s="20" t="n">
        <v>1</v>
      </c>
      <c r="E254" s="20" t="n">
        <f aca="false">IF(Has_invCost,1,0)</f>
        <v>0</v>
      </c>
      <c r="F254" s="20" t="n">
        <v>0</v>
      </c>
      <c r="G254" s="20" t="n">
        <f aca="false">IF(ISNUMBER(SEARCH(","&amp;"invCost"&amp;",",","&amp;SUBSTITUTE(In_lookKeys," ","")&amp;",")),1,0)</f>
        <v>0</v>
      </c>
      <c r="H254" s="20" t="n">
        <f aca="false">IF(ISNUMBER(SEARCH(","&amp;"invCost"&amp;",",","&amp;SUBSTITUTE(In_ackKeys," ","")&amp;",")),1,0)</f>
        <v>0</v>
      </c>
      <c r="I254" s="20" t="n">
        <f aca="false">C254*(1-D254)</f>
        <v>0</v>
      </c>
      <c r="J254" s="20" t="n">
        <f aca="false">I254*E254</f>
        <v>0</v>
      </c>
      <c r="K254" s="20" t="n">
        <f aca="false">C254*G254*(1-H254)</f>
        <v>0</v>
      </c>
      <c r="L254" s="20" t="n">
        <f aca="false">C254*E254*(1-F254)</f>
        <v>0</v>
      </c>
      <c r="M254" s="20" t="n">
        <f aca="false">C254*MAX(E254,G254)</f>
        <v>0</v>
      </c>
      <c r="N254" s="20" t="n">
        <v>3</v>
      </c>
      <c r="O254" s="20" t="n">
        <f aca="false">C254*IF(G254=1,1,IF(AND(D254=0,E254=0),1,0))</f>
        <v>0</v>
      </c>
      <c r="P254" s="20" t="n">
        <f aca="false">C254*E254*(1-G254)</f>
        <v>0</v>
      </c>
      <c r="Q254" s="20" t="s">
        <v>3965</v>
      </c>
    </row>
    <row r="255" customFormat="false" ht="15" hidden="false" customHeight="false" outlineLevel="0" collapsed="false">
      <c r="B255" s="20" t="s">
        <v>3966</v>
      </c>
      <c r="C255" s="20" t="n">
        <f aca="false">IF(In_invest&gt;0,1,0)</f>
        <v>1</v>
      </c>
      <c r="D255" s="20" t="n">
        <v>1</v>
      </c>
      <c r="E255" s="20" t="n">
        <f aca="false">IF(Has_invYears,1,0)</f>
        <v>0</v>
      </c>
      <c r="F255" s="20" t="n">
        <v>0</v>
      </c>
      <c r="G255" s="20" t="n">
        <f aca="false">IF(ISNUMBER(SEARCH(","&amp;"invYears"&amp;",",","&amp;SUBSTITUTE(In_lookKeys," ","")&amp;",")),1,0)</f>
        <v>0</v>
      </c>
      <c r="H255" s="20" t="n">
        <f aca="false">IF(ISNUMBER(SEARCH(","&amp;"invYears"&amp;",",","&amp;SUBSTITUTE(In_ackKeys," ","")&amp;",")),1,0)</f>
        <v>0</v>
      </c>
      <c r="I255" s="20" t="n">
        <f aca="false">C255*(1-D255)</f>
        <v>0</v>
      </c>
      <c r="J255" s="20" t="n">
        <f aca="false">I255*E255</f>
        <v>0</v>
      </c>
      <c r="K255" s="20" t="n">
        <f aca="false">C255*G255*(1-H255)</f>
        <v>0</v>
      </c>
      <c r="L255" s="20" t="n">
        <f aca="false">C255*E255*(1-F255)</f>
        <v>0</v>
      </c>
      <c r="M255" s="20" t="n">
        <f aca="false">C255*MAX(E255,G255)</f>
        <v>0</v>
      </c>
      <c r="N255" s="20" t="n">
        <v>3</v>
      </c>
      <c r="O255" s="20" t="n">
        <f aca="false">C255*IF(G255=1,1,IF(AND(D255=0,E255=0),1,0))</f>
        <v>0</v>
      </c>
      <c r="P255" s="20" t="n">
        <f aca="false">C255*E255*(1-G255)</f>
        <v>0</v>
      </c>
      <c r="Q255" s="20" t="s">
        <v>3967</v>
      </c>
    </row>
    <row r="256" customFormat="false" ht="15" hidden="false" customHeight="false" outlineLevel="0" collapsed="false">
      <c r="B256" s="20" t="s">
        <v>3968</v>
      </c>
      <c r="C256" s="20" t="n">
        <f aca="false">IF(1,1,0)</f>
        <v>1</v>
      </c>
      <c r="D256" s="20" t="n">
        <v>1</v>
      </c>
      <c r="E256" s="20" t="n">
        <f aca="false">IF(Has_otherAssets,1,0)</f>
        <v>0</v>
      </c>
      <c r="F256" s="20" t="n">
        <v>0</v>
      </c>
      <c r="G256" s="20" t="n">
        <f aca="false">IF(ISNUMBER(SEARCH(","&amp;"otherAssets"&amp;",",","&amp;SUBSTITUTE(In_lookKeys," ","")&amp;",")),1,0)</f>
        <v>0</v>
      </c>
      <c r="H256" s="20" t="n">
        <f aca="false">IF(ISNUMBER(SEARCH(","&amp;"otherAssets"&amp;",",","&amp;SUBSTITUTE(In_ackKeys," ","")&amp;",")),1,0)</f>
        <v>0</v>
      </c>
      <c r="I256" s="20" t="n">
        <f aca="false">C256*(1-D256)</f>
        <v>0</v>
      </c>
      <c r="J256" s="20" t="n">
        <f aca="false">I256*E256</f>
        <v>0</v>
      </c>
      <c r="K256" s="20" t="n">
        <f aca="false">C256*G256*(1-H256)</f>
        <v>0</v>
      </c>
      <c r="L256" s="20" t="n">
        <f aca="false">C256*E256*(1-F256)</f>
        <v>0</v>
      </c>
      <c r="M256" s="20" t="n">
        <f aca="false">C256*MAX(E256,G256)</f>
        <v>0</v>
      </c>
      <c r="N256" s="20" t="n">
        <v>3</v>
      </c>
      <c r="O256" s="20" t="n">
        <f aca="false">C256*IF(G256=1,1,IF(AND(D256=0,E256=0),1,0))</f>
        <v>0</v>
      </c>
      <c r="P256" s="20" t="n">
        <f aca="false">C256*E256*(1-G256)</f>
        <v>0</v>
      </c>
      <c r="Q256" s="20" t="s">
        <v>3969</v>
      </c>
    </row>
    <row r="257" customFormat="false" ht="15" hidden="false" customHeight="false" outlineLevel="0" collapsed="false">
      <c r="B257" s="20" t="s">
        <v>3970</v>
      </c>
      <c r="C257" s="20" t="n">
        <f aca="false">IF(In_otherAssets&gt;0,1,0)</f>
        <v>0</v>
      </c>
      <c r="D257" s="20" t="n">
        <v>1</v>
      </c>
      <c r="E257" s="20" t="n">
        <f aca="false">IF(Has_othCost,1,0)</f>
        <v>0</v>
      </c>
      <c r="F257" s="20" t="n">
        <v>0</v>
      </c>
      <c r="G257" s="20" t="n">
        <f aca="false">IF(ISNUMBER(SEARCH(","&amp;"othCost"&amp;",",","&amp;SUBSTITUTE(In_lookKeys," ","")&amp;",")),1,0)</f>
        <v>0</v>
      </c>
      <c r="H257" s="20" t="n">
        <f aca="false">IF(ISNUMBER(SEARCH(","&amp;"othCost"&amp;",",","&amp;SUBSTITUTE(In_ackKeys," ","")&amp;",")),1,0)</f>
        <v>0</v>
      </c>
      <c r="I257" s="20" t="n">
        <f aca="false">C257*(1-D257)</f>
        <v>0</v>
      </c>
      <c r="J257" s="20" t="n">
        <f aca="false">I257*E257</f>
        <v>0</v>
      </c>
      <c r="K257" s="20" t="n">
        <f aca="false">C257*G257*(1-H257)</f>
        <v>0</v>
      </c>
      <c r="L257" s="20" t="n">
        <f aca="false">C257*E257*(1-F257)</f>
        <v>0</v>
      </c>
      <c r="M257" s="20" t="n">
        <f aca="false">C257*MAX(E257,G257)</f>
        <v>0</v>
      </c>
      <c r="N257" s="20" t="n">
        <v>3</v>
      </c>
      <c r="O257" s="20" t="n">
        <f aca="false">C257*IF(G257=1,1,IF(AND(D257=0,E257=0),1,0))</f>
        <v>0</v>
      </c>
      <c r="P257" s="20" t="n">
        <f aca="false">C257*E257*(1-G257)</f>
        <v>0</v>
      </c>
      <c r="Q257" s="20" t="s">
        <v>3971</v>
      </c>
    </row>
    <row r="258" customFormat="false" ht="15" hidden="false" customHeight="false" outlineLevel="0" collapsed="false">
      <c r="B258" s="20" t="s">
        <v>3972</v>
      </c>
      <c r="C258" s="20" t="n">
        <f aca="false">IF(1,1,0)</f>
        <v>1</v>
      </c>
      <c r="D258" s="20" t="n">
        <v>1</v>
      </c>
      <c r="E258" s="20" t="n">
        <f aca="false">IF(Has_altInv,1,0)</f>
        <v>0</v>
      </c>
      <c r="F258" s="20" t="n">
        <v>0</v>
      </c>
      <c r="G258" s="20" t="n">
        <f aca="false">IF(ISNUMBER(SEARCH(","&amp;"altInv"&amp;",",","&amp;SUBSTITUTE(In_lookKeys," ","")&amp;",")),1,0)</f>
        <v>0</v>
      </c>
      <c r="H258" s="20" t="n">
        <f aca="false">IF(ISNUMBER(SEARCH(","&amp;"altInv"&amp;",",","&amp;SUBSTITUTE(In_ackKeys," ","")&amp;",")),1,0)</f>
        <v>0</v>
      </c>
      <c r="I258" s="20" t="n">
        <f aca="false">C258*(1-D258)</f>
        <v>0</v>
      </c>
      <c r="J258" s="20" t="n">
        <f aca="false">I258*E258</f>
        <v>0</v>
      </c>
      <c r="K258" s="20" t="n">
        <f aca="false">C258*G258*(1-H258)</f>
        <v>0</v>
      </c>
      <c r="L258" s="20" t="n">
        <f aca="false">C258*E258*(1-F258)</f>
        <v>0</v>
      </c>
      <c r="M258" s="20" t="n">
        <f aca="false">C258*MAX(E258,G258)</f>
        <v>0</v>
      </c>
      <c r="N258" s="20" t="n">
        <v>3</v>
      </c>
      <c r="O258" s="20" t="n">
        <f aca="false">C258*IF(G258=1,1,IF(AND(D258=0,E258=0),1,0))</f>
        <v>0</v>
      </c>
      <c r="P258" s="20" t="n">
        <f aca="false">C258*E258*(1-G258)</f>
        <v>0</v>
      </c>
      <c r="Q258" s="20" t="s">
        <v>3973</v>
      </c>
    </row>
    <row r="259" customFormat="false" ht="15" hidden="false" customHeight="false" outlineLevel="0" collapsed="false">
      <c r="B259" s="20" t="s">
        <v>3974</v>
      </c>
      <c r="C259" s="20" t="n">
        <f aca="false">IF(In_altInv&gt;0,1,0)</f>
        <v>0</v>
      </c>
      <c r="D259" s="20" t="n">
        <v>1</v>
      </c>
      <c r="E259" s="20" t="n">
        <f aca="false">IF(Has_altCost,1,0)</f>
        <v>0</v>
      </c>
      <c r="F259" s="20" t="n">
        <v>0</v>
      </c>
      <c r="G259" s="20" t="n">
        <f aca="false">IF(ISNUMBER(SEARCH(","&amp;"altCost"&amp;",",","&amp;SUBSTITUTE(In_lookKeys," ","")&amp;",")),1,0)</f>
        <v>0</v>
      </c>
      <c r="H259" s="20" t="n">
        <f aca="false">IF(ISNUMBER(SEARCH(","&amp;"altCost"&amp;",",","&amp;SUBSTITUTE(In_ackKeys," ","")&amp;",")),1,0)</f>
        <v>0</v>
      </c>
      <c r="I259" s="20" t="n">
        <f aca="false">C259*(1-D259)</f>
        <v>0</v>
      </c>
      <c r="J259" s="20" t="n">
        <f aca="false">I259*E259</f>
        <v>0</v>
      </c>
      <c r="K259" s="20" t="n">
        <f aca="false">C259*G259*(1-H259)</f>
        <v>0</v>
      </c>
      <c r="L259" s="20" t="n">
        <f aca="false">C259*E259*(1-F259)</f>
        <v>0</v>
      </c>
      <c r="M259" s="20" t="n">
        <f aca="false">C259*MAX(E259,G259)</f>
        <v>0</v>
      </c>
      <c r="N259" s="20" t="n">
        <v>3</v>
      </c>
      <c r="O259" s="20" t="n">
        <f aca="false">C259*IF(G259=1,1,IF(AND(D259=0,E259=0),1,0))</f>
        <v>0</v>
      </c>
      <c r="P259" s="20" t="n">
        <f aca="false">C259*E259*(1-G259)</f>
        <v>0</v>
      </c>
      <c r="Q259" s="20" t="s">
        <v>3975</v>
      </c>
    </row>
    <row r="260" customFormat="false" ht="15" hidden="false" customHeight="false" outlineLevel="0" collapsed="false">
      <c r="B260" s="20" t="s">
        <v>3685</v>
      </c>
      <c r="C260" s="20" t="n">
        <f aca="false">IF(OR(In_otherAssets&gt;0,In_altInv&gt;0,In_invest&gt;0),1,0)</f>
        <v>1</v>
      </c>
      <c r="D260" s="20" t="n">
        <v>1</v>
      </c>
      <c r="E260" s="20" t="n">
        <f aca="false">IF(Has_capLoss,1,0)</f>
        <v>0</v>
      </c>
      <c r="F260" s="20" t="n">
        <v>0</v>
      </c>
      <c r="G260" s="20" t="n">
        <f aca="false">IF(ISNUMBER(SEARCH(","&amp;"capLoss"&amp;",",","&amp;SUBSTITUTE(In_lookKeys," ","")&amp;",")),1,0)</f>
        <v>0</v>
      </c>
      <c r="H260" s="20" t="n">
        <f aca="false">IF(ISNUMBER(SEARCH(","&amp;"capLoss"&amp;",",","&amp;SUBSTITUTE(In_ackKeys," ","")&amp;",")),1,0)</f>
        <v>0</v>
      </c>
      <c r="I260" s="20" t="n">
        <f aca="false">C260*(1-D260)</f>
        <v>0</v>
      </c>
      <c r="J260" s="20" t="n">
        <f aca="false">I260*E260</f>
        <v>0</v>
      </c>
      <c r="K260" s="20" t="n">
        <f aca="false">C260*G260*(1-H260)</f>
        <v>0</v>
      </c>
      <c r="L260" s="20" t="n">
        <f aca="false">C260*E260*(1-F260)</f>
        <v>0</v>
      </c>
      <c r="M260" s="20" t="n">
        <f aca="false">C260*MAX(E260,G260)</f>
        <v>0</v>
      </c>
      <c r="N260" s="20" t="n">
        <v>3</v>
      </c>
      <c r="O260" s="20" t="n">
        <f aca="false">C260*IF(G260=1,1,IF(AND(D260=0,E260=0),1,0))</f>
        <v>0</v>
      </c>
      <c r="P260" s="20" t="n">
        <f aca="false">C260*E260*(1-G260)</f>
        <v>0</v>
      </c>
      <c r="Q260" s="20" t="s">
        <v>3976</v>
      </c>
    </row>
    <row r="261" customFormat="false" ht="15" hidden="false" customHeight="false" outlineLevel="0" collapsed="false">
      <c r="B261" s="20" t="s">
        <v>3977</v>
      </c>
      <c r="C261" s="20" t="n">
        <f aca="false">IF(AND(F_Partner=1,OR(In_otherAssets&gt;0,In_altInv&gt;0,In_invest&gt;0)),1,0)</f>
        <v>1</v>
      </c>
      <c r="D261" s="20" t="n">
        <v>1</v>
      </c>
      <c r="E261" s="20" t="n">
        <f aca="false">IF(Has_assetsJoint,1,0)</f>
        <v>0</v>
      </c>
      <c r="F261" s="20" t="n">
        <v>0</v>
      </c>
      <c r="G261" s="20" t="n">
        <f aca="false">IF(ISNUMBER(SEARCH(","&amp;"assetsJoint"&amp;",",","&amp;SUBSTITUTE(In_lookKeys," ","")&amp;",")),1,0)</f>
        <v>0</v>
      </c>
      <c r="H261" s="20" t="n">
        <f aca="false">IF(ISNUMBER(SEARCH(","&amp;"assetsJoint"&amp;",",","&amp;SUBSTITUTE(In_ackKeys," ","")&amp;",")),1,0)</f>
        <v>0</v>
      </c>
      <c r="I261" s="20" t="n">
        <f aca="false">C261*(1-D261)</f>
        <v>0</v>
      </c>
      <c r="J261" s="20" t="n">
        <f aca="false">I261*E261</f>
        <v>0</v>
      </c>
      <c r="K261" s="20" t="n">
        <f aca="false">C261*G261*(1-H261)</f>
        <v>0</v>
      </c>
      <c r="L261" s="20" t="n">
        <f aca="false">C261*E261*(1-F261)</f>
        <v>0</v>
      </c>
      <c r="M261" s="20" t="n">
        <f aca="false">C261*MAX(E261,G261)</f>
        <v>0</v>
      </c>
      <c r="N261" s="20" t="n">
        <v>3</v>
      </c>
      <c r="O261" s="20" t="n">
        <f aca="false">C261*IF(G261=1,1,IF(AND(D261=0,E261=0),1,0))</f>
        <v>0</v>
      </c>
      <c r="P261" s="20" t="n">
        <f aca="false">C261*E261*(1-G261)</f>
        <v>0</v>
      </c>
      <c r="Q261" s="20" t="s">
        <v>3978</v>
      </c>
    </row>
    <row r="262" customFormat="false" ht="15" hidden="false" customHeight="false" outlineLevel="0" collapsed="false">
      <c r="B262" s="20" t="s">
        <v>3979</v>
      </c>
      <c r="C262" s="20" t="n">
        <f aca="false">IF(1,1,0)</f>
        <v>1</v>
      </c>
      <c r="D262" s="20" t="n">
        <v>1</v>
      </c>
      <c r="E262" s="20" t="n">
        <f aca="false">IF(Has_polLump,1,0)</f>
        <v>0</v>
      </c>
      <c r="F262" s="20" t="n">
        <v>0</v>
      </c>
      <c r="G262" s="20" t="n">
        <f aca="false">IF(ISNUMBER(SEARCH(","&amp;"polLump"&amp;",",","&amp;SUBSTITUTE(In_lookKeys," ","")&amp;",")),1,0)</f>
        <v>0</v>
      </c>
      <c r="H262" s="20" t="n">
        <f aca="false">IF(ISNUMBER(SEARCH(","&amp;"polLump"&amp;",",","&amp;SUBSTITUTE(In_ackKeys," ","")&amp;",")),1,0)</f>
        <v>0</v>
      </c>
      <c r="I262" s="20" t="n">
        <f aca="false">C262*(1-D262)</f>
        <v>0</v>
      </c>
      <c r="J262" s="20" t="n">
        <f aca="false">I262*E262</f>
        <v>0</v>
      </c>
      <c r="K262" s="20" t="n">
        <f aca="false">C262*G262*(1-H262)</f>
        <v>0</v>
      </c>
      <c r="L262" s="20" t="n">
        <f aca="false">C262*E262*(1-F262)</f>
        <v>0</v>
      </c>
      <c r="M262" s="20" t="n">
        <f aca="false">C262*MAX(E262,G262)</f>
        <v>0</v>
      </c>
      <c r="N262" s="20" t="n">
        <v>6</v>
      </c>
      <c r="O262" s="20" t="n">
        <f aca="false">C262*IF(G262=1,1,IF(AND(D262=0,E262=0),1,0))</f>
        <v>0</v>
      </c>
      <c r="P262" s="20" t="n">
        <f aca="false">C262*E262*(1-G262)</f>
        <v>0</v>
      </c>
      <c r="Q262" s="20" t="s">
        <v>3980</v>
      </c>
    </row>
    <row r="263" customFormat="false" ht="15" hidden="false" customHeight="false" outlineLevel="0" collapsed="false">
      <c r="B263" s="20" t="s">
        <v>3981</v>
      </c>
      <c r="C263" s="20" t="n">
        <f aca="false">IF(In_polLump&gt;0,1,0)</f>
        <v>0</v>
      </c>
      <c r="D263" s="20" t="n">
        <v>1</v>
      </c>
      <c r="E263" s="20" t="n">
        <f aca="false">IF(Has_polLumpAge,1,0)</f>
        <v>0</v>
      </c>
      <c r="F263" s="20" t="n">
        <v>0</v>
      </c>
      <c r="G263" s="20" t="n">
        <f aca="false">IF(ISNUMBER(SEARCH(","&amp;"polLumpAge"&amp;",",","&amp;SUBSTITUTE(In_lookKeys," ","")&amp;",")),1,0)</f>
        <v>0</v>
      </c>
      <c r="H263" s="20" t="n">
        <f aca="false">IF(ISNUMBER(SEARCH(","&amp;"polLumpAge"&amp;",",","&amp;SUBSTITUTE(In_ackKeys," ","")&amp;",")),1,0)</f>
        <v>0</v>
      </c>
      <c r="I263" s="20" t="n">
        <f aca="false">C263*(1-D263)</f>
        <v>0</v>
      </c>
      <c r="J263" s="20" t="n">
        <f aca="false">I263*E263</f>
        <v>0</v>
      </c>
      <c r="K263" s="20" t="n">
        <f aca="false">C263*G263*(1-H263)</f>
        <v>0</v>
      </c>
      <c r="L263" s="20" t="n">
        <f aca="false">C263*E263*(1-F263)</f>
        <v>0</v>
      </c>
      <c r="M263" s="20" t="n">
        <f aca="false">C263*MAX(E263,G263)</f>
        <v>0</v>
      </c>
      <c r="N263" s="20" t="n">
        <v>6</v>
      </c>
      <c r="O263" s="20" t="n">
        <f aca="false">C263*IF(G263=1,1,IF(AND(D263=0,E263=0),1,0))</f>
        <v>0</v>
      </c>
      <c r="P263" s="20" t="n">
        <f aca="false">C263*E263*(1-G263)</f>
        <v>0</v>
      </c>
      <c r="Q263" s="20" t="s">
        <v>3982</v>
      </c>
    </row>
    <row r="264" customFormat="false" ht="15" hidden="false" customHeight="false" outlineLevel="0" collapsed="false">
      <c r="B264" s="20" t="s">
        <v>3983</v>
      </c>
      <c r="C264" s="20" t="n">
        <f aca="false">IF(1,1,0)</f>
        <v>1</v>
      </c>
      <c r="D264" s="20" t="n">
        <v>1</v>
      </c>
      <c r="E264" s="20" t="n">
        <f aca="false">IF(Has_polInc,1,0)</f>
        <v>0</v>
      </c>
      <c r="F264" s="20" t="n">
        <v>0</v>
      </c>
      <c r="G264" s="20" t="n">
        <f aca="false">IF(ISNUMBER(SEARCH(","&amp;"polInc"&amp;",",","&amp;SUBSTITUTE(In_lookKeys," ","")&amp;",")),1,0)</f>
        <v>0</v>
      </c>
      <c r="H264" s="20" t="n">
        <f aca="false">IF(ISNUMBER(SEARCH(","&amp;"polInc"&amp;",",","&amp;SUBSTITUTE(In_ackKeys," ","")&amp;",")),1,0)</f>
        <v>0</v>
      </c>
      <c r="I264" s="20" t="n">
        <f aca="false">C264*(1-D264)</f>
        <v>0</v>
      </c>
      <c r="J264" s="20" t="n">
        <f aca="false">I264*E264</f>
        <v>0</v>
      </c>
      <c r="K264" s="20" t="n">
        <f aca="false">C264*G264*(1-H264)</f>
        <v>0</v>
      </c>
      <c r="L264" s="20" t="n">
        <f aca="false">C264*E264*(1-F264)</f>
        <v>0</v>
      </c>
      <c r="M264" s="20" t="n">
        <f aca="false">C264*MAX(E264,G264)</f>
        <v>0</v>
      </c>
      <c r="N264" s="20" t="n">
        <v>6</v>
      </c>
      <c r="O264" s="20" t="n">
        <f aca="false">C264*IF(G264=1,1,IF(AND(D264=0,E264=0),1,0))</f>
        <v>0</v>
      </c>
      <c r="P264" s="20" t="n">
        <f aca="false">C264*E264*(1-G264)</f>
        <v>0</v>
      </c>
      <c r="Q264" s="20" t="s">
        <v>3984</v>
      </c>
    </row>
    <row r="265" customFormat="false" ht="15" hidden="false" customHeight="false" outlineLevel="0" collapsed="false">
      <c r="B265" s="20" t="s">
        <v>3985</v>
      </c>
      <c r="C265" s="20" t="n">
        <f aca="false">IF(In_polInc&gt;0,1,0)</f>
        <v>0</v>
      </c>
      <c r="D265" s="20" t="n">
        <v>1</v>
      </c>
      <c r="E265" s="20" t="n">
        <f aca="false">IF(Has_polIncAge,1,0)</f>
        <v>0</v>
      </c>
      <c r="F265" s="20" t="n">
        <v>0</v>
      </c>
      <c r="G265" s="20" t="n">
        <f aca="false">IF(ISNUMBER(SEARCH(","&amp;"polIncAge"&amp;",",","&amp;SUBSTITUTE(In_lookKeys," ","")&amp;",")),1,0)</f>
        <v>0</v>
      </c>
      <c r="H265" s="20" t="n">
        <f aca="false">IF(ISNUMBER(SEARCH(","&amp;"polIncAge"&amp;",",","&amp;SUBSTITUTE(In_ackKeys," ","")&amp;",")),1,0)</f>
        <v>0</v>
      </c>
      <c r="I265" s="20" t="n">
        <f aca="false">C265*(1-D265)</f>
        <v>0</v>
      </c>
      <c r="J265" s="20" t="n">
        <f aca="false">I265*E265</f>
        <v>0</v>
      </c>
      <c r="K265" s="20" t="n">
        <f aca="false">C265*G265*(1-H265)</f>
        <v>0</v>
      </c>
      <c r="L265" s="20" t="n">
        <f aca="false">C265*E265*(1-F265)</f>
        <v>0</v>
      </c>
      <c r="M265" s="20" t="n">
        <f aca="false">C265*MAX(E265,G265)</f>
        <v>0</v>
      </c>
      <c r="N265" s="20" t="n">
        <v>6</v>
      </c>
      <c r="O265" s="20" t="n">
        <f aca="false">C265*IF(G265=1,1,IF(AND(D265=0,E265=0),1,0))</f>
        <v>0</v>
      </c>
      <c r="P265" s="20" t="n">
        <f aca="false">C265*E265*(1-G265)</f>
        <v>0</v>
      </c>
      <c r="Q265" s="20" t="s">
        <v>3986</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K1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8"/>
    <col collapsed="false" customWidth="true" hidden="false" outlineLevel="0" max="3" min="3" style="20" width="22"/>
    <col collapsed="false" customWidth="true" hidden="false" outlineLevel="0" max="8" min="4" style="20" width="10"/>
    <col collapsed="false" customWidth="true" hidden="false" outlineLevel="0" max="9" min="9" style="20" width="40"/>
    <col collapsed="false" customWidth="true" hidden="false" outlineLevel="0" max="12" min="10" style="20" width="10"/>
  </cols>
  <sheetData>
    <row r="1" customFormat="false" ht="17.25" hidden="false" customHeight="true" outlineLevel="0" collapsed="false">
      <c r="B1" s="21" t="s">
        <v>3987</v>
      </c>
    </row>
    <row r="2" customFormat="false" ht="51.75" hidden="false" customHeight="true" outlineLevel="0" collapsed="false">
      <c r="B2" s="2" t="s">
        <v>3988</v>
      </c>
      <c r="C2" s="2"/>
      <c r="D2" s="2"/>
      <c r="E2" s="2"/>
      <c r="F2" s="2"/>
      <c r="G2" s="2"/>
      <c r="H2" s="2"/>
    </row>
    <row r="4" customFormat="false" ht="15" hidden="false" customHeight="true" outlineLevel="0" collapsed="false">
      <c r="B4" s="23" t="s">
        <v>3989</v>
      </c>
      <c r="C4" s="23" t="s">
        <v>3990</v>
      </c>
    </row>
    <row r="5" customFormat="false" ht="15" hidden="false" customHeight="true" outlineLevel="0" collapsed="false">
      <c r="B5" s="20" t="s">
        <v>3991</v>
      </c>
      <c r="C5" s="24"/>
      <c r="D5" s="26" t="n">
        <f aca="false">IF(ISBLANK(C5),0,IF(IF(ISNUMBER(C5),AND(C5&gt;=1,C5&lt;=4,C5=INT(C5)),FALSE()),C5,0))</f>
        <v>0</v>
      </c>
    </row>
    <row r="6" customFormat="false" ht="15" hidden="false" customHeight="true" outlineLevel="0" collapsed="false">
      <c r="B6" s="20" t="s">
        <v>3992</v>
      </c>
      <c r="C6" s="24"/>
      <c r="D6" s="26" t="n">
        <f aca="false">IF(ISBLANK(C6),0,IF(IF(ISNUMBER(C6),AND(C6&gt;=1,C6&lt;=4,C6=INT(C6)),FALSE()),C6,0))</f>
        <v>0</v>
      </c>
    </row>
    <row r="7" customFormat="false" ht="15" hidden="false" customHeight="true" outlineLevel="0" collapsed="false">
      <c r="B7" s="20" t="s">
        <v>3993</v>
      </c>
      <c r="C7" s="67" t="s">
        <v>3994</v>
      </c>
      <c r="D7" s="26" t="n">
        <f aca="false">IF(Has_q6=1,In_q6+1,0)</f>
        <v>3</v>
      </c>
    </row>
    <row r="8" customFormat="false" ht="15" hidden="false" customHeight="true" outlineLevel="0" collapsed="false">
      <c r="B8" s="20" t="s">
        <v>3995</v>
      </c>
      <c r="C8" s="24"/>
      <c r="D8" s="26" t="n">
        <f aca="false">IF(ISBLANK(C8),0,IF(IF(ISNUMBER(C8),AND(C8&gt;=1,C8&lt;=4,C8=INT(C8)),FALSE()),C8,0))</f>
        <v>0</v>
      </c>
    </row>
    <row r="9" customFormat="false" ht="15" hidden="false" customHeight="true" outlineLevel="0" collapsed="false">
      <c r="B9" s="20" t="s">
        <v>3996</v>
      </c>
      <c r="C9" s="24"/>
      <c r="D9" s="26" t="n">
        <f aca="false">IF(ISBLANK(C9),0,IF(IF(ISNUMBER(C9),AND(C9&gt;=1,C9&lt;=4,C9=INT(C9)),FALSE()),C9,0))</f>
        <v>0</v>
      </c>
    </row>
    <row r="10" customFormat="false" ht="15" hidden="false" customHeight="true" outlineLevel="0" collapsed="false">
      <c r="B10" s="20" t="s">
        <v>3997</v>
      </c>
      <c r="C10" s="24"/>
      <c r="D10" s="26" t="n">
        <f aca="false">IF(ISBLANK(C10),0,IF(IF(ISNUMBER(C10),AND(C10&gt;=1,C10&lt;=4,C10=INT(C10)),FALSE()),C10,0))</f>
        <v>0</v>
      </c>
    </row>
    <row r="11" customFormat="false" ht="15" hidden="false" customHeight="true" outlineLevel="0" collapsed="false">
      <c r="B11" s="20" t="s">
        <v>3998</v>
      </c>
      <c r="C11" s="24"/>
      <c r="D11" s="26" t="n">
        <f aca="false">IF(ISBLANK(C11),0,IF(IF(ISNUMBER(C11),AND(C11&gt;=1,C11&lt;=4,C11=INT(C11)),FALSE()),C11,0))</f>
        <v>0</v>
      </c>
    </row>
    <row r="12" customFormat="false" ht="15" hidden="false" customHeight="true" outlineLevel="0" collapsed="false">
      <c r="B12" s="20" t="s">
        <v>3999</v>
      </c>
      <c r="C12" s="24"/>
      <c r="D12" s="26" t="n">
        <f aca="false">IF(ISBLANK(C12),0,IF(IF(ISNUMBER(C12),AND(C12&gt;=1,C12&lt;=4,C12=INT(C12)),FALSE()),C12,0))</f>
        <v>0</v>
      </c>
    </row>
    <row r="13" customFormat="false" ht="15" hidden="false" customHeight="true" outlineLevel="0" collapsed="false">
      <c r="B13" s="20" t="s">
        <v>4000</v>
      </c>
      <c r="C13" s="24"/>
      <c r="D13" s="26" t="n">
        <f aca="false">IF(ISBLANK(C13),0,IF(IF(ISNUMBER(C13),AND(C13&gt;=1,C13&lt;=4,C13=INT(C13)),FALSE()),C13,0))</f>
        <v>0</v>
      </c>
    </row>
    <row r="14" customFormat="false" ht="15" hidden="false" customHeight="true" outlineLevel="0" collapsed="false">
      <c r="B14" s="20" t="s">
        <v>4001</v>
      </c>
      <c r="C14" s="24"/>
      <c r="D14" s="26" t="n">
        <f aca="false">IF(ISBLANK(C14),0,IF(IF(ISNUMBER(C14),AND(C14&gt;=1,C14&lt;=4,C14=INT(C14)),FALSE()),C14,0))</f>
        <v>0</v>
      </c>
    </row>
    <row r="15" customFormat="false" ht="15" hidden="false" customHeight="true" outlineLevel="0" collapsed="false">
      <c r="B15" s="20" t="s">
        <v>4002</v>
      </c>
      <c r="C15" s="24"/>
      <c r="D15" s="26" t="n">
        <f aca="false">IF(ISBLANK(C15),0,IF(IF(ISNUMBER(C15),AND(C15&gt;=1,C15&lt;=4,C15=INT(C15)),FALSE()),C15,0))</f>
        <v>0</v>
      </c>
    </row>
    <row r="16" customFormat="false" ht="15" hidden="false" customHeight="true" outlineLevel="0" collapsed="false">
      <c r="B16" s="20" t="s">
        <v>4003</v>
      </c>
      <c r="C16" s="24"/>
      <c r="D16" s="26" t="n">
        <f aca="false">IF(ISBLANK(C16),0,IF(IF(ISNUMBER(C16),AND(C16&gt;=1,C16&lt;=4,C16=INT(C16)),FALSE()),C16,0))</f>
        <v>0</v>
      </c>
    </row>
    <row r="17" customFormat="false" ht="15" hidden="false" customHeight="true" outlineLevel="0" collapsed="false">
      <c r="B17" s="20" t="s">
        <v>4004</v>
      </c>
      <c r="C17" s="24"/>
      <c r="D17" s="26" t="n">
        <f aca="false">IF(ISBLANK(C17),0,IF(IF(ISNUMBER(C17),AND(C17&gt;=1,C17&lt;=4,C17=INT(C17)),FALSE()),C17,0))</f>
        <v>0</v>
      </c>
    </row>
    <row r="18" customFormat="false" ht="15" hidden="false" customHeight="true" outlineLevel="0" collapsed="false">
      <c r="B18" s="20" t="s">
        <v>4005</v>
      </c>
      <c r="C18" s="24"/>
      <c r="D18" s="26" t="n">
        <f aca="false">IF(ISBLANK(C18),0,IF(IF(ISNUMBER(C18),AND(C18&gt;=0,C18&lt;=7,C18=INT(C18)),FALSE()),C18,0))</f>
        <v>0</v>
      </c>
    </row>
    <row r="19" customFormat="false" ht="15" hidden="false" customHeight="true" outlineLevel="0" collapsed="false">
      <c r="B19" s="20" t="s">
        <v>4006</v>
      </c>
      <c r="C19" s="24"/>
      <c r="D19" s="26" t="n">
        <f aca="false">IF(C19="Yes",1,0)</f>
        <v>0</v>
      </c>
    </row>
    <row r="20" customFormat="false" ht="15" hidden="false" customHeight="true" outlineLevel="0" collapsed="false">
      <c r="B20" s="20" t="s">
        <v>4007</v>
      </c>
      <c r="C20" s="24"/>
      <c r="D20" s="26" t="n">
        <f aca="false">IF(C20="Yes",1,0)</f>
        <v>0</v>
      </c>
    </row>
    <row r="22" customFormat="false" ht="15" hidden="false" customHeight="true" outlineLevel="0" collapsed="false">
      <c r="B22" s="23" t="s">
        <v>4008</v>
      </c>
      <c r="C22" s="23" t="s">
        <v>4009</v>
      </c>
      <c r="D22" s="23" t="s">
        <v>4010</v>
      </c>
      <c r="E22" s="23" t="s">
        <v>4011</v>
      </c>
      <c r="F22" s="23" t="s">
        <v>4012</v>
      </c>
      <c r="G22" s="23" t="s">
        <v>4013</v>
      </c>
      <c r="H22" s="23" t="s">
        <v>4014</v>
      </c>
      <c r="I22" s="68"/>
      <c r="J22" s="68"/>
      <c r="K22" s="68"/>
    </row>
    <row r="23" customFormat="false" ht="15" hidden="false" customHeight="true" outlineLevel="0" collapsed="false">
      <c r="B23" s="20" t="s">
        <v>4015</v>
      </c>
      <c r="D23" s="20" t="n">
        <v>2</v>
      </c>
      <c r="E23" s="20" t="n">
        <v>0</v>
      </c>
      <c r="F23" s="20" t="n">
        <v>0</v>
      </c>
      <c r="G23" s="20" t="n">
        <v>0</v>
      </c>
      <c r="H23" s="20" t="s">
        <v>4016</v>
      </c>
    </row>
    <row r="24" customFormat="false" ht="15" hidden="false" customHeight="true" outlineLevel="0" collapsed="false">
      <c r="B24" s="20" t="s">
        <v>4017</v>
      </c>
      <c r="D24" s="20" t="n">
        <v>0</v>
      </c>
      <c r="E24" s="20" t="n">
        <v>2</v>
      </c>
      <c r="F24" s="20" t="n">
        <v>0</v>
      </c>
      <c r="G24" s="20" t="n">
        <v>0</v>
      </c>
      <c r="H24" s="20" t="s">
        <v>4018</v>
      </c>
    </row>
    <row r="25" customFormat="false" ht="15" hidden="false" customHeight="true" outlineLevel="0" collapsed="false">
      <c r="B25" s="20" t="s">
        <v>4019</v>
      </c>
      <c r="D25" s="20" t="n">
        <v>0</v>
      </c>
      <c r="E25" s="20" t="n">
        <v>0</v>
      </c>
      <c r="F25" s="20" t="n">
        <v>2</v>
      </c>
      <c r="G25" s="20" t="n">
        <v>0</v>
      </c>
      <c r="H25" s="20" t="s">
        <v>4020</v>
      </c>
    </row>
    <row r="26" customFormat="false" ht="15" hidden="false" customHeight="true" outlineLevel="0" collapsed="false">
      <c r="B26" s="20" t="s">
        <v>4021</v>
      </c>
      <c r="D26" s="20" t="n">
        <v>0</v>
      </c>
      <c r="E26" s="20" t="n">
        <v>0</v>
      </c>
      <c r="F26" s="20" t="n">
        <v>0</v>
      </c>
      <c r="G26" s="20" t="n">
        <v>2</v>
      </c>
      <c r="H26" s="20" t="s">
        <v>4022</v>
      </c>
    </row>
    <row r="27" customFormat="false" ht="15" hidden="false" customHeight="true" outlineLevel="0" collapsed="false">
      <c r="B27" s="20" t="s">
        <v>4023</v>
      </c>
      <c r="D27" s="20" t="n">
        <v>0</v>
      </c>
      <c r="E27" s="20" t="n">
        <v>0</v>
      </c>
      <c r="F27" s="20" t="n">
        <v>1</v>
      </c>
      <c r="G27" s="20" t="n">
        <v>0</v>
      </c>
      <c r="H27" s="20" t="s">
        <v>4024</v>
      </c>
    </row>
    <row r="28" customFormat="false" ht="15" hidden="false" customHeight="true" outlineLevel="0" collapsed="false">
      <c r="B28" s="20" t="s">
        <v>4025</v>
      </c>
      <c r="D28" s="20" t="n">
        <v>1</v>
      </c>
      <c r="E28" s="20" t="n">
        <v>0</v>
      </c>
      <c r="F28" s="20" t="n">
        <v>0</v>
      </c>
      <c r="G28" s="20" t="n">
        <v>0</v>
      </c>
      <c r="H28" s="20" t="s">
        <v>4026</v>
      </c>
    </row>
    <row r="29" customFormat="false" ht="15" hidden="false" customHeight="true" outlineLevel="0" collapsed="false">
      <c r="B29" s="20" t="s">
        <v>4027</v>
      </c>
      <c r="D29" s="20" t="n">
        <v>0</v>
      </c>
      <c r="E29" s="20" t="n">
        <v>1</v>
      </c>
      <c r="F29" s="20" t="n">
        <v>0</v>
      </c>
      <c r="G29" s="20" t="n">
        <v>0</v>
      </c>
      <c r="H29" s="20" t="s">
        <v>4028</v>
      </c>
    </row>
    <row r="30" customFormat="false" ht="15" hidden="false" customHeight="true" outlineLevel="0" collapsed="false">
      <c r="B30" s="20" t="s">
        <v>4029</v>
      </c>
      <c r="D30" s="20" t="n">
        <v>0</v>
      </c>
      <c r="E30" s="20" t="n">
        <v>0.5</v>
      </c>
      <c r="F30" s="20" t="n">
        <v>0</v>
      </c>
      <c r="G30" s="20" t="n">
        <v>0.5</v>
      </c>
      <c r="H30" s="20" t="s">
        <v>4030</v>
      </c>
    </row>
    <row r="31" customFormat="false" ht="15" hidden="false" customHeight="true" outlineLevel="0" collapsed="false">
      <c r="B31" s="20" t="s">
        <v>4031</v>
      </c>
      <c r="C31" s="20" t="n">
        <v>1</v>
      </c>
      <c r="D31" s="20" t="n">
        <v>0</v>
      </c>
      <c r="E31" s="20" t="n">
        <v>0</v>
      </c>
      <c r="F31" s="20" t="n">
        <v>0</v>
      </c>
      <c r="G31" s="20" t="n">
        <v>0</v>
      </c>
      <c r="H31" s="20" t="s">
        <v>4032</v>
      </c>
    </row>
    <row r="32" customFormat="false" ht="15" hidden="false" customHeight="true" outlineLevel="0" collapsed="false">
      <c r="B32" s="20" t="s">
        <v>4033</v>
      </c>
      <c r="C32" s="20" t="n">
        <v>2</v>
      </c>
      <c r="D32" s="20" t="n">
        <v>0</v>
      </c>
      <c r="E32" s="20" t="n">
        <v>0</v>
      </c>
      <c r="F32" s="20" t="n">
        <v>0</v>
      </c>
      <c r="G32" s="20" t="n">
        <v>0</v>
      </c>
      <c r="H32" s="20" t="s">
        <v>4034</v>
      </c>
    </row>
    <row r="33" customFormat="false" ht="15" hidden="false" customHeight="true" outlineLevel="0" collapsed="false">
      <c r="B33" s="20" t="s">
        <v>4035</v>
      </c>
      <c r="C33" s="20" t="n">
        <v>3</v>
      </c>
      <c r="D33" s="20" t="n">
        <v>0</v>
      </c>
      <c r="E33" s="20" t="n">
        <v>0</v>
      </c>
      <c r="F33" s="20" t="n">
        <v>0</v>
      </c>
      <c r="G33" s="20" t="n">
        <v>0</v>
      </c>
      <c r="H33" s="20" t="s">
        <v>4036</v>
      </c>
    </row>
    <row r="34" customFormat="false" ht="15" hidden="false" customHeight="true" outlineLevel="0" collapsed="false">
      <c r="B34" s="20" t="s">
        <v>4037</v>
      </c>
      <c r="C34" s="20" t="n">
        <v>4</v>
      </c>
      <c r="D34" s="20" t="n">
        <v>0</v>
      </c>
      <c r="E34" s="20" t="n">
        <v>0</v>
      </c>
      <c r="F34" s="20" t="n">
        <v>0</v>
      </c>
      <c r="G34" s="20" t="n">
        <v>0</v>
      </c>
      <c r="H34" s="20" t="s">
        <v>4038</v>
      </c>
    </row>
    <row r="35" customFormat="false" ht="15" hidden="false" customHeight="true" outlineLevel="0" collapsed="false">
      <c r="B35" s="20" t="s">
        <v>4039</v>
      </c>
      <c r="C35" s="20" t="n">
        <v>2</v>
      </c>
      <c r="D35" s="20" t="n">
        <v>0</v>
      </c>
      <c r="E35" s="20" t="n">
        <v>0</v>
      </c>
      <c r="F35" s="20" t="n">
        <v>0</v>
      </c>
      <c r="G35" s="20" t="n">
        <v>0</v>
      </c>
      <c r="H35" s="20" t="s">
        <v>4040</v>
      </c>
    </row>
    <row r="36" customFormat="false" ht="15" hidden="false" customHeight="true" outlineLevel="0" collapsed="false">
      <c r="B36" s="20" t="s">
        <v>4041</v>
      </c>
      <c r="C36" s="20" t="n">
        <v>4</v>
      </c>
      <c r="D36" s="20" t="n">
        <v>0.5</v>
      </c>
      <c r="E36" s="20" t="n">
        <v>0</v>
      </c>
      <c r="F36" s="20" t="n">
        <v>0</v>
      </c>
      <c r="G36" s="20" t="n">
        <v>0</v>
      </c>
      <c r="H36" s="20" t="s">
        <v>4042</v>
      </c>
    </row>
    <row r="37" customFormat="false" ht="15" hidden="false" customHeight="true" outlineLevel="0" collapsed="false">
      <c r="B37" s="20" t="s">
        <v>4043</v>
      </c>
      <c r="C37" s="20" t="n">
        <v>2</v>
      </c>
      <c r="D37" s="20" t="n">
        <v>0</v>
      </c>
      <c r="E37" s="20" t="n">
        <v>0</v>
      </c>
      <c r="F37" s="20" t="n">
        <v>0</v>
      </c>
      <c r="G37" s="20" t="n">
        <v>0</v>
      </c>
      <c r="H37" s="20" t="s">
        <v>4044</v>
      </c>
    </row>
    <row r="38" customFormat="false" ht="15" hidden="false" customHeight="true" outlineLevel="0" collapsed="false">
      <c r="B38" s="20" t="s">
        <v>4045</v>
      </c>
      <c r="C38" s="20" t="n">
        <v>1</v>
      </c>
      <c r="D38" s="20" t="n">
        <v>0</v>
      </c>
      <c r="E38" s="20" t="n">
        <v>0</v>
      </c>
      <c r="F38" s="20" t="n">
        <v>0</v>
      </c>
      <c r="G38" s="20" t="n">
        <v>0</v>
      </c>
      <c r="H38" s="20" t="s">
        <v>4046</v>
      </c>
    </row>
    <row r="39" customFormat="false" ht="15" hidden="false" customHeight="true" outlineLevel="0" collapsed="false">
      <c r="B39" s="20" t="s">
        <v>4047</v>
      </c>
      <c r="C39" s="20" t="n">
        <v>1</v>
      </c>
      <c r="D39" s="20" t="n">
        <v>0</v>
      </c>
      <c r="E39" s="20" t="n">
        <v>0</v>
      </c>
      <c r="F39" s="20" t="n">
        <v>0</v>
      </c>
      <c r="G39" s="20" t="n">
        <v>0.5</v>
      </c>
      <c r="H39" s="20" t="s">
        <v>4048</v>
      </c>
    </row>
    <row r="40" customFormat="false" ht="15" hidden="false" customHeight="true" outlineLevel="0" collapsed="false">
      <c r="B40" s="20" t="s">
        <v>4049</v>
      </c>
      <c r="C40" s="20" t="n">
        <v>1</v>
      </c>
      <c r="D40" s="20" t="n">
        <v>0</v>
      </c>
      <c r="E40" s="20" t="n">
        <v>0.5</v>
      </c>
      <c r="F40" s="20" t="n">
        <v>0</v>
      </c>
      <c r="G40" s="20" t="n">
        <v>0.5</v>
      </c>
      <c r="H40" s="20" t="s">
        <v>4050</v>
      </c>
    </row>
    <row r="41" customFormat="false" ht="15" hidden="false" customHeight="true" outlineLevel="0" collapsed="false">
      <c r="B41" s="20" t="s">
        <v>4051</v>
      </c>
      <c r="C41" s="20" t="n">
        <v>2</v>
      </c>
      <c r="D41" s="20" t="n">
        <v>0.5</v>
      </c>
      <c r="E41" s="20" t="n">
        <v>0.5</v>
      </c>
      <c r="F41" s="20" t="n">
        <v>0</v>
      </c>
      <c r="G41" s="20" t="n">
        <v>0</v>
      </c>
      <c r="H41" s="20" t="s">
        <v>4052</v>
      </c>
    </row>
    <row r="42" customFormat="false" ht="15" hidden="false" customHeight="true" outlineLevel="0" collapsed="false">
      <c r="B42" s="20" t="s">
        <v>4053</v>
      </c>
      <c r="C42" s="20" t="n">
        <v>3</v>
      </c>
      <c r="D42" s="20" t="n">
        <v>0.5</v>
      </c>
      <c r="E42" s="20" t="n">
        <v>0</v>
      </c>
      <c r="F42" s="20" t="n">
        <v>0.5</v>
      </c>
      <c r="G42" s="20" t="n">
        <v>0</v>
      </c>
      <c r="H42" s="20" t="s">
        <v>4054</v>
      </c>
    </row>
    <row r="43" customFormat="false" ht="15" hidden="false" customHeight="true" outlineLevel="0" collapsed="false">
      <c r="B43" s="20" t="s">
        <v>4055</v>
      </c>
      <c r="C43" s="20" t="n">
        <v>4</v>
      </c>
      <c r="D43" s="20" t="n">
        <v>0</v>
      </c>
      <c r="E43" s="20" t="n">
        <v>0</v>
      </c>
      <c r="F43" s="20" t="n">
        <v>1</v>
      </c>
      <c r="G43" s="20" t="n">
        <v>0</v>
      </c>
      <c r="H43" s="20" t="s">
        <v>4056</v>
      </c>
    </row>
    <row r="44" customFormat="false" ht="15" hidden="false" customHeight="true" outlineLevel="0" collapsed="false">
      <c r="B44" s="20" t="s">
        <v>4057</v>
      </c>
      <c r="C44" s="20" t="n">
        <v>1</v>
      </c>
      <c r="D44" s="20" t="n">
        <v>0</v>
      </c>
      <c r="E44" s="20" t="n">
        <v>1</v>
      </c>
      <c r="F44" s="20" t="n">
        <v>0</v>
      </c>
      <c r="G44" s="20" t="n">
        <v>0</v>
      </c>
      <c r="H44" s="20" t="s">
        <v>4058</v>
      </c>
    </row>
    <row r="45" customFormat="false" ht="15" hidden="false" customHeight="true" outlineLevel="0" collapsed="false">
      <c r="B45" s="20" t="s">
        <v>4059</v>
      </c>
      <c r="C45" s="20" t="n">
        <v>2</v>
      </c>
      <c r="D45" s="20" t="n">
        <v>0</v>
      </c>
      <c r="E45" s="20" t="n">
        <v>0.5</v>
      </c>
      <c r="F45" s="20" t="n">
        <v>0</v>
      </c>
      <c r="G45" s="20" t="n">
        <v>0</v>
      </c>
      <c r="H45" s="20" t="s">
        <v>4060</v>
      </c>
    </row>
    <row r="46" customFormat="false" ht="15" hidden="false" customHeight="true" outlineLevel="0" collapsed="false">
      <c r="B46" s="20" t="s">
        <v>4061</v>
      </c>
      <c r="C46" s="20" t="n">
        <v>3</v>
      </c>
      <c r="D46" s="20" t="n">
        <v>0.5</v>
      </c>
      <c r="E46" s="20" t="n">
        <v>0</v>
      </c>
      <c r="F46" s="20" t="n">
        <v>0</v>
      </c>
      <c r="G46" s="20" t="n">
        <v>0.5</v>
      </c>
      <c r="H46" s="20" t="s">
        <v>4062</v>
      </c>
    </row>
    <row r="47" customFormat="false" ht="15" hidden="false" customHeight="true" outlineLevel="0" collapsed="false">
      <c r="B47" s="20" t="s">
        <v>4063</v>
      </c>
      <c r="C47" s="20" t="n">
        <v>4</v>
      </c>
      <c r="D47" s="20" t="n">
        <v>0</v>
      </c>
      <c r="E47" s="20" t="n">
        <v>0</v>
      </c>
      <c r="F47" s="20" t="n">
        <v>1</v>
      </c>
      <c r="G47" s="20" t="n">
        <v>0</v>
      </c>
      <c r="H47" s="20" t="s">
        <v>4064</v>
      </c>
    </row>
    <row r="48" customFormat="false" ht="15" hidden="false" customHeight="true" outlineLevel="0" collapsed="false">
      <c r="B48" s="20" t="s">
        <v>4065</v>
      </c>
      <c r="C48" s="20" t="n">
        <v>1</v>
      </c>
      <c r="D48" s="20" t="n">
        <v>0</v>
      </c>
      <c r="E48" s="20" t="n">
        <v>1</v>
      </c>
      <c r="F48" s="20" t="n">
        <v>0</v>
      </c>
      <c r="G48" s="20" t="n">
        <v>0</v>
      </c>
      <c r="H48" s="20" t="s">
        <v>4066</v>
      </c>
    </row>
    <row r="49" customFormat="false" ht="15" hidden="false" customHeight="true" outlineLevel="0" collapsed="false">
      <c r="B49" s="20" t="s">
        <v>4067</v>
      </c>
      <c r="C49" s="20" t="n">
        <v>2</v>
      </c>
      <c r="D49" s="20" t="n">
        <v>0</v>
      </c>
      <c r="E49" s="20" t="n">
        <v>0</v>
      </c>
      <c r="F49" s="20" t="n">
        <v>0.5</v>
      </c>
      <c r="G49" s="20" t="n">
        <v>0</v>
      </c>
      <c r="H49" s="20" t="s">
        <v>4068</v>
      </c>
    </row>
    <row r="50" customFormat="false" ht="15" hidden="false" customHeight="true" outlineLevel="0" collapsed="false">
      <c r="B50" s="20" t="s">
        <v>4069</v>
      </c>
      <c r="C50" s="20" t="n">
        <v>4</v>
      </c>
      <c r="D50" s="20" t="n">
        <v>1</v>
      </c>
      <c r="E50" s="20" t="n">
        <v>0</v>
      </c>
      <c r="F50" s="20" t="n">
        <v>0</v>
      </c>
      <c r="G50" s="20" t="n">
        <v>0</v>
      </c>
      <c r="H50" s="20" t="s">
        <v>4070</v>
      </c>
    </row>
    <row r="51" customFormat="false" ht="15" hidden="false" customHeight="true" outlineLevel="0" collapsed="false">
      <c r="B51" s="20" t="s">
        <v>4071</v>
      </c>
      <c r="C51" s="20" t="n">
        <v>1</v>
      </c>
      <c r="D51" s="20" t="n">
        <v>0</v>
      </c>
      <c r="E51" s="20" t="n">
        <v>0</v>
      </c>
      <c r="F51" s="20" t="n">
        <v>0</v>
      </c>
      <c r="G51" s="20" t="n">
        <v>1</v>
      </c>
      <c r="H51" s="20" t="s">
        <v>4072</v>
      </c>
    </row>
    <row r="52" customFormat="false" ht="15" hidden="false" customHeight="true" outlineLevel="0" collapsed="false">
      <c r="B52" s="20" t="s">
        <v>4073</v>
      </c>
      <c r="C52" s="20" t="n">
        <v>1</v>
      </c>
      <c r="D52" s="20" t="n">
        <v>0</v>
      </c>
      <c r="E52" s="20" t="n">
        <v>0</v>
      </c>
      <c r="F52" s="20" t="n">
        <v>0</v>
      </c>
      <c r="G52" s="20" t="n">
        <v>0</v>
      </c>
    </row>
    <row r="53" customFormat="false" ht="15" hidden="false" customHeight="true" outlineLevel="0" collapsed="false">
      <c r="B53" s="20" t="s">
        <v>4074</v>
      </c>
      <c r="C53" s="20" t="n">
        <v>2</v>
      </c>
      <c r="D53" s="20" t="n">
        <v>0</v>
      </c>
      <c r="E53" s="20" t="n">
        <v>0</v>
      </c>
      <c r="F53" s="20" t="n">
        <v>0</v>
      </c>
      <c r="G53" s="20" t="n">
        <v>0</v>
      </c>
    </row>
    <row r="54" customFormat="false" ht="15" hidden="false" customHeight="true" outlineLevel="0" collapsed="false">
      <c r="B54" s="20" t="s">
        <v>4075</v>
      </c>
      <c r="C54" s="20" t="n">
        <v>3</v>
      </c>
      <c r="D54" s="20" t="n">
        <v>0</v>
      </c>
      <c r="E54" s="20" t="n">
        <v>0</v>
      </c>
      <c r="F54" s="20" t="n">
        <v>0</v>
      </c>
      <c r="G54" s="20" t="n">
        <v>0</v>
      </c>
    </row>
    <row r="55" customFormat="false" ht="15" hidden="false" customHeight="true" outlineLevel="0" collapsed="false">
      <c r="B55" s="20" t="s">
        <v>4076</v>
      </c>
      <c r="C55" s="20" t="n">
        <v>4</v>
      </c>
      <c r="D55" s="20" t="n">
        <v>0</v>
      </c>
      <c r="E55" s="20" t="n">
        <v>0</v>
      </c>
      <c r="F55" s="20" t="n">
        <v>0</v>
      </c>
      <c r="G55" s="20" t="n">
        <v>0</v>
      </c>
    </row>
    <row r="56" customFormat="false" ht="15" hidden="false" customHeight="true" outlineLevel="0" collapsed="false">
      <c r="B56" s="20" t="s">
        <v>4077</v>
      </c>
      <c r="C56" s="20" t="n">
        <v>1</v>
      </c>
      <c r="D56" s="20" t="n">
        <v>0</v>
      </c>
      <c r="E56" s="20" t="n">
        <v>0</v>
      </c>
      <c r="F56" s="20" t="n">
        <v>0</v>
      </c>
      <c r="G56" s="20" t="n">
        <v>0</v>
      </c>
    </row>
    <row r="57" customFormat="false" ht="15" hidden="false" customHeight="true" outlineLevel="0" collapsed="false">
      <c r="B57" s="20" t="s">
        <v>4078</v>
      </c>
      <c r="C57" s="20" t="n">
        <v>2</v>
      </c>
      <c r="D57" s="20" t="n">
        <v>0</v>
      </c>
      <c r="E57" s="20" t="n">
        <v>0</v>
      </c>
      <c r="F57" s="20" t="n">
        <v>0</v>
      </c>
      <c r="G57" s="20" t="n">
        <v>0</v>
      </c>
    </row>
    <row r="58" customFormat="false" ht="15" hidden="false" customHeight="true" outlineLevel="0" collapsed="false">
      <c r="B58" s="20" t="s">
        <v>4079</v>
      </c>
      <c r="C58" s="20" t="n">
        <v>3</v>
      </c>
      <c r="D58" s="20" t="n">
        <v>0</v>
      </c>
      <c r="E58" s="20" t="n">
        <v>0</v>
      </c>
      <c r="F58" s="20" t="n">
        <v>0</v>
      </c>
      <c r="G58" s="20" t="n">
        <v>0</v>
      </c>
    </row>
    <row r="59" customFormat="false" ht="15" hidden="false" customHeight="true" outlineLevel="0" collapsed="false">
      <c r="B59" s="20" t="s">
        <v>4080</v>
      </c>
      <c r="C59" s="20" t="n">
        <v>4</v>
      </c>
      <c r="D59" s="20" t="n">
        <v>0</v>
      </c>
      <c r="E59" s="20" t="n">
        <v>0</v>
      </c>
      <c r="F59" s="20" t="n">
        <v>0</v>
      </c>
      <c r="G59" s="20" t="n">
        <v>0</v>
      </c>
    </row>
    <row r="60" customFormat="false" ht="15" hidden="false" customHeight="true" outlineLevel="0" collapsed="false">
      <c r="B60" s="20" t="s">
        <v>4081</v>
      </c>
      <c r="C60" s="20" t="n">
        <v>1</v>
      </c>
      <c r="D60" s="20" t="n">
        <v>0</v>
      </c>
      <c r="E60" s="20" t="n">
        <v>0</v>
      </c>
      <c r="F60" s="20" t="n">
        <v>0</v>
      </c>
      <c r="G60" s="20" t="n">
        <v>0</v>
      </c>
    </row>
    <row r="61" customFormat="false" ht="15" hidden="false" customHeight="true" outlineLevel="0" collapsed="false">
      <c r="B61" s="20" t="s">
        <v>4082</v>
      </c>
      <c r="C61" s="20" t="n">
        <v>2</v>
      </c>
      <c r="D61" s="20" t="n">
        <v>0</v>
      </c>
      <c r="E61" s="20" t="n">
        <v>0</v>
      </c>
      <c r="F61" s="20" t="n">
        <v>0</v>
      </c>
      <c r="G61" s="20" t="n">
        <v>0</v>
      </c>
    </row>
    <row r="62" customFormat="false" ht="15" hidden="false" customHeight="true" outlineLevel="0" collapsed="false">
      <c r="B62" s="20" t="s">
        <v>4083</v>
      </c>
      <c r="C62" s="20" t="n">
        <v>3</v>
      </c>
      <c r="D62" s="20" t="n">
        <v>0</v>
      </c>
      <c r="E62" s="20" t="n">
        <v>0</v>
      </c>
      <c r="F62" s="20" t="n">
        <v>0</v>
      </c>
      <c r="G62" s="20" t="n">
        <v>0</v>
      </c>
    </row>
    <row r="63" customFormat="false" ht="15" hidden="false" customHeight="true" outlineLevel="0" collapsed="false">
      <c r="B63" s="20" t="s">
        <v>4084</v>
      </c>
      <c r="C63" s="20" t="n">
        <v>4</v>
      </c>
      <c r="D63" s="20" t="n">
        <v>0</v>
      </c>
      <c r="E63" s="20" t="n">
        <v>0</v>
      </c>
      <c r="F63" s="20" t="n">
        <v>0</v>
      </c>
      <c r="G63" s="20" t="n">
        <v>0</v>
      </c>
    </row>
    <row r="64" customFormat="false" ht="15" hidden="false" customHeight="true" outlineLevel="0" collapsed="false">
      <c r="B64" s="20" t="s">
        <v>4085</v>
      </c>
      <c r="C64" s="20" t="n">
        <v>1</v>
      </c>
      <c r="D64" s="20" t="n">
        <v>0</v>
      </c>
      <c r="E64" s="20" t="n">
        <v>0</v>
      </c>
      <c r="F64" s="20" t="n">
        <v>0</v>
      </c>
      <c r="G64" s="20" t="n">
        <v>0</v>
      </c>
    </row>
    <row r="65" customFormat="false" ht="15" hidden="false" customHeight="true" outlineLevel="0" collapsed="false">
      <c r="B65" s="20" t="s">
        <v>4086</v>
      </c>
      <c r="C65" s="20" t="n">
        <v>2</v>
      </c>
      <c r="D65" s="20" t="n">
        <v>0</v>
      </c>
      <c r="E65" s="20" t="n">
        <v>0</v>
      </c>
      <c r="F65" s="20" t="n">
        <v>0</v>
      </c>
      <c r="G65" s="20" t="n">
        <v>0</v>
      </c>
    </row>
    <row r="66" customFormat="false" ht="15" hidden="false" customHeight="true" outlineLevel="0" collapsed="false">
      <c r="B66" s="20" t="s">
        <v>4087</v>
      </c>
      <c r="C66" s="20" t="n">
        <v>3</v>
      </c>
      <c r="D66" s="20" t="n">
        <v>0</v>
      </c>
      <c r="E66" s="20" t="n">
        <v>0</v>
      </c>
      <c r="F66" s="20" t="n">
        <v>0</v>
      </c>
      <c r="G66" s="20" t="n">
        <v>0</v>
      </c>
    </row>
    <row r="67" customFormat="false" ht="15" hidden="false" customHeight="true" outlineLevel="0" collapsed="false">
      <c r="B67" s="20" t="s">
        <v>4088</v>
      </c>
      <c r="C67" s="20" t="n">
        <v>4</v>
      </c>
      <c r="D67" s="20" t="n">
        <v>0</v>
      </c>
      <c r="E67" s="20" t="n">
        <v>0</v>
      </c>
      <c r="F67" s="20" t="n">
        <v>0</v>
      </c>
      <c r="G67" s="20" t="n">
        <v>0</v>
      </c>
    </row>
    <row r="68" customFormat="false" ht="15" hidden="false" customHeight="true" outlineLevel="0" collapsed="false">
      <c r="B68" s="20" t="s">
        <v>4089</v>
      </c>
      <c r="D68" s="20" t="n">
        <v>0.5</v>
      </c>
      <c r="E68" s="20" t="n">
        <v>0</v>
      </c>
      <c r="F68" s="20" t="n">
        <v>0.5</v>
      </c>
      <c r="G68" s="20" t="n">
        <v>0</v>
      </c>
    </row>
    <row r="69" customFormat="false" ht="15" hidden="false" customHeight="true" outlineLevel="0" collapsed="false">
      <c r="B69" s="20" t="s">
        <v>4090</v>
      </c>
      <c r="D69" s="20" t="n">
        <v>0.5</v>
      </c>
      <c r="E69" s="20" t="n">
        <v>0.5</v>
      </c>
      <c r="F69" s="20" t="n">
        <v>0</v>
      </c>
      <c r="G69" s="20" t="n">
        <v>0</v>
      </c>
    </row>
    <row r="70" customFormat="false" ht="15" hidden="false" customHeight="true" outlineLevel="0" collapsed="false">
      <c r="B70" s="20" t="s">
        <v>4091</v>
      </c>
      <c r="D70" s="20" t="n">
        <v>0</v>
      </c>
      <c r="E70" s="20" t="n">
        <v>1</v>
      </c>
      <c r="F70" s="20" t="n">
        <v>0</v>
      </c>
      <c r="G70" s="20" t="n">
        <v>0</v>
      </c>
    </row>
    <row r="71" customFormat="false" ht="15" hidden="false" customHeight="true" outlineLevel="0" collapsed="false">
      <c r="B71" s="20" t="s">
        <v>4092</v>
      </c>
      <c r="D71" s="20" t="n">
        <v>0</v>
      </c>
      <c r="E71" s="20" t="n">
        <v>0</v>
      </c>
      <c r="F71" s="20" t="n">
        <v>0</v>
      </c>
      <c r="G71" s="20" t="n">
        <v>1</v>
      </c>
      <c r="H71" s="20" t="s">
        <v>4093</v>
      </c>
    </row>
    <row r="72" customFormat="false" ht="15" hidden="false" customHeight="true" outlineLevel="0" collapsed="false">
      <c r="B72" s="20" t="s">
        <v>4094</v>
      </c>
      <c r="C72" s="20" t="n">
        <v>1</v>
      </c>
      <c r="D72" s="20" t="n">
        <v>0</v>
      </c>
      <c r="E72" s="20" t="n">
        <v>0</v>
      </c>
      <c r="F72" s="20" t="n">
        <v>0</v>
      </c>
      <c r="G72" s="20" t="n">
        <v>0</v>
      </c>
    </row>
    <row r="73" customFormat="false" ht="15" hidden="false" customHeight="true" outlineLevel="0" collapsed="false">
      <c r="B73" s="20" t="s">
        <v>4095</v>
      </c>
      <c r="C73" s="20" t="n">
        <v>2</v>
      </c>
      <c r="D73" s="20" t="n">
        <v>0</v>
      </c>
      <c r="E73" s="20" t="n">
        <v>0</v>
      </c>
      <c r="F73" s="20" t="n">
        <v>0</v>
      </c>
      <c r="G73" s="20" t="n">
        <v>0</v>
      </c>
    </row>
    <row r="74" customFormat="false" ht="15" hidden="false" customHeight="true" outlineLevel="0" collapsed="false">
      <c r="B74" s="20" t="s">
        <v>4096</v>
      </c>
      <c r="C74" s="20" t="n">
        <v>3</v>
      </c>
      <c r="D74" s="20" t="n">
        <v>0</v>
      </c>
      <c r="E74" s="20" t="n">
        <v>0</v>
      </c>
      <c r="F74" s="20" t="n">
        <v>0</v>
      </c>
      <c r="G74" s="20" t="n">
        <v>0</v>
      </c>
    </row>
    <row r="75" customFormat="false" ht="15" hidden="false" customHeight="true" outlineLevel="0" collapsed="false">
      <c r="B75" s="20" t="s">
        <v>4097</v>
      </c>
      <c r="C75" s="20" t="n">
        <v>4</v>
      </c>
      <c r="D75" s="20" t="n">
        <v>0</v>
      </c>
      <c r="E75" s="20" t="n">
        <v>0</v>
      </c>
      <c r="F75" s="20" t="n">
        <v>0</v>
      </c>
      <c r="G75" s="20" t="n">
        <v>0</v>
      </c>
      <c r="H75" s="20" t="s">
        <v>4098</v>
      </c>
    </row>
    <row r="77" customFormat="false" ht="15" hidden="false" customHeight="true" outlineLevel="0" collapsed="false">
      <c r="B77" s="23" t="s">
        <v>4099</v>
      </c>
      <c r="C77" s="23" t="s">
        <v>1226</v>
      </c>
    </row>
    <row r="78" customFormat="false" ht="15" hidden="false" customHeight="true" outlineLevel="0" collapsed="false">
      <c r="B78" s="20" t="s">
        <v>4100</v>
      </c>
      <c r="C78" s="42" t="n">
        <f aca="false">(PA_2&gt;0)+(PA_4&gt;0)+(PA_7&gt;0)+(PA_8&gt;0)+(PA_9&gt;0)+(PA_12&gt;0)</f>
        <v>0</v>
      </c>
    </row>
    <row r="79" customFormat="false" ht="15" hidden="false" customHeight="true" outlineLevel="0" collapsed="false">
      <c r="B79" s="20" t="s">
        <v>4101</v>
      </c>
      <c r="C79" s="42" t="n">
        <f aca="false">(PA_2&gt;0)+(PA_4&gt;0)+(PA_6&gt;0)+(PA_7&gt;0)+(PA_8&gt;0)+(PA_9&gt;0)+(PA_12&gt;0)+(PA_u4&gt;0)+(PA_u9&gt;0)+(PA_u10&gt;0)+(PA_u11&gt;0)+(PA_u12&gt;0)+(PA_u14&gt;0)</f>
        <v>1</v>
      </c>
    </row>
    <row r="80" customFormat="false" ht="15" hidden="false" customHeight="true" outlineLevel="0" collapsed="false">
      <c r="B80" s="20" t="s">
        <v>4102</v>
      </c>
      <c r="C80" s="42" t="n">
        <f aca="false">(PA_8&gt;0)+(PA_9&gt;0)+(PA_u9&gt;0)</f>
        <v>0</v>
      </c>
    </row>
    <row r="81" customFormat="false" ht="15" hidden="false" customHeight="true" outlineLevel="0" collapsed="false">
      <c r="B81" s="20" t="s">
        <v>4103</v>
      </c>
      <c r="C81" s="42" t="n">
        <f aca="false">(PA_6&gt;0)+(PA_7&gt;0)+(PA_u10&gt;0)+(PA_u12&gt;0)+(PA_u14&gt;0)</f>
        <v>1</v>
      </c>
    </row>
    <row r="82" customFormat="false" ht="15" hidden="false" customHeight="true" outlineLevel="0" collapsed="false">
      <c r="B82" s="20" t="s">
        <v>4104</v>
      </c>
      <c r="C82" s="42" t="n">
        <f aca="false">(PA_2&gt;0)+(PA_12&gt;0)+(PA_4&gt;0)+(PA_u4&gt;0)+(PA_u11&gt;0)</f>
        <v>0</v>
      </c>
    </row>
    <row r="83" customFormat="false" ht="15" hidden="false" customHeight="true" outlineLevel="0" collapsed="false">
      <c r="B83" s="20" t="s">
        <v>4105</v>
      </c>
      <c r="C83" s="42" t="n">
        <f aca="false">7-((PA_6&gt;0)+(PA_u9&gt;0)+(PA_u10&gt;0)+(PA_u12&gt;0)+(PA_u14&gt;0)+(PA_u4&gt;0)+(PA_u11&gt;0))</f>
        <v>6</v>
      </c>
    </row>
    <row r="84" customFormat="false" ht="15" hidden="false" customHeight="true" outlineLevel="0" collapsed="false">
      <c r="B84" s="20" t="s">
        <v>4106</v>
      </c>
      <c r="C84" s="42" t="str">
        <f aca="false">IF(Prof_UmLeft=7,"7 quick questions · your first "&amp;Prof_DiscCount&amp;" answers are filled in",IF(Prof_UmLeft&gt;0,Prof_UmLeft&amp;" of 7 left · your first "&amp;Prof_DiscCount&amp;" answers are filled in","All 7 answered · your first "&amp;Prof_DiscCount&amp;" answers are filled in"))</f>
        <v>6 of 7 left · your first 0 answers are filled in</v>
      </c>
    </row>
    <row r="85" customFormat="false" ht="15" hidden="false" customHeight="true" outlineLevel="0" collapsed="false">
      <c r="B85" s="20" t="s">
        <v>4107</v>
      </c>
      <c r="C85" s="42" t="n">
        <f aca="false">IF(Prof_DiscCount&gt;=4,1,0)</f>
        <v>0</v>
      </c>
    </row>
    <row r="86" customFormat="false" ht="15" hidden="false" customHeight="true" outlineLevel="0" collapsed="false">
      <c r="B86" s="20" t="s">
        <v>4108</v>
      </c>
      <c r="C86" s="42"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20" t="s">
        <v>4109</v>
      </c>
      <c r="C87" s="42"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20" t="s">
        <v>4110</v>
      </c>
      <c r="C88" s="42"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20" t="s">
        <v>4111</v>
      </c>
      <c r="C89" s="42"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20" t="s">
        <v>4112</v>
      </c>
      <c r="C90" s="42" t="n">
        <f aca="false">MAX(Prof_SA,Prof_SB,Prof_SE,Prof_SC)</f>
        <v>0</v>
      </c>
    </row>
    <row r="91" customFormat="false" ht="15" hidden="false" customHeight="true" outlineLevel="0" collapsed="false">
      <c r="B91" s="20" t="s">
        <v>4113</v>
      </c>
      <c r="C91" s="42" t="n">
        <f aca="false">IF(Prof_SA=Prof_Top,1,0)</f>
        <v>1</v>
      </c>
    </row>
    <row r="92" customFormat="false" ht="15" hidden="false" customHeight="true" outlineLevel="0" collapsed="false">
      <c r="B92" s="20" t="s">
        <v>4114</v>
      </c>
      <c r="C92" s="42" t="n">
        <f aca="false">IF(Prof_SB=Prof_Top,1,0)</f>
        <v>1</v>
      </c>
    </row>
    <row r="93" customFormat="false" ht="15" hidden="false" customHeight="true" outlineLevel="0" collapsed="false">
      <c r="B93" s="20" t="s">
        <v>4115</v>
      </c>
      <c r="C93" s="42" t="n">
        <f aca="false">IF(Prof_SE=Prof_Top,1,0)</f>
        <v>1</v>
      </c>
    </row>
    <row r="94" customFormat="false" ht="15" hidden="false" customHeight="true" outlineLevel="0" collapsed="false">
      <c r="B94" s="20" t="s">
        <v>4116</v>
      </c>
      <c r="C94" s="42" t="n">
        <f aca="false">IF(Prof_SC=Prof_Top,1,0)</f>
        <v>1</v>
      </c>
    </row>
    <row r="95" customFormat="false" ht="15" hidden="false" customHeight="true" outlineLevel="0" collapsed="false">
      <c r="B95" s="20" t="s">
        <v>4117</v>
      </c>
      <c r="C95" s="42" t="n">
        <f aca="false">Prof_TA+Prof_TB+Prof_TE+Prof_TC</f>
        <v>4</v>
      </c>
    </row>
    <row r="96" customFormat="false" ht="15" hidden="false" customHeight="true" outlineLevel="0" collapsed="false">
      <c r="B96" s="20" t="s">
        <v>4118</v>
      </c>
      <c r="C96" s="42" t="str">
        <f aca="false">IF(PA_2&gt;0,CHOOSE(PA_2,IF(Prof_TA=1,"A",""),IF(Prof_TB=1,"B",""),IF(Prof_TE=1,"E",""),IF(Prof_TC=1,"C","")),"")</f>
        <v/>
      </c>
    </row>
    <row r="97" customFormat="false" ht="15" hidden="false" customHeight="true" outlineLevel="0" collapsed="false">
      <c r="B97" s="20" t="s">
        <v>4119</v>
      </c>
      <c r="C97" s="42" t="n">
        <f aca="false">IF(PA_4&gt;0,CHOOSE(PA_4,Prof_TE,Prof_TA,Prof_TB,Prof_TB+Prof_TC),0)</f>
        <v>0</v>
      </c>
    </row>
    <row r="98" customFormat="false" ht="15" hidden="false" customHeight="true" outlineLevel="0" collapsed="false">
      <c r="B98" s="20" t="s">
        <v>4120</v>
      </c>
      <c r="C98" s="42" t="str">
        <f aca="false">IF(Prof_Q4N=1,CHOOSE(PA_4,"E","A","B",IF(Prof_TB=1,"B","C")),"")</f>
        <v/>
      </c>
    </row>
    <row r="99" customFormat="false" ht="15" hidden="false" customHeight="true" outlineLevel="0" collapsed="false">
      <c r="B99" s="20" t="s">
        <v>4121</v>
      </c>
      <c r="C99" s="42" t="str">
        <f aca="false">IF(Prof_TB=1,"B",IF(Prof_TA=1,"A",IF(Prof_TC=1,"C","E")))</f>
        <v>B</v>
      </c>
    </row>
    <row r="100" customFormat="false" ht="15" hidden="false" customHeight="true" outlineLevel="0" collapsed="false">
      <c r="B100" s="20" t="s">
        <v>4122</v>
      </c>
      <c r="C100" s="42" t="str">
        <f aca="false">IF(Prof_DiscCount&lt;4,"",IF(Prof_TiedN=1,IF(Prof_TA=1,"A",IF(Prof_TB=1,"B",IF(Prof_TE=1,"E","C"))),IF(Prof_L2&lt;&gt;"",Prof_L2,IF(Prof_Q4L&lt;&gt;"",Prof_Q4L,Prof_First))))</f>
        <v/>
      </c>
    </row>
    <row r="101" customFormat="false" ht="15" hidden="false" customHeight="true" outlineLevel="0" collapsed="false">
      <c r="B101" s="20" t="s">
        <v>4123</v>
      </c>
      <c r="C101" s="42" t="str">
        <f aca="false">IF(Prof_TypeKey="","",IF(Prof_TypeKey="A","Achiever",IF(Prof_TypeKey="B","Balancer",IF(Prof_TypeKey="E","Explorer","Contented"))))</f>
        <v/>
      </c>
    </row>
    <row r="102" customFormat="false" ht="15" hidden="false" customHeight="true" outlineLevel="0" collapsed="false">
      <c r="B102" s="20" t="s">
        <v>4124</v>
      </c>
      <c r="C102" s="42" t="n">
        <f aca="false">IF(PA_6&gt;0,SUMIFS('Plan profile'!$C$23:$C$75,Prof_Key,"6|"&amp;PA_6),-1)</f>
        <v>3</v>
      </c>
    </row>
    <row r="103" customFormat="false" ht="15" hidden="false" customHeight="true" outlineLevel="0" collapsed="false">
      <c r="B103" s="20" t="s">
        <v>4125</v>
      </c>
      <c r="C103" s="42" t="n">
        <f aca="false">IF(PA_7&gt;0,SUMIFS('Plan profile'!$C$23:$C$75,Prof_Key,"7|"&amp;PA_7),-1)</f>
        <v>-1</v>
      </c>
    </row>
    <row r="104" customFormat="false" ht="15" hidden="false" customHeight="true" outlineLevel="0" collapsed="false">
      <c r="B104" s="20" t="s">
        <v>4126</v>
      </c>
      <c r="C104" s="42" t="n">
        <f aca="false">IF(PA_8&gt;0,SUMIFS('Plan profile'!$C$23:$C$75,Prof_Key,"8|"&amp;PA_8),-1)</f>
        <v>-1</v>
      </c>
    </row>
    <row r="105" customFormat="false" ht="15" hidden="false" customHeight="true" outlineLevel="0" collapsed="false">
      <c r="B105" s="20" t="s">
        <v>4127</v>
      </c>
      <c r="C105" s="42" t="n">
        <f aca="false">IF(PA_9&gt;0,SUMIFS('Plan profile'!$C$23:$C$75,Prof_Key,"9|"&amp;PA_9),-1)</f>
        <v>-1</v>
      </c>
    </row>
    <row r="106" customFormat="false" ht="15" hidden="false" customHeight="true" outlineLevel="0" collapsed="false">
      <c r="B106" s="20" t="s">
        <v>4128</v>
      </c>
      <c r="C106" s="42" t="n">
        <f aca="false">IF(Prof_UmCount=13,1,0)</f>
        <v>0</v>
      </c>
    </row>
    <row r="107" customFormat="false" ht="15" hidden="false" customHeight="true" outlineLevel="0" collapsed="false">
      <c r="B107" s="20" t="s">
        <v>4129</v>
      </c>
      <c r="C107" s="42" t="n">
        <f aca="false">IF(COUNTIFS(GL_Kind,"pot",GL_AgeRaw,"&gt;"&amp;(F_Age+2))=0,9999,_xlfn.MINIFS(GL_AgeRaw,GL_Kind,"pot",GL_AgeRaw,"&gt;"&amp;(F_Age+2)))</f>
        <v>9999</v>
      </c>
    </row>
    <row r="108" customFormat="false" ht="15" hidden="false" customHeight="true" outlineLevel="0" collapsed="false">
      <c r="B108" s="20" t="s">
        <v>4130</v>
      </c>
      <c r="C108" s="42"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41</v>
      </c>
    </row>
    <row r="109" customFormat="false" ht="15" hidden="false" customHeight="true" outlineLevel="0" collapsed="false">
      <c r="B109" s="20" t="s">
        <v>4131</v>
      </c>
      <c r="C109" s="42"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1</v>
      </c>
    </row>
    <row r="110" customFormat="false" ht="15" hidden="false" customHeight="true" outlineLevel="0" collapsed="false">
      <c r="B110" s="20" t="s">
        <v>4132</v>
      </c>
      <c r="C110" s="42" t="n">
        <f aca="false">IF(PA_u9&gt;0,PA_u9-1,Prof_SuggestU9)</f>
        <v>1</v>
      </c>
    </row>
    <row r="111" customFormat="false" ht="15" hidden="false" customHeight="true" outlineLevel="0" collapsed="false">
      <c r="B111" s="20" t="s">
        <v>4133</v>
      </c>
      <c r="C111" s="42" t="str">
        <f aca="false">IF(OR(Prof_q8&lt;0,Prof_q9&lt;0),"",MIN(Prof_q8+IF(AND(Prof_q9=4,Prof_q8&gt;=3),1,0),IF(Prof_q9=1,2,IF(Prof_q9=2,3,5))))</f>
        <v/>
      </c>
    </row>
    <row r="112" customFormat="false" ht="15" hidden="false" customHeight="true" outlineLevel="0" collapsed="false">
      <c r="B112" s="20" t="s">
        <v>4134</v>
      </c>
      <c r="C112" s="42" t="str">
        <f aca="false">IF(Prof_T="","",MIN(IF(AND(Prof_CuFig=0,Prof_q7=2),3,5),IF(AND(Prof_CuFig=0,Prof_q7=1),2,5),IF(Prof_Full=1,IF(PA_u10=1,2,IF(PA_u10=2,3,IF(PA_u10=3,4,5))),5),IF(Prof_Full=1,IF(PA_u12=1,2,IF(PA_u12=2,4,5)),5),IF(Prof_Full=1,IF(PA_u14=1,2,IF(PA_u14=2,3,5)),5),IF(Prof_CuFig=1,IF(Prof_CuM&lt;1,2,IF(Prof_CuM&lt;3,3,5)),5)))</f>
        <v/>
      </c>
    </row>
    <row r="113" customFormat="false" ht="15" hidden="false" customHeight="true" outlineLevel="0" collapsed="false">
      <c r="B113" s="20" t="s">
        <v>4135</v>
      </c>
      <c r="C113" s="42" t="str">
        <f aca="false">IF(Prof_T="","",CHOOSE(Prof_Wait+1,1,2,4,5))</f>
        <v/>
      </c>
    </row>
    <row r="114" customFormat="false" ht="15" hidden="false" customHeight="true" outlineLevel="0" collapsed="false">
      <c r="B114" s="20" t="s">
        <v>4136</v>
      </c>
      <c r="C114" s="42" t="str">
        <f aca="false">IF(Prof_T="","",IF(OR(Prof_Full=0,PA_u11=0),3,MIN(CHOOSE(PA_u11,3,4,5,IF(PA_chipShares=1,5,4)),IF(AND(PA_u11&gt;=3,PA_chipsN&gt;0,PA_chipsSafe=1),4,9))))</f>
        <v/>
      </c>
    </row>
    <row r="115" customFormat="false" ht="15" hidden="false" customHeight="true" outlineLevel="0" collapsed="false">
      <c r="B115" s="20" t="s">
        <v>4137</v>
      </c>
      <c r="C115" s="42" t="str">
        <f aca="false">IF(Prof_T="","",MIN(Prof_T,Prof_C,Prof_H,Prof_KE))</f>
        <v/>
      </c>
    </row>
    <row r="116" customFormat="false" ht="15" hidden="false" customHeight="true" outlineLevel="0" collapsed="false">
      <c r="B116" s="20" t="s">
        <v>4138</v>
      </c>
      <c r="C116" s="42" t="str">
        <f aca="false">IF(Prof_Level="","",CHOOSE(Prof_Level,"Cautious","Cautious–balanced","Balanced","Balanced–growth","Growth"))</f>
        <v/>
      </c>
    </row>
    <row r="117" customFormat="false" ht="15" hidden="false" customHeight="true" outlineLevel="0" collapsed="false">
      <c r="B117" s="20" t="s">
        <v>4139</v>
      </c>
      <c r="C117" s="42" t="str">
        <f aca="false">IF(Prof_Level="","",IF(Prof_Level=Prof_T,"want",IF(Prof_Level=Prof_C,"can",IF(Prof_Level=Prof_H,"time","experience"))))</f>
        <v/>
      </c>
    </row>
    <row r="118" customFormat="false" ht="15" hidden="false" customHeight="true" outlineLevel="0" collapsed="false">
      <c r="B118" s="20" t="s">
        <v>4140</v>
      </c>
      <c r="C118" s="42" t="str">
        <f aca="false">IF(Prof_q8&lt;=0,"",CHOOSE(Prof_q8,"Steady","Mostly steady","Balanced","Adventurous"))</f>
        <v/>
      </c>
    </row>
    <row r="119" customFormat="false" ht="15" hidden="false" customHeight="true" outlineLevel="0" collapsed="false">
      <c r="B119" s="20" t="s">
        <v>4141</v>
      </c>
      <c r="C119" s="42" t="str">
        <f aca="false">IF(OR(Prof_CuFig=1,PA_7&gt;0),Prof_CuLevel,"")</f>
        <v>Thin</v>
      </c>
    </row>
    <row r="120" customFormat="false" ht="15" hidden="false" customHeight="true" outlineLevel="0" collapsed="false">
      <c r="B120" s="20" t="s">
        <v>4142</v>
      </c>
      <c r="C120" s="42" t="n">
        <f aca="false">IF(Prof_Full=1,0,1)</f>
        <v>1</v>
      </c>
    </row>
    <row r="121" customFormat="false" ht="15" hidden="false" customHeight="true" outlineLevel="0" collapsed="false">
      <c r="B121" s="20" t="s">
        <v>4143</v>
      </c>
      <c r="C121" s="42" t="n">
        <f aca="false">IF(Prof_q8&gt;=3,1,0)</f>
        <v>0</v>
      </c>
    </row>
    <row r="122" customFormat="false" ht="15" hidden="false" customHeight="true" outlineLevel="0" collapsed="false">
      <c r="B122" s="20" t="s">
        <v>4144</v>
      </c>
      <c r="C122" s="42" t="n">
        <f aca="false">IF(AND(Prof_q8&gt;=1,Prof_q8&lt;=2),1,0)</f>
        <v>0</v>
      </c>
    </row>
    <row r="123" customFormat="false" ht="15" hidden="false" customHeight="true" outlineLevel="0" collapsed="false">
      <c r="B123" s="20" t="s">
        <v>4145</v>
      </c>
      <c r="C123" s="42" t="n">
        <f aca="false">IF(Prof_q9&gt;=3,1,0)</f>
        <v>0</v>
      </c>
    </row>
    <row r="124" customFormat="false" ht="15" hidden="false" customHeight="true" outlineLevel="0" collapsed="false">
      <c r="B124" s="20" t="s">
        <v>4146</v>
      </c>
      <c r="C124" s="42" t="n">
        <f aca="false">IF(AND(Prof_q9&gt;=1,Prof_q9&lt;=2),1,0)</f>
        <v>0</v>
      </c>
    </row>
    <row r="125" customFormat="false" ht="15" hidden="false" customHeight="true" outlineLevel="0" collapsed="false">
      <c r="B125" s="20" t="s">
        <v>4147</v>
      </c>
      <c r="C125" s="42" t="n">
        <f aca="false">IF(Prof_CuFig=1,IF(Prof_CuLevel&lt;&gt;"In place",1,0),IF(OR(AND(Prof_q7&gt;=0,Prof_q7&lt;=2),AND(Prof_Full=1,PA_u14&gt;0,PA_u14&lt;=2)),1,0))</f>
        <v>1</v>
      </c>
    </row>
    <row r="126" customFormat="false" ht="15" hidden="false" customHeight="true" outlineLevel="0" collapsed="false">
      <c r="B126" s="20" t="s">
        <v>4148</v>
      </c>
      <c r="C126" s="42" t="n">
        <f aca="false">IF(AND(Prof_Full=1,Prof_H&lt;&gt;"",Prof_H&lt;=2),1,0)</f>
        <v>0</v>
      </c>
    </row>
    <row r="127" customFormat="false" ht="15" hidden="false" customHeight="true" outlineLevel="0" collapsed="false">
      <c r="B127" s="20" t="s">
        <v>4149</v>
      </c>
      <c r="C127" s="42" t="n">
        <f aca="false">IF(AND(Prof_Full=1,Prof_C&lt;&gt;"",Prof_C&lt;=2),1,0)</f>
        <v>0</v>
      </c>
    </row>
    <row r="128" customFormat="false" ht="15" hidden="false" customHeight="true" outlineLevel="0" collapsed="false">
      <c r="B128" s="20" t="s">
        <v>4150</v>
      </c>
      <c r="C128" s="42" t="n">
        <f aca="false">IF(OR(Prof_Thin=1,Prof_LossLo=1,Prof_ShortT=1),1,0)</f>
        <v>1</v>
      </c>
    </row>
    <row r="129" customFormat="false" ht="15" hidden="false" customHeight="true" outlineLevel="0" collapsed="false">
      <c r="B129" s="20" t="s">
        <v>4151</v>
      </c>
      <c r="C129" s="42" t="n">
        <f aca="false">IF(Prof_Level="",0,IF(Prof_Full=1,IF(AND(Prof_C&gt;=4,Prof_H&gt;=4),1,0),IF(AND(Prof_q7=4,Prof_q6&gt;=3),1,0)))</f>
        <v>0</v>
      </c>
    </row>
    <row r="130" customFormat="false" ht="15" hidden="false" customHeight="true" outlineLevel="0" collapsed="false">
      <c r="B130" s="20" t="s">
        <v>4152</v>
      </c>
      <c r="C130" s="42"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20" t="s">
        <v>4153</v>
      </c>
      <c r="C131" s="42"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20" t="s">
        <v>4154</v>
      </c>
      <c r="C132" s="42"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20" t="s">
        <v>4155</v>
      </c>
      <c r="C133" s="42"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20" t="s">
        <v>4156</v>
      </c>
      <c r="C134" s="42" t="str">
        <f aca="false">MID(IF(IF(PA_8&gt;0,INDEX('Plan profile'!$H$23:$H$75,MATCH("8|"&amp;PA_8,Prof_Key,0)),"")="","","|"&amp;IF(PA_8&gt;0,INDEX('Plan profile'!$H$23:$H$75,MATCH("8|"&amp;PA_8,Prof_Key,0)),"")),2,500)</f>
        <v/>
      </c>
    </row>
    <row r="135" customFormat="false" ht="15" hidden="false" customHeight="true" outlineLevel="0" collapsed="false">
      <c r="B135" s="20" t="s">
        <v>4157</v>
      </c>
      <c r="C135" s="42" t="str">
        <f aca="false">IF(PA_6&gt;0,INDEX('Plan profile'!$H$23:$H$75,MATCH("6|"&amp;PA_6,Prof_Key,0)),"")</f>
        <v>Good capacity</v>
      </c>
    </row>
    <row r="137" customFormat="false" ht="15" hidden="false" customHeight="false" outlineLevel="0" collapsed="false">
      <c r="B137" s="20" t="s">
        <v>4158</v>
      </c>
      <c r="C137" s="39" t="str">
        <f aca="false">IF(PA_7&gt;0,INDEX('Plan profile'!$H$23:$H$75,MATCH("7|"&amp;PA_7,Prof_Key,0)),"")</f>
        <v/>
      </c>
    </row>
    <row r="138" customFormat="false" ht="15" hidden="false" customHeight="false" outlineLevel="0" collapsed="false">
      <c r="B138" s="20" t="s">
        <v>4159</v>
      </c>
      <c r="C138" s="39" t="n">
        <f aca="false">IF(AND(Has_cash=1,Has_costsM=1,F_EssM&gt;0),1,0)</f>
        <v>1</v>
      </c>
    </row>
    <row r="139" customFormat="false" ht="15" hidden="false" customHeight="false" outlineLevel="0" collapsed="false">
      <c r="B139" s="20" t="s">
        <v>4160</v>
      </c>
      <c r="C139" s="39" t="n">
        <f aca="false">IF(Prof_CuFig=1,INT(F_Cash/F_EssM*10)/10,"")</f>
        <v>1.8</v>
      </c>
    </row>
    <row r="140" customFormat="false" ht="15" hidden="false" customHeight="false" outlineLevel="0" collapsed="false">
      <c r="B140" s="20" t="s">
        <v>4161</v>
      </c>
      <c r="C140" s="39" t="str">
        <f aca="false">IF(Prof_CuFig=1,IF(Prof_CuM&gt;=AS_Months,"In place",IF(Prof_CuM&gt;=1,"Thin","None")),IF(PA_7&gt;0,CHOOSE(PA_7,"In place","Thin","None: relies on credit","Not set up yet"),""))</f>
        <v>Thin</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0" width="6"/>
    <col collapsed="false" customWidth="true" hidden="false" outlineLevel="0" max="3" min="3" style="20" width="12"/>
    <col collapsed="false" customWidth="true" hidden="false" outlineLevel="0" max="27" min="4" style="20" width="10"/>
    <col collapsed="false" customWidth="true" hidden="false" outlineLevel="0" max="30" min="28" style="20" width="12"/>
    <col collapsed="false" customWidth="true" hidden="false" outlineLevel="0" max="54" min="31" style="20" width="10"/>
    <col collapsed="false" customWidth="true" hidden="false" outlineLevel="0" max="57" min="55" style="20" width="12"/>
    <col collapsed="false" customWidth="true" hidden="false" outlineLevel="0" max="81" min="58" style="20" width="10"/>
    <col collapsed="false" customWidth="true" hidden="false" outlineLevel="0" max="84" min="82" style="20" width="12"/>
    <col collapsed="false" customWidth="true" hidden="false" outlineLevel="0" max="108" min="85" style="20" width="10"/>
    <col collapsed="false" customWidth="true" hidden="false" outlineLevel="0" max="111" min="109" style="20" width="12"/>
  </cols>
  <sheetData>
    <row r="1" customFormat="false" ht="17.25" hidden="false" customHeight="true" outlineLevel="0" collapsed="false">
      <c r="B1" s="21" t="s">
        <v>4162</v>
      </c>
    </row>
    <row r="2" customFormat="false" ht="39.75" hidden="false" customHeight="true" outlineLevel="0" collapsed="false">
      <c r="B2" s="2" t="s">
        <v>4163</v>
      </c>
      <c r="C2" s="2"/>
      <c r="D2" s="2"/>
      <c r="E2" s="2"/>
      <c r="F2" s="2"/>
      <c r="G2" s="2"/>
      <c r="H2" s="2"/>
      <c r="I2" s="2"/>
      <c r="J2" s="2"/>
      <c r="K2" s="2"/>
      <c r="L2" s="2"/>
    </row>
    <row r="6" customFormat="false" ht="81.75" hidden="false" customHeight="true" outlineLevel="0" collapsed="false">
      <c r="A6" s="23" t="s">
        <v>1559</v>
      </c>
      <c r="B6" s="33" t="s">
        <v>1560</v>
      </c>
      <c r="C6" s="33" t="s">
        <v>4164</v>
      </c>
      <c r="D6" s="33" t="s">
        <v>4165</v>
      </c>
      <c r="E6" s="33" t="s">
        <v>4166</v>
      </c>
      <c r="F6" s="33" t="s">
        <v>4167</v>
      </c>
      <c r="G6" s="33" t="s">
        <v>4168</v>
      </c>
      <c r="H6" s="33" t="s">
        <v>4169</v>
      </c>
      <c r="I6" s="33" t="s">
        <v>4170</v>
      </c>
      <c r="J6" s="33" t="s">
        <v>4171</v>
      </c>
      <c r="K6" s="33" t="s">
        <v>4172</v>
      </c>
      <c r="L6" s="33" t="s">
        <v>4173</v>
      </c>
      <c r="M6" s="33" t="s">
        <v>4174</v>
      </c>
      <c r="N6" s="33" t="s">
        <v>4175</v>
      </c>
      <c r="O6" s="33" t="s">
        <v>4176</v>
      </c>
      <c r="P6" s="33" t="s">
        <v>4177</v>
      </c>
      <c r="Q6" s="33" t="s">
        <v>4178</v>
      </c>
      <c r="R6" s="33" t="s">
        <v>4179</v>
      </c>
      <c r="S6" s="33" t="s">
        <v>4180</v>
      </c>
      <c r="T6" s="33" t="s">
        <v>4181</v>
      </c>
      <c r="U6" s="33" t="s">
        <v>4182</v>
      </c>
      <c r="V6" s="33" t="s">
        <v>4183</v>
      </c>
      <c r="W6" s="33" t="s">
        <v>4184</v>
      </c>
      <c r="X6" s="33" t="s">
        <v>4185</v>
      </c>
      <c r="Y6" s="33" t="s">
        <v>4186</v>
      </c>
      <c r="Z6" s="33" t="s">
        <v>4187</v>
      </c>
      <c r="AA6" s="33" t="s">
        <v>4188</v>
      </c>
      <c r="AB6" s="33" t="s">
        <v>4189</v>
      </c>
      <c r="AC6" s="33" t="s">
        <v>4190</v>
      </c>
      <c r="AD6" s="33" t="s">
        <v>4191</v>
      </c>
      <c r="AE6" s="33" t="s">
        <v>4192</v>
      </c>
      <c r="AF6" s="33" t="s">
        <v>4193</v>
      </c>
      <c r="AG6" s="33" t="s">
        <v>4194</v>
      </c>
      <c r="AH6" s="33" t="s">
        <v>4195</v>
      </c>
      <c r="AI6" s="33" t="s">
        <v>4196</v>
      </c>
      <c r="AJ6" s="33" t="s">
        <v>4197</v>
      </c>
      <c r="AK6" s="33" t="s">
        <v>4198</v>
      </c>
      <c r="AL6" s="33" t="s">
        <v>4199</v>
      </c>
      <c r="AM6" s="33" t="s">
        <v>4200</v>
      </c>
      <c r="AN6" s="33" t="s">
        <v>4201</v>
      </c>
      <c r="AO6" s="33" t="s">
        <v>4202</v>
      </c>
      <c r="AP6" s="33" t="s">
        <v>4203</v>
      </c>
      <c r="AQ6" s="33" t="s">
        <v>4204</v>
      </c>
      <c r="AR6" s="33" t="s">
        <v>4205</v>
      </c>
      <c r="AS6" s="33" t="s">
        <v>4206</v>
      </c>
      <c r="AT6" s="33" t="s">
        <v>4207</v>
      </c>
      <c r="AU6" s="33" t="s">
        <v>4208</v>
      </c>
      <c r="AV6" s="33" t="s">
        <v>4209</v>
      </c>
      <c r="AW6" s="33" t="s">
        <v>4210</v>
      </c>
      <c r="AX6" s="33" t="s">
        <v>4211</v>
      </c>
      <c r="AY6" s="33" t="s">
        <v>4212</v>
      </c>
      <c r="AZ6" s="33" t="s">
        <v>4213</v>
      </c>
      <c r="BA6" s="33" t="s">
        <v>4214</v>
      </c>
      <c r="BB6" s="33" t="s">
        <v>4215</v>
      </c>
      <c r="BC6" s="33" t="s">
        <v>4216</v>
      </c>
      <c r="BD6" s="33" t="s">
        <v>4217</v>
      </c>
      <c r="BE6" s="33" t="s">
        <v>4218</v>
      </c>
      <c r="BF6" s="33" t="s">
        <v>4219</v>
      </c>
      <c r="BG6" s="33" t="s">
        <v>4220</v>
      </c>
      <c r="BH6" s="33" t="s">
        <v>4221</v>
      </c>
      <c r="BI6" s="33" t="s">
        <v>4222</v>
      </c>
      <c r="BJ6" s="33" t="s">
        <v>4223</v>
      </c>
      <c r="BK6" s="33" t="s">
        <v>4224</v>
      </c>
      <c r="BL6" s="33" t="s">
        <v>4225</v>
      </c>
      <c r="BM6" s="33" t="s">
        <v>4226</v>
      </c>
      <c r="BN6" s="33" t="s">
        <v>4227</v>
      </c>
      <c r="BO6" s="33" t="s">
        <v>4228</v>
      </c>
      <c r="BP6" s="33" t="s">
        <v>4229</v>
      </c>
      <c r="BQ6" s="33" t="s">
        <v>4230</v>
      </c>
      <c r="BR6" s="33" t="s">
        <v>4231</v>
      </c>
      <c r="BS6" s="33" t="s">
        <v>4232</v>
      </c>
      <c r="BT6" s="33" t="s">
        <v>4233</v>
      </c>
      <c r="BU6" s="33" t="s">
        <v>4234</v>
      </c>
      <c r="BV6" s="33" t="s">
        <v>4235</v>
      </c>
      <c r="BW6" s="33" t="s">
        <v>4236</v>
      </c>
      <c r="BX6" s="33" t="s">
        <v>4237</v>
      </c>
      <c r="BY6" s="33" t="s">
        <v>4238</v>
      </c>
      <c r="BZ6" s="33" t="s">
        <v>4239</v>
      </c>
      <c r="CA6" s="33" t="s">
        <v>4240</v>
      </c>
      <c r="CB6" s="33" t="s">
        <v>4241</v>
      </c>
      <c r="CC6" s="33" t="s">
        <v>4242</v>
      </c>
      <c r="CD6" s="33" t="s">
        <v>4243</v>
      </c>
      <c r="CE6" s="33" t="s">
        <v>4244</v>
      </c>
      <c r="CF6" s="33" t="s">
        <v>4245</v>
      </c>
      <c r="CG6" s="33" t="s">
        <v>4246</v>
      </c>
      <c r="CH6" s="33" t="s">
        <v>4247</v>
      </c>
      <c r="CI6" s="33" t="s">
        <v>4248</v>
      </c>
      <c r="CJ6" s="33" t="s">
        <v>4249</v>
      </c>
      <c r="CK6" s="33" t="s">
        <v>4250</v>
      </c>
      <c r="CL6" s="33" t="s">
        <v>4251</v>
      </c>
      <c r="CM6" s="33" t="s">
        <v>4252</v>
      </c>
      <c r="CN6" s="33" t="s">
        <v>4253</v>
      </c>
      <c r="CO6" s="33" t="s">
        <v>4254</v>
      </c>
      <c r="CP6" s="33" t="s">
        <v>4255</v>
      </c>
      <c r="CQ6" s="33" t="s">
        <v>4256</v>
      </c>
      <c r="CR6" s="33" t="s">
        <v>4257</v>
      </c>
      <c r="CS6" s="33" t="s">
        <v>4258</v>
      </c>
      <c r="CT6" s="33" t="s">
        <v>4259</v>
      </c>
      <c r="CU6" s="33" t="s">
        <v>4260</v>
      </c>
      <c r="CV6" s="33" t="s">
        <v>4261</v>
      </c>
      <c r="CW6" s="33" t="s">
        <v>4262</v>
      </c>
      <c r="CX6" s="33" t="s">
        <v>4263</v>
      </c>
      <c r="CY6" s="33" t="s">
        <v>4264</v>
      </c>
      <c r="CZ6" s="33" t="s">
        <v>4265</v>
      </c>
      <c r="DA6" s="33" t="s">
        <v>4266</v>
      </c>
      <c r="DB6" s="33" t="s">
        <v>4267</v>
      </c>
      <c r="DC6" s="33" t="s">
        <v>4268</v>
      </c>
      <c r="DD6" s="33" t="s">
        <v>4269</v>
      </c>
      <c r="DE6" s="33" t="s">
        <v>4270</v>
      </c>
      <c r="DF6" s="33" t="s">
        <v>4271</v>
      </c>
      <c r="DG6" s="33" t="s">
        <v>4272</v>
      </c>
    </row>
    <row r="7" customFormat="false" ht="15" hidden="false" customHeight="true" outlineLevel="0" collapsed="false">
      <c r="A7" s="20" t="s">
        <v>1628</v>
      </c>
      <c r="CF7" s="49" t="n">
        <f aca="false">F_MortBal</f>
        <v>203700</v>
      </c>
      <c r="DE7" s="49" t="n">
        <f aca="false">F_MortBal</f>
        <v>203700</v>
      </c>
    </row>
    <row r="8" customFormat="false" ht="15" hidden="false" customHeight="true" outlineLevel="0" collapsed="false">
      <c r="B8" s="20" t="n">
        <v>0</v>
      </c>
      <c r="C8" s="20" t="n">
        <f aca="false">'Plan cashflow'!J8</f>
        <v>203700</v>
      </c>
      <c r="D8" s="20" t="n">
        <f aca="false">IF(C8&gt;PR_BalDone,C8+C8*(F_MR/12)-MIN(F_MortPayM,C8+C8*(F_MR/12)),C8)</f>
        <v>203173.5375</v>
      </c>
      <c r="E8" s="20" t="n">
        <f aca="false">IF(D8&gt;PR_BalDone,D8+D8*(F_MR/12)-MIN(F_MortPayM,D8+D8*(F_MR/12)),D8)</f>
        <v>202645.385932813</v>
      </c>
      <c r="F8" s="20" t="n">
        <f aca="false">IF(E8&gt;PR_BalDone,E8+E8*(F_MR/12)-MIN(F_MortPayM,E8+E8*(F_MR/12)),E8)</f>
        <v>202115.539879347</v>
      </c>
      <c r="G8" s="20" t="n">
        <f aca="false">IF(F8&gt;PR_BalDone,F8+F8*(F_MR/12)-MIN(F_MortPayM,F8+F8*(F_MR/12)),F8)</f>
        <v>201583.993903127</v>
      </c>
      <c r="H8" s="20" t="n">
        <f aca="false">IF(G8&gt;PR_BalDone,G8+G8*(F_MR/12)-MIN(F_MortPayM,G8+G8*(F_MR/12)),G8)</f>
        <v>201050.742550232</v>
      </c>
      <c r="I8" s="20" t="n">
        <f aca="false">IF(H8&gt;PR_BalDone,H8+H8*(F_MR/12)-MIN(F_MortPayM,H8+H8*(F_MR/12)),H8)</f>
        <v>200515.780349248</v>
      </c>
      <c r="J8" s="20" t="n">
        <f aca="false">IF(I8&gt;PR_BalDone,I8+I8*(F_MR/12)-MIN(F_MortPayM,I8+I8*(F_MR/12)),I8)</f>
        <v>199979.101811202</v>
      </c>
      <c r="K8" s="20" t="n">
        <f aca="false">IF(J8&gt;PR_BalDone,J8+J8*(F_MR/12)-MIN(F_MortPayM,J8+J8*(F_MR/12)),J8)</f>
        <v>199440.701429512</v>
      </c>
      <c r="L8" s="20" t="n">
        <f aca="false">IF(K8&gt;PR_BalDone,K8+K8*(F_MR/12)-MIN(F_MortPayM,K8+K8*(F_MR/12)),K8)</f>
        <v>198900.573679932</v>
      </c>
      <c r="M8" s="20" t="n">
        <f aca="false">IF(L8&gt;PR_BalDone,L8+L8*(F_MR/12)-MIN(F_MortPayM,L8+L8*(F_MR/12)),L8)</f>
        <v>198358.713020489</v>
      </c>
      <c r="N8" s="20" t="n">
        <f aca="false">IF(M8&gt;PR_BalDone,M8+M8*(F_MR/12)-MIN(F_MortPayM,M8+M8*(F_MR/12)),M8)</f>
        <v>197815.113891429</v>
      </c>
      <c r="O8" s="20" t="n">
        <f aca="false">IF(N8&gt;PR_BalDone,N8+N8*(F_MR/12)-MIN(F_MortPayM,N8+N8*(F_MR/12)),N8)</f>
        <v>197269.770715164</v>
      </c>
      <c r="P8" s="20" t="n">
        <f aca="false">IF(C8&gt;PR_BalDone,MIN(F_MortPayM,C8+C8*(F_MR/12)),0)</f>
        <v>1180</v>
      </c>
      <c r="Q8" s="20" t="n">
        <f aca="false">IF(D8&gt;PR_BalDone,MIN(F_MortPayM,D8+D8*(F_MR/12)),0)</f>
        <v>1180</v>
      </c>
      <c r="R8" s="20" t="n">
        <f aca="false">IF(E8&gt;PR_BalDone,MIN(F_MortPayM,E8+E8*(F_MR/12)),0)</f>
        <v>1180</v>
      </c>
      <c r="S8" s="20" t="n">
        <f aca="false">IF(F8&gt;PR_BalDone,MIN(F_MortPayM,F8+F8*(F_MR/12)),0)</f>
        <v>1180</v>
      </c>
      <c r="T8" s="20" t="n">
        <f aca="false">IF(G8&gt;PR_BalDone,MIN(F_MortPayM,G8+G8*(F_MR/12)),0)</f>
        <v>1180</v>
      </c>
      <c r="U8" s="20" t="n">
        <f aca="false">IF(H8&gt;PR_BalDone,MIN(F_MortPayM,H8+H8*(F_MR/12)),0)</f>
        <v>1180</v>
      </c>
      <c r="V8" s="20" t="n">
        <f aca="false">IF(I8&gt;PR_BalDone,MIN(F_MortPayM,I8+I8*(F_MR/12)),0)</f>
        <v>1180</v>
      </c>
      <c r="W8" s="20" t="n">
        <f aca="false">IF(J8&gt;PR_BalDone,MIN(F_MortPayM,J8+J8*(F_MR/12)),0)</f>
        <v>1180</v>
      </c>
      <c r="X8" s="20" t="n">
        <f aca="false">IF(K8&gt;PR_BalDone,MIN(F_MortPayM,K8+K8*(F_MR/12)),0)</f>
        <v>1180</v>
      </c>
      <c r="Y8" s="20" t="n">
        <f aca="false">IF(L8&gt;PR_BalDone,MIN(F_MortPayM,L8+L8*(F_MR/12)),0)</f>
        <v>1180</v>
      </c>
      <c r="Z8" s="20" t="n">
        <f aca="false">IF(M8&gt;PR_BalDone,MIN(F_MortPayM,M8+M8*(F_MR/12)),0)</f>
        <v>1180</v>
      </c>
      <c r="AA8" s="20" t="n">
        <f aca="false">IF(N8&gt;PR_BalDone,MIN(F_MortPayM,N8+N8*(F_MR/12)),0)</f>
        <v>1180</v>
      </c>
      <c r="AB8" s="20" t="n">
        <f aca="false">MAX(0,O8)</f>
        <v>197269.770715164</v>
      </c>
      <c r="AC8" s="20" t="n">
        <f aca="false">SUM(P8:AA8)</f>
        <v>14160</v>
      </c>
      <c r="AD8" s="20" t="n">
        <f aca="false">'Plan cashflow'!M8</f>
        <v>400</v>
      </c>
      <c r="AE8" s="20" t="n">
        <f aca="false">IF(AD8&gt;PR_BalDone,AD8+AD8*(D_iC)-MIN(F_CardPayM,AD8+AD8*(D_iC)),AD8)</f>
        <v>366.123788199893</v>
      </c>
      <c r="AF8" s="20" t="n">
        <f aca="false">IF(AE8&gt;PR_BalDone,AE8+AE8*(D_iC)-MIN(F_CardPayM,AE8+AE8*(D_iC)),AE8)</f>
        <v>331.728949534589</v>
      </c>
      <c r="AG8" s="20" t="n">
        <f aca="false">IF(AF8&gt;PR_BalDone,AF8+AF8*(D_iC)-MIN(F_CardPayM,AF8+AF8*(D_iC)),AF8)</f>
        <v>296.807544101395</v>
      </c>
      <c r="AH8" s="20" t="n">
        <f aca="false">IF(AG8&gt;PR_BalDone,AG8+AG8*(D_iC)-MIN(F_CardPayM,AG8+AG8*(D_iC)),AG8)</f>
        <v>261.351510441913</v>
      </c>
      <c r="AI8" s="20" t="n">
        <f aca="false">IF(AH8&gt;PR_BalDone,AH8+AH8*(D_iC)-MIN(F_CardPayM,AH8+AH8*(D_iC)),AH8)</f>
        <v>225.352663681084</v>
      </c>
      <c r="AJ8" s="20" t="n">
        <f aca="false">IF(AI8&gt;PR_BalDone,AI8+AI8*(D_iC)-MIN(F_CardPayM,AI8+AI8*(D_iC)),AI8)</f>
        <v>188.802693637745</v>
      </c>
      <c r="AK8" s="20" t="n">
        <f aca="false">IF(AJ8&gt;PR_BalDone,AJ8+AJ8*(D_iC)-MIN(F_CardPayM,AJ8+AJ8*(D_iC)),AJ8)</f>
        <v>151.693162906262</v>
      </c>
      <c r="AL8" s="20" t="n">
        <f aca="false">IF(AK8&gt;PR_BalDone,AK8+AK8*(D_iC)-MIN(F_CardPayM,AK8+AK8*(D_iC)),AK8)</f>
        <v>114.015504908786</v>
      </c>
      <c r="AM8" s="20" t="n">
        <f aca="false">IF(AL8&gt;PR_BalDone,AL8+AL8*(D_iC)-MIN(F_CardPayM,AL8+AL8*(D_iC)),AL8)</f>
        <v>75.7610219176994</v>
      </c>
      <c r="AN8" s="20" t="n">
        <f aca="false">IF(AM8&gt;PR_BalDone,AM8+AM8*(D_iC)-MIN(F_CardPayM,AM8+AM8*(D_iC)),AM8)</f>
        <v>36.9208830477779</v>
      </c>
      <c r="AO8" s="20" t="n">
        <f aca="false">IF(AN8&gt;PR_BalDone,AN8+AN8*(D_iC)-MIN(F_CardPayM,AN8+AN8*(D_iC)),AN8)</f>
        <v>0</v>
      </c>
      <c r="AP8" s="20" t="n">
        <f aca="false">IF(AO8&gt;PR_BalDone,AO8+AO8*(D_iC)-MIN(F_CardPayM,AO8+AO8*(D_iC)),AO8)</f>
        <v>0</v>
      </c>
      <c r="AQ8" s="20" t="n">
        <f aca="false">IF(AD8&gt;PR_BalDone,MIN(F_CardPayM,AD8+AD8*(D_iC)),0)</f>
        <v>40</v>
      </c>
      <c r="AR8" s="20" t="n">
        <f aca="false">IF(AE8&gt;PR_BalDone,MIN(F_CardPayM,AE8+AE8*(D_iC)),0)</f>
        <v>40</v>
      </c>
      <c r="AS8" s="20" t="n">
        <f aca="false">IF(AF8&gt;PR_BalDone,MIN(F_CardPayM,AF8+AF8*(D_iC)),0)</f>
        <v>40</v>
      </c>
      <c r="AT8" s="20" t="n">
        <f aca="false">IF(AG8&gt;PR_BalDone,MIN(F_CardPayM,AG8+AG8*(D_iC)),0)</f>
        <v>40</v>
      </c>
      <c r="AU8" s="20" t="n">
        <f aca="false">IF(AH8&gt;PR_BalDone,MIN(F_CardPayM,AH8+AH8*(D_iC)),0)</f>
        <v>40</v>
      </c>
      <c r="AV8" s="20" t="n">
        <f aca="false">IF(AI8&gt;PR_BalDone,MIN(F_CardPayM,AI8+AI8*(D_iC)),0)</f>
        <v>40</v>
      </c>
      <c r="AW8" s="20" t="n">
        <f aca="false">IF(AJ8&gt;PR_BalDone,MIN(F_CardPayM,AJ8+AJ8*(D_iC)),0)</f>
        <v>40</v>
      </c>
      <c r="AX8" s="20" t="n">
        <f aca="false">IF(AK8&gt;PR_BalDone,MIN(F_CardPayM,AK8+AK8*(D_iC)),0)</f>
        <v>40</v>
      </c>
      <c r="AY8" s="20" t="n">
        <f aca="false">IF(AL8&gt;PR_BalDone,MIN(F_CardPayM,AL8+AL8*(D_iC)),0)</f>
        <v>40</v>
      </c>
      <c r="AZ8" s="20" t="n">
        <f aca="false">IF(AM8&gt;PR_BalDone,MIN(F_CardPayM,AM8+AM8*(D_iC)),0)</f>
        <v>40</v>
      </c>
      <c r="BA8" s="20" t="n">
        <f aca="false">IF(AN8&gt;PR_BalDone,MIN(F_CardPayM,AN8+AN8*(D_iC)),0)</f>
        <v>37.4861222176219</v>
      </c>
      <c r="BB8" s="20" t="n">
        <f aca="false">IF(AO8&gt;PR_BalDone,MIN(F_CardPayM,AO8+AO8*(D_iC)),0)</f>
        <v>0</v>
      </c>
      <c r="BC8" s="20" t="n">
        <f aca="false">MAX(0,AP8)</f>
        <v>0</v>
      </c>
      <c r="BD8" s="20" t="n">
        <f aca="false">SUM(AQ8:BB8)</f>
        <v>437.486122217622</v>
      </c>
      <c r="BE8" s="20" t="n">
        <f aca="false">'Plan cashflow'!P8</f>
        <v>3500</v>
      </c>
      <c r="BF8" s="20" t="n">
        <f aca="false">IF(BE8&gt;PR_BalDone,BE8+BE8*(D_iL)-MIN(F_LoanPayM,BE8+BE8*(D_iL)),BE8)</f>
        <v>3422.51910538501</v>
      </c>
      <c r="BG8" s="20" t="n">
        <f aca="false">IF(BF8&gt;PR_BalDone,BF8+BF8*(D_iL)-MIN(F_LoanPayM,BF8+BF8*(D_iL)),BF8)</f>
        <v>3344.53969636112</v>
      </c>
      <c r="BH8" s="20" t="n">
        <f aca="false">IF(BG8&gt;PR_BalDone,BG8+BG8*(D_iL)-MIN(F_LoanPayM,BG8+BG8*(D_iL)),BG8)</f>
        <v>3266.05856547161</v>
      </c>
      <c r="BI8" s="20" t="n">
        <f aca="false">IF(BH8&gt;PR_BalDone,BH8+BH8*(D_iL)-MIN(F_LoanPayM,BH8+BH8*(D_iL)),BH8)</f>
        <v>3187.07248462289</v>
      </c>
      <c r="BJ8" s="20" t="n">
        <f aca="false">IF(BI8&gt;PR_BalDone,BI8+BI8*(D_iL)-MIN(F_LoanPayM,BI8+BI8*(D_iL)),BI8)</f>
        <v>3107.57820495172</v>
      </c>
      <c r="BK8" s="20" t="n">
        <f aca="false">IF(BJ8&gt;PR_BalDone,BJ8+BJ8*(D_iL)-MIN(F_LoanPayM,BJ8+BJ8*(D_iL)),BJ8)</f>
        <v>3027.57245669157</v>
      </c>
      <c r="BL8" s="20" t="n">
        <f aca="false">IF(BK8&gt;PR_BalDone,BK8+BK8*(D_iL)-MIN(F_LoanPayM,BK8+BK8*(D_iL)),BK8)</f>
        <v>2947.05194903814</v>
      </c>
      <c r="BM8" s="20" t="n">
        <f aca="false">IF(BL8&gt;PR_BalDone,BL8+BL8*(D_iL)-MIN(F_LoanPayM,BL8+BL8*(D_iL)),BL8)</f>
        <v>2866.01337001399</v>
      </c>
      <c r="BN8" s="20" t="n">
        <f aca="false">IF(BM8&gt;PR_BalDone,BM8+BM8*(D_iL)-MIN(F_LoanPayM,BM8+BM8*(D_iL)),BM8)</f>
        <v>2784.45338633234</v>
      </c>
      <c r="BO8" s="20" t="n">
        <f aca="false">IF(BN8&gt;PR_BalDone,BN8+BN8*(D_iL)-MIN(F_LoanPayM,BN8+BN8*(D_iL)),BN8)</f>
        <v>2702.3686432599</v>
      </c>
      <c r="BP8" s="20" t="n">
        <f aca="false">IF(BO8&gt;PR_BalDone,BO8+BO8*(D_iL)-MIN(F_LoanPayM,BO8+BO8*(D_iL)),BO8)</f>
        <v>2619.75576447896</v>
      </c>
      <c r="BQ8" s="20" t="n">
        <f aca="false">IF(BP8&gt;PR_BalDone,BP8+BP8*(D_iL)-MIN(F_LoanPayM,BP8+BP8*(D_iL)),BP8)</f>
        <v>2536.61135194847</v>
      </c>
      <c r="BR8" s="20" t="n">
        <f aca="false">IF(BE8&gt;PR_BalDone,MIN(F_LoanPayM,BE8+BE8*(D_iL)),0)</f>
        <v>100</v>
      </c>
      <c r="BS8" s="20" t="n">
        <f aca="false">IF(BF8&gt;PR_BalDone,MIN(F_LoanPayM,BF8+BF8*(D_iL)),0)</f>
        <v>100</v>
      </c>
      <c r="BT8" s="20" t="n">
        <f aca="false">IF(BG8&gt;PR_BalDone,MIN(F_LoanPayM,BG8+BG8*(D_iL)),0)</f>
        <v>100</v>
      </c>
      <c r="BU8" s="20" t="n">
        <f aca="false">IF(BH8&gt;PR_BalDone,MIN(F_LoanPayM,BH8+BH8*(D_iL)),0)</f>
        <v>100</v>
      </c>
      <c r="BV8" s="20" t="n">
        <f aca="false">IF(BI8&gt;PR_BalDone,MIN(F_LoanPayM,BI8+BI8*(D_iL)),0)</f>
        <v>100</v>
      </c>
      <c r="BW8" s="20" t="n">
        <f aca="false">IF(BJ8&gt;PR_BalDone,MIN(F_LoanPayM,BJ8+BJ8*(D_iL)),0)</f>
        <v>100</v>
      </c>
      <c r="BX8" s="20" t="n">
        <f aca="false">IF(BK8&gt;PR_BalDone,MIN(F_LoanPayM,BK8+BK8*(D_iL)),0)</f>
        <v>100</v>
      </c>
      <c r="BY8" s="20" t="n">
        <f aca="false">IF(BL8&gt;PR_BalDone,MIN(F_LoanPayM,BL8+BL8*(D_iL)),0)</f>
        <v>100</v>
      </c>
      <c r="BZ8" s="20" t="n">
        <f aca="false">IF(BM8&gt;PR_BalDone,MIN(F_LoanPayM,BM8+BM8*(D_iL)),0)</f>
        <v>100</v>
      </c>
      <c r="CA8" s="20" t="n">
        <f aca="false">IF(BN8&gt;PR_BalDone,MIN(F_LoanPayM,BN8+BN8*(D_iL)),0)</f>
        <v>100</v>
      </c>
      <c r="CB8" s="20" t="n">
        <f aca="false">IF(BO8&gt;PR_BalDone,MIN(F_LoanPayM,BO8+BO8*(D_iL)),0)</f>
        <v>100</v>
      </c>
      <c r="CC8" s="20" t="n">
        <f aca="false">IF(BP8&gt;PR_BalDone,MIN(F_LoanPayM,BP8+BP8*(D_iL)),0)</f>
        <v>100</v>
      </c>
      <c r="CD8" s="20" t="n">
        <f aca="false">MAX(0,BQ8)</f>
        <v>2536.61135194847</v>
      </c>
      <c r="CE8" s="20" t="n">
        <f aca="false">SUM(BR8:CC8)</f>
        <v>1200</v>
      </c>
      <c r="CF8" s="20" t="n">
        <f aca="false">IF(CF7&gt;1,DE7,CF7)</f>
        <v>203700</v>
      </c>
      <c r="CG8" s="20" t="n">
        <f aca="false">IF(CF8&gt;PR_BalDone,CF8+CF8*(F_MR/12)-MIN(F_MortPayM,CF8+CF8*(F_MR/12)),CF8)</f>
        <v>203173.5375</v>
      </c>
      <c r="CH8" s="20" t="n">
        <f aca="false">IF(CG8&gt;PR_BalDone,CG8+CG8*(F_MR/12)-MIN(F_MortPayM,CG8+CG8*(F_MR/12)),CG8)</f>
        <v>202645.385932813</v>
      </c>
      <c r="CI8" s="20" t="n">
        <f aca="false">IF(CH8&gt;PR_BalDone,CH8+CH8*(F_MR/12)-MIN(F_MortPayM,CH8+CH8*(F_MR/12)),CH8)</f>
        <v>202115.539879347</v>
      </c>
      <c r="CJ8" s="20" t="n">
        <f aca="false">IF(CI8&gt;PR_BalDone,CI8+CI8*(F_MR/12)-MIN(F_MortPayM,CI8+CI8*(F_MR/12)),CI8)</f>
        <v>201583.993903127</v>
      </c>
      <c r="CK8" s="20" t="n">
        <f aca="false">IF(CJ8&gt;PR_BalDone,CJ8+CJ8*(F_MR/12)-MIN(F_MortPayM,CJ8+CJ8*(F_MR/12)),CJ8)</f>
        <v>201050.742550232</v>
      </c>
      <c r="CL8" s="20" t="n">
        <f aca="false">IF(CK8&gt;PR_BalDone,CK8+CK8*(F_MR/12)-MIN(F_MortPayM,CK8+CK8*(F_MR/12)),CK8)</f>
        <v>200515.780349248</v>
      </c>
      <c r="CM8" s="20" t="n">
        <f aca="false">IF(CL8&gt;PR_BalDone,CL8+CL8*(F_MR/12)-MIN(F_MortPayM,CL8+CL8*(F_MR/12)),CL8)</f>
        <v>199979.101811202</v>
      </c>
      <c r="CN8" s="20" t="n">
        <f aca="false">IF(CM8&gt;PR_BalDone,CM8+CM8*(F_MR/12)-MIN(F_MortPayM,CM8+CM8*(F_MR/12)),CM8)</f>
        <v>199440.701429512</v>
      </c>
      <c r="CO8" s="20" t="n">
        <f aca="false">IF(CN8&gt;PR_BalDone,CN8+CN8*(F_MR/12)-MIN(F_MortPayM,CN8+CN8*(F_MR/12)),CN8)</f>
        <v>198900.573679932</v>
      </c>
      <c r="CP8" s="20" t="n">
        <f aca="false">IF(CO8&gt;PR_BalDone,CO8+CO8*(F_MR/12)-MIN(F_MortPayM,CO8+CO8*(F_MR/12)),CO8)</f>
        <v>198358.713020489</v>
      </c>
      <c r="CQ8" s="20" t="n">
        <f aca="false">IF(CP8&gt;PR_BalDone,CP8+CP8*(F_MR/12)-MIN(F_MortPayM,CP8+CP8*(F_MR/12)),CP8)</f>
        <v>197815.113891429</v>
      </c>
      <c r="CR8" s="20" t="n">
        <f aca="false">IF(CQ8&gt;PR_BalDone,CQ8+CQ8*(F_MR/12)-MIN(F_MortPayM,CQ8+CQ8*(F_MR/12)),CQ8)</f>
        <v>197269.770715164</v>
      </c>
      <c r="CS8" s="20" t="n">
        <f aca="false">IF(CF8&gt;PR_BalDone,MIN(F_MortPayM,CF8+CF8*(F_MR/12)),0)</f>
        <v>1180</v>
      </c>
      <c r="CT8" s="20" t="n">
        <f aca="false">IF(CG8&gt;PR_BalDone,MIN(F_MortPayM,CG8+CG8*(F_MR/12)),0)</f>
        <v>1180</v>
      </c>
      <c r="CU8" s="20" t="n">
        <f aca="false">IF(CH8&gt;PR_BalDone,MIN(F_MortPayM,CH8+CH8*(F_MR/12)),0)</f>
        <v>1180</v>
      </c>
      <c r="CV8" s="20" t="n">
        <f aca="false">IF(CI8&gt;PR_BalDone,MIN(F_MortPayM,CI8+CI8*(F_MR/12)),0)</f>
        <v>1180</v>
      </c>
      <c r="CW8" s="20" t="n">
        <f aca="false">IF(CJ8&gt;PR_BalDone,MIN(F_MortPayM,CJ8+CJ8*(F_MR/12)),0)</f>
        <v>1180</v>
      </c>
      <c r="CX8" s="20" t="n">
        <f aca="false">IF(CK8&gt;PR_BalDone,MIN(F_MortPayM,CK8+CK8*(F_MR/12)),0)</f>
        <v>1180</v>
      </c>
      <c r="CY8" s="20" t="n">
        <f aca="false">IF(CL8&gt;PR_BalDone,MIN(F_MortPayM,CL8+CL8*(F_MR/12)),0)</f>
        <v>1180</v>
      </c>
      <c r="CZ8" s="20" t="n">
        <f aca="false">IF(CM8&gt;PR_BalDone,MIN(F_MortPayM,CM8+CM8*(F_MR/12)),0)</f>
        <v>1180</v>
      </c>
      <c r="DA8" s="20" t="n">
        <f aca="false">IF(CN8&gt;PR_BalDone,MIN(F_MortPayM,CN8+CN8*(F_MR/12)),0)</f>
        <v>1180</v>
      </c>
      <c r="DB8" s="20" t="n">
        <f aca="false">IF(CO8&gt;PR_BalDone,MIN(F_MortPayM,CO8+CO8*(F_MR/12)),0)</f>
        <v>1180</v>
      </c>
      <c r="DC8" s="20" t="n">
        <f aca="false">IF(CP8&gt;PR_BalDone,MIN(F_MortPayM,CP8+CP8*(F_MR/12)),0)</f>
        <v>1180</v>
      </c>
      <c r="DD8" s="20" t="n">
        <f aca="false">IF(CQ8&gt;PR_BalDone,MIN(F_MortPayM,CQ8+CQ8*(F_MR/12)),0)</f>
        <v>1180</v>
      </c>
      <c r="DE8" s="20" t="n">
        <f aca="false">MAX(0,CR8)</f>
        <v>197269.770715164</v>
      </c>
      <c r="DF8" s="20" t="n">
        <f aca="false">SUM(CS8:DD8)</f>
        <v>14160</v>
      </c>
      <c r="DG8" s="20" t="n">
        <f aca="false">MAX(0,CF8)</f>
        <v>203700</v>
      </c>
    </row>
    <row r="9" customFormat="false" ht="15" hidden="false" customHeight="true" outlineLevel="0" collapsed="false">
      <c r="B9" s="20" t="n">
        <v>1</v>
      </c>
      <c r="C9" s="20" t="n">
        <f aca="false">'Plan cashflow'!J9</f>
        <v>197269.770715164</v>
      </c>
      <c r="D9" s="20" t="n">
        <f aca="false">IF(C9&gt;PR_BalDone,C9+C9*(F_MR/12)-MIN(F_MortPayM,C9+C9*(F_MR/12)),C9)</f>
        <v>196722.677896209</v>
      </c>
      <c r="E9" s="20" t="n">
        <f aca="false">IF(D9&gt;PR_BalDone,D9+D9*(F_MR/12)-MIN(F_MortPayM,D9+D9*(F_MR/12)),D9)</f>
        <v>196173.829821126</v>
      </c>
      <c r="F9" s="20" t="n">
        <f aca="false">IF(E9&gt;PR_BalDone,E9+E9*(F_MR/12)-MIN(F_MortPayM,E9+E9*(F_MR/12)),E9)</f>
        <v>195623.220858469</v>
      </c>
      <c r="G9" s="20" t="n">
        <f aca="false">IF(F9&gt;PR_BalDone,F9+F9*(F_MR/12)-MIN(F_MortPayM,F9+F9*(F_MR/12)),F9)</f>
        <v>195070.845358723</v>
      </c>
      <c r="H9" s="20" t="n">
        <f aca="false">IF(G9&gt;PR_BalDone,G9+G9*(F_MR/12)-MIN(F_MortPayM,G9+G9*(F_MR/12)),G9)</f>
        <v>194516.697654249</v>
      </c>
      <c r="I9" s="20" t="n">
        <f aca="false">IF(H9&gt;PR_BalDone,H9+H9*(F_MR/12)-MIN(F_MortPayM,H9+H9*(F_MR/12)),H9)</f>
        <v>193960.772059223</v>
      </c>
      <c r="J9" s="20" t="n">
        <f aca="false">IF(I9&gt;PR_BalDone,I9+I9*(F_MR/12)-MIN(F_MortPayM,I9+I9*(F_MR/12)),I9)</f>
        <v>193403.06286958</v>
      </c>
      <c r="K9" s="20" t="n">
        <f aca="false">IF(J9&gt;PR_BalDone,J9+J9*(F_MR/12)-MIN(F_MortPayM,J9+J9*(F_MR/12)),J9)</f>
        <v>192843.564362953</v>
      </c>
      <c r="L9" s="20" t="n">
        <f aca="false">IF(K9&gt;PR_BalDone,K9+K9*(F_MR/12)-MIN(F_MortPayM,K9+K9*(F_MR/12)),K9)</f>
        <v>192282.270798617</v>
      </c>
      <c r="M9" s="20" t="n">
        <f aca="false">IF(L9&gt;PR_BalDone,L9+L9*(F_MR/12)-MIN(F_MortPayM,L9+L9*(F_MR/12)),L9)</f>
        <v>191719.176417429</v>
      </c>
      <c r="N9" s="20" t="n">
        <f aca="false">IF(M9&gt;PR_BalDone,M9+M9*(F_MR/12)-MIN(F_MortPayM,M9+M9*(F_MR/12)),M9)</f>
        <v>191154.275441769</v>
      </c>
      <c r="O9" s="20" t="n">
        <f aca="false">IF(N9&gt;PR_BalDone,N9+N9*(F_MR/12)-MIN(F_MortPayM,N9+N9*(F_MR/12)),N9)</f>
        <v>190587.562075478</v>
      </c>
      <c r="P9" s="20" t="n">
        <f aca="false">IF(C9&gt;PR_BalDone,MIN(F_MortPayM,C9+C9*(F_MR/12)),0)</f>
        <v>1180</v>
      </c>
      <c r="Q9" s="20" t="n">
        <f aca="false">IF(D9&gt;PR_BalDone,MIN(F_MortPayM,D9+D9*(F_MR/12)),0)</f>
        <v>1180</v>
      </c>
      <c r="R9" s="20" t="n">
        <f aca="false">IF(E9&gt;PR_BalDone,MIN(F_MortPayM,E9+E9*(F_MR/12)),0)</f>
        <v>1180</v>
      </c>
      <c r="S9" s="20" t="n">
        <f aca="false">IF(F9&gt;PR_BalDone,MIN(F_MortPayM,F9+F9*(F_MR/12)),0)</f>
        <v>1180</v>
      </c>
      <c r="T9" s="20" t="n">
        <f aca="false">IF(G9&gt;PR_BalDone,MIN(F_MortPayM,G9+G9*(F_MR/12)),0)</f>
        <v>1180</v>
      </c>
      <c r="U9" s="20" t="n">
        <f aca="false">IF(H9&gt;PR_BalDone,MIN(F_MortPayM,H9+H9*(F_MR/12)),0)</f>
        <v>1180</v>
      </c>
      <c r="V9" s="20" t="n">
        <f aca="false">IF(I9&gt;PR_BalDone,MIN(F_MortPayM,I9+I9*(F_MR/12)),0)</f>
        <v>1180</v>
      </c>
      <c r="W9" s="20" t="n">
        <f aca="false">IF(J9&gt;PR_BalDone,MIN(F_MortPayM,J9+J9*(F_MR/12)),0)</f>
        <v>1180</v>
      </c>
      <c r="X9" s="20" t="n">
        <f aca="false">IF(K9&gt;PR_BalDone,MIN(F_MortPayM,K9+K9*(F_MR/12)),0)</f>
        <v>1180</v>
      </c>
      <c r="Y9" s="20" t="n">
        <f aca="false">IF(L9&gt;PR_BalDone,MIN(F_MortPayM,L9+L9*(F_MR/12)),0)</f>
        <v>1180</v>
      </c>
      <c r="Z9" s="20" t="n">
        <f aca="false">IF(M9&gt;PR_BalDone,MIN(F_MortPayM,M9+M9*(F_MR/12)),0)</f>
        <v>1180</v>
      </c>
      <c r="AA9" s="20" t="n">
        <f aca="false">IF(N9&gt;PR_BalDone,MIN(F_MortPayM,N9+N9*(F_MR/12)),0)</f>
        <v>1180</v>
      </c>
      <c r="AB9" s="20" t="n">
        <f aca="false">MAX(0,O9)</f>
        <v>190587.562075478</v>
      </c>
      <c r="AC9" s="20" t="n">
        <f aca="false">SUM(P9:AA9)</f>
        <v>14160</v>
      </c>
      <c r="AD9" s="20" t="n">
        <f aca="false">'Plan cashflow'!M9</f>
        <v>0</v>
      </c>
      <c r="AE9" s="20" t="n">
        <f aca="false">IF(AD9&gt;PR_BalDone,AD9+AD9*(D_iC)-MIN(F_CardPayM,AD9+AD9*(D_iC)),AD9)</f>
        <v>0</v>
      </c>
      <c r="AF9" s="20" t="n">
        <f aca="false">IF(AE9&gt;PR_BalDone,AE9+AE9*(D_iC)-MIN(F_CardPayM,AE9+AE9*(D_iC)),AE9)</f>
        <v>0</v>
      </c>
      <c r="AG9" s="20" t="n">
        <f aca="false">IF(AF9&gt;PR_BalDone,AF9+AF9*(D_iC)-MIN(F_CardPayM,AF9+AF9*(D_iC)),AF9)</f>
        <v>0</v>
      </c>
      <c r="AH9" s="20" t="n">
        <f aca="false">IF(AG9&gt;PR_BalDone,AG9+AG9*(D_iC)-MIN(F_CardPayM,AG9+AG9*(D_iC)),AG9)</f>
        <v>0</v>
      </c>
      <c r="AI9" s="20" t="n">
        <f aca="false">IF(AH9&gt;PR_BalDone,AH9+AH9*(D_iC)-MIN(F_CardPayM,AH9+AH9*(D_iC)),AH9)</f>
        <v>0</v>
      </c>
      <c r="AJ9" s="20" t="n">
        <f aca="false">IF(AI9&gt;PR_BalDone,AI9+AI9*(D_iC)-MIN(F_CardPayM,AI9+AI9*(D_iC)),AI9)</f>
        <v>0</v>
      </c>
      <c r="AK9" s="20" t="n">
        <f aca="false">IF(AJ9&gt;PR_BalDone,AJ9+AJ9*(D_iC)-MIN(F_CardPayM,AJ9+AJ9*(D_iC)),AJ9)</f>
        <v>0</v>
      </c>
      <c r="AL9" s="20" t="n">
        <f aca="false">IF(AK9&gt;PR_BalDone,AK9+AK9*(D_iC)-MIN(F_CardPayM,AK9+AK9*(D_iC)),AK9)</f>
        <v>0</v>
      </c>
      <c r="AM9" s="20" t="n">
        <f aca="false">IF(AL9&gt;PR_BalDone,AL9+AL9*(D_iC)-MIN(F_CardPayM,AL9+AL9*(D_iC)),AL9)</f>
        <v>0</v>
      </c>
      <c r="AN9" s="20" t="n">
        <f aca="false">IF(AM9&gt;PR_BalDone,AM9+AM9*(D_iC)-MIN(F_CardPayM,AM9+AM9*(D_iC)),AM9)</f>
        <v>0</v>
      </c>
      <c r="AO9" s="20" t="n">
        <f aca="false">IF(AN9&gt;PR_BalDone,AN9+AN9*(D_iC)-MIN(F_CardPayM,AN9+AN9*(D_iC)),AN9)</f>
        <v>0</v>
      </c>
      <c r="AP9" s="20" t="n">
        <f aca="false">IF(AO9&gt;PR_BalDone,AO9+AO9*(D_iC)-MIN(F_CardPayM,AO9+AO9*(D_iC)),AO9)</f>
        <v>0</v>
      </c>
      <c r="AQ9" s="20" t="n">
        <f aca="false">IF(AD9&gt;PR_BalDone,MIN(F_CardPayM,AD9+AD9*(D_iC)),0)</f>
        <v>0</v>
      </c>
      <c r="AR9" s="20" t="n">
        <f aca="false">IF(AE9&gt;PR_BalDone,MIN(F_CardPayM,AE9+AE9*(D_iC)),0)</f>
        <v>0</v>
      </c>
      <c r="AS9" s="20" t="n">
        <f aca="false">IF(AF9&gt;PR_BalDone,MIN(F_CardPayM,AF9+AF9*(D_iC)),0)</f>
        <v>0</v>
      </c>
      <c r="AT9" s="20" t="n">
        <f aca="false">IF(AG9&gt;PR_BalDone,MIN(F_CardPayM,AG9+AG9*(D_iC)),0)</f>
        <v>0</v>
      </c>
      <c r="AU9" s="20" t="n">
        <f aca="false">IF(AH9&gt;PR_BalDone,MIN(F_CardPayM,AH9+AH9*(D_iC)),0)</f>
        <v>0</v>
      </c>
      <c r="AV9" s="20" t="n">
        <f aca="false">IF(AI9&gt;PR_BalDone,MIN(F_CardPayM,AI9+AI9*(D_iC)),0)</f>
        <v>0</v>
      </c>
      <c r="AW9" s="20" t="n">
        <f aca="false">IF(AJ9&gt;PR_BalDone,MIN(F_CardPayM,AJ9+AJ9*(D_iC)),0)</f>
        <v>0</v>
      </c>
      <c r="AX9" s="20" t="n">
        <f aca="false">IF(AK9&gt;PR_BalDone,MIN(F_CardPayM,AK9+AK9*(D_iC)),0)</f>
        <v>0</v>
      </c>
      <c r="AY9" s="20" t="n">
        <f aca="false">IF(AL9&gt;PR_BalDone,MIN(F_CardPayM,AL9+AL9*(D_iC)),0)</f>
        <v>0</v>
      </c>
      <c r="AZ9" s="20" t="n">
        <f aca="false">IF(AM9&gt;PR_BalDone,MIN(F_CardPayM,AM9+AM9*(D_iC)),0)</f>
        <v>0</v>
      </c>
      <c r="BA9" s="20" t="n">
        <f aca="false">IF(AN9&gt;PR_BalDone,MIN(F_CardPayM,AN9+AN9*(D_iC)),0)</f>
        <v>0</v>
      </c>
      <c r="BB9" s="20" t="n">
        <f aca="false">IF(AO9&gt;PR_BalDone,MIN(F_CardPayM,AO9+AO9*(D_iC)),0)</f>
        <v>0</v>
      </c>
      <c r="BC9" s="20" t="n">
        <f aca="false">MAX(0,AP9)</f>
        <v>0</v>
      </c>
      <c r="BD9" s="20" t="n">
        <f aca="false">SUM(AQ9:BB9)</f>
        <v>0</v>
      </c>
      <c r="BE9" s="20" t="n">
        <f aca="false">'Plan cashflow'!P9</f>
        <v>2536.61135194847</v>
      </c>
      <c r="BF9" s="20" t="n">
        <f aca="false">IF(BE9&gt;PR_BalDone,BE9+BE9*(D_iL)-MIN(F_LoanPayM,BE9+BE9*(D_iL)),BE9)</f>
        <v>2452.93198576429</v>
      </c>
      <c r="BG9" s="20" t="n">
        <f aca="false">IF(BF9&gt;PR_BalDone,BF9+BF9*(D_iL)-MIN(F_LoanPayM,BF9+BF9*(D_iL)),BF9)</f>
        <v>2368.71422401849</v>
      </c>
      <c r="BH9" s="20" t="n">
        <f aca="false">IF(BG9&gt;PR_BalDone,BG9+BG9*(D_iL)-MIN(F_LoanPayM,BG9+BG9*(D_iL)),BG9)</f>
        <v>2283.95460265781</v>
      </c>
      <c r="BI9" s="20" t="n">
        <f aca="false">IF(BH9&gt;PR_BalDone,BH9+BH9*(D_iL)-MIN(F_LoanPayM,BH9+BH9*(D_iL)),BH9)</f>
        <v>2198.6496353412</v>
      </c>
      <c r="BJ9" s="20" t="n">
        <f aca="false">IF(BI9&gt;PR_BalDone,BI9+BI9*(D_iL)-MIN(F_LoanPayM,BI9+BI9*(D_iL)),BI9)</f>
        <v>2112.79581329633</v>
      </c>
      <c r="BK9" s="20" t="n">
        <f aca="false">IF(BJ9&gt;PR_BalDone,BJ9+BJ9*(D_iL)-MIN(F_LoanPayM,BJ9+BJ9*(D_iL)),BJ9)</f>
        <v>2026.38960517537</v>
      </c>
      <c r="BL9" s="20" t="n">
        <f aca="false">IF(BK9&gt;PR_BalDone,BK9+BK9*(D_iL)-MIN(F_LoanPayM,BK9+BK9*(D_iL)),BK9)</f>
        <v>1939.42745690966</v>
      </c>
      <c r="BM9" s="20" t="n">
        <f aca="false">IF(BL9&gt;PR_BalDone,BL9+BL9*(D_iL)-MIN(F_LoanPayM,BL9+BL9*(D_iL)),BL9)</f>
        <v>1851.90579156359</v>
      </c>
      <c r="BN9" s="20" t="n">
        <f aca="false">IF(BM9&gt;PR_BalDone,BM9+BM9*(D_iL)-MIN(F_LoanPayM,BM9+BM9*(D_iL)),BM9)</f>
        <v>1763.8210091874</v>
      </c>
      <c r="BO9" s="20" t="n">
        <f aca="false">IF(BN9&gt;PR_BalDone,BN9+BN9*(D_iL)-MIN(F_LoanPayM,BN9+BN9*(D_iL)),BN9)</f>
        <v>1675.16948666916</v>
      </c>
      <c r="BP9" s="20" t="n">
        <f aca="false">IF(BO9&gt;PR_BalDone,BO9+BO9*(D_iL)-MIN(F_LoanPayM,BO9+BO9*(D_iL)),BO9)</f>
        <v>1585.94757758575</v>
      </c>
      <c r="BQ9" s="20" t="n">
        <f aca="false">IF(BP9&gt;PR_BalDone,BP9+BP9*(D_iL)-MIN(F_LoanPayM,BP9+BP9*(D_iL)),BP9)</f>
        <v>1496.15161205283</v>
      </c>
      <c r="BR9" s="20" t="n">
        <f aca="false">IF(BE9&gt;PR_BalDone,MIN(F_LoanPayM,BE9+BE9*(D_iL)),0)</f>
        <v>100</v>
      </c>
      <c r="BS9" s="20" t="n">
        <f aca="false">IF(BF9&gt;PR_BalDone,MIN(F_LoanPayM,BF9+BF9*(D_iL)),0)</f>
        <v>100</v>
      </c>
      <c r="BT9" s="20" t="n">
        <f aca="false">IF(BG9&gt;PR_BalDone,MIN(F_LoanPayM,BG9+BG9*(D_iL)),0)</f>
        <v>100</v>
      </c>
      <c r="BU9" s="20" t="n">
        <f aca="false">IF(BH9&gt;PR_BalDone,MIN(F_LoanPayM,BH9+BH9*(D_iL)),0)</f>
        <v>100</v>
      </c>
      <c r="BV9" s="20" t="n">
        <f aca="false">IF(BI9&gt;PR_BalDone,MIN(F_LoanPayM,BI9+BI9*(D_iL)),0)</f>
        <v>100</v>
      </c>
      <c r="BW9" s="20" t="n">
        <f aca="false">IF(BJ9&gt;PR_BalDone,MIN(F_LoanPayM,BJ9+BJ9*(D_iL)),0)</f>
        <v>100</v>
      </c>
      <c r="BX9" s="20" t="n">
        <f aca="false">IF(BK9&gt;PR_BalDone,MIN(F_LoanPayM,BK9+BK9*(D_iL)),0)</f>
        <v>100</v>
      </c>
      <c r="BY9" s="20" t="n">
        <f aca="false">IF(BL9&gt;PR_BalDone,MIN(F_LoanPayM,BL9+BL9*(D_iL)),0)</f>
        <v>100</v>
      </c>
      <c r="BZ9" s="20" t="n">
        <f aca="false">IF(BM9&gt;PR_BalDone,MIN(F_LoanPayM,BM9+BM9*(D_iL)),0)</f>
        <v>100</v>
      </c>
      <c r="CA9" s="20" t="n">
        <f aca="false">IF(BN9&gt;PR_BalDone,MIN(F_LoanPayM,BN9+BN9*(D_iL)),0)</f>
        <v>100</v>
      </c>
      <c r="CB9" s="20" t="n">
        <f aca="false">IF(BO9&gt;PR_BalDone,MIN(F_LoanPayM,BO9+BO9*(D_iL)),0)</f>
        <v>100</v>
      </c>
      <c r="CC9" s="20" t="n">
        <f aca="false">IF(BP9&gt;PR_BalDone,MIN(F_LoanPayM,BP9+BP9*(D_iL)),0)</f>
        <v>100</v>
      </c>
      <c r="CD9" s="20" t="n">
        <f aca="false">MAX(0,BQ9)</f>
        <v>1496.15161205283</v>
      </c>
      <c r="CE9" s="20" t="n">
        <f aca="false">SUM(BR9:CC9)</f>
        <v>1200</v>
      </c>
      <c r="CF9" s="20" t="n">
        <f aca="false">IF(CF8&gt;1,DE8,CF8)</f>
        <v>197269.770715164</v>
      </c>
      <c r="CG9" s="20" t="n">
        <f aca="false">IF(CF9&gt;PR_BalDone,CF9+CF9*(F_MR/12)-MIN(F_MortPayM,CF9+CF9*(F_MR/12)),CF9)</f>
        <v>196722.677896209</v>
      </c>
      <c r="CH9" s="20" t="n">
        <f aca="false">IF(CG9&gt;PR_BalDone,CG9+CG9*(F_MR/12)-MIN(F_MortPayM,CG9+CG9*(F_MR/12)),CG9)</f>
        <v>196173.829821126</v>
      </c>
      <c r="CI9" s="20" t="n">
        <f aca="false">IF(CH9&gt;PR_BalDone,CH9+CH9*(F_MR/12)-MIN(F_MortPayM,CH9+CH9*(F_MR/12)),CH9)</f>
        <v>195623.220858469</v>
      </c>
      <c r="CJ9" s="20" t="n">
        <f aca="false">IF(CI9&gt;PR_BalDone,CI9+CI9*(F_MR/12)-MIN(F_MortPayM,CI9+CI9*(F_MR/12)),CI9)</f>
        <v>195070.845358723</v>
      </c>
      <c r="CK9" s="20" t="n">
        <f aca="false">IF(CJ9&gt;PR_BalDone,CJ9+CJ9*(F_MR/12)-MIN(F_MortPayM,CJ9+CJ9*(F_MR/12)),CJ9)</f>
        <v>194516.697654249</v>
      </c>
      <c r="CL9" s="20" t="n">
        <f aca="false">IF(CK9&gt;PR_BalDone,CK9+CK9*(F_MR/12)-MIN(F_MortPayM,CK9+CK9*(F_MR/12)),CK9)</f>
        <v>193960.772059223</v>
      </c>
      <c r="CM9" s="20" t="n">
        <f aca="false">IF(CL9&gt;PR_BalDone,CL9+CL9*(F_MR/12)-MIN(F_MortPayM,CL9+CL9*(F_MR/12)),CL9)</f>
        <v>193403.06286958</v>
      </c>
      <c r="CN9" s="20" t="n">
        <f aca="false">IF(CM9&gt;PR_BalDone,CM9+CM9*(F_MR/12)-MIN(F_MortPayM,CM9+CM9*(F_MR/12)),CM9)</f>
        <v>192843.564362953</v>
      </c>
      <c r="CO9" s="20" t="n">
        <f aca="false">IF(CN9&gt;PR_BalDone,CN9+CN9*(F_MR/12)-MIN(F_MortPayM,CN9+CN9*(F_MR/12)),CN9)</f>
        <v>192282.270798617</v>
      </c>
      <c r="CP9" s="20" t="n">
        <f aca="false">IF(CO9&gt;PR_BalDone,CO9+CO9*(F_MR/12)-MIN(F_MortPayM,CO9+CO9*(F_MR/12)),CO9)</f>
        <v>191719.176417429</v>
      </c>
      <c r="CQ9" s="20" t="n">
        <f aca="false">IF(CP9&gt;PR_BalDone,CP9+CP9*(F_MR/12)-MIN(F_MortPayM,CP9+CP9*(F_MR/12)),CP9)</f>
        <v>191154.275441769</v>
      </c>
      <c r="CR9" s="20" t="n">
        <f aca="false">IF(CQ9&gt;PR_BalDone,CQ9+CQ9*(F_MR/12)-MIN(F_MortPayM,CQ9+CQ9*(F_MR/12)),CQ9)</f>
        <v>190587.562075478</v>
      </c>
      <c r="CS9" s="20" t="n">
        <f aca="false">IF(CF9&gt;PR_BalDone,MIN(F_MortPayM,CF9+CF9*(F_MR/12)),0)</f>
        <v>1180</v>
      </c>
      <c r="CT9" s="20" t="n">
        <f aca="false">IF(CG9&gt;PR_BalDone,MIN(F_MortPayM,CG9+CG9*(F_MR/12)),0)</f>
        <v>1180</v>
      </c>
      <c r="CU9" s="20" t="n">
        <f aca="false">IF(CH9&gt;PR_BalDone,MIN(F_MortPayM,CH9+CH9*(F_MR/12)),0)</f>
        <v>1180</v>
      </c>
      <c r="CV9" s="20" t="n">
        <f aca="false">IF(CI9&gt;PR_BalDone,MIN(F_MortPayM,CI9+CI9*(F_MR/12)),0)</f>
        <v>1180</v>
      </c>
      <c r="CW9" s="20" t="n">
        <f aca="false">IF(CJ9&gt;PR_BalDone,MIN(F_MortPayM,CJ9+CJ9*(F_MR/12)),0)</f>
        <v>1180</v>
      </c>
      <c r="CX9" s="20" t="n">
        <f aca="false">IF(CK9&gt;PR_BalDone,MIN(F_MortPayM,CK9+CK9*(F_MR/12)),0)</f>
        <v>1180</v>
      </c>
      <c r="CY9" s="20" t="n">
        <f aca="false">IF(CL9&gt;PR_BalDone,MIN(F_MortPayM,CL9+CL9*(F_MR/12)),0)</f>
        <v>1180</v>
      </c>
      <c r="CZ9" s="20" t="n">
        <f aca="false">IF(CM9&gt;PR_BalDone,MIN(F_MortPayM,CM9+CM9*(F_MR/12)),0)</f>
        <v>1180</v>
      </c>
      <c r="DA9" s="20" t="n">
        <f aca="false">IF(CN9&gt;PR_BalDone,MIN(F_MortPayM,CN9+CN9*(F_MR/12)),0)</f>
        <v>1180</v>
      </c>
      <c r="DB9" s="20" t="n">
        <f aca="false">IF(CO9&gt;PR_BalDone,MIN(F_MortPayM,CO9+CO9*(F_MR/12)),0)</f>
        <v>1180</v>
      </c>
      <c r="DC9" s="20" t="n">
        <f aca="false">IF(CP9&gt;PR_BalDone,MIN(F_MortPayM,CP9+CP9*(F_MR/12)),0)</f>
        <v>1180</v>
      </c>
      <c r="DD9" s="20" t="n">
        <f aca="false">IF(CQ9&gt;PR_BalDone,MIN(F_MortPayM,CQ9+CQ9*(F_MR/12)),0)</f>
        <v>1180</v>
      </c>
      <c r="DE9" s="20" t="n">
        <f aca="false">MAX(0,CR9)</f>
        <v>190587.562075478</v>
      </c>
      <c r="DF9" s="20" t="n">
        <f aca="false">SUM(CS9:DD9)</f>
        <v>14160</v>
      </c>
      <c r="DG9" s="20" t="n">
        <f aca="false">MAX(0,CF9)</f>
        <v>197269.770715164</v>
      </c>
    </row>
    <row r="10" customFormat="false" ht="15" hidden="false" customHeight="true" outlineLevel="0" collapsed="false">
      <c r="B10" s="20" t="n">
        <v>2</v>
      </c>
      <c r="C10" s="20" t="n">
        <f aca="false">'Plan cashflow'!J10</f>
        <v>190587.562075478</v>
      </c>
      <c r="D10" s="20" t="n">
        <f aca="false">IF(C10&gt;PR_BalDone,C10+C10*(F_MR/12)-MIN(F_MortPayM,C10+C10*(F_MR/12)),C10)</f>
        <v>190019.030503803</v>
      </c>
      <c r="E10" s="20" t="n">
        <f aca="false">IF(D10&gt;PR_BalDone,D10+D10*(F_MR/12)-MIN(F_MortPayM,D10+D10*(F_MR/12)),D10)</f>
        <v>189448.674893336</v>
      </c>
      <c r="F10" s="20" t="n">
        <f aca="false">IF(E10&gt;PR_BalDone,E10+E10*(F_MR/12)-MIN(F_MortPayM,E10+E10*(F_MR/12)),E10)</f>
        <v>188876.489391952</v>
      </c>
      <c r="G10" s="20" t="n">
        <f aca="false">IF(F10&gt;PR_BalDone,F10+F10*(F_MR/12)-MIN(F_MortPayM,F10+F10*(F_MR/12)),F10)</f>
        <v>188302.468128752</v>
      </c>
      <c r="H10" s="20" t="n">
        <f aca="false">IF(G10&gt;PR_BalDone,G10+G10*(F_MR/12)-MIN(F_MortPayM,G10+G10*(F_MR/12)),G10)</f>
        <v>187726.605213998</v>
      </c>
      <c r="I10" s="20" t="n">
        <f aca="false">IF(H10&gt;PR_BalDone,H10+H10*(F_MR/12)-MIN(F_MortPayM,H10+H10*(F_MR/12)),H10)</f>
        <v>187148.89473906</v>
      </c>
      <c r="J10" s="20" t="n">
        <f aca="false">IF(I10&gt;PR_BalDone,I10+I10*(F_MR/12)-MIN(F_MortPayM,I10+I10*(F_MR/12)),I10)</f>
        <v>186569.330776347</v>
      </c>
      <c r="K10" s="20" t="n">
        <f aca="false">IF(J10&gt;PR_BalDone,J10+J10*(F_MR/12)-MIN(F_MortPayM,J10+J10*(F_MR/12)),J10)</f>
        <v>185987.907379255</v>
      </c>
      <c r="L10" s="20" t="n">
        <f aca="false">IF(K10&gt;PR_BalDone,K10+K10*(F_MR/12)-MIN(F_MortPayM,K10+K10*(F_MR/12)),K10)</f>
        <v>185404.618582097</v>
      </c>
      <c r="M10" s="20" t="n">
        <f aca="false">IF(L10&gt;PR_BalDone,L10+L10*(F_MR/12)-MIN(F_MortPayM,L10+L10*(F_MR/12)),L10)</f>
        <v>184819.458400047</v>
      </c>
      <c r="N10" s="20" t="n">
        <f aca="false">IF(M10&gt;PR_BalDone,M10+M10*(F_MR/12)-MIN(F_MortPayM,M10+M10*(F_MR/12)),M10)</f>
        <v>184232.420829081</v>
      </c>
      <c r="O10" s="20" t="n">
        <f aca="false">IF(N10&gt;PR_BalDone,N10+N10*(F_MR/12)-MIN(F_MortPayM,N10+N10*(F_MR/12)),N10)</f>
        <v>183643.499845908</v>
      </c>
      <c r="P10" s="20" t="n">
        <f aca="false">IF(C10&gt;PR_BalDone,MIN(F_MortPayM,C10+C10*(F_MR/12)),0)</f>
        <v>1180</v>
      </c>
      <c r="Q10" s="20" t="n">
        <f aca="false">IF(D10&gt;PR_BalDone,MIN(F_MortPayM,D10+D10*(F_MR/12)),0)</f>
        <v>1180</v>
      </c>
      <c r="R10" s="20" t="n">
        <f aca="false">IF(E10&gt;PR_BalDone,MIN(F_MortPayM,E10+E10*(F_MR/12)),0)</f>
        <v>1180</v>
      </c>
      <c r="S10" s="20" t="n">
        <f aca="false">IF(F10&gt;PR_BalDone,MIN(F_MortPayM,F10+F10*(F_MR/12)),0)</f>
        <v>1180</v>
      </c>
      <c r="T10" s="20" t="n">
        <f aca="false">IF(G10&gt;PR_BalDone,MIN(F_MortPayM,G10+G10*(F_MR/12)),0)</f>
        <v>1180</v>
      </c>
      <c r="U10" s="20" t="n">
        <f aca="false">IF(H10&gt;PR_BalDone,MIN(F_MortPayM,H10+H10*(F_MR/12)),0)</f>
        <v>1180</v>
      </c>
      <c r="V10" s="20" t="n">
        <f aca="false">IF(I10&gt;PR_BalDone,MIN(F_MortPayM,I10+I10*(F_MR/12)),0)</f>
        <v>1180</v>
      </c>
      <c r="W10" s="20" t="n">
        <f aca="false">IF(J10&gt;PR_BalDone,MIN(F_MortPayM,J10+J10*(F_MR/12)),0)</f>
        <v>1180</v>
      </c>
      <c r="X10" s="20" t="n">
        <f aca="false">IF(K10&gt;PR_BalDone,MIN(F_MortPayM,K10+K10*(F_MR/12)),0)</f>
        <v>1180</v>
      </c>
      <c r="Y10" s="20" t="n">
        <f aca="false">IF(L10&gt;PR_BalDone,MIN(F_MortPayM,L10+L10*(F_MR/12)),0)</f>
        <v>1180</v>
      </c>
      <c r="Z10" s="20" t="n">
        <f aca="false">IF(M10&gt;PR_BalDone,MIN(F_MortPayM,M10+M10*(F_MR/12)),0)</f>
        <v>1180</v>
      </c>
      <c r="AA10" s="20" t="n">
        <f aca="false">IF(N10&gt;PR_BalDone,MIN(F_MortPayM,N10+N10*(F_MR/12)),0)</f>
        <v>1180</v>
      </c>
      <c r="AB10" s="20" t="n">
        <f aca="false">MAX(0,O10)</f>
        <v>183643.499845908</v>
      </c>
      <c r="AC10" s="20" t="n">
        <f aca="false">SUM(P10:AA10)</f>
        <v>14160</v>
      </c>
      <c r="AD10" s="20" t="n">
        <f aca="false">'Plan cashflow'!M10</f>
        <v>0</v>
      </c>
      <c r="AE10" s="20" t="n">
        <f aca="false">IF(AD10&gt;PR_BalDone,AD10+AD10*(D_iC)-MIN(F_CardPayM,AD10+AD10*(D_iC)),AD10)</f>
        <v>0</v>
      </c>
      <c r="AF10" s="20" t="n">
        <f aca="false">IF(AE10&gt;PR_BalDone,AE10+AE10*(D_iC)-MIN(F_CardPayM,AE10+AE10*(D_iC)),AE10)</f>
        <v>0</v>
      </c>
      <c r="AG10" s="20" t="n">
        <f aca="false">IF(AF10&gt;PR_BalDone,AF10+AF10*(D_iC)-MIN(F_CardPayM,AF10+AF10*(D_iC)),AF10)</f>
        <v>0</v>
      </c>
      <c r="AH10" s="20" t="n">
        <f aca="false">IF(AG10&gt;PR_BalDone,AG10+AG10*(D_iC)-MIN(F_CardPayM,AG10+AG10*(D_iC)),AG10)</f>
        <v>0</v>
      </c>
      <c r="AI10" s="20" t="n">
        <f aca="false">IF(AH10&gt;PR_BalDone,AH10+AH10*(D_iC)-MIN(F_CardPayM,AH10+AH10*(D_iC)),AH10)</f>
        <v>0</v>
      </c>
      <c r="AJ10" s="20" t="n">
        <f aca="false">IF(AI10&gt;PR_BalDone,AI10+AI10*(D_iC)-MIN(F_CardPayM,AI10+AI10*(D_iC)),AI10)</f>
        <v>0</v>
      </c>
      <c r="AK10" s="20" t="n">
        <f aca="false">IF(AJ10&gt;PR_BalDone,AJ10+AJ10*(D_iC)-MIN(F_CardPayM,AJ10+AJ10*(D_iC)),AJ10)</f>
        <v>0</v>
      </c>
      <c r="AL10" s="20" t="n">
        <f aca="false">IF(AK10&gt;PR_BalDone,AK10+AK10*(D_iC)-MIN(F_CardPayM,AK10+AK10*(D_iC)),AK10)</f>
        <v>0</v>
      </c>
      <c r="AM10" s="20" t="n">
        <f aca="false">IF(AL10&gt;PR_BalDone,AL10+AL10*(D_iC)-MIN(F_CardPayM,AL10+AL10*(D_iC)),AL10)</f>
        <v>0</v>
      </c>
      <c r="AN10" s="20" t="n">
        <f aca="false">IF(AM10&gt;PR_BalDone,AM10+AM10*(D_iC)-MIN(F_CardPayM,AM10+AM10*(D_iC)),AM10)</f>
        <v>0</v>
      </c>
      <c r="AO10" s="20" t="n">
        <f aca="false">IF(AN10&gt;PR_BalDone,AN10+AN10*(D_iC)-MIN(F_CardPayM,AN10+AN10*(D_iC)),AN10)</f>
        <v>0</v>
      </c>
      <c r="AP10" s="20" t="n">
        <f aca="false">IF(AO10&gt;PR_BalDone,AO10+AO10*(D_iC)-MIN(F_CardPayM,AO10+AO10*(D_iC)),AO10)</f>
        <v>0</v>
      </c>
      <c r="AQ10" s="20" t="n">
        <f aca="false">IF(AD10&gt;PR_BalDone,MIN(F_CardPayM,AD10+AD10*(D_iC)),0)</f>
        <v>0</v>
      </c>
      <c r="AR10" s="20" t="n">
        <f aca="false">IF(AE10&gt;PR_BalDone,MIN(F_CardPayM,AE10+AE10*(D_iC)),0)</f>
        <v>0</v>
      </c>
      <c r="AS10" s="20" t="n">
        <f aca="false">IF(AF10&gt;PR_BalDone,MIN(F_CardPayM,AF10+AF10*(D_iC)),0)</f>
        <v>0</v>
      </c>
      <c r="AT10" s="20" t="n">
        <f aca="false">IF(AG10&gt;PR_BalDone,MIN(F_CardPayM,AG10+AG10*(D_iC)),0)</f>
        <v>0</v>
      </c>
      <c r="AU10" s="20" t="n">
        <f aca="false">IF(AH10&gt;PR_BalDone,MIN(F_CardPayM,AH10+AH10*(D_iC)),0)</f>
        <v>0</v>
      </c>
      <c r="AV10" s="20" t="n">
        <f aca="false">IF(AI10&gt;PR_BalDone,MIN(F_CardPayM,AI10+AI10*(D_iC)),0)</f>
        <v>0</v>
      </c>
      <c r="AW10" s="20" t="n">
        <f aca="false">IF(AJ10&gt;PR_BalDone,MIN(F_CardPayM,AJ10+AJ10*(D_iC)),0)</f>
        <v>0</v>
      </c>
      <c r="AX10" s="20" t="n">
        <f aca="false">IF(AK10&gt;PR_BalDone,MIN(F_CardPayM,AK10+AK10*(D_iC)),0)</f>
        <v>0</v>
      </c>
      <c r="AY10" s="20" t="n">
        <f aca="false">IF(AL10&gt;PR_BalDone,MIN(F_CardPayM,AL10+AL10*(D_iC)),0)</f>
        <v>0</v>
      </c>
      <c r="AZ10" s="20" t="n">
        <f aca="false">IF(AM10&gt;PR_BalDone,MIN(F_CardPayM,AM10+AM10*(D_iC)),0)</f>
        <v>0</v>
      </c>
      <c r="BA10" s="20" t="n">
        <f aca="false">IF(AN10&gt;PR_BalDone,MIN(F_CardPayM,AN10+AN10*(D_iC)),0)</f>
        <v>0</v>
      </c>
      <c r="BB10" s="20" t="n">
        <f aca="false">IF(AO10&gt;PR_BalDone,MIN(F_CardPayM,AO10+AO10*(D_iC)),0)</f>
        <v>0</v>
      </c>
      <c r="BC10" s="20" t="n">
        <f aca="false">MAX(0,AP10)</f>
        <v>0</v>
      </c>
      <c r="BD10" s="20" t="n">
        <f aca="false">SUM(AQ10:BB10)</f>
        <v>0</v>
      </c>
      <c r="BE10" s="20" t="n">
        <f aca="false">'Plan cashflow'!P10</f>
        <v>1496.15161205283</v>
      </c>
      <c r="BF10" s="20" t="n">
        <f aca="false">IF(BE10&gt;PR_BalDone,BE10+BE10*(D_iL)-MIN(F_LoanPayM,BE10+BE10*(D_iL)),BE10)</f>
        <v>1405.7778965739</v>
      </c>
      <c r="BG10" s="20" t="n">
        <f aca="false">IF(BF10&gt;PR_BalDone,BF10+BF10*(D_iL)-MIN(F_LoanPayM,BF10+BF10*(D_iL)),BF10)</f>
        <v>1314.82271388844</v>
      </c>
      <c r="BH10" s="20" t="n">
        <f aca="false">IF(BG10&gt;PR_BalDone,BG10+BG10*(D_iL)-MIN(F_LoanPayM,BG10+BG10*(D_iL)),BG10)</f>
        <v>1223.28232281891</v>
      </c>
      <c r="BI10" s="20" t="n">
        <f aca="false">IF(BH10&gt;PR_BalDone,BH10+BH10*(D_iL)-MIN(F_LoanPayM,BH10+BH10*(D_iL)),BH10)</f>
        <v>1131.15295811697</v>
      </c>
      <c r="BJ10" s="20" t="n">
        <f aca="false">IF(BI10&gt;PR_BalDone,BI10+BI10*(D_iL)-MIN(F_LoanPayM,BI10+BI10*(D_iL)),BI10)</f>
        <v>1038.43083030851</v>
      </c>
      <c r="BK10" s="20" t="n">
        <f aca="false">IF(BJ10&gt;PR_BalDone,BJ10+BJ10*(D_iL)-MIN(F_LoanPayM,BJ10+BJ10*(D_iL)),BJ10)</f>
        <v>945.11212553787</v>
      </c>
      <c r="BL10" s="20" t="n">
        <f aca="false">IF(BK10&gt;PR_BalDone,BK10+BK10*(D_iL)-MIN(F_LoanPayM,BK10+BK10*(D_iL)),BK10)</f>
        <v>851.19300541091</v>
      </c>
      <c r="BM10" s="20" t="n">
        <f aca="false">IF(BL10&gt;PR_BalDone,BL10+BL10*(D_iL)-MIN(F_LoanPayM,BL10+BL10*(D_iL)),BL10)</f>
        <v>756.669606837148</v>
      </c>
      <c r="BN10" s="20" t="n">
        <f aca="false">IF(BM10&gt;PR_BalDone,BM10+BM10*(D_iL)-MIN(F_LoanPayM,BM10+BM10*(D_iL)),BM10)</f>
        <v>661.538041870863</v>
      </c>
      <c r="BO10" s="20" t="n">
        <f aca="false">IF(BN10&gt;PR_BalDone,BN10+BN10*(D_iL)-MIN(F_LoanPayM,BN10+BN10*(D_iL)),BN10)</f>
        <v>565.794397551172</v>
      </c>
      <c r="BP10" s="20" t="n">
        <f aca="false">IF(BO10&gt;PR_BalDone,BO10+BO10*(D_iL)-MIN(F_LoanPayM,BO10+BO10*(D_iL)),BO10)</f>
        <v>469.434735741088</v>
      </c>
      <c r="BQ10" s="20" t="n">
        <f aca="false">IF(BP10&gt;PR_BalDone,BP10+BP10*(D_iL)-MIN(F_LoanPayM,BP10+BP10*(D_iL)),BP10)</f>
        <v>372.455092965528</v>
      </c>
      <c r="BR10" s="20" t="n">
        <f aca="false">IF(BE10&gt;PR_BalDone,MIN(F_LoanPayM,BE10+BE10*(D_iL)),0)</f>
        <v>100</v>
      </c>
      <c r="BS10" s="20" t="n">
        <f aca="false">IF(BF10&gt;PR_BalDone,MIN(F_LoanPayM,BF10+BF10*(D_iL)),0)</f>
        <v>100</v>
      </c>
      <c r="BT10" s="20" t="n">
        <f aca="false">IF(BG10&gt;PR_BalDone,MIN(F_LoanPayM,BG10+BG10*(D_iL)),0)</f>
        <v>100</v>
      </c>
      <c r="BU10" s="20" t="n">
        <f aca="false">IF(BH10&gt;PR_BalDone,MIN(F_LoanPayM,BH10+BH10*(D_iL)),0)</f>
        <v>100</v>
      </c>
      <c r="BV10" s="20" t="n">
        <f aca="false">IF(BI10&gt;PR_BalDone,MIN(F_LoanPayM,BI10+BI10*(D_iL)),0)</f>
        <v>100</v>
      </c>
      <c r="BW10" s="20" t="n">
        <f aca="false">IF(BJ10&gt;PR_BalDone,MIN(F_LoanPayM,BJ10+BJ10*(D_iL)),0)</f>
        <v>100</v>
      </c>
      <c r="BX10" s="20" t="n">
        <f aca="false">IF(BK10&gt;PR_BalDone,MIN(F_LoanPayM,BK10+BK10*(D_iL)),0)</f>
        <v>100</v>
      </c>
      <c r="BY10" s="20" t="n">
        <f aca="false">IF(BL10&gt;PR_BalDone,MIN(F_LoanPayM,BL10+BL10*(D_iL)),0)</f>
        <v>100</v>
      </c>
      <c r="BZ10" s="20" t="n">
        <f aca="false">IF(BM10&gt;PR_BalDone,MIN(F_LoanPayM,BM10+BM10*(D_iL)),0)</f>
        <v>100</v>
      </c>
      <c r="CA10" s="20" t="n">
        <f aca="false">IF(BN10&gt;PR_BalDone,MIN(F_LoanPayM,BN10+BN10*(D_iL)),0)</f>
        <v>100</v>
      </c>
      <c r="CB10" s="20" t="n">
        <f aca="false">IF(BO10&gt;PR_BalDone,MIN(F_LoanPayM,BO10+BO10*(D_iL)),0)</f>
        <v>100</v>
      </c>
      <c r="CC10" s="20" t="n">
        <f aca="false">IF(BP10&gt;PR_BalDone,MIN(F_LoanPayM,BP10+BP10*(D_iL)),0)</f>
        <v>100</v>
      </c>
      <c r="CD10" s="20" t="n">
        <f aca="false">MAX(0,BQ10)</f>
        <v>372.455092965528</v>
      </c>
      <c r="CE10" s="20" t="n">
        <f aca="false">SUM(BR10:CC10)</f>
        <v>1200</v>
      </c>
      <c r="CF10" s="20" t="n">
        <f aca="false">IF(CF9&gt;1,DE9,CF9)</f>
        <v>190587.562075478</v>
      </c>
      <c r="CG10" s="20" t="n">
        <f aca="false">IF(CF10&gt;PR_BalDone,CF10+CF10*(F_MR/12)-MIN(F_MortPayM,CF10+CF10*(F_MR/12)),CF10)</f>
        <v>190019.030503803</v>
      </c>
      <c r="CH10" s="20" t="n">
        <f aca="false">IF(CG10&gt;PR_BalDone,CG10+CG10*(F_MR/12)-MIN(F_MortPayM,CG10+CG10*(F_MR/12)),CG10)</f>
        <v>189448.674893336</v>
      </c>
      <c r="CI10" s="20" t="n">
        <f aca="false">IF(CH10&gt;PR_BalDone,CH10+CH10*(F_MR/12)-MIN(F_MortPayM,CH10+CH10*(F_MR/12)),CH10)</f>
        <v>188876.489391952</v>
      </c>
      <c r="CJ10" s="20" t="n">
        <f aca="false">IF(CI10&gt;PR_BalDone,CI10+CI10*(F_MR/12)-MIN(F_MortPayM,CI10+CI10*(F_MR/12)),CI10)</f>
        <v>188302.468128752</v>
      </c>
      <c r="CK10" s="20" t="n">
        <f aca="false">IF(CJ10&gt;PR_BalDone,CJ10+CJ10*(F_MR/12)-MIN(F_MortPayM,CJ10+CJ10*(F_MR/12)),CJ10)</f>
        <v>187726.605213998</v>
      </c>
      <c r="CL10" s="20" t="n">
        <f aca="false">IF(CK10&gt;PR_BalDone,CK10+CK10*(F_MR/12)-MIN(F_MortPayM,CK10+CK10*(F_MR/12)),CK10)</f>
        <v>187148.89473906</v>
      </c>
      <c r="CM10" s="20" t="n">
        <f aca="false">IF(CL10&gt;PR_BalDone,CL10+CL10*(F_MR/12)-MIN(F_MortPayM,CL10+CL10*(F_MR/12)),CL10)</f>
        <v>186569.330776347</v>
      </c>
      <c r="CN10" s="20" t="n">
        <f aca="false">IF(CM10&gt;PR_BalDone,CM10+CM10*(F_MR/12)-MIN(F_MortPayM,CM10+CM10*(F_MR/12)),CM10)</f>
        <v>185987.907379255</v>
      </c>
      <c r="CO10" s="20" t="n">
        <f aca="false">IF(CN10&gt;PR_BalDone,CN10+CN10*(F_MR/12)-MIN(F_MortPayM,CN10+CN10*(F_MR/12)),CN10)</f>
        <v>185404.618582097</v>
      </c>
      <c r="CP10" s="20" t="n">
        <f aca="false">IF(CO10&gt;PR_BalDone,CO10+CO10*(F_MR/12)-MIN(F_MortPayM,CO10+CO10*(F_MR/12)),CO10)</f>
        <v>184819.458400047</v>
      </c>
      <c r="CQ10" s="20" t="n">
        <f aca="false">IF(CP10&gt;PR_BalDone,CP10+CP10*(F_MR/12)-MIN(F_MortPayM,CP10+CP10*(F_MR/12)),CP10)</f>
        <v>184232.420829081</v>
      </c>
      <c r="CR10" s="20" t="n">
        <f aca="false">IF(CQ10&gt;PR_BalDone,CQ10+CQ10*(F_MR/12)-MIN(F_MortPayM,CQ10+CQ10*(F_MR/12)),CQ10)</f>
        <v>183643.499845908</v>
      </c>
      <c r="CS10" s="20" t="n">
        <f aca="false">IF(CF10&gt;PR_BalDone,MIN(F_MortPayM,CF10+CF10*(F_MR/12)),0)</f>
        <v>1180</v>
      </c>
      <c r="CT10" s="20" t="n">
        <f aca="false">IF(CG10&gt;PR_BalDone,MIN(F_MortPayM,CG10+CG10*(F_MR/12)),0)</f>
        <v>1180</v>
      </c>
      <c r="CU10" s="20" t="n">
        <f aca="false">IF(CH10&gt;PR_BalDone,MIN(F_MortPayM,CH10+CH10*(F_MR/12)),0)</f>
        <v>1180</v>
      </c>
      <c r="CV10" s="20" t="n">
        <f aca="false">IF(CI10&gt;PR_BalDone,MIN(F_MortPayM,CI10+CI10*(F_MR/12)),0)</f>
        <v>1180</v>
      </c>
      <c r="CW10" s="20" t="n">
        <f aca="false">IF(CJ10&gt;PR_BalDone,MIN(F_MortPayM,CJ10+CJ10*(F_MR/12)),0)</f>
        <v>1180</v>
      </c>
      <c r="CX10" s="20" t="n">
        <f aca="false">IF(CK10&gt;PR_BalDone,MIN(F_MortPayM,CK10+CK10*(F_MR/12)),0)</f>
        <v>1180</v>
      </c>
      <c r="CY10" s="20" t="n">
        <f aca="false">IF(CL10&gt;PR_BalDone,MIN(F_MortPayM,CL10+CL10*(F_MR/12)),0)</f>
        <v>1180</v>
      </c>
      <c r="CZ10" s="20" t="n">
        <f aca="false">IF(CM10&gt;PR_BalDone,MIN(F_MortPayM,CM10+CM10*(F_MR/12)),0)</f>
        <v>1180</v>
      </c>
      <c r="DA10" s="20" t="n">
        <f aca="false">IF(CN10&gt;PR_BalDone,MIN(F_MortPayM,CN10+CN10*(F_MR/12)),0)</f>
        <v>1180</v>
      </c>
      <c r="DB10" s="20" t="n">
        <f aca="false">IF(CO10&gt;PR_BalDone,MIN(F_MortPayM,CO10+CO10*(F_MR/12)),0)</f>
        <v>1180</v>
      </c>
      <c r="DC10" s="20" t="n">
        <f aca="false">IF(CP10&gt;PR_BalDone,MIN(F_MortPayM,CP10+CP10*(F_MR/12)),0)</f>
        <v>1180</v>
      </c>
      <c r="DD10" s="20" t="n">
        <f aca="false">IF(CQ10&gt;PR_BalDone,MIN(F_MortPayM,CQ10+CQ10*(F_MR/12)),0)</f>
        <v>1180</v>
      </c>
      <c r="DE10" s="20" t="n">
        <f aca="false">MAX(0,CR10)</f>
        <v>183643.499845908</v>
      </c>
      <c r="DF10" s="20" t="n">
        <f aca="false">SUM(CS10:DD10)</f>
        <v>14160</v>
      </c>
      <c r="DG10" s="20" t="n">
        <f aca="false">MAX(0,CF10)</f>
        <v>190587.562075478</v>
      </c>
    </row>
    <row r="11" customFormat="false" ht="15" hidden="false" customHeight="true" outlineLevel="0" collapsed="false">
      <c r="B11" s="20" t="n">
        <v>3</v>
      </c>
      <c r="C11" s="20" t="n">
        <f aca="false">'Plan cashflow'!J11</f>
        <v>183643.499845908</v>
      </c>
      <c r="D11" s="20" t="n">
        <f aca="false">IF(C11&gt;PR_BalDone,C11+C11*(F_MR/12)-MIN(F_MortPayM,C11+C11*(F_MR/12)),C11)</f>
        <v>183052.689407913</v>
      </c>
      <c r="E11" s="20" t="n">
        <f aca="false">IF(D11&gt;PR_BalDone,D11+D11*(F_MR/12)-MIN(F_MortPayM,D11+D11*(F_MR/12)),D11)</f>
        <v>182459.983453097</v>
      </c>
      <c r="F11" s="20" t="n">
        <f aca="false">IF(E11&gt;PR_BalDone,E11+E11*(F_MR/12)-MIN(F_MortPayM,E11+E11*(F_MR/12)),E11)</f>
        <v>181865.375900009</v>
      </c>
      <c r="G11" s="20" t="n">
        <f aca="false">IF(F11&gt;PR_BalDone,F11+F11*(F_MR/12)-MIN(F_MortPayM,F11+F11*(F_MR/12)),F11)</f>
        <v>181268.860647688</v>
      </c>
      <c r="H11" s="20" t="n">
        <f aca="false">IF(G11&gt;PR_BalDone,G11+G11*(F_MR/12)-MIN(F_MortPayM,G11+G11*(F_MR/12)),G11)</f>
        <v>180670.431575599</v>
      </c>
      <c r="I11" s="20" t="n">
        <f aca="false">IF(H11&gt;PR_BalDone,H11+H11*(F_MR/12)-MIN(F_MortPayM,H11+H11*(F_MR/12)),H11)</f>
        <v>180070.082543571</v>
      </c>
      <c r="J11" s="20" t="n">
        <f aca="false">IF(I11&gt;PR_BalDone,I11+I11*(F_MR/12)-MIN(F_MortPayM,I11+I11*(F_MR/12)),I11)</f>
        <v>179467.807391732</v>
      </c>
      <c r="K11" s="20" t="n">
        <f aca="false">IF(J11&gt;PR_BalDone,J11+J11*(F_MR/12)-MIN(F_MortPayM,J11+J11*(F_MR/12)),J11)</f>
        <v>178863.599940447</v>
      </c>
      <c r="L11" s="20" t="n">
        <f aca="false">IF(K11&gt;PR_BalDone,K11+K11*(F_MR/12)-MIN(F_MortPayM,K11+K11*(F_MR/12)),K11)</f>
        <v>178257.453990256</v>
      </c>
      <c r="M11" s="20" t="n">
        <f aca="false">IF(L11&gt;PR_BalDone,L11+L11*(F_MR/12)-MIN(F_MortPayM,L11+L11*(F_MR/12)),L11)</f>
        <v>177649.363321808</v>
      </c>
      <c r="N11" s="20" t="n">
        <f aca="false">IF(M11&gt;PR_BalDone,M11+M11*(F_MR/12)-MIN(F_MortPayM,M11+M11*(F_MR/12)),M11)</f>
        <v>177039.321695799</v>
      </c>
      <c r="O11" s="20" t="n">
        <f aca="false">IF(N11&gt;PR_BalDone,N11+N11*(F_MR/12)-MIN(F_MortPayM,N11+N11*(F_MR/12)),N11)</f>
        <v>176427.322852906</v>
      </c>
      <c r="P11" s="20" t="n">
        <f aca="false">IF(C11&gt;PR_BalDone,MIN(F_MortPayM,C11+C11*(F_MR/12)),0)</f>
        <v>1180</v>
      </c>
      <c r="Q11" s="20" t="n">
        <f aca="false">IF(D11&gt;PR_BalDone,MIN(F_MortPayM,D11+D11*(F_MR/12)),0)</f>
        <v>1180</v>
      </c>
      <c r="R11" s="20" t="n">
        <f aca="false">IF(E11&gt;PR_BalDone,MIN(F_MortPayM,E11+E11*(F_MR/12)),0)</f>
        <v>1180</v>
      </c>
      <c r="S11" s="20" t="n">
        <f aca="false">IF(F11&gt;PR_BalDone,MIN(F_MortPayM,F11+F11*(F_MR/12)),0)</f>
        <v>1180</v>
      </c>
      <c r="T11" s="20" t="n">
        <f aca="false">IF(G11&gt;PR_BalDone,MIN(F_MortPayM,G11+G11*(F_MR/12)),0)</f>
        <v>1180</v>
      </c>
      <c r="U11" s="20" t="n">
        <f aca="false">IF(H11&gt;PR_BalDone,MIN(F_MortPayM,H11+H11*(F_MR/12)),0)</f>
        <v>1180</v>
      </c>
      <c r="V11" s="20" t="n">
        <f aca="false">IF(I11&gt;PR_BalDone,MIN(F_MortPayM,I11+I11*(F_MR/12)),0)</f>
        <v>1180</v>
      </c>
      <c r="W11" s="20" t="n">
        <f aca="false">IF(J11&gt;PR_BalDone,MIN(F_MortPayM,J11+J11*(F_MR/12)),0)</f>
        <v>1180</v>
      </c>
      <c r="X11" s="20" t="n">
        <f aca="false">IF(K11&gt;PR_BalDone,MIN(F_MortPayM,K11+K11*(F_MR/12)),0)</f>
        <v>1180</v>
      </c>
      <c r="Y11" s="20" t="n">
        <f aca="false">IF(L11&gt;PR_BalDone,MIN(F_MortPayM,L11+L11*(F_MR/12)),0)</f>
        <v>1180</v>
      </c>
      <c r="Z11" s="20" t="n">
        <f aca="false">IF(M11&gt;PR_BalDone,MIN(F_MortPayM,M11+M11*(F_MR/12)),0)</f>
        <v>1180</v>
      </c>
      <c r="AA11" s="20" t="n">
        <f aca="false">IF(N11&gt;PR_BalDone,MIN(F_MortPayM,N11+N11*(F_MR/12)),0)</f>
        <v>1180</v>
      </c>
      <c r="AB11" s="20" t="n">
        <f aca="false">MAX(0,O11)</f>
        <v>176427.322852906</v>
      </c>
      <c r="AC11" s="20" t="n">
        <f aca="false">SUM(P11:AA11)</f>
        <v>14160</v>
      </c>
      <c r="AD11" s="20" t="n">
        <f aca="false">'Plan cashflow'!M11</f>
        <v>0</v>
      </c>
      <c r="AE11" s="20" t="n">
        <f aca="false">IF(AD11&gt;PR_BalDone,AD11+AD11*(D_iC)-MIN(F_CardPayM,AD11+AD11*(D_iC)),AD11)</f>
        <v>0</v>
      </c>
      <c r="AF11" s="20" t="n">
        <f aca="false">IF(AE11&gt;PR_BalDone,AE11+AE11*(D_iC)-MIN(F_CardPayM,AE11+AE11*(D_iC)),AE11)</f>
        <v>0</v>
      </c>
      <c r="AG11" s="20" t="n">
        <f aca="false">IF(AF11&gt;PR_BalDone,AF11+AF11*(D_iC)-MIN(F_CardPayM,AF11+AF11*(D_iC)),AF11)</f>
        <v>0</v>
      </c>
      <c r="AH11" s="20" t="n">
        <f aca="false">IF(AG11&gt;PR_BalDone,AG11+AG11*(D_iC)-MIN(F_CardPayM,AG11+AG11*(D_iC)),AG11)</f>
        <v>0</v>
      </c>
      <c r="AI11" s="20" t="n">
        <f aca="false">IF(AH11&gt;PR_BalDone,AH11+AH11*(D_iC)-MIN(F_CardPayM,AH11+AH11*(D_iC)),AH11)</f>
        <v>0</v>
      </c>
      <c r="AJ11" s="20" t="n">
        <f aca="false">IF(AI11&gt;PR_BalDone,AI11+AI11*(D_iC)-MIN(F_CardPayM,AI11+AI11*(D_iC)),AI11)</f>
        <v>0</v>
      </c>
      <c r="AK11" s="20" t="n">
        <f aca="false">IF(AJ11&gt;PR_BalDone,AJ11+AJ11*(D_iC)-MIN(F_CardPayM,AJ11+AJ11*(D_iC)),AJ11)</f>
        <v>0</v>
      </c>
      <c r="AL11" s="20" t="n">
        <f aca="false">IF(AK11&gt;PR_BalDone,AK11+AK11*(D_iC)-MIN(F_CardPayM,AK11+AK11*(D_iC)),AK11)</f>
        <v>0</v>
      </c>
      <c r="AM11" s="20" t="n">
        <f aca="false">IF(AL11&gt;PR_BalDone,AL11+AL11*(D_iC)-MIN(F_CardPayM,AL11+AL11*(D_iC)),AL11)</f>
        <v>0</v>
      </c>
      <c r="AN11" s="20" t="n">
        <f aca="false">IF(AM11&gt;PR_BalDone,AM11+AM11*(D_iC)-MIN(F_CardPayM,AM11+AM11*(D_iC)),AM11)</f>
        <v>0</v>
      </c>
      <c r="AO11" s="20" t="n">
        <f aca="false">IF(AN11&gt;PR_BalDone,AN11+AN11*(D_iC)-MIN(F_CardPayM,AN11+AN11*(D_iC)),AN11)</f>
        <v>0</v>
      </c>
      <c r="AP11" s="20" t="n">
        <f aca="false">IF(AO11&gt;PR_BalDone,AO11+AO11*(D_iC)-MIN(F_CardPayM,AO11+AO11*(D_iC)),AO11)</f>
        <v>0</v>
      </c>
      <c r="AQ11" s="20" t="n">
        <f aca="false">IF(AD11&gt;PR_BalDone,MIN(F_CardPayM,AD11+AD11*(D_iC)),0)</f>
        <v>0</v>
      </c>
      <c r="AR11" s="20" t="n">
        <f aca="false">IF(AE11&gt;PR_BalDone,MIN(F_CardPayM,AE11+AE11*(D_iC)),0)</f>
        <v>0</v>
      </c>
      <c r="AS11" s="20" t="n">
        <f aca="false">IF(AF11&gt;PR_BalDone,MIN(F_CardPayM,AF11+AF11*(D_iC)),0)</f>
        <v>0</v>
      </c>
      <c r="AT11" s="20" t="n">
        <f aca="false">IF(AG11&gt;PR_BalDone,MIN(F_CardPayM,AG11+AG11*(D_iC)),0)</f>
        <v>0</v>
      </c>
      <c r="AU11" s="20" t="n">
        <f aca="false">IF(AH11&gt;PR_BalDone,MIN(F_CardPayM,AH11+AH11*(D_iC)),0)</f>
        <v>0</v>
      </c>
      <c r="AV11" s="20" t="n">
        <f aca="false">IF(AI11&gt;PR_BalDone,MIN(F_CardPayM,AI11+AI11*(D_iC)),0)</f>
        <v>0</v>
      </c>
      <c r="AW11" s="20" t="n">
        <f aca="false">IF(AJ11&gt;PR_BalDone,MIN(F_CardPayM,AJ11+AJ11*(D_iC)),0)</f>
        <v>0</v>
      </c>
      <c r="AX11" s="20" t="n">
        <f aca="false">IF(AK11&gt;PR_BalDone,MIN(F_CardPayM,AK11+AK11*(D_iC)),0)</f>
        <v>0</v>
      </c>
      <c r="AY11" s="20" t="n">
        <f aca="false">IF(AL11&gt;PR_BalDone,MIN(F_CardPayM,AL11+AL11*(D_iC)),0)</f>
        <v>0</v>
      </c>
      <c r="AZ11" s="20" t="n">
        <f aca="false">IF(AM11&gt;PR_BalDone,MIN(F_CardPayM,AM11+AM11*(D_iC)),0)</f>
        <v>0</v>
      </c>
      <c r="BA11" s="20" t="n">
        <f aca="false">IF(AN11&gt;PR_BalDone,MIN(F_CardPayM,AN11+AN11*(D_iC)),0)</f>
        <v>0</v>
      </c>
      <c r="BB11" s="20" t="n">
        <f aca="false">IF(AO11&gt;PR_BalDone,MIN(F_CardPayM,AO11+AO11*(D_iC)),0)</f>
        <v>0</v>
      </c>
      <c r="BC11" s="20" t="n">
        <f aca="false">MAX(0,AP11)</f>
        <v>0</v>
      </c>
      <c r="BD11" s="20" t="n">
        <f aca="false">SUM(AQ11:BB11)</f>
        <v>0</v>
      </c>
      <c r="BE11" s="20" t="n">
        <f aca="false">'Plan cashflow'!P11</f>
        <v>372.455092965528</v>
      </c>
      <c r="BF11" s="20" t="n">
        <f aca="false">IF(BE11&gt;PR_BalDone,BE11+BE11*(D_iL)-MIN(F_LoanPayM,BE11+BE11*(D_iL)),BE11)</f>
        <v>274.851480248292</v>
      </c>
      <c r="BG11" s="20" t="n">
        <f aca="false">IF(BF11&gt;PR_BalDone,BF11+BF11*(D_iL)-MIN(F_LoanPayM,BF11+BF11*(D_iL)),BF11)</f>
        <v>176.619882947988</v>
      </c>
      <c r="BH11" s="20" t="n">
        <f aca="false">IF(BG11&gt;PR_BalDone,BG11+BG11*(D_iL)-MIN(F_LoanPayM,BG11+BG11*(D_iL)),BG11)</f>
        <v>77.7562605929011</v>
      </c>
      <c r="BI11" s="20" t="n">
        <f aca="false">IF(BH11&gt;PR_BalDone,BH11+BH11*(D_iL)-MIN(F_LoanPayM,BH11+BH11*(D_iL)),BH11)</f>
        <v>0</v>
      </c>
      <c r="BJ11" s="20" t="n">
        <f aca="false">IF(BI11&gt;PR_BalDone,BI11+BI11*(D_iL)-MIN(F_LoanPayM,BI11+BI11*(D_iL)),BI11)</f>
        <v>0</v>
      </c>
      <c r="BK11" s="20" t="n">
        <f aca="false">IF(BJ11&gt;PR_BalDone,BJ11+BJ11*(D_iL)-MIN(F_LoanPayM,BJ11+BJ11*(D_iL)),BJ11)</f>
        <v>0</v>
      </c>
      <c r="BL11" s="20" t="n">
        <f aca="false">IF(BK11&gt;PR_BalDone,BK11+BK11*(D_iL)-MIN(F_LoanPayM,BK11+BK11*(D_iL)),BK11)</f>
        <v>0</v>
      </c>
      <c r="BM11" s="20" t="n">
        <f aca="false">IF(BL11&gt;PR_BalDone,BL11+BL11*(D_iL)-MIN(F_LoanPayM,BL11+BL11*(D_iL)),BL11)</f>
        <v>0</v>
      </c>
      <c r="BN11" s="20" t="n">
        <f aca="false">IF(BM11&gt;PR_BalDone,BM11+BM11*(D_iL)-MIN(F_LoanPayM,BM11+BM11*(D_iL)),BM11)</f>
        <v>0</v>
      </c>
      <c r="BO11" s="20" t="n">
        <f aca="false">IF(BN11&gt;PR_BalDone,BN11+BN11*(D_iL)-MIN(F_LoanPayM,BN11+BN11*(D_iL)),BN11)</f>
        <v>0</v>
      </c>
      <c r="BP11" s="20" t="n">
        <f aca="false">IF(BO11&gt;PR_BalDone,BO11+BO11*(D_iL)-MIN(F_LoanPayM,BO11+BO11*(D_iL)),BO11)</f>
        <v>0</v>
      </c>
      <c r="BQ11" s="20" t="n">
        <f aca="false">IF(BP11&gt;PR_BalDone,BP11+BP11*(D_iL)-MIN(F_LoanPayM,BP11+BP11*(D_iL)),BP11)</f>
        <v>0</v>
      </c>
      <c r="BR11" s="20" t="n">
        <f aca="false">IF(BE11&gt;PR_BalDone,MIN(F_LoanPayM,BE11+BE11*(D_iL)),0)</f>
        <v>100</v>
      </c>
      <c r="BS11" s="20" t="n">
        <f aca="false">IF(BF11&gt;PR_BalDone,MIN(F_LoanPayM,BF11+BF11*(D_iL)),0)</f>
        <v>100</v>
      </c>
      <c r="BT11" s="20" t="n">
        <f aca="false">IF(BG11&gt;PR_BalDone,MIN(F_LoanPayM,BG11+BG11*(D_iL)),0)</f>
        <v>100</v>
      </c>
      <c r="BU11" s="20" t="n">
        <f aca="false">IF(BH11&gt;PR_BalDone,MIN(F_LoanPayM,BH11+BH11*(D_iL)),0)</f>
        <v>78.2565467147971</v>
      </c>
      <c r="BV11" s="20" t="n">
        <f aca="false">IF(BI11&gt;PR_BalDone,MIN(F_LoanPayM,BI11+BI11*(D_iL)),0)</f>
        <v>0</v>
      </c>
      <c r="BW11" s="20" t="n">
        <f aca="false">IF(BJ11&gt;PR_BalDone,MIN(F_LoanPayM,BJ11+BJ11*(D_iL)),0)</f>
        <v>0</v>
      </c>
      <c r="BX11" s="20" t="n">
        <f aca="false">IF(BK11&gt;PR_BalDone,MIN(F_LoanPayM,BK11+BK11*(D_iL)),0)</f>
        <v>0</v>
      </c>
      <c r="BY11" s="20" t="n">
        <f aca="false">IF(BL11&gt;PR_BalDone,MIN(F_LoanPayM,BL11+BL11*(D_iL)),0)</f>
        <v>0</v>
      </c>
      <c r="BZ11" s="20" t="n">
        <f aca="false">IF(BM11&gt;PR_BalDone,MIN(F_LoanPayM,BM11+BM11*(D_iL)),0)</f>
        <v>0</v>
      </c>
      <c r="CA11" s="20" t="n">
        <f aca="false">IF(BN11&gt;PR_BalDone,MIN(F_LoanPayM,BN11+BN11*(D_iL)),0)</f>
        <v>0</v>
      </c>
      <c r="CB11" s="20" t="n">
        <f aca="false">IF(BO11&gt;PR_BalDone,MIN(F_LoanPayM,BO11+BO11*(D_iL)),0)</f>
        <v>0</v>
      </c>
      <c r="CC11" s="20" t="n">
        <f aca="false">IF(BP11&gt;PR_BalDone,MIN(F_LoanPayM,BP11+BP11*(D_iL)),0)</f>
        <v>0</v>
      </c>
      <c r="CD11" s="20" t="n">
        <f aca="false">MAX(0,BQ11)</f>
        <v>0</v>
      </c>
      <c r="CE11" s="20" t="n">
        <f aca="false">SUM(BR11:CC11)</f>
        <v>378.256546714797</v>
      </c>
      <c r="CF11" s="20" t="n">
        <f aca="false">IF(CF10&gt;1,DE10,CF10)</f>
        <v>183643.499845908</v>
      </c>
      <c r="CG11" s="20" t="n">
        <f aca="false">IF(CF11&gt;PR_BalDone,CF11+CF11*(F_MR/12)-MIN(F_MortPayM,CF11+CF11*(F_MR/12)),CF11)</f>
        <v>183052.689407913</v>
      </c>
      <c r="CH11" s="20" t="n">
        <f aca="false">IF(CG11&gt;PR_BalDone,CG11+CG11*(F_MR/12)-MIN(F_MortPayM,CG11+CG11*(F_MR/12)),CG11)</f>
        <v>182459.983453097</v>
      </c>
      <c r="CI11" s="20" t="n">
        <f aca="false">IF(CH11&gt;PR_BalDone,CH11+CH11*(F_MR/12)-MIN(F_MortPayM,CH11+CH11*(F_MR/12)),CH11)</f>
        <v>181865.375900009</v>
      </c>
      <c r="CJ11" s="20" t="n">
        <f aca="false">IF(CI11&gt;PR_BalDone,CI11+CI11*(F_MR/12)-MIN(F_MortPayM,CI11+CI11*(F_MR/12)),CI11)</f>
        <v>181268.860647688</v>
      </c>
      <c r="CK11" s="20" t="n">
        <f aca="false">IF(CJ11&gt;PR_BalDone,CJ11+CJ11*(F_MR/12)-MIN(F_MortPayM,CJ11+CJ11*(F_MR/12)),CJ11)</f>
        <v>180670.431575599</v>
      </c>
      <c r="CL11" s="20" t="n">
        <f aca="false">IF(CK11&gt;PR_BalDone,CK11+CK11*(F_MR/12)-MIN(F_MortPayM,CK11+CK11*(F_MR/12)),CK11)</f>
        <v>180070.082543571</v>
      </c>
      <c r="CM11" s="20" t="n">
        <f aca="false">IF(CL11&gt;PR_BalDone,CL11+CL11*(F_MR/12)-MIN(F_MortPayM,CL11+CL11*(F_MR/12)),CL11)</f>
        <v>179467.807391732</v>
      </c>
      <c r="CN11" s="20" t="n">
        <f aca="false">IF(CM11&gt;PR_BalDone,CM11+CM11*(F_MR/12)-MIN(F_MortPayM,CM11+CM11*(F_MR/12)),CM11)</f>
        <v>178863.599940447</v>
      </c>
      <c r="CO11" s="20" t="n">
        <f aca="false">IF(CN11&gt;PR_BalDone,CN11+CN11*(F_MR/12)-MIN(F_MortPayM,CN11+CN11*(F_MR/12)),CN11)</f>
        <v>178257.453990256</v>
      </c>
      <c r="CP11" s="20" t="n">
        <f aca="false">IF(CO11&gt;PR_BalDone,CO11+CO11*(F_MR/12)-MIN(F_MortPayM,CO11+CO11*(F_MR/12)),CO11)</f>
        <v>177649.363321808</v>
      </c>
      <c r="CQ11" s="20" t="n">
        <f aca="false">IF(CP11&gt;PR_BalDone,CP11+CP11*(F_MR/12)-MIN(F_MortPayM,CP11+CP11*(F_MR/12)),CP11)</f>
        <v>177039.321695799</v>
      </c>
      <c r="CR11" s="20" t="n">
        <f aca="false">IF(CQ11&gt;PR_BalDone,CQ11+CQ11*(F_MR/12)-MIN(F_MortPayM,CQ11+CQ11*(F_MR/12)),CQ11)</f>
        <v>176427.322852906</v>
      </c>
      <c r="CS11" s="20" t="n">
        <f aca="false">IF(CF11&gt;PR_BalDone,MIN(F_MortPayM,CF11+CF11*(F_MR/12)),0)</f>
        <v>1180</v>
      </c>
      <c r="CT11" s="20" t="n">
        <f aca="false">IF(CG11&gt;PR_BalDone,MIN(F_MortPayM,CG11+CG11*(F_MR/12)),0)</f>
        <v>1180</v>
      </c>
      <c r="CU11" s="20" t="n">
        <f aca="false">IF(CH11&gt;PR_BalDone,MIN(F_MortPayM,CH11+CH11*(F_MR/12)),0)</f>
        <v>1180</v>
      </c>
      <c r="CV11" s="20" t="n">
        <f aca="false">IF(CI11&gt;PR_BalDone,MIN(F_MortPayM,CI11+CI11*(F_MR/12)),0)</f>
        <v>1180</v>
      </c>
      <c r="CW11" s="20" t="n">
        <f aca="false">IF(CJ11&gt;PR_BalDone,MIN(F_MortPayM,CJ11+CJ11*(F_MR/12)),0)</f>
        <v>1180</v>
      </c>
      <c r="CX11" s="20" t="n">
        <f aca="false">IF(CK11&gt;PR_BalDone,MIN(F_MortPayM,CK11+CK11*(F_MR/12)),0)</f>
        <v>1180</v>
      </c>
      <c r="CY11" s="20" t="n">
        <f aca="false">IF(CL11&gt;PR_BalDone,MIN(F_MortPayM,CL11+CL11*(F_MR/12)),0)</f>
        <v>1180</v>
      </c>
      <c r="CZ11" s="20" t="n">
        <f aca="false">IF(CM11&gt;PR_BalDone,MIN(F_MortPayM,CM11+CM11*(F_MR/12)),0)</f>
        <v>1180</v>
      </c>
      <c r="DA11" s="20" t="n">
        <f aca="false">IF(CN11&gt;PR_BalDone,MIN(F_MortPayM,CN11+CN11*(F_MR/12)),0)</f>
        <v>1180</v>
      </c>
      <c r="DB11" s="20" t="n">
        <f aca="false">IF(CO11&gt;PR_BalDone,MIN(F_MortPayM,CO11+CO11*(F_MR/12)),0)</f>
        <v>1180</v>
      </c>
      <c r="DC11" s="20" t="n">
        <f aca="false">IF(CP11&gt;PR_BalDone,MIN(F_MortPayM,CP11+CP11*(F_MR/12)),0)</f>
        <v>1180</v>
      </c>
      <c r="DD11" s="20" t="n">
        <f aca="false">IF(CQ11&gt;PR_BalDone,MIN(F_MortPayM,CQ11+CQ11*(F_MR/12)),0)</f>
        <v>1180</v>
      </c>
      <c r="DE11" s="20" t="n">
        <f aca="false">MAX(0,CR11)</f>
        <v>176427.322852906</v>
      </c>
      <c r="DF11" s="20" t="n">
        <f aca="false">SUM(CS11:DD11)</f>
        <v>14160</v>
      </c>
      <c r="DG11" s="20" t="n">
        <f aca="false">MAX(0,CF11)</f>
        <v>183643.499845908</v>
      </c>
    </row>
    <row r="12" customFormat="false" ht="15" hidden="false" customHeight="true" outlineLevel="0" collapsed="false">
      <c r="B12" s="20" t="n">
        <v>4</v>
      </c>
      <c r="C12" s="20" t="n">
        <f aca="false">'Plan cashflow'!J12</f>
        <v>176427.322852906</v>
      </c>
      <c r="D12" s="20" t="n">
        <f aca="false">IF(C12&gt;PR_BalDone,C12+C12*(F_MR/12)-MIN(F_MortPayM,C12+C12*(F_MR/12)),C12)</f>
        <v>175813.360513726</v>
      </c>
      <c r="E12" s="20" t="n">
        <f aca="false">IF(D12&gt;PR_BalDone,D12+D12*(F_MR/12)-MIN(F_MortPayM,D12+D12*(F_MR/12)),D12)</f>
        <v>175197.428378707</v>
      </c>
      <c r="F12" s="20" t="n">
        <f aca="false">IF(E12&gt;PR_BalDone,E12+E12*(F_MR/12)-MIN(F_MortPayM,E12+E12*(F_MR/12)),E12)</f>
        <v>174579.520128089</v>
      </c>
      <c r="G12" s="20" t="n">
        <f aca="false">IF(F12&gt;PR_BalDone,F12+F12*(F_MR/12)-MIN(F_MortPayM,F12+F12*(F_MR/12)),F12)</f>
        <v>173959.629421833</v>
      </c>
      <c r="H12" s="20" t="n">
        <f aca="false">IF(G12&gt;PR_BalDone,G12+G12*(F_MR/12)-MIN(F_MortPayM,G12+G12*(F_MR/12)),G12)</f>
        <v>173337.749899562</v>
      </c>
      <c r="I12" s="20" t="n">
        <f aca="false">IF(H12&gt;PR_BalDone,H12+H12*(F_MR/12)-MIN(F_MortPayM,H12+H12*(F_MR/12)),H12)</f>
        <v>172713.87518049</v>
      </c>
      <c r="J12" s="20" t="n">
        <f aca="false">IF(I12&gt;PR_BalDone,I12+I12*(F_MR/12)-MIN(F_MortPayM,I12+I12*(F_MR/12)),I12)</f>
        <v>172087.99886336</v>
      </c>
      <c r="K12" s="20" t="n">
        <f aca="false">IF(J12&gt;PR_BalDone,J12+J12*(F_MR/12)-MIN(F_MortPayM,J12+J12*(F_MR/12)),J12)</f>
        <v>171460.11452638</v>
      </c>
      <c r="L12" s="20" t="n">
        <f aca="false">IF(K12&gt;PR_BalDone,K12+K12*(F_MR/12)-MIN(F_MortPayM,K12+K12*(F_MR/12)),K12)</f>
        <v>170830.215727152</v>
      </c>
      <c r="M12" s="20" t="n">
        <f aca="false">IF(L12&gt;PR_BalDone,L12+L12*(F_MR/12)-MIN(F_MortPayM,L12+L12*(F_MR/12)),L12)</f>
        <v>170198.29600261</v>
      </c>
      <c r="N12" s="20" t="n">
        <f aca="false">IF(M12&gt;PR_BalDone,M12+M12*(F_MR/12)-MIN(F_MortPayM,M12+M12*(F_MR/12)),M12)</f>
        <v>169564.348868952</v>
      </c>
      <c r="O12" s="20" t="n">
        <f aca="false">IF(N12&gt;PR_BalDone,N12+N12*(F_MR/12)-MIN(F_MortPayM,N12+N12*(F_MR/12)),N12)</f>
        <v>168928.367821573</v>
      </c>
      <c r="P12" s="20" t="n">
        <f aca="false">IF(C12&gt;PR_BalDone,MIN(F_MortPayM,C12+C12*(F_MR/12)),0)</f>
        <v>1180</v>
      </c>
      <c r="Q12" s="20" t="n">
        <f aca="false">IF(D12&gt;PR_BalDone,MIN(F_MortPayM,D12+D12*(F_MR/12)),0)</f>
        <v>1180</v>
      </c>
      <c r="R12" s="20" t="n">
        <f aca="false">IF(E12&gt;PR_BalDone,MIN(F_MortPayM,E12+E12*(F_MR/12)),0)</f>
        <v>1180</v>
      </c>
      <c r="S12" s="20" t="n">
        <f aca="false">IF(F12&gt;PR_BalDone,MIN(F_MortPayM,F12+F12*(F_MR/12)),0)</f>
        <v>1180</v>
      </c>
      <c r="T12" s="20" t="n">
        <f aca="false">IF(G12&gt;PR_BalDone,MIN(F_MortPayM,G12+G12*(F_MR/12)),0)</f>
        <v>1180</v>
      </c>
      <c r="U12" s="20" t="n">
        <f aca="false">IF(H12&gt;PR_BalDone,MIN(F_MortPayM,H12+H12*(F_MR/12)),0)</f>
        <v>1180</v>
      </c>
      <c r="V12" s="20" t="n">
        <f aca="false">IF(I12&gt;PR_BalDone,MIN(F_MortPayM,I12+I12*(F_MR/12)),0)</f>
        <v>1180</v>
      </c>
      <c r="W12" s="20" t="n">
        <f aca="false">IF(J12&gt;PR_BalDone,MIN(F_MortPayM,J12+J12*(F_MR/12)),0)</f>
        <v>1180</v>
      </c>
      <c r="X12" s="20" t="n">
        <f aca="false">IF(K12&gt;PR_BalDone,MIN(F_MortPayM,K12+K12*(F_MR/12)),0)</f>
        <v>1180</v>
      </c>
      <c r="Y12" s="20" t="n">
        <f aca="false">IF(L12&gt;PR_BalDone,MIN(F_MortPayM,L12+L12*(F_MR/12)),0)</f>
        <v>1180</v>
      </c>
      <c r="Z12" s="20" t="n">
        <f aca="false">IF(M12&gt;PR_BalDone,MIN(F_MortPayM,M12+M12*(F_MR/12)),0)</f>
        <v>1180</v>
      </c>
      <c r="AA12" s="20" t="n">
        <f aca="false">IF(N12&gt;PR_BalDone,MIN(F_MortPayM,N12+N12*(F_MR/12)),0)</f>
        <v>1180</v>
      </c>
      <c r="AB12" s="20" t="n">
        <f aca="false">MAX(0,O12)</f>
        <v>168928.367821573</v>
      </c>
      <c r="AC12" s="20" t="n">
        <f aca="false">SUM(P12:AA12)</f>
        <v>14160</v>
      </c>
      <c r="AD12" s="20" t="n">
        <f aca="false">'Plan cashflow'!M12</f>
        <v>0</v>
      </c>
      <c r="AE12" s="20" t="n">
        <f aca="false">IF(AD12&gt;PR_BalDone,AD12+AD12*(D_iC)-MIN(F_CardPayM,AD12+AD12*(D_iC)),AD12)</f>
        <v>0</v>
      </c>
      <c r="AF12" s="20" t="n">
        <f aca="false">IF(AE12&gt;PR_BalDone,AE12+AE12*(D_iC)-MIN(F_CardPayM,AE12+AE12*(D_iC)),AE12)</f>
        <v>0</v>
      </c>
      <c r="AG12" s="20" t="n">
        <f aca="false">IF(AF12&gt;PR_BalDone,AF12+AF12*(D_iC)-MIN(F_CardPayM,AF12+AF12*(D_iC)),AF12)</f>
        <v>0</v>
      </c>
      <c r="AH12" s="20" t="n">
        <f aca="false">IF(AG12&gt;PR_BalDone,AG12+AG12*(D_iC)-MIN(F_CardPayM,AG12+AG12*(D_iC)),AG12)</f>
        <v>0</v>
      </c>
      <c r="AI12" s="20" t="n">
        <f aca="false">IF(AH12&gt;PR_BalDone,AH12+AH12*(D_iC)-MIN(F_CardPayM,AH12+AH12*(D_iC)),AH12)</f>
        <v>0</v>
      </c>
      <c r="AJ12" s="20" t="n">
        <f aca="false">IF(AI12&gt;PR_BalDone,AI12+AI12*(D_iC)-MIN(F_CardPayM,AI12+AI12*(D_iC)),AI12)</f>
        <v>0</v>
      </c>
      <c r="AK12" s="20" t="n">
        <f aca="false">IF(AJ12&gt;PR_BalDone,AJ12+AJ12*(D_iC)-MIN(F_CardPayM,AJ12+AJ12*(D_iC)),AJ12)</f>
        <v>0</v>
      </c>
      <c r="AL12" s="20" t="n">
        <f aca="false">IF(AK12&gt;PR_BalDone,AK12+AK12*(D_iC)-MIN(F_CardPayM,AK12+AK12*(D_iC)),AK12)</f>
        <v>0</v>
      </c>
      <c r="AM12" s="20" t="n">
        <f aca="false">IF(AL12&gt;PR_BalDone,AL12+AL12*(D_iC)-MIN(F_CardPayM,AL12+AL12*(D_iC)),AL12)</f>
        <v>0</v>
      </c>
      <c r="AN12" s="20" t="n">
        <f aca="false">IF(AM12&gt;PR_BalDone,AM12+AM12*(D_iC)-MIN(F_CardPayM,AM12+AM12*(D_iC)),AM12)</f>
        <v>0</v>
      </c>
      <c r="AO12" s="20" t="n">
        <f aca="false">IF(AN12&gt;PR_BalDone,AN12+AN12*(D_iC)-MIN(F_CardPayM,AN12+AN12*(D_iC)),AN12)</f>
        <v>0</v>
      </c>
      <c r="AP12" s="20" t="n">
        <f aca="false">IF(AO12&gt;PR_BalDone,AO12+AO12*(D_iC)-MIN(F_CardPayM,AO12+AO12*(D_iC)),AO12)</f>
        <v>0</v>
      </c>
      <c r="AQ12" s="20" t="n">
        <f aca="false">IF(AD12&gt;PR_BalDone,MIN(F_CardPayM,AD12+AD12*(D_iC)),0)</f>
        <v>0</v>
      </c>
      <c r="AR12" s="20" t="n">
        <f aca="false">IF(AE12&gt;PR_BalDone,MIN(F_CardPayM,AE12+AE12*(D_iC)),0)</f>
        <v>0</v>
      </c>
      <c r="AS12" s="20" t="n">
        <f aca="false">IF(AF12&gt;PR_BalDone,MIN(F_CardPayM,AF12+AF12*(D_iC)),0)</f>
        <v>0</v>
      </c>
      <c r="AT12" s="20" t="n">
        <f aca="false">IF(AG12&gt;PR_BalDone,MIN(F_CardPayM,AG12+AG12*(D_iC)),0)</f>
        <v>0</v>
      </c>
      <c r="AU12" s="20" t="n">
        <f aca="false">IF(AH12&gt;PR_BalDone,MIN(F_CardPayM,AH12+AH12*(D_iC)),0)</f>
        <v>0</v>
      </c>
      <c r="AV12" s="20" t="n">
        <f aca="false">IF(AI12&gt;PR_BalDone,MIN(F_CardPayM,AI12+AI12*(D_iC)),0)</f>
        <v>0</v>
      </c>
      <c r="AW12" s="20" t="n">
        <f aca="false">IF(AJ12&gt;PR_BalDone,MIN(F_CardPayM,AJ12+AJ12*(D_iC)),0)</f>
        <v>0</v>
      </c>
      <c r="AX12" s="20" t="n">
        <f aca="false">IF(AK12&gt;PR_BalDone,MIN(F_CardPayM,AK12+AK12*(D_iC)),0)</f>
        <v>0</v>
      </c>
      <c r="AY12" s="20" t="n">
        <f aca="false">IF(AL12&gt;PR_BalDone,MIN(F_CardPayM,AL12+AL12*(D_iC)),0)</f>
        <v>0</v>
      </c>
      <c r="AZ12" s="20" t="n">
        <f aca="false">IF(AM12&gt;PR_BalDone,MIN(F_CardPayM,AM12+AM12*(D_iC)),0)</f>
        <v>0</v>
      </c>
      <c r="BA12" s="20" t="n">
        <f aca="false">IF(AN12&gt;PR_BalDone,MIN(F_CardPayM,AN12+AN12*(D_iC)),0)</f>
        <v>0</v>
      </c>
      <c r="BB12" s="20" t="n">
        <f aca="false">IF(AO12&gt;PR_BalDone,MIN(F_CardPayM,AO12+AO12*(D_iC)),0)</f>
        <v>0</v>
      </c>
      <c r="BC12" s="20" t="n">
        <f aca="false">MAX(0,AP12)</f>
        <v>0</v>
      </c>
      <c r="BD12" s="20" t="n">
        <f aca="false">SUM(AQ12:BB12)</f>
        <v>0</v>
      </c>
      <c r="BE12" s="20" t="n">
        <f aca="false">'Plan cashflow'!P12</f>
        <v>0</v>
      </c>
      <c r="BF12" s="20" t="n">
        <f aca="false">IF(BE12&gt;PR_BalDone,BE12+BE12*(D_iL)-MIN(F_LoanPayM,BE12+BE12*(D_iL)),BE12)</f>
        <v>0</v>
      </c>
      <c r="BG12" s="20" t="n">
        <f aca="false">IF(BF12&gt;PR_BalDone,BF12+BF12*(D_iL)-MIN(F_LoanPayM,BF12+BF12*(D_iL)),BF12)</f>
        <v>0</v>
      </c>
      <c r="BH12" s="20" t="n">
        <f aca="false">IF(BG12&gt;PR_BalDone,BG12+BG12*(D_iL)-MIN(F_LoanPayM,BG12+BG12*(D_iL)),BG12)</f>
        <v>0</v>
      </c>
      <c r="BI12" s="20" t="n">
        <f aca="false">IF(BH12&gt;PR_BalDone,BH12+BH12*(D_iL)-MIN(F_LoanPayM,BH12+BH12*(D_iL)),BH12)</f>
        <v>0</v>
      </c>
      <c r="BJ12" s="20" t="n">
        <f aca="false">IF(BI12&gt;PR_BalDone,BI12+BI12*(D_iL)-MIN(F_LoanPayM,BI12+BI12*(D_iL)),BI12)</f>
        <v>0</v>
      </c>
      <c r="BK12" s="20" t="n">
        <f aca="false">IF(BJ12&gt;PR_BalDone,BJ12+BJ12*(D_iL)-MIN(F_LoanPayM,BJ12+BJ12*(D_iL)),BJ12)</f>
        <v>0</v>
      </c>
      <c r="BL12" s="20" t="n">
        <f aca="false">IF(BK12&gt;PR_BalDone,BK12+BK12*(D_iL)-MIN(F_LoanPayM,BK12+BK12*(D_iL)),BK12)</f>
        <v>0</v>
      </c>
      <c r="BM12" s="20" t="n">
        <f aca="false">IF(BL12&gt;PR_BalDone,BL12+BL12*(D_iL)-MIN(F_LoanPayM,BL12+BL12*(D_iL)),BL12)</f>
        <v>0</v>
      </c>
      <c r="BN12" s="20" t="n">
        <f aca="false">IF(BM12&gt;PR_BalDone,BM12+BM12*(D_iL)-MIN(F_LoanPayM,BM12+BM12*(D_iL)),BM12)</f>
        <v>0</v>
      </c>
      <c r="BO12" s="20" t="n">
        <f aca="false">IF(BN12&gt;PR_BalDone,BN12+BN12*(D_iL)-MIN(F_LoanPayM,BN12+BN12*(D_iL)),BN12)</f>
        <v>0</v>
      </c>
      <c r="BP12" s="20" t="n">
        <f aca="false">IF(BO12&gt;PR_BalDone,BO12+BO12*(D_iL)-MIN(F_LoanPayM,BO12+BO12*(D_iL)),BO12)</f>
        <v>0</v>
      </c>
      <c r="BQ12" s="20" t="n">
        <f aca="false">IF(BP12&gt;PR_BalDone,BP12+BP12*(D_iL)-MIN(F_LoanPayM,BP12+BP12*(D_iL)),BP12)</f>
        <v>0</v>
      </c>
      <c r="BR12" s="20" t="n">
        <f aca="false">IF(BE12&gt;PR_BalDone,MIN(F_LoanPayM,BE12+BE12*(D_iL)),0)</f>
        <v>0</v>
      </c>
      <c r="BS12" s="20" t="n">
        <f aca="false">IF(BF12&gt;PR_BalDone,MIN(F_LoanPayM,BF12+BF12*(D_iL)),0)</f>
        <v>0</v>
      </c>
      <c r="BT12" s="20" t="n">
        <f aca="false">IF(BG12&gt;PR_BalDone,MIN(F_LoanPayM,BG12+BG12*(D_iL)),0)</f>
        <v>0</v>
      </c>
      <c r="BU12" s="20" t="n">
        <f aca="false">IF(BH12&gt;PR_BalDone,MIN(F_LoanPayM,BH12+BH12*(D_iL)),0)</f>
        <v>0</v>
      </c>
      <c r="BV12" s="20" t="n">
        <f aca="false">IF(BI12&gt;PR_BalDone,MIN(F_LoanPayM,BI12+BI12*(D_iL)),0)</f>
        <v>0</v>
      </c>
      <c r="BW12" s="20" t="n">
        <f aca="false">IF(BJ12&gt;PR_BalDone,MIN(F_LoanPayM,BJ12+BJ12*(D_iL)),0)</f>
        <v>0</v>
      </c>
      <c r="BX12" s="20" t="n">
        <f aca="false">IF(BK12&gt;PR_BalDone,MIN(F_LoanPayM,BK12+BK12*(D_iL)),0)</f>
        <v>0</v>
      </c>
      <c r="BY12" s="20" t="n">
        <f aca="false">IF(BL12&gt;PR_BalDone,MIN(F_LoanPayM,BL12+BL12*(D_iL)),0)</f>
        <v>0</v>
      </c>
      <c r="BZ12" s="20" t="n">
        <f aca="false">IF(BM12&gt;PR_BalDone,MIN(F_LoanPayM,BM12+BM12*(D_iL)),0)</f>
        <v>0</v>
      </c>
      <c r="CA12" s="20" t="n">
        <f aca="false">IF(BN12&gt;PR_BalDone,MIN(F_LoanPayM,BN12+BN12*(D_iL)),0)</f>
        <v>0</v>
      </c>
      <c r="CB12" s="20" t="n">
        <f aca="false">IF(BO12&gt;PR_BalDone,MIN(F_LoanPayM,BO12+BO12*(D_iL)),0)</f>
        <v>0</v>
      </c>
      <c r="CC12" s="20" t="n">
        <f aca="false">IF(BP12&gt;PR_BalDone,MIN(F_LoanPayM,BP12+BP12*(D_iL)),0)</f>
        <v>0</v>
      </c>
      <c r="CD12" s="20" t="n">
        <f aca="false">MAX(0,BQ12)</f>
        <v>0</v>
      </c>
      <c r="CE12" s="20" t="n">
        <f aca="false">SUM(BR12:CC12)</f>
        <v>0</v>
      </c>
      <c r="CF12" s="20" t="n">
        <f aca="false">IF(CF11&gt;1,DE11,CF11)</f>
        <v>176427.322852906</v>
      </c>
      <c r="CG12" s="20" t="n">
        <f aca="false">IF(CF12&gt;PR_BalDone,CF12+CF12*(F_MR/12)-MIN(F_MortPayM,CF12+CF12*(F_MR/12)),CF12)</f>
        <v>175813.360513726</v>
      </c>
      <c r="CH12" s="20" t="n">
        <f aca="false">IF(CG12&gt;PR_BalDone,CG12+CG12*(F_MR/12)-MIN(F_MortPayM,CG12+CG12*(F_MR/12)),CG12)</f>
        <v>175197.428378707</v>
      </c>
      <c r="CI12" s="20" t="n">
        <f aca="false">IF(CH12&gt;PR_BalDone,CH12+CH12*(F_MR/12)-MIN(F_MortPayM,CH12+CH12*(F_MR/12)),CH12)</f>
        <v>174579.520128089</v>
      </c>
      <c r="CJ12" s="20" t="n">
        <f aca="false">IF(CI12&gt;PR_BalDone,CI12+CI12*(F_MR/12)-MIN(F_MortPayM,CI12+CI12*(F_MR/12)),CI12)</f>
        <v>173959.629421833</v>
      </c>
      <c r="CK12" s="20" t="n">
        <f aca="false">IF(CJ12&gt;PR_BalDone,CJ12+CJ12*(F_MR/12)-MIN(F_MortPayM,CJ12+CJ12*(F_MR/12)),CJ12)</f>
        <v>173337.749899562</v>
      </c>
      <c r="CL12" s="20" t="n">
        <f aca="false">IF(CK12&gt;PR_BalDone,CK12+CK12*(F_MR/12)-MIN(F_MortPayM,CK12+CK12*(F_MR/12)),CK12)</f>
        <v>172713.87518049</v>
      </c>
      <c r="CM12" s="20" t="n">
        <f aca="false">IF(CL12&gt;PR_BalDone,CL12+CL12*(F_MR/12)-MIN(F_MortPayM,CL12+CL12*(F_MR/12)),CL12)</f>
        <v>172087.99886336</v>
      </c>
      <c r="CN12" s="20" t="n">
        <f aca="false">IF(CM12&gt;PR_BalDone,CM12+CM12*(F_MR/12)-MIN(F_MortPayM,CM12+CM12*(F_MR/12)),CM12)</f>
        <v>171460.11452638</v>
      </c>
      <c r="CO12" s="20" t="n">
        <f aca="false">IF(CN12&gt;PR_BalDone,CN12+CN12*(F_MR/12)-MIN(F_MortPayM,CN12+CN12*(F_MR/12)),CN12)</f>
        <v>170830.215727152</v>
      </c>
      <c r="CP12" s="20" t="n">
        <f aca="false">IF(CO12&gt;PR_BalDone,CO12+CO12*(F_MR/12)-MIN(F_MortPayM,CO12+CO12*(F_MR/12)),CO12)</f>
        <v>170198.29600261</v>
      </c>
      <c r="CQ12" s="20" t="n">
        <f aca="false">IF(CP12&gt;PR_BalDone,CP12+CP12*(F_MR/12)-MIN(F_MortPayM,CP12+CP12*(F_MR/12)),CP12)</f>
        <v>169564.348868952</v>
      </c>
      <c r="CR12" s="20" t="n">
        <f aca="false">IF(CQ12&gt;PR_BalDone,CQ12+CQ12*(F_MR/12)-MIN(F_MortPayM,CQ12+CQ12*(F_MR/12)),CQ12)</f>
        <v>168928.367821573</v>
      </c>
      <c r="CS12" s="20" t="n">
        <f aca="false">IF(CF12&gt;PR_BalDone,MIN(F_MortPayM,CF12+CF12*(F_MR/12)),0)</f>
        <v>1180</v>
      </c>
      <c r="CT12" s="20" t="n">
        <f aca="false">IF(CG12&gt;PR_BalDone,MIN(F_MortPayM,CG12+CG12*(F_MR/12)),0)</f>
        <v>1180</v>
      </c>
      <c r="CU12" s="20" t="n">
        <f aca="false">IF(CH12&gt;PR_BalDone,MIN(F_MortPayM,CH12+CH12*(F_MR/12)),0)</f>
        <v>1180</v>
      </c>
      <c r="CV12" s="20" t="n">
        <f aca="false">IF(CI12&gt;PR_BalDone,MIN(F_MortPayM,CI12+CI12*(F_MR/12)),0)</f>
        <v>1180</v>
      </c>
      <c r="CW12" s="20" t="n">
        <f aca="false">IF(CJ12&gt;PR_BalDone,MIN(F_MortPayM,CJ12+CJ12*(F_MR/12)),0)</f>
        <v>1180</v>
      </c>
      <c r="CX12" s="20" t="n">
        <f aca="false">IF(CK12&gt;PR_BalDone,MIN(F_MortPayM,CK12+CK12*(F_MR/12)),0)</f>
        <v>1180</v>
      </c>
      <c r="CY12" s="20" t="n">
        <f aca="false">IF(CL12&gt;PR_BalDone,MIN(F_MortPayM,CL12+CL12*(F_MR/12)),0)</f>
        <v>1180</v>
      </c>
      <c r="CZ12" s="20" t="n">
        <f aca="false">IF(CM12&gt;PR_BalDone,MIN(F_MortPayM,CM12+CM12*(F_MR/12)),0)</f>
        <v>1180</v>
      </c>
      <c r="DA12" s="20" t="n">
        <f aca="false">IF(CN12&gt;PR_BalDone,MIN(F_MortPayM,CN12+CN12*(F_MR/12)),0)</f>
        <v>1180</v>
      </c>
      <c r="DB12" s="20" t="n">
        <f aca="false">IF(CO12&gt;PR_BalDone,MIN(F_MortPayM,CO12+CO12*(F_MR/12)),0)</f>
        <v>1180</v>
      </c>
      <c r="DC12" s="20" t="n">
        <f aca="false">IF(CP12&gt;PR_BalDone,MIN(F_MortPayM,CP12+CP12*(F_MR/12)),0)</f>
        <v>1180</v>
      </c>
      <c r="DD12" s="20" t="n">
        <f aca="false">IF(CQ12&gt;PR_BalDone,MIN(F_MortPayM,CQ12+CQ12*(F_MR/12)),0)</f>
        <v>1180</v>
      </c>
      <c r="DE12" s="20" t="n">
        <f aca="false">MAX(0,CR12)</f>
        <v>168928.367821573</v>
      </c>
      <c r="DF12" s="20" t="n">
        <f aca="false">SUM(CS12:DD12)</f>
        <v>14160</v>
      </c>
      <c r="DG12" s="20" t="n">
        <f aca="false">MAX(0,CF12)</f>
        <v>176427.322852906</v>
      </c>
    </row>
    <row r="13" customFormat="false" ht="15" hidden="false" customHeight="true" outlineLevel="0" collapsed="false">
      <c r="B13" s="20" t="n">
        <v>5</v>
      </c>
      <c r="C13" s="20" t="n">
        <f aca="false">'Plan cashflow'!J13</f>
        <v>168928.367821573</v>
      </c>
      <c r="D13" s="20" t="n">
        <f aca="false">IF(C13&gt;PR_BalDone,C13+C13*(F_MR/12)-MIN(F_MortPayM,C13+C13*(F_MR/12)),C13)</f>
        <v>168290.346335001</v>
      </c>
      <c r="E13" s="20" t="n">
        <f aca="false">IF(D13&gt;PR_BalDone,D13+D13*(F_MR/12)-MIN(F_MortPayM,D13+D13*(F_MR/12)),D13)</f>
        <v>167650.277862826</v>
      </c>
      <c r="F13" s="20" t="n">
        <f aca="false">IF(E13&gt;PR_BalDone,E13+E13*(F_MR/12)-MIN(F_MortPayM,E13+E13*(F_MR/12)),E13)</f>
        <v>167008.155837635</v>
      </c>
      <c r="G13" s="20" t="n">
        <f aca="false">IF(F13&gt;PR_BalDone,F13+F13*(F_MR/12)-MIN(F_MortPayM,F13+F13*(F_MR/12)),F13)</f>
        <v>166363.973670948</v>
      </c>
      <c r="H13" s="20" t="n">
        <f aca="false">IF(G13&gt;PR_BalDone,G13+G13*(F_MR/12)-MIN(F_MortPayM,G13+G13*(F_MR/12)),G13)</f>
        <v>165717.724753142</v>
      </c>
      <c r="I13" s="20" t="n">
        <f aca="false">IF(H13&gt;PR_BalDone,H13+H13*(F_MR/12)-MIN(F_MortPayM,H13+H13*(F_MR/12)),H13)</f>
        <v>165069.402453392</v>
      </c>
      <c r="J13" s="20" t="n">
        <f aca="false">IF(I13&gt;PR_BalDone,I13+I13*(F_MR/12)-MIN(F_MortPayM,I13+I13*(F_MR/12)),I13)</f>
        <v>164419.000119596</v>
      </c>
      <c r="K13" s="20" t="n">
        <f aca="false">IF(J13&gt;PR_BalDone,J13+J13*(F_MR/12)-MIN(F_MortPayM,J13+J13*(F_MR/12)),J13)</f>
        <v>163766.511078313</v>
      </c>
      <c r="L13" s="20" t="n">
        <f aca="false">IF(K13&gt;PR_BalDone,K13+K13*(F_MR/12)-MIN(F_MortPayM,K13+K13*(F_MR/12)),K13)</f>
        <v>163111.92863469</v>
      </c>
      <c r="M13" s="20" t="n">
        <f aca="false">IF(L13&gt;PR_BalDone,L13+L13*(F_MR/12)-MIN(F_MortPayM,L13+L13*(F_MR/12)),L13)</f>
        <v>162455.246072393</v>
      </c>
      <c r="N13" s="20" t="n">
        <f aca="false">IF(M13&gt;PR_BalDone,M13+M13*(F_MR/12)-MIN(F_MortPayM,M13+M13*(F_MR/12)),M13)</f>
        <v>161796.456653542</v>
      </c>
      <c r="O13" s="20" t="n">
        <f aca="false">IF(N13&gt;PR_BalDone,N13+N13*(F_MR/12)-MIN(F_MortPayM,N13+N13*(F_MR/12)),N13)</f>
        <v>161135.553618638</v>
      </c>
      <c r="P13" s="20" t="n">
        <f aca="false">IF(C13&gt;PR_BalDone,MIN(F_MortPayM,C13+C13*(F_MR/12)),0)</f>
        <v>1180</v>
      </c>
      <c r="Q13" s="20" t="n">
        <f aca="false">IF(D13&gt;PR_BalDone,MIN(F_MortPayM,D13+D13*(F_MR/12)),0)</f>
        <v>1180</v>
      </c>
      <c r="R13" s="20" t="n">
        <f aca="false">IF(E13&gt;PR_BalDone,MIN(F_MortPayM,E13+E13*(F_MR/12)),0)</f>
        <v>1180</v>
      </c>
      <c r="S13" s="20" t="n">
        <f aca="false">IF(F13&gt;PR_BalDone,MIN(F_MortPayM,F13+F13*(F_MR/12)),0)</f>
        <v>1180</v>
      </c>
      <c r="T13" s="20" t="n">
        <f aca="false">IF(G13&gt;PR_BalDone,MIN(F_MortPayM,G13+G13*(F_MR/12)),0)</f>
        <v>1180</v>
      </c>
      <c r="U13" s="20" t="n">
        <f aca="false">IF(H13&gt;PR_BalDone,MIN(F_MortPayM,H13+H13*(F_MR/12)),0)</f>
        <v>1180</v>
      </c>
      <c r="V13" s="20" t="n">
        <f aca="false">IF(I13&gt;PR_BalDone,MIN(F_MortPayM,I13+I13*(F_MR/12)),0)</f>
        <v>1180</v>
      </c>
      <c r="W13" s="20" t="n">
        <f aca="false">IF(J13&gt;PR_BalDone,MIN(F_MortPayM,J13+J13*(F_MR/12)),0)</f>
        <v>1180</v>
      </c>
      <c r="X13" s="20" t="n">
        <f aca="false">IF(K13&gt;PR_BalDone,MIN(F_MortPayM,K13+K13*(F_MR/12)),0)</f>
        <v>1180</v>
      </c>
      <c r="Y13" s="20" t="n">
        <f aca="false">IF(L13&gt;PR_BalDone,MIN(F_MortPayM,L13+L13*(F_MR/12)),0)</f>
        <v>1180</v>
      </c>
      <c r="Z13" s="20" t="n">
        <f aca="false">IF(M13&gt;PR_BalDone,MIN(F_MortPayM,M13+M13*(F_MR/12)),0)</f>
        <v>1180</v>
      </c>
      <c r="AA13" s="20" t="n">
        <f aca="false">IF(N13&gt;PR_BalDone,MIN(F_MortPayM,N13+N13*(F_MR/12)),0)</f>
        <v>1180</v>
      </c>
      <c r="AB13" s="20" t="n">
        <f aca="false">MAX(0,O13)</f>
        <v>161135.553618638</v>
      </c>
      <c r="AC13" s="20" t="n">
        <f aca="false">SUM(P13:AA13)</f>
        <v>14160</v>
      </c>
      <c r="AD13" s="20" t="n">
        <f aca="false">'Plan cashflow'!M13</f>
        <v>0</v>
      </c>
      <c r="AE13" s="20" t="n">
        <f aca="false">IF(AD13&gt;PR_BalDone,AD13+AD13*(D_iC)-MIN(F_CardPayM,AD13+AD13*(D_iC)),AD13)</f>
        <v>0</v>
      </c>
      <c r="AF13" s="20" t="n">
        <f aca="false">IF(AE13&gt;PR_BalDone,AE13+AE13*(D_iC)-MIN(F_CardPayM,AE13+AE13*(D_iC)),AE13)</f>
        <v>0</v>
      </c>
      <c r="AG13" s="20" t="n">
        <f aca="false">IF(AF13&gt;PR_BalDone,AF13+AF13*(D_iC)-MIN(F_CardPayM,AF13+AF13*(D_iC)),AF13)</f>
        <v>0</v>
      </c>
      <c r="AH13" s="20" t="n">
        <f aca="false">IF(AG13&gt;PR_BalDone,AG13+AG13*(D_iC)-MIN(F_CardPayM,AG13+AG13*(D_iC)),AG13)</f>
        <v>0</v>
      </c>
      <c r="AI13" s="20" t="n">
        <f aca="false">IF(AH13&gt;PR_BalDone,AH13+AH13*(D_iC)-MIN(F_CardPayM,AH13+AH13*(D_iC)),AH13)</f>
        <v>0</v>
      </c>
      <c r="AJ13" s="20" t="n">
        <f aca="false">IF(AI13&gt;PR_BalDone,AI13+AI13*(D_iC)-MIN(F_CardPayM,AI13+AI13*(D_iC)),AI13)</f>
        <v>0</v>
      </c>
      <c r="AK13" s="20" t="n">
        <f aca="false">IF(AJ13&gt;PR_BalDone,AJ13+AJ13*(D_iC)-MIN(F_CardPayM,AJ13+AJ13*(D_iC)),AJ13)</f>
        <v>0</v>
      </c>
      <c r="AL13" s="20" t="n">
        <f aca="false">IF(AK13&gt;PR_BalDone,AK13+AK13*(D_iC)-MIN(F_CardPayM,AK13+AK13*(D_iC)),AK13)</f>
        <v>0</v>
      </c>
      <c r="AM13" s="20" t="n">
        <f aca="false">IF(AL13&gt;PR_BalDone,AL13+AL13*(D_iC)-MIN(F_CardPayM,AL13+AL13*(D_iC)),AL13)</f>
        <v>0</v>
      </c>
      <c r="AN13" s="20" t="n">
        <f aca="false">IF(AM13&gt;PR_BalDone,AM13+AM13*(D_iC)-MIN(F_CardPayM,AM13+AM13*(D_iC)),AM13)</f>
        <v>0</v>
      </c>
      <c r="AO13" s="20" t="n">
        <f aca="false">IF(AN13&gt;PR_BalDone,AN13+AN13*(D_iC)-MIN(F_CardPayM,AN13+AN13*(D_iC)),AN13)</f>
        <v>0</v>
      </c>
      <c r="AP13" s="20" t="n">
        <f aca="false">IF(AO13&gt;PR_BalDone,AO13+AO13*(D_iC)-MIN(F_CardPayM,AO13+AO13*(D_iC)),AO13)</f>
        <v>0</v>
      </c>
      <c r="AQ13" s="20" t="n">
        <f aca="false">IF(AD13&gt;PR_BalDone,MIN(F_CardPayM,AD13+AD13*(D_iC)),0)</f>
        <v>0</v>
      </c>
      <c r="AR13" s="20" t="n">
        <f aca="false">IF(AE13&gt;PR_BalDone,MIN(F_CardPayM,AE13+AE13*(D_iC)),0)</f>
        <v>0</v>
      </c>
      <c r="AS13" s="20" t="n">
        <f aca="false">IF(AF13&gt;PR_BalDone,MIN(F_CardPayM,AF13+AF13*(D_iC)),0)</f>
        <v>0</v>
      </c>
      <c r="AT13" s="20" t="n">
        <f aca="false">IF(AG13&gt;PR_BalDone,MIN(F_CardPayM,AG13+AG13*(D_iC)),0)</f>
        <v>0</v>
      </c>
      <c r="AU13" s="20" t="n">
        <f aca="false">IF(AH13&gt;PR_BalDone,MIN(F_CardPayM,AH13+AH13*(D_iC)),0)</f>
        <v>0</v>
      </c>
      <c r="AV13" s="20" t="n">
        <f aca="false">IF(AI13&gt;PR_BalDone,MIN(F_CardPayM,AI13+AI13*(D_iC)),0)</f>
        <v>0</v>
      </c>
      <c r="AW13" s="20" t="n">
        <f aca="false">IF(AJ13&gt;PR_BalDone,MIN(F_CardPayM,AJ13+AJ13*(D_iC)),0)</f>
        <v>0</v>
      </c>
      <c r="AX13" s="20" t="n">
        <f aca="false">IF(AK13&gt;PR_BalDone,MIN(F_CardPayM,AK13+AK13*(D_iC)),0)</f>
        <v>0</v>
      </c>
      <c r="AY13" s="20" t="n">
        <f aca="false">IF(AL13&gt;PR_BalDone,MIN(F_CardPayM,AL13+AL13*(D_iC)),0)</f>
        <v>0</v>
      </c>
      <c r="AZ13" s="20" t="n">
        <f aca="false">IF(AM13&gt;PR_BalDone,MIN(F_CardPayM,AM13+AM13*(D_iC)),0)</f>
        <v>0</v>
      </c>
      <c r="BA13" s="20" t="n">
        <f aca="false">IF(AN13&gt;PR_BalDone,MIN(F_CardPayM,AN13+AN13*(D_iC)),0)</f>
        <v>0</v>
      </c>
      <c r="BB13" s="20" t="n">
        <f aca="false">IF(AO13&gt;PR_BalDone,MIN(F_CardPayM,AO13+AO13*(D_iC)),0)</f>
        <v>0</v>
      </c>
      <c r="BC13" s="20" t="n">
        <f aca="false">MAX(0,AP13)</f>
        <v>0</v>
      </c>
      <c r="BD13" s="20" t="n">
        <f aca="false">SUM(AQ13:BB13)</f>
        <v>0</v>
      </c>
      <c r="BE13" s="20" t="n">
        <f aca="false">'Plan cashflow'!P13</f>
        <v>0</v>
      </c>
      <c r="BF13" s="20" t="n">
        <f aca="false">IF(BE13&gt;PR_BalDone,BE13+BE13*(D_iL)-MIN(F_LoanPayM,BE13+BE13*(D_iL)),BE13)</f>
        <v>0</v>
      </c>
      <c r="BG13" s="20" t="n">
        <f aca="false">IF(BF13&gt;PR_BalDone,BF13+BF13*(D_iL)-MIN(F_LoanPayM,BF13+BF13*(D_iL)),BF13)</f>
        <v>0</v>
      </c>
      <c r="BH13" s="20" t="n">
        <f aca="false">IF(BG13&gt;PR_BalDone,BG13+BG13*(D_iL)-MIN(F_LoanPayM,BG13+BG13*(D_iL)),BG13)</f>
        <v>0</v>
      </c>
      <c r="BI13" s="20" t="n">
        <f aca="false">IF(BH13&gt;PR_BalDone,BH13+BH13*(D_iL)-MIN(F_LoanPayM,BH13+BH13*(D_iL)),BH13)</f>
        <v>0</v>
      </c>
      <c r="BJ13" s="20" t="n">
        <f aca="false">IF(BI13&gt;PR_BalDone,BI13+BI13*(D_iL)-MIN(F_LoanPayM,BI13+BI13*(D_iL)),BI13)</f>
        <v>0</v>
      </c>
      <c r="BK13" s="20" t="n">
        <f aca="false">IF(BJ13&gt;PR_BalDone,BJ13+BJ13*(D_iL)-MIN(F_LoanPayM,BJ13+BJ13*(D_iL)),BJ13)</f>
        <v>0</v>
      </c>
      <c r="BL13" s="20" t="n">
        <f aca="false">IF(BK13&gt;PR_BalDone,BK13+BK13*(D_iL)-MIN(F_LoanPayM,BK13+BK13*(D_iL)),BK13)</f>
        <v>0</v>
      </c>
      <c r="BM13" s="20" t="n">
        <f aca="false">IF(BL13&gt;PR_BalDone,BL13+BL13*(D_iL)-MIN(F_LoanPayM,BL13+BL13*(D_iL)),BL13)</f>
        <v>0</v>
      </c>
      <c r="BN13" s="20" t="n">
        <f aca="false">IF(BM13&gt;PR_BalDone,BM13+BM13*(D_iL)-MIN(F_LoanPayM,BM13+BM13*(D_iL)),BM13)</f>
        <v>0</v>
      </c>
      <c r="BO13" s="20" t="n">
        <f aca="false">IF(BN13&gt;PR_BalDone,BN13+BN13*(D_iL)-MIN(F_LoanPayM,BN13+BN13*(D_iL)),BN13)</f>
        <v>0</v>
      </c>
      <c r="BP13" s="20" t="n">
        <f aca="false">IF(BO13&gt;PR_BalDone,BO13+BO13*(D_iL)-MIN(F_LoanPayM,BO13+BO13*(D_iL)),BO13)</f>
        <v>0</v>
      </c>
      <c r="BQ13" s="20" t="n">
        <f aca="false">IF(BP13&gt;PR_BalDone,BP13+BP13*(D_iL)-MIN(F_LoanPayM,BP13+BP13*(D_iL)),BP13)</f>
        <v>0</v>
      </c>
      <c r="BR13" s="20" t="n">
        <f aca="false">IF(BE13&gt;PR_BalDone,MIN(F_LoanPayM,BE13+BE13*(D_iL)),0)</f>
        <v>0</v>
      </c>
      <c r="BS13" s="20" t="n">
        <f aca="false">IF(BF13&gt;PR_BalDone,MIN(F_LoanPayM,BF13+BF13*(D_iL)),0)</f>
        <v>0</v>
      </c>
      <c r="BT13" s="20" t="n">
        <f aca="false">IF(BG13&gt;PR_BalDone,MIN(F_LoanPayM,BG13+BG13*(D_iL)),0)</f>
        <v>0</v>
      </c>
      <c r="BU13" s="20" t="n">
        <f aca="false">IF(BH13&gt;PR_BalDone,MIN(F_LoanPayM,BH13+BH13*(D_iL)),0)</f>
        <v>0</v>
      </c>
      <c r="BV13" s="20" t="n">
        <f aca="false">IF(BI13&gt;PR_BalDone,MIN(F_LoanPayM,BI13+BI13*(D_iL)),0)</f>
        <v>0</v>
      </c>
      <c r="BW13" s="20" t="n">
        <f aca="false">IF(BJ13&gt;PR_BalDone,MIN(F_LoanPayM,BJ13+BJ13*(D_iL)),0)</f>
        <v>0</v>
      </c>
      <c r="BX13" s="20" t="n">
        <f aca="false">IF(BK13&gt;PR_BalDone,MIN(F_LoanPayM,BK13+BK13*(D_iL)),0)</f>
        <v>0</v>
      </c>
      <c r="BY13" s="20" t="n">
        <f aca="false">IF(BL13&gt;PR_BalDone,MIN(F_LoanPayM,BL13+BL13*(D_iL)),0)</f>
        <v>0</v>
      </c>
      <c r="BZ13" s="20" t="n">
        <f aca="false">IF(BM13&gt;PR_BalDone,MIN(F_LoanPayM,BM13+BM13*(D_iL)),0)</f>
        <v>0</v>
      </c>
      <c r="CA13" s="20" t="n">
        <f aca="false">IF(BN13&gt;PR_BalDone,MIN(F_LoanPayM,BN13+BN13*(D_iL)),0)</f>
        <v>0</v>
      </c>
      <c r="CB13" s="20" t="n">
        <f aca="false">IF(BO13&gt;PR_BalDone,MIN(F_LoanPayM,BO13+BO13*(D_iL)),0)</f>
        <v>0</v>
      </c>
      <c r="CC13" s="20" t="n">
        <f aca="false">IF(BP13&gt;PR_BalDone,MIN(F_LoanPayM,BP13+BP13*(D_iL)),0)</f>
        <v>0</v>
      </c>
      <c r="CD13" s="20" t="n">
        <f aca="false">MAX(0,BQ13)</f>
        <v>0</v>
      </c>
      <c r="CE13" s="20" t="n">
        <f aca="false">SUM(BR13:CC13)</f>
        <v>0</v>
      </c>
      <c r="CF13" s="20" t="n">
        <f aca="false">IF(CF12&gt;1,DE12,CF12)</f>
        <v>168928.367821573</v>
      </c>
      <c r="CG13" s="20" t="n">
        <f aca="false">IF(CF13&gt;PR_BalDone,CF13+CF13*(F_MR/12)-MIN(F_MortPayM,CF13+CF13*(F_MR/12)),CF13)</f>
        <v>168290.346335001</v>
      </c>
      <c r="CH13" s="20" t="n">
        <f aca="false">IF(CG13&gt;PR_BalDone,CG13+CG13*(F_MR/12)-MIN(F_MortPayM,CG13+CG13*(F_MR/12)),CG13)</f>
        <v>167650.277862826</v>
      </c>
      <c r="CI13" s="20" t="n">
        <f aca="false">IF(CH13&gt;PR_BalDone,CH13+CH13*(F_MR/12)-MIN(F_MortPayM,CH13+CH13*(F_MR/12)),CH13)</f>
        <v>167008.155837635</v>
      </c>
      <c r="CJ13" s="20" t="n">
        <f aca="false">IF(CI13&gt;PR_BalDone,CI13+CI13*(F_MR/12)-MIN(F_MortPayM,CI13+CI13*(F_MR/12)),CI13)</f>
        <v>166363.973670948</v>
      </c>
      <c r="CK13" s="20" t="n">
        <f aca="false">IF(CJ13&gt;PR_BalDone,CJ13+CJ13*(F_MR/12)-MIN(F_MortPayM,CJ13+CJ13*(F_MR/12)),CJ13)</f>
        <v>165717.724753142</v>
      </c>
      <c r="CL13" s="20" t="n">
        <f aca="false">IF(CK13&gt;PR_BalDone,CK13+CK13*(F_MR/12)-MIN(F_MortPayM,CK13+CK13*(F_MR/12)),CK13)</f>
        <v>165069.402453392</v>
      </c>
      <c r="CM13" s="20" t="n">
        <f aca="false">IF(CL13&gt;PR_BalDone,CL13+CL13*(F_MR/12)-MIN(F_MortPayM,CL13+CL13*(F_MR/12)),CL13)</f>
        <v>164419.000119596</v>
      </c>
      <c r="CN13" s="20" t="n">
        <f aca="false">IF(CM13&gt;PR_BalDone,CM13+CM13*(F_MR/12)-MIN(F_MortPayM,CM13+CM13*(F_MR/12)),CM13)</f>
        <v>163766.511078313</v>
      </c>
      <c r="CO13" s="20" t="n">
        <f aca="false">IF(CN13&gt;PR_BalDone,CN13+CN13*(F_MR/12)-MIN(F_MortPayM,CN13+CN13*(F_MR/12)),CN13)</f>
        <v>163111.92863469</v>
      </c>
      <c r="CP13" s="20" t="n">
        <f aca="false">IF(CO13&gt;PR_BalDone,CO13+CO13*(F_MR/12)-MIN(F_MortPayM,CO13+CO13*(F_MR/12)),CO13)</f>
        <v>162455.246072393</v>
      </c>
      <c r="CQ13" s="20" t="n">
        <f aca="false">IF(CP13&gt;PR_BalDone,CP13+CP13*(F_MR/12)-MIN(F_MortPayM,CP13+CP13*(F_MR/12)),CP13)</f>
        <v>161796.456653542</v>
      </c>
      <c r="CR13" s="20" t="n">
        <f aca="false">IF(CQ13&gt;PR_BalDone,CQ13+CQ13*(F_MR/12)-MIN(F_MortPayM,CQ13+CQ13*(F_MR/12)),CQ13)</f>
        <v>161135.553618638</v>
      </c>
      <c r="CS13" s="20" t="n">
        <f aca="false">IF(CF13&gt;PR_BalDone,MIN(F_MortPayM,CF13+CF13*(F_MR/12)),0)</f>
        <v>1180</v>
      </c>
      <c r="CT13" s="20" t="n">
        <f aca="false">IF(CG13&gt;PR_BalDone,MIN(F_MortPayM,CG13+CG13*(F_MR/12)),0)</f>
        <v>1180</v>
      </c>
      <c r="CU13" s="20" t="n">
        <f aca="false">IF(CH13&gt;PR_BalDone,MIN(F_MortPayM,CH13+CH13*(F_MR/12)),0)</f>
        <v>1180</v>
      </c>
      <c r="CV13" s="20" t="n">
        <f aca="false">IF(CI13&gt;PR_BalDone,MIN(F_MortPayM,CI13+CI13*(F_MR/12)),0)</f>
        <v>1180</v>
      </c>
      <c r="CW13" s="20" t="n">
        <f aca="false">IF(CJ13&gt;PR_BalDone,MIN(F_MortPayM,CJ13+CJ13*(F_MR/12)),0)</f>
        <v>1180</v>
      </c>
      <c r="CX13" s="20" t="n">
        <f aca="false">IF(CK13&gt;PR_BalDone,MIN(F_MortPayM,CK13+CK13*(F_MR/12)),0)</f>
        <v>1180</v>
      </c>
      <c r="CY13" s="20" t="n">
        <f aca="false">IF(CL13&gt;PR_BalDone,MIN(F_MortPayM,CL13+CL13*(F_MR/12)),0)</f>
        <v>1180</v>
      </c>
      <c r="CZ13" s="20" t="n">
        <f aca="false">IF(CM13&gt;PR_BalDone,MIN(F_MortPayM,CM13+CM13*(F_MR/12)),0)</f>
        <v>1180</v>
      </c>
      <c r="DA13" s="20" t="n">
        <f aca="false">IF(CN13&gt;PR_BalDone,MIN(F_MortPayM,CN13+CN13*(F_MR/12)),0)</f>
        <v>1180</v>
      </c>
      <c r="DB13" s="20" t="n">
        <f aca="false">IF(CO13&gt;PR_BalDone,MIN(F_MortPayM,CO13+CO13*(F_MR/12)),0)</f>
        <v>1180</v>
      </c>
      <c r="DC13" s="20" t="n">
        <f aca="false">IF(CP13&gt;PR_BalDone,MIN(F_MortPayM,CP13+CP13*(F_MR/12)),0)</f>
        <v>1180</v>
      </c>
      <c r="DD13" s="20" t="n">
        <f aca="false">IF(CQ13&gt;PR_BalDone,MIN(F_MortPayM,CQ13+CQ13*(F_MR/12)),0)</f>
        <v>1180</v>
      </c>
      <c r="DE13" s="20" t="n">
        <f aca="false">MAX(0,CR13)</f>
        <v>161135.553618638</v>
      </c>
      <c r="DF13" s="20" t="n">
        <f aca="false">SUM(CS13:DD13)</f>
        <v>14160</v>
      </c>
      <c r="DG13" s="20" t="n">
        <f aca="false">MAX(0,CF13)</f>
        <v>168928.367821573</v>
      </c>
    </row>
    <row r="14" customFormat="false" ht="15" hidden="false" customHeight="true" outlineLevel="0" collapsed="false">
      <c r="B14" s="20" t="n">
        <v>6</v>
      </c>
      <c r="C14" s="20" t="n">
        <f aca="false">'Plan cashflow'!J14</f>
        <v>161135.553618638</v>
      </c>
      <c r="D14" s="20" t="n">
        <f aca="false">IF(C14&gt;PR_BalDone,C14+C14*(F_MR/12)-MIN(F_MortPayM,C14+C14*(F_MR/12)),C14)</f>
        <v>160472.530186498</v>
      </c>
      <c r="E14" s="20" t="n">
        <f aca="false">IF(D14&gt;PR_BalDone,D14+D14*(F_MR/12)-MIN(F_MortPayM,D14+D14*(F_MR/12)),D14)</f>
        <v>159807.37955418</v>
      </c>
      <c r="F14" s="20" t="n">
        <f aca="false">IF(E14&gt;PR_BalDone,E14+E14*(F_MR/12)-MIN(F_MortPayM,E14+E14*(F_MR/12)),E14)</f>
        <v>159140.094896916</v>
      </c>
      <c r="G14" s="20" t="n">
        <f aca="false">IF(F14&gt;PR_BalDone,F14+F14*(F_MR/12)-MIN(F_MortPayM,F14+F14*(F_MR/12)),F14)</f>
        <v>158470.669368044</v>
      </c>
      <c r="H14" s="20" t="n">
        <f aca="false">IF(G14&gt;PR_BalDone,G14+G14*(F_MR/12)-MIN(F_MortPayM,G14+G14*(F_MR/12)),G14)</f>
        <v>157799.096098933</v>
      </c>
      <c r="I14" s="20" t="n">
        <f aca="false">IF(H14&gt;PR_BalDone,H14+H14*(F_MR/12)-MIN(F_MortPayM,H14+H14*(F_MR/12)),H14)</f>
        <v>157125.368198917</v>
      </c>
      <c r="J14" s="20" t="n">
        <f aca="false">IF(I14&gt;PR_BalDone,I14+I14*(F_MR/12)-MIN(F_MortPayM,I14+I14*(F_MR/12)),I14)</f>
        <v>156449.478755222</v>
      </c>
      <c r="K14" s="20" t="n">
        <f aca="false">IF(J14&gt;PR_BalDone,J14+J14*(F_MR/12)-MIN(F_MortPayM,J14+J14*(F_MR/12)),J14)</f>
        <v>155771.420832895</v>
      </c>
      <c r="L14" s="20" t="n">
        <f aca="false">IF(K14&gt;PR_BalDone,K14+K14*(F_MR/12)-MIN(F_MortPayM,K14+K14*(F_MR/12)),K14)</f>
        <v>155091.187474734</v>
      </c>
      <c r="M14" s="20" t="n">
        <f aca="false">IF(L14&gt;PR_BalDone,L14+L14*(F_MR/12)-MIN(F_MortPayM,L14+L14*(F_MR/12)),L14)</f>
        <v>154408.771701215</v>
      </c>
      <c r="N14" s="20" t="n">
        <f aca="false">IF(M14&gt;PR_BalDone,M14+M14*(F_MR/12)-MIN(F_MortPayM,M14+M14*(F_MR/12)),M14)</f>
        <v>153724.166510423</v>
      </c>
      <c r="O14" s="20" t="n">
        <f aca="false">IF(N14&gt;PR_BalDone,N14+N14*(F_MR/12)-MIN(F_MortPayM,N14+N14*(F_MR/12)),N14)</f>
        <v>153037.364877978</v>
      </c>
      <c r="P14" s="20" t="n">
        <f aca="false">IF(C14&gt;PR_BalDone,MIN(F_MortPayM,C14+C14*(F_MR/12)),0)</f>
        <v>1180</v>
      </c>
      <c r="Q14" s="20" t="n">
        <f aca="false">IF(D14&gt;PR_BalDone,MIN(F_MortPayM,D14+D14*(F_MR/12)),0)</f>
        <v>1180</v>
      </c>
      <c r="R14" s="20" t="n">
        <f aca="false">IF(E14&gt;PR_BalDone,MIN(F_MortPayM,E14+E14*(F_MR/12)),0)</f>
        <v>1180</v>
      </c>
      <c r="S14" s="20" t="n">
        <f aca="false">IF(F14&gt;PR_BalDone,MIN(F_MortPayM,F14+F14*(F_MR/12)),0)</f>
        <v>1180</v>
      </c>
      <c r="T14" s="20" t="n">
        <f aca="false">IF(G14&gt;PR_BalDone,MIN(F_MortPayM,G14+G14*(F_MR/12)),0)</f>
        <v>1180</v>
      </c>
      <c r="U14" s="20" t="n">
        <f aca="false">IF(H14&gt;PR_BalDone,MIN(F_MortPayM,H14+H14*(F_MR/12)),0)</f>
        <v>1180</v>
      </c>
      <c r="V14" s="20" t="n">
        <f aca="false">IF(I14&gt;PR_BalDone,MIN(F_MortPayM,I14+I14*(F_MR/12)),0)</f>
        <v>1180</v>
      </c>
      <c r="W14" s="20" t="n">
        <f aca="false">IF(J14&gt;PR_BalDone,MIN(F_MortPayM,J14+J14*(F_MR/12)),0)</f>
        <v>1180</v>
      </c>
      <c r="X14" s="20" t="n">
        <f aca="false">IF(K14&gt;PR_BalDone,MIN(F_MortPayM,K14+K14*(F_MR/12)),0)</f>
        <v>1180</v>
      </c>
      <c r="Y14" s="20" t="n">
        <f aca="false">IF(L14&gt;PR_BalDone,MIN(F_MortPayM,L14+L14*(F_MR/12)),0)</f>
        <v>1180</v>
      </c>
      <c r="Z14" s="20" t="n">
        <f aca="false">IF(M14&gt;PR_BalDone,MIN(F_MortPayM,M14+M14*(F_MR/12)),0)</f>
        <v>1180</v>
      </c>
      <c r="AA14" s="20" t="n">
        <f aca="false">IF(N14&gt;PR_BalDone,MIN(F_MortPayM,N14+N14*(F_MR/12)),0)</f>
        <v>1180</v>
      </c>
      <c r="AB14" s="20" t="n">
        <f aca="false">MAX(0,O14)</f>
        <v>153037.364877978</v>
      </c>
      <c r="AC14" s="20" t="n">
        <f aca="false">SUM(P14:AA14)</f>
        <v>14160</v>
      </c>
      <c r="AD14" s="20" t="n">
        <f aca="false">'Plan cashflow'!M14</f>
        <v>0</v>
      </c>
      <c r="AE14" s="20" t="n">
        <f aca="false">IF(AD14&gt;PR_BalDone,AD14+AD14*(D_iC)-MIN(F_CardPayM,AD14+AD14*(D_iC)),AD14)</f>
        <v>0</v>
      </c>
      <c r="AF14" s="20" t="n">
        <f aca="false">IF(AE14&gt;PR_BalDone,AE14+AE14*(D_iC)-MIN(F_CardPayM,AE14+AE14*(D_iC)),AE14)</f>
        <v>0</v>
      </c>
      <c r="AG14" s="20" t="n">
        <f aca="false">IF(AF14&gt;PR_BalDone,AF14+AF14*(D_iC)-MIN(F_CardPayM,AF14+AF14*(D_iC)),AF14)</f>
        <v>0</v>
      </c>
      <c r="AH14" s="20" t="n">
        <f aca="false">IF(AG14&gt;PR_BalDone,AG14+AG14*(D_iC)-MIN(F_CardPayM,AG14+AG14*(D_iC)),AG14)</f>
        <v>0</v>
      </c>
      <c r="AI14" s="20" t="n">
        <f aca="false">IF(AH14&gt;PR_BalDone,AH14+AH14*(D_iC)-MIN(F_CardPayM,AH14+AH14*(D_iC)),AH14)</f>
        <v>0</v>
      </c>
      <c r="AJ14" s="20" t="n">
        <f aca="false">IF(AI14&gt;PR_BalDone,AI14+AI14*(D_iC)-MIN(F_CardPayM,AI14+AI14*(D_iC)),AI14)</f>
        <v>0</v>
      </c>
      <c r="AK14" s="20" t="n">
        <f aca="false">IF(AJ14&gt;PR_BalDone,AJ14+AJ14*(D_iC)-MIN(F_CardPayM,AJ14+AJ14*(D_iC)),AJ14)</f>
        <v>0</v>
      </c>
      <c r="AL14" s="20" t="n">
        <f aca="false">IF(AK14&gt;PR_BalDone,AK14+AK14*(D_iC)-MIN(F_CardPayM,AK14+AK14*(D_iC)),AK14)</f>
        <v>0</v>
      </c>
      <c r="AM14" s="20" t="n">
        <f aca="false">IF(AL14&gt;PR_BalDone,AL14+AL14*(D_iC)-MIN(F_CardPayM,AL14+AL14*(D_iC)),AL14)</f>
        <v>0</v>
      </c>
      <c r="AN14" s="20" t="n">
        <f aca="false">IF(AM14&gt;PR_BalDone,AM14+AM14*(D_iC)-MIN(F_CardPayM,AM14+AM14*(D_iC)),AM14)</f>
        <v>0</v>
      </c>
      <c r="AO14" s="20" t="n">
        <f aca="false">IF(AN14&gt;PR_BalDone,AN14+AN14*(D_iC)-MIN(F_CardPayM,AN14+AN14*(D_iC)),AN14)</f>
        <v>0</v>
      </c>
      <c r="AP14" s="20" t="n">
        <f aca="false">IF(AO14&gt;PR_BalDone,AO14+AO14*(D_iC)-MIN(F_CardPayM,AO14+AO14*(D_iC)),AO14)</f>
        <v>0</v>
      </c>
      <c r="AQ14" s="20" t="n">
        <f aca="false">IF(AD14&gt;PR_BalDone,MIN(F_CardPayM,AD14+AD14*(D_iC)),0)</f>
        <v>0</v>
      </c>
      <c r="AR14" s="20" t="n">
        <f aca="false">IF(AE14&gt;PR_BalDone,MIN(F_CardPayM,AE14+AE14*(D_iC)),0)</f>
        <v>0</v>
      </c>
      <c r="AS14" s="20" t="n">
        <f aca="false">IF(AF14&gt;PR_BalDone,MIN(F_CardPayM,AF14+AF14*(D_iC)),0)</f>
        <v>0</v>
      </c>
      <c r="AT14" s="20" t="n">
        <f aca="false">IF(AG14&gt;PR_BalDone,MIN(F_CardPayM,AG14+AG14*(D_iC)),0)</f>
        <v>0</v>
      </c>
      <c r="AU14" s="20" t="n">
        <f aca="false">IF(AH14&gt;PR_BalDone,MIN(F_CardPayM,AH14+AH14*(D_iC)),0)</f>
        <v>0</v>
      </c>
      <c r="AV14" s="20" t="n">
        <f aca="false">IF(AI14&gt;PR_BalDone,MIN(F_CardPayM,AI14+AI14*(D_iC)),0)</f>
        <v>0</v>
      </c>
      <c r="AW14" s="20" t="n">
        <f aca="false">IF(AJ14&gt;PR_BalDone,MIN(F_CardPayM,AJ14+AJ14*(D_iC)),0)</f>
        <v>0</v>
      </c>
      <c r="AX14" s="20" t="n">
        <f aca="false">IF(AK14&gt;PR_BalDone,MIN(F_CardPayM,AK14+AK14*(D_iC)),0)</f>
        <v>0</v>
      </c>
      <c r="AY14" s="20" t="n">
        <f aca="false">IF(AL14&gt;PR_BalDone,MIN(F_CardPayM,AL14+AL14*(D_iC)),0)</f>
        <v>0</v>
      </c>
      <c r="AZ14" s="20" t="n">
        <f aca="false">IF(AM14&gt;PR_BalDone,MIN(F_CardPayM,AM14+AM14*(D_iC)),0)</f>
        <v>0</v>
      </c>
      <c r="BA14" s="20" t="n">
        <f aca="false">IF(AN14&gt;PR_BalDone,MIN(F_CardPayM,AN14+AN14*(D_iC)),0)</f>
        <v>0</v>
      </c>
      <c r="BB14" s="20" t="n">
        <f aca="false">IF(AO14&gt;PR_BalDone,MIN(F_CardPayM,AO14+AO14*(D_iC)),0)</f>
        <v>0</v>
      </c>
      <c r="BC14" s="20" t="n">
        <f aca="false">MAX(0,AP14)</f>
        <v>0</v>
      </c>
      <c r="BD14" s="20" t="n">
        <f aca="false">SUM(AQ14:BB14)</f>
        <v>0</v>
      </c>
      <c r="BE14" s="20" t="n">
        <f aca="false">'Plan cashflow'!P14</f>
        <v>0</v>
      </c>
      <c r="BF14" s="20" t="n">
        <f aca="false">IF(BE14&gt;PR_BalDone,BE14+BE14*(D_iL)-MIN(F_LoanPayM,BE14+BE14*(D_iL)),BE14)</f>
        <v>0</v>
      </c>
      <c r="BG14" s="20" t="n">
        <f aca="false">IF(BF14&gt;PR_BalDone,BF14+BF14*(D_iL)-MIN(F_LoanPayM,BF14+BF14*(D_iL)),BF14)</f>
        <v>0</v>
      </c>
      <c r="BH14" s="20" t="n">
        <f aca="false">IF(BG14&gt;PR_BalDone,BG14+BG14*(D_iL)-MIN(F_LoanPayM,BG14+BG14*(D_iL)),BG14)</f>
        <v>0</v>
      </c>
      <c r="BI14" s="20" t="n">
        <f aca="false">IF(BH14&gt;PR_BalDone,BH14+BH14*(D_iL)-MIN(F_LoanPayM,BH14+BH14*(D_iL)),BH14)</f>
        <v>0</v>
      </c>
      <c r="BJ14" s="20" t="n">
        <f aca="false">IF(BI14&gt;PR_BalDone,BI14+BI14*(D_iL)-MIN(F_LoanPayM,BI14+BI14*(D_iL)),BI14)</f>
        <v>0</v>
      </c>
      <c r="BK14" s="20" t="n">
        <f aca="false">IF(BJ14&gt;PR_BalDone,BJ14+BJ14*(D_iL)-MIN(F_LoanPayM,BJ14+BJ14*(D_iL)),BJ14)</f>
        <v>0</v>
      </c>
      <c r="BL14" s="20" t="n">
        <f aca="false">IF(BK14&gt;PR_BalDone,BK14+BK14*(D_iL)-MIN(F_LoanPayM,BK14+BK14*(D_iL)),BK14)</f>
        <v>0</v>
      </c>
      <c r="BM14" s="20" t="n">
        <f aca="false">IF(BL14&gt;PR_BalDone,BL14+BL14*(D_iL)-MIN(F_LoanPayM,BL14+BL14*(D_iL)),BL14)</f>
        <v>0</v>
      </c>
      <c r="BN14" s="20" t="n">
        <f aca="false">IF(BM14&gt;PR_BalDone,BM14+BM14*(D_iL)-MIN(F_LoanPayM,BM14+BM14*(D_iL)),BM14)</f>
        <v>0</v>
      </c>
      <c r="BO14" s="20" t="n">
        <f aca="false">IF(BN14&gt;PR_BalDone,BN14+BN14*(D_iL)-MIN(F_LoanPayM,BN14+BN14*(D_iL)),BN14)</f>
        <v>0</v>
      </c>
      <c r="BP14" s="20" t="n">
        <f aca="false">IF(BO14&gt;PR_BalDone,BO14+BO14*(D_iL)-MIN(F_LoanPayM,BO14+BO14*(D_iL)),BO14)</f>
        <v>0</v>
      </c>
      <c r="BQ14" s="20" t="n">
        <f aca="false">IF(BP14&gt;PR_BalDone,BP14+BP14*(D_iL)-MIN(F_LoanPayM,BP14+BP14*(D_iL)),BP14)</f>
        <v>0</v>
      </c>
      <c r="BR14" s="20" t="n">
        <f aca="false">IF(BE14&gt;PR_BalDone,MIN(F_LoanPayM,BE14+BE14*(D_iL)),0)</f>
        <v>0</v>
      </c>
      <c r="BS14" s="20" t="n">
        <f aca="false">IF(BF14&gt;PR_BalDone,MIN(F_LoanPayM,BF14+BF14*(D_iL)),0)</f>
        <v>0</v>
      </c>
      <c r="BT14" s="20" t="n">
        <f aca="false">IF(BG14&gt;PR_BalDone,MIN(F_LoanPayM,BG14+BG14*(D_iL)),0)</f>
        <v>0</v>
      </c>
      <c r="BU14" s="20" t="n">
        <f aca="false">IF(BH14&gt;PR_BalDone,MIN(F_LoanPayM,BH14+BH14*(D_iL)),0)</f>
        <v>0</v>
      </c>
      <c r="BV14" s="20" t="n">
        <f aca="false">IF(BI14&gt;PR_BalDone,MIN(F_LoanPayM,BI14+BI14*(D_iL)),0)</f>
        <v>0</v>
      </c>
      <c r="BW14" s="20" t="n">
        <f aca="false">IF(BJ14&gt;PR_BalDone,MIN(F_LoanPayM,BJ14+BJ14*(D_iL)),0)</f>
        <v>0</v>
      </c>
      <c r="BX14" s="20" t="n">
        <f aca="false">IF(BK14&gt;PR_BalDone,MIN(F_LoanPayM,BK14+BK14*(D_iL)),0)</f>
        <v>0</v>
      </c>
      <c r="BY14" s="20" t="n">
        <f aca="false">IF(BL14&gt;PR_BalDone,MIN(F_LoanPayM,BL14+BL14*(D_iL)),0)</f>
        <v>0</v>
      </c>
      <c r="BZ14" s="20" t="n">
        <f aca="false">IF(BM14&gt;PR_BalDone,MIN(F_LoanPayM,BM14+BM14*(D_iL)),0)</f>
        <v>0</v>
      </c>
      <c r="CA14" s="20" t="n">
        <f aca="false">IF(BN14&gt;PR_BalDone,MIN(F_LoanPayM,BN14+BN14*(D_iL)),0)</f>
        <v>0</v>
      </c>
      <c r="CB14" s="20" t="n">
        <f aca="false">IF(BO14&gt;PR_BalDone,MIN(F_LoanPayM,BO14+BO14*(D_iL)),0)</f>
        <v>0</v>
      </c>
      <c r="CC14" s="20" t="n">
        <f aca="false">IF(BP14&gt;PR_BalDone,MIN(F_LoanPayM,BP14+BP14*(D_iL)),0)</f>
        <v>0</v>
      </c>
      <c r="CD14" s="20" t="n">
        <f aca="false">MAX(0,BQ14)</f>
        <v>0</v>
      </c>
      <c r="CE14" s="20" t="n">
        <f aca="false">SUM(BR14:CC14)</f>
        <v>0</v>
      </c>
      <c r="CF14" s="20" t="n">
        <f aca="false">IF(CF13&gt;1,DE13,CF13)</f>
        <v>161135.553618638</v>
      </c>
      <c r="CG14" s="20" t="n">
        <f aca="false">IF(CF14&gt;PR_BalDone,CF14+CF14*(F_MR/12)-MIN(F_MortPayM,CF14+CF14*(F_MR/12)),CF14)</f>
        <v>160472.530186498</v>
      </c>
      <c r="CH14" s="20" t="n">
        <f aca="false">IF(CG14&gt;PR_BalDone,CG14+CG14*(F_MR/12)-MIN(F_MortPayM,CG14+CG14*(F_MR/12)),CG14)</f>
        <v>159807.37955418</v>
      </c>
      <c r="CI14" s="20" t="n">
        <f aca="false">IF(CH14&gt;PR_BalDone,CH14+CH14*(F_MR/12)-MIN(F_MortPayM,CH14+CH14*(F_MR/12)),CH14)</f>
        <v>159140.094896916</v>
      </c>
      <c r="CJ14" s="20" t="n">
        <f aca="false">IF(CI14&gt;PR_BalDone,CI14+CI14*(F_MR/12)-MIN(F_MortPayM,CI14+CI14*(F_MR/12)),CI14)</f>
        <v>158470.669368044</v>
      </c>
      <c r="CK14" s="20" t="n">
        <f aca="false">IF(CJ14&gt;PR_BalDone,CJ14+CJ14*(F_MR/12)-MIN(F_MortPayM,CJ14+CJ14*(F_MR/12)),CJ14)</f>
        <v>157799.096098933</v>
      </c>
      <c r="CL14" s="20" t="n">
        <f aca="false">IF(CK14&gt;PR_BalDone,CK14+CK14*(F_MR/12)-MIN(F_MortPayM,CK14+CK14*(F_MR/12)),CK14)</f>
        <v>157125.368198917</v>
      </c>
      <c r="CM14" s="20" t="n">
        <f aca="false">IF(CL14&gt;PR_BalDone,CL14+CL14*(F_MR/12)-MIN(F_MortPayM,CL14+CL14*(F_MR/12)),CL14)</f>
        <v>156449.478755222</v>
      </c>
      <c r="CN14" s="20" t="n">
        <f aca="false">IF(CM14&gt;PR_BalDone,CM14+CM14*(F_MR/12)-MIN(F_MortPayM,CM14+CM14*(F_MR/12)),CM14)</f>
        <v>155771.420832895</v>
      </c>
      <c r="CO14" s="20" t="n">
        <f aca="false">IF(CN14&gt;PR_BalDone,CN14+CN14*(F_MR/12)-MIN(F_MortPayM,CN14+CN14*(F_MR/12)),CN14)</f>
        <v>155091.187474734</v>
      </c>
      <c r="CP14" s="20" t="n">
        <f aca="false">IF(CO14&gt;PR_BalDone,CO14+CO14*(F_MR/12)-MIN(F_MortPayM,CO14+CO14*(F_MR/12)),CO14)</f>
        <v>154408.771701215</v>
      </c>
      <c r="CQ14" s="20" t="n">
        <f aca="false">IF(CP14&gt;PR_BalDone,CP14+CP14*(F_MR/12)-MIN(F_MortPayM,CP14+CP14*(F_MR/12)),CP14)</f>
        <v>153724.166510423</v>
      </c>
      <c r="CR14" s="20" t="n">
        <f aca="false">IF(CQ14&gt;PR_BalDone,CQ14+CQ14*(F_MR/12)-MIN(F_MortPayM,CQ14+CQ14*(F_MR/12)),CQ14)</f>
        <v>153037.364877978</v>
      </c>
      <c r="CS14" s="20" t="n">
        <f aca="false">IF(CF14&gt;PR_BalDone,MIN(F_MortPayM,CF14+CF14*(F_MR/12)),0)</f>
        <v>1180</v>
      </c>
      <c r="CT14" s="20" t="n">
        <f aca="false">IF(CG14&gt;PR_BalDone,MIN(F_MortPayM,CG14+CG14*(F_MR/12)),0)</f>
        <v>1180</v>
      </c>
      <c r="CU14" s="20" t="n">
        <f aca="false">IF(CH14&gt;PR_BalDone,MIN(F_MortPayM,CH14+CH14*(F_MR/12)),0)</f>
        <v>1180</v>
      </c>
      <c r="CV14" s="20" t="n">
        <f aca="false">IF(CI14&gt;PR_BalDone,MIN(F_MortPayM,CI14+CI14*(F_MR/12)),0)</f>
        <v>1180</v>
      </c>
      <c r="CW14" s="20" t="n">
        <f aca="false">IF(CJ14&gt;PR_BalDone,MIN(F_MortPayM,CJ14+CJ14*(F_MR/12)),0)</f>
        <v>1180</v>
      </c>
      <c r="CX14" s="20" t="n">
        <f aca="false">IF(CK14&gt;PR_BalDone,MIN(F_MortPayM,CK14+CK14*(F_MR/12)),0)</f>
        <v>1180</v>
      </c>
      <c r="CY14" s="20" t="n">
        <f aca="false">IF(CL14&gt;PR_BalDone,MIN(F_MortPayM,CL14+CL14*(F_MR/12)),0)</f>
        <v>1180</v>
      </c>
      <c r="CZ14" s="20" t="n">
        <f aca="false">IF(CM14&gt;PR_BalDone,MIN(F_MortPayM,CM14+CM14*(F_MR/12)),0)</f>
        <v>1180</v>
      </c>
      <c r="DA14" s="20" t="n">
        <f aca="false">IF(CN14&gt;PR_BalDone,MIN(F_MortPayM,CN14+CN14*(F_MR/12)),0)</f>
        <v>1180</v>
      </c>
      <c r="DB14" s="20" t="n">
        <f aca="false">IF(CO14&gt;PR_BalDone,MIN(F_MortPayM,CO14+CO14*(F_MR/12)),0)</f>
        <v>1180</v>
      </c>
      <c r="DC14" s="20" t="n">
        <f aca="false">IF(CP14&gt;PR_BalDone,MIN(F_MortPayM,CP14+CP14*(F_MR/12)),0)</f>
        <v>1180</v>
      </c>
      <c r="DD14" s="20" t="n">
        <f aca="false">IF(CQ14&gt;PR_BalDone,MIN(F_MortPayM,CQ14+CQ14*(F_MR/12)),0)</f>
        <v>1180</v>
      </c>
      <c r="DE14" s="20" t="n">
        <f aca="false">MAX(0,CR14)</f>
        <v>153037.364877978</v>
      </c>
      <c r="DF14" s="20" t="n">
        <f aca="false">SUM(CS14:DD14)</f>
        <v>14160</v>
      </c>
      <c r="DG14" s="20" t="n">
        <f aca="false">MAX(0,CF14)</f>
        <v>161135.553618638</v>
      </c>
    </row>
    <row r="15" customFormat="false" ht="15" hidden="false" customHeight="true" outlineLevel="0" collapsed="false">
      <c r="B15" s="20" t="n">
        <v>7</v>
      </c>
      <c r="C15" s="20" t="n">
        <f aca="false">'Plan cashflow'!J15</f>
        <v>153037.364877978</v>
      </c>
      <c r="D15" s="20" t="n">
        <f aca="false">IF(C15&gt;PR_BalDone,C15+C15*(F_MR/12)-MIN(F_MortPayM,C15+C15*(F_MR/12)),C15)</f>
        <v>152348.359756961</v>
      </c>
      <c r="E15" s="20" t="n">
        <f aca="false">IF(D15&gt;PR_BalDone,D15+D15*(F_MR/12)-MIN(F_MortPayM,D15+D15*(F_MR/12)),D15)</f>
        <v>151657.144077848</v>
      </c>
      <c r="F15" s="20" t="n">
        <f aca="false">IF(E15&gt;PR_BalDone,E15+E15*(F_MR/12)-MIN(F_MortPayM,E15+E15*(F_MR/12)),E15)</f>
        <v>150963.710748431</v>
      </c>
      <c r="G15" s="20" t="n">
        <f aca="false">IF(F15&gt;PR_BalDone,F15+F15*(F_MR/12)-MIN(F_MortPayM,F15+F15*(F_MR/12)),F15)</f>
        <v>150268.052653749</v>
      </c>
      <c r="H15" s="20" t="n">
        <f aca="false">IF(G15&gt;PR_BalDone,G15+G15*(F_MR/12)-MIN(F_MortPayM,G15+G15*(F_MR/12)),G15)</f>
        <v>149570.162656013</v>
      </c>
      <c r="I15" s="20" t="n">
        <f aca="false">IF(H15&gt;PR_BalDone,H15+H15*(F_MR/12)-MIN(F_MortPayM,H15+H15*(F_MR/12)),H15)</f>
        <v>148870.033594534</v>
      </c>
      <c r="J15" s="20" t="n">
        <f aca="false">IF(I15&gt;PR_BalDone,I15+I15*(F_MR/12)-MIN(F_MortPayM,I15+I15*(F_MR/12)),I15)</f>
        <v>148167.65828565</v>
      </c>
      <c r="K15" s="20" t="n">
        <f aca="false">IF(J15&gt;PR_BalDone,J15+J15*(F_MR/12)-MIN(F_MortPayM,J15+J15*(F_MR/12)),J15)</f>
        <v>147463.02952265</v>
      </c>
      <c r="L15" s="20" t="n">
        <f aca="false">IF(K15&gt;PR_BalDone,K15+K15*(F_MR/12)-MIN(F_MortPayM,K15+K15*(F_MR/12)),K15)</f>
        <v>146756.140075702</v>
      </c>
      <c r="M15" s="20" t="n">
        <f aca="false">IF(L15&gt;PR_BalDone,L15+L15*(F_MR/12)-MIN(F_MortPayM,L15+L15*(F_MR/12)),L15)</f>
        <v>146046.982691778</v>
      </c>
      <c r="N15" s="20" t="n">
        <f aca="false">IF(M15&gt;PR_BalDone,M15+M15*(F_MR/12)-MIN(F_MortPayM,M15+M15*(F_MR/12)),M15)</f>
        <v>145335.550094581</v>
      </c>
      <c r="O15" s="20" t="n">
        <f aca="false">IF(N15&gt;PR_BalDone,N15+N15*(F_MR/12)-MIN(F_MortPayM,N15+N15*(F_MR/12)),N15)</f>
        <v>144621.834984468</v>
      </c>
      <c r="P15" s="20" t="n">
        <f aca="false">IF(C15&gt;PR_BalDone,MIN(F_MortPayM,C15+C15*(F_MR/12)),0)</f>
        <v>1180</v>
      </c>
      <c r="Q15" s="20" t="n">
        <f aca="false">IF(D15&gt;PR_BalDone,MIN(F_MortPayM,D15+D15*(F_MR/12)),0)</f>
        <v>1180</v>
      </c>
      <c r="R15" s="20" t="n">
        <f aca="false">IF(E15&gt;PR_BalDone,MIN(F_MortPayM,E15+E15*(F_MR/12)),0)</f>
        <v>1180</v>
      </c>
      <c r="S15" s="20" t="n">
        <f aca="false">IF(F15&gt;PR_BalDone,MIN(F_MortPayM,F15+F15*(F_MR/12)),0)</f>
        <v>1180</v>
      </c>
      <c r="T15" s="20" t="n">
        <f aca="false">IF(G15&gt;PR_BalDone,MIN(F_MortPayM,G15+G15*(F_MR/12)),0)</f>
        <v>1180</v>
      </c>
      <c r="U15" s="20" t="n">
        <f aca="false">IF(H15&gt;PR_BalDone,MIN(F_MortPayM,H15+H15*(F_MR/12)),0)</f>
        <v>1180</v>
      </c>
      <c r="V15" s="20" t="n">
        <f aca="false">IF(I15&gt;PR_BalDone,MIN(F_MortPayM,I15+I15*(F_MR/12)),0)</f>
        <v>1180</v>
      </c>
      <c r="W15" s="20" t="n">
        <f aca="false">IF(J15&gt;PR_BalDone,MIN(F_MortPayM,J15+J15*(F_MR/12)),0)</f>
        <v>1180</v>
      </c>
      <c r="X15" s="20" t="n">
        <f aca="false">IF(K15&gt;PR_BalDone,MIN(F_MortPayM,K15+K15*(F_MR/12)),0)</f>
        <v>1180</v>
      </c>
      <c r="Y15" s="20" t="n">
        <f aca="false">IF(L15&gt;PR_BalDone,MIN(F_MortPayM,L15+L15*(F_MR/12)),0)</f>
        <v>1180</v>
      </c>
      <c r="Z15" s="20" t="n">
        <f aca="false">IF(M15&gt;PR_BalDone,MIN(F_MortPayM,M15+M15*(F_MR/12)),0)</f>
        <v>1180</v>
      </c>
      <c r="AA15" s="20" t="n">
        <f aca="false">IF(N15&gt;PR_BalDone,MIN(F_MortPayM,N15+N15*(F_MR/12)),0)</f>
        <v>1180</v>
      </c>
      <c r="AB15" s="20" t="n">
        <f aca="false">MAX(0,O15)</f>
        <v>144621.834984468</v>
      </c>
      <c r="AC15" s="20" t="n">
        <f aca="false">SUM(P15:AA15)</f>
        <v>14160</v>
      </c>
      <c r="AD15" s="20" t="n">
        <f aca="false">'Plan cashflow'!M15</f>
        <v>0</v>
      </c>
      <c r="AE15" s="20" t="n">
        <f aca="false">IF(AD15&gt;PR_BalDone,AD15+AD15*(D_iC)-MIN(F_CardPayM,AD15+AD15*(D_iC)),AD15)</f>
        <v>0</v>
      </c>
      <c r="AF15" s="20" t="n">
        <f aca="false">IF(AE15&gt;PR_BalDone,AE15+AE15*(D_iC)-MIN(F_CardPayM,AE15+AE15*(D_iC)),AE15)</f>
        <v>0</v>
      </c>
      <c r="AG15" s="20" t="n">
        <f aca="false">IF(AF15&gt;PR_BalDone,AF15+AF15*(D_iC)-MIN(F_CardPayM,AF15+AF15*(D_iC)),AF15)</f>
        <v>0</v>
      </c>
      <c r="AH15" s="20" t="n">
        <f aca="false">IF(AG15&gt;PR_BalDone,AG15+AG15*(D_iC)-MIN(F_CardPayM,AG15+AG15*(D_iC)),AG15)</f>
        <v>0</v>
      </c>
      <c r="AI15" s="20" t="n">
        <f aca="false">IF(AH15&gt;PR_BalDone,AH15+AH15*(D_iC)-MIN(F_CardPayM,AH15+AH15*(D_iC)),AH15)</f>
        <v>0</v>
      </c>
      <c r="AJ15" s="20" t="n">
        <f aca="false">IF(AI15&gt;PR_BalDone,AI15+AI15*(D_iC)-MIN(F_CardPayM,AI15+AI15*(D_iC)),AI15)</f>
        <v>0</v>
      </c>
      <c r="AK15" s="20" t="n">
        <f aca="false">IF(AJ15&gt;PR_BalDone,AJ15+AJ15*(D_iC)-MIN(F_CardPayM,AJ15+AJ15*(D_iC)),AJ15)</f>
        <v>0</v>
      </c>
      <c r="AL15" s="20" t="n">
        <f aca="false">IF(AK15&gt;PR_BalDone,AK15+AK15*(D_iC)-MIN(F_CardPayM,AK15+AK15*(D_iC)),AK15)</f>
        <v>0</v>
      </c>
      <c r="AM15" s="20" t="n">
        <f aca="false">IF(AL15&gt;PR_BalDone,AL15+AL15*(D_iC)-MIN(F_CardPayM,AL15+AL15*(D_iC)),AL15)</f>
        <v>0</v>
      </c>
      <c r="AN15" s="20" t="n">
        <f aca="false">IF(AM15&gt;PR_BalDone,AM15+AM15*(D_iC)-MIN(F_CardPayM,AM15+AM15*(D_iC)),AM15)</f>
        <v>0</v>
      </c>
      <c r="AO15" s="20" t="n">
        <f aca="false">IF(AN15&gt;PR_BalDone,AN15+AN15*(D_iC)-MIN(F_CardPayM,AN15+AN15*(D_iC)),AN15)</f>
        <v>0</v>
      </c>
      <c r="AP15" s="20" t="n">
        <f aca="false">IF(AO15&gt;PR_BalDone,AO15+AO15*(D_iC)-MIN(F_CardPayM,AO15+AO15*(D_iC)),AO15)</f>
        <v>0</v>
      </c>
      <c r="AQ15" s="20" t="n">
        <f aca="false">IF(AD15&gt;PR_BalDone,MIN(F_CardPayM,AD15+AD15*(D_iC)),0)</f>
        <v>0</v>
      </c>
      <c r="AR15" s="20" t="n">
        <f aca="false">IF(AE15&gt;PR_BalDone,MIN(F_CardPayM,AE15+AE15*(D_iC)),0)</f>
        <v>0</v>
      </c>
      <c r="AS15" s="20" t="n">
        <f aca="false">IF(AF15&gt;PR_BalDone,MIN(F_CardPayM,AF15+AF15*(D_iC)),0)</f>
        <v>0</v>
      </c>
      <c r="AT15" s="20" t="n">
        <f aca="false">IF(AG15&gt;PR_BalDone,MIN(F_CardPayM,AG15+AG15*(D_iC)),0)</f>
        <v>0</v>
      </c>
      <c r="AU15" s="20" t="n">
        <f aca="false">IF(AH15&gt;PR_BalDone,MIN(F_CardPayM,AH15+AH15*(D_iC)),0)</f>
        <v>0</v>
      </c>
      <c r="AV15" s="20" t="n">
        <f aca="false">IF(AI15&gt;PR_BalDone,MIN(F_CardPayM,AI15+AI15*(D_iC)),0)</f>
        <v>0</v>
      </c>
      <c r="AW15" s="20" t="n">
        <f aca="false">IF(AJ15&gt;PR_BalDone,MIN(F_CardPayM,AJ15+AJ15*(D_iC)),0)</f>
        <v>0</v>
      </c>
      <c r="AX15" s="20" t="n">
        <f aca="false">IF(AK15&gt;PR_BalDone,MIN(F_CardPayM,AK15+AK15*(D_iC)),0)</f>
        <v>0</v>
      </c>
      <c r="AY15" s="20" t="n">
        <f aca="false">IF(AL15&gt;PR_BalDone,MIN(F_CardPayM,AL15+AL15*(D_iC)),0)</f>
        <v>0</v>
      </c>
      <c r="AZ15" s="20" t="n">
        <f aca="false">IF(AM15&gt;PR_BalDone,MIN(F_CardPayM,AM15+AM15*(D_iC)),0)</f>
        <v>0</v>
      </c>
      <c r="BA15" s="20" t="n">
        <f aca="false">IF(AN15&gt;PR_BalDone,MIN(F_CardPayM,AN15+AN15*(D_iC)),0)</f>
        <v>0</v>
      </c>
      <c r="BB15" s="20" t="n">
        <f aca="false">IF(AO15&gt;PR_BalDone,MIN(F_CardPayM,AO15+AO15*(D_iC)),0)</f>
        <v>0</v>
      </c>
      <c r="BC15" s="20" t="n">
        <f aca="false">MAX(0,AP15)</f>
        <v>0</v>
      </c>
      <c r="BD15" s="20" t="n">
        <f aca="false">SUM(AQ15:BB15)</f>
        <v>0</v>
      </c>
      <c r="BE15" s="20" t="n">
        <f aca="false">'Plan cashflow'!P15</f>
        <v>0</v>
      </c>
      <c r="BF15" s="20" t="n">
        <f aca="false">IF(BE15&gt;PR_BalDone,BE15+BE15*(D_iL)-MIN(F_LoanPayM,BE15+BE15*(D_iL)),BE15)</f>
        <v>0</v>
      </c>
      <c r="BG15" s="20" t="n">
        <f aca="false">IF(BF15&gt;PR_BalDone,BF15+BF15*(D_iL)-MIN(F_LoanPayM,BF15+BF15*(D_iL)),BF15)</f>
        <v>0</v>
      </c>
      <c r="BH15" s="20" t="n">
        <f aca="false">IF(BG15&gt;PR_BalDone,BG15+BG15*(D_iL)-MIN(F_LoanPayM,BG15+BG15*(D_iL)),BG15)</f>
        <v>0</v>
      </c>
      <c r="BI15" s="20" t="n">
        <f aca="false">IF(BH15&gt;PR_BalDone,BH15+BH15*(D_iL)-MIN(F_LoanPayM,BH15+BH15*(D_iL)),BH15)</f>
        <v>0</v>
      </c>
      <c r="BJ15" s="20" t="n">
        <f aca="false">IF(BI15&gt;PR_BalDone,BI15+BI15*(D_iL)-MIN(F_LoanPayM,BI15+BI15*(D_iL)),BI15)</f>
        <v>0</v>
      </c>
      <c r="BK15" s="20" t="n">
        <f aca="false">IF(BJ15&gt;PR_BalDone,BJ15+BJ15*(D_iL)-MIN(F_LoanPayM,BJ15+BJ15*(D_iL)),BJ15)</f>
        <v>0</v>
      </c>
      <c r="BL15" s="20" t="n">
        <f aca="false">IF(BK15&gt;PR_BalDone,BK15+BK15*(D_iL)-MIN(F_LoanPayM,BK15+BK15*(D_iL)),BK15)</f>
        <v>0</v>
      </c>
      <c r="BM15" s="20" t="n">
        <f aca="false">IF(BL15&gt;PR_BalDone,BL15+BL15*(D_iL)-MIN(F_LoanPayM,BL15+BL15*(D_iL)),BL15)</f>
        <v>0</v>
      </c>
      <c r="BN15" s="20" t="n">
        <f aca="false">IF(BM15&gt;PR_BalDone,BM15+BM15*(D_iL)-MIN(F_LoanPayM,BM15+BM15*(D_iL)),BM15)</f>
        <v>0</v>
      </c>
      <c r="BO15" s="20" t="n">
        <f aca="false">IF(BN15&gt;PR_BalDone,BN15+BN15*(D_iL)-MIN(F_LoanPayM,BN15+BN15*(D_iL)),BN15)</f>
        <v>0</v>
      </c>
      <c r="BP15" s="20" t="n">
        <f aca="false">IF(BO15&gt;PR_BalDone,BO15+BO15*(D_iL)-MIN(F_LoanPayM,BO15+BO15*(D_iL)),BO15)</f>
        <v>0</v>
      </c>
      <c r="BQ15" s="20" t="n">
        <f aca="false">IF(BP15&gt;PR_BalDone,BP15+BP15*(D_iL)-MIN(F_LoanPayM,BP15+BP15*(D_iL)),BP15)</f>
        <v>0</v>
      </c>
      <c r="BR15" s="20" t="n">
        <f aca="false">IF(BE15&gt;PR_BalDone,MIN(F_LoanPayM,BE15+BE15*(D_iL)),0)</f>
        <v>0</v>
      </c>
      <c r="BS15" s="20" t="n">
        <f aca="false">IF(BF15&gt;PR_BalDone,MIN(F_LoanPayM,BF15+BF15*(D_iL)),0)</f>
        <v>0</v>
      </c>
      <c r="BT15" s="20" t="n">
        <f aca="false">IF(BG15&gt;PR_BalDone,MIN(F_LoanPayM,BG15+BG15*(D_iL)),0)</f>
        <v>0</v>
      </c>
      <c r="BU15" s="20" t="n">
        <f aca="false">IF(BH15&gt;PR_BalDone,MIN(F_LoanPayM,BH15+BH15*(D_iL)),0)</f>
        <v>0</v>
      </c>
      <c r="BV15" s="20" t="n">
        <f aca="false">IF(BI15&gt;PR_BalDone,MIN(F_LoanPayM,BI15+BI15*(D_iL)),0)</f>
        <v>0</v>
      </c>
      <c r="BW15" s="20" t="n">
        <f aca="false">IF(BJ15&gt;PR_BalDone,MIN(F_LoanPayM,BJ15+BJ15*(D_iL)),0)</f>
        <v>0</v>
      </c>
      <c r="BX15" s="20" t="n">
        <f aca="false">IF(BK15&gt;PR_BalDone,MIN(F_LoanPayM,BK15+BK15*(D_iL)),0)</f>
        <v>0</v>
      </c>
      <c r="BY15" s="20" t="n">
        <f aca="false">IF(BL15&gt;PR_BalDone,MIN(F_LoanPayM,BL15+BL15*(D_iL)),0)</f>
        <v>0</v>
      </c>
      <c r="BZ15" s="20" t="n">
        <f aca="false">IF(BM15&gt;PR_BalDone,MIN(F_LoanPayM,BM15+BM15*(D_iL)),0)</f>
        <v>0</v>
      </c>
      <c r="CA15" s="20" t="n">
        <f aca="false">IF(BN15&gt;PR_BalDone,MIN(F_LoanPayM,BN15+BN15*(D_iL)),0)</f>
        <v>0</v>
      </c>
      <c r="CB15" s="20" t="n">
        <f aca="false">IF(BO15&gt;PR_BalDone,MIN(F_LoanPayM,BO15+BO15*(D_iL)),0)</f>
        <v>0</v>
      </c>
      <c r="CC15" s="20" t="n">
        <f aca="false">IF(BP15&gt;PR_BalDone,MIN(F_LoanPayM,BP15+BP15*(D_iL)),0)</f>
        <v>0</v>
      </c>
      <c r="CD15" s="20" t="n">
        <f aca="false">MAX(0,BQ15)</f>
        <v>0</v>
      </c>
      <c r="CE15" s="20" t="n">
        <f aca="false">SUM(BR15:CC15)</f>
        <v>0</v>
      </c>
      <c r="CF15" s="20" t="n">
        <f aca="false">IF(CF14&gt;1,DE14,CF14)</f>
        <v>153037.364877978</v>
      </c>
      <c r="CG15" s="20" t="n">
        <f aca="false">IF(CF15&gt;PR_BalDone,CF15+CF15*(F_MR/12)-MIN(F_MortPayM,CF15+CF15*(F_MR/12)),CF15)</f>
        <v>152348.359756961</v>
      </c>
      <c r="CH15" s="20" t="n">
        <f aca="false">IF(CG15&gt;PR_BalDone,CG15+CG15*(F_MR/12)-MIN(F_MortPayM,CG15+CG15*(F_MR/12)),CG15)</f>
        <v>151657.144077848</v>
      </c>
      <c r="CI15" s="20" t="n">
        <f aca="false">IF(CH15&gt;PR_BalDone,CH15+CH15*(F_MR/12)-MIN(F_MortPayM,CH15+CH15*(F_MR/12)),CH15)</f>
        <v>150963.710748431</v>
      </c>
      <c r="CJ15" s="20" t="n">
        <f aca="false">IF(CI15&gt;PR_BalDone,CI15+CI15*(F_MR/12)-MIN(F_MortPayM,CI15+CI15*(F_MR/12)),CI15)</f>
        <v>150268.052653749</v>
      </c>
      <c r="CK15" s="20" t="n">
        <f aca="false">IF(CJ15&gt;PR_BalDone,CJ15+CJ15*(F_MR/12)-MIN(F_MortPayM,CJ15+CJ15*(F_MR/12)),CJ15)</f>
        <v>149570.162656013</v>
      </c>
      <c r="CL15" s="20" t="n">
        <f aca="false">IF(CK15&gt;PR_BalDone,CK15+CK15*(F_MR/12)-MIN(F_MortPayM,CK15+CK15*(F_MR/12)),CK15)</f>
        <v>148870.033594534</v>
      </c>
      <c r="CM15" s="20" t="n">
        <f aca="false">IF(CL15&gt;PR_BalDone,CL15+CL15*(F_MR/12)-MIN(F_MortPayM,CL15+CL15*(F_MR/12)),CL15)</f>
        <v>148167.65828565</v>
      </c>
      <c r="CN15" s="20" t="n">
        <f aca="false">IF(CM15&gt;PR_BalDone,CM15+CM15*(F_MR/12)-MIN(F_MortPayM,CM15+CM15*(F_MR/12)),CM15)</f>
        <v>147463.02952265</v>
      </c>
      <c r="CO15" s="20" t="n">
        <f aca="false">IF(CN15&gt;PR_BalDone,CN15+CN15*(F_MR/12)-MIN(F_MortPayM,CN15+CN15*(F_MR/12)),CN15)</f>
        <v>146756.140075702</v>
      </c>
      <c r="CP15" s="20" t="n">
        <f aca="false">IF(CO15&gt;PR_BalDone,CO15+CO15*(F_MR/12)-MIN(F_MortPayM,CO15+CO15*(F_MR/12)),CO15)</f>
        <v>146046.982691778</v>
      </c>
      <c r="CQ15" s="20" t="n">
        <f aca="false">IF(CP15&gt;PR_BalDone,CP15+CP15*(F_MR/12)-MIN(F_MortPayM,CP15+CP15*(F_MR/12)),CP15)</f>
        <v>145335.550094581</v>
      </c>
      <c r="CR15" s="20" t="n">
        <f aca="false">IF(CQ15&gt;PR_BalDone,CQ15+CQ15*(F_MR/12)-MIN(F_MortPayM,CQ15+CQ15*(F_MR/12)),CQ15)</f>
        <v>144621.834984468</v>
      </c>
      <c r="CS15" s="20" t="n">
        <f aca="false">IF(CF15&gt;PR_BalDone,MIN(F_MortPayM,CF15+CF15*(F_MR/12)),0)</f>
        <v>1180</v>
      </c>
      <c r="CT15" s="20" t="n">
        <f aca="false">IF(CG15&gt;PR_BalDone,MIN(F_MortPayM,CG15+CG15*(F_MR/12)),0)</f>
        <v>1180</v>
      </c>
      <c r="CU15" s="20" t="n">
        <f aca="false">IF(CH15&gt;PR_BalDone,MIN(F_MortPayM,CH15+CH15*(F_MR/12)),0)</f>
        <v>1180</v>
      </c>
      <c r="CV15" s="20" t="n">
        <f aca="false">IF(CI15&gt;PR_BalDone,MIN(F_MortPayM,CI15+CI15*(F_MR/12)),0)</f>
        <v>1180</v>
      </c>
      <c r="CW15" s="20" t="n">
        <f aca="false">IF(CJ15&gt;PR_BalDone,MIN(F_MortPayM,CJ15+CJ15*(F_MR/12)),0)</f>
        <v>1180</v>
      </c>
      <c r="CX15" s="20" t="n">
        <f aca="false">IF(CK15&gt;PR_BalDone,MIN(F_MortPayM,CK15+CK15*(F_MR/12)),0)</f>
        <v>1180</v>
      </c>
      <c r="CY15" s="20" t="n">
        <f aca="false">IF(CL15&gt;PR_BalDone,MIN(F_MortPayM,CL15+CL15*(F_MR/12)),0)</f>
        <v>1180</v>
      </c>
      <c r="CZ15" s="20" t="n">
        <f aca="false">IF(CM15&gt;PR_BalDone,MIN(F_MortPayM,CM15+CM15*(F_MR/12)),0)</f>
        <v>1180</v>
      </c>
      <c r="DA15" s="20" t="n">
        <f aca="false">IF(CN15&gt;PR_BalDone,MIN(F_MortPayM,CN15+CN15*(F_MR/12)),0)</f>
        <v>1180</v>
      </c>
      <c r="DB15" s="20" t="n">
        <f aca="false">IF(CO15&gt;PR_BalDone,MIN(F_MortPayM,CO15+CO15*(F_MR/12)),0)</f>
        <v>1180</v>
      </c>
      <c r="DC15" s="20" t="n">
        <f aca="false">IF(CP15&gt;PR_BalDone,MIN(F_MortPayM,CP15+CP15*(F_MR/12)),0)</f>
        <v>1180</v>
      </c>
      <c r="DD15" s="20" t="n">
        <f aca="false">IF(CQ15&gt;PR_BalDone,MIN(F_MortPayM,CQ15+CQ15*(F_MR/12)),0)</f>
        <v>1180</v>
      </c>
      <c r="DE15" s="20" t="n">
        <f aca="false">MAX(0,CR15)</f>
        <v>144621.834984468</v>
      </c>
      <c r="DF15" s="20" t="n">
        <f aca="false">SUM(CS15:DD15)</f>
        <v>14160</v>
      </c>
      <c r="DG15" s="20" t="n">
        <f aca="false">MAX(0,CF15)</f>
        <v>153037.364877978</v>
      </c>
    </row>
    <row r="16" customFormat="false" ht="15" hidden="false" customHeight="true" outlineLevel="0" collapsed="false">
      <c r="B16" s="20" t="n">
        <v>8</v>
      </c>
      <c r="C16" s="20" t="n">
        <f aca="false">'Plan cashflow'!J16</f>
        <v>144621.834984468</v>
      </c>
      <c r="D16" s="20" t="n">
        <f aca="false">IF(C16&gt;PR_BalDone,C16+C16*(F_MR/12)-MIN(F_MortPayM,C16+C16*(F_MR/12)),C16)</f>
        <v>143905.830038376</v>
      </c>
      <c r="E16" s="20" t="n">
        <f aca="false">IF(D16&gt;PR_BalDone,D16+D16*(F_MR/12)-MIN(F_MortPayM,D16+D16*(F_MR/12)),D16)</f>
        <v>143187.527909749</v>
      </c>
      <c r="F16" s="20" t="n">
        <f aca="false">IF(E16&gt;PR_BalDone,E16+E16*(F_MR/12)-MIN(F_MortPayM,E16+E16*(F_MR/12)),E16)</f>
        <v>142466.92122846</v>
      </c>
      <c r="G16" s="20" t="n">
        <f aca="false">IF(F16&gt;PR_BalDone,F16+F16*(F_MR/12)-MIN(F_MortPayM,F16+F16*(F_MR/12)),F16)</f>
        <v>141744.002600734</v>
      </c>
      <c r="H16" s="20" t="n">
        <f aca="false">IF(G16&gt;PR_BalDone,G16+G16*(F_MR/12)-MIN(F_MortPayM,G16+G16*(F_MR/12)),G16)</f>
        <v>141018.764609078</v>
      </c>
      <c r="I16" s="20" t="n">
        <f aca="false">IF(H16&gt;PR_BalDone,H16+H16*(F_MR/12)-MIN(F_MortPayM,H16+H16*(F_MR/12)),H16)</f>
        <v>140291.199812199</v>
      </c>
      <c r="J16" s="20" t="n">
        <f aca="false">IF(I16&gt;PR_BalDone,I16+I16*(F_MR/12)-MIN(F_MortPayM,I16+I16*(F_MR/12)),I16)</f>
        <v>139561.30074493</v>
      </c>
      <c r="K16" s="20" t="n">
        <f aca="false">IF(J16&gt;PR_BalDone,J16+J16*(F_MR/12)-MIN(F_MortPayM,J16+J16*(F_MR/12)),J16)</f>
        <v>138829.059918153</v>
      </c>
      <c r="L16" s="20" t="n">
        <f aca="false">IF(K16&gt;PR_BalDone,K16+K16*(F_MR/12)-MIN(F_MortPayM,K16+K16*(F_MR/12)),K16)</f>
        <v>138094.469818724</v>
      </c>
      <c r="M16" s="20" t="n">
        <f aca="false">IF(L16&gt;PR_BalDone,L16+L16*(F_MR/12)-MIN(F_MortPayM,L16+L16*(F_MR/12)),L16)</f>
        <v>137357.522909392</v>
      </c>
      <c r="N16" s="20" t="n">
        <f aca="false">IF(M16&gt;PR_BalDone,M16+M16*(F_MR/12)-MIN(F_MortPayM,M16+M16*(F_MR/12)),M16)</f>
        <v>136618.211628727</v>
      </c>
      <c r="O16" s="20" t="n">
        <f aca="false">IF(N16&gt;PR_BalDone,N16+N16*(F_MR/12)-MIN(F_MortPayM,N16+N16*(F_MR/12)),N16)</f>
        <v>135876.528391036</v>
      </c>
      <c r="P16" s="20" t="n">
        <f aca="false">IF(C16&gt;PR_BalDone,MIN(F_MortPayM,C16+C16*(F_MR/12)),0)</f>
        <v>1180</v>
      </c>
      <c r="Q16" s="20" t="n">
        <f aca="false">IF(D16&gt;PR_BalDone,MIN(F_MortPayM,D16+D16*(F_MR/12)),0)</f>
        <v>1180</v>
      </c>
      <c r="R16" s="20" t="n">
        <f aca="false">IF(E16&gt;PR_BalDone,MIN(F_MortPayM,E16+E16*(F_MR/12)),0)</f>
        <v>1180</v>
      </c>
      <c r="S16" s="20" t="n">
        <f aca="false">IF(F16&gt;PR_BalDone,MIN(F_MortPayM,F16+F16*(F_MR/12)),0)</f>
        <v>1180</v>
      </c>
      <c r="T16" s="20" t="n">
        <f aca="false">IF(G16&gt;PR_BalDone,MIN(F_MortPayM,G16+G16*(F_MR/12)),0)</f>
        <v>1180</v>
      </c>
      <c r="U16" s="20" t="n">
        <f aca="false">IF(H16&gt;PR_BalDone,MIN(F_MortPayM,H16+H16*(F_MR/12)),0)</f>
        <v>1180</v>
      </c>
      <c r="V16" s="20" t="n">
        <f aca="false">IF(I16&gt;PR_BalDone,MIN(F_MortPayM,I16+I16*(F_MR/12)),0)</f>
        <v>1180</v>
      </c>
      <c r="W16" s="20" t="n">
        <f aca="false">IF(J16&gt;PR_BalDone,MIN(F_MortPayM,J16+J16*(F_MR/12)),0)</f>
        <v>1180</v>
      </c>
      <c r="X16" s="20" t="n">
        <f aca="false">IF(K16&gt;PR_BalDone,MIN(F_MortPayM,K16+K16*(F_MR/12)),0)</f>
        <v>1180</v>
      </c>
      <c r="Y16" s="20" t="n">
        <f aca="false">IF(L16&gt;PR_BalDone,MIN(F_MortPayM,L16+L16*(F_MR/12)),0)</f>
        <v>1180</v>
      </c>
      <c r="Z16" s="20" t="n">
        <f aca="false">IF(M16&gt;PR_BalDone,MIN(F_MortPayM,M16+M16*(F_MR/12)),0)</f>
        <v>1180</v>
      </c>
      <c r="AA16" s="20" t="n">
        <f aca="false">IF(N16&gt;PR_BalDone,MIN(F_MortPayM,N16+N16*(F_MR/12)),0)</f>
        <v>1180</v>
      </c>
      <c r="AB16" s="20" t="n">
        <f aca="false">MAX(0,O16)</f>
        <v>135876.528391036</v>
      </c>
      <c r="AC16" s="20" t="n">
        <f aca="false">SUM(P16:AA16)</f>
        <v>14160</v>
      </c>
      <c r="AD16" s="20" t="n">
        <f aca="false">'Plan cashflow'!M16</f>
        <v>0</v>
      </c>
      <c r="AE16" s="20" t="n">
        <f aca="false">IF(AD16&gt;PR_BalDone,AD16+AD16*(D_iC)-MIN(F_CardPayM,AD16+AD16*(D_iC)),AD16)</f>
        <v>0</v>
      </c>
      <c r="AF16" s="20" t="n">
        <f aca="false">IF(AE16&gt;PR_BalDone,AE16+AE16*(D_iC)-MIN(F_CardPayM,AE16+AE16*(D_iC)),AE16)</f>
        <v>0</v>
      </c>
      <c r="AG16" s="20" t="n">
        <f aca="false">IF(AF16&gt;PR_BalDone,AF16+AF16*(D_iC)-MIN(F_CardPayM,AF16+AF16*(D_iC)),AF16)</f>
        <v>0</v>
      </c>
      <c r="AH16" s="20" t="n">
        <f aca="false">IF(AG16&gt;PR_BalDone,AG16+AG16*(D_iC)-MIN(F_CardPayM,AG16+AG16*(D_iC)),AG16)</f>
        <v>0</v>
      </c>
      <c r="AI16" s="20" t="n">
        <f aca="false">IF(AH16&gt;PR_BalDone,AH16+AH16*(D_iC)-MIN(F_CardPayM,AH16+AH16*(D_iC)),AH16)</f>
        <v>0</v>
      </c>
      <c r="AJ16" s="20" t="n">
        <f aca="false">IF(AI16&gt;PR_BalDone,AI16+AI16*(D_iC)-MIN(F_CardPayM,AI16+AI16*(D_iC)),AI16)</f>
        <v>0</v>
      </c>
      <c r="AK16" s="20" t="n">
        <f aca="false">IF(AJ16&gt;PR_BalDone,AJ16+AJ16*(D_iC)-MIN(F_CardPayM,AJ16+AJ16*(D_iC)),AJ16)</f>
        <v>0</v>
      </c>
      <c r="AL16" s="20" t="n">
        <f aca="false">IF(AK16&gt;PR_BalDone,AK16+AK16*(D_iC)-MIN(F_CardPayM,AK16+AK16*(D_iC)),AK16)</f>
        <v>0</v>
      </c>
      <c r="AM16" s="20" t="n">
        <f aca="false">IF(AL16&gt;PR_BalDone,AL16+AL16*(D_iC)-MIN(F_CardPayM,AL16+AL16*(D_iC)),AL16)</f>
        <v>0</v>
      </c>
      <c r="AN16" s="20" t="n">
        <f aca="false">IF(AM16&gt;PR_BalDone,AM16+AM16*(D_iC)-MIN(F_CardPayM,AM16+AM16*(D_iC)),AM16)</f>
        <v>0</v>
      </c>
      <c r="AO16" s="20" t="n">
        <f aca="false">IF(AN16&gt;PR_BalDone,AN16+AN16*(D_iC)-MIN(F_CardPayM,AN16+AN16*(D_iC)),AN16)</f>
        <v>0</v>
      </c>
      <c r="AP16" s="20" t="n">
        <f aca="false">IF(AO16&gt;PR_BalDone,AO16+AO16*(D_iC)-MIN(F_CardPayM,AO16+AO16*(D_iC)),AO16)</f>
        <v>0</v>
      </c>
      <c r="AQ16" s="20" t="n">
        <f aca="false">IF(AD16&gt;PR_BalDone,MIN(F_CardPayM,AD16+AD16*(D_iC)),0)</f>
        <v>0</v>
      </c>
      <c r="AR16" s="20" t="n">
        <f aca="false">IF(AE16&gt;PR_BalDone,MIN(F_CardPayM,AE16+AE16*(D_iC)),0)</f>
        <v>0</v>
      </c>
      <c r="AS16" s="20" t="n">
        <f aca="false">IF(AF16&gt;PR_BalDone,MIN(F_CardPayM,AF16+AF16*(D_iC)),0)</f>
        <v>0</v>
      </c>
      <c r="AT16" s="20" t="n">
        <f aca="false">IF(AG16&gt;PR_BalDone,MIN(F_CardPayM,AG16+AG16*(D_iC)),0)</f>
        <v>0</v>
      </c>
      <c r="AU16" s="20" t="n">
        <f aca="false">IF(AH16&gt;PR_BalDone,MIN(F_CardPayM,AH16+AH16*(D_iC)),0)</f>
        <v>0</v>
      </c>
      <c r="AV16" s="20" t="n">
        <f aca="false">IF(AI16&gt;PR_BalDone,MIN(F_CardPayM,AI16+AI16*(D_iC)),0)</f>
        <v>0</v>
      </c>
      <c r="AW16" s="20" t="n">
        <f aca="false">IF(AJ16&gt;PR_BalDone,MIN(F_CardPayM,AJ16+AJ16*(D_iC)),0)</f>
        <v>0</v>
      </c>
      <c r="AX16" s="20" t="n">
        <f aca="false">IF(AK16&gt;PR_BalDone,MIN(F_CardPayM,AK16+AK16*(D_iC)),0)</f>
        <v>0</v>
      </c>
      <c r="AY16" s="20" t="n">
        <f aca="false">IF(AL16&gt;PR_BalDone,MIN(F_CardPayM,AL16+AL16*(D_iC)),0)</f>
        <v>0</v>
      </c>
      <c r="AZ16" s="20" t="n">
        <f aca="false">IF(AM16&gt;PR_BalDone,MIN(F_CardPayM,AM16+AM16*(D_iC)),0)</f>
        <v>0</v>
      </c>
      <c r="BA16" s="20" t="n">
        <f aca="false">IF(AN16&gt;PR_BalDone,MIN(F_CardPayM,AN16+AN16*(D_iC)),0)</f>
        <v>0</v>
      </c>
      <c r="BB16" s="20" t="n">
        <f aca="false">IF(AO16&gt;PR_BalDone,MIN(F_CardPayM,AO16+AO16*(D_iC)),0)</f>
        <v>0</v>
      </c>
      <c r="BC16" s="20" t="n">
        <f aca="false">MAX(0,AP16)</f>
        <v>0</v>
      </c>
      <c r="BD16" s="20" t="n">
        <f aca="false">SUM(AQ16:BB16)</f>
        <v>0</v>
      </c>
      <c r="BE16" s="20" t="n">
        <f aca="false">'Plan cashflow'!P16</f>
        <v>0</v>
      </c>
      <c r="BF16" s="20" t="n">
        <f aca="false">IF(BE16&gt;PR_BalDone,BE16+BE16*(D_iL)-MIN(F_LoanPayM,BE16+BE16*(D_iL)),BE16)</f>
        <v>0</v>
      </c>
      <c r="BG16" s="20" t="n">
        <f aca="false">IF(BF16&gt;PR_BalDone,BF16+BF16*(D_iL)-MIN(F_LoanPayM,BF16+BF16*(D_iL)),BF16)</f>
        <v>0</v>
      </c>
      <c r="BH16" s="20" t="n">
        <f aca="false">IF(BG16&gt;PR_BalDone,BG16+BG16*(D_iL)-MIN(F_LoanPayM,BG16+BG16*(D_iL)),BG16)</f>
        <v>0</v>
      </c>
      <c r="BI16" s="20" t="n">
        <f aca="false">IF(BH16&gt;PR_BalDone,BH16+BH16*(D_iL)-MIN(F_LoanPayM,BH16+BH16*(D_iL)),BH16)</f>
        <v>0</v>
      </c>
      <c r="BJ16" s="20" t="n">
        <f aca="false">IF(BI16&gt;PR_BalDone,BI16+BI16*(D_iL)-MIN(F_LoanPayM,BI16+BI16*(D_iL)),BI16)</f>
        <v>0</v>
      </c>
      <c r="BK16" s="20" t="n">
        <f aca="false">IF(BJ16&gt;PR_BalDone,BJ16+BJ16*(D_iL)-MIN(F_LoanPayM,BJ16+BJ16*(D_iL)),BJ16)</f>
        <v>0</v>
      </c>
      <c r="BL16" s="20" t="n">
        <f aca="false">IF(BK16&gt;PR_BalDone,BK16+BK16*(D_iL)-MIN(F_LoanPayM,BK16+BK16*(D_iL)),BK16)</f>
        <v>0</v>
      </c>
      <c r="BM16" s="20" t="n">
        <f aca="false">IF(BL16&gt;PR_BalDone,BL16+BL16*(D_iL)-MIN(F_LoanPayM,BL16+BL16*(D_iL)),BL16)</f>
        <v>0</v>
      </c>
      <c r="BN16" s="20" t="n">
        <f aca="false">IF(BM16&gt;PR_BalDone,BM16+BM16*(D_iL)-MIN(F_LoanPayM,BM16+BM16*(D_iL)),BM16)</f>
        <v>0</v>
      </c>
      <c r="BO16" s="20" t="n">
        <f aca="false">IF(BN16&gt;PR_BalDone,BN16+BN16*(D_iL)-MIN(F_LoanPayM,BN16+BN16*(D_iL)),BN16)</f>
        <v>0</v>
      </c>
      <c r="BP16" s="20" t="n">
        <f aca="false">IF(BO16&gt;PR_BalDone,BO16+BO16*(D_iL)-MIN(F_LoanPayM,BO16+BO16*(D_iL)),BO16)</f>
        <v>0</v>
      </c>
      <c r="BQ16" s="20" t="n">
        <f aca="false">IF(BP16&gt;PR_BalDone,BP16+BP16*(D_iL)-MIN(F_LoanPayM,BP16+BP16*(D_iL)),BP16)</f>
        <v>0</v>
      </c>
      <c r="BR16" s="20" t="n">
        <f aca="false">IF(BE16&gt;PR_BalDone,MIN(F_LoanPayM,BE16+BE16*(D_iL)),0)</f>
        <v>0</v>
      </c>
      <c r="BS16" s="20" t="n">
        <f aca="false">IF(BF16&gt;PR_BalDone,MIN(F_LoanPayM,BF16+BF16*(D_iL)),0)</f>
        <v>0</v>
      </c>
      <c r="BT16" s="20" t="n">
        <f aca="false">IF(BG16&gt;PR_BalDone,MIN(F_LoanPayM,BG16+BG16*(D_iL)),0)</f>
        <v>0</v>
      </c>
      <c r="BU16" s="20" t="n">
        <f aca="false">IF(BH16&gt;PR_BalDone,MIN(F_LoanPayM,BH16+BH16*(D_iL)),0)</f>
        <v>0</v>
      </c>
      <c r="BV16" s="20" t="n">
        <f aca="false">IF(BI16&gt;PR_BalDone,MIN(F_LoanPayM,BI16+BI16*(D_iL)),0)</f>
        <v>0</v>
      </c>
      <c r="BW16" s="20" t="n">
        <f aca="false">IF(BJ16&gt;PR_BalDone,MIN(F_LoanPayM,BJ16+BJ16*(D_iL)),0)</f>
        <v>0</v>
      </c>
      <c r="BX16" s="20" t="n">
        <f aca="false">IF(BK16&gt;PR_BalDone,MIN(F_LoanPayM,BK16+BK16*(D_iL)),0)</f>
        <v>0</v>
      </c>
      <c r="BY16" s="20" t="n">
        <f aca="false">IF(BL16&gt;PR_BalDone,MIN(F_LoanPayM,BL16+BL16*(D_iL)),0)</f>
        <v>0</v>
      </c>
      <c r="BZ16" s="20" t="n">
        <f aca="false">IF(BM16&gt;PR_BalDone,MIN(F_LoanPayM,BM16+BM16*(D_iL)),0)</f>
        <v>0</v>
      </c>
      <c r="CA16" s="20" t="n">
        <f aca="false">IF(BN16&gt;PR_BalDone,MIN(F_LoanPayM,BN16+BN16*(D_iL)),0)</f>
        <v>0</v>
      </c>
      <c r="CB16" s="20" t="n">
        <f aca="false">IF(BO16&gt;PR_BalDone,MIN(F_LoanPayM,BO16+BO16*(D_iL)),0)</f>
        <v>0</v>
      </c>
      <c r="CC16" s="20" t="n">
        <f aca="false">IF(BP16&gt;PR_BalDone,MIN(F_LoanPayM,BP16+BP16*(D_iL)),0)</f>
        <v>0</v>
      </c>
      <c r="CD16" s="20" t="n">
        <f aca="false">MAX(0,BQ16)</f>
        <v>0</v>
      </c>
      <c r="CE16" s="20" t="n">
        <f aca="false">SUM(BR16:CC16)</f>
        <v>0</v>
      </c>
      <c r="CF16" s="20" t="n">
        <f aca="false">IF(CF15&gt;1,DE15,CF15)</f>
        <v>144621.834984468</v>
      </c>
      <c r="CG16" s="20" t="n">
        <f aca="false">IF(CF16&gt;PR_BalDone,CF16+CF16*(F_MR/12)-MIN(F_MortPayM,CF16+CF16*(F_MR/12)),CF16)</f>
        <v>143905.830038376</v>
      </c>
      <c r="CH16" s="20" t="n">
        <f aca="false">IF(CG16&gt;PR_BalDone,CG16+CG16*(F_MR/12)-MIN(F_MortPayM,CG16+CG16*(F_MR/12)),CG16)</f>
        <v>143187.527909749</v>
      </c>
      <c r="CI16" s="20" t="n">
        <f aca="false">IF(CH16&gt;PR_BalDone,CH16+CH16*(F_MR/12)-MIN(F_MortPayM,CH16+CH16*(F_MR/12)),CH16)</f>
        <v>142466.92122846</v>
      </c>
      <c r="CJ16" s="20" t="n">
        <f aca="false">IF(CI16&gt;PR_BalDone,CI16+CI16*(F_MR/12)-MIN(F_MortPayM,CI16+CI16*(F_MR/12)),CI16)</f>
        <v>141744.002600734</v>
      </c>
      <c r="CK16" s="20" t="n">
        <f aca="false">IF(CJ16&gt;PR_BalDone,CJ16+CJ16*(F_MR/12)-MIN(F_MortPayM,CJ16+CJ16*(F_MR/12)),CJ16)</f>
        <v>141018.764609078</v>
      </c>
      <c r="CL16" s="20" t="n">
        <f aca="false">IF(CK16&gt;PR_BalDone,CK16+CK16*(F_MR/12)-MIN(F_MortPayM,CK16+CK16*(F_MR/12)),CK16)</f>
        <v>140291.199812199</v>
      </c>
      <c r="CM16" s="20" t="n">
        <f aca="false">IF(CL16&gt;PR_BalDone,CL16+CL16*(F_MR/12)-MIN(F_MortPayM,CL16+CL16*(F_MR/12)),CL16)</f>
        <v>139561.30074493</v>
      </c>
      <c r="CN16" s="20" t="n">
        <f aca="false">IF(CM16&gt;PR_BalDone,CM16+CM16*(F_MR/12)-MIN(F_MortPayM,CM16+CM16*(F_MR/12)),CM16)</f>
        <v>138829.059918153</v>
      </c>
      <c r="CO16" s="20" t="n">
        <f aca="false">IF(CN16&gt;PR_BalDone,CN16+CN16*(F_MR/12)-MIN(F_MortPayM,CN16+CN16*(F_MR/12)),CN16)</f>
        <v>138094.469818724</v>
      </c>
      <c r="CP16" s="20" t="n">
        <f aca="false">IF(CO16&gt;PR_BalDone,CO16+CO16*(F_MR/12)-MIN(F_MortPayM,CO16+CO16*(F_MR/12)),CO16)</f>
        <v>137357.522909392</v>
      </c>
      <c r="CQ16" s="20" t="n">
        <f aca="false">IF(CP16&gt;PR_BalDone,CP16+CP16*(F_MR/12)-MIN(F_MortPayM,CP16+CP16*(F_MR/12)),CP16)</f>
        <v>136618.211628727</v>
      </c>
      <c r="CR16" s="20" t="n">
        <f aca="false">IF(CQ16&gt;PR_BalDone,CQ16+CQ16*(F_MR/12)-MIN(F_MortPayM,CQ16+CQ16*(F_MR/12)),CQ16)</f>
        <v>135876.528391036</v>
      </c>
      <c r="CS16" s="20" t="n">
        <f aca="false">IF(CF16&gt;PR_BalDone,MIN(F_MortPayM,CF16+CF16*(F_MR/12)),0)</f>
        <v>1180</v>
      </c>
      <c r="CT16" s="20" t="n">
        <f aca="false">IF(CG16&gt;PR_BalDone,MIN(F_MortPayM,CG16+CG16*(F_MR/12)),0)</f>
        <v>1180</v>
      </c>
      <c r="CU16" s="20" t="n">
        <f aca="false">IF(CH16&gt;PR_BalDone,MIN(F_MortPayM,CH16+CH16*(F_MR/12)),0)</f>
        <v>1180</v>
      </c>
      <c r="CV16" s="20" t="n">
        <f aca="false">IF(CI16&gt;PR_BalDone,MIN(F_MortPayM,CI16+CI16*(F_MR/12)),0)</f>
        <v>1180</v>
      </c>
      <c r="CW16" s="20" t="n">
        <f aca="false">IF(CJ16&gt;PR_BalDone,MIN(F_MortPayM,CJ16+CJ16*(F_MR/12)),0)</f>
        <v>1180</v>
      </c>
      <c r="CX16" s="20" t="n">
        <f aca="false">IF(CK16&gt;PR_BalDone,MIN(F_MortPayM,CK16+CK16*(F_MR/12)),0)</f>
        <v>1180</v>
      </c>
      <c r="CY16" s="20" t="n">
        <f aca="false">IF(CL16&gt;PR_BalDone,MIN(F_MortPayM,CL16+CL16*(F_MR/12)),0)</f>
        <v>1180</v>
      </c>
      <c r="CZ16" s="20" t="n">
        <f aca="false">IF(CM16&gt;PR_BalDone,MIN(F_MortPayM,CM16+CM16*(F_MR/12)),0)</f>
        <v>1180</v>
      </c>
      <c r="DA16" s="20" t="n">
        <f aca="false">IF(CN16&gt;PR_BalDone,MIN(F_MortPayM,CN16+CN16*(F_MR/12)),0)</f>
        <v>1180</v>
      </c>
      <c r="DB16" s="20" t="n">
        <f aca="false">IF(CO16&gt;PR_BalDone,MIN(F_MortPayM,CO16+CO16*(F_MR/12)),0)</f>
        <v>1180</v>
      </c>
      <c r="DC16" s="20" t="n">
        <f aca="false">IF(CP16&gt;PR_BalDone,MIN(F_MortPayM,CP16+CP16*(F_MR/12)),0)</f>
        <v>1180</v>
      </c>
      <c r="DD16" s="20" t="n">
        <f aca="false">IF(CQ16&gt;PR_BalDone,MIN(F_MortPayM,CQ16+CQ16*(F_MR/12)),0)</f>
        <v>1180</v>
      </c>
      <c r="DE16" s="20" t="n">
        <f aca="false">MAX(0,CR16)</f>
        <v>135876.528391036</v>
      </c>
      <c r="DF16" s="20" t="n">
        <f aca="false">SUM(CS16:DD16)</f>
        <v>14160</v>
      </c>
      <c r="DG16" s="20" t="n">
        <f aca="false">MAX(0,CF16)</f>
        <v>144621.834984468</v>
      </c>
    </row>
    <row r="17" customFormat="false" ht="15" hidden="false" customHeight="true" outlineLevel="0" collapsed="false">
      <c r="B17" s="20" t="n">
        <v>9</v>
      </c>
      <c r="C17" s="20" t="n">
        <f aca="false">'Plan cashflow'!J17</f>
        <v>135876.528391036</v>
      </c>
      <c r="D17" s="20" t="n">
        <f aca="false">IF(C17&gt;PR_BalDone,C17+C17*(F_MR/12)-MIN(F_MortPayM,C17+C17*(F_MR/12)),C17)</f>
        <v>135132.46558629</v>
      </c>
      <c r="E17" s="20" t="n">
        <f aca="false">IF(D17&gt;PR_BalDone,D17+D17*(F_MR/12)-MIN(F_MortPayM,D17+D17*(F_MR/12)),D17)</f>
        <v>134386.015580046</v>
      </c>
      <c r="F17" s="20" t="n">
        <f aca="false">IF(E17&gt;PR_BalDone,E17+E17*(F_MR/12)-MIN(F_MortPayM,E17+E17*(F_MR/12)),E17)</f>
        <v>133637.170713365</v>
      </c>
      <c r="G17" s="20" t="n">
        <f aca="false">IF(F17&gt;PR_BalDone,F17+F17*(F_MR/12)-MIN(F_MortPayM,F17+F17*(F_MR/12)),F17)</f>
        <v>132885.923302738</v>
      </c>
      <c r="H17" s="20" t="n">
        <f aca="false">IF(G17&gt;PR_BalDone,G17+G17*(F_MR/12)-MIN(F_MortPayM,G17+G17*(F_MR/12)),G17)</f>
        <v>132132.26564</v>
      </c>
      <c r="I17" s="20" t="n">
        <f aca="false">IF(H17&gt;PR_BalDone,H17+H17*(F_MR/12)-MIN(F_MortPayM,H17+H17*(F_MR/12)),H17)</f>
        <v>131376.189992262</v>
      </c>
      <c r="J17" s="20" t="n">
        <f aca="false">IF(I17&gt;PR_BalDone,I17+I17*(F_MR/12)-MIN(F_MortPayM,I17+I17*(F_MR/12)),I17)</f>
        <v>130617.688601821</v>
      </c>
      <c r="K17" s="20" t="n">
        <f aca="false">IF(J17&gt;PR_BalDone,J17+J17*(F_MR/12)-MIN(F_MortPayM,J17+J17*(F_MR/12)),J17)</f>
        <v>129856.753686085</v>
      </c>
      <c r="L17" s="20" t="n">
        <f aca="false">IF(K17&gt;PR_BalDone,K17+K17*(F_MR/12)-MIN(F_MortPayM,K17+K17*(F_MR/12)),K17)</f>
        <v>129093.377437494</v>
      </c>
      <c r="M17" s="20" t="n">
        <f aca="false">IF(L17&gt;PR_BalDone,L17+L17*(F_MR/12)-MIN(F_MortPayM,L17+L17*(F_MR/12)),L17)</f>
        <v>128327.55202344</v>
      </c>
      <c r="N17" s="20" t="n">
        <f aca="false">IF(M17&gt;PR_BalDone,M17+M17*(F_MR/12)-MIN(F_MortPayM,M17+M17*(F_MR/12)),M17)</f>
        <v>127559.269586182</v>
      </c>
      <c r="O17" s="20" t="n">
        <f aca="false">IF(N17&gt;PR_BalDone,N17+N17*(F_MR/12)-MIN(F_MortPayM,N17+N17*(F_MR/12)),N17)</f>
        <v>126788.522242771</v>
      </c>
      <c r="P17" s="20" t="n">
        <f aca="false">IF(C17&gt;PR_BalDone,MIN(F_MortPayM,C17+C17*(F_MR/12)),0)</f>
        <v>1180</v>
      </c>
      <c r="Q17" s="20" t="n">
        <f aca="false">IF(D17&gt;PR_BalDone,MIN(F_MortPayM,D17+D17*(F_MR/12)),0)</f>
        <v>1180</v>
      </c>
      <c r="R17" s="20" t="n">
        <f aca="false">IF(E17&gt;PR_BalDone,MIN(F_MortPayM,E17+E17*(F_MR/12)),0)</f>
        <v>1180</v>
      </c>
      <c r="S17" s="20" t="n">
        <f aca="false">IF(F17&gt;PR_BalDone,MIN(F_MortPayM,F17+F17*(F_MR/12)),0)</f>
        <v>1180</v>
      </c>
      <c r="T17" s="20" t="n">
        <f aca="false">IF(G17&gt;PR_BalDone,MIN(F_MortPayM,G17+G17*(F_MR/12)),0)</f>
        <v>1180</v>
      </c>
      <c r="U17" s="20" t="n">
        <f aca="false">IF(H17&gt;PR_BalDone,MIN(F_MortPayM,H17+H17*(F_MR/12)),0)</f>
        <v>1180</v>
      </c>
      <c r="V17" s="20" t="n">
        <f aca="false">IF(I17&gt;PR_BalDone,MIN(F_MortPayM,I17+I17*(F_MR/12)),0)</f>
        <v>1180</v>
      </c>
      <c r="W17" s="20" t="n">
        <f aca="false">IF(J17&gt;PR_BalDone,MIN(F_MortPayM,J17+J17*(F_MR/12)),0)</f>
        <v>1180</v>
      </c>
      <c r="X17" s="20" t="n">
        <f aca="false">IF(K17&gt;PR_BalDone,MIN(F_MortPayM,K17+K17*(F_MR/12)),0)</f>
        <v>1180</v>
      </c>
      <c r="Y17" s="20" t="n">
        <f aca="false">IF(L17&gt;PR_BalDone,MIN(F_MortPayM,L17+L17*(F_MR/12)),0)</f>
        <v>1180</v>
      </c>
      <c r="Z17" s="20" t="n">
        <f aca="false">IF(M17&gt;PR_BalDone,MIN(F_MortPayM,M17+M17*(F_MR/12)),0)</f>
        <v>1180</v>
      </c>
      <c r="AA17" s="20" t="n">
        <f aca="false">IF(N17&gt;PR_BalDone,MIN(F_MortPayM,N17+N17*(F_MR/12)),0)</f>
        <v>1180</v>
      </c>
      <c r="AB17" s="20" t="n">
        <f aca="false">MAX(0,O17)</f>
        <v>126788.522242771</v>
      </c>
      <c r="AC17" s="20" t="n">
        <f aca="false">SUM(P17:AA17)</f>
        <v>14160</v>
      </c>
      <c r="AD17" s="20" t="n">
        <f aca="false">'Plan cashflow'!M17</f>
        <v>0</v>
      </c>
      <c r="AE17" s="20" t="n">
        <f aca="false">IF(AD17&gt;PR_BalDone,AD17+AD17*(D_iC)-MIN(F_CardPayM,AD17+AD17*(D_iC)),AD17)</f>
        <v>0</v>
      </c>
      <c r="AF17" s="20" t="n">
        <f aca="false">IF(AE17&gt;PR_BalDone,AE17+AE17*(D_iC)-MIN(F_CardPayM,AE17+AE17*(D_iC)),AE17)</f>
        <v>0</v>
      </c>
      <c r="AG17" s="20" t="n">
        <f aca="false">IF(AF17&gt;PR_BalDone,AF17+AF17*(D_iC)-MIN(F_CardPayM,AF17+AF17*(D_iC)),AF17)</f>
        <v>0</v>
      </c>
      <c r="AH17" s="20" t="n">
        <f aca="false">IF(AG17&gt;PR_BalDone,AG17+AG17*(D_iC)-MIN(F_CardPayM,AG17+AG17*(D_iC)),AG17)</f>
        <v>0</v>
      </c>
      <c r="AI17" s="20" t="n">
        <f aca="false">IF(AH17&gt;PR_BalDone,AH17+AH17*(D_iC)-MIN(F_CardPayM,AH17+AH17*(D_iC)),AH17)</f>
        <v>0</v>
      </c>
      <c r="AJ17" s="20" t="n">
        <f aca="false">IF(AI17&gt;PR_BalDone,AI17+AI17*(D_iC)-MIN(F_CardPayM,AI17+AI17*(D_iC)),AI17)</f>
        <v>0</v>
      </c>
      <c r="AK17" s="20" t="n">
        <f aca="false">IF(AJ17&gt;PR_BalDone,AJ17+AJ17*(D_iC)-MIN(F_CardPayM,AJ17+AJ17*(D_iC)),AJ17)</f>
        <v>0</v>
      </c>
      <c r="AL17" s="20" t="n">
        <f aca="false">IF(AK17&gt;PR_BalDone,AK17+AK17*(D_iC)-MIN(F_CardPayM,AK17+AK17*(D_iC)),AK17)</f>
        <v>0</v>
      </c>
      <c r="AM17" s="20" t="n">
        <f aca="false">IF(AL17&gt;PR_BalDone,AL17+AL17*(D_iC)-MIN(F_CardPayM,AL17+AL17*(D_iC)),AL17)</f>
        <v>0</v>
      </c>
      <c r="AN17" s="20" t="n">
        <f aca="false">IF(AM17&gt;PR_BalDone,AM17+AM17*(D_iC)-MIN(F_CardPayM,AM17+AM17*(D_iC)),AM17)</f>
        <v>0</v>
      </c>
      <c r="AO17" s="20" t="n">
        <f aca="false">IF(AN17&gt;PR_BalDone,AN17+AN17*(D_iC)-MIN(F_CardPayM,AN17+AN17*(D_iC)),AN17)</f>
        <v>0</v>
      </c>
      <c r="AP17" s="20" t="n">
        <f aca="false">IF(AO17&gt;PR_BalDone,AO17+AO17*(D_iC)-MIN(F_CardPayM,AO17+AO17*(D_iC)),AO17)</f>
        <v>0</v>
      </c>
      <c r="AQ17" s="20" t="n">
        <f aca="false">IF(AD17&gt;PR_BalDone,MIN(F_CardPayM,AD17+AD17*(D_iC)),0)</f>
        <v>0</v>
      </c>
      <c r="AR17" s="20" t="n">
        <f aca="false">IF(AE17&gt;PR_BalDone,MIN(F_CardPayM,AE17+AE17*(D_iC)),0)</f>
        <v>0</v>
      </c>
      <c r="AS17" s="20" t="n">
        <f aca="false">IF(AF17&gt;PR_BalDone,MIN(F_CardPayM,AF17+AF17*(D_iC)),0)</f>
        <v>0</v>
      </c>
      <c r="AT17" s="20" t="n">
        <f aca="false">IF(AG17&gt;PR_BalDone,MIN(F_CardPayM,AG17+AG17*(D_iC)),0)</f>
        <v>0</v>
      </c>
      <c r="AU17" s="20" t="n">
        <f aca="false">IF(AH17&gt;PR_BalDone,MIN(F_CardPayM,AH17+AH17*(D_iC)),0)</f>
        <v>0</v>
      </c>
      <c r="AV17" s="20" t="n">
        <f aca="false">IF(AI17&gt;PR_BalDone,MIN(F_CardPayM,AI17+AI17*(D_iC)),0)</f>
        <v>0</v>
      </c>
      <c r="AW17" s="20" t="n">
        <f aca="false">IF(AJ17&gt;PR_BalDone,MIN(F_CardPayM,AJ17+AJ17*(D_iC)),0)</f>
        <v>0</v>
      </c>
      <c r="AX17" s="20" t="n">
        <f aca="false">IF(AK17&gt;PR_BalDone,MIN(F_CardPayM,AK17+AK17*(D_iC)),0)</f>
        <v>0</v>
      </c>
      <c r="AY17" s="20" t="n">
        <f aca="false">IF(AL17&gt;PR_BalDone,MIN(F_CardPayM,AL17+AL17*(D_iC)),0)</f>
        <v>0</v>
      </c>
      <c r="AZ17" s="20" t="n">
        <f aca="false">IF(AM17&gt;PR_BalDone,MIN(F_CardPayM,AM17+AM17*(D_iC)),0)</f>
        <v>0</v>
      </c>
      <c r="BA17" s="20" t="n">
        <f aca="false">IF(AN17&gt;PR_BalDone,MIN(F_CardPayM,AN17+AN17*(D_iC)),0)</f>
        <v>0</v>
      </c>
      <c r="BB17" s="20" t="n">
        <f aca="false">IF(AO17&gt;PR_BalDone,MIN(F_CardPayM,AO17+AO17*(D_iC)),0)</f>
        <v>0</v>
      </c>
      <c r="BC17" s="20" t="n">
        <f aca="false">MAX(0,AP17)</f>
        <v>0</v>
      </c>
      <c r="BD17" s="20" t="n">
        <f aca="false">SUM(AQ17:BB17)</f>
        <v>0</v>
      </c>
      <c r="BE17" s="20" t="n">
        <f aca="false">'Plan cashflow'!P17</f>
        <v>0</v>
      </c>
      <c r="BF17" s="20" t="n">
        <f aca="false">IF(BE17&gt;PR_BalDone,BE17+BE17*(D_iL)-MIN(F_LoanPayM,BE17+BE17*(D_iL)),BE17)</f>
        <v>0</v>
      </c>
      <c r="BG17" s="20" t="n">
        <f aca="false">IF(BF17&gt;PR_BalDone,BF17+BF17*(D_iL)-MIN(F_LoanPayM,BF17+BF17*(D_iL)),BF17)</f>
        <v>0</v>
      </c>
      <c r="BH17" s="20" t="n">
        <f aca="false">IF(BG17&gt;PR_BalDone,BG17+BG17*(D_iL)-MIN(F_LoanPayM,BG17+BG17*(D_iL)),BG17)</f>
        <v>0</v>
      </c>
      <c r="BI17" s="20" t="n">
        <f aca="false">IF(BH17&gt;PR_BalDone,BH17+BH17*(D_iL)-MIN(F_LoanPayM,BH17+BH17*(D_iL)),BH17)</f>
        <v>0</v>
      </c>
      <c r="BJ17" s="20" t="n">
        <f aca="false">IF(BI17&gt;PR_BalDone,BI17+BI17*(D_iL)-MIN(F_LoanPayM,BI17+BI17*(D_iL)),BI17)</f>
        <v>0</v>
      </c>
      <c r="BK17" s="20" t="n">
        <f aca="false">IF(BJ17&gt;PR_BalDone,BJ17+BJ17*(D_iL)-MIN(F_LoanPayM,BJ17+BJ17*(D_iL)),BJ17)</f>
        <v>0</v>
      </c>
      <c r="BL17" s="20" t="n">
        <f aca="false">IF(BK17&gt;PR_BalDone,BK17+BK17*(D_iL)-MIN(F_LoanPayM,BK17+BK17*(D_iL)),BK17)</f>
        <v>0</v>
      </c>
      <c r="BM17" s="20" t="n">
        <f aca="false">IF(BL17&gt;PR_BalDone,BL17+BL17*(D_iL)-MIN(F_LoanPayM,BL17+BL17*(D_iL)),BL17)</f>
        <v>0</v>
      </c>
      <c r="BN17" s="20" t="n">
        <f aca="false">IF(BM17&gt;PR_BalDone,BM17+BM17*(D_iL)-MIN(F_LoanPayM,BM17+BM17*(D_iL)),BM17)</f>
        <v>0</v>
      </c>
      <c r="BO17" s="20" t="n">
        <f aca="false">IF(BN17&gt;PR_BalDone,BN17+BN17*(D_iL)-MIN(F_LoanPayM,BN17+BN17*(D_iL)),BN17)</f>
        <v>0</v>
      </c>
      <c r="BP17" s="20" t="n">
        <f aca="false">IF(BO17&gt;PR_BalDone,BO17+BO17*(D_iL)-MIN(F_LoanPayM,BO17+BO17*(D_iL)),BO17)</f>
        <v>0</v>
      </c>
      <c r="BQ17" s="20" t="n">
        <f aca="false">IF(BP17&gt;PR_BalDone,BP17+BP17*(D_iL)-MIN(F_LoanPayM,BP17+BP17*(D_iL)),BP17)</f>
        <v>0</v>
      </c>
      <c r="BR17" s="20" t="n">
        <f aca="false">IF(BE17&gt;PR_BalDone,MIN(F_LoanPayM,BE17+BE17*(D_iL)),0)</f>
        <v>0</v>
      </c>
      <c r="BS17" s="20" t="n">
        <f aca="false">IF(BF17&gt;PR_BalDone,MIN(F_LoanPayM,BF17+BF17*(D_iL)),0)</f>
        <v>0</v>
      </c>
      <c r="BT17" s="20" t="n">
        <f aca="false">IF(BG17&gt;PR_BalDone,MIN(F_LoanPayM,BG17+BG17*(D_iL)),0)</f>
        <v>0</v>
      </c>
      <c r="BU17" s="20" t="n">
        <f aca="false">IF(BH17&gt;PR_BalDone,MIN(F_LoanPayM,BH17+BH17*(D_iL)),0)</f>
        <v>0</v>
      </c>
      <c r="BV17" s="20" t="n">
        <f aca="false">IF(BI17&gt;PR_BalDone,MIN(F_LoanPayM,BI17+BI17*(D_iL)),0)</f>
        <v>0</v>
      </c>
      <c r="BW17" s="20" t="n">
        <f aca="false">IF(BJ17&gt;PR_BalDone,MIN(F_LoanPayM,BJ17+BJ17*(D_iL)),0)</f>
        <v>0</v>
      </c>
      <c r="BX17" s="20" t="n">
        <f aca="false">IF(BK17&gt;PR_BalDone,MIN(F_LoanPayM,BK17+BK17*(D_iL)),0)</f>
        <v>0</v>
      </c>
      <c r="BY17" s="20" t="n">
        <f aca="false">IF(BL17&gt;PR_BalDone,MIN(F_LoanPayM,BL17+BL17*(D_iL)),0)</f>
        <v>0</v>
      </c>
      <c r="BZ17" s="20" t="n">
        <f aca="false">IF(BM17&gt;PR_BalDone,MIN(F_LoanPayM,BM17+BM17*(D_iL)),0)</f>
        <v>0</v>
      </c>
      <c r="CA17" s="20" t="n">
        <f aca="false">IF(BN17&gt;PR_BalDone,MIN(F_LoanPayM,BN17+BN17*(D_iL)),0)</f>
        <v>0</v>
      </c>
      <c r="CB17" s="20" t="n">
        <f aca="false">IF(BO17&gt;PR_BalDone,MIN(F_LoanPayM,BO17+BO17*(D_iL)),0)</f>
        <v>0</v>
      </c>
      <c r="CC17" s="20" t="n">
        <f aca="false">IF(BP17&gt;PR_BalDone,MIN(F_LoanPayM,BP17+BP17*(D_iL)),0)</f>
        <v>0</v>
      </c>
      <c r="CD17" s="20" t="n">
        <f aca="false">MAX(0,BQ17)</f>
        <v>0</v>
      </c>
      <c r="CE17" s="20" t="n">
        <f aca="false">SUM(BR17:CC17)</f>
        <v>0</v>
      </c>
      <c r="CF17" s="20" t="n">
        <f aca="false">IF(CF16&gt;1,DE16,CF16)</f>
        <v>135876.528391036</v>
      </c>
      <c r="CG17" s="20" t="n">
        <f aca="false">IF(CF17&gt;PR_BalDone,CF17+CF17*(F_MR/12)-MIN(F_MortPayM,CF17+CF17*(F_MR/12)),CF17)</f>
        <v>135132.46558629</v>
      </c>
      <c r="CH17" s="20" t="n">
        <f aca="false">IF(CG17&gt;PR_BalDone,CG17+CG17*(F_MR/12)-MIN(F_MortPayM,CG17+CG17*(F_MR/12)),CG17)</f>
        <v>134386.015580046</v>
      </c>
      <c r="CI17" s="20" t="n">
        <f aca="false">IF(CH17&gt;PR_BalDone,CH17+CH17*(F_MR/12)-MIN(F_MortPayM,CH17+CH17*(F_MR/12)),CH17)</f>
        <v>133637.170713365</v>
      </c>
      <c r="CJ17" s="20" t="n">
        <f aca="false">IF(CI17&gt;PR_BalDone,CI17+CI17*(F_MR/12)-MIN(F_MortPayM,CI17+CI17*(F_MR/12)),CI17)</f>
        <v>132885.923302738</v>
      </c>
      <c r="CK17" s="20" t="n">
        <f aca="false">IF(CJ17&gt;PR_BalDone,CJ17+CJ17*(F_MR/12)-MIN(F_MortPayM,CJ17+CJ17*(F_MR/12)),CJ17)</f>
        <v>132132.26564</v>
      </c>
      <c r="CL17" s="20" t="n">
        <f aca="false">IF(CK17&gt;PR_BalDone,CK17+CK17*(F_MR/12)-MIN(F_MortPayM,CK17+CK17*(F_MR/12)),CK17)</f>
        <v>131376.189992262</v>
      </c>
      <c r="CM17" s="20" t="n">
        <f aca="false">IF(CL17&gt;PR_BalDone,CL17+CL17*(F_MR/12)-MIN(F_MortPayM,CL17+CL17*(F_MR/12)),CL17)</f>
        <v>130617.688601821</v>
      </c>
      <c r="CN17" s="20" t="n">
        <f aca="false">IF(CM17&gt;PR_BalDone,CM17+CM17*(F_MR/12)-MIN(F_MortPayM,CM17+CM17*(F_MR/12)),CM17)</f>
        <v>129856.753686085</v>
      </c>
      <c r="CO17" s="20" t="n">
        <f aca="false">IF(CN17&gt;PR_BalDone,CN17+CN17*(F_MR/12)-MIN(F_MortPayM,CN17+CN17*(F_MR/12)),CN17)</f>
        <v>129093.377437494</v>
      </c>
      <c r="CP17" s="20" t="n">
        <f aca="false">IF(CO17&gt;PR_BalDone,CO17+CO17*(F_MR/12)-MIN(F_MortPayM,CO17+CO17*(F_MR/12)),CO17)</f>
        <v>128327.55202344</v>
      </c>
      <c r="CQ17" s="20" t="n">
        <f aca="false">IF(CP17&gt;PR_BalDone,CP17+CP17*(F_MR/12)-MIN(F_MortPayM,CP17+CP17*(F_MR/12)),CP17)</f>
        <v>127559.269586182</v>
      </c>
      <c r="CR17" s="20" t="n">
        <f aca="false">IF(CQ17&gt;PR_BalDone,CQ17+CQ17*(F_MR/12)-MIN(F_MortPayM,CQ17+CQ17*(F_MR/12)),CQ17)</f>
        <v>126788.522242771</v>
      </c>
      <c r="CS17" s="20" t="n">
        <f aca="false">IF(CF17&gt;PR_BalDone,MIN(F_MortPayM,CF17+CF17*(F_MR/12)),0)</f>
        <v>1180</v>
      </c>
      <c r="CT17" s="20" t="n">
        <f aca="false">IF(CG17&gt;PR_BalDone,MIN(F_MortPayM,CG17+CG17*(F_MR/12)),0)</f>
        <v>1180</v>
      </c>
      <c r="CU17" s="20" t="n">
        <f aca="false">IF(CH17&gt;PR_BalDone,MIN(F_MortPayM,CH17+CH17*(F_MR/12)),0)</f>
        <v>1180</v>
      </c>
      <c r="CV17" s="20" t="n">
        <f aca="false">IF(CI17&gt;PR_BalDone,MIN(F_MortPayM,CI17+CI17*(F_MR/12)),0)</f>
        <v>1180</v>
      </c>
      <c r="CW17" s="20" t="n">
        <f aca="false">IF(CJ17&gt;PR_BalDone,MIN(F_MortPayM,CJ17+CJ17*(F_MR/12)),0)</f>
        <v>1180</v>
      </c>
      <c r="CX17" s="20" t="n">
        <f aca="false">IF(CK17&gt;PR_BalDone,MIN(F_MortPayM,CK17+CK17*(F_MR/12)),0)</f>
        <v>1180</v>
      </c>
      <c r="CY17" s="20" t="n">
        <f aca="false">IF(CL17&gt;PR_BalDone,MIN(F_MortPayM,CL17+CL17*(F_MR/12)),0)</f>
        <v>1180</v>
      </c>
      <c r="CZ17" s="20" t="n">
        <f aca="false">IF(CM17&gt;PR_BalDone,MIN(F_MortPayM,CM17+CM17*(F_MR/12)),0)</f>
        <v>1180</v>
      </c>
      <c r="DA17" s="20" t="n">
        <f aca="false">IF(CN17&gt;PR_BalDone,MIN(F_MortPayM,CN17+CN17*(F_MR/12)),0)</f>
        <v>1180</v>
      </c>
      <c r="DB17" s="20" t="n">
        <f aca="false">IF(CO17&gt;PR_BalDone,MIN(F_MortPayM,CO17+CO17*(F_MR/12)),0)</f>
        <v>1180</v>
      </c>
      <c r="DC17" s="20" t="n">
        <f aca="false">IF(CP17&gt;PR_BalDone,MIN(F_MortPayM,CP17+CP17*(F_MR/12)),0)</f>
        <v>1180</v>
      </c>
      <c r="DD17" s="20" t="n">
        <f aca="false">IF(CQ17&gt;PR_BalDone,MIN(F_MortPayM,CQ17+CQ17*(F_MR/12)),0)</f>
        <v>1180</v>
      </c>
      <c r="DE17" s="20" t="n">
        <f aca="false">MAX(0,CR17)</f>
        <v>126788.522242771</v>
      </c>
      <c r="DF17" s="20" t="n">
        <f aca="false">SUM(CS17:DD17)</f>
        <v>14160</v>
      </c>
      <c r="DG17" s="20" t="n">
        <f aca="false">MAX(0,CF17)</f>
        <v>135876.528391036</v>
      </c>
    </row>
    <row r="18" customFormat="false" ht="15" hidden="false" customHeight="true" outlineLevel="0" collapsed="false">
      <c r="B18" s="20" t="n">
        <v>10</v>
      </c>
      <c r="C18" s="20" t="n">
        <f aca="false">'Plan cashflow'!J18</f>
        <v>126788.522242771</v>
      </c>
      <c r="D18" s="20" t="n">
        <f aca="false">IF(C18&gt;PR_BalDone,C18+C18*(F_MR/12)-MIN(F_MortPayM,C18+C18*(F_MR/12)),C18)</f>
        <v>126015.302084966</v>
      </c>
      <c r="E18" s="20" t="n">
        <f aca="false">IF(D18&gt;PR_BalDone,D18+D18*(F_MR/12)-MIN(F_MortPayM,D18+D18*(F_MR/12)),D18)</f>
        <v>125239.601179155</v>
      </c>
      <c r="F18" s="20" t="n">
        <f aca="false">IF(E18&gt;PR_BalDone,E18+E18*(F_MR/12)-MIN(F_MortPayM,E18+E18*(F_MR/12)),E18)</f>
        <v>124461.411566272</v>
      </c>
      <c r="G18" s="20" t="n">
        <f aca="false">IF(F18&gt;PR_BalDone,F18+F18*(F_MR/12)-MIN(F_MortPayM,F18+F18*(F_MR/12)),F18)</f>
        <v>123680.725261714</v>
      </c>
      <c r="H18" s="20" t="n">
        <f aca="false">IF(G18&gt;PR_BalDone,G18+G18*(F_MR/12)-MIN(F_MortPayM,G18+G18*(F_MR/12)),G18)</f>
        <v>122897.534255262</v>
      </c>
      <c r="I18" s="20" t="n">
        <f aca="false">IF(H18&gt;PR_BalDone,H18+H18*(F_MR/12)-MIN(F_MortPayM,H18+H18*(F_MR/12)),H18)</f>
        <v>122111.830510997</v>
      </c>
      <c r="J18" s="20" t="n">
        <f aca="false">IF(I18&gt;PR_BalDone,I18+I18*(F_MR/12)-MIN(F_MortPayM,I18+I18*(F_MR/12)),I18)</f>
        <v>121323.60596722</v>
      </c>
      <c r="K18" s="20" t="n">
        <f aca="false">IF(J18&gt;PR_BalDone,J18+J18*(F_MR/12)-MIN(F_MortPayM,J18+J18*(F_MR/12)),J18)</f>
        <v>120532.852536365</v>
      </c>
      <c r="L18" s="20" t="n">
        <f aca="false">IF(K18&gt;PR_BalDone,K18+K18*(F_MR/12)-MIN(F_MortPayM,K18+K18*(F_MR/12)),K18)</f>
        <v>119739.562104919</v>
      </c>
      <c r="M18" s="20" t="n">
        <f aca="false">IF(L18&gt;PR_BalDone,L18+L18*(F_MR/12)-MIN(F_MortPayM,L18+L18*(F_MR/12)),L18)</f>
        <v>118943.726533339</v>
      </c>
      <c r="N18" s="20" t="n">
        <f aca="false">IF(M18&gt;PR_BalDone,M18+M18*(F_MR/12)-MIN(F_MortPayM,M18+M18*(F_MR/12)),M18)</f>
        <v>118145.337655967</v>
      </c>
      <c r="O18" s="20" t="n">
        <f aca="false">IF(N18&gt;PR_BalDone,N18+N18*(F_MR/12)-MIN(F_MortPayM,N18+N18*(F_MR/12)),N18)</f>
        <v>117344.387280946</v>
      </c>
      <c r="P18" s="20" t="n">
        <f aca="false">IF(C18&gt;PR_BalDone,MIN(F_MortPayM,C18+C18*(F_MR/12)),0)</f>
        <v>1180</v>
      </c>
      <c r="Q18" s="20" t="n">
        <f aca="false">IF(D18&gt;PR_BalDone,MIN(F_MortPayM,D18+D18*(F_MR/12)),0)</f>
        <v>1180</v>
      </c>
      <c r="R18" s="20" t="n">
        <f aca="false">IF(E18&gt;PR_BalDone,MIN(F_MortPayM,E18+E18*(F_MR/12)),0)</f>
        <v>1180</v>
      </c>
      <c r="S18" s="20" t="n">
        <f aca="false">IF(F18&gt;PR_BalDone,MIN(F_MortPayM,F18+F18*(F_MR/12)),0)</f>
        <v>1180</v>
      </c>
      <c r="T18" s="20" t="n">
        <f aca="false">IF(G18&gt;PR_BalDone,MIN(F_MortPayM,G18+G18*(F_MR/12)),0)</f>
        <v>1180</v>
      </c>
      <c r="U18" s="20" t="n">
        <f aca="false">IF(H18&gt;PR_BalDone,MIN(F_MortPayM,H18+H18*(F_MR/12)),0)</f>
        <v>1180</v>
      </c>
      <c r="V18" s="20" t="n">
        <f aca="false">IF(I18&gt;PR_BalDone,MIN(F_MortPayM,I18+I18*(F_MR/12)),0)</f>
        <v>1180</v>
      </c>
      <c r="W18" s="20" t="n">
        <f aca="false">IF(J18&gt;PR_BalDone,MIN(F_MortPayM,J18+J18*(F_MR/12)),0)</f>
        <v>1180</v>
      </c>
      <c r="X18" s="20" t="n">
        <f aca="false">IF(K18&gt;PR_BalDone,MIN(F_MortPayM,K18+K18*(F_MR/12)),0)</f>
        <v>1180</v>
      </c>
      <c r="Y18" s="20" t="n">
        <f aca="false">IF(L18&gt;PR_BalDone,MIN(F_MortPayM,L18+L18*(F_MR/12)),0)</f>
        <v>1180</v>
      </c>
      <c r="Z18" s="20" t="n">
        <f aca="false">IF(M18&gt;PR_BalDone,MIN(F_MortPayM,M18+M18*(F_MR/12)),0)</f>
        <v>1180</v>
      </c>
      <c r="AA18" s="20" t="n">
        <f aca="false">IF(N18&gt;PR_BalDone,MIN(F_MortPayM,N18+N18*(F_MR/12)),0)</f>
        <v>1180</v>
      </c>
      <c r="AB18" s="20" t="n">
        <f aca="false">MAX(0,O18)</f>
        <v>117344.387280946</v>
      </c>
      <c r="AC18" s="20" t="n">
        <f aca="false">SUM(P18:AA18)</f>
        <v>14160</v>
      </c>
      <c r="AD18" s="20" t="n">
        <f aca="false">'Plan cashflow'!M18</f>
        <v>0</v>
      </c>
      <c r="AE18" s="20" t="n">
        <f aca="false">IF(AD18&gt;PR_BalDone,AD18+AD18*(D_iC)-MIN(F_CardPayM,AD18+AD18*(D_iC)),AD18)</f>
        <v>0</v>
      </c>
      <c r="AF18" s="20" t="n">
        <f aca="false">IF(AE18&gt;PR_BalDone,AE18+AE18*(D_iC)-MIN(F_CardPayM,AE18+AE18*(D_iC)),AE18)</f>
        <v>0</v>
      </c>
      <c r="AG18" s="20" t="n">
        <f aca="false">IF(AF18&gt;PR_BalDone,AF18+AF18*(D_iC)-MIN(F_CardPayM,AF18+AF18*(D_iC)),AF18)</f>
        <v>0</v>
      </c>
      <c r="AH18" s="20" t="n">
        <f aca="false">IF(AG18&gt;PR_BalDone,AG18+AG18*(D_iC)-MIN(F_CardPayM,AG18+AG18*(D_iC)),AG18)</f>
        <v>0</v>
      </c>
      <c r="AI18" s="20" t="n">
        <f aca="false">IF(AH18&gt;PR_BalDone,AH18+AH18*(D_iC)-MIN(F_CardPayM,AH18+AH18*(D_iC)),AH18)</f>
        <v>0</v>
      </c>
      <c r="AJ18" s="20" t="n">
        <f aca="false">IF(AI18&gt;PR_BalDone,AI18+AI18*(D_iC)-MIN(F_CardPayM,AI18+AI18*(D_iC)),AI18)</f>
        <v>0</v>
      </c>
      <c r="AK18" s="20" t="n">
        <f aca="false">IF(AJ18&gt;PR_BalDone,AJ18+AJ18*(D_iC)-MIN(F_CardPayM,AJ18+AJ18*(D_iC)),AJ18)</f>
        <v>0</v>
      </c>
      <c r="AL18" s="20" t="n">
        <f aca="false">IF(AK18&gt;PR_BalDone,AK18+AK18*(D_iC)-MIN(F_CardPayM,AK18+AK18*(D_iC)),AK18)</f>
        <v>0</v>
      </c>
      <c r="AM18" s="20" t="n">
        <f aca="false">IF(AL18&gt;PR_BalDone,AL18+AL18*(D_iC)-MIN(F_CardPayM,AL18+AL18*(D_iC)),AL18)</f>
        <v>0</v>
      </c>
      <c r="AN18" s="20" t="n">
        <f aca="false">IF(AM18&gt;PR_BalDone,AM18+AM18*(D_iC)-MIN(F_CardPayM,AM18+AM18*(D_iC)),AM18)</f>
        <v>0</v>
      </c>
      <c r="AO18" s="20" t="n">
        <f aca="false">IF(AN18&gt;PR_BalDone,AN18+AN18*(D_iC)-MIN(F_CardPayM,AN18+AN18*(D_iC)),AN18)</f>
        <v>0</v>
      </c>
      <c r="AP18" s="20" t="n">
        <f aca="false">IF(AO18&gt;PR_BalDone,AO18+AO18*(D_iC)-MIN(F_CardPayM,AO18+AO18*(D_iC)),AO18)</f>
        <v>0</v>
      </c>
      <c r="AQ18" s="20" t="n">
        <f aca="false">IF(AD18&gt;PR_BalDone,MIN(F_CardPayM,AD18+AD18*(D_iC)),0)</f>
        <v>0</v>
      </c>
      <c r="AR18" s="20" t="n">
        <f aca="false">IF(AE18&gt;PR_BalDone,MIN(F_CardPayM,AE18+AE18*(D_iC)),0)</f>
        <v>0</v>
      </c>
      <c r="AS18" s="20" t="n">
        <f aca="false">IF(AF18&gt;PR_BalDone,MIN(F_CardPayM,AF18+AF18*(D_iC)),0)</f>
        <v>0</v>
      </c>
      <c r="AT18" s="20" t="n">
        <f aca="false">IF(AG18&gt;PR_BalDone,MIN(F_CardPayM,AG18+AG18*(D_iC)),0)</f>
        <v>0</v>
      </c>
      <c r="AU18" s="20" t="n">
        <f aca="false">IF(AH18&gt;PR_BalDone,MIN(F_CardPayM,AH18+AH18*(D_iC)),0)</f>
        <v>0</v>
      </c>
      <c r="AV18" s="20" t="n">
        <f aca="false">IF(AI18&gt;PR_BalDone,MIN(F_CardPayM,AI18+AI18*(D_iC)),0)</f>
        <v>0</v>
      </c>
      <c r="AW18" s="20" t="n">
        <f aca="false">IF(AJ18&gt;PR_BalDone,MIN(F_CardPayM,AJ18+AJ18*(D_iC)),0)</f>
        <v>0</v>
      </c>
      <c r="AX18" s="20" t="n">
        <f aca="false">IF(AK18&gt;PR_BalDone,MIN(F_CardPayM,AK18+AK18*(D_iC)),0)</f>
        <v>0</v>
      </c>
      <c r="AY18" s="20" t="n">
        <f aca="false">IF(AL18&gt;PR_BalDone,MIN(F_CardPayM,AL18+AL18*(D_iC)),0)</f>
        <v>0</v>
      </c>
      <c r="AZ18" s="20" t="n">
        <f aca="false">IF(AM18&gt;PR_BalDone,MIN(F_CardPayM,AM18+AM18*(D_iC)),0)</f>
        <v>0</v>
      </c>
      <c r="BA18" s="20" t="n">
        <f aca="false">IF(AN18&gt;PR_BalDone,MIN(F_CardPayM,AN18+AN18*(D_iC)),0)</f>
        <v>0</v>
      </c>
      <c r="BB18" s="20" t="n">
        <f aca="false">IF(AO18&gt;PR_BalDone,MIN(F_CardPayM,AO18+AO18*(D_iC)),0)</f>
        <v>0</v>
      </c>
      <c r="BC18" s="20" t="n">
        <f aca="false">MAX(0,AP18)</f>
        <v>0</v>
      </c>
      <c r="BD18" s="20" t="n">
        <f aca="false">SUM(AQ18:BB18)</f>
        <v>0</v>
      </c>
      <c r="BE18" s="20" t="n">
        <f aca="false">'Plan cashflow'!P18</f>
        <v>0</v>
      </c>
      <c r="BF18" s="20" t="n">
        <f aca="false">IF(BE18&gt;PR_BalDone,BE18+BE18*(D_iL)-MIN(F_LoanPayM,BE18+BE18*(D_iL)),BE18)</f>
        <v>0</v>
      </c>
      <c r="BG18" s="20" t="n">
        <f aca="false">IF(BF18&gt;PR_BalDone,BF18+BF18*(D_iL)-MIN(F_LoanPayM,BF18+BF18*(D_iL)),BF18)</f>
        <v>0</v>
      </c>
      <c r="BH18" s="20" t="n">
        <f aca="false">IF(BG18&gt;PR_BalDone,BG18+BG18*(D_iL)-MIN(F_LoanPayM,BG18+BG18*(D_iL)),BG18)</f>
        <v>0</v>
      </c>
      <c r="BI18" s="20" t="n">
        <f aca="false">IF(BH18&gt;PR_BalDone,BH18+BH18*(D_iL)-MIN(F_LoanPayM,BH18+BH18*(D_iL)),BH18)</f>
        <v>0</v>
      </c>
      <c r="BJ18" s="20" t="n">
        <f aca="false">IF(BI18&gt;PR_BalDone,BI18+BI18*(D_iL)-MIN(F_LoanPayM,BI18+BI18*(D_iL)),BI18)</f>
        <v>0</v>
      </c>
      <c r="BK18" s="20" t="n">
        <f aca="false">IF(BJ18&gt;PR_BalDone,BJ18+BJ18*(D_iL)-MIN(F_LoanPayM,BJ18+BJ18*(D_iL)),BJ18)</f>
        <v>0</v>
      </c>
      <c r="BL18" s="20" t="n">
        <f aca="false">IF(BK18&gt;PR_BalDone,BK18+BK18*(D_iL)-MIN(F_LoanPayM,BK18+BK18*(D_iL)),BK18)</f>
        <v>0</v>
      </c>
      <c r="BM18" s="20" t="n">
        <f aca="false">IF(BL18&gt;PR_BalDone,BL18+BL18*(D_iL)-MIN(F_LoanPayM,BL18+BL18*(D_iL)),BL18)</f>
        <v>0</v>
      </c>
      <c r="BN18" s="20" t="n">
        <f aca="false">IF(BM18&gt;PR_BalDone,BM18+BM18*(D_iL)-MIN(F_LoanPayM,BM18+BM18*(D_iL)),BM18)</f>
        <v>0</v>
      </c>
      <c r="BO18" s="20" t="n">
        <f aca="false">IF(BN18&gt;PR_BalDone,BN18+BN18*(D_iL)-MIN(F_LoanPayM,BN18+BN18*(D_iL)),BN18)</f>
        <v>0</v>
      </c>
      <c r="BP18" s="20" t="n">
        <f aca="false">IF(BO18&gt;PR_BalDone,BO18+BO18*(D_iL)-MIN(F_LoanPayM,BO18+BO18*(D_iL)),BO18)</f>
        <v>0</v>
      </c>
      <c r="BQ18" s="20" t="n">
        <f aca="false">IF(BP18&gt;PR_BalDone,BP18+BP18*(D_iL)-MIN(F_LoanPayM,BP18+BP18*(D_iL)),BP18)</f>
        <v>0</v>
      </c>
      <c r="BR18" s="20" t="n">
        <f aca="false">IF(BE18&gt;PR_BalDone,MIN(F_LoanPayM,BE18+BE18*(D_iL)),0)</f>
        <v>0</v>
      </c>
      <c r="BS18" s="20" t="n">
        <f aca="false">IF(BF18&gt;PR_BalDone,MIN(F_LoanPayM,BF18+BF18*(D_iL)),0)</f>
        <v>0</v>
      </c>
      <c r="BT18" s="20" t="n">
        <f aca="false">IF(BG18&gt;PR_BalDone,MIN(F_LoanPayM,BG18+BG18*(D_iL)),0)</f>
        <v>0</v>
      </c>
      <c r="BU18" s="20" t="n">
        <f aca="false">IF(BH18&gt;PR_BalDone,MIN(F_LoanPayM,BH18+BH18*(D_iL)),0)</f>
        <v>0</v>
      </c>
      <c r="BV18" s="20" t="n">
        <f aca="false">IF(BI18&gt;PR_BalDone,MIN(F_LoanPayM,BI18+BI18*(D_iL)),0)</f>
        <v>0</v>
      </c>
      <c r="BW18" s="20" t="n">
        <f aca="false">IF(BJ18&gt;PR_BalDone,MIN(F_LoanPayM,BJ18+BJ18*(D_iL)),0)</f>
        <v>0</v>
      </c>
      <c r="BX18" s="20" t="n">
        <f aca="false">IF(BK18&gt;PR_BalDone,MIN(F_LoanPayM,BK18+BK18*(D_iL)),0)</f>
        <v>0</v>
      </c>
      <c r="BY18" s="20" t="n">
        <f aca="false">IF(BL18&gt;PR_BalDone,MIN(F_LoanPayM,BL18+BL18*(D_iL)),0)</f>
        <v>0</v>
      </c>
      <c r="BZ18" s="20" t="n">
        <f aca="false">IF(BM18&gt;PR_BalDone,MIN(F_LoanPayM,BM18+BM18*(D_iL)),0)</f>
        <v>0</v>
      </c>
      <c r="CA18" s="20" t="n">
        <f aca="false">IF(BN18&gt;PR_BalDone,MIN(F_LoanPayM,BN18+BN18*(D_iL)),0)</f>
        <v>0</v>
      </c>
      <c r="CB18" s="20" t="n">
        <f aca="false">IF(BO18&gt;PR_BalDone,MIN(F_LoanPayM,BO18+BO18*(D_iL)),0)</f>
        <v>0</v>
      </c>
      <c r="CC18" s="20" t="n">
        <f aca="false">IF(BP18&gt;PR_BalDone,MIN(F_LoanPayM,BP18+BP18*(D_iL)),0)</f>
        <v>0</v>
      </c>
      <c r="CD18" s="20" t="n">
        <f aca="false">MAX(0,BQ18)</f>
        <v>0</v>
      </c>
      <c r="CE18" s="20" t="n">
        <f aca="false">SUM(BR18:CC18)</f>
        <v>0</v>
      </c>
      <c r="CF18" s="20" t="n">
        <f aca="false">IF(CF17&gt;1,DE17,CF17)</f>
        <v>126788.522242771</v>
      </c>
      <c r="CG18" s="20" t="n">
        <f aca="false">IF(CF18&gt;PR_BalDone,CF18+CF18*(F_MR/12)-MIN(F_MortPayM,CF18+CF18*(F_MR/12)),CF18)</f>
        <v>126015.302084966</v>
      </c>
      <c r="CH18" s="20" t="n">
        <f aca="false">IF(CG18&gt;PR_BalDone,CG18+CG18*(F_MR/12)-MIN(F_MortPayM,CG18+CG18*(F_MR/12)),CG18)</f>
        <v>125239.601179155</v>
      </c>
      <c r="CI18" s="20" t="n">
        <f aca="false">IF(CH18&gt;PR_BalDone,CH18+CH18*(F_MR/12)-MIN(F_MortPayM,CH18+CH18*(F_MR/12)),CH18)</f>
        <v>124461.411566272</v>
      </c>
      <c r="CJ18" s="20" t="n">
        <f aca="false">IF(CI18&gt;PR_BalDone,CI18+CI18*(F_MR/12)-MIN(F_MortPayM,CI18+CI18*(F_MR/12)),CI18)</f>
        <v>123680.725261714</v>
      </c>
      <c r="CK18" s="20" t="n">
        <f aca="false">IF(CJ18&gt;PR_BalDone,CJ18+CJ18*(F_MR/12)-MIN(F_MortPayM,CJ18+CJ18*(F_MR/12)),CJ18)</f>
        <v>122897.534255262</v>
      </c>
      <c r="CL18" s="20" t="n">
        <f aca="false">IF(CK18&gt;PR_BalDone,CK18+CK18*(F_MR/12)-MIN(F_MortPayM,CK18+CK18*(F_MR/12)),CK18)</f>
        <v>122111.830510997</v>
      </c>
      <c r="CM18" s="20" t="n">
        <f aca="false">IF(CL18&gt;PR_BalDone,CL18+CL18*(F_MR/12)-MIN(F_MortPayM,CL18+CL18*(F_MR/12)),CL18)</f>
        <v>121323.60596722</v>
      </c>
      <c r="CN18" s="20" t="n">
        <f aca="false">IF(CM18&gt;PR_BalDone,CM18+CM18*(F_MR/12)-MIN(F_MortPayM,CM18+CM18*(F_MR/12)),CM18)</f>
        <v>120532.852536365</v>
      </c>
      <c r="CO18" s="20" t="n">
        <f aca="false">IF(CN18&gt;PR_BalDone,CN18+CN18*(F_MR/12)-MIN(F_MortPayM,CN18+CN18*(F_MR/12)),CN18)</f>
        <v>119739.562104919</v>
      </c>
      <c r="CP18" s="20" t="n">
        <f aca="false">IF(CO18&gt;PR_BalDone,CO18+CO18*(F_MR/12)-MIN(F_MortPayM,CO18+CO18*(F_MR/12)),CO18)</f>
        <v>118943.726533339</v>
      </c>
      <c r="CQ18" s="20" t="n">
        <f aca="false">IF(CP18&gt;PR_BalDone,CP18+CP18*(F_MR/12)-MIN(F_MortPayM,CP18+CP18*(F_MR/12)),CP18)</f>
        <v>118145.337655967</v>
      </c>
      <c r="CR18" s="20" t="n">
        <f aca="false">IF(CQ18&gt;PR_BalDone,CQ18+CQ18*(F_MR/12)-MIN(F_MortPayM,CQ18+CQ18*(F_MR/12)),CQ18)</f>
        <v>117344.387280946</v>
      </c>
      <c r="CS18" s="20" t="n">
        <f aca="false">IF(CF18&gt;PR_BalDone,MIN(F_MortPayM,CF18+CF18*(F_MR/12)),0)</f>
        <v>1180</v>
      </c>
      <c r="CT18" s="20" t="n">
        <f aca="false">IF(CG18&gt;PR_BalDone,MIN(F_MortPayM,CG18+CG18*(F_MR/12)),0)</f>
        <v>1180</v>
      </c>
      <c r="CU18" s="20" t="n">
        <f aca="false">IF(CH18&gt;PR_BalDone,MIN(F_MortPayM,CH18+CH18*(F_MR/12)),0)</f>
        <v>1180</v>
      </c>
      <c r="CV18" s="20" t="n">
        <f aca="false">IF(CI18&gt;PR_BalDone,MIN(F_MortPayM,CI18+CI18*(F_MR/12)),0)</f>
        <v>1180</v>
      </c>
      <c r="CW18" s="20" t="n">
        <f aca="false">IF(CJ18&gt;PR_BalDone,MIN(F_MortPayM,CJ18+CJ18*(F_MR/12)),0)</f>
        <v>1180</v>
      </c>
      <c r="CX18" s="20" t="n">
        <f aca="false">IF(CK18&gt;PR_BalDone,MIN(F_MortPayM,CK18+CK18*(F_MR/12)),0)</f>
        <v>1180</v>
      </c>
      <c r="CY18" s="20" t="n">
        <f aca="false">IF(CL18&gt;PR_BalDone,MIN(F_MortPayM,CL18+CL18*(F_MR/12)),0)</f>
        <v>1180</v>
      </c>
      <c r="CZ18" s="20" t="n">
        <f aca="false">IF(CM18&gt;PR_BalDone,MIN(F_MortPayM,CM18+CM18*(F_MR/12)),0)</f>
        <v>1180</v>
      </c>
      <c r="DA18" s="20" t="n">
        <f aca="false">IF(CN18&gt;PR_BalDone,MIN(F_MortPayM,CN18+CN18*(F_MR/12)),0)</f>
        <v>1180</v>
      </c>
      <c r="DB18" s="20" t="n">
        <f aca="false">IF(CO18&gt;PR_BalDone,MIN(F_MortPayM,CO18+CO18*(F_MR/12)),0)</f>
        <v>1180</v>
      </c>
      <c r="DC18" s="20" t="n">
        <f aca="false">IF(CP18&gt;PR_BalDone,MIN(F_MortPayM,CP18+CP18*(F_MR/12)),0)</f>
        <v>1180</v>
      </c>
      <c r="DD18" s="20" t="n">
        <f aca="false">IF(CQ18&gt;PR_BalDone,MIN(F_MortPayM,CQ18+CQ18*(F_MR/12)),0)</f>
        <v>1180</v>
      </c>
      <c r="DE18" s="20" t="n">
        <f aca="false">MAX(0,CR18)</f>
        <v>117344.387280946</v>
      </c>
      <c r="DF18" s="20" t="n">
        <f aca="false">SUM(CS18:DD18)</f>
        <v>14160</v>
      </c>
      <c r="DG18" s="20" t="n">
        <f aca="false">MAX(0,CF18)</f>
        <v>126788.522242771</v>
      </c>
    </row>
    <row r="19" customFormat="false" ht="15" hidden="false" customHeight="true" outlineLevel="0" collapsed="false">
      <c r="B19" s="20" t="n">
        <v>11</v>
      </c>
      <c r="C19" s="20" t="n">
        <f aca="false">'Plan cashflow'!J19</f>
        <v>117344.387280946</v>
      </c>
      <c r="D19" s="20" t="n">
        <f aca="false">IF(C19&gt;PR_BalDone,C19+C19*(F_MR/12)-MIN(F_MortPayM,C19+C19*(F_MR/12)),C19)</f>
        <v>116540.867190139</v>
      </c>
      <c r="E19" s="20" t="n">
        <f aca="false">IF(D19&gt;PR_BalDone,D19+D19*(F_MR/12)-MIN(F_MortPayM,D19+D19*(F_MR/12)),D19)</f>
        <v>115734.769139041</v>
      </c>
      <c r="F19" s="20" t="n">
        <f aca="false">IF(E19&gt;PR_BalDone,E19+E19*(F_MR/12)-MIN(F_MortPayM,E19+E19*(F_MR/12)),E19)</f>
        <v>114926.084856695</v>
      </c>
      <c r="G19" s="20" t="n">
        <f aca="false">IF(F19&gt;PR_BalDone,F19+F19*(F_MR/12)-MIN(F_MortPayM,F19+F19*(F_MR/12)),F19)</f>
        <v>114114.806045611</v>
      </c>
      <c r="H19" s="20" t="n">
        <f aca="false">IF(G19&gt;PR_BalDone,G19+G19*(F_MR/12)-MIN(F_MortPayM,G19+G19*(F_MR/12)),G19)</f>
        <v>113300.924381674</v>
      </c>
      <c r="I19" s="20" t="n">
        <f aca="false">IF(H19&gt;PR_BalDone,H19+H19*(F_MR/12)-MIN(F_MortPayM,H19+H19*(F_MR/12)),H19)</f>
        <v>112484.431514065</v>
      </c>
      <c r="J19" s="20" t="n">
        <f aca="false">IF(I19&gt;PR_BalDone,I19+I19*(F_MR/12)-MIN(F_MortPayM,I19+I19*(F_MR/12)),I19)</f>
        <v>111665.319065172</v>
      </c>
      <c r="K19" s="20" t="n">
        <f aca="false">IF(J19&gt;PR_BalDone,J19+J19*(F_MR/12)-MIN(F_MortPayM,J19+J19*(F_MR/12)),J19)</f>
        <v>110843.578630507</v>
      </c>
      <c r="L19" s="20" t="n">
        <f aca="false">IF(K19&gt;PR_BalDone,K19+K19*(F_MR/12)-MIN(F_MortPayM,K19+K19*(F_MR/12)),K19)</f>
        <v>110019.201778613</v>
      </c>
      <c r="M19" s="20" t="n">
        <f aca="false">IF(L19&gt;PR_BalDone,L19+L19*(F_MR/12)-MIN(F_MortPayM,L19+L19*(F_MR/12)),L19)</f>
        <v>109192.180050986</v>
      </c>
      <c r="N19" s="20" t="n">
        <f aca="false">IF(M19&gt;PR_BalDone,M19+M19*(F_MR/12)-MIN(F_MortPayM,M19+M19*(F_MR/12)),M19)</f>
        <v>108362.504961983</v>
      </c>
      <c r="O19" s="20" t="n">
        <f aca="false">IF(N19&gt;PR_BalDone,N19+N19*(F_MR/12)-MIN(F_MortPayM,N19+N19*(F_MR/12)),N19)</f>
        <v>107530.167998736</v>
      </c>
      <c r="P19" s="20" t="n">
        <f aca="false">IF(C19&gt;PR_BalDone,MIN(F_MortPayM,C19+C19*(F_MR/12)),0)</f>
        <v>1180</v>
      </c>
      <c r="Q19" s="20" t="n">
        <f aca="false">IF(D19&gt;PR_BalDone,MIN(F_MortPayM,D19+D19*(F_MR/12)),0)</f>
        <v>1180</v>
      </c>
      <c r="R19" s="20" t="n">
        <f aca="false">IF(E19&gt;PR_BalDone,MIN(F_MortPayM,E19+E19*(F_MR/12)),0)</f>
        <v>1180</v>
      </c>
      <c r="S19" s="20" t="n">
        <f aca="false">IF(F19&gt;PR_BalDone,MIN(F_MortPayM,F19+F19*(F_MR/12)),0)</f>
        <v>1180</v>
      </c>
      <c r="T19" s="20" t="n">
        <f aca="false">IF(G19&gt;PR_BalDone,MIN(F_MortPayM,G19+G19*(F_MR/12)),0)</f>
        <v>1180</v>
      </c>
      <c r="U19" s="20" t="n">
        <f aca="false">IF(H19&gt;PR_BalDone,MIN(F_MortPayM,H19+H19*(F_MR/12)),0)</f>
        <v>1180</v>
      </c>
      <c r="V19" s="20" t="n">
        <f aca="false">IF(I19&gt;PR_BalDone,MIN(F_MortPayM,I19+I19*(F_MR/12)),0)</f>
        <v>1180</v>
      </c>
      <c r="W19" s="20" t="n">
        <f aca="false">IF(J19&gt;PR_BalDone,MIN(F_MortPayM,J19+J19*(F_MR/12)),0)</f>
        <v>1180</v>
      </c>
      <c r="X19" s="20" t="n">
        <f aca="false">IF(K19&gt;PR_BalDone,MIN(F_MortPayM,K19+K19*(F_MR/12)),0)</f>
        <v>1180</v>
      </c>
      <c r="Y19" s="20" t="n">
        <f aca="false">IF(L19&gt;PR_BalDone,MIN(F_MortPayM,L19+L19*(F_MR/12)),0)</f>
        <v>1180</v>
      </c>
      <c r="Z19" s="20" t="n">
        <f aca="false">IF(M19&gt;PR_BalDone,MIN(F_MortPayM,M19+M19*(F_MR/12)),0)</f>
        <v>1180</v>
      </c>
      <c r="AA19" s="20" t="n">
        <f aca="false">IF(N19&gt;PR_BalDone,MIN(F_MortPayM,N19+N19*(F_MR/12)),0)</f>
        <v>1180</v>
      </c>
      <c r="AB19" s="20" t="n">
        <f aca="false">MAX(0,O19)</f>
        <v>107530.167998736</v>
      </c>
      <c r="AC19" s="20" t="n">
        <f aca="false">SUM(P19:AA19)</f>
        <v>14160</v>
      </c>
      <c r="AD19" s="20" t="n">
        <f aca="false">'Plan cashflow'!M19</f>
        <v>0</v>
      </c>
      <c r="AE19" s="20" t="n">
        <f aca="false">IF(AD19&gt;PR_BalDone,AD19+AD19*(D_iC)-MIN(F_CardPayM,AD19+AD19*(D_iC)),AD19)</f>
        <v>0</v>
      </c>
      <c r="AF19" s="20" t="n">
        <f aca="false">IF(AE19&gt;PR_BalDone,AE19+AE19*(D_iC)-MIN(F_CardPayM,AE19+AE19*(D_iC)),AE19)</f>
        <v>0</v>
      </c>
      <c r="AG19" s="20" t="n">
        <f aca="false">IF(AF19&gt;PR_BalDone,AF19+AF19*(D_iC)-MIN(F_CardPayM,AF19+AF19*(D_iC)),AF19)</f>
        <v>0</v>
      </c>
      <c r="AH19" s="20" t="n">
        <f aca="false">IF(AG19&gt;PR_BalDone,AG19+AG19*(D_iC)-MIN(F_CardPayM,AG19+AG19*(D_iC)),AG19)</f>
        <v>0</v>
      </c>
      <c r="AI19" s="20" t="n">
        <f aca="false">IF(AH19&gt;PR_BalDone,AH19+AH19*(D_iC)-MIN(F_CardPayM,AH19+AH19*(D_iC)),AH19)</f>
        <v>0</v>
      </c>
      <c r="AJ19" s="20" t="n">
        <f aca="false">IF(AI19&gt;PR_BalDone,AI19+AI19*(D_iC)-MIN(F_CardPayM,AI19+AI19*(D_iC)),AI19)</f>
        <v>0</v>
      </c>
      <c r="AK19" s="20" t="n">
        <f aca="false">IF(AJ19&gt;PR_BalDone,AJ19+AJ19*(D_iC)-MIN(F_CardPayM,AJ19+AJ19*(D_iC)),AJ19)</f>
        <v>0</v>
      </c>
      <c r="AL19" s="20" t="n">
        <f aca="false">IF(AK19&gt;PR_BalDone,AK19+AK19*(D_iC)-MIN(F_CardPayM,AK19+AK19*(D_iC)),AK19)</f>
        <v>0</v>
      </c>
      <c r="AM19" s="20" t="n">
        <f aca="false">IF(AL19&gt;PR_BalDone,AL19+AL19*(D_iC)-MIN(F_CardPayM,AL19+AL19*(D_iC)),AL19)</f>
        <v>0</v>
      </c>
      <c r="AN19" s="20" t="n">
        <f aca="false">IF(AM19&gt;PR_BalDone,AM19+AM19*(D_iC)-MIN(F_CardPayM,AM19+AM19*(D_iC)),AM19)</f>
        <v>0</v>
      </c>
      <c r="AO19" s="20" t="n">
        <f aca="false">IF(AN19&gt;PR_BalDone,AN19+AN19*(D_iC)-MIN(F_CardPayM,AN19+AN19*(D_iC)),AN19)</f>
        <v>0</v>
      </c>
      <c r="AP19" s="20" t="n">
        <f aca="false">IF(AO19&gt;PR_BalDone,AO19+AO19*(D_iC)-MIN(F_CardPayM,AO19+AO19*(D_iC)),AO19)</f>
        <v>0</v>
      </c>
      <c r="AQ19" s="20" t="n">
        <f aca="false">IF(AD19&gt;PR_BalDone,MIN(F_CardPayM,AD19+AD19*(D_iC)),0)</f>
        <v>0</v>
      </c>
      <c r="AR19" s="20" t="n">
        <f aca="false">IF(AE19&gt;PR_BalDone,MIN(F_CardPayM,AE19+AE19*(D_iC)),0)</f>
        <v>0</v>
      </c>
      <c r="AS19" s="20" t="n">
        <f aca="false">IF(AF19&gt;PR_BalDone,MIN(F_CardPayM,AF19+AF19*(D_iC)),0)</f>
        <v>0</v>
      </c>
      <c r="AT19" s="20" t="n">
        <f aca="false">IF(AG19&gt;PR_BalDone,MIN(F_CardPayM,AG19+AG19*(D_iC)),0)</f>
        <v>0</v>
      </c>
      <c r="AU19" s="20" t="n">
        <f aca="false">IF(AH19&gt;PR_BalDone,MIN(F_CardPayM,AH19+AH19*(D_iC)),0)</f>
        <v>0</v>
      </c>
      <c r="AV19" s="20" t="n">
        <f aca="false">IF(AI19&gt;PR_BalDone,MIN(F_CardPayM,AI19+AI19*(D_iC)),0)</f>
        <v>0</v>
      </c>
      <c r="AW19" s="20" t="n">
        <f aca="false">IF(AJ19&gt;PR_BalDone,MIN(F_CardPayM,AJ19+AJ19*(D_iC)),0)</f>
        <v>0</v>
      </c>
      <c r="AX19" s="20" t="n">
        <f aca="false">IF(AK19&gt;PR_BalDone,MIN(F_CardPayM,AK19+AK19*(D_iC)),0)</f>
        <v>0</v>
      </c>
      <c r="AY19" s="20" t="n">
        <f aca="false">IF(AL19&gt;PR_BalDone,MIN(F_CardPayM,AL19+AL19*(D_iC)),0)</f>
        <v>0</v>
      </c>
      <c r="AZ19" s="20" t="n">
        <f aca="false">IF(AM19&gt;PR_BalDone,MIN(F_CardPayM,AM19+AM19*(D_iC)),0)</f>
        <v>0</v>
      </c>
      <c r="BA19" s="20" t="n">
        <f aca="false">IF(AN19&gt;PR_BalDone,MIN(F_CardPayM,AN19+AN19*(D_iC)),0)</f>
        <v>0</v>
      </c>
      <c r="BB19" s="20" t="n">
        <f aca="false">IF(AO19&gt;PR_BalDone,MIN(F_CardPayM,AO19+AO19*(D_iC)),0)</f>
        <v>0</v>
      </c>
      <c r="BC19" s="20" t="n">
        <f aca="false">MAX(0,AP19)</f>
        <v>0</v>
      </c>
      <c r="BD19" s="20" t="n">
        <f aca="false">SUM(AQ19:BB19)</f>
        <v>0</v>
      </c>
      <c r="BE19" s="20" t="n">
        <f aca="false">'Plan cashflow'!P19</f>
        <v>0</v>
      </c>
      <c r="BF19" s="20" t="n">
        <f aca="false">IF(BE19&gt;PR_BalDone,BE19+BE19*(D_iL)-MIN(F_LoanPayM,BE19+BE19*(D_iL)),BE19)</f>
        <v>0</v>
      </c>
      <c r="BG19" s="20" t="n">
        <f aca="false">IF(BF19&gt;PR_BalDone,BF19+BF19*(D_iL)-MIN(F_LoanPayM,BF19+BF19*(D_iL)),BF19)</f>
        <v>0</v>
      </c>
      <c r="BH19" s="20" t="n">
        <f aca="false">IF(BG19&gt;PR_BalDone,BG19+BG19*(D_iL)-MIN(F_LoanPayM,BG19+BG19*(D_iL)),BG19)</f>
        <v>0</v>
      </c>
      <c r="BI19" s="20" t="n">
        <f aca="false">IF(BH19&gt;PR_BalDone,BH19+BH19*(D_iL)-MIN(F_LoanPayM,BH19+BH19*(D_iL)),BH19)</f>
        <v>0</v>
      </c>
      <c r="BJ19" s="20" t="n">
        <f aca="false">IF(BI19&gt;PR_BalDone,BI19+BI19*(D_iL)-MIN(F_LoanPayM,BI19+BI19*(D_iL)),BI19)</f>
        <v>0</v>
      </c>
      <c r="BK19" s="20" t="n">
        <f aca="false">IF(BJ19&gt;PR_BalDone,BJ19+BJ19*(D_iL)-MIN(F_LoanPayM,BJ19+BJ19*(D_iL)),BJ19)</f>
        <v>0</v>
      </c>
      <c r="BL19" s="20" t="n">
        <f aca="false">IF(BK19&gt;PR_BalDone,BK19+BK19*(D_iL)-MIN(F_LoanPayM,BK19+BK19*(D_iL)),BK19)</f>
        <v>0</v>
      </c>
      <c r="BM19" s="20" t="n">
        <f aca="false">IF(BL19&gt;PR_BalDone,BL19+BL19*(D_iL)-MIN(F_LoanPayM,BL19+BL19*(D_iL)),BL19)</f>
        <v>0</v>
      </c>
      <c r="BN19" s="20" t="n">
        <f aca="false">IF(BM19&gt;PR_BalDone,BM19+BM19*(D_iL)-MIN(F_LoanPayM,BM19+BM19*(D_iL)),BM19)</f>
        <v>0</v>
      </c>
      <c r="BO19" s="20" t="n">
        <f aca="false">IF(BN19&gt;PR_BalDone,BN19+BN19*(D_iL)-MIN(F_LoanPayM,BN19+BN19*(D_iL)),BN19)</f>
        <v>0</v>
      </c>
      <c r="BP19" s="20" t="n">
        <f aca="false">IF(BO19&gt;PR_BalDone,BO19+BO19*(D_iL)-MIN(F_LoanPayM,BO19+BO19*(D_iL)),BO19)</f>
        <v>0</v>
      </c>
      <c r="BQ19" s="20" t="n">
        <f aca="false">IF(BP19&gt;PR_BalDone,BP19+BP19*(D_iL)-MIN(F_LoanPayM,BP19+BP19*(D_iL)),BP19)</f>
        <v>0</v>
      </c>
      <c r="BR19" s="20" t="n">
        <f aca="false">IF(BE19&gt;PR_BalDone,MIN(F_LoanPayM,BE19+BE19*(D_iL)),0)</f>
        <v>0</v>
      </c>
      <c r="BS19" s="20" t="n">
        <f aca="false">IF(BF19&gt;PR_BalDone,MIN(F_LoanPayM,BF19+BF19*(D_iL)),0)</f>
        <v>0</v>
      </c>
      <c r="BT19" s="20" t="n">
        <f aca="false">IF(BG19&gt;PR_BalDone,MIN(F_LoanPayM,BG19+BG19*(D_iL)),0)</f>
        <v>0</v>
      </c>
      <c r="BU19" s="20" t="n">
        <f aca="false">IF(BH19&gt;PR_BalDone,MIN(F_LoanPayM,BH19+BH19*(D_iL)),0)</f>
        <v>0</v>
      </c>
      <c r="BV19" s="20" t="n">
        <f aca="false">IF(BI19&gt;PR_BalDone,MIN(F_LoanPayM,BI19+BI19*(D_iL)),0)</f>
        <v>0</v>
      </c>
      <c r="BW19" s="20" t="n">
        <f aca="false">IF(BJ19&gt;PR_BalDone,MIN(F_LoanPayM,BJ19+BJ19*(D_iL)),0)</f>
        <v>0</v>
      </c>
      <c r="BX19" s="20" t="n">
        <f aca="false">IF(BK19&gt;PR_BalDone,MIN(F_LoanPayM,BK19+BK19*(D_iL)),0)</f>
        <v>0</v>
      </c>
      <c r="BY19" s="20" t="n">
        <f aca="false">IF(BL19&gt;PR_BalDone,MIN(F_LoanPayM,BL19+BL19*(D_iL)),0)</f>
        <v>0</v>
      </c>
      <c r="BZ19" s="20" t="n">
        <f aca="false">IF(BM19&gt;PR_BalDone,MIN(F_LoanPayM,BM19+BM19*(D_iL)),0)</f>
        <v>0</v>
      </c>
      <c r="CA19" s="20" t="n">
        <f aca="false">IF(BN19&gt;PR_BalDone,MIN(F_LoanPayM,BN19+BN19*(D_iL)),0)</f>
        <v>0</v>
      </c>
      <c r="CB19" s="20" t="n">
        <f aca="false">IF(BO19&gt;PR_BalDone,MIN(F_LoanPayM,BO19+BO19*(D_iL)),0)</f>
        <v>0</v>
      </c>
      <c r="CC19" s="20" t="n">
        <f aca="false">IF(BP19&gt;PR_BalDone,MIN(F_LoanPayM,BP19+BP19*(D_iL)),0)</f>
        <v>0</v>
      </c>
      <c r="CD19" s="20" t="n">
        <f aca="false">MAX(0,BQ19)</f>
        <v>0</v>
      </c>
      <c r="CE19" s="20" t="n">
        <f aca="false">SUM(BR19:CC19)</f>
        <v>0</v>
      </c>
      <c r="CF19" s="20" t="n">
        <f aca="false">IF(CF18&gt;1,DE18,CF18)</f>
        <v>117344.387280946</v>
      </c>
      <c r="CG19" s="20" t="n">
        <f aca="false">IF(CF19&gt;PR_BalDone,CF19+CF19*(F_MR/12)-MIN(F_MortPayM,CF19+CF19*(F_MR/12)),CF19)</f>
        <v>116540.867190139</v>
      </c>
      <c r="CH19" s="20" t="n">
        <f aca="false">IF(CG19&gt;PR_BalDone,CG19+CG19*(F_MR/12)-MIN(F_MortPayM,CG19+CG19*(F_MR/12)),CG19)</f>
        <v>115734.769139041</v>
      </c>
      <c r="CI19" s="20" t="n">
        <f aca="false">IF(CH19&gt;PR_BalDone,CH19+CH19*(F_MR/12)-MIN(F_MortPayM,CH19+CH19*(F_MR/12)),CH19)</f>
        <v>114926.084856695</v>
      </c>
      <c r="CJ19" s="20" t="n">
        <f aca="false">IF(CI19&gt;PR_BalDone,CI19+CI19*(F_MR/12)-MIN(F_MortPayM,CI19+CI19*(F_MR/12)),CI19)</f>
        <v>114114.806045611</v>
      </c>
      <c r="CK19" s="20" t="n">
        <f aca="false">IF(CJ19&gt;PR_BalDone,CJ19+CJ19*(F_MR/12)-MIN(F_MortPayM,CJ19+CJ19*(F_MR/12)),CJ19)</f>
        <v>113300.924381674</v>
      </c>
      <c r="CL19" s="20" t="n">
        <f aca="false">IF(CK19&gt;PR_BalDone,CK19+CK19*(F_MR/12)-MIN(F_MortPayM,CK19+CK19*(F_MR/12)),CK19)</f>
        <v>112484.431514065</v>
      </c>
      <c r="CM19" s="20" t="n">
        <f aca="false">IF(CL19&gt;PR_BalDone,CL19+CL19*(F_MR/12)-MIN(F_MortPayM,CL19+CL19*(F_MR/12)),CL19)</f>
        <v>111665.319065172</v>
      </c>
      <c r="CN19" s="20" t="n">
        <f aca="false">IF(CM19&gt;PR_BalDone,CM19+CM19*(F_MR/12)-MIN(F_MortPayM,CM19+CM19*(F_MR/12)),CM19)</f>
        <v>110843.578630507</v>
      </c>
      <c r="CO19" s="20" t="n">
        <f aca="false">IF(CN19&gt;PR_BalDone,CN19+CN19*(F_MR/12)-MIN(F_MortPayM,CN19+CN19*(F_MR/12)),CN19)</f>
        <v>110019.201778613</v>
      </c>
      <c r="CP19" s="20" t="n">
        <f aca="false">IF(CO19&gt;PR_BalDone,CO19+CO19*(F_MR/12)-MIN(F_MortPayM,CO19+CO19*(F_MR/12)),CO19)</f>
        <v>109192.180050986</v>
      </c>
      <c r="CQ19" s="20" t="n">
        <f aca="false">IF(CP19&gt;PR_BalDone,CP19+CP19*(F_MR/12)-MIN(F_MortPayM,CP19+CP19*(F_MR/12)),CP19)</f>
        <v>108362.504961983</v>
      </c>
      <c r="CR19" s="20" t="n">
        <f aca="false">IF(CQ19&gt;PR_BalDone,CQ19+CQ19*(F_MR/12)-MIN(F_MortPayM,CQ19+CQ19*(F_MR/12)),CQ19)</f>
        <v>107530.167998736</v>
      </c>
      <c r="CS19" s="20" t="n">
        <f aca="false">IF(CF19&gt;PR_BalDone,MIN(F_MortPayM,CF19+CF19*(F_MR/12)),0)</f>
        <v>1180</v>
      </c>
      <c r="CT19" s="20" t="n">
        <f aca="false">IF(CG19&gt;PR_BalDone,MIN(F_MortPayM,CG19+CG19*(F_MR/12)),0)</f>
        <v>1180</v>
      </c>
      <c r="CU19" s="20" t="n">
        <f aca="false">IF(CH19&gt;PR_BalDone,MIN(F_MortPayM,CH19+CH19*(F_MR/12)),0)</f>
        <v>1180</v>
      </c>
      <c r="CV19" s="20" t="n">
        <f aca="false">IF(CI19&gt;PR_BalDone,MIN(F_MortPayM,CI19+CI19*(F_MR/12)),0)</f>
        <v>1180</v>
      </c>
      <c r="CW19" s="20" t="n">
        <f aca="false">IF(CJ19&gt;PR_BalDone,MIN(F_MortPayM,CJ19+CJ19*(F_MR/12)),0)</f>
        <v>1180</v>
      </c>
      <c r="CX19" s="20" t="n">
        <f aca="false">IF(CK19&gt;PR_BalDone,MIN(F_MortPayM,CK19+CK19*(F_MR/12)),0)</f>
        <v>1180</v>
      </c>
      <c r="CY19" s="20" t="n">
        <f aca="false">IF(CL19&gt;PR_BalDone,MIN(F_MortPayM,CL19+CL19*(F_MR/12)),0)</f>
        <v>1180</v>
      </c>
      <c r="CZ19" s="20" t="n">
        <f aca="false">IF(CM19&gt;PR_BalDone,MIN(F_MortPayM,CM19+CM19*(F_MR/12)),0)</f>
        <v>1180</v>
      </c>
      <c r="DA19" s="20" t="n">
        <f aca="false">IF(CN19&gt;PR_BalDone,MIN(F_MortPayM,CN19+CN19*(F_MR/12)),0)</f>
        <v>1180</v>
      </c>
      <c r="DB19" s="20" t="n">
        <f aca="false">IF(CO19&gt;PR_BalDone,MIN(F_MortPayM,CO19+CO19*(F_MR/12)),0)</f>
        <v>1180</v>
      </c>
      <c r="DC19" s="20" t="n">
        <f aca="false">IF(CP19&gt;PR_BalDone,MIN(F_MortPayM,CP19+CP19*(F_MR/12)),0)</f>
        <v>1180</v>
      </c>
      <c r="DD19" s="20" t="n">
        <f aca="false">IF(CQ19&gt;PR_BalDone,MIN(F_MortPayM,CQ19+CQ19*(F_MR/12)),0)</f>
        <v>1180</v>
      </c>
      <c r="DE19" s="20" t="n">
        <f aca="false">MAX(0,CR19)</f>
        <v>107530.167998736</v>
      </c>
      <c r="DF19" s="20" t="n">
        <f aca="false">SUM(CS19:DD19)</f>
        <v>14160</v>
      </c>
      <c r="DG19" s="20" t="n">
        <f aca="false">MAX(0,CF19)</f>
        <v>117344.387280946</v>
      </c>
    </row>
    <row r="20" customFormat="false" ht="15" hidden="false" customHeight="true" outlineLevel="0" collapsed="false">
      <c r="B20" s="20" t="n">
        <v>12</v>
      </c>
      <c r="C20" s="20" t="n">
        <f aca="false">'Plan cashflow'!J20</f>
        <v>107530.167998736</v>
      </c>
      <c r="D20" s="20" t="n">
        <f aca="false">IF(C20&gt;PR_BalDone,C20+C20*(F_MR/12)-MIN(F_MortPayM,C20+C20*(F_MR/12)),C20)</f>
        <v>106695.160621065</v>
      </c>
      <c r="E20" s="20" t="n">
        <f aca="false">IF(D20&gt;PR_BalDone,D20+D20*(F_MR/12)-MIN(F_MortPayM,D20+D20*(F_MR/12)),D20)</f>
        <v>105857.474261391</v>
      </c>
      <c r="F20" s="20" t="n">
        <f aca="false">IF(E20&gt;PR_BalDone,E20+E20*(F_MR/12)-MIN(F_MortPayM,E20+E20*(F_MR/12)),E20)</f>
        <v>105017.100324646</v>
      </c>
      <c r="G20" s="20" t="n">
        <f aca="false">IF(F20&gt;PR_BalDone,F20+F20*(F_MR/12)-MIN(F_MortPayM,F20+F20*(F_MR/12)),F20)</f>
        <v>104174.030188188</v>
      </c>
      <c r="H20" s="20" t="n">
        <f aca="false">IF(G20&gt;PR_BalDone,G20+G20*(F_MR/12)-MIN(F_MortPayM,G20+G20*(F_MR/12)),G20)</f>
        <v>103328.255201708</v>
      </c>
      <c r="I20" s="20" t="n">
        <f aca="false">IF(H20&gt;PR_BalDone,H20+H20*(F_MR/12)-MIN(F_MortPayM,H20+H20*(F_MR/12)),H20)</f>
        <v>102479.766687147</v>
      </c>
      <c r="J20" s="20" t="n">
        <f aca="false">IF(I20&gt;PR_BalDone,I20+I20*(F_MR/12)-MIN(F_MortPayM,I20+I20*(F_MR/12)),I20)</f>
        <v>101628.555938602</v>
      </c>
      <c r="K20" s="20" t="n">
        <f aca="false">IF(J20&gt;PR_BalDone,J20+J20*(F_MR/12)-MIN(F_MortPayM,J20+J20*(F_MR/12)),J20)</f>
        <v>100774.614222238</v>
      </c>
      <c r="L20" s="20" t="n">
        <f aca="false">IF(K20&gt;PR_BalDone,K20+K20*(F_MR/12)-MIN(F_MortPayM,K20+K20*(F_MR/12)),K20)</f>
        <v>99917.932776201</v>
      </c>
      <c r="M20" s="20" t="n">
        <f aca="false">IF(L20&gt;PR_BalDone,L20+L20*(F_MR/12)-MIN(F_MortPayM,L20+L20*(F_MR/12)),L20)</f>
        <v>99058.5028105247</v>
      </c>
      <c r="N20" s="20" t="n">
        <f aca="false">IF(M20&gt;PR_BalDone,M20+M20*(F_MR/12)-MIN(F_MortPayM,M20+M20*(F_MR/12)),M20)</f>
        <v>98196.3155070417</v>
      </c>
      <c r="O20" s="20" t="n">
        <f aca="false">IF(N20&gt;PR_BalDone,N20+N20*(F_MR/12)-MIN(F_MortPayM,N20+N20*(F_MR/12)),N20)</f>
        <v>97331.3620192935</v>
      </c>
      <c r="P20" s="20" t="n">
        <f aca="false">IF(C20&gt;PR_BalDone,MIN(F_MortPayM,C20+C20*(F_MR/12)),0)</f>
        <v>1180</v>
      </c>
      <c r="Q20" s="20" t="n">
        <f aca="false">IF(D20&gt;PR_BalDone,MIN(F_MortPayM,D20+D20*(F_MR/12)),0)</f>
        <v>1180</v>
      </c>
      <c r="R20" s="20" t="n">
        <f aca="false">IF(E20&gt;PR_BalDone,MIN(F_MortPayM,E20+E20*(F_MR/12)),0)</f>
        <v>1180</v>
      </c>
      <c r="S20" s="20" t="n">
        <f aca="false">IF(F20&gt;PR_BalDone,MIN(F_MortPayM,F20+F20*(F_MR/12)),0)</f>
        <v>1180</v>
      </c>
      <c r="T20" s="20" t="n">
        <f aca="false">IF(G20&gt;PR_BalDone,MIN(F_MortPayM,G20+G20*(F_MR/12)),0)</f>
        <v>1180</v>
      </c>
      <c r="U20" s="20" t="n">
        <f aca="false">IF(H20&gt;PR_BalDone,MIN(F_MortPayM,H20+H20*(F_MR/12)),0)</f>
        <v>1180</v>
      </c>
      <c r="V20" s="20" t="n">
        <f aca="false">IF(I20&gt;PR_BalDone,MIN(F_MortPayM,I20+I20*(F_MR/12)),0)</f>
        <v>1180</v>
      </c>
      <c r="W20" s="20" t="n">
        <f aca="false">IF(J20&gt;PR_BalDone,MIN(F_MortPayM,J20+J20*(F_MR/12)),0)</f>
        <v>1180</v>
      </c>
      <c r="X20" s="20" t="n">
        <f aca="false">IF(K20&gt;PR_BalDone,MIN(F_MortPayM,K20+K20*(F_MR/12)),0)</f>
        <v>1180</v>
      </c>
      <c r="Y20" s="20" t="n">
        <f aca="false">IF(L20&gt;PR_BalDone,MIN(F_MortPayM,L20+L20*(F_MR/12)),0)</f>
        <v>1180</v>
      </c>
      <c r="Z20" s="20" t="n">
        <f aca="false">IF(M20&gt;PR_BalDone,MIN(F_MortPayM,M20+M20*(F_MR/12)),0)</f>
        <v>1180</v>
      </c>
      <c r="AA20" s="20" t="n">
        <f aca="false">IF(N20&gt;PR_BalDone,MIN(F_MortPayM,N20+N20*(F_MR/12)),0)</f>
        <v>1180</v>
      </c>
      <c r="AB20" s="20" t="n">
        <f aca="false">MAX(0,O20)</f>
        <v>97331.3620192935</v>
      </c>
      <c r="AC20" s="20" t="n">
        <f aca="false">SUM(P20:AA20)</f>
        <v>14160</v>
      </c>
      <c r="AD20" s="20" t="n">
        <f aca="false">'Plan cashflow'!M20</f>
        <v>0</v>
      </c>
      <c r="AE20" s="20" t="n">
        <f aca="false">IF(AD20&gt;PR_BalDone,AD20+AD20*(D_iC)-MIN(F_CardPayM,AD20+AD20*(D_iC)),AD20)</f>
        <v>0</v>
      </c>
      <c r="AF20" s="20" t="n">
        <f aca="false">IF(AE20&gt;PR_BalDone,AE20+AE20*(D_iC)-MIN(F_CardPayM,AE20+AE20*(D_iC)),AE20)</f>
        <v>0</v>
      </c>
      <c r="AG20" s="20" t="n">
        <f aca="false">IF(AF20&gt;PR_BalDone,AF20+AF20*(D_iC)-MIN(F_CardPayM,AF20+AF20*(D_iC)),AF20)</f>
        <v>0</v>
      </c>
      <c r="AH20" s="20" t="n">
        <f aca="false">IF(AG20&gt;PR_BalDone,AG20+AG20*(D_iC)-MIN(F_CardPayM,AG20+AG20*(D_iC)),AG20)</f>
        <v>0</v>
      </c>
      <c r="AI20" s="20" t="n">
        <f aca="false">IF(AH20&gt;PR_BalDone,AH20+AH20*(D_iC)-MIN(F_CardPayM,AH20+AH20*(D_iC)),AH20)</f>
        <v>0</v>
      </c>
      <c r="AJ20" s="20" t="n">
        <f aca="false">IF(AI20&gt;PR_BalDone,AI20+AI20*(D_iC)-MIN(F_CardPayM,AI20+AI20*(D_iC)),AI20)</f>
        <v>0</v>
      </c>
      <c r="AK20" s="20" t="n">
        <f aca="false">IF(AJ20&gt;PR_BalDone,AJ20+AJ20*(D_iC)-MIN(F_CardPayM,AJ20+AJ20*(D_iC)),AJ20)</f>
        <v>0</v>
      </c>
      <c r="AL20" s="20" t="n">
        <f aca="false">IF(AK20&gt;PR_BalDone,AK20+AK20*(D_iC)-MIN(F_CardPayM,AK20+AK20*(D_iC)),AK20)</f>
        <v>0</v>
      </c>
      <c r="AM20" s="20" t="n">
        <f aca="false">IF(AL20&gt;PR_BalDone,AL20+AL20*(D_iC)-MIN(F_CardPayM,AL20+AL20*(D_iC)),AL20)</f>
        <v>0</v>
      </c>
      <c r="AN20" s="20" t="n">
        <f aca="false">IF(AM20&gt;PR_BalDone,AM20+AM20*(D_iC)-MIN(F_CardPayM,AM20+AM20*(D_iC)),AM20)</f>
        <v>0</v>
      </c>
      <c r="AO20" s="20" t="n">
        <f aca="false">IF(AN20&gt;PR_BalDone,AN20+AN20*(D_iC)-MIN(F_CardPayM,AN20+AN20*(D_iC)),AN20)</f>
        <v>0</v>
      </c>
      <c r="AP20" s="20" t="n">
        <f aca="false">IF(AO20&gt;PR_BalDone,AO20+AO20*(D_iC)-MIN(F_CardPayM,AO20+AO20*(D_iC)),AO20)</f>
        <v>0</v>
      </c>
      <c r="AQ20" s="20" t="n">
        <f aca="false">IF(AD20&gt;PR_BalDone,MIN(F_CardPayM,AD20+AD20*(D_iC)),0)</f>
        <v>0</v>
      </c>
      <c r="AR20" s="20" t="n">
        <f aca="false">IF(AE20&gt;PR_BalDone,MIN(F_CardPayM,AE20+AE20*(D_iC)),0)</f>
        <v>0</v>
      </c>
      <c r="AS20" s="20" t="n">
        <f aca="false">IF(AF20&gt;PR_BalDone,MIN(F_CardPayM,AF20+AF20*(D_iC)),0)</f>
        <v>0</v>
      </c>
      <c r="AT20" s="20" t="n">
        <f aca="false">IF(AG20&gt;PR_BalDone,MIN(F_CardPayM,AG20+AG20*(D_iC)),0)</f>
        <v>0</v>
      </c>
      <c r="AU20" s="20" t="n">
        <f aca="false">IF(AH20&gt;PR_BalDone,MIN(F_CardPayM,AH20+AH20*(D_iC)),0)</f>
        <v>0</v>
      </c>
      <c r="AV20" s="20" t="n">
        <f aca="false">IF(AI20&gt;PR_BalDone,MIN(F_CardPayM,AI20+AI20*(D_iC)),0)</f>
        <v>0</v>
      </c>
      <c r="AW20" s="20" t="n">
        <f aca="false">IF(AJ20&gt;PR_BalDone,MIN(F_CardPayM,AJ20+AJ20*(D_iC)),0)</f>
        <v>0</v>
      </c>
      <c r="AX20" s="20" t="n">
        <f aca="false">IF(AK20&gt;PR_BalDone,MIN(F_CardPayM,AK20+AK20*(D_iC)),0)</f>
        <v>0</v>
      </c>
      <c r="AY20" s="20" t="n">
        <f aca="false">IF(AL20&gt;PR_BalDone,MIN(F_CardPayM,AL20+AL20*(D_iC)),0)</f>
        <v>0</v>
      </c>
      <c r="AZ20" s="20" t="n">
        <f aca="false">IF(AM20&gt;PR_BalDone,MIN(F_CardPayM,AM20+AM20*(D_iC)),0)</f>
        <v>0</v>
      </c>
      <c r="BA20" s="20" t="n">
        <f aca="false">IF(AN20&gt;PR_BalDone,MIN(F_CardPayM,AN20+AN20*(D_iC)),0)</f>
        <v>0</v>
      </c>
      <c r="BB20" s="20" t="n">
        <f aca="false">IF(AO20&gt;PR_BalDone,MIN(F_CardPayM,AO20+AO20*(D_iC)),0)</f>
        <v>0</v>
      </c>
      <c r="BC20" s="20" t="n">
        <f aca="false">MAX(0,AP20)</f>
        <v>0</v>
      </c>
      <c r="BD20" s="20" t="n">
        <f aca="false">SUM(AQ20:BB20)</f>
        <v>0</v>
      </c>
      <c r="BE20" s="20" t="n">
        <f aca="false">'Plan cashflow'!P20</f>
        <v>0</v>
      </c>
      <c r="BF20" s="20" t="n">
        <f aca="false">IF(BE20&gt;PR_BalDone,BE20+BE20*(D_iL)-MIN(F_LoanPayM,BE20+BE20*(D_iL)),BE20)</f>
        <v>0</v>
      </c>
      <c r="BG20" s="20" t="n">
        <f aca="false">IF(BF20&gt;PR_BalDone,BF20+BF20*(D_iL)-MIN(F_LoanPayM,BF20+BF20*(D_iL)),BF20)</f>
        <v>0</v>
      </c>
      <c r="BH20" s="20" t="n">
        <f aca="false">IF(BG20&gt;PR_BalDone,BG20+BG20*(D_iL)-MIN(F_LoanPayM,BG20+BG20*(D_iL)),BG20)</f>
        <v>0</v>
      </c>
      <c r="BI20" s="20" t="n">
        <f aca="false">IF(BH20&gt;PR_BalDone,BH20+BH20*(D_iL)-MIN(F_LoanPayM,BH20+BH20*(D_iL)),BH20)</f>
        <v>0</v>
      </c>
      <c r="BJ20" s="20" t="n">
        <f aca="false">IF(BI20&gt;PR_BalDone,BI20+BI20*(D_iL)-MIN(F_LoanPayM,BI20+BI20*(D_iL)),BI20)</f>
        <v>0</v>
      </c>
      <c r="BK20" s="20" t="n">
        <f aca="false">IF(BJ20&gt;PR_BalDone,BJ20+BJ20*(D_iL)-MIN(F_LoanPayM,BJ20+BJ20*(D_iL)),BJ20)</f>
        <v>0</v>
      </c>
      <c r="BL20" s="20" t="n">
        <f aca="false">IF(BK20&gt;PR_BalDone,BK20+BK20*(D_iL)-MIN(F_LoanPayM,BK20+BK20*(D_iL)),BK20)</f>
        <v>0</v>
      </c>
      <c r="BM20" s="20" t="n">
        <f aca="false">IF(BL20&gt;PR_BalDone,BL20+BL20*(D_iL)-MIN(F_LoanPayM,BL20+BL20*(D_iL)),BL20)</f>
        <v>0</v>
      </c>
      <c r="BN20" s="20" t="n">
        <f aca="false">IF(BM20&gt;PR_BalDone,BM20+BM20*(D_iL)-MIN(F_LoanPayM,BM20+BM20*(D_iL)),BM20)</f>
        <v>0</v>
      </c>
      <c r="BO20" s="20" t="n">
        <f aca="false">IF(BN20&gt;PR_BalDone,BN20+BN20*(D_iL)-MIN(F_LoanPayM,BN20+BN20*(D_iL)),BN20)</f>
        <v>0</v>
      </c>
      <c r="BP20" s="20" t="n">
        <f aca="false">IF(BO20&gt;PR_BalDone,BO20+BO20*(D_iL)-MIN(F_LoanPayM,BO20+BO20*(D_iL)),BO20)</f>
        <v>0</v>
      </c>
      <c r="BQ20" s="20" t="n">
        <f aca="false">IF(BP20&gt;PR_BalDone,BP20+BP20*(D_iL)-MIN(F_LoanPayM,BP20+BP20*(D_iL)),BP20)</f>
        <v>0</v>
      </c>
      <c r="BR20" s="20" t="n">
        <f aca="false">IF(BE20&gt;PR_BalDone,MIN(F_LoanPayM,BE20+BE20*(D_iL)),0)</f>
        <v>0</v>
      </c>
      <c r="BS20" s="20" t="n">
        <f aca="false">IF(BF20&gt;PR_BalDone,MIN(F_LoanPayM,BF20+BF20*(D_iL)),0)</f>
        <v>0</v>
      </c>
      <c r="BT20" s="20" t="n">
        <f aca="false">IF(BG20&gt;PR_BalDone,MIN(F_LoanPayM,BG20+BG20*(D_iL)),0)</f>
        <v>0</v>
      </c>
      <c r="BU20" s="20" t="n">
        <f aca="false">IF(BH20&gt;PR_BalDone,MIN(F_LoanPayM,BH20+BH20*(D_iL)),0)</f>
        <v>0</v>
      </c>
      <c r="BV20" s="20" t="n">
        <f aca="false">IF(BI20&gt;PR_BalDone,MIN(F_LoanPayM,BI20+BI20*(D_iL)),0)</f>
        <v>0</v>
      </c>
      <c r="BW20" s="20" t="n">
        <f aca="false">IF(BJ20&gt;PR_BalDone,MIN(F_LoanPayM,BJ20+BJ20*(D_iL)),0)</f>
        <v>0</v>
      </c>
      <c r="BX20" s="20" t="n">
        <f aca="false">IF(BK20&gt;PR_BalDone,MIN(F_LoanPayM,BK20+BK20*(D_iL)),0)</f>
        <v>0</v>
      </c>
      <c r="BY20" s="20" t="n">
        <f aca="false">IF(BL20&gt;PR_BalDone,MIN(F_LoanPayM,BL20+BL20*(D_iL)),0)</f>
        <v>0</v>
      </c>
      <c r="BZ20" s="20" t="n">
        <f aca="false">IF(BM20&gt;PR_BalDone,MIN(F_LoanPayM,BM20+BM20*(D_iL)),0)</f>
        <v>0</v>
      </c>
      <c r="CA20" s="20" t="n">
        <f aca="false">IF(BN20&gt;PR_BalDone,MIN(F_LoanPayM,BN20+BN20*(D_iL)),0)</f>
        <v>0</v>
      </c>
      <c r="CB20" s="20" t="n">
        <f aca="false">IF(BO20&gt;PR_BalDone,MIN(F_LoanPayM,BO20+BO20*(D_iL)),0)</f>
        <v>0</v>
      </c>
      <c r="CC20" s="20" t="n">
        <f aca="false">IF(BP20&gt;PR_BalDone,MIN(F_LoanPayM,BP20+BP20*(D_iL)),0)</f>
        <v>0</v>
      </c>
      <c r="CD20" s="20" t="n">
        <f aca="false">MAX(0,BQ20)</f>
        <v>0</v>
      </c>
      <c r="CE20" s="20" t="n">
        <f aca="false">SUM(BR20:CC20)</f>
        <v>0</v>
      </c>
      <c r="CF20" s="20" t="n">
        <f aca="false">IF(CF19&gt;1,DE19,CF19)</f>
        <v>107530.167998736</v>
      </c>
      <c r="CG20" s="20" t="n">
        <f aca="false">IF(CF20&gt;PR_BalDone,CF20+CF20*(F_MR/12)-MIN(F_MortPayM,CF20+CF20*(F_MR/12)),CF20)</f>
        <v>106695.160621065</v>
      </c>
      <c r="CH20" s="20" t="n">
        <f aca="false">IF(CG20&gt;PR_BalDone,CG20+CG20*(F_MR/12)-MIN(F_MortPayM,CG20+CG20*(F_MR/12)),CG20)</f>
        <v>105857.474261391</v>
      </c>
      <c r="CI20" s="20" t="n">
        <f aca="false">IF(CH20&gt;PR_BalDone,CH20+CH20*(F_MR/12)-MIN(F_MortPayM,CH20+CH20*(F_MR/12)),CH20)</f>
        <v>105017.100324646</v>
      </c>
      <c r="CJ20" s="20" t="n">
        <f aca="false">IF(CI20&gt;PR_BalDone,CI20+CI20*(F_MR/12)-MIN(F_MortPayM,CI20+CI20*(F_MR/12)),CI20)</f>
        <v>104174.030188188</v>
      </c>
      <c r="CK20" s="20" t="n">
        <f aca="false">IF(CJ20&gt;PR_BalDone,CJ20+CJ20*(F_MR/12)-MIN(F_MortPayM,CJ20+CJ20*(F_MR/12)),CJ20)</f>
        <v>103328.255201708</v>
      </c>
      <c r="CL20" s="20" t="n">
        <f aca="false">IF(CK20&gt;PR_BalDone,CK20+CK20*(F_MR/12)-MIN(F_MortPayM,CK20+CK20*(F_MR/12)),CK20)</f>
        <v>102479.766687147</v>
      </c>
      <c r="CM20" s="20" t="n">
        <f aca="false">IF(CL20&gt;PR_BalDone,CL20+CL20*(F_MR/12)-MIN(F_MortPayM,CL20+CL20*(F_MR/12)),CL20)</f>
        <v>101628.555938602</v>
      </c>
      <c r="CN20" s="20" t="n">
        <f aca="false">IF(CM20&gt;PR_BalDone,CM20+CM20*(F_MR/12)-MIN(F_MortPayM,CM20+CM20*(F_MR/12)),CM20)</f>
        <v>100774.614222238</v>
      </c>
      <c r="CO20" s="20" t="n">
        <f aca="false">IF(CN20&gt;PR_BalDone,CN20+CN20*(F_MR/12)-MIN(F_MortPayM,CN20+CN20*(F_MR/12)),CN20)</f>
        <v>99917.932776201</v>
      </c>
      <c r="CP20" s="20" t="n">
        <f aca="false">IF(CO20&gt;PR_BalDone,CO20+CO20*(F_MR/12)-MIN(F_MortPayM,CO20+CO20*(F_MR/12)),CO20)</f>
        <v>99058.5028105247</v>
      </c>
      <c r="CQ20" s="20" t="n">
        <f aca="false">IF(CP20&gt;PR_BalDone,CP20+CP20*(F_MR/12)-MIN(F_MortPayM,CP20+CP20*(F_MR/12)),CP20)</f>
        <v>98196.3155070417</v>
      </c>
      <c r="CR20" s="20" t="n">
        <f aca="false">IF(CQ20&gt;PR_BalDone,CQ20+CQ20*(F_MR/12)-MIN(F_MortPayM,CQ20+CQ20*(F_MR/12)),CQ20)</f>
        <v>97331.3620192935</v>
      </c>
      <c r="CS20" s="20" t="n">
        <f aca="false">IF(CF20&gt;PR_BalDone,MIN(F_MortPayM,CF20+CF20*(F_MR/12)),0)</f>
        <v>1180</v>
      </c>
      <c r="CT20" s="20" t="n">
        <f aca="false">IF(CG20&gt;PR_BalDone,MIN(F_MortPayM,CG20+CG20*(F_MR/12)),0)</f>
        <v>1180</v>
      </c>
      <c r="CU20" s="20" t="n">
        <f aca="false">IF(CH20&gt;PR_BalDone,MIN(F_MortPayM,CH20+CH20*(F_MR/12)),0)</f>
        <v>1180</v>
      </c>
      <c r="CV20" s="20" t="n">
        <f aca="false">IF(CI20&gt;PR_BalDone,MIN(F_MortPayM,CI20+CI20*(F_MR/12)),0)</f>
        <v>1180</v>
      </c>
      <c r="CW20" s="20" t="n">
        <f aca="false">IF(CJ20&gt;PR_BalDone,MIN(F_MortPayM,CJ20+CJ20*(F_MR/12)),0)</f>
        <v>1180</v>
      </c>
      <c r="CX20" s="20" t="n">
        <f aca="false">IF(CK20&gt;PR_BalDone,MIN(F_MortPayM,CK20+CK20*(F_MR/12)),0)</f>
        <v>1180</v>
      </c>
      <c r="CY20" s="20" t="n">
        <f aca="false">IF(CL20&gt;PR_BalDone,MIN(F_MortPayM,CL20+CL20*(F_MR/12)),0)</f>
        <v>1180</v>
      </c>
      <c r="CZ20" s="20" t="n">
        <f aca="false">IF(CM20&gt;PR_BalDone,MIN(F_MortPayM,CM20+CM20*(F_MR/12)),0)</f>
        <v>1180</v>
      </c>
      <c r="DA20" s="20" t="n">
        <f aca="false">IF(CN20&gt;PR_BalDone,MIN(F_MortPayM,CN20+CN20*(F_MR/12)),0)</f>
        <v>1180</v>
      </c>
      <c r="DB20" s="20" t="n">
        <f aca="false">IF(CO20&gt;PR_BalDone,MIN(F_MortPayM,CO20+CO20*(F_MR/12)),0)</f>
        <v>1180</v>
      </c>
      <c r="DC20" s="20" t="n">
        <f aca="false">IF(CP20&gt;PR_BalDone,MIN(F_MortPayM,CP20+CP20*(F_MR/12)),0)</f>
        <v>1180</v>
      </c>
      <c r="DD20" s="20" t="n">
        <f aca="false">IF(CQ20&gt;PR_BalDone,MIN(F_MortPayM,CQ20+CQ20*(F_MR/12)),0)</f>
        <v>1180</v>
      </c>
      <c r="DE20" s="20" t="n">
        <f aca="false">MAX(0,CR20)</f>
        <v>97331.3620192935</v>
      </c>
      <c r="DF20" s="20" t="n">
        <f aca="false">SUM(CS20:DD20)</f>
        <v>14160</v>
      </c>
      <c r="DG20" s="20" t="n">
        <f aca="false">MAX(0,CF20)</f>
        <v>107530.167998736</v>
      </c>
    </row>
    <row r="21" customFormat="false" ht="15" hidden="false" customHeight="true" outlineLevel="0" collapsed="false">
      <c r="B21" s="20" t="n">
        <v>13</v>
      </c>
      <c r="C21" s="20" t="n">
        <f aca="false">'Plan cashflow'!J21</f>
        <v>97331.3620192935</v>
      </c>
      <c r="D21" s="20" t="n">
        <f aca="false">IF(C21&gt;PR_BalDone,C21+C21*(F_MR/12)-MIN(F_MortPayM,C21+C21*(F_MR/12)),C21)</f>
        <v>96463.6334724387</v>
      </c>
      <c r="E21" s="20" t="n">
        <f aca="false">IF(D21&gt;PR_BalDone,D21+D21*(F_MR/12)-MIN(F_MortPayM,D21+D21*(F_MR/12)),D21)</f>
        <v>95593.1209631628</v>
      </c>
      <c r="F21" s="20" t="n">
        <f aca="false">IF(E21&gt;PR_BalDone,E21+E21*(F_MR/12)-MIN(F_MortPayM,E21+E21*(F_MR/12)),E21)</f>
        <v>94719.8155595863</v>
      </c>
      <c r="G21" s="20" t="n">
        <f aca="false">IF(F21&gt;PR_BalDone,F21+F21*(F_MR/12)-MIN(F_MortPayM,F21+F21*(F_MR/12)),F21)</f>
        <v>93843.7083011733</v>
      </c>
      <c r="H21" s="20" t="n">
        <f aca="false">IF(G21&gt;PR_BalDone,G21+G21*(F_MR/12)-MIN(F_MortPayM,G21+G21*(F_MR/12)),G21)</f>
        <v>92964.7901986396</v>
      </c>
      <c r="I21" s="20" t="n">
        <f aca="false">IF(H21&gt;PR_BalDone,H21+H21*(F_MR/12)-MIN(F_MortPayM,H21+H21*(F_MR/12)),H21)</f>
        <v>92083.0522338602</v>
      </c>
      <c r="J21" s="20" t="n">
        <f aca="false">IF(I21&gt;PR_BalDone,I21+I21*(F_MR/12)-MIN(F_MortPayM,I21+I21*(F_MR/12)),I21)</f>
        <v>91198.4853597772</v>
      </c>
      <c r="K21" s="20" t="n">
        <f aca="false">IF(J21&gt;PR_BalDone,J21+J21*(F_MR/12)-MIN(F_MortPayM,J21+J21*(F_MR/12)),J21)</f>
        <v>90311.0805003065</v>
      </c>
      <c r="L21" s="20" t="n">
        <f aca="false">IF(K21&gt;PR_BalDone,K21+K21*(F_MR/12)-MIN(F_MortPayM,K21+K21*(F_MR/12)),K21)</f>
        <v>89420.8285502449</v>
      </c>
      <c r="M21" s="20" t="n">
        <f aca="false">IF(L21&gt;PR_BalDone,L21+L21*(F_MR/12)-MIN(F_MortPayM,L21+L21*(F_MR/12)),L21)</f>
        <v>88527.720375177</v>
      </c>
      <c r="N21" s="20" t="n">
        <f aca="false">IF(M21&gt;PR_BalDone,M21+M21*(F_MR/12)-MIN(F_MortPayM,M21+M21*(F_MR/12)),M21)</f>
        <v>87631.7468113807</v>
      </c>
      <c r="O21" s="20" t="n">
        <f aca="false">IF(N21&gt;PR_BalDone,N21+N21*(F_MR/12)-MIN(F_MortPayM,N21+N21*(F_MR/12)),N21)</f>
        <v>86732.8986657339</v>
      </c>
      <c r="P21" s="20" t="n">
        <f aca="false">IF(C21&gt;PR_BalDone,MIN(F_MortPayM,C21+C21*(F_MR/12)),0)</f>
        <v>1180</v>
      </c>
      <c r="Q21" s="20" t="n">
        <f aca="false">IF(D21&gt;PR_BalDone,MIN(F_MortPayM,D21+D21*(F_MR/12)),0)</f>
        <v>1180</v>
      </c>
      <c r="R21" s="20" t="n">
        <f aca="false">IF(E21&gt;PR_BalDone,MIN(F_MortPayM,E21+E21*(F_MR/12)),0)</f>
        <v>1180</v>
      </c>
      <c r="S21" s="20" t="n">
        <f aca="false">IF(F21&gt;PR_BalDone,MIN(F_MortPayM,F21+F21*(F_MR/12)),0)</f>
        <v>1180</v>
      </c>
      <c r="T21" s="20" t="n">
        <f aca="false">IF(G21&gt;PR_BalDone,MIN(F_MortPayM,G21+G21*(F_MR/12)),0)</f>
        <v>1180</v>
      </c>
      <c r="U21" s="20" t="n">
        <f aca="false">IF(H21&gt;PR_BalDone,MIN(F_MortPayM,H21+H21*(F_MR/12)),0)</f>
        <v>1180</v>
      </c>
      <c r="V21" s="20" t="n">
        <f aca="false">IF(I21&gt;PR_BalDone,MIN(F_MortPayM,I21+I21*(F_MR/12)),0)</f>
        <v>1180</v>
      </c>
      <c r="W21" s="20" t="n">
        <f aca="false">IF(J21&gt;PR_BalDone,MIN(F_MortPayM,J21+J21*(F_MR/12)),0)</f>
        <v>1180</v>
      </c>
      <c r="X21" s="20" t="n">
        <f aca="false">IF(K21&gt;PR_BalDone,MIN(F_MortPayM,K21+K21*(F_MR/12)),0)</f>
        <v>1180</v>
      </c>
      <c r="Y21" s="20" t="n">
        <f aca="false">IF(L21&gt;PR_BalDone,MIN(F_MortPayM,L21+L21*(F_MR/12)),0)</f>
        <v>1180</v>
      </c>
      <c r="Z21" s="20" t="n">
        <f aca="false">IF(M21&gt;PR_BalDone,MIN(F_MortPayM,M21+M21*(F_MR/12)),0)</f>
        <v>1180</v>
      </c>
      <c r="AA21" s="20" t="n">
        <f aca="false">IF(N21&gt;PR_BalDone,MIN(F_MortPayM,N21+N21*(F_MR/12)),0)</f>
        <v>1180</v>
      </c>
      <c r="AB21" s="20" t="n">
        <f aca="false">MAX(0,O21)</f>
        <v>86732.8986657339</v>
      </c>
      <c r="AC21" s="20" t="n">
        <f aca="false">SUM(P21:AA21)</f>
        <v>14160</v>
      </c>
      <c r="AD21" s="20" t="n">
        <f aca="false">'Plan cashflow'!M21</f>
        <v>0</v>
      </c>
      <c r="AE21" s="20" t="n">
        <f aca="false">IF(AD21&gt;PR_BalDone,AD21+AD21*(D_iC)-MIN(F_CardPayM,AD21+AD21*(D_iC)),AD21)</f>
        <v>0</v>
      </c>
      <c r="AF21" s="20" t="n">
        <f aca="false">IF(AE21&gt;PR_BalDone,AE21+AE21*(D_iC)-MIN(F_CardPayM,AE21+AE21*(D_iC)),AE21)</f>
        <v>0</v>
      </c>
      <c r="AG21" s="20" t="n">
        <f aca="false">IF(AF21&gt;PR_BalDone,AF21+AF21*(D_iC)-MIN(F_CardPayM,AF21+AF21*(D_iC)),AF21)</f>
        <v>0</v>
      </c>
      <c r="AH21" s="20" t="n">
        <f aca="false">IF(AG21&gt;PR_BalDone,AG21+AG21*(D_iC)-MIN(F_CardPayM,AG21+AG21*(D_iC)),AG21)</f>
        <v>0</v>
      </c>
      <c r="AI21" s="20" t="n">
        <f aca="false">IF(AH21&gt;PR_BalDone,AH21+AH21*(D_iC)-MIN(F_CardPayM,AH21+AH21*(D_iC)),AH21)</f>
        <v>0</v>
      </c>
      <c r="AJ21" s="20" t="n">
        <f aca="false">IF(AI21&gt;PR_BalDone,AI21+AI21*(D_iC)-MIN(F_CardPayM,AI21+AI21*(D_iC)),AI21)</f>
        <v>0</v>
      </c>
      <c r="AK21" s="20" t="n">
        <f aca="false">IF(AJ21&gt;PR_BalDone,AJ21+AJ21*(D_iC)-MIN(F_CardPayM,AJ21+AJ21*(D_iC)),AJ21)</f>
        <v>0</v>
      </c>
      <c r="AL21" s="20" t="n">
        <f aca="false">IF(AK21&gt;PR_BalDone,AK21+AK21*(D_iC)-MIN(F_CardPayM,AK21+AK21*(D_iC)),AK21)</f>
        <v>0</v>
      </c>
      <c r="AM21" s="20" t="n">
        <f aca="false">IF(AL21&gt;PR_BalDone,AL21+AL21*(D_iC)-MIN(F_CardPayM,AL21+AL21*(D_iC)),AL21)</f>
        <v>0</v>
      </c>
      <c r="AN21" s="20" t="n">
        <f aca="false">IF(AM21&gt;PR_BalDone,AM21+AM21*(D_iC)-MIN(F_CardPayM,AM21+AM21*(D_iC)),AM21)</f>
        <v>0</v>
      </c>
      <c r="AO21" s="20" t="n">
        <f aca="false">IF(AN21&gt;PR_BalDone,AN21+AN21*(D_iC)-MIN(F_CardPayM,AN21+AN21*(D_iC)),AN21)</f>
        <v>0</v>
      </c>
      <c r="AP21" s="20" t="n">
        <f aca="false">IF(AO21&gt;PR_BalDone,AO21+AO21*(D_iC)-MIN(F_CardPayM,AO21+AO21*(D_iC)),AO21)</f>
        <v>0</v>
      </c>
      <c r="AQ21" s="20" t="n">
        <f aca="false">IF(AD21&gt;PR_BalDone,MIN(F_CardPayM,AD21+AD21*(D_iC)),0)</f>
        <v>0</v>
      </c>
      <c r="AR21" s="20" t="n">
        <f aca="false">IF(AE21&gt;PR_BalDone,MIN(F_CardPayM,AE21+AE21*(D_iC)),0)</f>
        <v>0</v>
      </c>
      <c r="AS21" s="20" t="n">
        <f aca="false">IF(AF21&gt;PR_BalDone,MIN(F_CardPayM,AF21+AF21*(D_iC)),0)</f>
        <v>0</v>
      </c>
      <c r="AT21" s="20" t="n">
        <f aca="false">IF(AG21&gt;PR_BalDone,MIN(F_CardPayM,AG21+AG21*(D_iC)),0)</f>
        <v>0</v>
      </c>
      <c r="AU21" s="20" t="n">
        <f aca="false">IF(AH21&gt;PR_BalDone,MIN(F_CardPayM,AH21+AH21*(D_iC)),0)</f>
        <v>0</v>
      </c>
      <c r="AV21" s="20" t="n">
        <f aca="false">IF(AI21&gt;PR_BalDone,MIN(F_CardPayM,AI21+AI21*(D_iC)),0)</f>
        <v>0</v>
      </c>
      <c r="AW21" s="20" t="n">
        <f aca="false">IF(AJ21&gt;PR_BalDone,MIN(F_CardPayM,AJ21+AJ21*(D_iC)),0)</f>
        <v>0</v>
      </c>
      <c r="AX21" s="20" t="n">
        <f aca="false">IF(AK21&gt;PR_BalDone,MIN(F_CardPayM,AK21+AK21*(D_iC)),0)</f>
        <v>0</v>
      </c>
      <c r="AY21" s="20" t="n">
        <f aca="false">IF(AL21&gt;PR_BalDone,MIN(F_CardPayM,AL21+AL21*(D_iC)),0)</f>
        <v>0</v>
      </c>
      <c r="AZ21" s="20" t="n">
        <f aca="false">IF(AM21&gt;PR_BalDone,MIN(F_CardPayM,AM21+AM21*(D_iC)),0)</f>
        <v>0</v>
      </c>
      <c r="BA21" s="20" t="n">
        <f aca="false">IF(AN21&gt;PR_BalDone,MIN(F_CardPayM,AN21+AN21*(D_iC)),0)</f>
        <v>0</v>
      </c>
      <c r="BB21" s="20" t="n">
        <f aca="false">IF(AO21&gt;PR_BalDone,MIN(F_CardPayM,AO21+AO21*(D_iC)),0)</f>
        <v>0</v>
      </c>
      <c r="BC21" s="20" t="n">
        <f aca="false">MAX(0,AP21)</f>
        <v>0</v>
      </c>
      <c r="BD21" s="20" t="n">
        <f aca="false">SUM(AQ21:BB21)</f>
        <v>0</v>
      </c>
      <c r="BE21" s="20" t="n">
        <f aca="false">'Plan cashflow'!P21</f>
        <v>0</v>
      </c>
      <c r="BF21" s="20" t="n">
        <f aca="false">IF(BE21&gt;PR_BalDone,BE21+BE21*(D_iL)-MIN(F_LoanPayM,BE21+BE21*(D_iL)),BE21)</f>
        <v>0</v>
      </c>
      <c r="BG21" s="20" t="n">
        <f aca="false">IF(BF21&gt;PR_BalDone,BF21+BF21*(D_iL)-MIN(F_LoanPayM,BF21+BF21*(D_iL)),BF21)</f>
        <v>0</v>
      </c>
      <c r="BH21" s="20" t="n">
        <f aca="false">IF(BG21&gt;PR_BalDone,BG21+BG21*(D_iL)-MIN(F_LoanPayM,BG21+BG21*(D_iL)),BG21)</f>
        <v>0</v>
      </c>
      <c r="BI21" s="20" t="n">
        <f aca="false">IF(BH21&gt;PR_BalDone,BH21+BH21*(D_iL)-MIN(F_LoanPayM,BH21+BH21*(D_iL)),BH21)</f>
        <v>0</v>
      </c>
      <c r="BJ21" s="20" t="n">
        <f aca="false">IF(BI21&gt;PR_BalDone,BI21+BI21*(D_iL)-MIN(F_LoanPayM,BI21+BI21*(D_iL)),BI21)</f>
        <v>0</v>
      </c>
      <c r="BK21" s="20" t="n">
        <f aca="false">IF(BJ21&gt;PR_BalDone,BJ21+BJ21*(D_iL)-MIN(F_LoanPayM,BJ21+BJ21*(D_iL)),BJ21)</f>
        <v>0</v>
      </c>
      <c r="BL21" s="20" t="n">
        <f aca="false">IF(BK21&gt;PR_BalDone,BK21+BK21*(D_iL)-MIN(F_LoanPayM,BK21+BK21*(D_iL)),BK21)</f>
        <v>0</v>
      </c>
      <c r="BM21" s="20" t="n">
        <f aca="false">IF(BL21&gt;PR_BalDone,BL21+BL21*(D_iL)-MIN(F_LoanPayM,BL21+BL21*(D_iL)),BL21)</f>
        <v>0</v>
      </c>
      <c r="BN21" s="20" t="n">
        <f aca="false">IF(BM21&gt;PR_BalDone,BM21+BM21*(D_iL)-MIN(F_LoanPayM,BM21+BM21*(D_iL)),BM21)</f>
        <v>0</v>
      </c>
      <c r="BO21" s="20" t="n">
        <f aca="false">IF(BN21&gt;PR_BalDone,BN21+BN21*(D_iL)-MIN(F_LoanPayM,BN21+BN21*(D_iL)),BN21)</f>
        <v>0</v>
      </c>
      <c r="BP21" s="20" t="n">
        <f aca="false">IF(BO21&gt;PR_BalDone,BO21+BO21*(D_iL)-MIN(F_LoanPayM,BO21+BO21*(D_iL)),BO21)</f>
        <v>0</v>
      </c>
      <c r="BQ21" s="20" t="n">
        <f aca="false">IF(BP21&gt;PR_BalDone,BP21+BP21*(D_iL)-MIN(F_LoanPayM,BP21+BP21*(D_iL)),BP21)</f>
        <v>0</v>
      </c>
      <c r="BR21" s="20" t="n">
        <f aca="false">IF(BE21&gt;PR_BalDone,MIN(F_LoanPayM,BE21+BE21*(D_iL)),0)</f>
        <v>0</v>
      </c>
      <c r="BS21" s="20" t="n">
        <f aca="false">IF(BF21&gt;PR_BalDone,MIN(F_LoanPayM,BF21+BF21*(D_iL)),0)</f>
        <v>0</v>
      </c>
      <c r="BT21" s="20" t="n">
        <f aca="false">IF(BG21&gt;PR_BalDone,MIN(F_LoanPayM,BG21+BG21*(D_iL)),0)</f>
        <v>0</v>
      </c>
      <c r="BU21" s="20" t="n">
        <f aca="false">IF(BH21&gt;PR_BalDone,MIN(F_LoanPayM,BH21+BH21*(D_iL)),0)</f>
        <v>0</v>
      </c>
      <c r="BV21" s="20" t="n">
        <f aca="false">IF(BI21&gt;PR_BalDone,MIN(F_LoanPayM,BI21+BI21*(D_iL)),0)</f>
        <v>0</v>
      </c>
      <c r="BW21" s="20" t="n">
        <f aca="false">IF(BJ21&gt;PR_BalDone,MIN(F_LoanPayM,BJ21+BJ21*(D_iL)),0)</f>
        <v>0</v>
      </c>
      <c r="BX21" s="20" t="n">
        <f aca="false">IF(BK21&gt;PR_BalDone,MIN(F_LoanPayM,BK21+BK21*(D_iL)),0)</f>
        <v>0</v>
      </c>
      <c r="BY21" s="20" t="n">
        <f aca="false">IF(BL21&gt;PR_BalDone,MIN(F_LoanPayM,BL21+BL21*(D_iL)),0)</f>
        <v>0</v>
      </c>
      <c r="BZ21" s="20" t="n">
        <f aca="false">IF(BM21&gt;PR_BalDone,MIN(F_LoanPayM,BM21+BM21*(D_iL)),0)</f>
        <v>0</v>
      </c>
      <c r="CA21" s="20" t="n">
        <f aca="false">IF(BN21&gt;PR_BalDone,MIN(F_LoanPayM,BN21+BN21*(D_iL)),0)</f>
        <v>0</v>
      </c>
      <c r="CB21" s="20" t="n">
        <f aca="false">IF(BO21&gt;PR_BalDone,MIN(F_LoanPayM,BO21+BO21*(D_iL)),0)</f>
        <v>0</v>
      </c>
      <c r="CC21" s="20" t="n">
        <f aca="false">IF(BP21&gt;PR_BalDone,MIN(F_LoanPayM,BP21+BP21*(D_iL)),0)</f>
        <v>0</v>
      </c>
      <c r="CD21" s="20" t="n">
        <f aca="false">MAX(0,BQ21)</f>
        <v>0</v>
      </c>
      <c r="CE21" s="20" t="n">
        <f aca="false">SUM(BR21:CC21)</f>
        <v>0</v>
      </c>
      <c r="CF21" s="20" t="n">
        <f aca="false">IF(CF20&gt;1,DE20,CF20)</f>
        <v>97331.3620192935</v>
      </c>
      <c r="CG21" s="20" t="n">
        <f aca="false">IF(CF21&gt;PR_BalDone,CF21+CF21*(F_MR/12)-MIN(F_MortPayM,CF21+CF21*(F_MR/12)),CF21)</f>
        <v>96463.6334724387</v>
      </c>
      <c r="CH21" s="20" t="n">
        <f aca="false">IF(CG21&gt;PR_BalDone,CG21+CG21*(F_MR/12)-MIN(F_MortPayM,CG21+CG21*(F_MR/12)),CG21)</f>
        <v>95593.1209631628</v>
      </c>
      <c r="CI21" s="20" t="n">
        <f aca="false">IF(CH21&gt;PR_BalDone,CH21+CH21*(F_MR/12)-MIN(F_MortPayM,CH21+CH21*(F_MR/12)),CH21)</f>
        <v>94719.8155595863</v>
      </c>
      <c r="CJ21" s="20" t="n">
        <f aca="false">IF(CI21&gt;PR_BalDone,CI21+CI21*(F_MR/12)-MIN(F_MortPayM,CI21+CI21*(F_MR/12)),CI21)</f>
        <v>93843.7083011733</v>
      </c>
      <c r="CK21" s="20" t="n">
        <f aca="false">IF(CJ21&gt;PR_BalDone,CJ21+CJ21*(F_MR/12)-MIN(F_MortPayM,CJ21+CJ21*(F_MR/12)),CJ21)</f>
        <v>92964.7901986396</v>
      </c>
      <c r="CL21" s="20" t="n">
        <f aca="false">IF(CK21&gt;PR_BalDone,CK21+CK21*(F_MR/12)-MIN(F_MortPayM,CK21+CK21*(F_MR/12)),CK21)</f>
        <v>92083.0522338602</v>
      </c>
      <c r="CM21" s="20" t="n">
        <f aca="false">IF(CL21&gt;PR_BalDone,CL21+CL21*(F_MR/12)-MIN(F_MortPayM,CL21+CL21*(F_MR/12)),CL21)</f>
        <v>91198.4853597772</v>
      </c>
      <c r="CN21" s="20" t="n">
        <f aca="false">IF(CM21&gt;PR_BalDone,CM21+CM21*(F_MR/12)-MIN(F_MortPayM,CM21+CM21*(F_MR/12)),CM21)</f>
        <v>90311.0805003065</v>
      </c>
      <c r="CO21" s="20" t="n">
        <f aca="false">IF(CN21&gt;PR_BalDone,CN21+CN21*(F_MR/12)-MIN(F_MortPayM,CN21+CN21*(F_MR/12)),CN21)</f>
        <v>89420.8285502449</v>
      </c>
      <c r="CP21" s="20" t="n">
        <f aca="false">IF(CO21&gt;PR_BalDone,CO21+CO21*(F_MR/12)-MIN(F_MortPayM,CO21+CO21*(F_MR/12)),CO21)</f>
        <v>88527.720375177</v>
      </c>
      <c r="CQ21" s="20" t="n">
        <f aca="false">IF(CP21&gt;PR_BalDone,CP21+CP21*(F_MR/12)-MIN(F_MortPayM,CP21+CP21*(F_MR/12)),CP21)</f>
        <v>87631.7468113807</v>
      </c>
      <c r="CR21" s="20" t="n">
        <f aca="false">IF(CQ21&gt;PR_BalDone,CQ21+CQ21*(F_MR/12)-MIN(F_MortPayM,CQ21+CQ21*(F_MR/12)),CQ21)</f>
        <v>86732.8986657339</v>
      </c>
      <c r="CS21" s="20" t="n">
        <f aca="false">IF(CF21&gt;PR_BalDone,MIN(F_MortPayM,CF21+CF21*(F_MR/12)),0)</f>
        <v>1180</v>
      </c>
      <c r="CT21" s="20" t="n">
        <f aca="false">IF(CG21&gt;PR_BalDone,MIN(F_MortPayM,CG21+CG21*(F_MR/12)),0)</f>
        <v>1180</v>
      </c>
      <c r="CU21" s="20" t="n">
        <f aca="false">IF(CH21&gt;PR_BalDone,MIN(F_MortPayM,CH21+CH21*(F_MR/12)),0)</f>
        <v>1180</v>
      </c>
      <c r="CV21" s="20" t="n">
        <f aca="false">IF(CI21&gt;PR_BalDone,MIN(F_MortPayM,CI21+CI21*(F_MR/12)),0)</f>
        <v>1180</v>
      </c>
      <c r="CW21" s="20" t="n">
        <f aca="false">IF(CJ21&gt;PR_BalDone,MIN(F_MortPayM,CJ21+CJ21*(F_MR/12)),0)</f>
        <v>1180</v>
      </c>
      <c r="CX21" s="20" t="n">
        <f aca="false">IF(CK21&gt;PR_BalDone,MIN(F_MortPayM,CK21+CK21*(F_MR/12)),0)</f>
        <v>1180</v>
      </c>
      <c r="CY21" s="20" t="n">
        <f aca="false">IF(CL21&gt;PR_BalDone,MIN(F_MortPayM,CL21+CL21*(F_MR/12)),0)</f>
        <v>1180</v>
      </c>
      <c r="CZ21" s="20" t="n">
        <f aca="false">IF(CM21&gt;PR_BalDone,MIN(F_MortPayM,CM21+CM21*(F_MR/12)),0)</f>
        <v>1180</v>
      </c>
      <c r="DA21" s="20" t="n">
        <f aca="false">IF(CN21&gt;PR_BalDone,MIN(F_MortPayM,CN21+CN21*(F_MR/12)),0)</f>
        <v>1180</v>
      </c>
      <c r="DB21" s="20" t="n">
        <f aca="false">IF(CO21&gt;PR_BalDone,MIN(F_MortPayM,CO21+CO21*(F_MR/12)),0)</f>
        <v>1180</v>
      </c>
      <c r="DC21" s="20" t="n">
        <f aca="false">IF(CP21&gt;PR_BalDone,MIN(F_MortPayM,CP21+CP21*(F_MR/12)),0)</f>
        <v>1180</v>
      </c>
      <c r="DD21" s="20" t="n">
        <f aca="false">IF(CQ21&gt;PR_BalDone,MIN(F_MortPayM,CQ21+CQ21*(F_MR/12)),0)</f>
        <v>1180</v>
      </c>
      <c r="DE21" s="20" t="n">
        <f aca="false">MAX(0,CR21)</f>
        <v>86732.8986657339</v>
      </c>
      <c r="DF21" s="20" t="n">
        <f aca="false">SUM(CS21:DD21)</f>
        <v>14160</v>
      </c>
      <c r="DG21" s="20" t="n">
        <f aca="false">MAX(0,CF21)</f>
        <v>97331.3620192935</v>
      </c>
    </row>
    <row r="22" customFormat="false" ht="15" hidden="false" customHeight="true" outlineLevel="0" collapsed="false">
      <c r="B22" s="20" t="n">
        <v>14</v>
      </c>
      <c r="C22" s="20" t="n">
        <f aca="false">'Plan cashflow'!J22</f>
        <v>86732.8986657339</v>
      </c>
      <c r="D22" s="20" t="n">
        <f aca="false">IF(C22&gt;PR_BalDone,C22+C22*(F_MR/12)-MIN(F_MortPayM,C22+C22*(F_MR/12)),C22)</f>
        <v>85831.1667156198</v>
      </c>
      <c r="E22" s="20" t="n">
        <f aca="false">IF(D22&gt;PR_BalDone,D22+D22*(F_MR/12)-MIN(F_MortPayM,D22+D22*(F_MR/12)),D22)</f>
        <v>84926.5417088324</v>
      </c>
      <c r="F22" s="20" t="n">
        <f aca="false">IF(E22&gt;PR_BalDone,E22+E22*(F_MR/12)-MIN(F_MortPayM,E22+E22*(F_MR/12)),E22)</f>
        <v>84019.0143634816</v>
      </c>
      <c r="G22" s="20" t="n">
        <f aca="false">IF(F22&gt;PR_BalDone,F22+F22*(F_MR/12)-MIN(F_MortPayM,F22+F22*(F_MR/12)),F22)</f>
        <v>83108.5753678977</v>
      </c>
      <c r="H22" s="20" t="n">
        <f aca="false">IF(G22&gt;PR_BalDone,G22+G22*(F_MR/12)-MIN(F_MortPayM,G22+G22*(F_MR/12)),G22)</f>
        <v>82195.2153805364</v>
      </c>
      <c r="I22" s="20" t="n">
        <f aca="false">IF(H22&gt;PR_BalDone,H22+H22*(F_MR/12)-MIN(F_MortPayM,H22+H22*(F_MR/12)),H22)</f>
        <v>81278.9250298823</v>
      </c>
      <c r="J22" s="20" t="n">
        <f aca="false">IF(I22&gt;PR_BalDone,I22+I22*(F_MR/12)-MIN(F_MortPayM,I22+I22*(F_MR/12)),I22)</f>
        <v>80359.6949143532</v>
      </c>
      <c r="K22" s="20" t="n">
        <f aca="false">IF(J22&gt;PR_BalDone,J22+J22*(F_MR/12)-MIN(F_MortPayM,J22+J22*(F_MR/12)),J22)</f>
        <v>79437.5156022034</v>
      </c>
      <c r="L22" s="20" t="n">
        <f aca="false">IF(K22&gt;PR_BalDone,K22+K22*(F_MR/12)-MIN(F_MortPayM,K22+K22*(F_MR/12)),K22)</f>
        <v>78512.3776314271</v>
      </c>
      <c r="M22" s="20" t="n">
        <f aca="false">IF(L22&gt;PR_BalDone,L22+L22*(F_MR/12)-MIN(F_MortPayM,L22+L22*(F_MR/12)),L22)</f>
        <v>77584.2715096613</v>
      </c>
      <c r="N22" s="20" t="n">
        <f aca="false">IF(M22&gt;PR_BalDone,M22+M22*(F_MR/12)-MIN(F_MortPayM,M22+M22*(F_MR/12)),M22)</f>
        <v>76653.1877140881</v>
      </c>
      <c r="O22" s="20" t="n">
        <f aca="false">IF(N22&gt;PR_BalDone,N22+N22*(F_MR/12)-MIN(F_MortPayM,N22+N22*(F_MR/12)),N22)</f>
        <v>75719.1166913375</v>
      </c>
      <c r="P22" s="20" t="n">
        <f aca="false">IF(C22&gt;PR_BalDone,MIN(F_MortPayM,C22+C22*(F_MR/12)),0)</f>
        <v>1180</v>
      </c>
      <c r="Q22" s="20" t="n">
        <f aca="false">IF(D22&gt;PR_BalDone,MIN(F_MortPayM,D22+D22*(F_MR/12)),0)</f>
        <v>1180</v>
      </c>
      <c r="R22" s="20" t="n">
        <f aca="false">IF(E22&gt;PR_BalDone,MIN(F_MortPayM,E22+E22*(F_MR/12)),0)</f>
        <v>1180</v>
      </c>
      <c r="S22" s="20" t="n">
        <f aca="false">IF(F22&gt;PR_BalDone,MIN(F_MortPayM,F22+F22*(F_MR/12)),0)</f>
        <v>1180</v>
      </c>
      <c r="T22" s="20" t="n">
        <f aca="false">IF(G22&gt;PR_BalDone,MIN(F_MortPayM,G22+G22*(F_MR/12)),0)</f>
        <v>1180</v>
      </c>
      <c r="U22" s="20" t="n">
        <f aca="false">IF(H22&gt;PR_BalDone,MIN(F_MortPayM,H22+H22*(F_MR/12)),0)</f>
        <v>1180</v>
      </c>
      <c r="V22" s="20" t="n">
        <f aca="false">IF(I22&gt;PR_BalDone,MIN(F_MortPayM,I22+I22*(F_MR/12)),0)</f>
        <v>1180</v>
      </c>
      <c r="W22" s="20" t="n">
        <f aca="false">IF(J22&gt;PR_BalDone,MIN(F_MortPayM,J22+J22*(F_MR/12)),0)</f>
        <v>1180</v>
      </c>
      <c r="X22" s="20" t="n">
        <f aca="false">IF(K22&gt;PR_BalDone,MIN(F_MortPayM,K22+K22*(F_MR/12)),0)</f>
        <v>1180</v>
      </c>
      <c r="Y22" s="20" t="n">
        <f aca="false">IF(L22&gt;PR_BalDone,MIN(F_MortPayM,L22+L22*(F_MR/12)),0)</f>
        <v>1180</v>
      </c>
      <c r="Z22" s="20" t="n">
        <f aca="false">IF(M22&gt;PR_BalDone,MIN(F_MortPayM,M22+M22*(F_MR/12)),0)</f>
        <v>1180</v>
      </c>
      <c r="AA22" s="20" t="n">
        <f aca="false">IF(N22&gt;PR_BalDone,MIN(F_MortPayM,N22+N22*(F_MR/12)),0)</f>
        <v>1180</v>
      </c>
      <c r="AB22" s="20" t="n">
        <f aca="false">MAX(0,O22)</f>
        <v>75719.1166913375</v>
      </c>
      <c r="AC22" s="20" t="n">
        <f aca="false">SUM(P22:AA22)</f>
        <v>14160</v>
      </c>
      <c r="AD22" s="20" t="n">
        <f aca="false">'Plan cashflow'!M22</f>
        <v>0</v>
      </c>
      <c r="AE22" s="20" t="n">
        <f aca="false">IF(AD22&gt;PR_BalDone,AD22+AD22*(D_iC)-MIN(F_CardPayM,AD22+AD22*(D_iC)),AD22)</f>
        <v>0</v>
      </c>
      <c r="AF22" s="20" t="n">
        <f aca="false">IF(AE22&gt;PR_BalDone,AE22+AE22*(D_iC)-MIN(F_CardPayM,AE22+AE22*(D_iC)),AE22)</f>
        <v>0</v>
      </c>
      <c r="AG22" s="20" t="n">
        <f aca="false">IF(AF22&gt;PR_BalDone,AF22+AF22*(D_iC)-MIN(F_CardPayM,AF22+AF22*(D_iC)),AF22)</f>
        <v>0</v>
      </c>
      <c r="AH22" s="20" t="n">
        <f aca="false">IF(AG22&gt;PR_BalDone,AG22+AG22*(D_iC)-MIN(F_CardPayM,AG22+AG22*(D_iC)),AG22)</f>
        <v>0</v>
      </c>
      <c r="AI22" s="20" t="n">
        <f aca="false">IF(AH22&gt;PR_BalDone,AH22+AH22*(D_iC)-MIN(F_CardPayM,AH22+AH22*(D_iC)),AH22)</f>
        <v>0</v>
      </c>
      <c r="AJ22" s="20" t="n">
        <f aca="false">IF(AI22&gt;PR_BalDone,AI22+AI22*(D_iC)-MIN(F_CardPayM,AI22+AI22*(D_iC)),AI22)</f>
        <v>0</v>
      </c>
      <c r="AK22" s="20" t="n">
        <f aca="false">IF(AJ22&gt;PR_BalDone,AJ22+AJ22*(D_iC)-MIN(F_CardPayM,AJ22+AJ22*(D_iC)),AJ22)</f>
        <v>0</v>
      </c>
      <c r="AL22" s="20" t="n">
        <f aca="false">IF(AK22&gt;PR_BalDone,AK22+AK22*(D_iC)-MIN(F_CardPayM,AK22+AK22*(D_iC)),AK22)</f>
        <v>0</v>
      </c>
      <c r="AM22" s="20" t="n">
        <f aca="false">IF(AL22&gt;PR_BalDone,AL22+AL22*(D_iC)-MIN(F_CardPayM,AL22+AL22*(D_iC)),AL22)</f>
        <v>0</v>
      </c>
      <c r="AN22" s="20" t="n">
        <f aca="false">IF(AM22&gt;PR_BalDone,AM22+AM22*(D_iC)-MIN(F_CardPayM,AM22+AM22*(D_iC)),AM22)</f>
        <v>0</v>
      </c>
      <c r="AO22" s="20" t="n">
        <f aca="false">IF(AN22&gt;PR_BalDone,AN22+AN22*(D_iC)-MIN(F_CardPayM,AN22+AN22*(D_iC)),AN22)</f>
        <v>0</v>
      </c>
      <c r="AP22" s="20" t="n">
        <f aca="false">IF(AO22&gt;PR_BalDone,AO22+AO22*(D_iC)-MIN(F_CardPayM,AO22+AO22*(D_iC)),AO22)</f>
        <v>0</v>
      </c>
      <c r="AQ22" s="20" t="n">
        <f aca="false">IF(AD22&gt;PR_BalDone,MIN(F_CardPayM,AD22+AD22*(D_iC)),0)</f>
        <v>0</v>
      </c>
      <c r="AR22" s="20" t="n">
        <f aca="false">IF(AE22&gt;PR_BalDone,MIN(F_CardPayM,AE22+AE22*(D_iC)),0)</f>
        <v>0</v>
      </c>
      <c r="AS22" s="20" t="n">
        <f aca="false">IF(AF22&gt;PR_BalDone,MIN(F_CardPayM,AF22+AF22*(D_iC)),0)</f>
        <v>0</v>
      </c>
      <c r="AT22" s="20" t="n">
        <f aca="false">IF(AG22&gt;PR_BalDone,MIN(F_CardPayM,AG22+AG22*(D_iC)),0)</f>
        <v>0</v>
      </c>
      <c r="AU22" s="20" t="n">
        <f aca="false">IF(AH22&gt;PR_BalDone,MIN(F_CardPayM,AH22+AH22*(D_iC)),0)</f>
        <v>0</v>
      </c>
      <c r="AV22" s="20" t="n">
        <f aca="false">IF(AI22&gt;PR_BalDone,MIN(F_CardPayM,AI22+AI22*(D_iC)),0)</f>
        <v>0</v>
      </c>
      <c r="AW22" s="20" t="n">
        <f aca="false">IF(AJ22&gt;PR_BalDone,MIN(F_CardPayM,AJ22+AJ22*(D_iC)),0)</f>
        <v>0</v>
      </c>
      <c r="AX22" s="20" t="n">
        <f aca="false">IF(AK22&gt;PR_BalDone,MIN(F_CardPayM,AK22+AK22*(D_iC)),0)</f>
        <v>0</v>
      </c>
      <c r="AY22" s="20" t="n">
        <f aca="false">IF(AL22&gt;PR_BalDone,MIN(F_CardPayM,AL22+AL22*(D_iC)),0)</f>
        <v>0</v>
      </c>
      <c r="AZ22" s="20" t="n">
        <f aca="false">IF(AM22&gt;PR_BalDone,MIN(F_CardPayM,AM22+AM22*(D_iC)),0)</f>
        <v>0</v>
      </c>
      <c r="BA22" s="20" t="n">
        <f aca="false">IF(AN22&gt;PR_BalDone,MIN(F_CardPayM,AN22+AN22*(D_iC)),0)</f>
        <v>0</v>
      </c>
      <c r="BB22" s="20" t="n">
        <f aca="false">IF(AO22&gt;PR_BalDone,MIN(F_CardPayM,AO22+AO22*(D_iC)),0)</f>
        <v>0</v>
      </c>
      <c r="BC22" s="20" t="n">
        <f aca="false">MAX(0,AP22)</f>
        <v>0</v>
      </c>
      <c r="BD22" s="20" t="n">
        <f aca="false">SUM(AQ22:BB22)</f>
        <v>0</v>
      </c>
      <c r="BE22" s="20" t="n">
        <f aca="false">'Plan cashflow'!P22</f>
        <v>0</v>
      </c>
      <c r="BF22" s="20" t="n">
        <f aca="false">IF(BE22&gt;PR_BalDone,BE22+BE22*(D_iL)-MIN(F_LoanPayM,BE22+BE22*(D_iL)),BE22)</f>
        <v>0</v>
      </c>
      <c r="BG22" s="20" t="n">
        <f aca="false">IF(BF22&gt;PR_BalDone,BF22+BF22*(D_iL)-MIN(F_LoanPayM,BF22+BF22*(D_iL)),BF22)</f>
        <v>0</v>
      </c>
      <c r="BH22" s="20" t="n">
        <f aca="false">IF(BG22&gt;PR_BalDone,BG22+BG22*(D_iL)-MIN(F_LoanPayM,BG22+BG22*(D_iL)),BG22)</f>
        <v>0</v>
      </c>
      <c r="BI22" s="20" t="n">
        <f aca="false">IF(BH22&gt;PR_BalDone,BH22+BH22*(D_iL)-MIN(F_LoanPayM,BH22+BH22*(D_iL)),BH22)</f>
        <v>0</v>
      </c>
      <c r="BJ22" s="20" t="n">
        <f aca="false">IF(BI22&gt;PR_BalDone,BI22+BI22*(D_iL)-MIN(F_LoanPayM,BI22+BI22*(D_iL)),BI22)</f>
        <v>0</v>
      </c>
      <c r="BK22" s="20" t="n">
        <f aca="false">IF(BJ22&gt;PR_BalDone,BJ22+BJ22*(D_iL)-MIN(F_LoanPayM,BJ22+BJ22*(D_iL)),BJ22)</f>
        <v>0</v>
      </c>
      <c r="BL22" s="20" t="n">
        <f aca="false">IF(BK22&gt;PR_BalDone,BK22+BK22*(D_iL)-MIN(F_LoanPayM,BK22+BK22*(D_iL)),BK22)</f>
        <v>0</v>
      </c>
      <c r="BM22" s="20" t="n">
        <f aca="false">IF(BL22&gt;PR_BalDone,BL22+BL22*(D_iL)-MIN(F_LoanPayM,BL22+BL22*(D_iL)),BL22)</f>
        <v>0</v>
      </c>
      <c r="BN22" s="20" t="n">
        <f aca="false">IF(BM22&gt;PR_BalDone,BM22+BM22*(D_iL)-MIN(F_LoanPayM,BM22+BM22*(D_iL)),BM22)</f>
        <v>0</v>
      </c>
      <c r="BO22" s="20" t="n">
        <f aca="false">IF(BN22&gt;PR_BalDone,BN22+BN22*(D_iL)-MIN(F_LoanPayM,BN22+BN22*(D_iL)),BN22)</f>
        <v>0</v>
      </c>
      <c r="BP22" s="20" t="n">
        <f aca="false">IF(BO22&gt;PR_BalDone,BO22+BO22*(D_iL)-MIN(F_LoanPayM,BO22+BO22*(D_iL)),BO22)</f>
        <v>0</v>
      </c>
      <c r="BQ22" s="20" t="n">
        <f aca="false">IF(BP22&gt;PR_BalDone,BP22+BP22*(D_iL)-MIN(F_LoanPayM,BP22+BP22*(D_iL)),BP22)</f>
        <v>0</v>
      </c>
      <c r="BR22" s="20" t="n">
        <f aca="false">IF(BE22&gt;PR_BalDone,MIN(F_LoanPayM,BE22+BE22*(D_iL)),0)</f>
        <v>0</v>
      </c>
      <c r="BS22" s="20" t="n">
        <f aca="false">IF(BF22&gt;PR_BalDone,MIN(F_LoanPayM,BF22+BF22*(D_iL)),0)</f>
        <v>0</v>
      </c>
      <c r="BT22" s="20" t="n">
        <f aca="false">IF(BG22&gt;PR_BalDone,MIN(F_LoanPayM,BG22+BG22*(D_iL)),0)</f>
        <v>0</v>
      </c>
      <c r="BU22" s="20" t="n">
        <f aca="false">IF(BH22&gt;PR_BalDone,MIN(F_LoanPayM,BH22+BH22*(D_iL)),0)</f>
        <v>0</v>
      </c>
      <c r="BV22" s="20" t="n">
        <f aca="false">IF(BI22&gt;PR_BalDone,MIN(F_LoanPayM,BI22+BI22*(D_iL)),0)</f>
        <v>0</v>
      </c>
      <c r="BW22" s="20" t="n">
        <f aca="false">IF(BJ22&gt;PR_BalDone,MIN(F_LoanPayM,BJ22+BJ22*(D_iL)),0)</f>
        <v>0</v>
      </c>
      <c r="BX22" s="20" t="n">
        <f aca="false">IF(BK22&gt;PR_BalDone,MIN(F_LoanPayM,BK22+BK22*(D_iL)),0)</f>
        <v>0</v>
      </c>
      <c r="BY22" s="20" t="n">
        <f aca="false">IF(BL22&gt;PR_BalDone,MIN(F_LoanPayM,BL22+BL22*(D_iL)),0)</f>
        <v>0</v>
      </c>
      <c r="BZ22" s="20" t="n">
        <f aca="false">IF(BM22&gt;PR_BalDone,MIN(F_LoanPayM,BM22+BM22*(D_iL)),0)</f>
        <v>0</v>
      </c>
      <c r="CA22" s="20" t="n">
        <f aca="false">IF(BN22&gt;PR_BalDone,MIN(F_LoanPayM,BN22+BN22*(D_iL)),0)</f>
        <v>0</v>
      </c>
      <c r="CB22" s="20" t="n">
        <f aca="false">IF(BO22&gt;PR_BalDone,MIN(F_LoanPayM,BO22+BO22*(D_iL)),0)</f>
        <v>0</v>
      </c>
      <c r="CC22" s="20" t="n">
        <f aca="false">IF(BP22&gt;PR_BalDone,MIN(F_LoanPayM,BP22+BP22*(D_iL)),0)</f>
        <v>0</v>
      </c>
      <c r="CD22" s="20" t="n">
        <f aca="false">MAX(0,BQ22)</f>
        <v>0</v>
      </c>
      <c r="CE22" s="20" t="n">
        <f aca="false">SUM(BR22:CC22)</f>
        <v>0</v>
      </c>
      <c r="CF22" s="20" t="n">
        <f aca="false">IF(CF21&gt;1,DE21,CF21)</f>
        <v>86732.8986657339</v>
      </c>
      <c r="CG22" s="20" t="n">
        <f aca="false">IF(CF22&gt;PR_BalDone,CF22+CF22*(F_MR/12)-MIN(F_MortPayM,CF22+CF22*(F_MR/12)),CF22)</f>
        <v>85831.1667156198</v>
      </c>
      <c r="CH22" s="20" t="n">
        <f aca="false">IF(CG22&gt;PR_BalDone,CG22+CG22*(F_MR/12)-MIN(F_MortPayM,CG22+CG22*(F_MR/12)),CG22)</f>
        <v>84926.5417088324</v>
      </c>
      <c r="CI22" s="20" t="n">
        <f aca="false">IF(CH22&gt;PR_BalDone,CH22+CH22*(F_MR/12)-MIN(F_MortPayM,CH22+CH22*(F_MR/12)),CH22)</f>
        <v>84019.0143634816</v>
      </c>
      <c r="CJ22" s="20" t="n">
        <f aca="false">IF(CI22&gt;PR_BalDone,CI22+CI22*(F_MR/12)-MIN(F_MortPayM,CI22+CI22*(F_MR/12)),CI22)</f>
        <v>83108.5753678977</v>
      </c>
      <c r="CK22" s="20" t="n">
        <f aca="false">IF(CJ22&gt;PR_BalDone,CJ22+CJ22*(F_MR/12)-MIN(F_MortPayM,CJ22+CJ22*(F_MR/12)),CJ22)</f>
        <v>82195.2153805364</v>
      </c>
      <c r="CL22" s="20" t="n">
        <f aca="false">IF(CK22&gt;PR_BalDone,CK22+CK22*(F_MR/12)-MIN(F_MortPayM,CK22+CK22*(F_MR/12)),CK22)</f>
        <v>81278.9250298823</v>
      </c>
      <c r="CM22" s="20" t="n">
        <f aca="false">IF(CL22&gt;PR_BalDone,CL22+CL22*(F_MR/12)-MIN(F_MortPayM,CL22+CL22*(F_MR/12)),CL22)</f>
        <v>80359.6949143532</v>
      </c>
      <c r="CN22" s="20" t="n">
        <f aca="false">IF(CM22&gt;PR_BalDone,CM22+CM22*(F_MR/12)-MIN(F_MortPayM,CM22+CM22*(F_MR/12)),CM22)</f>
        <v>79437.5156022034</v>
      </c>
      <c r="CO22" s="20" t="n">
        <f aca="false">IF(CN22&gt;PR_BalDone,CN22+CN22*(F_MR/12)-MIN(F_MortPayM,CN22+CN22*(F_MR/12)),CN22)</f>
        <v>78512.3776314271</v>
      </c>
      <c r="CP22" s="20" t="n">
        <f aca="false">IF(CO22&gt;PR_BalDone,CO22+CO22*(F_MR/12)-MIN(F_MortPayM,CO22+CO22*(F_MR/12)),CO22)</f>
        <v>77584.2715096613</v>
      </c>
      <c r="CQ22" s="20" t="n">
        <f aca="false">IF(CP22&gt;PR_BalDone,CP22+CP22*(F_MR/12)-MIN(F_MortPayM,CP22+CP22*(F_MR/12)),CP22)</f>
        <v>76653.1877140881</v>
      </c>
      <c r="CR22" s="20" t="n">
        <f aca="false">IF(CQ22&gt;PR_BalDone,CQ22+CQ22*(F_MR/12)-MIN(F_MortPayM,CQ22+CQ22*(F_MR/12)),CQ22)</f>
        <v>75719.1166913375</v>
      </c>
      <c r="CS22" s="20" t="n">
        <f aca="false">IF(CF22&gt;PR_BalDone,MIN(F_MortPayM,CF22+CF22*(F_MR/12)),0)</f>
        <v>1180</v>
      </c>
      <c r="CT22" s="20" t="n">
        <f aca="false">IF(CG22&gt;PR_BalDone,MIN(F_MortPayM,CG22+CG22*(F_MR/12)),0)</f>
        <v>1180</v>
      </c>
      <c r="CU22" s="20" t="n">
        <f aca="false">IF(CH22&gt;PR_BalDone,MIN(F_MortPayM,CH22+CH22*(F_MR/12)),0)</f>
        <v>1180</v>
      </c>
      <c r="CV22" s="20" t="n">
        <f aca="false">IF(CI22&gt;PR_BalDone,MIN(F_MortPayM,CI22+CI22*(F_MR/12)),0)</f>
        <v>1180</v>
      </c>
      <c r="CW22" s="20" t="n">
        <f aca="false">IF(CJ22&gt;PR_BalDone,MIN(F_MortPayM,CJ22+CJ22*(F_MR/12)),0)</f>
        <v>1180</v>
      </c>
      <c r="CX22" s="20" t="n">
        <f aca="false">IF(CK22&gt;PR_BalDone,MIN(F_MortPayM,CK22+CK22*(F_MR/12)),0)</f>
        <v>1180</v>
      </c>
      <c r="CY22" s="20" t="n">
        <f aca="false">IF(CL22&gt;PR_BalDone,MIN(F_MortPayM,CL22+CL22*(F_MR/12)),0)</f>
        <v>1180</v>
      </c>
      <c r="CZ22" s="20" t="n">
        <f aca="false">IF(CM22&gt;PR_BalDone,MIN(F_MortPayM,CM22+CM22*(F_MR/12)),0)</f>
        <v>1180</v>
      </c>
      <c r="DA22" s="20" t="n">
        <f aca="false">IF(CN22&gt;PR_BalDone,MIN(F_MortPayM,CN22+CN22*(F_MR/12)),0)</f>
        <v>1180</v>
      </c>
      <c r="DB22" s="20" t="n">
        <f aca="false">IF(CO22&gt;PR_BalDone,MIN(F_MortPayM,CO22+CO22*(F_MR/12)),0)</f>
        <v>1180</v>
      </c>
      <c r="DC22" s="20" t="n">
        <f aca="false">IF(CP22&gt;PR_BalDone,MIN(F_MortPayM,CP22+CP22*(F_MR/12)),0)</f>
        <v>1180</v>
      </c>
      <c r="DD22" s="20" t="n">
        <f aca="false">IF(CQ22&gt;PR_BalDone,MIN(F_MortPayM,CQ22+CQ22*(F_MR/12)),0)</f>
        <v>1180</v>
      </c>
      <c r="DE22" s="20" t="n">
        <f aca="false">MAX(0,CR22)</f>
        <v>75719.1166913375</v>
      </c>
      <c r="DF22" s="20" t="n">
        <f aca="false">SUM(CS22:DD22)</f>
        <v>14160</v>
      </c>
      <c r="DG22" s="20" t="n">
        <f aca="false">MAX(0,CF22)</f>
        <v>86732.8986657339</v>
      </c>
    </row>
    <row r="23" customFormat="false" ht="15" hidden="false" customHeight="true" outlineLevel="0" collapsed="false">
      <c r="B23" s="20" t="n">
        <v>15</v>
      </c>
      <c r="C23" s="20" t="n">
        <f aca="false">'Plan cashflow'!J23</f>
        <v>75719.1166913375</v>
      </c>
      <c r="D23" s="20" t="n">
        <f aca="false">IF(C23&gt;PR_BalDone,C23+C23*(F_MR/12)-MIN(F_MortPayM,C23+C23*(F_MR/12)),C23)</f>
        <v>74782.0488573888</v>
      </c>
      <c r="E23" s="20" t="n">
        <f aca="false">IF(D23&gt;PR_BalDone,D23+D23*(F_MR/12)-MIN(F_MortPayM,D23+D23*(F_MR/12)),D23)</f>
        <v>73841.9745974729</v>
      </c>
      <c r="F23" s="20" t="n">
        <f aca="false">IF(E23&gt;PR_BalDone,E23+E23*(F_MR/12)-MIN(F_MortPayM,E23+E23*(F_MR/12)),E23)</f>
        <v>72898.8842659732</v>
      </c>
      <c r="G23" s="20" t="n">
        <f aca="false">IF(F23&gt;PR_BalDone,F23+F23*(F_MR/12)-MIN(F_MortPayM,F23+F23*(F_MR/12)),F23)</f>
        <v>71952.7681863265</v>
      </c>
      <c r="H23" s="20" t="n">
        <f aca="false">IF(G23&gt;PR_BalDone,G23+G23*(F_MR/12)-MIN(F_MortPayM,G23+G23*(F_MR/12)),G23)</f>
        <v>71003.6166509243</v>
      </c>
      <c r="I23" s="20" t="n">
        <f aca="false">IF(H23&gt;PR_BalDone,H23+H23*(F_MR/12)-MIN(F_MortPayM,H23+H23*(F_MR/12)),H23)</f>
        <v>70051.4199210127</v>
      </c>
      <c r="J23" s="20" t="n">
        <f aca="false">IF(I23&gt;PR_BalDone,I23+I23*(F_MR/12)-MIN(F_MortPayM,I23+I23*(F_MR/12)),I23)</f>
        <v>69096.1682265926</v>
      </c>
      <c r="K23" s="20" t="n">
        <f aca="false">IF(J23&gt;PR_BalDone,J23+J23*(F_MR/12)-MIN(F_MortPayM,J23+J23*(F_MR/12)),J23)</f>
        <v>68137.8517663196</v>
      </c>
      <c r="L23" s="20" t="n">
        <f aca="false">IF(K23&gt;PR_BalDone,K23+K23*(F_MR/12)-MIN(F_MortPayM,K23+K23*(F_MR/12)),K23)</f>
        <v>67176.4607074032</v>
      </c>
      <c r="M23" s="20" t="n">
        <f aca="false">IF(L23&gt;PR_BalDone,L23+L23*(F_MR/12)-MIN(F_MortPayM,L23+L23*(F_MR/12)),L23)</f>
        <v>66211.9851855061</v>
      </c>
      <c r="N23" s="20" t="n">
        <f aca="false">IF(M23&gt;PR_BalDone,M23+M23*(F_MR/12)-MIN(F_MortPayM,M23+M23*(F_MR/12)),M23)</f>
        <v>65244.4153046429</v>
      </c>
      <c r="O23" s="20" t="n">
        <f aca="false">IF(N23&gt;PR_BalDone,N23+N23*(F_MR/12)-MIN(F_MortPayM,N23+N23*(F_MR/12)),N23)</f>
        <v>64273.7411370787</v>
      </c>
      <c r="P23" s="20" t="n">
        <f aca="false">IF(C23&gt;PR_BalDone,MIN(F_MortPayM,C23+C23*(F_MR/12)),0)</f>
        <v>1180</v>
      </c>
      <c r="Q23" s="20" t="n">
        <f aca="false">IF(D23&gt;PR_BalDone,MIN(F_MortPayM,D23+D23*(F_MR/12)),0)</f>
        <v>1180</v>
      </c>
      <c r="R23" s="20" t="n">
        <f aca="false">IF(E23&gt;PR_BalDone,MIN(F_MortPayM,E23+E23*(F_MR/12)),0)</f>
        <v>1180</v>
      </c>
      <c r="S23" s="20" t="n">
        <f aca="false">IF(F23&gt;PR_BalDone,MIN(F_MortPayM,F23+F23*(F_MR/12)),0)</f>
        <v>1180</v>
      </c>
      <c r="T23" s="20" t="n">
        <f aca="false">IF(G23&gt;PR_BalDone,MIN(F_MortPayM,G23+G23*(F_MR/12)),0)</f>
        <v>1180</v>
      </c>
      <c r="U23" s="20" t="n">
        <f aca="false">IF(H23&gt;PR_BalDone,MIN(F_MortPayM,H23+H23*(F_MR/12)),0)</f>
        <v>1180</v>
      </c>
      <c r="V23" s="20" t="n">
        <f aca="false">IF(I23&gt;PR_BalDone,MIN(F_MortPayM,I23+I23*(F_MR/12)),0)</f>
        <v>1180</v>
      </c>
      <c r="W23" s="20" t="n">
        <f aca="false">IF(J23&gt;PR_BalDone,MIN(F_MortPayM,J23+J23*(F_MR/12)),0)</f>
        <v>1180</v>
      </c>
      <c r="X23" s="20" t="n">
        <f aca="false">IF(K23&gt;PR_BalDone,MIN(F_MortPayM,K23+K23*(F_MR/12)),0)</f>
        <v>1180</v>
      </c>
      <c r="Y23" s="20" t="n">
        <f aca="false">IF(L23&gt;PR_BalDone,MIN(F_MortPayM,L23+L23*(F_MR/12)),0)</f>
        <v>1180</v>
      </c>
      <c r="Z23" s="20" t="n">
        <f aca="false">IF(M23&gt;PR_BalDone,MIN(F_MortPayM,M23+M23*(F_MR/12)),0)</f>
        <v>1180</v>
      </c>
      <c r="AA23" s="20" t="n">
        <f aca="false">IF(N23&gt;PR_BalDone,MIN(F_MortPayM,N23+N23*(F_MR/12)),0)</f>
        <v>1180</v>
      </c>
      <c r="AB23" s="20" t="n">
        <f aca="false">MAX(0,O23)</f>
        <v>64273.7411370787</v>
      </c>
      <c r="AC23" s="20" t="n">
        <f aca="false">SUM(P23:AA23)</f>
        <v>14160</v>
      </c>
      <c r="AD23" s="20" t="n">
        <f aca="false">'Plan cashflow'!M23</f>
        <v>0</v>
      </c>
      <c r="AE23" s="20" t="n">
        <f aca="false">IF(AD23&gt;PR_BalDone,AD23+AD23*(D_iC)-MIN(F_CardPayM,AD23+AD23*(D_iC)),AD23)</f>
        <v>0</v>
      </c>
      <c r="AF23" s="20" t="n">
        <f aca="false">IF(AE23&gt;PR_BalDone,AE23+AE23*(D_iC)-MIN(F_CardPayM,AE23+AE23*(D_iC)),AE23)</f>
        <v>0</v>
      </c>
      <c r="AG23" s="20" t="n">
        <f aca="false">IF(AF23&gt;PR_BalDone,AF23+AF23*(D_iC)-MIN(F_CardPayM,AF23+AF23*(D_iC)),AF23)</f>
        <v>0</v>
      </c>
      <c r="AH23" s="20" t="n">
        <f aca="false">IF(AG23&gt;PR_BalDone,AG23+AG23*(D_iC)-MIN(F_CardPayM,AG23+AG23*(D_iC)),AG23)</f>
        <v>0</v>
      </c>
      <c r="AI23" s="20" t="n">
        <f aca="false">IF(AH23&gt;PR_BalDone,AH23+AH23*(D_iC)-MIN(F_CardPayM,AH23+AH23*(D_iC)),AH23)</f>
        <v>0</v>
      </c>
      <c r="AJ23" s="20" t="n">
        <f aca="false">IF(AI23&gt;PR_BalDone,AI23+AI23*(D_iC)-MIN(F_CardPayM,AI23+AI23*(D_iC)),AI23)</f>
        <v>0</v>
      </c>
      <c r="AK23" s="20" t="n">
        <f aca="false">IF(AJ23&gt;PR_BalDone,AJ23+AJ23*(D_iC)-MIN(F_CardPayM,AJ23+AJ23*(D_iC)),AJ23)</f>
        <v>0</v>
      </c>
      <c r="AL23" s="20" t="n">
        <f aca="false">IF(AK23&gt;PR_BalDone,AK23+AK23*(D_iC)-MIN(F_CardPayM,AK23+AK23*(D_iC)),AK23)</f>
        <v>0</v>
      </c>
      <c r="AM23" s="20" t="n">
        <f aca="false">IF(AL23&gt;PR_BalDone,AL23+AL23*(D_iC)-MIN(F_CardPayM,AL23+AL23*(D_iC)),AL23)</f>
        <v>0</v>
      </c>
      <c r="AN23" s="20" t="n">
        <f aca="false">IF(AM23&gt;PR_BalDone,AM23+AM23*(D_iC)-MIN(F_CardPayM,AM23+AM23*(D_iC)),AM23)</f>
        <v>0</v>
      </c>
      <c r="AO23" s="20" t="n">
        <f aca="false">IF(AN23&gt;PR_BalDone,AN23+AN23*(D_iC)-MIN(F_CardPayM,AN23+AN23*(D_iC)),AN23)</f>
        <v>0</v>
      </c>
      <c r="AP23" s="20" t="n">
        <f aca="false">IF(AO23&gt;PR_BalDone,AO23+AO23*(D_iC)-MIN(F_CardPayM,AO23+AO23*(D_iC)),AO23)</f>
        <v>0</v>
      </c>
      <c r="AQ23" s="20" t="n">
        <f aca="false">IF(AD23&gt;PR_BalDone,MIN(F_CardPayM,AD23+AD23*(D_iC)),0)</f>
        <v>0</v>
      </c>
      <c r="AR23" s="20" t="n">
        <f aca="false">IF(AE23&gt;PR_BalDone,MIN(F_CardPayM,AE23+AE23*(D_iC)),0)</f>
        <v>0</v>
      </c>
      <c r="AS23" s="20" t="n">
        <f aca="false">IF(AF23&gt;PR_BalDone,MIN(F_CardPayM,AF23+AF23*(D_iC)),0)</f>
        <v>0</v>
      </c>
      <c r="AT23" s="20" t="n">
        <f aca="false">IF(AG23&gt;PR_BalDone,MIN(F_CardPayM,AG23+AG23*(D_iC)),0)</f>
        <v>0</v>
      </c>
      <c r="AU23" s="20" t="n">
        <f aca="false">IF(AH23&gt;PR_BalDone,MIN(F_CardPayM,AH23+AH23*(D_iC)),0)</f>
        <v>0</v>
      </c>
      <c r="AV23" s="20" t="n">
        <f aca="false">IF(AI23&gt;PR_BalDone,MIN(F_CardPayM,AI23+AI23*(D_iC)),0)</f>
        <v>0</v>
      </c>
      <c r="AW23" s="20" t="n">
        <f aca="false">IF(AJ23&gt;PR_BalDone,MIN(F_CardPayM,AJ23+AJ23*(D_iC)),0)</f>
        <v>0</v>
      </c>
      <c r="AX23" s="20" t="n">
        <f aca="false">IF(AK23&gt;PR_BalDone,MIN(F_CardPayM,AK23+AK23*(D_iC)),0)</f>
        <v>0</v>
      </c>
      <c r="AY23" s="20" t="n">
        <f aca="false">IF(AL23&gt;PR_BalDone,MIN(F_CardPayM,AL23+AL23*(D_iC)),0)</f>
        <v>0</v>
      </c>
      <c r="AZ23" s="20" t="n">
        <f aca="false">IF(AM23&gt;PR_BalDone,MIN(F_CardPayM,AM23+AM23*(D_iC)),0)</f>
        <v>0</v>
      </c>
      <c r="BA23" s="20" t="n">
        <f aca="false">IF(AN23&gt;PR_BalDone,MIN(F_CardPayM,AN23+AN23*(D_iC)),0)</f>
        <v>0</v>
      </c>
      <c r="BB23" s="20" t="n">
        <f aca="false">IF(AO23&gt;PR_BalDone,MIN(F_CardPayM,AO23+AO23*(D_iC)),0)</f>
        <v>0</v>
      </c>
      <c r="BC23" s="20" t="n">
        <f aca="false">MAX(0,AP23)</f>
        <v>0</v>
      </c>
      <c r="BD23" s="20" t="n">
        <f aca="false">SUM(AQ23:BB23)</f>
        <v>0</v>
      </c>
      <c r="BE23" s="20" t="n">
        <f aca="false">'Plan cashflow'!P23</f>
        <v>0</v>
      </c>
      <c r="BF23" s="20" t="n">
        <f aca="false">IF(BE23&gt;PR_BalDone,BE23+BE23*(D_iL)-MIN(F_LoanPayM,BE23+BE23*(D_iL)),BE23)</f>
        <v>0</v>
      </c>
      <c r="BG23" s="20" t="n">
        <f aca="false">IF(BF23&gt;PR_BalDone,BF23+BF23*(D_iL)-MIN(F_LoanPayM,BF23+BF23*(D_iL)),BF23)</f>
        <v>0</v>
      </c>
      <c r="BH23" s="20" t="n">
        <f aca="false">IF(BG23&gt;PR_BalDone,BG23+BG23*(D_iL)-MIN(F_LoanPayM,BG23+BG23*(D_iL)),BG23)</f>
        <v>0</v>
      </c>
      <c r="BI23" s="20" t="n">
        <f aca="false">IF(BH23&gt;PR_BalDone,BH23+BH23*(D_iL)-MIN(F_LoanPayM,BH23+BH23*(D_iL)),BH23)</f>
        <v>0</v>
      </c>
      <c r="BJ23" s="20" t="n">
        <f aca="false">IF(BI23&gt;PR_BalDone,BI23+BI23*(D_iL)-MIN(F_LoanPayM,BI23+BI23*(D_iL)),BI23)</f>
        <v>0</v>
      </c>
      <c r="BK23" s="20" t="n">
        <f aca="false">IF(BJ23&gt;PR_BalDone,BJ23+BJ23*(D_iL)-MIN(F_LoanPayM,BJ23+BJ23*(D_iL)),BJ23)</f>
        <v>0</v>
      </c>
      <c r="BL23" s="20" t="n">
        <f aca="false">IF(BK23&gt;PR_BalDone,BK23+BK23*(D_iL)-MIN(F_LoanPayM,BK23+BK23*(D_iL)),BK23)</f>
        <v>0</v>
      </c>
      <c r="BM23" s="20" t="n">
        <f aca="false">IF(BL23&gt;PR_BalDone,BL23+BL23*(D_iL)-MIN(F_LoanPayM,BL23+BL23*(D_iL)),BL23)</f>
        <v>0</v>
      </c>
      <c r="BN23" s="20" t="n">
        <f aca="false">IF(BM23&gt;PR_BalDone,BM23+BM23*(D_iL)-MIN(F_LoanPayM,BM23+BM23*(D_iL)),BM23)</f>
        <v>0</v>
      </c>
      <c r="BO23" s="20" t="n">
        <f aca="false">IF(BN23&gt;PR_BalDone,BN23+BN23*(D_iL)-MIN(F_LoanPayM,BN23+BN23*(D_iL)),BN23)</f>
        <v>0</v>
      </c>
      <c r="BP23" s="20" t="n">
        <f aca="false">IF(BO23&gt;PR_BalDone,BO23+BO23*(D_iL)-MIN(F_LoanPayM,BO23+BO23*(D_iL)),BO23)</f>
        <v>0</v>
      </c>
      <c r="BQ23" s="20" t="n">
        <f aca="false">IF(BP23&gt;PR_BalDone,BP23+BP23*(D_iL)-MIN(F_LoanPayM,BP23+BP23*(D_iL)),BP23)</f>
        <v>0</v>
      </c>
      <c r="BR23" s="20" t="n">
        <f aca="false">IF(BE23&gt;PR_BalDone,MIN(F_LoanPayM,BE23+BE23*(D_iL)),0)</f>
        <v>0</v>
      </c>
      <c r="BS23" s="20" t="n">
        <f aca="false">IF(BF23&gt;PR_BalDone,MIN(F_LoanPayM,BF23+BF23*(D_iL)),0)</f>
        <v>0</v>
      </c>
      <c r="BT23" s="20" t="n">
        <f aca="false">IF(BG23&gt;PR_BalDone,MIN(F_LoanPayM,BG23+BG23*(D_iL)),0)</f>
        <v>0</v>
      </c>
      <c r="BU23" s="20" t="n">
        <f aca="false">IF(BH23&gt;PR_BalDone,MIN(F_LoanPayM,BH23+BH23*(D_iL)),0)</f>
        <v>0</v>
      </c>
      <c r="BV23" s="20" t="n">
        <f aca="false">IF(BI23&gt;PR_BalDone,MIN(F_LoanPayM,BI23+BI23*(D_iL)),0)</f>
        <v>0</v>
      </c>
      <c r="BW23" s="20" t="n">
        <f aca="false">IF(BJ23&gt;PR_BalDone,MIN(F_LoanPayM,BJ23+BJ23*(D_iL)),0)</f>
        <v>0</v>
      </c>
      <c r="BX23" s="20" t="n">
        <f aca="false">IF(BK23&gt;PR_BalDone,MIN(F_LoanPayM,BK23+BK23*(D_iL)),0)</f>
        <v>0</v>
      </c>
      <c r="BY23" s="20" t="n">
        <f aca="false">IF(BL23&gt;PR_BalDone,MIN(F_LoanPayM,BL23+BL23*(D_iL)),0)</f>
        <v>0</v>
      </c>
      <c r="BZ23" s="20" t="n">
        <f aca="false">IF(BM23&gt;PR_BalDone,MIN(F_LoanPayM,BM23+BM23*(D_iL)),0)</f>
        <v>0</v>
      </c>
      <c r="CA23" s="20" t="n">
        <f aca="false">IF(BN23&gt;PR_BalDone,MIN(F_LoanPayM,BN23+BN23*(D_iL)),0)</f>
        <v>0</v>
      </c>
      <c r="CB23" s="20" t="n">
        <f aca="false">IF(BO23&gt;PR_BalDone,MIN(F_LoanPayM,BO23+BO23*(D_iL)),0)</f>
        <v>0</v>
      </c>
      <c r="CC23" s="20" t="n">
        <f aca="false">IF(BP23&gt;PR_BalDone,MIN(F_LoanPayM,BP23+BP23*(D_iL)),0)</f>
        <v>0</v>
      </c>
      <c r="CD23" s="20" t="n">
        <f aca="false">MAX(0,BQ23)</f>
        <v>0</v>
      </c>
      <c r="CE23" s="20" t="n">
        <f aca="false">SUM(BR23:CC23)</f>
        <v>0</v>
      </c>
      <c r="CF23" s="20" t="n">
        <f aca="false">IF(CF22&gt;1,DE22,CF22)</f>
        <v>75719.1166913375</v>
      </c>
      <c r="CG23" s="20" t="n">
        <f aca="false">IF(CF23&gt;PR_BalDone,CF23+CF23*(F_MR/12)-MIN(F_MortPayM,CF23+CF23*(F_MR/12)),CF23)</f>
        <v>74782.0488573888</v>
      </c>
      <c r="CH23" s="20" t="n">
        <f aca="false">IF(CG23&gt;PR_BalDone,CG23+CG23*(F_MR/12)-MIN(F_MortPayM,CG23+CG23*(F_MR/12)),CG23)</f>
        <v>73841.9745974729</v>
      </c>
      <c r="CI23" s="20" t="n">
        <f aca="false">IF(CH23&gt;PR_BalDone,CH23+CH23*(F_MR/12)-MIN(F_MortPayM,CH23+CH23*(F_MR/12)),CH23)</f>
        <v>72898.8842659732</v>
      </c>
      <c r="CJ23" s="20" t="n">
        <f aca="false">IF(CI23&gt;PR_BalDone,CI23+CI23*(F_MR/12)-MIN(F_MortPayM,CI23+CI23*(F_MR/12)),CI23)</f>
        <v>71952.7681863265</v>
      </c>
      <c r="CK23" s="20" t="n">
        <f aca="false">IF(CJ23&gt;PR_BalDone,CJ23+CJ23*(F_MR/12)-MIN(F_MortPayM,CJ23+CJ23*(F_MR/12)),CJ23)</f>
        <v>71003.6166509243</v>
      </c>
      <c r="CL23" s="20" t="n">
        <f aca="false">IF(CK23&gt;PR_BalDone,CK23+CK23*(F_MR/12)-MIN(F_MortPayM,CK23+CK23*(F_MR/12)),CK23)</f>
        <v>70051.4199210127</v>
      </c>
      <c r="CM23" s="20" t="n">
        <f aca="false">IF(CL23&gt;PR_BalDone,CL23+CL23*(F_MR/12)-MIN(F_MortPayM,CL23+CL23*(F_MR/12)),CL23)</f>
        <v>69096.1682265926</v>
      </c>
      <c r="CN23" s="20" t="n">
        <f aca="false">IF(CM23&gt;PR_BalDone,CM23+CM23*(F_MR/12)-MIN(F_MortPayM,CM23+CM23*(F_MR/12)),CM23)</f>
        <v>68137.8517663196</v>
      </c>
      <c r="CO23" s="20" t="n">
        <f aca="false">IF(CN23&gt;PR_BalDone,CN23+CN23*(F_MR/12)-MIN(F_MortPayM,CN23+CN23*(F_MR/12)),CN23)</f>
        <v>67176.4607074032</v>
      </c>
      <c r="CP23" s="20" t="n">
        <f aca="false">IF(CO23&gt;PR_BalDone,CO23+CO23*(F_MR/12)-MIN(F_MortPayM,CO23+CO23*(F_MR/12)),CO23)</f>
        <v>66211.9851855061</v>
      </c>
      <c r="CQ23" s="20" t="n">
        <f aca="false">IF(CP23&gt;PR_BalDone,CP23+CP23*(F_MR/12)-MIN(F_MortPayM,CP23+CP23*(F_MR/12)),CP23)</f>
        <v>65244.4153046429</v>
      </c>
      <c r="CR23" s="20" t="n">
        <f aca="false">IF(CQ23&gt;PR_BalDone,CQ23+CQ23*(F_MR/12)-MIN(F_MortPayM,CQ23+CQ23*(F_MR/12)),CQ23)</f>
        <v>64273.7411370787</v>
      </c>
      <c r="CS23" s="20" t="n">
        <f aca="false">IF(CF23&gt;PR_BalDone,MIN(F_MortPayM,CF23+CF23*(F_MR/12)),0)</f>
        <v>1180</v>
      </c>
      <c r="CT23" s="20" t="n">
        <f aca="false">IF(CG23&gt;PR_BalDone,MIN(F_MortPayM,CG23+CG23*(F_MR/12)),0)</f>
        <v>1180</v>
      </c>
      <c r="CU23" s="20" t="n">
        <f aca="false">IF(CH23&gt;PR_BalDone,MIN(F_MortPayM,CH23+CH23*(F_MR/12)),0)</f>
        <v>1180</v>
      </c>
      <c r="CV23" s="20" t="n">
        <f aca="false">IF(CI23&gt;PR_BalDone,MIN(F_MortPayM,CI23+CI23*(F_MR/12)),0)</f>
        <v>1180</v>
      </c>
      <c r="CW23" s="20" t="n">
        <f aca="false">IF(CJ23&gt;PR_BalDone,MIN(F_MortPayM,CJ23+CJ23*(F_MR/12)),0)</f>
        <v>1180</v>
      </c>
      <c r="CX23" s="20" t="n">
        <f aca="false">IF(CK23&gt;PR_BalDone,MIN(F_MortPayM,CK23+CK23*(F_MR/12)),0)</f>
        <v>1180</v>
      </c>
      <c r="CY23" s="20" t="n">
        <f aca="false">IF(CL23&gt;PR_BalDone,MIN(F_MortPayM,CL23+CL23*(F_MR/12)),0)</f>
        <v>1180</v>
      </c>
      <c r="CZ23" s="20" t="n">
        <f aca="false">IF(CM23&gt;PR_BalDone,MIN(F_MortPayM,CM23+CM23*(F_MR/12)),0)</f>
        <v>1180</v>
      </c>
      <c r="DA23" s="20" t="n">
        <f aca="false">IF(CN23&gt;PR_BalDone,MIN(F_MortPayM,CN23+CN23*(F_MR/12)),0)</f>
        <v>1180</v>
      </c>
      <c r="DB23" s="20" t="n">
        <f aca="false">IF(CO23&gt;PR_BalDone,MIN(F_MortPayM,CO23+CO23*(F_MR/12)),0)</f>
        <v>1180</v>
      </c>
      <c r="DC23" s="20" t="n">
        <f aca="false">IF(CP23&gt;PR_BalDone,MIN(F_MortPayM,CP23+CP23*(F_MR/12)),0)</f>
        <v>1180</v>
      </c>
      <c r="DD23" s="20" t="n">
        <f aca="false">IF(CQ23&gt;PR_BalDone,MIN(F_MortPayM,CQ23+CQ23*(F_MR/12)),0)</f>
        <v>1180</v>
      </c>
      <c r="DE23" s="20" t="n">
        <f aca="false">MAX(0,CR23)</f>
        <v>64273.7411370787</v>
      </c>
      <c r="DF23" s="20" t="n">
        <f aca="false">SUM(CS23:DD23)</f>
        <v>14160</v>
      </c>
      <c r="DG23" s="20" t="n">
        <f aca="false">MAX(0,CF23)</f>
        <v>75719.1166913375</v>
      </c>
    </row>
    <row r="24" customFormat="false" ht="15" hidden="false" customHeight="true" outlineLevel="0" collapsed="false">
      <c r="B24" s="20" t="n">
        <v>16</v>
      </c>
      <c r="C24" s="20" t="n">
        <f aca="false">'Plan cashflow'!J24</f>
        <v>64273.7411370787</v>
      </c>
      <c r="D24" s="20" t="n">
        <f aca="false">IF(C24&gt;PR_BalDone,C24+C24*(F_MR/12)-MIN(F_MortPayM,C24+C24*(F_MR/12)),C24)</f>
        <v>63299.9527232268</v>
      </c>
      <c r="E24" s="20" t="n">
        <f aca="false">IF(D24&gt;PR_BalDone,D24+D24*(F_MR/12)-MIN(F_MortPayM,D24+D24*(F_MR/12)),D24)</f>
        <v>62323.0400715472</v>
      </c>
      <c r="F24" s="20" t="n">
        <f aca="false">IF(E24&gt;PR_BalDone,E24+E24*(F_MR/12)-MIN(F_MortPayM,E24+E24*(F_MR/12)),E24)</f>
        <v>61342.9931584434</v>
      </c>
      <c r="G24" s="20" t="n">
        <f aca="false">IF(F24&gt;PR_BalDone,F24+F24*(F_MR/12)-MIN(F_MortPayM,F24+F24*(F_MR/12)),F24)</f>
        <v>60359.80192816</v>
      </c>
      <c r="H24" s="20" t="n">
        <f aca="false">IF(G24&gt;PR_BalDone,G24+G24*(F_MR/12)-MIN(F_MortPayM,G24+G24*(F_MR/12)),G24)</f>
        <v>59373.4562926796</v>
      </c>
      <c r="I24" s="20" t="n">
        <f aca="false">IF(H24&gt;PR_BalDone,H24+H24*(F_MR/12)-MIN(F_MortPayM,H24+H24*(F_MR/12)),H24)</f>
        <v>58383.9461316186</v>
      </c>
      <c r="J24" s="20" t="n">
        <f aca="false">IF(I24&gt;PR_BalDone,I24+I24*(F_MR/12)-MIN(F_MortPayM,I24+I24*(F_MR/12)),I24)</f>
        <v>57391.2612921242</v>
      </c>
      <c r="K24" s="20" t="n">
        <f aca="false">IF(J24&gt;PR_BalDone,J24+J24*(F_MR/12)-MIN(F_MortPayM,J24+J24*(F_MR/12)),J24)</f>
        <v>56395.3915887697</v>
      </c>
      <c r="L24" s="20" t="n">
        <f aca="false">IF(K24&gt;PR_BalDone,K24+K24*(F_MR/12)-MIN(F_MortPayM,K24+K24*(F_MR/12)),K24)</f>
        <v>55396.3268034504</v>
      </c>
      <c r="M24" s="20" t="n">
        <f aca="false">IF(L24&gt;PR_BalDone,L24+L24*(F_MR/12)-MIN(F_MortPayM,L24+L24*(F_MR/12)),L24)</f>
        <v>54394.0566852781</v>
      </c>
      <c r="N24" s="20" t="n">
        <f aca="false">IF(M24&gt;PR_BalDone,M24+M24*(F_MR/12)-MIN(F_MortPayM,M24+M24*(F_MR/12)),M24)</f>
        <v>53388.5709504767</v>
      </c>
      <c r="O24" s="20" t="n">
        <f aca="false">IF(N24&gt;PR_BalDone,N24+N24*(F_MR/12)-MIN(F_MortPayM,N24+N24*(F_MR/12)),N24)</f>
        <v>52379.8592822762</v>
      </c>
      <c r="P24" s="20" t="n">
        <f aca="false">IF(C24&gt;PR_BalDone,MIN(F_MortPayM,C24+C24*(F_MR/12)),0)</f>
        <v>1180</v>
      </c>
      <c r="Q24" s="20" t="n">
        <f aca="false">IF(D24&gt;PR_BalDone,MIN(F_MortPayM,D24+D24*(F_MR/12)),0)</f>
        <v>1180</v>
      </c>
      <c r="R24" s="20" t="n">
        <f aca="false">IF(E24&gt;PR_BalDone,MIN(F_MortPayM,E24+E24*(F_MR/12)),0)</f>
        <v>1180</v>
      </c>
      <c r="S24" s="20" t="n">
        <f aca="false">IF(F24&gt;PR_BalDone,MIN(F_MortPayM,F24+F24*(F_MR/12)),0)</f>
        <v>1180</v>
      </c>
      <c r="T24" s="20" t="n">
        <f aca="false">IF(G24&gt;PR_BalDone,MIN(F_MortPayM,G24+G24*(F_MR/12)),0)</f>
        <v>1180</v>
      </c>
      <c r="U24" s="20" t="n">
        <f aca="false">IF(H24&gt;PR_BalDone,MIN(F_MortPayM,H24+H24*(F_MR/12)),0)</f>
        <v>1180</v>
      </c>
      <c r="V24" s="20" t="n">
        <f aca="false">IF(I24&gt;PR_BalDone,MIN(F_MortPayM,I24+I24*(F_MR/12)),0)</f>
        <v>1180</v>
      </c>
      <c r="W24" s="20" t="n">
        <f aca="false">IF(J24&gt;PR_BalDone,MIN(F_MortPayM,J24+J24*(F_MR/12)),0)</f>
        <v>1180</v>
      </c>
      <c r="X24" s="20" t="n">
        <f aca="false">IF(K24&gt;PR_BalDone,MIN(F_MortPayM,K24+K24*(F_MR/12)),0)</f>
        <v>1180</v>
      </c>
      <c r="Y24" s="20" t="n">
        <f aca="false">IF(L24&gt;PR_BalDone,MIN(F_MortPayM,L24+L24*(F_MR/12)),0)</f>
        <v>1180</v>
      </c>
      <c r="Z24" s="20" t="n">
        <f aca="false">IF(M24&gt;PR_BalDone,MIN(F_MortPayM,M24+M24*(F_MR/12)),0)</f>
        <v>1180</v>
      </c>
      <c r="AA24" s="20" t="n">
        <f aca="false">IF(N24&gt;PR_BalDone,MIN(F_MortPayM,N24+N24*(F_MR/12)),0)</f>
        <v>1180</v>
      </c>
      <c r="AB24" s="20" t="n">
        <f aca="false">MAX(0,O24)</f>
        <v>52379.8592822762</v>
      </c>
      <c r="AC24" s="20" t="n">
        <f aca="false">SUM(P24:AA24)</f>
        <v>14160</v>
      </c>
      <c r="AD24" s="20" t="n">
        <f aca="false">'Plan cashflow'!M24</f>
        <v>0</v>
      </c>
      <c r="AE24" s="20" t="n">
        <f aca="false">IF(AD24&gt;PR_BalDone,AD24+AD24*(D_iC)-MIN(F_CardPayM,AD24+AD24*(D_iC)),AD24)</f>
        <v>0</v>
      </c>
      <c r="AF24" s="20" t="n">
        <f aca="false">IF(AE24&gt;PR_BalDone,AE24+AE24*(D_iC)-MIN(F_CardPayM,AE24+AE24*(D_iC)),AE24)</f>
        <v>0</v>
      </c>
      <c r="AG24" s="20" t="n">
        <f aca="false">IF(AF24&gt;PR_BalDone,AF24+AF24*(D_iC)-MIN(F_CardPayM,AF24+AF24*(D_iC)),AF24)</f>
        <v>0</v>
      </c>
      <c r="AH24" s="20" t="n">
        <f aca="false">IF(AG24&gt;PR_BalDone,AG24+AG24*(D_iC)-MIN(F_CardPayM,AG24+AG24*(D_iC)),AG24)</f>
        <v>0</v>
      </c>
      <c r="AI24" s="20" t="n">
        <f aca="false">IF(AH24&gt;PR_BalDone,AH24+AH24*(D_iC)-MIN(F_CardPayM,AH24+AH24*(D_iC)),AH24)</f>
        <v>0</v>
      </c>
      <c r="AJ24" s="20" t="n">
        <f aca="false">IF(AI24&gt;PR_BalDone,AI24+AI24*(D_iC)-MIN(F_CardPayM,AI24+AI24*(D_iC)),AI24)</f>
        <v>0</v>
      </c>
      <c r="AK24" s="20" t="n">
        <f aca="false">IF(AJ24&gt;PR_BalDone,AJ24+AJ24*(D_iC)-MIN(F_CardPayM,AJ24+AJ24*(D_iC)),AJ24)</f>
        <v>0</v>
      </c>
      <c r="AL24" s="20" t="n">
        <f aca="false">IF(AK24&gt;PR_BalDone,AK24+AK24*(D_iC)-MIN(F_CardPayM,AK24+AK24*(D_iC)),AK24)</f>
        <v>0</v>
      </c>
      <c r="AM24" s="20" t="n">
        <f aca="false">IF(AL24&gt;PR_BalDone,AL24+AL24*(D_iC)-MIN(F_CardPayM,AL24+AL24*(D_iC)),AL24)</f>
        <v>0</v>
      </c>
      <c r="AN24" s="20" t="n">
        <f aca="false">IF(AM24&gt;PR_BalDone,AM24+AM24*(D_iC)-MIN(F_CardPayM,AM24+AM24*(D_iC)),AM24)</f>
        <v>0</v>
      </c>
      <c r="AO24" s="20" t="n">
        <f aca="false">IF(AN24&gt;PR_BalDone,AN24+AN24*(D_iC)-MIN(F_CardPayM,AN24+AN24*(D_iC)),AN24)</f>
        <v>0</v>
      </c>
      <c r="AP24" s="20" t="n">
        <f aca="false">IF(AO24&gt;PR_BalDone,AO24+AO24*(D_iC)-MIN(F_CardPayM,AO24+AO24*(D_iC)),AO24)</f>
        <v>0</v>
      </c>
      <c r="AQ24" s="20" t="n">
        <f aca="false">IF(AD24&gt;PR_BalDone,MIN(F_CardPayM,AD24+AD24*(D_iC)),0)</f>
        <v>0</v>
      </c>
      <c r="AR24" s="20" t="n">
        <f aca="false">IF(AE24&gt;PR_BalDone,MIN(F_CardPayM,AE24+AE24*(D_iC)),0)</f>
        <v>0</v>
      </c>
      <c r="AS24" s="20" t="n">
        <f aca="false">IF(AF24&gt;PR_BalDone,MIN(F_CardPayM,AF24+AF24*(D_iC)),0)</f>
        <v>0</v>
      </c>
      <c r="AT24" s="20" t="n">
        <f aca="false">IF(AG24&gt;PR_BalDone,MIN(F_CardPayM,AG24+AG24*(D_iC)),0)</f>
        <v>0</v>
      </c>
      <c r="AU24" s="20" t="n">
        <f aca="false">IF(AH24&gt;PR_BalDone,MIN(F_CardPayM,AH24+AH24*(D_iC)),0)</f>
        <v>0</v>
      </c>
      <c r="AV24" s="20" t="n">
        <f aca="false">IF(AI24&gt;PR_BalDone,MIN(F_CardPayM,AI24+AI24*(D_iC)),0)</f>
        <v>0</v>
      </c>
      <c r="AW24" s="20" t="n">
        <f aca="false">IF(AJ24&gt;PR_BalDone,MIN(F_CardPayM,AJ24+AJ24*(D_iC)),0)</f>
        <v>0</v>
      </c>
      <c r="AX24" s="20" t="n">
        <f aca="false">IF(AK24&gt;PR_BalDone,MIN(F_CardPayM,AK24+AK24*(D_iC)),0)</f>
        <v>0</v>
      </c>
      <c r="AY24" s="20" t="n">
        <f aca="false">IF(AL24&gt;PR_BalDone,MIN(F_CardPayM,AL24+AL24*(D_iC)),0)</f>
        <v>0</v>
      </c>
      <c r="AZ24" s="20" t="n">
        <f aca="false">IF(AM24&gt;PR_BalDone,MIN(F_CardPayM,AM24+AM24*(D_iC)),0)</f>
        <v>0</v>
      </c>
      <c r="BA24" s="20" t="n">
        <f aca="false">IF(AN24&gt;PR_BalDone,MIN(F_CardPayM,AN24+AN24*(D_iC)),0)</f>
        <v>0</v>
      </c>
      <c r="BB24" s="20" t="n">
        <f aca="false">IF(AO24&gt;PR_BalDone,MIN(F_CardPayM,AO24+AO24*(D_iC)),0)</f>
        <v>0</v>
      </c>
      <c r="BC24" s="20" t="n">
        <f aca="false">MAX(0,AP24)</f>
        <v>0</v>
      </c>
      <c r="BD24" s="20" t="n">
        <f aca="false">SUM(AQ24:BB24)</f>
        <v>0</v>
      </c>
      <c r="BE24" s="20" t="n">
        <f aca="false">'Plan cashflow'!P24</f>
        <v>0</v>
      </c>
      <c r="BF24" s="20" t="n">
        <f aca="false">IF(BE24&gt;PR_BalDone,BE24+BE24*(D_iL)-MIN(F_LoanPayM,BE24+BE24*(D_iL)),BE24)</f>
        <v>0</v>
      </c>
      <c r="BG24" s="20" t="n">
        <f aca="false">IF(BF24&gt;PR_BalDone,BF24+BF24*(D_iL)-MIN(F_LoanPayM,BF24+BF24*(D_iL)),BF24)</f>
        <v>0</v>
      </c>
      <c r="BH24" s="20" t="n">
        <f aca="false">IF(BG24&gt;PR_BalDone,BG24+BG24*(D_iL)-MIN(F_LoanPayM,BG24+BG24*(D_iL)),BG24)</f>
        <v>0</v>
      </c>
      <c r="BI24" s="20" t="n">
        <f aca="false">IF(BH24&gt;PR_BalDone,BH24+BH24*(D_iL)-MIN(F_LoanPayM,BH24+BH24*(D_iL)),BH24)</f>
        <v>0</v>
      </c>
      <c r="BJ24" s="20" t="n">
        <f aca="false">IF(BI24&gt;PR_BalDone,BI24+BI24*(D_iL)-MIN(F_LoanPayM,BI24+BI24*(D_iL)),BI24)</f>
        <v>0</v>
      </c>
      <c r="BK24" s="20" t="n">
        <f aca="false">IF(BJ24&gt;PR_BalDone,BJ24+BJ24*(D_iL)-MIN(F_LoanPayM,BJ24+BJ24*(D_iL)),BJ24)</f>
        <v>0</v>
      </c>
      <c r="BL24" s="20" t="n">
        <f aca="false">IF(BK24&gt;PR_BalDone,BK24+BK24*(D_iL)-MIN(F_LoanPayM,BK24+BK24*(D_iL)),BK24)</f>
        <v>0</v>
      </c>
      <c r="BM24" s="20" t="n">
        <f aca="false">IF(BL24&gt;PR_BalDone,BL24+BL24*(D_iL)-MIN(F_LoanPayM,BL24+BL24*(D_iL)),BL24)</f>
        <v>0</v>
      </c>
      <c r="BN24" s="20" t="n">
        <f aca="false">IF(BM24&gt;PR_BalDone,BM24+BM24*(D_iL)-MIN(F_LoanPayM,BM24+BM24*(D_iL)),BM24)</f>
        <v>0</v>
      </c>
      <c r="BO24" s="20" t="n">
        <f aca="false">IF(BN24&gt;PR_BalDone,BN24+BN24*(D_iL)-MIN(F_LoanPayM,BN24+BN24*(D_iL)),BN24)</f>
        <v>0</v>
      </c>
      <c r="BP24" s="20" t="n">
        <f aca="false">IF(BO24&gt;PR_BalDone,BO24+BO24*(D_iL)-MIN(F_LoanPayM,BO24+BO24*(D_iL)),BO24)</f>
        <v>0</v>
      </c>
      <c r="BQ24" s="20" t="n">
        <f aca="false">IF(BP24&gt;PR_BalDone,BP24+BP24*(D_iL)-MIN(F_LoanPayM,BP24+BP24*(D_iL)),BP24)</f>
        <v>0</v>
      </c>
      <c r="BR24" s="20" t="n">
        <f aca="false">IF(BE24&gt;PR_BalDone,MIN(F_LoanPayM,BE24+BE24*(D_iL)),0)</f>
        <v>0</v>
      </c>
      <c r="BS24" s="20" t="n">
        <f aca="false">IF(BF24&gt;PR_BalDone,MIN(F_LoanPayM,BF24+BF24*(D_iL)),0)</f>
        <v>0</v>
      </c>
      <c r="BT24" s="20" t="n">
        <f aca="false">IF(BG24&gt;PR_BalDone,MIN(F_LoanPayM,BG24+BG24*(D_iL)),0)</f>
        <v>0</v>
      </c>
      <c r="BU24" s="20" t="n">
        <f aca="false">IF(BH24&gt;PR_BalDone,MIN(F_LoanPayM,BH24+BH24*(D_iL)),0)</f>
        <v>0</v>
      </c>
      <c r="BV24" s="20" t="n">
        <f aca="false">IF(BI24&gt;PR_BalDone,MIN(F_LoanPayM,BI24+BI24*(D_iL)),0)</f>
        <v>0</v>
      </c>
      <c r="BW24" s="20" t="n">
        <f aca="false">IF(BJ24&gt;PR_BalDone,MIN(F_LoanPayM,BJ24+BJ24*(D_iL)),0)</f>
        <v>0</v>
      </c>
      <c r="BX24" s="20" t="n">
        <f aca="false">IF(BK24&gt;PR_BalDone,MIN(F_LoanPayM,BK24+BK24*(D_iL)),0)</f>
        <v>0</v>
      </c>
      <c r="BY24" s="20" t="n">
        <f aca="false">IF(BL24&gt;PR_BalDone,MIN(F_LoanPayM,BL24+BL24*(D_iL)),0)</f>
        <v>0</v>
      </c>
      <c r="BZ24" s="20" t="n">
        <f aca="false">IF(BM24&gt;PR_BalDone,MIN(F_LoanPayM,BM24+BM24*(D_iL)),0)</f>
        <v>0</v>
      </c>
      <c r="CA24" s="20" t="n">
        <f aca="false">IF(BN24&gt;PR_BalDone,MIN(F_LoanPayM,BN24+BN24*(D_iL)),0)</f>
        <v>0</v>
      </c>
      <c r="CB24" s="20" t="n">
        <f aca="false">IF(BO24&gt;PR_BalDone,MIN(F_LoanPayM,BO24+BO24*(D_iL)),0)</f>
        <v>0</v>
      </c>
      <c r="CC24" s="20" t="n">
        <f aca="false">IF(BP24&gt;PR_BalDone,MIN(F_LoanPayM,BP24+BP24*(D_iL)),0)</f>
        <v>0</v>
      </c>
      <c r="CD24" s="20" t="n">
        <f aca="false">MAX(0,BQ24)</f>
        <v>0</v>
      </c>
      <c r="CE24" s="20" t="n">
        <f aca="false">SUM(BR24:CC24)</f>
        <v>0</v>
      </c>
      <c r="CF24" s="20" t="n">
        <f aca="false">IF(CF23&gt;1,DE23,CF23)</f>
        <v>64273.7411370787</v>
      </c>
      <c r="CG24" s="20" t="n">
        <f aca="false">IF(CF24&gt;PR_BalDone,CF24+CF24*(F_MR/12)-MIN(F_MortPayM,CF24+CF24*(F_MR/12)),CF24)</f>
        <v>63299.9527232268</v>
      </c>
      <c r="CH24" s="20" t="n">
        <f aca="false">IF(CG24&gt;PR_BalDone,CG24+CG24*(F_MR/12)-MIN(F_MortPayM,CG24+CG24*(F_MR/12)),CG24)</f>
        <v>62323.0400715472</v>
      </c>
      <c r="CI24" s="20" t="n">
        <f aca="false">IF(CH24&gt;PR_BalDone,CH24+CH24*(F_MR/12)-MIN(F_MortPayM,CH24+CH24*(F_MR/12)),CH24)</f>
        <v>61342.9931584434</v>
      </c>
      <c r="CJ24" s="20" t="n">
        <f aca="false">IF(CI24&gt;PR_BalDone,CI24+CI24*(F_MR/12)-MIN(F_MortPayM,CI24+CI24*(F_MR/12)),CI24)</f>
        <v>60359.80192816</v>
      </c>
      <c r="CK24" s="20" t="n">
        <f aca="false">IF(CJ24&gt;PR_BalDone,CJ24+CJ24*(F_MR/12)-MIN(F_MortPayM,CJ24+CJ24*(F_MR/12)),CJ24)</f>
        <v>59373.4562926796</v>
      </c>
      <c r="CL24" s="20" t="n">
        <f aca="false">IF(CK24&gt;PR_BalDone,CK24+CK24*(F_MR/12)-MIN(F_MortPayM,CK24+CK24*(F_MR/12)),CK24)</f>
        <v>58383.9461316186</v>
      </c>
      <c r="CM24" s="20" t="n">
        <f aca="false">IF(CL24&gt;PR_BalDone,CL24+CL24*(F_MR/12)-MIN(F_MortPayM,CL24+CL24*(F_MR/12)),CL24)</f>
        <v>57391.2612921242</v>
      </c>
      <c r="CN24" s="20" t="n">
        <f aca="false">IF(CM24&gt;PR_BalDone,CM24+CM24*(F_MR/12)-MIN(F_MortPayM,CM24+CM24*(F_MR/12)),CM24)</f>
        <v>56395.3915887697</v>
      </c>
      <c r="CO24" s="20" t="n">
        <f aca="false">IF(CN24&gt;PR_BalDone,CN24+CN24*(F_MR/12)-MIN(F_MortPayM,CN24+CN24*(F_MR/12)),CN24)</f>
        <v>55396.3268034504</v>
      </c>
      <c r="CP24" s="20" t="n">
        <f aca="false">IF(CO24&gt;PR_BalDone,CO24+CO24*(F_MR/12)-MIN(F_MortPayM,CO24+CO24*(F_MR/12)),CO24)</f>
        <v>54394.0566852781</v>
      </c>
      <c r="CQ24" s="20" t="n">
        <f aca="false">IF(CP24&gt;PR_BalDone,CP24+CP24*(F_MR/12)-MIN(F_MortPayM,CP24+CP24*(F_MR/12)),CP24)</f>
        <v>53388.5709504767</v>
      </c>
      <c r="CR24" s="20" t="n">
        <f aca="false">IF(CQ24&gt;PR_BalDone,CQ24+CQ24*(F_MR/12)-MIN(F_MortPayM,CQ24+CQ24*(F_MR/12)),CQ24)</f>
        <v>52379.8592822762</v>
      </c>
      <c r="CS24" s="20" t="n">
        <f aca="false">IF(CF24&gt;PR_BalDone,MIN(F_MortPayM,CF24+CF24*(F_MR/12)),0)</f>
        <v>1180</v>
      </c>
      <c r="CT24" s="20" t="n">
        <f aca="false">IF(CG24&gt;PR_BalDone,MIN(F_MortPayM,CG24+CG24*(F_MR/12)),0)</f>
        <v>1180</v>
      </c>
      <c r="CU24" s="20" t="n">
        <f aca="false">IF(CH24&gt;PR_BalDone,MIN(F_MortPayM,CH24+CH24*(F_MR/12)),0)</f>
        <v>1180</v>
      </c>
      <c r="CV24" s="20" t="n">
        <f aca="false">IF(CI24&gt;PR_BalDone,MIN(F_MortPayM,CI24+CI24*(F_MR/12)),0)</f>
        <v>1180</v>
      </c>
      <c r="CW24" s="20" t="n">
        <f aca="false">IF(CJ24&gt;PR_BalDone,MIN(F_MortPayM,CJ24+CJ24*(F_MR/12)),0)</f>
        <v>1180</v>
      </c>
      <c r="CX24" s="20" t="n">
        <f aca="false">IF(CK24&gt;PR_BalDone,MIN(F_MortPayM,CK24+CK24*(F_MR/12)),0)</f>
        <v>1180</v>
      </c>
      <c r="CY24" s="20" t="n">
        <f aca="false">IF(CL24&gt;PR_BalDone,MIN(F_MortPayM,CL24+CL24*(F_MR/12)),0)</f>
        <v>1180</v>
      </c>
      <c r="CZ24" s="20" t="n">
        <f aca="false">IF(CM24&gt;PR_BalDone,MIN(F_MortPayM,CM24+CM24*(F_MR/12)),0)</f>
        <v>1180</v>
      </c>
      <c r="DA24" s="20" t="n">
        <f aca="false">IF(CN24&gt;PR_BalDone,MIN(F_MortPayM,CN24+CN24*(F_MR/12)),0)</f>
        <v>1180</v>
      </c>
      <c r="DB24" s="20" t="n">
        <f aca="false">IF(CO24&gt;PR_BalDone,MIN(F_MortPayM,CO24+CO24*(F_MR/12)),0)</f>
        <v>1180</v>
      </c>
      <c r="DC24" s="20" t="n">
        <f aca="false">IF(CP24&gt;PR_BalDone,MIN(F_MortPayM,CP24+CP24*(F_MR/12)),0)</f>
        <v>1180</v>
      </c>
      <c r="DD24" s="20" t="n">
        <f aca="false">IF(CQ24&gt;PR_BalDone,MIN(F_MortPayM,CQ24+CQ24*(F_MR/12)),0)</f>
        <v>1180</v>
      </c>
      <c r="DE24" s="20" t="n">
        <f aca="false">MAX(0,CR24)</f>
        <v>52379.8592822762</v>
      </c>
      <c r="DF24" s="20" t="n">
        <f aca="false">SUM(CS24:DD24)</f>
        <v>14160</v>
      </c>
      <c r="DG24" s="20" t="n">
        <f aca="false">MAX(0,CF24)</f>
        <v>64273.7411370787</v>
      </c>
    </row>
    <row r="25" customFormat="false" ht="15" hidden="false" customHeight="true" outlineLevel="0" collapsed="false">
      <c r="B25" s="20" t="n">
        <v>17</v>
      </c>
      <c r="C25" s="20" t="n">
        <f aca="false">'Plan cashflow'!J25</f>
        <v>52379.8592822762</v>
      </c>
      <c r="D25" s="20" t="n">
        <f aca="false">IF(C25&gt;PR_BalDone,C25+C25*(F_MR/12)-MIN(F_MortPayM,C25+C25*(F_MR/12)),C25)</f>
        <v>51367.9113308068</v>
      </c>
      <c r="E25" s="20" t="n">
        <f aca="false">IF(D25&gt;PR_BalDone,D25+D25*(F_MR/12)-MIN(F_MortPayM,D25+D25*(F_MR/12)),D25)</f>
        <v>50352.7167129931</v>
      </c>
      <c r="F25" s="20" t="n">
        <f aca="false">IF(E25&gt;PR_BalDone,E25+E25*(F_MR/12)-MIN(F_MortPayM,E25+E25*(F_MR/12)),E25)</f>
        <v>49334.2650124473</v>
      </c>
      <c r="G25" s="20" t="n">
        <f aca="false">IF(F25&gt;PR_BalDone,F25+F25*(F_MR/12)-MIN(F_MortPayM,F25+F25*(F_MR/12)),F25)</f>
        <v>48312.5457793623</v>
      </c>
      <c r="H25" s="20" t="n">
        <f aca="false">IF(G25&gt;PR_BalDone,G25+G25*(F_MR/12)-MIN(F_MortPayM,G25+G25*(F_MR/12)),G25)</f>
        <v>47287.5485304044</v>
      </c>
      <c r="I25" s="20" t="n">
        <f aca="false">IF(H25&gt;PR_BalDone,H25+H25*(F_MR/12)-MIN(F_MortPayM,H25+H25*(F_MR/12)),H25)</f>
        <v>46259.2627486061</v>
      </c>
      <c r="J25" s="20" t="n">
        <f aca="false">IF(I25&gt;PR_BalDone,I25+I25*(F_MR/12)-MIN(F_MortPayM,I25+I25*(F_MR/12)),I25)</f>
        <v>45227.6778832579</v>
      </c>
      <c r="K25" s="20" t="n">
        <f aca="false">IF(J25&gt;PR_BalDone,J25+J25*(F_MR/12)-MIN(F_MortPayM,J25+J25*(F_MR/12)),J25)</f>
        <v>44192.7833498</v>
      </c>
      <c r="L25" s="20" t="n">
        <f aca="false">IF(K25&gt;PR_BalDone,K25+K25*(F_MR/12)-MIN(F_MortPayM,K25+K25*(F_MR/12)),K25)</f>
        <v>43154.5685297139</v>
      </c>
      <c r="M25" s="20" t="n">
        <f aca="false">IF(L25&gt;PR_BalDone,L25+L25*(F_MR/12)-MIN(F_MortPayM,L25+L25*(F_MR/12)),L25)</f>
        <v>42113.0227704134</v>
      </c>
      <c r="N25" s="20" t="n">
        <f aca="false">IF(M25&gt;PR_BalDone,M25+M25*(F_MR/12)-MIN(F_MortPayM,M25+M25*(F_MR/12)),M25)</f>
        <v>41068.1353851352</v>
      </c>
      <c r="O25" s="20" t="n">
        <f aca="false">IF(N25&gt;PR_BalDone,N25+N25*(F_MR/12)-MIN(F_MortPayM,N25+N25*(F_MR/12)),N25)</f>
        <v>40019.8956528291</v>
      </c>
      <c r="P25" s="20" t="n">
        <f aca="false">IF(C25&gt;PR_BalDone,MIN(F_MortPayM,C25+C25*(F_MR/12)),0)</f>
        <v>1180</v>
      </c>
      <c r="Q25" s="20" t="n">
        <f aca="false">IF(D25&gt;PR_BalDone,MIN(F_MortPayM,D25+D25*(F_MR/12)),0)</f>
        <v>1180</v>
      </c>
      <c r="R25" s="20" t="n">
        <f aca="false">IF(E25&gt;PR_BalDone,MIN(F_MortPayM,E25+E25*(F_MR/12)),0)</f>
        <v>1180</v>
      </c>
      <c r="S25" s="20" t="n">
        <f aca="false">IF(F25&gt;PR_BalDone,MIN(F_MortPayM,F25+F25*(F_MR/12)),0)</f>
        <v>1180</v>
      </c>
      <c r="T25" s="20" t="n">
        <f aca="false">IF(G25&gt;PR_BalDone,MIN(F_MortPayM,G25+G25*(F_MR/12)),0)</f>
        <v>1180</v>
      </c>
      <c r="U25" s="20" t="n">
        <f aca="false">IF(H25&gt;PR_BalDone,MIN(F_MortPayM,H25+H25*(F_MR/12)),0)</f>
        <v>1180</v>
      </c>
      <c r="V25" s="20" t="n">
        <f aca="false">IF(I25&gt;PR_BalDone,MIN(F_MortPayM,I25+I25*(F_MR/12)),0)</f>
        <v>1180</v>
      </c>
      <c r="W25" s="20" t="n">
        <f aca="false">IF(J25&gt;PR_BalDone,MIN(F_MortPayM,J25+J25*(F_MR/12)),0)</f>
        <v>1180</v>
      </c>
      <c r="X25" s="20" t="n">
        <f aca="false">IF(K25&gt;PR_BalDone,MIN(F_MortPayM,K25+K25*(F_MR/12)),0)</f>
        <v>1180</v>
      </c>
      <c r="Y25" s="20" t="n">
        <f aca="false">IF(L25&gt;PR_BalDone,MIN(F_MortPayM,L25+L25*(F_MR/12)),0)</f>
        <v>1180</v>
      </c>
      <c r="Z25" s="20" t="n">
        <f aca="false">IF(M25&gt;PR_BalDone,MIN(F_MortPayM,M25+M25*(F_MR/12)),0)</f>
        <v>1180</v>
      </c>
      <c r="AA25" s="20" t="n">
        <f aca="false">IF(N25&gt;PR_BalDone,MIN(F_MortPayM,N25+N25*(F_MR/12)),0)</f>
        <v>1180</v>
      </c>
      <c r="AB25" s="20" t="n">
        <f aca="false">MAX(0,O25)</f>
        <v>40019.8956528291</v>
      </c>
      <c r="AC25" s="20" t="n">
        <f aca="false">SUM(P25:AA25)</f>
        <v>14160</v>
      </c>
      <c r="AD25" s="20" t="n">
        <f aca="false">'Plan cashflow'!M25</f>
        <v>0</v>
      </c>
      <c r="AE25" s="20" t="n">
        <f aca="false">IF(AD25&gt;PR_BalDone,AD25+AD25*(D_iC)-MIN(F_CardPayM,AD25+AD25*(D_iC)),AD25)</f>
        <v>0</v>
      </c>
      <c r="AF25" s="20" t="n">
        <f aca="false">IF(AE25&gt;PR_BalDone,AE25+AE25*(D_iC)-MIN(F_CardPayM,AE25+AE25*(D_iC)),AE25)</f>
        <v>0</v>
      </c>
      <c r="AG25" s="20" t="n">
        <f aca="false">IF(AF25&gt;PR_BalDone,AF25+AF25*(D_iC)-MIN(F_CardPayM,AF25+AF25*(D_iC)),AF25)</f>
        <v>0</v>
      </c>
      <c r="AH25" s="20" t="n">
        <f aca="false">IF(AG25&gt;PR_BalDone,AG25+AG25*(D_iC)-MIN(F_CardPayM,AG25+AG25*(D_iC)),AG25)</f>
        <v>0</v>
      </c>
      <c r="AI25" s="20" t="n">
        <f aca="false">IF(AH25&gt;PR_BalDone,AH25+AH25*(D_iC)-MIN(F_CardPayM,AH25+AH25*(D_iC)),AH25)</f>
        <v>0</v>
      </c>
      <c r="AJ25" s="20" t="n">
        <f aca="false">IF(AI25&gt;PR_BalDone,AI25+AI25*(D_iC)-MIN(F_CardPayM,AI25+AI25*(D_iC)),AI25)</f>
        <v>0</v>
      </c>
      <c r="AK25" s="20" t="n">
        <f aca="false">IF(AJ25&gt;PR_BalDone,AJ25+AJ25*(D_iC)-MIN(F_CardPayM,AJ25+AJ25*(D_iC)),AJ25)</f>
        <v>0</v>
      </c>
      <c r="AL25" s="20" t="n">
        <f aca="false">IF(AK25&gt;PR_BalDone,AK25+AK25*(D_iC)-MIN(F_CardPayM,AK25+AK25*(D_iC)),AK25)</f>
        <v>0</v>
      </c>
      <c r="AM25" s="20" t="n">
        <f aca="false">IF(AL25&gt;PR_BalDone,AL25+AL25*(D_iC)-MIN(F_CardPayM,AL25+AL25*(D_iC)),AL25)</f>
        <v>0</v>
      </c>
      <c r="AN25" s="20" t="n">
        <f aca="false">IF(AM25&gt;PR_BalDone,AM25+AM25*(D_iC)-MIN(F_CardPayM,AM25+AM25*(D_iC)),AM25)</f>
        <v>0</v>
      </c>
      <c r="AO25" s="20" t="n">
        <f aca="false">IF(AN25&gt;PR_BalDone,AN25+AN25*(D_iC)-MIN(F_CardPayM,AN25+AN25*(D_iC)),AN25)</f>
        <v>0</v>
      </c>
      <c r="AP25" s="20" t="n">
        <f aca="false">IF(AO25&gt;PR_BalDone,AO25+AO25*(D_iC)-MIN(F_CardPayM,AO25+AO25*(D_iC)),AO25)</f>
        <v>0</v>
      </c>
      <c r="AQ25" s="20" t="n">
        <f aca="false">IF(AD25&gt;PR_BalDone,MIN(F_CardPayM,AD25+AD25*(D_iC)),0)</f>
        <v>0</v>
      </c>
      <c r="AR25" s="20" t="n">
        <f aca="false">IF(AE25&gt;PR_BalDone,MIN(F_CardPayM,AE25+AE25*(D_iC)),0)</f>
        <v>0</v>
      </c>
      <c r="AS25" s="20" t="n">
        <f aca="false">IF(AF25&gt;PR_BalDone,MIN(F_CardPayM,AF25+AF25*(D_iC)),0)</f>
        <v>0</v>
      </c>
      <c r="AT25" s="20" t="n">
        <f aca="false">IF(AG25&gt;PR_BalDone,MIN(F_CardPayM,AG25+AG25*(D_iC)),0)</f>
        <v>0</v>
      </c>
      <c r="AU25" s="20" t="n">
        <f aca="false">IF(AH25&gt;PR_BalDone,MIN(F_CardPayM,AH25+AH25*(D_iC)),0)</f>
        <v>0</v>
      </c>
      <c r="AV25" s="20" t="n">
        <f aca="false">IF(AI25&gt;PR_BalDone,MIN(F_CardPayM,AI25+AI25*(D_iC)),0)</f>
        <v>0</v>
      </c>
      <c r="AW25" s="20" t="n">
        <f aca="false">IF(AJ25&gt;PR_BalDone,MIN(F_CardPayM,AJ25+AJ25*(D_iC)),0)</f>
        <v>0</v>
      </c>
      <c r="AX25" s="20" t="n">
        <f aca="false">IF(AK25&gt;PR_BalDone,MIN(F_CardPayM,AK25+AK25*(D_iC)),0)</f>
        <v>0</v>
      </c>
      <c r="AY25" s="20" t="n">
        <f aca="false">IF(AL25&gt;PR_BalDone,MIN(F_CardPayM,AL25+AL25*(D_iC)),0)</f>
        <v>0</v>
      </c>
      <c r="AZ25" s="20" t="n">
        <f aca="false">IF(AM25&gt;PR_BalDone,MIN(F_CardPayM,AM25+AM25*(D_iC)),0)</f>
        <v>0</v>
      </c>
      <c r="BA25" s="20" t="n">
        <f aca="false">IF(AN25&gt;PR_BalDone,MIN(F_CardPayM,AN25+AN25*(D_iC)),0)</f>
        <v>0</v>
      </c>
      <c r="BB25" s="20" t="n">
        <f aca="false">IF(AO25&gt;PR_BalDone,MIN(F_CardPayM,AO25+AO25*(D_iC)),0)</f>
        <v>0</v>
      </c>
      <c r="BC25" s="20" t="n">
        <f aca="false">MAX(0,AP25)</f>
        <v>0</v>
      </c>
      <c r="BD25" s="20" t="n">
        <f aca="false">SUM(AQ25:BB25)</f>
        <v>0</v>
      </c>
      <c r="BE25" s="20" t="n">
        <f aca="false">'Plan cashflow'!P25</f>
        <v>0</v>
      </c>
      <c r="BF25" s="20" t="n">
        <f aca="false">IF(BE25&gt;PR_BalDone,BE25+BE25*(D_iL)-MIN(F_LoanPayM,BE25+BE25*(D_iL)),BE25)</f>
        <v>0</v>
      </c>
      <c r="BG25" s="20" t="n">
        <f aca="false">IF(BF25&gt;PR_BalDone,BF25+BF25*(D_iL)-MIN(F_LoanPayM,BF25+BF25*(D_iL)),BF25)</f>
        <v>0</v>
      </c>
      <c r="BH25" s="20" t="n">
        <f aca="false">IF(BG25&gt;PR_BalDone,BG25+BG25*(D_iL)-MIN(F_LoanPayM,BG25+BG25*(D_iL)),BG25)</f>
        <v>0</v>
      </c>
      <c r="BI25" s="20" t="n">
        <f aca="false">IF(BH25&gt;PR_BalDone,BH25+BH25*(D_iL)-MIN(F_LoanPayM,BH25+BH25*(D_iL)),BH25)</f>
        <v>0</v>
      </c>
      <c r="BJ25" s="20" t="n">
        <f aca="false">IF(BI25&gt;PR_BalDone,BI25+BI25*(D_iL)-MIN(F_LoanPayM,BI25+BI25*(D_iL)),BI25)</f>
        <v>0</v>
      </c>
      <c r="BK25" s="20" t="n">
        <f aca="false">IF(BJ25&gt;PR_BalDone,BJ25+BJ25*(D_iL)-MIN(F_LoanPayM,BJ25+BJ25*(D_iL)),BJ25)</f>
        <v>0</v>
      </c>
      <c r="BL25" s="20" t="n">
        <f aca="false">IF(BK25&gt;PR_BalDone,BK25+BK25*(D_iL)-MIN(F_LoanPayM,BK25+BK25*(D_iL)),BK25)</f>
        <v>0</v>
      </c>
      <c r="BM25" s="20" t="n">
        <f aca="false">IF(BL25&gt;PR_BalDone,BL25+BL25*(D_iL)-MIN(F_LoanPayM,BL25+BL25*(D_iL)),BL25)</f>
        <v>0</v>
      </c>
      <c r="BN25" s="20" t="n">
        <f aca="false">IF(BM25&gt;PR_BalDone,BM25+BM25*(D_iL)-MIN(F_LoanPayM,BM25+BM25*(D_iL)),BM25)</f>
        <v>0</v>
      </c>
      <c r="BO25" s="20" t="n">
        <f aca="false">IF(BN25&gt;PR_BalDone,BN25+BN25*(D_iL)-MIN(F_LoanPayM,BN25+BN25*(D_iL)),BN25)</f>
        <v>0</v>
      </c>
      <c r="BP25" s="20" t="n">
        <f aca="false">IF(BO25&gt;PR_BalDone,BO25+BO25*(D_iL)-MIN(F_LoanPayM,BO25+BO25*(D_iL)),BO25)</f>
        <v>0</v>
      </c>
      <c r="BQ25" s="20" t="n">
        <f aca="false">IF(BP25&gt;PR_BalDone,BP25+BP25*(D_iL)-MIN(F_LoanPayM,BP25+BP25*(D_iL)),BP25)</f>
        <v>0</v>
      </c>
      <c r="BR25" s="20" t="n">
        <f aca="false">IF(BE25&gt;PR_BalDone,MIN(F_LoanPayM,BE25+BE25*(D_iL)),0)</f>
        <v>0</v>
      </c>
      <c r="BS25" s="20" t="n">
        <f aca="false">IF(BF25&gt;PR_BalDone,MIN(F_LoanPayM,BF25+BF25*(D_iL)),0)</f>
        <v>0</v>
      </c>
      <c r="BT25" s="20" t="n">
        <f aca="false">IF(BG25&gt;PR_BalDone,MIN(F_LoanPayM,BG25+BG25*(D_iL)),0)</f>
        <v>0</v>
      </c>
      <c r="BU25" s="20" t="n">
        <f aca="false">IF(BH25&gt;PR_BalDone,MIN(F_LoanPayM,BH25+BH25*(D_iL)),0)</f>
        <v>0</v>
      </c>
      <c r="BV25" s="20" t="n">
        <f aca="false">IF(BI25&gt;PR_BalDone,MIN(F_LoanPayM,BI25+BI25*(D_iL)),0)</f>
        <v>0</v>
      </c>
      <c r="BW25" s="20" t="n">
        <f aca="false">IF(BJ25&gt;PR_BalDone,MIN(F_LoanPayM,BJ25+BJ25*(D_iL)),0)</f>
        <v>0</v>
      </c>
      <c r="BX25" s="20" t="n">
        <f aca="false">IF(BK25&gt;PR_BalDone,MIN(F_LoanPayM,BK25+BK25*(D_iL)),0)</f>
        <v>0</v>
      </c>
      <c r="BY25" s="20" t="n">
        <f aca="false">IF(BL25&gt;PR_BalDone,MIN(F_LoanPayM,BL25+BL25*(D_iL)),0)</f>
        <v>0</v>
      </c>
      <c r="BZ25" s="20" t="n">
        <f aca="false">IF(BM25&gt;PR_BalDone,MIN(F_LoanPayM,BM25+BM25*(D_iL)),0)</f>
        <v>0</v>
      </c>
      <c r="CA25" s="20" t="n">
        <f aca="false">IF(BN25&gt;PR_BalDone,MIN(F_LoanPayM,BN25+BN25*(D_iL)),0)</f>
        <v>0</v>
      </c>
      <c r="CB25" s="20" t="n">
        <f aca="false">IF(BO25&gt;PR_BalDone,MIN(F_LoanPayM,BO25+BO25*(D_iL)),0)</f>
        <v>0</v>
      </c>
      <c r="CC25" s="20" t="n">
        <f aca="false">IF(BP25&gt;PR_BalDone,MIN(F_LoanPayM,BP25+BP25*(D_iL)),0)</f>
        <v>0</v>
      </c>
      <c r="CD25" s="20" t="n">
        <f aca="false">MAX(0,BQ25)</f>
        <v>0</v>
      </c>
      <c r="CE25" s="20" t="n">
        <f aca="false">SUM(BR25:CC25)</f>
        <v>0</v>
      </c>
      <c r="CF25" s="20" t="n">
        <f aca="false">IF(CF24&gt;1,DE24,CF24)</f>
        <v>52379.8592822762</v>
      </c>
      <c r="CG25" s="20" t="n">
        <f aca="false">IF(CF25&gt;PR_BalDone,CF25+CF25*(F_MR/12)-MIN(F_MortPayM,CF25+CF25*(F_MR/12)),CF25)</f>
        <v>51367.9113308068</v>
      </c>
      <c r="CH25" s="20" t="n">
        <f aca="false">IF(CG25&gt;PR_BalDone,CG25+CG25*(F_MR/12)-MIN(F_MortPayM,CG25+CG25*(F_MR/12)),CG25)</f>
        <v>50352.7167129931</v>
      </c>
      <c r="CI25" s="20" t="n">
        <f aca="false">IF(CH25&gt;PR_BalDone,CH25+CH25*(F_MR/12)-MIN(F_MortPayM,CH25+CH25*(F_MR/12)),CH25)</f>
        <v>49334.2650124473</v>
      </c>
      <c r="CJ25" s="20" t="n">
        <f aca="false">IF(CI25&gt;PR_BalDone,CI25+CI25*(F_MR/12)-MIN(F_MortPayM,CI25+CI25*(F_MR/12)),CI25)</f>
        <v>48312.5457793623</v>
      </c>
      <c r="CK25" s="20" t="n">
        <f aca="false">IF(CJ25&gt;PR_BalDone,CJ25+CJ25*(F_MR/12)-MIN(F_MortPayM,CJ25+CJ25*(F_MR/12)),CJ25)</f>
        <v>47287.5485304044</v>
      </c>
      <c r="CL25" s="20" t="n">
        <f aca="false">IF(CK25&gt;PR_BalDone,CK25+CK25*(F_MR/12)-MIN(F_MortPayM,CK25+CK25*(F_MR/12)),CK25)</f>
        <v>46259.2627486061</v>
      </c>
      <c r="CM25" s="20" t="n">
        <f aca="false">IF(CL25&gt;PR_BalDone,CL25+CL25*(F_MR/12)-MIN(F_MortPayM,CL25+CL25*(F_MR/12)),CL25)</f>
        <v>45227.6778832579</v>
      </c>
      <c r="CN25" s="20" t="n">
        <f aca="false">IF(CM25&gt;PR_BalDone,CM25+CM25*(F_MR/12)-MIN(F_MortPayM,CM25+CM25*(F_MR/12)),CM25)</f>
        <v>44192.7833498</v>
      </c>
      <c r="CO25" s="20" t="n">
        <f aca="false">IF(CN25&gt;PR_BalDone,CN25+CN25*(F_MR/12)-MIN(F_MortPayM,CN25+CN25*(F_MR/12)),CN25)</f>
        <v>43154.5685297139</v>
      </c>
      <c r="CP25" s="20" t="n">
        <f aca="false">IF(CO25&gt;PR_BalDone,CO25+CO25*(F_MR/12)-MIN(F_MortPayM,CO25+CO25*(F_MR/12)),CO25)</f>
        <v>42113.0227704134</v>
      </c>
      <c r="CQ25" s="20" t="n">
        <f aca="false">IF(CP25&gt;PR_BalDone,CP25+CP25*(F_MR/12)-MIN(F_MortPayM,CP25+CP25*(F_MR/12)),CP25)</f>
        <v>41068.1353851352</v>
      </c>
      <c r="CR25" s="20" t="n">
        <f aca="false">IF(CQ25&gt;PR_BalDone,CQ25+CQ25*(F_MR/12)-MIN(F_MortPayM,CQ25+CQ25*(F_MR/12)),CQ25)</f>
        <v>40019.8956528291</v>
      </c>
      <c r="CS25" s="20" t="n">
        <f aca="false">IF(CF25&gt;PR_BalDone,MIN(F_MortPayM,CF25+CF25*(F_MR/12)),0)</f>
        <v>1180</v>
      </c>
      <c r="CT25" s="20" t="n">
        <f aca="false">IF(CG25&gt;PR_BalDone,MIN(F_MortPayM,CG25+CG25*(F_MR/12)),0)</f>
        <v>1180</v>
      </c>
      <c r="CU25" s="20" t="n">
        <f aca="false">IF(CH25&gt;PR_BalDone,MIN(F_MortPayM,CH25+CH25*(F_MR/12)),0)</f>
        <v>1180</v>
      </c>
      <c r="CV25" s="20" t="n">
        <f aca="false">IF(CI25&gt;PR_BalDone,MIN(F_MortPayM,CI25+CI25*(F_MR/12)),0)</f>
        <v>1180</v>
      </c>
      <c r="CW25" s="20" t="n">
        <f aca="false">IF(CJ25&gt;PR_BalDone,MIN(F_MortPayM,CJ25+CJ25*(F_MR/12)),0)</f>
        <v>1180</v>
      </c>
      <c r="CX25" s="20" t="n">
        <f aca="false">IF(CK25&gt;PR_BalDone,MIN(F_MortPayM,CK25+CK25*(F_MR/12)),0)</f>
        <v>1180</v>
      </c>
      <c r="CY25" s="20" t="n">
        <f aca="false">IF(CL25&gt;PR_BalDone,MIN(F_MortPayM,CL25+CL25*(F_MR/12)),0)</f>
        <v>1180</v>
      </c>
      <c r="CZ25" s="20" t="n">
        <f aca="false">IF(CM25&gt;PR_BalDone,MIN(F_MortPayM,CM25+CM25*(F_MR/12)),0)</f>
        <v>1180</v>
      </c>
      <c r="DA25" s="20" t="n">
        <f aca="false">IF(CN25&gt;PR_BalDone,MIN(F_MortPayM,CN25+CN25*(F_MR/12)),0)</f>
        <v>1180</v>
      </c>
      <c r="DB25" s="20" t="n">
        <f aca="false">IF(CO25&gt;PR_BalDone,MIN(F_MortPayM,CO25+CO25*(F_MR/12)),0)</f>
        <v>1180</v>
      </c>
      <c r="DC25" s="20" t="n">
        <f aca="false">IF(CP25&gt;PR_BalDone,MIN(F_MortPayM,CP25+CP25*(F_MR/12)),0)</f>
        <v>1180</v>
      </c>
      <c r="DD25" s="20" t="n">
        <f aca="false">IF(CQ25&gt;PR_BalDone,MIN(F_MortPayM,CQ25+CQ25*(F_MR/12)),0)</f>
        <v>1180</v>
      </c>
      <c r="DE25" s="20" t="n">
        <f aca="false">MAX(0,CR25)</f>
        <v>40019.8956528291</v>
      </c>
      <c r="DF25" s="20" t="n">
        <f aca="false">SUM(CS25:DD25)</f>
        <v>14160</v>
      </c>
      <c r="DG25" s="20" t="n">
        <f aca="false">MAX(0,CF25)</f>
        <v>52379.8592822762</v>
      </c>
    </row>
    <row r="26" customFormat="false" ht="15" hidden="false" customHeight="true" outlineLevel="0" collapsed="false">
      <c r="B26" s="20" t="n">
        <v>18</v>
      </c>
      <c r="C26" s="20" t="n">
        <f aca="false">'Plan cashflow'!J26</f>
        <v>0</v>
      </c>
      <c r="D26" s="20" t="n">
        <f aca="false">IF(C26&gt;PR_BalDone,C26+C26*(F_MR/12)-MIN(F_MortPayM,C26+C26*(F_MR/12)),C26)</f>
        <v>0</v>
      </c>
      <c r="E26" s="20" t="n">
        <f aca="false">IF(D26&gt;PR_BalDone,D26+D26*(F_MR/12)-MIN(F_MortPayM,D26+D26*(F_MR/12)),D26)</f>
        <v>0</v>
      </c>
      <c r="F26" s="20" t="n">
        <f aca="false">IF(E26&gt;PR_BalDone,E26+E26*(F_MR/12)-MIN(F_MortPayM,E26+E26*(F_MR/12)),E26)</f>
        <v>0</v>
      </c>
      <c r="G26" s="20" t="n">
        <f aca="false">IF(F26&gt;PR_BalDone,F26+F26*(F_MR/12)-MIN(F_MortPayM,F26+F26*(F_MR/12)),F26)</f>
        <v>0</v>
      </c>
      <c r="H26" s="20" t="n">
        <f aca="false">IF(G26&gt;PR_BalDone,G26+G26*(F_MR/12)-MIN(F_MortPayM,G26+G26*(F_MR/12)),G26)</f>
        <v>0</v>
      </c>
      <c r="I26" s="20" t="n">
        <f aca="false">IF(H26&gt;PR_BalDone,H26+H26*(F_MR/12)-MIN(F_MortPayM,H26+H26*(F_MR/12)),H26)</f>
        <v>0</v>
      </c>
      <c r="J26" s="20" t="n">
        <f aca="false">IF(I26&gt;PR_BalDone,I26+I26*(F_MR/12)-MIN(F_MortPayM,I26+I26*(F_MR/12)),I26)</f>
        <v>0</v>
      </c>
      <c r="K26" s="20" t="n">
        <f aca="false">IF(J26&gt;PR_BalDone,J26+J26*(F_MR/12)-MIN(F_MortPayM,J26+J26*(F_MR/12)),J26)</f>
        <v>0</v>
      </c>
      <c r="L26" s="20" t="n">
        <f aca="false">IF(K26&gt;PR_BalDone,K26+K26*(F_MR/12)-MIN(F_MortPayM,K26+K26*(F_MR/12)),K26)</f>
        <v>0</v>
      </c>
      <c r="M26" s="20" t="n">
        <f aca="false">IF(L26&gt;PR_BalDone,L26+L26*(F_MR/12)-MIN(F_MortPayM,L26+L26*(F_MR/12)),L26)</f>
        <v>0</v>
      </c>
      <c r="N26" s="20" t="n">
        <f aca="false">IF(M26&gt;PR_BalDone,M26+M26*(F_MR/12)-MIN(F_MortPayM,M26+M26*(F_MR/12)),M26)</f>
        <v>0</v>
      </c>
      <c r="O26" s="20" t="n">
        <f aca="false">IF(N26&gt;PR_BalDone,N26+N26*(F_MR/12)-MIN(F_MortPayM,N26+N26*(F_MR/12)),N26)</f>
        <v>0</v>
      </c>
      <c r="P26" s="20" t="n">
        <f aca="false">IF(C26&gt;PR_BalDone,MIN(F_MortPayM,C26+C26*(F_MR/12)),0)</f>
        <v>0</v>
      </c>
      <c r="Q26" s="20" t="n">
        <f aca="false">IF(D26&gt;PR_BalDone,MIN(F_MortPayM,D26+D26*(F_MR/12)),0)</f>
        <v>0</v>
      </c>
      <c r="R26" s="20" t="n">
        <f aca="false">IF(E26&gt;PR_BalDone,MIN(F_MortPayM,E26+E26*(F_MR/12)),0)</f>
        <v>0</v>
      </c>
      <c r="S26" s="20" t="n">
        <f aca="false">IF(F26&gt;PR_BalDone,MIN(F_MortPayM,F26+F26*(F_MR/12)),0)</f>
        <v>0</v>
      </c>
      <c r="T26" s="20" t="n">
        <f aca="false">IF(G26&gt;PR_BalDone,MIN(F_MortPayM,G26+G26*(F_MR/12)),0)</f>
        <v>0</v>
      </c>
      <c r="U26" s="20" t="n">
        <f aca="false">IF(H26&gt;PR_BalDone,MIN(F_MortPayM,H26+H26*(F_MR/12)),0)</f>
        <v>0</v>
      </c>
      <c r="V26" s="20" t="n">
        <f aca="false">IF(I26&gt;PR_BalDone,MIN(F_MortPayM,I26+I26*(F_MR/12)),0)</f>
        <v>0</v>
      </c>
      <c r="W26" s="20" t="n">
        <f aca="false">IF(J26&gt;PR_BalDone,MIN(F_MortPayM,J26+J26*(F_MR/12)),0)</f>
        <v>0</v>
      </c>
      <c r="X26" s="20" t="n">
        <f aca="false">IF(K26&gt;PR_BalDone,MIN(F_MortPayM,K26+K26*(F_MR/12)),0)</f>
        <v>0</v>
      </c>
      <c r="Y26" s="20" t="n">
        <f aca="false">IF(L26&gt;PR_BalDone,MIN(F_MortPayM,L26+L26*(F_MR/12)),0)</f>
        <v>0</v>
      </c>
      <c r="Z26" s="20" t="n">
        <f aca="false">IF(M26&gt;PR_BalDone,MIN(F_MortPayM,M26+M26*(F_MR/12)),0)</f>
        <v>0</v>
      </c>
      <c r="AA26" s="20" t="n">
        <f aca="false">IF(N26&gt;PR_BalDone,MIN(F_MortPayM,N26+N26*(F_MR/12)),0)</f>
        <v>0</v>
      </c>
      <c r="AB26" s="20" t="n">
        <f aca="false">MAX(0,O26)</f>
        <v>0</v>
      </c>
      <c r="AC26" s="20" t="n">
        <f aca="false">SUM(P26:AA26)</f>
        <v>0</v>
      </c>
      <c r="AD26" s="20" t="n">
        <f aca="false">'Plan cashflow'!M26</f>
        <v>0</v>
      </c>
      <c r="AE26" s="20" t="n">
        <f aca="false">IF(AD26&gt;PR_BalDone,AD26+AD26*(D_iC)-MIN(F_CardPayM,AD26+AD26*(D_iC)),AD26)</f>
        <v>0</v>
      </c>
      <c r="AF26" s="20" t="n">
        <f aca="false">IF(AE26&gt;PR_BalDone,AE26+AE26*(D_iC)-MIN(F_CardPayM,AE26+AE26*(D_iC)),AE26)</f>
        <v>0</v>
      </c>
      <c r="AG26" s="20" t="n">
        <f aca="false">IF(AF26&gt;PR_BalDone,AF26+AF26*(D_iC)-MIN(F_CardPayM,AF26+AF26*(D_iC)),AF26)</f>
        <v>0</v>
      </c>
      <c r="AH26" s="20" t="n">
        <f aca="false">IF(AG26&gt;PR_BalDone,AG26+AG26*(D_iC)-MIN(F_CardPayM,AG26+AG26*(D_iC)),AG26)</f>
        <v>0</v>
      </c>
      <c r="AI26" s="20" t="n">
        <f aca="false">IF(AH26&gt;PR_BalDone,AH26+AH26*(D_iC)-MIN(F_CardPayM,AH26+AH26*(D_iC)),AH26)</f>
        <v>0</v>
      </c>
      <c r="AJ26" s="20" t="n">
        <f aca="false">IF(AI26&gt;PR_BalDone,AI26+AI26*(D_iC)-MIN(F_CardPayM,AI26+AI26*(D_iC)),AI26)</f>
        <v>0</v>
      </c>
      <c r="AK26" s="20" t="n">
        <f aca="false">IF(AJ26&gt;PR_BalDone,AJ26+AJ26*(D_iC)-MIN(F_CardPayM,AJ26+AJ26*(D_iC)),AJ26)</f>
        <v>0</v>
      </c>
      <c r="AL26" s="20" t="n">
        <f aca="false">IF(AK26&gt;PR_BalDone,AK26+AK26*(D_iC)-MIN(F_CardPayM,AK26+AK26*(D_iC)),AK26)</f>
        <v>0</v>
      </c>
      <c r="AM26" s="20" t="n">
        <f aca="false">IF(AL26&gt;PR_BalDone,AL26+AL26*(D_iC)-MIN(F_CardPayM,AL26+AL26*(D_iC)),AL26)</f>
        <v>0</v>
      </c>
      <c r="AN26" s="20" t="n">
        <f aca="false">IF(AM26&gt;PR_BalDone,AM26+AM26*(D_iC)-MIN(F_CardPayM,AM26+AM26*(D_iC)),AM26)</f>
        <v>0</v>
      </c>
      <c r="AO26" s="20" t="n">
        <f aca="false">IF(AN26&gt;PR_BalDone,AN26+AN26*(D_iC)-MIN(F_CardPayM,AN26+AN26*(D_iC)),AN26)</f>
        <v>0</v>
      </c>
      <c r="AP26" s="20" t="n">
        <f aca="false">IF(AO26&gt;PR_BalDone,AO26+AO26*(D_iC)-MIN(F_CardPayM,AO26+AO26*(D_iC)),AO26)</f>
        <v>0</v>
      </c>
      <c r="AQ26" s="20" t="n">
        <f aca="false">IF(AD26&gt;PR_BalDone,MIN(F_CardPayM,AD26+AD26*(D_iC)),0)</f>
        <v>0</v>
      </c>
      <c r="AR26" s="20" t="n">
        <f aca="false">IF(AE26&gt;PR_BalDone,MIN(F_CardPayM,AE26+AE26*(D_iC)),0)</f>
        <v>0</v>
      </c>
      <c r="AS26" s="20" t="n">
        <f aca="false">IF(AF26&gt;PR_BalDone,MIN(F_CardPayM,AF26+AF26*(D_iC)),0)</f>
        <v>0</v>
      </c>
      <c r="AT26" s="20" t="n">
        <f aca="false">IF(AG26&gt;PR_BalDone,MIN(F_CardPayM,AG26+AG26*(D_iC)),0)</f>
        <v>0</v>
      </c>
      <c r="AU26" s="20" t="n">
        <f aca="false">IF(AH26&gt;PR_BalDone,MIN(F_CardPayM,AH26+AH26*(D_iC)),0)</f>
        <v>0</v>
      </c>
      <c r="AV26" s="20" t="n">
        <f aca="false">IF(AI26&gt;PR_BalDone,MIN(F_CardPayM,AI26+AI26*(D_iC)),0)</f>
        <v>0</v>
      </c>
      <c r="AW26" s="20" t="n">
        <f aca="false">IF(AJ26&gt;PR_BalDone,MIN(F_CardPayM,AJ26+AJ26*(D_iC)),0)</f>
        <v>0</v>
      </c>
      <c r="AX26" s="20" t="n">
        <f aca="false">IF(AK26&gt;PR_BalDone,MIN(F_CardPayM,AK26+AK26*(D_iC)),0)</f>
        <v>0</v>
      </c>
      <c r="AY26" s="20" t="n">
        <f aca="false">IF(AL26&gt;PR_BalDone,MIN(F_CardPayM,AL26+AL26*(D_iC)),0)</f>
        <v>0</v>
      </c>
      <c r="AZ26" s="20" t="n">
        <f aca="false">IF(AM26&gt;PR_BalDone,MIN(F_CardPayM,AM26+AM26*(D_iC)),0)</f>
        <v>0</v>
      </c>
      <c r="BA26" s="20" t="n">
        <f aca="false">IF(AN26&gt;PR_BalDone,MIN(F_CardPayM,AN26+AN26*(D_iC)),0)</f>
        <v>0</v>
      </c>
      <c r="BB26" s="20" t="n">
        <f aca="false">IF(AO26&gt;PR_BalDone,MIN(F_CardPayM,AO26+AO26*(D_iC)),0)</f>
        <v>0</v>
      </c>
      <c r="BC26" s="20" t="n">
        <f aca="false">MAX(0,AP26)</f>
        <v>0</v>
      </c>
      <c r="BD26" s="20" t="n">
        <f aca="false">SUM(AQ26:BB26)</f>
        <v>0</v>
      </c>
      <c r="BE26" s="20" t="n">
        <f aca="false">'Plan cashflow'!P26</f>
        <v>0</v>
      </c>
      <c r="BF26" s="20" t="n">
        <f aca="false">IF(BE26&gt;PR_BalDone,BE26+BE26*(D_iL)-MIN(F_LoanPayM,BE26+BE26*(D_iL)),BE26)</f>
        <v>0</v>
      </c>
      <c r="BG26" s="20" t="n">
        <f aca="false">IF(BF26&gt;PR_BalDone,BF26+BF26*(D_iL)-MIN(F_LoanPayM,BF26+BF26*(D_iL)),BF26)</f>
        <v>0</v>
      </c>
      <c r="BH26" s="20" t="n">
        <f aca="false">IF(BG26&gt;PR_BalDone,BG26+BG26*(D_iL)-MIN(F_LoanPayM,BG26+BG26*(D_iL)),BG26)</f>
        <v>0</v>
      </c>
      <c r="BI26" s="20" t="n">
        <f aca="false">IF(BH26&gt;PR_BalDone,BH26+BH26*(D_iL)-MIN(F_LoanPayM,BH26+BH26*(D_iL)),BH26)</f>
        <v>0</v>
      </c>
      <c r="BJ26" s="20" t="n">
        <f aca="false">IF(BI26&gt;PR_BalDone,BI26+BI26*(D_iL)-MIN(F_LoanPayM,BI26+BI26*(D_iL)),BI26)</f>
        <v>0</v>
      </c>
      <c r="BK26" s="20" t="n">
        <f aca="false">IF(BJ26&gt;PR_BalDone,BJ26+BJ26*(D_iL)-MIN(F_LoanPayM,BJ26+BJ26*(D_iL)),BJ26)</f>
        <v>0</v>
      </c>
      <c r="BL26" s="20" t="n">
        <f aca="false">IF(BK26&gt;PR_BalDone,BK26+BK26*(D_iL)-MIN(F_LoanPayM,BK26+BK26*(D_iL)),BK26)</f>
        <v>0</v>
      </c>
      <c r="BM26" s="20" t="n">
        <f aca="false">IF(BL26&gt;PR_BalDone,BL26+BL26*(D_iL)-MIN(F_LoanPayM,BL26+BL26*(D_iL)),BL26)</f>
        <v>0</v>
      </c>
      <c r="BN26" s="20" t="n">
        <f aca="false">IF(BM26&gt;PR_BalDone,BM26+BM26*(D_iL)-MIN(F_LoanPayM,BM26+BM26*(D_iL)),BM26)</f>
        <v>0</v>
      </c>
      <c r="BO26" s="20" t="n">
        <f aca="false">IF(BN26&gt;PR_BalDone,BN26+BN26*(D_iL)-MIN(F_LoanPayM,BN26+BN26*(D_iL)),BN26)</f>
        <v>0</v>
      </c>
      <c r="BP26" s="20" t="n">
        <f aca="false">IF(BO26&gt;PR_BalDone,BO26+BO26*(D_iL)-MIN(F_LoanPayM,BO26+BO26*(D_iL)),BO26)</f>
        <v>0</v>
      </c>
      <c r="BQ26" s="20" t="n">
        <f aca="false">IF(BP26&gt;PR_BalDone,BP26+BP26*(D_iL)-MIN(F_LoanPayM,BP26+BP26*(D_iL)),BP26)</f>
        <v>0</v>
      </c>
      <c r="BR26" s="20" t="n">
        <f aca="false">IF(BE26&gt;PR_BalDone,MIN(F_LoanPayM,BE26+BE26*(D_iL)),0)</f>
        <v>0</v>
      </c>
      <c r="BS26" s="20" t="n">
        <f aca="false">IF(BF26&gt;PR_BalDone,MIN(F_LoanPayM,BF26+BF26*(D_iL)),0)</f>
        <v>0</v>
      </c>
      <c r="BT26" s="20" t="n">
        <f aca="false">IF(BG26&gt;PR_BalDone,MIN(F_LoanPayM,BG26+BG26*(D_iL)),0)</f>
        <v>0</v>
      </c>
      <c r="BU26" s="20" t="n">
        <f aca="false">IF(BH26&gt;PR_BalDone,MIN(F_LoanPayM,BH26+BH26*(D_iL)),0)</f>
        <v>0</v>
      </c>
      <c r="BV26" s="20" t="n">
        <f aca="false">IF(BI26&gt;PR_BalDone,MIN(F_LoanPayM,BI26+BI26*(D_iL)),0)</f>
        <v>0</v>
      </c>
      <c r="BW26" s="20" t="n">
        <f aca="false">IF(BJ26&gt;PR_BalDone,MIN(F_LoanPayM,BJ26+BJ26*(D_iL)),0)</f>
        <v>0</v>
      </c>
      <c r="BX26" s="20" t="n">
        <f aca="false">IF(BK26&gt;PR_BalDone,MIN(F_LoanPayM,BK26+BK26*(D_iL)),0)</f>
        <v>0</v>
      </c>
      <c r="BY26" s="20" t="n">
        <f aca="false">IF(BL26&gt;PR_BalDone,MIN(F_LoanPayM,BL26+BL26*(D_iL)),0)</f>
        <v>0</v>
      </c>
      <c r="BZ26" s="20" t="n">
        <f aca="false">IF(BM26&gt;PR_BalDone,MIN(F_LoanPayM,BM26+BM26*(D_iL)),0)</f>
        <v>0</v>
      </c>
      <c r="CA26" s="20" t="n">
        <f aca="false">IF(BN26&gt;PR_BalDone,MIN(F_LoanPayM,BN26+BN26*(D_iL)),0)</f>
        <v>0</v>
      </c>
      <c r="CB26" s="20" t="n">
        <f aca="false">IF(BO26&gt;PR_BalDone,MIN(F_LoanPayM,BO26+BO26*(D_iL)),0)</f>
        <v>0</v>
      </c>
      <c r="CC26" s="20" t="n">
        <f aca="false">IF(BP26&gt;PR_BalDone,MIN(F_LoanPayM,BP26+BP26*(D_iL)),0)</f>
        <v>0</v>
      </c>
      <c r="CD26" s="20" t="n">
        <f aca="false">MAX(0,BQ26)</f>
        <v>0</v>
      </c>
      <c r="CE26" s="20" t="n">
        <f aca="false">SUM(BR26:CC26)</f>
        <v>0</v>
      </c>
      <c r="CF26" s="20" t="n">
        <f aca="false">IF(CF25&gt;1,DE25,CF25)</f>
        <v>40019.8956528291</v>
      </c>
      <c r="CG26" s="20" t="n">
        <f aca="false">IF(CF26&gt;PR_BalDone,CF26+CF26*(F_MR/12)-MIN(F_MortPayM,CF26+CF26*(F_MR/12)),CF26)</f>
        <v>38968.2928180486</v>
      </c>
      <c r="CH26" s="20" t="n">
        <f aca="false">IF(CG26&gt;PR_BalDone,CG26+CG26*(F_MR/12)-MIN(F_MortPayM,CG26+CG26*(F_MR/12)),CG26)</f>
        <v>37913.3160908399</v>
      </c>
      <c r="CI26" s="20" t="n">
        <f aca="false">IF(CH26&gt;PR_BalDone,CH26+CH26*(F_MR/12)-MIN(F_MortPayM,CH26+CH26*(F_MR/12)),CH26)</f>
        <v>36854.9546466313</v>
      </c>
      <c r="CJ26" s="20" t="n">
        <f aca="false">IF(CI26&gt;PR_BalDone,CI26+CI26*(F_MR/12)-MIN(F_MortPayM,CI26+CI26*(F_MR/12)),CI26)</f>
        <v>35793.1976261226</v>
      </c>
      <c r="CK26" s="20" t="n">
        <f aca="false">IF(CJ26&gt;PR_BalDone,CJ26+CJ26*(F_MR/12)-MIN(F_MortPayM,CJ26+CJ26*(F_MR/12)),CJ26)</f>
        <v>34728.0341351731</v>
      </c>
      <c r="CL26" s="20" t="n">
        <f aca="false">IF(CK26&gt;PR_BalDone,CK26+CK26*(F_MR/12)-MIN(F_MortPayM,CK26+CK26*(F_MR/12)),CK26)</f>
        <v>33659.4532446901</v>
      </c>
      <c r="CM26" s="20" t="n">
        <f aca="false">IF(CL26&gt;PR_BalDone,CL26+CL26*(F_MR/12)-MIN(F_MortPayM,CL26+CL26*(F_MR/12)),CL26)</f>
        <v>32587.4439905168</v>
      </c>
      <c r="CN26" s="20" t="n">
        <f aca="false">IF(CM26&gt;PR_BalDone,CM26+CM26*(F_MR/12)-MIN(F_MortPayM,CM26+CM26*(F_MR/12)),CM26)</f>
        <v>31511.9953733197</v>
      </c>
      <c r="CO26" s="20" t="n">
        <f aca="false">IF(CN26&gt;PR_BalDone,CN26+CN26*(F_MR/12)-MIN(F_MortPayM,CN26+CN26*(F_MR/12)),CN26)</f>
        <v>30433.0963584758</v>
      </c>
      <c r="CP26" s="20" t="n">
        <f aca="false">IF(CO26&gt;PR_BalDone,CO26+CO26*(F_MR/12)-MIN(F_MortPayM,CO26+CO26*(F_MR/12)),CO26)</f>
        <v>29350.7358759592</v>
      </c>
      <c r="CQ26" s="20" t="n">
        <f aca="false">IF(CP26&gt;PR_BalDone,CP26+CP26*(F_MR/12)-MIN(F_MortPayM,CP26+CP26*(F_MR/12)),CP26)</f>
        <v>28264.9028202279</v>
      </c>
      <c r="CR26" s="20" t="n">
        <f aca="false">IF(CQ26&gt;PR_BalDone,CQ26+CQ26*(F_MR/12)-MIN(F_MortPayM,CQ26+CQ26*(F_MR/12)),CQ26)</f>
        <v>27175.5860501095</v>
      </c>
      <c r="CS26" s="20" t="n">
        <f aca="false">IF(CF26&gt;PR_BalDone,MIN(F_MortPayM,CF26+CF26*(F_MR/12)),0)</f>
        <v>1180</v>
      </c>
      <c r="CT26" s="20" t="n">
        <f aca="false">IF(CG26&gt;PR_BalDone,MIN(F_MortPayM,CG26+CG26*(F_MR/12)),0)</f>
        <v>1180</v>
      </c>
      <c r="CU26" s="20" t="n">
        <f aca="false">IF(CH26&gt;PR_BalDone,MIN(F_MortPayM,CH26+CH26*(F_MR/12)),0)</f>
        <v>1180</v>
      </c>
      <c r="CV26" s="20" t="n">
        <f aca="false">IF(CI26&gt;PR_BalDone,MIN(F_MortPayM,CI26+CI26*(F_MR/12)),0)</f>
        <v>1180</v>
      </c>
      <c r="CW26" s="20" t="n">
        <f aca="false">IF(CJ26&gt;PR_BalDone,MIN(F_MortPayM,CJ26+CJ26*(F_MR/12)),0)</f>
        <v>1180</v>
      </c>
      <c r="CX26" s="20" t="n">
        <f aca="false">IF(CK26&gt;PR_BalDone,MIN(F_MortPayM,CK26+CK26*(F_MR/12)),0)</f>
        <v>1180</v>
      </c>
      <c r="CY26" s="20" t="n">
        <f aca="false">IF(CL26&gt;PR_BalDone,MIN(F_MortPayM,CL26+CL26*(F_MR/12)),0)</f>
        <v>1180</v>
      </c>
      <c r="CZ26" s="20" t="n">
        <f aca="false">IF(CM26&gt;PR_BalDone,MIN(F_MortPayM,CM26+CM26*(F_MR/12)),0)</f>
        <v>1180</v>
      </c>
      <c r="DA26" s="20" t="n">
        <f aca="false">IF(CN26&gt;PR_BalDone,MIN(F_MortPayM,CN26+CN26*(F_MR/12)),0)</f>
        <v>1180</v>
      </c>
      <c r="DB26" s="20" t="n">
        <f aca="false">IF(CO26&gt;PR_BalDone,MIN(F_MortPayM,CO26+CO26*(F_MR/12)),0)</f>
        <v>1180</v>
      </c>
      <c r="DC26" s="20" t="n">
        <f aca="false">IF(CP26&gt;PR_BalDone,MIN(F_MortPayM,CP26+CP26*(F_MR/12)),0)</f>
        <v>1180</v>
      </c>
      <c r="DD26" s="20" t="n">
        <f aca="false">IF(CQ26&gt;PR_BalDone,MIN(F_MortPayM,CQ26+CQ26*(F_MR/12)),0)</f>
        <v>1180</v>
      </c>
      <c r="DE26" s="20" t="n">
        <f aca="false">MAX(0,CR26)</f>
        <v>27175.5860501095</v>
      </c>
      <c r="DF26" s="20" t="n">
        <f aca="false">SUM(CS26:DD26)</f>
        <v>14160</v>
      </c>
      <c r="DG26" s="20" t="n">
        <f aca="false">MAX(0,CF26)</f>
        <v>40019.8956528291</v>
      </c>
    </row>
    <row r="27" customFormat="false" ht="15" hidden="false" customHeight="true" outlineLevel="0" collapsed="false">
      <c r="B27" s="20" t="n">
        <v>19</v>
      </c>
      <c r="C27" s="20" t="n">
        <f aca="false">'Plan cashflow'!J27</f>
        <v>0</v>
      </c>
      <c r="D27" s="20" t="n">
        <f aca="false">IF(C27&gt;PR_BalDone,C27+C27*(F_MR/12)-MIN(F_MortPayM,C27+C27*(F_MR/12)),C27)</f>
        <v>0</v>
      </c>
      <c r="E27" s="20" t="n">
        <f aca="false">IF(D27&gt;PR_BalDone,D27+D27*(F_MR/12)-MIN(F_MortPayM,D27+D27*(F_MR/12)),D27)</f>
        <v>0</v>
      </c>
      <c r="F27" s="20" t="n">
        <f aca="false">IF(E27&gt;PR_BalDone,E27+E27*(F_MR/12)-MIN(F_MortPayM,E27+E27*(F_MR/12)),E27)</f>
        <v>0</v>
      </c>
      <c r="G27" s="20" t="n">
        <f aca="false">IF(F27&gt;PR_BalDone,F27+F27*(F_MR/12)-MIN(F_MortPayM,F27+F27*(F_MR/12)),F27)</f>
        <v>0</v>
      </c>
      <c r="H27" s="20" t="n">
        <f aca="false">IF(G27&gt;PR_BalDone,G27+G27*(F_MR/12)-MIN(F_MortPayM,G27+G27*(F_MR/12)),G27)</f>
        <v>0</v>
      </c>
      <c r="I27" s="20" t="n">
        <f aca="false">IF(H27&gt;PR_BalDone,H27+H27*(F_MR/12)-MIN(F_MortPayM,H27+H27*(F_MR/12)),H27)</f>
        <v>0</v>
      </c>
      <c r="J27" s="20" t="n">
        <f aca="false">IF(I27&gt;PR_BalDone,I27+I27*(F_MR/12)-MIN(F_MortPayM,I27+I27*(F_MR/12)),I27)</f>
        <v>0</v>
      </c>
      <c r="K27" s="20" t="n">
        <f aca="false">IF(J27&gt;PR_BalDone,J27+J27*(F_MR/12)-MIN(F_MortPayM,J27+J27*(F_MR/12)),J27)</f>
        <v>0</v>
      </c>
      <c r="L27" s="20" t="n">
        <f aca="false">IF(K27&gt;PR_BalDone,K27+K27*(F_MR/12)-MIN(F_MortPayM,K27+K27*(F_MR/12)),K27)</f>
        <v>0</v>
      </c>
      <c r="M27" s="20" t="n">
        <f aca="false">IF(L27&gt;PR_BalDone,L27+L27*(F_MR/12)-MIN(F_MortPayM,L27+L27*(F_MR/12)),L27)</f>
        <v>0</v>
      </c>
      <c r="N27" s="20" t="n">
        <f aca="false">IF(M27&gt;PR_BalDone,M27+M27*(F_MR/12)-MIN(F_MortPayM,M27+M27*(F_MR/12)),M27)</f>
        <v>0</v>
      </c>
      <c r="O27" s="20" t="n">
        <f aca="false">IF(N27&gt;PR_BalDone,N27+N27*(F_MR/12)-MIN(F_MortPayM,N27+N27*(F_MR/12)),N27)</f>
        <v>0</v>
      </c>
      <c r="P27" s="20" t="n">
        <f aca="false">IF(C27&gt;PR_BalDone,MIN(F_MortPayM,C27+C27*(F_MR/12)),0)</f>
        <v>0</v>
      </c>
      <c r="Q27" s="20" t="n">
        <f aca="false">IF(D27&gt;PR_BalDone,MIN(F_MortPayM,D27+D27*(F_MR/12)),0)</f>
        <v>0</v>
      </c>
      <c r="R27" s="20" t="n">
        <f aca="false">IF(E27&gt;PR_BalDone,MIN(F_MortPayM,E27+E27*(F_MR/12)),0)</f>
        <v>0</v>
      </c>
      <c r="S27" s="20" t="n">
        <f aca="false">IF(F27&gt;PR_BalDone,MIN(F_MortPayM,F27+F27*(F_MR/12)),0)</f>
        <v>0</v>
      </c>
      <c r="T27" s="20" t="n">
        <f aca="false">IF(G27&gt;PR_BalDone,MIN(F_MortPayM,G27+G27*(F_MR/12)),0)</f>
        <v>0</v>
      </c>
      <c r="U27" s="20" t="n">
        <f aca="false">IF(H27&gt;PR_BalDone,MIN(F_MortPayM,H27+H27*(F_MR/12)),0)</f>
        <v>0</v>
      </c>
      <c r="V27" s="20" t="n">
        <f aca="false">IF(I27&gt;PR_BalDone,MIN(F_MortPayM,I27+I27*(F_MR/12)),0)</f>
        <v>0</v>
      </c>
      <c r="W27" s="20" t="n">
        <f aca="false">IF(J27&gt;PR_BalDone,MIN(F_MortPayM,J27+J27*(F_MR/12)),0)</f>
        <v>0</v>
      </c>
      <c r="X27" s="20" t="n">
        <f aca="false">IF(K27&gt;PR_BalDone,MIN(F_MortPayM,K27+K27*(F_MR/12)),0)</f>
        <v>0</v>
      </c>
      <c r="Y27" s="20" t="n">
        <f aca="false">IF(L27&gt;PR_BalDone,MIN(F_MortPayM,L27+L27*(F_MR/12)),0)</f>
        <v>0</v>
      </c>
      <c r="Z27" s="20" t="n">
        <f aca="false">IF(M27&gt;PR_BalDone,MIN(F_MortPayM,M27+M27*(F_MR/12)),0)</f>
        <v>0</v>
      </c>
      <c r="AA27" s="20" t="n">
        <f aca="false">IF(N27&gt;PR_BalDone,MIN(F_MortPayM,N27+N27*(F_MR/12)),0)</f>
        <v>0</v>
      </c>
      <c r="AB27" s="20" t="n">
        <f aca="false">MAX(0,O27)</f>
        <v>0</v>
      </c>
      <c r="AC27" s="20" t="n">
        <f aca="false">SUM(P27:AA27)</f>
        <v>0</v>
      </c>
      <c r="AD27" s="20" t="n">
        <f aca="false">'Plan cashflow'!M27</f>
        <v>0</v>
      </c>
      <c r="AE27" s="20" t="n">
        <f aca="false">IF(AD27&gt;PR_BalDone,AD27+AD27*(D_iC)-MIN(F_CardPayM,AD27+AD27*(D_iC)),AD27)</f>
        <v>0</v>
      </c>
      <c r="AF27" s="20" t="n">
        <f aca="false">IF(AE27&gt;PR_BalDone,AE27+AE27*(D_iC)-MIN(F_CardPayM,AE27+AE27*(D_iC)),AE27)</f>
        <v>0</v>
      </c>
      <c r="AG27" s="20" t="n">
        <f aca="false">IF(AF27&gt;PR_BalDone,AF27+AF27*(D_iC)-MIN(F_CardPayM,AF27+AF27*(D_iC)),AF27)</f>
        <v>0</v>
      </c>
      <c r="AH27" s="20" t="n">
        <f aca="false">IF(AG27&gt;PR_BalDone,AG27+AG27*(D_iC)-MIN(F_CardPayM,AG27+AG27*(D_iC)),AG27)</f>
        <v>0</v>
      </c>
      <c r="AI27" s="20" t="n">
        <f aca="false">IF(AH27&gt;PR_BalDone,AH27+AH27*(D_iC)-MIN(F_CardPayM,AH27+AH27*(D_iC)),AH27)</f>
        <v>0</v>
      </c>
      <c r="AJ27" s="20" t="n">
        <f aca="false">IF(AI27&gt;PR_BalDone,AI27+AI27*(D_iC)-MIN(F_CardPayM,AI27+AI27*(D_iC)),AI27)</f>
        <v>0</v>
      </c>
      <c r="AK27" s="20" t="n">
        <f aca="false">IF(AJ27&gt;PR_BalDone,AJ27+AJ27*(D_iC)-MIN(F_CardPayM,AJ27+AJ27*(D_iC)),AJ27)</f>
        <v>0</v>
      </c>
      <c r="AL27" s="20" t="n">
        <f aca="false">IF(AK27&gt;PR_BalDone,AK27+AK27*(D_iC)-MIN(F_CardPayM,AK27+AK27*(D_iC)),AK27)</f>
        <v>0</v>
      </c>
      <c r="AM27" s="20" t="n">
        <f aca="false">IF(AL27&gt;PR_BalDone,AL27+AL27*(D_iC)-MIN(F_CardPayM,AL27+AL27*(D_iC)),AL27)</f>
        <v>0</v>
      </c>
      <c r="AN27" s="20" t="n">
        <f aca="false">IF(AM27&gt;PR_BalDone,AM27+AM27*(D_iC)-MIN(F_CardPayM,AM27+AM27*(D_iC)),AM27)</f>
        <v>0</v>
      </c>
      <c r="AO27" s="20" t="n">
        <f aca="false">IF(AN27&gt;PR_BalDone,AN27+AN27*(D_iC)-MIN(F_CardPayM,AN27+AN27*(D_iC)),AN27)</f>
        <v>0</v>
      </c>
      <c r="AP27" s="20" t="n">
        <f aca="false">IF(AO27&gt;PR_BalDone,AO27+AO27*(D_iC)-MIN(F_CardPayM,AO27+AO27*(D_iC)),AO27)</f>
        <v>0</v>
      </c>
      <c r="AQ27" s="20" t="n">
        <f aca="false">IF(AD27&gt;PR_BalDone,MIN(F_CardPayM,AD27+AD27*(D_iC)),0)</f>
        <v>0</v>
      </c>
      <c r="AR27" s="20" t="n">
        <f aca="false">IF(AE27&gt;PR_BalDone,MIN(F_CardPayM,AE27+AE27*(D_iC)),0)</f>
        <v>0</v>
      </c>
      <c r="AS27" s="20" t="n">
        <f aca="false">IF(AF27&gt;PR_BalDone,MIN(F_CardPayM,AF27+AF27*(D_iC)),0)</f>
        <v>0</v>
      </c>
      <c r="AT27" s="20" t="n">
        <f aca="false">IF(AG27&gt;PR_BalDone,MIN(F_CardPayM,AG27+AG27*(D_iC)),0)</f>
        <v>0</v>
      </c>
      <c r="AU27" s="20" t="n">
        <f aca="false">IF(AH27&gt;PR_BalDone,MIN(F_CardPayM,AH27+AH27*(D_iC)),0)</f>
        <v>0</v>
      </c>
      <c r="AV27" s="20" t="n">
        <f aca="false">IF(AI27&gt;PR_BalDone,MIN(F_CardPayM,AI27+AI27*(D_iC)),0)</f>
        <v>0</v>
      </c>
      <c r="AW27" s="20" t="n">
        <f aca="false">IF(AJ27&gt;PR_BalDone,MIN(F_CardPayM,AJ27+AJ27*(D_iC)),0)</f>
        <v>0</v>
      </c>
      <c r="AX27" s="20" t="n">
        <f aca="false">IF(AK27&gt;PR_BalDone,MIN(F_CardPayM,AK27+AK27*(D_iC)),0)</f>
        <v>0</v>
      </c>
      <c r="AY27" s="20" t="n">
        <f aca="false">IF(AL27&gt;PR_BalDone,MIN(F_CardPayM,AL27+AL27*(D_iC)),0)</f>
        <v>0</v>
      </c>
      <c r="AZ27" s="20" t="n">
        <f aca="false">IF(AM27&gt;PR_BalDone,MIN(F_CardPayM,AM27+AM27*(D_iC)),0)</f>
        <v>0</v>
      </c>
      <c r="BA27" s="20" t="n">
        <f aca="false">IF(AN27&gt;PR_BalDone,MIN(F_CardPayM,AN27+AN27*(D_iC)),0)</f>
        <v>0</v>
      </c>
      <c r="BB27" s="20" t="n">
        <f aca="false">IF(AO27&gt;PR_BalDone,MIN(F_CardPayM,AO27+AO27*(D_iC)),0)</f>
        <v>0</v>
      </c>
      <c r="BC27" s="20" t="n">
        <f aca="false">MAX(0,AP27)</f>
        <v>0</v>
      </c>
      <c r="BD27" s="20" t="n">
        <f aca="false">SUM(AQ27:BB27)</f>
        <v>0</v>
      </c>
      <c r="BE27" s="20" t="n">
        <f aca="false">'Plan cashflow'!P27</f>
        <v>0</v>
      </c>
      <c r="BF27" s="20" t="n">
        <f aca="false">IF(BE27&gt;PR_BalDone,BE27+BE27*(D_iL)-MIN(F_LoanPayM,BE27+BE27*(D_iL)),BE27)</f>
        <v>0</v>
      </c>
      <c r="BG27" s="20" t="n">
        <f aca="false">IF(BF27&gt;PR_BalDone,BF27+BF27*(D_iL)-MIN(F_LoanPayM,BF27+BF27*(D_iL)),BF27)</f>
        <v>0</v>
      </c>
      <c r="BH27" s="20" t="n">
        <f aca="false">IF(BG27&gt;PR_BalDone,BG27+BG27*(D_iL)-MIN(F_LoanPayM,BG27+BG27*(D_iL)),BG27)</f>
        <v>0</v>
      </c>
      <c r="BI27" s="20" t="n">
        <f aca="false">IF(BH27&gt;PR_BalDone,BH27+BH27*(D_iL)-MIN(F_LoanPayM,BH27+BH27*(D_iL)),BH27)</f>
        <v>0</v>
      </c>
      <c r="BJ27" s="20" t="n">
        <f aca="false">IF(BI27&gt;PR_BalDone,BI27+BI27*(D_iL)-MIN(F_LoanPayM,BI27+BI27*(D_iL)),BI27)</f>
        <v>0</v>
      </c>
      <c r="BK27" s="20" t="n">
        <f aca="false">IF(BJ27&gt;PR_BalDone,BJ27+BJ27*(D_iL)-MIN(F_LoanPayM,BJ27+BJ27*(D_iL)),BJ27)</f>
        <v>0</v>
      </c>
      <c r="BL27" s="20" t="n">
        <f aca="false">IF(BK27&gt;PR_BalDone,BK27+BK27*(D_iL)-MIN(F_LoanPayM,BK27+BK27*(D_iL)),BK27)</f>
        <v>0</v>
      </c>
      <c r="BM27" s="20" t="n">
        <f aca="false">IF(BL27&gt;PR_BalDone,BL27+BL27*(D_iL)-MIN(F_LoanPayM,BL27+BL27*(D_iL)),BL27)</f>
        <v>0</v>
      </c>
      <c r="BN27" s="20" t="n">
        <f aca="false">IF(BM27&gt;PR_BalDone,BM27+BM27*(D_iL)-MIN(F_LoanPayM,BM27+BM27*(D_iL)),BM27)</f>
        <v>0</v>
      </c>
      <c r="BO27" s="20" t="n">
        <f aca="false">IF(BN27&gt;PR_BalDone,BN27+BN27*(D_iL)-MIN(F_LoanPayM,BN27+BN27*(D_iL)),BN27)</f>
        <v>0</v>
      </c>
      <c r="BP27" s="20" t="n">
        <f aca="false">IF(BO27&gt;PR_BalDone,BO27+BO27*(D_iL)-MIN(F_LoanPayM,BO27+BO27*(D_iL)),BO27)</f>
        <v>0</v>
      </c>
      <c r="BQ27" s="20" t="n">
        <f aca="false">IF(BP27&gt;PR_BalDone,BP27+BP27*(D_iL)-MIN(F_LoanPayM,BP27+BP27*(D_iL)),BP27)</f>
        <v>0</v>
      </c>
      <c r="BR27" s="20" t="n">
        <f aca="false">IF(BE27&gt;PR_BalDone,MIN(F_LoanPayM,BE27+BE27*(D_iL)),0)</f>
        <v>0</v>
      </c>
      <c r="BS27" s="20" t="n">
        <f aca="false">IF(BF27&gt;PR_BalDone,MIN(F_LoanPayM,BF27+BF27*(D_iL)),0)</f>
        <v>0</v>
      </c>
      <c r="BT27" s="20" t="n">
        <f aca="false">IF(BG27&gt;PR_BalDone,MIN(F_LoanPayM,BG27+BG27*(D_iL)),0)</f>
        <v>0</v>
      </c>
      <c r="BU27" s="20" t="n">
        <f aca="false">IF(BH27&gt;PR_BalDone,MIN(F_LoanPayM,BH27+BH27*(D_iL)),0)</f>
        <v>0</v>
      </c>
      <c r="BV27" s="20" t="n">
        <f aca="false">IF(BI27&gt;PR_BalDone,MIN(F_LoanPayM,BI27+BI27*(D_iL)),0)</f>
        <v>0</v>
      </c>
      <c r="BW27" s="20" t="n">
        <f aca="false">IF(BJ27&gt;PR_BalDone,MIN(F_LoanPayM,BJ27+BJ27*(D_iL)),0)</f>
        <v>0</v>
      </c>
      <c r="BX27" s="20" t="n">
        <f aca="false">IF(BK27&gt;PR_BalDone,MIN(F_LoanPayM,BK27+BK27*(D_iL)),0)</f>
        <v>0</v>
      </c>
      <c r="BY27" s="20" t="n">
        <f aca="false">IF(BL27&gt;PR_BalDone,MIN(F_LoanPayM,BL27+BL27*(D_iL)),0)</f>
        <v>0</v>
      </c>
      <c r="BZ27" s="20" t="n">
        <f aca="false">IF(BM27&gt;PR_BalDone,MIN(F_LoanPayM,BM27+BM27*(D_iL)),0)</f>
        <v>0</v>
      </c>
      <c r="CA27" s="20" t="n">
        <f aca="false">IF(BN27&gt;PR_BalDone,MIN(F_LoanPayM,BN27+BN27*(D_iL)),0)</f>
        <v>0</v>
      </c>
      <c r="CB27" s="20" t="n">
        <f aca="false">IF(BO27&gt;PR_BalDone,MIN(F_LoanPayM,BO27+BO27*(D_iL)),0)</f>
        <v>0</v>
      </c>
      <c r="CC27" s="20" t="n">
        <f aca="false">IF(BP27&gt;PR_BalDone,MIN(F_LoanPayM,BP27+BP27*(D_iL)),0)</f>
        <v>0</v>
      </c>
      <c r="CD27" s="20" t="n">
        <f aca="false">MAX(0,BQ27)</f>
        <v>0</v>
      </c>
      <c r="CE27" s="20" t="n">
        <f aca="false">SUM(BR27:CC27)</f>
        <v>0</v>
      </c>
      <c r="CF27" s="20" t="n">
        <f aca="false">IF(CF26&gt;1,DE26,CF26)</f>
        <v>27175.5860501095</v>
      </c>
      <c r="CG27" s="20" t="n">
        <f aca="false">IF(CF27&gt;PR_BalDone,CF27+CF27*(F_MR/12)-MIN(F_MortPayM,CF27+CF27*(F_MR/12)),CF27)</f>
        <v>26082.7743886869</v>
      </c>
      <c r="CH27" s="20" t="n">
        <f aca="false">IF(CG27&gt;PR_BalDone,CG27+CG27*(F_MR/12)-MIN(F_MortPayM,CG27+CG27*(F_MR/12)),CG27)</f>
        <v>24986.456623184</v>
      </c>
      <c r="CI27" s="20" t="n">
        <f aca="false">IF(CH27&gt;PR_BalDone,CH27+CH27*(F_MR/12)-MIN(F_MortPayM,CH27+CH27*(F_MR/12)),CH27)</f>
        <v>23886.62150485</v>
      </c>
      <c r="CJ27" s="20" t="n">
        <f aca="false">IF(CI27&gt;PR_BalDone,CI27+CI27*(F_MR/12)-MIN(F_MortPayM,CI27+CI27*(F_MR/12)),CI27)</f>
        <v>22783.2577488447</v>
      </c>
      <c r="CK27" s="20" t="n">
        <f aca="false">IF(CJ27&gt;PR_BalDone,CJ27+CJ27*(F_MR/12)-MIN(F_MortPayM,CJ27+CJ27*(F_MR/12)),CJ27)</f>
        <v>21676.3540341223</v>
      </c>
      <c r="CL27" s="20" t="n">
        <f aca="false">IF(CK27&gt;PR_BalDone,CK27+CK27*(F_MR/12)-MIN(F_MortPayM,CK27+CK27*(F_MR/12)),CK27)</f>
        <v>20565.8990033151</v>
      </c>
      <c r="CM27" s="20" t="n">
        <f aca="false">IF(CL27&gt;PR_BalDone,CL27+CL27*(F_MR/12)-MIN(F_MortPayM,CL27+CL27*(F_MR/12)),CL27)</f>
        <v>19451.8812626174</v>
      </c>
      <c r="CN27" s="20" t="n">
        <f aca="false">IF(CM27&gt;PR_BalDone,CM27+CM27*(F_MR/12)-MIN(F_MortPayM,CM27+CM27*(F_MR/12)),CM27)</f>
        <v>18334.2893816683</v>
      </c>
      <c r="CO27" s="20" t="n">
        <f aca="false">IF(CN27&gt;PR_BalDone,CN27+CN27*(F_MR/12)-MIN(F_MortPayM,CN27+CN27*(F_MR/12)),CN27)</f>
        <v>17213.1118934345</v>
      </c>
      <c r="CP27" s="20" t="n">
        <f aca="false">IF(CO27&gt;PR_BalDone,CO27+CO27*(F_MR/12)-MIN(F_MortPayM,CO27+CO27*(F_MR/12)),CO27)</f>
        <v>16088.3372940926</v>
      </c>
      <c r="CQ27" s="20" t="n">
        <f aca="false">IF(CP27&gt;PR_BalDone,CP27+CP27*(F_MR/12)-MIN(F_MortPayM,CP27+CP27*(F_MR/12)),CP27)</f>
        <v>14959.9540429111</v>
      </c>
      <c r="CR27" s="20" t="n">
        <f aca="false">IF(CQ27&gt;PR_BalDone,CQ27+CQ27*(F_MR/12)-MIN(F_MortPayM,CQ27+CQ27*(F_MR/12)),CQ27)</f>
        <v>13827.9505621321</v>
      </c>
      <c r="CS27" s="20" t="n">
        <f aca="false">IF(CF27&gt;PR_BalDone,MIN(F_MortPayM,CF27+CF27*(F_MR/12)),0)</f>
        <v>1180</v>
      </c>
      <c r="CT27" s="20" t="n">
        <f aca="false">IF(CG27&gt;PR_BalDone,MIN(F_MortPayM,CG27+CG27*(F_MR/12)),0)</f>
        <v>1180</v>
      </c>
      <c r="CU27" s="20" t="n">
        <f aca="false">IF(CH27&gt;PR_BalDone,MIN(F_MortPayM,CH27+CH27*(F_MR/12)),0)</f>
        <v>1180</v>
      </c>
      <c r="CV27" s="20" t="n">
        <f aca="false">IF(CI27&gt;PR_BalDone,MIN(F_MortPayM,CI27+CI27*(F_MR/12)),0)</f>
        <v>1180</v>
      </c>
      <c r="CW27" s="20" t="n">
        <f aca="false">IF(CJ27&gt;PR_BalDone,MIN(F_MortPayM,CJ27+CJ27*(F_MR/12)),0)</f>
        <v>1180</v>
      </c>
      <c r="CX27" s="20" t="n">
        <f aca="false">IF(CK27&gt;PR_BalDone,MIN(F_MortPayM,CK27+CK27*(F_MR/12)),0)</f>
        <v>1180</v>
      </c>
      <c r="CY27" s="20" t="n">
        <f aca="false">IF(CL27&gt;PR_BalDone,MIN(F_MortPayM,CL27+CL27*(F_MR/12)),0)</f>
        <v>1180</v>
      </c>
      <c r="CZ27" s="20" t="n">
        <f aca="false">IF(CM27&gt;PR_BalDone,MIN(F_MortPayM,CM27+CM27*(F_MR/12)),0)</f>
        <v>1180</v>
      </c>
      <c r="DA27" s="20" t="n">
        <f aca="false">IF(CN27&gt;PR_BalDone,MIN(F_MortPayM,CN27+CN27*(F_MR/12)),0)</f>
        <v>1180</v>
      </c>
      <c r="DB27" s="20" t="n">
        <f aca="false">IF(CO27&gt;PR_BalDone,MIN(F_MortPayM,CO27+CO27*(F_MR/12)),0)</f>
        <v>1180</v>
      </c>
      <c r="DC27" s="20" t="n">
        <f aca="false">IF(CP27&gt;PR_BalDone,MIN(F_MortPayM,CP27+CP27*(F_MR/12)),0)</f>
        <v>1180</v>
      </c>
      <c r="DD27" s="20" t="n">
        <f aca="false">IF(CQ27&gt;PR_BalDone,MIN(F_MortPayM,CQ27+CQ27*(F_MR/12)),0)</f>
        <v>1180</v>
      </c>
      <c r="DE27" s="20" t="n">
        <f aca="false">MAX(0,CR27)</f>
        <v>13827.9505621321</v>
      </c>
      <c r="DF27" s="20" t="n">
        <f aca="false">SUM(CS27:DD27)</f>
        <v>14160</v>
      </c>
      <c r="DG27" s="20" t="n">
        <f aca="false">MAX(0,CF27)</f>
        <v>27175.5860501095</v>
      </c>
    </row>
    <row r="28" customFormat="false" ht="15" hidden="false" customHeight="true" outlineLevel="0" collapsed="false">
      <c r="B28" s="20" t="n">
        <v>20</v>
      </c>
      <c r="C28" s="20" t="n">
        <f aca="false">'Plan cashflow'!J28</f>
        <v>0</v>
      </c>
      <c r="D28" s="20" t="n">
        <f aca="false">IF(C28&gt;PR_BalDone,C28+C28*(F_MR/12)-MIN(F_MortPayM,C28+C28*(F_MR/12)),C28)</f>
        <v>0</v>
      </c>
      <c r="E28" s="20" t="n">
        <f aca="false">IF(D28&gt;PR_BalDone,D28+D28*(F_MR/12)-MIN(F_MortPayM,D28+D28*(F_MR/12)),D28)</f>
        <v>0</v>
      </c>
      <c r="F28" s="20" t="n">
        <f aca="false">IF(E28&gt;PR_BalDone,E28+E28*(F_MR/12)-MIN(F_MortPayM,E28+E28*(F_MR/12)),E28)</f>
        <v>0</v>
      </c>
      <c r="G28" s="20" t="n">
        <f aca="false">IF(F28&gt;PR_BalDone,F28+F28*(F_MR/12)-MIN(F_MortPayM,F28+F28*(F_MR/12)),F28)</f>
        <v>0</v>
      </c>
      <c r="H28" s="20" t="n">
        <f aca="false">IF(G28&gt;PR_BalDone,G28+G28*(F_MR/12)-MIN(F_MortPayM,G28+G28*(F_MR/12)),G28)</f>
        <v>0</v>
      </c>
      <c r="I28" s="20" t="n">
        <f aca="false">IF(H28&gt;PR_BalDone,H28+H28*(F_MR/12)-MIN(F_MortPayM,H28+H28*(F_MR/12)),H28)</f>
        <v>0</v>
      </c>
      <c r="J28" s="20" t="n">
        <f aca="false">IF(I28&gt;PR_BalDone,I28+I28*(F_MR/12)-MIN(F_MortPayM,I28+I28*(F_MR/12)),I28)</f>
        <v>0</v>
      </c>
      <c r="K28" s="20" t="n">
        <f aca="false">IF(J28&gt;PR_BalDone,J28+J28*(F_MR/12)-MIN(F_MortPayM,J28+J28*(F_MR/12)),J28)</f>
        <v>0</v>
      </c>
      <c r="L28" s="20" t="n">
        <f aca="false">IF(K28&gt;PR_BalDone,K28+K28*(F_MR/12)-MIN(F_MortPayM,K28+K28*(F_MR/12)),K28)</f>
        <v>0</v>
      </c>
      <c r="M28" s="20" t="n">
        <f aca="false">IF(L28&gt;PR_BalDone,L28+L28*(F_MR/12)-MIN(F_MortPayM,L28+L28*(F_MR/12)),L28)</f>
        <v>0</v>
      </c>
      <c r="N28" s="20" t="n">
        <f aca="false">IF(M28&gt;PR_BalDone,M28+M28*(F_MR/12)-MIN(F_MortPayM,M28+M28*(F_MR/12)),M28)</f>
        <v>0</v>
      </c>
      <c r="O28" s="20" t="n">
        <f aca="false">IF(N28&gt;PR_BalDone,N28+N28*(F_MR/12)-MIN(F_MortPayM,N28+N28*(F_MR/12)),N28)</f>
        <v>0</v>
      </c>
      <c r="P28" s="20" t="n">
        <f aca="false">IF(C28&gt;PR_BalDone,MIN(F_MortPayM,C28+C28*(F_MR/12)),0)</f>
        <v>0</v>
      </c>
      <c r="Q28" s="20" t="n">
        <f aca="false">IF(D28&gt;PR_BalDone,MIN(F_MortPayM,D28+D28*(F_MR/12)),0)</f>
        <v>0</v>
      </c>
      <c r="R28" s="20" t="n">
        <f aca="false">IF(E28&gt;PR_BalDone,MIN(F_MortPayM,E28+E28*(F_MR/12)),0)</f>
        <v>0</v>
      </c>
      <c r="S28" s="20" t="n">
        <f aca="false">IF(F28&gt;PR_BalDone,MIN(F_MortPayM,F28+F28*(F_MR/12)),0)</f>
        <v>0</v>
      </c>
      <c r="T28" s="20" t="n">
        <f aca="false">IF(G28&gt;PR_BalDone,MIN(F_MortPayM,G28+G28*(F_MR/12)),0)</f>
        <v>0</v>
      </c>
      <c r="U28" s="20" t="n">
        <f aca="false">IF(H28&gt;PR_BalDone,MIN(F_MortPayM,H28+H28*(F_MR/12)),0)</f>
        <v>0</v>
      </c>
      <c r="V28" s="20" t="n">
        <f aca="false">IF(I28&gt;PR_BalDone,MIN(F_MortPayM,I28+I28*(F_MR/12)),0)</f>
        <v>0</v>
      </c>
      <c r="W28" s="20" t="n">
        <f aca="false">IF(J28&gt;PR_BalDone,MIN(F_MortPayM,J28+J28*(F_MR/12)),0)</f>
        <v>0</v>
      </c>
      <c r="X28" s="20" t="n">
        <f aca="false">IF(K28&gt;PR_BalDone,MIN(F_MortPayM,K28+K28*(F_MR/12)),0)</f>
        <v>0</v>
      </c>
      <c r="Y28" s="20" t="n">
        <f aca="false">IF(L28&gt;PR_BalDone,MIN(F_MortPayM,L28+L28*(F_MR/12)),0)</f>
        <v>0</v>
      </c>
      <c r="Z28" s="20" t="n">
        <f aca="false">IF(M28&gt;PR_BalDone,MIN(F_MortPayM,M28+M28*(F_MR/12)),0)</f>
        <v>0</v>
      </c>
      <c r="AA28" s="20" t="n">
        <f aca="false">IF(N28&gt;PR_BalDone,MIN(F_MortPayM,N28+N28*(F_MR/12)),0)</f>
        <v>0</v>
      </c>
      <c r="AB28" s="20" t="n">
        <f aca="false">MAX(0,O28)</f>
        <v>0</v>
      </c>
      <c r="AC28" s="20" t="n">
        <f aca="false">SUM(P28:AA28)</f>
        <v>0</v>
      </c>
      <c r="AD28" s="20" t="n">
        <f aca="false">'Plan cashflow'!M28</f>
        <v>0</v>
      </c>
      <c r="AE28" s="20" t="n">
        <f aca="false">IF(AD28&gt;PR_BalDone,AD28+AD28*(D_iC)-MIN(F_CardPayM,AD28+AD28*(D_iC)),AD28)</f>
        <v>0</v>
      </c>
      <c r="AF28" s="20" t="n">
        <f aca="false">IF(AE28&gt;PR_BalDone,AE28+AE28*(D_iC)-MIN(F_CardPayM,AE28+AE28*(D_iC)),AE28)</f>
        <v>0</v>
      </c>
      <c r="AG28" s="20" t="n">
        <f aca="false">IF(AF28&gt;PR_BalDone,AF28+AF28*(D_iC)-MIN(F_CardPayM,AF28+AF28*(D_iC)),AF28)</f>
        <v>0</v>
      </c>
      <c r="AH28" s="20" t="n">
        <f aca="false">IF(AG28&gt;PR_BalDone,AG28+AG28*(D_iC)-MIN(F_CardPayM,AG28+AG28*(D_iC)),AG28)</f>
        <v>0</v>
      </c>
      <c r="AI28" s="20" t="n">
        <f aca="false">IF(AH28&gt;PR_BalDone,AH28+AH28*(D_iC)-MIN(F_CardPayM,AH28+AH28*(D_iC)),AH28)</f>
        <v>0</v>
      </c>
      <c r="AJ28" s="20" t="n">
        <f aca="false">IF(AI28&gt;PR_BalDone,AI28+AI28*(D_iC)-MIN(F_CardPayM,AI28+AI28*(D_iC)),AI28)</f>
        <v>0</v>
      </c>
      <c r="AK28" s="20" t="n">
        <f aca="false">IF(AJ28&gt;PR_BalDone,AJ28+AJ28*(D_iC)-MIN(F_CardPayM,AJ28+AJ28*(D_iC)),AJ28)</f>
        <v>0</v>
      </c>
      <c r="AL28" s="20" t="n">
        <f aca="false">IF(AK28&gt;PR_BalDone,AK28+AK28*(D_iC)-MIN(F_CardPayM,AK28+AK28*(D_iC)),AK28)</f>
        <v>0</v>
      </c>
      <c r="AM28" s="20" t="n">
        <f aca="false">IF(AL28&gt;PR_BalDone,AL28+AL28*(D_iC)-MIN(F_CardPayM,AL28+AL28*(D_iC)),AL28)</f>
        <v>0</v>
      </c>
      <c r="AN28" s="20" t="n">
        <f aca="false">IF(AM28&gt;PR_BalDone,AM28+AM28*(D_iC)-MIN(F_CardPayM,AM28+AM28*(D_iC)),AM28)</f>
        <v>0</v>
      </c>
      <c r="AO28" s="20" t="n">
        <f aca="false">IF(AN28&gt;PR_BalDone,AN28+AN28*(D_iC)-MIN(F_CardPayM,AN28+AN28*(D_iC)),AN28)</f>
        <v>0</v>
      </c>
      <c r="AP28" s="20" t="n">
        <f aca="false">IF(AO28&gt;PR_BalDone,AO28+AO28*(D_iC)-MIN(F_CardPayM,AO28+AO28*(D_iC)),AO28)</f>
        <v>0</v>
      </c>
      <c r="AQ28" s="20" t="n">
        <f aca="false">IF(AD28&gt;PR_BalDone,MIN(F_CardPayM,AD28+AD28*(D_iC)),0)</f>
        <v>0</v>
      </c>
      <c r="AR28" s="20" t="n">
        <f aca="false">IF(AE28&gt;PR_BalDone,MIN(F_CardPayM,AE28+AE28*(D_iC)),0)</f>
        <v>0</v>
      </c>
      <c r="AS28" s="20" t="n">
        <f aca="false">IF(AF28&gt;PR_BalDone,MIN(F_CardPayM,AF28+AF28*(D_iC)),0)</f>
        <v>0</v>
      </c>
      <c r="AT28" s="20" t="n">
        <f aca="false">IF(AG28&gt;PR_BalDone,MIN(F_CardPayM,AG28+AG28*(D_iC)),0)</f>
        <v>0</v>
      </c>
      <c r="AU28" s="20" t="n">
        <f aca="false">IF(AH28&gt;PR_BalDone,MIN(F_CardPayM,AH28+AH28*(D_iC)),0)</f>
        <v>0</v>
      </c>
      <c r="AV28" s="20" t="n">
        <f aca="false">IF(AI28&gt;PR_BalDone,MIN(F_CardPayM,AI28+AI28*(D_iC)),0)</f>
        <v>0</v>
      </c>
      <c r="AW28" s="20" t="n">
        <f aca="false">IF(AJ28&gt;PR_BalDone,MIN(F_CardPayM,AJ28+AJ28*(D_iC)),0)</f>
        <v>0</v>
      </c>
      <c r="AX28" s="20" t="n">
        <f aca="false">IF(AK28&gt;PR_BalDone,MIN(F_CardPayM,AK28+AK28*(D_iC)),0)</f>
        <v>0</v>
      </c>
      <c r="AY28" s="20" t="n">
        <f aca="false">IF(AL28&gt;PR_BalDone,MIN(F_CardPayM,AL28+AL28*(D_iC)),0)</f>
        <v>0</v>
      </c>
      <c r="AZ28" s="20" t="n">
        <f aca="false">IF(AM28&gt;PR_BalDone,MIN(F_CardPayM,AM28+AM28*(D_iC)),0)</f>
        <v>0</v>
      </c>
      <c r="BA28" s="20" t="n">
        <f aca="false">IF(AN28&gt;PR_BalDone,MIN(F_CardPayM,AN28+AN28*(D_iC)),0)</f>
        <v>0</v>
      </c>
      <c r="BB28" s="20" t="n">
        <f aca="false">IF(AO28&gt;PR_BalDone,MIN(F_CardPayM,AO28+AO28*(D_iC)),0)</f>
        <v>0</v>
      </c>
      <c r="BC28" s="20" t="n">
        <f aca="false">MAX(0,AP28)</f>
        <v>0</v>
      </c>
      <c r="BD28" s="20" t="n">
        <f aca="false">SUM(AQ28:BB28)</f>
        <v>0</v>
      </c>
      <c r="BE28" s="20" t="n">
        <f aca="false">'Plan cashflow'!P28</f>
        <v>0</v>
      </c>
      <c r="BF28" s="20" t="n">
        <f aca="false">IF(BE28&gt;PR_BalDone,BE28+BE28*(D_iL)-MIN(F_LoanPayM,BE28+BE28*(D_iL)),BE28)</f>
        <v>0</v>
      </c>
      <c r="BG28" s="20" t="n">
        <f aca="false">IF(BF28&gt;PR_BalDone,BF28+BF28*(D_iL)-MIN(F_LoanPayM,BF28+BF28*(D_iL)),BF28)</f>
        <v>0</v>
      </c>
      <c r="BH28" s="20" t="n">
        <f aca="false">IF(BG28&gt;PR_BalDone,BG28+BG28*(D_iL)-MIN(F_LoanPayM,BG28+BG28*(D_iL)),BG28)</f>
        <v>0</v>
      </c>
      <c r="BI28" s="20" t="n">
        <f aca="false">IF(BH28&gt;PR_BalDone,BH28+BH28*(D_iL)-MIN(F_LoanPayM,BH28+BH28*(D_iL)),BH28)</f>
        <v>0</v>
      </c>
      <c r="BJ28" s="20" t="n">
        <f aca="false">IF(BI28&gt;PR_BalDone,BI28+BI28*(D_iL)-MIN(F_LoanPayM,BI28+BI28*(D_iL)),BI28)</f>
        <v>0</v>
      </c>
      <c r="BK28" s="20" t="n">
        <f aca="false">IF(BJ28&gt;PR_BalDone,BJ28+BJ28*(D_iL)-MIN(F_LoanPayM,BJ28+BJ28*(D_iL)),BJ28)</f>
        <v>0</v>
      </c>
      <c r="BL28" s="20" t="n">
        <f aca="false">IF(BK28&gt;PR_BalDone,BK28+BK28*(D_iL)-MIN(F_LoanPayM,BK28+BK28*(D_iL)),BK28)</f>
        <v>0</v>
      </c>
      <c r="BM28" s="20" t="n">
        <f aca="false">IF(BL28&gt;PR_BalDone,BL28+BL28*(D_iL)-MIN(F_LoanPayM,BL28+BL28*(D_iL)),BL28)</f>
        <v>0</v>
      </c>
      <c r="BN28" s="20" t="n">
        <f aca="false">IF(BM28&gt;PR_BalDone,BM28+BM28*(D_iL)-MIN(F_LoanPayM,BM28+BM28*(D_iL)),BM28)</f>
        <v>0</v>
      </c>
      <c r="BO28" s="20" t="n">
        <f aca="false">IF(BN28&gt;PR_BalDone,BN28+BN28*(D_iL)-MIN(F_LoanPayM,BN28+BN28*(D_iL)),BN28)</f>
        <v>0</v>
      </c>
      <c r="BP28" s="20" t="n">
        <f aca="false">IF(BO28&gt;PR_BalDone,BO28+BO28*(D_iL)-MIN(F_LoanPayM,BO28+BO28*(D_iL)),BO28)</f>
        <v>0</v>
      </c>
      <c r="BQ28" s="20" t="n">
        <f aca="false">IF(BP28&gt;PR_BalDone,BP28+BP28*(D_iL)-MIN(F_LoanPayM,BP28+BP28*(D_iL)),BP28)</f>
        <v>0</v>
      </c>
      <c r="BR28" s="20" t="n">
        <f aca="false">IF(BE28&gt;PR_BalDone,MIN(F_LoanPayM,BE28+BE28*(D_iL)),0)</f>
        <v>0</v>
      </c>
      <c r="BS28" s="20" t="n">
        <f aca="false">IF(BF28&gt;PR_BalDone,MIN(F_LoanPayM,BF28+BF28*(D_iL)),0)</f>
        <v>0</v>
      </c>
      <c r="BT28" s="20" t="n">
        <f aca="false">IF(BG28&gt;PR_BalDone,MIN(F_LoanPayM,BG28+BG28*(D_iL)),0)</f>
        <v>0</v>
      </c>
      <c r="BU28" s="20" t="n">
        <f aca="false">IF(BH28&gt;PR_BalDone,MIN(F_LoanPayM,BH28+BH28*(D_iL)),0)</f>
        <v>0</v>
      </c>
      <c r="BV28" s="20" t="n">
        <f aca="false">IF(BI28&gt;PR_BalDone,MIN(F_LoanPayM,BI28+BI28*(D_iL)),0)</f>
        <v>0</v>
      </c>
      <c r="BW28" s="20" t="n">
        <f aca="false">IF(BJ28&gt;PR_BalDone,MIN(F_LoanPayM,BJ28+BJ28*(D_iL)),0)</f>
        <v>0</v>
      </c>
      <c r="BX28" s="20" t="n">
        <f aca="false">IF(BK28&gt;PR_BalDone,MIN(F_LoanPayM,BK28+BK28*(D_iL)),0)</f>
        <v>0</v>
      </c>
      <c r="BY28" s="20" t="n">
        <f aca="false">IF(BL28&gt;PR_BalDone,MIN(F_LoanPayM,BL28+BL28*(D_iL)),0)</f>
        <v>0</v>
      </c>
      <c r="BZ28" s="20" t="n">
        <f aca="false">IF(BM28&gt;PR_BalDone,MIN(F_LoanPayM,BM28+BM28*(D_iL)),0)</f>
        <v>0</v>
      </c>
      <c r="CA28" s="20" t="n">
        <f aca="false">IF(BN28&gt;PR_BalDone,MIN(F_LoanPayM,BN28+BN28*(D_iL)),0)</f>
        <v>0</v>
      </c>
      <c r="CB28" s="20" t="n">
        <f aca="false">IF(BO28&gt;PR_BalDone,MIN(F_LoanPayM,BO28+BO28*(D_iL)),0)</f>
        <v>0</v>
      </c>
      <c r="CC28" s="20" t="n">
        <f aca="false">IF(BP28&gt;PR_BalDone,MIN(F_LoanPayM,BP28+BP28*(D_iL)),0)</f>
        <v>0</v>
      </c>
      <c r="CD28" s="20" t="n">
        <f aca="false">MAX(0,BQ28)</f>
        <v>0</v>
      </c>
      <c r="CE28" s="20" t="n">
        <f aca="false">SUM(BR28:CC28)</f>
        <v>0</v>
      </c>
      <c r="CF28" s="20" t="n">
        <f aca="false">IF(CF27&gt;1,DE27,CF27)</f>
        <v>13827.9505621321</v>
      </c>
      <c r="CG28" s="20" t="n">
        <f aca="false">IF(CF28&gt;PR_BalDone,CF28+CF28*(F_MR/12)-MIN(F_MortPayM,CF28+CF28*(F_MR/12)),CF28)</f>
        <v>12692.3152368523</v>
      </c>
      <c r="CH28" s="20" t="n">
        <f aca="false">IF(CG28&gt;PR_BalDone,CG28+CG28*(F_MR/12)-MIN(F_MortPayM,CG28+CG28*(F_MR/12)),CG28)</f>
        <v>11553.0364149039</v>
      </c>
      <c r="CI28" s="20" t="n">
        <f aca="false">IF(CH28&gt;PR_BalDone,CH28+CH28*(F_MR/12)-MIN(F_MortPayM,CH28+CH28*(F_MR/12)),CH28)</f>
        <v>10410.102406735</v>
      </c>
      <c r="CJ28" s="20" t="n">
        <f aca="false">IF(CI28&gt;PR_BalDone,CI28+CI28*(F_MR/12)-MIN(F_MortPayM,CI28+CI28*(F_MR/12)),CI28)</f>
        <v>9263.50148528996</v>
      </c>
      <c r="CK28" s="20" t="n">
        <f aca="false">IF(CJ28&gt;PR_BalDone,CJ28+CJ28*(F_MR/12)-MIN(F_MortPayM,CJ28+CJ28*(F_MR/12)),CJ28)</f>
        <v>8113.2218858886</v>
      </c>
      <c r="CL28" s="20" t="n">
        <f aca="false">IF(CK28&gt;PR_BalDone,CK28+CK28*(F_MR/12)-MIN(F_MortPayM,CK28+CK28*(F_MR/12)),CK28)</f>
        <v>6959.25180610582</v>
      </c>
      <c r="CM28" s="20" t="n">
        <f aca="false">IF(CL28&gt;PR_BalDone,CL28+CL28*(F_MR/12)-MIN(F_MortPayM,CL28+CL28*(F_MR/12)),CL28)</f>
        <v>5801.57940565041</v>
      </c>
      <c r="CN28" s="20" t="n">
        <f aca="false">IF(CM28&gt;PR_BalDone,CM28+CM28*(F_MR/12)-MIN(F_MortPayM,CM28+CM28*(F_MR/12)),CM28)</f>
        <v>4640.19280624354</v>
      </c>
      <c r="CO28" s="20" t="n">
        <f aca="false">IF(CN28&gt;PR_BalDone,CN28+CN28*(F_MR/12)-MIN(F_MortPayM,CN28+CN28*(F_MR/12)),CN28)</f>
        <v>3475.0800914969</v>
      </c>
      <c r="CP28" s="20" t="n">
        <f aca="false">IF(CO28&gt;PR_BalDone,CO28+CO28*(F_MR/12)-MIN(F_MortPayM,CO28+CO28*(F_MR/12)),CO28)</f>
        <v>2306.22930679046</v>
      </c>
      <c r="CQ28" s="20" t="n">
        <f aca="false">IF(CP28&gt;PR_BalDone,CP28+CP28*(F_MR/12)-MIN(F_MortPayM,CP28+CP28*(F_MR/12)),CP28)</f>
        <v>1133.62845914974</v>
      </c>
      <c r="CR28" s="20" t="n">
        <f aca="false">IF(CQ28&gt;PR_BalDone,CQ28+CQ28*(F_MR/12)-MIN(F_MortPayM,CQ28+CQ28*(F_MR/12)),CQ28)</f>
        <v>0</v>
      </c>
      <c r="CS28" s="20" t="n">
        <f aca="false">IF(CF28&gt;PR_BalDone,MIN(F_MortPayM,CF28+CF28*(F_MR/12)),0)</f>
        <v>1180</v>
      </c>
      <c r="CT28" s="20" t="n">
        <f aca="false">IF(CG28&gt;PR_BalDone,MIN(F_MortPayM,CG28+CG28*(F_MR/12)),0)</f>
        <v>1180</v>
      </c>
      <c r="CU28" s="20" t="n">
        <f aca="false">IF(CH28&gt;PR_BalDone,MIN(F_MortPayM,CH28+CH28*(F_MR/12)),0)</f>
        <v>1180</v>
      </c>
      <c r="CV28" s="20" t="n">
        <f aca="false">IF(CI28&gt;PR_BalDone,MIN(F_MortPayM,CI28+CI28*(F_MR/12)),0)</f>
        <v>1180</v>
      </c>
      <c r="CW28" s="20" t="n">
        <f aca="false">IF(CJ28&gt;PR_BalDone,MIN(F_MortPayM,CJ28+CJ28*(F_MR/12)),0)</f>
        <v>1180</v>
      </c>
      <c r="CX28" s="20" t="n">
        <f aca="false">IF(CK28&gt;PR_BalDone,MIN(F_MortPayM,CK28+CK28*(F_MR/12)),0)</f>
        <v>1180</v>
      </c>
      <c r="CY28" s="20" t="n">
        <f aca="false">IF(CL28&gt;PR_BalDone,MIN(F_MortPayM,CL28+CL28*(F_MR/12)),0)</f>
        <v>1180</v>
      </c>
      <c r="CZ28" s="20" t="n">
        <f aca="false">IF(CM28&gt;PR_BalDone,MIN(F_MortPayM,CM28+CM28*(F_MR/12)),0)</f>
        <v>1180</v>
      </c>
      <c r="DA28" s="20" t="n">
        <f aca="false">IF(CN28&gt;PR_BalDone,MIN(F_MortPayM,CN28+CN28*(F_MR/12)),0)</f>
        <v>1180</v>
      </c>
      <c r="DB28" s="20" t="n">
        <f aca="false">IF(CO28&gt;PR_BalDone,MIN(F_MortPayM,CO28+CO28*(F_MR/12)),0)</f>
        <v>1180</v>
      </c>
      <c r="DC28" s="20" t="n">
        <f aca="false">IF(CP28&gt;PR_BalDone,MIN(F_MortPayM,CP28+CP28*(F_MR/12)),0)</f>
        <v>1180</v>
      </c>
      <c r="DD28" s="20" t="n">
        <f aca="false">IF(CQ28&gt;PR_BalDone,MIN(F_MortPayM,CQ28+CQ28*(F_MR/12)),0)</f>
        <v>1137.26551712285</v>
      </c>
      <c r="DE28" s="20" t="n">
        <f aca="false">MAX(0,CR28)</f>
        <v>0</v>
      </c>
      <c r="DF28" s="20" t="n">
        <f aca="false">SUM(CS28:DD28)</f>
        <v>14117.2655171228</v>
      </c>
      <c r="DG28" s="20" t="n">
        <f aca="false">MAX(0,CF28)</f>
        <v>13827.9505621321</v>
      </c>
    </row>
    <row r="29" customFormat="false" ht="15" hidden="false" customHeight="true" outlineLevel="0" collapsed="false">
      <c r="B29" s="20" t="n">
        <v>21</v>
      </c>
      <c r="C29" s="20" t="n">
        <f aca="false">'Plan cashflow'!J29</f>
        <v>0</v>
      </c>
      <c r="D29" s="20" t="n">
        <f aca="false">IF(C29&gt;PR_BalDone,C29+C29*(F_MR/12)-MIN(F_MortPayM,C29+C29*(F_MR/12)),C29)</f>
        <v>0</v>
      </c>
      <c r="E29" s="20" t="n">
        <f aca="false">IF(D29&gt;PR_BalDone,D29+D29*(F_MR/12)-MIN(F_MortPayM,D29+D29*(F_MR/12)),D29)</f>
        <v>0</v>
      </c>
      <c r="F29" s="20" t="n">
        <f aca="false">IF(E29&gt;PR_BalDone,E29+E29*(F_MR/12)-MIN(F_MortPayM,E29+E29*(F_MR/12)),E29)</f>
        <v>0</v>
      </c>
      <c r="G29" s="20" t="n">
        <f aca="false">IF(F29&gt;PR_BalDone,F29+F29*(F_MR/12)-MIN(F_MortPayM,F29+F29*(F_MR/12)),F29)</f>
        <v>0</v>
      </c>
      <c r="H29" s="20" t="n">
        <f aca="false">IF(G29&gt;PR_BalDone,G29+G29*(F_MR/12)-MIN(F_MortPayM,G29+G29*(F_MR/12)),G29)</f>
        <v>0</v>
      </c>
      <c r="I29" s="20" t="n">
        <f aca="false">IF(H29&gt;PR_BalDone,H29+H29*(F_MR/12)-MIN(F_MortPayM,H29+H29*(F_MR/12)),H29)</f>
        <v>0</v>
      </c>
      <c r="J29" s="20" t="n">
        <f aca="false">IF(I29&gt;PR_BalDone,I29+I29*(F_MR/12)-MIN(F_MortPayM,I29+I29*(F_MR/12)),I29)</f>
        <v>0</v>
      </c>
      <c r="K29" s="20" t="n">
        <f aca="false">IF(J29&gt;PR_BalDone,J29+J29*(F_MR/12)-MIN(F_MortPayM,J29+J29*(F_MR/12)),J29)</f>
        <v>0</v>
      </c>
      <c r="L29" s="20" t="n">
        <f aca="false">IF(K29&gt;PR_BalDone,K29+K29*(F_MR/12)-MIN(F_MortPayM,K29+K29*(F_MR/12)),K29)</f>
        <v>0</v>
      </c>
      <c r="M29" s="20" t="n">
        <f aca="false">IF(L29&gt;PR_BalDone,L29+L29*(F_MR/12)-MIN(F_MortPayM,L29+L29*(F_MR/12)),L29)</f>
        <v>0</v>
      </c>
      <c r="N29" s="20" t="n">
        <f aca="false">IF(M29&gt;PR_BalDone,M29+M29*(F_MR/12)-MIN(F_MortPayM,M29+M29*(F_MR/12)),M29)</f>
        <v>0</v>
      </c>
      <c r="O29" s="20" t="n">
        <f aca="false">IF(N29&gt;PR_BalDone,N29+N29*(F_MR/12)-MIN(F_MortPayM,N29+N29*(F_MR/12)),N29)</f>
        <v>0</v>
      </c>
      <c r="P29" s="20" t="n">
        <f aca="false">IF(C29&gt;PR_BalDone,MIN(F_MortPayM,C29+C29*(F_MR/12)),0)</f>
        <v>0</v>
      </c>
      <c r="Q29" s="20" t="n">
        <f aca="false">IF(D29&gt;PR_BalDone,MIN(F_MortPayM,D29+D29*(F_MR/12)),0)</f>
        <v>0</v>
      </c>
      <c r="R29" s="20" t="n">
        <f aca="false">IF(E29&gt;PR_BalDone,MIN(F_MortPayM,E29+E29*(F_MR/12)),0)</f>
        <v>0</v>
      </c>
      <c r="S29" s="20" t="n">
        <f aca="false">IF(F29&gt;PR_BalDone,MIN(F_MortPayM,F29+F29*(F_MR/12)),0)</f>
        <v>0</v>
      </c>
      <c r="T29" s="20" t="n">
        <f aca="false">IF(G29&gt;PR_BalDone,MIN(F_MortPayM,G29+G29*(F_MR/12)),0)</f>
        <v>0</v>
      </c>
      <c r="U29" s="20" t="n">
        <f aca="false">IF(H29&gt;PR_BalDone,MIN(F_MortPayM,H29+H29*(F_MR/12)),0)</f>
        <v>0</v>
      </c>
      <c r="V29" s="20" t="n">
        <f aca="false">IF(I29&gt;PR_BalDone,MIN(F_MortPayM,I29+I29*(F_MR/12)),0)</f>
        <v>0</v>
      </c>
      <c r="W29" s="20" t="n">
        <f aca="false">IF(J29&gt;PR_BalDone,MIN(F_MortPayM,J29+J29*(F_MR/12)),0)</f>
        <v>0</v>
      </c>
      <c r="X29" s="20" t="n">
        <f aca="false">IF(K29&gt;PR_BalDone,MIN(F_MortPayM,K29+K29*(F_MR/12)),0)</f>
        <v>0</v>
      </c>
      <c r="Y29" s="20" t="n">
        <f aca="false">IF(L29&gt;PR_BalDone,MIN(F_MortPayM,L29+L29*(F_MR/12)),0)</f>
        <v>0</v>
      </c>
      <c r="Z29" s="20" t="n">
        <f aca="false">IF(M29&gt;PR_BalDone,MIN(F_MortPayM,M29+M29*(F_MR/12)),0)</f>
        <v>0</v>
      </c>
      <c r="AA29" s="20" t="n">
        <f aca="false">IF(N29&gt;PR_BalDone,MIN(F_MortPayM,N29+N29*(F_MR/12)),0)</f>
        <v>0</v>
      </c>
      <c r="AB29" s="20" t="n">
        <f aca="false">MAX(0,O29)</f>
        <v>0</v>
      </c>
      <c r="AC29" s="20" t="n">
        <f aca="false">SUM(P29:AA29)</f>
        <v>0</v>
      </c>
      <c r="AD29" s="20" t="n">
        <f aca="false">'Plan cashflow'!M29</f>
        <v>0</v>
      </c>
      <c r="AE29" s="20" t="n">
        <f aca="false">IF(AD29&gt;PR_BalDone,AD29+AD29*(D_iC)-MIN(F_CardPayM,AD29+AD29*(D_iC)),AD29)</f>
        <v>0</v>
      </c>
      <c r="AF29" s="20" t="n">
        <f aca="false">IF(AE29&gt;PR_BalDone,AE29+AE29*(D_iC)-MIN(F_CardPayM,AE29+AE29*(D_iC)),AE29)</f>
        <v>0</v>
      </c>
      <c r="AG29" s="20" t="n">
        <f aca="false">IF(AF29&gt;PR_BalDone,AF29+AF29*(D_iC)-MIN(F_CardPayM,AF29+AF29*(D_iC)),AF29)</f>
        <v>0</v>
      </c>
      <c r="AH29" s="20" t="n">
        <f aca="false">IF(AG29&gt;PR_BalDone,AG29+AG29*(D_iC)-MIN(F_CardPayM,AG29+AG29*(D_iC)),AG29)</f>
        <v>0</v>
      </c>
      <c r="AI29" s="20" t="n">
        <f aca="false">IF(AH29&gt;PR_BalDone,AH29+AH29*(D_iC)-MIN(F_CardPayM,AH29+AH29*(D_iC)),AH29)</f>
        <v>0</v>
      </c>
      <c r="AJ29" s="20" t="n">
        <f aca="false">IF(AI29&gt;PR_BalDone,AI29+AI29*(D_iC)-MIN(F_CardPayM,AI29+AI29*(D_iC)),AI29)</f>
        <v>0</v>
      </c>
      <c r="AK29" s="20" t="n">
        <f aca="false">IF(AJ29&gt;PR_BalDone,AJ29+AJ29*(D_iC)-MIN(F_CardPayM,AJ29+AJ29*(D_iC)),AJ29)</f>
        <v>0</v>
      </c>
      <c r="AL29" s="20" t="n">
        <f aca="false">IF(AK29&gt;PR_BalDone,AK29+AK29*(D_iC)-MIN(F_CardPayM,AK29+AK29*(D_iC)),AK29)</f>
        <v>0</v>
      </c>
      <c r="AM29" s="20" t="n">
        <f aca="false">IF(AL29&gt;PR_BalDone,AL29+AL29*(D_iC)-MIN(F_CardPayM,AL29+AL29*(D_iC)),AL29)</f>
        <v>0</v>
      </c>
      <c r="AN29" s="20" t="n">
        <f aca="false">IF(AM29&gt;PR_BalDone,AM29+AM29*(D_iC)-MIN(F_CardPayM,AM29+AM29*(D_iC)),AM29)</f>
        <v>0</v>
      </c>
      <c r="AO29" s="20" t="n">
        <f aca="false">IF(AN29&gt;PR_BalDone,AN29+AN29*(D_iC)-MIN(F_CardPayM,AN29+AN29*(D_iC)),AN29)</f>
        <v>0</v>
      </c>
      <c r="AP29" s="20" t="n">
        <f aca="false">IF(AO29&gt;PR_BalDone,AO29+AO29*(D_iC)-MIN(F_CardPayM,AO29+AO29*(D_iC)),AO29)</f>
        <v>0</v>
      </c>
      <c r="AQ29" s="20" t="n">
        <f aca="false">IF(AD29&gt;PR_BalDone,MIN(F_CardPayM,AD29+AD29*(D_iC)),0)</f>
        <v>0</v>
      </c>
      <c r="AR29" s="20" t="n">
        <f aca="false">IF(AE29&gt;PR_BalDone,MIN(F_CardPayM,AE29+AE29*(D_iC)),0)</f>
        <v>0</v>
      </c>
      <c r="AS29" s="20" t="n">
        <f aca="false">IF(AF29&gt;PR_BalDone,MIN(F_CardPayM,AF29+AF29*(D_iC)),0)</f>
        <v>0</v>
      </c>
      <c r="AT29" s="20" t="n">
        <f aca="false">IF(AG29&gt;PR_BalDone,MIN(F_CardPayM,AG29+AG29*(D_iC)),0)</f>
        <v>0</v>
      </c>
      <c r="AU29" s="20" t="n">
        <f aca="false">IF(AH29&gt;PR_BalDone,MIN(F_CardPayM,AH29+AH29*(D_iC)),0)</f>
        <v>0</v>
      </c>
      <c r="AV29" s="20" t="n">
        <f aca="false">IF(AI29&gt;PR_BalDone,MIN(F_CardPayM,AI29+AI29*(D_iC)),0)</f>
        <v>0</v>
      </c>
      <c r="AW29" s="20" t="n">
        <f aca="false">IF(AJ29&gt;PR_BalDone,MIN(F_CardPayM,AJ29+AJ29*(D_iC)),0)</f>
        <v>0</v>
      </c>
      <c r="AX29" s="20" t="n">
        <f aca="false">IF(AK29&gt;PR_BalDone,MIN(F_CardPayM,AK29+AK29*(D_iC)),0)</f>
        <v>0</v>
      </c>
      <c r="AY29" s="20" t="n">
        <f aca="false">IF(AL29&gt;PR_BalDone,MIN(F_CardPayM,AL29+AL29*(D_iC)),0)</f>
        <v>0</v>
      </c>
      <c r="AZ29" s="20" t="n">
        <f aca="false">IF(AM29&gt;PR_BalDone,MIN(F_CardPayM,AM29+AM29*(D_iC)),0)</f>
        <v>0</v>
      </c>
      <c r="BA29" s="20" t="n">
        <f aca="false">IF(AN29&gt;PR_BalDone,MIN(F_CardPayM,AN29+AN29*(D_iC)),0)</f>
        <v>0</v>
      </c>
      <c r="BB29" s="20" t="n">
        <f aca="false">IF(AO29&gt;PR_BalDone,MIN(F_CardPayM,AO29+AO29*(D_iC)),0)</f>
        <v>0</v>
      </c>
      <c r="BC29" s="20" t="n">
        <f aca="false">MAX(0,AP29)</f>
        <v>0</v>
      </c>
      <c r="BD29" s="20" t="n">
        <f aca="false">SUM(AQ29:BB29)</f>
        <v>0</v>
      </c>
      <c r="BE29" s="20" t="n">
        <f aca="false">'Plan cashflow'!P29</f>
        <v>0</v>
      </c>
      <c r="BF29" s="20" t="n">
        <f aca="false">IF(BE29&gt;PR_BalDone,BE29+BE29*(D_iL)-MIN(F_LoanPayM,BE29+BE29*(D_iL)),BE29)</f>
        <v>0</v>
      </c>
      <c r="BG29" s="20" t="n">
        <f aca="false">IF(BF29&gt;PR_BalDone,BF29+BF29*(D_iL)-MIN(F_LoanPayM,BF29+BF29*(D_iL)),BF29)</f>
        <v>0</v>
      </c>
      <c r="BH29" s="20" t="n">
        <f aca="false">IF(BG29&gt;PR_BalDone,BG29+BG29*(D_iL)-MIN(F_LoanPayM,BG29+BG29*(D_iL)),BG29)</f>
        <v>0</v>
      </c>
      <c r="BI29" s="20" t="n">
        <f aca="false">IF(BH29&gt;PR_BalDone,BH29+BH29*(D_iL)-MIN(F_LoanPayM,BH29+BH29*(D_iL)),BH29)</f>
        <v>0</v>
      </c>
      <c r="BJ29" s="20" t="n">
        <f aca="false">IF(BI29&gt;PR_BalDone,BI29+BI29*(D_iL)-MIN(F_LoanPayM,BI29+BI29*(D_iL)),BI29)</f>
        <v>0</v>
      </c>
      <c r="BK29" s="20" t="n">
        <f aca="false">IF(BJ29&gt;PR_BalDone,BJ29+BJ29*(D_iL)-MIN(F_LoanPayM,BJ29+BJ29*(D_iL)),BJ29)</f>
        <v>0</v>
      </c>
      <c r="BL29" s="20" t="n">
        <f aca="false">IF(BK29&gt;PR_BalDone,BK29+BK29*(D_iL)-MIN(F_LoanPayM,BK29+BK29*(D_iL)),BK29)</f>
        <v>0</v>
      </c>
      <c r="BM29" s="20" t="n">
        <f aca="false">IF(BL29&gt;PR_BalDone,BL29+BL29*(D_iL)-MIN(F_LoanPayM,BL29+BL29*(D_iL)),BL29)</f>
        <v>0</v>
      </c>
      <c r="BN29" s="20" t="n">
        <f aca="false">IF(BM29&gt;PR_BalDone,BM29+BM29*(D_iL)-MIN(F_LoanPayM,BM29+BM29*(D_iL)),BM29)</f>
        <v>0</v>
      </c>
      <c r="BO29" s="20" t="n">
        <f aca="false">IF(BN29&gt;PR_BalDone,BN29+BN29*(D_iL)-MIN(F_LoanPayM,BN29+BN29*(D_iL)),BN29)</f>
        <v>0</v>
      </c>
      <c r="BP29" s="20" t="n">
        <f aca="false">IF(BO29&gt;PR_BalDone,BO29+BO29*(D_iL)-MIN(F_LoanPayM,BO29+BO29*(D_iL)),BO29)</f>
        <v>0</v>
      </c>
      <c r="BQ29" s="20" t="n">
        <f aca="false">IF(BP29&gt;PR_BalDone,BP29+BP29*(D_iL)-MIN(F_LoanPayM,BP29+BP29*(D_iL)),BP29)</f>
        <v>0</v>
      </c>
      <c r="BR29" s="20" t="n">
        <f aca="false">IF(BE29&gt;PR_BalDone,MIN(F_LoanPayM,BE29+BE29*(D_iL)),0)</f>
        <v>0</v>
      </c>
      <c r="BS29" s="20" t="n">
        <f aca="false">IF(BF29&gt;PR_BalDone,MIN(F_LoanPayM,BF29+BF29*(D_iL)),0)</f>
        <v>0</v>
      </c>
      <c r="BT29" s="20" t="n">
        <f aca="false">IF(BG29&gt;PR_BalDone,MIN(F_LoanPayM,BG29+BG29*(D_iL)),0)</f>
        <v>0</v>
      </c>
      <c r="BU29" s="20" t="n">
        <f aca="false">IF(BH29&gt;PR_BalDone,MIN(F_LoanPayM,BH29+BH29*(D_iL)),0)</f>
        <v>0</v>
      </c>
      <c r="BV29" s="20" t="n">
        <f aca="false">IF(BI29&gt;PR_BalDone,MIN(F_LoanPayM,BI29+BI29*(D_iL)),0)</f>
        <v>0</v>
      </c>
      <c r="BW29" s="20" t="n">
        <f aca="false">IF(BJ29&gt;PR_BalDone,MIN(F_LoanPayM,BJ29+BJ29*(D_iL)),0)</f>
        <v>0</v>
      </c>
      <c r="BX29" s="20" t="n">
        <f aca="false">IF(BK29&gt;PR_BalDone,MIN(F_LoanPayM,BK29+BK29*(D_iL)),0)</f>
        <v>0</v>
      </c>
      <c r="BY29" s="20" t="n">
        <f aca="false">IF(BL29&gt;PR_BalDone,MIN(F_LoanPayM,BL29+BL29*(D_iL)),0)</f>
        <v>0</v>
      </c>
      <c r="BZ29" s="20" t="n">
        <f aca="false">IF(BM29&gt;PR_BalDone,MIN(F_LoanPayM,BM29+BM29*(D_iL)),0)</f>
        <v>0</v>
      </c>
      <c r="CA29" s="20" t="n">
        <f aca="false">IF(BN29&gt;PR_BalDone,MIN(F_LoanPayM,BN29+BN29*(D_iL)),0)</f>
        <v>0</v>
      </c>
      <c r="CB29" s="20" t="n">
        <f aca="false">IF(BO29&gt;PR_BalDone,MIN(F_LoanPayM,BO29+BO29*(D_iL)),0)</f>
        <v>0</v>
      </c>
      <c r="CC29" s="20" t="n">
        <f aca="false">IF(BP29&gt;PR_BalDone,MIN(F_LoanPayM,BP29+BP29*(D_iL)),0)</f>
        <v>0</v>
      </c>
      <c r="CD29" s="20" t="n">
        <f aca="false">MAX(0,BQ29)</f>
        <v>0</v>
      </c>
      <c r="CE29" s="20" t="n">
        <f aca="false">SUM(BR29:CC29)</f>
        <v>0</v>
      </c>
      <c r="CF29" s="20" t="n">
        <f aca="false">IF(CF28&gt;1,DE28,CF28)</f>
        <v>0</v>
      </c>
      <c r="CG29" s="20" t="n">
        <f aca="false">IF(CF29&gt;PR_BalDone,CF29+CF29*(F_MR/12)-MIN(F_MortPayM,CF29+CF29*(F_MR/12)),CF29)</f>
        <v>0</v>
      </c>
      <c r="CH29" s="20" t="n">
        <f aca="false">IF(CG29&gt;PR_BalDone,CG29+CG29*(F_MR/12)-MIN(F_MortPayM,CG29+CG29*(F_MR/12)),CG29)</f>
        <v>0</v>
      </c>
      <c r="CI29" s="20" t="n">
        <f aca="false">IF(CH29&gt;PR_BalDone,CH29+CH29*(F_MR/12)-MIN(F_MortPayM,CH29+CH29*(F_MR/12)),CH29)</f>
        <v>0</v>
      </c>
      <c r="CJ29" s="20" t="n">
        <f aca="false">IF(CI29&gt;PR_BalDone,CI29+CI29*(F_MR/12)-MIN(F_MortPayM,CI29+CI29*(F_MR/12)),CI29)</f>
        <v>0</v>
      </c>
      <c r="CK29" s="20" t="n">
        <f aca="false">IF(CJ29&gt;PR_BalDone,CJ29+CJ29*(F_MR/12)-MIN(F_MortPayM,CJ29+CJ29*(F_MR/12)),CJ29)</f>
        <v>0</v>
      </c>
      <c r="CL29" s="20" t="n">
        <f aca="false">IF(CK29&gt;PR_BalDone,CK29+CK29*(F_MR/12)-MIN(F_MortPayM,CK29+CK29*(F_MR/12)),CK29)</f>
        <v>0</v>
      </c>
      <c r="CM29" s="20" t="n">
        <f aca="false">IF(CL29&gt;PR_BalDone,CL29+CL29*(F_MR/12)-MIN(F_MortPayM,CL29+CL29*(F_MR/12)),CL29)</f>
        <v>0</v>
      </c>
      <c r="CN29" s="20" t="n">
        <f aca="false">IF(CM29&gt;PR_BalDone,CM29+CM29*(F_MR/12)-MIN(F_MortPayM,CM29+CM29*(F_MR/12)),CM29)</f>
        <v>0</v>
      </c>
      <c r="CO29" s="20" t="n">
        <f aca="false">IF(CN29&gt;PR_BalDone,CN29+CN29*(F_MR/12)-MIN(F_MortPayM,CN29+CN29*(F_MR/12)),CN29)</f>
        <v>0</v>
      </c>
      <c r="CP29" s="20" t="n">
        <f aca="false">IF(CO29&gt;PR_BalDone,CO29+CO29*(F_MR/12)-MIN(F_MortPayM,CO29+CO29*(F_MR/12)),CO29)</f>
        <v>0</v>
      </c>
      <c r="CQ29" s="20" t="n">
        <f aca="false">IF(CP29&gt;PR_BalDone,CP29+CP29*(F_MR/12)-MIN(F_MortPayM,CP29+CP29*(F_MR/12)),CP29)</f>
        <v>0</v>
      </c>
      <c r="CR29" s="20" t="n">
        <f aca="false">IF(CQ29&gt;PR_BalDone,CQ29+CQ29*(F_MR/12)-MIN(F_MortPayM,CQ29+CQ29*(F_MR/12)),CQ29)</f>
        <v>0</v>
      </c>
      <c r="CS29" s="20" t="n">
        <f aca="false">IF(CF29&gt;PR_BalDone,MIN(F_MortPayM,CF29+CF29*(F_MR/12)),0)</f>
        <v>0</v>
      </c>
      <c r="CT29" s="20" t="n">
        <f aca="false">IF(CG29&gt;PR_BalDone,MIN(F_MortPayM,CG29+CG29*(F_MR/12)),0)</f>
        <v>0</v>
      </c>
      <c r="CU29" s="20" t="n">
        <f aca="false">IF(CH29&gt;PR_BalDone,MIN(F_MortPayM,CH29+CH29*(F_MR/12)),0)</f>
        <v>0</v>
      </c>
      <c r="CV29" s="20" t="n">
        <f aca="false">IF(CI29&gt;PR_BalDone,MIN(F_MortPayM,CI29+CI29*(F_MR/12)),0)</f>
        <v>0</v>
      </c>
      <c r="CW29" s="20" t="n">
        <f aca="false">IF(CJ29&gt;PR_BalDone,MIN(F_MortPayM,CJ29+CJ29*(F_MR/12)),0)</f>
        <v>0</v>
      </c>
      <c r="CX29" s="20" t="n">
        <f aca="false">IF(CK29&gt;PR_BalDone,MIN(F_MortPayM,CK29+CK29*(F_MR/12)),0)</f>
        <v>0</v>
      </c>
      <c r="CY29" s="20" t="n">
        <f aca="false">IF(CL29&gt;PR_BalDone,MIN(F_MortPayM,CL29+CL29*(F_MR/12)),0)</f>
        <v>0</v>
      </c>
      <c r="CZ29" s="20" t="n">
        <f aca="false">IF(CM29&gt;PR_BalDone,MIN(F_MortPayM,CM29+CM29*(F_MR/12)),0)</f>
        <v>0</v>
      </c>
      <c r="DA29" s="20" t="n">
        <f aca="false">IF(CN29&gt;PR_BalDone,MIN(F_MortPayM,CN29+CN29*(F_MR/12)),0)</f>
        <v>0</v>
      </c>
      <c r="DB29" s="20" t="n">
        <f aca="false">IF(CO29&gt;PR_BalDone,MIN(F_MortPayM,CO29+CO29*(F_MR/12)),0)</f>
        <v>0</v>
      </c>
      <c r="DC29" s="20" t="n">
        <f aca="false">IF(CP29&gt;PR_BalDone,MIN(F_MortPayM,CP29+CP29*(F_MR/12)),0)</f>
        <v>0</v>
      </c>
      <c r="DD29" s="20" t="n">
        <f aca="false">IF(CQ29&gt;PR_BalDone,MIN(F_MortPayM,CQ29+CQ29*(F_MR/12)),0)</f>
        <v>0</v>
      </c>
      <c r="DE29" s="20" t="n">
        <f aca="false">MAX(0,CR29)</f>
        <v>0</v>
      </c>
      <c r="DF29" s="20" t="n">
        <f aca="false">SUM(CS29:DD29)</f>
        <v>0</v>
      </c>
      <c r="DG29" s="20" t="n">
        <f aca="false">MAX(0,CF29)</f>
        <v>0</v>
      </c>
    </row>
    <row r="30" customFormat="false" ht="15" hidden="false" customHeight="true" outlineLevel="0" collapsed="false">
      <c r="B30" s="20" t="n">
        <v>22</v>
      </c>
      <c r="C30" s="20" t="n">
        <f aca="false">'Plan cashflow'!J30</f>
        <v>0</v>
      </c>
      <c r="D30" s="20" t="n">
        <f aca="false">IF(C30&gt;PR_BalDone,C30+C30*(F_MR/12)-MIN(F_MortPayM,C30+C30*(F_MR/12)),C30)</f>
        <v>0</v>
      </c>
      <c r="E30" s="20" t="n">
        <f aca="false">IF(D30&gt;PR_BalDone,D30+D30*(F_MR/12)-MIN(F_MortPayM,D30+D30*(F_MR/12)),D30)</f>
        <v>0</v>
      </c>
      <c r="F30" s="20" t="n">
        <f aca="false">IF(E30&gt;PR_BalDone,E30+E30*(F_MR/12)-MIN(F_MortPayM,E30+E30*(F_MR/12)),E30)</f>
        <v>0</v>
      </c>
      <c r="G30" s="20" t="n">
        <f aca="false">IF(F30&gt;PR_BalDone,F30+F30*(F_MR/12)-MIN(F_MortPayM,F30+F30*(F_MR/12)),F30)</f>
        <v>0</v>
      </c>
      <c r="H30" s="20" t="n">
        <f aca="false">IF(G30&gt;PR_BalDone,G30+G30*(F_MR/12)-MIN(F_MortPayM,G30+G30*(F_MR/12)),G30)</f>
        <v>0</v>
      </c>
      <c r="I30" s="20" t="n">
        <f aca="false">IF(H30&gt;PR_BalDone,H30+H30*(F_MR/12)-MIN(F_MortPayM,H30+H30*(F_MR/12)),H30)</f>
        <v>0</v>
      </c>
      <c r="J30" s="20" t="n">
        <f aca="false">IF(I30&gt;PR_BalDone,I30+I30*(F_MR/12)-MIN(F_MortPayM,I30+I30*(F_MR/12)),I30)</f>
        <v>0</v>
      </c>
      <c r="K30" s="20" t="n">
        <f aca="false">IF(J30&gt;PR_BalDone,J30+J30*(F_MR/12)-MIN(F_MortPayM,J30+J30*(F_MR/12)),J30)</f>
        <v>0</v>
      </c>
      <c r="L30" s="20" t="n">
        <f aca="false">IF(K30&gt;PR_BalDone,K30+K30*(F_MR/12)-MIN(F_MortPayM,K30+K30*(F_MR/12)),K30)</f>
        <v>0</v>
      </c>
      <c r="M30" s="20" t="n">
        <f aca="false">IF(L30&gt;PR_BalDone,L30+L30*(F_MR/12)-MIN(F_MortPayM,L30+L30*(F_MR/12)),L30)</f>
        <v>0</v>
      </c>
      <c r="N30" s="20" t="n">
        <f aca="false">IF(M30&gt;PR_BalDone,M30+M30*(F_MR/12)-MIN(F_MortPayM,M30+M30*(F_MR/12)),M30)</f>
        <v>0</v>
      </c>
      <c r="O30" s="20" t="n">
        <f aca="false">IF(N30&gt;PR_BalDone,N30+N30*(F_MR/12)-MIN(F_MortPayM,N30+N30*(F_MR/12)),N30)</f>
        <v>0</v>
      </c>
      <c r="P30" s="20" t="n">
        <f aca="false">IF(C30&gt;PR_BalDone,MIN(F_MortPayM,C30+C30*(F_MR/12)),0)</f>
        <v>0</v>
      </c>
      <c r="Q30" s="20" t="n">
        <f aca="false">IF(D30&gt;PR_BalDone,MIN(F_MortPayM,D30+D30*(F_MR/12)),0)</f>
        <v>0</v>
      </c>
      <c r="R30" s="20" t="n">
        <f aca="false">IF(E30&gt;PR_BalDone,MIN(F_MortPayM,E30+E30*(F_MR/12)),0)</f>
        <v>0</v>
      </c>
      <c r="S30" s="20" t="n">
        <f aca="false">IF(F30&gt;PR_BalDone,MIN(F_MortPayM,F30+F30*(F_MR/12)),0)</f>
        <v>0</v>
      </c>
      <c r="T30" s="20" t="n">
        <f aca="false">IF(G30&gt;PR_BalDone,MIN(F_MortPayM,G30+G30*(F_MR/12)),0)</f>
        <v>0</v>
      </c>
      <c r="U30" s="20" t="n">
        <f aca="false">IF(H30&gt;PR_BalDone,MIN(F_MortPayM,H30+H30*(F_MR/12)),0)</f>
        <v>0</v>
      </c>
      <c r="V30" s="20" t="n">
        <f aca="false">IF(I30&gt;PR_BalDone,MIN(F_MortPayM,I30+I30*(F_MR/12)),0)</f>
        <v>0</v>
      </c>
      <c r="W30" s="20" t="n">
        <f aca="false">IF(J30&gt;PR_BalDone,MIN(F_MortPayM,J30+J30*(F_MR/12)),0)</f>
        <v>0</v>
      </c>
      <c r="X30" s="20" t="n">
        <f aca="false">IF(K30&gt;PR_BalDone,MIN(F_MortPayM,K30+K30*(F_MR/12)),0)</f>
        <v>0</v>
      </c>
      <c r="Y30" s="20" t="n">
        <f aca="false">IF(L30&gt;PR_BalDone,MIN(F_MortPayM,L30+L30*(F_MR/12)),0)</f>
        <v>0</v>
      </c>
      <c r="Z30" s="20" t="n">
        <f aca="false">IF(M30&gt;PR_BalDone,MIN(F_MortPayM,M30+M30*(F_MR/12)),0)</f>
        <v>0</v>
      </c>
      <c r="AA30" s="20" t="n">
        <f aca="false">IF(N30&gt;PR_BalDone,MIN(F_MortPayM,N30+N30*(F_MR/12)),0)</f>
        <v>0</v>
      </c>
      <c r="AB30" s="20" t="n">
        <f aca="false">MAX(0,O30)</f>
        <v>0</v>
      </c>
      <c r="AC30" s="20" t="n">
        <f aca="false">SUM(P30:AA30)</f>
        <v>0</v>
      </c>
      <c r="AD30" s="20" t="n">
        <f aca="false">'Plan cashflow'!M30</f>
        <v>0</v>
      </c>
      <c r="AE30" s="20" t="n">
        <f aca="false">IF(AD30&gt;PR_BalDone,AD30+AD30*(D_iC)-MIN(F_CardPayM,AD30+AD30*(D_iC)),AD30)</f>
        <v>0</v>
      </c>
      <c r="AF30" s="20" t="n">
        <f aca="false">IF(AE30&gt;PR_BalDone,AE30+AE30*(D_iC)-MIN(F_CardPayM,AE30+AE30*(D_iC)),AE30)</f>
        <v>0</v>
      </c>
      <c r="AG30" s="20" t="n">
        <f aca="false">IF(AF30&gt;PR_BalDone,AF30+AF30*(D_iC)-MIN(F_CardPayM,AF30+AF30*(D_iC)),AF30)</f>
        <v>0</v>
      </c>
      <c r="AH30" s="20" t="n">
        <f aca="false">IF(AG30&gt;PR_BalDone,AG30+AG30*(D_iC)-MIN(F_CardPayM,AG30+AG30*(D_iC)),AG30)</f>
        <v>0</v>
      </c>
      <c r="AI30" s="20" t="n">
        <f aca="false">IF(AH30&gt;PR_BalDone,AH30+AH30*(D_iC)-MIN(F_CardPayM,AH30+AH30*(D_iC)),AH30)</f>
        <v>0</v>
      </c>
      <c r="AJ30" s="20" t="n">
        <f aca="false">IF(AI30&gt;PR_BalDone,AI30+AI30*(D_iC)-MIN(F_CardPayM,AI30+AI30*(D_iC)),AI30)</f>
        <v>0</v>
      </c>
      <c r="AK30" s="20" t="n">
        <f aca="false">IF(AJ30&gt;PR_BalDone,AJ30+AJ30*(D_iC)-MIN(F_CardPayM,AJ30+AJ30*(D_iC)),AJ30)</f>
        <v>0</v>
      </c>
      <c r="AL30" s="20" t="n">
        <f aca="false">IF(AK30&gt;PR_BalDone,AK30+AK30*(D_iC)-MIN(F_CardPayM,AK30+AK30*(D_iC)),AK30)</f>
        <v>0</v>
      </c>
      <c r="AM30" s="20" t="n">
        <f aca="false">IF(AL30&gt;PR_BalDone,AL30+AL30*(D_iC)-MIN(F_CardPayM,AL30+AL30*(D_iC)),AL30)</f>
        <v>0</v>
      </c>
      <c r="AN30" s="20" t="n">
        <f aca="false">IF(AM30&gt;PR_BalDone,AM30+AM30*(D_iC)-MIN(F_CardPayM,AM30+AM30*(D_iC)),AM30)</f>
        <v>0</v>
      </c>
      <c r="AO30" s="20" t="n">
        <f aca="false">IF(AN30&gt;PR_BalDone,AN30+AN30*(D_iC)-MIN(F_CardPayM,AN30+AN30*(D_iC)),AN30)</f>
        <v>0</v>
      </c>
      <c r="AP30" s="20" t="n">
        <f aca="false">IF(AO30&gt;PR_BalDone,AO30+AO30*(D_iC)-MIN(F_CardPayM,AO30+AO30*(D_iC)),AO30)</f>
        <v>0</v>
      </c>
      <c r="AQ30" s="20" t="n">
        <f aca="false">IF(AD30&gt;PR_BalDone,MIN(F_CardPayM,AD30+AD30*(D_iC)),0)</f>
        <v>0</v>
      </c>
      <c r="AR30" s="20" t="n">
        <f aca="false">IF(AE30&gt;PR_BalDone,MIN(F_CardPayM,AE30+AE30*(D_iC)),0)</f>
        <v>0</v>
      </c>
      <c r="AS30" s="20" t="n">
        <f aca="false">IF(AF30&gt;PR_BalDone,MIN(F_CardPayM,AF30+AF30*(D_iC)),0)</f>
        <v>0</v>
      </c>
      <c r="AT30" s="20" t="n">
        <f aca="false">IF(AG30&gt;PR_BalDone,MIN(F_CardPayM,AG30+AG30*(D_iC)),0)</f>
        <v>0</v>
      </c>
      <c r="AU30" s="20" t="n">
        <f aca="false">IF(AH30&gt;PR_BalDone,MIN(F_CardPayM,AH30+AH30*(D_iC)),0)</f>
        <v>0</v>
      </c>
      <c r="AV30" s="20" t="n">
        <f aca="false">IF(AI30&gt;PR_BalDone,MIN(F_CardPayM,AI30+AI30*(D_iC)),0)</f>
        <v>0</v>
      </c>
      <c r="AW30" s="20" t="n">
        <f aca="false">IF(AJ30&gt;PR_BalDone,MIN(F_CardPayM,AJ30+AJ30*(D_iC)),0)</f>
        <v>0</v>
      </c>
      <c r="AX30" s="20" t="n">
        <f aca="false">IF(AK30&gt;PR_BalDone,MIN(F_CardPayM,AK30+AK30*(D_iC)),0)</f>
        <v>0</v>
      </c>
      <c r="AY30" s="20" t="n">
        <f aca="false">IF(AL30&gt;PR_BalDone,MIN(F_CardPayM,AL30+AL30*(D_iC)),0)</f>
        <v>0</v>
      </c>
      <c r="AZ30" s="20" t="n">
        <f aca="false">IF(AM30&gt;PR_BalDone,MIN(F_CardPayM,AM30+AM30*(D_iC)),0)</f>
        <v>0</v>
      </c>
      <c r="BA30" s="20" t="n">
        <f aca="false">IF(AN30&gt;PR_BalDone,MIN(F_CardPayM,AN30+AN30*(D_iC)),0)</f>
        <v>0</v>
      </c>
      <c r="BB30" s="20" t="n">
        <f aca="false">IF(AO30&gt;PR_BalDone,MIN(F_CardPayM,AO30+AO30*(D_iC)),0)</f>
        <v>0</v>
      </c>
      <c r="BC30" s="20" t="n">
        <f aca="false">MAX(0,AP30)</f>
        <v>0</v>
      </c>
      <c r="BD30" s="20" t="n">
        <f aca="false">SUM(AQ30:BB30)</f>
        <v>0</v>
      </c>
      <c r="BE30" s="20" t="n">
        <f aca="false">'Plan cashflow'!P30</f>
        <v>0</v>
      </c>
      <c r="BF30" s="20" t="n">
        <f aca="false">IF(BE30&gt;PR_BalDone,BE30+BE30*(D_iL)-MIN(F_LoanPayM,BE30+BE30*(D_iL)),BE30)</f>
        <v>0</v>
      </c>
      <c r="BG30" s="20" t="n">
        <f aca="false">IF(BF30&gt;PR_BalDone,BF30+BF30*(D_iL)-MIN(F_LoanPayM,BF30+BF30*(D_iL)),BF30)</f>
        <v>0</v>
      </c>
      <c r="BH30" s="20" t="n">
        <f aca="false">IF(BG30&gt;PR_BalDone,BG30+BG30*(D_iL)-MIN(F_LoanPayM,BG30+BG30*(D_iL)),BG30)</f>
        <v>0</v>
      </c>
      <c r="BI30" s="20" t="n">
        <f aca="false">IF(BH30&gt;PR_BalDone,BH30+BH30*(D_iL)-MIN(F_LoanPayM,BH30+BH30*(D_iL)),BH30)</f>
        <v>0</v>
      </c>
      <c r="BJ30" s="20" t="n">
        <f aca="false">IF(BI30&gt;PR_BalDone,BI30+BI30*(D_iL)-MIN(F_LoanPayM,BI30+BI30*(D_iL)),BI30)</f>
        <v>0</v>
      </c>
      <c r="BK30" s="20" t="n">
        <f aca="false">IF(BJ30&gt;PR_BalDone,BJ30+BJ30*(D_iL)-MIN(F_LoanPayM,BJ30+BJ30*(D_iL)),BJ30)</f>
        <v>0</v>
      </c>
      <c r="BL30" s="20" t="n">
        <f aca="false">IF(BK30&gt;PR_BalDone,BK30+BK30*(D_iL)-MIN(F_LoanPayM,BK30+BK30*(D_iL)),BK30)</f>
        <v>0</v>
      </c>
      <c r="BM30" s="20" t="n">
        <f aca="false">IF(BL30&gt;PR_BalDone,BL30+BL30*(D_iL)-MIN(F_LoanPayM,BL30+BL30*(D_iL)),BL30)</f>
        <v>0</v>
      </c>
      <c r="BN30" s="20" t="n">
        <f aca="false">IF(BM30&gt;PR_BalDone,BM30+BM30*(D_iL)-MIN(F_LoanPayM,BM30+BM30*(D_iL)),BM30)</f>
        <v>0</v>
      </c>
      <c r="BO30" s="20" t="n">
        <f aca="false">IF(BN30&gt;PR_BalDone,BN30+BN30*(D_iL)-MIN(F_LoanPayM,BN30+BN30*(D_iL)),BN30)</f>
        <v>0</v>
      </c>
      <c r="BP30" s="20" t="n">
        <f aca="false">IF(BO30&gt;PR_BalDone,BO30+BO30*(D_iL)-MIN(F_LoanPayM,BO30+BO30*(D_iL)),BO30)</f>
        <v>0</v>
      </c>
      <c r="BQ30" s="20" t="n">
        <f aca="false">IF(BP30&gt;PR_BalDone,BP30+BP30*(D_iL)-MIN(F_LoanPayM,BP30+BP30*(D_iL)),BP30)</f>
        <v>0</v>
      </c>
      <c r="BR30" s="20" t="n">
        <f aca="false">IF(BE30&gt;PR_BalDone,MIN(F_LoanPayM,BE30+BE30*(D_iL)),0)</f>
        <v>0</v>
      </c>
      <c r="BS30" s="20" t="n">
        <f aca="false">IF(BF30&gt;PR_BalDone,MIN(F_LoanPayM,BF30+BF30*(D_iL)),0)</f>
        <v>0</v>
      </c>
      <c r="BT30" s="20" t="n">
        <f aca="false">IF(BG30&gt;PR_BalDone,MIN(F_LoanPayM,BG30+BG30*(D_iL)),0)</f>
        <v>0</v>
      </c>
      <c r="BU30" s="20" t="n">
        <f aca="false">IF(BH30&gt;PR_BalDone,MIN(F_LoanPayM,BH30+BH30*(D_iL)),0)</f>
        <v>0</v>
      </c>
      <c r="BV30" s="20" t="n">
        <f aca="false">IF(BI30&gt;PR_BalDone,MIN(F_LoanPayM,BI30+BI30*(D_iL)),0)</f>
        <v>0</v>
      </c>
      <c r="BW30" s="20" t="n">
        <f aca="false">IF(BJ30&gt;PR_BalDone,MIN(F_LoanPayM,BJ30+BJ30*(D_iL)),0)</f>
        <v>0</v>
      </c>
      <c r="BX30" s="20" t="n">
        <f aca="false">IF(BK30&gt;PR_BalDone,MIN(F_LoanPayM,BK30+BK30*(D_iL)),0)</f>
        <v>0</v>
      </c>
      <c r="BY30" s="20" t="n">
        <f aca="false">IF(BL30&gt;PR_BalDone,MIN(F_LoanPayM,BL30+BL30*(D_iL)),0)</f>
        <v>0</v>
      </c>
      <c r="BZ30" s="20" t="n">
        <f aca="false">IF(BM30&gt;PR_BalDone,MIN(F_LoanPayM,BM30+BM30*(D_iL)),0)</f>
        <v>0</v>
      </c>
      <c r="CA30" s="20" t="n">
        <f aca="false">IF(BN30&gt;PR_BalDone,MIN(F_LoanPayM,BN30+BN30*(D_iL)),0)</f>
        <v>0</v>
      </c>
      <c r="CB30" s="20" t="n">
        <f aca="false">IF(BO30&gt;PR_BalDone,MIN(F_LoanPayM,BO30+BO30*(D_iL)),0)</f>
        <v>0</v>
      </c>
      <c r="CC30" s="20" t="n">
        <f aca="false">IF(BP30&gt;PR_BalDone,MIN(F_LoanPayM,BP30+BP30*(D_iL)),0)</f>
        <v>0</v>
      </c>
      <c r="CD30" s="20" t="n">
        <f aca="false">MAX(0,BQ30)</f>
        <v>0</v>
      </c>
      <c r="CE30" s="20" t="n">
        <f aca="false">SUM(BR30:CC30)</f>
        <v>0</v>
      </c>
      <c r="CF30" s="20" t="n">
        <f aca="false">IF(CF29&gt;1,DE29,CF29)</f>
        <v>0</v>
      </c>
      <c r="CG30" s="20" t="n">
        <f aca="false">IF(CF30&gt;PR_BalDone,CF30+CF30*(F_MR/12)-MIN(F_MortPayM,CF30+CF30*(F_MR/12)),CF30)</f>
        <v>0</v>
      </c>
      <c r="CH30" s="20" t="n">
        <f aca="false">IF(CG30&gt;PR_BalDone,CG30+CG30*(F_MR/12)-MIN(F_MortPayM,CG30+CG30*(F_MR/12)),CG30)</f>
        <v>0</v>
      </c>
      <c r="CI30" s="20" t="n">
        <f aca="false">IF(CH30&gt;PR_BalDone,CH30+CH30*(F_MR/12)-MIN(F_MortPayM,CH30+CH30*(F_MR/12)),CH30)</f>
        <v>0</v>
      </c>
      <c r="CJ30" s="20" t="n">
        <f aca="false">IF(CI30&gt;PR_BalDone,CI30+CI30*(F_MR/12)-MIN(F_MortPayM,CI30+CI30*(F_MR/12)),CI30)</f>
        <v>0</v>
      </c>
      <c r="CK30" s="20" t="n">
        <f aca="false">IF(CJ30&gt;PR_BalDone,CJ30+CJ30*(F_MR/12)-MIN(F_MortPayM,CJ30+CJ30*(F_MR/12)),CJ30)</f>
        <v>0</v>
      </c>
      <c r="CL30" s="20" t="n">
        <f aca="false">IF(CK30&gt;PR_BalDone,CK30+CK30*(F_MR/12)-MIN(F_MortPayM,CK30+CK30*(F_MR/12)),CK30)</f>
        <v>0</v>
      </c>
      <c r="CM30" s="20" t="n">
        <f aca="false">IF(CL30&gt;PR_BalDone,CL30+CL30*(F_MR/12)-MIN(F_MortPayM,CL30+CL30*(F_MR/12)),CL30)</f>
        <v>0</v>
      </c>
      <c r="CN30" s="20" t="n">
        <f aca="false">IF(CM30&gt;PR_BalDone,CM30+CM30*(F_MR/12)-MIN(F_MortPayM,CM30+CM30*(F_MR/12)),CM30)</f>
        <v>0</v>
      </c>
      <c r="CO30" s="20" t="n">
        <f aca="false">IF(CN30&gt;PR_BalDone,CN30+CN30*(F_MR/12)-MIN(F_MortPayM,CN30+CN30*(F_MR/12)),CN30)</f>
        <v>0</v>
      </c>
      <c r="CP30" s="20" t="n">
        <f aca="false">IF(CO30&gt;PR_BalDone,CO30+CO30*(F_MR/12)-MIN(F_MortPayM,CO30+CO30*(F_MR/12)),CO30)</f>
        <v>0</v>
      </c>
      <c r="CQ30" s="20" t="n">
        <f aca="false">IF(CP30&gt;PR_BalDone,CP30+CP30*(F_MR/12)-MIN(F_MortPayM,CP30+CP30*(F_MR/12)),CP30)</f>
        <v>0</v>
      </c>
      <c r="CR30" s="20" t="n">
        <f aca="false">IF(CQ30&gt;PR_BalDone,CQ30+CQ30*(F_MR/12)-MIN(F_MortPayM,CQ30+CQ30*(F_MR/12)),CQ30)</f>
        <v>0</v>
      </c>
      <c r="CS30" s="20" t="n">
        <f aca="false">IF(CF30&gt;PR_BalDone,MIN(F_MortPayM,CF30+CF30*(F_MR/12)),0)</f>
        <v>0</v>
      </c>
      <c r="CT30" s="20" t="n">
        <f aca="false">IF(CG30&gt;PR_BalDone,MIN(F_MortPayM,CG30+CG30*(F_MR/12)),0)</f>
        <v>0</v>
      </c>
      <c r="CU30" s="20" t="n">
        <f aca="false">IF(CH30&gt;PR_BalDone,MIN(F_MortPayM,CH30+CH30*(F_MR/12)),0)</f>
        <v>0</v>
      </c>
      <c r="CV30" s="20" t="n">
        <f aca="false">IF(CI30&gt;PR_BalDone,MIN(F_MortPayM,CI30+CI30*(F_MR/12)),0)</f>
        <v>0</v>
      </c>
      <c r="CW30" s="20" t="n">
        <f aca="false">IF(CJ30&gt;PR_BalDone,MIN(F_MortPayM,CJ30+CJ30*(F_MR/12)),0)</f>
        <v>0</v>
      </c>
      <c r="CX30" s="20" t="n">
        <f aca="false">IF(CK30&gt;PR_BalDone,MIN(F_MortPayM,CK30+CK30*(F_MR/12)),0)</f>
        <v>0</v>
      </c>
      <c r="CY30" s="20" t="n">
        <f aca="false">IF(CL30&gt;PR_BalDone,MIN(F_MortPayM,CL30+CL30*(F_MR/12)),0)</f>
        <v>0</v>
      </c>
      <c r="CZ30" s="20" t="n">
        <f aca="false">IF(CM30&gt;PR_BalDone,MIN(F_MortPayM,CM30+CM30*(F_MR/12)),0)</f>
        <v>0</v>
      </c>
      <c r="DA30" s="20" t="n">
        <f aca="false">IF(CN30&gt;PR_BalDone,MIN(F_MortPayM,CN30+CN30*(F_MR/12)),0)</f>
        <v>0</v>
      </c>
      <c r="DB30" s="20" t="n">
        <f aca="false">IF(CO30&gt;PR_BalDone,MIN(F_MortPayM,CO30+CO30*(F_MR/12)),0)</f>
        <v>0</v>
      </c>
      <c r="DC30" s="20" t="n">
        <f aca="false">IF(CP30&gt;PR_BalDone,MIN(F_MortPayM,CP30+CP30*(F_MR/12)),0)</f>
        <v>0</v>
      </c>
      <c r="DD30" s="20" t="n">
        <f aca="false">IF(CQ30&gt;PR_BalDone,MIN(F_MortPayM,CQ30+CQ30*(F_MR/12)),0)</f>
        <v>0</v>
      </c>
      <c r="DE30" s="20" t="n">
        <f aca="false">MAX(0,CR30)</f>
        <v>0</v>
      </c>
      <c r="DF30" s="20" t="n">
        <f aca="false">SUM(CS30:DD30)</f>
        <v>0</v>
      </c>
      <c r="DG30" s="20" t="n">
        <f aca="false">MAX(0,CF30)</f>
        <v>0</v>
      </c>
    </row>
    <row r="31" customFormat="false" ht="15" hidden="false" customHeight="true" outlineLevel="0" collapsed="false">
      <c r="B31" s="20" t="n">
        <v>23</v>
      </c>
      <c r="C31" s="20" t="n">
        <f aca="false">'Plan cashflow'!J31</f>
        <v>0</v>
      </c>
      <c r="D31" s="20" t="n">
        <f aca="false">IF(C31&gt;PR_BalDone,C31+C31*(F_MR/12)-MIN(F_MortPayM,C31+C31*(F_MR/12)),C31)</f>
        <v>0</v>
      </c>
      <c r="E31" s="20" t="n">
        <f aca="false">IF(D31&gt;PR_BalDone,D31+D31*(F_MR/12)-MIN(F_MortPayM,D31+D31*(F_MR/12)),D31)</f>
        <v>0</v>
      </c>
      <c r="F31" s="20" t="n">
        <f aca="false">IF(E31&gt;PR_BalDone,E31+E31*(F_MR/12)-MIN(F_MortPayM,E31+E31*(F_MR/12)),E31)</f>
        <v>0</v>
      </c>
      <c r="G31" s="20" t="n">
        <f aca="false">IF(F31&gt;PR_BalDone,F31+F31*(F_MR/12)-MIN(F_MortPayM,F31+F31*(F_MR/12)),F31)</f>
        <v>0</v>
      </c>
      <c r="H31" s="20" t="n">
        <f aca="false">IF(G31&gt;PR_BalDone,G31+G31*(F_MR/12)-MIN(F_MortPayM,G31+G31*(F_MR/12)),G31)</f>
        <v>0</v>
      </c>
      <c r="I31" s="20" t="n">
        <f aca="false">IF(H31&gt;PR_BalDone,H31+H31*(F_MR/12)-MIN(F_MortPayM,H31+H31*(F_MR/12)),H31)</f>
        <v>0</v>
      </c>
      <c r="J31" s="20" t="n">
        <f aca="false">IF(I31&gt;PR_BalDone,I31+I31*(F_MR/12)-MIN(F_MortPayM,I31+I31*(F_MR/12)),I31)</f>
        <v>0</v>
      </c>
      <c r="K31" s="20" t="n">
        <f aca="false">IF(J31&gt;PR_BalDone,J31+J31*(F_MR/12)-MIN(F_MortPayM,J31+J31*(F_MR/12)),J31)</f>
        <v>0</v>
      </c>
      <c r="L31" s="20" t="n">
        <f aca="false">IF(K31&gt;PR_BalDone,K31+K31*(F_MR/12)-MIN(F_MortPayM,K31+K31*(F_MR/12)),K31)</f>
        <v>0</v>
      </c>
      <c r="M31" s="20" t="n">
        <f aca="false">IF(L31&gt;PR_BalDone,L31+L31*(F_MR/12)-MIN(F_MortPayM,L31+L31*(F_MR/12)),L31)</f>
        <v>0</v>
      </c>
      <c r="N31" s="20" t="n">
        <f aca="false">IF(M31&gt;PR_BalDone,M31+M31*(F_MR/12)-MIN(F_MortPayM,M31+M31*(F_MR/12)),M31)</f>
        <v>0</v>
      </c>
      <c r="O31" s="20" t="n">
        <f aca="false">IF(N31&gt;PR_BalDone,N31+N31*(F_MR/12)-MIN(F_MortPayM,N31+N31*(F_MR/12)),N31)</f>
        <v>0</v>
      </c>
      <c r="P31" s="20" t="n">
        <f aca="false">IF(C31&gt;PR_BalDone,MIN(F_MortPayM,C31+C31*(F_MR/12)),0)</f>
        <v>0</v>
      </c>
      <c r="Q31" s="20" t="n">
        <f aca="false">IF(D31&gt;PR_BalDone,MIN(F_MortPayM,D31+D31*(F_MR/12)),0)</f>
        <v>0</v>
      </c>
      <c r="R31" s="20" t="n">
        <f aca="false">IF(E31&gt;PR_BalDone,MIN(F_MortPayM,E31+E31*(F_MR/12)),0)</f>
        <v>0</v>
      </c>
      <c r="S31" s="20" t="n">
        <f aca="false">IF(F31&gt;PR_BalDone,MIN(F_MortPayM,F31+F31*(F_MR/12)),0)</f>
        <v>0</v>
      </c>
      <c r="T31" s="20" t="n">
        <f aca="false">IF(G31&gt;PR_BalDone,MIN(F_MortPayM,G31+G31*(F_MR/12)),0)</f>
        <v>0</v>
      </c>
      <c r="U31" s="20" t="n">
        <f aca="false">IF(H31&gt;PR_BalDone,MIN(F_MortPayM,H31+H31*(F_MR/12)),0)</f>
        <v>0</v>
      </c>
      <c r="V31" s="20" t="n">
        <f aca="false">IF(I31&gt;PR_BalDone,MIN(F_MortPayM,I31+I31*(F_MR/12)),0)</f>
        <v>0</v>
      </c>
      <c r="W31" s="20" t="n">
        <f aca="false">IF(J31&gt;PR_BalDone,MIN(F_MortPayM,J31+J31*(F_MR/12)),0)</f>
        <v>0</v>
      </c>
      <c r="X31" s="20" t="n">
        <f aca="false">IF(K31&gt;PR_BalDone,MIN(F_MortPayM,K31+K31*(F_MR/12)),0)</f>
        <v>0</v>
      </c>
      <c r="Y31" s="20" t="n">
        <f aca="false">IF(L31&gt;PR_BalDone,MIN(F_MortPayM,L31+L31*(F_MR/12)),0)</f>
        <v>0</v>
      </c>
      <c r="Z31" s="20" t="n">
        <f aca="false">IF(M31&gt;PR_BalDone,MIN(F_MortPayM,M31+M31*(F_MR/12)),0)</f>
        <v>0</v>
      </c>
      <c r="AA31" s="20" t="n">
        <f aca="false">IF(N31&gt;PR_BalDone,MIN(F_MortPayM,N31+N31*(F_MR/12)),0)</f>
        <v>0</v>
      </c>
      <c r="AB31" s="20" t="n">
        <f aca="false">MAX(0,O31)</f>
        <v>0</v>
      </c>
      <c r="AC31" s="20" t="n">
        <f aca="false">SUM(P31:AA31)</f>
        <v>0</v>
      </c>
      <c r="AD31" s="20" t="n">
        <f aca="false">'Plan cashflow'!M31</f>
        <v>0</v>
      </c>
      <c r="AE31" s="20" t="n">
        <f aca="false">IF(AD31&gt;PR_BalDone,AD31+AD31*(D_iC)-MIN(F_CardPayM,AD31+AD31*(D_iC)),AD31)</f>
        <v>0</v>
      </c>
      <c r="AF31" s="20" t="n">
        <f aca="false">IF(AE31&gt;PR_BalDone,AE31+AE31*(D_iC)-MIN(F_CardPayM,AE31+AE31*(D_iC)),AE31)</f>
        <v>0</v>
      </c>
      <c r="AG31" s="20" t="n">
        <f aca="false">IF(AF31&gt;PR_BalDone,AF31+AF31*(D_iC)-MIN(F_CardPayM,AF31+AF31*(D_iC)),AF31)</f>
        <v>0</v>
      </c>
      <c r="AH31" s="20" t="n">
        <f aca="false">IF(AG31&gt;PR_BalDone,AG31+AG31*(D_iC)-MIN(F_CardPayM,AG31+AG31*(D_iC)),AG31)</f>
        <v>0</v>
      </c>
      <c r="AI31" s="20" t="n">
        <f aca="false">IF(AH31&gt;PR_BalDone,AH31+AH31*(D_iC)-MIN(F_CardPayM,AH31+AH31*(D_iC)),AH31)</f>
        <v>0</v>
      </c>
      <c r="AJ31" s="20" t="n">
        <f aca="false">IF(AI31&gt;PR_BalDone,AI31+AI31*(D_iC)-MIN(F_CardPayM,AI31+AI31*(D_iC)),AI31)</f>
        <v>0</v>
      </c>
      <c r="AK31" s="20" t="n">
        <f aca="false">IF(AJ31&gt;PR_BalDone,AJ31+AJ31*(D_iC)-MIN(F_CardPayM,AJ31+AJ31*(D_iC)),AJ31)</f>
        <v>0</v>
      </c>
      <c r="AL31" s="20" t="n">
        <f aca="false">IF(AK31&gt;PR_BalDone,AK31+AK31*(D_iC)-MIN(F_CardPayM,AK31+AK31*(D_iC)),AK31)</f>
        <v>0</v>
      </c>
      <c r="AM31" s="20" t="n">
        <f aca="false">IF(AL31&gt;PR_BalDone,AL31+AL31*(D_iC)-MIN(F_CardPayM,AL31+AL31*(D_iC)),AL31)</f>
        <v>0</v>
      </c>
      <c r="AN31" s="20" t="n">
        <f aca="false">IF(AM31&gt;PR_BalDone,AM31+AM31*(D_iC)-MIN(F_CardPayM,AM31+AM31*(D_iC)),AM31)</f>
        <v>0</v>
      </c>
      <c r="AO31" s="20" t="n">
        <f aca="false">IF(AN31&gt;PR_BalDone,AN31+AN31*(D_iC)-MIN(F_CardPayM,AN31+AN31*(D_iC)),AN31)</f>
        <v>0</v>
      </c>
      <c r="AP31" s="20" t="n">
        <f aca="false">IF(AO31&gt;PR_BalDone,AO31+AO31*(D_iC)-MIN(F_CardPayM,AO31+AO31*(D_iC)),AO31)</f>
        <v>0</v>
      </c>
      <c r="AQ31" s="20" t="n">
        <f aca="false">IF(AD31&gt;PR_BalDone,MIN(F_CardPayM,AD31+AD31*(D_iC)),0)</f>
        <v>0</v>
      </c>
      <c r="AR31" s="20" t="n">
        <f aca="false">IF(AE31&gt;PR_BalDone,MIN(F_CardPayM,AE31+AE31*(D_iC)),0)</f>
        <v>0</v>
      </c>
      <c r="AS31" s="20" t="n">
        <f aca="false">IF(AF31&gt;PR_BalDone,MIN(F_CardPayM,AF31+AF31*(D_iC)),0)</f>
        <v>0</v>
      </c>
      <c r="AT31" s="20" t="n">
        <f aca="false">IF(AG31&gt;PR_BalDone,MIN(F_CardPayM,AG31+AG31*(D_iC)),0)</f>
        <v>0</v>
      </c>
      <c r="AU31" s="20" t="n">
        <f aca="false">IF(AH31&gt;PR_BalDone,MIN(F_CardPayM,AH31+AH31*(D_iC)),0)</f>
        <v>0</v>
      </c>
      <c r="AV31" s="20" t="n">
        <f aca="false">IF(AI31&gt;PR_BalDone,MIN(F_CardPayM,AI31+AI31*(D_iC)),0)</f>
        <v>0</v>
      </c>
      <c r="AW31" s="20" t="n">
        <f aca="false">IF(AJ31&gt;PR_BalDone,MIN(F_CardPayM,AJ31+AJ31*(D_iC)),0)</f>
        <v>0</v>
      </c>
      <c r="AX31" s="20" t="n">
        <f aca="false">IF(AK31&gt;PR_BalDone,MIN(F_CardPayM,AK31+AK31*(D_iC)),0)</f>
        <v>0</v>
      </c>
      <c r="AY31" s="20" t="n">
        <f aca="false">IF(AL31&gt;PR_BalDone,MIN(F_CardPayM,AL31+AL31*(D_iC)),0)</f>
        <v>0</v>
      </c>
      <c r="AZ31" s="20" t="n">
        <f aca="false">IF(AM31&gt;PR_BalDone,MIN(F_CardPayM,AM31+AM31*(D_iC)),0)</f>
        <v>0</v>
      </c>
      <c r="BA31" s="20" t="n">
        <f aca="false">IF(AN31&gt;PR_BalDone,MIN(F_CardPayM,AN31+AN31*(D_iC)),0)</f>
        <v>0</v>
      </c>
      <c r="BB31" s="20" t="n">
        <f aca="false">IF(AO31&gt;PR_BalDone,MIN(F_CardPayM,AO31+AO31*(D_iC)),0)</f>
        <v>0</v>
      </c>
      <c r="BC31" s="20" t="n">
        <f aca="false">MAX(0,AP31)</f>
        <v>0</v>
      </c>
      <c r="BD31" s="20" t="n">
        <f aca="false">SUM(AQ31:BB31)</f>
        <v>0</v>
      </c>
      <c r="BE31" s="20" t="n">
        <f aca="false">'Plan cashflow'!P31</f>
        <v>0</v>
      </c>
      <c r="BF31" s="20" t="n">
        <f aca="false">IF(BE31&gt;PR_BalDone,BE31+BE31*(D_iL)-MIN(F_LoanPayM,BE31+BE31*(D_iL)),BE31)</f>
        <v>0</v>
      </c>
      <c r="BG31" s="20" t="n">
        <f aca="false">IF(BF31&gt;PR_BalDone,BF31+BF31*(D_iL)-MIN(F_LoanPayM,BF31+BF31*(D_iL)),BF31)</f>
        <v>0</v>
      </c>
      <c r="BH31" s="20" t="n">
        <f aca="false">IF(BG31&gt;PR_BalDone,BG31+BG31*(D_iL)-MIN(F_LoanPayM,BG31+BG31*(D_iL)),BG31)</f>
        <v>0</v>
      </c>
      <c r="BI31" s="20" t="n">
        <f aca="false">IF(BH31&gt;PR_BalDone,BH31+BH31*(D_iL)-MIN(F_LoanPayM,BH31+BH31*(D_iL)),BH31)</f>
        <v>0</v>
      </c>
      <c r="BJ31" s="20" t="n">
        <f aca="false">IF(BI31&gt;PR_BalDone,BI31+BI31*(D_iL)-MIN(F_LoanPayM,BI31+BI31*(D_iL)),BI31)</f>
        <v>0</v>
      </c>
      <c r="BK31" s="20" t="n">
        <f aca="false">IF(BJ31&gt;PR_BalDone,BJ31+BJ31*(D_iL)-MIN(F_LoanPayM,BJ31+BJ31*(D_iL)),BJ31)</f>
        <v>0</v>
      </c>
      <c r="BL31" s="20" t="n">
        <f aca="false">IF(BK31&gt;PR_BalDone,BK31+BK31*(D_iL)-MIN(F_LoanPayM,BK31+BK31*(D_iL)),BK31)</f>
        <v>0</v>
      </c>
      <c r="BM31" s="20" t="n">
        <f aca="false">IF(BL31&gt;PR_BalDone,BL31+BL31*(D_iL)-MIN(F_LoanPayM,BL31+BL31*(D_iL)),BL31)</f>
        <v>0</v>
      </c>
      <c r="BN31" s="20" t="n">
        <f aca="false">IF(BM31&gt;PR_BalDone,BM31+BM31*(D_iL)-MIN(F_LoanPayM,BM31+BM31*(D_iL)),BM31)</f>
        <v>0</v>
      </c>
      <c r="BO31" s="20" t="n">
        <f aca="false">IF(BN31&gt;PR_BalDone,BN31+BN31*(D_iL)-MIN(F_LoanPayM,BN31+BN31*(D_iL)),BN31)</f>
        <v>0</v>
      </c>
      <c r="BP31" s="20" t="n">
        <f aca="false">IF(BO31&gt;PR_BalDone,BO31+BO31*(D_iL)-MIN(F_LoanPayM,BO31+BO31*(D_iL)),BO31)</f>
        <v>0</v>
      </c>
      <c r="BQ31" s="20" t="n">
        <f aca="false">IF(BP31&gt;PR_BalDone,BP31+BP31*(D_iL)-MIN(F_LoanPayM,BP31+BP31*(D_iL)),BP31)</f>
        <v>0</v>
      </c>
      <c r="BR31" s="20" t="n">
        <f aca="false">IF(BE31&gt;PR_BalDone,MIN(F_LoanPayM,BE31+BE31*(D_iL)),0)</f>
        <v>0</v>
      </c>
      <c r="BS31" s="20" t="n">
        <f aca="false">IF(BF31&gt;PR_BalDone,MIN(F_LoanPayM,BF31+BF31*(D_iL)),0)</f>
        <v>0</v>
      </c>
      <c r="BT31" s="20" t="n">
        <f aca="false">IF(BG31&gt;PR_BalDone,MIN(F_LoanPayM,BG31+BG31*(D_iL)),0)</f>
        <v>0</v>
      </c>
      <c r="BU31" s="20" t="n">
        <f aca="false">IF(BH31&gt;PR_BalDone,MIN(F_LoanPayM,BH31+BH31*(D_iL)),0)</f>
        <v>0</v>
      </c>
      <c r="BV31" s="20" t="n">
        <f aca="false">IF(BI31&gt;PR_BalDone,MIN(F_LoanPayM,BI31+BI31*(D_iL)),0)</f>
        <v>0</v>
      </c>
      <c r="BW31" s="20" t="n">
        <f aca="false">IF(BJ31&gt;PR_BalDone,MIN(F_LoanPayM,BJ31+BJ31*(D_iL)),0)</f>
        <v>0</v>
      </c>
      <c r="BX31" s="20" t="n">
        <f aca="false">IF(BK31&gt;PR_BalDone,MIN(F_LoanPayM,BK31+BK31*(D_iL)),0)</f>
        <v>0</v>
      </c>
      <c r="BY31" s="20" t="n">
        <f aca="false">IF(BL31&gt;PR_BalDone,MIN(F_LoanPayM,BL31+BL31*(D_iL)),0)</f>
        <v>0</v>
      </c>
      <c r="BZ31" s="20" t="n">
        <f aca="false">IF(BM31&gt;PR_BalDone,MIN(F_LoanPayM,BM31+BM31*(D_iL)),0)</f>
        <v>0</v>
      </c>
      <c r="CA31" s="20" t="n">
        <f aca="false">IF(BN31&gt;PR_BalDone,MIN(F_LoanPayM,BN31+BN31*(D_iL)),0)</f>
        <v>0</v>
      </c>
      <c r="CB31" s="20" t="n">
        <f aca="false">IF(BO31&gt;PR_BalDone,MIN(F_LoanPayM,BO31+BO31*(D_iL)),0)</f>
        <v>0</v>
      </c>
      <c r="CC31" s="20" t="n">
        <f aca="false">IF(BP31&gt;PR_BalDone,MIN(F_LoanPayM,BP31+BP31*(D_iL)),0)</f>
        <v>0</v>
      </c>
      <c r="CD31" s="20" t="n">
        <f aca="false">MAX(0,BQ31)</f>
        <v>0</v>
      </c>
      <c r="CE31" s="20" t="n">
        <f aca="false">SUM(BR31:CC31)</f>
        <v>0</v>
      </c>
      <c r="CF31" s="20" t="n">
        <f aca="false">IF(CF30&gt;1,DE30,CF30)</f>
        <v>0</v>
      </c>
      <c r="CG31" s="20" t="n">
        <f aca="false">IF(CF31&gt;PR_BalDone,CF31+CF31*(F_MR/12)-MIN(F_MortPayM,CF31+CF31*(F_MR/12)),CF31)</f>
        <v>0</v>
      </c>
      <c r="CH31" s="20" t="n">
        <f aca="false">IF(CG31&gt;PR_BalDone,CG31+CG31*(F_MR/12)-MIN(F_MortPayM,CG31+CG31*(F_MR/12)),CG31)</f>
        <v>0</v>
      </c>
      <c r="CI31" s="20" t="n">
        <f aca="false">IF(CH31&gt;PR_BalDone,CH31+CH31*(F_MR/12)-MIN(F_MortPayM,CH31+CH31*(F_MR/12)),CH31)</f>
        <v>0</v>
      </c>
      <c r="CJ31" s="20" t="n">
        <f aca="false">IF(CI31&gt;PR_BalDone,CI31+CI31*(F_MR/12)-MIN(F_MortPayM,CI31+CI31*(F_MR/12)),CI31)</f>
        <v>0</v>
      </c>
      <c r="CK31" s="20" t="n">
        <f aca="false">IF(CJ31&gt;PR_BalDone,CJ31+CJ31*(F_MR/12)-MIN(F_MortPayM,CJ31+CJ31*(F_MR/12)),CJ31)</f>
        <v>0</v>
      </c>
      <c r="CL31" s="20" t="n">
        <f aca="false">IF(CK31&gt;PR_BalDone,CK31+CK31*(F_MR/12)-MIN(F_MortPayM,CK31+CK31*(F_MR/12)),CK31)</f>
        <v>0</v>
      </c>
      <c r="CM31" s="20" t="n">
        <f aca="false">IF(CL31&gt;PR_BalDone,CL31+CL31*(F_MR/12)-MIN(F_MortPayM,CL31+CL31*(F_MR/12)),CL31)</f>
        <v>0</v>
      </c>
      <c r="CN31" s="20" t="n">
        <f aca="false">IF(CM31&gt;PR_BalDone,CM31+CM31*(F_MR/12)-MIN(F_MortPayM,CM31+CM31*(F_MR/12)),CM31)</f>
        <v>0</v>
      </c>
      <c r="CO31" s="20" t="n">
        <f aca="false">IF(CN31&gt;PR_BalDone,CN31+CN31*(F_MR/12)-MIN(F_MortPayM,CN31+CN31*(F_MR/12)),CN31)</f>
        <v>0</v>
      </c>
      <c r="CP31" s="20" t="n">
        <f aca="false">IF(CO31&gt;PR_BalDone,CO31+CO31*(F_MR/12)-MIN(F_MortPayM,CO31+CO31*(F_MR/12)),CO31)</f>
        <v>0</v>
      </c>
      <c r="CQ31" s="20" t="n">
        <f aca="false">IF(CP31&gt;PR_BalDone,CP31+CP31*(F_MR/12)-MIN(F_MortPayM,CP31+CP31*(F_MR/12)),CP31)</f>
        <v>0</v>
      </c>
      <c r="CR31" s="20" t="n">
        <f aca="false">IF(CQ31&gt;PR_BalDone,CQ31+CQ31*(F_MR/12)-MIN(F_MortPayM,CQ31+CQ31*(F_MR/12)),CQ31)</f>
        <v>0</v>
      </c>
      <c r="CS31" s="20" t="n">
        <f aca="false">IF(CF31&gt;PR_BalDone,MIN(F_MortPayM,CF31+CF31*(F_MR/12)),0)</f>
        <v>0</v>
      </c>
      <c r="CT31" s="20" t="n">
        <f aca="false">IF(CG31&gt;PR_BalDone,MIN(F_MortPayM,CG31+CG31*(F_MR/12)),0)</f>
        <v>0</v>
      </c>
      <c r="CU31" s="20" t="n">
        <f aca="false">IF(CH31&gt;PR_BalDone,MIN(F_MortPayM,CH31+CH31*(F_MR/12)),0)</f>
        <v>0</v>
      </c>
      <c r="CV31" s="20" t="n">
        <f aca="false">IF(CI31&gt;PR_BalDone,MIN(F_MortPayM,CI31+CI31*(F_MR/12)),0)</f>
        <v>0</v>
      </c>
      <c r="CW31" s="20" t="n">
        <f aca="false">IF(CJ31&gt;PR_BalDone,MIN(F_MortPayM,CJ31+CJ31*(F_MR/12)),0)</f>
        <v>0</v>
      </c>
      <c r="CX31" s="20" t="n">
        <f aca="false">IF(CK31&gt;PR_BalDone,MIN(F_MortPayM,CK31+CK31*(F_MR/12)),0)</f>
        <v>0</v>
      </c>
      <c r="CY31" s="20" t="n">
        <f aca="false">IF(CL31&gt;PR_BalDone,MIN(F_MortPayM,CL31+CL31*(F_MR/12)),0)</f>
        <v>0</v>
      </c>
      <c r="CZ31" s="20" t="n">
        <f aca="false">IF(CM31&gt;PR_BalDone,MIN(F_MortPayM,CM31+CM31*(F_MR/12)),0)</f>
        <v>0</v>
      </c>
      <c r="DA31" s="20" t="n">
        <f aca="false">IF(CN31&gt;PR_BalDone,MIN(F_MortPayM,CN31+CN31*(F_MR/12)),0)</f>
        <v>0</v>
      </c>
      <c r="DB31" s="20" t="n">
        <f aca="false">IF(CO31&gt;PR_BalDone,MIN(F_MortPayM,CO31+CO31*(F_MR/12)),0)</f>
        <v>0</v>
      </c>
      <c r="DC31" s="20" t="n">
        <f aca="false">IF(CP31&gt;PR_BalDone,MIN(F_MortPayM,CP31+CP31*(F_MR/12)),0)</f>
        <v>0</v>
      </c>
      <c r="DD31" s="20" t="n">
        <f aca="false">IF(CQ31&gt;PR_BalDone,MIN(F_MortPayM,CQ31+CQ31*(F_MR/12)),0)</f>
        <v>0</v>
      </c>
      <c r="DE31" s="20" t="n">
        <f aca="false">MAX(0,CR31)</f>
        <v>0</v>
      </c>
      <c r="DF31" s="20" t="n">
        <f aca="false">SUM(CS31:DD31)</f>
        <v>0</v>
      </c>
      <c r="DG31" s="20" t="n">
        <f aca="false">MAX(0,CF31)</f>
        <v>0</v>
      </c>
    </row>
    <row r="32" customFormat="false" ht="15" hidden="false" customHeight="true" outlineLevel="0" collapsed="false">
      <c r="B32" s="20" t="n">
        <v>24</v>
      </c>
      <c r="C32" s="20" t="n">
        <f aca="false">'Plan cashflow'!J32</f>
        <v>0</v>
      </c>
      <c r="D32" s="20" t="n">
        <f aca="false">IF(C32&gt;PR_BalDone,C32+C32*(F_MR/12)-MIN(F_MortPayM,C32+C32*(F_MR/12)),C32)</f>
        <v>0</v>
      </c>
      <c r="E32" s="20" t="n">
        <f aca="false">IF(D32&gt;PR_BalDone,D32+D32*(F_MR/12)-MIN(F_MortPayM,D32+D32*(F_MR/12)),D32)</f>
        <v>0</v>
      </c>
      <c r="F32" s="20" t="n">
        <f aca="false">IF(E32&gt;PR_BalDone,E32+E32*(F_MR/12)-MIN(F_MortPayM,E32+E32*(F_MR/12)),E32)</f>
        <v>0</v>
      </c>
      <c r="G32" s="20" t="n">
        <f aca="false">IF(F32&gt;PR_BalDone,F32+F32*(F_MR/12)-MIN(F_MortPayM,F32+F32*(F_MR/12)),F32)</f>
        <v>0</v>
      </c>
      <c r="H32" s="20" t="n">
        <f aca="false">IF(G32&gt;PR_BalDone,G32+G32*(F_MR/12)-MIN(F_MortPayM,G32+G32*(F_MR/12)),G32)</f>
        <v>0</v>
      </c>
      <c r="I32" s="20" t="n">
        <f aca="false">IF(H32&gt;PR_BalDone,H32+H32*(F_MR/12)-MIN(F_MortPayM,H32+H32*(F_MR/12)),H32)</f>
        <v>0</v>
      </c>
      <c r="J32" s="20" t="n">
        <f aca="false">IF(I32&gt;PR_BalDone,I32+I32*(F_MR/12)-MIN(F_MortPayM,I32+I32*(F_MR/12)),I32)</f>
        <v>0</v>
      </c>
      <c r="K32" s="20" t="n">
        <f aca="false">IF(J32&gt;PR_BalDone,J32+J32*(F_MR/12)-MIN(F_MortPayM,J32+J32*(F_MR/12)),J32)</f>
        <v>0</v>
      </c>
      <c r="L32" s="20" t="n">
        <f aca="false">IF(K32&gt;PR_BalDone,K32+K32*(F_MR/12)-MIN(F_MortPayM,K32+K32*(F_MR/12)),K32)</f>
        <v>0</v>
      </c>
      <c r="M32" s="20" t="n">
        <f aca="false">IF(L32&gt;PR_BalDone,L32+L32*(F_MR/12)-MIN(F_MortPayM,L32+L32*(F_MR/12)),L32)</f>
        <v>0</v>
      </c>
      <c r="N32" s="20" t="n">
        <f aca="false">IF(M32&gt;PR_BalDone,M32+M32*(F_MR/12)-MIN(F_MortPayM,M32+M32*(F_MR/12)),M32)</f>
        <v>0</v>
      </c>
      <c r="O32" s="20" t="n">
        <f aca="false">IF(N32&gt;PR_BalDone,N32+N32*(F_MR/12)-MIN(F_MortPayM,N32+N32*(F_MR/12)),N32)</f>
        <v>0</v>
      </c>
      <c r="P32" s="20" t="n">
        <f aca="false">IF(C32&gt;PR_BalDone,MIN(F_MortPayM,C32+C32*(F_MR/12)),0)</f>
        <v>0</v>
      </c>
      <c r="Q32" s="20" t="n">
        <f aca="false">IF(D32&gt;PR_BalDone,MIN(F_MortPayM,D32+D32*(F_MR/12)),0)</f>
        <v>0</v>
      </c>
      <c r="R32" s="20" t="n">
        <f aca="false">IF(E32&gt;PR_BalDone,MIN(F_MortPayM,E32+E32*(F_MR/12)),0)</f>
        <v>0</v>
      </c>
      <c r="S32" s="20" t="n">
        <f aca="false">IF(F32&gt;PR_BalDone,MIN(F_MortPayM,F32+F32*(F_MR/12)),0)</f>
        <v>0</v>
      </c>
      <c r="T32" s="20" t="n">
        <f aca="false">IF(G32&gt;PR_BalDone,MIN(F_MortPayM,G32+G32*(F_MR/12)),0)</f>
        <v>0</v>
      </c>
      <c r="U32" s="20" t="n">
        <f aca="false">IF(H32&gt;PR_BalDone,MIN(F_MortPayM,H32+H32*(F_MR/12)),0)</f>
        <v>0</v>
      </c>
      <c r="V32" s="20" t="n">
        <f aca="false">IF(I32&gt;PR_BalDone,MIN(F_MortPayM,I32+I32*(F_MR/12)),0)</f>
        <v>0</v>
      </c>
      <c r="W32" s="20" t="n">
        <f aca="false">IF(J32&gt;PR_BalDone,MIN(F_MortPayM,J32+J32*(F_MR/12)),0)</f>
        <v>0</v>
      </c>
      <c r="X32" s="20" t="n">
        <f aca="false">IF(K32&gt;PR_BalDone,MIN(F_MortPayM,K32+K32*(F_MR/12)),0)</f>
        <v>0</v>
      </c>
      <c r="Y32" s="20" t="n">
        <f aca="false">IF(L32&gt;PR_BalDone,MIN(F_MortPayM,L32+L32*(F_MR/12)),0)</f>
        <v>0</v>
      </c>
      <c r="Z32" s="20" t="n">
        <f aca="false">IF(M32&gt;PR_BalDone,MIN(F_MortPayM,M32+M32*(F_MR/12)),0)</f>
        <v>0</v>
      </c>
      <c r="AA32" s="20" t="n">
        <f aca="false">IF(N32&gt;PR_BalDone,MIN(F_MortPayM,N32+N32*(F_MR/12)),0)</f>
        <v>0</v>
      </c>
      <c r="AB32" s="20" t="n">
        <f aca="false">MAX(0,O32)</f>
        <v>0</v>
      </c>
      <c r="AC32" s="20" t="n">
        <f aca="false">SUM(P32:AA32)</f>
        <v>0</v>
      </c>
      <c r="AD32" s="20" t="n">
        <f aca="false">'Plan cashflow'!M32</f>
        <v>0</v>
      </c>
      <c r="AE32" s="20" t="n">
        <f aca="false">IF(AD32&gt;PR_BalDone,AD32+AD32*(D_iC)-MIN(F_CardPayM,AD32+AD32*(D_iC)),AD32)</f>
        <v>0</v>
      </c>
      <c r="AF32" s="20" t="n">
        <f aca="false">IF(AE32&gt;PR_BalDone,AE32+AE32*(D_iC)-MIN(F_CardPayM,AE32+AE32*(D_iC)),AE32)</f>
        <v>0</v>
      </c>
      <c r="AG32" s="20" t="n">
        <f aca="false">IF(AF32&gt;PR_BalDone,AF32+AF32*(D_iC)-MIN(F_CardPayM,AF32+AF32*(D_iC)),AF32)</f>
        <v>0</v>
      </c>
      <c r="AH32" s="20" t="n">
        <f aca="false">IF(AG32&gt;PR_BalDone,AG32+AG32*(D_iC)-MIN(F_CardPayM,AG32+AG32*(D_iC)),AG32)</f>
        <v>0</v>
      </c>
      <c r="AI32" s="20" t="n">
        <f aca="false">IF(AH32&gt;PR_BalDone,AH32+AH32*(D_iC)-MIN(F_CardPayM,AH32+AH32*(D_iC)),AH32)</f>
        <v>0</v>
      </c>
      <c r="AJ32" s="20" t="n">
        <f aca="false">IF(AI32&gt;PR_BalDone,AI32+AI32*(D_iC)-MIN(F_CardPayM,AI32+AI32*(D_iC)),AI32)</f>
        <v>0</v>
      </c>
      <c r="AK32" s="20" t="n">
        <f aca="false">IF(AJ32&gt;PR_BalDone,AJ32+AJ32*(D_iC)-MIN(F_CardPayM,AJ32+AJ32*(D_iC)),AJ32)</f>
        <v>0</v>
      </c>
      <c r="AL32" s="20" t="n">
        <f aca="false">IF(AK32&gt;PR_BalDone,AK32+AK32*(D_iC)-MIN(F_CardPayM,AK32+AK32*(D_iC)),AK32)</f>
        <v>0</v>
      </c>
      <c r="AM32" s="20" t="n">
        <f aca="false">IF(AL32&gt;PR_BalDone,AL32+AL32*(D_iC)-MIN(F_CardPayM,AL32+AL32*(D_iC)),AL32)</f>
        <v>0</v>
      </c>
      <c r="AN32" s="20" t="n">
        <f aca="false">IF(AM32&gt;PR_BalDone,AM32+AM32*(D_iC)-MIN(F_CardPayM,AM32+AM32*(D_iC)),AM32)</f>
        <v>0</v>
      </c>
      <c r="AO32" s="20" t="n">
        <f aca="false">IF(AN32&gt;PR_BalDone,AN32+AN32*(D_iC)-MIN(F_CardPayM,AN32+AN32*(D_iC)),AN32)</f>
        <v>0</v>
      </c>
      <c r="AP32" s="20" t="n">
        <f aca="false">IF(AO32&gt;PR_BalDone,AO32+AO32*(D_iC)-MIN(F_CardPayM,AO32+AO32*(D_iC)),AO32)</f>
        <v>0</v>
      </c>
      <c r="AQ32" s="20" t="n">
        <f aca="false">IF(AD32&gt;PR_BalDone,MIN(F_CardPayM,AD32+AD32*(D_iC)),0)</f>
        <v>0</v>
      </c>
      <c r="AR32" s="20" t="n">
        <f aca="false">IF(AE32&gt;PR_BalDone,MIN(F_CardPayM,AE32+AE32*(D_iC)),0)</f>
        <v>0</v>
      </c>
      <c r="AS32" s="20" t="n">
        <f aca="false">IF(AF32&gt;PR_BalDone,MIN(F_CardPayM,AF32+AF32*(D_iC)),0)</f>
        <v>0</v>
      </c>
      <c r="AT32" s="20" t="n">
        <f aca="false">IF(AG32&gt;PR_BalDone,MIN(F_CardPayM,AG32+AG32*(D_iC)),0)</f>
        <v>0</v>
      </c>
      <c r="AU32" s="20" t="n">
        <f aca="false">IF(AH32&gt;PR_BalDone,MIN(F_CardPayM,AH32+AH32*(D_iC)),0)</f>
        <v>0</v>
      </c>
      <c r="AV32" s="20" t="n">
        <f aca="false">IF(AI32&gt;PR_BalDone,MIN(F_CardPayM,AI32+AI32*(D_iC)),0)</f>
        <v>0</v>
      </c>
      <c r="AW32" s="20" t="n">
        <f aca="false">IF(AJ32&gt;PR_BalDone,MIN(F_CardPayM,AJ32+AJ32*(D_iC)),0)</f>
        <v>0</v>
      </c>
      <c r="AX32" s="20" t="n">
        <f aca="false">IF(AK32&gt;PR_BalDone,MIN(F_CardPayM,AK32+AK32*(D_iC)),0)</f>
        <v>0</v>
      </c>
      <c r="AY32" s="20" t="n">
        <f aca="false">IF(AL32&gt;PR_BalDone,MIN(F_CardPayM,AL32+AL32*(D_iC)),0)</f>
        <v>0</v>
      </c>
      <c r="AZ32" s="20" t="n">
        <f aca="false">IF(AM32&gt;PR_BalDone,MIN(F_CardPayM,AM32+AM32*(D_iC)),0)</f>
        <v>0</v>
      </c>
      <c r="BA32" s="20" t="n">
        <f aca="false">IF(AN32&gt;PR_BalDone,MIN(F_CardPayM,AN32+AN32*(D_iC)),0)</f>
        <v>0</v>
      </c>
      <c r="BB32" s="20" t="n">
        <f aca="false">IF(AO32&gt;PR_BalDone,MIN(F_CardPayM,AO32+AO32*(D_iC)),0)</f>
        <v>0</v>
      </c>
      <c r="BC32" s="20" t="n">
        <f aca="false">MAX(0,AP32)</f>
        <v>0</v>
      </c>
      <c r="BD32" s="20" t="n">
        <f aca="false">SUM(AQ32:BB32)</f>
        <v>0</v>
      </c>
      <c r="BE32" s="20" t="n">
        <f aca="false">'Plan cashflow'!P32</f>
        <v>0</v>
      </c>
      <c r="BF32" s="20" t="n">
        <f aca="false">IF(BE32&gt;PR_BalDone,BE32+BE32*(D_iL)-MIN(F_LoanPayM,BE32+BE32*(D_iL)),BE32)</f>
        <v>0</v>
      </c>
      <c r="BG32" s="20" t="n">
        <f aca="false">IF(BF32&gt;PR_BalDone,BF32+BF32*(D_iL)-MIN(F_LoanPayM,BF32+BF32*(D_iL)),BF32)</f>
        <v>0</v>
      </c>
      <c r="BH32" s="20" t="n">
        <f aca="false">IF(BG32&gt;PR_BalDone,BG32+BG32*(D_iL)-MIN(F_LoanPayM,BG32+BG32*(D_iL)),BG32)</f>
        <v>0</v>
      </c>
      <c r="BI32" s="20" t="n">
        <f aca="false">IF(BH32&gt;PR_BalDone,BH32+BH32*(D_iL)-MIN(F_LoanPayM,BH32+BH32*(D_iL)),BH32)</f>
        <v>0</v>
      </c>
      <c r="BJ32" s="20" t="n">
        <f aca="false">IF(BI32&gt;PR_BalDone,BI32+BI32*(D_iL)-MIN(F_LoanPayM,BI32+BI32*(D_iL)),BI32)</f>
        <v>0</v>
      </c>
      <c r="BK32" s="20" t="n">
        <f aca="false">IF(BJ32&gt;PR_BalDone,BJ32+BJ32*(D_iL)-MIN(F_LoanPayM,BJ32+BJ32*(D_iL)),BJ32)</f>
        <v>0</v>
      </c>
      <c r="BL32" s="20" t="n">
        <f aca="false">IF(BK32&gt;PR_BalDone,BK32+BK32*(D_iL)-MIN(F_LoanPayM,BK32+BK32*(D_iL)),BK32)</f>
        <v>0</v>
      </c>
      <c r="BM32" s="20" t="n">
        <f aca="false">IF(BL32&gt;PR_BalDone,BL32+BL32*(D_iL)-MIN(F_LoanPayM,BL32+BL32*(D_iL)),BL32)</f>
        <v>0</v>
      </c>
      <c r="BN32" s="20" t="n">
        <f aca="false">IF(BM32&gt;PR_BalDone,BM32+BM32*(D_iL)-MIN(F_LoanPayM,BM32+BM32*(D_iL)),BM32)</f>
        <v>0</v>
      </c>
      <c r="BO32" s="20" t="n">
        <f aca="false">IF(BN32&gt;PR_BalDone,BN32+BN32*(D_iL)-MIN(F_LoanPayM,BN32+BN32*(D_iL)),BN32)</f>
        <v>0</v>
      </c>
      <c r="BP32" s="20" t="n">
        <f aca="false">IF(BO32&gt;PR_BalDone,BO32+BO32*(D_iL)-MIN(F_LoanPayM,BO32+BO32*(D_iL)),BO32)</f>
        <v>0</v>
      </c>
      <c r="BQ32" s="20" t="n">
        <f aca="false">IF(BP32&gt;PR_BalDone,BP32+BP32*(D_iL)-MIN(F_LoanPayM,BP32+BP32*(D_iL)),BP32)</f>
        <v>0</v>
      </c>
      <c r="BR32" s="20" t="n">
        <f aca="false">IF(BE32&gt;PR_BalDone,MIN(F_LoanPayM,BE32+BE32*(D_iL)),0)</f>
        <v>0</v>
      </c>
      <c r="BS32" s="20" t="n">
        <f aca="false">IF(BF32&gt;PR_BalDone,MIN(F_LoanPayM,BF32+BF32*(D_iL)),0)</f>
        <v>0</v>
      </c>
      <c r="BT32" s="20" t="n">
        <f aca="false">IF(BG32&gt;PR_BalDone,MIN(F_LoanPayM,BG32+BG32*(D_iL)),0)</f>
        <v>0</v>
      </c>
      <c r="BU32" s="20" t="n">
        <f aca="false">IF(BH32&gt;PR_BalDone,MIN(F_LoanPayM,BH32+BH32*(D_iL)),0)</f>
        <v>0</v>
      </c>
      <c r="BV32" s="20" t="n">
        <f aca="false">IF(BI32&gt;PR_BalDone,MIN(F_LoanPayM,BI32+BI32*(D_iL)),0)</f>
        <v>0</v>
      </c>
      <c r="BW32" s="20" t="n">
        <f aca="false">IF(BJ32&gt;PR_BalDone,MIN(F_LoanPayM,BJ32+BJ32*(D_iL)),0)</f>
        <v>0</v>
      </c>
      <c r="BX32" s="20" t="n">
        <f aca="false">IF(BK32&gt;PR_BalDone,MIN(F_LoanPayM,BK32+BK32*(D_iL)),0)</f>
        <v>0</v>
      </c>
      <c r="BY32" s="20" t="n">
        <f aca="false">IF(BL32&gt;PR_BalDone,MIN(F_LoanPayM,BL32+BL32*(D_iL)),0)</f>
        <v>0</v>
      </c>
      <c r="BZ32" s="20" t="n">
        <f aca="false">IF(BM32&gt;PR_BalDone,MIN(F_LoanPayM,BM32+BM32*(D_iL)),0)</f>
        <v>0</v>
      </c>
      <c r="CA32" s="20" t="n">
        <f aca="false">IF(BN32&gt;PR_BalDone,MIN(F_LoanPayM,BN32+BN32*(D_iL)),0)</f>
        <v>0</v>
      </c>
      <c r="CB32" s="20" t="n">
        <f aca="false">IF(BO32&gt;PR_BalDone,MIN(F_LoanPayM,BO32+BO32*(D_iL)),0)</f>
        <v>0</v>
      </c>
      <c r="CC32" s="20" t="n">
        <f aca="false">IF(BP32&gt;PR_BalDone,MIN(F_LoanPayM,BP32+BP32*(D_iL)),0)</f>
        <v>0</v>
      </c>
      <c r="CD32" s="20" t="n">
        <f aca="false">MAX(0,BQ32)</f>
        <v>0</v>
      </c>
      <c r="CE32" s="20" t="n">
        <f aca="false">SUM(BR32:CC32)</f>
        <v>0</v>
      </c>
      <c r="CF32" s="20" t="n">
        <f aca="false">IF(CF31&gt;1,DE31,CF31)</f>
        <v>0</v>
      </c>
      <c r="CG32" s="20" t="n">
        <f aca="false">IF(CF32&gt;PR_BalDone,CF32+CF32*(F_MR/12)-MIN(F_MortPayM,CF32+CF32*(F_MR/12)),CF32)</f>
        <v>0</v>
      </c>
      <c r="CH32" s="20" t="n">
        <f aca="false">IF(CG32&gt;PR_BalDone,CG32+CG32*(F_MR/12)-MIN(F_MortPayM,CG32+CG32*(F_MR/12)),CG32)</f>
        <v>0</v>
      </c>
      <c r="CI32" s="20" t="n">
        <f aca="false">IF(CH32&gt;PR_BalDone,CH32+CH32*(F_MR/12)-MIN(F_MortPayM,CH32+CH32*(F_MR/12)),CH32)</f>
        <v>0</v>
      </c>
      <c r="CJ32" s="20" t="n">
        <f aca="false">IF(CI32&gt;PR_BalDone,CI32+CI32*(F_MR/12)-MIN(F_MortPayM,CI32+CI32*(F_MR/12)),CI32)</f>
        <v>0</v>
      </c>
      <c r="CK32" s="20" t="n">
        <f aca="false">IF(CJ32&gt;PR_BalDone,CJ32+CJ32*(F_MR/12)-MIN(F_MortPayM,CJ32+CJ32*(F_MR/12)),CJ32)</f>
        <v>0</v>
      </c>
      <c r="CL32" s="20" t="n">
        <f aca="false">IF(CK32&gt;PR_BalDone,CK32+CK32*(F_MR/12)-MIN(F_MortPayM,CK32+CK32*(F_MR/12)),CK32)</f>
        <v>0</v>
      </c>
      <c r="CM32" s="20" t="n">
        <f aca="false">IF(CL32&gt;PR_BalDone,CL32+CL32*(F_MR/12)-MIN(F_MortPayM,CL32+CL32*(F_MR/12)),CL32)</f>
        <v>0</v>
      </c>
      <c r="CN32" s="20" t="n">
        <f aca="false">IF(CM32&gt;PR_BalDone,CM32+CM32*(F_MR/12)-MIN(F_MortPayM,CM32+CM32*(F_MR/12)),CM32)</f>
        <v>0</v>
      </c>
      <c r="CO32" s="20" t="n">
        <f aca="false">IF(CN32&gt;PR_BalDone,CN32+CN32*(F_MR/12)-MIN(F_MortPayM,CN32+CN32*(F_MR/12)),CN32)</f>
        <v>0</v>
      </c>
      <c r="CP32" s="20" t="n">
        <f aca="false">IF(CO32&gt;PR_BalDone,CO32+CO32*(F_MR/12)-MIN(F_MortPayM,CO32+CO32*(F_MR/12)),CO32)</f>
        <v>0</v>
      </c>
      <c r="CQ32" s="20" t="n">
        <f aca="false">IF(CP32&gt;PR_BalDone,CP32+CP32*(F_MR/12)-MIN(F_MortPayM,CP32+CP32*(F_MR/12)),CP32)</f>
        <v>0</v>
      </c>
      <c r="CR32" s="20" t="n">
        <f aca="false">IF(CQ32&gt;PR_BalDone,CQ32+CQ32*(F_MR/12)-MIN(F_MortPayM,CQ32+CQ32*(F_MR/12)),CQ32)</f>
        <v>0</v>
      </c>
      <c r="CS32" s="20" t="n">
        <f aca="false">IF(CF32&gt;PR_BalDone,MIN(F_MortPayM,CF32+CF32*(F_MR/12)),0)</f>
        <v>0</v>
      </c>
      <c r="CT32" s="20" t="n">
        <f aca="false">IF(CG32&gt;PR_BalDone,MIN(F_MortPayM,CG32+CG32*(F_MR/12)),0)</f>
        <v>0</v>
      </c>
      <c r="CU32" s="20" t="n">
        <f aca="false">IF(CH32&gt;PR_BalDone,MIN(F_MortPayM,CH32+CH32*(F_MR/12)),0)</f>
        <v>0</v>
      </c>
      <c r="CV32" s="20" t="n">
        <f aca="false">IF(CI32&gt;PR_BalDone,MIN(F_MortPayM,CI32+CI32*(F_MR/12)),0)</f>
        <v>0</v>
      </c>
      <c r="CW32" s="20" t="n">
        <f aca="false">IF(CJ32&gt;PR_BalDone,MIN(F_MortPayM,CJ32+CJ32*(F_MR/12)),0)</f>
        <v>0</v>
      </c>
      <c r="CX32" s="20" t="n">
        <f aca="false">IF(CK32&gt;PR_BalDone,MIN(F_MortPayM,CK32+CK32*(F_MR/12)),0)</f>
        <v>0</v>
      </c>
      <c r="CY32" s="20" t="n">
        <f aca="false">IF(CL32&gt;PR_BalDone,MIN(F_MortPayM,CL32+CL32*(F_MR/12)),0)</f>
        <v>0</v>
      </c>
      <c r="CZ32" s="20" t="n">
        <f aca="false">IF(CM32&gt;PR_BalDone,MIN(F_MortPayM,CM32+CM32*(F_MR/12)),0)</f>
        <v>0</v>
      </c>
      <c r="DA32" s="20" t="n">
        <f aca="false">IF(CN32&gt;PR_BalDone,MIN(F_MortPayM,CN32+CN32*(F_MR/12)),0)</f>
        <v>0</v>
      </c>
      <c r="DB32" s="20" t="n">
        <f aca="false">IF(CO32&gt;PR_BalDone,MIN(F_MortPayM,CO32+CO32*(F_MR/12)),0)</f>
        <v>0</v>
      </c>
      <c r="DC32" s="20" t="n">
        <f aca="false">IF(CP32&gt;PR_BalDone,MIN(F_MortPayM,CP32+CP32*(F_MR/12)),0)</f>
        <v>0</v>
      </c>
      <c r="DD32" s="20" t="n">
        <f aca="false">IF(CQ32&gt;PR_BalDone,MIN(F_MortPayM,CQ32+CQ32*(F_MR/12)),0)</f>
        <v>0</v>
      </c>
      <c r="DE32" s="20" t="n">
        <f aca="false">MAX(0,CR32)</f>
        <v>0</v>
      </c>
      <c r="DF32" s="20" t="n">
        <f aca="false">SUM(CS32:DD32)</f>
        <v>0</v>
      </c>
      <c r="DG32" s="20" t="n">
        <f aca="false">MAX(0,CF32)</f>
        <v>0</v>
      </c>
    </row>
    <row r="33" customFormat="false" ht="15" hidden="false" customHeight="true" outlineLevel="0" collapsed="false">
      <c r="B33" s="20" t="n">
        <v>25</v>
      </c>
      <c r="C33" s="20" t="n">
        <f aca="false">'Plan cashflow'!J33</f>
        <v>0</v>
      </c>
      <c r="D33" s="20" t="n">
        <f aca="false">IF(C33&gt;PR_BalDone,C33+C33*(F_MR/12)-MIN(F_MortPayM,C33+C33*(F_MR/12)),C33)</f>
        <v>0</v>
      </c>
      <c r="E33" s="20" t="n">
        <f aca="false">IF(D33&gt;PR_BalDone,D33+D33*(F_MR/12)-MIN(F_MortPayM,D33+D33*(F_MR/12)),D33)</f>
        <v>0</v>
      </c>
      <c r="F33" s="20" t="n">
        <f aca="false">IF(E33&gt;PR_BalDone,E33+E33*(F_MR/12)-MIN(F_MortPayM,E33+E33*(F_MR/12)),E33)</f>
        <v>0</v>
      </c>
      <c r="G33" s="20" t="n">
        <f aca="false">IF(F33&gt;PR_BalDone,F33+F33*(F_MR/12)-MIN(F_MortPayM,F33+F33*(F_MR/12)),F33)</f>
        <v>0</v>
      </c>
      <c r="H33" s="20" t="n">
        <f aca="false">IF(G33&gt;PR_BalDone,G33+G33*(F_MR/12)-MIN(F_MortPayM,G33+G33*(F_MR/12)),G33)</f>
        <v>0</v>
      </c>
      <c r="I33" s="20" t="n">
        <f aca="false">IF(H33&gt;PR_BalDone,H33+H33*(F_MR/12)-MIN(F_MortPayM,H33+H33*(F_MR/12)),H33)</f>
        <v>0</v>
      </c>
      <c r="J33" s="20" t="n">
        <f aca="false">IF(I33&gt;PR_BalDone,I33+I33*(F_MR/12)-MIN(F_MortPayM,I33+I33*(F_MR/12)),I33)</f>
        <v>0</v>
      </c>
      <c r="K33" s="20" t="n">
        <f aca="false">IF(J33&gt;PR_BalDone,J33+J33*(F_MR/12)-MIN(F_MortPayM,J33+J33*(F_MR/12)),J33)</f>
        <v>0</v>
      </c>
      <c r="L33" s="20" t="n">
        <f aca="false">IF(K33&gt;PR_BalDone,K33+K33*(F_MR/12)-MIN(F_MortPayM,K33+K33*(F_MR/12)),K33)</f>
        <v>0</v>
      </c>
      <c r="M33" s="20" t="n">
        <f aca="false">IF(L33&gt;PR_BalDone,L33+L33*(F_MR/12)-MIN(F_MortPayM,L33+L33*(F_MR/12)),L33)</f>
        <v>0</v>
      </c>
      <c r="N33" s="20" t="n">
        <f aca="false">IF(M33&gt;PR_BalDone,M33+M33*(F_MR/12)-MIN(F_MortPayM,M33+M33*(F_MR/12)),M33)</f>
        <v>0</v>
      </c>
      <c r="O33" s="20" t="n">
        <f aca="false">IF(N33&gt;PR_BalDone,N33+N33*(F_MR/12)-MIN(F_MortPayM,N33+N33*(F_MR/12)),N33)</f>
        <v>0</v>
      </c>
      <c r="P33" s="20" t="n">
        <f aca="false">IF(C33&gt;PR_BalDone,MIN(F_MortPayM,C33+C33*(F_MR/12)),0)</f>
        <v>0</v>
      </c>
      <c r="Q33" s="20" t="n">
        <f aca="false">IF(D33&gt;PR_BalDone,MIN(F_MortPayM,D33+D33*(F_MR/12)),0)</f>
        <v>0</v>
      </c>
      <c r="R33" s="20" t="n">
        <f aca="false">IF(E33&gt;PR_BalDone,MIN(F_MortPayM,E33+E33*(F_MR/12)),0)</f>
        <v>0</v>
      </c>
      <c r="S33" s="20" t="n">
        <f aca="false">IF(F33&gt;PR_BalDone,MIN(F_MortPayM,F33+F33*(F_MR/12)),0)</f>
        <v>0</v>
      </c>
      <c r="T33" s="20" t="n">
        <f aca="false">IF(G33&gt;PR_BalDone,MIN(F_MortPayM,G33+G33*(F_MR/12)),0)</f>
        <v>0</v>
      </c>
      <c r="U33" s="20" t="n">
        <f aca="false">IF(H33&gt;PR_BalDone,MIN(F_MortPayM,H33+H33*(F_MR/12)),0)</f>
        <v>0</v>
      </c>
      <c r="V33" s="20" t="n">
        <f aca="false">IF(I33&gt;PR_BalDone,MIN(F_MortPayM,I33+I33*(F_MR/12)),0)</f>
        <v>0</v>
      </c>
      <c r="W33" s="20" t="n">
        <f aca="false">IF(J33&gt;PR_BalDone,MIN(F_MortPayM,J33+J33*(F_MR/12)),0)</f>
        <v>0</v>
      </c>
      <c r="X33" s="20" t="n">
        <f aca="false">IF(K33&gt;PR_BalDone,MIN(F_MortPayM,K33+K33*(F_MR/12)),0)</f>
        <v>0</v>
      </c>
      <c r="Y33" s="20" t="n">
        <f aca="false">IF(L33&gt;PR_BalDone,MIN(F_MortPayM,L33+L33*(F_MR/12)),0)</f>
        <v>0</v>
      </c>
      <c r="Z33" s="20" t="n">
        <f aca="false">IF(M33&gt;PR_BalDone,MIN(F_MortPayM,M33+M33*(F_MR/12)),0)</f>
        <v>0</v>
      </c>
      <c r="AA33" s="20" t="n">
        <f aca="false">IF(N33&gt;PR_BalDone,MIN(F_MortPayM,N33+N33*(F_MR/12)),0)</f>
        <v>0</v>
      </c>
      <c r="AB33" s="20" t="n">
        <f aca="false">MAX(0,O33)</f>
        <v>0</v>
      </c>
      <c r="AC33" s="20" t="n">
        <f aca="false">SUM(P33:AA33)</f>
        <v>0</v>
      </c>
      <c r="AD33" s="20" t="n">
        <f aca="false">'Plan cashflow'!M33</f>
        <v>0</v>
      </c>
      <c r="AE33" s="20" t="n">
        <f aca="false">IF(AD33&gt;PR_BalDone,AD33+AD33*(D_iC)-MIN(F_CardPayM,AD33+AD33*(D_iC)),AD33)</f>
        <v>0</v>
      </c>
      <c r="AF33" s="20" t="n">
        <f aca="false">IF(AE33&gt;PR_BalDone,AE33+AE33*(D_iC)-MIN(F_CardPayM,AE33+AE33*(D_iC)),AE33)</f>
        <v>0</v>
      </c>
      <c r="AG33" s="20" t="n">
        <f aca="false">IF(AF33&gt;PR_BalDone,AF33+AF33*(D_iC)-MIN(F_CardPayM,AF33+AF33*(D_iC)),AF33)</f>
        <v>0</v>
      </c>
      <c r="AH33" s="20" t="n">
        <f aca="false">IF(AG33&gt;PR_BalDone,AG33+AG33*(D_iC)-MIN(F_CardPayM,AG33+AG33*(D_iC)),AG33)</f>
        <v>0</v>
      </c>
      <c r="AI33" s="20" t="n">
        <f aca="false">IF(AH33&gt;PR_BalDone,AH33+AH33*(D_iC)-MIN(F_CardPayM,AH33+AH33*(D_iC)),AH33)</f>
        <v>0</v>
      </c>
      <c r="AJ33" s="20" t="n">
        <f aca="false">IF(AI33&gt;PR_BalDone,AI33+AI33*(D_iC)-MIN(F_CardPayM,AI33+AI33*(D_iC)),AI33)</f>
        <v>0</v>
      </c>
      <c r="AK33" s="20" t="n">
        <f aca="false">IF(AJ33&gt;PR_BalDone,AJ33+AJ33*(D_iC)-MIN(F_CardPayM,AJ33+AJ33*(D_iC)),AJ33)</f>
        <v>0</v>
      </c>
      <c r="AL33" s="20" t="n">
        <f aca="false">IF(AK33&gt;PR_BalDone,AK33+AK33*(D_iC)-MIN(F_CardPayM,AK33+AK33*(D_iC)),AK33)</f>
        <v>0</v>
      </c>
      <c r="AM33" s="20" t="n">
        <f aca="false">IF(AL33&gt;PR_BalDone,AL33+AL33*(D_iC)-MIN(F_CardPayM,AL33+AL33*(D_iC)),AL33)</f>
        <v>0</v>
      </c>
      <c r="AN33" s="20" t="n">
        <f aca="false">IF(AM33&gt;PR_BalDone,AM33+AM33*(D_iC)-MIN(F_CardPayM,AM33+AM33*(D_iC)),AM33)</f>
        <v>0</v>
      </c>
      <c r="AO33" s="20" t="n">
        <f aca="false">IF(AN33&gt;PR_BalDone,AN33+AN33*(D_iC)-MIN(F_CardPayM,AN33+AN33*(D_iC)),AN33)</f>
        <v>0</v>
      </c>
      <c r="AP33" s="20" t="n">
        <f aca="false">IF(AO33&gt;PR_BalDone,AO33+AO33*(D_iC)-MIN(F_CardPayM,AO33+AO33*(D_iC)),AO33)</f>
        <v>0</v>
      </c>
      <c r="AQ33" s="20" t="n">
        <f aca="false">IF(AD33&gt;PR_BalDone,MIN(F_CardPayM,AD33+AD33*(D_iC)),0)</f>
        <v>0</v>
      </c>
      <c r="AR33" s="20" t="n">
        <f aca="false">IF(AE33&gt;PR_BalDone,MIN(F_CardPayM,AE33+AE33*(D_iC)),0)</f>
        <v>0</v>
      </c>
      <c r="AS33" s="20" t="n">
        <f aca="false">IF(AF33&gt;PR_BalDone,MIN(F_CardPayM,AF33+AF33*(D_iC)),0)</f>
        <v>0</v>
      </c>
      <c r="AT33" s="20" t="n">
        <f aca="false">IF(AG33&gt;PR_BalDone,MIN(F_CardPayM,AG33+AG33*(D_iC)),0)</f>
        <v>0</v>
      </c>
      <c r="AU33" s="20" t="n">
        <f aca="false">IF(AH33&gt;PR_BalDone,MIN(F_CardPayM,AH33+AH33*(D_iC)),0)</f>
        <v>0</v>
      </c>
      <c r="AV33" s="20" t="n">
        <f aca="false">IF(AI33&gt;PR_BalDone,MIN(F_CardPayM,AI33+AI33*(D_iC)),0)</f>
        <v>0</v>
      </c>
      <c r="AW33" s="20" t="n">
        <f aca="false">IF(AJ33&gt;PR_BalDone,MIN(F_CardPayM,AJ33+AJ33*(D_iC)),0)</f>
        <v>0</v>
      </c>
      <c r="AX33" s="20" t="n">
        <f aca="false">IF(AK33&gt;PR_BalDone,MIN(F_CardPayM,AK33+AK33*(D_iC)),0)</f>
        <v>0</v>
      </c>
      <c r="AY33" s="20" t="n">
        <f aca="false">IF(AL33&gt;PR_BalDone,MIN(F_CardPayM,AL33+AL33*(D_iC)),0)</f>
        <v>0</v>
      </c>
      <c r="AZ33" s="20" t="n">
        <f aca="false">IF(AM33&gt;PR_BalDone,MIN(F_CardPayM,AM33+AM33*(D_iC)),0)</f>
        <v>0</v>
      </c>
      <c r="BA33" s="20" t="n">
        <f aca="false">IF(AN33&gt;PR_BalDone,MIN(F_CardPayM,AN33+AN33*(D_iC)),0)</f>
        <v>0</v>
      </c>
      <c r="BB33" s="20" t="n">
        <f aca="false">IF(AO33&gt;PR_BalDone,MIN(F_CardPayM,AO33+AO33*(D_iC)),0)</f>
        <v>0</v>
      </c>
      <c r="BC33" s="20" t="n">
        <f aca="false">MAX(0,AP33)</f>
        <v>0</v>
      </c>
      <c r="BD33" s="20" t="n">
        <f aca="false">SUM(AQ33:BB33)</f>
        <v>0</v>
      </c>
      <c r="BE33" s="20" t="n">
        <f aca="false">'Plan cashflow'!P33</f>
        <v>0</v>
      </c>
      <c r="BF33" s="20" t="n">
        <f aca="false">IF(BE33&gt;PR_BalDone,BE33+BE33*(D_iL)-MIN(F_LoanPayM,BE33+BE33*(D_iL)),BE33)</f>
        <v>0</v>
      </c>
      <c r="BG33" s="20" t="n">
        <f aca="false">IF(BF33&gt;PR_BalDone,BF33+BF33*(D_iL)-MIN(F_LoanPayM,BF33+BF33*(D_iL)),BF33)</f>
        <v>0</v>
      </c>
      <c r="BH33" s="20" t="n">
        <f aca="false">IF(BG33&gt;PR_BalDone,BG33+BG33*(D_iL)-MIN(F_LoanPayM,BG33+BG33*(D_iL)),BG33)</f>
        <v>0</v>
      </c>
      <c r="BI33" s="20" t="n">
        <f aca="false">IF(BH33&gt;PR_BalDone,BH33+BH33*(D_iL)-MIN(F_LoanPayM,BH33+BH33*(D_iL)),BH33)</f>
        <v>0</v>
      </c>
      <c r="BJ33" s="20" t="n">
        <f aca="false">IF(BI33&gt;PR_BalDone,BI33+BI33*(D_iL)-MIN(F_LoanPayM,BI33+BI33*(D_iL)),BI33)</f>
        <v>0</v>
      </c>
      <c r="BK33" s="20" t="n">
        <f aca="false">IF(BJ33&gt;PR_BalDone,BJ33+BJ33*(D_iL)-MIN(F_LoanPayM,BJ33+BJ33*(D_iL)),BJ33)</f>
        <v>0</v>
      </c>
      <c r="BL33" s="20" t="n">
        <f aca="false">IF(BK33&gt;PR_BalDone,BK33+BK33*(D_iL)-MIN(F_LoanPayM,BK33+BK33*(D_iL)),BK33)</f>
        <v>0</v>
      </c>
      <c r="BM33" s="20" t="n">
        <f aca="false">IF(BL33&gt;PR_BalDone,BL33+BL33*(D_iL)-MIN(F_LoanPayM,BL33+BL33*(D_iL)),BL33)</f>
        <v>0</v>
      </c>
      <c r="BN33" s="20" t="n">
        <f aca="false">IF(BM33&gt;PR_BalDone,BM33+BM33*(D_iL)-MIN(F_LoanPayM,BM33+BM33*(D_iL)),BM33)</f>
        <v>0</v>
      </c>
      <c r="BO33" s="20" t="n">
        <f aca="false">IF(BN33&gt;PR_BalDone,BN33+BN33*(D_iL)-MIN(F_LoanPayM,BN33+BN33*(D_iL)),BN33)</f>
        <v>0</v>
      </c>
      <c r="BP33" s="20" t="n">
        <f aca="false">IF(BO33&gt;PR_BalDone,BO33+BO33*(D_iL)-MIN(F_LoanPayM,BO33+BO33*(D_iL)),BO33)</f>
        <v>0</v>
      </c>
      <c r="BQ33" s="20" t="n">
        <f aca="false">IF(BP33&gt;PR_BalDone,BP33+BP33*(D_iL)-MIN(F_LoanPayM,BP33+BP33*(D_iL)),BP33)</f>
        <v>0</v>
      </c>
      <c r="BR33" s="20" t="n">
        <f aca="false">IF(BE33&gt;PR_BalDone,MIN(F_LoanPayM,BE33+BE33*(D_iL)),0)</f>
        <v>0</v>
      </c>
      <c r="BS33" s="20" t="n">
        <f aca="false">IF(BF33&gt;PR_BalDone,MIN(F_LoanPayM,BF33+BF33*(D_iL)),0)</f>
        <v>0</v>
      </c>
      <c r="BT33" s="20" t="n">
        <f aca="false">IF(BG33&gt;PR_BalDone,MIN(F_LoanPayM,BG33+BG33*(D_iL)),0)</f>
        <v>0</v>
      </c>
      <c r="BU33" s="20" t="n">
        <f aca="false">IF(BH33&gt;PR_BalDone,MIN(F_LoanPayM,BH33+BH33*(D_iL)),0)</f>
        <v>0</v>
      </c>
      <c r="BV33" s="20" t="n">
        <f aca="false">IF(BI33&gt;PR_BalDone,MIN(F_LoanPayM,BI33+BI33*(D_iL)),0)</f>
        <v>0</v>
      </c>
      <c r="BW33" s="20" t="n">
        <f aca="false">IF(BJ33&gt;PR_BalDone,MIN(F_LoanPayM,BJ33+BJ33*(D_iL)),0)</f>
        <v>0</v>
      </c>
      <c r="BX33" s="20" t="n">
        <f aca="false">IF(BK33&gt;PR_BalDone,MIN(F_LoanPayM,BK33+BK33*(D_iL)),0)</f>
        <v>0</v>
      </c>
      <c r="BY33" s="20" t="n">
        <f aca="false">IF(BL33&gt;PR_BalDone,MIN(F_LoanPayM,BL33+BL33*(D_iL)),0)</f>
        <v>0</v>
      </c>
      <c r="BZ33" s="20" t="n">
        <f aca="false">IF(BM33&gt;PR_BalDone,MIN(F_LoanPayM,BM33+BM33*(D_iL)),0)</f>
        <v>0</v>
      </c>
      <c r="CA33" s="20" t="n">
        <f aca="false">IF(BN33&gt;PR_BalDone,MIN(F_LoanPayM,BN33+BN33*(D_iL)),0)</f>
        <v>0</v>
      </c>
      <c r="CB33" s="20" t="n">
        <f aca="false">IF(BO33&gt;PR_BalDone,MIN(F_LoanPayM,BO33+BO33*(D_iL)),0)</f>
        <v>0</v>
      </c>
      <c r="CC33" s="20" t="n">
        <f aca="false">IF(BP33&gt;PR_BalDone,MIN(F_LoanPayM,BP33+BP33*(D_iL)),0)</f>
        <v>0</v>
      </c>
      <c r="CD33" s="20" t="n">
        <f aca="false">MAX(0,BQ33)</f>
        <v>0</v>
      </c>
      <c r="CE33" s="20" t="n">
        <f aca="false">SUM(BR33:CC33)</f>
        <v>0</v>
      </c>
      <c r="CF33" s="20" t="n">
        <f aca="false">IF(CF32&gt;1,DE32,CF32)</f>
        <v>0</v>
      </c>
      <c r="CG33" s="20" t="n">
        <f aca="false">IF(CF33&gt;PR_BalDone,CF33+CF33*(F_MR/12)-MIN(F_MortPayM,CF33+CF33*(F_MR/12)),CF33)</f>
        <v>0</v>
      </c>
      <c r="CH33" s="20" t="n">
        <f aca="false">IF(CG33&gt;PR_BalDone,CG33+CG33*(F_MR/12)-MIN(F_MortPayM,CG33+CG33*(F_MR/12)),CG33)</f>
        <v>0</v>
      </c>
      <c r="CI33" s="20" t="n">
        <f aca="false">IF(CH33&gt;PR_BalDone,CH33+CH33*(F_MR/12)-MIN(F_MortPayM,CH33+CH33*(F_MR/12)),CH33)</f>
        <v>0</v>
      </c>
      <c r="CJ33" s="20" t="n">
        <f aca="false">IF(CI33&gt;PR_BalDone,CI33+CI33*(F_MR/12)-MIN(F_MortPayM,CI33+CI33*(F_MR/12)),CI33)</f>
        <v>0</v>
      </c>
      <c r="CK33" s="20" t="n">
        <f aca="false">IF(CJ33&gt;PR_BalDone,CJ33+CJ33*(F_MR/12)-MIN(F_MortPayM,CJ33+CJ33*(F_MR/12)),CJ33)</f>
        <v>0</v>
      </c>
      <c r="CL33" s="20" t="n">
        <f aca="false">IF(CK33&gt;PR_BalDone,CK33+CK33*(F_MR/12)-MIN(F_MortPayM,CK33+CK33*(F_MR/12)),CK33)</f>
        <v>0</v>
      </c>
      <c r="CM33" s="20" t="n">
        <f aca="false">IF(CL33&gt;PR_BalDone,CL33+CL33*(F_MR/12)-MIN(F_MortPayM,CL33+CL33*(F_MR/12)),CL33)</f>
        <v>0</v>
      </c>
      <c r="CN33" s="20" t="n">
        <f aca="false">IF(CM33&gt;PR_BalDone,CM33+CM33*(F_MR/12)-MIN(F_MortPayM,CM33+CM33*(F_MR/12)),CM33)</f>
        <v>0</v>
      </c>
      <c r="CO33" s="20" t="n">
        <f aca="false">IF(CN33&gt;PR_BalDone,CN33+CN33*(F_MR/12)-MIN(F_MortPayM,CN33+CN33*(F_MR/12)),CN33)</f>
        <v>0</v>
      </c>
      <c r="CP33" s="20" t="n">
        <f aca="false">IF(CO33&gt;PR_BalDone,CO33+CO33*(F_MR/12)-MIN(F_MortPayM,CO33+CO33*(F_MR/12)),CO33)</f>
        <v>0</v>
      </c>
      <c r="CQ33" s="20" t="n">
        <f aca="false">IF(CP33&gt;PR_BalDone,CP33+CP33*(F_MR/12)-MIN(F_MortPayM,CP33+CP33*(F_MR/12)),CP33)</f>
        <v>0</v>
      </c>
      <c r="CR33" s="20" t="n">
        <f aca="false">IF(CQ33&gt;PR_BalDone,CQ33+CQ33*(F_MR/12)-MIN(F_MortPayM,CQ33+CQ33*(F_MR/12)),CQ33)</f>
        <v>0</v>
      </c>
      <c r="CS33" s="20" t="n">
        <f aca="false">IF(CF33&gt;PR_BalDone,MIN(F_MortPayM,CF33+CF33*(F_MR/12)),0)</f>
        <v>0</v>
      </c>
      <c r="CT33" s="20" t="n">
        <f aca="false">IF(CG33&gt;PR_BalDone,MIN(F_MortPayM,CG33+CG33*(F_MR/12)),0)</f>
        <v>0</v>
      </c>
      <c r="CU33" s="20" t="n">
        <f aca="false">IF(CH33&gt;PR_BalDone,MIN(F_MortPayM,CH33+CH33*(F_MR/12)),0)</f>
        <v>0</v>
      </c>
      <c r="CV33" s="20" t="n">
        <f aca="false">IF(CI33&gt;PR_BalDone,MIN(F_MortPayM,CI33+CI33*(F_MR/12)),0)</f>
        <v>0</v>
      </c>
      <c r="CW33" s="20" t="n">
        <f aca="false">IF(CJ33&gt;PR_BalDone,MIN(F_MortPayM,CJ33+CJ33*(F_MR/12)),0)</f>
        <v>0</v>
      </c>
      <c r="CX33" s="20" t="n">
        <f aca="false">IF(CK33&gt;PR_BalDone,MIN(F_MortPayM,CK33+CK33*(F_MR/12)),0)</f>
        <v>0</v>
      </c>
      <c r="CY33" s="20" t="n">
        <f aca="false">IF(CL33&gt;PR_BalDone,MIN(F_MortPayM,CL33+CL33*(F_MR/12)),0)</f>
        <v>0</v>
      </c>
      <c r="CZ33" s="20" t="n">
        <f aca="false">IF(CM33&gt;PR_BalDone,MIN(F_MortPayM,CM33+CM33*(F_MR/12)),0)</f>
        <v>0</v>
      </c>
      <c r="DA33" s="20" t="n">
        <f aca="false">IF(CN33&gt;PR_BalDone,MIN(F_MortPayM,CN33+CN33*(F_MR/12)),0)</f>
        <v>0</v>
      </c>
      <c r="DB33" s="20" t="n">
        <f aca="false">IF(CO33&gt;PR_BalDone,MIN(F_MortPayM,CO33+CO33*(F_MR/12)),0)</f>
        <v>0</v>
      </c>
      <c r="DC33" s="20" t="n">
        <f aca="false">IF(CP33&gt;PR_BalDone,MIN(F_MortPayM,CP33+CP33*(F_MR/12)),0)</f>
        <v>0</v>
      </c>
      <c r="DD33" s="20" t="n">
        <f aca="false">IF(CQ33&gt;PR_BalDone,MIN(F_MortPayM,CQ33+CQ33*(F_MR/12)),0)</f>
        <v>0</v>
      </c>
      <c r="DE33" s="20" t="n">
        <f aca="false">MAX(0,CR33)</f>
        <v>0</v>
      </c>
      <c r="DF33" s="20" t="n">
        <f aca="false">SUM(CS33:DD33)</f>
        <v>0</v>
      </c>
      <c r="DG33" s="20" t="n">
        <f aca="false">MAX(0,CF33)</f>
        <v>0</v>
      </c>
    </row>
    <row r="34" customFormat="false" ht="15" hidden="false" customHeight="true" outlineLevel="0" collapsed="false">
      <c r="B34" s="20" t="n">
        <v>26</v>
      </c>
      <c r="C34" s="20" t="n">
        <f aca="false">'Plan cashflow'!J34</f>
        <v>0</v>
      </c>
      <c r="D34" s="20" t="n">
        <f aca="false">IF(C34&gt;PR_BalDone,C34+C34*(F_MR/12)-MIN(F_MortPayM,C34+C34*(F_MR/12)),C34)</f>
        <v>0</v>
      </c>
      <c r="E34" s="20" t="n">
        <f aca="false">IF(D34&gt;PR_BalDone,D34+D34*(F_MR/12)-MIN(F_MortPayM,D34+D34*(F_MR/12)),D34)</f>
        <v>0</v>
      </c>
      <c r="F34" s="20" t="n">
        <f aca="false">IF(E34&gt;PR_BalDone,E34+E34*(F_MR/12)-MIN(F_MortPayM,E34+E34*(F_MR/12)),E34)</f>
        <v>0</v>
      </c>
      <c r="G34" s="20" t="n">
        <f aca="false">IF(F34&gt;PR_BalDone,F34+F34*(F_MR/12)-MIN(F_MortPayM,F34+F34*(F_MR/12)),F34)</f>
        <v>0</v>
      </c>
      <c r="H34" s="20" t="n">
        <f aca="false">IF(G34&gt;PR_BalDone,G34+G34*(F_MR/12)-MIN(F_MortPayM,G34+G34*(F_MR/12)),G34)</f>
        <v>0</v>
      </c>
      <c r="I34" s="20" t="n">
        <f aca="false">IF(H34&gt;PR_BalDone,H34+H34*(F_MR/12)-MIN(F_MortPayM,H34+H34*(F_MR/12)),H34)</f>
        <v>0</v>
      </c>
      <c r="J34" s="20" t="n">
        <f aca="false">IF(I34&gt;PR_BalDone,I34+I34*(F_MR/12)-MIN(F_MortPayM,I34+I34*(F_MR/12)),I34)</f>
        <v>0</v>
      </c>
      <c r="K34" s="20" t="n">
        <f aca="false">IF(J34&gt;PR_BalDone,J34+J34*(F_MR/12)-MIN(F_MortPayM,J34+J34*(F_MR/12)),J34)</f>
        <v>0</v>
      </c>
      <c r="L34" s="20" t="n">
        <f aca="false">IF(K34&gt;PR_BalDone,K34+K34*(F_MR/12)-MIN(F_MortPayM,K34+K34*(F_MR/12)),K34)</f>
        <v>0</v>
      </c>
      <c r="M34" s="20" t="n">
        <f aca="false">IF(L34&gt;PR_BalDone,L34+L34*(F_MR/12)-MIN(F_MortPayM,L34+L34*(F_MR/12)),L34)</f>
        <v>0</v>
      </c>
      <c r="N34" s="20" t="n">
        <f aca="false">IF(M34&gt;PR_BalDone,M34+M34*(F_MR/12)-MIN(F_MortPayM,M34+M34*(F_MR/12)),M34)</f>
        <v>0</v>
      </c>
      <c r="O34" s="20" t="n">
        <f aca="false">IF(N34&gt;PR_BalDone,N34+N34*(F_MR/12)-MIN(F_MortPayM,N34+N34*(F_MR/12)),N34)</f>
        <v>0</v>
      </c>
      <c r="P34" s="20" t="n">
        <f aca="false">IF(C34&gt;PR_BalDone,MIN(F_MortPayM,C34+C34*(F_MR/12)),0)</f>
        <v>0</v>
      </c>
      <c r="Q34" s="20" t="n">
        <f aca="false">IF(D34&gt;PR_BalDone,MIN(F_MortPayM,D34+D34*(F_MR/12)),0)</f>
        <v>0</v>
      </c>
      <c r="R34" s="20" t="n">
        <f aca="false">IF(E34&gt;PR_BalDone,MIN(F_MortPayM,E34+E34*(F_MR/12)),0)</f>
        <v>0</v>
      </c>
      <c r="S34" s="20" t="n">
        <f aca="false">IF(F34&gt;PR_BalDone,MIN(F_MortPayM,F34+F34*(F_MR/12)),0)</f>
        <v>0</v>
      </c>
      <c r="T34" s="20" t="n">
        <f aca="false">IF(G34&gt;PR_BalDone,MIN(F_MortPayM,G34+G34*(F_MR/12)),0)</f>
        <v>0</v>
      </c>
      <c r="U34" s="20" t="n">
        <f aca="false">IF(H34&gt;PR_BalDone,MIN(F_MortPayM,H34+H34*(F_MR/12)),0)</f>
        <v>0</v>
      </c>
      <c r="V34" s="20" t="n">
        <f aca="false">IF(I34&gt;PR_BalDone,MIN(F_MortPayM,I34+I34*(F_MR/12)),0)</f>
        <v>0</v>
      </c>
      <c r="W34" s="20" t="n">
        <f aca="false">IF(J34&gt;PR_BalDone,MIN(F_MortPayM,J34+J34*(F_MR/12)),0)</f>
        <v>0</v>
      </c>
      <c r="X34" s="20" t="n">
        <f aca="false">IF(K34&gt;PR_BalDone,MIN(F_MortPayM,K34+K34*(F_MR/12)),0)</f>
        <v>0</v>
      </c>
      <c r="Y34" s="20" t="n">
        <f aca="false">IF(L34&gt;PR_BalDone,MIN(F_MortPayM,L34+L34*(F_MR/12)),0)</f>
        <v>0</v>
      </c>
      <c r="Z34" s="20" t="n">
        <f aca="false">IF(M34&gt;PR_BalDone,MIN(F_MortPayM,M34+M34*(F_MR/12)),0)</f>
        <v>0</v>
      </c>
      <c r="AA34" s="20" t="n">
        <f aca="false">IF(N34&gt;PR_BalDone,MIN(F_MortPayM,N34+N34*(F_MR/12)),0)</f>
        <v>0</v>
      </c>
      <c r="AB34" s="20" t="n">
        <f aca="false">MAX(0,O34)</f>
        <v>0</v>
      </c>
      <c r="AC34" s="20" t="n">
        <f aca="false">SUM(P34:AA34)</f>
        <v>0</v>
      </c>
      <c r="AD34" s="20" t="n">
        <f aca="false">'Plan cashflow'!M34</f>
        <v>0</v>
      </c>
      <c r="AE34" s="20" t="n">
        <f aca="false">IF(AD34&gt;PR_BalDone,AD34+AD34*(D_iC)-MIN(F_CardPayM,AD34+AD34*(D_iC)),AD34)</f>
        <v>0</v>
      </c>
      <c r="AF34" s="20" t="n">
        <f aca="false">IF(AE34&gt;PR_BalDone,AE34+AE34*(D_iC)-MIN(F_CardPayM,AE34+AE34*(D_iC)),AE34)</f>
        <v>0</v>
      </c>
      <c r="AG34" s="20" t="n">
        <f aca="false">IF(AF34&gt;PR_BalDone,AF34+AF34*(D_iC)-MIN(F_CardPayM,AF34+AF34*(D_iC)),AF34)</f>
        <v>0</v>
      </c>
      <c r="AH34" s="20" t="n">
        <f aca="false">IF(AG34&gt;PR_BalDone,AG34+AG34*(D_iC)-MIN(F_CardPayM,AG34+AG34*(D_iC)),AG34)</f>
        <v>0</v>
      </c>
      <c r="AI34" s="20" t="n">
        <f aca="false">IF(AH34&gt;PR_BalDone,AH34+AH34*(D_iC)-MIN(F_CardPayM,AH34+AH34*(D_iC)),AH34)</f>
        <v>0</v>
      </c>
      <c r="AJ34" s="20" t="n">
        <f aca="false">IF(AI34&gt;PR_BalDone,AI34+AI34*(D_iC)-MIN(F_CardPayM,AI34+AI34*(D_iC)),AI34)</f>
        <v>0</v>
      </c>
      <c r="AK34" s="20" t="n">
        <f aca="false">IF(AJ34&gt;PR_BalDone,AJ34+AJ34*(D_iC)-MIN(F_CardPayM,AJ34+AJ34*(D_iC)),AJ34)</f>
        <v>0</v>
      </c>
      <c r="AL34" s="20" t="n">
        <f aca="false">IF(AK34&gt;PR_BalDone,AK34+AK34*(D_iC)-MIN(F_CardPayM,AK34+AK34*(D_iC)),AK34)</f>
        <v>0</v>
      </c>
      <c r="AM34" s="20" t="n">
        <f aca="false">IF(AL34&gt;PR_BalDone,AL34+AL34*(D_iC)-MIN(F_CardPayM,AL34+AL34*(D_iC)),AL34)</f>
        <v>0</v>
      </c>
      <c r="AN34" s="20" t="n">
        <f aca="false">IF(AM34&gt;PR_BalDone,AM34+AM34*(D_iC)-MIN(F_CardPayM,AM34+AM34*(D_iC)),AM34)</f>
        <v>0</v>
      </c>
      <c r="AO34" s="20" t="n">
        <f aca="false">IF(AN34&gt;PR_BalDone,AN34+AN34*(D_iC)-MIN(F_CardPayM,AN34+AN34*(D_iC)),AN34)</f>
        <v>0</v>
      </c>
      <c r="AP34" s="20" t="n">
        <f aca="false">IF(AO34&gt;PR_BalDone,AO34+AO34*(D_iC)-MIN(F_CardPayM,AO34+AO34*(D_iC)),AO34)</f>
        <v>0</v>
      </c>
      <c r="AQ34" s="20" t="n">
        <f aca="false">IF(AD34&gt;PR_BalDone,MIN(F_CardPayM,AD34+AD34*(D_iC)),0)</f>
        <v>0</v>
      </c>
      <c r="AR34" s="20" t="n">
        <f aca="false">IF(AE34&gt;PR_BalDone,MIN(F_CardPayM,AE34+AE34*(D_iC)),0)</f>
        <v>0</v>
      </c>
      <c r="AS34" s="20" t="n">
        <f aca="false">IF(AF34&gt;PR_BalDone,MIN(F_CardPayM,AF34+AF34*(D_iC)),0)</f>
        <v>0</v>
      </c>
      <c r="AT34" s="20" t="n">
        <f aca="false">IF(AG34&gt;PR_BalDone,MIN(F_CardPayM,AG34+AG34*(D_iC)),0)</f>
        <v>0</v>
      </c>
      <c r="AU34" s="20" t="n">
        <f aca="false">IF(AH34&gt;PR_BalDone,MIN(F_CardPayM,AH34+AH34*(D_iC)),0)</f>
        <v>0</v>
      </c>
      <c r="AV34" s="20" t="n">
        <f aca="false">IF(AI34&gt;PR_BalDone,MIN(F_CardPayM,AI34+AI34*(D_iC)),0)</f>
        <v>0</v>
      </c>
      <c r="AW34" s="20" t="n">
        <f aca="false">IF(AJ34&gt;PR_BalDone,MIN(F_CardPayM,AJ34+AJ34*(D_iC)),0)</f>
        <v>0</v>
      </c>
      <c r="AX34" s="20" t="n">
        <f aca="false">IF(AK34&gt;PR_BalDone,MIN(F_CardPayM,AK34+AK34*(D_iC)),0)</f>
        <v>0</v>
      </c>
      <c r="AY34" s="20" t="n">
        <f aca="false">IF(AL34&gt;PR_BalDone,MIN(F_CardPayM,AL34+AL34*(D_iC)),0)</f>
        <v>0</v>
      </c>
      <c r="AZ34" s="20" t="n">
        <f aca="false">IF(AM34&gt;PR_BalDone,MIN(F_CardPayM,AM34+AM34*(D_iC)),0)</f>
        <v>0</v>
      </c>
      <c r="BA34" s="20" t="n">
        <f aca="false">IF(AN34&gt;PR_BalDone,MIN(F_CardPayM,AN34+AN34*(D_iC)),0)</f>
        <v>0</v>
      </c>
      <c r="BB34" s="20" t="n">
        <f aca="false">IF(AO34&gt;PR_BalDone,MIN(F_CardPayM,AO34+AO34*(D_iC)),0)</f>
        <v>0</v>
      </c>
      <c r="BC34" s="20" t="n">
        <f aca="false">MAX(0,AP34)</f>
        <v>0</v>
      </c>
      <c r="BD34" s="20" t="n">
        <f aca="false">SUM(AQ34:BB34)</f>
        <v>0</v>
      </c>
      <c r="BE34" s="20" t="n">
        <f aca="false">'Plan cashflow'!P34</f>
        <v>0</v>
      </c>
      <c r="BF34" s="20" t="n">
        <f aca="false">IF(BE34&gt;PR_BalDone,BE34+BE34*(D_iL)-MIN(F_LoanPayM,BE34+BE34*(D_iL)),BE34)</f>
        <v>0</v>
      </c>
      <c r="BG34" s="20" t="n">
        <f aca="false">IF(BF34&gt;PR_BalDone,BF34+BF34*(D_iL)-MIN(F_LoanPayM,BF34+BF34*(D_iL)),BF34)</f>
        <v>0</v>
      </c>
      <c r="BH34" s="20" t="n">
        <f aca="false">IF(BG34&gt;PR_BalDone,BG34+BG34*(D_iL)-MIN(F_LoanPayM,BG34+BG34*(D_iL)),BG34)</f>
        <v>0</v>
      </c>
      <c r="BI34" s="20" t="n">
        <f aca="false">IF(BH34&gt;PR_BalDone,BH34+BH34*(D_iL)-MIN(F_LoanPayM,BH34+BH34*(D_iL)),BH34)</f>
        <v>0</v>
      </c>
      <c r="BJ34" s="20" t="n">
        <f aca="false">IF(BI34&gt;PR_BalDone,BI34+BI34*(D_iL)-MIN(F_LoanPayM,BI34+BI34*(D_iL)),BI34)</f>
        <v>0</v>
      </c>
      <c r="BK34" s="20" t="n">
        <f aca="false">IF(BJ34&gt;PR_BalDone,BJ34+BJ34*(D_iL)-MIN(F_LoanPayM,BJ34+BJ34*(D_iL)),BJ34)</f>
        <v>0</v>
      </c>
      <c r="BL34" s="20" t="n">
        <f aca="false">IF(BK34&gt;PR_BalDone,BK34+BK34*(D_iL)-MIN(F_LoanPayM,BK34+BK34*(D_iL)),BK34)</f>
        <v>0</v>
      </c>
      <c r="BM34" s="20" t="n">
        <f aca="false">IF(BL34&gt;PR_BalDone,BL34+BL34*(D_iL)-MIN(F_LoanPayM,BL34+BL34*(D_iL)),BL34)</f>
        <v>0</v>
      </c>
      <c r="BN34" s="20" t="n">
        <f aca="false">IF(BM34&gt;PR_BalDone,BM34+BM34*(D_iL)-MIN(F_LoanPayM,BM34+BM34*(D_iL)),BM34)</f>
        <v>0</v>
      </c>
      <c r="BO34" s="20" t="n">
        <f aca="false">IF(BN34&gt;PR_BalDone,BN34+BN34*(D_iL)-MIN(F_LoanPayM,BN34+BN34*(D_iL)),BN34)</f>
        <v>0</v>
      </c>
      <c r="BP34" s="20" t="n">
        <f aca="false">IF(BO34&gt;PR_BalDone,BO34+BO34*(D_iL)-MIN(F_LoanPayM,BO34+BO34*(D_iL)),BO34)</f>
        <v>0</v>
      </c>
      <c r="BQ34" s="20" t="n">
        <f aca="false">IF(BP34&gt;PR_BalDone,BP34+BP34*(D_iL)-MIN(F_LoanPayM,BP34+BP34*(D_iL)),BP34)</f>
        <v>0</v>
      </c>
      <c r="BR34" s="20" t="n">
        <f aca="false">IF(BE34&gt;PR_BalDone,MIN(F_LoanPayM,BE34+BE34*(D_iL)),0)</f>
        <v>0</v>
      </c>
      <c r="BS34" s="20" t="n">
        <f aca="false">IF(BF34&gt;PR_BalDone,MIN(F_LoanPayM,BF34+BF34*(D_iL)),0)</f>
        <v>0</v>
      </c>
      <c r="BT34" s="20" t="n">
        <f aca="false">IF(BG34&gt;PR_BalDone,MIN(F_LoanPayM,BG34+BG34*(D_iL)),0)</f>
        <v>0</v>
      </c>
      <c r="BU34" s="20" t="n">
        <f aca="false">IF(BH34&gt;PR_BalDone,MIN(F_LoanPayM,BH34+BH34*(D_iL)),0)</f>
        <v>0</v>
      </c>
      <c r="BV34" s="20" t="n">
        <f aca="false">IF(BI34&gt;PR_BalDone,MIN(F_LoanPayM,BI34+BI34*(D_iL)),0)</f>
        <v>0</v>
      </c>
      <c r="BW34" s="20" t="n">
        <f aca="false">IF(BJ34&gt;PR_BalDone,MIN(F_LoanPayM,BJ34+BJ34*(D_iL)),0)</f>
        <v>0</v>
      </c>
      <c r="BX34" s="20" t="n">
        <f aca="false">IF(BK34&gt;PR_BalDone,MIN(F_LoanPayM,BK34+BK34*(D_iL)),0)</f>
        <v>0</v>
      </c>
      <c r="BY34" s="20" t="n">
        <f aca="false">IF(BL34&gt;PR_BalDone,MIN(F_LoanPayM,BL34+BL34*(D_iL)),0)</f>
        <v>0</v>
      </c>
      <c r="BZ34" s="20" t="n">
        <f aca="false">IF(BM34&gt;PR_BalDone,MIN(F_LoanPayM,BM34+BM34*(D_iL)),0)</f>
        <v>0</v>
      </c>
      <c r="CA34" s="20" t="n">
        <f aca="false">IF(BN34&gt;PR_BalDone,MIN(F_LoanPayM,BN34+BN34*(D_iL)),0)</f>
        <v>0</v>
      </c>
      <c r="CB34" s="20" t="n">
        <f aca="false">IF(BO34&gt;PR_BalDone,MIN(F_LoanPayM,BO34+BO34*(D_iL)),0)</f>
        <v>0</v>
      </c>
      <c r="CC34" s="20" t="n">
        <f aca="false">IF(BP34&gt;PR_BalDone,MIN(F_LoanPayM,BP34+BP34*(D_iL)),0)</f>
        <v>0</v>
      </c>
      <c r="CD34" s="20" t="n">
        <f aca="false">MAX(0,BQ34)</f>
        <v>0</v>
      </c>
      <c r="CE34" s="20" t="n">
        <f aca="false">SUM(BR34:CC34)</f>
        <v>0</v>
      </c>
      <c r="CF34" s="20" t="n">
        <f aca="false">IF(CF33&gt;1,DE33,CF33)</f>
        <v>0</v>
      </c>
      <c r="CG34" s="20" t="n">
        <f aca="false">IF(CF34&gt;PR_BalDone,CF34+CF34*(F_MR/12)-MIN(F_MortPayM,CF34+CF34*(F_MR/12)),CF34)</f>
        <v>0</v>
      </c>
      <c r="CH34" s="20" t="n">
        <f aca="false">IF(CG34&gt;PR_BalDone,CG34+CG34*(F_MR/12)-MIN(F_MortPayM,CG34+CG34*(F_MR/12)),CG34)</f>
        <v>0</v>
      </c>
      <c r="CI34" s="20" t="n">
        <f aca="false">IF(CH34&gt;PR_BalDone,CH34+CH34*(F_MR/12)-MIN(F_MortPayM,CH34+CH34*(F_MR/12)),CH34)</f>
        <v>0</v>
      </c>
      <c r="CJ34" s="20" t="n">
        <f aca="false">IF(CI34&gt;PR_BalDone,CI34+CI34*(F_MR/12)-MIN(F_MortPayM,CI34+CI34*(F_MR/12)),CI34)</f>
        <v>0</v>
      </c>
      <c r="CK34" s="20" t="n">
        <f aca="false">IF(CJ34&gt;PR_BalDone,CJ34+CJ34*(F_MR/12)-MIN(F_MortPayM,CJ34+CJ34*(F_MR/12)),CJ34)</f>
        <v>0</v>
      </c>
      <c r="CL34" s="20" t="n">
        <f aca="false">IF(CK34&gt;PR_BalDone,CK34+CK34*(F_MR/12)-MIN(F_MortPayM,CK34+CK34*(F_MR/12)),CK34)</f>
        <v>0</v>
      </c>
      <c r="CM34" s="20" t="n">
        <f aca="false">IF(CL34&gt;PR_BalDone,CL34+CL34*(F_MR/12)-MIN(F_MortPayM,CL34+CL34*(F_MR/12)),CL34)</f>
        <v>0</v>
      </c>
      <c r="CN34" s="20" t="n">
        <f aca="false">IF(CM34&gt;PR_BalDone,CM34+CM34*(F_MR/12)-MIN(F_MortPayM,CM34+CM34*(F_MR/12)),CM34)</f>
        <v>0</v>
      </c>
      <c r="CO34" s="20" t="n">
        <f aca="false">IF(CN34&gt;PR_BalDone,CN34+CN34*(F_MR/12)-MIN(F_MortPayM,CN34+CN34*(F_MR/12)),CN34)</f>
        <v>0</v>
      </c>
      <c r="CP34" s="20" t="n">
        <f aca="false">IF(CO34&gt;PR_BalDone,CO34+CO34*(F_MR/12)-MIN(F_MortPayM,CO34+CO34*(F_MR/12)),CO34)</f>
        <v>0</v>
      </c>
      <c r="CQ34" s="20" t="n">
        <f aca="false">IF(CP34&gt;PR_BalDone,CP34+CP34*(F_MR/12)-MIN(F_MortPayM,CP34+CP34*(F_MR/12)),CP34)</f>
        <v>0</v>
      </c>
      <c r="CR34" s="20" t="n">
        <f aca="false">IF(CQ34&gt;PR_BalDone,CQ34+CQ34*(F_MR/12)-MIN(F_MortPayM,CQ34+CQ34*(F_MR/12)),CQ34)</f>
        <v>0</v>
      </c>
      <c r="CS34" s="20" t="n">
        <f aca="false">IF(CF34&gt;PR_BalDone,MIN(F_MortPayM,CF34+CF34*(F_MR/12)),0)</f>
        <v>0</v>
      </c>
      <c r="CT34" s="20" t="n">
        <f aca="false">IF(CG34&gt;PR_BalDone,MIN(F_MortPayM,CG34+CG34*(F_MR/12)),0)</f>
        <v>0</v>
      </c>
      <c r="CU34" s="20" t="n">
        <f aca="false">IF(CH34&gt;PR_BalDone,MIN(F_MortPayM,CH34+CH34*(F_MR/12)),0)</f>
        <v>0</v>
      </c>
      <c r="CV34" s="20" t="n">
        <f aca="false">IF(CI34&gt;PR_BalDone,MIN(F_MortPayM,CI34+CI34*(F_MR/12)),0)</f>
        <v>0</v>
      </c>
      <c r="CW34" s="20" t="n">
        <f aca="false">IF(CJ34&gt;PR_BalDone,MIN(F_MortPayM,CJ34+CJ34*(F_MR/12)),0)</f>
        <v>0</v>
      </c>
      <c r="CX34" s="20" t="n">
        <f aca="false">IF(CK34&gt;PR_BalDone,MIN(F_MortPayM,CK34+CK34*(F_MR/12)),0)</f>
        <v>0</v>
      </c>
      <c r="CY34" s="20" t="n">
        <f aca="false">IF(CL34&gt;PR_BalDone,MIN(F_MortPayM,CL34+CL34*(F_MR/12)),0)</f>
        <v>0</v>
      </c>
      <c r="CZ34" s="20" t="n">
        <f aca="false">IF(CM34&gt;PR_BalDone,MIN(F_MortPayM,CM34+CM34*(F_MR/12)),0)</f>
        <v>0</v>
      </c>
      <c r="DA34" s="20" t="n">
        <f aca="false">IF(CN34&gt;PR_BalDone,MIN(F_MortPayM,CN34+CN34*(F_MR/12)),0)</f>
        <v>0</v>
      </c>
      <c r="DB34" s="20" t="n">
        <f aca="false">IF(CO34&gt;PR_BalDone,MIN(F_MortPayM,CO34+CO34*(F_MR/12)),0)</f>
        <v>0</v>
      </c>
      <c r="DC34" s="20" t="n">
        <f aca="false">IF(CP34&gt;PR_BalDone,MIN(F_MortPayM,CP34+CP34*(F_MR/12)),0)</f>
        <v>0</v>
      </c>
      <c r="DD34" s="20" t="n">
        <f aca="false">IF(CQ34&gt;PR_BalDone,MIN(F_MortPayM,CQ34+CQ34*(F_MR/12)),0)</f>
        <v>0</v>
      </c>
      <c r="DE34" s="20" t="n">
        <f aca="false">MAX(0,CR34)</f>
        <v>0</v>
      </c>
      <c r="DF34" s="20" t="n">
        <f aca="false">SUM(CS34:DD34)</f>
        <v>0</v>
      </c>
      <c r="DG34" s="20" t="n">
        <f aca="false">MAX(0,CF34)</f>
        <v>0</v>
      </c>
    </row>
    <row r="35" customFormat="false" ht="15" hidden="false" customHeight="true" outlineLevel="0" collapsed="false">
      <c r="B35" s="20" t="n">
        <v>27</v>
      </c>
      <c r="C35" s="20" t="n">
        <f aca="false">'Plan cashflow'!J35</f>
        <v>0</v>
      </c>
      <c r="D35" s="20" t="n">
        <f aca="false">IF(C35&gt;PR_BalDone,C35+C35*(F_MR/12)-MIN(F_MortPayM,C35+C35*(F_MR/12)),C35)</f>
        <v>0</v>
      </c>
      <c r="E35" s="20" t="n">
        <f aca="false">IF(D35&gt;PR_BalDone,D35+D35*(F_MR/12)-MIN(F_MortPayM,D35+D35*(F_MR/12)),D35)</f>
        <v>0</v>
      </c>
      <c r="F35" s="20" t="n">
        <f aca="false">IF(E35&gt;PR_BalDone,E35+E35*(F_MR/12)-MIN(F_MortPayM,E35+E35*(F_MR/12)),E35)</f>
        <v>0</v>
      </c>
      <c r="G35" s="20" t="n">
        <f aca="false">IF(F35&gt;PR_BalDone,F35+F35*(F_MR/12)-MIN(F_MortPayM,F35+F35*(F_MR/12)),F35)</f>
        <v>0</v>
      </c>
      <c r="H35" s="20" t="n">
        <f aca="false">IF(G35&gt;PR_BalDone,G35+G35*(F_MR/12)-MIN(F_MortPayM,G35+G35*(F_MR/12)),G35)</f>
        <v>0</v>
      </c>
      <c r="I35" s="20" t="n">
        <f aca="false">IF(H35&gt;PR_BalDone,H35+H35*(F_MR/12)-MIN(F_MortPayM,H35+H35*(F_MR/12)),H35)</f>
        <v>0</v>
      </c>
      <c r="J35" s="20" t="n">
        <f aca="false">IF(I35&gt;PR_BalDone,I35+I35*(F_MR/12)-MIN(F_MortPayM,I35+I35*(F_MR/12)),I35)</f>
        <v>0</v>
      </c>
      <c r="K35" s="20" t="n">
        <f aca="false">IF(J35&gt;PR_BalDone,J35+J35*(F_MR/12)-MIN(F_MortPayM,J35+J35*(F_MR/12)),J35)</f>
        <v>0</v>
      </c>
      <c r="L35" s="20" t="n">
        <f aca="false">IF(K35&gt;PR_BalDone,K35+K35*(F_MR/12)-MIN(F_MortPayM,K35+K35*(F_MR/12)),K35)</f>
        <v>0</v>
      </c>
      <c r="M35" s="20" t="n">
        <f aca="false">IF(L35&gt;PR_BalDone,L35+L35*(F_MR/12)-MIN(F_MortPayM,L35+L35*(F_MR/12)),L35)</f>
        <v>0</v>
      </c>
      <c r="N35" s="20" t="n">
        <f aca="false">IF(M35&gt;PR_BalDone,M35+M35*(F_MR/12)-MIN(F_MortPayM,M35+M35*(F_MR/12)),M35)</f>
        <v>0</v>
      </c>
      <c r="O35" s="20" t="n">
        <f aca="false">IF(N35&gt;PR_BalDone,N35+N35*(F_MR/12)-MIN(F_MortPayM,N35+N35*(F_MR/12)),N35)</f>
        <v>0</v>
      </c>
      <c r="P35" s="20" t="n">
        <f aca="false">IF(C35&gt;PR_BalDone,MIN(F_MortPayM,C35+C35*(F_MR/12)),0)</f>
        <v>0</v>
      </c>
      <c r="Q35" s="20" t="n">
        <f aca="false">IF(D35&gt;PR_BalDone,MIN(F_MortPayM,D35+D35*(F_MR/12)),0)</f>
        <v>0</v>
      </c>
      <c r="R35" s="20" t="n">
        <f aca="false">IF(E35&gt;PR_BalDone,MIN(F_MortPayM,E35+E35*(F_MR/12)),0)</f>
        <v>0</v>
      </c>
      <c r="S35" s="20" t="n">
        <f aca="false">IF(F35&gt;PR_BalDone,MIN(F_MortPayM,F35+F35*(F_MR/12)),0)</f>
        <v>0</v>
      </c>
      <c r="T35" s="20" t="n">
        <f aca="false">IF(G35&gt;PR_BalDone,MIN(F_MortPayM,G35+G35*(F_MR/12)),0)</f>
        <v>0</v>
      </c>
      <c r="U35" s="20" t="n">
        <f aca="false">IF(H35&gt;PR_BalDone,MIN(F_MortPayM,H35+H35*(F_MR/12)),0)</f>
        <v>0</v>
      </c>
      <c r="V35" s="20" t="n">
        <f aca="false">IF(I35&gt;PR_BalDone,MIN(F_MortPayM,I35+I35*(F_MR/12)),0)</f>
        <v>0</v>
      </c>
      <c r="W35" s="20" t="n">
        <f aca="false">IF(J35&gt;PR_BalDone,MIN(F_MortPayM,J35+J35*(F_MR/12)),0)</f>
        <v>0</v>
      </c>
      <c r="X35" s="20" t="n">
        <f aca="false">IF(K35&gt;PR_BalDone,MIN(F_MortPayM,K35+K35*(F_MR/12)),0)</f>
        <v>0</v>
      </c>
      <c r="Y35" s="20" t="n">
        <f aca="false">IF(L35&gt;PR_BalDone,MIN(F_MortPayM,L35+L35*(F_MR/12)),0)</f>
        <v>0</v>
      </c>
      <c r="Z35" s="20" t="n">
        <f aca="false">IF(M35&gt;PR_BalDone,MIN(F_MortPayM,M35+M35*(F_MR/12)),0)</f>
        <v>0</v>
      </c>
      <c r="AA35" s="20" t="n">
        <f aca="false">IF(N35&gt;PR_BalDone,MIN(F_MortPayM,N35+N35*(F_MR/12)),0)</f>
        <v>0</v>
      </c>
      <c r="AB35" s="20" t="n">
        <f aca="false">MAX(0,O35)</f>
        <v>0</v>
      </c>
      <c r="AC35" s="20" t="n">
        <f aca="false">SUM(P35:AA35)</f>
        <v>0</v>
      </c>
      <c r="AD35" s="20" t="n">
        <f aca="false">'Plan cashflow'!M35</f>
        <v>0</v>
      </c>
      <c r="AE35" s="20" t="n">
        <f aca="false">IF(AD35&gt;PR_BalDone,AD35+AD35*(D_iC)-MIN(F_CardPayM,AD35+AD35*(D_iC)),AD35)</f>
        <v>0</v>
      </c>
      <c r="AF35" s="20" t="n">
        <f aca="false">IF(AE35&gt;PR_BalDone,AE35+AE35*(D_iC)-MIN(F_CardPayM,AE35+AE35*(D_iC)),AE35)</f>
        <v>0</v>
      </c>
      <c r="AG35" s="20" t="n">
        <f aca="false">IF(AF35&gt;PR_BalDone,AF35+AF35*(D_iC)-MIN(F_CardPayM,AF35+AF35*(D_iC)),AF35)</f>
        <v>0</v>
      </c>
      <c r="AH35" s="20" t="n">
        <f aca="false">IF(AG35&gt;PR_BalDone,AG35+AG35*(D_iC)-MIN(F_CardPayM,AG35+AG35*(D_iC)),AG35)</f>
        <v>0</v>
      </c>
      <c r="AI35" s="20" t="n">
        <f aca="false">IF(AH35&gt;PR_BalDone,AH35+AH35*(D_iC)-MIN(F_CardPayM,AH35+AH35*(D_iC)),AH35)</f>
        <v>0</v>
      </c>
      <c r="AJ35" s="20" t="n">
        <f aca="false">IF(AI35&gt;PR_BalDone,AI35+AI35*(D_iC)-MIN(F_CardPayM,AI35+AI35*(D_iC)),AI35)</f>
        <v>0</v>
      </c>
      <c r="AK35" s="20" t="n">
        <f aca="false">IF(AJ35&gt;PR_BalDone,AJ35+AJ35*(D_iC)-MIN(F_CardPayM,AJ35+AJ35*(D_iC)),AJ35)</f>
        <v>0</v>
      </c>
      <c r="AL35" s="20" t="n">
        <f aca="false">IF(AK35&gt;PR_BalDone,AK35+AK35*(D_iC)-MIN(F_CardPayM,AK35+AK35*(D_iC)),AK35)</f>
        <v>0</v>
      </c>
      <c r="AM35" s="20" t="n">
        <f aca="false">IF(AL35&gt;PR_BalDone,AL35+AL35*(D_iC)-MIN(F_CardPayM,AL35+AL35*(D_iC)),AL35)</f>
        <v>0</v>
      </c>
      <c r="AN35" s="20" t="n">
        <f aca="false">IF(AM35&gt;PR_BalDone,AM35+AM35*(D_iC)-MIN(F_CardPayM,AM35+AM35*(D_iC)),AM35)</f>
        <v>0</v>
      </c>
      <c r="AO35" s="20" t="n">
        <f aca="false">IF(AN35&gt;PR_BalDone,AN35+AN35*(D_iC)-MIN(F_CardPayM,AN35+AN35*(D_iC)),AN35)</f>
        <v>0</v>
      </c>
      <c r="AP35" s="20" t="n">
        <f aca="false">IF(AO35&gt;PR_BalDone,AO35+AO35*(D_iC)-MIN(F_CardPayM,AO35+AO35*(D_iC)),AO35)</f>
        <v>0</v>
      </c>
      <c r="AQ35" s="20" t="n">
        <f aca="false">IF(AD35&gt;PR_BalDone,MIN(F_CardPayM,AD35+AD35*(D_iC)),0)</f>
        <v>0</v>
      </c>
      <c r="AR35" s="20" t="n">
        <f aca="false">IF(AE35&gt;PR_BalDone,MIN(F_CardPayM,AE35+AE35*(D_iC)),0)</f>
        <v>0</v>
      </c>
      <c r="AS35" s="20" t="n">
        <f aca="false">IF(AF35&gt;PR_BalDone,MIN(F_CardPayM,AF35+AF35*(D_iC)),0)</f>
        <v>0</v>
      </c>
      <c r="AT35" s="20" t="n">
        <f aca="false">IF(AG35&gt;PR_BalDone,MIN(F_CardPayM,AG35+AG35*(D_iC)),0)</f>
        <v>0</v>
      </c>
      <c r="AU35" s="20" t="n">
        <f aca="false">IF(AH35&gt;PR_BalDone,MIN(F_CardPayM,AH35+AH35*(D_iC)),0)</f>
        <v>0</v>
      </c>
      <c r="AV35" s="20" t="n">
        <f aca="false">IF(AI35&gt;PR_BalDone,MIN(F_CardPayM,AI35+AI35*(D_iC)),0)</f>
        <v>0</v>
      </c>
      <c r="AW35" s="20" t="n">
        <f aca="false">IF(AJ35&gt;PR_BalDone,MIN(F_CardPayM,AJ35+AJ35*(D_iC)),0)</f>
        <v>0</v>
      </c>
      <c r="AX35" s="20" t="n">
        <f aca="false">IF(AK35&gt;PR_BalDone,MIN(F_CardPayM,AK35+AK35*(D_iC)),0)</f>
        <v>0</v>
      </c>
      <c r="AY35" s="20" t="n">
        <f aca="false">IF(AL35&gt;PR_BalDone,MIN(F_CardPayM,AL35+AL35*(D_iC)),0)</f>
        <v>0</v>
      </c>
      <c r="AZ35" s="20" t="n">
        <f aca="false">IF(AM35&gt;PR_BalDone,MIN(F_CardPayM,AM35+AM35*(D_iC)),0)</f>
        <v>0</v>
      </c>
      <c r="BA35" s="20" t="n">
        <f aca="false">IF(AN35&gt;PR_BalDone,MIN(F_CardPayM,AN35+AN35*(D_iC)),0)</f>
        <v>0</v>
      </c>
      <c r="BB35" s="20" t="n">
        <f aca="false">IF(AO35&gt;PR_BalDone,MIN(F_CardPayM,AO35+AO35*(D_iC)),0)</f>
        <v>0</v>
      </c>
      <c r="BC35" s="20" t="n">
        <f aca="false">MAX(0,AP35)</f>
        <v>0</v>
      </c>
      <c r="BD35" s="20" t="n">
        <f aca="false">SUM(AQ35:BB35)</f>
        <v>0</v>
      </c>
      <c r="BE35" s="20" t="n">
        <f aca="false">'Plan cashflow'!P35</f>
        <v>0</v>
      </c>
      <c r="BF35" s="20" t="n">
        <f aca="false">IF(BE35&gt;PR_BalDone,BE35+BE35*(D_iL)-MIN(F_LoanPayM,BE35+BE35*(D_iL)),BE35)</f>
        <v>0</v>
      </c>
      <c r="BG35" s="20" t="n">
        <f aca="false">IF(BF35&gt;PR_BalDone,BF35+BF35*(D_iL)-MIN(F_LoanPayM,BF35+BF35*(D_iL)),BF35)</f>
        <v>0</v>
      </c>
      <c r="BH35" s="20" t="n">
        <f aca="false">IF(BG35&gt;PR_BalDone,BG35+BG35*(D_iL)-MIN(F_LoanPayM,BG35+BG35*(D_iL)),BG35)</f>
        <v>0</v>
      </c>
      <c r="BI35" s="20" t="n">
        <f aca="false">IF(BH35&gt;PR_BalDone,BH35+BH35*(D_iL)-MIN(F_LoanPayM,BH35+BH35*(D_iL)),BH35)</f>
        <v>0</v>
      </c>
      <c r="BJ35" s="20" t="n">
        <f aca="false">IF(BI35&gt;PR_BalDone,BI35+BI35*(D_iL)-MIN(F_LoanPayM,BI35+BI35*(D_iL)),BI35)</f>
        <v>0</v>
      </c>
      <c r="BK35" s="20" t="n">
        <f aca="false">IF(BJ35&gt;PR_BalDone,BJ35+BJ35*(D_iL)-MIN(F_LoanPayM,BJ35+BJ35*(D_iL)),BJ35)</f>
        <v>0</v>
      </c>
      <c r="BL35" s="20" t="n">
        <f aca="false">IF(BK35&gt;PR_BalDone,BK35+BK35*(D_iL)-MIN(F_LoanPayM,BK35+BK35*(D_iL)),BK35)</f>
        <v>0</v>
      </c>
      <c r="BM35" s="20" t="n">
        <f aca="false">IF(BL35&gt;PR_BalDone,BL35+BL35*(D_iL)-MIN(F_LoanPayM,BL35+BL35*(D_iL)),BL35)</f>
        <v>0</v>
      </c>
      <c r="BN35" s="20" t="n">
        <f aca="false">IF(BM35&gt;PR_BalDone,BM35+BM35*(D_iL)-MIN(F_LoanPayM,BM35+BM35*(D_iL)),BM35)</f>
        <v>0</v>
      </c>
      <c r="BO35" s="20" t="n">
        <f aca="false">IF(BN35&gt;PR_BalDone,BN35+BN35*(D_iL)-MIN(F_LoanPayM,BN35+BN35*(D_iL)),BN35)</f>
        <v>0</v>
      </c>
      <c r="BP35" s="20" t="n">
        <f aca="false">IF(BO35&gt;PR_BalDone,BO35+BO35*(D_iL)-MIN(F_LoanPayM,BO35+BO35*(D_iL)),BO35)</f>
        <v>0</v>
      </c>
      <c r="BQ35" s="20" t="n">
        <f aca="false">IF(BP35&gt;PR_BalDone,BP35+BP35*(D_iL)-MIN(F_LoanPayM,BP35+BP35*(D_iL)),BP35)</f>
        <v>0</v>
      </c>
      <c r="BR35" s="20" t="n">
        <f aca="false">IF(BE35&gt;PR_BalDone,MIN(F_LoanPayM,BE35+BE35*(D_iL)),0)</f>
        <v>0</v>
      </c>
      <c r="BS35" s="20" t="n">
        <f aca="false">IF(BF35&gt;PR_BalDone,MIN(F_LoanPayM,BF35+BF35*(D_iL)),0)</f>
        <v>0</v>
      </c>
      <c r="BT35" s="20" t="n">
        <f aca="false">IF(BG35&gt;PR_BalDone,MIN(F_LoanPayM,BG35+BG35*(D_iL)),0)</f>
        <v>0</v>
      </c>
      <c r="BU35" s="20" t="n">
        <f aca="false">IF(BH35&gt;PR_BalDone,MIN(F_LoanPayM,BH35+BH35*(D_iL)),0)</f>
        <v>0</v>
      </c>
      <c r="BV35" s="20" t="n">
        <f aca="false">IF(BI35&gt;PR_BalDone,MIN(F_LoanPayM,BI35+BI35*(D_iL)),0)</f>
        <v>0</v>
      </c>
      <c r="BW35" s="20" t="n">
        <f aca="false">IF(BJ35&gt;PR_BalDone,MIN(F_LoanPayM,BJ35+BJ35*(D_iL)),0)</f>
        <v>0</v>
      </c>
      <c r="BX35" s="20" t="n">
        <f aca="false">IF(BK35&gt;PR_BalDone,MIN(F_LoanPayM,BK35+BK35*(D_iL)),0)</f>
        <v>0</v>
      </c>
      <c r="BY35" s="20" t="n">
        <f aca="false">IF(BL35&gt;PR_BalDone,MIN(F_LoanPayM,BL35+BL35*(D_iL)),0)</f>
        <v>0</v>
      </c>
      <c r="BZ35" s="20" t="n">
        <f aca="false">IF(BM35&gt;PR_BalDone,MIN(F_LoanPayM,BM35+BM35*(D_iL)),0)</f>
        <v>0</v>
      </c>
      <c r="CA35" s="20" t="n">
        <f aca="false">IF(BN35&gt;PR_BalDone,MIN(F_LoanPayM,BN35+BN35*(D_iL)),0)</f>
        <v>0</v>
      </c>
      <c r="CB35" s="20" t="n">
        <f aca="false">IF(BO35&gt;PR_BalDone,MIN(F_LoanPayM,BO35+BO35*(D_iL)),0)</f>
        <v>0</v>
      </c>
      <c r="CC35" s="20" t="n">
        <f aca="false">IF(BP35&gt;PR_BalDone,MIN(F_LoanPayM,BP35+BP35*(D_iL)),0)</f>
        <v>0</v>
      </c>
      <c r="CD35" s="20" t="n">
        <f aca="false">MAX(0,BQ35)</f>
        <v>0</v>
      </c>
      <c r="CE35" s="20" t="n">
        <f aca="false">SUM(BR35:CC35)</f>
        <v>0</v>
      </c>
      <c r="CF35" s="20" t="n">
        <f aca="false">IF(CF34&gt;1,DE34,CF34)</f>
        <v>0</v>
      </c>
      <c r="CG35" s="20" t="n">
        <f aca="false">IF(CF35&gt;PR_BalDone,CF35+CF35*(F_MR/12)-MIN(F_MortPayM,CF35+CF35*(F_MR/12)),CF35)</f>
        <v>0</v>
      </c>
      <c r="CH35" s="20" t="n">
        <f aca="false">IF(CG35&gt;PR_BalDone,CG35+CG35*(F_MR/12)-MIN(F_MortPayM,CG35+CG35*(F_MR/12)),CG35)</f>
        <v>0</v>
      </c>
      <c r="CI35" s="20" t="n">
        <f aca="false">IF(CH35&gt;PR_BalDone,CH35+CH35*(F_MR/12)-MIN(F_MortPayM,CH35+CH35*(F_MR/12)),CH35)</f>
        <v>0</v>
      </c>
      <c r="CJ35" s="20" t="n">
        <f aca="false">IF(CI35&gt;PR_BalDone,CI35+CI35*(F_MR/12)-MIN(F_MortPayM,CI35+CI35*(F_MR/12)),CI35)</f>
        <v>0</v>
      </c>
      <c r="CK35" s="20" t="n">
        <f aca="false">IF(CJ35&gt;PR_BalDone,CJ35+CJ35*(F_MR/12)-MIN(F_MortPayM,CJ35+CJ35*(F_MR/12)),CJ35)</f>
        <v>0</v>
      </c>
      <c r="CL35" s="20" t="n">
        <f aca="false">IF(CK35&gt;PR_BalDone,CK35+CK35*(F_MR/12)-MIN(F_MortPayM,CK35+CK35*(F_MR/12)),CK35)</f>
        <v>0</v>
      </c>
      <c r="CM35" s="20" t="n">
        <f aca="false">IF(CL35&gt;PR_BalDone,CL35+CL35*(F_MR/12)-MIN(F_MortPayM,CL35+CL35*(F_MR/12)),CL35)</f>
        <v>0</v>
      </c>
      <c r="CN35" s="20" t="n">
        <f aca="false">IF(CM35&gt;PR_BalDone,CM35+CM35*(F_MR/12)-MIN(F_MortPayM,CM35+CM35*(F_MR/12)),CM35)</f>
        <v>0</v>
      </c>
      <c r="CO35" s="20" t="n">
        <f aca="false">IF(CN35&gt;PR_BalDone,CN35+CN35*(F_MR/12)-MIN(F_MortPayM,CN35+CN35*(F_MR/12)),CN35)</f>
        <v>0</v>
      </c>
      <c r="CP35" s="20" t="n">
        <f aca="false">IF(CO35&gt;PR_BalDone,CO35+CO35*(F_MR/12)-MIN(F_MortPayM,CO35+CO35*(F_MR/12)),CO35)</f>
        <v>0</v>
      </c>
      <c r="CQ35" s="20" t="n">
        <f aca="false">IF(CP35&gt;PR_BalDone,CP35+CP35*(F_MR/12)-MIN(F_MortPayM,CP35+CP35*(F_MR/12)),CP35)</f>
        <v>0</v>
      </c>
      <c r="CR35" s="20" t="n">
        <f aca="false">IF(CQ35&gt;PR_BalDone,CQ35+CQ35*(F_MR/12)-MIN(F_MortPayM,CQ35+CQ35*(F_MR/12)),CQ35)</f>
        <v>0</v>
      </c>
      <c r="CS35" s="20" t="n">
        <f aca="false">IF(CF35&gt;PR_BalDone,MIN(F_MortPayM,CF35+CF35*(F_MR/12)),0)</f>
        <v>0</v>
      </c>
      <c r="CT35" s="20" t="n">
        <f aca="false">IF(CG35&gt;PR_BalDone,MIN(F_MortPayM,CG35+CG35*(F_MR/12)),0)</f>
        <v>0</v>
      </c>
      <c r="CU35" s="20" t="n">
        <f aca="false">IF(CH35&gt;PR_BalDone,MIN(F_MortPayM,CH35+CH35*(F_MR/12)),0)</f>
        <v>0</v>
      </c>
      <c r="CV35" s="20" t="n">
        <f aca="false">IF(CI35&gt;PR_BalDone,MIN(F_MortPayM,CI35+CI35*(F_MR/12)),0)</f>
        <v>0</v>
      </c>
      <c r="CW35" s="20" t="n">
        <f aca="false">IF(CJ35&gt;PR_BalDone,MIN(F_MortPayM,CJ35+CJ35*(F_MR/12)),0)</f>
        <v>0</v>
      </c>
      <c r="CX35" s="20" t="n">
        <f aca="false">IF(CK35&gt;PR_BalDone,MIN(F_MortPayM,CK35+CK35*(F_MR/12)),0)</f>
        <v>0</v>
      </c>
      <c r="CY35" s="20" t="n">
        <f aca="false">IF(CL35&gt;PR_BalDone,MIN(F_MortPayM,CL35+CL35*(F_MR/12)),0)</f>
        <v>0</v>
      </c>
      <c r="CZ35" s="20" t="n">
        <f aca="false">IF(CM35&gt;PR_BalDone,MIN(F_MortPayM,CM35+CM35*(F_MR/12)),0)</f>
        <v>0</v>
      </c>
      <c r="DA35" s="20" t="n">
        <f aca="false">IF(CN35&gt;PR_BalDone,MIN(F_MortPayM,CN35+CN35*(F_MR/12)),0)</f>
        <v>0</v>
      </c>
      <c r="DB35" s="20" t="n">
        <f aca="false">IF(CO35&gt;PR_BalDone,MIN(F_MortPayM,CO35+CO35*(F_MR/12)),0)</f>
        <v>0</v>
      </c>
      <c r="DC35" s="20" t="n">
        <f aca="false">IF(CP35&gt;PR_BalDone,MIN(F_MortPayM,CP35+CP35*(F_MR/12)),0)</f>
        <v>0</v>
      </c>
      <c r="DD35" s="20" t="n">
        <f aca="false">IF(CQ35&gt;PR_BalDone,MIN(F_MortPayM,CQ35+CQ35*(F_MR/12)),0)</f>
        <v>0</v>
      </c>
      <c r="DE35" s="20" t="n">
        <f aca="false">MAX(0,CR35)</f>
        <v>0</v>
      </c>
      <c r="DF35" s="20" t="n">
        <f aca="false">SUM(CS35:DD35)</f>
        <v>0</v>
      </c>
      <c r="DG35" s="20" t="n">
        <f aca="false">MAX(0,CF35)</f>
        <v>0</v>
      </c>
    </row>
    <row r="36" customFormat="false" ht="15" hidden="false" customHeight="true" outlineLevel="0" collapsed="false">
      <c r="B36" s="20" t="n">
        <v>28</v>
      </c>
      <c r="C36" s="20" t="n">
        <f aca="false">'Plan cashflow'!J36</f>
        <v>0</v>
      </c>
      <c r="D36" s="20" t="n">
        <f aca="false">IF(C36&gt;PR_BalDone,C36+C36*(F_MR/12)-MIN(F_MortPayM,C36+C36*(F_MR/12)),C36)</f>
        <v>0</v>
      </c>
      <c r="E36" s="20" t="n">
        <f aca="false">IF(D36&gt;PR_BalDone,D36+D36*(F_MR/12)-MIN(F_MortPayM,D36+D36*(F_MR/12)),D36)</f>
        <v>0</v>
      </c>
      <c r="F36" s="20" t="n">
        <f aca="false">IF(E36&gt;PR_BalDone,E36+E36*(F_MR/12)-MIN(F_MortPayM,E36+E36*(F_MR/12)),E36)</f>
        <v>0</v>
      </c>
      <c r="G36" s="20" t="n">
        <f aca="false">IF(F36&gt;PR_BalDone,F36+F36*(F_MR/12)-MIN(F_MortPayM,F36+F36*(F_MR/12)),F36)</f>
        <v>0</v>
      </c>
      <c r="H36" s="20" t="n">
        <f aca="false">IF(G36&gt;PR_BalDone,G36+G36*(F_MR/12)-MIN(F_MortPayM,G36+G36*(F_MR/12)),G36)</f>
        <v>0</v>
      </c>
      <c r="I36" s="20" t="n">
        <f aca="false">IF(H36&gt;PR_BalDone,H36+H36*(F_MR/12)-MIN(F_MortPayM,H36+H36*(F_MR/12)),H36)</f>
        <v>0</v>
      </c>
      <c r="J36" s="20" t="n">
        <f aca="false">IF(I36&gt;PR_BalDone,I36+I36*(F_MR/12)-MIN(F_MortPayM,I36+I36*(F_MR/12)),I36)</f>
        <v>0</v>
      </c>
      <c r="K36" s="20" t="n">
        <f aca="false">IF(J36&gt;PR_BalDone,J36+J36*(F_MR/12)-MIN(F_MortPayM,J36+J36*(F_MR/12)),J36)</f>
        <v>0</v>
      </c>
      <c r="L36" s="20" t="n">
        <f aca="false">IF(K36&gt;PR_BalDone,K36+K36*(F_MR/12)-MIN(F_MortPayM,K36+K36*(F_MR/12)),K36)</f>
        <v>0</v>
      </c>
      <c r="M36" s="20" t="n">
        <f aca="false">IF(L36&gt;PR_BalDone,L36+L36*(F_MR/12)-MIN(F_MortPayM,L36+L36*(F_MR/12)),L36)</f>
        <v>0</v>
      </c>
      <c r="N36" s="20" t="n">
        <f aca="false">IF(M36&gt;PR_BalDone,M36+M36*(F_MR/12)-MIN(F_MortPayM,M36+M36*(F_MR/12)),M36)</f>
        <v>0</v>
      </c>
      <c r="O36" s="20" t="n">
        <f aca="false">IF(N36&gt;PR_BalDone,N36+N36*(F_MR/12)-MIN(F_MortPayM,N36+N36*(F_MR/12)),N36)</f>
        <v>0</v>
      </c>
      <c r="P36" s="20" t="n">
        <f aca="false">IF(C36&gt;PR_BalDone,MIN(F_MortPayM,C36+C36*(F_MR/12)),0)</f>
        <v>0</v>
      </c>
      <c r="Q36" s="20" t="n">
        <f aca="false">IF(D36&gt;PR_BalDone,MIN(F_MortPayM,D36+D36*(F_MR/12)),0)</f>
        <v>0</v>
      </c>
      <c r="R36" s="20" t="n">
        <f aca="false">IF(E36&gt;PR_BalDone,MIN(F_MortPayM,E36+E36*(F_MR/12)),0)</f>
        <v>0</v>
      </c>
      <c r="S36" s="20" t="n">
        <f aca="false">IF(F36&gt;PR_BalDone,MIN(F_MortPayM,F36+F36*(F_MR/12)),0)</f>
        <v>0</v>
      </c>
      <c r="T36" s="20" t="n">
        <f aca="false">IF(G36&gt;PR_BalDone,MIN(F_MortPayM,G36+G36*(F_MR/12)),0)</f>
        <v>0</v>
      </c>
      <c r="U36" s="20" t="n">
        <f aca="false">IF(H36&gt;PR_BalDone,MIN(F_MortPayM,H36+H36*(F_MR/12)),0)</f>
        <v>0</v>
      </c>
      <c r="V36" s="20" t="n">
        <f aca="false">IF(I36&gt;PR_BalDone,MIN(F_MortPayM,I36+I36*(F_MR/12)),0)</f>
        <v>0</v>
      </c>
      <c r="W36" s="20" t="n">
        <f aca="false">IF(J36&gt;PR_BalDone,MIN(F_MortPayM,J36+J36*(F_MR/12)),0)</f>
        <v>0</v>
      </c>
      <c r="X36" s="20" t="n">
        <f aca="false">IF(K36&gt;PR_BalDone,MIN(F_MortPayM,K36+K36*(F_MR/12)),0)</f>
        <v>0</v>
      </c>
      <c r="Y36" s="20" t="n">
        <f aca="false">IF(L36&gt;PR_BalDone,MIN(F_MortPayM,L36+L36*(F_MR/12)),0)</f>
        <v>0</v>
      </c>
      <c r="Z36" s="20" t="n">
        <f aca="false">IF(M36&gt;PR_BalDone,MIN(F_MortPayM,M36+M36*(F_MR/12)),0)</f>
        <v>0</v>
      </c>
      <c r="AA36" s="20" t="n">
        <f aca="false">IF(N36&gt;PR_BalDone,MIN(F_MortPayM,N36+N36*(F_MR/12)),0)</f>
        <v>0</v>
      </c>
      <c r="AB36" s="20" t="n">
        <f aca="false">MAX(0,O36)</f>
        <v>0</v>
      </c>
      <c r="AC36" s="20" t="n">
        <f aca="false">SUM(P36:AA36)</f>
        <v>0</v>
      </c>
      <c r="AD36" s="20" t="n">
        <f aca="false">'Plan cashflow'!M36</f>
        <v>0</v>
      </c>
      <c r="AE36" s="20" t="n">
        <f aca="false">IF(AD36&gt;PR_BalDone,AD36+AD36*(D_iC)-MIN(F_CardPayM,AD36+AD36*(D_iC)),AD36)</f>
        <v>0</v>
      </c>
      <c r="AF36" s="20" t="n">
        <f aca="false">IF(AE36&gt;PR_BalDone,AE36+AE36*(D_iC)-MIN(F_CardPayM,AE36+AE36*(D_iC)),AE36)</f>
        <v>0</v>
      </c>
      <c r="AG36" s="20" t="n">
        <f aca="false">IF(AF36&gt;PR_BalDone,AF36+AF36*(D_iC)-MIN(F_CardPayM,AF36+AF36*(D_iC)),AF36)</f>
        <v>0</v>
      </c>
      <c r="AH36" s="20" t="n">
        <f aca="false">IF(AG36&gt;PR_BalDone,AG36+AG36*(D_iC)-MIN(F_CardPayM,AG36+AG36*(D_iC)),AG36)</f>
        <v>0</v>
      </c>
      <c r="AI36" s="20" t="n">
        <f aca="false">IF(AH36&gt;PR_BalDone,AH36+AH36*(D_iC)-MIN(F_CardPayM,AH36+AH36*(D_iC)),AH36)</f>
        <v>0</v>
      </c>
      <c r="AJ36" s="20" t="n">
        <f aca="false">IF(AI36&gt;PR_BalDone,AI36+AI36*(D_iC)-MIN(F_CardPayM,AI36+AI36*(D_iC)),AI36)</f>
        <v>0</v>
      </c>
      <c r="AK36" s="20" t="n">
        <f aca="false">IF(AJ36&gt;PR_BalDone,AJ36+AJ36*(D_iC)-MIN(F_CardPayM,AJ36+AJ36*(D_iC)),AJ36)</f>
        <v>0</v>
      </c>
      <c r="AL36" s="20" t="n">
        <f aca="false">IF(AK36&gt;PR_BalDone,AK36+AK36*(D_iC)-MIN(F_CardPayM,AK36+AK36*(D_iC)),AK36)</f>
        <v>0</v>
      </c>
      <c r="AM36" s="20" t="n">
        <f aca="false">IF(AL36&gt;PR_BalDone,AL36+AL36*(D_iC)-MIN(F_CardPayM,AL36+AL36*(D_iC)),AL36)</f>
        <v>0</v>
      </c>
      <c r="AN36" s="20" t="n">
        <f aca="false">IF(AM36&gt;PR_BalDone,AM36+AM36*(D_iC)-MIN(F_CardPayM,AM36+AM36*(D_iC)),AM36)</f>
        <v>0</v>
      </c>
      <c r="AO36" s="20" t="n">
        <f aca="false">IF(AN36&gt;PR_BalDone,AN36+AN36*(D_iC)-MIN(F_CardPayM,AN36+AN36*(D_iC)),AN36)</f>
        <v>0</v>
      </c>
      <c r="AP36" s="20" t="n">
        <f aca="false">IF(AO36&gt;PR_BalDone,AO36+AO36*(D_iC)-MIN(F_CardPayM,AO36+AO36*(D_iC)),AO36)</f>
        <v>0</v>
      </c>
      <c r="AQ36" s="20" t="n">
        <f aca="false">IF(AD36&gt;PR_BalDone,MIN(F_CardPayM,AD36+AD36*(D_iC)),0)</f>
        <v>0</v>
      </c>
      <c r="AR36" s="20" t="n">
        <f aca="false">IF(AE36&gt;PR_BalDone,MIN(F_CardPayM,AE36+AE36*(D_iC)),0)</f>
        <v>0</v>
      </c>
      <c r="AS36" s="20" t="n">
        <f aca="false">IF(AF36&gt;PR_BalDone,MIN(F_CardPayM,AF36+AF36*(D_iC)),0)</f>
        <v>0</v>
      </c>
      <c r="AT36" s="20" t="n">
        <f aca="false">IF(AG36&gt;PR_BalDone,MIN(F_CardPayM,AG36+AG36*(D_iC)),0)</f>
        <v>0</v>
      </c>
      <c r="AU36" s="20" t="n">
        <f aca="false">IF(AH36&gt;PR_BalDone,MIN(F_CardPayM,AH36+AH36*(D_iC)),0)</f>
        <v>0</v>
      </c>
      <c r="AV36" s="20" t="n">
        <f aca="false">IF(AI36&gt;PR_BalDone,MIN(F_CardPayM,AI36+AI36*(D_iC)),0)</f>
        <v>0</v>
      </c>
      <c r="AW36" s="20" t="n">
        <f aca="false">IF(AJ36&gt;PR_BalDone,MIN(F_CardPayM,AJ36+AJ36*(D_iC)),0)</f>
        <v>0</v>
      </c>
      <c r="AX36" s="20" t="n">
        <f aca="false">IF(AK36&gt;PR_BalDone,MIN(F_CardPayM,AK36+AK36*(D_iC)),0)</f>
        <v>0</v>
      </c>
      <c r="AY36" s="20" t="n">
        <f aca="false">IF(AL36&gt;PR_BalDone,MIN(F_CardPayM,AL36+AL36*(D_iC)),0)</f>
        <v>0</v>
      </c>
      <c r="AZ36" s="20" t="n">
        <f aca="false">IF(AM36&gt;PR_BalDone,MIN(F_CardPayM,AM36+AM36*(D_iC)),0)</f>
        <v>0</v>
      </c>
      <c r="BA36" s="20" t="n">
        <f aca="false">IF(AN36&gt;PR_BalDone,MIN(F_CardPayM,AN36+AN36*(D_iC)),0)</f>
        <v>0</v>
      </c>
      <c r="BB36" s="20" t="n">
        <f aca="false">IF(AO36&gt;PR_BalDone,MIN(F_CardPayM,AO36+AO36*(D_iC)),0)</f>
        <v>0</v>
      </c>
      <c r="BC36" s="20" t="n">
        <f aca="false">MAX(0,AP36)</f>
        <v>0</v>
      </c>
      <c r="BD36" s="20" t="n">
        <f aca="false">SUM(AQ36:BB36)</f>
        <v>0</v>
      </c>
      <c r="BE36" s="20" t="n">
        <f aca="false">'Plan cashflow'!P36</f>
        <v>0</v>
      </c>
      <c r="BF36" s="20" t="n">
        <f aca="false">IF(BE36&gt;PR_BalDone,BE36+BE36*(D_iL)-MIN(F_LoanPayM,BE36+BE36*(D_iL)),BE36)</f>
        <v>0</v>
      </c>
      <c r="BG36" s="20" t="n">
        <f aca="false">IF(BF36&gt;PR_BalDone,BF36+BF36*(D_iL)-MIN(F_LoanPayM,BF36+BF36*(D_iL)),BF36)</f>
        <v>0</v>
      </c>
      <c r="BH36" s="20" t="n">
        <f aca="false">IF(BG36&gt;PR_BalDone,BG36+BG36*(D_iL)-MIN(F_LoanPayM,BG36+BG36*(D_iL)),BG36)</f>
        <v>0</v>
      </c>
      <c r="BI36" s="20" t="n">
        <f aca="false">IF(BH36&gt;PR_BalDone,BH36+BH36*(D_iL)-MIN(F_LoanPayM,BH36+BH36*(D_iL)),BH36)</f>
        <v>0</v>
      </c>
      <c r="BJ36" s="20" t="n">
        <f aca="false">IF(BI36&gt;PR_BalDone,BI36+BI36*(D_iL)-MIN(F_LoanPayM,BI36+BI36*(D_iL)),BI36)</f>
        <v>0</v>
      </c>
      <c r="BK36" s="20" t="n">
        <f aca="false">IF(BJ36&gt;PR_BalDone,BJ36+BJ36*(D_iL)-MIN(F_LoanPayM,BJ36+BJ36*(D_iL)),BJ36)</f>
        <v>0</v>
      </c>
      <c r="BL36" s="20" t="n">
        <f aca="false">IF(BK36&gt;PR_BalDone,BK36+BK36*(D_iL)-MIN(F_LoanPayM,BK36+BK36*(D_iL)),BK36)</f>
        <v>0</v>
      </c>
      <c r="BM36" s="20" t="n">
        <f aca="false">IF(BL36&gt;PR_BalDone,BL36+BL36*(D_iL)-MIN(F_LoanPayM,BL36+BL36*(D_iL)),BL36)</f>
        <v>0</v>
      </c>
      <c r="BN36" s="20" t="n">
        <f aca="false">IF(BM36&gt;PR_BalDone,BM36+BM36*(D_iL)-MIN(F_LoanPayM,BM36+BM36*(D_iL)),BM36)</f>
        <v>0</v>
      </c>
      <c r="BO36" s="20" t="n">
        <f aca="false">IF(BN36&gt;PR_BalDone,BN36+BN36*(D_iL)-MIN(F_LoanPayM,BN36+BN36*(D_iL)),BN36)</f>
        <v>0</v>
      </c>
      <c r="BP36" s="20" t="n">
        <f aca="false">IF(BO36&gt;PR_BalDone,BO36+BO36*(D_iL)-MIN(F_LoanPayM,BO36+BO36*(D_iL)),BO36)</f>
        <v>0</v>
      </c>
      <c r="BQ36" s="20" t="n">
        <f aca="false">IF(BP36&gt;PR_BalDone,BP36+BP36*(D_iL)-MIN(F_LoanPayM,BP36+BP36*(D_iL)),BP36)</f>
        <v>0</v>
      </c>
      <c r="BR36" s="20" t="n">
        <f aca="false">IF(BE36&gt;PR_BalDone,MIN(F_LoanPayM,BE36+BE36*(D_iL)),0)</f>
        <v>0</v>
      </c>
      <c r="BS36" s="20" t="n">
        <f aca="false">IF(BF36&gt;PR_BalDone,MIN(F_LoanPayM,BF36+BF36*(D_iL)),0)</f>
        <v>0</v>
      </c>
      <c r="BT36" s="20" t="n">
        <f aca="false">IF(BG36&gt;PR_BalDone,MIN(F_LoanPayM,BG36+BG36*(D_iL)),0)</f>
        <v>0</v>
      </c>
      <c r="BU36" s="20" t="n">
        <f aca="false">IF(BH36&gt;PR_BalDone,MIN(F_LoanPayM,BH36+BH36*(D_iL)),0)</f>
        <v>0</v>
      </c>
      <c r="BV36" s="20" t="n">
        <f aca="false">IF(BI36&gt;PR_BalDone,MIN(F_LoanPayM,BI36+BI36*(D_iL)),0)</f>
        <v>0</v>
      </c>
      <c r="BW36" s="20" t="n">
        <f aca="false">IF(BJ36&gt;PR_BalDone,MIN(F_LoanPayM,BJ36+BJ36*(D_iL)),0)</f>
        <v>0</v>
      </c>
      <c r="BX36" s="20" t="n">
        <f aca="false">IF(BK36&gt;PR_BalDone,MIN(F_LoanPayM,BK36+BK36*(D_iL)),0)</f>
        <v>0</v>
      </c>
      <c r="BY36" s="20" t="n">
        <f aca="false">IF(BL36&gt;PR_BalDone,MIN(F_LoanPayM,BL36+BL36*(D_iL)),0)</f>
        <v>0</v>
      </c>
      <c r="BZ36" s="20" t="n">
        <f aca="false">IF(BM36&gt;PR_BalDone,MIN(F_LoanPayM,BM36+BM36*(D_iL)),0)</f>
        <v>0</v>
      </c>
      <c r="CA36" s="20" t="n">
        <f aca="false">IF(BN36&gt;PR_BalDone,MIN(F_LoanPayM,BN36+BN36*(D_iL)),0)</f>
        <v>0</v>
      </c>
      <c r="CB36" s="20" t="n">
        <f aca="false">IF(BO36&gt;PR_BalDone,MIN(F_LoanPayM,BO36+BO36*(D_iL)),0)</f>
        <v>0</v>
      </c>
      <c r="CC36" s="20" t="n">
        <f aca="false">IF(BP36&gt;PR_BalDone,MIN(F_LoanPayM,BP36+BP36*(D_iL)),0)</f>
        <v>0</v>
      </c>
      <c r="CD36" s="20" t="n">
        <f aca="false">MAX(0,BQ36)</f>
        <v>0</v>
      </c>
      <c r="CE36" s="20" t="n">
        <f aca="false">SUM(BR36:CC36)</f>
        <v>0</v>
      </c>
      <c r="CF36" s="20" t="n">
        <f aca="false">IF(CF35&gt;1,DE35,CF35)</f>
        <v>0</v>
      </c>
      <c r="CG36" s="20" t="n">
        <f aca="false">IF(CF36&gt;PR_BalDone,CF36+CF36*(F_MR/12)-MIN(F_MortPayM,CF36+CF36*(F_MR/12)),CF36)</f>
        <v>0</v>
      </c>
      <c r="CH36" s="20" t="n">
        <f aca="false">IF(CG36&gt;PR_BalDone,CG36+CG36*(F_MR/12)-MIN(F_MortPayM,CG36+CG36*(F_MR/12)),CG36)</f>
        <v>0</v>
      </c>
      <c r="CI36" s="20" t="n">
        <f aca="false">IF(CH36&gt;PR_BalDone,CH36+CH36*(F_MR/12)-MIN(F_MortPayM,CH36+CH36*(F_MR/12)),CH36)</f>
        <v>0</v>
      </c>
      <c r="CJ36" s="20" t="n">
        <f aca="false">IF(CI36&gt;PR_BalDone,CI36+CI36*(F_MR/12)-MIN(F_MortPayM,CI36+CI36*(F_MR/12)),CI36)</f>
        <v>0</v>
      </c>
      <c r="CK36" s="20" t="n">
        <f aca="false">IF(CJ36&gt;PR_BalDone,CJ36+CJ36*(F_MR/12)-MIN(F_MortPayM,CJ36+CJ36*(F_MR/12)),CJ36)</f>
        <v>0</v>
      </c>
      <c r="CL36" s="20" t="n">
        <f aca="false">IF(CK36&gt;PR_BalDone,CK36+CK36*(F_MR/12)-MIN(F_MortPayM,CK36+CK36*(F_MR/12)),CK36)</f>
        <v>0</v>
      </c>
      <c r="CM36" s="20" t="n">
        <f aca="false">IF(CL36&gt;PR_BalDone,CL36+CL36*(F_MR/12)-MIN(F_MortPayM,CL36+CL36*(F_MR/12)),CL36)</f>
        <v>0</v>
      </c>
      <c r="CN36" s="20" t="n">
        <f aca="false">IF(CM36&gt;PR_BalDone,CM36+CM36*(F_MR/12)-MIN(F_MortPayM,CM36+CM36*(F_MR/12)),CM36)</f>
        <v>0</v>
      </c>
      <c r="CO36" s="20" t="n">
        <f aca="false">IF(CN36&gt;PR_BalDone,CN36+CN36*(F_MR/12)-MIN(F_MortPayM,CN36+CN36*(F_MR/12)),CN36)</f>
        <v>0</v>
      </c>
      <c r="CP36" s="20" t="n">
        <f aca="false">IF(CO36&gt;PR_BalDone,CO36+CO36*(F_MR/12)-MIN(F_MortPayM,CO36+CO36*(F_MR/12)),CO36)</f>
        <v>0</v>
      </c>
      <c r="CQ36" s="20" t="n">
        <f aca="false">IF(CP36&gt;PR_BalDone,CP36+CP36*(F_MR/12)-MIN(F_MortPayM,CP36+CP36*(F_MR/12)),CP36)</f>
        <v>0</v>
      </c>
      <c r="CR36" s="20" t="n">
        <f aca="false">IF(CQ36&gt;PR_BalDone,CQ36+CQ36*(F_MR/12)-MIN(F_MortPayM,CQ36+CQ36*(F_MR/12)),CQ36)</f>
        <v>0</v>
      </c>
      <c r="CS36" s="20" t="n">
        <f aca="false">IF(CF36&gt;PR_BalDone,MIN(F_MortPayM,CF36+CF36*(F_MR/12)),0)</f>
        <v>0</v>
      </c>
      <c r="CT36" s="20" t="n">
        <f aca="false">IF(CG36&gt;PR_BalDone,MIN(F_MortPayM,CG36+CG36*(F_MR/12)),0)</f>
        <v>0</v>
      </c>
      <c r="CU36" s="20" t="n">
        <f aca="false">IF(CH36&gt;PR_BalDone,MIN(F_MortPayM,CH36+CH36*(F_MR/12)),0)</f>
        <v>0</v>
      </c>
      <c r="CV36" s="20" t="n">
        <f aca="false">IF(CI36&gt;PR_BalDone,MIN(F_MortPayM,CI36+CI36*(F_MR/12)),0)</f>
        <v>0</v>
      </c>
      <c r="CW36" s="20" t="n">
        <f aca="false">IF(CJ36&gt;PR_BalDone,MIN(F_MortPayM,CJ36+CJ36*(F_MR/12)),0)</f>
        <v>0</v>
      </c>
      <c r="CX36" s="20" t="n">
        <f aca="false">IF(CK36&gt;PR_BalDone,MIN(F_MortPayM,CK36+CK36*(F_MR/12)),0)</f>
        <v>0</v>
      </c>
      <c r="CY36" s="20" t="n">
        <f aca="false">IF(CL36&gt;PR_BalDone,MIN(F_MortPayM,CL36+CL36*(F_MR/12)),0)</f>
        <v>0</v>
      </c>
      <c r="CZ36" s="20" t="n">
        <f aca="false">IF(CM36&gt;PR_BalDone,MIN(F_MortPayM,CM36+CM36*(F_MR/12)),0)</f>
        <v>0</v>
      </c>
      <c r="DA36" s="20" t="n">
        <f aca="false">IF(CN36&gt;PR_BalDone,MIN(F_MortPayM,CN36+CN36*(F_MR/12)),0)</f>
        <v>0</v>
      </c>
      <c r="DB36" s="20" t="n">
        <f aca="false">IF(CO36&gt;PR_BalDone,MIN(F_MortPayM,CO36+CO36*(F_MR/12)),0)</f>
        <v>0</v>
      </c>
      <c r="DC36" s="20" t="n">
        <f aca="false">IF(CP36&gt;PR_BalDone,MIN(F_MortPayM,CP36+CP36*(F_MR/12)),0)</f>
        <v>0</v>
      </c>
      <c r="DD36" s="20" t="n">
        <f aca="false">IF(CQ36&gt;PR_BalDone,MIN(F_MortPayM,CQ36+CQ36*(F_MR/12)),0)</f>
        <v>0</v>
      </c>
      <c r="DE36" s="20" t="n">
        <f aca="false">MAX(0,CR36)</f>
        <v>0</v>
      </c>
      <c r="DF36" s="20" t="n">
        <f aca="false">SUM(CS36:DD36)</f>
        <v>0</v>
      </c>
      <c r="DG36" s="20" t="n">
        <f aca="false">MAX(0,CF36)</f>
        <v>0</v>
      </c>
    </row>
    <row r="37" customFormat="false" ht="15" hidden="false" customHeight="true" outlineLevel="0" collapsed="false">
      <c r="B37" s="20" t="n">
        <v>29</v>
      </c>
      <c r="C37" s="20" t="n">
        <f aca="false">'Plan cashflow'!J37</f>
        <v>0</v>
      </c>
      <c r="D37" s="20" t="n">
        <f aca="false">IF(C37&gt;PR_BalDone,C37+C37*(F_MR/12)-MIN(F_MortPayM,C37+C37*(F_MR/12)),C37)</f>
        <v>0</v>
      </c>
      <c r="E37" s="20" t="n">
        <f aca="false">IF(D37&gt;PR_BalDone,D37+D37*(F_MR/12)-MIN(F_MortPayM,D37+D37*(F_MR/12)),D37)</f>
        <v>0</v>
      </c>
      <c r="F37" s="20" t="n">
        <f aca="false">IF(E37&gt;PR_BalDone,E37+E37*(F_MR/12)-MIN(F_MortPayM,E37+E37*(F_MR/12)),E37)</f>
        <v>0</v>
      </c>
      <c r="G37" s="20" t="n">
        <f aca="false">IF(F37&gt;PR_BalDone,F37+F37*(F_MR/12)-MIN(F_MortPayM,F37+F37*(F_MR/12)),F37)</f>
        <v>0</v>
      </c>
      <c r="H37" s="20" t="n">
        <f aca="false">IF(G37&gt;PR_BalDone,G37+G37*(F_MR/12)-MIN(F_MortPayM,G37+G37*(F_MR/12)),G37)</f>
        <v>0</v>
      </c>
      <c r="I37" s="20" t="n">
        <f aca="false">IF(H37&gt;PR_BalDone,H37+H37*(F_MR/12)-MIN(F_MortPayM,H37+H37*(F_MR/12)),H37)</f>
        <v>0</v>
      </c>
      <c r="J37" s="20" t="n">
        <f aca="false">IF(I37&gt;PR_BalDone,I37+I37*(F_MR/12)-MIN(F_MortPayM,I37+I37*(F_MR/12)),I37)</f>
        <v>0</v>
      </c>
      <c r="K37" s="20" t="n">
        <f aca="false">IF(J37&gt;PR_BalDone,J37+J37*(F_MR/12)-MIN(F_MortPayM,J37+J37*(F_MR/12)),J37)</f>
        <v>0</v>
      </c>
      <c r="L37" s="20" t="n">
        <f aca="false">IF(K37&gt;PR_BalDone,K37+K37*(F_MR/12)-MIN(F_MortPayM,K37+K37*(F_MR/12)),K37)</f>
        <v>0</v>
      </c>
      <c r="M37" s="20" t="n">
        <f aca="false">IF(L37&gt;PR_BalDone,L37+L37*(F_MR/12)-MIN(F_MortPayM,L37+L37*(F_MR/12)),L37)</f>
        <v>0</v>
      </c>
      <c r="N37" s="20" t="n">
        <f aca="false">IF(M37&gt;PR_BalDone,M37+M37*(F_MR/12)-MIN(F_MortPayM,M37+M37*(F_MR/12)),M37)</f>
        <v>0</v>
      </c>
      <c r="O37" s="20" t="n">
        <f aca="false">IF(N37&gt;PR_BalDone,N37+N37*(F_MR/12)-MIN(F_MortPayM,N37+N37*(F_MR/12)),N37)</f>
        <v>0</v>
      </c>
      <c r="P37" s="20" t="n">
        <f aca="false">IF(C37&gt;PR_BalDone,MIN(F_MortPayM,C37+C37*(F_MR/12)),0)</f>
        <v>0</v>
      </c>
      <c r="Q37" s="20" t="n">
        <f aca="false">IF(D37&gt;PR_BalDone,MIN(F_MortPayM,D37+D37*(F_MR/12)),0)</f>
        <v>0</v>
      </c>
      <c r="R37" s="20" t="n">
        <f aca="false">IF(E37&gt;PR_BalDone,MIN(F_MortPayM,E37+E37*(F_MR/12)),0)</f>
        <v>0</v>
      </c>
      <c r="S37" s="20" t="n">
        <f aca="false">IF(F37&gt;PR_BalDone,MIN(F_MortPayM,F37+F37*(F_MR/12)),0)</f>
        <v>0</v>
      </c>
      <c r="T37" s="20" t="n">
        <f aca="false">IF(G37&gt;PR_BalDone,MIN(F_MortPayM,G37+G37*(F_MR/12)),0)</f>
        <v>0</v>
      </c>
      <c r="U37" s="20" t="n">
        <f aca="false">IF(H37&gt;PR_BalDone,MIN(F_MortPayM,H37+H37*(F_MR/12)),0)</f>
        <v>0</v>
      </c>
      <c r="V37" s="20" t="n">
        <f aca="false">IF(I37&gt;PR_BalDone,MIN(F_MortPayM,I37+I37*(F_MR/12)),0)</f>
        <v>0</v>
      </c>
      <c r="W37" s="20" t="n">
        <f aca="false">IF(J37&gt;PR_BalDone,MIN(F_MortPayM,J37+J37*(F_MR/12)),0)</f>
        <v>0</v>
      </c>
      <c r="X37" s="20" t="n">
        <f aca="false">IF(K37&gt;PR_BalDone,MIN(F_MortPayM,K37+K37*(F_MR/12)),0)</f>
        <v>0</v>
      </c>
      <c r="Y37" s="20" t="n">
        <f aca="false">IF(L37&gt;PR_BalDone,MIN(F_MortPayM,L37+L37*(F_MR/12)),0)</f>
        <v>0</v>
      </c>
      <c r="Z37" s="20" t="n">
        <f aca="false">IF(M37&gt;PR_BalDone,MIN(F_MortPayM,M37+M37*(F_MR/12)),0)</f>
        <v>0</v>
      </c>
      <c r="AA37" s="20" t="n">
        <f aca="false">IF(N37&gt;PR_BalDone,MIN(F_MortPayM,N37+N37*(F_MR/12)),0)</f>
        <v>0</v>
      </c>
      <c r="AB37" s="20" t="n">
        <f aca="false">MAX(0,O37)</f>
        <v>0</v>
      </c>
      <c r="AC37" s="20" t="n">
        <f aca="false">SUM(P37:AA37)</f>
        <v>0</v>
      </c>
      <c r="AD37" s="20" t="n">
        <f aca="false">'Plan cashflow'!M37</f>
        <v>0</v>
      </c>
      <c r="AE37" s="20" t="n">
        <f aca="false">IF(AD37&gt;PR_BalDone,AD37+AD37*(D_iC)-MIN(F_CardPayM,AD37+AD37*(D_iC)),AD37)</f>
        <v>0</v>
      </c>
      <c r="AF37" s="20" t="n">
        <f aca="false">IF(AE37&gt;PR_BalDone,AE37+AE37*(D_iC)-MIN(F_CardPayM,AE37+AE37*(D_iC)),AE37)</f>
        <v>0</v>
      </c>
      <c r="AG37" s="20" t="n">
        <f aca="false">IF(AF37&gt;PR_BalDone,AF37+AF37*(D_iC)-MIN(F_CardPayM,AF37+AF37*(D_iC)),AF37)</f>
        <v>0</v>
      </c>
      <c r="AH37" s="20" t="n">
        <f aca="false">IF(AG37&gt;PR_BalDone,AG37+AG37*(D_iC)-MIN(F_CardPayM,AG37+AG37*(D_iC)),AG37)</f>
        <v>0</v>
      </c>
      <c r="AI37" s="20" t="n">
        <f aca="false">IF(AH37&gt;PR_BalDone,AH37+AH37*(D_iC)-MIN(F_CardPayM,AH37+AH37*(D_iC)),AH37)</f>
        <v>0</v>
      </c>
      <c r="AJ37" s="20" t="n">
        <f aca="false">IF(AI37&gt;PR_BalDone,AI37+AI37*(D_iC)-MIN(F_CardPayM,AI37+AI37*(D_iC)),AI37)</f>
        <v>0</v>
      </c>
      <c r="AK37" s="20" t="n">
        <f aca="false">IF(AJ37&gt;PR_BalDone,AJ37+AJ37*(D_iC)-MIN(F_CardPayM,AJ37+AJ37*(D_iC)),AJ37)</f>
        <v>0</v>
      </c>
      <c r="AL37" s="20" t="n">
        <f aca="false">IF(AK37&gt;PR_BalDone,AK37+AK37*(D_iC)-MIN(F_CardPayM,AK37+AK37*(D_iC)),AK37)</f>
        <v>0</v>
      </c>
      <c r="AM37" s="20" t="n">
        <f aca="false">IF(AL37&gt;PR_BalDone,AL37+AL37*(D_iC)-MIN(F_CardPayM,AL37+AL37*(D_iC)),AL37)</f>
        <v>0</v>
      </c>
      <c r="AN37" s="20" t="n">
        <f aca="false">IF(AM37&gt;PR_BalDone,AM37+AM37*(D_iC)-MIN(F_CardPayM,AM37+AM37*(D_iC)),AM37)</f>
        <v>0</v>
      </c>
      <c r="AO37" s="20" t="n">
        <f aca="false">IF(AN37&gt;PR_BalDone,AN37+AN37*(D_iC)-MIN(F_CardPayM,AN37+AN37*(D_iC)),AN37)</f>
        <v>0</v>
      </c>
      <c r="AP37" s="20" t="n">
        <f aca="false">IF(AO37&gt;PR_BalDone,AO37+AO37*(D_iC)-MIN(F_CardPayM,AO37+AO37*(D_iC)),AO37)</f>
        <v>0</v>
      </c>
      <c r="AQ37" s="20" t="n">
        <f aca="false">IF(AD37&gt;PR_BalDone,MIN(F_CardPayM,AD37+AD37*(D_iC)),0)</f>
        <v>0</v>
      </c>
      <c r="AR37" s="20" t="n">
        <f aca="false">IF(AE37&gt;PR_BalDone,MIN(F_CardPayM,AE37+AE37*(D_iC)),0)</f>
        <v>0</v>
      </c>
      <c r="AS37" s="20" t="n">
        <f aca="false">IF(AF37&gt;PR_BalDone,MIN(F_CardPayM,AF37+AF37*(D_iC)),0)</f>
        <v>0</v>
      </c>
      <c r="AT37" s="20" t="n">
        <f aca="false">IF(AG37&gt;PR_BalDone,MIN(F_CardPayM,AG37+AG37*(D_iC)),0)</f>
        <v>0</v>
      </c>
      <c r="AU37" s="20" t="n">
        <f aca="false">IF(AH37&gt;PR_BalDone,MIN(F_CardPayM,AH37+AH37*(D_iC)),0)</f>
        <v>0</v>
      </c>
      <c r="AV37" s="20" t="n">
        <f aca="false">IF(AI37&gt;PR_BalDone,MIN(F_CardPayM,AI37+AI37*(D_iC)),0)</f>
        <v>0</v>
      </c>
      <c r="AW37" s="20" t="n">
        <f aca="false">IF(AJ37&gt;PR_BalDone,MIN(F_CardPayM,AJ37+AJ37*(D_iC)),0)</f>
        <v>0</v>
      </c>
      <c r="AX37" s="20" t="n">
        <f aca="false">IF(AK37&gt;PR_BalDone,MIN(F_CardPayM,AK37+AK37*(D_iC)),0)</f>
        <v>0</v>
      </c>
      <c r="AY37" s="20" t="n">
        <f aca="false">IF(AL37&gt;PR_BalDone,MIN(F_CardPayM,AL37+AL37*(D_iC)),0)</f>
        <v>0</v>
      </c>
      <c r="AZ37" s="20" t="n">
        <f aca="false">IF(AM37&gt;PR_BalDone,MIN(F_CardPayM,AM37+AM37*(D_iC)),0)</f>
        <v>0</v>
      </c>
      <c r="BA37" s="20" t="n">
        <f aca="false">IF(AN37&gt;PR_BalDone,MIN(F_CardPayM,AN37+AN37*(D_iC)),0)</f>
        <v>0</v>
      </c>
      <c r="BB37" s="20" t="n">
        <f aca="false">IF(AO37&gt;PR_BalDone,MIN(F_CardPayM,AO37+AO37*(D_iC)),0)</f>
        <v>0</v>
      </c>
      <c r="BC37" s="20" t="n">
        <f aca="false">MAX(0,AP37)</f>
        <v>0</v>
      </c>
      <c r="BD37" s="20" t="n">
        <f aca="false">SUM(AQ37:BB37)</f>
        <v>0</v>
      </c>
      <c r="BE37" s="20" t="n">
        <f aca="false">'Plan cashflow'!P37</f>
        <v>0</v>
      </c>
      <c r="BF37" s="20" t="n">
        <f aca="false">IF(BE37&gt;PR_BalDone,BE37+BE37*(D_iL)-MIN(F_LoanPayM,BE37+BE37*(D_iL)),BE37)</f>
        <v>0</v>
      </c>
      <c r="BG37" s="20" t="n">
        <f aca="false">IF(BF37&gt;PR_BalDone,BF37+BF37*(D_iL)-MIN(F_LoanPayM,BF37+BF37*(D_iL)),BF37)</f>
        <v>0</v>
      </c>
      <c r="BH37" s="20" t="n">
        <f aca="false">IF(BG37&gt;PR_BalDone,BG37+BG37*(D_iL)-MIN(F_LoanPayM,BG37+BG37*(D_iL)),BG37)</f>
        <v>0</v>
      </c>
      <c r="BI37" s="20" t="n">
        <f aca="false">IF(BH37&gt;PR_BalDone,BH37+BH37*(D_iL)-MIN(F_LoanPayM,BH37+BH37*(D_iL)),BH37)</f>
        <v>0</v>
      </c>
      <c r="BJ37" s="20" t="n">
        <f aca="false">IF(BI37&gt;PR_BalDone,BI37+BI37*(D_iL)-MIN(F_LoanPayM,BI37+BI37*(D_iL)),BI37)</f>
        <v>0</v>
      </c>
      <c r="BK37" s="20" t="n">
        <f aca="false">IF(BJ37&gt;PR_BalDone,BJ37+BJ37*(D_iL)-MIN(F_LoanPayM,BJ37+BJ37*(D_iL)),BJ37)</f>
        <v>0</v>
      </c>
      <c r="BL37" s="20" t="n">
        <f aca="false">IF(BK37&gt;PR_BalDone,BK37+BK37*(D_iL)-MIN(F_LoanPayM,BK37+BK37*(D_iL)),BK37)</f>
        <v>0</v>
      </c>
      <c r="BM37" s="20" t="n">
        <f aca="false">IF(BL37&gt;PR_BalDone,BL37+BL37*(D_iL)-MIN(F_LoanPayM,BL37+BL37*(D_iL)),BL37)</f>
        <v>0</v>
      </c>
      <c r="BN37" s="20" t="n">
        <f aca="false">IF(BM37&gt;PR_BalDone,BM37+BM37*(D_iL)-MIN(F_LoanPayM,BM37+BM37*(D_iL)),BM37)</f>
        <v>0</v>
      </c>
      <c r="BO37" s="20" t="n">
        <f aca="false">IF(BN37&gt;PR_BalDone,BN37+BN37*(D_iL)-MIN(F_LoanPayM,BN37+BN37*(D_iL)),BN37)</f>
        <v>0</v>
      </c>
      <c r="BP37" s="20" t="n">
        <f aca="false">IF(BO37&gt;PR_BalDone,BO37+BO37*(D_iL)-MIN(F_LoanPayM,BO37+BO37*(D_iL)),BO37)</f>
        <v>0</v>
      </c>
      <c r="BQ37" s="20" t="n">
        <f aca="false">IF(BP37&gt;PR_BalDone,BP37+BP37*(D_iL)-MIN(F_LoanPayM,BP37+BP37*(D_iL)),BP37)</f>
        <v>0</v>
      </c>
      <c r="BR37" s="20" t="n">
        <f aca="false">IF(BE37&gt;PR_BalDone,MIN(F_LoanPayM,BE37+BE37*(D_iL)),0)</f>
        <v>0</v>
      </c>
      <c r="BS37" s="20" t="n">
        <f aca="false">IF(BF37&gt;PR_BalDone,MIN(F_LoanPayM,BF37+BF37*(D_iL)),0)</f>
        <v>0</v>
      </c>
      <c r="BT37" s="20" t="n">
        <f aca="false">IF(BG37&gt;PR_BalDone,MIN(F_LoanPayM,BG37+BG37*(D_iL)),0)</f>
        <v>0</v>
      </c>
      <c r="BU37" s="20" t="n">
        <f aca="false">IF(BH37&gt;PR_BalDone,MIN(F_LoanPayM,BH37+BH37*(D_iL)),0)</f>
        <v>0</v>
      </c>
      <c r="BV37" s="20" t="n">
        <f aca="false">IF(BI37&gt;PR_BalDone,MIN(F_LoanPayM,BI37+BI37*(D_iL)),0)</f>
        <v>0</v>
      </c>
      <c r="BW37" s="20" t="n">
        <f aca="false">IF(BJ37&gt;PR_BalDone,MIN(F_LoanPayM,BJ37+BJ37*(D_iL)),0)</f>
        <v>0</v>
      </c>
      <c r="BX37" s="20" t="n">
        <f aca="false">IF(BK37&gt;PR_BalDone,MIN(F_LoanPayM,BK37+BK37*(D_iL)),0)</f>
        <v>0</v>
      </c>
      <c r="BY37" s="20" t="n">
        <f aca="false">IF(BL37&gt;PR_BalDone,MIN(F_LoanPayM,BL37+BL37*(D_iL)),0)</f>
        <v>0</v>
      </c>
      <c r="BZ37" s="20" t="n">
        <f aca="false">IF(BM37&gt;PR_BalDone,MIN(F_LoanPayM,BM37+BM37*(D_iL)),0)</f>
        <v>0</v>
      </c>
      <c r="CA37" s="20" t="n">
        <f aca="false">IF(BN37&gt;PR_BalDone,MIN(F_LoanPayM,BN37+BN37*(D_iL)),0)</f>
        <v>0</v>
      </c>
      <c r="CB37" s="20" t="n">
        <f aca="false">IF(BO37&gt;PR_BalDone,MIN(F_LoanPayM,BO37+BO37*(D_iL)),0)</f>
        <v>0</v>
      </c>
      <c r="CC37" s="20" t="n">
        <f aca="false">IF(BP37&gt;PR_BalDone,MIN(F_LoanPayM,BP37+BP37*(D_iL)),0)</f>
        <v>0</v>
      </c>
      <c r="CD37" s="20" t="n">
        <f aca="false">MAX(0,BQ37)</f>
        <v>0</v>
      </c>
      <c r="CE37" s="20" t="n">
        <f aca="false">SUM(BR37:CC37)</f>
        <v>0</v>
      </c>
      <c r="CF37" s="20" t="n">
        <f aca="false">IF(CF36&gt;1,DE36,CF36)</f>
        <v>0</v>
      </c>
      <c r="CG37" s="20" t="n">
        <f aca="false">IF(CF37&gt;PR_BalDone,CF37+CF37*(F_MR/12)-MIN(F_MortPayM,CF37+CF37*(F_MR/12)),CF37)</f>
        <v>0</v>
      </c>
      <c r="CH37" s="20" t="n">
        <f aca="false">IF(CG37&gt;PR_BalDone,CG37+CG37*(F_MR/12)-MIN(F_MortPayM,CG37+CG37*(F_MR/12)),CG37)</f>
        <v>0</v>
      </c>
      <c r="CI37" s="20" t="n">
        <f aca="false">IF(CH37&gt;PR_BalDone,CH37+CH37*(F_MR/12)-MIN(F_MortPayM,CH37+CH37*(F_MR/12)),CH37)</f>
        <v>0</v>
      </c>
      <c r="CJ37" s="20" t="n">
        <f aca="false">IF(CI37&gt;PR_BalDone,CI37+CI37*(F_MR/12)-MIN(F_MortPayM,CI37+CI37*(F_MR/12)),CI37)</f>
        <v>0</v>
      </c>
      <c r="CK37" s="20" t="n">
        <f aca="false">IF(CJ37&gt;PR_BalDone,CJ37+CJ37*(F_MR/12)-MIN(F_MortPayM,CJ37+CJ37*(F_MR/12)),CJ37)</f>
        <v>0</v>
      </c>
      <c r="CL37" s="20" t="n">
        <f aca="false">IF(CK37&gt;PR_BalDone,CK37+CK37*(F_MR/12)-MIN(F_MortPayM,CK37+CK37*(F_MR/12)),CK37)</f>
        <v>0</v>
      </c>
      <c r="CM37" s="20" t="n">
        <f aca="false">IF(CL37&gt;PR_BalDone,CL37+CL37*(F_MR/12)-MIN(F_MortPayM,CL37+CL37*(F_MR/12)),CL37)</f>
        <v>0</v>
      </c>
      <c r="CN37" s="20" t="n">
        <f aca="false">IF(CM37&gt;PR_BalDone,CM37+CM37*(F_MR/12)-MIN(F_MortPayM,CM37+CM37*(F_MR/12)),CM37)</f>
        <v>0</v>
      </c>
      <c r="CO37" s="20" t="n">
        <f aca="false">IF(CN37&gt;PR_BalDone,CN37+CN37*(F_MR/12)-MIN(F_MortPayM,CN37+CN37*(F_MR/12)),CN37)</f>
        <v>0</v>
      </c>
      <c r="CP37" s="20" t="n">
        <f aca="false">IF(CO37&gt;PR_BalDone,CO37+CO37*(F_MR/12)-MIN(F_MortPayM,CO37+CO37*(F_MR/12)),CO37)</f>
        <v>0</v>
      </c>
      <c r="CQ37" s="20" t="n">
        <f aca="false">IF(CP37&gt;PR_BalDone,CP37+CP37*(F_MR/12)-MIN(F_MortPayM,CP37+CP37*(F_MR/12)),CP37)</f>
        <v>0</v>
      </c>
      <c r="CR37" s="20" t="n">
        <f aca="false">IF(CQ37&gt;PR_BalDone,CQ37+CQ37*(F_MR/12)-MIN(F_MortPayM,CQ37+CQ37*(F_MR/12)),CQ37)</f>
        <v>0</v>
      </c>
      <c r="CS37" s="20" t="n">
        <f aca="false">IF(CF37&gt;PR_BalDone,MIN(F_MortPayM,CF37+CF37*(F_MR/12)),0)</f>
        <v>0</v>
      </c>
      <c r="CT37" s="20" t="n">
        <f aca="false">IF(CG37&gt;PR_BalDone,MIN(F_MortPayM,CG37+CG37*(F_MR/12)),0)</f>
        <v>0</v>
      </c>
      <c r="CU37" s="20" t="n">
        <f aca="false">IF(CH37&gt;PR_BalDone,MIN(F_MortPayM,CH37+CH37*(F_MR/12)),0)</f>
        <v>0</v>
      </c>
      <c r="CV37" s="20" t="n">
        <f aca="false">IF(CI37&gt;PR_BalDone,MIN(F_MortPayM,CI37+CI37*(F_MR/12)),0)</f>
        <v>0</v>
      </c>
      <c r="CW37" s="20" t="n">
        <f aca="false">IF(CJ37&gt;PR_BalDone,MIN(F_MortPayM,CJ37+CJ37*(F_MR/12)),0)</f>
        <v>0</v>
      </c>
      <c r="CX37" s="20" t="n">
        <f aca="false">IF(CK37&gt;PR_BalDone,MIN(F_MortPayM,CK37+CK37*(F_MR/12)),0)</f>
        <v>0</v>
      </c>
      <c r="CY37" s="20" t="n">
        <f aca="false">IF(CL37&gt;PR_BalDone,MIN(F_MortPayM,CL37+CL37*(F_MR/12)),0)</f>
        <v>0</v>
      </c>
      <c r="CZ37" s="20" t="n">
        <f aca="false">IF(CM37&gt;PR_BalDone,MIN(F_MortPayM,CM37+CM37*(F_MR/12)),0)</f>
        <v>0</v>
      </c>
      <c r="DA37" s="20" t="n">
        <f aca="false">IF(CN37&gt;PR_BalDone,MIN(F_MortPayM,CN37+CN37*(F_MR/12)),0)</f>
        <v>0</v>
      </c>
      <c r="DB37" s="20" t="n">
        <f aca="false">IF(CO37&gt;PR_BalDone,MIN(F_MortPayM,CO37+CO37*(F_MR/12)),0)</f>
        <v>0</v>
      </c>
      <c r="DC37" s="20" t="n">
        <f aca="false">IF(CP37&gt;PR_BalDone,MIN(F_MortPayM,CP37+CP37*(F_MR/12)),0)</f>
        <v>0</v>
      </c>
      <c r="DD37" s="20" t="n">
        <f aca="false">IF(CQ37&gt;PR_BalDone,MIN(F_MortPayM,CQ37+CQ37*(F_MR/12)),0)</f>
        <v>0</v>
      </c>
      <c r="DE37" s="20" t="n">
        <f aca="false">MAX(0,CR37)</f>
        <v>0</v>
      </c>
      <c r="DF37" s="20" t="n">
        <f aca="false">SUM(CS37:DD37)</f>
        <v>0</v>
      </c>
      <c r="DG37" s="20" t="n">
        <f aca="false">MAX(0,CF37)</f>
        <v>0</v>
      </c>
    </row>
    <row r="38" customFormat="false" ht="15" hidden="false" customHeight="true" outlineLevel="0" collapsed="false">
      <c r="B38" s="20" t="n">
        <v>30</v>
      </c>
      <c r="C38" s="20" t="n">
        <f aca="false">'Plan cashflow'!J38</f>
        <v>0</v>
      </c>
      <c r="D38" s="20" t="n">
        <f aca="false">IF(C38&gt;PR_BalDone,C38+C38*(F_MR/12)-MIN(F_MortPayM,C38+C38*(F_MR/12)),C38)</f>
        <v>0</v>
      </c>
      <c r="E38" s="20" t="n">
        <f aca="false">IF(D38&gt;PR_BalDone,D38+D38*(F_MR/12)-MIN(F_MortPayM,D38+D38*(F_MR/12)),D38)</f>
        <v>0</v>
      </c>
      <c r="F38" s="20" t="n">
        <f aca="false">IF(E38&gt;PR_BalDone,E38+E38*(F_MR/12)-MIN(F_MortPayM,E38+E38*(F_MR/12)),E38)</f>
        <v>0</v>
      </c>
      <c r="G38" s="20" t="n">
        <f aca="false">IF(F38&gt;PR_BalDone,F38+F38*(F_MR/12)-MIN(F_MortPayM,F38+F38*(F_MR/12)),F38)</f>
        <v>0</v>
      </c>
      <c r="H38" s="20" t="n">
        <f aca="false">IF(G38&gt;PR_BalDone,G38+G38*(F_MR/12)-MIN(F_MortPayM,G38+G38*(F_MR/12)),G38)</f>
        <v>0</v>
      </c>
      <c r="I38" s="20" t="n">
        <f aca="false">IF(H38&gt;PR_BalDone,H38+H38*(F_MR/12)-MIN(F_MortPayM,H38+H38*(F_MR/12)),H38)</f>
        <v>0</v>
      </c>
      <c r="J38" s="20" t="n">
        <f aca="false">IF(I38&gt;PR_BalDone,I38+I38*(F_MR/12)-MIN(F_MortPayM,I38+I38*(F_MR/12)),I38)</f>
        <v>0</v>
      </c>
      <c r="K38" s="20" t="n">
        <f aca="false">IF(J38&gt;PR_BalDone,J38+J38*(F_MR/12)-MIN(F_MortPayM,J38+J38*(F_MR/12)),J38)</f>
        <v>0</v>
      </c>
      <c r="L38" s="20" t="n">
        <f aca="false">IF(K38&gt;PR_BalDone,K38+K38*(F_MR/12)-MIN(F_MortPayM,K38+K38*(F_MR/12)),K38)</f>
        <v>0</v>
      </c>
      <c r="M38" s="20" t="n">
        <f aca="false">IF(L38&gt;PR_BalDone,L38+L38*(F_MR/12)-MIN(F_MortPayM,L38+L38*(F_MR/12)),L38)</f>
        <v>0</v>
      </c>
      <c r="N38" s="20" t="n">
        <f aca="false">IF(M38&gt;PR_BalDone,M38+M38*(F_MR/12)-MIN(F_MortPayM,M38+M38*(F_MR/12)),M38)</f>
        <v>0</v>
      </c>
      <c r="O38" s="20" t="n">
        <f aca="false">IF(N38&gt;PR_BalDone,N38+N38*(F_MR/12)-MIN(F_MortPayM,N38+N38*(F_MR/12)),N38)</f>
        <v>0</v>
      </c>
      <c r="P38" s="20" t="n">
        <f aca="false">IF(C38&gt;PR_BalDone,MIN(F_MortPayM,C38+C38*(F_MR/12)),0)</f>
        <v>0</v>
      </c>
      <c r="Q38" s="20" t="n">
        <f aca="false">IF(D38&gt;PR_BalDone,MIN(F_MortPayM,D38+D38*(F_MR/12)),0)</f>
        <v>0</v>
      </c>
      <c r="R38" s="20" t="n">
        <f aca="false">IF(E38&gt;PR_BalDone,MIN(F_MortPayM,E38+E38*(F_MR/12)),0)</f>
        <v>0</v>
      </c>
      <c r="S38" s="20" t="n">
        <f aca="false">IF(F38&gt;PR_BalDone,MIN(F_MortPayM,F38+F38*(F_MR/12)),0)</f>
        <v>0</v>
      </c>
      <c r="T38" s="20" t="n">
        <f aca="false">IF(G38&gt;PR_BalDone,MIN(F_MortPayM,G38+G38*(F_MR/12)),0)</f>
        <v>0</v>
      </c>
      <c r="U38" s="20" t="n">
        <f aca="false">IF(H38&gt;PR_BalDone,MIN(F_MortPayM,H38+H38*(F_MR/12)),0)</f>
        <v>0</v>
      </c>
      <c r="V38" s="20" t="n">
        <f aca="false">IF(I38&gt;PR_BalDone,MIN(F_MortPayM,I38+I38*(F_MR/12)),0)</f>
        <v>0</v>
      </c>
      <c r="W38" s="20" t="n">
        <f aca="false">IF(J38&gt;PR_BalDone,MIN(F_MortPayM,J38+J38*(F_MR/12)),0)</f>
        <v>0</v>
      </c>
      <c r="X38" s="20" t="n">
        <f aca="false">IF(K38&gt;PR_BalDone,MIN(F_MortPayM,K38+K38*(F_MR/12)),0)</f>
        <v>0</v>
      </c>
      <c r="Y38" s="20" t="n">
        <f aca="false">IF(L38&gt;PR_BalDone,MIN(F_MortPayM,L38+L38*(F_MR/12)),0)</f>
        <v>0</v>
      </c>
      <c r="Z38" s="20" t="n">
        <f aca="false">IF(M38&gt;PR_BalDone,MIN(F_MortPayM,M38+M38*(F_MR/12)),0)</f>
        <v>0</v>
      </c>
      <c r="AA38" s="20" t="n">
        <f aca="false">IF(N38&gt;PR_BalDone,MIN(F_MortPayM,N38+N38*(F_MR/12)),0)</f>
        <v>0</v>
      </c>
      <c r="AB38" s="20" t="n">
        <f aca="false">MAX(0,O38)</f>
        <v>0</v>
      </c>
      <c r="AC38" s="20" t="n">
        <f aca="false">SUM(P38:AA38)</f>
        <v>0</v>
      </c>
      <c r="AD38" s="20" t="n">
        <f aca="false">'Plan cashflow'!M38</f>
        <v>0</v>
      </c>
      <c r="AE38" s="20" t="n">
        <f aca="false">IF(AD38&gt;PR_BalDone,AD38+AD38*(D_iC)-MIN(F_CardPayM,AD38+AD38*(D_iC)),AD38)</f>
        <v>0</v>
      </c>
      <c r="AF38" s="20" t="n">
        <f aca="false">IF(AE38&gt;PR_BalDone,AE38+AE38*(D_iC)-MIN(F_CardPayM,AE38+AE38*(D_iC)),AE38)</f>
        <v>0</v>
      </c>
      <c r="AG38" s="20" t="n">
        <f aca="false">IF(AF38&gt;PR_BalDone,AF38+AF38*(D_iC)-MIN(F_CardPayM,AF38+AF38*(D_iC)),AF38)</f>
        <v>0</v>
      </c>
      <c r="AH38" s="20" t="n">
        <f aca="false">IF(AG38&gt;PR_BalDone,AG38+AG38*(D_iC)-MIN(F_CardPayM,AG38+AG38*(D_iC)),AG38)</f>
        <v>0</v>
      </c>
      <c r="AI38" s="20" t="n">
        <f aca="false">IF(AH38&gt;PR_BalDone,AH38+AH38*(D_iC)-MIN(F_CardPayM,AH38+AH38*(D_iC)),AH38)</f>
        <v>0</v>
      </c>
      <c r="AJ38" s="20" t="n">
        <f aca="false">IF(AI38&gt;PR_BalDone,AI38+AI38*(D_iC)-MIN(F_CardPayM,AI38+AI38*(D_iC)),AI38)</f>
        <v>0</v>
      </c>
      <c r="AK38" s="20" t="n">
        <f aca="false">IF(AJ38&gt;PR_BalDone,AJ38+AJ38*(D_iC)-MIN(F_CardPayM,AJ38+AJ38*(D_iC)),AJ38)</f>
        <v>0</v>
      </c>
      <c r="AL38" s="20" t="n">
        <f aca="false">IF(AK38&gt;PR_BalDone,AK38+AK38*(D_iC)-MIN(F_CardPayM,AK38+AK38*(D_iC)),AK38)</f>
        <v>0</v>
      </c>
      <c r="AM38" s="20" t="n">
        <f aca="false">IF(AL38&gt;PR_BalDone,AL38+AL38*(D_iC)-MIN(F_CardPayM,AL38+AL38*(D_iC)),AL38)</f>
        <v>0</v>
      </c>
      <c r="AN38" s="20" t="n">
        <f aca="false">IF(AM38&gt;PR_BalDone,AM38+AM38*(D_iC)-MIN(F_CardPayM,AM38+AM38*(D_iC)),AM38)</f>
        <v>0</v>
      </c>
      <c r="AO38" s="20" t="n">
        <f aca="false">IF(AN38&gt;PR_BalDone,AN38+AN38*(D_iC)-MIN(F_CardPayM,AN38+AN38*(D_iC)),AN38)</f>
        <v>0</v>
      </c>
      <c r="AP38" s="20" t="n">
        <f aca="false">IF(AO38&gt;PR_BalDone,AO38+AO38*(D_iC)-MIN(F_CardPayM,AO38+AO38*(D_iC)),AO38)</f>
        <v>0</v>
      </c>
      <c r="AQ38" s="20" t="n">
        <f aca="false">IF(AD38&gt;PR_BalDone,MIN(F_CardPayM,AD38+AD38*(D_iC)),0)</f>
        <v>0</v>
      </c>
      <c r="AR38" s="20" t="n">
        <f aca="false">IF(AE38&gt;PR_BalDone,MIN(F_CardPayM,AE38+AE38*(D_iC)),0)</f>
        <v>0</v>
      </c>
      <c r="AS38" s="20" t="n">
        <f aca="false">IF(AF38&gt;PR_BalDone,MIN(F_CardPayM,AF38+AF38*(D_iC)),0)</f>
        <v>0</v>
      </c>
      <c r="AT38" s="20" t="n">
        <f aca="false">IF(AG38&gt;PR_BalDone,MIN(F_CardPayM,AG38+AG38*(D_iC)),0)</f>
        <v>0</v>
      </c>
      <c r="AU38" s="20" t="n">
        <f aca="false">IF(AH38&gt;PR_BalDone,MIN(F_CardPayM,AH38+AH38*(D_iC)),0)</f>
        <v>0</v>
      </c>
      <c r="AV38" s="20" t="n">
        <f aca="false">IF(AI38&gt;PR_BalDone,MIN(F_CardPayM,AI38+AI38*(D_iC)),0)</f>
        <v>0</v>
      </c>
      <c r="AW38" s="20" t="n">
        <f aca="false">IF(AJ38&gt;PR_BalDone,MIN(F_CardPayM,AJ38+AJ38*(D_iC)),0)</f>
        <v>0</v>
      </c>
      <c r="AX38" s="20" t="n">
        <f aca="false">IF(AK38&gt;PR_BalDone,MIN(F_CardPayM,AK38+AK38*(D_iC)),0)</f>
        <v>0</v>
      </c>
      <c r="AY38" s="20" t="n">
        <f aca="false">IF(AL38&gt;PR_BalDone,MIN(F_CardPayM,AL38+AL38*(D_iC)),0)</f>
        <v>0</v>
      </c>
      <c r="AZ38" s="20" t="n">
        <f aca="false">IF(AM38&gt;PR_BalDone,MIN(F_CardPayM,AM38+AM38*(D_iC)),0)</f>
        <v>0</v>
      </c>
      <c r="BA38" s="20" t="n">
        <f aca="false">IF(AN38&gt;PR_BalDone,MIN(F_CardPayM,AN38+AN38*(D_iC)),0)</f>
        <v>0</v>
      </c>
      <c r="BB38" s="20" t="n">
        <f aca="false">IF(AO38&gt;PR_BalDone,MIN(F_CardPayM,AO38+AO38*(D_iC)),0)</f>
        <v>0</v>
      </c>
      <c r="BC38" s="20" t="n">
        <f aca="false">MAX(0,AP38)</f>
        <v>0</v>
      </c>
      <c r="BD38" s="20" t="n">
        <f aca="false">SUM(AQ38:BB38)</f>
        <v>0</v>
      </c>
      <c r="BE38" s="20" t="n">
        <f aca="false">'Plan cashflow'!P38</f>
        <v>0</v>
      </c>
      <c r="BF38" s="20" t="n">
        <f aca="false">IF(BE38&gt;PR_BalDone,BE38+BE38*(D_iL)-MIN(F_LoanPayM,BE38+BE38*(D_iL)),BE38)</f>
        <v>0</v>
      </c>
      <c r="BG38" s="20" t="n">
        <f aca="false">IF(BF38&gt;PR_BalDone,BF38+BF38*(D_iL)-MIN(F_LoanPayM,BF38+BF38*(D_iL)),BF38)</f>
        <v>0</v>
      </c>
      <c r="BH38" s="20" t="n">
        <f aca="false">IF(BG38&gt;PR_BalDone,BG38+BG38*(D_iL)-MIN(F_LoanPayM,BG38+BG38*(D_iL)),BG38)</f>
        <v>0</v>
      </c>
      <c r="BI38" s="20" t="n">
        <f aca="false">IF(BH38&gt;PR_BalDone,BH38+BH38*(D_iL)-MIN(F_LoanPayM,BH38+BH38*(D_iL)),BH38)</f>
        <v>0</v>
      </c>
      <c r="BJ38" s="20" t="n">
        <f aca="false">IF(BI38&gt;PR_BalDone,BI38+BI38*(D_iL)-MIN(F_LoanPayM,BI38+BI38*(D_iL)),BI38)</f>
        <v>0</v>
      </c>
      <c r="BK38" s="20" t="n">
        <f aca="false">IF(BJ38&gt;PR_BalDone,BJ38+BJ38*(D_iL)-MIN(F_LoanPayM,BJ38+BJ38*(D_iL)),BJ38)</f>
        <v>0</v>
      </c>
      <c r="BL38" s="20" t="n">
        <f aca="false">IF(BK38&gt;PR_BalDone,BK38+BK38*(D_iL)-MIN(F_LoanPayM,BK38+BK38*(D_iL)),BK38)</f>
        <v>0</v>
      </c>
      <c r="BM38" s="20" t="n">
        <f aca="false">IF(BL38&gt;PR_BalDone,BL38+BL38*(D_iL)-MIN(F_LoanPayM,BL38+BL38*(D_iL)),BL38)</f>
        <v>0</v>
      </c>
      <c r="BN38" s="20" t="n">
        <f aca="false">IF(BM38&gt;PR_BalDone,BM38+BM38*(D_iL)-MIN(F_LoanPayM,BM38+BM38*(D_iL)),BM38)</f>
        <v>0</v>
      </c>
      <c r="BO38" s="20" t="n">
        <f aca="false">IF(BN38&gt;PR_BalDone,BN38+BN38*(D_iL)-MIN(F_LoanPayM,BN38+BN38*(D_iL)),BN38)</f>
        <v>0</v>
      </c>
      <c r="BP38" s="20" t="n">
        <f aca="false">IF(BO38&gt;PR_BalDone,BO38+BO38*(D_iL)-MIN(F_LoanPayM,BO38+BO38*(D_iL)),BO38)</f>
        <v>0</v>
      </c>
      <c r="BQ38" s="20" t="n">
        <f aca="false">IF(BP38&gt;PR_BalDone,BP38+BP38*(D_iL)-MIN(F_LoanPayM,BP38+BP38*(D_iL)),BP38)</f>
        <v>0</v>
      </c>
      <c r="BR38" s="20" t="n">
        <f aca="false">IF(BE38&gt;PR_BalDone,MIN(F_LoanPayM,BE38+BE38*(D_iL)),0)</f>
        <v>0</v>
      </c>
      <c r="BS38" s="20" t="n">
        <f aca="false">IF(BF38&gt;PR_BalDone,MIN(F_LoanPayM,BF38+BF38*(D_iL)),0)</f>
        <v>0</v>
      </c>
      <c r="BT38" s="20" t="n">
        <f aca="false">IF(BG38&gt;PR_BalDone,MIN(F_LoanPayM,BG38+BG38*(D_iL)),0)</f>
        <v>0</v>
      </c>
      <c r="BU38" s="20" t="n">
        <f aca="false">IF(BH38&gt;PR_BalDone,MIN(F_LoanPayM,BH38+BH38*(D_iL)),0)</f>
        <v>0</v>
      </c>
      <c r="BV38" s="20" t="n">
        <f aca="false">IF(BI38&gt;PR_BalDone,MIN(F_LoanPayM,BI38+BI38*(D_iL)),0)</f>
        <v>0</v>
      </c>
      <c r="BW38" s="20" t="n">
        <f aca="false">IF(BJ38&gt;PR_BalDone,MIN(F_LoanPayM,BJ38+BJ38*(D_iL)),0)</f>
        <v>0</v>
      </c>
      <c r="BX38" s="20" t="n">
        <f aca="false">IF(BK38&gt;PR_BalDone,MIN(F_LoanPayM,BK38+BK38*(D_iL)),0)</f>
        <v>0</v>
      </c>
      <c r="BY38" s="20" t="n">
        <f aca="false">IF(BL38&gt;PR_BalDone,MIN(F_LoanPayM,BL38+BL38*(D_iL)),0)</f>
        <v>0</v>
      </c>
      <c r="BZ38" s="20" t="n">
        <f aca="false">IF(BM38&gt;PR_BalDone,MIN(F_LoanPayM,BM38+BM38*(D_iL)),0)</f>
        <v>0</v>
      </c>
      <c r="CA38" s="20" t="n">
        <f aca="false">IF(BN38&gt;PR_BalDone,MIN(F_LoanPayM,BN38+BN38*(D_iL)),0)</f>
        <v>0</v>
      </c>
      <c r="CB38" s="20" t="n">
        <f aca="false">IF(BO38&gt;PR_BalDone,MIN(F_LoanPayM,BO38+BO38*(D_iL)),0)</f>
        <v>0</v>
      </c>
      <c r="CC38" s="20" t="n">
        <f aca="false">IF(BP38&gt;PR_BalDone,MIN(F_LoanPayM,BP38+BP38*(D_iL)),0)</f>
        <v>0</v>
      </c>
      <c r="CD38" s="20" t="n">
        <f aca="false">MAX(0,BQ38)</f>
        <v>0</v>
      </c>
      <c r="CE38" s="20" t="n">
        <f aca="false">SUM(BR38:CC38)</f>
        <v>0</v>
      </c>
      <c r="CF38" s="20" t="n">
        <f aca="false">IF(CF37&gt;1,DE37,CF37)</f>
        <v>0</v>
      </c>
      <c r="CG38" s="20" t="n">
        <f aca="false">IF(CF38&gt;PR_BalDone,CF38+CF38*(F_MR/12)-MIN(F_MortPayM,CF38+CF38*(F_MR/12)),CF38)</f>
        <v>0</v>
      </c>
      <c r="CH38" s="20" t="n">
        <f aca="false">IF(CG38&gt;PR_BalDone,CG38+CG38*(F_MR/12)-MIN(F_MortPayM,CG38+CG38*(F_MR/12)),CG38)</f>
        <v>0</v>
      </c>
      <c r="CI38" s="20" t="n">
        <f aca="false">IF(CH38&gt;PR_BalDone,CH38+CH38*(F_MR/12)-MIN(F_MortPayM,CH38+CH38*(F_MR/12)),CH38)</f>
        <v>0</v>
      </c>
      <c r="CJ38" s="20" t="n">
        <f aca="false">IF(CI38&gt;PR_BalDone,CI38+CI38*(F_MR/12)-MIN(F_MortPayM,CI38+CI38*(F_MR/12)),CI38)</f>
        <v>0</v>
      </c>
      <c r="CK38" s="20" t="n">
        <f aca="false">IF(CJ38&gt;PR_BalDone,CJ38+CJ38*(F_MR/12)-MIN(F_MortPayM,CJ38+CJ38*(F_MR/12)),CJ38)</f>
        <v>0</v>
      </c>
      <c r="CL38" s="20" t="n">
        <f aca="false">IF(CK38&gt;PR_BalDone,CK38+CK38*(F_MR/12)-MIN(F_MortPayM,CK38+CK38*(F_MR/12)),CK38)</f>
        <v>0</v>
      </c>
      <c r="CM38" s="20" t="n">
        <f aca="false">IF(CL38&gt;PR_BalDone,CL38+CL38*(F_MR/12)-MIN(F_MortPayM,CL38+CL38*(F_MR/12)),CL38)</f>
        <v>0</v>
      </c>
      <c r="CN38" s="20" t="n">
        <f aca="false">IF(CM38&gt;PR_BalDone,CM38+CM38*(F_MR/12)-MIN(F_MortPayM,CM38+CM38*(F_MR/12)),CM38)</f>
        <v>0</v>
      </c>
      <c r="CO38" s="20" t="n">
        <f aca="false">IF(CN38&gt;PR_BalDone,CN38+CN38*(F_MR/12)-MIN(F_MortPayM,CN38+CN38*(F_MR/12)),CN38)</f>
        <v>0</v>
      </c>
      <c r="CP38" s="20" t="n">
        <f aca="false">IF(CO38&gt;PR_BalDone,CO38+CO38*(F_MR/12)-MIN(F_MortPayM,CO38+CO38*(F_MR/12)),CO38)</f>
        <v>0</v>
      </c>
      <c r="CQ38" s="20" t="n">
        <f aca="false">IF(CP38&gt;PR_BalDone,CP38+CP38*(F_MR/12)-MIN(F_MortPayM,CP38+CP38*(F_MR/12)),CP38)</f>
        <v>0</v>
      </c>
      <c r="CR38" s="20" t="n">
        <f aca="false">IF(CQ38&gt;PR_BalDone,CQ38+CQ38*(F_MR/12)-MIN(F_MortPayM,CQ38+CQ38*(F_MR/12)),CQ38)</f>
        <v>0</v>
      </c>
      <c r="CS38" s="20" t="n">
        <f aca="false">IF(CF38&gt;PR_BalDone,MIN(F_MortPayM,CF38+CF38*(F_MR/12)),0)</f>
        <v>0</v>
      </c>
      <c r="CT38" s="20" t="n">
        <f aca="false">IF(CG38&gt;PR_BalDone,MIN(F_MortPayM,CG38+CG38*(F_MR/12)),0)</f>
        <v>0</v>
      </c>
      <c r="CU38" s="20" t="n">
        <f aca="false">IF(CH38&gt;PR_BalDone,MIN(F_MortPayM,CH38+CH38*(F_MR/12)),0)</f>
        <v>0</v>
      </c>
      <c r="CV38" s="20" t="n">
        <f aca="false">IF(CI38&gt;PR_BalDone,MIN(F_MortPayM,CI38+CI38*(F_MR/12)),0)</f>
        <v>0</v>
      </c>
      <c r="CW38" s="20" t="n">
        <f aca="false">IF(CJ38&gt;PR_BalDone,MIN(F_MortPayM,CJ38+CJ38*(F_MR/12)),0)</f>
        <v>0</v>
      </c>
      <c r="CX38" s="20" t="n">
        <f aca="false">IF(CK38&gt;PR_BalDone,MIN(F_MortPayM,CK38+CK38*(F_MR/12)),0)</f>
        <v>0</v>
      </c>
      <c r="CY38" s="20" t="n">
        <f aca="false">IF(CL38&gt;PR_BalDone,MIN(F_MortPayM,CL38+CL38*(F_MR/12)),0)</f>
        <v>0</v>
      </c>
      <c r="CZ38" s="20" t="n">
        <f aca="false">IF(CM38&gt;PR_BalDone,MIN(F_MortPayM,CM38+CM38*(F_MR/12)),0)</f>
        <v>0</v>
      </c>
      <c r="DA38" s="20" t="n">
        <f aca="false">IF(CN38&gt;PR_BalDone,MIN(F_MortPayM,CN38+CN38*(F_MR/12)),0)</f>
        <v>0</v>
      </c>
      <c r="DB38" s="20" t="n">
        <f aca="false">IF(CO38&gt;PR_BalDone,MIN(F_MortPayM,CO38+CO38*(F_MR/12)),0)</f>
        <v>0</v>
      </c>
      <c r="DC38" s="20" t="n">
        <f aca="false">IF(CP38&gt;PR_BalDone,MIN(F_MortPayM,CP38+CP38*(F_MR/12)),0)</f>
        <v>0</v>
      </c>
      <c r="DD38" s="20" t="n">
        <f aca="false">IF(CQ38&gt;PR_BalDone,MIN(F_MortPayM,CQ38+CQ38*(F_MR/12)),0)</f>
        <v>0</v>
      </c>
      <c r="DE38" s="20" t="n">
        <f aca="false">MAX(0,CR38)</f>
        <v>0</v>
      </c>
      <c r="DF38" s="20" t="n">
        <f aca="false">SUM(CS38:DD38)</f>
        <v>0</v>
      </c>
      <c r="DG38" s="20" t="n">
        <f aca="false">MAX(0,CF38)</f>
        <v>0</v>
      </c>
    </row>
    <row r="39" customFormat="false" ht="15" hidden="false" customHeight="true" outlineLevel="0" collapsed="false">
      <c r="B39" s="20" t="n">
        <v>31</v>
      </c>
      <c r="C39" s="20" t="n">
        <f aca="false">'Plan cashflow'!J39</f>
        <v>0</v>
      </c>
      <c r="D39" s="20" t="n">
        <f aca="false">IF(C39&gt;PR_BalDone,C39+C39*(F_MR/12)-MIN(F_MortPayM,C39+C39*(F_MR/12)),C39)</f>
        <v>0</v>
      </c>
      <c r="E39" s="20" t="n">
        <f aca="false">IF(D39&gt;PR_BalDone,D39+D39*(F_MR/12)-MIN(F_MortPayM,D39+D39*(F_MR/12)),D39)</f>
        <v>0</v>
      </c>
      <c r="F39" s="20" t="n">
        <f aca="false">IF(E39&gt;PR_BalDone,E39+E39*(F_MR/12)-MIN(F_MortPayM,E39+E39*(F_MR/12)),E39)</f>
        <v>0</v>
      </c>
      <c r="G39" s="20" t="n">
        <f aca="false">IF(F39&gt;PR_BalDone,F39+F39*(F_MR/12)-MIN(F_MortPayM,F39+F39*(F_MR/12)),F39)</f>
        <v>0</v>
      </c>
      <c r="H39" s="20" t="n">
        <f aca="false">IF(G39&gt;PR_BalDone,G39+G39*(F_MR/12)-MIN(F_MortPayM,G39+G39*(F_MR/12)),G39)</f>
        <v>0</v>
      </c>
      <c r="I39" s="20" t="n">
        <f aca="false">IF(H39&gt;PR_BalDone,H39+H39*(F_MR/12)-MIN(F_MortPayM,H39+H39*(F_MR/12)),H39)</f>
        <v>0</v>
      </c>
      <c r="J39" s="20" t="n">
        <f aca="false">IF(I39&gt;PR_BalDone,I39+I39*(F_MR/12)-MIN(F_MortPayM,I39+I39*(F_MR/12)),I39)</f>
        <v>0</v>
      </c>
      <c r="K39" s="20" t="n">
        <f aca="false">IF(J39&gt;PR_BalDone,J39+J39*(F_MR/12)-MIN(F_MortPayM,J39+J39*(F_MR/12)),J39)</f>
        <v>0</v>
      </c>
      <c r="L39" s="20" t="n">
        <f aca="false">IF(K39&gt;PR_BalDone,K39+K39*(F_MR/12)-MIN(F_MortPayM,K39+K39*(F_MR/12)),K39)</f>
        <v>0</v>
      </c>
      <c r="M39" s="20" t="n">
        <f aca="false">IF(L39&gt;PR_BalDone,L39+L39*(F_MR/12)-MIN(F_MortPayM,L39+L39*(F_MR/12)),L39)</f>
        <v>0</v>
      </c>
      <c r="N39" s="20" t="n">
        <f aca="false">IF(M39&gt;PR_BalDone,M39+M39*(F_MR/12)-MIN(F_MortPayM,M39+M39*(F_MR/12)),M39)</f>
        <v>0</v>
      </c>
      <c r="O39" s="20" t="n">
        <f aca="false">IF(N39&gt;PR_BalDone,N39+N39*(F_MR/12)-MIN(F_MortPayM,N39+N39*(F_MR/12)),N39)</f>
        <v>0</v>
      </c>
      <c r="P39" s="20" t="n">
        <f aca="false">IF(C39&gt;PR_BalDone,MIN(F_MortPayM,C39+C39*(F_MR/12)),0)</f>
        <v>0</v>
      </c>
      <c r="Q39" s="20" t="n">
        <f aca="false">IF(D39&gt;PR_BalDone,MIN(F_MortPayM,D39+D39*(F_MR/12)),0)</f>
        <v>0</v>
      </c>
      <c r="R39" s="20" t="n">
        <f aca="false">IF(E39&gt;PR_BalDone,MIN(F_MortPayM,E39+E39*(F_MR/12)),0)</f>
        <v>0</v>
      </c>
      <c r="S39" s="20" t="n">
        <f aca="false">IF(F39&gt;PR_BalDone,MIN(F_MortPayM,F39+F39*(F_MR/12)),0)</f>
        <v>0</v>
      </c>
      <c r="T39" s="20" t="n">
        <f aca="false">IF(G39&gt;PR_BalDone,MIN(F_MortPayM,G39+G39*(F_MR/12)),0)</f>
        <v>0</v>
      </c>
      <c r="U39" s="20" t="n">
        <f aca="false">IF(H39&gt;PR_BalDone,MIN(F_MortPayM,H39+H39*(F_MR/12)),0)</f>
        <v>0</v>
      </c>
      <c r="V39" s="20" t="n">
        <f aca="false">IF(I39&gt;PR_BalDone,MIN(F_MortPayM,I39+I39*(F_MR/12)),0)</f>
        <v>0</v>
      </c>
      <c r="W39" s="20" t="n">
        <f aca="false">IF(J39&gt;PR_BalDone,MIN(F_MortPayM,J39+J39*(F_MR/12)),0)</f>
        <v>0</v>
      </c>
      <c r="X39" s="20" t="n">
        <f aca="false">IF(K39&gt;PR_BalDone,MIN(F_MortPayM,K39+K39*(F_MR/12)),0)</f>
        <v>0</v>
      </c>
      <c r="Y39" s="20" t="n">
        <f aca="false">IF(L39&gt;PR_BalDone,MIN(F_MortPayM,L39+L39*(F_MR/12)),0)</f>
        <v>0</v>
      </c>
      <c r="Z39" s="20" t="n">
        <f aca="false">IF(M39&gt;PR_BalDone,MIN(F_MortPayM,M39+M39*(F_MR/12)),0)</f>
        <v>0</v>
      </c>
      <c r="AA39" s="20" t="n">
        <f aca="false">IF(N39&gt;PR_BalDone,MIN(F_MortPayM,N39+N39*(F_MR/12)),0)</f>
        <v>0</v>
      </c>
      <c r="AB39" s="20" t="n">
        <f aca="false">MAX(0,O39)</f>
        <v>0</v>
      </c>
      <c r="AC39" s="20" t="n">
        <f aca="false">SUM(P39:AA39)</f>
        <v>0</v>
      </c>
      <c r="AD39" s="20" t="n">
        <f aca="false">'Plan cashflow'!M39</f>
        <v>0</v>
      </c>
      <c r="AE39" s="20" t="n">
        <f aca="false">IF(AD39&gt;PR_BalDone,AD39+AD39*(D_iC)-MIN(F_CardPayM,AD39+AD39*(D_iC)),AD39)</f>
        <v>0</v>
      </c>
      <c r="AF39" s="20" t="n">
        <f aca="false">IF(AE39&gt;PR_BalDone,AE39+AE39*(D_iC)-MIN(F_CardPayM,AE39+AE39*(D_iC)),AE39)</f>
        <v>0</v>
      </c>
      <c r="AG39" s="20" t="n">
        <f aca="false">IF(AF39&gt;PR_BalDone,AF39+AF39*(D_iC)-MIN(F_CardPayM,AF39+AF39*(D_iC)),AF39)</f>
        <v>0</v>
      </c>
      <c r="AH39" s="20" t="n">
        <f aca="false">IF(AG39&gt;PR_BalDone,AG39+AG39*(D_iC)-MIN(F_CardPayM,AG39+AG39*(D_iC)),AG39)</f>
        <v>0</v>
      </c>
      <c r="AI39" s="20" t="n">
        <f aca="false">IF(AH39&gt;PR_BalDone,AH39+AH39*(D_iC)-MIN(F_CardPayM,AH39+AH39*(D_iC)),AH39)</f>
        <v>0</v>
      </c>
      <c r="AJ39" s="20" t="n">
        <f aca="false">IF(AI39&gt;PR_BalDone,AI39+AI39*(D_iC)-MIN(F_CardPayM,AI39+AI39*(D_iC)),AI39)</f>
        <v>0</v>
      </c>
      <c r="AK39" s="20" t="n">
        <f aca="false">IF(AJ39&gt;PR_BalDone,AJ39+AJ39*(D_iC)-MIN(F_CardPayM,AJ39+AJ39*(D_iC)),AJ39)</f>
        <v>0</v>
      </c>
      <c r="AL39" s="20" t="n">
        <f aca="false">IF(AK39&gt;PR_BalDone,AK39+AK39*(D_iC)-MIN(F_CardPayM,AK39+AK39*(D_iC)),AK39)</f>
        <v>0</v>
      </c>
      <c r="AM39" s="20" t="n">
        <f aca="false">IF(AL39&gt;PR_BalDone,AL39+AL39*(D_iC)-MIN(F_CardPayM,AL39+AL39*(D_iC)),AL39)</f>
        <v>0</v>
      </c>
      <c r="AN39" s="20" t="n">
        <f aca="false">IF(AM39&gt;PR_BalDone,AM39+AM39*(D_iC)-MIN(F_CardPayM,AM39+AM39*(D_iC)),AM39)</f>
        <v>0</v>
      </c>
      <c r="AO39" s="20" t="n">
        <f aca="false">IF(AN39&gt;PR_BalDone,AN39+AN39*(D_iC)-MIN(F_CardPayM,AN39+AN39*(D_iC)),AN39)</f>
        <v>0</v>
      </c>
      <c r="AP39" s="20" t="n">
        <f aca="false">IF(AO39&gt;PR_BalDone,AO39+AO39*(D_iC)-MIN(F_CardPayM,AO39+AO39*(D_iC)),AO39)</f>
        <v>0</v>
      </c>
      <c r="AQ39" s="20" t="n">
        <f aca="false">IF(AD39&gt;PR_BalDone,MIN(F_CardPayM,AD39+AD39*(D_iC)),0)</f>
        <v>0</v>
      </c>
      <c r="AR39" s="20" t="n">
        <f aca="false">IF(AE39&gt;PR_BalDone,MIN(F_CardPayM,AE39+AE39*(D_iC)),0)</f>
        <v>0</v>
      </c>
      <c r="AS39" s="20" t="n">
        <f aca="false">IF(AF39&gt;PR_BalDone,MIN(F_CardPayM,AF39+AF39*(D_iC)),0)</f>
        <v>0</v>
      </c>
      <c r="AT39" s="20" t="n">
        <f aca="false">IF(AG39&gt;PR_BalDone,MIN(F_CardPayM,AG39+AG39*(D_iC)),0)</f>
        <v>0</v>
      </c>
      <c r="AU39" s="20" t="n">
        <f aca="false">IF(AH39&gt;PR_BalDone,MIN(F_CardPayM,AH39+AH39*(D_iC)),0)</f>
        <v>0</v>
      </c>
      <c r="AV39" s="20" t="n">
        <f aca="false">IF(AI39&gt;PR_BalDone,MIN(F_CardPayM,AI39+AI39*(D_iC)),0)</f>
        <v>0</v>
      </c>
      <c r="AW39" s="20" t="n">
        <f aca="false">IF(AJ39&gt;PR_BalDone,MIN(F_CardPayM,AJ39+AJ39*(D_iC)),0)</f>
        <v>0</v>
      </c>
      <c r="AX39" s="20" t="n">
        <f aca="false">IF(AK39&gt;PR_BalDone,MIN(F_CardPayM,AK39+AK39*(D_iC)),0)</f>
        <v>0</v>
      </c>
      <c r="AY39" s="20" t="n">
        <f aca="false">IF(AL39&gt;PR_BalDone,MIN(F_CardPayM,AL39+AL39*(D_iC)),0)</f>
        <v>0</v>
      </c>
      <c r="AZ39" s="20" t="n">
        <f aca="false">IF(AM39&gt;PR_BalDone,MIN(F_CardPayM,AM39+AM39*(D_iC)),0)</f>
        <v>0</v>
      </c>
      <c r="BA39" s="20" t="n">
        <f aca="false">IF(AN39&gt;PR_BalDone,MIN(F_CardPayM,AN39+AN39*(D_iC)),0)</f>
        <v>0</v>
      </c>
      <c r="BB39" s="20" t="n">
        <f aca="false">IF(AO39&gt;PR_BalDone,MIN(F_CardPayM,AO39+AO39*(D_iC)),0)</f>
        <v>0</v>
      </c>
      <c r="BC39" s="20" t="n">
        <f aca="false">MAX(0,AP39)</f>
        <v>0</v>
      </c>
      <c r="BD39" s="20" t="n">
        <f aca="false">SUM(AQ39:BB39)</f>
        <v>0</v>
      </c>
      <c r="BE39" s="20" t="n">
        <f aca="false">'Plan cashflow'!P39</f>
        <v>0</v>
      </c>
      <c r="BF39" s="20" t="n">
        <f aca="false">IF(BE39&gt;PR_BalDone,BE39+BE39*(D_iL)-MIN(F_LoanPayM,BE39+BE39*(D_iL)),BE39)</f>
        <v>0</v>
      </c>
      <c r="BG39" s="20" t="n">
        <f aca="false">IF(BF39&gt;PR_BalDone,BF39+BF39*(D_iL)-MIN(F_LoanPayM,BF39+BF39*(D_iL)),BF39)</f>
        <v>0</v>
      </c>
      <c r="BH39" s="20" t="n">
        <f aca="false">IF(BG39&gt;PR_BalDone,BG39+BG39*(D_iL)-MIN(F_LoanPayM,BG39+BG39*(D_iL)),BG39)</f>
        <v>0</v>
      </c>
      <c r="BI39" s="20" t="n">
        <f aca="false">IF(BH39&gt;PR_BalDone,BH39+BH39*(D_iL)-MIN(F_LoanPayM,BH39+BH39*(D_iL)),BH39)</f>
        <v>0</v>
      </c>
      <c r="BJ39" s="20" t="n">
        <f aca="false">IF(BI39&gt;PR_BalDone,BI39+BI39*(D_iL)-MIN(F_LoanPayM,BI39+BI39*(D_iL)),BI39)</f>
        <v>0</v>
      </c>
      <c r="BK39" s="20" t="n">
        <f aca="false">IF(BJ39&gt;PR_BalDone,BJ39+BJ39*(D_iL)-MIN(F_LoanPayM,BJ39+BJ39*(D_iL)),BJ39)</f>
        <v>0</v>
      </c>
      <c r="BL39" s="20" t="n">
        <f aca="false">IF(BK39&gt;PR_BalDone,BK39+BK39*(D_iL)-MIN(F_LoanPayM,BK39+BK39*(D_iL)),BK39)</f>
        <v>0</v>
      </c>
      <c r="BM39" s="20" t="n">
        <f aca="false">IF(BL39&gt;PR_BalDone,BL39+BL39*(D_iL)-MIN(F_LoanPayM,BL39+BL39*(D_iL)),BL39)</f>
        <v>0</v>
      </c>
      <c r="BN39" s="20" t="n">
        <f aca="false">IF(BM39&gt;PR_BalDone,BM39+BM39*(D_iL)-MIN(F_LoanPayM,BM39+BM39*(D_iL)),BM39)</f>
        <v>0</v>
      </c>
      <c r="BO39" s="20" t="n">
        <f aca="false">IF(BN39&gt;PR_BalDone,BN39+BN39*(D_iL)-MIN(F_LoanPayM,BN39+BN39*(D_iL)),BN39)</f>
        <v>0</v>
      </c>
      <c r="BP39" s="20" t="n">
        <f aca="false">IF(BO39&gt;PR_BalDone,BO39+BO39*(D_iL)-MIN(F_LoanPayM,BO39+BO39*(D_iL)),BO39)</f>
        <v>0</v>
      </c>
      <c r="BQ39" s="20" t="n">
        <f aca="false">IF(BP39&gt;PR_BalDone,BP39+BP39*(D_iL)-MIN(F_LoanPayM,BP39+BP39*(D_iL)),BP39)</f>
        <v>0</v>
      </c>
      <c r="BR39" s="20" t="n">
        <f aca="false">IF(BE39&gt;PR_BalDone,MIN(F_LoanPayM,BE39+BE39*(D_iL)),0)</f>
        <v>0</v>
      </c>
      <c r="BS39" s="20" t="n">
        <f aca="false">IF(BF39&gt;PR_BalDone,MIN(F_LoanPayM,BF39+BF39*(D_iL)),0)</f>
        <v>0</v>
      </c>
      <c r="BT39" s="20" t="n">
        <f aca="false">IF(BG39&gt;PR_BalDone,MIN(F_LoanPayM,BG39+BG39*(D_iL)),0)</f>
        <v>0</v>
      </c>
      <c r="BU39" s="20" t="n">
        <f aca="false">IF(BH39&gt;PR_BalDone,MIN(F_LoanPayM,BH39+BH39*(D_iL)),0)</f>
        <v>0</v>
      </c>
      <c r="BV39" s="20" t="n">
        <f aca="false">IF(BI39&gt;PR_BalDone,MIN(F_LoanPayM,BI39+BI39*(D_iL)),0)</f>
        <v>0</v>
      </c>
      <c r="BW39" s="20" t="n">
        <f aca="false">IF(BJ39&gt;PR_BalDone,MIN(F_LoanPayM,BJ39+BJ39*(D_iL)),0)</f>
        <v>0</v>
      </c>
      <c r="BX39" s="20" t="n">
        <f aca="false">IF(BK39&gt;PR_BalDone,MIN(F_LoanPayM,BK39+BK39*(D_iL)),0)</f>
        <v>0</v>
      </c>
      <c r="BY39" s="20" t="n">
        <f aca="false">IF(BL39&gt;PR_BalDone,MIN(F_LoanPayM,BL39+BL39*(D_iL)),0)</f>
        <v>0</v>
      </c>
      <c r="BZ39" s="20" t="n">
        <f aca="false">IF(BM39&gt;PR_BalDone,MIN(F_LoanPayM,BM39+BM39*(D_iL)),0)</f>
        <v>0</v>
      </c>
      <c r="CA39" s="20" t="n">
        <f aca="false">IF(BN39&gt;PR_BalDone,MIN(F_LoanPayM,BN39+BN39*(D_iL)),0)</f>
        <v>0</v>
      </c>
      <c r="CB39" s="20" t="n">
        <f aca="false">IF(BO39&gt;PR_BalDone,MIN(F_LoanPayM,BO39+BO39*(D_iL)),0)</f>
        <v>0</v>
      </c>
      <c r="CC39" s="20" t="n">
        <f aca="false">IF(BP39&gt;PR_BalDone,MIN(F_LoanPayM,BP39+BP39*(D_iL)),0)</f>
        <v>0</v>
      </c>
      <c r="CD39" s="20" t="n">
        <f aca="false">MAX(0,BQ39)</f>
        <v>0</v>
      </c>
      <c r="CE39" s="20" t="n">
        <f aca="false">SUM(BR39:CC39)</f>
        <v>0</v>
      </c>
      <c r="CF39" s="20" t="n">
        <f aca="false">IF(CF38&gt;1,DE38,CF38)</f>
        <v>0</v>
      </c>
      <c r="CG39" s="20" t="n">
        <f aca="false">IF(CF39&gt;PR_BalDone,CF39+CF39*(F_MR/12)-MIN(F_MortPayM,CF39+CF39*(F_MR/12)),CF39)</f>
        <v>0</v>
      </c>
      <c r="CH39" s="20" t="n">
        <f aca="false">IF(CG39&gt;PR_BalDone,CG39+CG39*(F_MR/12)-MIN(F_MortPayM,CG39+CG39*(F_MR/12)),CG39)</f>
        <v>0</v>
      </c>
      <c r="CI39" s="20" t="n">
        <f aca="false">IF(CH39&gt;PR_BalDone,CH39+CH39*(F_MR/12)-MIN(F_MortPayM,CH39+CH39*(F_MR/12)),CH39)</f>
        <v>0</v>
      </c>
      <c r="CJ39" s="20" t="n">
        <f aca="false">IF(CI39&gt;PR_BalDone,CI39+CI39*(F_MR/12)-MIN(F_MortPayM,CI39+CI39*(F_MR/12)),CI39)</f>
        <v>0</v>
      </c>
      <c r="CK39" s="20" t="n">
        <f aca="false">IF(CJ39&gt;PR_BalDone,CJ39+CJ39*(F_MR/12)-MIN(F_MortPayM,CJ39+CJ39*(F_MR/12)),CJ39)</f>
        <v>0</v>
      </c>
      <c r="CL39" s="20" t="n">
        <f aca="false">IF(CK39&gt;PR_BalDone,CK39+CK39*(F_MR/12)-MIN(F_MortPayM,CK39+CK39*(F_MR/12)),CK39)</f>
        <v>0</v>
      </c>
      <c r="CM39" s="20" t="n">
        <f aca="false">IF(CL39&gt;PR_BalDone,CL39+CL39*(F_MR/12)-MIN(F_MortPayM,CL39+CL39*(F_MR/12)),CL39)</f>
        <v>0</v>
      </c>
      <c r="CN39" s="20" t="n">
        <f aca="false">IF(CM39&gt;PR_BalDone,CM39+CM39*(F_MR/12)-MIN(F_MortPayM,CM39+CM39*(F_MR/12)),CM39)</f>
        <v>0</v>
      </c>
      <c r="CO39" s="20" t="n">
        <f aca="false">IF(CN39&gt;PR_BalDone,CN39+CN39*(F_MR/12)-MIN(F_MortPayM,CN39+CN39*(F_MR/12)),CN39)</f>
        <v>0</v>
      </c>
      <c r="CP39" s="20" t="n">
        <f aca="false">IF(CO39&gt;PR_BalDone,CO39+CO39*(F_MR/12)-MIN(F_MortPayM,CO39+CO39*(F_MR/12)),CO39)</f>
        <v>0</v>
      </c>
      <c r="CQ39" s="20" t="n">
        <f aca="false">IF(CP39&gt;PR_BalDone,CP39+CP39*(F_MR/12)-MIN(F_MortPayM,CP39+CP39*(F_MR/12)),CP39)</f>
        <v>0</v>
      </c>
      <c r="CR39" s="20" t="n">
        <f aca="false">IF(CQ39&gt;PR_BalDone,CQ39+CQ39*(F_MR/12)-MIN(F_MortPayM,CQ39+CQ39*(F_MR/12)),CQ39)</f>
        <v>0</v>
      </c>
      <c r="CS39" s="20" t="n">
        <f aca="false">IF(CF39&gt;PR_BalDone,MIN(F_MortPayM,CF39+CF39*(F_MR/12)),0)</f>
        <v>0</v>
      </c>
      <c r="CT39" s="20" t="n">
        <f aca="false">IF(CG39&gt;PR_BalDone,MIN(F_MortPayM,CG39+CG39*(F_MR/12)),0)</f>
        <v>0</v>
      </c>
      <c r="CU39" s="20" t="n">
        <f aca="false">IF(CH39&gt;PR_BalDone,MIN(F_MortPayM,CH39+CH39*(F_MR/12)),0)</f>
        <v>0</v>
      </c>
      <c r="CV39" s="20" t="n">
        <f aca="false">IF(CI39&gt;PR_BalDone,MIN(F_MortPayM,CI39+CI39*(F_MR/12)),0)</f>
        <v>0</v>
      </c>
      <c r="CW39" s="20" t="n">
        <f aca="false">IF(CJ39&gt;PR_BalDone,MIN(F_MortPayM,CJ39+CJ39*(F_MR/12)),0)</f>
        <v>0</v>
      </c>
      <c r="CX39" s="20" t="n">
        <f aca="false">IF(CK39&gt;PR_BalDone,MIN(F_MortPayM,CK39+CK39*(F_MR/12)),0)</f>
        <v>0</v>
      </c>
      <c r="CY39" s="20" t="n">
        <f aca="false">IF(CL39&gt;PR_BalDone,MIN(F_MortPayM,CL39+CL39*(F_MR/12)),0)</f>
        <v>0</v>
      </c>
      <c r="CZ39" s="20" t="n">
        <f aca="false">IF(CM39&gt;PR_BalDone,MIN(F_MortPayM,CM39+CM39*(F_MR/12)),0)</f>
        <v>0</v>
      </c>
      <c r="DA39" s="20" t="n">
        <f aca="false">IF(CN39&gt;PR_BalDone,MIN(F_MortPayM,CN39+CN39*(F_MR/12)),0)</f>
        <v>0</v>
      </c>
      <c r="DB39" s="20" t="n">
        <f aca="false">IF(CO39&gt;PR_BalDone,MIN(F_MortPayM,CO39+CO39*(F_MR/12)),0)</f>
        <v>0</v>
      </c>
      <c r="DC39" s="20" t="n">
        <f aca="false">IF(CP39&gt;PR_BalDone,MIN(F_MortPayM,CP39+CP39*(F_MR/12)),0)</f>
        <v>0</v>
      </c>
      <c r="DD39" s="20" t="n">
        <f aca="false">IF(CQ39&gt;PR_BalDone,MIN(F_MortPayM,CQ39+CQ39*(F_MR/12)),0)</f>
        <v>0</v>
      </c>
      <c r="DE39" s="20" t="n">
        <f aca="false">MAX(0,CR39)</f>
        <v>0</v>
      </c>
      <c r="DF39" s="20" t="n">
        <f aca="false">SUM(CS39:DD39)</f>
        <v>0</v>
      </c>
      <c r="DG39" s="20" t="n">
        <f aca="false">MAX(0,CF39)</f>
        <v>0</v>
      </c>
    </row>
    <row r="40" customFormat="false" ht="15" hidden="false" customHeight="true" outlineLevel="0" collapsed="false">
      <c r="B40" s="20" t="n">
        <v>32</v>
      </c>
      <c r="C40" s="20" t="n">
        <f aca="false">'Plan cashflow'!J40</f>
        <v>0</v>
      </c>
      <c r="D40" s="20" t="n">
        <f aca="false">IF(C40&gt;PR_BalDone,C40+C40*(F_MR/12)-MIN(F_MortPayM,C40+C40*(F_MR/12)),C40)</f>
        <v>0</v>
      </c>
      <c r="E40" s="20" t="n">
        <f aca="false">IF(D40&gt;PR_BalDone,D40+D40*(F_MR/12)-MIN(F_MortPayM,D40+D40*(F_MR/12)),D40)</f>
        <v>0</v>
      </c>
      <c r="F40" s="20" t="n">
        <f aca="false">IF(E40&gt;PR_BalDone,E40+E40*(F_MR/12)-MIN(F_MortPayM,E40+E40*(F_MR/12)),E40)</f>
        <v>0</v>
      </c>
      <c r="G40" s="20" t="n">
        <f aca="false">IF(F40&gt;PR_BalDone,F40+F40*(F_MR/12)-MIN(F_MortPayM,F40+F40*(F_MR/12)),F40)</f>
        <v>0</v>
      </c>
      <c r="H40" s="20" t="n">
        <f aca="false">IF(G40&gt;PR_BalDone,G40+G40*(F_MR/12)-MIN(F_MortPayM,G40+G40*(F_MR/12)),G40)</f>
        <v>0</v>
      </c>
      <c r="I40" s="20" t="n">
        <f aca="false">IF(H40&gt;PR_BalDone,H40+H40*(F_MR/12)-MIN(F_MortPayM,H40+H40*(F_MR/12)),H40)</f>
        <v>0</v>
      </c>
      <c r="J40" s="20" t="n">
        <f aca="false">IF(I40&gt;PR_BalDone,I40+I40*(F_MR/12)-MIN(F_MortPayM,I40+I40*(F_MR/12)),I40)</f>
        <v>0</v>
      </c>
      <c r="K40" s="20" t="n">
        <f aca="false">IF(J40&gt;PR_BalDone,J40+J40*(F_MR/12)-MIN(F_MortPayM,J40+J40*(F_MR/12)),J40)</f>
        <v>0</v>
      </c>
      <c r="L40" s="20" t="n">
        <f aca="false">IF(K40&gt;PR_BalDone,K40+K40*(F_MR/12)-MIN(F_MortPayM,K40+K40*(F_MR/12)),K40)</f>
        <v>0</v>
      </c>
      <c r="M40" s="20" t="n">
        <f aca="false">IF(L40&gt;PR_BalDone,L40+L40*(F_MR/12)-MIN(F_MortPayM,L40+L40*(F_MR/12)),L40)</f>
        <v>0</v>
      </c>
      <c r="N40" s="20" t="n">
        <f aca="false">IF(M40&gt;PR_BalDone,M40+M40*(F_MR/12)-MIN(F_MortPayM,M40+M40*(F_MR/12)),M40)</f>
        <v>0</v>
      </c>
      <c r="O40" s="20" t="n">
        <f aca="false">IF(N40&gt;PR_BalDone,N40+N40*(F_MR/12)-MIN(F_MortPayM,N40+N40*(F_MR/12)),N40)</f>
        <v>0</v>
      </c>
      <c r="P40" s="20" t="n">
        <f aca="false">IF(C40&gt;PR_BalDone,MIN(F_MortPayM,C40+C40*(F_MR/12)),0)</f>
        <v>0</v>
      </c>
      <c r="Q40" s="20" t="n">
        <f aca="false">IF(D40&gt;PR_BalDone,MIN(F_MortPayM,D40+D40*(F_MR/12)),0)</f>
        <v>0</v>
      </c>
      <c r="R40" s="20" t="n">
        <f aca="false">IF(E40&gt;PR_BalDone,MIN(F_MortPayM,E40+E40*(F_MR/12)),0)</f>
        <v>0</v>
      </c>
      <c r="S40" s="20" t="n">
        <f aca="false">IF(F40&gt;PR_BalDone,MIN(F_MortPayM,F40+F40*(F_MR/12)),0)</f>
        <v>0</v>
      </c>
      <c r="T40" s="20" t="n">
        <f aca="false">IF(G40&gt;PR_BalDone,MIN(F_MortPayM,G40+G40*(F_MR/12)),0)</f>
        <v>0</v>
      </c>
      <c r="U40" s="20" t="n">
        <f aca="false">IF(H40&gt;PR_BalDone,MIN(F_MortPayM,H40+H40*(F_MR/12)),0)</f>
        <v>0</v>
      </c>
      <c r="V40" s="20" t="n">
        <f aca="false">IF(I40&gt;PR_BalDone,MIN(F_MortPayM,I40+I40*(F_MR/12)),0)</f>
        <v>0</v>
      </c>
      <c r="W40" s="20" t="n">
        <f aca="false">IF(J40&gt;PR_BalDone,MIN(F_MortPayM,J40+J40*(F_MR/12)),0)</f>
        <v>0</v>
      </c>
      <c r="X40" s="20" t="n">
        <f aca="false">IF(K40&gt;PR_BalDone,MIN(F_MortPayM,K40+K40*(F_MR/12)),0)</f>
        <v>0</v>
      </c>
      <c r="Y40" s="20" t="n">
        <f aca="false">IF(L40&gt;PR_BalDone,MIN(F_MortPayM,L40+L40*(F_MR/12)),0)</f>
        <v>0</v>
      </c>
      <c r="Z40" s="20" t="n">
        <f aca="false">IF(M40&gt;PR_BalDone,MIN(F_MortPayM,M40+M40*(F_MR/12)),0)</f>
        <v>0</v>
      </c>
      <c r="AA40" s="20" t="n">
        <f aca="false">IF(N40&gt;PR_BalDone,MIN(F_MortPayM,N40+N40*(F_MR/12)),0)</f>
        <v>0</v>
      </c>
      <c r="AB40" s="20" t="n">
        <f aca="false">MAX(0,O40)</f>
        <v>0</v>
      </c>
      <c r="AC40" s="20" t="n">
        <f aca="false">SUM(P40:AA40)</f>
        <v>0</v>
      </c>
      <c r="AD40" s="20" t="n">
        <f aca="false">'Plan cashflow'!M40</f>
        <v>0</v>
      </c>
      <c r="AE40" s="20" t="n">
        <f aca="false">IF(AD40&gt;PR_BalDone,AD40+AD40*(D_iC)-MIN(F_CardPayM,AD40+AD40*(D_iC)),AD40)</f>
        <v>0</v>
      </c>
      <c r="AF40" s="20" t="n">
        <f aca="false">IF(AE40&gt;PR_BalDone,AE40+AE40*(D_iC)-MIN(F_CardPayM,AE40+AE40*(D_iC)),AE40)</f>
        <v>0</v>
      </c>
      <c r="AG40" s="20" t="n">
        <f aca="false">IF(AF40&gt;PR_BalDone,AF40+AF40*(D_iC)-MIN(F_CardPayM,AF40+AF40*(D_iC)),AF40)</f>
        <v>0</v>
      </c>
      <c r="AH40" s="20" t="n">
        <f aca="false">IF(AG40&gt;PR_BalDone,AG40+AG40*(D_iC)-MIN(F_CardPayM,AG40+AG40*(D_iC)),AG40)</f>
        <v>0</v>
      </c>
      <c r="AI40" s="20" t="n">
        <f aca="false">IF(AH40&gt;PR_BalDone,AH40+AH40*(D_iC)-MIN(F_CardPayM,AH40+AH40*(D_iC)),AH40)</f>
        <v>0</v>
      </c>
      <c r="AJ40" s="20" t="n">
        <f aca="false">IF(AI40&gt;PR_BalDone,AI40+AI40*(D_iC)-MIN(F_CardPayM,AI40+AI40*(D_iC)),AI40)</f>
        <v>0</v>
      </c>
      <c r="AK40" s="20" t="n">
        <f aca="false">IF(AJ40&gt;PR_BalDone,AJ40+AJ40*(D_iC)-MIN(F_CardPayM,AJ40+AJ40*(D_iC)),AJ40)</f>
        <v>0</v>
      </c>
      <c r="AL40" s="20" t="n">
        <f aca="false">IF(AK40&gt;PR_BalDone,AK40+AK40*(D_iC)-MIN(F_CardPayM,AK40+AK40*(D_iC)),AK40)</f>
        <v>0</v>
      </c>
      <c r="AM40" s="20" t="n">
        <f aca="false">IF(AL40&gt;PR_BalDone,AL40+AL40*(D_iC)-MIN(F_CardPayM,AL40+AL40*(D_iC)),AL40)</f>
        <v>0</v>
      </c>
      <c r="AN40" s="20" t="n">
        <f aca="false">IF(AM40&gt;PR_BalDone,AM40+AM40*(D_iC)-MIN(F_CardPayM,AM40+AM40*(D_iC)),AM40)</f>
        <v>0</v>
      </c>
      <c r="AO40" s="20" t="n">
        <f aca="false">IF(AN40&gt;PR_BalDone,AN40+AN40*(D_iC)-MIN(F_CardPayM,AN40+AN40*(D_iC)),AN40)</f>
        <v>0</v>
      </c>
      <c r="AP40" s="20" t="n">
        <f aca="false">IF(AO40&gt;PR_BalDone,AO40+AO40*(D_iC)-MIN(F_CardPayM,AO40+AO40*(D_iC)),AO40)</f>
        <v>0</v>
      </c>
      <c r="AQ40" s="20" t="n">
        <f aca="false">IF(AD40&gt;PR_BalDone,MIN(F_CardPayM,AD40+AD40*(D_iC)),0)</f>
        <v>0</v>
      </c>
      <c r="AR40" s="20" t="n">
        <f aca="false">IF(AE40&gt;PR_BalDone,MIN(F_CardPayM,AE40+AE40*(D_iC)),0)</f>
        <v>0</v>
      </c>
      <c r="AS40" s="20" t="n">
        <f aca="false">IF(AF40&gt;PR_BalDone,MIN(F_CardPayM,AF40+AF40*(D_iC)),0)</f>
        <v>0</v>
      </c>
      <c r="AT40" s="20" t="n">
        <f aca="false">IF(AG40&gt;PR_BalDone,MIN(F_CardPayM,AG40+AG40*(D_iC)),0)</f>
        <v>0</v>
      </c>
      <c r="AU40" s="20" t="n">
        <f aca="false">IF(AH40&gt;PR_BalDone,MIN(F_CardPayM,AH40+AH40*(D_iC)),0)</f>
        <v>0</v>
      </c>
      <c r="AV40" s="20" t="n">
        <f aca="false">IF(AI40&gt;PR_BalDone,MIN(F_CardPayM,AI40+AI40*(D_iC)),0)</f>
        <v>0</v>
      </c>
      <c r="AW40" s="20" t="n">
        <f aca="false">IF(AJ40&gt;PR_BalDone,MIN(F_CardPayM,AJ40+AJ40*(D_iC)),0)</f>
        <v>0</v>
      </c>
      <c r="AX40" s="20" t="n">
        <f aca="false">IF(AK40&gt;PR_BalDone,MIN(F_CardPayM,AK40+AK40*(D_iC)),0)</f>
        <v>0</v>
      </c>
      <c r="AY40" s="20" t="n">
        <f aca="false">IF(AL40&gt;PR_BalDone,MIN(F_CardPayM,AL40+AL40*(D_iC)),0)</f>
        <v>0</v>
      </c>
      <c r="AZ40" s="20" t="n">
        <f aca="false">IF(AM40&gt;PR_BalDone,MIN(F_CardPayM,AM40+AM40*(D_iC)),0)</f>
        <v>0</v>
      </c>
      <c r="BA40" s="20" t="n">
        <f aca="false">IF(AN40&gt;PR_BalDone,MIN(F_CardPayM,AN40+AN40*(D_iC)),0)</f>
        <v>0</v>
      </c>
      <c r="BB40" s="20" t="n">
        <f aca="false">IF(AO40&gt;PR_BalDone,MIN(F_CardPayM,AO40+AO40*(D_iC)),0)</f>
        <v>0</v>
      </c>
      <c r="BC40" s="20" t="n">
        <f aca="false">MAX(0,AP40)</f>
        <v>0</v>
      </c>
      <c r="BD40" s="20" t="n">
        <f aca="false">SUM(AQ40:BB40)</f>
        <v>0</v>
      </c>
      <c r="BE40" s="20" t="n">
        <f aca="false">'Plan cashflow'!P40</f>
        <v>0</v>
      </c>
      <c r="BF40" s="20" t="n">
        <f aca="false">IF(BE40&gt;PR_BalDone,BE40+BE40*(D_iL)-MIN(F_LoanPayM,BE40+BE40*(D_iL)),BE40)</f>
        <v>0</v>
      </c>
      <c r="BG40" s="20" t="n">
        <f aca="false">IF(BF40&gt;PR_BalDone,BF40+BF40*(D_iL)-MIN(F_LoanPayM,BF40+BF40*(D_iL)),BF40)</f>
        <v>0</v>
      </c>
      <c r="BH40" s="20" t="n">
        <f aca="false">IF(BG40&gt;PR_BalDone,BG40+BG40*(D_iL)-MIN(F_LoanPayM,BG40+BG40*(D_iL)),BG40)</f>
        <v>0</v>
      </c>
      <c r="BI40" s="20" t="n">
        <f aca="false">IF(BH40&gt;PR_BalDone,BH40+BH40*(D_iL)-MIN(F_LoanPayM,BH40+BH40*(D_iL)),BH40)</f>
        <v>0</v>
      </c>
      <c r="BJ40" s="20" t="n">
        <f aca="false">IF(BI40&gt;PR_BalDone,BI40+BI40*(D_iL)-MIN(F_LoanPayM,BI40+BI40*(D_iL)),BI40)</f>
        <v>0</v>
      </c>
      <c r="BK40" s="20" t="n">
        <f aca="false">IF(BJ40&gt;PR_BalDone,BJ40+BJ40*(D_iL)-MIN(F_LoanPayM,BJ40+BJ40*(D_iL)),BJ40)</f>
        <v>0</v>
      </c>
      <c r="BL40" s="20" t="n">
        <f aca="false">IF(BK40&gt;PR_BalDone,BK40+BK40*(D_iL)-MIN(F_LoanPayM,BK40+BK40*(D_iL)),BK40)</f>
        <v>0</v>
      </c>
      <c r="BM40" s="20" t="n">
        <f aca="false">IF(BL40&gt;PR_BalDone,BL40+BL40*(D_iL)-MIN(F_LoanPayM,BL40+BL40*(D_iL)),BL40)</f>
        <v>0</v>
      </c>
      <c r="BN40" s="20" t="n">
        <f aca="false">IF(BM40&gt;PR_BalDone,BM40+BM40*(D_iL)-MIN(F_LoanPayM,BM40+BM40*(D_iL)),BM40)</f>
        <v>0</v>
      </c>
      <c r="BO40" s="20" t="n">
        <f aca="false">IF(BN40&gt;PR_BalDone,BN40+BN40*(D_iL)-MIN(F_LoanPayM,BN40+BN40*(D_iL)),BN40)</f>
        <v>0</v>
      </c>
      <c r="BP40" s="20" t="n">
        <f aca="false">IF(BO40&gt;PR_BalDone,BO40+BO40*(D_iL)-MIN(F_LoanPayM,BO40+BO40*(D_iL)),BO40)</f>
        <v>0</v>
      </c>
      <c r="BQ40" s="20" t="n">
        <f aca="false">IF(BP40&gt;PR_BalDone,BP40+BP40*(D_iL)-MIN(F_LoanPayM,BP40+BP40*(D_iL)),BP40)</f>
        <v>0</v>
      </c>
      <c r="BR40" s="20" t="n">
        <f aca="false">IF(BE40&gt;PR_BalDone,MIN(F_LoanPayM,BE40+BE40*(D_iL)),0)</f>
        <v>0</v>
      </c>
      <c r="BS40" s="20" t="n">
        <f aca="false">IF(BF40&gt;PR_BalDone,MIN(F_LoanPayM,BF40+BF40*(D_iL)),0)</f>
        <v>0</v>
      </c>
      <c r="BT40" s="20" t="n">
        <f aca="false">IF(BG40&gt;PR_BalDone,MIN(F_LoanPayM,BG40+BG40*(D_iL)),0)</f>
        <v>0</v>
      </c>
      <c r="BU40" s="20" t="n">
        <f aca="false">IF(BH40&gt;PR_BalDone,MIN(F_LoanPayM,BH40+BH40*(D_iL)),0)</f>
        <v>0</v>
      </c>
      <c r="BV40" s="20" t="n">
        <f aca="false">IF(BI40&gt;PR_BalDone,MIN(F_LoanPayM,BI40+BI40*(D_iL)),0)</f>
        <v>0</v>
      </c>
      <c r="BW40" s="20" t="n">
        <f aca="false">IF(BJ40&gt;PR_BalDone,MIN(F_LoanPayM,BJ40+BJ40*(D_iL)),0)</f>
        <v>0</v>
      </c>
      <c r="BX40" s="20" t="n">
        <f aca="false">IF(BK40&gt;PR_BalDone,MIN(F_LoanPayM,BK40+BK40*(D_iL)),0)</f>
        <v>0</v>
      </c>
      <c r="BY40" s="20" t="n">
        <f aca="false">IF(BL40&gt;PR_BalDone,MIN(F_LoanPayM,BL40+BL40*(D_iL)),0)</f>
        <v>0</v>
      </c>
      <c r="BZ40" s="20" t="n">
        <f aca="false">IF(BM40&gt;PR_BalDone,MIN(F_LoanPayM,BM40+BM40*(D_iL)),0)</f>
        <v>0</v>
      </c>
      <c r="CA40" s="20" t="n">
        <f aca="false">IF(BN40&gt;PR_BalDone,MIN(F_LoanPayM,BN40+BN40*(D_iL)),0)</f>
        <v>0</v>
      </c>
      <c r="CB40" s="20" t="n">
        <f aca="false">IF(BO40&gt;PR_BalDone,MIN(F_LoanPayM,BO40+BO40*(D_iL)),0)</f>
        <v>0</v>
      </c>
      <c r="CC40" s="20" t="n">
        <f aca="false">IF(BP40&gt;PR_BalDone,MIN(F_LoanPayM,BP40+BP40*(D_iL)),0)</f>
        <v>0</v>
      </c>
      <c r="CD40" s="20" t="n">
        <f aca="false">MAX(0,BQ40)</f>
        <v>0</v>
      </c>
      <c r="CE40" s="20" t="n">
        <f aca="false">SUM(BR40:CC40)</f>
        <v>0</v>
      </c>
      <c r="CF40" s="20" t="n">
        <f aca="false">IF(CF39&gt;1,DE39,CF39)</f>
        <v>0</v>
      </c>
      <c r="CG40" s="20" t="n">
        <f aca="false">IF(CF40&gt;PR_BalDone,CF40+CF40*(F_MR/12)-MIN(F_MortPayM,CF40+CF40*(F_MR/12)),CF40)</f>
        <v>0</v>
      </c>
      <c r="CH40" s="20" t="n">
        <f aca="false">IF(CG40&gt;PR_BalDone,CG40+CG40*(F_MR/12)-MIN(F_MortPayM,CG40+CG40*(F_MR/12)),CG40)</f>
        <v>0</v>
      </c>
      <c r="CI40" s="20" t="n">
        <f aca="false">IF(CH40&gt;PR_BalDone,CH40+CH40*(F_MR/12)-MIN(F_MortPayM,CH40+CH40*(F_MR/12)),CH40)</f>
        <v>0</v>
      </c>
      <c r="CJ40" s="20" t="n">
        <f aca="false">IF(CI40&gt;PR_BalDone,CI40+CI40*(F_MR/12)-MIN(F_MortPayM,CI40+CI40*(F_MR/12)),CI40)</f>
        <v>0</v>
      </c>
      <c r="CK40" s="20" t="n">
        <f aca="false">IF(CJ40&gt;PR_BalDone,CJ40+CJ40*(F_MR/12)-MIN(F_MortPayM,CJ40+CJ40*(F_MR/12)),CJ40)</f>
        <v>0</v>
      </c>
      <c r="CL40" s="20" t="n">
        <f aca="false">IF(CK40&gt;PR_BalDone,CK40+CK40*(F_MR/12)-MIN(F_MortPayM,CK40+CK40*(F_MR/12)),CK40)</f>
        <v>0</v>
      </c>
      <c r="CM40" s="20" t="n">
        <f aca="false">IF(CL40&gt;PR_BalDone,CL40+CL40*(F_MR/12)-MIN(F_MortPayM,CL40+CL40*(F_MR/12)),CL40)</f>
        <v>0</v>
      </c>
      <c r="CN40" s="20" t="n">
        <f aca="false">IF(CM40&gt;PR_BalDone,CM40+CM40*(F_MR/12)-MIN(F_MortPayM,CM40+CM40*(F_MR/12)),CM40)</f>
        <v>0</v>
      </c>
      <c r="CO40" s="20" t="n">
        <f aca="false">IF(CN40&gt;PR_BalDone,CN40+CN40*(F_MR/12)-MIN(F_MortPayM,CN40+CN40*(F_MR/12)),CN40)</f>
        <v>0</v>
      </c>
      <c r="CP40" s="20" t="n">
        <f aca="false">IF(CO40&gt;PR_BalDone,CO40+CO40*(F_MR/12)-MIN(F_MortPayM,CO40+CO40*(F_MR/12)),CO40)</f>
        <v>0</v>
      </c>
      <c r="CQ40" s="20" t="n">
        <f aca="false">IF(CP40&gt;PR_BalDone,CP40+CP40*(F_MR/12)-MIN(F_MortPayM,CP40+CP40*(F_MR/12)),CP40)</f>
        <v>0</v>
      </c>
      <c r="CR40" s="20" t="n">
        <f aca="false">IF(CQ40&gt;PR_BalDone,CQ40+CQ40*(F_MR/12)-MIN(F_MortPayM,CQ40+CQ40*(F_MR/12)),CQ40)</f>
        <v>0</v>
      </c>
      <c r="CS40" s="20" t="n">
        <f aca="false">IF(CF40&gt;PR_BalDone,MIN(F_MortPayM,CF40+CF40*(F_MR/12)),0)</f>
        <v>0</v>
      </c>
      <c r="CT40" s="20" t="n">
        <f aca="false">IF(CG40&gt;PR_BalDone,MIN(F_MortPayM,CG40+CG40*(F_MR/12)),0)</f>
        <v>0</v>
      </c>
      <c r="CU40" s="20" t="n">
        <f aca="false">IF(CH40&gt;PR_BalDone,MIN(F_MortPayM,CH40+CH40*(F_MR/12)),0)</f>
        <v>0</v>
      </c>
      <c r="CV40" s="20" t="n">
        <f aca="false">IF(CI40&gt;PR_BalDone,MIN(F_MortPayM,CI40+CI40*(F_MR/12)),0)</f>
        <v>0</v>
      </c>
      <c r="CW40" s="20" t="n">
        <f aca="false">IF(CJ40&gt;PR_BalDone,MIN(F_MortPayM,CJ40+CJ40*(F_MR/12)),0)</f>
        <v>0</v>
      </c>
      <c r="CX40" s="20" t="n">
        <f aca="false">IF(CK40&gt;PR_BalDone,MIN(F_MortPayM,CK40+CK40*(F_MR/12)),0)</f>
        <v>0</v>
      </c>
      <c r="CY40" s="20" t="n">
        <f aca="false">IF(CL40&gt;PR_BalDone,MIN(F_MortPayM,CL40+CL40*(F_MR/12)),0)</f>
        <v>0</v>
      </c>
      <c r="CZ40" s="20" t="n">
        <f aca="false">IF(CM40&gt;PR_BalDone,MIN(F_MortPayM,CM40+CM40*(F_MR/12)),0)</f>
        <v>0</v>
      </c>
      <c r="DA40" s="20" t="n">
        <f aca="false">IF(CN40&gt;PR_BalDone,MIN(F_MortPayM,CN40+CN40*(F_MR/12)),0)</f>
        <v>0</v>
      </c>
      <c r="DB40" s="20" t="n">
        <f aca="false">IF(CO40&gt;PR_BalDone,MIN(F_MortPayM,CO40+CO40*(F_MR/12)),0)</f>
        <v>0</v>
      </c>
      <c r="DC40" s="20" t="n">
        <f aca="false">IF(CP40&gt;PR_BalDone,MIN(F_MortPayM,CP40+CP40*(F_MR/12)),0)</f>
        <v>0</v>
      </c>
      <c r="DD40" s="20" t="n">
        <f aca="false">IF(CQ40&gt;PR_BalDone,MIN(F_MortPayM,CQ40+CQ40*(F_MR/12)),0)</f>
        <v>0</v>
      </c>
      <c r="DE40" s="20" t="n">
        <f aca="false">MAX(0,CR40)</f>
        <v>0</v>
      </c>
      <c r="DF40" s="20" t="n">
        <f aca="false">SUM(CS40:DD40)</f>
        <v>0</v>
      </c>
      <c r="DG40" s="20" t="n">
        <f aca="false">MAX(0,CF40)</f>
        <v>0</v>
      </c>
    </row>
    <row r="41" customFormat="false" ht="15" hidden="false" customHeight="true" outlineLevel="0" collapsed="false">
      <c r="B41" s="20" t="n">
        <v>33</v>
      </c>
      <c r="C41" s="20" t="n">
        <f aca="false">'Plan cashflow'!J41</f>
        <v>0</v>
      </c>
      <c r="D41" s="20" t="n">
        <f aca="false">IF(C41&gt;PR_BalDone,C41+C41*(F_MR/12)-MIN(F_MortPayM,C41+C41*(F_MR/12)),C41)</f>
        <v>0</v>
      </c>
      <c r="E41" s="20" t="n">
        <f aca="false">IF(D41&gt;PR_BalDone,D41+D41*(F_MR/12)-MIN(F_MortPayM,D41+D41*(F_MR/12)),D41)</f>
        <v>0</v>
      </c>
      <c r="F41" s="20" t="n">
        <f aca="false">IF(E41&gt;PR_BalDone,E41+E41*(F_MR/12)-MIN(F_MortPayM,E41+E41*(F_MR/12)),E41)</f>
        <v>0</v>
      </c>
      <c r="G41" s="20" t="n">
        <f aca="false">IF(F41&gt;PR_BalDone,F41+F41*(F_MR/12)-MIN(F_MortPayM,F41+F41*(F_MR/12)),F41)</f>
        <v>0</v>
      </c>
      <c r="H41" s="20" t="n">
        <f aca="false">IF(G41&gt;PR_BalDone,G41+G41*(F_MR/12)-MIN(F_MortPayM,G41+G41*(F_MR/12)),G41)</f>
        <v>0</v>
      </c>
      <c r="I41" s="20" t="n">
        <f aca="false">IF(H41&gt;PR_BalDone,H41+H41*(F_MR/12)-MIN(F_MortPayM,H41+H41*(F_MR/12)),H41)</f>
        <v>0</v>
      </c>
      <c r="J41" s="20" t="n">
        <f aca="false">IF(I41&gt;PR_BalDone,I41+I41*(F_MR/12)-MIN(F_MortPayM,I41+I41*(F_MR/12)),I41)</f>
        <v>0</v>
      </c>
      <c r="K41" s="20" t="n">
        <f aca="false">IF(J41&gt;PR_BalDone,J41+J41*(F_MR/12)-MIN(F_MortPayM,J41+J41*(F_MR/12)),J41)</f>
        <v>0</v>
      </c>
      <c r="L41" s="20" t="n">
        <f aca="false">IF(K41&gt;PR_BalDone,K41+K41*(F_MR/12)-MIN(F_MortPayM,K41+K41*(F_MR/12)),K41)</f>
        <v>0</v>
      </c>
      <c r="M41" s="20" t="n">
        <f aca="false">IF(L41&gt;PR_BalDone,L41+L41*(F_MR/12)-MIN(F_MortPayM,L41+L41*(F_MR/12)),L41)</f>
        <v>0</v>
      </c>
      <c r="N41" s="20" t="n">
        <f aca="false">IF(M41&gt;PR_BalDone,M41+M41*(F_MR/12)-MIN(F_MortPayM,M41+M41*(F_MR/12)),M41)</f>
        <v>0</v>
      </c>
      <c r="O41" s="20" t="n">
        <f aca="false">IF(N41&gt;PR_BalDone,N41+N41*(F_MR/12)-MIN(F_MortPayM,N41+N41*(F_MR/12)),N41)</f>
        <v>0</v>
      </c>
      <c r="P41" s="20" t="n">
        <f aca="false">IF(C41&gt;PR_BalDone,MIN(F_MortPayM,C41+C41*(F_MR/12)),0)</f>
        <v>0</v>
      </c>
      <c r="Q41" s="20" t="n">
        <f aca="false">IF(D41&gt;PR_BalDone,MIN(F_MortPayM,D41+D41*(F_MR/12)),0)</f>
        <v>0</v>
      </c>
      <c r="R41" s="20" t="n">
        <f aca="false">IF(E41&gt;PR_BalDone,MIN(F_MortPayM,E41+E41*(F_MR/12)),0)</f>
        <v>0</v>
      </c>
      <c r="S41" s="20" t="n">
        <f aca="false">IF(F41&gt;PR_BalDone,MIN(F_MortPayM,F41+F41*(F_MR/12)),0)</f>
        <v>0</v>
      </c>
      <c r="T41" s="20" t="n">
        <f aca="false">IF(G41&gt;PR_BalDone,MIN(F_MortPayM,G41+G41*(F_MR/12)),0)</f>
        <v>0</v>
      </c>
      <c r="U41" s="20" t="n">
        <f aca="false">IF(H41&gt;PR_BalDone,MIN(F_MortPayM,H41+H41*(F_MR/12)),0)</f>
        <v>0</v>
      </c>
      <c r="V41" s="20" t="n">
        <f aca="false">IF(I41&gt;PR_BalDone,MIN(F_MortPayM,I41+I41*(F_MR/12)),0)</f>
        <v>0</v>
      </c>
      <c r="W41" s="20" t="n">
        <f aca="false">IF(J41&gt;PR_BalDone,MIN(F_MortPayM,J41+J41*(F_MR/12)),0)</f>
        <v>0</v>
      </c>
      <c r="X41" s="20" t="n">
        <f aca="false">IF(K41&gt;PR_BalDone,MIN(F_MortPayM,K41+K41*(F_MR/12)),0)</f>
        <v>0</v>
      </c>
      <c r="Y41" s="20" t="n">
        <f aca="false">IF(L41&gt;PR_BalDone,MIN(F_MortPayM,L41+L41*(F_MR/12)),0)</f>
        <v>0</v>
      </c>
      <c r="Z41" s="20" t="n">
        <f aca="false">IF(M41&gt;PR_BalDone,MIN(F_MortPayM,M41+M41*(F_MR/12)),0)</f>
        <v>0</v>
      </c>
      <c r="AA41" s="20" t="n">
        <f aca="false">IF(N41&gt;PR_BalDone,MIN(F_MortPayM,N41+N41*(F_MR/12)),0)</f>
        <v>0</v>
      </c>
      <c r="AB41" s="20" t="n">
        <f aca="false">MAX(0,O41)</f>
        <v>0</v>
      </c>
      <c r="AC41" s="20" t="n">
        <f aca="false">SUM(P41:AA41)</f>
        <v>0</v>
      </c>
      <c r="AD41" s="20" t="n">
        <f aca="false">'Plan cashflow'!M41</f>
        <v>0</v>
      </c>
      <c r="AE41" s="20" t="n">
        <f aca="false">IF(AD41&gt;PR_BalDone,AD41+AD41*(D_iC)-MIN(F_CardPayM,AD41+AD41*(D_iC)),AD41)</f>
        <v>0</v>
      </c>
      <c r="AF41" s="20" t="n">
        <f aca="false">IF(AE41&gt;PR_BalDone,AE41+AE41*(D_iC)-MIN(F_CardPayM,AE41+AE41*(D_iC)),AE41)</f>
        <v>0</v>
      </c>
      <c r="AG41" s="20" t="n">
        <f aca="false">IF(AF41&gt;PR_BalDone,AF41+AF41*(D_iC)-MIN(F_CardPayM,AF41+AF41*(D_iC)),AF41)</f>
        <v>0</v>
      </c>
      <c r="AH41" s="20" t="n">
        <f aca="false">IF(AG41&gt;PR_BalDone,AG41+AG41*(D_iC)-MIN(F_CardPayM,AG41+AG41*(D_iC)),AG41)</f>
        <v>0</v>
      </c>
      <c r="AI41" s="20" t="n">
        <f aca="false">IF(AH41&gt;PR_BalDone,AH41+AH41*(D_iC)-MIN(F_CardPayM,AH41+AH41*(D_iC)),AH41)</f>
        <v>0</v>
      </c>
      <c r="AJ41" s="20" t="n">
        <f aca="false">IF(AI41&gt;PR_BalDone,AI41+AI41*(D_iC)-MIN(F_CardPayM,AI41+AI41*(D_iC)),AI41)</f>
        <v>0</v>
      </c>
      <c r="AK41" s="20" t="n">
        <f aca="false">IF(AJ41&gt;PR_BalDone,AJ41+AJ41*(D_iC)-MIN(F_CardPayM,AJ41+AJ41*(D_iC)),AJ41)</f>
        <v>0</v>
      </c>
      <c r="AL41" s="20" t="n">
        <f aca="false">IF(AK41&gt;PR_BalDone,AK41+AK41*(D_iC)-MIN(F_CardPayM,AK41+AK41*(D_iC)),AK41)</f>
        <v>0</v>
      </c>
      <c r="AM41" s="20" t="n">
        <f aca="false">IF(AL41&gt;PR_BalDone,AL41+AL41*(D_iC)-MIN(F_CardPayM,AL41+AL41*(D_iC)),AL41)</f>
        <v>0</v>
      </c>
      <c r="AN41" s="20" t="n">
        <f aca="false">IF(AM41&gt;PR_BalDone,AM41+AM41*(D_iC)-MIN(F_CardPayM,AM41+AM41*(D_iC)),AM41)</f>
        <v>0</v>
      </c>
      <c r="AO41" s="20" t="n">
        <f aca="false">IF(AN41&gt;PR_BalDone,AN41+AN41*(D_iC)-MIN(F_CardPayM,AN41+AN41*(D_iC)),AN41)</f>
        <v>0</v>
      </c>
      <c r="AP41" s="20" t="n">
        <f aca="false">IF(AO41&gt;PR_BalDone,AO41+AO41*(D_iC)-MIN(F_CardPayM,AO41+AO41*(D_iC)),AO41)</f>
        <v>0</v>
      </c>
      <c r="AQ41" s="20" t="n">
        <f aca="false">IF(AD41&gt;PR_BalDone,MIN(F_CardPayM,AD41+AD41*(D_iC)),0)</f>
        <v>0</v>
      </c>
      <c r="AR41" s="20" t="n">
        <f aca="false">IF(AE41&gt;PR_BalDone,MIN(F_CardPayM,AE41+AE41*(D_iC)),0)</f>
        <v>0</v>
      </c>
      <c r="AS41" s="20" t="n">
        <f aca="false">IF(AF41&gt;PR_BalDone,MIN(F_CardPayM,AF41+AF41*(D_iC)),0)</f>
        <v>0</v>
      </c>
      <c r="AT41" s="20" t="n">
        <f aca="false">IF(AG41&gt;PR_BalDone,MIN(F_CardPayM,AG41+AG41*(D_iC)),0)</f>
        <v>0</v>
      </c>
      <c r="AU41" s="20" t="n">
        <f aca="false">IF(AH41&gt;PR_BalDone,MIN(F_CardPayM,AH41+AH41*(D_iC)),0)</f>
        <v>0</v>
      </c>
      <c r="AV41" s="20" t="n">
        <f aca="false">IF(AI41&gt;PR_BalDone,MIN(F_CardPayM,AI41+AI41*(D_iC)),0)</f>
        <v>0</v>
      </c>
      <c r="AW41" s="20" t="n">
        <f aca="false">IF(AJ41&gt;PR_BalDone,MIN(F_CardPayM,AJ41+AJ41*(D_iC)),0)</f>
        <v>0</v>
      </c>
      <c r="AX41" s="20" t="n">
        <f aca="false">IF(AK41&gt;PR_BalDone,MIN(F_CardPayM,AK41+AK41*(D_iC)),0)</f>
        <v>0</v>
      </c>
      <c r="AY41" s="20" t="n">
        <f aca="false">IF(AL41&gt;PR_BalDone,MIN(F_CardPayM,AL41+AL41*(D_iC)),0)</f>
        <v>0</v>
      </c>
      <c r="AZ41" s="20" t="n">
        <f aca="false">IF(AM41&gt;PR_BalDone,MIN(F_CardPayM,AM41+AM41*(D_iC)),0)</f>
        <v>0</v>
      </c>
      <c r="BA41" s="20" t="n">
        <f aca="false">IF(AN41&gt;PR_BalDone,MIN(F_CardPayM,AN41+AN41*(D_iC)),0)</f>
        <v>0</v>
      </c>
      <c r="BB41" s="20" t="n">
        <f aca="false">IF(AO41&gt;PR_BalDone,MIN(F_CardPayM,AO41+AO41*(D_iC)),0)</f>
        <v>0</v>
      </c>
      <c r="BC41" s="20" t="n">
        <f aca="false">MAX(0,AP41)</f>
        <v>0</v>
      </c>
      <c r="BD41" s="20" t="n">
        <f aca="false">SUM(AQ41:BB41)</f>
        <v>0</v>
      </c>
      <c r="BE41" s="20" t="n">
        <f aca="false">'Plan cashflow'!P41</f>
        <v>0</v>
      </c>
      <c r="BF41" s="20" t="n">
        <f aca="false">IF(BE41&gt;PR_BalDone,BE41+BE41*(D_iL)-MIN(F_LoanPayM,BE41+BE41*(D_iL)),BE41)</f>
        <v>0</v>
      </c>
      <c r="BG41" s="20" t="n">
        <f aca="false">IF(BF41&gt;PR_BalDone,BF41+BF41*(D_iL)-MIN(F_LoanPayM,BF41+BF41*(D_iL)),BF41)</f>
        <v>0</v>
      </c>
      <c r="BH41" s="20" t="n">
        <f aca="false">IF(BG41&gt;PR_BalDone,BG41+BG41*(D_iL)-MIN(F_LoanPayM,BG41+BG41*(D_iL)),BG41)</f>
        <v>0</v>
      </c>
      <c r="BI41" s="20" t="n">
        <f aca="false">IF(BH41&gt;PR_BalDone,BH41+BH41*(D_iL)-MIN(F_LoanPayM,BH41+BH41*(D_iL)),BH41)</f>
        <v>0</v>
      </c>
      <c r="BJ41" s="20" t="n">
        <f aca="false">IF(BI41&gt;PR_BalDone,BI41+BI41*(D_iL)-MIN(F_LoanPayM,BI41+BI41*(D_iL)),BI41)</f>
        <v>0</v>
      </c>
      <c r="BK41" s="20" t="n">
        <f aca="false">IF(BJ41&gt;PR_BalDone,BJ41+BJ41*(D_iL)-MIN(F_LoanPayM,BJ41+BJ41*(D_iL)),BJ41)</f>
        <v>0</v>
      </c>
      <c r="BL41" s="20" t="n">
        <f aca="false">IF(BK41&gt;PR_BalDone,BK41+BK41*(D_iL)-MIN(F_LoanPayM,BK41+BK41*(D_iL)),BK41)</f>
        <v>0</v>
      </c>
      <c r="BM41" s="20" t="n">
        <f aca="false">IF(BL41&gt;PR_BalDone,BL41+BL41*(D_iL)-MIN(F_LoanPayM,BL41+BL41*(D_iL)),BL41)</f>
        <v>0</v>
      </c>
      <c r="BN41" s="20" t="n">
        <f aca="false">IF(BM41&gt;PR_BalDone,BM41+BM41*(D_iL)-MIN(F_LoanPayM,BM41+BM41*(D_iL)),BM41)</f>
        <v>0</v>
      </c>
      <c r="BO41" s="20" t="n">
        <f aca="false">IF(BN41&gt;PR_BalDone,BN41+BN41*(D_iL)-MIN(F_LoanPayM,BN41+BN41*(D_iL)),BN41)</f>
        <v>0</v>
      </c>
      <c r="BP41" s="20" t="n">
        <f aca="false">IF(BO41&gt;PR_BalDone,BO41+BO41*(D_iL)-MIN(F_LoanPayM,BO41+BO41*(D_iL)),BO41)</f>
        <v>0</v>
      </c>
      <c r="BQ41" s="20" t="n">
        <f aca="false">IF(BP41&gt;PR_BalDone,BP41+BP41*(D_iL)-MIN(F_LoanPayM,BP41+BP41*(D_iL)),BP41)</f>
        <v>0</v>
      </c>
      <c r="BR41" s="20" t="n">
        <f aca="false">IF(BE41&gt;PR_BalDone,MIN(F_LoanPayM,BE41+BE41*(D_iL)),0)</f>
        <v>0</v>
      </c>
      <c r="BS41" s="20" t="n">
        <f aca="false">IF(BF41&gt;PR_BalDone,MIN(F_LoanPayM,BF41+BF41*(D_iL)),0)</f>
        <v>0</v>
      </c>
      <c r="BT41" s="20" t="n">
        <f aca="false">IF(BG41&gt;PR_BalDone,MIN(F_LoanPayM,BG41+BG41*(D_iL)),0)</f>
        <v>0</v>
      </c>
      <c r="BU41" s="20" t="n">
        <f aca="false">IF(BH41&gt;PR_BalDone,MIN(F_LoanPayM,BH41+BH41*(D_iL)),0)</f>
        <v>0</v>
      </c>
      <c r="BV41" s="20" t="n">
        <f aca="false">IF(BI41&gt;PR_BalDone,MIN(F_LoanPayM,BI41+BI41*(D_iL)),0)</f>
        <v>0</v>
      </c>
      <c r="BW41" s="20" t="n">
        <f aca="false">IF(BJ41&gt;PR_BalDone,MIN(F_LoanPayM,BJ41+BJ41*(D_iL)),0)</f>
        <v>0</v>
      </c>
      <c r="BX41" s="20" t="n">
        <f aca="false">IF(BK41&gt;PR_BalDone,MIN(F_LoanPayM,BK41+BK41*(D_iL)),0)</f>
        <v>0</v>
      </c>
      <c r="BY41" s="20" t="n">
        <f aca="false">IF(BL41&gt;PR_BalDone,MIN(F_LoanPayM,BL41+BL41*(D_iL)),0)</f>
        <v>0</v>
      </c>
      <c r="BZ41" s="20" t="n">
        <f aca="false">IF(BM41&gt;PR_BalDone,MIN(F_LoanPayM,BM41+BM41*(D_iL)),0)</f>
        <v>0</v>
      </c>
      <c r="CA41" s="20" t="n">
        <f aca="false">IF(BN41&gt;PR_BalDone,MIN(F_LoanPayM,BN41+BN41*(D_iL)),0)</f>
        <v>0</v>
      </c>
      <c r="CB41" s="20" t="n">
        <f aca="false">IF(BO41&gt;PR_BalDone,MIN(F_LoanPayM,BO41+BO41*(D_iL)),0)</f>
        <v>0</v>
      </c>
      <c r="CC41" s="20" t="n">
        <f aca="false">IF(BP41&gt;PR_BalDone,MIN(F_LoanPayM,BP41+BP41*(D_iL)),0)</f>
        <v>0</v>
      </c>
      <c r="CD41" s="20" t="n">
        <f aca="false">MAX(0,BQ41)</f>
        <v>0</v>
      </c>
      <c r="CE41" s="20" t="n">
        <f aca="false">SUM(BR41:CC41)</f>
        <v>0</v>
      </c>
      <c r="CF41" s="20" t="n">
        <f aca="false">IF(CF40&gt;1,DE40,CF40)</f>
        <v>0</v>
      </c>
      <c r="CG41" s="20" t="n">
        <f aca="false">IF(CF41&gt;PR_BalDone,CF41+CF41*(F_MR/12)-MIN(F_MortPayM,CF41+CF41*(F_MR/12)),CF41)</f>
        <v>0</v>
      </c>
      <c r="CH41" s="20" t="n">
        <f aca="false">IF(CG41&gt;PR_BalDone,CG41+CG41*(F_MR/12)-MIN(F_MortPayM,CG41+CG41*(F_MR/12)),CG41)</f>
        <v>0</v>
      </c>
      <c r="CI41" s="20" t="n">
        <f aca="false">IF(CH41&gt;PR_BalDone,CH41+CH41*(F_MR/12)-MIN(F_MortPayM,CH41+CH41*(F_MR/12)),CH41)</f>
        <v>0</v>
      </c>
      <c r="CJ41" s="20" t="n">
        <f aca="false">IF(CI41&gt;PR_BalDone,CI41+CI41*(F_MR/12)-MIN(F_MortPayM,CI41+CI41*(F_MR/12)),CI41)</f>
        <v>0</v>
      </c>
      <c r="CK41" s="20" t="n">
        <f aca="false">IF(CJ41&gt;PR_BalDone,CJ41+CJ41*(F_MR/12)-MIN(F_MortPayM,CJ41+CJ41*(F_MR/12)),CJ41)</f>
        <v>0</v>
      </c>
      <c r="CL41" s="20" t="n">
        <f aca="false">IF(CK41&gt;PR_BalDone,CK41+CK41*(F_MR/12)-MIN(F_MortPayM,CK41+CK41*(F_MR/12)),CK41)</f>
        <v>0</v>
      </c>
      <c r="CM41" s="20" t="n">
        <f aca="false">IF(CL41&gt;PR_BalDone,CL41+CL41*(F_MR/12)-MIN(F_MortPayM,CL41+CL41*(F_MR/12)),CL41)</f>
        <v>0</v>
      </c>
      <c r="CN41" s="20" t="n">
        <f aca="false">IF(CM41&gt;PR_BalDone,CM41+CM41*(F_MR/12)-MIN(F_MortPayM,CM41+CM41*(F_MR/12)),CM41)</f>
        <v>0</v>
      </c>
      <c r="CO41" s="20" t="n">
        <f aca="false">IF(CN41&gt;PR_BalDone,CN41+CN41*(F_MR/12)-MIN(F_MortPayM,CN41+CN41*(F_MR/12)),CN41)</f>
        <v>0</v>
      </c>
      <c r="CP41" s="20" t="n">
        <f aca="false">IF(CO41&gt;PR_BalDone,CO41+CO41*(F_MR/12)-MIN(F_MortPayM,CO41+CO41*(F_MR/12)),CO41)</f>
        <v>0</v>
      </c>
      <c r="CQ41" s="20" t="n">
        <f aca="false">IF(CP41&gt;PR_BalDone,CP41+CP41*(F_MR/12)-MIN(F_MortPayM,CP41+CP41*(F_MR/12)),CP41)</f>
        <v>0</v>
      </c>
      <c r="CR41" s="20" t="n">
        <f aca="false">IF(CQ41&gt;PR_BalDone,CQ41+CQ41*(F_MR/12)-MIN(F_MortPayM,CQ41+CQ41*(F_MR/12)),CQ41)</f>
        <v>0</v>
      </c>
      <c r="CS41" s="20" t="n">
        <f aca="false">IF(CF41&gt;PR_BalDone,MIN(F_MortPayM,CF41+CF41*(F_MR/12)),0)</f>
        <v>0</v>
      </c>
      <c r="CT41" s="20" t="n">
        <f aca="false">IF(CG41&gt;PR_BalDone,MIN(F_MortPayM,CG41+CG41*(F_MR/12)),0)</f>
        <v>0</v>
      </c>
      <c r="CU41" s="20" t="n">
        <f aca="false">IF(CH41&gt;PR_BalDone,MIN(F_MortPayM,CH41+CH41*(F_MR/12)),0)</f>
        <v>0</v>
      </c>
      <c r="CV41" s="20" t="n">
        <f aca="false">IF(CI41&gt;PR_BalDone,MIN(F_MortPayM,CI41+CI41*(F_MR/12)),0)</f>
        <v>0</v>
      </c>
      <c r="CW41" s="20" t="n">
        <f aca="false">IF(CJ41&gt;PR_BalDone,MIN(F_MortPayM,CJ41+CJ41*(F_MR/12)),0)</f>
        <v>0</v>
      </c>
      <c r="CX41" s="20" t="n">
        <f aca="false">IF(CK41&gt;PR_BalDone,MIN(F_MortPayM,CK41+CK41*(F_MR/12)),0)</f>
        <v>0</v>
      </c>
      <c r="CY41" s="20" t="n">
        <f aca="false">IF(CL41&gt;PR_BalDone,MIN(F_MortPayM,CL41+CL41*(F_MR/12)),0)</f>
        <v>0</v>
      </c>
      <c r="CZ41" s="20" t="n">
        <f aca="false">IF(CM41&gt;PR_BalDone,MIN(F_MortPayM,CM41+CM41*(F_MR/12)),0)</f>
        <v>0</v>
      </c>
      <c r="DA41" s="20" t="n">
        <f aca="false">IF(CN41&gt;PR_BalDone,MIN(F_MortPayM,CN41+CN41*(F_MR/12)),0)</f>
        <v>0</v>
      </c>
      <c r="DB41" s="20" t="n">
        <f aca="false">IF(CO41&gt;PR_BalDone,MIN(F_MortPayM,CO41+CO41*(F_MR/12)),0)</f>
        <v>0</v>
      </c>
      <c r="DC41" s="20" t="n">
        <f aca="false">IF(CP41&gt;PR_BalDone,MIN(F_MortPayM,CP41+CP41*(F_MR/12)),0)</f>
        <v>0</v>
      </c>
      <c r="DD41" s="20" t="n">
        <f aca="false">IF(CQ41&gt;PR_BalDone,MIN(F_MortPayM,CQ41+CQ41*(F_MR/12)),0)</f>
        <v>0</v>
      </c>
      <c r="DE41" s="20" t="n">
        <f aca="false">MAX(0,CR41)</f>
        <v>0</v>
      </c>
      <c r="DF41" s="20" t="n">
        <f aca="false">SUM(CS41:DD41)</f>
        <v>0</v>
      </c>
      <c r="DG41" s="20" t="n">
        <f aca="false">MAX(0,CF41)</f>
        <v>0</v>
      </c>
    </row>
    <row r="42" customFormat="false" ht="15" hidden="false" customHeight="true" outlineLevel="0" collapsed="false">
      <c r="B42" s="20" t="n">
        <v>34</v>
      </c>
      <c r="C42" s="20" t="n">
        <f aca="false">'Plan cashflow'!J42</f>
        <v>0</v>
      </c>
      <c r="D42" s="20" t="n">
        <f aca="false">IF(C42&gt;PR_BalDone,C42+C42*(F_MR/12)-MIN(F_MortPayM,C42+C42*(F_MR/12)),C42)</f>
        <v>0</v>
      </c>
      <c r="E42" s="20" t="n">
        <f aca="false">IF(D42&gt;PR_BalDone,D42+D42*(F_MR/12)-MIN(F_MortPayM,D42+D42*(F_MR/12)),D42)</f>
        <v>0</v>
      </c>
      <c r="F42" s="20" t="n">
        <f aca="false">IF(E42&gt;PR_BalDone,E42+E42*(F_MR/12)-MIN(F_MortPayM,E42+E42*(F_MR/12)),E42)</f>
        <v>0</v>
      </c>
      <c r="G42" s="20" t="n">
        <f aca="false">IF(F42&gt;PR_BalDone,F42+F42*(F_MR/12)-MIN(F_MortPayM,F42+F42*(F_MR/12)),F42)</f>
        <v>0</v>
      </c>
      <c r="H42" s="20" t="n">
        <f aca="false">IF(G42&gt;PR_BalDone,G42+G42*(F_MR/12)-MIN(F_MortPayM,G42+G42*(F_MR/12)),G42)</f>
        <v>0</v>
      </c>
      <c r="I42" s="20" t="n">
        <f aca="false">IF(H42&gt;PR_BalDone,H42+H42*(F_MR/12)-MIN(F_MortPayM,H42+H42*(F_MR/12)),H42)</f>
        <v>0</v>
      </c>
      <c r="J42" s="20" t="n">
        <f aca="false">IF(I42&gt;PR_BalDone,I42+I42*(F_MR/12)-MIN(F_MortPayM,I42+I42*(F_MR/12)),I42)</f>
        <v>0</v>
      </c>
      <c r="K42" s="20" t="n">
        <f aca="false">IF(J42&gt;PR_BalDone,J42+J42*(F_MR/12)-MIN(F_MortPayM,J42+J42*(F_MR/12)),J42)</f>
        <v>0</v>
      </c>
      <c r="L42" s="20" t="n">
        <f aca="false">IF(K42&gt;PR_BalDone,K42+K42*(F_MR/12)-MIN(F_MortPayM,K42+K42*(F_MR/12)),K42)</f>
        <v>0</v>
      </c>
      <c r="M42" s="20" t="n">
        <f aca="false">IF(L42&gt;PR_BalDone,L42+L42*(F_MR/12)-MIN(F_MortPayM,L42+L42*(F_MR/12)),L42)</f>
        <v>0</v>
      </c>
      <c r="N42" s="20" t="n">
        <f aca="false">IF(M42&gt;PR_BalDone,M42+M42*(F_MR/12)-MIN(F_MortPayM,M42+M42*(F_MR/12)),M42)</f>
        <v>0</v>
      </c>
      <c r="O42" s="20" t="n">
        <f aca="false">IF(N42&gt;PR_BalDone,N42+N42*(F_MR/12)-MIN(F_MortPayM,N42+N42*(F_MR/12)),N42)</f>
        <v>0</v>
      </c>
      <c r="P42" s="20" t="n">
        <f aca="false">IF(C42&gt;PR_BalDone,MIN(F_MortPayM,C42+C42*(F_MR/12)),0)</f>
        <v>0</v>
      </c>
      <c r="Q42" s="20" t="n">
        <f aca="false">IF(D42&gt;PR_BalDone,MIN(F_MortPayM,D42+D42*(F_MR/12)),0)</f>
        <v>0</v>
      </c>
      <c r="R42" s="20" t="n">
        <f aca="false">IF(E42&gt;PR_BalDone,MIN(F_MortPayM,E42+E42*(F_MR/12)),0)</f>
        <v>0</v>
      </c>
      <c r="S42" s="20" t="n">
        <f aca="false">IF(F42&gt;PR_BalDone,MIN(F_MortPayM,F42+F42*(F_MR/12)),0)</f>
        <v>0</v>
      </c>
      <c r="T42" s="20" t="n">
        <f aca="false">IF(G42&gt;PR_BalDone,MIN(F_MortPayM,G42+G42*(F_MR/12)),0)</f>
        <v>0</v>
      </c>
      <c r="U42" s="20" t="n">
        <f aca="false">IF(H42&gt;PR_BalDone,MIN(F_MortPayM,H42+H42*(F_MR/12)),0)</f>
        <v>0</v>
      </c>
      <c r="V42" s="20" t="n">
        <f aca="false">IF(I42&gt;PR_BalDone,MIN(F_MortPayM,I42+I42*(F_MR/12)),0)</f>
        <v>0</v>
      </c>
      <c r="W42" s="20" t="n">
        <f aca="false">IF(J42&gt;PR_BalDone,MIN(F_MortPayM,J42+J42*(F_MR/12)),0)</f>
        <v>0</v>
      </c>
      <c r="X42" s="20" t="n">
        <f aca="false">IF(K42&gt;PR_BalDone,MIN(F_MortPayM,K42+K42*(F_MR/12)),0)</f>
        <v>0</v>
      </c>
      <c r="Y42" s="20" t="n">
        <f aca="false">IF(L42&gt;PR_BalDone,MIN(F_MortPayM,L42+L42*(F_MR/12)),0)</f>
        <v>0</v>
      </c>
      <c r="Z42" s="20" t="n">
        <f aca="false">IF(M42&gt;PR_BalDone,MIN(F_MortPayM,M42+M42*(F_MR/12)),0)</f>
        <v>0</v>
      </c>
      <c r="AA42" s="20" t="n">
        <f aca="false">IF(N42&gt;PR_BalDone,MIN(F_MortPayM,N42+N42*(F_MR/12)),0)</f>
        <v>0</v>
      </c>
      <c r="AB42" s="20" t="n">
        <f aca="false">MAX(0,O42)</f>
        <v>0</v>
      </c>
      <c r="AC42" s="20" t="n">
        <f aca="false">SUM(P42:AA42)</f>
        <v>0</v>
      </c>
      <c r="AD42" s="20" t="n">
        <f aca="false">'Plan cashflow'!M42</f>
        <v>0</v>
      </c>
      <c r="AE42" s="20" t="n">
        <f aca="false">IF(AD42&gt;PR_BalDone,AD42+AD42*(D_iC)-MIN(F_CardPayM,AD42+AD42*(D_iC)),AD42)</f>
        <v>0</v>
      </c>
      <c r="AF42" s="20" t="n">
        <f aca="false">IF(AE42&gt;PR_BalDone,AE42+AE42*(D_iC)-MIN(F_CardPayM,AE42+AE42*(D_iC)),AE42)</f>
        <v>0</v>
      </c>
      <c r="AG42" s="20" t="n">
        <f aca="false">IF(AF42&gt;PR_BalDone,AF42+AF42*(D_iC)-MIN(F_CardPayM,AF42+AF42*(D_iC)),AF42)</f>
        <v>0</v>
      </c>
      <c r="AH42" s="20" t="n">
        <f aca="false">IF(AG42&gt;PR_BalDone,AG42+AG42*(D_iC)-MIN(F_CardPayM,AG42+AG42*(D_iC)),AG42)</f>
        <v>0</v>
      </c>
      <c r="AI42" s="20" t="n">
        <f aca="false">IF(AH42&gt;PR_BalDone,AH42+AH42*(D_iC)-MIN(F_CardPayM,AH42+AH42*(D_iC)),AH42)</f>
        <v>0</v>
      </c>
      <c r="AJ42" s="20" t="n">
        <f aca="false">IF(AI42&gt;PR_BalDone,AI42+AI42*(D_iC)-MIN(F_CardPayM,AI42+AI42*(D_iC)),AI42)</f>
        <v>0</v>
      </c>
      <c r="AK42" s="20" t="n">
        <f aca="false">IF(AJ42&gt;PR_BalDone,AJ42+AJ42*(D_iC)-MIN(F_CardPayM,AJ42+AJ42*(D_iC)),AJ42)</f>
        <v>0</v>
      </c>
      <c r="AL42" s="20" t="n">
        <f aca="false">IF(AK42&gt;PR_BalDone,AK42+AK42*(D_iC)-MIN(F_CardPayM,AK42+AK42*(D_iC)),AK42)</f>
        <v>0</v>
      </c>
      <c r="AM42" s="20" t="n">
        <f aca="false">IF(AL42&gt;PR_BalDone,AL42+AL42*(D_iC)-MIN(F_CardPayM,AL42+AL42*(D_iC)),AL42)</f>
        <v>0</v>
      </c>
      <c r="AN42" s="20" t="n">
        <f aca="false">IF(AM42&gt;PR_BalDone,AM42+AM42*(D_iC)-MIN(F_CardPayM,AM42+AM42*(D_iC)),AM42)</f>
        <v>0</v>
      </c>
      <c r="AO42" s="20" t="n">
        <f aca="false">IF(AN42&gt;PR_BalDone,AN42+AN42*(D_iC)-MIN(F_CardPayM,AN42+AN42*(D_iC)),AN42)</f>
        <v>0</v>
      </c>
      <c r="AP42" s="20" t="n">
        <f aca="false">IF(AO42&gt;PR_BalDone,AO42+AO42*(D_iC)-MIN(F_CardPayM,AO42+AO42*(D_iC)),AO42)</f>
        <v>0</v>
      </c>
      <c r="AQ42" s="20" t="n">
        <f aca="false">IF(AD42&gt;PR_BalDone,MIN(F_CardPayM,AD42+AD42*(D_iC)),0)</f>
        <v>0</v>
      </c>
      <c r="AR42" s="20" t="n">
        <f aca="false">IF(AE42&gt;PR_BalDone,MIN(F_CardPayM,AE42+AE42*(D_iC)),0)</f>
        <v>0</v>
      </c>
      <c r="AS42" s="20" t="n">
        <f aca="false">IF(AF42&gt;PR_BalDone,MIN(F_CardPayM,AF42+AF42*(D_iC)),0)</f>
        <v>0</v>
      </c>
      <c r="AT42" s="20" t="n">
        <f aca="false">IF(AG42&gt;PR_BalDone,MIN(F_CardPayM,AG42+AG42*(D_iC)),0)</f>
        <v>0</v>
      </c>
      <c r="AU42" s="20" t="n">
        <f aca="false">IF(AH42&gt;PR_BalDone,MIN(F_CardPayM,AH42+AH42*(D_iC)),0)</f>
        <v>0</v>
      </c>
      <c r="AV42" s="20" t="n">
        <f aca="false">IF(AI42&gt;PR_BalDone,MIN(F_CardPayM,AI42+AI42*(D_iC)),0)</f>
        <v>0</v>
      </c>
      <c r="AW42" s="20" t="n">
        <f aca="false">IF(AJ42&gt;PR_BalDone,MIN(F_CardPayM,AJ42+AJ42*(D_iC)),0)</f>
        <v>0</v>
      </c>
      <c r="AX42" s="20" t="n">
        <f aca="false">IF(AK42&gt;PR_BalDone,MIN(F_CardPayM,AK42+AK42*(D_iC)),0)</f>
        <v>0</v>
      </c>
      <c r="AY42" s="20" t="n">
        <f aca="false">IF(AL42&gt;PR_BalDone,MIN(F_CardPayM,AL42+AL42*(D_iC)),0)</f>
        <v>0</v>
      </c>
      <c r="AZ42" s="20" t="n">
        <f aca="false">IF(AM42&gt;PR_BalDone,MIN(F_CardPayM,AM42+AM42*(D_iC)),0)</f>
        <v>0</v>
      </c>
      <c r="BA42" s="20" t="n">
        <f aca="false">IF(AN42&gt;PR_BalDone,MIN(F_CardPayM,AN42+AN42*(D_iC)),0)</f>
        <v>0</v>
      </c>
      <c r="BB42" s="20" t="n">
        <f aca="false">IF(AO42&gt;PR_BalDone,MIN(F_CardPayM,AO42+AO42*(D_iC)),0)</f>
        <v>0</v>
      </c>
      <c r="BC42" s="20" t="n">
        <f aca="false">MAX(0,AP42)</f>
        <v>0</v>
      </c>
      <c r="BD42" s="20" t="n">
        <f aca="false">SUM(AQ42:BB42)</f>
        <v>0</v>
      </c>
      <c r="BE42" s="20" t="n">
        <f aca="false">'Plan cashflow'!P42</f>
        <v>0</v>
      </c>
      <c r="BF42" s="20" t="n">
        <f aca="false">IF(BE42&gt;PR_BalDone,BE42+BE42*(D_iL)-MIN(F_LoanPayM,BE42+BE42*(D_iL)),BE42)</f>
        <v>0</v>
      </c>
      <c r="BG42" s="20" t="n">
        <f aca="false">IF(BF42&gt;PR_BalDone,BF42+BF42*(D_iL)-MIN(F_LoanPayM,BF42+BF42*(D_iL)),BF42)</f>
        <v>0</v>
      </c>
      <c r="BH42" s="20" t="n">
        <f aca="false">IF(BG42&gt;PR_BalDone,BG42+BG42*(D_iL)-MIN(F_LoanPayM,BG42+BG42*(D_iL)),BG42)</f>
        <v>0</v>
      </c>
      <c r="BI42" s="20" t="n">
        <f aca="false">IF(BH42&gt;PR_BalDone,BH42+BH42*(D_iL)-MIN(F_LoanPayM,BH42+BH42*(D_iL)),BH42)</f>
        <v>0</v>
      </c>
      <c r="BJ42" s="20" t="n">
        <f aca="false">IF(BI42&gt;PR_BalDone,BI42+BI42*(D_iL)-MIN(F_LoanPayM,BI42+BI42*(D_iL)),BI42)</f>
        <v>0</v>
      </c>
      <c r="BK42" s="20" t="n">
        <f aca="false">IF(BJ42&gt;PR_BalDone,BJ42+BJ42*(D_iL)-MIN(F_LoanPayM,BJ42+BJ42*(D_iL)),BJ42)</f>
        <v>0</v>
      </c>
      <c r="BL42" s="20" t="n">
        <f aca="false">IF(BK42&gt;PR_BalDone,BK42+BK42*(D_iL)-MIN(F_LoanPayM,BK42+BK42*(D_iL)),BK42)</f>
        <v>0</v>
      </c>
      <c r="BM42" s="20" t="n">
        <f aca="false">IF(BL42&gt;PR_BalDone,BL42+BL42*(D_iL)-MIN(F_LoanPayM,BL42+BL42*(D_iL)),BL42)</f>
        <v>0</v>
      </c>
      <c r="BN42" s="20" t="n">
        <f aca="false">IF(BM42&gt;PR_BalDone,BM42+BM42*(D_iL)-MIN(F_LoanPayM,BM42+BM42*(D_iL)),BM42)</f>
        <v>0</v>
      </c>
      <c r="BO42" s="20" t="n">
        <f aca="false">IF(BN42&gt;PR_BalDone,BN42+BN42*(D_iL)-MIN(F_LoanPayM,BN42+BN42*(D_iL)),BN42)</f>
        <v>0</v>
      </c>
      <c r="BP42" s="20" t="n">
        <f aca="false">IF(BO42&gt;PR_BalDone,BO42+BO42*(D_iL)-MIN(F_LoanPayM,BO42+BO42*(D_iL)),BO42)</f>
        <v>0</v>
      </c>
      <c r="BQ42" s="20" t="n">
        <f aca="false">IF(BP42&gt;PR_BalDone,BP42+BP42*(D_iL)-MIN(F_LoanPayM,BP42+BP42*(D_iL)),BP42)</f>
        <v>0</v>
      </c>
      <c r="BR42" s="20" t="n">
        <f aca="false">IF(BE42&gt;PR_BalDone,MIN(F_LoanPayM,BE42+BE42*(D_iL)),0)</f>
        <v>0</v>
      </c>
      <c r="BS42" s="20" t="n">
        <f aca="false">IF(BF42&gt;PR_BalDone,MIN(F_LoanPayM,BF42+BF42*(D_iL)),0)</f>
        <v>0</v>
      </c>
      <c r="BT42" s="20" t="n">
        <f aca="false">IF(BG42&gt;PR_BalDone,MIN(F_LoanPayM,BG42+BG42*(D_iL)),0)</f>
        <v>0</v>
      </c>
      <c r="BU42" s="20" t="n">
        <f aca="false">IF(BH42&gt;PR_BalDone,MIN(F_LoanPayM,BH42+BH42*(D_iL)),0)</f>
        <v>0</v>
      </c>
      <c r="BV42" s="20" t="n">
        <f aca="false">IF(BI42&gt;PR_BalDone,MIN(F_LoanPayM,BI42+BI42*(D_iL)),0)</f>
        <v>0</v>
      </c>
      <c r="BW42" s="20" t="n">
        <f aca="false">IF(BJ42&gt;PR_BalDone,MIN(F_LoanPayM,BJ42+BJ42*(D_iL)),0)</f>
        <v>0</v>
      </c>
      <c r="BX42" s="20" t="n">
        <f aca="false">IF(BK42&gt;PR_BalDone,MIN(F_LoanPayM,BK42+BK42*(D_iL)),0)</f>
        <v>0</v>
      </c>
      <c r="BY42" s="20" t="n">
        <f aca="false">IF(BL42&gt;PR_BalDone,MIN(F_LoanPayM,BL42+BL42*(D_iL)),0)</f>
        <v>0</v>
      </c>
      <c r="BZ42" s="20" t="n">
        <f aca="false">IF(BM42&gt;PR_BalDone,MIN(F_LoanPayM,BM42+BM42*(D_iL)),0)</f>
        <v>0</v>
      </c>
      <c r="CA42" s="20" t="n">
        <f aca="false">IF(BN42&gt;PR_BalDone,MIN(F_LoanPayM,BN42+BN42*(D_iL)),0)</f>
        <v>0</v>
      </c>
      <c r="CB42" s="20" t="n">
        <f aca="false">IF(BO42&gt;PR_BalDone,MIN(F_LoanPayM,BO42+BO42*(D_iL)),0)</f>
        <v>0</v>
      </c>
      <c r="CC42" s="20" t="n">
        <f aca="false">IF(BP42&gt;PR_BalDone,MIN(F_LoanPayM,BP42+BP42*(D_iL)),0)</f>
        <v>0</v>
      </c>
      <c r="CD42" s="20" t="n">
        <f aca="false">MAX(0,BQ42)</f>
        <v>0</v>
      </c>
      <c r="CE42" s="20" t="n">
        <f aca="false">SUM(BR42:CC42)</f>
        <v>0</v>
      </c>
      <c r="CF42" s="20" t="n">
        <f aca="false">IF(CF41&gt;1,DE41,CF41)</f>
        <v>0</v>
      </c>
      <c r="CG42" s="20" t="n">
        <f aca="false">IF(CF42&gt;PR_BalDone,CF42+CF42*(F_MR/12)-MIN(F_MortPayM,CF42+CF42*(F_MR/12)),CF42)</f>
        <v>0</v>
      </c>
      <c r="CH42" s="20" t="n">
        <f aca="false">IF(CG42&gt;PR_BalDone,CG42+CG42*(F_MR/12)-MIN(F_MortPayM,CG42+CG42*(F_MR/12)),CG42)</f>
        <v>0</v>
      </c>
      <c r="CI42" s="20" t="n">
        <f aca="false">IF(CH42&gt;PR_BalDone,CH42+CH42*(F_MR/12)-MIN(F_MortPayM,CH42+CH42*(F_MR/12)),CH42)</f>
        <v>0</v>
      </c>
      <c r="CJ42" s="20" t="n">
        <f aca="false">IF(CI42&gt;PR_BalDone,CI42+CI42*(F_MR/12)-MIN(F_MortPayM,CI42+CI42*(F_MR/12)),CI42)</f>
        <v>0</v>
      </c>
      <c r="CK42" s="20" t="n">
        <f aca="false">IF(CJ42&gt;PR_BalDone,CJ42+CJ42*(F_MR/12)-MIN(F_MortPayM,CJ42+CJ42*(F_MR/12)),CJ42)</f>
        <v>0</v>
      </c>
      <c r="CL42" s="20" t="n">
        <f aca="false">IF(CK42&gt;PR_BalDone,CK42+CK42*(F_MR/12)-MIN(F_MortPayM,CK42+CK42*(F_MR/12)),CK42)</f>
        <v>0</v>
      </c>
      <c r="CM42" s="20" t="n">
        <f aca="false">IF(CL42&gt;PR_BalDone,CL42+CL42*(F_MR/12)-MIN(F_MortPayM,CL42+CL42*(F_MR/12)),CL42)</f>
        <v>0</v>
      </c>
      <c r="CN42" s="20" t="n">
        <f aca="false">IF(CM42&gt;PR_BalDone,CM42+CM42*(F_MR/12)-MIN(F_MortPayM,CM42+CM42*(F_MR/12)),CM42)</f>
        <v>0</v>
      </c>
      <c r="CO42" s="20" t="n">
        <f aca="false">IF(CN42&gt;PR_BalDone,CN42+CN42*(F_MR/12)-MIN(F_MortPayM,CN42+CN42*(F_MR/12)),CN42)</f>
        <v>0</v>
      </c>
      <c r="CP42" s="20" t="n">
        <f aca="false">IF(CO42&gt;PR_BalDone,CO42+CO42*(F_MR/12)-MIN(F_MortPayM,CO42+CO42*(F_MR/12)),CO42)</f>
        <v>0</v>
      </c>
      <c r="CQ42" s="20" t="n">
        <f aca="false">IF(CP42&gt;PR_BalDone,CP42+CP42*(F_MR/12)-MIN(F_MortPayM,CP42+CP42*(F_MR/12)),CP42)</f>
        <v>0</v>
      </c>
      <c r="CR42" s="20" t="n">
        <f aca="false">IF(CQ42&gt;PR_BalDone,CQ42+CQ42*(F_MR/12)-MIN(F_MortPayM,CQ42+CQ42*(F_MR/12)),CQ42)</f>
        <v>0</v>
      </c>
      <c r="CS42" s="20" t="n">
        <f aca="false">IF(CF42&gt;PR_BalDone,MIN(F_MortPayM,CF42+CF42*(F_MR/12)),0)</f>
        <v>0</v>
      </c>
      <c r="CT42" s="20" t="n">
        <f aca="false">IF(CG42&gt;PR_BalDone,MIN(F_MortPayM,CG42+CG42*(F_MR/12)),0)</f>
        <v>0</v>
      </c>
      <c r="CU42" s="20" t="n">
        <f aca="false">IF(CH42&gt;PR_BalDone,MIN(F_MortPayM,CH42+CH42*(F_MR/12)),0)</f>
        <v>0</v>
      </c>
      <c r="CV42" s="20" t="n">
        <f aca="false">IF(CI42&gt;PR_BalDone,MIN(F_MortPayM,CI42+CI42*(F_MR/12)),0)</f>
        <v>0</v>
      </c>
      <c r="CW42" s="20" t="n">
        <f aca="false">IF(CJ42&gt;PR_BalDone,MIN(F_MortPayM,CJ42+CJ42*(F_MR/12)),0)</f>
        <v>0</v>
      </c>
      <c r="CX42" s="20" t="n">
        <f aca="false">IF(CK42&gt;PR_BalDone,MIN(F_MortPayM,CK42+CK42*(F_MR/12)),0)</f>
        <v>0</v>
      </c>
      <c r="CY42" s="20" t="n">
        <f aca="false">IF(CL42&gt;PR_BalDone,MIN(F_MortPayM,CL42+CL42*(F_MR/12)),0)</f>
        <v>0</v>
      </c>
      <c r="CZ42" s="20" t="n">
        <f aca="false">IF(CM42&gt;PR_BalDone,MIN(F_MortPayM,CM42+CM42*(F_MR/12)),0)</f>
        <v>0</v>
      </c>
      <c r="DA42" s="20" t="n">
        <f aca="false">IF(CN42&gt;PR_BalDone,MIN(F_MortPayM,CN42+CN42*(F_MR/12)),0)</f>
        <v>0</v>
      </c>
      <c r="DB42" s="20" t="n">
        <f aca="false">IF(CO42&gt;PR_BalDone,MIN(F_MortPayM,CO42+CO42*(F_MR/12)),0)</f>
        <v>0</v>
      </c>
      <c r="DC42" s="20" t="n">
        <f aca="false">IF(CP42&gt;PR_BalDone,MIN(F_MortPayM,CP42+CP42*(F_MR/12)),0)</f>
        <v>0</v>
      </c>
      <c r="DD42" s="20" t="n">
        <f aca="false">IF(CQ42&gt;PR_BalDone,MIN(F_MortPayM,CQ42+CQ42*(F_MR/12)),0)</f>
        <v>0</v>
      </c>
      <c r="DE42" s="20" t="n">
        <f aca="false">MAX(0,CR42)</f>
        <v>0</v>
      </c>
      <c r="DF42" s="20" t="n">
        <f aca="false">SUM(CS42:DD42)</f>
        <v>0</v>
      </c>
      <c r="DG42" s="20" t="n">
        <f aca="false">MAX(0,CF42)</f>
        <v>0</v>
      </c>
    </row>
    <row r="43" customFormat="false" ht="15" hidden="false" customHeight="true" outlineLevel="0" collapsed="false">
      <c r="B43" s="20" t="n">
        <v>35</v>
      </c>
      <c r="C43" s="20" t="n">
        <f aca="false">'Plan cashflow'!J43</f>
        <v>0</v>
      </c>
      <c r="D43" s="20" t="n">
        <f aca="false">IF(C43&gt;PR_BalDone,C43+C43*(F_MR/12)-MIN(F_MortPayM,C43+C43*(F_MR/12)),C43)</f>
        <v>0</v>
      </c>
      <c r="E43" s="20" t="n">
        <f aca="false">IF(D43&gt;PR_BalDone,D43+D43*(F_MR/12)-MIN(F_MortPayM,D43+D43*(F_MR/12)),D43)</f>
        <v>0</v>
      </c>
      <c r="F43" s="20" t="n">
        <f aca="false">IF(E43&gt;PR_BalDone,E43+E43*(F_MR/12)-MIN(F_MortPayM,E43+E43*(F_MR/12)),E43)</f>
        <v>0</v>
      </c>
      <c r="G43" s="20" t="n">
        <f aca="false">IF(F43&gt;PR_BalDone,F43+F43*(F_MR/12)-MIN(F_MortPayM,F43+F43*(F_MR/12)),F43)</f>
        <v>0</v>
      </c>
      <c r="H43" s="20" t="n">
        <f aca="false">IF(G43&gt;PR_BalDone,G43+G43*(F_MR/12)-MIN(F_MortPayM,G43+G43*(F_MR/12)),G43)</f>
        <v>0</v>
      </c>
      <c r="I43" s="20" t="n">
        <f aca="false">IF(H43&gt;PR_BalDone,H43+H43*(F_MR/12)-MIN(F_MortPayM,H43+H43*(F_MR/12)),H43)</f>
        <v>0</v>
      </c>
      <c r="J43" s="20" t="n">
        <f aca="false">IF(I43&gt;PR_BalDone,I43+I43*(F_MR/12)-MIN(F_MortPayM,I43+I43*(F_MR/12)),I43)</f>
        <v>0</v>
      </c>
      <c r="K43" s="20" t="n">
        <f aca="false">IF(J43&gt;PR_BalDone,J43+J43*(F_MR/12)-MIN(F_MortPayM,J43+J43*(F_MR/12)),J43)</f>
        <v>0</v>
      </c>
      <c r="L43" s="20" t="n">
        <f aca="false">IF(K43&gt;PR_BalDone,K43+K43*(F_MR/12)-MIN(F_MortPayM,K43+K43*(F_MR/12)),K43)</f>
        <v>0</v>
      </c>
      <c r="M43" s="20" t="n">
        <f aca="false">IF(L43&gt;PR_BalDone,L43+L43*(F_MR/12)-MIN(F_MortPayM,L43+L43*(F_MR/12)),L43)</f>
        <v>0</v>
      </c>
      <c r="N43" s="20" t="n">
        <f aca="false">IF(M43&gt;PR_BalDone,M43+M43*(F_MR/12)-MIN(F_MortPayM,M43+M43*(F_MR/12)),M43)</f>
        <v>0</v>
      </c>
      <c r="O43" s="20" t="n">
        <f aca="false">IF(N43&gt;PR_BalDone,N43+N43*(F_MR/12)-MIN(F_MortPayM,N43+N43*(F_MR/12)),N43)</f>
        <v>0</v>
      </c>
      <c r="P43" s="20" t="n">
        <f aca="false">IF(C43&gt;PR_BalDone,MIN(F_MortPayM,C43+C43*(F_MR/12)),0)</f>
        <v>0</v>
      </c>
      <c r="Q43" s="20" t="n">
        <f aca="false">IF(D43&gt;PR_BalDone,MIN(F_MortPayM,D43+D43*(F_MR/12)),0)</f>
        <v>0</v>
      </c>
      <c r="R43" s="20" t="n">
        <f aca="false">IF(E43&gt;PR_BalDone,MIN(F_MortPayM,E43+E43*(F_MR/12)),0)</f>
        <v>0</v>
      </c>
      <c r="S43" s="20" t="n">
        <f aca="false">IF(F43&gt;PR_BalDone,MIN(F_MortPayM,F43+F43*(F_MR/12)),0)</f>
        <v>0</v>
      </c>
      <c r="T43" s="20" t="n">
        <f aca="false">IF(G43&gt;PR_BalDone,MIN(F_MortPayM,G43+G43*(F_MR/12)),0)</f>
        <v>0</v>
      </c>
      <c r="U43" s="20" t="n">
        <f aca="false">IF(H43&gt;PR_BalDone,MIN(F_MortPayM,H43+H43*(F_MR/12)),0)</f>
        <v>0</v>
      </c>
      <c r="V43" s="20" t="n">
        <f aca="false">IF(I43&gt;PR_BalDone,MIN(F_MortPayM,I43+I43*(F_MR/12)),0)</f>
        <v>0</v>
      </c>
      <c r="W43" s="20" t="n">
        <f aca="false">IF(J43&gt;PR_BalDone,MIN(F_MortPayM,J43+J43*(F_MR/12)),0)</f>
        <v>0</v>
      </c>
      <c r="X43" s="20" t="n">
        <f aca="false">IF(K43&gt;PR_BalDone,MIN(F_MortPayM,K43+K43*(F_MR/12)),0)</f>
        <v>0</v>
      </c>
      <c r="Y43" s="20" t="n">
        <f aca="false">IF(L43&gt;PR_BalDone,MIN(F_MortPayM,L43+L43*(F_MR/12)),0)</f>
        <v>0</v>
      </c>
      <c r="Z43" s="20" t="n">
        <f aca="false">IF(M43&gt;PR_BalDone,MIN(F_MortPayM,M43+M43*(F_MR/12)),0)</f>
        <v>0</v>
      </c>
      <c r="AA43" s="20" t="n">
        <f aca="false">IF(N43&gt;PR_BalDone,MIN(F_MortPayM,N43+N43*(F_MR/12)),0)</f>
        <v>0</v>
      </c>
      <c r="AB43" s="20" t="n">
        <f aca="false">MAX(0,O43)</f>
        <v>0</v>
      </c>
      <c r="AC43" s="20" t="n">
        <f aca="false">SUM(P43:AA43)</f>
        <v>0</v>
      </c>
      <c r="AD43" s="20" t="n">
        <f aca="false">'Plan cashflow'!M43</f>
        <v>0</v>
      </c>
      <c r="AE43" s="20" t="n">
        <f aca="false">IF(AD43&gt;PR_BalDone,AD43+AD43*(D_iC)-MIN(F_CardPayM,AD43+AD43*(D_iC)),AD43)</f>
        <v>0</v>
      </c>
      <c r="AF43" s="20" t="n">
        <f aca="false">IF(AE43&gt;PR_BalDone,AE43+AE43*(D_iC)-MIN(F_CardPayM,AE43+AE43*(D_iC)),AE43)</f>
        <v>0</v>
      </c>
      <c r="AG43" s="20" t="n">
        <f aca="false">IF(AF43&gt;PR_BalDone,AF43+AF43*(D_iC)-MIN(F_CardPayM,AF43+AF43*(D_iC)),AF43)</f>
        <v>0</v>
      </c>
      <c r="AH43" s="20" t="n">
        <f aca="false">IF(AG43&gt;PR_BalDone,AG43+AG43*(D_iC)-MIN(F_CardPayM,AG43+AG43*(D_iC)),AG43)</f>
        <v>0</v>
      </c>
      <c r="AI43" s="20" t="n">
        <f aca="false">IF(AH43&gt;PR_BalDone,AH43+AH43*(D_iC)-MIN(F_CardPayM,AH43+AH43*(D_iC)),AH43)</f>
        <v>0</v>
      </c>
      <c r="AJ43" s="20" t="n">
        <f aca="false">IF(AI43&gt;PR_BalDone,AI43+AI43*(D_iC)-MIN(F_CardPayM,AI43+AI43*(D_iC)),AI43)</f>
        <v>0</v>
      </c>
      <c r="AK43" s="20" t="n">
        <f aca="false">IF(AJ43&gt;PR_BalDone,AJ43+AJ43*(D_iC)-MIN(F_CardPayM,AJ43+AJ43*(D_iC)),AJ43)</f>
        <v>0</v>
      </c>
      <c r="AL43" s="20" t="n">
        <f aca="false">IF(AK43&gt;PR_BalDone,AK43+AK43*(D_iC)-MIN(F_CardPayM,AK43+AK43*(D_iC)),AK43)</f>
        <v>0</v>
      </c>
      <c r="AM43" s="20" t="n">
        <f aca="false">IF(AL43&gt;PR_BalDone,AL43+AL43*(D_iC)-MIN(F_CardPayM,AL43+AL43*(D_iC)),AL43)</f>
        <v>0</v>
      </c>
      <c r="AN43" s="20" t="n">
        <f aca="false">IF(AM43&gt;PR_BalDone,AM43+AM43*(D_iC)-MIN(F_CardPayM,AM43+AM43*(D_iC)),AM43)</f>
        <v>0</v>
      </c>
      <c r="AO43" s="20" t="n">
        <f aca="false">IF(AN43&gt;PR_BalDone,AN43+AN43*(D_iC)-MIN(F_CardPayM,AN43+AN43*(D_iC)),AN43)</f>
        <v>0</v>
      </c>
      <c r="AP43" s="20" t="n">
        <f aca="false">IF(AO43&gt;PR_BalDone,AO43+AO43*(D_iC)-MIN(F_CardPayM,AO43+AO43*(D_iC)),AO43)</f>
        <v>0</v>
      </c>
      <c r="AQ43" s="20" t="n">
        <f aca="false">IF(AD43&gt;PR_BalDone,MIN(F_CardPayM,AD43+AD43*(D_iC)),0)</f>
        <v>0</v>
      </c>
      <c r="AR43" s="20" t="n">
        <f aca="false">IF(AE43&gt;PR_BalDone,MIN(F_CardPayM,AE43+AE43*(D_iC)),0)</f>
        <v>0</v>
      </c>
      <c r="AS43" s="20" t="n">
        <f aca="false">IF(AF43&gt;PR_BalDone,MIN(F_CardPayM,AF43+AF43*(D_iC)),0)</f>
        <v>0</v>
      </c>
      <c r="AT43" s="20" t="n">
        <f aca="false">IF(AG43&gt;PR_BalDone,MIN(F_CardPayM,AG43+AG43*(D_iC)),0)</f>
        <v>0</v>
      </c>
      <c r="AU43" s="20" t="n">
        <f aca="false">IF(AH43&gt;PR_BalDone,MIN(F_CardPayM,AH43+AH43*(D_iC)),0)</f>
        <v>0</v>
      </c>
      <c r="AV43" s="20" t="n">
        <f aca="false">IF(AI43&gt;PR_BalDone,MIN(F_CardPayM,AI43+AI43*(D_iC)),0)</f>
        <v>0</v>
      </c>
      <c r="AW43" s="20" t="n">
        <f aca="false">IF(AJ43&gt;PR_BalDone,MIN(F_CardPayM,AJ43+AJ43*(D_iC)),0)</f>
        <v>0</v>
      </c>
      <c r="AX43" s="20" t="n">
        <f aca="false">IF(AK43&gt;PR_BalDone,MIN(F_CardPayM,AK43+AK43*(D_iC)),0)</f>
        <v>0</v>
      </c>
      <c r="AY43" s="20" t="n">
        <f aca="false">IF(AL43&gt;PR_BalDone,MIN(F_CardPayM,AL43+AL43*(D_iC)),0)</f>
        <v>0</v>
      </c>
      <c r="AZ43" s="20" t="n">
        <f aca="false">IF(AM43&gt;PR_BalDone,MIN(F_CardPayM,AM43+AM43*(D_iC)),0)</f>
        <v>0</v>
      </c>
      <c r="BA43" s="20" t="n">
        <f aca="false">IF(AN43&gt;PR_BalDone,MIN(F_CardPayM,AN43+AN43*(D_iC)),0)</f>
        <v>0</v>
      </c>
      <c r="BB43" s="20" t="n">
        <f aca="false">IF(AO43&gt;PR_BalDone,MIN(F_CardPayM,AO43+AO43*(D_iC)),0)</f>
        <v>0</v>
      </c>
      <c r="BC43" s="20" t="n">
        <f aca="false">MAX(0,AP43)</f>
        <v>0</v>
      </c>
      <c r="BD43" s="20" t="n">
        <f aca="false">SUM(AQ43:BB43)</f>
        <v>0</v>
      </c>
      <c r="BE43" s="20" t="n">
        <f aca="false">'Plan cashflow'!P43</f>
        <v>0</v>
      </c>
      <c r="BF43" s="20" t="n">
        <f aca="false">IF(BE43&gt;PR_BalDone,BE43+BE43*(D_iL)-MIN(F_LoanPayM,BE43+BE43*(D_iL)),BE43)</f>
        <v>0</v>
      </c>
      <c r="BG43" s="20" t="n">
        <f aca="false">IF(BF43&gt;PR_BalDone,BF43+BF43*(D_iL)-MIN(F_LoanPayM,BF43+BF43*(D_iL)),BF43)</f>
        <v>0</v>
      </c>
      <c r="BH43" s="20" t="n">
        <f aca="false">IF(BG43&gt;PR_BalDone,BG43+BG43*(D_iL)-MIN(F_LoanPayM,BG43+BG43*(D_iL)),BG43)</f>
        <v>0</v>
      </c>
      <c r="BI43" s="20" t="n">
        <f aca="false">IF(BH43&gt;PR_BalDone,BH43+BH43*(D_iL)-MIN(F_LoanPayM,BH43+BH43*(D_iL)),BH43)</f>
        <v>0</v>
      </c>
      <c r="BJ43" s="20" t="n">
        <f aca="false">IF(BI43&gt;PR_BalDone,BI43+BI43*(D_iL)-MIN(F_LoanPayM,BI43+BI43*(D_iL)),BI43)</f>
        <v>0</v>
      </c>
      <c r="BK43" s="20" t="n">
        <f aca="false">IF(BJ43&gt;PR_BalDone,BJ43+BJ43*(D_iL)-MIN(F_LoanPayM,BJ43+BJ43*(D_iL)),BJ43)</f>
        <v>0</v>
      </c>
      <c r="BL43" s="20" t="n">
        <f aca="false">IF(BK43&gt;PR_BalDone,BK43+BK43*(D_iL)-MIN(F_LoanPayM,BK43+BK43*(D_iL)),BK43)</f>
        <v>0</v>
      </c>
      <c r="BM43" s="20" t="n">
        <f aca="false">IF(BL43&gt;PR_BalDone,BL43+BL43*(D_iL)-MIN(F_LoanPayM,BL43+BL43*(D_iL)),BL43)</f>
        <v>0</v>
      </c>
      <c r="BN43" s="20" t="n">
        <f aca="false">IF(BM43&gt;PR_BalDone,BM43+BM43*(D_iL)-MIN(F_LoanPayM,BM43+BM43*(D_iL)),BM43)</f>
        <v>0</v>
      </c>
      <c r="BO43" s="20" t="n">
        <f aca="false">IF(BN43&gt;PR_BalDone,BN43+BN43*(D_iL)-MIN(F_LoanPayM,BN43+BN43*(D_iL)),BN43)</f>
        <v>0</v>
      </c>
      <c r="BP43" s="20" t="n">
        <f aca="false">IF(BO43&gt;PR_BalDone,BO43+BO43*(D_iL)-MIN(F_LoanPayM,BO43+BO43*(D_iL)),BO43)</f>
        <v>0</v>
      </c>
      <c r="BQ43" s="20" t="n">
        <f aca="false">IF(BP43&gt;PR_BalDone,BP43+BP43*(D_iL)-MIN(F_LoanPayM,BP43+BP43*(D_iL)),BP43)</f>
        <v>0</v>
      </c>
      <c r="BR43" s="20" t="n">
        <f aca="false">IF(BE43&gt;PR_BalDone,MIN(F_LoanPayM,BE43+BE43*(D_iL)),0)</f>
        <v>0</v>
      </c>
      <c r="BS43" s="20" t="n">
        <f aca="false">IF(BF43&gt;PR_BalDone,MIN(F_LoanPayM,BF43+BF43*(D_iL)),0)</f>
        <v>0</v>
      </c>
      <c r="BT43" s="20" t="n">
        <f aca="false">IF(BG43&gt;PR_BalDone,MIN(F_LoanPayM,BG43+BG43*(D_iL)),0)</f>
        <v>0</v>
      </c>
      <c r="BU43" s="20" t="n">
        <f aca="false">IF(BH43&gt;PR_BalDone,MIN(F_LoanPayM,BH43+BH43*(D_iL)),0)</f>
        <v>0</v>
      </c>
      <c r="BV43" s="20" t="n">
        <f aca="false">IF(BI43&gt;PR_BalDone,MIN(F_LoanPayM,BI43+BI43*(D_iL)),0)</f>
        <v>0</v>
      </c>
      <c r="BW43" s="20" t="n">
        <f aca="false">IF(BJ43&gt;PR_BalDone,MIN(F_LoanPayM,BJ43+BJ43*(D_iL)),0)</f>
        <v>0</v>
      </c>
      <c r="BX43" s="20" t="n">
        <f aca="false">IF(BK43&gt;PR_BalDone,MIN(F_LoanPayM,BK43+BK43*(D_iL)),0)</f>
        <v>0</v>
      </c>
      <c r="BY43" s="20" t="n">
        <f aca="false">IF(BL43&gt;PR_BalDone,MIN(F_LoanPayM,BL43+BL43*(D_iL)),0)</f>
        <v>0</v>
      </c>
      <c r="BZ43" s="20" t="n">
        <f aca="false">IF(BM43&gt;PR_BalDone,MIN(F_LoanPayM,BM43+BM43*(D_iL)),0)</f>
        <v>0</v>
      </c>
      <c r="CA43" s="20" t="n">
        <f aca="false">IF(BN43&gt;PR_BalDone,MIN(F_LoanPayM,BN43+BN43*(D_iL)),0)</f>
        <v>0</v>
      </c>
      <c r="CB43" s="20" t="n">
        <f aca="false">IF(BO43&gt;PR_BalDone,MIN(F_LoanPayM,BO43+BO43*(D_iL)),0)</f>
        <v>0</v>
      </c>
      <c r="CC43" s="20" t="n">
        <f aca="false">IF(BP43&gt;PR_BalDone,MIN(F_LoanPayM,BP43+BP43*(D_iL)),0)</f>
        <v>0</v>
      </c>
      <c r="CD43" s="20" t="n">
        <f aca="false">MAX(0,BQ43)</f>
        <v>0</v>
      </c>
      <c r="CE43" s="20" t="n">
        <f aca="false">SUM(BR43:CC43)</f>
        <v>0</v>
      </c>
      <c r="CF43" s="20" t="n">
        <f aca="false">IF(CF42&gt;1,DE42,CF42)</f>
        <v>0</v>
      </c>
      <c r="CG43" s="20" t="n">
        <f aca="false">IF(CF43&gt;PR_BalDone,CF43+CF43*(F_MR/12)-MIN(F_MortPayM,CF43+CF43*(F_MR/12)),CF43)</f>
        <v>0</v>
      </c>
      <c r="CH43" s="20" t="n">
        <f aca="false">IF(CG43&gt;PR_BalDone,CG43+CG43*(F_MR/12)-MIN(F_MortPayM,CG43+CG43*(F_MR/12)),CG43)</f>
        <v>0</v>
      </c>
      <c r="CI43" s="20" t="n">
        <f aca="false">IF(CH43&gt;PR_BalDone,CH43+CH43*(F_MR/12)-MIN(F_MortPayM,CH43+CH43*(F_MR/12)),CH43)</f>
        <v>0</v>
      </c>
      <c r="CJ43" s="20" t="n">
        <f aca="false">IF(CI43&gt;PR_BalDone,CI43+CI43*(F_MR/12)-MIN(F_MortPayM,CI43+CI43*(F_MR/12)),CI43)</f>
        <v>0</v>
      </c>
      <c r="CK43" s="20" t="n">
        <f aca="false">IF(CJ43&gt;PR_BalDone,CJ43+CJ43*(F_MR/12)-MIN(F_MortPayM,CJ43+CJ43*(F_MR/12)),CJ43)</f>
        <v>0</v>
      </c>
      <c r="CL43" s="20" t="n">
        <f aca="false">IF(CK43&gt;PR_BalDone,CK43+CK43*(F_MR/12)-MIN(F_MortPayM,CK43+CK43*(F_MR/12)),CK43)</f>
        <v>0</v>
      </c>
      <c r="CM43" s="20" t="n">
        <f aca="false">IF(CL43&gt;PR_BalDone,CL43+CL43*(F_MR/12)-MIN(F_MortPayM,CL43+CL43*(F_MR/12)),CL43)</f>
        <v>0</v>
      </c>
      <c r="CN43" s="20" t="n">
        <f aca="false">IF(CM43&gt;PR_BalDone,CM43+CM43*(F_MR/12)-MIN(F_MortPayM,CM43+CM43*(F_MR/12)),CM43)</f>
        <v>0</v>
      </c>
      <c r="CO43" s="20" t="n">
        <f aca="false">IF(CN43&gt;PR_BalDone,CN43+CN43*(F_MR/12)-MIN(F_MortPayM,CN43+CN43*(F_MR/12)),CN43)</f>
        <v>0</v>
      </c>
      <c r="CP43" s="20" t="n">
        <f aca="false">IF(CO43&gt;PR_BalDone,CO43+CO43*(F_MR/12)-MIN(F_MortPayM,CO43+CO43*(F_MR/12)),CO43)</f>
        <v>0</v>
      </c>
      <c r="CQ43" s="20" t="n">
        <f aca="false">IF(CP43&gt;PR_BalDone,CP43+CP43*(F_MR/12)-MIN(F_MortPayM,CP43+CP43*(F_MR/12)),CP43)</f>
        <v>0</v>
      </c>
      <c r="CR43" s="20" t="n">
        <f aca="false">IF(CQ43&gt;PR_BalDone,CQ43+CQ43*(F_MR/12)-MIN(F_MortPayM,CQ43+CQ43*(F_MR/12)),CQ43)</f>
        <v>0</v>
      </c>
      <c r="CS43" s="20" t="n">
        <f aca="false">IF(CF43&gt;PR_BalDone,MIN(F_MortPayM,CF43+CF43*(F_MR/12)),0)</f>
        <v>0</v>
      </c>
      <c r="CT43" s="20" t="n">
        <f aca="false">IF(CG43&gt;PR_BalDone,MIN(F_MortPayM,CG43+CG43*(F_MR/12)),0)</f>
        <v>0</v>
      </c>
      <c r="CU43" s="20" t="n">
        <f aca="false">IF(CH43&gt;PR_BalDone,MIN(F_MortPayM,CH43+CH43*(F_MR/12)),0)</f>
        <v>0</v>
      </c>
      <c r="CV43" s="20" t="n">
        <f aca="false">IF(CI43&gt;PR_BalDone,MIN(F_MortPayM,CI43+CI43*(F_MR/12)),0)</f>
        <v>0</v>
      </c>
      <c r="CW43" s="20" t="n">
        <f aca="false">IF(CJ43&gt;PR_BalDone,MIN(F_MortPayM,CJ43+CJ43*(F_MR/12)),0)</f>
        <v>0</v>
      </c>
      <c r="CX43" s="20" t="n">
        <f aca="false">IF(CK43&gt;PR_BalDone,MIN(F_MortPayM,CK43+CK43*(F_MR/12)),0)</f>
        <v>0</v>
      </c>
      <c r="CY43" s="20" t="n">
        <f aca="false">IF(CL43&gt;PR_BalDone,MIN(F_MortPayM,CL43+CL43*(F_MR/12)),0)</f>
        <v>0</v>
      </c>
      <c r="CZ43" s="20" t="n">
        <f aca="false">IF(CM43&gt;PR_BalDone,MIN(F_MortPayM,CM43+CM43*(F_MR/12)),0)</f>
        <v>0</v>
      </c>
      <c r="DA43" s="20" t="n">
        <f aca="false">IF(CN43&gt;PR_BalDone,MIN(F_MortPayM,CN43+CN43*(F_MR/12)),0)</f>
        <v>0</v>
      </c>
      <c r="DB43" s="20" t="n">
        <f aca="false">IF(CO43&gt;PR_BalDone,MIN(F_MortPayM,CO43+CO43*(F_MR/12)),0)</f>
        <v>0</v>
      </c>
      <c r="DC43" s="20" t="n">
        <f aca="false">IF(CP43&gt;PR_BalDone,MIN(F_MortPayM,CP43+CP43*(F_MR/12)),0)</f>
        <v>0</v>
      </c>
      <c r="DD43" s="20" t="n">
        <f aca="false">IF(CQ43&gt;PR_BalDone,MIN(F_MortPayM,CQ43+CQ43*(F_MR/12)),0)</f>
        <v>0</v>
      </c>
      <c r="DE43" s="20" t="n">
        <f aca="false">MAX(0,CR43)</f>
        <v>0</v>
      </c>
      <c r="DF43" s="20" t="n">
        <f aca="false">SUM(CS43:DD43)</f>
        <v>0</v>
      </c>
      <c r="DG43" s="20" t="n">
        <f aca="false">MAX(0,CF43)</f>
        <v>0</v>
      </c>
    </row>
    <row r="44" customFormat="false" ht="15" hidden="false" customHeight="true" outlineLevel="0" collapsed="false">
      <c r="B44" s="20" t="n">
        <v>36</v>
      </c>
      <c r="C44" s="20" t="n">
        <f aca="false">'Plan cashflow'!J44</f>
        <v>0</v>
      </c>
      <c r="D44" s="20" t="n">
        <f aca="false">IF(C44&gt;PR_BalDone,C44+C44*(F_MR/12)-MIN(F_MortPayM,C44+C44*(F_MR/12)),C44)</f>
        <v>0</v>
      </c>
      <c r="E44" s="20" t="n">
        <f aca="false">IF(D44&gt;PR_BalDone,D44+D44*(F_MR/12)-MIN(F_MortPayM,D44+D44*(F_MR/12)),D44)</f>
        <v>0</v>
      </c>
      <c r="F44" s="20" t="n">
        <f aca="false">IF(E44&gt;PR_BalDone,E44+E44*(F_MR/12)-MIN(F_MortPayM,E44+E44*(F_MR/12)),E44)</f>
        <v>0</v>
      </c>
      <c r="G44" s="20" t="n">
        <f aca="false">IF(F44&gt;PR_BalDone,F44+F44*(F_MR/12)-MIN(F_MortPayM,F44+F44*(F_MR/12)),F44)</f>
        <v>0</v>
      </c>
      <c r="H44" s="20" t="n">
        <f aca="false">IF(G44&gt;PR_BalDone,G44+G44*(F_MR/12)-MIN(F_MortPayM,G44+G44*(F_MR/12)),G44)</f>
        <v>0</v>
      </c>
      <c r="I44" s="20" t="n">
        <f aca="false">IF(H44&gt;PR_BalDone,H44+H44*(F_MR/12)-MIN(F_MortPayM,H44+H44*(F_MR/12)),H44)</f>
        <v>0</v>
      </c>
      <c r="J44" s="20" t="n">
        <f aca="false">IF(I44&gt;PR_BalDone,I44+I44*(F_MR/12)-MIN(F_MortPayM,I44+I44*(F_MR/12)),I44)</f>
        <v>0</v>
      </c>
      <c r="K44" s="20" t="n">
        <f aca="false">IF(J44&gt;PR_BalDone,J44+J44*(F_MR/12)-MIN(F_MortPayM,J44+J44*(F_MR/12)),J44)</f>
        <v>0</v>
      </c>
      <c r="L44" s="20" t="n">
        <f aca="false">IF(K44&gt;PR_BalDone,K44+K44*(F_MR/12)-MIN(F_MortPayM,K44+K44*(F_MR/12)),K44)</f>
        <v>0</v>
      </c>
      <c r="M44" s="20" t="n">
        <f aca="false">IF(L44&gt;PR_BalDone,L44+L44*(F_MR/12)-MIN(F_MortPayM,L44+L44*(F_MR/12)),L44)</f>
        <v>0</v>
      </c>
      <c r="N44" s="20" t="n">
        <f aca="false">IF(M44&gt;PR_BalDone,M44+M44*(F_MR/12)-MIN(F_MortPayM,M44+M44*(F_MR/12)),M44)</f>
        <v>0</v>
      </c>
      <c r="O44" s="20" t="n">
        <f aca="false">IF(N44&gt;PR_BalDone,N44+N44*(F_MR/12)-MIN(F_MortPayM,N44+N44*(F_MR/12)),N44)</f>
        <v>0</v>
      </c>
      <c r="P44" s="20" t="n">
        <f aca="false">IF(C44&gt;PR_BalDone,MIN(F_MortPayM,C44+C44*(F_MR/12)),0)</f>
        <v>0</v>
      </c>
      <c r="Q44" s="20" t="n">
        <f aca="false">IF(D44&gt;PR_BalDone,MIN(F_MortPayM,D44+D44*(F_MR/12)),0)</f>
        <v>0</v>
      </c>
      <c r="R44" s="20" t="n">
        <f aca="false">IF(E44&gt;PR_BalDone,MIN(F_MortPayM,E44+E44*(F_MR/12)),0)</f>
        <v>0</v>
      </c>
      <c r="S44" s="20" t="n">
        <f aca="false">IF(F44&gt;PR_BalDone,MIN(F_MortPayM,F44+F44*(F_MR/12)),0)</f>
        <v>0</v>
      </c>
      <c r="T44" s="20" t="n">
        <f aca="false">IF(G44&gt;PR_BalDone,MIN(F_MortPayM,G44+G44*(F_MR/12)),0)</f>
        <v>0</v>
      </c>
      <c r="U44" s="20" t="n">
        <f aca="false">IF(H44&gt;PR_BalDone,MIN(F_MortPayM,H44+H44*(F_MR/12)),0)</f>
        <v>0</v>
      </c>
      <c r="V44" s="20" t="n">
        <f aca="false">IF(I44&gt;PR_BalDone,MIN(F_MortPayM,I44+I44*(F_MR/12)),0)</f>
        <v>0</v>
      </c>
      <c r="W44" s="20" t="n">
        <f aca="false">IF(J44&gt;PR_BalDone,MIN(F_MortPayM,J44+J44*(F_MR/12)),0)</f>
        <v>0</v>
      </c>
      <c r="X44" s="20" t="n">
        <f aca="false">IF(K44&gt;PR_BalDone,MIN(F_MortPayM,K44+K44*(F_MR/12)),0)</f>
        <v>0</v>
      </c>
      <c r="Y44" s="20" t="n">
        <f aca="false">IF(L44&gt;PR_BalDone,MIN(F_MortPayM,L44+L44*(F_MR/12)),0)</f>
        <v>0</v>
      </c>
      <c r="Z44" s="20" t="n">
        <f aca="false">IF(M44&gt;PR_BalDone,MIN(F_MortPayM,M44+M44*(F_MR/12)),0)</f>
        <v>0</v>
      </c>
      <c r="AA44" s="20" t="n">
        <f aca="false">IF(N44&gt;PR_BalDone,MIN(F_MortPayM,N44+N44*(F_MR/12)),0)</f>
        <v>0</v>
      </c>
      <c r="AB44" s="20" t="n">
        <f aca="false">MAX(0,O44)</f>
        <v>0</v>
      </c>
      <c r="AC44" s="20" t="n">
        <f aca="false">SUM(P44:AA44)</f>
        <v>0</v>
      </c>
      <c r="AD44" s="20" t="n">
        <f aca="false">'Plan cashflow'!M44</f>
        <v>0</v>
      </c>
      <c r="AE44" s="20" t="n">
        <f aca="false">IF(AD44&gt;PR_BalDone,AD44+AD44*(D_iC)-MIN(F_CardPayM,AD44+AD44*(D_iC)),AD44)</f>
        <v>0</v>
      </c>
      <c r="AF44" s="20" t="n">
        <f aca="false">IF(AE44&gt;PR_BalDone,AE44+AE44*(D_iC)-MIN(F_CardPayM,AE44+AE44*(D_iC)),AE44)</f>
        <v>0</v>
      </c>
      <c r="AG44" s="20" t="n">
        <f aca="false">IF(AF44&gt;PR_BalDone,AF44+AF44*(D_iC)-MIN(F_CardPayM,AF44+AF44*(D_iC)),AF44)</f>
        <v>0</v>
      </c>
      <c r="AH44" s="20" t="n">
        <f aca="false">IF(AG44&gt;PR_BalDone,AG44+AG44*(D_iC)-MIN(F_CardPayM,AG44+AG44*(D_iC)),AG44)</f>
        <v>0</v>
      </c>
      <c r="AI44" s="20" t="n">
        <f aca="false">IF(AH44&gt;PR_BalDone,AH44+AH44*(D_iC)-MIN(F_CardPayM,AH44+AH44*(D_iC)),AH44)</f>
        <v>0</v>
      </c>
      <c r="AJ44" s="20" t="n">
        <f aca="false">IF(AI44&gt;PR_BalDone,AI44+AI44*(D_iC)-MIN(F_CardPayM,AI44+AI44*(D_iC)),AI44)</f>
        <v>0</v>
      </c>
      <c r="AK44" s="20" t="n">
        <f aca="false">IF(AJ44&gt;PR_BalDone,AJ44+AJ44*(D_iC)-MIN(F_CardPayM,AJ44+AJ44*(D_iC)),AJ44)</f>
        <v>0</v>
      </c>
      <c r="AL44" s="20" t="n">
        <f aca="false">IF(AK44&gt;PR_BalDone,AK44+AK44*(D_iC)-MIN(F_CardPayM,AK44+AK44*(D_iC)),AK44)</f>
        <v>0</v>
      </c>
      <c r="AM44" s="20" t="n">
        <f aca="false">IF(AL44&gt;PR_BalDone,AL44+AL44*(D_iC)-MIN(F_CardPayM,AL44+AL44*(D_iC)),AL44)</f>
        <v>0</v>
      </c>
      <c r="AN44" s="20" t="n">
        <f aca="false">IF(AM44&gt;PR_BalDone,AM44+AM44*(D_iC)-MIN(F_CardPayM,AM44+AM44*(D_iC)),AM44)</f>
        <v>0</v>
      </c>
      <c r="AO44" s="20" t="n">
        <f aca="false">IF(AN44&gt;PR_BalDone,AN44+AN44*(D_iC)-MIN(F_CardPayM,AN44+AN44*(D_iC)),AN44)</f>
        <v>0</v>
      </c>
      <c r="AP44" s="20" t="n">
        <f aca="false">IF(AO44&gt;PR_BalDone,AO44+AO44*(D_iC)-MIN(F_CardPayM,AO44+AO44*(D_iC)),AO44)</f>
        <v>0</v>
      </c>
      <c r="AQ44" s="20" t="n">
        <f aca="false">IF(AD44&gt;PR_BalDone,MIN(F_CardPayM,AD44+AD44*(D_iC)),0)</f>
        <v>0</v>
      </c>
      <c r="AR44" s="20" t="n">
        <f aca="false">IF(AE44&gt;PR_BalDone,MIN(F_CardPayM,AE44+AE44*(D_iC)),0)</f>
        <v>0</v>
      </c>
      <c r="AS44" s="20" t="n">
        <f aca="false">IF(AF44&gt;PR_BalDone,MIN(F_CardPayM,AF44+AF44*(D_iC)),0)</f>
        <v>0</v>
      </c>
      <c r="AT44" s="20" t="n">
        <f aca="false">IF(AG44&gt;PR_BalDone,MIN(F_CardPayM,AG44+AG44*(D_iC)),0)</f>
        <v>0</v>
      </c>
      <c r="AU44" s="20" t="n">
        <f aca="false">IF(AH44&gt;PR_BalDone,MIN(F_CardPayM,AH44+AH44*(D_iC)),0)</f>
        <v>0</v>
      </c>
      <c r="AV44" s="20" t="n">
        <f aca="false">IF(AI44&gt;PR_BalDone,MIN(F_CardPayM,AI44+AI44*(D_iC)),0)</f>
        <v>0</v>
      </c>
      <c r="AW44" s="20" t="n">
        <f aca="false">IF(AJ44&gt;PR_BalDone,MIN(F_CardPayM,AJ44+AJ44*(D_iC)),0)</f>
        <v>0</v>
      </c>
      <c r="AX44" s="20" t="n">
        <f aca="false">IF(AK44&gt;PR_BalDone,MIN(F_CardPayM,AK44+AK44*(D_iC)),0)</f>
        <v>0</v>
      </c>
      <c r="AY44" s="20" t="n">
        <f aca="false">IF(AL44&gt;PR_BalDone,MIN(F_CardPayM,AL44+AL44*(D_iC)),0)</f>
        <v>0</v>
      </c>
      <c r="AZ44" s="20" t="n">
        <f aca="false">IF(AM44&gt;PR_BalDone,MIN(F_CardPayM,AM44+AM44*(D_iC)),0)</f>
        <v>0</v>
      </c>
      <c r="BA44" s="20" t="n">
        <f aca="false">IF(AN44&gt;PR_BalDone,MIN(F_CardPayM,AN44+AN44*(D_iC)),0)</f>
        <v>0</v>
      </c>
      <c r="BB44" s="20" t="n">
        <f aca="false">IF(AO44&gt;PR_BalDone,MIN(F_CardPayM,AO44+AO44*(D_iC)),0)</f>
        <v>0</v>
      </c>
      <c r="BC44" s="20" t="n">
        <f aca="false">MAX(0,AP44)</f>
        <v>0</v>
      </c>
      <c r="BD44" s="20" t="n">
        <f aca="false">SUM(AQ44:BB44)</f>
        <v>0</v>
      </c>
      <c r="BE44" s="20" t="n">
        <f aca="false">'Plan cashflow'!P44</f>
        <v>0</v>
      </c>
      <c r="BF44" s="20" t="n">
        <f aca="false">IF(BE44&gt;PR_BalDone,BE44+BE44*(D_iL)-MIN(F_LoanPayM,BE44+BE44*(D_iL)),BE44)</f>
        <v>0</v>
      </c>
      <c r="BG44" s="20" t="n">
        <f aca="false">IF(BF44&gt;PR_BalDone,BF44+BF44*(D_iL)-MIN(F_LoanPayM,BF44+BF44*(D_iL)),BF44)</f>
        <v>0</v>
      </c>
      <c r="BH44" s="20" t="n">
        <f aca="false">IF(BG44&gt;PR_BalDone,BG44+BG44*(D_iL)-MIN(F_LoanPayM,BG44+BG44*(D_iL)),BG44)</f>
        <v>0</v>
      </c>
      <c r="BI44" s="20" t="n">
        <f aca="false">IF(BH44&gt;PR_BalDone,BH44+BH44*(D_iL)-MIN(F_LoanPayM,BH44+BH44*(D_iL)),BH44)</f>
        <v>0</v>
      </c>
      <c r="BJ44" s="20" t="n">
        <f aca="false">IF(BI44&gt;PR_BalDone,BI44+BI44*(D_iL)-MIN(F_LoanPayM,BI44+BI44*(D_iL)),BI44)</f>
        <v>0</v>
      </c>
      <c r="BK44" s="20" t="n">
        <f aca="false">IF(BJ44&gt;PR_BalDone,BJ44+BJ44*(D_iL)-MIN(F_LoanPayM,BJ44+BJ44*(D_iL)),BJ44)</f>
        <v>0</v>
      </c>
      <c r="BL44" s="20" t="n">
        <f aca="false">IF(BK44&gt;PR_BalDone,BK44+BK44*(D_iL)-MIN(F_LoanPayM,BK44+BK44*(D_iL)),BK44)</f>
        <v>0</v>
      </c>
      <c r="BM44" s="20" t="n">
        <f aca="false">IF(BL44&gt;PR_BalDone,BL44+BL44*(D_iL)-MIN(F_LoanPayM,BL44+BL44*(D_iL)),BL44)</f>
        <v>0</v>
      </c>
      <c r="BN44" s="20" t="n">
        <f aca="false">IF(BM44&gt;PR_BalDone,BM44+BM44*(D_iL)-MIN(F_LoanPayM,BM44+BM44*(D_iL)),BM44)</f>
        <v>0</v>
      </c>
      <c r="BO44" s="20" t="n">
        <f aca="false">IF(BN44&gt;PR_BalDone,BN44+BN44*(D_iL)-MIN(F_LoanPayM,BN44+BN44*(D_iL)),BN44)</f>
        <v>0</v>
      </c>
      <c r="BP44" s="20" t="n">
        <f aca="false">IF(BO44&gt;PR_BalDone,BO44+BO44*(D_iL)-MIN(F_LoanPayM,BO44+BO44*(D_iL)),BO44)</f>
        <v>0</v>
      </c>
      <c r="BQ44" s="20" t="n">
        <f aca="false">IF(BP44&gt;PR_BalDone,BP44+BP44*(D_iL)-MIN(F_LoanPayM,BP44+BP44*(D_iL)),BP44)</f>
        <v>0</v>
      </c>
      <c r="BR44" s="20" t="n">
        <f aca="false">IF(BE44&gt;PR_BalDone,MIN(F_LoanPayM,BE44+BE44*(D_iL)),0)</f>
        <v>0</v>
      </c>
      <c r="BS44" s="20" t="n">
        <f aca="false">IF(BF44&gt;PR_BalDone,MIN(F_LoanPayM,BF44+BF44*(D_iL)),0)</f>
        <v>0</v>
      </c>
      <c r="BT44" s="20" t="n">
        <f aca="false">IF(BG44&gt;PR_BalDone,MIN(F_LoanPayM,BG44+BG44*(D_iL)),0)</f>
        <v>0</v>
      </c>
      <c r="BU44" s="20" t="n">
        <f aca="false">IF(BH44&gt;PR_BalDone,MIN(F_LoanPayM,BH44+BH44*(D_iL)),0)</f>
        <v>0</v>
      </c>
      <c r="BV44" s="20" t="n">
        <f aca="false">IF(BI44&gt;PR_BalDone,MIN(F_LoanPayM,BI44+BI44*(D_iL)),0)</f>
        <v>0</v>
      </c>
      <c r="BW44" s="20" t="n">
        <f aca="false">IF(BJ44&gt;PR_BalDone,MIN(F_LoanPayM,BJ44+BJ44*(D_iL)),0)</f>
        <v>0</v>
      </c>
      <c r="BX44" s="20" t="n">
        <f aca="false">IF(BK44&gt;PR_BalDone,MIN(F_LoanPayM,BK44+BK44*(D_iL)),0)</f>
        <v>0</v>
      </c>
      <c r="BY44" s="20" t="n">
        <f aca="false">IF(BL44&gt;PR_BalDone,MIN(F_LoanPayM,BL44+BL44*(D_iL)),0)</f>
        <v>0</v>
      </c>
      <c r="BZ44" s="20" t="n">
        <f aca="false">IF(BM44&gt;PR_BalDone,MIN(F_LoanPayM,BM44+BM44*(D_iL)),0)</f>
        <v>0</v>
      </c>
      <c r="CA44" s="20" t="n">
        <f aca="false">IF(BN44&gt;PR_BalDone,MIN(F_LoanPayM,BN44+BN44*(D_iL)),0)</f>
        <v>0</v>
      </c>
      <c r="CB44" s="20" t="n">
        <f aca="false">IF(BO44&gt;PR_BalDone,MIN(F_LoanPayM,BO44+BO44*(D_iL)),0)</f>
        <v>0</v>
      </c>
      <c r="CC44" s="20" t="n">
        <f aca="false">IF(BP44&gt;PR_BalDone,MIN(F_LoanPayM,BP44+BP44*(D_iL)),0)</f>
        <v>0</v>
      </c>
      <c r="CD44" s="20" t="n">
        <f aca="false">MAX(0,BQ44)</f>
        <v>0</v>
      </c>
      <c r="CE44" s="20" t="n">
        <f aca="false">SUM(BR44:CC44)</f>
        <v>0</v>
      </c>
      <c r="CF44" s="20" t="n">
        <f aca="false">IF(CF43&gt;1,DE43,CF43)</f>
        <v>0</v>
      </c>
      <c r="CG44" s="20" t="n">
        <f aca="false">IF(CF44&gt;PR_BalDone,CF44+CF44*(F_MR/12)-MIN(F_MortPayM,CF44+CF44*(F_MR/12)),CF44)</f>
        <v>0</v>
      </c>
      <c r="CH44" s="20" t="n">
        <f aca="false">IF(CG44&gt;PR_BalDone,CG44+CG44*(F_MR/12)-MIN(F_MortPayM,CG44+CG44*(F_MR/12)),CG44)</f>
        <v>0</v>
      </c>
      <c r="CI44" s="20" t="n">
        <f aca="false">IF(CH44&gt;PR_BalDone,CH44+CH44*(F_MR/12)-MIN(F_MortPayM,CH44+CH44*(F_MR/12)),CH44)</f>
        <v>0</v>
      </c>
      <c r="CJ44" s="20" t="n">
        <f aca="false">IF(CI44&gt;PR_BalDone,CI44+CI44*(F_MR/12)-MIN(F_MortPayM,CI44+CI44*(F_MR/12)),CI44)</f>
        <v>0</v>
      </c>
      <c r="CK44" s="20" t="n">
        <f aca="false">IF(CJ44&gt;PR_BalDone,CJ44+CJ44*(F_MR/12)-MIN(F_MortPayM,CJ44+CJ44*(F_MR/12)),CJ44)</f>
        <v>0</v>
      </c>
      <c r="CL44" s="20" t="n">
        <f aca="false">IF(CK44&gt;PR_BalDone,CK44+CK44*(F_MR/12)-MIN(F_MortPayM,CK44+CK44*(F_MR/12)),CK44)</f>
        <v>0</v>
      </c>
      <c r="CM44" s="20" t="n">
        <f aca="false">IF(CL44&gt;PR_BalDone,CL44+CL44*(F_MR/12)-MIN(F_MortPayM,CL44+CL44*(F_MR/12)),CL44)</f>
        <v>0</v>
      </c>
      <c r="CN44" s="20" t="n">
        <f aca="false">IF(CM44&gt;PR_BalDone,CM44+CM44*(F_MR/12)-MIN(F_MortPayM,CM44+CM44*(F_MR/12)),CM44)</f>
        <v>0</v>
      </c>
      <c r="CO44" s="20" t="n">
        <f aca="false">IF(CN44&gt;PR_BalDone,CN44+CN44*(F_MR/12)-MIN(F_MortPayM,CN44+CN44*(F_MR/12)),CN44)</f>
        <v>0</v>
      </c>
      <c r="CP44" s="20" t="n">
        <f aca="false">IF(CO44&gt;PR_BalDone,CO44+CO44*(F_MR/12)-MIN(F_MortPayM,CO44+CO44*(F_MR/12)),CO44)</f>
        <v>0</v>
      </c>
      <c r="CQ44" s="20" t="n">
        <f aca="false">IF(CP44&gt;PR_BalDone,CP44+CP44*(F_MR/12)-MIN(F_MortPayM,CP44+CP44*(F_MR/12)),CP44)</f>
        <v>0</v>
      </c>
      <c r="CR44" s="20" t="n">
        <f aca="false">IF(CQ44&gt;PR_BalDone,CQ44+CQ44*(F_MR/12)-MIN(F_MortPayM,CQ44+CQ44*(F_MR/12)),CQ44)</f>
        <v>0</v>
      </c>
      <c r="CS44" s="20" t="n">
        <f aca="false">IF(CF44&gt;PR_BalDone,MIN(F_MortPayM,CF44+CF44*(F_MR/12)),0)</f>
        <v>0</v>
      </c>
      <c r="CT44" s="20" t="n">
        <f aca="false">IF(CG44&gt;PR_BalDone,MIN(F_MortPayM,CG44+CG44*(F_MR/12)),0)</f>
        <v>0</v>
      </c>
      <c r="CU44" s="20" t="n">
        <f aca="false">IF(CH44&gt;PR_BalDone,MIN(F_MortPayM,CH44+CH44*(F_MR/12)),0)</f>
        <v>0</v>
      </c>
      <c r="CV44" s="20" t="n">
        <f aca="false">IF(CI44&gt;PR_BalDone,MIN(F_MortPayM,CI44+CI44*(F_MR/12)),0)</f>
        <v>0</v>
      </c>
      <c r="CW44" s="20" t="n">
        <f aca="false">IF(CJ44&gt;PR_BalDone,MIN(F_MortPayM,CJ44+CJ44*(F_MR/12)),0)</f>
        <v>0</v>
      </c>
      <c r="CX44" s="20" t="n">
        <f aca="false">IF(CK44&gt;PR_BalDone,MIN(F_MortPayM,CK44+CK44*(F_MR/12)),0)</f>
        <v>0</v>
      </c>
      <c r="CY44" s="20" t="n">
        <f aca="false">IF(CL44&gt;PR_BalDone,MIN(F_MortPayM,CL44+CL44*(F_MR/12)),0)</f>
        <v>0</v>
      </c>
      <c r="CZ44" s="20" t="n">
        <f aca="false">IF(CM44&gt;PR_BalDone,MIN(F_MortPayM,CM44+CM44*(F_MR/12)),0)</f>
        <v>0</v>
      </c>
      <c r="DA44" s="20" t="n">
        <f aca="false">IF(CN44&gt;PR_BalDone,MIN(F_MortPayM,CN44+CN44*(F_MR/12)),0)</f>
        <v>0</v>
      </c>
      <c r="DB44" s="20" t="n">
        <f aca="false">IF(CO44&gt;PR_BalDone,MIN(F_MortPayM,CO44+CO44*(F_MR/12)),0)</f>
        <v>0</v>
      </c>
      <c r="DC44" s="20" t="n">
        <f aca="false">IF(CP44&gt;PR_BalDone,MIN(F_MortPayM,CP44+CP44*(F_MR/12)),0)</f>
        <v>0</v>
      </c>
      <c r="DD44" s="20" t="n">
        <f aca="false">IF(CQ44&gt;PR_BalDone,MIN(F_MortPayM,CQ44+CQ44*(F_MR/12)),0)</f>
        <v>0</v>
      </c>
      <c r="DE44" s="20" t="n">
        <f aca="false">MAX(0,CR44)</f>
        <v>0</v>
      </c>
      <c r="DF44" s="20" t="n">
        <f aca="false">SUM(CS44:DD44)</f>
        <v>0</v>
      </c>
      <c r="DG44" s="20" t="n">
        <f aca="false">MAX(0,CF44)</f>
        <v>0</v>
      </c>
    </row>
    <row r="45" customFormat="false" ht="15" hidden="false" customHeight="true" outlineLevel="0" collapsed="false">
      <c r="B45" s="20" t="n">
        <v>37</v>
      </c>
      <c r="C45" s="20" t="n">
        <f aca="false">'Plan cashflow'!J45</f>
        <v>0</v>
      </c>
      <c r="D45" s="20" t="n">
        <f aca="false">IF(C45&gt;PR_BalDone,C45+C45*(F_MR/12)-MIN(F_MortPayM,C45+C45*(F_MR/12)),C45)</f>
        <v>0</v>
      </c>
      <c r="E45" s="20" t="n">
        <f aca="false">IF(D45&gt;PR_BalDone,D45+D45*(F_MR/12)-MIN(F_MortPayM,D45+D45*(F_MR/12)),D45)</f>
        <v>0</v>
      </c>
      <c r="F45" s="20" t="n">
        <f aca="false">IF(E45&gt;PR_BalDone,E45+E45*(F_MR/12)-MIN(F_MortPayM,E45+E45*(F_MR/12)),E45)</f>
        <v>0</v>
      </c>
      <c r="G45" s="20" t="n">
        <f aca="false">IF(F45&gt;PR_BalDone,F45+F45*(F_MR/12)-MIN(F_MortPayM,F45+F45*(F_MR/12)),F45)</f>
        <v>0</v>
      </c>
      <c r="H45" s="20" t="n">
        <f aca="false">IF(G45&gt;PR_BalDone,G45+G45*(F_MR/12)-MIN(F_MortPayM,G45+G45*(F_MR/12)),G45)</f>
        <v>0</v>
      </c>
      <c r="I45" s="20" t="n">
        <f aca="false">IF(H45&gt;PR_BalDone,H45+H45*(F_MR/12)-MIN(F_MortPayM,H45+H45*(F_MR/12)),H45)</f>
        <v>0</v>
      </c>
      <c r="J45" s="20" t="n">
        <f aca="false">IF(I45&gt;PR_BalDone,I45+I45*(F_MR/12)-MIN(F_MortPayM,I45+I45*(F_MR/12)),I45)</f>
        <v>0</v>
      </c>
      <c r="K45" s="20" t="n">
        <f aca="false">IF(J45&gt;PR_BalDone,J45+J45*(F_MR/12)-MIN(F_MortPayM,J45+J45*(F_MR/12)),J45)</f>
        <v>0</v>
      </c>
      <c r="L45" s="20" t="n">
        <f aca="false">IF(K45&gt;PR_BalDone,K45+K45*(F_MR/12)-MIN(F_MortPayM,K45+K45*(F_MR/12)),K45)</f>
        <v>0</v>
      </c>
      <c r="M45" s="20" t="n">
        <f aca="false">IF(L45&gt;PR_BalDone,L45+L45*(F_MR/12)-MIN(F_MortPayM,L45+L45*(F_MR/12)),L45)</f>
        <v>0</v>
      </c>
      <c r="N45" s="20" t="n">
        <f aca="false">IF(M45&gt;PR_BalDone,M45+M45*(F_MR/12)-MIN(F_MortPayM,M45+M45*(F_MR/12)),M45)</f>
        <v>0</v>
      </c>
      <c r="O45" s="20" t="n">
        <f aca="false">IF(N45&gt;PR_BalDone,N45+N45*(F_MR/12)-MIN(F_MortPayM,N45+N45*(F_MR/12)),N45)</f>
        <v>0</v>
      </c>
      <c r="P45" s="20" t="n">
        <f aca="false">IF(C45&gt;PR_BalDone,MIN(F_MortPayM,C45+C45*(F_MR/12)),0)</f>
        <v>0</v>
      </c>
      <c r="Q45" s="20" t="n">
        <f aca="false">IF(D45&gt;PR_BalDone,MIN(F_MortPayM,D45+D45*(F_MR/12)),0)</f>
        <v>0</v>
      </c>
      <c r="R45" s="20" t="n">
        <f aca="false">IF(E45&gt;PR_BalDone,MIN(F_MortPayM,E45+E45*(F_MR/12)),0)</f>
        <v>0</v>
      </c>
      <c r="S45" s="20" t="n">
        <f aca="false">IF(F45&gt;PR_BalDone,MIN(F_MortPayM,F45+F45*(F_MR/12)),0)</f>
        <v>0</v>
      </c>
      <c r="T45" s="20" t="n">
        <f aca="false">IF(G45&gt;PR_BalDone,MIN(F_MortPayM,G45+G45*(F_MR/12)),0)</f>
        <v>0</v>
      </c>
      <c r="U45" s="20" t="n">
        <f aca="false">IF(H45&gt;PR_BalDone,MIN(F_MortPayM,H45+H45*(F_MR/12)),0)</f>
        <v>0</v>
      </c>
      <c r="V45" s="20" t="n">
        <f aca="false">IF(I45&gt;PR_BalDone,MIN(F_MortPayM,I45+I45*(F_MR/12)),0)</f>
        <v>0</v>
      </c>
      <c r="W45" s="20" t="n">
        <f aca="false">IF(J45&gt;PR_BalDone,MIN(F_MortPayM,J45+J45*(F_MR/12)),0)</f>
        <v>0</v>
      </c>
      <c r="X45" s="20" t="n">
        <f aca="false">IF(K45&gt;PR_BalDone,MIN(F_MortPayM,K45+K45*(F_MR/12)),0)</f>
        <v>0</v>
      </c>
      <c r="Y45" s="20" t="n">
        <f aca="false">IF(L45&gt;PR_BalDone,MIN(F_MortPayM,L45+L45*(F_MR/12)),0)</f>
        <v>0</v>
      </c>
      <c r="Z45" s="20" t="n">
        <f aca="false">IF(M45&gt;PR_BalDone,MIN(F_MortPayM,M45+M45*(F_MR/12)),0)</f>
        <v>0</v>
      </c>
      <c r="AA45" s="20" t="n">
        <f aca="false">IF(N45&gt;PR_BalDone,MIN(F_MortPayM,N45+N45*(F_MR/12)),0)</f>
        <v>0</v>
      </c>
      <c r="AB45" s="20" t="n">
        <f aca="false">MAX(0,O45)</f>
        <v>0</v>
      </c>
      <c r="AC45" s="20" t="n">
        <f aca="false">SUM(P45:AA45)</f>
        <v>0</v>
      </c>
      <c r="AD45" s="20" t="n">
        <f aca="false">'Plan cashflow'!M45</f>
        <v>0</v>
      </c>
      <c r="AE45" s="20" t="n">
        <f aca="false">IF(AD45&gt;PR_BalDone,AD45+AD45*(D_iC)-MIN(F_CardPayM,AD45+AD45*(D_iC)),AD45)</f>
        <v>0</v>
      </c>
      <c r="AF45" s="20" t="n">
        <f aca="false">IF(AE45&gt;PR_BalDone,AE45+AE45*(D_iC)-MIN(F_CardPayM,AE45+AE45*(D_iC)),AE45)</f>
        <v>0</v>
      </c>
      <c r="AG45" s="20" t="n">
        <f aca="false">IF(AF45&gt;PR_BalDone,AF45+AF45*(D_iC)-MIN(F_CardPayM,AF45+AF45*(D_iC)),AF45)</f>
        <v>0</v>
      </c>
      <c r="AH45" s="20" t="n">
        <f aca="false">IF(AG45&gt;PR_BalDone,AG45+AG45*(D_iC)-MIN(F_CardPayM,AG45+AG45*(D_iC)),AG45)</f>
        <v>0</v>
      </c>
      <c r="AI45" s="20" t="n">
        <f aca="false">IF(AH45&gt;PR_BalDone,AH45+AH45*(D_iC)-MIN(F_CardPayM,AH45+AH45*(D_iC)),AH45)</f>
        <v>0</v>
      </c>
      <c r="AJ45" s="20" t="n">
        <f aca="false">IF(AI45&gt;PR_BalDone,AI45+AI45*(D_iC)-MIN(F_CardPayM,AI45+AI45*(D_iC)),AI45)</f>
        <v>0</v>
      </c>
      <c r="AK45" s="20" t="n">
        <f aca="false">IF(AJ45&gt;PR_BalDone,AJ45+AJ45*(D_iC)-MIN(F_CardPayM,AJ45+AJ45*(D_iC)),AJ45)</f>
        <v>0</v>
      </c>
      <c r="AL45" s="20" t="n">
        <f aca="false">IF(AK45&gt;PR_BalDone,AK45+AK45*(D_iC)-MIN(F_CardPayM,AK45+AK45*(D_iC)),AK45)</f>
        <v>0</v>
      </c>
      <c r="AM45" s="20" t="n">
        <f aca="false">IF(AL45&gt;PR_BalDone,AL45+AL45*(D_iC)-MIN(F_CardPayM,AL45+AL45*(D_iC)),AL45)</f>
        <v>0</v>
      </c>
      <c r="AN45" s="20" t="n">
        <f aca="false">IF(AM45&gt;PR_BalDone,AM45+AM45*(D_iC)-MIN(F_CardPayM,AM45+AM45*(D_iC)),AM45)</f>
        <v>0</v>
      </c>
      <c r="AO45" s="20" t="n">
        <f aca="false">IF(AN45&gt;PR_BalDone,AN45+AN45*(D_iC)-MIN(F_CardPayM,AN45+AN45*(D_iC)),AN45)</f>
        <v>0</v>
      </c>
      <c r="AP45" s="20" t="n">
        <f aca="false">IF(AO45&gt;PR_BalDone,AO45+AO45*(D_iC)-MIN(F_CardPayM,AO45+AO45*(D_iC)),AO45)</f>
        <v>0</v>
      </c>
      <c r="AQ45" s="20" t="n">
        <f aca="false">IF(AD45&gt;PR_BalDone,MIN(F_CardPayM,AD45+AD45*(D_iC)),0)</f>
        <v>0</v>
      </c>
      <c r="AR45" s="20" t="n">
        <f aca="false">IF(AE45&gt;PR_BalDone,MIN(F_CardPayM,AE45+AE45*(D_iC)),0)</f>
        <v>0</v>
      </c>
      <c r="AS45" s="20" t="n">
        <f aca="false">IF(AF45&gt;PR_BalDone,MIN(F_CardPayM,AF45+AF45*(D_iC)),0)</f>
        <v>0</v>
      </c>
      <c r="AT45" s="20" t="n">
        <f aca="false">IF(AG45&gt;PR_BalDone,MIN(F_CardPayM,AG45+AG45*(D_iC)),0)</f>
        <v>0</v>
      </c>
      <c r="AU45" s="20" t="n">
        <f aca="false">IF(AH45&gt;PR_BalDone,MIN(F_CardPayM,AH45+AH45*(D_iC)),0)</f>
        <v>0</v>
      </c>
      <c r="AV45" s="20" t="n">
        <f aca="false">IF(AI45&gt;PR_BalDone,MIN(F_CardPayM,AI45+AI45*(D_iC)),0)</f>
        <v>0</v>
      </c>
      <c r="AW45" s="20" t="n">
        <f aca="false">IF(AJ45&gt;PR_BalDone,MIN(F_CardPayM,AJ45+AJ45*(D_iC)),0)</f>
        <v>0</v>
      </c>
      <c r="AX45" s="20" t="n">
        <f aca="false">IF(AK45&gt;PR_BalDone,MIN(F_CardPayM,AK45+AK45*(D_iC)),0)</f>
        <v>0</v>
      </c>
      <c r="AY45" s="20" t="n">
        <f aca="false">IF(AL45&gt;PR_BalDone,MIN(F_CardPayM,AL45+AL45*(D_iC)),0)</f>
        <v>0</v>
      </c>
      <c r="AZ45" s="20" t="n">
        <f aca="false">IF(AM45&gt;PR_BalDone,MIN(F_CardPayM,AM45+AM45*(D_iC)),0)</f>
        <v>0</v>
      </c>
      <c r="BA45" s="20" t="n">
        <f aca="false">IF(AN45&gt;PR_BalDone,MIN(F_CardPayM,AN45+AN45*(D_iC)),0)</f>
        <v>0</v>
      </c>
      <c r="BB45" s="20" t="n">
        <f aca="false">IF(AO45&gt;PR_BalDone,MIN(F_CardPayM,AO45+AO45*(D_iC)),0)</f>
        <v>0</v>
      </c>
      <c r="BC45" s="20" t="n">
        <f aca="false">MAX(0,AP45)</f>
        <v>0</v>
      </c>
      <c r="BD45" s="20" t="n">
        <f aca="false">SUM(AQ45:BB45)</f>
        <v>0</v>
      </c>
      <c r="BE45" s="20" t="n">
        <f aca="false">'Plan cashflow'!P45</f>
        <v>0</v>
      </c>
      <c r="BF45" s="20" t="n">
        <f aca="false">IF(BE45&gt;PR_BalDone,BE45+BE45*(D_iL)-MIN(F_LoanPayM,BE45+BE45*(D_iL)),BE45)</f>
        <v>0</v>
      </c>
      <c r="BG45" s="20" t="n">
        <f aca="false">IF(BF45&gt;PR_BalDone,BF45+BF45*(D_iL)-MIN(F_LoanPayM,BF45+BF45*(D_iL)),BF45)</f>
        <v>0</v>
      </c>
      <c r="BH45" s="20" t="n">
        <f aca="false">IF(BG45&gt;PR_BalDone,BG45+BG45*(D_iL)-MIN(F_LoanPayM,BG45+BG45*(D_iL)),BG45)</f>
        <v>0</v>
      </c>
      <c r="BI45" s="20" t="n">
        <f aca="false">IF(BH45&gt;PR_BalDone,BH45+BH45*(D_iL)-MIN(F_LoanPayM,BH45+BH45*(D_iL)),BH45)</f>
        <v>0</v>
      </c>
      <c r="BJ45" s="20" t="n">
        <f aca="false">IF(BI45&gt;PR_BalDone,BI45+BI45*(D_iL)-MIN(F_LoanPayM,BI45+BI45*(D_iL)),BI45)</f>
        <v>0</v>
      </c>
      <c r="BK45" s="20" t="n">
        <f aca="false">IF(BJ45&gt;PR_BalDone,BJ45+BJ45*(D_iL)-MIN(F_LoanPayM,BJ45+BJ45*(D_iL)),BJ45)</f>
        <v>0</v>
      </c>
      <c r="BL45" s="20" t="n">
        <f aca="false">IF(BK45&gt;PR_BalDone,BK45+BK45*(D_iL)-MIN(F_LoanPayM,BK45+BK45*(D_iL)),BK45)</f>
        <v>0</v>
      </c>
      <c r="BM45" s="20" t="n">
        <f aca="false">IF(BL45&gt;PR_BalDone,BL45+BL45*(D_iL)-MIN(F_LoanPayM,BL45+BL45*(D_iL)),BL45)</f>
        <v>0</v>
      </c>
      <c r="BN45" s="20" t="n">
        <f aca="false">IF(BM45&gt;PR_BalDone,BM45+BM45*(D_iL)-MIN(F_LoanPayM,BM45+BM45*(D_iL)),BM45)</f>
        <v>0</v>
      </c>
      <c r="BO45" s="20" t="n">
        <f aca="false">IF(BN45&gt;PR_BalDone,BN45+BN45*(D_iL)-MIN(F_LoanPayM,BN45+BN45*(D_iL)),BN45)</f>
        <v>0</v>
      </c>
      <c r="BP45" s="20" t="n">
        <f aca="false">IF(BO45&gt;PR_BalDone,BO45+BO45*(D_iL)-MIN(F_LoanPayM,BO45+BO45*(D_iL)),BO45)</f>
        <v>0</v>
      </c>
      <c r="BQ45" s="20" t="n">
        <f aca="false">IF(BP45&gt;PR_BalDone,BP45+BP45*(D_iL)-MIN(F_LoanPayM,BP45+BP45*(D_iL)),BP45)</f>
        <v>0</v>
      </c>
      <c r="BR45" s="20" t="n">
        <f aca="false">IF(BE45&gt;PR_BalDone,MIN(F_LoanPayM,BE45+BE45*(D_iL)),0)</f>
        <v>0</v>
      </c>
      <c r="BS45" s="20" t="n">
        <f aca="false">IF(BF45&gt;PR_BalDone,MIN(F_LoanPayM,BF45+BF45*(D_iL)),0)</f>
        <v>0</v>
      </c>
      <c r="BT45" s="20" t="n">
        <f aca="false">IF(BG45&gt;PR_BalDone,MIN(F_LoanPayM,BG45+BG45*(D_iL)),0)</f>
        <v>0</v>
      </c>
      <c r="BU45" s="20" t="n">
        <f aca="false">IF(BH45&gt;PR_BalDone,MIN(F_LoanPayM,BH45+BH45*(D_iL)),0)</f>
        <v>0</v>
      </c>
      <c r="BV45" s="20" t="n">
        <f aca="false">IF(BI45&gt;PR_BalDone,MIN(F_LoanPayM,BI45+BI45*(D_iL)),0)</f>
        <v>0</v>
      </c>
      <c r="BW45" s="20" t="n">
        <f aca="false">IF(BJ45&gt;PR_BalDone,MIN(F_LoanPayM,BJ45+BJ45*(D_iL)),0)</f>
        <v>0</v>
      </c>
      <c r="BX45" s="20" t="n">
        <f aca="false">IF(BK45&gt;PR_BalDone,MIN(F_LoanPayM,BK45+BK45*(D_iL)),0)</f>
        <v>0</v>
      </c>
      <c r="BY45" s="20" t="n">
        <f aca="false">IF(BL45&gt;PR_BalDone,MIN(F_LoanPayM,BL45+BL45*(D_iL)),0)</f>
        <v>0</v>
      </c>
      <c r="BZ45" s="20" t="n">
        <f aca="false">IF(BM45&gt;PR_BalDone,MIN(F_LoanPayM,BM45+BM45*(D_iL)),0)</f>
        <v>0</v>
      </c>
      <c r="CA45" s="20" t="n">
        <f aca="false">IF(BN45&gt;PR_BalDone,MIN(F_LoanPayM,BN45+BN45*(D_iL)),0)</f>
        <v>0</v>
      </c>
      <c r="CB45" s="20" t="n">
        <f aca="false">IF(BO45&gt;PR_BalDone,MIN(F_LoanPayM,BO45+BO45*(D_iL)),0)</f>
        <v>0</v>
      </c>
      <c r="CC45" s="20" t="n">
        <f aca="false">IF(BP45&gt;PR_BalDone,MIN(F_LoanPayM,BP45+BP45*(D_iL)),0)</f>
        <v>0</v>
      </c>
      <c r="CD45" s="20" t="n">
        <f aca="false">MAX(0,BQ45)</f>
        <v>0</v>
      </c>
      <c r="CE45" s="20" t="n">
        <f aca="false">SUM(BR45:CC45)</f>
        <v>0</v>
      </c>
      <c r="CF45" s="20" t="n">
        <f aca="false">IF(CF44&gt;1,DE44,CF44)</f>
        <v>0</v>
      </c>
      <c r="CG45" s="20" t="n">
        <f aca="false">IF(CF45&gt;PR_BalDone,CF45+CF45*(F_MR/12)-MIN(F_MortPayM,CF45+CF45*(F_MR/12)),CF45)</f>
        <v>0</v>
      </c>
      <c r="CH45" s="20" t="n">
        <f aca="false">IF(CG45&gt;PR_BalDone,CG45+CG45*(F_MR/12)-MIN(F_MortPayM,CG45+CG45*(F_MR/12)),CG45)</f>
        <v>0</v>
      </c>
      <c r="CI45" s="20" t="n">
        <f aca="false">IF(CH45&gt;PR_BalDone,CH45+CH45*(F_MR/12)-MIN(F_MortPayM,CH45+CH45*(F_MR/12)),CH45)</f>
        <v>0</v>
      </c>
      <c r="CJ45" s="20" t="n">
        <f aca="false">IF(CI45&gt;PR_BalDone,CI45+CI45*(F_MR/12)-MIN(F_MortPayM,CI45+CI45*(F_MR/12)),CI45)</f>
        <v>0</v>
      </c>
      <c r="CK45" s="20" t="n">
        <f aca="false">IF(CJ45&gt;PR_BalDone,CJ45+CJ45*(F_MR/12)-MIN(F_MortPayM,CJ45+CJ45*(F_MR/12)),CJ45)</f>
        <v>0</v>
      </c>
      <c r="CL45" s="20" t="n">
        <f aca="false">IF(CK45&gt;PR_BalDone,CK45+CK45*(F_MR/12)-MIN(F_MortPayM,CK45+CK45*(F_MR/12)),CK45)</f>
        <v>0</v>
      </c>
      <c r="CM45" s="20" t="n">
        <f aca="false">IF(CL45&gt;PR_BalDone,CL45+CL45*(F_MR/12)-MIN(F_MortPayM,CL45+CL45*(F_MR/12)),CL45)</f>
        <v>0</v>
      </c>
      <c r="CN45" s="20" t="n">
        <f aca="false">IF(CM45&gt;PR_BalDone,CM45+CM45*(F_MR/12)-MIN(F_MortPayM,CM45+CM45*(F_MR/12)),CM45)</f>
        <v>0</v>
      </c>
      <c r="CO45" s="20" t="n">
        <f aca="false">IF(CN45&gt;PR_BalDone,CN45+CN45*(F_MR/12)-MIN(F_MortPayM,CN45+CN45*(F_MR/12)),CN45)</f>
        <v>0</v>
      </c>
      <c r="CP45" s="20" t="n">
        <f aca="false">IF(CO45&gt;PR_BalDone,CO45+CO45*(F_MR/12)-MIN(F_MortPayM,CO45+CO45*(F_MR/12)),CO45)</f>
        <v>0</v>
      </c>
      <c r="CQ45" s="20" t="n">
        <f aca="false">IF(CP45&gt;PR_BalDone,CP45+CP45*(F_MR/12)-MIN(F_MortPayM,CP45+CP45*(F_MR/12)),CP45)</f>
        <v>0</v>
      </c>
      <c r="CR45" s="20" t="n">
        <f aca="false">IF(CQ45&gt;PR_BalDone,CQ45+CQ45*(F_MR/12)-MIN(F_MortPayM,CQ45+CQ45*(F_MR/12)),CQ45)</f>
        <v>0</v>
      </c>
      <c r="CS45" s="20" t="n">
        <f aca="false">IF(CF45&gt;PR_BalDone,MIN(F_MortPayM,CF45+CF45*(F_MR/12)),0)</f>
        <v>0</v>
      </c>
      <c r="CT45" s="20" t="n">
        <f aca="false">IF(CG45&gt;PR_BalDone,MIN(F_MortPayM,CG45+CG45*(F_MR/12)),0)</f>
        <v>0</v>
      </c>
      <c r="CU45" s="20" t="n">
        <f aca="false">IF(CH45&gt;PR_BalDone,MIN(F_MortPayM,CH45+CH45*(F_MR/12)),0)</f>
        <v>0</v>
      </c>
      <c r="CV45" s="20" t="n">
        <f aca="false">IF(CI45&gt;PR_BalDone,MIN(F_MortPayM,CI45+CI45*(F_MR/12)),0)</f>
        <v>0</v>
      </c>
      <c r="CW45" s="20" t="n">
        <f aca="false">IF(CJ45&gt;PR_BalDone,MIN(F_MortPayM,CJ45+CJ45*(F_MR/12)),0)</f>
        <v>0</v>
      </c>
      <c r="CX45" s="20" t="n">
        <f aca="false">IF(CK45&gt;PR_BalDone,MIN(F_MortPayM,CK45+CK45*(F_MR/12)),0)</f>
        <v>0</v>
      </c>
      <c r="CY45" s="20" t="n">
        <f aca="false">IF(CL45&gt;PR_BalDone,MIN(F_MortPayM,CL45+CL45*(F_MR/12)),0)</f>
        <v>0</v>
      </c>
      <c r="CZ45" s="20" t="n">
        <f aca="false">IF(CM45&gt;PR_BalDone,MIN(F_MortPayM,CM45+CM45*(F_MR/12)),0)</f>
        <v>0</v>
      </c>
      <c r="DA45" s="20" t="n">
        <f aca="false">IF(CN45&gt;PR_BalDone,MIN(F_MortPayM,CN45+CN45*(F_MR/12)),0)</f>
        <v>0</v>
      </c>
      <c r="DB45" s="20" t="n">
        <f aca="false">IF(CO45&gt;PR_BalDone,MIN(F_MortPayM,CO45+CO45*(F_MR/12)),0)</f>
        <v>0</v>
      </c>
      <c r="DC45" s="20" t="n">
        <f aca="false">IF(CP45&gt;PR_BalDone,MIN(F_MortPayM,CP45+CP45*(F_MR/12)),0)</f>
        <v>0</v>
      </c>
      <c r="DD45" s="20" t="n">
        <f aca="false">IF(CQ45&gt;PR_BalDone,MIN(F_MortPayM,CQ45+CQ45*(F_MR/12)),0)</f>
        <v>0</v>
      </c>
      <c r="DE45" s="20" t="n">
        <f aca="false">MAX(0,CR45)</f>
        <v>0</v>
      </c>
      <c r="DF45" s="20" t="n">
        <f aca="false">SUM(CS45:DD45)</f>
        <v>0</v>
      </c>
      <c r="DG45" s="20" t="n">
        <f aca="false">MAX(0,CF45)</f>
        <v>0</v>
      </c>
    </row>
    <row r="46" customFormat="false" ht="15" hidden="false" customHeight="true" outlineLevel="0" collapsed="false">
      <c r="B46" s="20" t="n">
        <v>38</v>
      </c>
      <c r="C46" s="20" t="n">
        <f aca="false">'Plan cashflow'!J46</f>
        <v>0</v>
      </c>
      <c r="D46" s="20" t="n">
        <f aca="false">IF(C46&gt;PR_BalDone,C46+C46*(F_MR/12)-MIN(F_MortPayM,C46+C46*(F_MR/12)),C46)</f>
        <v>0</v>
      </c>
      <c r="E46" s="20" t="n">
        <f aca="false">IF(D46&gt;PR_BalDone,D46+D46*(F_MR/12)-MIN(F_MortPayM,D46+D46*(F_MR/12)),D46)</f>
        <v>0</v>
      </c>
      <c r="F46" s="20" t="n">
        <f aca="false">IF(E46&gt;PR_BalDone,E46+E46*(F_MR/12)-MIN(F_MortPayM,E46+E46*(F_MR/12)),E46)</f>
        <v>0</v>
      </c>
      <c r="G46" s="20" t="n">
        <f aca="false">IF(F46&gt;PR_BalDone,F46+F46*(F_MR/12)-MIN(F_MortPayM,F46+F46*(F_MR/12)),F46)</f>
        <v>0</v>
      </c>
      <c r="H46" s="20" t="n">
        <f aca="false">IF(G46&gt;PR_BalDone,G46+G46*(F_MR/12)-MIN(F_MortPayM,G46+G46*(F_MR/12)),G46)</f>
        <v>0</v>
      </c>
      <c r="I46" s="20" t="n">
        <f aca="false">IF(H46&gt;PR_BalDone,H46+H46*(F_MR/12)-MIN(F_MortPayM,H46+H46*(F_MR/12)),H46)</f>
        <v>0</v>
      </c>
      <c r="J46" s="20" t="n">
        <f aca="false">IF(I46&gt;PR_BalDone,I46+I46*(F_MR/12)-MIN(F_MortPayM,I46+I46*(F_MR/12)),I46)</f>
        <v>0</v>
      </c>
      <c r="K46" s="20" t="n">
        <f aca="false">IF(J46&gt;PR_BalDone,J46+J46*(F_MR/12)-MIN(F_MortPayM,J46+J46*(F_MR/12)),J46)</f>
        <v>0</v>
      </c>
      <c r="L46" s="20" t="n">
        <f aca="false">IF(K46&gt;PR_BalDone,K46+K46*(F_MR/12)-MIN(F_MortPayM,K46+K46*(F_MR/12)),K46)</f>
        <v>0</v>
      </c>
      <c r="M46" s="20" t="n">
        <f aca="false">IF(L46&gt;PR_BalDone,L46+L46*(F_MR/12)-MIN(F_MortPayM,L46+L46*(F_MR/12)),L46)</f>
        <v>0</v>
      </c>
      <c r="N46" s="20" t="n">
        <f aca="false">IF(M46&gt;PR_BalDone,M46+M46*(F_MR/12)-MIN(F_MortPayM,M46+M46*(F_MR/12)),M46)</f>
        <v>0</v>
      </c>
      <c r="O46" s="20" t="n">
        <f aca="false">IF(N46&gt;PR_BalDone,N46+N46*(F_MR/12)-MIN(F_MortPayM,N46+N46*(F_MR/12)),N46)</f>
        <v>0</v>
      </c>
      <c r="P46" s="20" t="n">
        <f aca="false">IF(C46&gt;PR_BalDone,MIN(F_MortPayM,C46+C46*(F_MR/12)),0)</f>
        <v>0</v>
      </c>
      <c r="Q46" s="20" t="n">
        <f aca="false">IF(D46&gt;PR_BalDone,MIN(F_MortPayM,D46+D46*(F_MR/12)),0)</f>
        <v>0</v>
      </c>
      <c r="R46" s="20" t="n">
        <f aca="false">IF(E46&gt;PR_BalDone,MIN(F_MortPayM,E46+E46*(F_MR/12)),0)</f>
        <v>0</v>
      </c>
      <c r="S46" s="20" t="n">
        <f aca="false">IF(F46&gt;PR_BalDone,MIN(F_MortPayM,F46+F46*(F_MR/12)),0)</f>
        <v>0</v>
      </c>
      <c r="T46" s="20" t="n">
        <f aca="false">IF(G46&gt;PR_BalDone,MIN(F_MortPayM,G46+G46*(F_MR/12)),0)</f>
        <v>0</v>
      </c>
      <c r="U46" s="20" t="n">
        <f aca="false">IF(H46&gt;PR_BalDone,MIN(F_MortPayM,H46+H46*(F_MR/12)),0)</f>
        <v>0</v>
      </c>
      <c r="V46" s="20" t="n">
        <f aca="false">IF(I46&gt;PR_BalDone,MIN(F_MortPayM,I46+I46*(F_MR/12)),0)</f>
        <v>0</v>
      </c>
      <c r="W46" s="20" t="n">
        <f aca="false">IF(J46&gt;PR_BalDone,MIN(F_MortPayM,J46+J46*(F_MR/12)),0)</f>
        <v>0</v>
      </c>
      <c r="X46" s="20" t="n">
        <f aca="false">IF(K46&gt;PR_BalDone,MIN(F_MortPayM,K46+K46*(F_MR/12)),0)</f>
        <v>0</v>
      </c>
      <c r="Y46" s="20" t="n">
        <f aca="false">IF(L46&gt;PR_BalDone,MIN(F_MortPayM,L46+L46*(F_MR/12)),0)</f>
        <v>0</v>
      </c>
      <c r="Z46" s="20" t="n">
        <f aca="false">IF(M46&gt;PR_BalDone,MIN(F_MortPayM,M46+M46*(F_MR/12)),0)</f>
        <v>0</v>
      </c>
      <c r="AA46" s="20" t="n">
        <f aca="false">IF(N46&gt;PR_BalDone,MIN(F_MortPayM,N46+N46*(F_MR/12)),0)</f>
        <v>0</v>
      </c>
      <c r="AB46" s="20" t="n">
        <f aca="false">MAX(0,O46)</f>
        <v>0</v>
      </c>
      <c r="AC46" s="20" t="n">
        <f aca="false">SUM(P46:AA46)</f>
        <v>0</v>
      </c>
      <c r="AD46" s="20" t="n">
        <f aca="false">'Plan cashflow'!M46</f>
        <v>0</v>
      </c>
      <c r="AE46" s="20" t="n">
        <f aca="false">IF(AD46&gt;PR_BalDone,AD46+AD46*(D_iC)-MIN(F_CardPayM,AD46+AD46*(D_iC)),AD46)</f>
        <v>0</v>
      </c>
      <c r="AF46" s="20" t="n">
        <f aca="false">IF(AE46&gt;PR_BalDone,AE46+AE46*(D_iC)-MIN(F_CardPayM,AE46+AE46*(D_iC)),AE46)</f>
        <v>0</v>
      </c>
      <c r="AG46" s="20" t="n">
        <f aca="false">IF(AF46&gt;PR_BalDone,AF46+AF46*(D_iC)-MIN(F_CardPayM,AF46+AF46*(D_iC)),AF46)</f>
        <v>0</v>
      </c>
      <c r="AH46" s="20" t="n">
        <f aca="false">IF(AG46&gt;PR_BalDone,AG46+AG46*(D_iC)-MIN(F_CardPayM,AG46+AG46*(D_iC)),AG46)</f>
        <v>0</v>
      </c>
      <c r="AI46" s="20" t="n">
        <f aca="false">IF(AH46&gt;PR_BalDone,AH46+AH46*(D_iC)-MIN(F_CardPayM,AH46+AH46*(D_iC)),AH46)</f>
        <v>0</v>
      </c>
      <c r="AJ46" s="20" t="n">
        <f aca="false">IF(AI46&gt;PR_BalDone,AI46+AI46*(D_iC)-MIN(F_CardPayM,AI46+AI46*(D_iC)),AI46)</f>
        <v>0</v>
      </c>
      <c r="AK46" s="20" t="n">
        <f aca="false">IF(AJ46&gt;PR_BalDone,AJ46+AJ46*(D_iC)-MIN(F_CardPayM,AJ46+AJ46*(D_iC)),AJ46)</f>
        <v>0</v>
      </c>
      <c r="AL46" s="20" t="n">
        <f aca="false">IF(AK46&gt;PR_BalDone,AK46+AK46*(D_iC)-MIN(F_CardPayM,AK46+AK46*(D_iC)),AK46)</f>
        <v>0</v>
      </c>
      <c r="AM46" s="20" t="n">
        <f aca="false">IF(AL46&gt;PR_BalDone,AL46+AL46*(D_iC)-MIN(F_CardPayM,AL46+AL46*(D_iC)),AL46)</f>
        <v>0</v>
      </c>
      <c r="AN46" s="20" t="n">
        <f aca="false">IF(AM46&gt;PR_BalDone,AM46+AM46*(D_iC)-MIN(F_CardPayM,AM46+AM46*(D_iC)),AM46)</f>
        <v>0</v>
      </c>
      <c r="AO46" s="20" t="n">
        <f aca="false">IF(AN46&gt;PR_BalDone,AN46+AN46*(D_iC)-MIN(F_CardPayM,AN46+AN46*(D_iC)),AN46)</f>
        <v>0</v>
      </c>
      <c r="AP46" s="20" t="n">
        <f aca="false">IF(AO46&gt;PR_BalDone,AO46+AO46*(D_iC)-MIN(F_CardPayM,AO46+AO46*(D_iC)),AO46)</f>
        <v>0</v>
      </c>
      <c r="AQ46" s="20" t="n">
        <f aca="false">IF(AD46&gt;PR_BalDone,MIN(F_CardPayM,AD46+AD46*(D_iC)),0)</f>
        <v>0</v>
      </c>
      <c r="AR46" s="20" t="n">
        <f aca="false">IF(AE46&gt;PR_BalDone,MIN(F_CardPayM,AE46+AE46*(D_iC)),0)</f>
        <v>0</v>
      </c>
      <c r="AS46" s="20" t="n">
        <f aca="false">IF(AF46&gt;PR_BalDone,MIN(F_CardPayM,AF46+AF46*(D_iC)),0)</f>
        <v>0</v>
      </c>
      <c r="AT46" s="20" t="n">
        <f aca="false">IF(AG46&gt;PR_BalDone,MIN(F_CardPayM,AG46+AG46*(D_iC)),0)</f>
        <v>0</v>
      </c>
      <c r="AU46" s="20" t="n">
        <f aca="false">IF(AH46&gt;PR_BalDone,MIN(F_CardPayM,AH46+AH46*(D_iC)),0)</f>
        <v>0</v>
      </c>
      <c r="AV46" s="20" t="n">
        <f aca="false">IF(AI46&gt;PR_BalDone,MIN(F_CardPayM,AI46+AI46*(D_iC)),0)</f>
        <v>0</v>
      </c>
      <c r="AW46" s="20" t="n">
        <f aca="false">IF(AJ46&gt;PR_BalDone,MIN(F_CardPayM,AJ46+AJ46*(D_iC)),0)</f>
        <v>0</v>
      </c>
      <c r="AX46" s="20" t="n">
        <f aca="false">IF(AK46&gt;PR_BalDone,MIN(F_CardPayM,AK46+AK46*(D_iC)),0)</f>
        <v>0</v>
      </c>
      <c r="AY46" s="20" t="n">
        <f aca="false">IF(AL46&gt;PR_BalDone,MIN(F_CardPayM,AL46+AL46*(D_iC)),0)</f>
        <v>0</v>
      </c>
      <c r="AZ46" s="20" t="n">
        <f aca="false">IF(AM46&gt;PR_BalDone,MIN(F_CardPayM,AM46+AM46*(D_iC)),0)</f>
        <v>0</v>
      </c>
      <c r="BA46" s="20" t="n">
        <f aca="false">IF(AN46&gt;PR_BalDone,MIN(F_CardPayM,AN46+AN46*(D_iC)),0)</f>
        <v>0</v>
      </c>
      <c r="BB46" s="20" t="n">
        <f aca="false">IF(AO46&gt;PR_BalDone,MIN(F_CardPayM,AO46+AO46*(D_iC)),0)</f>
        <v>0</v>
      </c>
      <c r="BC46" s="20" t="n">
        <f aca="false">MAX(0,AP46)</f>
        <v>0</v>
      </c>
      <c r="BD46" s="20" t="n">
        <f aca="false">SUM(AQ46:BB46)</f>
        <v>0</v>
      </c>
      <c r="BE46" s="20" t="n">
        <f aca="false">'Plan cashflow'!P46</f>
        <v>0</v>
      </c>
      <c r="BF46" s="20" t="n">
        <f aca="false">IF(BE46&gt;PR_BalDone,BE46+BE46*(D_iL)-MIN(F_LoanPayM,BE46+BE46*(D_iL)),BE46)</f>
        <v>0</v>
      </c>
      <c r="BG46" s="20" t="n">
        <f aca="false">IF(BF46&gt;PR_BalDone,BF46+BF46*(D_iL)-MIN(F_LoanPayM,BF46+BF46*(D_iL)),BF46)</f>
        <v>0</v>
      </c>
      <c r="BH46" s="20" t="n">
        <f aca="false">IF(BG46&gt;PR_BalDone,BG46+BG46*(D_iL)-MIN(F_LoanPayM,BG46+BG46*(D_iL)),BG46)</f>
        <v>0</v>
      </c>
      <c r="BI46" s="20" t="n">
        <f aca="false">IF(BH46&gt;PR_BalDone,BH46+BH46*(D_iL)-MIN(F_LoanPayM,BH46+BH46*(D_iL)),BH46)</f>
        <v>0</v>
      </c>
      <c r="BJ46" s="20" t="n">
        <f aca="false">IF(BI46&gt;PR_BalDone,BI46+BI46*(D_iL)-MIN(F_LoanPayM,BI46+BI46*(D_iL)),BI46)</f>
        <v>0</v>
      </c>
      <c r="BK46" s="20" t="n">
        <f aca="false">IF(BJ46&gt;PR_BalDone,BJ46+BJ46*(D_iL)-MIN(F_LoanPayM,BJ46+BJ46*(D_iL)),BJ46)</f>
        <v>0</v>
      </c>
      <c r="BL46" s="20" t="n">
        <f aca="false">IF(BK46&gt;PR_BalDone,BK46+BK46*(D_iL)-MIN(F_LoanPayM,BK46+BK46*(D_iL)),BK46)</f>
        <v>0</v>
      </c>
      <c r="BM46" s="20" t="n">
        <f aca="false">IF(BL46&gt;PR_BalDone,BL46+BL46*(D_iL)-MIN(F_LoanPayM,BL46+BL46*(D_iL)),BL46)</f>
        <v>0</v>
      </c>
      <c r="BN46" s="20" t="n">
        <f aca="false">IF(BM46&gt;PR_BalDone,BM46+BM46*(D_iL)-MIN(F_LoanPayM,BM46+BM46*(D_iL)),BM46)</f>
        <v>0</v>
      </c>
      <c r="BO46" s="20" t="n">
        <f aca="false">IF(BN46&gt;PR_BalDone,BN46+BN46*(D_iL)-MIN(F_LoanPayM,BN46+BN46*(D_iL)),BN46)</f>
        <v>0</v>
      </c>
      <c r="BP46" s="20" t="n">
        <f aca="false">IF(BO46&gt;PR_BalDone,BO46+BO46*(D_iL)-MIN(F_LoanPayM,BO46+BO46*(D_iL)),BO46)</f>
        <v>0</v>
      </c>
      <c r="BQ46" s="20" t="n">
        <f aca="false">IF(BP46&gt;PR_BalDone,BP46+BP46*(D_iL)-MIN(F_LoanPayM,BP46+BP46*(D_iL)),BP46)</f>
        <v>0</v>
      </c>
      <c r="BR46" s="20" t="n">
        <f aca="false">IF(BE46&gt;PR_BalDone,MIN(F_LoanPayM,BE46+BE46*(D_iL)),0)</f>
        <v>0</v>
      </c>
      <c r="BS46" s="20" t="n">
        <f aca="false">IF(BF46&gt;PR_BalDone,MIN(F_LoanPayM,BF46+BF46*(D_iL)),0)</f>
        <v>0</v>
      </c>
      <c r="BT46" s="20" t="n">
        <f aca="false">IF(BG46&gt;PR_BalDone,MIN(F_LoanPayM,BG46+BG46*(D_iL)),0)</f>
        <v>0</v>
      </c>
      <c r="BU46" s="20" t="n">
        <f aca="false">IF(BH46&gt;PR_BalDone,MIN(F_LoanPayM,BH46+BH46*(D_iL)),0)</f>
        <v>0</v>
      </c>
      <c r="BV46" s="20" t="n">
        <f aca="false">IF(BI46&gt;PR_BalDone,MIN(F_LoanPayM,BI46+BI46*(D_iL)),0)</f>
        <v>0</v>
      </c>
      <c r="BW46" s="20" t="n">
        <f aca="false">IF(BJ46&gt;PR_BalDone,MIN(F_LoanPayM,BJ46+BJ46*(D_iL)),0)</f>
        <v>0</v>
      </c>
      <c r="BX46" s="20" t="n">
        <f aca="false">IF(BK46&gt;PR_BalDone,MIN(F_LoanPayM,BK46+BK46*(D_iL)),0)</f>
        <v>0</v>
      </c>
      <c r="BY46" s="20" t="n">
        <f aca="false">IF(BL46&gt;PR_BalDone,MIN(F_LoanPayM,BL46+BL46*(D_iL)),0)</f>
        <v>0</v>
      </c>
      <c r="BZ46" s="20" t="n">
        <f aca="false">IF(BM46&gt;PR_BalDone,MIN(F_LoanPayM,BM46+BM46*(D_iL)),0)</f>
        <v>0</v>
      </c>
      <c r="CA46" s="20" t="n">
        <f aca="false">IF(BN46&gt;PR_BalDone,MIN(F_LoanPayM,BN46+BN46*(D_iL)),0)</f>
        <v>0</v>
      </c>
      <c r="CB46" s="20" t="n">
        <f aca="false">IF(BO46&gt;PR_BalDone,MIN(F_LoanPayM,BO46+BO46*(D_iL)),0)</f>
        <v>0</v>
      </c>
      <c r="CC46" s="20" t="n">
        <f aca="false">IF(BP46&gt;PR_BalDone,MIN(F_LoanPayM,BP46+BP46*(D_iL)),0)</f>
        <v>0</v>
      </c>
      <c r="CD46" s="20" t="n">
        <f aca="false">MAX(0,BQ46)</f>
        <v>0</v>
      </c>
      <c r="CE46" s="20" t="n">
        <f aca="false">SUM(BR46:CC46)</f>
        <v>0</v>
      </c>
      <c r="CF46" s="20" t="n">
        <f aca="false">IF(CF45&gt;1,DE45,CF45)</f>
        <v>0</v>
      </c>
      <c r="CG46" s="20" t="n">
        <f aca="false">IF(CF46&gt;PR_BalDone,CF46+CF46*(F_MR/12)-MIN(F_MortPayM,CF46+CF46*(F_MR/12)),CF46)</f>
        <v>0</v>
      </c>
      <c r="CH46" s="20" t="n">
        <f aca="false">IF(CG46&gt;PR_BalDone,CG46+CG46*(F_MR/12)-MIN(F_MortPayM,CG46+CG46*(F_MR/12)),CG46)</f>
        <v>0</v>
      </c>
      <c r="CI46" s="20" t="n">
        <f aca="false">IF(CH46&gt;PR_BalDone,CH46+CH46*(F_MR/12)-MIN(F_MortPayM,CH46+CH46*(F_MR/12)),CH46)</f>
        <v>0</v>
      </c>
      <c r="CJ46" s="20" t="n">
        <f aca="false">IF(CI46&gt;PR_BalDone,CI46+CI46*(F_MR/12)-MIN(F_MortPayM,CI46+CI46*(F_MR/12)),CI46)</f>
        <v>0</v>
      </c>
      <c r="CK46" s="20" t="n">
        <f aca="false">IF(CJ46&gt;PR_BalDone,CJ46+CJ46*(F_MR/12)-MIN(F_MortPayM,CJ46+CJ46*(F_MR/12)),CJ46)</f>
        <v>0</v>
      </c>
      <c r="CL46" s="20" t="n">
        <f aca="false">IF(CK46&gt;PR_BalDone,CK46+CK46*(F_MR/12)-MIN(F_MortPayM,CK46+CK46*(F_MR/12)),CK46)</f>
        <v>0</v>
      </c>
      <c r="CM46" s="20" t="n">
        <f aca="false">IF(CL46&gt;PR_BalDone,CL46+CL46*(F_MR/12)-MIN(F_MortPayM,CL46+CL46*(F_MR/12)),CL46)</f>
        <v>0</v>
      </c>
      <c r="CN46" s="20" t="n">
        <f aca="false">IF(CM46&gt;PR_BalDone,CM46+CM46*(F_MR/12)-MIN(F_MortPayM,CM46+CM46*(F_MR/12)),CM46)</f>
        <v>0</v>
      </c>
      <c r="CO46" s="20" t="n">
        <f aca="false">IF(CN46&gt;PR_BalDone,CN46+CN46*(F_MR/12)-MIN(F_MortPayM,CN46+CN46*(F_MR/12)),CN46)</f>
        <v>0</v>
      </c>
      <c r="CP46" s="20" t="n">
        <f aca="false">IF(CO46&gt;PR_BalDone,CO46+CO46*(F_MR/12)-MIN(F_MortPayM,CO46+CO46*(F_MR/12)),CO46)</f>
        <v>0</v>
      </c>
      <c r="CQ46" s="20" t="n">
        <f aca="false">IF(CP46&gt;PR_BalDone,CP46+CP46*(F_MR/12)-MIN(F_MortPayM,CP46+CP46*(F_MR/12)),CP46)</f>
        <v>0</v>
      </c>
      <c r="CR46" s="20" t="n">
        <f aca="false">IF(CQ46&gt;PR_BalDone,CQ46+CQ46*(F_MR/12)-MIN(F_MortPayM,CQ46+CQ46*(F_MR/12)),CQ46)</f>
        <v>0</v>
      </c>
      <c r="CS46" s="20" t="n">
        <f aca="false">IF(CF46&gt;PR_BalDone,MIN(F_MortPayM,CF46+CF46*(F_MR/12)),0)</f>
        <v>0</v>
      </c>
      <c r="CT46" s="20" t="n">
        <f aca="false">IF(CG46&gt;PR_BalDone,MIN(F_MortPayM,CG46+CG46*(F_MR/12)),0)</f>
        <v>0</v>
      </c>
      <c r="CU46" s="20" t="n">
        <f aca="false">IF(CH46&gt;PR_BalDone,MIN(F_MortPayM,CH46+CH46*(F_MR/12)),0)</f>
        <v>0</v>
      </c>
      <c r="CV46" s="20" t="n">
        <f aca="false">IF(CI46&gt;PR_BalDone,MIN(F_MortPayM,CI46+CI46*(F_MR/12)),0)</f>
        <v>0</v>
      </c>
      <c r="CW46" s="20" t="n">
        <f aca="false">IF(CJ46&gt;PR_BalDone,MIN(F_MortPayM,CJ46+CJ46*(F_MR/12)),0)</f>
        <v>0</v>
      </c>
      <c r="CX46" s="20" t="n">
        <f aca="false">IF(CK46&gt;PR_BalDone,MIN(F_MortPayM,CK46+CK46*(F_MR/12)),0)</f>
        <v>0</v>
      </c>
      <c r="CY46" s="20" t="n">
        <f aca="false">IF(CL46&gt;PR_BalDone,MIN(F_MortPayM,CL46+CL46*(F_MR/12)),0)</f>
        <v>0</v>
      </c>
      <c r="CZ46" s="20" t="n">
        <f aca="false">IF(CM46&gt;PR_BalDone,MIN(F_MortPayM,CM46+CM46*(F_MR/12)),0)</f>
        <v>0</v>
      </c>
      <c r="DA46" s="20" t="n">
        <f aca="false">IF(CN46&gt;PR_BalDone,MIN(F_MortPayM,CN46+CN46*(F_MR/12)),0)</f>
        <v>0</v>
      </c>
      <c r="DB46" s="20" t="n">
        <f aca="false">IF(CO46&gt;PR_BalDone,MIN(F_MortPayM,CO46+CO46*(F_MR/12)),0)</f>
        <v>0</v>
      </c>
      <c r="DC46" s="20" t="n">
        <f aca="false">IF(CP46&gt;PR_BalDone,MIN(F_MortPayM,CP46+CP46*(F_MR/12)),0)</f>
        <v>0</v>
      </c>
      <c r="DD46" s="20" t="n">
        <f aca="false">IF(CQ46&gt;PR_BalDone,MIN(F_MortPayM,CQ46+CQ46*(F_MR/12)),0)</f>
        <v>0</v>
      </c>
      <c r="DE46" s="20" t="n">
        <f aca="false">MAX(0,CR46)</f>
        <v>0</v>
      </c>
      <c r="DF46" s="20" t="n">
        <f aca="false">SUM(CS46:DD46)</f>
        <v>0</v>
      </c>
      <c r="DG46" s="20" t="n">
        <f aca="false">MAX(0,CF46)</f>
        <v>0</v>
      </c>
    </row>
    <row r="47" customFormat="false" ht="15" hidden="false" customHeight="true" outlineLevel="0" collapsed="false">
      <c r="B47" s="20" t="n">
        <v>39</v>
      </c>
      <c r="C47" s="20" t="n">
        <f aca="false">'Plan cashflow'!J47</f>
        <v>0</v>
      </c>
      <c r="D47" s="20" t="n">
        <f aca="false">IF(C47&gt;PR_BalDone,C47+C47*(F_MR/12)-MIN(F_MortPayM,C47+C47*(F_MR/12)),C47)</f>
        <v>0</v>
      </c>
      <c r="E47" s="20" t="n">
        <f aca="false">IF(D47&gt;PR_BalDone,D47+D47*(F_MR/12)-MIN(F_MortPayM,D47+D47*(F_MR/12)),D47)</f>
        <v>0</v>
      </c>
      <c r="F47" s="20" t="n">
        <f aca="false">IF(E47&gt;PR_BalDone,E47+E47*(F_MR/12)-MIN(F_MortPayM,E47+E47*(F_MR/12)),E47)</f>
        <v>0</v>
      </c>
      <c r="G47" s="20" t="n">
        <f aca="false">IF(F47&gt;PR_BalDone,F47+F47*(F_MR/12)-MIN(F_MortPayM,F47+F47*(F_MR/12)),F47)</f>
        <v>0</v>
      </c>
      <c r="H47" s="20" t="n">
        <f aca="false">IF(G47&gt;PR_BalDone,G47+G47*(F_MR/12)-MIN(F_MortPayM,G47+G47*(F_MR/12)),G47)</f>
        <v>0</v>
      </c>
      <c r="I47" s="20" t="n">
        <f aca="false">IF(H47&gt;PR_BalDone,H47+H47*(F_MR/12)-MIN(F_MortPayM,H47+H47*(F_MR/12)),H47)</f>
        <v>0</v>
      </c>
      <c r="J47" s="20" t="n">
        <f aca="false">IF(I47&gt;PR_BalDone,I47+I47*(F_MR/12)-MIN(F_MortPayM,I47+I47*(F_MR/12)),I47)</f>
        <v>0</v>
      </c>
      <c r="K47" s="20" t="n">
        <f aca="false">IF(J47&gt;PR_BalDone,J47+J47*(F_MR/12)-MIN(F_MortPayM,J47+J47*(F_MR/12)),J47)</f>
        <v>0</v>
      </c>
      <c r="L47" s="20" t="n">
        <f aca="false">IF(K47&gt;PR_BalDone,K47+K47*(F_MR/12)-MIN(F_MortPayM,K47+K47*(F_MR/12)),K47)</f>
        <v>0</v>
      </c>
      <c r="M47" s="20" t="n">
        <f aca="false">IF(L47&gt;PR_BalDone,L47+L47*(F_MR/12)-MIN(F_MortPayM,L47+L47*(F_MR/12)),L47)</f>
        <v>0</v>
      </c>
      <c r="N47" s="20" t="n">
        <f aca="false">IF(M47&gt;PR_BalDone,M47+M47*(F_MR/12)-MIN(F_MortPayM,M47+M47*(F_MR/12)),M47)</f>
        <v>0</v>
      </c>
      <c r="O47" s="20" t="n">
        <f aca="false">IF(N47&gt;PR_BalDone,N47+N47*(F_MR/12)-MIN(F_MortPayM,N47+N47*(F_MR/12)),N47)</f>
        <v>0</v>
      </c>
      <c r="P47" s="20" t="n">
        <f aca="false">IF(C47&gt;PR_BalDone,MIN(F_MortPayM,C47+C47*(F_MR/12)),0)</f>
        <v>0</v>
      </c>
      <c r="Q47" s="20" t="n">
        <f aca="false">IF(D47&gt;PR_BalDone,MIN(F_MortPayM,D47+D47*(F_MR/12)),0)</f>
        <v>0</v>
      </c>
      <c r="R47" s="20" t="n">
        <f aca="false">IF(E47&gt;PR_BalDone,MIN(F_MortPayM,E47+E47*(F_MR/12)),0)</f>
        <v>0</v>
      </c>
      <c r="S47" s="20" t="n">
        <f aca="false">IF(F47&gt;PR_BalDone,MIN(F_MortPayM,F47+F47*(F_MR/12)),0)</f>
        <v>0</v>
      </c>
      <c r="T47" s="20" t="n">
        <f aca="false">IF(G47&gt;PR_BalDone,MIN(F_MortPayM,G47+G47*(F_MR/12)),0)</f>
        <v>0</v>
      </c>
      <c r="U47" s="20" t="n">
        <f aca="false">IF(H47&gt;PR_BalDone,MIN(F_MortPayM,H47+H47*(F_MR/12)),0)</f>
        <v>0</v>
      </c>
      <c r="V47" s="20" t="n">
        <f aca="false">IF(I47&gt;PR_BalDone,MIN(F_MortPayM,I47+I47*(F_MR/12)),0)</f>
        <v>0</v>
      </c>
      <c r="W47" s="20" t="n">
        <f aca="false">IF(J47&gt;PR_BalDone,MIN(F_MortPayM,J47+J47*(F_MR/12)),0)</f>
        <v>0</v>
      </c>
      <c r="X47" s="20" t="n">
        <f aca="false">IF(K47&gt;PR_BalDone,MIN(F_MortPayM,K47+K47*(F_MR/12)),0)</f>
        <v>0</v>
      </c>
      <c r="Y47" s="20" t="n">
        <f aca="false">IF(L47&gt;PR_BalDone,MIN(F_MortPayM,L47+L47*(F_MR/12)),0)</f>
        <v>0</v>
      </c>
      <c r="Z47" s="20" t="n">
        <f aca="false">IF(M47&gt;PR_BalDone,MIN(F_MortPayM,M47+M47*(F_MR/12)),0)</f>
        <v>0</v>
      </c>
      <c r="AA47" s="20" t="n">
        <f aca="false">IF(N47&gt;PR_BalDone,MIN(F_MortPayM,N47+N47*(F_MR/12)),0)</f>
        <v>0</v>
      </c>
      <c r="AB47" s="20" t="n">
        <f aca="false">MAX(0,O47)</f>
        <v>0</v>
      </c>
      <c r="AC47" s="20" t="n">
        <f aca="false">SUM(P47:AA47)</f>
        <v>0</v>
      </c>
      <c r="AD47" s="20" t="n">
        <f aca="false">'Plan cashflow'!M47</f>
        <v>0</v>
      </c>
      <c r="AE47" s="20" t="n">
        <f aca="false">IF(AD47&gt;PR_BalDone,AD47+AD47*(D_iC)-MIN(F_CardPayM,AD47+AD47*(D_iC)),AD47)</f>
        <v>0</v>
      </c>
      <c r="AF47" s="20" t="n">
        <f aca="false">IF(AE47&gt;PR_BalDone,AE47+AE47*(D_iC)-MIN(F_CardPayM,AE47+AE47*(D_iC)),AE47)</f>
        <v>0</v>
      </c>
      <c r="AG47" s="20" t="n">
        <f aca="false">IF(AF47&gt;PR_BalDone,AF47+AF47*(D_iC)-MIN(F_CardPayM,AF47+AF47*(D_iC)),AF47)</f>
        <v>0</v>
      </c>
      <c r="AH47" s="20" t="n">
        <f aca="false">IF(AG47&gt;PR_BalDone,AG47+AG47*(D_iC)-MIN(F_CardPayM,AG47+AG47*(D_iC)),AG47)</f>
        <v>0</v>
      </c>
      <c r="AI47" s="20" t="n">
        <f aca="false">IF(AH47&gt;PR_BalDone,AH47+AH47*(D_iC)-MIN(F_CardPayM,AH47+AH47*(D_iC)),AH47)</f>
        <v>0</v>
      </c>
      <c r="AJ47" s="20" t="n">
        <f aca="false">IF(AI47&gt;PR_BalDone,AI47+AI47*(D_iC)-MIN(F_CardPayM,AI47+AI47*(D_iC)),AI47)</f>
        <v>0</v>
      </c>
      <c r="AK47" s="20" t="n">
        <f aca="false">IF(AJ47&gt;PR_BalDone,AJ47+AJ47*(D_iC)-MIN(F_CardPayM,AJ47+AJ47*(D_iC)),AJ47)</f>
        <v>0</v>
      </c>
      <c r="AL47" s="20" t="n">
        <f aca="false">IF(AK47&gt;PR_BalDone,AK47+AK47*(D_iC)-MIN(F_CardPayM,AK47+AK47*(D_iC)),AK47)</f>
        <v>0</v>
      </c>
      <c r="AM47" s="20" t="n">
        <f aca="false">IF(AL47&gt;PR_BalDone,AL47+AL47*(D_iC)-MIN(F_CardPayM,AL47+AL47*(D_iC)),AL47)</f>
        <v>0</v>
      </c>
      <c r="AN47" s="20" t="n">
        <f aca="false">IF(AM47&gt;PR_BalDone,AM47+AM47*(D_iC)-MIN(F_CardPayM,AM47+AM47*(D_iC)),AM47)</f>
        <v>0</v>
      </c>
      <c r="AO47" s="20" t="n">
        <f aca="false">IF(AN47&gt;PR_BalDone,AN47+AN47*(D_iC)-MIN(F_CardPayM,AN47+AN47*(D_iC)),AN47)</f>
        <v>0</v>
      </c>
      <c r="AP47" s="20" t="n">
        <f aca="false">IF(AO47&gt;PR_BalDone,AO47+AO47*(D_iC)-MIN(F_CardPayM,AO47+AO47*(D_iC)),AO47)</f>
        <v>0</v>
      </c>
      <c r="AQ47" s="20" t="n">
        <f aca="false">IF(AD47&gt;PR_BalDone,MIN(F_CardPayM,AD47+AD47*(D_iC)),0)</f>
        <v>0</v>
      </c>
      <c r="AR47" s="20" t="n">
        <f aca="false">IF(AE47&gt;PR_BalDone,MIN(F_CardPayM,AE47+AE47*(D_iC)),0)</f>
        <v>0</v>
      </c>
      <c r="AS47" s="20" t="n">
        <f aca="false">IF(AF47&gt;PR_BalDone,MIN(F_CardPayM,AF47+AF47*(D_iC)),0)</f>
        <v>0</v>
      </c>
      <c r="AT47" s="20" t="n">
        <f aca="false">IF(AG47&gt;PR_BalDone,MIN(F_CardPayM,AG47+AG47*(D_iC)),0)</f>
        <v>0</v>
      </c>
      <c r="AU47" s="20" t="n">
        <f aca="false">IF(AH47&gt;PR_BalDone,MIN(F_CardPayM,AH47+AH47*(D_iC)),0)</f>
        <v>0</v>
      </c>
      <c r="AV47" s="20" t="n">
        <f aca="false">IF(AI47&gt;PR_BalDone,MIN(F_CardPayM,AI47+AI47*(D_iC)),0)</f>
        <v>0</v>
      </c>
      <c r="AW47" s="20" t="n">
        <f aca="false">IF(AJ47&gt;PR_BalDone,MIN(F_CardPayM,AJ47+AJ47*(D_iC)),0)</f>
        <v>0</v>
      </c>
      <c r="AX47" s="20" t="n">
        <f aca="false">IF(AK47&gt;PR_BalDone,MIN(F_CardPayM,AK47+AK47*(D_iC)),0)</f>
        <v>0</v>
      </c>
      <c r="AY47" s="20" t="n">
        <f aca="false">IF(AL47&gt;PR_BalDone,MIN(F_CardPayM,AL47+AL47*(D_iC)),0)</f>
        <v>0</v>
      </c>
      <c r="AZ47" s="20" t="n">
        <f aca="false">IF(AM47&gt;PR_BalDone,MIN(F_CardPayM,AM47+AM47*(D_iC)),0)</f>
        <v>0</v>
      </c>
      <c r="BA47" s="20" t="n">
        <f aca="false">IF(AN47&gt;PR_BalDone,MIN(F_CardPayM,AN47+AN47*(D_iC)),0)</f>
        <v>0</v>
      </c>
      <c r="BB47" s="20" t="n">
        <f aca="false">IF(AO47&gt;PR_BalDone,MIN(F_CardPayM,AO47+AO47*(D_iC)),0)</f>
        <v>0</v>
      </c>
      <c r="BC47" s="20" t="n">
        <f aca="false">MAX(0,AP47)</f>
        <v>0</v>
      </c>
      <c r="BD47" s="20" t="n">
        <f aca="false">SUM(AQ47:BB47)</f>
        <v>0</v>
      </c>
      <c r="BE47" s="20" t="n">
        <f aca="false">'Plan cashflow'!P47</f>
        <v>0</v>
      </c>
      <c r="BF47" s="20" t="n">
        <f aca="false">IF(BE47&gt;PR_BalDone,BE47+BE47*(D_iL)-MIN(F_LoanPayM,BE47+BE47*(D_iL)),BE47)</f>
        <v>0</v>
      </c>
      <c r="BG47" s="20" t="n">
        <f aca="false">IF(BF47&gt;PR_BalDone,BF47+BF47*(D_iL)-MIN(F_LoanPayM,BF47+BF47*(D_iL)),BF47)</f>
        <v>0</v>
      </c>
      <c r="BH47" s="20" t="n">
        <f aca="false">IF(BG47&gt;PR_BalDone,BG47+BG47*(D_iL)-MIN(F_LoanPayM,BG47+BG47*(D_iL)),BG47)</f>
        <v>0</v>
      </c>
      <c r="BI47" s="20" t="n">
        <f aca="false">IF(BH47&gt;PR_BalDone,BH47+BH47*(D_iL)-MIN(F_LoanPayM,BH47+BH47*(D_iL)),BH47)</f>
        <v>0</v>
      </c>
      <c r="BJ47" s="20" t="n">
        <f aca="false">IF(BI47&gt;PR_BalDone,BI47+BI47*(D_iL)-MIN(F_LoanPayM,BI47+BI47*(D_iL)),BI47)</f>
        <v>0</v>
      </c>
      <c r="BK47" s="20" t="n">
        <f aca="false">IF(BJ47&gt;PR_BalDone,BJ47+BJ47*(D_iL)-MIN(F_LoanPayM,BJ47+BJ47*(D_iL)),BJ47)</f>
        <v>0</v>
      </c>
      <c r="BL47" s="20" t="n">
        <f aca="false">IF(BK47&gt;PR_BalDone,BK47+BK47*(D_iL)-MIN(F_LoanPayM,BK47+BK47*(D_iL)),BK47)</f>
        <v>0</v>
      </c>
      <c r="BM47" s="20" t="n">
        <f aca="false">IF(BL47&gt;PR_BalDone,BL47+BL47*(D_iL)-MIN(F_LoanPayM,BL47+BL47*(D_iL)),BL47)</f>
        <v>0</v>
      </c>
      <c r="BN47" s="20" t="n">
        <f aca="false">IF(BM47&gt;PR_BalDone,BM47+BM47*(D_iL)-MIN(F_LoanPayM,BM47+BM47*(D_iL)),BM47)</f>
        <v>0</v>
      </c>
      <c r="BO47" s="20" t="n">
        <f aca="false">IF(BN47&gt;PR_BalDone,BN47+BN47*(D_iL)-MIN(F_LoanPayM,BN47+BN47*(D_iL)),BN47)</f>
        <v>0</v>
      </c>
      <c r="BP47" s="20" t="n">
        <f aca="false">IF(BO47&gt;PR_BalDone,BO47+BO47*(D_iL)-MIN(F_LoanPayM,BO47+BO47*(D_iL)),BO47)</f>
        <v>0</v>
      </c>
      <c r="BQ47" s="20" t="n">
        <f aca="false">IF(BP47&gt;PR_BalDone,BP47+BP47*(D_iL)-MIN(F_LoanPayM,BP47+BP47*(D_iL)),BP47)</f>
        <v>0</v>
      </c>
      <c r="BR47" s="20" t="n">
        <f aca="false">IF(BE47&gt;PR_BalDone,MIN(F_LoanPayM,BE47+BE47*(D_iL)),0)</f>
        <v>0</v>
      </c>
      <c r="BS47" s="20" t="n">
        <f aca="false">IF(BF47&gt;PR_BalDone,MIN(F_LoanPayM,BF47+BF47*(D_iL)),0)</f>
        <v>0</v>
      </c>
      <c r="BT47" s="20" t="n">
        <f aca="false">IF(BG47&gt;PR_BalDone,MIN(F_LoanPayM,BG47+BG47*(D_iL)),0)</f>
        <v>0</v>
      </c>
      <c r="BU47" s="20" t="n">
        <f aca="false">IF(BH47&gt;PR_BalDone,MIN(F_LoanPayM,BH47+BH47*(D_iL)),0)</f>
        <v>0</v>
      </c>
      <c r="BV47" s="20" t="n">
        <f aca="false">IF(BI47&gt;PR_BalDone,MIN(F_LoanPayM,BI47+BI47*(D_iL)),0)</f>
        <v>0</v>
      </c>
      <c r="BW47" s="20" t="n">
        <f aca="false">IF(BJ47&gt;PR_BalDone,MIN(F_LoanPayM,BJ47+BJ47*(D_iL)),0)</f>
        <v>0</v>
      </c>
      <c r="BX47" s="20" t="n">
        <f aca="false">IF(BK47&gt;PR_BalDone,MIN(F_LoanPayM,BK47+BK47*(D_iL)),0)</f>
        <v>0</v>
      </c>
      <c r="BY47" s="20" t="n">
        <f aca="false">IF(BL47&gt;PR_BalDone,MIN(F_LoanPayM,BL47+BL47*(D_iL)),0)</f>
        <v>0</v>
      </c>
      <c r="BZ47" s="20" t="n">
        <f aca="false">IF(BM47&gt;PR_BalDone,MIN(F_LoanPayM,BM47+BM47*(D_iL)),0)</f>
        <v>0</v>
      </c>
      <c r="CA47" s="20" t="n">
        <f aca="false">IF(BN47&gt;PR_BalDone,MIN(F_LoanPayM,BN47+BN47*(D_iL)),0)</f>
        <v>0</v>
      </c>
      <c r="CB47" s="20" t="n">
        <f aca="false">IF(BO47&gt;PR_BalDone,MIN(F_LoanPayM,BO47+BO47*(D_iL)),0)</f>
        <v>0</v>
      </c>
      <c r="CC47" s="20" t="n">
        <f aca="false">IF(BP47&gt;PR_BalDone,MIN(F_LoanPayM,BP47+BP47*(D_iL)),0)</f>
        <v>0</v>
      </c>
      <c r="CD47" s="20" t="n">
        <f aca="false">MAX(0,BQ47)</f>
        <v>0</v>
      </c>
      <c r="CE47" s="20" t="n">
        <f aca="false">SUM(BR47:CC47)</f>
        <v>0</v>
      </c>
      <c r="CF47" s="20" t="n">
        <f aca="false">IF(CF46&gt;1,DE46,CF46)</f>
        <v>0</v>
      </c>
      <c r="CG47" s="20" t="n">
        <f aca="false">IF(CF47&gt;PR_BalDone,CF47+CF47*(F_MR/12)-MIN(F_MortPayM,CF47+CF47*(F_MR/12)),CF47)</f>
        <v>0</v>
      </c>
      <c r="CH47" s="20" t="n">
        <f aca="false">IF(CG47&gt;PR_BalDone,CG47+CG47*(F_MR/12)-MIN(F_MortPayM,CG47+CG47*(F_MR/12)),CG47)</f>
        <v>0</v>
      </c>
      <c r="CI47" s="20" t="n">
        <f aca="false">IF(CH47&gt;PR_BalDone,CH47+CH47*(F_MR/12)-MIN(F_MortPayM,CH47+CH47*(F_MR/12)),CH47)</f>
        <v>0</v>
      </c>
      <c r="CJ47" s="20" t="n">
        <f aca="false">IF(CI47&gt;PR_BalDone,CI47+CI47*(F_MR/12)-MIN(F_MortPayM,CI47+CI47*(F_MR/12)),CI47)</f>
        <v>0</v>
      </c>
      <c r="CK47" s="20" t="n">
        <f aca="false">IF(CJ47&gt;PR_BalDone,CJ47+CJ47*(F_MR/12)-MIN(F_MortPayM,CJ47+CJ47*(F_MR/12)),CJ47)</f>
        <v>0</v>
      </c>
      <c r="CL47" s="20" t="n">
        <f aca="false">IF(CK47&gt;PR_BalDone,CK47+CK47*(F_MR/12)-MIN(F_MortPayM,CK47+CK47*(F_MR/12)),CK47)</f>
        <v>0</v>
      </c>
      <c r="CM47" s="20" t="n">
        <f aca="false">IF(CL47&gt;PR_BalDone,CL47+CL47*(F_MR/12)-MIN(F_MortPayM,CL47+CL47*(F_MR/12)),CL47)</f>
        <v>0</v>
      </c>
      <c r="CN47" s="20" t="n">
        <f aca="false">IF(CM47&gt;PR_BalDone,CM47+CM47*(F_MR/12)-MIN(F_MortPayM,CM47+CM47*(F_MR/12)),CM47)</f>
        <v>0</v>
      </c>
      <c r="CO47" s="20" t="n">
        <f aca="false">IF(CN47&gt;PR_BalDone,CN47+CN47*(F_MR/12)-MIN(F_MortPayM,CN47+CN47*(F_MR/12)),CN47)</f>
        <v>0</v>
      </c>
      <c r="CP47" s="20" t="n">
        <f aca="false">IF(CO47&gt;PR_BalDone,CO47+CO47*(F_MR/12)-MIN(F_MortPayM,CO47+CO47*(F_MR/12)),CO47)</f>
        <v>0</v>
      </c>
      <c r="CQ47" s="20" t="n">
        <f aca="false">IF(CP47&gt;PR_BalDone,CP47+CP47*(F_MR/12)-MIN(F_MortPayM,CP47+CP47*(F_MR/12)),CP47)</f>
        <v>0</v>
      </c>
      <c r="CR47" s="20" t="n">
        <f aca="false">IF(CQ47&gt;PR_BalDone,CQ47+CQ47*(F_MR/12)-MIN(F_MortPayM,CQ47+CQ47*(F_MR/12)),CQ47)</f>
        <v>0</v>
      </c>
      <c r="CS47" s="20" t="n">
        <f aca="false">IF(CF47&gt;PR_BalDone,MIN(F_MortPayM,CF47+CF47*(F_MR/12)),0)</f>
        <v>0</v>
      </c>
      <c r="CT47" s="20" t="n">
        <f aca="false">IF(CG47&gt;PR_BalDone,MIN(F_MortPayM,CG47+CG47*(F_MR/12)),0)</f>
        <v>0</v>
      </c>
      <c r="CU47" s="20" t="n">
        <f aca="false">IF(CH47&gt;PR_BalDone,MIN(F_MortPayM,CH47+CH47*(F_MR/12)),0)</f>
        <v>0</v>
      </c>
      <c r="CV47" s="20" t="n">
        <f aca="false">IF(CI47&gt;PR_BalDone,MIN(F_MortPayM,CI47+CI47*(F_MR/12)),0)</f>
        <v>0</v>
      </c>
      <c r="CW47" s="20" t="n">
        <f aca="false">IF(CJ47&gt;PR_BalDone,MIN(F_MortPayM,CJ47+CJ47*(F_MR/12)),0)</f>
        <v>0</v>
      </c>
      <c r="CX47" s="20" t="n">
        <f aca="false">IF(CK47&gt;PR_BalDone,MIN(F_MortPayM,CK47+CK47*(F_MR/12)),0)</f>
        <v>0</v>
      </c>
      <c r="CY47" s="20" t="n">
        <f aca="false">IF(CL47&gt;PR_BalDone,MIN(F_MortPayM,CL47+CL47*(F_MR/12)),0)</f>
        <v>0</v>
      </c>
      <c r="CZ47" s="20" t="n">
        <f aca="false">IF(CM47&gt;PR_BalDone,MIN(F_MortPayM,CM47+CM47*(F_MR/12)),0)</f>
        <v>0</v>
      </c>
      <c r="DA47" s="20" t="n">
        <f aca="false">IF(CN47&gt;PR_BalDone,MIN(F_MortPayM,CN47+CN47*(F_MR/12)),0)</f>
        <v>0</v>
      </c>
      <c r="DB47" s="20" t="n">
        <f aca="false">IF(CO47&gt;PR_BalDone,MIN(F_MortPayM,CO47+CO47*(F_MR/12)),0)</f>
        <v>0</v>
      </c>
      <c r="DC47" s="20" t="n">
        <f aca="false">IF(CP47&gt;PR_BalDone,MIN(F_MortPayM,CP47+CP47*(F_MR/12)),0)</f>
        <v>0</v>
      </c>
      <c r="DD47" s="20" t="n">
        <f aca="false">IF(CQ47&gt;PR_BalDone,MIN(F_MortPayM,CQ47+CQ47*(F_MR/12)),0)</f>
        <v>0</v>
      </c>
      <c r="DE47" s="20" t="n">
        <f aca="false">MAX(0,CR47)</f>
        <v>0</v>
      </c>
      <c r="DF47" s="20" t="n">
        <f aca="false">SUM(CS47:DD47)</f>
        <v>0</v>
      </c>
      <c r="DG47" s="20" t="n">
        <f aca="false">MAX(0,CF47)</f>
        <v>0</v>
      </c>
    </row>
    <row r="48" customFormat="false" ht="15" hidden="false" customHeight="true" outlineLevel="0" collapsed="false">
      <c r="B48" s="20" t="n">
        <v>40</v>
      </c>
      <c r="C48" s="20" t="n">
        <f aca="false">'Plan cashflow'!J48</f>
        <v>0</v>
      </c>
      <c r="D48" s="20" t="n">
        <f aca="false">IF(C48&gt;PR_BalDone,C48+C48*(F_MR/12)-MIN(F_MortPayM,C48+C48*(F_MR/12)),C48)</f>
        <v>0</v>
      </c>
      <c r="E48" s="20" t="n">
        <f aca="false">IF(D48&gt;PR_BalDone,D48+D48*(F_MR/12)-MIN(F_MortPayM,D48+D48*(F_MR/12)),D48)</f>
        <v>0</v>
      </c>
      <c r="F48" s="20" t="n">
        <f aca="false">IF(E48&gt;PR_BalDone,E48+E48*(F_MR/12)-MIN(F_MortPayM,E48+E48*(F_MR/12)),E48)</f>
        <v>0</v>
      </c>
      <c r="G48" s="20" t="n">
        <f aca="false">IF(F48&gt;PR_BalDone,F48+F48*(F_MR/12)-MIN(F_MortPayM,F48+F48*(F_MR/12)),F48)</f>
        <v>0</v>
      </c>
      <c r="H48" s="20" t="n">
        <f aca="false">IF(G48&gt;PR_BalDone,G48+G48*(F_MR/12)-MIN(F_MortPayM,G48+G48*(F_MR/12)),G48)</f>
        <v>0</v>
      </c>
      <c r="I48" s="20" t="n">
        <f aca="false">IF(H48&gt;PR_BalDone,H48+H48*(F_MR/12)-MIN(F_MortPayM,H48+H48*(F_MR/12)),H48)</f>
        <v>0</v>
      </c>
      <c r="J48" s="20" t="n">
        <f aca="false">IF(I48&gt;PR_BalDone,I48+I48*(F_MR/12)-MIN(F_MortPayM,I48+I48*(F_MR/12)),I48)</f>
        <v>0</v>
      </c>
      <c r="K48" s="20" t="n">
        <f aca="false">IF(J48&gt;PR_BalDone,J48+J48*(F_MR/12)-MIN(F_MortPayM,J48+J48*(F_MR/12)),J48)</f>
        <v>0</v>
      </c>
      <c r="L48" s="20" t="n">
        <f aca="false">IF(K48&gt;PR_BalDone,K48+K48*(F_MR/12)-MIN(F_MortPayM,K48+K48*(F_MR/12)),K48)</f>
        <v>0</v>
      </c>
      <c r="M48" s="20" t="n">
        <f aca="false">IF(L48&gt;PR_BalDone,L48+L48*(F_MR/12)-MIN(F_MortPayM,L48+L48*(F_MR/12)),L48)</f>
        <v>0</v>
      </c>
      <c r="N48" s="20" t="n">
        <f aca="false">IF(M48&gt;PR_BalDone,M48+M48*(F_MR/12)-MIN(F_MortPayM,M48+M48*(F_MR/12)),M48)</f>
        <v>0</v>
      </c>
      <c r="O48" s="20" t="n">
        <f aca="false">IF(N48&gt;PR_BalDone,N48+N48*(F_MR/12)-MIN(F_MortPayM,N48+N48*(F_MR/12)),N48)</f>
        <v>0</v>
      </c>
      <c r="P48" s="20" t="n">
        <f aca="false">IF(C48&gt;PR_BalDone,MIN(F_MortPayM,C48+C48*(F_MR/12)),0)</f>
        <v>0</v>
      </c>
      <c r="Q48" s="20" t="n">
        <f aca="false">IF(D48&gt;PR_BalDone,MIN(F_MortPayM,D48+D48*(F_MR/12)),0)</f>
        <v>0</v>
      </c>
      <c r="R48" s="20" t="n">
        <f aca="false">IF(E48&gt;PR_BalDone,MIN(F_MortPayM,E48+E48*(F_MR/12)),0)</f>
        <v>0</v>
      </c>
      <c r="S48" s="20" t="n">
        <f aca="false">IF(F48&gt;PR_BalDone,MIN(F_MortPayM,F48+F48*(F_MR/12)),0)</f>
        <v>0</v>
      </c>
      <c r="T48" s="20" t="n">
        <f aca="false">IF(G48&gt;PR_BalDone,MIN(F_MortPayM,G48+G48*(F_MR/12)),0)</f>
        <v>0</v>
      </c>
      <c r="U48" s="20" t="n">
        <f aca="false">IF(H48&gt;PR_BalDone,MIN(F_MortPayM,H48+H48*(F_MR/12)),0)</f>
        <v>0</v>
      </c>
      <c r="V48" s="20" t="n">
        <f aca="false">IF(I48&gt;PR_BalDone,MIN(F_MortPayM,I48+I48*(F_MR/12)),0)</f>
        <v>0</v>
      </c>
      <c r="W48" s="20" t="n">
        <f aca="false">IF(J48&gt;PR_BalDone,MIN(F_MortPayM,J48+J48*(F_MR/12)),0)</f>
        <v>0</v>
      </c>
      <c r="X48" s="20" t="n">
        <f aca="false">IF(K48&gt;PR_BalDone,MIN(F_MortPayM,K48+K48*(F_MR/12)),0)</f>
        <v>0</v>
      </c>
      <c r="Y48" s="20" t="n">
        <f aca="false">IF(L48&gt;PR_BalDone,MIN(F_MortPayM,L48+L48*(F_MR/12)),0)</f>
        <v>0</v>
      </c>
      <c r="Z48" s="20" t="n">
        <f aca="false">IF(M48&gt;PR_BalDone,MIN(F_MortPayM,M48+M48*(F_MR/12)),0)</f>
        <v>0</v>
      </c>
      <c r="AA48" s="20" t="n">
        <f aca="false">IF(N48&gt;PR_BalDone,MIN(F_MortPayM,N48+N48*(F_MR/12)),0)</f>
        <v>0</v>
      </c>
      <c r="AB48" s="20" t="n">
        <f aca="false">MAX(0,O48)</f>
        <v>0</v>
      </c>
      <c r="AC48" s="20" t="n">
        <f aca="false">SUM(P48:AA48)</f>
        <v>0</v>
      </c>
      <c r="AD48" s="20" t="n">
        <f aca="false">'Plan cashflow'!M48</f>
        <v>0</v>
      </c>
      <c r="AE48" s="20" t="n">
        <f aca="false">IF(AD48&gt;PR_BalDone,AD48+AD48*(D_iC)-MIN(F_CardPayM,AD48+AD48*(D_iC)),AD48)</f>
        <v>0</v>
      </c>
      <c r="AF48" s="20" t="n">
        <f aca="false">IF(AE48&gt;PR_BalDone,AE48+AE48*(D_iC)-MIN(F_CardPayM,AE48+AE48*(D_iC)),AE48)</f>
        <v>0</v>
      </c>
      <c r="AG48" s="20" t="n">
        <f aca="false">IF(AF48&gt;PR_BalDone,AF48+AF48*(D_iC)-MIN(F_CardPayM,AF48+AF48*(D_iC)),AF48)</f>
        <v>0</v>
      </c>
      <c r="AH48" s="20" t="n">
        <f aca="false">IF(AG48&gt;PR_BalDone,AG48+AG48*(D_iC)-MIN(F_CardPayM,AG48+AG48*(D_iC)),AG48)</f>
        <v>0</v>
      </c>
      <c r="AI48" s="20" t="n">
        <f aca="false">IF(AH48&gt;PR_BalDone,AH48+AH48*(D_iC)-MIN(F_CardPayM,AH48+AH48*(D_iC)),AH48)</f>
        <v>0</v>
      </c>
      <c r="AJ48" s="20" t="n">
        <f aca="false">IF(AI48&gt;PR_BalDone,AI48+AI48*(D_iC)-MIN(F_CardPayM,AI48+AI48*(D_iC)),AI48)</f>
        <v>0</v>
      </c>
      <c r="AK48" s="20" t="n">
        <f aca="false">IF(AJ48&gt;PR_BalDone,AJ48+AJ48*(D_iC)-MIN(F_CardPayM,AJ48+AJ48*(D_iC)),AJ48)</f>
        <v>0</v>
      </c>
      <c r="AL48" s="20" t="n">
        <f aca="false">IF(AK48&gt;PR_BalDone,AK48+AK48*(D_iC)-MIN(F_CardPayM,AK48+AK48*(D_iC)),AK48)</f>
        <v>0</v>
      </c>
      <c r="AM48" s="20" t="n">
        <f aca="false">IF(AL48&gt;PR_BalDone,AL48+AL48*(D_iC)-MIN(F_CardPayM,AL48+AL48*(D_iC)),AL48)</f>
        <v>0</v>
      </c>
      <c r="AN48" s="20" t="n">
        <f aca="false">IF(AM48&gt;PR_BalDone,AM48+AM48*(D_iC)-MIN(F_CardPayM,AM48+AM48*(D_iC)),AM48)</f>
        <v>0</v>
      </c>
      <c r="AO48" s="20" t="n">
        <f aca="false">IF(AN48&gt;PR_BalDone,AN48+AN48*(D_iC)-MIN(F_CardPayM,AN48+AN48*(D_iC)),AN48)</f>
        <v>0</v>
      </c>
      <c r="AP48" s="20" t="n">
        <f aca="false">IF(AO48&gt;PR_BalDone,AO48+AO48*(D_iC)-MIN(F_CardPayM,AO48+AO48*(D_iC)),AO48)</f>
        <v>0</v>
      </c>
      <c r="AQ48" s="20" t="n">
        <f aca="false">IF(AD48&gt;PR_BalDone,MIN(F_CardPayM,AD48+AD48*(D_iC)),0)</f>
        <v>0</v>
      </c>
      <c r="AR48" s="20" t="n">
        <f aca="false">IF(AE48&gt;PR_BalDone,MIN(F_CardPayM,AE48+AE48*(D_iC)),0)</f>
        <v>0</v>
      </c>
      <c r="AS48" s="20" t="n">
        <f aca="false">IF(AF48&gt;PR_BalDone,MIN(F_CardPayM,AF48+AF48*(D_iC)),0)</f>
        <v>0</v>
      </c>
      <c r="AT48" s="20" t="n">
        <f aca="false">IF(AG48&gt;PR_BalDone,MIN(F_CardPayM,AG48+AG48*(D_iC)),0)</f>
        <v>0</v>
      </c>
      <c r="AU48" s="20" t="n">
        <f aca="false">IF(AH48&gt;PR_BalDone,MIN(F_CardPayM,AH48+AH48*(D_iC)),0)</f>
        <v>0</v>
      </c>
      <c r="AV48" s="20" t="n">
        <f aca="false">IF(AI48&gt;PR_BalDone,MIN(F_CardPayM,AI48+AI48*(D_iC)),0)</f>
        <v>0</v>
      </c>
      <c r="AW48" s="20" t="n">
        <f aca="false">IF(AJ48&gt;PR_BalDone,MIN(F_CardPayM,AJ48+AJ48*(D_iC)),0)</f>
        <v>0</v>
      </c>
      <c r="AX48" s="20" t="n">
        <f aca="false">IF(AK48&gt;PR_BalDone,MIN(F_CardPayM,AK48+AK48*(D_iC)),0)</f>
        <v>0</v>
      </c>
      <c r="AY48" s="20" t="n">
        <f aca="false">IF(AL48&gt;PR_BalDone,MIN(F_CardPayM,AL48+AL48*(D_iC)),0)</f>
        <v>0</v>
      </c>
      <c r="AZ48" s="20" t="n">
        <f aca="false">IF(AM48&gt;PR_BalDone,MIN(F_CardPayM,AM48+AM48*(D_iC)),0)</f>
        <v>0</v>
      </c>
      <c r="BA48" s="20" t="n">
        <f aca="false">IF(AN48&gt;PR_BalDone,MIN(F_CardPayM,AN48+AN48*(D_iC)),0)</f>
        <v>0</v>
      </c>
      <c r="BB48" s="20" t="n">
        <f aca="false">IF(AO48&gt;PR_BalDone,MIN(F_CardPayM,AO48+AO48*(D_iC)),0)</f>
        <v>0</v>
      </c>
      <c r="BC48" s="20" t="n">
        <f aca="false">MAX(0,AP48)</f>
        <v>0</v>
      </c>
      <c r="BD48" s="20" t="n">
        <f aca="false">SUM(AQ48:BB48)</f>
        <v>0</v>
      </c>
      <c r="BE48" s="20" t="n">
        <f aca="false">'Plan cashflow'!P48</f>
        <v>0</v>
      </c>
      <c r="BF48" s="20" t="n">
        <f aca="false">IF(BE48&gt;PR_BalDone,BE48+BE48*(D_iL)-MIN(F_LoanPayM,BE48+BE48*(D_iL)),BE48)</f>
        <v>0</v>
      </c>
      <c r="BG48" s="20" t="n">
        <f aca="false">IF(BF48&gt;PR_BalDone,BF48+BF48*(D_iL)-MIN(F_LoanPayM,BF48+BF48*(D_iL)),BF48)</f>
        <v>0</v>
      </c>
      <c r="BH48" s="20" t="n">
        <f aca="false">IF(BG48&gt;PR_BalDone,BG48+BG48*(D_iL)-MIN(F_LoanPayM,BG48+BG48*(D_iL)),BG48)</f>
        <v>0</v>
      </c>
      <c r="BI48" s="20" t="n">
        <f aca="false">IF(BH48&gt;PR_BalDone,BH48+BH48*(D_iL)-MIN(F_LoanPayM,BH48+BH48*(D_iL)),BH48)</f>
        <v>0</v>
      </c>
      <c r="BJ48" s="20" t="n">
        <f aca="false">IF(BI48&gt;PR_BalDone,BI48+BI48*(D_iL)-MIN(F_LoanPayM,BI48+BI48*(D_iL)),BI48)</f>
        <v>0</v>
      </c>
      <c r="BK48" s="20" t="n">
        <f aca="false">IF(BJ48&gt;PR_BalDone,BJ48+BJ48*(D_iL)-MIN(F_LoanPayM,BJ48+BJ48*(D_iL)),BJ48)</f>
        <v>0</v>
      </c>
      <c r="BL48" s="20" t="n">
        <f aca="false">IF(BK48&gt;PR_BalDone,BK48+BK48*(D_iL)-MIN(F_LoanPayM,BK48+BK48*(D_iL)),BK48)</f>
        <v>0</v>
      </c>
      <c r="BM48" s="20" t="n">
        <f aca="false">IF(BL48&gt;PR_BalDone,BL48+BL48*(D_iL)-MIN(F_LoanPayM,BL48+BL48*(D_iL)),BL48)</f>
        <v>0</v>
      </c>
      <c r="BN48" s="20" t="n">
        <f aca="false">IF(BM48&gt;PR_BalDone,BM48+BM48*(D_iL)-MIN(F_LoanPayM,BM48+BM48*(D_iL)),BM48)</f>
        <v>0</v>
      </c>
      <c r="BO48" s="20" t="n">
        <f aca="false">IF(BN48&gt;PR_BalDone,BN48+BN48*(D_iL)-MIN(F_LoanPayM,BN48+BN48*(D_iL)),BN48)</f>
        <v>0</v>
      </c>
      <c r="BP48" s="20" t="n">
        <f aca="false">IF(BO48&gt;PR_BalDone,BO48+BO48*(D_iL)-MIN(F_LoanPayM,BO48+BO48*(D_iL)),BO48)</f>
        <v>0</v>
      </c>
      <c r="BQ48" s="20" t="n">
        <f aca="false">IF(BP48&gt;PR_BalDone,BP48+BP48*(D_iL)-MIN(F_LoanPayM,BP48+BP48*(D_iL)),BP48)</f>
        <v>0</v>
      </c>
      <c r="BR48" s="20" t="n">
        <f aca="false">IF(BE48&gt;PR_BalDone,MIN(F_LoanPayM,BE48+BE48*(D_iL)),0)</f>
        <v>0</v>
      </c>
      <c r="BS48" s="20" t="n">
        <f aca="false">IF(BF48&gt;PR_BalDone,MIN(F_LoanPayM,BF48+BF48*(D_iL)),0)</f>
        <v>0</v>
      </c>
      <c r="BT48" s="20" t="n">
        <f aca="false">IF(BG48&gt;PR_BalDone,MIN(F_LoanPayM,BG48+BG48*(D_iL)),0)</f>
        <v>0</v>
      </c>
      <c r="BU48" s="20" t="n">
        <f aca="false">IF(BH48&gt;PR_BalDone,MIN(F_LoanPayM,BH48+BH48*(D_iL)),0)</f>
        <v>0</v>
      </c>
      <c r="BV48" s="20" t="n">
        <f aca="false">IF(BI48&gt;PR_BalDone,MIN(F_LoanPayM,BI48+BI48*(D_iL)),0)</f>
        <v>0</v>
      </c>
      <c r="BW48" s="20" t="n">
        <f aca="false">IF(BJ48&gt;PR_BalDone,MIN(F_LoanPayM,BJ48+BJ48*(D_iL)),0)</f>
        <v>0</v>
      </c>
      <c r="BX48" s="20" t="n">
        <f aca="false">IF(BK48&gt;PR_BalDone,MIN(F_LoanPayM,BK48+BK48*(D_iL)),0)</f>
        <v>0</v>
      </c>
      <c r="BY48" s="20" t="n">
        <f aca="false">IF(BL48&gt;PR_BalDone,MIN(F_LoanPayM,BL48+BL48*(D_iL)),0)</f>
        <v>0</v>
      </c>
      <c r="BZ48" s="20" t="n">
        <f aca="false">IF(BM48&gt;PR_BalDone,MIN(F_LoanPayM,BM48+BM48*(D_iL)),0)</f>
        <v>0</v>
      </c>
      <c r="CA48" s="20" t="n">
        <f aca="false">IF(BN48&gt;PR_BalDone,MIN(F_LoanPayM,BN48+BN48*(D_iL)),0)</f>
        <v>0</v>
      </c>
      <c r="CB48" s="20" t="n">
        <f aca="false">IF(BO48&gt;PR_BalDone,MIN(F_LoanPayM,BO48+BO48*(D_iL)),0)</f>
        <v>0</v>
      </c>
      <c r="CC48" s="20" t="n">
        <f aca="false">IF(BP48&gt;PR_BalDone,MIN(F_LoanPayM,BP48+BP48*(D_iL)),0)</f>
        <v>0</v>
      </c>
      <c r="CD48" s="20" t="n">
        <f aca="false">MAX(0,BQ48)</f>
        <v>0</v>
      </c>
      <c r="CE48" s="20" t="n">
        <f aca="false">SUM(BR48:CC48)</f>
        <v>0</v>
      </c>
      <c r="CF48" s="20" t="n">
        <f aca="false">IF(CF47&gt;1,DE47,CF47)</f>
        <v>0</v>
      </c>
      <c r="CG48" s="20" t="n">
        <f aca="false">IF(CF48&gt;PR_BalDone,CF48+CF48*(F_MR/12)-MIN(F_MortPayM,CF48+CF48*(F_MR/12)),CF48)</f>
        <v>0</v>
      </c>
      <c r="CH48" s="20" t="n">
        <f aca="false">IF(CG48&gt;PR_BalDone,CG48+CG48*(F_MR/12)-MIN(F_MortPayM,CG48+CG48*(F_MR/12)),CG48)</f>
        <v>0</v>
      </c>
      <c r="CI48" s="20" t="n">
        <f aca="false">IF(CH48&gt;PR_BalDone,CH48+CH48*(F_MR/12)-MIN(F_MortPayM,CH48+CH48*(F_MR/12)),CH48)</f>
        <v>0</v>
      </c>
      <c r="CJ48" s="20" t="n">
        <f aca="false">IF(CI48&gt;PR_BalDone,CI48+CI48*(F_MR/12)-MIN(F_MortPayM,CI48+CI48*(F_MR/12)),CI48)</f>
        <v>0</v>
      </c>
      <c r="CK48" s="20" t="n">
        <f aca="false">IF(CJ48&gt;PR_BalDone,CJ48+CJ48*(F_MR/12)-MIN(F_MortPayM,CJ48+CJ48*(F_MR/12)),CJ48)</f>
        <v>0</v>
      </c>
      <c r="CL48" s="20" t="n">
        <f aca="false">IF(CK48&gt;PR_BalDone,CK48+CK48*(F_MR/12)-MIN(F_MortPayM,CK48+CK48*(F_MR/12)),CK48)</f>
        <v>0</v>
      </c>
      <c r="CM48" s="20" t="n">
        <f aca="false">IF(CL48&gt;PR_BalDone,CL48+CL48*(F_MR/12)-MIN(F_MortPayM,CL48+CL48*(F_MR/12)),CL48)</f>
        <v>0</v>
      </c>
      <c r="CN48" s="20" t="n">
        <f aca="false">IF(CM48&gt;PR_BalDone,CM48+CM48*(F_MR/12)-MIN(F_MortPayM,CM48+CM48*(F_MR/12)),CM48)</f>
        <v>0</v>
      </c>
      <c r="CO48" s="20" t="n">
        <f aca="false">IF(CN48&gt;PR_BalDone,CN48+CN48*(F_MR/12)-MIN(F_MortPayM,CN48+CN48*(F_MR/12)),CN48)</f>
        <v>0</v>
      </c>
      <c r="CP48" s="20" t="n">
        <f aca="false">IF(CO48&gt;PR_BalDone,CO48+CO48*(F_MR/12)-MIN(F_MortPayM,CO48+CO48*(F_MR/12)),CO48)</f>
        <v>0</v>
      </c>
      <c r="CQ48" s="20" t="n">
        <f aca="false">IF(CP48&gt;PR_BalDone,CP48+CP48*(F_MR/12)-MIN(F_MortPayM,CP48+CP48*(F_MR/12)),CP48)</f>
        <v>0</v>
      </c>
      <c r="CR48" s="20" t="n">
        <f aca="false">IF(CQ48&gt;PR_BalDone,CQ48+CQ48*(F_MR/12)-MIN(F_MortPayM,CQ48+CQ48*(F_MR/12)),CQ48)</f>
        <v>0</v>
      </c>
      <c r="CS48" s="20" t="n">
        <f aca="false">IF(CF48&gt;PR_BalDone,MIN(F_MortPayM,CF48+CF48*(F_MR/12)),0)</f>
        <v>0</v>
      </c>
      <c r="CT48" s="20" t="n">
        <f aca="false">IF(CG48&gt;PR_BalDone,MIN(F_MortPayM,CG48+CG48*(F_MR/12)),0)</f>
        <v>0</v>
      </c>
      <c r="CU48" s="20" t="n">
        <f aca="false">IF(CH48&gt;PR_BalDone,MIN(F_MortPayM,CH48+CH48*(F_MR/12)),0)</f>
        <v>0</v>
      </c>
      <c r="CV48" s="20" t="n">
        <f aca="false">IF(CI48&gt;PR_BalDone,MIN(F_MortPayM,CI48+CI48*(F_MR/12)),0)</f>
        <v>0</v>
      </c>
      <c r="CW48" s="20" t="n">
        <f aca="false">IF(CJ48&gt;PR_BalDone,MIN(F_MortPayM,CJ48+CJ48*(F_MR/12)),0)</f>
        <v>0</v>
      </c>
      <c r="CX48" s="20" t="n">
        <f aca="false">IF(CK48&gt;PR_BalDone,MIN(F_MortPayM,CK48+CK48*(F_MR/12)),0)</f>
        <v>0</v>
      </c>
      <c r="CY48" s="20" t="n">
        <f aca="false">IF(CL48&gt;PR_BalDone,MIN(F_MortPayM,CL48+CL48*(F_MR/12)),0)</f>
        <v>0</v>
      </c>
      <c r="CZ48" s="20" t="n">
        <f aca="false">IF(CM48&gt;PR_BalDone,MIN(F_MortPayM,CM48+CM48*(F_MR/12)),0)</f>
        <v>0</v>
      </c>
      <c r="DA48" s="20" t="n">
        <f aca="false">IF(CN48&gt;PR_BalDone,MIN(F_MortPayM,CN48+CN48*(F_MR/12)),0)</f>
        <v>0</v>
      </c>
      <c r="DB48" s="20" t="n">
        <f aca="false">IF(CO48&gt;PR_BalDone,MIN(F_MortPayM,CO48+CO48*(F_MR/12)),0)</f>
        <v>0</v>
      </c>
      <c r="DC48" s="20" t="n">
        <f aca="false">IF(CP48&gt;PR_BalDone,MIN(F_MortPayM,CP48+CP48*(F_MR/12)),0)</f>
        <v>0</v>
      </c>
      <c r="DD48" s="20" t="n">
        <f aca="false">IF(CQ48&gt;PR_BalDone,MIN(F_MortPayM,CQ48+CQ48*(F_MR/12)),0)</f>
        <v>0</v>
      </c>
      <c r="DE48" s="20" t="n">
        <f aca="false">MAX(0,CR48)</f>
        <v>0</v>
      </c>
      <c r="DF48" s="20" t="n">
        <f aca="false">SUM(CS48:DD48)</f>
        <v>0</v>
      </c>
      <c r="DG48" s="20" t="n">
        <f aca="false">MAX(0,CF48)</f>
        <v>0</v>
      </c>
    </row>
    <row r="49" customFormat="false" ht="15" hidden="false" customHeight="true" outlineLevel="0" collapsed="false">
      <c r="B49" s="20" t="n">
        <v>41</v>
      </c>
      <c r="C49" s="20" t="n">
        <f aca="false">'Plan cashflow'!J49</f>
        <v>0</v>
      </c>
      <c r="D49" s="20" t="n">
        <f aca="false">IF(C49&gt;PR_BalDone,C49+C49*(F_MR/12)-MIN(F_MortPayM,C49+C49*(F_MR/12)),C49)</f>
        <v>0</v>
      </c>
      <c r="E49" s="20" t="n">
        <f aca="false">IF(D49&gt;PR_BalDone,D49+D49*(F_MR/12)-MIN(F_MortPayM,D49+D49*(F_MR/12)),D49)</f>
        <v>0</v>
      </c>
      <c r="F49" s="20" t="n">
        <f aca="false">IF(E49&gt;PR_BalDone,E49+E49*(F_MR/12)-MIN(F_MortPayM,E49+E49*(F_MR/12)),E49)</f>
        <v>0</v>
      </c>
      <c r="G49" s="20" t="n">
        <f aca="false">IF(F49&gt;PR_BalDone,F49+F49*(F_MR/12)-MIN(F_MortPayM,F49+F49*(F_MR/12)),F49)</f>
        <v>0</v>
      </c>
      <c r="H49" s="20" t="n">
        <f aca="false">IF(G49&gt;PR_BalDone,G49+G49*(F_MR/12)-MIN(F_MortPayM,G49+G49*(F_MR/12)),G49)</f>
        <v>0</v>
      </c>
      <c r="I49" s="20" t="n">
        <f aca="false">IF(H49&gt;PR_BalDone,H49+H49*(F_MR/12)-MIN(F_MortPayM,H49+H49*(F_MR/12)),H49)</f>
        <v>0</v>
      </c>
      <c r="J49" s="20" t="n">
        <f aca="false">IF(I49&gt;PR_BalDone,I49+I49*(F_MR/12)-MIN(F_MortPayM,I49+I49*(F_MR/12)),I49)</f>
        <v>0</v>
      </c>
      <c r="K49" s="20" t="n">
        <f aca="false">IF(J49&gt;PR_BalDone,J49+J49*(F_MR/12)-MIN(F_MortPayM,J49+J49*(F_MR/12)),J49)</f>
        <v>0</v>
      </c>
      <c r="L49" s="20" t="n">
        <f aca="false">IF(K49&gt;PR_BalDone,K49+K49*(F_MR/12)-MIN(F_MortPayM,K49+K49*(F_MR/12)),K49)</f>
        <v>0</v>
      </c>
      <c r="M49" s="20" t="n">
        <f aca="false">IF(L49&gt;PR_BalDone,L49+L49*(F_MR/12)-MIN(F_MortPayM,L49+L49*(F_MR/12)),L49)</f>
        <v>0</v>
      </c>
      <c r="N49" s="20" t="n">
        <f aca="false">IF(M49&gt;PR_BalDone,M49+M49*(F_MR/12)-MIN(F_MortPayM,M49+M49*(F_MR/12)),M49)</f>
        <v>0</v>
      </c>
      <c r="O49" s="20" t="n">
        <f aca="false">IF(N49&gt;PR_BalDone,N49+N49*(F_MR/12)-MIN(F_MortPayM,N49+N49*(F_MR/12)),N49)</f>
        <v>0</v>
      </c>
      <c r="P49" s="20" t="n">
        <f aca="false">IF(C49&gt;PR_BalDone,MIN(F_MortPayM,C49+C49*(F_MR/12)),0)</f>
        <v>0</v>
      </c>
      <c r="Q49" s="20" t="n">
        <f aca="false">IF(D49&gt;PR_BalDone,MIN(F_MortPayM,D49+D49*(F_MR/12)),0)</f>
        <v>0</v>
      </c>
      <c r="R49" s="20" t="n">
        <f aca="false">IF(E49&gt;PR_BalDone,MIN(F_MortPayM,E49+E49*(F_MR/12)),0)</f>
        <v>0</v>
      </c>
      <c r="S49" s="20" t="n">
        <f aca="false">IF(F49&gt;PR_BalDone,MIN(F_MortPayM,F49+F49*(F_MR/12)),0)</f>
        <v>0</v>
      </c>
      <c r="T49" s="20" t="n">
        <f aca="false">IF(G49&gt;PR_BalDone,MIN(F_MortPayM,G49+G49*(F_MR/12)),0)</f>
        <v>0</v>
      </c>
      <c r="U49" s="20" t="n">
        <f aca="false">IF(H49&gt;PR_BalDone,MIN(F_MortPayM,H49+H49*(F_MR/12)),0)</f>
        <v>0</v>
      </c>
      <c r="V49" s="20" t="n">
        <f aca="false">IF(I49&gt;PR_BalDone,MIN(F_MortPayM,I49+I49*(F_MR/12)),0)</f>
        <v>0</v>
      </c>
      <c r="W49" s="20" t="n">
        <f aca="false">IF(J49&gt;PR_BalDone,MIN(F_MortPayM,J49+J49*(F_MR/12)),0)</f>
        <v>0</v>
      </c>
      <c r="X49" s="20" t="n">
        <f aca="false">IF(K49&gt;PR_BalDone,MIN(F_MortPayM,K49+K49*(F_MR/12)),0)</f>
        <v>0</v>
      </c>
      <c r="Y49" s="20" t="n">
        <f aca="false">IF(L49&gt;PR_BalDone,MIN(F_MortPayM,L49+L49*(F_MR/12)),0)</f>
        <v>0</v>
      </c>
      <c r="Z49" s="20" t="n">
        <f aca="false">IF(M49&gt;PR_BalDone,MIN(F_MortPayM,M49+M49*(F_MR/12)),0)</f>
        <v>0</v>
      </c>
      <c r="AA49" s="20" t="n">
        <f aca="false">IF(N49&gt;PR_BalDone,MIN(F_MortPayM,N49+N49*(F_MR/12)),0)</f>
        <v>0</v>
      </c>
      <c r="AB49" s="20" t="n">
        <f aca="false">MAX(0,O49)</f>
        <v>0</v>
      </c>
      <c r="AC49" s="20" t="n">
        <f aca="false">SUM(P49:AA49)</f>
        <v>0</v>
      </c>
      <c r="AD49" s="20" t="n">
        <f aca="false">'Plan cashflow'!M49</f>
        <v>0</v>
      </c>
      <c r="AE49" s="20" t="n">
        <f aca="false">IF(AD49&gt;PR_BalDone,AD49+AD49*(D_iC)-MIN(F_CardPayM,AD49+AD49*(D_iC)),AD49)</f>
        <v>0</v>
      </c>
      <c r="AF49" s="20" t="n">
        <f aca="false">IF(AE49&gt;PR_BalDone,AE49+AE49*(D_iC)-MIN(F_CardPayM,AE49+AE49*(D_iC)),AE49)</f>
        <v>0</v>
      </c>
      <c r="AG49" s="20" t="n">
        <f aca="false">IF(AF49&gt;PR_BalDone,AF49+AF49*(D_iC)-MIN(F_CardPayM,AF49+AF49*(D_iC)),AF49)</f>
        <v>0</v>
      </c>
      <c r="AH49" s="20" t="n">
        <f aca="false">IF(AG49&gt;PR_BalDone,AG49+AG49*(D_iC)-MIN(F_CardPayM,AG49+AG49*(D_iC)),AG49)</f>
        <v>0</v>
      </c>
      <c r="AI49" s="20" t="n">
        <f aca="false">IF(AH49&gt;PR_BalDone,AH49+AH49*(D_iC)-MIN(F_CardPayM,AH49+AH49*(D_iC)),AH49)</f>
        <v>0</v>
      </c>
      <c r="AJ49" s="20" t="n">
        <f aca="false">IF(AI49&gt;PR_BalDone,AI49+AI49*(D_iC)-MIN(F_CardPayM,AI49+AI49*(D_iC)),AI49)</f>
        <v>0</v>
      </c>
      <c r="AK49" s="20" t="n">
        <f aca="false">IF(AJ49&gt;PR_BalDone,AJ49+AJ49*(D_iC)-MIN(F_CardPayM,AJ49+AJ49*(D_iC)),AJ49)</f>
        <v>0</v>
      </c>
      <c r="AL49" s="20" t="n">
        <f aca="false">IF(AK49&gt;PR_BalDone,AK49+AK49*(D_iC)-MIN(F_CardPayM,AK49+AK49*(D_iC)),AK49)</f>
        <v>0</v>
      </c>
      <c r="AM49" s="20" t="n">
        <f aca="false">IF(AL49&gt;PR_BalDone,AL49+AL49*(D_iC)-MIN(F_CardPayM,AL49+AL49*(D_iC)),AL49)</f>
        <v>0</v>
      </c>
      <c r="AN49" s="20" t="n">
        <f aca="false">IF(AM49&gt;PR_BalDone,AM49+AM49*(D_iC)-MIN(F_CardPayM,AM49+AM49*(D_iC)),AM49)</f>
        <v>0</v>
      </c>
      <c r="AO49" s="20" t="n">
        <f aca="false">IF(AN49&gt;PR_BalDone,AN49+AN49*(D_iC)-MIN(F_CardPayM,AN49+AN49*(D_iC)),AN49)</f>
        <v>0</v>
      </c>
      <c r="AP49" s="20" t="n">
        <f aca="false">IF(AO49&gt;PR_BalDone,AO49+AO49*(D_iC)-MIN(F_CardPayM,AO49+AO49*(D_iC)),AO49)</f>
        <v>0</v>
      </c>
      <c r="AQ49" s="20" t="n">
        <f aca="false">IF(AD49&gt;PR_BalDone,MIN(F_CardPayM,AD49+AD49*(D_iC)),0)</f>
        <v>0</v>
      </c>
      <c r="AR49" s="20" t="n">
        <f aca="false">IF(AE49&gt;PR_BalDone,MIN(F_CardPayM,AE49+AE49*(D_iC)),0)</f>
        <v>0</v>
      </c>
      <c r="AS49" s="20" t="n">
        <f aca="false">IF(AF49&gt;PR_BalDone,MIN(F_CardPayM,AF49+AF49*(D_iC)),0)</f>
        <v>0</v>
      </c>
      <c r="AT49" s="20" t="n">
        <f aca="false">IF(AG49&gt;PR_BalDone,MIN(F_CardPayM,AG49+AG49*(D_iC)),0)</f>
        <v>0</v>
      </c>
      <c r="AU49" s="20" t="n">
        <f aca="false">IF(AH49&gt;PR_BalDone,MIN(F_CardPayM,AH49+AH49*(D_iC)),0)</f>
        <v>0</v>
      </c>
      <c r="AV49" s="20" t="n">
        <f aca="false">IF(AI49&gt;PR_BalDone,MIN(F_CardPayM,AI49+AI49*(D_iC)),0)</f>
        <v>0</v>
      </c>
      <c r="AW49" s="20" t="n">
        <f aca="false">IF(AJ49&gt;PR_BalDone,MIN(F_CardPayM,AJ49+AJ49*(D_iC)),0)</f>
        <v>0</v>
      </c>
      <c r="AX49" s="20" t="n">
        <f aca="false">IF(AK49&gt;PR_BalDone,MIN(F_CardPayM,AK49+AK49*(D_iC)),0)</f>
        <v>0</v>
      </c>
      <c r="AY49" s="20" t="n">
        <f aca="false">IF(AL49&gt;PR_BalDone,MIN(F_CardPayM,AL49+AL49*(D_iC)),0)</f>
        <v>0</v>
      </c>
      <c r="AZ49" s="20" t="n">
        <f aca="false">IF(AM49&gt;PR_BalDone,MIN(F_CardPayM,AM49+AM49*(D_iC)),0)</f>
        <v>0</v>
      </c>
      <c r="BA49" s="20" t="n">
        <f aca="false">IF(AN49&gt;PR_BalDone,MIN(F_CardPayM,AN49+AN49*(D_iC)),0)</f>
        <v>0</v>
      </c>
      <c r="BB49" s="20" t="n">
        <f aca="false">IF(AO49&gt;PR_BalDone,MIN(F_CardPayM,AO49+AO49*(D_iC)),0)</f>
        <v>0</v>
      </c>
      <c r="BC49" s="20" t="n">
        <f aca="false">MAX(0,AP49)</f>
        <v>0</v>
      </c>
      <c r="BD49" s="20" t="n">
        <f aca="false">SUM(AQ49:BB49)</f>
        <v>0</v>
      </c>
      <c r="BE49" s="20" t="n">
        <f aca="false">'Plan cashflow'!P49</f>
        <v>0</v>
      </c>
      <c r="BF49" s="20" t="n">
        <f aca="false">IF(BE49&gt;PR_BalDone,BE49+BE49*(D_iL)-MIN(F_LoanPayM,BE49+BE49*(D_iL)),BE49)</f>
        <v>0</v>
      </c>
      <c r="BG49" s="20" t="n">
        <f aca="false">IF(BF49&gt;PR_BalDone,BF49+BF49*(D_iL)-MIN(F_LoanPayM,BF49+BF49*(D_iL)),BF49)</f>
        <v>0</v>
      </c>
      <c r="BH49" s="20" t="n">
        <f aca="false">IF(BG49&gt;PR_BalDone,BG49+BG49*(D_iL)-MIN(F_LoanPayM,BG49+BG49*(D_iL)),BG49)</f>
        <v>0</v>
      </c>
      <c r="BI49" s="20" t="n">
        <f aca="false">IF(BH49&gt;PR_BalDone,BH49+BH49*(D_iL)-MIN(F_LoanPayM,BH49+BH49*(D_iL)),BH49)</f>
        <v>0</v>
      </c>
      <c r="BJ49" s="20" t="n">
        <f aca="false">IF(BI49&gt;PR_BalDone,BI49+BI49*(D_iL)-MIN(F_LoanPayM,BI49+BI49*(D_iL)),BI49)</f>
        <v>0</v>
      </c>
      <c r="BK49" s="20" t="n">
        <f aca="false">IF(BJ49&gt;PR_BalDone,BJ49+BJ49*(D_iL)-MIN(F_LoanPayM,BJ49+BJ49*(D_iL)),BJ49)</f>
        <v>0</v>
      </c>
      <c r="BL49" s="20" t="n">
        <f aca="false">IF(BK49&gt;PR_BalDone,BK49+BK49*(D_iL)-MIN(F_LoanPayM,BK49+BK49*(D_iL)),BK49)</f>
        <v>0</v>
      </c>
      <c r="BM49" s="20" t="n">
        <f aca="false">IF(BL49&gt;PR_BalDone,BL49+BL49*(D_iL)-MIN(F_LoanPayM,BL49+BL49*(D_iL)),BL49)</f>
        <v>0</v>
      </c>
      <c r="BN49" s="20" t="n">
        <f aca="false">IF(BM49&gt;PR_BalDone,BM49+BM49*(D_iL)-MIN(F_LoanPayM,BM49+BM49*(D_iL)),BM49)</f>
        <v>0</v>
      </c>
      <c r="BO49" s="20" t="n">
        <f aca="false">IF(BN49&gt;PR_BalDone,BN49+BN49*(D_iL)-MIN(F_LoanPayM,BN49+BN49*(D_iL)),BN49)</f>
        <v>0</v>
      </c>
      <c r="BP49" s="20" t="n">
        <f aca="false">IF(BO49&gt;PR_BalDone,BO49+BO49*(D_iL)-MIN(F_LoanPayM,BO49+BO49*(D_iL)),BO49)</f>
        <v>0</v>
      </c>
      <c r="BQ49" s="20" t="n">
        <f aca="false">IF(BP49&gt;PR_BalDone,BP49+BP49*(D_iL)-MIN(F_LoanPayM,BP49+BP49*(D_iL)),BP49)</f>
        <v>0</v>
      </c>
      <c r="BR49" s="20" t="n">
        <f aca="false">IF(BE49&gt;PR_BalDone,MIN(F_LoanPayM,BE49+BE49*(D_iL)),0)</f>
        <v>0</v>
      </c>
      <c r="BS49" s="20" t="n">
        <f aca="false">IF(BF49&gt;PR_BalDone,MIN(F_LoanPayM,BF49+BF49*(D_iL)),0)</f>
        <v>0</v>
      </c>
      <c r="BT49" s="20" t="n">
        <f aca="false">IF(BG49&gt;PR_BalDone,MIN(F_LoanPayM,BG49+BG49*(D_iL)),0)</f>
        <v>0</v>
      </c>
      <c r="BU49" s="20" t="n">
        <f aca="false">IF(BH49&gt;PR_BalDone,MIN(F_LoanPayM,BH49+BH49*(D_iL)),0)</f>
        <v>0</v>
      </c>
      <c r="BV49" s="20" t="n">
        <f aca="false">IF(BI49&gt;PR_BalDone,MIN(F_LoanPayM,BI49+BI49*(D_iL)),0)</f>
        <v>0</v>
      </c>
      <c r="BW49" s="20" t="n">
        <f aca="false">IF(BJ49&gt;PR_BalDone,MIN(F_LoanPayM,BJ49+BJ49*(D_iL)),0)</f>
        <v>0</v>
      </c>
      <c r="BX49" s="20" t="n">
        <f aca="false">IF(BK49&gt;PR_BalDone,MIN(F_LoanPayM,BK49+BK49*(D_iL)),0)</f>
        <v>0</v>
      </c>
      <c r="BY49" s="20" t="n">
        <f aca="false">IF(BL49&gt;PR_BalDone,MIN(F_LoanPayM,BL49+BL49*(D_iL)),0)</f>
        <v>0</v>
      </c>
      <c r="BZ49" s="20" t="n">
        <f aca="false">IF(BM49&gt;PR_BalDone,MIN(F_LoanPayM,BM49+BM49*(D_iL)),0)</f>
        <v>0</v>
      </c>
      <c r="CA49" s="20" t="n">
        <f aca="false">IF(BN49&gt;PR_BalDone,MIN(F_LoanPayM,BN49+BN49*(D_iL)),0)</f>
        <v>0</v>
      </c>
      <c r="CB49" s="20" t="n">
        <f aca="false">IF(BO49&gt;PR_BalDone,MIN(F_LoanPayM,BO49+BO49*(D_iL)),0)</f>
        <v>0</v>
      </c>
      <c r="CC49" s="20" t="n">
        <f aca="false">IF(BP49&gt;PR_BalDone,MIN(F_LoanPayM,BP49+BP49*(D_iL)),0)</f>
        <v>0</v>
      </c>
      <c r="CD49" s="20" t="n">
        <f aca="false">MAX(0,BQ49)</f>
        <v>0</v>
      </c>
      <c r="CE49" s="20" t="n">
        <f aca="false">SUM(BR49:CC49)</f>
        <v>0</v>
      </c>
      <c r="CF49" s="20" t="n">
        <f aca="false">IF(CF48&gt;1,DE48,CF48)</f>
        <v>0</v>
      </c>
      <c r="CG49" s="20" t="n">
        <f aca="false">IF(CF49&gt;PR_BalDone,CF49+CF49*(F_MR/12)-MIN(F_MortPayM,CF49+CF49*(F_MR/12)),CF49)</f>
        <v>0</v>
      </c>
      <c r="CH49" s="20" t="n">
        <f aca="false">IF(CG49&gt;PR_BalDone,CG49+CG49*(F_MR/12)-MIN(F_MortPayM,CG49+CG49*(F_MR/12)),CG49)</f>
        <v>0</v>
      </c>
      <c r="CI49" s="20" t="n">
        <f aca="false">IF(CH49&gt;PR_BalDone,CH49+CH49*(F_MR/12)-MIN(F_MortPayM,CH49+CH49*(F_MR/12)),CH49)</f>
        <v>0</v>
      </c>
      <c r="CJ49" s="20" t="n">
        <f aca="false">IF(CI49&gt;PR_BalDone,CI49+CI49*(F_MR/12)-MIN(F_MortPayM,CI49+CI49*(F_MR/12)),CI49)</f>
        <v>0</v>
      </c>
      <c r="CK49" s="20" t="n">
        <f aca="false">IF(CJ49&gt;PR_BalDone,CJ49+CJ49*(F_MR/12)-MIN(F_MortPayM,CJ49+CJ49*(F_MR/12)),CJ49)</f>
        <v>0</v>
      </c>
      <c r="CL49" s="20" t="n">
        <f aca="false">IF(CK49&gt;PR_BalDone,CK49+CK49*(F_MR/12)-MIN(F_MortPayM,CK49+CK49*(F_MR/12)),CK49)</f>
        <v>0</v>
      </c>
      <c r="CM49" s="20" t="n">
        <f aca="false">IF(CL49&gt;PR_BalDone,CL49+CL49*(F_MR/12)-MIN(F_MortPayM,CL49+CL49*(F_MR/12)),CL49)</f>
        <v>0</v>
      </c>
      <c r="CN49" s="20" t="n">
        <f aca="false">IF(CM49&gt;PR_BalDone,CM49+CM49*(F_MR/12)-MIN(F_MortPayM,CM49+CM49*(F_MR/12)),CM49)</f>
        <v>0</v>
      </c>
      <c r="CO49" s="20" t="n">
        <f aca="false">IF(CN49&gt;PR_BalDone,CN49+CN49*(F_MR/12)-MIN(F_MortPayM,CN49+CN49*(F_MR/12)),CN49)</f>
        <v>0</v>
      </c>
      <c r="CP49" s="20" t="n">
        <f aca="false">IF(CO49&gt;PR_BalDone,CO49+CO49*(F_MR/12)-MIN(F_MortPayM,CO49+CO49*(F_MR/12)),CO49)</f>
        <v>0</v>
      </c>
      <c r="CQ49" s="20" t="n">
        <f aca="false">IF(CP49&gt;PR_BalDone,CP49+CP49*(F_MR/12)-MIN(F_MortPayM,CP49+CP49*(F_MR/12)),CP49)</f>
        <v>0</v>
      </c>
      <c r="CR49" s="20" t="n">
        <f aca="false">IF(CQ49&gt;PR_BalDone,CQ49+CQ49*(F_MR/12)-MIN(F_MortPayM,CQ49+CQ49*(F_MR/12)),CQ49)</f>
        <v>0</v>
      </c>
      <c r="CS49" s="20" t="n">
        <f aca="false">IF(CF49&gt;PR_BalDone,MIN(F_MortPayM,CF49+CF49*(F_MR/12)),0)</f>
        <v>0</v>
      </c>
      <c r="CT49" s="20" t="n">
        <f aca="false">IF(CG49&gt;PR_BalDone,MIN(F_MortPayM,CG49+CG49*(F_MR/12)),0)</f>
        <v>0</v>
      </c>
      <c r="CU49" s="20" t="n">
        <f aca="false">IF(CH49&gt;PR_BalDone,MIN(F_MortPayM,CH49+CH49*(F_MR/12)),0)</f>
        <v>0</v>
      </c>
      <c r="CV49" s="20" t="n">
        <f aca="false">IF(CI49&gt;PR_BalDone,MIN(F_MortPayM,CI49+CI49*(F_MR/12)),0)</f>
        <v>0</v>
      </c>
      <c r="CW49" s="20" t="n">
        <f aca="false">IF(CJ49&gt;PR_BalDone,MIN(F_MortPayM,CJ49+CJ49*(F_MR/12)),0)</f>
        <v>0</v>
      </c>
      <c r="CX49" s="20" t="n">
        <f aca="false">IF(CK49&gt;PR_BalDone,MIN(F_MortPayM,CK49+CK49*(F_MR/12)),0)</f>
        <v>0</v>
      </c>
      <c r="CY49" s="20" t="n">
        <f aca="false">IF(CL49&gt;PR_BalDone,MIN(F_MortPayM,CL49+CL49*(F_MR/12)),0)</f>
        <v>0</v>
      </c>
      <c r="CZ49" s="20" t="n">
        <f aca="false">IF(CM49&gt;PR_BalDone,MIN(F_MortPayM,CM49+CM49*(F_MR/12)),0)</f>
        <v>0</v>
      </c>
      <c r="DA49" s="20" t="n">
        <f aca="false">IF(CN49&gt;PR_BalDone,MIN(F_MortPayM,CN49+CN49*(F_MR/12)),0)</f>
        <v>0</v>
      </c>
      <c r="DB49" s="20" t="n">
        <f aca="false">IF(CO49&gt;PR_BalDone,MIN(F_MortPayM,CO49+CO49*(F_MR/12)),0)</f>
        <v>0</v>
      </c>
      <c r="DC49" s="20" t="n">
        <f aca="false">IF(CP49&gt;PR_BalDone,MIN(F_MortPayM,CP49+CP49*(F_MR/12)),0)</f>
        <v>0</v>
      </c>
      <c r="DD49" s="20" t="n">
        <f aca="false">IF(CQ49&gt;PR_BalDone,MIN(F_MortPayM,CQ49+CQ49*(F_MR/12)),0)</f>
        <v>0</v>
      </c>
      <c r="DE49" s="20" t="n">
        <f aca="false">MAX(0,CR49)</f>
        <v>0</v>
      </c>
      <c r="DF49" s="20" t="n">
        <f aca="false">SUM(CS49:DD49)</f>
        <v>0</v>
      </c>
      <c r="DG49" s="20" t="n">
        <f aca="false">MAX(0,CF49)</f>
        <v>0</v>
      </c>
    </row>
    <row r="50" customFormat="false" ht="15" hidden="false" customHeight="true" outlineLevel="0" collapsed="false">
      <c r="B50" s="20" t="n">
        <v>42</v>
      </c>
      <c r="C50" s="20" t="n">
        <f aca="false">'Plan cashflow'!J50</f>
        <v>0</v>
      </c>
      <c r="D50" s="20" t="n">
        <f aca="false">IF(C50&gt;PR_BalDone,C50+C50*(F_MR/12)-MIN(F_MortPayM,C50+C50*(F_MR/12)),C50)</f>
        <v>0</v>
      </c>
      <c r="E50" s="20" t="n">
        <f aca="false">IF(D50&gt;PR_BalDone,D50+D50*(F_MR/12)-MIN(F_MortPayM,D50+D50*(F_MR/12)),D50)</f>
        <v>0</v>
      </c>
      <c r="F50" s="20" t="n">
        <f aca="false">IF(E50&gt;PR_BalDone,E50+E50*(F_MR/12)-MIN(F_MortPayM,E50+E50*(F_MR/12)),E50)</f>
        <v>0</v>
      </c>
      <c r="G50" s="20" t="n">
        <f aca="false">IF(F50&gt;PR_BalDone,F50+F50*(F_MR/12)-MIN(F_MortPayM,F50+F50*(F_MR/12)),F50)</f>
        <v>0</v>
      </c>
      <c r="H50" s="20" t="n">
        <f aca="false">IF(G50&gt;PR_BalDone,G50+G50*(F_MR/12)-MIN(F_MortPayM,G50+G50*(F_MR/12)),G50)</f>
        <v>0</v>
      </c>
      <c r="I50" s="20" t="n">
        <f aca="false">IF(H50&gt;PR_BalDone,H50+H50*(F_MR/12)-MIN(F_MortPayM,H50+H50*(F_MR/12)),H50)</f>
        <v>0</v>
      </c>
      <c r="J50" s="20" t="n">
        <f aca="false">IF(I50&gt;PR_BalDone,I50+I50*(F_MR/12)-MIN(F_MortPayM,I50+I50*(F_MR/12)),I50)</f>
        <v>0</v>
      </c>
      <c r="K50" s="20" t="n">
        <f aca="false">IF(J50&gt;PR_BalDone,J50+J50*(F_MR/12)-MIN(F_MortPayM,J50+J50*(F_MR/12)),J50)</f>
        <v>0</v>
      </c>
      <c r="L50" s="20" t="n">
        <f aca="false">IF(K50&gt;PR_BalDone,K50+K50*(F_MR/12)-MIN(F_MortPayM,K50+K50*(F_MR/12)),K50)</f>
        <v>0</v>
      </c>
      <c r="M50" s="20" t="n">
        <f aca="false">IF(L50&gt;PR_BalDone,L50+L50*(F_MR/12)-MIN(F_MortPayM,L50+L50*(F_MR/12)),L50)</f>
        <v>0</v>
      </c>
      <c r="N50" s="20" t="n">
        <f aca="false">IF(M50&gt;PR_BalDone,M50+M50*(F_MR/12)-MIN(F_MortPayM,M50+M50*(F_MR/12)),M50)</f>
        <v>0</v>
      </c>
      <c r="O50" s="20" t="n">
        <f aca="false">IF(N50&gt;PR_BalDone,N50+N50*(F_MR/12)-MIN(F_MortPayM,N50+N50*(F_MR/12)),N50)</f>
        <v>0</v>
      </c>
      <c r="P50" s="20" t="n">
        <f aca="false">IF(C50&gt;PR_BalDone,MIN(F_MortPayM,C50+C50*(F_MR/12)),0)</f>
        <v>0</v>
      </c>
      <c r="Q50" s="20" t="n">
        <f aca="false">IF(D50&gt;PR_BalDone,MIN(F_MortPayM,D50+D50*(F_MR/12)),0)</f>
        <v>0</v>
      </c>
      <c r="R50" s="20" t="n">
        <f aca="false">IF(E50&gt;PR_BalDone,MIN(F_MortPayM,E50+E50*(F_MR/12)),0)</f>
        <v>0</v>
      </c>
      <c r="S50" s="20" t="n">
        <f aca="false">IF(F50&gt;PR_BalDone,MIN(F_MortPayM,F50+F50*(F_MR/12)),0)</f>
        <v>0</v>
      </c>
      <c r="T50" s="20" t="n">
        <f aca="false">IF(G50&gt;PR_BalDone,MIN(F_MortPayM,G50+G50*(F_MR/12)),0)</f>
        <v>0</v>
      </c>
      <c r="U50" s="20" t="n">
        <f aca="false">IF(H50&gt;PR_BalDone,MIN(F_MortPayM,H50+H50*(F_MR/12)),0)</f>
        <v>0</v>
      </c>
      <c r="V50" s="20" t="n">
        <f aca="false">IF(I50&gt;PR_BalDone,MIN(F_MortPayM,I50+I50*(F_MR/12)),0)</f>
        <v>0</v>
      </c>
      <c r="W50" s="20" t="n">
        <f aca="false">IF(J50&gt;PR_BalDone,MIN(F_MortPayM,J50+J50*(F_MR/12)),0)</f>
        <v>0</v>
      </c>
      <c r="X50" s="20" t="n">
        <f aca="false">IF(K50&gt;PR_BalDone,MIN(F_MortPayM,K50+K50*(F_MR/12)),0)</f>
        <v>0</v>
      </c>
      <c r="Y50" s="20" t="n">
        <f aca="false">IF(L50&gt;PR_BalDone,MIN(F_MortPayM,L50+L50*(F_MR/12)),0)</f>
        <v>0</v>
      </c>
      <c r="Z50" s="20" t="n">
        <f aca="false">IF(M50&gt;PR_BalDone,MIN(F_MortPayM,M50+M50*(F_MR/12)),0)</f>
        <v>0</v>
      </c>
      <c r="AA50" s="20" t="n">
        <f aca="false">IF(N50&gt;PR_BalDone,MIN(F_MortPayM,N50+N50*(F_MR/12)),0)</f>
        <v>0</v>
      </c>
      <c r="AB50" s="20" t="n">
        <f aca="false">MAX(0,O50)</f>
        <v>0</v>
      </c>
      <c r="AC50" s="20" t="n">
        <f aca="false">SUM(P50:AA50)</f>
        <v>0</v>
      </c>
      <c r="AD50" s="20" t="n">
        <f aca="false">'Plan cashflow'!M50</f>
        <v>0</v>
      </c>
      <c r="AE50" s="20" t="n">
        <f aca="false">IF(AD50&gt;PR_BalDone,AD50+AD50*(D_iC)-MIN(F_CardPayM,AD50+AD50*(D_iC)),AD50)</f>
        <v>0</v>
      </c>
      <c r="AF50" s="20" t="n">
        <f aca="false">IF(AE50&gt;PR_BalDone,AE50+AE50*(D_iC)-MIN(F_CardPayM,AE50+AE50*(D_iC)),AE50)</f>
        <v>0</v>
      </c>
      <c r="AG50" s="20" t="n">
        <f aca="false">IF(AF50&gt;PR_BalDone,AF50+AF50*(D_iC)-MIN(F_CardPayM,AF50+AF50*(D_iC)),AF50)</f>
        <v>0</v>
      </c>
      <c r="AH50" s="20" t="n">
        <f aca="false">IF(AG50&gt;PR_BalDone,AG50+AG50*(D_iC)-MIN(F_CardPayM,AG50+AG50*(D_iC)),AG50)</f>
        <v>0</v>
      </c>
      <c r="AI50" s="20" t="n">
        <f aca="false">IF(AH50&gt;PR_BalDone,AH50+AH50*(D_iC)-MIN(F_CardPayM,AH50+AH50*(D_iC)),AH50)</f>
        <v>0</v>
      </c>
      <c r="AJ50" s="20" t="n">
        <f aca="false">IF(AI50&gt;PR_BalDone,AI50+AI50*(D_iC)-MIN(F_CardPayM,AI50+AI50*(D_iC)),AI50)</f>
        <v>0</v>
      </c>
      <c r="AK50" s="20" t="n">
        <f aca="false">IF(AJ50&gt;PR_BalDone,AJ50+AJ50*(D_iC)-MIN(F_CardPayM,AJ50+AJ50*(D_iC)),AJ50)</f>
        <v>0</v>
      </c>
      <c r="AL50" s="20" t="n">
        <f aca="false">IF(AK50&gt;PR_BalDone,AK50+AK50*(D_iC)-MIN(F_CardPayM,AK50+AK50*(D_iC)),AK50)</f>
        <v>0</v>
      </c>
      <c r="AM50" s="20" t="n">
        <f aca="false">IF(AL50&gt;PR_BalDone,AL50+AL50*(D_iC)-MIN(F_CardPayM,AL50+AL50*(D_iC)),AL50)</f>
        <v>0</v>
      </c>
      <c r="AN50" s="20" t="n">
        <f aca="false">IF(AM50&gt;PR_BalDone,AM50+AM50*(D_iC)-MIN(F_CardPayM,AM50+AM50*(D_iC)),AM50)</f>
        <v>0</v>
      </c>
      <c r="AO50" s="20" t="n">
        <f aca="false">IF(AN50&gt;PR_BalDone,AN50+AN50*(D_iC)-MIN(F_CardPayM,AN50+AN50*(D_iC)),AN50)</f>
        <v>0</v>
      </c>
      <c r="AP50" s="20" t="n">
        <f aca="false">IF(AO50&gt;PR_BalDone,AO50+AO50*(D_iC)-MIN(F_CardPayM,AO50+AO50*(D_iC)),AO50)</f>
        <v>0</v>
      </c>
      <c r="AQ50" s="20" t="n">
        <f aca="false">IF(AD50&gt;PR_BalDone,MIN(F_CardPayM,AD50+AD50*(D_iC)),0)</f>
        <v>0</v>
      </c>
      <c r="AR50" s="20" t="n">
        <f aca="false">IF(AE50&gt;PR_BalDone,MIN(F_CardPayM,AE50+AE50*(D_iC)),0)</f>
        <v>0</v>
      </c>
      <c r="AS50" s="20" t="n">
        <f aca="false">IF(AF50&gt;PR_BalDone,MIN(F_CardPayM,AF50+AF50*(D_iC)),0)</f>
        <v>0</v>
      </c>
      <c r="AT50" s="20" t="n">
        <f aca="false">IF(AG50&gt;PR_BalDone,MIN(F_CardPayM,AG50+AG50*(D_iC)),0)</f>
        <v>0</v>
      </c>
      <c r="AU50" s="20" t="n">
        <f aca="false">IF(AH50&gt;PR_BalDone,MIN(F_CardPayM,AH50+AH50*(D_iC)),0)</f>
        <v>0</v>
      </c>
      <c r="AV50" s="20" t="n">
        <f aca="false">IF(AI50&gt;PR_BalDone,MIN(F_CardPayM,AI50+AI50*(D_iC)),0)</f>
        <v>0</v>
      </c>
      <c r="AW50" s="20" t="n">
        <f aca="false">IF(AJ50&gt;PR_BalDone,MIN(F_CardPayM,AJ50+AJ50*(D_iC)),0)</f>
        <v>0</v>
      </c>
      <c r="AX50" s="20" t="n">
        <f aca="false">IF(AK50&gt;PR_BalDone,MIN(F_CardPayM,AK50+AK50*(D_iC)),0)</f>
        <v>0</v>
      </c>
      <c r="AY50" s="20" t="n">
        <f aca="false">IF(AL50&gt;PR_BalDone,MIN(F_CardPayM,AL50+AL50*(D_iC)),0)</f>
        <v>0</v>
      </c>
      <c r="AZ50" s="20" t="n">
        <f aca="false">IF(AM50&gt;PR_BalDone,MIN(F_CardPayM,AM50+AM50*(D_iC)),0)</f>
        <v>0</v>
      </c>
      <c r="BA50" s="20" t="n">
        <f aca="false">IF(AN50&gt;PR_BalDone,MIN(F_CardPayM,AN50+AN50*(D_iC)),0)</f>
        <v>0</v>
      </c>
      <c r="BB50" s="20" t="n">
        <f aca="false">IF(AO50&gt;PR_BalDone,MIN(F_CardPayM,AO50+AO50*(D_iC)),0)</f>
        <v>0</v>
      </c>
      <c r="BC50" s="20" t="n">
        <f aca="false">MAX(0,AP50)</f>
        <v>0</v>
      </c>
      <c r="BD50" s="20" t="n">
        <f aca="false">SUM(AQ50:BB50)</f>
        <v>0</v>
      </c>
      <c r="BE50" s="20" t="n">
        <f aca="false">'Plan cashflow'!P50</f>
        <v>0</v>
      </c>
      <c r="BF50" s="20" t="n">
        <f aca="false">IF(BE50&gt;PR_BalDone,BE50+BE50*(D_iL)-MIN(F_LoanPayM,BE50+BE50*(D_iL)),BE50)</f>
        <v>0</v>
      </c>
      <c r="BG50" s="20" t="n">
        <f aca="false">IF(BF50&gt;PR_BalDone,BF50+BF50*(D_iL)-MIN(F_LoanPayM,BF50+BF50*(D_iL)),BF50)</f>
        <v>0</v>
      </c>
      <c r="BH50" s="20" t="n">
        <f aca="false">IF(BG50&gt;PR_BalDone,BG50+BG50*(D_iL)-MIN(F_LoanPayM,BG50+BG50*(D_iL)),BG50)</f>
        <v>0</v>
      </c>
      <c r="BI50" s="20" t="n">
        <f aca="false">IF(BH50&gt;PR_BalDone,BH50+BH50*(D_iL)-MIN(F_LoanPayM,BH50+BH50*(D_iL)),BH50)</f>
        <v>0</v>
      </c>
      <c r="BJ50" s="20" t="n">
        <f aca="false">IF(BI50&gt;PR_BalDone,BI50+BI50*(D_iL)-MIN(F_LoanPayM,BI50+BI50*(D_iL)),BI50)</f>
        <v>0</v>
      </c>
      <c r="BK50" s="20" t="n">
        <f aca="false">IF(BJ50&gt;PR_BalDone,BJ50+BJ50*(D_iL)-MIN(F_LoanPayM,BJ50+BJ50*(D_iL)),BJ50)</f>
        <v>0</v>
      </c>
      <c r="BL50" s="20" t="n">
        <f aca="false">IF(BK50&gt;PR_BalDone,BK50+BK50*(D_iL)-MIN(F_LoanPayM,BK50+BK50*(D_iL)),BK50)</f>
        <v>0</v>
      </c>
      <c r="BM50" s="20" t="n">
        <f aca="false">IF(BL50&gt;PR_BalDone,BL50+BL50*(D_iL)-MIN(F_LoanPayM,BL50+BL50*(D_iL)),BL50)</f>
        <v>0</v>
      </c>
      <c r="BN50" s="20" t="n">
        <f aca="false">IF(BM50&gt;PR_BalDone,BM50+BM50*(D_iL)-MIN(F_LoanPayM,BM50+BM50*(D_iL)),BM50)</f>
        <v>0</v>
      </c>
      <c r="BO50" s="20" t="n">
        <f aca="false">IF(BN50&gt;PR_BalDone,BN50+BN50*(D_iL)-MIN(F_LoanPayM,BN50+BN50*(D_iL)),BN50)</f>
        <v>0</v>
      </c>
      <c r="BP50" s="20" t="n">
        <f aca="false">IF(BO50&gt;PR_BalDone,BO50+BO50*(D_iL)-MIN(F_LoanPayM,BO50+BO50*(D_iL)),BO50)</f>
        <v>0</v>
      </c>
      <c r="BQ50" s="20" t="n">
        <f aca="false">IF(BP50&gt;PR_BalDone,BP50+BP50*(D_iL)-MIN(F_LoanPayM,BP50+BP50*(D_iL)),BP50)</f>
        <v>0</v>
      </c>
      <c r="BR50" s="20" t="n">
        <f aca="false">IF(BE50&gt;PR_BalDone,MIN(F_LoanPayM,BE50+BE50*(D_iL)),0)</f>
        <v>0</v>
      </c>
      <c r="BS50" s="20" t="n">
        <f aca="false">IF(BF50&gt;PR_BalDone,MIN(F_LoanPayM,BF50+BF50*(D_iL)),0)</f>
        <v>0</v>
      </c>
      <c r="BT50" s="20" t="n">
        <f aca="false">IF(BG50&gt;PR_BalDone,MIN(F_LoanPayM,BG50+BG50*(D_iL)),0)</f>
        <v>0</v>
      </c>
      <c r="BU50" s="20" t="n">
        <f aca="false">IF(BH50&gt;PR_BalDone,MIN(F_LoanPayM,BH50+BH50*(D_iL)),0)</f>
        <v>0</v>
      </c>
      <c r="BV50" s="20" t="n">
        <f aca="false">IF(BI50&gt;PR_BalDone,MIN(F_LoanPayM,BI50+BI50*(D_iL)),0)</f>
        <v>0</v>
      </c>
      <c r="BW50" s="20" t="n">
        <f aca="false">IF(BJ50&gt;PR_BalDone,MIN(F_LoanPayM,BJ50+BJ50*(D_iL)),0)</f>
        <v>0</v>
      </c>
      <c r="BX50" s="20" t="n">
        <f aca="false">IF(BK50&gt;PR_BalDone,MIN(F_LoanPayM,BK50+BK50*(D_iL)),0)</f>
        <v>0</v>
      </c>
      <c r="BY50" s="20" t="n">
        <f aca="false">IF(BL50&gt;PR_BalDone,MIN(F_LoanPayM,BL50+BL50*(D_iL)),0)</f>
        <v>0</v>
      </c>
      <c r="BZ50" s="20" t="n">
        <f aca="false">IF(BM50&gt;PR_BalDone,MIN(F_LoanPayM,BM50+BM50*(D_iL)),0)</f>
        <v>0</v>
      </c>
      <c r="CA50" s="20" t="n">
        <f aca="false">IF(BN50&gt;PR_BalDone,MIN(F_LoanPayM,BN50+BN50*(D_iL)),0)</f>
        <v>0</v>
      </c>
      <c r="CB50" s="20" t="n">
        <f aca="false">IF(BO50&gt;PR_BalDone,MIN(F_LoanPayM,BO50+BO50*(D_iL)),0)</f>
        <v>0</v>
      </c>
      <c r="CC50" s="20" t="n">
        <f aca="false">IF(BP50&gt;PR_BalDone,MIN(F_LoanPayM,BP50+BP50*(D_iL)),0)</f>
        <v>0</v>
      </c>
      <c r="CD50" s="20" t="n">
        <f aca="false">MAX(0,BQ50)</f>
        <v>0</v>
      </c>
      <c r="CE50" s="20" t="n">
        <f aca="false">SUM(BR50:CC50)</f>
        <v>0</v>
      </c>
      <c r="CF50" s="20" t="n">
        <f aca="false">IF(CF49&gt;1,DE49,CF49)</f>
        <v>0</v>
      </c>
      <c r="CG50" s="20" t="n">
        <f aca="false">IF(CF50&gt;PR_BalDone,CF50+CF50*(F_MR/12)-MIN(F_MortPayM,CF50+CF50*(F_MR/12)),CF50)</f>
        <v>0</v>
      </c>
      <c r="CH50" s="20" t="n">
        <f aca="false">IF(CG50&gt;PR_BalDone,CG50+CG50*(F_MR/12)-MIN(F_MortPayM,CG50+CG50*(F_MR/12)),CG50)</f>
        <v>0</v>
      </c>
      <c r="CI50" s="20" t="n">
        <f aca="false">IF(CH50&gt;PR_BalDone,CH50+CH50*(F_MR/12)-MIN(F_MortPayM,CH50+CH50*(F_MR/12)),CH50)</f>
        <v>0</v>
      </c>
      <c r="CJ50" s="20" t="n">
        <f aca="false">IF(CI50&gt;PR_BalDone,CI50+CI50*(F_MR/12)-MIN(F_MortPayM,CI50+CI50*(F_MR/12)),CI50)</f>
        <v>0</v>
      </c>
      <c r="CK50" s="20" t="n">
        <f aca="false">IF(CJ50&gt;PR_BalDone,CJ50+CJ50*(F_MR/12)-MIN(F_MortPayM,CJ50+CJ50*(F_MR/12)),CJ50)</f>
        <v>0</v>
      </c>
      <c r="CL50" s="20" t="n">
        <f aca="false">IF(CK50&gt;PR_BalDone,CK50+CK50*(F_MR/12)-MIN(F_MortPayM,CK50+CK50*(F_MR/12)),CK50)</f>
        <v>0</v>
      </c>
      <c r="CM50" s="20" t="n">
        <f aca="false">IF(CL50&gt;PR_BalDone,CL50+CL50*(F_MR/12)-MIN(F_MortPayM,CL50+CL50*(F_MR/12)),CL50)</f>
        <v>0</v>
      </c>
      <c r="CN50" s="20" t="n">
        <f aca="false">IF(CM50&gt;PR_BalDone,CM50+CM50*(F_MR/12)-MIN(F_MortPayM,CM50+CM50*(F_MR/12)),CM50)</f>
        <v>0</v>
      </c>
      <c r="CO50" s="20" t="n">
        <f aca="false">IF(CN50&gt;PR_BalDone,CN50+CN50*(F_MR/12)-MIN(F_MortPayM,CN50+CN50*(F_MR/12)),CN50)</f>
        <v>0</v>
      </c>
      <c r="CP50" s="20" t="n">
        <f aca="false">IF(CO50&gt;PR_BalDone,CO50+CO50*(F_MR/12)-MIN(F_MortPayM,CO50+CO50*(F_MR/12)),CO50)</f>
        <v>0</v>
      </c>
      <c r="CQ50" s="20" t="n">
        <f aca="false">IF(CP50&gt;PR_BalDone,CP50+CP50*(F_MR/12)-MIN(F_MortPayM,CP50+CP50*(F_MR/12)),CP50)</f>
        <v>0</v>
      </c>
      <c r="CR50" s="20" t="n">
        <f aca="false">IF(CQ50&gt;PR_BalDone,CQ50+CQ50*(F_MR/12)-MIN(F_MortPayM,CQ50+CQ50*(F_MR/12)),CQ50)</f>
        <v>0</v>
      </c>
      <c r="CS50" s="20" t="n">
        <f aca="false">IF(CF50&gt;PR_BalDone,MIN(F_MortPayM,CF50+CF50*(F_MR/12)),0)</f>
        <v>0</v>
      </c>
      <c r="CT50" s="20" t="n">
        <f aca="false">IF(CG50&gt;PR_BalDone,MIN(F_MortPayM,CG50+CG50*(F_MR/12)),0)</f>
        <v>0</v>
      </c>
      <c r="CU50" s="20" t="n">
        <f aca="false">IF(CH50&gt;PR_BalDone,MIN(F_MortPayM,CH50+CH50*(F_MR/12)),0)</f>
        <v>0</v>
      </c>
      <c r="CV50" s="20" t="n">
        <f aca="false">IF(CI50&gt;PR_BalDone,MIN(F_MortPayM,CI50+CI50*(F_MR/12)),0)</f>
        <v>0</v>
      </c>
      <c r="CW50" s="20" t="n">
        <f aca="false">IF(CJ50&gt;PR_BalDone,MIN(F_MortPayM,CJ50+CJ50*(F_MR/12)),0)</f>
        <v>0</v>
      </c>
      <c r="CX50" s="20" t="n">
        <f aca="false">IF(CK50&gt;PR_BalDone,MIN(F_MortPayM,CK50+CK50*(F_MR/12)),0)</f>
        <v>0</v>
      </c>
      <c r="CY50" s="20" t="n">
        <f aca="false">IF(CL50&gt;PR_BalDone,MIN(F_MortPayM,CL50+CL50*(F_MR/12)),0)</f>
        <v>0</v>
      </c>
      <c r="CZ50" s="20" t="n">
        <f aca="false">IF(CM50&gt;PR_BalDone,MIN(F_MortPayM,CM50+CM50*(F_MR/12)),0)</f>
        <v>0</v>
      </c>
      <c r="DA50" s="20" t="n">
        <f aca="false">IF(CN50&gt;PR_BalDone,MIN(F_MortPayM,CN50+CN50*(F_MR/12)),0)</f>
        <v>0</v>
      </c>
      <c r="DB50" s="20" t="n">
        <f aca="false">IF(CO50&gt;PR_BalDone,MIN(F_MortPayM,CO50+CO50*(F_MR/12)),0)</f>
        <v>0</v>
      </c>
      <c r="DC50" s="20" t="n">
        <f aca="false">IF(CP50&gt;PR_BalDone,MIN(F_MortPayM,CP50+CP50*(F_MR/12)),0)</f>
        <v>0</v>
      </c>
      <c r="DD50" s="20" t="n">
        <f aca="false">IF(CQ50&gt;PR_BalDone,MIN(F_MortPayM,CQ50+CQ50*(F_MR/12)),0)</f>
        <v>0</v>
      </c>
      <c r="DE50" s="20" t="n">
        <f aca="false">MAX(0,CR50)</f>
        <v>0</v>
      </c>
      <c r="DF50" s="20" t="n">
        <f aca="false">SUM(CS50:DD50)</f>
        <v>0</v>
      </c>
      <c r="DG50" s="20" t="n">
        <f aca="false">MAX(0,CF50)</f>
        <v>0</v>
      </c>
    </row>
    <row r="51" customFormat="false" ht="15" hidden="false" customHeight="true" outlineLevel="0" collapsed="false">
      <c r="B51" s="20" t="n">
        <v>43</v>
      </c>
      <c r="C51" s="20" t="n">
        <f aca="false">'Plan cashflow'!J51</f>
        <v>0</v>
      </c>
      <c r="D51" s="20" t="n">
        <f aca="false">IF(C51&gt;PR_BalDone,C51+C51*(F_MR/12)-MIN(F_MortPayM,C51+C51*(F_MR/12)),C51)</f>
        <v>0</v>
      </c>
      <c r="E51" s="20" t="n">
        <f aca="false">IF(D51&gt;PR_BalDone,D51+D51*(F_MR/12)-MIN(F_MortPayM,D51+D51*(F_MR/12)),D51)</f>
        <v>0</v>
      </c>
      <c r="F51" s="20" t="n">
        <f aca="false">IF(E51&gt;PR_BalDone,E51+E51*(F_MR/12)-MIN(F_MortPayM,E51+E51*(F_MR/12)),E51)</f>
        <v>0</v>
      </c>
      <c r="G51" s="20" t="n">
        <f aca="false">IF(F51&gt;PR_BalDone,F51+F51*(F_MR/12)-MIN(F_MortPayM,F51+F51*(F_MR/12)),F51)</f>
        <v>0</v>
      </c>
      <c r="H51" s="20" t="n">
        <f aca="false">IF(G51&gt;PR_BalDone,G51+G51*(F_MR/12)-MIN(F_MortPayM,G51+G51*(F_MR/12)),G51)</f>
        <v>0</v>
      </c>
      <c r="I51" s="20" t="n">
        <f aca="false">IF(H51&gt;PR_BalDone,H51+H51*(F_MR/12)-MIN(F_MortPayM,H51+H51*(F_MR/12)),H51)</f>
        <v>0</v>
      </c>
      <c r="J51" s="20" t="n">
        <f aca="false">IF(I51&gt;PR_BalDone,I51+I51*(F_MR/12)-MIN(F_MortPayM,I51+I51*(F_MR/12)),I51)</f>
        <v>0</v>
      </c>
      <c r="K51" s="20" t="n">
        <f aca="false">IF(J51&gt;PR_BalDone,J51+J51*(F_MR/12)-MIN(F_MortPayM,J51+J51*(F_MR/12)),J51)</f>
        <v>0</v>
      </c>
      <c r="L51" s="20" t="n">
        <f aca="false">IF(K51&gt;PR_BalDone,K51+K51*(F_MR/12)-MIN(F_MortPayM,K51+K51*(F_MR/12)),K51)</f>
        <v>0</v>
      </c>
      <c r="M51" s="20" t="n">
        <f aca="false">IF(L51&gt;PR_BalDone,L51+L51*(F_MR/12)-MIN(F_MortPayM,L51+L51*(F_MR/12)),L51)</f>
        <v>0</v>
      </c>
      <c r="N51" s="20" t="n">
        <f aca="false">IF(M51&gt;PR_BalDone,M51+M51*(F_MR/12)-MIN(F_MortPayM,M51+M51*(F_MR/12)),M51)</f>
        <v>0</v>
      </c>
      <c r="O51" s="20" t="n">
        <f aca="false">IF(N51&gt;PR_BalDone,N51+N51*(F_MR/12)-MIN(F_MortPayM,N51+N51*(F_MR/12)),N51)</f>
        <v>0</v>
      </c>
      <c r="P51" s="20" t="n">
        <f aca="false">IF(C51&gt;PR_BalDone,MIN(F_MortPayM,C51+C51*(F_MR/12)),0)</f>
        <v>0</v>
      </c>
      <c r="Q51" s="20" t="n">
        <f aca="false">IF(D51&gt;PR_BalDone,MIN(F_MortPayM,D51+D51*(F_MR/12)),0)</f>
        <v>0</v>
      </c>
      <c r="R51" s="20" t="n">
        <f aca="false">IF(E51&gt;PR_BalDone,MIN(F_MortPayM,E51+E51*(F_MR/12)),0)</f>
        <v>0</v>
      </c>
      <c r="S51" s="20" t="n">
        <f aca="false">IF(F51&gt;PR_BalDone,MIN(F_MortPayM,F51+F51*(F_MR/12)),0)</f>
        <v>0</v>
      </c>
      <c r="T51" s="20" t="n">
        <f aca="false">IF(G51&gt;PR_BalDone,MIN(F_MortPayM,G51+G51*(F_MR/12)),0)</f>
        <v>0</v>
      </c>
      <c r="U51" s="20" t="n">
        <f aca="false">IF(H51&gt;PR_BalDone,MIN(F_MortPayM,H51+H51*(F_MR/12)),0)</f>
        <v>0</v>
      </c>
      <c r="V51" s="20" t="n">
        <f aca="false">IF(I51&gt;PR_BalDone,MIN(F_MortPayM,I51+I51*(F_MR/12)),0)</f>
        <v>0</v>
      </c>
      <c r="W51" s="20" t="n">
        <f aca="false">IF(J51&gt;PR_BalDone,MIN(F_MortPayM,J51+J51*(F_MR/12)),0)</f>
        <v>0</v>
      </c>
      <c r="X51" s="20" t="n">
        <f aca="false">IF(K51&gt;PR_BalDone,MIN(F_MortPayM,K51+K51*(F_MR/12)),0)</f>
        <v>0</v>
      </c>
      <c r="Y51" s="20" t="n">
        <f aca="false">IF(L51&gt;PR_BalDone,MIN(F_MortPayM,L51+L51*(F_MR/12)),0)</f>
        <v>0</v>
      </c>
      <c r="Z51" s="20" t="n">
        <f aca="false">IF(M51&gt;PR_BalDone,MIN(F_MortPayM,M51+M51*(F_MR/12)),0)</f>
        <v>0</v>
      </c>
      <c r="AA51" s="20" t="n">
        <f aca="false">IF(N51&gt;PR_BalDone,MIN(F_MortPayM,N51+N51*(F_MR/12)),0)</f>
        <v>0</v>
      </c>
      <c r="AB51" s="20" t="n">
        <f aca="false">MAX(0,O51)</f>
        <v>0</v>
      </c>
      <c r="AC51" s="20" t="n">
        <f aca="false">SUM(P51:AA51)</f>
        <v>0</v>
      </c>
      <c r="AD51" s="20" t="n">
        <f aca="false">'Plan cashflow'!M51</f>
        <v>0</v>
      </c>
      <c r="AE51" s="20" t="n">
        <f aca="false">IF(AD51&gt;PR_BalDone,AD51+AD51*(D_iC)-MIN(F_CardPayM,AD51+AD51*(D_iC)),AD51)</f>
        <v>0</v>
      </c>
      <c r="AF51" s="20" t="n">
        <f aca="false">IF(AE51&gt;PR_BalDone,AE51+AE51*(D_iC)-MIN(F_CardPayM,AE51+AE51*(D_iC)),AE51)</f>
        <v>0</v>
      </c>
      <c r="AG51" s="20" t="n">
        <f aca="false">IF(AF51&gt;PR_BalDone,AF51+AF51*(D_iC)-MIN(F_CardPayM,AF51+AF51*(D_iC)),AF51)</f>
        <v>0</v>
      </c>
      <c r="AH51" s="20" t="n">
        <f aca="false">IF(AG51&gt;PR_BalDone,AG51+AG51*(D_iC)-MIN(F_CardPayM,AG51+AG51*(D_iC)),AG51)</f>
        <v>0</v>
      </c>
      <c r="AI51" s="20" t="n">
        <f aca="false">IF(AH51&gt;PR_BalDone,AH51+AH51*(D_iC)-MIN(F_CardPayM,AH51+AH51*(D_iC)),AH51)</f>
        <v>0</v>
      </c>
      <c r="AJ51" s="20" t="n">
        <f aca="false">IF(AI51&gt;PR_BalDone,AI51+AI51*(D_iC)-MIN(F_CardPayM,AI51+AI51*(D_iC)),AI51)</f>
        <v>0</v>
      </c>
      <c r="AK51" s="20" t="n">
        <f aca="false">IF(AJ51&gt;PR_BalDone,AJ51+AJ51*(D_iC)-MIN(F_CardPayM,AJ51+AJ51*(D_iC)),AJ51)</f>
        <v>0</v>
      </c>
      <c r="AL51" s="20" t="n">
        <f aca="false">IF(AK51&gt;PR_BalDone,AK51+AK51*(D_iC)-MIN(F_CardPayM,AK51+AK51*(D_iC)),AK51)</f>
        <v>0</v>
      </c>
      <c r="AM51" s="20" t="n">
        <f aca="false">IF(AL51&gt;PR_BalDone,AL51+AL51*(D_iC)-MIN(F_CardPayM,AL51+AL51*(D_iC)),AL51)</f>
        <v>0</v>
      </c>
      <c r="AN51" s="20" t="n">
        <f aca="false">IF(AM51&gt;PR_BalDone,AM51+AM51*(D_iC)-MIN(F_CardPayM,AM51+AM51*(D_iC)),AM51)</f>
        <v>0</v>
      </c>
      <c r="AO51" s="20" t="n">
        <f aca="false">IF(AN51&gt;PR_BalDone,AN51+AN51*(D_iC)-MIN(F_CardPayM,AN51+AN51*(D_iC)),AN51)</f>
        <v>0</v>
      </c>
      <c r="AP51" s="20" t="n">
        <f aca="false">IF(AO51&gt;PR_BalDone,AO51+AO51*(D_iC)-MIN(F_CardPayM,AO51+AO51*(D_iC)),AO51)</f>
        <v>0</v>
      </c>
      <c r="AQ51" s="20" t="n">
        <f aca="false">IF(AD51&gt;PR_BalDone,MIN(F_CardPayM,AD51+AD51*(D_iC)),0)</f>
        <v>0</v>
      </c>
      <c r="AR51" s="20" t="n">
        <f aca="false">IF(AE51&gt;PR_BalDone,MIN(F_CardPayM,AE51+AE51*(D_iC)),0)</f>
        <v>0</v>
      </c>
      <c r="AS51" s="20" t="n">
        <f aca="false">IF(AF51&gt;PR_BalDone,MIN(F_CardPayM,AF51+AF51*(D_iC)),0)</f>
        <v>0</v>
      </c>
      <c r="AT51" s="20" t="n">
        <f aca="false">IF(AG51&gt;PR_BalDone,MIN(F_CardPayM,AG51+AG51*(D_iC)),0)</f>
        <v>0</v>
      </c>
      <c r="AU51" s="20" t="n">
        <f aca="false">IF(AH51&gt;PR_BalDone,MIN(F_CardPayM,AH51+AH51*(D_iC)),0)</f>
        <v>0</v>
      </c>
      <c r="AV51" s="20" t="n">
        <f aca="false">IF(AI51&gt;PR_BalDone,MIN(F_CardPayM,AI51+AI51*(D_iC)),0)</f>
        <v>0</v>
      </c>
      <c r="AW51" s="20" t="n">
        <f aca="false">IF(AJ51&gt;PR_BalDone,MIN(F_CardPayM,AJ51+AJ51*(D_iC)),0)</f>
        <v>0</v>
      </c>
      <c r="AX51" s="20" t="n">
        <f aca="false">IF(AK51&gt;PR_BalDone,MIN(F_CardPayM,AK51+AK51*(D_iC)),0)</f>
        <v>0</v>
      </c>
      <c r="AY51" s="20" t="n">
        <f aca="false">IF(AL51&gt;PR_BalDone,MIN(F_CardPayM,AL51+AL51*(D_iC)),0)</f>
        <v>0</v>
      </c>
      <c r="AZ51" s="20" t="n">
        <f aca="false">IF(AM51&gt;PR_BalDone,MIN(F_CardPayM,AM51+AM51*(D_iC)),0)</f>
        <v>0</v>
      </c>
      <c r="BA51" s="20" t="n">
        <f aca="false">IF(AN51&gt;PR_BalDone,MIN(F_CardPayM,AN51+AN51*(D_iC)),0)</f>
        <v>0</v>
      </c>
      <c r="BB51" s="20" t="n">
        <f aca="false">IF(AO51&gt;PR_BalDone,MIN(F_CardPayM,AO51+AO51*(D_iC)),0)</f>
        <v>0</v>
      </c>
      <c r="BC51" s="20" t="n">
        <f aca="false">MAX(0,AP51)</f>
        <v>0</v>
      </c>
      <c r="BD51" s="20" t="n">
        <f aca="false">SUM(AQ51:BB51)</f>
        <v>0</v>
      </c>
      <c r="BE51" s="20" t="n">
        <f aca="false">'Plan cashflow'!P51</f>
        <v>0</v>
      </c>
      <c r="BF51" s="20" t="n">
        <f aca="false">IF(BE51&gt;PR_BalDone,BE51+BE51*(D_iL)-MIN(F_LoanPayM,BE51+BE51*(D_iL)),BE51)</f>
        <v>0</v>
      </c>
      <c r="BG51" s="20" t="n">
        <f aca="false">IF(BF51&gt;PR_BalDone,BF51+BF51*(D_iL)-MIN(F_LoanPayM,BF51+BF51*(D_iL)),BF51)</f>
        <v>0</v>
      </c>
      <c r="BH51" s="20" t="n">
        <f aca="false">IF(BG51&gt;PR_BalDone,BG51+BG51*(D_iL)-MIN(F_LoanPayM,BG51+BG51*(D_iL)),BG51)</f>
        <v>0</v>
      </c>
      <c r="BI51" s="20" t="n">
        <f aca="false">IF(BH51&gt;PR_BalDone,BH51+BH51*(D_iL)-MIN(F_LoanPayM,BH51+BH51*(D_iL)),BH51)</f>
        <v>0</v>
      </c>
      <c r="BJ51" s="20" t="n">
        <f aca="false">IF(BI51&gt;PR_BalDone,BI51+BI51*(D_iL)-MIN(F_LoanPayM,BI51+BI51*(D_iL)),BI51)</f>
        <v>0</v>
      </c>
      <c r="BK51" s="20" t="n">
        <f aca="false">IF(BJ51&gt;PR_BalDone,BJ51+BJ51*(D_iL)-MIN(F_LoanPayM,BJ51+BJ51*(D_iL)),BJ51)</f>
        <v>0</v>
      </c>
      <c r="BL51" s="20" t="n">
        <f aca="false">IF(BK51&gt;PR_BalDone,BK51+BK51*(D_iL)-MIN(F_LoanPayM,BK51+BK51*(D_iL)),BK51)</f>
        <v>0</v>
      </c>
      <c r="BM51" s="20" t="n">
        <f aca="false">IF(BL51&gt;PR_BalDone,BL51+BL51*(D_iL)-MIN(F_LoanPayM,BL51+BL51*(D_iL)),BL51)</f>
        <v>0</v>
      </c>
      <c r="BN51" s="20" t="n">
        <f aca="false">IF(BM51&gt;PR_BalDone,BM51+BM51*(D_iL)-MIN(F_LoanPayM,BM51+BM51*(D_iL)),BM51)</f>
        <v>0</v>
      </c>
      <c r="BO51" s="20" t="n">
        <f aca="false">IF(BN51&gt;PR_BalDone,BN51+BN51*(D_iL)-MIN(F_LoanPayM,BN51+BN51*(D_iL)),BN51)</f>
        <v>0</v>
      </c>
      <c r="BP51" s="20" t="n">
        <f aca="false">IF(BO51&gt;PR_BalDone,BO51+BO51*(D_iL)-MIN(F_LoanPayM,BO51+BO51*(D_iL)),BO51)</f>
        <v>0</v>
      </c>
      <c r="BQ51" s="20" t="n">
        <f aca="false">IF(BP51&gt;PR_BalDone,BP51+BP51*(D_iL)-MIN(F_LoanPayM,BP51+BP51*(D_iL)),BP51)</f>
        <v>0</v>
      </c>
      <c r="BR51" s="20" t="n">
        <f aca="false">IF(BE51&gt;PR_BalDone,MIN(F_LoanPayM,BE51+BE51*(D_iL)),0)</f>
        <v>0</v>
      </c>
      <c r="BS51" s="20" t="n">
        <f aca="false">IF(BF51&gt;PR_BalDone,MIN(F_LoanPayM,BF51+BF51*(D_iL)),0)</f>
        <v>0</v>
      </c>
      <c r="BT51" s="20" t="n">
        <f aca="false">IF(BG51&gt;PR_BalDone,MIN(F_LoanPayM,BG51+BG51*(D_iL)),0)</f>
        <v>0</v>
      </c>
      <c r="BU51" s="20" t="n">
        <f aca="false">IF(BH51&gt;PR_BalDone,MIN(F_LoanPayM,BH51+BH51*(D_iL)),0)</f>
        <v>0</v>
      </c>
      <c r="BV51" s="20" t="n">
        <f aca="false">IF(BI51&gt;PR_BalDone,MIN(F_LoanPayM,BI51+BI51*(D_iL)),0)</f>
        <v>0</v>
      </c>
      <c r="BW51" s="20" t="n">
        <f aca="false">IF(BJ51&gt;PR_BalDone,MIN(F_LoanPayM,BJ51+BJ51*(D_iL)),0)</f>
        <v>0</v>
      </c>
      <c r="BX51" s="20" t="n">
        <f aca="false">IF(BK51&gt;PR_BalDone,MIN(F_LoanPayM,BK51+BK51*(D_iL)),0)</f>
        <v>0</v>
      </c>
      <c r="BY51" s="20" t="n">
        <f aca="false">IF(BL51&gt;PR_BalDone,MIN(F_LoanPayM,BL51+BL51*(D_iL)),0)</f>
        <v>0</v>
      </c>
      <c r="BZ51" s="20" t="n">
        <f aca="false">IF(BM51&gt;PR_BalDone,MIN(F_LoanPayM,BM51+BM51*(D_iL)),0)</f>
        <v>0</v>
      </c>
      <c r="CA51" s="20" t="n">
        <f aca="false">IF(BN51&gt;PR_BalDone,MIN(F_LoanPayM,BN51+BN51*(D_iL)),0)</f>
        <v>0</v>
      </c>
      <c r="CB51" s="20" t="n">
        <f aca="false">IF(BO51&gt;PR_BalDone,MIN(F_LoanPayM,BO51+BO51*(D_iL)),0)</f>
        <v>0</v>
      </c>
      <c r="CC51" s="20" t="n">
        <f aca="false">IF(BP51&gt;PR_BalDone,MIN(F_LoanPayM,BP51+BP51*(D_iL)),0)</f>
        <v>0</v>
      </c>
      <c r="CD51" s="20" t="n">
        <f aca="false">MAX(0,BQ51)</f>
        <v>0</v>
      </c>
      <c r="CE51" s="20" t="n">
        <f aca="false">SUM(BR51:CC51)</f>
        <v>0</v>
      </c>
      <c r="CF51" s="20" t="n">
        <f aca="false">IF(CF50&gt;1,DE50,CF50)</f>
        <v>0</v>
      </c>
      <c r="CG51" s="20" t="n">
        <f aca="false">IF(CF51&gt;PR_BalDone,CF51+CF51*(F_MR/12)-MIN(F_MortPayM,CF51+CF51*(F_MR/12)),CF51)</f>
        <v>0</v>
      </c>
      <c r="CH51" s="20" t="n">
        <f aca="false">IF(CG51&gt;PR_BalDone,CG51+CG51*(F_MR/12)-MIN(F_MortPayM,CG51+CG51*(F_MR/12)),CG51)</f>
        <v>0</v>
      </c>
      <c r="CI51" s="20" t="n">
        <f aca="false">IF(CH51&gt;PR_BalDone,CH51+CH51*(F_MR/12)-MIN(F_MortPayM,CH51+CH51*(F_MR/12)),CH51)</f>
        <v>0</v>
      </c>
      <c r="CJ51" s="20" t="n">
        <f aca="false">IF(CI51&gt;PR_BalDone,CI51+CI51*(F_MR/12)-MIN(F_MortPayM,CI51+CI51*(F_MR/12)),CI51)</f>
        <v>0</v>
      </c>
      <c r="CK51" s="20" t="n">
        <f aca="false">IF(CJ51&gt;PR_BalDone,CJ51+CJ51*(F_MR/12)-MIN(F_MortPayM,CJ51+CJ51*(F_MR/12)),CJ51)</f>
        <v>0</v>
      </c>
      <c r="CL51" s="20" t="n">
        <f aca="false">IF(CK51&gt;PR_BalDone,CK51+CK51*(F_MR/12)-MIN(F_MortPayM,CK51+CK51*(F_MR/12)),CK51)</f>
        <v>0</v>
      </c>
      <c r="CM51" s="20" t="n">
        <f aca="false">IF(CL51&gt;PR_BalDone,CL51+CL51*(F_MR/12)-MIN(F_MortPayM,CL51+CL51*(F_MR/12)),CL51)</f>
        <v>0</v>
      </c>
      <c r="CN51" s="20" t="n">
        <f aca="false">IF(CM51&gt;PR_BalDone,CM51+CM51*(F_MR/12)-MIN(F_MortPayM,CM51+CM51*(F_MR/12)),CM51)</f>
        <v>0</v>
      </c>
      <c r="CO51" s="20" t="n">
        <f aca="false">IF(CN51&gt;PR_BalDone,CN51+CN51*(F_MR/12)-MIN(F_MortPayM,CN51+CN51*(F_MR/12)),CN51)</f>
        <v>0</v>
      </c>
      <c r="CP51" s="20" t="n">
        <f aca="false">IF(CO51&gt;PR_BalDone,CO51+CO51*(F_MR/12)-MIN(F_MortPayM,CO51+CO51*(F_MR/12)),CO51)</f>
        <v>0</v>
      </c>
      <c r="CQ51" s="20" t="n">
        <f aca="false">IF(CP51&gt;PR_BalDone,CP51+CP51*(F_MR/12)-MIN(F_MortPayM,CP51+CP51*(F_MR/12)),CP51)</f>
        <v>0</v>
      </c>
      <c r="CR51" s="20" t="n">
        <f aca="false">IF(CQ51&gt;PR_BalDone,CQ51+CQ51*(F_MR/12)-MIN(F_MortPayM,CQ51+CQ51*(F_MR/12)),CQ51)</f>
        <v>0</v>
      </c>
      <c r="CS51" s="20" t="n">
        <f aca="false">IF(CF51&gt;PR_BalDone,MIN(F_MortPayM,CF51+CF51*(F_MR/12)),0)</f>
        <v>0</v>
      </c>
      <c r="CT51" s="20" t="n">
        <f aca="false">IF(CG51&gt;PR_BalDone,MIN(F_MortPayM,CG51+CG51*(F_MR/12)),0)</f>
        <v>0</v>
      </c>
      <c r="CU51" s="20" t="n">
        <f aca="false">IF(CH51&gt;PR_BalDone,MIN(F_MortPayM,CH51+CH51*(F_MR/12)),0)</f>
        <v>0</v>
      </c>
      <c r="CV51" s="20" t="n">
        <f aca="false">IF(CI51&gt;PR_BalDone,MIN(F_MortPayM,CI51+CI51*(F_MR/12)),0)</f>
        <v>0</v>
      </c>
      <c r="CW51" s="20" t="n">
        <f aca="false">IF(CJ51&gt;PR_BalDone,MIN(F_MortPayM,CJ51+CJ51*(F_MR/12)),0)</f>
        <v>0</v>
      </c>
      <c r="CX51" s="20" t="n">
        <f aca="false">IF(CK51&gt;PR_BalDone,MIN(F_MortPayM,CK51+CK51*(F_MR/12)),0)</f>
        <v>0</v>
      </c>
      <c r="CY51" s="20" t="n">
        <f aca="false">IF(CL51&gt;PR_BalDone,MIN(F_MortPayM,CL51+CL51*(F_MR/12)),0)</f>
        <v>0</v>
      </c>
      <c r="CZ51" s="20" t="n">
        <f aca="false">IF(CM51&gt;PR_BalDone,MIN(F_MortPayM,CM51+CM51*(F_MR/12)),0)</f>
        <v>0</v>
      </c>
      <c r="DA51" s="20" t="n">
        <f aca="false">IF(CN51&gt;PR_BalDone,MIN(F_MortPayM,CN51+CN51*(F_MR/12)),0)</f>
        <v>0</v>
      </c>
      <c r="DB51" s="20" t="n">
        <f aca="false">IF(CO51&gt;PR_BalDone,MIN(F_MortPayM,CO51+CO51*(F_MR/12)),0)</f>
        <v>0</v>
      </c>
      <c r="DC51" s="20" t="n">
        <f aca="false">IF(CP51&gt;PR_BalDone,MIN(F_MortPayM,CP51+CP51*(F_MR/12)),0)</f>
        <v>0</v>
      </c>
      <c r="DD51" s="20" t="n">
        <f aca="false">IF(CQ51&gt;PR_BalDone,MIN(F_MortPayM,CQ51+CQ51*(F_MR/12)),0)</f>
        <v>0</v>
      </c>
      <c r="DE51" s="20" t="n">
        <f aca="false">MAX(0,CR51)</f>
        <v>0</v>
      </c>
      <c r="DF51" s="20" t="n">
        <f aca="false">SUM(CS51:DD51)</f>
        <v>0</v>
      </c>
      <c r="DG51" s="20" t="n">
        <f aca="false">MAX(0,CF51)</f>
        <v>0</v>
      </c>
    </row>
    <row r="52" customFormat="false" ht="15" hidden="false" customHeight="true" outlineLevel="0" collapsed="false">
      <c r="B52" s="20" t="n">
        <v>44</v>
      </c>
      <c r="C52" s="20" t="n">
        <f aca="false">'Plan cashflow'!J52</f>
        <v>0</v>
      </c>
      <c r="D52" s="20" t="n">
        <f aca="false">IF(C52&gt;PR_BalDone,C52+C52*(F_MR/12)-MIN(F_MortPayM,C52+C52*(F_MR/12)),C52)</f>
        <v>0</v>
      </c>
      <c r="E52" s="20" t="n">
        <f aca="false">IF(D52&gt;PR_BalDone,D52+D52*(F_MR/12)-MIN(F_MortPayM,D52+D52*(F_MR/12)),D52)</f>
        <v>0</v>
      </c>
      <c r="F52" s="20" t="n">
        <f aca="false">IF(E52&gt;PR_BalDone,E52+E52*(F_MR/12)-MIN(F_MortPayM,E52+E52*(F_MR/12)),E52)</f>
        <v>0</v>
      </c>
      <c r="G52" s="20" t="n">
        <f aca="false">IF(F52&gt;PR_BalDone,F52+F52*(F_MR/12)-MIN(F_MortPayM,F52+F52*(F_MR/12)),F52)</f>
        <v>0</v>
      </c>
      <c r="H52" s="20" t="n">
        <f aca="false">IF(G52&gt;PR_BalDone,G52+G52*(F_MR/12)-MIN(F_MortPayM,G52+G52*(F_MR/12)),G52)</f>
        <v>0</v>
      </c>
      <c r="I52" s="20" t="n">
        <f aca="false">IF(H52&gt;PR_BalDone,H52+H52*(F_MR/12)-MIN(F_MortPayM,H52+H52*(F_MR/12)),H52)</f>
        <v>0</v>
      </c>
      <c r="J52" s="20" t="n">
        <f aca="false">IF(I52&gt;PR_BalDone,I52+I52*(F_MR/12)-MIN(F_MortPayM,I52+I52*(F_MR/12)),I52)</f>
        <v>0</v>
      </c>
      <c r="K52" s="20" t="n">
        <f aca="false">IF(J52&gt;PR_BalDone,J52+J52*(F_MR/12)-MIN(F_MortPayM,J52+J52*(F_MR/12)),J52)</f>
        <v>0</v>
      </c>
      <c r="L52" s="20" t="n">
        <f aca="false">IF(K52&gt;PR_BalDone,K52+K52*(F_MR/12)-MIN(F_MortPayM,K52+K52*(F_MR/12)),K52)</f>
        <v>0</v>
      </c>
      <c r="M52" s="20" t="n">
        <f aca="false">IF(L52&gt;PR_BalDone,L52+L52*(F_MR/12)-MIN(F_MortPayM,L52+L52*(F_MR/12)),L52)</f>
        <v>0</v>
      </c>
      <c r="N52" s="20" t="n">
        <f aca="false">IF(M52&gt;PR_BalDone,M52+M52*(F_MR/12)-MIN(F_MortPayM,M52+M52*(F_MR/12)),M52)</f>
        <v>0</v>
      </c>
      <c r="O52" s="20" t="n">
        <f aca="false">IF(N52&gt;PR_BalDone,N52+N52*(F_MR/12)-MIN(F_MortPayM,N52+N52*(F_MR/12)),N52)</f>
        <v>0</v>
      </c>
      <c r="P52" s="20" t="n">
        <f aca="false">IF(C52&gt;PR_BalDone,MIN(F_MortPayM,C52+C52*(F_MR/12)),0)</f>
        <v>0</v>
      </c>
      <c r="Q52" s="20" t="n">
        <f aca="false">IF(D52&gt;PR_BalDone,MIN(F_MortPayM,D52+D52*(F_MR/12)),0)</f>
        <v>0</v>
      </c>
      <c r="R52" s="20" t="n">
        <f aca="false">IF(E52&gt;PR_BalDone,MIN(F_MortPayM,E52+E52*(F_MR/12)),0)</f>
        <v>0</v>
      </c>
      <c r="S52" s="20" t="n">
        <f aca="false">IF(F52&gt;PR_BalDone,MIN(F_MortPayM,F52+F52*(F_MR/12)),0)</f>
        <v>0</v>
      </c>
      <c r="T52" s="20" t="n">
        <f aca="false">IF(G52&gt;PR_BalDone,MIN(F_MortPayM,G52+G52*(F_MR/12)),0)</f>
        <v>0</v>
      </c>
      <c r="U52" s="20" t="n">
        <f aca="false">IF(H52&gt;PR_BalDone,MIN(F_MortPayM,H52+H52*(F_MR/12)),0)</f>
        <v>0</v>
      </c>
      <c r="V52" s="20" t="n">
        <f aca="false">IF(I52&gt;PR_BalDone,MIN(F_MortPayM,I52+I52*(F_MR/12)),0)</f>
        <v>0</v>
      </c>
      <c r="W52" s="20" t="n">
        <f aca="false">IF(J52&gt;PR_BalDone,MIN(F_MortPayM,J52+J52*(F_MR/12)),0)</f>
        <v>0</v>
      </c>
      <c r="X52" s="20" t="n">
        <f aca="false">IF(K52&gt;PR_BalDone,MIN(F_MortPayM,K52+K52*(F_MR/12)),0)</f>
        <v>0</v>
      </c>
      <c r="Y52" s="20" t="n">
        <f aca="false">IF(L52&gt;PR_BalDone,MIN(F_MortPayM,L52+L52*(F_MR/12)),0)</f>
        <v>0</v>
      </c>
      <c r="Z52" s="20" t="n">
        <f aca="false">IF(M52&gt;PR_BalDone,MIN(F_MortPayM,M52+M52*(F_MR/12)),0)</f>
        <v>0</v>
      </c>
      <c r="AA52" s="20" t="n">
        <f aca="false">IF(N52&gt;PR_BalDone,MIN(F_MortPayM,N52+N52*(F_MR/12)),0)</f>
        <v>0</v>
      </c>
      <c r="AB52" s="20" t="n">
        <f aca="false">MAX(0,O52)</f>
        <v>0</v>
      </c>
      <c r="AC52" s="20" t="n">
        <f aca="false">SUM(P52:AA52)</f>
        <v>0</v>
      </c>
      <c r="AD52" s="20" t="n">
        <f aca="false">'Plan cashflow'!M52</f>
        <v>0</v>
      </c>
      <c r="AE52" s="20" t="n">
        <f aca="false">IF(AD52&gt;PR_BalDone,AD52+AD52*(D_iC)-MIN(F_CardPayM,AD52+AD52*(D_iC)),AD52)</f>
        <v>0</v>
      </c>
      <c r="AF52" s="20" t="n">
        <f aca="false">IF(AE52&gt;PR_BalDone,AE52+AE52*(D_iC)-MIN(F_CardPayM,AE52+AE52*(D_iC)),AE52)</f>
        <v>0</v>
      </c>
      <c r="AG52" s="20" t="n">
        <f aca="false">IF(AF52&gt;PR_BalDone,AF52+AF52*(D_iC)-MIN(F_CardPayM,AF52+AF52*(D_iC)),AF52)</f>
        <v>0</v>
      </c>
      <c r="AH52" s="20" t="n">
        <f aca="false">IF(AG52&gt;PR_BalDone,AG52+AG52*(D_iC)-MIN(F_CardPayM,AG52+AG52*(D_iC)),AG52)</f>
        <v>0</v>
      </c>
      <c r="AI52" s="20" t="n">
        <f aca="false">IF(AH52&gt;PR_BalDone,AH52+AH52*(D_iC)-MIN(F_CardPayM,AH52+AH52*(D_iC)),AH52)</f>
        <v>0</v>
      </c>
      <c r="AJ52" s="20" t="n">
        <f aca="false">IF(AI52&gt;PR_BalDone,AI52+AI52*(D_iC)-MIN(F_CardPayM,AI52+AI52*(D_iC)),AI52)</f>
        <v>0</v>
      </c>
      <c r="AK52" s="20" t="n">
        <f aca="false">IF(AJ52&gt;PR_BalDone,AJ52+AJ52*(D_iC)-MIN(F_CardPayM,AJ52+AJ52*(D_iC)),AJ52)</f>
        <v>0</v>
      </c>
      <c r="AL52" s="20" t="n">
        <f aca="false">IF(AK52&gt;PR_BalDone,AK52+AK52*(D_iC)-MIN(F_CardPayM,AK52+AK52*(D_iC)),AK52)</f>
        <v>0</v>
      </c>
      <c r="AM52" s="20" t="n">
        <f aca="false">IF(AL52&gt;PR_BalDone,AL52+AL52*(D_iC)-MIN(F_CardPayM,AL52+AL52*(D_iC)),AL52)</f>
        <v>0</v>
      </c>
      <c r="AN52" s="20" t="n">
        <f aca="false">IF(AM52&gt;PR_BalDone,AM52+AM52*(D_iC)-MIN(F_CardPayM,AM52+AM52*(D_iC)),AM52)</f>
        <v>0</v>
      </c>
      <c r="AO52" s="20" t="n">
        <f aca="false">IF(AN52&gt;PR_BalDone,AN52+AN52*(D_iC)-MIN(F_CardPayM,AN52+AN52*(D_iC)),AN52)</f>
        <v>0</v>
      </c>
      <c r="AP52" s="20" t="n">
        <f aca="false">IF(AO52&gt;PR_BalDone,AO52+AO52*(D_iC)-MIN(F_CardPayM,AO52+AO52*(D_iC)),AO52)</f>
        <v>0</v>
      </c>
      <c r="AQ52" s="20" t="n">
        <f aca="false">IF(AD52&gt;PR_BalDone,MIN(F_CardPayM,AD52+AD52*(D_iC)),0)</f>
        <v>0</v>
      </c>
      <c r="AR52" s="20" t="n">
        <f aca="false">IF(AE52&gt;PR_BalDone,MIN(F_CardPayM,AE52+AE52*(D_iC)),0)</f>
        <v>0</v>
      </c>
      <c r="AS52" s="20" t="n">
        <f aca="false">IF(AF52&gt;PR_BalDone,MIN(F_CardPayM,AF52+AF52*(D_iC)),0)</f>
        <v>0</v>
      </c>
      <c r="AT52" s="20" t="n">
        <f aca="false">IF(AG52&gt;PR_BalDone,MIN(F_CardPayM,AG52+AG52*(D_iC)),0)</f>
        <v>0</v>
      </c>
      <c r="AU52" s="20" t="n">
        <f aca="false">IF(AH52&gt;PR_BalDone,MIN(F_CardPayM,AH52+AH52*(D_iC)),0)</f>
        <v>0</v>
      </c>
      <c r="AV52" s="20" t="n">
        <f aca="false">IF(AI52&gt;PR_BalDone,MIN(F_CardPayM,AI52+AI52*(D_iC)),0)</f>
        <v>0</v>
      </c>
      <c r="AW52" s="20" t="n">
        <f aca="false">IF(AJ52&gt;PR_BalDone,MIN(F_CardPayM,AJ52+AJ52*(D_iC)),0)</f>
        <v>0</v>
      </c>
      <c r="AX52" s="20" t="n">
        <f aca="false">IF(AK52&gt;PR_BalDone,MIN(F_CardPayM,AK52+AK52*(D_iC)),0)</f>
        <v>0</v>
      </c>
      <c r="AY52" s="20" t="n">
        <f aca="false">IF(AL52&gt;PR_BalDone,MIN(F_CardPayM,AL52+AL52*(D_iC)),0)</f>
        <v>0</v>
      </c>
      <c r="AZ52" s="20" t="n">
        <f aca="false">IF(AM52&gt;PR_BalDone,MIN(F_CardPayM,AM52+AM52*(D_iC)),0)</f>
        <v>0</v>
      </c>
      <c r="BA52" s="20" t="n">
        <f aca="false">IF(AN52&gt;PR_BalDone,MIN(F_CardPayM,AN52+AN52*(D_iC)),0)</f>
        <v>0</v>
      </c>
      <c r="BB52" s="20" t="n">
        <f aca="false">IF(AO52&gt;PR_BalDone,MIN(F_CardPayM,AO52+AO52*(D_iC)),0)</f>
        <v>0</v>
      </c>
      <c r="BC52" s="20" t="n">
        <f aca="false">MAX(0,AP52)</f>
        <v>0</v>
      </c>
      <c r="BD52" s="20" t="n">
        <f aca="false">SUM(AQ52:BB52)</f>
        <v>0</v>
      </c>
      <c r="BE52" s="20" t="n">
        <f aca="false">'Plan cashflow'!P52</f>
        <v>0</v>
      </c>
      <c r="BF52" s="20" t="n">
        <f aca="false">IF(BE52&gt;PR_BalDone,BE52+BE52*(D_iL)-MIN(F_LoanPayM,BE52+BE52*(D_iL)),BE52)</f>
        <v>0</v>
      </c>
      <c r="BG52" s="20" t="n">
        <f aca="false">IF(BF52&gt;PR_BalDone,BF52+BF52*(D_iL)-MIN(F_LoanPayM,BF52+BF52*(D_iL)),BF52)</f>
        <v>0</v>
      </c>
      <c r="BH52" s="20" t="n">
        <f aca="false">IF(BG52&gt;PR_BalDone,BG52+BG52*(D_iL)-MIN(F_LoanPayM,BG52+BG52*(D_iL)),BG52)</f>
        <v>0</v>
      </c>
      <c r="BI52" s="20" t="n">
        <f aca="false">IF(BH52&gt;PR_BalDone,BH52+BH52*(D_iL)-MIN(F_LoanPayM,BH52+BH52*(D_iL)),BH52)</f>
        <v>0</v>
      </c>
      <c r="BJ52" s="20" t="n">
        <f aca="false">IF(BI52&gt;PR_BalDone,BI52+BI52*(D_iL)-MIN(F_LoanPayM,BI52+BI52*(D_iL)),BI52)</f>
        <v>0</v>
      </c>
      <c r="BK52" s="20" t="n">
        <f aca="false">IF(BJ52&gt;PR_BalDone,BJ52+BJ52*(D_iL)-MIN(F_LoanPayM,BJ52+BJ52*(D_iL)),BJ52)</f>
        <v>0</v>
      </c>
      <c r="BL52" s="20" t="n">
        <f aca="false">IF(BK52&gt;PR_BalDone,BK52+BK52*(D_iL)-MIN(F_LoanPayM,BK52+BK52*(D_iL)),BK52)</f>
        <v>0</v>
      </c>
      <c r="BM52" s="20" t="n">
        <f aca="false">IF(BL52&gt;PR_BalDone,BL52+BL52*(D_iL)-MIN(F_LoanPayM,BL52+BL52*(D_iL)),BL52)</f>
        <v>0</v>
      </c>
      <c r="BN52" s="20" t="n">
        <f aca="false">IF(BM52&gt;PR_BalDone,BM52+BM52*(D_iL)-MIN(F_LoanPayM,BM52+BM52*(D_iL)),BM52)</f>
        <v>0</v>
      </c>
      <c r="BO52" s="20" t="n">
        <f aca="false">IF(BN52&gt;PR_BalDone,BN52+BN52*(D_iL)-MIN(F_LoanPayM,BN52+BN52*(D_iL)),BN52)</f>
        <v>0</v>
      </c>
      <c r="BP52" s="20" t="n">
        <f aca="false">IF(BO52&gt;PR_BalDone,BO52+BO52*(D_iL)-MIN(F_LoanPayM,BO52+BO52*(D_iL)),BO52)</f>
        <v>0</v>
      </c>
      <c r="BQ52" s="20" t="n">
        <f aca="false">IF(BP52&gt;PR_BalDone,BP52+BP52*(D_iL)-MIN(F_LoanPayM,BP52+BP52*(D_iL)),BP52)</f>
        <v>0</v>
      </c>
      <c r="BR52" s="20" t="n">
        <f aca="false">IF(BE52&gt;PR_BalDone,MIN(F_LoanPayM,BE52+BE52*(D_iL)),0)</f>
        <v>0</v>
      </c>
      <c r="BS52" s="20" t="n">
        <f aca="false">IF(BF52&gt;PR_BalDone,MIN(F_LoanPayM,BF52+BF52*(D_iL)),0)</f>
        <v>0</v>
      </c>
      <c r="BT52" s="20" t="n">
        <f aca="false">IF(BG52&gt;PR_BalDone,MIN(F_LoanPayM,BG52+BG52*(D_iL)),0)</f>
        <v>0</v>
      </c>
      <c r="BU52" s="20" t="n">
        <f aca="false">IF(BH52&gt;PR_BalDone,MIN(F_LoanPayM,BH52+BH52*(D_iL)),0)</f>
        <v>0</v>
      </c>
      <c r="BV52" s="20" t="n">
        <f aca="false">IF(BI52&gt;PR_BalDone,MIN(F_LoanPayM,BI52+BI52*(D_iL)),0)</f>
        <v>0</v>
      </c>
      <c r="BW52" s="20" t="n">
        <f aca="false">IF(BJ52&gt;PR_BalDone,MIN(F_LoanPayM,BJ52+BJ52*(D_iL)),0)</f>
        <v>0</v>
      </c>
      <c r="BX52" s="20" t="n">
        <f aca="false">IF(BK52&gt;PR_BalDone,MIN(F_LoanPayM,BK52+BK52*(D_iL)),0)</f>
        <v>0</v>
      </c>
      <c r="BY52" s="20" t="n">
        <f aca="false">IF(BL52&gt;PR_BalDone,MIN(F_LoanPayM,BL52+BL52*(D_iL)),0)</f>
        <v>0</v>
      </c>
      <c r="BZ52" s="20" t="n">
        <f aca="false">IF(BM52&gt;PR_BalDone,MIN(F_LoanPayM,BM52+BM52*(D_iL)),0)</f>
        <v>0</v>
      </c>
      <c r="CA52" s="20" t="n">
        <f aca="false">IF(BN52&gt;PR_BalDone,MIN(F_LoanPayM,BN52+BN52*(D_iL)),0)</f>
        <v>0</v>
      </c>
      <c r="CB52" s="20" t="n">
        <f aca="false">IF(BO52&gt;PR_BalDone,MIN(F_LoanPayM,BO52+BO52*(D_iL)),0)</f>
        <v>0</v>
      </c>
      <c r="CC52" s="20" t="n">
        <f aca="false">IF(BP52&gt;PR_BalDone,MIN(F_LoanPayM,BP52+BP52*(D_iL)),0)</f>
        <v>0</v>
      </c>
      <c r="CD52" s="20" t="n">
        <f aca="false">MAX(0,BQ52)</f>
        <v>0</v>
      </c>
      <c r="CE52" s="20" t="n">
        <f aca="false">SUM(BR52:CC52)</f>
        <v>0</v>
      </c>
      <c r="CF52" s="20" t="n">
        <f aca="false">IF(CF51&gt;1,DE51,CF51)</f>
        <v>0</v>
      </c>
      <c r="CG52" s="20" t="n">
        <f aca="false">IF(CF52&gt;PR_BalDone,CF52+CF52*(F_MR/12)-MIN(F_MortPayM,CF52+CF52*(F_MR/12)),CF52)</f>
        <v>0</v>
      </c>
      <c r="CH52" s="20" t="n">
        <f aca="false">IF(CG52&gt;PR_BalDone,CG52+CG52*(F_MR/12)-MIN(F_MortPayM,CG52+CG52*(F_MR/12)),CG52)</f>
        <v>0</v>
      </c>
      <c r="CI52" s="20" t="n">
        <f aca="false">IF(CH52&gt;PR_BalDone,CH52+CH52*(F_MR/12)-MIN(F_MortPayM,CH52+CH52*(F_MR/12)),CH52)</f>
        <v>0</v>
      </c>
      <c r="CJ52" s="20" t="n">
        <f aca="false">IF(CI52&gt;PR_BalDone,CI52+CI52*(F_MR/12)-MIN(F_MortPayM,CI52+CI52*(F_MR/12)),CI52)</f>
        <v>0</v>
      </c>
      <c r="CK52" s="20" t="n">
        <f aca="false">IF(CJ52&gt;PR_BalDone,CJ52+CJ52*(F_MR/12)-MIN(F_MortPayM,CJ52+CJ52*(F_MR/12)),CJ52)</f>
        <v>0</v>
      </c>
      <c r="CL52" s="20" t="n">
        <f aca="false">IF(CK52&gt;PR_BalDone,CK52+CK52*(F_MR/12)-MIN(F_MortPayM,CK52+CK52*(F_MR/12)),CK52)</f>
        <v>0</v>
      </c>
      <c r="CM52" s="20" t="n">
        <f aca="false">IF(CL52&gt;PR_BalDone,CL52+CL52*(F_MR/12)-MIN(F_MortPayM,CL52+CL52*(F_MR/12)),CL52)</f>
        <v>0</v>
      </c>
      <c r="CN52" s="20" t="n">
        <f aca="false">IF(CM52&gt;PR_BalDone,CM52+CM52*(F_MR/12)-MIN(F_MortPayM,CM52+CM52*(F_MR/12)),CM52)</f>
        <v>0</v>
      </c>
      <c r="CO52" s="20" t="n">
        <f aca="false">IF(CN52&gt;PR_BalDone,CN52+CN52*(F_MR/12)-MIN(F_MortPayM,CN52+CN52*(F_MR/12)),CN52)</f>
        <v>0</v>
      </c>
      <c r="CP52" s="20" t="n">
        <f aca="false">IF(CO52&gt;PR_BalDone,CO52+CO52*(F_MR/12)-MIN(F_MortPayM,CO52+CO52*(F_MR/12)),CO52)</f>
        <v>0</v>
      </c>
      <c r="CQ52" s="20" t="n">
        <f aca="false">IF(CP52&gt;PR_BalDone,CP52+CP52*(F_MR/12)-MIN(F_MortPayM,CP52+CP52*(F_MR/12)),CP52)</f>
        <v>0</v>
      </c>
      <c r="CR52" s="20" t="n">
        <f aca="false">IF(CQ52&gt;PR_BalDone,CQ52+CQ52*(F_MR/12)-MIN(F_MortPayM,CQ52+CQ52*(F_MR/12)),CQ52)</f>
        <v>0</v>
      </c>
      <c r="CS52" s="20" t="n">
        <f aca="false">IF(CF52&gt;PR_BalDone,MIN(F_MortPayM,CF52+CF52*(F_MR/12)),0)</f>
        <v>0</v>
      </c>
      <c r="CT52" s="20" t="n">
        <f aca="false">IF(CG52&gt;PR_BalDone,MIN(F_MortPayM,CG52+CG52*(F_MR/12)),0)</f>
        <v>0</v>
      </c>
      <c r="CU52" s="20" t="n">
        <f aca="false">IF(CH52&gt;PR_BalDone,MIN(F_MortPayM,CH52+CH52*(F_MR/12)),0)</f>
        <v>0</v>
      </c>
      <c r="CV52" s="20" t="n">
        <f aca="false">IF(CI52&gt;PR_BalDone,MIN(F_MortPayM,CI52+CI52*(F_MR/12)),0)</f>
        <v>0</v>
      </c>
      <c r="CW52" s="20" t="n">
        <f aca="false">IF(CJ52&gt;PR_BalDone,MIN(F_MortPayM,CJ52+CJ52*(F_MR/12)),0)</f>
        <v>0</v>
      </c>
      <c r="CX52" s="20" t="n">
        <f aca="false">IF(CK52&gt;PR_BalDone,MIN(F_MortPayM,CK52+CK52*(F_MR/12)),0)</f>
        <v>0</v>
      </c>
      <c r="CY52" s="20" t="n">
        <f aca="false">IF(CL52&gt;PR_BalDone,MIN(F_MortPayM,CL52+CL52*(F_MR/12)),0)</f>
        <v>0</v>
      </c>
      <c r="CZ52" s="20" t="n">
        <f aca="false">IF(CM52&gt;PR_BalDone,MIN(F_MortPayM,CM52+CM52*(F_MR/12)),0)</f>
        <v>0</v>
      </c>
      <c r="DA52" s="20" t="n">
        <f aca="false">IF(CN52&gt;PR_BalDone,MIN(F_MortPayM,CN52+CN52*(F_MR/12)),0)</f>
        <v>0</v>
      </c>
      <c r="DB52" s="20" t="n">
        <f aca="false">IF(CO52&gt;PR_BalDone,MIN(F_MortPayM,CO52+CO52*(F_MR/12)),0)</f>
        <v>0</v>
      </c>
      <c r="DC52" s="20" t="n">
        <f aca="false">IF(CP52&gt;PR_BalDone,MIN(F_MortPayM,CP52+CP52*(F_MR/12)),0)</f>
        <v>0</v>
      </c>
      <c r="DD52" s="20" t="n">
        <f aca="false">IF(CQ52&gt;PR_BalDone,MIN(F_MortPayM,CQ52+CQ52*(F_MR/12)),0)</f>
        <v>0</v>
      </c>
      <c r="DE52" s="20" t="n">
        <f aca="false">MAX(0,CR52)</f>
        <v>0</v>
      </c>
      <c r="DF52" s="20" t="n">
        <f aca="false">SUM(CS52:DD52)</f>
        <v>0</v>
      </c>
      <c r="DG52" s="20" t="n">
        <f aca="false">MAX(0,CF52)</f>
        <v>0</v>
      </c>
    </row>
    <row r="53" customFormat="false" ht="15" hidden="false" customHeight="true" outlineLevel="0" collapsed="false">
      <c r="B53" s="20" t="n">
        <v>45</v>
      </c>
      <c r="C53" s="20" t="n">
        <f aca="false">'Plan cashflow'!J53</f>
        <v>0</v>
      </c>
      <c r="D53" s="20" t="n">
        <f aca="false">IF(C53&gt;PR_BalDone,C53+C53*(F_MR/12)-MIN(F_MortPayM,C53+C53*(F_MR/12)),C53)</f>
        <v>0</v>
      </c>
      <c r="E53" s="20" t="n">
        <f aca="false">IF(D53&gt;PR_BalDone,D53+D53*(F_MR/12)-MIN(F_MortPayM,D53+D53*(F_MR/12)),D53)</f>
        <v>0</v>
      </c>
      <c r="F53" s="20" t="n">
        <f aca="false">IF(E53&gt;PR_BalDone,E53+E53*(F_MR/12)-MIN(F_MortPayM,E53+E53*(F_MR/12)),E53)</f>
        <v>0</v>
      </c>
      <c r="G53" s="20" t="n">
        <f aca="false">IF(F53&gt;PR_BalDone,F53+F53*(F_MR/12)-MIN(F_MortPayM,F53+F53*(F_MR/12)),F53)</f>
        <v>0</v>
      </c>
      <c r="H53" s="20" t="n">
        <f aca="false">IF(G53&gt;PR_BalDone,G53+G53*(F_MR/12)-MIN(F_MortPayM,G53+G53*(F_MR/12)),G53)</f>
        <v>0</v>
      </c>
      <c r="I53" s="20" t="n">
        <f aca="false">IF(H53&gt;PR_BalDone,H53+H53*(F_MR/12)-MIN(F_MortPayM,H53+H53*(F_MR/12)),H53)</f>
        <v>0</v>
      </c>
      <c r="J53" s="20" t="n">
        <f aca="false">IF(I53&gt;PR_BalDone,I53+I53*(F_MR/12)-MIN(F_MortPayM,I53+I53*(F_MR/12)),I53)</f>
        <v>0</v>
      </c>
      <c r="K53" s="20" t="n">
        <f aca="false">IF(J53&gt;PR_BalDone,J53+J53*(F_MR/12)-MIN(F_MortPayM,J53+J53*(F_MR/12)),J53)</f>
        <v>0</v>
      </c>
      <c r="L53" s="20" t="n">
        <f aca="false">IF(K53&gt;PR_BalDone,K53+K53*(F_MR/12)-MIN(F_MortPayM,K53+K53*(F_MR/12)),K53)</f>
        <v>0</v>
      </c>
      <c r="M53" s="20" t="n">
        <f aca="false">IF(L53&gt;PR_BalDone,L53+L53*(F_MR/12)-MIN(F_MortPayM,L53+L53*(F_MR/12)),L53)</f>
        <v>0</v>
      </c>
      <c r="N53" s="20" t="n">
        <f aca="false">IF(M53&gt;PR_BalDone,M53+M53*(F_MR/12)-MIN(F_MortPayM,M53+M53*(F_MR/12)),M53)</f>
        <v>0</v>
      </c>
      <c r="O53" s="20" t="n">
        <f aca="false">IF(N53&gt;PR_BalDone,N53+N53*(F_MR/12)-MIN(F_MortPayM,N53+N53*(F_MR/12)),N53)</f>
        <v>0</v>
      </c>
      <c r="P53" s="20" t="n">
        <f aca="false">IF(C53&gt;PR_BalDone,MIN(F_MortPayM,C53+C53*(F_MR/12)),0)</f>
        <v>0</v>
      </c>
      <c r="Q53" s="20" t="n">
        <f aca="false">IF(D53&gt;PR_BalDone,MIN(F_MortPayM,D53+D53*(F_MR/12)),0)</f>
        <v>0</v>
      </c>
      <c r="R53" s="20" t="n">
        <f aca="false">IF(E53&gt;PR_BalDone,MIN(F_MortPayM,E53+E53*(F_MR/12)),0)</f>
        <v>0</v>
      </c>
      <c r="S53" s="20" t="n">
        <f aca="false">IF(F53&gt;PR_BalDone,MIN(F_MortPayM,F53+F53*(F_MR/12)),0)</f>
        <v>0</v>
      </c>
      <c r="T53" s="20" t="n">
        <f aca="false">IF(G53&gt;PR_BalDone,MIN(F_MortPayM,G53+G53*(F_MR/12)),0)</f>
        <v>0</v>
      </c>
      <c r="U53" s="20" t="n">
        <f aca="false">IF(H53&gt;PR_BalDone,MIN(F_MortPayM,H53+H53*(F_MR/12)),0)</f>
        <v>0</v>
      </c>
      <c r="V53" s="20" t="n">
        <f aca="false">IF(I53&gt;PR_BalDone,MIN(F_MortPayM,I53+I53*(F_MR/12)),0)</f>
        <v>0</v>
      </c>
      <c r="W53" s="20" t="n">
        <f aca="false">IF(J53&gt;PR_BalDone,MIN(F_MortPayM,J53+J53*(F_MR/12)),0)</f>
        <v>0</v>
      </c>
      <c r="X53" s="20" t="n">
        <f aca="false">IF(K53&gt;PR_BalDone,MIN(F_MortPayM,K53+K53*(F_MR/12)),0)</f>
        <v>0</v>
      </c>
      <c r="Y53" s="20" t="n">
        <f aca="false">IF(L53&gt;PR_BalDone,MIN(F_MortPayM,L53+L53*(F_MR/12)),0)</f>
        <v>0</v>
      </c>
      <c r="Z53" s="20" t="n">
        <f aca="false">IF(M53&gt;PR_BalDone,MIN(F_MortPayM,M53+M53*(F_MR/12)),0)</f>
        <v>0</v>
      </c>
      <c r="AA53" s="20" t="n">
        <f aca="false">IF(N53&gt;PR_BalDone,MIN(F_MortPayM,N53+N53*(F_MR/12)),0)</f>
        <v>0</v>
      </c>
      <c r="AB53" s="20" t="n">
        <f aca="false">MAX(0,O53)</f>
        <v>0</v>
      </c>
      <c r="AC53" s="20" t="n">
        <f aca="false">SUM(P53:AA53)</f>
        <v>0</v>
      </c>
      <c r="AD53" s="20" t="n">
        <f aca="false">'Plan cashflow'!M53</f>
        <v>0</v>
      </c>
      <c r="AE53" s="20" t="n">
        <f aca="false">IF(AD53&gt;PR_BalDone,AD53+AD53*(D_iC)-MIN(F_CardPayM,AD53+AD53*(D_iC)),AD53)</f>
        <v>0</v>
      </c>
      <c r="AF53" s="20" t="n">
        <f aca="false">IF(AE53&gt;PR_BalDone,AE53+AE53*(D_iC)-MIN(F_CardPayM,AE53+AE53*(D_iC)),AE53)</f>
        <v>0</v>
      </c>
      <c r="AG53" s="20" t="n">
        <f aca="false">IF(AF53&gt;PR_BalDone,AF53+AF53*(D_iC)-MIN(F_CardPayM,AF53+AF53*(D_iC)),AF53)</f>
        <v>0</v>
      </c>
      <c r="AH53" s="20" t="n">
        <f aca="false">IF(AG53&gt;PR_BalDone,AG53+AG53*(D_iC)-MIN(F_CardPayM,AG53+AG53*(D_iC)),AG53)</f>
        <v>0</v>
      </c>
      <c r="AI53" s="20" t="n">
        <f aca="false">IF(AH53&gt;PR_BalDone,AH53+AH53*(D_iC)-MIN(F_CardPayM,AH53+AH53*(D_iC)),AH53)</f>
        <v>0</v>
      </c>
      <c r="AJ53" s="20" t="n">
        <f aca="false">IF(AI53&gt;PR_BalDone,AI53+AI53*(D_iC)-MIN(F_CardPayM,AI53+AI53*(D_iC)),AI53)</f>
        <v>0</v>
      </c>
      <c r="AK53" s="20" t="n">
        <f aca="false">IF(AJ53&gt;PR_BalDone,AJ53+AJ53*(D_iC)-MIN(F_CardPayM,AJ53+AJ53*(D_iC)),AJ53)</f>
        <v>0</v>
      </c>
      <c r="AL53" s="20" t="n">
        <f aca="false">IF(AK53&gt;PR_BalDone,AK53+AK53*(D_iC)-MIN(F_CardPayM,AK53+AK53*(D_iC)),AK53)</f>
        <v>0</v>
      </c>
      <c r="AM53" s="20" t="n">
        <f aca="false">IF(AL53&gt;PR_BalDone,AL53+AL53*(D_iC)-MIN(F_CardPayM,AL53+AL53*(D_iC)),AL53)</f>
        <v>0</v>
      </c>
      <c r="AN53" s="20" t="n">
        <f aca="false">IF(AM53&gt;PR_BalDone,AM53+AM53*(D_iC)-MIN(F_CardPayM,AM53+AM53*(D_iC)),AM53)</f>
        <v>0</v>
      </c>
      <c r="AO53" s="20" t="n">
        <f aca="false">IF(AN53&gt;PR_BalDone,AN53+AN53*(D_iC)-MIN(F_CardPayM,AN53+AN53*(D_iC)),AN53)</f>
        <v>0</v>
      </c>
      <c r="AP53" s="20" t="n">
        <f aca="false">IF(AO53&gt;PR_BalDone,AO53+AO53*(D_iC)-MIN(F_CardPayM,AO53+AO53*(D_iC)),AO53)</f>
        <v>0</v>
      </c>
      <c r="AQ53" s="20" t="n">
        <f aca="false">IF(AD53&gt;PR_BalDone,MIN(F_CardPayM,AD53+AD53*(D_iC)),0)</f>
        <v>0</v>
      </c>
      <c r="AR53" s="20" t="n">
        <f aca="false">IF(AE53&gt;PR_BalDone,MIN(F_CardPayM,AE53+AE53*(D_iC)),0)</f>
        <v>0</v>
      </c>
      <c r="AS53" s="20" t="n">
        <f aca="false">IF(AF53&gt;PR_BalDone,MIN(F_CardPayM,AF53+AF53*(D_iC)),0)</f>
        <v>0</v>
      </c>
      <c r="AT53" s="20" t="n">
        <f aca="false">IF(AG53&gt;PR_BalDone,MIN(F_CardPayM,AG53+AG53*(D_iC)),0)</f>
        <v>0</v>
      </c>
      <c r="AU53" s="20" t="n">
        <f aca="false">IF(AH53&gt;PR_BalDone,MIN(F_CardPayM,AH53+AH53*(D_iC)),0)</f>
        <v>0</v>
      </c>
      <c r="AV53" s="20" t="n">
        <f aca="false">IF(AI53&gt;PR_BalDone,MIN(F_CardPayM,AI53+AI53*(D_iC)),0)</f>
        <v>0</v>
      </c>
      <c r="AW53" s="20" t="n">
        <f aca="false">IF(AJ53&gt;PR_BalDone,MIN(F_CardPayM,AJ53+AJ53*(D_iC)),0)</f>
        <v>0</v>
      </c>
      <c r="AX53" s="20" t="n">
        <f aca="false">IF(AK53&gt;PR_BalDone,MIN(F_CardPayM,AK53+AK53*(D_iC)),0)</f>
        <v>0</v>
      </c>
      <c r="AY53" s="20" t="n">
        <f aca="false">IF(AL53&gt;PR_BalDone,MIN(F_CardPayM,AL53+AL53*(D_iC)),0)</f>
        <v>0</v>
      </c>
      <c r="AZ53" s="20" t="n">
        <f aca="false">IF(AM53&gt;PR_BalDone,MIN(F_CardPayM,AM53+AM53*(D_iC)),0)</f>
        <v>0</v>
      </c>
      <c r="BA53" s="20" t="n">
        <f aca="false">IF(AN53&gt;PR_BalDone,MIN(F_CardPayM,AN53+AN53*(D_iC)),0)</f>
        <v>0</v>
      </c>
      <c r="BB53" s="20" t="n">
        <f aca="false">IF(AO53&gt;PR_BalDone,MIN(F_CardPayM,AO53+AO53*(D_iC)),0)</f>
        <v>0</v>
      </c>
      <c r="BC53" s="20" t="n">
        <f aca="false">MAX(0,AP53)</f>
        <v>0</v>
      </c>
      <c r="BD53" s="20" t="n">
        <f aca="false">SUM(AQ53:BB53)</f>
        <v>0</v>
      </c>
      <c r="BE53" s="20" t="n">
        <f aca="false">'Plan cashflow'!P53</f>
        <v>0</v>
      </c>
      <c r="BF53" s="20" t="n">
        <f aca="false">IF(BE53&gt;PR_BalDone,BE53+BE53*(D_iL)-MIN(F_LoanPayM,BE53+BE53*(D_iL)),BE53)</f>
        <v>0</v>
      </c>
      <c r="BG53" s="20" t="n">
        <f aca="false">IF(BF53&gt;PR_BalDone,BF53+BF53*(D_iL)-MIN(F_LoanPayM,BF53+BF53*(D_iL)),BF53)</f>
        <v>0</v>
      </c>
      <c r="BH53" s="20" t="n">
        <f aca="false">IF(BG53&gt;PR_BalDone,BG53+BG53*(D_iL)-MIN(F_LoanPayM,BG53+BG53*(D_iL)),BG53)</f>
        <v>0</v>
      </c>
      <c r="BI53" s="20" t="n">
        <f aca="false">IF(BH53&gt;PR_BalDone,BH53+BH53*(D_iL)-MIN(F_LoanPayM,BH53+BH53*(D_iL)),BH53)</f>
        <v>0</v>
      </c>
      <c r="BJ53" s="20" t="n">
        <f aca="false">IF(BI53&gt;PR_BalDone,BI53+BI53*(D_iL)-MIN(F_LoanPayM,BI53+BI53*(D_iL)),BI53)</f>
        <v>0</v>
      </c>
      <c r="BK53" s="20" t="n">
        <f aca="false">IF(BJ53&gt;PR_BalDone,BJ53+BJ53*(D_iL)-MIN(F_LoanPayM,BJ53+BJ53*(D_iL)),BJ53)</f>
        <v>0</v>
      </c>
      <c r="BL53" s="20" t="n">
        <f aca="false">IF(BK53&gt;PR_BalDone,BK53+BK53*(D_iL)-MIN(F_LoanPayM,BK53+BK53*(D_iL)),BK53)</f>
        <v>0</v>
      </c>
      <c r="BM53" s="20" t="n">
        <f aca="false">IF(BL53&gt;PR_BalDone,BL53+BL53*(D_iL)-MIN(F_LoanPayM,BL53+BL53*(D_iL)),BL53)</f>
        <v>0</v>
      </c>
      <c r="BN53" s="20" t="n">
        <f aca="false">IF(BM53&gt;PR_BalDone,BM53+BM53*(D_iL)-MIN(F_LoanPayM,BM53+BM53*(D_iL)),BM53)</f>
        <v>0</v>
      </c>
      <c r="BO53" s="20" t="n">
        <f aca="false">IF(BN53&gt;PR_BalDone,BN53+BN53*(D_iL)-MIN(F_LoanPayM,BN53+BN53*(D_iL)),BN53)</f>
        <v>0</v>
      </c>
      <c r="BP53" s="20" t="n">
        <f aca="false">IF(BO53&gt;PR_BalDone,BO53+BO53*(D_iL)-MIN(F_LoanPayM,BO53+BO53*(D_iL)),BO53)</f>
        <v>0</v>
      </c>
      <c r="BQ53" s="20" t="n">
        <f aca="false">IF(BP53&gt;PR_BalDone,BP53+BP53*(D_iL)-MIN(F_LoanPayM,BP53+BP53*(D_iL)),BP53)</f>
        <v>0</v>
      </c>
      <c r="BR53" s="20" t="n">
        <f aca="false">IF(BE53&gt;PR_BalDone,MIN(F_LoanPayM,BE53+BE53*(D_iL)),0)</f>
        <v>0</v>
      </c>
      <c r="BS53" s="20" t="n">
        <f aca="false">IF(BF53&gt;PR_BalDone,MIN(F_LoanPayM,BF53+BF53*(D_iL)),0)</f>
        <v>0</v>
      </c>
      <c r="BT53" s="20" t="n">
        <f aca="false">IF(BG53&gt;PR_BalDone,MIN(F_LoanPayM,BG53+BG53*(D_iL)),0)</f>
        <v>0</v>
      </c>
      <c r="BU53" s="20" t="n">
        <f aca="false">IF(BH53&gt;PR_BalDone,MIN(F_LoanPayM,BH53+BH53*(D_iL)),0)</f>
        <v>0</v>
      </c>
      <c r="BV53" s="20" t="n">
        <f aca="false">IF(BI53&gt;PR_BalDone,MIN(F_LoanPayM,BI53+BI53*(D_iL)),0)</f>
        <v>0</v>
      </c>
      <c r="BW53" s="20" t="n">
        <f aca="false">IF(BJ53&gt;PR_BalDone,MIN(F_LoanPayM,BJ53+BJ53*(D_iL)),0)</f>
        <v>0</v>
      </c>
      <c r="BX53" s="20" t="n">
        <f aca="false">IF(BK53&gt;PR_BalDone,MIN(F_LoanPayM,BK53+BK53*(D_iL)),0)</f>
        <v>0</v>
      </c>
      <c r="BY53" s="20" t="n">
        <f aca="false">IF(BL53&gt;PR_BalDone,MIN(F_LoanPayM,BL53+BL53*(D_iL)),0)</f>
        <v>0</v>
      </c>
      <c r="BZ53" s="20" t="n">
        <f aca="false">IF(BM53&gt;PR_BalDone,MIN(F_LoanPayM,BM53+BM53*(D_iL)),0)</f>
        <v>0</v>
      </c>
      <c r="CA53" s="20" t="n">
        <f aca="false">IF(BN53&gt;PR_BalDone,MIN(F_LoanPayM,BN53+BN53*(D_iL)),0)</f>
        <v>0</v>
      </c>
      <c r="CB53" s="20" t="n">
        <f aca="false">IF(BO53&gt;PR_BalDone,MIN(F_LoanPayM,BO53+BO53*(D_iL)),0)</f>
        <v>0</v>
      </c>
      <c r="CC53" s="20" t="n">
        <f aca="false">IF(BP53&gt;PR_BalDone,MIN(F_LoanPayM,BP53+BP53*(D_iL)),0)</f>
        <v>0</v>
      </c>
      <c r="CD53" s="20" t="n">
        <f aca="false">MAX(0,BQ53)</f>
        <v>0</v>
      </c>
      <c r="CE53" s="20" t="n">
        <f aca="false">SUM(BR53:CC53)</f>
        <v>0</v>
      </c>
      <c r="CF53" s="20" t="n">
        <f aca="false">IF(CF52&gt;1,DE52,CF52)</f>
        <v>0</v>
      </c>
      <c r="CG53" s="20" t="n">
        <f aca="false">IF(CF53&gt;PR_BalDone,CF53+CF53*(F_MR/12)-MIN(F_MortPayM,CF53+CF53*(F_MR/12)),CF53)</f>
        <v>0</v>
      </c>
      <c r="CH53" s="20" t="n">
        <f aca="false">IF(CG53&gt;PR_BalDone,CG53+CG53*(F_MR/12)-MIN(F_MortPayM,CG53+CG53*(F_MR/12)),CG53)</f>
        <v>0</v>
      </c>
      <c r="CI53" s="20" t="n">
        <f aca="false">IF(CH53&gt;PR_BalDone,CH53+CH53*(F_MR/12)-MIN(F_MortPayM,CH53+CH53*(F_MR/12)),CH53)</f>
        <v>0</v>
      </c>
      <c r="CJ53" s="20" t="n">
        <f aca="false">IF(CI53&gt;PR_BalDone,CI53+CI53*(F_MR/12)-MIN(F_MortPayM,CI53+CI53*(F_MR/12)),CI53)</f>
        <v>0</v>
      </c>
      <c r="CK53" s="20" t="n">
        <f aca="false">IF(CJ53&gt;PR_BalDone,CJ53+CJ53*(F_MR/12)-MIN(F_MortPayM,CJ53+CJ53*(F_MR/12)),CJ53)</f>
        <v>0</v>
      </c>
      <c r="CL53" s="20" t="n">
        <f aca="false">IF(CK53&gt;PR_BalDone,CK53+CK53*(F_MR/12)-MIN(F_MortPayM,CK53+CK53*(F_MR/12)),CK53)</f>
        <v>0</v>
      </c>
      <c r="CM53" s="20" t="n">
        <f aca="false">IF(CL53&gt;PR_BalDone,CL53+CL53*(F_MR/12)-MIN(F_MortPayM,CL53+CL53*(F_MR/12)),CL53)</f>
        <v>0</v>
      </c>
      <c r="CN53" s="20" t="n">
        <f aca="false">IF(CM53&gt;PR_BalDone,CM53+CM53*(F_MR/12)-MIN(F_MortPayM,CM53+CM53*(F_MR/12)),CM53)</f>
        <v>0</v>
      </c>
      <c r="CO53" s="20" t="n">
        <f aca="false">IF(CN53&gt;PR_BalDone,CN53+CN53*(F_MR/12)-MIN(F_MortPayM,CN53+CN53*(F_MR/12)),CN53)</f>
        <v>0</v>
      </c>
      <c r="CP53" s="20" t="n">
        <f aca="false">IF(CO53&gt;PR_BalDone,CO53+CO53*(F_MR/12)-MIN(F_MortPayM,CO53+CO53*(F_MR/12)),CO53)</f>
        <v>0</v>
      </c>
      <c r="CQ53" s="20" t="n">
        <f aca="false">IF(CP53&gt;PR_BalDone,CP53+CP53*(F_MR/12)-MIN(F_MortPayM,CP53+CP53*(F_MR/12)),CP53)</f>
        <v>0</v>
      </c>
      <c r="CR53" s="20" t="n">
        <f aca="false">IF(CQ53&gt;PR_BalDone,CQ53+CQ53*(F_MR/12)-MIN(F_MortPayM,CQ53+CQ53*(F_MR/12)),CQ53)</f>
        <v>0</v>
      </c>
      <c r="CS53" s="20" t="n">
        <f aca="false">IF(CF53&gt;PR_BalDone,MIN(F_MortPayM,CF53+CF53*(F_MR/12)),0)</f>
        <v>0</v>
      </c>
      <c r="CT53" s="20" t="n">
        <f aca="false">IF(CG53&gt;PR_BalDone,MIN(F_MortPayM,CG53+CG53*(F_MR/12)),0)</f>
        <v>0</v>
      </c>
      <c r="CU53" s="20" t="n">
        <f aca="false">IF(CH53&gt;PR_BalDone,MIN(F_MortPayM,CH53+CH53*(F_MR/12)),0)</f>
        <v>0</v>
      </c>
      <c r="CV53" s="20" t="n">
        <f aca="false">IF(CI53&gt;PR_BalDone,MIN(F_MortPayM,CI53+CI53*(F_MR/12)),0)</f>
        <v>0</v>
      </c>
      <c r="CW53" s="20" t="n">
        <f aca="false">IF(CJ53&gt;PR_BalDone,MIN(F_MortPayM,CJ53+CJ53*(F_MR/12)),0)</f>
        <v>0</v>
      </c>
      <c r="CX53" s="20" t="n">
        <f aca="false">IF(CK53&gt;PR_BalDone,MIN(F_MortPayM,CK53+CK53*(F_MR/12)),0)</f>
        <v>0</v>
      </c>
      <c r="CY53" s="20" t="n">
        <f aca="false">IF(CL53&gt;PR_BalDone,MIN(F_MortPayM,CL53+CL53*(F_MR/12)),0)</f>
        <v>0</v>
      </c>
      <c r="CZ53" s="20" t="n">
        <f aca="false">IF(CM53&gt;PR_BalDone,MIN(F_MortPayM,CM53+CM53*(F_MR/12)),0)</f>
        <v>0</v>
      </c>
      <c r="DA53" s="20" t="n">
        <f aca="false">IF(CN53&gt;PR_BalDone,MIN(F_MortPayM,CN53+CN53*(F_MR/12)),0)</f>
        <v>0</v>
      </c>
      <c r="DB53" s="20" t="n">
        <f aca="false">IF(CO53&gt;PR_BalDone,MIN(F_MortPayM,CO53+CO53*(F_MR/12)),0)</f>
        <v>0</v>
      </c>
      <c r="DC53" s="20" t="n">
        <f aca="false">IF(CP53&gt;PR_BalDone,MIN(F_MortPayM,CP53+CP53*(F_MR/12)),0)</f>
        <v>0</v>
      </c>
      <c r="DD53" s="20" t="n">
        <f aca="false">IF(CQ53&gt;PR_BalDone,MIN(F_MortPayM,CQ53+CQ53*(F_MR/12)),0)</f>
        <v>0</v>
      </c>
      <c r="DE53" s="20" t="n">
        <f aca="false">MAX(0,CR53)</f>
        <v>0</v>
      </c>
      <c r="DF53" s="20" t="n">
        <f aca="false">SUM(CS53:DD53)</f>
        <v>0</v>
      </c>
      <c r="DG53" s="20" t="n">
        <f aca="false">MAX(0,CF53)</f>
        <v>0</v>
      </c>
    </row>
    <row r="54" customFormat="false" ht="15" hidden="false" customHeight="true" outlineLevel="0" collapsed="false">
      <c r="B54" s="20" t="n">
        <v>46</v>
      </c>
      <c r="C54" s="20" t="n">
        <f aca="false">'Plan cashflow'!J54</f>
        <v>0</v>
      </c>
      <c r="D54" s="20" t="n">
        <f aca="false">IF(C54&gt;PR_BalDone,C54+C54*(F_MR/12)-MIN(F_MortPayM,C54+C54*(F_MR/12)),C54)</f>
        <v>0</v>
      </c>
      <c r="E54" s="20" t="n">
        <f aca="false">IF(D54&gt;PR_BalDone,D54+D54*(F_MR/12)-MIN(F_MortPayM,D54+D54*(F_MR/12)),D54)</f>
        <v>0</v>
      </c>
      <c r="F54" s="20" t="n">
        <f aca="false">IF(E54&gt;PR_BalDone,E54+E54*(F_MR/12)-MIN(F_MortPayM,E54+E54*(F_MR/12)),E54)</f>
        <v>0</v>
      </c>
      <c r="G54" s="20" t="n">
        <f aca="false">IF(F54&gt;PR_BalDone,F54+F54*(F_MR/12)-MIN(F_MortPayM,F54+F54*(F_MR/12)),F54)</f>
        <v>0</v>
      </c>
      <c r="H54" s="20" t="n">
        <f aca="false">IF(G54&gt;PR_BalDone,G54+G54*(F_MR/12)-MIN(F_MortPayM,G54+G54*(F_MR/12)),G54)</f>
        <v>0</v>
      </c>
      <c r="I54" s="20" t="n">
        <f aca="false">IF(H54&gt;PR_BalDone,H54+H54*(F_MR/12)-MIN(F_MortPayM,H54+H54*(F_MR/12)),H54)</f>
        <v>0</v>
      </c>
      <c r="J54" s="20" t="n">
        <f aca="false">IF(I54&gt;PR_BalDone,I54+I54*(F_MR/12)-MIN(F_MortPayM,I54+I54*(F_MR/12)),I54)</f>
        <v>0</v>
      </c>
      <c r="K54" s="20" t="n">
        <f aca="false">IF(J54&gt;PR_BalDone,J54+J54*(F_MR/12)-MIN(F_MortPayM,J54+J54*(F_MR/12)),J54)</f>
        <v>0</v>
      </c>
      <c r="L54" s="20" t="n">
        <f aca="false">IF(K54&gt;PR_BalDone,K54+K54*(F_MR/12)-MIN(F_MortPayM,K54+K54*(F_MR/12)),K54)</f>
        <v>0</v>
      </c>
      <c r="M54" s="20" t="n">
        <f aca="false">IF(L54&gt;PR_BalDone,L54+L54*(F_MR/12)-MIN(F_MortPayM,L54+L54*(F_MR/12)),L54)</f>
        <v>0</v>
      </c>
      <c r="N54" s="20" t="n">
        <f aca="false">IF(M54&gt;PR_BalDone,M54+M54*(F_MR/12)-MIN(F_MortPayM,M54+M54*(F_MR/12)),M54)</f>
        <v>0</v>
      </c>
      <c r="O54" s="20" t="n">
        <f aca="false">IF(N54&gt;PR_BalDone,N54+N54*(F_MR/12)-MIN(F_MortPayM,N54+N54*(F_MR/12)),N54)</f>
        <v>0</v>
      </c>
      <c r="P54" s="20" t="n">
        <f aca="false">IF(C54&gt;PR_BalDone,MIN(F_MortPayM,C54+C54*(F_MR/12)),0)</f>
        <v>0</v>
      </c>
      <c r="Q54" s="20" t="n">
        <f aca="false">IF(D54&gt;PR_BalDone,MIN(F_MortPayM,D54+D54*(F_MR/12)),0)</f>
        <v>0</v>
      </c>
      <c r="R54" s="20" t="n">
        <f aca="false">IF(E54&gt;PR_BalDone,MIN(F_MortPayM,E54+E54*(F_MR/12)),0)</f>
        <v>0</v>
      </c>
      <c r="S54" s="20" t="n">
        <f aca="false">IF(F54&gt;PR_BalDone,MIN(F_MortPayM,F54+F54*(F_MR/12)),0)</f>
        <v>0</v>
      </c>
      <c r="T54" s="20" t="n">
        <f aca="false">IF(G54&gt;PR_BalDone,MIN(F_MortPayM,G54+G54*(F_MR/12)),0)</f>
        <v>0</v>
      </c>
      <c r="U54" s="20" t="n">
        <f aca="false">IF(H54&gt;PR_BalDone,MIN(F_MortPayM,H54+H54*(F_MR/12)),0)</f>
        <v>0</v>
      </c>
      <c r="V54" s="20" t="n">
        <f aca="false">IF(I54&gt;PR_BalDone,MIN(F_MortPayM,I54+I54*(F_MR/12)),0)</f>
        <v>0</v>
      </c>
      <c r="W54" s="20" t="n">
        <f aca="false">IF(J54&gt;PR_BalDone,MIN(F_MortPayM,J54+J54*(F_MR/12)),0)</f>
        <v>0</v>
      </c>
      <c r="X54" s="20" t="n">
        <f aca="false">IF(K54&gt;PR_BalDone,MIN(F_MortPayM,K54+K54*(F_MR/12)),0)</f>
        <v>0</v>
      </c>
      <c r="Y54" s="20" t="n">
        <f aca="false">IF(L54&gt;PR_BalDone,MIN(F_MortPayM,L54+L54*(F_MR/12)),0)</f>
        <v>0</v>
      </c>
      <c r="Z54" s="20" t="n">
        <f aca="false">IF(M54&gt;PR_BalDone,MIN(F_MortPayM,M54+M54*(F_MR/12)),0)</f>
        <v>0</v>
      </c>
      <c r="AA54" s="20" t="n">
        <f aca="false">IF(N54&gt;PR_BalDone,MIN(F_MortPayM,N54+N54*(F_MR/12)),0)</f>
        <v>0</v>
      </c>
      <c r="AB54" s="20" t="n">
        <f aca="false">MAX(0,O54)</f>
        <v>0</v>
      </c>
      <c r="AC54" s="20" t="n">
        <f aca="false">SUM(P54:AA54)</f>
        <v>0</v>
      </c>
      <c r="AD54" s="20" t="n">
        <f aca="false">'Plan cashflow'!M54</f>
        <v>0</v>
      </c>
      <c r="AE54" s="20" t="n">
        <f aca="false">IF(AD54&gt;PR_BalDone,AD54+AD54*(D_iC)-MIN(F_CardPayM,AD54+AD54*(D_iC)),AD54)</f>
        <v>0</v>
      </c>
      <c r="AF54" s="20" t="n">
        <f aca="false">IF(AE54&gt;PR_BalDone,AE54+AE54*(D_iC)-MIN(F_CardPayM,AE54+AE54*(D_iC)),AE54)</f>
        <v>0</v>
      </c>
      <c r="AG54" s="20" t="n">
        <f aca="false">IF(AF54&gt;PR_BalDone,AF54+AF54*(D_iC)-MIN(F_CardPayM,AF54+AF54*(D_iC)),AF54)</f>
        <v>0</v>
      </c>
      <c r="AH54" s="20" t="n">
        <f aca="false">IF(AG54&gt;PR_BalDone,AG54+AG54*(D_iC)-MIN(F_CardPayM,AG54+AG54*(D_iC)),AG54)</f>
        <v>0</v>
      </c>
      <c r="AI54" s="20" t="n">
        <f aca="false">IF(AH54&gt;PR_BalDone,AH54+AH54*(D_iC)-MIN(F_CardPayM,AH54+AH54*(D_iC)),AH54)</f>
        <v>0</v>
      </c>
      <c r="AJ54" s="20" t="n">
        <f aca="false">IF(AI54&gt;PR_BalDone,AI54+AI54*(D_iC)-MIN(F_CardPayM,AI54+AI54*(D_iC)),AI54)</f>
        <v>0</v>
      </c>
      <c r="AK54" s="20" t="n">
        <f aca="false">IF(AJ54&gt;PR_BalDone,AJ54+AJ54*(D_iC)-MIN(F_CardPayM,AJ54+AJ54*(D_iC)),AJ54)</f>
        <v>0</v>
      </c>
      <c r="AL54" s="20" t="n">
        <f aca="false">IF(AK54&gt;PR_BalDone,AK54+AK54*(D_iC)-MIN(F_CardPayM,AK54+AK54*(D_iC)),AK54)</f>
        <v>0</v>
      </c>
      <c r="AM54" s="20" t="n">
        <f aca="false">IF(AL54&gt;PR_BalDone,AL54+AL54*(D_iC)-MIN(F_CardPayM,AL54+AL54*(D_iC)),AL54)</f>
        <v>0</v>
      </c>
      <c r="AN54" s="20" t="n">
        <f aca="false">IF(AM54&gt;PR_BalDone,AM54+AM54*(D_iC)-MIN(F_CardPayM,AM54+AM54*(D_iC)),AM54)</f>
        <v>0</v>
      </c>
      <c r="AO54" s="20" t="n">
        <f aca="false">IF(AN54&gt;PR_BalDone,AN54+AN54*(D_iC)-MIN(F_CardPayM,AN54+AN54*(D_iC)),AN54)</f>
        <v>0</v>
      </c>
      <c r="AP54" s="20" t="n">
        <f aca="false">IF(AO54&gt;PR_BalDone,AO54+AO54*(D_iC)-MIN(F_CardPayM,AO54+AO54*(D_iC)),AO54)</f>
        <v>0</v>
      </c>
      <c r="AQ54" s="20" t="n">
        <f aca="false">IF(AD54&gt;PR_BalDone,MIN(F_CardPayM,AD54+AD54*(D_iC)),0)</f>
        <v>0</v>
      </c>
      <c r="AR54" s="20" t="n">
        <f aca="false">IF(AE54&gt;PR_BalDone,MIN(F_CardPayM,AE54+AE54*(D_iC)),0)</f>
        <v>0</v>
      </c>
      <c r="AS54" s="20" t="n">
        <f aca="false">IF(AF54&gt;PR_BalDone,MIN(F_CardPayM,AF54+AF54*(D_iC)),0)</f>
        <v>0</v>
      </c>
      <c r="AT54" s="20" t="n">
        <f aca="false">IF(AG54&gt;PR_BalDone,MIN(F_CardPayM,AG54+AG54*(D_iC)),0)</f>
        <v>0</v>
      </c>
      <c r="AU54" s="20" t="n">
        <f aca="false">IF(AH54&gt;PR_BalDone,MIN(F_CardPayM,AH54+AH54*(D_iC)),0)</f>
        <v>0</v>
      </c>
      <c r="AV54" s="20" t="n">
        <f aca="false">IF(AI54&gt;PR_BalDone,MIN(F_CardPayM,AI54+AI54*(D_iC)),0)</f>
        <v>0</v>
      </c>
      <c r="AW54" s="20" t="n">
        <f aca="false">IF(AJ54&gt;PR_BalDone,MIN(F_CardPayM,AJ54+AJ54*(D_iC)),0)</f>
        <v>0</v>
      </c>
      <c r="AX54" s="20" t="n">
        <f aca="false">IF(AK54&gt;PR_BalDone,MIN(F_CardPayM,AK54+AK54*(D_iC)),0)</f>
        <v>0</v>
      </c>
      <c r="AY54" s="20" t="n">
        <f aca="false">IF(AL54&gt;PR_BalDone,MIN(F_CardPayM,AL54+AL54*(D_iC)),0)</f>
        <v>0</v>
      </c>
      <c r="AZ54" s="20" t="n">
        <f aca="false">IF(AM54&gt;PR_BalDone,MIN(F_CardPayM,AM54+AM54*(D_iC)),0)</f>
        <v>0</v>
      </c>
      <c r="BA54" s="20" t="n">
        <f aca="false">IF(AN54&gt;PR_BalDone,MIN(F_CardPayM,AN54+AN54*(D_iC)),0)</f>
        <v>0</v>
      </c>
      <c r="BB54" s="20" t="n">
        <f aca="false">IF(AO54&gt;PR_BalDone,MIN(F_CardPayM,AO54+AO54*(D_iC)),0)</f>
        <v>0</v>
      </c>
      <c r="BC54" s="20" t="n">
        <f aca="false">MAX(0,AP54)</f>
        <v>0</v>
      </c>
      <c r="BD54" s="20" t="n">
        <f aca="false">SUM(AQ54:BB54)</f>
        <v>0</v>
      </c>
      <c r="BE54" s="20" t="n">
        <f aca="false">'Plan cashflow'!P54</f>
        <v>0</v>
      </c>
      <c r="BF54" s="20" t="n">
        <f aca="false">IF(BE54&gt;PR_BalDone,BE54+BE54*(D_iL)-MIN(F_LoanPayM,BE54+BE54*(D_iL)),BE54)</f>
        <v>0</v>
      </c>
      <c r="BG54" s="20" t="n">
        <f aca="false">IF(BF54&gt;PR_BalDone,BF54+BF54*(D_iL)-MIN(F_LoanPayM,BF54+BF54*(D_iL)),BF54)</f>
        <v>0</v>
      </c>
      <c r="BH54" s="20" t="n">
        <f aca="false">IF(BG54&gt;PR_BalDone,BG54+BG54*(D_iL)-MIN(F_LoanPayM,BG54+BG54*(D_iL)),BG54)</f>
        <v>0</v>
      </c>
      <c r="BI54" s="20" t="n">
        <f aca="false">IF(BH54&gt;PR_BalDone,BH54+BH54*(D_iL)-MIN(F_LoanPayM,BH54+BH54*(D_iL)),BH54)</f>
        <v>0</v>
      </c>
      <c r="BJ54" s="20" t="n">
        <f aca="false">IF(BI54&gt;PR_BalDone,BI54+BI54*(D_iL)-MIN(F_LoanPayM,BI54+BI54*(D_iL)),BI54)</f>
        <v>0</v>
      </c>
      <c r="BK54" s="20" t="n">
        <f aca="false">IF(BJ54&gt;PR_BalDone,BJ54+BJ54*(D_iL)-MIN(F_LoanPayM,BJ54+BJ54*(D_iL)),BJ54)</f>
        <v>0</v>
      </c>
      <c r="BL54" s="20" t="n">
        <f aca="false">IF(BK54&gt;PR_BalDone,BK54+BK54*(D_iL)-MIN(F_LoanPayM,BK54+BK54*(D_iL)),BK54)</f>
        <v>0</v>
      </c>
      <c r="BM54" s="20" t="n">
        <f aca="false">IF(BL54&gt;PR_BalDone,BL54+BL54*(D_iL)-MIN(F_LoanPayM,BL54+BL54*(D_iL)),BL54)</f>
        <v>0</v>
      </c>
      <c r="BN54" s="20" t="n">
        <f aca="false">IF(BM54&gt;PR_BalDone,BM54+BM54*(D_iL)-MIN(F_LoanPayM,BM54+BM54*(D_iL)),BM54)</f>
        <v>0</v>
      </c>
      <c r="BO54" s="20" t="n">
        <f aca="false">IF(BN54&gt;PR_BalDone,BN54+BN54*(D_iL)-MIN(F_LoanPayM,BN54+BN54*(D_iL)),BN54)</f>
        <v>0</v>
      </c>
      <c r="BP54" s="20" t="n">
        <f aca="false">IF(BO54&gt;PR_BalDone,BO54+BO54*(D_iL)-MIN(F_LoanPayM,BO54+BO54*(D_iL)),BO54)</f>
        <v>0</v>
      </c>
      <c r="BQ54" s="20" t="n">
        <f aca="false">IF(BP54&gt;PR_BalDone,BP54+BP54*(D_iL)-MIN(F_LoanPayM,BP54+BP54*(D_iL)),BP54)</f>
        <v>0</v>
      </c>
      <c r="BR54" s="20" t="n">
        <f aca="false">IF(BE54&gt;PR_BalDone,MIN(F_LoanPayM,BE54+BE54*(D_iL)),0)</f>
        <v>0</v>
      </c>
      <c r="BS54" s="20" t="n">
        <f aca="false">IF(BF54&gt;PR_BalDone,MIN(F_LoanPayM,BF54+BF54*(D_iL)),0)</f>
        <v>0</v>
      </c>
      <c r="BT54" s="20" t="n">
        <f aca="false">IF(BG54&gt;PR_BalDone,MIN(F_LoanPayM,BG54+BG54*(D_iL)),0)</f>
        <v>0</v>
      </c>
      <c r="BU54" s="20" t="n">
        <f aca="false">IF(BH54&gt;PR_BalDone,MIN(F_LoanPayM,BH54+BH54*(D_iL)),0)</f>
        <v>0</v>
      </c>
      <c r="BV54" s="20" t="n">
        <f aca="false">IF(BI54&gt;PR_BalDone,MIN(F_LoanPayM,BI54+BI54*(D_iL)),0)</f>
        <v>0</v>
      </c>
      <c r="BW54" s="20" t="n">
        <f aca="false">IF(BJ54&gt;PR_BalDone,MIN(F_LoanPayM,BJ54+BJ54*(D_iL)),0)</f>
        <v>0</v>
      </c>
      <c r="BX54" s="20" t="n">
        <f aca="false">IF(BK54&gt;PR_BalDone,MIN(F_LoanPayM,BK54+BK54*(D_iL)),0)</f>
        <v>0</v>
      </c>
      <c r="BY54" s="20" t="n">
        <f aca="false">IF(BL54&gt;PR_BalDone,MIN(F_LoanPayM,BL54+BL54*(D_iL)),0)</f>
        <v>0</v>
      </c>
      <c r="BZ54" s="20" t="n">
        <f aca="false">IF(BM54&gt;PR_BalDone,MIN(F_LoanPayM,BM54+BM54*(D_iL)),0)</f>
        <v>0</v>
      </c>
      <c r="CA54" s="20" t="n">
        <f aca="false">IF(BN54&gt;PR_BalDone,MIN(F_LoanPayM,BN54+BN54*(D_iL)),0)</f>
        <v>0</v>
      </c>
      <c r="CB54" s="20" t="n">
        <f aca="false">IF(BO54&gt;PR_BalDone,MIN(F_LoanPayM,BO54+BO54*(D_iL)),0)</f>
        <v>0</v>
      </c>
      <c r="CC54" s="20" t="n">
        <f aca="false">IF(BP54&gt;PR_BalDone,MIN(F_LoanPayM,BP54+BP54*(D_iL)),0)</f>
        <v>0</v>
      </c>
      <c r="CD54" s="20" t="n">
        <f aca="false">MAX(0,BQ54)</f>
        <v>0</v>
      </c>
      <c r="CE54" s="20" t="n">
        <f aca="false">SUM(BR54:CC54)</f>
        <v>0</v>
      </c>
      <c r="CF54" s="20" t="n">
        <f aca="false">IF(CF53&gt;1,DE53,CF53)</f>
        <v>0</v>
      </c>
      <c r="CG54" s="20" t="n">
        <f aca="false">IF(CF54&gt;PR_BalDone,CF54+CF54*(F_MR/12)-MIN(F_MortPayM,CF54+CF54*(F_MR/12)),CF54)</f>
        <v>0</v>
      </c>
      <c r="CH54" s="20" t="n">
        <f aca="false">IF(CG54&gt;PR_BalDone,CG54+CG54*(F_MR/12)-MIN(F_MortPayM,CG54+CG54*(F_MR/12)),CG54)</f>
        <v>0</v>
      </c>
      <c r="CI54" s="20" t="n">
        <f aca="false">IF(CH54&gt;PR_BalDone,CH54+CH54*(F_MR/12)-MIN(F_MortPayM,CH54+CH54*(F_MR/12)),CH54)</f>
        <v>0</v>
      </c>
      <c r="CJ54" s="20" t="n">
        <f aca="false">IF(CI54&gt;PR_BalDone,CI54+CI54*(F_MR/12)-MIN(F_MortPayM,CI54+CI54*(F_MR/12)),CI54)</f>
        <v>0</v>
      </c>
      <c r="CK54" s="20" t="n">
        <f aca="false">IF(CJ54&gt;PR_BalDone,CJ54+CJ54*(F_MR/12)-MIN(F_MortPayM,CJ54+CJ54*(F_MR/12)),CJ54)</f>
        <v>0</v>
      </c>
      <c r="CL54" s="20" t="n">
        <f aca="false">IF(CK54&gt;PR_BalDone,CK54+CK54*(F_MR/12)-MIN(F_MortPayM,CK54+CK54*(F_MR/12)),CK54)</f>
        <v>0</v>
      </c>
      <c r="CM54" s="20" t="n">
        <f aca="false">IF(CL54&gt;PR_BalDone,CL54+CL54*(F_MR/12)-MIN(F_MortPayM,CL54+CL54*(F_MR/12)),CL54)</f>
        <v>0</v>
      </c>
      <c r="CN54" s="20" t="n">
        <f aca="false">IF(CM54&gt;PR_BalDone,CM54+CM54*(F_MR/12)-MIN(F_MortPayM,CM54+CM54*(F_MR/12)),CM54)</f>
        <v>0</v>
      </c>
      <c r="CO54" s="20" t="n">
        <f aca="false">IF(CN54&gt;PR_BalDone,CN54+CN54*(F_MR/12)-MIN(F_MortPayM,CN54+CN54*(F_MR/12)),CN54)</f>
        <v>0</v>
      </c>
      <c r="CP54" s="20" t="n">
        <f aca="false">IF(CO54&gt;PR_BalDone,CO54+CO54*(F_MR/12)-MIN(F_MortPayM,CO54+CO54*(F_MR/12)),CO54)</f>
        <v>0</v>
      </c>
      <c r="CQ54" s="20" t="n">
        <f aca="false">IF(CP54&gt;PR_BalDone,CP54+CP54*(F_MR/12)-MIN(F_MortPayM,CP54+CP54*(F_MR/12)),CP54)</f>
        <v>0</v>
      </c>
      <c r="CR54" s="20" t="n">
        <f aca="false">IF(CQ54&gt;PR_BalDone,CQ54+CQ54*(F_MR/12)-MIN(F_MortPayM,CQ54+CQ54*(F_MR/12)),CQ54)</f>
        <v>0</v>
      </c>
      <c r="CS54" s="20" t="n">
        <f aca="false">IF(CF54&gt;PR_BalDone,MIN(F_MortPayM,CF54+CF54*(F_MR/12)),0)</f>
        <v>0</v>
      </c>
      <c r="CT54" s="20" t="n">
        <f aca="false">IF(CG54&gt;PR_BalDone,MIN(F_MortPayM,CG54+CG54*(F_MR/12)),0)</f>
        <v>0</v>
      </c>
      <c r="CU54" s="20" t="n">
        <f aca="false">IF(CH54&gt;PR_BalDone,MIN(F_MortPayM,CH54+CH54*(F_MR/12)),0)</f>
        <v>0</v>
      </c>
      <c r="CV54" s="20" t="n">
        <f aca="false">IF(CI54&gt;PR_BalDone,MIN(F_MortPayM,CI54+CI54*(F_MR/12)),0)</f>
        <v>0</v>
      </c>
      <c r="CW54" s="20" t="n">
        <f aca="false">IF(CJ54&gt;PR_BalDone,MIN(F_MortPayM,CJ54+CJ54*(F_MR/12)),0)</f>
        <v>0</v>
      </c>
      <c r="CX54" s="20" t="n">
        <f aca="false">IF(CK54&gt;PR_BalDone,MIN(F_MortPayM,CK54+CK54*(F_MR/12)),0)</f>
        <v>0</v>
      </c>
      <c r="CY54" s="20" t="n">
        <f aca="false">IF(CL54&gt;PR_BalDone,MIN(F_MortPayM,CL54+CL54*(F_MR/12)),0)</f>
        <v>0</v>
      </c>
      <c r="CZ54" s="20" t="n">
        <f aca="false">IF(CM54&gt;PR_BalDone,MIN(F_MortPayM,CM54+CM54*(F_MR/12)),0)</f>
        <v>0</v>
      </c>
      <c r="DA54" s="20" t="n">
        <f aca="false">IF(CN54&gt;PR_BalDone,MIN(F_MortPayM,CN54+CN54*(F_MR/12)),0)</f>
        <v>0</v>
      </c>
      <c r="DB54" s="20" t="n">
        <f aca="false">IF(CO54&gt;PR_BalDone,MIN(F_MortPayM,CO54+CO54*(F_MR/12)),0)</f>
        <v>0</v>
      </c>
      <c r="DC54" s="20" t="n">
        <f aca="false">IF(CP54&gt;PR_BalDone,MIN(F_MortPayM,CP54+CP54*(F_MR/12)),0)</f>
        <v>0</v>
      </c>
      <c r="DD54" s="20" t="n">
        <f aca="false">IF(CQ54&gt;PR_BalDone,MIN(F_MortPayM,CQ54+CQ54*(F_MR/12)),0)</f>
        <v>0</v>
      </c>
      <c r="DE54" s="20" t="n">
        <f aca="false">MAX(0,CR54)</f>
        <v>0</v>
      </c>
      <c r="DF54" s="20" t="n">
        <f aca="false">SUM(CS54:DD54)</f>
        <v>0</v>
      </c>
      <c r="DG54" s="20" t="n">
        <f aca="false">MAX(0,CF54)</f>
        <v>0</v>
      </c>
    </row>
    <row r="55" customFormat="false" ht="15" hidden="false" customHeight="true" outlineLevel="0" collapsed="false">
      <c r="B55" s="20" t="n">
        <v>47</v>
      </c>
      <c r="C55" s="20" t="n">
        <f aca="false">'Plan cashflow'!J55</f>
        <v>0</v>
      </c>
      <c r="D55" s="20" t="n">
        <f aca="false">IF(C55&gt;PR_BalDone,C55+C55*(F_MR/12)-MIN(F_MortPayM,C55+C55*(F_MR/12)),C55)</f>
        <v>0</v>
      </c>
      <c r="E55" s="20" t="n">
        <f aca="false">IF(D55&gt;PR_BalDone,D55+D55*(F_MR/12)-MIN(F_MortPayM,D55+D55*(F_MR/12)),D55)</f>
        <v>0</v>
      </c>
      <c r="F55" s="20" t="n">
        <f aca="false">IF(E55&gt;PR_BalDone,E55+E55*(F_MR/12)-MIN(F_MortPayM,E55+E55*(F_MR/12)),E55)</f>
        <v>0</v>
      </c>
      <c r="G55" s="20" t="n">
        <f aca="false">IF(F55&gt;PR_BalDone,F55+F55*(F_MR/12)-MIN(F_MortPayM,F55+F55*(F_MR/12)),F55)</f>
        <v>0</v>
      </c>
      <c r="H55" s="20" t="n">
        <f aca="false">IF(G55&gt;PR_BalDone,G55+G55*(F_MR/12)-MIN(F_MortPayM,G55+G55*(F_MR/12)),G55)</f>
        <v>0</v>
      </c>
      <c r="I55" s="20" t="n">
        <f aca="false">IF(H55&gt;PR_BalDone,H55+H55*(F_MR/12)-MIN(F_MortPayM,H55+H55*(F_MR/12)),H55)</f>
        <v>0</v>
      </c>
      <c r="J55" s="20" t="n">
        <f aca="false">IF(I55&gt;PR_BalDone,I55+I55*(F_MR/12)-MIN(F_MortPayM,I55+I55*(F_MR/12)),I55)</f>
        <v>0</v>
      </c>
      <c r="K55" s="20" t="n">
        <f aca="false">IF(J55&gt;PR_BalDone,J55+J55*(F_MR/12)-MIN(F_MortPayM,J55+J55*(F_MR/12)),J55)</f>
        <v>0</v>
      </c>
      <c r="L55" s="20" t="n">
        <f aca="false">IF(K55&gt;PR_BalDone,K55+K55*(F_MR/12)-MIN(F_MortPayM,K55+K55*(F_MR/12)),K55)</f>
        <v>0</v>
      </c>
      <c r="M55" s="20" t="n">
        <f aca="false">IF(L55&gt;PR_BalDone,L55+L55*(F_MR/12)-MIN(F_MortPayM,L55+L55*(F_MR/12)),L55)</f>
        <v>0</v>
      </c>
      <c r="N55" s="20" t="n">
        <f aca="false">IF(M55&gt;PR_BalDone,M55+M55*(F_MR/12)-MIN(F_MortPayM,M55+M55*(F_MR/12)),M55)</f>
        <v>0</v>
      </c>
      <c r="O55" s="20" t="n">
        <f aca="false">IF(N55&gt;PR_BalDone,N55+N55*(F_MR/12)-MIN(F_MortPayM,N55+N55*(F_MR/12)),N55)</f>
        <v>0</v>
      </c>
      <c r="P55" s="20" t="n">
        <f aca="false">IF(C55&gt;PR_BalDone,MIN(F_MortPayM,C55+C55*(F_MR/12)),0)</f>
        <v>0</v>
      </c>
      <c r="Q55" s="20" t="n">
        <f aca="false">IF(D55&gt;PR_BalDone,MIN(F_MortPayM,D55+D55*(F_MR/12)),0)</f>
        <v>0</v>
      </c>
      <c r="R55" s="20" t="n">
        <f aca="false">IF(E55&gt;PR_BalDone,MIN(F_MortPayM,E55+E55*(F_MR/12)),0)</f>
        <v>0</v>
      </c>
      <c r="S55" s="20" t="n">
        <f aca="false">IF(F55&gt;PR_BalDone,MIN(F_MortPayM,F55+F55*(F_MR/12)),0)</f>
        <v>0</v>
      </c>
      <c r="T55" s="20" t="n">
        <f aca="false">IF(G55&gt;PR_BalDone,MIN(F_MortPayM,G55+G55*(F_MR/12)),0)</f>
        <v>0</v>
      </c>
      <c r="U55" s="20" t="n">
        <f aca="false">IF(H55&gt;PR_BalDone,MIN(F_MortPayM,H55+H55*(F_MR/12)),0)</f>
        <v>0</v>
      </c>
      <c r="V55" s="20" t="n">
        <f aca="false">IF(I55&gt;PR_BalDone,MIN(F_MortPayM,I55+I55*(F_MR/12)),0)</f>
        <v>0</v>
      </c>
      <c r="W55" s="20" t="n">
        <f aca="false">IF(J55&gt;PR_BalDone,MIN(F_MortPayM,J55+J55*(F_MR/12)),0)</f>
        <v>0</v>
      </c>
      <c r="X55" s="20" t="n">
        <f aca="false">IF(K55&gt;PR_BalDone,MIN(F_MortPayM,K55+K55*(F_MR/12)),0)</f>
        <v>0</v>
      </c>
      <c r="Y55" s="20" t="n">
        <f aca="false">IF(L55&gt;PR_BalDone,MIN(F_MortPayM,L55+L55*(F_MR/12)),0)</f>
        <v>0</v>
      </c>
      <c r="Z55" s="20" t="n">
        <f aca="false">IF(M55&gt;PR_BalDone,MIN(F_MortPayM,M55+M55*(F_MR/12)),0)</f>
        <v>0</v>
      </c>
      <c r="AA55" s="20" t="n">
        <f aca="false">IF(N55&gt;PR_BalDone,MIN(F_MortPayM,N55+N55*(F_MR/12)),0)</f>
        <v>0</v>
      </c>
      <c r="AB55" s="20" t="n">
        <f aca="false">MAX(0,O55)</f>
        <v>0</v>
      </c>
      <c r="AC55" s="20" t="n">
        <f aca="false">SUM(P55:AA55)</f>
        <v>0</v>
      </c>
      <c r="AD55" s="20" t="n">
        <f aca="false">'Plan cashflow'!M55</f>
        <v>0</v>
      </c>
      <c r="AE55" s="20" t="n">
        <f aca="false">IF(AD55&gt;PR_BalDone,AD55+AD55*(D_iC)-MIN(F_CardPayM,AD55+AD55*(D_iC)),AD55)</f>
        <v>0</v>
      </c>
      <c r="AF55" s="20" t="n">
        <f aca="false">IF(AE55&gt;PR_BalDone,AE55+AE55*(D_iC)-MIN(F_CardPayM,AE55+AE55*(D_iC)),AE55)</f>
        <v>0</v>
      </c>
      <c r="AG55" s="20" t="n">
        <f aca="false">IF(AF55&gt;PR_BalDone,AF55+AF55*(D_iC)-MIN(F_CardPayM,AF55+AF55*(D_iC)),AF55)</f>
        <v>0</v>
      </c>
      <c r="AH55" s="20" t="n">
        <f aca="false">IF(AG55&gt;PR_BalDone,AG55+AG55*(D_iC)-MIN(F_CardPayM,AG55+AG55*(D_iC)),AG55)</f>
        <v>0</v>
      </c>
      <c r="AI55" s="20" t="n">
        <f aca="false">IF(AH55&gt;PR_BalDone,AH55+AH55*(D_iC)-MIN(F_CardPayM,AH55+AH55*(D_iC)),AH55)</f>
        <v>0</v>
      </c>
      <c r="AJ55" s="20" t="n">
        <f aca="false">IF(AI55&gt;PR_BalDone,AI55+AI55*(D_iC)-MIN(F_CardPayM,AI55+AI55*(D_iC)),AI55)</f>
        <v>0</v>
      </c>
      <c r="AK55" s="20" t="n">
        <f aca="false">IF(AJ55&gt;PR_BalDone,AJ55+AJ55*(D_iC)-MIN(F_CardPayM,AJ55+AJ55*(D_iC)),AJ55)</f>
        <v>0</v>
      </c>
      <c r="AL55" s="20" t="n">
        <f aca="false">IF(AK55&gt;PR_BalDone,AK55+AK55*(D_iC)-MIN(F_CardPayM,AK55+AK55*(D_iC)),AK55)</f>
        <v>0</v>
      </c>
      <c r="AM55" s="20" t="n">
        <f aca="false">IF(AL55&gt;PR_BalDone,AL55+AL55*(D_iC)-MIN(F_CardPayM,AL55+AL55*(D_iC)),AL55)</f>
        <v>0</v>
      </c>
      <c r="AN55" s="20" t="n">
        <f aca="false">IF(AM55&gt;PR_BalDone,AM55+AM55*(D_iC)-MIN(F_CardPayM,AM55+AM55*(D_iC)),AM55)</f>
        <v>0</v>
      </c>
      <c r="AO55" s="20" t="n">
        <f aca="false">IF(AN55&gt;PR_BalDone,AN55+AN55*(D_iC)-MIN(F_CardPayM,AN55+AN55*(D_iC)),AN55)</f>
        <v>0</v>
      </c>
      <c r="AP55" s="20" t="n">
        <f aca="false">IF(AO55&gt;PR_BalDone,AO55+AO55*(D_iC)-MIN(F_CardPayM,AO55+AO55*(D_iC)),AO55)</f>
        <v>0</v>
      </c>
      <c r="AQ55" s="20" t="n">
        <f aca="false">IF(AD55&gt;PR_BalDone,MIN(F_CardPayM,AD55+AD55*(D_iC)),0)</f>
        <v>0</v>
      </c>
      <c r="AR55" s="20" t="n">
        <f aca="false">IF(AE55&gt;PR_BalDone,MIN(F_CardPayM,AE55+AE55*(D_iC)),0)</f>
        <v>0</v>
      </c>
      <c r="AS55" s="20" t="n">
        <f aca="false">IF(AF55&gt;PR_BalDone,MIN(F_CardPayM,AF55+AF55*(D_iC)),0)</f>
        <v>0</v>
      </c>
      <c r="AT55" s="20" t="n">
        <f aca="false">IF(AG55&gt;PR_BalDone,MIN(F_CardPayM,AG55+AG55*(D_iC)),0)</f>
        <v>0</v>
      </c>
      <c r="AU55" s="20" t="n">
        <f aca="false">IF(AH55&gt;PR_BalDone,MIN(F_CardPayM,AH55+AH55*(D_iC)),0)</f>
        <v>0</v>
      </c>
      <c r="AV55" s="20" t="n">
        <f aca="false">IF(AI55&gt;PR_BalDone,MIN(F_CardPayM,AI55+AI55*(D_iC)),0)</f>
        <v>0</v>
      </c>
      <c r="AW55" s="20" t="n">
        <f aca="false">IF(AJ55&gt;PR_BalDone,MIN(F_CardPayM,AJ55+AJ55*(D_iC)),0)</f>
        <v>0</v>
      </c>
      <c r="AX55" s="20" t="n">
        <f aca="false">IF(AK55&gt;PR_BalDone,MIN(F_CardPayM,AK55+AK55*(D_iC)),0)</f>
        <v>0</v>
      </c>
      <c r="AY55" s="20" t="n">
        <f aca="false">IF(AL55&gt;PR_BalDone,MIN(F_CardPayM,AL55+AL55*(D_iC)),0)</f>
        <v>0</v>
      </c>
      <c r="AZ55" s="20" t="n">
        <f aca="false">IF(AM55&gt;PR_BalDone,MIN(F_CardPayM,AM55+AM55*(D_iC)),0)</f>
        <v>0</v>
      </c>
      <c r="BA55" s="20" t="n">
        <f aca="false">IF(AN55&gt;PR_BalDone,MIN(F_CardPayM,AN55+AN55*(D_iC)),0)</f>
        <v>0</v>
      </c>
      <c r="BB55" s="20" t="n">
        <f aca="false">IF(AO55&gt;PR_BalDone,MIN(F_CardPayM,AO55+AO55*(D_iC)),0)</f>
        <v>0</v>
      </c>
      <c r="BC55" s="20" t="n">
        <f aca="false">MAX(0,AP55)</f>
        <v>0</v>
      </c>
      <c r="BD55" s="20" t="n">
        <f aca="false">SUM(AQ55:BB55)</f>
        <v>0</v>
      </c>
      <c r="BE55" s="20" t="n">
        <f aca="false">'Plan cashflow'!P55</f>
        <v>0</v>
      </c>
      <c r="BF55" s="20" t="n">
        <f aca="false">IF(BE55&gt;PR_BalDone,BE55+BE55*(D_iL)-MIN(F_LoanPayM,BE55+BE55*(D_iL)),BE55)</f>
        <v>0</v>
      </c>
      <c r="BG55" s="20" t="n">
        <f aca="false">IF(BF55&gt;PR_BalDone,BF55+BF55*(D_iL)-MIN(F_LoanPayM,BF55+BF55*(D_iL)),BF55)</f>
        <v>0</v>
      </c>
      <c r="BH55" s="20" t="n">
        <f aca="false">IF(BG55&gt;PR_BalDone,BG55+BG55*(D_iL)-MIN(F_LoanPayM,BG55+BG55*(D_iL)),BG55)</f>
        <v>0</v>
      </c>
      <c r="BI55" s="20" t="n">
        <f aca="false">IF(BH55&gt;PR_BalDone,BH55+BH55*(D_iL)-MIN(F_LoanPayM,BH55+BH55*(D_iL)),BH55)</f>
        <v>0</v>
      </c>
      <c r="BJ55" s="20" t="n">
        <f aca="false">IF(BI55&gt;PR_BalDone,BI55+BI55*(D_iL)-MIN(F_LoanPayM,BI55+BI55*(D_iL)),BI55)</f>
        <v>0</v>
      </c>
      <c r="BK55" s="20" t="n">
        <f aca="false">IF(BJ55&gt;PR_BalDone,BJ55+BJ55*(D_iL)-MIN(F_LoanPayM,BJ55+BJ55*(D_iL)),BJ55)</f>
        <v>0</v>
      </c>
      <c r="BL55" s="20" t="n">
        <f aca="false">IF(BK55&gt;PR_BalDone,BK55+BK55*(D_iL)-MIN(F_LoanPayM,BK55+BK55*(D_iL)),BK55)</f>
        <v>0</v>
      </c>
      <c r="BM55" s="20" t="n">
        <f aca="false">IF(BL55&gt;PR_BalDone,BL55+BL55*(D_iL)-MIN(F_LoanPayM,BL55+BL55*(D_iL)),BL55)</f>
        <v>0</v>
      </c>
      <c r="BN55" s="20" t="n">
        <f aca="false">IF(BM55&gt;PR_BalDone,BM55+BM55*(D_iL)-MIN(F_LoanPayM,BM55+BM55*(D_iL)),BM55)</f>
        <v>0</v>
      </c>
      <c r="BO55" s="20" t="n">
        <f aca="false">IF(BN55&gt;PR_BalDone,BN55+BN55*(D_iL)-MIN(F_LoanPayM,BN55+BN55*(D_iL)),BN55)</f>
        <v>0</v>
      </c>
      <c r="BP55" s="20" t="n">
        <f aca="false">IF(BO55&gt;PR_BalDone,BO55+BO55*(D_iL)-MIN(F_LoanPayM,BO55+BO55*(D_iL)),BO55)</f>
        <v>0</v>
      </c>
      <c r="BQ55" s="20" t="n">
        <f aca="false">IF(BP55&gt;PR_BalDone,BP55+BP55*(D_iL)-MIN(F_LoanPayM,BP55+BP55*(D_iL)),BP55)</f>
        <v>0</v>
      </c>
      <c r="BR55" s="20" t="n">
        <f aca="false">IF(BE55&gt;PR_BalDone,MIN(F_LoanPayM,BE55+BE55*(D_iL)),0)</f>
        <v>0</v>
      </c>
      <c r="BS55" s="20" t="n">
        <f aca="false">IF(BF55&gt;PR_BalDone,MIN(F_LoanPayM,BF55+BF55*(D_iL)),0)</f>
        <v>0</v>
      </c>
      <c r="BT55" s="20" t="n">
        <f aca="false">IF(BG55&gt;PR_BalDone,MIN(F_LoanPayM,BG55+BG55*(D_iL)),0)</f>
        <v>0</v>
      </c>
      <c r="BU55" s="20" t="n">
        <f aca="false">IF(BH55&gt;PR_BalDone,MIN(F_LoanPayM,BH55+BH55*(D_iL)),0)</f>
        <v>0</v>
      </c>
      <c r="BV55" s="20" t="n">
        <f aca="false">IF(BI55&gt;PR_BalDone,MIN(F_LoanPayM,BI55+BI55*(D_iL)),0)</f>
        <v>0</v>
      </c>
      <c r="BW55" s="20" t="n">
        <f aca="false">IF(BJ55&gt;PR_BalDone,MIN(F_LoanPayM,BJ55+BJ55*(D_iL)),0)</f>
        <v>0</v>
      </c>
      <c r="BX55" s="20" t="n">
        <f aca="false">IF(BK55&gt;PR_BalDone,MIN(F_LoanPayM,BK55+BK55*(D_iL)),0)</f>
        <v>0</v>
      </c>
      <c r="BY55" s="20" t="n">
        <f aca="false">IF(BL55&gt;PR_BalDone,MIN(F_LoanPayM,BL55+BL55*(D_iL)),0)</f>
        <v>0</v>
      </c>
      <c r="BZ55" s="20" t="n">
        <f aca="false">IF(BM55&gt;PR_BalDone,MIN(F_LoanPayM,BM55+BM55*(D_iL)),0)</f>
        <v>0</v>
      </c>
      <c r="CA55" s="20" t="n">
        <f aca="false">IF(BN55&gt;PR_BalDone,MIN(F_LoanPayM,BN55+BN55*(D_iL)),0)</f>
        <v>0</v>
      </c>
      <c r="CB55" s="20" t="n">
        <f aca="false">IF(BO55&gt;PR_BalDone,MIN(F_LoanPayM,BO55+BO55*(D_iL)),0)</f>
        <v>0</v>
      </c>
      <c r="CC55" s="20" t="n">
        <f aca="false">IF(BP55&gt;PR_BalDone,MIN(F_LoanPayM,BP55+BP55*(D_iL)),0)</f>
        <v>0</v>
      </c>
      <c r="CD55" s="20" t="n">
        <f aca="false">MAX(0,BQ55)</f>
        <v>0</v>
      </c>
      <c r="CE55" s="20" t="n">
        <f aca="false">SUM(BR55:CC55)</f>
        <v>0</v>
      </c>
      <c r="CF55" s="20" t="n">
        <f aca="false">IF(CF54&gt;1,DE54,CF54)</f>
        <v>0</v>
      </c>
      <c r="CG55" s="20" t="n">
        <f aca="false">IF(CF55&gt;PR_BalDone,CF55+CF55*(F_MR/12)-MIN(F_MortPayM,CF55+CF55*(F_MR/12)),CF55)</f>
        <v>0</v>
      </c>
      <c r="CH55" s="20" t="n">
        <f aca="false">IF(CG55&gt;PR_BalDone,CG55+CG55*(F_MR/12)-MIN(F_MortPayM,CG55+CG55*(F_MR/12)),CG55)</f>
        <v>0</v>
      </c>
      <c r="CI55" s="20" t="n">
        <f aca="false">IF(CH55&gt;PR_BalDone,CH55+CH55*(F_MR/12)-MIN(F_MortPayM,CH55+CH55*(F_MR/12)),CH55)</f>
        <v>0</v>
      </c>
      <c r="CJ55" s="20" t="n">
        <f aca="false">IF(CI55&gt;PR_BalDone,CI55+CI55*(F_MR/12)-MIN(F_MortPayM,CI55+CI55*(F_MR/12)),CI55)</f>
        <v>0</v>
      </c>
      <c r="CK55" s="20" t="n">
        <f aca="false">IF(CJ55&gt;PR_BalDone,CJ55+CJ55*(F_MR/12)-MIN(F_MortPayM,CJ55+CJ55*(F_MR/12)),CJ55)</f>
        <v>0</v>
      </c>
      <c r="CL55" s="20" t="n">
        <f aca="false">IF(CK55&gt;PR_BalDone,CK55+CK55*(F_MR/12)-MIN(F_MortPayM,CK55+CK55*(F_MR/12)),CK55)</f>
        <v>0</v>
      </c>
      <c r="CM55" s="20" t="n">
        <f aca="false">IF(CL55&gt;PR_BalDone,CL55+CL55*(F_MR/12)-MIN(F_MortPayM,CL55+CL55*(F_MR/12)),CL55)</f>
        <v>0</v>
      </c>
      <c r="CN55" s="20" t="n">
        <f aca="false">IF(CM55&gt;PR_BalDone,CM55+CM55*(F_MR/12)-MIN(F_MortPayM,CM55+CM55*(F_MR/12)),CM55)</f>
        <v>0</v>
      </c>
      <c r="CO55" s="20" t="n">
        <f aca="false">IF(CN55&gt;PR_BalDone,CN55+CN55*(F_MR/12)-MIN(F_MortPayM,CN55+CN55*(F_MR/12)),CN55)</f>
        <v>0</v>
      </c>
      <c r="CP55" s="20" t="n">
        <f aca="false">IF(CO55&gt;PR_BalDone,CO55+CO55*(F_MR/12)-MIN(F_MortPayM,CO55+CO55*(F_MR/12)),CO55)</f>
        <v>0</v>
      </c>
      <c r="CQ55" s="20" t="n">
        <f aca="false">IF(CP55&gt;PR_BalDone,CP55+CP55*(F_MR/12)-MIN(F_MortPayM,CP55+CP55*(F_MR/12)),CP55)</f>
        <v>0</v>
      </c>
      <c r="CR55" s="20" t="n">
        <f aca="false">IF(CQ55&gt;PR_BalDone,CQ55+CQ55*(F_MR/12)-MIN(F_MortPayM,CQ55+CQ55*(F_MR/12)),CQ55)</f>
        <v>0</v>
      </c>
      <c r="CS55" s="20" t="n">
        <f aca="false">IF(CF55&gt;PR_BalDone,MIN(F_MortPayM,CF55+CF55*(F_MR/12)),0)</f>
        <v>0</v>
      </c>
      <c r="CT55" s="20" t="n">
        <f aca="false">IF(CG55&gt;PR_BalDone,MIN(F_MortPayM,CG55+CG55*(F_MR/12)),0)</f>
        <v>0</v>
      </c>
      <c r="CU55" s="20" t="n">
        <f aca="false">IF(CH55&gt;PR_BalDone,MIN(F_MortPayM,CH55+CH55*(F_MR/12)),0)</f>
        <v>0</v>
      </c>
      <c r="CV55" s="20" t="n">
        <f aca="false">IF(CI55&gt;PR_BalDone,MIN(F_MortPayM,CI55+CI55*(F_MR/12)),0)</f>
        <v>0</v>
      </c>
      <c r="CW55" s="20" t="n">
        <f aca="false">IF(CJ55&gt;PR_BalDone,MIN(F_MortPayM,CJ55+CJ55*(F_MR/12)),0)</f>
        <v>0</v>
      </c>
      <c r="CX55" s="20" t="n">
        <f aca="false">IF(CK55&gt;PR_BalDone,MIN(F_MortPayM,CK55+CK55*(F_MR/12)),0)</f>
        <v>0</v>
      </c>
      <c r="CY55" s="20" t="n">
        <f aca="false">IF(CL55&gt;PR_BalDone,MIN(F_MortPayM,CL55+CL55*(F_MR/12)),0)</f>
        <v>0</v>
      </c>
      <c r="CZ55" s="20" t="n">
        <f aca="false">IF(CM55&gt;PR_BalDone,MIN(F_MortPayM,CM55+CM55*(F_MR/12)),0)</f>
        <v>0</v>
      </c>
      <c r="DA55" s="20" t="n">
        <f aca="false">IF(CN55&gt;PR_BalDone,MIN(F_MortPayM,CN55+CN55*(F_MR/12)),0)</f>
        <v>0</v>
      </c>
      <c r="DB55" s="20" t="n">
        <f aca="false">IF(CO55&gt;PR_BalDone,MIN(F_MortPayM,CO55+CO55*(F_MR/12)),0)</f>
        <v>0</v>
      </c>
      <c r="DC55" s="20" t="n">
        <f aca="false">IF(CP55&gt;PR_BalDone,MIN(F_MortPayM,CP55+CP55*(F_MR/12)),0)</f>
        <v>0</v>
      </c>
      <c r="DD55" s="20" t="n">
        <f aca="false">IF(CQ55&gt;PR_BalDone,MIN(F_MortPayM,CQ55+CQ55*(F_MR/12)),0)</f>
        <v>0</v>
      </c>
      <c r="DE55" s="20" t="n">
        <f aca="false">MAX(0,CR55)</f>
        <v>0</v>
      </c>
      <c r="DF55" s="20" t="n">
        <f aca="false">SUM(CS55:DD55)</f>
        <v>0</v>
      </c>
      <c r="DG55" s="20" t="n">
        <f aca="false">MAX(0,CF55)</f>
        <v>0</v>
      </c>
    </row>
    <row r="56" customFormat="false" ht="15" hidden="false" customHeight="true" outlineLevel="0" collapsed="false">
      <c r="B56" s="20" t="n">
        <v>48</v>
      </c>
      <c r="C56" s="20" t="n">
        <f aca="false">'Plan cashflow'!J56</f>
        <v>0</v>
      </c>
      <c r="D56" s="20" t="n">
        <f aca="false">IF(C56&gt;PR_BalDone,C56+C56*(F_MR/12)-MIN(F_MortPayM,C56+C56*(F_MR/12)),C56)</f>
        <v>0</v>
      </c>
      <c r="E56" s="20" t="n">
        <f aca="false">IF(D56&gt;PR_BalDone,D56+D56*(F_MR/12)-MIN(F_MortPayM,D56+D56*(F_MR/12)),D56)</f>
        <v>0</v>
      </c>
      <c r="F56" s="20" t="n">
        <f aca="false">IF(E56&gt;PR_BalDone,E56+E56*(F_MR/12)-MIN(F_MortPayM,E56+E56*(F_MR/12)),E56)</f>
        <v>0</v>
      </c>
      <c r="G56" s="20" t="n">
        <f aca="false">IF(F56&gt;PR_BalDone,F56+F56*(F_MR/12)-MIN(F_MortPayM,F56+F56*(F_MR/12)),F56)</f>
        <v>0</v>
      </c>
      <c r="H56" s="20" t="n">
        <f aca="false">IF(G56&gt;PR_BalDone,G56+G56*(F_MR/12)-MIN(F_MortPayM,G56+G56*(F_MR/12)),G56)</f>
        <v>0</v>
      </c>
      <c r="I56" s="20" t="n">
        <f aca="false">IF(H56&gt;PR_BalDone,H56+H56*(F_MR/12)-MIN(F_MortPayM,H56+H56*(F_MR/12)),H56)</f>
        <v>0</v>
      </c>
      <c r="J56" s="20" t="n">
        <f aca="false">IF(I56&gt;PR_BalDone,I56+I56*(F_MR/12)-MIN(F_MortPayM,I56+I56*(F_MR/12)),I56)</f>
        <v>0</v>
      </c>
      <c r="K56" s="20" t="n">
        <f aca="false">IF(J56&gt;PR_BalDone,J56+J56*(F_MR/12)-MIN(F_MortPayM,J56+J56*(F_MR/12)),J56)</f>
        <v>0</v>
      </c>
      <c r="L56" s="20" t="n">
        <f aca="false">IF(K56&gt;PR_BalDone,K56+K56*(F_MR/12)-MIN(F_MortPayM,K56+K56*(F_MR/12)),K56)</f>
        <v>0</v>
      </c>
      <c r="M56" s="20" t="n">
        <f aca="false">IF(L56&gt;PR_BalDone,L56+L56*(F_MR/12)-MIN(F_MortPayM,L56+L56*(F_MR/12)),L56)</f>
        <v>0</v>
      </c>
      <c r="N56" s="20" t="n">
        <f aca="false">IF(M56&gt;PR_BalDone,M56+M56*(F_MR/12)-MIN(F_MortPayM,M56+M56*(F_MR/12)),M56)</f>
        <v>0</v>
      </c>
      <c r="O56" s="20" t="n">
        <f aca="false">IF(N56&gt;PR_BalDone,N56+N56*(F_MR/12)-MIN(F_MortPayM,N56+N56*(F_MR/12)),N56)</f>
        <v>0</v>
      </c>
      <c r="P56" s="20" t="n">
        <f aca="false">IF(C56&gt;PR_BalDone,MIN(F_MortPayM,C56+C56*(F_MR/12)),0)</f>
        <v>0</v>
      </c>
      <c r="Q56" s="20" t="n">
        <f aca="false">IF(D56&gt;PR_BalDone,MIN(F_MortPayM,D56+D56*(F_MR/12)),0)</f>
        <v>0</v>
      </c>
      <c r="R56" s="20" t="n">
        <f aca="false">IF(E56&gt;PR_BalDone,MIN(F_MortPayM,E56+E56*(F_MR/12)),0)</f>
        <v>0</v>
      </c>
      <c r="S56" s="20" t="n">
        <f aca="false">IF(F56&gt;PR_BalDone,MIN(F_MortPayM,F56+F56*(F_MR/12)),0)</f>
        <v>0</v>
      </c>
      <c r="T56" s="20" t="n">
        <f aca="false">IF(G56&gt;PR_BalDone,MIN(F_MortPayM,G56+G56*(F_MR/12)),0)</f>
        <v>0</v>
      </c>
      <c r="U56" s="20" t="n">
        <f aca="false">IF(H56&gt;PR_BalDone,MIN(F_MortPayM,H56+H56*(F_MR/12)),0)</f>
        <v>0</v>
      </c>
      <c r="V56" s="20" t="n">
        <f aca="false">IF(I56&gt;PR_BalDone,MIN(F_MortPayM,I56+I56*(F_MR/12)),0)</f>
        <v>0</v>
      </c>
      <c r="W56" s="20" t="n">
        <f aca="false">IF(J56&gt;PR_BalDone,MIN(F_MortPayM,J56+J56*(F_MR/12)),0)</f>
        <v>0</v>
      </c>
      <c r="X56" s="20" t="n">
        <f aca="false">IF(K56&gt;PR_BalDone,MIN(F_MortPayM,K56+K56*(F_MR/12)),0)</f>
        <v>0</v>
      </c>
      <c r="Y56" s="20" t="n">
        <f aca="false">IF(L56&gt;PR_BalDone,MIN(F_MortPayM,L56+L56*(F_MR/12)),0)</f>
        <v>0</v>
      </c>
      <c r="Z56" s="20" t="n">
        <f aca="false">IF(M56&gt;PR_BalDone,MIN(F_MortPayM,M56+M56*(F_MR/12)),0)</f>
        <v>0</v>
      </c>
      <c r="AA56" s="20" t="n">
        <f aca="false">IF(N56&gt;PR_BalDone,MIN(F_MortPayM,N56+N56*(F_MR/12)),0)</f>
        <v>0</v>
      </c>
      <c r="AB56" s="20" t="n">
        <f aca="false">MAX(0,O56)</f>
        <v>0</v>
      </c>
      <c r="AC56" s="20" t="n">
        <f aca="false">SUM(P56:AA56)</f>
        <v>0</v>
      </c>
      <c r="AD56" s="20" t="n">
        <f aca="false">'Plan cashflow'!M56</f>
        <v>0</v>
      </c>
      <c r="AE56" s="20" t="n">
        <f aca="false">IF(AD56&gt;PR_BalDone,AD56+AD56*(D_iC)-MIN(F_CardPayM,AD56+AD56*(D_iC)),AD56)</f>
        <v>0</v>
      </c>
      <c r="AF56" s="20" t="n">
        <f aca="false">IF(AE56&gt;PR_BalDone,AE56+AE56*(D_iC)-MIN(F_CardPayM,AE56+AE56*(D_iC)),AE56)</f>
        <v>0</v>
      </c>
      <c r="AG56" s="20" t="n">
        <f aca="false">IF(AF56&gt;PR_BalDone,AF56+AF56*(D_iC)-MIN(F_CardPayM,AF56+AF56*(D_iC)),AF56)</f>
        <v>0</v>
      </c>
      <c r="AH56" s="20" t="n">
        <f aca="false">IF(AG56&gt;PR_BalDone,AG56+AG56*(D_iC)-MIN(F_CardPayM,AG56+AG56*(D_iC)),AG56)</f>
        <v>0</v>
      </c>
      <c r="AI56" s="20" t="n">
        <f aca="false">IF(AH56&gt;PR_BalDone,AH56+AH56*(D_iC)-MIN(F_CardPayM,AH56+AH56*(D_iC)),AH56)</f>
        <v>0</v>
      </c>
      <c r="AJ56" s="20" t="n">
        <f aca="false">IF(AI56&gt;PR_BalDone,AI56+AI56*(D_iC)-MIN(F_CardPayM,AI56+AI56*(D_iC)),AI56)</f>
        <v>0</v>
      </c>
      <c r="AK56" s="20" t="n">
        <f aca="false">IF(AJ56&gt;PR_BalDone,AJ56+AJ56*(D_iC)-MIN(F_CardPayM,AJ56+AJ56*(D_iC)),AJ56)</f>
        <v>0</v>
      </c>
      <c r="AL56" s="20" t="n">
        <f aca="false">IF(AK56&gt;PR_BalDone,AK56+AK56*(D_iC)-MIN(F_CardPayM,AK56+AK56*(D_iC)),AK56)</f>
        <v>0</v>
      </c>
      <c r="AM56" s="20" t="n">
        <f aca="false">IF(AL56&gt;PR_BalDone,AL56+AL56*(D_iC)-MIN(F_CardPayM,AL56+AL56*(D_iC)),AL56)</f>
        <v>0</v>
      </c>
      <c r="AN56" s="20" t="n">
        <f aca="false">IF(AM56&gt;PR_BalDone,AM56+AM56*(D_iC)-MIN(F_CardPayM,AM56+AM56*(D_iC)),AM56)</f>
        <v>0</v>
      </c>
      <c r="AO56" s="20" t="n">
        <f aca="false">IF(AN56&gt;PR_BalDone,AN56+AN56*(D_iC)-MIN(F_CardPayM,AN56+AN56*(D_iC)),AN56)</f>
        <v>0</v>
      </c>
      <c r="AP56" s="20" t="n">
        <f aca="false">IF(AO56&gt;PR_BalDone,AO56+AO56*(D_iC)-MIN(F_CardPayM,AO56+AO56*(D_iC)),AO56)</f>
        <v>0</v>
      </c>
      <c r="AQ56" s="20" t="n">
        <f aca="false">IF(AD56&gt;PR_BalDone,MIN(F_CardPayM,AD56+AD56*(D_iC)),0)</f>
        <v>0</v>
      </c>
      <c r="AR56" s="20" t="n">
        <f aca="false">IF(AE56&gt;PR_BalDone,MIN(F_CardPayM,AE56+AE56*(D_iC)),0)</f>
        <v>0</v>
      </c>
      <c r="AS56" s="20" t="n">
        <f aca="false">IF(AF56&gt;PR_BalDone,MIN(F_CardPayM,AF56+AF56*(D_iC)),0)</f>
        <v>0</v>
      </c>
      <c r="AT56" s="20" t="n">
        <f aca="false">IF(AG56&gt;PR_BalDone,MIN(F_CardPayM,AG56+AG56*(D_iC)),0)</f>
        <v>0</v>
      </c>
      <c r="AU56" s="20" t="n">
        <f aca="false">IF(AH56&gt;PR_BalDone,MIN(F_CardPayM,AH56+AH56*(D_iC)),0)</f>
        <v>0</v>
      </c>
      <c r="AV56" s="20" t="n">
        <f aca="false">IF(AI56&gt;PR_BalDone,MIN(F_CardPayM,AI56+AI56*(D_iC)),0)</f>
        <v>0</v>
      </c>
      <c r="AW56" s="20" t="n">
        <f aca="false">IF(AJ56&gt;PR_BalDone,MIN(F_CardPayM,AJ56+AJ56*(D_iC)),0)</f>
        <v>0</v>
      </c>
      <c r="AX56" s="20" t="n">
        <f aca="false">IF(AK56&gt;PR_BalDone,MIN(F_CardPayM,AK56+AK56*(D_iC)),0)</f>
        <v>0</v>
      </c>
      <c r="AY56" s="20" t="n">
        <f aca="false">IF(AL56&gt;PR_BalDone,MIN(F_CardPayM,AL56+AL56*(D_iC)),0)</f>
        <v>0</v>
      </c>
      <c r="AZ56" s="20" t="n">
        <f aca="false">IF(AM56&gt;PR_BalDone,MIN(F_CardPayM,AM56+AM56*(D_iC)),0)</f>
        <v>0</v>
      </c>
      <c r="BA56" s="20" t="n">
        <f aca="false">IF(AN56&gt;PR_BalDone,MIN(F_CardPayM,AN56+AN56*(D_iC)),0)</f>
        <v>0</v>
      </c>
      <c r="BB56" s="20" t="n">
        <f aca="false">IF(AO56&gt;PR_BalDone,MIN(F_CardPayM,AO56+AO56*(D_iC)),0)</f>
        <v>0</v>
      </c>
      <c r="BC56" s="20" t="n">
        <f aca="false">MAX(0,AP56)</f>
        <v>0</v>
      </c>
      <c r="BD56" s="20" t="n">
        <f aca="false">SUM(AQ56:BB56)</f>
        <v>0</v>
      </c>
      <c r="BE56" s="20" t="n">
        <f aca="false">'Plan cashflow'!P56</f>
        <v>0</v>
      </c>
      <c r="BF56" s="20" t="n">
        <f aca="false">IF(BE56&gt;PR_BalDone,BE56+BE56*(D_iL)-MIN(F_LoanPayM,BE56+BE56*(D_iL)),BE56)</f>
        <v>0</v>
      </c>
      <c r="BG56" s="20" t="n">
        <f aca="false">IF(BF56&gt;PR_BalDone,BF56+BF56*(D_iL)-MIN(F_LoanPayM,BF56+BF56*(D_iL)),BF56)</f>
        <v>0</v>
      </c>
      <c r="BH56" s="20" t="n">
        <f aca="false">IF(BG56&gt;PR_BalDone,BG56+BG56*(D_iL)-MIN(F_LoanPayM,BG56+BG56*(D_iL)),BG56)</f>
        <v>0</v>
      </c>
      <c r="BI56" s="20" t="n">
        <f aca="false">IF(BH56&gt;PR_BalDone,BH56+BH56*(D_iL)-MIN(F_LoanPayM,BH56+BH56*(D_iL)),BH56)</f>
        <v>0</v>
      </c>
      <c r="BJ56" s="20" t="n">
        <f aca="false">IF(BI56&gt;PR_BalDone,BI56+BI56*(D_iL)-MIN(F_LoanPayM,BI56+BI56*(D_iL)),BI56)</f>
        <v>0</v>
      </c>
      <c r="BK56" s="20" t="n">
        <f aca="false">IF(BJ56&gt;PR_BalDone,BJ56+BJ56*(D_iL)-MIN(F_LoanPayM,BJ56+BJ56*(D_iL)),BJ56)</f>
        <v>0</v>
      </c>
      <c r="BL56" s="20" t="n">
        <f aca="false">IF(BK56&gt;PR_BalDone,BK56+BK56*(D_iL)-MIN(F_LoanPayM,BK56+BK56*(D_iL)),BK56)</f>
        <v>0</v>
      </c>
      <c r="BM56" s="20" t="n">
        <f aca="false">IF(BL56&gt;PR_BalDone,BL56+BL56*(D_iL)-MIN(F_LoanPayM,BL56+BL56*(D_iL)),BL56)</f>
        <v>0</v>
      </c>
      <c r="BN56" s="20" t="n">
        <f aca="false">IF(BM56&gt;PR_BalDone,BM56+BM56*(D_iL)-MIN(F_LoanPayM,BM56+BM56*(D_iL)),BM56)</f>
        <v>0</v>
      </c>
      <c r="BO56" s="20" t="n">
        <f aca="false">IF(BN56&gt;PR_BalDone,BN56+BN56*(D_iL)-MIN(F_LoanPayM,BN56+BN56*(D_iL)),BN56)</f>
        <v>0</v>
      </c>
      <c r="BP56" s="20" t="n">
        <f aca="false">IF(BO56&gt;PR_BalDone,BO56+BO56*(D_iL)-MIN(F_LoanPayM,BO56+BO56*(D_iL)),BO56)</f>
        <v>0</v>
      </c>
      <c r="BQ56" s="20" t="n">
        <f aca="false">IF(BP56&gt;PR_BalDone,BP56+BP56*(D_iL)-MIN(F_LoanPayM,BP56+BP56*(D_iL)),BP56)</f>
        <v>0</v>
      </c>
      <c r="BR56" s="20" t="n">
        <f aca="false">IF(BE56&gt;PR_BalDone,MIN(F_LoanPayM,BE56+BE56*(D_iL)),0)</f>
        <v>0</v>
      </c>
      <c r="BS56" s="20" t="n">
        <f aca="false">IF(BF56&gt;PR_BalDone,MIN(F_LoanPayM,BF56+BF56*(D_iL)),0)</f>
        <v>0</v>
      </c>
      <c r="BT56" s="20" t="n">
        <f aca="false">IF(BG56&gt;PR_BalDone,MIN(F_LoanPayM,BG56+BG56*(D_iL)),0)</f>
        <v>0</v>
      </c>
      <c r="BU56" s="20" t="n">
        <f aca="false">IF(BH56&gt;PR_BalDone,MIN(F_LoanPayM,BH56+BH56*(D_iL)),0)</f>
        <v>0</v>
      </c>
      <c r="BV56" s="20" t="n">
        <f aca="false">IF(BI56&gt;PR_BalDone,MIN(F_LoanPayM,BI56+BI56*(D_iL)),0)</f>
        <v>0</v>
      </c>
      <c r="BW56" s="20" t="n">
        <f aca="false">IF(BJ56&gt;PR_BalDone,MIN(F_LoanPayM,BJ56+BJ56*(D_iL)),0)</f>
        <v>0</v>
      </c>
      <c r="BX56" s="20" t="n">
        <f aca="false">IF(BK56&gt;PR_BalDone,MIN(F_LoanPayM,BK56+BK56*(D_iL)),0)</f>
        <v>0</v>
      </c>
      <c r="BY56" s="20" t="n">
        <f aca="false">IF(BL56&gt;PR_BalDone,MIN(F_LoanPayM,BL56+BL56*(D_iL)),0)</f>
        <v>0</v>
      </c>
      <c r="BZ56" s="20" t="n">
        <f aca="false">IF(BM56&gt;PR_BalDone,MIN(F_LoanPayM,BM56+BM56*(D_iL)),0)</f>
        <v>0</v>
      </c>
      <c r="CA56" s="20" t="n">
        <f aca="false">IF(BN56&gt;PR_BalDone,MIN(F_LoanPayM,BN56+BN56*(D_iL)),0)</f>
        <v>0</v>
      </c>
      <c r="CB56" s="20" t="n">
        <f aca="false">IF(BO56&gt;PR_BalDone,MIN(F_LoanPayM,BO56+BO56*(D_iL)),0)</f>
        <v>0</v>
      </c>
      <c r="CC56" s="20" t="n">
        <f aca="false">IF(BP56&gt;PR_BalDone,MIN(F_LoanPayM,BP56+BP56*(D_iL)),0)</f>
        <v>0</v>
      </c>
      <c r="CD56" s="20" t="n">
        <f aca="false">MAX(0,BQ56)</f>
        <v>0</v>
      </c>
      <c r="CE56" s="20" t="n">
        <f aca="false">SUM(BR56:CC56)</f>
        <v>0</v>
      </c>
      <c r="CF56" s="20" t="n">
        <f aca="false">IF(CF55&gt;1,DE55,CF55)</f>
        <v>0</v>
      </c>
      <c r="CG56" s="20" t="n">
        <f aca="false">IF(CF56&gt;PR_BalDone,CF56+CF56*(F_MR/12)-MIN(F_MortPayM,CF56+CF56*(F_MR/12)),CF56)</f>
        <v>0</v>
      </c>
      <c r="CH56" s="20" t="n">
        <f aca="false">IF(CG56&gt;PR_BalDone,CG56+CG56*(F_MR/12)-MIN(F_MortPayM,CG56+CG56*(F_MR/12)),CG56)</f>
        <v>0</v>
      </c>
      <c r="CI56" s="20" t="n">
        <f aca="false">IF(CH56&gt;PR_BalDone,CH56+CH56*(F_MR/12)-MIN(F_MortPayM,CH56+CH56*(F_MR/12)),CH56)</f>
        <v>0</v>
      </c>
      <c r="CJ56" s="20" t="n">
        <f aca="false">IF(CI56&gt;PR_BalDone,CI56+CI56*(F_MR/12)-MIN(F_MortPayM,CI56+CI56*(F_MR/12)),CI56)</f>
        <v>0</v>
      </c>
      <c r="CK56" s="20" t="n">
        <f aca="false">IF(CJ56&gt;PR_BalDone,CJ56+CJ56*(F_MR/12)-MIN(F_MortPayM,CJ56+CJ56*(F_MR/12)),CJ56)</f>
        <v>0</v>
      </c>
      <c r="CL56" s="20" t="n">
        <f aca="false">IF(CK56&gt;PR_BalDone,CK56+CK56*(F_MR/12)-MIN(F_MortPayM,CK56+CK56*(F_MR/12)),CK56)</f>
        <v>0</v>
      </c>
      <c r="CM56" s="20" t="n">
        <f aca="false">IF(CL56&gt;PR_BalDone,CL56+CL56*(F_MR/12)-MIN(F_MortPayM,CL56+CL56*(F_MR/12)),CL56)</f>
        <v>0</v>
      </c>
      <c r="CN56" s="20" t="n">
        <f aca="false">IF(CM56&gt;PR_BalDone,CM56+CM56*(F_MR/12)-MIN(F_MortPayM,CM56+CM56*(F_MR/12)),CM56)</f>
        <v>0</v>
      </c>
      <c r="CO56" s="20" t="n">
        <f aca="false">IF(CN56&gt;PR_BalDone,CN56+CN56*(F_MR/12)-MIN(F_MortPayM,CN56+CN56*(F_MR/12)),CN56)</f>
        <v>0</v>
      </c>
      <c r="CP56" s="20" t="n">
        <f aca="false">IF(CO56&gt;PR_BalDone,CO56+CO56*(F_MR/12)-MIN(F_MortPayM,CO56+CO56*(F_MR/12)),CO56)</f>
        <v>0</v>
      </c>
      <c r="CQ56" s="20" t="n">
        <f aca="false">IF(CP56&gt;PR_BalDone,CP56+CP56*(F_MR/12)-MIN(F_MortPayM,CP56+CP56*(F_MR/12)),CP56)</f>
        <v>0</v>
      </c>
      <c r="CR56" s="20" t="n">
        <f aca="false">IF(CQ56&gt;PR_BalDone,CQ56+CQ56*(F_MR/12)-MIN(F_MortPayM,CQ56+CQ56*(F_MR/12)),CQ56)</f>
        <v>0</v>
      </c>
      <c r="CS56" s="20" t="n">
        <f aca="false">IF(CF56&gt;PR_BalDone,MIN(F_MortPayM,CF56+CF56*(F_MR/12)),0)</f>
        <v>0</v>
      </c>
      <c r="CT56" s="20" t="n">
        <f aca="false">IF(CG56&gt;PR_BalDone,MIN(F_MortPayM,CG56+CG56*(F_MR/12)),0)</f>
        <v>0</v>
      </c>
      <c r="CU56" s="20" t="n">
        <f aca="false">IF(CH56&gt;PR_BalDone,MIN(F_MortPayM,CH56+CH56*(F_MR/12)),0)</f>
        <v>0</v>
      </c>
      <c r="CV56" s="20" t="n">
        <f aca="false">IF(CI56&gt;PR_BalDone,MIN(F_MortPayM,CI56+CI56*(F_MR/12)),0)</f>
        <v>0</v>
      </c>
      <c r="CW56" s="20" t="n">
        <f aca="false">IF(CJ56&gt;PR_BalDone,MIN(F_MortPayM,CJ56+CJ56*(F_MR/12)),0)</f>
        <v>0</v>
      </c>
      <c r="CX56" s="20" t="n">
        <f aca="false">IF(CK56&gt;PR_BalDone,MIN(F_MortPayM,CK56+CK56*(F_MR/12)),0)</f>
        <v>0</v>
      </c>
      <c r="CY56" s="20" t="n">
        <f aca="false">IF(CL56&gt;PR_BalDone,MIN(F_MortPayM,CL56+CL56*(F_MR/12)),0)</f>
        <v>0</v>
      </c>
      <c r="CZ56" s="20" t="n">
        <f aca="false">IF(CM56&gt;PR_BalDone,MIN(F_MortPayM,CM56+CM56*(F_MR/12)),0)</f>
        <v>0</v>
      </c>
      <c r="DA56" s="20" t="n">
        <f aca="false">IF(CN56&gt;PR_BalDone,MIN(F_MortPayM,CN56+CN56*(F_MR/12)),0)</f>
        <v>0</v>
      </c>
      <c r="DB56" s="20" t="n">
        <f aca="false">IF(CO56&gt;PR_BalDone,MIN(F_MortPayM,CO56+CO56*(F_MR/12)),0)</f>
        <v>0</v>
      </c>
      <c r="DC56" s="20" t="n">
        <f aca="false">IF(CP56&gt;PR_BalDone,MIN(F_MortPayM,CP56+CP56*(F_MR/12)),0)</f>
        <v>0</v>
      </c>
      <c r="DD56" s="20" t="n">
        <f aca="false">IF(CQ56&gt;PR_BalDone,MIN(F_MortPayM,CQ56+CQ56*(F_MR/12)),0)</f>
        <v>0</v>
      </c>
      <c r="DE56" s="20" t="n">
        <f aca="false">MAX(0,CR56)</f>
        <v>0</v>
      </c>
      <c r="DF56" s="20" t="n">
        <f aca="false">SUM(CS56:DD56)</f>
        <v>0</v>
      </c>
      <c r="DG56" s="20" t="n">
        <f aca="false">MAX(0,CF56)</f>
        <v>0</v>
      </c>
    </row>
    <row r="57" customFormat="false" ht="15" hidden="false" customHeight="true" outlineLevel="0" collapsed="false">
      <c r="B57" s="20" t="n">
        <v>49</v>
      </c>
      <c r="C57" s="20" t="n">
        <f aca="false">'Plan cashflow'!J57</f>
        <v>0</v>
      </c>
      <c r="D57" s="20" t="n">
        <f aca="false">IF(C57&gt;PR_BalDone,C57+C57*(F_MR/12)-MIN(F_MortPayM,C57+C57*(F_MR/12)),C57)</f>
        <v>0</v>
      </c>
      <c r="E57" s="20" t="n">
        <f aca="false">IF(D57&gt;PR_BalDone,D57+D57*(F_MR/12)-MIN(F_MortPayM,D57+D57*(F_MR/12)),D57)</f>
        <v>0</v>
      </c>
      <c r="F57" s="20" t="n">
        <f aca="false">IF(E57&gt;PR_BalDone,E57+E57*(F_MR/12)-MIN(F_MortPayM,E57+E57*(F_MR/12)),E57)</f>
        <v>0</v>
      </c>
      <c r="G57" s="20" t="n">
        <f aca="false">IF(F57&gt;PR_BalDone,F57+F57*(F_MR/12)-MIN(F_MortPayM,F57+F57*(F_MR/12)),F57)</f>
        <v>0</v>
      </c>
      <c r="H57" s="20" t="n">
        <f aca="false">IF(G57&gt;PR_BalDone,G57+G57*(F_MR/12)-MIN(F_MortPayM,G57+G57*(F_MR/12)),G57)</f>
        <v>0</v>
      </c>
      <c r="I57" s="20" t="n">
        <f aca="false">IF(H57&gt;PR_BalDone,H57+H57*(F_MR/12)-MIN(F_MortPayM,H57+H57*(F_MR/12)),H57)</f>
        <v>0</v>
      </c>
      <c r="J57" s="20" t="n">
        <f aca="false">IF(I57&gt;PR_BalDone,I57+I57*(F_MR/12)-MIN(F_MortPayM,I57+I57*(F_MR/12)),I57)</f>
        <v>0</v>
      </c>
      <c r="K57" s="20" t="n">
        <f aca="false">IF(J57&gt;PR_BalDone,J57+J57*(F_MR/12)-MIN(F_MortPayM,J57+J57*(F_MR/12)),J57)</f>
        <v>0</v>
      </c>
      <c r="L57" s="20" t="n">
        <f aca="false">IF(K57&gt;PR_BalDone,K57+K57*(F_MR/12)-MIN(F_MortPayM,K57+K57*(F_MR/12)),K57)</f>
        <v>0</v>
      </c>
      <c r="M57" s="20" t="n">
        <f aca="false">IF(L57&gt;PR_BalDone,L57+L57*(F_MR/12)-MIN(F_MortPayM,L57+L57*(F_MR/12)),L57)</f>
        <v>0</v>
      </c>
      <c r="N57" s="20" t="n">
        <f aca="false">IF(M57&gt;PR_BalDone,M57+M57*(F_MR/12)-MIN(F_MortPayM,M57+M57*(F_MR/12)),M57)</f>
        <v>0</v>
      </c>
      <c r="O57" s="20" t="n">
        <f aca="false">IF(N57&gt;PR_BalDone,N57+N57*(F_MR/12)-MIN(F_MortPayM,N57+N57*(F_MR/12)),N57)</f>
        <v>0</v>
      </c>
      <c r="P57" s="20" t="n">
        <f aca="false">IF(C57&gt;PR_BalDone,MIN(F_MortPayM,C57+C57*(F_MR/12)),0)</f>
        <v>0</v>
      </c>
      <c r="Q57" s="20" t="n">
        <f aca="false">IF(D57&gt;PR_BalDone,MIN(F_MortPayM,D57+D57*(F_MR/12)),0)</f>
        <v>0</v>
      </c>
      <c r="R57" s="20" t="n">
        <f aca="false">IF(E57&gt;PR_BalDone,MIN(F_MortPayM,E57+E57*(F_MR/12)),0)</f>
        <v>0</v>
      </c>
      <c r="S57" s="20" t="n">
        <f aca="false">IF(F57&gt;PR_BalDone,MIN(F_MortPayM,F57+F57*(F_MR/12)),0)</f>
        <v>0</v>
      </c>
      <c r="T57" s="20" t="n">
        <f aca="false">IF(G57&gt;PR_BalDone,MIN(F_MortPayM,G57+G57*(F_MR/12)),0)</f>
        <v>0</v>
      </c>
      <c r="U57" s="20" t="n">
        <f aca="false">IF(H57&gt;PR_BalDone,MIN(F_MortPayM,H57+H57*(F_MR/12)),0)</f>
        <v>0</v>
      </c>
      <c r="V57" s="20" t="n">
        <f aca="false">IF(I57&gt;PR_BalDone,MIN(F_MortPayM,I57+I57*(F_MR/12)),0)</f>
        <v>0</v>
      </c>
      <c r="W57" s="20" t="n">
        <f aca="false">IF(J57&gt;PR_BalDone,MIN(F_MortPayM,J57+J57*(F_MR/12)),0)</f>
        <v>0</v>
      </c>
      <c r="X57" s="20" t="n">
        <f aca="false">IF(K57&gt;PR_BalDone,MIN(F_MortPayM,K57+K57*(F_MR/12)),0)</f>
        <v>0</v>
      </c>
      <c r="Y57" s="20" t="n">
        <f aca="false">IF(L57&gt;PR_BalDone,MIN(F_MortPayM,L57+L57*(F_MR/12)),0)</f>
        <v>0</v>
      </c>
      <c r="Z57" s="20" t="n">
        <f aca="false">IF(M57&gt;PR_BalDone,MIN(F_MortPayM,M57+M57*(F_MR/12)),0)</f>
        <v>0</v>
      </c>
      <c r="AA57" s="20" t="n">
        <f aca="false">IF(N57&gt;PR_BalDone,MIN(F_MortPayM,N57+N57*(F_MR/12)),0)</f>
        <v>0</v>
      </c>
      <c r="AB57" s="20" t="n">
        <f aca="false">MAX(0,O57)</f>
        <v>0</v>
      </c>
      <c r="AC57" s="20" t="n">
        <f aca="false">SUM(P57:AA57)</f>
        <v>0</v>
      </c>
      <c r="AD57" s="20" t="n">
        <f aca="false">'Plan cashflow'!M57</f>
        <v>0</v>
      </c>
      <c r="AE57" s="20" t="n">
        <f aca="false">IF(AD57&gt;PR_BalDone,AD57+AD57*(D_iC)-MIN(F_CardPayM,AD57+AD57*(D_iC)),AD57)</f>
        <v>0</v>
      </c>
      <c r="AF57" s="20" t="n">
        <f aca="false">IF(AE57&gt;PR_BalDone,AE57+AE57*(D_iC)-MIN(F_CardPayM,AE57+AE57*(D_iC)),AE57)</f>
        <v>0</v>
      </c>
      <c r="AG57" s="20" t="n">
        <f aca="false">IF(AF57&gt;PR_BalDone,AF57+AF57*(D_iC)-MIN(F_CardPayM,AF57+AF57*(D_iC)),AF57)</f>
        <v>0</v>
      </c>
      <c r="AH57" s="20" t="n">
        <f aca="false">IF(AG57&gt;PR_BalDone,AG57+AG57*(D_iC)-MIN(F_CardPayM,AG57+AG57*(D_iC)),AG57)</f>
        <v>0</v>
      </c>
      <c r="AI57" s="20" t="n">
        <f aca="false">IF(AH57&gt;PR_BalDone,AH57+AH57*(D_iC)-MIN(F_CardPayM,AH57+AH57*(D_iC)),AH57)</f>
        <v>0</v>
      </c>
      <c r="AJ57" s="20" t="n">
        <f aca="false">IF(AI57&gt;PR_BalDone,AI57+AI57*(D_iC)-MIN(F_CardPayM,AI57+AI57*(D_iC)),AI57)</f>
        <v>0</v>
      </c>
      <c r="AK57" s="20" t="n">
        <f aca="false">IF(AJ57&gt;PR_BalDone,AJ57+AJ57*(D_iC)-MIN(F_CardPayM,AJ57+AJ57*(D_iC)),AJ57)</f>
        <v>0</v>
      </c>
      <c r="AL57" s="20" t="n">
        <f aca="false">IF(AK57&gt;PR_BalDone,AK57+AK57*(D_iC)-MIN(F_CardPayM,AK57+AK57*(D_iC)),AK57)</f>
        <v>0</v>
      </c>
      <c r="AM57" s="20" t="n">
        <f aca="false">IF(AL57&gt;PR_BalDone,AL57+AL57*(D_iC)-MIN(F_CardPayM,AL57+AL57*(D_iC)),AL57)</f>
        <v>0</v>
      </c>
      <c r="AN57" s="20" t="n">
        <f aca="false">IF(AM57&gt;PR_BalDone,AM57+AM57*(D_iC)-MIN(F_CardPayM,AM57+AM57*(D_iC)),AM57)</f>
        <v>0</v>
      </c>
      <c r="AO57" s="20" t="n">
        <f aca="false">IF(AN57&gt;PR_BalDone,AN57+AN57*(D_iC)-MIN(F_CardPayM,AN57+AN57*(D_iC)),AN57)</f>
        <v>0</v>
      </c>
      <c r="AP57" s="20" t="n">
        <f aca="false">IF(AO57&gt;PR_BalDone,AO57+AO57*(D_iC)-MIN(F_CardPayM,AO57+AO57*(D_iC)),AO57)</f>
        <v>0</v>
      </c>
      <c r="AQ57" s="20" t="n">
        <f aca="false">IF(AD57&gt;PR_BalDone,MIN(F_CardPayM,AD57+AD57*(D_iC)),0)</f>
        <v>0</v>
      </c>
      <c r="AR57" s="20" t="n">
        <f aca="false">IF(AE57&gt;PR_BalDone,MIN(F_CardPayM,AE57+AE57*(D_iC)),0)</f>
        <v>0</v>
      </c>
      <c r="AS57" s="20" t="n">
        <f aca="false">IF(AF57&gt;PR_BalDone,MIN(F_CardPayM,AF57+AF57*(D_iC)),0)</f>
        <v>0</v>
      </c>
      <c r="AT57" s="20" t="n">
        <f aca="false">IF(AG57&gt;PR_BalDone,MIN(F_CardPayM,AG57+AG57*(D_iC)),0)</f>
        <v>0</v>
      </c>
      <c r="AU57" s="20" t="n">
        <f aca="false">IF(AH57&gt;PR_BalDone,MIN(F_CardPayM,AH57+AH57*(D_iC)),0)</f>
        <v>0</v>
      </c>
      <c r="AV57" s="20" t="n">
        <f aca="false">IF(AI57&gt;PR_BalDone,MIN(F_CardPayM,AI57+AI57*(D_iC)),0)</f>
        <v>0</v>
      </c>
      <c r="AW57" s="20" t="n">
        <f aca="false">IF(AJ57&gt;PR_BalDone,MIN(F_CardPayM,AJ57+AJ57*(D_iC)),0)</f>
        <v>0</v>
      </c>
      <c r="AX57" s="20" t="n">
        <f aca="false">IF(AK57&gt;PR_BalDone,MIN(F_CardPayM,AK57+AK57*(D_iC)),0)</f>
        <v>0</v>
      </c>
      <c r="AY57" s="20" t="n">
        <f aca="false">IF(AL57&gt;PR_BalDone,MIN(F_CardPayM,AL57+AL57*(D_iC)),0)</f>
        <v>0</v>
      </c>
      <c r="AZ57" s="20" t="n">
        <f aca="false">IF(AM57&gt;PR_BalDone,MIN(F_CardPayM,AM57+AM57*(D_iC)),0)</f>
        <v>0</v>
      </c>
      <c r="BA57" s="20" t="n">
        <f aca="false">IF(AN57&gt;PR_BalDone,MIN(F_CardPayM,AN57+AN57*(D_iC)),0)</f>
        <v>0</v>
      </c>
      <c r="BB57" s="20" t="n">
        <f aca="false">IF(AO57&gt;PR_BalDone,MIN(F_CardPayM,AO57+AO57*(D_iC)),0)</f>
        <v>0</v>
      </c>
      <c r="BC57" s="20" t="n">
        <f aca="false">MAX(0,AP57)</f>
        <v>0</v>
      </c>
      <c r="BD57" s="20" t="n">
        <f aca="false">SUM(AQ57:BB57)</f>
        <v>0</v>
      </c>
      <c r="BE57" s="20" t="n">
        <f aca="false">'Plan cashflow'!P57</f>
        <v>0</v>
      </c>
      <c r="BF57" s="20" t="n">
        <f aca="false">IF(BE57&gt;PR_BalDone,BE57+BE57*(D_iL)-MIN(F_LoanPayM,BE57+BE57*(D_iL)),BE57)</f>
        <v>0</v>
      </c>
      <c r="BG57" s="20" t="n">
        <f aca="false">IF(BF57&gt;PR_BalDone,BF57+BF57*(D_iL)-MIN(F_LoanPayM,BF57+BF57*(D_iL)),BF57)</f>
        <v>0</v>
      </c>
      <c r="BH57" s="20" t="n">
        <f aca="false">IF(BG57&gt;PR_BalDone,BG57+BG57*(D_iL)-MIN(F_LoanPayM,BG57+BG57*(D_iL)),BG57)</f>
        <v>0</v>
      </c>
      <c r="BI57" s="20" t="n">
        <f aca="false">IF(BH57&gt;PR_BalDone,BH57+BH57*(D_iL)-MIN(F_LoanPayM,BH57+BH57*(D_iL)),BH57)</f>
        <v>0</v>
      </c>
      <c r="BJ57" s="20" t="n">
        <f aca="false">IF(BI57&gt;PR_BalDone,BI57+BI57*(D_iL)-MIN(F_LoanPayM,BI57+BI57*(D_iL)),BI57)</f>
        <v>0</v>
      </c>
      <c r="BK57" s="20" t="n">
        <f aca="false">IF(BJ57&gt;PR_BalDone,BJ57+BJ57*(D_iL)-MIN(F_LoanPayM,BJ57+BJ57*(D_iL)),BJ57)</f>
        <v>0</v>
      </c>
      <c r="BL57" s="20" t="n">
        <f aca="false">IF(BK57&gt;PR_BalDone,BK57+BK57*(D_iL)-MIN(F_LoanPayM,BK57+BK57*(D_iL)),BK57)</f>
        <v>0</v>
      </c>
      <c r="BM57" s="20" t="n">
        <f aca="false">IF(BL57&gt;PR_BalDone,BL57+BL57*(D_iL)-MIN(F_LoanPayM,BL57+BL57*(D_iL)),BL57)</f>
        <v>0</v>
      </c>
      <c r="BN57" s="20" t="n">
        <f aca="false">IF(BM57&gt;PR_BalDone,BM57+BM57*(D_iL)-MIN(F_LoanPayM,BM57+BM57*(D_iL)),BM57)</f>
        <v>0</v>
      </c>
      <c r="BO57" s="20" t="n">
        <f aca="false">IF(BN57&gt;PR_BalDone,BN57+BN57*(D_iL)-MIN(F_LoanPayM,BN57+BN57*(D_iL)),BN57)</f>
        <v>0</v>
      </c>
      <c r="BP57" s="20" t="n">
        <f aca="false">IF(BO57&gt;PR_BalDone,BO57+BO57*(D_iL)-MIN(F_LoanPayM,BO57+BO57*(D_iL)),BO57)</f>
        <v>0</v>
      </c>
      <c r="BQ57" s="20" t="n">
        <f aca="false">IF(BP57&gt;PR_BalDone,BP57+BP57*(D_iL)-MIN(F_LoanPayM,BP57+BP57*(D_iL)),BP57)</f>
        <v>0</v>
      </c>
      <c r="BR57" s="20" t="n">
        <f aca="false">IF(BE57&gt;PR_BalDone,MIN(F_LoanPayM,BE57+BE57*(D_iL)),0)</f>
        <v>0</v>
      </c>
      <c r="BS57" s="20" t="n">
        <f aca="false">IF(BF57&gt;PR_BalDone,MIN(F_LoanPayM,BF57+BF57*(D_iL)),0)</f>
        <v>0</v>
      </c>
      <c r="BT57" s="20" t="n">
        <f aca="false">IF(BG57&gt;PR_BalDone,MIN(F_LoanPayM,BG57+BG57*(D_iL)),0)</f>
        <v>0</v>
      </c>
      <c r="BU57" s="20" t="n">
        <f aca="false">IF(BH57&gt;PR_BalDone,MIN(F_LoanPayM,BH57+BH57*(D_iL)),0)</f>
        <v>0</v>
      </c>
      <c r="BV57" s="20" t="n">
        <f aca="false">IF(BI57&gt;PR_BalDone,MIN(F_LoanPayM,BI57+BI57*(D_iL)),0)</f>
        <v>0</v>
      </c>
      <c r="BW57" s="20" t="n">
        <f aca="false">IF(BJ57&gt;PR_BalDone,MIN(F_LoanPayM,BJ57+BJ57*(D_iL)),0)</f>
        <v>0</v>
      </c>
      <c r="BX57" s="20" t="n">
        <f aca="false">IF(BK57&gt;PR_BalDone,MIN(F_LoanPayM,BK57+BK57*(D_iL)),0)</f>
        <v>0</v>
      </c>
      <c r="BY57" s="20" t="n">
        <f aca="false">IF(BL57&gt;PR_BalDone,MIN(F_LoanPayM,BL57+BL57*(D_iL)),0)</f>
        <v>0</v>
      </c>
      <c r="BZ57" s="20" t="n">
        <f aca="false">IF(BM57&gt;PR_BalDone,MIN(F_LoanPayM,BM57+BM57*(D_iL)),0)</f>
        <v>0</v>
      </c>
      <c r="CA57" s="20" t="n">
        <f aca="false">IF(BN57&gt;PR_BalDone,MIN(F_LoanPayM,BN57+BN57*(D_iL)),0)</f>
        <v>0</v>
      </c>
      <c r="CB57" s="20" t="n">
        <f aca="false">IF(BO57&gt;PR_BalDone,MIN(F_LoanPayM,BO57+BO57*(D_iL)),0)</f>
        <v>0</v>
      </c>
      <c r="CC57" s="20" t="n">
        <f aca="false">IF(BP57&gt;PR_BalDone,MIN(F_LoanPayM,BP57+BP57*(D_iL)),0)</f>
        <v>0</v>
      </c>
      <c r="CD57" s="20" t="n">
        <f aca="false">MAX(0,BQ57)</f>
        <v>0</v>
      </c>
      <c r="CE57" s="20" t="n">
        <f aca="false">SUM(BR57:CC57)</f>
        <v>0</v>
      </c>
      <c r="CF57" s="20" t="n">
        <f aca="false">IF(CF56&gt;1,DE56,CF56)</f>
        <v>0</v>
      </c>
      <c r="CG57" s="20" t="n">
        <f aca="false">IF(CF57&gt;PR_BalDone,CF57+CF57*(F_MR/12)-MIN(F_MortPayM,CF57+CF57*(F_MR/12)),CF57)</f>
        <v>0</v>
      </c>
      <c r="CH57" s="20" t="n">
        <f aca="false">IF(CG57&gt;PR_BalDone,CG57+CG57*(F_MR/12)-MIN(F_MortPayM,CG57+CG57*(F_MR/12)),CG57)</f>
        <v>0</v>
      </c>
      <c r="CI57" s="20" t="n">
        <f aca="false">IF(CH57&gt;PR_BalDone,CH57+CH57*(F_MR/12)-MIN(F_MortPayM,CH57+CH57*(F_MR/12)),CH57)</f>
        <v>0</v>
      </c>
      <c r="CJ57" s="20" t="n">
        <f aca="false">IF(CI57&gt;PR_BalDone,CI57+CI57*(F_MR/12)-MIN(F_MortPayM,CI57+CI57*(F_MR/12)),CI57)</f>
        <v>0</v>
      </c>
      <c r="CK57" s="20" t="n">
        <f aca="false">IF(CJ57&gt;PR_BalDone,CJ57+CJ57*(F_MR/12)-MIN(F_MortPayM,CJ57+CJ57*(F_MR/12)),CJ57)</f>
        <v>0</v>
      </c>
      <c r="CL57" s="20" t="n">
        <f aca="false">IF(CK57&gt;PR_BalDone,CK57+CK57*(F_MR/12)-MIN(F_MortPayM,CK57+CK57*(F_MR/12)),CK57)</f>
        <v>0</v>
      </c>
      <c r="CM57" s="20" t="n">
        <f aca="false">IF(CL57&gt;PR_BalDone,CL57+CL57*(F_MR/12)-MIN(F_MortPayM,CL57+CL57*(F_MR/12)),CL57)</f>
        <v>0</v>
      </c>
      <c r="CN57" s="20" t="n">
        <f aca="false">IF(CM57&gt;PR_BalDone,CM57+CM57*(F_MR/12)-MIN(F_MortPayM,CM57+CM57*(F_MR/12)),CM57)</f>
        <v>0</v>
      </c>
      <c r="CO57" s="20" t="n">
        <f aca="false">IF(CN57&gt;PR_BalDone,CN57+CN57*(F_MR/12)-MIN(F_MortPayM,CN57+CN57*(F_MR/12)),CN57)</f>
        <v>0</v>
      </c>
      <c r="CP57" s="20" t="n">
        <f aca="false">IF(CO57&gt;PR_BalDone,CO57+CO57*(F_MR/12)-MIN(F_MortPayM,CO57+CO57*(F_MR/12)),CO57)</f>
        <v>0</v>
      </c>
      <c r="CQ57" s="20" t="n">
        <f aca="false">IF(CP57&gt;PR_BalDone,CP57+CP57*(F_MR/12)-MIN(F_MortPayM,CP57+CP57*(F_MR/12)),CP57)</f>
        <v>0</v>
      </c>
      <c r="CR57" s="20" t="n">
        <f aca="false">IF(CQ57&gt;PR_BalDone,CQ57+CQ57*(F_MR/12)-MIN(F_MortPayM,CQ57+CQ57*(F_MR/12)),CQ57)</f>
        <v>0</v>
      </c>
      <c r="CS57" s="20" t="n">
        <f aca="false">IF(CF57&gt;PR_BalDone,MIN(F_MortPayM,CF57+CF57*(F_MR/12)),0)</f>
        <v>0</v>
      </c>
      <c r="CT57" s="20" t="n">
        <f aca="false">IF(CG57&gt;PR_BalDone,MIN(F_MortPayM,CG57+CG57*(F_MR/12)),0)</f>
        <v>0</v>
      </c>
      <c r="CU57" s="20" t="n">
        <f aca="false">IF(CH57&gt;PR_BalDone,MIN(F_MortPayM,CH57+CH57*(F_MR/12)),0)</f>
        <v>0</v>
      </c>
      <c r="CV57" s="20" t="n">
        <f aca="false">IF(CI57&gt;PR_BalDone,MIN(F_MortPayM,CI57+CI57*(F_MR/12)),0)</f>
        <v>0</v>
      </c>
      <c r="CW57" s="20" t="n">
        <f aca="false">IF(CJ57&gt;PR_BalDone,MIN(F_MortPayM,CJ57+CJ57*(F_MR/12)),0)</f>
        <v>0</v>
      </c>
      <c r="CX57" s="20" t="n">
        <f aca="false">IF(CK57&gt;PR_BalDone,MIN(F_MortPayM,CK57+CK57*(F_MR/12)),0)</f>
        <v>0</v>
      </c>
      <c r="CY57" s="20" t="n">
        <f aca="false">IF(CL57&gt;PR_BalDone,MIN(F_MortPayM,CL57+CL57*(F_MR/12)),0)</f>
        <v>0</v>
      </c>
      <c r="CZ57" s="20" t="n">
        <f aca="false">IF(CM57&gt;PR_BalDone,MIN(F_MortPayM,CM57+CM57*(F_MR/12)),0)</f>
        <v>0</v>
      </c>
      <c r="DA57" s="20" t="n">
        <f aca="false">IF(CN57&gt;PR_BalDone,MIN(F_MortPayM,CN57+CN57*(F_MR/12)),0)</f>
        <v>0</v>
      </c>
      <c r="DB57" s="20" t="n">
        <f aca="false">IF(CO57&gt;PR_BalDone,MIN(F_MortPayM,CO57+CO57*(F_MR/12)),0)</f>
        <v>0</v>
      </c>
      <c r="DC57" s="20" t="n">
        <f aca="false">IF(CP57&gt;PR_BalDone,MIN(F_MortPayM,CP57+CP57*(F_MR/12)),0)</f>
        <v>0</v>
      </c>
      <c r="DD57" s="20" t="n">
        <f aca="false">IF(CQ57&gt;PR_BalDone,MIN(F_MortPayM,CQ57+CQ57*(F_MR/12)),0)</f>
        <v>0</v>
      </c>
      <c r="DE57" s="20" t="n">
        <f aca="false">MAX(0,CR57)</f>
        <v>0</v>
      </c>
      <c r="DF57" s="20" t="n">
        <f aca="false">SUM(CS57:DD57)</f>
        <v>0</v>
      </c>
      <c r="DG57" s="20" t="n">
        <f aca="false">MAX(0,CF57)</f>
        <v>0</v>
      </c>
    </row>
    <row r="58" customFormat="false" ht="15" hidden="false" customHeight="true" outlineLevel="0" collapsed="false">
      <c r="B58" s="20" t="n">
        <v>50</v>
      </c>
      <c r="C58" s="20" t="n">
        <f aca="false">'Plan cashflow'!J58</f>
        <v>0</v>
      </c>
      <c r="D58" s="20" t="n">
        <f aca="false">IF(C58&gt;PR_BalDone,C58+C58*(F_MR/12)-MIN(F_MortPayM,C58+C58*(F_MR/12)),C58)</f>
        <v>0</v>
      </c>
      <c r="E58" s="20" t="n">
        <f aca="false">IF(D58&gt;PR_BalDone,D58+D58*(F_MR/12)-MIN(F_MortPayM,D58+D58*(F_MR/12)),D58)</f>
        <v>0</v>
      </c>
      <c r="F58" s="20" t="n">
        <f aca="false">IF(E58&gt;PR_BalDone,E58+E58*(F_MR/12)-MIN(F_MortPayM,E58+E58*(F_MR/12)),E58)</f>
        <v>0</v>
      </c>
      <c r="G58" s="20" t="n">
        <f aca="false">IF(F58&gt;PR_BalDone,F58+F58*(F_MR/12)-MIN(F_MortPayM,F58+F58*(F_MR/12)),F58)</f>
        <v>0</v>
      </c>
      <c r="H58" s="20" t="n">
        <f aca="false">IF(G58&gt;PR_BalDone,G58+G58*(F_MR/12)-MIN(F_MortPayM,G58+G58*(F_MR/12)),G58)</f>
        <v>0</v>
      </c>
      <c r="I58" s="20" t="n">
        <f aca="false">IF(H58&gt;PR_BalDone,H58+H58*(F_MR/12)-MIN(F_MortPayM,H58+H58*(F_MR/12)),H58)</f>
        <v>0</v>
      </c>
      <c r="J58" s="20" t="n">
        <f aca="false">IF(I58&gt;PR_BalDone,I58+I58*(F_MR/12)-MIN(F_MortPayM,I58+I58*(F_MR/12)),I58)</f>
        <v>0</v>
      </c>
      <c r="K58" s="20" t="n">
        <f aca="false">IF(J58&gt;PR_BalDone,J58+J58*(F_MR/12)-MIN(F_MortPayM,J58+J58*(F_MR/12)),J58)</f>
        <v>0</v>
      </c>
      <c r="L58" s="20" t="n">
        <f aca="false">IF(K58&gt;PR_BalDone,K58+K58*(F_MR/12)-MIN(F_MortPayM,K58+K58*(F_MR/12)),K58)</f>
        <v>0</v>
      </c>
      <c r="M58" s="20" t="n">
        <f aca="false">IF(L58&gt;PR_BalDone,L58+L58*(F_MR/12)-MIN(F_MortPayM,L58+L58*(F_MR/12)),L58)</f>
        <v>0</v>
      </c>
      <c r="N58" s="20" t="n">
        <f aca="false">IF(M58&gt;PR_BalDone,M58+M58*(F_MR/12)-MIN(F_MortPayM,M58+M58*(F_MR/12)),M58)</f>
        <v>0</v>
      </c>
      <c r="O58" s="20" t="n">
        <f aca="false">IF(N58&gt;PR_BalDone,N58+N58*(F_MR/12)-MIN(F_MortPayM,N58+N58*(F_MR/12)),N58)</f>
        <v>0</v>
      </c>
      <c r="P58" s="20" t="n">
        <f aca="false">IF(C58&gt;PR_BalDone,MIN(F_MortPayM,C58+C58*(F_MR/12)),0)</f>
        <v>0</v>
      </c>
      <c r="Q58" s="20" t="n">
        <f aca="false">IF(D58&gt;PR_BalDone,MIN(F_MortPayM,D58+D58*(F_MR/12)),0)</f>
        <v>0</v>
      </c>
      <c r="R58" s="20" t="n">
        <f aca="false">IF(E58&gt;PR_BalDone,MIN(F_MortPayM,E58+E58*(F_MR/12)),0)</f>
        <v>0</v>
      </c>
      <c r="S58" s="20" t="n">
        <f aca="false">IF(F58&gt;PR_BalDone,MIN(F_MortPayM,F58+F58*(F_MR/12)),0)</f>
        <v>0</v>
      </c>
      <c r="T58" s="20" t="n">
        <f aca="false">IF(G58&gt;PR_BalDone,MIN(F_MortPayM,G58+G58*(F_MR/12)),0)</f>
        <v>0</v>
      </c>
      <c r="U58" s="20" t="n">
        <f aca="false">IF(H58&gt;PR_BalDone,MIN(F_MortPayM,H58+H58*(F_MR/12)),0)</f>
        <v>0</v>
      </c>
      <c r="V58" s="20" t="n">
        <f aca="false">IF(I58&gt;PR_BalDone,MIN(F_MortPayM,I58+I58*(F_MR/12)),0)</f>
        <v>0</v>
      </c>
      <c r="W58" s="20" t="n">
        <f aca="false">IF(J58&gt;PR_BalDone,MIN(F_MortPayM,J58+J58*(F_MR/12)),0)</f>
        <v>0</v>
      </c>
      <c r="X58" s="20" t="n">
        <f aca="false">IF(K58&gt;PR_BalDone,MIN(F_MortPayM,K58+K58*(F_MR/12)),0)</f>
        <v>0</v>
      </c>
      <c r="Y58" s="20" t="n">
        <f aca="false">IF(L58&gt;PR_BalDone,MIN(F_MortPayM,L58+L58*(F_MR/12)),0)</f>
        <v>0</v>
      </c>
      <c r="Z58" s="20" t="n">
        <f aca="false">IF(M58&gt;PR_BalDone,MIN(F_MortPayM,M58+M58*(F_MR/12)),0)</f>
        <v>0</v>
      </c>
      <c r="AA58" s="20" t="n">
        <f aca="false">IF(N58&gt;PR_BalDone,MIN(F_MortPayM,N58+N58*(F_MR/12)),0)</f>
        <v>0</v>
      </c>
      <c r="AB58" s="20" t="n">
        <f aca="false">MAX(0,O58)</f>
        <v>0</v>
      </c>
      <c r="AC58" s="20" t="n">
        <f aca="false">SUM(P58:AA58)</f>
        <v>0</v>
      </c>
      <c r="AD58" s="20" t="n">
        <f aca="false">'Plan cashflow'!M58</f>
        <v>0</v>
      </c>
      <c r="AE58" s="20" t="n">
        <f aca="false">IF(AD58&gt;PR_BalDone,AD58+AD58*(D_iC)-MIN(F_CardPayM,AD58+AD58*(D_iC)),AD58)</f>
        <v>0</v>
      </c>
      <c r="AF58" s="20" t="n">
        <f aca="false">IF(AE58&gt;PR_BalDone,AE58+AE58*(D_iC)-MIN(F_CardPayM,AE58+AE58*(D_iC)),AE58)</f>
        <v>0</v>
      </c>
      <c r="AG58" s="20" t="n">
        <f aca="false">IF(AF58&gt;PR_BalDone,AF58+AF58*(D_iC)-MIN(F_CardPayM,AF58+AF58*(D_iC)),AF58)</f>
        <v>0</v>
      </c>
      <c r="AH58" s="20" t="n">
        <f aca="false">IF(AG58&gt;PR_BalDone,AG58+AG58*(D_iC)-MIN(F_CardPayM,AG58+AG58*(D_iC)),AG58)</f>
        <v>0</v>
      </c>
      <c r="AI58" s="20" t="n">
        <f aca="false">IF(AH58&gt;PR_BalDone,AH58+AH58*(D_iC)-MIN(F_CardPayM,AH58+AH58*(D_iC)),AH58)</f>
        <v>0</v>
      </c>
      <c r="AJ58" s="20" t="n">
        <f aca="false">IF(AI58&gt;PR_BalDone,AI58+AI58*(D_iC)-MIN(F_CardPayM,AI58+AI58*(D_iC)),AI58)</f>
        <v>0</v>
      </c>
      <c r="AK58" s="20" t="n">
        <f aca="false">IF(AJ58&gt;PR_BalDone,AJ58+AJ58*(D_iC)-MIN(F_CardPayM,AJ58+AJ58*(D_iC)),AJ58)</f>
        <v>0</v>
      </c>
      <c r="AL58" s="20" t="n">
        <f aca="false">IF(AK58&gt;PR_BalDone,AK58+AK58*(D_iC)-MIN(F_CardPayM,AK58+AK58*(D_iC)),AK58)</f>
        <v>0</v>
      </c>
      <c r="AM58" s="20" t="n">
        <f aca="false">IF(AL58&gt;PR_BalDone,AL58+AL58*(D_iC)-MIN(F_CardPayM,AL58+AL58*(D_iC)),AL58)</f>
        <v>0</v>
      </c>
      <c r="AN58" s="20" t="n">
        <f aca="false">IF(AM58&gt;PR_BalDone,AM58+AM58*(D_iC)-MIN(F_CardPayM,AM58+AM58*(D_iC)),AM58)</f>
        <v>0</v>
      </c>
      <c r="AO58" s="20" t="n">
        <f aca="false">IF(AN58&gt;PR_BalDone,AN58+AN58*(D_iC)-MIN(F_CardPayM,AN58+AN58*(D_iC)),AN58)</f>
        <v>0</v>
      </c>
      <c r="AP58" s="20" t="n">
        <f aca="false">IF(AO58&gt;PR_BalDone,AO58+AO58*(D_iC)-MIN(F_CardPayM,AO58+AO58*(D_iC)),AO58)</f>
        <v>0</v>
      </c>
      <c r="AQ58" s="20" t="n">
        <f aca="false">IF(AD58&gt;PR_BalDone,MIN(F_CardPayM,AD58+AD58*(D_iC)),0)</f>
        <v>0</v>
      </c>
      <c r="AR58" s="20" t="n">
        <f aca="false">IF(AE58&gt;PR_BalDone,MIN(F_CardPayM,AE58+AE58*(D_iC)),0)</f>
        <v>0</v>
      </c>
      <c r="AS58" s="20" t="n">
        <f aca="false">IF(AF58&gt;PR_BalDone,MIN(F_CardPayM,AF58+AF58*(D_iC)),0)</f>
        <v>0</v>
      </c>
      <c r="AT58" s="20" t="n">
        <f aca="false">IF(AG58&gt;PR_BalDone,MIN(F_CardPayM,AG58+AG58*(D_iC)),0)</f>
        <v>0</v>
      </c>
      <c r="AU58" s="20" t="n">
        <f aca="false">IF(AH58&gt;PR_BalDone,MIN(F_CardPayM,AH58+AH58*(D_iC)),0)</f>
        <v>0</v>
      </c>
      <c r="AV58" s="20" t="n">
        <f aca="false">IF(AI58&gt;PR_BalDone,MIN(F_CardPayM,AI58+AI58*(D_iC)),0)</f>
        <v>0</v>
      </c>
      <c r="AW58" s="20" t="n">
        <f aca="false">IF(AJ58&gt;PR_BalDone,MIN(F_CardPayM,AJ58+AJ58*(D_iC)),0)</f>
        <v>0</v>
      </c>
      <c r="AX58" s="20" t="n">
        <f aca="false">IF(AK58&gt;PR_BalDone,MIN(F_CardPayM,AK58+AK58*(D_iC)),0)</f>
        <v>0</v>
      </c>
      <c r="AY58" s="20" t="n">
        <f aca="false">IF(AL58&gt;PR_BalDone,MIN(F_CardPayM,AL58+AL58*(D_iC)),0)</f>
        <v>0</v>
      </c>
      <c r="AZ58" s="20" t="n">
        <f aca="false">IF(AM58&gt;PR_BalDone,MIN(F_CardPayM,AM58+AM58*(D_iC)),0)</f>
        <v>0</v>
      </c>
      <c r="BA58" s="20" t="n">
        <f aca="false">IF(AN58&gt;PR_BalDone,MIN(F_CardPayM,AN58+AN58*(D_iC)),0)</f>
        <v>0</v>
      </c>
      <c r="BB58" s="20" t="n">
        <f aca="false">IF(AO58&gt;PR_BalDone,MIN(F_CardPayM,AO58+AO58*(D_iC)),0)</f>
        <v>0</v>
      </c>
      <c r="BC58" s="20" t="n">
        <f aca="false">MAX(0,AP58)</f>
        <v>0</v>
      </c>
      <c r="BD58" s="20" t="n">
        <f aca="false">SUM(AQ58:BB58)</f>
        <v>0</v>
      </c>
      <c r="BE58" s="20" t="n">
        <f aca="false">'Plan cashflow'!P58</f>
        <v>0</v>
      </c>
      <c r="BF58" s="20" t="n">
        <f aca="false">IF(BE58&gt;PR_BalDone,BE58+BE58*(D_iL)-MIN(F_LoanPayM,BE58+BE58*(D_iL)),BE58)</f>
        <v>0</v>
      </c>
      <c r="BG58" s="20" t="n">
        <f aca="false">IF(BF58&gt;PR_BalDone,BF58+BF58*(D_iL)-MIN(F_LoanPayM,BF58+BF58*(D_iL)),BF58)</f>
        <v>0</v>
      </c>
      <c r="BH58" s="20" t="n">
        <f aca="false">IF(BG58&gt;PR_BalDone,BG58+BG58*(D_iL)-MIN(F_LoanPayM,BG58+BG58*(D_iL)),BG58)</f>
        <v>0</v>
      </c>
      <c r="BI58" s="20" t="n">
        <f aca="false">IF(BH58&gt;PR_BalDone,BH58+BH58*(D_iL)-MIN(F_LoanPayM,BH58+BH58*(D_iL)),BH58)</f>
        <v>0</v>
      </c>
      <c r="BJ58" s="20" t="n">
        <f aca="false">IF(BI58&gt;PR_BalDone,BI58+BI58*(D_iL)-MIN(F_LoanPayM,BI58+BI58*(D_iL)),BI58)</f>
        <v>0</v>
      </c>
      <c r="BK58" s="20" t="n">
        <f aca="false">IF(BJ58&gt;PR_BalDone,BJ58+BJ58*(D_iL)-MIN(F_LoanPayM,BJ58+BJ58*(D_iL)),BJ58)</f>
        <v>0</v>
      </c>
      <c r="BL58" s="20" t="n">
        <f aca="false">IF(BK58&gt;PR_BalDone,BK58+BK58*(D_iL)-MIN(F_LoanPayM,BK58+BK58*(D_iL)),BK58)</f>
        <v>0</v>
      </c>
      <c r="BM58" s="20" t="n">
        <f aca="false">IF(BL58&gt;PR_BalDone,BL58+BL58*(D_iL)-MIN(F_LoanPayM,BL58+BL58*(D_iL)),BL58)</f>
        <v>0</v>
      </c>
      <c r="BN58" s="20" t="n">
        <f aca="false">IF(BM58&gt;PR_BalDone,BM58+BM58*(D_iL)-MIN(F_LoanPayM,BM58+BM58*(D_iL)),BM58)</f>
        <v>0</v>
      </c>
      <c r="BO58" s="20" t="n">
        <f aca="false">IF(BN58&gt;PR_BalDone,BN58+BN58*(D_iL)-MIN(F_LoanPayM,BN58+BN58*(D_iL)),BN58)</f>
        <v>0</v>
      </c>
      <c r="BP58" s="20" t="n">
        <f aca="false">IF(BO58&gt;PR_BalDone,BO58+BO58*(D_iL)-MIN(F_LoanPayM,BO58+BO58*(D_iL)),BO58)</f>
        <v>0</v>
      </c>
      <c r="BQ58" s="20" t="n">
        <f aca="false">IF(BP58&gt;PR_BalDone,BP58+BP58*(D_iL)-MIN(F_LoanPayM,BP58+BP58*(D_iL)),BP58)</f>
        <v>0</v>
      </c>
      <c r="BR58" s="20" t="n">
        <f aca="false">IF(BE58&gt;PR_BalDone,MIN(F_LoanPayM,BE58+BE58*(D_iL)),0)</f>
        <v>0</v>
      </c>
      <c r="BS58" s="20" t="n">
        <f aca="false">IF(BF58&gt;PR_BalDone,MIN(F_LoanPayM,BF58+BF58*(D_iL)),0)</f>
        <v>0</v>
      </c>
      <c r="BT58" s="20" t="n">
        <f aca="false">IF(BG58&gt;PR_BalDone,MIN(F_LoanPayM,BG58+BG58*(D_iL)),0)</f>
        <v>0</v>
      </c>
      <c r="BU58" s="20" t="n">
        <f aca="false">IF(BH58&gt;PR_BalDone,MIN(F_LoanPayM,BH58+BH58*(D_iL)),0)</f>
        <v>0</v>
      </c>
      <c r="BV58" s="20" t="n">
        <f aca="false">IF(BI58&gt;PR_BalDone,MIN(F_LoanPayM,BI58+BI58*(D_iL)),0)</f>
        <v>0</v>
      </c>
      <c r="BW58" s="20" t="n">
        <f aca="false">IF(BJ58&gt;PR_BalDone,MIN(F_LoanPayM,BJ58+BJ58*(D_iL)),0)</f>
        <v>0</v>
      </c>
      <c r="BX58" s="20" t="n">
        <f aca="false">IF(BK58&gt;PR_BalDone,MIN(F_LoanPayM,BK58+BK58*(D_iL)),0)</f>
        <v>0</v>
      </c>
      <c r="BY58" s="20" t="n">
        <f aca="false">IF(BL58&gt;PR_BalDone,MIN(F_LoanPayM,BL58+BL58*(D_iL)),0)</f>
        <v>0</v>
      </c>
      <c r="BZ58" s="20" t="n">
        <f aca="false">IF(BM58&gt;PR_BalDone,MIN(F_LoanPayM,BM58+BM58*(D_iL)),0)</f>
        <v>0</v>
      </c>
      <c r="CA58" s="20" t="n">
        <f aca="false">IF(BN58&gt;PR_BalDone,MIN(F_LoanPayM,BN58+BN58*(D_iL)),0)</f>
        <v>0</v>
      </c>
      <c r="CB58" s="20" t="n">
        <f aca="false">IF(BO58&gt;PR_BalDone,MIN(F_LoanPayM,BO58+BO58*(D_iL)),0)</f>
        <v>0</v>
      </c>
      <c r="CC58" s="20" t="n">
        <f aca="false">IF(BP58&gt;PR_BalDone,MIN(F_LoanPayM,BP58+BP58*(D_iL)),0)</f>
        <v>0</v>
      </c>
      <c r="CD58" s="20" t="n">
        <f aca="false">MAX(0,BQ58)</f>
        <v>0</v>
      </c>
      <c r="CE58" s="20" t="n">
        <f aca="false">SUM(BR58:CC58)</f>
        <v>0</v>
      </c>
      <c r="CF58" s="20" t="n">
        <f aca="false">IF(CF57&gt;1,DE57,CF57)</f>
        <v>0</v>
      </c>
      <c r="CG58" s="20" t="n">
        <f aca="false">IF(CF58&gt;PR_BalDone,CF58+CF58*(F_MR/12)-MIN(F_MortPayM,CF58+CF58*(F_MR/12)),CF58)</f>
        <v>0</v>
      </c>
      <c r="CH58" s="20" t="n">
        <f aca="false">IF(CG58&gt;PR_BalDone,CG58+CG58*(F_MR/12)-MIN(F_MortPayM,CG58+CG58*(F_MR/12)),CG58)</f>
        <v>0</v>
      </c>
      <c r="CI58" s="20" t="n">
        <f aca="false">IF(CH58&gt;PR_BalDone,CH58+CH58*(F_MR/12)-MIN(F_MortPayM,CH58+CH58*(F_MR/12)),CH58)</f>
        <v>0</v>
      </c>
      <c r="CJ58" s="20" t="n">
        <f aca="false">IF(CI58&gt;PR_BalDone,CI58+CI58*(F_MR/12)-MIN(F_MortPayM,CI58+CI58*(F_MR/12)),CI58)</f>
        <v>0</v>
      </c>
      <c r="CK58" s="20" t="n">
        <f aca="false">IF(CJ58&gt;PR_BalDone,CJ58+CJ58*(F_MR/12)-MIN(F_MortPayM,CJ58+CJ58*(F_MR/12)),CJ58)</f>
        <v>0</v>
      </c>
      <c r="CL58" s="20" t="n">
        <f aca="false">IF(CK58&gt;PR_BalDone,CK58+CK58*(F_MR/12)-MIN(F_MortPayM,CK58+CK58*(F_MR/12)),CK58)</f>
        <v>0</v>
      </c>
      <c r="CM58" s="20" t="n">
        <f aca="false">IF(CL58&gt;PR_BalDone,CL58+CL58*(F_MR/12)-MIN(F_MortPayM,CL58+CL58*(F_MR/12)),CL58)</f>
        <v>0</v>
      </c>
      <c r="CN58" s="20" t="n">
        <f aca="false">IF(CM58&gt;PR_BalDone,CM58+CM58*(F_MR/12)-MIN(F_MortPayM,CM58+CM58*(F_MR/12)),CM58)</f>
        <v>0</v>
      </c>
      <c r="CO58" s="20" t="n">
        <f aca="false">IF(CN58&gt;PR_BalDone,CN58+CN58*(F_MR/12)-MIN(F_MortPayM,CN58+CN58*(F_MR/12)),CN58)</f>
        <v>0</v>
      </c>
      <c r="CP58" s="20" t="n">
        <f aca="false">IF(CO58&gt;PR_BalDone,CO58+CO58*(F_MR/12)-MIN(F_MortPayM,CO58+CO58*(F_MR/12)),CO58)</f>
        <v>0</v>
      </c>
      <c r="CQ58" s="20" t="n">
        <f aca="false">IF(CP58&gt;PR_BalDone,CP58+CP58*(F_MR/12)-MIN(F_MortPayM,CP58+CP58*(F_MR/12)),CP58)</f>
        <v>0</v>
      </c>
      <c r="CR58" s="20" t="n">
        <f aca="false">IF(CQ58&gt;PR_BalDone,CQ58+CQ58*(F_MR/12)-MIN(F_MortPayM,CQ58+CQ58*(F_MR/12)),CQ58)</f>
        <v>0</v>
      </c>
      <c r="CS58" s="20" t="n">
        <f aca="false">IF(CF58&gt;PR_BalDone,MIN(F_MortPayM,CF58+CF58*(F_MR/12)),0)</f>
        <v>0</v>
      </c>
      <c r="CT58" s="20" t="n">
        <f aca="false">IF(CG58&gt;PR_BalDone,MIN(F_MortPayM,CG58+CG58*(F_MR/12)),0)</f>
        <v>0</v>
      </c>
      <c r="CU58" s="20" t="n">
        <f aca="false">IF(CH58&gt;PR_BalDone,MIN(F_MortPayM,CH58+CH58*(F_MR/12)),0)</f>
        <v>0</v>
      </c>
      <c r="CV58" s="20" t="n">
        <f aca="false">IF(CI58&gt;PR_BalDone,MIN(F_MortPayM,CI58+CI58*(F_MR/12)),0)</f>
        <v>0</v>
      </c>
      <c r="CW58" s="20" t="n">
        <f aca="false">IF(CJ58&gt;PR_BalDone,MIN(F_MortPayM,CJ58+CJ58*(F_MR/12)),0)</f>
        <v>0</v>
      </c>
      <c r="CX58" s="20" t="n">
        <f aca="false">IF(CK58&gt;PR_BalDone,MIN(F_MortPayM,CK58+CK58*(F_MR/12)),0)</f>
        <v>0</v>
      </c>
      <c r="CY58" s="20" t="n">
        <f aca="false">IF(CL58&gt;PR_BalDone,MIN(F_MortPayM,CL58+CL58*(F_MR/12)),0)</f>
        <v>0</v>
      </c>
      <c r="CZ58" s="20" t="n">
        <f aca="false">IF(CM58&gt;PR_BalDone,MIN(F_MortPayM,CM58+CM58*(F_MR/12)),0)</f>
        <v>0</v>
      </c>
      <c r="DA58" s="20" t="n">
        <f aca="false">IF(CN58&gt;PR_BalDone,MIN(F_MortPayM,CN58+CN58*(F_MR/12)),0)</f>
        <v>0</v>
      </c>
      <c r="DB58" s="20" t="n">
        <f aca="false">IF(CO58&gt;PR_BalDone,MIN(F_MortPayM,CO58+CO58*(F_MR/12)),0)</f>
        <v>0</v>
      </c>
      <c r="DC58" s="20" t="n">
        <f aca="false">IF(CP58&gt;PR_BalDone,MIN(F_MortPayM,CP58+CP58*(F_MR/12)),0)</f>
        <v>0</v>
      </c>
      <c r="DD58" s="20" t="n">
        <f aca="false">IF(CQ58&gt;PR_BalDone,MIN(F_MortPayM,CQ58+CQ58*(F_MR/12)),0)</f>
        <v>0</v>
      </c>
      <c r="DE58" s="20" t="n">
        <f aca="false">MAX(0,CR58)</f>
        <v>0</v>
      </c>
      <c r="DF58" s="20" t="n">
        <f aca="false">SUM(CS58:DD58)</f>
        <v>0</v>
      </c>
      <c r="DG58" s="20" t="n">
        <f aca="false">MAX(0,CF58)</f>
        <v>0</v>
      </c>
    </row>
    <row r="59" customFormat="false" ht="15" hidden="false" customHeight="true" outlineLevel="0" collapsed="false">
      <c r="B59" s="20" t="n">
        <v>51</v>
      </c>
      <c r="C59" s="20" t="n">
        <f aca="false">'Plan cashflow'!J59</f>
        <v>0</v>
      </c>
      <c r="D59" s="20" t="n">
        <f aca="false">IF(C59&gt;PR_BalDone,C59+C59*(F_MR/12)-MIN(F_MortPayM,C59+C59*(F_MR/12)),C59)</f>
        <v>0</v>
      </c>
      <c r="E59" s="20" t="n">
        <f aca="false">IF(D59&gt;PR_BalDone,D59+D59*(F_MR/12)-MIN(F_MortPayM,D59+D59*(F_MR/12)),D59)</f>
        <v>0</v>
      </c>
      <c r="F59" s="20" t="n">
        <f aca="false">IF(E59&gt;PR_BalDone,E59+E59*(F_MR/12)-MIN(F_MortPayM,E59+E59*(F_MR/12)),E59)</f>
        <v>0</v>
      </c>
      <c r="G59" s="20" t="n">
        <f aca="false">IF(F59&gt;PR_BalDone,F59+F59*(F_MR/12)-MIN(F_MortPayM,F59+F59*(F_MR/12)),F59)</f>
        <v>0</v>
      </c>
      <c r="H59" s="20" t="n">
        <f aca="false">IF(G59&gt;PR_BalDone,G59+G59*(F_MR/12)-MIN(F_MortPayM,G59+G59*(F_MR/12)),G59)</f>
        <v>0</v>
      </c>
      <c r="I59" s="20" t="n">
        <f aca="false">IF(H59&gt;PR_BalDone,H59+H59*(F_MR/12)-MIN(F_MortPayM,H59+H59*(F_MR/12)),H59)</f>
        <v>0</v>
      </c>
      <c r="J59" s="20" t="n">
        <f aca="false">IF(I59&gt;PR_BalDone,I59+I59*(F_MR/12)-MIN(F_MortPayM,I59+I59*(F_MR/12)),I59)</f>
        <v>0</v>
      </c>
      <c r="K59" s="20" t="n">
        <f aca="false">IF(J59&gt;PR_BalDone,J59+J59*(F_MR/12)-MIN(F_MortPayM,J59+J59*(F_MR/12)),J59)</f>
        <v>0</v>
      </c>
      <c r="L59" s="20" t="n">
        <f aca="false">IF(K59&gt;PR_BalDone,K59+K59*(F_MR/12)-MIN(F_MortPayM,K59+K59*(F_MR/12)),K59)</f>
        <v>0</v>
      </c>
      <c r="M59" s="20" t="n">
        <f aca="false">IF(L59&gt;PR_BalDone,L59+L59*(F_MR/12)-MIN(F_MortPayM,L59+L59*(F_MR/12)),L59)</f>
        <v>0</v>
      </c>
      <c r="N59" s="20" t="n">
        <f aca="false">IF(M59&gt;PR_BalDone,M59+M59*(F_MR/12)-MIN(F_MortPayM,M59+M59*(F_MR/12)),M59)</f>
        <v>0</v>
      </c>
      <c r="O59" s="20" t="n">
        <f aca="false">IF(N59&gt;PR_BalDone,N59+N59*(F_MR/12)-MIN(F_MortPayM,N59+N59*(F_MR/12)),N59)</f>
        <v>0</v>
      </c>
      <c r="P59" s="20" t="n">
        <f aca="false">IF(C59&gt;PR_BalDone,MIN(F_MortPayM,C59+C59*(F_MR/12)),0)</f>
        <v>0</v>
      </c>
      <c r="Q59" s="20" t="n">
        <f aca="false">IF(D59&gt;PR_BalDone,MIN(F_MortPayM,D59+D59*(F_MR/12)),0)</f>
        <v>0</v>
      </c>
      <c r="R59" s="20" t="n">
        <f aca="false">IF(E59&gt;PR_BalDone,MIN(F_MortPayM,E59+E59*(F_MR/12)),0)</f>
        <v>0</v>
      </c>
      <c r="S59" s="20" t="n">
        <f aca="false">IF(F59&gt;PR_BalDone,MIN(F_MortPayM,F59+F59*(F_MR/12)),0)</f>
        <v>0</v>
      </c>
      <c r="T59" s="20" t="n">
        <f aca="false">IF(G59&gt;PR_BalDone,MIN(F_MortPayM,G59+G59*(F_MR/12)),0)</f>
        <v>0</v>
      </c>
      <c r="U59" s="20" t="n">
        <f aca="false">IF(H59&gt;PR_BalDone,MIN(F_MortPayM,H59+H59*(F_MR/12)),0)</f>
        <v>0</v>
      </c>
      <c r="V59" s="20" t="n">
        <f aca="false">IF(I59&gt;PR_BalDone,MIN(F_MortPayM,I59+I59*(F_MR/12)),0)</f>
        <v>0</v>
      </c>
      <c r="W59" s="20" t="n">
        <f aca="false">IF(J59&gt;PR_BalDone,MIN(F_MortPayM,J59+J59*(F_MR/12)),0)</f>
        <v>0</v>
      </c>
      <c r="X59" s="20" t="n">
        <f aca="false">IF(K59&gt;PR_BalDone,MIN(F_MortPayM,K59+K59*(F_MR/12)),0)</f>
        <v>0</v>
      </c>
      <c r="Y59" s="20" t="n">
        <f aca="false">IF(L59&gt;PR_BalDone,MIN(F_MortPayM,L59+L59*(F_MR/12)),0)</f>
        <v>0</v>
      </c>
      <c r="Z59" s="20" t="n">
        <f aca="false">IF(M59&gt;PR_BalDone,MIN(F_MortPayM,M59+M59*(F_MR/12)),0)</f>
        <v>0</v>
      </c>
      <c r="AA59" s="20" t="n">
        <f aca="false">IF(N59&gt;PR_BalDone,MIN(F_MortPayM,N59+N59*(F_MR/12)),0)</f>
        <v>0</v>
      </c>
      <c r="AB59" s="20" t="n">
        <f aca="false">MAX(0,O59)</f>
        <v>0</v>
      </c>
      <c r="AC59" s="20" t="n">
        <f aca="false">SUM(P59:AA59)</f>
        <v>0</v>
      </c>
      <c r="AD59" s="20" t="n">
        <f aca="false">'Plan cashflow'!M59</f>
        <v>0</v>
      </c>
      <c r="AE59" s="20" t="n">
        <f aca="false">IF(AD59&gt;PR_BalDone,AD59+AD59*(D_iC)-MIN(F_CardPayM,AD59+AD59*(D_iC)),AD59)</f>
        <v>0</v>
      </c>
      <c r="AF59" s="20" t="n">
        <f aca="false">IF(AE59&gt;PR_BalDone,AE59+AE59*(D_iC)-MIN(F_CardPayM,AE59+AE59*(D_iC)),AE59)</f>
        <v>0</v>
      </c>
      <c r="AG59" s="20" t="n">
        <f aca="false">IF(AF59&gt;PR_BalDone,AF59+AF59*(D_iC)-MIN(F_CardPayM,AF59+AF59*(D_iC)),AF59)</f>
        <v>0</v>
      </c>
      <c r="AH59" s="20" t="n">
        <f aca="false">IF(AG59&gt;PR_BalDone,AG59+AG59*(D_iC)-MIN(F_CardPayM,AG59+AG59*(D_iC)),AG59)</f>
        <v>0</v>
      </c>
      <c r="AI59" s="20" t="n">
        <f aca="false">IF(AH59&gt;PR_BalDone,AH59+AH59*(D_iC)-MIN(F_CardPayM,AH59+AH59*(D_iC)),AH59)</f>
        <v>0</v>
      </c>
      <c r="AJ59" s="20" t="n">
        <f aca="false">IF(AI59&gt;PR_BalDone,AI59+AI59*(D_iC)-MIN(F_CardPayM,AI59+AI59*(D_iC)),AI59)</f>
        <v>0</v>
      </c>
      <c r="AK59" s="20" t="n">
        <f aca="false">IF(AJ59&gt;PR_BalDone,AJ59+AJ59*(D_iC)-MIN(F_CardPayM,AJ59+AJ59*(D_iC)),AJ59)</f>
        <v>0</v>
      </c>
      <c r="AL59" s="20" t="n">
        <f aca="false">IF(AK59&gt;PR_BalDone,AK59+AK59*(D_iC)-MIN(F_CardPayM,AK59+AK59*(D_iC)),AK59)</f>
        <v>0</v>
      </c>
      <c r="AM59" s="20" t="n">
        <f aca="false">IF(AL59&gt;PR_BalDone,AL59+AL59*(D_iC)-MIN(F_CardPayM,AL59+AL59*(D_iC)),AL59)</f>
        <v>0</v>
      </c>
      <c r="AN59" s="20" t="n">
        <f aca="false">IF(AM59&gt;PR_BalDone,AM59+AM59*(D_iC)-MIN(F_CardPayM,AM59+AM59*(D_iC)),AM59)</f>
        <v>0</v>
      </c>
      <c r="AO59" s="20" t="n">
        <f aca="false">IF(AN59&gt;PR_BalDone,AN59+AN59*(D_iC)-MIN(F_CardPayM,AN59+AN59*(D_iC)),AN59)</f>
        <v>0</v>
      </c>
      <c r="AP59" s="20" t="n">
        <f aca="false">IF(AO59&gt;PR_BalDone,AO59+AO59*(D_iC)-MIN(F_CardPayM,AO59+AO59*(D_iC)),AO59)</f>
        <v>0</v>
      </c>
      <c r="AQ59" s="20" t="n">
        <f aca="false">IF(AD59&gt;PR_BalDone,MIN(F_CardPayM,AD59+AD59*(D_iC)),0)</f>
        <v>0</v>
      </c>
      <c r="AR59" s="20" t="n">
        <f aca="false">IF(AE59&gt;PR_BalDone,MIN(F_CardPayM,AE59+AE59*(D_iC)),0)</f>
        <v>0</v>
      </c>
      <c r="AS59" s="20" t="n">
        <f aca="false">IF(AF59&gt;PR_BalDone,MIN(F_CardPayM,AF59+AF59*(D_iC)),0)</f>
        <v>0</v>
      </c>
      <c r="AT59" s="20" t="n">
        <f aca="false">IF(AG59&gt;PR_BalDone,MIN(F_CardPayM,AG59+AG59*(D_iC)),0)</f>
        <v>0</v>
      </c>
      <c r="AU59" s="20" t="n">
        <f aca="false">IF(AH59&gt;PR_BalDone,MIN(F_CardPayM,AH59+AH59*(D_iC)),0)</f>
        <v>0</v>
      </c>
      <c r="AV59" s="20" t="n">
        <f aca="false">IF(AI59&gt;PR_BalDone,MIN(F_CardPayM,AI59+AI59*(D_iC)),0)</f>
        <v>0</v>
      </c>
      <c r="AW59" s="20" t="n">
        <f aca="false">IF(AJ59&gt;PR_BalDone,MIN(F_CardPayM,AJ59+AJ59*(D_iC)),0)</f>
        <v>0</v>
      </c>
      <c r="AX59" s="20" t="n">
        <f aca="false">IF(AK59&gt;PR_BalDone,MIN(F_CardPayM,AK59+AK59*(D_iC)),0)</f>
        <v>0</v>
      </c>
      <c r="AY59" s="20" t="n">
        <f aca="false">IF(AL59&gt;PR_BalDone,MIN(F_CardPayM,AL59+AL59*(D_iC)),0)</f>
        <v>0</v>
      </c>
      <c r="AZ59" s="20" t="n">
        <f aca="false">IF(AM59&gt;PR_BalDone,MIN(F_CardPayM,AM59+AM59*(D_iC)),0)</f>
        <v>0</v>
      </c>
      <c r="BA59" s="20" t="n">
        <f aca="false">IF(AN59&gt;PR_BalDone,MIN(F_CardPayM,AN59+AN59*(D_iC)),0)</f>
        <v>0</v>
      </c>
      <c r="BB59" s="20" t="n">
        <f aca="false">IF(AO59&gt;PR_BalDone,MIN(F_CardPayM,AO59+AO59*(D_iC)),0)</f>
        <v>0</v>
      </c>
      <c r="BC59" s="20" t="n">
        <f aca="false">MAX(0,AP59)</f>
        <v>0</v>
      </c>
      <c r="BD59" s="20" t="n">
        <f aca="false">SUM(AQ59:BB59)</f>
        <v>0</v>
      </c>
      <c r="BE59" s="20" t="n">
        <f aca="false">'Plan cashflow'!P59</f>
        <v>0</v>
      </c>
      <c r="BF59" s="20" t="n">
        <f aca="false">IF(BE59&gt;PR_BalDone,BE59+BE59*(D_iL)-MIN(F_LoanPayM,BE59+BE59*(D_iL)),BE59)</f>
        <v>0</v>
      </c>
      <c r="BG59" s="20" t="n">
        <f aca="false">IF(BF59&gt;PR_BalDone,BF59+BF59*(D_iL)-MIN(F_LoanPayM,BF59+BF59*(D_iL)),BF59)</f>
        <v>0</v>
      </c>
      <c r="BH59" s="20" t="n">
        <f aca="false">IF(BG59&gt;PR_BalDone,BG59+BG59*(D_iL)-MIN(F_LoanPayM,BG59+BG59*(D_iL)),BG59)</f>
        <v>0</v>
      </c>
      <c r="BI59" s="20" t="n">
        <f aca="false">IF(BH59&gt;PR_BalDone,BH59+BH59*(D_iL)-MIN(F_LoanPayM,BH59+BH59*(D_iL)),BH59)</f>
        <v>0</v>
      </c>
      <c r="BJ59" s="20" t="n">
        <f aca="false">IF(BI59&gt;PR_BalDone,BI59+BI59*(D_iL)-MIN(F_LoanPayM,BI59+BI59*(D_iL)),BI59)</f>
        <v>0</v>
      </c>
      <c r="BK59" s="20" t="n">
        <f aca="false">IF(BJ59&gt;PR_BalDone,BJ59+BJ59*(D_iL)-MIN(F_LoanPayM,BJ59+BJ59*(D_iL)),BJ59)</f>
        <v>0</v>
      </c>
      <c r="BL59" s="20" t="n">
        <f aca="false">IF(BK59&gt;PR_BalDone,BK59+BK59*(D_iL)-MIN(F_LoanPayM,BK59+BK59*(D_iL)),BK59)</f>
        <v>0</v>
      </c>
      <c r="BM59" s="20" t="n">
        <f aca="false">IF(BL59&gt;PR_BalDone,BL59+BL59*(D_iL)-MIN(F_LoanPayM,BL59+BL59*(D_iL)),BL59)</f>
        <v>0</v>
      </c>
      <c r="BN59" s="20" t="n">
        <f aca="false">IF(BM59&gt;PR_BalDone,BM59+BM59*(D_iL)-MIN(F_LoanPayM,BM59+BM59*(D_iL)),BM59)</f>
        <v>0</v>
      </c>
      <c r="BO59" s="20" t="n">
        <f aca="false">IF(BN59&gt;PR_BalDone,BN59+BN59*(D_iL)-MIN(F_LoanPayM,BN59+BN59*(D_iL)),BN59)</f>
        <v>0</v>
      </c>
      <c r="BP59" s="20" t="n">
        <f aca="false">IF(BO59&gt;PR_BalDone,BO59+BO59*(D_iL)-MIN(F_LoanPayM,BO59+BO59*(D_iL)),BO59)</f>
        <v>0</v>
      </c>
      <c r="BQ59" s="20" t="n">
        <f aca="false">IF(BP59&gt;PR_BalDone,BP59+BP59*(D_iL)-MIN(F_LoanPayM,BP59+BP59*(D_iL)),BP59)</f>
        <v>0</v>
      </c>
      <c r="BR59" s="20" t="n">
        <f aca="false">IF(BE59&gt;PR_BalDone,MIN(F_LoanPayM,BE59+BE59*(D_iL)),0)</f>
        <v>0</v>
      </c>
      <c r="BS59" s="20" t="n">
        <f aca="false">IF(BF59&gt;PR_BalDone,MIN(F_LoanPayM,BF59+BF59*(D_iL)),0)</f>
        <v>0</v>
      </c>
      <c r="BT59" s="20" t="n">
        <f aca="false">IF(BG59&gt;PR_BalDone,MIN(F_LoanPayM,BG59+BG59*(D_iL)),0)</f>
        <v>0</v>
      </c>
      <c r="BU59" s="20" t="n">
        <f aca="false">IF(BH59&gt;PR_BalDone,MIN(F_LoanPayM,BH59+BH59*(D_iL)),0)</f>
        <v>0</v>
      </c>
      <c r="BV59" s="20" t="n">
        <f aca="false">IF(BI59&gt;PR_BalDone,MIN(F_LoanPayM,BI59+BI59*(D_iL)),0)</f>
        <v>0</v>
      </c>
      <c r="BW59" s="20" t="n">
        <f aca="false">IF(BJ59&gt;PR_BalDone,MIN(F_LoanPayM,BJ59+BJ59*(D_iL)),0)</f>
        <v>0</v>
      </c>
      <c r="BX59" s="20" t="n">
        <f aca="false">IF(BK59&gt;PR_BalDone,MIN(F_LoanPayM,BK59+BK59*(D_iL)),0)</f>
        <v>0</v>
      </c>
      <c r="BY59" s="20" t="n">
        <f aca="false">IF(BL59&gt;PR_BalDone,MIN(F_LoanPayM,BL59+BL59*(D_iL)),0)</f>
        <v>0</v>
      </c>
      <c r="BZ59" s="20" t="n">
        <f aca="false">IF(BM59&gt;PR_BalDone,MIN(F_LoanPayM,BM59+BM59*(D_iL)),0)</f>
        <v>0</v>
      </c>
      <c r="CA59" s="20" t="n">
        <f aca="false">IF(BN59&gt;PR_BalDone,MIN(F_LoanPayM,BN59+BN59*(D_iL)),0)</f>
        <v>0</v>
      </c>
      <c r="CB59" s="20" t="n">
        <f aca="false">IF(BO59&gt;PR_BalDone,MIN(F_LoanPayM,BO59+BO59*(D_iL)),0)</f>
        <v>0</v>
      </c>
      <c r="CC59" s="20" t="n">
        <f aca="false">IF(BP59&gt;PR_BalDone,MIN(F_LoanPayM,BP59+BP59*(D_iL)),0)</f>
        <v>0</v>
      </c>
      <c r="CD59" s="20" t="n">
        <f aca="false">MAX(0,BQ59)</f>
        <v>0</v>
      </c>
      <c r="CE59" s="20" t="n">
        <f aca="false">SUM(BR59:CC59)</f>
        <v>0</v>
      </c>
      <c r="CF59" s="20" t="n">
        <f aca="false">IF(CF58&gt;1,DE58,CF58)</f>
        <v>0</v>
      </c>
      <c r="CG59" s="20" t="n">
        <f aca="false">IF(CF59&gt;PR_BalDone,CF59+CF59*(F_MR/12)-MIN(F_MortPayM,CF59+CF59*(F_MR/12)),CF59)</f>
        <v>0</v>
      </c>
      <c r="CH59" s="20" t="n">
        <f aca="false">IF(CG59&gt;PR_BalDone,CG59+CG59*(F_MR/12)-MIN(F_MortPayM,CG59+CG59*(F_MR/12)),CG59)</f>
        <v>0</v>
      </c>
      <c r="CI59" s="20" t="n">
        <f aca="false">IF(CH59&gt;PR_BalDone,CH59+CH59*(F_MR/12)-MIN(F_MortPayM,CH59+CH59*(F_MR/12)),CH59)</f>
        <v>0</v>
      </c>
      <c r="CJ59" s="20" t="n">
        <f aca="false">IF(CI59&gt;PR_BalDone,CI59+CI59*(F_MR/12)-MIN(F_MortPayM,CI59+CI59*(F_MR/12)),CI59)</f>
        <v>0</v>
      </c>
      <c r="CK59" s="20" t="n">
        <f aca="false">IF(CJ59&gt;PR_BalDone,CJ59+CJ59*(F_MR/12)-MIN(F_MortPayM,CJ59+CJ59*(F_MR/12)),CJ59)</f>
        <v>0</v>
      </c>
      <c r="CL59" s="20" t="n">
        <f aca="false">IF(CK59&gt;PR_BalDone,CK59+CK59*(F_MR/12)-MIN(F_MortPayM,CK59+CK59*(F_MR/12)),CK59)</f>
        <v>0</v>
      </c>
      <c r="CM59" s="20" t="n">
        <f aca="false">IF(CL59&gt;PR_BalDone,CL59+CL59*(F_MR/12)-MIN(F_MortPayM,CL59+CL59*(F_MR/12)),CL59)</f>
        <v>0</v>
      </c>
      <c r="CN59" s="20" t="n">
        <f aca="false">IF(CM59&gt;PR_BalDone,CM59+CM59*(F_MR/12)-MIN(F_MortPayM,CM59+CM59*(F_MR/12)),CM59)</f>
        <v>0</v>
      </c>
      <c r="CO59" s="20" t="n">
        <f aca="false">IF(CN59&gt;PR_BalDone,CN59+CN59*(F_MR/12)-MIN(F_MortPayM,CN59+CN59*(F_MR/12)),CN59)</f>
        <v>0</v>
      </c>
      <c r="CP59" s="20" t="n">
        <f aca="false">IF(CO59&gt;PR_BalDone,CO59+CO59*(F_MR/12)-MIN(F_MortPayM,CO59+CO59*(F_MR/12)),CO59)</f>
        <v>0</v>
      </c>
      <c r="CQ59" s="20" t="n">
        <f aca="false">IF(CP59&gt;PR_BalDone,CP59+CP59*(F_MR/12)-MIN(F_MortPayM,CP59+CP59*(F_MR/12)),CP59)</f>
        <v>0</v>
      </c>
      <c r="CR59" s="20" t="n">
        <f aca="false">IF(CQ59&gt;PR_BalDone,CQ59+CQ59*(F_MR/12)-MIN(F_MortPayM,CQ59+CQ59*(F_MR/12)),CQ59)</f>
        <v>0</v>
      </c>
      <c r="CS59" s="20" t="n">
        <f aca="false">IF(CF59&gt;PR_BalDone,MIN(F_MortPayM,CF59+CF59*(F_MR/12)),0)</f>
        <v>0</v>
      </c>
      <c r="CT59" s="20" t="n">
        <f aca="false">IF(CG59&gt;PR_BalDone,MIN(F_MortPayM,CG59+CG59*(F_MR/12)),0)</f>
        <v>0</v>
      </c>
      <c r="CU59" s="20" t="n">
        <f aca="false">IF(CH59&gt;PR_BalDone,MIN(F_MortPayM,CH59+CH59*(F_MR/12)),0)</f>
        <v>0</v>
      </c>
      <c r="CV59" s="20" t="n">
        <f aca="false">IF(CI59&gt;PR_BalDone,MIN(F_MortPayM,CI59+CI59*(F_MR/12)),0)</f>
        <v>0</v>
      </c>
      <c r="CW59" s="20" t="n">
        <f aca="false">IF(CJ59&gt;PR_BalDone,MIN(F_MortPayM,CJ59+CJ59*(F_MR/12)),0)</f>
        <v>0</v>
      </c>
      <c r="CX59" s="20" t="n">
        <f aca="false">IF(CK59&gt;PR_BalDone,MIN(F_MortPayM,CK59+CK59*(F_MR/12)),0)</f>
        <v>0</v>
      </c>
      <c r="CY59" s="20" t="n">
        <f aca="false">IF(CL59&gt;PR_BalDone,MIN(F_MortPayM,CL59+CL59*(F_MR/12)),0)</f>
        <v>0</v>
      </c>
      <c r="CZ59" s="20" t="n">
        <f aca="false">IF(CM59&gt;PR_BalDone,MIN(F_MortPayM,CM59+CM59*(F_MR/12)),0)</f>
        <v>0</v>
      </c>
      <c r="DA59" s="20" t="n">
        <f aca="false">IF(CN59&gt;PR_BalDone,MIN(F_MortPayM,CN59+CN59*(F_MR/12)),0)</f>
        <v>0</v>
      </c>
      <c r="DB59" s="20" t="n">
        <f aca="false">IF(CO59&gt;PR_BalDone,MIN(F_MortPayM,CO59+CO59*(F_MR/12)),0)</f>
        <v>0</v>
      </c>
      <c r="DC59" s="20" t="n">
        <f aca="false">IF(CP59&gt;PR_BalDone,MIN(F_MortPayM,CP59+CP59*(F_MR/12)),0)</f>
        <v>0</v>
      </c>
      <c r="DD59" s="20" t="n">
        <f aca="false">IF(CQ59&gt;PR_BalDone,MIN(F_MortPayM,CQ59+CQ59*(F_MR/12)),0)</f>
        <v>0</v>
      </c>
      <c r="DE59" s="20" t="n">
        <f aca="false">MAX(0,CR59)</f>
        <v>0</v>
      </c>
      <c r="DF59" s="20" t="n">
        <f aca="false">SUM(CS59:DD59)</f>
        <v>0</v>
      </c>
      <c r="DG59" s="20" t="n">
        <f aca="false">MAX(0,CF59)</f>
        <v>0</v>
      </c>
    </row>
    <row r="60" customFormat="false" ht="15" hidden="false" customHeight="true" outlineLevel="0" collapsed="false">
      <c r="B60" s="20" t="n">
        <v>52</v>
      </c>
      <c r="C60" s="20" t="n">
        <f aca="false">'Plan cashflow'!J60</f>
        <v>0</v>
      </c>
      <c r="D60" s="20" t="n">
        <f aca="false">IF(C60&gt;PR_BalDone,C60+C60*(F_MR/12)-MIN(F_MortPayM,C60+C60*(F_MR/12)),C60)</f>
        <v>0</v>
      </c>
      <c r="E60" s="20" t="n">
        <f aca="false">IF(D60&gt;PR_BalDone,D60+D60*(F_MR/12)-MIN(F_MortPayM,D60+D60*(F_MR/12)),D60)</f>
        <v>0</v>
      </c>
      <c r="F60" s="20" t="n">
        <f aca="false">IF(E60&gt;PR_BalDone,E60+E60*(F_MR/12)-MIN(F_MortPayM,E60+E60*(F_MR/12)),E60)</f>
        <v>0</v>
      </c>
      <c r="G60" s="20" t="n">
        <f aca="false">IF(F60&gt;PR_BalDone,F60+F60*(F_MR/12)-MIN(F_MortPayM,F60+F60*(F_MR/12)),F60)</f>
        <v>0</v>
      </c>
      <c r="H60" s="20" t="n">
        <f aca="false">IF(G60&gt;PR_BalDone,G60+G60*(F_MR/12)-MIN(F_MortPayM,G60+G60*(F_MR/12)),G60)</f>
        <v>0</v>
      </c>
      <c r="I60" s="20" t="n">
        <f aca="false">IF(H60&gt;PR_BalDone,H60+H60*(F_MR/12)-MIN(F_MortPayM,H60+H60*(F_MR/12)),H60)</f>
        <v>0</v>
      </c>
      <c r="J60" s="20" t="n">
        <f aca="false">IF(I60&gt;PR_BalDone,I60+I60*(F_MR/12)-MIN(F_MortPayM,I60+I60*(F_MR/12)),I60)</f>
        <v>0</v>
      </c>
      <c r="K60" s="20" t="n">
        <f aca="false">IF(J60&gt;PR_BalDone,J60+J60*(F_MR/12)-MIN(F_MortPayM,J60+J60*(F_MR/12)),J60)</f>
        <v>0</v>
      </c>
      <c r="L60" s="20" t="n">
        <f aca="false">IF(K60&gt;PR_BalDone,K60+K60*(F_MR/12)-MIN(F_MortPayM,K60+K60*(F_MR/12)),K60)</f>
        <v>0</v>
      </c>
      <c r="M60" s="20" t="n">
        <f aca="false">IF(L60&gt;PR_BalDone,L60+L60*(F_MR/12)-MIN(F_MortPayM,L60+L60*(F_MR/12)),L60)</f>
        <v>0</v>
      </c>
      <c r="N60" s="20" t="n">
        <f aca="false">IF(M60&gt;PR_BalDone,M60+M60*(F_MR/12)-MIN(F_MortPayM,M60+M60*(F_MR/12)),M60)</f>
        <v>0</v>
      </c>
      <c r="O60" s="20" t="n">
        <f aca="false">IF(N60&gt;PR_BalDone,N60+N60*(F_MR/12)-MIN(F_MortPayM,N60+N60*(F_MR/12)),N60)</f>
        <v>0</v>
      </c>
      <c r="P60" s="20" t="n">
        <f aca="false">IF(C60&gt;PR_BalDone,MIN(F_MortPayM,C60+C60*(F_MR/12)),0)</f>
        <v>0</v>
      </c>
      <c r="Q60" s="20" t="n">
        <f aca="false">IF(D60&gt;PR_BalDone,MIN(F_MortPayM,D60+D60*(F_MR/12)),0)</f>
        <v>0</v>
      </c>
      <c r="R60" s="20" t="n">
        <f aca="false">IF(E60&gt;PR_BalDone,MIN(F_MortPayM,E60+E60*(F_MR/12)),0)</f>
        <v>0</v>
      </c>
      <c r="S60" s="20" t="n">
        <f aca="false">IF(F60&gt;PR_BalDone,MIN(F_MortPayM,F60+F60*(F_MR/12)),0)</f>
        <v>0</v>
      </c>
      <c r="T60" s="20" t="n">
        <f aca="false">IF(G60&gt;PR_BalDone,MIN(F_MortPayM,G60+G60*(F_MR/12)),0)</f>
        <v>0</v>
      </c>
      <c r="U60" s="20" t="n">
        <f aca="false">IF(H60&gt;PR_BalDone,MIN(F_MortPayM,H60+H60*(F_MR/12)),0)</f>
        <v>0</v>
      </c>
      <c r="V60" s="20" t="n">
        <f aca="false">IF(I60&gt;PR_BalDone,MIN(F_MortPayM,I60+I60*(F_MR/12)),0)</f>
        <v>0</v>
      </c>
      <c r="W60" s="20" t="n">
        <f aca="false">IF(J60&gt;PR_BalDone,MIN(F_MortPayM,J60+J60*(F_MR/12)),0)</f>
        <v>0</v>
      </c>
      <c r="X60" s="20" t="n">
        <f aca="false">IF(K60&gt;PR_BalDone,MIN(F_MortPayM,K60+K60*(F_MR/12)),0)</f>
        <v>0</v>
      </c>
      <c r="Y60" s="20" t="n">
        <f aca="false">IF(L60&gt;PR_BalDone,MIN(F_MortPayM,L60+L60*(F_MR/12)),0)</f>
        <v>0</v>
      </c>
      <c r="Z60" s="20" t="n">
        <f aca="false">IF(M60&gt;PR_BalDone,MIN(F_MortPayM,M60+M60*(F_MR/12)),0)</f>
        <v>0</v>
      </c>
      <c r="AA60" s="20" t="n">
        <f aca="false">IF(N60&gt;PR_BalDone,MIN(F_MortPayM,N60+N60*(F_MR/12)),0)</f>
        <v>0</v>
      </c>
      <c r="AB60" s="20" t="n">
        <f aca="false">MAX(0,O60)</f>
        <v>0</v>
      </c>
      <c r="AC60" s="20" t="n">
        <f aca="false">SUM(P60:AA60)</f>
        <v>0</v>
      </c>
      <c r="AD60" s="20" t="n">
        <f aca="false">'Plan cashflow'!M60</f>
        <v>0</v>
      </c>
      <c r="AE60" s="20" t="n">
        <f aca="false">IF(AD60&gt;PR_BalDone,AD60+AD60*(D_iC)-MIN(F_CardPayM,AD60+AD60*(D_iC)),AD60)</f>
        <v>0</v>
      </c>
      <c r="AF60" s="20" t="n">
        <f aca="false">IF(AE60&gt;PR_BalDone,AE60+AE60*(D_iC)-MIN(F_CardPayM,AE60+AE60*(D_iC)),AE60)</f>
        <v>0</v>
      </c>
      <c r="AG60" s="20" t="n">
        <f aca="false">IF(AF60&gt;PR_BalDone,AF60+AF60*(D_iC)-MIN(F_CardPayM,AF60+AF60*(D_iC)),AF60)</f>
        <v>0</v>
      </c>
      <c r="AH60" s="20" t="n">
        <f aca="false">IF(AG60&gt;PR_BalDone,AG60+AG60*(D_iC)-MIN(F_CardPayM,AG60+AG60*(D_iC)),AG60)</f>
        <v>0</v>
      </c>
      <c r="AI60" s="20" t="n">
        <f aca="false">IF(AH60&gt;PR_BalDone,AH60+AH60*(D_iC)-MIN(F_CardPayM,AH60+AH60*(D_iC)),AH60)</f>
        <v>0</v>
      </c>
      <c r="AJ60" s="20" t="n">
        <f aca="false">IF(AI60&gt;PR_BalDone,AI60+AI60*(D_iC)-MIN(F_CardPayM,AI60+AI60*(D_iC)),AI60)</f>
        <v>0</v>
      </c>
      <c r="AK60" s="20" t="n">
        <f aca="false">IF(AJ60&gt;PR_BalDone,AJ60+AJ60*(D_iC)-MIN(F_CardPayM,AJ60+AJ60*(D_iC)),AJ60)</f>
        <v>0</v>
      </c>
      <c r="AL60" s="20" t="n">
        <f aca="false">IF(AK60&gt;PR_BalDone,AK60+AK60*(D_iC)-MIN(F_CardPayM,AK60+AK60*(D_iC)),AK60)</f>
        <v>0</v>
      </c>
      <c r="AM60" s="20" t="n">
        <f aca="false">IF(AL60&gt;PR_BalDone,AL60+AL60*(D_iC)-MIN(F_CardPayM,AL60+AL60*(D_iC)),AL60)</f>
        <v>0</v>
      </c>
      <c r="AN60" s="20" t="n">
        <f aca="false">IF(AM60&gt;PR_BalDone,AM60+AM60*(D_iC)-MIN(F_CardPayM,AM60+AM60*(D_iC)),AM60)</f>
        <v>0</v>
      </c>
      <c r="AO60" s="20" t="n">
        <f aca="false">IF(AN60&gt;PR_BalDone,AN60+AN60*(D_iC)-MIN(F_CardPayM,AN60+AN60*(D_iC)),AN60)</f>
        <v>0</v>
      </c>
      <c r="AP60" s="20" t="n">
        <f aca="false">IF(AO60&gt;PR_BalDone,AO60+AO60*(D_iC)-MIN(F_CardPayM,AO60+AO60*(D_iC)),AO60)</f>
        <v>0</v>
      </c>
      <c r="AQ60" s="20" t="n">
        <f aca="false">IF(AD60&gt;PR_BalDone,MIN(F_CardPayM,AD60+AD60*(D_iC)),0)</f>
        <v>0</v>
      </c>
      <c r="AR60" s="20" t="n">
        <f aca="false">IF(AE60&gt;PR_BalDone,MIN(F_CardPayM,AE60+AE60*(D_iC)),0)</f>
        <v>0</v>
      </c>
      <c r="AS60" s="20" t="n">
        <f aca="false">IF(AF60&gt;PR_BalDone,MIN(F_CardPayM,AF60+AF60*(D_iC)),0)</f>
        <v>0</v>
      </c>
      <c r="AT60" s="20" t="n">
        <f aca="false">IF(AG60&gt;PR_BalDone,MIN(F_CardPayM,AG60+AG60*(D_iC)),0)</f>
        <v>0</v>
      </c>
      <c r="AU60" s="20" t="n">
        <f aca="false">IF(AH60&gt;PR_BalDone,MIN(F_CardPayM,AH60+AH60*(D_iC)),0)</f>
        <v>0</v>
      </c>
      <c r="AV60" s="20" t="n">
        <f aca="false">IF(AI60&gt;PR_BalDone,MIN(F_CardPayM,AI60+AI60*(D_iC)),0)</f>
        <v>0</v>
      </c>
      <c r="AW60" s="20" t="n">
        <f aca="false">IF(AJ60&gt;PR_BalDone,MIN(F_CardPayM,AJ60+AJ60*(D_iC)),0)</f>
        <v>0</v>
      </c>
      <c r="AX60" s="20" t="n">
        <f aca="false">IF(AK60&gt;PR_BalDone,MIN(F_CardPayM,AK60+AK60*(D_iC)),0)</f>
        <v>0</v>
      </c>
      <c r="AY60" s="20" t="n">
        <f aca="false">IF(AL60&gt;PR_BalDone,MIN(F_CardPayM,AL60+AL60*(D_iC)),0)</f>
        <v>0</v>
      </c>
      <c r="AZ60" s="20" t="n">
        <f aca="false">IF(AM60&gt;PR_BalDone,MIN(F_CardPayM,AM60+AM60*(D_iC)),0)</f>
        <v>0</v>
      </c>
      <c r="BA60" s="20" t="n">
        <f aca="false">IF(AN60&gt;PR_BalDone,MIN(F_CardPayM,AN60+AN60*(D_iC)),0)</f>
        <v>0</v>
      </c>
      <c r="BB60" s="20" t="n">
        <f aca="false">IF(AO60&gt;PR_BalDone,MIN(F_CardPayM,AO60+AO60*(D_iC)),0)</f>
        <v>0</v>
      </c>
      <c r="BC60" s="20" t="n">
        <f aca="false">MAX(0,AP60)</f>
        <v>0</v>
      </c>
      <c r="BD60" s="20" t="n">
        <f aca="false">SUM(AQ60:BB60)</f>
        <v>0</v>
      </c>
      <c r="BE60" s="20" t="n">
        <f aca="false">'Plan cashflow'!P60</f>
        <v>0</v>
      </c>
      <c r="BF60" s="20" t="n">
        <f aca="false">IF(BE60&gt;PR_BalDone,BE60+BE60*(D_iL)-MIN(F_LoanPayM,BE60+BE60*(D_iL)),BE60)</f>
        <v>0</v>
      </c>
      <c r="BG60" s="20" t="n">
        <f aca="false">IF(BF60&gt;PR_BalDone,BF60+BF60*(D_iL)-MIN(F_LoanPayM,BF60+BF60*(D_iL)),BF60)</f>
        <v>0</v>
      </c>
      <c r="BH60" s="20" t="n">
        <f aca="false">IF(BG60&gt;PR_BalDone,BG60+BG60*(D_iL)-MIN(F_LoanPayM,BG60+BG60*(D_iL)),BG60)</f>
        <v>0</v>
      </c>
      <c r="BI60" s="20" t="n">
        <f aca="false">IF(BH60&gt;PR_BalDone,BH60+BH60*(D_iL)-MIN(F_LoanPayM,BH60+BH60*(D_iL)),BH60)</f>
        <v>0</v>
      </c>
      <c r="BJ60" s="20" t="n">
        <f aca="false">IF(BI60&gt;PR_BalDone,BI60+BI60*(D_iL)-MIN(F_LoanPayM,BI60+BI60*(D_iL)),BI60)</f>
        <v>0</v>
      </c>
      <c r="BK60" s="20" t="n">
        <f aca="false">IF(BJ60&gt;PR_BalDone,BJ60+BJ60*(D_iL)-MIN(F_LoanPayM,BJ60+BJ60*(D_iL)),BJ60)</f>
        <v>0</v>
      </c>
      <c r="BL60" s="20" t="n">
        <f aca="false">IF(BK60&gt;PR_BalDone,BK60+BK60*(D_iL)-MIN(F_LoanPayM,BK60+BK60*(D_iL)),BK60)</f>
        <v>0</v>
      </c>
      <c r="BM60" s="20" t="n">
        <f aca="false">IF(BL60&gt;PR_BalDone,BL60+BL60*(D_iL)-MIN(F_LoanPayM,BL60+BL60*(D_iL)),BL60)</f>
        <v>0</v>
      </c>
      <c r="BN60" s="20" t="n">
        <f aca="false">IF(BM60&gt;PR_BalDone,BM60+BM60*(D_iL)-MIN(F_LoanPayM,BM60+BM60*(D_iL)),BM60)</f>
        <v>0</v>
      </c>
      <c r="BO60" s="20" t="n">
        <f aca="false">IF(BN60&gt;PR_BalDone,BN60+BN60*(D_iL)-MIN(F_LoanPayM,BN60+BN60*(D_iL)),BN60)</f>
        <v>0</v>
      </c>
      <c r="BP60" s="20" t="n">
        <f aca="false">IF(BO60&gt;PR_BalDone,BO60+BO60*(D_iL)-MIN(F_LoanPayM,BO60+BO60*(D_iL)),BO60)</f>
        <v>0</v>
      </c>
      <c r="BQ60" s="20" t="n">
        <f aca="false">IF(BP60&gt;PR_BalDone,BP60+BP60*(D_iL)-MIN(F_LoanPayM,BP60+BP60*(D_iL)),BP60)</f>
        <v>0</v>
      </c>
      <c r="BR60" s="20" t="n">
        <f aca="false">IF(BE60&gt;PR_BalDone,MIN(F_LoanPayM,BE60+BE60*(D_iL)),0)</f>
        <v>0</v>
      </c>
      <c r="BS60" s="20" t="n">
        <f aca="false">IF(BF60&gt;PR_BalDone,MIN(F_LoanPayM,BF60+BF60*(D_iL)),0)</f>
        <v>0</v>
      </c>
      <c r="BT60" s="20" t="n">
        <f aca="false">IF(BG60&gt;PR_BalDone,MIN(F_LoanPayM,BG60+BG60*(D_iL)),0)</f>
        <v>0</v>
      </c>
      <c r="BU60" s="20" t="n">
        <f aca="false">IF(BH60&gt;PR_BalDone,MIN(F_LoanPayM,BH60+BH60*(D_iL)),0)</f>
        <v>0</v>
      </c>
      <c r="BV60" s="20" t="n">
        <f aca="false">IF(BI60&gt;PR_BalDone,MIN(F_LoanPayM,BI60+BI60*(D_iL)),0)</f>
        <v>0</v>
      </c>
      <c r="BW60" s="20" t="n">
        <f aca="false">IF(BJ60&gt;PR_BalDone,MIN(F_LoanPayM,BJ60+BJ60*(D_iL)),0)</f>
        <v>0</v>
      </c>
      <c r="BX60" s="20" t="n">
        <f aca="false">IF(BK60&gt;PR_BalDone,MIN(F_LoanPayM,BK60+BK60*(D_iL)),0)</f>
        <v>0</v>
      </c>
      <c r="BY60" s="20" t="n">
        <f aca="false">IF(BL60&gt;PR_BalDone,MIN(F_LoanPayM,BL60+BL60*(D_iL)),0)</f>
        <v>0</v>
      </c>
      <c r="BZ60" s="20" t="n">
        <f aca="false">IF(BM60&gt;PR_BalDone,MIN(F_LoanPayM,BM60+BM60*(D_iL)),0)</f>
        <v>0</v>
      </c>
      <c r="CA60" s="20" t="n">
        <f aca="false">IF(BN60&gt;PR_BalDone,MIN(F_LoanPayM,BN60+BN60*(D_iL)),0)</f>
        <v>0</v>
      </c>
      <c r="CB60" s="20" t="n">
        <f aca="false">IF(BO60&gt;PR_BalDone,MIN(F_LoanPayM,BO60+BO60*(D_iL)),0)</f>
        <v>0</v>
      </c>
      <c r="CC60" s="20" t="n">
        <f aca="false">IF(BP60&gt;PR_BalDone,MIN(F_LoanPayM,BP60+BP60*(D_iL)),0)</f>
        <v>0</v>
      </c>
      <c r="CD60" s="20" t="n">
        <f aca="false">MAX(0,BQ60)</f>
        <v>0</v>
      </c>
      <c r="CE60" s="20" t="n">
        <f aca="false">SUM(BR60:CC60)</f>
        <v>0</v>
      </c>
      <c r="CF60" s="20" t="n">
        <f aca="false">IF(CF59&gt;1,DE59,CF59)</f>
        <v>0</v>
      </c>
      <c r="CG60" s="20" t="n">
        <f aca="false">IF(CF60&gt;PR_BalDone,CF60+CF60*(F_MR/12)-MIN(F_MortPayM,CF60+CF60*(F_MR/12)),CF60)</f>
        <v>0</v>
      </c>
      <c r="CH60" s="20" t="n">
        <f aca="false">IF(CG60&gt;PR_BalDone,CG60+CG60*(F_MR/12)-MIN(F_MortPayM,CG60+CG60*(F_MR/12)),CG60)</f>
        <v>0</v>
      </c>
      <c r="CI60" s="20" t="n">
        <f aca="false">IF(CH60&gt;PR_BalDone,CH60+CH60*(F_MR/12)-MIN(F_MortPayM,CH60+CH60*(F_MR/12)),CH60)</f>
        <v>0</v>
      </c>
      <c r="CJ60" s="20" t="n">
        <f aca="false">IF(CI60&gt;PR_BalDone,CI60+CI60*(F_MR/12)-MIN(F_MortPayM,CI60+CI60*(F_MR/12)),CI60)</f>
        <v>0</v>
      </c>
      <c r="CK60" s="20" t="n">
        <f aca="false">IF(CJ60&gt;PR_BalDone,CJ60+CJ60*(F_MR/12)-MIN(F_MortPayM,CJ60+CJ60*(F_MR/12)),CJ60)</f>
        <v>0</v>
      </c>
      <c r="CL60" s="20" t="n">
        <f aca="false">IF(CK60&gt;PR_BalDone,CK60+CK60*(F_MR/12)-MIN(F_MortPayM,CK60+CK60*(F_MR/12)),CK60)</f>
        <v>0</v>
      </c>
      <c r="CM60" s="20" t="n">
        <f aca="false">IF(CL60&gt;PR_BalDone,CL60+CL60*(F_MR/12)-MIN(F_MortPayM,CL60+CL60*(F_MR/12)),CL60)</f>
        <v>0</v>
      </c>
      <c r="CN60" s="20" t="n">
        <f aca="false">IF(CM60&gt;PR_BalDone,CM60+CM60*(F_MR/12)-MIN(F_MortPayM,CM60+CM60*(F_MR/12)),CM60)</f>
        <v>0</v>
      </c>
      <c r="CO60" s="20" t="n">
        <f aca="false">IF(CN60&gt;PR_BalDone,CN60+CN60*(F_MR/12)-MIN(F_MortPayM,CN60+CN60*(F_MR/12)),CN60)</f>
        <v>0</v>
      </c>
      <c r="CP60" s="20" t="n">
        <f aca="false">IF(CO60&gt;PR_BalDone,CO60+CO60*(F_MR/12)-MIN(F_MortPayM,CO60+CO60*(F_MR/12)),CO60)</f>
        <v>0</v>
      </c>
      <c r="CQ60" s="20" t="n">
        <f aca="false">IF(CP60&gt;PR_BalDone,CP60+CP60*(F_MR/12)-MIN(F_MortPayM,CP60+CP60*(F_MR/12)),CP60)</f>
        <v>0</v>
      </c>
      <c r="CR60" s="20" t="n">
        <f aca="false">IF(CQ60&gt;PR_BalDone,CQ60+CQ60*(F_MR/12)-MIN(F_MortPayM,CQ60+CQ60*(F_MR/12)),CQ60)</f>
        <v>0</v>
      </c>
      <c r="CS60" s="20" t="n">
        <f aca="false">IF(CF60&gt;PR_BalDone,MIN(F_MortPayM,CF60+CF60*(F_MR/12)),0)</f>
        <v>0</v>
      </c>
      <c r="CT60" s="20" t="n">
        <f aca="false">IF(CG60&gt;PR_BalDone,MIN(F_MortPayM,CG60+CG60*(F_MR/12)),0)</f>
        <v>0</v>
      </c>
      <c r="CU60" s="20" t="n">
        <f aca="false">IF(CH60&gt;PR_BalDone,MIN(F_MortPayM,CH60+CH60*(F_MR/12)),0)</f>
        <v>0</v>
      </c>
      <c r="CV60" s="20" t="n">
        <f aca="false">IF(CI60&gt;PR_BalDone,MIN(F_MortPayM,CI60+CI60*(F_MR/12)),0)</f>
        <v>0</v>
      </c>
      <c r="CW60" s="20" t="n">
        <f aca="false">IF(CJ60&gt;PR_BalDone,MIN(F_MortPayM,CJ60+CJ60*(F_MR/12)),0)</f>
        <v>0</v>
      </c>
      <c r="CX60" s="20" t="n">
        <f aca="false">IF(CK60&gt;PR_BalDone,MIN(F_MortPayM,CK60+CK60*(F_MR/12)),0)</f>
        <v>0</v>
      </c>
      <c r="CY60" s="20" t="n">
        <f aca="false">IF(CL60&gt;PR_BalDone,MIN(F_MortPayM,CL60+CL60*(F_MR/12)),0)</f>
        <v>0</v>
      </c>
      <c r="CZ60" s="20" t="n">
        <f aca="false">IF(CM60&gt;PR_BalDone,MIN(F_MortPayM,CM60+CM60*(F_MR/12)),0)</f>
        <v>0</v>
      </c>
      <c r="DA60" s="20" t="n">
        <f aca="false">IF(CN60&gt;PR_BalDone,MIN(F_MortPayM,CN60+CN60*(F_MR/12)),0)</f>
        <v>0</v>
      </c>
      <c r="DB60" s="20" t="n">
        <f aca="false">IF(CO60&gt;PR_BalDone,MIN(F_MortPayM,CO60+CO60*(F_MR/12)),0)</f>
        <v>0</v>
      </c>
      <c r="DC60" s="20" t="n">
        <f aca="false">IF(CP60&gt;PR_BalDone,MIN(F_MortPayM,CP60+CP60*(F_MR/12)),0)</f>
        <v>0</v>
      </c>
      <c r="DD60" s="20" t="n">
        <f aca="false">IF(CQ60&gt;PR_BalDone,MIN(F_MortPayM,CQ60+CQ60*(F_MR/12)),0)</f>
        <v>0</v>
      </c>
      <c r="DE60" s="20" t="n">
        <f aca="false">MAX(0,CR60)</f>
        <v>0</v>
      </c>
      <c r="DF60" s="20" t="n">
        <f aca="false">SUM(CS60:DD60)</f>
        <v>0</v>
      </c>
      <c r="DG60" s="20" t="n">
        <f aca="false">MAX(0,CF60)</f>
        <v>0</v>
      </c>
    </row>
    <row r="61" customFormat="false" ht="15" hidden="false" customHeight="true" outlineLevel="0" collapsed="false">
      <c r="B61" s="20" t="n">
        <v>53</v>
      </c>
      <c r="C61" s="20" t="n">
        <f aca="false">'Plan cashflow'!J61</f>
        <v>0</v>
      </c>
      <c r="D61" s="20" t="n">
        <f aca="false">IF(C61&gt;PR_BalDone,C61+C61*(F_MR/12)-MIN(F_MortPayM,C61+C61*(F_MR/12)),C61)</f>
        <v>0</v>
      </c>
      <c r="E61" s="20" t="n">
        <f aca="false">IF(D61&gt;PR_BalDone,D61+D61*(F_MR/12)-MIN(F_MortPayM,D61+D61*(F_MR/12)),D61)</f>
        <v>0</v>
      </c>
      <c r="F61" s="20" t="n">
        <f aca="false">IF(E61&gt;PR_BalDone,E61+E61*(F_MR/12)-MIN(F_MortPayM,E61+E61*(F_MR/12)),E61)</f>
        <v>0</v>
      </c>
      <c r="G61" s="20" t="n">
        <f aca="false">IF(F61&gt;PR_BalDone,F61+F61*(F_MR/12)-MIN(F_MortPayM,F61+F61*(F_MR/12)),F61)</f>
        <v>0</v>
      </c>
      <c r="H61" s="20" t="n">
        <f aca="false">IF(G61&gt;PR_BalDone,G61+G61*(F_MR/12)-MIN(F_MortPayM,G61+G61*(F_MR/12)),G61)</f>
        <v>0</v>
      </c>
      <c r="I61" s="20" t="n">
        <f aca="false">IF(H61&gt;PR_BalDone,H61+H61*(F_MR/12)-MIN(F_MortPayM,H61+H61*(F_MR/12)),H61)</f>
        <v>0</v>
      </c>
      <c r="J61" s="20" t="n">
        <f aca="false">IF(I61&gt;PR_BalDone,I61+I61*(F_MR/12)-MIN(F_MortPayM,I61+I61*(F_MR/12)),I61)</f>
        <v>0</v>
      </c>
      <c r="K61" s="20" t="n">
        <f aca="false">IF(J61&gt;PR_BalDone,J61+J61*(F_MR/12)-MIN(F_MortPayM,J61+J61*(F_MR/12)),J61)</f>
        <v>0</v>
      </c>
      <c r="L61" s="20" t="n">
        <f aca="false">IF(K61&gt;PR_BalDone,K61+K61*(F_MR/12)-MIN(F_MortPayM,K61+K61*(F_MR/12)),K61)</f>
        <v>0</v>
      </c>
      <c r="M61" s="20" t="n">
        <f aca="false">IF(L61&gt;PR_BalDone,L61+L61*(F_MR/12)-MIN(F_MortPayM,L61+L61*(F_MR/12)),L61)</f>
        <v>0</v>
      </c>
      <c r="N61" s="20" t="n">
        <f aca="false">IF(M61&gt;PR_BalDone,M61+M61*(F_MR/12)-MIN(F_MortPayM,M61+M61*(F_MR/12)),M61)</f>
        <v>0</v>
      </c>
      <c r="O61" s="20" t="n">
        <f aca="false">IF(N61&gt;PR_BalDone,N61+N61*(F_MR/12)-MIN(F_MortPayM,N61+N61*(F_MR/12)),N61)</f>
        <v>0</v>
      </c>
      <c r="P61" s="20" t="n">
        <f aca="false">IF(C61&gt;PR_BalDone,MIN(F_MortPayM,C61+C61*(F_MR/12)),0)</f>
        <v>0</v>
      </c>
      <c r="Q61" s="20" t="n">
        <f aca="false">IF(D61&gt;PR_BalDone,MIN(F_MortPayM,D61+D61*(F_MR/12)),0)</f>
        <v>0</v>
      </c>
      <c r="R61" s="20" t="n">
        <f aca="false">IF(E61&gt;PR_BalDone,MIN(F_MortPayM,E61+E61*(F_MR/12)),0)</f>
        <v>0</v>
      </c>
      <c r="S61" s="20" t="n">
        <f aca="false">IF(F61&gt;PR_BalDone,MIN(F_MortPayM,F61+F61*(F_MR/12)),0)</f>
        <v>0</v>
      </c>
      <c r="T61" s="20" t="n">
        <f aca="false">IF(G61&gt;PR_BalDone,MIN(F_MortPayM,G61+G61*(F_MR/12)),0)</f>
        <v>0</v>
      </c>
      <c r="U61" s="20" t="n">
        <f aca="false">IF(H61&gt;PR_BalDone,MIN(F_MortPayM,H61+H61*(F_MR/12)),0)</f>
        <v>0</v>
      </c>
      <c r="V61" s="20" t="n">
        <f aca="false">IF(I61&gt;PR_BalDone,MIN(F_MortPayM,I61+I61*(F_MR/12)),0)</f>
        <v>0</v>
      </c>
      <c r="W61" s="20" t="n">
        <f aca="false">IF(J61&gt;PR_BalDone,MIN(F_MortPayM,J61+J61*(F_MR/12)),0)</f>
        <v>0</v>
      </c>
      <c r="X61" s="20" t="n">
        <f aca="false">IF(K61&gt;PR_BalDone,MIN(F_MortPayM,K61+K61*(F_MR/12)),0)</f>
        <v>0</v>
      </c>
      <c r="Y61" s="20" t="n">
        <f aca="false">IF(L61&gt;PR_BalDone,MIN(F_MortPayM,L61+L61*(F_MR/12)),0)</f>
        <v>0</v>
      </c>
      <c r="Z61" s="20" t="n">
        <f aca="false">IF(M61&gt;PR_BalDone,MIN(F_MortPayM,M61+M61*(F_MR/12)),0)</f>
        <v>0</v>
      </c>
      <c r="AA61" s="20" t="n">
        <f aca="false">IF(N61&gt;PR_BalDone,MIN(F_MortPayM,N61+N61*(F_MR/12)),0)</f>
        <v>0</v>
      </c>
      <c r="AB61" s="20" t="n">
        <f aca="false">MAX(0,O61)</f>
        <v>0</v>
      </c>
      <c r="AC61" s="20" t="n">
        <f aca="false">SUM(P61:AA61)</f>
        <v>0</v>
      </c>
      <c r="AD61" s="20" t="n">
        <f aca="false">'Plan cashflow'!M61</f>
        <v>0</v>
      </c>
      <c r="AE61" s="20" t="n">
        <f aca="false">IF(AD61&gt;PR_BalDone,AD61+AD61*(D_iC)-MIN(F_CardPayM,AD61+AD61*(D_iC)),AD61)</f>
        <v>0</v>
      </c>
      <c r="AF61" s="20" t="n">
        <f aca="false">IF(AE61&gt;PR_BalDone,AE61+AE61*(D_iC)-MIN(F_CardPayM,AE61+AE61*(D_iC)),AE61)</f>
        <v>0</v>
      </c>
      <c r="AG61" s="20" t="n">
        <f aca="false">IF(AF61&gt;PR_BalDone,AF61+AF61*(D_iC)-MIN(F_CardPayM,AF61+AF61*(D_iC)),AF61)</f>
        <v>0</v>
      </c>
      <c r="AH61" s="20" t="n">
        <f aca="false">IF(AG61&gt;PR_BalDone,AG61+AG61*(D_iC)-MIN(F_CardPayM,AG61+AG61*(D_iC)),AG61)</f>
        <v>0</v>
      </c>
      <c r="AI61" s="20" t="n">
        <f aca="false">IF(AH61&gt;PR_BalDone,AH61+AH61*(D_iC)-MIN(F_CardPayM,AH61+AH61*(D_iC)),AH61)</f>
        <v>0</v>
      </c>
      <c r="AJ61" s="20" t="n">
        <f aca="false">IF(AI61&gt;PR_BalDone,AI61+AI61*(D_iC)-MIN(F_CardPayM,AI61+AI61*(D_iC)),AI61)</f>
        <v>0</v>
      </c>
      <c r="AK61" s="20" t="n">
        <f aca="false">IF(AJ61&gt;PR_BalDone,AJ61+AJ61*(D_iC)-MIN(F_CardPayM,AJ61+AJ61*(D_iC)),AJ61)</f>
        <v>0</v>
      </c>
      <c r="AL61" s="20" t="n">
        <f aca="false">IF(AK61&gt;PR_BalDone,AK61+AK61*(D_iC)-MIN(F_CardPayM,AK61+AK61*(D_iC)),AK61)</f>
        <v>0</v>
      </c>
      <c r="AM61" s="20" t="n">
        <f aca="false">IF(AL61&gt;PR_BalDone,AL61+AL61*(D_iC)-MIN(F_CardPayM,AL61+AL61*(D_iC)),AL61)</f>
        <v>0</v>
      </c>
      <c r="AN61" s="20" t="n">
        <f aca="false">IF(AM61&gt;PR_BalDone,AM61+AM61*(D_iC)-MIN(F_CardPayM,AM61+AM61*(D_iC)),AM61)</f>
        <v>0</v>
      </c>
      <c r="AO61" s="20" t="n">
        <f aca="false">IF(AN61&gt;PR_BalDone,AN61+AN61*(D_iC)-MIN(F_CardPayM,AN61+AN61*(D_iC)),AN61)</f>
        <v>0</v>
      </c>
      <c r="AP61" s="20" t="n">
        <f aca="false">IF(AO61&gt;PR_BalDone,AO61+AO61*(D_iC)-MIN(F_CardPayM,AO61+AO61*(D_iC)),AO61)</f>
        <v>0</v>
      </c>
      <c r="AQ61" s="20" t="n">
        <f aca="false">IF(AD61&gt;PR_BalDone,MIN(F_CardPayM,AD61+AD61*(D_iC)),0)</f>
        <v>0</v>
      </c>
      <c r="AR61" s="20" t="n">
        <f aca="false">IF(AE61&gt;PR_BalDone,MIN(F_CardPayM,AE61+AE61*(D_iC)),0)</f>
        <v>0</v>
      </c>
      <c r="AS61" s="20" t="n">
        <f aca="false">IF(AF61&gt;PR_BalDone,MIN(F_CardPayM,AF61+AF61*(D_iC)),0)</f>
        <v>0</v>
      </c>
      <c r="AT61" s="20" t="n">
        <f aca="false">IF(AG61&gt;PR_BalDone,MIN(F_CardPayM,AG61+AG61*(D_iC)),0)</f>
        <v>0</v>
      </c>
      <c r="AU61" s="20" t="n">
        <f aca="false">IF(AH61&gt;PR_BalDone,MIN(F_CardPayM,AH61+AH61*(D_iC)),0)</f>
        <v>0</v>
      </c>
      <c r="AV61" s="20" t="n">
        <f aca="false">IF(AI61&gt;PR_BalDone,MIN(F_CardPayM,AI61+AI61*(D_iC)),0)</f>
        <v>0</v>
      </c>
      <c r="AW61" s="20" t="n">
        <f aca="false">IF(AJ61&gt;PR_BalDone,MIN(F_CardPayM,AJ61+AJ61*(D_iC)),0)</f>
        <v>0</v>
      </c>
      <c r="AX61" s="20" t="n">
        <f aca="false">IF(AK61&gt;PR_BalDone,MIN(F_CardPayM,AK61+AK61*(D_iC)),0)</f>
        <v>0</v>
      </c>
      <c r="AY61" s="20" t="n">
        <f aca="false">IF(AL61&gt;PR_BalDone,MIN(F_CardPayM,AL61+AL61*(D_iC)),0)</f>
        <v>0</v>
      </c>
      <c r="AZ61" s="20" t="n">
        <f aca="false">IF(AM61&gt;PR_BalDone,MIN(F_CardPayM,AM61+AM61*(D_iC)),0)</f>
        <v>0</v>
      </c>
      <c r="BA61" s="20" t="n">
        <f aca="false">IF(AN61&gt;PR_BalDone,MIN(F_CardPayM,AN61+AN61*(D_iC)),0)</f>
        <v>0</v>
      </c>
      <c r="BB61" s="20" t="n">
        <f aca="false">IF(AO61&gt;PR_BalDone,MIN(F_CardPayM,AO61+AO61*(D_iC)),0)</f>
        <v>0</v>
      </c>
      <c r="BC61" s="20" t="n">
        <f aca="false">MAX(0,AP61)</f>
        <v>0</v>
      </c>
      <c r="BD61" s="20" t="n">
        <f aca="false">SUM(AQ61:BB61)</f>
        <v>0</v>
      </c>
      <c r="BE61" s="20" t="n">
        <f aca="false">'Plan cashflow'!P61</f>
        <v>0</v>
      </c>
      <c r="BF61" s="20" t="n">
        <f aca="false">IF(BE61&gt;PR_BalDone,BE61+BE61*(D_iL)-MIN(F_LoanPayM,BE61+BE61*(D_iL)),BE61)</f>
        <v>0</v>
      </c>
      <c r="BG61" s="20" t="n">
        <f aca="false">IF(BF61&gt;PR_BalDone,BF61+BF61*(D_iL)-MIN(F_LoanPayM,BF61+BF61*(D_iL)),BF61)</f>
        <v>0</v>
      </c>
      <c r="BH61" s="20" t="n">
        <f aca="false">IF(BG61&gt;PR_BalDone,BG61+BG61*(D_iL)-MIN(F_LoanPayM,BG61+BG61*(D_iL)),BG61)</f>
        <v>0</v>
      </c>
      <c r="BI61" s="20" t="n">
        <f aca="false">IF(BH61&gt;PR_BalDone,BH61+BH61*(D_iL)-MIN(F_LoanPayM,BH61+BH61*(D_iL)),BH61)</f>
        <v>0</v>
      </c>
      <c r="BJ61" s="20" t="n">
        <f aca="false">IF(BI61&gt;PR_BalDone,BI61+BI61*(D_iL)-MIN(F_LoanPayM,BI61+BI61*(D_iL)),BI61)</f>
        <v>0</v>
      </c>
      <c r="BK61" s="20" t="n">
        <f aca="false">IF(BJ61&gt;PR_BalDone,BJ61+BJ61*(D_iL)-MIN(F_LoanPayM,BJ61+BJ61*(D_iL)),BJ61)</f>
        <v>0</v>
      </c>
      <c r="BL61" s="20" t="n">
        <f aca="false">IF(BK61&gt;PR_BalDone,BK61+BK61*(D_iL)-MIN(F_LoanPayM,BK61+BK61*(D_iL)),BK61)</f>
        <v>0</v>
      </c>
      <c r="BM61" s="20" t="n">
        <f aca="false">IF(BL61&gt;PR_BalDone,BL61+BL61*(D_iL)-MIN(F_LoanPayM,BL61+BL61*(D_iL)),BL61)</f>
        <v>0</v>
      </c>
      <c r="BN61" s="20" t="n">
        <f aca="false">IF(BM61&gt;PR_BalDone,BM61+BM61*(D_iL)-MIN(F_LoanPayM,BM61+BM61*(D_iL)),BM61)</f>
        <v>0</v>
      </c>
      <c r="BO61" s="20" t="n">
        <f aca="false">IF(BN61&gt;PR_BalDone,BN61+BN61*(D_iL)-MIN(F_LoanPayM,BN61+BN61*(D_iL)),BN61)</f>
        <v>0</v>
      </c>
      <c r="BP61" s="20" t="n">
        <f aca="false">IF(BO61&gt;PR_BalDone,BO61+BO61*(D_iL)-MIN(F_LoanPayM,BO61+BO61*(D_iL)),BO61)</f>
        <v>0</v>
      </c>
      <c r="BQ61" s="20" t="n">
        <f aca="false">IF(BP61&gt;PR_BalDone,BP61+BP61*(D_iL)-MIN(F_LoanPayM,BP61+BP61*(D_iL)),BP61)</f>
        <v>0</v>
      </c>
      <c r="BR61" s="20" t="n">
        <f aca="false">IF(BE61&gt;PR_BalDone,MIN(F_LoanPayM,BE61+BE61*(D_iL)),0)</f>
        <v>0</v>
      </c>
      <c r="BS61" s="20" t="n">
        <f aca="false">IF(BF61&gt;PR_BalDone,MIN(F_LoanPayM,BF61+BF61*(D_iL)),0)</f>
        <v>0</v>
      </c>
      <c r="BT61" s="20" t="n">
        <f aca="false">IF(BG61&gt;PR_BalDone,MIN(F_LoanPayM,BG61+BG61*(D_iL)),0)</f>
        <v>0</v>
      </c>
      <c r="BU61" s="20" t="n">
        <f aca="false">IF(BH61&gt;PR_BalDone,MIN(F_LoanPayM,BH61+BH61*(D_iL)),0)</f>
        <v>0</v>
      </c>
      <c r="BV61" s="20" t="n">
        <f aca="false">IF(BI61&gt;PR_BalDone,MIN(F_LoanPayM,BI61+BI61*(D_iL)),0)</f>
        <v>0</v>
      </c>
      <c r="BW61" s="20" t="n">
        <f aca="false">IF(BJ61&gt;PR_BalDone,MIN(F_LoanPayM,BJ61+BJ61*(D_iL)),0)</f>
        <v>0</v>
      </c>
      <c r="BX61" s="20" t="n">
        <f aca="false">IF(BK61&gt;PR_BalDone,MIN(F_LoanPayM,BK61+BK61*(D_iL)),0)</f>
        <v>0</v>
      </c>
      <c r="BY61" s="20" t="n">
        <f aca="false">IF(BL61&gt;PR_BalDone,MIN(F_LoanPayM,BL61+BL61*(D_iL)),0)</f>
        <v>0</v>
      </c>
      <c r="BZ61" s="20" t="n">
        <f aca="false">IF(BM61&gt;PR_BalDone,MIN(F_LoanPayM,BM61+BM61*(D_iL)),0)</f>
        <v>0</v>
      </c>
      <c r="CA61" s="20" t="n">
        <f aca="false">IF(BN61&gt;PR_BalDone,MIN(F_LoanPayM,BN61+BN61*(D_iL)),0)</f>
        <v>0</v>
      </c>
      <c r="CB61" s="20" t="n">
        <f aca="false">IF(BO61&gt;PR_BalDone,MIN(F_LoanPayM,BO61+BO61*(D_iL)),0)</f>
        <v>0</v>
      </c>
      <c r="CC61" s="20" t="n">
        <f aca="false">IF(BP61&gt;PR_BalDone,MIN(F_LoanPayM,BP61+BP61*(D_iL)),0)</f>
        <v>0</v>
      </c>
      <c r="CD61" s="20" t="n">
        <f aca="false">MAX(0,BQ61)</f>
        <v>0</v>
      </c>
      <c r="CE61" s="20" t="n">
        <f aca="false">SUM(BR61:CC61)</f>
        <v>0</v>
      </c>
      <c r="CF61" s="20" t="n">
        <f aca="false">IF(CF60&gt;1,DE60,CF60)</f>
        <v>0</v>
      </c>
      <c r="CG61" s="20" t="n">
        <f aca="false">IF(CF61&gt;PR_BalDone,CF61+CF61*(F_MR/12)-MIN(F_MortPayM,CF61+CF61*(F_MR/12)),CF61)</f>
        <v>0</v>
      </c>
      <c r="CH61" s="20" t="n">
        <f aca="false">IF(CG61&gt;PR_BalDone,CG61+CG61*(F_MR/12)-MIN(F_MortPayM,CG61+CG61*(F_MR/12)),CG61)</f>
        <v>0</v>
      </c>
      <c r="CI61" s="20" t="n">
        <f aca="false">IF(CH61&gt;PR_BalDone,CH61+CH61*(F_MR/12)-MIN(F_MortPayM,CH61+CH61*(F_MR/12)),CH61)</f>
        <v>0</v>
      </c>
      <c r="CJ61" s="20" t="n">
        <f aca="false">IF(CI61&gt;PR_BalDone,CI61+CI61*(F_MR/12)-MIN(F_MortPayM,CI61+CI61*(F_MR/12)),CI61)</f>
        <v>0</v>
      </c>
      <c r="CK61" s="20" t="n">
        <f aca="false">IF(CJ61&gt;PR_BalDone,CJ61+CJ61*(F_MR/12)-MIN(F_MortPayM,CJ61+CJ61*(F_MR/12)),CJ61)</f>
        <v>0</v>
      </c>
      <c r="CL61" s="20" t="n">
        <f aca="false">IF(CK61&gt;PR_BalDone,CK61+CK61*(F_MR/12)-MIN(F_MortPayM,CK61+CK61*(F_MR/12)),CK61)</f>
        <v>0</v>
      </c>
      <c r="CM61" s="20" t="n">
        <f aca="false">IF(CL61&gt;PR_BalDone,CL61+CL61*(F_MR/12)-MIN(F_MortPayM,CL61+CL61*(F_MR/12)),CL61)</f>
        <v>0</v>
      </c>
      <c r="CN61" s="20" t="n">
        <f aca="false">IF(CM61&gt;PR_BalDone,CM61+CM61*(F_MR/12)-MIN(F_MortPayM,CM61+CM61*(F_MR/12)),CM61)</f>
        <v>0</v>
      </c>
      <c r="CO61" s="20" t="n">
        <f aca="false">IF(CN61&gt;PR_BalDone,CN61+CN61*(F_MR/12)-MIN(F_MortPayM,CN61+CN61*(F_MR/12)),CN61)</f>
        <v>0</v>
      </c>
      <c r="CP61" s="20" t="n">
        <f aca="false">IF(CO61&gt;PR_BalDone,CO61+CO61*(F_MR/12)-MIN(F_MortPayM,CO61+CO61*(F_MR/12)),CO61)</f>
        <v>0</v>
      </c>
      <c r="CQ61" s="20" t="n">
        <f aca="false">IF(CP61&gt;PR_BalDone,CP61+CP61*(F_MR/12)-MIN(F_MortPayM,CP61+CP61*(F_MR/12)),CP61)</f>
        <v>0</v>
      </c>
      <c r="CR61" s="20" t="n">
        <f aca="false">IF(CQ61&gt;PR_BalDone,CQ61+CQ61*(F_MR/12)-MIN(F_MortPayM,CQ61+CQ61*(F_MR/12)),CQ61)</f>
        <v>0</v>
      </c>
      <c r="CS61" s="20" t="n">
        <f aca="false">IF(CF61&gt;PR_BalDone,MIN(F_MortPayM,CF61+CF61*(F_MR/12)),0)</f>
        <v>0</v>
      </c>
      <c r="CT61" s="20" t="n">
        <f aca="false">IF(CG61&gt;PR_BalDone,MIN(F_MortPayM,CG61+CG61*(F_MR/12)),0)</f>
        <v>0</v>
      </c>
      <c r="CU61" s="20" t="n">
        <f aca="false">IF(CH61&gt;PR_BalDone,MIN(F_MortPayM,CH61+CH61*(F_MR/12)),0)</f>
        <v>0</v>
      </c>
      <c r="CV61" s="20" t="n">
        <f aca="false">IF(CI61&gt;PR_BalDone,MIN(F_MortPayM,CI61+CI61*(F_MR/12)),0)</f>
        <v>0</v>
      </c>
      <c r="CW61" s="20" t="n">
        <f aca="false">IF(CJ61&gt;PR_BalDone,MIN(F_MortPayM,CJ61+CJ61*(F_MR/12)),0)</f>
        <v>0</v>
      </c>
      <c r="CX61" s="20" t="n">
        <f aca="false">IF(CK61&gt;PR_BalDone,MIN(F_MortPayM,CK61+CK61*(F_MR/12)),0)</f>
        <v>0</v>
      </c>
      <c r="CY61" s="20" t="n">
        <f aca="false">IF(CL61&gt;PR_BalDone,MIN(F_MortPayM,CL61+CL61*(F_MR/12)),0)</f>
        <v>0</v>
      </c>
      <c r="CZ61" s="20" t="n">
        <f aca="false">IF(CM61&gt;PR_BalDone,MIN(F_MortPayM,CM61+CM61*(F_MR/12)),0)</f>
        <v>0</v>
      </c>
      <c r="DA61" s="20" t="n">
        <f aca="false">IF(CN61&gt;PR_BalDone,MIN(F_MortPayM,CN61+CN61*(F_MR/12)),0)</f>
        <v>0</v>
      </c>
      <c r="DB61" s="20" t="n">
        <f aca="false">IF(CO61&gt;PR_BalDone,MIN(F_MortPayM,CO61+CO61*(F_MR/12)),0)</f>
        <v>0</v>
      </c>
      <c r="DC61" s="20" t="n">
        <f aca="false">IF(CP61&gt;PR_BalDone,MIN(F_MortPayM,CP61+CP61*(F_MR/12)),0)</f>
        <v>0</v>
      </c>
      <c r="DD61" s="20" t="n">
        <f aca="false">IF(CQ61&gt;PR_BalDone,MIN(F_MortPayM,CQ61+CQ61*(F_MR/12)),0)</f>
        <v>0</v>
      </c>
      <c r="DE61" s="20" t="n">
        <f aca="false">MAX(0,CR61)</f>
        <v>0</v>
      </c>
      <c r="DF61" s="20" t="n">
        <f aca="false">SUM(CS61:DD61)</f>
        <v>0</v>
      </c>
      <c r="DG61" s="20" t="n">
        <f aca="false">MAX(0,CF61)</f>
        <v>0</v>
      </c>
    </row>
    <row r="62" customFormat="false" ht="15" hidden="false" customHeight="true" outlineLevel="0" collapsed="false">
      <c r="B62" s="20" t="n">
        <v>54</v>
      </c>
      <c r="C62" s="20" t="n">
        <f aca="false">'Plan cashflow'!J62</f>
        <v>0</v>
      </c>
      <c r="D62" s="20" t="n">
        <f aca="false">IF(C62&gt;PR_BalDone,C62+C62*(F_MR/12)-MIN(F_MortPayM,C62+C62*(F_MR/12)),C62)</f>
        <v>0</v>
      </c>
      <c r="E62" s="20" t="n">
        <f aca="false">IF(D62&gt;PR_BalDone,D62+D62*(F_MR/12)-MIN(F_MortPayM,D62+D62*(F_MR/12)),D62)</f>
        <v>0</v>
      </c>
      <c r="F62" s="20" t="n">
        <f aca="false">IF(E62&gt;PR_BalDone,E62+E62*(F_MR/12)-MIN(F_MortPayM,E62+E62*(F_MR/12)),E62)</f>
        <v>0</v>
      </c>
      <c r="G62" s="20" t="n">
        <f aca="false">IF(F62&gt;PR_BalDone,F62+F62*(F_MR/12)-MIN(F_MortPayM,F62+F62*(F_MR/12)),F62)</f>
        <v>0</v>
      </c>
      <c r="H62" s="20" t="n">
        <f aca="false">IF(G62&gt;PR_BalDone,G62+G62*(F_MR/12)-MIN(F_MortPayM,G62+G62*(F_MR/12)),G62)</f>
        <v>0</v>
      </c>
      <c r="I62" s="20" t="n">
        <f aca="false">IF(H62&gt;PR_BalDone,H62+H62*(F_MR/12)-MIN(F_MortPayM,H62+H62*(F_MR/12)),H62)</f>
        <v>0</v>
      </c>
      <c r="J62" s="20" t="n">
        <f aca="false">IF(I62&gt;PR_BalDone,I62+I62*(F_MR/12)-MIN(F_MortPayM,I62+I62*(F_MR/12)),I62)</f>
        <v>0</v>
      </c>
      <c r="K62" s="20" t="n">
        <f aca="false">IF(J62&gt;PR_BalDone,J62+J62*(F_MR/12)-MIN(F_MortPayM,J62+J62*(F_MR/12)),J62)</f>
        <v>0</v>
      </c>
      <c r="L62" s="20" t="n">
        <f aca="false">IF(K62&gt;PR_BalDone,K62+K62*(F_MR/12)-MIN(F_MortPayM,K62+K62*(F_MR/12)),K62)</f>
        <v>0</v>
      </c>
      <c r="M62" s="20" t="n">
        <f aca="false">IF(L62&gt;PR_BalDone,L62+L62*(F_MR/12)-MIN(F_MortPayM,L62+L62*(F_MR/12)),L62)</f>
        <v>0</v>
      </c>
      <c r="N62" s="20" t="n">
        <f aca="false">IF(M62&gt;PR_BalDone,M62+M62*(F_MR/12)-MIN(F_MortPayM,M62+M62*(F_MR/12)),M62)</f>
        <v>0</v>
      </c>
      <c r="O62" s="20" t="n">
        <f aca="false">IF(N62&gt;PR_BalDone,N62+N62*(F_MR/12)-MIN(F_MortPayM,N62+N62*(F_MR/12)),N62)</f>
        <v>0</v>
      </c>
      <c r="P62" s="20" t="n">
        <f aca="false">IF(C62&gt;PR_BalDone,MIN(F_MortPayM,C62+C62*(F_MR/12)),0)</f>
        <v>0</v>
      </c>
      <c r="Q62" s="20" t="n">
        <f aca="false">IF(D62&gt;PR_BalDone,MIN(F_MortPayM,D62+D62*(F_MR/12)),0)</f>
        <v>0</v>
      </c>
      <c r="R62" s="20" t="n">
        <f aca="false">IF(E62&gt;PR_BalDone,MIN(F_MortPayM,E62+E62*(F_MR/12)),0)</f>
        <v>0</v>
      </c>
      <c r="S62" s="20" t="n">
        <f aca="false">IF(F62&gt;PR_BalDone,MIN(F_MortPayM,F62+F62*(F_MR/12)),0)</f>
        <v>0</v>
      </c>
      <c r="T62" s="20" t="n">
        <f aca="false">IF(G62&gt;PR_BalDone,MIN(F_MortPayM,G62+G62*(F_MR/12)),0)</f>
        <v>0</v>
      </c>
      <c r="U62" s="20" t="n">
        <f aca="false">IF(H62&gt;PR_BalDone,MIN(F_MortPayM,H62+H62*(F_MR/12)),0)</f>
        <v>0</v>
      </c>
      <c r="V62" s="20" t="n">
        <f aca="false">IF(I62&gt;PR_BalDone,MIN(F_MortPayM,I62+I62*(F_MR/12)),0)</f>
        <v>0</v>
      </c>
      <c r="W62" s="20" t="n">
        <f aca="false">IF(J62&gt;PR_BalDone,MIN(F_MortPayM,J62+J62*(F_MR/12)),0)</f>
        <v>0</v>
      </c>
      <c r="X62" s="20" t="n">
        <f aca="false">IF(K62&gt;PR_BalDone,MIN(F_MortPayM,K62+K62*(F_MR/12)),0)</f>
        <v>0</v>
      </c>
      <c r="Y62" s="20" t="n">
        <f aca="false">IF(L62&gt;PR_BalDone,MIN(F_MortPayM,L62+L62*(F_MR/12)),0)</f>
        <v>0</v>
      </c>
      <c r="Z62" s="20" t="n">
        <f aca="false">IF(M62&gt;PR_BalDone,MIN(F_MortPayM,M62+M62*(F_MR/12)),0)</f>
        <v>0</v>
      </c>
      <c r="AA62" s="20" t="n">
        <f aca="false">IF(N62&gt;PR_BalDone,MIN(F_MortPayM,N62+N62*(F_MR/12)),0)</f>
        <v>0</v>
      </c>
      <c r="AB62" s="20" t="n">
        <f aca="false">MAX(0,O62)</f>
        <v>0</v>
      </c>
      <c r="AC62" s="20" t="n">
        <f aca="false">SUM(P62:AA62)</f>
        <v>0</v>
      </c>
      <c r="AD62" s="20" t="n">
        <f aca="false">'Plan cashflow'!M62</f>
        <v>0</v>
      </c>
      <c r="AE62" s="20" t="n">
        <f aca="false">IF(AD62&gt;PR_BalDone,AD62+AD62*(D_iC)-MIN(F_CardPayM,AD62+AD62*(D_iC)),AD62)</f>
        <v>0</v>
      </c>
      <c r="AF62" s="20" t="n">
        <f aca="false">IF(AE62&gt;PR_BalDone,AE62+AE62*(D_iC)-MIN(F_CardPayM,AE62+AE62*(D_iC)),AE62)</f>
        <v>0</v>
      </c>
      <c r="AG62" s="20" t="n">
        <f aca="false">IF(AF62&gt;PR_BalDone,AF62+AF62*(D_iC)-MIN(F_CardPayM,AF62+AF62*(D_iC)),AF62)</f>
        <v>0</v>
      </c>
      <c r="AH62" s="20" t="n">
        <f aca="false">IF(AG62&gt;PR_BalDone,AG62+AG62*(D_iC)-MIN(F_CardPayM,AG62+AG62*(D_iC)),AG62)</f>
        <v>0</v>
      </c>
      <c r="AI62" s="20" t="n">
        <f aca="false">IF(AH62&gt;PR_BalDone,AH62+AH62*(D_iC)-MIN(F_CardPayM,AH62+AH62*(D_iC)),AH62)</f>
        <v>0</v>
      </c>
      <c r="AJ62" s="20" t="n">
        <f aca="false">IF(AI62&gt;PR_BalDone,AI62+AI62*(D_iC)-MIN(F_CardPayM,AI62+AI62*(D_iC)),AI62)</f>
        <v>0</v>
      </c>
      <c r="AK62" s="20" t="n">
        <f aca="false">IF(AJ62&gt;PR_BalDone,AJ62+AJ62*(D_iC)-MIN(F_CardPayM,AJ62+AJ62*(D_iC)),AJ62)</f>
        <v>0</v>
      </c>
      <c r="AL62" s="20" t="n">
        <f aca="false">IF(AK62&gt;PR_BalDone,AK62+AK62*(D_iC)-MIN(F_CardPayM,AK62+AK62*(D_iC)),AK62)</f>
        <v>0</v>
      </c>
      <c r="AM62" s="20" t="n">
        <f aca="false">IF(AL62&gt;PR_BalDone,AL62+AL62*(D_iC)-MIN(F_CardPayM,AL62+AL62*(D_iC)),AL62)</f>
        <v>0</v>
      </c>
      <c r="AN62" s="20" t="n">
        <f aca="false">IF(AM62&gt;PR_BalDone,AM62+AM62*(D_iC)-MIN(F_CardPayM,AM62+AM62*(D_iC)),AM62)</f>
        <v>0</v>
      </c>
      <c r="AO62" s="20" t="n">
        <f aca="false">IF(AN62&gt;PR_BalDone,AN62+AN62*(D_iC)-MIN(F_CardPayM,AN62+AN62*(D_iC)),AN62)</f>
        <v>0</v>
      </c>
      <c r="AP62" s="20" t="n">
        <f aca="false">IF(AO62&gt;PR_BalDone,AO62+AO62*(D_iC)-MIN(F_CardPayM,AO62+AO62*(D_iC)),AO62)</f>
        <v>0</v>
      </c>
      <c r="AQ62" s="20" t="n">
        <f aca="false">IF(AD62&gt;PR_BalDone,MIN(F_CardPayM,AD62+AD62*(D_iC)),0)</f>
        <v>0</v>
      </c>
      <c r="AR62" s="20" t="n">
        <f aca="false">IF(AE62&gt;PR_BalDone,MIN(F_CardPayM,AE62+AE62*(D_iC)),0)</f>
        <v>0</v>
      </c>
      <c r="AS62" s="20" t="n">
        <f aca="false">IF(AF62&gt;PR_BalDone,MIN(F_CardPayM,AF62+AF62*(D_iC)),0)</f>
        <v>0</v>
      </c>
      <c r="AT62" s="20" t="n">
        <f aca="false">IF(AG62&gt;PR_BalDone,MIN(F_CardPayM,AG62+AG62*(D_iC)),0)</f>
        <v>0</v>
      </c>
      <c r="AU62" s="20" t="n">
        <f aca="false">IF(AH62&gt;PR_BalDone,MIN(F_CardPayM,AH62+AH62*(D_iC)),0)</f>
        <v>0</v>
      </c>
      <c r="AV62" s="20" t="n">
        <f aca="false">IF(AI62&gt;PR_BalDone,MIN(F_CardPayM,AI62+AI62*(D_iC)),0)</f>
        <v>0</v>
      </c>
      <c r="AW62" s="20" t="n">
        <f aca="false">IF(AJ62&gt;PR_BalDone,MIN(F_CardPayM,AJ62+AJ62*(D_iC)),0)</f>
        <v>0</v>
      </c>
      <c r="AX62" s="20" t="n">
        <f aca="false">IF(AK62&gt;PR_BalDone,MIN(F_CardPayM,AK62+AK62*(D_iC)),0)</f>
        <v>0</v>
      </c>
      <c r="AY62" s="20" t="n">
        <f aca="false">IF(AL62&gt;PR_BalDone,MIN(F_CardPayM,AL62+AL62*(D_iC)),0)</f>
        <v>0</v>
      </c>
      <c r="AZ62" s="20" t="n">
        <f aca="false">IF(AM62&gt;PR_BalDone,MIN(F_CardPayM,AM62+AM62*(D_iC)),0)</f>
        <v>0</v>
      </c>
      <c r="BA62" s="20" t="n">
        <f aca="false">IF(AN62&gt;PR_BalDone,MIN(F_CardPayM,AN62+AN62*(D_iC)),0)</f>
        <v>0</v>
      </c>
      <c r="BB62" s="20" t="n">
        <f aca="false">IF(AO62&gt;PR_BalDone,MIN(F_CardPayM,AO62+AO62*(D_iC)),0)</f>
        <v>0</v>
      </c>
      <c r="BC62" s="20" t="n">
        <f aca="false">MAX(0,AP62)</f>
        <v>0</v>
      </c>
      <c r="BD62" s="20" t="n">
        <f aca="false">SUM(AQ62:BB62)</f>
        <v>0</v>
      </c>
      <c r="BE62" s="20" t="n">
        <f aca="false">'Plan cashflow'!P62</f>
        <v>0</v>
      </c>
      <c r="BF62" s="20" t="n">
        <f aca="false">IF(BE62&gt;PR_BalDone,BE62+BE62*(D_iL)-MIN(F_LoanPayM,BE62+BE62*(D_iL)),BE62)</f>
        <v>0</v>
      </c>
      <c r="BG62" s="20" t="n">
        <f aca="false">IF(BF62&gt;PR_BalDone,BF62+BF62*(D_iL)-MIN(F_LoanPayM,BF62+BF62*(D_iL)),BF62)</f>
        <v>0</v>
      </c>
      <c r="BH62" s="20" t="n">
        <f aca="false">IF(BG62&gt;PR_BalDone,BG62+BG62*(D_iL)-MIN(F_LoanPayM,BG62+BG62*(D_iL)),BG62)</f>
        <v>0</v>
      </c>
      <c r="BI62" s="20" t="n">
        <f aca="false">IF(BH62&gt;PR_BalDone,BH62+BH62*(D_iL)-MIN(F_LoanPayM,BH62+BH62*(D_iL)),BH62)</f>
        <v>0</v>
      </c>
      <c r="BJ62" s="20" t="n">
        <f aca="false">IF(BI62&gt;PR_BalDone,BI62+BI62*(D_iL)-MIN(F_LoanPayM,BI62+BI62*(D_iL)),BI62)</f>
        <v>0</v>
      </c>
      <c r="BK62" s="20" t="n">
        <f aca="false">IF(BJ62&gt;PR_BalDone,BJ62+BJ62*(D_iL)-MIN(F_LoanPayM,BJ62+BJ62*(D_iL)),BJ62)</f>
        <v>0</v>
      </c>
      <c r="BL62" s="20" t="n">
        <f aca="false">IF(BK62&gt;PR_BalDone,BK62+BK62*(D_iL)-MIN(F_LoanPayM,BK62+BK62*(D_iL)),BK62)</f>
        <v>0</v>
      </c>
      <c r="BM62" s="20" t="n">
        <f aca="false">IF(BL62&gt;PR_BalDone,BL62+BL62*(D_iL)-MIN(F_LoanPayM,BL62+BL62*(D_iL)),BL62)</f>
        <v>0</v>
      </c>
      <c r="BN62" s="20" t="n">
        <f aca="false">IF(BM62&gt;PR_BalDone,BM62+BM62*(D_iL)-MIN(F_LoanPayM,BM62+BM62*(D_iL)),BM62)</f>
        <v>0</v>
      </c>
      <c r="BO62" s="20" t="n">
        <f aca="false">IF(BN62&gt;PR_BalDone,BN62+BN62*(D_iL)-MIN(F_LoanPayM,BN62+BN62*(D_iL)),BN62)</f>
        <v>0</v>
      </c>
      <c r="BP62" s="20" t="n">
        <f aca="false">IF(BO62&gt;PR_BalDone,BO62+BO62*(D_iL)-MIN(F_LoanPayM,BO62+BO62*(D_iL)),BO62)</f>
        <v>0</v>
      </c>
      <c r="BQ62" s="20" t="n">
        <f aca="false">IF(BP62&gt;PR_BalDone,BP62+BP62*(D_iL)-MIN(F_LoanPayM,BP62+BP62*(D_iL)),BP62)</f>
        <v>0</v>
      </c>
      <c r="BR62" s="20" t="n">
        <f aca="false">IF(BE62&gt;PR_BalDone,MIN(F_LoanPayM,BE62+BE62*(D_iL)),0)</f>
        <v>0</v>
      </c>
      <c r="BS62" s="20" t="n">
        <f aca="false">IF(BF62&gt;PR_BalDone,MIN(F_LoanPayM,BF62+BF62*(D_iL)),0)</f>
        <v>0</v>
      </c>
      <c r="BT62" s="20" t="n">
        <f aca="false">IF(BG62&gt;PR_BalDone,MIN(F_LoanPayM,BG62+BG62*(D_iL)),0)</f>
        <v>0</v>
      </c>
      <c r="BU62" s="20" t="n">
        <f aca="false">IF(BH62&gt;PR_BalDone,MIN(F_LoanPayM,BH62+BH62*(D_iL)),0)</f>
        <v>0</v>
      </c>
      <c r="BV62" s="20" t="n">
        <f aca="false">IF(BI62&gt;PR_BalDone,MIN(F_LoanPayM,BI62+BI62*(D_iL)),0)</f>
        <v>0</v>
      </c>
      <c r="BW62" s="20" t="n">
        <f aca="false">IF(BJ62&gt;PR_BalDone,MIN(F_LoanPayM,BJ62+BJ62*(D_iL)),0)</f>
        <v>0</v>
      </c>
      <c r="BX62" s="20" t="n">
        <f aca="false">IF(BK62&gt;PR_BalDone,MIN(F_LoanPayM,BK62+BK62*(D_iL)),0)</f>
        <v>0</v>
      </c>
      <c r="BY62" s="20" t="n">
        <f aca="false">IF(BL62&gt;PR_BalDone,MIN(F_LoanPayM,BL62+BL62*(D_iL)),0)</f>
        <v>0</v>
      </c>
      <c r="BZ62" s="20" t="n">
        <f aca="false">IF(BM62&gt;PR_BalDone,MIN(F_LoanPayM,BM62+BM62*(D_iL)),0)</f>
        <v>0</v>
      </c>
      <c r="CA62" s="20" t="n">
        <f aca="false">IF(BN62&gt;PR_BalDone,MIN(F_LoanPayM,BN62+BN62*(D_iL)),0)</f>
        <v>0</v>
      </c>
      <c r="CB62" s="20" t="n">
        <f aca="false">IF(BO62&gt;PR_BalDone,MIN(F_LoanPayM,BO62+BO62*(D_iL)),0)</f>
        <v>0</v>
      </c>
      <c r="CC62" s="20" t="n">
        <f aca="false">IF(BP62&gt;PR_BalDone,MIN(F_LoanPayM,BP62+BP62*(D_iL)),0)</f>
        <v>0</v>
      </c>
      <c r="CD62" s="20" t="n">
        <f aca="false">MAX(0,BQ62)</f>
        <v>0</v>
      </c>
      <c r="CE62" s="20" t="n">
        <f aca="false">SUM(BR62:CC62)</f>
        <v>0</v>
      </c>
      <c r="CF62" s="20" t="n">
        <f aca="false">IF(CF61&gt;1,DE61,CF61)</f>
        <v>0</v>
      </c>
      <c r="CG62" s="20" t="n">
        <f aca="false">IF(CF62&gt;PR_BalDone,CF62+CF62*(F_MR/12)-MIN(F_MortPayM,CF62+CF62*(F_MR/12)),CF62)</f>
        <v>0</v>
      </c>
      <c r="CH62" s="20" t="n">
        <f aca="false">IF(CG62&gt;PR_BalDone,CG62+CG62*(F_MR/12)-MIN(F_MortPayM,CG62+CG62*(F_MR/12)),CG62)</f>
        <v>0</v>
      </c>
      <c r="CI62" s="20" t="n">
        <f aca="false">IF(CH62&gt;PR_BalDone,CH62+CH62*(F_MR/12)-MIN(F_MortPayM,CH62+CH62*(F_MR/12)),CH62)</f>
        <v>0</v>
      </c>
      <c r="CJ62" s="20" t="n">
        <f aca="false">IF(CI62&gt;PR_BalDone,CI62+CI62*(F_MR/12)-MIN(F_MortPayM,CI62+CI62*(F_MR/12)),CI62)</f>
        <v>0</v>
      </c>
      <c r="CK62" s="20" t="n">
        <f aca="false">IF(CJ62&gt;PR_BalDone,CJ62+CJ62*(F_MR/12)-MIN(F_MortPayM,CJ62+CJ62*(F_MR/12)),CJ62)</f>
        <v>0</v>
      </c>
      <c r="CL62" s="20" t="n">
        <f aca="false">IF(CK62&gt;PR_BalDone,CK62+CK62*(F_MR/12)-MIN(F_MortPayM,CK62+CK62*(F_MR/12)),CK62)</f>
        <v>0</v>
      </c>
      <c r="CM62" s="20" t="n">
        <f aca="false">IF(CL62&gt;PR_BalDone,CL62+CL62*(F_MR/12)-MIN(F_MortPayM,CL62+CL62*(F_MR/12)),CL62)</f>
        <v>0</v>
      </c>
      <c r="CN62" s="20" t="n">
        <f aca="false">IF(CM62&gt;PR_BalDone,CM62+CM62*(F_MR/12)-MIN(F_MortPayM,CM62+CM62*(F_MR/12)),CM62)</f>
        <v>0</v>
      </c>
      <c r="CO62" s="20" t="n">
        <f aca="false">IF(CN62&gt;PR_BalDone,CN62+CN62*(F_MR/12)-MIN(F_MortPayM,CN62+CN62*(F_MR/12)),CN62)</f>
        <v>0</v>
      </c>
      <c r="CP62" s="20" t="n">
        <f aca="false">IF(CO62&gt;PR_BalDone,CO62+CO62*(F_MR/12)-MIN(F_MortPayM,CO62+CO62*(F_MR/12)),CO62)</f>
        <v>0</v>
      </c>
      <c r="CQ62" s="20" t="n">
        <f aca="false">IF(CP62&gt;PR_BalDone,CP62+CP62*(F_MR/12)-MIN(F_MortPayM,CP62+CP62*(F_MR/12)),CP62)</f>
        <v>0</v>
      </c>
      <c r="CR62" s="20" t="n">
        <f aca="false">IF(CQ62&gt;PR_BalDone,CQ62+CQ62*(F_MR/12)-MIN(F_MortPayM,CQ62+CQ62*(F_MR/12)),CQ62)</f>
        <v>0</v>
      </c>
      <c r="CS62" s="20" t="n">
        <f aca="false">IF(CF62&gt;PR_BalDone,MIN(F_MortPayM,CF62+CF62*(F_MR/12)),0)</f>
        <v>0</v>
      </c>
      <c r="CT62" s="20" t="n">
        <f aca="false">IF(CG62&gt;PR_BalDone,MIN(F_MortPayM,CG62+CG62*(F_MR/12)),0)</f>
        <v>0</v>
      </c>
      <c r="CU62" s="20" t="n">
        <f aca="false">IF(CH62&gt;PR_BalDone,MIN(F_MortPayM,CH62+CH62*(F_MR/12)),0)</f>
        <v>0</v>
      </c>
      <c r="CV62" s="20" t="n">
        <f aca="false">IF(CI62&gt;PR_BalDone,MIN(F_MortPayM,CI62+CI62*(F_MR/12)),0)</f>
        <v>0</v>
      </c>
      <c r="CW62" s="20" t="n">
        <f aca="false">IF(CJ62&gt;PR_BalDone,MIN(F_MortPayM,CJ62+CJ62*(F_MR/12)),0)</f>
        <v>0</v>
      </c>
      <c r="CX62" s="20" t="n">
        <f aca="false">IF(CK62&gt;PR_BalDone,MIN(F_MortPayM,CK62+CK62*(F_MR/12)),0)</f>
        <v>0</v>
      </c>
      <c r="CY62" s="20" t="n">
        <f aca="false">IF(CL62&gt;PR_BalDone,MIN(F_MortPayM,CL62+CL62*(F_MR/12)),0)</f>
        <v>0</v>
      </c>
      <c r="CZ62" s="20" t="n">
        <f aca="false">IF(CM62&gt;PR_BalDone,MIN(F_MortPayM,CM62+CM62*(F_MR/12)),0)</f>
        <v>0</v>
      </c>
      <c r="DA62" s="20" t="n">
        <f aca="false">IF(CN62&gt;PR_BalDone,MIN(F_MortPayM,CN62+CN62*(F_MR/12)),0)</f>
        <v>0</v>
      </c>
      <c r="DB62" s="20" t="n">
        <f aca="false">IF(CO62&gt;PR_BalDone,MIN(F_MortPayM,CO62+CO62*(F_MR/12)),0)</f>
        <v>0</v>
      </c>
      <c r="DC62" s="20" t="n">
        <f aca="false">IF(CP62&gt;PR_BalDone,MIN(F_MortPayM,CP62+CP62*(F_MR/12)),0)</f>
        <v>0</v>
      </c>
      <c r="DD62" s="20" t="n">
        <f aca="false">IF(CQ62&gt;PR_BalDone,MIN(F_MortPayM,CQ62+CQ62*(F_MR/12)),0)</f>
        <v>0</v>
      </c>
      <c r="DE62" s="20" t="n">
        <f aca="false">MAX(0,CR62)</f>
        <v>0</v>
      </c>
      <c r="DF62" s="20" t="n">
        <f aca="false">SUM(CS62:DD62)</f>
        <v>0</v>
      </c>
      <c r="DG62" s="20" t="n">
        <f aca="false">MAX(0,CF62)</f>
        <v>0</v>
      </c>
    </row>
    <row r="63" customFormat="false" ht="15" hidden="false" customHeight="true" outlineLevel="0" collapsed="false">
      <c r="B63" s="20" t="n">
        <v>55</v>
      </c>
      <c r="C63" s="20" t="n">
        <f aca="false">'Plan cashflow'!J63</f>
        <v>0</v>
      </c>
      <c r="D63" s="20" t="n">
        <f aca="false">IF(C63&gt;PR_BalDone,C63+C63*(F_MR/12)-MIN(F_MortPayM,C63+C63*(F_MR/12)),C63)</f>
        <v>0</v>
      </c>
      <c r="E63" s="20" t="n">
        <f aca="false">IF(D63&gt;PR_BalDone,D63+D63*(F_MR/12)-MIN(F_MortPayM,D63+D63*(F_MR/12)),D63)</f>
        <v>0</v>
      </c>
      <c r="F63" s="20" t="n">
        <f aca="false">IF(E63&gt;PR_BalDone,E63+E63*(F_MR/12)-MIN(F_MortPayM,E63+E63*(F_MR/12)),E63)</f>
        <v>0</v>
      </c>
      <c r="G63" s="20" t="n">
        <f aca="false">IF(F63&gt;PR_BalDone,F63+F63*(F_MR/12)-MIN(F_MortPayM,F63+F63*(F_MR/12)),F63)</f>
        <v>0</v>
      </c>
      <c r="H63" s="20" t="n">
        <f aca="false">IF(G63&gt;PR_BalDone,G63+G63*(F_MR/12)-MIN(F_MortPayM,G63+G63*(F_MR/12)),G63)</f>
        <v>0</v>
      </c>
      <c r="I63" s="20" t="n">
        <f aca="false">IF(H63&gt;PR_BalDone,H63+H63*(F_MR/12)-MIN(F_MortPayM,H63+H63*(F_MR/12)),H63)</f>
        <v>0</v>
      </c>
      <c r="J63" s="20" t="n">
        <f aca="false">IF(I63&gt;PR_BalDone,I63+I63*(F_MR/12)-MIN(F_MortPayM,I63+I63*(F_MR/12)),I63)</f>
        <v>0</v>
      </c>
      <c r="K63" s="20" t="n">
        <f aca="false">IF(J63&gt;PR_BalDone,J63+J63*(F_MR/12)-MIN(F_MortPayM,J63+J63*(F_MR/12)),J63)</f>
        <v>0</v>
      </c>
      <c r="L63" s="20" t="n">
        <f aca="false">IF(K63&gt;PR_BalDone,K63+K63*(F_MR/12)-MIN(F_MortPayM,K63+K63*(F_MR/12)),K63)</f>
        <v>0</v>
      </c>
      <c r="M63" s="20" t="n">
        <f aca="false">IF(L63&gt;PR_BalDone,L63+L63*(F_MR/12)-MIN(F_MortPayM,L63+L63*(F_MR/12)),L63)</f>
        <v>0</v>
      </c>
      <c r="N63" s="20" t="n">
        <f aca="false">IF(M63&gt;PR_BalDone,M63+M63*(F_MR/12)-MIN(F_MortPayM,M63+M63*(F_MR/12)),M63)</f>
        <v>0</v>
      </c>
      <c r="O63" s="20" t="n">
        <f aca="false">IF(N63&gt;PR_BalDone,N63+N63*(F_MR/12)-MIN(F_MortPayM,N63+N63*(F_MR/12)),N63)</f>
        <v>0</v>
      </c>
      <c r="P63" s="20" t="n">
        <f aca="false">IF(C63&gt;PR_BalDone,MIN(F_MortPayM,C63+C63*(F_MR/12)),0)</f>
        <v>0</v>
      </c>
      <c r="Q63" s="20" t="n">
        <f aca="false">IF(D63&gt;PR_BalDone,MIN(F_MortPayM,D63+D63*(F_MR/12)),0)</f>
        <v>0</v>
      </c>
      <c r="R63" s="20" t="n">
        <f aca="false">IF(E63&gt;PR_BalDone,MIN(F_MortPayM,E63+E63*(F_MR/12)),0)</f>
        <v>0</v>
      </c>
      <c r="S63" s="20" t="n">
        <f aca="false">IF(F63&gt;PR_BalDone,MIN(F_MortPayM,F63+F63*(F_MR/12)),0)</f>
        <v>0</v>
      </c>
      <c r="T63" s="20" t="n">
        <f aca="false">IF(G63&gt;PR_BalDone,MIN(F_MortPayM,G63+G63*(F_MR/12)),0)</f>
        <v>0</v>
      </c>
      <c r="U63" s="20" t="n">
        <f aca="false">IF(H63&gt;PR_BalDone,MIN(F_MortPayM,H63+H63*(F_MR/12)),0)</f>
        <v>0</v>
      </c>
      <c r="V63" s="20" t="n">
        <f aca="false">IF(I63&gt;PR_BalDone,MIN(F_MortPayM,I63+I63*(F_MR/12)),0)</f>
        <v>0</v>
      </c>
      <c r="W63" s="20" t="n">
        <f aca="false">IF(J63&gt;PR_BalDone,MIN(F_MortPayM,J63+J63*(F_MR/12)),0)</f>
        <v>0</v>
      </c>
      <c r="X63" s="20" t="n">
        <f aca="false">IF(K63&gt;PR_BalDone,MIN(F_MortPayM,K63+K63*(F_MR/12)),0)</f>
        <v>0</v>
      </c>
      <c r="Y63" s="20" t="n">
        <f aca="false">IF(L63&gt;PR_BalDone,MIN(F_MortPayM,L63+L63*(F_MR/12)),0)</f>
        <v>0</v>
      </c>
      <c r="Z63" s="20" t="n">
        <f aca="false">IF(M63&gt;PR_BalDone,MIN(F_MortPayM,M63+M63*(F_MR/12)),0)</f>
        <v>0</v>
      </c>
      <c r="AA63" s="20" t="n">
        <f aca="false">IF(N63&gt;PR_BalDone,MIN(F_MortPayM,N63+N63*(F_MR/12)),0)</f>
        <v>0</v>
      </c>
      <c r="AB63" s="20" t="n">
        <f aca="false">MAX(0,O63)</f>
        <v>0</v>
      </c>
      <c r="AC63" s="20" t="n">
        <f aca="false">SUM(P63:AA63)</f>
        <v>0</v>
      </c>
      <c r="AD63" s="20" t="n">
        <f aca="false">'Plan cashflow'!M63</f>
        <v>0</v>
      </c>
      <c r="AE63" s="20" t="n">
        <f aca="false">IF(AD63&gt;PR_BalDone,AD63+AD63*(D_iC)-MIN(F_CardPayM,AD63+AD63*(D_iC)),AD63)</f>
        <v>0</v>
      </c>
      <c r="AF63" s="20" t="n">
        <f aca="false">IF(AE63&gt;PR_BalDone,AE63+AE63*(D_iC)-MIN(F_CardPayM,AE63+AE63*(D_iC)),AE63)</f>
        <v>0</v>
      </c>
      <c r="AG63" s="20" t="n">
        <f aca="false">IF(AF63&gt;PR_BalDone,AF63+AF63*(D_iC)-MIN(F_CardPayM,AF63+AF63*(D_iC)),AF63)</f>
        <v>0</v>
      </c>
      <c r="AH63" s="20" t="n">
        <f aca="false">IF(AG63&gt;PR_BalDone,AG63+AG63*(D_iC)-MIN(F_CardPayM,AG63+AG63*(D_iC)),AG63)</f>
        <v>0</v>
      </c>
      <c r="AI63" s="20" t="n">
        <f aca="false">IF(AH63&gt;PR_BalDone,AH63+AH63*(D_iC)-MIN(F_CardPayM,AH63+AH63*(D_iC)),AH63)</f>
        <v>0</v>
      </c>
      <c r="AJ63" s="20" t="n">
        <f aca="false">IF(AI63&gt;PR_BalDone,AI63+AI63*(D_iC)-MIN(F_CardPayM,AI63+AI63*(D_iC)),AI63)</f>
        <v>0</v>
      </c>
      <c r="AK63" s="20" t="n">
        <f aca="false">IF(AJ63&gt;PR_BalDone,AJ63+AJ63*(D_iC)-MIN(F_CardPayM,AJ63+AJ63*(D_iC)),AJ63)</f>
        <v>0</v>
      </c>
      <c r="AL63" s="20" t="n">
        <f aca="false">IF(AK63&gt;PR_BalDone,AK63+AK63*(D_iC)-MIN(F_CardPayM,AK63+AK63*(D_iC)),AK63)</f>
        <v>0</v>
      </c>
      <c r="AM63" s="20" t="n">
        <f aca="false">IF(AL63&gt;PR_BalDone,AL63+AL63*(D_iC)-MIN(F_CardPayM,AL63+AL63*(D_iC)),AL63)</f>
        <v>0</v>
      </c>
      <c r="AN63" s="20" t="n">
        <f aca="false">IF(AM63&gt;PR_BalDone,AM63+AM63*(D_iC)-MIN(F_CardPayM,AM63+AM63*(D_iC)),AM63)</f>
        <v>0</v>
      </c>
      <c r="AO63" s="20" t="n">
        <f aca="false">IF(AN63&gt;PR_BalDone,AN63+AN63*(D_iC)-MIN(F_CardPayM,AN63+AN63*(D_iC)),AN63)</f>
        <v>0</v>
      </c>
      <c r="AP63" s="20" t="n">
        <f aca="false">IF(AO63&gt;PR_BalDone,AO63+AO63*(D_iC)-MIN(F_CardPayM,AO63+AO63*(D_iC)),AO63)</f>
        <v>0</v>
      </c>
      <c r="AQ63" s="20" t="n">
        <f aca="false">IF(AD63&gt;PR_BalDone,MIN(F_CardPayM,AD63+AD63*(D_iC)),0)</f>
        <v>0</v>
      </c>
      <c r="AR63" s="20" t="n">
        <f aca="false">IF(AE63&gt;PR_BalDone,MIN(F_CardPayM,AE63+AE63*(D_iC)),0)</f>
        <v>0</v>
      </c>
      <c r="AS63" s="20" t="n">
        <f aca="false">IF(AF63&gt;PR_BalDone,MIN(F_CardPayM,AF63+AF63*(D_iC)),0)</f>
        <v>0</v>
      </c>
      <c r="AT63" s="20" t="n">
        <f aca="false">IF(AG63&gt;PR_BalDone,MIN(F_CardPayM,AG63+AG63*(D_iC)),0)</f>
        <v>0</v>
      </c>
      <c r="AU63" s="20" t="n">
        <f aca="false">IF(AH63&gt;PR_BalDone,MIN(F_CardPayM,AH63+AH63*(D_iC)),0)</f>
        <v>0</v>
      </c>
      <c r="AV63" s="20" t="n">
        <f aca="false">IF(AI63&gt;PR_BalDone,MIN(F_CardPayM,AI63+AI63*(D_iC)),0)</f>
        <v>0</v>
      </c>
      <c r="AW63" s="20" t="n">
        <f aca="false">IF(AJ63&gt;PR_BalDone,MIN(F_CardPayM,AJ63+AJ63*(D_iC)),0)</f>
        <v>0</v>
      </c>
      <c r="AX63" s="20" t="n">
        <f aca="false">IF(AK63&gt;PR_BalDone,MIN(F_CardPayM,AK63+AK63*(D_iC)),0)</f>
        <v>0</v>
      </c>
      <c r="AY63" s="20" t="n">
        <f aca="false">IF(AL63&gt;PR_BalDone,MIN(F_CardPayM,AL63+AL63*(D_iC)),0)</f>
        <v>0</v>
      </c>
      <c r="AZ63" s="20" t="n">
        <f aca="false">IF(AM63&gt;PR_BalDone,MIN(F_CardPayM,AM63+AM63*(D_iC)),0)</f>
        <v>0</v>
      </c>
      <c r="BA63" s="20" t="n">
        <f aca="false">IF(AN63&gt;PR_BalDone,MIN(F_CardPayM,AN63+AN63*(D_iC)),0)</f>
        <v>0</v>
      </c>
      <c r="BB63" s="20" t="n">
        <f aca="false">IF(AO63&gt;PR_BalDone,MIN(F_CardPayM,AO63+AO63*(D_iC)),0)</f>
        <v>0</v>
      </c>
      <c r="BC63" s="20" t="n">
        <f aca="false">MAX(0,AP63)</f>
        <v>0</v>
      </c>
      <c r="BD63" s="20" t="n">
        <f aca="false">SUM(AQ63:BB63)</f>
        <v>0</v>
      </c>
      <c r="BE63" s="20" t="n">
        <f aca="false">'Plan cashflow'!P63</f>
        <v>0</v>
      </c>
      <c r="BF63" s="20" t="n">
        <f aca="false">IF(BE63&gt;PR_BalDone,BE63+BE63*(D_iL)-MIN(F_LoanPayM,BE63+BE63*(D_iL)),BE63)</f>
        <v>0</v>
      </c>
      <c r="BG63" s="20" t="n">
        <f aca="false">IF(BF63&gt;PR_BalDone,BF63+BF63*(D_iL)-MIN(F_LoanPayM,BF63+BF63*(D_iL)),BF63)</f>
        <v>0</v>
      </c>
      <c r="BH63" s="20" t="n">
        <f aca="false">IF(BG63&gt;PR_BalDone,BG63+BG63*(D_iL)-MIN(F_LoanPayM,BG63+BG63*(D_iL)),BG63)</f>
        <v>0</v>
      </c>
      <c r="BI63" s="20" t="n">
        <f aca="false">IF(BH63&gt;PR_BalDone,BH63+BH63*(D_iL)-MIN(F_LoanPayM,BH63+BH63*(D_iL)),BH63)</f>
        <v>0</v>
      </c>
      <c r="BJ63" s="20" t="n">
        <f aca="false">IF(BI63&gt;PR_BalDone,BI63+BI63*(D_iL)-MIN(F_LoanPayM,BI63+BI63*(D_iL)),BI63)</f>
        <v>0</v>
      </c>
      <c r="BK63" s="20" t="n">
        <f aca="false">IF(BJ63&gt;PR_BalDone,BJ63+BJ63*(D_iL)-MIN(F_LoanPayM,BJ63+BJ63*(D_iL)),BJ63)</f>
        <v>0</v>
      </c>
      <c r="BL63" s="20" t="n">
        <f aca="false">IF(BK63&gt;PR_BalDone,BK63+BK63*(D_iL)-MIN(F_LoanPayM,BK63+BK63*(D_iL)),BK63)</f>
        <v>0</v>
      </c>
      <c r="BM63" s="20" t="n">
        <f aca="false">IF(BL63&gt;PR_BalDone,BL63+BL63*(D_iL)-MIN(F_LoanPayM,BL63+BL63*(D_iL)),BL63)</f>
        <v>0</v>
      </c>
      <c r="BN63" s="20" t="n">
        <f aca="false">IF(BM63&gt;PR_BalDone,BM63+BM63*(D_iL)-MIN(F_LoanPayM,BM63+BM63*(D_iL)),BM63)</f>
        <v>0</v>
      </c>
      <c r="BO63" s="20" t="n">
        <f aca="false">IF(BN63&gt;PR_BalDone,BN63+BN63*(D_iL)-MIN(F_LoanPayM,BN63+BN63*(D_iL)),BN63)</f>
        <v>0</v>
      </c>
      <c r="BP63" s="20" t="n">
        <f aca="false">IF(BO63&gt;PR_BalDone,BO63+BO63*(D_iL)-MIN(F_LoanPayM,BO63+BO63*(D_iL)),BO63)</f>
        <v>0</v>
      </c>
      <c r="BQ63" s="20" t="n">
        <f aca="false">IF(BP63&gt;PR_BalDone,BP63+BP63*(D_iL)-MIN(F_LoanPayM,BP63+BP63*(D_iL)),BP63)</f>
        <v>0</v>
      </c>
      <c r="BR63" s="20" t="n">
        <f aca="false">IF(BE63&gt;PR_BalDone,MIN(F_LoanPayM,BE63+BE63*(D_iL)),0)</f>
        <v>0</v>
      </c>
      <c r="BS63" s="20" t="n">
        <f aca="false">IF(BF63&gt;PR_BalDone,MIN(F_LoanPayM,BF63+BF63*(D_iL)),0)</f>
        <v>0</v>
      </c>
      <c r="BT63" s="20" t="n">
        <f aca="false">IF(BG63&gt;PR_BalDone,MIN(F_LoanPayM,BG63+BG63*(D_iL)),0)</f>
        <v>0</v>
      </c>
      <c r="BU63" s="20" t="n">
        <f aca="false">IF(BH63&gt;PR_BalDone,MIN(F_LoanPayM,BH63+BH63*(D_iL)),0)</f>
        <v>0</v>
      </c>
      <c r="BV63" s="20" t="n">
        <f aca="false">IF(BI63&gt;PR_BalDone,MIN(F_LoanPayM,BI63+BI63*(D_iL)),0)</f>
        <v>0</v>
      </c>
      <c r="BW63" s="20" t="n">
        <f aca="false">IF(BJ63&gt;PR_BalDone,MIN(F_LoanPayM,BJ63+BJ63*(D_iL)),0)</f>
        <v>0</v>
      </c>
      <c r="BX63" s="20" t="n">
        <f aca="false">IF(BK63&gt;PR_BalDone,MIN(F_LoanPayM,BK63+BK63*(D_iL)),0)</f>
        <v>0</v>
      </c>
      <c r="BY63" s="20" t="n">
        <f aca="false">IF(BL63&gt;PR_BalDone,MIN(F_LoanPayM,BL63+BL63*(D_iL)),0)</f>
        <v>0</v>
      </c>
      <c r="BZ63" s="20" t="n">
        <f aca="false">IF(BM63&gt;PR_BalDone,MIN(F_LoanPayM,BM63+BM63*(D_iL)),0)</f>
        <v>0</v>
      </c>
      <c r="CA63" s="20" t="n">
        <f aca="false">IF(BN63&gt;PR_BalDone,MIN(F_LoanPayM,BN63+BN63*(D_iL)),0)</f>
        <v>0</v>
      </c>
      <c r="CB63" s="20" t="n">
        <f aca="false">IF(BO63&gt;PR_BalDone,MIN(F_LoanPayM,BO63+BO63*(D_iL)),0)</f>
        <v>0</v>
      </c>
      <c r="CC63" s="20" t="n">
        <f aca="false">IF(BP63&gt;PR_BalDone,MIN(F_LoanPayM,BP63+BP63*(D_iL)),0)</f>
        <v>0</v>
      </c>
      <c r="CD63" s="20" t="n">
        <f aca="false">MAX(0,BQ63)</f>
        <v>0</v>
      </c>
      <c r="CE63" s="20" t="n">
        <f aca="false">SUM(BR63:CC63)</f>
        <v>0</v>
      </c>
      <c r="CF63" s="20" t="n">
        <f aca="false">IF(CF62&gt;1,DE62,CF62)</f>
        <v>0</v>
      </c>
      <c r="CG63" s="20" t="n">
        <f aca="false">IF(CF63&gt;PR_BalDone,CF63+CF63*(F_MR/12)-MIN(F_MortPayM,CF63+CF63*(F_MR/12)),CF63)</f>
        <v>0</v>
      </c>
      <c r="CH63" s="20" t="n">
        <f aca="false">IF(CG63&gt;PR_BalDone,CG63+CG63*(F_MR/12)-MIN(F_MortPayM,CG63+CG63*(F_MR/12)),CG63)</f>
        <v>0</v>
      </c>
      <c r="CI63" s="20" t="n">
        <f aca="false">IF(CH63&gt;PR_BalDone,CH63+CH63*(F_MR/12)-MIN(F_MortPayM,CH63+CH63*(F_MR/12)),CH63)</f>
        <v>0</v>
      </c>
      <c r="CJ63" s="20" t="n">
        <f aca="false">IF(CI63&gt;PR_BalDone,CI63+CI63*(F_MR/12)-MIN(F_MortPayM,CI63+CI63*(F_MR/12)),CI63)</f>
        <v>0</v>
      </c>
      <c r="CK63" s="20" t="n">
        <f aca="false">IF(CJ63&gt;PR_BalDone,CJ63+CJ63*(F_MR/12)-MIN(F_MortPayM,CJ63+CJ63*(F_MR/12)),CJ63)</f>
        <v>0</v>
      </c>
      <c r="CL63" s="20" t="n">
        <f aca="false">IF(CK63&gt;PR_BalDone,CK63+CK63*(F_MR/12)-MIN(F_MortPayM,CK63+CK63*(F_MR/12)),CK63)</f>
        <v>0</v>
      </c>
      <c r="CM63" s="20" t="n">
        <f aca="false">IF(CL63&gt;PR_BalDone,CL63+CL63*(F_MR/12)-MIN(F_MortPayM,CL63+CL63*(F_MR/12)),CL63)</f>
        <v>0</v>
      </c>
      <c r="CN63" s="20" t="n">
        <f aca="false">IF(CM63&gt;PR_BalDone,CM63+CM63*(F_MR/12)-MIN(F_MortPayM,CM63+CM63*(F_MR/12)),CM63)</f>
        <v>0</v>
      </c>
      <c r="CO63" s="20" t="n">
        <f aca="false">IF(CN63&gt;PR_BalDone,CN63+CN63*(F_MR/12)-MIN(F_MortPayM,CN63+CN63*(F_MR/12)),CN63)</f>
        <v>0</v>
      </c>
      <c r="CP63" s="20" t="n">
        <f aca="false">IF(CO63&gt;PR_BalDone,CO63+CO63*(F_MR/12)-MIN(F_MortPayM,CO63+CO63*(F_MR/12)),CO63)</f>
        <v>0</v>
      </c>
      <c r="CQ63" s="20" t="n">
        <f aca="false">IF(CP63&gt;PR_BalDone,CP63+CP63*(F_MR/12)-MIN(F_MortPayM,CP63+CP63*(F_MR/12)),CP63)</f>
        <v>0</v>
      </c>
      <c r="CR63" s="20" t="n">
        <f aca="false">IF(CQ63&gt;PR_BalDone,CQ63+CQ63*(F_MR/12)-MIN(F_MortPayM,CQ63+CQ63*(F_MR/12)),CQ63)</f>
        <v>0</v>
      </c>
      <c r="CS63" s="20" t="n">
        <f aca="false">IF(CF63&gt;PR_BalDone,MIN(F_MortPayM,CF63+CF63*(F_MR/12)),0)</f>
        <v>0</v>
      </c>
      <c r="CT63" s="20" t="n">
        <f aca="false">IF(CG63&gt;PR_BalDone,MIN(F_MortPayM,CG63+CG63*(F_MR/12)),0)</f>
        <v>0</v>
      </c>
      <c r="CU63" s="20" t="n">
        <f aca="false">IF(CH63&gt;PR_BalDone,MIN(F_MortPayM,CH63+CH63*(F_MR/12)),0)</f>
        <v>0</v>
      </c>
      <c r="CV63" s="20" t="n">
        <f aca="false">IF(CI63&gt;PR_BalDone,MIN(F_MortPayM,CI63+CI63*(F_MR/12)),0)</f>
        <v>0</v>
      </c>
      <c r="CW63" s="20" t="n">
        <f aca="false">IF(CJ63&gt;PR_BalDone,MIN(F_MortPayM,CJ63+CJ63*(F_MR/12)),0)</f>
        <v>0</v>
      </c>
      <c r="CX63" s="20" t="n">
        <f aca="false">IF(CK63&gt;PR_BalDone,MIN(F_MortPayM,CK63+CK63*(F_MR/12)),0)</f>
        <v>0</v>
      </c>
      <c r="CY63" s="20" t="n">
        <f aca="false">IF(CL63&gt;PR_BalDone,MIN(F_MortPayM,CL63+CL63*(F_MR/12)),0)</f>
        <v>0</v>
      </c>
      <c r="CZ63" s="20" t="n">
        <f aca="false">IF(CM63&gt;PR_BalDone,MIN(F_MortPayM,CM63+CM63*(F_MR/12)),0)</f>
        <v>0</v>
      </c>
      <c r="DA63" s="20" t="n">
        <f aca="false">IF(CN63&gt;PR_BalDone,MIN(F_MortPayM,CN63+CN63*(F_MR/12)),0)</f>
        <v>0</v>
      </c>
      <c r="DB63" s="20" t="n">
        <f aca="false">IF(CO63&gt;PR_BalDone,MIN(F_MortPayM,CO63+CO63*(F_MR/12)),0)</f>
        <v>0</v>
      </c>
      <c r="DC63" s="20" t="n">
        <f aca="false">IF(CP63&gt;PR_BalDone,MIN(F_MortPayM,CP63+CP63*(F_MR/12)),0)</f>
        <v>0</v>
      </c>
      <c r="DD63" s="20" t="n">
        <f aca="false">IF(CQ63&gt;PR_BalDone,MIN(F_MortPayM,CQ63+CQ63*(F_MR/12)),0)</f>
        <v>0</v>
      </c>
      <c r="DE63" s="20" t="n">
        <f aca="false">MAX(0,CR63)</f>
        <v>0</v>
      </c>
      <c r="DF63" s="20" t="n">
        <f aca="false">SUM(CS63:DD63)</f>
        <v>0</v>
      </c>
      <c r="DG63" s="20" t="n">
        <f aca="false">MAX(0,CF63)</f>
        <v>0</v>
      </c>
    </row>
    <row r="64" customFormat="false" ht="15" hidden="false" customHeight="true" outlineLevel="0" collapsed="false">
      <c r="B64" s="20" t="n">
        <v>56</v>
      </c>
      <c r="C64" s="20" t="n">
        <f aca="false">'Plan cashflow'!J64</f>
        <v>0</v>
      </c>
      <c r="D64" s="20" t="n">
        <f aca="false">IF(C64&gt;PR_BalDone,C64+C64*(F_MR/12)-MIN(F_MortPayM,C64+C64*(F_MR/12)),C64)</f>
        <v>0</v>
      </c>
      <c r="E64" s="20" t="n">
        <f aca="false">IF(D64&gt;PR_BalDone,D64+D64*(F_MR/12)-MIN(F_MortPayM,D64+D64*(F_MR/12)),D64)</f>
        <v>0</v>
      </c>
      <c r="F64" s="20" t="n">
        <f aca="false">IF(E64&gt;PR_BalDone,E64+E64*(F_MR/12)-MIN(F_MortPayM,E64+E64*(F_MR/12)),E64)</f>
        <v>0</v>
      </c>
      <c r="G64" s="20" t="n">
        <f aca="false">IF(F64&gt;PR_BalDone,F64+F64*(F_MR/12)-MIN(F_MortPayM,F64+F64*(F_MR/12)),F64)</f>
        <v>0</v>
      </c>
      <c r="H64" s="20" t="n">
        <f aca="false">IF(G64&gt;PR_BalDone,G64+G64*(F_MR/12)-MIN(F_MortPayM,G64+G64*(F_MR/12)),G64)</f>
        <v>0</v>
      </c>
      <c r="I64" s="20" t="n">
        <f aca="false">IF(H64&gt;PR_BalDone,H64+H64*(F_MR/12)-MIN(F_MortPayM,H64+H64*(F_MR/12)),H64)</f>
        <v>0</v>
      </c>
      <c r="J64" s="20" t="n">
        <f aca="false">IF(I64&gt;PR_BalDone,I64+I64*(F_MR/12)-MIN(F_MortPayM,I64+I64*(F_MR/12)),I64)</f>
        <v>0</v>
      </c>
      <c r="K64" s="20" t="n">
        <f aca="false">IF(J64&gt;PR_BalDone,J64+J64*(F_MR/12)-MIN(F_MortPayM,J64+J64*(F_MR/12)),J64)</f>
        <v>0</v>
      </c>
      <c r="L64" s="20" t="n">
        <f aca="false">IF(K64&gt;PR_BalDone,K64+K64*(F_MR/12)-MIN(F_MortPayM,K64+K64*(F_MR/12)),K64)</f>
        <v>0</v>
      </c>
      <c r="M64" s="20" t="n">
        <f aca="false">IF(L64&gt;PR_BalDone,L64+L64*(F_MR/12)-MIN(F_MortPayM,L64+L64*(F_MR/12)),L64)</f>
        <v>0</v>
      </c>
      <c r="N64" s="20" t="n">
        <f aca="false">IF(M64&gt;PR_BalDone,M64+M64*(F_MR/12)-MIN(F_MortPayM,M64+M64*(F_MR/12)),M64)</f>
        <v>0</v>
      </c>
      <c r="O64" s="20" t="n">
        <f aca="false">IF(N64&gt;PR_BalDone,N64+N64*(F_MR/12)-MIN(F_MortPayM,N64+N64*(F_MR/12)),N64)</f>
        <v>0</v>
      </c>
      <c r="P64" s="20" t="n">
        <f aca="false">IF(C64&gt;PR_BalDone,MIN(F_MortPayM,C64+C64*(F_MR/12)),0)</f>
        <v>0</v>
      </c>
      <c r="Q64" s="20" t="n">
        <f aca="false">IF(D64&gt;PR_BalDone,MIN(F_MortPayM,D64+D64*(F_MR/12)),0)</f>
        <v>0</v>
      </c>
      <c r="R64" s="20" t="n">
        <f aca="false">IF(E64&gt;PR_BalDone,MIN(F_MortPayM,E64+E64*(F_MR/12)),0)</f>
        <v>0</v>
      </c>
      <c r="S64" s="20" t="n">
        <f aca="false">IF(F64&gt;PR_BalDone,MIN(F_MortPayM,F64+F64*(F_MR/12)),0)</f>
        <v>0</v>
      </c>
      <c r="T64" s="20" t="n">
        <f aca="false">IF(G64&gt;PR_BalDone,MIN(F_MortPayM,G64+G64*(F_MR/12)),0)</f>
        <v>0</v>
      </c>
      <c r="U64" s="20" t="n">
        <f aca="false">IF(H64&gt;PR_BalDone,MIN(F_MortPayM,H64+H64*(F_MR/12)),0)</f>
        <v>0</v>
      </c>
      <c r="V64" s="20" t="n">
        <f aca="false">IF(I64&gt;PR_BalDone,MIN(F_MortPayM,I64+I64*(F_MR/12)),0)</f>
        <v>0</v>
      </c>
      <c r="W64" s="20" t="n">
        <f aca="false">IF(J64&gt;PR_BalDone,MIN(F_MortPayM,J64+J64*(F_MR/12)),0)</f>
        <v>0</v>
      </c>
      <c r="X64" s="20" t="n">
        <f aca="false">IF(K64&gt;PR_BalDone,MIN(F_MortPayM,K64+K64*(F_MR/12)),0)</f>
        <v>0</v>
      </c>
      <c r="Y64" s="20" t="n">
        <f aca="false">IF(L64&gt;PR_BalDone,MIN(F_MortPayM,L64+L64*(F_MR/12)),0)</f>
        <v>0</v>
      </c>
      <c r="Z64" s="20" t="n">
        <f aca="false">IF(M64&gt;PR_BalDone,MIN(F_MortPayM,M64+M64*(F_MR/12)),0)</f>
        <v>0</v>
      </c>
      <c r="AA64" s="20" t="n">
        <f aca="false">IF(N64&gt;PR_BalDone,MIN(F_MortPayM,N64+N64*(F_MR/12)),0)</f>
        <v>0</v>
      </c>
      <c r="AB64" s="20" t="n">
        <f aca="false">MAX(0,O64)</f>
        <v>0</v>
      </c>
      <c r="AC64" s="20" t="n">
        <f aca="false">SUM(P64:AA64)</f>
        <v>0</v>
      </c>
      <c r="AD64" s="20" t="n">
        <f aca="false">'Plan cashflow'!M64</f>
        <v>0</v>
      </c>
      <c r="AE64" s="20" t="n">
        <f aca="false">IF(AD64&gt;PR_BalDone,AD64+AD64*(D_iC)-MIN(F_CardPayM,AD64+AD64*(D_iC)),AD64)</f>
        <v>0</v>
      </c>
      <c r="AF64" s="20" t="n">
        <f aca="false">IF(AE64&gt;PR_BalDone,AE64+AE64*(D_iC)-MIN(F_CardPayM,AE64+AE64*(D_iC)),AE64)</f>
        <v>0</v>
      </c>
      <c r="AG64" s="20" t="n">
        <f aca="false">IF(AF64&gt;PR_BalDone,AF64+AF64*(D_iC)-MIN(F_CardPayM,AF64+AF64*(D_iC)),AF64)</f>
        <v>0</v>
      </c>
      <c r="AH64" s="20" t="n">
        <f aca="false">IF(AG64&gt;PR_BalDone,AG64+AG64*(D_iC)-MIN(F_CardPayM,AG64+AG64*(D_iC)),AG64)</f>
        <v>0</v>
      </c>
      <c r="AI64" s="20" t="n">
        <f aca="false">IF(AH64&gt;PR_BalDone,AH64+AH64*(D_iC)-MIN(F_CardPayM,AH64+AH64*(D_iC)),AH64)</f>
        <v>0</v>
      </c>
      <c r="AJ64" s="20" t="n">
        <f aca="false">IF(AI64&gt;PR_BalDone,AI64+AI64*(D_iC)-MIN(F_CardPayM,AI64+AI64*(D_iC)),AI64)</f>
        <v>0</v>
      </c>
      <c r="AK64" s="20" t="n">
        <f aca="false">IF(AJ64&gt;PR_BalDone,AJ64+AJ64*(D_iC)-MIN(F_CardPayM,AJ64+AJ64*(D_iC)),AJ64)</f>
        <v>0</v>
      </c>
      <c r="AL64" s="20" t="n">
        <f aca="false">IF(AK64&gt;PR_BalDone,AK64+AK64*(D_iC)-MIN(F_CardPayM,AK64+AK64*(D_iC)),AK64)</f>
        <v>0</v>
      </c>
      <c r="AM64" s="20" t="n">
        <f aca="false">IF(AL64&gt;PR_BalDone,AL64+AL64*(D_iC)-MIN(F_CardPayM,AL64+AL64*(D_iC)),AL64)</f>
        <v>0</v>
      </c>
      <c r="AN64" s="20" t="n">
        <f aca="false">IF(AM64&gt;PR_BalDone,AM64+AM64*(D_iC)-MIN(F_CardPayM,AM64+AM64*(D_iC)),AM64)</f>
        <v>0</v>
      </c>
      <c r="AO64" s="20" t="n">
        <f aca="false">IF(AN64&gt;PR_BalDone,AN64+AN64*(D_iC)-MIN(F_CardPayM,AN64+AN64*(D_iC)),AN64)</f>
        <v>0</v>
      </c>
      <c r="AP64" s="20" t="n">
        <f aca="false">IF(AO64&gt;PR_BalDone,AO64+AO64*(D_iC)-MIN(F_CardPayM,AO64+AO64*(D_iC)),AO64)</f>
        <v>0</v>
      </c>
      <c r="AQ64" s="20" t="n">
        <f aca="false">IF(AD64&gt;PR_BalDone,MIN(F_CardPayM,AD64+AD64*(D_iC)),0)</f>
        <v>0</v>
      </c>
      <c r="AR64" s="20" t="n">
        <f aca="false">IF(AE64&gt;PR_BalDone,MIN(F_CardPayM,AE64+AE64*(D_iC)),0)</f>
        <v>0</v>
      </c>
      <c r="AS64" s="20" t="n">
        <f aca="false">IF(AF64&gt;PR_BalDone,MIN(F_CardPayM,AF64+AF64*(D_iC)),0)</f>
        <v>0</v>
      </c>
      <c r="AT64" s="20" t="n">
        <f aca="false">IF(AG64&gt;PR_BalDone,MIN(F_CardPayM,AG64+AG64*(D_iC)),0)</f>
        <v>0</v>
      </c>
      <c r="AU64" s="20" t="n">
        <f aca="false">IF(AH64&gt;PR_BalDone,MIN(F_CardPayM,AH64+AH64*(D_iC)),0)</f>
        <v>0</v>
      </c>
      <c r="AV64" s="20" t="n">
        <f aca="false">IF(AI64&gt;PR_BalDone,MIN(F_CardPayM,AI64+AI64*(D_iC)),0)</f>
        <v>0</v>
      </c>
      <c r="AW64" s="20" t="n">
        <f aca="false">IF(AJ64&gt;PR_BalDone,MIN(F_CardPayM,AJ64+AJ64*(D_iC)),0)</f>
        <v>0</v>
      </c>
      <c r="AX64" s="20" t="n">
        <f aca="false">IF(AK64&gt;PR_BalDone,MIN(F_CardPayM,AK64+AK64*(D_iC)),0)</f>
        <v>0</v>
      </c>
      <c r="AY64" s="20" t="n">
        <f aca="false">IF(AL64&gt;PR_BalDone,MIN(F_CardPayM,AL64+AL64*(D_iC)),0)</f>
        <v>0</v>
      </c>
      <c r="AZ64" s="20" t="n">
        <f aca="false">IF(AM64&gt;PR_BalDone,MIN(F_CardPayM,AM64+AM64*(D_iC)),0)</f>
        <v>0</v>
      </c>
      <c r="BA64" s="20" t="n">
        <f aca="false">IF(AN64&gt;PR_BalDone,MIN(F_CardPayM,AN64+AN64*(D_iC)),0)</f>
        <v>0</v>
      </c>
      <c r="BB64" s="20" t="n">
        <f aca="false">IF(AO64&gt;PR_BalDone,MIN(F_CardPayM,AO64+AO64*(D_iC)),0)</f>
        <v>0</v>
      </c>
      <c r="BC64" s="20" t="n">
        <f aca="false">MAX(0,AP64)</f>
        <v>0</v>
      </c>
      <c r="BD64" s="20" t="n">
        <f aca="false">SUM(AQ64:BB64)</f>
        <v>0</v>
      </c>
      <c r="BE64" s="20" t="n">
        <f aca="false">'Plan cashflow'!P64</f>
        <v>0</v>
      </c>
      <c r="BF64" s="20" t="n">
        <f aca="false">IF(BE64&gt;PR_BalDone,BE64+BE64*(D_iL)-MIN(F_LoanPayM,BE64+BE64*(D_iL)),BE64)</f>
        <v>0</v>
      </c>
      <c r="BG64" s="20" t="n">
        <f aca="false">IF(BF64&gt;PR_BalDone,BF64+BF64*(D_iL)-MIN(F_LoanPayM,BF64+BF64*(D_iL)),BF64)</f>
        <v>0</v>
      </c>
      <c r="BH64" s="20" t="n">
        <f aca="false">IF(BG64&gt;PR_BalDone,BG64+BG64*(D_iL)-MIN(F_LoanPayM,BG64+BG64*(D_iL)),BG64)</f>
        <v>0</v>
      </c>
      <c r="BI64" s="20" t="n">
        <f aca="false">IF(BH64&gt;PR_BalDone,BH64+BH64*(D_iL)-MIN(F_LoanPayM,BH64+BH64*(D_iL)),BH64)</f>
        <v>0</v>
      </c>
      <c r="BJ64" s="20" t="n">
        <f aca="false">IF(BI64&gt;PR_BalDone,BI64+BI64*(D_iL)-MIN(F_LoanPayM,BI64+BI64*(D_iL)),BI64)</f>
        <v>0</v>
      </c>
      <c r="BK64" s="20" t="n">
        <f aca="false">IF(BJ64&gt;PR_BalDone,BJ64+BJ64*(D_iL)-MIN(F_LoanPayM,BJ64+BJ64*(D_iL)),BJ64)</f>
        <v>0</v>
      </c>
      <c r="BL64" s="20" t="n">
        <f aca="false">IF(BK64&gt;PR_BalDone,BK64+BK64*(D_iL)-MIN(F_LoanPayM,BK64+BK64*(D_iL)),BK64)</f>
        <v>0</v>
      </c>
      <c r="BM64" s="20" t="n">
        <f aca="false">IF(BL64&gt;PR_BalDone,BL64+BL64*(D_iL)-MIN(F_LoanPayM,BL64+BL64*(D_iL)),BL64)</f>
        <v>0</v>
      </c>
      <c r="BN64" s="20" t="n">
        <f aca="false">IF(BM64&gt;PR_BalDone,BM64+BM64*(D_iL)-MIN(F_LoanPayM,BM64+BM64*(D_iL)),BM64)</f>
        <v>0</v>
      </c>
      <c r="BO64" s="20" t="n">
        <f aca="false">IF(BN64&gt;PR_BalDone,BN64+BN64*(D_iL)-MIN(F_LoanPayM,BN64+BN64*(D_iL)),BN64)</f>
        <v>0</v>
      </c>
      <c r="BP64" s="20" t="n">
        <f aca="false">IF(BO64&gt;PR_BalDone,BO64+BO64*(D_iL)-MIN(F_LoanPayM,BO64+BO64*(D_iL)),BO64)</f>
        <v>0</v>
      </c>
      <c r="BQ64" s="20" t="n">
        <f aca="false">IF(BP64&gt;PR_BalDone,BP64+BP64*(D_iL)-MIN(F_LoanPayM,BP64+BP64*(D_iL)),BP64)</f>
        <v>0</v>
      </c>
      <c r="BR64" s="20" t="n">
        <f aca="false">IF(BE64&gt;PR_BalDone,MIN(F_LoanPayM,BE64+BE64*(D_iL)),0)</f>
        <v>0</v>
      </c>
      <c r="BS64" s="20" t="n">
        <f aca="false">IF(BF64&gt;PR_BalDone,MIN(F_LoanPayM,BF64+BF64*(D_iL)),0)</f>
        <v>0</v>
      </c>
      <c r="BT64" s="20" t="n">
        <f aca="false">IF(BG64&gt;PR_BalDone,MIN(F_LoanPayM,BG64+BG64*(D_iL)),0)</f>
        <v>0</v>
      </c>
      <c r="BU64" s="20" t="n">
        <f aca="false">IF(BH64&gt;PR_BalDone,MIN(F_LoanPayM,BH64+BH64*(D_iL)),0)</f>
        <v>0</v>
      </c>
      <c r="BV64" s="20" t="n">
        <f aca="false">IF(BI64&gt;PR_BalDone,MIN(F_LoanPayM,BI64+BI64*(D_iL)),0)</f>
        <v>0</v>
      </c>
      <c r="BW64" s="20" t="n">
        <f aca="false">IF(BJ64&gt;PR_BalDone,MIN(F_LoanPayM,BJ64+BJ64*(D_iL)),0)</f>
        <v>0</v>
      </c>
      <c r="BX64" s="20" t="n">
        <f aca="false">IF(BK64&gt;PR_BalDone,MIN(F_LoanPayM,BK64+BK64*(D_iL)),0)</f>
        <v>0</v>
      </c>
      <c r="BY64" s="20" t="n">
        <f aca="false">IF(BL64&gt;PR_BalDone,MIN(F_LoanPayM,BL64+BL64*(D_iL)),0)</f>
        <v>0</v>
      </c>
      <c r="BZ64" s="20" t="n">
        <f aca="false">IF(BM64&gt;PR_BalDone,MIN(F_LoanPayM,BM64+BM64*(D_iL)),0)</f>
        <v>0</v>
      </c>
      <c r="CA64" s="20" t="n">
        <f aca="false">IF(BN64&gt;PR_BalDone,MIN(F_LoanPayM,BN64+BN64*(D_iL)),0)</f>
        <v>0</v>
      </c>
      <c r="CB64" s="20" t="n">
        <f aca="false">IF(BO64&gt;PR_BalDone,MIN(F_LoanPayM,BO64+BO64*(D_iL)),0)</f>
        <v>0</v>
      </c>
      <c r="CC64" s="20" t="n">
        <f aca="false">IF(BP64&gt;PR_BalDone,MIN(F_LoanPayM,BP64+BP64*(D_iL)),0)</f>
        <v>0</v>
      </c>
      <c r="CD64" s="20" t="n">
        <f aca="false">MAX(0,BQ64)</f>
        <v>0</v>
      </c>
      <c r="CE64" s="20" t="n">
        <f aca="false">SUM(BR64:CC64)</f>
        <v>0</v>
      </c>
      <c r="CF64" s="20" t="n">
        <f aca="false">IF(CF63&gt;1,DE63,CF63)</f>
        <v>0</v>
      </c>
      <c r="CG64" s="20" t="n">
        <f aca="false">IF(CF64&gt;PR_BalDone,CF64+CF64*(F_MR/12)-MIN(F_MortPayM,CF64+CF64*(F_MR/12)),CF64)</f>
        <v>0</v>
      </c>
      <c r="CH64" s="20" t="n">
        <f aca="false">IF(CG64&gt;PR_BalDone,CG64+CG64*(F_MR/12)-MIN(F_MortPayM,CG64+CG64*(F_MR/12)),CG64)</f>
        <v>0</v>
      </c>
      <c r="CI64" s="20" t="n">
        <f aca="false">IF(CH64&gt;PR_BalDone,CH64+CH64*(F_MR/12)-MIN(F_MortPayM,CH64+CH64*(F_MR/12)),CH64)</f>
        <v>0</v>
      </c>
      <c r="CJ64" s="20" t="n">
        <f aca="false">IF(CI64&gt;PR_BalDone,CI64+CI64*(F_MR/12)-MIN(F_MortPayM,CI64+CI64*(F_MR/12)),CI64)</f>
        <v>0</v>
      </c>
      <c r="CK64" s="20" t="n">
        <f aca="false">IF(CJ64&gt;PR_BalDone,CJ64+CJ64*(F_MR/12)-MIN(F_MortPayM,CJ64+CJ64*(F_MR/12)),CJ64)</f>
        <v>0</v>
      </c>
      <c r="CL64" s="20" t="n">
        <f aca="false">IF(CK64&gt;PR_BalDone,CK64+CK64*(F_MR/12)-MIN(F_MortPayM,CK64+CK64*(F_MR/12)),CK64)</f>
        <v>0</v>
      </c>
      <c r="CM64" s="20" t="n">
        <f aca="false">IF(CL64&gt;PR_BalDone,CL64+CL64*(F_MR/12)-MIN(F_MortPayM,CL64+CL64*(F_MR/12)),CL64)</f>
        <v>0</v>
      </c>
      <c r="CN64" s="20" t="n">
        <f aca="false">IF(CM64&gt;PR_BalDone,CM64+CM64*(F_MR/12)-MIN(F_MortPayM,CM64+CM64*(F_MR/12)),CM64)</f>
        <v>0</v>
      </c>
      <c r="CO64" s="20" t="n">
        <f aca="false">IF(CN64&gt;PR_BalDone,CN64+CN64*(F_MR/12)-MIN(F_MortPayM,CN64+CN64*(F_MR/12)),CN64)</f>
        <v>0</v>
      </c>
      <c r="CP64" s="20" t="n">
        <f aca="false">IF(CO64&gt;PR_BalDone,CO64+CO64*(F_MR/12)-MIN(F_MortPayM,CO64+CO64*(F_MR/12)),CO64)</f>
        <v>0</v>
      </c>
      <c r="CQ64" s="20" t="n">
        <f aca="false">IF(CP64&gt;PR_BalDone,CP64+CP64*(F_MR/12)-MIN(F_MortPayM,CP64+CP64*(F_MR/12)),CP64)</f>
        <v>0</v>
      </c>
      <c r="CR64" s="20" t="n">
        <f aca="false">IF(CQ64&gt;PR_BalDone,CQ64+CQ64*(F_MR/12)-MIN(F_MortPayM,CQ64+CQ64*(F_MR/12)),CQ64)</f>
        <v>0</v>
      </c>
      <c r="CS64" s="20" t="n">
        <f aca="false">IF(CF64&gt;PR_BalDone,MIN(F_MortPayM,CF64+CF64*(F_MR/12)),0)</f>
        <v>0</v>
      </c>
      <c r="CT64" s="20" t="n">
        <f aca="false">IF(CG64&gt;PR_BalDone,MIN(F_MortPayM,CG64+CG64*(F_MR/12)),0)</f>
        <v>0</v>
      </c>
      <c r="CU64" s="20" t="n">
        <f aca="false">IF(CH64&gt;PR_BalDone,MIN(F_MortPayM,CH64+CH64*(F_MR/12)),0)</f>
        <v>0</v>
      </c>
      <c r="CV64" s="20" t="n">
        <f aca="false">IF(CI64&gt;PR_BalDone,MIN(F_MortPayM,CI64+CI64*(F_MR/12)),0)</f>
        <v>0</v>
      </c>
      <c r="CW64" s="20" t="n">
        <f aca="false">IF(CJ64&gt;PR_BalDone,MIN(F_MortPayM,CJ64+CJ64*(F_MR/12)),0)</f>
        <v>0</v>
      </c>
      <c r="CX64" s="20" t="n">
        <f aca="false">IF(CK64&gt;PR_BalDone,MIN(F_MortPayM,CK64+CK64*(F_MR/12)),0)</f>
        <v>0</v>
      </c>
      <c r="CY64" s="20" t="n">
        <f aca="false">IF(CL64&gt;PR_BalDone,MIN(F_MortPayM,CL64+CL64*(F_MR/12)),0)</f>
        <v>0</v>
      </c>
      <c r="CZ64" s="20" t="n">
        <f aca="false">IF(CM64&gt;PR_BalDone,MIN(F_MortPayM,CM64+CM64*(F_MR/12)),0)</f>
        <v>0</v>
      </c>
      <c r="DA64" s="20" t="n">
        <f aca="false">IF(CN64&gt;PR_BalDone,MIN(F_MortPayM,CN64+CN64*(F_MR/12)),0)</f>
        <v>0</v>
      </c>
      <c r="DB64" s="20" t="n">
        <f aca="false">IF(CO64&gt;PR_BalDone,MIN(F_MortPayM,CO64+CO64*(F_MR/12)),0)</f>
        <v>0</v>
      </c>
      <c r="DC64" s="20" t="n">
        <f aca="false">IF(CP64&gt;PR_BalDone,MIN(F_MortPayM,CP64+CP64*(F_MR/12)),0)</f>
        <v>0</v>
      </c>
      <c r="DD64" s="20" t="n">
        <f aca="false">IF(CQ64&gt;PR_BalDone,MIN(F_MortPayM,CQ64+CQ64*(F_MR/12)),0)</f>
        <v>0</v>
      </c>
      <c r="DE64" s="20" t="n">
        <f aca="false">MAX(0,CR64)</f>
        <v>0</v>
      </c>
      <c r="DF64" s="20" t="n">
        <f aca="false">SUM(CS64:DD64)</f>
        <v>0</v>
      </c>
      <c r="DG64" s="20" t="n">
        <f aca="false">MAX(0,CF64)</f>
        <v>0</v>
      </c>
    </row>
    <row r="65" customFormat="false" ht="15" hidden="false" customHeight="true" outlineLevel="0" collapsed="false">
      <c r="B65" s="20" t="n">
        <v>57</v>
      </c>
      <c r="C65" s="20" t="n">
        <f aca="false">'Plan cashflow'!J65</f>
        <v>0</v>
      </c>
      <c r="D65" s="20" t="n">
        <f aca="false">IF(C65&gt;PR_BalDone,C65+C65*(F_MR/12)-MIN(F_MortPayM,C65+C65*(F_MR/12)),C65)</f>
        <v>0</v>
      </c>
      <c r="E65" s="20" t="n">
        <f aca="false">IF(D65&gt;PR_BalDone,D65+D65*(F_MR/12)-MIN(F_MortPayM,D65+D65*(F_MR/12)),D65)</f>
        <v>0</v>
      </c>
      <c r="F65" s="20" t="n">
        <f aca="false">IF(E65&gt;PR_BalDone,E65+E65*(F_MR/12)-MIN(F_MortPayM,E65+E65*(F_MR/12)),E65)</f>
        <v>0</v>
      </c>
      <c r="G65" s="20" t="n">
        <f aca="false">IF(F65&gt;PR_BalDone,F65+F65*(F_MR/12)-MIN(F_MortPayM,F65+F65*(F_MR/12)),F65)</f>
        <v>0</v>
      </c>
      <c r="H65" s="20" t="n">
        <f aca="false">IF(G65&gt;PR_BalDone,G65+G65*(F_MR/12)-MIN(F_MortPayM,G65+G65*(F_MR/12)),G65)</f>
        <v>0</v>
      </c>
      <c r="I65" s="20" t="n">
        <f aca="false">IF(H65&gt;PR_BalDone,H65+H65*(F_MR/12)-MIN(F_MortPayM,H65+H65*(F_MR/12)),H65)</f>
        <v>0</v>
      </c>
      <c r="J65" s="20" t="n">
        <f aca="false">IF(I65&gt;PR_BalDone,I65+I65*(F_MR/12)-MIN(F_MortPayM,I65+I65*(F_MR/12)),I65)</f>
        <v>0</v>
      </c>
      <c r="K65" s="20" t="n">
        <f aca="false">IF(J65&gt;PR_BalDone,J65+J65*(F_MR/12)-MIN(F_MortPayM,J65+J65*(F_MR/12)),J65)</f>
        <v>0</v>
      </c>
      <c r="L65" s="20" t="n">
        <f aca="false">IF(K65&gt;PR_BalDone,K65+K65*(F_MR/12)-MIN(F_MortPayM,K65+K65*(F_MR/12)),K65)</f>
        <v>0</v>
      </c>
      <c r="M65" s="20" t="n">
        <f aca="false">IF(L65&gt;PR_BalDone,L65+L65*(F_MR/12)-MIN(F_MortPayM,L65+L65*(F_MR/12)),L65)</f>
        <v>0</v>
      </c>
      <c r="N65" s="20" t="n">
        <f aca="false">IF(M65&gt;PR_BalDone,M65+M65*(F_MR/12)-MIN(F_MortPayM,M65+M65*(F_MR/12)),M65)</f>
        <v>0</v>
      </c>
      <c r="O65" s="20" t="n">
        <f aca="false">IF(N65&gt;PR_BalDone,N65+N65*(F_MR/12)-MIN(F_MortPayM,N65+N65*(F_MR/12)),N65)</f>
        <v>0</v>
      </c>
      <c r="P65" s="20" t="n">
        <f aca="false">IF(C65&gt;PR_BalDone,MIN(F_MortPayM,C65+C65*(F_MR/12)),0)</f>
        <v>0</v>
      </c>
      <c r="Q65" s="20" t="n">
        <f aca="false">IF(D65&gt;PR_BalDone,MIN(F_MortPayM,D65+D65*(F_MR/12)),0)</f>
        <v>0</v>
      </c>
      <c r="R65" s="20" t="n">
        <f aca="false">IF(E65&gt;PR_BalDone,MIN(F_MortPayM,E65+E65*(F_MR/12)),0)</f>
        <v>0</v>
      </c>
      <c r="S65" s="20" t="n">
        <f aca="false">IF(F65&gt;PR_BalDone,MIN(F_MortPayM,F65+F65*(F_MR/12)),0)</f>
        <v>0</v>
      </c>
      <c r="T65" s="20" t="n">
        <f aca="false">IF(G65&gt;PR_BalDone,MIN(F_MortPayM,G65+G65*(F_MR/12)),0)</f>
        <v>0</v>
      </c>
      <c r="U65" s="20" t="n">
        <f aca="false">IF(H65&gt;PR_BalDone,MIN(F_MortPayM,H65+H65*(F_MR/12)),0)</f>
        <v>0</v>
      </c>
      <c r="V65" s="20" t="n">
        <f aca="false">IF(I65&gt;PR_BalDone,MIN(F_MortPayM,I65+I65*(F_MR/12)),0)</f>
        <v>0</v>
      </c>
      <c r="W65" s="20" t="n">
        <f aca="false">IF(J65&gt;PR_BalDone,MIN(F_MortPayM,J65+J65*(F_MR/12)),0)</f>
        <v>0</v>
      </c>
      <c r="X65" s="20" t="n">
        <f aca="false">IF(K65&gt;PR_BalDone,MIN(F_MortPayM,K65+K65*(F_MR/12)),0)</f>
        <v>0</v>
      </c>
      <c r="Y65" s="20" t="n">
        <f aca="false">IF(L65&gt;PR_BalDone,MIN(F_MortPayM,L65+L65*(F_MR/12)),0)</f>
        <v>0</v>
      </c>
      <c r="Z65" s="20" t="n">
        <f aca="false">IF(M65&gt;PR_BalDone,MIN(F_MortPayM,M65+M65*(F_MR/12)),0)</f>
        <v>0</v>
      </c>
      <c r="AA65" s="20" t="n">
        <f aca="false">IF(N65&gt;PR_BalDone,MIN(F_MortPayM,N65+N65*(F_MR/12)),0)</f>
        <v>0</v>
      </c>
      <c r="AB65" s="20" t="n">
        <f aca="false">MAX(0,O65)</f>
        <v>0</v>
      </c>
      <c r="AC65" s="20" t="n">
        <f aca="false">SUM(P65:AA65)</f>
        <v>0</v>
      </c>
      <c r="AD65" s="20" t="n">
        <f aca="false">'Plan cashflow'!M65</f>
        <v>0</v>
      </c>
      <c r="AE65" s="20" t="n">
        <f aca="false">IF(AD65&gt;PR_BalDone,AD65+AD65*(D_iC)-MIN(F_CardPayM,AD65+AD65*(D_iC)),AD65)</f>
        <v>0</v>
      </c>
      <c r="AF65" s="20" t="n">
        <f aca="false">IF(AE65&gt;PR_BalDone,AE65+AE65*(D_iC)-MIN(F_CardPayM,AE65+AE65*(D_iC)),AE65)</f>
        <v>0</v>
      </c>
      <c r="AG65" s="20" t="n">
        <f aca="false">IF(AF65&gt;PR_BalDone,AF65+AF65*(D_iC)-MIN(F_CardPayM,AF65+AF65*(D_iC)),AF65)</f>
        <v>0</v>
      </c>
      <c r="AH65" s="20" t="n">
        <f aca="false">IF(AG65&gt;PR_BalDone,AG65+AG65*(D_iC)-MIN(F_CardPayM,AG65+AG65*(D_iC)),AG65)</f>
        <v>0</v>
      </c>
      <c r="AI65" s="20" t="n">
        <f aca="false">IF(AH65&gt;PR_BalDone,AH65+AH65*(D_iC)-MIN(F_CardPayM,AH65+AH65*(D_iC)),AH65)</f>
        <v>0</v>
      </c>
      <c r="AJ65" s="20" t="n">
        <f aca="false">IF(AI65&gt;PR_BalDone,AI65+AI65*(D_iC)-MIN(F_CardPayM,AI65+AI65*(D_iC)),AI65)</f>
        <v>0</v>
      </c>
      <c r="AK65" s="20" t="n">
        <f aca="false">IF(AJ65&gt;PR_BalDone,AJ65+AJ65*(D_iC)-MIN(F_CardPayM,AJ65+AJ65*(D_iC)),AJ65)</f>
        <v>0</v>
      </c>
      <c r="AL65" s="20" t="n">
        <f aca="false">IF(AK65&gt;PR_BalDone,AK65+AK65*(D_iC)-MIN(F_CardPayM,AK65+AK65*(D_iC)),AK65)</f>
        <v>0</v>
      </c>
      <c r="AM65" s="20" t="n">
        <f aca="false">IF(AL65&gt;PR_BalDone,AL65+AL65*(D_iC)-MIN(F_CardPayM,AL65+AL65*(D_iC)),AL65)</f>
        <v>0</v>
      </c>
      <c r="AN65" s="20" t="n">
        <f aca="false">IF(AM65&gt;PR_BalDone,AM65+AM65*(D_iC)-MIN(F_CardPayM,AM65+AM65*(D_iC)),AM65)</f>
        <v>0</v>
      </c>
      <c r="AO65" s="20" t="n">
        <f aca="false">IF(AN65&gt;PR_BalDone,AN65+AN65*(D_iC)-MIN(F_CardPayM,AN65+AN65*(D_iC)),AN65)</f>
        <v>0</v>
      </c>
      <c r="AP65" s="20" t="n">
        <f aca="false">IF(AO65&gt;PR_BalDone,AO65+AO65*(D_iC)-MIN(F_CardPayM,AO65+AO65*(D_iC)),AO65)</f>
        <v>0</v>
      </c>
      <c r="AQ65" s="20" t="n">
        <f aca="false">IF(AD65&gt;PR_BalDone,MIN(F_CardPayM,AD65+AD65*(D_iC)),0)</f>
        <v>0</v>
      </c>
      <c r="AR65" s="20" t="n">
        <f aca="false">IF(AE65&gt;PR_BalDone,MIN(F_CardPayM,AE65+AE65*(D_iC)),0)</f>
        <v>0</v>
      </c>
      <c r="AS65" s="20" t="n">
        <f aca="false">IF(AF65&gt;PR_BalDone,MIN(F_CardPayM,AF65+AF65*(D_iC)),0)</f>
        <v>0</v>
      </c>
      <c r="AT65" s="20" t="n">
        <f aca="false">IF(AG65&gt;PR_BalDone,MIN(F_CardPayM,AG65+AG65*(D_iC)),0)</f>
        <v>0</v>
      </c>
      <c r="AU65" s="20" t="n">
        <f aca="false">IF(AH65&gt;PR_BalDone,MIN(F_CardPayM,AH65+AH65*(D_iC)),0)</f>
        <v>0</v>
      </c>
      <c r="AV65" s="20" t="n">
        <f aca="false">IF(AI65&gt;PR_BalDone,MIN(F_CardPayM,AI65+AI65*(D_iC)),0)</f>
        <v>0</v>
      </c>
      <c r="AW65" s="20" t="n">
        <f aca="false">IF(AJ65&gt;PR_BalDone,MIN(F_CardPayM,AJ65+AJ65*(D_iC)),0)</f>
        <v>0</v>
      </c>
      <c r="AX65" s="20" t="n">
        <f aca="false">IF(AK65&gt;PR_BalDone,MIN(F_CardPayM,AK65+AK65*(D_iC)),0)</f>
        <v>0</v>
      </c>
      <c r="AY65" s="20" t="n">
        <f aca="false">IF(AL65&gt;PR_BalDone,MIN(F_CardPayM,AL65+AL65*(D_iC)),0)</f>
        <v>0</v>
      </c>
      <c r="AZ65" s="20" t="n">
        <f aca="false">IF(AM65&gt;PR_BalDone,MIN(F_CardPayM,AM65+AM65*(D_iC)),0)</f>
        <v>0</v>
      </c>
      <c r="BA65" s="20" t="n">
        <f aca="false">IF(AN65&gt;PR_BalDone,MIN(F_CardPayM,AN65+AN65*(D_iC)),0)</f>
        <v>0</v>
      </c>
      <c r="BB65" s="20" t="n">
        <f aca="false">IF(AO65&gt;PR_BalDone,MIN(F_CardPayM,AO65+AO65*(D_iC)),0)</f>
        <v>0</v>
      </c>
      <c r="BC65" s="20" t="n">
        <f aca="false">MAX(0,AP65)</f>
        <v>0</v>
      </c>
      <c r="BD65" s="20" t="n">
        <f aca="false">SUM(AQ65:BB65)</f>
        <v>0</v>
      </c>
      <c r="BE65" s="20" t="n">
        <f aca="false">'Plan cashflow'!P65</f>
        <v>0</v>
      </c>
      <c r="BF65" s="20" t="n">
        <f aca="false">IF(BE65&gt;PR_BalDone,BE65+BE65*(D_iL)-MIN(F_LoanPayM,BE65+BE65*(D_iL)),BE65)</f>
        <v>0</v>
      </c>
      <c r="BG65" s="20" t="n">
        <f aca="false">IF(BF65&gt;PR_BalDone,BF65+BF65*(D_iL)-MIN(F_LoanPayM,BF65+BF65*(D_iL)),BF65)</f>
        <v>0</v>
      </c>
      <c r="BH65" s="20" t="n">
        <f aca="false">IF(BG65&gt;PR_BalDone,BG65+BG65*(D_iL)-MIN(F_LoanPayM,BG65+BG65*(D_iL)),BG65)</f>
        <v>0</v>
      </c>
      <c r="BI65" s="20" t="n">
        <f aca="false">IF(BH65&gt;PR_BalDone,BH65+BH65*(D_iL)-MIN(F_LoanPayM,BH65+BH65*(D_iL)),BH65)</f>
        <v>0</v>
      </c>
      <c r="BJ65" s="20" t="n">
        <f aca="false">IF(BI65&gt;PR_BalDone,BI65+BI65*(D_iL)-MIN(F_LoanPayM,BI65+BI65*(D_iL)),BI65)</f>
        <v>0</v>
      </c>
      <c r="BK65" s="20" t="n">
        <f aca="false">IF(BJ65&gt;PR_BalDone,BJ65+BJ65*(D_iL)-MIN(F_LoanPayM,BJ65+BJ65*(D_iL)),BJ65)</f>
        <v>0</v>
      </c>
      <c r="BL65" s="20" t="n">
        <f aca="false">IF(BK65&gt;PR_BalDone,BK65+BK65*(D_iL)-MIN(F_LoanPayM,BK65+BK65*(D_iL)),BK65)</f>
        <v>0</v>
      </c>
      <c r="BM65" s="20" t="n">
        <f aca="false">IF(BL65&gt;PR_BalDone,BL65+BL65*(D_iL)-MIN(F_LoanPayM,BL65+BL65*(D_iL)),BL65)</f>
        <v>0</v>
      </c>
      <c r="BN65" s="20" t="n">
        <f aca="false">IF(BM65&gt;PR_BalDone,BM65+BM65*(D_iL)-MIN(F_LoanPayM,BM65+BM65*(D_iL)),BM65)</f>
        <v>0</v>
      </c>
      <c r="BO65" s="20" t="n">
        <f aca="false">IF(BN65&gt;PR_BalDone,BN65+BN65*(D_iL)-MIN(F_LoanPayM,BN65+BN65*(D_iL)),BN65)</f>
        <v>0</v>
      </c>
      <c r="BP65" s="20" t="n">
        <f aca="false">IF(BO65&gt;PR_BalDone,BO65+BO65*(D_iL)-MIN(F_LoanPayM,BO65+BO65*(D_iL)),BO65)</f>
        <v>0</v>
      </c>
      <c r="BQ65" s="20" t="n">
        <f aca="false">IF(BP65&gt;PR_BalDone,BP65+BP65*(D_iL)-MIN(F_LoanPayM,BP65+BP65*(D_iL)),BP65)</f>
        <v>0</v>
      </c>
      <c r="BR65" s="20" t="n">
        <f aca="false">IF(BE65&gt;PR_BalDone,MIN(F_LoanPayM,BE65+BE65*(D_iL)),0)</f>
        <v>0</v>
      </c>
      <c r="BS65" s="20" t="n">
        <f aca="false">IF(BF65&gt;PR_BalDone,MIN(F_LoanPayM,BF65+BF65*(D_iL)),0)</f>
        <v>0</v>
      </c>
      <c r="BT65" s="20" t="n">
        <f aca="false">IF(BG65&gt;PR_BalDone,MIN(F_LoanPayM,BG65+BG65*(D_iL)),0)</f>
        <v>0</v>
      </c>
      <c r="BU65" s="20" t="n">
        <f aca="false">IF(BH65&gt;PR_BalDone,MIN(F_LoanPayM,BH65+BH65*(D_iL)),0)</f>
        <v>0</v>
      </c>
      <c r="BV65" s="20" t="n">
        <f aca="false">IF(BI65&gt;PR_BalDone,MIN(F_LoanPayM,BI65+BI65*(D_iL)),0)</f>
        <v>0</v>
      </c>
      <c r="BW65" s="20" t="n">
        <f aca="false">IF(BJ65&gt;PR_BalDone,MIN(F_LoanPayM,BJ65+BJ65*(D_iL)),0)</f>
        <v>0</v>
      </c>
      <c r="BX65" s="20" t="n">
        <f aca="false">IF(BK65&gt;PR_BalDone,MIN(F_LoanPayM,BK65+BK65*(D_iL)),0)</f>
        <v>0</v>
      </c>
      <c r="BY65" s="20" t="n">
        <f aca="false">IF(BL65&gt;PR_BalDone,MIN(F_LoanPayM,BL65+BL65*(D_iL)),0)</f>
        <v>0</v>
      </c>
      <c r="BZ65" s="20" t="n">
        <f aca="false">IF(BM65&gt;PR_BalDone,MIN(F_LoanPayM,BM65+BM65*(D_iL)),0)</f>
        <v>0</v>
      </c>
      <c r="CA65" s="20" t="n">
        <f aca="false">IF(BN65&gt;PR_BalDone,MIN(F_LoanPayM,BN65+BN65*(D_iL)),0)</f>
        <v>0</v>
      </c>
      <c r="CB65" s="20" t="n">
        <f aca="false">IF(BO65&gt;PR_BalDone,MIN(F_LoanPayM,BO65+BO65*(D_iL)),0)</f>
        <v>0</v>
      </c>
      <c r="CC65" s="20" t="n">
        <f aca="false">IF(BP65&gt;PR_BalDone,MIN(F_LoanPayM,BP65+BP65*(D_iL)),0)</f>
        <v>0</v>
      </c>
      <c r="CD65" s="20" t="n">
        <f aca="false">MAX(0,BQ65)</f>
        <v>0</v>
      </c>
      <c r="CE65" s="20" t="n">
        <f aca="false">SUM(BR65:CC65)</f>
        <v>0</v>
      </c>
      <c r="CF65" s="20" t="n">
        <f aca="false">IF(CF64&gt;1,DE64,CF64)</f>
        <v>0</v>
      </c>
      <c r="CG65" s="20" t="n">
        <f aca="false">IF(CF65&gt;PR_BalDone,CF65+CF65*(F_MR/12)-MIN(F_MortPayM,CF65+CF65*(F_MR/12)),CF65)</f>
        <v>0</v>
      </c>
      <c r="CH65" s="20" t="n">
        <f aca="false">IF(CG65&gt;PR_BalDone,CG65+CG65*(F_MR/12)-MIN(F_MortPayM,CG65+CG65*(F_MR/12)),CG65)</f>
        <v>0</v>
      </c>
      <c r="CI65" s="20" t="n">
        <f aca="false">IF(CH65&gt;PR_BalDone,CH65+CH65*(F_MR/12)-MIN(F_MortPayM,CH65+CH65*(F_MR/12)),CH65)</f>
        <v>0</v>
      </c>
      <c r="CJ65" s="20" t="n">
        <f aca="false">IF(CI65&gt;PR_BalDone,CI65+CI65*(F_MR/12)-MIN(F_MortPayM,CI65+CI65*(F_MR/12)),CI65)</f>
        <v>0</v>
      </c>
      <c r="CK65" s="20" t="n">
        <f aca="false">IF(CJ65&gt;PR_BalDone,CJ65+CJ65*(F_MR/12)-MIN(F_MortPayM,CJ65+CJ65*(F_MR/12)),CJ65)</f>
        <v>0</v>
      </c>
      <c r="CL65" s="20" t="n">
        <f aca="false">IF(CK65&gt;PR_BalDone,CK65+CK65*(F_MR/12)-MIN(F_MortPayM,CK65+CK65*(F_MR/12)),CK65)</f>
        <v>0</v>
      </c>
      <c r="CM65" s="20" t="n">
        <f aca="false">IF(CL65&gt;PR_BalDone,CL65+CL65*(F_MR/12)-MIN(F_MortPayM,CL65+CL65*(F_MR/12)),CL65)</f>
        <v>0</v>
      </c>
      <c r="CN65" s="20" t="n">
        <f aca="false">IF(CM65&gt;PR_BalDone,CM65+CM65*(F_MR/12)-MIN(F_MortPayM,CM65+CM65*(F_MR/12)),CM65)</f>
        <v>0</v>
      </c>
      <c r="CO65" s="20" t="n">
        <f aca="false">IF(CN65&gt;PR_BalDone,CN65+CN65*(F_MR/12)-MIN(F_MortPayM,CN65+CN65*(F_MR/12)),CN65)</f>
        <v>0</v>
      </c>
      <c r="CP65" s="20" t="n">
        <f aca="false">IF(CO65&gt;PR_BalDone,CO65+CO65*(F_MR/12)-MIN(F_MortPayM,CO65+CO65*(F_MR/12)),CO65)</f>
        <v>0</v>
      </c>
      <c r="CQ65" s="20" t="n">
        <f aca="false">IF(CP65&gt;PR_BalDone,CP65+CP65*(F_MR/12)-MIN(F_MortPayM,CP65+CP65*(F_MR/12)),CP65)</f>
        <v>0</v>
      </c>
      <c r="CR65" s="20" t="n">
        <f aca="false">IF(CQ65&gt;PR_BalDone,CQ65+CQ65*(F_MR/12)-MIN(F_MortPayM,CQ65+CQ65*(F_MR/12)),CQ65)</f>
        <v>0</v>
      </c>
      <c r="CS65" s="20" t="n">
        <f aca="false">IF(CF65&gt;PR_BalDone,MIN(F_MortPayM,CF65+CF65*(F_MR/12)),0)</f>
        <v>0</v>
      </c>
      <c r="CT65" s="20" t="n">
        <f aca="false">IF(CG65&gt;PR_BalDone,MIN(F_MortPayM,CG65+CG65*(F_MR/12)),0)</f>
        <v>0</v>
      </c>
      <c r="CU65" s="20" t="n">
        <f aca="false">IF(CH65&gt;PR_BalDone,MIN(F_MortPayM,CH65+CH65*(F_MR/12)),0)</f>
        <v>0</v>
      </c>
      <c r="CV65" s="20" t="n">
        <f aca="false">IF(CI65&gt;PR_BalDone,MIN(F_MortPayM,CI65+CI65*(F_MR/12)),0)</f>
        <v>0</v>
      </c>
      <c r="CW65" s="20" t="n">
        <f aca="false">IF(CJ65&gt;PR_BalDone,MIN(F_MortPayM,CJ65+CJ65*(F_MR/12)),0)</f>
        <v>0</v>
      </c>
      <c r="CX65" s="20" t="n">
        <f aca="false">IF(CK65&gt;PR_BalDone,MIN(F_MortPayM,CK65+CK65*(F_MR/12)),0)</f>
        <v>0</v>
      </c>
      <c r="CY65" s="20" t="n">
        <f aca="false">IF(CL65&gt;PR_BalDone,MIN(F_MortPayM,CL65+CL65*(F_MR/12)),0)</f>
        <v>0</v>
      </c>
      <c r="CZ65" s="20" t="n">
        <f aca="false">IF(CM65&gt;PR_BalDone,MIN(F_MortPayM,CM65+CM65*(F_MR/12)),0)</f>
        <v>0</v>
      </c>
      <c r="DA65" s="20" t="n">
        <f aca="false">IF(CN65&gt;PR_BalDone,MIN(F_MortPayM,CN65+CN65*(F_MR/12)),0)</f>
        <v>0</v>
      </c>
      <c r="DB65" s="20" t="n">
        <f aca="false">IF(CO65&gt;PR_BalDone,MIN(F_MortPayM,CO65+CO65*(F_MR/12)),0)</f>
        <v>0</v>
      </c>
      <c r="DC65" s="20" t="n">
        <f aca="false">IF(CP65&gt;PR_BalDone,MIN(F_MortPayM,CP65+CP65*(F_MR/12)),0)</f>
        <v>0</v>
      </c>
      <c r="DD65" s="20" t="n">
        <f aca="false">IF(CQ65&gt;PR_BalDone,MIN(F_MortPayM,CQ65+CQ65*(F_MR/12)),0)</f>
        <v>0</v>
      </c>
      <c r="DE65" s="20" t="n">
        <f aca="false">MAX(0,CR65)</f>
        <v>0</v>
      </c>
      <c r="DF65" s="20" t="n">
        <f aca="false">SUM(CS65:DD65)</f>
        <v>0</v>
      </c>
      <c r="DG65" s="20" t="n">
        <f aca="false">MAX(0,CF65)</f>
        <v>0</v>
      </c>
    </row>
    <row r="66" customFormat="false" ht="15" hidden="false" customHeight="true" outlineLevel="0" collapsed="false">
      <c r="B66" s="20" t="n">
        <v>58</v>
      </c>
      <c r="C66" s="20" t="n">
        <f aca="false">'Plan cashflow'!J66</f>
        <v>0</v>
      </c>
      <c r="D66" s="20" t="n">
        <f aca="false">IF(C66&gt;PR_BalDone,C66+C66*(F_MR/12)-MIN(F_MortPayM,C66+C66*(F_MR/12)),C66)</f>
        <v>0</v>
      </c>
      <c r="E66" s="20" t="n">
        <f aca="false">IF(D66&gt;PR_BalDone,D66+D66*(F_MR/12)-MIN(F_MortPayM,D66+D66*(F_MR/12)),D66)</f>
        <v>0</v>
      </c>
      <c r="F66" s="20" t="n">
        <f aca="false">IF(E66&gt;PR_BalDone,E66+E66*(F_MR/12)-MIN(F_MortPayM,E66+E66*(F_MR/12)),E66)</f>
        <v>0</v>
      </c>
      <c r="G66" s="20" t="n">
        <f aca="false">IF(F66&gt;PR_BalDone,F66+F66*(F_MR/12)-MIN(F_MortPayM,F66+F66*(F_MR/12)),F66)</f>
        <v>0</v>
      </c>
      <c r="H66" s="20" t="n">
        <f aca="false">IF(G66&gt;PR_BalDone,G66+G66*(F_MR/12)-MIN(F_MortPayM,G66+G66*(F_MR/12)),G66)</f>
        <v>0</v>
      </c>
      <c r="I66" s="20" t="n">
        <f aca="false">IF(H66&gt;PR_BalDone,H66+H66*(F_MR/12)-MIN(F_MortPayM,H66+H66*(F_MR/12)),H66)</f>
        <v>0</v>
      </c>
      <c r="J66" s="20" t="n">
        <f aca="false">IF(I66&gt;PR_BalDone,I66+I66*(F_MR/12)-MIN(F_MortPayM,I66+I66*(F_MR/12)),I66)</f>
        <v>0</v>
      </c>
      <c r="K66" s="20" t="n">
        <f aca="false">IF(J66&gt;PR_BalDone,J66+J66*(F_MR/12)-MIN(F_MortPayM,J66+J66*(F_MR/12)),J66)</f>
        <v>0</v>
      </c>
      <c r="L66" s="20" t="n">
        <f aca="false">IF(K66&gt;PR_BalDone,K66+K66*(F_MR/12)-MIN(F_MortPayM,K66+K66*(F_MR/12)),K66)</f>
        <v>0</v>
      </c>
      <c r="M66" s="20" t="n">
        <f aca="false">IF(L66&gt;PR_BalDone,L66+L66*(F_MR/12)-MIN(F_MortPayM,L66+L66*(F_MR/12)),L66)</f>
        <v>0</v>
      </c>
      <c r="N66" s="20" t="n">
        <f aca="false">IF(M66&gt;PR_BalDone,M66+M66*(F_MR/12)-MIN(F_MortPayM,M66+M66*(F_MR/12)),M66)</f>
        <v>0</v>
      </c>
      <c r="O66" s="20" t="n">
        <f aca="false">IF(N66&gt;PR_BalDone,N66+N66*(F_MR/12)-MIN(F_MortPayM,N66+N66*(F_MR/12)),N66)</f>
        <v>0</v>
      </c>
      <c r="P66" s="20" t="n">
        <f aca="false">IF(C66&gt;PR_BalDone,MIN(F_MortPayM,C66+C66*(F_MR/12)),0)</f>
        <v>0</v>
      </c>
      <c r="Q66" s="20" t="n">
        <f aca="false">IF(D66&gt;PR_BalDone,MIN(F_MortPayM,D66+D66*(F_MR/12)),0)</f>
        <v>0</v>
      </c>
      <c r="R66" s="20" t="n">
        <f aca="false">IF(E66&gt;PR_BalDone,MIN(F_MortPayM,E66+E66*(F_MR/12)),0)</f>
        <v>0</v>
      </c>
      <c r="S66" s="20" t="n">
        <f aca="false">IF(F66&gt;PR_BalDone,MIN(F_MortPayM,F66+F66*(F_MR/12)),0)</f>
        <v>0</v>
      </c>
      <c r="T66" s="20" t="n">
        <f aca="false">IF(G66&gt;PR_BalDone,MIN(F_MortPayM,G66+G66*(F_MR/12)),0)</f>
        <v>0</v>
      </c>
      <c r="U66" s="20" t="n">
        <f aca="false">IF(H66&gt;PR_BalDone,MIN(F_MortPayM,H66+H66*(F_MR/12)),0)</f>
        <v>0</v>
      </c>
      <c r="V66" s="20" t="n">
        <f aca="false">IF(I66&gt;PR_BalDone,MIN(F_MortPayM,I66+I66*(F_MR/12)),0)</f>
        <v>0</v>
      </c>
      <c r="W66" s="20" t="n">
        <f aca="false">IF(J66&gt;PR_BalDone,MIN(F_MortPayM,J66+J66*(F_MR/12)),0)</f>
        <v>0</v>
      </c>
      <c r="X66" s="20" t="n">
        <f aca="false">IF(K66&gt;PR_BalDone,MIN(F_MortPayM,K66+K66*(F_MR/12)),0)</f>
        <v>0</v>
      </c>
      <c r="Y66" s="20" t="n">
        <f aca="false">IF(L66&gt;PR_BalDone,MIN(F_MortPayM,L66+L66*(F_MR/12)),0)</f>
        <v>0</v>
      </c>
      <c r="Z66" s="20" t="n">
        <f aca="false">IF(M66&gt;PR_BalDone,MIN(F_MortPayM,M66+M66*(F_MR/12)),0)</f>
        <v>0</v>
      </c>
      <c r="AA66" s="20" t="n">
        <f aca="false">IF(N66&gt;PR_BalDone,MIN(F_MortPayM,N66+N66*(F_MR/12)),0)</f>
        <v>0</v>
      </c>
      <c r="AB66" s="20" t="n">
        <f aca="false">MAX(0,O66)</f>
        <v>0</v>
      </c>
      <c r="AC66" s="20" t="n">
        <f aca="false">SUM(P66:AA66)</f>
        <v>0</v>
      </c>
      <c r="AD66" s="20" t="n">
        <f aca="false">'Plan cashflow'!M66</f>
        <v>0</v>
      </c>
      <c r="AE66" s="20" t="n">
        <f aca="false">IF(AD66&gt;PR_BalDone,AD66+AD66*(D_iC)-MIN(F_CardPayM,AD66+AD66*(D_iC)),AD66)</f>
        <v>0</v>
      </c>
      <c r="AF66" s="20" t="n">
        <f aca="false">IF(AE66&gt;PR_BalDone,AE66+AE66*(D_iC)-MIN(F_CardPayM,AE66+AE66*(D_iC)),AE66)</f>
        <v>0</v>
      </c>
      <c r="AG66" s="20" t="n">
        <f aca="false">IF(AF66&gt;PR_BalDone,AF66+AF66*(D_iC)-MIN(F_CardPayM,AF66+AF66*(D_iC)),AF66)</f>
        <v>0</v>
      </c>
      <c r="AH66" s="20" t="n">
        <f aca="false">IF(AG66&gt;PR_BalDone,AG66+AG66*(D_iC)-MIN(F_CardPayM,AG66+AG66*(D_iC)),AG66)</f>
        <v>0</v>
      </c>
      <c r="AI66" s="20" t="n">
        <f aca="false">IF(AH66&gt;PR_BalDone,AH66+AH66*(D_iC)-MIN(F_CardPayM,AH66+AH66*(D_iC)),AH66)</f>
        <v>0</v>
      </c>
      <c r="AJ66" s="20" t="n">
        <f aca="false">IF(AI66&gt;PR_BalDone,AI66+AI66*(D_iC)-MIN(F_CardPayM,AI66+AI66*(D_iC)),AI66)</f>
        <v>0</v>
      </c>
      <c r="AK66" s="20" t="n">
        <f aca="false">IF(AJ66&gt;PR_BalDone,AJ66+AJ66*(D_iC)-MIN(F_CardPayM,AJ66+AJ66*(D_iC)),AJ66)</f>
        <v>0</v>
      </c>
      <c r="AL66" s="20" t="n">
        <f aca="false">IF(AK66&gt;PR_BalDone,AK66+AK66*(D_iC)-MIN(F_CardPayM,AK66+AK66*(D_iC)),AK66)</f>
        <v>0</v>
      </c>
      <c r="AM66" s="20" t="n">
        <f aca="false">IF(AL66&gt;PR_BalDone,AL66+AL66*(D_iC)-MIN(F_CardPayM,AL66+AL66*(D_iC)),AL66)</f>
        <v>0</v>
      </c>
      <c r="AN66" s="20" t="n">
        <f aca="false">IF(AM66&gt;PR_BalDone,AM66+AM66*(D_iC)-MIN(F_CardPayM,AM66+AM66*(D_iC)),AM66)</f>
        <v>0</v>
      </c>
      <c r="AO66" s="20" t="n">
        <f aca="false">IF(AN66&gt;PR_BalDone,AN66+AN66*(D_iC)-MIN(F_CardPayM,AN66+AN66*(D_iC)),AN66)</f>
        <v>0</v>
      </c>
      <c r="AP66" s="20" t="n">
        <f aca="false">IF(AO66&gt;PR_BalDone,AO66+AO66*(D_iC)-MIN(F_CardPayM,AO66+AO66*(D_iC)),AO66)</f>
        <v>0</v>
      </c>
      <c r="AQ66" s="20" t="n">
        <f aca="false">IF(AD66&gt;PR_BalDone,MIN(F_CardPayM,AD66+AD66*(D_iC)),0)</f>
        <v>0</v>
      </c>
      <c r="AR66" s="20" t="n">
        <f aca="false">IF(AE66&gt;PR_BalDone,MIN(F_CardPayM,AE66+AE66*(D_iC)),0)</f>
        <v>0</v>
      </c>
      <c r="AS66" s="20" t="n">
        <f aca="false">IF(AF66&gt;PR_BalDone,MIN(F_CardPayM,AF66+AF66*(D_iC)),0)</f>
        <v>0</v>
      </c>
      <c r="AT66" s="20" t="n">
        <f aca="false">IF(AG66&gt;PR_BalDone,MIN(F_CardPayM,AG66+AG66*(D_iC)),0)</f>
        <v>0</v>
      </c>
      <c r="AU66" s="20" t="n">
        <f aca="false">IF(AH66&gt;PR_BalDone,MIN(F_CardPayM,AH66+AH66*(D_iC)),0)</f>
        <v>0</v>
      </c>
      <c r="AV66" s="20" t="n">
        <f aca="false">IF(AI66&gt;PR_BalDone,MIN(F_CardPayM,AI66+AI66*(D_iC)),0)</f>
        <v>0</v>
      </c>
      <c r="AW66" s="20" t="n">
        <f aca="false">IF(AJ66&gt;PR_BalDone,MIN(F_CardPayM,AJ66+AJ66*(D_iC)),0)</f>
        <v>0</v>
      </c>
      <c r="AX66" s="20" t="n">
        <f aca="false">IF(AK66&gt;PR_BalDone,MIN(F_CardPayM,AK66+AK66*(D_iC)),0)</f>
        <v>0</v>
      </c>
      <c r="AY66" s="20" t="n">
        <f aca="false">IF(AL66&gt;PR_BalDone,MIN(F_CardPayM,AL66+AL66*(D_iC)),0)</f>
        <v>0</v>
      </c>
      <c r="AZ66" s="20" t="n">
        <f aca="false">IF(AM66&gt;PR_BalDone,MIN(F_CardPayM,AM66+AM66*(D_iC)),0)</f>
        <v>0</v>
      </c>
      <c r="BA66" s="20" t="n">
        <f aca="false">IF(AN66&gt;PR_BalDone,MIN(F_CardPayM,AN66+AN66*(D_iC)),0)</f>
        <v>0</v>
      </c>
      <c r="BB66" s="20" t="n">
        <f aca="false">IF(AO66&gt;PR_BalDone,MIN(F_CardPayM,AO66+AO66*(D_iC)),0)</f>
        <v>0</v>
      </c>
      <c r="BC66" s="20" t="n">
        <f aca="false">MAX(0,AP66)</f>
        <v>0</v>
      </c>
      <c r="BD66" s="20" t="n">
        <f aca="false">SUM(AQ66:BB66)</f>
        <v>0</v>
      </c>
      <c r="BE66" s="20" t="n">
        <f aca="false">'Plan cashflow'!P66</f>
        <v>0</v>
      </c>
      <c r="BF66" s="20" t="n">
        <f aca="false">IF(BE66&gt;PR_BalDone,BE66+BE66*(D_iL)-MIN(F_LoanPayM,BE66+BE66*(D_iL)),BE66)</f>
        <v>0</v>
      </c>
      <c r="BG66" s="20" t="n">
        <f aca="false">IF(BF66&gt;PR_BalDone,BF66+BF66*(D_iL)-MIN(F_LoanPayM,BF66+BF66*(D_iL)),BF66)</f>
        <v>0</v>
      </c>
      <c r="BH66" s="20" t="n">
        <f aca="false">IF(BG66&gt;PR_BalDone,BG66+BG66*(D_iL)-MIN(F_LoanPayM,BG66+BG66*(D_iL)),BG66)</f>
        <v>0</v>
      </c>
      <c r="BI66" s="20" t="n">
        <f aca="false">IF(BH66&gt;PR_BalDone,BH66+BH66*(D_iL)-MIN(F_LoanPayM,BH66+BH66*(D_iL)),BH66)</f>
        <v>0</v>
      </c>
      <c r="BJ66" s="20" t="n">
        <f aca="false">IF(BI66&gt;PR_BalDone,BI66+BI66*(D_iL)-MIN(F_LoanPayM,BI66+BI66*(D_iL)),BI66)</f>
        <v>0</v>
      </c>
      <c r="BK66" s="20" t="n">
        <f aca="false">IF(BJ66&gt;PR_BalDone,BJ66+BJ66*(D_iL)-MIN(F_LoanPayM,BJ66+BJ66*(D_iL)),BJ66)</f>
        <v>0</v>
      </c>
      <c r="BL66" s="20" t="n">
        <f aca="false">IF(BK66&gt;PR_BalDone,BK66+BK66*(D_iL)-MIN(F_LoanPayM,BK66+BK66*(D_iL)),BK66)</f>
        <v>0</v>
      </c>
      <c r="BM66" s="20" t="n">
        <f aca="false">IF(BL66&gt;PR_BalDone,BL66+BL66*(D_iL)-MIN(F_LoanPayM,BL66+BL66*(D_iL)),BL66)</f>
        <v>0</v>
      </c>
      <c r="BN66" s="20" t="n">
        <f aca="false">IF(BM66&gt;PR_BalDone,BM66+BM66*(D_iL)-MIN(F_LoanPayM,BM66+BM66*(D_iL)),BM66)</f>
        <v>0</v>
      </c>
      <c r="BO66" s="20" t="n">
        <f aca="false">IF(BN66&gt;PR_BalDone,BN66+BN66*(D_iL)-MIN(F_LoanPayM,BN66+BN66*(D_iL)),BN66)</f>
        <v>0</v>
      </c>
      <c r="BP66" s="20" t="n">
        <f aca="false">IF(BO66&gt;PR_BalDone,BO66+BO66*(D_iL)-MIN(F_LoanPayM,BO66+BO66*(D_iL)),BO66)</f>
        <v>0</v>
      </c>
      <c r="BQ66" s="20" t="n">
        <f aca="false">IF(BP66&gt;PR_BalDone,BP66+BP66*(D_iL)-MIN(F_LoanPayM,BP66+BP66*(D_iL)),BP66)</f>
        <v>0</v>
      </c>
      <c r="BR66" s="20" t="n">
        <f aca="false">IF(BE66&gt;PR_BalDone,MIN(F_LoanPayM,BE66+BE66*(D_iL)),0)</f>
        <v>0</v>
      </c>
      <c r="BS66" s="20" t="n">
        <f aca="false">IF(BF66&gt;PR_BalDone,MIN(F_LoanPayM,BF66+BF66*(D_iL)),0)</f>
        <v>0</v>
      </c>
      <c r="BT66" s="20" t="n">
        <f aca="false">IF(BG66&gt;PR_BalDone,MIN(F_LoanPayM,BG66+BG66*(D_iL)),0)</f>
        <v>0</v>
      </c>
      <c r="BU66" s="20" t="n">
        <f aca="false">IF(BH66&gt;PR_BalDone,MIN(F_LoanPayM,BH66+BH66*(D_iL)),0)</f>
        <v>0</v>
      </c>
      <c r="BV66" s="20" t="n">
        <f aca="false">IF(BI66&gt;PR_BalDone,MIN(F_LoanPayM,BI66+BI66*(D_iL)),0)</f>
        <v>0</v>
      </c>
      <c r="BW66" s="20" t="n">
        <f aca="false">IF(BJ66&gt;PR_BalDone,MIN(F_LoanPayM,BJ66+BJ66*(D_iL)),0)</f>
        <v>0</v>
      </c>
      <c r="BX66" s="20" t="n">
        <f aca="false">IF(BK66&gt;PR_BalDone,MIN(F_LoanPayM,BK66+BK66*(D_iL)),0)</f>
        <v>0</v>
      </c>
      <c r="BY66" s="20" t="n">
        <f aca="false">IF(BL66&gt;PR_BalDone,MIN(F_LoanPayM,BL66+BL66*(D_iL)),0)</f>
        <v>0</v>
      </c>
      <c r="BZ66" s="20" t="n">
        <f aca="false">IF(BM66&gt;PR_BalDone,MIN(F_LoanPayM,BM66+BM66*(D_iL)),0)</f>
        <v>0</v>
      </c>
      <c r="CA66" s="20" t="n">
        <f aca="false">IF(BN66&gt;PR_BalDone,MIN(F_LoanPayM,BN66+BN66*(D_iL)),0)</f>
        <v>0</v>
      </c>
      <c r="CB66" s="20" t="n">
        <f aca="false">IF(BO66&gt;PR_BalDone,MIN(F_LoanPayM,BO66+BO66*(D_iL)),0)</f>
        <v>0</v>
      </c>
      <c r="CC66" s="20" t="n">
        <f aca="false">IF(BP66&gt;PR_BalDone,MIN(F_LoanPayM,BP66+BP66*(D_iL)),0)</f>
        <v>0</v>
      </c>
      <c r="CD66" s="20" t="n">
        <f aca="false">MAX(0,BQ66)</f>
        <v>0</v>
      </c>
      <c r="CE66" s="20" t="n">
        <f aca="false">SUM(BR66:CC66)</f>
        <v>0</v>
      </c>
      <c r="CF66" s="20" t="n">
        <f aca="false">IF(CF65&gt;1,DE65,CF65)</f>
        <v>0</v>
      </c>
      <c r="CG66" s="20" t="n">
        <f aca="false">IF(CF66&gt;PR_BalDone,CF66+CF66*(F_MR/12)-MIN(F_MortPayM,CF66+CF66*(F_MR/12)),CF66)</f>
        <v>0</v>
      </c>
      <c r="CH66" s="20" t="n">
        <f aca="false">IF(CG66&gt;PR_BalDone,CG66+CG66*(F_MR/12)-MIN(F_MortPayM,CG66+CG66*(F_MR/12)),CG66)</f>
        <v>0</v>
      </c>
      <c r="CI66" s="20" t="n">
        <f aca="false">IF(CH66&gt;PR_BalDone,CH66+CH66*(F_MR/12)-MIN(F_MortPayM,CH66+CH66*(F_MR/12)),CH66)</f>
        <v>0</v>
      </c>
      <c r="CJ66" s="20" t="n">
        <f aca="false">IF(CI66&gt;PR_BalDone,CI66+CI66*(F_MR/12)-MIN(F_MortPayM,CI66+CI66*(F_MR/12)),CI66)</f>
        <v>0</v>
      </c>
      <c r="CK66" s="20" t="n">
        <f aca="false">IF(CJ66&gt;PR_BalDone,CJ66+CJ66*(F_MR/12)-MIN(F_MortPayM,CJ66+CJ66*(F_MR/12)),CJ66)</f>
        <v>0</v>
      </c>
      <c r="CL66" s="20" t="n">
        <f aca="false">IF(CK66&gt;PR_BalDone,CK66+CK66*(F_MR/12)-MIN(F_MortPayM,CK66+CK66*(F_MR/12)),CK66)</f>
        <v>0</v>
      </c>
      <c r="CM66" s="20" t="n">
        <f aca="false">IF(CL66&gt;PR_BalDone,CL66+CL66*(F_MR/12)-MIN(F_MortPayM,CL66+CL66*(F_MR/12)),CL66)</f>
        <v>0</v>
      </c>
      <c r="CN66" s="20" t="n">
        <f aca="false">IF(CM66&gt;PR_BalDone,CM66+CM66*(F_MR/12)-MIN(F_MortPayM,CM66+CM66*(F_MR/12)),CM66)</f>
        <v>0</v>
      </c>
      <c r="CO66" s="20" t="n">
        <f aca="false">IF(CN66&gt;PR_BalDone,CN66+CN66*(F_MR/12)-MIN(F_MortPayM,CN66+CN66*(F_MR/12)),CN66)</f>
        <v>0</v>
      </c>
      <c r="CP66" s="20" t="n">
        <f aca="false">IF(CO66&gt;PR_BalDone,CO66+CO66*(F_MR/12)-MIN(F_MortPayM,CO66+CO66*(F_MR/12)),CO66)</f>
        <v>0</v>
      </c>
      <c r="CQ66" s="20" t="n">
        <f aca="false">IF(CP66&gt;PR_BalDone,CP66+CP66*(F_MR/12)-MIN(F_MortPayM,CP66+CP66*(F_MR/12)),CP66)</f>
        <v>0</v>
      </c>
      <c r="CR66" s="20" t="n">
        <f aca="false">IF(CQ66&gt;PR_BalDone,CQ66+CQ66*(F_MR/12)-MIN(F_MortPayM,CQ66+CQ66*(F_MR/12)),CQ66)</f>
        <v>0</v>
      </c>
      <c r="CS66" s="20" t="n">
        <f aca="false">IF(CF66&gt;PR_BalDone,MIN(F_MortPayM,CF66+CF66*(F_MR/12)),0)</f>
        <v>0</v>
      </c>
      <c r="CT66" s="20" t="n">
        <f aca="false">IF(CG66&gt;PR_BalDone,MIN(F_MortPayM,CG66+CG66*(F_MR/12)),0)</f>
        <v>0</v>
      </c>
      <c r="CU66" s="20" t="n">
        <f aca="false">IF(CH66&gt;PR_BalDone,MIN(F_MortPayM,CH66+CH66*(F_MR/12)),0)</f>
        <v>0</v>
      </c>
      <c r="CV66" s="20" t="n">
        <f aca="false">IF(CI66&gt;PR_BalDone,MIN(F_MortPayM,CI66+CI66*(F_MR/12)),0)</f>
        <v>0</v>
      </c>
      <c r="CW66" s="20" t="n">
        <f aca="false">IF(CJ66&gt;PR_BalDone,MIN(F_MortPayM,CJ66+CJ66*(F_MR/12)),0)</f>
        <v>0</v>
      </c>
      <c r="CX66" s="20" t="n">
        <f aca="false">IF(CK66&gt;PR_BalDone,MIN(F_MortPayM,CK66+CK66*(F_MR/12)),0)</f>
        <v>0</v>
      </c>
      <c r="CY66" s="20" t="n">
        <f aca="false">IF(CL66&gt;PR_BalDone,MIN(F_MortPayM,CL66+CL66*(F_MR/12)),0)</f>
        <v>0</v>
      </c>
      <c r="CZ66" s="20" t="n">
        <f aca="false">IF(CM66&gt;PR_BalDone,MIN(F_MortPayM,CM66+CM66*(F_MR/12)),0)</f>
        <v>0</v>
      </c>
      <c r="DA66" s="20" t="n">
        <f aca="false">IF(CN66&gt;PR_BalDone,MIN(F_MortPayM,CN66+CN66*(F_MR/12)),0)</f>
        <v>0</v>
      </c>
      <c r="DB66" s="20" t="n">
        <f aca="false">IF(CO66&gt;PR_BalDone,MIN(F_MortPayM,CO66+CO66*(F_MR/12)),0)</f>
        <v>0</v>
      </c>
      <c r="DC66" s="20" t="n">
        <f aca="false">IF(CP66&gt;PR_BalDone,MIN(F_MortPayM,CP66+CP66*(F_MR/12)),0)</f>
        <v>0</v>
      </c>
      <c r="DD66" s="20" t="n">
        <f aca="false">IF(CQ66&gt;PR_BalDone,MIN(F_MortPayM,CQ66+CQ66*(F_MR/12)),0)</f>
        <v>0</v>
      </c>
      <c r="DE66" s="20" t="n">
        <f aca="false">MAX(0,CR66)</f>
        <v>0</v>
      </c>
      <c r="DF66" s="20" t="n">
        <f aca="false">SUM(CS66:DD66)</f>
        <v>0</v>
      </c>
      <c r="DG66" s="20" t="n">
        <f aca="false">MAX(0,CF66)</f>
        <v>0</v>
      </c>
    </row>
    <row r="67" customFormat="false" ht="15" hidden="false" customHeight="true" outlineLevel="0" collapsed="false">
      <c r="B67" s="20" t="n">
        <v>59</v>
      </c>
      <c r="C67" s="20" t="n">
        <f aca="false">'Plan cashflow'!J67</f>
        <v>0</v>
      </c>
      <c r="D67" s="20" t="n">
        <f aca="false">IF(C67&gt;PR_BalDone,C67+C67*(F_MR/12)-MIN(F_MortPayM,C67+C67*(F_MR/12)),C67)</f>
        <v>0</v>
      </c>
      <c r="E67" s="20" t="n">
        <f aca="false">IF(D67&gt;PR_BalDone,D67+D67*(F_MR/12)-MIN(F_MortPayM,D67+D67*(F_MR/12)),D67)</f>
        <v>0</v>
      </c>
      <c r="F67" s="20" t="n">
        <f aca="false">IF(E67&gt;PR_BalDone,E67+E67*(F_MR/12)-MIN(F_MortPayM,E67+E67*(F_MR/12)),E67)</f>
        <v>0</v>
      </c>
      <c r="G67" s="20" t="n">
        <f aca="false">IF(F67&gt;PR_BalDone,F67+F67*(F_MR/12)-MIN(F_MortPayM,F67+F67*(F_MR/12)),F67)</f>
        <v>0</v>
      </c>
      <c r="H67" s="20" t="n">
        <f aca="false">IF(G67&gt;PR_BalDone,G67+G67*(F_MR/12)-MIN(F_MortPayM,G67+G67*(F_MR/12)),G67)</f>
        <v>0</v>
      </c>
      <c r="I67" s="20" t="n">
        <f aca="false">IF(H67&gt;PR_BalDone,H67+H67*(F_MR/12)-MIN(F_MortPayM,H67+H67*(F_MR/12)),H67)</f>
        <v>0</v>
      </c>
      <c r="J67" s="20" t="n">
        <f aca="false">IF(I67&gt;PR_BalDone,I67+I67*(F_MR/12)-MIN(F_MortPayM,I67+I67*(F_MR/12)),I67)</f>
        <v>0</v>
      </c>
      <c r="K67" s="20" t="n">
        <f aca="false">IF(J67&gt;PR_BalDone,J67+J67*(F_MR/12)-MIN(F_MortPayM,J67+J67*(F_MR/12)),J67)</f>
        <v>0</v>
      </c>
      <c r="L67" s="20" t="n">
        <f aca="false">IF(K67&gt;PR_BalDone,K67+K67*(F_MR/12)-MIN(F_MortPayM,K67+K67*(F_MR/12)),K67)</f>
        <v>0</v>
      </c>
      <c r="M67" s="20" t="n">
        <f aca="false">IF(L67&gt;PR_BalDone,L67+L67*(F_MR/12)-MIN(F_MortPayM,L67+L67*(F_MR/12)),L67)</f>
        <v>0</v>
      </c>
      <c r="N67" s="20" t="n">
        <f aca="false">IF(M67&gt;PR_BalDone,M67+M67*(F_MR/12)-MIN(F_MortPayM,M67+M67*(F_MR/12)),M67)</f>
        <v>0</v>
      </c>
      <c r="O67" s="20" t="n">
        <f aca="false">IF(N67&gt;PR_BalDone,N67+N67*(F_MR/12)-MIN(F_MortPayM,N67+N67*(F_MR/12)),N67)</f>
        <v>0</v>
      </c>
      <c r="P67" s="20" t="n">
        <f aca="false">IF(C67&gt;PR_BalDone,MIN(F_MortPayM,C67+C67*(F_MR/12)),0)</f>
        <v>0</v>
      </c>
      <c r="Q67" s="20" t="n">
        <f aca="false">IF(D67&gt;PR_BalDone,MIN(F_MortPayM,D67+D67*(F_MR/12)),0)</f>
        <v>0</v>
      </c>
      <c r="R67" s="20" t="n">
        <f aca="false">IF(E67&gt;PR_BalDone,MIN(F_MortPayM,E67+E67*(F_MR/12)),0)</f>
        <v>0</v>
      </c>
      <c r="S67" s="20" t="n">
        <f aca="false">IF(F67&gt;PR_BalDone,MIN(F_MortPayM,F67+F67*(F_MR/12)),0)</f>
        <v>0</v>
      </c>
      <c r="T67" s="20" t="n">
        <f aca="false">IF(G67&gt;PR_BalDone,MIN(F_MortPayM,G67+G67*(F_MR/12)),0)</f>
        <v>0</v>
      </c>
      <c r="U67" s="20" t="n">
        <f aca="false">IF(H67&gt;PR_BalDone,MIN(F_MortPayM,H67+H67*(F_MR/12)),0)</f>
        <v>0</v>
      </c>
      <c r="V67" s="20" t="n">
        <f aca="false">IF(I67&gt;PR_BalDone,MIN(F_MortPayM,I67+I67*(F_MR/12)),0)</f>
        <v>0</v>
      </c>
      <c r="W67" s="20" t="n">
        <f aca="false">IF(J67&gt;PR_BalDone,MIN(F_MortPayM,J67+J67*(F_MR/12)),0)</f>
        <v>0</v>
      </c>
      <c r="X67" s="20" t="n">
        <f aca="false">IF(K67&gt;PR_BalDone,MIN(F_MortPayM,K67+K67*(F_MR/12)),0)</f>
        <v>0</v>
      </c>
      <c r="Y67" s="20" t="n">
        <f aca="false">IF(L67&gt;PR_BalDone,MIN(F_MortPayM,L67+L67*(F_MR/12)),0)</f>
        <v>0</v>
      </c>
      <c r="Z67" s="20" t="n">
        <f aca="false">IF(M67&gt;PR_BalDone,MIN(F_MortPayM,M67+M67*(F_MR/12)),0)</f>
        <v>0</v>
      </c>
      <c r="AA67" s="20" t="n">
        <f aca="false">IF(N67&gt;PR_BalDone,MIN(F_MortPayM,N67+N67*(F_MR/12)),0)</f>
        <v>0</v>
      </c>
      <c r="AB67" s="20" t="n">
        <f aca="false">MAX(0,O67)</f>
        <v>0</v>
      </c>
      <c r="AC67" s="20" t="n">
        <f aca="false">SUM(P67:AA67)</f>
        <v>0</v>
      </c>
      <c r="AD67" s="20" t="n">
        <f aca="false">'Plan cashflow'!M67</f>
        <v>0</v>
      </c>
      <c r="AE67" s="20" t="n">
        <f aca="false">IF(AD67&gt;PR_BalDone,AD67+AD67*(D_iC)-MIN(F_CardPayM,AD67+AD67*(D_iC)),AD67)</f>
        <v>0</v>
      </c>
      <c r="AF67" s="20" t="n">
        <f aca="false">IF(AE67&gt;PR_BalDone,AE67+AE67*(D_iC)-MIN(F_CardPayM,AE67+AE67*(D_iC)),AE67)</f>
        <v>0</v>
      </c>
      <c r="AG67" s="20" t="n">
        <f aca="false">IF(AF67&gt;PR_BalDone,AF67+AF67*(D_iC)-MIN(F_CardPayM,AF67+AF67*(D_iC)),AF67)</f>
        <v>0</v>
      </c>
      <c r="AH67" s="20" t="n">
        <f aca="false">IF(AG67&gt;PR_BalDone,AG67+AG67*(D_iC)-MIN(F_CardPayM,AG67+AG67*(D_iC)),AG67)</f>
        <v>0</v>
      </c>
      <c r="AI67" s="20" t="n">
        <f aca="false">IF(AH67&gt;PR_BalDone,AH67+AH67*(D_iC)-MIN(F_CardPayM,AH67+AH67*(D_iC)),AH67)</f>
        <v>0</v>
      </c>
      <c r="AJ67" s="20" t="n">
        <f aca="false">IF(AI67&gt;PR_BalDone,AI67+AI67*(D_iC)-MIN(F_CardPayM,AI67+AI67*(D_iC)),AI67)</f>
        <v>0</v>
      </c>
      <c r="AK67" s="20" t="n">
        <f aca="false">IF(AJ67&gt;PR_BalDone,AJ67+AJ67*(D_iC)-MIN(F_CardPayM,AJ67+AJ67*(D_iC)),AJ67)</f>
        <v>0</v>
      </c>
      <c r="AL67" s="20" t="n">
        <f aca="false">IF(AK67&gt;PR_BalDone,AK67+AK67*(D_iC)-MIN(F_CardPayM,AK67+AK67*(D_iC)),AK67)</f>
        <v>0</v>
      </c>
      <c r="AM67" s="20" t="n">
        <f aca="false">IF(AL67&gt;PR_BalDone,AL67+AL67*(D_iC)-MIN(F_CardPayM,AL67+AL67*(D_iC)),AL67)</f>
        <v>0</v>
      </c>
      <c r="AN67" s="20" t="n">
        <f aca="false">IF(AM67&gt;PR_BalDone,AM67+AM67*(D_iC)-MIN(F_CardPayM,AM67+AM67*(D_iC)),AM67)</f>
        <v>0</v>
      </c>
      <c r="AO67" s="20" t="n">
        <f aca="false">IF(AN67&gt;PR_BalDone,AN67+AN67*(D_iC)-MIN(F_CardPayM,AN67+AN67*(D_iC)),AN67)</f>
        <v>0</v>
      </c>
      <c r="AP67" s="20" t="n">
        <f aca="false">IF(AO67&gt;PR_BalDone,AO67+AO67*(D_iC)-MIN(F_CardPayM,AO67+AO67*(D_iC)),AO67)</f>
        <v>0</v>
      </c>
      <c r="AQ67" s="20" t="n">
        <f aca="false">IF(AD67&gt;PR_BalDone,MIN(F_CardPayM,AD67+AD67*(D_iC)),0)</f>
        <v>0</v>
      </c>
      <c r="AR67" s="20" t="n">
        <f aca="false">IF(AE67&gt;PR_BalDone,MIN(F_CardPayM,AE67+AE67*(D_iC)),0)</f>
        <v>0</v>
      </c>
      <c r="AS67" s="20" t="n">
        <f aca="false">IF(AF67&gt;PR_BalDone,MIN(F_CardPayM,AF67+AF67*(D_iC)),0)</f>
        <v>0</v>
      </c>
      <c r="AT67" s="20" t="n">
        <f aca="false">IF(AG67&gt;PR_BalDone,MIN(F_CardPayM,AG67+AG67*(D_iC)),0)</f>
        <v>0</v>
      </c>
      <c r="AU67" s="20" t="n">
        <f aca="false">IF(AH67&gt;PR_BalDone,MIN(F_CardPayM,AH67+AH67*(D_iC)),0)</f>
        <v>0</v>
      </c>
      <c r="AV67" s="20" t="n">
        <f aca="false">IF(AI67&gt;PR_BalDone,MIN(F_CardPayM,AI67+AI67*(D_iC)),0)</f>
        <v>0</v>
      </c>
      <c r="AW67" s="20" t="n">
        <f aca="false">IF(AJ67&gt;PR_BalDone,MIN(F_CardPayM,AJ67+AJ67*(D_iC)),0)</f>
        <v>0</v>
      </c>
      <c r="AX67" s="20" t="n">
        <f aca="false">IF(AK67&gt;PR_BalDone,MIN(F_CardPayM,AK67+AK67*(D_iC)),0)</f>
        <v>0</v>
      </c>
      <c r="AY67" s="20" t="n">
        <f aca="false">IF(AL67&gt;PR_BalDone,MIN(F_CardPayM,AL67+AL67*(D_iC)),0)</f>
        <v>0</v>
      </c>
      <c r="AZ67" s="20" t="n">
        <f aca="false">IF(AM67&gt;PR_BalDone,MIN(F_CardPayM,AM67+AM67*(D_iC)),0)</f>
        <v>0</v>
      </c>
      <c r="BA67" s="20" t="n">
        <f aca="false">IF(AN67&gt;PR_BalDone,MIN(F_CardPayM,AN67+AN67*(D_iC)),0)</f>
        <v>0</v>
      </c>
      <c r="BB67" s="20" t="n">
        <f aca="false">IF(AO67&gt;PR_BalDone,MIN(F_CardPayM,AO67+AO67*(D_iC)),0)</f>
        <v>0</v>
      </c>
      <c r="BC67" s="20" t="n">
        <f aca="false">MAX(0,AP67)</f>
        <v>0</v>
      </c>
      <c r="BD67" s="20" t="n">
        <f aca="false">SUM(AQ67:BB67)</f>
        <v>0</v>
      </c>
      <c r="BE67" s="20" t="n">
        <f aca="false">'Plan cashflow'!P67</f>
        <v>0</v>
      </c>
      <c r="BF67" s="20" t="n">
        <f aca="false">IF(BE67&gt;PR_BalDone,BE67+BE67*(D_iL)-MIN(F_LoanPayM,BE67+BE67*(D_iL)),BE67)</f>
        <v>0</v>
      </c>
      <c r="BG67" s="20" t="n">
        <f aca="false">IF(BF67&gt;PR_BalDone,BF67+BF67*(D_iL)-MIN(F_LoanPayM,BF67+BF67*(D_iL)),BF67)</f>
        <v>0</v>
      </c>
      <c r="BH67" s="20" t="n">
        <f aca="false">IF(BG67&gt;PR_BalDone,BG67+BG67*(D_iL)-MIN(F_LoanPayM,BG67+BG67*(D_iL)),BG67)</f>
        <v>0</v>
      </c>
      <c r="BI67" s="20" t="n">
        <f aca="false">IF(BH67&gt;PR_BalDone,BH67+BH67*(D_iL)-MIN(F_LoanPayM,BH67+BH67*(D_iL)),BH67)</f>
        <v>0</v>
      </c>
      <c r="BJ67" s="20" t="n">
        <f aca="false">IF(BI67&gt;PR_BalDone,BI67+BI67*(D_iL)-MIN(F_LoanPayM,BI67+BI67*(D_iL)),BI67)</f>
        <v>0</v>
      </c>
      <c r="BK67" s="20" t="n">
        <f aca="false">IF(BJ67&gt;PR_BalDone,BJ67+BJ67*(D_iL)-MIN(F_LoanPayM,BJ67+BJ67*(D_iL)),BJ67)</f>
        <v>0</v>
      </c>
      <c r="BL67" s="20" t="n">
        <f aca="false">IF(BK67&gt;PR_BalDone,BK67+BK67*(D_iL)-MIN(F_LoanPayM,BK67+BK67*(D_iL)),BK67)</f>
        <v>0</v>
      </c>
      <c r="BM67" s="20" t="n">
        <f aca="false">IF(BL67&gt;PR_BalDone,BL67+BL67*(D_iL)-MIN(F_LoanPayM,BL67+BL67*(D_iL)),BL67)</f>
        <v>0</v>
      </c>
      <c r="BN67" s="20" t="n">
        <f aca="false">IF(BM67&gt;PR_BalDone,BM67+BM67*(D_iL)-MIN(F_LoanPayM,BM67+BM67*(D_iL)),BM67)</f>
        <v>0</v>
      </c>
      <c r="BO67" s="20" t="n">
        <f aca="false">IF(BN67&gt;PR_BalDone,BN67+BN67*(D_iL)-MIN(F_LoanPayM,BN67+BN67*(D_iL)),BN67)</f>
        <v>0</v>
      </c>
      <c r="BP67" s="20" t="n">
        <f aca="false">IF(BO67&gt;PR_BalDone,BO67+BO67*(D_iL)-MIN(F_LoanPayM,BO67+BO67*(D_iL)),BO67)</f>
        <v>0</v>
      </c>
      <c r="BQ67" s="20" t="n">
        <f aca="false">IF(BP67&gt;PR_BalDone,BP67+BP67*(D_iL)-MIN(F_LoanPayM,BP67+BP67*(D_iL)),BP67)</f>
        <v>0</v>
      </c>
      <c r="BR67" s="20" t="n">
        <f aca="false">IF(BE67&gt;PR_BalDone,MIN(F_LoanPayM,BE67+BE67*(D_iL)),0)</f>
        <v>0</v>
      </c>
      <c r="BS67" s="20" t="n">
        <f aca="false">IF(BF67&gt;PR_BalDone,MIN(F_LoanPayM,BF67+BF67*(D_iL)),0)</f>
        <v>0</v>
      </c>
      <c r="BT67" s="20" t="n">
        <f aca="false">IF(BG67&gt;PR_BalDone,MIN(F_LoanPayM,BG67+BG67*(D_iL)),0)</f>
        <v>0</v>
      </c>
      <c r="BU67" s="20" t="n">
        <f aca="false">IF(BH67&gt;PR_BalDone,MIN(F_LoanPayM,BH67+BH67*(D_iL)),0)</f>
        <v>0</v>
      </c>
      <c r="BV67" s="20" t="n">
        <f aca="false">IF(BI67&gt;PR_BalDone,MIN(F_LoanPayM,BI67+BI67*(D_iL)),0)</f>
        <v>0</v>
      </c>
      <c r="BW67" s="20" t="n">
        <f aca="false">IF(BJ67&gt;PR_BalDone,MIN(F_LoanPayM,BJ67+BJ67*(D_iL)),0)</f>
        <v>0</v>
      </c>
      <c r="BX67" s="20" t="n">
        <f aca="false">IF(BK67&gt;PR_BalDone,MIN(F_LoanPayM,BK67+BK67*(D_iL)),0)</f>
        <v>0</v>
      </c>
      <c r="BY67" s="20" t="n">
        <f aca="false">IF(BL67&gt;PR_BalDone,MIN(F_LoanPayM,BL67+BL67*(D_iL)),0)</f>
        <v>0</v>
      </c>
      <c r="BZ67" s="20" t="n">
        <f aca="false">IF(BM67&gt;PR_BalDone,MIN(F_LoanPayM,BM67+BM67*(D_iL)),0)</f>
        <v>0</v>
      </c>
      <c r="CA67" s="20" t="n">
        <f aca="false">IF(BN67&gt;PR_BalDone,MIN(F_LoanPayM,BN67+BN67*(D_iL)),0)</f>
        <v>0</v>
      </c>
      <c r="CB67" s="20" t="n">
        <f aca="false">IF(BO67&gt;PR_BalDone,MIN(F_LoanPayM,BO67+BO67*(D_iL)),0)</f>
        <v>0</v>
      </c>
      <c r="CC67" s="20" t="n">
        <f aca="false">IF(BP67&gt;PR_BalDone,MIN(F_LoanPayM,BP67+BP67*(D_iL)),0)</f>
        <v>0</v>
      </c>
      <c r="CD67" s="20" t="n">
        <f aca="false">MAX(0,BQ67)</f>
        <v>0</v>
      </c>
      <c r="CE67" s="20" t="n">
        <f aca="false">SUM(BR67:CC67)</f>
        <v>0</v>
      </c>
      <c r="CF67" s="20" t="n">
        <f aca="false">IF(CF66&gt;1,DE66,CF66)</f>
        <v>0</v>
      </c>
      <c r="CG67" s="20" t="n">
        <f aca="false">IF(CF67&gt;PR_BalDone,CF67+CF67*(F_MR/12)-MIN(F_MortPayM,CF67+CF67*(F_MR/12)),CF67)</f>
        <v>0</v>
      </c>
      <c r="CH67" s="20" t="n">
        <f aca="false">IF(CG67&gt;PR_BalDone,CG67+CG67*(F_MR/12)-MIN(F_MortPayM,CG67+CG67*(F_MR/12)),CG67)</f>
        <v>0</v>
      </c>
      <c r="CI67" s="20" t="n">
        <f aca="false">IF(CH67&gt;PR_BalDone,CH67+CH67*(F_MR/12)-MIN(F_MortPayM,CH67+CH67*(F_MR/12)),CH67)</f>
        <v>0</v>
      </c>
      <c r="CJ67" s="20" t="n">
        <f aca="false">IF(CI67&gt;PR_BalDone,CI67+CI67*(F_MR/12)-MIN(F_MortPayM,CI67+CI67*(F_MR/12)),CI67)</f>
        <v>0</v>
      </c>
      <c r="CK67" s="20" t="n">
        <f aca="false">IF(CJ67&gt;PR_BalDone,CJ67+CJ67*(F_MR/12)-MIN(F_MortPayM,CJ67+CJ67*(F_MR/12)),CJ67)</f>
        <v>0</v>
      </c>
      <c r="CL67" s="20" t="n">
        <f aca="false">IF(CK67&gt;PR_BalDone,CK67+CK67*(F_MR/12)-MIN(F_MortPayM,CK67+CK67*(F_MR/12)),CK67)</f>
        <v>0</v>
      </c>
      <c r="CM67" s="20" t="n">
        <f aca="false">IF(CL67&gt;PR_BalDone,CL67+CL67*(F_MR/12)-MIN(F_MortPayM,CL67+CL67*(F_MR/12)),CL67)</f>
        <v>0</v>
      </c>
      <c r="CN67" s="20" t="n">
        <f aca="false">IF(CM67&gt;PR_BalDone,CM67+CM67*(F_MR/12)-MIN(F_MortPayM,CM67+CM67*(F_MR/12)),CM67)</f>
        <v>0</v>
      </c>
      <c r="CO67" s="20" t="n">
        <f aca="false">IF(CN67&gt;PR_BalDone,CN67+CN67*(F_MR/12)-MIN(F_MortPayM,CN67+CN67*(F_MR/12)),CN67)</f>
        <v>0</v>
      </c>
      <c r="CP67" s="20" t="n">
        <f aca="false">IF(CO67&gt;PR_BalDone,CO67+CO67*(F_MR/12)-MIN(F_MortPayM,CO67+CO67*(F_MR/12)),CO67)</f>
        <v>0</v>
      </c>
      <c r="CQ67" s="20" t="n">
        <f aca="false">IF(CP67&gt;PR_BalDone,CP67+CP67*(F_MR/12)-MIN(F_MortPayM,CP67+CP67*(F_MR/12)),CP67)</f>
        <v>0</v>
      </c>
      <c r="CR67" s="20" t="n">
        <f aca="false">IF(CQ67&gt;PR_BalDone,CQ67+CQ67*(F_MR/12)-MIN(F_MortPayM,CQ67+CQ67*(F_MR/12)),CQ67)</f>
        <v>0</v>
      </c>
      <c r="CS67" s="20" t="n">
        <f aca="false">IF(CF67&gt;PR_BalDone,MIN(F_MortPayM,CF67+CF67*(F_MR/12)),0)</f>
        <v>0</v>
      </c>
      <c r="CT67" s="20" t="n">
        <f aca="false">IF(CG67&gt;PR_BalDone,MIN(F_MortPayM,CG67+CG67*(F_MR/12)),0)</f>
        <v>0</v>
      </c>
      <c r="CU67" s="20" t="n">
        <f aca="false">IF(CH67&gt;PR_BalDone,MIN(F_MortPayM,CH67+CH67*(F_MR/12)),0)</f>
        <v>0</v>
      </c>
      <c r="CV67" s="20" t="n">
        <f aca="false">IF(CI67&gt;PR_BalDone,MIN(F_MortPayM,CI67+CI67*(F_MR/12)),0)</f>
        <v>0</v>
      </c>
      <c r="CW67" s="20" t="n">
        <f aca="false">IF(CJ67&gt;PR_BalDone,MIN(F_MortPayM,CJ67+CJ67*(F_MR/12)),0)</f>
        <v>0</v>
      </c>
      <c r="CX67" s="20" t="n">
        <f aca="false">IF(CK67&gt;PR_BalDone,MIN(F_MortPayM,CK67+CK67*(F_MR/12)),0)</f>
        <v>0</v>
      </c>
      <c r="CY67" s="20" t="n">
        <f aca="false">IF(CL67&gt;PR_BalDone,MIN(F_MortPayM,CL67+CL67*(F_MR/12)),0)</f>
        <v>0</v>
      </c>
      <c r="CZ67" s="20" t="n">
        <f aca="false">IF(CM67&gt;PR_BalDone,MIN(F_MortPayM,CM67+CM67*(F_MR/12)),0)</f>
        <v>0</v>
      </c>
      <c r="DA67" s="20" t="n">
        <f aca="false">IF(CN67&gt;PR_BalDone,MIN(F_MortPayM,CN67+CN67*(F_MR/12)),0)</f>
        <v>0</v>
      </c>
      <c r="DB67" s="20" t="n">
        <f aca="false">IF(CO67&gt;PR_BalDone,MIN(F_MortPayM,CO67+CO67*(F_MR/12)),0)</f>
        <v>0</v>
      </c>
      <c r="DC67" s="20" t="n">
        <f aca="false">IF(CP67&gt;PR_BalDone,MIN(F_MortPayM,CP67+CP67*(F_MR/12)),0)</f>
        <v>0</v>
      </c>
      <c r="DD67" s="20" t="n">
        <f aca="false">IF(CQ67&gt;PR_BalDone,MIN(F_MortPayM,CQ67+CQ67*(F_MR/12)),0)</f>
        <v>0</v>
      </c>
      <c r="DE67" s="20" t="n">
        <f aca="false">MAX(0,CR67)</f>
        <v>0</v>
      </c>
      <c r="DF67" s="20" t="n">
        <f aca="false">SUM(CS67:DD67)</f>
        <v>0</v>
      </c>
      <c r="DG67" s="20" t="n">
        <f aca="false">MAX(0,CF67)</f>
        <v>0</v>
      </c>
    </row>
    <row r="68" customFormat="false" ht="15" hidden="false" customHeight="true" outlineLevel="0" collapsed="false">
      <c r="B68" s="20" t="n">
        <v>60</v>
      </c>
      <c r="C68" s="20" t="n">
        <f aca="false">'Plan cashflow'!J68</f>
        <v>0</v>
      </c>
      <c r="D68" s="20" t="n">
        <f aca="false">IF(C68&gt;PR_BalDone,C68+C68*(F_MR/12)-MIN(F_MortPayM,C68+C68*(F_MR/12)),C68)</f>
        <v>0</v>
      </c>
      <c r="E68" s="20" t="n">
        <f aca="false">IF(D68&gt;PR_BalDone,D68+D68*(F_MR/12)-MIN(F_MortPayM,D68+D68*(F_MR/12)),D68)</f>
        <v>0</v>
      </c>
      <c r="F68" s="20" t="n">
        <f aca="false">IF(E68&gt;PR_BalDone,E68+E68*(F_MR/12)-MIN(F_MortPayM,E68+E68*(F_MR/12)),E68)</f>
        <v>0</v>
      </c>
      <c r="G68" s="20" t="n">
        <f aca="false">IF(F68&gt;PR_BalDone,F68+F68*(F_MR/12)-MIN(F_MortPayM,F68+F68*(F_MR/12)),F68)</f>
        <v>0</v>
      </c>
      <c r="H68" s="20" t="n">
        <f aca="false">IF(G68&gt;PR_BalDone,G68+G68*(F_MR/12)-MIN(F_MortPayM,G68+G68*(F_MR/12)),G68)</f>
        <v>0</v>
      </c>
      <c r="I68" s="20" t="n">
        <f aca="false">IF(H68&gt;PR_BalDone,H68+H68*(F_MR/12)-MIN(F_MortPayM,H68+H68*(F_MR/12)),H68)</f>
        <v>0</v>
      </c>
      <c r="J68" s="20" t="n">
        <f aca="false">IF(I68&gt;PR_BalDone,I68+I68*(F_MR/12)-MIN(F_MortPayM,I68+I68*(F_MR/12)),I68)</f>
        <v>0</v>
      </c>
      <c r="K68" s="20" t="n">
        <f aca="false">IF(J68&gt;PR_BalDone,J68+J68*(F_MR/12)-MIN(F_MortPayM,J68+J68*(F_MR/12)),J68)</f>
        <v>0</v>
      </c>
      <c r="L68" s="20" t="n">
        <f aca="false">IF(K68&gt;PR_BalDone,K68+K68*(F_MR/12)-MIN(F_MortPayM,K68+K68*(F_MR/12)),K68)</f>
        <v>0</v>
      </c>
      <c r="M68" s="20" t="n">
        <f aca="false">IF(L68&gt;PR_BalDone,L68+L68*(F_MR/12)-MIN(F_MortPayM,L68+L68*(F_MR/12)),L68)</f>
        <v>0</v>
      </c>
      <c r="N68" s="20" t="n">
        <f aca="false">IF(M68&gt;PR_BalDone,M68+M68*(F_MR/12)-MIN(F_MortPayM,M68+M68*(F_MR/12)),M68)</f>
        <v>0</v>
      </c>
      <c r="O68" s="20" t="n">
        <f aca="false">IF(N68&gt;PR_BalDone,N68+N68*(F_MR/12)-MIN(F_MortPayM,N68+N68*(F_MR/12)),N68)</f>
        <v>0</v>
      </c>
      <c r="P68" s="20" t="n">
        <f aca="false">IF(C68&gt;PR_BalDone,MIN(F_MortPayM,C68+C68*(F_MR/12)),0)</f>
        <v>0</v>
      </c>
      <c r="Q68" s="20" t="n">
        <f aca="false">IF(D68&gt;PR_BalDone,MIN(F_MortPayM,D68+D68*(F_MR/12)),0)</f>
        <v>0</v>
      </c>
      <c r="R68" s="20" t="n">
        <f aca="false">IF(E68&gt;PR_BalDone,MIN(F_MortPayM,E68+E68*(F_MR/12)),0)</f>
        <v>0</v>
      </c>
      <c r="S68" s="20" t="n">
        <f aca="false">IF(F68&gt;PR_BalDone,MIN(F_MortPayM,F68+F68*(F_MR/12)),0)</f>
        <v>0</v>
      </c>
      <c r="T68" s="20" t="n">
        <f aca="false">IF(G68&gt;PR_BalDone,MIN(F_MortPayM,G68+G68*(F_MR/12)),0)</f>
        <v>0</v>
      </c>
      <c r="U68" s="20" t="n">
        <f aca="false">IF(H68&gt;PR_BalDone,MIN(F_MortPayM,H68+H68*(F_MR/12)),0)</f>
        <v>0</v>
      </c>
      <c r="V68" s="20" t="n">
        <f aca="false">IF(I68&gt;PR_BalDone,MIN(F_MortPayM,I68+I68*(F_MR/12)),0)</f>
        <v>0</v>
      </c>
      <c r="W68" s="20" t="n">
        <f aca="false">IF(J68&gt;PR_BalDone,MIN(F_MortPayM,J68+J68*(F_MR/12)),0)</f>
        <v>0</v>
      </c>
      <c r="X68" s="20" t="n">
        <f aca="false">IF(K68&gt;PR_BalDone,MIN(F_MortPayM,K68+K68*(F_MR/12)),0)</f>
        <v>0</v>
      </c>
      <c r="Y68" s="20" t="n">
        <f aca="false">IF(L68&gt;PR_BalDone,MIN(F_MortPayM,L68+L68*(F_MR/12)),0)</f>
        <v>0</v>
      </c>
      <c r="Z68" s="20" t="n">
        <f aca="false">IF(M68&gt;PR_BalDone,MIN(F_MortPayM,M68+M68*(F_MR/12)),0)</f>
        <v>0</v>
      </c>
      <c r="AA68" s="20" t="n">
        <f aca="false">IF(N68&gt;PR_BalDone,MIN(F_MortPayM,N68+N68*(F_MR/12)),0)</f>
        <v>0</v>
      </c>
      <c r="AB68" s="20" t="n">
        <f aca="false">MAX(0,O68)</f>
        <v>0</v>
      </c>
      <c r="AC68" s="20" t="n">
        <f aca="false">SUM(P68:AA68)</f>
        <v>0</v>
      </c>
      <c r="AD68" s="20" t="n">
        <f aca="false">'Plan cashflow'!M68</f>
        <v>0</v>
      </c>
      <c r="AE68" s="20" t="n">
        <f aca="false">IF(AD68&gt;PR_BalDone,AD68+AD68*(D_iC)-MIN(F_CardPayM,AD68+AD68*(D_iC)),AD68)</f>
        <v>0</v>
      </c>
      <c r="AF68" s="20" t="n">
        <f aca="false">IF(AE68&gt;PR_BalDone,AE68+AE68*(D_iC)-MIN(F_CardPayM,AE68+AE68*(D_iC)),AE68)</f>
        <v>0</v>
      </c>
      <c r="AG68" s="20" t="n">
        <f aca="false">IF(AF68&gt;PR_BalDone,AF68+AF68*(D_iC)-MIN(F_CardPayM,AF68+AF68*(D_iC)),AF68)</f>
        <v>0</v>
      </c>
      <c r="AH68" s="20" t="n">
        <f aca="false">IF(AG68&gt;PR_BalDone,AG68+AG68*(D_iC)-MIN(F_CardPayM,AG68+AG68*(D_iC)),AG68)</f>
        <v>0</v>
      </c>
      <c r="AI68" s="20" t="n">
        <f aca="false">IF(AH68&gt;PR_BalDone,AH68+AH68*(D_iC)-MIN(F_CardPayM,AH68+AH68*(D_iC)),AH68)</f>
        <v>0</v>
      </c>
      <c r="AJ68" s="20" t="n">
        <f aca="false">IF(AI68&gt;PR_BalDone,AI68+AI68*(D_iC)-MIN(F_CardPayM,AI68+AI68*(D_iC)),AI68)</f>
        <v>0</v>
      </c>
      <c r="AK68" s="20" t="n">
        <f aca="false">IF(AJ68&gt;PR_BalDone,AJ68+AJ68*(D_iC)-MIN(F_CardPayM,AJ68+AJ68*(D_iC)),AJ68)</f>
        <v>0</v>
      </c>
      <c r="AL68" s="20" t="n">
        <f aca="false">IF(AK68&gt;PR_BalDone,AK68+AK68*(D_iC)-MIN(F_CardPayM,AK68+AK68*(D_iC)),AK68)</f>
        <v>0</v>
      </c>
      <c r="AM68" s="20" t="n">
        <f aca="false">IF(AL68&gt;PR_BalDone,AL68+AL68*(D_iC)-MIN(F_CardPayM,AL68+AL68*(D_iC)),AL68)</f>
        <v>0</v>
      </c>
      <c r="AN68" s="20" t="n">
        <f aca="false">IF(AM68&gt;PR_BalDone,AM68+AM68*(D_iC)-MIN(F_CardPayM,AM68+AM68*(D_iC)),AM68)</f>
        <v>0</v>
      </c>
      <c r="AO68" s="20" t="n">
        <f aca="false">IF(AN68&gt;PR_BalDone,AN68+AN68*(D_iC)-MIN(F_CardPayM,AN68+AN68*(D_iC)),AN68)</f>
        <v>0</v>
      </c>
      <c r="AP68" s="20" t="n">
        <f aca="false">IF(AO68&gt;PR_BalDone,AO68+AO68*(D_iC)-MIN(F_CardPayM,AO68+AO68*(D_iC)),AO68)</f>
        <v>0</v>
      </c>
      <c r="AQ68" s="20" t="n">
        <f aca="false">IF(AD68&gt;PR_BalDone,MIN(F_CardPayM,AD68+AD68*(D_iC)),0)</f>
        <v>0</v>
      </c>
      <c r="AR68" s="20" t="n">
        <f aca="false">IF(AE68&gt;PR_BalDone,MIN(F_CardPayM,AE68+AE68*(D_iC)),0)</f>
        <v>0</v>
      </c>
      <c r="AS68" s="20" t="n">
        <f aca="false">IF(AF68&gt;PR_BalDone,MIN(F_CardPayM,AF68+AF68*(D_iC)),0)</f>
        <v>0</v>
      </c>
      <c r="AT68" s="20" t="n">
        <f aca="false">IF(AG68&gt;PR_BalDone,MIN(F_CardPayM,AG68+AG68*(D_iC)),0)</f>
        <v>0</v>
      </c>
      <c r="AU68" s="20" t="n">
        <f aca="false">IF(AH68&gt;PR_BalDone,MIN(F_CardPayM,AH68+AH68*(D_iC)),0)</f>
        <v>0</v>
      </c>
      <c r="AV68" s="20" t="n">
        <f aca="false">IF(AI68&gt;PR_BalDone,MIN(F_CardPayM,AI68+AI68*(D_iC)),0)</f>
        <v>0</v>
      </c>
      <c r="AW68" s="20" t="n">
        <f aca="false">IF(AJ68&gt;PR_BalDone,MIN(F_CardPayM,AJ68+AJ68*(D_iC)),0)</f>
        <v>0</v>
      </c>
      <c r="AX68" s="20" t="n">
        <f aca="false">IF(AK68&gt;PR_BalDone,MIN(F_CardPayM,AK68+AK68*(D_iC)),0)</f>
        <v>0</v>
      </c>
      <c r="AY68" s="20" t="n">
        <f aca="false">IF(AL68&gt;PR_BalDone,MIN(F_CardPayM,AL68+AL68*(D_iC)),0)</f>
        <v>0</v>
      </c>
      <c r="AZ68" s="20" t="n">
        <f aca="false">IF(AM68&gt;PR_BalDone,MIN(F_CardPayM,AM68+AM68*(D_iC)),0)</f>
        <v>0</v>
      </c>
      <c r="BA68" s="20" t="n">
        <f aca="false">IF(AN68&gt;PR_BalDone,MIN(F_CardPayM,AN68+AN68*(D_iC)),0)</f>
        <v>0</v>
      </c>
      <c r="BB68" s="20" t="n">
        <f aca="false">IF(AO68&gt;PR_BalDone,MIN(F_CardPayM,AO68+AO68*(D_iC)),0)</f>
        <v>0</v>
      </c>
      <c r="BC68" s="20" t="n">
        <f aca="false">MAX(0,AP68)</f>
        <v>0</v>
      </c>
      <c r="BD68" s="20" t="n">
        <f aca="false">SUM(AQ68:BB68)</f>
        <v>0</v>
      </c>
      <c r="BE68" s="20" t="n">
        <f aca="false">'Plan cashflow'!P68</f>
        <v>0</v>
      </c>
      <c r="BF68" s="20" t="n">
        <f aca="false">IF(BE68&gt;PR_BalDone,BE68+BE68*(D_iL)-MIN(F_LoanPayM,BE68+BE68*(D_iL)),BE68)</f>
        <v>0</v>
      </c>
      <c r="BG68" s="20" t="n">
        <f aca="false">IF(BF68&gt;PR_BalDone,BF68+BF68*(D_iL)-MIN(F_LoanPayM,BF68+BF68*(D_iL)),BF68)</f>
        <v>0</v>
      </c>
      <c r="BH68" s="20" t="n">
        <f aca="false">IF(BG68&gt;PR_BalDone,BG68+BG68*(D_iL)-MIN(F_LoanPayM,BG68+BG68*(D_iL)),BG68)</f>
        <v>0</v>
      </c>
      <c r="BI68" s="20" t="n">
        <f aca="false">IF(BH68&gt;PR_BalDone,BH68+BH68*(D_iL)-MIN(F_LoanPayM,BH68+BH68*(D_iL)),BH68)</f>
        <v>0</v>
      </c>
      <c r="BJ68" s="20" t="n">
        <f aca="false">IF(BI68&gt;PR_BalDone,BI68+BI68*(D_iL)-MIN(F_LoanPayM,BI68+BI68*(D_iL)),BI68)</f>
        <v>0</v>
      </c>
      <c r="BK68" s="20" t="n">
        <f aca="false">IF(BJ68&gt;PR_BalDone,BJ68+BJ68*(D_iL)-MIN(F_LoanPayM,BJ68+BJ68*(D_iL)),BJ68)</f>
        <v>0</v>
      </c>
      <c r="BL68" s="20" t="n">
        <f aca="false">IF(BK68&gt;PR_BalDone,BK68+BK68*(D_iL)-MIN(F_LoanPayM,BK68+BK68*(D_iL)),BK68)</f>
        <v>0</v>
      </c>
      <c r="BM68" s="20" t="n">
        <f aca="false">IF(BL68&gt;PR_BalDone,BL68+BL68*(D_iL)-MIN(F_LoanPayM,BL68+BL68*(D_iL)),BL68)</f>
        <v>0</v>
      </c>
      <c r="BN68" s="20" t="n">
        <f aca="false">IF(BM68&gt;PR_BalDone,BM68+BM68*(D_iL)-MIN(F_LoanPayM,BM68+BM68*(D_iL)),BM68)</f>
        <v>0</v>
      </c>
      <c r="BO68" s="20" t="n">
        <f aca="false">IF(BN68&gt;PR_BalDone,BN68+BN68*(D_iL)-MIN(F_LoanPayM,BN68+BN68*(D_iL)),BN68)</f>
        <v>0</v>
      </c>
      <c r="BP68" s="20" t="n">
        <f aca="false">IF(BO68&gt;PR_BalDone,BO68+BO68*(D_iL)-MIN(F_LoanPayM,BO68+BO68*(D_iL)),BO68)</f>
        <v>0</v>
      </c>
      <c r="BQ68" s="20" t="n">
        <f aca="false">IF(BP68&gt;PR_BalDone,BP68+BP68*(D_iL)-MIN(F_LoanPayM,BP68+BP68*(D_iL)),BP68)</f>
        <v>0</v>
      </c>
      <c r="BR68" s="20" t="n">
        <f aca="false">IF(BE68&gt;PR_BalDone,MIN(F_LoanPayM,BE68+BE68*(D_iL)),0)</f>
        <v>0</v>
      </c>
      <c r="BS68" s="20" t="n">
        <f aca="false">IF(BF68&gt;PR_BalDone,MIN(F_LoanPayM,BF68+BF68*(D_iL)),0)</f>
        <v>0</v>
      </c>
      <c r="BT68" s="20" t="n">
        <f aca="false">IF(BG68&gt;PR_BalDone,MIN(F_LoanPayM,BG68+BG68*(D_iL)),0)</f>
        <v>0</v>
      </c>
      <c r="BU68" s="20" t="n">
        <f aca="false">IF(BH68&gt;PR_BalDone,MIN(F_LoanPayM,BH68+BH68*(D_iL)),0)</f>
        <v>0</v>
      </c>
      <c r="BV68" s="20" t="n">
        <f aca="false">IF(BI68&gt;PR_BalDone,MIN(F_LoanPayM,BI68+BI68*(D_iL)),0)</f>
        <v>0</v>
      </c>
      <c r="BW68" s="20" t="n">
        <f aca="false">IF(BJ68&gt;PR_BalDone,MIN(F_LoanPayM,BJ68+BJ68*(D_iL)),0)</f>
        <v>0</v>
      </c>
      <c r="BX68" s="20" t="n">
        <f aca="false">IF(BK68&gt;PR_BalDone,MIN(F_LoanPayM,BK68+BK68*(D_iL)),0)</f>
        <v>0</v>
      </c>
      <c r="BY68" s="20" t="n">
        <f aca="false">IF(BL68&gt;PR_BalDone,MIN(F_LoanPayM,BL68+BL68*(D_iL)),0)</f>
        <v>0</v>
      </c>
      <c r="BZ68" s="20" t="n">
        <f aca="false">IF(BM68&gt;PR_BalDone,MIN(F_LoanPayM,BM68+BM68*(D_iL)),0)</f>
        <v>0</v>
      </c>
      <c r="CA68" s="20" t="n">
        <f aca="false">IF(BN68&gt;PR_BalDone,MIN(F_LoanPayM,BN68+BN68*(D_iL)),0)</f>
        <v>0</v>
      </c>
      <c r="CB68" s="20" t="n">
        <f aca="false">IF(BO68&gt;PR_BalDone,MIN(F_LoanPayM,BO68+BO68*(D_iL)),0)</f>
        <v>0</v>
      </c>
      <c r="CC68" s="20" t="n">
        <f aca="false">IF(BP68&gt;PR_BalDone,MIN(F_LoanPayM,BP68+BP68*(D_iL)),0)</f>
        <v>0</v>
      </c>
      <c r="CD68" s="20" t="n">
        <f aca="false">MAX(0,BQ68)</f>
        <v>0</v>
      </c>
      <c r="CE68" s="20" t="n">
        <f aca="false">SUM(BR68:CC68)</f>
        <v>0</v>
      </c>
      <c r="CF68" s="20" t="n">
        <f aca="false">IF(CF67&gt;1,DE67,CF67)</f>
        <v>0</v>
      </c>
      <c r="CG68" s="20" t="n">
        <f aca="false">IF(CF68&gt;PR_BalDone,CF68+CF68*(F_MR/12)-MIN(F_MortPayM,CF68+CF68*(F_MR/12)),CF68)</f>
        <v>0</v>
      </c>
      <c r="CH68" s="20" t="n">
        <f aca="false">IF(CG68&gt;PR_BalDone,CG68+CG68*(F_MR/12)-MIN(F_MortPayM,CG68+CG68*(F_MR/12)),CG68)</f>
        <v>0</v>
      </c>
      <c r="CI68" s="20" t="n">
        <f aca="false">IF(CH68&gt;PR_BalDone,CH68+CH68*(F_MR/12)-MIN(F_MortPayM,CH68+CH68*(F_MR/12)),CH68)</f>
        <v>0</v>
      </c>
      <c r="CJ68" s="20" t="n">
        <f aca="false">IF(CI68&gt;PR_BalDone,CI68+CI68*(F_MR/12)-MIN(F_MortPayM,CI68+CI68*(F_MR/12)),CI68)</f>
        <v>0</v>
      </c>
      <c r="CK68" s="20" t="n">
        <f aca="false">IF(CJ68&gt;PR_BalDone,CJ68+CJ68*(F_MR/12)-MIN(F_MortPayM,CJ68+CJ68*(F_MR/12)),CJ68)</f>
        <v>0</v>
      </c>
      <c r="CL68" s="20" t="n">
        <f aca="false">IF(CK68&gt;PR_BalDone,CK68+CK68*(F_MR/12)-MIN(F_MortPayM,CK68+CK68*(F_MR/12)),CK68)</f>
        <v>0</v>
      </c>
      <c r="CM68" s="20" t="n">
        <f aca="false">IF(CL68&gt;PR_BalDone,CL68+CL68*(F_MR/12)-MIN(F_MortPayM,CL68+CL68*(F_MR/12)),CL68)</f>
        <v>0</v>
      </c>
      <c r="CN68" s="20" t="n">
        <f aca="false">IF(CM68&gt;PR_BalDone,CM68+CM68*(F_MR/12)-MIN(F_MortPayM,CM68+CM68*(F_MR/12)),CM68)</f>
        <v>0</v>
      </c>
      <c r="CO68" s="20" t="n">
        <f aca="false">IF(CN68&gt;PR_BalDone,CN68+CN68*(F_MR/12)-MIN(F_MortPayM,CN68+CN68*(F_MR/12)),CN68)</f>
        <v>0</v>
      </c>
      <c r="CP68" s="20" t="n">
        <f aca="false">IF(CO68&gt;PR_BalDone,CO68+CO68*(F_MR/12)-MIN(F_MortPayM,CO68+CO68*(F_MR/12)),CO68)</f>
        <v>0</v>
      </c>
      <c r="CQ68" s="20" t="n">
        <f aca="false">IF(CP68&gt;PR_BalDone,CP68+CP68*(F_MR/12)-MIN(F_MortPayM,CP68+CP68*(F_MR/12)),CP68)</f>
        <v>0</v>
      </c>
      <c r="CR68" s="20" t="n">
        <f aca="false">IF(CQ68&gt;PR_BalDone,CQ68+CQ68*(F_MR/12)-MIN(F_MortPayM,CQ68+CQ68*(F_MR/12)),CQ68)</f>
        <v>0</v>
      </c>
      <c r="CS68" s="20" t="n">
        <f aca="false">IF(CF68&gt;PR_BalDone,MIN(F_MortPayM,CF68+CF68*(F_MR/12)),0)</f>
        <v>0</v>
      </c>
      <c r="CT68" s="20" t="n">
        <f aca="false">IF(CG68&gt;PR_BalDone,MIN(F_MortPayM,CG68+CG68*(F_MR/12)),0)</f>
        <v>0</v>
      </c>
      <c r="CU68" s="20" t="n">
        <f aca="false">IF(CH68&gt;PR_BalDone,MIN(F_MortPayM,CH68+CH68*(F_MR/12)),0)</f>
        <v>0</v>
      </c>
      <c r="CV68" s="20" t="n">
        <f aca="false">IF(CI68&gt;PR_BalDone,MIN(F_MortPayM,CI68+CI68*(F_MR/12)),0)</f>
        <v>0</v>
      </c>
      <c r="CW68" s="20" t="n">
        <f aca="false">IF(CJ68&gt;PR_BalDone,MIN(F_MortPayM,CJ68+CJ68*(F_MR/12)),0)</f>
        <v>0</v>
      </c>
      <c r="CX68" s="20" t="n">
        <f aca="false">IF(CK68&gt;PR_BalDone,MIN(F_MortPayM,CK68+CK68*(F_MR/12)),0)</f>
        <v>0</v>
      </c>
      <c r="CY68" s="20" t="n">
        <f aca="false">IF(CL68&gt;PR_BalDone,MIN(F_MortPayM,CL68+CL68*(F_MR/12)),0)</f>
        <v>0</v>
      </c>
      <c r="CZ68" s="20" t="n">
        <f aca="false">IF(CM68&gt;PR_BalDone,MIN(F_MortPayM,CM68+CM68*(F_MR/12)),0)</f>
        <v>0</v>
      </c>
      <c r="DA68" s="20" t="n">
        <f aca="false">IF(CN68&gt;PR_BalDone,MIN(F_MortPayM,CN68+CN68*(F_MR/12)),0)</f>
        <v>0</v>
      </c>
      <c r="DB68" s="20" t="n">
        <f aca="false">IF(CO68&gt;PR_BalDone,MIN(F_MortPayM,CO68+CO68*(F_MR/12)),0)</f>
        <v>0</v>
      </c>
      <c r="DC68" s="20" t="n">
        <f aca="false">IF(CP68&gt;PR_BalDone,MIN(F_MortPayM,CP68+CP68*(F_MR/12)),0)</f>
        <v>0</v>
      </c>
      <c r="DD68" s="20" t="n">
        <f aca="false">IF(CQ68&gt;PR_BalDone,MIN(F_MortPayM,CQ68+CQ68*(F_MR/12)),0)</f>
        <v>0</v>
      </c>
      <c r="DE68" s="20" t="n">
        <f aca="false">MAX(0,CR68)</f>
        <v>0</v>
      </c>
      <c r="DF68" s="20" t="n">
        <f aca="false">SUM(CS68:DD68)</f>
        <v>0</v>
      </c>
      <c r="DG68" s="20" t="n">
        <f aca="false">MAX(0,CF68)</f>
        <v>0</v>
      </c>
    </row>
    <row r="69" customFormat="false" ht="15" hidden="false" customHeight="true" outlineLevel="0" collapsed="false">
      <c r="B69" s="20" t="n">
        <v>61</v>
      </c>
      <c r="C69" s="20" t="n">
        <f aca="false">'Plan cashflow'!J69</f>
        <v>0</v>
      </c>
      <c r="D69" s="20" t="n">
        <f aca="false">IF(C69&gt;PR_BalDone,C69+C69*(F_MR/12)-MIN(F_MortPayM,C69+C69*(F_MR/12)),C69)</f>
        <v>0</v>
      </c>
      <c r="E69" s="20" t="n">
        <f aca="false">IF(D69&gt;PR_BalDone,D69+D69*(F_MR/12)-MIN(F_MortPayM,D69+D69*(F_MR/12)),D69)</f>
        <v>0</v>
      </c>
      <c r="F69" s="20" t="n">
        <f aca="false">IF(E69&gt;PR_BalDone,E69+E69*(F_MR/12)-MIN(F_MortPayM,E69+E69*(F_MR/12)),E69)</f>
        <v>0</v>
      </c>
      <c r="G69" s="20" t="n">
        <f aca="false">IF(F69&gt;PR_BalDone,F69+F69*(F_MR/12)-MIN(F_MortPayM,F69+F69*(F_MR/12)),F69)</f>
        <v>0</v>
      </c>
      <c r="H69" s="20" t="n">
        <f aca="false">IF(G69&gt;PR_BalDone,G69+G69*(F_MR/12)-MIN(F_MortPayM,G69+G69*(F_MR/12)),G69)</f>
        <v>0</v>
      </c>
      <c r="I69" s="20" t="n">
        <f aca="false">IF(H69&gt;PR_BalDone,H69+H69*(F_MR/12)-MIN(F_MortPayM,H69+H69*(F_MR/12)),H69)</f>
        <v>0</v>
      </c>
      <c r="J69" s="20" t="n">
        <f aca="false">IF(I69&gt;PR_BalDone,I69+I69*(F_MR/12)-MIN(F_MortPayM,I69+I69*(F_MR/12)),I69)</f>
        <v>0</v>
      </c>
      <c r="K69" s="20" t="n">
        <f aca="false">IF(J69&gt;PR_BalDone,J69+J69*(F_MR/12)-MIN(F_MortPayM,J69+J69*(F_MR/12)),J69)</f>
        <v>0</v>
      </c>
      <c r="L69" s="20" t="n">
        <f aca="false">IF(K69&gt;PR_BalDone,K69+K69*(F_MR/12)-MIN(F_MortPayM,K69+K69*(F_MR/12)),K69)</f>
        <v>0</v>
      </c>
      <c r="M69" s="20" t="n">
        <f aca="false">IF(L69&gt;PR_BalDone,L69+L69*(F_MR/12)-MIN(F_MortPayM,L69+L69*(F_MR/12)),L69)</f>
        <v>0</v>
      </c>
      <c r="N69" s="20" t="n">
        <f aca="false">IF(M69&gt;PR_BalDone,M69+M69*(F_MR/12)-MIN(F_MortPayM,M69+M69*(F_MR/12)),M69)</f>
        <v>0</v>
      </c>
      <c r="O69" s="20" t="n">
        <f aca="false">IF(N69&gt;PR_BalDone,N69+N69*(F_MR/12)-MIN(F_MortPayM,N69+N69*(F_MR/12)),N69)</f>
        <v>0</v>
      </c>
      <c r="P69" s="20" t="n">
        <f aca="false">IF(C69&gt;PR_BalDone,MIN(F_MortPayM,C69+C69*(F_MR/12)),0)</f>
        <v>0</v>
      </c>
      <c r="Q69" s="20" t="n">
        <f aca="false">IF(D69&gt;PR_BalDone,MIN(F_MortPayM,D69+D69*(F_MR/12)),0)</f>
        <v>0</v>
      </c>
      <c r="R69" s="20" t="n">
        <f aca="false">IF(E69&gt;PR_BalDone,MIN(F_MortPayM,E69+E69*(F_MR/12)),0)</f>
        <v>0</v>
      </c>
      <c r="S69" s="20" t="n">
        <f aca="false">IF(F69&gt;PR_BalDone,MIN(F_MortPayM,F69+F69*(F_MR/12)),0)</f>
        <v>0</v>
      </c>
      <c r="T69" s="20" t="n">
        <f aca="false">IF(G69&gt;PR_BalDone,MIN(F_MortPayM,G69+G69*(F_MR/12)),0)</f>
        <v>0</v>
      </c>
      <c r="U69" s="20" t="n">
        <f aca="false">IF(H69&gt;PR_BalDone,MIN(F_MortPayM,H69+H69*(F_MR/12)),0)</f>
        <v>0</v>
      </c>
      <c r="V69" s="20" t="n">
        <f aca="false">IF(I69&gt;PR_BalDone,MIN(F_MortPayM,I69+I69*(F_MR/12)),0)</f>
        <v>0</v>
      </c>
      <c r="W69" s="20" t="n">
        <f aca="false">IF(J69&gt;PR_BalDone,MIN(F_MortPayM,J69+J69*(F_MR/12)),0)</f>
        <v>0</v>
      </c>
      <c r="X69" s="20" t="n">
        <f aca="false">IF(K69&gt;PR_BalDone,MIN(F_MortPayM,K69+K69*(F_MR/12)),0)</f>
        <v>0</v>
      </c>
      <c r="Y69" s="20" t="n">
        <f aca="false">IF(L69&gt;PR_BalDone,MIN(F_MortPayM,L69+L69*(F_MR/12)),0)</f>
        <v>0</v>
      </c>
      <c r="Z69" s="20" t="n">
        <f aca="false">IF(M69&gt;PR_BalDone,MIN(F_MortPayM,M69+M69*(F_MR/12)),0)</f>
        <v>0</v>
      </c>
      <c r="AA69" s="20" t="n">
        <f aca="false">IF(N69&gt;PR_BalDone,MIN(F_MortPayM,N69+N69*(F_MR/12)),0)</f>
        <v>0</v>
      </c>
      <c r="AB69" s="20" t="n">
        <f aca="false">MAX(0,O69)</f>
        <v>0</v>
      </c>
      <c r="AC69" s="20" t="n">
        <f aca="false">SUM(P69:AA69)</f>
        <v>0</v>
      </c>
      <c r="AD69" s="20" t="n">
        <f aca="false">'Plan cashflow'!M69</f>
        <v>0</v>
      </c>
      <c r="AE69" s="20" t="n">
        <f aca="false">IF(AD69&gt;PR_BalDone,AD69+AD69*(D_iC)-MIN(F_CardPayM,AD69+AD69*(D_iC)),AD69)</f>
        <v>0</v>
      </c>
      <c r="AF69" s="20" t="n">
        <f aca="false">IF(AE69&gt;PR_BalDone,AE69+AE69*(D_iC)-MIN(F_CardPayM,AE69+AE69*(D_iC)),AE69)</f>
        <v>0</v>
      </c>
      <c r="AG69" s="20" t="n">
        <f aca="false">IF(AF69&gt;PR_BalDone,AF69+AF69*(D_iC)-MIN(F_CardPayM,AF69+AF69*(D_iC)),AF69)</f>
        <v>0</v>
      </c>
      <c r="AH69" s="20" t="n">
        <f aca="false">IF(AG69&gt;PR_BalDone,AG69+AG69*(D_iC)-MIN(F_CardPayM,AG69+AG69*(D_iC)),AG69)</f>
        <v>0</v>
      </c>
      <c r="AI69" s="20" t="n">
        <f aca="false">IF(AH69&gt;PR_BalDone,AH69+AH69*(D_iC)-MIN(F_CardPayM,AH69+AH69*(D_iC)),AH69)</f>
        <v>0</v>
      </c>
      <c r="AJ69" s="20" t="n">
        <f aca="false">IF(AI69&gt;PR_BalDone,AI69+AI69*(D_iC)-MIN(F_CardPayM,AI69+AI69*(D_iC)),AI69)</f>
        <v>0</v>
      </c>
      <c r="AK69" s="20" t="n">
        <f aca="false">IF(AJ69&gt;PR_BalDone,AJ69+AJ69*(D_iC)-MIN(F_CardPayM,AJ69+AJ69*(D_iC)),AJ69)</f>
        <v>0</v>
      </c>
      <c r="AL69" s="20" t="n">
        <f aca="false">IF(AK69&gt;PR_BalDone,AK69+AK69*(D_iC)-MIN(F_CardPayM,AK69+AK69*(D_iC)),AK69)</f>
        <v>0</v>
      </c>
      <c r="AM69" s="20" t="n">
        <f aca="false">IF(AL69&gt;PR_BalDone,AL69+AL69*(D_iC)-MIN(F_CardPayM,AL69+AL69*(D_iC)),AL69)</f>
        <v>0</v>
      </c>
      <c r="AN69" s="20" t="n">
        <f aca="false">IF(AM69&gt;PR_BalDone,AM69+AM69*(D_iC)-MIN(F_CardPayM,AM69+AM69*(D_iC)),AM69)</f>
        <v>0</v>
      </c>
      <c r="AO69" s="20" t="n">
        <f aca="false">IF(AN69&gt;PR_BalDone,AN69+AN69*(D_iC)-MIN(F_CardPayM,AN69+AN69*(D_iC)),AN69)</f>
        <v>0</v>
      </c>
      <c r="AP69" s="20" t="n">
        <f aca="false">IF(AO69&gt;PR_BalDone,AO69+AO69*(D_iC)-MIN(F_CardPayM,AO69+AO69*(D_iC)),AO69)</f>
        <v>0</v>
      </c>
      <c r="AQ69" s="20" t="n">
        <f aca="false">IF(AD69&gt;PR_BalDone,MIN(F_CardPayM,AD69+AD69*(D_iC)),0)</f>
        <v>0</v>
      </c>
      <c r="AR69" s="20" t="n">
        <f aca="false">IF(AE69&gt;PR_BalDone,MIN(F_CardPayM,AE69+AE69*(D_iC)),0)</f>
        <v>0</v>
      </c>
      <c r="AS69" s="20" t="n">
        <f aca="false">IF(AF69&gt;PR_BalDone,MIN(F_CardPayM,AF69+AF69*(D_iC)),0)</f>
        <v>0</v>
      </c>
      <c r="AT69" s="20" t="n">
        <f aca="false">IF(AG69&gt;PR_BalDone,MIN(F_CardPayM,AG69+AG69*(D_iC)),0)</f>
        <v>0</v>
      </c>
      <c r="AU69" s="20" t="n">
        <f aca="false">IF(AH69&gt;PR_BalDone,MIN(F_CardPayM,AH69+AH69*(D_iC)),0)</f>
        <v>0</v>
      </c>
      <c r="AV69" s="20" t="n">
        <f aca="false">IF(AI69&gt;PR_BalDone,MIN(F_CardPayM,AI69+AI69*(D_iC)),0)</f>
        <v>0</v>
      </c>
      <c r="AW69" s="20" t="n">
        <f aca="false">IF(AJ69&gt;PR_BalDone,MIN(F_CardPayM,AJ69+AJ69*(D_iC)),0)</f>
        <v>0</v>
      </c>
      <c r="AX69" s="20" t="n">
        <f aca="false">IF(AK69&gt;PR_BalDone,MIN(F_CardPayM,AK69+AK69*(D_iC)),0)</f>
        <v>0</v>
      </c>
      <c r="AY69" s="20" t="n">
        <f aca="false">IF(AL69&gt;PR_BalDone,MIN(F_CardPayM,AL69+AL69*(D_iC)),0)</f>
        <v>0</v>
      </c>
      <c r="AZ69" s="20" t="n">
        <f aca="false">IF(AM69&gt;PR_BalDone,MIN(F_CardPayM,AM69+AM69*(D_iC)),0)</f>
        <v>0</v>
      </c>
      <c r="BA69" s="20" t="n">
        <f aca="false">IF(AN69&gt;PR_BalDone,MIN(F_CardPayM,AN69+AN69*(D_iC)),0)</f>
        <v>0</v>
      </c>
      <c r="BB69" s="20" t="n">
        <f aca="false">IF(AO69&gt;PR_BalDone,MIN(F_CardPayM,AO69+AO69*(D_iC)),0)</f>
        <v>0</v>
      </c>
      <c r="BC69" s="20" t="n">
        <f aca="false">MAX(0,AP69)</f>
        <v>0</v>
      </c>
      <c r="BD69" s="20" t="n">
        <f aca="false">SUM(AQ69:BB69)</f>
        <v>0</v>
      </c>
      <c r="BE69" s="20" t="n">
        <f aca="false">'Plan cashflow'!P69</f>
        <v>0</v>
      </c>
      <c r="BF69" s="20" t="n">
        <f aca="false">IF(BE69&gt;PR_BalDone,BE69+BE69*(D_iL)-MIN(F_LoanPayM,BE69+BE69*(D_iL)),BE69)</f>
        <v>0</v>
      </c>
      <c r="BG69" s="20" t="n">
        <f aca="false">IF(BF69&gt;PR_BalDone,BF69+BF69*(D_iL)-MIN(F_LoanPayM,BF69+BF69*(D_iL)),BF69)</f>
        <v>0</v>
      </c>
      <c r="BH69" s="20" t="n">
        <f aca="false">IF(BG69&gt;PR_BalDone,BG69+BG69*(D_iL)-MIN(F_LoanPayM,BG69+BG69*(D_iL)),BG69)</f>
        <v>0</v>
      </c>
      <c r="BI69" s="20" t="n">
        <f aca="false">IF(BH69&gt;PR_BalDone,BH69+BH69*(D_iL)-MIN(F_LoanPayM,BH69+BH69*(D_iL)),BH69)</f>
        <v>0</v>
      </c>
      <c r="BJ69" s="20" t="n">
        <f aca="false">IF(BI69&gt;PR_BalDone,BI69+BI69*(D_iL)-MIN(F_LoanPayM,BI69+BI69*(D_iL)),BI69)</f>
        <v>0</v>
      </c>
      <c r="BK69" s="20" t="n">
        <f aca="false">IF(BJ69&gt;PR_BalDone,BJ69+BJ69*(D_iL)-MIN(F_LoanPayM,BJ69+BJ69*(D_iL)),BJ69)</f>
        <v>0</v>
      </c>
      <c r="BL69" s="20" t="n">
        <f aca="false">IF(BK69&gt;PR_BalDone,BK69+BK69*(D_iL)-MIN(F_LoanPayM,BK69+BK69*(D_iL)),BK69)</f>
        <v>0</v>
      </c>
      <c r="BM69" s="20" t="n">
        <f aca="false">IF(BL69&gt;PR_BalDone,BL69+BL69*(D_iL)-MIN(F_LoanPayM,BL69+BL69*(D_iL)),BL69)</f>
        <v>0</v>
      </c>
      <c r="BN69" s="20" t="n">
        <f aca="false">IF(BM69&gt;PR_BalDone,BM69+BM69*(D_iL)-MIN(F_LoanPayM,BM69+BM69*(D_iL)),BM69)</f>
        <v>0</v>
      </c>
      <c r="BO69" s="20" t="n">
        <f aca="false">IF(BN69&gt;PR_BalDone,BN69+BN69*(D_iL)-MIN(F_LoanPayM,BN69+BN69*(D_iL)),BN69)</f>
        <v>0</v>
      </c>
      <c r="BP69" s="20" t="n">
        <f aca="false">IF(BO69&gt;PR_BalDone,BO69+BO69*(D_iL)-MIN(F_LoanPayM,BO69+BO69*(D_iL)),BO69)</f>
        <v>0</v>
      </c>
      <c r="BQ69" s="20" t="n">
        <f aca="false">IF(BP69&gt;PR_BalDone,BP69+BP69*(D_iL)-MIN(F_LoanPayM,BP69+BP69*(D_iL)),BP69)</f>
        <v>0</v>
      </c>
      <c r="BR69" s="20" t="n">
        <f aca="false">IF(BE69&gt;PR_BalDone,MIN(F_LoanPayM,BE69+BE69*(D_iL)),0)</f>
        <v>0</v>
      </c>
      <c r="BS69" s="20" t="n">
        <f aca="false">IF(BF69&gt;PR_BalDone,MIN(F_LoanPayM,BF69+BF69*(D_iL)),0)</f>
        <v>0</v>
      </c>
      <c r="BT69" s="20" t="n">
        <f aca="false">IF(BG69&gt;PR_BalDone,MIN(F_LoanPayM,BG69+BG69*(D_iL)),0)</f>
        <v>0</v>
      </c>
      <c r="BU69" s="20" t="n">
        <f aca="false">IF(BH69&gt;PR_BalDone,MIN(F_LoanPayM,BH69+BH69*(D_iL)),0)</f>
        <v>0</v>
      </c>
      <c r="BV69" s="20" t="n">
        <f aca="false">IF(BI69&gt;PR_BalDone,MIN(F_LoanPayM,BI69+BI69*(D_iL)),0)</f>
        <v>0</v>
      </c>
      <c r="BW69" s="20" t="n">
        <f aca="false">IF(BJ69&gt;PR_BalDone,MIN(F_LoanPayM,BJ69+BJ69*(D_iL)),0)</f>
        <v>0</v>
      </c>
      <c r="BX69" s="20" t="n">
        <f aca="false">IF(BK69&gt;PR_BalDone,MIN(F_LoanPayM,BK69+BK69*(D_iL)),0)</f>
        <v>0</v>
      </c>
      <c r="BY69" s="20" t="n">
        <f aca="false">IF(BL69&gt;PR_BalDone,MIN(F_LoanPayM,BL69+BL69*(D_iL)),0)</f>
        <v>0</v>
      </c>
      <c r="BZ69" s="20" t="n">
        <f aca="false">IF(BM69&gt;PR_BalDone,MIN(F_LoanPayM,BM69+BM69*(D_iL)),0)</f>
        <v>0</v>
      </c>
      <c r="CA69" s="20" t="n">
        <f aca="false">IF(BN69&gt;PR_BalDone,MIN(F_LoanPayM,BN69+BN69*(D_iL)),0)</f>
        <v>0</v>
      </c>
      <c r="CB69" s="20" t="n">
        <f aca="false">IF(BO69&gt;PR_BalDone,MIN(F_LoanPayM,BO69+BO69*(D_iL)),0)</f>
        <v>0</v>
      </c>
      <c r="CC69" s="20" t="n">
        <f aca="false">IF(BP69&gt;PR_BalDone,MIN(F_LoanPayM,BP69+BP69*(D_iL)),0)</f>
        <v>0</v>
      </c>
      <c r="CD69" s="20" t="n">
        <f aca="false">MAX(0,BQ69)</f>
        <v>0</v>
      </c>
      <c r="CE69" s="20" t="n">
        <f aca="false">SUM(BR69:CC69)</f>
        <v>0</v>
      </c>
      <c r="CF69" s="20" t="n">
        <f aca="false">IF(CF68&gt;1,DE68,CF68)</f>
        <v>0</v>
      </c>
      <c r="CG69" s="20" t="n">
        <f aca="false">IF(CF69&gt;PR_BalDone,CF69+CF69*(F_MR/12)-MIN(F_MortPayM,CF69+CF69*(F_MR/12)),CF69)</f>
        <v>0</v>
      </c>
      <c r="CH69" s="20" t="n">
        <f aca="false">IF(CG69&gt;PR_BalDone,CG69+CG69*(F_MR/12)-MIN(F_MortPayM,CG69+CG69*(F_MR/12)),CG69)</f>
        <v>0</v>
      </c>
      <c r="CI69" s="20" t="n">
        <f aca="false">IF(CH69&gt;PR_BalDone,CH69+CH69*(F_MR/12)-MIN(F_MortPayM,CH69+CH69*(F_MR/12)),CH69)</f>
        <v>0</v>
      </c>
      <c r="CJ69" s="20" t="n">
        <f aca="false">IF(CI69&gt;PR_BalDone,CI69+CI69*(F_MR/12)-MIN(F_MortPayM,CI69+CI69*(F_MR/12)),CI69)</f>
        <v>0</v>
      </c>
      <c r="CK69" s="20" t="n">
        <f aca="false">IF(CJ69&gt;PR_BalDone,CJ69+CJ69*(F_MR/12)-MIN(F_MortPayM,CJ69+CJ69*(F_MR/12)),CJ69)</f>
        <v>0</v>
      </c>
      <c r="CL69" s="20" t="n">
        <f aca="false">IF(CK69&gt;PR_BalDone,CK69+CK69*(F_MR/12)-MIN(F_MortPayM,CK69+CK69*(F_MR/12)),CK69)</f>
        <v>0</v>
      </c>
      <c r="CM69" s="20" t="n">
        <f aca="false">IF(CL69&gt;PR_BalDone,CL69+CL69*(F_MR/12)-MIN(F_MortPayM,CL69+CL69*(F_MR/12)),CL69)</f>
        <v>0</v>
      </c>
      <c r="CN69" s="20" t="n">
        <f aca="false">IF(CM69&gt;PR_BalDone,CM69+CM69*(F_MR/12)-MIN(F_MortPayM,CM69+CM69*(F_MR/12)),CM69)</f>
        <v>0</v>
      </c>
      <c r="CO69" s="20" t="n">
        <f aca="false">IF(CN69&gt;PR_BalDone,CN69+CN69*(F_MR/12)-MIN(F_MortPayM,CN69+CN69*(F_MR/12)),CN69)</f>
        <v>0</v>
      </c>
      <c r="CP69" s="20" t="n">
        <f aca="false">IF(CO69&gt;PR_BalDone,CO69+CO69*(F_MR/12)-MIN(F_MortPayM,CO69+CO69*(F_MR/12)),CO69)</f>
        <v>0</v>
      </c>
      <c r="CQ69" s="20" t="n">
        <f aca="false">IF(CP69&gt;PR_BalDone,CP69+CP69*(F_MR/12)-MIN(F_MortPayM,CP69+CP69*(F_MR/12)),CP69)</f>
        <v>0</v>
      </c>
      <c r="CR69" s="20" t="n">
        <f aca="false">IF(CQ69&gt;PR_BalDone,CQ69+CQ69*(F_MR/12)-MIN(F_MortPayM,CQ69+CQ69*(F_MR/12)),CQ69)</f>
        <v>0</v>
      </c>
      <c r="CS69" s="20" t="n">
        <f aca="false">IF(CF69&gt;PR_BalDone,MIN(F_MortPayM,CF69+CF69*(F_MR/12)),0)</f>
        <v>0</v>
      </c>
      <c r="CT69" s="20" t="n">
        <f aca="false">IF(CG69&gt;PR_BalDone,MIN(F_MortPayM,CG69+CG69*(F_MR/12)),0)</f>
        <v>0</v>
      </c>
      <c r="CU69" s="20" t="n">
        <f aca="false">IF(CH69&gt;PR_BalDone,MIN(F_MortPayM,CH69+CH69*(F_MR/12)),0)</f>
        <v>0</v>
      </c>
      <c r="CV69" s="20" t="n">
        <f aca="false">IF(CI69&gt;PR_BalDone,MIN(F_MortPayM,CI69+CI69*(F_MR/12)),0)</f>
        <v>0</v>
      </c>
      <c r="CW69" s="20" t="n">
        <f aca="false">IF(CJ69&gt;PR_BalDone,MIN(F_MortPayM,CJ69+CJ69*(F_MR/12)),0)</f>
        <v>0</v>
      </c>
      <c r="CX69" s="20" t="n">
        <f aca="false">IF(CK69&gt;PR_BalDone,MIN(F_MortPayM,CK69+CK69*(F_MR/12)),0)</f>
        <v>0</v>
      </c>
      <c r="CY69" s="20" t="n">
        <f aca="false">IF(CL69&gt;PR_BalDone,MIN(F_MortPayM,CL69+CL69*(F_MR/12)),0)</f>
        <v>0</v>
      </c>
      <c r="CZ69" s="20" t="n">
        <f aca="false">IF(CM69&gt;PR_BalDone,MIN(F_MortPayM,CM69+CM69*(F_MR/12)),0)</f>
        <v>0</v>
      </c>
      <c r="DA69" s="20" t="n">
        <f aca="false">IF(CN69&gt;PR_BalDone,MIN(F_MortPayM,CN69+CN69*(F_MR/12)),0)</f>
        <v>0</v>
      </c>
      <c r="DB69" s="20" t="n">
        <f aca="false">IF(CO69&gt;PR_BalDone,MIN(F_MortPayM,CO69+CO69*(F_MR/12)),0)</f>
        <v>0</v>
      </c>
      <c r="DC69" s="20" t="n">
        <f aca="false">IF(CP69&gt;PR_BalDone,MIN(F_MortPayM,CP69+CP69*(F_MR/12)),0)</f>
        <v>0</v>
      </c>
      <c r="DD69" s="20" t="n">
        <f aca="false">IF(CQ69&gt;PR_BalDone,MIN(F_MortPayM,CQ69+CQ69*(F_MR/12)),0)</f>
        <v>0</v>
      </c>
      <c r="DE69" s="20" t="n">
        <f aca="false">MAX(0,CR69)</f>
        <v>0</v>
      </c>
      <c r="DF69" s="20" t="n">
        <f aca="false">SUM(CS69:DD69)</f>
        <v>0</v>
      </c>
      <c r="DG69" s="20" t="n">
        <f aca="false">MAX(0,CF69)</f>
        <v>0</v>
      </c>
    </row>
    <row r="70" customFormat="false" ht="15" hidden="false" customHeight="true" outlineLevel="0" collapsed="false">
      <c r="B70" s="20" t="n">
        <v>62</v>
      </c>
      <c r="C70" s="20" t="n">
        <f aca="false">'Plan cashflow'!J70</f>
        <v>0</v>
      </c>
      <c r="D70" s="20" t="n">
        <f aca="false">IF(C70&gt;PR_BalDone,C70+C70*(F_MR/12)-MIN(F_MortPayM,C70+C70*(F_MR/12)),C70)</f>
        <v>0</v>
      </c>
      <c r="E70" s="20" t="n">
        <f aca="false">IF(D70&gt;PR_BalDone,D70+D70*(F_MR/12)-MIN(F_MortPayM,D70+D70*(F_MR/12)),D70)</f>
        <v>0</v>
      </c>
      <c r="F70" s="20" t="n">
        <f aca="false">IF(E70&gt;PR_BalDone,E70+E70*(F_MR/12)-MIN(F_MortPayM,E70+E70*(F_MR/12)),E70)</f>
        <v>0</v>
      </c>
      <c r="G70" s="20" t="n">
        <f aca="false">IF(F70&gt;PR_BalDone,F70+F70*(F_MR/12)-MIN(F_MortPayM,F70+F70*(F_MR/12)),F70)</f>
        <v>0</v>
      </c>
      <c r="H70" s="20" t="n">
        <f aca="false">IF(G70&gt;PR_BalDone,G70+G70*(F_MR/12)-MIN(F_MortPayM,G70+G70*(F_MR/12)),G70)</f>
        <v>0</v>
      </c>
      <c r="I70" s="20" t="n">
        <f aca="false">IF(H70&gt;PR_BalDone,H70+H70*(F_MR/12)-MIN(F_MortPayM,H70+H70*(F_MR/12)),H70)</f>
        <v>0</v>
      </c>
      <c r="J70" s="20" t="n">
        <f aca="false">IF(I70&gt;PR_BalDone,I70+I70*(F_MR/12)-MIN(F_MortPayM,I70+I70*(F_MR/12)),I70)</f>
        <v>0</v>
      </c>
      <c r="K70" s="20" t="n">
        <f aca="false">IF(J70&gt;PR_BalDone,J70+J70*(F_MR/12)-MIN(F_MortPayM,J70+J70*(F_MR/12)),J70)</f>
        <v>0</v>
      </c>
      <c r="L70" s="20" t="n">
        <f aca="false">IF(K70&gt;PR_BalDone,K70+K70*(F_MR/12)-MIN(F_MortPayM,K70+K70*(F_MR/12)),K70)</f>
        <v>0</v>
      </c>
      <c r="M70" s="20" t="n">
        <f aca="false">IF(L70&gt;PR_BalDone,L70+L70*(F_MR/12)-MIN(F_MortPayM,L70+L70*(F_MR/12)),L70)</f>
        <v>0</v>
      </c>
      <c r="N70" s="20" t="n">
        <f aca="false">IF(M70&gt;PR_BalDone,M70+M70*(F_MR/12)-MIN(F_MortPayM,M70+M70*(F_MR/12)),M70)</f>
        <v>0</v>
      </c>
      <c r="O70" s="20" t="n">
        <f aca="false">IF(N70&gt;PR_BalDone,N70+N70*(F_MR/12)-MIN(F_MortPayM,N70+N70*(F_MR/12)),N70)</f>
        <v>0</v>
      </c>
      <c r="P70" s="20" t="n">
        <f aca="false">IF(C70&gt;PR_BalDone,MIN(F_MortPayM,C70+C70*(F_MR/12)),0)</f>
        <v>0</v>
      </c>
      <c r="Q70" s="20" t="n">
        <f aca="false">IF(D70&gt;PR_BalDone,MIN(F_MortPayM,D70+D70*(F_MR/12)),0)</f>
        <v>0</v>
      </c>
      <c r="R70" s="20" t="n">
        <f aca="false">IF(E70&gt;PR_BalDone,MIN(F_MortPayM,E70+E70*(F_MR/12)),0)</f>
        <v>0</v>
      </c>
      <c r="S70" s="20" t="n">
        <f aca="false">IF(F70&gt;PR_BalDone,MIN(F_MortPayM,F70+F70*(F_MR/12)),0)</f>
        <v>0</v>
      </c>
      <c r="T70" s="20" t="n">
        <f aca="false">IF(G70&gt;PR_BalDone,MIN(F_MortPayM,G70+G70*(F_MR/12)),0)</f>
        <v>0</v>
      </c>
      <c r="U70" s="20" t="n">
        <f aca="false">IF(H70&gt;PR_BalDone,MIN(F_MortPayM,H70+H70*(F_MR/12)),0)</f>
        <v>0</v>
      </c>
      <c r="V70" s="20" t="n">
        <f aca="false">IF(I70&gt;PR_BalDone,MIN(F_MortPayM,I70+I70*(F_MR/12)),0)</f>
        <v>0</v>
      </c>
      <c r="W70" s="20" t="n">
        <f aca="false">IF(J70&gt;PR_BalDone,MIN(F_MortPayM,J70+J70*(F_MR/12)),0)</f>
        <v>0</v>
      </c>
      <c r="X70" s="20" t="n">
        <f aca="false">IF(K70&gt;PR_BalDone,MIN(F_MortPayM,K70+K70*(F_MR/12)),0)</f>
        <v>0</v>
      </c>
      <c r="Y70" s="20" t="n">
        <f aca="false">IF(L70&gt;PR_BalDone,MIN(F_MortPayM,L70+L70*(F_MR/12)),0)</f>
        <v>0</v>
      </c>
      <c r="Z70" s="20" t="n">
        <f aca="false">IF(M70&gt;PR_BalDone,MIN(F_MortPayM,M70+M70*(F_MR/12)),0)</f>
        <v>0</v>
      </c>
      <c r="AA70" s="20" t="n">
        <f aca="false">IF(N70&gt;PR_BalDone,MIN(F_MortPayM,N70+N70*(F_MR/12)),0)</f>
        <v>0</v>
      </c>
      <c r="AB70" s="20" t="n">
        <f aca="false">MAX(0,O70)</f>
        <v>0</v>
      </c>
      <c r="AC70" s="20" t="n">
        <f aca="false">SUM(P70:AA70)</f>
        <v>0</v>
      </c>
      <c r="AD70" s="20" t="n">
        <f aca="false">'Plan cashflow'!M70</f>
        <v>0</v>
      </c>
      <c r="AE70" s="20" t="n">
        <f aca="false">IF(AD70&gt;PR_BalDone,AD70+AD70*(D_iC)-MIN(F_CardPayM,AD70+AD70*(D_iC)),AD70)</f>
        <v>0</v>
      </c>
      <c r="AF70" s="20" t="n">
        <f aca="false">IF(AE70&gt;PR_BalDone,AE70+AE70*(D_iC)-MIN(F_CardPayM,AE70+AE70*(D_iC)),AE70)</f>
        <v>0</v>
      </c>
      <c r="AG70" s="20" t="n">
        <f aca="false">IF(AF70&gt;PR_BalDone,AF70+AF70*(D_iC)-MIN(F_CardPayM,AF70+AF70*(D_iC)),AF70)</f>
        <v>0</v>
      </c>
      <c r="AH70" s="20" t="n">
        <f aca="false">IF(AG70&gt;PR_BalDone,AG70+AG70*(D_iC)-MIN(F_CardPayM,AG70+AG70*(D_iC)),AG70)</f>
        <v>0</v>
      </c>
      <c r="AI70" s="20" t="n">
        <f aca="false">IF(AH70&gt;PR_BalDone,AH70+AH70*(D_iC)-MIN(F_CardPayM,AH70+AH70*(D_iC)),AH70)</f>
        <v>0</v>
      </c>
      <c r="AJ70" s="20" t="n">
        <f aca="false">IF(AI70&gt;PR_BalDone,AI70+AI70*(D_iC)-MIN(F_CardPayM,AI70+AI70*(D_iC)),AI70)</f>
        <v>0</v>
      </c>
      <c r="AK70" s="20" t="n">
        <f aca="false">IF(AJ70&gt;PR_BalDone,AJ70+AJ70*(D_iC)-MIN(F_CardPayM,AJ70+AJ70*(D_iC)),AJ70)</f>
        <v>0</v>
      </c>
      <c r="AL70" s="20" t="n">
        <f aca="false">IF(AK70&gt;PR_BalDone,AK70+AK70*(D_iC)-MIN(F_CardPayM,AK70+AK70*(D_iC)),AK70)</f>
        <v>0</v>
      </c>
      <c r="AM70" s="20" t="n">
        <f aca="false">IF(AL70&gt;PR_BalDone,AL70+AL70*(D_iC)-MIN(F_CardPayM,AL70+AL70*(D_iC)),AL70)</f>
        <v>0</v>
      </c>
      <c r="AN70" s="20" t="n">
        <f aca="false">IF(AM70&gt;PR_BalDone,AM70+AM70*(D_iC)-MIN(F_CardPayM,AM70+AM70*(D_iC)),AM70)</f>
        <v>0</v>
      </c>
      <c r="AO70" s="20" t="n">
        <f aca="false">IF(AN70&gt;PR_BalDone,AN70+AN70*(D_iC)-MIN(F_CardPayM,AN70+AN70*(D_iC)),AN70)</f>
        <v>0</v>
      </c>
      <c r="AP70" s="20" t="n">
        <f aca="false">IF(AO70&gt;PR_BalDone,AO70+AO70*(D_iC)-MIN(F_CardPayM,AO70+AO70*(D_iC)),AO70)</f>
        <v>0</v>
      </c>
      <c r="AQ70" s="20" t="n">
        <f aca="false">IF(AD70&gt;PR_BalDone,MIN(F_CardPayM,AD70+AD70*(D_iC)),0)</f>
        <v>0</v>
      </c>
      <c r="AR70" s="20" t="n">
        <f aca="false">IF(AE70&gt;PR_BalDone,MIN(F_CardPayM,AE70+AE70*(D_iC)),0)</f>
        <v>0</v>
      </c>
      <c r="AS70" s="20" t="n">
        <f aca="false">IF(AF70&gt;PR_BalDone,MIN(F_CardPayM,AF70+AF70*(D_iC)),0)</f>
        <v>0</v>
      </c>
      <c r="AT70" s="20" t="n">
        <f aca="false">IF(AG70&gt;PR_BalDone,MIN(F_CardPayM,AG70+AG70*(D_iC)),0)</f>
        <v>0</v>
      </c>
      <c r="AU70" s="20" t="n">
        <f aca="false">IF(AH70&gt;PR_BalDone,MIN(F_CardPayM,AH70+AH70*(D_iC)),0)</f>
        <v>0</v>
      </c>
      <c r="AV70" s="20" t="n">
        <f aca="false">IF(AI70&gt;PR_BalDone,MIN(F_CardPayM,AI70+AI70*(D_iC)),0)</f>
        <v>0</v>
      </c>
      <c r="AW70" s="20" t="n">
        <f aca="false">IF(AJ70&gt;PR_BalDone,MIN(F_CardPayM,AJ70+AJ70*(D_iC)),0)</f>
        <v>0</v>
      </c>
      <c r="AX70" s="20" t="n">
        <f aca="false">IF(AK70&gt;PR_BalDone,MIN(F_CardPayM,AK70+AK70*(D_iC)),0)</f>
        <v>0</v>
      </c>
      <c r="AY70" s="20" t="n">
        <f aca="false">IF(AL70&gt;PR_BalDone,MIN(F_CardPayM,AL70+AL70*(D_iC)),0)</f>
        <v>0</v>
      </c>
      <c r="AZ70" s="20" t="n">
        <f aca="false">IF(AM70&gt;PR_BalDone,MIN(F_CardPayM,AM70+AM70*(D_iC)),0)</f>
        <v>0</v>
      </c>
      <c r="BA70" s="20" t="n">
        <f aca="false">IF(AN70&gt;PR_BalDone,MIN(F_CardPayM,AN70+AN70*(D_iC)),0)</f>
        <v>0</v>
      </c>
      <c r="BB70" s="20" t="n">
        <f aca="false">IF(AO70&gt;PR_BalDone,MIN(F_CardPayM,AO70+AO70*(D_iC)),0)</f>
        <v>0</v>
      </c>
      <c r="BC70" s="20" t="n">
        <f aca="false">MAX(0,AP70)</f>
        <v>0</v>
      </c>
      <c r="BD70" s="20" t="n">
        <f aca="false">SUM(AQ70:BB70)</f>
        <v>0</v>
      </c>
      <c r="BE70" s="20" t="n">
        <f aca="false">'Plan cashflow'!P70</f>
        <v>0</v>
      </c>
      <c r="BF70" s="20" t="n">
        <f aca="false">IF(BE70&gt;PR_BalDone,BE70+BE70*(D_iL)-MIN(F_LoanPayM,BE70+BE70*(D_iL)),BE70)</f>
        <v>0</v>
      </c>
      <c r="BG70" s="20" t="n">
        <f aca="false">IF(BF70&gt;PR_BalDone,BF70+BF70*(D_iL)-MIN(F_LoanPayM,BF70+BF70*(D_iL)),BF70)</f>
        <v>0</v>
      </c>
      <c r="BH70" s="20" t="n">
        <f aca="false">IF(BG70&gt;PR_BalDone,BG70+BG70*(D_iL)-MIN(F_LoanPayM,BG70+BG70*(D_iL)),BG70)</f>
        <v>0</v>
      </c>
      <c r="BI70" s="20" t="n">
        <f aca="false">IF(BH70&gt;PR_BalDone,BH70+BH70*(D_iL)-MIN(F_LoanPayM,BH70+BH70*(D_iL)),BH70)</f>
        <v>0</v>
      </c>
      <c r="BJ70" s="20" t="n">
        <f aca="false">IF(BI70&gt;PR_BalDone,BI70+BI70*(D_iL)-MIN(F_LoanPayM,BI70+BI70*(D_iL)),BI70)</f>
        <v>0</v>
      </c>
      <c r="BK70" s="20" t="n">
        <f aca="false">IF(BJ70&gt;PR_BalDone,BJ70+BJ70*(D_iL)-MIN(F_LoanPayM,BJ70+BJ70*(D_iL)),BJ70)</f>
        <v>0</v>
      </c>
      <c r="BL70" s="20" t="n">
        <f aca="false">IF(BK70&gt;PR_BalDone,BK70+BK70*(D_iL)-MIN(F_LoanPayM,BK70+BK70*(D_iL)),BK70)</f>
        <v>0</v>
      </c>
      <c r="BM70" s="20" t="n">
        <f aca="false">IF(BL70&gt;PR_BalDone,BL70+BL70*(D_iL)-MIN(F_LoanPayM,BL70+BL70*(D_iL)),BL70)</f>
        <v>0</v>
      </c>
      <c r="BN70" s="20" t="n">
        <f aca="false">IF(BM70&gt;PR_BalDone,BM70+BM70*(D_iL)-MIN(F_LoanPayM,BM70+BM70*(D_iL)),BM70)</f>
        <v>0</v>
      </c>
      <c r="BO70" s="20" t="n">
        <f aca="false">IF(BN70&gt;PR_BalDone,BN70+BN70*(D_iL)-MIN(F_LoanPayM,BN70+BN70*(D_iL)),BN70)</f>
        <v>0</v>
      </c>
      <c r="BP70" s="20" t="n">
        <f aca="false">IF(BO70&gt;PR_BalDone,BO70+BO70*(D_iL)-MIN(F_LoanPayM,BO70+BO70*(D_iL)),BO70)</f>
        <v>0</v>
      </c>
      <c r="BQ70" s="20" t="n">
        <f aca="false">IF(BP70&gt;PR_BalDone,BP70+BP70*(D_iL)-MIN(F_LoanPayM,BP70+BP70*(D_iL)),BP70)</f>
        <v>0</v>
      </c>
      <c r="BR70" s="20" t="n">
        <f aca="false">IF(BE70&gt;PR_BalDone,MIN(F_LoanPayM,BE70+BE70*(D_iL)),0)</f>
        <v>0</v>
      </c>
      <c r="BS70" s="20" t="n">
        <f aca="false">IF(BF70&gt;PR_BalDone,MIN(F_LoanPayM,BF70+BF70*(D_iL)),0)</f>
        <v>0</v>
      </c>
      <c r="BT70" s="20" t="n">
        <f aca="false">IF(BG70&gt;PR_BalDone,MIN(F_LoanPayM,BG70+BG70*(D_iL)),0)</f>
        <v>0</v>
      </c>
      <c r="BU70" s="20" t="n">
        <f aca="false">IF(BH70&gt;PR_BalDone,MIN(F_LoanPayM,BH70+BH70*(D_iL)),0)</f>
        <v>0</v>
      </c>
      <c r="BV70" s="20" t="n">
        <f aca="false">IF(BI70&gt;PR_BalDone,MIN(F_LoanPayM,BI70+BI70*(D_iL)),0)</f>
        <v>0</v>
      </c>
      <c r="BW70" s="20" t="n">
        <f aca="false">IF(BJ70&gt;PR_BalDone,MIN(F_LoanPayM,BJ70+BJ70*(D_iL)),0)</f>
        <v>0</v>
      </c>
      <c r="BX70" s="20" t="n">
        <f aca="false">IF(BK70&gt;PR_BalDone,MIN(F_LoanPayM,BK70+BK70*(D_iL)),0)</f>
        <v>0</v>
      </c>
      <c r="BY70" s="20" t="n">
        <f aca="false">IF(BL70&gt;PR_BalDone,MIN(F_LoanPayM,BL70+BL70*(D_iL)),0)</f>
        <v>0</v>
      </c>
      <c r="BZ70" s="20" t="n">
        <f aca="false">IF(BM70&gt;PR_BalDone,MIN(F_LoanPayM,BM70+BM70*(D_iL)),0)</f>
        <v>0</v>
      </c>
      <c r="CA70" s="20" t="n">
        <f aca="false">IF(BN70&gt;PR_BalDone,MIN(F_LoanPayM,BN70+BN70*(D_iL)),0)</f>
        <v>0</v>
      </c>
      <c r="CB70" s="20" t="n">
        <f aca="false">IF(BO70&gt;PR_BalDone,MIN(F_LoanPayM,BO70+BO70*(D_iL)),0)</f>
        <v>0</v>
      </c>
      <c r="CC70" s="20" t="n">
        <f aca="false">IF(BP70&gt;PR_BalDone,MIN(F_LoanPayM,BP70+BP70*(D_iL)),0)</f>
        <v>0</v>
      </c>
      <c r="CD70" s="20" t="n">
        <f aca="false">MAX(0,BQ70)</f>
        <v>0</v>
      </c>
      <c r="CE70" s="20" t="n">
        <f aca="false">SUM(BR70:CC70)</f>
        <v>0</v>
      </c>
      <c r="CF70" s="20" t="n">
        <f aca="false">IF(CF69&gt;1,DE69,CF69)</f>
        <v>0</v>
      </c>
      <c r="CG70" s="20" t="n">
        <f aca="false">IF(CF70&gt;PR_BalDone,CF70+CF70*(F_MR/12)-MIN(F_MortPayM,CF70+CF70*(F_MR/12)),CF70)</f>
        <v>0</v>
      </c>
      <c r="CH70" s="20" t="n">
        <f aca="false">IF(CG70&gt;PR_BalDone,CG70+CG70*(F_MR/12)-MIN(F_MortPayM,CG70+CG70*(F_MR/12)),CG70)</f>
        <v>0</v>
      </c>
      <c r="CI70" s="20" t="n">
        <f aca="false">IF(CH70&gt;PR_BalDone,CH70+CH70*(F_MR/12)-MIN(F_MortPayM,CH70+CH70*(F_MR/12)),CH70)</f>
        <v>0</v>
      </c>
      <c r="CJ70" s="20" t="n">
        <f aca="false">IF(CI70&gt;PR_BalDone,CI70+CI70*(F_MR/12)-MIN(F_MortPayM,CI70+CI70*(F_MR/12)),CI70)</f>
        <v>0</v>
      </c>
      <c r="CK70" s="20" t="n">
        <f aca="false">IF(CJ70&gt;PR_BalDone,CJ70+CJ70*(F_MR/12)-MIN(F_MortPayM,CJ70+CJ70*(F_MR/12)),CJ70)</f>
        <v>0</v>
      </c>
      <c r="CL70" s="20" t="n">
        <f aca="false">IF(CK70&gt;PR_BalDone,CK70+CK70*(F_MR/12)-MIN(F_MortPayM,CK70+CK70*(F_MR/12)),CK70)</f>
        <v>0</v>
      </c>
      <c r="CM70" s="20" t="n">
        <f aca="false">IF(CL70&gt;PR_BalDone,CL70+CL70*(F_MR/12)-MIN(F_MortPayM,CL70+CL70*(F_MR/12)),CL70)</f>
        <v>0</v>
      </c>
      <c r="CN70" s="20" t="n">
        <f aca="false">IF(CM70&gt;PR_BalDone,CM70+CM70*(F_MR/12)-MIN(F_MortPayM,CM70+CM70*(F_MR/12)),CM70)</f>
        <v>0</v>
      </c>
      <c r="CO70" s="20" t="n">
        <f aca="false">IF(CN70&gt;PR_BalDone,CN70+CN70*(F_MR/12)-MIN(F_MortPayM,CN70+CN70*(F_MR/12)),CN70)</f>
        <v>0</v>
      </c>
      <c r="CP70" s="20" t="n">
        <f aca="false">IF(CO70&gt;PR_BalDone,CO70+CO70*(F_MR/12)-MIN(F_MortPayM,CO70+CO70*(F_MR/12)),CO70)</f>
        <v>0</v>
      </c>
      <c r="CQ70" s="20" t="n">
        <f aca="false">IF(CP70&gt;PR_BalDone,CP70+CP70*(F_MR/12)-MIN(F_MortPayM,CP70+CP70*(F_MR/12)),CP70)</f>
        <v>0</v>
      </c>
      <c r="CR70" s="20" t="n">
        <f aca="false">IF(CQ70&gt;PR_BalDone,CQ70+CQ70*(F_MR/12)-MIN(F_MortPayM,CQ70+CQ70*(F_MR/12)),CQ70)</f>
        <v>0</v>
      </c>
      <c r="CS70" s="20" t="n">
        <f aca="false">IF(CF70&gt;PR_BalDone,MIN(F_MortPayM,CF70+CF70*(F_MR/12)),0)</f>
        <v>0</v>
      </c>
      <c r="CT70" s="20" t="n">
        <f aca="false">IF(CG70&gt;PR_BalDone,MIN(F_MortPayM,CG70+CG70*(F_MR/12)),0)</f>
        <v>0</v>
      </c>
      <c r="CU70" s="20" t="n">
        <f aca="false">IF(CH70&gt;PR_BalDone,MIN(F_MortPayM,CH70+CH70*(F_MR/12)),0)</f>
        <v>0</v>
      </c>
      <c r="CV70" s="20" t="n">
        <f aca="false">IF(CI70&gt;PR_BalDone,MIN(F_MortPayM,CI70+CI70*(F_MR/12)),0)</f>
        <v>0</v>
      </c>
      <c r="CW70" s="20" t="n">
        <f aca="false">IF(CJ70&gt;PR_BalDone,MIN(F_MortPayM,CJ70+CJ70*(F_MR/12)),0)</f>
        <v>0</v>
      </c>
      <c r="CX70" s="20" t="n">
        <f aca="false">IF(CK70&gt;PR_BalDone,MIN(F_MortPayM,CK70+CK70*(F_MR/12)),0)</f>
        <v>0</v>
      </c>
      <c r="CY70" s="20" t="n">
        <f aca="false">IF(CL70&gt;PR_BalDone,MIN(F_MortPayM,CL70+CL70*(F_MR/12)),0)</f>
        <v>0</v>
      </c>
      <c r="CZ70" s="20" t="n">
        <f aca="false">IF(CM70&gt;PR_BalDone,MIN(F_MortPayM,CM70+CM70*(F_MR/12)),0)</f>
        <v>0</v>
      </c>
      <c r="DA70" s="20" t="n">
        <f aca="false">IF(CN70&gt;PR_BalDone,MIN(F_MortPayM,CN70+CN70*(F_MR/12)),0)</f>
        <v>0</v>
      </c>
      <c r="DB70" s="20" t="n">
        <f aca="false">IF(CO70&gt;PR_BalDone,MIN(F_MortPayM,CO70+CO70*(F_MR/12)),0)</f>
        <v>0</v>
      </c>
      <c r="DC70" s="20" t="n">
        <f aca="false">IF(CP70&gt;PR_BalDone,MIN(F_MortPayM,CP70+CP70*(F_MR/12)),0)</f>
        <v>0</v>
      </c>
      <c r="DD70" s="20" t="n">
        <f aca="false">IF(CQ70&gt;PR_BalDone,MIN(F_MortPayM,CQ70+CQ70*(F_MR/12)),0)</f>
        <v>0</v>
      </c>
      <c r="DE70" s="20" t="n">
        <f aca="false">MAX(0,CR70)</f>
        <v>0</v>
      </c>
      <c r="DF70" s="20" t="n">
        <f aca="false">SUM(CS70:DD70)</f>
        <v>0</v>
      </c>
      <c r="DG70" s="20" t="n">
        <f aca="false">MAX(0,CF70)</f>
        <v>0</v>
      </c>
    </row>
    <row r="71" customFormat="false" ht="15" hidden="false" customHeight="true" outlineLevel="0" collapsed="false">
      <c r="B71" s="20" t="n">
        <v>63</v>
      </c>
      <c r="C71" s="20" t="n">
        <f aca="false">'Plan cashflow'!J71</f>
        <v>0</v>
      </c>
      <c r="D71" s="20" t="n">
        <f aca="false">IF(C71&gt;PR_BalDone,C71+C71*(F_MR/12)-MIN(F_MortPayM,C71+C71*(F_MR/12)),C71)</f>
        <v>0</v>
      </c>
      <c r="E71" s="20" t="n">
        <f aca="false">IF(D71&gt;PR_BalDone,D71+D71*(F_MR/12)-MIN(F_MortPayM,D71+D71*(F_MR/12)),D71)</f>
        <v>0</v>
      </c>
      <c r="F71" s="20" t="n">
        <f aca="false">IF(E71&gt;PR_BalDone,E71+E71*(F_MR/12)-MIN(F_MortPayM,E71+E71*(F_MR/12)),E71)</f>
        <v>0</v>
      </c>
      <c r="G71" s="20" t="n">
        <f aca="false">IF(F71&gt;PR_BalDone,F71+F71*(F_MR/12)-MIN(F_MortPayM,F71+F71*(F_MR/12)),F71)</f>
        <v>0</v>
      </c>
      <c r="H71" s="20" t="n">
        <f aca="false">IF(G71&gt;PR_BalDone,G71+G71*(F_MR/12)-MIN(F_MortPayM,G71+G71*(F_MR/12)),G71)</f>
        <v>0</v>
      </c>
      <c r="I71" s="20" t="n">
        <f aca="false">IF(H71&gt;PR_BalDone,H71+H71*(F_MR/12)-MIN(F_MortPayM,H71+H71*(F_MR/12)),H71)</f>
        <v>0</v>
      </c>
      <c r="J71" s="20" t="n">
        <f aca="false">IF(I71&gt;PR_BalDone,I71+I71*(F_MR/12)-MIN(F_MortPayM,I71+I71*(F_MR/12)),I71)</f>
        <v>0</v>
      </c>
      <c r="K71" s="20" t="n">
        <f aca="false">IF(J71&gt;PR_BalDone,J71+J71*(F_MR/12)-MIN(F_MortPayM,J71+J71*(F_MR/12)),J71)</f>
        <v>0</v>
      </c>
      <c r="L71" s="20" t="n">
        <f aca="false">IF(K71&gt;PR_BalDone,K71+K71*(F_MR/12)-MIN(F_MortPayM,K71+K71*(F_MR/12)),K71)</f>
        <v>0</v>
      </c>
      <c r="M71" s="20" t="n">
        <f aca="false">IF(L71&gt;PR_BalDone,L71+L71*(F_MR/12)-MIN(F_MortPayM,L71+L71*(F_MR/12)),L71)</f>
        <v>0</v>
      </c>
      <c r="N71" s="20" t="n">
        <f aca="false">IF(M71&gt;PR_BalDone,M71+M71*(F_MR/12)-MIN(F_MortPayM,M71+M71*(F_MR/12)),M71)</f>
        <v>0</v>
      </c>
      <c r="O71" s="20" t="n">
        <f aca="false">IF(N71&gt;PR_BalDone,N71+N71*(F_MR/12)-MIN(F_MortPayM,N71+N71*(F_MR/12)),N71)</f>
        <v>0</v>
      </c>
      <c r="P71" s="20" t="n">
        <f aca="false">IF(C71&gt;PR_BalDone,MIN(F_MortPayM,C71+C71*(F_MR/12)),0)</f>
        <v>0</v>
      </c>
      <c r="Q71" s="20" t="n">
        <f aca="false">IF(D71&gt;PR_BalDone,MIN(F_MortPayM,D71+D71*(F_MR/12)),0)</f>
        <v>0</v>
      </c>
      <c r="R71" s="20" t="n">
        <f aca="false">IF(E71&gt;PR_BalDone,MIN(F_MortPayM,E71+E71*(F_MR/12)),0)</f>
        <v>0</v>
      </c>
      <c r="S71" s="20" t="n">
        <f aca="false">IF(F71&gt;PR_BalDone,MIN(F_MortPayM,F71+F71*(F_MR/12)),0)</f>
        <v>0</v>
      </c>
      <c r="T71" s="20" t="n">
        <f aca="false">IF(G71&gt;PR_BalDone,MIN(F_MortPayM,G71+G71*(F_MR/12)),0)</f>
        <v>0</v>
      </c>
      <c r="U71" s="20" t="n">
        <f aca="false">IF(H71&gt;PR_BalDone,MIN(F_MortPayM,H71+H71*(F_MR/12)),0)</f>
        <v>0</v>
      </c>
      <c r="V71" s="20" t="n">
        <f aca="false">IF(I71&gt;PR_BalDone,MIN(F_MortPayM,I71+I71*(F_MR/12)),0)</f>
        <v>0</v>
      </c>
      <c r="W71" s="20" t="n">
        <f aca="false">IF(J71&gt;PR_BalDone,MIN(F_MortPayM,J71+J71*(F_MR/12)),0)</f>
        <v>0</v>
      </c>
      <c r="X71" s="20" t="n">
        <f aca="false">IF(K71&gt;PR_BalDone,MIN(F_MortPayM,K71+K71*(F_MR/12)),0)</f>
        <v>0</v>
      </c>
      <c r="Y71" s="20" t="n">
        <f aca="false">IF(L71&gt;PR_BalDone,MIN(F_MortPayM,L71+L71*(F_MR/12)),0)</f>
        <v>0</v>
      </c>
      <c r="Z71" s="20" t="n">
        <f aca="false">IF(M71&gt;PR_BalDone,MIN(F_MortPayM,M71+M71*(F_MR/12)),0)</f>
        <v>0</v>
      </c>
      <c r="AA71" s="20" t="n">
        <f aca="false">IF(N71&gt;PR_BalDone,MIN(F_MortPayM,N71+N71*(F_MR/12)),0)</f>
        <v>0</v>
      </c>
      <c r="AB71" s="20" t="n">
        <f aca="false">MAX(0,O71)</f>
        <v>0</v>
      </c>
      <c r="AC71" s="20" t="n">
        <f aca="false">SUM(P71:AA71)</f>
        <v>0</v>
      </c>
      <c r="AD71" s="20" t="n">
        <f aca="false">'Plan cashflow'!M71</f>
        <v>0</v>
      </c>
      <c r="AE71" s="20" t="n">
        <f aca="false">IF(AD71&gt;PR_BalDone,AD71+AD71*(D_iC)-MIN(F_CardPayM,AD71+AD71*(D_iC)),AD71)</f>
        <v>0</v>
      </c>
      <c r="AF71" s="20" t="n">
        <f aca="false">IF(AE71&gt;PR_BalDone,AE71+AE71*(D_iC)-MIN(F_CardPayM,AE71+AE71*(D_iC)),AE71)</f>
        <v>0</v>
      </c>
      <c r="AG71" s="20" t="n">
        <f aca="false">IF(AF71&gt;PR_BalDone,AF71+AF71*(D_iC)-MIN(F_CardPayM,AF71+AF71*(D_iC)),AF71)</f>
        <v>0</v>
      </c>
      <c r="AH71" s="20" t="n">
        <f aca="false">IF(AG71&gt;PR_BalDone,AG71+AG71*(D_iC)-MIN(F_CardPayM,AG71+AG71*(D_iC)),AG71)</f>
        <v>0</v>
      </c>
      <c r="AI71" s="20" t="n">
        <f aca="false">IF(AH71&gt;PR_BalDone,AH71+AH71*(D_iC)-MIN(F_CardPayM,AH71+AH71*(D_iC)),AH71)</f>
        <v>0</v>
      </c>
      <c r="AJ71" s="20" t="n">
        <f aca="false">IF(AI71&gt;PR_BalDone,AI71+AI71*(D_iC)-MIN(F_CardPayM,AI71+AI71*(D_iC)),AI71)</f>
        <v>0</v>
      </c>
      <c r="AK71" s="20" t="n">
        <f aca="false">IF(AJ71&gt;PR_BalDone,AJ71+AJ71*(D_iC)-MIN(F_CardPayM,AJ71+AJ71*(D_iC)),AJ71)</f>
        <v>0</v>
      </c>
      <c r="AL71" s="20" t="n">
        <f aca="false">IF(AK71&gt;PR_BalDone,AK71+AK71*(D_iC)-MIN(F_CardPayM,AK71+AK71*(D_iC)),AK71)</f>
        <v>0</v>
      </c>
      <c r="AM71" s="20" t="n">
        <f aca="false">IF(AL71&gt;PR_BalDone,AL71+AL71*(D_iC)-MIN(F_CardPayM,AL71+AL71*(D_iC)),AL71)</f>
        <v>0</v>
      </c>
      <c r="AN71" s="20" t="n">
        <f aca="false">IF(AM71&gt;PR_BalDone,AM71+AM71*(D_iC)-MIN(F_CardPayM,AM71+AM71*(D_iC)),AM71)</f>
        <v>0</v>
      </c>
      <c r="AO71" s="20" t="n">
        <f aca="false">IF(AN71&gt;PR_BalDone,AN71+AN71*(D_iC)-MIN(F_CardPayM,AN71+AN71*(D_iC)),AN71)</f>
        <v>0</v>
      </c>
      <c r="AP71" s="20" t="n">
        <f aca="false">IF(AO71&gt;PR_BalDone,AO71+AO71*(D_iC)-MIN(F_CardPayM,AO71+AO71*(D_iC)),AO71)</f>
        <v>0</v>
      </c>
      <c r="AQ71" s="20" t="n">
        <f aca="false">IF(AD71&gt;PR_BalDone,MIN(F_CardPayM,AD71+AD71*(D_iC)),0)</f>
        <v>0</v>
      </c>
      <c r="AR71" s="20" t="n">
        <f aca="false">IF(AE71&gt;PR_BalDone,MIN(F_CardPayM,AE71+AE71*(D_iC)),0)</f>
        <v>0</v>
      </c>
      <c r="AS71" s="20" t="n">
        <f aca="false">IF(AF71&gt;PR_BalDone,MIN(F_CardPayM,AF71+AF71*(D_iC)),0)</f>
        <v>0</v>
      </c>
      <c r="AT71" s="20" t="n">
        <f aca="false">IF(AG71&gt;PR_BalDone,MIN(F_CardPayM,AG71+AG71*(D_iC)),0)</f>
        <v>0</v>
      </c>
      <c r="AU71" s="20" t="n">
        <f aca="false">IF(AH71&gt;PR_BalDone,MIN(F_CardPayM,AH71+AH71*(D_iC)),0)</f>
        <v>0</v>
      </c>
      <c r="AV71" s="20" t="n">
        <f aca="false">IF(AI71&gt;PR_BalDone,MIN(F_CardPayM,AI71+AI71*(D_iC)),0)</f>
        <v>0</v>
      </c>
      <c r="AW71" s="20" t="n">
        <f aca="false">IF(AJ71&gt;PR_BalDone,MIN(F_CardPayM,AJ71+AJ71*(D_iC)),0)</f>
        <v>0</v>
      </c>
      <c r="AX71" s="20" t="n">
        <f aca="false">IF(AK71&gt;PR_BalDone,MIN(F_CardPayM,AK71+AK71*(D_iC)),0)</f>
        <v>0</v>
      </c>
      <c r="AY71" s="20" t="n">
        <f aca="false">IF(AL71&gt;PR_BalDone,MIN(F_CardPayM,AL71+AL71*(D_iC)),0)</f>
        <v>0</v>
      </c>
      <c r="AZ71" s="20" t="n">
        <f aca="false">IF(AM71&gt;PR_BalDone,MIN(F_CardPayM,AM71+AM71*(D_iC)),0)</f>
        <v>0</v>
      </c>
      <c r="BA71" s="20" t="n">
        <f aca="false">IF(AN71&gt;PR_BalDone,MIN(F_CardPayM,AN71+AN71*(D_iC)),0)</f>
        <v>0</v>
      </c>
      <c r="BB71" s="20" t="n">
        <f aca="false">IF(AO71&gt;PR_BalDone,MIN(F_CardPayM,AO71+AO71*(D_iC)),0)</f>
        <v>0</v>
      </c>
      <c r="BC71" s="20" t="n">
        <f aca="false">MAX(0,AP71)</f>
        <v>0</v>
      </c>
      <c r="BD71" s="20" t="n">
        <f aca="false">SUM(AQ71:BB71)</f>
        <v>0</v>
      </c>
      <c r="BE71" s="20" t="n">
        <f aca="false">'Plan cashflow'!P71</f>
        <v>0</v>
      </c>
      <c r="BF71" s="20" t="n">
        <f aca="false">IF(BE71&gt;PR_BalDone,BE71+BE71*(D_iL)-MIN(F_LoanPayM,BE71+BE71*(D_iL)),BE71)</f>
        <v>0</v>
      </c>
      <c r="BG71" s="20" t="n">
        <f aca="false">IF(BF71&gt;PR_BalDone,BF71+BF71*(D_iL)-MIN(F_LoanPayM,BF71+BF71*(D_iL)),BF71)</f>
        <v>0</v>
      </c>
      <c r="BH71" s="20" t="n">
        <f aca="false">IF(BG71&gt;PR_BalDone,BG71+BG71*(D_iL)-MIN(F_LoanPayM,BG71+BG71*(D_iL)),BG71)</f>
        <v>0</v>
      </c>
      <c r="BI71" s="20" t="n">
        <f aca="false">IF(BH71&gt;PR_BalDone,BH71+BH71*(D_iL)-MIN(F_LoanPayM,BH71+BH71*(D_iL)),BH71)</f>
        <v>0</v>
      </c>
      <c r="BJ71" s="20" t="n">
        <f aca="false">IF(BI71&gt;PR_BalDone,BI71+BI71*(D_iL)-MIN(F_LoanPayM,BI71+BI71*(D_iL)),BI71)</f>
        <v>0</v>
      </c>
      <c r="BK71" s="20" t="n">
        <f aca="false">IF(BJ71&gt;PR_BalDone,BJ71+BJ71*(D_iL)-MIN(F_LoanPayM,BJ71+BJ71*(D_iL)),BJ71)</f>
        <v>0</v>
      </c>
      <c r="BL71" s="20" t="n">
        <f aca="false">IF(BK71&gt;PR_BalDone,BK71+BK71*(D_iL)-MIN(F_LoanPayM,BK71+BK71*(D_iL)),BK71)</f>
        <v>0</v>
      </c>
      <c r="BM71" s="20" t="n">
        <f aca="false">IF(BL71&gt;PR_BalDone,BL71+BL71*(D_iL)-MIN(F_LoanPayM,BL71+BL71*(D_iL)),BL71)</f>
        <v>0</v>
      </c>
      <c r="BN71" s="20" t="n">
        <f aca="false">IF(BM71&gt;PR_BalDone,BM71+BM71*(D_iL)-MIN(F_LoanPayM,BM71+BM71*(D_iL)),BM71)</f>
        <v>0</v>
      </c>
      <c r="BO71" s="20" t="n">
        <f aca="false">IF(BN71&gt;PR_BalDone,BN71+BN71*(D_iL)-MIN(F_LoanPayM,BN71+BN71*(D_iL)),BN71)</f>
        <v>0</v>
      </c>
      <c r="BP71" s="20" t="n">
        <f aca="false">IF(BO71&gt;PR_BalDone,BO71+BO71*(D_iL)-MIN(F_LoanPayM,BO71+BO71*(D_iL)),BO71)</f>
        <v>0</v>
      </c>
      <c r="BQ71" s="20" t="n">
        <f aca="false">IF(BP71&gt;PR_BalDone,BP71+BP71*(D_iL)-MIN(F_LoanPayM,BP71+BP71*(D_iL)),BP71)</f>
        <v>0</v>
      </c>
      <c r="BR71" s="20" t="n">
        <f aca="false">IF(BE71&gt;PR_BalDone,MIN(F_LoanPayM,BE71+BE71*(D_iL)),0)</f>
        <v>0</v>
      </c>
      <c r="BS71" s="20" t="n">
        <f aca="false">IF(BF71&gt;PR_BalDone,MIN(F_LoanPayM,BF71+BF71*(D_iL)),0)</f>
        <v>0</v>
      </c>
      <c r="BT71" s="20" t="n">
        <f aca="false">IF(BG71&gt;PR_BalDone,MIN(F_LoanPayM,BG71+BG71*(D_iL)),0)</f>
        <v>0</v>
      </c>
      <c r="BU71" s="20" t="n">
        <f aca="false">IF(BH71&gt;PR_BalDone,MIN(F_LoanPayM,BH71+BH71*(D_iL)),0)</f>
        <v>0</v>
      </c>
      <c r="BV71" s="20" t="n">
        <f aca="false">IF(BI71&gt;PR_BalDone,MIN(F_LoanPayM,BI71+BI71*(D_iL)),0)</f>
        <v>0</v>
      </c>
      <c r="BW71" s="20" t="n">
        <f aca="false">IF(BJ71&gt;PR_BalDone,MIN(F_LoanPayM,BJ71+BJ71*(D_iL)),0)</f>
        <v>0</v>
      </c>
      <c r="BX71" s="20" t="n">
        <f aca="false">IF(BK71&gt;PR_BalDone,MIN(F_LoanPayM,BK71+BK71*(D_iL)),0)</f>
        <v>0</v>
      </c>
      <c r="BY71" s="20" t="n">
        <f aca="false">IF(BL71&gt;PR_BalDone,MIN(F_LoanPayM,BL71+BL71*(D_iL)),0)</f>
        <v>0</v>
      </c>
      <c r="BZ71" s="20" t="n">
        <f aca="false">IF(BM71&gt;PR_BalDone,MIN(F_LoanPayM,BM71+BM71*(D_iL)),0)</f>
        <v>0</v>
      </c>
      <c r="CA71" s="20" t="n">
        <f aca="false">IF(BN71&gt;PR_BalDone,MIN(F_LoanPayM,BN71+BN71*(D_iL)),0)</f>
        <v>0</v>
      </c>
      <c r="CB71" s="20" t="n">
        <f aca="false">IF(BO71&gt;PR_BalDone,MIN(F_LoanPayM,BO71+BO71*(D_iL)),0)</f>
        <v>0</v>
      </c>
      <c r="CC71" s="20" t="n">
        <f aca="false">IF(BP71&gt;PR_BalDone,MIN(F_LoanPayM,BP71+BP71*(D_iL)),0)</f>
        <v>0</v>
      </c>
      <c r="CD71" s="20" t="n">
        <f aca="false">MAX(0,BQ71)</f>
        <v>0</v>
      </c>
      <c r="CE71" s="20" t="n">
        <f aca="false">SUM(BR71:CC71)</f>
        <v>0</v>
      </c>
      <c r="CF71" s="20" t="n">
        <f aca="false">IF(CF70&gt;1,DE70,CF70)</f>
        <v>0</v>
      </c>
      <c r="CG71" s="20" t="n">
        <f aca="false">IF(CF71&gt;PR_BalDone,CF71+CF71*(F_MR/12)-MIN(F_MortPayM,CF71+CF71*(F_MR/12)),CF71)</f>
        <v>0</v>
      </c>
      <c r="CH71" s="20" t="n">
        <f aca="false">IF(CG71&gt;PR_BalDone,CG71+CG71*(F_MR/12)-MIN(F_MortPayM,CG71+CG71*(F_MR/12)),CG71)</f>
        <v>0</v>
      </c>
      <c r="CI71" s="20" t="n">
        <f aca="false">IF(CH71&gt;PR_BalDone,CH71+CH71*(F_MR/12)-MIN(F_MortPayM,CH71+CH71*(F_MR/12)),CH71)</f>
        <v>0</v>
      </c>
      <c r="CJ71" s="20" t="n">
        <f aca="false">IF(CI71&gt;PR_BalDone,CI71+CI71*(F_MR/12)-MIN(F_MortPayM,CI71+CI71*(F_MR/12)),CI71)</f>
        <v>0</v>
      </c>
      <c r="CK71" s="20" t="n">
        <f aca="false">IF(CJ71&gt;PR_BalDone,CJ71+CJ71*(F_MR/12)-MIN(F_MortPayM,CJ71+CJ71*(F_MR/12)),CJ71)</f>
        <v>0</v>
      </c>
      <c r="CL71" s="20" t="n">
        <f aca="false">IF(CK71&gt;PR_BalDone,CK71+CK71*(F_MR/12)-MIN(F_MortPayM,CK71+CK71*(F_MR/12)),CK71)</f>
        <v>0</v>
      </c>
      <c r="CM71" s="20" t="n">
        <f aca="false">IF(CL71&gt;PR_BalDone,CL71+CL71*(F_MR/12)-MIN(F_MortPayM,CL71+CL71*(F_MR/12)),CL71)</f>
        <v>0</v>
      </c>
      <c r="CN71" s="20" t="n">
        <f aca="false">IF(CM71&gt;PR_BalDone,CM71+CM71*(F_MR/12)-MIN(F_MortPayM,CM71+CM71*(F_MR/12)),CM71)</f>
        <v>0</v>
      </c>
      <c r="CO71" s="20" t="n">
        <f aca="false">IF(CN71&gt;PR_BalDone,CN71+CN71*(F_MR/12)-MIN(F_MortPayM,CN71+CN71*(F_MR/12)),CN71)</f>
        <v>0</v>
      </c>
      <c r="CP71" s="20" t="n">
        <f aca="false">IF(CO71&gt;PR_BalDone,CO71+CO71*(F_MR/12)-MIN(F_MortPayM,CO71+CO71*(F_MR/12)),CO71)</f>
        <v>0</v>
      </c>
      <c r="CQ71" s="20" t="n">
        <f aca="false">IF(CP71&gt;PR_BalDone,CP71+CP71*(F_MR/12)-MIN(F_MortPayM,CP71+CP71*(F_MR/12)),CP71)</f>
        <v>0</v>
      </c>
      <c r="CR71" s="20" t="n">
        <f aca="false">IF(CQ71&gt;PR_BalDone,CQ71+CQ71*(F_MR/12)-MIN(F_MortPayM,CQ71+CQ71*(F_MR/12)),CQ71)</f>
        <v>0</v>
      </c>
      <c r="CS71" s="20" t="n">
        <f aca="false">IF(CF71&gt;PR_BalDone,MIN(F_MortPayM,CF71+CF71*(F_MR/12)),0)</f>
        <v>0</v>
      </c>
      <c r="CT71" s="20" t="n">
        <f aca="false">IF(CG71&gt;PR_BalDone,MIN(F_MortPayM,CG71+CG71*(F_MR/12)),0)</f>
        <v>0</v>
      </c>
      <c r="CU71" s="20" t="n">
        <f aca="false">IF(CH71&gt;PR_BalDone,MIN(F_MortPayM,CH71+CH71*(F_MR/12)),0)</f>
        <v>0</v>
      </c>
      <c r="CV71" s="20" t="n">
        <f aca="false">IF(CI71&gt;PR_BalDone,MIN(F_MortPayM,CI71+CI71*(F_MR/12)),0)</f>
        <v>0</v>
      </c>
      <c r="CW71" s="20" t="n">
        <f aca="false">IF(CJ71&gt;PR_BalDone,MIN(F_MortPayM,CJ71+CJ71*(F_MR/12)),0)</f>
        <v>0</v>
      </c>
      <c r="CX71" s="20" t="n">
        <f aca="false">IF(CK71&gt;PR_BalDone,MIN(F_MortPayM,CK71+CK71*(F_MR/12)),0)</f>
        <v>0</v>
      </c>
      <c r="CY71" s="20" t="n">
        <f aca="false">IF(CL71&gt;PR_BalDone,MIN(F_MortPayM,CL71+CL71*(F_MR/12)),0)</f>
        <v>0</v>
      </c>
      <c r="CZ71" s="20" t="n">
        <f aca="false">IF(CM71&gt;PR_BalDone,MIN(F_MortPayM,CM71+CM71*(F_MR/12)),0)</f>
        <v>0</v>
      </c>
      <c r="DA71" s="20" t="n">
        <f aca="false">IF(CN71&gt;PR_BalDone,MIN(F_MortPayM,CN71+CN71*(F_MR/12)),0)</f>
        <v>0</v>
      </c>
      <c r="DB71" s="20" t="n">
        <f aca="false">IF(CO71&gt;PR_BalDone,MIN(F_MortPayM,CO71+CO71*(F_MR/12)),0)</f>
        <v>0</v>
      </c>
      <c r="DC71" s="20" t="n">
        <f aca="false">IF(CP71&gt;PR_BalDone,MIN(F_MortPayM,CP71+CP71*(F_MR/12)),0)</f>
        <v>0</v>
      </c>
      <c r="DD71" s="20" t="n">
        <f aca="false">IF(CQ71&gt;PR_BalDone,MIN(F_MortPayM,CQ71+CQ71*(F_MR/12)),0)</f>
        <v>0</v>
      </c>
      <c r="DE71" s="20" t="n">
        <f aca="false">MAX(0,CR71)</f>
        <v>0</v>
      </c>
      <c r="DF71" s="20" t="n">
        <f aca="false">SUM(CS71:DD71)</f>
        <v>0</v>
      </c>
      <c r="DG71" s="20" t="n">
        <f aca="false">MAX(0,CF71)</f>
        <v>0</v>
      </c>
    </row>
    <row r="72" customFormat="false" ht="15" hidden="false" customHeight="true" outlineLevel="0" collapsed="false">
      <c r="B72" s="20" t="n">
        <v>64</v>
      </c>
      <c r="C72" s="20" t="n">
        <f aca="false">'Plan cashflow'!J72</f>
        <v>0</v>
      </c>
      <c r="D72" s="20" t="n">
        <f aca="false">IF(C72&gt;PR_BalDone,C72+C72*(F_MR/12)-MIN(F_MortPayM,C72+C72*(F_MR/12)),C72)</f>
        <v>0</v>
      </c>
      <c r="E72" s="20" t="n">
        <f aca="false">IF(D72&gt;PR_BalDone,D72+D72*(F_MR/12)-MIN(F_MortPayM,D72+D72*(F_MR/12)),D72)</f>
        <v>0</v>
      </c>
      <c r="F72" s="20" t="n">
        <f aca="false">IF(E72&gt;PR_BalDone,E72+E72*(F_MR/12)-MIN(F_MortPayM,E72+E72*(F_MR/12)),E72)</f>
        <v>0</v>
      </c>
      <c r="G72" s="20" t="n">
        <f aca="false">IF(F72&gt;PR_BalDone,F72+F72*(F_MR/12)-MIN(F_MortPayM,F72+F72*(F_MR/12)),F72)</f>
        <v>0</v>
      </c>
      <c r="H72" s="20" t="n">
        <f aca="false">IF(G72&gt;PR_BalDone,G72+G72*(F_MR/12)-MIN(F_MortPayM,G72+G72*(F_MR/12)),G72)</f>
        <v>0</v>
      </c>
      <c r="I72" s="20" t="n">
        <f aca="false">IF(H72&gt;PR_BalDone,H72+H72*(F_MR/12)-MIN(F_MortPayM,H72+H72*(F_MR/12)),H72)</f>
        <v>0</v>
      </c>
      <c r="J72" s="20" t="n">
        <f aca="false">IF(I72&gt;PR_BalDone,I72+I72*(F_MR/12)-MIN(F_MortPayM,I72+I72*(F_MR/12)),I72)</f>
        <v>0</v>
      </c>
      <c r="K72" s="20" t="n">
        <f aca="false">IF(J72&gt;PR_BalDone,J72+J72*(F_MR/12)-MIN(F_MortPayM,J72+J72*(F_MR/12)),J72)</f>
        <v>0</v>
      </c>
      <c r="L72" s="20" t="n">
        <f aca="false">IF(K72&gt;PR_BalDone,K72+K72*(F_MR/12)-MIN(F_MortPayM,K72+K72*(F_MR/12)),K72)</f>
        <v>0</v>
      </c>
      <c r="M72" s="20" t="n">
        <f aca="false">IF(L72&gt;PR_BalDone,L72+L72*(F_MR/12)-MIN(F_MortPayM,L72+L72*(F_MR/12)),L72)</f>
        <v>0</v>
      </c>
      <c r="N72" s="20" t="n">
        <f aca="false">IF(M72&gt;PR_BalDone,M72+M72*(F_MR/12)-MIN(F_MortPayM,M72+M72*(F_MR/12)),M72)</f>
        <v>0</v>
      </c>
      <c r="O72" s="20" t="n">
        <f aca="false">IF(N72&gt;PR_BalDone,N72+N72*(F_MR/12)-MIN(F_MortPayM,N72+N72*(F_MR/12)),N72)</f>
        <v>0</v>
      </c>
      <c r="P72" s="20" t="n">
        <f aca="false">IF(C72&gt;PR_BalDone,MIN(F_MortPayM,C72+C72*(F_MR/12)),0)</f>
        <v>0</v>
      </c>
      <c r="Q72" s="20" t="n">
        <f aca="false">IF(D72&gt;PR_BalDone,MIN(F_MortPayM,D72+D72*(F_MR/12)),0)</f>
        <v>0</v>
      </c>
      <c r="R72" s="20" t="n">
        <f aca="false">IF(E72&gt;PR_BalDone,MIN(F_MortPayM,E72+E72*(F_MR/12)),0)</f>
        <v>0</v>
      </c>
      <c r="S72" s="20" t="n">
        <f aca="false">IF(F72&gt;PR_BalDone,MIN(F_MortPayM,F72+F72*(F_MR/12)),0)</f>
        <v>0</v>
      </c>
      <c r="T72" s="20" t="n">
        <f aca="false">IF(G72&gt;PR_BalDone,MIN(F_MortPayM,G72+G72*(F_MR/12)),0)</f>
        <v>0</v>
      </c>
      <c r="U72" s="20" t="n">
        <f aca="false">IF(H72&gt;PR_BalDone,MIN(F_MortPayM,H72+H72*(F_MR/12)),0)</f>
        <v>0</v>
      </c>
      <c r="V72" s="20" t="n">
        <f aca="false">IF(I72&gt;PR_BalDone,MIN(F_MortPayM,I72+I72*(F_MR/12)),0)</f>
        <v>0</v>
      </c>
      <c r="W72" s="20" t="n">
        <f aca="false">IF(J72&gt;PR_BalDone,MIN(F_MortPayM,J72+J72*(F_MR/12)),0)</f>
        <v>0</v>
      </c>
      <c r="X72" s="20" t="n">
        <f aca="false">IF(K72&gt;PR_BalDone,MIN(F_MortPayM,K72+K72*(F_MR/12)),0)</f>
        <v>0</v>
      </c>
      <c r="Y72" s="20" t="n">
        <f aca="false">IF(L72&gt;PR_BalDone,MIN(F_MortPayM,L72+L72*(F_MR/12)),0)</f>
        <v>0</v>
      </c>
      <c r="Z72" s="20" t="n">
        <f aca="false">IF(M72&gt;PR_BalDone,MIN(F_MortPayM,M72+M72*(F_MR/12)),0)</f>
        <v>0</v>
      </c>
      <c r="AA72" s="20" t="n">
        <f aca="false">IF(N72&gt;PR_BalDone,MIN(F_MortPayM,N72+N72*(F_MR/12)),0)</f>
        <v>0</v>
      </c>
      <c r="AB72" s="20" t="n">
        <f aca="false">MAX(0,O72)</f>
        <v>0</v>
      </c>
      <c r="AC72" s="20" t="n">
        <f aca="false">SUM(P72:AA72)</f>
        <v>0</v>
      </c>
      <c r="AD72" s="20" t="n">
        <f aca="false">'Plan cashflow'!M72</f>
        <v>0</v>
      </c>
      <c r="AE72" s="20" t="n">
        <f aca="false">IF(AD72&gt;PR_BalDone,AD72+AD72*(D_iC)-MIN(F_CardPayM,AD72+AD72*(D_iC)),AD72)</f>
        <v>0</v>
      </c>
      <c r="AF72" s="20" t="n">
        <f aca="false">IF(AE72&gt;PR_BalDone,AE72+AE72*(D_iC)-MIN(F_CardPayM,AE72+AE72*(D_iC)),AE72)</f>
        <v>0</v>
      </c>
      <c r="AG72" s="20" t="n">
        <f aca="false">IF(AF72&gt;PR_BalDone,AF72+AF72*(D_iC)-MIN(F_CardPayM,AF72+AF72*(D_iC)),AF72)</f>
        <v>0</v>
      </c>
      <c r="AH72" s="20" t="n">
        <f aca="false">IF(AG72&gt;PR_BalDone,AG72+AG72*(D_iC)-MIN(F_CardPayM,AG72+AG72*(D_iC)),AG72)</f>
        <v>0</v>
      </c>
      <c r="AI72" s="20" t="n">
        <f aca="false">IF(AH72&gt;PR_BalDone,AH72+AH72*(D_iC)-MIN(F_CardPayM,AH72+AH72*(D_iC)),AH72)</f>
        <v>0</v>
      </c>
      <c r="AJ72" s="20" t="n">
        <f aca="false">IF(AI72&gt;PR_BalDone,AI72+AI72*(D_iC)-MIN(F_CardPayM,AI72+AI72*(D_iC)),AI72)</f>
        <v>0</v>
      </c>
      <c r="AK72" s="20" t="n">
        <f aca="false">IF(AJ72&gt;PR_BalDone,AJ72+AJ72*(D_iC)-MIN(F_CardPayM,AJ72+AJ72*(D_iC)),AJ72)</f>
        <v>0</v>
      </c>
      <c r="AL72" s="20" t="n">
        <f aca="false">IF(AK72&gt;PR_BalDone,AK72+AK72*(D_iC)-MIN(F_CardPayM,AK72+AK72*(D_iC)),AK72)</f>
        <v>0</v>
      </c>
      <c r="AM72" s="20" t="n">
        <f aca="false">IF(AL72&gt;PR_BalDone,AL72+AL72*(D_iC)-MIN(F_CardPayM,AL72+AL72*(D_iC)),AL72)</f>
        <v>0</v>
      </c>
      <c r="AN72" s="20" t="n">
        <f aca="false">IF(AM72&gt;PR_BalDone,AM72+AM72*(D_iC)-MIN(F_CardPayM,AM72+AM72*(D_iC)),AM72)</f>
        <v>0</v>
      </c>
      <c r="AO72" s="20" t="n">
        <f aca="false">IF(AN72&gt;PR_BalDone,AN72+AN72*(D_iC)-MIN(F_CardPayM,AN72+AN72*(D_iC)),AN72)</f>
        <v>0</v>
      </c>
      <c r="AP72" s="20" t="n">
        <f aca="false">IF(AO72&gt;PR_BalDone,AO72+AO72*(D_iC)-MIN(F_CardPayM,AO72+AO72*(D_iC)),AO72)</f>
        <v>0</v>
      </c>
      <c r="AQ72" s="20" t="n">
        <f aca="false">IF(AD72&gt;PR_BalDone,MIN(F_CardPayM,AD72+AD72*(D_iC)),0)</f>
        <v>0</v>
      </c>
      <c r="AR72" s="20" t="n">
        <f aca="false">IF(AE72&gt;PR_BalDone,MIN(F_CardPayM,AE72+AE72*(D_iC)),0)</f>
        <v>0</v>
      </c>
      <c r="AS72" s="20" t="n">
        <f aca="false">IF(AF72&gt;PR_BalDone,MIN(F_CardPayM,AF72+AF72*(D_iC)),0)</f>
        <v>0</v>
      </c>
      <c r="AT72" s="20" t="n">
        <f aca="false">IF(AG72&gt;PR_BalDone,MIN(F_CardPayM,AG72+AG72*(D_iC)),0)</f>
        <v>0</v>
      </c>
      <c r="AU72" s="20" t="n">
        <f aca="false">IF(AH72&gt;PR_BalDone,MIN(F_CardPayM,AH72+AH72*(D_iC)),0)</f>
        <v>0</v>
      </c>
      <c r="AV72" s="20" t="n">
        <f aca="false">IF(AI72&gt;PR_BalDone,MIN(F_CardPayM,AI72+AI72*(D_iC)),0)</f>
        <v>0</v>
      </c>
      <c r="AW72" s="20" t="n">
        <f aca="false">IF(AJ72&gt;PR_BalDone,MIN(F_CardPayM,AJ72+AJ72*(D_iC)),0)</f>
        <v>0</v>
      </c>
      <c r="AX72" s="20" t="n">
        <f aca="false">IF(AK72&gt;PR_BalDone,MIN(F_CardPayM,AK72+AK72*(D_iC)),0)</f>
        <v>0</v>
      </c>
      <c r="AY72" s="20" t="n">
        <f aca="false">IF(AL72&gt;PR_BalDone,MIN(F_CardPayM,AL72+AL72*(D_iC)),0)</f>
        <v>0</v>
      </c>
      <c r="AZ72" s="20" t="n">
        <f aca="false">IF(AM72&gt;PR_BalDone,MIN(F_CardPayM,AM72+AM72*(D_iC)),0)</f>
        <v>0</v>
      </c>
      <c r="BA72" s="20" t="n">
        <f aca="false">IF(AN72&gt;PR_BalDone,MIN(F_CardPayM,AN72+AN72*(D_iC)),0)</f>
        <v>0</v>
      </c>
      <c r="BB72" s="20" t="n">
        <f aca="false">IF(AO72&gt;PR_BalDone,MIN(F_CardPayM,AO72+AO72*(D_iC)),0)</f>
        <v>0</v>
      </c>
      <c r="BC72" s="20" t="n">
        <f aca="false">MAX(0,AP72)</f>
        <v>0</v>
      </c>
      <c r="BD72" s="20" t="n">
        <f aca="false">SUM(AQ72:BB72)</f>
        <v>0</v>
      </c>
      <c r="BE72" s="20" t="n">
        <f aca="false">'Plan cashflow'!P72</f>
        <v>0</v>
      </c>
      <c r="BF72" s="20" t="n">
        <f aca="false">IF(BE72&gt;PR_BalDone,BE72+BE72*(D_iL)-MIN(F_LoanPayM,BE72+BE72*(D_iL)),BE72)</f>
        <v>0</v>
      </c>
      <c r="BG72" s="20" t="n">
        <f aca="false">IF(BF72&gt;PR_BalDone,BF72+BF72*(D_iL)-MIN(F_LoanPayM,BF72+BF72*(D_iL)),BF72)</f>
        <v>0</v>
      </c>
      <c r="BH72" s="20" t="n">
        <f aca="false">IF(BG72&gt;PR_BalDone,BG72+BG72*(D_iL)-MIN(F_LoanPayM,BG72+BG72*(D_iL)),BG72)</f>
        <v>0</v>
      </c>
      <c r="BI72" s="20" t="n">
        <f aca="false">IF(BH72&gt;PR_BalDone,BH72+BH72*(D_iL)-MIN(F_LoanPayM,BH72+BH72*(D_iL)),BH72)</f>
        <v>0</v>
      </c>
      <c r="BJ72" s="20" t="n">
        <f aca="false">IF(BI72&gt;PR_BalDone,BI72+BI72*(D_iL)-MIN(F_LoanPayM,BI72+BI72*(D_iL)),BI72)</f>
        <v>0</v>
      </c>
      <c r="BK72" s="20" t="n">
        <f aca="false">IF(BJ72&gt;PR_BalDone,BJ72+BJ72*(D_iL)-MIN(F_LoanPayM,BJ72+BJ72*(D_iL)),BJ72)</f>
        <v>0</v>
      </c>
      <c r="BL72" s="20" t="n">
        <f aca="false">IF(BK72&gt;PR_BalDone,BK72+BK72*(D_iL)-MIN(F_LoanPayM,BK72+BK72*(D_iL)),BK72)</f>
        <v>0</v>
      </c>
      <c r="BM72" s="20" t="n">
        <f aca="false">IF(BL72&gt;PR_BalDone,BL72+BL72*(D_iL)-MIN(F_LoanPayM,BL72+BL72*(D_iL)),BL72)</f>
        <v>0</v>
      </c>
      <c r="BN72" s="20" t="n">
        <f aca="false">IF(BM72&gt;PR_BalDone,BM72+BM72*(D_iL)-MIN(F_LoanPayM,BM72+BM72*(D_iL)),BM72)</f>
        <v>0</v>
      </c>
      <c r="BO72" s="20" t="n">
        <f aca="false">IF(BN72&gt;PR_BalDone,BN72+BN72*(D_iL)-MIN(F_LoanPayM,BN72+BN72*(D_iL)),BN72)</f>
        <v>0</v>
      </c>
      <c r="BP72" s="20" t="n">
        <f aca="false">IF(BO72&gt;PR_BalDone,BO72+BO72*(D_iL)-MIN(F_LoanPayM,BO72+BO72*(D_iL)),BO72)</f>
        <v>0</v>
      </c>
      <c r="BQ72" s="20" t="n">
        <f aca="false">IF(BP72&gt;PR_BalDone,BP72+BP72*(D_iL)-MIN(F_LoanPayM,BP72+BP72*(D_iL)),BP72)</f>
        <v>0</v>
      </c>
      <c r="BR72" s="20" t="n">
        <f aca="false">IF(BE72&gt;PR_BalDone,MIN(F_LoanPayM,BE72+BE72*(D_iL)),0)</f>
        <v>0</v>
      </c>
      <c r="BS72" s="20" t="n">
        <f aca="false">IF(BF72&gt;PR_BalDone,MIN(F_LoanPayM,BF72+BF72*(D_iL)),0)</f>
        <v>0</v>
      </c>
      <c r="BT72" s="20" t="n">
        <f aca="false">IF(BG72&gt;PR_BalDone,MIN(F_LoanPayM,BG72+BG72*(D_iL)),0)</f>
        <v>0</v>
      </c>
      <c r="BU72" s="20" t="n">
        <f aca="false">IF(BH72&gt;PR_BalDone,MIN(F_LoanPayM,BH72+BH72*(D_iL)),0)</f>
        <v>0</v>
      </c>
      <c r="BV72" s="20" t="n">
        <f aca="false">IF(BI72&gt;PR_BalDone,MIN(F_LoanPayM,BI72+BI72*(D_iL)),0)</f>
        <v>0</v>
      </c>
      <c r="BW72" s="20" t="n">
        <f aca="false">IF(BJ72&gt;PR_BalDone,MIN(F_LoanPayM,BJ72+BJ72*(D_iL)),0)</f>
        <v>0</v>
      </c>
      <c r="BX72" s="20" t="n">
        <f aca="false">IF(BK72&gt;PR_BalDone,MIN(F_LoanPayM,BK72+BK72*(D_iL)),0)</f>
        <v>0</v>
      </c>
      <c r="BY72" s="20" t="n">
        <f aca="false">IF(BL72&gt;PR_BalDone,MIN(F_LoanPayM,BL72+BL72*(D_iL)),0)</f>
        <v>0</v>
      </c>
      <c r="BZ72" s="20" t="n">
        <f aca="false">IF(BM72&gt;PR_BalDone,MIN(F_LoanPayM,BM72+BM72*(D_iL)),0)</f>
        <v>0</v>
      </c>
      <c r="CA72" s="20" t="n">
        <f aca="false">IF(BN72&gt;PR_BalDone,MIN(F_LoanPayM,BN72+BN72*(D_iL)),0)</f>
        <v>0</v>
      </c>
      <c r="CB72" s="20" t="n">
        <f aca="false">IF(BO72&gt;PR_BalDone,MIN(F_LoanPayM,BO72+BO72*(D_iL)),0)</f>
        <v>0</v>
      </c>
      <c r="CC72" s="20" t="n">
        <f aca="false">IF(BP72&gt;PR_BalDone,MIN(F_LoanPayM,BP72+BP72*(D_iL)),0)</f>
        <v>0</v>
      </c>
      <c r="CD72" s="20" t="n">
        <f aca="false">MAX(0,BQ72)</f>
        <v>0</v>
      </c>
      <c r="CE72" s="20" t="n">
        <f aca="false">SUM(BR72:CC72)</f>
        <v>0</v>
      </c>
      <c r="CF72" s="20" t="n">
        <f aca="false">IF(CF71&gt;1,DE71,CF71)</f>
        <v>0</v>
      </c>
      <c r="CG72" s="20" t="n">
        <f aca="false">IF(CF72&gt;PR_BalDone,CF72+CF72*(F_MR/12)-MIN(F_MortPayM,CF72+CF72*(F_MR/12)),CF72)</f>
        <v>0</v>
      </c>
      <c r="CH72" s="20" t="n">
        <f aca="false">IF(CG72&gt;PR_BalDone,CG72+CG72*(F_MR/12)-MIN(F_MortPayM,CG72+CG72*(F_MR/12)),CG72)</f>
        <v>0</v>
      </c>
      <c r="CI72" s="20" t="n">
        <f aca="false">IF(CH72&gt;PR_BalDone,CH72+CH72*(F_MR/12)-MIN(F_MortPayM,CH72+CH72*(F_MR/12)),CH72)</f>
        <v>0</v>
      </c>
      <c r="CJ72" s="20" t="n">
        <f aca="false">IF(CI72&gt;PR_BalDone,CI72+CI72*(F_MR/12)-MIN(F_MortPayM,CI72+CI72*(F_MR/12)),CI72)</f>
        <v>0</v>
      </c>
      <c r="CK72" s="20" t="n">
        <f aca="false">IF(CJ72&gt;PR_BalDone,CJ72+CJ72*(F_MR/12)-MIN(F_MortPayM,CJ72+CJ72*(F_MR/12)),CJ72)</f>
        <v>0</v>
      </c>
      <c r="CL72" s="20" t="n">
        <f aca="false">IF(CK72&gt;PR_BalDone,CK72+CK72*(F_MR/12)-MIN(F_MortPayM,CK72+CK72*(F_MR/12)),CK72)</f>
        <v>0</v>
      </c>
      <c r="CM72" s="20" t="n">
        <f aca="false">IF(CL72&gt;PR_BalDone,CL72+CL72*(F_MR/12)-MIN(F_MortPayM,CL72+CL72*(F_MR/12)),CL72)</f>
        <v>0</v>
      </c>
      <c r="CN72" s="20" t="n">
        <f aca="false">IF(CM72&gt;PR_BalDone,CM72+CM72*(F_MR/12)-MIN(F_MortPayM,CM72+CM72*(F_MR/12)),CM72)</f>
        <v>0</v>
      </c>
      <c r="CO72" s="20" t="n">
        <f aca="false">IF(CN72&gt;PR_BalDone,CN72+CN72*(F_MR/12)-MIN(F_MortPayM,CN72+CN72*(F_MR/12)),CN72)</f>
        <v>0</v>
      </c>
      <c r="CP72" s="20" t="n">
        <f aca="false">IF(CO72&gt;PR_BalDone,CO72+CO72*(F_MR/12)-MIN(F_MortPayM,CO72+CO72*(F_MR/12)),CO72)</f>
        <v>0</v>
      </c>
      <c r="CQ72" s="20" t="n">
        <f aca="false">IF(CP72&gt;PR_BalDone,CP72+CP72*(F_MR/12)-MIN(F_MortPayM,CP72+CP72*(F_MR/12)),CP72)</f>
        <v>0</v>
      </c>
      <c r="CR72" s="20" t="n">
        <f aca="false">IF(CQ72&gt;PR_BalDone,CQ72+CQ72*(F_MR/12)-MIN(F_MortPayM,CQ72+CQ72*(F_MR/12)),CQ72)</f>
        <v>0</v>
      </c>
      <c r="CS72" s="20" t="n">
        <f aca="false">IF(CF72&gt;PR_BalDone,MIN(F_MortPayM,CF72+CF72*(F_MR/12)),0)</f>
        <v>0</v>
      </c>
      <c r="CT72" s="20" t="n">
        <f aca="false">IF(CG72&gt;PR_BalDone,MIN(F_MortPayM,CG72+CG72*(F_MR/12)),0)</f>
        <v>0</v>
      </c>
      <c r="CU72" s="20" t="n">
        <f aca="false">IF(CH72&gt;PR_BalDone,MIN(F_MortPayM,CH72+CH72*(F_MR/12)),0)</f>
        <v>0</v>
      </c>
      <c r="CV72" s="20" t="n">
        <f aca="false">IF(CI72&gt;PR_BalDone,MIN(F_MortPayM,CI72+CI72*(F_MR/12)),0)</f>
        <v>0</v>
      </c>
      <c r="CW72" s="20" t="n">
        <f aca="false">IF(CJ72&gt;PR_BalDone,MIN(F_MortPayM,CJ72+CJ72*(F_MR/12)),0)</f>
        <v>0</v>
      </c>
      <c r="CX72" s="20" t="n">
        <f aca="false">IF(CK72&gt;PR_BalDone,MIN(F_MortPayM,CK72+CK72*(F_MR/12)),0)</f>
        <v>0</v>
      </c>
      <c r="CY72" s="20" t="n">
        <f aca="false">IF(CL72&gt;PR_BalDone,MIN(F_MortPayM,CL72+CL72*(F_MR/12)),0)</f>
        <v>0</v>
      </c>
      <c r="CZ72" s="20" t="n">
        <f aca="false">IF(CM72&gt;PR_BalDone,MIN(F_MortPayM,CM72+CM72*(F_MR/12)),0)</f>
        <v>0</v>
      </c>
      <c r="DA72" s="20" t="n">
        <f aca="false">IF(CN72&gt;PR_BalDone,MIN(F_MortPayM,CN72+CN72*(F_MR/12)),0)</f>
        <v>0</v>
      </c>
      <c r="DB72" s="20" t="n">
        <f aca="false">IF(CO72&gt;PR_BalDone,MIN(F_MortPayM,CO72+CO72*(F_MR/12)),0)</f>
        <v>0</v>
      </c>
      <c r="DC72" s="20" t="n">
        <f aca="false">IF(CP72&gt;PR_BalDone,MIN(F_MortPayM,CP72+CP72*(F_MR/12)),0)</f>
        <v>0</v>
      </c>
      <c r="DD72" s="20" t="n">
        <f aca="false">IF(CQ72&gt;PR_BalDone,MIN(F_MortPayM,CQ72+CQ72*(F_MR/12)),0)</f>
        <v>0</v>
      </c>
      <c r="DE72" s="20" t="n">
        <f aca="false">MAX(0,CR72)</f>
        <v>0</v>
      </c>
      <c r="DF72" s="20" t="n">
        <f aca="false">SUM(CS72:DD72)</f>
        <v>0</v>
      </c>
      <c r="DG72" s="20" t="n">
        <f aca="false">MAX(0,CF72)</f>
        <v>0</v>
      </c>
    </row>
    <row r="73" customFormat="false" ht="15" hidden="false" customHeight="true" outlineLevel="0" collapsed="false">
      <c r="B73" s="20" t="n">
        <v>65</v>
      </c>
      <c r="C73" s="20" t="n">
        <f aca="false">'Plan cashflow'!J73</f>
        <v>0</v>
      </c>
      <c r="D73" s="20" t="n">
        <f aca="false">IF(C73&gt;PR_BalDone,C73+C73*(F_MR/12)-MIN(F_MortPayM,C73+C73*(F_MR/12)),C73)</f>
        <v>0</v>
      </c>
      <c r="E73" s="20" t="n">
        <f aca="false">IF(D73&gt;PR_BalDone,D73+D73*(F_MR/12)-MIN(F_MortPayM,D73+D73*(F_MR/12)),D73)</f>
        <v>0</v>
      </c>
      <c r="F73" s="20" t="n">
        <f aca="false">IF(E73&gt;PR_BalDone,E73+E73*(F_MR/12)-MIN(F_MortPayM,E73+E73*(F_MR/12)),E73)</f>
        <v>0</v>
      </c>
      <c r="G73" s="20" t="n">
        <f aca="false">IF(F73&gt;PR_BalDone,F73+F73*(F_MR/12)-MIN(F_MortPayM,F73+F73*(F_MR/12)),F73)</f>
        <v>0</v>
      </c>
      <c r="H73" s="20" t="n">
        <f aca="false">IF(G73&gt;PR_BalDone,G73+G73*(F_MR/12)-MIN(F_MortPayM,G73+G73*(F_MR/12)),G73)</f>
        <v>0</v>
      </c>
      <c r="I73" s="20" t="n">
        <f aca="false">IF(H73&gt;PR_BalDone,H73+H73*(F_MR/12)-MIN(F_MortPayM,H73+H73*(F_MR/12)),H73)</f>
        <v>0</v>
      </c>
      <c r="J73" s="20" t="n">
        <f aca="false">IF(I73&gt;PR_BalDone,I73+I73*(F_MR/12)-MIN(F_MortPayM,I73+I73*(F_MR/12)),I73)</f>
        <v>0</v>
      </c>
      <c r="K73" s="20" t="n">
        <f aca="false">IF(J73&gt;PR_BalDone,J73+J73*(F_MR/12)-MIN(F_MortPayM,J73+J73*(F_MR/12)),J73)</f>
        <v>0</v>
      </c>
      <c r="L73" s="20" t="n">
        <f aca="false">IF(K73&gt;PR_BalDone,K73+K73*(F_MR/12)-MIN(F_MortPayM,K73+K73*(F_MR/12)),K73)</f>
        <v>0</v>
      </c>
      <c r="M73" s="20" t="n">
        <f aca="false">IF(L73&gt;PR_BalDone,L73+L73*(F_MR/12)-MIN(F_MortPayM,L73+L73*(F_MR/12)),L73)</f>
        <v>0</v>
      </c>
      <c r="N73" s="20" t="n">
        <f aca="false">IF(M73&gt;PR_BalDone,M73+M73*(F_MR/12)-MIN(F_MortPayM,M73+M73*(F_MR/12)),M73)</f>
        <v>0</v>
      </c>
      <c r="O73" s="20" t="n">
        <f aca="false">IF(N73&gt;PR_BalDone,N73+N73*(F_MR/12)-MIN(F_MortPayM,N73+N73*(F_MR/12)),N73)</f>
        <v>0</v>
      </c>
      <c r="P73" s="20" t="n">
        <f aca="false">IF(C73&gt;PR_BalDone,MIN(F_MortPayM,C73+C73*(F_MR/12)),0)</f>
        <v>0</v>
      </c>
      <c r="Q73" s="20" t="n">
        <f aca="false">IF(D73&gt;PR_BalDone,MIN(F_MortPayM,D73+D73*(F_MR/12)),0)</f>
        <v>0</v>
      </c>
      <c r="R73" s="20" t="n">
        <f aca="false">IF(E73&gt;PR_BalDone,MIN(F_MortPayM,E73+E73*(F_MR/12)),0)</f>
        <v>0</v>
      </c>
      <c r="S73" s="20" t="n">
        <f aca="false">IF(F73&gt;PR_BalDone,MIN(F_MortPayM,F73+F73*(F_MR/12)),0)</f>
        <v>0</v>
      </c>
      <c r="T73" s="20" t="n">
        <f aca="false">IF(G73&gt;PR_BalDone,MIN(F_MortPayM,G73+G73*(F_MR/12)),0)</f>
        <v>0</v>
      </c>
      <c r="U73" s="20" t="n">
        <f aca="false">IF(H73&gt;PR_BalDone,MIN(F_MortPayM,H73+H73*(F_MR/12)),0)</f>
        <v>0</v>
      </c>
      <c r="V73" s="20" t="n">
        <f aca="false">IF(I73&gt;PR_BalDone,MIN(F_MortPayM,I73+I73*(F_MR/12)),0)</f>
        <v>0</v>
      </c>
      <c r="W73" s="20" t="n">
        <f aca="false">IF(J73&gt;PR_BalDone,MIN(F_MortPayM,J73+J73*(F_MR/12)),0)</f>
        <v>0</v>
      </c>
      <c r="X73" s="20" t="n">
        <f aca="false">IF(K73&gt;PR_BalDone,MIN(F_MortPayM,K73+K73*(F_MR/12)),0)</f>
        <v>0</v>
      </c>
      <c r="Y73" s="20" t="n">
        <f aca="false">IF(L73&gt;PR_BalDone,MIN(F_MortPayM,L73+L73*(F_MR/12)),0)</f>
        <v>0</v>
      </c>
      <c r="Z73" s="20" t="n">
        <f aca="false">IF(M73&gt;PR_BalDone,MIN(F_MortPayM,M73+M73*(F_MR/12)),0)</f>
        <v>0</v>
      </c>
      <c r="AA73" s="20" t="n">
        <f aca="false">IF(N73&gt;PR_BalDone,MIN(F_MortPayM,N73+N73*(F_MR/12)),0)</f>
        <v>0</v>
      </c>
      <c r="AB73" s="20" t="n">
        <f aca="false">MAX(0,O73)</f>
        <v>0</v>
      </c>
      <c r="AC73" s="20" t="n">
        <f aca="false">SUM(P73:AA73)</f>
        <v>0</v>
      </c>
      <c r="AD73" s="20" t="n">
        <f aca="false">'Plan cashflow'!M73</f>
        <v>0</v>
      </c>
      <c r="AE73" s="20" t="n">
        <f aca="false">IF(AD73&gt;PR_BalDone,AD73+AD73*(D_iC)-MIN(F_CardPayM,AD73+AD73*(D_iC)),AD73)</f>
        <v>0</v>
      </c>
      <c r="AF73" s="20" t="n">
        <f aca="false">IF(AE73&gt;PR_BalDone,AE73+AE73*(D_iC)-MIN(F_CardPayM,AE73+AE73*(D_iC)),AE73)</f>
        <v>0</v>
      </c>
      <c r="AG73" s="20" t="n">
        <f aca="false">IF(AF73&gt;PR_BalDone,AF73+AF73*(D_iC)-MIN(F_CardPayM,AF73+AF73*(D_iC)),AF73)</f>
        <v>0</v>
      </c>
      <c r="AH73" s="20" t="n">
        <f aca="false">IF(AG73&gt;PR_BalDone,AG73+AG73*(D_iC)-MIN(F_CardPayM,AG73+AG73*(D_iC)),AG73)</f>
        <v>0</v>
      </c>
      <c r="AI73" s="20" t="n">
        <f aca="false">IF(AH73&gt;PR_BalDone,AH73+AH73*(D_iC)-MIN(F_CardPayM,AH73+AH73*(D_iC)),AH73)</f>
        <v>0</v>
      </c>
      <c r="AJ73" s="20" t="n">
        <f aca="false">IF(AI73&gt;PR_BalDone,AI73+AI73*(D_iC)-MIN(F_CardPayM,AI73+AI73*(D_iC)),AI73)</f>
        <v>0</v>
      </c>
      <c r="AK73" s="20" t="n">
        <f aca="false">IF(AJ73&gt;PR_BalDone,AJ73+AJ73*(D_iC)-MIN(F_CardPayM,AJ73+AJ73*(D_iC)),AJ73)</f>
        <v>0</v>
      </c>
      <c r="AL73" s="20" t="n">
        <f aca="false">IF(AK73&gt;PR_BalDone,AK73+AK73*(D_iC)-MIN(F_CardPayM,AK73+AK73*(D_iC)),AK73)</f>
        <v>0</v>
      </c>
      <c r="AM73" s="20" t="n">
        <f aca="false">IF(AL73&gt;PR_BalDone,AL73+AL73*(D_iC)-MIN(F_CardPayM,AL73+AL73*(D_iC)),AL73)</f>
        <v>0</v>
      </c>
      <c r="AN73" s="20" t="n">
        <f aca="false">IF(AM73&gt;PR_BalDone,AM73+AM73*(D_iC)-MIN(F_CardPayM,AM73+AM73*(D_iC)),AM73)</f>
        <v>0</v>
      </c>
      <c r="AO73" s="20" t="n">
        <f aca="false">IF(AN73&gt;PR_BalDone,AN73+AN73*(D_iC)-MIN(F_CardPayM,AN73+AN73*(D_iC)),AN73)</f>
        <v>0</v>
      </c>
      <c r="AP73" s="20" t="n">
        <f aca="false">IF(AO73&gt;PR_BalDone,AO73+AO73*(D_iC)-MIN(F_CardPayM,AO73+AO73*(D_iC)),AO73)</f>
        <v>0</v>
      </c>
      <c r="AQ73" s="20" t="n">
        <f aca="false">IF(AD73&gt;PR_BalDone,MIN(F_CardPayM,AD73+AD73*(D_iC)),0)</f>
        <v>0</v>
      </c>
      <c r="AR73" s="20" t="n">
        <f aca="false">IF(AE73&gt;PR_BalDone,MIN(F_CardPayM,AE73+AE73*(D_iC)),0)</f>
        <v>0</v>
      </c>
      <c r="AS73" s="20" t="n">
        <f aca="false">IF(AF73&gt;PR_BalDone,MIN(F_CardPayM,AF73+AF73*(D_iC)),0)</f>
        <v>0</v>
      </c>
      <c r="AT73" s="20" t="n">
        <f aca="false">IF(AG73&gt;PR_BalDone,MIN(F_CardPayM,AG73+AG73*(D_iC)),0)</f>
        <v>0</v>
      </c>
      <c r="AU73" s="20" t="n">
        <f aca="false">IF(AH73&gt;PR_BalDone,MIN(F_CardPayM,AH73+AH73*(D_iC)),0)</f>
        <v>0</v>
      </c>
      <c r="AV73" s="20" t="n">
        <f aca="false">IF(AI73&gt;PR_BalDone,MIN(F_CardPayM,AI73+AI73*(D_iC)),0)</f>
        <v>0</v>
      </c>
      <c r="AW73" s="20" t="n">
        <f aca="false">IF(AJ73&gt;PR_BalDone,MIN(F_CardPayM,AJ73+AJ73*(D_iC)),0)</f>
        <v>0</v>
      </c>
      <c r="AX73" s="20" t="n">
        <f aca="false">IF(AK73&gt;PR_BalDone,MIN(F_CardPayM,AK73+AK73*(D_iC)),0)</f>
        <v>0</v>
      </c>
      <c r="AY73" s="20" t="n">
        <f aca="false">IF(AL73&gt;PR_BalDone,MIN(F_CardPayM,AL73+AL73*(D_iC)),0)</f>
        <v>0</v>
      </c>
      <c r="AZ73" s="20" t="n">
        <f aca="false">IF(AM73&gt;PR_BalDone,MIN(F_CardPayM,AM73+AM73*(D_iC)),0)</f>
        <v>0</v>
      </c>
      <c r="BA73" s="20" t="n">
        <f aca="false">IF(AN73&gt;PR_BalDone,MIN(F_CardPayM,AN73+AN73*(D_iC)),0)</f>
        <v>0</v>
      </c>
      <c r="BB73" s="20" t="n">
        <f aca="false">IF(AO73&gt;PR_BalDone,MIN(F_CardPayM,AO73+AO73*(D_iC)),0)</f>
        <v>0</v>
      </c>
      <c r="BC73" s="20" t="n">
        <f aca="false">MAX(0,AP73)</f>
        <v>0</v>
      </c>
      <c r="BD73" s="20" t="n">
        <f aca="false">SUM(AQ73:BB73)</f>
        <v>0</v>
      </c>
      <c r="BE73" s="20" t="n">
        <f aca="false">'Plan cashflow'!P73</f>
        <v>0</v>
      </c>
      <c r="BF73" s="20" t="n">
        <f aca="false">IF(BE73&gt;PR_BalDone,BE73+BE73*(D_iL)-MIN(F_LoanPayM,BE73+BE73*(D_iL)),BE73)</f>
        <v>0</v>
      </c>
      <c r="BG73" s="20" t="n">
        <f aca="false">IF(BF73&gt;PR_BalDone,BF73+BF73*(D_iL)-MIN(F_LoanPayM,BF73+BF73*(D_iL)),BF73)</f>
        <v>0</v>
      </c>
      <c r="BH73" s="20" t="n">
        <f aca="false">IF(BG73&gt;PR_BalDone,BG73+BG73*(D_iL)-MIN(F_LoanPayM,BG73+BG73*(D_iL)),BG73)</f>
        <v>0</v>
      </c>
      <c r="BI73" s="20" t="n">
        <f aca="false">IF(BH73&gt;PR_BalDone,BH73+BH73*(D_iL)-MIN(F_LoanPayM,BH73+BH73*(D_iL)),BH73)</f>
        <v>0</v>
      </c>
      <c r="BJ73" s="20" t="n">
        <f aca="false">IF(BI73&gt;PR_BalDone,BI73+BI73*(D_iL)-MIN(F_LoanPayM,BI73+BI73*(D_iL)),BI73)</f>
        <v>0</v>
      </c>
      <c r="BK73" s="20" t="n">
        <f aca="false">IF(BJ73&gt;PR_BalDone,BJ73+BJ73*(D_iL)-MIN(F_LoanPayM,BJ73+BJ73*(D_iL)),BJ73)</f>
        <v>0</v>
      </c>
      <c r="BL73" s="20" t="n">
        <f aca="false">IF(BK73&gt;PR_BalDone,BK73+BK73*(D_iL)-MIN(F_LoanPayM,BK73+BK73*(D_iL)),BK73)</f>
        <v>0</v>
      </c>
      <c r="BM73" s="20" t="n">
        <f aca="false">IF(BL73&gt;PR_BalDone,BL73+BL73*(D_iL)-MIN(F_LoanPayM,BL73+BL73*(D_iL)),BL73)</f>
        <v>0</v>
      </c>
      <c r="BN73" s="20" t="n">
        <f aca="false">IF(BM73&gt;PR_BalDone,BM73+BM73*(D_iL)-MIN(F_LoanPayM,BM73+BM73*(D_iL)),BM73)</f>
        <v>0</v>
      </c>
      <c r="BO73" s="20" t="n">
        <f aca="false">IF(BN73&gt;PR_BalDone,BN73+BN73*(D_iL)-MIN(F_LoanPayM,BN73+BN73*(D_iL)),BN73)</f>
        <v>0</v>
      </c>
      <c r="BP73" s="20" t="n">
        <f aca="false">IF(BO73&gt;PR_BalDone,BO73+BO73*(D_iL)-MIN(F_LoanPayM,BO73+BO73*(D_iL)),BO73)</f>
        <v>0</v>
      </c>
      <c r="BQ73" s="20" t="n">
        <f aca="false">IF(BP73&gt;PR_BalDone,BP73+BP73*(D_iL)-MIN(F_LoanPayM,BP73+BP73*(D_iL)),BP73)</f>
        <v>0</v>
      </c>
      <c r="BR73" s="20" t="n">
        <f aca="false">IF(BE73&gt;PR_BalDone,MIN(F_LoanPayM,BE73+BE73*(D_iL)),0)</f>
        <v>0</v>
      </c>
      <c r="BS73" s="20" t="n">
        <f aca="false">IF(BF73&gt;PR_BalDone,MIN(F_LoanPayM,BF73+BF73*(D_iL)),0)</f>
        <v>0</v>
      </c>
      <c r="BT73" s="20" t="n">
        <f aca="false">IF(BG73&gt;PR_BalDone,MIN(F_LoanPayM,BG73+BG73*(D_iL)),0)</f>
        <v>0</v>
      </c>
      <c r="BU73" s="20" t="n">
        <f aca="false">IF(BH73&gt;PR_BalDone,MIN(F_LoanPayM,BH73+BH73*(D_iL)),0)</f>
        <v>0</v>
      </c>
      <c r="BV73" s="20" t="n">
        <f aca="false">IF(BI73&gt;PR_BalDone,MIN(F_LoanPayM,BI73+BI73*(D_iL)),0)</f>
        <v>0</v>
      </c>
      <c r="BW73" s="20" t="n">
        <f aca="false">IF(BJ73&gt;PR_BalDone,MIN(F_LoanPayM,BJ73+BJ73*(D_iL)),0)</f>
        <v>0</v>
      </c>
      <c r="BX73" s="20" t="n">
        <f aca="false">IF(BK73&gt;PR_BalDone,MIN(F_LoanPayM,BK73+BK73*(D_iL)),0)</f>
        <v>0</v>
      </c>
      <c r="BY73" s="20" t="n">
        <f aca="false">IF(BL73&gt;PR_BalDone,MIN(F_LoanPayM,BL73+BL73*(D_iL)),0)</f>
        <v>0</v>
      </c>
      <c r="BZ73" s="20" t="n">
        <f aca="false">IF(BM73&gt;PR_BalDone,MIN(F_LoanPayM,BM73+BM73*(D_iL)),0)</f>
        <v>0</v>
      </c>
      <c r="CA73" s="20" t="n">
        <f aca="false">IF(BN73&gt;PR_BalDone,MIN(F_LoanPayM,BN73+BN73*(D_iL)),0)</f>
        <v>0</v>
      </c>
      <c r="CB73" s="20" t="n">
        <f aca="false">IF(BO73&gt;PR_BalDone,MIN(F_LoanPayM,BO73+BO73*(D_iL)),0)</f>
        <v>0</v>
      </c>
      <c r="CC73" s="20" t="n">
        <f aca="false">IF(BP73&gt;PR_BalDone,MIN(F_LoanPayM,BP73+BP73*(D_iL)),0)</f>
        <v>0</v>
      </c>
      <c r="CD73" s="20" t="n">
        <f aca="false">MAX(0,BQ73)</f>
        <v>0</v>
      </c>
      <c r="CE73" s="20" t="n">
        <f aca="false">SUM(BR73:CC73)</f>
        <v>0</v>
      </c>
      <c r="CF73" s="20" t="n">
        <f aca="false">IF(CF72&gt;1,DE72,CF72)</f>
        <v>0</v>
      </c>
      <c r="CG73" s="20" t="n">
        <f aca="false">IF(CF73&gt;PR_BalDone,CF73+CF73*(F_MR/12)-MIN(F_MortPayM,CF73+CF73*(F_MR/12)),CF73)</f>
        <v>0</v>
      </c>
      <c r="CH73" s="20" t="n">
        <f aca="false">IF(CG73&gt;PR_BalDone,CG73+CG73*(F_MR/12)-MIN(F_MortPayM,CG73+CG73*(F_MR/12)),CG73)</f>
        <v>0</v>
      </c>
      <c r="CI73" s="20" t="n">
        <f aca="false">IF(CH73&gt;PR_BalDone,CH73+CH73*(F_MR/12)-MIN(F_MortPayM,CH73+CH73*(F_MR/12)),CH73)</f>
        <v>0</v>
      </c>
      <c r="CJ73" s="20" t="n">
        <f aca="false">IF(CI73&gt;PR_BalDone,CI73+CI73*(F_MR/12)-MIN(F_MortPayM,CI73+CI73*(F_MR/12)),CI73)</f>
        <v>0</v>
      </c>
      <c r="CK73" s="20" t="n">
        <f aca="false">IF(CJ73&gt;PR_BalDone,CJ73+CJ73*(F_MR/12)-MIN(F_MortPayM,CJ73+CJ73*(F_MR/12)),CJ73)</f>
        <v>0</v>
      </c>
      <c r="CL73" s="20" t="n">
        <f aca="false">IF(CK73&gt;PR_BalDone,CK73+CK73*(F_MR/12)-MIN(F_MortPayM,CK73+CK73*(F_MR/12)),CK73)</f>
        <v>0</v>
      </c>
      <c r="CM73" s="20" t="n">
        <f aca="false">IF(CL73&gt;PR_BalDone,CL73+CL73*(F_MR/12)-MIN(F_MortPayM,CL73+CL73*(F_MR/12)),CL73)</f>
        <v>0</v>
      </c>
      <c r="CN73" s="20" t="n">
        <f aca="false">IF(CM73&gt;PR_BalDone,CM73+CM73*(F_MR/12)-MIN(F_MortPayM,CM73+CM73*(F_MR/12)),CM73)</f>
        <v>0</v>
      </c>
      <c r="CO73" s="20" t="n">
        <f aca="false">IF(CN73&gt;PR_BalDone,CN73+CN73*(F_MR/12)-MIN(F_MortPayM,CN73+CN73*(F_MR/12)),CN73)</f>
        <v>0</v>
      </c>
      <c r="CP73" s="20" t="n">
        <f aca="false">IF(CO73&gt;PR_BalDone,CO73+CO73*(F_MR/12)-MIN(F_MortPayM,CO73+CO73*(F_MR/12)),CO73)</f>
        <v>0</v>
      </c>
      <c r="CQ73" s="20" t="n">
        <f aca="false">IF(CP73&gt;PR_BalDone,CP73+CP73*(F_MR/12)-MIN(F_MortPayM,CP73+CP73*(F_MR/12)),CP73)</f>
        <v>0</v>
      </c>
      <c r="CR73" s="20" t="n">
        <f aca="false">IF(CQ73&gt;PR_BalDone,CQ73+CQ73*(F_MR/12)-MIN(F_MortPayM,CQ73+CQ73*(F_MR/12)),CQ73)</f>
        <v>0</v>
      </c>
      <c r="CS73" s="20" t="n">
        <f aca="false">IF(CF73&gt;PR_BalDone,MIN(F_MortPayM,CF73+CF73*(F_MR/12)),0)</f>
        <v>0</v>
      </c>
      <c r="CT73" s="20" t="n">
        <f aca="false">IF(CG73&gt;PR_BalDone,MIN(F_MortPayM,CG73+CG73*(F_MR/12)),0)</f>
        <v>0</v>
      </c>
      <c r="CU73" s="20" t="n">
        <f aca="false">IF(CH73&gt;PR_BalDone,MIN(F_MortPayM,CH73+CH73*(F_MR/12)),0)</f>
        <v>0</v>
      </c>
      <c r="CV73" s="20" t="n">
        <f aca="false">IF(CI73&gt;PR_BalDone,MIN(F_MortPayM,CI73+CI73*(F_MR/12)),0)</f>
        <v>0</v>
      </c>
      <c r="CW73" s="20" t="n">
        <f aca="false">IF(CJ73&gt;PR_BalDone,MIN(F_MortPayM,CJ73+CJ73*(F_MR/12)),0)</f>
        <v>0</v>
      </c>
      <c r="CX73" s="20" t="n">
        <f aca="false">IF(CK73&gt;PR_BalDone,MIN(F_MortPayM,CK73+CK73*(F_MR/12)),0)</f>
        <v>0</v>
      </c>
      <c r="CY73" s="20" t="n">
        <f aca="false">IF(CL73&gt;PR_BalDone,MIN(F_MortPayM,CL73+CL73*(F_MR/12)),0)</f>
        <v>0</v>
      </c>
      <c r="CZ73" s="20" t="n">
        <f aca="false">IF(CM73&gt;PR_BalDone,MIN(F_MortPayM,CM73+CM73*(F_MR/12)),0)</f>
        <v>0</v>
      </c>
      <c r="DA73" s="20" t="n">
        <f aca="false">IF(CN73&gt;PR_BalDone,MIN(F_MortPayM,CN73+CN73*(F_MR/12)),0)</f>
        <v>0</v>
      </c>
      <c r="DB73" s="20" t="n">
        <f aca="false">IF(CO73&gt;PR_BalDone,MIN(F_MortPayM,CO73+CO73*(F_MR/12)),0)</f>
        <v>0</v>
      </c>
      <c r="DC73" s="20" t="n">
        <f aca="false">IF(CP73&gt;PR_BalDone,MIN(F_MortPayM,CP73+CP73*(F_MR/12)),0)</f>
        <v>0</v>
      </c>
      <c r="DD73" s="20" t="n">
        <f aca="false">IF(CQ73&gt;PR_BalDone,MIN(F_MortPayM,CQ73+CQ73*(F_MR/12)),0)</f>
        <v>0</v>
      </c>
      <c r="DE73" s="20" t="n">
        <f aca="false">MAX(0,CR73)</f>
        <v>0</v>
      </c>
      <c r="DF73" s="20" t="n">
        <f aca="false">SUM(CS73:DD73)</f>
        <v>0</v>
      </c>
      <c r="DG73" s="20" t="n">
        <f aca="false">MAX(0,CF73)</f>
        <v>0</v>
      </c>
    </row>
    <row r="74" customFormat="false" ht="15" hidden="false" customHeight="true" outlineLevel="0" collapsed="false">
      <c r="B74" s="20" t="n">
        <v>66</v>
      </c>
      <c r="C74" s="20" t="n">
        <f aca="false">'Plan cashflow'!J74</f>
        <v>0</v>
      </c>
      <c r="D74" s="20" t="n">
        <f aca="false">IF(C74&gt;PR_BalDone,C74+C74*(F_MR/12)-MIN(F_MortPayM,C74+C74*(F_MR/12)),C74)</f>
        <v>0</v>
      </c>
      <c r="E74" s="20" t="n">
        <f aca="false">IF(D74&gt;PR_BalDone,D74+D74*(F_MR/12)-MIN(F_MortPayM,D74+D74*(F_MR/12)),D74)</f>
        <v>0</v>
      </c>
      <c r="F74" s="20" t="n">
        <f aca="false">IF(E74&gt;PR_BalDone,E74+E74*(F_MR/12)-MIN(F_MortPayM,E74+E74*(F_MR/12)),E74)</f>
        <v>0</v>
      </c>
      <c r="G74" s="20" t="n">
        <f aca="false">IF(F74&gt;PR_BalDone,F74+F74*(F_MR/12)-MIN(F_MortPayM,F74+F74*(F_MR/12)),F74)</f>
        <v>0</v>
      </c>
      <c r="H74" s="20" t="n">
        <f aca="false">IF(G74&gt;PR_BalDone,G74+G74*(F_MR/12)-MIN(F_MortPayM,G74+G74*(F_MR/12)),G74)</f>
        <v>0</v>
      </c>
      <c r="I74" s="20" t="n">
        <f aca="false">IF(H74&gt;PR_BalDone,H74+H74*(F_MR/12)-MIN(F_MortPayM,H74+H74*(F_MR/12)),H74)</f>
        <v>0</v>
      </c>
      <c r="J74" s="20" t="n">
        <f aca="false">IF(I74&gt;PR_BalDone,I74+I74*(F_MR/12)-MIN(F_MortPayM,I74+I74*(F_MR/12)),I74)</f>
        <v>0</v>
      </c>
      <c r="K74" s="20" t="n">
        <f aca="false">IF(J74&gt;PR_BalDone,J74+J74*(F_MR/12)-MIN(F_MortPayM,J74+J74*(F_MR/12)),J74)</f>
        <v>0</v>
      </c>
      <c r="L74" s="20" t="n">
        <f aca="false">IF(K74&gt;PR_BalDone,K74+K74*(F_MR/12)-MIN(F_MortPayM,K74+K74*(F_MR/12)),K74)</f>
        <v>0</v>
      </c>
      <c r="M74" s="20" t="n">
        <f aca="false">IF(L74&gt;PR_BalDone,L74+L74*(F_MR/12)-MIN(F_MortPayM,L74+L74*(F_MR/12)),L74)</f>
        <v>0</v>
      </c>
      <c r="N74" s="20" t="n">
        <f aca="false">IF(M74&gt;PR_BalDone,M74+M74*(F_MR/12)-MIN(F_MortPayM,M74+M74*(F_MR/12)),M74)</f>
        <v>0</v>
      </c>
      <c r="O74" s="20" t="n">
        <f aca="false">IF(N74&gt;PR_BalDone,N74+N74*(F_MR/12)-MIN(F_MortPayM,N74+N74*(F_MR/12)),N74)</f>
        <v>0</v>
      </c>
      <c r="P74" s="20" t="n">
        <f aca="false">IF(C74&gt;PR_BalDone,MIN(F_MortPayM,C74+C74*(F_MR/12)),0)</f>
        <v>0</v>
      </c>
      <c r="Q74" s="20" t="n">
        <f aca="false">IF(D74&gt;PR_BalDone,MIN(F_MortPayM,D74+D74*(F_MR/12)),0)</f>
        <v>0</v>
      </c>
      <c r="R74" s="20" t="n">
        <f aca="false">IF(E74&gt;PR_BalDone,MIN(F_MortPayM,E74+E74*(F_MR/12)),0)</f>
        <v>0</v>
      </c>
      <c r="S74" s="20" t="n">
        <f aca="false">IF(F74&gt;PR_BalDone,MIN(F_MortPayM,F74+F74*(F_MR/12)),0)</f>
        <v>0</v>
      </c>
      <c r="T74" s="20" t="n">
        <f aca="false">IF(G74&gt;PR_BalDone,MIN(F_MortPayM,G74+G74*(F_MR/12)),0)</f>
        <v>0</v>
      </c>
      <c r="U74" s="20" t="n">
        <f aca="false">IF(H74&gt;PR_BalDone,MIN(F_MortPayM,H74+H74*(F_MR/12)),0)</f>
        <v>0</v>
      </c>
      <c r="V74" s="20" t="n">
        <f aca="false">IF(I74&gt;PR_BalDone,MIN(F_MortPayM,I74+I74*(F_MR/12)),0)</f>
        <v>0</v>
      </c>
      <c r="W74" s="20" t="n">
        <f aca="false">IF(J74&gt;PR_BalDone,MIN(F_MortPayM,J74+J74*(F_MR/12)),0)</f>
        <v>0</v>
      </c>
      <c r="X74" s="20" t="n">
        <f aca="false">IF(K74&gt;PR_BalDone,MIN(F_MortPayM,K74+K74*(F_MR/12)),0)</f>
        <v>0</v>
      </c>
      <c r="Y74" s="20" t="n">
        <f aca="false">IF(L74&gt;PR_BalDone,MIN(F_MortPayM,L74+L74*(F_MR/12)),0)</f>
        <v>0</v>
      </c>
      <c r="Z74" s="20" t="n">
        <f aca="false">IF(M74&gt;PR_BalDone,MIN(F_MortPayM,M74+M74*(F_MR/12)),0)</f>
        <v>0</v>
      </c>
      <c r="AA74" s="20" t="n">
        <f aca="false">IF(N74&gt;PR_BalDone,MIN(F_MortPayM,N74+N74*(F_MR/12)),0)</f>
        <v>0</v>
      </c>
      <c r="AB74" s="20" t="n">
        <f aca="false">MAX(0,O74)</f>
        <v>0</v>
      </c>
      <c r="AC74" s="20" t="n">
        <f aca="false">SUM(P74:AA74)</f>
        <v>0</v>
      </c>
      <c r="AD74" s="20" t="n">
        <f aca="false">'Plan cashflow'!M74</f>
        <v>0</v>
      </c>
      <c r="AE74" s="20" t="n">
        <f aca="false">IF(AD74&gt;PR_BalDone,AD74+AD74*(D_iC)-MIN(F_CardPayM,AD74+AD74*(D_iC)),AD74)</f>
        <v>0</v>
      </c>
      <c r="AF74" s="20" t="n">
        <f aca="false">IF(AE74&gt;PR_BalDone,AE74+AE74*(D_iC)-MIN(F_CardPayM,AE74+AE74*(D_iC)),AE74)</f>
        <v>0</v>
      </c>
      <c r="AG74" s="20" t="n">
        <f aca="false">IF(AF74&gt;PR_BalDone,AF74+AF74*(D_iC)-MIN(F_CardPayM,AF74+AF74*(D_iC)),AF74)</f>
        <v>0</v>
      </c>
      <c r="AH74" s="20" t="n">
        <f aca="false">IF(AG74&gt;PR_BalDone,AG74+AG74*(D_iC)-MIN(F_CardPayM,AG74+AG74*(D_iC)),AG74)</f>
        <v>0</v>
      </c>
      <c r="AI74" s="20" t="n">
        <f aca="false">IF(AH74&gt;PR_BalDone,AH74+AH74*(D_iC)-MIN(F_CardPayM,AH74+AH74*(D_iC)),AH74)</f>
        <v>0</v>
      </c>
      <c r="AJ74" s="20" t="n">
        <f aca="false">IF(AI74&gt;PR_BalDone,AI74+AI74*(D_iC)-MIN(F_CardPayM,AI74+AI74*(D_iC)),AI74)</f>
        <v>0</v>
      </c>
      <c r="AK74" s="20" t="n">
        <f aca="false">IF(AJ74&gt;PR_BalDone,AJ74+AJ74*(D_iC)-MIN(F_CardPayM,AJ74+AJ74*(D_iC)),AJ74)</f>
        <v>0</v>
      </c>
      <c r="AL74" s="20" t="n">
        <f aca="false">IF(AK74&gt;PR_BalDone,AK74+AK74*(D_iC)-MIN(F_CardPayM,AK74+AK74*(D_iC)),AK74)</f>
        <v>0</v>
      </c>
      <c r="AM74" s="20" t="n">
        <f aca="false">IF(AL74&gt;PR_BalDone,AL74+AL74*(D_iC)-MIN(F_CardPayM,AL74+AL74*(D_iC)),AL74)</f>
        <v>0</v>
      </c>
      <c r="AN74" s="20" t="n">
        <f aca="false">IF(AM74&gt;PR_BalDone,AM74+AM74*(D_iC)-MIN(F_CardPayM,AM74+AM74*(D_iC)),AM74)</f>
        <v>0</v>
      </c>
      <c r="AO74" s="20" t="n">
        <f aca="false">IF(AN74&gt;PR_BalDone,AN74+AN74*(D_iC)-MIN(F_CardPayM,AN74+AN74*(D_iC)),AN74)</f>
        <v>0</v>
      </c>
      <c r="AP74" s="20" t="n">
        <f aca="false">IF(AO74&gt;PR_BalDone,AO74+AO74*(D_iC)-MIN(F_CardPayM,AO74+AO74*(D_iC)),AO74)</f>
        <v>0</v>
      </c>
      <c r="AQ74" s="20" t="n">
        <f aca="false">IF(AD74&gt;PR_BalDone,MIN(F_CardPayM,AD74+AD74*(D_iC)),0)</f>
        <v>0</v>
      </c>
      <c r="AR74" s="20" t="n">
        <f aca="false">IF(AE74&gt;PR_BalDone,MIN(F_CardPayM,AE74+AE74*(D_iC)),0)</f>
        <v>0</v>
      </c>
      <c r="AS74" s="20" t="n">
        <f aca="false">IF(AF74&gt;PR_BalDone,MIN(F_CardPayM,AF74+AF74*(D_iC)),0)</f>
        <v>0</v>
      </c>
      <c r="AT74" s="20" t="n">
        <f aca="false">IF(AG74&gt;PR_BalDone,MIN(F_CardPayM,AG74+AG74*(D_iC)),0)</f>
        <v>0</v>
      </c>
      <c r="AU74" s="20" t="n">
        <f aca="false">IF(AH74&gt;PR_BalDone,MIN(F_CardPayM,AH74+AH74*(D_iC)),0)</f>
        <v>0</v>
      </c>
      <c r="AV74" s="20" t="n">
        <f aca="false">IF(AI74&gt;PR_BalDone,MIN(F_CardPayM,AI74+AI74*(D_iC)),0)</f>
        <v>0</v>
      </c>
      <c r="AW74" s="20" t="n">
        <f aca="false">IF(AJ74&gt;PR_BalDone,MIN(F_CardPayM,AJ74+AJ74*(D_iC)),0)</f>
        <v>0</v>
      </c>
      <c r="AX74" s="20" t="n">
        <f aca="false">IF(AK74&gt;PR_BalDone,MIN(F_CardPayM,AK74+AK74*(D_iC)),0)</f>
        <v>0</v>
      </c>
      <c r="AY74" s="20" t="n">
        <f aca="false">IF(AL74&gt;PR_BalDone,MIN(F_CardPayM,AL74+AL74*(D_iC)),0)</f>
        <v>0</v>
      </c>
      <c r="AZ74" s="20" t="n">
        <f aca="false">IF(AM74&gt;PR_BalDone,MIN(F_CardPayM,AM74+AM74*(D_iC)),0)</f>
        <v>0</v>
      </c>
      <c r="BA74" s="20" t="n">
        <f aca="false">IF(AN74&gt;PR_BalDone,MIN(F_CardPayM,AN74+AN74*(D_iC)),0)</f>
        <v>0</v>
      </c>
      <c r="BB74" s="20" t="n">
        <f aca="false">IF(AO74&gt;PR_BalDone,MIN(F_CardPayM,AO74+AO74*(D_iC)),0)</f>
        <v>0</v>
      </c>
      <c r="BC74" s="20" t="n">
        <f aca="false">MAX(0,AP74)</f>
        <v>0</v>
      </c>
      <c r="BD74" s="20" t="n">
        <f aca="false">SUM(AQ74:BB74)</f>
        <v>0</v>
      </c>
      <c r="BE74" s="20" t="n">
        <f aca="false">'Plan cashflow'!P74</f>
        <v>0</v>
      </c>
      <c r="BF74" s="20" t="n">
        <f aca="false">IF(BE74&gt;PR_BalDone,BE74+BE74*(D_iL)-MIN(F_LoanPayM,BE74+BE74*(D_iL)),BE74)</f>
        <v>0</v>
      </c>
      <c r="BG74" s="20" t="n">
        <f aca="false">IF(BF74&gt;PR_BalDone,BF74+BF74*(D_iL)-MIN(F_LoanPayM,BF74+BF74*(D_iL)),BF74)</f>
        <v>0</v>
      </c>
      <c r="BH74" s="20" t="n">
        <f aca="false">IF(BG74&gt;PR_BalDone,BG74+BG74*(D_iL)-MIN(F_LoanPayM,BG74+BG74*(D_iL)),BG74)</f>
        <v>0</v>
      </c>
      <c r="BI74" s="20" t="n">
        <f aca="false">IF(BH74&gt;PR_BalDone,BH74+BH74*(D_iL)-MIN(F_LoanPayM,BH74+BH74*(D_iL)),BH74)</f>
        <v>0</v>
      </c>
      <c r="BJ74" s="20" t="n">
        <f aca="false">IF(BI74&gt;PR_BalDone,BI74+BI74*(D_iL)-MIN(F_LoanPayM,BI74+BI74*(D_iL)),BI74)</f>
        <v>0</v>
      </c>
      <c r="BK74" s="20" t="n">
        <f aca="false">IF(BJ74&gt;PR_BalDone,BJ74+BJ74*(D_iL)-MIN(F_LoanPayM,BJ74+BJ74*(D_iL)),BJ74)</f>
        <v>0</v>
      </c>
      <c r="BL74" s="20" t="n">
        <f aca="false">IF(BK74&gt;PR_BalDone,BK74+BK74*(D_iL)-MIN(F_LoanPayM,BK74+BK74*(D_iL)),BK74)</f>
        <v>0</v>
      </c>
      <c r="BM74" s="20" t="n">
        <f aca="false">IF(BL74&gt;PR_BalDone,BL74+BL74*(D_iL)-MIN(F_LoanPayM,BL74+BL74*(D_iL)),BL74)</f>
        <v>0</v>
      </c>
      <c r="BN74" s="20" t="n">
        <f aca="false">IF(BM74&gt;PR_BalDone,BM74+BM74*(D_iL)-MIN(F_LoanPayM,BM74+BM74*(D_iL)),BM74)</f>
        <v>0</v>
      </c>
      <c r="BO74" s="20" t="n">
        <f aca="false">IF(BN74&gt;PR_BalDone,BN74+BN74*(D_iL)-MIN(F_LoanPayM,BN74+BN74*(D_iL)),BN74)</f>
        <v>0</v>
      </c>
      <c r="BP74" s="20" t="n">
        <f aca="false">IF(BO74&gt;PR_BalDone,BO74+BO74*(D_iL)-MIN(F_LoanPayM,BO74+BO74*(D_iL)),BO74)</f>
        <v>0</v>
      </c>
      <c r="BQ74" s="20" t="n">
        <f aca="false">IF(BP74&gt;PR_BalDone,BP74+BP74*(D_iL)-MIN(F_LoanPayM,BP74+BP74*(D_iL)),BP74)</f>
        <v>0</v>
      </c>
      <c r="BR74" s="20" t="n">
        <f aca="false">IF(BE74&gt;PR_BalDone,MIN(F_LoanPayM,BE74+BE74*(D_iL)),0)</f>
        <v>0</v>
      </c>
      <c r="BS74" s="20" t="n">
        <f aca="false">IF(BF74&gt;PR_BalDone,MIN(F_LoanPayM,BF74+BF74*(D_iL)),0)</f>
        <v>0</v>
      </c>
      <c r="BT74" s="20" t="n">
        <f aca="false">IF(BG74&gt;PR_BalDone,MIN(F_LoanPayM,BG74+BG74*(D_iL)),0)</f>
        <v>0</v>
      </c>
      <c r="BU74" s="20" t="n">
        <f aca="false">IF(BH74&gt;PR_BalDone,MIN(F_LoanPayM,BH74+BH74*(D_iL)),0)</f>
        <v>0</v>
      </c>
      <c r="BV74" s="20" t="n">
        <f aca="false">IF(BI74&gt;PR_BalDone,MIN(F_LoanPayM,BI74+BI74*(D_iL)),0)</f>
        <v>0</v>
      </c>
      <c r="BW74" s="20" t="n">
        <f aca="false">IF(BJ74&gt;PR_BalDone,MIN(F_LoanPayM,BJ74+BJ74*(D_iL)),0)</f>
        <v>0</v>
      </c>
      <c r="BX74" s="20" t="n">
        <f aca="false">IF(BK74&gt;PR_BalDone,MIN(F_LoanPayM,BK74+BK74*(D_iL)),0)</f>
        <v>0</v>
      </c>
      <c r="BY74" s="20" t="n">
        <f aca="false">IF(BL74&gt;PR_BalDone,MIN(F_LoanPayM,BL74+BL74*(D_iL)),0)</f>
        <v>0</v>
      </c>
      <c r="BZ74" s="20" t="n">
        <f aca="false">IF(BM74&gt;PR_BalDone,MIN(F_LoanPayM,BM74+BM74*(D_iL)),0)</f>
        <v>0</v>
      </c>
      <c r="CA74" s="20" t="n">
        <f aca="false">IF(BN74&gt;PR_BalDone,MIN(F_LoanPayM,BN74+BN74*(D_iL)),0)</f>
        <v>0</v>
      </c>
      <c r="CB74" s="20" t="n">
        <f aca="false">IF(BO74&gt;PR_BalDone,MIN(F_LoanPayM,BO74+BO74*(D_iL)),0)</f>
        <v>0</v>
      </c>
      <c r="CC74" s="20" t="n">
        <f aca="false">IF(BP74&gt;PR_BalDone,MIN(F_LoanPayM,BP74+BP74*(D_iL)),0)</f>
        <v>0</v>
      </c>
      <c r="CD74" s="20" t="n">
        <f aca="false">MAX(0,BQ74)</f>
        <v>0</v>
      </c>
      <c r="CE74" s="20" t="n">
        <f aca="false">SUM(BR74:CC74)</f>
        <v>0</v>
      </c>
      <c r="CF74" s="20" t="n">
        <f aca="false">IF(CF73&gt;1,DE73,CF73)</f>
        <v>0</v>
      </c>
      <c r="CG74" s="20" t="n">
        <f aca="false">IF(CF74&gt;PR_BalDone,CF74+CF74*(F_MR/12)-MIN(F_MortPayM,CF74+CF74*(F_MR/12)),CF74)</f>
        <v>0</v>
      </c>
      <c r="CH74" s="20" t="n">
        <f aca="false">IF(CG74&gt;PR_BalDone,CG74+CG74*(F_MR/12)-MIN(F_MortPayM,CG74+CG74*(F_MR/12)),CG74)</f>
        <v>0</v>
      </c>
      <c r="CI74" s="20" t="n">
        <f aca="false">IF(CH74&gt;PR_BalDone,CH74+CH74*(F_MR/12)-MIN(F_MortPayM,CH74+CH74*(F_MR/12)),CH74)</f>
        <v>0</v>
      </c>
      <c r="CJ74" s="20" t="n">
        <f aca="false">IF(CI74&gt;PR_BalDone,CI74+CI74*(F_MR/12)-MIN(F_MortPayM,CI74+CI74*(F_MR/12)),CI74)</f>
        <v>0</v>
      </c>
      <c r="CK74" s="20" t="n">
        <f aca="false">IF(CJ74&gt;PR_BalDone,CJ74+CJ74*(F_MR/12)-MIN(F_MortPayM,CJ74+CJ74*(F_MR/12)),CJ74)</f>
        <v>0</v>
      </c>
      <c r="CL74" s="20" t="n">
        <f aca="false">IF(CK74&gt;PR_BalDone,CK74+CK74*(F_MR/12)-MIN(F_MortPayM,CK74+CK74*(F_MR/12)),CK74)</f>
        <v>0</v>
      </c>
      <c r="CM74" s="20" t="n">
        <f aca="false">IF(CL74&gt;PR_BalDone,CL74+CL74*(F_MR/12)-MIN(F_MortPayM,CL74+CL74*(F_MR/12)),CL74)</f>
        <v>0</v>
      </c>
      <c r="CN74" s="20" t="n">
        <f aca="false">IF(CM74&gt;PR_BalDone,CM74+CM74*(F_MR/12)-MIN(F_MortPayM,CM74+CM74*(F_MR/12)),CM74)</f>
        <v>0</v>
      </c>
      <c r="CO74" s="20" t="n">
        <f aca="false">IF(CN74&gt;PR_BalDone,CN74+CN74*(F_MR/12)-MIN(F_MortPayM,CN74+CN74*(F_MR/12)),CN74)</f>
        <v>0</v>
      </c>
      <c r="CP74" s="20" t="n">
        <f aca="false">IF(CO74&gt;PR_BalDone,CO74+CO74*(F_MR/12)-MIN(F_MortPayM,CO74+CO74*(F_MR/12)),CO74)</f>
        <v>0</v>
      </c>
      <c r="CQ74" s="20" t="n">
        <f aca="false">IF(CP74&gt;PR_BalDone,CP74+CP74*(F_MR/12)-MIN(F_MortPayM,CP74+CP74*(F_MR/12)),CP74)</f>
        <v>0</v>
      </c>
      <c r="CR74" s="20" t="n">
        <f aca="false">IF(CQ74&gt;PR_BalDone,CQ74+CQ74*(F_MR/12)-MIN(F_MortPayM,CQ74+CQ74*(F_MR/12)),CQ74)</f>
        <v>0</v>
      </c>
      <c r="CS74" s="20" t="n">
        <f aca="false">IF(CF74&gt;PR_BalDone,MIN(F_MortPayM,CF74+CF74*(F_MR/12)),0)</f>
        <v>0</v>
      </c>
      <c r="CT74" s="20" t="n">
        <f aca="false">IF(CG74&gt;PR_BalDone,MIN(F_MortPayM,CG74+CG74*(F_MR/12)),0)</f>
        <v>0</v>
      </c>
      <c r="CU74" s="20" t="n">
        <f aca="false">IF(CH74&gt;PR_BalDone,MIN(F_MortPayM,CH74+CH74*(F_MR/12)),0)</f>
        <v>0</v>
      </c>
      <c r="CV74" s="20" t="n">
        <f aca="false">IF(CI74&gt;PR_BalDone,MIN(F_MortPayM,CI74+CI74*(F_MR/12)),0)</f>
        <v>0</v>
      </c>
      <c r="CW74" s="20" t="n">
        <f aca="false">IF(CJ74&gt;PR_BalDone,MIN(F_MortPayM,CJ74+CJ74*(F_MR/12)),0)</f>
        <v>0</v>
      </c>
      <c r="CX74" s="20" t="n">
        <f aca="false">IF(CK74&gt;PR_BalDone,MIN(F_MortPayM,CK74+CK74*(F_MR/12)),0)</f>
        <v>0</v>
      </c>
      <c r="CY74" s="20" t="n">
        <f aca="false">IF(CL74&gt;PR_BalDone,MIN(F_MortPayM,CL74+CL74*(F_MR/12)),0)</f>
        <v>0</v>
      </c>
      <c r="CZ74" s="20" t="n">
        <f aca="false">IF(CM74&gt;PR_BalDone,MIN(F_MortPayM,CM74+CM74*(F_MR/12)),0)</f>
        <v>0</v>
      </c>
      <c r="DA74" s="20" t="n">
        <f aca="false">IF(CN74&gt;PR_BalDone,MIN(F_MortPayM,CN74+CN74*(F_MR/12)),0)</f>
        <v>0</v>
      </c>
      <c r="DB74" s="20" t="n">
        <f aca="false">IF(CO74&gt;PR_BalDone,MIN(F_MortPayM,CO74+CO74*(F_MR/12)),0)</f>
        <v>0</v>
      </c>
      <c r="DC74" s="20" t="n">
        <f aca="false">IF(CP74&gt;PR_BalDone,MIN(F_MortPayM,CP74+CP74*(F_MR/12)),0)</f>
        <v>0</v>
      </c>
      <c r="DD74" s="20" t="n">
        <f aca="false">IF(CQ74&gt;PR_BalDone,MIN(F_MortPayM,CQ74+CQ74*(F_MR/12)),0)</f>
        <v>0</v>
      </c>
      <c r="DE74" s="20" t="n">
        <f aca="false">MAX(0,CR74)</f>
        <v>0</v>
      </c>
      <c r="DF74" s="20" t="n">
        <f aca="false">SUM(CS74:DD74)</f>
        <v>0</v>
      </c>
      <c r="DG74" s="20" t="n">
        <f aca="false">MAX(0,CF74)</f>
        <v>0</v>
      </c>
    </row>
    <row r="75" customFormat="false" ht="15" hidden="false" customHeight="true" outlineLevel="0" collapsed="false">
      <c r="B75" s="20" t="n">
        <v>67</v>
      </c>
      <c r="C75" s="20" t="n">
        <f aca="false">'Plan cashflow'!J75</f>
        <v>0</v>
      </c>
      <c r="D75" s="20" t="n">
        <f aca="false">IF(C75&gt;PR_BalDone,C75+C75*(F_MR/12)-MIN(F_MortPayM,C75+C75*(F_MR/12)),C75)</f>
        <v>0</v>
      </c>
      <c r="E75" s="20" t="n">
        <f aca="false">IF(D75&gt;PR_BalDone,D75+D75*(F_MR/12)-MIN(F_MortPayM,D75+D75*(F_MR/12)),D75)</f>
        <v>0</v>
      </c>
      <c r="F75" s="20" t="n">
        <f aca="false">IF(E75&gt;PR_BalDone,E75+E75*(F_MR/12)-MIN(F_MortPayM,E75+E75*(F_MR/12)),E75)</f>
        <v>0</v>
      </c>
      <c r="G75" s="20" t="n">
        <f aca="false">IF(F75&gt;PR_BalDone,F75+F75*(F_MR/12)-MIN(F_MortPayM,F75+F75*(F_MR/12)),F75)</f>
        <v>0</v>
      </c>
      <c r="H75" s="20" t="n">
        <f aca="false">IF(G75&gt;PR_BalDone,G75+G75*(F_MR/12)-MIN(F_MortPayM,G75+G75*(F_MR/12)),G75)</f>
        <v>0</v>
      </c>
      <c r="I75" s="20" t="n">
        <f aca="false">IF(H75&gt;PR_BalDone,H75+H75*(F_MR/12)-MIN(F_MortPayM,H75+H75*(F_MR/12)),H75)</f>
        <v>0</v>
      </c>
      <c r="J75" s="20" t="n">
        <f aca="false">IF(I75&gt;PR_BalDone,I75+I75*(F_MR/12)-MIN(F_MortPayM,I75+I75*(F_MR/12)),I75)</f>
        <v>0</v>
      </c>
      <c r="K75" s="20" t="n">
        <f aca="false">IF(J75&gt;PR_BalDone,J75+J75*(F_MR/12)-MIN(F_MortPayM,J75+J75*(F_MR/12)),J75)</f>
        <v>0</v>
      </c>
      <c r="L75" s="20" t="n">
        <f aca="false">IF(K75&gt;PR_BalDone,K75+K75*(F_MR/12)-MIN(F_MortPayM,K75+K75*(F_MR/12)),K75)</f>
        <v>0</v>
      </c>
      <c r="M75" s="20" t="n">
        <f aca="false">IF(L75&gt;PR_BalDone,L75+L75*(F_MR/12)-MIN(F_MortPayM,L75+L75*(F_MR/12)),L75)</f>
        <v>0</v>
      </c>
      <c r="N75" s="20" t="n">
        <f aca="false">IF(M75&gt;PR_BalDone,M75+M75*(F_MR/12)-MIN(F_MortPayM,M75+M75*(F_MR/12)),M75)</f>
        <v>0</v>
      </c>
      <c r="O75" s="20" t="n">
        <f aca="false">IF(N75&gt;PR_BalDone,N75+N75*(F_MR/12)-MIN(F_MortPayM,N75+N75*(F_MR/12)),N75)</f>
        <v>0</v>
      </c>
      <c r="P75" s="20" t="n">
        <f aca="false">IF(C75&gt;PR_BalDone,MIN(F_MortPayM,C75+C75*(F_MR/12)),0)</f>
        <v>0</v>
      </c>
      <c r="Q75" s="20" t="n">
        <f aca="false">IF(D75&gt;PR_BalDone,MIN(F_MortPayM,D75+D75*(F_MR/12)),0)</f>
        <v>0</v>
      </c>
      <c r="R75" s="20" t="n">
        <f aca="false">IF(E75&gt;PR_BalDone,MIN(F_MortPayM,E75+E75*(F_MR/12)),0)</f>
        <v>0</v>
      </c>
      <c r="S75" s="20" t="n">
        <f aca="false">IF(F75&gt;PR_BalDone,MIN(F_MortPayM,F75+F75*(F_MR/12)),0)</f>
        <v>0</v>
      </c>
      <c r="T75" s="20" t="n">
        <f aca="false">IF(G75&gt;PR_BalDone,MIN(F_MortPayM,G75+G75*(F_MR/12)),0)</f>
        <v>0</v>
      </c>
      <c r="U75" s="20" t="n">
        <f aca="false">IF(H75&gt;PR_BalDone,MIN(F_MortPayM,H75+H75*(F_MR/12)),0)</f>
        <v>0</v>
      </c>
      <c r="V75" s="20" t="n">
        <f aca="false">IF(I75&gt;PR_BalDone,MIN(F_MortPayM,I75+I75*(F_MR/12)),0)</f>
        <v>0</v>
      </c>
      <c r="W75" s="20" t="n">
        <f aca="false">IF(J75&gt;PR_BalDone,MIN(F_MortPayM,J75+J75*(F_MR/12)),0)</f>
        <v>0</v>
      </c>
      <c r="X75" s="20" t="n">
        <f aca="false">IF(K75&gt;PR_BalDone,MIN(F_MortPayM,K75+K75*(F_MR/12)),0)</f>
        <v>0</v>
      </c>
      <c r="Y75" s="20" t="n">
        <f aca="false">IF(L75&gt;PR_BalDone,MIN(F_MortPayM,L75+L75*(F_MR/12)),0)</f>
        <v>0</v>
      </c>
      <c r="Z75" s="20" t="n">
        <f aca="false">IF(M75&gt;PR_BalDone,MIN(F_MortPayM,M75+M75*(F_MR/12)),0)</f>
        <v>0</v>
      </c>
      <c r="AA75" s="20" t="n">
        <f aca="false">IF(N75&gt;PR_BalDone,MIN(F_MortPayM,N75+N75*(F_MR/12)),0)</f>
        <v>0</v>
      </c>
      <c r="AB75" s="20" t="n">
        <f aca="false">MAX(0,O75)</f>
        <v>0</v>
      </c>
      <c r="AC75" s="20" t="n">
        <f aca="false">SUM(P75:AA75)</f>
        <v>0</v>
      </c>
      <c r="AD75" s="20" t="n">
        <f aca="false">'Plan cashflow'!M75</f>
        <v>0</v>
      </c>
      <c r="AE75" s="20" t="n">
        <f aca="false">IF(AD75&gt;PR_BalDone,AD75+AD75*(D_iC)-MIN(F_CardPayM,AD75+AD75*(D_iC)),AD75)</f>
        <v>0</v>
      </c>
      <c r="AF75" s="20" t="n">
        <f aca="false">IF(AE75&gt;PR_BalDone,AE75+AE75*(D_iC)-MIN(F_CardPayM,AE75+AE75*(D_iC)),AE75)</f>
        <v>0</v>
      </c>
      <c r="AG75" s="20" t="n">
        <f aca="false">IF(AF75&gt;PR_BalDone,AF75+AF75*(D_iC)-MIN(F_CardPayM,AF75+AF75*(D_iC)),AF75)</f>
        <v>0</v>
      </c>
      <c r="AH75" s="20" t="n">
        <f aca="false">IF(AG75&gt;PR_BalDone,AG75+AG75*(D_iC)-MIN(F_CardPayM,AG75+AG75*(D_iC)),AG75)</f>
        <v>0</v>
      </c>
      <c r="AI75" s="20" t="n">
        <f aca="false">IF(AH75&gt;PR_BalDone,AH75+AH75*(D_iC)-MIN(F_CardPayM,AH75+AH75*(D_iC)),AH75)</f>
        <v>0</v>
      </c>
      <c r="AJ75" s="20" t="n">
        <f aca="false">IF(AI75&gt;PR_BalDone,AI75+AI75*(D_iC)-MIN(F_CardPayM,AI75+AI75*(D_iC)),AI75)</f>
        <v>0</v>
      </c>
      <c r="AK75" s="20" t="n">
        <f aca="false">IF(AJ75&gt;PR_BalDone,AJ75+AJ75*(D_iC)-MIN(F_CardPayM,AJ75+AJ75*(D_iC)),AJ75)</f>
        <v>0</v>
      </c>
      <c r="AL75" s="20" t="n">
        <f aca="false">IF(AK75&gt;PR_BalDone,AK75+AK75*(D_iC)-MIN(F_CardPayM,AK75+AK75*(D_iC)),AK75)</f>
        <v>0</v>
      </c>
      <c r="AM75" s="20" t="n">
        <f aca="false">IF(AL75&gt;PR_BalDone,AL75+AL75*(D_iC)-MIN(F_CardPayM,AL75+AL75*(D_iC)),AL75)</f>
        <v>0</v>
      </c>
      <c r="AN75" s="20" t="n">
        <f aca="false">IF(AM75&gt;PR_BalDone,AM75+AM75*(D_iC)-MIN(F_CardPayM,AM75+AM75*(D_iC)),AM75)</f>
        <v>0</v>
      </c>
      <c r="AO75" s="20" t="n">
        <f aca="false">IF(AN75&gt;PR_BalDone,AN75+AN75*(D_iC)-MIN(F_CardPayM,AN75+AN75*(D_iC)),AN75)</f>
        <v>0</v>
      </c>
      <c r="AP75" s="20" t="n">
        <f aca="false">IF(AO75&gt;PR_BalDone,AO75+AO75*(D_iC)-MIN(F_CardPayM,AO75+AO75*(D_iC)),AO75)</f>
        <v>0</v>
      </c>
      <c r="AQ75" s="20" t="n">
        <f aca="false">IF(AD75&gt;PR_BalDone,MIN(F_CardPayM,AD75+AD75*(D_iC)),0)</f>
        <v>0</v>
      </c>
      <c r="AR75" s="20" t="n">
        <f aca="false">IF(AE75&gt;PR_BalDone,MIN(F_CardPayM,AE75+AE75*(D_iC)),0)</f>
        <v>0</v>
      </c>
      <c r="AS75" s="20" t="n">
        <f aca="false">IF(AF75&gt;PR_BalDone,MIN(F_CardPayM,AF75+AF75*(D_iC)),0)</f>
        <v>0</v>
      </c>
      <c r="AT75" s="20" t="n">
        <f aca="false">IF(AG75&gt;PR_BalDone,MIN(F_CardPayM,AG75+AG75*(D_iC)),0)</f>
        <v>0</v>
      </c>
      <c r="AU75" s="20" t="n">
        <f aca="false">IF(AH75&gt;PR_BalDone,MIN(F_CardPayM,AH75+AH75*(D_iC)),0)</f>
        <v>0</v>
      </c>
      <c r="AV75" s="20" t="n">
        <f aca="false">IF(AI75&gt;PR_BalDone,MIN(F_CardPayM,AI75+AI75*(D_iC)),0)</f>
        <v>0</v>
      </c>
      <c r="AW75" s="20" t="n">
        <f aca="false">IF(AJ75&gt;PR_BalDone,MIN(F_CardPayM,AJ75+AJ75*(D_iC)),0)</f>
        <v>0</v>
      </c>
      <c r="AX75" s="20" t="n">
        <f aca="false">IF(AK75&gt;PR_BalDone,MIN(F_CardPayM,AK75+AK75*(D_iC)),0)</f>
        <v>0</v>
      </c>
      <c r="AY75" s="20" t="n">
        <f aca="false">IF(AL75&gt;PR_BalDone,MIN(F_CardPayM,AL75+AL75*(D_iC)),0)</f>
        <v>0</v>
      </c>
      <c r="AZ75" s="20" t="n">
        <f aca="false">IF(AM75&gt;PR_BalDone,MIN(F_CardPayM,AM75+AM75*(D_iC)),0)</f>
        <v>0</v>
      </c>
      <c r="BA75" s="20" t="n">
        <f aca="false">IF(AN75&gt;PR_BalDone,MIN(F_CardPayM,AN75+AN75*(D_iC)),0)</f>
        <v>0</v>
      </c>
      <c r="BB75" s="20" t="n">
        <f aca="false">IF(AO75&gt;PR_BalDone,MIN(F_CardPayM,AO75+AO75*(D_iC)),0)</f>
        <v>0</v>
      </c>
      <c r="BC75" s="20" t="n">
        <f aca="false">MAX(0,AP75)</f>
        <v>0</v>
      </c>
      <c r="BD75" s="20" t="n">
        <f aca="false">SUM(AQ75:BB75)</f>
        <v>0</v>
      </c>
      <c r="BE75" s="20" t="n">
        <f aca="false">'Plan cashflow'!P75</f>
        <v>0</v>
      </c>
      <c r="BF75" s="20" t="n">
        <f aca="false">IF(BE75&gt;PR_BalDone,BE75+BE75*(D_iL)-MIN(F_LoanPayM,BE75+BE75*(D_iL)),BE75)</f>
        <v>0</v>
      </c>
      <c r="BG75" s="20" t="n">
        <f aca="false">IF(BF75&gt;PR_BalDone,BF75+BF75*(D_iL)-MIN(F_LoanPayM,BF75+BF75*(D_iL)),BF75)</f>
        <v>0</v>
      </c>
      <c r="BH75" s="20" t="n">
        <f aca="false">IF(BG75&gt;PR_BalDone,BG75+BG75*(D_iL)-MIN(F_LoanPayM,BG75+BG75*(D_iL)),BG75)</f>
        <v>0</v>
      </c>
      <c r="BI75" s="20" t="n">
        <f aca="false">IF(BH75&gt;PR_BalDone,BH75+BH75*(D_iL)-MIN(F_LoanPayM,BH75+BH75*(D_iL)),BH75)</f>
        <v>0</v>
      </c>
      <c r="BJ75" s="20" t="n">
        <f aca="false">IF(BI75&gt;PR_BalDone,BI75+BI75*(D_iL)-MIN(F_LoanPayM,BI75+BI75*(D_iL)),BI75)</f>
        <v>0</v>
      </c>
      <c r="BK75" s="20" t="n">
        <f aca="false">IF(BJ75&gt;PR_BalDone,BJ75+BJ75*(D_iL)-MIN(F_LoanPayM,BJ75+BJ75*(D_iL)),BJ75)</f>
        <v>0</v>
      </c>
      <c r="BL75" s="20" t="n">
        <f aca="false">IF(BK75&gt;PR_BalDone,BK75+BK75*(D_iL)-MIN(F_LoanPayM,BK75+BK75*(D_iL)),BK75)</f>
        <v>0</v>
      </c>
      <c r="BM75" s="20" t="n">
        <f aca="false">IF(BL75&gt;PR_BalDone,BL75+BL75*(D_iL)-MIN(F_LoanPayM,BL75+BL75*(D_iL)),BL75)</f>
        <v>0</v>
      </c>
      <c r="BN75" s="20" t="n">
        <f aca="false">IF(BM75&gt;PR_BalDone,BM75+BM75*(D_iL)-MIN(F_LoanPayM,BM75+BM75*(D_iL)),BM75)</f>
        <v>0</v>
      </c>
      <c r="BO75" s="20" t="n">
        <f aca="false">IF(BN75&gt;PR_BalDone,BN75+BN75*(D_iL)-MIN(F_LoanPayM,BN75+BN75*(D_iL)),BN75)</f>
        <v>0</v>
      </c>
      <c r="BP75" s="20" t="n">
        <f aca="false">IF(BO75&gt;PR_BalDone,BO75+BO75*(D_iL)-MIN(F_LoanPayM,BO75+BO75*(D_iL)),BO75)</f>
        <v>0</v>
      </c>
      <c r="BQ75" s="20" t="n">
        <f aca="false">IF(BP75&gt;PR_BalDone,BP75+BP75*(D_iL)-MIN(F_LoanPayM,BP75+BP75*(D_iL)),BP75)</f>
        <v>0</v>
      </c>
      <c r="BR75" s="20" t="n">
        <f aca="false">IF(BE75&gt;PR_BalDone,MIN(F_LoanPayM,BE75+BE75*(D_iL)),0)</f>
        <v>0</v>
      </c>
      <c r="BS75" s="20" t="n">
        <f aca="false">IF(BF75&gt;PR_BalDone,MIN(F_LoanPayM,BF75+BF75*(D_iL)),0)</f>
        <v>0</v>
      </c>
      <c r="BT75" s="20" t="n">
        <f aca="false">IF(BG75&gt;PR_BalDone,MIN(F_LoanPayM,BG75+BG75*(D_iL)),0)</f>
        <v>0</v>
      </c>
      <c r="BU75" s="20" t="n">
        <f aca="false">IF(BH75&gt;PR_BalDone,MIN(F_LoanPayM,BH75+BH75*(D_iL)),0)</f>
        <v>0</v>
      </c>
      <c r="BV75" s="20" t="n">
        <f aca="false">IF(BI75&gt;PR_BalDone,MIN(F_LoanPayM,BI75+BI75*(D_iL)),0)</f>
        <v>0</v>
      </c>
      <c r="BW75" s="20" t="n">
        <f aca="false">IF(BJ75&gt;PR_BalDone,MIN(F_LoanPayM,BJ75+BJ75*(D_iL)),0)</f>
        <v>0</v>
      </c>
      <c r="BX75" s="20" t="n">
        <f aca="false">IF(BK75&gt;PR_BalDone,MIN(F_LoanPayM,BK75+BK75*(D_iL)),0)</f>
        <v>0</v>
      </c>
      <c r="BY75" s="20" t="n">
        <f aca="false">IF(BL75&gt;PR_BalDone,MIN(F_LoanPayM,BL75+BL75*(D_iL)),0)</f>
        <v>0</v>
      </c>
      <c r="BZ75" s="20" t="n">
        <f aca="false">IF(BM75&gt;PR_BalDone,MIN(F_LoanPayM,BM75+BM75*(D_iL)),0)</f>
        <v>0</v>
      </c>
      <c r="CA75" s="20" t="n">
        <f aca="false">IF(BN75&gt;PR_BalDone,MIN(F_LoanPayM,BN75+BN75*(D_iL)),0)</f>
        <v>0</v>
      </c>
      <c r="CB75" s="20" t="n">
        <f aca="false">IF(BO75&gt;PR_BalDone,MIN(F_LoanPayM,BO75+BO75*(D_iL)),0)</f>
        <v>0</v>
      </c>
      <c r="CC75" s="20" t="n">
        <f aca="false">IF(BP75&gt;PR_BalDone,MIN(F_LoanPayM,BP75+BP75*(D_iL)),0)</f>
        <v>0</v>
      </c>
      <c r="CD75" s="20" t="n">
        <f aca="false">MAX(0,BQ75)</f>
        <v>0</v>
      </c>
      <c r="CE75" s="20" t="n">
        <f aca="false">SUM(BR75:CC75)</f>
        <v>0</v>
      </c>
      <c r="CF75" s="20" t="n">
        <f aca="false">IF(CF74&gt;1,DE74,CF74)</f>
        <v>0</v>
      </c>
      <c r="CG75" s="20" t="n">
        <f aca="false">IF(CF75&gt;PR_BalDone,CF75+CF75*(F_MR/12)-MIN(F_MortPayM,CF75+CF75*(F_MR/12)),CF75)</f>
        <v>0</v>
      </c>
      <c r="CH75" s="20" t="n">
        <f aca="false">IF(CG75&gt;PR_BalDone,CG75+CG75*(F_MR/12)-MIN(F_MortPayM,CG75+CG75*(F_MR/12)),CG75)</f>
        <v>0</v>
      </c>
      <c r="CI75" s="20" t="n">
        <f aca="false">IF(CH75&gt;PR_BalDone,CH75+CH75*(F_MR/12)-MIN(F_MortPayM,CH75+CH75*(F_MR/12)),CH75)</f>
        <v>0</v>
      </c>
      <c r="CJ75" s="20" t="n">
        <f aca="false">IF(CI75&gt;PR_BalDone,CI75+CI75*(F_MR/12)-MIN(F_MortPayM,CI75+CI75*(F_MR/12)),CI75)</f>
        <v>0</v>
      </c>
      <c r="CK75" s="20" t="n">
        <f aca="false">IF(CJ75&gt;PR_BalDone,CJ75+CJ75*(F_MR/12)-MIN(F_MortPayM,CJ75+CJ75*(F_MR/12)),CJ75)</f>
        <v>0</v>
      </c>
      <c r="CL75" s="20" t="n">
        <f aca="false">IF(CK75&gt;PR_BalDone,CK75+CK75*(F_MR/12)-MIN(F_MortPayM,CK75+CK75*(F_MR/12)),CK75)</f>
        <v>0</v>
      </c>
      <c r="CM75" s="20" t="n">
        <f aca="false">IF(CL75&gt;PR_BalDone,CL75+CL75*(F_MR/12)-MIN(F_MortPayM,CL75+CL75*(F_MR/12)),CL75)</f>
        <v>0</v>
      </c>
      <c r="CN75" s="20" t="n">
        <f aca="false">IF(CM75&gt;PR_BalDone,CM75+CM75*(F_MR/12)-MIN(F_MortPayM,CM75+CM75*(F_MR/12)),CM75)</f>
        <v>0</v>
      </c>
      <c r="CO75" s="20" t="n">
        <f aca="false">IF(CN75&gt;PR_BalDone,CN75+CN75*(F_MR/12)-MIN(F_MortPayM,CN75+CN75*(F_MR/12)),CN75)</f>
        <v>0</v>
      </c>
      <c r="CP75" s="20" t="n">
        <f aca="false">IF(CO75&gt;PR_BalDone,CO75+CO75*(F_MR/12)-MIN(F_MortPayM,CO75+CO75*(F_MR/12)),CO75)</f>
        <v>0</v>
      </c>
      <c r="CQ75" s="20" t="n">
        <f aca="false">IF(CP75&gt;PR_BalDone,CP75+CP75*(F_MR/12)-MIN(F_MortPayM,CP75+CP75*(F_MR/12)),CP75)</f>
        <v>0</v>
      </c>
      <c r="CR75" s="20" t="n">
        <f aca="false">IF(CQ75&gt;PR_BalDone,CQ75+CQ75*(F_MR/12)-MIN(F_MortPayM,CQ75+CQ75*(F_MR/12)),CQ75)</f>
        <v>0</v>
      </c>
      <c r="CS75" s="20" t="n">
        <f aca="false">IF(CF75&gt;PR_BalDone,MIN(F_MortPayM,CF75+CF75*(F_MR/12)),0)</f>
        <v>0</v>
      </c>
      <c r="CT75" s="20" t="n">
        <f aca="false">IF(CG75&gt;PR_BalDone,MIN(F_MortPayM,CG75+CG75*(F_MR/12)),0)</f>
        <v>0</v>
      </c>
      <c r="CU75" s="20" t="n">
        <f aca="false">IF(CH75&gt;PR_BalDone,MIN(F_MortPayM,CH75+CH75*(F_MR/12)),0)</f>
        <v>0</v>
      </c>
      <c r="CV75" s="20" t="n">
        <f aca="false">IF(CI75&gt;PR_BalDone,MIN(F_MortPayM,CI75+CI75*(F_MR/12)),0)</f>
        <v>0</v>
      </c>
      <c r="CW75" s="20" t="n">
        <f aca="false">IF(CJ75&gt;PR_BalDone,MIN(F_MortPayM,CJ75+CJ75*(F_MR/12)),0)</f>
        <v>0</v>
      </c>
      <c r="CX75" s="20" t="n">
        <f aca="false">IF(CK75&gt;PR_BalDone,MIN(F_MortPayM,CK75+CK75*(F_MR/12)),0)</f>
        <v>0</v>
      </c>
      <c r="CY75" s="20" t="n">
        <f aca="false">IF(CL75&gt;PR_BalDone,MIN(F_MortPayM,CL75+CL75*(F_MR/12)),0)</f>
        <v>0</v>
      </c>
      <c r="CZ75" s="20" t="n">
        <f aca="false">IF(CM75&gt;PR_BalDone,MIN(F_MortPayM,CM75+CM75*(F_MR/12)),0)</f>
        <v>0</v>
      </c>
      <c r="DA75" s="20" t="n">
        <f aca="false">IF(CN75&gt;PR_BalDone,MIN(F_MortPayM,CN75+CN75*(F_MR/12)),0)</f>
        <v>0</v>
      </c>
      <c r="DB75" s="20" t="n">
        <f aca="false">IF(CO75&gt;PR_BalDone,MIN(F_MortPayM,CO75+CO75*(F_MR/12)),0)</f>
        <v>0</v>
      </c>
      <c r="DC75" s="20" t="n">
        <f aca="false">IF(CP75&gt;PR_BalDone,MIN(F_MortPayM,CP75+CP75*(F_MR/12)),0)</f>
        <v>0</v>
      </c>
      <c r="DD75" s="20" t="n">
        <f aca="false">IF(CQ75&gt;PR_BalDone,MIN(F_MortPayM,CQ75+CQ75*(F_MR/12)),0)</f>
        <v>0</v>
      </c>
      <c r="DE75" s="20" t="n">
        <f aca="false">MAX(0,CR75)</f>
        <v>0</v>
      </c>
      <c r="DF75" s="20" t="n">
        <f aca="false">SUM(CS75:DD75)</f>
        <v>0</v>
      </c>
      <c r="DG75" s="20" t="n">
        <f aca="false">MAX(0,CF75)</f>
        <v>0</v>
      </c>
    </row>
    <row r="76" customFormat="false" ht="15" hidden="false" customHeight="true" outlineLevel="0" collapsed="false">
      <c r="B76" s="20" t="n">
        <v>68</v>
      </c>
      <c r="C76" s="20" t="n">
        <f aca="false">'Plan cashflow'!J76</f>
        <v>0</v>
      </c>
      <c r="D76" s="20" t="n">
        <f aca="false">IF(C76&gt;PR_BalDone,C76+C76*(F_MR/12)-MIN(F_MortPayM,C76+C76*(F_MR/12)),C76)</f>
        <v>0</v>
      </c>
      <c r="E76" s="20" t="n">
        <f aca="false">IF(D76&gt;PR_BalDone,D76+D76*(F_MR/12)-MIN(F_MortPayM,D76+D76*(F_MR/12)),D76)</f>
        <v>0</v>
      </c>
      <c r="F76" s="20" t="n">
        <f aca="false">IF(E76&gt;PR_BalDone,E76+E76*(F_MR/12)-MIN(F_MortPayM,E76+E76*(F_MR/12)),E76)</f>
        <v>0</v>
      </c>
      <c r="G76" s="20" t="n">
        <f aca="false">IF(F76&gt;PR_BalDone,F76+F76*(F_MR/12)-MIN(F_MortPayM,F76+F76*(F_MR/12)),F76)</f>
        <v>0</v>
      </c>
      <c r="H76" s="20" t="n">
        <f aca="false">IF(G76&gt;PR_BalDone,G76+G76*(F_MR/12)-MIN(F_MortPayM,G76+G76*(F_MR/12)),G76)</f>
        <v>0</v>
      </c>
      <c r="I76" s="20" t="n">
        <f aca="false">IF(H76&gt;PR_BalDone,H76+H76*(F_MR/12)-MIN(F_MortPayM,H76+H76*(F_MR/12)),H76)</f>
        <v>0</v>
      </c>
      <c r="J76" s="20" t="n">
        <f aca="false">IF(I76&gt;PR_BalDone,I76+I76*(F_MR/12)-MIN(F_MortPayM,I76+I76*(F_MR/12)),I76)</f>
        <v>0</v>
      </c>
      <c r="K76" s="20" t="n">
        <f aca="false">IF(J76&gt;PR_BalDone,J76+J76*(F_MR/12)-MIN(F_MortPayM,J76+J76*(F_MR/12)),J76)</f>
        <v>0</v>
      </c>
      <c r="L76" s="20" t="n">
        <f aca="false">IF(K76&gt;PR_BalDone,K76+K76*(F_MR/12)-MIN(F_MortPayM,K76+K76*(F_MR/12)),K76)</f>
        <v>0</v>
      </c>
      <c r="M76" s="20" t="n">
        <f aca="false">IF(L76&gt;PR_BalDone,L76+L76*(F_MR/12)-MIN(F_MortPayM,L76+L76*(F_MR/12)),L76)</f>
        <v>0</v>
      </c>
      <c r="N76" s="20" t="n">
        <f aca="false">IF(M76&gt;PR_BalDone,M76+M76*(F_MR/12)-MIN(F_MortPayM,M76+M76*(F_MR/12)),M76)</f>
        <v>0</v>
      </c>
      <c r="O76" s="20" t="n">
        <f aca="false">IF(N76&gt;PR_BalDone,N76+N76*(F_MR/12)-MIN(F_MortPayM,N76+N76*(F_MR/12)),N76)</f>
        <v>0</v>
      </c>
      <c r="P76" s="20" t="n">
        <f aca="false">IF(C76&gt;PR_BalDone,MIN(F_MortPayM,C76+C76*(F_MR/12)),0)</f>
        <v>0</v>
      </c>
      <c r="Q76" s="20" t="n">
        <f aca="false">IF(D76&gt;PR_BalDone,MIN(F_MortPayM,D76+D76*(F_MR/12)),0)</f>
        <v>0</v>
      </c>
      <c r="R76" s="20" t="n">
        <f aca="false">IF(E76&gt;PR_BalDone,MIN(F_MortPayM,E76+E76*(F_MR/12)),0)</f>
        <v>0</v>
      </c>
      <c r="S76" s="20" t="n">
        <f aca="false">IF(F76&gt;PR_BalDone,MIN(F_MortPayM,F76+F76*(F_MR/12)),0)</f>
        <v>0</v>
      </c>
      <c r="T76" s="20" t="n">
        <f aca="false">IF(G76&gt;PR_BalDone,MIN(F_MortPayM,G76+G76*(F_MR/12)),0)</f>
        <v>0</v>
      </c>
      <c r="U76" s="20" t="n">
        <f aca="false">IF(H76&gt;PR_BalDone,MIN(F_MortPayM,H76+H76*(F_MR/12)),0)</f>
        <v>0</v>
      </c>
      <c r="V76" s="20" t="n">
        <f aca="false">IF(I76&gt;PR_BalDone,MIN(F_MortPayM,I76+I76*(F_MR/12)),0)</f>
        <v>0</v>
      </c>
      <c r="W76" s="20" t="n">
        <f aca="false">IF(J76&gt;PR_BalDone,MIN(F_MortPayM,J76+J76*(F_MR/12)),0)</f>
        <v>0</v>
      </c>
      <c r="X76" s="20" t="n">
        <f aca="false">IF(K76&gt;PR_BalDone,MIN(F_MortPayM,K76+K76*(F_MR/12)),0)</f>
        <v>0</v>
      </c>
      <c r="Y76" s="20" t="n">
        <f aca="false">IF(L76&gt;PR_BalDone,MIN(F_MortPayM,L76+L76*(F_MR/12)),0)</f>
        <v>0</v>
      </c>
      <c r="Z76" s="20" t="n">
        <f aca="false">IF(M76&gt;PR_BalDone,MIN(F_MortPayM,M76+M76*(F_MR/12)),0)</f>
        <v>0</v>
      </c>
      <c r="AA76" s="20" t="n">
        <f aca="false">IF(N76&gt;PR_BalDone,MIN(F_MortPayM,N76+N76*(F_MR/12)),0)</f>
        <v>0</v>
      </c>
      <c r="AB76" s="20" t="n">
        <f aca="false">MAX(0,O76)</f>
        <v>0</v>
      </c>
      <c r="AC76" s="20" t="n">
        <f aca="false">SUM(P76:AA76)</f>
        <v>0</v>
      </c>
      <c r="AD76" s="20" t="n">
        <f aca="false">'Plan cashflow'!M76</f>
        <v>0</v>
      </c>
      <c r="AE76" s="20" t="n">
        <f aca="false">IF(AD76&gt;PR_BalDone,AD76+AD76*(D_iC)-MIN(F_CardPayM,AD76+AD76*(D_iC)),AD76)</f>
        <v>0</v>
      </c>
      <c r="AF76" s="20" t="n">
        <f aca="false">IF(AE76&gt;PR_BalDone,AE76+AE76*(D_iC)-MIN(F_CardPayM,AE76+AE76*(D_iC)),AE76)</f>
        <v>0</v>
      </c>
      <c r="AG76" s="20" t="n">
        <f aca="false">IF(AF76&gt;PR_BalDone,AF76+AF76*(D_iC)-MIN(F_CardPayM,AF76+AF76*(D_iC)),AF76)</f>
        <v>0</v>
      </c>
      <c r="AH76" s="20" t="n">
        <f aca="false">IF(AG76&gt;PR_BalDone,AG76+AG76*(D_iC)-MIN(F_CardPayM,AG76+AG76*(D_iC)),AG76)</f>
        <v>0</v>
      </c>
      <c r="AI76" s="20" t="n">
        <f aca="false">IF(AH76&gt;PR_BalDone,AH76+AH76*(D_iC)-MIN(F_CardPayM,AH76+AH76*(D_iC)),AH76)</f>
        <v>0</v>
      </c>
      <c r="AJ76" s="20" t="n">
        <f aca="false">IF(AI76&gt;PR_BalDone,AI76+AI76*(D_iC)-MIN(F_CardPayM,AI76+AI76*(D_iC)),AI76)</f>
        <v>0</v>
      </c>
      <c r="AK76" s="20" t="n">
        <f aca="false">IF(AJ76&gt;PR_BalDone,AJ76+AJ76*(D_iC)-MIN(F_CardPayM,AJ76+AJ76*(D_iC)),AJ76)</f>
        <v>0</v>
      </c>
      <c r="AL76" s="20" t="n">
        <f aca="false">IF(AK76&gt;PR_BalDone,AK76+AK76*(D_iC)-MIN(F_CardPayM,AK76+AK76*(D_iC)),AK76)</f>
        <v>0</v>
      </c>
      <c r="AM76" s="20" t="n">
        <f aca="false">IF(AL76&gt;PR_BalDone,AL76+AL76*(D_iC)-MIN(F_CardPayM,AL76+AL76*(D_iC)),AL76)</f>
        <v>0</v>
      </c>
      <c r="AN76" s="20" t="n">
        <f aca="false">IF(AM76&gt;PR_BalDone,AM76+AM76*(D_iC)-MIN(F_CardPayM,AM76+AM76*(D_iC)),AM76)</f>
        <v>0</v>
      </c>
      <c r="AO76" s="20" t="n">
        <f aca="false">IF(AN76&gt;PR_BalDone,AN76+AN76*(D_iC)-MIN(F_CardPayM,AN76+AN76*(D_iC)),AN76)</f>
        <v>0</v>
      </c>
      <c r="AP76" s="20" t="n">
        <f aca="false">IF(AO76&gt;PR_BalDone,AO76+AO76*(D_iC)-MIN(F_CardPayM,AO76+AO76*(D_iC)),AO76)</f>
        <v>0</v>
      </c>
      <c r="AQ76" s="20" t="n">
        <f aca="false">IF(AD76&gt;PR_BalDone,MIN(F_CardPayM,AD76+AD76*(D_iC)),0)</f>
        <v>0</v>
      </c>
      <c r="AR76" s="20" t="n">
        <f aca="false">IF(AE76&gt;PR_BalDone,MIN(F_CardPayM,AE76+AE76*(D_iC)),0)</f>
        <v>0</v>
      </c>
      <c r="AS76" s="20" t="n">
        <f aca="false">IF(AF76&gt;PR_BalDone,MIN(F_CardPayM,AF76+AF76*(D_iC)),0)</f>
        <v>0</v>
      </c>
      <c r="AT76" s="20" t="n">
        <f aca="false">IF(AG76&gt;PR_BalDone,MIN(F_CardPayM,AG76+AG76*(D_iC)),0)</f>
        <v>0</v>
      </c>
      <c r="AU76" s="20" t="n">
        <f aca="false">IF(AH76&gt;PR_BalDone,MIN(F_CardPayM,AH76+AH76*(D_iC)),0)</f>
        <v>0</v>
      </c>
      <c r="AV76" s="20" t="n">
        <f aca="false">IF(AI76&gt;PR_BalDone,MIN(F_CardPayM,AI76+AI76*(D_iC)),0)</f>
        <v>0</v>
      </c>
      <c r="AW76" s="20" t="n">
        <f aca="false">IF(AJ76&gt;PR_BalDone,MIN(F_CardPayM,AJ76+AJ76*(D_iC)),0)</f>
        <v>0</v>
      </c>
      <c r="AX76" s="20" t="n">
        <f aca="false">IF(AK76&gt;PR_BalDone,MIN(F_CardPayM,AK76+AK76*(D_iC)),0)</f>
        <v>0</v>
      </c>
      <c r="AY76" s="20" t="n">
        <f aca="false">IF(AL76&gt;PR_BalDone,MIN(F_CardPayM,AL76+AL76*(D_iC)),0)</f>
        <v>0</v>
      </c>
      <c r="AZ76" s="20" t="n">
        <f aca="false">IF(AM76&gt;PR_BalDone,MIN(F_CardPayM,AM76+AM76*(D_iC)),0)</f>
        <v>0</v>
      </c>
      <c r="BA76" s="20" t="n">
        <f aca="false">IF(AN76&gt;PR_BalDone,MIN(F_CardPayM,AN76+AN76*(D_iC)),0)</f>
        <v>0</v>
      </c>
      <c r="BB76" s="20" t="n">
        <f aca="false">IF(AO76&gt;PR_BalDone,MIN(F_CardPayM,AO76+AO76*(D_iC)),0)</f>
        <v>0</v>
      </c>
      <c r="BC76" s="20" t="n">
        <f aca="false">MAX(0,AP76)</f>
        <v>0</v>
      </c>
      <c r="BD76" s="20" t="n">
        <f aca="false">SUM(AQ76:BB76)</f>
        <v>0</v>
      </c>
      <c r="BE76" s="20" t="n">
        <f aca="false">'Plan cashflow'!P76</f>
        <v>0</v>
      </c>
      <c r="BF76" s="20" t="n">
        <f aca="false">IF(BE76&gt;PR_BalDone,BE76+BE76*(D_iL)-MIN(F_LoanPayM,BE76+BE76*(D_iL)),BE76)</f>
        <v>0</v>
      </c>
      <c r="BG76" s="20" t="n">
        <f aca="false">IF(BF76&gt;PR_BalDone,BF76+BF76*(D_iL)-MIN(F_LoanPayM,BF76+BF76*(D_iL)),BF76)</f>
        <v>0</v>
      </c>
      <c r="BH76" s="20" t="n">
        <f aca="false">IF(BG76&gt;PR_BalDone,BG76+BG76*(D_iL)-MIN(F_LoanPayM,BG76+BG76*(D_iL)),BG76)</f>
        <v>0</v>
      </c>
      <c r="BI76" s="20" t="n">
        <f aca="false">IF(BH76&gt;PR_BalDone,BH76+BH76*(D_iL)-MIN(F_LoanPayM,BH76+BH76*(D_iL)),BH76)</f>
        <v>0</v>
      </c>
      <c r="BJ76" s="20" t="n">
        <f aca="false">IF(BI76&gt;PR_BalDone,BI76+BI76*(D_iL)-MIN(F_LoanPayM,BI76+BI76*(D_iL)),BI76)</f>
        <v>0</v>
      </c>
      <c r="BK76" s="20" t="n">
        <f aca="false">IF(BJ76&gt;PR_BalDone,BJ76+BJ76*(D_iL)-MIN(F_LoanPayM,BJ76+BJ76*(D_iL)),BJ76)</f>
        <v>0</v>
      </c>
      <c r="BL76" s="20" t="n">
        <f aca="false">IF(BK76&gt;PR_BalDone,BK76+BK76*(D_iL)-MIN(F_LoanPayM,BK76+BK76*(D_iL)),BK76)</f>
        <v>0</v>
      </c>
      <c r="BM76" s="20" t="n">
        <f aca="false">IF(BL76&gt;PR_BalDone,BL76+BL76*(D_iL)-MIN(F_LoanPayM,BL76+BL76*(D_iL)),BL76)</f>
        <v>0</v>
      </c>
      <c r="BN76" s="20" t="n">
        <f aca="false">IF(BM76&gt;PR_BalDone,BM76+BM76*(D_iL)-MIN(F_LoanPayM,BM76+BM76*(D_iL)),BM76)</f>
        <v>0</v>
      </c>
      <c r="BO76" s="20" t="n">
        <f aca="false">IF(BN76&gt;PR_BalDone,BN76+BN76*(D_iL)-MIN(F_LoanPayM,BN76+BN76*(D_iL)),BN76)</f>
        <v>0</v>
      </c>
      <c r="BP76" s="20" t="n">
        <f aca="false">IF(BO76&gt;PR_BalDone,BO76+BO76*(D_iL)-MIN(F_LoanPayM,BO76+BO76*(D_iL)),BO76)</f>
        <v>0</v>
      </c>
      <c r="BQ76" s="20" t="n">
        <f aca="false">IF(BP76&gt;PR_BalDone,BP76+BP76*(D_iL)-MIN(F_LoanPayM,BP76+BP76*(D_iL)),BP76)</f>
        <v>0</v>
      </c>
      <c r="BR76" s="20" t="n">
        <f aca="false">IF(BE76&gt;PR_BalDone,MIN(F_LoanPayM,BE76+BE76*(D_iL)),0)</f>
        <v>0</v>
      </c>
      <c r="BS76" s="20" t="n">
        <f aca="false">IF(BF76&gt;PR_BalDone,MIN(F_LoanPayM,BF76+BF76*(D_iL)),0)</f>
        <v>0</v>
      </c>
      <c r="BT76" s="20" t="n">
        <f aca="false">IF(BG76&gt;PR_BalDone,MIN(F_LoanPayM,BG76+BG76*(D_iL)),0)</f>
        <v>0</v>
      </c>
      <c r="BU76" s="20" t="n">
        <f aca="false">IF(BH76&gt;PR_BalDone,MIN(F_LoanPayM,BH76+BH76*(D_iL)),0)</f>
        <v>0</v>
      </c>
      <c r="BV76" s="20" t="n">
        <f aca="false">IF(BI76&gt;PR_BalDone,MIN(F_LoanPayM,BI76+BI76*(D_iL)),0)</f>
        <v>0</v>
      </c>
      <c r="BW76" s="20" t="n">
        <f aca="false">IF(BJ76&gt;PR_BalDone,MIN(F_LoanPayM,BJ76+BJ76*(D_iL)),0)</f>
        <v>0</v>
      </c>
      <c r="BX76" s="20" t="n">
        <f aca="false">IF(BK76&gt;PR_BalDone,MIN(F_LoanPayM,BK76+BK76*(D_iL)),0)</f>
        <v>0</v>
      </c>
      <c r="BY76" s="20" t="n">
        <f aca="false">IF(BL76&gt;PR_BalDone,MIN(F_LoanPayM,BL76+BL76*(D_iL)),0)</f>
        <v>0</v>
      </c>
      <c r="BZ76" s="20" t="n">
        <f aca="false">IF(BM76&gt;PR_BalDone,MIN(F_LoanPayM,BM76+BM76*(D_iL)),0)</f>
        <v>0</v>
      </c>
      <c r="CA76" s="20" t="n">
        <f aca="false">IF(BN76&gt;PR_BalDone,MIN(F_LoanPayM,BN76+BN76*(D_iL)),0)</f>
        <v>0</v>
      </c>
      <c r="CB76" s="20" t="n">
        <f aca="false">IF(BO76&gt;PR_BalDone,MIN(F_LoanPayM,BO76+BO76*(D_iL)),0)</f>
        <v>0</v>
      </c>
      <c r="CC76" s="20" t="n">
        <f aca="false">IF(BP76&gt;PR_BalDone,MIN(F_LoanPayM,BP76+BP76*(D_iL)),0)</f>
        <v>0</v>
      </c>
      <c r="CD76" s="20" t="n">
        <f aca="false">MAX(0,BQ76)</f>
        <v>0</v>
      </c>
      <c r="CE76" s="20" t="n">
        <f aca="false">SUM(BR76:CC76)</f>
        <v>0</v>
      </c>
      <c r="CF76" s="20" t="n">
        <f aca="false">IF(CF75&gt;1,DE75,CF75)</f>
        <v>0</v>
      </c>
      <c r="CG76" s="20" t="n">
        <f aca="false">IF(CF76&gt;PR_BalDone,CF76+CF76*(F_MR/12)-MIN(F_MortPayM,CF76+CF76*(F_MR/12)),CF76)</f>
        <v>0</v>
      </c>
      <c r="CH76" s="20" t="n">
        <f aca="false">IF(CG76&gt;PR_BalDone,CG76+CG76*(F_MR/12)-MIN(F_MortPayM,CG76+CG76*(F_MR/12)),CG76)</f>
        <v>0</v>
      </c>
      <c r="CI76" s="20" t="n">
        <f aca="false">IF(CH76&gt;PR_BalDone,CH76+CH76*(F_MR/12)-MIN(F_MortPayM,CH76+CH76*(F_MR/12)),CH76)</f>
        <v>0</v>
      </c>
      <c r="CJ76" s="20" t="n">
        <f aca="false">IF(CI76&gt;PR_BalDone,CI76+CI76*(F_MR/12)-MIN(F_MortPayM,CI76+CI76*(F_MR/12)),CI76)</f>
        <v>0</v>
      </c>
      <c r="CK76" s="20" t="n">
        <f aca="false">IF(CJ76&gt;PR_BalDone,CJ76+CJ76*(F_MR/12)-MIN(F_MortPayM,CJ76+CJ76*(F_MR/12)),CJ76)</f>
        <v>0</v>
      </c>
      <c r="CL76" s="20" t="n">
        <f aca="false">IF(CK76&gt;PR_BalDone,CK76+CK76*(F_MR/12)-MIN(F_MortPayM,CK76+CK76*(F_MR/12)),CK76)</f>
        <v>0</v>
      </c>
      <c r="CM76" s="20" t="n">
        <f aca="false">IF(CL76&gt;PR_BalDone,CL76+CL76*(F_MR/12)-MIN(F_MortPayM,CL76+CL76*(F_MR/12)),CL76)</f>
        <v>0</v>
      </c>
      <c r="CN76" s="20" t="n">
        <f aca="false">IF(CM76&gt;PR_BalDone,CM76+CM76*(F_MR/12)-MIN(F_MortPayM,CM76+CM76*(F_MR/12)),CM76)</f>
        <v>0</v>
      </c>
      <c r="CO76" s="20" t="n">
        <f aca="false">IF(CN76&gt;PR_BalDone,CN76+CN76*(F_MR/12)-MIN(F_MortPayM,CN76+CN76*(F_MR/12)),CN76)</f>
        <v>0</v>
      </c>
      <c r="CP76" s="20" t="n">
        <f aca="false">IF(CO76&gt;PR_BalDone,CO76+CO76*(F_MR/12)-MIN(F_MortPayM,CO76+CO76*(F_MR/12)),CO76)</f>
        <v>0</v>
      </c>
      <c r="CQ76" s="20" t="n">
        <f aca="false">IF(CP76&gt;PR_BalDone,CP76+CP76*(F_MR/12)-MIN(F_MortPayM,CP76+CP76*(F_MR/12)),CP76)</f>
        <v>0</v>
      </c>
      <c r="CR76" s="20" t="n">
        <f aca="false">IF(CQ76&gt;PR_BalDone,CQ76+CQ76*(F_MR/12)-MIN(F_MortPayM,CQ76+CQ76*(F_MR/12)),CQ76)</f>
        <v>0</v>
      </c>
      <c r="CS76" s="20" t="n">
        <f aca="false">IF(CF76&gt;PR_BalDone,MIN(F_MortPayM,CF76+CF76*(F_MR/12)),0)</f>
        <v>0</v>
      </c>
      <c r="CT76" s="20" t="n">
        <f aca="false">IF(CG76&gt;PR_BalDone,MIN(F_MortPayM,CG76+CG76*(F_MR/12)),0)</f>
        <v>0</v>
      </c>
      <c r="CU76" s="20" t="n">
        <f aca="false">IF(CH76&gt;PR_BalDone,MIN(F_MortPayM,CH76+CH76*(F_MR/12)),0)</f>
        <v>0</v>
      </c>
      <c r="CV76" s="20" t="n">
        <f aca="false">IF(CI76&gt;PR_BalDone,MIN(F_MortPayM,CI76+CI76*(F_MR/12)),0)</f>
        <v>0</v>
      </c>
      <c r="CW76" s="20" t="n">
        <f aca="false">IF(CJ76&gt;PR_BalDone,MIN(F_MortPayM,CJ76+CJ76*(F_MR/12)),0)</f>
        <v>0</v>
      </c>
      <c r="CX76" s="20" t="n">
        <f aca="false">IF(CK76&gt;PR_BalDone,MIN(F_MortPayM,CK76+CK76*(F_MR/12)),0)</f>
        <v>0</v>
      </c>
      <c r="CY76" s="20" t="n">
        <f aca="false">IF(CL76&gt;PR_BalDone,MIN(F_MortPayM,CL76+CL76*(F_MR/12)),0)</f>
        <v>0</v>
      </c>
      <c r="CZ76" s="20" t="n">
        <f aca="false">IF(CM76&gt;PR_BalDone,MIN(F_MortPayM,CM76+CM76*(F_MR/12)),0)</f>
        <v>0</v>
      </c>
      <c r="DA76" s="20" t="n">
        <f aca="false">IF(CN76&gt;PR_BalDone,MIN(F_MortPayM,CN76+CN76*(F_MR/12)),0)</f>
        <v>0</v>
      </c>
      <c r="DB76" s="20" t="n">
        <f aca="false">IF(CO76&gt;PR_BalDone,MIN(F_MortPayM,CO76+CO76*(F_MR/12)),0)</f>
        <v>0</v>
      </c>
      <c r="DC76" s="20" t="n">
        <f aca="false">IF(CP76&gt;PR_BalDone,MIN(F_MortPayM,CP76+CP76*(F_MR/12)),0)</f>
        <v>0</v>
      </c>
      <c r="DD76" s="20" t="n">
        <f aca="false">IF(CQ76&gt;PR_BalDone,MIN(F_MortPayM,CQ76+CQ76*(F_MR/12)),0)</f>
        <v>0</v>
      </c>
      <c r="DE76" s="20" t="n">
        <f aca="false">MAX(0,CR76)</f>
        <v>0</v>
      </c>
      <c r="DF76" s="20" t="n">
        <f aca="false">SUM(CS76:DD76)</f>
        <v>0</v>
      </c>
      <c r="DG76" s="20" t="n">
        <f aca="false">MAX(0,CF76)</f>
        <v>0</v>
      </c>
    </row>
    <row r="77" customFormat="false" ht="15" hidden="false" customHeight="true" outlineLevel="0" collapsed="false">
      <c r="B77" s="20" t="n">
        <v>69</v>
      </c>
      <c r="C77" s="20" t="n">
        <f aca="false">'Plan cashflow'!J77</f>
        <v>0</v>
      </c>
      <c r="D77" s="20" t="n">
        <f aca="false">IF(C77&gt;PR_BalDone,C77+C77*(F_MR/12)-MIN(F_MortPayM,C77+C77*(F_MR/12)),C77)</f>
        <v>0</v>
      </c>
      <c r="E77" s="20" t="n">
        <f aca="false">IF(D77&gt;PR_BalDone,D77+D77*(F_MR/12)-MIN(F_MortPayM,D77+D77*(F_MR/12)),D77)</f>
        <v>0</v>
      </c>
      <c r="F77" s="20" t="n">
        <f aca="false">IF(E77&gt;PR_BalDone,E77+E77*(F_MR/12)-MIN(F_MortPayM,E77+E77*(F_MR/12)),E77)</f>
        <v>0</v>
      </c>
      <c r="G77" s="20" t="n">
        <f aca="false">IF(F77&gt;PR_BalDone,F77+F77*(F_MR/12)-MIN(F_MortPayM,F77+F77*(F_MR/12)),F77)</f>
        <v>0</v>
      </c>
      <c r="H77" s="20" t="n">
        <f aca="false">IF(G77&gt;PR_BalDone,G77+G77*(F_MR/12)-MIN(F_MortPayM,G77+G77*(F_MR/12)),G77)</f>
        <v>0</v>
      </c>
      <c r="I77" s="20" t="n">
        <f aca="false">IF(H77&gt;PR_BalDone,H77+H77*(F_MR/12)-MIN(F_MortPayM,H77+H77*(F_MR/12)),H77)</f>
        <v>0</v>
      </c>
      <c r="J77" s="20" t="n">
        <f aca="false">IF(I77&gt;PR_BalDone,I77+I77*(F_MR/12)-MIN(F_MortPayM,I77+I77*(F_MR/12)),I77)</f>
        <v>0</v>
      </c>
      <c r="K77" s="20" t="n">
        <f aca="false">IF(J77&gt;PR_BalDone,J77+J77*(F_MR/12)-MIN(F_MortPayM,J77+J77*(F_MR/12)),J77)</f>
        <v>0</v>
      </c>
      <c r="L77" s="20" t="n">
        <f aca="false">IF(K77&gt;PR_BalDone,K77+K77*(F_MR/12)-MIN(F_MortPayM,K77+K77*(F_MR/12)),K77)</f>
        <v>0</v>
      </c>
      <c r="M77" s="20" t="n">
        <f aca="false">IF(L77&gt;PR_BalDone,L77+L77*(F_MR/12)-MIN(F_MortPayM,L77+L77*(F_MR/12)),L77)</f>
        <v>0</v>
      </c>
      <c r="N77" s="20" t="n">
        <f aca="false">IF(M77&gt;PR_BalDone,M77+M77*(F_MR/12)-MIN(F_MortPayM,M77+M77*(F_MR/12)),M77)</f>
        <v>0</v>
      </c>
      <c r="O77" s="20" t="n">
        <f aca="false">IF(N77&gt;PR_BalDone,N77+N77*(F_MR/12)-MIN(F_MortPayM,N77+N77*(F_MR/12)),N77)</f>
        <v>0</v>
      </c>
      <c r="P77" s="20" t="n">
        <f aca="false">IF(C77&gt;PR_BalDone,MIN(F_MortPayM,C77+C77*(F_MR/12)),0)</f>
        <v>0</v>
      </c>
      <c r="Q77" s="20" t="n">
        <f aca="false">IF(D77&gt;PR_BalDone,MIN(F_MortPayM,D77+D77*(F_MR/12)),0)</f>
        <v>0</v>
      </c>
      <c r="R77" s="20" t="n">
        <f aca="false">IF(E77&gt;PR_BalDone,MIN(F_MortPayM,E77+E77*(F_MR/12)),0)</f>
        <v>0</v>
      </c>
      <c r="S77" s="20" t="n">
        <f aca="false">IF(F77&gt;PR_BalDone,MIN(F_MortPayM,F77+F77*(F_MR/12)),0)</f>
        <v>0</v>
      </c>
      <c r="T77" s="20" t="n">
        <f aca="false">IF(G77&gt;PR_BalDone,MIN(F_MortPayM,G77+G77*(F_MR/12)),0)</f>
        <v>0</v>
      </c>
      <c r="U77" s="20" t="n">
        <f aca="false">IF(H77&gt;PR_BalDone,MIN(F_MortPayM,H77+H77*(F_MR/12)),0)</f>
        <v>0</v>
      </c>
      <c r="V77" s="20" t="n">
        <f aca="false">IF(I77&gt;PR_BalDone,MIN(F_MortPayM,I77+I77*(F_MR/12)),0)</f>
        <v>0</v>
      </c>
      <c r="W77" s="20" t="n">
        <f aca="false">IF(J77&gt;PR_BalDone,MIN(F_MortPayM,J77+J77*(F_MR/12)),0)</f>
        <v>0</v>
      </c>
      <c r="X77" s="20" t="n">
        <f aca="false">IF(K77&gt;PR_BalDone,MIN(F_MortPayM,K77+K77*(F_MR/12)),0)</f>
        <v>0</v>
      </c>
      <c r="Y77" s="20" t="n">
        <f aca="false">IF(L77&gt;PR_BalDone,MIN(F_MortPayM,L77+L77*(F_MR/12)),0)</f>
        <v>0</v>
      </c>
      <c r="Z77" s="20" t="n">
        <f aca="false">IF(M77&gt;PR_BalDone,MIN(F_MortPayM,M77+M77*(F_MR/12)),0)</f>
        <v>0</v>
      </c>
      <c r="AA77" s="20" t="n">
        <f aca="false">IF(N77&gt;PR_BalDone,MIN(F_MortPayM,N77+N77*(F_MR/12)),0)</f>
        <v>0</v>
      </c>
      <c r="AB77" s="20" t="n">
        <f aca="false">MAX(0,O77)</f>
        <v>0</v>
      </c>
      <c r="AC77" s="20" t="n">
        <f aca="false">SUM(P77:AA77)</f>
        <v>0</v>
      </c>
      <c r="AD77" s="20" t="n">
        <f aca="false">'Plan cashflow'!M77</f>
        <v>0</v>
      </c>
      <c r="AE77" s="20" t="n">
        <f aca="false">IF(AD77&gt;PR_BalDone,AD77+AD77*(D_iC)-MIN(F_CardPayM,AD77+AD77*(D_iC)),AD77)</f>
        <v>0</v>
      </c>
      <c r="AF77" s="20" t="n">
        <f aca="false">IF(AE77&gt;PR_BalDone,AE77+AE77*(D_iC)-MIN(F_CardPayM,AE77+AE77*(D_iC)),AE77)</f>
        <v>0</v>
      </c>
      <c r="AG77" s="20" t="n">
        <f aca="false">IF(AF77&gt;PR_BalDone,AF77+AF77*(D_iC)-MIN(F_CardPayM,AF77+AF77*(D_iC)),AF77)</f>
        <v>0</v>
      </c>
      <c r="AH77" s="20" t="n">
        <f aca="false">IF(AG77&gt;PR_BalDone,AG77+AG77*(D_iC)-MIN(F_CardPayM,AG77+AG77*(D_iC)),AG77)</f>
        <v>0</v>
      </c>
      <c r="AI77" s="20" t="n">
        <f aca="false">IF(AH77&gt;PR_BalDone,AH77+AH77*(D_iC)-MIN(F_CardPayM,AH77+AH77*(D_iC)),AH77)</f>
        <v>0</v>
      </c>
      <c r="AJ77" s="20" t="n">
        <f aca="false">IF(AI77&gt;PR_BalDone,AI77+AI77*(D_iC)-MIN(F_CardPayM,AI77+AI77*(D_iC)),AI77)</f>
        <v>0</v>
      </c>
      <c r="AK77" s="20" t="n">
        <f aca="false">IF(AJ77&gt;PR_BalDone,AJ77+AJ77*(D_iC)-MIN(F_CardPayM,AJ77+AJ77*(D_iC)),AJ77)</f>
        <v>0</v>
      </c>
      <c r="AL77" s="20" t="n">
        <f aca="false">IF(AK77&gt;PR_BalDone,AK77+AK77*(D_iC)-MIN(F_CardPayM,AK77+AK77*(D_iC)),AK77)</f>
        <v>0</v>
      </c>
      <c r="AM77" s="20" t="n">
        <f aca="false">IF(AL77&gt;PR_BalDone,AL77+AL77*(D_iC)-MIN(F_CardPayM,AL77+AL77*(D_iC)),AL77)</f>
        <v>0</v>
      </c>
      <c r="AN77" s="20" t="n">
        <f aca="false">IF(AM77&gt;PR_BalDone,AM77+AM77*(D_iC)-MIN(F_CardPayM,AM77+AM77*(D_iC)),AM77)</f>
        <v>0</v>
      </c>
      <c r="AO77" s="20" t="n">
        <f aca="false">IF(AN77&gt;PR_BalDone,AN77+AN77*(D_iC)-MIN(F_CardPayM,AN77+AN77*(D_iC)),AN77)</f>
        <v>0</v>
      </c>
      <c r="AP77" s="20" t="n">
        <f aca="false">IF(AO77&gt;PR_BalDone,AO77+AO77*(D_iC)-MIN(F_CardPayM,AO77+AO77*(D_iC)),AO77)</f>
        <v>0</v>
      </c>
      <c r="AQ77" s="20" t="n">
        <f aca="false">IF(AD77&gt;PR_BalDone,MIN(F_CardPayM,AD77+AD77*(D_iC)),0)</f>
        <v>0</v>
      </c>
      <c r="AR77" s="20" t="n">
        <f aca="false">IF(AE77&gt;PR_BalDone,MIN(F_CardPayM,AE77+AE77*(D_iC)),0)</f>
        <v>0</v>
      </c>
      <c r="AS77" s="20" t="n">
        <f aca="false">IF(AF77&gt;PR_BalDone,MIN(F_CardPayM,AF77+AF77*(D_iC)),0)</f>
        <v>0</v>
      </c>
      <c r="AT77" s="20" t="n">
        <f aca="false">IF(AG77&gt;PR_BalDone,MIN(F_CardPayM,AG77+AG77*(D_iC)),0)</f>
        <v>0</v>
      </c>
      <c r="AU77" s="20" t="n">
        <f aca="false">IF(AH77&gt;PR_BalDone,MIN(F_CardPayM,AH77+AH77*(D_iC)),0)</f>
        <v>0</v>
      </c>
      <c r="AV77" s="20" t="n">
        <f aca="false">IF(AI77&gt;PR_BalDone,MIN(F_CardPayM,AI77+AI77*(D_iC)),0)</f>
        <v>0</v>
      </c>
      <c r="AW77" s="20" t="n">
        <f aca="false">IF(AJ77&gt;PR_BalDone,MIN(F_CardPayM,AJ77+AJ77*(D_iC)),0)</f>
        <v>0</v>
      </c>
      <c r="AX77" s="20" t="n">
        <f aca="false">IF(AK77&gt;PR_BalDone,MIN(F_CardPayM,AK77+AK77*(D_iC)),0)</f>
        <v>0</v>
      </c>
      <c r="AY77" s="20" t="n">
        <f aca="false">IF(AL77&gt;PR_BalDone,MIN(F_CardPayM,AL77+AL77*(D_iC)),0)</f>
        <v>0</v>
      </c>
      <c r="AZ77" s="20" t="n">
        <f aca="false">IF(AM77&gt;PR_BalDone,MIN(F_CardPayM,AM77+AM77*(D_iC)),0)</f>
        <v>0</v>
      </c>
      <c r="BA77" s="20" t="n">
        <f aca="false">IF(AN77&gt;PR_BalDone,MIN(F_CardPayM,AN77+AN77*(D_iC)),0)</f>
        <v>0</v>
      </c>
      <c r="BB77" s="20" t="n">
        <f aca="false">IF(AO77&gt;PR_BalDone,MIN(F_CardPayM,AO77+AO77*(D_iC)),0)</f>
        <v>0</v>
      </c>
      <c r="BC77" s="20" t="n">
        <f aca="false">MAX(0,AP77)</f>
        <v>0</v>
      </c>
      <c r="BD77" s="20" t="n">
        <f aca="false">SUM(AQ77:BB77)</f>
        <v>0</v>
      </c>
      <c r="BE77" s="20" t="n">
        <f aca="false">'Plan cashflow'!P77</f>
        <v>0</v>
      </c>
      <c r="BF77" s="20" t="n">
        <f aca="false">IF(BE77&gt;PR_BalDone,BE77+BE77*(D_iL)-MIN(F_LoanPayM,BE77+BE77*(D_iL)),BE77)</f>
        <v>0</v>
      </c>
      <c r="BG77" s="20" t="n">
        <f aca="false">IF(BF77&gt;PR_BalDone,BF77+BF77*(D_iL)-MIN(F_LoanPayM,BF77+BF77*(D_iL)),BF77)</f>
        <v>0</v>
      </c>
      <c r="BH77" s="20" t="n">
        <f aca="false">IF(BG77&gt;PR_BalDone,BG77+BG77*(D_iL)-MIN(F_LoanPayM,BG77+BG77*(D_iL)),BG77)</f>
        <v>0</v>
      </c>
      <c r="BI77" s="20" t="n">
        <f aca="false">IF(BH77&gt;PR_BalDone,BH77+BH77*(D_iL)-MIN(F_LoanPayM,BH77+BH77*(D_iL)),BH77)</f>
        <v>0</v>
      </c>
      <c r="BJ77" s="20" t="n">
        <f aca="false">IF(BI77&gt;PR_BalDone,BI77+BI77*(D_iL)-MIN(F_LoanPayM,BI77+BI77*(D_iL)),BI77)</f>
        <v>0</v>
      </c>
      <c r="BK77" s="20" t="n">
        <f aca="false">IF(BJ77&gt;PR_BalDone,BJ77+BJ77*(D_iL)-MIN(F_LoanPayM,BJ77+BJ77*(D_iL)),BJ77)</f>
        <v>0</v>
      </c>
      <c r="BL77" s="20" t="n">
        <f aca="false">IF(BK77&gt;PR_BalDone,BK77+BK77*(D_iL)-MIN(F_LoanPayM,BK77+BK77*(D_iL)),BK77)</f>
        <v>0</v>
      </c>
      <c r="BM77" s="20" t="n">
        <f aca="false">IF(BL77&gt;PR_BalDone,BL77+BL77*(D_iL)-MIN(F_LoanPayM,BL77+BL77*(D_iL)),BL77)</f>
        <v>0</v>
      </c>
      <c r="BN77" s="20" t="n">
        <f aca="false">IF(BM77&gt;PR_BalDone,BM77+BM77*(D_iL)-MIN(F_LoanPayM,BM77+BM77*(D_iL)),BM77)</f>
        <v>0</v>
      </c>
      <c r="BO77" s="20" t="n">
        <f aca="false">IF(BN77&gt;PR_BalDone,BN77+BN77*(D_iL)-MIN(F_LoanPayM,BN77+BN77*(D_iL)),BN77)</f>
        <v>0</v>
      </c>
      <c r="BP77" s="20" t="n">
        <f aca="false">IF(BO77&gt;PR_BalDone,BO77+BO77*(D_iL)-MIN(F_LoanPayM,BO77+BO77*(D_iL)),BO77)</f>
        <v>0</v>
      </c>
      <c r="BQ77" s="20" t="n">
        <f aca="false">IF(BP77&gt;PR_BalDone,BP77+BP77*(D_iL)-MIN(F_LoanPayM,BP77+BP77*(D_iL)),BP77)</f>
        <v>0</v>
      </c>
      <c r="BR77" s="20" t="n">
        <f aca="false">IF(BE77&gt;PR_BalDone,MIN(F_LoanPayM,BE77+BE77*(D_iL)),0)</f>
        <v>0</v>
      </c>
      <c r="BS77" s="20" t="n">
        <f aca="false">IF(BF77&gt;PR_BalDone,MIN(F_LoanPayM,BF77+BF77*(D_iL)),0)</f>
        <v>0</v>
      </c>
      <c r="BT77" s="20" t="n">
        <f aca="false">IF(BG77&gt;PR_BalDone,MIN(F_LoanPayM,BG77+BG77*(D_iL)),0)</f>
        <v>0</v>
      </c>
      <c r="BU77" s="20" t="n">
        <f aca="false">IF(BH77&gt;PR_BalDone,MIN(F_LoanPayM,BH77+BH77*(D_iL)),0)</f>
        <v>0</v>
      </c>
      <c r="BV77" s="20" t="n">
        <f aca="false">IF(BI77&gt;PR_BalDone,MIN(F_LoanPayM,BI77+BI77*(D_iL)),0)</f>
        <v>0</v>
      </c>
      <c r="BW77" s="20" t="n">
        <f aca="false">IF(BJ77&gt;PR_BalDone,MIN(F_LoanPayM,BJ77+BJ77*(D_iL)),0)</f>
        <v>0</v>
      </c>
      <c r="BX77" s="20" t="n">
        <f aca="false">IF(BK77&gt;PR_BalDone,MIN(F_LoanPayM,BK77+BK77*(D_iL)),0)</f>
        <v>0</v>
      </c>
      <c r="BY77" s="20" t="n">
        <f aca="false">IF(BL77&gt;PR_BalDone,MIN(F_LoanPayM,BL77+BL77*(D_iL)),0)</f>
        <v>0</v>
      </c>
      <c r="BZ77" s="20" t="n">
        <f aca="false">IF(BM77&gt;PR_BalDone,MIN(F_LoanPayM,BM77+BM77*(D_iL)),0)</f>
        <v>0</v>
      </c>
      <c r="CA77" s="20" t="n">
        <f aca="false">IF(BN77&gt;PR_BalDone,MIN(F_LoanPayM,BN77+BN77*(D_iL)),0)</f>
        <v>0</v>
      </c>
      <c r="CB77" s="20" t="n">
        <f aca="false">IF(BO77&gt;PR_BalDone,MIN(F_LoanPayM,BO77+BO77*(D_iL)),0)</f>
        <v>0</v>
      </c>
      <c r="CC77" s="20" t="n">
        <f aca="false">IF(BP77&gt;PR_BalDone,MIN(F_LoanPayM,BP77+BP77*(D_iL)),0)</f>
        <v>0</v>
      </c>
      <c r="CD77" s="20" t="n">
        <f aca="false">MAX(0,BQ77)</f>
        <v>0</v>
      </c>
      <c r="CE77" s="20" t="n">
        <f aca="false">SUM(BR77:CC77)</f>
        <v>0</v>
      </c>
      <c r="CF77" s="20" t="n">
        <f aca="false">IF(CF76&gt;1,DE76,CF76)</f>
        <v>0</v>
      </c>
      <c r="CG77" s="20" t="n">
        <f aca="false">IF(CF77&gt;PR_BalDone,CF77+CF77*(F_MR/12)-MIN(F_MortPayM,CF77+CF77*(F_MR/12)),CF77)</f>
        <v>0</v>
      </c>
      <c r="CH77" s="20" t="n">
        <f aca="false">IF(CG77&gt;PR_BalDone,CG77+CG77*(F_MR/12)-MIN(F_MortPayM,CG77+CG77*(F_MR/12)),CG77)</f>
        <v>0</v>
      </c>
      <c r="CI77" s="20" t="n">
        <f aca="false">IF(CH77&gt;PR_BalDone,CH77+CH77*(F_MR/12)-MIN(F_MortPayM,CH77+CH77*(F_MR/12)),CH77)</f>
        <v>0</v>
      </c>
      <c r="CJ77" s="20" t="n">
        <f aca="false">IF(CI77&gt;PR_BalDone,CI77+CI77*(F_MR/12)-MIN(F_MortPayM,CI77+CI77*(F_MR/12)),CI77)</f>
        <v>0</v>
      </c>
      <c r="CK77" s="20" t="n">
        <f aca="false">IF(CJ77&gt;PR_BalDone,CJ77+CJ77*(F_MR/12)-MIN(F_MortPayM,CJ77+CJ77*(F_MR/12)),CJ77)</f>
        <v>0</v>
      </c>
      <c r="CL77" s="20" t="n">
        <f aca="false">IF(CK77&gt;PR_BalDone,CK77+CK77*(F_MR/12)-MIN(F_MortPayM,CK77+CK77*(F_MR/12)),CK77)</f>
        <v>0</v>
      </c>
      <c r="CM77" s="20" t="n">
        <f aca="false">IF(CL77&gt;PR_BalDone,CL77+CL77*(F_MR/12)-MIN(F_MortPayM,CL77+CL77*(F_MR/12)),CL77)</f>
        <v>0</v>
      </c>
      <c r="CN77" s="20" t="n">
        <f aca="false">IF(CM77&gt;PR_BalDone,CM77+CM77*(F_MR/12)-MIN(F_MortPayM,CM77+CM77*(F_MR/12)),CM77)</f>
        <v>0</v>
      </c>
      <c r="CO77" s="20" t="n">
        <f aca="false">IF(CN77&gt;PR_BalDone,CN77+CN77*(F_MR/12)-MIN(F_MortPayM,CN77+CN77*(F_MR/12)),CN77)</f>
        <v>0</v>
      </c>
      <c r="CP77" s="20" t="n">
        <f aca="false">IF(CO77&gt;PR_BalDone,CO77+CO77*(F_MR/12)-MIN(F_MortPayM,CO77+CO77*(F_MR/12)),CO77)</f>
        <v>0</v>
      </c>
      <c r="CQ77" s="20" t="n">
        <f aca="false">IF(CP77&gt;PR_BalDone,CP77+CP77*(F_MR/12)-MIN(F_MortPayM,CP77+CP77*(F_MR/12)),CP77)</f>
        <v>0</v>
      </c>
      <c r="CR77" s="20" t="n">
        <f aca="false">IF(CQ77&gt;PR_BalDone,CQ77+CQ77*(F_MR/12)-MIN(F_MortPayM,CQ77+CQ77*(F_MR/12)),CQ77)</f>
        <v>0</v>
      </c>
      <c r="CS77" s="20" t="n">
        <f aca="false">IF(CF77&gt;PR_BalDone,MIN(F_MortPayM,CF77+CF77*(F_MR/12)),0)</f>
        <v>0</v>
      </c>
      <c r="CT77" s="20" t="n">
        <f aca="false">IF(CG77&gt;PR_BalDone,MIN(F_MortPayM,CG77+CG77*(F_MR/12)),0)</f>
        <v>0</v>
      </c>
      <c r="CU77" s="20" t="n">
        <f aca="false">IF(CH77&gt;PR_BalDone,MIN(F_MortPayM,CH77+CH77*(F_MR/12)),0)</f>
        <v>0</v>
      </c>
      <c r="CV77" s="20" t="n">
        <f aca="false">IF(CI77&gt;PR_BalDone,MIN(F_MortPayM,CI77+CI77*(F_MR/12)),0)</f>
        <v>0</v>
      </c>
      <c r="CW77" s="20" t="n">
        <f aca="false">IF(CJ77&gt;PR_BalDone,MIN(F_MortPayM,CJ77+CJ77*(F_MR/12)),0)</f>
        <v>0</v>
      </c>
      <c r="CX77" s="20" t="n">
        <f aca="false">IF(CK77&gt;PR_BalDone,MIN(F_MortPayM,CK77+CK77*(F_MR/12)),0)</f>
        <v>0</v>
      </c>
      <c r="CY77" s="20" t="n">
        <f aca="false">IF(CL77&gt;PR_BalDone,MIN(F_MortPayM,CL77+CL77*(F_MR/12)),0)</f>
        <v>0</v>
      </c>
      <c r="CZ77" s="20" t="n">
        <f aca="false">IF(CM77&gt;PR_BalDone,MIN(F_MortPayM,CM77+CM77*(F_MR/12)),0)</f>
        <v>0</v>
      </c>
      <c r="DA77" s="20" t="n">
        <f aca="false">IF(CN77&gt;PR_BalDone,MIN(F_MortPayM,CN77+CN77*(F_MR/12)),0)</f>
        <v>0</v>
      </c>
      <c r="DB77" s="20" t="n">
        <f aca="false">IF(CO77&gt;PR_BalDone,MIN(F_MortPayM,CO77+CO77*(F_MR/12)),0)</f>
        <v>0</v>
      </c>
      <c r="DC77" s="20" t="n">
        <f aca="false">IF(CP77&gt;PR_BalDone,MIN(F_MortPayM,CP77+CP77*(F_MR/12)),0)</f>
        <v>0</v>
      </c>
      <c r="DD77" s="20" t="n">
        <f aca="false">IF(CQ77&gt;PR_BalDone,MIN(F_MortPayM,CQ77+CQ77*(F_MR/12)),0)</f>
        <v>0</v>
      </c>
      <c r="DE77" s="20" t="n">
        <f aca="false">MAX(0,CR77)</f>
        <v>0</v>
      </c>
      <c r="DF77" s="20" t="n">
        <f aca="false">SUM(CS77:DD77)</f>
        <v>0</v>
      </c>
      <c r="DG77" s="20" t="n">
        <f aca="false">MAX(0,CF77)</f>
        <v>0</v>
      </c>
    </row>
    <row r="78" customFormat="false" ht="15" hidden="false" customHeight="true" outlineLevel="0" collapsed="false">
      <c r="B78" s="20" t="n">
        <v>70</v>
      </c>
      <c r="C78" s="20" t="n">
        <f aca="false">'Plan cashflow'!J78</f>
        <v>0</v>
      </c>
      <c r="D78" s="20" t="n">
        <f aca="false">IF(C78&gt;PR_BalDone,C78+C78*(F_MR/12)-MIN(F_MortPayM,C78+C78*(F_MR/12)),C78)</f>
        <v>0</v>
      </c>
      <c r="E78" s="20" t="n">
        <f aca="false">IF(D78&gt;PR_BalDone,D78+D78*(F_MR/12)-MIN(F_MortPayM,D78+D78*(F_MR/12)),D78)</f>
        <v>0</v>
      </c>
      <c r="F78" s="20" t="n">
        <f aca="false">IF(E78&gt;PR_BalDone,E78+E78*(F_MR/12)-MIN(F_MortPayM,E78+E78*(F_MR/12)),E78)</f>
        <v>0</v>
      </c>
      <c r="G78" s="20" t="n">
        <f aca="false">IF(F78&gt;PR_BalDone,F78+F78*(F_MR/12)-MIN(F_MortPayM,F78+F78*(F_MR/12)),F78)</f>
        <v>0</v>
      </c>
      <c r="H78" s="20" t="n">
        <f aca="false">IF(G78&gt;PR_BalDone,G78+G78*(F_MR/12)-MIN(F_MortPayM,G78+G78*(F_MR/12)),G78)</f>
        <v>0</v>
      </c>
      <c r="I78" s="20" t="n">
        <f aca="false">IF(H78&gt;PR_BalDone,H78+H78*(F_MR/12)-MIN(F_MortPayM,H78+H78*(F_MR/12)),H78)</f>
        <v>0</v>
      </c>
      <c r="J78" s="20" t="n">
        <f aca="false">IF(I78&gt;PR_BalDone,I78+I78*(F_MR/12)-MIN(F_MortPayM,I78+I78*(F_MR/12)),I78)</f>
        <v>0</v>
      </c>
      <c r="K78" s="20" t="n">
        <f aca="false">IF(J78&gt;PR_BalDone,J78+J78*(F_MR/12)-MIN(F_MortPayM,J78+J78*(F_MR/12)),J78)</f>
        <v>0</v>
      </c>
      <c r="L78" s="20" t="n">
        <f aca="false">IF(K78&gt;PR_BalDone,K78+K78*(F_MR/12)-MIN(F_MortPayM,K78+K78*(F_MR/12)),K78)</f>
        <v>0</v>
      </c>
      <c r="M78" s="20" t="n">
        <f aca="false">IF(L78&gt;PR_BalDone,L78+L78*(F_MR/12)-MIN(F_MortPayM,L78+L78*(F_MR/12)),L78)</f>
        <v>0</v>
      </c>
      <c r="N78" s="20" t="n">
        <f aca="false">IF(M78&gt;PR_BalDone,M78+M78*(F_MR/12)-MIN(F_MortPayM,M78+M78*(F_MR/12)),M78)</f>
        <v>0</v>
      </c>
      <c r="O78" s="20" t="n">
        <f aca="false">IF(N78&gt;PR_BalDone,N78+N78*(F_MR/12)-MIN(F_MortPayM,N78+N78*(F_MR/12)),N78)</f>
        <v>0</v>
      </c>
      <c r="P78" s="20" t="n">
        <f aca="false">IF(C78&gt;PR_BalDone,MIN(F_MortPayM,C78+C78*(F_MR/12)),0)</f>
        <v>0</v>
      </c>
      <c r="Q78" s="20" t="n">
        <f aca="false">IF(D78&gt;PR_BalDone,MIN(F_MortPayM,D78+D78*(F_MR/12)),0)</f>
        <v>0</v>
      </c>
      <c r="R78" s="20" t="n">
        <f aca="false">IF(E78&gt;PR_BalDone,MIN(F_MortPayM,E78+E78*(F_MR/12)),0)</f>
        <v>0</v>
      </c>
      <c r="S78" s="20" t="n">
        <f aca="false">IF(F78&gt;PR_BalDone,MIN(F_MortPayM,F78+F78*(F_MR/12)),0)</f>
        <v>0</v>
      </c>
      <c r="T78" s="20" t="n">
        <f aca="false">IF(G78&gt;PR_BalDone,MIN(F_MortPayM,G78+G78*(F_MR/12)),0)</f>
        <v>0</v>
      </c>
      <c r="U78" s="20" t="n">
        <f aca="false">IF(H78&gt;PR_BalDone,MIN(F_MortPayM,H78+H78*(F_MR/12)),0)</f>
        <v>0</v>
      </c>
      <c r="V78" s="20" t="n">
        <f aca="false">IF(I78&gt;PR_BalDone,MIN(F_MortPayM,I78+I78*(F_MR/12)),0)</f>
        <v>0</v>
      </c>
      <c r="W78" s="20" t="n">
        <f aca="false">IF(J78&gt;PR_BalDone,MIN(F_MortPayM,J78+J78*(F_MR/12)),0)</f>
        <v>0</v>
      </c>
      <c r="X78" s="20" t="n">
        <f aca="false">IF(K78&gt;PR_BalDone,MIN(F_MortPayM,K78+K78*(F_MR/12)),0)</f>
        <v>0</v>
      </c>
      <c r="Y78" s="20" t="n">
        <f aca="false">IF(L78&gt;PR_BalDone,MIN(F_MortPayM,L78+L78*(F_MR/12)),0)</f>
        <v>0</v>
      </c>
      <c r="Z78" s="20" t="n">
        <f aca="false">IF(M78&gt;PR_BalDone,MIN(F_MortPayM,M78+M78*(F_MR/12)),0)</f>
        <v>0</v>
      </c>
      <c r="AA78" s="20" t="n">
        <f aca="false">IF(N78&gt;PR_BalDone,MIN(F_MortPayM,N78+N78*(F_MR/12)),0)</f>
        <v>0</v>
      </c>
      <c r="AB78" s="20" t="n">
        <f aca="false">MAX(0,O78)</f>
        <v>0</v>
      </c>
      <c r="AC78" s="20" t="n">
        <f aca="false">SUM(P78:AA78)</f>
        <v>0</v>
      </c>
      <c r="AD78" s="20" t="n">
        <f aca="false">'Plan cashflow'!M78</f>
        <v>0</v>
      </c>
      <c r="AE78" s="20" t="n">
        <f aca="false">IF(AD78&gt;PR_BalDone,AD78+AD78*(D_iC)-MIN(F_CardPayM,AD78+AD78*(D_iC)),AD78)</f>
        <v>0</v>
      </c>
      <c r="AF78" s="20" t="n">
        <f aca="false">IF(AE78&gt;PR_BalDone,AE78+AE78*(D_iC)-MIN(F_CardPayM,AE78+AE78*(D_iC)),AE78)</f>
        <v>0</v>
      </c>
      <c r="AG78" s="20" t="n">
        <f aca="false">IF(AF78&gt;PR_BalDone,AF78+AF78*(D_iC)-MIN(F_CardPayM,AF78+AF78*(D_iC)),AF78)</f>
        <v>0</v>
      </c>
      <c r="AH78" s="20" t="n">
        <f aca="false">IF(AG78&gt;PR_BalDone,AG78+AG78*(D_iC)-MIN(F_CardPayM,AG78+AG78*(D_iC)),AG78)</f>
        <v>0</v>
      </c>
      <c r="AI78" s="20" t="n">
        <f aca="false">IF(AH78&gt;PR_BalDone,AH78+AH78*(D_iC)-MIN(F_CardPayM,AH78+AH78*(D_iC)),AH78)</f>
        <v>0</v>
      </c>
      <c r="AJ78" s="20" t="n">
        <f aca="false">IF(AI78&gt;PR_BalDone,AI78+AI78*(D_iC)-MIN(F_CardPayM,AI78+AI78*(D_iC)),AI78)</f>
        <v>0</v>
      </c>
      <c r="AK78" s="20" t="n">
        <f aca="false">IF(AJ78&gt;PR_BalDone,AJ78+AJ78*(D_iC)-MIN(F_CardPayM,AJ78+AJ78*(D_iC)),AJ78)</f>
        <v>0</v>
      </c>
      <c r="AL78" s="20" t="n">
        <f aca="false">IF(AK78&gt;PR_BalDone,AK78+AK78*(D_iC)-MIN(F_CardPayM,AK78+AK78*(D_iC)),AK78)</f>
        <v>0</v>
      </c>
      <c r="AM78" s="20" t="n">
        <f aca="false">IF(AL78&gt;PR_BalDone,AL78+AL78*(D_iC)-MIN(F_CardPayM,AL78+AL78*(D_iC)),AL78)</f>
        <v>0</v>
      </c>
      <c r="AN78" s="20" t="n">
        <f aca="false">IF(AM78&gt;PR_BalDone,AM78+AM78*(D_iC)-MIN(F_CardPayM,AM78+AM78*(D_iC)),AM78)</f>
        <v>0</v>
      </c>
      <c r="AO78" s="20" t="n">
        <f aca="false">IF(AN78&gt;PR_BalDone,AN78+AN78*(D_iC)-MIN(F_CardPayM,AN78+AN78*(D_iC)),AN78)</f>
        <v>0</v>
      </c>
      <c r="AP78" s="20" t="n">
        <f aca="false">IF(AO78&gt;PR_BalDone,AO78+AO78*(D_iC)-MIN(F_CardPayM,AO78+AO78*(D_iC)),AO78)</f>
        <v>0</v>
      </c>
      <c r="AQ78" s="20" t="n">
        <f aca="false">IF(AD78&gt;PR_BalDone,MIN(F_CardPayM,AD78+AD78*(D_iC)),0)</f>
        <v>0</v>
      </c>
      <c r="AR78" s="20" t="n">
        <f aca="false">IF(AE78&gt;PR_BalDone,MIN(F_CardPayM,AE78+AE78*(D_iC)),0)</f>
        <v>0</v>
      </c>
      <c r="AS78" s="20" t="n">
        <f aca="false">IF(AF78&gt;PR_BalDone,MIN(F_CardPayM,AF78+AF78*(D_iC)),0)</f>
        <v>0</v>
      </c>
      <c r="AT78" s="20" t="n">
        <f aca="false">IF(AG78&gt;PR_BalDone,MIN(F_CardPayM,AG78+AG78*(D_iC)),0)</f>
        <v>0</v>
      </c>
      <c r="AU78" s="20" t="n">
        <f aca="false">IF(AH78&gt;PR_BalDone,MIN(F_CardPayM,AH78+AH78*(D_iC)),0)</f>
        <v>0</v>
      </c>
      <c r="AV78" s="20" t="n">
        <f aca="false">IF(AI78&gt;PR_BalDone,MIN(F_CardPayM,AI78+AI78*(D_iC)),0)</f>
        <v>0</v>
      </c>
      <c r="AW78" s="20" t="n">
        <f aca="false">IF(AJ78&gt;PR_BalDone,MIN(F_CardPayM,AJ78+AJ78*(D_iC)),0)</f>
        <v>0</v>
      </c>
      <c r="AX78" s="20" t="n">
        <f aca="false">IF(AK78&gt;PR_BalDone,MIN(F_CardPayM,AK78+AK78*(D_iC)),0)</f>
        <v>0</v>
      </c>
      <c r="AY78" s="20" t="n">
        <f aca="false">IF(AL78&gt;PR_BalDone,MIN(F_CardPayM,AL78+AL78*(D_iC)),0)</f>
        <v>0</v>
      </c>
      <c r="AZ78" s="20" t="n">
        <f aca="false">IF(AM78&gt;PR_BalDone,MIN(F_CardPayM,AM78+AM78*(D_iC)),0)</f>
        <v>0</v>
      </c>
      <c r="BA78" s="20" t="n">
        <f aca="false">IF(AN78&gt;PR_BalDone,MIN(F_CardPayM,AN78+AN78*(D_iC)),0)</f>
        <v>0</v>
      </c>
      <c r="BB78" s="20" t="n">
        <f aca="false">IF(AO78&gt;PR_BalDone,MIN(F_CardPayM,AO78+AO78*(D_iC)),0)</f>
        <v>0</v>
      </c>
      <c r="BC78" s="20" t="n">
        <f aca="false">MAX(0,AP78)</f>
        <v>0</v>
      </c>
      <c r="BD78" s="20" t="n">
        <f aca="false">SUM(AQ78:BB78)</f>
        <v>0</v>
      </c>
      <c r="BE78" s="20" t="n">
        <f aca="false">'Plan cashflow'!P78</f>
        <v>0</v>
      </c>
      <c r="BF78" s="20" t="n">
        <f aca="false">IF(BE78&gt;PR_BalDone,BE78+BE78*(D_iL)-MIN(F_LoanPayM,BE78+BE78*(D_iL)),BE78)</f>
        <v>0</v>
      </c>
      <c r="BG78" s="20" t="n">
        <f aca="false">IF(BF78&gt;PR_BalDone,BF78+BF78*(D_iL)-MIN(F_LoanPayM,BF78+BF78*(D_iL)),BF78)</f>
        <v>0</v>
      </c>
      <c r="BH78" s="20" t="n">
        <f aca="false">IF(BG78&gt;PR_BalDone,BG78+BG78*(D_iL)-MIN(F_LoanPayM,BG78+BG78*(D_iL)),BG78)</f>
        <v>0</v>
      </c>
      <c r="BI78" s="20" t="n">
        <f aca="false">IF(BH78&gt;PR_BalDone,BH78+BH78*(D_iL)-MIN(F_LoanPayM,BH78+BH78*(D_iL)),BH78)</f>
        <v>0</v>
      </c>
      <c r="BJ78" s="20" t="n">
        <f aca="false">IF(BI78&gt;PR_BalDone,BI78+BI78*(D_iL)-MIN(F_LoanPayM,BI78+BI78*(D_iL)),BI78)</f>
        <v>0</v>
      </c>
      <c r="BK78" s="20" t="n">
        <f aca="false">IF(BJ78&gt;PR_BalDone,BJ78+BJ78*(D_iL)-MIN(F_LoanPayM,BJ78+BJ78*(D_iL)),BJ78)</f>
        <v>0</v>
      </c>
      <c r="BL78" s="20" t="n">
        <f aca="false">IF(BK78&gt;PR_BalDone,BK78+BK78*(D_iL)-MIN(F_LoanPayM,BK78+BK78*(D_iL)),BK78)</f>
        <v>0</v>
      </c>
      <c r="BM78" s="20" t="n">
        <f aca="false">IF(BL78&gt;PR_BalDone,BL78+BL78*(D_iL)-MIN(F_LoanPayM,BL78+BL78*(D_iL)),BL78)</f>
        <v>0</v>
      </c>
      <c r="BN78" s="20" t="n">
        <f aca="false">IF(BM78&gt;PR_BalDone,BM78+BM78*(D_iL)-MIN(F_LoanPayM,BM78+BM78*(D_iL)),BM78)</f>
        <v>0</v>
      </c>
      <c r="BO78" s="20" t="n">
        <f aca="false">IF(BN78&gt;PR_BalDone,BN78+BN78*(D_iL)-MIN(F_LoanPayM,BN78+BN78*(D_iL)),BN78)</f>
        <v>0</v>
      </c>
      <c r="BP78" s="20" t="n">
        <f aca="false">IF(BO78&gt;PR_BalDone,BO78+BO78*(D_iL)-MIN(F_LoanPayM,BO78+BO78*(D_iL)),BO78)</f>
        <v>0</v>
      </c>
      <c r="BQ78" s="20" t="n">
        <f aca="false">IF(BP78&gt;PR_BalDone,BP78+BP78*(D_iL)-MIN(F_LoanPayM,BP78+BP78*(D_iL)),BP78)</f>
        <v>0</v>
      </c>
      <c r="BR78" s="20" t="n">
        <f aca="false">IF(BE78&gt;PR_BalDone,MIN(F_LoanPayM,BE78+BE78*(D_iL)),0)</f>
        <v>0</v>
      </c>
      <c r="BS78" s="20" t="n">
        <f aca="false">IF(BF78&gt;PR_BalDone,MIN(F_LoanPayM,BF78+BF78*(D_iL)),0)</f>
        <v>0</v>
      </c>
      <c r="BT78" s="20" t="n">
        <f aca="false">IF(BG78&gt;PR_BalDone,MIN(F_LoanPayM,BG78+BG78*(D_iL)),0)</f>
        <v>0</v>
      </c>
      <c r="BU78" s="20" t="n">
        <f aca="false">IF(BH78&gt;PR_BalDone,MIN(F_LoanPayM,BH78+BH78*(D_iL)),0)</f>
        <v>0</v>
      </c>
      <c r="BV78" s="20" t="n">
        <f aca="false">IF(BI78&gt;PR_BalDone,MIN(F_LoanPayM,BI78+BI78*(D_iL)),0)</f>
        <v>0</v>
      </c>
      <c r="BW78" s="20" t="n">
        <f aca="false">IF(BJ78&gt;PR_BalDone,MIN(F_LoanPayM,BJ78+BJ78*(D_iL)),0)</f>
        <v>0</v>
      </c>
      <c r="BX78" s="20" t="n">
        <f aca="false">IF(BK78&gt;PR_BalDone,MIN(F_LoanPayM,BK78+BK78*(D_iL)),0)</f>
        <v>0</v>
      </c>
      <c r="BY78" s="20" t="n">
        <f aca="false">IF(BL78&gt;PR_BalDone,MIN(F_LoanPayM,BL78+BL78*(D_iL)),0)</f>
        <v>0</v>
      </c>
      <c r="BZ78" s="20" t="n">
        <f aca="false">IF(BM78&gt;PR_BalDone,MIN(F_LoanPayM,BM78+BM78*(D_iL)),0)</f>
        <v>0</v>
      </c>
      <c r="CA78" s="20" t="n">
        <f aca="false">IF(BN78&gt;PR_BalDone,MIN(F_LoanPayM,BN78+BN78*(D_iL)),0)</f>
        <v>0</v>
      </c>
      <c r="CB78" s="20" t="n">
        <f aca="false">IF(BO78&gt;PR_BalDone,MIN(F_LoanPayM,BO78+BO78*(D_iL)),0)</f>
        <v>0</v>
      </c>
      <c r="CC78" s="20" t="n">
        <f aca="false">IF(BP78&gt;PR_BalDone,MIN(F_LoanPayM,BP78+BP78*(D_iL)),0)</f>
        <v>0</v>
      </c>
      <c r="CD78" s="20" t="n">
        <f aca="false">MAX(0,BQ78)</f>
        <v>0</v>
      </c>
      <c r="CE78" s="20" t="n">
        <f aca="false">SUM(BR78:CC78)</f>
        <v>0</v>
      </c>
      <c r="CF78" s="20" t="n">
        <f aca="false">IF(CF77&gt;1,DE77,CF77)</f>
        <v>0</v>
      </c>
      <c r="CG78" s="20" t="n">
        <f aca="false">IF(CF78&gt;PR_BalDone,CF78+CF78*(F_MR/12)-MIN(F_MortPayM,CF78+CF78*(F_MR/12)),CF78)</f>
        <v>0</v>
      </c>
      <c r="CH78" s="20" t="n">
        <f aca="false">IF(CG78&gt;PR_BalDone,CG78+CG78*(F_MR/12)-MIN(F_MortPayM,CG78+CG78*(F_MR/12)),CG78)</f>
        <v>0</v>
      </c>
      <c r="CI78" s="20" t="n">
        <f aca="false">IF(CH78&gt;PR_BalDone,CH78+CH78*(F_MR/12)-MIN(F_MortPayM,CH78+CH78*(F_MR/12)),CH78)</f>
        <v>0</v>
      </c>
      <c r="CJ78" s="20" t="n">
        <f aca="false">IF(CI78&gt;PR_BalDone,CI78+CI78*(F_MR/12)-MIN(F_MortPayM,CI78+CI78*(F_MR/12)),CI78)</f>
        <v>0</v>
      </c>
      <c r="CK78" s="20" t="n">
        <f aca="false">IF(CJ78&gt;PR_BalDone,CJ78+CJ78*(F_MR/12)-MIN(F_MortPayM,CJ78+CJ78*(F_MR/12)),CJ78)</f>
        <v>0</v>
      </c>
      <c r="CL78" s="20" t="n">
        <f aca="false">IF(CK78&gt;PR_BalDone,CK78+CK78*(F_MR/12)-MIN(F_MortPayM,CK78+CK78*(F_MR/12)),CK78)</f>
        <v>0</v>
      </c>
      <c r="CM78" s="20" t="n">
        <f aca="false">IF(CL78&gt;PR_BalDone,CL78+CL78*(F_MR/12)-MIN(F_MortPayM,CL78+CL78*(F_MR/12)),CL78)</f>
        <v>0</v>
      </c>
      <c r="CN78" s="20" t="n">
        <f aca="false">IF(CM78&gt;PR_BalDone,CM78+CM78*(F_MR/12)-MIN(F_MortPayM,CM78+CM78*(F_MR/12)),CM78)</f>
        <v>0</v>
      </c>
      <c r="CO78" s="20" t="n">
        <f aca="false">IF(CN78&gt;PR_BalDone,CN78+CN78*(F_MR/12)-MIN(F_MortPayM,CN78+CN78*(F_MR/12)),CN78)</f>
        <v>0</v>
      </c>
      <c r="CP78" s="20" t="n">
        <f aca="false">IF(CO78&gt;PR_BalDone,CO78+CO78*(F_MR/12)-MIN(F_MortPayM,CO78+CO78*(F_MR/12)),CO78)</f>
        <v>0</v>
      </c>
      <c r="CQ78" s="20" t="n">
        <f aca="false">IF(CP78&gt;PR_BalDone,CP78+CP78*(F_MR/12)-MIN(F_MortPayM,CP78+CP78*(F_MR/12)),CP78)</f>
        <v>0</v>
      </c>
      <c r="CR78" s="20" t="n">
        <f aca="false">IF(CQ78&gt;PR_BalDone,CQ78+CQ78*(F_MR/12)-MIN(F_MortPayM,CQ78+CQ78*(F_MR/12)),CQ78)</f>
        <v>0</v>
      </c>
      <c r="CS78" s="20" t="n">
        <f aca="false">IF(CF78&gt;PR_BalDone,MIN(F_MortPayM,CF78+CF78*(F_MR/12)),0)</f>
        <v>0</v>
      </c>
      <c r="CT78" s="20" t="n">
        <f aca="false">IF(CG78&gt;PR_BalDone,MIN(F_MortPayM,CG78+CG78*(F_MR/12)),0)</f>
        <v>0</v>
      </c>
      <c r="CU78" s="20" t="n">
        <f aca="false">IF(CH78&gt;PR_BalDone,MIN(F_MortPayM,CH78+CH78*(F_MR/12)),0)</f>
        <v>0</v>
      </c>
      <c r="CV78" s="20" t="n">
        <f aca="false">IF(CI78&gt;PR_BalDone,MIN(F_MortPayM,CI78+CI78*(F_MR/12)),0)</f>
        <v>0</v>
      </c>
      <c r="CW78" s="20" t="n">
        <f aca="false">IF(CJ78&gt;PR_BalDone,MIN(F_MortPayM,CJ78+CJ78*(F_MR/12)),0)</f>
        <v>0</v>
      </c>
      <c r="CX78" s="20" t="n">
        <f aca="false">IF(CK78&gt;PR_BalDone,MIN(F_MortPayM,CK78+CK78*(F_MR/12)),0)</f>
        <v>0</v>
      </c>
      <c r="CY78" s="20" t="n">
        <f aca="false">IF(CL78&gt;PR_BalDone,MIN(F_MortPayM,CL78+CL78*(F_MR/12)),0)</f>
        <v>0</v>
      </c>
      <c r="CZ78" s="20" t="n">
        <f aca="false">IF(CM78&gt;PR_BalDone,MIN(F_MortPayM,CM78+CM78*(F_MR/12)),0)</f>
        <v>0</v>
      </c>
      <c r="DA78" s="20" t="n">
        <f aca="false">IF(CN78&gt;PR_BalDone,MIN(F_MortPayM,CN78+CN78*(F_MR/12)),0)</f>
        <v>0</v>
      </c>
      <c r="DB78" s="20" t="n">
        <f aca="false">IF(CO78&gt;PR_BalDone,MIN(F_MortPayM,CO78+CO78*(F_MR/12)),0)</f>
        <v>0</v>
      </c>
      <c r="DC78" s="20" t="n">
        <f aca="false">IF(CP78&gt;PR_BalDone,MIN(F_MortPayM,CP78+CP78*(F_MR/12)),0)</f>
        <v>0</v>
      </c>
      <c r="DD78" s="20" t="n">
        <f aca="false">IF(CQ78&gt;PR_BalDone,MIN(F_MortPayM,CQ78+CQ78*(F_MR/12)),0)</f>
        <v>0</v>
      </c>
      <c r="DE78" s="20" t="n">
        <f aca="false">MAX(0,CR78)</f>
        <v>0</v>
      </c>
      <c r="DF78" s="20" t="n">
        <f aca="false">SUM(CS78:DD78)</f>
        <v>0</v>
      </c>
      <c r="DG78" s="20" t="n">
        <f aca="false">MAX(0,CF78)</f>
        <v>0</v>
      </c>
    </row>
    <row r="79" customFormat="false" ht="15" hidden="false" customHeight="true" outlineLevel="0" collapsed="false">
      <c r="B79" s="20" t="n">
        <v>71</v>
      </c>
      <c r="C79" s="20" t="n">
        <f aca="false">'Plan cashflow'!J79</f>
        <v>0</v>
      </c>
      <c r="D79" s="20" t="n">
        <f aca="false">IF(C79&gt;PR_BalDone,C79+C79*(F_MR/12)-MIN(F_MortPayM,C79+C79*(F_MR/12)),C79)</f>
        <v>0</v>
      </c>
      <c r="E79" s="20" t="n">
        <f aca="false">IF(D79&gt;PR_BalDone,D79+D79*(F_MR/12)-MIN(F_MortPayM,D79+D79*(F_MR/12)),D79)</f>
        <v>0</v>
      </c>
      <c r="F79" s="20" t="n">
        <f aca="false">IF(E79&gt;PR_BalDone,E79+E79*(F_MR/12)-MIN(F_MortPayM,E79+E79*(F_MR/12)),E79)</f>
        <v>0</v>
      </c>
      <c r="G79" s="20" t="n">
        <f aca="false">IF(F79&gt;PR_BalDone,F79+F79*(F_MR/12)-MIN(F_MortPayM,F79+F79*(F_MR/12)),F79)</f>
        <v>0</v>
      </c>
      <c r="H79" s="20" t="n">
        <f aca="false">IF(G79&gt;PR_BalDone,G79+G79*(F_MR/12)-MIN(F_MortPayM,G79+G79*(F_MR/12)),G79)</f>
        <v>0</v>
      </c>
      <c r="I79" s="20" t="n">
        <f aca="false">IF(H79&gt;PR_BalDone,H79+H79*(F_MR/12)-MIN(F_MortPayM,H79+H79*(F_MR/12)),H79)</f>
        <v>0</v>
      </c>
      <c r="J79" s="20" t="n">
        <f aca="false">IF(I79&gt;PR_BalDone,I79+I79*(F_MR/12)-MIN(F_MortPayM,I79+I79*(F_MR/12)),I79)</f>
        <v>0</v>
      </c>
      <c r="K79" s="20" t="n">
        <f aca="false">IF(J79&gt;PR_BalDone,J79+J79*(F_MR/12)-MIN(F_MortPayM,J79+J79*(F_MR/12)),J79)</f>
        <v>0</v>
      </c>
      <c r="L79" s="20" t="n">
        <f aca="false">IF(K79&gt;PR_BalDone,K79+K79*(F_MR/12)-MIN(F_MortPayM,K79+K79*(F_MR/12)),K79)</f>
        <v>0</v>
      </c>
      <c r="M79" s="20" t="n">
        <f aca="false">IF(L79&gt;PR_BalDone,L79+L79*(F_MR/12)-MIN(F_MortPayM,L79+L79*(F_MR/12)),L79)</f>
        <v>0</v>
      </c>
      <c r="N79" s="20" t="n">
        <f aca="false">IF(M79&gt;PR_BalDone,M79+M79*(F_MR/12)-MIN(F_MortPayM,M79+M79*(F_MR/12)),M79)</f>
        <v>0</v>
      </c>
      <c r="O79" s="20" t="n">
        <f aca="false">IF(N79&gt;PR_BalDone,N79+N79*(F_MR/12)-MIN(F_MortPayM,N79+N79*(F_MR/12)),N79)</f>
        <v>0</v>
      </c>
      <c r="P79" s="20" t="n">
        <f aca="false">IF(C79&gt;PR_BalDone,MIN(F_MortPayM,C79+C79*(F_MR/12)),0)</f>
        <v>0</v>
      </c>
      <c r="Q79" s="20" t="n">
        <f aca="false">IF(D79&gt;PR_BalDone,MIN(F_MortPayM,D79+D79*(F_MR/12)),0)</f>
        <v>0</v>
      </c>
      <c r="R79" s="20" t="n">
        <f aca="false">IF(E79&gt;PR_BalDone,MIN(F_MortPayM,E79+E79*(F_MR/12)),0)</f>
        <v>0</v>
      </c>
      <c r="S79" s="20" t="n">
        <f aca="false">IF(F79&gt;PR_BalDone,MIN(F_MortPayM,F79+F79*(F_MR/12)),0)</f>
        <v>0</v>
      </c>
      <c r="T79" s="20" t="n">
        <f aca="false">IF(G79&gt;PR_BalDone,MIN(F_MortPayM,G79+G79*(F_MR/12)),0)</f>
        <v>0</v>
      </c>
      <c r="U79" s="20" t="n">
        <f aca="false">IF(H79&gt;PR_BalDone,MIN(F_MortPayM,H79+H79*(F_MR/12)),0)</f>
        <v>0</v>
      </c>
      <c r="V79" s="20" t="n">
        <f aca="false">IF(I79&gt;PR_BalDone,MIN(F_MortPayM,I79+I79*(F_MR/12)),0)</f>
        <v>0</v>
      </c>
      <c r="W79" s="20" t="n">
        <f aca="false">IF(J79&gt;PR_BalDone,MIN(F_MortPayM,J79+J79*(F_MR/12)),0)</f>
        <v>0</v>
      </c>
      <c r="X79" s="20" t="n">
        <f aca="false">IF(K79&gt;PR_BalDone,MIN(F_MortPayM,K79+K79*(F_MR/12)),0)</f>
        <v>0</v>
      </c>
      <c r="Y79" s="20" t="n">
        <f aca="false">IF(L79&gt;PR_BalDone,MIN(F_MortPayM,L79+L79*(F_MR/12)),0)</f>
        <v>0</v>
      </c>
      <c r="Z79" s="20" t="n">
        <f aca="false">IF(M79&gt;PR_BalDone,MIN(F_MortPayM,M79+M79*(F_MR/12)),0)</f>
        <v>0</v>
      </c>
      <c r="AA79" s="20" t="n">
        <f aca="false">IF(N79&gt;PR_BalDone,MIN(F_MortPayM,N79+N79*(F_MR/12)),0)</f>
        <v>0</v>
      </c>
      <c r="AB79" s="20" t="n">
        <f aca="false">MAX(0,O79)</f>
        <v>0</v>
      </c>
      <c r="AC79" s="20" t="n">
        <f aca="false">SUM(P79:AA79)</f>
        <v>0</v>
      </c>
      <c r="AD79" s="20" t="n">
        <f aca="false">'Plan cashflow'!M79</f>
        <v>0</v>
      </c>
      <c r="AE79" s="20" t="n">
        <f aca="false">IF(AD79&gt;PR_BalDone,AD79+AD79*(D_iC)-MIN(F_CardPayM,AD79+AD79*(D_iC)),AD79)</f>
        <v>0</v>
      </c>
      <c r="AF79" s="20" t="n">
        <f aca="false">IF(AE79&gt;PR_BalDone,AE79+AE79*(D_iC)-MIN(F_CardPayM,AE79+AE79*(D_iC)),AE79)</f>
        <v>0</v>
      </c>
      <c r="AG79" s="20" t="n">
        <f aca="false">IF(AF79&gt;PR_BalDone,AF79+AF79*(D_iC)-MIN(F_CardPayM,AF79+AF79*(D_iC)),AF79)</f>
        <v>0</v>
      </c>
      <c r="AH79" s="20" t="n">
        <f aca="false">IF(AG79&gt;PR_BalDone,AG79+AG79*(D_iC)-MIN(F_CardPayM,AG79+AG79*(D_iC)),AG79)</f>
        <v>0</v>
      </c>
      <c r="AI79" s="20" t="n">
        <f aca="false">IF(AH79&gt;PR_BalDone,AH79+AH79*(D_iC)-MIN(F_CardPayM,AH79+AH79*(D_iC)),AH79)</f>
        <v>0</v>
      </c>
      <c r="AJ79" s="20" t="n">
        <f aca="false">IF(AI79&gt;PR_BalDone,AI79+AI79*(D_iC)-MIN(F_CardPayM,AI79+AI79*(D_iC)),AI79)</f>
        <v>0</v>
      </c>
      <c r="AK79" s="20" t="n">
        <f aca="false">IF(AJ79&gt;PR_BalDone,AJ79+AJ79*(D_iC)-MIN(F_CardPayM,AJ79+AJ79*(D_iC)),AJ79)</f>
        <v>0</v>
      </c>
      <c r="AL79" s="20" t="n">
        <f aca="false">IF(AK79&gt;PR_BalDone,AK79+AK79*(D_iC)-MIN(F_CardPayM,AK79+AK79*(D_iC)),AK79)</f>
        <v>0</v>
      </c>
      <c r="AM79" s="20" t="n">
        <f aca="false">IF(AL79&gt;PR_BalDone,AL79+AL79*(D_iC)-MIN(F_CardPayM,AL79+AL79*(D_iC)),AL79)</f>
        <v>0</v>
      </c>
      <c r="AN79" s="20" t="n">
        <f aca="false">IF(AM79&gt;PR_BalDone,AM79+AM79*(D_iC)-MIN(F_CardPayM,AM79+AM79*(D_iC)),AM79)</f>
        <v>0</v>
      </c>
      <c r="AO79" s="20" t="n">
        <f aca="false">IF(AN79&gt;PR_BalDone,AN79+AN79*(D_iC)-MIN(F_CardPayM,AN79+AN79*(D_iC)),AN79)</f>
        <v>0</v>
      </c>
      <c r="AP79" s="20" t="n">
        <f aca="false">IF(AO79&gt;PR_BalDone,AO79+AO79*(D_iC)-MIN(F_CardPayM,AO79+AO79*(D_iC)),AO79)</f>
        <v>0</v>
      </c>
      <c r="AQ79" s="20" t="n">
        <f aca="false">IF(AD79&gt;PR_BalDone,MIN(F_CardPayM,AD79+AD79*(D_iC)),0)</f>
        <v>0</v>
      </c>
      <c r="AR79" s="20" t="n">
        <f aca="false">IF(AE79&gt;PR_BalDone,MIN(F_CardPayM,AE79+AE79*(D_iC)),0)</f>
        <v>0</v>
      </c>
      <c r="AS79" s="20" t="n">
        <f aca="false">IF(AF79&gt;PR_BalDone,MIN(F_CardPayM,AF79+AF79*(D_iC)),0)</f>
        <v>0</v>
      </c>
      <c r="AT79" s="20" t="n">
        <f aca="false">IF(AG79&gt;PR_BalDone,MIN(F_CardPayM,AG79+AG79*(D_iC)),0)</f>
        <v>0</v>
      </c>
      <c r="AU79" s="20" t="n">
        <f aca="false">IF(AH79&gt;PR_BalDone,MIN(F_CardPayM,AH79+AH79*(D_iC)),0)</f>
        <v>0</v>
      </c>
      <c r="AV79" s="20" t="n">
        <f aca="false">IF(AI79&gt;PR_BalDone,MIN(F_CardPayM,AI79+AI79*(D_iC)),0)</f>
        <v>0</v>
      </c>
      <c r="AW79" s="20" t="n">
        <f aca="false">IF(AJ79&gt;PR_BalDone,MIN(F_CardPayM,AJ79+AJ79*(D_iC)),0)</f>
        <v>0</v>
      </c>
      <c r="AX79" s="20" t="n">
        <f aca="false">IF(AK79&gt;PR_BalDone,MIN(F_CardPayM,AK79+AK79*(D_iC)),0)</f>
        <v>0</v>
      </c>
      <c r="AY79" s="20" t="n">
        <f aca="false">IF(AL79&gt;PR_BalDone,MIN(F_CardPayM,AL79+AL79*(D_iC)),0)</f>
        <v>0</v>
      </c>
      <c r="AZ79" s="20" t="n">
        <f aca="false">IF(AM79&gt;PR_BalDone,MIN(F_CardPayM,AM79+AM79*(D_iC)),0)</f>
        <v>0</v>
      </c>
      <c r="BA79" s="20" t="n">
        <f aca="false">IF(AN79&gt;PR_BalDone,MIN(F_CardPayM,AN79+AN79*(D_iC)),0)</f>
        <v>0</v>
      </c>
      <c r="BB79" s="20" t="n">
        <f aca="false">IF(AO79&gt;PR_BalDone,MIN(F_CardPayM,AO79+AO79*(D_iC)),0)</f>
        <v>0</v>
      </c>
      <c r="BC79" s="20" t="n">
        <f aca="false">MAX(0,AP79)</f>
        <v>0</v>
      </c>
      <c r="BD79" s="20" t="n">
        <f aca="false">SUM(AQ79:BB79)</f>
        <v>0</v>
      </c>
      <c r="BE79" s="20" t="n">
        <f aca="false">'Plan cashflow'!P79</f>
        <v>0</v>
      </c>
      <c r="BF79" s="20" t="n">
        <f aca="false">IF(BE79&gt;PR_BalDone,BE79+BE79*(D_iL)-MIN(F_LoanPayM,BE79+BE79*(D_iL)),BE79)</f>
        <v>0</v>
      </c>
      <c r="BG79" s="20" t="n">
        <f aca="false">IF(BF79&gt;PR_BalDone,BF79+BF79*(D_iL)-MIN(F_LoanPayM,BF79+BF79*(D_iL)),BF79)</f>
        <v>0</v>
      </c>
      <c r="BH79" s="20" t="n">
        <f aca="false">IF(BG79&gt;PR_BalDone,BG79+BG79*(D_iL)-MIN(F_LoanPayM,BG79+BG79*(D_iL)),BG79)</f>
        <v>0</v>
      </c>
      <c r="BI79" s="20" t="n">
        <f aca="false">IF(BH79&gt;PR_BalDone,BH79+BH79*(D_iL)-MIN(F_LoanPayM,BH79+BH79*(D_iL)),BH79)</f>
        <v>0</v>
      </c>
      <c r="BJ79" s="20" t="n">
        <f aca="false">IF(BI79&gt;PR_BalDone,BI79+BI79*(D_iL)-MIN(F_LoanPayM,BI79+BI79*(D_iL)),BI79)</f>
        <v>0</v>
      </c>
      <c r="BK79" s="20" t="n">
        <f aca="false">IF(BJ79&gt;PR_BalDone,BJ79+BJ79*(D_iL)-MIN(F_LoanPayM,BJ79+BJ79*(D_iL)),BJ79)</f>
        <v>0</v>
      </c>
      <c r="BL79" s="20" t="n">
        <f aca="false">IF(BK79&gt;PR_BalDone,BK79+BK79*(D_iL)-MIN(F_LoanPayM,BK79+BK79*(D_iL)),BK79)</f>
        <v>0</v>
      </c>
      <c r="BM79" s="20" t="n">
        <f aca="false">IF(BL79&gt;PR_BalDone,BL79+BL79*(D_iL)-MIN(F_LoanPayM,BL79+BL79*(D_iL)),BL79)</f>
        <v>0</v>
      </c>
      <c r="BN79" s="20" t="n">
        <f aca="false">IF(BM79&gt;PR_BalDone,BM79+BM79*(D_iL)-MIN(F_LoanPayM,BM79+BM79*(D_iL)),BM79)</f>
        <v>0</v>
      </c>
      <c r="BO79" s="20" t="n">
        <f aca="false">IF(BN79&gt;PR_BalDone,BN79+BN79*(D_iL)-MIN(F_LoanPayM,BN79+BN79*(D_iL)),BN79)</f>
        <v>0</v>
      </c>
      <c r="BP79" s="20" t="n">
        <f aca="false">IF(BO79&gt;PR_BalDone,BO79+BO79*(D_iL)-MIN(F_LoanPayM,BO79+BO79*(D_iL)),BO79)</f>
        <v>0</v>
      </c>
      <c r="BQ79" s="20" t="n">
        <f aca="false">IF(BP79&gt;PR_BalDone,BP79+BP79*(D_iL)-MIN(F_LoanPayM,BP79+BP79*(D_iL)),BP79)</f>
        <v>0</v>
      </c>
      <c r="BR79" s="20" t="n">
        <f aca="false">IF(BE79&gt;PR_BalDone,MIN(F_LoanPayM,BE79+BE79*(D_iL)),0)</f>
        <v>0</v>
      </c>
      <c r="BS79" s="20" t="n">
        <f aca="false">IF(BF79&gt;PR_BalDone,MIN(F_LoanPayM,BF79+BF79*(D_iL)),0)</f>
        <v>0</v>
      </c>
      <c r="BT79" s="20" t="n">
        <f aca="false">IF(BG79&gt;PR_BalDone,MIN(F_LoanPayM,BG79+BG79*(D_iL)),0)</f>
        <v>0</v>
      </c>
      <c r="BU79" s="20" t="n">
        <f aca="false">IF(BH79&gt;PR_BalDone,MIN(F_LoanPayM,BH79+BH79*(D_iL)),0)</f>
        <v>0</v>
      </c>
      <c r="BV79" s="20" t="n">
        <f aca="false">IF(BI79&gt;PR_BalDone,MIN(F_LoanPayM,BI79+BI79*(D_iL)),0)</f>
        <v>0</v>
      </c>
      <c r="BW79" s="20" t="n">
        <f aca="false">IF(BJ79&gt;PR_BalDone,MIN(F_LoanPayM,BJ79+BJ79*(D_iL)),0)</f>
        <v>0</v>
      </c>
      <c r="BX79" s="20" t="n">
        <f aca="false">IF(BK79&gt;PR_BalDone,MIN(F_LoanPayM,BK79+BK79*(D_iL)),0)</f>
        <v>0</v>
      </c>
      <c r="BY79" s="20" t="n">
        <f aca="false">IF(BL79&gt;PR_BalDone,MIN(F_LoanPayM,BL79+BL79*(D_iL)),0)</f>
        <v>0</v>
      </c>
      <c r="BZ79" s="20" t="n">
        <f aca="false">IF(BM79&gt;PR_BalDone,MIN(F_LoanPayM,BM79+BM79*(D_iL)),0)</f>
        <v>0</v>
      </c>
      <c r="CA79" s="20" t="n">
        <f aca="false">IF(BN79&gt;PR_BalDone,MIN(F_LoanPayM,BN79+BN79*(D_iL)),0)</f>
        <v>0</v>
      </c>
      <c r="CB79" s="20" t="n">
        <f aca="false">IF(BO79&gt;PR_BalDone,MIN(F_LoanPayM,BO79+BO79*(D_iL)),0)</f>
        <v>0</v>
      </c>
      <c r="CC79" s="20" t="n">
        <f aca="false">IF(BP79&gt;PR_BalDone,MIN(F_LoanPayM,BP79+BP79*(D_iL)),0)</f>
        <v>0</v>
      </c>
      <c r="CD79" s="20" t="n">
        <f aca="false">MAX(0,BQ79)</f>
        <v>0</v>
      </c>
      <c r="CE79" s="20" t="n">
        <f aca="false">SUM(BR79:CC79)</f>
        <v>0</v>
      </c>
      <c r="CF79" s="20" t="n">
        <f aca="false">IF(CF78&gt;1,DE78,CF78)</f>
        <v>0</v>
      </c>
      <c r="CG79" s="20" t="n">
        <f aca="false">IF(CF79&gt;PR_BalDone,CF79+CF79*(F_MR/12)-MIN(F_MortPayM,CF79+CF79*(F_MR/12)),CF79)</f>
        <v>0</v>
      </c>
      <c r="CH79" s="20" t="n">
        <f aca="false">IF(CG79&gt;PR_BalDone,CG79+CG79*(F_MR/12)-MIN(F_MortPayM,CG79+CG79*(F_MR/12)),CG79)</f>
        <v>0</v>
      </c>
      <c r="CI79" s="20" t="n">
        <f aca="false">IF(CH79&gt;PR_BalDone,CH79+CH79*(F_MR/12)-MIN(F_MortPayM,CH79+CH79*(F_MR/12)),CH79)</f>
        <v>0</v>
      </c>
      <c r="CJ79" s="20" t="n">
        <f aca="false">IF(CI79&gt;PR_BalDone,CI79+CI79*(F_MR/12)-MIN(F_MortPayM,CI79+CI79*(F_MR/12)),CI79)</f>
        <v>0</v>
      </c>
      <c r="CK79" s="20" t="n">
        <f aca="false">IF(CJ79&gt;PR_BalDone,CJ79+CJ79*(F_MR/12)-MIN(F_MortPayM,CJ79+CJ79*(F_MR/12)),CJ79)</f>
        <v>0</v>
      </c>
      <c r="CL79" s="20" t="n">
        <f aca="false">IF(CK79&gt;PR_BalDone,CK79+CK79*(F_MR/12)-MIN(F_MortPayM,CK79+CK79*(F_MR/12)),CK79)</f>
        <v>0</v>
      </c>
      <c r="CM79" s="20" t="n">
        <f aca="false">IF(CL79&gt;PR_BalDone,CL79+CL79*(F_MR/12)-MIN(F_MortPayM,CL79+CL79*(F_MR/12)),CL79)</f>
        <v>0</v>
      </c>
      <c r="CN79" s="20" t="n">
        <f aca="false">IF(CM79&gt;PR_BalDone,CM79+CM79*(F_MR/12)-MIN(F_MortPayM,CM79+CM79*(F_MR/12)),CM79)</f>
        <v>0</v>
      </c>
      <c r="CO79" s="20" t="n">
        <f aca="false">IF(CN79&gt;PR_BalDone,CN79+CN79*(F_MR/12)-MIN(F_MortPayM,CN79+CN79*(F_MR/12)),CN79)</f>
        <v>0</v>
      </c>
      <c r="CP79" s="20" t="n">
        <f aca="false">IF(CO79&gt;PR_BalDone,CO79+CO79*(F_MR/12)-MIN(F_MortPayM,CO79+CO79*(F_MR/12)),CO79)</f>
        <v>0</v>
      </c>
      <c r="CQ79" s="20" t="n">
        <f aca="false">IF(CP79&gt;PR_BalDone,CP79+CP79*(F_MR/12)-MIN(F_MortPayM,CP79+CP79*(F_MR/12)),CP79)</f>
        <v>0</v>
      </c>
      <c r="CR79" s="20" t="n">
        <f aca="false">IF(CQ79&gt;PR_BalDone,CQ79+CQ79*(F_MR/12)-MIN(F_MortPayM,CQ79+CQ79*(F_MR/12)),CQ79)</f>
        <v>0</v>
      </c>
      <c r="CS79" s="20" t="n">
        <f aca="false">IF(CF79&gt;PR_BalDone,MIN(F_MortPayM,CF79+CF79*(F_MR/12)),0)</f>
        <v>0</v>
      </c>
      <c r="CT79" s="20" t="n">
        <f aca="false">IF(CG79&gt;PR_BalDone,MIN(F_MortPayM,CG79+CG79*(F_MR/12)),0)</f>
        <v>0</v>
      </c>
      <c r="CU79" s="20" t="n">
        <f aca="false">IF(CH79&gt;PR_BalDone,MIN(F_MortPayM,CH79+CH79*(F_MR/12)),0)</f>
        <v>0</v>
      </c>
      <c r="CV79" s="20" t="n">
        <f aca="false">IF(CI79&gt;PR_BalDone,MIN(F_MortPayM,CI79+CI79*(F_MR/12)),0)</f>
        <v>0</v>
      </c>
      <c r="CW79" s="20" t="n">
        <f aca="false">IF(CJ79&gt;PR_BalDone,MIN(F_MortPayM,CJ79+CJ79*(F_MR/12)),0)</f>
        <v>0</v>
      </c>
      <c r="CX79" s="20" t="n">
        <f aca="false">IF(CK79&gt;PR_BalDone,MIN(F_MortPayM,CK79+CK79*(F_MR/12)),0)</f>
        <v>0</v>
      </c>
      <c r="CY79" s="20" t="n">
        <f aca="false">IF(CL79&gt;PR_BalDone,MIN(F_MortPayM,CL79+CL79*(F_MR/12)),0)</f>
        <v>0</v>
      </c>
      <c r="CZ79" s="20" t="n">
        <f aca="false">IF(CM79&gt;PR_BalDone,MIN(F_MortPayM,CM79+CM79*(F_MR/12)),0)</f>
        <v>0</v>
      </c>
      <c r="DA79" s="20" t="n">
        <f aca="false">IF(CN79&gt;PR_BalDone,MIN(F_MortPayM,CN79+CN79*(F_MR/12)),0)</f>
        <v>0</v>
      </c>
      <c r="DB79" s="20" t="n">
        <f aca="false">IF(CO79&gt;PR_BalDone,MIN(F_MortPayM,CO79+CO79*(F_MR/12)),0)</f>
        <v>0</v>
      </c>
      <c r="DC79" s="20" t="n">
        <f aca="false">IF(CP79&gt;PR_BalDone,MIN(F_MortPayM,CP79+CP79*(F_MR/12)),0)</f>
        <v>0</v>
      </c>
      <c r="DD79" s="20" t="n">
        <f aca="false">IF(CQ79&gt;PR_BalDone,MIN(F_MortPayM,CQ79+CQ79*(F_MR/12)),0)</f>
        <v>0</v>
      </c>
      <c r="DE79" s="20" t="n">
        <f aca="false">MAX(0,CR79)</f>
        <v>0</v>
      </c>
      <c r="DF79" s="20" t="n">
        <f aca="false">SUM(CS79:DD79)</f>
        <v>0</v>
      </c>
      <c r="DG79" s="20" t="n">
        <f aca="false">MAX(0,CF79)</f>
        <v>0</v>
      </c>
    </row>
    <row r="80" customFormat="false" ht="15" hidden="false" customHeight="true" outlineLevel="0" collapsed="false">
      <c r="B80" s="20" t="n">
        <v>72</v>
      </c>
      <c r="C80" s="20" t="n">
        <f aca="false">'Plan cashflow'!J80</f>
        <v>0</v>
      </c>
      <c r="D80" s="20" t="n">
        <f aca="false">IF(C80&gt;PR_BalDone,C80+C80*(F_MR/12)-MIN(F_MortPayM,C80+C80*(F_MR/12)),C80)</f>
        <v>0</v>
      </c>
      <c r="E80" s="20" t="n">
        <f aca="false">IF(D80&gt;PR_BalDone,D80+D80*(F_MR/12)-MIN(F_MortPayM,D80+D80*(F_MR/12)),D80)</f>
        <v>0</v>
      </c>
      <c r="F80" s="20" t="n">
        <f aca="false">IF(E80&gt;PR_BalDone,E80+E80*(F_MR/12)-MIN(F_MortPayM,E80+E80*(F_MR/12)),E80)</f>
        <v>0</v>
      </c>
      <c r="G80" s="20" t="n">
        <f aca="false">IF(F80&gt;PR_BalDone,F80+F80*(F_MR/12)-MIN(F_MortPayM,F80+F80*(F_MR/12)),F80)</f>
        <v>0</v>
      </c>
      <c r="H80" s="20" t="n">
        <f aca="false">IF(G80&gt;PR_BalDone,G80+G80*(F_MR/12)-MIN(F_MortPayM,G80+G80*(F_MR/12)),G80)</f>
        <v>0</v>
      </c>
      <c r="I80" s="20" t="n">
        <f aca="false">IF(H80&gt;PR_BalDone,H80+H80*(F_MR/12)-MIN(F_MortPayM,H80+H80*(F_MR/12)),H80)</f>
        <v>0</v>
      </c>
      <c r="J80" s="20" t="n">
        <f aca="false">IF(I80&gt;PR_BalDone,I80+I80*(F_MR/12)-MIN(F_MortPayM,I80+I80*(F_MR/12)),I80)</f>
        <v>0</v>
      </c>
      <c r="K80" s="20" t="n">
        <f aca="false">IF(J80&gt;PR_BalDone,J80+J80*(F_MR/12)-MIN(F_MortPayM,J80+J80*(F_MR/12)),J80)</f>
        <v>0</v>
      </c>
      <c r="L80" s="20" t="n">
        <f aca="false">IF(K80&gt;PR_BalDone,K80+K80*(F_MR/12)-MIN(F_MortPayM,K80+K80*(F_MR/12)),K80)</f>
        <v>0</v>
      </c>
      <c r="M80" s="20" t="n">
        <f aca="false">IF(L80&gt;PR_BalDone,L80+L80*(F_MR/12)-MIN(F_MortPayM,L80+L80*(F_MR/12)),L80)</f>
        <v>0</v>
      </c>
      <c r="N80" s="20" t="n">
        <f aca="false">IF(M80&gt;PR_BalDone,M80+M80*(F_MR/12)-MIN(F_MortPayM,M80+M80*(F_MR/12)),M80)</f>
        <v>0</v>
      </c>
      <c r="O80" s="20" t="n">
        <f aca="false">IF(N80&gt;PR_BalDone,N80+N80*(F_MR/12)-MIN(F_MortPayM,N80+N80*(F_MR/12)),N80)</f>
        <v>0</v>
      </c>
      <c r="P80" s="20" t="n">
        <f aca="false">IF(C80&gt;PR_BalDone,MIN(F_MortPayM,C80+C80*(F_MR/12)),0)</f>
        <v>0</v>
      </c>
      <c r="Q80" s="20" t="n">
        <f aca="false">IF(D80&gt;PR_BalDone,MIN(F_MortPayM,D80+D80*(F_MR/12)),0)</f>
        <v>0</v>
      </c>
      <c r="R80" s="20" t="n">
        <f aca="false">IF(E80&gt;PR_BalDone,MIN(F_MortPayM,E80+E80*(F_MR/12)),0)</f>
        <v>0</v>
      </c>
      <c r="S80" s="20" t="n">
        <f aca="false">IF(F80&gt;PR_BalDone,MIN(F_MortPayM,F80+F80*(F_MR/12)),0)</f>
        <v>0</v>
      </c>
      <c r="T80" s="20" t="n">
        <f aca="false">IF(G80&gt;PR_BalDone,MIN(F_MortPayM,G80+G80*(F_MR/12)),0)</f>
        <v>0</v>
      </c>
      <c r="U80" s="20" t="n">
        <f aca="false">IF(H80&gt;PR_BalDone,MIN(F_MortPayM,H80+H80*(F_MR/12)),0)</f>
        <v>0</v>
      </c>
      <c r="V80" s="20" t="n">
        <f aca="false">IF(I80&gt;PR_BalDone,MIN(F_MortPayM,I80+I80*(F_MR/12)),0)</f>
        <v>0</v>
      </c>
      <c r="W80" s="20" t="n">
        <f aca="false">IF(J80&gt;PR_BalDone,MIN(F_MortPayM,J80+J80*(F_MR/12)),0)</f>
        <v>0</v>
      </c>
      <c r="X80" s="20" t="n">
        <f aca="false">IF(K80&gt;PR_BalDone,MIN(F_MortPayM,K80+K80*(F_MR/12)),0)</f>
        <v>0</v>
      </c>
      <c r="Y80" s="20" t="n">
        <f aca="false">IF(L80&gt;PR_BalDone,MIN(F_MortPayM,L80+L80*(F_MR/12)),0)</f>
        <v>0</v>
      </c>
      <c r="Z80" s="20" t="n">
        <f aca="false">IF(M80&gt;PR_BalDone,MIN(F_MortPayM,M80+M80*(F_MR/12)),0)</f>
        <v>0</v>
      </c>
      <c r="AA80" s="20" t="n">
        <f aca="false">IF(N80&gt;PR_BalDone,MIN(F_MortPayM,N80+N80*(F_MR/12)),0)</f>
        <v>0</v>
      </c>
      <c r="AB80" s="20" t="n">
        <f aca="false">MAX(0,O80)</f>
        <v>0</v>
      </c>
      <c r="AC80" s="20" t="n">
        <f aca="false">SUM(P80:AA80)</f>
        <v>0</v>
      </c>
      <c r="AD80" s="20" t="n">
        <f aca="false">'Plan cashflow'!M80</f>
        <v>0</v>
      </c>
      <c r="AE80" s="20" t="n">
        <f aca="false">IF(AD80&gt;PR_BalDone,AD80+AD80*(D_iC)-MIN(F_CardPayM,AD80+AD80*(D_iC)),AD80)</f>
        <v>0</v>
      </c>
      <c r="AF80" s="20" t="n">
        <f aca="false">IF(AE80&gt;PR_BalDone,AE80+AE80*(D_iC)-MIN(F_CardPayM,AE80+AE80*(D_iC)),AE80)</f>
        <v>0</v>
      </c>
      <c r="AG80" s="20" t="n">
        <f aca="false">IF(AF80&gt;PR_BalDone,AF80+AF80*(D_iC)-MIN(F_CardPayM,AF80+AF80*(D_iC)),AF80)</f>
        <v>0</v>
      </c>
      <c r="AH80" s="20" t="n">
        <f aca="false">IF(AG80&gt;PR_BalDone,AG80+AG80*(D_iC)-MIN(F_CardPayM,AG80+AG80*(D_iC)),AG80)</f>
        <v>0</v>
      </c>
      <c r="AI80" s="20" t="n">
        <f aca="false">IF(AH80&gt;PR_BalDone,AH80+AH80*(D_iC)-MIN(F_CardPayM,AH80+AH80*(D_iC)),AH80)</f>
        <v>0</v>
      </c>
      <c r="AJ80" s="20" t="n">
        <f aca="false">IF(AI80&gt;PR_BalDone,AI80+AI80*(D_iC)-MIN(F_CardPayM,AI80+AI80*(D_iC)),AI80)</f>
        <v>0</v>
      </c>
      <c r="AK80" s="20" t="n">
        <f aca="false">IF(AJ80&gt;PR_BalDone,AJ80+AJ80*(D_iC)-MIN(F_CardPayM,AJ80+AJ80*(D_iC)),AJ80)</f>
        <v>0</v>
      </c>
      <c r="AL80" s="20" t="n">
        <f aca="false">IF(AK80&gt;PR_BalDone,AK80+AK80*(D_iC)-MIN(F_CardPayM,AK80+AK80*(D_iC)),AK80)</f>
        <v>0</v>
      </c>
      <c r="AM80" s="20" t="n">
        <f aca="false">IF(AL80&gt;PR_BalDone,AL80+AL80*(D_iC)-MIN(F_CardPayM,AL80+AL80*(D_iC)),AL80)</f>
        <v>0</v>
      </c>
      <c r="AN80" s="20" t="n">
        <f aca="false">IF(AM80&gt;PR_BalDone,AM80+AM80*(D_iC)-MIN(F_CardPayM,AM80+AM80*(D_iC)),AM80)</f>
        <v>0</v>
      </c>
      <c r="AO80" s="20" t="n">
        <f aca="false">IF(AN80&gt;PR_BalDone,AN80+AN80*(D_iC)-MIN(F_CardPayM,AN80+AN80*(D_iC)),AN80)</f>
        <v>0</v>
      </c>
      <c r="AP80" s="20" t="n">
        <f aca="false">IF(AO80&gt;PR_BalDone,AO80+AO80*(D_iC)-MIN(F_CardPayM,AO80+AO80*(D_iC)),AO80)</f>
        <v>0</v>
      </c>
      <c r="AQ80" s="20" t="n">
        <f aca="false">IF(AD80&gt;PR_BalDone,MIN(F_CardPayM,AD80+AD80*(D_iC)),0)</f>
        <v>0</v>
      </c>
      <c r="AR80" s="20" t="n">
        <f aca="false">IF(AE80&gt;PR_BalDone,MIN(F_CardPayM,AE80+AE80*(D_iC)),0)</f>
        <v>0</v>
      </c>
      <c r="AS80" s="20" t="n">
        <f aca="false">IF(AF80&gt;PR_BalDone,MIN(F_CardPayM,AF80+AF80*(D_iC)),0)</f>
        <v>0</v>
      </c>
      <c r="AT80" s="20" t="n">
        <f aca="false">IF(AG80&gt;PR_BalDone,MIN(F_CardPayM,AG80+AG80*(D_iC)),0)</f>
        <v>0</v>
      </c>
      <c r="AU80" s="20" t="n">
        <f aca="false">IF(AH80&gt;PR_BalDone,MIN(F_CardPayM,AH80+AH80*(D_iC)),0)</f>
        <v>0</v>
      </c>
      <c r="AV80" s="20" t="n">
        <f aca="false">IF(AI80&gt;PR_BalDone,MIN(F_CardPayM,AI80+AI80*(D_iC)),0)</f>
        <v>0</v>
      </c>
      <c r="AW80" s="20" t="n">
        <f aca="false">IF(AJ80&gt;PR_BalDone,MIN(F_CardPayM,AJ80+AJ80*(D_iC)),0)</f>
        <v>0</v>
      </c>
      <c r="AX80" s="20" t="n">
        <f aca="false">IF(AK80&gt;PR_BalDone,MIN(F_CardPayM,AK80+AK80*(D_iC)),0)</f>
        <v>0</v>
      </c>
      <c r="AY80" s="20" t="n">
        <f aca="false">IF(AL80&gt;PR_BalDone,MIN(F_CardPayM,AL80+AL80*(D_iC)),0)</f>
        <v>0</v>
      </c>
      <c r="AZ80" s="20" t="n">
        <f aca="false">IF(AM80&gt;PR_BalDone,MIN(F_CardPayM,AM80+AM80*(D_iC)),0)</f>
        <v>0</v>
      </c>
      <c r="BA80" s="20" t="n">
        <f aca="false">IF(AN80&gt;PR_BalDone,MIN(F_CardPayM,AN80+AN80*(D_iC)),0)</f>
        <v>0</v>
      </c>
      <c r="BB80" s="20" t="n">
        <f aca="false">IF(AO80&gt;PR_BalDone,MIN(F_CardPayM,AO80+AO80*(D_iC)),0)</f>
        <v>0</v>
      </c>
      <c r="BC80" s="20" t="n">
        <f aca="false">MAX(0,AP80)</f>
        <v>0</v>
      </c>
      <c r="BD80" s="20" t="n">
        <f aca="false">SUM(AQ80:BB80)</f>
        <v>0</v>
      </c>
      <c r="BE80" s="20" t="n">
        <f aca="false">'Plan cashflow'!P80</f>
        <v>0</v>
      </c>
      <c r="BF80" s="20" t="n">
        <f aca="false">IF(BE80&gt;PR_BalDone,BE80+BE80*(D_iL)-MIN(F_LoanPayM,BE80+BE80*(D_iL)),BE80)</f>
        <v>0</v>
      </c>
      <c r="BG80" s="20" t="n">
        <f aca="false">IF(BF80&gt;PR_BalDone,BF80+BF80*(D_iL)-MIN(F_LoanPayM,BF80+BF80*(D_iL)),BF80)</f>
        <v>0</v>
      </c>
      <c r="BH80" s="20" t="n">
        <f aca="false">IF(BG80&gt;PR_BalDone,BG80+BG80*(D_iL)-MIN(F_LoanPayM,BG80+BG80*(D_iL)),BG80)</f>
        <v>0</v>
      </c>
      <c r="BI80" s="20" t="n">
        <f aca="false">IF(BH80&gt;PR_BalDone,BH80+BH80*(D_iL)-MIN(F_LoanPayM,BH80+BH80*(D_iL)),BH80)</f>
        <v>0</v>
      </c>
      <c r="BJ80" s="20" t="n">
        <f aca="false">IF(BI80&gt;PR_BalDone,BI80+BI80*(D_iL)-MIN(F_LoanPayM,BI80+BI80*(D_iL)),BI80)</f>
        <v>0</v>
      </c>
      <c r="BK80" s="20" t="n">
        <f aca="false">IF(BJ80&gt;PR_BalDone,BJ80+BJ80*(D_iL)-MIN(F_LoanPayM,BJ80+BJ80*(D_iL)),BJ80)</f>
        <v>0</v>
      </c>
      <c r="BL80" s="20" t="n">
        <f aca="false">IF(BK80&gt;PR_BalDone,BK80+BK80*(D_iL)-MIN(F_LoanPayM,BK80+BK80*(D_iL)),BK80)</f>
        <v>0</v>
      </c>
      <c r="BM80" s="20" t="n">
        <f aca="false">IF(BL80&gt;PR_BalDone,BL80+BL80*(D_iL)-MIN(F_LoanPayM,BL80+BL80*(D_iL)),BL80)</f>
        <v>0</v>
      </c>
      <c r="BN80" s="20" t="n">
        <f aca="false">IF(BM80&gt;PR_BalDone,BM80+BM80*(D_iL)-MIN(F_LoanPayM,BM80+BM80*(D_iL)),BM80)</f>
        <v>0</v>
      </c>
      <c r="BO80" s="20" t="n">
        <f aca="false">IF(BN80&gt;PR_BalDone,BN80+BN80*(D_iL)-MIN(F_LoanPayM,BN80+BN80*(D_iL)),BN80)</f>
        <v>0</v>
      </c>
      <c r="BP80" s="20" t="n">
        <f aca="false">IF(BO80&gt;PR_BalDone,BO80+BO80*(D_iL)-MIN(F_LoanPayM,BO80+BO80*(D_iL)),BO80)</f>
        <v>0</v>
      </c>
      <c r="BQ80" s="20" t="n">
        <f aca="false">IF(BP80&gt;PR_BalDone,BP80+BP80*(D_iL)-MIN(F_LoanPayM,BP80+BP80*(D_iL)),BP80)</f>
        <v>0</v>
      </c>
      <c r="BR80" s="20" t="n">
        <f aca="false">IF(BE80&gt;PR_BalDone,MIN(F_LoanPayM,BE80+BE80*(D_iL)),0)</f>
        <v>0</v>
      </c>
      <c r="BS80" s="20" t="n">
        <f aca="false">IF(BF80&gt;PR_BalDone,MIN(F_LoanPayM,BF80+BF80*(D_iL)),0)</f>
        <v>0</v>
      </c>
      <c r="BT80" s="20" t="n">
        <f aca="false">IF(BG80&gt;PR_BalDone,MIN(F_LoanPayM,BG80+BG80*(D_iL)),0)</f>
        <v>0</v>
      </c>
      <c r="BU80" s="20" t="n">
        <f aca="false">IF(BH80&gt;PR_BalDone,MIN(F_LoanPayM,BH80+BH80*(D_iL)),0)</f>
        <v>0</v>
      </c>
      <c r="BV80" s="20" t="n">
        <f aca="false">IF(BI80&gt;PR_BalDone,MIN(F_LoanPayM,BI80+BI80*(D_iL)),0)</f>
        <v>0</v>
      </c>
      <c r="BW80" s="20" t="n">
        <f aca="false">IF(BJ80&gt;PR_BalDone,MIN(F_LoanPayM,BJ80+BJ80*(D_iL)),0)</f>
        <v>0</v>
      </c>
      <c r="BX80" s="20" t="n">
        <f aca="false">IF(BK80&gt;PR_BalDone,MIN(F_LoanPayM,BK80+BK80*(D_iL)),0)</f>
        <v>0</v>
      </c>
      <c r="BY80" s="20" t="n">
        <f aca="false">IF(BL80&gt;PR_BalDone,MIN(F_LoanPayM,BL80+BL80*(D_iL)),0)</f>
        <v>0</v>
      </c>
      <c r="BZ80" s="20" t="n">
        <f aca="false">IF(BM80&gt;PR_BalDone,MIN(F_LoanPayM,BM80+BM80*(D_iL)),0)</f>
        <v>0</v>
      </c>
      <c r="CA80" s="20" t="n">
        <f aca="false">IF(BN80&gt;PR_BalDone,MIN(F_LoanPayM,BN80+BN80*(D_iL)),0)</f>
        <v>0</v>
      </c>
      <c r="CB80" s="20" t="n">
        <f aca="false">IF(BO80&gt;PR_BalDone,MIN(F_LoanPayM,BO80+BO80*(D_iL)),0)</f>
        <v>0</v>
      </c>
      <c r="CC80" s="20" t="n">
        <f aca="false">IF(BP80&gt;PR_BalDone,MIN(F_LoanPayM,BP80+BP80*(D_iL)),0)</f>
        <v>0</v>
      </c>
      <c r="CD80" s="20" t="n">
        <f aca="false">MAX(0,BQ80)</f>
        <v>0</v>
      </c>
      <c r="CE80" s="20" t="n">
        <f aca="false">SUM(BR80:CC80)</f>
        <v>0</v>
      </c>
      <c r="CF80" s="20" t="n">
        <f aca="false">IF(CF79&gt;1,DE79,CF79)</f>
        <v>0</v>
      </c>
      <c r="CG80" s="20" t="n">
        <f aca="false">IF(CF80&gt;PR_BalDone,CF80+CF80*(F_MR/12)-MIN(F_MortPayM,CF80+CF80*(F_MR/12)),CF80)</f>
        <v>0</v>
      </c>
      <c r="CH80" s="20" t="n">
        <f aca="false">IF(CG80&gt;PR_BalDone,CG80+CG80*(F_MR/12)-MIN(F_MortPayM,CG80+CG80*(F_MR/12)),CG80)</f>
        <v>0</v>
      </c>
      <c r="CI80" s="20" t="n">
        <f aca="false">IF(CH80&gt;PR_BalDone,CH80+CH80*(F_MR/12)-MIN(F_MortPayM,CH80+CH80*(F_MR/12)),CH80)</f>
        <v>0</v>
      </c>
      <c r="CJ80" s="20" t="n">
        <f aca="false">IF(CI80&gt;PR_BalDone,CI80+CI80*(F_MR/12)-MIN(F_MortPayM,CI80+CI80*(F_MR/12)),CI80)</f>
        <v>0</v>
      </c>
      <c r="CK80" s="20" t="n">
        <f aca="false">IF(CJ80&gt;PR_BalDone,CJ80+CJ80*(F_MR/12)-MIN(F_MortPayM,CJ80+CJ80*(F_MR/12)),CJ80)</f>
        <v>0</v>
      </c>
      <c r="CL80" s="20" t="n">
        <f aca="false">IF(CK80&gt;PR_BalDone,CK80+CK80*(F_MR/12)-MIN(F_MortPayM,CK80+CK80*(F_MR/12)),CK80)</f>
        <v>0</v>
      </c>
      <c r="CM80" s="20" t="n">
        <f aca="false">IF(CL80&gt;PR_BalDone,CL80+CL80*(F_MR/12)-MIN(F_MortPayM,CL80+CL80*(F_MR/12)),CL80)</f>
        <v>0</v>
      </c>
      <c r="CN80" s="20" t="n">
        <f aca="false">IF(CM80&gt;PR_BalDone,CM80+CM80*(F_MR/12)-MIN(F_MortPayM,CM80+CM80*(F_MR/12)),CM80)</f>
        <v>0</v>
      </c>
      <c r="CO80" s="20" t="n">
        <f aca="false">IF(CN80&gt;PR_BalDone,CN80+CN80*(F_MR/12)-MIN(F_MortPayM,CN80+CN80*(F_MR/12)),CN80)</f>
        <v>0</v>
      </c>
      <c r="CP80" s="20" t="n">
        <f aca="false">IF(CO80&gt;PR_BalDone,CO80+CO80*(F_MR/12)-MIN(F_MortPayM,CO80+CO80*(F_MR/12)),CO80)</f>
        <v>0</v>
      </c>
      <c r="CQ80" s="20" t="n">
        <f aca="false">IF(CP80&gt;PR_BalDone,CP80+CP80*(F_MR/12)-MIN(F_MortPayM,CP80+CP80*(F_MR/12)),CP80)</f>
        <v>0</v>
      </c>
      <c r="CR80" s="20" t="n">
        <f aca="false">IF(CQ80&gt;PR_BalDone,CQ80+CQ80*(F_MR/12)-MIN(F_MortPayM,CQ80+CQ80*(F_MR/12)),CQ80)</f>
        <v>0</v>
      </c>
      <c r="CS80" s="20" t="n">
        <f aca="false">IF(CF80&gt;PR_BalDone,MIN(F_MortPayM,CF80+CF80*(F_MR/12)),0)</f>
        <v>0</v>
      </c>
      <c r="CT80" s="20" t="n">
        <f aca="false">IF(CG80&gt;PR_BalDone,MIN(F_MortPayM,CG80+CG80*(F_MR/12)),0)</f>
        <v>0</v>
      </c>
      <c r="CU80" s="20" t="n">
        <f aca="false">IF(CH80&gt;PR_BalDone,MIN(F_MortPayM,CH80+CH80*(F_MR/12)),0)</f>
        <v>0</v>
      </c>
      <c r="CV80" s="20" t="n">
        <f aca="false">IF(CI80&gt;PR_BalDone,MIN(F_MortPayM,CI80+CI80*(F_MR/12)),0)</f>
        <v>0</v>
      </c>
      <c r="CW80" s="20" t="n">
        <f aca="false">IF(CJ80&gt;PR_BalDone,MIN(F_MortPayM,CJ80+CJ80*(F_MR/12)),0)</f>
        <v>0</v>
      </c>
      <c r="CX80" s="20" t="n">
        <f aca="false">IF(CK80&gt;PR_BalDone,MIN(F_MortPayM,CK80+CK80*(F_MR/12)),0)</f>
        <v>0</v>
      </c>
      <c r="CY80" s="20" t="n">
        <f aca="false">IF(CL80&gt;PR_BalDone,MIN(F_MortPayM,CL80+CL80*(F_MR/12)),0)</f>
        <v>0</v>
      </c>
      <c r="CZ80" s="20" t="n">
        <f aca="false">IF(CM80&gt;PR_BalDone,MIN(F_MortPayM,CM80+CM80*(F_MR/12)),0)</f>
        <v>0</v>
      </c>
      <c r="DA80" s="20" t="n">
        <f aca="false">IF(CN80&gt;PR_BalDone,MIN(F_MortPayM,CN80+CN80*(F_MR/12)),0)</f>
        <v>0</v>
      </c>
      <c r="DB80" s="20" t="n">
        <f aca="false">IF(CO80&gt;PR_BalDone,MIN(F_MortPayM,CO80+CO80*(F_MR/12)),0)</f>
        <v>0</v>
      </c>
      <c r="DC80" s="20" t="n">
        <f aca="false">IF(CP80&gt;PR_BalDone,MIN(F_MortPayM,CP80+CP80*(F_MR/12)),0)</f>
        <v>0</v>
      </c>
      <c r="DD80" s="20" t="n">
        <f aca="false">IF(CQ80&gt;PR_BalDone,MIN(F_MortPayM,CQ80+CQ80*(F_MR/12)),0)</f>
        <v>0</v>
      </c>
      <c r="DE80" s="20" t="n">
        <f aca="false">MAX(0,CR80)</f>
        <v>0</v>
      </c>
      <c r="DF80" s="20" t="n">
        <f aca="false">SUM(CS80:DD80)</f>
        <v>0</v>
      </c>
      <c r="DG80" s="20" t="n">
        <f aca="false">MAX(0,CF80)</f>
        <v>0</v>
      </c>
    </row>
    <row r="81" customFormat="false" ht="15" hidden="false" customHeight="true" outlineLevel="0" collapsed="false">
      <c r="B81" s="20" t="n">
        <v>73</v>
      </c>
      <c r="C81" s="20" t="n">
        <f aca="false">'Plan cashflow'!J81</f>
        <v>0</v>
      </c>
      <c r="D81" s="20" t="n">
        <f aca="false">IF(C81&gt;PR_BalDone,C81+C81*(F_MR/12)-MIN(F_MortPayM,C81+C81*(F_MR/12)),C81)</f>
        <v>0</v>
      </c>
      <c r="E81" s="20" t="n">
        <f aca="false">IF(D81&gt;PR_BalDone,D81+D81*(F_MR/12)-MIN(F_MortPayM,D81+D81*(F_MR/12)),D81)</f>
        <v>0</v>
      </c>
      <c r="F81" s="20" t="n">
        <f aca="false">IF(E81&gt;PR_BalDone,E81+E81*(F_MR/12)-MIN(F_MortPayM,E81+E81*(F_MR/12)),E81)</f>
        <v>0</v>
      </c>
      <c r="G81" s="20" t="n">
        <f aca="false">IF(F81&gt;PR_BalDone,F81+F81*(F_MR/12)-MIN(F_MortPayM,F81+F81*(F_MR/12)),F81)</f>
        <v>0</v>
      </c>
      <c r="H81" s="20" t="n">
        <f aca="false">IF(G81&gt;PR_BalDone,G81+G81*(F_MR/12)-MIN(F_MortPayM,G81+G81*(F_MR/12)),G81)</f>
        <v>0</v>
      </c>
      <c r="I81" s="20" t="n">
        <f aca="false">IF(H81&gt;PR_BalDone,H81+H81*(F_MR/12)-MIN(F_MortPayM,H81+H81*(F_MR/12)),H81)</f>
        <v>0</v>
      </c>
      <c r="J81" s="20" t="n">
        <f aca="false">IF(I81&gt;PR_BalDone,I81+I81*(F_MR/12)-MIN(F_MortPayM,I81+I81*(F_MR/12)),I81)</f>
        <v>0</v>
      </c>
      <c r="K81" s="20" t="n">
        <f aca="false">IF(J81&gt;PR_BalDone,J81+J81*(F_MR/12)-MIN(F_MortPayM,J81+J81*(F_MR/12)),J81)</f>
        <v>0</v>
      </c>
      <c r="L81" s="20" t="n">
        <f aca="false">IF(K81&gt;PR_BalDone,K81+K81*(F_MR/12)-MIN(F_MortPayM,K81+K81*(F_MR/12)),K81)</f>
        <v>0</v>
      </c>
      <c r="M81" s="20" t="n">
        <f aca="false">IF(L81&gt;PR_BalDone,L81+L81*(F_MR/12)-MIN(F_MortPayM,L81+L81*(F_MR/12)),L81)</f>
        <v>0</v>
      </c>
      <c r="N81" s="20" t="n">
        <f aca="false">IF(M81&gt;PR_BalDone,M81+M81*(F_MR/12)-MIN(F_MortPayM,M81+M81*(F_MR/12)),M81)</f>
        <v>0</v>
      </c>
      <c r="O81" s="20" t="n">
        <f aca="false">IF(N81&gt;PR_BalDone,N81+N81*(F_MR/12)-MIN(F_MortPayM,N81+N81*(F_MR/12)),N81)</f>
        <v>0</v>
      </c>
      <c r="P81" s="20" t="n">
        <f aca="false">IF(C81&gt;PR_BalDone,MIN(F_MortPayM,C81+C81*(F_MR/12)),0)</f>
        <v>0</v>
      </c>
      <c r="Q81" s="20" t="n">
        <f aca="false">IF(D81&gt;PR_BalDone,MIN(F_MortPayM,D81+D81*(F_MR/12)),0)</f>
        <v>0</v>
      </c>
      <c r="R81" s="20" t="n">
        <f aca="false">IF(E81&gt;PR_BalDone,MIN(F_MortPayM,E81+E81*(F_MR/12)),0)</f>
        <v>0</v>
      </c>
      <c r="S81" s="20" t="n">
        <f aca="false">IF(F81&gt;PR_BalDone,MIN(F_MortPayM,F81+F81*(F_MR/12)),0)</f>
        <v>0</v>
      </c>
      <c r="T81" s="20" t="n">
        <f aca="false">IF(G81&gt;PR_BalDone,MIN(F_MortPayM,G81+G81*(F_MR/12)),0)</f>
        <v>0</v>
      </c>
      <c r="U81" s="20" t="n">
        <f aca="false">IF(H81&gt;PR_BalDone,MIN(F_MortPayM,H81+H81*(F_MR/12)),0)</f>
        <v>0</v>
      </c>
      <c r="V81" s="20" t="n">
        <f aca="false">IF(I81&gt;PR_BalDone,MIN(F_MortPayM,I81+I81*(F_MR/12)),0)</f>
        <v>0</v>
      </c>
      <c r="W81" s="20" t="n">
        <f aca="false">IF(J81&gt;PR_BalDone,MIN(F_MortPayM,J81+J81*(F_MR/12)),0)</f>
        <v>0</v>
      </c>
      <c r="X81" s="20" t="n">
        <f aca="false">IF(K81&gt;PR_BalDone,MIN(F_MortPayM,K81+K81*(F_MR/12)),0)</f>
        <v>0</v>
      </c>
      <c r="Y81" s="20" t="n">
        <f aca="false">IF(L81&gt;PR_BalDone,MIN(F_MortPayM,L81+L81*(F_MR/12)),0)</f>
        <v>0</v>
      </c>
      <c r="Z81" s="20" t="n">
        <f aca="false">IF(M81&gt;PR_BalDone,MIN(F_MortPayM,M81+M81*(F_MR/12)),0)</f>
        <v>0</v>
      </c>
      <c r="AA81" s="20" t="n">
        <f aca="false">IF(N81&gt;PR_BalDone,MIN(F_MortPayM,N81+N81*(F_MR/12)),0)</f>
        <v>0</v>
      </c>
      <c r="AB81" s="20" t="n">
        <f aca="false">MAX(0,O81)</f>
        <v>0</v>
      </c>
      <c r="AC81" s="20" t="n">
        <f aca="false">SUM(P81:AA81)</f>
        <v>0</v>
      </c>
      <c r="AD81" s="20" t="n">
        <f aca="false">'Plan cashflow'!M81</f>
        <v>0</v>
      </c>
      <c r="AE81" s="20" t="n">
        <f aca="false">IF(AD81&gt;PR_BalDone,AD81+AD81*(D_iC)-MIN(F_CardPayM,AD81+AD81*(D_iC)),AD81)</f>
        <v>0</v>
      </c>
      <c r="AF81" s="20" t="n">
        <f aca="false">IF(AE81&gt;PR_BalDone,AE81+AE81*(D_iC)-MIN(F_CardPayM,AE81+AE81*(D_iC)),AE81)</f>
        <v>0</v>
      </c>
      <c r="AG81" s="20" t="n">
        <f aca="false">IF(AF81&gt;PR_BalDone,AF81+AF81*(D_iC)-MIN(F_CardPayM,AF81+AF81*(D_iC)),AF81)</f>
        <v>0</v>
      </c>
      <c r="AH81" s="20" t="n">
        <f aca="false">IF(AG81&gt;PR_BalDone,AG81+AG81*(D_iC)-MIN(F_CardPayM,AG81+AG81*(D_iC)),AG81)</f>
        <v>0</v>
      </c>
      <c r="AI81" s="20" t="n">
        <f aca="false">IF(AH81&gt;PR_BalDone,AH81+AH81*(D_iC)-MIN(F_CardPayM,AH81+AH81*(D_iC)),AH81)</f>
        <v>0</v>
      </c>
      <c r="AJ81" s="20" t="n">
        <f aca="false">IF(AI81&gt;PR_BalDone,AI81+AI81*(D_iC)-MIN(F_CardPayM,AI81+AI81*(D_iC)),AI81)</f>
        <v>0</v>
      </c>
      <c r="AK81" s="20" t="n">
        <f aca="false">IF(AJ81&gt;PR_BalDone,AJ81+AJ81*(D_iC)-MIN(F_CardPayM,AJ81+AJ81*(D_iC)),AJ81)</f>
        <v>0</v>
      </c>
      <c r="AL81" s="20" t="n">
        <f aca="false">IF(AK81&gt;PR_BalDone,AK81+AK81*(D_iC)-MIN(F_CardPayM,AK81+AK81*(D_iC)),AK81)</f>
        <v>0</v>
      </c>
      <c r="AM81" s="20" t="n">
        <f aca="false">IF(AL81&gt;PR_BalDone,AL81+AL81*(D_iC)-MIN(F_CardPayM,AL81+AL81*(D_iC)),AL81)</f>
        <v>0</v>
      </c>
      <c r="AN81" s="20" t="n">
        <f aca="false">IF(AM81&gt;PR_BalDone,AM81+AM81*(D_iC)-MIN(F_CardPayM,AM81+AM81*(D_iC)),AM81)</f>
        <v>0</v>
      </c>
      <c r="AO81" s="20" t="n">
        <f aca="false">IF(AN81&gt;PR_BalDone,AN81+AN81*(D_iC)-MIN(F_CardPayM,AN81+AN81*(D_iC)),AN81)</f>
        <v>0</v>
      </c>
      <c r="AP81" s="20" t="n">
        <f aca="false">IF(AO81&gt;PR_BalDone,AO81+AO81*(D_iC)-MIN(F_CardPayM,AO81+AO81*(D_iC)),AO81)</f>
        <v>0</v>
      </c>
      <c r="AQ81" s="20" t="n">
        <f aca="false">IF(AD81&gt;PR_BalDone,MIN(F_CardPayM,AD81+AD81*(D_iC)),0)</f>
        <v>0</v>
      </c>
      <c r="AR81" s="20" t="n">
        <f aca="false">IF(AE81&gt;PR_BalDone,MIN(F_CardPayM,AE81+AE81*(D_iC)),0)</f>
        <v>0</v>
      </c>
      <c r="AS81" s="20" t="n">
        <f aca="false">IF(AF81&gt;PR_BalDone,MIN(F_CardPayM,AF81+AF81*(D_iC)),0)</f>
        <v>0</v>
      </c>
      <c r="AT81" s="20" t="n">
        <f aca="false">IF(AG81&gt;PR_BalDone,MIN(F_CardPayM,AG81+AG81*(D_iC)),0)</f>
        <v>0</v>
      </c>
      <c r="AU81" s="20" t="n">
        <f aca="false">IF(AH81&gt;PR_BalDone,MIN(F_CardPayM,AH81+AH81*(D_iC)),0)</f>
        <v>0</v>
      </c>
      <c r="AV81" s="20" t="n">
        <f aca="false">IF(AI81&gt;PR_BalDone,MIN(F_CardPayM,AI81+AI81*(D_iC)),0)</f>
        <v>0</v>
      </c>
      <c r="AW81" s="20" t="n">
        <f aca="false">IF(AJ81&gt;PR_BalDone,MIN(F_CardPayM,AJ81+AJ81*(D_iC)),0)</f>
        <v>0</v>
      </c>
      <c r="AX81" s="20" t="n">
        <f aca="false">IF(AK81&gt;PR_BalDone,MIN(F_CardPayM,AK81+AK81*(D_iC)),0)</f>
        <v>0</v>
      </c>
      <c r="AY81" s="20" t="n">
        <f aca="false">IF(AL81&gt;PR_BalDone,MIN(F_CardPayM,AL81+AL81*(D_iC)),0)</f>
        <v>0</v>
      </c>
      <c r="AZ81" s="20" t="n">
        <f aca="false">IF(AM81&gt;PR_BalDone,MIN(F_CardPayM,AM81+AM81*(D_iC)),0)</f>
        <v>0</v>
      </c>
      <c r="BA81" s="20" t="n">
        <f aca="false">IF(AN81&gt;PR_BalDone,MIN(F_CardPayM,AN81+AN81*(D_iC)),0)</f>
        <v>0</v>
      </c>
      <c r="BB81" s="20" t="n">
        <f aca="false">IF(AO81&gt;PR_BalDone,MIN(F_CardPayM,AO81+AO81*(D_iC)),0)</f>
        <v>0</v>
      </c>
      <c r="BC81" s="20" t="n">
        <f aca="false">MAX(0,AP81)</f>
        <v>0</v>
      </c>
      <c r="BD81" s="20" t="n">
        <f aca="false">SUM(AQ81:BB81)</f>
        <v>0</v>
      </c>
      <c r="BE81" s="20" t="n">
        <f aca="false">'Plan cashflow'!P81</f>
        <v>0</v>
      </c>
      <c r="BF81" s="20" t="n">
        <f aca="false">IF(BE81&gt;PR_BalDone,BE81+BE81*(D_iL)-MIN(F_LoanPayM,BE81+BE81*(D_iL)),BE81)</f>
        <v>0</v>
      </c>
      <c r="BG81" s="20" t="n">
        <f aca="false">IF(BF81&gt;PR_BalDone,BF81+BF81*(D_iL)-MIN(F_LoanPayM,BF81+BF81*(D_iL)),BF81)</f>
        <v>0</v>
      </c>
      <c r="BH81" s="20" t="n">
        <f aca="false">IF(BG81&gt;PR_BalDone,BG81+BG81*(D_iL)-MIN(F_LoanPayM,BG81+BG81*(D_iL)),BG81)</f>
        <v>0</v>
      </c>
      <c r="BI81" s="20" t="n">
        <f aca="false">IF(BH81&gt;PR_BalDone,BH81+BH81*(D_iL)-MIN(F_LoanPayM,BH81+BH81*(D_iL)),BH81)</f>
        <v>0</v>
      </c>
      <c r="BJ81" s="20" t="n">
        <f aca="false">IF(BI81&gt;PR_BalDone,BI81+BI81*(D_iL)-MIN(F_LoanPayM,BI81+BI81*(D_iL)),BI81)</f>
        <v>0</v>
      </c>
      <c r="BK81" s="20" t="n">
        <f aca="false">IF(BJ81&gt;PR_BalDone,BJ81+BJ81*(D_iL)-MIN(F_LoanPayM,BJ81+BJ81*(D_iL)),BJ81)</f>
        <v>0</v>
      </c>
      <c r="BL81" s="20" t="n">
        <f aca="false">IF(BK81&gt;PR_BalDone,BK81+BK81*(D_iL)-MIN(F_LoanPayM,BK81+BK81*(D_iL)),BK81)</f>
        <v>0</v>
      </c>
      <c r="BM81" s="20" t="n">
        <f aca="false">IF(BL81&gt;PR_BalDone,BL81+BL81*(D_iL)-MIN(F_LoanPayM,BL81+BL81*(D_iL)),BL81)</f>
        <v>0</v>
      </c>
      <c r="BN81" s="20" t="n">
        <f aca="false">IF(BM81&gt;PR_BalDone,BM81+BM81*(D_iL)-MIN(F_LoanPayM,BM81+BM81*(D_iL)),BM81)</f>
        <v>0</v>
      </c>
      <c r="BO81" s="20" t="n">
        <f aca="false">IF(BN81&gt;PR_BalDone,BN81+BN81*(D_iL)-MIN(F_LoanPayM,BN81+BN81*(D_iL)),BN81)</f>
        <v>0</v>
      </c>
      <c r="BP81" s="20" t="n">
        <f aca="false">IF(BO81&gt;PR_BalDone,BO81+BO81*(D_iL)-MIN(F_LoanPayM,BO81+BO81*(D_iL)),BO81)</f>
        <v>0</v>
      </c>
      <c r="BQ81" s="20" t="n">
        <f aca="false">IF(BP81&gt;PR_BalDone,BP81+BP81*(D_iL)-MIN(F_LoanPayM,BP81+BP81*(D_iL)),BP81)</f>
        <v>0</v>
      </c>
      <c r="BR81" s="20" t="n">
        <f aca="false">IF(BE81&gt;PR_BalDone,MIN(F_LoanPayM,BE81+BE81*(D_iL)),0)</f>
        <v>0</v>
      </c>
      <c r="BS81" s="20" t="n">
        <f aca="false">IF(BF81&gt;PR_BalDone,MIN(F_LoanPayM,BF81+BF81*(D_iL)),0)</f>
        <v>0</v>
      </c>
      <c r="BT81" s="20" t="n">
        <f aca="false">IF(BG81&gt;PR_BalDone,MIN(F_LoanPayM,BG81+BG81*(D_iL)),0)</f>
        <v>0</v>
      </c>
      <c r="BU81" s="20" t="n">
        <f aca="false">IF(BH81&gt;PR_BalDone,MIN(F_LoanPayM,BH81+BH81*(D_iL)),0)</f>
        <v>0</v>
      </c>
      <c r="BV81" s="20" t="n">
        <f aca="false">IF(BI81&gt;PR_BalDone,MIN(F_LoanPayM,BI81+BI81*(D_iL)),0)</f>
        <v>0</v>
      </c>
      <c r="BW81" s="20" t="n">
        <f aca="false">IF(BJ81&gt;PR_BalDone,MIN(F_LoanPayM,BJ81+BJ81*(D_iL)),0)</f>
        <v>0</v>
      </c>
      <c r="BX81" s="20" t="n">
        <f aca="false">IF(BK81&gt;PR_BalDone,MIN(F_LoanPayM,BK81+BK81*(D_iL)),0)</f>
        <v>0</v>
      </c>
      <c r="BY81" s="20" t="n">
        <f aca="false">IF(BL81&gt;PR_BalDone,MIN(F_LoanPayM,BL81+BL81*(D_iL)),0)</f>
        <v>0</v>
      </c>
      <c r="BZ81" s="20" t="n">
        <f aca="false">IF(BM81&gt;PR_BalDone,MIN(F_LoanPayM,BM81+BM81*(D_iL)),0)</f>
        <v>0</v>
      </c>
      <c r="CA81" s="20" t="n">
        <f aca="false">IF(BN81&gt;PR_BalDone,MIN(F_LoanPayM,BN81+BN81*(D_iL)),0)</f>
        <v>0</v>
      </c>
      <c r="CB81" s="20" t="n">
        <f aca="false">IF(BO81&gt;PR_BalDone,MIN(F_LoanPayM,BO81+BO81*(D_iL)),0)</f>
        <v>0</v>
      </c>
      <c r="CC81" s="20" t="n">
        <f aca="false">IF(BP81&gt;PR_BalDone,MIN(F_LoanPayM,BP81+BP81*(D_iL)),0)</f>
        <v>0</v>
      </c>
      <c r="CD81" s="20" t="n">
        <f aca="false">MAX(0,BQ81)</f>
        <v>0</v>
      </c>
      <c r="CE81" s="20" t="n">
        <f aca="false">SUM(BR81:CC81)</f>
        <v>0</v>
      </c>
      <c r="CF81" s="20" t="n">
        <f aca="false">IF(CF80&gt;1,DE80,CF80)</f>
        <v>0</v>
      </c>
      <c r="CG81" s="20" t="n">
        <f aca="false">IF(CF81&gt;PR_BalDone,CF81+CF81*(F_MR/12)-MIN(F_MortPayM,CF81+CF81*(F_MR/12)),CF81)</f>
        <v>0</v>
      </c>
      <c r="CH81" s="20" t="n">
        <f aca="false">IF(CG81&gt;PR_BalDone,CG81+CG81*(F_MR/12)-MIN(F_MortPayM,CG81+CG81*(F_MR/12)),CG81)</f>
        <v>0</v>
      </c>
      <c r="CI81" s="20" t="n">
        <f aca="false">IF(CH81&gt;PR_BalDone,CH81+CH81*(F_MR/12)-MIN(F_MortPayM,CH81+CH81*(F_MR/12)),CH81)</f>
        <v>0</v>
      </c>
      <c r="CJ81" s="20" t="n">
        <f aca="false">IF(CI81&gt;PR_BalDone,CI81+CI81*(F_MR/12)-MIN(F_MortPayM,CI81+CI81*(F_MR/12)),CI81)</f>
        <v>0</v>
      </c>
      <c r="CK81" s="20" t="n">
        <f aca="false">IF(CJ81&gt;PR_BalDone,CJ81+CJ81*(F_MR/12)-MIN(F_MortPayM,CJ81+CJ81*(F_MR/12)),CJ81)</f>
        <v>0</v>
      </c>
      <c r="CL81" s="20" t="n">
        <f aca="false">IF(CK81&gt;PR_BalDone,CK81+CK81*(F_MR/12)-MIN(F_MortPayM,CK81+CK81*(F_MR/12)),CK81)</f>
        <v>0</v>
      </c>
      <c r="CM81" s="20" t="n">
        <f aca="false">IF(CL81&gt;PR_BalDone,CL81+CL81*(F_MR/12)-MIN(F_MortPayM,CL81+CL81*(F_MR/12)),CL81)</f>
        <v>0</v>
      </c>
      <c r="CN81" s="20" t="n">
        <f aca="false">IF(CM81&gt;PR_BalDone,CM81+CM81*(F_MR/12)-MIN(F_MortPayM,CM81+CM81*(F_MR/12)),CM81)</f>
        <v>0</v>
      </c>
      <c r="CO81" s="20" t="n">
        <f aca="false">IF(CN81&gt;PR_BalDone,CN81+CN81*(F_MR/12)-MIN(F_MortPayM,CN81+CN81*(F_MR/12)),CN81)</f>
        <v>0</v>
      </c>
      <c r="CP81" s="20" t="n">
        <f aca="false">IF(CO81&gt;PR_BalDone,CO81+CO81*(F_MR/12)-MIN(F_MortPayM,CO81+CO81*(F_MR/12)),CO81)</f>
        <v>0</v>
      </c>
      <c r="CQ81" s="20" t="n">
        <f aca="false">IF(CP81&gt;PR_BalDone,CP81+CP81*(F_MR/12)-MIN(F_MortPayM,CP81+CP81*(F_MR/12)),CP81)</f>
        <v>0</v>
      </c>
      <c r="CR81" s="20" t="n">
        <f aca="false">IF(CQ81&gt;PR_BalDone,CQ81+CQ81*(F_MR/12)-MIN(F_MortPayM,CQ81+CQ81*(F_MR/12)),CQ81)</f>
        <v>0</v>
      </c>
      <c r="CS81" s="20" t="n">
        <f aca="false">IF(CF81&gt;PR_BalDone,MIN(F_MortPayM,CF81+CF81*(F_MR/12)),0)</f>
        <v>0</v>
      </c>
      <c r="CT81" s="20" t="n">
        <f aca="false">IF(CG81&gt;PR_BalDone,MIN(F_MortPayM,CG81+CG81*(F_MR/12)),0)</f>
        <v>0</v>
      </c>
      <c r="CU81" s="20" t="n">
        <f aca="false">IF(CH81&gt;PR_BalDone,MIN(F_MortPayM,CH81+CH81*(F_MR/12)),0)</f>
        <v>0</v>
      </c>
      <c r="CV81" s="20" t="n">
        <f aca="false">IF(CI81&gt;PR_BalDone,MIN(F_MortPayM,CI81+CI81*(F_MR/12)),0)</f>
        <v>0</v>
      </c>
      <c r="CW81" s="20" t="n">
        <f aca="false">IF(CJ81&gt;PR_BalDone,MIN(F_MortPayM,CJ81+CJ81*(F_MR/12)),0)</f>
        <v>0</v>
      </c>
      <c r="CX81" s="20" t="n">
        <f aca="false">IF(CK81&gt;PR_BalDone,MIN(F_MortPayM,CK81+CK81*(F_MR/12)),0)</f>
        <v>0</v>
      </c>
      <c r="CY81" s="20" t="n">
        <f aca="false">IF(CL81&gt;PR_BalDone,MIN(F_MortPayM,CL81+CL81*(F_MR/12)),0)</f>
        <v>0</v>
      </c>
      <c r="CZ81" s="20" t="n">
        <f aca="false">IF(CM81&gt;PR_BalDone,MIN(F_MortPayM,CM81+CM81*(F_MR/12)),0)</f>
        <v>0</v>
      </c>
      <c r="DA81" s="20" t="n">
        <f aca="false">IF(CN81&gt;PR_BalDone,MIN(F_MortPayM,CN81+CN81*(F_MR/12)),0)</f>
        <v>0</v>
      </c>
      <c r="DB81" s="20" t="n">
        <f aca="false">IF(CO81&gt;PR_BalDone,MIN(F_MortPayM,CO81+CO81*(F_MR/12)),0)</f>
        <v>0</v>
      </c>
      <c r="DC81" s="20" t="n">
        <f aca="false">IF(CP81&gt;PR_BalDone,MIN(F_MortPayM,CP81+CP81*(F_MR/12)),0)</f>
        <v>0</v>
      </c>
      <c r="DD81" s="20" t="n">
        <f aca="false">IF(CQ81&gt;PR_BalDone,MIN(F_MortPayM,CQ81+CQ81*(F_MR/12)),0)</f>
        <v>0</v>
      </c>
      <c r="DE81" s="20" t="n">
        <f aca="false">MAX(0,CR81)</f>
        <v>0</v>
      </c>
      <c r="DF81" s="20" t="n">
        <f aca="false">SUM(CS81:DD81)</f>
        <v>0</v>
      </c>
      <c r="DG81" s="20" t="n">
        <f aca="false">MAX(0,CF81)</f>
        <v>0</v>
      </c>
    </row>
    <row r="82" customFormat="false" ht="15" hidden="false" customHeight="true" outlineLevel="0" collapsed="false">
      <c r="B82" s="20" t="n">
        <v>74</v>
      </c>
      <c r="C82" s="20" t="n">
        <f aca="false">'Plan cashflow'!J82</f>
        <v>0</v>
      </c>
      <c r="D82" s="20" t="n">
        <f aca="false">IF(C82&gt;PR_BalDone,C82+C82*(F_MR/12)-MIN(F_MortPayM,C82+C82*(F_MR/12)),C82)</f>
        <v>0</v>
      </c>
      <c r="E82" s="20" t="n">
        <f aca="false">IF(D82&gt;PR_BalDone,D82+D82*(F_MR/12)-MIN(F_MortPayM,D82+D82*(F_MR/12)),D82)</f>
        <v>0</v>
      </c>
      <c r="F82" s="20" t="n">
        <f aca="false">IF(E82&gt;PR_BalDone,E82+E82*(F_MR/12)-MIN(F_MortPayM,E82+E82*(F_MR/12)),E82)</f>
        <v>0</v>
      </c>
      <c r="G82" s="20" t="n">
        <f aca="false">IF(F82&gt;PR_BalDone,F82+F82*(F_MR/12)-MIN(F_MortPayM,F82+F82*(F_MR/12)),F82)</f>
        <v>0</v>
      </c>
      <c r="H82" s="20" t="n">
        <f aca="false">IF(G82&gt;PR_BalDone,G82+G82*(F_MR/12)-MIN(F_MortPayM,G82+G82*(F_MR/12)),G82)</f>
        <v>0</v>
      </c>
      <c r="I82" s="20" t="n">
        <f aca="false">IF(H82&gt;PR_BalDone,H82+H82*(F_MR/12)-MIN(F_MortPayM,H82+H82*(F_MR/12)),H82)</f>
        <v>0</v>
      </c>
      <c r="J82" s="20" t="n">
        <f aca="false">IF(I82&gt;PR_BalDone,I82+I82*(F_MR/12)-MIN(F_MortPayM,I82+I82*(F_MR/12)),I82)</f>
        <v>0</v>
      </c>
      <c r="K82" s="20" t="n">
        <f aca="false">IF(J82&gt;PR_BalDone,J82+J82*(F_MR/12)-MIN(F_MortPayM,J82+J82*(F_MR/12)),J82)</f>
        <v>0</v>
      </c>
      <c r="L82" s="20" t="n">
        <f aca="false">IF(K82&gt;PR_BalDone,K82+K82*(F_MR/12)-MIN(F_MortPayM,K82+K82*(F_MR/12)),K82)</f>
        <v>0</v>
      </c>
      <c r="M82" s="20" t="n">
        <f aca="false">IF(L82&gt;PR_BalDone,L82+L82*(F_MR/12)-MIN(F_MortPayM,L82+L82*(F_MR/12)),L82)</f>
        <v>0</v>
      </c>
      <c r="N82" s="20" t="n">
        <f aca="false">IF(M82&gt;PR_BalDone,M82+M82*(F_MR/12)-MIN(F_MortPayM,M82+M82*(F_MR/12)),M82)</f>
        <v>0</v>
      </c>
      <c r="O82" s="20" t="n">
        <f aca="false">IF(N82&gt;PR_BalDone,N82+N82*(F_MR/12)-MIN(F_MortPayM,N82+N82*(F_MR/12)),N82)</f>
        <v>0</v>
      </c>
      <c r="P82" s="20" t="n">
        <f aca="false">IF(C82&gt;PR_BalDone,MIN(F_MortPayM,C82+C82*(F_MR/12)),0)</f>
        <v>0</v>
      </c>
      <c r="Q82" s="20" t="n">
        <f aca="false">IF(D82&gt;PR_BalDone,MIN(F_MortPayM,D82+D82*(F_MR/12)),0)</f>
        <v>0</v>
      </c>
      <c r="R82" s="20" t="n">
        <f aca="false">IF(E82&gt;PR_BalDone,MIN(F_MortPayM,E82+E82*(F_MR/12)),0)</f>
        <v>0</v>
      </c>
      <c r="S82" s="20" t="n">
        <f aca="false">IF(F82&gt;PR_BalDone,MIN(F_MortPayM,F82+F82*(F_MR/12)),0)</f>
        <v>0</v>
      </c>
      <c r="T82" s="20" t="n">
        <f aca="false">IF(G82&gt;PR_BalDone,MIN(F_MortPayM,G82+G82*(F_MR/12)),0)</f>
        <v>0</v>
      </c>
      <c r="U82" s="20" t="n">
        <f aca="false">IF(H82&gt;PR_BalDone,MIN(F_MortPayM,H82+H82*(F_MR/12)),0)</f>
        <v>0</v>
      </c>
      <c r="V82" s="20" t="n">
        <f aca="false">IF(I82&gt;PR_BalDone,MIN(F_MortPayM,I82+I82*(F_MR/12)),0)</f>
        <v>0</v>
      </c>
      <c r="W82" s="20" t="n">
        <f aca="false">IF(J82&gt;PR_BalDone,MIN(F_MortPayM,J82+J82*(F_MR/12)),0)</f>
        <v>0</v>
      </c>
      <c r="X82" s="20" t="n">
        <f aca="false">IF(K82&gt;PR_BalDone,MIN(F_MortPayM,K82+K82*(F_MR/12)),0)</f>
        <v>0</v>
      </c>
      <c r="Y82" s="20" t="n">
        <f aca="false">IF(L82&gt;PR_BalDone,MIN(F_MortPayM,L82+L82*(F_MR/12)),0)</f>
        <v>0</v>
      </c>
      <c r="Z82" s="20" t="n">
        <f aca="false">IF(M82&gt;PR_BalDone,MIN(F_MortPayM,M82+M82*(F_MR/12)),0)</f>
        <v>0</v>
      </c>
      <c r="AA82" s="20" t="n">
        <f aca="false">IF(N82&gt;PR_BalDone,MIN(F_MortPayM,N82+N82*(F_MR/12)),0)</f>
        <v>0</v>
      </c>
      <c r="AB82" s="20" t="n">
        <f aca="false">MAX(0,O82)</f>
        <v>0</v>
      </c>
      <c r="AC82" s="20" t="n">
        <f aca="false">SUM(P82:AA82)</f>
        <v>0</v>
      </c>
      <c r="AD82" s="20" t="n">
        <f aca="false">'Plan cashflow'!M82</f>
        <v>0</v>
      </c>
      <c r="AE82" s="20" t="n">
        <f aca="false">IF(AD82&gt;PR_BalDone,AD82+AD82*(D_iC)-MIN(F_CardPayM,AD82+AD82*(D_iC)),AD82)</f>
        <v>0</v>
      </c>
      <c r="AF82" s="20" t="n">
        <f aca="false">IF(AE82&gt;PR_BalDone,AE82+AE82*(D_iC)-MIN(F_CardPayM,AE82+AE82*(D_iC)),AE82)</f>
        <v>0</v>
      </c>
      <c r="AG82" s="20" t="n">
        <f aca="false">IF(AF82&gt;PR_BalDone,AF82+AF82*(D_iC)-MIN(F_CardPayM,AF82+AF82*(D_iC)),AF82)</f>
        <v>0</v>
      </c>
      <c r="AH82" s="20" t="n">
        <f aca="false">IF(AG82&gt;PR_BalDone,AG82+AG82*(D_iC)-MIN(F_CardPayM,AG82+AG82*(D_iC)),AG82)</f>
        <v>0</v>
      </c>
      <c r="AI82" s="20" t="n">
        <f aca="false">IF(AH82&gt;PR_BalDone,AH82+AH82*(D_iC)-MIN(F_CardPayM,AH82+AH82*(D_iC)),AH82)</f>
        <v>0</v>
      </c>
      <c r="AJ82" s="20" t="n">
        <f aca="false">IF(AI82&gt;PR_BalDone,AI82+AI82*(D_iC)-MIN(F_CardPayM,AI82+AI82*(D_iC)),AI82)</f>
        <v>0</v>
      </c>
      <c r="AK82" s="20" t="n">
        <f aca="false">IF(AJ82&gt;PR_BalDone,AJ82+AJ82*(D_iC)-MIN(F_CardPayM,AJ82+AJ82*(D_iC)),AJ82)</f>
        <v>0</v>
      </c>
      <c r="AL82" s="20" t="n">
        <f aca="false">IF(AK82&gt;PR_BalDone,AK82+AK82*(D_iC)-MIN(F_CardPayM,AK82+AK82*(D_iC)),AK82)</f>
        <v>0</v>
      </c>
      <c r="AM82" s="20" t="n">
        <f aca="false">IF(AL82&gt;PR_BalDone,AL82+AL82*(D_iC)-MIN(F_CardPayM,AL82+AL82*(D_iC)),AL82)</f>
        <v>0</v>
      </c>
      <c r="AN82" s="20" t="n">
        <f aca="false">IF(AM82&gt;PR_BalDone,AM82+AM82*(D_iC)-MIN(F_CardPayM,AM82+AM82*(D_iC)),AM82)</f>
        <v>0</v>
      </c>
      <c r="AO82" s="20" t="n">
        <f aca="false">IF(AN82&gt;PR_BalDone,AN82+AN82*(D_iC)-MIN(F_CardPayM,AN82+AN82*(D_iC)),AN82)</f>
        <v>0</v>
      </c>
      <c r="AP82" s="20" t="n">
        <f aca="false">IF(AO82&gt;PR_BalDone,AO82+AO82*(D_iC)-MIN(F_CardPayM,AO82+AO82*(D_iC)),AO82)</f>
        <v>0</v>
      </c>
      <c r="AQ82" s="20" t="n">
        <f aca="false">IF(AD82&gt;PR_BalDone,MIN(F_CardPayM,AD82+AD82*(D_iC)),0)</f>
        <v>0</v>
      </c>
      <c r="AR82" s="20" t="n">
        <f aca="false">IF(AE82&gt;PR_BalDone,MIN(F_CardPayM,AE82+AE82*(D_iC)),0)</f>
        <v>0</v>
      </c>
      <c r="AS82" s="20" t="n">
        <f aca="false">IF(AF82&gt;PR_BalDone,MIN(F_CardPayM,AF82+AF82*(D_iC)),0)</f>
        <v>0</v>
      </c>
      <c r="AT82" s="20" t="n">
        <f aca="false">IF(AG82&gt;PR_BalDone,MIN(F_CardPayM,AG82+AG82*(D_iC)),0)</f>
        <v>0</v>
      </c>
      <c r="AU82" s="20" t="n">
        <f aca="false">IF(AH82&gt;PR_BalDone,MIN(F_CardPayM,AH82+AH82*(D_iC)),0)</f>
        <v>0</v>
      </c>
      <c r="AV82" s="20" t="n">
        <f aca="false">IF(AI82&gt;PR_BalDone,MIN(F_CardPayM,AI82+AI82*(D_iC)),0)</f>
        <v>0</v>
      </c>
      <c r="AW82" s="20" t="n">
        <f aca="false">IF(AJ82&gt;PR_BalDone,MIN(F_CardPayM,AJ82+AJ82*(D_iC)),0)</f>
        <v>0</v>
      </c>
      <c r="AX82" s="20" t="n">
        <f aca="false">IF(AK82&gt;PR_BalDone,MIN(F_CardPayM,AK82+AK82*(D_iC)),0)</f>
        <v>0</v>
      </c>
      <c r="AY82" s="20" t="n">
        <f aca="false">IF(AL82&gt;PR_BalDone,MIN(F_CardPayM,AL82+AL82*(D_iC)),0)</f>
        <v>0</v>
      </c>
      <c r="AZ82" s="20" t="n">
        <f aca="false">IF(AM82&gt;PR_BalDone,MIN(F_CardPayM,AM82+AM82*(D_iC)),0)</f>
        <v>0</v>
      </c>
      <c r="BA82" s="20" t="n">
        <f aca="false">IF(AN82&gt;PR_BalDone,MIN(F_CardPayM,AN82+AN82*(D_iC)),0)</f>
        <v>0</v>
      </c>
      <c r="BB82" s="20" t="n">
        <f aca="false">IF(AO82&gt;PR_BalDone,MIN(F_CardPayM,AO82+AO82*(D_iC)),0)</f>
        <v>0</v>
      </c>
      <c r="BC82" s="20" t="n">
        <f aca="false">MAX(0,AP82)</f>
        <v>0</v>
      </c>
      <c r="BD82" s="20" t="n">
        <f aca="false">SUM(AQ82:BB82)</f>
        <v>0</v>
      </c>
      <c r="BE82" s="20" t="n">
        <f aca="false">'Plan cashflow'!P82</f>
        <v>0</v>
      </c>
      <c r="BF82" s="20" t="n">
        <f aca="false">IF(BE82&gt;PR_BalDone,BE82+BE82*(D_iL)-MIN(F_LoanPayM,BE82+BE82*(D_iL)),BE82)</f>
        <v>0</v>
      </c>
      <c r="BG82" s="20" t="n">
        <f aca="false">IF(BF82&gt;PR_BalDone,BF82+BF82*(D_iL)-MIN(F_LoanPayM,BF82+BF82*(D_iL)),BF82)</f>
        <v>0</v>
      </c>
      <c r="BH82" s="20" t="n">
        <f aca="false">IF(BG82&gt;PR_BalDone,BG82+BG82*(D_iL)-MIN(F_LoanPayM,BG82+BG82*(D_iL)),BG82)</f>
        <v>0</v>
      </c>
      <c r="BI82" s="20" t="n">
        <f aca="false">IF(BH82&gt;PR_BalDone,BH82+BH82*(D_iL)-MIN(F_LoanPayM,BH82+BH82*(D_iL)),BH82)</f>
        <v>0</v>
      </c>
      <c r="BJ82" s="20" t="n">
        <f aca="false">IF(BI82&gt;PR_BalDone,BI82+BI82*(D_iL)-MIN(F_LoanPayM,BI82+BI82*(D_iL)),BI82)</f>
        <v>0</v>
      </c>
      <c r="BK82" s="20" t="n">
        <f aca="false">IF(BJ82&gt;PR_BalDone,BJ82+BJ82*(D_iL)-MIN(F_LoanPayM,BJ82+BJ82*(D_iL)),BJ82)</f>
        <v>0</v>
      </c>
      <c r="BL82" s="20" t="n">
        <f aca="false">IF(BK82&gt;PR_BalDone,BK82+BK82*(D_iL)-MIN(F_LoanPayM,BK82+BK82*(D_iL)),BK82)</f>
        <v>0</v>
      </c>
      <c r="BM82" s="20" t="n">
        <f aca="false">IF(BL82&gt;PR_BalDone,BL82+BL82*(D_iL)-MIN(F_LoanPayM,BL82+BL82*(D_iL)),BL82)</f>
        <v>0</v>
      </c>
      <c r="BN82" s="20" t="n">
        <f aca="false">IF(BM82&gt;PR_BalDone,BM82+BM82*(D_iL)-MIN(F_LoanPayM,BM82+BM82*(D_iL)),BM82)</f>
        <v>0</v>
      </c>
      <c r="BO82" s="20" t="n">
        <f aca="false">IF(BN82&gt;PR_BalDone,BN82+BN82*(D_iL)-MIN(F_LoanPayM,BN82+BN82*(D_iL)),BN82)</f>
        <v>0</v>
      </c>
      <c r="BP82" s="20" t="n">
        <f aca="false">IF(BO82&gt;PR_BalDone,BO82+BO82*(D_iL)-MIN(F_LoanPayM,BO82+BO82*(D_iL)),BO82)</f>
        <v>0</v>
      </c>
      <c r="BQ82" s="20" t="n">
        <f aca="false">IF(BP82&gt;PR_BalDone,BP82+BP82*(D_iL)-MIN(F_LoanPayM,BP82+BP82*(D_iL)),BP82)</f>
        <v>0</v>
      </c>
      <c r="BR82" s="20" t="n">
        <f aca="false">IF(BE82&gt;PR_BalDone,MIN(F_LoanPayM,BE82+BE82*(D_iL)),0)</f>
        <v>0</v>
      </c>
      <c r="BS82" s="20" t="n">
        <f aca="false">IF(BF82&gt;PR_BalDone,MIN(F_LoanPayM,BF82+BF82*(D_iL)),0)</f>
        <v>0</v>
      </c>
      <c r="BT82" s="20" t="n">
        <f aca="false">IF(BG82&gt;PR_BalDone,MIN(F_LoanPayM,BG82+BG82*(D_iL)),0)</f>
        <v>0</v>
      </c>
      <c r="BU82" s="20" t="n">
        <f aca="false">IF(BH82&gt;PR_BalDone,MIN(F_LoanPayM,BH82+BH82*(D_iL)),0)</f>
        <v>0</v>
      </c>
      <c r="BV82" s="20" t="n">
        <f aca="false">IF(BI82&gt;PR_BalDone,MIN(F_LoanPayM,BI82+BI82*(D_iL)),0)</f>
        <v>0</v>
      </c>
      <c r="BW82" s="20" t="n">
        <f aca="false">IF(BJ82&gt;PR_BalDone,MIN(F_LoanPayM,BJ82+BJ82*(D_iL)),0)</f>
        <v>0</v>
      </c>
      <c r="BX82" s="20" t="n">
        <f aca="false">IF(BK82&gt;PR_BalDone,MIN(F_LoanPayM,BK82+BK82*(D_iL)),0)</f>
        <v>0</v>
      </c>
      <c r="BY82" s="20" t="n">
        <f aca="false">IF(BL82&gt;PR_BalDone,MIN(F_LoanPayM,BL82+BL82*(D_iL)),0)</f>
        <v>0</v>
      </c>
      <c r="BZ82" s="20" t="n">
        <f aca="false">IF(BM82&gt;PR_BalDone,MIN(F_LoanPayM,BM82+BM82*(D_iL)),0)</f>
        <v>0</v>
      </c>
      <c r="CA82" s="20" t="n">
        <f aca="false">IF(BN82&gt;PR_BalDone,MIN(F_LoanPayM,BN82+BN82*(D_iL)),0)</f>
        <v>0</v>
      </c>
      <c r="CB82" s="20" t="n">
        <f aca="false">IF(BO82&gt;PR_BalDone,MIN(F_LoanPayM,BO82+BO82*(D_iL)),0)</f>
        <v>0</v>
      </c>
      <c r="CC82" s="20" t="n">
        <f aca="false">IF(BP82&gt;PR_BalDone,MIN(F_LoanPayM,BP82+BP82*(D_iL)),0)</f>
        <v>0</v>
      </c>
      <c r="CD82" s="20" t="n">
        <f aca="false">MAX(0,BQ82)</f>
        <v>0</v>
      </c>
      <c r="CE82" s="20" t="n">
        <f aca="false">SUM(BR82:CC82)</f>
        <v>0</v>
      </c>
      <c r="CF82" s="20" t="n">
        <f aca="false">IF(CF81&gt;1,DE81,CF81)</f>
        <v>0</v>
      </c>
      <c r="CG82" s="20" t="n">
        <f aca="false">IF(CF82&gt;PR_BalDone,CF82+CF82*(F_MR/12)-MIN(F_MortPayM,CF82+CF82*(F_MR/12)),CF82)</f>
        <v>0</v>
      </c>
      <c r="CH82" s="20" t="n">
        <f aca="false">IF(CG82&gt;PR_BalDone,CG82+CG82*(F_MR/12)-MIN(F_MortPayM,CG82+CG82*(F_MR/12)),CG82)</f>
        <v>0</v>
      </c>
      <c r="CI82" s="20" t="n">
        <f aca="false">IF(CH82&gt;PR_BalDone,CH82+CH82*(F_MR/12)-MIN(F_MortPayM,CH82+CH82*(F_MR/12)),CH82)</f>
        <v>0</v>
      </c>
      <c r="CJ82" s="20" t="n">
        <f aca="false">IF(CI82&gt;PR_BalDone,CI82+CI82*(F_MR/12)-MIN(F_MortPayM,CI82+CI82*(F_MR/12)),CI82)</f>
        <v>0</v>
      </c>
      <c r="CK82" s="20" t="n">
        <f aca="false">IF(CJ82&gt;PR_BalDone,CJ82+CJ82*(F_MR/12)-MIN(F_MortPayM,CJ82+CJ82*(F_MR/12)),CJ82)</f>
        <v>0</v>
      </c>
      <c r="CL82" s="20" t="n">
        <f aca="false">IF(CK82&gt;PR_BalDone,CK82+CK82*(F_MR/12)-MIN(F_MortPayM,CK82+CK82*(F_MR/12)),CK82)</f>
        <v>0</v>
      </c>
      <c r="CM82" s="20" t="n">
        <f aca="false">IF(CL82&gt;PR_BalDone,CL82+CL82*(F_MR/12)-MIN(F_MortPayM,CL82+CL82*(F_MR/12)),CL82)</f>
        <v>0</v>
      </c>
      <c r="CN82" s="20" t="n">
        <f aca="false">IF(CM82&gt;PR_BalDone,CM82+CM82*(F_MR/12)-MIN(F_MortPayM,CM82+CM82*(F_MR/12)),CM82)</f>
        <v>0</v>
      </c>
      <c r="CO82" s="20" t="n">
        <f aca="false">IF(CN82&gt;PR_BalDone,CN82+CN82*(F_MR/12)-MIN(F_MortPayM,CN82+CN82*(F_MR/12)),CN82)</f>
        <v>0</v>
      </c>
      <c r="CP82" s="20" t="n">
        <f aca="false">IF(CO82&gt;PR_BalDone,CO82+CO82*(F_MR/12)-MIN(F_MortPayM,CO82+CO82*(F_MR/12)),CO82)</f>
        <v>0</v>
      </c>
      <c r="CQ82" s="20" t="n">
        <f aca="false">IF(CP82&gt;PR_BalDone,CP82+CP82*(F_MR/12)-MIN(F_MortPayM,CP82+CP82*(F_MR/12)),CP82)</f>
        <v>0</v>
      </c>
      <c r="CR82" s="20" t="n">
        <f aca="false">IF(CQ82&gt;PR_BalDone,CQ82+CQ82*(F_MR/12)-MIN(F_MortPayM,CQ82+CQ82*(F_MR/12)),CQ82)</f>
        <v>0</v>
      </c>
      <c r="CS82" s="20" t="n">
        <f aca="false">IF(CF82&gt;PR_BalDone,MIN(F_MortPayM,CF82+CF82*(F_MR/12)),0)</f>
        <v>0</v>
      </c>
      <c r="CT82" s="20" t="n">
        <f aca="false">IF(CG82&gt;PR_BalDone,MIN(F_MortPayM,CG82+CG82*(F_MR/12)),0)</f>
        <v>0</v>
      </c>
      <c r="CU82" s="20" t="n">
        <f aca="false">IF(CH82&gt;PR_BalDone,MIN(F_MortPayM,CH82+CH82*(F_MR/12)),0)</f>
        <v>0</v>
      </c>
      <c r="CV82" s="20" t="n">
        <f aca="false">IF(CI82&gt;PR_BalDone,MIN(F_MortPayM,CI82+CI82*(F_MR/12)),0)</f>
        <v>0</v>
      </c>
      <c r="CW82" s="20" t="n">
        <f aca="false">IF(CJ82&gt;PR_BalDone,MIN(F_MortPayM,CJ82+CJ82*(F_MR/12)),0)</f>
        <v>0</v>
      </c>
      <c r="CX82" s="20" t="n">
        <f aca="false">IF(CK82&gt;PR_BalDone,MIN(F_MortPayM,CK82+CK82*(F_MR/12)),0)</f>
        <v>0</v>
      </c>
      <c r="CY82" s="20" t="n">
        <f aca="false">IF(CL82&gt;PR_BalDone,MIN(F_MortPayM,CL82+CL82*(F_MR/12)),0)</f>
        <v>0</v>
      </c>
      <c r="CZ82" s="20" t="n">
        <f aca="false">IF(CM82&gt;PR_BalDone,MIN(F_MortPayM,CM82+CM82*(F_MR/12)),0)</f>
        <v>0</v>
      </c>
      <c r="DA82" s="20" t="n">
        <f aca="false">IF(CN82&gt;PR_BalDone,MIN(F_MortPayM,CN82+CN82*(F_MR/12)),0)</f>
        <v>0</v>
      </c>
      <c r="DB82" s="20" t="n">
        <f aca="false">IF(CO82&gt;PR_BalDone,MIN(F_MortPayM,CO82+CO82*(F_MR/12)),0)</f>
        <v>0</v>
      </c>
      <c r="DC82" s="20" t="n">
        <f aca="false">IF(CP82&gt;PR_BalDone,MIN(F_MortPayM,CP82+CP82*(F_MR/12)),0)</f>
        <v>0</v>
      </c>
      <c r="DD82" s="20" t="n">
        <f aca="false">IF(CQ82&gt;PR_BalDone,MIN(F_MortPayM,CQ82+CQ82*(F_MR/12)),0)</f>
        <v>0</v>
      </c>
      <c r="DE82" s="20" t="n">
        <f aca="false">MAX(0,CR82)</f>
        <v>0</v>
      </c>
      <c r="DF82" s="20" t="n">
        <f aca="false">SUM(CS82:DD82)</f>
        <v>0</v>
      </c>
      <c r="DG82" s="20" t="n">
        <f aca="false">MAX(0,CF82)</f>
        <v>0</v>
      </c>
    </row>
    <row r="83" customFormat="false" ht="15" hidden="false" customHeight="true" outlineLevel="0" collapsed="false">
      <c r="B83" s="20" t="n">
        <v>75</v>
      </c>
      <c r="C83" s="20" t="n">
        <f aca="false">'Plan cashflow'!J83</f>
        <v>0</v>
      </c>
      <c r="D83" s="20" t="n">
        <f aca="false">IF(C83&gt;PR_BalDone,C83+C83*(F_MR/12)-MIN(F_MortPayM,C83+C83*(F_MR/12)),C83)</f>
        <v>0</v>
      </c>
      <c r="E83" s="20" t="n">
        <f aca="false">IF(D83&gt;PR_BalDone,D83+D83*(F_MR/12)-MIN(F_MortPayM,D83+D83*(F_MR/12)),D83)</f>
        <v>0</v>
      </c>
      <c r="F83" s="20" t="n">
        <f aca="false">IF(E83&gt;PR_BalDone,E83+E83*(F_MR/12)-MIN(F_MortPayM,E83+E83*(F_MR/12)),E83)</f>
        <v>0</v>
      </c>
      <c r="G83" s="20" t="n">
        <f aca="false">IF(F83&gt;PR_BalDone,F83+F83*(F_MR/12)-MIN(F_MortPayM,F83+F83*(F_MR/12)),F83)</f>
        <v>0</v>
      </c>
      <c r="H83" s="20" t="n">
        <f aca="false">IF(G83&gt;PR_BalDone,G83+G83*(F_MR/12)-MIN(F_MortPayM,G83+G83*(F_MR/12)),G83)</f>
        <v>0</v>
      </c>
      <c r="I83" s="20" t="n">
        <f aca="false">IF(H83&gt;PR_BalDone,H83+H83*(F_MR/12)-MIN(F_MortPayM,H83+H83*(F_MR/12)),H83)</f>
        <v>0</v>
      </c>
      <c r="J83" s="20" t="n">
        <f aca="false">IF(I83&gt;PR_BalDone,I83+I83*(F_MR/12)-MIN(F_MortPayM,I83+I83*(F_MR/12)),I83)</f>
        <v>0</v>
      </c>
      <c r="K83" s="20" t="n">
        <f aca="false">IF(J83&gt;PR_BalDone,J83+J83*(F_MR/12)-MIN(F_MortPayM,J83+J83*(F_MR/12)),J83)</f>
        <v>0</v>
      </c>
      <c r="L83" s="20" t="n">
        <f aca="false">IF(K83&gt;PR_BalDone,K83+K83*(F_MR/12)-MIN(F_MortPayM,K83+K83*(F_MR/12)),K83)</f>
        <v>0</v>
      </c>
      <c r="M83" s="20" t="n">
        <f aca="false">IF(L83&gt;PR_BalDone,L83+L83*(F_MR/12)-MIN(F_MortPayM,L83+L83*(F_MR/12)),L83)</f>
        <v>0</v>
      </c>
      <c r="N83" s="20" t="n">
        <f aca="false">IF(M83&gt;PR_BalDone,M83+M83*(F_MR/12)-MIN(F_MortPayM,M83+M83*(F_MR/12)),M83)</f>
        <v>0</v>
      </c>
      <c r="O83" s="20" t="n">
        <f aca="false">IF(N83&gt;PR_BalDone,N83+N83*(F_MR/12)-MIN(F_MortPayM,N83+N83*(F_MR/12)),N83)</f>
        <v>0</v>
      </c>
      <c r="P83" s="20" t="n">
        <f aca="false">IF(C83&gt;PR_BalDone,MIN(F_MortPayM,C83+C83*(F_MR/12)),0)</f>
        <v>0</v>
      </c>
      <c r="Q83" s="20" t="n">
        <f aca="false">IF(D83&gt;PR_BalDone,MIN(F_MortPayM,D83+D83*(F_MR/12)),0)</f>
        <v>0</v>
      </c>
      <c r="R83" s="20" t="n">
        <f aca="false">IF(E83&gt;PR_BalDone,MIN(F_MortPayM,E83+E83*(F_MR/12)),0)</f>
        <v>0</v>
      </c>
      <c r="S83" s="20" t="n">
        <f aca="false">IF(F83&gt;PR_BalDone,MIN(F_MortPayM,F83+F83*(F_MR/12)),0)</f>
        <v>0</v>
      </c>
      <c r="T83" s="20" t="n">
        <f aca="false">IF(G83&gt;PR_BalDone,MIN(F_MortPayM,G83+G83*(F_MR/12)),0)</f>
        <v>0</v>
      </c>
      <c r="U83" s="20" t="n">
        <f aca="false">IF(H83&gt;PR_BalDone,MIN(F_MortPayM,H83+H83*(F_MR/12)),0)</f>
        <v>0</v>
      </c>
      <c r="V83" s="20" t="n">
        <f aca="false">IF(I83&gt;PR_BalDone,MIN(F_MortPayM,I83+I83*(F_MR/12)),0)</f>
        <v>0</v>
      </c>
      <c r="W83" s="20" t="n">
        <f aca="false">IF(J83&gt;PR_BalDone,MIN(F_MortPayM,J83+J83*(F_MR/12)),0)</f>
        <v>0</v>
      </c>
      <c r="X83" s="20" t="n">
        <f aca="false">IF(K83&gt;PR_BalDone,MIN(F_MortPayM,K83+K83*(F_MR/12)),0)</f>
        <v>0</v>
      </c>
      <c r="Y83" s="20" t="n">
        <f aca="false">IF(L83&gt;PR_BalDone,MIN(F_MortPayM,L83+L83*(F_MR/12)),0)</f>
        <v>0</v>
      </c>
      <c r="Z83" s="20" t="n">
        <f aca="false">IF(M83&gt;PR_BalDone,MIN(F_MortPayM,M83+M83*(F_MR/12)),0)</f>
        <v>0</v>
      </c>
      <c r="AA83" s="20" t="n">
        <f aca="false">IF(N83&gt;PR_BalDone,MIN(F_MortPayM,N83+N83*(F_MR/12)),0)</f>
        <v>0</v>
      </c>
      <c r="AB83" s="20" t="n">
        <f aca="false">MAX(0,O83)</f>
        <v>0</v>
      </c>
      <c r="AC83" s="20" t="n">
        <f aca="false">SUM(P83:AA83)</f>
        <v>0</v>
      </c>
      <c r="AD83" s="20" t="n">
        <f aca="false">'Plan cashflow'!M83</f>
        <v>0</v>
      </c>
      <c r="AE83" s="20" t="n">
        <f aca="false">IF(AD83&gt;PR_BalDone,AD83+AD83*(D_iC)-MIN(F_CardPayM,AD83+AD83*(D_iC)),AD83)</f>
        <v>0</v>
      </c>
      <c r="AF83" s="20" t="n">
        <f aca="false">IF(AE83&gt;PR_BalDone,AE83+AE83*(D_iC)-MIN(F_CardPayM,AE83+AE83*(D_iC)),AE83)</f>
        <v>0</v>
      </c>
      <c r="AG83" s="20" t="n">
        <f aca="false">IF(AF83&gt;PR_BalDone,AF83+AF83*(D_iC)-MIN(F_CardPayM,AF83+AF83*(D_iC)),AF83)</f>
        <v>0</v>
      </c>
      <c r="AH83" s="20" t="n">
        <f aca="false">IF(AG83&gt;PR_BalDone,AG83+AG83*(D_iC)-MIN(F_CardPayM,AG83+AG83*(D_iC)),AG83)</f>
        <v>0</v>
      </c>
      <c r="AI83" s="20" t="n">
        <f aca="false">IF(AH83&gt;PR_BalDone,AH83+AH83*(D_iC)-MIN(F_CardPayM,AH83+AH83*(D_iC)),AH83)</f>
        <v>0</v>
      </c>
      <c r="AJ83" s="20" t="n">
        <f aca="false">IF(AI83&gt;PR_BalDone,AI83+AI83*(D_iC)-MIN(F_CardPayM,AI83+AI83*(D_iC)),AI83)</f>
        <v>0</v>
      </c>
      <c r="AK83" s="20" t="n">
        <f aca="false">IF(AJ83&gt;PR_BalDone,AJ83+AJ83*(D_iC)-MIN(F_CardPayM,AJ83+AJ83*(D_iC)),AJ83)</f>
        <v>0</v>
      </c>
      <c r="AL83" s="20" t="n">
        <f aca="false">IF(AK83&gt;PR_BalDone,AK83+AK83*(D_iC)-MIN(F_CardPayM,AK83+AK83*(D_iC)),AK83)</f>
        <v>0</v>
      </c>
      <c r="AM83" s="20" t="n">
        <f aca="false">IF(AL83&gt;PR_BalDone,AL83+AL83*(D_iC)-MIN(F_CardPayM,AL83+AL83*(D_iC)),AL83)</f>
        <v>0</v>
      </c>
      <c r="AN83" s="20" t="n">
        <f aca="false">IF(AM83&gt;PR_BalDone,AM83+AM83*(D_iC)-MIN(F_CardPayM,AM83+AM83*(D_iC)),AM83)</f>
        <v>0</v>
      </c>
      <c r="AO83" s="20" t="n">
        <f aca="false">IF(AN83&gt;PR_BalDone,AN83+AN83*(D_iC)-MIN(F_CardPayM,AN83+AN83*(D_iC)),AN83)</f>
        <v>0</v>
      </c>
      <c r="AP83" s="20" t="n">
        <f aca="false">IF(AO83&gt;PR_BalDone,AO83+AO83*(D_iC)-MIN(F_CardPayM,AO83+AO83*(D_iC)),AO83)</f>
        <v>0</v>
      </c>
      <c r="AQ83" s="20" t="n">
        <f aca="false">IF(AD83&gt;PR_BalDone,MIN(F_CardPayM,AD83+AD83*(D_iC)),0)</f>
        <v>0</v>
      </c>
      <c r="AR83" s="20" t="n">
        <f aca="false">IF(AE83&gt;PR_BalDone,MIN(F_CardPayM,AE83+AE83*(D_iC)),0)</f>
        <v>0</v>
      </c>
      <c r="AS83" s="20" t="n">
        <f aca="false">IF(AF83&gt;PR_BalDone,MIN(F_CardPayM,AF83+AF83*(D_iC)),0)</f>
        <v>0</v>
      </c>
      <c r="AT83" s="20" t="n">
        <f aca="false">IF(AG83&gt;PR_BalDone,MIN(F_CardPayM,AG83+AG83*(D_iC)),0)</f>
        <v>0</v>
      </c>
      <c r="AU83" s="20" t="n">
        <f aca="false">IF(AH83&gt;PR_BalDone,MIN(F_CardPayM,AH83+AH83*(D_iC)),0)</f>
        <v>0</v>
      </c>
      <c r="AV83" s="20" t="n">
        <f aca="false">IF(AI83&gt;PR_BalDone,MIN(F_CardPayM,AI83+AI83*(D_iC)),0)</f>
        <v>0</v>
      </c>
      <c r="AW83" s="20" t="n">
        <f aca="false">IF(AJ83&gt;PR_BalDone,MIN(F_CardPayM,AJ83+AJ83*(D_iC)),0)</f>
        <v>0</v>
      </c>
      <c r="AX83" s="20" t="n">
        <f aca="false">IF(AK83&gt;PR_BalDone,MIN(F_CardPayM,AK83+AK83*(D_iC)),0)</f>
        <v>0</v>
      </c>
      <c r="AY83" s="20" t="n">
        <f aca="false">IF(AL83&gt;PR_BalDone,MIN(F_CardPayM,AL83+AL83*(D_iC)),0)</f>
        <v>0</v>
      </c>
      <c r="AZ83" s="20" t="n">
        <f aca="false">IF(AM83&gt;PR_BalDone,MIN(F_CardPayM,AM83+AM83*(D_iC)),0)</f>
        <v>0</v>
      </c>
      <c r="BA83" s="20" t="n">
        <f aca="false">IF(AN83&gt;PR_BalDone,MIN(F_CardPayM,AN83+AN83*(D_iC)),0)</f>
        <v>0</v>
      </c>
      <c r="BB83" s="20" t="n">
        <f aca="false">IF(AO83&gt;PR_BalDone,MIN(F_CardPayM,AO83+AO83*(D_iC)),0)</f>
        <v>0</v>
      </c>
      <c r="BC83" s="20" t="n">
        <f aca="false">MAX(0,AP83)</f>
        <v>0</v>
      </c>
      <c r="BD83" s="20" t="n">
        <f aca="false">SUM(AQ83:BB83)</f>
        <v>0</v>
      </c>
      <c r="BE83" s="20" t="n">
        <f aca="false">'Plan cashflow'!P83</f>
        <v>0</v>
      </c>
      <c r="BF83" s="20" t="n">
        <f aca="false">IF(BE83&gt;PR_BalDone,BE83+BE83*(D_iL)-MIN(F_LoanPayM,BE83+BE83*(D_iL)),BE83)</f>
        <v>0</v>
      </c>
      <c r="BG83" s="20" t="n">
        <f aca="false">IF(BF83&gt;PR_BalDone,BF83+BF83*(D_iL)-MIN(F_LoanPayM,BF83+BF83*(D_iL)),BF83)</f>
        <v>0</v>
      </c>
      <c r="BH83" s="20" t="n">
        <f aca="false">IF(BG83&gt;PR_BalDone,BG83+BG83*(D_iL)-MIN(F_LoanPayM,BG83+BG83*(D_iL)),BG83)</f>
        <v>0</v>
      </c>
      <c r="BI83" s="20" t="n">
        <f aca="false">IF(BH83&gt;PR_BalDone,BH83+BH83*(D_iL)-MIN(F_LoanPayM,BH83+BH83*(D_iL)),BH83)</f>
        <v>0</v>
      </c>
      <c r="BJ83" s="20" t="n">
        <f aca="false">IF(BI83&gt;PR_BalDone,BI83+BI83*(D_iL)-MIN(F_LoanPayM,BI83+BI83*(D_iL)),BI83)</f>
        <v>0</v>
      </c>
      <c r="BK83" s="20" t="n">
        <f aca="false">IF(BJ83&gt;PR_BalDone,BJ83+BJ83*(D_iL)-MIN(F_LoanPayM,BJ83+BJ83*(D_iL)),BJ83)</f>
        <v>0</v>
      </c>
      <c r="BL83" s="20" t="n">
        <f aca="false">IF(BK83&gt;PR_BalDone,BK83+BK83*(D_iL)-MIN(F_LoanPayM,BK83+BK83*(D_iL)),BK83)</f>
        <v>0</v>
      </c>
      <c r="BM83" s="20" t="n">
        <f aca="false">IF(BL83&gt;PR_BalDone,BL83+BL83*(D_iL)-MIN(F_LoanPayM,BL83+BL83*(D_iL)),BL83)</f>
        <v>0</v>
      </c>
      <c r="BN83" s="20" t="n">
        <f aca="false">IF(BM83&gt;PR_BalDone,BM83+BM83*(D_iL)-MIN(F_LoanPayM,BM83+BM83*(D_iL)),BM83)</f>
        <v>0</v>
      </c>
      <c r="BO83" s="20" t="n">
        <f aca="false">IF(BN83&gt;PR_BalDone,BN83+BN83*(D_iL)-MIN(F_LoanPayM,BN83+BN83*(D_iL)),BN83)</f>
        <v>0</v>
      </c>
      <c r="BP83" s="20" t="n">
        <f aca="false">IF(BO83&gt;PR_BalDone,BO83+BO83*(D_iL)-MIN(F_LoanPayM,BO83+BO83*(D_iL)),BO83)</f>
        <v>0</v>
      </c>
      <c r="BQ83" s="20" t="n">
        <f aca="false">IF(BP83&gt;PR_BalDone,BP83+BP83*(D_iL)-MIN(F_LoanPayM,BP83+BP83*(D_iL)),BP83)</f>
        <v>0</v>
      </c>
      <c r="BR83" s="20" t="n">
        <f aca="false">IF(BE83&gt;PR_BalDone,MIN(F_LoanPayM,BE83+BE83*(D_iL)),0)</f>
        <v>0</v>
      </c>
      <c r="BS83" s="20" t="n">
        <f aca="false">IF(BF83&gt;PR_BalDone,MIN(F_LoanPayM,BF83+BF83*(D_iL)),0)</f>
        <v>0</v>
      </c>
      <c r="BT83" s="20" t="n">
        <f aca="false">IF(BG83&gt;PR_BalDone,MIN(F_LoanPayM,BG83+BG83*(D_iL)),0)</f>
        <v>0</v>
      </c>
      <c r="BU83" s="20" t="n">
        <f aca="false">IF(BH83&gt;PR_BalDone,MIN(F_LoanPayM,BH83+BH83*(D_iL)),0)</f>
        <v>0</v>
      </c>
      <c r="BV83" s="20" t="n">
        <f aca="false">IF(BI83&gt;PR_BalDone,MIN(F_LoanPayM,BI83+BI83*(D_iL)),0)</f>
        <v>0</v>
      </c>
      <c r="BW83" s="20" t="n">
        <f aca="false">IF(BJ83&gt;PR_BalDone,MIN(F_LoanPayM,BJ83+BJ83*(D_iL)),0)</f>
        <v>0</v>
      </c>
      <c r="BX83" s="20" t="n">
        <f aca="false">IF(BK83&gt;PR_BalDone,MIN(F_LoanPayM,BK83+BK83*(D_iL)),0)</f>
        <v>0</v>
      </c>
      <c r="BY83" s="20" t="n">
        <f aca="false">IF(BL83&gt;PR_BalDone,MIN(F_LoanPayM,BL83+BL83*(D_iL)),0)</f>
        <v>0</v>
      </c>
      <c r="BZ83" s="20" t="n">
        <f aca="false">IF(BM83&gt;PR_BalDone,MIN(F_LoanPayM,BM83+BM83*(D_iL)),0)</f>
        <v>0</v>
      </c>
      <c r="CA83" s="20" t="n">
        <f aca="false">IF(BN83&gt;PR_BalDone,MIN(F_LoanPayM,BN83+BN83*(D_iL)),0)</f>
        <v>0</v>
      </c>
      <c r="CB83" s="20" t="n">
        <f aca="false">IF(BO83&gt;PR_BalDone,MIN(F_LoanPayM,BO83+BO83*(D_iL)),0)</f>
        <v>0</v>
      </c>
      <c r="CC83" s="20" t="n">
        <f aca="false">IF(BP83&gt;PR_BalDone,MIN(F_LoanPayM,BP83+BP83*(D_iL)),0)</f>
        <v>0</v>
      </c>
      <c r="CD83" s="20" t="n">
        <f aca="false">MAX(0,BQ83)</f>
        <v>0</v>
      </c>
      <c r="CE83" s="20" t="n">
        <f aca="false">SUM(BR83:CC83)</f>
        <v>0</v>
      </c>
      <c r="CF83" s="20" t="n">
        <f aca="false">IF(CF82&gt;1,DE82,CF82)</f>
        <v>0</v>
      </c>
      <c r="CG83" s="20" t="n">
        <f aca="false">IF(CF83&gt;PR_BalDone,CF83+CF83*(F_MR/12)-MIN(F_MortPayM,CF83+CF83*(F_MR/12)),CF83)</f>
        <v>0</v>
      </c>
      <c r="CH83" s="20" t="n">
        <f aca="false">IF(CG83&gt;PR_BalDone,CG83+CG83*(F_MR/12)-MIN(F_MortPayM,CG83+CG83*(F_MR/12)),CG83)</f>
        <v>0</v>
      </c>
      <c r="CI83" s="20" t="n">
        <f aca="false">IF(CH83&gt;PR_BalDone,CH83+CH83*(F_MR/12)-MIN(F_MortPayM,CH83+CH83*(F_MR/12)),CH83)</f>
        <v>0</v>
      </c>
      <c r="CJ83" s="20" t="n">
        <f aca="false">IF(CI83&gt;PR_BalDone,CI83+CI83*(F_MR/12)-MIN(F_MortPayM,CI83+CI83*(F_MR/12)),CI83)</f>
        <v>0</v>
      </c>
      <c r="CK83" s="20" t="n">
        <f aca="false">IF(CJ83&gt;PR_BalDone,CJ83+CJ83*(F_MR/12)-MIN(F_MortPayM,CJ83+CJ83*(F_MR/12)),CJ83)</f>
        <v>0</v>
      </c>
      <c r="CL83" s="20" t="n">
        <f aca="false">IF(CK83&gt;PR_BalDone,CK83+CK83*(F_MR/12)-MIN(F_MortPayM,CK83+CK83*(F_MR/12)),CK83)</f>
        <v>0</v>
      </c>
      <c r="CM83" s="20" t="n">
        <f aca="false">IF(CL83&gt;PR_BalDone,CL83+CL83*(F_MR/12)-MIN(F_MortPayM,CL83+CL83*(F_MR/12)),CL83)</f>
        <v>0</v>
      </c>
      <c r="CN83" s="20" t="n">
        <f aca="false">IF(CM83&gt;PR_BalDone,CM83+CM83*(F_MR/12)-MIN(F_MortPayM,CM83+CM83*(F_MR/12)),CM83)</f>
        <v>0</v>
      </c>
      <c r="CO83" s="20" t="n">
        <f aca="false">IF(CN83&gt;PR_BalDone,CN83+CN83*(F_MR/12)-MIN(F_MortPayM,CN83+CN83*(F_MR/12)),CN83)</f>
        <v>0</v>
      </c>
      <c r="CP83" s="20" t="n">
        <f aca="false">IF(CO83&gt;PR_BalDone,CO83+CO83*(F_MR/12)-MIN(F_MortPayM,CO83+CO83*(F_MR/12)),CO83)</f>
        <v>0</v>
      </c>
      <c r="CQ83" s="20" t="n">
        <f aca="false">IF(CP83&gt;PR_BalDone,CP83+CP83*(F_MR/12)-MIN(F_MortPayM,CP83+CP83*(F_MR/12)),CP83)</f>
        <v>0</v>
      </c>
      <c r="CR83" s="20" t="n">
        <f aca="false">IF(CQ83&gt;PR_BalDone,CQ83+CQ83*(F_MR/12)-MIN(F_MortPayM,CQ83+CQ83*(F_MR/12)),CQ83)</f>
        <v>0</v>
      </c>
      <c r="CS83" s="20" t="n">
        <f aca="false">IF(CF83&gt;PR_BalDone,MIN(F_MortPayM,CF83+CF83*(F_MR/12)),0)</f>
        <v>0</v>
      </c>
      <c r="CT83" s="20" t="n">
        <f aca="false">IF(CG83&gt;PR_BalDone,MIN(F_MortPayM,CG83+CG83*(F_MR/12)),0)</f>
        <v>0</v>
      </c>
      <c r="CU83" s="20" t="n">
        <f aca="false">IF(CH83&gt;PR_BalDone,MIN(F_MortPayM,CH83+CH83*(F_MR/12)),0)</f>
        <v>0</v>
      </c>
      <c r="CV83" s="20" t="n">
        <f aca="false">IF(CI83&gt;PR_BalDone,MIN(F_MortPayM,CI83+CI83*(F_MR/12)),0)</f>
        <v>0</v>
      </c>
      <c r="CW83" s="20" t="n">
        <f aca="false">IF(CJ83&gt;PR_BalDone,MIN(F_MortPayM,CJ83+CJ83*(F_MR/12)),0)</f>
        <v>0</v>
      </c>
      <c r="CX83" s="20" t="n">
        <f aca="false">IF(CK83&gt;PR_BalDone,MIN(F_MortPayM,CK83+CK83*(F_MR/12)),0)</f>
        <v>0</v>
      </c>
      <c r="CY83" s="20" t="n">
        <f aca="false">IF(CL83&gt;PR_BalDone,MIN(F_MortPayM,CL83+CL83*(F_MR/12)),0)</f>
        <v>0</v>
      </c>
      <c r="CZ83" s="20" t="n">
        <f aca="false">IF(CM83&gt;PR_BalDone,MIN(F_MortPayM,CM83+CM83*(F_MR/12)),0)</f>
        <v>0</v>
      </c>
      <c r="DA83" s="20" t="n">
        <f aca="false">IF(CN83&gt;PR_BalDone,MIN(F_MortPayM,CN83+CN83*(F_MR/12)),0)</f>
        <v>0</v>
      </c>
      <c r="DB83" s="20" t="n">
        <f aca="false">IF(CO83&gt;PR_BalDone,MIN(F_MortPayM,CO83+CO83*(F_MR/12)),0)</f>
        <v>0</v>
      </c>
      <c r="DC83" s="20" t="n">
        <f aca="false">IF(CP83&gt;PR_BalDone,MIN(F_MortPayM,CP83+CP83*(F_MR/12)),0)</f>
        <v>0</v>
      </c>
      <c r="DD83" s="20" t="n">
        <f aca="false">IF(CQ83&gt;PR_BalDone,MIN(F_MortPayM,CQ83+CQ83*(F_MR/12)),0)</f>
        <v>0</v>
      </c>
      <c r="DE83" s="20" t="n">
        <f aca="false">MAX(0,CR83)</f>
        <v>0</v>
      </c>
      <c r="DF83" s="20" t="n">
        <f aca="false">SUM(CS83:DD83)</f>
        <v>0</v>
      </c>
      <c r="DG83" s="20" t="n">
        <f aca="false">MAX(0,CF83)</f>
        <v>0</v>
      </c>
    </row>
    <row r="84" customFormat="false" ht="15" hidden="false" customHeight="true" outlineLevel="0" collapsed="false">
      <c r="B84" s="20" t="n">
        <v>76</v>
      </c>
      <c r="C84" s="20" t="n">
        <f aca="false">'Plan cashflow'!J84</f>
        <v>0</v>
      </c>
      <c r="D84" s="20" t="n">
        <f aca="false">IF(C84&gt;PR_BalDone,C84+C84*(F_MR/12)-MIN(F_MortPayM,C84+C84*(F_MR/12)),C84)</f>
        <v>0</v>
      </c>
      <c r="E84" s="20" t="n">
        <f aca="false">IF(D84&gt;PR_BalDone,D84+D84*(F_MR/12)-MIN(F_MortPayM,D84+D84*(F_MR/12)),D84)</f>
        <v>0</v>
      </c>
      <c r="F84" s="20" t="n">
        <f aca="false">IF(E84&gt;PR_BalDone,E84+E84*(F_MR/12)-MIN(F_MortPayM,E84+E84*(F_MR/12)),E84)</f>
        <v>0</v>
      </c>
      <c r="G84" s="20" t="n">
        <f aca="false">IF(F84&gt;PR_BalDone,F84+F84*(F_MR/12)-MIN(F_MortPayM,F84+F84*(F_MR/12)),F84)</f>
        <v>0</v>
      </c>
      <c r="H84" s="20" t="n">
        <f aca="false">IF(G84&gt;PR_BalDone,G84+G84*(F_MR/12)-MIN(F_MortPayM,G84+G84*(F_MR/12)),G84)</f>
        <v>0</v>
      </c>
      <c r="I84" s="20" t="n">
        <f aca="false">IF(H84&gt;PR_BalDone,H84+H84*(F_MR/12)-MIN(F_MortPayM,H84+H84*(F_MR/12)),H84)</f>
        <v>0</v>
      </c>
      <c r="J84" s="20" t="n">
        <f aca="false">IF(I84&gt;PR_BalDone,I84+I84*(F_MR/12)-MIN(F_MortPayM,I84+I84*(F_MR/12)),I84)</f>
        <v>0</v>
      </c>
      <c r="K84" s="20" t="n">
        <f aca="false">IF(J84&gt;PR_BalDone,J84+J84*(F_MR/12)-MIN(F_MortPayM,J84+J84*(F_MR/12)),J84)</f>
        <v>0</v>
      </c>
      <c r="L84" s="20" t="n">
        <f aca="false">IF(K84&gt;PR_BalDone,K84+K84*(F_MR/12)-MIN(F_MortPayM,K84+K84*(F_MR/12)),K84)</f>
        <v>0</v>
      </c>
      <c r="M84" s="20" t="n">
        <f aca="false">IF(L84&gt;PR_BalDone,L84+L84*(F_MR/12)-MIN(F_MortPayM,L84+L84*(F_MR/12)),L84)</f>
        <v>0</v>
      </c>
      <c r="N84" s="20" t="n">
        <f aca="false">IF(M84&gt;PR_BalDone,M84+M84*(F_MR/12)-MIN(F_MortPayM,M84+M84*(F_MR/12)),M84)</f>
        <v>0</v>
      </c>
      <c r="O84" s="20" t="n">
        <f aca="false">IF(N84&gt;PR_BalDone,N84+N84*(F_MR/12)-MIN(F_MortPayM,N84+N84*(F_MR/12)),N84)</f>
        <v>0</v>
      </c>
      <c r="P84" s="20" t="n">
        <f aca="false">IF(C84&gt;PR_BalDone,MIN(F_MortPayM,C84+C84*(F_MR/12)),0)</f>
        <v>0</v>
      </c>
      <c r="Q84" s="20" t="n">
        <f aca="false">IF(D84&gt;PR_BalDone,MIN(F_MortPayM,D84+D84*(F_MR/12)),0)</f>
        <v>0</v>
      </c>
      <c r="R84" s="20" t="n">
        <f aca="false">IF(E84&gt;PR_BalDone,MIN(F_MortPayM,E84+E84*(F_MR/12)),0)</f>
        <v>0</v>
      </c>
      <c r="S84" s="20" t="n">
        <f aca="false">IF(F84&gt;PR_BalDone,MIN(F_MortPayM,F84+F84*(F_MR/12)),0)</f>
        <v>0</v>
      </c>
      <c r="T84" s="20" t="n">
        <f aca="false">IF(G84&gt;PR_BalDone,MIN(F_MortPayM,G84+G84*(F_MR/12)),0)</f>
        <v>0</v>
      </c>
      <c r="U84" s="20" t="n">
        <f aca="false">IF(H84&gt;PR_BalDone,MIN(F_MortPayM,H84+H84*(F_MR/12)),0)</f>
        <v>0</v>
      </c>
      <c r="V84" s="20" t="n">
        <f aca="false">IF(I84&gt;PR_BalDone,MIN(F_MortPayM,I84+I84*(F_MR/12)),0)</f>
        <v>0</v>
      </c>
      <c r="W84" s="20" t="n">
        <f aca="false">IF(J84&gt;PR_BalDone,MIN(F_MortPayM,J84+J84*(F_MR/12)),0)</f>
        <v>0</v>
      </c>
      <c r="X84" s="20" t="n">
        <f aca="false">IF(K84&gt;PR_BalDone,MIN(F_MortPayM,K84+K84*(F_MR/12)),0)</f>
        <v>0</v>
      </c>
      <c r="Y84" s="20" t="n">
        <f aca="false">IF(L84&gt;PR_BalDone,MIN(F_MortPayM,L84+L84*(F_MR/12)),0)</f>
        <v>0</v>
      </c>
      <c r="Z84" s="20" t="n">
        <f aca="false">IF(M84&gt;PR_BalDone,MIN(F_MortPayM,M84+M84*(F_MR/12)),0)</f>
        <v>0</v>
      </c>
      <c r="AA84" s="20" t="n">
        <f aca="false">IF(N84&gt;PR_BalDone,MIN(F_MortPayM,N84+N84*(F_MR/12)),0)</f>
        <v>0</v>
      </c>
      <c r="AB84" s="20" t="n">
        <f aca="false">MAX(0,O84)</f>
        <v>0</v>
      </c>
      <c r="AC84" s="20" t="n">
        <f aca="false">SUM(P84:AA84)</f>
        <v>0</v>
      </c>
      <c r="AD84" s="20" t="n">
        <f aca="false">'Plan cashflow'!M84</f>
        <v>0</v>
      </c>
      <c r="AE84" s="20" t="n">
        <f aca="false">IF(AD84&gt;PR_BalDone,AD84+AD84*(D_iC)-MIN(F_CardPayM,AD84+AD84*(D_iC)),AD84)</f>
        <v>0</v>
      </c>
      <c r="AF84" s="20" t="n">
        <f aca="false">IF(AE84&gt;PR_BalDone,AE84+AE84*(D_iC)-MIN(F_CardPayM,AE84+AE84*(D_iC)),AE84)</f>
        <v>0</v>
      </c>
      <c r="AG84" s="20" t="n">
        <f aca="false">IF(AF84&gt;PR_BalDone,AF84+AF84*(D_iC)-MIN(F_CardPayM,AF84+AF84*(D_iC)),AF84)</f>
        <v>0</v>
      </c>
      <c r="AH84" s="20" t="n">
        <f aca="false">IF(AG84&gt;PR_BalDone,AG84+AG84*(D_iC)-MIN(F_CardPayM,AG84+AG84*(D_iC)),AG84)</f>
        <v>0</v>
      </c>
      <c r="AI84" s="20" t="n">
        <f aca="false">IF(AH84&gt;PR_BalDone,AH84+AH84*(D_iC)-MIN(F_CardPayM,AH84+AH84*(D_iC)),AH84)</f>
        <v>0</v>
      </c>
      <c r="AJ84" s="20" t="n">
        <f aca="false">IF(AI84&gt;PR_BalDone,AI84+AI84*(D_iC)-MIN(F_CardPayM,AI84+AI84*(D_iC)),AI84)</f>
        <v>0</v>
      </c>
      <c r="AK84" s="20" t="n">
        <f aca="false">IF(AJ84&gt;PR_BalDone,AJ84+AJ84*(D_iC)-MIN(F_CardPayM,AJ84+AJ84*(D_iC)),AJ84)</f>
        <v>0</v>
      </c>
      <c r="AL84" s="20" t="n">
        <f aca="false">IF(AK84&gt;PR_BalDone,AK84+AK84*(D_iC)-MIN(F_CardPayM,AK84+AK84*(D_iC)),AK84)</f>
        <v>0</v>
      </c>
      <c r="AM84" s="20" t="n">
        <f aca="false">IF(AL84&gt;PR_BalDone,AL84+AL84*(D_iC)-MIN(F_CardPayM,AL84+AL84*(D_iC)),AL84)</f>
        <v>0</v>
      </c>
      <c r="AN84" s="20" t="n">
        <f aca="false">IF(AM84&gt;PR_BalDone,AM84+AM84*(D_iC)-MIN(F_CardPayM,AM84+AM84*(D_iC)),AM84)</f>
        <v>0</v>
      </c>
      <c r="AO84" s="20" t="n">
        <f aca="false">IF(AN84&gt;PR_BalDone,AN84+AN84*(D_iC)-MIN(F_CardPayM,AN84+AN84*(D_iC)),AN84)</f>
        <v>0</v>
      </c>
      <c r="AP84" s="20" t="n">
        <f aca="false">IF(AO84&gt;PR_BalDone,AO84+AO84*(D_iC)-MIN(F_CardPayM,AO84+AO84*(D_iC)),AO84)</f>
        <v>0</v>
      </c>
      <c r="AQ84" s="20" t="n">
        <f aca="false">IF(AD84&gt;PR_BalDone,MIN(F_CardPayM,AD84+AD84*(D_iC)),0)</f>
        <v>0</v>
      </c>
      <c r="AR84" s="20" t="n">
        <f aca="false">IF(AE84&gt;PR_BalDone,MIN(F_CardPayM,AE84+AE84*(D_iC)),0)</f>
        <v>0</v>
      </c>
      <c r="AS84" s="20" t="n">
        <f aca="false">IF(AF84&gt;PR_BalDone,MIN(F_CardPayM,AF84+AF84*(D_iC)),0)</f>
        <v>0</v>
      </c>
      <c r="AT84" s="20" t="n">
        <f aca="false">IF(AG84&gt;PR_BalDone,MIN(F_CardPayM,AG84+AG84*(D_iC)),0)</f>
        <v>0</v>
      </c>
      <c r="AU84" s="20" t="n">
        <f aca="false">IF(AH84&gt;PR_BalDone,MIN(F_CardPayM,AH84+AH84*(D_iC)),0)</f>
        <v>0</v>
      </c>
      <c r="AV84" s="20" t="n">
        <f aca="false">IF(AI84&gt;PR_BalDone,MIN(F_CardPayM,AI84+AI84*(D_iC)),0)</f>
        <v>0</v>
      </c>
      <c r="AW84" s="20" t="n">
        <f aca="false">IF(AJ84&gt;PR_BalDone,MIN(F_CardPayM,AJ84+AJ84*(D_iC)),0)</f>
        <v>0</v>
      </c>
      <c r="AX84" s="20" t="n">
        <f aca="false">IF(AK84&gt;PR_BalDone,MIN(F_CardPayM,AK84+AK84*(D_iC)),0)</f>
        <v>0</v>
      </c>
      <c r="AY84" s="20" t="n">
        <f aca="false">IF(AL84&gt;PR_BalDone,MIN(F_CardPayM,AL84+AL84*(D_iC)),0)</f>
        <v>0</v>
      </c>
      <c r="AZ84" s="20" t="n">
        <f aca="false">IF(AM84&gt;PR_BalDone,MIN(F_CardPayM,AM84+AM84*(D_iC)),0)</f>
        <v>0</v>
      </c>
      <c r="BA84" s="20" t="n">
        <f aca="false">IF(AN84&gt;PR_BalDone,MIN(F_CardPayM,AN84+AN84*(D_iC)),0)</f>
        <v>0</v>
      </c>
      <c r="BB84" s="20" t="n">
        <f aca="false">IF(AO84&gt;PR_BalDone,MIN(F_CardPayM,AO84+AO84*(D_iC)),0)</f>
        <v>0</v>
      </c>
      <c r="BC84" s="20" t="n">
        <f aca="false">MAX(0,AP84)</f>
        <v>0</v>
      </c>
      <c r="BD84" s="20" t="n">
        <f aca="false">SUM(AQ84:BB84)</f>
        <v>0</v>
      </c>
      <c r="BE84" s="20" t="n">
        <f aca="false">'Plan cashflow'!P84</f>
        <v>0</v>
      </c>
      <c r="BF84" s="20" t="n">
        <f aca="false">IF(BE84&gt;PR_BalDone,BE84+BE84*(D_iL)-MIN(F_LoanPayM,BE84+BE84*(D_iL)),BE84)</f>
        <v>0</v>
      </c>
      <c r="BG84" s="20" t="n">
        <f aca="false">IF(BF84&gt;PR_BalDone,BF84+BF84*(D_iL)-MIN(F_LoanPayM,BF84+BF84*(D_iL)),BF84)</f>
        <v>0</v>
      </c>
      <c r="BH84" s="20" t="n">
        <f aca="false">IF(BG84&gt;PR_BalDone,BG84+BG84*(D_iL)-MIN(F_LoanPayM,BG84+BG84*(D_iL)),BG84)</f>
        <v>0</v>
      </c>
      <c r="BI84" s="20" t="n">
        <f aca="false">IF(BH84&gt;PR_BalDone,BH84+BH84*(D_iL)-MIN(F_LoanPayM,BH84+BH84*(D_iL)),BH84)</f>
        <v>0</v>
      </c>
      <c r="BJ84" s="20" t="n">
        <f aca="false">IF(BI84&gt;PR_BalDone,BI84+BI84*(D_iL)-MIN(F_LoanPayM,BI84+BI84*(D_iL)),BI84)</f>
        <v>0</v>
      </c>
      <c r="BK84" s="20" t="n">
        <f aca="false">IF(BJ84&gt;PR_BalDone,BJ84+BJ84*(D_iL)-MIN(F_LoanPayM,BJ84+BJ84*(D_iL)),BJ84)</f>
        <v>0</v>
      </c>
      <c r="BL84" s="20" t="n">
        <f aca="false">IF(BK84&gt;PR_BalDone,BK84+BK84*(D_iL)-MIN(F_LoanPayM,BK84+BK84*(D_iL)),BK84)</f>
        <v>0</v>
      </c>
      <c r="BM84" s="20" t="n">
        <f aca="false">IF(BL84&gt;PR_BalDone,BL84+BL84*(D_iL)-MIN(F_LoanPayM,BL84+BL84*(D_iL)),BL84)</f>
        <v>0</v>
      </c>
      <c r="BN84" s="20" t="n">
        <f aca="false">IF(BM84&gt;PR_BalDone,BM84+BM84*(D_iL)-MIN(F_LoanPayM,BM84+BM84*(D_iL)),BM84)</f>
        <v>0</v>
      </c>
      <c r="BO84" s="20" t="n">
        <f aca="false">IF(BN84&gt;PR_BalDone,BN84+BN84*(D_iL)-MIN(F_LoanPayM,BN84+BN84*(D_iL)),BN84)</f>
        <v>0</v>
      </c>
      <c r="BP84" s="20" t="n">
        <f aca="false">IF(BO84&gt;PR_BalDone,BO84+BO84*(D_iL)-MIN(F_LoanPayM,BO84+BO84*(D_iL)),BO84)</f>
        <v>0</v>
      </c>
      <c r="BQ84" s="20" t="n">
        <f aca="false">IF(BP84&gt;PR_BalDone,BP84+BP84*(D_iL)-MIN(F_LoanPayM,BP84+BP84*(D_iL)),BP84)</f>
        <v>0</v>
      </c>
      <c r="BR84" s="20" t="n">
        <f aca="false">IF(BE84&gt;PR_BalDone,MIN(F_LoanPayM,BE84+BE84*(D_iL)),0)</f>
        <v>0</v>
      </c>
      <c r="BS84" s="20" t="n">
        <f aca="false">IF(BF84&gt;PR_BalDone,MIN(F_LoanPayM,BF84+BF84*(D_iL)),0)</f>
        <v>0</v>
      </c>
      <c r="BT84" s="20" t="n">
        <f aca="false">IF(BG84&gt;PR_BalDone,MIN(F_LoanPayM,BG84+BG84*(D_iL)),0)</f>
        <v>0</v>
      </c>
      <c r="BU84" s="20" t="n">
        <f aca="false">IF(BH84&gt;PR_BalDone,MIN(F_LoanPayM,BH84+BH84*(D_iL)),0)</f>
        <v>0</v>
      </c>
      <c r="BV84" s="20" t="n">
        <f aca="false">IF(BI84&gt;PR_BalDone,MIN(F_LoanPayM,BI84+BI84*(D_iL)),0)</f>
        <v>0</v>
      </c>
      <c r="BW84" s="20" t="n">
        <f aca="false">IF(BJ84&gt;PR_BalDone,MIN(F_LoanPayM,BJ84+BJ84*(D_iL)),0)</f>
        <v>0</v>
      </c>
      <c r="BX84" s="20" t="n">
        <f aca="false">IF(BK84&gt;PR_BalDone,MIN(F_LoanPayM,BK84+BK84*(D_iL)),0)</f>
        <v>0</v>
      </c>
      <c r="BY84" s="20" t="n">
        <f aca="false">IF(BL84&gt;PR_BalDone,MIN(F_LoanPayM,BL84+BL84*(D_iL)),0)</f>
        <v>0</v>
      </c>
      <c r="BZ84" s="20" t="n">
        <f aca="false">IF(BM84&gt;PR_BalDone,MIN(F_LoanPayM,BM84+BM84*(D_iL)),0)</f>
        <v>0</v>
      </c>
      <c r="CA84" s="20" t="n">
        <f aca="false">IF(BN84&gt;PR_BalDone,MIN(F_LoanPayM,BN84+BN84*(D_iL)),0)</f>
        <v>0</v>
      </c>
      <c r="CB84" s="20" t="n">
        <f aca="false">IF(BO84&gt;PR_BalDone,MIN(F_LoanPayM,BO84+BO84*(D_iL)),0)</f>
        <v>0</v>
      </c>
      <c r="CC84" s="20" t="n">
        <f aca="false">IF(BP84&gt;PR_BalDone,MIN(F_LoanPayM,BP84+BP84*(D_iL)),0)</f>
        <v>0</v>
      </c>
      <c r="CD84" s="20" t="n">
        <f aca="false">MAX(0,BQ84)</f>
        <v>0</v>
      </c>
      <c r="CE84" s="20" t="n">
        <f aca="false">SUM(BR84:CC84)</f>
        <v>0</v>
      </c>
      <c r="CF84" s="20" t="n">
        <f aca="false">IF(CF83&gt;1,DE83,CF83)</f>
        <v>0</v>
      </c>
      <c r="CG84" s="20" t="n">
        <f aca="false">IF(CF84&gt;PR_BalDone,CF84+CF84*(F_MR/12)-MIN(F_MortPayM,CF84+CF84*(F_MR/12)),CF84)</f>
        <v>0</v>
      </c>
      <c r="CH84" s="20" t="n">
        <f aca="false">IF(CG84&gt;PR_BalDone,CG84+CG84*(F_MR/12)-MIN(F_MortPayM,CG84+CG84*(F_MR/12)),CG84)</f>
        <v>0</v>
      </c>
      <c r="CI84" s="20" t="n">
        <f aca="false">IF(CH84&gt;PR_BalDone,CH84+CH84*(F_MR/12)-MIN(F_MortPayM,CH84+CH84*(F_MR/12)),CH84)</f>
        <v>0</v>
      </c>
      <c r="CJ84" s="20" t="n">
        <f aca="false">IF(CI84&gt;PR_BalDone,CI84+CI84*(F_MR/12)-MIN(F_MortPayM,CI84+CI84*(F_MR/12)),CI84)</f>
        <v>0</v>
      </c>
      <c r="CK84" s="20" t="n">
        <f aca="false">IF(CJ84&gt;PR_BalDone,CJ84+CJ84*(F_MR/12)-MIN(F_MortPayM,CJ84+CJ84*(F_MR/12)),CJ84)</f>
        <v>0</v>
      </c>
      <c r="CL84" s="20" t="n">
        <f aca="false">IF(CK84&gt;PR_BalDone,CK84+CK84*(F_MR/12)-MIN(F_MortPayM,CK84+CK84*(F_MR/12)),CK84)</f>
        <v>0</v>
      </c>
      <c r="CM84" s="20" t="n">
        <f aca="false">IF(CL84&gt;PR_BalDone,CL84+CL84*(F_MR/12)-MIN(F_MortPayM,CL84+CL84*(F_MR/12)),CL84)</f>
        <v>0</v>
      </c>
      <c r="CN84" s="20" t="n">
        <f aca="false">IF(CM84&gt;PR_BalDone,CM84+CM84*(F_MR/12)-MIN(F_MortPayM,CM84+CM84*(F_MR/12)),CM84)</f>
        <v>0</v>
      </c>
      <c r="CO84" s="20" t="n">
        <f aca="false">IF(CN84&gt;PR_BalDone,CN84+CN84*(F_MR/12)-MIN(F_MortPayM,CN84+CN84*(F_MR/12)),CN84)</f>
        <v>0</v>
      </c>
      <c r="CP84" s="20" t="n">
        <f aca="false">IF(CO84&gt;PR_BalDone,CO84+CO84*(F_MR/12)-MIN(F_MortPayM,CO84+CO84*(F_MR/12)),CO84)</f>
        <v>0</v>
      </c>
      <c r="CQ84" s="20" t="n">
        <f aca="false">IF(CP84&gt;PR_BalDone,CP84+CP84*(F_MR/12)-MIN(F_MortPayM,CP84+CP84*(F_MR/12)),CP84)</f>
        <v>0</v>
      </c>
      <c r="CR84" s="20" t="n">
        <f aca="false">IF(CQ84&gt;PR_BalDone,CQ84+CQ84*(F_MR/12)-MIN(F_MortPayM,CQ84+CQ84*(F_MR/12)),CQ84)</f>
        <v>0</v>
      </c>
      <c r="CS84" s="20" t="n">
        <f aca="false">IF(CF84&gt;PR_BalDone,MIN(F_MortPayM,CF84+CF84*(F_MR/12)),0)</f>
        <v>0</v>
      </c>
      <c r="CT84" s="20" t="n">
        <f aca="false">IF(CG84&gt;PR_BalDone,MIN(F_MortPayM,CG84+CG84*(F_MR/12)),0)</f>
        <v>0</v>
      </c>
      <c r="CU84" s="20" t="n">
        <f aca="false">IF(CH84&gt;PR_BalDone,MIN(F_MortPayM,CH84+CH84*(F_MR/12)),0)</f>
        <v>0</v>
      </c>
      <c r="CV84" s="20" t="n">
        <f aca="false">IF(CI84&gt;PR_BalDone,MIN(F_MortPayM,CI84+CI84*(F_MR/12)),0)</f>
        <v>0</v>
      </c>
      <c r="CW84" s="20" t="n">
        <f aca="false">IF(CJ84&gt;PR_BalDone,MIN(F_MortPayM,CJ84+CJ84*(F_MR/12)),0)</f>
        <v>0</v>
      </c>
      <c r="CX84" s="20" t="n">
        <f aca="false">IF(CK84&gt;PR_BalDone,MIN(F_MortPayM,CK84+CK84*(F_MR/12)),0)</f>
        <v>0</v>
      </c>
      <c r="CY84" s="20" t="n">
        <f aca="false">IF(CL84&gt;PR_BalDone,MIN(F_MortPayM,CL84+CL84*(F_MR/12)),0)</f>
        <v>0</v>
      </c>
      <c r="CZ84" s="20" t="n">
        <f aca="false">IF(CM84&gt;PR_BalDone,MIN(F_MortPayM,CM84+CM84*(F_MR/12)),0)</f>
        <v>0</v>
      </c>
      <c r="DA84" s="20" t="n">
        <f aca="false">IF(CN84&gt;PR_BalDone,MIN(F_MortPayM,CN84+CN84*(F_MR/12)),0)</f>
        <v>0</v>
      </c>
      <c r="DB84" s="20" t="n">
        <f aca="false">IF(CO84&gt;PR_BalDone,MIN(F_MortPayM,CO84+CO84*(F_MR/12)),0)</f>
        <v>0</v>
      </c>
      <c r="DC84" s="20" t="n">
        <f aca="false">IF(CP84&gt;PR_BalDone,MIN(F_MortPayM,CP84+CP84*(F_MR/12)),0)</f>
        <v>0</v>
      </c>
      <c r="DD84" s="20" t="n">
        <f aca="false">IF(CQ84&gt;PR_BalDone,MIN(F_MortPayM,CQ84+CQ84*(F_MR/12)),0)</f>
        <v>0</v>
      </c>
      <c r="DE84" s="20" t="n">
        <f aca="false">MAX(0,CR84)</f>
        <v>0</v>
      </c>
      <c r="DF84" s="20" t="n">
        <f aca="false">SUM(CS84:DD84)</f>
        <v>0</v>
      </c>
      <c r="DG84" s="20" t="n">
        <f aca="false">MAX(0,CF84)</f>
        <v>0</v>
      </c>
    </row>
    <row r="85" customFormat="false" ht="15" hidden="false" customHeight="true" outlineLevel="0" collapsed="false">
      <c r="B85" s="20" t="n">
        <v>77</v>
      </c>
      <c r="C85" s="20" t="n">
        <f aca="false">'Plan cashflow'!J85</f>
        <v>0</v>
      </c>
      <c r="D85" s="20" t="n">
        <f aca="false">IF(C85&gt;PR_BalDone,C85+C85*(F_MR/12)-MIN(F_MortPayM,C85+C85*(F_MR/12)),C85)</f>
        <v>0</v>
      </c>
      <c r="E85" s="20" t="n">
        <f aca="false">IF(D85&gt;PR_BalDone,D85+D85*(F_MR/12)-MIN(F_MortPayM,D85+D85*(F_MR/12)),D85)</f>
        <v>0</v>
      </c>
      <c r="F85" s="20" t="n">
        <f aca="false">IF(E85&gt;PR_BalDone,E85+E85*(F_MR/12)-MIN(F_MortPayM,E85+E85*(F_MR/12)),E85)</f>
        <v>0</v>
      </c>
      <c r="G85" s="20" t="n">
        <f aca="false">IF(F85&gt;PR_BalDone,F85+F85*(F_MR/12)-MIN(F_MortPayM,F85+F85*(F_MR/12)),F85)</f>
        <v>0</v>
      </c>
      <c r="H85" s="20" t="n">
        <f aca="false">IF(G85&gt;PR_BalDone,G85+G85*(F_MR/12)-MIN(F_MortPayM,G85+G85*(F_MR/12)),G85)</f>
        <v>0</v>
      </c>
      <c r="I85" s="20" t="n">
        <f aca="false">IF(H85&gt;PR_BalDone,H85+H85*(F_MR/12)-MIN(F_MortPayM,H85+H85*(F_MR/12)),H85)</f>
        <v>0</v>
      </c>
      <c r="J85" s="20" t="n">
        <f aca="false">IF(I85&gt;PR_BalDone,I85+I85*(F_MR/12)-MIN(F_MortPayM,I85+I85*(F_MR/12)),I85)</f>
        <v>0</v>
      </c>
      <c r="K85" s="20" t="n">
        <f aca="false">IF(J85&gt;PR_BalDone,J85+J85*(F_MR/12)-MIN(F_MortPayM,J85+J85*(F_MR/12)),J85)</f>
        <v>0</v>
      </c>
      <c r="L85" s="20" t="n">
        <f aca="false">IF(K85&gt;PR_BalDone,K85+K85*(F_MR/12)-MIN(F_MortPayM,K85+K85*(F_MR/12)),K85)</f>
        <v>0</v>
      </c>
      <c r="M85" s="20" t="n">
        <f aca="false">IF(L85&gt;PR_BalDone,L85+L85*(F_MR/12)-MIN(F_MortPayM,L85+L85*(F_MR/12)),L85)</f>
        <v>0</v>
      </c>
      <c r="N85" s="20" t="n">
        <f aca="false">IF(M85&gt;PR_BalDone,M85+M85*(F_MR/12)-MIN(F_MortPayM,M85+M85*(F_MR/12)),M85)</f>
        <v>0</v>
      </c>
      <c r="O85" s="20" t="n">
        <f aca="false">IF(N85&gt;PR_BalDone,N85+N85*(F_MR/12)-MIN(F_MortPayM,N85+N85*(F_MR/12)),N85)</f>
        <v>0</v>
      </c>
      <c r="P85" s="20" t="n">
        <f aca="false">IF(C85&gt;PR_BalDone,MIN(F_MortPayM,C85+C85*(F_MR/12)),0)</f>
        <v>0</v>
      </c>
      <c r="Q85" s="20" t="n">
        <f aca="false">IF(D85&gt;PR_BalDone,MIN(F_MortPayM,D85+D85*(F_MR/12)),0)</f>
        <v>0</v>
      </c>
      <c r="R85" s="20" t="n">
        <f aca="false">IF(E85&gt;PR_BalDone,MIN(F_MortPayM,E85+E85*(F_MR/12)),0)</f>
        <v>0</v>
      </c>
      <c r="S85" s="20" t="n">
        <f aca="false">IF(F85&gt;PR_BalDone,MIN(F_MortPayM,F85+F85*(F_MR/12)),0)</f>
        <v>0</v>
      </c>
      <c r="T85" s="20" t="n">
        <f aca="false">IF(G85&gt;PR_BalDone,MIN(F_MortPayM,G85+G85*(F_MR/12)),0)</f>
        <v>0</v>
      </c>
      <c r="U85" s="20" t="n">
        <f aca="false">IF(H85&gt;PR_BalDone,MIN(F_MortPayM,H85+H85*(F_MR/12)),0)</f>
        <v>0</v>
      </c>
      <c r="V85" s="20" t="n">
        <f aca="false">IF(I85&gt;PR_BalDone,MIN(F_MortPayM,I85+I85*(F_MR/12)),0)</f>
        <v>0</v>
      </c>
      <c r="W85" s="20" t="n">
        <f aca="false">IF(J85&gt;PR_BalDone,MIN(F_MortPayM,J85+J85*(F_MR/12)),0)</f>
        <v>0</v>
      </c>
      <c r="X85" s="20" t="n">
        <f aca="false">IF(K85&gt;PR_BalDone,MIN(F_MortPayM,K85+K85*(F_MR/12)),0)</f>
        <v>0</v>
      </c>
      <c r="Y85" s="20" t="n">
        <f aca="false">IF(L85&gt;PR_BalDone,MIN(F_MortPayM,L85+L85*(F_MR/12)),0)</f>
        <v>0</v>
      </c>
      <c r="Z85" s="20" t="n">
        <f aca="false">IF(M85&gt;PR_BalDone,MIN(F_MortPayM,M85+M85*(F_MR/12)),0)</f>
        <v>0</v>
      </c>
      <c r="AA85" s="20" t="n">
        <f aca="false">IF(N85&gt;PR_BalDone,MIN(F_MortPayM,N85+N85*(F_MR/12)),0)</f>
        <v>0</v>
      </c>
      <c r="AB85" s="20" t="n">
        <f aca="false">MAX(0,O85)</f>
        <v>0</v>
      </c>
      <c r="AC85" s="20" t="n">
        <f aca="false">SUM(P85:AA85)</f>
        <v>0</v>
      </c>
      <c r="AD85" s="20" t="n">
        <f aca="false">'Plan cashflow'!M85</f>
        <v>0</v>
      </c>
      <c r="AE85" s="20" t="n">
        <f aca="false">IF(AD85&gt;PR_BalDone,AD85+AD85*(D_iC)-MIN(F_CardPayM,AD85+AD85*(D_iC)),AD85)</f>
        <v>0</v>
      </c>
      <c r="AF85" s="20" t="n">
        <f aca="false">IF(AE85&gt;PR_BalDone,AE85+AE85*(D_iC)-MIN(F_CardPayM,AE85+AE85*(D_iC)),AE85)</f>
        <v>0</v>
      </c>
      <c r="AG85" s="20" t="n">
        <f aca="false">IF(AF85&gt;PR_BalDone,AF85+AF85*(D_iC)-MIN(F_CardPayM,AF85+AF85*(D_iC)),AF85)</f>
        <v>0</v>
      </c>
      <c r="AH85" s="20" t="n">
        <f aca="false">IF(AG85&gt;PR_BalDone,AG85+AG85*(D_iC)-MIN(F_CardPayM,AG85+AG85*(D_iC)),AG85)</f>
        <v>0</v>
      </c>
      <c r="AI85" s="20" t="n">
        <f aca="false">IF(AH85&gt;PR_BalDone,AH85+AH85*(D_iC)-MIN(F_CardPayM,AH85+AH85*(D_iC)),AH85)</f>
        <v>0</v>
      </c>
      <c r="AJ85" s="20" t="n">
        <f aca="false">IF(AI85&gt;PR_BalDone,AI85+AI85*(D_iC)-MIN(F_CardPayM,AI85+AI85*(D_iC)),AI85)</f>
        <v>0</v>
      </c>
      <c r="AK85" s="20" t="n">
        <f aca="false">IF(AJ85&gt;PR_BalDone,AJ85+AJ85*(D_iC)-MIN(F_CardPayM,AJ85+AJ85*(D_iC)),AJ85)</f>
        <v>0</v>
      </c>
      <c r="AL85" s="20" t="n">
        <f aca="false">IF(AK85&gt;PR_BalDone,AK85+AK85*(D_iC)-MIN(F_CardPayM,AK85+AK85*(D_iC)),AK85)</f>
        <v>0</v>
      </c>
      <c r="AM85" s="20" t="n">
        <f aca="false">IF(AL85&gt;PR_BalDone,AL85+AL85*(D_iC)-MIN(F_CardPayM,AL85+AL85*(D_iC)),AL85)</f>
        <v>0</v>
      </c>
      <c r="AN85" s="20" t="n">
        <f aca="false">IF(AM85&gt;PR_BalDone,AM85+AM85*(D_iC)-MIN(F_CardPayM,AM85+AM85*(D_iC)),AM85)</f>
        <v>0</v>
      </c>
      <c r="AO85" s="20" t="n">
        <f aca="false">IF(AN85&gt;PR_BalDone,AN85+AN85*(D_iC)-MIN(F_CardPayM,AN85+AN85*(D_iC)),AN85)</f>
        <v>0</v>
      </c>
      <c r="AP85" s="20" t="n">
        <f aca="false">IF(AO85&gt;PR_BalDone,AO85+AO85*(D_iC)-MIN(F_CardPayM,AO85+AO85*(D_iC)),AO85)</f>
        <v>0</v>
      </c>
      <c r="AQ85" s="20" t="n">
        <f aca="false">IF(AD85&gt;PR_BalDone,MIN(F_CardPayM,AD85+AD85*(D_iC)),0)</f>
        <v>0</v>
      </c>
      <c r="AR85" s="20" t="n">
        <f aca="false">IF(AE85&gt;PR_BalDone,MIN(F_CardPayM,AE85+AE85*(D_iC)),0)</f>
        <v>0</v>
      </c>
      <c r="AS85" s="20" t="n">
        <f aca="false">IF(AF85&gt;PR_BalDone,MIN(F_CardPayM,AF85+AF85*(D_iC)),0)</f>
        <v>0</v>
      </c>
      <c r="AT85" s="20" t="n">
        <f aca="false">IF(AG85&gt;PR_BalDone,MIN(F_CardPayM,AG85+AG85*(D_iC)),0)</f>
        <v>0</v>
      </c>
      <c r="AU85" s="20" t="n">
        <f aca="false">IF(AH85&gt;PR_BalDone,MIN(F_CardPayM,AH85+AH85*(D_iC)),0)</f>
        <v>0</v>
      </c>
      <c r="AV85" s="20" t="n">
        <f aca="false">IF(AI85&gt;PR_BalDone,MIN(F_CardPayM,AI85+AI85*(D_iC)),0)</f>
        <v>0</v>
      </c>
      <c r="AW85" s="20" t="n">
        <f aca="false">IF(AJ85&gt;PR_BalDone,MIN(F_CardPayM,AJ85+AJ85*(D_iC)),0)</f>
        <v>0</v>
      </c>
      <c r="AX85" s="20" t="n">
        <f aca="false">IF(AK85&gt;PR_BalDone,MIN(F_CardPayM,AK85+AK85*(D_iC)),0)</f>
        <v>0</v>
      </c>
      <c r="AY85" s="20" t="n">
        <f aca="false">IF(AL85&gt;PR_BalDone,MIN(F_CardPayM,AL85+AL85*(D_iC)),0)</f>
        <v>0</v>
      </c>
      <c r="AZ85" s="20" t="n">
        <f aca="false">IF(AM85&gt;PR_BalDone,MIN(F_CardPayM,AM85+AM85*(D_iC)),0)</f>
        <v>0</v>
      </c>
      <c r="BA85" s="20" t="n">
        <f aca="false">IF(AN85&gt;PR_BalDone,MIN(F_CardPayM,AN85+AN85*(D_iC)),0)</f>
        <v>0</v>
      </c>
      <c r="BB85" s="20" t="n">
        <f aca="false">IF(AO85&gt;PR_BalDone,MIN(F_CardPayM,AO85+AO85*(D_iC)),0)</f>
        <v>0</v>
      </c>
      <c r="BC85" s="20" t="n">
        <f aca="false">MAX(0,AP85)</f>
        <v>0</v>
      </c>
      <c r="BD85" s="20" t="n">
        <f aca="false">SUM(AQ85:BB85)</f>
        <v>0</v>
      </c>
      <c r="BE85" s="20" t="n">
        <f aca="false">'Plan cashflow'!P85</f>
        <v>0</v>
      </c>
      <c r="BF85" s="20" t="n">
        <f aca="false">IF(BE85&gt;PR_BalDone,BE85+BE85*(D_iL)-MIN(F_LoanPayM,BE85+BE85*(D_iL)),BE85)</f>
        <v>0</v>
      </c>
      <c r="BG85" s="20" t="n">
        <f aca="false">IF(BF85&gt;PR_BalDone,BF85+BF85*(D_iL)-MIN(F_LoanPayM,BF85+BF85*(D_iL)),BF85)</f>
        <v>0</v>
      </c>
      <c r="BH85" s="20" t="n">
        <f aca="false">IF(BG85&gt;PR_BalDone,BG85+BG85*(D_iL)-MIN(F_LoanPayM,BG85+BG85*(D_iL)),BG85)</f>
        <v>0</v>
      </c>
      <c r="BI85" s="20" t="n">
        <f aca="false">IF(BH85&gt;PR_BalDone,BH85+BH85*(D_iL)-MIN(F_LoanPayM,BH85+BH85*(D_iL)),BH85)</f>
        <v>0</v>
      </c>
      <c r="BJ85" s="20" t="n">
        <f aca="false">IF(BI85&gt;PR_BalDone,BI85+BI85*(D_iL)-MIN(F_LoanPayM,BI85+BI85*(D_iL)),BI85)</f>
        <v>0</v>
      </c>
      <c r="BK85" s="20" t="n">
        <f aca="false">IF(BJ85&gt;PR_BalDone,BJ85+BJ85*(D_iL)-MIN(F_LoanPayM,BJ85+BJ85*(D_iL)),BJ85)</f>
        <v>0</v>
      </c>
      <c r="BL85" s="20" t="n">
        <f aca="false">IF(BK85&gt;PR_BalDone,BK85+BK85*(D_iL)-MIN(F_LoanPayM,BK85+BK85*(D_iL)),BK85)</f>
        <v>0</v>
      </c>
      <c r="BM85" s="20" t="n">
        <f aca="false">IF(BL85&gt;PR_BalDone,BL85+BL85*(D_iL)-MIN(F_LoanPayM,BL85+BL85*(D_iL)),BL85)</f>
        <v>0</v>
      </c>
      <c r="BN85" s="20" t="n">
        <f aca="false">IF(BM85&gt;PR_BalDone,BM85+BM85*(D_iL)-MIN(F_LoanPayM,BM85+BM85*(D_iL)),BM85)</f>
        <v>0</v>
      </c>
      <c r="BO85" s="20" t="n">
        <f aca="false">IF(BN85&gt;PR_BalDone,BN85+BN85*(D_iL)-MIN(F_LoanPayM,BN85+BN85*(D_iL)),BN85)</f>
        <v>0</v>
      </c>
      <c r="BP85" s="20" t="n">
        <f aca="false">IF(BO85&gt;PR_BalDone,BO85+BO85*(D_iL)-MIN(F_LoanPayM,BO85+BO85*(D_iL)),BO85)</f>
        <v>0</v>
      </c>
      <c r="BQ85" s="20" t="n">
        <f aca="false">IF(BP85&gt;PR_BalDone,BP85+BP85*(D_iL)-MIN(F_LoanPayM,BP85+BP85*(D_iL)),BP85)</f>
        <v>0</v>
      </c>
      <c r="BR85" s="20" t="n">
        <f aca="false">IF(BE85&gt;PR_BalDone,MIN(F_LoanPayM,BE85+BE85*(D_iL)),0)</f>
        <v>0</v>
      </c>
      <c r="BS85" s="20" t="n">
        <f aca="false">IF(BF85&gt;PR_BalDone,MIN(F_LoanPayM,BF85+BF85*(D_iL)),0)</f>
        <v>0</v>
      </c>
      <c r="BT85" s="20" t="n">
        <f aca="false">IF(BG85&gt;PR_BalDone,MIN(F_LoanPayM,BG85+BG85*(D_iL)),0)</f>
        <v>0</v>
      </c>
      <c r="BU85" s="20" t="n">
        <f aca="false">IF(BH85&gt;PR_BalDone,MIN(F_LoanPayM,BH85+BH85*(D_iL)),0)</f>
        <v>0</v>
      </c>
      <c r="BV85" s="20" t="n">
        <f aca="false">IF(BI85&gt;PR_BalDone,MIN(F_LoanPayM,BI85+BI85*(D_iL)),0)</f>
        <v>0</v>
      </c>
      <c r="BW85" s="20" t="n">
        <f aca="false">IF(BJ85&gt;PR_BalDone,MIN(F_LoanPayM,BJ85+BJ85*(D_iL)),0)</f>
        <v>0</v>
      </c>
      <c r="BX85" s="20" t="n">
        <f aca="false">IF(BK85&gt;PR_BalDone,MIN(F_LoanPayM,BK85+BK85*(D_iL)),0)</f>
        <v>0</v>
      </c>
      <c r="BY85" s="20" t="n">
        <f aca="false">IF(BL85&gt;PR_BalDone,MIN(F_LoanPayM,BL85+BL85*(D_iL)),0)</f>
        <v>0</v>
      </c>
      <c r="BZ85" s="20" t="n">
        <f aca="false">IF(BM85&gt;PR_BalDone,MIN(F_LoanPayM,BM85+BM85*(D_iL)),0)</f>
        <v>0</v>
      </c>
      <c r="CA85" s="20" t="n">
        <f aca="false">IF(BN85&gt;PR_BalDone,MIN(F_LoanPayM,BN85+BN85*(D_iL)),0)</f>
        <v>0</v>
      </c>
      <c r="CB85" s="20" t="n">
        <f aca="false">IF(BO85&gt;PR_BalDone,MIN(F_LoanPayM,BO85+BO85*(D_iL)),0)</f>
        <v>0</v>
      </c>
      <c r="CC85" s="20" t="n">
        <f aca="false">IF(BP85&gt;PR_BalDone,MIN(F_LoanPayM,BP85+BP85*(D_iL)),0)</f>
        <v>0</v>
      </c>
      <c r="CD85" s="20" t="n">
        <f aca="false">MAX(0,BQ85)</f>
        <v>0</v>
      </c>
      <c r="CE85" s="20" t="n">
        <f aca="false">SUM(BR85:CC85)</f>
        <v>0</v>
      </c>
      <c r="CF85" s="20" t="n">
        <f aca="false">IF(CF84&gt;1,DE84,CF84)</f>
        <v>0</v>
      </c>
      <c r="CG85" s="20" t="n">
        <f aca="false">IF(CF85&gt;PR_BalDone,CF85+CF85*(F_MR/12)-MIN(F_MortPayM,CF85+CF85*(F_MR/12)),CF85)</f>
        <v>0</v>
      </c>
      <c r="CH85" s="20" t="n">
        <f aca="false">IF(CG85&gt;PR_BalDone,CG85+CG85*(F_MR/12)-MIN(F_MortPayM,CG85+CG85*(F_MR/12)),CG85)</f>
        <v>0</v>
      </c>
      <c r="CI85" s="20" t="n">
        <f aca="false">IF(CH85&gt;PR_BalDone,CH85+CH85*(F_MR/12)-MIN(F_MortPayM,CH85+CH85*(F_MR/12)),CH85)</f>
        <v>0</v>
      </c>
      <c r="CJ85" s="20" t="n">
        <f aca="false">IF(CI85&gt;PR_BalDone,CI85+CI85*(F_MR/12)-MIN(F_MortPayM,CI85+CI85*(F_MR/12)),CI85)</f>
        <v>0</v>
      </c>
      <c r="CK85" s="20" t="n">
        <f aca="false">IF(CJ85&gt;PR_BalDone,CJ85+CJ85*(F_MR/12)-MIN(F_MortPayM,CJ85+CJ85*(F_MR/12)),CJ85)</f>
        <v>0</v>
      </c>
      <c r="CL85" s="20" t="n">
        <f aca="false">IF(CK85&gt;PR_BalDone,CK85+CK85*(F_MR/12)-MIN(F_MortPayM,CK85+CK85*(F_MR/12)),CK85)</f>
        <v>0</v>
      </c>
      <c r="CM85" s="20" t="n">
        <f aca="false">IF(CL85&gt;PR_BalDone,CL85+CL85*(F_MR/12)-MIN(F_MortPayM,CL85+CL85*(F_MR/12)),CL85)</f>
        <v>0</v>
      </c>
      <c r="CN85" s="20" t="n">
        <f aca="false">IF(CM85&gt;PR_BalDone,CM85+CM85*(F_MR/12)-MIN(F_MortPayM,CM85+CM85*(F_MR/12)),CM85)</f>
        <v>0</v>
      </c>
      <c r="CO85" s="20" t="n">
        <f aca="false">IF(CN85&gt;PR_BalDone,CN85+CN85*(F_MR/12)-MIN(F_MortPayM,CN85+CN85*(F_MR/12)),CN85)</f>
        <v>0</v>
      </c>
      <c r="CP85" s="20" t="n">
        <f aca="false">IF(CO85&gt;PR_BalDone,CO85+CO85*(F_MR/12)-MIN(F_MortPayM,CO85+CO85*(F_MR/12)),CO85)</f>
        <v>0</v>
      </c>
      <c r="CQ85" s="20" t="n">
        <f aca="false">IF(CP85&gt;PR_BalDone,CP85+CP85*(F_MR/12)-MIN(F_MortPayM,CP85+CP85*(F_MR/12)),CP85)</f>
        <v>0</v>
      </c>
      <c r="CR85" s="20" t="n">
        <f aca="false">IF(CQ85&gt;PR_BalDone,CQ85+CQ85*(F_MR/12)-MIN(F_MortPayM,CQ85+CQ85*(F_MR/12)),CQ85)</f>
        <v>0</v>
      </c>
      <c r="CS85" s="20" t="n">
        <f aca="false">IF(CF85&gt;PR_BalDone,MIN(F_MortPayM,CF85+CF85*(F_MR/12)),0)</f>
        <v>0</v>
      </c>
      <c r="CT85" s="20" t="n">
        <f aca="false">IF(CG85&gt;PR_BalDone,MIN(F_MortPayM,CG85+CG85*(F_MR/12)),0)</f>
        <v>0</v>
      </c>
      <c r="CU85" s="20" t="n">
        <f aca="false">IF(CH85&gt;PR_BalDone,MIN(F_MortPayM,CH85+CH85*(F_MR/12)),0)</f>
        <v>0</v>
      </c>
      <c r="CV85" s="20" t="n">
        <f aca="false">IF(CI85&gt;PR_BalDone,MIN(F_MortPayM,CI85+CI85*(F_MR/12)),0)</f>
        <v>0</v>
      </c>
      <c r="CW85" s="20" t="n">
        <f aca="false">IF(CJ85&gt;PR_BalDone,MIN(F_MortPayM,CJ85+CJ85*(F_MR/12)),0)</f>
        <v>0</v>
      </c>
      <c r="CX85" s="20" t="n">
        <f aca="false">IF(CK85&gt;PR_BalDone,MIN(F_MortPayM,CK85+CK85*(F_MR/12)),0)</f>
        <v>0</v>
      </c>
      <c r="CY85" s="20" t="n">
        <f aca="false">IF(CL85&gt;PR_BalDone,MIN(F_MortPayM,CL85+CL85*(F_MR/12)),0)</f>
        <v>0</v>
      </c>
      <c r="CZ85" s="20" t="n">
        <f aca="false">IF(CM85&gt;PR_BalDone,MIN(F_MortPayM,CM85+CM85*(F_MR/12)),0)</f>
        <v>0</v>
      </c>
      <c r="DA85" s="20" t="n">
        <f aca="false">IF(CN85&gt;PR_BalDone,MIN(F_MortPayM,CN85+CN85*(F_MR/12)),0)</f>
        <v>0</v>
      </c>
      <c r="DB85" s="20" t="n">
        <f aca="false">IF(CO85&gt;PR_BalDone,MIN(F_MortPayM,CO85+CO85*(F_MR/12)),0)</f>
        <v>0</v>
      </c>
      <c r="DC85" s="20" t="n">
        <f aca="false">IF(CP85&gt;PR_BalDone,MIN(F_MortPayM,CP85+CP85*(F_MR/12)),0)</f>
        <v>0</v>
      </c>
      <c r="DD85" s="20" t="n">
        <f aca="false">IF(CQ85&gt;PR_BalDone,MIN(F_MortPayM,CQ85+CQ85*(F_MR/12)),0)</f>
        <v>0</v>
      </c>
      <c r="DE85" s="20" t="n">
        <f aca="false">MAX(0,CR85)</f>
        <v>0</v>
      </c>
      <c r="DF85" s="20" t="n">
        <f aca="false">SUM(CS85:DD85)</f>
        <v>0</v>
      </c>
      <c r="DG85" s="20" t="n">
        <f aca="false">MAX(0,CF85)</f>
        <v>0</v>
      </c>
    </row>
    <row r="86" customFormat="false" ht="15" hidden="false" customHeight="true" outlineLevel="0" collapsed="false">
      <c r="B86" s="20" t="n">
        <v>78</v>
      </c>
      <c r="C86" s="20" t="n">
        <f aca="false">'Plan cashflow'!J86</f>
        <v>0</v>
      </c>
      <c r="D86" s="20" t="n">
        <f aca="false">IF(C86&gt;PR_BalDone,C86+C86*(F_MR/12)-MIN(F_MortPayM,C86+C86*(F_MR/12)),C86)</f>
        <v>0</v>
      </c>
      <c r="E86" s="20" t="n">
        <f aca="false">IF(D86&gt;PR_BalDone,D86+D86*(F_MR/12)-MIN(F_MortPayM,D86+D86*(F_MR/12)),D86)</f>
        <v>0</v>
      </c>
      <c r="F86" s="20" t="n">
        <f aca="false">IF(E86&gt;PR_BalDone,E86+E86*(F_MR/12)-MIN(F_MortPayM,E86+E86*(F_MR/12)),E86)</f>
        <v>0</v>
      </c>
      <c r="G86" s="20" t="n">
        <f aca="false">IF(F86&gt;PR_BalDone,F86+F86*(F_MR/12)-MIN(F_MortPayM,F86+F86*(F_MR/12)),F86)</f>
        <v>0</v>
      </c>
      <c r="H86" s="20" t="n">
        <f aca="false">IF(G86&gt;PR_BalDone,G86+G86*(F_MR/12)-MIN(F_MortPayM,G86+G86*(F_MR/12)),G86)</f>
        <v>0</v>
      </c>
      <c r="I86" s="20" t="n">
        <f aca="false">IF(H86&gt;PR_BalDone,H86+H86*(F_MR/12)-MIN(F_MortPayM,H86+H86*(F_MR/12)),H86)</f>
        <v>0</v>
      </c>
      <c r="J86" s="20" t="n">
        <f aca="false">IF(I86&gt;PR_BalDone,I86+I86*(F_MR/12)-MIN(F_MortPayM,I86+I86*(F_MR/12)),I86)</f>
        <v>0</v>
      </c>
      <c r="K86" s="20" t="n">
        <f aca="false">IF(J86&gt;PR_BalDone,J86+J86*(F_MR/12)-MIN(F_MortPayM,J86+J86*(F_MR/12)),J86)</f>
        <v>0</v>
      </c>
      <c r="L86" s="20" t="n">
        <f aca="false">IF(K86&gt;PR_BalDone,K86+K86*(F_MR/12)-MIN(F_MortPayM,K86+K86*(F_MR/12)),K86)</f>
        <v>0</v>
      </c>
      <c r="M86" s="20" t="n">
        <f aca="false">IF(L86&gt;PR_BalDone,L86+L86*(F_MR/12)-MIN(F_MortPayM,L86+L86*(F_MR/12)),L86)</f>
        <v>0</v>
      </c>
      <c r="N86" s="20" t="n">
        <f aca="false">IF(M86&gt;PR_BalDone,M86+M86*(F_MR/12)-MIN(F_MortPayM,M86+M86*(F_MR/12)),M86)</f>
        <v>0</v>
      </c>
      <c r="O86" s="20" t="n">
        <f aca="false">IF(N86&gt;PR_BalDone,N86+N86*(F_MR/12)-MIN(F_MortPayM,N86+N86*(F_MR/12)),N86)</f>
        <v>0</v>
      </c>
      <c r="P86" s="20" t="n">
        <f aca="false">IF(C86&gt;PR_BalDone,MIN(F_MortPayM,C86+C86*(F_MR/12)),0)</f>
        <v>0</v>
      </c>
      <c r="Q86" s="20" t="n">
        <f aca="false">IF(D86&gt;PR_BalDone,MIN(F_MortPayM,D86+D86*(F_MR/12)),0)</f>
        <v>0</v>
      </c>
      <c r="R86" s="20" t="n">
        <f aca="false">IF(E86&gt;PR_BalDone,MIN(F_MortPayM,E86+E86*(F_MR/12)),0)</f>
        <v>0</v>
      </c>
      <c r="S86" s="20" t="n">
        <f aca="false">IF(F86&gt;PR_BalDone,MIN(F_MortPayM,F86+F86*(F_MR/12)),0)</f>
        <v>0</v>
      </c>
      <c r="T86" s="20" t="n">
        <f aca="false">IF(G86&gt;PR_BalDone,MIN(F_MortPayM,G86+G86*(F_MR/12)),0)</f>
        <v>0</v>
      </c>
      <c r="U86" s="20" t="n">
        <f aca="false">IF(H86&gt;PR_BalDone,MIN(F_MortPayM,H86+H86*(F_MR/12)),0)</f>
        <v>0</v>
      </c>
      <c r="V86" s="20" t="n">
        <f aca="false">IF(I86&gt;PR_BalDone,MIN(F_MortPayM,I86+I86*(F_MR/12)),0)</f>
        <v>0</v>
      </c>
      <c r="W86" s="20" t="n">
        <f aca="false">IF(J86&gt;PR_BalDone,MIN(F_MortPayM,J86+J86*(F_MR/12)),0)</f>
        <v>0</v>
      </c>
      <c r="X86" s="20" t="n">
        <f aca="false">IF(K86&gt;PR_BalDone,MIN(F_MortPayM,K86+K86*(F_MR/12)),0)</f>
        <v>0</v>
      </c>
      <c r="Y86" s="20" t="n">
        <f aca="false">IF(L86&gt;PR_BalDone,MIN(F_MortPayM,L86+L86*(F_MR/12)),0)</f>
        <v>0</v>
      </c>
      <c r="Z86" s="20" t="n">
        <f aca="false">IF(M86&gt;PR_BalDone,MIN(F_MortPayM,M86+M86*(F_MR/12)),0)</f>
        <v>0</v>
      </c>
      <c r="AA86" s="20" t="n">
        <f aca="false">IF(N86&gt;PR_BalDone,MIN(F_MortPayM,N86+N86*(F_MR/12)),0)</f>
        <v>0</v>
      </c>
      <c r="AB86" s="20" t="n">
        <f aca="false">MAX(0,O86)</f>
        <v>0</v>
      </c>
      <c r="AC86" s="20" t="n">
        <f aca="false">SUM(P86:AA86)</f>
        <v>0</v>
      </c>
      <c r="AD86" s="20" t="n">
        <f aca="false">'Plan cashflow'!M86</f>
        <v>0</v>
      </c>
      <c r="AE86" s="20" t="n">
        <f aca="false">IF(AD86&gt;PR_BalDone,AD86+AD86*(D_iC)-MIN(F_CardPayM,AD86+AD86*(D_iC)),AD86)</f>
        <v>0</v>
      </c>
      <c r="AF86" s="20" t="n">
        <f aca="false">IF(AE86&gt;PR_BalDone,AE86+AE86*(D_iC)-MIN(F_CardPayM,AE86+AE86*(D_iC)),AE86)</f>
        <v>0</v>
      </c>
      <c r="AG86" s="20" t="n">
        <f aca="false">IF(AF86&gt;PR_BalDone,AF86+AF86*(D_iC)-MIN(F_CardPayM,AF86+AF86*(D_iC)),AF86)</f>
        <v>0</v>
      </c>
      <c r="AH86" s="20" t="n">
        <f aca="false">IF(AG86&gt;PR_BalDone,AG86+AG86*(D_iC)-MIN(F_CardPayM,AG86+AG86*(D_iC)),AG86)</f>
        <v>0</v>
      </c>
      <c r="AI86" s="20" t="n">
        <f aca="false">IF(AH86&gt;PR_BalDone,AH86+AH86*(D_iC)-MIN(F_CardPayM,AH86+AH86*(D_iC)),AH86)</f>
        <v>0</v>
      </c>
      <c r="AJ86" s="20" t="n">
        <f aca="false">IF(AI86&gt;PR_BalDone,AI86+AI86*(D_iC)-MIN(F_CardPayM,AI86+AI86*(D_iC)),AI86)</f>
        <v>0</v>
      </c>
      <c r="AK86" s="20" t="n">
        <f aca="false">IF(AJ86&gt;PR_BalDone,AJ86+AJ86*(D_iC)-MIN(F_CardPayM,AJ86+AJ86*(D_iC)),AJ86)</f>
        <v>0</v>
      </c>
      <c r="AL86" s="20" t="n">
        <f aca="false">IF(AK86&gt;PR_BalDone,AK86+AK86*(D_iC)-MIN(F_CardPayM,AK86+AK86*(D_iC)),AK86)</f>
        <v>0</v>
      </c>
      <c r="AM86" s="20" t="n">
        <f aca="false">IF(AL86&gt;PR_BalDone,AL86+AL86*(D_iC)-MIN(F_CardPayM,AL86+AL86*(D_iC)),AL86)</f>
        <v>0</v>
      </c>
      <c r="AN86" s="20" t="n">
        <f aca="false">IF(AM86&gt;PR_BalDone,AM86+AM86*(D_iC)-MIN(F_CardPayM,AM86+AM86*(D_iC)),AM86)</f>
        <v>0</v>
      </c>
      <c r="AO86" s="20" t="n">
        <f aca="false">IF(AN86&gt;PR_BalDone,AN86+AN86*(D_iC)-MIN(F_CardPayM,AN86+AN86*(D_iC)),AN86)</f>
        <v>0</v>
      </c>
      <c r="AP86" s="20" t="n">
        <f aca="false">IF(AO86&gt;PR_BalDone,AO86+AO86*(D_iC)-MIN(F_CardPayM,AO86+AO86*(D_iC)),AO86)</f>
        <v>0</v>
      </c>
      <c r="AQ86" s="20" t="n">
        <f aca="false">IF(AD86&gt;PR_BalDone,MIN(F_CardPayM,AD86+AD86*(D_iC)),0)</f>
        <v>0</v>
      </c>
      <c r="AR86" s="20" t="n">
        <f aca="false">IF(AE86&gt;PR_BalDone,MIN(F_CardPayM,AE86+AE86*(D_iC)),0)</f>
        <v>0</v>
      </c>
      <c r="AS86" s="20" t="n">
        <f aca="false">IF(AF86&gt;PR_BalDone,MIN(F_CardPayM,AF86+AF86*(D_iC)),0)</f>
        <v>0</v>
      </c>
      <c r="AT86" s="20" t="n">
        <f aca="false">IF(AG86&gt;PR_BalDone,MIN(F_CardPayM,AG86+AG86*(D_iC)),0)</f>
        <v>0</v>
      </c>
      <c r="AU86" s="20" t="n">
        <f aca="false">IF(AH86&gt;PR_BalDone,MIN(F_CardPayM,AH86+AH86*(D_iC)),0)</f>
        <v>0</v>
      </c>
      <c r="AV86" s="20" t="n">
        <f aca="false">IF(AI86&gt;PR_BalDone,MIN(F_CardPayM,AI86+AI86*(D_iC)),0)</f>
        <v>0</v>
      </c>
      <c r="AW86" s="20" t="n">
        <f aca="false">IF(AJ86&gt;PR_BalDone,MIN(F_CardPayM,AJ86+AJ86*(D_iC)),0)</f>
        <v>0</v>
      </c>
      <c r="AX86" s="20" t="n">
        <f aca="false">IF(AK86&gt;PR_BalDone,MIN(F_CardPayM,AK86+AK86*(D_iC)),0)</f>
        <v>0</v>
      </c>
      <c r="AY86" s="20" t="n">
        <f aca="false">IF(AL86&gt;PR_BalDone,MIN(F_CardPayM,AL86+AL86*(D_iC)),0)</f>
        <v>0</v>
      </c>
      <c r="AZ86" s="20" t="n">
        <f aca="false">IF(AM86&gt;PR_BalDone,MIN(F_CardPayM,AM86+AM86*(D_iC)),0)</f>
        <v>0</v>
      </c>
      <c r="BA86" s="20" t="n">
        <f aca="false">IF(AN86&gt;PR_BalDone,MIN(F_CardPayM,AN86+AN86*(D_iC)),0)</f>
        <v>0</v>
      </c>
      <c r="BB86" s="20" t="n">
        <f aca="false">IF(AO86&gt;PR_BalDone,MIN(F_CardPayM,AO86+AO86*(D_iC)),0)</f>
        <v>0</v>
      </c>
      <c r="BC86" s="20" t="n">
        <f aca="false">MAX(0,AP86)</f>
        <v>0</v>
      </c>
      <c r="BD86" s="20" t="n">
        <f aca="false">SUM(AQ86:BB86)</f>
        <v>0</v>
      </c>
      <c r="BE86" s="20" t="n">
        <f aca="false">'Plan cashflow'!P86</f>
        <v>0</v>
      </c>
      <c r="BF86" s="20" t="n">
        <f aca="false">IF(BE86&gt;PR_BalDone,BE86+BE86*(D_iL)-MIN(F_LoanPayM,BE86+BE86*(D_iL)),BE86)</f>
        <v>0</v>
      </c>
      <c r="BG86" s="20" t="n">
        <f aca="false">IF(BF86&gt;PR_BalDone,BF86+BF86*(D_iL)-MIN(F_LoanPayM,BF86+BF86*(D_iL)),BF86)</f>
        <v>0</v>
      </c>
      <c r="BH86" s="20" t="n">
        <f aca="false">IF(BG86&gt;PR_BalDone,BG86+BG86*(D_iL)-MIN(F_LoanPayM,BG86+BG86*(D_iL)),BG86)</f>
        <v>0</v>
      </c>
      <c r="BI86" s="20" t="n">
        <f aca="false">IF(BH86&gt;PR_BalDone,BH86+BH86*(D_iL)-MIN(F_LoanPayM,BH86+BH86*(D_iL)),BH86)</f>
        <v>0</v>
      </c>
      <c r="BJ86" s="20" t="n">
        <f aca="false">IF(BI86&gt;PR_BalDone,BI86+BI86*(D_iL)-MIN(F_LoanPayM,BI86+BI86*(D_iL)),BI86)</f>
        <v>0</v>
      </c>
      <c r="BK86" s="20" t="n">
        <f aca="false">IF(BJ86&gt;PR_BalDone,BJ86+BJ86*(D_iL)-MIN(F_LoanPayM,BJ86+BJ86*(D_iL)),BJ86)</f>
        <v>0</v>
      </c>
      <c r="BL86" s="20" t="n">
        <f aca="false">IF(BK86&gt;PR_BalDone,BK86+BK86*(D_iL)-MIN(F_LoanPayM,BK86+BK86*(D_iL)),BK86)</f>
        <v>0</v>
      </c>
      <c r="BM86" s="20" t="n">
        <f aca="false">IF(BL86&gt;PR_BalDone,BL86+BL86*(D_iL)-MIN(F_LoanPayM,BL86+BL86*(D_iL)),BL86)</f>
        <v>0</v>
      </c>
      <c r="BN86" s="20" t="n">
        <f aca="false">IF(BM86&gt;PR_BalDone,BM86+BM86*(D_iL)-MIN(F_LoanPayM,BM86+BM86*(D_iL)),BM86)</f>
        <v>0</v>
      </c>
      <c r="BO86" s="20" t="n">
        <f aca="false">IF(BN86&gt;PR_BalDone,BN86+BN86*(D_iL)-MIN(F_LoanPayM,BN86+BN86*(D_iL)),BN86)</f>
        <v>0</v>
      </c>
      <c r="BP86" s="20" t="n">
        <f aca="false">IF(BO86&gt;PR_BalDone,BO86+BO86*(D_iL)-MIN(F_LoanPayM,BO86+BO86*(D_iL)),BO86)</f>
        <v>0</v>
      </c>
      <c r="BQ86" s="20" t="n">
        <f aca="false">IF(BP86&gt;PR_BalDone,BP86+BP86*(D_iL)-MIN(F_LoanPayM,BP86+BP86*(D_iL)),BP86)</f>
        <v>0</v>
      </c>
      <c r="BR86" s="20" t="n">
        <f aca="false">IF(BE86&gt;PR_BalDone,MIN(F_LoanPayM,BE86+BE86*(D_iL)),0)</f>
        <v>0</v>
      </c>
      <c r="BS86" s="20" t="n">
        <f aca="false">IF(BF86&gt;PR_BalDone,MIN(F_LoanPayM,BF86+BF86*(D_iL)),0)</f>
        <v>0</v>
      </c>
      <c r="BT86" s="20" t="n">
        <f aca="false">IF(BG86&gt;PR_BalDone,MIN(F_LoanPayM,BG86+BG86*(D_iL)),0)</f>
        <v>0</v>
      </c>
      <c r="BU86" s="20" t="n">
        <f aca="false">IF(BH86&gt;PR_BalDone,MIN(F_LoanPayM,BH86+BH86*(D_iL)),0)</f>
        <v>0</v>
      </c>
      <c r="BV86" s="20" t="n">
        <f aca="false">IF(BI86&gt;PR_BalDone,MIN(F_LoanPayM,BI86+BI86*(D_iL)),0)</f>
        <v>0</v>
      </c>
      <c r="BW86" s="20" t="n">
        <f aca="false">IF(BJ86&gt;PR_BalDone,MIN(F_LoanPayM,BJ86+BJ86*(D_iL)),0)</f>
        <v>0</v>
      </c>
      <c r="BX86" s="20" t="n">
        <f aca="false">IF(BK86&gt;PR_BalDone,MIN(F_LoanPayM,BK86+BK86*(D_iL)),0)</f>
        <v>0</v>
      </c>
      <c r="BY86" s="20" t="n">
        <f aca="false">IF(BL86&gt;PR_BalDone,MIN(F_LoanPayM,BL86+BL86*(D_iL)),0)</f>
        <v>0</v>
      </c>
      <c r="BZ86" s="20" t="n">
        <f aca="false">IF(BM86&gt;PR_BalDone,MIN(F_LoanPayM,BM86+BM86*(D_iL)),0)</f>
        <v>0</v>
      </c>
      <c r="CA86" s="20" t="n">
        <f aca="false">IF(BN86&gt;PR_BalDone,MIN(F_LoanPayM,BN86+BN86*(D_iL)),0)</f>
        <v>0</v>
      </c>
      <c r="CB86" s="20" t="n">
        <f aca="false">IF(BO86&gt;PR_BalDone,MIN(F_LoanPayM,BO86+BO86*(D_iL)),0)</f>
        <v>0</v>
      </c>
      <c r="CC86" s="20" t="n">
        <f aca="false">IF(BP86&gt;PR_BalDone,MIN(F_LoanPayM,BP86+BP86*(D_iL)),0)</f>
        <v>0</v>
      </c>
      <c r="CD86" s="20" t="n">
        <f aca="false">MAX(0,BQ86)</f>
        <v>0</v>
      </c>
      <c r="CE86" s="20" t="n">
        <f aca="false">SUM(BR86:CC86)</f>
        <v>0</v>
      </c>
      <c r="CF86" s="20" t="n">
        <f aca="false">IF(CF85&gt;1,DE85,CF85)</f>
        <v>0</v>
      </c>
      <c r="CG86" s="20" t="n">
        <f aca="false">IF(CF86&gt;PR_BalDone,CF86+CF86*(F_MR/12)-MIN(F_MortPayM,CF86+CF86*(F_MR/12)),CF86)</f>
        <v>0</v>
      </c>
      <c r="CH86" s="20" t="n">
        <f aca="false">IF(CG86&gt;PR_BalDone,CG86+CG86*(F_MR/12)-MIN(F_MortPayM,CG86+CG86*(F_MR/12)),CG86)</f>
        <v>0</v>
      </c>
      <c r="CI86" s="20" t="n">
        <f aca="false">IF(CH86&gt;PR_BalDone,CH86+CH86*(F_MR/12)-MIN(F_MortPayM,CH86+CH86*(F_MR/12)),CH86)</f>
        <v>0</v>
      </c>
      <c r="CJ86" s="20" t="n">
        <f aca="false">IF(CI86&gt;PR_BalDone,CI86+CI86*(F_MR/12)-MIN(F_MortPayM,CI86+CI86*(F_MR/12)),CI86)</f>
        <v>0</v>
      </c>
      <c r="CK86" s="20" t="n">
        <f aca="false">IF(CJ86&gt;PR_BalDone,CJ86+CJ86*(F_MR/12)-MIN(F_MortPayM,CJ86+CJ86*(F_MR/12)),CJ86)</f>
        <v>0</v>
      </c>
      <c r="CL86" s="20" t="n">
        <f aca="false">IF(CK86&gt;PR_BalDone,CK86+CK86*(F_MR/12)-MIN(F_MortPayM,CK86+CK86*(F_MR/12)),CK86)</f>
        <v>0</v>
      </c>
      <c r="CM86" s="20" t="n">
        <f aca="false">IF(CL86&gt;PR_BalDone,CL86+CL86*(F_MR/12)-MIN(F_MortPayM,CL86+CL86*(F_MR/12)),CL86)</f>
        <v>0</v>
      </c>
      <c r="CN86" s="20" t="n">
        <f aca="false">IF(CM86&gt;PR_BalDone,CM86+CM86*(F_MR/12)-MIN(F_MortPayM,CM86+CM86*(F_MR/12)),CM86)</f>
        <v>0</v>
      </c>
      <c r="CO86" s="20" t="n">
        <f aca="false">IF(CN86&gt;PR_BalDone,CN86+CN86*(F_MR/12)-MIN(F_MortPayM,CN86+CN86*(F_MR/12)),CN86)</f>
        <v>0</v>
      </c>
      <c r="CP86" s="20" t="n">
        <f aca="false">IF(CO86&gt;PR_BalDone,CO86+CO86*(F_MR/12)-MIN(F_MortPayM,CO86+CO86*(F_MR/12)),CO86)</f>
        <v>0</v>
      </c>
      <c r="CQ86" s="20" t="n">
        <f aca="false">IF(CP86&gt;PR_BalDone,CP86+CP86*(F_MR/12)-MIN(F_MortPayM,CP86+CP86*(F_MR/12)),CP86)</f>
        <v>0</v>
      </c>
      <c r="CR86" s="20" t="n">
        <f aca="false">IF(CQ86&gt;PR_BalDone,CQ86+CQ86*(F_MR/12)-MIN(F_MortPayM,CQ86+CQ86*(F_MR/12)),CQ86)</f>
        <v>0</v>
      </c>
      <c r="CS86" s="20" t="n">
        <f aca="false">IF(CF86&gt;PR_BalDone,MIN(F_MortPayM,CF86+CF86*(F_MR/12)),0)</f>
        <v>0</v>
      </c>
      <c r="CT86" s="20" t="n">
        <f aca="false">IF(CG86&gt;PR_BalDone,MIN(F_MortPayM,CG86+CG86*(F_MR/12)),0)</f>
        <v>0</v>
      </c>
      <c r="CU86" s="20" t="n">
        <f aca="false">IF(CH86&gt;PR_BalDone,MIN(F_MortPayM,CH86+CH86*(F_MR/12)),0)</f>
        <v>0</v>
      </c>
      <c r="CV86" s="20" t="n">
        <f aca="false">IF(CI86&gt;PR_BalDone,MIN(F_MortPayM,CI86+CI86*(F_MR/12)),0)</f>
        <v>0</v>
      </c>
      <c r="CW86" s="20" t="n">
        <f aca="false">IF(CJ86&gt;PR_BalDone,MIN(F_MortPayM,CJ86+CJ86*(F_MR/12)),0)</f>
        <v>0</v>
      </c>
      <c r="CX86" s="20" t="n">
        <f aca="false">IF(CK86&gt;PR_BalDone,MIN(F_MortPayM,CK86+CK86*(F_MR/12)),0)</f>
        <v>0</v>
      </c>
      <c r="CY86" s="20" t="n">
        <f aca="false">IF(CL86&gt;PR_BalDone,MIN(F_MortPayM,CL86+CL86*(F_MR/12)),0)</f>
        <v>0</v>
      </c>
      <c r="CZ86" s="20" t="n">
        <f aca="false">IF(CM86&gt;PR_BalDone,MIN(F_MortPayM,CM86+CM86*(F_MR/12)),0)</f>
        <v>0</v>
      </c>
      <c r="DA86" s="20" t="n">
        <f aca="false">IF(CN86&gt;PR_BalDone,MIN(F_MortPayM,CN86+CN86*(F_MR/12)),0)</f>
        <v>0</v>
      </c>
      <c r="DB86" s="20" t="n">
        <f aca="false">IF(CO86&gt;PR_BalDone,MIN(F_MortPayM,CO86+CO86*(F_MR/12)),0)</f>
        <v>0</v>
      </c>
      <c r="DC86" s="20" t="n">
        <f aca="false">IF(CP86&gt;PR_BalDone,MIN(F_MortPayM,CP86+CP86*(F_MR/12)),0)</f>
        <v>0</v>
      </c>
      <c r="DD86" s="20" t="n">
        <f aca="false">IF(CQ86&gt;PR_BalDone,MIN(F_MortPayM,CQ86+CQ86*(F_MR/12)),0)</f>
        <v>0</v>
      </c>
      <c r="DE86" s="20" t="n">
        <f aca="false">MAX(0,CR86)</f>
        <v>0</v>
      </c>
      <c r="DF86" s="20" t="n">
        <f aca="false">SUM(CS86:DD86)</f>
        <v>0</v>
      </c>
      <c r="DG86" s="20" t="n">
        <f aca="false">MAX(0,CF86)</f>
        <v>0</v>
      </c>
    </row>
    <row r="87" customFormat="false" ht="15" hidden="false" customHeight="true" outlineLevel="0" collapsed="false">
      <c r="B87" s="20" t="n">
        <v>79</v>
      </c>
      <c r="C87" s="20" t="n">
        <f aca="false">'Plan cashflow'!J87</f>
        <v>0</v>
      </c>
      <c r="D87" s="20" t="n">
        <f aca="false">IF(C87&gt;PR_BalDone,C87+C87*(F_MR/12)-MIN(F_MortPayM,C87+C87*(F_MR/12)),C87)</f>
        <v>0</v>
      </c>
      <c r="E87" s="20" t="n">
        <f aca="false">IF(D87&gt;PR_BalDone,D87+D87*(F_MR/12)-MIN(F_MortPayM,D87+D87*(F_MR/12)),D87)</f>
        <v>0</v>
      </c>
      <c r="F87" s="20" t="n">
        <f aca="false">IF(E87&gt;PR_BalDone,E87+E87*(F_MR/12)-MIN(F_MortPayM,E87+E87*(F_MR/12)),E87)</f>
        <v>0</v>
      </c>
      <c r="G87" s="20" t="n">
        <f aca="false">IF(F87&gt;PR_BalDone,F87+F87*(F_MR/12)-MIN(F_MortPayM,F87+F87*(F_MR/12)),F87)</f>
        <v>0</v>
      </c>
      <c r="H87" s="20" t="n">
        <f aca="false">IF(G87&gt;PR_BalDone,G87+G87*(F_MR/12)-MIN(F_MortPayM,G87+G87*(F_MR/12)),G87)</f>
        <v>0</v>
      </c>
      <c r="I87" s="20" t="n">
        <f aca="false">IF(H87&gt;PR_BalDone,H87+H87*(F_MR/12)-MIN(F_MortPayM,H87+H87*(F_MR/12)),H87)</f>
        <v>0</v>
      </c>
      <c r="J87" s="20" t="n">
        <f aca="false">IF(I87&gt;PR_BalDone,I87+I87*(F_MR/12)-MIN(F_MortPayM,I87+I87*(F_MR/12)),I87)</f>
        <v>0</v>
      </c>
      <c r="K87" s="20" t="n">
        <f aca="false">IF(J87&gt;PR_BalDone,J87+J87*(F_MR/12)-MIN(F_MortPayM,J87+J87*(F_MR/12)),J87)</f>
        <v>0</v>
      </c>
      <c r="L87" s="20" t="n">
        <f aca="false">IF(K87&gt;PR_BalDone,K87+K87*(F_MR/12)-MIN(F_MortPayM,K87+K87*(F_MR/12)),K87)</f>
        <v>0</v>
      </c>
      <c r="M87" s="20" t="n">
        <f aca="false">IF(L87&gt;PR_BalDone,L87+L87*(F_MR/12)-MIN(F_MortPayM,L87+L87*(F_MR/12)),L87)</f>
        <v>0</v>
      </c>
      <c r="N87" s="20" t="n">
        <f aca="false">IF(M87&gt;PR_BalDone,M87+M87*(F_MR/12)-MIN(F_MortPayM,M87+M87*(F_MR/12)),M87)</f>
        <v>0</v>
      </c>
      <c r="O87" s="20" t="n">
        <f aca="false">IF(N87&gt;PR_BalDone,N87+N87*(F_MR/12)-MIN(F_MortPayM,N87+N87*(F_MR/12)),N87)</f>
        <v>0</v>
      </c>
      <c r="P87" s="20" t="n">
        <f aca="false">IF(C87&gt;PR_BalDone,MIN(F_MortPayM,C87+C87*(F_MR/12)),0)</f>
        <v>0</v>
      </c>
      <c r="Q87" s="20" t="n">
        <f aca="false">IF(D87&gt;PR_BalDone,MIN(F_MortPayM,D87+D87*(F_MR/12)),0)</f>
        <v>0</v>
      </c>
      <c r="R87" s="20" t="n">
        <f aca="false">IF(E87&gt;PR_BalDone,MIN(F_MortPayM,E87+E87*(F_MR/12)),0)</f>
        <v>0</v>
      </c>
      <c r="S87" s="20" t="n">
        <f aca="false">IF(F87&gt;PR_BalDone,MIN(F_MortPayM,F87+F87*(F_MR/12)),0)</f>
        <v>0</v>
      </c>
      <c r="T87" s="20" t="n">
        <f aca="false">IF(G87&gt;PR_BalDone,MIN(F_MortPayM,G87+G87*(F_MR/12)),0)</f>
        <v>0</v>
      </c>
      <c r="U87" s="20" t="n">
        <f aca="false">IF(H87&gt;PR_BalDone,MIN(F_MortPayM,H87+H87*(F_MR/12)),0)</f>
        <v>0</v>
      </c>
      <c r="V87" s="20" t="n">
        <f aca="false">IF(I87&gt;PR_BalDone,MIN(F_MortPayM,I87+I87*(F_MR/12)),0)</f>
        <v>0</v>
      </c>
      <c r="W87" s="20" t="n">
        <f aca="false">IF(J87&gt;PR_BalDone,MIN(F_MortPayM,J87+J87*(F_MR/12)),0)</f>
        <v>0</v>
      </c>
      <c r="X87" s="20" t="n">
        <f aca="false">IF(K87&gt;PR_BalDone,MIN(F_MortPayM,K87+K87*(F_MR/12)),0)</f>
        <v>0</v>
      </c>
      <c r="Y87" s="20" t="n">
        <f aca="false">IF(L87&gt;PR_BalDone,MIN(F_MortPayM,L87+L87*(F_MR/12)),0)</f>
        <v>0</v>
      </c>
      <c r="Z87" s="20" t="n">
        <f aca="false">IF(M87&gt;PR_BalDone,MIN(F_MortPayM,M87+M87*(F_MR/12)),0)</f>
        <v>0</v>
      </c>
      <c r="AA87" s="20" t="n">
        <f aca="false">IF(N87&gt;PR_BalDone,MIN(F_MortPayM,N87+N87*(F_MR/12)),0)</f>
        <v>0</v>
      </c>
      <c r="AB87" s="20" t="n">
        <f aca="false">MAX(0,O87)</f>
        <v>0</v>
      </c>
      <c r="AC87" s="20" t="n">
        <f aca="false">SUM(P87:AA87)</f>
        <v>0</v>
      </c>
      <c r="AD87" s="20" t="n">
        <f aca="false">'Plan cashflow'!M87</f>
        <v>0</v>
      </c>
      <c r="AE87" s="20" t="n">
        <f aca="false">IF(AD87&gt;PR_BalDone,AD87+AD87*(D_iC)-MIN(F_CardPayM,AD87+AD87*(D_iC)),AD87)</f>
        <v>0</v>
      </c>
      <c r="AF87" s="20" t="n">
        <f aca="false">IF(AE87&gt;PR_BalDone,AE87+AE87*(D_iC)-MIN(F_CardPayM,AE87+AE87*(D_iC)),AE87)</f>
        <v>0</v>
      </c>
      <c r="AG87" s="20" t="n">
        <f aca="false">IF(AF87&gt;PR_BalDone,AF87+AF87*(D_iC)-MIN(F_CardPayM,AF87+AF87*(D_iC)),AF87)</f>
        <v>0</v>
      </c>
      <c r="AH87" s="20" t="n">
        <f aca="false">IF(AG87&gt;PR_BalDone,AG87+AG87*(D_iC)-MIN(F_CardPayM,AG87+AG87*(D_iC)),AG87)</f>
        <v>0</v>
      </c>
      <c r="AI87" s="20" t="n">
        <f aca="false">IF(AH87&gt;PR_BalDone,AH87+AH87*(D_iC)-MIN(F_CardPayM,AH87+AH87*(D_iC)),AH87)</f>
        <v>0</v>
      </c>
      <c r="AJ87" s="20" t="n">
        <f aca="false">IF(AI87&gt;PR_BalDone,AI87+AI87*(D_iC)-MIN(F_CardPayM,AI87+AI87*(D_iC)),AI87)</f>
        <v>0</v>
      </c>
      <c r="AK87" s="20" t="n">
        <f aca="false">IF(AJ87&gt;PR_BalDone,AJ87+AJ87*(D_iC)-MIN(F_CardPayM,AJ87+AJ87*(D_iC)),AJ87)</f>
        <v>0</v>
      </c>
      <c r="AL87" s="20" t="n">
        <f aca="false">IF(AK87&gt;PR_BalDone,AK87+AK87*(D_iC)-MIN(F_CardPayM,AK87+AK87*(D_iC)),AK87)</f>
        <v>0</v>
      </c>
      <c r="AM87" s="20" t="n">
        <f aca="false">IF(AL87&gt;PR_BalDone,AL87+AL87*(D_iC)-MIN(F_CardPayM,AL87+AL87*(D_iC)),AL87)</f>
        <v>0</v>
      </c>
      <c r="AN87" s="20" t="n">
        <f aca="false">IF(AM87&gt;PR_BalDone,AM87+AM87*(D_iC)-MIN(F_CardPayM,AM87+AM87*(D_iC)),AM87)</f>
        <v>0</v>
      </c>
      <c r="AO87" s="20" t="n">
        <f aca="false">IF(AN87&gt;PR_BalDone,AN87+AN87*(D_iC)-MIN(F_CardPayM,AN87+AN87*(D_iC)),AN87)</f>
        <v>0</v>
      </c>
      <c r="AP87" s="20" t="n">
        <f aca="false">IF(AO87&gt;PR_BalDone,AO87+AO87*(D_iC)-MIN(F_CardPayM,AO87+AO87*(D_iC)),AO87)</f>
        <v>0</v>
      </c>
      <c r="AQ87" s="20" t="n">
        <f aca="false">IF(AD87&gt;PR_BalDone,MIN(F_CardPayM,AD87+AD87*(D_iC)),0)</f>
        <v>0</v>
      </c>
      <c r="AR87" s="20" t="n">
        <f aca="false">IF(AE87&gt;PR_BalDone,MIN(F_CardPayM,AE87+AE87*(D_iC)),0)</f>
        <v>0</v>
      </c>
      <c r="AS87" s="20" t="n">
        <f aca="false">IF(AF87&gt;PR_BalDone,MIN(F_CardPayM,AF87+AF87*(D_iC)),0)</f>
        <v>0</v>
      </c>
      <c r="AT87" s="20" t="n">
        <f aca="false">IF(AG87&gt;PR_BalDone,MIN(F_CardPayM,AG87+AG87*(D_iC)),0)</f>
        <v>0</v>
      </c>
      <c r="AU87" s="20" t="n">
        <f aca="false">IF(AH87&gt;PR_BalDone,MIN(F_CardPayM,AH87+AH87*(D_iC)),0)</f>
        <v>0</v>
      </c>
      <c r="AV87" s="20" t="n">
        <f aca="false">IF(AI87&gt;PR_BalDone,MIN(F_CardPayM,AI87+AI87*(D_iC)),0)</f>
        <v>0</v>
      </c>
      <c r="AW87" s="20" t="n">
        <f aca="false">IF(AJ87&gt;PR_BalDone,MIN(F_CardPayM,AJ87+AJ87*(D_iC)),0)</f>
        <v>0</v>
      </c>
      <c r="AX87" s="20" t="n">
        <f aca="false">IF(AK87&gt;PR_BalDone,MIN(F_CardPayM,AK87+AK87*(D_iC)),0)</f>
        <v>0</v>
      </c>
      <c r="AY87" s="20" t="n">
        <f aca="false">IF(AL87&gt;PR_BalDone,MIN(F_CardPayM,AL87+AL87*(D_iC)),0)</f>
        <v>0</v>
      </c>
      <c r="AZ87" s="20" t="n">
        <f aca="false">IF(AM87&gt;PR_BalDone,MIN(F_CardPayM,AM87+AM87*(D_iC)),0)</f>
        <v>0</v>
      </c>
      <c r="BA87" s="20" t="n">
        <f aca="false">IF(AN87&gt;PR_BalDone,MIN(F_CardPayM,AN87+AN87*(D_iC)),0)</f>
        <v>0</v>
      </c>
      <c r="BB87" s="20" t="n">
        <f aca="false">IF(AO87&gt;PR_BalDone,MIN(F_CardPayM,AO87+AO87*(D_iC)),0)</f>
        <v>0</v>
      </c>
      <c r="BC87" s="20" t="n">
        <f aca="false">MAX(0,AP87)</f>
        <v>0</v>
      </c>
      <c r="BD87" s="20" t="n">
        <f aca="false">SUM(AQ87:BB87)</f>
        <v>0</v>
      </c>
      <c r="BE87" s="20" t="n">
        <f aca="false">'Plan cashflow'!P87</f>
        <v>0</v>
      </c>
      <c r="BF87" s="20" t="n">
        <f aca="false">IF(BE87&gt;PR_BalDone,BE87+BE87*(D_iL)-MIN(F_LoanPayM,BE87+BE87*(D_iL)),BE87)</f>
        <v>0</v>
      </c>
      <c r="BG87" s="20" t="n">
        <f aca="false">IF(BF87&gt;PR_BalDone,BF87+BF87*(D_iL)-MIN(F_LoanPayM,BF87+BF87*(D_iL)),BF87)</f>
        <v>0</v>
      </c>
      <c r="BH87" s="20" t="n">
        <f aca="false">IF(BG87&gt;PR_BalDone,BG87+BG87*(D_iL)-MIN(F_LoanPayM,BG87+BG87*(D_iL)),BG87)</f>
        <v>0</v>
      </c>
      <c r="BI87" s="20" t="n">
        <f aca="false">IF(BH87&gt;PR_BalDone,BH87+BH87*(D_iL)-MIN(F_LoanPayM,BH87+BH87*(D_iL)),BH87)</f>
        <v>0</v>
      </c>
      <c r="BJ87" s="20" t="n">
        <f aca="false">IF(BI87&gt;PR_BalDone,BI87+BI87*(D_iL)-MIN(F_LoanPayM,BI87+BI87*(D_iL)),BI87)</f>
        <v>0</v>
      </c>
      <c r="BK87" s="20" t="n">
        <f aca="false">IF(BJ87&gt;PR_BalDone,BJ87+BJ87*(D_iL)-MIN(F_LoanPayM,BJ87+BJ87*(D_iL)),BJ87)</f>
        <v>0</v>
      </c>
      <c r="BL87" s="20" t="n">
        <f aca="false">IF(BK87&gt;PR_BalDone,BK87+BK87*(D_iL)-MIN(F_LoanPayM,BK87+BK87*(D_iL)),BK87)</f>
        <v>0</v>
      </c>
      <c r="BM87" s="20" t="n">
        <f aca="false">IF(BL87&gt;PR_BalDone,BL87+BL87*(D_iL)-MIN(F_LoanPayM,BL87+BL87*(D_iL)),BL87)</f>
        <v>0</v>
      </c>
      <c r="BN87" s="20" t="n">
        <f aca="false">IF(BM87&gt;PR_BalDone,BM87+BM87*(D_iL)-MIN(F_LoanPayM,BM87+BM87*(D_iL)),BM87)</f>
        <v>0</v>
      </c>
      <c r="BO87" s="20" t="n">
        <f aca="false">IF(BN87&gt;PR_BalDone,BN87+BN87*(D_iL)-MIN(F_LoanPayM,BN87+BN87*(D_iL)),BN87)</f>
        <v>0</v>
      </c>
      <c r="BP87" s="20" t="n">
        <f aca="false">IF(BO87&gt;PR_BalDone,BO87+BO87*(D_iL)-MIN(F_LoanPayM,BO87+BO87*(D_iL)),BO87)</f>
        <v>0</v>
      </c>
      <c r="BQ87" s="20" t="n">
        <f aca="false">IF(BP87&gt;PR_BalDone,BP87+BP87*(D_iL)-MIN(F_LoanPayM,BP87+BP87*(D_iL)),BP87)</f>
        <v>0</v>
      </c>
      <c r="BR87" s="20" t="n">
        <f aca="false">IF(BE87&gt;PR_BalDone,MIN(F_LoanPayM,BE87+BE87*(D_iL)),0)</f>
        <v>0</v>
      </c>
      <c r="BS87" s="20" t="n">
        <f aca="false">IF(BF87&gt;PR_BalDone,MIN(F_LoanPayM,BF87+BF87*(D_iL)),0)</f>
        <v>0</v>
      </c>
      <c r="BT87" s="20" t="n">
        <f aca="false">IF(BG87&gt;PR_BalDone,MIN(F_LoanPayM,BG87+BG87*(D_iL)),0)</f>
        <v>0</v>
      </c>
      <c r="BU87" s="20" t="n">
        <f aca="false">IF(BH87&gt;PR_BalDone,MIN(F_LoanPayM,BH87+BH87*(D_iL)),0)</f>
        <v>0</v>
      </c>
      <c r="BV87" s="20" t="n">
        <f aca="false">IF(BI87&gt;PR_BalDone,MIN(F_LoanPayM,BI87+BI87*(D_iL)),0)</f>
        <v>0</v>
      </c>
      <c r="BW87" s="20" t="n">
        <f aca="false">IF(BJ87&gt;PR_BalDone,MIN(F_LoanPayM,BJ87+BJ87*(D_iL)),0)</f>
        <v>0</v>
      </c>
      <c r="BX87" s="20" t="n">
        <f aca="false">IF(BK87&gt;PR_BalDone,MIN(F_LoanPayM,BK87+BK87*(D_iL)),0)</f>
        <v>0</v>
      </c>
      <c r="BY87" s="20" t="n">
        <f aca="false">IF(BL87&gt;PR_BalDone,MIN(F_LoanPayM,BL87+BL87*(D_iL)),0)</f>
        <v>0</v>
      </c>
      <c r="BZ87" s="20" t="n">
        <f aca="false">IF(BM87&gt;PR_BalDone,MIN(F_LoanPayM,BM87+BM87*(D_iL)),0)</f>
        <v>0</v>
      </c>
      <c r="CA87" s="20" t="n">
        <f aca="false">IF(BN87&gt;PR_BalDone,MIN(F_LoanPayM,BN87+BN87*(D_iL)),0)</f>
        <v>0</v>
      </c>
      <c r="CB87" s="20" t="n">
        <f aca="false">IF(BO87&gt;PR_BalDone,MIN(F_LoanPayM,BO87+BO87*(D_iL)),0)</f>
        <v>0</v>
      </c>
      <c r="CC87" s="20" t="n">
        <f aca="false">IF(BP87&gt;PR_BalDone,MIN(F_LoanPayM,BP87+BP87*(D_iL)),0)</f>
        <v>0</v>
      </c>
      <c r="CD87" s="20" t="n">
        <f aca="false">MAX(0,BQ87)</f>
        <v>0</v>
      </c>
      <c r="CE87" s="20" t="n">
        <f aca="false">SUM(BR87:CC87)</f>
        <v>0</v>
      </c>
      <c r="CF87" s="20" t="n">
        <f aca="false">IF(CF86&gt;1,DE86,CF86)</f>
        <v>0</v>
      </c>
      <c r="CG87" s="20" t="n">
        <f aca="false">IF(CF87&gt;PR_BalDone,CF87+CF87*(F_MR/12)-MIN(F_MortPayM,CF87+CF87*(F_MR/12)),CF87)</f>
        <v>0</v>
      </c>
      <c r="CH87" s="20" t="n">
        <f aca="false">IF(CG87&gt;PR_BalDone,CG87+CG87*(F_MR/12)-MIN(F_MortPayM,CG87+CG87*(F_MR/12)),CG87)</f>
        <v>0</v>
      </c>
      <c r="CI87" s="20" t="n">
        <f aca="false">IF(CH87&gt;PR_BalDone,CH87+CH87*(F_MR/12)-MIN(F_MortPayM,CH87+CH87*(F_MR/12)),CH87)</f>
        <v>0</v>
      </c>
      <c r="CJ87" s="20" t="n">
        <f aca="false">IF(CI87&gt;PR_BalDone,CI87+CI87*(F_MR/12)-MIN(F_MortPayM,CI87+CI87*(F_MR/12)),CI87)</f>
        <v>0</v>
      </c>
      <c r="CK87" s="20" t="n">
        <f aca="false">IF(CJ87&gt;PR_BalDone,CJ87+CJ87*(F_MR/12)-MIN(F_MortPayM,CJ87+CJ87*(F_MR/12)),CJ87)</f>
        <v>0</v>
      </c>
      <c r="CL87" s="20" t="n">
        <f aca="false">IF(CK87&gt;PR_BalDone,CK87+CK87*(F_MR/12)-MIN(F_MortPayM,CK87+CK87*(F_MR/12)),CK87)</f>
        <v>0</v>
      </c>
      <c r="CM87" s="20" t="n">
        <f aca="false">IF(CL87&gt;PR_BalDone,CL87+CL87*(F_MR/12)-MIN(F_MortPayM,CL87+CL87*(F_MR/12)),CL87)</f>
        <v>0</v>
      </c>
      <c r="CN87" s="20" t="n">
        <f aca="false">IF(CM87&gt;PR_BalDone,CM87+CM87*(F_MR/12)-MIN(F_MortPayM,CM87+CM87*(F_MR/12)),CM87)</f>
        <v>0</v>
      </c>
      <c r="CO87" s="20" t="n">
        <f aca="false">IF(CN87&gt;PR_BalDone,CN87+CN87*(F_MR/12)-MIN(F_MortPayM,CN87+CN87*(F_MR/12)),CN87)</f>
        <v>0</v>
      </c>
      <c r="CP87" s="20" t="n">
        <f aca="false">IF(CO87&gt;PR_BalDone,CO87+CO87*(F_MR/12)-MIN(F_MortPayM,CO87+CO87*(F_MR/12)),CO87)</f>
        <v>0</v>
      </c>
      <c r="CQ87" s="20" t="n">
        <f aca="false">IF(CP87&gt;PR_BalDone,CP87+CP87*(F_MR/12)-MIN(F_MortPayM,CP87+CP87*(F_MR/12)),CP87)</f>
        <v>0</v>
      </c>
      <c r="CR87" s="20" t="n">
        <f aca="false">IF(CQ87&gt;PR_BalDone,CQ87+CQ87*(F_MR/12)-MIN(F_MortPayM,CQ87+CQ87*(F_MR/12)),CQ87)</f>
        <v>0</v>
      </c>
      <c r="CS87" s="20" t="n">
        <f aca="false">IF(CF87&gt;PR_BalDone,MIN(F_MortPayM,CF87+CF87*(F_MR/12)),0)</f>
        <v>0</v>
      </c>
      <c r="CT87" s="20" t="n">
        <f aca="false">IF(CG87&gt;PR_BalDone,MIN(F_MortPayM,CG87+CG87*(F_MR/12)),0)</f>
        <v>0</v>
      </c>
      <c r="CU87" s="20" t="n">
        <f aca="false">IF(CH87&gt;PR_BalDone,MIN(F_MortPayM,CH87+CH87*(F_MR/12)),0)</f>
        <v>0</v>
      </c>
      <c r="CV87" s="20" t="n">
        <f aca="false">IF(CI87&gt;PR_BalDone,MIN(F_MortPayM,CI87+CI87*(F_MR/12)),0)</f>
        <v>0</v>
      </c>
      <c r="CW87" s="20" t="n">
        <f aca="false">IF(CJ87&gt;PR_BalDone,MIN(F_MortPayM,CJ87+CJ87*(F_MR/12)),0)</f>
        <v>0</v>
      </c>
      <c r="CX87" s="20" t="n">
        <f aca="false">IF(CK87&gt;PR_BalDone,MIN(F_MortPayM,CK87+CK87*(F_MR/12)),0)</f>
        <v>0</v>
      </c>
      <c r="CY87" s="20" t="n">
        <f aca="false">IF(CL87&gt;PR_BalDone,MIN(F_MortPayM,CL87+CL87*(F_MR/12)),0)</f>
        <v>0</v>
      </c>
      <c r="CZ87" s="20" t="n">
        <f aca="false">IF(CM87&gt;PR_BalDone,MIN(F_MortPayM,CM87+CM87*(F_MR/12)),0)</f>
        <v>0</v>
      </c>
      <c r="DA87" s="20" t="n">
        <f aca="false">IF(CN87&gt;PR_BalDone,MIN(F_MortPayM,CN87+CN87*(F_MR/12)),0)</f>
        <v>0</v>
      </c>
      <c r="DB87" s="20" t="n">
        <f aca="false">IF(CO87&gt;PR_BalDone,MIN(F_MortPayM,CO87+CO87*(F_MR/12)),0)</f>
        <v>0</v>
      </c>
      <c r="DC87" s="20" t="n">
        <f aca="false">IF(CP87&gt;PR_BalDone,MIN(F_MortPayM,CP87+CP87*(F_MR/12)),0)</f>
        <v>0</v>
      </c>
      <c r="DD87" s="20" t="n">
        <f aca="false">IF(CQ87&gt;PR_BalDone,MIN(F_MortPayM,CQ87+CQ87*(F_MR/12)),0)</f>
        <v>0</v>
      </c>
      <c r="DE87" s="20" t="n">
        <f aca="false">MAX(0,CR87)</f>
        <v>0</v>
      </c>
      <c r="DF87" s="20" t="n">
        <f aca="false">SUM(CS87:DD87)</f>
        <v>0</v>
      </c>
      <c r="DG87" s="20" t="n">
        <f aca="false">MAX(0,CF87)</f>
        <v>0</v>
      </c>
    </row>
    <row r="88" customFormat="false" ht="15" hidden="false" customHeight="true" outlineLevel="0" collapsed="false">
      <c r="B88" s="20" t="n">
        <v>80</v>
      </c>
      <c r="C88" s="20" t="n">
        <f aca="false">'Plan cashflow'!J88</f>
        <v>0</v>
      </c>
      <c r="D88" s="20" t="n">
        <f aca="false">IF(C88&gt;PR_BalDone,C88+C88*(F_MR/12)-MIN(F_MortPayM,C88+C88*(F_MR/12)),C88)</f>
        <v>0</v>
      </c>
      <c r="E88" s="20" t="n">
        <f aca="false">IF(D88&gt;PR_BalDone,D88+D88*(F_MR/12)-MIN(F_MortPayM,D88+D88*(F_MR/12)),D88)</f>
        <v>0</v>
      </c>
      <c r="F88" s="20" t="n">
        <f aca="false">IF(E88&gt;PR_BalDone,E88+E88*(F_MR/12)-MIN(F_MortPayM,E88+E88*(F_MR/12)),E88)</f>
        <v>0</v>
      </c>
      <c r="G88" s="20" t="n">
        <f aca="false">IF(F88&gt;PR_BalDone,F88+F88*(F_MR/12)-MIN(F_MortPayM,F88+F88*(F_MR/12)),F88)</f>
        <v>0</v>
      </c>
      <c r="H88" s="20" t="n">
        <f aca="false">IF(G88&gt;PR_BalDone,G88+G88*(F_MR/12)-MIN(F_MortPayM,G88+G88*(F_MR/12)),G88)</f>
        <v>0</v>
      </c>
      <c r="I88" s="20" t="n">
        <f aca="false">IF(H88&gt;PR_BalDone,H88+H88*(F_MR/12)-MIN(F_MortPayM,H88+H88*(F_MR/12)),H88)</f>
        <v>0</v>
      </c>
      <c r="J88" s="20" t="n">
        <f aca="false">IF(I88&gt;PR_BalDone,I88+I88*(F_MR/12)-MIN(F_MortPayM,I88+I88*(F_MR/12)),I88)</f>
        <v>0</v>
      </c>
      <c r="K88" s="20" t="n">
        <f aca="false">IF(J88&gt;PR_BalDone,J88+J88*(F_MR/12)-MIN(F_MortPayM,J88+J88*(F_MR/12)),J88)</f>
        <v>0</v>
      </c>
      <c r="L88" s="20" t="n">
        <f aca="false">IF(K88&gt;PR_BalDone,K88+K88*(F_MR/12)-MIN(F_MortPayM,K88+K88*(F_MR/12)),K88)</f>
        <v>0</v>
      </c>
      <c r="M88" s="20" t="n">
        <f aca="false">IF(L88&gt;PR_BalDone,L88+L88*(F_MR/12)-MIN(F_MortPayM,L88+L88*(F_MR/12)),L88)</f>
        <v>0</v>
      </c>
      <c r="N88" s="20" t="n">
        <f aca="false">IF(M88&gt;PR_BalDone,M88+M88*(F_MR/12)-MIN(F_MortPayM,M88+M88*(F_MR/12)),M88)</f>
        <v>0</v>
      </c>
      <c r="O88" s="20" t="n">
        <f aca="false">IF(N88&gt;PR_BalDone,N88+N88*(F_MR/12)-MIN(F_MortPayM,N88+N88*(F_MR/12)),N88)</f>
        <v>0</v>
      </c>
      <c r="P88" s="20" t="n">
        <f aca="false">IF(C88&gt;PR_BalDone,MIN(F_MortPayM,C88+C88*(F_MR/12)),0)</f>
        <v>0</v>
      </c>
      <c r="Q88" s="20" t="n">
        <f aca="false">IF(D88&gt;PR_BalDone,MIN(F_MortPayM,D88+D88*(F_MR/12)),0)</f>
        <v>0</v>
      </c>
      <c r="R88" s="20" t="n">
        <f aca="false">IF(E88&gt;PR_BalDone,MIN(F_MortPayM,E88+E88*(F_MR/12)),0)</f>
        <v>0</v>
      </c>
      <c r="S88" s="20" t="n">
        <f aca="false">IF(F88&gt;PR_BalDone,MIN(F_MortPayM,F88+F88*(F_MR/12)),0)</f>
        <v>0</v>
      </c>
      <c r="T88" s="20" t="n">
        <f aca="false">IF(G88&gt;PR_BalDone,MIN(F_MortPayM,G88+G88*(F_MR/12)),0)</f>
        <v>0</v>
      </c>
      <c r="U88" s="20" t="n">
        <f aca="false">IF(H88&gt;PR_BalDone,MIN(F_MortPayM,H88+H88*(F_MR/12)),0)</f>
        <v>0</v>
      </c>
      <c r="V88" s="20" t="n">
        <f aca="false">IF(I88&gt;PR_BalDone,MIN(F_MortPayM,I88+I88*(F_MR/12)),0)</f>
        <v>0</v>
      </c>
      <c r="W88" s="20" t="n">
        <f aca="false">IF(J88&gt;PR_BalDone,MIN(F_MortPayM,J88+J88*(F_MR/12)),0)</f>
        <v>0</v>
      </c>
      <c r="X88" s="20" t="n">
        <f aca="false">IF(K88&gt;PR_BalDone,MIN(F_MortPayM,K88+K88*(F_MR/12)),0)</f>
        <v>0</v>
      </c>
      <c r="Y88" s="20" t="n">
        <f aca="false">IF(L88&gt;PR_BalDone,MIN(F_MortPayM,L88+L88*(F_MR/12)),0)</f>
        <v>0</v>
      </c>
      <c r="Z88" s="20" t="n">
        <f aca="false">IF(M88&gt;PR_BalDone,MIN(F_MortPayM,M88+M88*(F_MR/12)),0)</f>
        <v>0</v>
      </c>
      <c r="AA88" s="20" t="n">
        <f aca="false">IF(N88&gt;PR_BalDone,MIN(F_MortPayM,N88+N88*(F_MR/12)),0)</f>
        <v>0</v>
      </c>
      <c r="AB88" s="20" t="n">
        <f aca="false">MAX(0,O88)</f>
        <v>0</v>
      </c>
      <c r="AC88" s="20" t="n">
        <f aca="false">SUM(P88:AA88)</f>
        <v>0</v>
      </c>
      <c r="AD88" s="20" t="n">
        <f aca="false">'Plan cashflow'!M88</f>
        <v>0</v>
      </c>
      <c r="AE88" s="20" t="n">
        <f aca="false">IF(AD88&gt;PR_BalDone,AD88+AD88*(D_iC)-MIN(F_CardPayM,AD88+AD88*(D_iC)),AD88)</f>
        <v>0</v>
      </c>
      <c r="AF88" s="20" t="n">
        <f aca="false">IF(AE88&gt;PR_BalDone,AE88+AE88*(D_iC)-MIN(F_CardPayM,AE88+AE88*(D_iC)),AE88)</f>
        <v>0</v>
      </c>
      <c r="AG88" s="20" t="n">
        <f aca="false">IF(AF88&gt;PR_BalDone,AF88+AF88*(D_iC)-MIN(F_CardPayM,AF88+AF88*(D_iC)),AF88)</f>
        <v>0</v>
      </c>
      <c r="AH88" s="20" t="n">
        <f aca="false">IF(AG88&gt;PR_BalDone,AG88+AG88*(D_iC)-MIN(F_CardPayM,AG88+AG88*(D_iC)),AG88)</f>
        <v>0</v>
      </c>
      <c r="AI88" s="20" t="n">
        <f aca="false">IF(AH88&gt;PR_BalDone,AH88+AH88*(D_iC)-MIN(F_CardPayM,AH88+AH88*(D_iC)),AH88)</f>
        <v>0</v>
      </c>
      <c r="AJ88" s="20" t="n">
        <f aca="false">IF(AI88&gt;PR_BalDone,AI88+AI88*(D_iC)-MIN(F_CardPayM,AI88+AI88*(D_iC)),AI88)</f>
        <v>0</v>
      </c>
      <c r="AK88" s="20" t="n">
        <f aca="false">IF(AJ88&gt;PR_BalDone,AJ88+AJ88*(D_iC)-MIN(F_CardPayM,AJ88+AJ88*(D_iC)),AJ88)</f>
        <v>0</v>
      </c>
      <c r="AL88" s="20" t="n">
        <f aca="false">IF(AK88&gt;PR_BalDone,AK88+AK88*(D_iC)-MIN(F_CardPayM,AK88+AK88*(D_iC)),AK88)</f>
        <v>0</v>
      </c>
      <c r="AM88" s="20" t="n">
        <f aca="false">IF(AL88&gt;PR_BalDone,AL88+AL88*(D_iC)-MIN(F_CardPayM,AL88+AL88*(D_iC)),AL88)</f>
        <v>0</v>
      </c>
      <c r="AN88" s="20" t="n">
        <f aca="false">IF(AM88&gt;PR_BalDone,AM88+AM88*(D_iC)-MIN(F_CardPayM,AM88+AM88*(D_iC)),AM88)</f>
        <v>0</v>
      </c>
      <c r="AO88" s="20" t="n">
        <f aca="false">IF(AN88&gt;PR_BalDone,AN88+AN88*(D_iC)-MIN(F_CardPayM,AN88+AN88*(D_iC)),AN88)</f>
        <v>0</v>
      </c>
      <c r="AP88" s="20" t="n">
        <f aca="false">IF(AO88&gt;PR_BalDone,AO88+AO88*(D_iC)-MIN(F_CardPayM,AO88+AO88*(D_iC)),AO88)</f>
        <v>0</v>
      </c>
      <c r="AQ88" s="20" t="n">
        <f aca="false">IF(AD88&gt;PR_BalDone,MIN(F_CardPayM,AD88+AD88*(D_iC)),0)</f>
        <v>0</v>
      </c>
      <c r="AR88" s="20" t="n">
        <f aca="false">IF(AE88&gt;PR_BalDone,MIN(F_CardPayM,AE88+AE88*(D_iC)),0)</f>
        <v>0</v>
      </c>
      <c r="AS88" s="20" t="n">
        <f aca="false">IF(AF88&gt;PR_BalDone,MIN(F_CardPayM,AF88+AF88*(D_iC)),0)</f>
        <v>0</v>
      </c>
      <c r="AT88" s="20" t="n">
        <f aca="false">IF(AG88&gt;PR_BalDone,MIN(F_CardPayM,AG88+AG88*(D_iC)),0)</f>
        <v>0</v>
      </c>
      <c r="AU88" s="20" t="n">
        <f aca="false">IF(AH88&gt;PR_BalDone,MIN(F_CardPayM,AH88+AH88*(D_iC)),0)</f>
        <v>0</v>
      </c>
      <c r="AV88" s="20" t="n">
        <f aca="false">IF(AI88&gt;PR_BalDone,MIN(F_CardPayM,AI88+AI88*(D_iC)),0)</f>
        <v>0</v>
      </c>
      <c r="AW88" s="20" t="n">
        <f aca="false">IF(AJ88&gt;PR_BalDone,MIN(F_CardPayM,AJ88+AJ88*(D_iC)),0)</f>
        <v>0</v>
      </c>
      <c r="AX88" s="20" t="n">
        <f aca="false">IF(AK88&gt;PR_BalDone,MIN(F_CardPayM,AK88+AK88*(D_iC)),0)</f>
        <v>0</v>
      </c>
      <c r="AY88" s="20" t="n">
        <f aca="false">IF(AL88&gt;PR_BalDone,MIN(F_CardPayM,AL88+AL88*(D_iC)),0)</f>
        <v>0</v>
      </c>
      <c r="AZ88" s="20" t="n">
        <f aca="false">IF(AM88&gt;PR_BalDone,MIN(F_CardPayM,AM88+AM88*(D_iC)),0)</f>
        <v>0</v>
      </c>
      <c r="BA88" s="20" t="n">
        <f aca="false">IF(AN88&gt;PR_BalDone,MIN(F_CardPayM,AN88+AN88*(D_iC)),0)</f>
        <v>0</v>
      </c>
      <c r="BB88" s="20" t="n">
        <f aca="false">IF(AO88&gt;PR_BalDone,MIN(F_CardPayM,AO88+AO88*(D_iC)),0)</f>
        <v>0</v>
      </c>
      <c r="BC88" s="20" t="n">
        <f aca="false">MAX(0,AP88)</f>
        <v>0</v>
      </c>
      <c r="BD88" s="20" t="n">
        <f aca="false">SUM(AQ88:BB88)</f>
        <v>0</v>
      </c>
      <c r="BE88" s="20" t="n">
        <f aca="false">'Plan cashflow'!P88</f>
        <v>0</v>
      </c>
      <c r="BF88" s="20" t="n">
        <f aca="false">IF(BE88&gt;PR_BalDone,BE88+BE88*(D_iL)-MIN(F_LoanPayM,BE88+BE88*(D_iL)),BE88)</f>
        <v>0</v>
      </c>
      <c r="BG88" s="20" t="n">
        <f aca="false">IF(BF88&gt;PR_BalDone,BF88+BF88*(D_iL)-MIN(F_LoanPayM,BF88+BF88*(D_iL)),BF88)</f>
        <v>0</v>
      </c>
      <c r="BH88" s="20" t="n">
        <f aca="false">IF(BG88&gt;PR_BalDone,BG88+BG88*(D_iL)-MIN(F_LoanPayM,BG88+BG88*(D_iL)),BG88)</f>
        <v>0</v>
      </c>
      <c r="BI88" s="20" t="n">
        <f aca="false">IF(BH88&gt;PR_BalDone,BH88+BH88*(D_iL)-MIN(F_LoanPayM,BH88+BH88*(D_iL)),BH88)</f>
        <v>0</v>
      </c>
      <c r="BJ88" s="20" t="n">
        <f aca="false">IF(BI88&gt;PR_BalDone,BI88+BI88*(D_iL)-MIN(F_LoanPayM,BI88+BI88*(D_iL)),BI88)</f>
        <v>0</v>
      </c>
      <c r="BK88" s="20" t="n">
        <f aca="false">IF(BJ88&gt;PR_BalDone,BJ88+BJ88*(D_iL)-MIN(F_LoanPayM,BJ88+BJ88*(D_iL)),BJ88)</f>
        <v>0</v>
      </c>
      <c r="BL88" s="20" t="n">
        <f aca="false">IF(BK88&gt;PR_BalDone,BK88+BK88*(D_iL)-MIN(F_LoanPayM,BK88+BK88*(D_iL)),BK88)</f>
        <v>0</v>
      </c>
      <c r="BM88" s="20" t="n">
        <f aca="false">IF(BL88&gt;PR_BalDone,BL88+BL88*(D_iL)-MIN(F_LoanPayM,BL88+BL88*(D_iL)),BL88)</f>
        <v>0</v>
      </c>
      <c r="BN88" s="20" t="n">
        <f aca="false">IF(BM88&gt;PR_BalDone,BM88+BM88*(D_iL)-MIN(F_LoanPayM,BM88+BM88*(D_iL)),BM88)</f>
        <v>0</v>
      </c>
      <c r="BO88" s="20" t="n">
        <f aca="false">IF(BN88&gt;PR_BalDone,BN88+BN88*(D_iL)-MIN(F_LoanPayM,BN88+BN88*(D_iL)),BN88)</f>
        <v>0</v>
      </c>
      <c r="BP88" s="20" t="n">
        <f aca="false">IF(BO88&gt;PR_BalDone,BO88+BO88*(D_iL)-MIN(F_LoanPayM,BO88+BO88*(D_iL)),BO88)</f>
        <v>0</v>
      </c>
      <c r="BQ88" s="20" t="n">
        <f aca="false">IF(BP88&gt;PR_BalDone,BP88+BP88*(D_iL)-MIN(F_LoanPayM,BP88+BP88*(D_iL)),BP88)</f>
        <v>0</v>
      </c>
      <c r="BR88" s="20" t="n">
        <f aca="false">IF(BE88&gt;PR_BalDone,MIN(F_LoanPayM,BE88+BE88*(D_iL)),0)</f>
        <v>0</v>
      </c>
      <c r="BS88" s="20" t="n">
        <f aca="false">IF(BF88&gt;PR_BalDone,MIN(F_LoanPayM,BF88+BF88*(D_iL)),0)</f>
        <v>0</v>
      </c>
      <c r="BT88" s="20" t="n">
        <f aca="false">IF(BG88&gt;PR_BalDone,MIN(F_LoanPayM,BG88+BG88*(D_iL)),0)</f>
        <v>0</v>
      </c>
      <c r="BU88" s="20" t="n">
        <f aca="false">IF(BH88&gt;PR_BalDone,MIN(F_LoanPayM,BH88+BH88*(D_iL)),0)</f>
        <v>0</v>
      </c>
      <c r="BV88" s="20" t="n">
        <f aca="false">IF(BI88&gt;PR_BalDone,MIN(F_LoanPayM,BI88+BI88*(D_iL)),0)</f>
        <v>0</v>
      </c>
      <c r="BW88" s="20" t="n">
        <f aca="false">IF(BJ88&gt;PR_BalDone,MIN(F_LoanPayM,BJ88+BJ88*(D_iL)),0)</f>
        <v>0</v>
      </c>
      <c r="BX88" s="20" t="n">
        <f aca="false">IF(BK88&gt;PR_BalDone,MIN(F_LoanPayM,BK88+BK88*(D_iL)),0)</f>
        <v>0</v>
      </c>
      <c r="BY88" s="20" t="n">
        <f aca="false">IF(BL88&gt;PR_BalDone,MIN(F_LoanPayM,BL88+BL88*(D_iL)),0)</f>
        <v>0</v>
      </c>
      <c r="BZ88" s="20" t="n">
        <f aca="false">IF(BM88&gt;PR_BalDone,MIN(F_LoanPayM,BM88+BM88*(D_iL)),0)</f>
        <v>0</v>
      </c>
      <c r="CA88" s="20" t="n">
        <f aca="false">IF(BN88&gt;PR_BalDone,MIN(F_LoanPayM,BN88+BN88*(D_iL)),0)</f>
        <v>0</v>
      </c>
      <c r="CB88" s="20" t="n">
        <f aca="false">IF(BO88&gt;PR_BalDone,MIN(F_LoanPayM,BO88+BO88*(D_iL)),0)</f>
        <v>0</v>
      </c>
      <c r="CC88" s="20" t="n">
        <f aca="false">IF(BP88&gt;PR_BalDone,MIN(F_LoanPayM,BP88+BP88*(D_iL)),0)</f>
        <v>0</v>
      </c>
      <c r="CD88" s="20" t="n">
        <f aca="false">MAX(0,BQ88)</f>
        <v>0</v>
      </c>
      <c r="CE88" s="20" t="n">
        <f aca="false">SUM(BR88:CC88)</f>
        <v>0</v>
      </c>
      <c r="CF88" s="20" t="n">
        <f aca="false">IF(CF87&gt;1,DE87,CF87)</f>
        <v>0</v>
      </c>
      <c r="CG88" s="20" t="n">
        <f aca="false">IF(CF88&gt;PR_BalDone,CF88+CF88*(F_MR/12)-MIN(F_MortPayM,CF88+CF88*(F_MR/12)),CF88)</f>
        <v>0</v>
      </c>
      <c r="CH88" s="20" t="n">
        <f aca="false">IF(CG88&gt;PR_BalDone,CG88+CG88*(F_MR/12)-MIN(F_MortPayM,CG88+CG88*(F_MR/12)),CG88)</f>
        <v>0</v>
      </c>
      <c r="CI88" s="20" t="n">
        <f aca="false">IF(CH88&gt;PR_BalDone,CH88+CH88*(F_MR/12)-MIN(F_MortPayM,CH88+CH88*(F_MR/12)),CH88)</f>
        <v>0</v>
      </c>
      <c r="CJ88" s="20" t="n">
        <f aca="false">IF(CI88&gt;PR_BalDone,CI88+CI88*(F_MR/12)-MIN(F_MortPayM,CI88+CI88*(F_MR/12)),CI88)</f>
        <v>0</v>
      </c>
      <c r="CK88" s="20" t="n">
        <f aca="false">IF(CJ88&gt;PR_BalDone,CJ88+CJ88*(F_MR/12)-MIN(F_MortPayM,CJ88+CJ88*(F_MR/12)),CJ88)</f>
        <v>0</v>
      </c>
      <c r="CL88" s="20" t="n">
        <f aca="false">IF(CK88&gt;PR_BalDone,CK88+CK88*(F_MR/12)-MIN(F_MortPayM,CK88+CK88*(F_MR/12)),CK88)</f>
        <v>0</v>
      </c>
      <c r="CM88" s="20" t="n">
        <f aca="false">IF(CL88&gt;PR_BalDone,CL88+CL88*(F_MR/12)-MIN(F_MortPayM,CL88+CL88*(F_MR/12)),CL88)</f>
        <v>0</v>
      </c>
      <c r="CN88" s="20" t="n">
        <f aca="false">IF(CM88&gt;PR_BalDone,CM88+CM88*(F_MR/12)-MIN(F_MortPayM,CM88+CM88*(F_MR/12)),CM88)</f>
        <v>0</v>
      </c>
      <c r="CO88" s="20" t="n">
        <f aca="false">IF(CN88&gt;PR_BalDone,CN88+CN88*(F_MR/12)-MIN(F_MortPayM,CN88+CN88*(F_MR/12)),CN88)</f>
        <v>0</v>
      </c>
      <c r="CP88" s="20" t="n">
        <f aca="false">IF(CO88&gt;PR_BalDone,CO88+CO88*(F_MR/12)-MIN(F_MortPayM,CO88+CO88*(F_MR/12)),CO88)</f>
        <v>0</v>
      </c>
      <c r="CQ88" s="20" t="n">
        <f aca="false">IF(CP88&gt;PR_BalDone,CP88+CP88*(F_MR/12)-MIN(F_MortPayM,CP88+CP88*(F_MR/12)),CP88)</f>
        <v>0</v>
      </c>
      <c r="CR88" s="20" t="n">
        <f aca="false">IF(CQ88&gt;PR_BalDone,CQ88+CQ88*(F_MR/12)-MIN(F_MortPayM,CQ88+CQ88*(F_MR/12)),CQ88)</f>
        <v>0</v>
      </c>
      <c r="CS88" s="20" t="n">
        <f aca="false">IF(CF88&gt;PR_BalDone,MIN(F_MortPayM,CF88+CF88*(F_MR/12)),0)</f>
        <v>0</v>
      </c>
      <c r="CT88" s="20" t="n">
        <f aca="false">IF(CG88&gt;PR_BalDone,MIN(F_MortPayM,CG88+CG88*(F_MR/12)),0)</f>
        <v>0</v>
      </c>
      <c r="CU88" s="20" t="n">
        <f aca="false">IF(CH88&gt;PR_BalDone,MIN(F_MortPayM,CH88+CH88*(F_MR/12)),0)</f>
        <v>0</v>
      </c>
      <c r="CV88" s="20" t="n">
        <f aca="false">IF(CI88&gt;PR_BalDone,MIN(F_MortPayM,CI88+CI88*(F_MR/12)),0)</f>
        <v>0</v>
      </c>
      <c r="CW88" s="20" t="n">
        <f aca="false">IF(CJ88&gt;PR_BalDone,MIN(F_MortPayM,CJ88+CJ88*(F_MR/12)),0)</f>
        <v>0</v>
      </c>
      <c r="CX88" s="20" t="n">
        <f aca="false">IF(CK88&gt;PR_BalDone,MIN(F_MortPayM,CK88+CK88*(F_MR/12)),0)</f>
        <v>0</v>
      </c>
      <c r="CY88" s="20" t="n">
        <f aca="false">IF(CL88&gt;PR_BalDone,MIN(F_MortPayM,CL88+CL88*(F_MR/12)),0)</f>
        <v>0</v>
      </c>
      <c r="CZ88" s="20" t="n">
        <f aca="false">IF(CM88&gt;PR_BalDone,MIN(F_MortPayM,CM88+CM88*(F_MR/12)),0)</f>
        <v>0</v>
      </c>
      <c r="DA88" s="20" t="n">
        <f aca="false">IF(CN88&gt;PR_BalDone,MIN(F_MortPayM,CN88+CN88*(F_MR/12)),0)</f>
        <v>0</v>
      </c>
      <c r="DB88" s="20" t="n">
        <f aca="false">IF(CO88&gt;PR_BalDone,MIN(F_MortPayM,CO88+CO88*(F_MR/12)),0)</f>
        <v>0</v>
      </c>
      <c r="DC88" s="20" t="n">
        <f aca="false">IF(CP88&gt;PR_BalDone,MIN(F_MortPayM,CP88+CP88*(F_MR/12)),0)</f>
        <v>0</v>
      </c>
      <c r="DD88" s="20" t="n">
        <f aca="false">IF(CQ88&gt;PR_BalDone,MIN(F_MortPayM,CQ88+CQ88*(F_MR/12)),0)</f>
        <v>0</v>
      </c>
      <c r="DE88" s="20" t="n">
        <f aca="false">MAX(0,CR88)</f>
        <v>0</v>
      </c>
      <c r="DF88" s="20" t="n">
        <f aca="false">SUM(CS88:DD88)</f>
        <v>0</v>
      </c>
      <c r="DG88" s="20" t="n">
        <f aca="false">MAX(0,CF88)</f>
        <v>0</v>
      </c>
    </row>
    <row r="89" customFormat="false" ht="15" hidden="false" customHeight="true" outlineLevel="0" collapsed="false">
      <c r="B89" s="20" t="n">
        <v>81</v>
      </c>
      <c r="C89" s="20" t="n">
        <f aca="false">'Plan cashflow'!J89</f>
        <v>0</v>
      </c>
      <c r="D89" s="20" t="n">
        <f aca="false">IF(C89&gt;PR_BalDone,C89+C89*(F_MR/12)-MIN(F_MortPayM,C89+C89*(F_MR/12)),C89)</f>
        <v>0</v>
      </c>
      <c r="E89" s="20" t="n">
        <f aca="false">IF(D89&gt;PR_BalDone,D89+D89*(F_MR/12)-MIN(F_MortPayM,D89+D89*(F_MR/12)),D89)</f>
        <v>0</v>
      </c>
      <c r="F89" s="20" t="n">
        <f aca="false">IF(E89&gt;PR_BalDone,E89+E89*(F_MR/12)-MIN(F_MortPayM,E89+E89*(F_MR/12)),E89)</f>
        <v>0</v>
      </c>
      <c r="G89" s="20" t="n">
        <f aca="false">IF(F89&gt;PR_BalDone,F89+F89*(F_MR/12)-MIN(F_MortPayM,F89+F89*(F_MR/12)),F89)</f>
        <v>0</v>
      </c>
      <c r="H89" s="20" t="n">
        <f aca="false">IF(G89&gt;PR_BalDone,G89+G89*(F_MR/12)-MIN(F_MortPayM,G89+G89*(F_MR/12)),G89)</f>
        <v>0</v>
      </c>
      <c r="I89" s="20" t="n">
        <f aca="false">IF(H89&gt;PR_BalDone,H89+H89*(F_MR/12)-MIN(F_MortPayM,H89+H89*(F_MR/12)),H89)</f>
        <v>0</v>
      </c>
      <c r="J89" s="20" t="n">
        <f aca="false">IF(I89&gt;PR_BalDone,I89+I89*(F_MR/12)-MIN(F_MortPayM,I89+I89*(F_MR/12)),I89)</f>
        <v>0</v>
      </c>
      <c r="K89" s="20" t="n">
        <f aca="false">IF(J89&gt;PR_BalDone,J89+J89*(F_MR/12)-MIN(F_MortPayM,J89+J89*(F_MR/12)),J89)</f>
        <v>0</v>
      </c>
      <c r="L89" s="20" t="n">
        <f aca="false">IF(K89&gt;PR_BalDone,K89+K89*(F_MR/12)-MIN(F_MortPayM,K89+K89*(F_MR/12)),K89)</f>
        <v>0</v>
      </c>
      <c r="M89" s="20" t="n">
        <f aca="false">IF(L89&gt;PR_BalDone,L89+L89*(F_MR/12)-MIN(F_MortPayM,L89+L89*(F_MR/12)),L89)</f>
        <v>0</v>
      </c>
      <c r="N89" s="20" t="n">
        <f aca="false">IF(M89&gt;PR_BalDone,M89+M89*(F_MR/12)-MIN(F_MortPayM,M89+M89*(F_MR/12)),M89)</f>
        <v>0</v>
      </c>
      <c r="O89" s="20" t="n">
        <f aca="false">IF(N89&gt;PR_BalDone,N89+N89*(F_MR/12)-MIN(F_MortPayM,N89+N89*(F_MR/12)),N89)</f>
        <v>0</v>
      </c>
      <c r="P89" s="20" t="n">
        <f aca="false">IF(C89&gt;PR_BalDone,MIN(F_MortPayM,C89+C89*(F_MR/12)),0)</f>
        <v>0</v>
      </c>
      <c r="Q89" s="20" t="n">
        <f aca="false">IF(D89&gt;PR_BalDone,MIN(F_MortPayM,D89+D89*(F_MR/12)),0)</f>
        <v>0</v>
      </c>
      <c r="R89" s="20" t="n">
        <f aca="false">IF(E89&gt;PR_BalDone,MIN(F_MortPayM,E89+E89*(F_MR/12)),0)</f>
        <v>0</v>
      </c>
      <c r="S89" s="20" t="n">
        <f aca="false">IF(F89&gt;PR_BalDone,MIN(F_MortPayM,F89+F89*(F_MR/12)),0)</f>
        <v>0</v>
      </c>
      <c r="T89" s="20" t="n">
        <f aca="false">IF(G89&gt;PR_BalDone,MIN(F_MortPayM,G89+G89*(F_MR/12)),0)</f>
        <v>0</v>
      </c>
      <c r="U89" s="20" t="n">
        <f aca="false">IF(H89&gt;PR_BalDone,MIN(F_MortPayM,H89+H89*(F_MR/12)),0)</f>
        <v>0</v>
      </c>
      <c r="V89" s="20" t="n">
        <f aca="false">IF(I89&gt;PR_BalDone,MIN(F_MortPayM,I89+I89*(F_MR/12)),0)</f>
        <v>0</v>
      </c>
      <c r="W89" s="20" t="n">
        <f aca="false">IF(J89&gt;PR_BalDone,MIN(F_MortPayM,J89+J89*(F_MR/12)),0)</f>
        <v>0</v>
      </c>
      <c r="X89" s="20" t="n">
        <f aca="false">IF(K89&gt;PR_BalDone,MIN(F_MortPayM,K89+K89*(F_MR/12)),0)</f>
        <v>0</v>
      </c>
      <c r="Y89" s="20" t="n">
        <f aca="false">IF(L89&gt;PR_BalDone,MIN(F_MortPayM,L89+L89*(F_MR/12)),0)</f>
        <v>0</v>
      </c>
      <c r="Z89" s="20" t="n">
        <f aca="false">IF(M89&gt;PR_BalDone,MIN(F_MortPayM,M89+M89*(F_MR/12)),0)</f>
        <v>0</v>
      </c>
      <c r="AA89" s="20" t="n">
        <f aca="false">IF(N89&gt;PR_BalDone,MIN(F_MortPayM,N89+N89*(F_MR/12)),0)</f>
        <v>0</v>
      </c>
      <c r="AB89" s="20" t="n">
        <f aca="false">MAX(0,O89)</f>
        <v>0</v>
      </c>
      <c r="AC89" s="20" t="n">
        <f aca="false">SUM(P89:AA89)</f>
        <v>0</v>
      </c>
      <c r="AD89" s="20" t="n">
        <f aca="false">'Plan cashflow'!M89</f>
        <v>0</v>
      </c>
      <c r="AE89" s="20" t="n">
        <f aca="false">IF(AD89&gt;PR_BalDone,AD89+AD89*(D_iC)-MIN(F_CardPayM,AD89+AD89*(D_iC)),AD89)</f>
        <v>0</v>
      </c>
      <c r="AF89" s="20" t="n">
        <f aca="false">IF(AE89&gt;PR_BalDone,AE89+AE89*(D_iC)-MIN(F_CardPayM,AE89+AE89*(D_iC)),AE89)</f>
        <v>0</v>
      </c>
      <c r="AG89" s="20" t="n">
        <f aca="false">IF(AF89&gt;PR_BalDone,AF89+AF89*(D_iC)-MIN(F_CardPayM,AF89+AF89*(D_iC)),AF89)</f>
        <v>0</v>
      </c>
      <c r="AH89" s="20" t="n">
        <f aca="false">IF(AG89&gt;PR_BalDone,AG89+AG89*(D_iC)-MIN(F_CardPayM,AG89+AG89*(D_iC)),AG89)</f>
        <v>0</v>
      </c>
      <c r="AI89" s="20" t="n">
        <f aca="false">IF(AH89&gt;PR_BalDone,AH89+AH89*(D_iC)-MIN(F_CardPayM,AH89+AH89*(D_iC)),AH89)</f>
        <v>0</v>
      </c>
      <c r="AJ89" s="20" t="n">
        <f aca="false">IF(AI89&gt;PR_BalDone,AI89+AI89*(D_iC)-MIN(F_CardPayM,AI89+AI89*(D_iC)),AI89)</f>
        <v>0</v>
      </c>
      <c r="AK89" s="20" t="n">
        <f aca="false">IF(AJ89&gt;PR_BalDone,AJ89+AJ89*(D_iC)-MIN(F_CardPayM,AJ89+AJ89*(D_iC)),AJ89)</f>
        <v>0</v>
      </c>
      <c r="AL89" s="20" t="n">
        <f aca="false">IF(AK89&gt;PR_BalDone,AK89+AK89*(D_iC)-MIN(F_CardPayM,AK89+AK89*(D_iC)),AK89)</f>
        <v>0</v>
      </c>
      <c r="AM89" s="20" t="n">
        <f aca="false">IF(AL89&gt;PR_BalDone,AL89+AL89*(D_iC)-MIN(F_CardPayM,AL89+AL89*(D_iC)),AL89)</f>
        <v>0</v>
      </c>
      <c r="AN89" s="20" t="n">
        <f aca="false">IF(AM89&gt;PR_BalDone,AM89+AM89*(D_iC)-MIN(F_CardPayM,AM89+AM89*(D_iC)),AM89)</f>
        <v>0</v>
      </c>
      <c r="AO89" s="20" t="n">
        <f aca="false">IF(AN89&gt;PR_BalDone,AN89+AN89*(D_iC)-MIN(F_CardPayM,AN89+AN89*(D_iC)),AN89)</f>
        <v>0</v>
      </c>
      <c r="AP89" s="20" t="n">
        <f aca="false">IF(AO89&gt;PR_BalDone,AO89+AO89*(D_iC)-MIN(F_CardPayM,AO89+AO89*(D_iC)),AO89)</f>
        <v>0</v>
      </c>
      <c r="AQ89" s="20" t="n">
        <f aca="false">IF(AD89&gt;PR_BalDone,MIN(F_CardPayM,AD89+AD89*(D_iC)),0)</f>
        <v>0</v>
      </c>
      <c r="AR89" s="20" t="n">
        <f aca="false">IF(AE89&gt;PR_BalDone,MIN(F_CardPayM,AE89+AE89*(D_iC)),0)</f>
        <v>0</v>
      </c>
      <c r="AS89" s="20" t="n">
        <f aca="false">IF(AF89&gt;PR_BalDone,MIN(F_CardPayM,AF89+AF89*(D_iC)),0)</f>
        <v>0</v>
      </c>
      <c r="AT89" s="20" t="n">
        <f aca="false">IF(AG89&gt;PR_BalDone,MIN(F_CardPayM,AG89+AG89*(D_iC)),0)</f>
        <v>0</v>
      </c>
      <c r="AU89" s="20" t="n">
        <f aca="false">IF(AH89&gt;PR_BalDone,MIN(F_CardPayM,AH89+AH89*(D_iC)),0)</f>
        <v>0</v>
      </c>
      <c r="AV89" s="20" t="n">
        <f aca="false">IF(AI89&gt;PR_BalDone,MIN(F_CardPayM,AI89+AI89*(D_iC)),0)</f>
        <v>0</v>
      </c>
      <c r="AW89" s="20" t="n">
        <f aca="false">IF(AJ89&gt;PR_BalDone,MIN(F_CardPayM,AJ89+AJ89*(D_iC)),0)</f>
        <v>0</v>
      </c>
      <c r="AX89" s="20" t="n">
        <f aca="false">IF(AK89&gt;PR_BalDone,MIN(F_CardPayM,AK89+AK89*(D_iC)),0)</f>
        <v>0</v>
      </c>
      <c r="AY89" s="20" t="n">
        <f aca="false">IF(AL89&gt;PR_BalDone,MIN(F_CardPayM,AL89+AL89*(D_iC)),0)</f>
        <v>0</v>
      </c>
      <c r="AZ89" s="20" t="n">
        <f aca="false">IF(AM89&gt;PR_BalDone,MIN(F_CardPayM,AM89+AM89*(D_iC)),0)</f>
        <v>0</v>
      </c>
      <c r="BA89" s="20" t="n">
        <f aca="false">IF(AN89&gt;PR_BalDone,MIN(F_CardPayM,AN89+AN89*(D_iC)),0)</f>
        <v>0</v>
      </c>
      <c r="BB89" s="20" t="n">
        <f aca="false">IF(AO89&gt;PR_BalDone,MIN(F_CardPayM,AO89+AO89*(D_iC)),0)</f>
        <v>0</v>
      </c>
      <c r="BC89" s="20" t="n">
        <f aca="false">MAX(0,AP89)</f>
        <v>0</v>
      </c>
      <c r="BD89" s="20" t="n">
        <f aca="false">SUM(AQ89:BB89)</f>
        <v>0</v>
      </c>
      <c r="BE89" s="20" t="n">
        <f aca="false">'Plan cashflow'!P89</f>
        <v>0</v>
      </c>
      <c r="BF89" s="20" t="n">
        <f aca="false">IF(BE89&gt;PR_BalDone,BE89+BE89*(D_iL)-MIN(F_LoanPayM,BE89+BE89*(D_iL)),BE89)</f>
        <v>0</v>
      </c>
      <c r="BG89" s="20" t="n">
        <f aca="false">IF(BF89&gt;PR_BalDone,BF89+BF89*(D_iL)-MIN(F_LoanPayM,BF89+BF89*(D_iL)),BF89)</f>
        <v>0</v>
      </c>
      <c r="BH89" s="20" t="n">
        <f aca="false">IF(BG89&gt;PR_BalDone,BG89+BG89*(D_iL)-MIN(F_LoanPayM,BG89+BG89*(D_iL)),BG89)</f>
        <v>0</v>
      </c>
      <c r="BI89" s="20" t="n">
        <f aca="false">IF(BH89&gt;PR_BalDone,BH89+BH89*(D_iL)-MIN(F_LoanPayM,BH89+BH89*(D_iL)),BH89)</f>
        <v>0</v>
      </c>
      <c r="BJ89" s="20" t="n">
        <f aca="false">IF(BI89&gt;PR_BalDone,BI89+BI89*(D_iL)-MIN(F_LoanPayM,BI89+BI89*(D_iL)),BI89)</f>
        <v>0</v>
      </c>
      <c r="BK89" s="20" t="n">
        <f aca="false">IF(BJ89&gt;PR_BalDone,BJ89+BJ89*(D_iL)-MIN(F_LoanPayM,BJ89+BJ89*(D_iL)),BJ89)</f>
        <v>0</v>
      </c>
      <c r="BL89" s="20" t="n">
        <f aca="false">IF(BK89&gt;PR_BalDone,BK89+BK89*(D_iL)-MIN(F_LoanPayM,BK89+BK89*(D_iL)),BK89)</f>
        <v>0</v>
      </c>
      <c r="BM89" s="20" t="n">
        <f aca="false">IF(BL89&gt;PR_BalDone,BL89+BL89*(D_iL)-MIN(F_LoanPayM,BL89+BL89*(D_iL)),BL89)</f>
        <v>0</v>
      </c>
      <c r="BN89" s="20" t="n">
        <f aca="false">IF(BM89&gt;PR_BalDone,BM89+BM89*(D_iL)-MIN(F_LoanPayM,BM89+BM89*(D_iL)),BM89)</f>
        <v>0</v>
      </c>
      <c r="BO89" s="20" t="n">
        <f aca="false">IF(BN89&gt;PR_BalDone,BN89+BN89*(D_iL)-MIN(F_LoanPayM,BN89+BN89*(D_iL)),BN89)</f>
        <v>0</v>
      </c>
      <c r="BP89" s="20" t="n">
        <f aca="false">IF(BO89&gt;PR_BalDone,BO89+BO89*(D_iL)-MIN(F_LoanPayM,BO89+BO89*(D_iL)),BO89)</f>
        <v>0</v>
      </c>
      <c r="BQ89" s="20" t="n">
        <f aca="false">IF(BP89&gt;PR_BalDone,BP89+BP89*(D_iL)-MIN(F_LoanPayM,BP89+BP89*(D_iL)),BP89)</f>
        <v>0</v>
      </c>
      <c r="BR89" s="20" t="n">
        <f aca="false">IF(BE89&gt;PR_BalDone,MIN(F_LoanPayM,BE89+BE89*(D_iL)),0)</f>
        <v>0</v>
      </c>
      <c r="BS89" s="20" t="n">
        <f aca="false">IF(BF89&gt;PR_BalDone,MIN(F_LoanPayM,BF89+BF89*(D_iL)),0)</f>
        <v>0</v>
      </c>
      <c r="BT89" s="20" t="n">
        <f aca="false">IF(BG89&gt;PR_BalDone,MIN(F_LoanPayM,BG89+BG89*(D_iL)),0)</f>
        <v>0</v>
      </c>
      <c r="BU89" s="20" t="n">
        <f aca="false">IF(BH89&gt;PR_BalDone,MIN(F_LoanPayM,BH89+BH89*(D_iL)),0)</f>
        <v>0</v>
      </c>
      <c r="BV89" s="20" t="n">
        <f aca="false">IF(BI89&gt;PR_BalDone,MIN(F_LoanPayM,BI89+BI89*(D_iL)),0)</f>
        <v>0</v>
      </c>
      <c r="BW89" s="20" t="n">
        <f aca="false">IF(BJ89&gt;PR_BalDone,MIN(F_LoanPayM,BJ89+BJ89*(D_iL)),0)</f>
        <v>0</v>
      </c>
      <c r="BX89" s="20" t="n">
        <f aca="false">IF(BK89&gt;PR_BalDone,MIN(F_LoanPayM,BK89+BK89*(D_iL)),0)</f>
        <v>0</v>
      </c>
      <c r="BY89" s="20" t="n">
        <f aca="false">IF(BL89&gt;PR_BalDone,MIN(F_LoanPayM,BL89+BL89*(D_iL)),0)</f>
        <v>0</v>
      </c>
      <c r="BZ89" s="20" t="n">
        <f aca="false">IF(BM89&gt;PR_BalDone,MIN(F_LoanPayM,BM89+BM89*(D_iL)),0)</f>
        <v>0</v>
      </c>
      <c r="CA89" s="20" t="n">
        <f aca="false">IF(BN89&gt;PR_BalDone,MIN(F_LoanPayM,BN89+BN89*(D_iL)),0)</f>
        <v>0</v>
      </c>
      <c r="CB89" s="20" t="n">
        <f aca="false">IF(BO89&gt;PR_BalDone,MIN(F_LoanPayM,BO89+BO89*(D_iL)),0)</f>
        <v>0</v>
      </c>
      <c r="CC89" s="20" t="n">
        <f aca="false">IF(BP89&gt;PR_BalDone,MIN(F_LoanPayM,BP89+BP89*(D_iL)),0)</f>
        <v>0</v>
      </c>
      <c r="CD89" s="20" t="n">
        <f aca="false">MAX(0,BQ89)</f>
        <v>0</v>
      </c>
      <c r="CE89" s="20" t="n">
        <f aca="false">SUM(BR89:CC89)</f>
        <v>0</v>
      </c>
      <c r="CF89" s="20" t="n">
        <f aca="false">IF(CF88&gt;1,DE88,CF88)</f>
        <v>0</v>
      </c>
      <c r="CG89" s="20" t="n">
        <f aca="false">IF(CF89&gt;PR_BalDone,CF89+CF89*(F_MR/12)-MIN(F_MortPayM,CF89+CF89*(F_MR/12)),CF89)</f>
        <v>0</v>
      </c>
      <c r="CH89" s="20" t="n">
        <f aca="false">IF(CG89&gt;PR_BalDone,CG89+CG89*(F_MR/12)-MIN(F_MortPayM,CG89+CG89*(F_MR/12)),CG89)</f>
        <v>0</v>
      </c>
      <c r="CI89" s="20" t="n">
        <f aca="false">IF(CH89&gt;PR_BalDone,CH89+CH89*(F_MR/12)-MIN(F_MortPayM,CH89+CH89*(F_MR/12)),CH89)</f>
        <v>0</v>
      </c>
      <c r="CJ89" s="20" t="n">
        <f aca="false">IF(CI89&gt;PR_BalDone,CI89+CI89*(F_MR/12)-MIN(F_MortPayM,CI89+CI89*(F_MR/12)),CI89)</f>
        <v>0</v>
      </c>
      <c r="CK89" s="20" t="n">
        <f aca="false">IF(CJ89&gt;PR_BalDone,CJ89+CJ89*(F_MR/12)-MIN(F_MortPayM,CJ89+CJ89*(F_MR/12)),CJ89)</f>
        <v>0</v>
      </c>
      <c r="CL89" s="20" t="n">
        <f aca="false">IF(CK89&gt;PR_BalDone,CK89+CK89*(F_MR/12)-MIN(F_MortPayM,CK89+CK89*(F_MR/12)),CK89)</f>
        <v>0</v>
      </c>
      <c r="CM89" s="20" t="n">
        <f aca="false">IF(CL89&gt;PR_BalDone,CL89+CL89*(F_MR/12)-MIN(F_MortPayM,CL89+CL89*(F_MR/12)),CL89)</f>
        <v>0</v>
      </c>
      <c r="CN89" s="20" t="n">
        <f aca="false">IF(CM89&gt;PR_BalDone,CM89+CM89*(F_MR/12)-MIN(F_MortPayM,CM89+CM89*(F_MR/12)),CM89)</f>
        <v>0</v>
      </c>
      <c r="CO89" s="20" t="n">
        <f aca="false">IF(CN89&gt;PR_BalDone,CN89+CN89*(F_MR/12)-MIN(F_MortPayM,CN89+CN89*(F_MR/12)),CN89)</f>
        <v>0</v>
      </c>
      <c r="CP89" s="20" t="n">
        <f aca="false">IF(CO89&gt;PR_BalDone,CO89+CO89*(F_MR/12)-MIN(F_MortPayM,CO89+CO89*(F_MR/12)),CO89)</f>
        <v>0</v>
      </c>
      <c r="CQ89" s="20" t="n">
        <f aca="false">IF(CP89&gt;PR_BalDone,CP89+CP89*(F_MR/12)-MIN(F_MortPayM,CP89+CP89*(F_MR/12)),CP89)</f>
        <v>0</v>
      </c>
      <c r="CR89" s="20" t="n">
        <f aca="false">IF(CQ89&gt;PR_BalDone,CQ89+CQ89*(F_MR/12)-MIN(F_MortPayM,CQ89+CQ89*(F_MR/12)),CQ89)</f>
        <v>0</v>
      </c>
      <c r="CS89" s="20" t="n">
        <f aca="false">IF(CF89&gt;PR_BalDone,MIN(F_MortPayM,CF89+CF89*(F_MR/12)),0)</f>
        <v>0</v>
      </c>
      <c r="CT89" s="20" t="n">
        <f aca="false">IF(CG89&gt;PR_BalDone,MIN(F_MortPayM,CG89+CG89*(F_MR/12)),0)</f>
        <v>0</v>
      </c>
      <c r="CU89" s="20" t="n">
        <f aca="false">IF(CH89&gt;PR_BalDone,MIN(F_MortPayM,CH89+CH89*(F_MR/12)),0)</f>
        <v>0</v>
      </c>
      <c r="CV89" s="20" t="n">
        <f aca="false">IF(CI89&gt;PR_BalDone,MIN(F_MortPayM,CI89+CI89*(F_MR/12)),0)</f>
        <v>0</v>
      </c>
      <c r="CW89" s="20" t="n">
        <f aca="false">IF(CJ89&gt;PR_BalDone,MIN(F_MortPayM,CJ89+CJ89*(F_MR/12)),0)</f>
        <v>0</v>
      </c>
      <c r="CX89" s="20" t="n">
        <f aca="false">IF(CK89&gt;PR_BalDone,MIN(F_MortPayM,CK89+CK89*(F_MR/12)),0)</f>
        <v>0</v>
      </c>
      <c r="CY89" s="20" t="n">
        <f aca="false">IF(CL89&gt;PR_BalDone,MIN(F_MortPayM,CL89+CL89*(F_MR/12)),0)</f>
        <v>0</v>
      </c>
      <c r="CZ89" s="20" t="n">
        <f aca="false">IF(CM89&gt;PR_BalDone,MIN(F_MortPayM,CM89+CM89*(F_MR/12)),0)</f>
        <v>0</v>
      </c>
      <c r="DA89" s="20" t="n">
        <f aca="false">IF(CN89&gt;PR_BalDone,MIN(F_MortPayM,CN89+CN89*(F_MR/12)),0)</f>
        <v>0</v>
      </c>
      <c r="DB89" s="20" t="n">
        <f aca="false">IF(CO89&gt;PR_BalDone,MIN(F_MortPayM,CO89+CO89*(F_MR/12)),0)</f>
        <v>0</v>
      </c>
      <c r="DC89" s="20" t="n">
        <f aca="false">IF(CP89&gt;PR_BalDone,MIN(F_MortPayM,CP89+CP89*(F_MR/12)),0)</f>
        <v>0</v>
      </c>
      <c r="DD89" s="20" t="n">
        <f aca="false">IF(CQ89&gt;PR_BalDone,MIN(F_MortPayM,CQ89+CQ89*(F_MR/12)),0)</f>
        <v>0</v>
      </c>
      <c r="DE89" s="20" t="n">
        <f aca="false">MAX(0,CR89)</f>
        <v>0</v>
      </c>
      <c r="DF89" s="20" t="n">
        <f aca="false">SUM(CS89:DD89)</f>
        <v>0</v>
      </c>
      <c r="DG89" s="20" t="n">
        <f aca="false">MAX(0,CF89)</f>
        <v>0</v>
      </c>
    </row>
    <row r="90" customFormat="false" ht="15" hidden="false" customHeight="true" outlineLevel="0" collapsed="false">
      <c r="B90" s="20" t="n">
        <v>82</v>
      </c>
      <c r="C90" s="20" t="n">
        <f aca="false">'Plan cashflow'!J90</f>
        <v>0</v>
      </c>
      <c r="D90" s="20" t="n">
        <f aca="false">IF(C90&gt;PR_BalDone,C90+C90*(F_MR/12)-MIN(F_MortPayM,C90+C90*(F_MR/12)),C90)</f>
        <v>0</v>
      </c>
      <c r="E90" s="20" t="n">
        <f aca="false">IF(D90&gt;PR_BalDone,D90+D90*(F_MR/12)-MIN(F_MortPayM,D90+D90*(F_MR/12)),D90)</f>
        <v>0</v>
      </c>
      <c r="F90" s="20" t="n">
        <f aca="false">IF(E90&gt;PR_BalDone,E90+E90*(F_MR/12)-MIN(F_MortPayM,E90+E90*(F_MR/12)),E90)</f>
        <v>0</v>
      </c>
      <c r="G90" s="20" t="n">
        <f aca="false">IF(F90&gt;PR_BalDone,F90+F90*(F_MR/12)-MIN(F_MortPayM,F90+F90*(F_MR/12)),F90)</f>
        <v>0</v>
      </c>
      <c r="H90" s="20" t="n">
        <f aca="false">IF(G90&gt;PR_BalDone,G90+G90*(F_MR/12)-MIN(F_MortPayM,G90+G90*(F_MR/12)),G90)</f>
        <v>0</v>
      </c>
      <c r="I90" s="20" t="n">
        <f aca="false">IF(H90&gt;PR_BalDone,H90+H90*(F_MR/12)-MIN(F_MortPayM,H90+H90*(F_MR/12)),H90)</f>
        <v>0</v>
      </c>
      <c r="J90" s="20" t="n">
        <f aca="false">IF(I90&gt;PR_BalDone,I90+I90*(F_MR/12)-MIN(F_MortPayM,I90+I90*(F_MR/12)),I90)</f>
        <v>0</v>
      </c>
      <c r="K90" s="20" t="n">
        <f aca="false">IF(J90&gt;PR_BalDone,J90+J90*(F_MR/12)-MIN(F_MortPayM,J90+J90*(F_MR/12)),J90)</f>
        <v>0</v>
      </c>
      <c r="L90" s="20" t="n">
        <f aca="false">IF(K90&gt;PR_BalDone,K90+K90*(F_MR/12)-MIN(F_MortPayM,K90+K90*(F_MR/12)),K90)</f>
        <v>0</v>
      </c>
      <c r="M90" s="20" t="n">
        <f aca="false">IF(L90&gt;PR_BalDone,L90+L90*(F_MR/12)-MIN(F_MortPayM,L90+L90*(F_MR/12)),L90)</f>
        <v>0</v>
      </c>
      <c r="N90" s="20" t="n">
        <f aca="false">IF(M90&gt;PR_BalDone,M90+M90*(F_MR/12)-MIN(F_MortPayM,M90+M90*(F_MR/12)),M90)</f>
        <v>0</v>
      </c>
      <c r="O90" s="20" t="n">
        <f aca="false">IF(N90&gt;PR_BalDone,N90+N90*(F_MR/12)-MIN(F_MortPayM,N90+N90*(F_MR/12)),N90)</f>
        <v>0</v>
      </c>
      <c r="P90" s="20" t="n">
        <f aca="false">IF(C90&gt;PR_BalDone,MIN(F_MortPayM,C90+C90*(F_MR/12)),0)</f>
        <v>0</v>
      </c>
      <c r="Q90" s="20" t="n">
        <f aca="false">IF(D90&gt;PR_BalDone,MIN(F_MortPayM,D90+D90*(F_MR/12)),0)</f>
        <v>0</v>
      </c>
      <c r="R90" s="20" t="n">
        <f aca="false">IF(E90&gt;PR_BalDone,MIN(F_MortPayM,E90+E90*(F_MR/12)),0)</f>
        <v>0</v>
      </c>
      <c r="S90" s="20" t="n">
        <f aca="false">IF(F90&gt;PR_BalDone,MIN(F_MortPayM,F90+F90*(F_MR/12)),0)</f>
        <v>0</v>
      </c>
      <c r="T90" s="20" t="n">
        <f aca="false">IF(G90&gt;PR_BalDone,MIN(F_MortPayM,G90+G90*(F_MR/12)),0)</f>
        <v>0</v>
      </c>
      <c r="U90" s="20" t="n">
        <f aca="false">IF(H90&gt;PR_BalDone,MIN(F_MortPayM,H90+H90*(F_MR/12)),0)</f>
        <v>0</v>
      </c>
      <c r="V90" s="20" t="n">
        <f aca="false">IF(I90&gt;PR_BalDone,MIN(F_MortPayM,I90+I90*(F_MR/12)),0)</f>
        <v>0</v>
      </c>
      <c r="W90" s="20" t="n">
        <f aca="false">IF(J90&gt;PR_BalDone,MIN(F_MortPayM,J90+J90*(F_MR/12)),0)</f>
        <v>0</v>
      </c>
      <c r="X90" s="20" t="n">
        <f aca="false">IF(K90&gt;PR_BalDone,MIN(F_MortPayM,K90+K90*(F_MR/12)),0)</f>
        <v>0</v>
      </c>
      <c r="Y90" s="20" t="n">
        <f aca="false">IF(L90&gt;PR_BalDone,MIN(F_MortPayM,L90+L90*(F_MR/12)),0)</f>
        <v>0</v>
      </c>
      <c r="Z90" s="20" t="n">
        <f aca="false">IF(M90&gt;PR_BalDone,MIN(F_MortPayM,M90+M90*(F_MR/12)),0)</f>
        <v>0</v>
      </c>
      <c r="AA90" s="20" t="n">
        <f aca="false">IF(N90&gt;PR_BalDone,MIN(F_MortPayM,N90+N90*(F_MR/12)),0)</f>
        <v>0</v>
      </c>
      <c r="AB90" s="20" t="n">
        <f aca="false">MAX(0,O90)</f>
        <v>0</v>
      </c>
      <c r="AC90" s="20" t="n">
        <f aca="false">SUM(P90:AA90)</f>
        <v>0</v>
      </c>
      <c r="AD90" s="20" t="n">
        <f aca="false">'Plan cashflow'!M90</f>
        <v>0</v>
      </c>
      <c r="AE90" s="20" t="n">
        <f aca="false">IF(AD90&gt;PR_BalDone,AD90+AD90*(D_iC)-MIN(F_CardPayM,AD90+AD90*(D_iC)),AD90)</f>
        <v>0</v>
      </c>
      <c r="AF90" s="20" t="n">
        <f aca="false">IF(AE90&gt;PR_BalDone,AE90+AE90*(D_iC)-MIN(F_CardPayM,AE90+AE90*(D_iC)),AE90)</f>
        <v>0</v>
      </c>
      <c r="AG90" s="20" t="n">
        <f aca="false">IF(AF90&gt;PR_BalDone,AF90+AF90*(D_iC)-MIN(F_CardPayM,AF90+AF90*(D_iC)),AF90)</f>
        <v>0</v>
      </c>
      <c r="AH90" s="20" t="n">
        <f aca="false">IF(AG90&gt;PR_BalDone,AG90+AG90*(D_iC)-MIN(F_CardPayM,AG90+AG90*(D_iC)),AG90)</f>
        <v>0</v>
      </c>
      <c r="AI90" s="20" t="n">
        <f aca="false">IF(AH90&gt;PR_BalDone,AH90+AH90*(D_iC)-MIN(F_CardPayM,AH90+AH90*(D_iC)),AH90)</f>
        <v>0</v>
      </c>
      <c r="AJ90" s="20" t="n">
        <f aca="false">IF(AI90&gt;PR_BalDone,AI90+AI90*(D_iC)-MIN(F_CardPayM,AI90+AI90*(D_iC)),AI90)</f>
        <v>0</v>
      </c>
      <c r="AK90" s="20" t="n">
        <f aca="false">IF(AJ90&gt;PR_BalDone,AJ90+AJ90*(D_iC)-MIN(F_CardPayM,AJ90+AJ90*(D_iC)),AJ90)</f>
        <v>0</v>
      </c>
      <c r="AL90" s="20" t="n">
        <f aca="false">IF(AK90&gt;PR_BalDone,AK90+AK90*(D_iC)-MIN(F_CardPayM,AK90+AK90*(D_iC)),AK90)</f>
        <v>0</v>
      </c>
      <c r="AM90" s="20" t="n">
        <f aca="false">IF(AL90&gt;PR_BalDone,AL90+AL90*(D_iC)-MIN(F_CardPayM,AL90+AL90*(D_iC)),AL90)</f>
        <v>0</v>
      </c>
      <c r="AN90" s="20" t="n">
        <f aca="false">IF(AM90&gt;PR_BalDone,AM90+AM90*(D_iC)-MIN(F_CardPayM,AM90+AM90*(D_iC)),AM90)</f>
        <v>0</v>
      </c>
      <c r="AO90" s="20" t="n">
        <f aca="false">IF(AN90&gt;PR_BalDone,AN90+AN90*(D_iC)-MIN(F_CardPayM,AN90+AN90*(D_iC)),AN90)</f>
        <v>0</v>
      </c>
      <c r="AP90" s="20" t="n">
        <f aca="false">IF(AO90&gt;PR_BalDone,AO90+AO90*(D_iC)-MIN(F_CardPayM,AO90+AO90*(D_iC)),AO90)</f>
        <v>0</v>
      </c>
      <c r="AQ90" s="20" t="n">
        <f aca="false">IF(AD90&gt;PR_BalDone,MIN(F_CardPayM,AD90+AD90*(D_iC)),0)</f>
        <v>0</v>
      </c>
      <c r="AR90" s="20" t="n">
        <f aca="false">IF(AE90&gt;PR_BalDone,MIN(F_CardPayM,AE90+AE90*(D_iC)),0)</f>
        <v>0</v>
      </c>
      <c r="AS90" s="20" t="n">
        <f aca="false">IF(AF90&gt;PR_BalDone,MIN(F_CardPayM,AF90+AF90*(D_iC)),0)</f>
        <v>0</v>
      </c>
      <c r="AT90" s="20" t="n">
        <f aca="false">IF(AG90&gt;PR_BalDone,MIN(F_CardPayM,AG90+AG90*(D_iC)),0)</f>
        <v>0</v>
      </c>
      <c r="AU90" s="20" t="n">
        <f aca="false">IF(AH90&gt;PR_BalDone,MIN(F_CardPayM,AH90+AH90*(D_iC)),0)</f>
        <v>0</v>
      </c>
      <c r="AV90" s="20" t="n">
        <f aca="false">IF(AI90&gt;PR_BalDone,MIN(F_CardPayM,AI90+AI90*(D_iC)),0)</f>
        <v>0</v>
      </c>
      <c r="AW90" s="20" t="n">
        <f aca="false">IF(AJ90&gt;PR_BalDone,MIN(F_CardPayM,AJ90+AJ90*(D_iC)),0)</f>
        <v>0</v>
      </c>
      <c r="AX90" s="20" t="n">
        <f aca="false">IF(AK90&gt;PR_BalDone,MIN(F_CardPayM,AK90+AK90*(D_iC)),0)</f>
        <v>0</v>
      </c>
      <c r="AY90" s="20" t="n">
        <f aca="false">IF(AL90&gt;PR_BalDone,MIN(F_CardPayM,AL90+AL90*(D_iC)),0)</f>
        <v>0</v>
      </c>
      <c r="AZ90" s="20" t="n">
        <f aca="false">IF(AM90&gt;PR_BalDone,MIN(F_CardPayM,AM90+AM90*(D_iC)),0)</f>
        <v>0</v>
      </c>
      <c r="BA90" s="20" t="n">
        <f aca="false">IF(AN90&gt;PR_BalDone,MIN(F_CardPayM,AN90+AN90*(D_iC)),0)</f>
        <v>0</v>
      </c>
      <c r="BB90" s="20" t="n">
        <f aca="false">IF(AO90&gt;PR_BalDone,MIN(F_CardPayM,AO90+AO90*(D_iC)),0)</f>
        <v>0</v>
      </c>
      <c r="BC90" s="20" t="n">
        <f aca="false">MAX(0,AP90)</f>
        <v>0</v>
      </c>
      <c r="BD90" s="20" t="n">
        <f aca="false">SUM(AQ90:BB90)</f>
        <v>0</v>
      </c>
      <c r="BE90" s="20" t="n">
        <f aca="false">'Plan cashflow'!P90</f>
        <v>0</v>
      </c>
      <c r="BF90" s="20" t="n">
        <f aca="false">IF(BE90&gt;PR_BalDone,BE90+BE90*(D_iL)-MIN(F_LoanPayM,BE90+BE90*(D_iL)),BE90)</f>
        <v>0</v>
      </c>
      <c r="BG90" s="20" t="n">
        <f aca="false">IF(BF90&gt;PR_BalDone,BF90+BF90*(D_iL)-MIN(F_LoanPayM,BF90+BF90*(D_iL)),BF90)</f>
        <v>0</v>
      </c>
      <c r="BH90" s="20" t="n">
        <f aca="false">IF(BG90&gt;PR_BalDone,BG90+BG90*(D_iL)-MIN(F_LoanPayM,BG90+BG90*(D_iL)),BG90)</f>
        <v>0</v>
      </c>
      <c r="BI90" s="20" t="n">
        <f aca="false">IF(BH90&gt;PR_BalDone,BH90+BH90*(D_iL)-MIN(F_LoanPayM,BH90+BH90*(D_iL)),BH90)</f>
        <v>0</v>
      </c>
      <c r="BJ90" s="20" t="n">
        <f aca="false">IF(BI90&gt;PR_BalDone,BI90+BI90*(D_iL)-MIN(F_LoanPayM,BI90+BI90*(D_iL)),BI90)</f>
        <v>0</v>
      </c>
      <c r="BK90" s="20" t="n">
        <f aca="false">IF(BJ90&gt;PR_BalDone,BJ90+BJ90*(D_iL)-MIN(F_LoanPayM,BJ90+BJ90*(D_iL)),BJ90)</f>
        <v>0</v>
      </c>
      <c r="BL90" s="20" t="n">
        <f aca="false">IF(BK90&gt;PR_BalDone,BK90+BK90*(D_iL)-MIN(F_LoanPayM,BK90+BK90*(D_iL)),BK90)</f>
        <v>0</v>
      </c>
      <c r="BM90" s="20" t="n">
        <f aca="false">IF(BL90&gt;PR_BalDone,BL90+BL90*(D_iL)-MIN(F_LoanPayM,BL90+BL90*(D_iL)),BL90)</f>
        <v>0</v>
      </c>
      <c r="BN90" s="20" t="n">
        <f aca="false">IF(BM90&gt;PR_BalDone,BM90+BM90*(D_iL)-MIN(F_LoanPayM,BM90+BM90*(D_iL)),BM90)</f>
        <v>0</v>
      </c>
      <c r="BO90" s="20" t="n">
        <f aca="false">IF(BN90&gt;PR_BalDone,BN90+BN90*(D_iL)-MIN(F_LoanPayM,BN90+BN90*(D_iL)),BN90)</f>
        <v>0</v>
      </c>
      <c r="BP90" s="20" t="n">
        <f aca="false">IF(BO90&gt;PR_BalDone,BO90+BO90*(D_iL)-MIN(F_LoanPayM,BO90+BO90*(D_iL)),BO90)</f>
        <v>0</v>
      </c>
      <c r="BQ90" s="20" t="n">
        <f aca="false">IF(BP90&gt;PR_BalDone,BP90+BP90*(D_iL)-MIN(F_LoanPayM,BP90+BP90*(D_iL)),BP90)</f>
        <v>0</v>
      </c>
      <c r="BR90" s="20" t="n">
        <f aca="false">IF(BE90&gt;PR_BalDone,MIN(F_LoanPayM,BE90+BE90*(D_iL)),0)</f>
        <v>0</v>
      </c>
      <c r="BS90" s="20" t="n">
        <f aca="false">IF(BF90&gt;PR_BalDone,MIN(F_LoanPayM,BF90+BF90*(D_iL)),0)</f>
        <v>0</v>
      </c>
      <c r="BT90" s="20" t="n">
        <f aca="false">IF(BG90&gt;PR_BalDone,MIN(F_LoanPayM,BG90+BG90*(D_iL)),0)</f>
        <v>0</v>
      </c>
      <c r="BU90" s="20" t="n">
        <f aca="false">IF(BH90&gt;PR_BalDone,MIN(F_LoanPayM,BH90+BH90*(D_iL)),0)</f>
        <v>0</v>
      </c>
      <c r="BV90" s="20" t="n">
        <f aca="false">IF(BI90&gt;PR_BalDone,MIN(F_LoanPayM,BI90+BI90*(D_iL)),0)</f>
        <v>0</v>
      </c>
      <c r="BW90" s="20" t="n">
        <f aca="false">IF(BJ90&gt;PR_BalDone,MIN(F_LoanPayM,BJ90+BJ90*(D_iL)),0)</f>
        <v>0</v>
      </c>
      <c r="BX90" s="20" t="n">
        <f aca="false">IF(BK90&gt;PR_BalDone,MIN(F_LoanPayM,BK90+BK90*(D_iL)),0)</f>
        <v>0</v>
      </c>
      <c r="BY90" s="20" t="n">
        <f aca="false">IF(BL90&gt;PR_BalDone,MIN(F_LoanPayM,BL90+BL90*(D_iL)),0)</f>
        <v>0</v>
      </c>
      <c r="BZ90" s="20" t="n">
        <f aca="false">IF(BM90&gt;PR_BalDone,MIN(F_LoanPayM,BM90+BM90*(D_iL)),0)</f>
        <v>0</v>
      </c>
      <c r="CA90" s="20" t="n">
        <f aca="false">IF(BN90&gt;PR_BalDone,MIN(F_LoanPayM,BN90+BN90*(D_iL)),0)</f>
        <v>0</v>
      </c>
      <c r="CB90" s="20" t="n">
        <f aca="false">IF(BO90&gt;PR_BalDone,MIN(F_LoanPayM,BO90+BO90*(D_iL)),0)</f>
        <v>0</v>
      </c>
      <c r="CC90" s="20" t="n">
        <f aca="false">IF(BP90&gt;PR_BalDone,MIN(F_LoanPayM,BP90+BP90*(D_iL)),0)</f>
        <v>0</v>
      </c>
      <c r="CD90" s="20" t="n">
        <f aca="false">MAX(0,BQ90)</f>
        <v>0</v>
      </c>
      <c r="CE90" s="20" t="n">
        <f aca="false">SUM(BR90:CC90)</f>
        <v>0</v>
      </c>
      <c r="CF90" s="20" t="n">
        <f aca="false">IF(CF89&gt;1,DE89,CF89)</f>
        <v>0</v>
      </c>
      <c r="CG90" s="20" t="n">
        <f aca="false">IF(CF90&gt;PR_BalDone,CF90+CF90*(F_MR/12)-MIN(F_MortPayM,CF90+CF90*(F_MR/12)),CF90)</f>
        <v>0</v>
      </c>
      <c r="CH90" s="20" t="n">
        <f aca="false">IF(CG90&gt;PR_BalDone,CG90+CG90*(F_MR/12)-MIN(F_MortPayM,CG90+CG90*(F_MR/12)),CG90)</f>
        <v>0</v>
      </c>
      <c r="CI90" s="20" t="n">
        <f aca="false">IF(CH90&gt;PR_BalDone,CH90+CH90*(F_MR/12)-MIN(F_MortPayM,CH90+CH90*(F_MR/12)),CH90)</f>
        <v>0</v>
      </c>
      <c r="CJ90" s="20" t="n">
        <f aca="false">IF(CI90&gt;PR_BalDone,CI90+CI90*(F_MR/12)-MIN(F_MortPayM,CI90+CI90*(F_MR/12)),CI90)</f>
        <v>0</v>
      </c>
      <c r="CK90" s="20" t="n">
        <f aca="false">IF(CJ90&gt;PR_BalDone,CJ90+CJ90*(F_MR/12)-MIN(F_MortPayM,CJ90+CJ90*(F_MR/12)),CJ90)</f>
        <v>0</v>
      </c>
      <c r="CL90" s="20" t="n">
        <f aca="false">IF(CK90&gt;PR_BalDone,CK90+CK90*(F_MR/12)-MIN(F_MortPayM,CK90+CK90*(F_MR/12)),CK90)</f>
        <v>0</v>
      </c>
      <c r="CM90" s="20" t="n">
        <f aca="false">IF(CL90&gt;PR_BalDone,CL90+CL90*(F_MR/12)-MIN(F_MortPayM,CL90+CL90*(F_MR/12)),CL90)</f>
        <v>0</v>
      </c>
      <c r="CN90" s="20" t="n">
        <f aca="false">IF(CM90&gt;PR_BalDone,CM90+CM90*(F_MR/12)-MIN(F_MortPayM,CM90+CM90*(F_MR/12)),CM90)</f>
        <v>0</v>
      </c>
      <c r="CO90" s="20" t="n">
        <f aca="false">IF(CN90&gt;PR_BalDone,CN90+CN90*(F_MR/12)-MIN(F_MortPayM,CN90+CN90*(F_MR/12)),CN90)</f>
        <v>0</v>
      </c>
      <c r="CP90" s="20" t="n">
        <f aca="false">IF(CO90&gt;PR_BalDone,CO90+CO90*(F_MR/12)-MIN(F_MortPayM,CO90+CO90*(F_MR/12)),CO90)</f>
        <v>0</v>
      </c>
      <c r="CQ90" s="20" t="n">
        <f aca="false">IF(CP90&gt;PR_BalDone,CP90+CP90*(F_MR/12)-MIN(F_MortPayM,CP90+CP90*(F_MR/12)),CP90)</f>
        <v>0</v>
      </c>
      <c r="CR90" s="20" t="n">
        <f aca="false">IF(CQ90&gt;PR_BalDone,CQ90+CQ90*(F_MR/12)-MIN(F_MortPayM,CQ90+CQ90*(F_MR/12)),CQ90)</f>
        <v>0</v>
      </c>
      <c r="CS90" s="20" t="n">
        <f aca="false">IF(CF90&gt;PR_BalDone,MIN(F_MortPayM,CF90+CF90*(F_MR/12)),0)</f>
        <v>0</v>
      </c>
      <c r="CT90" s="20" t="n">
        <f aca="false">IF(CG90&gt;PR_BalDone,MIN(F_MortPayM,CG90+CG90*(F_MR/12)),0)</f>
        <v>0</v>
      </c>
      <c r="CU90" s="20" t="n">
        <f aca="false">IF(CH90&gt;PR_BalDone,MIN(F_MortPayM,CH90+CH90*(F_MR/12)),0)</f>
        <v>0</v>
      </c>
      <c r="CV90" s="20" t="n">
        <f aca="false">IF(CI90&gt;PR_BalDone,MIN(F_MortPayM,CI90+CI90*(F_MR/12)),0)</f>
        <v>0</v>
      </c>
      <c r="CW90" s="20" t="n">
        <f aca="false">IF(CJ90&gt;PR_BalDone,MIN(F_MortPayM,CJ90+CJ90*(F_MR/12)),0)</f>
        <v>0</v>
      </c>
      <c r="CX90" s="20" t="n">
        <f aca="false">IF(CK90&gt;PR_BalDone,MIN(F_MortPayM,CK90+CK90*(F_MR/12)),0)</f>
        <v>0</v>
      </c>
      <c r="CY90" s="20" t="n">
        <f aca="false">IF(CL90&gt;PR_BalDone,MIN(F_MortPayM,CL90+CL90*(F_MR/12)),0)</f>
        <v>0</v>
      </c>
      <c r="CZ90" s="20" t="n">
        <f aca="false">IF(CM90&gt;PR_BalDone,MIN(F_MortPayM,CM90+CM90*(F_MR/12)),0)</f>
        <v>0</v>
      </c>
      <c r="DA90" s="20" t="n">
        <f aca="false">IF(CN90&gt;PR_BalDone,MIN(F_MortPayM,CN90+CN90*(F_MR/12)),0)</f>
        <v>0</v>
      </c>
      <c r="DB90" s="20" t="n">
        <f aca="false">IF(CO90&gt;PR_BalDone,MIN(F_MortPayM,CO90+CO90*(F_MR/12)),0)</f>
        <v>0</v>
      </c>
      <c r="DC90" s="20" t="n">
        <f aca="false">IF(CP90&gt;PR_BalDone,MIN(F_MortPayM,CP90+CP90*(F_MR/12)),0)</f>
        <v>0</v>
      </c>
      <c r="DD90" s="20" t="n">
        <f aca="false">IF(CQ90&gt;PR_BalDone,MIN(F_MortPayM,CQ90+CQ90*(F_MR/12)),0)</f>
        <v>0</v>
      </c>
      <c r="DE90" s="20" t="n">
        <f aca="false">MAX(0,CR90)</f>
        <v>0</v>
      </c>
      <c r="DF90" s="20" t="n">
        <f aca="false">SUM(CS90:DD90)</f>
        <v>0</v>
      </c>
      <c r="DG90" s="20" t="n">
        <f aca="false">MAX(0,CF90)</f>
        <v>0</v>
      </c>
    </row>
    <row r="91" customFormat="false" ht="15" hidden="false" customHeight="true" outlineLevel="0" collapsed="false">
      <c r="B91" s="20" t="n">
        <v>83</v>
      </c>
      <c r="C91" s="20" t="n">
        <f aca="false">'Plan cashflow'!J91</f>
        <v>0</v>
      </c>
      <c r="D91" s="20" t="n">
        <f aca="false">IF(C91&gt;PR_BalDone,C91+C91*(F_MR/12)-MIN(F_MortPayM,C91+C91*(F_MR/12)),C91)</f>
        <v>0</v>
      </c>
      <c r="E91" s="20" t="n">
        <f aca="false">IF(D91&gt;PR_BalDone,D91+D91*(F_MR/12)-MIN(F_MortPayM,D91+D91*(F_MR/12)),D91)</f>
        <v>0</v>
      </c>
      <c r="F91" s="20" t="n">
        <f aca="false">IF(E91&gt;PR_BalDone,E91+E91*(F_MR/12)-MIN(F_MortPayM,E91+E91*(F_MR/12)),E91)</f>
        <v>0</v>
      </c>
      <c r="G91" s="20" t="n">
        <f aca="false">IF(F91&gt;PR_BalDone,F91+F91*(F_MR/12)-MIN(F_MortPayM,F91+F91*(F_MR/12)),F91)</f>
        <v>0</v>
      </c>
      <c r="H91" s="20" t="n">
        <f aca="false">IF(G91&gt;PR_BalDone,G91+G91*(F_MR/12)-MIN(F_MortPayM,G91+G91*(F_MR/12)),G91)</f>
        <v>0</v>
      </c>
      <c r="I91" s="20" t="n">
        <f aca="false">IF(H91&gt;PR_BalDone,H91+H91*(F_MR/12)-MIN(F_MortPayM,H91+H91*(F_MR/12)),H91)</f>
        <v>0</v>
      </c>
      <c r="J91" s="20" t="n">
        <f aca="false">IF(I91&gt;PR_BalDone,I91+I91*(F_MR/12)-MIN(F_MortPayM,I91+I91*(F_MR/12)),I91)</f>
        <v>0</v>
      </c>
      <c r="K91" s="20" t="n">
        <f aca="false">IF(J91&gt;PR_BalDone,J91+J91*(F_MR/12)-MIN(F_MortPayM,J91+J91*(F_MR/12)),J91)</f>
        <v>0</v>
      </c>
      <c r="L91" s="20" t="n">
        <f aca="false">IF(K91&gt;PR_BalDone,K91+K91*(F_MR/12)-MIN(F_MortPayM,K91+K91*(F_MR/12)),K91)</f>
        <v>0</v>
      </c>
      <c r="M91" s="20" t="n">
        <f aca="false">IF(L91&gt;PR_BalDone,L91+L91*(F_MR/12)-MIN(F_MortPayM,L91+L91*(F_MR/12)),L91)</f>
        <v>0</v>
      </c>
      <c r="N91" s="20" t="n">
        <f aca="false">IF(M91&gt;PR_BalDone,M91+M91*(F_MR/12)-MIN(F_MortPayM,M91+M91*(F_MR/12)),M91)</f>
        <v>0</v>
      </c>
      <c r="O91" s="20" t="n">
        <f aca="false">IF(N91&gt;PR_BalDone,N91+N91*(F_MR/12)-MIN(F_MortPayM,N91+N91*(F_MR/12)),N91)</f>
        <v>0</v>
      </c>
      <c r="P91" s="20" t="n">
        <f aca="false">IF(C91&gt;PR_BalDone,MIN(F_MortPayM,C91+C91*(F_MR/12)),0)</f>
        <v>0</v>
      </c>
      <c r="Q91" s="20" t="n">
        <f aca="false">IF(D91&gt;PR_BalDone,MIN(F_MortPayM,D91+D91*(F_MR/12)),0)</f>
        <v>0</v>
      </c>
      <c r="R91" s="20" t="n">
        <f aca="false">IF(E91&gt;PR_BalDone,MIN(F_MortPayM,E91+E91*(F_MR/12)),0)</f>
        <v>0</v>
      </c>
      <c r="S91" s="20" t="n">
        <f aca="false">IF(F91&gt;PR_BalDone,MIN(F_MortPayM,F91+F91*(F_MR/12)),0)</f>
        <v>0</v>
      </c>
      <c r="T91" s="20" t="n">
        <f aca="false">IF(G91&gt;PR_BalDone,MIN(F_MortPayM,G91+G91*(F_MR/12)),0)</f>
        <v>0</v>
      </c>
      <c r="U91" s="20" t="n">
        <f aca="false">IF(H91&gt;PR_BalDone,MIN(F_MortPayM,H91+H91*(F_MR/12)),0)</f>
        <v>0</v>
      </c>
      <c r="V91" s="20" t="n">
        <f aca="false">IF(I91&gt;PR_BalDone,MIN(F_MortPayM,I91+I91*(F_MR/12)),0)</f>
        <v>0</v>
      </c>
      <c r="W91" s="20" t="n">
        <f aca="false">IF(J91&gt;PR_BalDone,MIN(F_MortPayM,J91+J91*(F_MR/12)),0)</f>
        <v>0</v>
      </c>
      <c r="X91" s="20" t="n">
        <f aca="false">IF(K91&gt;PR_BalDone,MIN(F_MortPayM,K91+K91*(F_MR/12)),0)</f>
        <v>0</v>
      </c>
      <c r="Y91" s="20" t="n">
        <f aca="false">IF(L91&gt;PR_BalDone,MIN(F_MortPayM,L91+L91*(F_MR/12)),0)</f>
        <v>0</v>
      </c>
      <c r="Z91" s="20" t="n">
        <f aca="false">IF(M91&gt;PR_BalDone,MIN(F_MortPayM,M91+M91*(F_MR/12)),0)</f>
        <v>0</v>
      </c>
      <c r="AA91" s="20" t="n">
        <f aca="false">IF(N91&gt;PR_BalDone,MIN(F_MortPayM,N91+N91*(F_MR/12)),0)</f>
        <v>0</v>
      </c>
      <c r="AB91" s="20" t="n">
        <f aca="false">MAX(0,O91)</f>
        <v>0</v>
      </c>
      <c r="AC91" s="20" t="n">
        <f aca="false">SUM(P91:AA91)</f>
        <v>0</v>
      </c>
      <c r="AD91" s="20" t="n">
        <f aca="false">'Plan cashflow'!M91</f>
        <v>0</v>
      </c>
      <c r="AE91" s="20" t="n">
        <f aca="false">IF(AD91&gt;PR_BalDone,AD91+AD91*(D_iC)-MIN(F_CardPayM,AD91+AD91*(D_iC)),AD91)</f>
        <v>0</v>
      </c>
      <c r="AF91" s="20" t="n">
        <f aca="false">IF(AE91&gt;PR_BalDone,AE91+AE91*(D_iC)-MIN(F_CardPayM,AE91+AE91*(D_iC)),AE91)</f>
        <v>0</v>
      </c>
      <c r="AG91" s="20" t="n">
        <f aca="false">IF(AF91&gt;PR_BalDone,AF91+AF91*(D_iC)-MIN(F_CardPayM,AF91+AF91*(D_iC)),AF91)</f>
        <v>0</v>
      </c>
      <c r="AH91" s="20" t="n">
        <f aca="false">IF(AG91&gt;PR_BalDone,AG91+AG91*(D_iC)-MIN(F_CardPayM,AG91+AG91*(D_iC)),AG91)</f>
        <v>0</v>
      </c>
      <c r="AI91" s="20" t="n">
        <f aca="false">IF(AH91&gt;PR_BalDone,AH91+AH91*(D_iC)-MIN(F_CardPayM,AH91+AH91*(D_iC)),AH91)</f>
        <v>0</v>
      </c>
      <c r="AJ91" s="20" t="n">
        <f aca="false">IF(AI91&gt;PR_BalDone,AI91+AI91*(D_iC)-MIN(F_CardPayM,AI91+AI91*(D_iC)),AI91)</f>
        <v>0</v>
      </c>
      <c r="AK91" s="20" t="n">
        <f aca="false">IF(AJ91&gt;PR_BalDone,AJ91+AJ91*(D_iC)-MIN(F_CardPayM,AJ91+AJ91*(D_iC)),AJ91)</f>
        <v>0</v>
      </c>
      <c r="AL91" s="20" t="n">
        <f aca="false">IF(AK91&gt;PR_BalDone,AK91+AK91*(D_iC)-MIN(F_CardPayM,AK91+AK91*(D_iC)),AK91)</f>
        <v>0</v>
      </c>
      <c r="AM91" s="20" t="n">
        <f aca="false">IF(AL91&gt;PR_BalDone,AL91+AL91*(D_iC)-MIN(F_CardPayM,AL91+AL91*(D_iC)),AL91)</f>
        <v>0</v>
      </c>
      <c r="AN91" s="20" t="n">
        <f aca="false">IF(AM91&gt;PR_BalDone,AM91+AM91*(D_iC)-MIN(F_CardPayM,AM91+AM91*(D_iC)),AM91)</f>
        <v>0</v>
      </c>
      <c r="AO91" s="20" t="n">
        <f aca="false">IF(AN91&gt;PR_BalDone,AN91+AN91*(D_iC)-MIN(F_CardPayM,AN91+AN91*(D_iC)),AN91)</f>
        <v>0</v>
      </c>
      <c r="AP91" s="20" t="n">
        <f aca="false">IF(AO91&gt;PR_BalDone,AO91+AO91*(D_iC)-MIN(F_CardPayM,AO91+AO91*(D_iC)),AO91)</f>
        <v>0</v>
      </c>
      <c r="AQ91" s="20" t="n">
        <f aca="false">IF(AD91&gt;PR_BalDone,MIN(F_CardPayM,AD91+AD91*(D_iC)),0)</f>
        <v>0</v>
      </c>
      <c r="AR91" s="20" t="n">
        <f aca="false">IF(AE91&gt;PR_BalDone,MIN(F_CardPayM,AE91+AE91*(D_iC)),0)</f>
        <v>0</v>
      </c>
      <c r="AS91" s="20" t="n">
        <f aca="false">IF(AF91&gt;PR_BalDone,MIN(F_CardPayM,AF91+AF91*(D_iC)),0)</f>
        <v>0</v>
      </c>
      <c r="AT91" s="20" t="n">
        <f aca="false">IF(AG91&gt;PR_BalDone,MIN(F_CardPayM,AG91+AG91*(D_iC)),0)</f>
        <v>0</v>
      </c>
      <c r="AU91" s="20" t="n">
        <f aca="false">IF(AH91&gt;PR_BalDone,MIN(F_CardPayM,AH91+AH91*(D_iC)),0)</f>
        <v>0</v>
      </c>
      <c r="AV91" s="20" t="n">
        <f aca="false">IF(AI91&gt;PR_BalDone,MIN(F_CardPayM,AI91+AI91*(D_iC)),0)</f>
        <v>0</v>
      </c>
      <c r="AW91" s="20" t="n">
        <f aca="false">IF(AJ91&gt;PR_BalDone,MIN(F_CardPayM,AJ91+AJ91*(D_iC)),0)</f>
        <v>0</v>
      </c>
      <c r="AX91" s="20" t="n">
        <f aca="false">IF(AK91&gt;PR_BalDone,MIN(F_CardPayM,AK91+AK91*(D_iC)),0)</f>
        <v>0</v>
      </c>
      <c r="AY91" s="20" t="n">
        <f aca="false">IF(AL91&gt;PR_BalDone,MIN(F_CardPayM,AL91+AL91*(D_iC)),0)</f>
        <v>0</v>
      </c>
      <c r="AZ91" s="20" t="n">
        <f aca="false">IF(AM91&gt;PR_BalDone,MIN(F_CardPayM,AM91+AM91*(D_iC)),0)</f>
        <v>0</v>
      </c>
      <c r="BA91" s="20" t="n">
        <f aca="false">IF(AN91&gt;PR_BalDone,MIN(F_CardPayM,AN91+AN91*(D_iC)),0)</f>
        <v>0</v>
      </c>
      <c r="BB91" s="20" t="n">
        <f aca="false">IF(AO91&gt;PR_BalDone,MIN(F_CardPayM,AO91+AO91*(D_iC)),0)</f>
        <v>0</v>
      </c>
      <c r="BC91" s="20" t="n">
        <f aca="false">MAX(0,AP91)</f>
        <v>0</v>
      </c>
      <c r="BD91" s="20" t="n">
        <f aca="false">SUM(AQ91:BB91)</f>
        <v>0</v>
      </c>
      <c r="BE91" s="20" t="n">
        <f aca="false">'Plan cashflow'!P91</f>
        <v>0</v>
      </c>
      <c r="BF91" s="20" t="n">
        <f aca="false">IF(BE91&gt;PR_BalDone,BE91+BE91*(D_iL)-MIN(F_LoanPayM,BE91+BE91*(D_iL)),BE91)</f>
        <v>0</v>
      </c>
      <c r="BG91" s="20" t="n">
        <f aca="false">IF(BF91&gt;PR_BalDone,BF91+BF91*(D_iL)-MIN(F_LoanPayM,BF91+BF91*(D_iL)),BF91)</f>
        <v>0</v>
      </c>
      <c r="BH91" s="20" t="n">
        <f aca="false">IF(BG91&gt;PR_BalDone,BG91+BG91*(D_iL)-MIN(F_LoanPayM,BG91+BG91*(D_iL)),BG91)</f>
        <v>0</v>
      </c>
      <c r="BI91" s="20" t="n">
        <f aca="false">IF(BH91&gt;PR_BalDone,BH91+BH91*(D_iL)-MIN(F_LoanPayM,BH91+BH91*(D_iL)),BH91)</f>
        <v>0</v>
      </c>
      <c r="BJ91" s="20" t="n">
        <f aca="false">IF(BI91&gt;PR_BalDone,BI91+BI91*(D_iL)-MIN(F_LoanPayM,BI91+BI91*(D_iL)),BI91)</f>
        <v>0</v>
      </c>
      <c r="BK91" s="20" t="n">
        <f aca="false">IF(BJ91&gt;PR_BalDone,BJ91+BJ91*(D_iL)-MIN(F_LoanPayM,BJ91+BJ91*(D_iL)),BJ91)</f>
        <v>0</v>
      </c>
      <c r="BL91" s="20" t="n">
        <f aca="false">IF(BK91&gt;PR_BalDone,BK91+BK91*(D_iL)-MIN(F_LoanPayM,BK91+BK91*(D_iL)),BK91)</f>
        <v>0</v>
      </c>
      <c r="BM91" s="20" t="n">
        <f aca="false">IF(BL91&gt;PR_BalDone,BL91+BL91*(D_iL)-MIN(F_LoanPayM,BL91+BL91*(D_iL)),BL91)</f>
        <v>0</v>
      </c>
      <c r="BN91" s="20" t="n">
        <f aca="false">IF(BM91&gt;PR_BalDone,BM91+BM91*(D_iL)-MIN(F_LoanPayM,BM91+BM91*(D_iL)),BM91)</f>
        <v>0</v>
      </c>
      <c r="BO91" s="20" t="n">
        <f aca="false">IF(BN91&gt;PR_BalDone,BN91+BN91*(D_iL)-MIN(F_LoanPayM,BN91+BN91*(D_iL)),BN91)</f>
        <v>0</v>
      </c>
      <c r="BP91" s="20" t="n">
        <f aca="false">IF(BO91&gt;PR_BalDone,BO91+BO91*(D_iL)-MIN(F_LoanPayM,BO91+BO91*(D_iL)),BO91)</f>
        <v>0</v>
      </c>
      <c r="BQ91" s="20" t="n">
        <f aca="false">IF(BP91&gt;PR_BalDone,BP91+BP91*(D_iL)-MIN(F_LoanPayM,BP91+BP91*(D_iL)),BP91)</f>
        <v>0</v>
      </c>
      <c r="BR91" s="20" t="n">
        <f aca="false">IF(BE91&gt;PR_BalDone,MIN(F_LoanPayM,BE91+BE91*(D_iL)),0)</f>
        <v>0</v>
      </c>
      <c r="BS91" s="20" t="n">
        <f aca="false">IF(BF91&gt;PR_BalDone,MIN(F_LoanPayM,BF91+BF91*(D_iL)),0)</f>
        <v>0</v>
      </c>
      <c r="BT91" s="20" t="n">
        <f aca="false">IF(BG91&gt;PR_BalDone,MIN(F_LoanPayM,BG91+BG91*(D_iL)),0)</f>
        <v>0</v>
      </c>
      <c r="BU91" s="20" t="n">
        <f aca="false">IF(BH91&gt;PR_BalDone,MIN(F_LoanPayM,BH91+BH91*(D_iL)),0)</f>
        <v>0</v>
      </c>
      <c r="BV91" s="20" t="n">
        <f aca="false">IF(BI91&gt;PR_BalDone,MIN(F_LoanPayM,BI91+BI91*(D_iL)),0)</f>
        <v>0</v>
      </c>
      <c r="BW91" s="20" t="n">
        <f aca="false">IF(BJ91&gt;PR_BalDone,MIN(F_LoanPayM,BJ91+BJ91*(D_iL)),0)</f>
        <v>0</v>
      </c>
      <c r="BX91" s="20" t="n">
        <f aca="false">IF(BK91&gt;PR_BalDone,MIN(F_LoanPayM,BK91+BK91*(D_iL)),0)</f>
        <v>0</v>
      </c>
      <c r="BY91" s="20" t="n">
        <f aca="false">IF(BL91&gt;PR_BalDone,MIN(F_LoanPayM,BL91+BL91*(D_iL)),0)</f>
        <v>0</v>
      </c>
      <c r="BZ91" s="20" t="n">
        <f aca="false">IF(BM91&gt;PR_BalDone,MIN(F_LoanPayM,BM91+BM91*(D_iL)),0)</f>
        <v>0</v>
      </c>
      <c r="CA91" s="20" t="n">
        <f aca="false">IF(BN91&gt;PR_BalDone,MIN(F_LoanPayM,BN91+BN91*(D_iL)),0)</f>
        <v>0</v>
      </c>
      <c r="CB91" s="20" t="n">
        <f aca="false">IF(BO91&gt;PR_BalDone,MIN(F_LoanPayM,BO91+BO91*(D_iL)),0)</f>
        <v>0</v>
      </c>
      <c r="CC91" s="20" t="n">
        <f aca="false">IF(BP91&gt;PR_BalDone,MIN(F_LoanPayM,BP91+BP91*(D_iL)),0)</f>
        <v>0</v>
      </c>
      <c r="CD91" s="20" t="n">
        <f aca="false">MAX(0,BQ91)</f>
        <v>0</v>
      </c>
      <c r="CE91" s="20" t="n">
        <f aca="false">SUM(BR91:CC91)</f>
        <v>0</v>
      </c>
      <c r="CF91" s="20" t="n">
        <f aca="false">IF(CF90&gt;1,DE90,CF90)</f>
        <v>0</v>
      </c>
      <c r="CG91" s="20" t="n">
        <f aca="false">IF(CF91&gt;PR_BalDone,CF91+CF91*(F_MR/12)-MIN(F_MortPayM,CF91+CF91*(F_MR/12)),CF91)</f>
        <v>0</v>
      </c>
      <c r="CH91" s="20" t="n">
        <f aca="false">IF(CG91&gt;PR_BalDone,CG91+CG91*(F_MR/12)-MIN(F_MortPayM,CG91+CG91*(F_MR/12)),CG91)</f>
        <v>0</v>
      </c>
      <c r="CI91" s="20" t="n">
        <f aca="false">IF(CH91&gt;PR_BalDone,CH91+CH91*(F_MR/12)-MIN(F_MortPayM,CH91+CH91*(F_MR/12)),CH91)</f>
        <v>0</v>
      </c>
      <c r="CJ91" s="20" t="n">
        <f aca="false">IF(CI91&gt;PR_BalDone,CI91+CI91*(F_MR/12)-MIN(F_MortPayM,CI91+CI91*(F_MR/12)),CI91)</f>
        <v>0</v>
      </c>
      <c r="CK91" s="20" t="n">
        <f aca="false">IF(CJ91&gt;PR_BalDone,CJ91+CJ91*(F_MR/12)-MIN(F_MortPayM,CJ91+CJ91*(F_MR/12)),CJ91)</f>
        <v>0</v>
      </c>
      <c r="CL91" s="20" t="n">
        <f aca="false">IF(CK91&gt;PR_BalDone,CK91+CK91*(F_MR/12)-MIN(F_MortPayM,CK91+CK91*(F_MR/12)),CK91)</f>
        <v>0</v>
      </c>
      <c r="CM91" s="20" t="n">
        <f aca="false">IF(CL91&gt;PR_BalDone,CL91+CL91*(F_MR/12)-MIN(F_MortPayM,CL91+CL91*(F_MR/12)),CL91)</f>
        <v>0</v>
      </c>
      <c r="CN91" s="20" t="n">
        <f aca="false">IF(CM91&gt;PR_BalDone,CM91+CM91*(F_MR/12)-MIN(F_MortPayM,CM91+CM91*(F_MR/12)),CM91)</f>
        <v>0</v>
      </c>
      <c r="CO91" s="20" t="n">
        <f aca="false">IF(CN91&gt;PR_BalDone,CN91+CN91*(F_MR/12)-MIN(F_MortPayM,CN91+CN91*(F_MR/12)),CN91)</f>
        <v>0</v>
      </c>
      <c r="CP91" s="20" t="n">
        <f aca="false">IF(CO91&gt;PR_BalDone,CO91+CO91*(F_MR/12)-MIN(F_MortPayM,CO91+CO91*(F_MR/12)),CO91)</f>
        <v>0</v>
      </c>
      <c r="CQ91" s="20" t="n">
        <f aca="false">IF(CP91&gt;PR_BalDone,CP91+CP91*(F_MR/12)-MIN(F_MortPayM,CP91+CP91*(F_MR/12)),CP91)</f>
        <v>0</v>
      </c>
      <c r="CR91" s="20" t="n">
        <f aca="false">IF(CQ91&gt;PR_BalDone,CQ91+CQ91*(F_MR/12)-MIN(F_MortPayM,CQ91+CQ91*(F_MR/12)),CQ91)</f>
        <v>0</v>
      </c>
      <c r="CS91" s="20" t="n">
        <f aca="false">IF(CF91&gt;PR_BalDone,MIN(F_MortPayM,CF91+CF91*(F_MR/12)),0)</f>
        <v>0</v>
      </c>
      <c r="CT91" s="20" t="n">
        <f aca="false">IF(CG91&gt;PR_BalDone,MIN(F_MortPayM,CG91+CG91*(F_MR/12)),0)</f>
        <v>0</v>
      </c>
      <c r="CU91" s="20" t="n">
        <f aca="false">IF(CH91&gt;PR_BalDone,MIN(F_MortPayM,CH91+CH91*(F_MR/12)),0)</f>
        <v>0</v>
      </c>
      <c r="CV91" s="20" t="n">
        <f aca="false">IF(CI91&gt;PR_BalDone,MIN(F_MortPayM,CI91+CI91*(F_MR/12)),0)</f>
        <v>0</v>
      </c>
      <c r="CW91" s="20" t="n">
        <f aca="false">IF(CJ91&gt;PR_BalDone,MIN(F_MortPayM,CJ91+CJ91*(F_MR/12)),0)</f>
        <v>0</v>
      </c>
      <c r="CX91" s="20" t="n">
        <f aca="false">IF(CK91&gt;PR_BalDone,MIN(F_MortPayM,CK91+CK91*(F_MR/12)),0)</f>
        <v>0</v>
      </c>
      <c r="CY91" s="20" t="n">
        <f aca="false">IF(CL91&gt;PR_BalDone,MIN(F_MortPayM,CL91+CL91*(F_MR/12)),0)</f>
        <v>0</v>
      </c>
      <c r="CZ91" s="20" t="n">
        <f aca="false">IF(CM91&gt;PR_BalDone,MIN(F_MortPayM,CM91+CM91*(F_MR/12)),0)</f>
        <v>0</v>
      </c>
      <c r="DA91" s="20" t="n">
        <f aca="false">IF(CN91&gt;PR_BalDone,MIN(F_MortPayM,CN91+CN91*(F_MR/12)),0)</f>
        <v>0</v>
      </c>
      <c r="DB91" s="20" t="n">
        <f aca="false">IF(CO91&gt;PR_BalDone,MIN(F_MortPayM,CO91+CO91*(F_MR/12)),0)</f>
        <v>0</v>
      </c>
      <c r="DC91" s="20" t="n">
        <f aca="false">IF(CP91&gt;PR_BalDone,MIN(F_MortPayM,CP91+CP91*(F_MR/12)),0)</f>
        <v>0</v>
      </c>
      <c r="DD91" s="20" t="n">
        <f aca="false">IF(CQ91&gt;PR_BalDone,MIN(F_MortPayM,CQ91+CQ91*(F_MR/12)),0)</f>
        <v>0</v>
      </c>
      <c r="DE91" s="20" t="n">
        <f aca="false">MAX(0,CR91)</f>
        <v>0</v>
      </c>
      <c r="DF91" s="20" t="n">
        <f aca="false">SUM(CS91:DD91)</f>
        <v>0</v>
      </c>
      <c r="DG91" s="20" t="n">
        <f aca="false">MAX(0,CF91)</f>
        <v>0</v>
      </c>
    </row>
    <row r="92" customFormat="false" ht="15" hidden="false" customHeight="true" outlineLevel="0" collapsed="false">
      <c r="B92" s="20" t="n">
        <v>84</v>
      </c>
      <c r="C92" s="20" t="n">
        <f aca="false">'Plan cashflow'!J92</f>
        <v>0</v>
      </c>
      <c r="D92" s="20" t="n">
        <f aca="false">IF(C92&gt;PR_BalDone,C92+C92*(F_MR/12)-MIN(F_MortPayM,C92+C92*(F_MR/12)),C92)</f>
        <v>0</v>
      </c>
      <c r="E92" s="20" t="n">
        <f aca="false">IF(D92&gt;PR_BalDone,D92+D92*(F_MR/12)-MIN(F_MortPayM,D92+D92*(F_MR/12)),D92)</f>
        <v>0</v>
      </c>
      <c r="F92" s="20" t="n">
        <f aca="false">IF(E92&gt;PR_BalDone,E92+E92*(F_MR/12)-MIN(F_MortPayM,E92+E92*(F_MR/12)),E92)</f>
        <v>0</v>
      </c>
      <c r="G92" s="20" t="n">
        <f aca="false">IF(F92&gt;PR_BalDone,F92+F92*(F_MR/12)-MIN(F_MortPayM,F92+F92*(F_MR/12)),F92)</f>
        <v>0</v>
      </c>
      <c r="H92" s="20" t="n">
        <f aca="false">IF(G92&gt;PR_BalDone,G92+G92*(F_MR/12)-MIN(F_MortPayM,G92+G92*(F_MR/12)),G92)</f>
        <v>0</v>
      </c>
      <c r="I92" s="20" t="n">
        <f aca="false">IF(H92&gt;PR_BalDone,H92+H92*(F_MR/12)-MIN(F_MortPayM,H92+H92*(F_MR/12)),H92)</f>
        <v>0</v>
      </c>
      <c r="J92" s="20" t="n">
        <f aca="false">IF(I92&gt;PR_BalDone,I92+I92*(F_MR/12)-MIN(F_MortPayM,I92+I92*(F_MR/12)),I92)</f>
        <v>0</v>
      </c>
      <c r="K92" s="20" t="n">
        <f aca="false">IF(J92&gt;PR_BalDone,J92+J92*(F_MR/12)-MIN(F_MortPayM,J92+J92*(F_MR/12)),J92)</f>
        <v>0</v>
      </c>
      <c r="L92" s="20" t="n">
        <f aca="false">IF(K92&gt;PR_BalDone,K92+K92*(F_MR/12)-MIN(F_MortPayM,K92+K92*(F_MR/12)),K92)</f>
        <v>0</v>
      </c>
      <c r="M92" s="20" t="n">
        <f aca="false">IF(L92&gt;PR_BalDone,L92+L92*(F_MR/12)-MIN(F_MortPayM,L92+L92*(F_MR/12)),L92)</f>
        <v>0</v>
      </c>
      <c r="N92" s="20" t="n">
        <f aca="false">IF(M92&gt;PR_BalDone,M92+M92*(F_MR/12)-MIN(F_MortPayM,M92+M92*(F_MR/12)),M92)</f>
        <v>0</v>
      </c>
      <c r="O92" s="20" t="n">
        <f aca="false">IF(N92&gt;PR_BalDone,N92+N92*(F_MR/12)-MIN(F_MortPayM,N92+N92*(F_MR/12)),N92)</f>
        <v>0</v>
      </c>
      <c r="P92" s="20" t="n">
        <f aca="false">IF(C92&gt;PR_BalDone,MIN(F_MortPayM,C92+C92*(F_MR/12)),0)</f>
        <v>0</v>
      </c>
      <c r="Q92" s="20" t="n">
        <f aca="false">IF(D92&gt;PR_BalDone,MIN(F_MortPayM,D92+D92*(F_MR/12)),0)</f>
        <v>0</v>
      </c>
      <c r="R92" s="20" t="n">
        <f aca="false">IF(E92&gt;PR_BalDone,MIN(F_MortPayM,E92+E92*(F_MR/12)),0)</f>
        <v>0</v>
      </c>
      <c r="S92" s="20" t="n">
        <f aca="false">IF(F92&gt;PR_BalDone,MIN(F_MortPayM,F92+F92*(F_MR/12)),0)</f>
        <v>0</v>
      </c>
      <c r="T92" s="20" t="n">
        <f aca="false">IF(G92&gt;PR_BalDone,MIN(F_MortPayM,G92+G92*(F_MR/12)),0)</f>
        <v>0</v>
      </c>
      <c r="U92" s="20" t="n">
        <f aca="false">IF(H92&gt;PR_BalDone,MIN(F_MortPayM,H92+H92*(F_MR/12)),0)</f>
        <v>0</v>
      </c>
      <c r="V92" s="20" t="n">
        <f aca="false">IF(I92&gt;PR_BalDone,MIN(F_MortPayM,I92+I92*(F_MR/12)),0)</f>
        <v>0</v>
      </c>
      <c r="W92" s="20" t="n">
        <f aca="false">IF(J92&gt;PR_BalDone,MIN(F_MortPayM,J92+J92*(F_MR/12)),0)</f>
        <v>0</v>
      </c>
      <c r="X92" s="20" t="n">
        <f aca="false">IF(K92&gt;PR_BalDone,MIN(F_MortPayM,K92+K92*(F_MR/12)),0)</f>
        <v>0</v>
      </c>
      <c r="Y92" s="20" t="n">
        <f aca="false">IF(L92&gt;PR_BalDone,MIN(F_MortPayM,L92+L92*(F_MR/12)),0)</f>
        <v>0</v>
      </c>
      <c r="Z92" s="20" t="n">
        <f aca="false">IF(M92&gt;PR_BalDone,MIN(F_MortPayM,M92+M92*(F_MR/12)),0)</f>
        <v>0</v>
      </c>
      <c r="AA92" s="20" t="n">
        <f aca="false">IF(N92&gt;PR_BalDone,MIN(F_MortPayM,N92+N92*(F_MR/12)),0)</f>
        <v>0</v>
      </c>
      <c r="AB92" s="20" t="n">
        <f aca="false">MAX(0,O92)</f>
        <v>0</v>
      </c>
      <c r="AC92" s="20" t="n">
        <f aca="false">SUM(P92:AA92)</f>
        <v>0</v>
      </c>
      <c r="AD92" s="20" t="n">
        <f aca="false">'Plan cashflow'!M92</f>
        <v>0</v>
      </c>
      <c r="AE92" s="20" t="n">
        <f aca="false">IF(AD92&gt;PR_BalDone,AD92+AD92*(D_iC)-MIN(F_CardPayM,AD92+AD92*(D_iC)),AD92)</f>
        <v>0</v>
      </c>
      <c r="AF92" s="20" t="n">
        <f aca="false">IF(AE92&gt;PR_BalDone,AE92+AE92*(D_iC)-MIN(F_CardPayM,AE92+AE92*(D_iC)),AE92)</f>
        <v>0</v>
      </c>
      <c r="AG92" s="20" t="n">
        <f aca="false">IF(AF92&gt;PR_BalDone,AF92+AF92*(D_iC)-MIN(F_CardPayM,AF92+AF92*(D_iC)),AF92)</f>
        <v>0</v>
      </c>
      <c r="AH92" s="20" t="n">
        <f aca="false">IF(AG92&gt;PR_BalDone,AG92+AG92*(D_iC)-MIN(F_CardPayM,AG92+AG92*(D_iC)),AG92)</f>
        <v>0</v>
      </c>
      <c r="AI92" s="20" t="n">
        <f aca="false">IF(AH92&gt;PR_BalDone,AH92+AH92*(D_iC)-MIN(F_CardPayM,AH92+AH92*(D_iC)),AH92)</f>
        <v>0</v>
      </c>
      <c r="AJ92" s="20" t="n">
        <f aca="false">IF(AI92&gt;PR_BalDone,AI92+AI92*(D_iC)-MIN(F_CardPayM,AI92+AI92*(D_iC)),AI92)</f>
        <v>0</v>
      </c>
      <c r="AK92" s="20" t="n">
        <f aca="false">IF(AJ92&gt;PR_BalDone,AJ92+AJ92*(D_iC)-MIN(F_CardPayM,AJ92+AJ92*(D_iC)),AJ92)</f>
        <v>0</v>
      </c>
      <c r="AL92" s="20" t="n">
        <f aca="false">IF(AK92&gt;PR_BalDone,AK92+AK92*(D_iC)-MIN(F_CardPayM,AK92+AK92*(D_iC)),AK92)</f>
        <v>0</v>
      </c>
      <c r="AM92" s="20" t="n">
        <f aca="false">IF(AL92&gt;PR_BalDone,AL92+AL92*(D_iC)-MIN(F_CardPayM,AL92+AL92*(D_iC)),AL92)</f>
        <v>0</v>
      </c>
      <c r="AN92" s="20" t="n">
        <f aca="false">IF(AM92&gt;PR_BalDone,AM92+AM92*(D_iC)-MIN(F_CardPayM,AM92+AM92*(D_iC)),AM92)</f>
        <v>0</v>
      </c>
      <c r="AO92" s="20" t="n">
        <f aca="false">IF(AN92&gt;PR_BalDone,AN92+AN92*(D_iC)-MIN(F_CardPayM,AN92+AN92*(D_iC)),AN92)</f>
        <v>0</v>
      </c>
      <c r="AP92" s="20" t="n">
        <f aca="false">IF(AO92&gt;PR_BalDone,AO92+AO92*(D_iC)-MIN(F_CardPayM,AO92+AO92*(D_iC)),AO92)</f>
        <v>0</v>
      </c>
      <c r="AQ92" s="20" t="n">
        <f aca="false">IF(AD92&gt;PR_BalDone,MIN(F_CardPayM,AD92+AD92*(D_iC)),0)</f>
        <v>0</v>
      </c>
      <c r="AR92" s="20" t="n">
        <f aca="false">IF(AE92&gt;PR_BalDone,MIN(F_CardPayM,AE92+AE92*(D_iC)),0)</f>
        <v>0</v>
      </c>
      <c r="AS92" s="20" t="n">
        <f aca="false">IF(AF92&gt;PR_BalDone,MIN(F_CardPayM,AF92+AF92*(D_iC)),0)</f>
        <v>0</v>
      </c>
      <c r="AT92" s="20" t="n">
        <f aca="false">IF(AG92&gt;PR_BalDone,MIN(F_CardPayM,AG92+AG92*(D_iC)),0)</f>
        <v>0</v>
      </c>
      <c r="AU92" s="20" t="n">
        <f aca="false">IF(AH92&gt;PR_BalDone,MIN(F_CardPayM,AH92+AH92*(D_iC)),0)</f>
        <v>0</v>
      </c>
      <c r="AV92" s="20" t="n">
        <f aca="false">IF(AI92&gt;PR_BalDone,MIN(F_CardPayM,AI92+AI92*(D_iC)),0)</f>
        <v>0</v>
      </c>
      <c r="AW92" s="20" t="n">
        <f aca="false">IF(AJ92&gt;PR_BalDone,MIN(F_CardPayM,AJ92+AJ92*(D_iC)),0)</f>
        <v>0</v>
      </c>
      <c r="AX92" s="20" t="n">
        <f aca="false">IF(AK92&gt;PR_BalDone,MIN(F_CardPayM,AK92+AK92*(D_iC)),0)</f>
        <v>0</v>
      </c>
      <c r="AY92" s="20" t="n">
        <f aca="false">IF(AL92&gt;PR_BalDone,MIN(F_CardPayM,AL92+AL92*(D_iC)),0)</f>
        <v>0</v>
      </c>
      <c r="AZ92" s="20" t="n">
        <f aca="false">IF(AM92&gt;PR_BalDone,MIN(F_CardPayM,AM92+AM92*(D_iC)),0)</f>
        <v>0</v>
      </c>
      <c r="BA92" s="20" t="n">
        <f aca="false">IF(AN92&gt;PR_BalDone,MIN(F_CardPayM,AN92+AN92*(D_iC)),0)</f>
        <v>0</v>
      </c>
      <c r="BB92" s="20" t="n">
        <f aca="false">IF(AO92&gt;PR_BalDone,MIN(F_CardPayM,AO92+AO92*(D_iC)),0)</f>
        <v>0</v>
      </c>
      <c r="BC92" s="20" t="n">
        <f aca="false">MAX(0,AP92)</f>
        <v>0</v>
      </c>
      <c r="BD92" s="20" t="n">
        <f aca="false">SUM(AQ92:BB92)</f>
        <v>0</v>
      </c>
      <c r="BE92" s="20" t="n">
        <f aca="false">'Plan cashflow'!P92</f>
        <v>0</v>
      </c>
      <c r="BF92" s="20" t="n">
        <f aca="false">IF(BE92&gt;PR_BalDone,BE92+BE92*(D_iL)-MIN(F_LoanPayM,BE92+BE92*(D_iL)),BE92)</f>
        <v>0</v>
      </c>
      <c r="BG92" s="20" t="n">
        <f aca="false">IF(BF92&gt;PR_BalDone,BF92+BF92*(D_iL)-MIN(F_LoanPayM,BF92+BF92*(D_iL)),BF92)</f>
        <v>0</v>
      </c>
      <c r="BH92" s="20" t="n">
        <f aca="false">IF(BG92&gt;PR_BalDone,BG92+BG92*(D_iL)-MIN(F_LoanPayM,BG92+BG92*(D_iL)),BG92)</f>
        <v>0</v>
      </c>
      <c r="BI92" s="20" t="n">
        <f aca="false">IF(BH92&gt;PR_BalDone,BH92+BH92*(D_iL)-MIN(F_LoanPayM,BH92+BH92*(D_iL)),BH92)</f>
        <v>0</v>
      </c>
      <c r="BJ92" s="20" t="n">
        <f aca="false">IF(BI92&gt;PR_BalDone,BI92+BI92*(D_iL)-MIN(F_LoanPayM,BI92+BI92*(D_iL)),BI92)</f>
        <v>0</v>
      </c>
      <c r="BK92" s="20" t="n">
        <f aca="false">IF(BJ92&gt;PR_BalDone,BJ92+BJ92*(D_iL)-MIN(F_LoanPayM,BJ92+BJ92*(D_iL)),BJ92)</f>
        <v>0</v>
      </c>
      <c r="BL92" s="20" t="n">
        <f aca="false">IF(BK92&gt;PR_BalDone,BK92+BK92*(D_iL)-MIN(F_LoanPayM,BK92+BK92*(D_iL)),BK92)</f>
        <v>0</v>
      </c>
      <c r="BM92" s="20" t="n">
        <f aca="false">IF(BL92&gt;PR_BalDone,BL92+BL92*(D_iL)-MIN(F_LoanPayM,BL92+BL92*(D_iL)),BL92)</f>
        <v>0</v>
      </c>
      <c r="BN92" s="20" t="n">
        <f aca="false">IF(BM92&gt;PR_BalDone,BM92+BM92*(D_iL)-MIN(F_LoanPayM,BM92+BM92*(D_iL)),BM92)</f>
        <v>0</v>
      </c>
      <c r="BO92" s="20" t="n">
        <f aca="false">IF(BN92&gt;PR_BalDone,BN92+BN92*(D_iL)-MIN(F_LoanPayM,BN92+BN92*(D_iL)),BN92)</f>
        <v>0</v>
      </c>
      <c r="BP92" s="20" t="n">
        <f aca="false">IF(BO92&gt;PR_BalDone,BO92+BO92*(D_iL)-MIN(F_LoanPayM,BO92+BO92*(D_iL)),BO92)</f>
        <v>0</v>
      </c>
      <c r="BQ92" s="20" t="n">
        <f aca="false">IF(BP92&gt;PR_BalDone,BP92+BP92*(D_iL)-MIN(F_LoanPayM,BP92+BP92*(D_iL)),BP92)</f>
        <v>0</v>
      </c>
      <c r="BR92" s="20" t="n">
        <f aca="false">IF(BE92&gt;PR_BalDone,MIN(F_LoanPayM,BE92+BE92*(D_iL)),0)</f>
        <v>0</v>
      </c>
      <c r="BS92" s="20" t="n">
        <f aca="false">IF(BF92&gt;PR_BalDone,MIN(F_LoanPayM,BF92+BF92*(D_iL)),0)</f>
        <v>0</v>
      </c>
      <c r="BT92" s="20" t="n">
        <f aca="false">IF(BG92&gt;PR_BalDone,MIN(F_LoanPayM,BG92+BG92*(D_iL)),0)</f>
        <v>0</v>
      </c>
      <c r="BU92" s="20" t="n">
        <f aca="false">IF(BH92&gt;PR_BalDone,MIN(F_LoanPayM,BH92+BH92*(D_iL)),0)</f>
        <v>0</v>
      </c>
      <c r="BV92" s="20" t="n">
        <f aca="false">IF(BI92&gt;PR_BalDone,MIN(F_LoanPayM,BI92+BI92*(D_iL)),0)</f>
        <v>0</v>
      </c>
      <c r="BW92" s="20" t="n">
        <f aca="false">IF(BJ92&gt;PR_BalDone,MIN(F_LoanPayM,BJ92+BJ92*(D_iL)),0)</f>
        <v>0</v>
      </c>
      <c r="BX92" s="20" t="n">
        <f aca="false">IF(BK92&gt;PR_BalDone,MIN(F_LoanPayM,BK92+BK92*(D_iL)),0)</f>
        <v>0</v>
      </c>
      <c r="BY92" s="20" t="n">
        <f aca="false">IF(BL92&gt;PR_BalDone,MIN(F_LoanPayM,BL92+BL92*(D_iL)),0)</f>
        <v>0</v>
      </c>
      <c r="BZ92" s="20" t="n">
        <f aca="false">IF(BM92&gt;PR_BalDone,MIN(F_LoanPayM,BM92+BM92*(D_iL)),0)</f>
        <v>0</v>
      </c>
      <c r="CA92" s="20" t="n">
        <f aca="false">IF(BN92&gt;PR_BalDone,MIN(F_LoanPayM,BN92+BN92*(D_iL)),0)</f>
        <v>0</v>
      </c>
      <c r="CB92" s="20" t="n">
        <f aca="false">IF(BO92&gt;PR_BalDone,MIN(F_LoanPayM,BO92+BO92*(D_iL)),0)</f>
        <v>0</v>
      </c>
      <c r="CC92" s="20" t="n">
        <f aca="false">IF(BP92&gt;PR_BalDone,MIN(F_LoanPayM,BP92+BP92*(D_iL)),0)</f>
        <v>0</v>
      </c>
      <c r="CD92" s="20" t="n">
        <f aca="false">MAX(0,BQ92)</f>
        <v>0</v>
      </c>
      <c r="CE92" s="20" t="n">
        <f aca="false">SUM(BR92:CC92)</f>
        <v>0</v>
      </c>
      <c r="CF92" s="20" t="n">
        <f aca="false">IF(CF91&gt;1,DE91,CF91)</f>
        <v>0</v>
      </c>
      <c r="CG92" s="20" t="n">
        <f aca="false">IF(CF92&gt;PR_BalDone,CF92+CF92*(F_MR/12)-MIN(F_MortPayM,CF92+CF92*(F_MR/12)),CF92)</f>
        <v>0</v>
      </c>
      <c r="CH92" s="20" t="n">
        <f aca="false">IF(CG92&gt;PR_BalDone,CG92+CG92*(F_MR/12)-MIN(F_MortPayM,CG92+CG92*(F_MR/12)),CG92)</f>
        <v>0</v>
      </c>
      <c r="CI92" s="20" t="n">
        <f aca="false">IF(CH92&gt;PR_BalDone,CH92+CH92*(F_MR/12)-MIN(F_MortPayM,CH92+CH92*(F_MR/12)),CH92)</f>
        <v>0</v>
      </c>
      <c r="CJ92" s="20" t="n">
        <f aca="false">IF(CI92&gt;PR_BalDone,CI92+CI92*(F_MR/12)-MIN(F_MortPayM,CI92+CI92*(F_MR/12)),CI92)</f>
        <v>0</v>
      </c>
      <c r="CK92" s="20" t="n">
        <f aca="false">IF(CJ92&gt;PR_BalDone,CJ92+CJ92*(F_MR/12)-MIN(F_MortPayM,CJ92+CJ92*(F_MR/12)),CJ92)</f>
        <v>0</v>
      </c>
      <c r="CL92" s="20" t="n">
        <f aca="false">IF(CK92&gt;PR_BalDone,CK92+CK92*(F_MR/12)-MIN(F_MortPayM,CK92+CK92*(F_MR/12)),CK92)</f>
        <v>0</v>
      </c>
      <c r="CM92" s="20" t="n">
        <f aca="false">IF(CL92&gt;PR_BalDone,CL92+CL92*(F_MR/12)-MIN(F_MortPayM,CL92+CL92*(F_MR/12)),CL92)</f>
        <v>0</v>
      </c>
      <c r="CN92" s="20" t="n">
        <f aca="false">IF(CM92&gt;PR_BalDone,CM92+CM92*(F_MR/12)-MIN(F_MortPayM,CM92+CM92*(F_MR/12)),CM92)</f>
        <v>0</v>
      </c>
      <c r="CO92" s="20" t="n">
        <f aca="false">IF(CN92&gt;PR_BalDone,CN92+CN92*(F_MR/12)-MIN(F_MortPayM,CN92+CN92*(F_MR/12)),CN92)</f>
        <v>0</v>
      </c>
      <c r="CP92" s="20" t="n">
        <f aca="false">IF(CO92&gt;PR_BalDone,CO92+CO92*(F_MR/12)-MIN(F_MortPayM,CO92+CO92*(F_MR/12)),CO92)</f>
        <v>0</v>
      </c>
      <c r="CQ92" s="20" t="n">
        <f aca="false">IF(CP92&gt;PR_BalDone,CP92+CP92*(F_MR/12)-MIN(F_MortPayM,CP92+CP92*(F_MR/12)),CP92)</f>
        <v>0</v>
      </c>
      <c r="CR92" s="20" t="n">
        <f aca="false">IF(CQ92&gt;PR_BalDone,CQ92+CQ92*(F_MR/12)-MIN(F_MortPayM,CQ92+CQ92*(F_MR/12)),CQ92)</f>
        <v>0</v>
      </c>
      <c r="CS92" s="20" t="n">
        <f aca="false">IF(CF92&gt;PR_BalDone,MIN(F_MortPayM,CF92+CF92*(F_MR/12)),0)</f>
        <v>0</v>
      </c>
      <c r="CT92" s="20" t="n">
        <f aca="false">IF(CG92&gt;PR_BalDone,MIN(F_MortPayM,CG92+CG92*(F_MR/12)),0)</f>
        <v>0</v>
      </c>
      <c r="CU92" s="20" t="n">
        <f aca="false">IF(CH92&gt;PR_BalDone,MIN(F_MortPayM,CH92+CH92*(F_MR/12)),0)</f>
        <v>0</v>
      </c>
      <c r="CV92" s="20" t="n">
        <f aca="false">IF(CI92&gt;PR_BalDone,MIN(F_MortPayM,CI92+CI92*(F_MR/12)),0)</f>
        <v>0</v>
      </c>
      <c r="CW92" s="20" t="n">
        <f aca="false">IF(CJ92&gt;PR_BalDone,MIN(F_MortPayM,CJ92+CJ92*(F_MR/12)),0)</f>
        <v>0</v>
      </c>
      <c r="CX92" s="20" t="n">
        <f aca="false">IF(CK92&gt;PR_BalDone,MIN(F_MortPayM,CK92+CK92*(F_MR/12)),0)</f>
        <v>0</v>
      </c>
      <c r="CY92" s="20" t="n">
        <f aca="false">IF(CL92&gt;PR_BalDone,MIN(F_MortPayM,CL92+CL92*(F_MR/12)),0)</f>
        <v>0</v>
      </c>
      <c r="CZ92" s="20" t="n">
        <f aca="false">IF(CM92&gt;PR_BalDone,MIN(F_MortPayM,CM92+CM92*(F_MR/12)),0)</f>
        <v>0</v>
      </c>
      <c r="DA92" s="20" t="n">
        <f aca="false">IF(CN92&gt;PR_BalDone,MIN(F_MortPayM,CN92+CN92*(F_MR/12)),0)</f>
        <v>0</v>
      </c>
      <c r="DB92" s="20" t="n">
        <f aca="false">IF(CO92&gt;PR_BalDone,MIN(F_MortPayM,CO92+CO92*(F_MR/12)),0)</f>
        <v>0</v>
      </c>
      <c r="DC92" s="20" t="n">
        <f aca="false">IF(CP92&gt;PR_BalDone,MIN(F_MortPayM,CP92+CP92*(F_MR/12)),0)</f>
        <v>0</v>
      </c>
      <c r="DD92" s="20" t="n">
        <f aca="false">IF(CQ92&gt;PR_BalDone,MIN(F_MortPayM,CQ92+CQ92*(F_MR/12)),0)</f>
        <v>0</v>
      </c>
      <c r="DE92" s="20" t="n">
        <f aca="false">MAX(0,CR92)</f>
        <v>0</v>
      </c>
      <c r="DF92" s="20" t="n">
        <f aca="false">SUM(CS92:DD92)</f>
        <v>0</v>
      </c>
      <c r="DG92" s="20" t="n">
        <f aca="false">MAX(0,CF92)</f>
        <v>0</v>
      </c>
    </row>
    <row r="93" customFormat="false" ht="15" hidden="false" customHeight="true" outlineLevel="0" collapsed="false">
      <c r="B93" s="20" t="n">
        <v>85</v>
      </c>
      <c r="C93" s="20" t="n">
        <f aca="false">'Plan cashflow'!J93</f>
        <v>0</v>
      </c>
      <c r="D93" s="20" t="n">
        <f aca="false">IF(C93&gt;PR_BalDone,C93+C93*(F_MR/12)-MIN(F_MortPayM,C93+C93*(F_MR/12)),C93)</f>
        <v>0</v>
      </c>
      <c r="E93" s="20" t="n">
        <f aca="false">IF(D93&gt;PR_BalDone,D93+D93*(F_MR/12)-MIN(F_MortPayM,D93+D93*(F_MR/12)),D93)</f>
        <v>0</v>
      </c>
      <c r="F93" s="20" t="n">
        <f aca="false">IF(E93&gt;PR_BalDone,E93+E93*(F_MR/12)-MIN(F_MortPayM,E93+E93*(F_MR/12)),E93)</f>
        <v>0</v>
      </c>
      <c r="G93" s="20" t="n">
        <f aca="false">IF(F93&gt;PR_BalDone,F93+F93*(F_MR/12)-MIN(F_MortPayM,F93+F93*(F_MR/12)),F93)</f>
        <v>0</v>
      </c>
      <c r="H93" s="20" t="n">
        <f aca="false">IF(G93&gt;PR_BalDone,G93+G93*(F_MR/12)-MIN(F_MortPayM,G93+G93*(F_MR/12)),G93)</f>
        <v>0</v>
      </c>
      <c r="I93" s="20" t="n">
        <f aca="false">IF(H93&gt;PR_BalDone,H93+H93*(F_MR/12)-MIN(F_MortPayM,H93+H93*(F_MR/12)),H93)</f>
        <v>0</v>
      </c>
      <c r="J93" s="20" t="n">
        <f aca="false">IF(I93&gt;PR_BalDone,I93+I93*(F_MR/12)-MIN(F_MortPayM,I93+I93*(F_MR/12)),I93)</f>
        <v>0</v>
      </c>
      <c r="K93" s="20" t="n">
        <f aca="false">IF(J93&gt;PR_BalDone,J93+J93*(F_MR/12)-MIN(F_MortPayM,J93+J93*(F_MR/12)),J93)</f>
        <v>0</v>
      </c>
      <c r="L93" s="20" t="n">
        <f aca="false">IF(K93&gt;PR_BalDone,K93+K93*(F_MR/12)-MIN(F_MortPayM,K93+K93*(F_MR/12)),K93)</f>
        <v>0</v>
      </c>
      <c r="M93" s="20" t="n">
        <f aca="false">IF(L93&gt;PR_BalDone,L93+L93*(F_MR/12)-MIN(F_MortPayM,L93+L93*(F_MR/12)),L93)</f>
        <v>0</v>
      </c>
      <c r="N93" s="20" t="n">
        <f aca="false">IF(M93&gt;PR_BalDone,M93+M93*(F_MR/12)-MIN(F_MortPayM,M93+M93*(F_MR/12)),M93)</f>
        <v>0</v>
      </c>
      <c r="O93" s="20" t="n">
        <f aca="false">IF(N93&gt;PR_BalDone,N93+N93*(F_MR/12)-MIN(F_MortPayM,N93+N93*(F_MR/12)),N93)</f>
        <v>0</v>
      </c>
      <c r="P93" s="20" t="n">
        <f aca="false">IF(C93&gt;PR_BalDone,MIN(F_MortPayM,C93+C93*(F_MR/12)),0)</f>
        <v>0</v>
      </c>
      <c r="Q93" s="20" t="n">
        <f aca="false">IF(D93&gt;PR_BalDone,MIN(F_MortPayM,D93+D93*(F_MR/12)),0)</f>
        <v>0</v>
      </c>
      <c r="R93" s="20" t="n">
        <f aca="false">IF(E93&gt;PR_BalDone,MIN(F_MortPayM,E93+E93*(F_MR/12)),0)</f>
        <v>0</v>
      </c>
      <c r="S93" s="20" t="n">
        <f aca="false">IF(F93&gt;PR_BalDone,MIN(F_MortPayM,F93+F93*(F_MR/12)),0)</f>
        <v>0</v>
      </c>
      <c r="T93" s="20" t="n">
        <f aca="false">IF(G93&gt;PR_BalDone,MIN(F_MortPayM,G93+G93*(F_MR/12)),0)</f>
        <v>0</v>
      </c>
      <c r="U93" s="20" t="n">
        <f aca="false">IF(H93&gt;PR_BalDone,MIN(F_MortPayM,H93+H93*(F_MR/12)),0)</f>
        <v>0</v>
      </c>
      <c r="V93" s="20" t="n">
        <f aca="false">IF(I93&gt;PR_BalDone,MIN(F_MortPayM,I93+I93*(F_MR/12)),0)</f>
        <v>0</v>
      </c>
      <c r="W93" s="20" t="n">
        <f aca="false">IF(J93&gt;PR_BalDone,MIN(F_MortPayM,J93+J93*(F_MR/12)),0)</f>
        <v>0</v>
      </c>
      <c r="X93" s="20" t="n">
        <f aca="false">IF(K93&gt;PR_BalDone,MIN(F_MortPayM,K93+K93*(F_MR/12)),0)</f>
        <v>0</v>
      </c>
      <c r="Y93" s="20" t="n">
        <f aca="false">IF(L93&gt;PR_BalDone,MIN(F_MortPayM,L93+L93*(F_MR/12)),0)</f>
        <v>0</v>
      </c>
      <c r="Z93" s="20" t="n">
        <f aca="false">IF(M93&gt;PR_BalDone,MIN(F_MortPayM,M93+M93*(F_MR/12)),0)</f>
        <v>0</v>
      </c>
      <c r="AA93" s="20" t="n">
        <f aca="false">IF(N93&gt;PR_BalDone,MIN(F_MortPayM,N93+N93*(F_MR/12)),0)</f>
        <v>0</v>
      </c>
      <c r="AB93" s="20" t="n">
        <f aca="false">MAX(0,O93)</f>
        <v>0</v>
      </c>
      <c r="AC93" s="20" t="n">
        <f aca="false">SUM(P93:AA93)</f>
        <v>0</v>
      </c>
      <c r="AD93" s="20" t="n">
        <f aca="false">'Plan cashflow'!M93</f>
        <v>0</v>
      </c>
      <c r="AE93" s="20" t="n">
        <f aca="false">IF(AD93&gt;PR_BalDone,AD93+AD93*(D_iC)-MIN(F_CardPayM,AD93+AD93*(D_iC)),AD93)</f>
        <v>0</v>
      </c>
      <c r="AF93" s="20" t="n">
        <f aca="false">IF(AE93&gt;PR_BalDone,AE93+AE93*(D_iC)-MIN(F_CardPayM,AE93+AE93*(D_iC)),AE93)</f>
        <v>0</v>
      </c>
      <c r="AG93" s="20" t="n">
        <f aca="false">IF(AF93&gt;PR_BalDone,AF93+AF93*(D_iC)-MIN(F_CardPayM,AF93+AF93*(D_iC)),AF93)</f>
        <v>0</v>
      </c>
      <c r="AH93" s="20" t="n">
        <f aca="false">IF(AG93&gt;PR_BalDone,AG93+AG93*(D_iC)-MIN(F_CardPayM,AG93+AG93*(D_iC)),AG93)</f>
        <v>0</v>
      </c>
      <c r="AI93" s="20" t="n">
        <f aca="false">IF(AH93&gt;PR_BalDone,AH93+AH93*(D_iC)-MIN(F_CardPayM,AH93+AH93*(D_iC)),AH93)</f>
        <v>0</v>
      </c>
      <c r="AJ93" s="20" t="n">
        <f aca="false">IF(AI93&gt;PR_BalDone,AI93+AI93*(D_iC)-MIN(F_CardPayM,AI93+AI93*(D_iC)),AI93)</f>
        <v>0</v>
      </c>
      <c r="AK93" s="20" t="n">
        <f aca="false">IF(AJ93&gt;PR_BalDone,AJ93+AJ93*(D_iC)-MIN(F_CardPayM,AJ93+AJ93*(D_iC)),AJ93)</f>
        <v>0</v>
      </c>
      <c r="AL93" s="20" t="n">
        <f aca="false">IF(AK93&gt;PR_BalDone,AK93+AK93*(D_iC)-MIN(F_CardPayM,AK93+AK93*(D_iC)),AK93)</f>
        <v>0</v>
      </c>
      <c r="AM93" s="20" t="n">
        <f aca="false">IF(AL93&gt;PR_BalDone,AL93+AL93*(D_iC)-MIN(F_CardPayM,AL93+AL93*(D_iC)),AL93)</f>
        <v>0</v>
      </c>
      <c r="AN93" s="20" t="n">
        <f aca="false">IF(AM93&gt;PR_BalDone,AM93+AM93*(D_iC)-MIN(F_CardPayM,AM93+AM93*(D_iC)),AM93)</f>
        <v>0</v>
      </c>
      <c r="AO93" s="20" t="n">
        <f aca="false">IF(AN93&gt;PR_BalDone,AN93+AN93*(D_iC)-MIN(F_CardPayM,AN93+AN93*(D_iC)),AN93)</f>
        <v>0</v>
      </c>
      <c r="AP93" s="20" t="n">
        <f aca="false">IF(AO93&gt;PR_BalDone,AO93+AO93*(D_iC)-MIN(F_CardPayM,AO93+AO93*(D_iC)),AO93)</f>
        <v>0</v>
      </c>
      <c r="AQ93" s="20" t="n">
        <f aca="false">IF(AD93&gt;PR_BalDone,MIN(F_CardPayM,AD93+AD93*(D_iC)),0)</f>
        <v>0</v>
      </c>
      <c r="AR93" s="20" t="n">
        <f aca="false">IF(AE93&gt;PR_BalDone,MIN(F_CardPayM,AE93+AE93*(D_iC)),0)</f>
        <v>0</v>
      </c>
      <c r="AS93" s="20" t="n">
        <f aca="false">IF(AF93&gt;PR_BalDone,MIN(F_CardPayM,AF93+AF93*(D_iC)),0)</f>
        <v>0</v>
      </c>
      <c r="AT93" s="20" t="n">
        <f aca="false">IF(AG93&gt;PR_BalDone,MIN(F_CardPayM,AG93+AG93*(D_iC)),0)</f>
        <v>0</v>
      </c>
      <c r="AU93" s="20" t="n">
        <f aca="false">IF(AH93&gt;PR_BalDone,MIN(F_CardPayM,AH93+AH93*(D_iC)),0)</f>
        <v>0</v>
      </c>
      <c r="AV93" s="20" t="n">
        <f aca="false">IF(AI93&gt;PR_BalDone,MIN(F_CardPayM,AI93+AI93*(D_iC)),0)</f>
        <v>0</v>
      </c>
      <c r="AW93" s="20" t="n">
        <f aca="false">IF(AJ93&gt;PR_BalDone,MIN(F_CardPayM,AJ93+AJ93*(D_iC)),0)</f>
        <v>0</v>
      </c>
      <c r="AX93" s="20" t="n">
        <f aca="false">IF(AK93&gt;PR_BalDone,MIN(F_CardPayM,AK93+AK93*(D_iC)),0)</f>
        <v>0</v>
      </c>
      <c r="AY93" s="20" t="n">
        <f aca="false">IF(AL93&gt;PR_BalDone,MIN(F_CardPayM,AL93+AL93*(D_iC)),0)</f>
        <v>0</v>
      </c>
      <c r="AZ93" s="20" t="n">
        <f aca="false">IF(AM93&gt;PR_BalDone,MIN(F_CardPayM,AM93+AM93*(D_iC)),0)</f>
        <v>0</v>
      </c>
      <c r="BA93" s="20" t="n">
        <f aca="false">IF(AN93&gt;PR_BalDone,MIN(F_CardPayM,AN93+AN93*(D_iC)),0)</f>
        <v>0</v>
      </c>
      <c r="BB93" s="20" t="n">
        <f aca="false">IF(AO93&gt;PR_BalDone,MIN(F_CardPayM,AO93+AO93*(D_iC)),0)</f>
        <v>0</v>
      </c>
      <c r="BC93" s="20" t="n">
        <f aca="false">MAX(0,AP93)</f>
        <v>0</v>
      </c>
      <c r="BD93" s="20" t="n">
        <f aca="false">SUM(AQ93:BB93)</f>
        <v>0</v>
      </c>
      <c r="BE93" s="20" t="n">
        <f aca="false">'Plan cashflow'!P93</f>
        <v>0</v>
      </c>
      <c r="BF93" s="20" t="n">
        <f aca="false">IF(BE93&gt;PR_BalDone,BE93+BE93*(D_iL)-MIN(F_LoanPayM,BE93+BE93*(D_iL)),BE93)</f>
        <v>0</v>
      </c>
      <c r="BG93" s="20" t="n">
        <f aca="false">IF(BF93&gt;PR_BalDone,BF93+BF93*(D_iL)-MIN(F_LoanPayM,BF93+BF93*(D_iL)),BF93)</f>
        <v>0</v>
      </c>
      <c r="BH93" s="20" t="n">
        <f aca="false">IF(BG93&gt;PR_BalDone,BG93+BG93*(D_iL)-MIN(F_LoanPayM,BG93+BG93*(D_iL)),BG93)</f>
        <v>0</v>
      </c>
      <c r="BI93" s="20" t="n">
        <f aca="false">IF(BH93&gt;PR_BalDone,BH93+BH93*(D_iL)-MIN(F_LoanPayM,BH93+BH93*(D_iL)),BH93)</f>
        <v>0</v>
      </c>
      <c r="BJ93" s="20" t="n">
        <f aca="false">IF(BI93&gt;PR_BalDone,BI93+BI93*(D_iL)-MIN(F_LoanPayM,BI93+BI93*(D_iL)),BI93)</f>
        <v>0</v>
      </c>
      <c r="BK93" s="20" t="n">
        <f aca="false">IF(BJ93&gt;PR_BalDone,BJ93+BJ93*(D_iL)-MIN(F_LoanPayM,BJ93+BJ93*(D_iL)),BJ93)</f>
        <v>0</v>
      </c>
      <c r="BL93" s="20" t="n">
        <f aca="false">IF(BK93&gt;PR_BalDone,BK93+BK93*(D_iL)-MIN(F_LoanPayM,BK93+BK93*(D_iL)),BK93)</f>
        <v>0</v>
      </c>
      <c r="BM93" s="20" t="n">
        <f aca="false">IF(BL93&gt;PR_BalDone,BL93+BL93*(D_iL)-MIN(F_LoanPayM,BL93+BL93*(D_iL)),BL93)</f>
        <v>0</v>
      </c>
      <c r="BN93" s="20" t="n">
        <f aca="false">IF(BM93&gt;PR_BalDone,BM93+BM93*(D_iL)-MIN(F_LoanPayM,BM93+BM93*(D_iL)),BM93)</f>
        <v>0</v>
      </c>
      <c r="BO93" s="20" t="n">
        <f aca="false">IF(BN93&gt;PR_BalDone,BN93+BN93*(D_iL)-MIN(F_LoanPayM,BN93+BN93*(D_iL)),BN93)</f>
        <v>0</v>
      </c>
      <c r="BP93" s="20" t="n">
        <f aca="false">IF(BO93&gt;PR_BalDone,BO93+BO93*(D_iL)-MIN(F_LoanPayM,BO93+BO93*(D_iL)),BO93)</f>
        <v>0</v>
      </c>
      <c r="BQ93" s="20" t="n">
        <f aca="false">IF(BP93&gt;PR_BalDone,BP93+BP93*(D_iL)-MIN(F_LoanPayM,BP93+BP93*(D_iL)),BP93)</f>
        <v>0</v>
      </c>
      <c r="BR93" s="20" t="n">
        <f aca="false">IF(BE93&gt;PR_BalDone,MIN(F_LoanPayM,BE93+BE93*(D_iL)),0)</f>
        <v>0</v>
      </c>
      <c r="BS93" s="20" t="n">
        <f aca="false">IF(BF93&gt;PR_BalDone,MIN(F_LoanPayM,BF93+BF93*(D_iL)),0)</f>
        <v>0</v>
      </c>
      <c r="BT93" s="20" t="n">
        <f aca="false">IF(BG93&gt;PR_BalDone,MIN(F_LoanPayM,BG93+BG93*(D_iL)),0)</f>
        <v>0</v>
      </c>
      <c r="BU93" s="20" t="n">
        <f aca="false">IF(BH93&gt;PR_BalDone,MIN(F_LoanPayM,BH93+BH93*(D_iL)),0)</f>
        <v>0</v>
      </c>
      <c r="BV93" s="20" t="n">
        <f aca="false">IF(BI93&gt;PR_BalDone,MIN(F_LoanPayM,BI93+BI93*(D_iL)),0)</f>
        <v>0</v>
      </c>
      <c r="BW93" s="20" t="n">
        <f aca="false">IF(BJ93&gt;PR_BalDone,MIN(F_LoanPayM,BJ93+BJ93*(D_iL)),0)</f>
        <v>0</v>
      </c>
      <c r="BX93" s="20" t="n">
        <f aca="false">IF(BK93&gt;PR_BalDone,MIN(F_LoanPayM,BK93+BK93*(D_iL)),0)</f>
        <v>0</v>
      </c>
      <c r="BY93" s="20" t="n">
        <f aca="false">IF(BL93&gt;PR_BalDone,MIN(F_LoanPayM,BL93+BL93*(D_iL)),0)</f>
        <v>0</v>
      </c>
      <c r="BZ93" s="20" t="n">
        <f aca="false">IF(BM93&gt;PR_BalDone,MIN(F_LoanPayM,BM93+BM93*(D_iL)),0)</f>
        <v>0</v>
      </c>
      <c r="CA93" s="20" t="n">
        <f aca="false">IF(BN93&gt;PR_BalDone,MIN(F_LoanPayM,BN93+BN93*(D_iL)),0)</f>
        <v>0</v>
      </c>
      <c r="CB93" s="20" t="n">
        <f aca="false">IF(BO93&gt;PR_BalDone,MIN(F_LoanPayM,BO93+BO93*(D_iL)),0)</f>
        <v>0</v>
      </c>
      <c r="CC93" s="20" t="n">
        <f aca="false">IF(BP93&gt;PR_BalDone,MIN(F_LoanPayM,BP93+BP93*(D_iL)),0)</f>
        <v>0</v>
      </c>
      <c r="CD93" s="20" t="n">
        <f aca="false">MAX(0,BQ93)</f>
        <v>0</v>
      </c>
      <c r="CE93" s="20" t="n">
        <f aca="false">SUM(BR93:CC93)</f>
        <v>0</v>
      </c>
      <c r="CF93" s="20" t="n">
        <f aca="false">IF(CF92&gt;1,DE92,CF92)</f>
        <v>0</v>
      </c>
      <c r="CG93" s="20" t="n">
        <f aca="false">IF(CF93&gt;PR_BalDone,CF93+CF93*(F_MR/12)-MIN(F_MortPayM,CF93+CF93*(F_MR/12)),CF93)</f>
        <v>0</v>
      </c>
      <c r="CH93" s="20" t="n">
        <f aca="false">IF(CG93&gt;PR_BalDone,CG93+CG93*(F_MR/12)-MIN(F_MortPayM,CG93+CG93*(F_MR/12)),CG93)</f>
        <v>0</v>
      </c>
      <c r="CI93" s="20" t="n">
        <f aca="false">IF(CH93&gt;PR_BalDone,CH93+CH93*(F_MR/12)-MIN(F_MortPayM,CH93+CH93*(F_MR/12)),CH93)</f>
        <v>0</v>
      </c>
      <c r="CJ93" s="20" t="n">
        <f aca="false">IF(CI93&gt;PR_BalDone,CI93+CI93*(F_MR/12)-MIN(F_MortPayM,CI93+CI93*(F_MR/12)),CI93)</f>
        <v>0</v>
      </c>
      <c r="CK93" s="20" t="n">
        <f aca="false">IF(CJ93&gt;PR_BalDone,CJ93+CJ93*(F_MR/12)-MIN(F_MortPayM,CJ93+CJ93*(F_MR/12)),CJ93)</f>
        <v>0</v>
      </c>
      <c r="CL93" s="20" t="n">
        <f aca="false">IF(CK93&gt;PR_BalDone,CK93+CK93*(F_MR/12)-MIN(F_MortPayM,CK93+CK93*(F_MR/12)),CK93)</f>
        <v>0</v>
      </c>
      <c r="CM93" s="20" t="n">
        <f aca="false">IF(CL93&gt;PR_BalDone,CL93+CL93*(F_MR/12)-MIN(F_MortPayM,CL93+CL93*(F_MR/12)),CL93)</f>
        <v>0</v>
      </c>
      <c r="CN93" s="20" t="n">
        <f aca="false">IF(CM93&gt;PR_BalDone,CM93+CM93*(F_MR/12)-MIN(F_MortPayM,CM93+CM93*(F_MR/12)),CM93)</f>
        <v>0</v>
      </c>
      <c r="CO93" s="20" t="n">
        <f aca="false">IF(CN93&gt;PR_BalDone,CN93+CN93*(F_MR/12)-MIN(F_MortPayM,CN93+CN93*(F_MR/12)),CN93)</f>
        <v>0</v>
      </c>
      <c r="CP93" s="20" t="n">
        <f aca="false">IF(CO93&gt;PR_BalDone,CO93+CO93*(F_MR/12)-MIN(F_MortPayM,CO93+CO93*(F_MR/12)),CO93)</f>
        <v>0</v>
      </c>
      <c r="CQ93" s="20" t="n">
        <f aca="false">IF(CP93&gt;PR_BalDone,CP93+CP93*(F_MR/12)-MIN(F_MortPayM,CP93+CP93*(F_MR/12)),CP93)</f>
        <v>0</v>
      </c>
      <c r="CR93" s="20" t="n">
        <f aca="false">IF(CQ93&gt;PR_BalDone,CQ93+CQ93*(F_MR/12)-MIN(F_MortPayM,CQ93+CQ93*(F_MR/12)),CQ93)</f>
        <v>0</v>
      </c>
      <c r="CS93" s="20" t="n">
        <f aca="false">IF(CF93&gt;PR_BalDone,MIN(F_MortPayM,CF93+CF93*(F_MR/12)),0)</f>
        <v>0</v>
      </c>
      <c r="CT93" s="20" t="n">
        <f aca="false">IF(CG93&gt;PR_BalDone,MIN(F_MortPayM,CG93+CG93*(F_MR/12)),0)</f>
        <v>0</v>
      </c>
      <c r="CU93" s="20" t="n">
        <f aca="false">IF(CH93&gt;PR_BalDone,MIN(F_MortPayM,CH93+CH93*(F_MR/12)),0)</f>
        <v>0</v>
      </c>
      <c r="CV93" s="20" t="n">
        <f aca="false">IF(CI93&gt;PR_BalDone,MIN(F_MortPayM,CI93+CI93*(F_MR/12)),0)</f>
        <v>0</v>
      </c>
      <c r="CW93" s="20" t="n">
        <f aca="false">IF(CJ93&gt;PR_BalDone,MIN(F_MortPayM,CJ93+CJ93*(F_MR/12)),0)</f>
        <v>0</v>
      </c>
      <c r="CX93" s="20" t="n">
        <f aca="false">IF(CK93&gt;PR_BalDone,MIN(F_MortPayM,CK93+CK93*(F_MR/12)),0)</f>
        <v>0</v>
      </c>
      <c r="CY93" s="20" t="n">
        <f aca="false">IF(CL93&gt;PR_BalDone,MIN(F_MortPayM,CL93+CL93*(F_MR/12)),0)</f>
        <v>0</v>
      </c>
      <c r="CZ93" s="20" t="n">
        <f aca="false">IF(CM93&gt;PR_BalDone,MIN(F_MortPayM,CM93+CM93*(F_MR/12)),0)</f>
        <v>0</v>
      </c>
      <c r="DA93" s="20" t="n">
        <f aca="false">IF(CN93&gt;PR_BalDone,MIN(F_MortPayM,CN93+CN93*(F_MR/12)),0)</f>
        <v>0</v>
      </c>
      <c r="DB93" s="20" t="n">
        <f aca="false">IF(CO93&gt;PR_BalDone,MIN(F_MortPayM,CO93+CO93*(F_MR/12)),0)</f>
        <v>0</v>
      </c>
      <c r="DC93" s="20" t="n">
        <f aca="false">IF(CP93&gt;PR_BalDone,MIN(F_MortPayM,CP93+CP93*(F_MR/12)),0)</f>
        <v>0</v>
      </c>
      <c r="DD93" s="20" t="n">
        <f aca="false">IF(CQ93&gt;PR_BalDone,MIN(F_MortPayM,CQ93+CQ93*(F_MR/12)),0)</f>
        <v>0</v>
      </c>
      <c r="DE93" s="20" t="n">
        <f aca="false">MAX(0,CR93)</f>
        <v>0</v>
      </c>
      <c r="DF93" s="20" t="n">
        <f aca="false">SUM(CS93:DD93)</f>
        <v>0</v>
      </c>
      <c r="DG93" s="20" t="n">
        <f aca="false">MAX(0,CF93)</f>
        <v>0</v>
      </c>
    </row>
    <row r="94" customFormat="false" ht="15" hidden="false" customHeight="true" outlineLevel="0" collapsed="false">
      <c r="B94" s="20" t="n">
        <v>86</v>
      </c>
      <c r="C94" s="20" t="n">
        <f aca="false">'Plan cashflow'!J94</f>
        <v>0</v>
      </c>
      <c r="D94" s="20" t="n">
        <f aca="false">IF(C94&gt;PR_BalDone,C94+C94*(F_MR/12)-MIN(F_MortPayM,C94+C94*(F_MR/12)),C94)</f>
        <v>0</v>
      </c>
      <c r="E94" s="20" t="n">
        <f aca="false">IF(D94&gt;PR_BalDone,D94+D94*(F_MR/12)-MIN(F_MortPayM,D94+D94*(F_MR/12)),D94)</f>
        <v>0</v>
      </c>
      <c r="F94" s="20" t="n">
        <f aca="false">IF(E94&gt;PR_BalDone,E94+E94*(F_MR/12)-MIN(F_MortPayM,E94+E94*(F_MR/12)),E94)</f>
        <v>0</v>
      </c>
      <c r="G94" s="20" t="n">
        <f aca="false">IF(F94&gt;PR_BalDone,F94+F94*(F_MR/12)-MIN(F_MortPayM,F94+F94*(F_MR/12)),F94)</f>
        <v>0</v>
      </c>
      <c r="H94" s="20" t="n">
        <f aca="false">IF(G94&gt;PR_BalDone,G94+G94*(F_MR/12)-MIN(F_MortPayM,G94+G94*(F_MR/12)),G94)</f>
        <v>0</v>
      </c>
      <c r="I94" s="20" t="n">
        <f aca="false">IF(H94&gt;PR_BalDone,H94+H94*(F_MR/12)-MIN(F_MortPayM,H94+H94*(F_MR/12)),H94)</f>
        <v>0</v>
      </c>
      <c r="J94" s="20" t="n">
        <f aca="false">IF(I94&gt;PR_BalDone,I94+I94*(F_MR/12)-MIN(F_MortPayM,I94+I94*(F_MR/12)),I94)</f>
        <v>0</v>
      </c>
      <c r="K94" s="20" t="n">
        <f aca="false">IF(J94&gt;PR_BalDone,J94+J94*(F_MR/12)-MIN(F_MortPayM,J94+J94*(F_MR/12)),J94)</f>
        <v>0</v>
      </c>
      <c r="L94" s="20" t="n">
        <f aca="false">IF(K94&gt;PR_BalDone,K94+K94*(F_MR/12)-MIN(F_MortPayM,K94+K94*(F_MR/12)),K94)</f>
        <v>0</v>
      </c>
      <c r="M94" s="20" t="n">
        <f aca="false">IF(L94&gt;PR_BalDone,L94+L94*(F_MR/12)-MIN(F_MortPayM,L94+L94*(F_MR/12)),L94)</f>
        <v>0</v>
      </c>
      <c r="N94" s="20" t="n">
        <f aca="false">IF(M94&gt;PR_BalDone,M94+M94*(F_MR/12)-MIN(F_MortPayM,M94+M94*(F_MR/12)),M94)</f>
        <v>0</v>
      </c>
      <c r="O94" s="20" t="n">
        <f aca="false">IF(N94&gt;PR_BalDone,N94+N94*(F_MR/12)-MIN(F_MortPayM,N94+N94*(F_MR/12)),N94)</f>
        <v>0</v>
      </c>
      <c r="P94" s="20" t="n">
        <f aca="false">IF(C94&gt;PR_BalDone,MIN(F_MortPayM,C94+C94*(F_MR/12)),0)</f>
        <v>0</v>
      </c>
      <c r="Q94" s="20" t="n">
        <f aca="false">IF(D94&gt;PR_BalDone,MIN(F_MortPayM,D94+D94*(F_MR/12)),0)</f>
        <v>0</v>
      </c>
      <c r="R94" s="20" t="n">
        <f aca="false">IF(E94&gt;PR_BalDone,MIN(F_MortPayM,E94+E94*(F_MR/12)),0)</f>
        <v>0</v>
      </c>
      <c r="S94" s="20" t="n">
        <f aca="false">IF(F94&gt;PR_BalDone,MIN(F_MortPayM,F94+F94*(F_MR/12)),0)</f>
        <v>0</v>
      </c>
      <c r="T94" s="20" t="n">
        <f aca="false">IF(G94&gt;PR_BalDone,MIN(F_MortPayM,G94+G94*(F_MR/12)),0)</f>
        <v>0</v>
      </c>
      <c r="U94" s="20" t="n">
        <f aca="false">IF(H94&gt;PR_BalDone,MIN(F_MortPayM,H94+H94*(F_MR/12)),0)</f>
        <v>0</v>
      </c>
      <c r="V94" s="20" t="n">
        <f aca="false">IF(I94&gt;PR_BalDone,MIN(F_MortPayM,I94+I94*(F_MR/12)),0)</f>
        <v>0</v>
      </c>
      <c r="W94" s="20" t="n">
        <f aca="false">IF(J94&gt;PR_BalDone,MIN(F_MortPayM,J94+J94*(F_MR/12)),0)</f>
        <v>0</v>
      </c>
      <c r="X94" s="20" t="n">
        <f aca="false">IF(K94&gt;PR_BalDone,MIN(F_MortPayM,K94+K94*(F_MR/12)),0)</f>
        <v>0</v>
      </c>
      <c r="Y94" s="20" t="n">
        <f aca="false">IF(L94&gt;PR_BalDone,MIN(F_MortPayM,L94+L94*(F_MR/12)),0)</f>
        <v>0</v>
      </c>
      <c r="Z94" s="20" t="n">
        <f aca="false">IF(M94&gt;PR_BalDone,MIN(F_MortPayM,M94+M94*(F_MR/12)),0)</f>
        <v>0</v>
      </c>
      <c r="AA94" s="20" t="n">
        <f aca="false">IF(N94&gt;PR_BalDone,MIN(F_MortPayM,N94+N94*(F_MR/12)),0)</f>
        <v>0</v>
      </c>
      <c r="AB94" s="20" t="n">
        <f aca="false">MAX(0,O94)</f>
        <v>0</v>
      </c>
      <c r="AC94" s="20" t="n">
        <f aca="false">SUM(P94:AA94)</f>
        <v>0</v>
      </c>
      <c r="AD94" s="20" t="n">
        <f aca="false">'Plan cashflow'!M94</f>
        <v>0</v>
      </c>
      <c r="AE94" s="20" t="n">
        <f aca="false">IF(AD94&gt;PR_BalDone,AD94+AD94*(D_iC)-MIN(F_CardPayM,AD94+AD94*(D_iC)),AD94)</f>
        <v>0</v>
      </c>
      <c r="AF94" s="20" t="n">
        <f aca="false">IF(AE94&gt;PR_BalDone,AE94+AE94*(D_iC)-MIN(F_CardPayM,AE94+AE94*(D_iC)),AE94)</f>
        <v>0</v>
      </c>
      <c r="AG94" s="20" t="n">
        <f aca="false">IF(AF94&gt;PR_BalDone,AF94+AF94*(D_iC)-MIN(F_CardPayM,AF94+AF94*(D_iC)),AF94)</f>
        <v>0</v>
      </c>
      <c r="AH94" s="20" t="n">
        <f aca="false">IF(AG94&gt;PR_BalDone,AG94+AG94*(D_iC)-MIN(F_CardPayM,AG94+AG94*(D_iC)),AG94)</f>
        <v>0</v>
      </c>
      <c r="AI94" s="20" t="n">
        <f aca="false">IF(AH94&gt;PR_BalDone,AH94+AH94*(D_iC)-MIN(F_CardPayM,AH94+AH94*(D_iC)),AH94)</f>
        <v>0</v>
      </c>
      <c r="AJ94" s="20" t="n">
        <f aca="false">IF(AI94&gt;PR_BalDone,AI94+AI94*(D_iC)-MIN(F_CardPayM,AI94+AI94*(D_iC)),AI94)</f>
        <v>0</v>
      </c>
      <c r="AK94" s="20" t="n">
        <f aca="false">IF(AJ94&gt;PR_BalDone,AJ94+AJ94*(D_iC)-MIN(F_CardPayM,AJ94+AJ94*(D_iC)),AJ94)</f>
        <v>0</v>
      </c>
      <c r="AL94" s="20" t="n">
        <f aca="false">IF(AK94&gt;PR_BalDone,AK94+AK94*(D_iC)-MIN(F_CardPayM,AK94+AK94*(D_iC)),AK94)</f>
        <v>0</v>
      </c>
      <c r="AM94" s="20" t="n">
        <f aca="false">IF(AL94&gt;PR_BalDone,AL94+AL94*(D_iC)-MIN(F_CardPayM,AL94+AL94*(D_iC)),AL94)</f>
        <v>0</v>
      </c>
      <c r="AN94" s="20" t="n">
        <f aca="false">IF(AM94&gt;PR_BalDone,AM94+AM94*(D_iC)-MIN(F_CardPayM,AM94+AM94*(D_iC)),AM94)</f>
        <v>0</v>
      </c>
      <c r="AO94" s="20" t="n">
        <f aca="false">IF(AN94&gt;PR_BalDone,AN94+AN94*(D_iC)-MIN(F_CardPayM,AN94+AN94*(D_iC)),AN94)</f>
        <v>0</v>
      </c>
      <c r="AP94" s="20" t="n">
        <f aca="false">IF(AO94&gt;PR_BalDone,AO94+AO94*(D_iC)-MIN(F_CardPayM,AO94+AO94*(D_iC)),AO94)</f>
        <v>0</v>
      </c>
      <c r="AQ94" s="20" t="n">
        <f aca="false">IF(AD94&gt;PR_BalDone,MIN(F_CardPayM,AD94+AD94*(D_iC)),0)</f>
        <v>0</v>
      </c>
      <c r="AR94" s="20" t="n">
        <f aca="false">IF(AE94&gt;PR_BalDone,MIN(F_CardPayM,AE94+AE94*(D_iC)),0)</f>
        <v>0</v>
      </c>
      <c r="AS94" s="20" t="n">
        <f aca="false">IF(AF94&gt;PR_BalDone,MIN(F_CardPayM,AF94+AF94*(D_iC)),0)</f>
        <v>0</v>
      </c>
      <c r="AT94" s="20" t="n">
        <f aca="false">IF(AG94&gt;PR_BalDone,MIN(F_CardPayM,AG94+AG94*(D_iC)),0)</f>
        <v>0</v>
      </c>
      <c r="AU94" s="20" t="n">
        <f aca="false">IF(AH94&gt;PR_BalDone,MIN(F_CardPayM,AH94+AH94*(D_iC)),0)</f>
        <v>0</v>
      </c>
      <c r="AV94" s="20" t="n">
        <f aca="false">IF(AI94&gt;PR_BalDone,MIN(F_CardPayM,AI94+AI94*(D_iC)),0)</f>
        <v>0</v>
      </c>
      <c r="AW94" s="20" t="n">
        <f aca="false">IF(AJ94&gt;PR_BalDone,MIN(F_CardPayM,AJ94+AJ94*(D_iC)),0)</f>
        <v>0</v>
      </c>
      <c r="AX94" s="20" t="n">
        <f aca="false">IF(AK94&gt;PR_BalDone,MIN(F_CardPayM,AK94+AK94*(D_iC)),0)</f>
        <v>0</v>
      </c>
      <c r="AY94" s="20" t="n">
        <f aca="false">IF(AL94&gt;PR_BalDone,MIN(F_CardPayM,AL94+AL94*(D_iC)),0)</f>
        <v>0</v>
      </c>
      <c r="AZ94" s="20" t="n">
        <f aca="false">IF(AM94&gt;PR_BalDone,MIN(F_CardPayM,AM94+AM94*(D_iC)),0)</f>
        <v>0</v>
      </c>
      <c r="BA94" s="20" t="n">
        <f aca="false">IF(AN94&gt;PR_BalDone,MIN(F_CardPayM,AN94+AN94*(D_iC)),0)</f>
        <v>0</v>
      </c>
      <c r="BB94" s="20" t="n">
        <f aca="false">IF(AO94&gt;PR_BalDone,MIN(F_CardPayM,AO94+AO94*(D_iC)),0)</f>
        <v>0</v>
      </c>
      <c r="BC94" s="20" t="n">
        <f aca="false">MAX(0,AP94)</f>
        <v>0</v>
      </c>
      <c r="BD94" s="20" t="n">
        <f aca="false">SUM(AQ94:BB94)</f>
        <v>0</v>
      </c>
      <c r="BE94" s="20" t="n">
        <f aca="false">'Plan cashflow'!P94</f>
        <v>0</v>
      </c>
      <c r="BF94" s="20" t="n">
        <f aca="false">IF(BE94&gt;PR_BalDone,BE94+BE94*(D_iL)-MIN(F_LoanPayM,BE94+BE94*(D_iL)),BE94)</f>
        <v>0</v>
      </c>
      <c r="BG94" s="20" t="n">
        <f aca="false">IF(BF94&gt;PR_BalDone,BF94+BF94*(D_iL)-MIN(F_LoanPayM,BF94+BF94*(D_iL)),BF94)</f>
        <v>0</v>
      </c>
      <c r="BH94" s="20" t="n">
        <f aca="false">IF(BG94&gt;PR_BalDone,BG94+BG94*(D_iL)-MIN(F_LoanPayM,BG94+BG94*(D_iL)),BG94)</f>
        <v>0</v>
      </c>
      <c r="BI94" s="20" t="n">
        <f aca="false">IF(BH94&gt;PR_BalDone,BH94+BH94*(D_iL)-MIN(F_LoanPayM,BH94+BH94*(D_iL)),BH94)</f>
        <v>0</v>
      </c>
      <c r="BJ94" s="20" t="n">
        <f aca="false">IF(BI94&gt;PR_BalDone,BI94+BI94*(D_iL)-MIN(F_LoanPayM,BI94+BI94*(D_iL)),BI94)</f>
        <v>0</v>
      </c>
      <c r="BK94" s="20" t="n">
        <f aca="false">IF(BJ94&gt;PR_BalDone,BJ94+BJ94*(D_iL)-MIN(F_LoanPayM,BJ94+BJ94*(D_iL)),BJ94)</f>
        <v>0</v>
      </c>
      <c r="BL94" s="20" t="n">
        <f aca="false">IF(BK94&gt;PR_BalDone,BK94+BK94*(D_iL)-MIN(F_LoanPayM,BK94+BK94*(D_iL)),BK94)</f>
        <v>0</v>
      </c>
      <c r="BM94" s="20" t="n">
        <f aca="false">IF(BL94&gt;PR_BalDone,BL94+BL94*(D_iL)-MIN(F_LoanPayM,BL94+BL94*(D_iL)),BL94)</f>
        <v>0</v>
      </c>
      <c r="BN94" s="20" t="n">
        <f aca="false">IF(BM94&gt;PR_BalDone,BM94+BM94*(D_iL)-MIN(F_LoanPayM,BM94+BM94*(D_iL)),BM94)</f>
        <v>0</v>
      </c>
      <c r="BO94" s="20" t="n">
        <f aca="false">IF(BN94&gt;PR_BalDone,BN94+BN94*(D_iL)-MIN(F_LoanPayM,BN94+BN94*(D_iL)),BN94)</f>
        <v>0</v>
      </c>
      <c r="BP94" s="20" t="n">
        <f aca="false">IF(BO94&gt;PR_BalDone,BO94+BO94*(D_iL)-MIN(F_LoanPayM,BO94+BO94*(D_iL)),BO94)</f>
        <v>0</v>
      </c>
      <c r="BQ94" s="20" t="n">
        <f aca="false">IF(BP94&gt;PR_BalDone,BP94+BP94*(D_iL)-MIN(F_LoanPayM,BP94+BP94*(D_iL)),BP94)</f>
        <v>0</v>
      </c>
      <c r="BR94" s="20" t="n">
        <f aca="false">IF(BE94&gt;PR_BalDone,MIN(F_LoanPayM,BE94+BE94*(D_iL)),0)</f>
        <v>0</v>
      </c>
      <c r="BS94" s="20" t="n">
        <f aca="false">IF(BF94&gt;PR_BalDone,MIN(F_LoanPayM,BF94+BF94*(D_iL)),0)</f>
        <v>0</v>
      </c>
      <c r="BT94" s="20" t="n">
        <f aca="false">IF(BG94&gt;PR_BalDone,MIN(F_LoanPayM,BG94+BG94*(D_iL)),0)</f>
        <v>0</v>
      </c>
      <c r="BU94" s="20" t="n">
        <f aca="false">IF(BH94&gt;PR_BalDone,MIN(F_LoanPayM,BH94+BH94*(D_iL)),0)</f>
        <v>0</v>
      </c>
      <c r="BV94" s="20" t="n">
        <f aca="false">IF(BI94&gt;PR_BalDone,MIN(F_LoanPayM,BI94+BI94*(D_iL)),0)</f>
        <v>0</v>
      </c>
      <c r="BW94" s="20" t="n">
        <f aca="false">IF(BJ94&gt;PR_BalDone,MIN(F_LoanPayM,BJ94+BJ94*(D_iL)),0)</f>
        <v>0</v>
      </c>
      <c r="BX94" s="20" t="n">
        <f aca="false">IF(BK94&gt;PR_BalDone,MIN(F_LoanPayM,BK94+BK94*(D_iL)),0)</f>
        <v>0</v>
      </c>
      <c r="BY94" s="20" t="n">
        <f aca="false">IF(BL94&gt;PR_BalDone,MIN(F_LoanPayM,BL94+BL94*(D_iL)),0)</f>
        <v>0</v>
      </c>
      <c r="BZ94" s="20" t="n">
        <f aca="false">IF(BM94&gt;PR_BalDone,MIN(F_LoanPayM,BM94+BM94*(D_iL)),0)</f>
        <v>0</v>
      </c>
      <c r="CA94" s="20" t="n">
        <f aca="false">IF(BN94&gt;PR_BalDone,MIN(F_LoanPayM,BN94+BN94*(D_iL)),0)</f>
        <v>0</v>
      </c>
      <c r="CB94" s="20" t="n">
        <f aca="false">IF(BO94&gt;PR_BalDone,MIN(F_LoanPayM,BO94+BO94*(D_iL)),0)</f>
        <v>0</v>
      </c>
      <c r="CC94" s="20" t="n">
        <f aca="false">IF(BP94&gt;PR_BalDone,MIN(F_LoanPayM,BP94+BP94*(D_iL)),0)</f>
        <v>0</v>
      </c>
      <c r="CD94" s="20" t="n">
        <f aca="false">MAX(0,BQ94)</f>
        <v>0</v>
      </c>
      <c r="CE94" s="20" t="n">
        <f aca="false">SUM(BR94:CC94)</f>
        <v>0</v>
      </c>
      <c r="CF94" s="20" t="n">
        <f aca="false">IF(CF93&gt;1,DE93,CF93)</f>
        <v>0</v>
      </c>
      <c r="CG94" s="20" t="n">
        <f aca="false">IF(CF94&gt;PR_BalDone,CF94+CF94*(F_MR/12)-MIN(F_MortPayM,CF94+CF94*(F_MR/12)),CF94)</f>
        <v>0</v>
      </c>
      <c r="CH94" s="20" t="n">
        <f aca="false">IF(CG94&gt;PR_BalDone,CG94+CG94*(F_MR/12)-MIN(F_MortPayM,CG94+CG94*(F_MR/12)),CG94)</f>
        <v>0</v>
      </c>
      <c r="CI94" s="20" t="n">
        <f aca="false">IF(CH94&gt;PR_BalDone,CH94+CH94*(F_MR/12)-MIN(F_MortPayM,CH94+CH94*(F_MR/12)),CH94)</f>
        <v>0</v>
      </c>
      <c r="CJ94" s="20" t="n">
        <f aca="false">IF(CI94&gt;PR_BalDone,CI94+CI94*(F_MR/12)-MIN(F_MortPayM,CI94+CI94*(F_MR/12)),CI94)</f>
        <v>0</v>
      </c>
      <c r="CK94" s="20" t="n">
        <f aca="false">IF(CJ94&gt;PR_BalDone,CJ94+CJ94*(F_MR/12)-MIN(F_MortPayM,CJ94+CJ94*(F_MR/12)),CJ94)</f>
        <v>0</v>
      </c>
      <c r="CL94" s="20" t="n">
        <f aca="false">IF(CK94&gt;PR_BalDone,CK94+CK94*(F_MR/12)-MIN(F_MortPayM,CK94+CK94*(F_MR/12)),CK94)</f>
        <v>0</v>
      </c>
      <c r="CM94" s="20" t="n">
        <f aca="false">IF(CL94&gt;PR_BalDone,CL94+CL94*(F_MR/12)-MIN(F_MortPayM,CL94+CL94*(F_MR/12)),CL94)</f>
        <v>0</v>
      </c>
      <c r="CN94" s="20" t="n">
        <f aca="false">IF(CM94&gt;PR_BalDone,CM94+CM94*(F_MR/12)-MIN(F_MortPayM,CM94+CM94*(F_MR/12)),CM94)</f>
        <v>0</v>
      </c>
      <c r="CO94" s="20" t="n">
        <f aca="false">IF(CN94&gt;PR_BalDone,CN94+CN94*(F_MR/12)-MIN(F_MortPayM,CN94+CN94*(F_MR/12)),CN94)</f>
        <v>0</v>
      </c>
      <c r="CP94" s="20" t="n">
        <f aca="false">IF(CO94&gt;PR_BalDone,CO94+CO94*(F_MR/12)-MIN(F_MortPayM,CO94+CO94*(F_MR/12)),CO94)</f>
        <v>0</v>
      </c>
      <c r="CQ94" s="20" t="n">
        <f aca="false">IF(CP94&gt;PR_BalDone,CP94+CP94*(F_MR/12)-MIN(F_MortPayM,CP94+CP94*(F_MR/12)),CP94)</f>
        <v>0</v>
      </c>
      <c r="CR94" s="20" t="n">
        <f aca="false">IF(CQ94&gt;PR_BalDone,CQ94+CQ94*(F_MR/12)-MIN(F_MortPayM,CQ94+CQ94*(F_MR/12)),CQ94)</f>
        <v>0</v>
      </c>
      <c r="CS94" s="20" t="n">
        <f aca="false">IF(CF94&gt;PR_BalDone,MIN(F_MortPayM,CF94+CF94*(F_MR/12)),0)</f>
        <v>0</v>
      </c>
      <c r="CT94" s="20" t="n">
        <f aca="false">IF(CG94&gt;PR_BalDone,MIN(F_MortPayM,CG94+CG94*(F_MR/12)),0)</f>
        <v>0</v>
      </c>
      <c r="CU94" s="20" t="n">
        <f aca="false">IF(CH94&gt;PR_BalDone,MIN(F_MortPayM,CH94+CH94*(F_MR/12)),0)</f>
        <v>0</v>
      </c>
      <c r="CV94" s="20" t="n">
        <f aca="false">IF(CI94&gt;PR_BalDone,MIN(F_MortPayM,CI94+CI94*(F_MR/12)),0)</f>
        <v>0</v>
      </c>
      <c r="CW94" s="20" t="n">
        <f aca="false">IF(CJ94&gt;PR_BalDone,MIN(F_MortPayM,CJ94+CJ94*(F_MR/12)),0)</f>
        <v>0</v>
      </c>
      <c r="CX94" s="20" t="n">
        <f aca="false">IF(CK94&gt;PR_BalDone,MIN(F_MortPayM,CK94+CK94*(F_MR/12)),0)</f>
        <v>0</v>
      </c>
      <c r="CY94" s="20" t="n">
        <f aca="false">IF(CL94&gt;PR_BalDone,MIN(F_MortPayM,CL94+CL94*(F_MR/12)),0)</f>
        <v>0</v>
      </c>
      <c r="CZ94" s="20" t="n">
        <f aca="false">IF(CM94&gt;PR_BalDone,MIN(F_MortPayM,CM94+CM94*(F_MR/12)),0)</f>
        <v>0</v>
      </c>
      <c r="DA94" s="20" t="n">
        <f aca="false">IF(CN94&gt;PR_BalDone,MIN(F_MortPayM,CN94+CN94*(F_MR/12)),0)</f>
        <v>0</v>
      </c>
      <c r="DB94" s="20" t="n">
        <f aca="false">IF(CO94&gt;PR_BalDone,MIN(F_MortPayM,CO94+CO94*(F_MR/12)),0)</f>
        <v>0</v>
      </c>
      <c r="DC94" s="20" t="n">
        <f aca="false">IF(CP94&gt;PR_BalDone,MIN(F_MortPayM,CP94+CP94*(F_MR/12)),0)</f>
        <v>0</v>
      </c>
      <c r="DD94" s="20" t="n">
        <f aca="false">IF(CQ94&gt;PR_BalDone,MIN(F_MortPayM,CQ94+CQ94*(F_MR/12)),0)</f>
        <v>0</v>
      </c>
      <c r="DE94" s="20" t="n">
        <f aca="false">MAX(0,CR94)</f>
        <v>0</v>
      </c>
      <c r="DF94" s="20" t="n">
        <f aca="false">SUM(CS94:DD94)</f>
        <v>0</v>
      </c>
      <c r="DG94" s="20" t="n">
        <f aca="false">MAX(0,CF94)</f>
        <v>0</v>
      </c>
    </row>
    <row r="95" customFormat="false" ht="15" hidden="false" customHeight="true" outlineLevel="0" collapsed="false">
      <c r="B95" s="20" t="n">
        <v>87</v>
      </c>
      <c r="C95" s="20" t="n">
        <f aca="false">'Plan cashflow'!J95</f>
        <v>0</v>
      </c>
      <c r="D95" s="20" t="n">
        <f aca="false">IF(C95&gt;PR_BalDone,C95+C95*(F_MR/12)-MIN(F_MortPayM,C95+C95*(F_MR/12)),C95)</f>
        <v>0</v>
      </c>
      <c r="E95" s="20" t="n">
        <f aca="false">IF(D95&gt;PR_BalDone,D95+D95*(F_MR/12)-MIN(F_MortPayM,D95+D95*(F_MR/12)),D95)</f>
        <v>0</v>
      </c>
      <c r="F95" s="20" t="n">
        <f aca="false">IF(E95&gt;PR_BalDone,E95+E95*(F_MR/12)-MIN(F_MortPayM,E95+E95*(F_MR/12)),E95)</f>
        <v>0</v>
      </c>
      <c r="G95" s="20" t="n">
        <f aca="false">IF(F95&gt;PR_BalDone,F95+F95*(F_MR/12)-MIN(F_MortPayM,F95+F95*(F_MR/12)),F95)</f>
        <v>0</v>
      </c>
      <c r="H95" s="20" t="n">
        <f aca="false">IF(G95&gt;PR_BalDone,G95+G95*(F_MR/12)-MIN(F_MortPayM,G95+G95*(F_MR/12)),G95)</f>
        <v>0</v>
      </c>
      <c r="I95" s="20" t="n">
        <f aca="false">IF(H95&gt;PR_BalDone,H95+H95*(F_MR/12)-MIN(F_MortPayM,H95+H95*(F_MR/12)),H95)</f>
        <v>0</v>
      </c>
      <c r="J95" s="20" t="n">
        <f aca="false">IF(I95&gt;PR_BalDone,I95+I95*(F_MR/12)-MIN(F_MortPayM,I95+I95*(F_MR/12)),I95)</f>
        <v>0</v>
      </c>
      <c r="K95" s="20" t="n">
        <f aca="false">IF(J95&gt;PR_BalDone,J95+J95*(F_MR/12)-MIN(F_MortPayM,J95+J95*(F_MR/12)),J95)</f>
        <v>0</v>
      </c>
      <c r="L95" s="20" t="n">
        <f aca="false">IF(K95&gt;PR_BalDone,K95+K95*(F_MR/12)-MIN(F_MortPayM,K95+K95*(F_MR/12)),K95)</f>
        <v>0</v>
      </c>
      <c r="M95" s="20" t="n">
        <f aca="false">IF(L95&gt;PR_BalDone,L95+L95*(F_MR/12)-MIN(F_MortPayM,L95+L95*(F_MR/12)),L95)</f>
        <v>0</v>
      </c>
      <c r="N95" s="20" t="n">
        <f aca="false">IF(M95&gt;PR_BalDone,M95+M95*(F_MR/12)-MIN(F_MortPayM,M95+M95*(F_MR/12)),M95)</f>
        <v>0</v>
      </c>
      <c r="O95" s="20" t="n">
        <f aca="false">IF(N95&gt;PR_BalDone,N95+N95*(F_MR/12)-MIN(F_MortPayM,N95+N95*(F_MR/12)),N95)</f>
        <v>0</v>
      </c>
      <c r="P95" s="20" t="n">
        <f aca="false">IF(C95&gt;PR_BalDone,MIN(F_MortPayM,C95+C95*(F_MR/12)),0)</f>
        <v>0</v>
      </c>
      <c r="Q95" s="20" t="n">
        <f aca="false">IF(D95&gt;PR_BalDone,MIN(F_MortPayM,D95+D95*(F_MR/12)),0)</f>
        <v>0</v>
      </c>
      <c r="R95" s="20" t="n">
        <f aca="false">IF(E95&gt;PR_BalDone,MIN(F_MortPayM,E95+E95*(F_MR/12)),0)</f>
        <v>0</v>
      </c>
      <c r="S95" s="20" t="n">
        <f aca="false">IF(F95&gt;PR_BalDone,MIN(F_MortPayM,F95+F95*(F_MR/12)),0)</f>
        <v>0</v>
      </c>
      <c r="T95" s="20" t="n">
        <f aca="false">IF(G95&gt;PR_BalDone,MIN(F_MortPayM,G95+G95*(F_MR/12)),0)</f>
        <v>0</v>
      </c>
      <c r="U95" s="20" t="n">
        <f aca="false">IF(H95&gt;PR_BalDone,MIN(F_MortPayM,H95+H95*(F_MR/12)),0)</f>
        <v>0</v>
      </c>
      <c r="V95" s="20" t="n">
        <f aca="false">IF(I95&gt;PR_BalDone,MIN(F_MortPayM,I95+I95*(F_MR/12)),0)</f>
        <v>0</v>
      </c>
      <c r="W95" s="20" t="n">
        <f aca="false">IF(J95&gt;PR_BalDone,MIN(F_MortPayM,J95+J95*(F_MR/12)),0)</f>
        <v>0</v>
      </c>
      <c r="X95" s="20" t="n">
        <f aca="false">IF(K95&gt;PR_BalDone,MIN(F_MortPayM,K95+K95*(F_MR/12)),0)</f>
        <v>0</v>
      </c>
      <c r="Y95" s="20" t="n">
        <f aca="false">IF(L95&gt;PR_BalDone,MIN(F_MortPayM,L95+L95*(F_MR/12)),0)</f>
        <v>0</v>
      </c>
      <c r="Z95" s="20" t="n">
        <f aca="false">IF(M95&gt;PR_BalDone,MIN(F_MortPayM,M95+M95*(F_MR/12)),0)</f>
        <v>0</v>
      </c>
      <c r="AA95" s="20" t="n">
        <f aca="false">IF(N95&gt;PR_BalDone,MIN(F_MortPayM,N95+N95*(F_MR/12)),0)</f>
        <v>0</v>
      </c>
      <c r="AB95" s="20" t="n">
        <f aca="false">MAX(0,O95)</f>
        <v>0</v>
      </c>
      <c r="AC95" s="20" t="n">
        <f aca="false">SUM(P95:AA95)</f>
        <v>0</v>
      </c>
      <c r="AD95" s="20" t="n">
        <f aca="false">'Plan cashflow'!M95</f>
        <v>0</v>
      </c>
      <c r="AE95" s="20" t="n">
        <f aca="false">IF(AD95&gt;PR_BalDone,AD95+AD95*(D_iC)-MIN(F_CardPayM,AD95+AD95*(D_iC)),AD95)</f>
        <v>0</v>
      </c>
      <c r="AF95" s="20" t="n">
        <f aca="false">IF(AE95&gt;PR_BalDone,AE95+AE95*(D_iC)-MIN(F_CardPayM,AE95+AE95*(D_iC)),AE95)</f>
        <v>0</v>
      </c>
      <c r="AG95" s="20" t="n">
        <f aca="false">IF(AF95&gt;PR_BalDone,AF95+AF95*(D_iC)-MIN(F_CardPayM,AF95+AF95*(D_iC)),AF95)</f>
        <v>0</v>
      </c>
      <c r="AH95" s="20" t="n">
        <f aca="false">IF(AG95&gt;PR_BalDone,AG95+AG95*(D_iC)-MIN(F_CardPayM,AG95+AG95*(D_iC)),AG95)</f>
        <v>0</v>
      </c>
      <c r="AI95" s="20" t="n">
        <f aca="false">IF(AH95&gt;PR_BalDone,AH95+AH95*(D_iC)-MIN(F_CardPayM,AH95+AH95*(D_iC)),AH95)</f>
        <v>0</v>
      </c>
      <c r="AJ95" s="20" t="n">
        <f aca="false">IF(AI95&gt;PR_BalDone,AI95+AI95*(D_iC)-MIN(F_CardPayM,AI95+AI95*(D_iC)),AI95)</f>
        <v>0</v>
      </c>
      <c r="AK95" s="20" t="n">
        <f aca="false">IF(AJ95&gt;PR_BalDone,AJ95+AJ95*(D_iC)-MIN(F_CardPayM,AJ95+AJ95*(D_iC)),AJ95)</f>
        <v>0</v>
      </c>
      <c r="AL95" s="20" t="n">
        <f aca="false">IF(AK95&gt;PR_BalDone,AK95+AK95*(D_iC)-MIN(F_CardPayM,AK95+AK95*(D_iC)),AK95)</f>
        <v>0</v>
      </c>
      <c r="AM95" s="20" t="n">
        <f aca="false">IF(AL95&gt;PR_BalDone,AL95+AL95*(D_iC)-MIN(F_CardPayM,AL95+AL95*(D_iC)),AL95)</f>
        <v>0</v>
      </c>
      <c r="AN95" s="20" t="n">
        <f aca="false">IF(AM95&gt;PR_BalDone,AM95+AM95*(D_iC)-MIN(F_CardPayM,AM95+AM95*(D_iC)),AM95)</f>
        <v>0</v>
      </c>
      <c r="AO95" s="20" t="n">
        <f aca="false">IF(AN95&gt;PR_BalDone,AN95+AN95*(D_iC)-MIN(F_CardPayM,AN95+AN95*(D_iC)),AN95)</f>
        <v>0</v>
      </c>
      <c r="AP95" s="20" t="n">
        <f aca="false">IF(AO95&gt;PR_BalDone,AO95+AO95*(D_iC)-MIN(F_CardPayM,AO95+AO95*(D_iC)),AO95)</f>
        <v>0</v>
      </c>
      <c r="AQ95" s="20" t="n">
        <f aca="false">IF(AD95&gt;PR_BalDone,MIN(F_CardPayM,AD95+AD95*(D_iC)),0)</f>
        <v>0</v>
      </c>
      <c r="AR95" s="20" t="n">
        <f aca="false">IF(AE95&gt;PR_BalDone,MIN(F_CardPayM,AE95+AE95*(D_iC)),0)</f>
        <v>0</v>
      </c>
      <c r="AS95" s="20" t="n">
        <f aca="false">IF(AF95&gt;PR_BalDone,MIN(F_CardPayM,AF95+AF95*(D_iC)),0)</f>
        <v>0</v>
      </c>
      <c r="AT95" s="20" t="n">
        <f aca="false">IF(AG95&gt;PR_BalDone,MIN(F_CardPayM,AG95+AG95*(D_iC)),0)</f>
        <v>0</v>
      </c>
      <c r="AU95" s="20" t="n">
        <f aca="false">IF(AH95&gt;PR_BalDone,MIN(F_CardPayM,AH95+AH95*(D_iC)),0)</f>
        <v>0</v>
      </c>
      <c r="AV95" s="20" t="n">
        <f aca="false">IF(AI95&gt;PR_BalDone,MIN(F_CardPayM,AI95+AI95*(D_iC)),0)</f>
        <v>0</v>
      </c>
      <c r="AW95" s="20" t="n">
        <f aca="false">IF(AJ95&gt;PR_BalDone,MIN(F_CardPayM,AJ95+AJ95*(D_iC)),0)</f>
        <v>0</v>
      </c>
      <c r="AX95" s="20" t="n">
        <f aca="false">IF(AK95&gt;PR_BalDone,MIN(F_CardPayM,AK95+AK95*(D_iC)),0)</f>
        <v>0</v>
      </c>
      <c r="AY95" s="20" t="n">
        <f aca="false">IF(AL95&gt;PR_BalDone,MIN(F_CardPayM,AL95+AL95*(D_iC)),0)</f>
        <v>0</v>
      </c>
      <c r="AZ95" s="20" t="n">
        <f aca="false">IF(AM95&gt;PR_BalDone,MIN(F_CardPayM,AM95+AM95*(D_iC)),0)</f>
        <v>0</v>
      </c>
      <c r="BA95" s="20" t="n">
        <f aca="false">IF(AN95&gt;PR_BalDone,MIN(F_CardPayM,AN95+AN95*(D_iC)),0)</f>
        <v>0</v>
      </c>
      <c r="BB95" s="20" t="n">
        <f aca="false">IF(AO95&gt;PR_BalDone,MIN(F_CardPayM,AO95+AO95*(D_iC)),0)</f>
        <v>0</v>
      </c>
      <c r="BC95" s="20" t="n">
        <f aca="false">MAX(0,AP95)</f>
        <v>0</v>
      </c>
      <c r="BD95" s="20" t="n">
        <f aca="false">SUM(AQ95:BB95)</f>
        <v>0</v>
      </c>
      <c r="BE95" s="20" t="n">
        <f aca="false">'Plan cashflow'!P95</f>
        <v>0</v>
      </c>
      <c r="BF95" s="20" t="n">
        <f aca="false">IF(BE95&gt;PR_BalDone,BE95+BE95*(D_iL)-MIN(F_LoanPayM,BE95+BE95*(D_iL)),BE95)</f>
        <v>0</v>
      </c>
      <c r="BG95" s="20" t="n">
        <f aca="false">IF(BF95&gt;PR_BalDone,BF95+BF95*(D_iL)-MIN(F_LoanPayM,BF95+BF95*(D_iL)),BF95)</f>
        <v>0</v>
      </c>
      <c r="BH95" s="20" t="n">
        <f aca="false">IF(BG95&gt;PR_BalDone,BG95+BG95*(D_iL)-MIN(F_LoanPayM,BG95+BG95*(D_iL)),BG95)</f>
        <v>0</v>
      </c>
      <c r="BI95" s="20" t="n">
        <f aca="false">IF(BH95&gt;PR_BalDone,BH95+BH95*(D_iL)-MIN(F_LoanPayM,BH95+BH95*(D_iL)),BH95)</f>
        <v>0</v>
      </c>
      <c r="BJ95" s="20" t="n">
        <f aca="false">IF(BI95&gt;PR_BalDone,BI95+BI95*(D_iL)-MIN(F_LoanPayM,BI95+BI95*(D_iL)),BI95)</f>
        <v>0</v>
      </c>
      <c r="BK95" s="20" t="n">
        <f aca="false">IF(BJ95&gt;PR_BalDone,BJ95+BJ95*(D_iL)-MIN(F_LoanPayM,BJ95+BJ95*(D_iL)),BJ95)</f>
        <v>0</v>
      </c>
      <c r="BL95" s="20" t="n">
        <f aca="false">IF(BK95&gt;PR_BalDone,BK95+BK95*(D_iL)-MIN(F_LoanPayM,BK95+BK95*(D_iL)),BK95)</f>
        <v>0</v>
      </c>
      <c r="BM95" s="20" t="n">
        <f aca="false">IF(BL95&gt;PR_BalDone,BL95+BL95*(D_iL)-MIN(F_LoanPayM,BL95+BL95*(D_iL)),BL95)</f>
        <v>0</v>
      </c>
      <c r="BN95" s="20" t="n">
        <f aca="false">IF(BM95&gt;PR_BalDone,BM95+BM95*(D_iL)-MIN(F_LoanPayM,BM95+BM95*(D_iL)),BM95)</f>
        <v>0</v>
      </c>
      <c r="BO95" s="20" t="n">
        <f aca="false">IF(BN95&gt;PR_BalDone,BN95+BN95*(D_iL)-MIN(F_LoanPayM,BN95+BN95*(D_iL)),BN95)</f>
        <v>0</v>
      </c>
      <c r="BP95" s="20" t="n">
        <f aca="false">IF(BO95&gt;PR_BalDone,BO95+BO95*(D_iL)-MIN(F_LoanPayM,BO95+BO95*(D_iL)),BO95)</f>
        <v>0</v>
      </c>
      <c r="BQ95" s="20" t="n">
        <f aca="false">IF(BP95&gt;PR_BalDone,BP95+BP95*(D_iL)-MIN(F_LoanPayM,BP95+BP95*(D_iL)),BP95)</f>
        <v>0</v>
      </c>
      <c r="BR95" s="20" t="n">
        <f aca="false">IF(BE95&gt;PR_BalDone,MIN(F_LoanPayM,BE95+BE95*(D_iL)),0)</f>
        <v>0</v>
      </c>
      <c r="BS95" s="20" t="n">
        <f aca="false">IF(BF95&gt;PR_BalDone,MIN(F_LoanPayM,BF95+BF95*(D_iL)),0)</f>
        <v>0</v>
      </c>
      <c r="BT95" s="20" t="n">
        <f aca="false">IF(BG95&gt;PR_BalDone,MIN(F_LoanPayM,BG95+BG95*(D_iL)),0)</f>
        <v>0</v>
      </c>
      <c r="BU95" s="20" t="n">
        <f aca="false">IF(BH95&gt;PR_BalDone,MIN(F_LoanPayM,BH95+BH95*(D_iL)),0)</f>
        <v>0</v>
      </c>
      <c r="BV95" s="20" t="n">
        <f aca="false">IF(BI95&gt;PR_BalDone,MIN(F_LoanPayM,BI95+BI95*(D_iL)),0)</f>
        <v>0</v>
      </c>
      <c r="BW95" s="20" t="n">
        <f aca="false">IF(BJ95&gt;PR_BalDone,MIN(F_LoanPayM,BJ95+BJ95*(D_iL)),0)</f>
        <v>0</v>
      </c>
      <c r="BX95" s="20" t="n">
        <f aca="false">IF(BK95&gt;PR_BalDone,MIN(F_LoanPayM,BK95+BK95*(D_iL)),0)</f>
        <v>0</v>
      </c>
      <c r="BY95" s="20" t="n">
        <f aca="false">IF(BL95&gt;PR_BalDone,MIN(F_LoanPayM,BL95+BL95*(D_iL)),0)</f>
        <v>0</v>
      </c>
      <c r="BZ95" s="20" t="n">
        <f aca="false">IF(BM95&gt;PR_BalDone,MIN(F_LoanPayM,BM95+BM95*(D_iL)),0)</f>
        <v>0</v>
      </c>
      <c r="CA95" s="20" t="n">
        <f aca="false">IF(BN95&gt;PR_BalDone,MIN(F_LoanPayM,BN95+BN95*(D_iL)),0)</f>
        <v>0</v>
      </c>
      <c r="CB95" s="20" t="n">
        <f aca="false">IF(BO95&gt;PR_BalDone,MIN(F_LoanPayM,BO95+BO95*(D_iL)),0)</f>
        <v>0</v>
      </c>
      <c r="CC95" s="20" t="n">
        <f aca="false">IF(BP95&gt;PR_BalDone,MIN(F_LoanPayM,BP95+BP95*(D_iL)),0)</f>
        <v>0</v>
      </c>
      <c r="CD95" s="20" t="n">
        <f aca="false">MAX(0,BQ95)</f>
        <v>0</v>
      </c>
      <c r="CE95" s="20" t="n">
        <f aca="false">SUM(BR95:CC95)</f>
        <v>0</v>
      </c>
      <c r="CF95" s="20" t="n">
        <f aca="false">IF(CF94&gt;1,DE94,CF94)</f>
        <v>0</v>
      </c>
      <c r="CG95" s="20" t="n">
        <f aca="false">IF(CF95&gt;PR_BalDone,CF95+CF95*(F_MR/12)-MIN(F_MortPayM,CF95+CF95*(F_MR/12)),CF95)</f>
        <v>0</v>
      </c>
      <c r="CH95" s="20" t="n">
        <f aca="false">IF(CG95&gt;PR_BalDone,CG95+CG95*(F_MR/12)-MIN(F_MortPayM,CG95+CG95*(F_MR/12)),CG95)</f>
        <v>0</v>
      </c>
      <c r="CI95" s="20" t="n">
        <f aca="false">IF(CH95&gt;PR_BalDone,CH95+CH95*(F_MR/12)-MIN(F_MortPayM,CH95+CH95*(F_MR/12)),CH95)</f>
        <v>0</v>
      </c>
      <c r="CJ95" s="20" t="n">
        <f aca="false">IF(CI95&gt;PR_BalDone,CI95+CI95*(F_MR/12)-MIN(F_MortPayM,CI95+CI95*(F_MR/12)),CI95)</f>
        <v>0</v>
      </c>
      <c r="CK95" s="20" t="n">
        <f aca="false">IF(CJ95&gt;PR_BalDone,CJ95+CJ95*(F_MR/12)-MIN(F_MortPayM,CJ95+CJ95*(F_MR/12)),CJ95)</f>
        <v>0</v>
      </c>
      <c r="CL95" s="20" t="n">
        <f aca="false">IF(CK95&gt;PR_BalDone,CK95+CK95*(F_MR/12)-MIN(F_MortPayM,CK95+CK95*(F_MR/12)),CK95)</f>
        <v>0</v>
      </c>
      <c r="CM95" s="20" t="n">
        <f aca="false">IF(CL95&gt;PR_BalDone,CL95+CL95*(F_MR/12)-MIN(F_MortPayM,CL95+CL95*(F_MR/12)),CL95)</f>
        <v>0</v>
      </c>
      <c r="CN95" s="20" t="n">
        <f aca="false">IF(CM95&gt;PR_BalDone,CM95+CM95*(F_MR/12)-MIN(F_MortPayM,CM95+CM95*(F_MR/12)),CM95)</f>
        <v>0</v>
      </c>
      <c r="CO95" s="20" t="n">
        <f aca="false">IF(CN95&gt;PR_BalDone,CN95+CN95*(F_MR/12)-MIN(F_MortPayM,CN95+CN95*(F_MR/12)),CN95)</f>
        <v>0</v>
      </c>
      <c r="CP95" s="20" t="n">
        <f aca="false">IF(CO95&gt;PR_BalDone,CO95+CO95*(F_MR/12)-MIN(F_MortPayM,CO95+CO95*(F_MR/12)),CO95)</f>
        <v>0</v>
      </c>
      <c r="CQ95" s="20" t="n">
        <f aca="false">IF(CP95&gt;PR_BalDone,CP95+CP95*(F_MR/12)-MIN(F_MortPayM,CP95+CP95*(F_MR/12)),CP95)</f>
        <v>0</v>
      </c>
      <c r="CR95" s="20" t="n">
        <f aca="false">IF(CQ95&gt;PR_BalDone,CQ95+CQ95*(F_MR/12)-MIN(F_MortPayM,CQ95+CQ95*(F_MR/12)),CQ95)</f>
        <v>0</v>
      </c>
      <c r="CS95" s="20" t="n">
        <f aca="false">IF(CF95&gt;PR_BalDone,MIN(F_MortPayM,CF95+CF95*(F_MR/12)),0)</f>
        <v>0</v>
      </c>
      <c r="CT95" s="20" t="n">
        <f aca="false">IF(CG95&gt;PR_BalDone,MIN(F_MortPayM,CG95+CG95*(F_MR/12)),0)</f>
        <v>0</v>
      </c>
      <c r="CU95" s="20" t="n">
        <f aca="false">IF(CH95&gt;PR_BalDone,MIN(F_MortPayM,CH95+CH95*(F_MR/12)),0)</f>
        <v>0</v>
      </c>
      <c r="CV95" s="20" t="n">
        <f aca="false">IF(CI95&gt;PR_BalDone,MIN(F_MortPayM,CI95+CI95*(F_MR/12)),0)</f>
        <v>0</v>
      </c>
      <c r="CW95" s="20" t="n">
        <f aca="false">IF(CJ95&gt;PR_BalDone,MIN(F_MortPayM,CJ95+CJ95*(F_MR/12)),0)</f>
        <v>0</v>
      </c>
      <c r="CX95" s="20" t="n">
        <f aca="false">IF(CK95&gt;PR_BalDone,MIN(F_MortPayM,CK95+CK95*(F_MR/12)),0)</f>
        <v>0</v>
      </c>
      <c r="CY95" s="20" t="n">
        <f aca="false">IF(CL95&gt;PR_BalDone,MIN(F_MortPayM,CL95+CL95*(F_MR/12)),0)</f>
        <v>0</v>
      </c>
      <c r="CZ95" s="20" t="n">
        <f aca="false">IF(CM95&gt;PR_BalDone,MIN(F_MortPayM,CM95+CM95*(F_MR/12)),0)</f>
        <v>0</v>
      </c>
      <c r="DA95" s="20" t="n">
        <f aca="false">IF(CN95&gt;PR_BalDone,MIN(F_MortPayM,CN95+CN95*(F_MR/12)),0)</f>
        <v>0</v>
      </c>
      <c r="DB95" s="20" t="n">
        <f aca="false">IF(CO95&gt;PR_BalDone,MIN(F_MortPayM,CO95+CO95*(F_MR/12)),0)</f>
        <v>0</v>
      </c>
      <c r="DC95" s="20" t="n">
        <f aca="false">IF(CP95&gt;PR_BalDone,MIN(F_MortPayM,CP95+CP95*(F_MR/12)),0)</f>
        <v>0</v>
      </c>
      <c r="DD95" s="20" t="n">
        <f aca="false">IF(CQ95&gt;PR_BalDone,MIN(F_MortPayM,CQ95+CQ95*(F_MR/12)),0)</f>
        <v>0</v>
      </c>
      <c r="DE95" s="20" t="n">
        <f aca="false">MAX(0,CR95)</f>
        <v>0</v>
      </c>
      <c r="DF95" s="20" t="n">
        <f aca="false">SUM(CS95:DD95)</f>
        <v>0</v>
      </c>
      <c r="DG95" s="20" t="n">
        <f aca="false">MAX(0,CF95)</f>
        <v>0</v>
      </c>
    </row>
    <row r="96" customFormat="false" ht="15" hidden="false" customHeight="true" outlineLevel="0" collapsed="false">
      <c r="B96" s="20" t="n">
        <v>88</v>
      </c>
      <c r="C96" s="20" t="n">
        <f aca="false">'Plan cashflow'!J96</f>
        <v>0</v>
      </c>
      <c r="D96" s="20" t="n">
        <f aca="false">IF(C96&gt;PR_BalDone,C96+C96*(F_MR/12)-MIN(F_MortPayM,C96+C96*(F_MR/12)),C96)</f>
        <v>0</v>
      </c>
      <c r="E96" s="20" t="n">
        <f aca="false">IF(D96&gt;PR_BalDone,D96+D96*(F_MR/12)-MIN(F_MortPayM,D96+D96*(F_MR/12)),D96)</f>
        <v>0</v>
      </c>
      <c r="F96" s="20" t="n">
        <f aca="false">IF(E96&gt;PR_BalDone,E96+E96*(F_MR/12)-MIN(F_MortPayM,E96+E96*(F_MR/12)),E96)</f>
        <v>0</v>
      </c>
      <c r="G96" s="20" t="n">
        <f aca="false">IF(F96&gt;PR_BalDone,F96+F96*(F_MR/12)-MIN(F_MortPayM,F96+F96*(F_MR/12)),F96)</f>
        <v>0</v>
      </c>
      <c r="H96" s="20" t="n">
        <f aca="false">IF(G96&gt;PR_BalDone,G96+G96*(F_MR/12)-MIN(F_MortPayM,G96+G96*(F_MR/12)),G96)</f>
        <v>0</v>
      </c>
      <c r="I96" s="20" t="n">
        <f aca="false">IF(H96&gt;PR_BalDone,H96+H96*(F_MR/12)-MIN(F_MortPayM,H96+H96*(F_MR/12)),H96)</f>
        <v>0</v>
      </c>
      <c r="J96" s="20" t="n">
        <f aca="false">IF(I96&gt;PR_BalDone,I96+I96*(F_MR/12)-MIN(F_MortPayM,I96+I96*(F_MR/12)),I96)</f>
        <v>0</v>
      </c>
      <c r="K96" s="20" t="n">
        <f aca="false">IF(J96&gt;PR_BalDone,J96+J96*(F_MR/12)-MIN(F_MortPayM,J96+J96*(F_MR/12)),J96)</f>
        <v>0</v>
      </c>
      <c r="L96" s="20" t="n">
        <f aca="false">IF(K96&gt;PR_BalDone,K96+K96*(F_MR/12)-MIN(F_MortPayM,K96+K96*(F_MR/12)),K96)</f>
        <v>0</v>
      </c>
      <c r="M96" s="20" t="n">
        <f aca="false">IF(L96&gt;PR_BalDone,L96+L96*(F_MR/12)-MIN(F_MortPayM,L96+L96*(F_MR/12)),L96)</f>
        <v>0</v>
      </c>
      <c r="N96" s="20" t="n">
        <f aca="false">IF(M96&gt;PR_BalDone,M96+M96*(F_MR/12)-MIN(F_MortPayM,M96+M96*(F_MR/12)),M96)</f>
        <v>0</v>
      </c>
      <c r="O96" s="20" t="n">
        <f aca="false">IF(N96&gt;PR_BalDone,N96+N96*(F_MR/12)-MIN(F_MortPayM,N96+N96*(F_MR/12)),N96)</f>
        <v>0</v>
      </c>
      <c r="P96" s="20" t="n">
        <f aca="false">IF(C96&gt;PR_BalDone,MIN(F_MortPayM,C96+C96*(F_MR/12)),0)</f>
        <v>0</v>
      </c>
      <c r="Q96" s="20" t="n">
        <f aca="false">IF(D96&gt;PR_BalDone,MIN(F_MortPayM,D96+D96*(F_MR/12)),0)</f>
        <v>0</v>
      </c>
      <c r="R96" s="20" t="n">
        <f aca="false">IF(E96&gt;PR_BalDone,MIN(F_MortPayM,E96+E96*(F_MR/12)),0)</f>
        <v>0</v>
      </c>
      <c r="S96" s="20" t="n">
        <f aca="false">IF(F96&gt;PR_BalDone,MIN(F_MortPayM,F96+F96*(F_MR/12)),0)</f>
        <v>0</v>
      </c>
      <c r="T96" s="20" t="n">
        <f aca="false">IF(G96&gt;PR_BalDone,MIN(F_MortPayM,G96+G96*(F_MR/12)),0)</f>
        <v>0</v>
      </c>
      <c r="U96" s="20" t="n">
        <f aca="false">IF(H96&gt;PR_BalDone,MIN(F_MortPayM,H96+H96*(F_MR/12)),0)</f>
        <v>0</v>
      </c>
      <c r="V96" s="20" t="n">
        <f aca="false">IF(I96&gt;PR_BalDone,MIN(F_MortPayM,I96+I96*(F_MR/12)),0)</f>
        <v>0</v>
      </c>
      <c r="W96" s="20" t="n">
        <f aca="false">IF(J96&gt;PR_BalDone,MIN(F_MortPayM,J96+J96*(F_MR/12)),0)</f>
        <v>0</v>
      </c>
      <c r="X96" s="20" t="n">
        <f aca="false">IF(K96&gt;PR_BalDone,MIN(F_MortPayM,K96+K96*(F_MR/12)),0)</f>
        <v>0</v>
      </c>
      <c r="Y96" s="20" t="n">
        <f aca="false">IF(L96&gt;PR_BalDone,MIN(F_MortPayM,L96+L96*(F_MR/12)),0)</f>
        <v>0</v>
      </c>
      <c r="Z96" s="20" t="n">
        <f aca="false">IF(M96&gt;PR_BalDone,MIN(F_MortPayM,M96+M96*(F_MR/12)),0)</f>
        <v>0</v>
      </c>
      <c r="AA96" s="20" t="n">
        <f aca="false">IF(N96&gt;PR_BalDone,MIN(F_MortPayM,N96+N96*(F_MR/12)),0)</f>
        <v>0</v>
      </c>
      <c r="AB96" s="20" t="n">
        <f aca="false">MAX(0,O96)</f>
        <v>0</v>
      </c>
      <c r="AC96" s="20" t="n">
        <f aca="false">SUM(P96:AA96)</f>
        <v>0</v>
      </c>
      <c r="AD96" s="20" t="n">
        <f aca="false">'Plan cashflow'!M96</f>
        <v>0</v>
      </c>
      <c r="AE96" s="20" t="n">
        <f aca="false">IF(AD96&gt;PR_BalDone,AD96+AD96*(D_iC)-MIN(F_CardPayM,AD96+AD96*(D_iC)),AD96)</f>
        <v>0</v>
      </c>
      <c r="AF96" s="20" t="n">
        <f aca="false">IF(AE96&gt;PR_BalDone,AE96+AE96*(D_iC)-MIN(F_CardPayM,AE96+AE96*(D_iC)),AE96)</f>
        <v>0</v>
      </c>
      <c r="AG96" s="20" t="n">
        <f aca="false">IF(AF96&gt;PR_BalDone,AF96+AF96*(D_iC)-MIN(F_CardPayM,AF96+AF96*(D_iC)),AF96)</f>
        <v>0</v>
      </c>
      <c r="AH96" s="20" t="n">
        <f aca="false">IF(AG96&gt;PR_BalDone,AG96+AG96*(D_iC)-MIN(F_CardPayM,AG96+AG96*(D_iC)),AG96)</f>
        <v>0</v>
      </c>
      <c r="AI96" s="20" t="n">
        <f aca="false">IF(AH96&gt;PR_BalDone,AH96+AH96*(D_iC)-MIN(F_CardPayM,AH96+AH96*(D_iC)),AH96)</f>
        <v>0</v>
      </c>
      <c r="AJ96" s="20" t="n">
        <f aca="false">IF(AI96&gt;PR_BalDone,AI96+AI96*(D_iC)-MIN(F_CardPayM,AI96+AI96*(D_iC)),AI96)</f>
        <v>0</v>
      </c>
      <c r="AK96" s="20" t="n">
        <f aca="false">IF(AJ96&gt;PR_BalDone,AJ96+AJ96*(D_iC)-MIN(F_CardPayM,AJ96+AJ96*(D_iC)),AJ96)</f>
        <v>0</v>
      </c>
      <c r="AL96" s="20" t="n">
        <f aca="false">IF(AK96&gt;PR_BalDone,AK96+AK96*(D_iC)-MIN(F_CardPayM,AK96+AK96*(D_iC)),AK96)</f>
        <v>0</v>
      </c>
      <c r="AM96" s="20" t="n">
        <f aca="false">IF(AL96&gt;PR_BalDone,AL96+AL96*(D_iC)-MIN(F_CardPayM,AL96+AL96*(D_iC)),AL96)</f>
        <v>0</v>
      </c>
      <c r="AN96" s="20" t="n">
        <f aca="false">IF(AM96&gt;PR_BalDone,AM96+AM96*(D_iC)-MIN(F_CardPayM,AM96+AM96*(D_iC)),AM96)</f>
        <v>0</v>
      </c>
      <c r="AO96" s="20" t="n">
        <f aca="false">IF(AN96&gt;PR_BalDone,AN96+AN96*(D_iC)-MIN(F_CardPayM,AN96+AN96*(D_iC)),AN96)</f>
        <v>0</v>
      </c>
      <c r="AP96" s="20" t="n">
        <f aca="false">IF(AO96&gt;PR_BalDone,AO96+AO96*(D_iC)-MIN(F_CardPayM,AO96+AO96*(D_iC)),AO96)</f>
        <v>0</v>
      </c>
      <c r="AQ96" s="20" t="n">
        <f aca="false">IF(AD96&gt;PR_BalDone,MIN(F_CardPayM,AD96+AD96*(D_iC)),0)</f>
        <v>0</v>
      </c>
      <c r="AR96" s="20" t="n">
        <f aca="false">IF(AE96&gt;PR_BalDone,MIN(F_CardPayM,AE96+AE96*(D_iC)),0)</f>
        <v>0</v>
      </c>
      <c r="AS96" s="20" t="n">
        <f aca="false">IF(AF96&gt;PR_BalDone,MIN(F_CardPayM,AF96+AF96*(D_iC)),0)</f>
        <v>0</v>
      </c>
      <c r="AT96" s="20" t="n">
        <f aca="false">IF(AG96&gt;PR_BalDone,MIN(F_CardPayM,AG96+AG96*(D_iC)),0)</f>
        <v>0</v>
      </c>
      <c r="AU96" s="20" t="n">
        <f aca="false">IF(AH96&gt;PR_BalDone,MIN(F_CardPayM,AH96+AH96*(D_iC)),0)</f>
        <v>0</v>
      </c>
      <c r="AV96" s="20" t="n">
        <f aca="false">IF(AI96&gt;PR_BalDone,MIN(F_CardPayM,AI96+AI96*(D_iC)),0)</f>
        <v>0</v>
      </c>
      <c r="AW96" s="20" t="n">
        <f aca="false">IF(AJ96&gt;PR_BalDone,MIN(F_CardPayM,AJ96+AJ96*(D_iC)),0)</f>
        <v>0</v>
      </c>
      <c r="AX96" s="20" t="n">
        <f aca="false">IF(AK96&gt;PR_BalDone,MIN(F_CardPayM,AK96+AK96*(D_iC)),0)</f>
        <v>0</v>
      </c>
      <c r="AY96" s="20" t="n">
        <f aca="false">IF(AL96&gt;PR_BalDone,MIN(F_CardPayM,AL96+AL96*(D_iC)),0)</f>
        <v>0</v>
      </c>
      <c r="AZ96" s="20" t="n">
        <f aca="false">IF(AM96&gt;PR_BalDone,MIN(F_CardPayM,AM96+AM96*(D_iC)),0)</f>
        <v>0</v>
      </c>
      <c r="BA96" s="20" t="n">
        <f aca="false">IF(AN96&gt;PR_BalDone,MIN(F_CardPayM,AN96+AN96*(D_iC)),0)</f>
        <v>0</v>
      </c>
      <c r="BB96" s="20" t="n">
        <f aca="false">IF(AO96&gt;PR_BalDone,MIN(F_CardPayM,AO96+AO96*(D_iC)),0)</f>
        <v>0</v>
      </c>
      <c r="BC96" s="20" t="n">
        <f aca="false">MAX(0,AP96)</f>
        <v>0</v>
      </c>
      <c r="BD96" s="20" t="n">
        <f aca="false">SUM(AQ96:BB96)</f>
        <v>0</v>
      </c>
      <c r="BE96" s="20" t="n">
        <f aca="false">'Plan cashflow'!P96</f>
        <v>0</v>
      </c>
      <c r="BF96" s="20" t="n">
        <f aca="false">IF(BE96&gt;PR_BalDone,BE96+BE96*(D_iL)-MIN(F_LoanPayM,BE96+BE96*(D_iL)),BE96)</f>
        <v>0</v>
      </c>
      <c r="BG96" s="20" t="n">
        <f aca="false">IF(BF96&gt;PR_BalDone,BF96+BF96*(D_iL)-MIN(F_LoanPayM,BF96+BF96*(D_iL)),BF96)</f>
        <v>0</v>
      </c>
      <c r="BH96" s="20" t="n">
        <f aca="false">IF(BG96&gt;PR_BalDone,BG96+BG96*(D_iL)-MIN(F_LoanPayM,BG96+BG96*(D_iL)),BG96)</f>
        <v>0</v>
      </c>
      <c r="BI96" s="20" t="n">
        <f aca="false">IF(BH96&gt;PR_BalDone,BH96+BH96*(D_iL)-MIN(F_LoanPayM,BH96+BH96*(D_iL)),BH96)</f>
        <v>0</v>
      </c>
      <c r="BJ96" s="20" t="n">
        <f aca="false">IF(BI96&gt;PR_BalDone,BI96+BI96*(D_iL)-MIN(F_LoanPayM,BI96+BI96*(D_iL)),BI96)</f>
        <v>0</v>
      </c>
      <c r="BK96" s="20" t="n">
        <f aca="false">IF(BJ96&gt;PR_BalDone,BJ96+BJ96*(D_iL)-MIN(F_LoanPayM,BJ96+BJ96*(D_iL)),BJ96)</f>
        <v>0</v>
      </c>
      <c r="BL96" s="20" t="n">
        <f aca="false">IF(BK96&gt;PR_BalDone,BK96+BK96*(D_iL)-MIN(F_LoanPayM,BK96+BK96*(D_iL)),BK96)</f>
        <v>0</v>
      </c>
      <c r="BM96" s="20" t="n">
        <f aca="false">IF(BL96&gt;PR_BalDone,BL96+BL96*(D_iL)-MIN(F_LoanPayM,BL96+BL96*(D_iL)),BL96)</f>
        <v>0</v>
      </c>
      <c r="BN96" s="20" t="n">
        <f aca="false">IF(BM96&gt;PR_BalDone,BM96+BM96*(D_iL)-MIN(F_LoanPayM,BM96+BM96*(D_iL)),BM96)</f>
        <v>0</v>
      </c>
      <c r="BO96" s="20" t="n">
        <f aca="false">IF(BN96&gt;PR_BalDone,BN96+BN96*(D_iL)-MIN(F_LoanPayM,BN96+BN96*(D_iL)),BN96)</f>
        <v>0</v>
      </c>
      <c r="BP96" s="20" t="n">
        <f aca="false">IF(BO96&gt;PR_BalDone,BO96+BO96*(D_iL)-MIN(F_LoanPayM,BO96+BO96*(D_iL)),BO96)</f>
        <v>0</v>
      </c>
      <c r="BQ96" s="20" t="n">
        <f aca="false">IF(BP96&gt;PR_BalDone,BP96+BP96*(D_iL)-MIN(F_LoanPayM,BP96+BP96*(D_iL)),BP96)</f>
        <v>0</v>
      </c>
      <c r="BR96" s="20" t="n">
        <f aca="false">IF(BE96&gt;PR_BalDone,MIN(F_LoanPayM,BE96+BE96*(D_iL)),0)</f>
        <v>0</v>
      </c>
      <c r="BS96" s="20" t="n">
        <f aca="false">IF(BF96&gt;PR_BalDone,MIN(F_LoanPayM,BF96+BF96*(D_iL)),0)</f>
        <v>0</v>
      </c>
      <c r="BT96" s="20" t="n">
        <f aca="false">IF(BG96&gt;PR_BalDone,MIN(F_LoanPayM,BG96+BG96*(D_iL)),0)</f>
        <v>0</v>
      </c>
      <c r="BU96" s="20" t="n">
        <f aca="false">IF(BH96&gt;PR_BalDone,MIN(F_LoanPayM,BH96+BH96*(D_iL)),0)</f>
        <v>0</v>
      </c>
      <c r="BV96" s="20" t="n">
        <f aca="false">IF(BI96&gt;PR_BalDone,MIN(F_LoanPayM,BI96+BI96*(D_iL)),0)</f>
        <v>0</v>
      </c>
      <c r="BW96" s="20" t="n">
        <f aca="false">IF(BJ96&gt;PR_BalDone,MIN(F_LoanPayM,BJ96+BJ96*(D_iL)),0)</f>
        <v>0</v>
      </c>
      <c r="BX96" s="20" t="n">
        <f aca="false">IF(BK96&gt;PR_BalDone,MIN(F_LoanPayM,BK96+BK96*(D_iL)),0)</f>
        <v>0</v>
      </c>
      <c r="BY96" s="20" t="n">
        <f aca="false">IF(BL96&gt;PR_BalDone,MIN(F_LoanPayM,BL96+BL96*(D_iL)),0)</f>
        <v>0</v>
      </c>
      <c r="BZ96" s="20" t="n">
        <f aca="false">IF(BM96&gt;PR_BalDone,MIN(F_LoanPayM,BM96+BM96*(D_iL)),0)</f>
        <v>0</v>
      </c>
      <c r="CA96" s="20" t="n">
        <f aca="false">IF(BN96&gt;PR_BalDone,MIN(F_LoanPayM,BN96+BN96*(D_iL)),0)</f>
        <v>0</v>
      </c>
      <c r="CB96" s="20" t="n">
        <f aca="false">IF(BO96&gt;PR_BalDone,MIN(F_LoanPayM,BO96+BO96*(D_iL)),0)</f>
        <v>0</v>
      </c>
      <c r="CC96" s="20" t="n">
        <f aca="false">IF(BP96&gt;PR_BalDone,MIN(F_LoanPayM,BP96+BP96*(D_iL)),0)</f>
        <v>0</v>
      </c>
      <c r="CD96" s="20" t="n">
        <f aca="false">MAX(0,BQ96)</f>
        <v>0</v>
      </c>
      <c r="CE96" s="20" t="n">
        <f aca="false">SUM(BR96:CC96)</f>
        <v>0</v>
      </c>
      <c r="CF96" s="20" t="n">
        <f aca="false">IF(CF95&gt;1,DE95,CF95)</f>
        <v>0</v>
      </c>
      <c r="CG96" s="20" t="n">
        <f aca="false">IF(CF96&gt;PR_BalDone,CF96+CF96*(F_MR/12)-MIN(F_MortPayM,CF96+CF96*(F_MR/12)),CF96)</f>
        <v>0</v>
      </c>
      <c r="CH96" s="20" t="n">
        <f aca="false">IF(CG96&gt;PR_BalDone,CG96+CG96*(F_MR/12)-MIN(F_MortPayM,CG96+CG96*(F_MR/12)),CG96)</f>
        <v>0</v>
      </c>
      <c r="CI96" s="20" t="n">
        <f aca="false">IF(CH96&gt;PR_BalDone,CH96+CH96*(F_MR/12)-MIN(F_MortPayM,CH96+CH96*(F_MR/12)),CH96)</f>
        <v>0</v>
      </c>
      <c r="CJ96" s="20" t="n">
        <f aca="false">IF(CI96&gt;PR_BalDone,CI96+CI96*(F_MR/12)-MIN(F_MortPayM,CI96+CI96*(F_MR/12)),CI96)</f>
        <v>0</v>
      </c>
      <c r="CK96" s="20" t="n">
        <f aca="false">IF(CJ96&gt;PR_BalDone,CJ96+CJ96*(F_MR/12)-MIN(F_MortPayM,CJ96+CJ96*(F_MR/12)),CJ96)</f>
        <v>0</v>
      </c>
      <c r="CL96" s="20" t="n">
        <f aca="false">IF(CK96&gt;PR_BalDone,CK96+CK96*(F_MR/12)-MIN(F_MortPayM,CK96+CK96*(F_MR/12)),CK96)</f>
        <v>0</v>
      </c>
      <c r="CM96" s="20" t="n">
        <f aca="false">IF(CL96&gt;PR_BalDone,CL96+CL96*(F_MR/12)-MIN(F_MortPayM,CL96+CL96*(F_MR/12)),CL96)</f>
        <v>0</v>
      </c>
      <c r="CN96" s="20" t="n">
        <f aca="false">IF(CM96&gt;PR_BalDone,CM96+CM96*(F_MR/12)-MIN(F_MortPayM,CM96+CM96*(F_MR/12)),CM96)</f>
        <v>0</v>
      </c>
      <c r="CO96" s="20" t="n">
        <f aca="false">IF(CN96&gt;PR_BalDone,CN96+CN96*(F_MR/12)-MIN(F_MortPayM,CN96+CN96*(F_MR/12)),CN96)</f>
        <v>0</v>
      </c>
      <c r="CP96" s="20" t="n">
        <f aca="false">IF(CO96&gt;PR_BalDone,CO96+CO96*(F_MR/12)-MIN(F_MortPayM,CO96+CO96*(F_MR/12)),CO96)</f>
        <v>0</v>
      </c>
      <c r="CQ96" s="20" t="n">
        <f aca="false">IF(CP96&gt;PR_BalDone,CP96+CP96*(F_MR/12)-MIN(F_MortPayM,CP96+CP96*(F_MR/12)),CP96)</f>
        <v>0</v>
      </c>
      <c r="CR96" s="20" t="n">
        <f aca="false">IF(CQ96&gt;PR_BalDone,CQ96+CQ96*(F_MR/12)-MIN(F_MortPayM,CQ96+CQ96*(F_MR/12)),CQ96)</f>
        <v>0</v>
      </c>
      <c r="CS96" s="20" t="n">
        <f aca="false">IF(CF96&gt;PR_BalDone,MIN(F_MortPayM,CF96+CF96*(F_MR/12)),0)</f>
        <v>0</v>
      </c>
      <c r="CT96" s="20" t="n">
        <f aca="false">IF(CG96&gt;PR_BalDone,MIN(F_MortPayM,CG96+CG96*(F_MR/12)),0)</f>
        <v>0</v>
      </c>
      <c r="CU96" s="20" t="n">
        <f aca="false">IF(CH96&gt;PR_BalDone,MIN(F_MortPayM,CH96+CH96*(F_MR/12)),0)</f>
        <v>0</v>
      </c>
      <c r="CV96" s="20" t="n">
        <f aca="false">IF(CI96&gt;PR_BalDone,MIN(F_MortPayM,CI96+CI96*(F_MR/12)),0)</f>
        <v>0</v>
      </c>
      <c r="CW96" s="20" t="n">
        <f aca="false">IF(CJ96&gt;PR_BalDone,MIN(F_MortPayM,CJ96+CJ96*(F_MR/12)),0)</f>
        <v>0</v>
      </c>
      <c r="CX96" s="20" t="n">
        <f aca="false">IF(CK96&gt;PR_BalDone,MIN(F_MortPayM,CK96+CK96*(F_MR/12)),0)</f>
        <v>0</v>
      </c>
      <c r="CY96" s="20" t="n">
        <f aca="false">IF(CL96&gt;PR_BalDone,MIN(F_MortPayM,CL96+CL96*(F_MR/12)),0)</f>
        <v>0</v>
      </c>
      <c r="CZ96" s="20" t="n">
        <f aca="false">IF(CM96&gt;PR_BalDone,MIN(F_MortPayM,CM96+CM96*(F_MR/12)),0)</f>
        <v>0</v>
      </c>
      <c r="DA96" s="20" t="n">
        <f aca="false">IF(CN96&gt;PR_BalDone,MIN(F_MortPayM,CN96+CN96*(F_MR/12)),0)</f>
        <v>0</v>
      </c>
      <c r="DB96" s="20" t="n">
        <f aca="false">IF(CO96&gt;PR_BalDone,MIN(F_MortPayM,CO96+CO96*(F_MR/12)),0)</f>
        <v>0</v>
      </c>
      <c r="DC96" s="20" t="n">
        <f aca="false">IF(CP96&gt;PR_BalDone,MIN(F_MortPayM,CP96+CP96*(F_MR/12)),0)</f>
        <v>0</v>
      </c>
      <c r="DD96" s="20" t="n">
        <f aca="false">IF(CQ96&gt;PR_BalDone,MIN(F_MortPayM,CQ96+CQ96*(F_MR/12)),0)</f>
        <v>0</v>
      </c>
      <c r="DE96" s="20" t="n">
        <f aca="false">MAX(0,CR96)</f>
        <v>0</v>
      </c>
      <c r="DF96" s="20" t="n">
        <f aca="false">SUM(CS96:DD96)</f>
        <v>0</v>
      </c>
      <c r="DG96" s="20" t="n">
        <f aca="false">MAX(0,CF96)</f>
        <v>0</v>
      </c>
    </row>
    <row r="97" customFormat="false" ht="15" hidden="false" customHeight="true" outlineLevel="0" collapsed="false">
      <c r="B97" s="20" t="n">
        <v>89</v>
      </c>
      <c r="C97" s="20" t="n">
        <f aca="false">'Plan cashflow'!J97</f>
        <v>0</v>
      </c>
      <c r="D97" s="20" t="n">
        <f aca="false">IF(C97&gt;PR_BalDone,C97+C97*(F_MR/12)-MIN(F_MortPayM,C97+C97*(F_MR/12)),C97)</f>
        <v>0</v>
      </c>
      <c r="E97" s="20" t="n">
        <f aca="false">IF(D97&gt;PR_BalDone,D97+D97*(F_MR/12)-MIN(F_MortPayM,D97+D97*(F_MR/12)),D97)</f>
        <v>0</v>
      </c>
      <c r="F97" s="20" t="n">
        <f aca="false">IF(E97&gt;PR_BalDone,E97+E97*(F_MR/12)-MIN(F_MortPayM,E97+E97*(F_MR/12)),E97)</f>
        <v>0</v>
      </c>
      <c r="G97" s="20" t="n">
        <f aca="false">IF(F97&gt;PR_BalDone,F97+F97*(F_MR/12)-MIN(F_MortPayM,F97+F97*(F_MR/12)),F97)</f>
        <v>0</v>
      </c>
      <c r="H97" s="20" t="n">
        <f aca="false">IF(G97&gt;PR_BalDone,G97+G97*(F_MR/12)-MIN(F_MortPayM,G97+G97*(F_MR/12)),G97)</f>
        <v>0</v>
      </c>
      <c r="I97" s="20" t="n">
        <f aca="false">IF(H97&gt;PR_BalDone,H97+H97*(F_MR/12)-MIN(F_MortPayM,H97+H97*(F_MR/12)),H97)</f>
        <v>0</v>
      </c>
      <c r="J97" s="20" t="n">
        <f aca="false">IF(I97&gt;PR_BalDone,I97+I97*(F_MR/12)-MIN(F_MortPayM,I97+I97*(F_MR/12)),I97)</f>
        <v>0</v>
      </c>
      <c r="K97" s="20" t="n">
        <f aca="false">IF(J97&gt;PR_BalDone,J97+J97*(F_MR/12)-MIN(F_MortPayM,J97+J97*(F_MR/12)),J97)</f>
        <v>0</v>
      </c>
      <c r="L97" s="20" t="n">
        <f aca="false">IF(K97&gt;PR_BalDone,K97+K97*(F_MR/12)-MIN(F_MortPayM,K97+K97*(F_MR/12)),K97)</f>
        <v>0</v>
      </c>
      <c r="M97" s="20" t="n">
        <f aca="false">IF(L97&gt;PR_BalDone,L97+L97*(F_MR/12)-MIN(F_MortPayM,L97+L97*(F_MR/12)),L97)</f>
        <v>0</v>
      </c>
      <c r="N97" s="20" t="n">
        <f aca="false">IF(M97&gt;PR_BalDone,M97+M97*(F_MR/12)-MIN(F_MortPayM,M97+M97*(F_MR/12)),M97)</f>
        <v>0</v>
      </c>
      <c r="O97" s="20" t="n">
        <f aca="false">IF(N97&gt;PR_BalDone,N97+N97*(F_MR/12)-MIN(F_MortPayM,N97+N97*(F_MR/12)),N97)</f>
        <v>0</v>
      </c>
      <c r="P97" s="20" t="n">
        <f aca="false">IF(C97&gt;PR_BalDone,MIN(F_MortPayM,C97+C97*(F_MR/12)),0)</f>
        <v>0</v>
      </c>
      <c r="Q97" s="20" t="n">
        <f aca="false">IF(D97&gt;PR_BalDone,MIN(F_MortPayM,D97+D97*(F_MR/12)),0)</f>
        <v>0</v>
      </c>
      <c r="R97" s="20" t="n">
        <f aca="false">IF(E97&gt;PR_BalDone,MIN(F_MortPayM,E97+E97*(F_MR/12)),0)</f>
        <v>0</v>
      </c>
      <c r="S97" s="20" t="n">
        <f aca="false">IF(F97&gt;PR_BalDone,MIN(F_MortPayM,F97+F97*(F_MR/12)),0)</f>
        <v>0</v>
      </c>
      <c r="T97" s="20" t="n">
        <f aca="false">IF(G97&gt;PR_BalDone,MIN(F_MortPayM,G97+G97*(F_MR/12)),0)</f>
        <v>0</v>
      </c>
      <c r="U97" s="20" t="n">
        <f aca="false">IF(H97&gt;PR_BalDone,MIN(F_MortPayM,H97+H97*(F_MR/12)),0)</f>
        <v>0</v>
      </c>
      <c r="V97" s="20" t="n">
        <f aca="false">IF(I97&gt;PR_BalDone,MIN(F_MortPayM,I97+I97*(F_MR/12)),0)</f>
        <v>0</v>
      </c>
      <c r="W97" s="20" t="n">
        <f aca="false">IF(J97&gt;PR_BalDone,MIN(F_MortPayM,J97+J97*(F_MR/12)),0)</f>
        <v>0</v>
      </c>
      <c r="X97" s="20" t="n">
        <f aca="false">IF(K97&gt;PR_BalDone,MIN(F_MortPayM,K97+K97*(F_MR/12)),0)</f>
        <v>0</v>
      </c>
      <c r="Y97" s="20" t="n">
        <f aca="false">IF(L97&gt;PR_BalDone,MIN(F_MortPayM,L97+L97*(F_MR/12)),0)</f>
        <v>0</v>
      </c>
      <c r="Z97" s="20" t="n">
        <f aca="false">IF(M97&gt;PR_BalDone,MIN(F_MortPayM,M97+M97*(F_MR/12)),0)</f>
        <v>0</v>
      </c>
      <c r="AA97" s="20" t="n">
        <f aca="false">IF(N97&gt;PR_BalDone,MIN(F_MortPayM,N97+N97*(F_MR/12)),0)</f>
        <v>0</v>
      </c>
      <c r="AB97" s="20" t="n">
        <f aca="false">MAX(0,O97)</f>
        <v>0</v>
      </c>
      <c r="AC97" s="20" t="n">
        <f aca="false">SUM(P97:AA97)</f>
        <v>0</v>
      </c>
      <c r="AD97" s="20" t="n">
        <f aca="false">'Plan cashflow'!M97</f>
        <v>0</v>
      </c>
      <c r="AE97" s="20" t="n">
        <f aca="false">IF(AD97&gt;PR_BalDone,AD97+AD97*(D_iC)-MIN(F_CardPayM,AD97+AD97*(D_iC)),AD97)</f>
        <v>0</v>
      </c>
      <c r="AF97" s="20" t="n">
        <f aca="false">IF(AE97&gt;PR_BalDone,AE97+AE97*(D_iC)-MIN(F_CardPayM,AE97+AE97*(D_iC)),AE97)</f>
        <v>0</v>
      </c>
      <c r="AG97" s="20" t="n">
        <f aca="false">IF(AF97&gt;PR_BalDone,AF97+AF97*(D_iC)-MIN(F_CardPayM,AF97+AF97*(D_iC)),AF97)</f>
        <v>0</v>
      </c>
      <c r="AH97" s="20" t="n">
        <f aca="false">IF(AG97&gt;PR_BalDone,AG97+AG97*(D_iC)-MIN(F_CardPayM,AG97+AG97*(D_iC)),AG97)</f>
        <v>0</v>
      </c>
      <c r="AI97" s="20" t="n">
        <f aca="false">IF(AH97&gt;PR_BalDone,AH97+AH97*(D_iC)-MIN(F_CardPayM,AH97+AH97*(D_iC)),AH97)</f>
        <v>0</v>
      </c>
      <c r="AJ97" s="20" t="n">
        <f aca="false">IF(AI97&gt;PR_BalDone,AI97+AI97*(D_iC)-MIN(F_CardPayM,AI97+AI97*(D_iC)),AI97)</f>
        <v>0</v>
      </c>
      <c r="AK97" s="20" t="n">
        <f aca="false">IF(AJ97&gt;PR_BalDone,AJ97+AJ97*(D_iC)-MIN(F_CardPayM,AJ97+AJ97*(D_iC)),AJ97)</f>
        <v>0</v>
      </c>
      <c r="AL97" s="20" t="n">
        <f aca="false">IF(AK97&gt;PR_BalDone,AK97+AK97*(D_iC)-MIN(F_CardPayM,AK97+AK97*(D_iC)),AK97)</f>
        <v>0</v>
      </c>
      <c r="AM97" s="20" t="n">
        <f aca="false">IF(AL97&gt;PR_BalDone,AL97+AL97*(D_iC)-MIN(F_CardPayM,AL97+AL97*(D_iC)),AL97)</f>
        <v>0</v>
      </c>
      <c r="AN97" s="20" t="n">
        <f aca="false">IF(AM97&gt;PR_BalDone,AM97+AM97*(D_iC)-MIN(F_CardPayM,AM97+AM97*(D_iC)),AM97)</f>
        <v>0</v>
      </c>
      <c r="AO97" s="20" t="n">
        <f aca="false">IF(AN97&gt;PR_BalDone,AN97+AN97*(D_iC)-MIN(F_CardPayM,AN97+AN97*(D_iC)),AN97)</f>
        <v>0</v>
      </c>
      <c r="AP97" s="20" t="n">
        <f aca="false">IF(AO97&gt;PR_BalDone,AO97+AO97*(D_iC)-MIN(F_CardPayM,AO97+AO97*(D_iC)),AO97)</f>
        <v>0</v>
      </c>
      <c r="AQ97" s="20" t="n">
        <f aca="false">IF(AD97&gt;PR_BalDone,MIN(F_CardPayM,AD97+AD97*(D_iC)),0)</f>
        <v>0</v>
      </c>
      <c r="AR97" s="20" t="n">
        <f aca="false">IF(AE97&gt;PR_BalDone,MIN(F_CardPayM,AE97+AE97*(D_iC)),0)</f>
        <v>0</v>
      </c>
      <c r="AS97" s="20" t="n">
        <f aca="false">IF(AF97&gt;PR_BalDone,MIN(F_CardPayM,AF97+AF97*(D_iC)),0)</f>
        <v>0</v>
      </c>
      <c r="AT97" s="20" t="n">
        <f aca="false">IF(AG97&gt;PR_BalDone,MIN(F_CardPayM,AG97+AG97*(D_iC)),0)</f>
        <v>0</v>
      </c>
      <c r="AU97" s="20" t="n">
        <f aca="false">IF(AH97&gt;PR_BalDone,MIN(F_CardPayM,AH97+AH97*(D_iC)),0)</f>
        <v>0</v>
      </c>
      <c r="AV97" s="20" t="n">
        <f aca="false">IF(AI97&gt;PR_BalDone,MIN(F_CardPayM,AI97+AI97*(D_iC)),0)</f>
        <v>0</v>
      </c>
      <c r="AW97" s="20" t="n">
        <f aca="false">IF(AJ97&gt;PR_BalDone,MIN(F_CardPayM,AJ97+AJ97*(D_iC)),0)</f>
        <v>0</v>
      </c>
      <c r="AX97" s="20" t="n">
        <f aca="false">IF(AK97&gt;PR_BalDone,MIN(F_CardPayM,AK97+AK97*(D_iC)),0)</f>
        <v>0</v>
      </c>
      <c r="AY97" s="20" t="n">
        <f aca="false">IF(AL97&gt;PR_BalDone,MIN(F_CardPayM,AL97+AL97*(D_iC)),0)</f>
        <v>0</v>
      </c>
      <c r="AZ97" s="20" t="n">
        <f aca="false">IF(AM97&gt;PR_BalDone,MIN(F_CardPayM,AM97+AM97*(D_iC)),0)</f>
        <v>0</v>
      </c>
      <c r="BA97" s="20" t="n">
        <f aca="false">IF(AN97&gt;PR_BalDone,MIN(F_CardPayM,AN97+AN97*(D_iC)),0)</f>
        <v>0</v>
      </c>
      <c r="BB97" s="20" t="n">
        <f aca="false">IF(AO97&gt;PR_BalDone,MIN(F_CardPayM,AO97+AO97*(D_iC)),0)</f>
        <v>0</v>
      </c>
      <c r="BC97" s="20" t="n">
        <f aca="false">MAX(0,AP97)</f>
        <v>0</v>
      </c>
      <c r="BD97" s="20" t="n">
        <f aca="false">SUM(AQ97:BB97)</f>
        <v>0</v>
      </c>
      <c r="BE97" s="20" t="n">
        <f aca="false">'Plan cashflow'!P97</f>
        <v>0</v>
      </c>
      <c r="BF97" s="20" t="n">
        <f aca="false">IF(BE97&gt;PR_BalDone,BE97+BE97*(D_iL)-MIN(F_LoanPayM,BE97+BE97*(D_iL)),BE97)</f>
        <v>0</v>
      </c>
      <c r="BG97" s="20" t="n">
        <f aca="false">IF(BF97&gt;PR_BalDone,BF97+BF97*(D_iL)-MIN(F_LoanPayM,BF97+BF97*(D_iL)),BF97)</f>
        <v>0</v>
      </c>
      <c r="BH97" s="20" t="n">
        <f aca="false">IF(BG97&gt;PR_BalDone,BG97+BG97*(D_iL)-MIN(F_LoanPayM,BG97+BG97*(D_iL)),BG97)</f>
        <v>0</v>
      </c>
      <c r="BI97" s="20" t="n">
        <f aca="false">IF(BH97&gt;PR_BalDone,BH97+BH97*(D_iL)-MIN(F_LoanPayM,BH97+BH97*(D_iL)),BH97)</f>
        <v>0</v>
      </c>
      <c r="BJ97" s="20" t="n">
        <f aca="false">IF(BI97&gt;PR_BalDone,BI97+BI97*(D_iL)-MIN(F_LoanPayM,BI97+BI97*(D_iL)),BI97)</f>
        <v>0</v>
      </c>
      <c r="BK97" s="20" t="n">
        <f aca="false">IF(BJ97&gt;PR_BalDone,BJ97+BJ97*(D_iL)-MIN(F_LoanPayM,BJ97+BJ97*(D_iL)),BJ97)</f>
        <v>0</v>
      </c>
      <c r="BL97" s="20" t="n">
        <f aca="false">IF(BK97&gt;PR_BalDone,BK97+BK97*(D_iL)-MIN(F_LoanPayM,BK97+BK97*(D_iL)),BK97)</f>
        <v>0</v>
      </c>
      <c r="BM97" s="20" t="n">
        <f aca="false">IF(BL97&gt;PR_BalDone,BL97+BL97*(D_iL)-MIN(F_LoanPayM,BL97+BL97*(D_iL)),BL97)</f>
        <v>0</v>
      </c>
      <c r="BN97" s="20" t="n">
        <f aca="false">IF(BM97&gt;PR_BalDone,BM97+BM97*(D_iL)-MIN(F_LoanPayM,BM97+BM97*(D_iL)),BM97)</f>
        <v>0</v>
      </c>
      <c r="BO97" s="20" t="n">
        <f aca="false">IF(BN97&gt;PR_BalDone,BN97+BN97*(D_iL)-MIN(F_LoanPayM,BN97+BN97*(D_iL)),BN97)</f>
        <v>0</v>
      </c>
      <c r="BP97" s="20" t="n">
        <f aca="false">IF(BO97&gt;PR_BalDone,BO97+BO97*(D_iL)-MIN(F_LoanPayM,BO97+BO97*(D_iL)),BO97)</f>
        <v>0</v>
      </c>
      <c r="BQ97" s="20" t="n">
        <f aca="false">IF(BP97&gt;PR_BalDone,BP97+BP97*(D_iL)-MIN(F_LoanPayM,BP97+BP97*(D_iL)),BP97)</f>
        <v>0</v>
      </c>
      <c r="BR97" s="20" t="n">
        <f aca="false">IF(BE97&gt;PR_BalDone,MIN(F_LoanPayM,BE97+BE97*(D_iL)),0)</f>
        <v>0</v>
      </c>
      <c r="BS97" s="20" t="n">
        <f aca="false">IF(BF97&gt;PR_BalDone,MIN(F_LoanPayM,BF97+BF97*(D_iL)),0)</f>
        <v>0</v>
      </c>
      <c r="BT97" s="20" t="n">
        <f aca="false">IF(BG97&gt;PR_BalDone,MIN(F_LoanPayM,BG97+BG97*(D_iL)),0)</f>
        <v>0</v>
      </c>
      <c r="BU97" s="20" t="n">
        <f aca="false">IF(BH97&gt;PR_BalDone,MIN(F_LoanPayM,BH97+BH97*(D_iL)),0)</f>
        <v>0</v>
      </c>
      <c r="BV97" s="20" t="n">
        <f aca="false">IF(BI97&gt;PR_BalDone,MIN(F_LoanPayM,BI97+BI97*(D_iL)),0)</f>
        <v>0</v>
      </c>
      <c r="BW97" s="20" t="n">
        <f aca="false">IF(BJ97&gt;PR_BalDone,MIN(F_LoanPayM,BJ97+BJ97*(D_iL)),0)</f>
        <v>0</v>
      </c>
      <c r="BX97" s="20" t="n">
        <f aca="false">IF(BK97&gt;PR_BalDone,MIN(F_LoanPayM,BK97+BK97*(D_iL)),0)</f>
        <v>0</v>
      </c>
      <c r="BY97" s="20" t="n">
        <f aca="false">IF(BL97&gt;PR_BalDone,MIN(F_LoanPayM,BL97+BL97*(D_iL)),0)</f>
        <v>0</v>
      </c>
      <c r="BZ97" s="20" t="n">
        <f aca="false">IF(BM97&gt;PR_BalDone,MIN(F_LoanPayM,BM97+BM97*(D_iL)),0)</f>
        <v>0</v>
      </c>
      <c r="CA97" s="20" t="n">
        <f aca="false">IF(BN97&gt;PR_BalDone,MIN(F_LoanPayM,BN97+BN97*(D_iL)),0)</f>
        <v>0</v>
      </c>
      <c r="CB97" s="20" t="n">
        <f aca="false">IF(BO97&gt;PR_BalDone,MIN(F_LoanPayM,BO97+BO97*(D_iL)),0)</f>
        <v>0</v>
      </c>
      <c r="CC97" s="20" t="n">
        <f aca="false">IF(BP97&gt;PR_BalDone,MIN(F_LoanPayM,BP97+BP97*(D_iL)),0)</f>
        <v>0</v>
      </c>
      <c r="CD97" s="20" t="n">
        <f aca="false">MAX(0,BQ97)</f>
        <v>0</v>
      </c>
      <c r="CE97" s="20" t="n">
        <f aca="false">SUM(BR97:CC97)</f>
        <v>0</v>
      </c>
      <c r="CF97" s="20" t="n">
        <f aca="false">IF(CF96&gt;1,DE96,CF96)</f>
        <v>0</v>
      </c>
      <c r="CG97" s="20" t="n">
        <f aca="false">IF(CF97&gt;PR_BalDone,CF97+CF97*(F_MR/12)-MIN(F_MortPayM,CF97+CF97*(F_MR/12)),CF97)</f>
        <v>0</v>
      </c>
      <c r="CH97" s="20" t="n">
        <f aca="false">IF(CG97&gt;PR_BalDone,CG97+CG97*(F_MR/12)-MIN(F_MortPayM,CG97+CG97*(F_MR/12)),CG97)</f>
        <v>0</v>
      </c>
      <c r="CI97" s="20" t="n">
        <f aca="false">IF(CH97&gt;PR_BalDone,CH97+CH97*(F_MR/12)-MIN(F_MortPayM,CH97+CH97*(F_MR/12)),CH97)</f>
        <v>0</v>
      </c>
      <c r="CJ97" s="20" t="n">
        <f aca="false">IF(CI97&gt;PR_BalDone,CI97+CI97*(F_MR/12)-MIN(F_MortPayM,CI97+CI97*(F_MR/12)),CI97)</f>
        <v>0</v>
      </c>
      <c r="CK97" s="20" t="n">
        <f aca="false">IF(CJ97&gt;PR_BalDone,CJ97+CJ97*(F_MR/12)-MIN(F_MortPayM,CJ97+CJ97*(F_MR/12)),CJ97)</f>
        <v>0</v>
      </c>
      <c r="CL97" s="20" t="n">
        <f aca="false">IF(CK97&gt;PR_BalDone,CK97+CK97*(F_MR/12)-MIN(F_MortPayM,CK97+CK97*(F_MR/12)),CK97)</f>
        <v>0</v>
      </c>
      <c r="CM97" s="20" t="n">
        <f aca="false">IF(CL97&gt;PR_BalDone,CL97+CL97*(F_MR/12)-MIN(F_MortPayM,CL97+CL97*(F_MR/12)),CL97)</f>
        <v>0</v>
      </c>
      <c r="CN97" s="20" t="n">
        <f aca="false">IF(CM97&gt;PR_BalDone,CM97+CM97*(F_MR/12)-MIN(F_MortPayM,CM97+CM97*(F_MR/12)),CM97)</f>
        <v>0</v>
      </c>
      <c r="CO97" s="20" t="n">
        <f aca="false">IF(CN97&gt;PR_BalDone,CN97+CN97*(F_MR/12)-MIN(F_MortPayM,CN97+CN97*(F_MR/12)),CN97)</f>
        <v>0</v>
      </c>
      <c r="CP97" s="20" t="n">
        <f aca="false">IF(CO97&gt;PR_BalDone,CO97+CO97*(F_MR/12)-MIN(F_MortPayM,CO97+CO97*(F_MR/12)),CO97)</f>
        <v>0</v>
      </c>
      <c r="CQ97" s="20" t="n">
        <f aca="false">IF(CP97&gt;PR_BalDone,CP97+CP97*(F_MR/12)-MIN(F_MortPayM,CP97+CP97*(F_MR/12)),CP97)</f>
        <v>0</v>
      </c>
      <c r="CR97" s="20" t="n">
        <f aca="false">IF(CQ97&gt;PR_BalDone,CQ97+CQ97*(F_MR/12)-MIN(F_MortPayM,CQ97+CQ97*(F_MR/12)),CQ97)</f>
        <v>0</v>
      </c>
      <c r="CS97" s="20" t="n">
        <f aca="false">IF(CF97&gt;PR_BalDone,MIN(F_MortPayM,CF97+CF97*(F_MR/12)),0)</f>
        <v>0</v>
      </c>
      <c r="CT97" s="20" t="n">
        <f aca="false">IF(CG97&gt;PR_BalDone,MIN(F_MortPayM,CG97+CG97*(F_MR/12)),0)</f>
        <v>0</v>
      </c>
      <c r="CU97" s="20" t="n">
        <f aca="false">IF(CH97&gt;PR_BalDone,MIN(F_MortPayM,CH97+CH97*(F_MR/12)),0)</f>
        <v>0</v>
      </c>
      <c r="CV97" s="20" t="n">
        <f aca="false">IF(CI97&gt;PR_BalDone,MIN(F_MortPayM,CI97+CI97*(F_MR/12)),0)</f>
        <v>0</v>
      </c>
      <c r="CW97" s="20" t="n">
        <f aca="false">IF(CJ97&gt;PR_BalDone,MIN(F_MortPayM,CJ97+CJ97*(F_MR/12)),0)</f>
        <v>0</v>
      </c>
      <c r="CX97" s="20" t="n">
        <f aca="false">IF(CK97&gt;PR_BalDone,MIN(F_MortPayM,CK97+CK97*(F_MR/12)),0)</f>
        <v>0</v>
      </c>
      <c r="CY97" s="20" t="n">
        <f aca="false">IF(CL97&gt;PR_BalDone,MIN(F_MortPayM,CL97+CL97*(F_MR/12)),0)</f>
        <v>0</v>
      </c>
      <c r="CZ97" s="20" t="n">
        <f aca="false">IF(CM97&gt;PR_BalDone,MIN(F_MortPayM,CM97+CM97*(F_MR/12)),0)</f>
        <v>0</v>
      </c>
      <c r="DA97" s="20" t="n">
        <f aca="false">IF(CN97&gt;PR_BalDone,MIN(F_MortPayM,CN97+CN97*(F_MR/12)),0)</f>
        <v>0</v>
      </c>
      <c r="DB97" s="20" t="n">
        <f aca="false">IF(CO97&gt;PR_BalDone,MIN(F_MortPayM,CO97+CO97*(F_MR/12)),0)</f>
        <v>0</v>
      </c>
      <c r="DC97" s="20" t="n">
        <f aca="false">IF(CP97&gt;PR_BalDone,MIN(F_MortPayM,CP97+CP97*(F_MR/12)),0)</f>
        <v>0</v>
      </c>
      <c r="DD97" s="20" t="n">
        <f aca="false">IF(CQ97&gt;PR_BalDone,MIN(F_MortPayM,CQ97+CQ97*(F_MR/12)),0)</f>
        <v>0</v>
      </c>
      <c r="DE97" s="20" t="n">
        <f aca="false">MAX(0,CR97)</f>
        <v>0</v>
      </c>
      <c r="DF97" s="20" t="n">
        <f aca="false">SUM(CS97:DD97)</f>
        <v>0</v>
      </c>
      <c r="DG97" s="20"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4273</v>
      </c>
      <c r="E1" s="70" t="s">
        <v>4274</v>
      </c>
    </row>
    <row r="2" customFormat="false" ht="15" hidden="false" customHeight="true" outlineLevel="0" collapsed="false">
      <c r="B2" s="71" t="s">
        <v>4275</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74" t="s">
        <v>4276</v>
      </c>
      <c r="C5" s="75" t="s">
        <v>914</v>
      </c>
      <c r="D5" s="75" t="s">
        <v>915</v>
      </c>
      <c r="E5" s="75" t="s">
        <v>4277</v>
      </c>
      <c r="F5" s="76" t="s">
        <v>4278</v>
      </c>
      <c r="G5" s="77"/>
    </row>
    <row r="6" customFormat="false" ht="21.75" hidden="false" customHeight="true" outlineLevel="0" collapsed="false">
      <c r="B6" s="78" t="s">
        <v>972</v>
      </c>
      <c r="C6" s="79"/>
      <c r="D6" s="80" t="s">
        <v>966</v>
      </c>
      <c r="E6" s="81" t="s">
        <v>4279</v>
      </c>
      <c r="F6" s="82" t="n">
        <v>60000</v>
      </c>
      <c r="G6" s="83" t="n">
        <f aca="false">IF(ISBLANK(C6),IF(Has_income=1,In_income,IF(Fill_Example="Yes",F6,"")),C6)</f>
        <v>58000</v>
      </c>
    </row>
    <row r="7" customFormat="false" ht="21.75" hidden="false" customHeight="true" outlineLevel="0" collapsed="false">
      <c r="B7" s="78" t="s">
        <v>974</v>
      </c>
      <c r="C7" s="79"/>
      <c r="D7" s="80" t="s">
        <v>966</v>
      </c>
      <c r="E7" s="81" t="s">
        <v>4280</v>
      </c>
      <c r="F7" s="82" t="n">
        <v>0</v>
      </c>
      <c r="G7" s="83" t="n">
        <f aca="false">IF(ISBLANK(C7),IF(Has_pIncome=1,In_pIncome,IF(Fill_Example="Yes",F7,"")),C7)</f>
        <v>22000</v>
      </c>
    </row>
    <row r="8" customFormat="false" ht="21.75" hidden="false" customHeight="true" outlineLevel="0" collapsed="false">
      <c r="B8" s="78" t="s">
        <v>4281</v>
      </c>
      <c r="C8" s="79"/>
      <c r="D8" s="80" t="s">
        <v>966</v>
      </c>
      <c r="E8" s="81" t="s">
        <v>4282</v>
      </c>
      <c r="F8" s="82" t="n">
        <v>25000</v>
      </c>
      <c r="G8" s="83" t="n">
        <f aca="false">IF(ISBLANK(C8),IF(IFERROR(INDEX('Plan inputs'!$R$111:$R$132,MATCH("home",'Plan inputs'!$N$111:$N$132,0)),0)&gt;0,IFERROR(INDEX('Plan inputs'!$R$111:$R$132,MATCH("home",'Plan inputs'!$N$111:$N$132,0)),0),IF(Fill_Example="Yes",F8,"")),C8)</f>
        <v>25000</v>
      </c>
    </row>
    <row r="9" customFormat="false" ht="21.75" hidden="false" customHeight="true" outlineLevel="0" collapsed="false">
      <c r="B9" s="78" t="s">
        <v>4283</v>
      </c>
      <c r="C9" s="84"/>
      <c r="D9" s="80" t="s">
        <v>4284</v>
      </c>
      <c r="E9" s="81" t="s">
        <v>4285</v>
      </c>
      <c r="F9" s="85" t="s">
        <v>3</v>
      </c>
      <c r="G9" s="86" t="str">
        <f aca="false">IF(ISBLANK(C9),IF(Has_home=1,IF(OR(In_home="Own outright",In_home="Own with mortgage"),"No","Yes"),IF(Fill_Example="Yes",F9,"")),C9)</f>
        <v>No</v>
      </c>
    </row>
    <row r="10" customFormat="false" ht="21.75" hidden="false" customHeight="true" outlineLevel="0" collapsed="false">
      <c r="B10" s="78" t="s">
        <v>4286</v>
      </c>
      <c r="C10" s="87"/>
      <c r="D10" s="80" t="s">
        <v>4287</v>
      </c>
      <c r="E10" s="88"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89" t="n">
        <f aca="false">IF(ISNUMBER(Suggest_Mortgage_Rate),Suggest_Mortgage_Rate,"")</f>
        <v>0.0348</v>
      </c>
      <c r="G10" s="90" t="n">
        <f aca="false">IF(ISBLANK(C10),IF(Fill_Example="Yes",F10,""),C10)</f>
        <v>0.0348</v>
      </c>
    </row>
    <row r="11" customFormat="false" ht="15" hidden="false" customHeight="true" outlineLevel="0" collapsed="false">
      <c r="B11" s="78" t="s">
        <v>4288</v>
      </c>
      <c r="C11" s="91"/>
      <c r="D11" s="80" t="s">
        <v>1004</v>
      </c>
      <c r="E11" s="81" t="s">
        <v>4289</v>
      </c>
      <c r="F11" s="92" t="n">
        <v>30</v>
      </c>
      <c r="G11" s="93" t="n">
        <f aca="false">IF(AND(ISNUMBER(C11),N(C11)&lt;10),"",IF(ISBLANK(C11),IF(Fill_Example="Yes",F11,""),C11))</f>
        <v>30</v>
      </c>
    </row>
    <row r="12" customFormat="false" ht="21.75" hidden="false" customHeight="true" outlineLevel="0" collapsed="false">
      <c r="B12" s="78" t="s">
        <v>4290</v>
      </c>
      <c r="C12" s="79"/>
      <c r="D12" s="80" t="s">
        <v>966</v>
      </c>
      <c r="E12" s="88"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82" t="str">
        <f aca="false">IF(ISNUMBER(Suggest_Buying_Fees),Suggest_Buying_Fees,"")</f>
        <v/>
      </c>
      <c r="G12" s="83" t="n">
        <f aca="false">IF(ISBLANK(C12),IF(AND(Fill_Example="Yes",ISNUMBER(F12)),F12,0),C12)</f>
        <v>0</v>
      </c>
    </row>
    <row r="13" customFormat="false" ht="15" hidden="false" customHeight="true" outlineLevel="0" collapsed="false">
      <c r="B13" s="78" t="s">
        <v>4291</v>
      </c>
      <c r="C13" s="91"/>
      <c r="D13" s="80" t="s">
        <v>1004</v>
      </c>
      <c r="E13" s="81" t="s">
        <v>4292</v>
      </c>
      <c r="F13" s="92" t="n">
        <v>3</v>
      </c>
      <c r="G13" s="93" t="n">
        <f aca="false">IF(ISBLANK(C13),IF(Fill_Example="Yes",F13,""),C13)</f>
        <v>3</v>
      </c>
    </row>
    <row r="14" customFormat="false" ht="15" hidden="false" customHeight="true" outlineLevel="0" collapsed="false">
      <c r="B14" s="78" t="s">
        <v>4293</v>
      </c>
      <c r="C14" s="79"/>
      <c r="D14" s="80" t="s">
        <v>966</v>
      </c>
      <c r="E14" s="81" t="s">
        <v>4294</v>
      </c>
      <c r="F14" s="82" t="n">
        <v>0</v>
      </c>
      <c r="G14" s="83" t="n">
        <f aca="false">IF(ISBLANK(C14),F14,C14)</f>
        <v>0</v>
      </c>
    </row>
    <row r="16" customFormat="false" ht="15" hidden="false" customHeight="true" outlineLevel="0" collapsed="false">
      <c r="B16" s="74" t="s">
        <v>4099</v>
      </c>
      <c r="C16" s="75" t="s">
        <v>329</v>
      </c>
      <c r="D16" s="75" t="s">
        <v>4295</v>
      </c>
      <c r="E16" s="75" t="s">
        <v>4296</v>
      </c>
      <c r="F16" s="77"/>
      <c r="G16" s="77"/>
    </row>
    <row r="17" customFormat="false" ht="17.25" hidden="false" customHeight="true" outlineLevel="0" collapsed="false">
      <c r="B17" s="71" t="s">
        <v>4297</v>
      </c>
      <c r="C17" s="94" t="n">
        <f aca="false">IF(Need_1&lt;&gt;"",Need_1,MIN(Price_By_Deposit,Price_By_Income))</f>
        <v>227272.727272727</v>
      </c>
      <c r="D17" s="80" t="s">
        <v>966</v>
      </c>
      <c r="E17" s="95" t="s">
        <v>4298</v>
      </c>
    </row>
    <row r="18" customFormat="false" ht="17.25" hidden="false" customHeight="true" outlineLevel="0" collapsed="false">
      <c r="B18" s="71" t="s">
        <v>4299</v>
      </c>
      <c r="C18" s="94" t="n">
        <f aca="false">IF(Need_1&lt;&gt;"",Need_1,MIN(Borrow_By_Income,LTV_Max*Home_Price))</f>
        <v>204545.454545455</v>
      </c>
      <c r="D18" s="80" t="s">
        <v>966</v>
      </c>
      <c r="E18" s="95" t="s">
        <v>4300</v>
      </c>
    </row>
    <row r="19" customFormat="false" ht="17.25" hidden="false" customHeight="true" outlineLevel="0" collapsed="false">
      <c r="B19" s="71" t="s">
        <v>4301</v>
      </c>
      <c r="C19" s="94" t="n">
        <f aca="false">IF(Need_2&lt;&gt;"",Need_2,PMT(Interest_Rate/12,Term_Years*12,-Max_Loan))</f>
        <v>916.218435256497</v>
      </c>
      <c r="D19" s="80" t="s">
        <v>966</v>
      </c>
      <c r="E19" s="95" t="s">
        <v>4302</v>
      </c>
    </row>
    <row r="20" customFormat="false" ht="21.75" hidden="false" customHeight="true" outlineLevel="0" collapsed="false">
      <c r="B20" s="71" t="s">
        <v>4303</v>
      </c>
      <c r="C20" s="94" t="n">
        <f aca="false">IF(Need_1&lt;&gt;"",Need_1,SD_Rate_1*MIN(Home_Price,SD_Band_1)+SD_Rate_2*MAX(0,MIN(Home_Price,SD_Band_2)-SD_Band_1)+SD_Rate_3*MAX(0,Home_Price-SD_Band_2))</f>
        <v>2272.72727272727</v>
      </c>
      <c r="D20" s="80" t="s">
        <v>966</v>
      </c>
      <c r="E20" s="95" t="s">
        <v>4304</v>
      </c>
    </row>
    <row r="21" customFormat="false" ht="15" hidden="false" customHeight="true" outlineLevel="0" collapsed="false">
      <c r="B21" s="78" t="s">
        <v>4305</v>
      </c>
      <c r="C21" s="96" t="n">
        <f aca="false">IF(Need_3&lt;&gt;"",Need_3,(Income+Partner_Income)*Income_Multiple)</f>
        <v>280000</v>
      </c>
      <c r="D21" s="80" t="s">
        <v>966</v>
      </c>
      <c r="E21" s="95" t="s">
        <v>4306</v>
      </c>
    </row>
    <row r="22" customFormat="false" ht="15" hidden="false" customHeight="true" outlineLevel="0" collapsed="false">
      <c r="B22" s="78" t="s">
        <v>4307</v>
      </c>
      <c r="C22" s="97" t="n">
        <f aca="false">IF(Need_4&lt;&gt;"",Need_4,IF(First_Time_Buyer="Yes",LTI_FTB,LTI_SSB))</f>
        <v>3.5</v>
      </c>
      <c r="D22" s="80" t="s">
        <v>4308</v>
      </c>
      <c r="E22" s="95" t="s">
        <v>4309</v>
      </c>
    </row>
    <row r="23" customFormat="false" ht="15" hidden="false" customHeight="true" outlineLevel="0" collapsed="false">
      <c r="B23" s="78" t="s">
        <v>4310</v>
      </c>
      <c r="C23" s="96" t="n">
        <f aca="false">IF(Need_5&lt;&gt;"",Need_5,Deposit+Extra_Deposit)</f>
        <v>25000</v>
      </c>
      <c r="D23" s="80" t="s">
        <v>966</v>
      </c>
      <c r="E23" s="95" t="s">
        <v>4311</v>
      </c>
    </row>
    <row r="24" customFormat="false" ht="15" hidden="false" customHeight="true" outlineLevel="0" collapsed="false">
      <c r="B24" s="78" t="s">
        <v>4312</v>
      </c>
      <c r="C24" s="96" t="n">
        <f aca="false">IF(Need_6&lt;&gt;"",Need_6,MAX(0,Total_Deposit-Buying_Fees))</f>
        <v>25000</v>
      </c>
      <c r="D24" s="80" t="s">
        <v>966</v>
      </c>
      <c r="E24" s="95" t="s">
        <v>4313</v>
      </c>
    </row>
    <row r="25" customFormat="false" ht="15" hidden="false" customHeight="true" outlineLevel="0" collapsed="false">
      <c r="B25" s="78" t="s">
        <v>4314</v>
      </c>
      <c r="C25" s="96" t="n">
        <f aca="false">(1-LTV_Max+SD_Rate_1)*SD_Band_1</f>
        <v>110000</v>
      </c>
      <c r="D25" s="80" t="s">
        <v>966</v>
      </c>
      <c r="E25" s="95" t="s">
        <v>4315</v>
      </c>
    </row>
    <row r="26" customFormat="false" ht="15" hidden="false" customHeight="true" outlineLevel="0" collapsed="false">
      <c r="B26" s="78" t="s">
        <v>4316</v>
      </c>
      <c r="C26" s="96" t="n">
        <f aca="false">Cash_At_Band_1+(1-LTV_Max+SD_Rate_2)*(SD_Band_2-SD_Band_1)</f>
        <v>170000</v>
      </c>
      <c r="D26" s="80" t="s">
        <v>966</v>
      </c>
      <c r="E26" s="95" t="s">
        <v>4317</v>
      </c>
    </row>
    <row r="27" customFormat="false" ht="32.25" hidden="false" customHeight="true" outlineLevel="0" collapsed="false">
      <c r="B27" s="78" t="s">
        <v>4318</v>
      </c>
      <c r="C27" s="96" t="n">
        <f aca="false">IF(Need_6&lt;&gt;"",Need_6,IF(Cash_For_Price&lt;=Cash_At_Band_1,Cash_For_Price/(1-LTV_Max+SD_Rate_1),IF(Cash_For_Price&lt;=Cash_At_Band_2,SD_Band_1+(Cash_For_Price-Cash_At_Band_1)/(1-LTV_Max+SD_Rate_2),SD_Band_2+(Cash_For_Price-Cash_At_Band_2)/(1-LTV_Max+SD_Rate_3))))</f>
        <v>227272.727272727</v>
      </c>
      <c r="D27" s="80" t="s">
        <v>966</v>
      </c>
      <c r="E27" s="95" t="s">
        <v>4319</v>
      </c>
    </row>
    <row r="28" customFormat="false" ht="15" hidden="false" customHeight="true" outlineLevel="0" collapsed="false">
      <c r="B28" s="78" t="s">
        <v>4320</v>
      </c>
      <c r="C28" s="96" t="n">
        <f aca="false">IF(Need_1&lt;&gt;"",Need_1,Borrow_By_Income+Cash_For_Price)</f>
        <v>305000</v>
      </c>
      <c r="D28" s="80" t="s">
        <v>966</v>
      </c>
      <c r="E28" s="95" t="s">
        <v>4321</v>
      </c>
    </row>
    <row r="29" customFormat="false" ht="42.75" hidden="false" customHeight="true" outlineLevel="0" collapsed="false">
      <c r="B29" s="78" t="s">
        <v>4322</v>
      </c>
      <c r="C29" s="96" t="n">
        <f aca="false">IF(Need_1&lt;&gt;"",Need_1,IF(Income_Cash&lt;=(1+SD_Rate_1)*SD_Band_1,Income_Cash/(1+SD_Rate_1),IF(Income_Cash&lt;=(1+SD_Rate_1)*SD_Band_1+(1+SD_Rate_2)*(SD_Band_2-SD_Band_1),SD_Band_1+(Income_Cash-(1+SD_Rate_1)*SD_Band_1)/(1+SD_Rate_2),SD_Band_2+(Income_Cash-(1+SD_Rate_1)*SD_Band_1-(1+SD_Rate_2)*(SD_Band_2-SD_Band_1))/(1+SD_Rate_3))))</f>
        <v>301980.198019802</v>
      </c>
      <c r="D29" s="80" t="s">
        <v>966</v>
      </c>
      <c r="E29" s="95" t="s">
        <v>4323</v>
      </c>
    </row>
    <row r="30" customFormat="false" ht="15" hidden="false" customHeight="true" outlineLevel="0" collapsed="false">
      <c r="B30" s="78" t="s">
        <v>4324</v>
      </c>
      <c r="C30" s="98" t="str">
        <f aca="false">IF(Need_1&lt;&gt;"",Need_1,IF(Price_By_Deposit&lt;Price_By_Income,"Your deposit","Your income"))</f>
        <v>Your deposit</v>
      </c>
      <c r="D30" s="80"/>
      <c r="E30" s="95" t="s">
        <v>4325</v>
      </c>
    </row>
    <row r="32" customFormat="false" ht="15" hidden="false" customHeight="true" outlineLevel="0" collapsed="false">
      <c r="B32" s="74" t="s">
        <v>4326</v>
      </c>
      <c r="C32" s="77"/>
      <c r="D32" s="77"/>
      <c r="E32" s="77"/>
      <c r="F32" s="77"/>
      <c r="G32" s="77"/>
    </row>
    <row r="33" customFormat="false" ht="13.5" hidden="false" customHeight="true" outlineLevel="0" collapsed="false">
      <c r="B33" s="99"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99"/>
      <c r="D33" s="99"/>
      <c r="E33" s="99"/>
    </row>
    <row r="34" customFormat="false" ht="27.75" hidden="false" customHeight="true" outlineLevel="0" collapsed="false">
      <c r="B34" s="99" t="s">
        <v>4327</v>
      </c>
      <c r="C34" s="99"/>
      <c r="D34" s="99"/>
      <c r="E34" s="99"/>
    </row>
    <row r="35" customFormat="false" ht="13.5" hidden="false" customHeight="true" outlineLevel="0" collapsed="false">
      <c r="B35" s="99" t="s">
        <v>4328</v>
      </c>
      <c r="C35" s="99"/>
      <c r="D35" s="99"/>
      <c r="E35" s="99"/>
    </row>
    <row r="36" customFormat="false" ht="13.5" hidden="false" customHeight="true" outlineLevel="0" collapsed="false">
      <c r="B36" s="100" t="s">
        <v>4329</v>
      </c>
      <c r="C36" s="100"/>
      <c r="D36" s="100"/>
      <c r="E36" s="100"/>
    </row>
    <row r="37" customFormat="false" ht="13.5" hidden="false" customHeight="true" outlineLevel="0" collapsed="false">
      <c r="B37" s="99" t="s">
        <v>4330</v>
      </c>
      <c r="C37" s="99"/>
      <c r="D37" s="99"/>
      <c r="E37" s="99"/>
    </row>
    <row r="38" customFormat="false" ht="13.5" hidden="false" customHeight="true" outlineLevel="0" collapsed="false">
      <c r="B38" s="99" t="s">
        <v>4331</v>
      </c>
      <c r="C38" s="99"/>
      <c r="D38" s="99"/>
      <c r="E38" s="99"/>
    </row>
    <row r="39" customFormat="false" ht="13.5" hidden="false" customHeight="true" outlineLevel="0" collapsed="false">
      <c r="B39" s="99" t="s">
        <v>4332</v>
      </c>
      <c r="C39" s="99"/>
      <c r="D39" s="99"/>
      <c r="E39" s="99"/>
    </row>
    <row r="40" customFormat="false" ht="13.5" hidden="false" customHeight="true" outlineLevel="0" collapsed="false">
      <c r="B40" s="99" t="s">
        <v>4333</v>
      </c>
      <c r="C40" s="99"/>
      <c r="D40" s="99"/>
      <c r="E40" s="99"/>
    </row>
    <row r="42" customFormat="false" ht="15" hidden="false" customHeight="true" outlineLevel="0" collapsed="false">
      <c r="B42" s="74" t="s">
        <v>4334</v>
      </c>
      <c r="C42" s="77"/>
      <c r="D42" s="77"/>
      <c r="E42" s="77"/>
      <c r="F42" s="77"/>
      <c r="G42" s="77"/>
    </row>
    <row r="43" customFormat="false" ht="15" hidden="false" customHeight="true" outlineLevel="0" collapsed="false">
      <c r="B43" s="78" t="s">
        <v>1673</v>
      </c>
      <c r="C43" s="101" t="str">
        <f aca="false">"Buy a home (deposit goal)"</f>
        <v>Buy a home (deposit goal)</v>
      </c>
      <c r="E43" s="102" t="s">
        <v>4335</v>
      </c>
    </row>
    <row r="44" customFormat="false" ht="15" hidden="false" customHeight="true" outlineLevel="0" collapsed="false">
      <c r="B44" s="78" t="s">
        <v>4336</v>
      </c>
      <c r="C44" s="103" t="n">
        <f aca="false">IF(Need_1&lt;&gt;"",Need_1,ROUND(Home_Price*Min_Deposit_Pct+Stamp_Duty+Buying_Fees,0))</f>
        <v>25000</v>
      </c>
      <c r="E44" s="102" t="s">
        <v>4337</v>
      </c>
    </row>
    <row r="45" customFormat="false" ht="15" hidden="false" customHeight="true" outlineLevel="0" collapsed="false">
      <c r="B45" s="78" t="s">
        <v>4338</v>
      </c>
      <c r="C45" s="103" t="n">
        <f aca="false">IF(Need_5&lt;&gt;"",Need_5,Total_Deposit)</f>
        <v>25000</v>
      </c>
      <c r="E45" s="102" t="s">
        <v>4339</v>
      </c>
    </row>
    <row r="46" customFormat="false" ht="15" hidden="false" customHeight="true" outlineLevel="0" collapsed="false">
      <c r="B46" s="78" t="s">
        <v>4340</v>
      </c>
      <c r="C46" s="104" t="n">
        <f aca="false">IF(Need_7&lt;&gt;"",Need_7,Home_Goal_Years)</f>
        <v>3</v>
      </c>
      <c r="E46" s="102" t="s">
        <v>4341</v>
      </c>
    </row>
    <row r="48" customFormat="false" ht="15" hidden="false" customHeight="true" outlineLevel="0" collapsed="false">
      <c r="B48" s="74" t="s">
        <v>4342</v>
      </c>
      <c r="C48" s="77"/>
      <c r="D48" s="77"/>
      <c r="E48" s="77"/>
      <c r="F48" s="77"/>
      <c r="G48" s="77"/>
    </row>
    <row r="49" customFormat="false" ht="15" hidden="false" customHeight="true" outlineLevel="0" collapsed="false">
      <c r="B49" s="105" t="s">
        <v>4343</v>
      </c>
      <c r="C49" s="105"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
      </c>
    </row>
    <row r="50" customFormat="false" ht="15" hidden="false" customHeight="true" outlineLevel="0" collapsed="false">
      <c r="B50" s="105" t="s">
        <v>4344</v>
      </c>
      <c r="C50" s="105"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
      </c>
    </row>
    <row r="51" customFormat="false" ht="15" hidden="false" customHeight="true" outlineLevel="0" collapsed="false">
      <c r="B51" s="105" t="s">
        <v>4345</v>
      </c>
      <c r="C51" s="105" t="str">
        <f aca="false">IF(Income="","Choose your gross yearly income to see this",IF(Partner_Income="","Choose your partner's gross yearly income to see this",IF(First_Time_Buyer="","Choose your first-time buyer answer to see this",IF(Interest_Rate="","Choose your mortgage rate to see this",""))))</f>
        <v/>
      </c>
    </row>
    <row r="52" customFormat="false" ht="15" hidden="false" customHeight="true" outlineLevel="0" collapsed="false">
      <c r="B52" s="105" t="s">
        <v>4346</v>
      </c>
      <c r="C52" s="105" t="str">
        <f aca="false">IF(First_Time_Buyer="","Choose your first-time buyer answer to see this",IF(Interest_Rate="","Choose your mortgage rate to see this",""))</f>
        <v/>
      </c>
    </row>
    <row r="53" customFormat="false" ht="15" hidden="false" customHeight="true" outlineLevel="0" collapsed="false">
      <c r="B53" s="105" t="s">
        <v>4347</v>
      </c>
      <c r="C53" s="105" t="str">
        <f aca="false">IF(Deposit="","Choose your deposit saved to see this",IF(Interest_Rate="","Choose your mortgage rate to see this",""))</f>
        <v/>
      </c>
    </row>
    <row r="54" customFormat="false" ht="15" hidden="false" customHeight="true" outlineLevel="0" collapsed="false">
      <c r="B54" s="105" t="s">
        <v>4348</v>
      </c>
      <c r="C54" s="105" t="str">
        <f aca="false">IF(Deposit="","Choose your deposit saved to see this",IF(Buying_Fees="","Choose your buying fees to see this",IF(Interest_Rate="","Choose your mortgage rate to see this","")))</f>
        <v/>
      </c>
    </row>
    <row r="55" customFormat="false" ht="15" hidden="false" customHeight="true" outlineLevel="0" collapsed="false">
      <c r="B55" s="105" t="s">
        <v>4349</v>
      </c>
      <c r="C55" s="105" t="str">
        <f aca="false">IF(Home_Goal_Years="","Choose your years until you buy to see this",IF(Interest_Rate="","Choose your mortgage rate to see this",""))</f>
        <v/>
      </c>
    </row>
    <row r="57" customFormat="false" ht="15" hidden="false" customHeight="true" outlineLevel="0" collapsed="false">
      <c r="B57" s="25" t="s">
        <v>4350</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4351</v>
      </c>
      <c r="E1" s="70" t="s">
        <v>4352</v>
      </c>
    </row>
    <row r="2" customFormat="false" ht="15" hidden="false" customHeight="true" outlineLevel="0" collapsed="false">
      <c r="B2" s="71" t="s">
        <v>4353</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4354</v>
      </c>
    </row>
    <row r="5" customFormat="false" ht="15" hidden="false" customHeight="true" outlineLevel="0" collapsed="false">
      <c r="B5" s="74" t="s">
        <v>4355</v>
      </c>
      <c r="C5" s="77"/>
      <c r="D5" s="77"/>
      <c r="E5" s="77"/>
      <c r="F5" s="77"/>
      <c r="G5" s="77"/>
    </row>
    <row r="6" customFormat="false" ht="27.75" hidden="false" customHeight="true" outlineLevel="0" collapsed="false">
      <c r="B6" s="106" t="s">
        <v>4356</v>
      </c>
      <c r="C6" s="106"/>
      <c r="D6" s="106"/>
      <c r="E6" s="106"/>
    </row>
    <row r="7" customFormat="false" ht="15" hidden="false" customHeight="true" outlineLevel="0" collapsed="false">
      <c r="B7" s="78" t="s">
        <v>4357</v>
      </c>
      <c r="C7" s="107"/>
      <c r="D7" s="80" t="s">
        <v>966</v>
      </c>
      <c r="E7" s="81" t="s">
        <v>4358</v>
      </c>
      <c r="G7" s="105" t="s">
        <v>4359</v>
      </c>
    </row>
    <row r="8" customFormat="false" ht="15" hidden="false" customHeight="true" outlineLevel="0" collapsed="false">
      <c r="B8" s="78" t="s">
        <v>3829</v>
      </c>
      <c r="C8" s="108"/>
      <c r="D8" s="80" t="s">
        <v>4287</v>
      </c>
      <c r="E8" s="81" t="s">
        <v>4360</v>
      </c>
      <c r="G8" s="105" t="s">
        <v>4359</v>
      </c>
    </row>
    <row r="9" customFormat="false" ht="15" hidden="false" customHeight="true" outlineLevel="0" collapsed="false">
      <c r="B9" s="78" t="s">
        <v>4361</v>
      </c>
      <c r="C9" s="109"/>
      <c r="D9" s="80" t="s">
        <v>1004</v>
      </c>
      <c r="E9" s="81" t="s">
        <v>4362</v>
      </c>
      <c r="G9" s="105" t="s">
        <v>4359</v>
      </c>
    </row>
    <row r="10" customFormat="false" ht="15" hidden="false" customHeight="true" outlineLevel="0" collapsed="false">
      <c r="B10" s="78" t="s">
        <v>3825</v>
      </c>
      <c r="C10" s="107"/>
      <c r="D10" s="80" t="s">
        <v>966</v>
      </c>
      <c r="E10" s="81" t="s">
        <v>4363</v>
      </c>
      <c r="G10" s="105" t="s">
        <v>4359</v>
      </c>
    </row>
    <row r="11" customFormat="false" ht="15" hidden="false" customHeight="true" outlineLevel="0" collapsed="false">
      <c r="B11" s="78" t="s">
        <v>4364</v>
      </c>
      <c r="C11" s="110"/>
      <c r="D11" s="80" t="s">
        <v>924</v>
      </c>
      <c r="E11" s="81" t="s">
        <v>4365</v>
      </c>
      <c r="G11" s="105" t="s">
        <v>4359</v>
      </c>
    </row>
    <row r="13" customFormat="false" ht="15" hidden="false" customHeight="true" outlineLevel="0" collapsed="false">
      <c r="B13" s="74" t="s">
        <v>4366</v>
      </c>
      <c r="C13" s="75" t="s">
        <v>914</v>
      </c>
      <c r="D13" s="75" t="s">
        <v>915</v>
      </c>
      <c r="E13" s="75" t="s">
        <v>4277</v>
      </c>
      <c r="F13" s="76" t="s">
        <v>4278</v>
      </c>
      <c r="G13" s="77"/>
    </row>
    <row r="14" customFormat="false" ht="21.75" hidden="false" customHeight="true" outlineLevel="0" collapsed="false">
      <c r="B14" s="78" t="s">
        <v>4367</v>
      </c>
      <c r="C14" s="79"/>
      <c r="D14" s="80" t="s">
        <v>966</v>
      </c>
      <c r="E14" s="81" t="s">
        <v>4368</v>
      </c>
      <c r="F14" s="82" t="n">
        <v>300000</v>
      </c>
      <c r="G14" s="83" t="n">
        <f aca="false">IF(ISBLANK(C14),IF(Has_mortBal=1,In_mortBal,IF(Fill_Example="Yes",F14,"")),C14)</f>
        <v>203700</v>
      </c>
    </row>
    <row r="15" customFormat="false" ht="33" hidden="false" customHeight="true" outlineLevel="0" collapsed="false">
      <c r="B15" s="78" t="s">
        <v>3829</v>
      </c>
      <c r="C15" s="87"/>
      <c r="D15" s="80" t="s">
        <v>4287</v>
      </c>
      <c r="E15" s="8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89" t="n">
        <f aca="false">IF(ISNUMBER(Suggest_Mortgage_Rate),Suggest_Mortgage_Rate,"")</f>
        <v>0.0348</v>
      </c>
      <c r="G15" s="90" t="n">
        <f aca="false">IF(ISBLANK(C15),IF(Has_mortRate=1,In_mortRate,IF(Fill_Example="Yes",F15,"")),C15)</f>
        <v>0.0385</v>
      </c>
    </row>
    <row r="16" customFormat="false" ht="21.75" hidden="false" customHeight="true" outlineLevel="0" collapsed="false">
      <c r="B16" s="78" t="s">
        <v>4369</v>
      </c>
      <c r="C16" s="91"/>
      <c r="D16" s="80" t="s">
        <v>1004</v>
      </c>
      <c r="E16" s="81" t="s">
        <v>4370</v>
      </c>
      <c r="F16" s="92" t="n">
        <v>30</v>
      </c>
      <c r="G16" s="93" t="n">
        <f aca="false">IF(AND(ISNUMBER(C16),N(C16)&lt;5),"",IF(ISBLANK(C16),IF(Has_mortYears=1,In_mortYears,IF(Fill_Example="Yes",F16,"")),C16))</f>
        <v>21</v>
      </c>
    </row>
    <row r="17" customFormat="false" ht="15" hidden="false" customHeight="true" outlineLevel="0" collapsed="false">
      <c r="B17" s="78" t="s">
        <v>4371</v>
      </c>
      <c r="C17" s="79"/>
      <c r="D17" s="80" t="s">
        <v>966</v>
      </c>
      <c r="E17" s="81" t="s">
        <v>4372</v>
      </c>
      <c r="F17" s="82" t="n">
        <v>0</v>
      </c>
      <c r="G17" s="83" t="n">
        <f aca="false">IF(ISBLANK(C17),F17,C17)</f>
        <v>0</v>
      </c>
    </row>
    <row r="18" customFormat="false" ht="15" hidden="false" customHeight="true" outlineLevel="0" collapsed="false">
      <c r="B18" s="78" t="s">
        <v>4291</v>
      </c>
      <c r="C18" s="91"/>
      <c r="D18" s="80" t="s">
        <v>1004</v>
      </c>
      <c r="E18" s="81" t="s">
        <v>4292</v>
      </c>
      <c r="F18" s="92" t="n">
        <v>3</v>
      </c>
      <c r="G18" s="93" t="n">
        <f aca="false">IF(ISBLANK(C18),IF(Fill_Example="Yes",F18,""),C18)</f>
        <v>3</v>
      </c>
    </row>
    <row r="19" customFormat="false" ht="15" hidden="false" customHeight="true" outlineLevel="0" collapsed="false">
      <c r="B19" s="78" t="s">
        <v>4373</v>
      </c>
      <c r="C19" s="87"/>
      <c r="D19" s="80" t="s">
        <v>4287</v>
      </c>
      <c r="E19" s="81" t="s">
        <v>4374</v>
      </c>
      <c r="F19" s="89" t="n">
        <v>0</v>
      </c>
      <c r="G19" s="90" t="n">
        <f aca="false">IF(ISBLANK(C19),F19,C19)</f>
        <v>0</v>
      </c>
    </row>
    <row r="21" customFormat="false" ht="15" hidden="false" customHeight="true" outlineLevel="0" collapsed="false">
      <c r="B21" s="74" t="s">
        <v>4375</v>
      </c>
      <c r="C21" s="77"/>
      <c r="D21" s="77"/>
      <c r="E21" s="77"/>
      <c r="F21" s="77"/>
      <c r="G21" s="77"/>
    </row>
    <row r="22" customFormat="false" ht="15" hidden="false" customHeight="true" outlineLevel="0" collapsed="false">
      <c r="B22" s="78" t="s">
        <v>4367</v>
      </c>
      <c r="C22" s="111" t="n">
        <f aca="false">IF(ISBLANK(Stmt_Balance),Loan_Amount,Stmt_Balance)</f>
        <v>203700</v>
      </c>
      <c r="D22" s="112" t="str">
        <f aca="false">IF(ISBLANK(Stmt_Balance),"Your figure","From your statement")</f>
        <v>Your figure</v>
      </c>
      <c r="E22" s="102" t="s">
        <v>4376</v>
      </c>
    </row>
    <row r="23" customFormat="false" ht="15" hidden="false" customHeight="true" outlineLevel="0" collapsed="false">
      <c r="B23" s="78" t="s">
        <v>3829</v>
      </c>
      <c r="C23" s="113" t="n">
        <f aca="false">IF(ISBLANK(Stmt_Rate),Interest_Rate,Stmt_Rate)</f>
        <v>0.0385</v>
      </c>
      <c r="D23" s="112" t="str">
        <f aca="false">IF(ISBLANK(Stmt_Rate),"Your figure","From your statement")</f>
        <v>Your figure</v>
      </c>
      <c r="E23" s="102" t="s">
        <v>4377</v>
      </c>
    </row>
    <row r="24" customFormat="false" ht="15" hidden="false" customHeight="true" outlineLevel="0" collapsed="false">
      <c r="B24" s="78" t="s">
        <v>4378</v>
      </c>
      <c r="C24" s="114" t="n">
        <f aca="false">IF(ISBLANK(Stmt_Term),Term_Years,Stmt_Term)</f>
        <v>21</v>
      </c>
      <c r="D24" s="112" t="str">
        <f aca="false">IF(ISBLANK(Stmt_Term),"Your figure","From your statement")</f>
        <v>Your figure</v>
      </c>
      <c r="E24" s="102" t="s">
        <v>4379</v>
      </c>
    </row>
    <row r="25" customFormat="false" ht="15" hidden="false" customHeight="true" outlineLevel="0" collapsed="false">
      <c r="B25" s="78" t="s">
        <v>4380</v>
      </c>
      <c r="C25" s="111" t="n">
        <f aca="false">IF(ISBLANK(Stmt_Repayment),Actual_Repayment,Stmt_Repayment)</f>
        <v>0</v>
      </c>
      <c r="D25" s="112" t="str">
        <f aca="false">IF(ISBLANK(Stmt_Repayment),"Your figure","From your statement")</f>
        <v>Your figure</v>
      </c>
      <c r="E25" s="102" t="s">
        <v>4381</v>
      </c>
    </row>
    <row r="26" customFormat="false" ht="21.75" hidden="false" customHeight="true" outlineLevel="0" collapsed="false">
      <c r="B26" s="78" t="s">
        <v>4382</v>
      </c>
      <c r="C26" s="98" t="str">
        <f aca="true">IF(ISBLANK(Stmt_Statement_Date),"",IF(TODAY()-Stmt_Statement_Date&gt;Statement_Max_Age_Days,"Needs a look: statement is more than 12 months old","Up to date"))</f>
        <v/>
      </c>
      <c r="D26" s="80"/>
      <c r="E26" s="95" t="s">
        <v>4383</v>
      </c>
    </row>
    <row r="28" customFormat="false" ht="15" hidden="false" customHeight="true" outlineLevel="0" collapsed="false">
      <c r="B28" s="74" t="s">
        <v>4099</v>
      </c>
      <c r="C28" s="75" t="s">
        <v>329</v>
      </c>
      <c r="D28" s="75" t="s">
        <v>4295</v>
      </c>
      <c r="E28" s="75" t="s">
        <v>4296</v>
      </c>
      <c r="F28" s="77"/>
      <c r="G28" s="77"/>
    </row>
    <row r="29" customFormat="false" ht="17.25" hidden="false" customHeight="true" outlineLevel="0" collapsed="false">
      <c r="B29" s="71" t="s">
        <v>3825</v>
      </c>
      <c r="C29" s="94" t="n">
        <f aca="false">IF(Need_1&lt;&gt;"",Need_1,IF(Used_Actual_Repayment&gt;0,Used_Actual_Repayment,Formula_Repayment))</f>
        <v>1179.88957592648</v>
      </c>
      <c r="D29" s="80" t="s">
        <v>966</v>
      </c>
      <c r="E29" s="95" t="s">
        <v>4384</v>
      </c>
    </row>
    <row r="30" customFormat="false" ht="23.25" hidden="false" customHeight="true" outlineLevel="0" collapsed="false">
      <c r="B30" s="71" t="s">
        <v>4385</v>
      </c>
      <c r="C30" s="115" t="n">
        <f aca="false">IF(Need_1&lt;&gt;"",Need_1,IF(Monthly_Repayment&lt;=Used_Loan_Amount*Monthly_Rate,"Never",ROUNDUP(ROUND(NPER(Monthly_Rate,-Monthly_Repayment,Used_Loan_Amount),6),0)))</f>
        <v>252</v>
      </c>
      <c r="D30" s="116"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21 years</v>
      </c>
      <c r="E30" s="95" t="s">
        <v>4386</v>
      </c>
    </row>
    <row r="31" customFormat="false" ht="17.25" hidden="false" customHeight="true" outlineLevel="0" collapsed="false">
      <c r="B31" s="71" t="s">
        <v>4387</v>
      </c>
      <c r="C31" s="94" t="n">
        <f aca="false">IF(Need_1&lt;&gt;"",Need_1,IF(Months_To_Pay="Never","—",Monthly_Repayment*(Months_To_Pay-1)+Final_Payment-Used_Loan_Amount))</f>
        <v>93632.1731334799</v>
      </c>
      <c r="D31" s="80" t="s">
        <v>966</v>
      </c>
      <c r="E31" s="95" t="s">
        <v>4388</v>
      </c>
    </row>
    <row r="32" customFormat="false" ht="15" hidden="false" customHeight="true" outlineLevel="0" collapsed="false">
      <c r="B32" s="78" t="s">
        <v>4389</v>
      </c>
      <c r="C32" s="96" t="n">
        <f aca="false">IF(Need_1&lt;&gt;"",Need_1,IF(Months_To_Pay="Never","—",Used_Loan_Amount+Total_Interest))</f>
        <v>297332.17313348</v>
      </c>
      <c r="D32" s="80" t="s">
        <v>966</v>
      </c>
      <c r="E32" s="95" t="s">
        <v>4390</v>
      </c>
    </row>
    <row r="33" customFormat="false" ht="15" hidden="false" customHeight="true" outlineLevel="0" collapsed="false">
      <c r="B33" s="78" t="s">
        <v>4391</v>
      </c>
      <c r="C33" s="117" t="n">
        <f aca="false">IF(Need_2&lt;&gt;"",Need_2,Used_Interest_Rate/12)</f>
        <v>0.00320833333333333</v>
      </c>
      <c r="D33" s="80"/>
      <c r="E33" s="95" t="s">
        <v>4392</v>
      </c>
    </row>
    <row r="34" customFormat="false" ht="15" hidden="false" customHeight="true" outlineLevel="0" collapsed="false">
      <c r="B34" s="78" t="s">
        <v>4393</v>
      </c>
      <c r="C34" s="96" t="n">
        <f aca="false">IF(Need_3&lt;&gt;"",Need_3,PMT(Monthly_Rate,Used_Term_Years*12,-Used_Loan_Amount))</f>
        <v>1179.88957592648</v>
      </c>
      <c r="D34" s="80" t="s">
        <v>966</v>
      </c>
      <c r="E34" s="95" t="s">
        <v>4394</v>
      </c>
    </row>
    <row r="35" customFormat="false" ht="21.75" hidden="false" customHeight="true" outlineLevel="0" collapsed="false">
      <c r="B35" s="78" t="s">
        <v>4395</v>
      </c>
      <c r="C35" s="96" t="n">
        <f aca="false">IF(Need_1&lt;&gt;"",Need_1,IF(Months_To_Pay="Never","—",-FV(Monthly_Rate,Months_To_Pay-1,-Monthly_Repayment,Used_Loan_Amount)*(1+Monthly_Rate)))</f>
        <v>1179.88957593347</v>
      </c>
      <c r="D35" s="80" t="s">
        <v>966</v>
      </c>
      <c r="E35" s="95" t="s">
        <v>4396</v>
      </c>
    </row>
    <row r="36" customFormat="false" ht="15" hidden="false" customHeight="true" outlineLevel="0" collapsed="false">
      <c r="B36" s="78" t="s">
        <v>4397</v>
      </c>
      <c r="C36" s="118" t="n">
        <f aca="false">IF(Need_2&lt;&gt;"",Need_2,MAX(0,Used_Interest_Rate+Rate_Change))</f>
        <v>0.0385</v>
      </c>
      <c r="D36" s="80" t="s">
        <v>4287</v>
      </c>
      <c r="E36" s="95" t="s">
        <v>4398</v>
      </c>
    </row>
    <row r="37" customFormat="false" ht="17.25" hidden="false" customHeight="true" outlineLevel="0" collapsed="false">
      <c r="B37" s="71" t="s">
        <v>4399</v>
      </c>
      <c r="C37" s="94" t="n">
        <f aca="false">IF(Need_1&lt;&gt;"",Need_1,Monthly_Repayment+PMT(New_Rate/12,Used_Term_Years*12,-Used_Loan_Amount)-Formula_Repayment)</f>
        <v>1179.88957592648</v>
      </c>
      <c r="D37" s="80" t="s">
        <v>966</v>
      </c>
      <c r="E37" s="95" t="s">
        <v>4400</v>
      </c>
    </row>
    <row r="38" customFormat="false" ht="15" hidden="false" customHeight="true" outlineLevel="0" collapsed="false">
      <c r="B38" s="78" t="s">
        <v>4401</v>
      </c>
      <c r="C38" s="96" t="n">
        <f aca="false">IF(Need_1&lt;&gt;"",Need_1,(Repayment_If_Changed-Monthly_Repayment)*12)</f>
        <v>0</v>
      </c>
      <c r="D38" s="80" t="s">
        <v>966</v>
      </c>
      <c r="E38" s="95" t="s">
        <v>4402</v>
      </c>
    </row>
    <row r="40" customFormat="false" ht="15" hidden="false" customHeight="true" outlineLevel="0" collapsed="false">
      <c r="B40" s="74" t="s">
        <v>4326</v>
      </c>
      <c r="C40" s="77"/>
      <c r="D40" s="77"/>
      <c r="E40" s="77"/>
      <c r="F40" s="77"/>
      <c r="G40" s="77"/>
    </row>
    <row r="41" customFormat="false" ht="13.5" hidden="false" customHeight="true" outlineLevel="0" collapsed="false">
      <c r="B41" s="99" t="s">
        <v>4403</v>
      </c>
      <c r="C41" s="99"/>
      <c r="D41" s="99"/>
      <c r="E41" s="99"/>
    </row>
    <row r="42" customFormat="false" ht="27.75" hidden="false" customHeight="true" outlineLevel="0" collapsed="false">
      <c r="B42" s="99" t="s">
        <v>4404</v>
      </c>
      <c r="C42" s="99"/>
      <c r="D42" s="99"/>
      <c r="E42" s="99"/>
    </row>
    <row r="43" customFormat="false" ht="27.75" hidden="false" customHeight="true" outlineLevel="0" collapsed="false">
      <c r="B43" s="99" t="s">
        <v>4405</v>
      </c>
      <c r="C43" s="99"/>
      <c r="D43" s="99"/>
      <c r="E43" s="99"/>
    </row>
    <row r="44" customFormat="false" ht="13.5" hidden="false" customHeight="true" outlineLevel="0" collapsed="false">
      <c r="B44" s="100" t="s">
        <v>4329</v>
      </c>
      <c r="C44" s="100"/>
      <c r="D44" s="100"/>
      <c r="E44" s="100"/>
    </row>
    <row r="45" customFormat="false" ht="27.75" hidden="false" customHeight="true" outlineLevel="0" collapsed="false">
      <c r="B45" s="99" t="s">
        <v>4406</v>
      </c>
      <c r="C45" s="99"/>
      <c r="D45" s="99"/>
      <c r="E45" s="99"/>
    </row>
    <row r="46" customFormat="false" ht="13.5" hidden="false" customHeight="true" outlineLevel="0" collapsed="false">
      <c r="B46" s="99" t="s">
        <v>4407</v>
      </c>
      <c r="C46" s="99"/>
      <c r="D46" s="99"/>
      <c r="E46" s="99"/>
    </row>
    <row r="47" customFormat="false" ht="27.75" hidden="false" customHeight="true" outlineLevel="0" collapsed="false">
      <c r="B47" s="99" t="s">
        <v>4408</v>
      </c>
      <c r="C47" s="99"/>
      <c r="D47" s="99"/>
      <c r="E47" s="99"/>
    </row>
    <row r="48" customFormat="false" ht="13.5" hidden="false" customHeight="true" outlineLevel="0" collapsed="false">
      <c r="B48" s="99" t="s">
        <v>4333</v>
      </c>
      <c r="C48" s="99"/>
      <c r="D48" s="99"/>
      <c r="E48" s="99"/>
    </row>
    <row r="50" customFormat="false" ht="15" hidden="false" customHeight="true" outlineLevel="0" collapsed="false">
      <c r="B50" s="74" t="s">
        <v>4334</v>
      </c>
      <c r="C50" s="77"/>
      <c r="D50" s="77"/>
      <c r="E50" s="77"/>
      <c r="F50" s="77"/>
      <c r="G50" s="77"/>
    </row>
    <row r="51" customFormat="false" ht="15" hidden="false" customHeight="true" outlineLevel="0" collapsed="false">
      <c r="B51" s="78" t="s">
        <v>1673</v>
      </c>
      <c r="C51" s="101" t="str">
        <f aca="false">"Buy a home (deposit goal)"</f>
        <v>Buy a home (deposit goal)</v>
      </c>
      <c r="E51" s="102" t="s">
        <v>4335</v>
      </c>
    </row>
    <row r="52" customFormat="false" ht="15" hidden="false" customHeight="true" outlineLevel="0" collapsed="false">
      <c r="B52" s="78" t="s">
        <v>4409</v>
      </c>
      <c r="C52" s="103" t="n">
        <f aca="false">IF(Need_4&lt;&gt;"",Need_4,ROUND(Used_Loan_Amount*(1-LTV_Max)/LTV_Max,0))</f>
        <v>22633</v>
      </c>
      <c r="E52" s="102" t="s">
        <v>4410</v>
      </c>
    </row>
    <row r="53" customFormat="false" ht="15" hidden="false" customHeight="true" outlineLevel="0" collapsed="false">
      <c r="B53" s="78" t="s">
        <v>4340</v>
      </c>
      <c r="C53" s="104" t="n">
        <f aca="false">IF(Need_5&lt;&gt;"",Need_5,Home_Goal_Years)</f>
        <v>3</v>
      </c>
      <c r="E53" s="102" t="s">
        <v>4341</v>
      </c>
    </row>
    <row r="54" customFormat="false" ht="13.5" hidden="false" customHeight="true" outlineLevel="0" collapsed="false">
      <c r="B54" s="106"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106"/>
      <c r="D54" s="106"/>
      <c r="E54" s="106"/>
    </row>
    <row r="56" customFormat="false" ht="15" hidden="false" customHeight="true" outlineLevel="0" collapsed="false">
      <c r="B56" s="74" t="s">
        <v>4342</v>
      </c>
      <c r="C56" s="77"/>
      <c r="D56" s="77"/>
      <c r="E56" s="77"/>
      <c r="F56" s="77"/>
      <c r="G56" s="77"/>
    </row>
    <row r="57" customFormat="false" ht="15" hidden="false" customHeight="true" outlineLevel="0" collapsed="false">
      <c r="B57" s="105" t="s">
        <v>4411</v>
      </c>
      <c r="C57" s="105"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
      </c>
    </row>
    <row r="58" customFormat="false" ht="15" hidden="false" customHeight="true" outlineLevel="0" collapsed="false">
      <c r="B58" s="105" t="s">
        <v>4412</v>
      </c>
      <c r="C58" s="105" t="str">
        <f aca="false">IF(NOT(ISNUMBER(Used_Interest_Rate)),IF(Used_Interest_Rate="",IF(Interest_Rate="","Choose your mortgage rate to see this",""),Used_Interest_Rate),"")</f>
        <v/>
      </c>
    </row>
    <row r="59" customFormat="false" ht="15" hidden="false" customHeight="true" outlineLevel="0" collapsed="false">
      <c r="B59" s="105" t="s">
        <v>4413</v>
      </c>
      <c r="C59" s="105"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
      </c>
    </row>
    <row r="60" customFormat="false" ht="15" hidden="false" customHeight="true" outlineLevel="0" collapsed="false">
      <c r="B60" s="105" t="s">
        <v>4414</v>
      </c>
      <c r="C60" s="105" t="str">
        <f aca="false">IF(NOT(ISNUMBER(Used_Loan_Amount)),IF(Used_Loan_Amount="",IF(Loan_Amount="","Choose your mortgage amount to see this",""),Used_Loan_Amount),IF(NOT(ISNUMBER(Used_Interest_Rate)),IF(Used_Interest_Rate="",IF(Interest_Rate="","Choose your mortgage rate to see this",""),Used_Interest_Rate),""))</f>
        <v/>
      </c>
    </row>
    <row r="61" customFormat="false" ht="15" hidden="false" customHeight="true" outlineLevel="0" collapsed="false">
      <c r="B61" s="105" t="s">
        <v>4349</v>
      </c>
      <c r="C61" s="105" t="str">
        <f aca="false">IF(Home_Goal_Years="","Choose your years until you buy to see this",IF(NOT(ISNUMBER(Used_Interest_Rate)),IF(Used_Interest_Rate="",IF(Interest_Rate="","Choose your mortgage rate to see this",""),Used_Interest_Rate),""))</f>
        <v/>
      </c>
    </row>
    <row r="63" customFormat="false" ht="15" hidden="false" customHeight="true" outlineLevel="0" collapsed="false">
      <c r="B63" s="25" t="s">
        <v>4415</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4416</v>
      </c>
      <c r="E1" s="70" t="s">
        <v>4417</v>
      </c>
    </row>
    <row r="2" customFormat="false" ht="15" hidden="false" customHeight="true" outlineLevel="0" collapsed="false">
      <c r="B2" s="71" t="s">
        <v>4418</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4419</v>
      </c>
    </row>
    <row r="5" customFormat="false" ht="15" hidden="false" customHeight="true" outlineLevel="0" collapsed="false">
      <c r="B5" s="74" t="s">
        <v>4276</v>
      </c>
      <c r="C5" s="75" t="s">
        <v>914</v>
      </c>
      <c r="D5" s="75" t="s">
        <v>915</v>
      </c>
      <c r="E5" s="75" t="s">
        <v>4277</v>
      </c>
      <c r="F5" s="76" t="s">
        <v>4278</v>
      </c>
      <c r="G5" s="77"/>
    </row>
    <row r="6" customFormat="false" ht="15" hidden="false" customHeight="true" outlineLevel="0" collapsed="false">
      <c r="B6" s="78" t="s">
        <v>4420</v>
      </c>
      <c r="C6" s="79"/>
      <c r="D6" s="80" t="s">
        <v>966</v>
      </c>
      <c r="E6" s="81" t="s">
        <v>4421</v>
      </c>
      <c r="F6" s="82" t="n">
        <v>350000</v>
      </c>
      <c r="G6" s="83" t="n">
        <f aca="false">IF(ISBLANK(C6),IF(Fill_Example="Yes",F6,""),C6)</f>
        <v>350000</v>
      </c>
    </row>
    <row r="7" customFormat="false" ht="21.75" hidden="false" customHeight="true" outlineLevel="0" collapsed="false">
      <c r="B7" s="78" t="s">
        <v>4422</v>
      </c>
      <c r="C7" s="87"/>
      <c r="D7" s="80" t="s">
        <v>4287</v>
      </c>
      <c r="E7" s="81"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89" t="n">
        <v>0.1</v>
      </c>
      <c r="G7" s="90" t="n">
        <f aca="false">IF(ISBLANK(C7),IF(Fill_Example="Yes",F7,""),C7)</f>
        <v>0.1</v>
      </c>
    </row>
    <row r="8" customFormat="false" ht="21.75" hidden="false" customHeight="true" outlineLevel="0" collapsed="false">
      <c r="B8" s="78" t="s">
        <v>4290</v>
      </c>
      <c r="C8" s="79"/>
      <c r="D8" s="80" t="s">
        <v>966</v>
      </c>
      <c r="E8" s="88"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82" t="str">
        <f aca="false">IF(ISNUMBER(Suggest_Buying_Fees),Suggest_Buying_Fees,"")</f>
        <v/>
      </c>
      <c r="G8" s="83" t="n">
        <f aca="false">IF(ISBLANK(C8),IF(AND(Fill_Example="Yes",ISNUMBER(F8)),F8,0),C8)</f>
        <v>0</v>
      </c>
    </row>
    <row r="9" customFormat="false" ht="21.75" hidden="false" customHeight="true" outlineLevel="0" collapsed="false">
      <c r="B9" s="78" t="s">
        <v>1139</v>
      </c>
      <c r="C9" s="79"/>
      <c r="D9" s="80" t="s">
        <v>966</v>
      </c>
      <c r="E9" s="81" t="s">
        <v>4423</v>
      </c>
      <c r="F9" s="82" t="n">
        <v>12000</v>
      </c>
      <c r="G9" s="83" t="n">
        <f aca="false">IF(ISBLANK(C9),IF(IFERROR(INDEX('Plan inputs'!$R$111:$R$132,MATCH("home",'Plan inputs'!$N$111:$N$132,0)),0)&gt;0,IFERROR(INDEX('Plan inputs'!$R$111:$R$132,MATCH("home",'Plan inputs'!$N$111:$N$132,0)),0),IF(Fill_Example="Yes",F9,"")),C9)</f>
        <v>12000</v>
      </c>
    </row>
    <row r="10" customFormat="false" ht="15" hidden="false" customHeight="true" outlineLevel="0" collapsed="false">
      <c r="B10" s="78" t="s">
        <v>4424</v>
      </c>
      <c r="C10" s="79"/>
      <c r="D10" s="80" t="s">
        <v>966</v>
      </c>
      <c r="E10" s="81" t="s">
        <v>4425</v>
      </c>
      <c r="F10" s="82" t="n">
        <v>800</v>
      </c>
      <c r="G10" s="83" t="n">
        <f aca="false">IF(AND(ISNUMBER(C10),N(C10)&lt;50),"",IF(ISBLANK(C10),IF(Fill_Example="Yes",F10,""),C10))</f>
        <v>800</v>
      </c>
    </row>
    <row r="11" customFormat="false" ht="15" hidden="false" customHeight="true" outlineLevel="0" collapsed="false">
      <c r="B11" s="78" t="s">
        <v>4426</v>
      </c>
      <c r="C11" s="79"/>
      <c r="D11" s="80" t="s">
        <v>966</v>
      </c>
      <c r="E11" s="81" t="s">
        <v>4427</v>
      </c>
      <c r="F11" s="82" t="n">
        <v>0</v>
      </c>
      <c r="G11" s="83" t="n">
        <f aca="false">IF(ISBLANK(C11),F11,C11)</f>
        <v>0</v>
      </c>
    </row>
    <row r="13" customFormat="false" ht="15" hidden="false" customHeight="true" outlineLevel="0" collapsed="false">
      <c r="B13" s="74" t="s">
        <v>4099</v>
      </c>
      <c r="C13" s="75" t="s">
        <v>329</v>
      </c>
      <c r="D13" s="75" t="s">
        <v>4295</v>
      </c>
      <c r="E13" s="75" t="s">
        <v>4296</v>
      </c>
      <c r="F13" s="77"/>
      <c r="G13" s="77"/>
    </row>
    <row r="14" customFormat="false" ht="23.25" hidden="false" customHeight="true" outlineLevel="0" collapsed="false">
      <c r="B14" s="71" t="s">
        <v>4428</v>
      </c>
      <c r="C14" s="115" t="n">
        <f aca="false">IF(Need_1&lt;&gt;"",Need_1,IF(Still_To_Save=0,0,ROUNDUP(Still_To_Save/(Monthly_Saving+Extra_Saving),0)))</f>
        <v>34</v>
      </c>
      <c r="D14" s="116"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2 years 10 months</v>
      </c>
      <c r="E14" s="95" t="s">
        <v>4429</v>
      </c>
    </row>
    <row r="15" customFormat="false" ht="17.25" hidden="false" customHeight="true" outlineLevel="0" collapsed="false">
      <c r="B15" s="71" t="s">
        <v>4430</v>
      </c>
      <c r="C15" s="94" t="n">
        <f aca="false">IF(Need_2&lt;&gt;"",Need_2,Deposit_Needed+Stamp_Duty+Buying_Fees)</f>
        <v>38500</v>
      </c>
      <c r="D15" s="80" t="s">
        <v>966</v>
      </c>
      <c r="E15" s="95" t="s">
        <v>4431</v>
      </c>
    </row>
    <row r="16" customFormat="false" ht="17.25" hidden="false" customHeight="true" outlineLevel="0" collapsed="false">
      <c r="B16" s="71" t="s">
        <v>4432</v>
      </c>
      <c r="C16" s="94" t="n">
        <f aca="false">IF(Need_3&lt;&gt;"",Need_3,MAX(0,Total_Needed-Saved))</f>
        <v>26500</v>
      </c>
      <c r="D16" s="80" t="s">
        <v>966</v>
      </c>
      <c r="E16" s="95" t="s">
        <v>4433</v>
      </c>
    </row>
    <row r="17" customFormat="false" ht="15" hidden="false" customHeight="true" outlineLevel="0" collapsed="false">
      <c r="B17" s="78" t="s">
        <v>4434</v>
      </c>
      <c r="C17" s="96" t="n">
        <f aca="false">IF(Need_4&lt;&gt;"",Need_4,Home_Price*Deposit_Pct)</f>
        <v>35000</v>
      </c>
      <c r="D17" s="80" t="s">
        <v>966</v>
      </c>
      <c r="E17" s="95" t="s">
        <v>4435</v>
      </c>
    </row>
    <row r="18" customFormat="false" ht="21.75" hidden="false" customHeight="true" outlineLevel="0" collapsed="false">
      <c r="B18" s="78" t="s">
        <v>84</v>
      </c>
      <c r="C18" s="96" t="n">
        <f aca="false">IF(Need_5&lt;&gt;"",Need_5,SD_Rate_1*MIN(Home_Price,SD_Band_1)+SD_Rate_2*MAX(0,MIN(Home_Price,SD_Band_2)-SD_Band_1)+SD_Rate_3*MAX(0,Home_Price-SD_Band_2))</f>
        <v>3500</v>
      </c>
      <c r="D18" s="80" t="s">
        <v>966</v>
      </c>
      <c r="E18" s="95" t="s">
        <v>4304</v>
      </c>
    </row>
    <row r="20" customFormat="false" ht="15" hidden="false" customHeight="true" outlineLevel="0" collapsed="false">
      <c r="B20" s="74" t="s">
        <v>4326</v>
      </c>
      <c r="C20" s="77"/>
      <c r="D20" s="77"/>
      <c r="E20" s="77"/>
      <c r="F20" s="77"/>
      <c r="G20" s="77"/>
    </row>
    <row r="21" customFormat="false" ht="13.5" hidden="false" customHeight="true" outlineLevel="0" collapsed="false">
      <c r="B21" s="99" t="s">
        <v>4436</v>
      </c>
      <c r="C21" s="99"/>
      <c r="D21" s="99"/>
      <c r="E21" s="99"/>
    </row>
    <row r="22" customFormat="false" ht="13.5" hidden="false" customHeight="true" outlineLevel="0" collapsed="false">
      <c r="B22" s="99" t="s">
        <v>4437</v>
      </c>
      <c r="C22" s="99"/>
      <c r="D22" s="99"/>
      <c r="E22" s="99"/>
    </row>
    <row r="23" customFormat="false" ht="13.5" hidden="false" customHeight="true" outlineLevel="0" collapsed="false">
      <c r="B23" s="100" t="s">
        <v>4329</v>
      </c>
      <c r="C23" s="100"/>
      <c r="D23" s="100"/>
      <c r="E23" s="100"/>
    </row>
    <row r="24" customFormat="false" ht="13.5" hidden="false" customHeight="true" outlineLevel="0" collapsed="false">
      <c r="B24" s="99" t="str">
        <f aca="false">"• Deposit % "&amp;"starts at "&amp;TEXT(Min_Deposit_Pct,"0%")&amp;", the Central Bank minimum ("&amp;TEXT(LTV_Max,"0%")&amp;" loan-to-value)."</f>
        <v>• Deposit % starts at 10%, the Central Bank minimum (90% loan-to-value).</v>
      </c>
      <c r="C24" s="99"/>
      <c r="D24" s="99"/>
      <c r="E24" s="99"/>
    </row>
    <row r="25" customFormat="false" ht="13.5" hidden="false" customHeight="true" outlineLevel="0" collapsed="false">
      <c r="B25" s="99" t="s">
        <v>4438</v>
      </c>
      <c r="C25" s="99"/>
      <c r="D25" s="99"/>
      <c r="E25" s="99"/>
    </row>
    <row r="26" customFormat="false" ht="13.5" hidden="false" customHeight="true" outlineLevel="0" collapsed="false">
      <c r="B26" s="99" t="s">
        <v>4439</v>
      </c>
      <c r="C26" s="99"/>
      <c r="D26" s="99"/>
      <c r="E26" s="99"/>
    </row>
    <row r="28" customFormat="false" ht="15" hidden="false" customHeight="true" outlineLevel="0" collapsed="false">
      <c r="B28" s="74" t="s">
        <v>4334</v>
      </c>
      <c r="C28" s="77"/>
      <c r="D28" s="77"/>
      <c r="E28" s="77"/>
      <c r="F28" s="77"/>
      <c r="G28" s="77"/>
    </row>
    <row r="29" customFormat="false" ht="15" hidden="false" customHeight="true" outlineLevel="0" collapsed="false">
      <c r="B29" s="78" t="s">
        <v>1673</v>
      </c>
      <c r="C29" s="101" t="str">
        <f aca="false">"Home deposit"</f>
        <v>Home deposit</v>
      </c>
      <c r="E29" s="102" t="s">
        <v>4440</v>
      </c>
    </row>
    <row r="30" customFormat="false" ht="15" hidden="false" customHeight="true" outlineLevel="0" collapsed="false">
      <c r="B30" s="78" t="s">
        <v>4441</v>
      </c>
      <c r="C30" s="103" t="n">
        <f aca="false">IF(Need_2&lt;&gt;"",Need_2,ROUND(Total_Needed,0))</f>
        <v>38500</v>
      </c>
      <c r="E30" s="102" t="s">
        <v>4442</v>
      </c>
    </row>
    <row r="31" customFormat="false" ht="15" hidden="false" customHeight="true" outlineLevel="0" collapsed="false">
      <c r="B31" s="78" t="s">
        <v>4338</v>
      </c>
      <c r="C31" s="103" t="n">
        <f aca="false">IF(Need_6&lt;&gt;"",Need_6,Saved)</f>
        <v>12000</v>
      </c>
      <c r="E31" s="102" t="s">
        <v>4443</v>
      </c>
    </row>
    <row r="32" customFormat="false" ht="15" hidden="false" customHeight="true" outlineLevel="0" collapsed="false">
      <c r="B32" s="78" t="s">
        <v>4340</v>
      </c>
      <c r="C32" s="104" t="n">
        <f aca="false">IF(Need_1&lt;&gt;"",Need_1,MAX(1,ROUNDUP(Months_To_Deposit/12,0)))</f>
        <v>3</v>
      </c>
      <c r="E32" s="102" t="s">
        <v>4444</v>
      </c>
    </row>
    <row r="34" customFormat="false" ht="15" hidden="false" customHeight="true" outlineLevel="0" collapsed="false">
      <c r="B34" s="74" t="s">
        <v>4342</v>
      </c>
      <c r="C34" s="77"/>
      <c r="D34" s="77"/>
      <c r="E34" s="77"/>
      <c r="F34" s="77"/>
      <c r="G34" s="77"/>
    </row>
    <row r="35" customFormat="false" ht="15" hidden="false" customHeight="true" outlineLevel="0" collapsed="false">
      <c r="B35" s="105" t="s">
        <v>4445</v>
      </c>
      <c r="C35" s="105" t="str">
        <f aca="false">IF(Home_Price="","Choose your home price to see this",IF(Deposit_Pct="","Choose your deposit % to see this",IF(Buying_Fees="","Choose your buying fees to see this",IF(Saved="","Choose your saved so far to see this",IF(Monthly_Saving="","Choose your monthly saving to see this","")))))</f>
        <v/>
      </c>
    </row>
    <row r="36" customFormat="false" ht="15" hidden="false" customHeight="true" outlineLevel="0" collapsed="false">
      <c r="B36" s="105" t="s">
        <v>4446</v>
      </c>
      <c r="C36" s="105" t="str">
        <f aca="false">IF(Home_Price="","Choose your home price to see this",IF(Deposit_Pct="","Choose your deposit % to see this",IF(Buying_Fees="","Choose your buying fees to see this","")))</f>
        <v/>
      </c>
    </row>
    <row r="37" customFormat="false" ht="15" hidden="false" customHeight="true" outlineLevel="0" collapsed="false">
      <c r="B37" s="105" t="s">
        <v>4447</v>
      </c>
      <c r="C37" s="105" t="str">
        <f aca="false">IF(Home_Price="","Choose your home price to see this",IF(Deposit_Pct="","Choose your deposit % to see this",IF(Buying_Fees="","Choose your buying fees to see this",IF(Saved="","Choose your saved so far to see this",""))))</f>
        <v/>
      </c>
    </row>
    <row r="38" customFormat="false" ht="15" hidden="false" customHeight="true" outlineLevel="0" collapsed="false">
      <c r="B38" s="105" t="s">
        <v>4448</v>
      </c>
      <c r="C38" s="105" t="str">
        <f aca="false">IF(Home_Price="","Choose your home price to see this",IF(Deposit_Pct="","Choose your deposit % to see this",""))</f>
        <v/>
      </c>
    </row>
    <row r="39" customFormat="false" ht="15" hidden="false" customHeight="true" outlineLevel="0" collapsed="false">
      <c r="B39" s="105" t="s">
        <v>4449</v>
      </c>
      <c r="C39" s="105" t="str">
        <f aca="false">IF(Home_Price="","Choose your home price to see this","")</f>
        <v/>
      </c>
    </row>
    <row r="40" customFormat="false" ht="15" hidden="false" customHeight="true" outlineLevel="0" collapsed="false">
      <c r="B40" s="105" t="s">
        <v>4450</v>
      </c>
      <c r="C40" s="105" t="str">
        <f aca="false">IF(Saved="","Choose your saved so far to see this","")</f>
        <v/>
      </c>
    </row>
    <row r="42" customFormat="false" ht="15" hidden="false" customHeight="true" outlineLevel="0" collapsed="false">
      <c r="B42" s="25" t="s">
        <v>4350</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4451</v>
      </c>
      <c r="E1" s="70" t="s">
        <v>4452</v>
      </c>
    </row>
    <row r="2" customFormat="false" ht="15" hidden="false" customHeight="true" outlineLevel="0" collapsed="false">
      <c r="B2" s="71" t="s">
        <v>4453</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4454</v>
      </c>
    </row>
    <row r="5" customFormat="false" ht="15" hidden="false" customHeight="true" outlineLevel="0" collapsed="false">
      <c r="B5" s="74" t="s">
        <v>4355</v>
      </c>
      <c r="C5" s="77"/>
      <c r="D5" s="77"/>
      <c r="E5" s="77"/>
      <c r="F5" s="77"/>
      <c r="G5" s="77"/>
    </row>
    <row r="6" customFormat="false" ht="27.75" hidden="false" customHeight="true" outlineLevel="0" collapsed="false">
      <c r="B6" s="106" t="s">
        <v>4356</v>
      </c>
      <c r="C6" s="106"/>
      <c r="D6" s="106"/>
      <c r="E6" s="106"/>
    </row>
    <row r="7" customFormat="false" ht="15" hidden="false" customHeight="true" outlineLevel="0" collapsed="false">
      <c r="B7" s="78" t="s">
        <v>4357</v>
      </c>
      <c r="C7" s="107"/>
      <c r="D7" s="80" t="s">
        <v>966</v>
      </c>
      <c r="E7" s="81" t="s">
        <v>4358</v>
      </c>
      <c r="G7" s="105" t="s">
        <v>4359</v>
      </c>
    </row>
    <row r="8" customFormat="false" ht="15" hidden="false" customHeight="true" outlineLevel="0" collapsed="false">
      <c r="B8" s="78" t="s">
        <v>3829</v>
      </c>
      <c r="C8" s="108"/>
      <c r="D8" s="80" t="s">
        <v>4287</v>
      </c>
      <c r="E8" s="81" t="s">
        <v>4360</v>
      </c>
      <c r="G8" s="105" t="s">
        <v>4359</v>
      </c>
    </row>
    <row r="9" customFormat="false" ht="15" hidden="false" customHeight="true" outlineLevel="0" collapsed="false">
      <c r="B9" s="78" t="s">
        <v>4361</v>
      </c>
      <c r="C9" s="109"/>
      <c r="D9" s="80" t="s">
        <v>1004</v>
      </c>
      <c r="E9" s="81" t="s">
        <v>4362</v>
      </c>
      <c r="G9" s="105" t="s">
        <v>4359</v>
      </c>
    </row>
    <row r="10" customFormat="false" ht="15" hidden="false" customHeight="true" outlineLevel="0" collapsed="false">
      <c r="B10" s="78" t="s">
        <v>3825</v>
      </c>
      <c r="C10" s="107"/>
      <c r="D10" s="80" t="s">
        <v>966</v>
      </c>
      <c r="E10" s="81" t="s">
        <v>4363</v>
      </c>
      <c r="G10" s="105" t="s">
        <v>4359</v>
      </c>
    </row>
    <row r="11" customFormat="false" ht="15" hidden="false" customHeight="true" outlineLevel="0" collapsed="false">
      <c r="B11" s="78" t="s">
        <v>4364</v>
      </c>
      <c r="C11" s="110"/>
      <c r="D11" s="80" t="s">
        <v>924</v>
      </c>
      <c r="E11" s="81" t="s">
        <v>4365</v>
      </c>
      <c r="G11" s="105" t="s">
        <v>4359</v>
      </c>
    </row>
    <row r="13" customFormat="false" ht="15" hidden="false" customHeight="true" outlineLevel="0" collapsed="false">
      <c r="B13" s="74" t="s">
        <v>4366</v>
      </c>
      <c r="C13" s="75" t="s">
        <v>914</v>
      </c>
      <c r="D13" s="75" t="s">
        <v>915</v>
      </c>
      <c r="E13" s="75" t="s">
        <v>4277</v>
      </c>
      <c r="F13" s="76" t="s">
        <v>4278</v>
      </c>
      <c r="G13" s="77"/>
    </row>
    <row r="14" customFormat="false" ht="21.75" hidden="false" customHeight="true" outlineLevel="0" collapsed="false">
      <c r="B14" s="78" t="s">
        <v>4455</v>
      </c>
      <c r="C14" s="79"/>
      <c r="D14" s="80" t="s">
        <v>966</v>
      </c>
      <c r="E14" s="81" t="s">
        <v>4456</v>
      </c>
      <c r="F14" s="82" t="n">
        <v>250000</v>
      </c>
      <c r="G14" s="83" t="n">
        <f aca="false">IF(ISBLANK(C14),IF(Has_mortBal=1,In_mortBal,IF(Fill_Example="Yes",F14,"")),C14)</f>
        <v>203700</v>
      </c>
    </row>
    <row r="15" customFormat="false" ht="33" hidden="false" customHeight="true" outlineLevel="0" collapsed="false">
      <c r="B15" s="78" t="s">
        <v>3829</v>
      </c>
      <c r="C15" s="87"/>
      <c r="D15" s="80" t="s">
        <v>4287</v>
      </c>
      <c r="E15" s="8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89" t="n">
        <f aca="false">IF(ISNUMBER(Suggest_Mortgage_Rate),Suggest_Mortgage_Rate,"")</f>
        <v>0.0348</v>
      </c>
      <c r="G15" s="90" t="n">
        <f aca="false">IF(ISBLANK(C15),IF(Has_mortRate=1,In_mortRate,IF(Fill_Example="Yes",F15,"")),C15)</f>
        <v>0.0385</v>
      </c>
    </row>
    <row r="16" customFormat="false" ht="21.75" hidden="false" customHeight="true" outlineLevel="0" collapsed="false">
      <c r="B16" s="78" t="s">
        <v>3827</v>
      </c>
      <c r="C16" s="91"/>
      <c r="D16" s="80" t="s">
        <v>1004</v>
      </c>
      <c r="E16" s="81" t="s">
        <v>4457</v>
      </c>
      <c r="F16" s="92" t="n">
        <v>25</v>
      </c>
      <c r="G16" s="93" t="n">
        <f aca="false">IF(AND(ISNUMBER(C16),N(C16)&lt;3),"",IF(ISBLANK(C16),IF(Has_mortYears=1,In_mortYears,IF(Fill_Example="Yes",F16,"")),C16))</f>
        <v>21</v>
      </c>
    </row>
    <row r="17" customFormat="false" ht="15" hidden="false" customHeight="true" outlineLevel="0" collapsed="false">
      <c r="B17" s="78" t="s">
        <v>4458</v>
      </c>
      <c r="C17" s="79"/>
      <c r="D17" s="80" t="s">
        <v>966</v>
      </c>
      <c r="E17" s="81" t="s">
        <v>4459</v>
      </c>
      <c r="F17" s="82" t="n">
        <v>200</v>
      </c>
      <c r="G17" s="83" t="n">
        <f aca="false">IF(ISBLANK(C17),IF(Fill_Example="Yes",F17,""),C17)</f>
        <v>200</v>
      </c>
    </row>
    <row r="18" customFormat="false" ht="15" hidden="false" customHeight="true" outlineLevel="0" collapsed="false">
      <c r="B18" s="78" t="s">
        <v>4371</v>
      </c>
      <c r="C18" s="79"/>
      <c r="D18" s="80" t="s">
        <v>966</v>
      </c>
      <c r="E18" s="81" t="s">
        <v>4372</v>
      </c>
      <c r="F18" s="82" t="n">
        <v>0</v>
      </c>
      <c r="G18" s="83" t="n">
        <f aca="false">IF(ISBLANK(C18),F18,C18)</f>
        <v>0</v>
      </c>
    </row>
    <row r="20" customFormat="false" ht="15" hidden="false" customHeight="true" outlineLevel="0" collapsed="false">
      <c r="B20" s="74" t="s">
        <v>4375</v>
      </c>
      <c r="C20" s="77"/>
      <c r="D20" s="77"/>
      <c r="E20" s="77"/>
      <c r="F20" s="77"/>
      <c r="G20" s="77"/>
    </row>
    <row r="21" customFormat="false" ht="15" hidden="false" customHeight="true" outlineLevel="0" collapsed="false">
      <c r="B21" s="78" t="s">
        <v>4455</v>
      </c>
      <c r="C21" s="111" t="n">
        <f aca="false">IF(ISBLANK(Stmt_Balance),Mortgage_Balance,Stmt_Balance)</f>
        <v>203700</v>
      </c>
      <c r="D21" s="112" t="str">
        <f aca="false">IF(ISBLANK(Stmt_Balance),"Your figure","From your statement")</f>
        <v>Your figure</v>
      </c>
      <c r="E21" s="102" t="s">
        <v>4460</v>
      </c>
    </row>
    <row r="22" customFormat="false" ht="15" hidden="false" customHeight="true" outlineLevel="0" collapsed="false">
      <c r="B22" s="78" t="s">
        <v>3829</v>
      </c>
      <c r="C22" s="113" t="n">
        <f aca="false">IF(ISBLANK(Stmt_Rate),Interest_Rate,Stmt_Rate)</f>
        <v>0.0385</v>
      </c>
      <c r="D22" s="112" t="str">
        <f aca="false">IF(ISBLANK(Stmt_Rate),"Your figure","From your statement")</f>
        <v>Your figure</v>
      </c>
      <c r="E22" s="102" t="s">
        <v>4377</v>
      </c>
    </row>
    <row r="23" customFormat="false" ht="15" hidden="false" customHeight="true" outlineLevel="0" collapsed="false">
      <c r="B23" s="78" t="s">
        <v>3827</v>
      </c>
      <c r="C23" s="114" t="n">
        <f aca="false">IF(ISBLANK(Stmt_Term),Years_Left,Stmt_Term)</f>
        <v>21</v>
      </c>
      <c r="D23" s="112" t="str">
        <f aca="false">IF(ISBLANK(Stmt_Term),"Your figure","From your statement")</f>
        <v>Your figure</v>
      </c>
      <c r="E23" s="102" t="s">
        <v>4461</v>
      </c>
    </row>
    <row r="24" customFormat="false" ht="15" hidden="false" customHeight="true" outlineLevel="0" collapsed="false">
      <c r="B24" s="78" t="s">
        <v>4380</v>
      </c>
      <c r="C24" s="111" t="n">
        <f aca="false">IF(ISBLANK(Stmt_Repayment),Actual_Repayment,Stmt_Repayment)</f>
        <v>0</v>
      </c>
      <c r="D24" s="112" t="str">
        <f aca="false">IF(ISBLANK(Stmt_Repayment),"Your figure","From your statement")</f>
        <v>Your figure</v>
      </c>
      <c r="E24" s="102" t="s">
        <v>4381</v>
      </c>
    </row>
    <row r="25" customFormat="false" ht="21.75" hidden="false" customHeight="true" outlineLevel="0" collapsed="false">
      <c r="B25" s="78" t="s">
        <v>4382</v>
      </c>
      <c r="C25" s="98" t="str">
        <f aca="true">IF(ISBLANK(Stmt_Statement_Date),"",IF(TODAY()-Stmt_Statement_Date&gt;Statement_Max_Age_Days,"Needs a look: statement is more than 12 months old","Up to date"))</f>
        <v/>
      </c>
      <c r="D25" s="80"/>
      <c r="E25" s="95" t="s">
        <v>4383</v>
      </c>
    </row>
    <row r="27" customFormat="false" ht="15" hidden="false" customHeight="true" outlineLevel="0" collapsed="false">
      <c r="B27" s="74" t="s">
        <v>4099</v>
      </c>
      <c r="C27" s="75" t="s">
        <v>329</v>
      </c>
      <c r="D27" s="75" t="s">
        <v>4295</v>
      </c>
      <c r="E27" s="75" t="s">
        <v>4296</v>
      </c>
      <c r="F27" s="77"/>
      <c r="G27" s="77"/>
    </row>
    <row r="28" customFormat="false" ht="23.25" hidden="false" customHeight="true" outlineLevel="0" collapsed="false">
      <c r="B28" s="71" t="s">
        <v>4462</v>
      </c>
      <c r="C28" s="115" t="n">
        <f aca="false">IF(Need_1&lt;&gt;"",Need_1,IF(OR(Months_Now="Never",Months_With_Extra="Never"),"—",Months_Now-Months_With_Extra))</f>
        <v>51</v>
      </c>
      <c r="D28" s="116"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4 years 3 months</v>
      </c>
      <c r="E28" s="95" t="s">
        <v>4463</v>
      </c>
    </row>
    <row r="29" customFormat="false" ht="17.25" hidden="false" customHeight="true" outlineLevel="0" collapsed="false">
      <c r="B29" s="71" t="s">
        <v>4464</v>
      </c>
      <c r="C29" s="94" t="n">
        <f aca="false">IF(Need_1&lt;&gt;"",Need_1,IF(OR(Months_Now="Never",Months_With_Extra="Never"),"—",Interest_Now-Interest_With_Extra))</f>
        <v>20886.6264036132</v>
      </c>
      <c r="D29" s="80" t="s">
        <v>966</v>
      </c>
      <c r="E29" s="95" t="s">
        <v>4465</v>
      </c>
    </row>
    <row r="30" customFormat="false" ht="23.25" hidden="false" customHeight="true" outlineLevel="0" collapsed="false">
      <c r="B30" s="78" t="s">
        <v>4466</v>
      </c>
      <c r="C30" s="119" t="n">
        <f aca="false">IF(Need_2&lt;&gt;"",Need_2,IF(Repayment_Now&lt;=Used_Mortgage_Balance*Monthly_Rate,"Never",ROUNDUP(ROUND(NPER(Monthly_Rate,-Repayment_Now,Used_Mortgage_Balance),6),0)))</f>
        <v>252</v>
      </c>
      <c r="D30" s="120"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21 years</v>
      </c>
      <c r="E30" s="95" t="s">
        <v>4467</v>
      </c>
    </row>
    <row r="31" customFormat="false" ht="23.25" hidden="false" customHeight="true" outlineLevel="0" collapsed="false">
      <c r="B31" s="78" t="s">
        <v>4468</v>
      </c>
      <c r="C31" s="119" t="n">
        <f aca="false">IF(Need_1&lt;&gt;"",Need_1,IF(Repayment_With_Extra&lt;=Used_Mortgage_Balance*Monthly_Rate,"Never",ROUNDUP(ROUND(NPER(Monthly_Rate,-Repayment_With_Extra,Used_Mortgage_Balance),6),0)))</f>
        <v>201</v>
      </c>
      <c r="D31" s="120"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16 years 9 months</v>
      </c>
      <c r="E31" s="95" t="s">
        <v>4469</v>
      </c>
    </row>
    <row r="32" customFormat="false" ht="15" hidden="false" customHeight="true" outlineLevel="0" collapsed="false">
      <c r="B32" s="78" t="s">
        <v>4391</v>
      </c>
      <c r="C32" s="117" t="n">
        <f aca="false">IF(Need_3&lt;&gt;"",Need_3,Used_Interest_Rate/12)</f>
        <v>0.00320833333333333</v>
      </c>
      <c r="D32" s="80"/>
      <c r="E32" s="95" t="s">
        <v>4392</v>
      </c>
    </row>
    <row r="33" customFormat="false" ht="15" hidden="false" customHeight="true" outlineLevel="0" collapsed="false">
      <c r="B33" s="78" t="s">
        <v>4470</v>
      </c>
      <c r="C33" s="96" t="n">
        <f aca="false">IF(Need_2&lt;&gt;"",Need_2,IF(Used_Actual_Repayment&gt;0,Used_Actual_Repayment,PMT(Monthly_Rate,Used_Years_Left*12,-Used_Mortgage_Balance)))</f>
        <v>1179.88957592648</v>
      </c>
      <c r="D33" s="80" t="s">
        <v>966</v>
      </c>
      <c r="E33" s="95" t="s">
        <v>4471</v>
      </c>
    </row>
    <row r="34" customFormat="false" ht="15" hidden="false" customHeight="true" outlineLevel="0" collapsed="false">
      <c r="B34" s="78" t="s">
        <v>4472</v>
      </c>
      <c r="C34" s="96" t="n">
        <f aca="false">IF(Need_1&lt;&gt;"",Need_1,Repayment_Now+Extra_Payment)</f>
        <v>1379.88957592648</v>
      </c>
      <c r="D34" s="80" t="s">
        <v>966</v>
      </c>
      <c r="E34" s="95" t="s">
        <v>4473</v>
      </c>
    </row>
    <row r="35" customFormat="false" ht="21.75" hidden="false" customHeight="true" outlineLevel="0" collapsed="false">
      <c r="B35" s="78" t="s">
        <v>4474</v>
      </c>
      <c r="C35" s="96" t="n">
        <f aca="false">IF(Need_2&lt;&gt;"",Need_2,IF(Months_Now="Never","—",-FV(Monthly_Rate,Months_Now-1,-Repayment_Now,Used_Mortgage_Balance)*(1+Monthly_Rate)))</f>
        <v>1179.88957593347</v>
      </c>
      <c r="D35" s="80" t="s">
        <v>966</v>
      </c>
      <c r="E35" s="95" t="s">
        <v>4475</v>
      </c>
    </row>
    <row r="36" customFormat="false" ht="21.75" hidden="false" customHeight="true" outlineLevel="0" collapsed="false">
      <c r="B36" s="78" t="s">
        <v>4476</v>
      </c>
      <c r="C36" s="96" t="n">
        <f aca="false">IF(Need_1&lt;&gt;"",Need_1,IF(Months_With_Extra="Never","—",-FV(Monthly_Rate,Months_With_Extra-1,-Repayment_With_Extra,Used_Mortgage_Balance)*(1+Monthly_Rate)))</f>
        <v>467.631544570713</v>
      </c>
      <c r="D36" s="80" t="s">
        <v>966</v>
      </c>
      <c r="E36" s="95" t="s">
        <v>4477</v>
      </c>
    </row>
    <row r="37" customFormat="false" ht="15" hidden="false" customHeight="true" outlineLevel="0" collapsed="false">
      <c r="B37" s="78" t="s">
        <v>4478</v>
      </c>
      <c r="C37" s="96" t="n">
        <f aca="false">IF(Need_2&lt;&gt;"",Need_2,IF(Months_Now="Never","—",Repayment_Now*(Months_Now-1)+Last_Payment_Now-Used_Mortgage_Balance))</f>
        <v>93632.1731334799</v>
      </c>
      <c r="D37" s="80" t="s">
        <v>966</v>
      </c>
      <c r="E37" s="95" t="s">
        <v>4479</v>
      </c>
    </row>
    <row r="38" customFormat="false" ht="21.75" hidden="false" customHeight="true" outlineLevel="0" collapsed="false">
      <c r="B38" s="78" t="s">
        <v>4480</v>
      </c>
      <c r="C38" s="96" t="n">
        <f aca="false">IF(Need_1&lt;&gt;"",Need_1,IF(Months_With_Extra="Never","—",Repayment_With_Extra*(Months_With_Extra-1)+Last_Payment_With_Extra-Used_Mortgage_Balance))</f>
        <v>72745.5467298667</v>
      </c>
      <c r="D38" s="80" t="s">
        <v>966</v>
      </c>
      <c r="E38" s="95" t="s">
        <v>4481</v>
      </c>
    </row>
    <row r="40" customFormat="false" ht="15" hidden="false" customHeight="true" outlineLevel="0" collapsed="false">
      <c r="B40" s="74" t="s">
        <v>4326</v>
      </c>
      <c r="C40" s="77"/>
      <c r="D40" s="77"/>
      <c r="E40" s="77"/>
      <c r="F40" s="77"/>
      <c r="G40" s="77"/>
    </row>
    <row r="41" customFormat="false" ht="13.5" hidden="false" customHeight="true" outlineLevel="0" collapsed="false">
      <c r="B41" s="99" t="s">
        <v>4482</v>
      </c>
      <c r="C41" s="99"/>
      <c r="D41" s="99"/>
      <c r="E41" s="99"/>
    </row>
    <row r="42" customFormat="false" ht="27.75" hidden="false" customHeight="true" outlineLevel="0" collapsed="false">
      <c r="B42" s="99" t="s">
        <v>4483</v>
      </c>
      <c r="C42" s="99"/>
      <c r="D42" s="99"/>
      <c r="E42" s="99"/>
    </row>
    <row r="43" customFormat="false" ht="13.5" hidden="false" customHeight="true" outlineLevel="0" collapsed="false">
      <c r="B43" s="100" t="s">
        <v>4329</v>
      </c>
      <c r="C43" s="100"/>
      <c r="D43" s="100"/>
      <c r="E43" s="100"/>
    </row>
    <row r="44" customFormat="false" ht="13.5" hidden="false" customHeight="true" outlineLevel="0" collapsed="false">
      <c r="B44" s="99" t="s">
        <v>4484</v>
      </c>
      <c r="C44" s="99"/>
      <c r="D44" s="99"/>
      <c r="E44" s="99"/>
    </row>
    <row r="45" customFormat="false" ht="13.5" hidden="false" customHeight="true" outlineLevel="0" collapsed="false">
      <c r="B45" s="99" t="s">
        <v>4485</v>
      </c>
      <c r="C45" s="99"/>
      <c r="D45" s="99"/>
      <c r="E45" s="99"/>
    </row>
    <row r="46" customFormat="false" ht="13.5" hidden="false" customHeight="true" outlineLevel="0" collapsed="false">
      <c r="B46" s="99" t="s">
        <v>4407</v>
      </c>
      <c r="C46" s="99"/>
      <c r="D46" s="99"/>
      <c r="E46" s="99"/>
    </row>
    <row r="47" customFormat="false" ht="27.75" hidden="false" customHeight="true" outlineLevel="0" collapsed="false">
      <c r="B47" s="99" t="s">
        <v>4408</v>
      </c>
      <c r="C47" s="99"/>
      <c r="D47" s="99"/>
      <c r="E47" s="99"/>
    </row>
    <row r="48" customFormat="false" ht="13.5" hidden="false" customHeight="true" outlineLevel="0" collapsed="false">
      <c r="B48" s="99" t="s">
        <v>4486</v>
      </c>
      <c r="C48" s="99"/>
      <c r="D48" s="99"/>
      <c r="E48" s="99"/>
    </row>
    <row r="50" customFormat="false" ht="15" hidden="false" customHeight="true" outlineLevel="0" collapsed="false">
      <c r="B50" s="74" t="s">
        <v>4334</v>
      </c>
      <c r="C50" s="77"/>
      <c r="D50" s="77"/>
      <c r="E50" s="77"/>
      <c r="F50" s="77"/>
      <c r="G50" s="77"/>
    </row>
    <row r="51" customFormat="false" ht="15" hidden="false" customHeight="true" outlineLevel="0" collapsed="false">
      <c r="B51" s="78" t="s">
        <v>1673</v>
      </c>
      <c r="C51" s="101" t="str">
        <f aca="false">IF(Need_1&lt;&gt;"",Need_1,IF(Months_With_Extra="Never","No goal","Mortgage free (plan kind mfree, priced from your mortgage; no cash amount)"))</f>
        <v>Mortgage free (plan kind mfree, priced from your mortgage; no cash amount)</v>
      </c>
      <c r="E51" s="102" t="s">
        <v>4487</v>
      </c>
    </row>
    <row r="52" customFormat="false" ht="15" hidden="false" customHeight="true" outlineLevel="0" collapsed="false">
      <c r="B52" s="78" t="s">
        <v>4340</v>
      </c>
      <c r="C52" s="104" t="n">
        <f aca="false">IF(Need_1&lt;&gt;"",Need_1,IF(Months_With_Extra="Never","—",ROUNDUP(Months_With_Extra/12,0)))</f>
        <v>17</v>
      </c>
      <c r="E52" s="102" t="s">
        <v>4488</v>
      </c>
    </row>
    <row r="53" customFormat="false" ht="27.75" hidden="false" customHeight="true" outlineLevel="0" collapsed="false">
      <c r="B53" s="106" t="s">
        <v>4489</v>
      </c>
      <c r="C53" s="106"/>
      <c r="D53" s="106"/>
      <c r="E53" s="106"/>
    </row>
    <row r="55" customFormat="false" ht="15" hidden="false" customHeight="true" outlineLevel="0" collapsed="false">
      <c r="B55" s="74" t="s">
        <v>4342</v>
      </c>
      <c r="C55" s="77"/>
      <c r="D55" s="77"/>
      <c r="E55" s="77"/>
      <c r="F55" s="77"/>
      <c r="G55" s="77"/>
    </row>
    <row r="56" customFormat="false" ht="15" hidden="false" customHeight="true" outlineLevel="0" collapsed="false">
      <c r="B56" s="105" t="s">
        <v>4490</v>
      </c>
      <c r="C56" s="105"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
      </c>
    </row>
    <row r="57" customFormat="false" ht="15" hidden="false" customHeight="true" outlineLevel="0" collapsed="false">
      <c r="B57" s="105" t="s">
        <v>4491</v>
      </c>
      <c r="C57" s="105"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
      </c>
    </row>
    <row r="58" customFormat="false" ht="15" hidden="false" customHeight="true" outlineLevel="0" collapsed="false">
      <c r="B58" s="105" t="s">
        <v>4412</v>
      </c>
      <c r="C58" s="105" t="str">
        <f aca="false">IF(NOT(ISNUMBER(Used_Interest_Rate)),IF(Used_Interest_Rate="",IF(Interest_Rate="","Choose your mortgage rate to see this",""),Used_Interest_Rate),"")</f>
        <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4492</v>
      </c>
      <c r="E1" s="70" t="s">
        <v>4493</v>
      </c>
    </row>
    <row r="2" customFormat="false" ht="15" hidden="false" customHeight="true" outlineLevel="0" collapsed="false">
      <c r="B2" s="71" t="s">
        <v>4494</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4495</v>
      </c>
    </row>
    <row r="5" customFormat="false" ht="15" hidden="false" customHeight="true" outlineLevel="0" collapsed="false">
      <c r="B5" s="74" t="s">
        <v>4355</v>
      </c>
      <c r="C5" s="77"/>
      <c r="D5" s="77"/>
      <c r="E5" s="77"/>
      <c r="F5" s="77"/>
      <c r="G5" s="77"/>
    </row>
    <row r="6" customFormat="false" ht="27.75" hidden="false" customHeight="true" outlineLevel="0" collapsed="false">
      <c r="B6" s="106" t="s">
        <v>4356</v>
      </c>
      <c r="C6" s="106"/>
      <c r="D6" s="106"/>
      <c r="E6" s="106"/>
    </row>
    <row r="7" customFormat="false" ht="15" hidden="false" customHeight="true" outlineLevel="0" collapsed="false">
      <c r="B7" s="78" t="s">
        <v>4357</v>
      </c>
      <c r="C7" s="107"/>
      <c r="D7" s="80" t="s">
        <v>966</v>
      </c>
      <c r="E7" s="81" t="s">
        <v>4358</v>
      </c>
      <c r="G7" s="105" t="s">
        <v>4359</v>
      </c>
    </row>
    <row r="8" customFormat="false" ht="15" hidden="false" customHeight="true" outlineLevel="0" collapsed="false">
      <c r="B8" s="78" t="s">
        <v>3829</v>
      </c>
      <c r="C8" s="108"/>
      <c r="D8" s="80" t="s">
        <v>4287</v>
      </c>
      <c r="E8" s="81" t="s">
        <v>4360</v>
      </c>
      <c r="G8" s="105" t="s">
        <v>4359</v>
      </c>
    </row>
    <row r="9" customFormat="false" ht="15" hidden="false" customHeight="true" outlineLevel="0" collapsed="false">
      <c r="B9" s="78" t="s">
        <v>4361</v>
      </c>
      <c r="C9" s="109"/>
      <c r="D9" s="80" t="s">
        <v>1004</v>
      </c>
      <c r="E9" s="81" t="s">
        <v>4362</v>
      </c>
      <c r="G9" s="105" t="s">
        <v>4359</v>
      </c>
    </row>
    <row r="10" customFormat="false" ht="15" hidden="false" customHeight="true" outlineLevel="0" collapsed="false">
      <c r="B10" s="78" t="s">
        <v>3825</v>
      </c>
      <c r="C10" s="107"/>
      <c r="D10" s="80" t="s">
        <v>966</v>
      </c>
      <c r="E10" s="81" t="s">
        <v>4363</v>
      </c>
      <c r="G10" s="105" t="s">
        <v>4359</v>
      </c>
    </row>
    <row r="11" customFormat="false" ht="15" hidden="false" customHeight="true" outlineLevel="0" collapsed="false">
      <c r="B11" s="78" t="s">
        <v>4364</v>
      </c>
      <c r="C11" s="110"/>
      <c r="D11" s="80" t="s">
        <v>924</v>
      </c>
      <c r="E11" s="81" t="s">
        <v>4365</v>
      </c>
      <c r="G11" s="105" t="s">
        <v>4359</v>
      </c>
    </row>
    <row r="13" customFormat="false" ht="15" hidden="false" customHeight="true" outlineLevel="0" collapsed="false">
      <c r="B13" s="74" t="s">
        <v>4366</v>
      </c>
      <c r="C13" s="75" t="s">
        <v>914</v>
      </c>
      <c r="D13" s="75" t="s">
        <v>915</v>
      </c>
      <c r="E13" s="75" t="s">
        <v>4277</v>
      </c>
      <c r="F13" s="76" t="s">
        <v>4278</v>
      </c>
      <c r="G13" s="77"/>
    </row>
    <row r="14" customFormat="false" ht="21.75" hidden="false" customHeight="true" outlineLevel="0" collapsed="false">
      <c r="B14" s="78" t="s">
        <v>4455</v>
      </c>
      <c r="C14" s="79"/>
      <c r="D14" s="80" t="s">
        <v>966</v>
      </c>
      <c r="E14" s="81" t="s">
        <v>4496</v>
      </c>
      <c r="F14" s="82" t="n">
        <v>300000</v>
      </c>
      <c r="G14" s="83" t="n">
        <f aca="false">IF(ISBLANK(C14),IF(Has_mortBal=1,In_mortBal,IF(Fill_Example="Yes",F14,"")),C14)</f>
        <v>203700</v>
      </c>
    </row>
    <row r="15" customFormat="false" ht="33" hidden="false" customHeight="true" outlineLevel="0" collapsed="false">
      <c r="B15" s="78" t="s">
        <v>4497</v>
      </c>
      <c r="C15" s="87"/>
      <c r="D15" s="80" t="s">
        <v>4287</v>
      </c>
      <c r="E15" s="8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89" t="n">
        <f aca="false">IF(ISNUMBER(Suggest_Mortgage_Rate),Suggest_Mortgage_Rate,"")</f>
        <v>0.0348</v>
      </c>
      <c r="G15" s="90" t="n">
        <f aca="false">IF(ISBLANK(C15),IF(Has_mortRate=1,In_mortRate,IF(Fill_Example="Yes",F15,"")),C15)</f>
        <v>0.0385</v>
      </c>
    </row>
    <row r="16" customFormat="false" ht="21.75" hidden="false" customHeight="true" outlineLevel="0" collapsed="false">
      <c r="B16" s="78" t="s">
        <v>3827</v>
      </c>
      <c r="C16" s="91"/>
      <c r="D16" s="80" t="s">
        <v>1004</v>
      </c>
      <c r="E16" s="81" t="s">
        <v>4370</v>
      </c>
      <c r="F16" s="92" t="n">
        <v>25</v>
      </c>
      <c r="G16" s="93" t="n">
        <f aca="false">IF(AND(ISNUMBER(C16),N(C16)&lt;5),"",IF(ISBLANK(C16),IF(Has_mortYears=1,In_mortYears,IF(Fill_Example="Yes",F16,"")),C16))</f>
        <v>21</v>
      </c>
    </row>
    <row r="17" customFormat="false" ht="15" hidden="false" customHeight="true" outlineLevel="0" collapsed="false">
      <c r="B17" s="78" t="s">
        <v>4498</v>
      </c>
      <c r="C17" s="87"/>
      <c r="D17" s="80" t="s">
        <v>4287</v>
      </c>
      <c r="E17" s="81" t="s">
        <v>4499</v>
      </c>
      <c r="F17" s="89" t="n">
        <v>0.01</v>
      </c>
      <c r="G17" s="90" t="n">
        <f aca="false">IF(ISBLANK(C17),IF(Fill_Example="Yes",F17,""),C17)</f>
        <v>0.01</v>
      </c>
    </row>
    <row r="18" customFormat="false" ht="15" hidden="false" customHeight="true" outlineLevel="0" collapsed="false">
      <c r="B18" s="78" t="s">
        <v>4371</v>
      </c>
      <c r="C18" s="79"/>
      <c r="D18" s="80" t="s">
        <v>966</v>
      </c>
      <c r="E18" s="81" t="s">
        <v>4372</v>
      </c>
      <c r="F18" s="82" t="n">
        <v>0</v>
      </c>
      <c r="G18" s="83" t="n">
        <f aca="false">IF(ISBLANK(C18),F18,C18)</f>
        <v>0</v>
      </c>
    </row>
    <row r="20" customFormat="false" ht="15" hidden="false" customHeight="true" outlineLevel="0" collapsed="false">
      <c r="B20" s="74" t="s">
        <v>4375</v>
      </c>
      <c r="C20" s="77"/>
      <c r="D20" s="77"/>
      <c r="E20" s="77"/>
      <c r="F20" s="77"/>
      <c r="G20" s="77"/>
    </row>
    <row r="21" customFormat="false" ht="15" hidden="false" customHeight="true" outlineLevel="0" collapsed="false">
      <c r="B21" s="78" t="s">
        <v>4455</v>
      </c>
      <c r="C21" s="111" t="n">
        <f aca="false">IF(ISBLANK(Stmt_Balance),Mortgage_Balance,Stmt_Balance)</f>
        <v>203700</v>
      </c>
      <c r="D21" s="112" t="str">
        <f aca="false">IF(ISBLANK(Stmt_Balance),"Your figure","From your statement")</f>
        <v>Your figure</v>
      </c>
      <c r="E21" s="102" t="s">
        <v>4460</v>
      </c>
    </row>
    <row r="22" customFormat="false" ht="15" hidden="false" customHeight="true" outlineLevel="0" collapsed="false">
      <c r="B22" s="78" t="s">
        <v>4497</v>
      </c>
      <c r="C22" s="113" t="n">
        <f aca="false">IF(ISBLANK(Stmt_Rate),Current_Rate,Stmt_Rate)</f>
        <v>0.0385</v>
      </c>
      <c r="D22" s="112" t="str">
        <f aca="false">IF(ISBLANK(Stmt_Rate),"Your figure","From your statement")</f>
        <v>Your figure</v>
      </c>
      <c r="E22" s="102" t="s">
        <v>4500</v>
      </c>
    </row>
    <row r="23" customFormat="false" ht="15" hidden="false" customHeight="true" outlineLevel="0" collapsed="false">
      <c r="B23" s="78" t="s">
        <v>3827</v>
      </c>
      <c r="C23" s="114" t="n">
        <f aca="false">IF(ISBLANK(Stmt_Term),Years_Left,Stmt_Term)</f>
        <v>21</v>
      </c>
      <c r="D23" s="112" t="str">
        <f aca="false">IF(ISBLANK(Stmt_Term),"Your figure","From your statement")</f>
        <v>Your figure</v>
      </c>
      <c r="E23" s="102" t="s">
        <v>4461</v>
      </c>
    </row>
    <row r="24" customFormat="false" ht="15" hidden="false" customHeight="true" outlineLevel="0" collapsed="false">
      <c r="B24" s="78" t="s">
        <v>4380</v>
      </c>
      <c r="C24" s="111" t="n">
        <f aca="false">IF(ISBLANK(Stmt_Repayment),Actual_Repayment,Stmt_Repayment)</f>
        <v>0</v>
      </c>
      <c r="D24" s="112" t="str">
        <f aca="false">IF(ISBLANK(Stmt_Repayment),"Your figure","From your statement")</f>
        <v>Your figure</v>
      </c>
      <c r="E24" s="102" t="s">
        <v>4381</v>
      </c>
    </row>
    <row r="25" customFormat="false" ht="21.75" hidden="false" customHeight="true" outlineLevel="0" collapsed="false">
      <c r="B25" s="78" t="s">
        <v>4382</v>
      </c>
      <c r="C25" s="98" t="str">
        <f aca="true">IF(ISBLANK(Stmt_Statement_Date),"",IF(TODAY()-Stmt_Statement_Date&gt;Statement_Max_Age_Days,"Needs a look: statement is more than 12 months old","Up to date"))</f>
        <v/>
      </c>
      <c r="D25" s="80"/>
      <c r="E25" s="95" t="s">
        <v>4383</v>
      </c>
    </row>
    <row r="27" customFormat="false" ht="15" hidden="false" customHeight="true" outlineLevel="0" collapsed="false">
      <c r="B27" s="74" t="s">
        <v>4099</v>
      </c>
      <c r="C27" s="75" t="s">
        <v>329</v>
      </c>
      <c r="D27" s="75" t="s">
        <v>4295</v>
      </c>
      <c r="E27" s="75" t="s">
        <v>4296</v>
      </c>
      <c r="F27" s="77"/>
      <c r="G27" s="77"/>
    </row>
    <row r="28" customFormat="false" ht="23.25" hidden="false" customHeight="true" outlineLevel="0" collapsed="false">
      <c r="B28" s="71" t="s">
        <v>4501</v>
      </c>
      <c r="C28" s="94" t="n">
        <f aca="false">IF(Need_1&lt;&gt;"",Need_1,Repayment_After-Repayment_Now)</f>
        <v>110.283600437294</v>
      </c>
      <c r="D28" s="116" t="str">
        <f aca="false">IF(Need_1&lt;&gt;"",Need_1,IF(Monthly_Change&gt;=0,"+","−")&amp;TEXT(ABS(Monthly_Change),"€#,##0"))</f>
        <v>+€110</v>
      </c>
      <c r="E28" s="95" t="s">
        <v>4502</v>
      </c>
    </row>
    <row r="29" customFormat="false" ht="17.25" hidden="false" customHeight="true" outlineLevel="0" collapsed="false">
      <c r="B29" s="71" t="s">
        <v>4470</v>
      </c>
      <c r="C29" s="94" t="n">
        <f aca="false">IF(Need_2&lt;&gt;"",Need_2,IF(Used_Actual_Repayment&gt;0,Used_Actual_Repayment,Formula_Now))</f>
        <v>1179.88957592648</v>
      </c>
      <c r="D29" s="80" t="s">
        <v>966</v>
      </c>
      <c r="E29" s="95" t="s">
        <v>4503</v>
      </c>
    </row>
    <row r="30" customFormat="false" ht="17.25" hidden="false" customHeight="true" outlineLevel="0" collapsed="false">
      <c r="B30" s="71" t="s">
        <v>4504</v>
      </c>
      <c r="C30" s="94" t="n">
        <f aca="false">IF(Need_1&lt;&gt;"",Need_1,Repayment_Now+PMT(New_Rate/12,Used_Years_Left*12,-Used_Mortgage_Balance)-Formula_Now)</f>
        <v>1290.17317636377</v>
      </c>
      <c r="D30" s="80" t="s">
        <v>966</v>
      </c>
      <c r="E30" s="95" t="s">
        <v>4505</v>
      </c>
    </row>
    <row r="31" customFormat="false" ht="15" hidden="false" customHeight="true" outlineLevel="0" collapsed="false">
      <c r="B31" s="78" t="s">
        <v>4506</v>
      </c>
      <c r="C31" s="96" t="n">
        <f aca="false">IF(Need_1&lt;&gt;"",Need_1,Monthly_Change*12)</f>
        <v>1323.40320524753</v>
      </c>
      <c r="D31" s="80" t="s">
        <v>966</v>
      </c>
      <c r="E31" s="95" t="s">
        <v>4507</v>
      </c>
    </row>
    <row r="32" customFormat="false" ht="15" hidden="false" customHeight="true" outlineLevel="0" collapsed="false">
      <c r="B32" s="78" t="s">
        <v>4508</v>
      </c>
      <c r="C32" s="96" t="n">
        <f aca="false">IF(Need_3&lt;&gt;"",Need_3,PMT(Used_Current_Rate/12,Used_Years_Left*12,-Used_Mortgage_Balance))</f>
        <v>1179.88957592648</v>
      </c>
      <c r="D32" s="80" t="s">
        <v>966</v>
      </c>
      <c r="E32" s="95" t="s">
        <v>4509</v>
      </c>
    </row>
    <row r="33" customFormat="false" ht="15" hidden="false" customHeight="true" outlineLevel="0" collapsed="false">
      <c r="B33" s="78" t="s">
        <v>4510</v>
      </c>
      <c r="C33" s="118" t="n">
        <f aca="false">IF(Need_4&lt;&gt;"",Need_4,MAX(0,Used_Current_Rate+Rate_Change))</f>
        <v>0.0485</v>
      </c>
      <c r="D33" s="80" t="s">
        <v>4287</v>
      </c>
      <c r="E33" s="95" t="s">
        <v>4511</v>
      </c>
    </row>
    <row r="35" customFormat="false" ht="15" hidden="false" customHeight="true" outlineLevel="0" collapsed="false">
      <c r="B35" s="74" t="s">
        <v>4326</v>
      </c>
      <c r="C35" s="77"/>
      <c r="D35" s="77"/>
      <c r="E35" s="77"/>
      <c r="F35" s="77"/>
      <c r="G35" s="77"/>
    </row>
    <row r="36" customFormat="false" ht="13.5" hidden="false" customHeight="true" outlineLevel="0" collapsed="false">
      <c r="B36" s="99" t="s">
        <v>4512</v>
      </c>
      <c r="C36" s="99"/>
      <c r="D36" s="99"/>
      <c r="E36" s="99"/>
    </row>
    <row r="37" customFormat="false" ht="13.5" hidden="false" customHeight="true" outlineLevel="0" collapsed="false">
      <c r="B37" s="99" t="s">
        <v>4513</v>
      </c>
      <c r="C37" s="99"/>
      <c r="D37" s="99"/>
      <c r="E37" s="99"/>
    </row>
    <row r="38" customFormat="false" ht="13.5" hidden="false" customHeight="true" outlineLevel="0" collapsed="false">
      <c r="B38" s="100" t="s">
        <v>4329</v>
      </c>
      <c r="C38" s="100"/>
      <c r="D38" s="100"/>
      <c r="E38" s="100"/>
    </row>
    <row r="39" customFormat="false" ht="13.5" hidden="false" customHeight="true" outlineLevel="0" collapsed="false">
      <c r="B39" s="99" t="s">
        <v>4514</v>
      </c>
      <c r="C39" s="99"/>
      <c r="D39" s="99"/>
      <c r="E39" s="99"/>
    </row>
    <row r="40" customFormat="false" ht="13.5" hidden="false" customHeight="true" outlineLevel="0" collapsed="false">
      <c r="B40" s="99" t="s">
        <v>4333</v>
      </c>
      <c r="C40" s="99"/>
      <c r="D40" s="99"/>
      <c r="E40" s="99"/>
    </row>
    <row r="42" customFormat="false" ht="15" hidden="false" customHeight="true" outlineLevel="0" collapsed="false">
      <c r="B42" s="74" t="s">
        <v>4334</v>
      </c>
      <c r="C42" s="77"/>
      <c r="D42" s="77"/>
      <c r="E42" s="77"/>
      <c r="F42" s="77"/>
      <c r="G42" s="77"/>
    </row>
    <row r="43" customFormat="false" ht="15" hidden="false" customHeight="true" outlineLevel="0" collapsed="false">
      <c r="B43" s="78" t="s">
        <v>1673</v>
      </c>
      <c r="C43" s="101" t="str">
        <f aca="false">"No goal"</f>
        <v>No goal</v>
      </c>
      <c r="E43" s="102" t="s">
        <v>4515</v>
      </c>
    </row>
    <row r="45" customFormat="false" ht="15" hidden="false" customHeight="true" outlineLevel="0" collapsed="false">
      <c r="B45" s="74" t="s">
        <v>4342</v>
      </c>
      <c r="C45" s="77"/>
      <c r="D45" s="77"/>
      <c r="E45" s="77"/>
      <c r="F45" s="77"/>
      <c r="G45" s="77"/>
    </row>
    <row r="46" customFormat="false" ht="15" hidden="false" customHeight="true" outlineLevel="0" collapsed="false">
      <c r="B46" s="105" t="s">
        <v>4516</v>
      </c>
      <c r="C46" s="105"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
      </c>
    </row>
    <row r="47" customFormat="false" ht="15" hidden="false" customHeight="true" outlineLevel="0" collapsed="false">
      <c r="B47" s="105" t="s">
        <v>4517</v>
      </c>
      <c r="C47" s="105"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
      </c>
    </row>
    <row r="48" customFormat="false" ht="15" hidden="false" customHeight="true" outlineLevel="0" collapsed="false">
      <c r="B48" s="105" t="s">
        <v>4518</v>
      </c>
      <c r="C48" s="105"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
      </c>
    </row>
    <row r="49" customFormat="false" ht="15" hidden="false" customHeight="true" outlineLevel="0" collapsed="false">
      <c r="B49" s="105" t="s">
        <v>4519</v>
      </c>
      <c r="C49" s="105" t="str">
        <f aca="false">IF(Rate_Change="","Choose your rate change to see this",IF(NOT(ISNUMBER(Used_Current_Rate)),IF(Used_Current_Rate="",IF(Current_Rate="","Choose your mortgage rate to see this",""),Used_Current_Rate),""))</f>
        <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4520</v>
      </c>
      <c r="E1" s="70" t="s">
        <v>4521</v>
      </c>
    </row>
    <row r="2" customFormat="false" ht="15" hidden="false" customHeight="true" outlineLevel="0" collapsed="false">
      <c r="B2" s="71" t="s">
        <v>4522</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4523</v>
      </c>
    </row>
    <row r="5" customFormat="false" ht="15" hidden="false" customHeight="true" outlineLevel="0" collapsed="false">
      <c r="B5" s="74" t="s">
        <v>4355</v>
      </c>
      <c r="C5" s="77"/>
      <c r="D5" s="77"/>
      <c r="E5" s="77"/>
      <c r="F5" s="77"/>
      <c r="G5" s="77"/>
    </row>
    <row r="6" customFormat="false" ht="27.75" hidden="false" customHeight="true" outlineLevel="0" collapsed="false">
      <c r="B6" s="106" t="s">
        <v>4356</v>
      </c>
      <c r="C6" s="106"/>
      <c r="D6" s="106"/>
      <c r="E6" s="106"/>
    </row>
    <row r="7" customFormat="false" ht="15" hidden="false" customHeight="true" outlineLevel="0" collapsed="false">
      <c r="B7" s="78" t="s">
        <v>4357</v>
      </c>
      <c r="C7" s="107"/>
      <c r="D7" s="80" t="s">
        <v>966</v>
      </c>
      <c r="E7" s="81" t="s">
        <v>4358</v>
      </c>
      <c r="G7" s="105" t="s">
        <v>4359</v>
      </c>
    </row>
    <row r="8" customFormat="false" ht="15" hidden="false" customHeight="true" outlineLevel="0" collapsed="false">
      <c r="B8" s="78" t="s">
        <v>3829</v>
      </c>
      <c r="C8" s="108"/>
      <c r="D8" s="80" t="s">
        <v>4287</v>
      </c>
      <c r="E8" s="81" t="s">
        <v>4360</v>
      </c>
      <c r="G8" s="105" t="s">
        <v>4359</v>
      </c>
    </row>
    <row r="9" customFormat="false" ht="15" hidden="false" customHeight="true" outlineLevel="0" collapsed="false">
      <c r="B9" s="78" t="s">
        <v>4361</v>
      </c>
      <c r="C9" s="109"/>
      <c r="D9" s="80" t="s">
        <v>1004</v>
      </c>
      <c r="E9" s="81" t="s">
        <v>4362</v>
      </c>
      <c r="G9" s="105" t="s">
        <v>4359</v>
      </c>
    </row>
    <row r="10" customFormat="false" ht="15" hidden="false" customHeight="true" outlineLevel="0" collapsed="false">
      <c r="B10" s="78" t="s">
        <v>4364</v>
      </c>
      <c r="C10" s="110"/>
      <c r="D10" s="80" t="s">
        <v>924</v>
      </c>
      <c r="E10" s="81" t="s">
        <v>4365</v>
      </c>
      <c r="G10" s="105" t="s">
        <v>4359</v>
      </c>
    </row>
    <row r="12" customFormat="false" ht="15" hidden="false" customHeight="true" outlineLevel="0" collapsed="false">
      <c r="B12" s="74" t="s">
        <v>4366</v>
      </c>
      <c r="C12" s="75" t="s">
        <v>914</v>
      </c>
      <c r="D12" s="75" t="s">
        <v>915</v>
      </c>
      <c r="E12" s="75" t="s">
        <v>4277</v>
      </c>
      <c r="F12" s="76" t="s">
        <v>4278</v>
      </c>
      <c r="G12" s="77"/>
    </row>
    <row r="13" customFormat="false" ht="21.75" hidden="false" customHeight="true" outlineLevel="0" collapsed="false">
      <c r="B13" s="78" t="s">
        <v>4367</v>
      </c>
      <c r="C13" s="79"/>
      <c r="D13" s="80" t="s">
        <v>966</v>
      </c>
      <c r="E13" s="81" t="s">
        <v>4496</v>
      </c>
      <c r="F13" s="82" t="n">
        <v>300000</v>
      </c>
      <c r="G13" s="83" t="n">
        <f aca="false">IF(ISBLANK(C13),IF(Has_mortBal=1,In_mortBal,IF(Fill_Example="Yes",F13,"")),C13)</f>
        <v>203700</v>
      </c>
    </row>
    <row r="14" customFormat="false" ht="33" hidden="false" customHeight="true" outlineLevel="0" collapsed="false">
      <c r="B14" s="78" t="s">
        <v>3829</v>
      </c>
      <c r="C14" s="87"/>
      <c r="D14" s="80" t="s">
        <v>4287</v>
      </c>
      <c r="E14" s="8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89" t="n">
        <f aca="false">IF(ISNUMBER(Suggest_Mortgage_Rate),Suggest_Mortgage_Rate,"")</f>
        <v>0.0348</v>
      </c>
      <c r="G14" s="90" t="n">
        <f aca="false">IF(ISBLANK(C14),IF(Has_mortRate=1,In_mortRate,IF(Fill_Example="Yes",F14,"")),C14)</f>
        <v>0.0385</v>
      </c>
    </row>
    <row r="15" customFormat="false" ht="21.75" hidden="false" customHeight="true" outlineLevel="0" collapsed="false">
      <c r="B15" s="78" t="s">
        <v>4524</v>
      </c>
      <c r="C15" s="91"/>
      <c r="D15" s="80" t="s">
        <v>1004</v>
      </c>
      <c r="E15" s="81" t="s">
        <v>4370</v>
      </c>
      <c r="F15" s="92" t="n">
        <v>25</v>
      </c>
      <c r="G15" s="93" t="n">
        <f aca="false">IF(AND(ISNUMBER(C15),N(C15)&lt;5),"",IF(ISBLANK(C15),IF(Has_mortYears=1,In_mortYears,IF(Fill_Example="Yes",F15,"")),C15))</f>
        <v>21</v>
      </c>
    </row>
    <row r="16" customFormat="false" ht="15" hidden="false" customHeight="true" outlineLevel="0" collapsed="false">
      <c r="B16" s="78" t="s">
        <v>4525</v>
      </c>
      <c r="C16" s="91"/>
      <c r="D16" s="80" t="s">
        <v>1004</v>
      </c>
      <c r="E16" s="81" t="s">
        <v>4526</v>
      </c>
      <c r="F16" s="92" t="n">
        <v>35</v>
      </c>
      <c r="G16" s="93" t="n">
        <f aca="false">IF(AND(ISNUMBER(C16),N(C16)&lt;5),"",IF(ISBLANK(C16),IF(Fill_Example="Yes",F16,""),C16))</f>
        <v>35</v>
      </c>
    </row>
    <row r="18" customFormat="false" ht="15" hidden="false" customHeight="true" outlineLevel="0" collapsed="false">
      <c r="B18" s="74" t="s">
        <v>4375</v>
      </c>
      <c r="C18" s="77"/>
      <c r="D18" s="77"/>
      <c r="E18" s="77"/>
      <c r="F18" s="77"/>
      <c r="G18" s="77"/>
    </row>
    <row r="19" customFormat="false" ht="15" hidden="false" customHeight="true" outlineLevel="0" collapsed="false">
      <c r="B19" s="78" t="s">
        <v>4367</v>
      </c>
      <c r="C19" s="111" t="n">
        <f aca="false">IF(ISBLANK(Stmt_Balance),Loan_Amount,Stmt_Balance)</f>
        <v>203700</v>
      </c>
      <c r="D19" s="112" t="str">
        <f aca="false">IF(ISBLANK(Stmt_Balance),"Your figure","From your statement")</f>
        <v>Your figure</v>
      </c>
      <c r="E19" s="102" t="s">
        <v>4376</v>
      </c>
    </row>
    <row r="20" customFormat="false" ht="15" hidden="false" customHeight="true" outlineLevel="0" collapsed="false">
      <c r="B20" s="78" t="s">
        <v>3829</v>
      </c>
      <c r="C20" s="113" t="n">
        <f aca="false">IF(ISBLANK(Stmt_Rate),Interest_Rate,Stmt_Rate)</f>
        <v>0.0385</v>
      </c>
      <c r="D20" s="112" t="str">
        <f aca="false">IF(ISBLANK(Stmt_Rate),"Your figure","From your statement")</f>
        <v>Your figure</v>
      </c>
      <c r="E20" s="102" t="s">
        <v>4377</v>
      </c>
    </row>
    <row r="21" customFormat="false" ht="15" hidden="false" customHeight="true" outlineLevel="0" collapsed="false">
      <c r="B21" s="78" t="s">
        <v>4524</v>
      </c>
      <c r="C21" s="114" t="n">
        <f aca="false">IF(ISBLANK(Stmt_Term),Term_A,Stmt_Term)</f>
        <v>21</v>
      </c>
      <c r="D21" s="112" t="str">
        <f aca="false">IF(ISBLANK(Stmt_Term),"Your figure","From your statement")</f>
        <v>Your figure</v>
      </c>
      <c r="E21" s="102" t="s">
        <v>4527</v>
      </c>
    </row>
    <row r="22" customFormat="false" ht="21.75" hidden="false" customHeight="true" outlineLevel="0" collapsed="false">
      <c r="B22" s="78" t="s">
        <v>4382</v>
      </c>
      <c r="C22" s="98" t="str">
        <f aca="true">IF(ISBLANK(Stmt_Statement_Date),"",IF(TODAY()-Stmt_Statement_Date&gt;Statement_Max_Age_Days,"Needs a look: statement is more than 12 months old","Up to date"))</f>
        <v/>
      </c>
      <c r="D22" s="80"/>
      <c r="E22" s="95" t="s">
        <v>4383</v>
      </c>
    </row>
    <row r="24" customFormat="false" ht="15" hidden="false" customHeight="true" outlineLevel="0" collapsed="false">
      <c r="B24" s="74" t="s">
        <v>4099</v>
      </c>
      <c r="C24" s="75" t="s">
        <v>329</v>
      </c>
      <c r="D24" s="75" t="s">
        <v>4295</v>
      </c>
      <c r="E24" s="75" t="s">
        <v>4296</v>
      </c>
      <c r="F24" s="77"/>
      <c r="G24" s="77"/>
    </row>
    <row r="25" customFormat="false" ht="17.25" hidden="false" customHeight="true" outlineLevel="0" collapsed="false">
      <c r="B25" s="71" t="s">
        <v>4528</v>
      </c>
      <c r="C25" s="94" t="n">
        <f aca="false">IF(Need_1&lt;&gt;"",Need_1,ABS(Interest_B-Interest_A))</f>
        <v>73820.3968236863</v>
      </c>
      <c r="D25" s="116" t="str">
        <f aca="false">IF(Need_1&lt;&gt;"",Need_1,IF(Used_Term_A=Term_B,"Both terms are the same.","The "&amp;MIN(Used_Term_A,Term_B)&amp;"-year term costs more each month but less interest overall."))</f>
        <v>The 21-year term costs more each month but less interest overall.</v>
      </c>
      <c r="E25" s="95" t="s">
        <v>4529</v>
      </c>
    </row>
    <row r="26" customFormat="false" ht="17.25" hidden="false" customHeight="true" outlineLevel="0" collapsed="false">
      <c r="B26" s="71" t="s">
        <v>4530</v>
      </c>
      <c r="C26" s="94" t="n">
        <f aca="false">IF(Need_2&lt;&gt;"",Need_2,PMT(Used_Interest_Rate/12,Used_Term_A*12,-Used_Loan_Amount))</f>
        <v>1179.88957592648</v>
      </c>
      <c r="D26" s="80" t="s">
        <v>966</v>
      </c>
      <c r="E26" s="95" t="s">
        <v>4531</v>
      </c>
    </row>
    <row r="27" customFormat="false" ht="17.25" hidden="false" customHeight="true" outlineLevel="0" collapsed="false">
      <c r="B27" s="71" t="s">
        <v>4532</v>
      </c>
      <c r="C27" s="94" t="n">
        <f aca="false">IF(Need_3&lt;&gt;"",Need_3,PMT(Used_Interest_Rate/12,Term_B*12,-Used_Loan_Amount))</f>
        <v>883.696595136093</v>
      </c>
      <c r="D27" s="80" t="s">
        <v>966</v>
      </c>
      <c r="E27" s="95" t="s">
        <v>4533</v>
      </c>
    </row>
    <row r="28" customFormat="false" ht="15" hidden="false" customHeight="true" outlineLevel="0" collapsed="false">
      <c r="B28" s="78" t="s">
        <v>4534</v>
      </c>
      <c r="C28" s="96" t="n">
        <f aca="false">IF(Need_2&lt;&gt;"",Need_2,Monthly_A*Used_Term_A*12-Used_Loan_Amount)</f>
        <v>93632.1731334729</v>
      </c>
      <c r="D28" s="80" t="s">
        <v>966</v>
      </c>
      <c r="E28" s="95" t="s">
        <v>4535</v>
      </c>
    </row>
    <row r="29" customFormat="false" ht="15" hidden="false" customHeight="true" outlineLevel="0" collapsed="false">
      <c r="B29" s="78" t="s">
        <v>4536</v>
      </c>
      <c r="C29" s="96" t="n">
        <f aca="false">IF(Need_3&lt;&gt;"",Need_3,Monthly_B*Term_B*12-Used_Loan_Amount)</f>
        <v>167452.569957159</v>
      </c>
      <c r="D29" s="80" t="s">
        <v>966</v>
      </c>
      <c r="E29" s="95" t="s">
        <v>4537</v>
      </c>
    </row>
    <row r="31" customFormat="false" ht="15" hidden="false" customHeight="true" outlineLevel="0" collapsed="false">
      <c r="B31" s="74" t="s">
        <v>4326</v>
      </c>
      <c r="C31" s="77"/>
      <c r="D31" s="77"/>
      <c r="E31" s="77"/>
      <c r="F31" s="77"/>
      <c r="G31" s="77"/>
    </row>
    <row r="32" customFormat="false" ht="13.5" hidden="false" customHeight="true" outlineLevel="0" collapsed="false">
      <c r="B32" s="99" t="s">
        <v>4538</v>
      </c>
      <c r="C32" s="99"/>
      <c r="D32" s="99"/>
      <c r="E32" s="99"/>
    </row>
    <row r="33" customFormat="false" ht="13.5" hidden="false" customHeight="true" outlineLevel="0" collapsed="false">
      <c r="B33" s="99" t="s">
        <v>4539</v>
      </c>
      <c r="C33" s="99"/>
      <c r="D33" s="99"/>
      <c r="E33" s="99"/>
    </row>
    <row r="34" customFormat="false" ht="13.5" hidden="false" customHeight="true" outlineLevel="0" collapsed="false">
      <c r="B34" s="100" t="s">
        <v>4329</v>
      </c>
      <c r="C34" s="100"/>
      <c r="D34" s="100"/>
      <c r="E34" s="100"/>
    </row>
    <row r="35" customFormat="false" ht="13.5" hidden="false" customHeight="true" outlineLevel="0" collapsed="false">
      <c r="B35" s="99" t="s">
        <v>4540</v>
      </c>
      <c r="C35" s="99"/>
      <c r="D35" s="99"/>
      <c r="E35" s="99"/>
    </row>
    <row r="36" customFormat="false" ht="13.5" hidden="false" customHeight="true" outlineLevel="0" collapsed="false">
      <c r="B36" s="99" t="s">
        <v>4333</v>
      </c>
      <c r="C36" s="99"/>
      <c r="D36" s="99"/>
      <c r="E36" s="99"/>
    </row>
    <row r="38" customFormat="false" ht="15" hidden="false" customHeight="true" outlineLevel="0" collapsed="false">
      <c r="B38" s="74" t="s">
        <v>4334</v>
      </c>
      <c r="C38" s="77"/>
      <c r="D38" s="77"/>
      <c r="E38" s="77"/>
      <c r="F38" s="77"/>
      <c r="G38" s="77"/>
    </row>
    <row r="39" customFormat="false" ht="15" hidden="false" customHeight="true" outlineLevel="0" collapsed="false">
      <c r="B39" s="78" t="s">
        <v>1673</v>
      </c>
      <c r="C39" s="101" t="str">
        <f aca="false">"No goal"</f>
        <v>No goal</v>
      </c>
      <c r="E39" s="102" t="s">
        <v>4515</v>
      </c>
    </row>
    <row r="41" customFormat="false" ht="15" hidden="false" customHeight="true" outlineLevel="0" collapsed="false">
      <c r="B41" s="74" t="s">
        <v>4342</v>
      </c>
      <c r="C41" s="77"/>
      <c r="D41" s="77"/>
      <c r="E41" s="77"/>
      <c r="F41" s="77"/>
      <c r="G41" s="77"/>
    </row>
    <row r="42" customFormat="false" ht="15" hidden="false" customHeight="true" outlineLevel="0" collapsed="false">
      <c r="B42" s="105" t="s">
        <v>4541</v>
      </c>
      <c r="C42" s="105"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
      </c>
    </row>
    <row r="43" customFormat="false" ht="15" hidden="false" customHeight="true" outlineLevel="0" collapsed="false">
      <c r="B43" s="105" t="s">
        <v>4542</v>
      </c>
      <c r="C43" s="105"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
      </c>
    </row>
    <row r="44" customFormat="false" ht="15" hidden="false" customHeight="true" outlineLevel="0" collapsed="false">
      <c r="B44" s="105" t="s">
        <v>4543</v>
      </c>
      <c r="C44" s="105"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4544</v>
      </c>
      <c r="E1" s="70" t="s">
        <v>4545</v>
      </c>
    </row>
    <row r="2" customFormat="false" ht="15" hidden="false" customHeight="true" outlineLevel="0" collapsed="false">
      <c r="B2" s="71" t="s">
        <v>4546</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4547</v>
      </c>
    </row>
    <row r="5" customFormat="false" ht="15" hidden="false" customHeight="true" outlineLevel="0" collapsed="false">
      <c r="B5" s="74" t="s">
        <v>4276</v>
      </c>
      <c r="C5" s="75" t="s">
        <v>914</v>
      </c>
      <c r="D5" s="75" t="s">
        <v>915</v>
      </c>
      <c r="E5" s="75" t="s">
        <v>4277</v>
      </c>
      <c r="F5" s="76" t="s">
        <v>4278</v>
      </c>
      <c r="G5" s="77"/>
    </row>
    <row r="6" customFormat="false" ht="15" hidden="false" customHeight="true" outlineLevel="0" collapsed="false">
      <c r="B6" s="78" t="s">
        <v>4548</v>
      </c>
      <c r="C6" s="79"/>
      <c r="D6" s="80" t="s">
        <v>966</v>
      </c>
      <c r="E6" s="81" t="s">
        <v>4549</v>
      </c>
      <c r="F6" s="82" t="n">
        <v>1800</v>
      </c>
      <c r="G6" s="83" t="n">
        <f aca="false">IF(ISBLANK(C6),IF(Fill_Example="Yes",F6,""),C6)</f>
        <v>1800</v>
      </c>
    </row>
    <row r="7" customFormat="false" ht="15" hidden="false" customHeight="true" outlineLevel="0" collapsed="false">
      <c r="B7" s="78" t="s">
        <v>4420</v>
      </c>
      <c r="C7" s="79"/>
      <c r="D7" s="80" t="s">
        <v>966</v>
      </c>
      <c r="E7" s="81" t="s">
        <v>4421</v>
      </c>
      <c r="F7" s="82" t="n">
        <v>350000</v>
      </c>
      <c r="G7" s="83" t="n">
        <f aca="false">IF(ISBLANK(C7),IF(Fill_Example="Yes",F7,""),C7)</f>
        <v>350000</v>
      </c>
    </row>
    <row r="8" customFormat="false" ht="15" hidden="false" customHeight="true" outlineLevel="0" collapsed="false">
      <c r="B8" s="78" t="s">
        <v>4434</v>
      </c>
      <c r="C8" s="79"/>
      <c r="D8" s="80" t="s">
        <v>966</v>
      </c>
      <c r="E8" s="81" t="s">
        <v>4550</v>
      </c>
      <c r="F8" s="82" t="n">
        <v>35000</v>
      </c>
      <c r="G8" s="83" t="n">
        <f aca="false">IF(ISBLANK(C8),IF(IFERROR(INDEX('Plan inputs'!$Q$111:$Q$132,MATCH("home",'Plan inputs'!$N$111:$N$132,0)),0)&gt;0,IFERROR(INDEX('Plan inputs'!$Q$111:$Q$132,MATCH("home",'Plan inputs'!$N$111:$N$132,0)),0),IF(Fill_Example="Yes",F8,"")),C8)</f>
        <v>35000</v>
      </c>
    </row>
    <row r="9" customFormat="false" ht="21.75" hidden="false" customHeight="true" outlineLevel="0" collapsed="false">
      <c r="B9" s="78" t="s">
        <v>132</v>
      </c>
      <c r="C9" s="87"/>
      <c r="D9" s="80" t="s">
        <v>4287</v>
      </c>
      <c r="E9" s="88"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89" t="n">
        <f aca="false">IF(ISNUMBER(Suggest_Mortgage_Rate),Suggest_Mortgage_Rate,"")</f>
        <v>0.0348</v>
      </c>
      <c r="G9" s="90" t="n">
        <f aca="false">IF(ISBLANK(C9),IF(Fill_Example="Yes",F9,""),C9)</f>
        <v>0.0348</v>
      </c>
    </row>
    <row r="10" customFormat="false" ht="15" hidden="false" customHeight="true" outlineLevel="0" collapsed="false">
      <c r="B10" s="78" t="s">
        <v>4551</v>
      </c>
      <c r="C10" s="91"/>
      <c r="D10" s="80" t="s">
        <v>1004</v>
      </c>
      <c r="E10" s="81" t="s">
        <v>4526</v>
      </c>
      <c r="F10" s="92" t="n">
        <v>30</v>
      </c>
      <c r="G10" s="93" t="n">
        <f aca="false">IF(AND(ISNUMBER(C10),N(C10)&lt;5),"",IF(ISBLANK(C10),IF(Fill_Example="Yes",F10,""),C10))</f>
        <v>30</v>
      </c>
    </row>
    <row r="11" customFormat="false" ht="15" hidden="false" customHeight="true" outlineLevel="0" collapsed="false">
      <c r="B11" s="78" t="s">
        <v>4552</v>
      </c>
      <c r="C11" s="91"/>
      <c r="D11" s="80" t="s">
        <v>1004</v>
      </c>
      <c r="E11" s="81" t="s">
        <v>4553</v>
      </c>
      <c r="F11" s="92" t="n">
        <v>10</v>
      </c>
      <c r="G11" s="93" t="n">
        <f aca="false">IF(ISBLANK(C11),IF(Fill_Example="Yes",F11,""),C11)</f>
        <v>10</v>
      </c>
    </row>
    <row r="12" customFormat="false" ht="21.75" hidden="false" customHeight="true" outlineLevel="0" collapsed="false">
      <c r="B12" s="78" t="s">
        <v>4554</v>
      </c>
      <c r="C12" s="87"/>
      <c r="D12" s="80" t="s">
        <v>4287</v>
      </c>
      <c r="E12" s="88" t="s">
        <v>4555</v>
      </c>
      <c r="F12" s="89" t="n">
        <f aca="false">Set_houseGrow</f>
        <v>0.02</v>
      </c>
      <c r="G12" s="90" t="n">
        <f aca="false">IF(ISBLANK(C12),F12,C12)</f>
        <v>0.02</v>
      </c>
    </row>
    <row r="13" customFormat="false" ht="21.75" hidden="false" customHeight="true" outlineLevel="0" collapsed="false">
      <c r="B13" s="78" t="s">
        <v>4556</v>
      </c>
      <c r="C13" s="87"/>
      <c r="D13" s="80" t="s">
        <v>4287</v>
      </c>
      <c r="E13" s="88" t="s">
        <v>4557</v>
      </c>
      <c r="F13" s="89" t="n">
        <f aca="false">Set_rentRise</f>
        <v>0.03</v>
      </c>
      <c r="G13" s="90" t="n">
        <f aca="false">IF(ISBLANK(C13),F13,C13)</f>
        <v>0.03</v>
      </c>
    </row>
    <row r="14" customFormat="false" ht="21.75" hidden="false" customHeight="true" outlineLevel="0" collapsed="false">
      <c r="B14" s="78" t="s">
        <v>4558</v>
      </c>
      <c r="C14" s="87"/>
      <c r="D14" s="80" t="s">
        <v>4287</v>
      </c>
      <c r="E14" s="88" t="s">
        <v>4559</v>
      </c>
      <c r="F14" s="89" t="n">
        <f aca="false">Set_upkeep</f>
        <v>0.01</v>
      </c>
      <c r="G14" s="90" t="n">
        <f aca="false">IF(ISBLANK(C14),F14,C14)</f>
        <v>0.01</v>
      </c>
    </row>
    <row r="15" customFormat="false" ht="21.75" hidden="false" customHeight="true" outlineLevel="0" collapsed="false">
      <c r="B15" s="78" t="s">
        <v>4290</v>
      </c>
      <c r="C15" s="79"/>
      <c r="D15" s="80" t="s">
        <v>966</v>
      </c>
      <c r="E15" s="88"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82" t="str">
        <f aca="false">IF(ISNUMBER(Suggest_Buying_Fees),Suggest_Buying_Fees,"")</f>
        <v/>
      </c>
      <c r="G15" s="83" t="n">
        <f aca="false">IF(ISBLANK(C15),IF(AND(Fill_Example="Yes",ISNUMBER(F15)),F15,0),C15)</f>
        <v>0</v>
      </c>
    </row>
    <row r="16" customFormat="false" ht="21.75" hidden="false" customHeight="true" outlineLevel="0" collapsed="false">
      <c r="B16" s="78" t="s">
        <v>4560</v>
      </c>
      <c r="C16" s="87"/>
      <c r="D16" s="80" t="s">
        <v>4287</v>
      </c>
      <c r="E16" s="88"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89" t="n">
        <f aca="false">IF(ISNUMBER(Suggest_Deposit_Rate),ROUND(Suggest_Deposit_Rate*(1-DIRT),4),"")</f>
        <v>0.0129</v>
      </c>
      <c r="G16" s="90" t="n">
        <f aca="false">IF(ISBLANK(C16),IF(ISNUMBER(F16),F16,0),C16)</f>
        <v>0.0129</v>
      </c>
    </row>
    <row r="17" customFormat="false" ht="15" hidden="false" customHeight="true" outlineLevel="0" collapsed="false">
      <c r="B17" s="78" t="s">
        <v>4291</v>
      </c>
      <c r="C17" s="91"/>
      <c r="D17" s="80" t="s">
        <v>1004</v>
      </c>
      <c r="E17" s="81" t="s">
        <v>4292</v>
      </c>
      <c r="F17" s="92" t="n">
        <v>3</v>
      </c>
      <c r="G17" s="93" t="n">
        <f aca="false">IF(ISBLANK(C17),IF(Fill_Example="Yes",F17,""),C17)</f>
        <v>3</v>
      </c>
    </row>
    <row r="18" customFormat="false" ht="15" hidden="false" customHeight="true" outlineLevel="0" collapsed="false">
      <c r="B18" s="20" t="s">
        <v>4561</v>
      </c>
      <c r="C18" s="20" t="n">
        <f aca="false">IF(OR(Home_Price="",Deposit=""),"",MIN(MAX(Deposit,Home_Price*(1-LTV_Max)),Home_Price))</f>
        <v>35000</v>
      </c>
      <c r="D18" s="20" t="s">
        <v>966</v>
      </c>
    </row>
    <row r="19" customFormat="false" ht="15" hidden="false" customHeight="true" outlineLevel="0" collapsed="false">
      <c r="B19" s="74" t="s">
        <v>4099</v>
      </c>
      <c r="C19" s="75" t="s">
        <v>329</v>
      </c>
      <c r="D19" s="75" t="s">
        <v>4295</v>
      </c>
      <c r="E19" s="75" t="s">
        <v>4296</v>
      </c>
      <c r="F19" s="77"/>
      <c r="G19" s="77"/>
    </row>
    <row r="20" customFormat="false" ht="17.25" hidden="false" customHeight="true" outlineLevel="0" collapsed="false">
      <c r="B20" s="71" t="s">
        <v>4562</v>
      </c>
      <c r="C20" s="94" t="n">
        <f aca="false">IF(Need_1&lt;&gt;"",Need_1,Home_Value-Balance_After)</f>
        <v>182927.695392711</v>
      </c>
      <c r="D20" s="80" t="s">
        <v>966</v>
      </c>
      <c r="E20" s="95" t="s">
        <v>4563</v>
      </c>
    </row>
    <row r="21" customFormat="false" ht="17.25" hidden="false" customHeight="true" outlineLevel="0" collapsed="false">
      <c r="B21" s="71" t="s">
        <v>4564</v>
      </c>
      <c r="C21" s="94" t="n">
        <f aca="false">IF(Need_2&lt;&gt;"",Need_2,IF(Rent_Growth=0,Monthly_Rent*12*Years,Monthly_Rent*12*((1+Rent_Growth)^Years-1)/Rent_Growth))</f>
        <v>247619.793127768</v>
      </c>
      <c r="D21" s="80" t="s">
        <v>966</v>
      </c>
      <c r="E21" s="95" t="s">
        <v>4565</v>
      </c>
    </row>
    <row r="22" customFormat="false" ht="17.25" hidden="false" customHeight="true" outlineLevel="0" collapsed="false">
      <c r="B22" s="71" t="s">
        <v>4566</v>
      </c>
      <c r="C22" s="94" t="n">
        <f aca="false">IF(Need_3&lt;&gt;"",Need_3,Interest_Paid+Upkeep+Stamp_Duty+Buying_Fees+Opportunity_Cost)</f>
        <v>144647.860506949</v>
      </c>
      <c r="D22" s="80" t="s">
        <v>966</v>
      </c>
      <c r="E22" s="95" t="s">
        <v>4567</v>
      </c>
    </row>
    <row r="23" customFormat="false" ht="15" hidden="false" customHeight="true" outlineLevel="0" collapsed="false">
      <c r="B23" s="78" t="s">
        <v>991</v>
      </c>
      <c r="C23" s="96" t="n">
        <f aca="false">IF(Need_4&lt;&gt;"",Need_4,Home_Price*(1+House_Growth)^Years)</f>
        <v>426648.046998165</v>
      </c>
      <c r="D23" s="80" t="s">
        <v>966</v>
      </c>
      <c r="E23" s="95" t="s">
        <v>4568</v>
      </c>
    </row>
    <row r="24" customFormat="false" ht="15" hidden="false" customHeight="true" outlineLevel="0" collapsed="false">
      <c r="B24" s="78" t="s">
        <v>4569</v>
      </c>
      <c r="C24" s="96" t="n">
        <f aca="false">IF(Need_5&lt;&gt;"",Need_5,MAX(0,Home_Price-Deposit_Used))</f>
        <v>315000</v>
      </c>
      <c r="D24" s="80" t="s">
        <v>966</v>
      </c>
      <c r="E24" s="95" t="s">
        <v>4570</v>
      </c>
    </row>
    <row r="25" customFormat="false" ht="15" hidden="false" customHeight="true" outlineLevel="0" collapsed="false">
      <c r="B25" s="78" t="s">
        <v>3825</v>
      </c>
      <c r="C25" s="96" t="n">
        <f aca="false">IF(Need_6&lt;&gt;"",Need_6,PMT(Mortgage_Rate/12,RentBuy_Term*12,-Loan))</f>
        <v>1410.97639029501</v>
      </c>
      <c r="D25" s="80" t="s">
        <v>966</v>
      </c>
      <c r="E25" s="95" t="s">
        <v>4571</v>
      </c>
    </row>
    <row r="26" customFormat="false" ht="15" hidden="false" customHeight="true" outlineLevel="0" collapsed="false">
      <c r="B26" s="78" t="s">
        <v>4572</v>
      </c>
      <c r="C26" s="96" t="n">
        <f aca="false">IF(Need_7&lt;&gt;"",Need_7,MAX(0,-FV(Mortgage_Rate/12,MIN(Years,RentBuy_Term)*12,-Monthly_Repayment,Loan)))</f>
        <v>243720.351605454</v>
      </c>
      <c r="D26" s="80" t="s">
        <v>966</v>
      </c>
      <c r="E26" s="95" t="s">
        <v>4573</v>
      </c>
    </row>
    <row r="27" customFormat="false" ht="15" hidden="false" customHeight="true" outlineLevel="0" collapsed="false">
      <c r="B27" s="78" t="s">
        <v>4574</v>
      </c>
      <c r="C27" s="96" t="n">
        <f aca="false">IF(Need_7&lt;&gt;"",Need_7,Monthly_Repayment*MIN(Years,RentBuy_Term)*12-(Loan-Balance_After))</f>
        <v>98037.5184408545</v>
      </c>
      <c r="D27" s="80" t="s">
        <v>966</v>
      </c>
      <c r="E27" s="95" t="s">
        <v>4575</v>
      </c>
    </row>
    <row r="28" customFormat="false" ht="21.75" hidden="false" customHeight="true" outlineLevel="0" collapsed="false">
      <c r="B28" s="78" t="s">
        <v>4576</v>
      </c>
      <c r="C28" s="96" t="n">
        <f aca="false">IF(Need_8&lt;&gt;"",Need_8,IF(House_Growth=0,Home_Price*Upkeep_Rate*Years,Home_Price*Upkeep_Rate*((1+House_Growth)^Years-1)/House_Growth))</f>
        <v>38324.0234990825</v>
      </c>
      <c r="D28" s="80" t="s">
        <v>966</v>
      </c>
      <c r="E28" s="95" t="s">
        <v>4577</v>
      </c>
    </row>
    <row r="29" customFormat="false" ht="21.75" hidden="false" customHeight="true" outlineLevel="0" collapsed="false">
      <c r="B29" s="78" t="s">
        <v>84</v>
      </c>
      <c r="C29" s="96" t="n">
        <f aca="false">IF(Need_9&lt;&gt;"",Need_9,SD_Rate_1*MIN(Home_Price,SD_Band_1)+SD_Rate_2*MAX(0,MIN(Home_Price,SD_Band_2)-SD_Band_1)+SD_Rate_3*MAX(0,Home_Price-SD_Band_2))</f>
        <v>3500</v>
      </c>
      <c r="D29" s="80" t="s">
        <v>966</v>
      </c>
      <c r="E29" s="95" t="s">
        <v>4304</v>
      </c>
    </row>
    <row r="30" customFormat="false" ht="15" hidden="false" customHeight="true" outlineLevel="0" collapsed="false">
      <c r="B30" s="78" t="s">
        <v>4578</v>
      </c>
      <c r="C30" s="96" t="n">
        <f aca="false">IF(Need_10&lt;&gt;"",Need_10,Deposit_Used*((1+Opp_Rate)^Years-1))</f>
        <v>4786.31856701236</v>
      </c>
      <c r="D30" s="80" t="s">
        <v>966</v>
      </c>
      <c r="E30" s="95" t="s">
        <v>4579</v>
      </c>
    </row>
    <row r="32" customFormat="false" ht="15" hidden="false" customHeight="true" outlineLevel="0" collapsed="false">
      <c r="B32" s="74" t="s">
        <v>4326</v>
      </c>
      <c r="C32" s="77"/>
      <c r="D32" s="77"/>
      <c r="E32" s="77"/>
      <c r="F32" s="77"/>
      <c r="G32" s="77"/>
    </row>
    <row r="33" customFormat="false" ht="27.75" hidden="false" customHeight="true" outlineLevel="0" collapsed="false">
      <c r="B33" s="99" t="s">
        <v>4580</v>
      </c>
      <c r="C33" s="99"/>
      <c r="D33" s="99"/>
      <c r="E33" s="99"/>
    </row>
    <row r="34" customFormat="false" ht="27.75" hidden="false" customHeight="true" outlineLevel="0" collapsed="false">
      <c r="B34" s="99" t="s">
        <v>4581</v>
      </c>
      <c r="C34" s="99"/>
      <c r="D34" s="99"/>
      <c r="E34" s="99"/>
    </row>
    <row r="35" customFormat="false" ht="27.75" hidden="false" customHeight="true" outlineLevel="0" collapsed="false">
      <c r="B35" s="99" t="s">
        <v>4582</v>
      </c>
      <c r="C35" s="99"/>
      <c r="D35" s="99"/>
      <c r="E35" s="99"/>
    </row>
    <row r="36" customFormat="false" ht="13.5" hidden="false" customHeight="true" outlineLevel="0" collapsed="false">
      <c r="B36" s="100" t="s">
        <v>4329</v>
      </c>
      <c r="C36" s="100"/>
      <c r="D36" s="100"/>
      <c r="E36" s="100"/>
    </row>
    <row r="37" customFormat="false" ht="13.5" hidden="false" customHeight="true" outlineLevel="0" collapsed="false">
      <c r="B37" s="99" t="s">
        <v>4583</v>
      </c>
      <c r="C37" s="99"/>
      <c r="D37" s="99"/>
      <c r="E37" s="99"/>
    </row>
    <row r="38" customFormat="false" ht="27.75" hidden="false" customHeight="true" outlineLevel="0" collapsed="false">
      <c r="B38" s="99" t="s">
        <v>4584</v>
      </c>
      <c r="C38" s="99"/>
      <c r="D38" s="99"/>
      <c r="E38" s="99"/>
    </row>
    <row r="40" customFormat="false" ht="15" hidden="false" customHeight="true" outlineLevel="0" collapsed="false">
      <c r="B40" s="74" t="s">
        <v>4334</v>
      </c>
      <c r="C40" s="77"/>
      <c r="D40" s="77"/>
      <c r="E40" s="77"/>
      <c r="F40" s="77"/>
      <c r="G40" s="77"/>
    </row>
    <row r="41" customFormat="false" ht="15" hidden="false" customHeight="true" outlineLevel="0" collapsed="false">
      <c r="B41" s="78" t="s">
        <v>1673</v>
      </c>
      <c r="C41" s="101" t="str">
        <f aca="false">"Buy a home (deposit goal)"</f>
        <v>Buy a home (deposit goal)</v>
      </c>
      <c r="E41" s="102" t="s">
        <v>4335</v>
      </c>
    </row>
    <row r="42" customFormat="false" ht="15" hidden="false" customHeight="true" outlineLevel="0" collapsed="false">
      <c r="B42" s="78" t="s">
        <v>4441</v>
      </c>
      <c r="C42" s="103" t="n">
        <f aca="false">IF(Need_11&lt;&gt;"",Need_11,ROUND(Deposit_Used+Stamp_Duty+Buying_Fees,0))</f>
        <v>38500</v>
      </c>
      <c r="E42" s="102" t="s">
        <v>4585</v>
      </c>
    </row>
    <row r="43" customFormat="false" ht="15" hidden="false" customHeight="true" outlineLevel="0" collapsed="false">
      <c r="B43" s="78" t="s">
        <v>4340</v>
      </c>
      <c r="C43" s="104" t="n">
        <f aca="false">IF(Need_12&lt;&gt;"",Need_12,Home_Goal_Years)</f>
        <v>3</v>
      </c>
      <c r="E43" s="102" t="s">
        <v>4341</v>
      </c>
    </row>
    <row r="45" customFormat="false" ht="15" hidden="false" customHeight="true" outlineLevel="0" collapsed="false">
      <c r="B45" s="74" t="s">
        <v>4342</v>
      </c>
      <c r="C45" s="77"/>
      <c r="D45" s="77"/>
      <c r="E45" s="77"/>
      <c r="F45" s="77"/>
      <c r="G45" s="77"/>
    </row>
    <row r="46" customFormat="false" ht="15" hidden="false" customHeight="true" outlineLevel="0" collapsed="false">
      <c r="B46" s="105" t="s">
        <v>4586</v>
      </c>
      <c r="C46" s="105" t="str">
        <f aca="false">IF(Home_Price="","Choose your home price to see this",IF(Deposit="","Choose your deposit to see this",IF(RentBuy_Term="","Choose your mortgage term to see this",IF(Years="","Choose your years to compare to see this",IF(Mortgage_Rate="","Choose your mortgage rate to see this","")))))</f>
        <v/>
      </c>
    </row>
    <row r="47" customFormat="false" ht="15" hidden="false" customHeight="true" outlineLevel="0" collapsed="false">
      <c r="B47" s="105" t="s">
        <v>4587</v>
      </c>
      <c r="C47" s="105" t="str">
        <f aca="false">IF(Monthly_Rent="","Choose your monthly rent to see this",IF(Years="","Choose your years to compare to see this",IF(Mortgage_Rate="","Choose your mortgage rate to see this","")))</f>
        <v/>
      </c>
    </row>
    <row r="48" customFormat="false" ht="15" hidden="false" customHeight="true" outlineLevel="0" collapsed="false">
      <c r="B48" s="105" t="s">
        <v>4588</v>
      </c>
      <c r="C48" s="105"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
      </c>
    </row>
    <row r="49" customFormat="false" ht="15" hidden="false" customHeight="true" outlineLevel="0" collapsed="false">
      <c r="B49" s="105" t="s">
        <v>4589</v>
      </c>
      <c r="C49" s="105" t="str">
        <f aca="false">IF(Home_Price="","Choose your home price to see this",IF(Years="","Choose your years to compare to see this",IF(Mortgage_Rate="","Choose your mortgage rate to see this","")))</f>
        <v/>
      </c>
    </row>
    <row r="50" customFormat="false" ht="15" hidden="false" customHeight="true" outlineLevel="0" collapsed="false">
      <c r="B50" s="105" t="s">
        <v>4590</v>
      </c>
      <c r="C50" s="105" t="str">
        <f aca="false">IF(Home_Price="","Choose your home price to see this",IF(Deposit="","Choose your deposit to see this",IF(Mortgage_Rate="","Choose your mortgage rate to see this","")))</f>
        <v/>
      </c>
    </row>
    <row r="51" customFormat="false" ht="15" hidden="false" customHeight="true" outlineLevel="0" collapsed="false">
      <c r="B51" s="105" t="s">
        <v>4591</v>
      </c>
      <c r="C51" s="105" t="str">
        <f aca="false">IF(Home_Price="","Choose your home price to see this",IF(Deposit="","Choose your deposit to see this",IF(RentBuy_Term="","Choose your mortgage term to see this",IF(Mortgage_Rate="","Choose your mortgage rate to see this",""))))</f>
        <v/>
      </c>
    </row>
    <row r="52" customFormat="false" ht="15" hidden="false" customHeight="true" outlineLevel="0" collapsed="false">
      <c r="B52" s="105" t="s">
        <v>4592</v>
      </c>
      <c r="C52" s="105" t="str">
        <f aca="false">IF(Home_Price="","Choose your home price to see this",IF(Deposit="","Choose your deposit to see this",IF(RentBuy_Term="","Choose your mortgage term to see this",IF(Years="","Choose your years to compare to see this",IF(Mortgage_Rate="","Choose your mortgage rate to see this","")))))</f>
        <v/>
      </c>
    </row>
    <row r="53" customFormat="false" ht="15" hidden="false" customHeight="true" outlineLevel="0" collapsed="false">
      <c r="B53" s="105" t="s">
        <v>4593</v>
      </c>
      <c r="C53" s="105" t="str">
        <f aca="false">IF(Home_Price="","Choose your home price to see this",IF(Years="","Choose your years to compare to see this",IF(Mortgage_Rate="","Choose your mortgage rate to see this","")))</f>
        <v/>
      </c>
    </row>
    <row r="54" customFormat="false" ht="15" hidden="false" customHeight="true" outlineLevel="0" collapsed="false">
      <c r="B54" s="105" t="s">
        <v>4449</v>
      </c>
      <c r="C54" s="105" t="str">
        <f aca="false">IF(Home_Price="","Choose your home price to see this",IF(Mortgage_Rate="","Choose your mortgage rate to see this",""))</f>
        <v/>
      </c>
    </row>
    <row r="55" customFormat="false" ht="15" hidden="false" customHeight="true" outlineLevel="0" collapsed="false">
      <c r="B55" s="105" t="s">
        <v>4594</v>
      </c>
      <c r="C55" s="105" t="str">
        <f aca="false">IF(Deposit="","Choose your deposit to see this",IF(Years="","Choose your years to compare to see this",IF(Opp_Rate="","Choose your deposit earnings rate to see this",IF(Mortgage_Rate="","Choose your mortgage rate to see this",""))))</f>
        <v/>
      </c>
    </row>
    <row r="56" customFormat="false" ht="15" hidden="false" customHeight="true" outlineLevel="0" collapsed="false">
      <c r="B56" s="105" t="s">
        <v>4595</v>
      </c>
      <c r="C56" s="105" t="str">
        <f aca="false">IF(Home_Price="","Choose your home price to see this",IF(Deposit="","Choose your deposit to see this",IF(Buying_Fees="","Choose your buying fees to see this",IF(Mortgage_Rate="","Choose your mortgage rate to see this",""))))</f>
        <v/>
      </c>
    </row>
    <row r="57" customFormat="false" ht="15" hidden="false" customHeight="true" outlineLevel="0" collapsed="false">
      <c r="B57" s="105" t="s">
        <v>4349</v>
      </c>
      <c r="C57" s="105" t="str">
        <f aca="false">IF(Home_Goal_Years="","Choose your years until you buy to see this",IF(Mortgage_Rate="","Choose your mortgage rate to see this",""))</f>
        <v/>
      </c>
    </row>
    <row r="59" customFormat="false" ht="15" hidden="false" customHeight="true" outlineLevel="0" collapsed="false">
      <c r="B59" s="25" t="s">
        <v>4596</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4597</v>
      </c>
      <c r="E1" s="70" t="s">
        <v>4598</v>
      </c>
    </row>
    <row r="2" customFormat="false" ht="15" hidden="false" customHeight="true" outlineLevel="0" collapsed="false">
      <c r="B2" s="71" t="s">
        <v>4599</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4600</v>
      </c>
    </row>
    <row r="5" customFormat="false" ht="15" hidden="false" customHeight="true" outlineLevel="0" collapsed="false">
      <c r="B5" s="74" t="s">
        <v>4601</v>
      </c>
      <c r="C5" s="75" t="s">
        <v>914</v>
      </c>
      <c r="D5" s="75" t="s">
        <v>915</v>
      </c>
      <c r="E5" s="75" t="s">
        <v>4277</v>
      </c>
      <c r="F5" s="76" t="s">
        <v>4278</v>
      </c>
      <c r="G5" s="77"/>
    </row>
    <row r="6" customFormat="false" ht="21.75" hidden="false" customHeight="true" outlineLevel="0" collapsed="false">
      <c r="B6" s="78" t="s">
        <v>4602</v>
      </c>
      <c r="C6" s="87"/>
      <c r="D6" s="80" t="s">
        <v>4287</v>
      </c>
      <c r="E6" s="88"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89" t="n">
        <v>0.02</v>
      </c>
      <c r="G6" s="90" t="n">
        <f aca="false">IF(ISBLANK(C6),IF(Fill_Example="Yes",F6,""),C6)</f>
        <v>0.02</v>
      </c>
    </row>
    <row r="7" customFormat="false" ht="27.75" hidden="false" customHeight="true" outlineLevel="0" collapsed="false">
      <c r="B7" s="10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06"/>
      <c r="D7" s="106"/>
      <c r="E7" s="106"/>
    </row>
    <row r="9" customFormat="false" ht="15" hidden="false" customHeight="true" outlineLevel="0" collapsed="false">
      <c r="B9" s="74" t="s">
        <v>4276</v>
      </c>
      <c r="C9" s="75" t="s">
        <v>914</v>
      </c>
      <c r="D9" s="75" t="s">
        <v>915</v>
      </c>
      <c r="E9" s="75" t="s">
        <v>4277</v>
      </c>
      <c r="F9" s="76" t="s">
        <v>4278</v>
      </c>
      <c r="G9" s="77"/>
    </row>
    <row r="10" customFormat="false" ht="15" hidden="false" customHeight="true" outlineLevel="0" collapsed="false">
      <c r="B10" s="78" t="s">
        <v>4603</v>
      </c>
      <c r="C10" s="79"/>
      <c r="D10" s="80" t="s">
        <v>966</v>
      </c>
      <c r="E10" s="81" t="s">
        <v>4604</v>
      </c>
      <c r="F10" s="82" t="n">
        <v>15000</v>
      </c>
      <c r="G10" s="83" t="n">
        <f aca="false">IF(ISBLANK(C10),IF(Fill_Example="Yes",F10,""),C10)</f>
        <v>15000</v>
      </c>
    </row>
    <row r="11" customFormat="false" ht="15" hidden="false" customHeight="true" outlineLevel="0" collapsed="false">
      <c r="B11" s="78" t="s">
        <v>4605</v>
      </c>
      <c r="C11" s="91"/>
      <c r="D11" s="80" t="s">
        <v>1004</v>
      </c>
      <c r="E11" s="81" t="s">
        <v>4553</v>
      </c>
      <c r="F11" s="92" t="n">
        <v>3</v>
      </c>
      <c r="G11" s="93" t="n">
        <f aca="false">IF(AND(ISNUMBER(C11),N(C11)&lt;1),"",IF(ISBLANK(C11),IF(Fill_Example="Yes",F11,""),C11))</f>
        <v>3</v>
      </c>
    </row>
    <row r="12" customFormat="false" ht="15" hidden="false" customHeight="true" outlineLevel="0" collapsed="false">
      <c r="B12" s="78" t="s">
        <v>4338</v>
      </c>
      <c r="C12" s="79"/>
      <c r="D12" s="80" t="s">
        <v>966</v>
      </c>
      <c r="E12" s="81" t="s">
        <v>4606</v>
      </c>
      <c r="F12" s="82" t="n">
        <v>2000</v>
      </c>
      <c r="G12" s="83" t="n">
        <f aca="false">IF(ISBLANK(C12),IF(Fill_Example="Yes",F12,""),C12)</f>
        <v>2000</v>
      </c>
    </row>
    <row r="13" customFormat="false" ht="21.75" hidden="false" customHeight="true" outlineLevel="0" collapsed="false">
      <c r="B13" s="78" t="s">
        <v>4607</v>
      </c>
      <c r="C13" s="87"/>
      <c r="D13" s="80" t="s">
        <v>4287</v>
      </c>
      <c r="E13" s="88" t="s">
        <v>4608</v>
      </c>
      <c r="F13" s="89" t="n">
        <f aca="false">AS_Cash</f>
        <v>0.01</v>
      </c>
      <c r="G13" s="90" t="n">
        <f aca="false">IF(ISBLANK(C13),F13,C13)</f>
        <v>0.01</v>
      </c>
    </row>
    <row r="15" customFormat="false" ht="15" hidden="false" customHeight="true" outlineLevel="0" collapsed="false">
      <c r="B15" s="74" t="s">
        <v>4099</v>
      </c>
      <c r="C15" s="75" t="s">
        <v>329</v>
      </c>
      <c r="D15" s="75" t="s">
        <v>4295</v>
      </c>
      <c r="E15" s="75" t="s">
        <v>4296</v>
      </c>
      <c r="F15" s="77"/>
      <c r="G15" s="77"/>
    </row>
    <row r="16" customFormat="false" ht="17.25" hidden="false" customHeight="true" outlineLevel="0" collapsed="false">
      <c r="B16" s="71" t="s">
        <v>4609</v>
      </c>
      <c r="C16" s="94" t="n">
        <f aca="false">IF(Need_1&lt;&gt;"",Need_1,IF(Inflation_Choice="","Choose your inflation rate to see this",PMT(Monthly_Growth,Years*12,0,-Still_Needed)))</f>
        <v>379.371616489193</v>
      </c>
      <c r="D16" s="80" t="s">
        <v>966</v>
      </c>
      <c r="E16" s="95" t="s">
        <v>4610</v>
      </c>
    </row>
    <row r="17" customFormat="false" ht="17.25" hidden="false" customHeight="true" outlineLevel="0" collapsed="false">
      <c r="B17" s="71" t="s">
        <v>4611</v>
      </c>
      <c r="C17" s="94" t="n">
        <f aca="false">IF(Need_2&lt;&gt;"",Need_2,IF(Inflation_Choice="","Choose your inflation rate to see this",Goal_Amount*(1+Inflation_Choice)^Years))</f>
        <v>15918.12</v>
      </c>
      <c r="D17" s="80" t="s">
        <v>966</v>
      </c>
      <c r="E17" s="95" t="s">
        <v>4612</v>
      </c>
    </row>
    <row r="18" customFormat="false" ht="15" hidden="false" customHeight="true" outlineLevel="0" collapsed="false">
      <c r="B18" s="78" t="s">
        <v>4613</v>
      </c>
      <c r="C18" s="96" t="n">
        <f aca="false">IF(Need_3&lt;&gt;"",Need_3,Saved*(1+Growth_Rate)^Years)</f>
        <v>2060.602</v>
      </c>
      <c r="D18" s="80" t="s">
        <v>966</v>
      </c>
      <c r="E18" s="95" t="s">
        <v>4614</v>
      </c>
    </row>
    <row r="19" customFormat="false" ht="15" hidden="false" customHeight="true" outlineLevel="0" collapsed="false">
      <c r="B19" s="78" t="s">
        <v>4615</v>
      </c>
      <c r="C19" s="96" t="n">
        <f aca="false">IF(Need_1&lt;&gt;"",Need_1,IF(Inflation_Choice="","Choose your inflation rate to see this",MAX(0,Future_Cost-Saved_Grows_To)))</f>
        <v>13857.518</v>
      </c>
      <c r="D19" s="80" t="s">
        <v>966</v>
      </c>
      <c r="E19" s="95" t="s">
        <v>4616</v>
      </c>
    </row>
    <row r="20" customFormat="false" ht="15" hidden="false" customHeight="true" outlineLevel="0" collapsed="false">
      <c r="B20" s="78" t="s">
        <v>4617</v>
      </c>
      <c r="C20" s="117" t="n">
        <f aca="false">IF(Need_4&lt;&gt;"",Need_4,(1+Growth_Rate)^(1/12)-1)</f>
        <v>0.000829538114346162</v>
      </c>
      <c r="D20" s="80"/>
      <c r="E20" s="95" t="s">
        <v>4618</v>
      </c>
    </row>
    <row r="21" customFormat="false" ht="15" hidden="false" customHeight="true" outlineLevel="0" collapsed="false">
      <c r="B21" s="12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21"/>
      <c r="D21" s="121"/>
      <c r="E21" s="121"/>
    </row>
    <row r="23" customFormat="false" ht="15" hidden="false" customHeight="true" outlineLevel="0" collapsed="false">
      <c r="B23" s="74" t="s">
        <v>4326</v>
      </c>
      <c r="C23" s="77"/>
      <c r="D23" s="77"/>
      <c r="E23" s="77"/>
      <c r="F23" s="77"/>
      <c r="G23" s="77"/>
    </row>
    <row r="24" customFormat="false" ht="13.5" hidden="false" customHeight="true" outlineLevel="0" collapsed="false">
      <c r="B24" s="99" t="s">
        <v>4619</v>
      </c>
      <c r="C24" s="99"/>
      <c r="D24" s="99"/>
      <c r="E24" s="99"/>
    </row>
    <row r="25" customFormat="false" ht="13.5" hidden="false" customHeight="true" outlineLevel="0" collapsed="false">
      <c r="B25" s="99" t="s">
        <v>4620</v>
      </c>
      <c r="C25" s="99"/>
      <c r="D25" s="99"/>
      <c r="E25" s="99"/>
    </row>
    <row r="26" customFormat="false" ht="13.5" hidden="false" customHeight="true" outlineLevel="0" collapsed="false">
      <c r="B26" s="99" t="s">
        <v>4621</v>
      </c>
      <c r="C26" s="99"/>
      <c r="D26" s="99"/>
      <c r="E26" s="99"/>
    </row>
    <row r="27" customFormat="false" ht="13.5" hidden="false" customHeight="true" outlineLevel="0" collapsed="false">
      <c r="B27" s="100" t="s">
        <v>4329</v>
      </c>
      <c r="C27" s="100"/>
      <c r="D27" s="100"/>
      <c r="E27" s="100"/>
    </row>
    <row r="28" customFormat="false" ht="13.5" hidden="false" customHeight="true" outlineLevel="0" collapsed="false">
      <c r="B28" s="99" t="s">
        <v>4622</v>
      </c>
      <c r="C28" s="99"/>
      <c r="D28" s="99"/>
      <c r="E28" s="99"/>
    </row>
    <row r="29" customFormat="false" ht="13.5" hidden="false" customHeight="true" outlineLevel="0" collapsed="false">
      <c r="B29" s="99" t="s">
        <v>4623</v>
      </c>
      <c r="C29" s="99"/>
      <c r="D29" s="99"/>
      <c r="E29" s="99"/>
    </row>
    <row r="31" customFormat="false" ht="15" hidden="false" customHeight="true" outlineLevel="0" collapsed="false">
      <c r="B31" s="74" t="s">
        <v>4334</v>
      </c>
      <c r="C31" s="77"/>
      <c r="D31" s="77"/>
      <c r="E31" s="77"/>
      <c r="F31" s="77"/>
      <c r="G31" s="77"/>
    </row>
    <row r="32" customFormat="false" ht="15" hidden="false" customHeight="true" outlineLevel="0" collapsed="false">
      <c r="B32" s="78" t="s">
        <v>1673</v>
      </c>
      <c r="C32" s="101" t="str">
        <f aca="false">"My goal (spend goal)"</f>
        <v>My goal (spend goal)</v>
      </c>
      <c r="E32" s="102" t="s">
        <v>4624</v>
      </c>
    </row>
    <row r="33" customFormat="false" ht="15" hidden="false" customHeight="true" outlineLevel="0" collapsed="false">
      <c r="B33" s="78" t="s">
        <v>4625</v>
      </c>
      <c r="C33" s="103" t="n">
        <f aca="false">IF(Need_5&lt;&gt;"",Need_5,Goal_Amount)</f>
        <v>15000</v>
      </c>
      <c r="E33" s="102" t="s">
        <v>4626</v>
      </c>
    </row>
    <row r="34" customFormat="false" ht="15" hidden="false" customHeight="true" outlineLevel="0" collapsed="false">
      <c r="B34" s="78" t="s">
        <v>4338</v>
      </c>
      <c r="C34" s="103" t="n">
        <f aca="false">IF(Need_6&lt;&gt;"",Need_6,Saved)</f>
        <v>2000</v>
      </c>
      <c r="E34" s="102" t="s">
        <v>4443</v>
      </c>
    </row>
    <row r="35" customFormat="false" ht="15" hidden="false" customHeight="true" outlineLevel="0" collapsed="false">
      <c r="B35" s="78" t="s">
        <v>4340</v>
      </c>
      <c r="C35" s="104" t="n">
        <f aca="false">IF(Need_7&lt;&gt;"",Need_7,Years)</f>
        <v>3</v>
      </c>
      <c r="E35" s="102" t="s">
        <v>4627</v>
      </c>
    </row>
    <row r="36" customFormat="false" ht="15" hidden="false" customHeight="true" outlineLevel="0" collapsed="false">
      <c r="B36" s="78" t="s">
        <v>4628</v>
      </c>
      <c r="C36" s="122" t="n">
        <f aca="false">IF(Inflation_Choice="","Choose an inflation rate first",Inflation_Choice)</f>
        <v>0.02</v>
      </c>
      <c r="E36" s="102" t="s">
        <v>4629</v>
      </c>
    </row>
    <row r="38" customFormat="false" ht="15" hidden="false" customHeight="true" outlineLevel="0" collapsed="false">
      <c r="B38" s="74" t="s">
        <v>4342</v>
      </c>
      <c r="C38" s="77"/>
      <c r="D38" s="77"/>
      <c r="E38" s="77"/>
      <c r="F38" s="77"/>
      <c r="G38" s="77"/>
    </row>
    <row r="39" customFormat="false" ht="15" hidden="false" customHeight="true" outlineLevel="0" collapsed="false">
      <c r="B39" s="105" t="s">
        <v>4630</v>
      </c>
      <c r="C39" s="105" t="str">
        <f aca="false">IF(Goal_Amount="","Choose your goal amount to see this",IF(Years="","Choose your years until the goal to see this",IF(Saved="","Choose your already saved to see this",IF(Inflation_Choice="","Choose your inflation rate to see this",""))))</f>
        <v/>
      </c>
    </row>
    <row r="40" customFormat="false" ht="15" hidden="false" customHeight="true" outlineLevel="0" collapsed="false">
      <c r="B40" s="105" t="s">
        <v>4631</v>
      </c>
      <c r="C40" s="105" t="str">
        <f aca="false">IF(Goal_Amount="","Choose your goal amount to see this",IF(Years="","Choose your years until the goal to see this",IF(Inflation_Choice="","Choose your inflation rate to see this","")))</f>
        <v/>
      </c>
    </row>
    <row r="41" customFormat="false" ht="15" hidden="false" customHeight="true" outlineLevel="0" collapsed="false">
      <c r="B41" s="105" t="s">
        <v>4632</v>
      </c>
      <c r="C41" s="105" t="str">
        <f aca="false">IF(Years="","Choose your years until the goal to see this",IF(Saved="","Choose your already saved to see this",""))</f>
        <v/>
      </c>
    </row>
    <row r="42" customFormat="false" ht="15" hidden="false" customHeight="true" outlineLevel="0" collapsed="false">
      <c r="B42" s="105" t="s">
        <v>4633</v>
      </c>
      <c r="C42" s="105" t="str">
        <f aca="false">""</f>
        <v/>
      </c>
    </row>
    <row r="43" customFormat="false" ht="15" hidden="false" customHeight="true" outlineLevel="0" collapsed="false">
      <c r="B43" s="105" t="s">
        <v>4634</v>
      </c>
      <c r="C43" s="105" t="str">
        <f aca="false">IF(Goal_Amount="","Choose your goal amount to see this","")</f>
        <v/>
      </c>
    </row>
    <row r="44" customFormat="false" ht="15" hidden="false" customHeight="true" outlineLevel="0" collapsed="false">
      <c r="B44" s="105" t="s">
        <v>4635</v>
      </c>
      <c r="C44" s="105" t="str">
        <f aca="false">IF(Saved="","Choose your already saved to see this","")</f>
        <v/>
      </c>
    </row>
    <row r="45" customFormat="false" ht="15" hidden="false" customHeight="true" outlineLevel="0" collapsed="false">
      <c r="B45" s="105" t="s">
        <v>4636</v>
      </c>
      <c r="C45" s="105" t="str">
        <f aca="false">IF(Years="","Choose your years until the goal to see this","")</f>
        <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4637</v>
      </c>
      <c r="E1" s="70" t="s">
        <v>4638</v>
      </c>
    </row>
    <row r="2" customFormat="false" ht="15" hidden="false" customHeight="true" outlineLevel="0" collapsed="false">
      <c r="B2" s="71" t="s">
        <v>4639</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4640</v>
      </c>
    </row>
    <row r="5" customFormat="false" ht="15" hidden="false" customHeight="true" outlineLevel="0" collapsed="false">
      <c r="B5" s="74" t="s">
        <v>4601</v>
      </c>
      <c r="C5" s="75" t="s">
        <v>914</v>
      </c>
      <c r="D5" s="75" t="s">
        <v>915</v>
      </c>
      <c r="E5" s="75" t="s">
        <v>4277</v>
      </c>
      <c r="F5" s="76" t="s">
        <v>4278</v>
      </c>
      <c r="G5" s="77"/>
    </row>
    <row r="6" customFormat="false" ht="21.75" hidden="false" customHeight="true" outlineLevel="0" collapsed="false">
      <c r="B6" s="78" t="s">
        <v>4602</v>
      </c>
      <c r="C6" s="87"/>
      <c r="D6" s="80" t="s">
        <v>4287</v>
      </c>
      <c r="E6" s="88"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89" t="n">
        <v>0.02</v>
      </c>
      <c r="G6" s="90" t="n">
        <f aca="false">IF(ISBLANK(C6),IF(Fill_Example="Yes",F6,""),C6)</f>
        <v>0.02</v>
      </c>
    </row>
    <row r="7" customFormat="false" ht="27.75" hidden="false" customHeight="true" outlineLevel="0" collapsed="false">
      <c r="B7" s="10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06"/>
      <c r="D7" s="106"/>
      <c r="E7" s="106"/>
    </row>
    <row r="9" customFormat="false" ht="15" hidden="false" customHeight="true" outlineLevel="0" collapsed="false">
      <c r="B9" s="74" t="s">
        <v>4276</v>
      </c>
      <c r="C9" s="75" t="s">
        <v>914</v>
      </c>
      <c r="D9" s="75" t="s">
        <v>915</v>
      </c>
      <c r="E9" s="75" t="s">
        <v>4277</v>
      </c>
      <c r="F9" s="76" t="s">
        <v>4278</v>
      </c>
      <c r="G9" s="77"/>
    </row>
    <row r="10" customFormat="false" ht="15" hidden="false" customHeight="true" outlineLevel="0" collapsed="false">
      <c r="B10" s="78" t="s">
        <v>4641</v>
      </c>
      <c r="C10" s="79"/>
      <c r="D10" s="80" t="s">
        <v>966</v>
      </c>
      <c r="E10" s="81" t="s">
        <v>4606</v>
      </c>
      <c r="F10" s="82" t="n">
        <v>5000</v>
      </c>
      <c r="G10" s="83" t="n">
        <f aca="false">IF(ISBLANK(C10),IF(Fill_Example="Yes",F10,""),C10)</f>
        <v>5000</v>
      </c>
    </row>
    <row r="11" customFormat="false" ht="15" hidden="false" customHeight="true" outlineLevel="0" collapsed="false">
      <c r="B11" s="78" t="s">
        <v>4642</v>
      </c>
      <c r="C11" s="79"/>
      <c r="D11" s="80" t="s">
        <v>966</v>
      </c>
      <c r="E11" s="81" t="s">
        <v>4643</v>
      </c>
      <c r="F11" s="82" t="n">
        <v>200</v>
      </c>
      <c r="G11" s="83" t="n">
        <f aca="false">IF(ISBLANK(C11),IF(Fill_Example="Yes",F11,""),C11)</f>
        <v>200</v>
      </c>
    </row>
    <row r="12" customFormat="false" ht="21.75" hidden="false" customHeight="true" outlineLevel="0" collapsed="false">
      <c r="B12" s="78" t="s">
        <v>4644</v>
      </c>
      <c r="C12" s="87"/>
      <c r="D12" s="80" t="s">
        <v>4287</v>
      </c>
      <c r="E12" s="88" t="s">
        <v>4645</v>
      </c>
      <c r="F12" s="89" t="n">
        <f aca="false">Set_invGross</f>
        <v>0.05</v>
      </c>
      <c r="G12" s="90" t="n">
        <f aca="false">IF(ISBLANK(C12),F12,C12)</f>
        <v>0.05</v>
      </c>
    </row>
    <row r="13" customFormat="false" ht="15" hidden="false" customHeight="true" outlineLevel="0" collapsed="false">
      <c r="B13" s="78" t="s">
        <v>3924</v>
      </c>
      <c r="C13" s="91"/>
      <c r="D13" s="80" t="s">
        <v>1004</v>
      </c>
      <c r="E13" s="81" t="s">
        <v>4646</v>
      </c>
      <c r="F13" s="92" t="n">
        <v>20</v>
      </c>
      <c r="G13" s="93" t="n">
        <f aca="false">IF(ISBLANK(C13),IF(Fill_Example="Yes",F13,""),C13)</f>
        <v>20</v>
      </c>
    </row>
    <row r="15" customFormat="false" ht="15" hidden="false" customHeight="true" outlineLevel="0" collapsed="false">
      <c r="B15" s="74" t="s">
        <v>4099</v>
      </c>
      <c r="C15" s="75" t="s">
        <v>329</v>
      </c>
      <c r="D15" s="75" t="s">
        <v>4295</v>
      </c>
      <c r="E15" s="75" t="s">
        <v>4296</v>
      </c>
      <c r="F15" s="77"/>
      <c r="G15" s="77"/>
    </row>
    <row r="16" customFormat="false" ht="17.25" hidden="false" customHeight="true" outlineLevel="0" collapsed="false">
      <c r="B16" s="71" t="s">
        <v>4647</v>
      </c>
      <c r="C16" s="94" t="n">
        <f aca="false">IF(Need_1&lt;&gt;"",Need_1,FV(Monthly_Growth,Years*12,-Monthly_Addition,-Starting_Amount))</f>
        <v>94427.3855892835</v>
      </c>
      <c r="D16" s="80" t="s">
        <v>966</v>
      </c>
      <c r="E16" s="95" t="s">
        <v>4648</v>
      </c>
    </row>
    <row r="17" customFormat="false" ht="17.25" hidden="false" customHeight="true" outlineLevel="0" collapsed="false">
      <c r="B17" s="71" t="s">
        <v>4649</v>
      </c>
      <c r="C17" s="94" t="n">
        <f aca="false">IF(Need_2&lt;&gt;"",Need_2,IF(Inflation_Choice="","Choose your inflation rate to see this",Grows_To/(1+Inflation_Choice)^Years))</f>
        <v>63546.9235619287</v>
      </c>
      <c r="D17" s="80" t="s">
        <v>966</v>
      </c>
      <c r="E17" s="95" t="s">
        <v>4650</v>
      </c>
    </row>
    <row r="18" customFormat="false" ht="15" hidden="false" customHeight="true" outlineLevel="0" collapsed="false">
      <c r="B18" s="78" t="s">
        <v>4651</v>
      </c>
      <c r="C18" s="96" t="n">
        <f aca="false">IF(Need_3&lt;&gt;"",Need_3,Starting_Amount+Monthly_Addition*12*Years)</f>
        <v>53000</v>
      </c>
      <c r="D18" s="80" t="s">
        <v>966</v>
      </c>
      <c r="E18" s="95" t="s">
        <v>4652</v>
      </c>
    </row>
    <row r="19" customFormat="false" ht="15" hidden="false" customHeight="true" outlineLevel="0" collapsed="false">
      <c r="B19" s="78" t="s">
        <v>4653</v>
      </c>
      <c r="C19" s="96" t="n">
        <f aca="false">IF(Need_1&lt;&gt;"",Need_1,Grows_To-Paid_In)</f>
        <v>41427.3855892835</v>
      </c>
      <c r="D19" s="80" t="s">
        <v>966</v>
      </c>
      <c r="E19" s="95" t="s">
        <v>4654</v>
      </c>
    </row>
    <row r="20" customFormat="false" ht="15" hidden="false" customHeight="true" outlineLevel="0" collapsed="false">
      <c r="B20" s="78" t="s">
        <v>4617</v>
      </c>
      <c r="C20" s="117" t="n">
        <f aca="false">IF(Need_4&lt;&gt;"",Need_4,(1+Growth_Rate)^(1/12)-1)</f>
        <v>0.00407412378364835</v>
      </c>
      <c r="D20" s="80"/>
      <c r="E20" s="95" t="s">
        <v>4618</v>
      </c>
    </row>
    <row r="21" customFormat="false" ht="15" hidden="false" customHeight="true" outlineLevel="0" collapsed="false">
      <c r="B21" s="12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21"/>
      <c r="D21" s="121"/>
      <c r="E21" s="121"/>
    </row>
    <row r="23" customFormat="false" ht="15" hidden="false" customHeight="true" outlineLevel="0" collapsed="false">
      <c r="B23" s="74" t="s">
        <v>4326</v>
      </c>
      <c r="C23" s="77"/>
      <c r="D23" s="77"/>
      <c r="E23" s="77"/>
      <c r="F23" s="77"/>
      <c r="G23" s="77"/>
    </row>
    <row r="24" customFormat="false" ht="27.75" hidden="false" customHeight="true" outlineLevel="0" collapsed="false">
      <c r="B24" s="99" t="s">
        <v>4655</v>
      </c>
      <c r="C24" s="99"/>
      <c r="D24" s="99"/>
      <c r="E24" s="99"/>
    </row>
    <row r="25" customFormat="false" ht="13.5" hidden="false" customHeight="true" outlineLevel="0" collapsed="false">
      <c r="B25" s="99" t="s">
        <v>4656</v>
      </c>
      <c r="C25" s="99"/>
      <c r="D25" s="99"/>
      <c r="E25" s="99"/>
    </row>
    <row r="26" customFormat="false" ht="13.5" hidden="false" customHeight="true" outlineLevel="0" collapsed="false">
      <c r="B26" s="100" t="s">
        <v>4329</v>
      </c>
      <c r="C26" s="100"/>
      <c r="D26" s="100"/>
      <c r="E26" s="100"/>
    </row>
    <row r="27" customFormat="false" ht="13.5" hidden="false" customHeight="true" outlineLevel="0" collapsed="false">
      <c r="B27" s="99" t="s">
        <v>4657</v>
      </c>
      <c r="C27" s="99"/>
      <c r="D27" s="99"/>
      <c r="E27" s="99"/>
    </row>
    <row r="28" customFormat="false" ht="13.5" hidden="false" customHeight="true" outlineLevel="0" collapsed="false">
      <c r="B28" s="99" t="s">
        <v>4658</v>
      </c>
      <c r="C28" s="99"/>
      <c r="D28" s="99"/>
      <c r="E28" s="99"/>
    </row>
    <row r="30" customFormat="false" ht="15" hidden="false" customHeight="true" outlineLevel="0" collapsed="false">
      <c r="B30" s="74" t="s">
        <v>4334</v>
      </c>
      <c r="C30" s="77"/>
      <c r="D30" s="77"/>
      <c r="E30" s="77"/>
      <c r="F30" s="77"/>
      <c r="G30" s="77"/>
    </row>
    <row r="31" customFormat="false" ht="15" hidden="false" customHeight="true" outlineLevel="0" collapsed="false">
      <c r="B31" s="78" t="s">
        <v>1673</v>
      </c>
      <c r="C31" s="101" t="str">
        <f aca="false">"Grow my wealth (plan kind pot)"</f>
        <v>Grow my wealth (plan kind pot)</v>
      </c>
      <c r="E31" s="102" t="s">
        <v>4659</v>
      </c>
    </row>
    <row r="32" customFormat="false" ht="15" hidden="false" customHeight="true" outlineLevel="0" collapsed="false">
      <c r="B32" s="78" t="s">
        <v>4660</v>
      </c>
      <c r="C32" s="103" t="n">
        <f aca="false">IF(Need_1&lt;&gt;"",Need_1,IF(Inflation_Choice="","Choose an inflation rate first",ROUND(Value_Today,0)))</f>
        <v>63547</v>
      </c>
      <c r="E32" s="102" t="s">
        <v>4661</v>
      </c>
    </row>
    <row r="33" customFormat="false" ht="15" hidden="false" customHeight="true" outlineLevel="0" collapsed="false">
      <c r="B33" s="78" t="s">
        <v>4340</v>
      </c>
      <c r="C33" s="104" t="n">
        <f aca="false">IF(Need_5&lt;&gt;"",Need_5,Years)</f>
        <v>20</v>
      </c>
      <c r="E33" s="102" t="s">
        <v>4627</v>
      </c>
    </row>
    <row r="34" customFormat="false" ht="15" hidden="false" customHeight="true" outlineLevel="0" collapsed="false">
      <c r="B34" s="78" t="s">
        <v>4628</v>
      </c>
      <c r="C34" s="122" t="n">
        <f aca="false">IF(Inflation_Choice="","Choose an inflation rate first",Inflation_Choice)</f>
        <v>0.02</v>
      </c>
      <c r="E34" s="102" t="s">
        <v>4629</v>
      </c>
    </row>
    <row r="35" customFormat="false" ht="13.5" hidden="false" customHeight="true" outlineLevel="0" collapsed="false">
      <c r="B35" s="106" t="s">
        <v>4662</v>
      </c>
      <c r="C35" s="106"/>
      <c r="D35" s="106"/>
      <c r="E35" s="106"/>
    </row>
    <row r="37" customFormat="false" ht="15" hidden="false" customHeight="true" outlineLevel="0" collapsed="false">
      <c r="B37" s="74" t="s">
        <v>4342</v>
      </c>
      <c r="C37" s="77"/>
      <c r="D37" s="77"/>
      <c r="E37" s="77"/>
      <c r="F37" s="77"/>
      <c r="G37" s="77"/>
    </row>
    <row r="38" customFormat="false" ht="15" hidden="false" customHeight="true" outlineLevel="0" collapsed="false">
      <c r="B38" s="105" t="s">
        <v>4663</v>
      </c>
      <c r="C38" s="105" t="str">
        <f aca="false">IF(Starting_Amount="","Choose your starting amount to see this",IF(Monthly_Addition="","Choose your monthly addition to see this",IF(Years="","Choose your years to see this","")))</f>
        <v/>
      </c>
    </row>
    <row r="39" customFormat="false" ht="15" hidden="false" customHeight="true" outlineLevel="0" collapsed="false">
      <c r="B39" s="105" t="s">
        <v>4664</v>
      </c>
      <c r="C39" s="105" t="str">
        <f aca="false">IF(Starting_Amount="","Choose your starting amount to see this",IF(Monthly_Addition="","Choose your monthly addition to see this",IF(Years="","Choose your years to see this",IF(Inflation_Choice="","Choose your inflation rate to see this",""))))</f>
        <v/>
      </c>
    </row>
    <row r="40" customFormat="false" ht="15" hidden="false" customHeight="true" outlineLevel="0" collapsed="false">
      <c r="B40" s="105" t="s">
        <v>4665</v>
      </c>
      <c r="C40" s="105" t="str">
        <f aca="false">IF(Starting_Amount="","Choose your starting amount to see this",IF(Monthly_Addition="","Choose your monthly addition to see this",IF(Years="","Choose your years to see this","")))</f>
        <v/>
      </c>
    </row>
    <row r="41" customFormat="false" ht="15" hidden="false" customHeight="true" outlineLevel="0" collapsed="false">
      <c r="B41" s="105" t="s">
        <v>4633</v>
      </c>
      <c r="C41" s="105" t="str">
        <f aca="false">""</f>
        <v/>
      </c>
    </row>
    <row r="42" customFormat="false" ht="15" hidden="false" customHeight="true" outlineLevel="0" collapsed="false">
      <c r="B42" s="105" t="s">
        <v>4666</v>
      </c>
      <c r="C42" s="105" t="str">
        <f aca="false">IF(Years="","Choose your years to see this","")</f>
        <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4667</v>
      </c>
      <c r="E1" s="70" t="s">
        <v>4668</v>
      </c>
    </row>
    <row r="2" customFormat="false" ht="15" hidden="false" customHeight="true" outlineLevel="0" collapsed="false">
      <c r="B2" s="71" t="s">
        <v>4669</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4670</v>
      </c>
    </row>
    <row r="5" customFormat="false" ht="15" hidden="false" customHeight="true" outlineLevel="0" collapsed="false">
      <c r="B5" s="74" t="s">
        <v>4601</v>
      </c>
      <c r="C5" s="75" t="s">
        <v>914</v>
      </c>
      <c r="D5" s="75" t="s">
        <v>915</v>
      </c>
      <c r="E5" s="75" t="s">
        <v>4277</v>
      </c>
      <c r="F5" s="76" t="s">
        <v>4278</v>
      </c>
      <c r="G5" s="77"/>
    </row>
    <row r="6" customFormat="false" ht="21.75" hidden="false" customHeight="true" outlineLevel="0" collapsed="false">
      <c r="B6" s="78" t="s">
        <v>4602</v>
      </c>
      <c r="C6" s="87"/>
      <c r="D6" s="80" t="s">
        <v>4287</v>
      </c>
      <c r="E6" s="88"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89" t="n">
        <v>0.02</v>
      </c>
      <c r="G6" s="90" t="n">
        <f aca="false">IF(ISBLANK(C6),IF(Fill_Example="Yes",F6,""),C6)</f>
        <v>0.02</v>
      </c>
    </row>
    <row r="7" customFormat="false" ht="27.75" hidden="false" customHeight="true" outlineLevel="0" collapsed="false">
      <c r="B7" s="10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06"/>
      <c r="D7" s="106"/>
      <c r="E7" s="106"/>
    </row>
    <row r="9" customFormat="false" ht="15" hidden="false" customHeight="true" outlineLevel="0" collapsed="false">
      <c r="B9" s="74" t="s">
        <v>4355</v>
      </c>
      <c r="C9" s="77"/>
      <c r="D9" s="77"/>
      <c r="E9" s="77"/>
      <c r="F9" s="77"/>
      <c r="G9" s="77"/>
    </row>
    <row r="10" customFormat="false" ht="27.75" hidden="false" customHeight="true" outlineLevel="0" collapsed="false">
      <c r="B10" s="106" t="s">
        <v>4671</v>
      </c>
      <c r="C10" s="106"/>
      <c r="D10" s="106"/>
      <c r="E10" s="106"/>
    </row>
    <row r="11" customFormat="false" ht="15" hidden="false" customHeight="true" outlineLevel="0" collapsed="false">
      <c r="B11" s="78" t="s">
        <v>4672</v>
      </c>
      <c r="C11" s="107"/>
      <c r="D11" s="80" t="s">
        <v>966</v>
      </c>
      <c r="E11" s="81" t="s">
        <v>4673</v>
      </c>
      <c r="G11" s="105" t="s">
        <v>4359</v>
      </c>
    </row>
    <row r="12" customFormat="false" ht="15" hidden="false" customHeight="true" outlineLevel="0" collapsed="false">
      <c r="B12" s="78" t="s">
        <v>4674</v>
      </c>
      <c r="C12" s="108"/>
      <c r="D12" s="80" t="s">
        <v>4287</v>
      </c>
      <c r="E12" s="81" t="s">
        <v>4675</v>
      </c>
      <c r="G12" s="105" t="s">
        <v>4359</v>
      </c>
    </row>
    <row r="13" customFormat="false" ht="15" hidden="false" customHeight="true" outlineLevel="0" collapsed="false">
      <c r="B13" s="78" t="s">
        <v>4364</v>
      </c>
      <c r="C13" s="110"/>
      <c r="D13" s="80" t="s">
        <v>924</v>
      </c>
      <c r="E13" s="81" t="s">
        <v>4365</v>
      </c>
      <c r="G13" s="105" t="s">
        <v>4359</v>
      </c>
    </row>
    <row r="15" customFormat="false" ht="15" hidden="false" customHeight="true" outlineLevel="0" collapsed="false">
      <c r="B15" s="74" t="s">
        <v>4366</v>
      </c>
      <c r="C15" s="75" t="s">
        <v>914</v>
      </c>
      <c r="D15" s="75" t="s">
        <v>915</v>
      </c>
      <c r="E15" s="75" t="s">
        <v>4277</v>
      </c>
      <c r="F15" s="76" t="s">
        <v>4278</v>
      </c>
      <c r="G15" s="77"/>
    </row>
    <row r="16" customFormat="false" ht="21.75" hidden="false" customHeight="true" outlineLevel="0" collapsed="false">
      <c r="B16" s="78" t="s">
        <v>4676</v>
      </c>
      <c r="C16" s="79"/>
      <c r="D16" s="80" t="s">
        <v>966</v>
      </c>
      <c r="E16" s="81" t="s">
        <v>4677</v>
      </c>
      <c r="F16" s="82" t="n">
        <v>10000</v>
      </c>
      <c r="G16" s="83" t="n">
        <f aca="false">IF(ISBLANK(C16),IF(Has_invest=1,In_invest,IF(Fill_Example="Yes",F16,"")),C16)</f>
        <v>6200</v>
      </c>
    </row>
    <row r="17" customFormat="false" ht="21.75" hidden="false" customHeight="true" outlineLevel="0" collapsed="false">
      <c r="B17" s="78" t="s">
        <v>4678</v>
      </c>
      <c r="C17" s="87"/>
      <c r="D17" s="80" t="s">
        <v>4287</v>
      </c>
      <c r="E17" s="88" t="s">
        <v>4645</v>
      </c>
      <c r="F17" s="89" t="n">
        <f aca="false">Set_invGross</f>
        <v>0.05</v>
      </c>
      <c r="G17" s="90" t="n">
        <f aca="false">IF(ISBLANK(C17),F17,C17)</f>
        <v>0.05</v>
      </c>
    </row>
    <row r="18" customFormat="false" ht="15" hidden="false" customHeight="true" outlineLevel="0" collapsed="false">
      <c r="B18" s="78" t="s">
        <v>3924</v>
      </c>
      <c r="C18" s="91"/>
      <c r="D18" s="80" t="s">
        <v>1004</v>
      </c>
      <c r="E18" s="81" t="s">
        <v>4646</v>
      </c>
      <c r="F18" s="92" t="n">
        <v>15</v>
      </c>
      <c r="G18" s="93" t="n">
        <f aca="false">IF(ISBLANK(C18),IF(Fill_Example="Yes",F18,""),C18)</f>
        <v>15</v>
      </c>
    </row>
    <row r="19" customFormat="false" ht="21.75" hidden="false" customHeight="true" outlineLevel="0" collapsed="false">
      <c r="B19" s="78" t="s">
        <v>4679</v>
      </c>
      <c r="C19" s="87"/>
      <c r="D19" s="80" t="s">
        <v>4287</v>
      </c>
      <c r="E19" s="88"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89" t="n">
        <f aca="false">IF(ISNUMBER(Suggest_Fund_Charges),Suggest_Fund_Charges,"")</f>
        <v>0.01</v>
      </c>
      <c r="G19" s="90" t="n">
        <f aca="false">IF(ISBLANK(C19),IF(Fill_Example="Yes",F19,""),C19)</f>
        <v>0.01</v>
      </c>
    </row>
    <row r="20" customFormat="false" ht="21.75" hidden="false" customHeight="true" outlineLevel="0" collapsed="false">
      <c r="B20" s="78" t="s">
        <v>4680</v>
      </c>
      <c r="C20" s="91"/>
      <c r="D20" s="80" t="s">
        <v>1004</v>
      </c>
      <c r="E20" s="88" t="s">
        <v>4681</v>
      </c>
      <c r="F20" s="92" t="n">
        <f aca="false">Set_waitYears</f>
        <v>5</v>
      </c>
      <c r="G20" s="93" t="n">
        <f aca="false">IF(ISBLANK(C20),F20,C20)</f>
        <v>5</v>
      </c>
    </row>
    <row r="21" customFormat="false" ht="15" hidden="false" customHeight="true" outlineLevel="0" collapsed="false">
      <c r="B21" s="78" t="s">
        <v>4682</v>
      </c>
      <c r="C21" s="84"/>
      <c r="D21" s="80" t="s">
        <v>4284</v>
      </c>
      <c r="E21" s="81" t="s">
        <v>4683</v>
      </c>
      <c r="F21" s="85" t="s">
        <v>452</v>
      </c>
      <c r="G21" s="86" t="str">
        <f aca="false">IF(ISBLANK(C21),F21,C21)</f>
        <v>No</v>
      </c>
    </row>
    <row r="23" customFormat="false" ht="15" hidden="false" customHeight="true" outlineLevel="0" collapsed="false">
      <c r="B23" s="74" t="s">
        <v>4375</v>
      </c>
      <c r="C23" s="77"/>
      <c r="D23" s="77"/>
      <c r="E23" s="77"/>
      <c r="F23" s="77"/>
      <c r="G23" s="77"/>
    </row>
    <row r="24" customFormat="false" ht="15" hidden="false" customHeight="true" outlineLevel="0" collapsed="false">
      <c r="B24" s="78" t="s">
        <v>4684</v>
      </c>
      <c r="C24" s="98" t="str">
        <f aca="false">IF(COUNTA(Stmt_Total_Value,Stmt_Charges,Stmt_Statement_Date)&gt;0,"Yes","No")</f>
        <v>No</v>
      </c>
      <c r="D24" s="80"/>
      <c r="E24" s="95" t="s">
        <v>4685</v>
      </c>
    </row>
    <row r="25" customFormat="false" ht="15" hidden="false" customHeight="true" outlineLevel="0" collapsed="false">
      <c r="B25" s="78" t="s">
        <v>4676</v>
      </c>
      <c r="C25" s="111" t="n">
        <f aca="false">IF(ISBLANK(Stmt_Total_Value),Amount,Stmt_Total_Value)</f>
        <v>6200</v>
      </c>
      <c r="D25" s="112" t="str">
        <f aca="false">IF(ISBLANK(Stmt_Total_Value),"Your figure","From your statement")</f>
        <v>Your figure</v>
      </c>
      <c r="E25" s="102" t="s">
        <v>4686</v>
      </c>
    </row>
    <row r="26" customFormat="false" ht="15" hidden="false" customHeight="true" outlineLevel="0" collapsed="false">
      <c r="B26" s="78" t="s">
        <v>4679</v>
      </c>
      <c r="C26" s="113" t="n">
        <f aca="false">IF(NOT(ISBLANK(Stmt_Charges)),Stmt_Charges,IF(Statement_Uploaded="Yes",0,Yearly_Fees))</f>
        <v>0.01</v>
      </c>
      <c r="D26" s="112" t="str">
        <f aca="false">IF(NOT(ISBLANK(Stmt_Charges)),"From your statement",IF(Statement_Uploaded="Yes","None shown on your statement","Your figure"))</f>
        <v>Your figure</v>
      </c>
      <c r="E26" s="102" t="s">
        <v>4687</v>
      </c>
    </row>
    <row r="27" customFormat="false" ht="21.75" hidden="false" customHeight="true" outlineLevel="0" collapsed="false">
      <c r="B27" s="78" t="s">
        <v>4382</v>
      </c>
      <c r="C27" s="98" t="str">
        <f aca="true">IF(ISBLANK(Stmt_Statement_Date),"",IF(TODAY()-Stmt_Statement_Date&gt;Statement_Max_Age_Days,"Needs a look: statement is more than 12 months old","Up to date"))</f>
        <v/>
      </c>
      <c r="D27" s="80"/>
      <c r="E27" s="95" t="s">
        <v>4383</v>
      </c>
    </row>
    <row r="29" customFormat="false" ht="15" hidden="false" customHeight="true" outlineLevel="0" collapsed="false">
      <c r="B29" s="74" t="s">
        <v>4099</v>
      </c>
      <c r="C29" s="75" t="s">
        <v>329</v>
      </c>
      <c r="D29" s="75" t="s">
        <v>4295</v>
      </c>
      <c r="E29" s="75" t="s">
        <v>4296</v>
      </c>
      <c r="F29" s="77"/>
      <c r="G29" s="77"/>
    </row>
    <row r="30" customFormat="false" ht="17.25" hidden="false" customHeight="true" outlineLevel="0" collapsed="false">
      <c r="B30" s="71" t="s">
        <v>4688</v>
      </c>
      <c r="C30" s="94" t="n">
        <f aca="false">IF(Need_1&lt;&gt;"",Need_1,IF(Adjust_For_Inflation="Yes",Value_Today,Grows_To))</f>
        <v>11085.5972062921</v>
      </c>
      <c r="D30" s="80" t="s">
        <v>966</v>
      </c>
      <c r="E30" s="95" t="s">
        <v>4689</v>
      </c>
    </row>
    <row r="31" customFormat="false" ht="15" hidden="false" customHeight="true" outlineLevel="0" collapsed="false">
      <c r="B31" s="78" t="s">
        <v>4690</v>
      </c>
      <c r="C31" s="96" t="n">
        <f aca="false">IF(Need_1&lt;&gt;"",Need_1,Used_Amount*(1+Growth_After_Fees)^Years)</f>
        <v>11085.5972062921</v>
      </c>
      <c r="D31" s="80" t="s">
        <v>966</v>
      </c>
      <c r="E31" s="95" t="s">
        <v>4691</v>
      </c>
    </row>
    <row r="32" customFormat="false" ht="15" hidden="false" customHeight="true" outlineLevel="0" collapsed="false">
      <c r="B32" s="78" t="s">
        <v>4649</v>
      </c>
      <c r="C32" s="96" t="n">
        <f aca="false">IF(Need_2&lt;&gt;"",Need_2,IF(Inflation_Choice="","Choose your inflation rate to see this",Grows_To/(1+Inflation_Choice)^Years))</f>
        <v>8236.76201499461</v>
      </c>
      <c r="D32" s="80" t="s">
        <v>966</v>
      </c>
      <c r="E32" s="95" t="s">
        <v>4650</v>
      </c>
    </row>
    <row r="33" customFormat="false" ht="15" hidden="false" customHeight="true" outlineLevel="0" collapsed="false">
      <c r="B33" s="78" t="s">
        <v>4692</v>
      </c>
      <c r="C33" s="96" t="n">
        <f aca="false">IF(Need_3&lt;&gt;"",Need_3,Used_Amount*(1+AS_Cash)^MIN(Wait_Years,Years)*(1+Growth_After_Fees)^MAX(0,Years-Wait_Years))</f>
        <v>9599.38687720304</v>
      </c>
      <c r="D33" s="80" t="s">
        <v>966</v>
      </c>
      <c r="E33" s="95" t="s">
        <v>4693</v>
      </c>
    </row>
    <row r="34" customFormat="false" ht="21.75" hidden="false" customHeight="true" outlineLevel="0" collapsed="false">
      <c r="B34" s="71" t="s">
        <v>4694</v>
      </c>
      <c r="C34" s="94" t="n">
        <f aca="false">IF(Need_3&lt;&gt;"",Need_3,IF(Adjust_For_Inflation="Yes",IF(Inflation_Choice="","Choose your inflation rate to see this",(Grows_To-Value_Start_Later)/(1+Inflation_Choice)^Years),Grows_To-Value_Start_Later))</f>
        <v>1486.21032908906</v>
      </c>
      <c r="D34" s="80" t="s">
        <v>966</v>
      </c>
      <c r="E34" s="95" t="s">
        <v>4695</v>
      </c>
    </row>
    <row r="35" customFormat="false" ht="15" hidden="false" customHeight="true" outlineLevel="0" collapsed="false">
      <c r="B35" s="78" t="s">
        <v>4696</v>
      </c>
      <c r="C35" s="96" t="n">
        <f aca="false">IF(Need_1&lt;&gt;"",Need_1,Used_Amount*(1+Growth_Rate)^Years-Grows_To)</f>
        <v>1803.75750605838</v>
      </c>
      <c r="D35" s="80" t="s">
        <v>966</v>
      </c>
      <c r="E35" s="95" t="s">
        <v>4697</v>
      </c>
    </row>
    <row r="36" customFormat="false" ht="15" hidden="false" customHeight="true" outlineLevel="0" collapsed="false">
      <c r="B36" s="78" t="s">
        <v>4698</v>
      </c>
      <c r="C36" s="117" t="n">
        <f aca="false">IF(Need_4&lt;&gt;"",Need_4,(1+Growth_Rate)*(1-Used_Yearly_Fees)-1)</f>
        <v>0.0395000000000001</v>
      </c>
      <c r="D36" s="80"/>
      <c r="E36" s="95" t="s">
        <v>4699</v>
      </c>
    </row>
    <row r="37" customFormat="false" ht="15" hidden="false" customHeight="true" outlineLevel="0" collapsed="false">
      <c r="B37" s="78" t="s">
        <v>4700</v>
      </c>
      <c r="C37" s="117" t="n">
        <f aca="false">IF(Need_5&lt;&gt;"",Need_5,IF(Inflation_Choice="","Choose your inflation rate to see this",(1+Growth_After_Fees)/(1+Inflation_Choice)-1))</f>
        <v>0.0191176470588237</v>
      </c>
      <c r="D37" s="80"/>
      <c r="E37" s="95" t="s">
        <v>4701</v>
      </c>
    </row>
    <row r="38" customFormat="false" ht="15" hidden="false" customHeight="true" outlineLevel="0" collapsed="false">
      <c r="B38" s="12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121"/>
      <c r="D38" s="121"/>
      <c r="E38" s="121"/>
    </row>
    <row r="40" customFormat="false" ht="15" hidden="false" customHeight="true" outlineLevel="0" collapsed="false">
      <c r="B40" s="74" t="s">
        <v>4326</v>
      </c>
      <c r="C40" s="77"/>
      <c r="D40" s="77"/>
      <c r="E40" s="77"/>
      <c r="F40" s="77"/>
      <c r="G40" s="77"/>
    </row>
    <row r="41" customFormat="false" ht="13.5" hidden="false" customHeight="true" outlineLevel="0" collapsed="false">
      <c r="B41" s="99" t="s">
        <v>4702</v>
      </c>
      <c r="C41" s="99"/>
      <c r="D41" s="99"/>
      <c r="E41" s="99"/>
    </row>
    <row r="42" customFormat="false" ht="13.5" hidden="false" customHeight="true" outlineLevel="0" collapsed="false">
      <c r="B42" s="99" t="s">
        <v>4703</v>
      </c>
      <c r="C42" s="99"/>
      <c r="D42" s="99"/>
      <c r="E42" s="99"/>
    </row>
    <row r="43" customFormat="false" ht="13.5" hidden="false" customHeight="true" outlineLevel="0" collapsed="false">
      <c r="B43" s="99" t="s">
        <v>4704</v>
      </c>
      <c r="C43" s="99"/>
      <c r="D43" s="99"/>
      <c r="E43" s="99"/>
    </row>
    <row r="44" customFormat="false" ht="13.5" hidden="false" customHeight="true" outlineLevel="0" collapsed="false">
      <c r="B44" s="100" t="s">
        <v>4329</v>
      </c>
      <c r="C44" s="100"/>
      <c r="D44" s="100"/>
      <c r="E44" s="100"/>
    </row>
    <row r="45" customFormat="false" ht="13.5" hidden="false" customHeight="true" outlineLevel="0" collapsed="false">
      <c r="B45" s="99" t="s">
        <v>4705</v>
      </c>
      <c r="C45" s="99"/>
      <c r="D45" s="99"/>
      <c r="E45" s="99"/>
    </row>
    <row r="46" customFormat="false" ht="13.5" hidden="false" customHeight="true" outlineLevel="0" collapsed="false">
      <c r="B46" s="99" t="s">
        <v>4706</v>
      </c>
      <c r="C46" s="99"/>
      <c r="D46" s="99"/>
      <c r="E46" s="99"/>
    </row>
    <row r="48" customFormat="false" ht="15" hidden="false" customHeight="true" outlineLevel="0" collapsed="false">
      <c r="B48" s="74" t="s">
        <v>4334</v>
      </c>
      <c r="C48" s="77"/>
      <c r="D48" s="77"/>
      <c r="E48" s="77"/>
      <c r="F48" s="77"/>
      <c r="G48" s="77"/>
    </row>
    <row r="49" customFormat="false" ht="15" hidden="false" customHeight="true" outlineLevel="0" collapsed="false">
      <c r="B49" s="78" t="s">
        <v>1673</v>
      </c>
      <c r="C49" s="101" t="str">
        <f aca="false">"Grow my wealth (plan kind pot)"</f>
        <v>Grow my wealth (plan kind pot)</v>
      </c>
      <c r="E49" s="102" t="s">
        <v>4659</v>
      </c>
    </row>
    <row r="50" customFormat="false" ht="15" hidden="false" customHeight="true" outlineLevel="0" collapsed="false">
      <c r="B50" s="78" t="s">
        <v>4660</v>
      </c>
      <c r="C50" s="103" t="n">
        <f aca="false">IF(Need_1&lt;&gt;"",Need_1,IF(Inflation_Choice="","Choose an inflation rate first",ROUND(Value_Today,0)))</f>
        <v>8237</v>
      </c>
      <c r="E50" s="102" t="s">
        <v>4661</v>
      </c>
    </row>
    <row r="51" customFormat="false" ht="15" hidden="false" customHeight="true" outlineLevel="0" collapsed="false">
      <c r="B51" s="78" t="s">
        <v>4340</v>
      </c>
      <c r="C51" s="104" t="n">
        <f aca="false">IF(Need_6&lt;&gt;"",Need_6,Years)</f>
        <v>15</v>
      </c>
      <c r="E51" s="102" t="s">
        <v>4627</v>
      </c>
    </row>
    <row r="52" customFormat="false" ht="15" hidden="false" customHeight="true" outlineLevel="0" collapsed="false">
      <c r="B52" s="78" t="s">
        <v>4628</v>
      </c>
      <c r="C52" s="122" t="n">
        <f aca="false">IF(Inflation_Choice="","Choose an inflation rate first",Inflation_Choice)</f>
        <v>0.02</v>
      </c>
      <c r="E52" s="102" t="s">
        <v>4629</v>
      </c>
    </row>
    <row r="53" customFormat="false" ht="13.5" hidden="false" customHeight="true" outlineLevel="0" collapsed="false">
      <c r="B53" s="106" t="s">
        <v>4707</v>
      </c>
      <c r="C53" s="106"/>
      <c r="D53" s="106"/>
      <c r="E53" s="106"/>
    </row>
    <row r="55" customFormat="false" ht="15" hidden="false" customHeight="true" outlineLevel="0" collapsed="false">
      <c r="B55" s="74" t="s">
        <v>4342</v>
      </c>
      <c r="C55" s="77"/>
      <c r="D55" s="77"/>
      <c r="E55" s="77"/>
      <c r="F55" s="77"/>
      <c r="G55" s="77"/>
    </row>
    <row r="56" customFormat="false" ht="15" hidden="false" customHeight="true" outlineLevel="0" collapsed="false">
      <c r="B56" s="105" t="s">
        <v>4708</v>
      </c>
      <c r="C56" s="105" t="str">
        <f aca="false">IF(Years="","Choose your years to see this",IF(NOT(ISNUMBER(Used_Amount)),IF(Used_Amount="",IF(Amount="","Choose your amount to see this",""),Used_Amount),IF(NOT(ISNUMBER(Used_Yearly_Fees)),IF(Used_Yearly_Fees="",IF(Yearly_Fees="","Choose your yearly fees to see this",""),Used_Yearly_Fees),"")))</f>
        <v/>
      </c>
    </row>
    <row r="57" customFormat="false" ht="15" hidden="false" customHeight="true" outlineLevel="0" collapsed="false">
      <c r="B57" s="105" t="s">
        <v>4709</v>
      </c>
      <c r="C57" s="105"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
      </c>
    </row>
    <row r="58" customFormat="false" ht="15" hidden="false" customHeight="true" outlineLevel="0" collapsed="false">
      <c r="B58" s="105" t="s">
        <v>4710</v>
      </c>
      <c r="C58" s="105" t="str">
        <f aca="false">IF(Years="","Choose your years to see this",IF(NOT(ISNUMBER(Used_Amount)),IF(Used_Amount="",IF(Amount="","Choose your amount to see this",""),Used_Amount),IF(NOT(ISNUMBER(Used_Yearly_Fees)),IF(Used_Yearly_Fees="",IF(Yearly_Fees="","Choose your yearly fees to see this",""),Used_Yearly_Fees),"")))</f>
        <v/>
      </c>
    </row>
    <row r="59" customFormat="false" ht="15" hidden="false" customHeight="true" outlineLevel="0" collapsed="false">
      <c r="B59" s="105" t="s">
        <v>4711</v>
      </c>
      <c r="C59" s="105" t="str">
        <f aca="false">IF(NOT(ISNUMBER(Used_Yearly_Fees)),IF(Used_Yearly_Fees="",IF(Yearly_Fees="","Choose your yearly fees to see this",""),Used_Yearly_Fees),"")</f>
        <v/>
      </c>
    </row>
    <row r="60" customFormat="false" ht="15" hidden="false" customHeight="true" outlineLevel="0" collapsed="false">
      <c r="B60" s="105" t="s">
        <v>4712</v>
      </c>
      <c r="C60" s="105" t="str">
        <f aca="false">IF(NOT(ISNUMBER(Used_Yearly_Fees)),IF(Used_Yearly_Fees="",IF(Yearly_Fees="","Choose your yearly fees to see this",""),Used_Yearly_Fees),IF(Inflation_Choice="","Choose your inflation rate to see this",""))</f>
        <v/>
      </c>
    </row>
    <row r="61" customFormat="false" ht="15" hidden="false" customHeight="true" outlineLevel="0" collapsed="false">
      <c r="B61" s="105" t="s">
        <v>4666</v>
      </c>
      <c r="C61" s="105" t="str">
        <f aca="false">IF(Years="","Choose your years to see this",IF(NOT(ISNUMBER(Used_Yearly_Fees)),IF(Used_Yearly_Fees="",IF(Yearly_Fees="","Choose your yearly fees to see this",""),Used_Yearly_Fees),""))</f>
        <v/>
      </c>
    </row>
    <row r="63" customFormat="false" ht="15" hidden="false" customHeight="true" outlineLevel="0" collapsed="false">
      <c r="B63" s="25" t="s">
        <v>4713</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4714</v>
      </c>
      <c r="E1" s="70" t="s">
        <v>4715</v>
      </c>
    </row>
    <row r="2" customFormat="false" ht="15" hidden="false" customHeight="true" outlineLevel="0" collapsed="false">
      <c r="B2" s="71" t="s">
        <v>4716</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4717</v>
      </c>
    </row>
    <row r="5" customFormat="false" ht="15" hidden="false" customHeight="true" outlineLevel="0" collapsed="false">
      <c r="B5" s="74" t="s">
        <v>4276</v>
      </c>
      <c r="C5" s="75" t="s">
        <v>914</v>
      </c>
      <c r="D5" s="75" t="s">
        <v>915</v>
      </c>
      <c r="E5" s="75" t="s">
        <v>4277</v>
      </c>
      <c r="F5" s="76" t="s">
        <v>4278</v>
      </c>
      <c r="G5" s="77"/>
    </row>
    <row r="6" customFormat="false" ht="21.75" hidden="false" customHeight="true" outlineLevel="0" collapsed="false">
      <c r="B6" s="78" t="s">
        <v>4718</v>
      </c>
      <c r="C6" s="79"/>
      <c r="D6" s="80" t="s">
        <v>966</v>
      </c>
      <c r="E6" s="81" t="s">
        <v>4719</v>
      </c>
      <c r="F6" s="82" t="n">
        <v>2500</v>
      </c>
      <c r="G6" s="83" t="n">
        <f aca="false">IF(AND(ISNUMBER(C6),N(C6)&lt;500),"",IF(ISBLANK(C6),IF(Has_costsM=1,In_costsM+In_mortPayM+In_cardPayM+In_loanPayM,IF(Fill_Example="Yes",F6,"")),C6))</f>
        <v>4920</v>
      </c>
    </row>
    <row r="7" customFormat="false" ht="21.75" hidden="false" customHeight="true" outlineLevel="0" collapsed="false">
      <c r="B7" s="78" t="s">
        <v>4720</v>
      </c>
      <c r="C7" s="91"/>
      <c r="D7" s="80" t="s">
        <v>1104</v>
      </c>
      <c r="E7" s="88" t="s">
        <v>4721</v>
      </c>
      <c r="F7" s="92" t="n">
        <f aca="false">AS_Months</f>
        <v>3</v>
      </c>
      <c r="G7" s="93" t="n">
        <f aca="false">IF(ISBLANK(C7),F7,C7)</f>
        <v>3</v>
      </c>
    </row>
    <row r="8" customFormat="false" ht="15" hidden="false" customHeight="true" outlineLevel="0" collapsed="false">
      <c r="B8" s="78" t="s">
        <v>4722</v>
      </c>
      <c r="C8" s="91"/>
      <c r="D8" s="80" t="s">
        <v>1004</v>
      </c>
      <c r="E8" s="81" t="s">
        <v>4723</v>
      </c>
      <c r="F8" s="92" t="n">
        <v>2</v>
      </c>
      <c r="G8" s="93" t="n">
        <f aca="false">IF(ISBLANK(C8),IF(Fill_Example="Yes",F8,""),C8)</f>
        <v>2</v>
      </c>
    </row>
    <row r="9" customFormat="false" ht="21.75" hidden="false" customHeight="true" outlineLevel="0" collapsed="false">
      <c r="B9" s="78" t="s">
        <v>4724</v>
      </c>
      <c r="C9" s="79"/>
      <c r="D9" s="80" t="s">
        <v>966</v>
      </c>
      <c r="E9" s="81" t="s">
        <v>4725</v>
      </c>
      <c r="F9" s="82" t="n">
        <v>6250</v>
      </c>
      <c r="G9" s="83" t="n">
        <f aca="false">IF(ISBLANK(C9),IF(Has_cash=1,In_cash,IF(Fill_Example="Yes",F9,"")),C9)</f>
        <v>9000</v>
      </c>
    </row>
    <row r="11" customFormat="false" ht="15" hidden="false" customHeight="true" outlineLevel="0" collapsed="false">
      <c r="B11" s="74" t="s">
        <v>4099</v>
      </c>
      <c r="C11" s="75" t="s">
        <v>329</v>
      </c>
      <c r="D11" s="75" t="s">
        <v>4295</v>
      </c>
      <c r="E11" s="75" t="s">
        <v>4296</v>
      </c>
      <c r="F11" s="77"/>
      <c r="G11" s="77"/>
    </row>
    <row r="12" customFormat="false" ht="23.25" hidden="false" customHeight="true" outlineLevel="0" collapsed="false">
      <c r="B12" s="71" t="s">
        <v>4726</v>
      </c>
      <c r="C12" s="123" t="n">
        <f aca="false">IF(Need_1&lt;&gt;"",Need_1,Savings/Essential_Spending)</f>
        <v>1.82926829268293</v>
      </c>
      <c r="D12" s="116" t="str">
        <f aca="false">IF(Need_1&lt;&gt;"",Need_1,IF(ROUND(Months_Covered,1)=1,"1 month",FIXED(Months_Covered,1)&amp;" months"))</f>
        <v>1.8 months</v>
      </c>
      <c r="E12" s="95" t="s">
        <v>4727</v>
      </c>
    </row>
    <row r="13" customFormat="false" ht="17.25" hidden="false" customHeight="true" outlineLevel="0" collapsed="false">
      <c r="B13" s="71" t="s">
        <v>4728</v>
      </c>
      <c r="C13" s="94" t="n">
        <f aca="false">IF(Need_2&lt;&gt;"",Need_2,Essential_Spending*Months_Wanted)</f>
        <v>14760</v>
      </c>
      <c r="D13" s="80" t="s">
        <v>966</v>
      </c>
      <c r="E13" s="95" t="s">
        <v>4729</v>
      </c>
    </row>
    <row r="14" customFormat="false" ht="17.25" hidden="false" customHeight="true" outlineLevel="0" collapsed="false">
      <c r="B14" s="71" t="s">
        <v>4730</v>
      </c>
      <c r="C14" s="94" t="n">
        <f aca="false">IF(Need_3&lt;&gt;"",Need_3,MAX(0,Target-Savings))</f>
        <v>5760</v>
      </c>
      <c r="D14" s="80" t="s">
        <v>966</v>
      </c>
      <c r="E14" s="95" t="s">
        <v>4731</v>
      </c>
    </row>
    <row r="16" customFormat="false" ht="15" hidden="false" customHeight="true" outlineLevel="0" collapsed="false">
      <c r="B16" s="74" t="s">
        <v>4326</v>
      </c>
      <c r="C16" s="77"/>
      <c r="D16" s="77"/>
      <c r="E16" s="77"/>
      <c r="F16" s="77"/>
      <c r="G16" s="77"/>
    </row>
    <row r="17" customFormat="false" ht="13.5" hidden="false" customHeight="true" outlineLevel="0" collapsed="false">
      <c r="B17" s="99" t="s">
        <v>4732</v>
      </c>
      <c r="C17" s="99"/>
      <c r="D17" s="99"/>
      <c r="E17" s="99"/>
    </row>
    <row r="18" customFormat="false" ht="13.5" hidden="false" customHeight="true" outlineLevel="0" collapsed="false">
      <c r="B18" s="100" t="s">
        <v>4329</v>
      </c>
      <c r="C18" s="100"/>
      <c r="D18" s="100"/>
      <c r="E18" s="100"/>
    </row>
    <row r="19" customFormat="false" ht="13.5" hidden="false" customHeight="true" outlineLevel="0" collapsed="false">
      <c r="B19" s="99" t="s">
        <v>4733</v>
      </c>
      <c r="C19" s="99"/>
      <c r="D19" s="99"/>
      <c r="E19" s="99"/>
    </row>
    <row r="21" customFormat="false" ht="15" hidden="false" customHeight="true" outlineLevel="0" collapsed="false">
      <c r="B21" s="74" t="s">
        <v>4334</v>
      </c>
      <c r="C21" s="77"/>
      <c r="D21" s="77"/>
      <c r="E21" s="77"/>
      <c r="F21" s="77"/>
      <c r="G21" s="77"/>
    </row>
    <row r="22" customFormat="false" ht="15" hidden="false" customHeight="true" outlineLevel="0" collapsed="false">
      <c r="B22" s="78" t="s">
        <v>1673</v>
      </c>
      <c r="C22" s="101" t="str">
        <f aca="false">IF(Need_3&lt;&gt;"",Need_3,IF(Still_To_Build&gt;0,"Emergency fund (plan kind safety: a reserve, not a spend)","No goal (emergency fund already in place)"))</f>
        <v>Emergency fund (plan kind safety: a reserve, not a spend)</v>
      </c>
      <c r="E22" s="102" t="s">
        <v>4734</v>
      </c>
    </row>
    <row r="23" customFormat="false" ht="15" hidden="false" customHeight="true" outlineLevel="0" collapsed="false">
      <c r="B23" s="78" t="s">
        <v>4660</v>
      </c>
      <c r="C23" s="103" t="n">
        <f aca="false">IF(Need_3&lt;&gt;"",Need_3,IF(Still_To_Build&gt;0,ROUND(Target,0),"—"))</f>
        <v>14760</v>
      </c>
      <c r="E23" s="102" t="s">
        <v>4735</v>
      </c>
    </row>
    <row r="24" customFormat="false" ht="15" hidden="false" customHeight="true" outlineLevel="0" collapsed="false">
      <c r="B24" s="78" t="s">
        <v>4338</v>
      </c>
      <c r="C24" s="103" t="n">
        <f aca="false">IF(Need_4&lt;&gt;"",Need_4,Savings)</f>
        <v>9000</v>
      </c>
      <c r="E24" s="102" t="s">
        <v>4736</v>
      </c>
    </row>
    <row r="25" customFormat="false" ht="15" hidden="false" customHeight="true" outlineLevel="0" collapsed="false">
      <c r="B25" s="78" t="s">
        <v>4340</v>
      </c>
      <c r="C25" s="104" t="n">
        <f aca="false">IF(Need_5&lt;&gt;"",Need_5,Safety_Goal_Years)</f>
        <v>2</v>
      </c>
      <c r="E25" s="102" t="s">
        <v>4737</v>
      </c>
    </row>
    <row r="27" customFormat="false" ht="15" hidden="false" customHeight="true" outlineLevel="0" collapsed="false">
      <c r="B27" s="74" t="s">
        <v>4342</v>
      </c>
      <c r="C27" s="77"/>
      <c r="D27" s="77"/>
      <c r="E27" s="77"/>
      <c r="F27" s="77"/>
      <c r="G27" s="77"/>
    </row>
    <row r="28" customFormat="false" ht="15" hidden="false" customHeight="true" outlineLevel="0" collapsed="false">
      <c r="B28" s="105" t="s">
        <v>4738</v>
      </c>
      <c r="C28" s="105" t="str">
        <f aca="false">IF(Essential_Spending="","Choose your essential monthly spending to see this",IF(Savings="","Choose your easy-access savings to see this",""))</f>
        <v/>
      </c>
    </row>
    <row r="29" customFormat="false" ht="15" hidden="false" customHeight="true" outlineLevel="0" collapsed="false">
      <c r="B29" s="105" t="s">
        <v>4739</v>
      </c>
      <c r="C29" s="105" t="str">
        <f aca="false">IF(Essential_Spending="","Choose your essential monthly spending to see this","")</f>
        <v/>
      </c>
    </row>
    <row r="30" customFormat="false" ht="15" hidden="false" customHeight="true" outlineLevel="0" collapsed="false">
      <c r="B30" s="105" t="s">
        <v>4740</v>
      </c>
      <c r="C30" s="105" t="str">
        <f aca="false">IF(Essential_Spending="","Choose your essential monthly spending to see this",IF(Savings="","Choose your easy-access savings to see this",""))</f>
        <v/>
      </c>
    </row>
    <row r="31" customFormat="false" ht="15" hidden="false" customHeight="true" outlineLevel="0" collapsed="false">
      <c r="B31" s="105" t="s">
        <v>4741</v>
      </c>
      <c r="C31" s="105" t="str">
        <f aca="false">IF(Savings="","Choose your easy-access savings to see this","")</f>
        <v/>
      </c>
    </row>
    <row r="32" customFormat="false" ht="15" hidden="false" customHeight="true" outlineLevel="0" collapsed="false">
      <c r="B32" s="105" t="s">
        <v>4742</v>
      </c>
      <c r="C32" s="105" t="str">
        <f aca="false">IF(Safety_Goal_Years="","Choose your years to build the emergency fund to see this","")</f>
        <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4743</v>
      </c>
      <c r="E1" s="70" t="s">
        <v>4744</v>
      </c>
    </row>
    <row r="2" customFormat="false" ht="15" hidden="false" customHeight="true" outlineLevel="0" collapsed="false">
      <c r="B2" s="71" t="s">
        <v>4745</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4746</v>
      </c>
    </row>
    <row r="5" customFormat="false" ht="15" hidden="false" customHeight="true" outlineLevel="0" collapsed="false">
      <c r="B5" s="74" t="s">
        <v>4601</v>
      </c>
      <c r="C5" s="75" t="s">
        <v>914</v>
      </c>
      <c r="D5" s="75" t="s">
        <v>915</v>
      </c>
      <c r="E5" s="75" t="s">
        <v>4277</v>
      </c>
      <c r="F5" s="76" t="s">
        <v>4278</v>
      </c>
      <c r="G5" s="77"/>
    </row>
    <row r="6" customFormat="false" ht="21.75" hidden="false" customHeight="true" outlineLevel="0" collapsed="false">
      <c r="B6" s="78" t="s">
        <v>4602</v>
      </c>
      <c r="C6" s="87"/>
      <c r="D6" s="80" t="s">
        <v>4287</v>
      </c>
      <c r="E6" s="88"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89" t="n">
        <v>0.02</v>
      </c>
      <c r="G6" s="90" t="n">
        <f aca="false">IF(ISBLANK(C6),IF(Fill_Example="Yes",F6,""),C6)</f>
        <v>0.02</v>
      </c>
    </row>
    <row r="7" customFormat="false" ht="27.75" hidden="false" customHeight="true" outlineLevel="0" collapsed="false">
      <c r="B7" s="10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06"/>
      <c r="D7" s="106"/>
      <c r="E7" s="106"/>
    </row>
    <row r="9" customFormat="false" ht="15" hidden="false" customHeight="true" outlineLevel="0" collapsed="false">
      <c r="B9" s="74" t="s">
        <v>4355</v>
      </c>
      <c r="C9" s="77"/>
      <c r="D9" s="77"/>
      <c r="E9" s="77"/>
      <c r="F9" s="77"/>
      <c r="G9" s="77"/>
    </row>
    <row r="10" customFormat="false" ht="27.75" hidden="false" customHeight="true" outlineLevel="0" collapsed="false">
      <c r="B10" s="106" t="s">
        <v>4747</v>
      </c>
      <c r="C10" s="106"/>
      <c r="D10" s="106"/>
      <c r="E10" s="106"/>
    </row>
    <row r="11" customFormat="false" ht="15" hidden="false" customHeight="true" outlineLevel="0" collapsed="false">
      <c r="B11" s="78" t="s">
        <v>4748</v>
      </c>
      <c r="C11" s="107"/>
      <c r="D11" s="80" t="s">
        <v>966</v>
      </c>
      <c r="E11" s="81" t="s">
        <v>4749</v>
      </c>
      <c r="G11" s="105" t="s">
        <v>4359</v>
      </c>
    </row>
    <row r="12" customFormat="false" ht="15" hidden="false" customHeight="true" outlineLevel="0" collapsed="false">
      <c r="B12" s="78" t="s">
        <v>4750</v>
      </c>
      <c r="C12" s="107"/>
      <c r="D12" s="80" t="s">
        <v>966</v>
      </c>
      <c r="E12" s="81" t="s">
        <v>4363</v>
      </c>
      <c r="G12" s="105" t="s">
        <v>4359</v>
      </c>
    </row>
    <row r="13" customFormat="false" ht="15" hidden="false" customHeight="true" outlineLevel="0" collapsed="false">
      <c r="B13" s="78" t="s">
        <v>4751</v>
      </c>
      <c r="C13" s="107"/>
      <c r="D13" s="80" t="s">
        <v>966</v>
      </c>
      <c r="E13" s="81" t="s">
        <v>4363</v>
      </c>
      <c r="G13" s="105" t="s">
        <v>4359</v>
      </c>
    </row>
    <row r="14" customFormat="false" ht="15" hidden="false" customHeight="true" outlineLevel="0" collapsed="false">
      <c r="B14" s="78" t="s">
        <v>4752</v>
      </c>
      <c r="C14" s="109"/>
      <c r="D14" s="80" t="s">
        <v>934</v>
      </c>
      <c r="E14" s="81" t="s">
        <v>4753</v>
      </c>
      <c r="G14" s="105" t="s">
        <v>4359</v>
      </c>
    </row>
    <row r="15" customFormat="false" ht="15" hidden="false" customHeight="true" outlineLevel="0" collapsed="false">
      <c r="B15" s="78" t="s">
        <v>4754</v>
      </c>
      <c r="C15" s="107"/>
      <c r="D15" s="80" t="s">
        <v>966</v>
      </c>
      <c r="E15" s="81" t="s">
        <v>4673</v>
      </c>
      <c r="G15" s="105" t="s">
        <v>4359</v>
      </c>
    </row>
    <row r="16" customFormat="false" ht="15" hidden="false" customHeight="true" outlineLevel="0" collapsed="false">
      <c r="B16" s="78" t="s">
        <v>4755</v>
      </c>
      <c r="C16" s="124"/>
      <c r="D16" s="80" t="s">
        <v>4284</v>
      </c>
      <c r="E16" s="81" t="s">
        <v>4756</v>
      </c>
      <c r="G16" s="105" t="s">
        <v>4359</v>
      </c>
    </row>
    <row r="17" customFormat="false" ht="15" hidden="false" customHeight="true" outlineLevel="0" collapsed="false">
      <c r="B17" s="78" t="s">
        <v>4674</v>
      </c>
      <c r="C17" s="108"/>
      <c r="D17" s="80" t="s">
        <v>4287</v>
      </c>
      <c r="E17" s="81" t="s">
        <v>4675</v>
      </c>
      <c r="G17" s="105" t="s">
        <v>4359</v>
      </c>
    </row>
    <row r="18" customFormat="false" ht="15" hidden="false" customHeight="true" outlineLevel="0" collapsed="false">
      <c r="B18" s="78" t="s">
        <v>4364</v>
      </c>
      <c r="C18" s="110"/>
      <c r="D18" s="80" t="s">
        <v>924</v>
      </c>
      <c r="E18" s="81" t="s">
        <v>4365</v>
      </c>
      <c r="G18" s="105" t="s">
        <v>4359</v>
      </c>
    </row>
    <row r="20" customFormat="false" ht="15" hidden="false" customHeight="true" outlineLevel="0" collapsed="false">
      <c r="B20" s="74" t="s">
        <v>4366</v>
      </c>
      <c r="C20" s="75" t="s">
        <v>914</v>
      </c>
      <c r="D20" s="75" t="s">
        <v>915</v>
      </c>
      <c r="E20" s="75" t="s">
        <v>4277</v>
      </c>
      <c r="F20" s="76" t="s">
        <v>4278</v>
      </c>
      <c r="G20" s="77"/>
    </row>
    <row r="21" customFormat="false" ht="21.75" hidden="false" customHeight="true" outlineLevel="0" collapsed="false">
      <c r="B21" s="78" t="s">
        <v>1499</v>
      </c>
      <c r="C21" s="91"/>
      <c r="D21" s="80" t="s">
        <v>934</v>
      </c>
      <c r="E21" s="81" t="s">
        <v>4757</v>
      </c>
      <c r="F21" s="92" t="n">
        <v>40</v>
      </c>
      <c r="G21" s="93" t="n">
        <f aca="false">IF(ISBLANK(C21),IF(Has_age=1,F_Age,IF(Fill_Example="Yes",F21,"")),C21)</f>
        <v>38</v>
      </c>
    </row>
    <row r="22" customFormat="false" ht="21.75" hidden="false" customHeight="true" outlineLevel="0" collapsed="false">
      <c r="B22" s="78" t="s">
        <v>4758</v>
      </c>
      <c r="C22" s="91"/>
      <c r="D22" s="80" t="s">
        <v>934</v>
      </c>
      <c r="E22" s="88" t="s">
        <v>4759</v>
      </c>
      <c r="F22" s="92" t="n">
        <v>65</v>
      </c>
      <c r="G22" s="93" t="n">
        <f aca="false">IF(ISBLANK(C22),IF(Fill_Example="Yes",F22,""),C22)</f>
        <v>65</v>
      </c>
    </row>
    <row r="23" customFormat="false" ht="21.75" hidden="false" customHeight="true" outlineLevel="0" collapsed="false">
      <c r="B23" s="78" t="s">
        <v>3851</v>
      </c>
      <c r="C23" s="79"/>
      <c r="D23" s="80" t="s">
        <v>966</v>
      </c>
      <c r="E23" s="81" t="s">
        <v>4760</v>
      </c>
      <c r="F23" s="82" t="n">
        <v>60000</v>
      </c>
      <c r="G23" s="83" t="n">
        <f aca="false">IF(ISBLANK(C23),IF(Pens_Value_Total&gt;0,Pens_Value_Total,IF(Has_pension=1,In_pension,IF(Fill_Example="Yes",F23,""))),C23)</f>
        <v>72000</v>
      </c>
    </row>
    <row r="24" customFormat="false" ht="21.75" hidden="false" customHeight="true" outlineLevel="0" collapsed="false">
      <c r="B24" s="78" t="s">
        <v>4761</v>
      </c>
      <c r="C24" s="79"/>
      <c r="D24" s="80" t="s">
        <v>966</v>
      </c>
      <c r="E24" s="81" t="s">
        <v>4762</v>
      </c>
      <c r="F24" s="82" t="n">
        <v>500</v>
      </c>
      <c r="G24" s="83" t="n">
        <f aca="false">IF(ISBLANK(C24),IF(Pens_Monthly_Total&gt;0,Pens_Monthly_Total,IF(Has_pensionM=1,In_pensionM,IF(Fill_Example="Yes",F24,""))),C24)</f>
        <v>520</v>
      </c>
    </row>
    <row r="25" customFormat="false" ht="21.75" hidden="false" customHeight="true" outlineLevel="0" collapsed="false">
      <c r="B25" s="78" t="s">
        <v>4763</v>
      </c>
      <c r="C25" s="79"/>
      <c r="D25" s="80" t="s">
        <v>966</v>
      </c>
      <c r="E25" s="81" t="s">
        <v>4764</v>
      </c>
      <c r="F25" s="82" t="n">
        <v>40000</v>
      </c>
      <c r="G25" s="83" t="n">
        <f aca="false">IF(ISBLANK(C25),IF(IFERROR(INDEX('Plan inputs'!$Q$111:$Q$132,MATCH("retire",'Plan inputs'!$N$111:$N$132,0)),0)&gt;0,IFERROR(INDEX('Plan inputs'!$Q$111:$Q$132,MATCH("retire",'Plan inputs'!$N$111:$N$132,0)),0),IF(Fill_Example="Yes",F25,"")),C25)</f>
        <v>46000</v>
      </c>
    </row>
    <row r="26" customFormat="false" ht="43.5" hidden="false" customHeight="true" outlineLevel="0" collapsed="false">
      <c r="B26" s="78" t="s">
        <v>4765</v>
      </c>
      <c r="C26" s="79"/>
      <c r="D26" s="80" t="s">
        <v>966</v>
      </c>
      <c r="E26" s="88"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82" t="n">
        <f aca="false">ROUND(State_Pension_Year,0)</f>
        <v>15564</v>
      </c>
      <c r="G26" s="83" t="n">
        <f aca="false">IF(ISBLANK(C26),IF(OR(Has_sp=1,Has_spYears=1,Has_a_spWeek=1),ROUND(PR_SPweek*PR_Weeks*F_SpF,0),IF(Fill_Example="Yes",F26,"")),C26)</f>
        <v>15564</v>
      </c>
    </row>
    <row r="27" customFormat="false" ht="21.75" hidden="false" customHeight="true" outlineLevel="0" collapsed="false">
      <c r="B27" s="78" t="s">
        <v>4766</v>
      </c>
      <c r="C27" s="87"/>
      <c r="D27" s="80" t="s">
        <v>4287</v>
      </c>
      <c r="E27" s="88" t="s">
        <v>4767</v>
      </c>
      <c r="F27" s="89" t="n">
        <f aca="false">AS_Pen</f>
        <v>0.045</v>
      </c>
      <c r="G27" s="90" t="n">
        <f aca="false">IF(ISBLANK(C27),F27,C27)</f>
        <v>0.045</v>
      </c>
    </row>
    <row r="28" customFormat="false" ht="21.75" hidden="false" customHeight="true" outlineLevel="0" collapsed="false">
      <c r="B28" s="78" t="s">
        <v>4768</v>
      </c>
      <c r="C28" s="87"/>
      <c r="D28" s="80" t="s">
        <v>4287</v>
      </c>
      <c r="E28" s="88" t="s">
        <v>4769</v>
      </c>
      <c r="F28" s="89" t="n">
        <f aca="false">AS_Wage</f>
        <v>0.03</v>
      </c>
      <c r="G28" s="90" t="n">
        <f aca="false">IF(ISBLANK(C28),F28,C28)</f>
        <v>0.03</v>
      </c>
    </row>
    <row r="29" customFormat="false" ht="21.75" hidden="false" customHeight="true" outlineLevel="0" collapsed="false">
      <c r="B29" s="78" t="s">
        <v>4770</v>
      </c>
      <c r="C29" s="91"/>
      <c r="D29" s="80"/>
      <c r="E29" s="88" t="s">
        <v>4771</v>
      </c>
      <c r="F29" s="92" t="n">
        <f aca="false">Set_retireMult</f>
        <v>25</v>
      </c>
      <c r="G29" s="93" t="n">
        <f aca="false">IF(ISBLANK(C29),F29,C29)</f>
        <v>25</v>
      </c>
    </row>
    <row r="30" customFormat="false" ht="21.75" hidden="false" customHeight="true" outlineLevel="0" collapsed="false">
      <c r="B30" s="78" t="s">
        <v>4772</v>
      </c>
      <c r="C30" s="87"/>
      <c r="D30" s="80" t="s">
        <v>4287</v>
      </c>
      <c r="E30" s="88"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89" t="n">
        <f aca="false">IF(ISNUMBER(Suggest_Fund_Charges),Suggest_Fund_Charges,"")</f>
        <v>0.01</v>
      </c>
      <c r="G30" s="90" t="n">
        <f aca="false">IF(ISBLANK(C30),IF(Fill_Example="Yes",F30,""),C30)</f>
        <v>0.01</v>
      </c>
    </row>
    <row r="31" customFormat="false" ht="21.75" hidden="false" customHeight="true" outlineLevel="0" collapsed="false">
      <c r="B31" s="78" t="s">
        <v>4773</v>
      </c>
      <c r="C31" s="87"/>
      <c r="D31" s="80" t="s">
        <v>4287</v>
      </c>
      <c r="E31" s="88"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89" t="n">
        <f aca="false">AS_LumpPct</f>
        <v>0.25</v>
      </c>
      <c r="G31" s="90" t="n">
        <f aca="false">IF(ISBLANK(C31),F31,C31)</f>
        <v>0.25</v>
      </c>
    </row>
    <row r="32" customFormat="false" ht="15" hidden="false" customHeight="true" outlineLevel="0" collapsed="false">
      <c r="B32" s="78" t="s">
        <v>4774</v>
      </c>
      <c r="C32" s="91"/>
      <c r="D32" s="80" t="s">
        <v>1004</v>
      </c>
      <c r="E32" s="81" t="s">
        <v>4775</v>
      </c>
      <c r="F32" s="92" t="n">
        <v>0</v>
      </c>
      <c r="G32" s="93" t="n">
        <f aca="false">IF(ISBLANK(C32),F32,C32)</f>
        <v>0</v>
      </c>
    </row>
    <row r="33" customFormat="false" ht="15" hidden="false" customHeight="true" outlineLevel="0" collapsed="false">
      <c r="B33" s="78" t="s">
        <v>4776</v>
      </c>
      <c r="C33" s="79"/>
      <c r="D33" s="80" t="s">
        <v>966</v>
      </c>
      <c r="E33" s="81" t="s">
        <v>4427</v>
      </c>
      <c r="F33" s="82" t="n">
        <v>0</v>
      </c>
      <c r="G33" s="83" t="n">
        <f aca="false">IF(ISBLANK(C33),F33,C33)</f>
        <v>0</v>
      </c>
    </row>
    <row r="34" customFormat="false" ht="15" hidden="false" customHeight="true" outlineLevel="0" collapsed="false">
      <c r="B34" s="78" t="s">
        <v>4777</v>
      </c>
      <c r="C34" s="79"/>
      <c r="D34" s="80" t="s">
        <v>966</v>
      </c>
      <c r="E34" s="81" t="str">
        <f aca="false">"Type 3 · optional · Optional: leave blank for none. Allowed: €0 to "&amp;TEXT(Max_Money_Input,"€#,##0")&amp;" · steps of €500"</f>
        <v>Type 3 · optional · Optional: leave blank for none. Allowed: €0 to €200,000 · steps of €500</v>
      </c>
      <c r="F34" s="82" t="n">
        <v>0</v>
      </c>
      <c r="G34" s="83" t="n">
        <f aca="false">IF(ISBLANK(C34),F34,C34)</f>
        <v>0</v>
      </c>
    </row>
    <row r="35" customFormat="false" ht="18.75" hidden="false" customHeight="true" outlineLevel="0" collapsed="false">
      <c r="B35" s="78" t="s">
        <v>4778</v>
      </c>
      <c r="C35" s="91"/>
      <c r="D35" s="80" t="s">
        <v>934</v>
      </c>
      <c r="E35" s="88" t="s">
        <v>4779</v>
      </c>
      <c r="F35" s="92" t="n">
        <f aca="false">AS_AccessAge</f>
        <v>60</v>
      </c>
      <c r="G35" s="93" t="n">
        <f aca="false">IF(ISBLANK(C35),F35,C35)</f>
        <v>60</v>
      </c>
    </row>
    <row r="36" customFormat="false" ht="15" hidden="false" customHeight="true" outlineLevel="0" collapsed="false">
      <c r="B36" s="74" t="s">
        <v>4375</v>
      </c>
      <c r="C36" s="77"/>
      <c r="D36" s="77"/>
      <c r="E36" s="77"/>
      <c r="F36" s="77"/>
      <c r="G36" s="77"/>
    </row>
    <row r="37" customFormat="false" ht="15" hidden="false" customHeight="true" outlineLevel="0" collapsed="false">
      <c r="B37" s="78" t="s">
        <v>3851</v>
      </c>
      <c r="C37" s="111" t="n">
        <f aca="false">IF(ISBLANK(Stmt_Fund_Value),Pension_Today,Stmt_Fund_Value)</f>
        <v>72000</v>
      </c>
      <c r="D37" s="112" t="str">
        <f aca="false">IF(ISBLANK(Stmt_Fund_Value),"Your figure","From your statement")</f>
        <v>Your figure</v>
      </c>
      <c r="E37" s="102" t="s">
        <v>4780</v>
      </c>
    </row>
    <row r="38" customFormat="false" ht="15" hidden="false" customHeight="true" outlineLevel="0" collapsed="false">
      <c r="B38" s="78" t="s">
        <v>4761</v>
      </c>
      <c r="C38" s="111" t="n">
        <f aca="false">IF(COUNT(Stmt_You_Monthly,Stmt_Employer_Monthly)=0,Monthly_Contribution,SUM(Stmt_You_Monthly,Stmt_Employer_Monthly))</f>
        <v>520</v>
      </c>
      <c r="D38" s="112" t="str">
        <f aca="false">IF(COUNT(Stmt_You_Monthly,Stmt_Employer_Monthly)=0,"Your figure","From your statement")</f>
        <v>Your figure</v>
      </c>
      <c r="E38" s="102" t="s">
        <v>4781</v>
      </c>
    </row>
    <row r="39" customFormat="false" ht="15" hidden="false" customHeight="true" outlineLevel="0" collapsed="false">
      <c r="B39" s="78" t="s">
        <v>4782</v>
      </c>
      <c r="C39" s="113" t="n">
        <f aca="false">IF(ISBLANK(Stmt_Charges),Growth_Rate,IF(OR(Growth_Rate="",Typical_Pension_Charges=""),"",Growth_Rate+Typical_Pension_Charges-Stmt_Charges))</f>
        <v>0.045</v>
      </c>
      <c r="D39" s="112" t="str">
        <f aca="false">IF(ISBLANK(Stmt_Charges),"Your figure","Adjusted for your statement's charges")</f>
        <v>Your figure</v>
      </c>
      <c r="E39" s="102" t="s">
        <v>4783</v>
      </c>
    </row>
    <row r="40" customFormat="false" ht="21.75" hidden="false" customHeight="true" outlineLevel="0" collapsed="false">
      <c r="B40" s="78" t="s">
        <v>4784</v>
      </c>
      <c r="C40" s="98" t="str">
        <f aca="false">IF(Need_1&lt;&gt;"",Need_1,IF(AND(NOT(ISBLANK(Stmt_Projected_Fund)),Stmt_NRA=Retirement_Age+Retire_Later,Save_More=0),"Yes","No"))</f>
        <v>No</v>
      </c>
      <c r="D40" s="80"/>
      <c r="E40" s="95" t="s">
        <v>4785</v>
      </c>
    </row>
    <row r="41" customFormat="false" ht="21.75" hidden="false" customHeight="true" outlineLevel="0" collapsed="false">
      <c r="B41" s="78" t="s">
        <v>4382</v>
      </c>
      <c r="C41" s="98" t="str">
        <f aca="true">IF(ISBLANK(Stmt_Statement_Date),"",IF(TODAY()-Stmt_Statement_Date&gt;Statement_Max_Age_Days,"Needs a look: statement is more than 12 months old","Up to date"))</f>
        <v/>
      </c>
      <c r="D41" s="80"/>
      <c r="E41" s="95" t="s">
        <v>4383</v>
      </c>
    </row>
    <row r="43" customFormat="false" ht="15" hidden="false" customHeight="true" outlineLevel="0" collapsed="false">
      <c r="B43" s="74" t="s">
        <v>4099</v>
      </c>
      <c r="C43" s="75" t="s">
        <v>329</v>
      </c>
      <c r="D43" s="75" t="s">
        <v>4295</v>
      </c>
      <c r="E43" s="75" t="s">
        <v>4296</v>
      </c>
      <c r="F43" s="77"/>
      <c r="G43" s="77"/>
    </row>
    <row r="44" customFormat="false" ht="17.25" hidden="false" customHeight="true" outlineLevel="0" collapsed="false">
      <c r="B44" s="71" t="s">
        <v>4786</v>
      </c>
      <c r="C44" s="94" t="n">
        <f aca="false">IF(Need_2&lt;&gt;"",Need_2,IF(ISNUMBER(Fund_Today),Target_Today-Fund_Today,Fund_Today))</f>
        <v>379504.712193514</v>
      </c>
      <c r="D44" s="116" t="str">
        <f aca="false">IF(Need_2&lt;&gt;"",Need_2,IF(ISNUMBER(Gap_Today),IF(Gap_Today&gt;0,"Gap of "&amp;TEXT(Gap_Today,"€#,##0")&amp;" in today's money","On track: no gap"),Gap_Today))</f>
        <v>Gap of €379,505 in today's money</v>
      </c>
      <c r="E44" s="95" t="s">
        <v>4787</v>
      </c>
    </row>
    <row r="45" customFormat="false" ht="17.25" hidden="false" customHeight="true" outlineLevel="0" collapsed="false">
      <c r="B45" s="71" t="s">
        <v>4788</v>
      </c>
      <c r="C45" s="94" t="n">
        <f aca="false">IF(Need_3&lt;&gt;"",Need_3,IF(Use_Statement_Projection="Yes",Stmt_Projected_Fund,Calculated_Fund))</f>
        <v>677564.440133975</v>
      </c>
      <c r="D45" s="116" t="str">
        <f aca="false">IF(Need_3&lt;&gt;"",Need_3,IF(Use_Statement_Projection="Yes","From your statement","Calculated"))</f>
        <v>Calculated</v>
      </c>
      <c r="E45" s="95" t="s">
        <v>4789</v>
      </c>
    </row>
    <row r="46" customFormat="false" ht="42.75" hidden="false" customHeight="true" outlineLevel="0" collapsed="false">
      <c r="B46" s="71" t="s">
        <v>4790</v>
      </c>
      <c r="C46" s="94" t="n">
        <f aca="false">IF(Need_3&lt;&gt;"",Need_3,IF(AND(Use_Statement_Projection="Yes",Stmt_Projection_Today&lt;&gt;"No"),Stmt_Projected_Fund,IF(Inflation_Choice="","Choose your inflation rate to see this",Projected_Fund/(1+Inflation_Choice)^Years_To_Retirement)))</f>
        <v>396959.287806486</v>
      </c>
      <c r="D46" s="80" t="s">
        <v>966</v>
      </c>
      <c r="E46" s="95" t="s">
        <v>4791</v>
      </c>
    </row>
    <row r="47" customFormat="false" ht="15" hidden="false" customHeight="true" outlineLevel="0" collapsed="false">
      <c r="B47" s="78" t="s">
        <v>4792</v>
      </c>
      <c r="C47" s="96" t="n">
        <f aca="false">IF(Need_3&lt;&gt;"",Need_3,Used_Pension_Today*(1+Used_Growth_Rate)^Years_To_Retirement+Contributions_Grow_To)</f>
        <v>677564.440133975</v>
      </c>
      <c r="D47" s="80" t="s">
        <v>966</v>
      </c>
      <c r="E47" s="95" t="s">
        <v>4793</v>
      </c>
    </row>
    <row r="48" customFormat="false" ht="17.25" hidden="false" customHeight="true" outlineLevel="0" collapsed="false">
      <c r="B48" s="71" t="s">
        <v>4794</v>
      </c>
      <c r="C48" s="94" t="n">
        <f aca="false">IF(Need_4&lt;&gt;"",Need_4,MAX(0,Desired_Income-Spend_Less-Other_Income)*Retire_Multiple+Bridge_Years*MIN(Other_Income,MAX(0,Desired_Income-Spend_Less)))</f>
        <v>776464</v>
      </c>
      <c r="D48" s="80" t="s">
        <v>966</v>
      </c>
      <c r="E48" s="95" t="s">
        <v>4795</v>
      </c>
    </row>
    <row r="49" customFormat="false" ht="15" hidden="false" customHeight="true" outlineLevel="0" collapsed="false">
      <c r="B49" s="78" t="s">
        <v>4796</v>
      </c>
      <c r="C49" s="119" t="n">
        <f aca="false">IF(Need_1&lt;&gt;"",Need_1,MAX(0,State_Pension_Age-(Retirement_Age+Retire_Later)))</f>
        <v>1</v>
      </c>
      <c r="D49" s="80" t="s">
        <v>1004</v>
      </c>
      <c r="E49" s="95" t="s">
        <v>4797</v>
      </c>
    </row>
    <row r="50" customFormat="false" ht="15" hidden="false" customHeight="true" outlineLevel="0" collapsed="false">
      <c r="B50" s="78" t="s">
        <v>4798</v>
      </c>
      <c r="C50" s="96" t="n">
        <f aca="false">IF(Need_5&lt;&gt;"",Need_5,Projected_Fund*MIN(Lump_Sum_Pct,Lump_Sum_Max_Pct))</f>
        <v>169391.110033494</v>
      </c>
      <c r="D50" s="80" t="s">
        <v>966</v>
      </c>
      <c r="E50" s="95"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78" t="s">
        <v>4799</v>
      </c>
      <c r="C51" s="96" t="n">
        <f aca="false">IF(Need_5&lt;&gt;"",Need_5,Lump_Sum_Rate*MAX(0,MIN(Lump_Sum,Lump_Sum_Cap)-Lump_Sum_Tax_Free)+Rate_Higher*MAX(0,Lump_Sum-Lump_Sum_Cap))</f>
        <v>0</v>
      </c>
      <c r="D51" s="80" t="s">
        <v>966</v>
      </c>
      <c r="E51" s="95" t="s">
        <v>4800</v>
      </c>
    </row>
    <row r="52" customFormat="false" ht="15" hidden="false" customHeight="true" outlineLevel="0" collapsed="false">
      <c r="B52" s="78" t="s">
        <v>4801</v>
      </c>
      <c r="C52" s="96" t="n">
        <f aca="false">IF(Need_5&lt;&gt;"",Need_5,Lump_Sum-Lump_Sum_Tax)</f>
        <v>169391.110033494</v>
      </c>
      <c r="D52" s="80" t="s">
        <v>966</v>
      </c>
      <c r="E52" s="95" t="s">
        <v>4802</v>
      </c>
    </row>
    <row r="53" customFormat="false" ht="15" hidden="false" customHeight="true" outlineLevel="0" collapsed="false">
      <c r="B53" s="125" t="s">
        <v>4803</v>
      </c>
      <c r="C53" s="126" t="str">
        <f aca="false">IF(Need_1&lt;&gt;"","",IF(Retirement_Age+Retire_Later&lt;Access_Age,"Most pensions can't be taken before 60 (PRSA and personal pensions; some occupational schemes allow it from 50). Until then you would live on savings and other income.",""))</f>
        <v/>
      </c>
      <c r="D53" s="126"/>
      <c r="E53" s="126"/>
    </row>
    <row r="54" customFormat="false" ht="15" hidden="false" customHeight="true" outlineLevel="0" collapsed="false">
      <c r="B54" s="125" t="s">
        <v>4803</v>
      </c>
      <c r="C54" s="126" t="str">
        <f aca="false">IF(Need_3&lt;&gt;"","",IF(AND(ISNUMBER(Fund_Today),IF(ISNUMBER(Fund_Today),Fund_Today,0)&gt;SFT_2026),"Your fund in today's money is above the Standard Fund Threshold (€2.2m in 2026, rising to €2.8m by 2029; later years are not set yet): the excess is taxed at "&amp;TEXT(SFT_Tax,"0%")&amp;".",""))</f>
        <v/>
      </c>
      <c r="D54" s="126"/>
      <c r="E54" s="126"/>
    </row>
    <row r="55" customFormat="false" ht="15" hidden="false" customHeight="true" outlineLevel="0" collapsed="false">
      <c r="B55" s="78" t="s">
        <v>4804</v>
      </c>
      <c r="C55" s="119" t="n">
        <f aca="false">IF(Need_6&lt;&gt;"",Need_6,MAX(1,Retirement_Age+Retire_Later-Age))</f>
        <v>27</v>
      </c>
      <c r="D55" s="80" t="s">
        <v>1004</v>
      </c>
      <c r="E55" s="95" t="s">
        <v>4805</v>
      </c>
    </row>
    <row r="56" customFormat="false" ht="15" hidden="false" customHeight="true" outlineLevel="0" collapsed="false">
      <c r="B56" s="78" t="s">
        <v>4806</v>
      </c>
      <c r="C56" s="96" t="n">
        <f aca="false">IF(Need_7&lt;&gt;"",Need_7,Used_Monthly_Contribution+Save_More)</f>
        <v>520</v>
      </c>
      <c r="D56" s="80" t="s">
        <v>966</v>
      </c>
      <c r="E56" s="95" t="s">
        <v>4807</v>
      </c>
    </row>
    <row r="57" customFormat="false" ht="21.75" hidden="false" customHeight="true" outlineLevel="0" collapsed="false">
      <c r="B57" s="78" t="s">
        <v>4808</v>
      </c>
      <c r="C57" s="96" t="n">
        <f aca="false">IF(Need_8&lt;&gt;"",Need_8,IF(Used_Growth_Rate=Wage,12*Contribution*Years_To_Retirement*(1+Used_Growth_Rate)^(Years_To_Retirement-1),12*Contribution*((1+Used_Growth_Rate)^Years_To_Retirement-(1+Wage)^Years_To_Retirement)/(Used_Growth_Rate-Wage)))</f>
        <v>441259.751641181</v>
      </c>
      <c r="D57" s="80" t="s">
        <v>966</v>
      </c>
      <c r="E57" s="95" t="s">
        <v>4809</v>
      </c>
    </row>
    <row r="59" customFormat="false" ht="15" hidden="false" customHeight="true" outlineLevel="0" collapsed="false">
      <c r="B59" s="74" t="s">
        <v>4326</v>
      </c>
      <c r="C59" s="77"/>
      <c r="D59" s="77"/>
      <c r="E59" s="77"/>
      <c r="F59" s="77"/>
      <c r="G59" s="77"/>
    </row>
    <row r="60" customFormat="false" ht="27.75" hidden="false" customHeight="true" outlineLevel="0" collapsed="false">
      <c r="B60" s="99" t="s">
        <v>4810</v>
      </c>
      <c r="C60" s="99"/>
      <c r="D60" s="99"/>
      <c r="E60" s="99"/>
    </row>
    <row r="61" customFormat="false" ht="27.75" hidden="false" customHeight="true" outlineLevel="0" collapsed="false">
      <c r="B61" s="99" t="s">
        <v>4811</v>
      </c>
      <c r="C61" s="99"/>
      <c r="D61" s="99"/>
      <c r="E61" s="99"/>
    </row>
    <row r="62" customFormat="false" ht="27.75" hidden="false" customHeight="true" outlineLevel="0" collapsed="false">
      <c r="B62" s="99" t="s">
        <v>4812</v>
      </c>
      <c r="C62" s="99"/>
      <c r="D62" s="99"/>
      <c r="E62" s="99"/>
    </row>
    <row r="63" customFormat="false" ht="27.75" hidden="false" customHeight="true" outlineLevel="0" collapsed="false">
      <c r="B63" s="99"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99"/>
      <c r="D63" s="99"/>
      <c r="E63" s="99"/>
    </row>
    <row r="64" customFormat="false" ht="13.5" hidden="false" customHeight="true" outlineLevel="0" collapsed="false">
      <c r="B64" s="100" t="s">
        <v>4329</v>
      </c>
      <c r="C64" s="100"/>
      <c r="D64" s="100"/>
      <c r="E64" s="100"/>
    </row>
    <row r="65" customFormat="false" ht="13.5" hidden="false" customHeight="true" outlineLevel="0" collapsed="false">
      <c r="B65" s="99" t="s">
        <v>4813</v>
      </c>
      <c r="C65" s="99"/>
      <c r="D65" s="99"/>
      <c r="E65" s="99"/>
    </row>
    <row r="66" customFormat="false" ht="27.75" hidden="false" customHeight="true" outlineLevel="0" collapsed="false">
      <c r="B66" s="99" t="s">
        <v>4814</v>
      </c>
      <c r="C66" s="99"/>
      <c r="D66" s="99"/>
      <c r="E66" s="99"/>
    </row>
    <row r="67" customFormat="false" ht="13.5" hidden="false" customHeight="true" outlineLevel="0" collapsed="false">
      <c r="B67" s="99" t="s">
        <v>4815</v>
      </c>
      <c r="C67" s="99"/>
      <c r="D67" s="99"/>
      <c r="E67" s="99"/>
    </row>
    <row r="69" customFormat="false" ht="15" hidden="false" customHeight="true" outlineLevel="0" collapsed="false">
      <c r="B69" s="74" t="s">
        <v>4334</v>
      </c>
      <c r="C69" s="77"/>
      <c r="D69" s="77"/>
      <c r="E69" s="77"/>
      <c r="F69" s="77"/>
      <c r="G69" s="77"/>
    </row>
    <row r="70" customFormat="false" ht="15" hidden="false" customHeight="true" outlineLevel="0" collapsed="false">
      <c r="B70" s="78" t="s">
        <v>1673</v>
      </c>
      <c r="C70" s="101" t="str">
        <f aca="false">"Update your retirement goal (no new goal)"</f>
        <v>Update your retirement goal (no new goal)</v>
      </c>
      <c r="E70" s="102" t="s">
        <v>4816</v>
      </c>
    </row>
    <row r="71" customFormat="false" ht="15" hidden="false" customHeight="true" outlineLevel="0" collapsed="false">
      <c r="B71" s="78" t="s">
        <v>4817</v>
      </c>
      <c r="C71" s="103" t="n">
        <f aca="false">IF(Need_9&lt;&gt;"",Need_9,Desired_Income-Spend_Less)</f>
        <v>46000</v>
      </c>
      <c r="E71" s="102" t="s">
        <v>4818</v>
      </c>
    </row>
    <row r="72" customFormat="false" ht="15" hidden="false" customHeight="true" outlineLevel="0" collapsed="false">
      <c r="B72" s="78" t="s">
        <v>116</v>
      </c>
      <c r="C72" s="104" t="n">
        <f aca="false">IF(Need_1&lt;&gt;"",Need_1,Retirement_Age+Retire_Later)</f>
        <v>65</v>
      </c>
      <c r="E72" s="102" t="s">
        <v>4819</v>
      </c>
    </row>
    <row r="73" customFormat="false" ht="15" hidden="false" customHeight="true" outlineLevel="0" collapsed="false">
      <c r="B73" s="78" t="s">
        <v>4628</v>
      </c>
      <c r="C73" s="122" t="n">
        <f aca="false">IF(Inflation_Choice="","Choose an inflation rate first",Inflation_Choice)</f>
        <v>0.02</v>
      </c>
      <c r="E73" s="102" t="s">
        <v>4629</v>
      </c>
    </row>
    <row r="74" customFormat="false" ht="13.5" hidden="false" customHeight="true" outlineLevel="0" collapsed="false">
      <c r="B74" s="106" t="s">
        <v>4820</v>
      </c>
      <c r="C74" s="106"/>
      <c r="D74" s="106"/>
      <c r="E74" s="106"/>
    </row>
    <row r="76" customFormat="false" ht="15" hidden="false" customHeight="true" outlineLevel="0" collapsed="false">
      <c r="B76" s="74" t="s">
        <v>4342</v>
      </c>
      <c r="C76" s="77"/>
      <c r="D76" s="77"/>
      <c r="E76" s="77"/>
      <c r="F76" s="77"/>
      <c r="G76" s="77"/>
    </row>
    <row r="77" customFormat="false" ht="15" hidden="false" customHeight="true" outlineLevel="0" collapsed="false">
      <c r="B77" s="105" t="s">
        <v>4821</v>
      </c>
      <c r="C77" s="105" t="str">
        <f aca="false">IF(AND(ISNUMBER(Age),ISNUMBER(Retirement_Age),N(Retirement_Age)+N(Retire_Later)&lt;=N(Age)),"Choose a retirement age after your age to see this",IF(Retirement_Age="","Choose your retirement age to see this",IF(Other_Income="","Choose your State Pension (other yearly income) to see this","")))</f>
        <v/>
      </c>
    </row>
    <row r="78" customFormat="false" ht="15" hidden="false" customHeight="true" outlineLevel="0" collapsed="false">
      <c r="B78" s="105" t="s">
        <v>4822</v>
      </c>
      <c r="C78" s="105"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79" customFormat="false" ht="15" hidden="false" customHeight="true" outlineLevel="0" collapsed="false">
      <c r="B79" s="105" t="s">
        <v>4823</v>
      </c>
      <c r="C79" s="105"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80" customFormat="false" ht="15" hidden="false" customHeight="true" outlineLevel="0" collapsed="false">
      <c r="B80" s="105" t="s">
        <v>4824</v>
      </c>
      <c r="C80" s="105"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
      </c>
    </row>
    <row r="81" customFormat="false" ht="15" hidden="false" customHeight="true" outlineLevel="0" collapsed="false">
      <c r="B81" s="105" t="s">
        <v>4825</v>
      </c>
      <c r="C81" s="105"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82" customFormat="false" ht="15" hidden="false" customHeight="true" outlineLevel="0" collapsed="false">
      <c r="B82" s="105" t="s">
        <v>4826</v>
      </c>
      <c r="C82" s="105"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
      </c>
    </row>
    <row r="83" customFormat="false" ht="15" hidden="false" customHeight="true" outlineLevel="0" collapsed="false">
      <c r="B83" s="105" t="s">
        <v>4827</v>
      </c>
      <c r="C83" s="105"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
      </c>
    </row>
    <row r="84" customFormat="false" ht="15" hidden="false" customHeight="true" outlineLevel="0" collapsed="false">
      <c r="B84" s="105" t="s">
        <v>4828</v>
      </c>
      <c r="C84" s="105"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85" customFormat="false" ht="15" hidden="false" customHeight="true" outlineLevel="0" collapsed="false">
      <c r="B85" s="105" t="s">
        <v>4829</v>
      </c>
      <c r="C85" s="105"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4830</v>
      </c>
      <c r="E1" s="70" t="s">
        <v>4831</v>
      </c>
    </row>
    <row r="2" customFormat="false" ht="15" hidden="false" customHeight="true" outlineLevel="0" collapsed="false">
      <c r="B2" s="71" t="s">
        <v>4832</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4833</v>
      </c>
    </row>
    <row r="5" customFormat="false" ht="15" hidden="false" customHeight="true" outlineLevel="0" collapsed="false">
      <c r="B5" s="74" t="s">
        <v>4601</v>
      </c>
      <c r="C5" s="75" t="s">
        <v>914</v>
      </c>
      <c r="D5" s="75" t="s">
        <v>915</v>
      </c>
      <c r="E5" s="75" t="s">
        <v>4277</v>
      </c>
      <c r="F5" s="76" t="s">
        <v>4278</v>
      </c>
      <c r="G5" s="77"/>
    </row>
    <row r="6" customFormat="false" ht="21.75" hidden="false" customHeight="true" outlineLevel="0" collapsed="false">
      <c r="B6" s="78" t="s">
        <v>4602</v>
      </c>
      <c r="C6" s="87"/>
      <c r="D6" s="80" t="s">
        <v>4287</v>
      </c>
      <c r="E6" s="88"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89" t="n">
        <v>0.02</v>
      </c>
      <c r="G6" s="90" t="n">
        <f aca="false">IF(ISBLANK(C6),IF(Fill_Example="Yes",F6,""),C6)</f>
        <v>0.02</v>
      </c>
    </row>
    <row r="7" customFormat="false" ht="27.75" hidden="false" customHeight="true" outlineLevel="0" collapsed="false">
      <c r="B7" s="10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06"/>
      <c r="D7" s="106"/>
      <c r="E7" s="106"/>
    </row>
    <row r="9" customFormat="false" ht="15" hidden="false" customHeight="true" outlineLevel="0" collapsed="false">
      <c r="B9" s="74" t="s">
        <v>4355</v>
      </c>
      <c r="C9" s="77"/>
      <c r="D9" s="77"/>
      <c r="E9" s="77"/>
      <c r="F9" s="77"/>
      <c r="G9" s="77"/>
    </row>
    <row r="10" customFormat="false" ht="27.75" hidden="false" customHeight="true" outlineLevel="0" collapsed="false">
      <c r="B10" s="106" t="s">
        <v>4834</v>
      </c>
      <c r="C10" s="106"/>
      <c r="D10" s="106"/>
      <c r="E10" s="106"/>
    </row>
    <row r="11" customFormat="false" ht="15" hidden="false" customHeight="true" outlineLevel="0" collapsed="false">
      <c r="B11" s="78" t="s">
        <v>4674</v>
      </c>
      <c r="C11" s="108"/>
      <c r="D11" s="80" t="s">
        <v>4287</v>
      </c>
      <c r="E11" s="81" t="s">
        <v>4675</v>
      </c>
      <c r="G11" s="105" t="s">
        <v>4359</v>
      </c>
    </row>
    <row r="12" customFormat="false" ht="15" hidden="false" customHeight="true" outlineLevel="0" collapsed="false">
      <c r="B12" s="78" t="s">
        <v>4364</v>
      </c>
      <c r="C12" s="110"/>
      <c r="D12" s="80" t="s">
        <v>924</v>
      </c>
      <c r="E12" s="81" t="s">
        <v>4365</v>
      </c>
      <c r="G12" s="105" t="s">
        <v>4359</v>
      </c>
    </row>
    <row r="14" customFormat="false" ht="15" hidden="false" customHeight="true" outlineLevel="0" collapsed="false">
      <c r="B14" s="74" t="s">
        <v>4366</v>
      </c>
      <c r="C14" s="75" t="s">
        <v>914</v>
      </c>
      <c r="D14" s="75" t="s">
        <v>915</v>
      </c>
      <c r="E14" s="75" t="s">
        <v>4277</v>
      </c>
      <c r="F14" s="76" t="s">
        <v>4278</v>
      </c>
      <c r="G14" s="77"/>
    </row>
    <row r="15" customFormat="false" ht="21.75" hidden="false" customHeight="true" outlineLevel="0" collapsed="false">
      <c r="B15" s="78" t="s">
        <v>4835</v>
      </c>
      <c r="C15" s="79"/>
      <c r="D15" s="80" t="s">
        <v>966</v>
      </c>
      <c r="E15" s="81" t="s">
        <v>4279</v>
      </c>
      <c r="F15" s="82" t="n">
        <v>60000</v>
      </c>
      <c r="G15" s="83" t="n">
        <f aca="false">IF(ISBLANK(C15),IF(Has_income=1,In_income,IF(Fill_Example="Yes",F15,"")),C15)</f>
        <v>58000</v>
      </c>
    </row>
    <row r="16" customFormat="false" ht="15" hidden="false" customHeight="true" outlineLevel="0" collapsed="false">
      <c r="B16" s="78" t="s">
        <v>4836</v>
      </c>
      <c r="C16" s="87"/>
      <c r="D16" s="80" t="s">
        <v>4287</v>
      </c>
      <c r="E16" s="81" t="s">
        <v>4837</v>
      </c>
      <c r="F16" s="89" t="n">
        <v>0.02</v>
      </c>
      <c r="G16" s="90" t="n">
        <f aca="false">IF(ISBLANK(C16),IF(Fill_Example="Yes",F16,""),C16)</f>
        <v>0.02</v>
      </c>
    </row>
    <row r="17" customFormat="false" ht="21.75" hidden="false" customHeight="true" outlineLevel="0" collapsed="false">
      <c r="B17" s="78" t="s">
        <v>4804</v>
      </c>
      <c r="C17" s="91"/>
      <c r="D17" s="80" t="s">
        <v>1004</v>
      </c>
      <c r="E17" s="81" t="s">
        <v>4838</v>
      </c>
      <c r="F17" s="92" t="n">
        <v>25</v>
      </c>
      <c r="G17" s="93" t="n">
        <f aca="false">IF(ISBLANK(C17),IF(AND(Has_retireAge=1,Has_age=1),F_R-F_Age,IF(Fill_Example="Yes",F17,"")),C17)</f>
        <v>25</v>
      </c>
    </row>
    <row r="18" customFormat="false" ht="21.75" hidden="false" customHeight="true" outlineLevel="0" collapsed="false">
      <c r="B18" s="78" t="s">
        <v>4839</v>
      </c>
      <c r="C18" s="87"/>
      <c r="D18" s="80" t="s">
        <v>4287</v>
      </c>
      <c r="E18" s="88" t="s">
        <v>4767</v>
      </c>
      <c r="F18" s="89" t="n">
        <f aca="false">AS_Pen</f>
        <v>0.045</v>
      </c>
      <c r="G18" s="90" t="n">
        <f aca="false">IF(ISBLANK(C18),F18,C18)</f>
        <v>0.045</v>
      </c>
    </row>
    <row r="19" customFormat="false" ht="21.75" hidden="false" customHeight="true" outlineLevel="0" collapsed="false">
      <c r="B19" s="78" t="s">
        <v>4772</v>
      </c>
      <c r="C19" s="87"/>
      <c r="D19" s="80" t="s">
        <v>4287</v>
      </c>
      <c r="E19" s="88"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89" t="n">
        <f aca="false">IF(ISNUMBER(Suggest_Fund_Charges),Suggest_Fund_Charges,"")</f>
        <v>0.01</v>
      </c>
      <c r="G19" s="90" t="n">
        <f aca="false">IF(ISBLANK(C19),IF(Fill_Example="Yes",F19,""),C19)</f>
        <v>0.01</v>
      </c>
    </row>
    <row r="20" customFormat="false" ht="33" hidden="false" customHeight="true" outlineLevel="0" collapsed="false">
      <c r="B20" s="78" t="s">
        <v>4840</v>
      </c>
      <c r="C20" s="127"/>
      <c r="D20" s="80" t="s">
        <v>4841</v>
      </c>
      <c r="E20" s="88" t="s">
        <v>4842</v>
      </c>
      <c r="F20" s="128" t="n">
        <f aca="false">TE_Marginal_Rate</f>
        <v>0.4</v>
      </c>
      <c r="G20" s="129" t="n">
        <f aca="false">IF(ISBLANK(C20),IF(Fill_Example="Yes",F20,""),C20)</f>
        <v>0.4</v>
      </c>
    </row>
    <row r="21" customFormat="false" ht="21.75" hidden="false" customHeight="true" outlineLevel="0" collapsed="false">
      <c r="B21" s="78" t="s">
        <v>4843</v>
      </c>
      <c r="C21" s="91"/>
      <c r="D21" s="80" t="s">
        <v>934</v>
      </c>
      <c r="E21" s="81" t="s">
        <v>4844</v>
      </c>
      <c r="F21" s="92" t="n">
        <v>40</v>
      </c>
      <c r="G21" s="93" t="n">
        <f aca="false">IF(ISBLANK(C21),IF(Has_age=1,F_Age,IF(Fill_Example="Yes",F21,"")),C21)</f>
        <v>38</v>
      </c>
    </row>
    <row r="22" customFormat="false" ht="15" hidden="false" customHeight="true" outlineLevel="0" collapsed="false">
      <c r="B22" s="78" t="s">
        <v>4845</v>
      </c>
      <c r="C22" s="79"/>
      <c r="D22" s="80" t="s">
        <v>966</v>
      </c>
      <c r="E22" s="81" t="s">
        <v>4846</v>
      </c>
      <c r="F22" s="82" t="n">
        <v>0</v>
      </c>
      <c r="G22" s="83" t="n">
        <f aca="false">IF(ISBLANK(C22),IF(Pens_Own_Total&gt;0,Pens_Own_Total*12,F22),C22)</f>
        <v>0</v>
      </c>
    </row>
    <row r="24" customFormat="false" ht="15" hidden="false" customHeight="true" outlineLevel="0" collapsed="false">
      <c r="B24" s="74" t="s">
        <v>4375</v>
      </c>
      <c r="C24" s="77"/>
      <c r="D24" s="77"/>
      <c r="E24" s="77"/>
      <c r="F24" s="77"/>
      <c r="G24" s="77"/>
    </row>
    <row r="25" customFormat="false" ht="15" hidden="false" customHeight="true" outlineLevel="0" collapsed="false">
      <c r="B25" s="78" t="s">
        <v>4847</v>
      </c>
      <c r="C25" s="113" t="n">
        <f aca="false">IF(ISBLANK(Stmt_Charges),Growth_Rate,IF(OR(Growth_Rate="",Typical_Pension_Charges=""),"",Growth_Rate+Typical_Pension_Charges-Stmt_Charges))</f>
        <v>0.045</v>
      </c>
      <c r="D25" s="112" t="str">
        <f aca="false">IF(ISBLANK(Stmt_Charges),"Your figure","Adjusted for your statement's charges")</f>
        <v>Your figure</v>
      </c>
      <c r="E25" s="102" t="s">
        <v>4783</v>
      </c>
    </row>
    <row r="26" customFormat="false" ht="21.75" hidden="false" customHeight="true" outlineLevel="0" collapsed="false">
      <c r="B26" s="78" t="s">
        <v>4382</v>
      </c>
      <c r="C26" s="98" t="str">
        <f aca="true">IF(ISBLANK(Stmt_Statement_Date),"",IF(TODAY()-Stmt_Statement_Date&gt;Statement_Max_Age_Days,"Needs a look: statement is more than 12 months old","Up to date"))</f>
        <v/>
      </c>
      <c r="D26" s="80"/>
      <c r="E26" s="95" t="s">
        <v>4383</v>
      </c>
    </row>
    <row r="28" customFormat="false" ht="15" hidden="false" customHeight="true" outlineLevel="0" collapsed="false">
      <c r="B28" s="74" t="s">
        <v>4099</v>
      </c>
      <c r="C28" s="75" t="s">
        <v>329</v>
      </c>
      <c r="D28" s="75" t="s">
        <v>4295</v>
      </c>
      <c r="E28" s="75" t="s">
        <v>4296</v>
      </c>
      <c r="F28" s="77"/>
      <c r="G28" s="77"/>
    </row>
    <row r="29" customFormat="false" ht="17.25" hidden="false" customHeight="true" outlineLevel="0" collapsed="false">
      <c r="B29" s="71" t="s">
        <v>4848</v>
      </c>
      <c r="C29" s="94" t="n">
        <f aca="false">IF(Need_1&lt;&gt;"",Need_1,IF(ABS(Used_Growth_Rate-AS_Wage)&lt;0.000000000001,12*Extra_Per_Month*Years*(1+Used_Growth_Rate)^(Years-1),12*Extra_Per_Month*((1+Used_Growth_Rate)^Years-(1+AS_Wage)^Years)/(Used_Growth_Rate-AS_Wage)))</f>
        <v>70501.4380789426</v>
      </c>
      <c r="D29" s="80" t="s">
        <v>966</v>
      </c>
      <c r="E29" s="95" t="s">
        <v>4849</v>
      </c>
    </row>
    <row r="30" customFormat="false" ht="17.25" hidden="false" customHeight="true" outlineLevel="0" collapsed="false">
      <c r="B30" s="71" t="s">
        <v>4649</v>
      </c>
      <c r="C30" s="94" t="n">
        <f aca="false">IF(Need_2&lt;&gt;"",Need_2,IF(Inflation_Choice="","Choose your inflation rate to see this",Grows_To/(1+Inflation_Choice)^Years))</f>
        <v>42972.8029257534</v>
      </c>
      <c r="D30" s="80" t="s">
        <v>966</v>
      </c>
      <c r="E30" s="95" t="s">
        <v>4650</v>
      </c>
    </row>
    <row r="31" customFormat="false" ht="15" hidden="false" customHeight="true" outlineLevel="0" collapsed="false">
      <c r="B31" s="78" t="s">
        <v>4850</v>
      </c>
      <c r="C31" s="96" t="n">
        <f aca="false">IF(Need_3&lt;&gt;"",Need_3,Salary*Increase_Pct/12)</f>
        <v>96.6666666666667</v>
      </c>
      <c r="D31" s="80" t="s">
        <v>966</v>
      </c>
      <c r="E31" s="95" t="s">
        <v>4851</v>
      </c>
    </row>
    <row r="32" customFormat="false" ht="15" hidden="false" customHeight="true" outlineLevel="0" collapsed="false">
      <c r="B32" s="78" t="s">
        <v>4852</v>
      </c>
      <c r="C32" s="96" t="n">
        <f aca="false">IF(Need_4&lt;&gt;"",Need_4,Extra_Per_Month-Relief_Per_Month)</f>
        <v>58</v>
      </c>
      <c r="D32" s="80" t="s">
        <v>966</v>
      </c>
      <c r="E32" s="95" t="s">
        <v>4853</v>
      </c>
    </row>
    <row r="33" customFormat="false" ht="15" hidden="false" customHeight="true" outlineLevel="0" collapsed="false">
      <c r="B33" s="78" t="str">
        <f aca="false">"Most you can get relief on in a year (age-band % × earnings up to "&amp;"€"&amp;TEXT(Relief_Earnings_Cap,"#,##0")&amp;")"</f>
        <v>Most you can get relief on in a year (age-band % × earnings up to €115,000)</v>
      </c>
      <c r="C33" s="96" t="n">
        <f aca="false">IF(Need_5&lt;&gt;"",Need_5,LOOKUP(Age,Relief_Age_From,Relief_Age_Pct)*MIN(Salary,Relief_Earnings_Cap))</f>
        <v>11600</v>
      </c>
      <c r="D33" s="80" t="s">
        <v>966</v>
      </c>
      <c r="E33" s="95" t="s">
        <v>4854</v>
      </c>
    </row>
    <row r="34" customFormat="false" ht="15" hidden="false" customHeight="true" outlineLevel="0" collapsed="false">
      <c r="B34" s="78" t="s">
        <v>4855</v>
      </c>
      <c r="C34" s="96" t="n">
        <f aca="false">IF(Need_5&lt;&gt;"",Need_5,MAX(0,Relief_Limit_Year-Existing_Pension_Year))</f>
        <v>11600</v>
      </c>
      <c r="D34" s="80" t="s">
        <v>966</v>
      </c>
      <c r="E34" s="95" t="s">
        <v>4856</v>
      </c>
    </row>
    <row r="35" customFormat="false" ht="15" hidden="false" customHeight="true" outlineLevel="0" collapsed="false">
      <c r="B35" s="78" t="s">
        <v>4857</v>
      </c>
      <c r="C35" s="96" t="n">
        <f aca="false">IF(Need_6&lt;&gt;"",Need_6,MIN(Extra_Per_Month*12,Relief_Room_Year))</f>
        <v>1160</v>
      </c>
      <c r="D35" s="80" t="s">
        <v>966</v>
      </c>
      <c r="E35" s="95" t="s">
        <v>4858</v>
      </c>
    </row>
    <row r="36" customFormat="false" ht="15" hidden="false" customHeight="true" outlineLevel="0" collapsed="false">
      <c r="B36" s="78" t="s">
        <v>4859</v>
      </c>
      <c r="C36" s="96" t="n">
        <f aca="false">IF(Need_4&lt;&gt;"",Need_4,Relieved_Year*Tax_Rate/12)</f>
        <v>38.6666666666667</v>
      </c>
      <c r="D36" s="80" t="s">
        <v>966</v>
      </c>
      <c r="E36" s="95" t="s">
        <v>4860</v>
      </c>
    </row>
    <row r="38" customFormat="false" ht="15" hidden="false" customHeight="true" outlineLevel="0" collapsed="false">
      <c r="B38" s="74" t="s">
        <v>4326</v>
      </c>
      <c r="C38" s="77"/>
      <c r="D38" s="77"/>
      <c r="E38" s="77"/>
      <c r="F38" s="77"/>
      <c r="G38" s="77"/>
    </row>
    <row r="39" customFormat="false" ht="13.5" hidden="false" customHeight="true" outlineLevel="0" collapsed="false">
      <c r="B39" s="99" t="s">
        <v>4861</v>
      </c>
      <c r="C39" s="99"/>
      <c r="D39" s="99"/>
      <c r="E39" s="99"/>
    </row>
    <row r="40" customFormat="false" ht="13.5" hidden="false" customHeight="true" outlineLevel="0" collapsed="false">
      <c r="B40" s="99" t="s">
        <v>4862</v>
      </c>
      <c r="C40" s="99"/>
      <c r="D40" s="99"/>
      <c r="E40" s="99"/>
    </row>
    <row r="41" customFormat="false" ht="13.5" hidden="false" customHeight="true" outlineLevel="0" collapsed="false">
      <c r="B41" s="100" t="s">
        <v>4329</v>
      </c>
      <c r="C41" s="100"/>
      <c r="D41" s="100"/>
      <c r="E41" s="100"/>
    </row>
    <row r="42" customFormat="false" ht="13.5" hidden="false" customHeight="true" outlineLevel="0" collapsed="false">
      <c r="B42" s="99" t="s">
        <v>4863</v>
      </c>
      <c r="C42" s="99"/>
      <c r="D42" s="99"/>
      <c r="E42" s="99"/>
    </row>
    <row r="43" customFormat="false" ht="13.5" hidden="false" customHeight="true" outlineLevel="0" collapsed="false">
      <c r="B43" s="99"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99"/>
      <c r="D43" s="99"/>
      <c r="E43" s="99"/>
    </row>
    <row r="45" customFormat="false" ht="15" hidden="false" customHeight="true" outlineLevel="0" collapsed="false">
      <c r="B45" s="74" t="s">
        <v>4334</v>
      </c>
      <c r="C45" s="77"/>
      <c r="D45" s="77"/>
      <c r="E45" s="77"/>
      <c r="F45" s="77"/>
      <c r="G45" s="77"/>
    </row>
    <row r="46" customFormat="false" ht="15" hidden="false" customHeight="true" outlineLevel="0" collapsed="false">
      <c r="B46" s="78" t="s">
        <v>1673</v>
      </c>
      <c r="C46" s="101" t="str">
        <f aca="false">"No goal: raise the plan's pension contribution instead"</f>
        <v>No goal: raise the plan's pension contribution instead</v>
      </c>
      <c r="E46" s="102" t="s">
        <v>4864</v>
      </c>
    </row>
    <row r="47" customFormat="false" ht="15" hidden="false" customHeight="true" outlineLevel="0" collapsed="false">
      <c r="B47" s="78" t="s">
        <v>4865</v>
      </c>
      <c r="C47" s="103" t="n">
        <f aca="false">IF(Need_3&lt;&gt;"",Need_3,Extra_Per_Month)</f>
        <v>96.6666666666667</v>
      </c>
      <c r="E47" s="102" t="s">
        <v>4866</v>
      </c>
    </row>
    <row r="48" customFormat="false" ht="13.5" hidden="false" customHeight="true" outlineLevel="0" collapsed="false">
      <c r="B48" s="106" t="s">
        <v>4867</v>
      </c>
      <c r="C48" s="106"/>
      <c r="D48" s="106"/>
      <c r="E48" s="106"/>
    </row>
    <row r="50" customFormat="false" ht="15" hidden="false" customHeight="true" outlineLevel="0" collapsed="false">
      <c r="B50" s="74" t="s">
        <v>4342</v>
      </c>
      <c r="C50" s="77"/>
      <c r="D50" s="77"/>
      <c r="E50" s="77"/>
      <c r="F50" s="77"/>
      <c r="G50" s="77"/>
    </row>
    <row r="51" customFormat="false" ht="15" hidden="false" customHeight="true" outlineLevel="0" collapsed="false">
      <c r="B51" s="105" t="s">
        <v>4868</v>
      </c>
      <c r="C51" s="105"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
      </c>
    </row>
    <row r="52" customFormat="false" ht="15" hidden="false" customHeight="true" outlineLevel="0" collapsed="false">
      <c r="B52" s="105" t="s">
        <v>4869</v>
      </c>
      <c r="C52" s="105"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
      </c>
    </row>
    <row r="53" customFormat="false" ht="15" hidden="false" customHeight="true" outlineLevel="0" collapsed="false">
      <c r="B53" s="105" t="s">
        <v>4870</v>
      </c>
      <c r="C53" s="105" t="str">
        <f aca="false">IF(Salary="","Choose your salary to see this",IF(Increase_Pct="","Choose your contribution increase to see this",""))</f>
        <v/>
      </c>
    </row>
    <row r="54" customFormat="false" ht="15" hidden="false" customHeight="true" outlineLevel="0" collapsed="false">
      <c r="B54" s="105" t="s">
        <v>4871</v>
      </c>
      <c r="C54" s="105" t="str">
        <f aca="false">IF(Salary="","Choose your salary to see this",IF(Increase_Pct="","Choose your contribution increase to see this",IF(Tax_Rate="","Choose your tax rate to see this",IF(Age="","Choose your age to see this",""))))</f>
        <v/>
      </c>
    </row>
    <row r="55" customFormat="false" ht="15" hidden="false" customHeight="true" outlineLevel="0" collapsed="false">
      <c r="B55" s="105" t="s">
        <v>4872</v>
      </c>
      <c r="C55" s="105" t="str">
        <f aca="false">IF(Salary="","Choose your salary to see this",IF(Age="","Choose your age to see this",""))</f>
        <v/>
      </c>
    </row>
    <row r="56" customFormat="false" ht="15" hidden="false" customHeight="true" outlineLevel="0" collapsed="false">
      <c r="B56" s="105" t="s">
        <v>4873</v>
      </c>
      <c r="C56" s="105" t="str">
        <f aca="false">IF(Salary="","Choose your salary to see this",IF(Increase_Pct="","Choose your contribution increase to see this",IF(Age="","Choose your age to see this","")))</f>
        <v/>
      </c>
    </row>
    <row r="58" customFormat="false" ht="15" hidden="false" customHeight="true" outlineLevel="0" collapsed="false">
      <c r="B58" s="25" t="s">
        <v>4874</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4875</v>
      </c>
      <c r="E1" s="70" t="s">
        <v>4876</v>
      </c>
    </row>
    <row r="2" customFormat="false" ht="15" hidden="false" customHeight="true" outlineLevel="0" collapsed="false">
      <c r="B2" s="71" t="s">
        <v>4877</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4878</v>
      </c>
    </row>
    <row r="5" customFormat="false" ht="15" hidden="false" customHeight="true" outlineLevel="0" collapsed="false">
      <c r="B5" s="74" t="s">
        <v>4601</v>
      </c>
      <c r="C5" s="75" t="s">
        <v>914</v>
      </c>
      <c r="D5" s="75" t="s">
        <v>915</v>
      </c>
      <c r="E5" s="75" t="s">
        <v>4277</v>
      </c>
      <c r="F5" s="76" t="s">
        <v>4278</v>
      </c>
      <c r="G5" s="77"/>
    </row>
    <row r="6" customFormat="false" ht="21.75" hidden="false" customHeight="true" outlineLevel="0" collapsed="false">
      <c r="B6" s="78" t="s">
        <v>4602</v>
      </c>
      <c r="C6" s="87"/>
      <c r="D6" s="80" t="s">
        <v>4287</v>
      </c>
      <c r="E6" s="88"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89" t="n">
        <v>0.02</v>
      </c>
      <c r="G6" s="90" t="n">
        <f aca="false">IF(ISBLANK(C6),IF(Fill_Example="Yes",F6,""),C6)</f>
        <v>0.02</v>
      </c>
    </row>
    <row r="7" customFormat="false" ht="27.75" hidden="false" customHeight="true" outlineLevel="0" collapsed="false">
      <c r="B7" s="10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06"/>
      <c r="D7" s="106"/>
      <c r="E7" s="106"/>
    </row>
    <row r="9" customFormat="false" ht="15" hidden="false" customHeight="true" outlineLevel="0" collapsed="false">
      <c r="B9" s="74" t="s">
        <v>4355</v>
      </c>
      <c r="C9" s="77"/>
      <c r="D9" s="77"/>
      <c r="E9" s="77"/>
      <c r="F9" s="77"/>
      <c r="G9" s="77"/>
    </row>
    <row r="10" customFormat="false" ht="27.75" hidden="false" customHeight="true" outlineLevel="0" collapsed="false">
      <c r="B10" s="106" t="s">
        <v>4879</v>
      </c>
      <c r="C10" s="106"/>
      <c r="D10" s="106"/>
      <c r="E10" s="106"/>
    </row>
    <row r="11" customFormat="false" ht="15" hidden="false" customHeight="true" outlineLevel="0" collapsed="false">
      <c r="B11" s="78" t="s">
        <v>4674</v>
      </c>
      <c r="C11" s="108"/>
      <c r="D11" s="80" t="s">
        <v>4287</v>
      </c>
      <c r="E11" s="81" t="s">
        <v>4675</v>
      </c>
      <c r="G11" s="105" t="s">
        <v>4359</v>
      </c>
    </row>
    <row r="12" customFormat="false" ht="15" hidden="false" customHeight="true" outlineLevel="0" collapsed="false">
      <c r="B12" s="78" t="s">
        <v>4364</v>
      </c>
      <c r="C12" s="110"/>
      <c r="D12" s="80" t="s">
        <v>924</v>
      </c>
      <c r="E12" s="81" t="s">
        <v>4365</v>
      </c>
      <c r="G12" s="105" t="s">
        <v>4359</v>
      </c>
    </row>
    <row r="14" customFormat="false" ht="15" hidden="false" customHeight="true" outlineLevel="0" collapsed="false">
      <c r="B14" s="74" t="s">
        <v>4366</v>
      </c>
      <c r="C14" s="75" t="s">
        <v>914</v>
      </c>
      <c r="D14" s="75" t="s">
        <v>915</v>
      </c>
      <c r="E14" s="75" t="s">
        <v>4277</v>
      </c>
      <c r="F14" s="76" t="s">
        <v>4278</v>
      </c>
      <c r="G14" s="77"/>
    </row>
    <row r="15" customFormat="false" ht="15" hidden="false" customHeight="true" outlineLevel="0" collapsed="false">
      <c r="B15" s="78" t="s">
        <v>4880</v>
      </c>
      <c r="C15" s="79"/>
      <c r="D15" s="80" t="s">
        <v>966</v>
      </c>
      <c r="E15" s="81" t="s">
        <v>4881</v>
      </c>
      <c r="F15" s="82" t="n">
        <v>200</v>
      </c>
      <c r="G15" s="83" t="n">
        <f aca="false">IF(ISBLANK(C15),IF(Fill_Example="Yes",F15,""),C15)</f>
        <v>200</v>
      </c>
    </row>
    <row r="16" customFormat="false" ht="21.75" hidden="false" customHeight="true" outlineLevel="0" collapsed="false">
      <c r="B16" s="78" t="s">
        <v>4882</v>
      </c>
      <c r="C16" s="79"/>
      <c r="D16" s="80" t="s">
        <v>966</v>
      </c>
      <c r="E16" s="81" t="s">
        <v>4279</v>
      </c>
      <c r="F16" s="82" t="n">
        <v>60000</v>
      </c>
      <c r="G16" s="83" t="n">
        <f aca="false">IF(ISBLANK(C16),IF(Has_income=1,In_income,IF(Fill_Example="Yes",F16,"")),C16)</f>
        <v>58000</v>
      </c>
    </row>
    <row r="17" customFormat="false" ht="21.75" hidden="false" customHeight="true" outlineLevel="0" collapsed="false">
      <c r="B17" s="78" t="s">
        <v>4804</v>
      </c>
      <c r="C17" s="91"/>
      <c r="D17" s="80" t="s">
        <v>1004</v>
      </c>
      <c r="E17" s="81" t="s">
        <v>4883</v>
      </c>
      <c r="F17" s="92" t="n">
        <v>15</v>
      </c>
      <c r="G17" s="93" t="n">
        <f aca="false">IF(ISBLANK(C17),IF(AND(Has_retireAge=1,Has_age=1),F_R-F_Age,IF(Fill_Example="Yes",F17,"")),C17)</f>
        <v>25</v>
      </c>
    </row>
    <row r="18" customFormat="false" ht="21.75" hidden="false" customHeight="true" outlineLevel="0" collapsed="false">
      <c r="B18" s="78" t="s">
        <v>4839</v>
      </c>
      <c r="C18" s="87"/>
      <c r="D18" s="80" t="s">
        <v>4287</v>
      </c>
      <c r="E18" s="88" t="s">
        <v>4767</v>
      </c>
      <c r="F18" s="89" t="n">
        <f aca="false">AS_Pen</f>
        <v>0.045</v>
      </c>
      <c r="G18" s="90" t="n">
        <f aca="false">IF(ISBLANK(C18),F18,C18)</f>
        <v>0.045</v>
      </c>
    </row>
    <row r="19" customFormat="false" ht="21.75" hidden="false" customHeight="true" outlineLevel="0" collapsed="false">
      <c r="B19" s="78" t="s">
        <v>4772</v>
      </c>
      <c r="C19" s="87"/>
      <c r="D19" s="80" t="s">
        <v>4287</v>
      </c>
      <c r="E19" s="88"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89" t="n">
        <f aca="false">IF(ISNUMBER(Suggest_Fund_Charges),Suggest_Fund_Charges,"")</f>
        <v>0.01</v>
      </c>
      <c r="G19" s="90" t="n">
        <f aca="false">IF(ISBLANK(C19),IF(Fill_Example="Yes",F19,""),C19)</f>
        <v>0.01</v>
      </c>
    </row>
    <row r="20" customFormat="false" ht="33" hidden="false" customHeight="true" outlineLevel="0" collapsed="false">
      <c r="B20" s="78" t="s">
        <v>4840</v>
      </c>
      <c r="C20" s="127"/>
      <c r="D20" s="80" t="s">
        <v>4841</v>
      </c>
      <c r="E20" s="88" t="s">
        <v>4842</v>
      </c>
      <c r="F20" s="128" t="n">
        <f aca="false">TE_Marginal_Rate</f>
        <v>0.4</v>
      </c>
      <c r="G20" s="129" t="n">
        <f aca="false">IF(ISBLANK(C20),IF(Fill_Example="Yes",F20,""),C20)</f>
        <v>0.4</v>
      </c>
    </row>
    <row r="21" customFormat="false" ht="21.75" hidden="false" customHeight="true" outlineLevel="0" collapsed="false">
      <c r="B21" s="78" t="s">
        <v>4843</v>
      </c>
      <c r="C21" s="91"/>
      <c r="D21" s="80" t="s">
        <v>934</v>
      </c>
      <c r="E21" s="81" t="s">
        <v>4844</v>
      </c>
      <c r="F21" s="92" t="n">
        <v>40</v>
      </c>
      <c r="G21" s="93" t="n">
        <f aca="false">IF(ISBLANK(C21),IF(Has_age=1,F_Age,IF(Fill_Example="Yes",F21,"")),C21)</f>
        <v>38</v>
      </c>
    </row>
    <row r="22" customFormat="false" ht="15" hidden="false" customHeight="true" outlineLevel="0" collapsed="false">
      <c r="B22" s="78" t="s">
        <v>4845</v>
      </c>
      <c r="C22" s="79"/>
      <c r="D22" s="80" t="s">
        <v>966</v>
      </c>
      <c r="E22" s="81" t="s">
        <v>4846</v>
      </c>
      <c r="F22" s="82" t="n">
        <v>0</v>
      </c>
      <c r="G22" s="83" t="n">
        <f aca="false">IF(ISBLANK(C22),IF(Pens_Own_Total&gt;0,Pens_Own_Total*12,F22),C22)</f>
        <v>0</v>
      </c>
    </row>
    <row r="24" customFormat="false" ht="15" hidden="false" customHeight="true" outlineLevel="0" collapsed="false">
      <c r="B24" s="74" t="s">
        <v>4375</v>
      </c>
      <c r="C24" s="77"/>
      <c r="D24" s="77"/>
      <c r="E24" s="77"/>
      <c r="F24" s="77"/>
      <c r="G24" s="77"/>
    </row>
    <row r="25" customFormat="false" ht="15" hidden="false" customHeight="true" outlineLevel="0" collapsed="false">
      <c r="B25" s="78" t="s">
        <v>4847</v>
      </c>
      <c r="C25" s="113" t="n">
        <f aca="false">IF(ISBLANK(Stmt_Charges),Growth_Rate,IF(OR(Growth_Rate="",Typical_Pension_Charges=""),"",Growth_Rate+Typical_Pension_Charges-Stmt_Charges))</f>
        <v>0.045</v>
      </c>
      <c r="D25" s="112" t="str">
        <f aca="false">IF(ISBLANK(Stmt_Charges),"Your figure","Adjusted for your statement's charges")</f>
        <v>Your figure</v>
      </c>
      <c r="E25" s="102" t="s">
        <v>4783</v>
      </c>
    </row>
    <row r="26" customFormat="false" ht="21.75" hidden="false" customHeight="true" outlineLevel="0" collapsed="false">
      <c r="B26" s="78" t="s">
        <v>4382</v>
      </c>
      <c r="C26" s="98" t="str">
        <f aca="true">IF(ISBLANK(Stmt_Statement_Date),"",IF(TODAY()-Stmt_Statement_Date&gt;Statement_Max_Age_Days,"Needs a look: statement is more than 12 months old","Up to date"))</f>
        <v/>
      </c>
      <c r="D26" s="80"/>
      <c r="E26" s="95" t="s">
        <v>4383</v>
      </c>
    </row>
    <row r="28" customFormat="false" ht="15" hidden="false" customHeight="true" outlineLevel="0" collapsed="false">
      <c r="B28" s="74" t="s">
        <v>4099</v>
      </c>
      <c r="C28" s="75" t="s">
        <v>329</v>
      </c>
      <c r="D28" s="75" t="s">
        <v>4295</v>
      </c>
      <c r="E28" s="75" t="s">
        <v>4296</v>
      </c>
      <c r="F28" s="77"/>
      <c r="G28" s="77"/>
    </row>
    <row r="29" customFormat="false" ht="17.25" hidden="false" customHeight="true" outlineLevel="0" collapsed="false">
      <c r="B29" s="71" t="s">
        <v>4884</v>
      </c>
      <c r="C29" s="94" t="n">
        <f aca="false">IF(Need_1&lt;&gt;"",Need_1,FV((1+Used_Growth_Rate)^(1/12)-1,Years*12,-AVC_Per_Month))</f>
        <v>109144.950826499</v>
      </c>
      <c r="D29" s="80" t="s">
        <v>966</v>
      </c>
      <c r="E29" s="95" t="s">
        <v>4885</v>
      </c>
    </row>
    <row r="30" customFormat="false" ht="17.25" hidden="false" customHeight="true" outlineLevel="0" collapsed="false">
      <c r="B30" s="71" t="s">
        <v>4649</v>
      </c>
      <c r="C30" s="94" t="n">
        <f aca="false">IF(Need_2&lt;&gt;"",Need_2,IF(Inflation_Choice="","Choose your inflation rate to see this",Grows_To/(1+Inflation_Choice)^Years))</f>
        <v>66527.2168910419</v>
      </c>
      <c r="D30" s="80" t="s">
        <v>966</v>
      </c>
      <c r="E30" s="95" t="s">
        <v>4650</v>
      </c>
    </row>
    <row r="31" customFormat="false" ht="15" hidden="false" customHeight="true" outlineLevel="0" collapsed="false">
      <c r="B31" s="78" t="s">
        <v>4651</v>
      </c>
      <c r="C31" s="96" t="n">
        <f aca="false">IF(Need_3&lt;&gt;"",Need_3,AVC_Per_Month*12*Years)</f>
        <v>60000</v>
      </c>
      <c r="D31" s="80" t="s">
        <v>966</v>
      </c>
      <c r="E31" s="95" t="s">
        <v>4886</v>
      </c>
    </row>
    <row r="32" customFormat="false" ht="15" hidden="false" customHeight="true" outlineLevel="0" collapsed="false">
      <c r="B32" s="78" t="s">
        <v>4887</v>
      </c>
      <c r="C32" s="96" t="n">
        <f aca="false">IF(Need_4&lt;&gt;"",Need_4,Net_Cost_Per_Month*12*Years)</f>
        <v>36000</v>
      </c>
      <c r="D32" s="80" t="s">
        <v>966</v>
      </c>
      <c r="E32" s="95" t="s">
        <v>4888</v>
      </c>
    </row>
    <row r="33" customFormat="false" ht="15" hidden="false" customHeight="true" outlineLevel="0" collapsed="false">
      <c r="B33" s="78" t="s">
        <v>4889</v>
      </c>
      <c r="C33" s="96" t="n">
        <f aca="false">IF(Need_5&lt;&gt;"",Need_5,AVC_Per_Month-Relief_Per_Month)</f>
        <v>120</v>
      </c>
      <c r="D33" s="80" t="s">
        <v>966</v>
      </c>
      <c r="E33" s="95" t="s">
        <v>4890</v>
      </c>
    </row>
    <row r="34" customFormat="false" ht="15" hidden="false" customHeight="true" outlineLevel="0" collapsed="false">
      <c r="B34" s="78" t="str">
        <f aca="false">"Most you can get relief on in a year (age-band % × earnings up to "&amp;"€"&amp;TEXT(Relief_Earnings_Cap,"#,##0")&amp;")"</f>
        <v>Most you can get relief on in a year (age-band % × earnings up to €115,000)</v>
      </c>
      <c r="C34" s="96" t="n">
        <f aca="false">IF(Need_6&lt;&gt;"",Need_6,LOOKUP(Age,Relief_Age_From,Relief_Age_Pct)*MIN(Salary,Relief_Earnings_Cap))</f>
        <v>11600</v>
      </c>
      <c r="D34" s="80" t="s">
        <v>966</v>
      </c>
      <c r="E34" s="95" t="s">
        <v>4854</v>
      </c>
    </row>
    <row r="35" customFormat="false" ht="15" hidden="false" customHeight="true" outlineLevel="0" collapsed="false">
      <c r="B35" s="78" t="s">
        <v>4855</v>
      </c>
      <c r="C35" s="96" t="n">
        <f aca="false">IF(Need_6&lt;&gt;"",Need_6,MAX(0,Relief_Limit_Year-Existing_Pension_Year))</f>
        <v>11600</v>
      </c>
      <c r="D35" s="80" t="s">
        <v>966</v>
      </c>
      <c r="E35" s="95" t="s">
        <v>4856</v>
      </c>
    </row>
    <row r="36" customFormat="false" ht="15" hidden="false" customHeight="true" outlineLevel="0" collapsed="false">
      <c r="B36" s="78" t="s">
        <v>4891</v>
      </c>
      <c r="C36" s="96" t="n">
        <f aca="false">IF(Need_7&lt;&gt;"",Need_7,MIN(AVC_Per_Month*12,Relief_Room_Year))</f>
        <v>2400</v>
      </c>
      <c r="D36" s="80" t="s">
        <v>966</v>
      </c>
      <c r="E36" s="95" t="s">
        <v>4892</v>
      </c>
    </row>
    <row r="37" customFormat="false" ht="15" hidden="false" customHeight="true" outlineLevel="0" collapsed="false">
      <c r="B37" s="78" t="s">
        <v>4859</v>
      </c>
      <c r="C37" s="96" t="n">
        <f aca="false">IF(Need_5&lt;&gt;"",Need_5,Relieved_Year*Tax_Rate/12)</f>
        <v>80</v>
      </c>
      <c r="D37" s="80" t="s">
        <v>966</v>
      </c>
      <c r="E37" s="95" t="s">
        <v>4860</v>
      </c>
    </row>
    <row r="39" customFormat="false" ht="15" hidden="false" customHeight="true" outlineLevel="0" collapsed="false">
      <c r="B39" s="74" t="s">
        <v>4326</v>
      </c>
      <c r="C39" s="77"/>
      <c r="D39" s="77"/>
      <c r="E39" s="77"/>
      <c r="F39" s="77"/>
      <c r="G39" s="77"/>
    </row>
    <row r="40" customFormat="false" ht="27.75" hidden="false" customHeight="true" outlineLevel="0" collapsed="false">
      <c r="B40" s="99"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99"/>
      <c r="D40" s="99"/>
      <c r="E40" s="99"/>
    </row>
    <row r="41" customFormat="false" ht="13.5" hidden="false" customHeight="true" outlineLevel="0" collapsed="false">
      <c r="B41" s="100" t="s">
        <v>4329</v>
      </c>
      <c r="C41" s="100"/>
      <c r="D41" s="100"/>
      <c r="E41" s="100"/>
    </row>
    <row r="42" customFormat="false" ht="13.5" hidden="false" customHeight="true" outlineLevel="0" collapsed="false">
      <c r="B42" s="99" t="s">
        <v>4863</v>
      </c>
      <c r="C42" s="99"/>
      <c r="D42" s="99"/>
      <c r="E42" s="99"/>
    </row>
    <row r="43" customFormat="false" ht="13.5" hidden="false" customHeight="true" outlineLevel="0" collapsed="false">
      <c r="B43" s="99" t="s">
        <v>4893</v>
      </c>
      <c r="C43" s="99"/>
      <c r="D43" s="99"/>
      <c r="E43" s="99"/>
    </row>
    <row r="45" customFormat="false" ht="15" hidden="false" customHeight="true" outlineLevel="0" collapsed="false">
      <c r="B45" s="74" t="s">
        <v>4334</v>
      </c>
      <c r="C45" s="77"/>
      <c r="D45" s="77"/>
      <c r="E45" s="77"/>
      <c r="F45" s="77"/>
      <c r="G45" s="77"/>
    </row>
    <row r="46" customFormat="false" ht="15" hidden="false" customHeight="true" outlineLevel="0" collapsed="false">
      <c r="B46" s="78" t="s">
        <v>1673</v>
      </c>
      <c r="C46" s="101" t="str">
        <f aca="false">"No goal: raise the plan's pension contribution instead"</f>
        <v>No goal: raise the plan's pension contribution instead</v>
      </c>
      <c r="E46" s="102" t="s">
        <v>4864</v>
      </c>
    </row>
    <row r="47" customFormat="false" ht="15" hidden="false" customHeight="true" outlineLevel="0" collapsed="false">
      <c r="B47" s="78" t="s">
        <v>4865</v>
      </c>
      <c r="C47" s="103" t="n">
        <f aca="false">IF(Need_8&lt;&gt;"",Need_8,AVC_Per_Month)</f>
        <v>200</v>
      </c>
      <c r="E47" s="102" t="s">
        <v>4894</v>
      </c>
    </row>
    <row r="49" customFormat="false" ht="15" hidden="false" customHeight="true" outlineLevel="0" collapsed="false">
      <c r="B49" s="74" t="s">
        <v>4342</v>
      </c>
      <c r="C49" s="77"/>
      <c r="D49" s="77"/>
      <c r="E49" s="77"/>
      <c r="F49" s="77"/>
      <c r="G49" s="77"/>
    </row>
    <row r="50" customFormat="false" ht="15" hidden="false" customHeight="true" outlineLevel="0" collapsed="false">
      <c r="B50" s="105" t="s">
        <v>4895</v>
      </c>
      <c r="C50" s="105"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
      </c>
    </row>
    <row r="51" customFormat="false" ht="15" hidden="false" customHeight="true" outlineLevel="0" collapsed="false">
      <c r="B51" s="105" t="s">
        <v>4896</v>
      </c>
      <c r="C51" s="105"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
      </c>
    </row>
    <row r="52" customFormat="false" ht="15" hidden="false" customHeight="true" outlineLevel="0" collapsed="false">
      <c r="B52" s="105" t="s">
        <v>4897</v>
      </c>
      <c r="C52" s="105" t="str">
        <f aca="false">IF(AVC_Per_Month="","Choose your AVC per month to see this",IF(Years="","Choose your years to retirement to see this",""))</f>
        <v/>
      </c>
    </row>
    <row r="53" customFormat="false" ht="15" hidden="false" customHeight="true" outlineLevel="0" collapsed="false">
      <c r="B53" s="105" t="s">
        <v>4898</v>
      </c>
      <c r="C53" s="105" t="str">
        <f aca="false">IF(AVC_Per_Month="","Choose your AVC per month to see this",IF(Salary="","Choose your salary to see this",IF(Years="","Choose your years to retirement to see this",IF(Tax_Rate="","Choose your tax rate to see this",IF(Age="","Choose your age to see this","")))))</f>
        <v/>
      </c>
    </row>
    <row r="54" customFormat="false" ht="15" hidden="false" customHeight="true" outlineLevel="0" collapsed="false">
      <c r="B54" s="105" t="s">
        <v>4899</v>
      </c>
      <c r="C54" s="105" t="str">
        <f aca="false">IF(AVC_Per_Month="","Choose your AVC per month to see this",IF(Salary="","Choose your salary to see this",IF(Tax_Rate="","Choose your tax rate to see this",IF(Age="","Choose your age to see this",""))))</f>
        <v/>
      </c>
    </row>
    <row r="55" customFormat="false" ht="15" hidden="false" customHeight="true" outlineLevel="0" collapsed="false">
      <c r="B55" s="105" t="s">
        <v>4872</v>
      </c>
      <c r="C55" s="105" t="str">
        <f aca="false">IF(Salary="","Choose your salary to see this",IF(Age="","Choose your age to see this",""))</f>
        <v/>
      </c>
    </row>
    <row r="56" customFormat="false" ht="15" hidden="false" customHeight="true" outlineLevel="0" collapsed="false">
      <c r="B56" s="105" t="s">
        <v>4900</v>
      </c>
      <c r="C56" s="105" t="str">
        <f aca="false">IF(AVC_Per_Month="","Choose your AVC per month to see this",IF(Salary="","Choose your salary to see this",IF(Age="","Choose your age to see this","")))</f>
        <v/>
      </c>
    </row>
    <row r="57" customFormat="false" ht="15" hidden="false" customHeight="true" outlineLevel="0" collapsed="false">
      <c r="B57" s="105" t="s">
        <v>4901</v>
      </c>
      <c r="C57" s="105" t="str">
        <f aca="false">IF(AVC_Per_Month="","Choose your AVC per month to see this","")</f>
        <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4902</v>
      </c>
      <c r="E1" s="70" t="s">
        <v>4903</v>
      </c>
    </row>
    <row r="2" customFormat="false" ht="15" hidden="false" customHeight="true" outlineLevel="0" collapsed="false">
      <c r="B2" s="71" t="s">
        <v>4904</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4905</v>
      </c>
    </row>
    <row r="5" customFormat="false" ht="15" hidden="false" customHeight="true" outlineLevel="0" collapsed="false">
      <c r="B5" s="74" t="s">
        <v>4601</v>
      </c>
      <c r="C5" s="75" t="s">
        <v>914</v>
      </c>
      <c r="D5" s="75" t="s">
        <v>915</v>
      </c>
      <c r="E5" s="75" t="s">
        <v>4277</v>
      </c>
      <c r="F5" s="76" t="s">
        <v>4278</v>
      </c>
      <c r="G5" s="77"/>
    </row>
    <row r="6" customFormat="false" ht="21.75" hidden="false" customHeight="true" outlineLevel="0" collapsed="false">
      <c r="B6" s="78" t="s">
        <v>4602</v>
      </c>
      <c r="C6" s="87"/>
      <c r="D6" s="80" t="s">
        <v>4287</v>
      </c>
      <c r="E6" s="88"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89" t="n">
        <v>0.02</v>
      </c>
      <c r="G6" s="90" t="n">
        <f aca="false">IF(ISBLANK(C6),IF(Fill_Example="Yes",F6,""),C6)</f>
        <v>0.02</v>
      </c>
    </row>
    <row r="7" customFormat="false" ht="27.75" hidden="false" customHeight="true" outlineLevel="0" collapsed="false">
      <c r="B7" s="10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06"/>
      <c r="D7" s="106"/>
      <c r="E7" s="106"/>
    </row>
    <row r="9" customFormat="false" ht="15" hidden="false" customHeight="true" outlineLevel="0" collapsed="false">
      <c r="B9" s="74" t="s">
        <v>4355</v>
      </c>
      <c r="C9" s="77"/>
      <c r="D9" s="77"/>
      <c r="E9" s="77"/>
      <c r="F9" s="77"/>
      <c r="G9" s="77"/>
    </row>
    <row r="10" customFormat="false" ht="27.75" hidden="false" customHeight="true" outlineLevel="0" collapsed="false">
      <c r="B10" s="106" t="s">
        <v>4906</v>
      </c>
      <c r="C10" s="106"/>
      <c r="D10" s="106"/>
      <c r="E10" s="106"/>
    </row>
    <row r="11" customFormat="false" ht="15" hidden="false" customHeight="true" outlineLevel="0" collapsed="false">
      <c r="B11" s="78" t="s">
        <v>4754</v>
      </c>
      <c r="C11" s="107"/>
      <c r="D11" s="80" t="s">
        <v>966</v>
      </c>
      <c r="E11" s="81" t="s">
        <v>4673</v>
      </c>
      <c r="G11" s="105" t="s">
        <v>4359</v>
      </c>
    </row>
    <row r="12" customFormat="false" ht="15" hidden="false" customHeight="true" outlineLevel="0" collapsed="false">
      <c r="B12" s="78" t="s">
        <v>4748</v>
      </c>
      <c r="C12" s="107"/>
      <c r="D12" s="80" t="s">
        <v>966</v>
      </c>
      <c r="E12" s="81" t="s">
        <v>4749</v>
      </c>
      <c r="G12" s="105" t="s">
        <v>4359</v>
      </c>
    </row>
    <row r="13" customFormat="false" ht="15" hidden="false" customHeight="true" outlineLevel="0" collapsed="false">
      <c r="B13" s="78" t="s">
        <v>4364</v>
      </c>
      <c r="C13" s="110"/>
      <c r="D13" s="80" t="s">
        <v>924</v>
      </c>
      <c r="E13" s="81" t="s">
        <v>4365</v>
      </c>
      <c r="G13" s="105" t="s">
        <v>4359</v>
      </c>
    </row>
    <row r="15" customFormat="false" ht="15" hidden="false" customHeight="true" outlineLevel="0" collapsed="false">
      <c r="B15" s="74" t="s">
        <v>4366</v>
      </c>
      <c r="C15" s="75" t="s">
        <v>914</v>
      </c>
      <c r="D15" s="75" t="s">
        <v>915</v>
      </c>
      <c r="E15" s="75" t="s">
        <v>4277</v>
      </c>
      <c r="F15" s="76" t="s">
        <v>4278</v>
      </c>
      <c r="G15" s="77"/>
    </row>
    <row r="16" customFormat="false" ht="21.75" hidden="false" customHeight="true" outlineLevel="0" collapsed="false">
      <c r="B16" s="78" t="s">
        <v>4907</v>
      </c>
      <c r="C16" s="79"/>
      <c r="D16" s="80" t="s">
        <v>966</v>
      </c>
      <c r="E16" s="81" t="s">
        <v>4908</v>
      </c>
      <c r="F16" s="82" t="n">
        <v>400000</v>
      </c>
      <c r="G16" s="83" t="n">
        <f aca="false">IF(AND(ISNUMBER(C16),N(C16)&lt;10000),"",IF(ISBLANK(C16),IF(ISNUMBER('Plan results'!$C$45),'Plan results'!$C$45,IF(Fill_Example="Yes",F16,"")),C16))</f>
        <v>595640.396053951</v>
      </c>
    </row>
    <row r="17" customFormat="false" ht="15" hidden="false" customHeight="true" outlineLevel="0" collapsed="false">
      <c r="B17" s="78" t="s">
        <v>4909</v>
      </c>
      <c r="C17" s="79"/>
      <c r="D17" s="80" t="s">
        <v>966</v>
      </c>
      <c r="E17" s="81" t="s">
        <v>4910</v>
      </c>
      <c r="F17" s="82" t="n">
        <v>24000</v>
      </c>
      <c r="G17" s="83" t="n">
        <f aca="false">IF(ISBLANK(C17),IF(Fill_Example="Yes",F17,""),C17)</f>
        <v>24000</v>
      </c>
    </row>
    <row r="18" customFormat="false" ht="21.75" hidden="false" customHeight="true" outlineLevel="0" collapsed="false">
      <c r="B18" s="78" t="s">
        <v>4911</v>
      </c>
      <c r="C18" s="87"/>
      <c r="D18" s="80" t="s">
        <v>4287</v>
      </c>
      <c r="E18" s="88" t="s">
        <v>4912</v>
      </c>
      <c r="F18" s="89" t="n">
        <f aca="false">AS_PenRet</f>
        <v>0.0315</v>
      </c>
      <c r="G18" s="90" t="n">
        <f aca="false">IF(ISBLANK(C18),F18,C18)</f>
        <v>0.0315</v>
      </c>
    </row>
    <row r="19" customFormat="false" ht="21.75" hidden="false" customHeight="true" outlineLevel="0" collapsed="false">
      <c r="B19" s="78" t="s">
        <v>4913</v>
      </c>
      <c r="C19" s="84"/>
      <c r="D19" s="80"/>
      <c r="E19" s="88" t="s">
        <v>4914</v>
      </c>
      <c r="F19" s="85" t="str">
        <f aca="false">IF(Set_ddTiming="end","End of year","Start of year")</f>
        <v>Start of year</v>
      </c>
      <c r="G19" s="86" t="str">
        <f aca="false">IF(ISBLANK(C19),F19,C19)</f>
        <v>Start of year</v>
      </c>
    </row>
    <row r="20" customFormat="false" ht="21.75" hidden="false" customHeight="true" outlineLevel="0" collapsed="false">
      <c r="B20" s="78" t="s">
        <v>4915</v>
      </c>
      <c r="C20" s="91"/>
      <c r="D20" s="80" t="s">
        <v>934</v>
      </c>
      <c r="E20" s="88" t="s">
        <v>4916</v>
      </c>
      <c r="F20" s="92" t="n">
        <v>66</v>
      </c>
      <c r="G20" s="93" t="n">
        <f aca="false">IF(ISBLANK(C20),IF(Fill_Example="Yes",F20,""),C20)</f>
        <v>66</v>
      </c>
    </row>
    <row r="21" customFormat="false" ht="21.75" hidden="false" customHeight="true" outlineLevel="0" collapsed="false">
      <c r="B21" s="78" t="s">
        <v>4917</v>
      </c>
      <c r="C21" s="91"/>
      <c r="D21" s="80" t="s">
        <v>934</v>
      </c>
      <c r="E21" s="88" t="s">
        <v>4918</v>
      </c>
      <c r="F21" s="92" t="n">
        <v>90</v>
      </c>
      <c r="G21" s="93" t="n">
        <f aca="false">IF(ISBLANK(C21),IF(Fill_Example="Yes",F21,""),C21)</f>
        <v>90</v>
      </c>
    </row>
    <row r="23" customFormat="false" ht="15" hidden="false" customHeight="true" outlineLevel="0" collapsed="false">
      <c r="B23" s="74" t="s">
        <v>4375</v>
      </c>
      <c r="C23" s="77"/>
      <c r="D23" s="77"/>
      <c r="E23" s="77"/>
      <c r="F23" s="77"/>
      <c r="G23" s="77"/>
    </row>
    <row r="24" customFormat="false" ht="15" hidden="false" customHeight="true" outlineLevel="0" collapsed="false">
      <c r="B24" s="78" t="s">
        <v>4907</v>
      </c>
      <c r="C24" s="111" t="n">
        <f aca="false">IF(NOT(ISBLANK(Stmt_Projected_Fund)),Stmt_Projected_Fund,IF(NOT(ISBLANK(Stmt_Fund_Value)),Stmt_Fund_Value,Retirement_Savings))</f>
        <v>595640.396053951</v>
      </c>
      <c r="D24" s="112" t="str">
        <f aca="false">IF(NOT(ISBLANK(Stmt_Projected_Fund)),"From your statement (projected fund)",IF(NOT(ISBLANK(Stmt_Fund_Value)),"From your statement (fund value today)","Your figure"))</f>
        <v>Your figure</v>
      </c>
      <c r="E24" s="102" t="s">
        <v>4919</v>
      </c>
    </row>
    <row r="25" customFormat="false" ht="21.75" hidden="false" customHeight="true" outlineLevel="0" collapsed="false">
      <c r="B25" s="78" t="s">
        <v>4382</v>
      </c>
      <c r="C25" s="98" t="str">
        <f aca="true">IF(ISBLANK(Stmt_Statement_Date),"",IF(TODAY()-Stmt_Statement_Date&gt;Statement_Max_Age_Days,"Needs a look: statement is more than 12 months old","Up to date"))</f>
        <v/>
      </c>
      <c r="D25" s="80"/>
      <c r="E25" s="95" t="s">
        <v>4383</v>
      </c>
    </row>
    <row r="27" customFormat="false" ht="15" hidden="false" customHeight="true" outlineLevel="0" collapsed="false">
      <c r="B27" s="74" t="s">
        <v>4099</v>
      </c>
      <c r="C27" s="75" t="s">
        <v>329</v>
      </c>
      <c r="D27" s="75" t="s">
        <v>4295</v>
      </c>
      <c r="E27" s="75" t="s">
        <v>4296</v>
      </c>
      <c r="F27" s="77"/>
      <c r="G27" s="77"/>
    </row>
    <row r="28" customFormat="false" ht="23.25" hidden="false" customHeight="true" outlineLevel="0" collapsed="false">
      <c r="B28" s="71" t="s">
        <v>4920</v>
      </c>
      <c r="C28" s="115" t="n">
        <f aca="false">IF(Need_1&lt;&gt;"",Need_1,IF(Inflation_Choice="","Choose your inflation rate to see this",SUM(W_paid)))</f>
        <v>28</v>
      </c>
      <c r="D28" s="116" t="str">
        <f aca="false">IF(Need_1&lt;&gt;"",Need_1,IF(ISNUMBER(Years_Lasting),IF(Years_Lasting&gt;=Cap_Years,Cap_Years&amp;"+ years",IF(Years_Lasting&lt;1,"Less than a year",Years_Lasting&amp;IF(Years_Lasting=1," year"," years"))),"Choose your inflation rate to see this"))</f>
        <v>28 years</v>
      </c>
      <c r="E28" s="95" t="s">
        <v>4921</v>
      </c>
    </row>
    <row r="29" customFormat="false" ht="23.25" hidden="false" customHeight="true" outlineLevel="0" collapsed="false">
      <c r="B29" s="71" t="s">
        <v>4922</v>
      </c>
      <c r="C29" s="115" t="n">
        <f aca="false">IF(Need_2&lt;&gt;"",Need_2,IF(ISNUMBER(Years_Lasting),IF(Years_Lasting&gt;=Cap_Years,"Beyond "&amp;Plan_To_Age,IF(Years_Lasting&lt;1,"Less than a year",Age_At_Start+Years_Lasting)),"Choose your inflation rate to see this"))</f>
        <v>94</v>
      </c>
      <c r="D29" s="116"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Lasts to your plan age (90)</v>
      </c>
      <c r="E29" s="95" t="s">
        <v>4923</v>
      </c>
    </row>
    <row r="30" customFormat="false" ht="15" hidden="false" customHeight="true" outlineLevel="0" collapsed="false">
      <c r="B30" s="78" t="s">
        <v>4924</v>
      </c>
      <c r="C30" s="130" t="n">
        <f aca="false">IF(Need_3&lt;&gt;"",Need_3,Yearly_Withdrawal/Used_Retirement_Savings)</f>
        <v>0.0402927675137503</v>
      </c>
      <c r="D30" s="80" t="s">
        <v>4287</v>
      </c>
      <c r="E30" s="95" t="s">
        <v>4925</v>
      </c>
    </row>
    <row r="31" customFormat="false" ht="15" hidden="false" customHeight="true" outlineLevel="0" collapsed="false">
      <c r="B31" s="74" t="s">
        <v>4926</v>
      </c>
      <c r="C31" s="77"/>
      <c r="D31" s="77"/>
      <c r="E31" s="77"/>
      <c r="F31" s="77"/>
      <c r="G31" s="77"/>
    </row>
    <row r="32" customFormat="false" ht="27.75" hidden="false" customHeight="true" outlineLevel="0" collapsed="false">
      <c r="B32" s="131" t="s">
        <v>1561</v>
      </c>
      <c r="C32" s="131" t="s">
        <v>4927</v>
      </c>
      <c r="D32" s="131" t="s">
        <v>4928</v>
      </c>
      <c r="E32" s="131" t="s">
        <v>4929</v>
      </c>
      <c r="F32" s="131" t="s">
        <v>4930</v>
      </c>
    </row>
    <row r="33" customFormat="false" ht="15" hidden="false" customHeight="true" outlineLevel="0" collapsed="false">
      <c r="B33" s="132" t="n">
        <v>1</v>
      </c>
      <c r="C33" s="133" t="n">
        <f aca="false">IF(Need_1&lt;&gt;"","",Yearly_Withdrawal)</f>
        <v>24000</v>
      </c>
      <c r="D33" s="133" t="n">
        <f aca="false">IF(Need_1&lt;&gt;"","",Used_Retirement_Savings)</f>
        <v>595640.396053951</v>
      </c>
      <c r="E33" s="132" t="n">
        <f aca="false">IF(Need_1&lt;&gt;"","",IF(Withdrawal_Timing="Start of year",IF(D33&gt;=C33,1,0),IF(D33*(1+Growth_Rate)&gt;=C33,1,0)))</f>
        <v>1</v>
      </c>
      <c r="F33" s="133" t="n">
        <f aca="false">IF(Need_1&lt;&gt;"","",IF(E33=1,IF(Withdrawal_Timing="Start of year",(D33-C33)*(1+Growth_Rate),D33*(1+Growth_Rate)-C33),0))</f>
        <v>589647.06852965</v>
      </c>
    </row>
    <row r="34" customFormat="false" ht="15" hidden="false" customHeight="true" outlineLevel="0" collapsed="false">
      <c r="B34" s="132" t="n">
        <v>2</v>
      </c>
      <c r="C34" s="133" t="n">
        <f aca="false">IF(Need_1&lt;&gt;"","",C33*(1+Inflation_Choice))</f>
        <v>24480</v>
      </c>
      <c r="D34" s="133" t="n">
        <f aca="false">IF(Need_1&lt;&gt;"","",F33)</f>
        <v>589647.06852965</v>
      </c>
      <c r="E34" s="132" t="n">
        <f aca="false">IF(Need_1&lt;&gt;"","",IF(Withdrawal_Timing="Start of year",IF(D34&gt;=C34,1,0),IF(D34*(1+Growth_Rate)&gt;=C34,1,0)))</f>
        <v>1</v>
      </c>
      <c r="F34" s="133" t="n">
        <f aca="false">IF(Need_1&lt;&gt;"","",IF(E34=1,IF(Withdrawal_Timing="Start of year",(D34-C34)*(1+Growth_Rate),D34*(1+Growth_Rate)-C34),0))</f>
        <v>582969.831188334</v>
      </c>
    </row>
    <row r="35" customFormat="false" ht="15" hidden="false" customHeight="true" outlineLevel="0" collapsed="false">
      <c r="B35" s="132" t="n">
        <v>3</v>
      </c>
      <c r="C35" s="133" t="n">
        <f aca="false">IF(Need_1&lt;&gt;"","",C34*(1+Inflation_Choice))</f>
        <v>24969.6</v>
      </c>
      <c r="D35" s="133" t="n">
        <f aca="false">IF(Need_1&lt;&gt;"","",F34)</f>
        <v>582969.831188334</v>
      </c>
      <c r="E35" s="132" t="n">
        <f aca="false">IF(Need_1&lt;&gt;"","",IF(Withdrawal_Timing="Start of year",IF(D35&gt;=C35,1,0),IF(D35*(1+Growth_Rate)&gt;=C35,1,0)))</f>
        <v>1</v>
      </c>
      <c r="F35" s="133" t="n">
        <f aca="false">IF(Need_1&lt;&gt;"","",IF(E35=1,IF(Withdrawal_Timing="Start of year",(D35-C35)*(1+Growth_Rate),D35*(1+Growth_Rate)-C35),0))</f>
        <v>575577.238470767</v>
      </c>
    </row>
    <row r="36" customFormat="false" ht="15" hidden="false" customHeight="true" outlineLevel="0" collapsed="false">
      <c r="B36" s="132" t="n">
        <v>4</v>
      </c>
      <c r="C36" s="133" t="n">
        <f aca="false">IF(Need_1&lt;&gt;"","",C35*(1+Inflation_Choice))</f>
        <v>25468.992</v>
      </c>
      <c r="D36" s="133" t="n">
        <f aca="false">IF(Need_1&lt;&gt;"","",F35)</f>
        <v>575577.238470767</v>
      </c>
      <c r="E36" s="132" t="n">
        <f aca="false">IF(Need_1&lt;&gt;"","",IF(Withdrawal_Timing="Start of year",IF(D36&gt;=C36,1,0),IF(D36*(1+Growth_Rate)&gt;=C36,1,0)))</f>
        <v>1</v>
      </c>
      <c r="F36" s="133" t="n">
        <f aca="false">IF(Need_1&lt;&gt;"","",IF(E36=1,IF(Withdrawal_Timing="Start of year",(D36-C36)*(1+Growth_Rate),D36*(1+Growth_Rate)-C36),0))</f>
        <v>567436.656234596</v>
      </c>
    </row>
    <row r="37" customFormat="false" ht="15" hidden="false" customHeight="true" outlineLevel="0" collapsed="false">
      <c r="B37" s="132" t="n">
        <v>5</v>
      </c>
      <c r="C37" s="133" t="n">
        <f aca="false">IF(Need_1&lt;&gt;"","",C36*(1+Inflation_Choice))</f>
        <v>25978.37184</v>
      </c>
      <c r="D37" s="133" t="n">
        <f aca="false">IF(Need_1&lt;&gt;"","",F36)</f>
        <v>567436.656234596</v>
      </c>
      <c r="E37" s="132" t="n">
        <f aca="false">IF(Need_1&lt;&gt;"","",IF(Withdrawal_Timing="Start of year",IF(D37&gt;=C37,1,0),IF(D37*(1+Growth_Rate)&gt;=C37,1,0)))</f>
        <v>1</v>
      </c>
      <c r="F37" s="133" t="n">
        <f aca="false">IF(Need_1&lt;&gt;"","",IF(E37=1,IF(Withdrawal_Timing="Start of year",(D37-C37)*(1+Growth_Rate),D37*(1+Growth_Rate)-C37),0))</f>
        <v>558514.220353026</v>
      </c>
    </row>
    <row r="38" customFormat="false" ht="15" hidden="false" customHeight="true" outlineLevel="0" collapsed="false">
      <c r="B38" s="132" t="n">
        <v>6</v>
      </c>
      <c r="C38" s="133" t="n">
        <f aca="false">IF(Need_1&lt;&gt;"","",C37*(1+Inflation_Choice))</f>
        <v>26497.9392768</v>
      </c>
      <c r="D38" s="133" t="n">
        <f aca="false">IF(Need_1&lt;&gt;"","",F37)</f>
        <v>558514.220353026</v>
      </c>
      <c r="E38" s="132" t="n">
        <f aca="false">IF(Need_1&lt;&gt;"","",IF(Withdrawal_Timing="Start of year",IF(D38&gt;=C38,1,0),IF(D38*(1+Growth_Rate)&gt;=C38,1,0)))</f>
        <v>1</v>
      </c>
      <c r="F38" s="133" t="n">
        <f aca="false">IF(Need_1&lt;&gt;"","",IF(E38=1,IF(Withdrawal_Timing="Start of year",(D38-C38)*(1+Growth_Rate),D38*(1+Growth_Rate)-C38),0))</f>
        <v>548774.793930127</v>
      </c>
    </row>
    <row r="39" customFormat="false" ht="15" hidden="false" customHeight="true" outlineLevel="0" collapsed="false">
      <c r="B39" s="132" t="n">
        <v>7</v>
      </c>
      <c r="C39" s="133" t="n">
        <f aca="false">IF(Need_1&lt;&gt;"","",C38*(1+Inflation_Choice))</f>
        <v>27027.898062336</v>
      </c>
      <c r="D39" s="133" t="n">
        <f aca="false">IF(Need_1&lt;&gt;"","",F38)</f>
        <v>548774.793930127</v>
      </c>
      <c r="E39" s="132" t="n">
        <f aca="false">IF(Need_1&lt;&gt;"","",IF(Withdrawal_Timing="Start of year",IF(D39&gt;=C39,1,0),IF(D39*(1+Growth_Rate)&gt;=C39,1,0)))</f>
        <v>1</v>
      </c>
      <c r="F39" s="133" t="n">
        <f aca="false">IF(Need_1&lt;&gt;"","",IF(E39=1,IF(Withdrawal_Timing="Start of year",(D39-C39)*(1+Growth_Rate),D39*(1+Growth_Rate)-C39),0))</f>
        <v>538181.923087626</v>
      </c>
    </row>
    <row r="40" customFormat="false" ht="15" hidden="false" customHeight="true" outlineLevel="0" collapsed="false">
      <c r="B40" s="132" t="n">
        <v>8</v>
      </c>
      <c r="C40" s="133" t="n">
        <f aca="false">IF(Need_1&lt;&gt;"","",C39*(1+Inflation_Choice))</f>
        <v>27568.4560235827</v>
      </c>
      <c r="D40" s="133" t="n">
        <f aca="false">IF(Need_1&lt;&gt;"","",F39)</f>
        <v>538181.923087626</v>
      </c>
      <c r="E40" s="132" t="n">
        <f aca="false">IF(Need_1&lt;&gt;"","",IF(Withdrawal_Timing="Start of year",IF(D40&gt;=C40,1,0),IF(D40*(1+Growth_Rate)&gt;=C40,1,0)))</f>
        <v>1</v>
      </c>
      <c r="F40" s="133" t="n">
        <f aca="false">IF(Need_1&lt;&gt;"","",IF(E40=1,IF(Withdrawal_Timing="Start of year",(D40-C40)*(1+Growth_Rate),D40*(1+Growth_Rate)-C40),0))</f>
        <v>526697.791276561</v>
      </c>
    </row>
    <row r="41" customFormat="false" ht="15" hidden="false" customHeight="true" outlineLevel="0" collapsed="false">
      <c r="B41" s="132" t="n">
        <v>9</v>
      </c>
      <c r="C41" s="133" t="n">
        <f aca="false">IF(Need_1&lt;&gt;"","",C40*(1+Inflation_Choice))</f>
        <v>28119.8251440544</v>
      </c>
      <c r="D41" s="133" t="n">
        <f aca="false">IF(Need_1&lt;&gt;"","",F40)</f>
        <v>526697.791276561</v>
      </c>
      <c r="E41" s="132" t="n">
        <f aca="false">IF(Need_1&lt;&gt;"","",IF(Withdrawal_Timing="Start of year",IF(D41&gt;=C41,1,0),IF(D41*(1+Growth_Rate)&gt;=C41,1,0)))</f>
        <v>1</v>
      </c>
      <c r="F41" s="133" t="n">
        <f aca="false">IF(Need_1&lt;&gt;"","",IF(E41=1,IF(Withdrawal_Timing="Start of year",(D41-C41)*(1+Growth_Rate),D41*(1+Growth_Rate)-C41),0))</f>
        <v>514283.17206568</v>
      </c>
    </row>
    <row r="42" customFormat="false" ht="15" hidden="false" customHeight="true" outlineLevel="0" collapsed="false">
      <c r="B42" s="132" t="n">
        <v>10</v>
      </c>
      <c r="C42" s="133" t="n">
        <f aca="false">IF(Need_1&lt;&gt;"","",C41*(1+Inflation_Choice))</f>
        <v>28682.2216469355</v>
      </c>
      <c r="D42" s="133" t="n">
        <f aca="false">IF(Need_1&lt;&gt;"","",F41)</f>
        <v>514283.17206568</v>
      </c>
      <c r="E42" s="132" t="n">
        <f aca="false">IF(Need_1&lt;&gt;"","",IF(Withdrawal_Timing="Start of year",IF(D42&gt;=C42,1,0),IF(D42*(1+Growth_Rate)&gt;=C42,1,0)))</f>
        <v>1</v>
      </c>
      <c r="F42" s="133" t="n">
        <f aca="false">IF(Need_1&lt;&gt;"","",IF(E42=1,IF(Withdrawal_Timing="Start of year",(D42-C42)*(1+Growth_Rate),D42*(1+Growth_Rate)-C42),0))</f>
        <v>500897.380356935</v>
      </c>
    </row>
    <row r="43" customFormat="false" ht="15" hidden="false" customHeight="true" outlineLevel="0" collapsed="false">
      <c r="B43" s="132" t="n">
        <v>11</v>
      </c>
      <c r="C43" s="133" t="n">
        <f aca="false">IF(Need_1&lt;&gt;"","",C42*(1+Inflation_Choice))</f>
        <v>29255.8660798742</v>
      </c>
      <c r="D43" s="133" t="n">
        <f aca="false">IF(Need_1&lt;&gt;"","",F42)</f>
        <v>500897.380356935</v>
      </c>
      <c r="E43" s="132" t="n">
        <f aca="false">IF(Need_1&lt;&gt;"","",IF(Withdrawal_Timing="Start of year",IF(D43&gt;=C43,1,0),IF(D43*(1+Growth_Rate)&gt;=C43,1,0)))</f>
        <v>1</v>
      </c>
      <c r="F43" s="133" t="n">
        <f aca="false">IF(Need_1&lt;&gt;"","",IF(E43=1,IF(Withdrawal_Timing="Start of year",(D43-C43)*(1+Growth_Rate),D43*(1+Growth_Rate)-C43),0))</f>
        <v>486498.221976789</v>
      </c>
    </row>
    <row r="44" customFormat="false" ht="15" hidden="false" customHeight="true" outlineLevel="0" collapsed="false">
      <c r="B44" s="132" t="n">
        <v>12</v>
      </c>
      <c r="C44" s="133" t="n">
        <f aca="false">IF(Need_1&lt;&gt;"","",C43*(1+Inflation_Choice))</f>
        <v>29840.9834014717</v>
      </c>
      <c r="D44" s="133" t="n">
        <f aca="false">IF(Need_1&lt;&gt;"","",F43)</f>
        <v>486498.221976789</v>
      </c>
      <c r="E44" s="132" t="n">
        <f aca="false">IF(Need_1&lt;&gt;"","",IF(Withdrawal_Timing="Start of year",IF(D44&gt;=C44,1,0),IF(D44*(1+Growth_Rate)&gt;=C44,1,0)))</f>
        <v>1</v>
      </c>
      <c r="F44" s="133" t="n">
        <f aca="false">IF(Need_1&lt;&gt;"","",IF(E44=1,IF(Withdrawal_Timing="Start of year",(D44-C44)*(1+Growth_Rate),D44*(1+Growth_Rate)-C44),0))</f>
        <v>471041.94159044</v>
      </c>
    </row>
    <row r="45" customFormat="false" ht="15" hidden="false" customHeight="true" outlineLevel="0" collapsed="false">
      <c r="B45" s="132" t="n">
        <v>13</v>
      </c>
      <c r="C45" s="133" t="n">
        <f aca="false">IF(Need_1&lt;&gt;"","",C44*(1+Inflation_Choice))</f>
        <v>30437.8030695011</v>
      </c>
      <c r="D45" s="133" t="n">
        <f aca="false">IF(Need_1&lt;&gt;"","",F44)</f>
        <v>471041.94159044</v>
      </c>
      <c r="E45" s="132" t="n">
        <f aca="false">IF(Need_1&lt;&gt;"","",IF(Withdrawal_Timing="Start of year",IF(D45&gt;=C45,1,0),IF(D45*(1+Growth_Rate)&gt;=C45,1,0)))</f>
        <v>1</v>
      </c>
      <c r="F45" s="133" t="n">
        <f aca="false">IF(Need_1&lt;&gt;"","",IF(E45=1,IF(Withdrawal_Timing="Start of year",(D45-C45)*(1+Growth_Rate),D45*(1+Growth_Rate)-C45),0))</f>
        <v>454483.168884348</v>
      </c>
    </row>
    <row r="46" customFormat="false" ht="15" hidden="false" customHeight="true" outlineLevel="0" collapsed="false">
      <c r="B46" s="132" t="n">
        <v>14</v>
      </c>
      <c r="C46" s="133" t="n">
        <f aca="false">IF(Need_1&lt;&gt;"","",C45*(1+Inflation_Choice))</f>
        <v>31046.5591308911</v>
      </c>
      <c r="D46" s="133" t="n">
        <f aca="false">IF(Need_1&lt;&gt;"","",F45)</f>
        <v>454483.168884348</v>
      </c>
      <c r="E46" s="132" t="n">
        <f aca="false">IF(Need_1&lt;&gt;"","",IF(Withdrawal_Timing="Start of year",IF(D46&gt;=C46,1,0),IF(D46*(1+Growth_Rate)&gt;=C46,1,0)))</f>
        <v>1</v>
      </c>
      <c r="F46" s="133" t="n">
        <f aca="false">IF(Need_1&lt;&gt;"","",IF(E46=1,IF(Withdrawal_Timing="Start of year",(D46-C46)*(1+Growth_Rate),D46*(1+Growth_Rate)-C46),0))</f>
        <v>436774.862960691</v>
      </c>
    </row>
    <row r="47" customFormat="false" ht="15" hidden="false" customHeight="true" outlineLevel="0" collapsed="false">
      <c r="B47" s="132" t="n">
        <v>15</v>
      </c>
      <c r="C47" s="133" t="n">
        <f aca="false">IF(Need_1&lt;&gt;"","",C46*(1+Inflation_Choice))</f>
        <v>31667.4903135089</v>
      </c>
      <c r="D47" s="133" t="n">
        <f aca="false">IF(Need_1&lt;&gt;"","",F46)</f>
        <v>436774.862960691</v>
      </c>
      <c r="E47" s="132" t="n">
        <f aca="false">IF(Need_1&lt;&gt;"","",IF(Withdrawal_Timing="Start of year",IF(D47&gt;=C47,1,0),IF(D47*(1+Growth_Rate)&gt;=C47,1,0)))</f>
        <v>1</v>
      </c>
      <c r="F47" s="133" t="n">
        <f aca="false">IF(Need_1&lt;&gt;"","",IF(E47=1,IF(Withdrawal_Timing="Start of year",(D47-C47)*(1+Growth_Rate),D47*(1+Growth_Rate)-C47),0))</f>
        <v>417868.254885568</v>
      </c>
    </row>
    <row r="48" customFormat="false" ht="15" hidden="false" customHeight="true" outlineLevel="0" collapsed="false">
      <c r="B48" s="132" t="n">
        <v>16</v>
      </c>
      <c r="C48" s="133" t="n">
        <f aca="false">IF(Need_1&lt;&gt;"","",C47*(1+Inflation_Choice))</f>
        <v>32300.8401197791</v>
      </c>
      <c r="D48" s="133" t="n">
        <f aca="false">IF(Need_1&lt;&gt;"","",F47)</f>
        <v>417868.254885568</v>
      </c>
      <c r="E48" s="132" t="n">
        <f aca="false">IF(Need_1&lt;&gt;"","",IF(Withdrawal_Timing="Start of year",IF(D48&gt;=C48,1,0),IF(D48*(1+Growth_Rate)&gt;=C48,1,0)))</f>
        <v>1</v>
      </c>
      <c r="F48" s="133" t="n">
        <f aca="false">IF(Need_1&lt;&gt;"","",IF(E48=1,IF(Withdrawal_Timing="Start of year",(D48-C48)*(1+Growth_Rate),D48*(1+Growth_Rate)-C48),0))</f>
        <v>397712.788330911</v>
      </c>
    </row>
    <row r="49" customFormat="false" ht="15" hidden="false" customHeight="true" outlineLevel="0" collapsed="false">
      <c r="B49" s="132" t="n">
        <v>17</v>
      </c>
      <c r="C49" s="133" t="n">
        <f aca="false">IF(Need_1&lt;&gt;"","",C48*(1+Inflation_Choice))</f>
        <v>32946.8569221747</v>
      </c>
      <c r="D49" s="133" t="n">
        <f aca="false">IF(Need_1&lt;&gt;"","",F48)</f>
        <v>397712.788330911</v>
      </c>
      <c r="E49" s="132" t="n">
        <f aca="false">IF(Need_1&lt;&gt;"","",IF(Withdrawal_Timing="Start of year",IF(D49&gt;=C49,1,0),IF(D49*(1+Growth_Rate)&gt;=C49,1,0)))</f>
        <v>1</v>
      </c>
      <c r="F49" s="133" t="n">
        <f aca="false">IF(Need_1&lt;&gt;"","",IF(E49=1,IF(Withdrawal_Timing="Start of year",(D49-C49)*(1+Growth_Rate),D49*(1+Growth_Rate)-C49),0))</f>
        <v>376256.058248112</v>
      </c>
    </row>
    <row r="50" customFormat="false" ht="15" hidden="false" customHeight="true" outlineLevel="0" collapsed="false">
      <c r="B50" s="132" t="n">
        <v>18</v>
      </c>
      <c r="C50" s="133" t="n">
        <f aca="false">IF(Need_1&lt;&gt;"","",C49*(1+Inflation_Choice))</f>
        <v>33605.7940606182</v>
      </c>
      <c r="D50" s="133" t="n">
        <f aca="false">IF(Need_1&lt;&gt;"","",F49)</f>
        <v>376256.058248112</v>
      </c>
      <c r="E50" s="132" t="n">
        <f aca="false">IF(Need_1&lt;&gt;"","",IF(Withdrawal_Timing="Start of year",IF(D50&gt;=C50,1,0),IF(D50*(1+Growth_Rate)&gt;=C50,1,0)))</f>
        <v>1</v>
      </c>
      <c r="F50" s="133" t="n">
        <f aca="false">IF(Need_1&lt;&gt;"","",IF(E50=1,IF(Withdrawal_Timing="Start of year",(D50-C50)*(1+Growth_Rate),D50*(1+Growth_Rate)-C50),0))</f>
        <v>353443.7475094</v>
      </c>
    </row>
    <row r="51" customFormat="false" ht="15" hidden="false" customHeight="true" outlineLevel="0" collapsed="false">
      <c r="B51" s="132" t="n">
        <v>19</v>
      </c>
      <c r="C51" s="133" t="n">
        <f aca="false">IF(Need_1&lt;&gt;"","",C50*(1+Inflation_Choice))</f>
        <v>34277.9099418306</v>
      </c>
      <c r="D51" s="133" t="n">
        <f aca="false">IF(Need_1&lt;&gt;"","",F50)</f>
        <v>353443.7475094</v>
      </c>
      <c r="E51" s="132" t="n">
        <f aca="false">IF(Need_1&lt;&gt;"","",IF(Withdrawal_Timing="Start of year",IF(D51&gt;=C51,1,0),IF(D51*(1+Growth_Rate)&gt;=C51,1,0)))</f>
        <v>1</v>
      </c>
      <c r="F51" s="133" t="n">
        <f aca="false">IF(Need_1&lt;&gt;"","",IF(E51=1,IF(Withdrawal_Timing="Start of year",(D51-C51)*(1+Growth_Rate),D51*(1+Growth_Rate)-C51),0))</f>
        <v>329219.561450948</v>
      </c>
    </row>
    <row r="52" customFormat="false" ht="15" hidden="false" customHeight="true" outlineLevel="0" collapsed="false">
      <c r="B52" s="132" t="n">
        <v>20</v>
      </c>
      <c r="C52" s="133" t="n">
        <f aca="false">IF(Need_1&lt;&gt;"","",C51*(1+Inflation_Choice))</f>
        <v>34963.4681406672</v>
      </c>
      <c r="D52" s="133" t="n">
        <f aca="false">IF(Need_1&lt;&gt;"","",F51)</f>
        <v>329219.561450948</v>
      </c>
      <c r="E52" s="132" t="n">
        <f aca="false">IF(Need_1&lt;&gt;"","",IF(Withdrawal_Timing="Start of year",IF(D52&gt;=C52,1,0),IF(D52*(1+Growth_Rate)&gt;=C52,1,0)))</f>
        <v>1</v>
      </c>
      <c r="F52" s="133" t="n">
        <f aca="false">IF(Need_1&lt;&gt;"","",IF(E52=1,IF(Withdrawal_Timing="Start of year",(D52-C52)*(1+Growth_Rate),D52*(1+Growth_Rate)-C52),0))</f>
        <v>303525.160249554</v>
      </c>
    </row>
    <row r="53" customFormat="false" ht="15" hidden="false" customHeight="true" outlineLevel="0" collapsed="false">
      <c r="B53" s="132" t="n">
        <v>21</v>
      </c>
      <c r="C53" s="133" t="n">
        <f aca="false">IF(Need_1&lt;&gt;"","",C52*(1+Inflation_Choice))</f>
        <v>35662.7375034805</v>
      </c>
      <c r="D53" s="133" t="n">
        <f aca="false">IF(Need_1&lt;&gt;"","",F52)</f>
        <v>303525.160249554</v>
      </c>
      <c r="E53" s="132" t="n">
        <f aca="false">IF(Need_1&lt;&gt;"","",IF(Withdrawal_Timing="Start of year",IF(D53&gt;=C53,1,0),IF(D53*(1+Growth_Rate)&gt;=C53,1,0)))</f>
        <v>1</v>
      </c>
      <c r="F53" s="133" t="n">
        <f aca="false">IF(Need_1&lt;&gt;"","",IF(E53=1,IF(Withdrawal_Timing="Start of year",(D53-C53)*(1+Growth_Rate),D53*(1+Growth_Rate)-C53),0))</f>
        <v>276300.089062575</v>
      </c>
    </row>
    <row r="54" customFormat="false" ht="15" hidden="false" customHeight="true" outlineLevel="0" collapsed="false">
      <c r="B54" s="132" t="n">
        <v>22</v>
      </c>
      <c r="C54" s="133" t="n">
        <f aca="false">IF(Need_1&lt;&gt;"","",C53*(1+Inflation_Choice))</f>
        <v>36375.9922535501</v>
      </c>
      <c r="D54" s="133" t="n">
        <f aca="false">IF(Need_1&lt;&gt;"","",F53)</f>
        <v>276300.089062575</v>
      </c>
      <c r="E54" s="132" t="n">
        <f aca="false">IF(Need_1&lt;&gt;"","",IF(Withdrawal_Timing="Start of year",IF(D54&gt;=C54,1,0),IF(D54*(1+Growth_Rate)&gt;=C54,1,0)))</f>
        <v>1</v>
      </c>
      <c r="F54" s="133" t="n">
        <f aca="false">IF(Need_1&lt;&gt;"","",IF(E54=1,IF(Withdrawal_Timing="Start of year",(D54-C54)*(1+Growth_Rate),D54*(1+Growth_Rate)-C54),0))</f>
        <v>247481.705858509</v>
      </c>
    </row>
    <row r="55" customFormat="false" ht="15" hidden="false" customHeight="true" outlineLevel="0" collapsed="false">
      <c r="B55" s="132" t="n">
        <v>23</v>
      </c>
      <c r="C55" s="133" t="n">
        <f aca="false">IF(Need_1&lt;&gt;"","",C54*(1+Inflation_Choice))</f>
        <v>37103.5120986211</v>
      </c>
      <c r="D55" s="133" t="n">
        <f aca="false">IF(Need_1&lt;&gt;"","",F54)</f>
        <v>247481.705858509</v>
      </c>
      <c r="E55" s="132" t="n">
        <f aca="false">IF(Need_1&lt;&gt;"","",IF(Withdrawal_Timing="Start of year",IF(D55&gt;=C55,1,0),IF(D55*(1+Growth_Rate)&gt;=C55,1,0)))</f>
        <v>1</v>
      </c>
      <c r="F55" s="133" t="n">
        <f aca="false">IF(Need_1&lt;&gt;"","",IF(E55=1,IF(Withdrawal_Timing="Start of year",(D55-C55)*(1+Growth_Rate),D55*(1+Growth_Rate)-C55),0))</f>
        <v>217005.106863325</v>
      </c>
    </row>
    <row r="56" customFormat="false" ht="15" hidden="false" customHeight="true" outlineLevel="0" collapsed="false">
      <c r="B56" s="132" t="n">
        <v>24</v>
      </c>
      <c r="C56" s="133" t="n">
        <f aca="false">IF(Need_1&lt;&gt;"","",C55*(1+Inflation_Choice))</f>
        <v>37845.5823405936</v>
      </c>
      <c r="D56" s="133" t="n">
        <f aca="false">IF(Need_1&lt;&gt;"","",F55)</f>
        <v>217005.106863325</v>
      </c>
      <c r="E56" s="132" t="n">
        <f aca="false">IF(Need_1&lt;&gt;"","",IF(Withdrawal_Timing="Start of year",IF(D56&gt;=C56,1,0),IF(D56*(1+Growth_Rate)&gt;=C56,1,0)))</f>
        <v>1</v>
      </c>
      <c r="F56" s="133" t="n">
        <f aca="false">IF(Need_1&lt;&gt;"","",IF(E56=1,IF(Withdrawal_Timing="Start of year",(D56-C56)*(1+Growth_Rate),D56*(1+Growth_Rate)-C56),0))</f>
        <v>184803.049545197</v>
      </c>
    </row>
    <row r="57" customFormat="false" ht="15" hidden="false" customHeight="true" outlineLevel="0" collapsed="false">
      <c r="B57" s="132" t="n">
        <v>25</v>
      </c>
      <c r="C57" s="133" t="n">
        <f aca="false">IF(Need_1&lt;&gt;"","",C56*(1+Inflation_Choice))</f>
        <v>38602.4939874054</v>
      </c>
      <c r="D57" s="133" t="n">
        <f aca="false">IF(Need_1&lt;&gt;"","",F56)</f>
        <v>184803.049545197</v>
      </c>
      <c r="E57" s="132" t="n">
        <f aca="false">IF(Need_1&lt;&gt;"","",IF(Withdrawal_Timing="Start of year",IF(D57&gt;=C57,1,0),IF(D57*(1+Growth_Rate)&gt;=C57,1,0)))</f>
        <v>1</v>
      </c>
      <c r="F57" s="133" t="n">
        <f aca="false">IF(Need_1&lt;&gt;"","",IF(E57=1,IF(Withdrawal_Timing="Start of year",(D57-C57)*(1+Growth_Rate),D57*(1+Growth_Rate)-C57),0))</f>
        <v>150805.873057862</v>
      </c>
    </row>
    <row r="58" customFormat="false" ht="15" hidden="false" customHeight="true" outlineLevel="0" collapsed="false">
      <c r="B58" s="132" t="n">
        <v>26</v>
      </c>
      <c r="C58" s="133" t="n">
        <f aca="false">IF(Need_1&lt;&gt;"","",C57*(1+Inflation_Choice))</f>
        <v>39374.5438671535</v>
      </c>
      <c r="D58" s="133" t="n">
        <f aca="false">IF(Need_1&lt;&gt;"","",F57)</f>
        <v>150805.873057862</v>
      </c>
      <c r="E58" s="132" t="n">
        <f aca="false">IF(Need_1&lt;&gt;"","",IF(Withdrawal_Timing="Start of year",IF(D58&gt;=C58,1,0),IF(D58*(1+Growth_Rate)&gt;=C58,1,0)))</f>
        <v>1</v>
      </c>
      <c r="F58" s="133" t="n">
        <f aca="false">IF(Need_1&lt;&gt;"","",IF(E58=1,IF(Withdrawal_Timing="Start of year",(D58-C58)*(1+Growth_Rate),D58*(1+Growth_Rate)-C58),0))</f>
        <v>114941.416060216</v>
      </c>
    </row>
    <row r="59" customFormat="false" ht="15" hidden="false" customHeight="true" outlineLevel="0" collapsed="false">
      <c r="B59" s="132" t="n">
        <v>27</v>
      </c>
      <c r="C59" s="133" t="n">
        <f aca="false">IF(Need_1&lt;&gt;"","",C58*(1+Inflation_Choice))</f>
        <v>40162.0347444966</v>
      </c>
      <c r="D59" s="133" t="n">
        <f aca="false">IF(Need_1&lt;&gt;"","",F58)</f>
        <v>114941.416060216</v>
      </c>
      <c r="E59" s="132" t="n">
        <f aca="false">IF(Need_1&lt;&gt;"","",IF(Withdrawal_Timing="Start of year",IF(D59&gt;=C59,1,0),IF(D59*(1+Growth_Rate)&gt;=C59,1,0)))</f>
        <v>1</v>
      </c>
      <c r="F59" s="133" t="n">
        <f aca="false">IF(Need_1&lt;&gt;"","",IF(E59=1,IF(Withdrawal_Timing="Start of year",(D59-C59)*(1+Growth_Rate),D59*(1+Growth_Rate)-C59),0))</f>
        <v>77134.9318271647</v>
      </c>
    </row>
    <row r="60" customFormat="false" ht="15" hidden="false" customHeight="true" outlineLevel="0" collapsed="false">
      <c r="B60" s="132" t="n">
        <v>28</v>
      </c>
      <c r="C60" s="133" t="n">
        <f aca="false">IF(Need_1&lt;&gt;"","",C59*(1+Inflation_Choice))</f>
        <v>40965.2754393865</v>
      </c>
      <c r="D60" s="133" t="n">
        <f aca="false">IF(Need_1&lt;&gt;"","",F59)</f>
        <v>77134.9318271647</v>
      </c>
      <c r="E60" s="132" t="n">
        <f aca="false">IF(Need_1&lt;&gt;"","",IF(Withdrawal_Timing="Start of year",IF(D60&gt;=C60,1,0),IF(D60*(1+Growth_Rate)&gt;=C60,1,0)))</f>
        <v>1</v>
      </c>
      <c r="F60" s="133" t="n">
        <f aca="false">IF(Need_1&lt;&gt;"","",IF(E60=1,IF(Withdrawal_Timing="Start of year",(D60-C60)*(1+Growth_Rate),D60*(1+Growth_Rate)-C60),0))</f>
        <v>37309.0005639931</v>
      </c>
    </row>
    <row r="61" customFormat="false" ht="15" hidden="false" customHeight="true" outlineLevel="0" collapsed="false">
      <c r="B61" s="132" t="n">
        <v>29</v>
      </c>
      <c r="C61" s="133" t="n">
        <f aca="false">IF(Need_1&lt;&gt;"","",C60*(1+Inflation_Choice))</f>
        <v>41784.5809481743</v>
      </c>
      <c r="D61" s="133" t="n">
        <f aca="false">IF(Need_1&lt;&gt;"","",F60)</f>
        <v>37309.0005639931</v>
      </c>
      <c r="E61" s="132" t="n">
        <f aca="false">IF(Need_1&lt;&gt;"","",IF(Withdrawal_Timing="Start of year",IF(D61&gt;=C61,1,0),IF(D61*(1+Growth_Rate)&gt;=C61,1,0)))</f>
        <v>0</v>
      </c>
      <c r="F61" s="133" t="n">
        <f aca="false">IF(Need_1&lt;&gt;"","",IF(E61=1,IF(Withdrawal_Timing="Start of year",(D61-C61)*(1+Growth_Rate),D61*(1+Growth_Rate)-C61),0))</f>
        <v>0</v>
      </c>
    </row>
    <row r="62" customFormat="false" ht="15" hidden="false" customHeight="true" outlineLevel="0" collapsed="false">
      <c r="B62" s="132" t="n">
        <v>30</v>
      </c>
      <c r="C62" s="133" t="n">
        <f aca="false">IF(Need_1&lt;&gt;"","",C61*(1+Inflation_Choice))</f>
        <v>42620.2725671378</v>
      </c>
      <c r="D62" s="133" t="n">
        <f aca="false">IF(Need_1&lt;&gt;"","",F61)</f>
        <v>0</v>
      </c>
      <c r="E62" s="132" t="n">
        <f aca="false">IF(Need_1&lt;&gt;"","",IF(Withdrawal_Timing="Start of year",IF(D62&gt;=C62,1,0),IF(D62*(1+Growth_Rate)&gt;=C62,1,0)))</f>
        <v>0</v>
      </c>
      <c r="F62" s="133" t="n">
        <f aca="false">IF(Need_1&lt;&gt;"","",IF(E62=1,IF(Withdrawal_Timing="Start of year",(D62-C62)*(1+Growth_Rate),D62*(1+Growth_Rate)-C62),0))</f>
        <v>0</v>
      </c>
    </row>
    <row r="63" customFormat="false" ht="15" hidden="false" customHeight="true" outlineLevel="0" collapsed="false">
      <c r="B63" s="132" t="n">
        <v>31</v>
      </c>
      <c r="C63" s="133" t="n">
        <f aca="false">IF(Need_1&lt;&gt;"","",C62*(1+Inflation_Choice))</f>
        <v>43472.6780184805</v>
      </c>
      <c r="D63" s="133" t="n">
        <f aca="false">IF(Need_1&lt;&gt;"","",F62)</f>
        <v>0</v>
      </c>
      <c r="E63" s="132" t="n">
        <f aca="false">IF(Need_1&lt;&gt;"","",IF(Withdrawal_Timing="Start of year",IF(D63&gt;=C63,1,0),IF(D63*(1+Growth_Rate)&gt;=C63,1,0)))</f>
        <v>0</v>
      </c>
      <c r="F63" s="133" t="n">
        <f aca="false">IF(Need_1&lt;&gt;"","",IF(E63=1,IF(Withdrawal_Timing="Start of year",(D63-C63)*(1+Growth_Rate),D63*(1+Growth_Rate)-C63),0))</f>
        <v>0</v>
      </c>
    </row>
    <row r="64" customFormat="false" ht="15" hidden="false" customHeight="true" outlineLevel="0" collapsed="false">
      <c r="B64" s="132" t="n">
        <v>32</v>
      </c>
      <c r="C64" s="133" t="n">
        <f aca="false">IF(Need_1&lt;&gt;"","",C63*(1+Inflation_Choice))</f>
        <v>44342.1315788501</v>
      </c>
      <c r="D64" s="133" t="n">
        <f aca="false">IF(Need_1&lt;&gt;"","",F63)</f>
        <v>0</v>
      </c>
      <c r="E64" s="132" t="n">
        <f aca="false">IF(Need_1&lt;&gt;"","",IF(Withdrawal_Timing="Start of year",IF(D64&gt;=C64,1,0),IF(D64*(1+Growth_Rate)&gt;=C64,1,0)))</f>
        <v>0</v>
      </c>
      <c r="F64" s="133" t="n">
        <f aca="false">IF(Need_1&lt;&gt;"","",IF(E64=1,IF(Withdrawal_Timing="Start of year",(D64-C64)*(1+Growth_Rate),D64*(1+Growth_Rate)-C64),0))</f>
        <v>0</v>
      </c>
    </row>
    <row r="65" customFormat="false" ht="15" hidden="false" customHeight="true" outlineLevel="0" collapsed="false">
      <c r="B65" s="132" t="n">
        <v>33</v>
      </c>
      <c r="C65" s="133" t="n">
        <f aca="false">IF(Need_1&lt;&gt;"","",C64*(1+Inflation_Choice))</f>
        <v>45228.9742104271</v>
      </c>
      <c r="D65" s="133" t="n">
        <f aca="false">IF(Need_1&lt;&gt;"","",F64)</f>
        <v>0</v>
      </c>
      <c r="E65" s="132" t="n">
        <f aca="false">IF(Need_1&lt;&gt;"","",IF(Withdrawal_Timing="Start of year",IF(D65&gt;=C65,1,0),IF(D65*(1+Growth_Rate)&gt;=C65,1,0)))</f>
        <v>0</v>
      </c>
      <c r="F65" s="133" t="n">
        <f aca="false">IF(Need_1&lt;&gt;"","",IF(E65=1,IF(Withdrawal_Timing="Start of year",(D65-C65)*(1+Growth_Rate),D65*(1+Growth_Rate)-C65),0))</f>
        <v>0</v>
      </c>
    </row>
    <row r="66" customFormat="false" ht="15" hidden="false" customHeight="true" outlineLevel="0" collapsed="false">
      <c r="B66" s="132" t="n">
        <v>34</v>
      </c>
      <c r="C66" s="133" t="n">
        <f aca="false">IF(Need_1&lt;&gt;"","",C65*(1+Inflation_Choice))</f>
        <v>46133.5536946357</v>
      </c>
      <c r="D66" s="133" t="n">
        <f aca="false">IF(Need_1&lt;&gt;"","",F65)</f>
        <v>0</v>
      </c>
      <c r="E66" s="132" t="n">
        <f aca="false">IF(Need_1&lt;&gt;"","",IF(Withdrawal_Timing="Start of year",IF(D66&gt;=C66,1,0),IF(D66*(1+Growth_Rate)&gt;=C66,1,0)))</f>
        <v>0</v>
      </c>
      <c r="F66" s="133" t="n">
        <f aca="false">IF(Need_1&lt;&gt;"","",IF(E66=1,IF(Withdrawal_Timing="Start of year",(D66-C66)*(1+Growth_Rate),D66*(1+Growth_Rate)-C66),0))</f>
        <v>0</v>
      </c>
    </row>
    <row r="67" customFormat="false" ht="15" hidden="false" customHeight="true" outlineLevel="0" collapsed="false">
      <c r="B67" s="132" t="n">
        <v>35</v>
      </c>
      <c r="C67" s="133" t="n">
        <f aca="false">IF(Need_1&lt;&gt;"","",C66*(1+Inflation_Choice))</f>
        <v>47056.2247685284</v>
      </c>
      <c r="D67" s="133" t="n">
        <f aca="false">IF(Need_1&lt;&gt;"","",F66)</f>
        <v>0</v>
      </c>
      <c r="E67" s="132" t="n">
        <f aca="false">IF(Need_1&lt;&gt;"","",IF(Withdrawal_Timing="Start of year",IF(D67&gt;=C67,1,0),IF(D67*(1+Growth_Rate)&gt;=C67,1,0)))</f>
        <v>0</v>
      </c>
      <c r="F67" s="133" t="n">
        <f aca="false">IF(Need_1&lt;&gt;"","",IF(E67=1,IF(Withdrawal_Timing="Start of year",(D67-C67)*(1+Growth_Rate),D67*(1+Growth_Rate)-C67),0))</f>
        <v>0</v>
      </c>
    </row>
    <row r="68" customFormat="false" ht="15" hidden="false" customHeight="true" outlineLevel="0" collapsed="false">
      <c r="B68" s="132" t="n">
        <v>36</v>
      </c>
      <c r="C68" s="133" t="n">
        <f aca="false">IF(Need_1&lt;&gt;"","",C67*(1+Inflation_Choice))</f>
        <v>47997.349263899</v>
      </c>
      <c r="D68" s="133" t="n">
        <f aca="false">IF(Need_1&lt;&gt;"","",F67)</f>
        <v>0</v>
      </c>
      <c r="E68" s="132" t="n">
        <f aca="false">IF(Need_1&lt;&gt;"","",IF(Withdrawal_Timing="Start of year",IF(D68&gt;=C68,1,0),IF(D68*(1+Growth_Rate)&gt;=C68,1,0)))</f>
        <v>0</v>
      </c>
      <c r="F68" s="133" t="n">
        <f aca="false">IF(Need_1&lt;&gt;"","",IF(E68=1,IF(Withdrawal_Timing="Start of year",(D68-C68)*(1+Growth_Rate),D68*(1+Growth_Rate)-C68),0))</f>
        <v>0</v>
      </c>
    </row>
    <row r="69" customFormat="false" ht="15" hidden="false" customHeight="true" outlineLevel="0" collapsed="false">
      <c r="B69" s="132" t="n">
        <v>37</v>
      </c>
      <c r="C69" s="133" t="n">
        <f aca="false">IF(Need_1&lt;&gt;"","",C68*(1+Inflation_Choice))</f>
        <v>48957.2962491769</v>
      </c>
      <c r="D69" s="133" t="n">
        <f aca="false">IF(Need_1&lt;&gt;"","",F68)</f>
        <v>0</v>
      </c>
      <c r="E69" s="132" t="n">
        <f aca="false">IF(Need_1&lt;&gt;"","",IF(Withdrawal_Timing="Start of year",IF(D69&gt;=C69,1,0),IF(D69*(1+Growth_Rate)&gt;=C69,1,0)))</f>
        <v>0</v>
      </c>
      <c r="F69" s="133" t="n">
        <f aca="false">IF(Need_1&lt;&gt;"","",IF(E69=1,IF(Withdrawal_Timing="Start of year",(D69-C69)*(1+Growth_Rate),D69*(1+Growth_Rate)-C69),0))</f>
        <v>0</v>
      </c>
    </row>
    <row r="70" customFormat="false" ht="15" hidden="false" customHeight="true" outlineLevel="0" collapsed="false">
      <c r="B70" s="132" t="n">
        <v>38</v>
      </c>
      <c r="C70" s="133" t="n">
        <f aca="false">IF(Need_1&lt;&gt;"","",C69*(1+Inflation_Choice))</f>
        <v>49936.4421741605</v>
      </c>
      <c r="D70" s="133" t="n">
        <f aca="false">IF(Need_1&lt;&gt;"","",F69)</f>
        <v>0</v>
      </c>
      <c r="E70" s="132" t="n">
        <f aca="false">IF(Need_1&lt;&gt;"","",IF(Withdrawal_Timing="Start of year",IF(D70&gt;=C70,1,0),IF(D70*(1+Growth_Rate)&gt;=C70,1,0)))</f>
        <v>0</v>
      </c>
      <c r="F70" s="133" t="n">
        <f aca="false">IF(Need_1&lt;&gt;"","",IF(E70=1,IF(Withdrawal_Timing="Start of year",(D70-C70)*(1+Growth_Rate),D70*(1+Growth_Rate)-C70),0))</f>
        <v>0</v>
      </c>
    </row>
    <row r="71" customFormat="false" ht="15" hidden="false" customHeight="true" outlineLevel="0" collapsed="false">
      <c r="B71" s="132" t="n">
        <v>39</v>
      </c>
      <c r="C71" s="133" t="n">
        <f aca="false">IF(Need_1&lt;&gt;"","",C70*(1+Inflation_Choice))</f>
        <v>50935.1710176437</v>
      </c>
      <c r="D71" s="133" t="n">
        <f aca="false">IF(Need_1&lt;&gt;"","",F70)</f>
        <v>0</v>
      </c>
      <c r="E71" s="132" t="n">
        <f aca="false">IF(Need_1&lt;&gt;"","",IF(Withdrawal_Timing="Start of year",IF(D71&gt;=C71,1,0),IF(D71*(1+Growth_Rate)&gt;=C71,1,0)))</f>
        <v>0</v>
      </c>
      <c r="F71" s="133" t="n">
        <f aca="false">IF(Need_1&lt;&gt;"","",IF(E71=1,IF(Withdrawal_Timing="Start of year",(D71-C71)*(1+Growth_Rate),D71*(1+Growth_Rate)-C71),0))</f>
        <v>0</v>
      </c>
    </row>
    <row r="72" customFormat="false" ht="15" hidden="false" customHeight="true" outlineLevel="0" collapsed="false">
      <c r="B72" s="132" t="n">
        <v>40</v>
      </c>
      <c r="C72" s="133" t="n">
        <f aca="false">IF(Need_1&lt;&gt;"","",C71*(1+Inflation_Choice))</f>
        <v>51953.8744379966</v>
      </c>
      <c r="D72" s="133" t="n">
        <f aca="false">IF(Need_1&lt;&gt;"","",F71)</f>
        <v>0</v>
      </c>
      <c r="E72" s="132" t="n">
        <f aca="false">IF(Need_1&lt;&gt;"","",IF(Withdrawal_Timing="Start of year",IF(D72&gt;=C72,1,0),IF(D72*(1+Growth_Rate)&gt;=C72,1,0)))</f>
        <v>0</v>
      </c>
      <c r="F72" s="133" t="n">
        <f aca="false">IF(Need_1&lt;&gt;"","",IF(E72=1,IF(Withdrawal_Timing="Start of year",(D72-C72)*(1+Growth_Rate),D72*(1+Growth_Rate)-C72),0))</f>
        <v>0</v>
      </c>
    </row>
    <row r="73" customFormat="false" ht="15" hidden="false" customHeight="true" outlineLevel="0" collapsed="false">
      <c r="B73" s="132" t="n">
        <v>41</v>
      </c>
      <c r="C73" s="133" t="n">
        <f aca="false">IF(Need_1&lt;&gt;"","",C72*(1+Inflation_Choice))</f>
        <v>52992.9519267565</v>
      </c>
      <c r="D73" s="133" t="n">
        <f aca="false">IF(Need_1&lt;&gt;"","",F72)</f>
        <v>0</v>
      </c>
      <c r="E73" s="132" t="n">
        <f aca="false">IF(Need_1&lt;&gt;"","",IF(Withdrawal_Timing="Start of year",IF(D73&gt;=C73,1,0),IF(D73*(1+Growth_Rate)&gt;=C73,1,0)))</f>
        <v>0</v>
      </c>
      <c r="F73" s="133" t="n">
        <f aca="false">IF(Need_1&lt;&gt;"","",IF(E73=1,IF(Withdrawal_Timing="Start of year",(D73-C73)*(1+Growth_Rate),D73*(1+Growth_Rate)-C73),0))</f>
        <v>0</v>
      </c>
    </row>
    <row r="74" customFormat="false" ht="15" hidden="false" customHeight="true" outlineLevel="0" collapsed="false">
      <c r="B74" s="132" t="n">
        <v>42</v>
      </c>
      <c r="C74" s="133" t="n">
        <f aca="false">IF(Need_1&lt;&gt;"","",C73*(1+Inflation_Choice))</f>
        <v>54052.8109652916</v>
      </c>
      <c r="D74" s="133" t="n">
        <f aca="false">IF(Need_1&lt;&gt;"","",F73)</f>
        <v>0</v>
      </c>
      <c r="E74" s="132" t="n">
        <f aca="false">IF(Need_1&lt;&gt;"","",IF(Withdrawal_Timing="Start of year",IF(D74&gt;=C74,1,0),IF(D74*(1+Growth_Rate)&gt;=C74,1,0)))</f>
        <v>0</v>
      </c>
      <c r="F74" s="133" t="n">
        <f aca="false">IF(Need_1&lt;&gt;"","",IF(E74=1,IF(Withdrawal_Timing="Start of year",(D74-C74)*(1+Growth_Rate),D74*(1+Growth_Rate)-C74),0))</f>
        <v>0</v>
      </c>
    </row>
    <row r="75" customFormat="false" ht="15" hidden="false" customHeight="true" outlineLevel="0" collapsed="false">
      <c r="B75" s="132" t="n">
        <v>43</v>
      </c>
      <c r="C75" s="133" t="n">
        <f aca="false">IF(Need_1&lt;&gt;"","",C74*(1+Inflation_Choice))</f>
        <v>55133.8671845975</v>
      </c>
      <c r="D75" s="133" t="n">
        <f aca="false">IF(Need_1&lt;&gt;"","",F74)</f>
        <v>0</v>
      </c>
      <c r="E75" s="132" t="n">
        <f aca="false">IF(Need_1&lt;&gt;"","",IF(Withdrawal_Timing="Start of year",IF(D75&gt;=C75,1,0),IF(D75*(1+Growth_Rate)&gt;=C75,1,0)))</f>
        <v>0</v>
      </c>
      <c r="F75" s="133" t="n">
        <f aca="false">IF(Need_1&lt;&gt;"","",IF(E75=1,IF(Withdrawal_Timing="Start of year",(D75-C75)*(1+Growth_Rate),D75*(1+Growth_Rate)-C75),0))</f>
        <v>0</v>
      </c>
    </row>
    <row r="76" customFormat="false" ht="15" hidden="false" customHeight="true" outlineLevel="0" collapsed="false">
      <c r="B76" s="132" t="n">
        <v>44</v>
      </c>
      <c r="C76" s="133" t="n">
        <f aca="false">IF(Need_1&lt;&gt;"","",C75*(1+Inflation_Choice))</f>
        <v>56236.5445282894</v>
      </c>
      <c r="D76" s="133" t="n">
        <f aca="false">IF(Need_1&lt;&gt;"","",F75)</f>
        <v>0</v>
      </c>
      <c r="E76" s="132" t="n">
        <f aca="false">IF(Need_1&lt;&gt;"","",IF(Withdrawal_Timing="Start of year",IF(D76&gt;=C76,1,0),IF(D76*(1+Growth_Rate)&gt;=C76,1,0)))</f>
        <v>0</v>
      </c>
      <c r="F76" s="133" t="n">
        <f aca="false">IF(Need_1&lt;&gt;"","",IF(E76=1,IF(Withdrawal_Timing="Start of year",(D76-C76)*(1+Growth_Rate),D76*(1+Growth_Rate)-C76),0))</f>
        <v>0</v>
      </c>
    </row>
    <row r="77" customFormat="false" ht="15" hidden="false" customHeight="true" outlineLevel="0" collapsed="false">
      <c r="B77" s="132" t="n">
        <v>45</v>
      </c>
      <c r="C77" s="133" t="n">
        <f aca="false">IF(Need_1&lt;&gt;"","",C76*(1+Inflation_Choice))</f>
        <v>57361.2754188552</v>
      </c>
      <c r="D77" s="133" t="n">
        <f aca="false">IF(Need_1&lt;&gt;"","",F76)</f>
        <v>0</v>
      </c>
      <c r="E77" s="132" t="n">
        <f aca="false">IF(Need_1&lt;&gt;"","",IF(Withdrawal_Timing="Start of year",IF(D77&gt;=C77,1,0),IF(D77*(1+Growth_Rate)&gt;=C77,1,0)))</f>
        <v>0</v>
      </c>
      <c r="F77" s="133" t="n">
        <f aca="false">IF(Need_1&lt;&gt;"","",IF(E77=1,IF(Withdrawal_Timing="Start of year",(D77-C77)*(1+Growth_Rate),D77*(1+Growth_Rate)-C77),0))</f>
        <v>0</v>
      </c>
    </row>
    <row r="78" customFormat="false" ht="15" hidden="false" customHeight="true" outlineLevel="0" collapsed="false">
      <c r="B78" s="132" t="n">
        <v>46</v>
      </c>
      <c r="C78" s="133" t="n">
        <f aca="false">IF(Need_1&lt;&gt;"","",C77*(1+Inflation_Choice))</f>
        <v>58508.5009272323</v>
      </c>
      <c r="D78" s="133" t="n">
        <f aca="false">IF(Need_1&lt;&gt;"","",F77)</f>
        <v>0</v>
      </c>
      <c r="E78" s="132" t="n">
        <f aca="false">IF(Need_1&lt;&gt;"","",IF(Withdrawal_Timing="Start of year",IF(D78&gt;=C78,1,0),IF(D78*(1+Growth_Rate)&gt;=C78,1,0)))</f>
        <v>0</v>
      </c>
      <c r="F78" s="133" t="n">
        <f aca="false">IF(Need_1&lt;&gt;"","",IF(E78=1,IF(Withdrawal_Timing="Start of year",(D78-C78)*(1+Growth_Rate),D78*(1+Growth_Rate)-C78),0))</f>
        <v>0</v>
      </c>
    </row>
    <row r="79" customFormat="false" ht="15" hidden="false" customHeight="true" outlineLevel="0" collapsed="false">
      <c r="B79" s="132" t="n">
        <v>47</v>
      </c>
      <c r="C79" s="133" t="n">
        <f aca="false">IF(Need_1&lt;&gt;"","",C78*(1+Inflation_Choice))</f>
        <v>59678.6709457769</v>
      </c>
      <c r="D79" s="133" t="n">
        <f aca="false">IF(Need_1&lt;&gt;"","",F78)</f>
        <v>0</v>
      </c>
      <c r="E79" s="132" t="n">
        <f aca="false">IF(Need_1&lt;&gt;"","",IF(Withdrawal_Timing="Start of year",IF(D79&gt;=C79,1,0),IF(D79*(1+Growth_Rate)&gt;=C79,1,0)))</f>
        <v>0</v>
      </c>
      <c r="F79" s="133" t="n">
        <f aca="false">IF(Need_1&lt;&gt;"","",IF(E79=1,IF(Withdrawal_Timing="Start of year",(D79-C79)*(1+Growth_Rate),D79*(1+Growth_Rate)-C79),0))</f>
        <v>0</v>
      </c>
    </row>
    <row r="80" customFormat="false" ht="15" hidden="false" customHeight="true" outlineLevel="0" collapsed="false">
      <c r="B80" s="132" t="n">
        <v>48</v>
      </c>
      <c r="C80" s="133" t="n">
        <f aca="false">IF(Need_1&lt;&gt;"","",C79*(1+Inflation_Choice))</f>
        <v>60872.2443646925</v>
      </c>
      <c r="D80" s="133" t="n">
        <f aca="false">IF(Need_1&lt;&gt;"","",F79)</f>
        <v>0</v>
      </c>
      <c r="E80" s="132" t="n">
        <f aca="false">IF(Need_1&lt;&gt;"","",IF(Withdrawal_Timing="Start of year",IF(D80&gt;=C80,1,0),IF(D80*(1+Growth_Rate)&gt;=C80,1,0)))</f>
        <v>0</v>
      </c>
      <c r="F80" s="133" t="n">
        <f aca="false">IF(Need_1&lt;&gt;"","",IF(E80=1,IF(Withdrawal_Timing="Start of year",(D80-C80)*(1+Growth_Rate),D80*(1+Growth_Rate)-C80),0))</f>
        <v>0</v>
      </c>
    </row>
    <row r="81" customFormat="false" ht="15" hidden="false" customHeight="true" outlineLevel="0" collapsed="false">
      <c r="B81" s="132" t="n">
        <v>49</v>
      </c>
      <c r="C81" s="133" t="n">
        <f aca="false">IF(Need_1&lt;&gt;"","",C80*(1+Inflation_Choice))</f>
        <v>62089.6892519863</v>
      </c>
      <c r="D81" s="133" t="n">
        <f aca="false">IF(Need_1&lt;&gt;"","",F80)</f>
        <v>0</v>
      </c>
      <c r="E81" s="132" t="n">
        <f aca="false">IF(Need_1&lt;&gt;"","",IF(Withdrawal_Timing="Start of year",IF(D81&gt;=C81,1,0),IF(D81*(1+Growth_Rate)&gt;=C81,1,0)))</f>
        <v>0</v>
      </c>
      <c r="F81" s="133" t="n">
        <f aca="false">IF(Need_1&lt;&gt;"","",IF(E81=1,IF(Withdrawal_Timing="Start of year",(D81-C81)*(1+Growth_Rate),D81*(1+Growth_Rate)-C81),0))</f>
        <v>0</v>
      </c>
    </row>
    <row r="82" customFormat="false" ht="15" hidden="false" customHeight="true" outlineLevel="0" collapsed="false">
      <c r="B82" s="132" t="n">
        <v>50</v>
      </c>
      <c r="C82" s="133" t="n">
        <f aca="false">IF(Need_1&lt;&gt;"","",C81*(1+Inflation_Choice))</f>
        <v>63331.4830370261</v>
      </c>
      <c r="D82" s="133" t="n">
        <f aca="false">IF(Need_1&lt;&gt;"","",F81)</f>
        <v>0</v>
      </c>
      <c r="E82" s="132" t="n">
        <f aca="false">IF(Need_1&lt;&gt;"","",IF(Withdrawal_Timing="Start of year",IF(D82&gt;=C82,1,0),IF(D82*(1+Growth_Rate)&gt;=C82,1,0)))</f>
        <v>0</v>
      </c>
      <c r="F82" s="133" t="n">
        <f aca="false">IF(Need_1&lt;&gt;"","",IF(E82=1,IF(Withdrawal_Timing="Start of year",(D82-C82)*(1+Growth_Rate),D82*(1+Growth_Rate)-C82),0))</f>
        <v>0</v>
      </c>
    </row>
    <row r="83" customFormat="false" ht="15" hidden="false" customHeight="true" outlineLevel="0" collapsed="false">
      <c r="B83" s="132" t="n">
        <v>51</v>
      </c>
      <c r="C83" s="133" t="n">
        <f aca="false">IF(Need_1&lt;&gt;"","",C82*(1+Inflation_Choice))</f>
        <v>64598.1126977666</v>
      </c>
      <c r="D83" s="133" t="n">
        <f aca="false">IF(Need_1&lt;&gt;"","",F82)</f>
        <v>0</v>
      </c>
      <c r="E83" s="132" t="n">
        <f aca="false">IF(Need_1&lt;&gt;"","",IF(Withdrawal_Timing="Start of year",IF(D83&gt;=C83,1,0),IF(D83*(1+Growth_Rate)&gt;=C83,1,0)))</f>
        <v>0</v>
      </c>
      <c r="F83" s="133" t="n">
        <f aca="false">IF(Need_1&lt;&gt;"","",IF(E83=1,IF(Withdrawal_Timing="Start of year",(D83-C83)*(1+Growth_Rate),D83*(1+Growth_Rate)-C83),0))</f>
        <v>0</v>
      </c>
    </row>
    <row r="84" customFormat="false" ht="15" hidden="false" customHeight="true" outlineLevel="0" collapsed="false">
      <c r="B84" s="132" t="n">
        <v>52</v>
      </c>
      <c r="C84" s="133" t="n">
        <f aca="false">IF(Need_1&lt;&gt;"","",C83*(1+Inflation_Choice))</f>
        <v>65890.0749517219</v>
      </c>
      <c r="D84" s="133" t="n">
        <f aca="false">IF(Need_1&lt;&gt;"","",F83)</f>
        <v>0</v>
      </c>
      <c r="E84" s="132" t="n">
        <f aca="false">IF(Need_1&lt;&gt;"","",IF(Withdrawal_Timing="Start of year",IF(D84&gt;=C84,1,0),IF(D84*(1+Growth_Rate)&gt;=C84,1,0)))</f>
        <v>0</v>
      </c>
      <c r="F84" s="133" t="n">
        <f aca="false">IF(Need_1&lt;&gt;"","",IF(E84=1,IF(Withdrawal_Timing="Start of year",(D84-C84)*(1+Growth_Rate),D84*(1+Growth_Rate)-C84),0))</f>
        <v>0</v>
      </c>
    </row>
    <row r="85" customFormat="false" ht="15" hidden="false" customHeight="true" outlineLevel="0" collapsed="false">
      <c r="B85" s="132" t="n">
        <v>53</v>
      </c>
      <c r="C85" s="133" t="n">
        <f aca="false">IF(Need_1&lt;&gt;"","",C84*(1+Inflation_Choice))</f>
        <v>67207.8764507564</v>
      </c>
      <c r="D85" s="133" t="n">
        <f aca="false">IF(Need_1&lt;&gt;"","",F84)</f>
        <v>0</v>
      </c>
      <c r="E85" s="132" t="n">
        <f aca="false">IF(Need_1&lt;&gt;"","",IF(Withdrawal_Timing="Start of year",IF(D85&gt;=C85,1,0),IF(D85*(1+Growth_Rate)&gt;=C85,1,0)))</f>
        <v>0</v>
      </c>
      <c r="F85" s="133" t="n">
        <f aca="false">IF(Need_1&lt;&gt;"","",IF(E85=1,IF(Withdrawal_Timing="Start of year",(D85-C85)*(1+Growth_Rate),D85*(1+Growth_Rate)-C85),0))</f>
        <v>0</v>
      </c>
    </row>
    <row r="86" customFormat="false" ht="15" hidden="false" customHeight="true" outlineLevel="0" collapsed="false">
      <c r="B86" s="132" t="n">
        <v>54</v>
      </c>
      <c r="C86" s="133" t="n">
        <f aca="false">IF(Need_1&lt;&gt;"","",C85*(1+Inflation_Choice))</f>
        <v>68552.0339797715</v>
      </c>
      <c r="D86" s="133" t="n">
        <f aca="false">IF(Need_1&lt;&gt;"","",F85)</f>
        <v>0</v>
      </c>
      <c r="E86" s="132" t="n">
        <f aca="false">IF(Need_1&lt;&gt;"","",IF(Withdrawal_Timing="Start of year",IF(D86&gt;=C86,1,0),IF(D86*(1+Growth_Rate)&gt;=C86,1,0)))</f>
        <v>0</v>
      </c>
      <c r="F86" s="133" t="n">
        <f aca="false">IF(Need_1&lt;&gt;"","",IF(E86=1,IF(Withdrawal_Timing="Start of year",(D86-C86)*(1+Growth_Rate),D86*(1+Growth_Rate)-C86),0))</f>
        <v>0</v>
      </c>
    </row>
    <row r="87" customFormat="false" ht="15" hidden="false" customHeight="true" outlineLevel="0" collapsed="false">
      <c r="B87" s="132" t="n">
        <v>55</v>
      </c>
      <c r="C87" s="133" t="n">
        <f aca="false">IF(Need_1&lt;&gt;"","",C86*(1+Inflation_Choice))</f>
        <v>69923.0746593669</v>
      </c>
      <c r="D87" s="133" t="n">
        <f aca="false">IF(Need_1&lt;&gt;"","",F86)</f>
        <v>0</v>
      </c>
      <c r="E87" s="132" t="n">
        <f aca="false">IF(Need_1&lt;&gt;"","",IF(Withdrawal_Timing="Start of year",IF(D87&gt;=C87,1,0),IF(D87*(1+Growth_Rate)&gt;=C87,1,0)))</f>
        <v>0</v>
      </c>
      <c r="F87" s="133" t="n">
        <f aca="false">IF(Need_1&lt;&gt;"","",IF(E87=1,IF(Withdrawal_Timing="Start of year",(D87-C87)*(1+Growth_Rate),D87*(1+Growth_Rate)-C87),0))</f>
        <v>0</v>
      </c>
    </row>
    <row r="88" customFormat="false" ht="15" hidden="false" customHeight="true" outlineLevel="0" collapsed="false">
      <c r="B88" s="132" t="n">
        <v>56</v>
      </c>
      <c r="C88" s="133" t="n">
        <f aca="false">IF(Need_1&lt;&gt;"","",C87*(1+Inflation_Choice))</f>
        <v>71321.5361525543</v>
      </c>
      <c r="D88" s="133" t="n">
        <f aca="false">IF(Need_1&lt;&gt;"","",F87)</f>
        <v>0</v>
      </c>
      <c r="E88" s="132" t="n">
        <f aca="false">IF(Need_1&lt;&gt;"","",IF(Withdrawal_Timing="Start of year",IF(D88&gt;=C88,1,0),IF(D88*(1+Growth_Rate)&gt;=C88,1,0)))</f>
        <v>0</v>
      </c>
      <c r="F88" s="133" t="n">
        <f aca="false">IF(Need_1&lt;&gt;"","",IF(E88=1,IF(Withdrawal_Timing="Start of year",(D88-C88)*(1+Growth_Rate),D88*(1+Growth_Rate)-C88),0))</f>
        <v>0</v>
      </c>
    </row>
    <row r="89" customFormat="false" ht="15" hidden="false" customHeight="true" outlineLevel="0" collapsed="false">
      <c r="B89" s="132" t="n">
        <v>57</v>
      </c>
      <c r="C89" s="133" t="n">
        <f aca="false">IF(Need_1&lt;&gt;"","",C88*(1+Inflation_Choice))</f>
        <v>72747.9668756053</v>
      </c>
      <c r="D89" s="133" t="n">
        <f aca="false">IF(Need_1&lt;&gt;"","",F88)</f>
        <v>0</v>
      </c>
      <c r="E89" s="132" t="n">
        <f aca="false">IF(Need_1&lt;&gt;"","",IF(Withdrawal_Timing="Start of year",IF(D89&gt;=C89,1,0),IF(D89*(1+Growth_Rate)&gt;=C89,1,0)))</f>
        <v>0</v>
      </c>
      <c r="F89" s="133" t="n">
        <f aca="false">IF(Need_1&lt;&gt;"","",IF(E89=1,IF(Withdrawal_Timing="Start of year",(D89-C89)*(1+Growth_Rate),D89*(1+Growth_Rate)-C89),0))</f>
        <v>0</v>
      </c>
    </row>
    <row r="90" customFormat="false" ht="15" hidden="false" customHeight="true" outlineLevel="0" collapsed="false">
      <c r="B90" s="132" t="n">
        <v>58</v>
      </c>
      <c r="C90" s="133" t="n">
        <f aca="false">IF(Need_1&lt;&gt;"","",C89*(1+Inflation_Choice))</f>
        <v>74202.9262131175</v>
      </c>
      <c r="D90" s="133" t="n">
        <f aca="false">IF(Need_1&lt;&gt;"","",F89)</f>
        <v>0</v>
      </c>
      <c r="E90" s="132" t="n">
        <f aca="false">IF(Need_1&lt;&gt;"","",IF(Withdrawal_Timing="Start of year",IF(D90&gt;=C90,1,0),IF(D90*(1+Growth_Rate)&gt;=C90,1,0)))</f>
        <v>0</v>
      </c>
      <c r="F90" s="133" t="n">
        <f aca="false">IF(Need_1&lt;&gt;"","",IF(E90=1,IF(Withdrawal_Timing="Start of year",(D90-C90)*(1+Growth_Rate),D90*(1+Growth_Rate)-C90),0))</f>
        <v>0</v>
      </c>
    </row>
    <row r="91" customFormat="false" ht="15" hidden="false" customHeight="true" outlineLevel="0" collapsed="false">
      <c r="B91" s="132" t="n">
        <v>59</v>
      </c>
      <c r="C91" s="133" t="n">
        <f aca="false">IF(Need_1&lt;&gt;"","",C90*(1+Inflation_Choice))</f>
        <v>75686.9847373798</v>
      </c>
      <c r="D91" s="133" t="n">
        <f aca="false">IF(Need_1&lt;&gt;"","",F90)</f>
        <v>0</v>
      </c>
      <c r="E91" s="132" t="n">
        <f aca="false">IF(Need_1&lt;&gt;"","",IF(Withdrawal_Timing="Start of year",IF(D91&gt;=C91,1,0),IF(D91*(1+Growth_Rate)&gt;=C91,1,0)))</f>
        <v>0</v>
      </c>
      <c r="F91" s="133" t="n">
        <f aca="false">IF(Need_1&lt;&gt;"","",IF(E91=1,IF(Withdrawal_Timing="Start of year",(D91-C91)*(1+Growth_Rate),D91*(1+Growth_Rate)-C91),0))</f>
        <v>0</v>
      </c>
    </row>
    <row r="92" customFormat="false" ht="15" hidden="false" customHeight="true" outlineLevel="0" collapsed="false">
      <c r="B92" s="132" t="n">
        <v>60</v>
      </c>
      <c r="C92" s="133" t="n">
        <f aca="false">IF(Need_1&lt;&gt;"","",C91*(1+Inflation_Choice))</f>
        <v>77200.7244321274</v>
      </c>
      <c r="D92" s="133" t="n">
        <f aca="false">IF(Need_1&lt;&gt;"","",F91)</f>
        <v>0</v>
      </c>
      <c r="E92" s="132" t="n">
        <f aca="false">IF(Need_1&lt;&gt;"","",IF(Withdrawal_Timing="Start of year",IF(D92&gt;=C92,1,0),IF(D92*(1+Growth_Rate)&gt;=C92,1,0)))</f>
        <v>0</v>
      </c>
      <c r="F92" s="133" t="n">
        <f aca="false">IF(Need_1&lt;&gt;"","",IF(E92=1,IF(Withdrawal_Timing="Start of year",(D92-C92)*(1+Growth_Rate),D92*(1+Growth_Rate)-C92),0))</f>
        <v>0</v>
      </c>
    </row>
    <row r="95" customFormat="false" ht="15" hidden="false" customHeight="true" outlineLevel="0" collapsed="false">
      <c r="B95" s="74" t="s">
        <v>4326</v>
      </c>
      <c r="C95" s="77"/>
      <c r="D95" s="77"/>
      <c r="E95" s="77"/>
      <c r="F95" s="77"/>
      <c r="G95" s="77"/>
    </row>
    <row r="96" customFormat="false" ht="27.75" hidden="false" customHeight="true" outlineLevel="0" collapsed="false">
      <c r="B96" s="99" t="s">
        <v>4931</v>
      </c>
      <c r="C96" s="99"/>
      <c r="D96" s="99"/>
      <c r="E96" s="99"/>
    </row>
    <row r="97" customFormat="false" ht="13.5" hidden="false" customHeight="true" outlineLevel="0" collapsed="false">
      <c r="B97" s="99" t="s">
        <v>4932</v>
      </c>
      <c r="C97" s="99"/>
      <c r="D97" s="99"/>
      <c r="E97" s="99"/>
    </row>
    <row r="98" customFormat="false" ht="13.5" hidden="false" customHeight="true" outlineLevel="0" collapsed="false">
      <c r="B98" s="100" t="s">
        <v>4329</v>
      </c>
      <c r="C98" s="100"/>
      <c r="D98" s="100"/>
      <c r="E98" s="100"/>
    </row>
    <row r="99" customFormat="false" ht="13.5" hidden="false" customHeight="true" outlineLevel="0" collapsed="false">
      <c r="B99" s="99" t="s">
        <v>4933</v>
      </c>
      <c r="C99" s="99"/>
      <c r="D99" s="99"/>
      <c r="E99" s="99"/>
    </row>
    <row r="100" customFormat="false" ht="13.5" hidden="false" customHeight="true" outlineLevel="0" collapsed="false">
      <c r="B100" s="99" t="s">
        <v>4934</v>
      </c>
      <c r="C100" s="99"/>
      <c r="D100" s="99"/>
      <c r="E100" s="99"/>
    </row>
    <row r="101" customFormat="false" ht="13.5" hidden="false" customHeight="true" outlineLevel="0" collapsed="false">
      <c r="B101" s="99" t="s">
        <v>4935</v>
      </c>
      <c r="C101" s="99"/>
      <c r="D101" s="99"/>
      <c r="E101" s="99"/>
    </row>
    <row r="103" customFormat="false" ht="15" hidden="false" customHeight="true" outlineLevel="0" collapsed="false">
      <c r="B103" s="74" t="s">
        <v>4334</v>
      </c>
      <c r="C103" s="77"/>
      <c r="D103" s="77"/>
      <c r="E103" s="77"/>
      <c r="F103" s="77"/>
      <c r="G103" s="77"/>
    </row>
    <row r="104" customFormat="false" ht="15" hidden="false" customHeight="true" outlineLevel="0" collapsed="false">
      <c r="B104" s="78" t="s">
        <v>1673</v>
      </c>
      <c r="C104" s="101" t="str">
        <f aca="false">"No goal"</f>
        <v>No goal</v>
      </c>
      <c r="E104" s="102" t="s">
        <v>4515</v>
      </c>
    </row>
    <row r="106" customFormat="false" ht="15" hidden="false" customHeight="true" outlineLevel="0" collapsed="false">
      <c r="B106" s="74" t="s">
        <v>4342</v>
      </c>
      <c r="C106" s="77"/>
      <c r="D106" s="77"/>
      <c r="E106" s="77"/>
      <c r="F106" s="77"/>
      <c r="G106" s="77"/>
    </row>
    <row r="107" customFormat="false" ht="15" hidden="false" customHeight="true" outlineLevel="0" collapsed="false">
      <c r="B107" s="105" t="s">
        <v>4936</v>
      </c>
      <c r="C107" s="105"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
      </c>
    </row>
    <row r="108" customFormat="false" ht="15" hidden="false" customHeight="true" outlineLevel="0" collapsed="false">
      <c r="B108" s="105" t="s">
        <v>4937</v>
      </c>
      <c r="C108" s="105"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
      </c>
    </row>
    <row r="109" customFormat="false" ht="15" hidden="false" customHeight="true" outlineLevel="0" collapsed="false">
      <c r="B109" s="105" t="s">
        <v>4938</v>
      </c>
      <c r="C109" s="105"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4939</v>
      </c>
      <c r="E1" s="70" t="s">
        <v>4940</v>
      </c>
    </row>
    <row r="2" customFormat="false" ht="15" hidden="false" customHeight="true" outlineLevel="0" collapsed="false">
      <c r="B2" s="71" t="s">
        <v>4941</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4942</v>
      </c>
    </row>
    <row r="5" customFormat="false" ht="15" hidden="false" customHeight="true" outlineLevel="0" collapsed="false">
      <c r="B5" s="74" t="s">
        <v>4601</v>
      </c>
      <c r="C5" s="75" t="s">
        <v>914</v>
      </c>
      <c r="D5" s="75" t="s">
        <v>915</v>
      </c>
      <c r="E5" s="75" t="s">
        <v>4277</v>
      </c>
      <c r="F5" s="76" t="s">
        <v>4278</v>
      </c>
      <c r="G5" s="77"/>
    </row>
    <row r="6" customFormat="false" ht="21.75" hidden="false" customHeight="true" outlineLevel="0" collapsed="false">
      <c r="B6" s="78" t="s">
        <v>4602</v>
      </c>
      <c r="C6" s="87"/>
      <c r="D6" s="80" t="s">
        <v>4287</v>
      </c>
      <c r="E6" s="88"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89" t="n">
        <v>0.02</v>
      </c>
      <c r="G6" s="90" t="n">
        <f aca="false">IF(ISBLANK(C6),IF(Fill_Example="Yes",F6,""),C6)</f>
        <v>0.02</v>
      </c>
    </row>
    <row r="7" customFormat="false" ht="27.75" hidden="false" customHeight="true" outlineLevel="0" collapsed="false">
      <c r="B7" s="10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06"/>
      <c r="D7" s="106"/>
      <c r="E7" s="106"/>
    </row>
    <row r="9" customFormat="false" ht="15" hidden="false" customHeight="true" outlineLevel="0" collapsed="false">
      <c r="B9" s="74" t="s">
        <v>4355</v>
      </c>
      <c r="C9" s="77"/>
      <c r="D9" s="77"/>
      <c r="E9" s="77"/>
      <c r="F9" s="77"/>
      <c r="G9" s="77"/>
    </row>
    <row r="10" customFormat="false" ht="27.75" hidden="false" customHeight="true" outlineLevel="0" collapsed="false">
      <c r="B10" s="106" t="s">
        <v>4906</v>
      </c>
      <c r="C10" s="106"/>
      <c r="D10" s="106"/>
      <c r="E10" s="106"/>
    </row>
    <row r="11" customFormat="false" ht="15" hidden="false" customHeight="true" outlineLevel="0" collapsed="false">
      <c r="B11" s="78" t="s">
        <v>4754</v>
      </c>
      <c r="C11" s="107"/>
      <c r="D11" s="80" t="s">
        <v>966</v>
      </c>
      <c r="E11" s="81" t="s">
        <v>4673</v>
      </c>
      <c r="G11" s="105" t="s">
        <v>4359</v>
      </c>
    </row>
    <row r="12" customFormat="false" ht="15" hidden="false" customHeight="true" outlineLevel="0" collapsed="false">
      <c r="B12" s="78" t="s">
        <v>4748</v>
      </c>
      <c r="C12" s="107"/>
      <c r="D12" s="80" t="s">
        <v>966</v>
      </c>
      <c r="E12" s="81" t="s">
        <v>4749</v>
      </c>
      <c r="G12" s="105" t="s">
        <v>4359</v>
      </c>
    </row>
    <row r="13" customFormat="false" ht="15" hidden="false" customHeight="true" outlineLevel="0" collapsed="false">
      <c r="B13" s="78" t="s">
        <v>4364</v>
      </c>
      <c r="C13" s="110"/>
      <c r="D13" s="80" t="s">
        <v>924</v>
      </c>
      <c r="E13" s="81" t="s">
        <v>4365</v>
      </c>
      <c r="G13" s="105" t="s">
        <v>4359</v>
      </c>
    </row>
    <row r="15" customFormat="false" ht="15" hidden="false" customHeight="true" outlineLevel="0" collapsed="false">
      <c r="B15" s="74" t="s">
        <v>4366</v>
      </c>
      <c r="C15" s="75" t="s">
        <v>914</v>
      </c>
      <c r="D15" s="75" t="s">
        <v>915</v>
      </c>
      <c r="E15" s="75" t="s">
        <v>4277</v>
      </c>
      <c r="F15" s="76" t="s">
        <v>4278</v>
      </c>
      <c r="G15" s="77"/>
    </row>
    <row r="16" customFormat="false" ht="21.75" hidden="false" customHeight="true" outlineLevel="0" collapsed="false">
      <c r="B16" s="78" t="s">
        <v>4907</v>
      </c>
      <c r="C16" s="79"/>
      <c r="D16" s="80" t="s">
        <v>966</v>
      </c>
      <c r="E16" s="81" t="s">
        <v>4908</v>
      </c>
      <c r="F16" s="82" t="n">
        <v>400000</v>
      </c>
      <c r="G16" s="83" t="n">
        <f aca="false">IF(ISBLANK(C16),IF(ISNUMBER('Plan results'!$C$45),'Plan results'!$C$45,IF(Fill_Example="Yes",F16,"")),C16)</f>
        <v>595640.396053951</v>
      </c>
    </row>
    <row r="17" customFormat="false" ht="15" hidden="false" customHeight="true" outlineLevel="0" collapsed="false">
      <c r="B17" s="78" t="s">
        <v>4909</v>
      </c>
      <c r="C17" s="79"/>
      <c r="D17" s="80" t="s">
        <v>966</v>
      </c>
      <c r="E17" s="81" t="s">
        <v>4910</v>
      </c>
      <c r="F17" s="82" t="n">
        <v>20000</v>
      </c>
      <c r="G17" s="83" t="n">
        <f aca="false">IF(ISBLANK(C17),IF(Fill_Example="Yes",F17,""),C17)</f>
        <v>20000</v>
      </c>
    </row>
    <row r="18" customFormat="false" ht="21.75" hidden="false" customHeight="true" outlineLevel="0" collapsed="false">
      <c r="B18" s="78" t="s">
        <v>4943</v>
      </c>
      <c r="C18" s="87"/>
      <c r="D18" s="80" t="s">
        <v>4287</v>
      </c>
      <c r="E18" s="88" t="s">
        <v>4944</v>
      </c>
      <c r="F18" s="89" t="n">
        <f aca="false">Set_riskMu_1</f>
        <v>0.02</v>
      </c>
      <c r="G18" s="90" t="n">
        <f aca="false">IF(ISBLANK(C18),F18,C18)</f>
        <v>0.02</v>
      </c>
    </row>
    <row r="19" customFormat="false" ht="21.75" hidden="false" customHeight="true" outlineLevel="0" collapsed="false">
      <c r="B19" s="78" t="s">
        <v>4945</v>
      </c>
      <c r="C19" s="87"/>
      <c r="D19" s="80" t="s">
        <v>4287</v>
      </c>
      <c r="E19" s="88" t="s">
        <v>4946</v>
      </c>
      <c r="F19" s="89" t="n">
        <f aca="false">Set_riskMu_2</f>
        <v>0.04</v>
      </c>
      <c r="G19" s="90" t="n">
        <f aca="false">IF(ISBLANK(C19),F19,C19)</f>
        <v>0.04</v>
      </c>
    </row>
    <row r="20" customFormat="false" ht="21.75" hidden="false" customHeight="true" outlineLevel="0" collapsed="false">
      <c r="B20" s="78" t="s">
        <v>4947</v>
      </c>
      <c r="C20" s="87"/>
      <c r="D20" s="80" t="s">
        <v>4287</v>
      </c>
      <c r="E20" s="88" t="s">
        <v>4948</v>
      </c>
      <c r="F20" s="89" t="n">
        <f aca="false">Set_riskMu_3</f>
        <v>0.06</v>
      </c>
      <c r="G20" s="90" t="n">
        <f aca="false">IF(ISBLANK(C20),F20,C20)</f>
        <v>0.06</v>
      </c>
    </row>
    <row r="21" customFormat="false" ht="21.75" hidden="false" customHeight="true" outlineLevel="0" collapsed="false">
      <c r="B21" s="78" t="s">
        <v>4913</v>
      </c>
      <c r="C21" s="84"/>
      <c r="D21" s="80"/>
      <c r="E21" s="88" t="s">
        <v>4914</v>
      </c>
      <c r="F21" s="85" t="str">
        <f aca="false">IF(Set_ddTiming="end","End of year","Start of year")</f>
        <v>Start of year</v>
      </c>
      <c r="G21" s="86" t="str">
        <f aca="false">IF(ISBLANK(C21),F21,C21)</f>
        <v>Start of year</v>
      </c>
    </row>
    <row r="23" customFormat="false" ht="15" hidden="false" customHeight="true" outlineLevel="0" collapsed="false">
      <c r="B23" s="74" t="s">
        <v>4375</v>
      </c>
      <c r="C23" s="77"/>
      <c r="D23" s="77"/>
      <c r="E23" s="77"/>
      <c r="F23" s="77"/>
      <c r="G23" s="77"/>
    </row>
    <row r="24" customFormat="false" ht="15" hidden="false" customHeight="true" outlineLevel="0" collapsed="false">
      <c r="B24" s="78" t="s">
        <v>4907</v>
      </c>
      <c r="C24" s="111" t="n">
        <f aca="false">IF(NOT(ISBLANK(Stmt_Projected_Fund)),Stmt_Projected_Fund,IF(NOT(ISBLANK(Stmt_Fund_Value)),Stmt_Fund_Value,Retirement_Savings))</f>
        <v>595640.396053951</v>
      </c>
      <c r="D24" s="112" t="str">
        <f aca="false">IF(NOT(ISBLANK(Stmt_Projected_Fund)),"From your statement (projected fund)",IF(NOT(ISBLANK(Stmt_Fund_Value)),"From your statement (fund value today)","Your figure"))</f>
        <v>Your figure</v>
      </c>
      <c r="E24" s="102" t="s">
        <v>4919</v>
      </c>
    </row>
    <row r="25" customFormat="false" ht="21.75" hidden="false" customHeight="true" outlineLevel="0" collapsed="false">
      <c r="B25" s="78" t="s">
        <v>4382</v>
      </c>
      <c r="C25" s="98" t="str">
        <f aca="true">IF(ISBLANK(Stmt_Statement_Date),"",IF(TODAY()-Stmt_Statement_Date&gt;Statement_Max_Age_Days,"Needs a look: statement is more than 12 months old","Up to date"))</f>
        <v/>
      </c>
      <c r="D25" s="80"/>
      <c r="E25" s="95" t="s">
        <v>4383</v>
      </c>
    </row>
    <row r="27" customFormat="false" ht="15" hidden="false" customHeight="true" outlineLevel="0" collapsed="false">
      <c r="B27" s="74" t="s">
        <v>4099</v>
      </c>
      <c r="C27" s="75" t="s">
        <v>329</v>
      </c>
      <c r="D27" s="75" t="s">
        <v>4295</v>
      </c>
      <c r="E27" s="75" t="s">
        <v>4296</v>
      </c>
      <c r="F27" s="77"/>
      <c r="G27" s="77"/>
    </row>
    <row r="28" customFormat="false" ht="23.25" hidden="false" customHeight="true" outlineLevel="0" collapsed="false">
      <c r="B28" s="71" t="s">
        <v>4949</v>
      </c>
      <c r="C28" s="115" t="n">
        <f aca="false">IF(Need_1&lt;&gt;"",Need_1,IF(Inflation_Choice="","Choose your inflation rate to see this",SUM(W_b_paid)))</f>
        <v>43</v>
      </c>
      <c r="D28" s="116" t="str">
        <f aca="false">IF(Need_1&lt;&gt;"",Need_1,IF(ISNUMBER(Years_Balanced),IF(Years_Balanced&gt;=Cap_Years,Cap_Years&amp;"+ years",Years_Balanced&amp;IF(Years_Balanced=1," year"," years")),"Choose your inflation rate to see this"))</f>
        <v>43 years</v>
      </c>
      <c r="E28" s="95" t="s">
        <v>4950</v>
      </c>
    </row>
    <row r="29" customFormat="false" ht="15" hidden="false" customHeight="true" outlineLevel="0" collapsed="false">
      <c r="B29" s="78" t="s">
        <v>4951</v>
      </c>
      <c r="C29" s="119" t="n">
        <f aca="false">IF(Need_1&lt;&gt;"",Need_1,IF(Inflation_Choice="","Choose your inflation rate to see this",SUM(W_c_paid)))</f>
        <v>29</v>
      </c>
      <c r="D29" s="120" t="str">
        <f aca="false">IF(Need_1&lt;&gt;"",Need_1,IF(ISNUMBER(Years_Cautious),IF(Years_Cautious&gt;=Cap_Years,Cap_Years&amp;"+ years",Years_Cautious&amp;IF(Years_Cautious=1," year"," years")),"Choose your inflation rate to see this"))</f>
        <v>29 years</v>
      </c>
      <c r="E29" s="95" t="s">
        <v>4952</v>
      </c>
    </row>
    <row r="30" customFormat="false" ht="15" hidden="false" customHeight="true" outlineLevel="0" collapsed="false">
      <c r="B30" s="78" t="s">
        <v>4953</v>
      </c>
      <c r="C30" s="119" t="n">
        <f aca="false">IF(Need_1&lt;&gt;"",Need_1,IF(Inflation_Choice="","Choose your inflation rate to see this",SUM(W_g_paid)))</f>
        <v>60</v>
      </c>
      <c r="D30" s="120" t="str">
        <f aca="false">IF(Need_1&lt;&gt;"",Need_1,IF(ISNUMBER(Years_Growth),IF(Years_Growth&gt;=Cap_Years,Cap_Years&amp;"+ years",Years_Growth&amp;IF(Years_Growth=1," year"," years")),"Choose your inflation rate to see this"))</f>
        <v>60+ years</v>
      </c>
      <c r="E30" s="95" t="s">
        <v>4954</v>
      </c>
    </row>
    <row r="31" customFormat="false" ht="15" hidden="false" customHeight="true" outlineLevel="0" collapsed="false">
      <c r="B31" s="74" t="s">
        <v>4955</v>
      </c>
      <c r="C31" s="77"/>
      <c r="D31" s="77"/>
      <c r="E31" s="77"/>
      <c r="F31" s="77"/>
      <c r="G31" s="77"/>
    </row>
    <row r="32" customFormat="false" ht="27.75" hidden="false" customHeight="true" outlineLevel="0" collapsed="false">
      <c r="B32" s="131" t="s">
        <v>1561</v>
      </c>
      <c r="C32" s="131" t="s">
        <v>4956</v>
      </c>
      <c r="D32" s="131" t="s">
        <v>4957</v>
      </c>
      <c r="E32" s="131" t="s">
        <v>4958</v>
      </c>
      <c r="F32" s="131" t="s">
        <v>4959</v>
      </c>
      <c r="G32" s="131" t="s">
        <v>4960</v>
      </c>
      <c r="H32" s="131" t="s">
        <v>4961</v>
      </c>
      <c r="I32" s="131" t="s">
        <v>4962</v>
      </c>
    </row>
    <row r="33" customFormat="false" ht="15" hidden="false" customHeight="true" outlineLevel="0" collapsed="false">
      <c r="B33" s="132" t="n">
        <v>1</v>
      </c>
      <c r="C33" s="133" t="n">
        <f aca="false">IF(Need_1&lt;&gt;"","",Yearly_Withdrawal)</f>
        <v>20000</v>
      </c>
      <c r="D33" s="133" t="n">
        <f aca="false">IF(Need_1&lt;&gt;"","",Used_Retirement_Savings)</f>
        <v>595640.396053951</v>
      </c>
      <c r="E33" s="132" t="n">
        <f aca="false">IF(Need_1&lt;&gt;"","",IF(Withdrawal_Timing="Start of year",IF(D33&gt;=C33,1,0),IF(D33*(1+DD_Cautious)&gt;=C33,1,0)))</f>
        <v>1</v>
      </c>
      <c r="F33" s="133" t="n">
        <f aca="false">IF(Need_1&lt;&gt;"","",Used_Retirement_Savings)</f>
        <v>595640.396053951</v>
      </c>
      <c r="G33" s="132" t="n">
        <f aca="false">IF(Need_1&lt;&gt;"","",IF(Withdrawal_Timing="Start of year",IF(F33&gt;=C33,1,0),IF(F33*(1+DD_Balanced)&gt;=C33,1,0)))</f>
        <v>1</v>
      </c>
      <c r="H33" s="133" t="n">
        <f aca="false">IF(Need_1&lt;&gt;"","",Used_Retirement_Savings)</f>
        <v>595640.396053951</v>
      </c>
      <c r="I33" s="132" t="n">
        <f aca="false">IF(Need_1&lt;&gt;"","",IF(Withdrawal_Timing="Start of year",IF(H33&gt;=C33,1,0),IF(H33*(1+DD_Growth)&gt;=C33,1,0)))</f>
        <v>1</v>
      </c>
    </row>
    <row r="34" customFormat="false" ht="15" hidden="false" customHeight="true" outlineLevel="0" collapsed="false">
      <c r="B34" s="132" t="n">
        <v>2</v>
      </c>
      <c r="C34" s="133" t="n">
        <f aca="false">IF(Need_1&lt;&gt;"","",C33*(1+Inflation_Choice))</f>
        <v>20400</v>
      </c>
      <c r="D34" s="133" t="n">
        <f aca="false">IF(Need_1&lt;&gt;"","",IF(E33=1,IF(Withdrawal_Timing="Start of year",(D33-C33)*(1+DD_Cautious),D33*(1+DD_Cautious)-C33),0))</f>
        <v>587153.20397503</v>
      </c>
      <c r="E34" s="132" t="n">
        <f aca="false">IF(Need_1&lt;&gt;"","",IF(Withdrawal_Timing="Start of year",IF(D34&gt;=C34,1,0),IF(D34*(1+DD_Cautious)&gt;=C34,1,0)))</f>
        <v>1</v>
      </c>
      <c r="F34" s="133" t="n">
        <f aca="false">IF(Need_1&lt;&gt;"","",IF(G33=1,IF(Withdrawal_Timing="Start of year",(F33-C33)*(1+DD_Balanced),F33*(1+DD_Balanced)-C33),0))</f>
        <v>598666.011896109</v>
      </c>
      <c r="G34" s="132" t="n">
        <f aca="false">IF(Need_1&lt;&gt;"","",IF(Withdrawal_Timing="Start of year",IF(F34&gt;=C34,1,0),IF(F34*(1+DD_Balanced)&gt;=C34,1,0)))</f>
        <v>1</v>
      </c>
      <c r="H34" s="133" t="n">
        <f aca="false">IF(Need_1&lt;&gt;"","",IF(I33=1,IF(Withdrawal_Timing="Start of year",(H33-C33)*(1+DD_Growth),H33*(1+DD_Growth)-C33),0))</f>
        <v>610178.819817188</v>
      </c>
      <c r="I34" s="132" t="n">
        <f aca="false">IF(Need_1&lt;&gt;"","",IF(Withdrawal_Timing="Start of year",IF(H34&gt;=C34,1,0),IF(H34*(1+DD_Growth)&gt;=C34,1,0)))</f>
        <v>1</v>
      </c>
    </row>
    <row r="35" customFormat="false" ht="15" hidden="false" customHeight="true" outlineLevel="0" collapsed="false">
      <c r="B35" s="132" t="n">
        <v>3</v>
      </c>
      <c r="C35" s="133" t="n">
        <f aca="false">IF(Need_1&lt;&gt;"","",C34*(1+Inflation_Choice))</f>
        <v>20808</v>
      </c>
      <c r="D35" s="133" t="n">
        <f aca="false">IF(Need_1&lt;&gt;"","",IF(E34=1,IF(Withdrawal_Timing="Start of year",(D34-C34)*(1+DD_Cautious),D34*(1+DD_Cautious)-C34),0))</f>
        <v>578088.26805453</v>
      </c>
      <c r="E35" s="132" t="n">
        <f aca="false">IF(Need_1&lt;&gt;"","",IF(Withdrawal_Timing="Start of year",IF(D35&gt;=C35,1,0),IF(D35*(1+DD_Cautious)&gt;=C35,1,0)))</f>
        <v>1</v>
      </c>
      <c r="F35" s="133" t="n">
        <f aca="false">IF(Need_1&lt;&gt;"","",IF(G34=1,IF(Withdrawal_Timing="Start of year",(F34-C34)*(1+DD_Balanced),F34*(1+DD_Balanced)-C34),0))</f>
        <v>601396.652371953</v>
      </c>
      <c r="G35" s="132" t="n">
        <f aca="false">IF(Need_1&lt;&gt;"","",IF(Withdrawal_Timing="Start of year",IF(F35&gt;=C35,1,0),IF(F35*(1+DD_Balanced)&gt;=C35,1,0)))</f>
        <v>1</v>
      </c>
      <c r="H35" s="133" t="n">
        <f aca="false">IF(Need_1&lt;&gt;"","",IF(I34=1,IF(Withdrawal_Timing="Start of year",(H34-C34)*(1+DD_Growth),H34*(1+DD_Growth)-C34),0))</f>
        <v>625165.549006219</v>
      </c>
      <c r="I35" s="132" t="n">
        <f aca="false">IF(Need_1&lt;&gt;"","",IF(Withdrawal_Timing="Start of year",IF(H35&gt;=C35,1,0),IF(H35*(1+DD_Growth)&gt;=C35,1,0)))</f>
        <v>1</v>
      </c>
    </row>
    <row r="36" customFormat="false" ht="15" hidden="false" customHeight="true" outlineLevel="0" collapsed="false">
      <c r="B36" s="132" t="n">
        <v>4</v>
      </c>
      <c r="C36" s="133" t="n">
        <f aca="false">IF(Need_1&lt;&gt;"","",C35*(1+Inflation_Choice))</f>
        <v>21224.16</v>
      </c>
      <c r="D36" s="133" t="n">
        <f aca="false">IF(Need_1&lt;&gt;"","",IF(E35=1,IF(Withdrawal_Timing="Start of year",(D35-C35)*(1+DD_Cautious),D35*(1+DD_Cautious)-C35),0))</f>
        <v>568425.873415621</v>
      </c>
      <c r="E36" s="132" t="n">
        <f aca="false">IF(Need_1&lt;&gt;"","",IF(Withdrawal_Timing="Start of year",IF(D36&gt;=C36,1,0),IF(D36*(1+DD_Cautious)&gt;=C36,1,0)))</f>
        <v>1</v>
      </c>
      <c r="F36" s="133" t="n">
        <f aca="false">IF(Need_1&lt;&gt;"","",IF(G35=1,IF(Withdrawal_Timing="Start of year",(F35-C35)*(1+DD_Balanced),F35*(1+DD_Balanced)-C35),0))</f>
        <v>603812.198466831</v>
      </c>
      <c r="G36" s="132" t="n">
        <f aca="false">IF(Need_1&lt;&gt;"","",IF(Withdrawal_Timing="Start of year",IF(F36&gt;=C36,1,0),IF(F36*(1+DD_Balanced)&gt;=C36,1,0)))</f>
        <v>1</v>
      </c>
      <c r="H36" s="133" t="n">
        <f aca="false">IF(Need_1&lt;&gt;"","",IF(I35=1,IF(Withdrawal_Timing="Start of year",(H35-C35)*(1+DD_Growth),H35*(1+DD_Growth)-C35),0))</f>
        <v>640619.001946592</v>
      </c>
      <c r="I36" s="132" t="n">
        <f aca="false">IF(Need_1&lt;&gt;"","",IF(Withdrawal_Timing="Start of year",IF(H36&gt;=C36,1,0),IF(H36*(1+DD_Growth)&gt;=C36,1,0)))</f>
        <v>1</v>
      </c>
    </row>
    <row r="37" customFormat="false" ht="15" hidden="false" customHeight="true" outlineLevel="0" collapsed="false">
      <c r="B37" s="132" t="n">
        <v>5</v>
      </c>
      <c r="C37" s="133" t="n">
        <f aca="false">IF(Need_1&lt;&gt;"","",C36*(1+Inflation_Choice))</f>
        <v>21648.6432</v>
      </c>
      <c r="D37" s="133" t="n">
        <f aca="false">IF(Need_1&lt;&gt;"","",IF(E36=1,IF(Withdrawal_Timing="Start of year",(D36-C36)*(1+DD_Cautious),D36*(1+DD_Cautious)-C36),0))</f>
        <v>558145.747683933</v>
      </c>
      <c r="E37" s="132" t="n">
        <f aca="false">IF(Need_1&lt;&gt;"","",IF(Withdrawal_Timing="Start of year",IF(D37&gt;=C37,1,0),IF(D37*(1+DD_Cautious)&gt;=C37,1,0)))</f>
        <v>1</v>
      </c>
      <c r="F37" s="133" t="n">
        <f aca="false">IF(Need_1&lt;&gt;"","",IF(G36=1,IF(Withdrawal_Timing="Start of year",(F36-C36)*(1+DD_Balanced),F36*(1+DD_Balanced)-C36),0))</f>
        <v>605891.560005504</v>
      </c>
      <c r="G37" s="132" t="n">
        <f aca="false">IF(Need_1&lt;&gt;"","",IF(Withdrawal_Timing="Start of year",IF(F37&gt;=C37,1,0),IF(F37*(1+DD_Balanced)&gt;=C37,1,0)))</f>
        <v>1</v>
      </c>
      <c r="H37" s="133" t="n">
        <f aca="false">IF(Need_1&lt;&gt;"","",IF(I36=1,IF(Withdrawal_Timing="Start of year",(H36-C36)*(1+DD_Growth),H36*(1+DD_Growth)-C36),0))</f>
        <v>656558.532463388</v>
      </c>
      <c r="I37" s="132" t="n">
        <f aca="false">IF(Need_1&lt;&gt;"","",IF(Withdrawal_Timing="Start of year",IF(H37&gt;=C37,1,0),IF(H37*(1+DD_Growth)&gt;=C37,1,0)))</f>
        <v>1</v>
      </c>
    </row>
    <row r="38" customFormat="false" ht="15" hidden="false" customHeight="true" outlineLevel="0" collapsed="false">
      <c r="B38" s="132" t="n">
        <v>6</v>
      </c>
      <c r="C38" s="133" t="n">
        <f aca="false">IF(Need_1&lt;&gt;"","",C37*(1+Inflation_Choice))</f>
        <v>22081.616064</v>
      </c>
      <c r="D38" s="133" t="n">
        <f aca="false">IF(Need_1&lt;&gt;"","",IF(E37=1,IF(Withdrawal_Timing="Start of year",(D37-C37)*(1+DD_Cautious),D37*(1+DD_Cautious)-C37),0))</f>
        <v>547227.046573612</v>
      </c>
      <c r="E38" s="132" t="n">
        <f aca="false">IF(Need_1&lt;&gt;"","",IF(Withdrawal_Timing="Start of year",IF(D38&gt;=C38,1,0),IF(D38*(1+DD_Cautious)&gt;=C38,1,0)))</f>
        <v>1</v>
      </c>
      <c r="F38" s="133" t="n">
        <f aca="false">IF(Need_1&lt;&gt;"","",IF(G37=1,IF(Withdrawal_Timing="Start of year",(F37-C37)*(1+DD_Balanced),F37*(1+DD_Balanced)-C37),0))</f>
        <v>607612.633477725</v>
      </c>
      <c r="G38" s="132" t="n">
        <f aca="false">IF(Need_1&lt;&gt;"","",IF(Withdrawal_Timing="Start of year",IF(F38&gt;=C38,1,0),IF(F38*(1+DD_Balanced)&gt;=C38,1,0)))</f>
        <v>1</v>
      </c>
      <c r="H38" s="133" t="n">
        <f aca="false">IF(Need_1&lt;&gt;"","",IF(I37=1,IF(Withdrawal_Timing="Start of year",(H37-C37)*(1+DD_Growth),H37*(1+DD_Growth)-C37),0))</f>
        <v>673004.482619191</v>
      </c>
      <c r="I38" s="132" t="n">
        <f aca="false">IF(Need_1&lt;&gt;"","",IF(Withdrawal_Timing="Start of year",IF(H38&gt;=C38,1,0),IF(H38*(1+DD_Growth)&gt;=C38,1,0)))</f>
        <v>1</v>
      </c>
    </row>
    <row r="39" customFormat="false" ht="15" hidden="false" customHeight="true" outlineLevel="0" collapsed="false">
      <c r="B39" s="132" t="n">
        <v>7</v>
      </c>
      <c r="C39" s="133" t="n">
        <f aca="false">IF(Need_1&lt;&gt;"","",C38*(1+Inflation_Choice))</f>
        <v>22523.24838528</v>
      </c>
      <c r="D39" s="133" t="n">
        <f aca="false">IF(Need_1&lt;&gt;"","",IF(E38=1,IF(Withdrawal_Timing="Start of year",(D38-C38)*(1+DD_Cautious),D38*(1+DD_Cautious)-C38),0))</f>
        <v>535648.339119804</v>
      </c>
      <c r="E39" s="132" t="n">
        <f aca="false">IF(Need_1&lt;&gt;"","",IF(Withdrawal_Timing="Start of year",IF(D39&gt;=C39,1,0),IF(D39*(1+DD_Cautious)&gt;=C39,1,0)))</f>
        <v>1</v>
      </c>
      <c r="F39" s="133" t="n">
        <f aca="false">IF(Need_1&lt;&gt;"","",IF(G38=1,IF(Withdrawal_Timing="Start of year",(F38-C38)*(1+DD_Balanced),F38*(1+DD_Balanced)-C38),0))</f>
        <v>608952.258110274</v>
      </c>
      <c r="G39" s="132" t="n">
        <f aca="false">IF(Need_1&lt;&gt;"","",IF(Withdrawal_Timing="Start of year",IF(F39&gt;=C39,1,0),IF(F39*(1+DD_Balanced)&gt;=C39,1,0)))</f>
        <v>1</v>
      </c>
      <c r="H39" s="133" t="n">
        <f aca="false">IF(Need_1&lt;&gt;"","",IF(I38=1,IF(Withdrawal_Timing="Start of year",(H38-C38)*(1+DD_Growth),H38*(1+DD_Growth)-C38),0))</f>
        <v>689978.238548502</v>
      </c>
      <c r="I39" s="132" t="n">
        <f aca="false">IF(Need_1&lt;&gt;"","",IF(Withdrawal_Timing="Start of year",IF(H39&gt;=C39,1,0),IF(H39*(1+DD_Growth)&gt;=C39,1,0)))</f>
        <v>1</v>
      </c>
    </row>
    <row r="40" customFormat="false" ht="15" hidden="false" customHeight="true" outlineLevel="0" collapsed="false">
      <c r="B40" s="132" t="n">
        <v>8</v>
      </c>
      <c r="C40" s="133" t="n">
        <f aca="false">IF(Need_1&lt;&gt;"","",C39*(1+Inflation_Choice))</f>
        <v>22973.7133529856</v>
      </c>
      <c r="D40" s="133" t="n">
        <f aca="false">IF(Need_1&lt;&gt;"","",IF(E39=1,IF(Withdrawal_Timing="Start of year",(D39-C39)*(1+DD_Cautious),D39*(1+DD_Cautious)-C39),0))</f>
        <v>523387.592549215</v>
      </c>
      <c r="E40" s="132" t="n">
        <f aca="false">IF(Need_1&lt;&gt;"","",IF(Withdrawal_Timing="Start of year",IF(D40&gt;=C40,1,0),IF(D40*(1+DD_Cautious)&gt;=C40,1,0)))</f>
        <v>1</v>
      </c>
      <c r="F40" s="133" t="n">
        <f aca="false">IF(Need_1&lt;&gt;"","",IF(G39=1,IF(Withdrawal_Timing="Start of year",(F39-C39)*(1+DD_Balanced),F39*(1+DD_Balanced)-C39),0))</f>
        <v>609886.170113993</v>
      </c>
      <c r="G40" s="132" t="n">
        <f aca="false">IF(Need_1&lt;&gt;"","",IF(Withdrawal_Timing="Start of year",IF(F40&gt;=C40,1,0),IF(F40*(1+DD_Balanced)&gt;=C40,1,0)))</f>
        <v>1</v>
      </c>
      <c r="H40" s="133" t="n">
        <f aca="false">IF(Need_1&lt;&gt;"","",IF(I39=1,IF(Withdrawal_Timing="Start of year",(H39-C39)*(1+DD_Growth),H39*(1+DD_Growth)-C39),0))</f>
        <v>707502.289573016</v>
      </c>
      <c r="I40" s="132" t="n">
        <f aca="false">IF(Need_1&lt;&gt;"","",IF(Withdrawal_Timing="Start of year",IF(H40&gt;=C40,1,0),IF(H40*(1+DD_Growth)&gt;=C40,1,0)))</f>
        <v>1</v>
      </c>
    </row>
    <row r="41" customFormat="false" ht="15" hidden="false" customHeight="true" outlineLevel="0" collapsed="false">
      <c r="B41" s="132" t="n">
        <v>9</v>
      </c>
      <c r="C41" s="133" t="n">
        <f aca="false">IF(Need_1&lt;&gt;"","",C40*(1+Inflation_Choice))</f>
        <v>23433.1876200453</v>
      </c>
      <c r="D41" s="133" t="n">
        <f aca="false">IF(Need_1&lt;&gt;"","",IF(E40=1,IF(Withdrawal_Timing="Start of year",(D40-C40)*(1+DD_Cautious),D40*(1+DD_Cautious)-C40),0))</f>
        <v>510422.156780154</v>
      </c>
      <c r="E41" s="132" t="n">
        <f aca="false">IF(Need_1&lt;&gt;"","",IF(Withdrawal_Timing="Start of year",IF(D41&gt;=C41,1,0),IF(D41*(1+DD_Cautious)&gt;=C41,1,0)))</f>
        <v>1</v>
      </c>
      <c r="F41" s="133" t="n">
        <f aca="false">IF(Need_1&lt;&gt;"","",IF(G40=1,IF(Withdrawal_Timing="Start of year",(F40-C40)*(1+DD_Balanced),F40*(1+DD_Balanced)-C40),0))</f>
        <v>610388.955031448</v>
      </c>
      <c r="G41" s="132" t="n">
        <f aca="false">IF(Need_1&lt;&gt;"","",IF(Withdrawal_Timing="Start of year",IF(F41&gt;=C41,1,0),IF(F41*(1+DD_Balanced)&gt;=C41,1,0)))</f>
        <v>1</v>
      </c>
      <c r="H41" s="133" t="n">
        <f aca="false">IF(Need_1&lt;&gt;"","",IF(I40=1,IF(Withdrawal_Timing="Start of year",(H40-C40)*(1+DD_Growth),H40*(1+DD_Growth)-C40),0))</f>
        <v>725600.290793232</v>
      </c>
      <c r="I41" s="132" t="n">
        <f aca="false">IF(Need_1&lt;&gt;"","",IF(Withdrawal_Timing="Start of year",IF(H41&gt;=C41,1,0),IF(H41*(1+DD_Growth)&gt;=C41,1,0)))</f>
        <v>1</v>
      </c>
    </row>
    <row r="42" customFormat="false" ht="15" hidden="false" customHeight="true" outlineLevel="0" collapsed="false">
      <c r="B42" s="132" t="n">
        <v>10</v>
      </c>
      <c r="C42" s="133" t="n">
        <f aca="false">IF(Need_1&lt;&gt;"","",C41*(1+Inflation_Choice))</f>
        <v>23901.8513724462</v>
      </c>
      <c r="D42" s="133" t="n">
        <f aca="false">IF(Need_1&lt;&gt;"","",IF(E41=1,IF(Withdrawal_Timing="Start of year",(D41-C41)*(1+DD_Cautious),D41*(1+DD_Cautious)-C41),0))</f>
        <v>496728.74854331</v>
      </c>
      <c r="E42" s="132" t="n">
        <f aca="false">IF(Need_1&lt;&gt;"","",IF(Withdrawal_Timing="Start of year",IF(D42&gt;=C42,1,0),IF(D42*(1+DD_Cautious)&gt;=C42,1,0)))</f>
        <v>1</v>
      </c>
      <c r="F42" s="133" t="n">
        <f aca="false">IF(Need_1&lt;&gt;"","",IF(G41=1,IF(Withdrawal_Timing="Start of year",(F41-C41)*(1+DD_Balanced),F41*(1+DD_Balanced)-C41),0))</f>
        <v>610433.998107859</v>
      </c>
      <c r="G42" s="132" t="n">
        <f aca="false">IF(Need_1&lt;&gt;"","",IF(Withdrawal_Timing="Start of year",IF(F42&gt;=C42,1,0),IF(F42*(1+DD_Balanced)&gt;=C42,1,0)))</f>
        <v>1</v>
      </c>
      <c r="H42" s="133" t="n">
        <f aca="false">IF(Need_1&lt;&gt;"","",IF(I41=1,IF(Withdrawal_Timing="Start of year",(H41-C41)*(1+DD_Growth),H41*(1+DD_Growth)-C41),0))</f>
        <v>744297.129363578</v>
      </c>
      <c r="I42" s="132" t="n">
        <f aca="false">IF(Need_1&lt;&gt;"","",IF(Withdrawal_Timing="Start of year",IF(H42&gt;=C42,1,0),IF(H42*(1+DD_Growth)&gt;=C42,1,0)))</f>
        <v>1</v>
      </c>
    </row>
    <row r="43" customFormat="false" ht="15" hidden="false" customHeight="true" outlineLevel="0" collapsed="false">
      <c r="B43" s="132" t="n">
        <v>11</v>
      </c>
      <c r="C43" s="133" t="n">
        <f aca="false">IF(Need_1&lt;&gt;"","",C42*(1+Inflation_Choice))</f>
        <v>24379.8883998951</v>
      </c>
      <c r="D43" s="133" t="n">
        <f aca="false">IF(Need_1&lt;&gt;"","",IF(E42=1,IF(Withdrawal_Timing="Start of year",(D42-C42)*(1+DD_Cautious),D42*(1+DD_Cautious)-C42),0))</f>
        <v>482283.435114281</v>
      </c>
      <c r="E43" s="132" t="n">
        <f aca="false">IF(Need_1&lt;&gt;"","",IF(Withdrawal_Timing="Start of year",IF(D43&gt;=C43,1,0),IF(D43*(1+DD_Cautious)&gt;=C43,1,0)))</f>
        <v>1</v>
      </c>
      <c r="F43" s="133" t="n">
        <f aca="false">IF(Need_1&lt;&gt;"","",IF(G42=1,IF(Withdrawal_Timing="Start of year",(F42-C42)*(1+DD_Balanced),F42*(1+DD_Balanced)-C42),0))</f>
        <v>609993.432604829</v>
      </c>
      <c r="G43" s="132" t="n">
        <f aca="false">IF(Need_1&lt;&gt;"","",IF(Withdrawal_Timing="Start of year",IF(F43&gt;=C43,1,0),IF(F43*(1+DD_Balanced)&gt;=C43,1,0)))</f>
        <v>1</v>
      </c>
      <c r="H43" s="133" t="n">
        <f aca="false">IF(Need_1&lt;&gt;"","",IF(I42=1,IF(Withdrawal_Timing="Start of year",(H42-C42)*(1+DD_Growth),H42*(1+DD_Growth)-C42),0))</f>
        <v>763618.9946706</v>
      </c>
      <c r="I43" s="132" t="n">
        <f aca="false">IF(Need_1&lt;&gt;"","",IF(Withdrawal_Timing="Start of year",IF(H43&gt;=C43,1,0),IF(H43*(1+DD_Growth)&gt;=C43,1,0)))</f>
        <v>1</v>
      </c>
    </row>
    <row r="44" customFormat="false" ht="15" hidden="false" customHeight="true" outlineLevel="0" collapsed="false">
      <c r="B44" s="132" t="n">
        <v>12</v>
      </c>
      <c r="C44" s="133" t="n">
        <f aca="false">IF(Need_1&lt;&gt;"","",C43*(1+Inflation_Choice))</f>
        <v>24867.486167893</v>
      </c>
      <c r="D44" s="133" t="n">
        <f aca="false">IF(Need_1&lt;&gt;"","",IF(E43=1,IF(Withdrawal_Timing="Start of year",(D43-C43)*(1+DD_Cautious),D43*(1+DD_Cautious)-C43),0))</f>
        <v>467061.617648674</v>
      </c>
      <c r="E44" s="132" t="n">
        <f aca="false">IF(Need_1&lt;&gt;"","",IF(Withdrawal_Timing="Start of year",IF(D44&gt;=C44,1,0),IF(D44*(1+DD_Cautious)&gt;=C44,1,0)))</f>
        <v>1</v>
      </c>
      <c r="F44" s="133" t="n">
        <f aca="false">IF(Need_1&lt;&gt;"","",IF(G43=1,IF(Withdrawal_Timing="Start of year",(F43-C43)*(1+DD_Balanced),F43*(1+DD_Balanced)-C43),0))</f>
        <v>609038.085973132</v>
      </c>
      <c r="G44" s="132" t="n">
        <f aca="false">IF(Need_1&lt;&gt;"","",IF(Withdrawal_Timing="Start of year",IF(F44&gt;=C44,1,0),IF(F44*(1+DD_Balanced)&gt;=C44,1,0)))</f>
        <v>1</v>
      </c>
      <c r="H44" s="133" t="n">
        <f aca="false">IF(Need_1&lt;&gt;"","",IF(I43=1,IF(Withdrawal_Timing="Start of year",(H43-C43)*(1+DD_Growth),H43*(1+DD_Growth)-C43),0))</f>
        <v>783593.452646947</v>
      </c>
      <c r="I44" s="132" t="n">
        <f aca="false">IF(Need_1&lt;&gt;"","",IF(Withdrawal_Timing="Start of year",IF(H44&gt;=C44,1,0),IF(H44*(1+DD_Growth)&gt;=C44,1,0)))</f>
        <v>1</v>
      </c>
    </row>
    <row r="45" customFormat="false" ht="15" hidden="false" customHeight="true" outlineLevel="0" collapsed="false">
      <c r="B45" s="132" t="n">
        <v>13</v>
      </c>
      <c r="C45" s="133" t="n">
        <f aca="false">IF(Need_1&lt;&gt;"","",C44*(1+Inflation_Choice))</f>
        <v>25364.8358912509</v>
      </c>
      <c r="D45" s="133" t="n">
        <f aca="false">IF(Need_1&lt;&gt;"","",IF(E44=1,IF(Withdrawal_Timing="Start of year",(D44-C44)*(1+DD_Cautious),D44*(1+DD_Cautious)-C44),0))</f>
        <v>451038.014110397</v>
      </c>
      <c r="E45" s="132" t="n">
        <f aca="false">IF(Need_1&lt;&gt;"","",IF(Withdrawal_Timing="Start of year",IF(D45&gt;=C45,1,0),IF(D45*(1+DD_Cautious)&gt;=C45,1,0)))</f>
        <v>1</v>
      </c>
      <c r="F45" s="133" t="n">
        <f aca="false">IF(Need_1&lt;&gt;"","",IF(G44=1,IF(Withdrawal_Timing="Start of year",(F44-C44)*(1+DD_Balanced),F44*(1+DD_Balanced)-C44),0))</f>
        <v>607537.423797448</v>
      </c>
      <c r="G45" s="132" t="n">
        <f aca="false">IF(Need_1&lt;&gt;"","",IF(Withdrawal_Timing="Start of year",IF(F45&gt;=C45,1,0),IF(F45*(1+DD_Balanced)&gt;=C45,1,0)))</f>
        <v>1</v>
      </c>
      <c r="H45" s="133" t="n">
        <f aca="false">IF(Need_1&lt;&gt;"","",IF(I44=1,IF(Withdrawal_Timing="Start of year",(H44-C44)*(1+DD_Growth),H44*(1+DD_Growth)-C44),0))</f>
        <v>804249.524467797</v>
      </c>
      <c r="I45" s="132" t="n">
        <f aca="false">IF(Need_1&lt;&gt;"","",IF(Withdrawal_Timing="Start of year",IF(H45&gt;=C45,1,0),IF(H45*(1+DD_Growth)&gt;=C45,1,0)))</f>
        <v>1</v>
      </c>
    </row>
    <row r="46" customFormat="false" ht="15" hidden="false" customHeight="true" outlineLevel="0" collapsed="false">
      <c r="B46" s="132" t="n">
        <v>14</v>
      </c>
      <c r="C46" s="133" t="n">
        <f aca="false">IF(Need_1&lt;&gt;"","",C45*(1+Inflation_Choice))</f>
        <v>25872.1326090759</v>
      </c>
      <c r="D46" s="133" t="n">
        <f aca="false">IF(Need_1&lt;&gt;"","",IF(E45=1,IF(Withdrawal_Timing="Start of year",(D45-C45)*(1+DD_Cautious),D45*(1+DD_Cautious)-C45),0))</f>
        <v>434186.641783529</v>
      </c>
      <c r="E46" s="132" t="n">
        <f aca="false">IF(Need_1&lt;&gt;"","",IF(Withdrawal_Timing="Start of year",IF(D46&gt;=C46,1,0),IF(D46*(1+DD_Cautious)&gt;=C46,1,0)))</f>
        <v>1</v>
      </c>
      <c r="F46" s="133" t="n">
        <f aca="false">IF(Need_1&lt;&gt;"","",IF(G45=1,IF(Withdrawal_Timing="Start of year",(F45-C45)*(1+DD_Balanced),F45*(1+DD_Balanced)-C45),0))</f>
        <v>605459.491422445</v>
      </c>
      <c r="G46" s="132" t="n">
        <f aca="false">IF(Need_1&lt;&gt;"","",IF(Withdrawal_Timing="Start of year",IF(F46&gt;=C46,1,0),IF(F46*(1+DD_Balanced)&gt;=C46,1,0)))</f>
        <v>1</v>
      </c>
      <c r="H46" s="133" t="n">
        <f aca="false">IF(Need_1&lt;&gt;"","",IF(I45=1,IF(Withdrawal_Timing="Start of year",(H45-C45)*(1+DD_Growth),H45*(1+DD_Growth)-C45),0))</f>
        <v>825617.769891139</v>
      </c>
      <c r="I46" s="132" t="n">
        <f aca="false">IF(Need_1&lt;&gt;"","",IF(Withdrawal_Timing="Start of year",IF(H46&gt;=C46,1,0),IF(H46*(1+DD_Growth)&gt;=C46,1,0)))</f>
        <v>1</v>
      </c>
    </row>
    <row r="47" customFormat="false" ht="15" hidden="false" customHeight="true" outlineLevel="0" collapsed="false">
      <c r="B47" s="132" t="n">
        <v>15</v>
      </c>
      <c r="C47" s="133" t="n">
        <f aca="false">IF(Need_1&lt;&gt;"","",C46*(1+Inflation_Choice))</f>
        <v>26389.5752612574</v>
      </c>
      <c r="D47" s="133" t="n">
        <f aca="false">IF(Need_1&lt;&gt;"","",IF(E46=1,IF(Withdrawal_Timing="Start of year",(D46-C46)*(1+DD_Cautious),D46*(1+DD_Cautious)-C46),0))</f>
        <v>416480.799357942</v>
      </c>
      <c r="E47" s="132" t="n">
        <f aca="false">IF(Need_1&lt;&gt;"","",IF(Withdrawal_Timing="Start of year",IF(D47&gt;=C47,1,0),IF(D47*(1+DD_Cautious)&gt;=C47,1,0)))</f>
        <v>1</v>
      </c>
      <c r="F47" s="133" t="n">
        <f aca="false">IF(Need_1&lt;&gt;"","",IF(G46=1,IF(Withdrawal_Timing="Start of year",(F46-C46)*(1+DD_Balanced),F46*(1+DD_Balanced)-C46),0))</f>
        <v>602770.853165904</v>
      </c>
      <c r="G47" s="132" t="n">
        <f aca="false">IF(Need_1&lt;&gt;"","",IF(Withdrawal_Timing="Start of year",IF(F47&gt;=C47,1,0),IF(F47*(1+DD_Balanced)&gt;=C47,1,0)))</f>
        <v>1</v>
      </c>
      <c r="H47" s="133" t="n">
        <f aca="false">IF(Need_1&lt;&gt;"","",IF(I46=1,IF(Withdrawal_Timing="Start of year",(H46-C46)*(1+DD_Growth),H46*(1+DD_Growth)-C46),0))</f>
        <v>847730.375518987</v>
      </c>
      <c r="I47" s="132" t="n">
        <f aca="false">IF(Need_1&lt;&gt;"","",IF(Withdrawal_Timing="Start of year",IF(H47&gt;=C47,1,0),IF(H47*(1+DD_Growth)&gt;=C47,1,0)))</f>
        <v>1</v>
      </c>
    </row>
    <row r="48" customFormat="false" ht="15" hidden="false" customHeight="true" outlineLevel="0" collapsed="false">
      <c r="B48" s="132" t="n">
        <v>16</v>
      </c>
      <c r="C48" s="133" t="n">
        <f aca="false">IF(Need_1&lt;&gt;"","",C47*(1+Inflation_Choice))</f>
        <v>26917.3667664826</v>
      </c>
      <c r="D48" s="133" t="n">
        <f aca="false">IF(Need_1&lt;&gt;"","",IF(E47=1,IF(Withdrawal_Timing="Start of year",(D47-C47)*(1+DD_Cautious),D47*(1+DD_Cautious)-C47),0))</f>
        <v>397893.048578618</v>
      </c>
      <c r="E48" s="132" t="n">
        <f aca="false">IF(Need_1&lt;&gt;"","",IF(Withdrawal_Timing="Start of year",IF(D48&gt;=C48,1,0),IF(D48*(1+DD_Cautious)&gt;=C48,1,0)))</f>
        <v>1</v>
      </c>
      <c r="F48" s="133" t="n">
        <f aca="false">IF(Need_1&lt;&gt;"","",IF(G47=1,IF(Withdrawal_Timing="Start of year",(F47-C47)*(1+DD_Balanced),F47*(1+DD_Balanced)-C47),0))</f>
        <v>599436.529020832</v>
      </c>
      <c r="G48" s="132" t="n">
        <f aca="false">IF(Need_1&lt;&gt;"","",IF(Withdrawal_Timing="Start of year",IF(F48&gt;=C48,1,0),IF(F48*(1+DD_Balanced)&gt;=C48,1,0)))</f>
        <v>1</v>
      </c>
      <c r="H48" s="133" t="n">
        <f aca="false">IF(Need_1&lt;&gt;"","",IF(I47=1,IF(Withdrawal_Timing="Start of year",(H47-C47)*(1+DD_Growth),H47*(1+DD_Growth)-C47),0))</f>
        <v>870621.248273193</v>
      </c>
      <c r="I48" s="132" t="n">
        <f aca="false">IF(Need_1&lt;&gt;"","",IF(Withdrawal_Timing="Start of year",IF(H48&gt;=C48,1,0),IF(H48*(1+DD_Growth)&gt;=C48,1,0)))</f>
        <v>1</v>
      </c>
    </row>
    <row r="49" customFormat="false" ht="15" hidden="false" customHeight="true" outlineLevel="0" collapsed="false">
      <c r="B49" s="132" t="n">
        <v>17</v>
      </c>
      <c r="C49" s="133" t="n">
        <f aca="false">IF(Need_1&lt;&gt;"","",C48*(1+Inflation_Choice))</f>
        <v>27455.7141018122</v>
      </c>
      <c r="D49" s="133" t="n">
        <f aca="false">IF(Need_1&lt;&gt;"","",IF(E48=1,IF(Withdrawal_Timing="Start of year",(D48-C48)*(1+DD_Cautious),D48*(1+DD_Cautious)-C48),0))</f>
        <v>378395.195448378</v>
      </c>
      <c r="E49" s="132" t="n">
        <f aca="false">IF(Need_1&lt;&gt;"","",IF(Withdrawal_Timing="Start of year",IF(D49&gt;=C49,1,0),IF(D49*(1+DD_Cautious)&gt;=C49,1,0)))</f>
        <v>1</v>
      </c>
      <c r="F49" s="133" t="n">
        <f aca="false">IF(Need_1&lt;&gt;"","",IF(G48=1,IF(Withdrawal_Timing="Start of year",(F48-C48)*(1+DD_Balanced),F48*(1+DD_Balanced)-C48),0))</f>
        <v>595419.928744524</v>
      </c>
      <c r="G49" s="132" t="n">
        <f aca="false">IF(Need_1&lt;&gt;"","",IF(Withdrawal_Timing="Start of year",IF(F49&gt;=C49,1,0),IF(F49*(1+DD_Balanced)&gt;=C49,1,0)))</f>
        <v>1</v>
      </c>
      <c r="H49" s="133" t="n">
        <f aca="false">IF(Need_1&lt;&gt;"","",IF(I48=1,IF(Withdrawal_Timing="Start of year",(H48-C48)*(1+DD_Growth),H48*(1+DD_Growth)-C48),0))</f>
        <v>894326.114397113</v>
      </c>
      <c r="I49" s="132" t="n">
        <f aca="false">IF(Need_1&lt;&gt;"","",IF(Withdrawal_Timing="Start of year",IF(H49&gt;=C49,1,0),IF(H49*(1+DD_Growth)&gt;=C49,1,0)))</f>
        <v>1</v>
      </c>
    </row>
    <row r="50" customFormat="false" ht="15" hidden="false" customHeight="true" outlineLevel="0" collapsed="false">
      <c r="B50" s="132" t="n">
        <v>18</v>
      </c>
      <c r="C50" s="133" t="n">
        <f aca="false">IF(Need_1&lt;&gt;"","",C49*(1+Inflation_Choice))</f>
        <v>28004.8283838485</v>
      </c>
      <c r="D50" s="133" t="n">
        <f aca="false">IF(Need_1&lt;&gt;"","",IF(E49=1,IF(Withdrawal_Timing="Start of year",(D49-C49)*(1+DD_Cautious),D49*(1+DD_Cautious)-C49),0))</f>
        <v>357958.270973497</v>
      </c>
      <c r="E50" s="132" t="n">
        <f aca="false">IF(Need_1&lt;&gt;"","",IF(Withdrawal_Timing="Start of year",IF(D50&gt;=C50,1,0),IF(D50*(1+DD_Cautious)&gt;=C50,1,0)))</f>
        <v>1</v>
      </c>
      <c r="F50" s="133" t="n">
        <f aca="false">IF(Need_1&lt;&gt;"","",IF(G49=1,IF(Withdrawal_Timing="Start of year",(F49-C49)*(1+DD_Balanced),F49*(1+DD_Balanced)-C49),0))</f>
        <v>590682.78322842</v>
      </c>
      <c r="G50" s="132" t="n">
        <f aca="false">IF(Need_1&lt;&gt;"","",IF(Withdrawal_Timing="Start of year",IF(F50&gt;=C50,1,0),IF(F50*(1+DD_Balanced)&gt;=C50,1,0)))</f>
        <v>1</v>
      </c>
      <c r="H50" s="133" t="n">
        <f aca="false">IF(Need_1&lt;&gt;"","",IF(I49=1,IF(Withdrawal_Timing="Start of year",(H49-C49)*(1+DD_Growth),H49*(1+DD_Growth)-C49),0))</f>
        <v>918882.624313019</v>
      </c>
      <c r="I50" s="132" t="n">
        <f aca="false">IF(Need_1&lt;&gt;"","",IF(Withdrawal_Timing="Start of year",IF(H50&gt;=C50,1,0),IF(H50*(1+DD_Growth)&gt;=C50,1,0)))</f>
        <v>1</v>
      </c>
    </row>
    <row r="51" customFormat="false" ht="15" hidden="false" customHeight="true" outlineLevel="0" collapsed="false">
      <c r="B51" s="132" t="n">
        <v>19</v>
      </c>
      <c r="C51" s="133" t="n">
        <f aca="false">IF(Need_1&lt;&gt;"","",C50*(1+Inflation_Choice))</f>
        <v>28564.9249515255</v>
      </c>
      <c r="D51" s="133" t="n">
        <f aca="false">IF(Need_1&lt;&gt;"","",IF(E50=1,IF(Withdrawal_Timing="Start of year",(D50-C50)*(1+DD_Cautious),D50*(1+DD_Cautious)-C50),0))</f>
        <v>336552.511441442</v>
      </c>
      <c r="E51" s="132" t="n">
        <f aca="false">IF(Need_1&lt;&gt;"","",IF(Withdrawal_Timing="Start of year",IF(D51&gt;=C51,1,0),IF(D51*(1+DD_Cautious)&gt;=C51,1,0)))</f>
        <v>1</v>
      </c>
      <c r="F51" s="133" t="n">
        <f aca="false">IF(Need_1&lt;&gt;"","",IF(G50=1,IF(Withdrawal_Timing="Start of year",(F50-C50)*(1+DD_Balanced),F50*(1+DD_Balanced)-C50),0))</f>
        <v>585185.073038354</v>
      </c>
      <c r="G51" s="132" t="n">
        <f aca="false">IF(Need_1&lt;&gt;"","",IF(Withdrawal_Timing="Start of year",IF(F51&gt;=C51,1,0),IF(F51*(1+DD_Balanced)&gt;=C51,1,0)))</f>
        <v>1</v>
      </c>
      <c r="H51" s="133" t="n">
        <f aca="false">IF(Need_1&lt;&gt;"","",IF(I50=1,IF(Withdrawal_Timing="Start of year",(H50-C50)*(1+DD_Growth),H50*(1+DD_Growth)-C50),0))</f>
        <v>944330.463684921</v>
      </c>
      <c r="I51" s="132" t="n">
        <f aca="false">IF(Need_1&lt;&gt;"","",IF(Withdrawal_Timing="Start of year",IF(H51&gt;=C51,1,0),IF(H51*(1+DD_Growth)&gt;=C51,1,0)))</f>
        <v>1</v>
      </c>
    </row>
    <row r="52" customFormat="false" ht="15" hidden="false" customHeight="true" outlineLevel="0" collapsed="false">
      <c r="B52" s="132" t="n">
        <v>20</v>
      </c>
      <c r="C52" s="133" t="n">
        <f aca="false">IF(Need_1&lt;&gt;"","",C51*(1+Inflation_Choice))</f>
        <v>29136.223450556</v>
      </c>
      <c r="D52" s="133" t="n">
        <f aca="false">IF(Need_1&lt;&gt;"","",IF(E51=1,IF(Withdrawal_Timing="Start of year",(D51-C51)*(1+DD_Cautious),D51*(1+DD_Cautious)-C51),0))</f>
        <v>314147.338219714</v>
      </c>
      <c r="E52" s="132" t="n">
        <f aca="false">IF(Need_1&lt;&gt;"","",IF(Withdrawal_Timing="Start of year",IF(D52&gt;=C52,1,0),IF(D52*(1+DD_Cautious)&gt;=C52,1,0)))</f>
        <v>1</v>
      </c>
      <c r="F52" s="133" t="n">
        <f aca="false">IF(Need_1&lt;&gt;"","",IF(G51=1,IF(Withdrawal_Timing="Start of year",(F51-C51)*(1+DD_Balanced),F51*(1+DD_Balanced)-C51),0))</f>
        <v>578884.954010302</v>
      </c>
      <c r="G52" s="132" t="n">
        <f aca="false">IF(Need_1&lt;&gt;"","",IF(Withdrawal_Timing="Start of year",IF(F52&gt;=C52,1,0),IF(F52*(1+DD_Balanced)&gt;=C52,1,0)))</f>
        <v>1</v>
      </c>
      <c r="H52" s="133" t="n">
        <f aca="false">IF(Need_1&lt;&gt;"","",IF(I51=1,IF(Withdrawal_Timing="Start of year",(H51-C51)*(1+DD_Growth),H51*(1+DD_Growth)-C51),0))</f>
        <v>970711.471057399</v>
      </c>
      <c r="I52" s="132" t="n">
        <f aca="false">IF(Need_1&lt;&gt;"","",IF(Withdrawal_Timing="Start of year",IF(H52&gt;=C52,1,0),IF(H52*(1+DD_Growth)&gt;=C52,1,0)))</f>
        <v>1</v>
      </c>
    </row>
    <row r="53" customFormat="false" ht="15" hidden="false" customHeight="true" outlineLevel="0" collapsed="false">
      <c r="B53" s="132" t="n">
        <v>21</v>
      </c>
      <c r="C53" s="133" t="n">
        <f aca="false">IF(Need_1&lt;&gt;"","",C52*(1+Inflation_Choice))</f>
        <v>29718.9479195671</v>
      </c>
      <c r="D53" s="133" t="n">
        <f aca="false">IF(Need_1&lt;&gt;"","",IF(E52=1,IF(Withdrawal_Timing="Start of year",(D52-C52)*(1+DD_Cautious),D52*(1+DD_Cautious)-C52),0))</f>
        <v>290711.337064542</v>
      </c>
      <c r="E53" s="132" t="n">
        <f aca="false">IF(Need_1&lt;&gt;"","",IF(Withdrawal_Timing="Start of year",IF(D53&gt;=C53,1,0),IF(D53*(1+DD_Cautious)&gt;=C53,1,0)))</f>
        <v>1</v>
      </c>
      <c r="F53" s="133" t="n">
        <f aca="false">IF(Need_1&lt;&gt;"","",IF(G52=1,IF(Withdrawal_Timing="Start of year",(F52-C52)*(1+DD_Balanced),F52*(1+DD_Balanced)-C52),0))</f>
        <v>571738.679782136</v>
      </c>
      <c r="G53" s="132" t="n">
        <f aca="false">IF(Need_1&lt;&gt;"","",IF(Withdrawal_Timing="Start of year",IF(F53&gt;=C53,1,0),IF(F53*(1+DD_Balanced)&gt;=C53,1,0)))</f>
        <v>1</v>
      </c>
      <c r="H53" s="133" t="n">
        <f aca="false">IF(Need_1&lt;&gt;"","",IF(I52=1,IF(Withdrawal_Timing="Start of year",(H52-C52)*(1+DD_Growth),H52*(1+DD_Growth)-C52),0))</f>
        <v>998069.762463254</v>
      </c>
      <c r="I53" s="132" t="n">
        <f aca="false">IF(Need_1&lt;&gt;"","",IF(Withdrawal_Timing="Start of year",IF(H53&gt;=C53,1,0),IF(H53*(1+DD_Growth)&gt;=C53,1,0)))</f>
        <v>1</v>
      </c>
    </row>
    <row r="54" customFormat="false" ht="15" hidden="false" customHeight="true" outlineLevel="0" collapsed="false">
      <c r="B54" s="132" t="n">
        <v>22</v>
      </c>
      <c r="C54" s="133" t="n">
        <f aca="false">IF(Need_1&lt;&gt;"","",C53*(1+Inflation_Choice))</f>
        <v>30313.3268779584</v>
      </c>
      <c r="D54" s="133" t="n">
        <f aca="false">IF(Need_1&lt;&gt;"","",IF(E53=1,IF(Withdrawal_Timing="Start of year",(D53-C53)*(1+DD_Cautious),D53*(1+DD_Cautious)-C53),0))</f>
        <v>266212.236927874</v>
      </c>
      <c r="E54" s="132" t="n">
        <f aca="false">IF(Need_1&lt;&gt;"","",IF(Withdrawal_Timing="Start of year",IF(D54&gt;=C54,1,0),IF(D54*(1+DD_Cautious)&gt;=C54,1,0)))</f>
        <v>1</v>
      </c>
      <c r="F54" s="133" t="n">
        <f aca="false">IF(Need_1&lt;&gt;"","",IF(G53=1,IF(Withdrawal_Timing="Start of year",(F53-C53)*(1+DD_Balanced),F53*(1+DD_Balanced)-C53),0))</f>
        <v>563700.521137072</v>
      </c>
      <c r="G54" s="132" t="n">
        <f aca="false">IF(Need_1&lt;&gt;"","",IF(Withdrawal_Timing="Start of year",IF(F54&gt;=C54,1,0),IF(F54*(1+DD_Balanced)&gt;=C54,1,0)))</f>
        <v>1</v>
      </c>
      <c r="H54" s="133" t="n">
        <f aca="false">IF(Need_1&lt;&gt;"","",IF(I53=1,IF(Withdrawal_Timing="Start of year",(H53-C53)*(1+DD_Growth),H53*(1+DD_Growth)-C53),0))</f>
        <v>1026451.86341631</v>
      </c>
      <c r="I54" s="132" t="n">
        <f aca="false">IF(Need_1&lt;&gt;"","",IF(Withdrawal_Timing="Start of year",IF(H54&gt;=C54,1,0),IF(H54*(1+DD_Growth)&gt;=C54,1,0)))</f>
        <v>1</v>
      </c>
    </row>
    <row r="55" customFormat="false" ht="15" hidden="false" customHeight="true" outlineLevel="0" collapsed="false">
      <c r="B55" s="132" t="n">
        <v>23</v>
      </c>
      <c r="C55" s="133" t="n">
        <f aca="false">IF(Need_1&lt;&gt;"","",C54*(1+Inflation_Choice))</f>
        <v>30919.5934155176</v>
      </c>
      <c r="D55" s="133" t="n">
        <f aca="false">IF(Need_1&lt;&gt;"","",IF(E54=1,IF(Withdrawal_Timing="Start of year",(D54-C54)*(1+DD_Cautious),D54*(1+DD_Cautious)-C54),0))</f>
        <v>240616.888250914</v>
      </c>
      <c r="E55" s="132" t="n">
        <f aca="false">IF(Need_1&lt;&gt;"","",IF(Withdrawal_Timing="Start of year",IF(D55&gt;=C55,1,0),IF(D55*(1+DD_Cautious)&gt;=C55,1,0)))</f>
        <v>1</v>
      </c>
      <c r="F55" s="133" t="n">
        <f aca="false">IF(Need_1&lt;&gt;"","",IF(G54=1,IF(Withdrawal_Timing="Start of year",(F54-C54)*(1+DD_Balanced),F54*(1+DD_Balanced)-C54),0))</f>
        <v>554722.682029478</v>
      </c>
      <c r="G55" s="132" t="n">
        <f aca="false">IF(Need_1&lt;&gt;"","",IF(Withdrawal_Timing="Start of year",IF(F55&gt;=C55,1,0),IF(F55*(1+DD_Balanced)&gt;=C55,1,0)))</f>
        <v>1</v>
      </c>
      <c r="H55" s="133" t="n">
        <f aca="false">IF(Need_1&lt;&gt;"","",IF(I54=1,IF(Withdrawal_Timing="Start of year",(H54-C54)*(1+DD_Growth),H54*(1+DD_Growth)-C54),0))</f>
        <v>1055906.84873065</v>
      </c>
      <c r="I55" s="132" t="n">
        <f aca="false">IF(Need_1&lt;&gt;"","",IF(Withdrawal_Timing="Start of year",IF(H55&gt;=C55,1,0),IF(H55*(1+DD_Growth)&gt;=C55,1,0)))</f>
        <v>1</v>
      </c>
    </row>
    <row r="56" customFormat="false" ht="15" hidden="false" customHeight="true" outlineLevel="0" collapsed="false">
      <c r="B56" s="132" t="n">
        <v>24</v>
      </c>
      <c r="C56" s="133" t="n">
        <f aca="false">IF(Need_1&lt;&gt;"","",C55*(1+Inflation_Choice))</f>
        <v>31537.9852838279</v>
      </c>
      <c r="D56" s="133" t="n">
        <f aca="false">IF(Need_1&lt;&gt;"","",IF(E55=1,IF(Withdrawal_Timing="Start of year",(D55-C55)*(1+DD_Cautious),D55*(1+DD_Cautious)-C55),0))</f>
        <v>213891.240732104</v>
      </c>
      <c r="E56" s="132" t="n">
        <f aca="false">IF(Need_1&lt;&gt;"","",IF(Withdrawal_Timing="Start of year",IF(D56&gt;=C56,1,0),IF(D56*(1+DD_Cautious)&gt;=C56,1,0)))</f>
        <v>1</v>
      </c>
      <c r="F56" s="133" t="n">
        <f aca="false">IF(Need_1&lt;&gt;"","",IF(G55=1,IF(Withdrawal_Timing="Start of year",(F55-C55)*(1+DD_Balanced),F55*(1+DD_Balanced)-C55),0))</f>
        <v>544755.212158519</v>
      </c>
      <c r="G56" s="132" t="n">
        <f aca="false">IF(Need_1&lt;&gt;"","",IF(Withdrawal_Timing="Start of year",IF(F56&gt;=C56,1,0),IF(F56*(1+DD_Balanced)&gt;=C56,1,0)))</f>
        <v>1</v>
      </c>
      <c r="H56" s="133" t="n">
        <f aca="false">IF(Need_1&lt;&gt;"","",IF(I55=1,IF(Withdrawal_Timing="Start of year",(H55-C55)*(1+DD_Growth),H55*(1+DD_Growth)-C55),0))</f>
        <v>1086486.49063404</v>
      </c>
      <c r="I56" s="132" t="n">
        <f aca="false">IF(Need_1&lt;&gt;"","",IF(Withdrawal_Timing="Start of year",IF(H56&gt;=C56,1,0),IF(H56*(1+DD_Growth)&gt;=C56,1,0)))</f>
        <v>1</v>
      </c>
    </row>
    <row r="57" customFormat="false" ht="15" hidden="false" customHeight="true" outlineLevel="0" collapsed="false">
      <c r="B57" s="132" t="n">
        <v>25</v>
      </c>
      <c r="C57" s="133" t="n">
        <f aca="false">IF(Need_1&lt;&gt;"","",C56*(1+Inflation_Choice))</f>
        <v>32168.7449895045</v>
      </c>
      <c r="D57" s="133" t="n">
        <f aca="false">IF(Need_1&lt;&gt;"","",IF(E56=1,IF(Withdrawal_Timing="Start of year",(D56-C56)*(1+DD_Cautious),D56*(1+DD_Cautious)-C56),0))</f>
        <v>186000.320557242</v>
      </c>
      <c r="E57" s="132" t="n">
        <f aca="false">IF(Need_1&lt;&gt;"","",IF(Withdrawal_Timing="Start of year",IF(D57&gt;=C57,1,0),IF(D57*(1+DD_Cautious)&gt;=C57,1,0)))</f>
        <v>1</v>
      </c>
      <c r="F57" s="133" t="n">
        <f aca="false">IF(Need_1&lt;&gt;"","",IF(G56=1,IF(Withdrawal_Timing="Start of year",(F56-C56)*(1+DD_Balanced),F56*(1+DD_Balanced)-C56),0))</f>
        <v>533745.915949678</v>
      </c>
      <c r="G57" s="132" t="n">
        <f aca="false">IF(Need_1&lt;&gt;"","",IF(Withdrawal_Timing="Start of year",IF(F57&gt;=C57,1,0),IF(F57*(1+DD_Balanced)&gt;=C57,1,0)))</f>
        <v>1</v>
      </c>
      <c r="H57" s="133" t="n">
        <f aca="false">IF(Need_1&lt;&gt;"","",IF(I56=1,IF(Withdrawal_Timing="Start of year",(H56-C56)*(1+DD_Growth),H56*(1+DD_Growth)-C56),0))</f>
        <v>1118245.41567123</v>
      </c>
      <c r="I57" s="132" t="n">
        <f aca="false">IF(Need_1&lt;&gt;"","",IF(Withdrawal_Timing="Start of year",IF(H57&gt;=C57,1,0),IF(H57*(1+DD_Growth)&gt;=C57,1,0)))</f>
        <v>1</v>
      </c>
    </row>
    <row r="58" customFormat="false" ht="15" hidden="false" customHeight="true" outlineLevel="0" collapsed="false">
      <c r="B58" s="132" t="n">
        <v>26</v>
      </c>
      <c r="C58" s="133" t="n">
        <f aca="false">IF(Need_1&lt;&gt;"","",C57*(1+Inflation_Choice))</f>
        <v>32812.1198892946</v>
      </c>
      <c r="D58" s="133" t="n">
        <f aca="false">IF(Need_1&lt;&gt;"","",IF(E57=1,IF(Withdrawal_Timing="Start of year",(D57-C57)*(1+DD_Cautious),D57*(1+DD_Cautious)-C57),0))</f>
        <v>156908.207079092</v>
      </c>
      <c r="E58" s="132" t="n">
        <f aca="false">IF(Need_1&lt;&gt;"","",IF(Withdrawal_Timing="Start of year",IF(D58&gt;=C58,1,0),IF(D58*(1+DD_Cautious)&gt;=C58,1,0)))</f>
        <v>1</v>
      </c>
      <c r="F58" s="133" t="n">
        <f aca="false">IF(Need_1&lt;&gt;"","",IF(G57=1,IF(Withdrawal_Timing="Start of year",(F57-C57)*(1+DD_Balanced),F57*(1+DD_Balanced)-C57),0))</f>
        <v>521640.257798581</v>
      </c>
      <c r="G58" s="132" t="n">
        <f aca="false">IF(Need_1&lt;&gt;"","",IF(Withdrawal_Timing="Start of year",IF(F58&gt;=C58,1,0),IF(F58*(1+DD_Balanced)&gt;=C58,1,0)))</f>
        <v>1</v>
      </c>
      <c r="H58" s="133" t="n">
        <f aca="false">IF(Need_1&lt;&gt;"","",IF(I57=1,IF(Withdrawal_Timing="Start of year",(H57-C57)*(1+DD_Growth),H57*(1+DD_Growth)-C57),0))</f>
        <v>1151241.27092263</v>
      </c>
      <c r="I58" s="132" t="n">
        <f aca="false">IF(Need_1&lt;&gt;"","",IF(Withdrawal_Timing="Start of year",IF(H58&gt;=C58,1,0),IF(H58*(1+DD_Growth)&gt;=C58,1,0)))</f>
        <v>1</v>
      </c>
    </row>
    <row r="59" customFormat="false" ht="15" hidden="false" customHeight="true" outlineLevel="0" collapsed="false">
      <c r="B59" s="132" t="n">
        <v>27</v>
      </c>
      <c r="C59" s="133" t="n">
        <f aca="false">IF(Need_1&lt;&gt;"","",C58*(1+Inflation_Choice))</f>
        <v>33468.3622870805</v>
      </c>
      <c r="D59" s="133" t="n">
        <f aca="false">IF(Need_1&lt;&gt;"","",IF(E58=1,IF(Withdrawal_Timing="Start of year",(D58-C58)*(1+DD_Cautious),D58*(1+DD_Cautious)-C58),0))</f>
        <v>126578.008933593</v>
      </c>
      <c r="E59" s="132" t="n">
        <f aca="false">IF(Need_1&lt;&gt;"","",IF(Withdrawal_Timing="Start of year",IF(D59&gt;=C59,1,0),IF(D59*(1+DD_Cautious)&gt;=C59,1,0)))</f>
        <v>1</v>
      </c>
      <c r="F59" s="133" t="n">
        <f aca="false">IF(Need_1&lt;&gt;"","",IF(G58=1,IF(Withdrawal_Timing="Start of year",(F58-C58)*(1+DD_Balanced),F58*(1+DD_Balanced)-C58),0))</f>
        <v>508381.263425658</v>
      </c>
      <c r="G59" s="132" t="n">
        <f aca="false">IF(Need_1&lt;&gt;"","",IF(Withdrawal_Timing="Start of year",IF(F59&gt;=C59,1,0),IF(F59*(1+DD_Balanced)&gt;=C59,1,0)))</f>
        <v>1</v>
      </c>
      <c r="H59" s="133" t="n">
        <f aca="false">IF(Need_1&lt;&gt;"","",IF(I58=1,IF(Withdrawal_Timing="Start of year",(H58-C58)*(1+DD_Growth),H58*(1+DD_Growth)-C58),0))</f>
        <v>1185534.90009533</v>
      </c>
      <c r="I59" s="132" t="n">
        <f aca="false">IF(Need_1&lt;&gt;"","",IF(Withdrawal_Timing="Start of year",IF(H59&gt;=C59,1,0),IF(H59*(1+DD_Growth)&gt;=C59,1,0)))</f>
        <v>1</v>
      </c>
    </row>
    <row r="60" customFormat="false" ht="15" hidden="false" customHeight="true" outlineLevel="0" collapsed="false">
      <c r="B60" s="132" t="n">
        <v>28</v>
      </c>
      <c r="C60" s="133" t="n">
        <f aca="false">IF(Need_1&lt;&gt;"","",C59*(1+Inflation_Choice))</f>
        <v>34137.7295328221</v>
      </c>
      <c r="D60" s="133" t="n">
        <f aca="false">IF(Need_1&lt;&gt;"","",IF(E59=1,IF(Withdrawal_Timing="Start of year",(D59-C59)*(1+DD_Cautious),D59*(1+DD_Cautious)-C59),0))</f>
        <v>94971.8395794432</v>
      </c>
      <c r="E60" s="132" t="n">
        <f aca="false">IF(Need_1&lt;&gt;"","",IF(Withdrawal_Timing="Start of year",IF(D60&gt;=C60,1,0),IF(D60*(1+DD_Cautious)&gt;=C60,1,0)))</f>
        <v>1</v>
      </c>
      <c r="F60" s="133" t="n">
        <f aca="false">IF(Need_1&lt;&gt;"","",IF(G59=1,IF(Withdrawal_Timing="Start of year",(F59-C59)*(1+DD_Balanced),F59*(1+DD_Balanced)-C59),0))</f>
        <v>493909.41718412</v>
      </c>
      <c r="G60" s="132" t="n">
        <f aca="false">IF(Need_1&lt;&gt;"","",IF(Withdrawal_Timing="Start of year",IF(F60&gt;=C60,1,0),IF(F60*(1+DD_Balanced)&gt;=C60,1,0)))</f>
        <v>1</v>
      </c>
      <c r="H60" s="133" t="n">
        <f aca="false">IF(Need_1&lt;&gt;"","",IF(I59=1,IF(Withdrawal_Timing="Start of year",(H59-C59)*(1+DD_Growth),H59*(1+DD_Growth)-C59),0))</f>
        <v>1221190.53007675</v>
      </c>
      <c r="I60" s="132" t="n">
        <f aca="false">IF(Need_1&lt;&gt;"","",IF(Withdrawal_Timing="Start of year",IF(H60&gt;=C60,1,0),IF(H60*(1+DD_Growth)&gt;=C60,1,0)))</f>
        <v>1</v>
      </c>
    </row>
    <row r="61" customFormat="false" ht="15" hidden="false" customHeight="true" outlineLevel="0" collapsed="false">
      <c r="B61" s="132" t="n">
        <v>29</v>
      </c>
      <c r="C61" s="133" t="n">
        <f aca="false">IF(Need_1&lt;&gt;"","",C60*(1+Inflation_Choice))</f>
        <v>34820.4841234785</v>
      </c>
      <c r="D61" s="133" t="n">
        <f aca="false">IF(Need_1&lt;&gt;"","",IF(E60=1,IF(Withdrawal_Timing="Start of year",(D60-C60)*(1+DD_Cautious),D60*(1+DD_Cautious)-C60),0))</f>
        <v>62050.7922475535</v>
      </c>
      <c r="E61" s="132" t="n">
        <f aca="false">IF(Need_1&lt;&gt;"","",IF(Withdrawal_Timing="Start of year",IF(D61&gt;=C61,1,0),IF(D61*(1+DD_Cautious)&gt;=C61,1,0)))</f>
        <v>1</v>
      </c>
      <c r="F61" s="133" t="n">
        <f aca="false">IF(Need_1&lt;&gt;"","",IF(G60=1,IF(Withdrawal_Timing="Start of year",(F60-C60)*(1+DD_Balanced),F60*(1+DD_Balanced)-C60),0))</f>
        <v>478162.55515735</v>
      </c>
      <c r="G61" s="132" t="n">
        <f aca="false">IF(Need_1&lt;&gt;"","",IF(Withdrawal_Timing="Start of year",IF(F61&gt;=C61,1,0),IF(F61*(1+DD_Balanced)&gt;=C61,1,0)))</f>
        <v>1</v>
      </c>
      <c r="H61" s="133" t="n">
        <f aca="false">IF(Need_1&lt;&gt;"","",IF(I60=1,IF(Withdrawal_Timing="Start of year",(H60-C60)*(1+DD_Growth),H60*(1+DD_Growth)-C60),0))</f>
        <v>1258275.96857656</v>
      </c>
      <c r="I61" s="132" t="n">
        <f aca="false">IF(Need_1&lt;&gt;"","",IF(Withdrawal_Timing="Start of year",IF(H61&gt;=C61,1,0),IF(H61*(1+DD_Growth)&gt;=C61,1,0)))</f>
        <v>1</v>
      </c>
    </row>
    <row r="62" customFormat="false" ht="15" hidden="false" customHeight="true" outlineLevel="0" collapsed="false">
      <c r="B62" s="132" t="n">
        <v>30</v>
      </c>
      <c r="C62" s="133" t="n">
        <f aca="false">IF(Need_1&lt;&gt;"","",C61*(1+Inflation_Choice))</f>
        <v>35516.8938059481</v>
      </c>
      <c r="D62" s="133" t="n">
        <f aca="false">IF(Need_1&lt;&gt;"","",IF(E61=1,IF(Withdrawal_Timing="Start of year",(D61-C61)*(1+DD_Cautious),D61*(1+DD_Cautious)-C61),0))</f>
        <v>27774.9142865565</v>
      </c>
      <c r="E62" s="132" t="n">
        <f aca="false">IF(Need_1&lt;&gt;"","",IF(Withdrawal_Timing="Start of year",IF(D62&gt;=C62,1,0),IF(D62*(1+DD_Cautious)&gt;=C62,1,0)))</f>
        <v>0</v>
      </c>
      <c r="F62" s="133" t="n">
        <f aca="false">IF(Need_1&lt;&gt;"","",IF(G61=1,IF(Withdrawal_Timing="Start of year",(F61-C61)*(1+DD_Balanced),F61*(1+DD_Balanced)-C61),0))</f>
        <v>461075.753875227</v>
      </c>
      <c r="G62" s="132" t="n">
        <f aca="false">IF(Need_1&lt;&gt;"","",IF(Withdrawal_Timing="Start of year",IF(F62&gt;=C62,1,0),IF(F62*(1+DD_Balanced)&gt;=C62,1,0)))</f>
        <v>1</v>
      </c>
      <c r="H62" s="133" t="n">
        <f aca="false">IF(Need_1&lt;&gt;"","",IF(I61=1,IF(Withdrawal_Timing="Start of year",(H61-C61)*(1+DD_Growth),H61*(1+DD_Growth)-C61),0))</f>
        <v>1296862.81352026</v>
      </c>
      <c r="I62" s="132" t="n">
        <f aca="false">IF(Need_1&lt;&gt;"","",IF(Withdrawal_Timing="Start of year",IF(H62&gt;=C62,1,0),IF(H62*(1+DD_Growth)&gt;=C62,1,0)))</f>
        <v>1</v>
      </c>
    </row>
    <row r="63" customFormat="false" ht="15" hidden="false" customHeight="true" outlineLevel="0" collapsed="false">
      <c r="B63" s="132" t="n">
        <v>31</v>
      </c>
      <c r="C63" s="133" t="n">
        <f aca="false">IF(Need_1&lt;&gt;"","",C62*(1+Inflation_Choice))</f>
        <v>36227.2316820671</v>
      </c>
      <c r="D63" s="133" t="n">
        <f aca="false">IF(Need_1&lt;&gt;"","",IF(E62=1,IF(Withdrawal_Timing="Start of year",(D62-C62)*(1+DD_Cautious),D62*(1+DD_Cautious)-C62),0))</f>
        <v>0</v>
      </c>
      <c r="E63" s="132" t="n">
        <f aca="false">IF(Need_1&lt;&gt;"","",IF(Withdrawal_Timing="Start of year",IF(D63&gt;=C63,1,0),IF(D63*(1+DD_Cautious)&gt;=C63,1,0)))</f>
        <v>0</v>
      </c>
      <c r="F63" s="133" t="n">
        <f aca="false">IF(Need_1&lt;&gt;"","",IF(G62=1,IF(Withdrawal_Timing="Start of year",(F62-C62)*(1+DD_Balanced),F62*(1+DD_Balanced)-C62),0))</f>
        <v>442581.21447205</v>
      </c>
      <c r="G63" s="132" t="n">
        <f aca="false">IF(Need_1&lt;&gt;"","",IF(Withdrawal_Timing="Start of year",IF(F63&gt;=C63,1,0),IF(F63*(1+DD_Balanced)&gt;=C63,1,0)))</f>
        <v>1</v>
      </c>
      <c r="H63" s="133" t="n">
        <f aca="false">IF(Need_1&lt;&gt;"","",IF(I62=1,IF(Withdrawal_Timing="Start of year",(H62-C62)*(1+DD_Growth),H62*(1+DD_Growth)-C62),0))</f>
        <v>1337026.67489718</v>
      </c>
      <c r="I63" s="132" t="n">
        <f aca="false">IF(Need_1&lt;&gt;"","",IF(Withdrawal_Timing="Start of year",IF(H63&gt;=C63,1,0),IF(H63*(1+DD_Growth)&gt;=C63,1,0)))</f>
        <v>1</v>
      </c>
    </row>
    <row r="64" customFormat="false" ht="15" hidden="false" customHeight="true" outlineLevel="0" collapsed="false">
      <c r="B64" s="132" t="n">
        <v>32</v>
      </c>
      <c r="C64" s="133" t="n">
        <f aca="false">IF(Need_1&lt;&gt;"","",C63*(1+Inflation_Choice))</f>
        <v>36951.7763157084</v>
      </c>
      <c r="D64" s="133" t="n">
        <f aca="false">IF(Need_1&lt;&gt;"","",IF(E63=1,IF(Withdrawal_Timing="Start of year",(D63-C63)*(1+DD_Cautious),D63*(1+DD_Cautious)-C63),0))</f>
        <v>0</v>
      </c>
      <c r="E64" s="132" t="n">
        <f aca="false">IF(Need_1&lt;&gt;"","",IF(Withdrawal_Timing="Start of year",IF(D64&gt;=C64,1,0),IF(D64*(1+DD_Cautious)&gt;=C64,1,0)))</f>
        <v>0</v>
      </c>
      <c r="F64" s="133" t="n">
        <f aca="false">IF(Need_1&lt;&gt;"","",IF(G63=1,IF(Withdrawal_Timing="Start of year",(F63-C63)*(1+DD_Balanced),F63*(1+DD_Balanced)-C63),0))</f>
        <v>422608.142101582</v>
      </c>
      <c r="G64" s="132" t="n">
        <f aca="false">IF(Need_1&lt;&gt;"","",IF(Withdrawal_Timing="Start of year",IF(F64&gt;=C64,1,0),IF(F64*(1+DD_Balanced)&gt;=C64,1,0)))</f>
        <v>1</v>
      </c>
      <c r="H64" s="133" t="n">
        <f aca="false">IF(Need_1&lt;&gt;"","",IF(I63=1,IF(Withdrawal_Timing="Start of year",(H63-C63)*(1+DD_Growth),H63*(1+DD_Growth)-C63),0))</f>
        <v>1378847.40980802</v>
      </c>
      <c r="I64" s="132" t="n">
        <f aca="false">IF(Need_1&lt;&gt;"","",IF(Withdrawal_Timing="Start of year",IF(H64&gt;=C64,1,0),IF(H64*(1+DD_Growth)&gt;=C64,1,0)))</f>
        <v>1</v>
      </c>
    </row>
    <row r="65" customFormat="false" ht="15" hidden="false" customHeight="true" outlineLevel="0" collapsed="false">
      <c r="B65" s="132" t="n">
        <v>33</v>
      </c>
      <c r="C65" s="133" t="n">
        <f aca="false">IF(Need_1&lt;&gt;"","",C64*(1+Inflation_Choice))</f>
        <v>37690.8118420226</v>
      </c>
      <c r="D65" s="133" t="n">
        <f aca="false">IF(Need_1&lt;&gt;"","",IF(E64=1,IF(Withdrawal_Timing="Start of year",(D64-C64)*(1+DD_Cautious),D64*(1+DD_Cautious)-C64),0))</f>
        <v>0</v>
      </c>
      <c r="E65" s="132" t="n">
        <f aca="false">IF(Need_1&lt;&gt;"","",IF(Withdrawal_Timing="Start of year",IF(D65&gt;=C65,1,0),IF(D65*(1+DD_Cautious)&gt;=C65,1,0)))</f>
        <v>0</v>
      </c>
      <c r="F65" s="133" t="n">
        <f aca="false">IF(Need_1&lt;&gt;"","",IF(G64=1,IF(Withdrawal_Timing="Start of year",(F64-C64)*(1+DD_Balanced),F64*(1+DD_Balanced)-C64),0))</f>
        <v>401082.620417308</v>
      </c>
      <c r="G65" s="132" t="n">
        <f aca="false">IF(Need_1&lt;&gt;"","",IF(Withdrawal_Timing="Start of year",IF(F65&gt;=C65,1,0),IF(F65*(1+DD_Balanced)&gt;=C65,1,0)))</f>
        <v>1</v>
      </c>
      <c r="H65" s="133" t="n">
        <f aca="false">IF(Need_1&lt;&gt;"","",IF(I64=1,IF(Withdrawal_Timing="Start of year",(H64-C64)*(1+DD_Growth),H64*(1+DD_Growth)-C64),0))</f>
        <v>1422409.37150185</v>
      </c>
      <c r="I65" s="132" t="n">
        <f aca="false">IF(Need_1&lt;&gt;"","",IF(Withdrawal_Timing="Start of year",IF(H65&gt;=C65,1,0),IF(H65*(1+DD_Growth)&gt;=C65,1,0)))</f>
        <v>1</v>
      </c>
    </row>
    <row r="66" customFormat="false" ht="15" hidden="false" customHeight="true" outlineLevel="0" collapsed="false">
      <c r="B66" s="132" t="n">
        <v>34</v>
      </c>
      <c r="C66" s="133" t="n">
        <f aca="false">IF(Need_1&lt;&gt;"","",C65*(1+Inflation_Choice))</f>
        <v>38444.628078863</v>
      </c>
      <c r="D66" s="133" t="n">
        <f aca="false">IF(Need_1&lt;&gt;"","",IF(E65=1,IF(Withdrawal_Timing="Start of year",(D65-C65)*(1+DD_Cautious),D65*(1+DD_Cautious)-C65),0))</f>
        <v>0</v>
      </c>
      <c r="E66" s="132" t="n">
        <f aca="false">IF(Need_1&lt;&gt;"","",IF(Withdrawal_Timing="Start of year",IF(D66&gt;=C66,1,0),IF(D66*(1+DD_Cautious)&gt;=C66,1,0)))</f>
        <v>0</v>
      </c>
      <c r="F66" s="133" t="n">
        <f aca="false">IF(Need_1&lt;&gt;"","",IF(G65=1,IF(Withdrawal_Timing="Start of year",(F65-C65)*(1+DD_Balanced),F65*(1+DD_Balanced)-C65),0))</f>
        <v>377927.480918297</v>
      </c>
      <c r="G66" s="132" t="n">
        <f aca="false">IF(Need_1&lt;&gt;"","",IF(Withdrawal_Timing="Start of year",IF(F66&gt;=C66,1,0),IF(F66*(1+DD_Balanced)&gt;=C66,1,0)))</f>
        <v>1</v>
      </c>
      <c r="H66" s="133" t="n">
        <f aca="false">IF(Need_1&lt;&gt;"","",IF(I65=1,IF(Withdrawal_Timing="Start of year",(H65-C65)*(1+DD_Growth),H65*(1+DD_Growth)-C65),0))</f>
        <v>1467801.67323941</v>
      </c>
      <c r="I66" s="132" t="n">
        <f aca="false">IF(Need_1&lt;&gt;"","",IF(Withdrawal_Timing="Start of year",IF(H66&gt;=C66,1,0),IF(H66*(1+DD_Growth)&gt;=C66,1,0)))</f>
        <v>1</v>
      </c>
    </row>
    <row r="67" customFormat="false" ht="15" hidden="false" customHeight="true" outlineLevel="0" collapsed="false">
      <c r="B67" s="132" t="n">
        <v>35</v>
      </c>
      <c r="C67" s="133" t="n">
        <f aca="false">IF(Need_1&lt;&gt;"","",C66*(1+Inflation_Choice))</f>
        <v>39213.5206404403</v>
      </c>
      <c r="D67" s="133" t="n">
        <f aca="false">IF(Need_1&lt;&gt;"","",IF(E66=1,IF(Withdrawal_Timing="Start of year",(D66-C66)*(1+DD_Cautious),D66*(1+DD_Cautious)-C66),0))</f>
        <v>0</v>
      </c>
      <c r="E67" s="132" t="n">
        <f aca="false">IF(Need_1&lt;&gt;"","",IF(Withdrawal_Timing="Start of year",IF(D67&gt;=C67,1,0),IF(D67*(1+DD_Cautious)&gt;=C67,1,0)))</f>
        <v>0</v>
      </c>
      <c r="F67" s="133" t="n">
        <f aca="false">IF(Need_1&lt;&gt;"","",IF(G66=1,IF(Withdrawal_Timing="Start of year",(F66-C66)*(1+DD_Balanced),F66*(1+DD_Balanced)-C66),0))</f>
        <v>353062.166953012</v>
      </c>
      <c r="G67" s="132" t="n">
        <f aca="false">IF(Need_1&lt;&gt;"","",IF(Withdrawal_Timing="Start of year",IF(F67&gt;=C67,1,0),IF(F67*(1+DD_Balanced)&gt;=C67,1,0)))</f>
        <v>1</v>
      </c>
      <c r="H67" s="133" t="n">
        <f aca="false">IF(Need_1&lt;&gt;"","",IF(I66=1,IF(Withdrawal_Timing="Start of year",(H66-C66)*(1+DD_Growth),H66*(1+DD_Growth)-C66),0))</f>
        <v>1515118.46787018</v>
      </c>
      <c r="I67" s="132" t="n">
        <f aca="false">IF(Need_1&lt;&gt;"","",IF(Withdrawal_Timing="Start of year",IF(H67&gt;=C67,1,0),IF(H67*(1+DD_Growth)&gt;=C67,1,0)))</f>
        <v>1</v>
      </c>
    </row>
    <row r="68" customFormat="false" ht="15" hidden="false" customHeight="true" outlineLevel="0" collapsed="false">
      <c r="B68" s="132" t="n">
        <v>36</v>
      </c>
      <c r="C68" s="133" t="n">
        <f aca="false">IF(Need_1&lt;&gt;"","",C67*(1+Inflation_Choice))</f>
        <v>39997.7910532491</v>
      </c>
      <c r="D68" s="133" t="n">
        <f aca="false">IF(Need_1&lt;&gt;"","",IF(E67=1,IF(Withdrawal_Timing="Start of year",(D67-C67)*(1+DD_Cautious),D67*(1+DD_Cautious)-C67),0))</f>
        <v>0</v>
      </c>
      <c r="E68" s="132" t="n">
        <f aca="false">IF(Need_1&lt;&gt;"","",IF(Withdrawal_Timing="Start of year",IF(D68&gt;=C68,1,0),IF(D68*(1+DD_Cautious)&gt;=C68,1,0)))</f>
        <v>0</v>
      </c>
      <c r="F68" s="133" t="n">
        <f aca="false">IF(Need_1&lt;&gt;"","",IF(G67=1,IF(Withdrawal_Timing="Start of year",(F67-C67)*(1+DD_Balanced),F67*(1+DD_Balanced)-C67),0))</f>
        <v>326402.592165074</v>
      </c>
      <c r="G68" s="132" t="n">
        <f aca="false">IF(Need_1&lt;&gt;"","",IF(Withdrawal_Timing="Start of year",IF(F68&gt;=C68,1,0),IF(F68*(1+DD_Balanced)&gt;=C68,1,0)))</f>
        <v>1</v>
      </c>
      <c r="H68" s="133" t="n">
        <f aca="false">IF(Need_1&lt;&gt;"","",IF(I67=1,IF(Withdrawal_Timing="Start of year",(H67-C67)*(1+DD_Growth),H67*(1+DD_Growth)-C67),0))</f>
        <v>1564459.24406353</v>
      </c>
      <c r="I68" s="132" t="n">
        <f aca="false">IF(Need_1&lt;&gt;"","",IF(Withdrawal_Timing="Start of year",IF(H68&gt;=C68,1,0),IF(H68*(1+DD_Growth)&gt;=C68,1,0)))</f>
        <v>1</v>
      </c>
    </row>
    <row r="69" customFormat="false" ht="15" hidden="false" customHeight="true" outlineLevel="0" collapsed="false">
      <c r="B69" s="132" t="n">
        <v>37</v>
      </c>
      <c r="C69" s="133" t="n">
        <f aca="false">IF(Need_1&lt;&gt;"","",C68*(1+Inflation_Choice))</f>
        <v>40797.7468743141</v>
      </c>
      <c r="D69" s="133" t="n">
        <f aca="false">IF(Need_1&lt;&gt;"","",IF(E68=1,IF(Withdrawal_Timing="Start of year",(D68-C68)*(1+DD_Cautious),D68*(1+DD_Cautious)-C68),0))</f>
        <v>0</v>
      </c>
      <c r="E69" s="132" t="n">
        <f aca="false">IF(Need_1&lt;&gt;"","",IF(Withdrawal_Timing="Start of year",IF(D69&gt;=C69,1,0),IF(D69*(1+DD_Cautious)&gt;=C69,1,0)))</f>
        <v>0</v>
      </c>
      <c r="F69" s="133" t="n">
        <f aca="false">IF(Need_1&lt;&gt;"","",IF(G68=1,IF(Withdrawal_Timing="Start of year",(F68-C68)*(1+DD_Balanced),F68*(1+DD_Balanced)-C68),0))</f>
        <v>297860.993156298</v>
      </c>
      <c r="G69" s="132" t="n">
        <f aca="false">IF(Need_1&lt;&gt;"","",IF(Withdrawal_Timing="Start of year",IF(F69&gt;=C69,1,0),IF(F69*(1+DD_Balanced)&gt;=C69,1,0)))</f>
        <v>1</v>
      </c>
      <c r="H69" s="133" t="n">
        <f aca="false">IF(Need_1&lt;&gt;"","",IF(I68=1,IF(Withdrawal_Timing="Start of year",(H68-C68)*(1+DD_Growth),H68*(1+DD_Growth)-C68),0))</f>
        <v>1615929.14019089</v>
      </c>
      <c r="I69" s="132" t="n">
        <f aca="false">IF(Need_1&lt;&gt;"","",IF(Withdrawal_Timing="Start of year",IF(H69&gt;=C69,1,0),IF(H69*(1+DD_Growth)&gt;=C69,1,0)))</f>
        <v>1</v>
      </c>
    </row>
    <row r="70" customFormat="false" ht="15" hidden="false" customHeight="true" outlineLevel="0" collapsed="false">
      <c r="B70" s="132" t="n">
        <v>38</v>
      </c>
      <c r="C70" s="133" t="n">
        <f aca="false">IF(Need_1&lt;&gt;"","",C69*(1+Inflation_Choice))</f>
        <v>41613.7018118004</v>
      </c>
      <c r="D70" s="133" t="n">
        <f aca="false">IF(Need_1&lt;&gt;"","",IF(E69=1,IF(Withdrawal_Timing="Start of year",(D69-C69)*(1+DD_Cautious),D69*(1+DD_Cautious)-C69),0))</f>
        <v>0</v>
      </c>
      <c r="E70" s="132" t="n">
        <f aca="false">IF(Need_1&lt;&gt;"","",IF(Withdrawal_Timing="Start of year",IF(D70&gt;=C70,1,0),IF(D70*(1+DD_Cautious)&gt;=C70,1,0)))</f>
        <v>0</v>
      </c>
      <c r="F70" s="133" t="n">
        <f aca="false">IF(Need_1&lt;&gt;"","",IF(G69=1,IF(Withdrawal_Timing="Start of year",(F69-C69)*(1+DD_Balanced),F69*(1+DD_Balanced)-C69),0))</f>
        <v>267345.776133263</v>
      </c>
      <c r="G70" s="132" t="n">
        <f aca="false">IF(Need_1&lt;&gt;"","",IF(Withdrawal_Timing="Start of year",IF(F70&gt;=C70,1,0),IF(F70*(1+DD_Balanced)&gt;=C70,1,0)))</f>
        <v>1</v>
      </c>
      <c r="H70" s="133" t="n">
        <f aca="false">IF(Need_1&lt;&gt;"","",IF(I69=1,IF(Withdrawal_Timing="Start of year",(H69-C69)*(1+DD_Growth),H69*(1+DD_Growth)-C69),0))</f>
        <v>1669639.27691558</v>
      </c>
      <c r="I70" s="132" t="n">
        <f aca="false">IF(Need_1&lt;&gt;"","",IF(Withdrawal_Timing="Start of year",IF(H70&gt;=C70,1,0),IF(H70*(1+DD_Growth)&gt;=C70,1,0)))</f>
        <v>1</v>
      </c>
    </row>
    <row r="71" customFormat="false" ht="15" hidden="false" customHeight="true" outlineLevel="0" collapsed="false">
      <c r="B71" s="132" t="n">
        <v>39</v>
      </c>
      <c r="C71" s="133" t="n">
        <f aca="false">IF(Need_1&lt;&gt;"","",C70*(1+Inflation_Choice))</f>
        <v>42445.9758480364</v>
      </c>
      <c r="D71" s="133" t="n">
        <f aca="false">IF(Need_1&lt;&gt;"","",IF(E70=1,IF(Withdrawal_Timing="Start of year",(D70-C70)*(1+DD_Cautious),D70*(1+DD_Cautious)-C70),0))</f>
        <v>0</v>
      </c>
      <c r="E71" s="132" t="n">
        <f aca="false">IF(Need_1&lt;&gt;"","",IF(Withdrawal_Timing="Start of year",IF(D71&gt;=C71,1,0),IF(D71*(1+DD_Cautious)&gt;=C71,1,0)))</f>
        <v>0</v>
      </c>
      <c r="F71" s="133" t="n">
        <f aca="false">IF(Need_1&lt;&gt;"","",IF(G70=1,IF(Withdrawal_Timing="Start of year",(F70-C70)*(1+DD_Balanced),F70*(1+DD_Balanced)-C70),0))</f>
        <v>234761.357294322</v>
      </c>
      <c r="G71" s="132" t="n">
        <f aca="false">IF(Need_1&lt;&gt;"","",IF(Withdrawal_Timing="Start of year",IF(F71&gt;=C71,1,0),IF(F71*(1+DD_Balanced)&gt;=C71,1,0)))</f>
        <v>1</v>
      </c>
      <c r="H71" s="133" t="n">
        <f aca="false">IF(Need_1&lt;&gt;"","",IF(I70=1,IF(Withdrawal_Timing="Start of year",(H70-C70)*(1+DD_Growth),H70*(1+DD_Growth)-C70),0))</f>
        <v>1725707.10961</v>
      </c>
      <c r="I71" s="132" t="n">
        <f aca="false">IF(Need_1&lt;&gt;"","",IF(Withdrawal_Timing="Start of year",IF(H71&gt;=C71,1,0),IF(H71*(1+DD_Growth)&gt;=C71,1,0)))</f>
        <v>1</v>
      </c>
    </row>
    <row r="72" customFormat="false" ht="15" hidden="false" customHeight="true" outlineLevel="0" collapsed="false">
      <c r="B72" s="132" t="n">
        <v>40</v>
      </c>
      <c r="C72" s="133" t="n">
        <f aca="false">IF(Need_1&lt;&gt;"","",C71*(1+Inflation_Choice))</f>
        <v>43294.8953649971</v>
      </c>
      <c r="D72" s="133" t="n">
        <f aca="false">IF(Need_1&lt;&gt;"","",IF(E71=1,IF(Withdrawal_Timing="Start of year",(D71-C71)*(1+DD_Cautious),D71*(1+DD_Cautious)-C71),0))</f>
        <v>0</v>
      </c>
      <c r="E72" s="132" t="n">
        <f aca="false">IF(Need_1&lt;&gt;"","",IF(Withdrawal_Timing="Start of year",IF(D72&gt;=C72,1,0),IF(D72*(1+DD_Cautious)&gt;=C72,1,0)))</f>
        <v>0</v>
      </c>
      <c r="F72" s="133" t="n">
        <f aca="false">IF(Need_1&lt;&gt;"","",IF(G71=1,IF(Withdrawal_Timing="Start of year",(F71-C71)*(1+DD_Balanced),F71*(1+DD_Balanced)-C71),0))</f>
        <v>200007.996704137</v>
      </c>
      <c r="G72" s="132" t="n">
        <f aca="false">IF(Need_1&lt;&gt;"","",IF(Withdrawal_Timing="Start of year",IF(F72&gt;=C72,1,0),IF(F72*(1+DD_Balanced)&gt;=C72,1,0)))</f>
        <v>1</v>
      </c>
      <c r="H72" s="133" t="n">
        <f aca="false">IF(Need_1&lt;&gt;"","",IF(I71=1,IF(Withdrawal_Timing="Start of year",(H71-C71)*(1+DD_Growth),H71*(1+DD_Growth)-C71),0))</f>
        <v>1784256.80178768</v>
      </c>
      <c r="I72" s="132" t="n">
        <f aca="false">IF(Need_1&lt;&gt;"","",IF(Withdrawal_Timing="Start of year",IF(H72&gt;=C72,1,0),IF(H72*(1+DD_Growth)&gt;=C72,1,0)))</f>
        <v>1</v>
      </c>
    </row>
    <row r="73" customFormat="false" ht="15" hidden="false" customHeight="true" outlineLevel="0" collapsed="false">
      <c r="B73" s="132" t="n">
        <v>41</v>
      </c>
      <c r="C73" s="133" t="n">
        <f aca="false">IF(Need_1&lt;&gt;"","",C72*(1+Inflation_Choice))</f>
        <v>44160.7932722971</v>
      </c>
      <c r="D73" s="133" t="n">
        <f aca="false">IF(Need_1&lt;&gt;"","",IF(E72=1,IF(Withdrawal_Timing="Start of year",(D72-C72)*(1+DD_Cautious),D72*(1+DD_Cautious)-C72),0))</f>
        <v>0</v>
      </c>
      <c r="E73" s="132" t="n">
        <f aca="false">IF(Need_1&lt;&gt;"","",IF(Withdrawal_Timing="Start of year",IF(D73&gt;=C73,1,0),IF(D73*(1+DD_Cautious)&gt;=C73,1,0)))</f>
        <v>0</v>
      </c>
      <c r="F73" s="133" t="n">
        <f aca="false">IF(Need_1&lt;&gt;"","",IF(G72=1,IF(Withdrawal_Timing="Start of year",(F72-C72)*(1+DD_Balanced),F72*(1+DD_Balanced)-C72),0))</f>
        <v>162981.625392705</v>
      </c>
      <c r="G73" s="132" t="n">
        <f aca="false">IF(Need_1&lt;&gt;"","",IF(Withdrawal_Timing="Start of year",IF(F73&gt;=C73,1,0),IF(F73*(1+DD_Balanced)&gt;=C73,1,0)))</f>
        <v>1</v>
      </c>
      <c r="H73" s="133" t="n">
        <f aca="false">IF(Need_1&lt;&gt;"","",IF(I72=1,IF(Withdrawal_Timing="Start of year",(H72-C72)*(1+DD_Growth),H72*(1+DD_Growth)-C72),0))</f>
        <v>1845419.62080805</v>
      </c>
      <c r="I73" s="132" t="n">
        <f aca="false">IF(Need_1&lt;&gt;"","",IF(Withdrawal_Timing="Start of year",IF(H73&gt;=C73,1,0),IF(H73*(1+DD_Growth)&gt;=C73,1,0)))</f>
        <v>1</v>
      </c>
    </row>
    <row r="74" customFormat="false" ht="15" hidden="false" customHeight="true" outlineLevel="0" collapsed="false">
      <c r="B74" s="132" t="n">
        <v>42</v>
      </c>
      <c r="C74" s="133" t="n">
        <f aca="false">IF(Need_1&lt;&gt;"","",C73*(1+Inflation_Choice))</f>
        <v>45044.009137743</v>
      </c>
      <c r="D74" s="133" t="n">
        <f aca="false">IF(Need_1&lt;&gt;"","",IF(E73=1,IF(Withdrawal_Timing="Start of year",(D73-C73)*(1+DD_Cautious),D73*(1+DD_Cautious)-C73),0))</f>
        <v>0</v>
      </c>
      <c r="E74" s="132" t="n">
        <f aca="false">IF(Need_1&lt;&gt;"","",IF(Withdrawal_Timing="Start of year",IF(D74&gt;=C74,1,0),IF(D74*(1+DD_Cautious)&gt;=C74,1,0)))</f>
        <v>0</v>
      </c>
      <c r="F74" s="133" t="n">
        <f aca="false">IF(Need_1&lt;&gt;"","",IF(G73=1,IF(Withdrawal_Timing="Start of year",(F73-C73)*(1+DD_Balanced),F73*(1+DD_Balanced)-C73),0))</f>
        <v>123573.665405224</v>
      </c>
      <c r="G74" s="132" t="n">
        <f aca="false">IF(Need_1&lt;&gt;"","",IF(Withdrawal_Timing="Start of year",IF(F74&gt;=C74,1,0),IF(F74*(1+DD_Balanced)&gt;=C74,1,0)))</f>
        <v>1</v>
      </c>
      <c r="H74" s="133" t="n">
        <f aca="false">IF(Need_1&lt;&gt;"","",IF(I73=1,IF(Withdrawal_Timing="Start of year",(H73-C73)*(1+DD_Growth),H73*(1+DD_Growth)-C73),0))</f>
        <v>1909334.35718789</v>
      </c>
      <c r="I74" s="132" t="n">
        <f aca="false">IF(Need_1&lt;&gt;"","",IF(Withdrawal_Timing="Start of year",IF(H74&gt;=C74,1,0),IF(H74*(1+DD_Growth)&gt;=C74,1,0)))</f>
        <v>1</v>
      </c>
    </row>
    <row r="75" customFormat="false" ht="15" hidden="false" customHeight="true" outlineLevel="0" collapsed="false">
      <c r="B75" s="132" t="n">
        <v>43</v>
      </c>
      <c r="C75" s="133" t="n">
        <f aca="false">IF(Need_1&lt;&gt;"","",C74*(1+Inflation_Choice))</f>
        <v>45944.8893204979</v>
      </c>
      <c r="D75" s="133" t="n">
        <f aca="false">IF(Need_1&lt;&gt;"","",IF(E74=1,IF(Withdrawal_Timing="Start of year",(D74-C74)*(1+DD_Cautious),D74*(1+DD_Cautious)-C74),0))</f>
        <v>0</v>
      </c>
      <c r="E75" s="132" t="n">
        <f aca="false">IF(Need_1&lt;&gt;"","",IF(Withdrawal_Timing="Start of year",IF(D75&gt;=C75,1,0),IF(D75*(1+DD_Cautious)&gt;=C75,1,0)))</f>
        <v>0</v>
      </c>
      <c r="F75" s="133" t="n">
        <f aca="false">IF(Need_1&lt;&gt;"","",IF(G74=1,IF(Withdrawal_Timing="Start of year",(F74-C74)*(1+DD_Balanced),F74*(1+DD_Balanced)-C74),0))</f>
        <v>81670.8425181806</v>
      </c>
      <c r="G75" s="132" t="n">
        <f aca="false">IF(Need_1&lt;&gt;"","",IF(Withdrawal_Timing="Start of year",IF(F75&gt;=C75,1,0),IF(F75*(1+DD_Balanced)&gt;=C75,1,0)))</f>
        <v>1</v>
      </c>
      <c r="H75" s="133" t="n">
        <f aca="false">IF(Need_1&lt;&gt;"","",IF(I74=1,IF(Withdrawal_Timing="Start of year",(H74-C74)*(1+DD_Growth),H74*(1+DD_Growth)-C74),0))</f>
        <v>1976147.76893316</v>
      </c>
      <c r="I75" s="132" t="n">
        <f aca="false">IF(Need_1&lt;&gt;"","",IF(Withdrawal_Timing="Start of year",IF(H75&gt;=C75,1,0),IF(H75*(1+DD_Growth)&gt;=C75,1,0)))</f>
        <v>1</v>
      </c>
    </row>
    <row r="76" customFormat="false" ht="15" hidden="false" customHeight="true" outlineLevel="0" collapsed="false">
      <c r="B76" s="132" t="n">
        <v>44</v>
      </c>
      <c r="C76" s="133" t="n">
        <f aca="false">IF(Need_1&lt;&gt;"","",C75*(1+Inflation_Choice))</f>
        <v>46863.7871069078</v>
      </c>
      <c r="D76" s="133" t="n">
        <f aca="false">IF(Need_1&lt;&gt;"","",IF(E75=1,IF(Withdrawal_Timing="Start of year",(D75-C75)*(1+DD_Cautious),D75*(1+DD_Cautious)-C75),0))</f>
        <v>0</v>
      </c>
      <c r="E76" s="132" t="n">
        <f aca="false">IF(Need_1&lt;&gt;"","",IF(Withdrawal_Timing="Start of year",IF(D76&gt;=C76,1,0),IF(D76*(1+DD_Cautious)&gt;=C76,1,0)))</f>
        <v>0</v>
      </c>
      <c r="F76" s="133" t="n">
        <f aca="false">IF(Need_1&lt;&gt;"","",IF(G75=1,IF(Withdrawal_Timing="Start of year",(F75-C75)*(1+DD_Balanced),F75*(1+DD_Balanced)-C75),0))</f>
        <v>37154.99132559</v>
      </c>
      <c r="G76" s="132" t="n">
        <f aca="false">IF(Need_1&lt;&gt;"","",IF(Withdrawal_Timing="Start of year",IF(F76&gt;=C76,1,0),IF(F76*(1+DD_Balanced)&gt;=C76,1,0)))</f>
        <v>0</v>
      </c>
      <c r="H76" s="133" t="n">
        <f aca="false">IF(Need_1&lt;&gt;"","",IF(I75=1,IF(Withdrawal_Timing="Start of year",(H75-C75)*(1+DD_Growth),H75*(1+DD_Growth)-C75),0))</f>
        <v>2046015.05238942</v>
      </c>
      <c r="I76" s="132" t="n">
        <f aca="false">IF(Need_1&lt;&gt;"","",IF(Withdrawal_Timing="Start of year",IF(H76&gt;=C76,1,0),IF(H76*(1+DD_Growth)&gt;=C76,1,0)))</f>
        <v>1</v>
      </c>
    </row>
    <row r="77" customFormat="false" ht="15" hidden="false" customHeight="true" outlineLevel="0" collapsed="false">
      <c r="B77" s="132" t="n">
        <v>45</v>
      </c>
      <c r="C77" s="133" t="n">
        <f aca="false">IF(Need_1&lt;&gt;"","",C76*(1+Inflation_Choice))</f>
        <v>47801.062849046</v>
      </c>
      <c r="D77" s="133" t="n">
        <f aca="false">IF(Need_1&lt;&gt;"","",IF(E76=1,IF(Withdrawal_Timing="Start of year",(D76-C76)*(1+DD_Cautious),D76*(1+DD_Cautious)-C76),0))</f>
        <v>0</v>
      </c>
      <c r="E77" s="132" t="n">
        <f aca="false">IF(Need_1&lt;&gt;"","",IF(Withdrawal_Timing="Start of year",IF(D77&gt;=C77,1,0),IF(D77*(1+DD_Cautious)&gt;=C77,1,0)))</f>
        <v>0</v>
      </c>
      <c r="F77" s="133" t="n">
        <f aca="false">IF(Need_1&lt;&gt;"","",IF(G76=1,IF(Withdrawal_Timing="Start of year",(F76-C76)*(1+DD_Balanced),F76*(1+DD_Balanced)-C76),0))</f>
        <v>0</v>
      </c>
      <c r="G77" s="132" t="n">
        <f aca="false">IF(Need_1&lt;&gt;"","",IF(Withdrawal_Timing="Start of year",IF(F77&gt;=C77,1,0),IF(F77*(1+DD_Balanced)&gt;=C77,1,0)))</f>
        <v>0</v>
      </c>
      <c r="H77" s="133" t="n">
        <f aca="false">IF(Need_1&lt;&gt;"","",IF(I76=1,IF(Withdrawal_Timing="Start of year",(H76-C76)*(1+DD_Growth),H76*(1+DD_Growth)-C76),0))</f>
        <v>2119100.34119947</v>
      </c>
      <c r="I77" s="132" t="n">
        <f aca="false">IF(Need_1&lt;&gt;"","",IF(Withdrawal_Timing="Start of year",IF(H77&gt;=C77,1,0),IF(H77*(1+DD_Growth)&gt;=C77,1,0)))</f>
        <v>1</v>
      </c>
    </row>
    <row r="78" customFormat="false" ht="15" hidden="false" customHeight="true" outlineLevel="0" collapsed="false">
      <c r="B78" s="132" t="n">
        <v>46</v>
      </c>
      <c r="C78" s="133" t="n">
        <f aca="false">IF(Need_1&lt;&gt;"","",C77*(1+Inflation_Choice))</f>
        <v>48757.0841060269</v>
      </c>
      <c r="D78" s="133" t="n">
        <f aca="false">IF(Need_1&lt;&gt;"","",IF(E77=1,IF(Withdrawal_Timing="Start of year",(D77-C77)*(1+DD_Cautious),D77*(1+DD_Cautious)-C77),0))</f>
        <v>0</v>
      </c>
      <c r="E78" s="132" t="n">
        <f aca="false">IF(Need_1&lt;&gt;"","",IF(Withdrawal_Timing="Start of year",IF(D78&gt;=C78,1,0),IF(D78*(1+DD_Cautious)&gt;=C78,1,0)))</f>
        <v>0</v>
      </c>
      <c r="F78" s="133" t="n">
        <f aca="false">IF(Need_1&lt;&gt;"","",IF(G77=1,IF(Withdrawal_Timing="Start of year",(F77-C77)*(1+DD_Balanced),F77*(1+DD_Balanced)-C77),0))</f>
        <v>0</v>
      </c>
      <c r="G78" s="132" t="n">
        <f aca="false">IF(Need_1&lt;&gt;"","",IF(Withdrawal_Timing="Start of year",IF(F78&gt;=C78,1,0),IF(F78*(1+DD_Balanced)&gt;=C78,1,0)))</f>
        <v>0</v>
      </c>
      <c r="H78" s="133" t="n">
        <f aca="false">IF(Need_1&lt;&gt;"","",IF(I77=1,IF(Withdrawal_Timing="Start of year",(H77-C77)*(1+DD_Growth),H77*(1+DD_Growth)-C77),0))</f>
        <v>2195577.23505145</v>
      </c>
      <c r="I78" s="132" t="n">
        <f aca="false">IF(Need_1&lt;&gt;"","",IF(Withdrawal_Timing="Start of year",IF(H78&gt;=C78,1,0),IF(H78*(1+DD_Growth)&gt;=C78,1,0)))</f>
        <v>1</v>
      </c>
    </row>
    <row r="79" customFormat="false" ht="15" hidden="false" customHeight="true" outlineLevel="0" collapsed="false">
      <c r="B79" s="132" t="n">
        <v>47</v>
      </c>
      <c r="C79" s="133" t="n">
        <f aca="false">IF(Need_1&lt;&gt;"","",C78*(1+Inflation_Choice))</f>
        <v>49732.2257881474</v>
      </c>
      <c r="D79" s="133" t="n">
        <f aca="false">IF(Need_1&lt;&gt;"","",IF(E78=1,IF(Withdrawal_Timing="Start of year",(D78-C78)*(1+DD_Cautious),D78*(1+DD_Cautious)-C78),0))</f>
        <v>0</v>
      </c>
      <c r="E79" s="132" t="n">
        <f aca="false">IF(Need_1&lt;&gt;"","",IF(Withdrawal_Timing="Start of year",IF(D79&gt;=C79,1,0),IF(D79*(1+DD_Cautious)&gt;=C79,1,0)))</f>
        <v>0</v>
      </c>
      <c r="F79" s="133" t="n">
        <f aca="false">IF(Need_1&lt;&gt;"","",IF(G78=1,IF(Withdrawal_Timing="Start of year",(F78-C78)*(1+DD_Balanced),F78*(1+DD_Balanced)-C78),0))</f>
        <v>0</v>
      </c>
      <c r="G79" s="132" t="n">
        <f aca="false">IF(Need_1&lt;&gt;"","",IF(Withdrawal_Timing="Start of year",IF(F79&gt;=C79,1,0),IF(F79*(1+DD_Balanced)&gt;=C79,1,0)))</f>
        <v>0</v>
      </c>
      <c r="H79" s="133" t="n">
        <f aca="false">IF(Need_1&lt;&gt;"","",IF(I78=1,IF(Withdrawal_Timing="Start of year",(H78-C78)*(1+DD_Growth),H78*(1+DD_Growth)-C78),0))</f>
        <v>2275629.36000214</v>
      </c>
      <c r="I79" s="132" t="n">
        <f aca="false">IF(Need_1&lt;&gt;"","",IF(Withdrawal_Timing="Start of year",IF(H79&gt;=C79,1,0),IF(H79*(1+DD_Growth)&gt;=C79,1,0)))</f>
        <v>1</v>
      </c>
    </row>
    <row r="80" customFormat="false" ht="15" hidden="false" customHeight="true" outlineLevel="0" collapsed="false">
      <c r="B80" s="132" t="n">
        <v>48</v>
      </c>
      <c r="C80" s="133" t="n">
        <f aca="false">IF(Need_1&lt;&gt;"","",C79*(1+Inflation_Choice))</f>
        <v>50726.8703039104</v>
      </c>
      <c r="D80" s="133" t="n">
        <f aca="false">IF(Need_1&lt;&gt;"","",IF(E79=1,IF(Withdrawal_Timing="Start of year",(D79-C79)*(1+DD_Cautious),D79*(1+DD_Cautious)-C79),0))</f>
        <v>0</v>
      </c>
      <c r="E80" s="132" t="n">
        <f aca="false">IF(Need_1&lt;&gt;"","",IF(Withdrawal_Timing="Start of year",IF(D80&gt;=C80,1,0),IF(D80*(1+DD_Cautious)&gt;=C80,1,0)))</f>
        <v>0</v>
      </c>
      <c r="F80" s="133" t="n">
        <f aca="false">IF(Need_1&lt;&gt;"","",IF(G79=1,IF(Withdrawal_Timing="Start of year",(F79-C79)*(1+DD_Balanced),F79*(1+DD_Balanced)-C79),0))</f>
        <v>0</v>
      </c>
      <c r="G80" s="132" t="n">
        <f aca="false">IF(Need_1&lt;&gt;"","",IF(Withdrawal_Timing="Start of year",IF(F80&gt;=C80,1,0),IF(F80*(1+DD_Balanced)&gt;=C80,1,0)))</f>
        <v>0</v>
      </c>
      <c r="H80" s="133" t="n">
        <f aca="false">IF(Need_1&lt;&gt;"","",IF(I79=1,IF(Withdrawal_Timing="Start of year",(H79-C79)*(1+DD_Growth),H79*(1+DD_Growth)-C79),0))</f>
        <v>2359450.96226684</v>
      </c>
      <c r="I80" s="132" t="n">
        <f aca="false">IF(Need_1&lt;&gt;"","",IF(Withdrawal_Timing="Start of year",IF(H80&gt;=C80,1,0),IF(H80*(1+DD_Growth)&gt;=C80,1,0)))</f>
        <v>1</v>
      </c>
    </row>
    <row r="81" customFormat="false" ht="15" hidden="false" customHeight="true" outlineLevel="0" collapsed="false">
      <c r="B81" s="132" t="n">
        <v>49</v>
      </c>
      <c r="C81" s="133" t="n">
        <f aca="false">IF(Need_1&lt;&gt;"","",C80*(1+Inflation_Choice))</f>
        <v>51741.4077099886</v>
      </c>
      <c r="D81" s="133" t="n">
        <f aca="false">IF(Need_1&lt;&gt;"","",IF(E80=1,IF(Withdrawal_Timing="Start of year",(D80-C80)*(1+DD_Cautious),D80*(1+DD_Cautious)-C80),0))</f>
        <v>0</v>
      </c>
      <c r="E81" s="132" t="n">
        <f aca="false">IF(Need_1&lt;&gt;"","",IF(Withdrawal_Timing="Start of year",IF(D81&gt;=C81,1,0),IF(D81*(1+DD_Cautious)&gt;=C81,1,0)))</f>
        <v>0</v>
      </c>
      <c r="F81" s="133" t="n">
        <f aca="false">IF(Need_1&lt;&gt;"","",IF(G80=1,IF(Withdrawal_Timing="Start of year",(F80-C80)*(1+DD_Balanced),F80*(1+DD_Balanced)-C80),0))</f>
        <v>0</v>
      </c>
      <c r="G81" s="132" t="n">
        <f aca="false">IF(Need_1&lt;&gt;"","",IF(Withdrawal_Timing="Start of year",IF(F81&gt;=C81,1,0),IF(F81*(1+DD_Balanced)&gt;=C81,1,0)))</f>
        <v>0</v>
      </c>
      <c r="H81" s="133" t="n">
        <f aca="false">IF(Need_1&lt;&gt;"","",IF(I80=1,IF(Withdrawal_Timing="Start of year",(H80-C80)*(1+DD_Growth),H80*(1+DD_Growth)-C80),0))</f>
        <v>2447247.5374807</v>
      </c>
      <c r="I81" s="132" t="n">
        <f aca="false">IF(Need_1&lt;&gt;"","",IF(Withdrawal_Timing="Start of year",IF(H81&gt;=C81,1,0),IF(H81*(1+DD_Growth)&gt;=C81,1,0)))</f>
        <v>1</v>
      </c>
    </row>
    <row r="82" customFormat="false" ht="15" hidden="false" customHeight="true" outlineLevel="0" collapsed="false">
      <c r="B82" s="132" t="n">
        <v>50</v>
      </c>
      <c r="C82" s="133" t="n">
        <f aca="false">IF(Need_1&lt;&gt;"","",C81*(1+Inflation_Choice))</f>
        <v>52776.2358641884</v>
      </c>
      <c r="D82" s="133" t="n">
        <f aca="false">IF(Need_1&lt;&gt;"","",IF(E81=1,IF(Withdrawal_Timing="Start of year",(D81-C81)*(1+DD_Cautious),D81*(1+DD_Cautious)-C81),0))</f>
        <v>0</v>
      </c>
      <c r="E82" s="132" t="n">
        <f aca="false">IF(Need_1&lt;&gt;"","",IF(Withdrawal_Timing="Start of year",IF(D82&gt;=C82,1,0),IF(D82*(1+DD_Cautious)&gt;=C82,1,0)))</f>
        <v>0</v>
      </c>
      <c r="F82" s="133" t="n">
        <f aca="false">IF(Need_1&lt;&gt;"","",IF(G81=1,IF(Withdrawal_Timing="Start of year",(F81-C81)*(1+DD_Balanced),F81*(1+DD_Balanced)-C81),0))</f>
        <v>0</v>
      </c>
      <c r="G82" s="132" t="n">
        <f aca="false">IF(Need_1&lt;&gt;"","",IF(Withdrawal_Timing="Start of year",IF(F82&gt;=C82,1,0),IF(F82*(1+DD_Balanced)&gt;=C82,1,0)))</f>
        <v>0</v>
      </c>
      <c r="H82" s="133" t="n">
        <f aca="false">IF(Need_1&lt;&gt;"","",IF(I81=1,IF(Withdrawal_Timing="Start of year",(H81-C81)*(1+DD_Growth),H81*(1+DD_Growth)-C81),0))</f>
        <v>2539236.49755696</v>
      </c>
      <c r="I82" s="132" t="n">
        <f aca="false">IF(Need_1&lt;&gt;"","",IF(Withdrawal_Timing="Start of year",IF(H82&gt;=C82,1,0),IF(H82*(1+DD_Growth)&gt;=C82,1,0)))</f>
        <v>1</v>
      </c>
    </row>
    <row r="83" customFormat="false" ht="15" hidden="false" customHeight="true" outlineLevel="0" collapsed="false">
      <c r="B83" s="132" t="n">
        <v>51</v>
      </c>
      <c r="C83" s="133" t="n">
        <f aca="false">IF(Need_1&lt;&gt;"","",C82*(1+Inflation_Choice))</f>
        <v>53831.7605814721</v>
      </c>
      <c r="D83" s="133" t="n">
        <f aca="false">IF(Need_1&lt;&gt;"","",IF(E82=1,IF(Withdrawal_Timing="Start of year",(D82-C82)*(1+DD_Cautious),D82*(1+DD_Cautious)-C82),0))</f>
        <v>0</v>
      </c>
      <c r="E83" s="132" t="n">
        <f aca="false">IF(Need_1&lt;&gt;"","",IF(Withdrawal_Timing="Start of year",IF(D83&gt;=C83,1,0),IF(D83*(1+DD_Cautious)&gt;=C83,1,0)))</f>
        <v>0</v>
      </c>
      <c r="F83" s="133" t="n">
        <f aca="false">IF(Need_1&lt;&gt;"","",IF(G82=1,IF(Withdrawal_Timing="Start of year",(F82-C82)*(1+DD_Balanced),F82*(1+DD_Balanced)-C82),0))</f>
        <v>0</v>
      </c>
      <c r="G83" s="132" t="n">
        <f aca="false">IF(Need_1&lt;&gt;"","",IF(Withdrawal_Timing="Start of year",IF(F83&gt;=C83,1,0),IF(F83*(1+DD_Balanced)&gt;=C83,1,0)))</f>
        <v>0</v>
      </c>
      <c r="H83" s="133" t="n">
        <f aca="false">IF(Need_1&lt;&gt;"","",IF(I82=1,IF(Withdrawal_Timing="Start of year",(H82-C82)*(1+DD_Growth),H82*(1+DD_Growth)-C82),0))</f>
        <v>2635647.87739433</v>
      </c>
      <c r="I83" s="132" t="n">
        <f aca="false">IF(Need_1&lt;&gt;"","",IF(Withdrawal_Timing="Start of year",IF(H83&gt;=C83,1,0),IF(H83*(1+DD_Growth)&gt;=C83,1,0)))</f>
        <v>1</v>
      </c>
    </row>
    <row r="84" customFormat="false" ht="15" hidden="false" customHeight="true" outlineLevel="0" collapsed="false">
      <c r="B84" s="132" t="n">
        <v>52</v>
      </c>
      <c r="C84" s="133" t="n">
        <f aca="false">IF(Need_1&lt;&gt;"","",C83*(1+Inflation_Choice))</f>
        <v>54908.3957931016</v>
      </c>
      <c r="D84" s="133" t="n">
        <f aca="false">IF(Need_1&lt;&gt;"","",IF(E83=1,IF(Withdrawal_Timing="Start of year",(D83-C83)*(1+DD_Cautious),D83*(1+DD_Cautious)-C83),0))</f>
        <v>0</v>
      </c>
      <c r="E84" s="132" t="n">
        <f aca="false">IF(Need_1&lt;&gt;"","",IF(Withdrawal_Timing="Start of year",IF(D84&gt;=C84,1,0),IF(D84*(1+DD_Cautious)&gt;=C84,1,0)))</f>
        <v>0</v>
      </c>
      <c r="F84" s="133" t="n">
        <f aca="false">IF(Need_1&lt;&gt;"","",IF(G83=1,IF(Withdrawal_Timing="Start of year",(F83-C83)*(1+DD_Balanced),F83*(1+DD_Balanced)-C83),0))</f>
        <v>0</v>
      </c>
      <c r="G84" s="132" t="n">
        <f aca="false">IF(Need_1&lt;&gt;"","",IF(Withdrawal_Timing="Start of year",IF(F84&gt;=C84,1,0),IF(F84*(1+DD_Balanced)&gt;=C84,1,0)))</f>
        <v>0</v>
      </c>
      <c r="H84" s="133" t="n">
        <f aca="false">IF(Need_1&lt;&gt;"","",IF(I83=1,IF(Withdrawal_Timing="Start of year",(H83-C83)*(1+DD_Growth),H83*(1+DD_Growth)-C83),0))</f>
        <v>2736725.08382163</v>
      </c>
      <c r="I84" s="132" t="n">
        <f aca="false">IF(Need_1&lt;&gt;"","",IF(Withdrawal_Timing="Start of year",IF(H84&gt;=C84,1,0),IF(H84*(1+DD_Growth)&gt;=C84,1,0)))</f>
        <v>1</v>
      </c>
    </row>
    <row r="85" customFormat="false" ht="15" hidden="false" customHeight="true" outlineLevel="0" collapsed="false">
      <c r="B85" s="132" t="n">
        <v>53</v>
      </c>
      <c r="C85" s="133" t="n">
        <f aca="false">IF(Need_1&lt;&gt;"","",C84*(1+Inflation_Choice))</f>
        <v>56006.5637089636</v>
      </c>
      <c r="D85" s="133" t="n">
        <f aca="false">IF(Need_1&lt;&gt;"","",IF(E84=1,IF(Withdrawal_Timing="Start of year",(D84-C84)*(1+DD_Cautious),D84*(1+DD_Cautious)-C84),0))</f>
        <v>0</v>
      </c>
      <c r="E85" s="132" t="n">
        <f aca="false">IF(Need_1&lt;&gt;"","",IF(Withdrawal_Timing="Start of year",IF(D85&gt;=C85,1,0),IF(D85*(1+DD_Cautious)&gt;=C85,1,0)))</f>
        <v>0</v>
      </c>
      <c r="F85" s="133" t="n">
        <f aca="false">IF(Need_1&lt;&gt;"","",IF(G84=1,IF(Withdrawal_Timing="Start of year",(F84-C84)*(1+DD_Balanced),F84*(1+DD_Balanced)-C84),0))</f>
        <v>0</v>
      </c>
      <c r="G85" s="132" t="n">
        <f aca="false">IF(Need_1&lt;&gt;"","",IF(Withdrawal_Timing="Start of year",IF(F85&gt;=C85,1,0),IF(F85*(1+DD_Balanced)&gt;=C85,1,0)))</f>
        <v>0</v>
      </c>
      <c r="H85" s="133" t="n">
        <f aca="false">IF(Need_1&lt;&gt;"","",IF(I84=1,IF(Withdrawal_Timing="Start of year",(H84-C84)*(1+DD_Growth),H84*(1+DD_Growth)-C84),0))</f>
        <v>2842725.68931024</v>
      </c>
      <c r="I85" s="132" t="n">
        <f aca="false">IF(Need_1&lt;&gt;"","",IF(Withdrawal_Timing="Start of year",IF(H85&gt;=C85,1,0),IF(H85*(1+DD_Growth)&gt;=C85,1,0)))</f>
        <v>1</v>
      </c>
    </row>
    <row r="86" customFormat="false" ht="15" hidden="false" customHeight="true" outlineLevel="0" collapsed="false">
      <c r="B86" s="132" t="n">
        <v>54</v>
      </c>
      <c r="C86" s="133" t="n">
        <f aca="false">IF(Need_1&lt;&gt;"","",C85*(1+Inflation_Choice))</f>
        <v>57126.6949831429</v>
      </c>
      <c r="D86" s="133" t="n">
        <f aca="false">IF(Need_1&lt;&gt;"","",IF(E85=1,IF(Withdrawal_Timing="Start of year",(D85-C85)*(1+DD_Cautious),D85*(1+DD_Cautious)-C85),0))</f>
        <v>0</v>
      </c>
      <c r="E86" s="132" t="n">
        <f aca="false">IF(Need_1&lt;&gt;"","",IF(Withdrawal_Timing="Start of year",IF(D86&gt;=C86,1,0),IF(D86*(1+DD_Cautious)&gt;=C86,1,0)))</f>
        <v>0</v>
      </c>
      <c r="F86" s="133" t="n">
        <f aca="false">IF(Need_1&lt;&gt;"","",IF(G85=1,IF(Withdrawal_Timing="Start of year",(F85-C85)*(1+DD_Balanced),F85*(1+DD_Balanced)-C85),0))</f>
        <v>0</v>
      </c>
      <c r="G86" s="132" t="n">
        <f aca="false">IF(Need_1&lt;&gt;"","",IF(Withdrawal_Timing="Start of year",IF(F86&gt;=C86,1,0),IF(F86*(1+DD_Balanced)&gt;=C86,1,0)))</f>
        <v>0</v>
      </c>
      <c r="H86" s="133" t="n">
        <f aca="false">IF(Need_1&lt;&gt;"","",IF(I85=1,IF(Withdrawal_Timing="Start of year",(H85-C85)*(1+DD_Growth),H85*(1+DD_Growth)-C85),0))</f>
        <v>2953922.27313736</v>
      </c>
      <c r="I86" s="132" t="n">
        <f aca="false">IF(Need_1&lt;&gt;"","",IF(Withdrawal_Timing="Start of year",IF(H86&gt;=C86,1,0),IF(H86*(1+DD_Growth)&gt;=C86,1,0)))</f>
        <v>1</v>
      </c>
    </row>
    <row r="87" customFormat="false" ht="15" hidden="false" customHeight="true" outlineLevel="0" collapsed="false">
      <c r="B87" s="132" t="n">
        <v>55</v>
      </c>
      <c r="C87" s="133" t="n">
        <f aca="false">IF(Need_1&lt;&gt;"","",C86*(1+Inflation_Choice))</f>
        <v>58269.2288828057</v>
      </c>
      <c r="D87" s="133" t="n">
        <f aca="false">IF(Need_1&lt;&gt;"","",IF(E86=1,IF(Withdrawal_Timing="Start of year",(D86-C86)*(1+DD_Cautious),D86*(1+DD_Cautious)-C86),0))</f>
        <v>0</v>
      </c>
      <c r="E87" s="132" t="n">
        <f aca="false">IF(Need_1&lt;&gt;"","",IF(Withdrawal_Timing="Start of year",IF(D87&gt;=C87,1,0),IF(D87*(1+DD_Cautious)&gt;=C87,1,0)))</f>
        <v>0</v>
      </c>
      <c r="F87" s="133" t="n">
        <f aca="false">IF(Need_1&lt;&gt;"","",IF(G86=1,IF(Withdrawal_Timing="Start of year",(F86-C86)*(1+DD_Balanced),F86*(1+DD_Balanced)-C86),0))</f>
        <v>0</v>
      </c>
      <c r="G87" s="132" t="n">
        <f aca="false">IF(Need_1&lt;&gt;"","",IF(Withdrawal_Timing="Start of year",IF(F87&gt;=C87,1,0),IF(F87*(1+DD_Balanced)&gt;=C87,1,0)))</f>
        <v>0</v>
      </c>
      <c r="H87" s="133" t="n">
        <f aca="false">IF(Need_1&lt;&gt;"","",IF(I86=1,IF(Withdrawal_Timing="Start of year",(H86-C86)*(1+DD_Growth),H86*(1+DD_Growth)-C86),0))</f>
        <v>3070603.31284347</v>
      </c>
      <c r="I87" s="132" t="n">
        <f aca="false">IF(Need_1&lt;&gt;"","",IF(Withdrawal_Timing="Start of year",IF(H87&gt;=C87,1,0),IF(H87*(1+DD_Growth)&gt;=C87,1,0)))</f>
        <v>1</v>
      </c>
    </row>
    <row r="88" customFormat="false" ht="15" hidden="false" customHeight="true" outlineLevel="0" collapsed="false">
      <c r="B88" s="132" t="n">
        <v>56</v>
      </c>
      <c r="C88" s="133" t="n">
        <f aca="false">IF(Need_1&lt;&gt;"","",C87*(1+Inflation_Choice))</f>
        <v>59434.6134604618</v>
      </c>
      <c r="D88" s="133" t="n">
        <f aca="false">IF(Need_1&lt;&gt;"","",IF(E87=1,IF(Withdrawal_Timing="Start of year",(D87-C87)*(1+DD_Cautious),D87*(1+DD_Cautious)-C87),0))</f>
        <v>0</v>
      </c>
      <c r="E88" s="132" t="n">
        <f aca="false">IF(Need_1&lt;&gt;"","",IF(Withdrawal_Timing="Start of year",IF(D88&gt;=C88,1,0),IF(D88*(1+DD_Cautious)&gt;=C88,1,0)))</f>
        <v>0</v>
      </c>
      <c r="F88" s="133" t="n">
        <f aca="false">IF(Need_1&lt;&gt;"","",IF(G87=1,IF(Withdrawal_Timing="Start of year",(F87-C87)*(1+DD_Balanced),F87*(1+DD_Balanced)-C87),0))</f>
        <v>0</v>
      </c>
      <c r="G88" s="132" t="n">
        <f aca="false">IF(Need_1&lt;&gt;"","",IF(Withdrawal_Timing="Start of year",IF(F88&gt;=C88,1,0),IF(F88*(1+DD_Balanced)&gt;=C88,1,0)))</f>
        <v>0</v>
      </c>
      <c r="H88" s="133" t="n">
        <f aca="false">IF(Need_1&lt;&gt;"","",IF(I87=1,IF(Withdrawal_Timing="Start of year",(H87-C87)*(1+DD_Growth),H87*(1+DD_Growth)-C87),0))</f>
        <v>3193074.1289983</v>
      </c>
      <c r="I88" s="132" t="n">
        <f aca="false">IF(Need_1&lt;&gt;"","",IF(Withdrawal_Timing="Start of year",IF(H88&gt;=C88,1,0),IF(H88*(1+DD_Growth)&gt;=C88,1,0)))</f>
        <v>1</v>
      </c>
    </row>
    <row r="89" customFormat="false" ht="15" hidden="false" customHeight="true" outlineLevel="0" collapsed="false">
      <c r="B89" s="132" t="n">
        <v>57</v>
      </c>
      <c r="C89" s="133" t="n">
        <f aca="false">IF(Need_1&lt;&gt;"","",C88*(1+Inflation_Choice))</f>
        <v>60623.3057296711</v>
      </c>
      <c r="D89" s="133" t="n">
        <f aca="false">IF(Need_1&lt;&gt;"","",IF(E88=1,IF(Withdrawal_Timing="Start of year",(D88-C88)*(1+DD_Cautious),D88*(1+DD_Cautious)-C88),0))</f>
        <v>0</v>
      </c>
      <c r="E89" s="132" t="n">
        <f aca="false">IF(Need_1&lt;&gt;"","",IF(Withdrawal_Timing="Start of year",IF(D89&gt;=C89,1,0),IF(D89*(1+DD_Cautious)&gt;=C89,1,0)))</f>
        <v>0</v>
      </c>
      <c r="F89" s="133" t="n">
        <f aca="false">IF(Need_1&lt;&gt;"","",IF(G88=1,IF(Withdrawal_Timing="Start of year",(F88-C88)*(1+DD_Balanced),F88*(1+DD_Balanced)-C88),0))</f>
        <v>0</v>
      </c>
      <c r="G89" s="132" t="n">
        <f aca="false">IF(Need_1&lt;&gt;"","",IF(Withdrawal_Timing="Start of year",IF(F89&gt;=C89,1,0),IF(F89*(1+DD_Balanced)&gt;=C89,1,0)))</f>
        <v>0</v>
      </c>
      <c r="H89" s="133" t="n">
        <f aca="false">IF(Need_1&lt;&gt;"","",IF(I88=1,IF(Withdrawal_Timing="Start of year",(H88-C88)*(1+DD_Growth),H88*(1+DD_Growth)-C88),0))</f>
        <v>3321657.88647011</v>
      </c>
      <c r="I89" s="132" t="n">
        <f aca="false">IF(Need_1&lt;&gt;"","",IF(Withdrawal_Timing="Start of year",IF(H89&gt;=C89,1,0),IF(H89*(1+DD_Growth)&gt;=C89,1,0)))</f>
        <v>1</v>
      </c>
    </row>
    <row r="90" customFormat="false" ht="15" hidden="false" customHeight="true" outlineLevel="0" collapsed="false">
      <c r="B90" s="132" t="n">
        <v>58</v>
      </c>
      <c r="C90" s="133" t="n">
        <f aca="false">IF(Need_1&lt;&gt;"","",C89*(1+Inflation_Choice))</f>
        <v>61835.7718442645</v>
      </c>
      <c r="D90" s="133" t="n">
        <f aca="false">IF(Need_1&lt;&gt;"","",IF(E89=1,IF(Withdrawal_Timing="Start of year",(D89-C89)*(1+DD_Cautious),D89*(1+DD_Cautious)-C89),0))</f>
        <v>0</v>
      </c>
      <c r="E90" s="132" t="n">
        <f aca="false">IF(Need_1&lt;&gt;"","",IF(Withdrawal_Timing="Start of year",IF(D90&gt;=C90,1,0),IF(D90*(1+DD_Cautious)&gt;=C90,1,0)))</f>
        <v>0</v>
      </c>
      <c r="F90" s="133" t="n">
        <f aca="false">IF(Need_1&lt;&gt;"","",IF(G89=1,IF(Withdrawal_Timing="Start of year",(F89-C89)*(1+DD_Balanced),F89*(1+DD_Balanced)-C89),0))</f>
        <v>0</v>
      </c>
      <c r="G90" s="132" t="n">
        <f aca="false">IF(Need_1&lt;&gt;"","",IF(Withdrawal_Timing="Start of year",IF(F90&gt;=C90,1,0),IF(F90*(1+DD_Balanced)&gt;=C90,1,0)))</f>
        <v>0</v>
      </c>
      <c r="H90" s="133" t="n">
        <f aca="false">IF(Need_1&lt;&gt;"","",IF(I89=1,IF(Withdrawal_Timing="Start of year",(H89-C89)*(1+DD_Growth),H89*(1+DD_Growth)-C89),0))</f>
        <v>3456696.65558486</v>
      </c>
      <c r="I90" s="132" t="n">
        <f aca="false">IF(Need_1&lt;&gt;"","",IF(Withdrawal_Timing="Start of year",IF(H90&gt;=C90,1,0),IF(H90*(1+DD_Growth)&gt;=C90,1,0)))</f>
        <v>1</v>
      </c>
    </row>
    <row r="91" customFormat="false" ht="15" hidden="false" customHeight="true" outlineLevel="0" collapsed="false">
      <c r="B91" s="132" t="n">
        <v>59</v>
      </c>
      <c r="C91" s="133" t="n">
        <f aca="false">IF(Need_1&lt;&gt;"","",C90*(1+Inflation_Choice))</f>
        <v>63072.4872811498</v>
      </c>
      <c r="D91" s="133" t="n">
        <f aca="false">IF(Need_1&lt;&gt;"","",IF(E90=1,IF(Withdrawal_Timing="Start of year",(D90-C90)*(1+DD_Cautious),D90*(1+DD_Cautious)-C90),0))</f>
        <v>0</v>
      </c>
      <c r="E91" s="132" t="n">
        <f aca="false">IF(Need_1&lt;&gt;"","",IF(Withdrawal_Timing="Start of year",IF(D91&gt;=C91,1,0),IF(D91*(1+DD_Cautious)&gt;=C91,1,0)))</f>
        <v>0</v>
      </c>
      <c r="F91" s="133" t="n">
        <f aca="false">IF(Need_1&lt;&gt;"","",IF(G90=1,IF(Withdrawal_Timing="Start of year",(F90-C90)*(1+DD_Balanced),F90*(1+DD_Balanced)-C90),0))</f>
        <v>0</v>
      </c>
      <c r="G91" s="132" t="n">
        <f aca="false">IF(Need_1&lt;&gt;"","",IF(Withdrawal_Timing="Start of year",IF(F91&gt;=C91,1,0),IF(F91*(1+DD_Balanced)&gt;=C91,1,0)))</f>
        <v>0</v>
      </c>
      <c r="H91" s="133" t="n">
        <f aca="false">IF(Need_1&lt;&gt;"","",IF(I90=1,IF(Withdrawal_Timing="Start of year",(H90-C90)*(1+DD_Growth),H90*(1+DD_Growth)-C90),0))</f>
        <v>3598552.53676504</v>
      </c>
      <c r="I91" s="132" t="n">
        <f aca="false">IF(Need_1&lt;&gt;"","",IF(Withdrawal_Timing="Start of year",IF(H91&gt;=C91,1,0),IF(H91*(1+DD_Growth)&gt;=C91,1,0)))</f>
        <v>1</v>
      </c>
    </row>
    <row r="92" customFormat="false" ht="15" hidden="false" customHeight="true" outlineLevel="0" collapsed="false">
      <c r="B92" s="132" t="n">
        <v>60</v>
      </c>
      <c r="C92" s="133" t="n">
        <f aca="false">IF(Need_1&lt;&gt;"","",C91*(1+Inflation_Choice))</f>
        <v>64333.9370267728</v>
      </c>
      <c r="D92" s="133" t="n">
        <f aca="false">IF(Need_1&lt;&gt;"","",IF(E91=1,IF(Withdrawal_Timing="Start of year",(D91-C91)*(1+DD_Cautious),D91*(1+DD_Cautious)-C91),0))</f>
        <v>0</v>
      </c>
      <c r="E92" s="132" t="n">
        <f aca="false">IF(Need_1&lt;&gt;"","",IF(Withdrawal_Timing="Start of year",IF(D92&gt;=C92,1,0),IF(D92*(1+DD_Cautious)&gt;=C92,1,0)))</f>
        <v>0</v>
      </c>
      <c r="F92" s="133" t="n">
        <f aca="false">IF(Need_1&lt;&gt;"","",IF(G91=1,IF(Withdrawal_Timing="Start of year",(F91-C91)*(1+DD_Balanced),F91*(1+DD_Balanced)-C91),0))</f>
        <v>0</v>
      </c>
      <c r="G92" s="132" t="n">
        <f aca="false">IF(Need_1&lt;&gt;"","",IF(Withdrawal_Timing="Start of year",IF(F92&gt;=C92,1,0),IF(F92*(1+DD_Balanced)&gt;=C92,1,0)))</f>
        <v>0</v>
      </c>
      <c r="H92" s="133" t="n">
        <f aca="false">IF(Need_1&lt;&gt;"","",IF(I91=1,IF(Withdrawal_Timing="Start of year",(H91-C91)*(1+DD_Growth),H91*(1+DD_Growth)-C91),0))</f>
        <v>3747608.85245292</v>
      </c>
      <c r="I92" s="132" t="n">
        <f aca="false">IF(Need_1&lt;&gt;"","",IF(Withdrawal_Timing="Start of year",IF(H92&gt;=C92,1,0),IF(H92*(1+DD_Growth)&gt;=C92,1,0)))</f>
        <v>1</v>
      </c>
    </row>
    <row r="95" customFormat="false" ht="15" hidden="false" customHeight="true" outlineLevel="0" collapsed="false">
      <c r="B95" s="74" t="s">
        <v>4326</v>
      </c>
      <c r="C95" s="77"/>
      <c r="D95" s="77"/>
      <c r="E95" s="77"/>
      <c r="F95" s="77"/>
      <c r="G95" s="77"/>
    </row>
    <row r="96" customFormat="false" ht="27.75" hidden="false" customHeight="true" outlineLevel="0" collapsed="false">
      <c r="B96" s="99" t="s">
        <v>4963</v>
      </c>
      <c r="C96" s="99"/>
      <c r="D96" s="99"/>
      <c r="E96" s="99"/>
    </row>
    <row r="97" customFormat="false" ht="13.5" hidden="false" customHeight="true" outlineLevel="0" collapsed="false">
      <c r="B97" s="99" t="s">
        <v>4964</v>
      </c>
      <c r="C97" s="99"/>
      <c r="D97" s="99"/>
      <c r="E97" s="99"/>
    </row>
    <row r="98" customFormat="false" ht="13.5" hidden="false" customHeight="true" outlineLevel="0" collapsed="false">
      <c r="B98" s="100" t="s">
        <v>4329</v>
      </c>
      <c r="C98" s="100"/>
      <c r="D98" s="100"/>
      <c r="E98" s="100"/>
    </row>
    <row r="99" customFormat="false" ht="13.5" hidden="false" customHeight="true" outlineLevel="0" collapsed="false">
      <c r="B99" s="99" t="s">
        <v>4965</v>
      </c>
      <c r="C99" s="99"/>
      <c r="D99" s="99"/>
      <c r="E99" s="99"/>
    </row>
    <row r="100" customFormat="false" ht="13.5" hidden="false" customHeight="true" outlineLevel="0" collapsed="false">
      <c r="B100" s="99" t="s">
        <v>4966</v>
      </c>
      <c r="C100" s="99"/>
      <c r="D100" s="99"/>
      <c r="E100" s="99"/>
    </row>
    <row r="102" customFormat="false" ht="15" hidden="false" customHeight="true" outlineLevel="0" collapsed="false">
      <c r="B102" s="74" t="s">
        <v>4334</v>
      </c>
      <c r="C102" s="77"/>
      <c r="D102" s="77"/>
      <c r="E102" s="77"/>
      <c r="F102" s="77"/>
      <c r="G102" s="77"/>
    </row>
    <row r="103" customFormat="false" ht="15" hidden="false" customHeight="true" outlineLevel="0" collapsed="false">
      <c r="B103" s="78" t="s">
        <v>1673</v>
      </c>
      <c r="C103" s="101" t="str">
        <f aca="false">"No goal"</f>
        <v>No goal</v>
      </c>
      <c r="E103" s="102" t="s">
        <v>4515</v>
      </c>
    </row>
    <row r="105" customFormat="false" ht="15" hidden="false" customHeight="true" outlineLevel="0" collapsed="false">
      <c r="B105" s="74" t="s">
        <v>4342</v>
      </c>
      <c r="C105" s="77"/>
      <c r="D105" s="77"/>
      <c r="E105" s="77"/>
      <c r="F105" s="77"/>
      <c r="G105" s="77"/>
    </row>
    <row r="106" customFormat="false" ht="15" hidden="false" customHeight="true" outlineLevel="0" collapsed="false">
      <c r="B106" s="105" t="s">
        <v>4967</v>
      </c>
      <c r="C106" s="105"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4968</v>
      </c>
      <c r="E1" s="70" t="s">
        <v>4969</v>
      </c>
    </row>
    <row r="2" customFormat="false" ht="15" hidden="false" customHeight="true" outlineLevel="0" collapsed="false">
      <c r="B2" s="71" t="s">
        <v>4970</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4971</v>
      </c>
    </row>
    <row r="5" customFormat="false" ht="15" hidden="false" customHeight="true" outlineLevel="0" collapsed="false">
      <c r="B5" s="74" t="s">
        <v>4601</v>
      </c>
      <c r="C5" s="75" t="s">
        <v>914</v>
      </c>
      <c r="D5" s="75" t="s">
        <v>915</v>
      </c>
      <c r="E5" s="75" t="s">
        <v>4277</v>
      </c>
      <c r="F5" s="76" t="s">
        <v>4278</v>
      </c>
      <c r="G5" s="77"/>
    </row>
    <row r="6" customFormat="false" ht="21.75" hidden="false" customHeight="true" outlineLevel="0" collapsed="false">
      <c r="B6" s="78" t="s">
        <v>4602</v>
      </c>
      <c r="C6" s="87"/>
      <c r="D6" s="80" t="s">
        <v>4287</v>
      </c>
      <c r="E6" s="88"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89" t="n">
        <v>0.02</v>
      </c>
      <c r="G6" s="90" t="n">
        <f aca="false">IF(ISBLANK(C6),IF(Fill_Example="Yes",F6,""),C6)</f>
        <v>0.02</v>
      </c>
    </row>
    <row r="7" customFormat="false" ht="27.75" hidden="false" customHeight="true" outlineLevel="0" collapsed="false">
      <c r="B7" s="10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06"/>
      <c r="D7" s="106"/>
      <c r="E7" s="106"/>
    </row>
    <row r="9" customFormat="false" ht="15" hidden="false" customHeight="true" outlineLevel="0" collapsed="false">
      <c r="B9" s="74" t="s">
        <v>4355</v>
      </c>
      <c r="C9" s="77"/>
      <c r="D9" s="77"/>
      <c r="E9" s="77"/>
      <c r="F9" s="77"/>
      <c r="G9" s="77"/>
    </row>
    <row r="10" customFormat="false" ht="27.75" hidden="false" customHeight="true" outlineLevel="0" collapsed="false">
      <c r="B10" s="106" t="s">
        <v>4671</v>
      </c>
      <c r="C10" s="106"/>
      <c r="D10" s="106"/>
      <c r="E10" s="106"/>
    </row>
    <row r="11" customFormat="false" ht="15" hidden="false" customHeight="true" outlineLevel="0" collapsed="false">
      <c r="B11" s="78" t="s">
        <v>4672</v>
      </c>
      <c r="C11" s="107"/>
      <c r="D11" s="80" t="s">
        <v>966</v>
      </c>
      <c r="E11" s="81" t="s">
        <v>4673</v>
      </c>
      <c r="G11" s="105" t="s">
        <v>4359</v>
      </c>
    </row>
    <row r="12" customFormat="false" ht="15" hidden="false" customHeight="true" outlineLevel="0" collapsed="false">
      <c r="B12" s="78" t="s">
        <v>4364</v>
      </c>
      <c r="C12" s="110"/>
      <c r="D12" s="80" t="s">
        <v>924</v>
      </c>
      <c r="E12" s="81" t="s">
        <v>4365</v>
      </c>
      <c r="G12" s="105" t="s">
        <v>4359</v>
      </c>
    </row>
    <row r="14" customFormat="false" ht="15" hidden="false" customHeight="true" outlineLevel="0" collapsed="false">
      <c r="B14" s="74" t="s">
        <v>4366</v>
      </c>
      <c r="C14" s="75" t="s">
        <v>914</v>
      </c>
      <c r="D14" s="75" t="s">
        <v>915</v>
      </c>
      <c r="E14" s="75" t="s">
        <v>4277</v>
      </c>
      <c r="F14" s="76" t="s">
        <v>4278</v>
      </c>
      <c r="G14" s="77"/>
    </row>
    <row r="15" customFormat="false" ht="21.75" hidden="false" customHeight="true" outlineLevel="0" collapsed="false">
      <c r="B15" s="78" t="s">
        <v>4676</v>
      </c>
      <c r="C15" s="79"/>
      <c r="D15" s="80" t="s">
        <v>966</v>
      </c>
      <c r="E15" s="81" t="s">
        <v>4677</v>
      </c>
      <c r="F15" s="82" t="n">
        <v>20000</v>
      </c>
      <c r="G15" s="83" t="n">
        <f aca="false">IF(ISBLANK(C15),IF(Has_invest=1,In_invest,IF(Fill_Example="Yes",F15,"")),C15)</f>
        <v>6200</v>
      </c>
    </row>
    <row r="16" customFormat="false" ht="21.75" hidden="false" customHeight="true" outlineLevel="0" collapsed="false">
      <c r="B16" s="78" t="s">
        <v>4972</v>
      </c>
      <c r="C16" s="87"/>
      <c r="D16" s="80" t="s">
        <v>4287</v>
      </c>
      <c r="E16" s="88" t="s">
        <v>4973</v>
      </c>
      <c r="F16" s="89" t="n">
        <f aca="false">Set_invGross</f>
        <v>0.05</v>
      </c>
      <c r="G16" s="90" t="n">
        <f aca="false">IF(ISBLANK(C16),F16,C16)</f>
        <v>0.05</v>
      </c>
    </row>
    <row r="17" customFormat="false" ht="15" hidden="false" customHeight="true" outlineLevel="0" collapsed="false">
      <c r="B17" s="78" t="s">
        <v>3924</v>
      </c>
      <c r="C17" s="91"/>
      <c r="D17" s="80" t="s">
        <v>1004</v>
      </c>
      <c r="E17" s="81" t="s">
        <v>4646</v>
      </c>
      <c r="F17" s="92" t="n">
        <v>15</v>
      </c>
      <c r="G17" s="93" t="n">
        <f aca="false">IF(ISBLANK(C17),IF(Fill_Example="Yes",F17,""),C17)</f>
        <v>15</v>
      </c>
    </row>
    <row r="19" customFormat="false" ht="15" hidden="false" customHeight="true" outlineLevel="0" collapsed="false">
      <c r="B19" s="74" t="s">
        <v>4375</v>
      </c>
      <c r="C19" s="77"/>
      <c r="D19" s="77"/>
      <c r="E19" s="77"/>
      <c r="F19" s="77"/>
      <c r="G19" s="77"/>
    </row>
    <row r="20" customFormat="false" ht="15" hidden="false" customHeight="true" outlineLevel="0" collapsed="false">
      <c r="B20" s="78" t="s">
        <v>4676</v>
      </c>
      <c r="C20" s="111" t="n">
        <f aca="false">IF(ISBLANK(Stmt_Total_Value),Amount,Stmt_Total_Value)</f>
        <v>6200</v>
      </c>
      <c r="D20" s="112" t="str">
        <f aca="false">IF(ISBLANK(Stmt_Total_Value),"Your figure","From your statement")</f>
        <v>Your figure</v>
      </c>
      <c r="E20" s="102" t="s">
        <v>4686</v>
      </c>
    </row>
    <row r="21" customFormat="false" ht="21.75" hidden="false" customHeight="true" outlineLevel="0" collapsed="false">
      <c r="B21" s="78" t="s">
        <v>4382</v>
      </c>
      <c r="C21" s="98" t="str">
        <f aca="true">IF(ISBLANK(Stmt_Statement_Date),"",IF(TODAY()-Stmt_Statement_Date&gt;Statement_Max_Age_Days,"Needs a look: statement is more than 12 months old","Up to date"))</f>
        <v/>
      </c>
      <c r="D21" s="80"/>
      <c r="E21" s="95" t="s">
        <v>4383</v>
      </c>
    </row>
    <row r="23" customFormat="false" ht="15" hidden="false" customHeight="true" outlineLevel="0" collapsed="false">
      <c r="B23" s="74" t="s">
        <v>4099</v>
      </c>
      <c r="C23" s="75" t="s">
        <v>329</v>
      </c>
      <c r="D23" s="75" t="s">
        <v>4295</v>
      </c>
      <c r="E23" s="75" t="s">
        <v>4296</v>
      </c>
      <c r="F23" s="77"/>
      <c r="G23" s="77"/>
    </row>
    <row r="24" customFormat="false" ht="17.25" hidden="false" customHeight="true" outlineLevel="0" collapsed="false">
      <c r="B24" s="71" t="s">
        <v>4974</v>
      </c>
      <c r="C24" s="94" t="n">
        <f aca="false">IF(Need_1&lt;&gt;"",Need_1,IF(Inflation_Choice="","Choose your inflation rate to see this",Future_Value/(1+Inflation_Choice)^Years))</f>
        <v>9576.98041132334</v>
      </c>
      <c r="D24" s="80" t="s">
        <v>966</v>
      </c>
      <c r="E24" s="95" t="s">
        <v>4975</v>
      </c>
    </row>
    <row r="25" customFormat="false" ht="17.25" hidden="false" customHeight="true" outlineLevel="0" collapsed="false">
      <c r="B25" s="71" t="s">
        <v>4976</v>
      </c>
      <c r="C25" s="94" t="n">
        <f aca="false">IF(Need_2&lt;&gt;"",Need_2,Used_Amount*(1+Nominal_Return)^Years)</f>
        <v>12889.3547123505</v>
      </c>
      <c r="D25" s="80" t="s">
        <v>966</v>
      </c>
      <c r="E25" s="95" t="s">
        <v>4977</v>
      </c>
    </row>
    <row r="26" customFormat="false" ht="17.25" hidden="false" customHeight="true" outlineLevel="0" collapsed="false">
      <c r="B26" s="71" t="s">
        <v>4978</v>
      </c>
      <c r="C26" s="134" t="n">
        <f aca="false">IF(Need_3&lt;&gt;"",Need_3,IF(Inflation_Choice="","Choose your inflation rate to see this",(1+Nominal_Return)/(1+Inflation_Choice)-1))</f>
        <v>0.0294117647058825</v>
      </c>
      <c r="D26" s="80"/>
      <c r="E26" s="95" t="s">
        <v>4979</v>
      </c>
    </row>
    <row r="27" customFormat="false" ht="15" hidden="false" customHeight="true" outlineLevel="0" collapsed="false">
      <c r="B27" s="12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121"/>
      <c r="D27" s="121"/>
      <c r="E27" s="121"/>
    </row>
    <row r="29" customFormat="false" ht="15" hidden="false" customHeight="true" outlineLevel="0" collapsed="false">
      <c r="B29" s="74" t="s">
        <v>4326</v>
      </c>
      <c r="C29" s="77"/>
      <c r="D29" s="77"/>
      <c r="E29" s="77"/>
      <c r="F29" s="77"/>
      <c r="G29" s="77"/>
    </row>
    <row r="30" customFormat="false" ht="13.5" hidden="false" customHeight="true" outlineLevel="0" collapsed="false">
      <c r="B30" s="99" t="s">
        <v>4980</v>
      </c>
      <c r="C30" s="99"/>
      <c r="D30" s="99"/>
      <c r="E30" s="99"/>
    </row>
    <row r="31" customFormat="false" ht="13.5" hidden="false" customHeight="true" outlineLevel="0" collapsed="false">
      <c r="B31" s="99" t="s">
        <v>4981</v>
      </c>
      <c r="C31" s="99"/>
      <c r="D31" s="99"/>
      <c r="E31" s="99"/>
    </row>
    <row r="32" customFormat="false" ht="13.5" hidden="false" customHeight="true" outlineLevel="0" collapsed="false">
      <c r="B32" s="100" t="s">
        <v>4329</v>
      </c>
      <c r="C32" s="100"/>
      <c r="D32" s="100"/>
      <c r="E32" s="100"/>
    </row>
    <row r="33" customFormat="false" ht="13.5" hidden="false" customHeight="true" outlineLevel="0" collapsed="false">
      <c r="B33" s="99" t="s">
        <v>4982</v>
      </c>
      <c r="C33" s="99"/>
      <c r="D33" s="99"/>
      <c r="E33" s="99"/>
    </row>
    <row r="35" customFormat="false" ht="15" hidden="false" customHeight="true" outlineLevel="0" collapsed="false">
      <c r="B35" s="74" t="s">
        <v>4334</v>
      </c>
      <c r="C35" s="77"/>
      <c r="D35" s="77"/>
      <c r="E35" s="77"/>
      <c r="F35" s="77"/>
      <c r="G35" s="77"/>
    </row>
    <row r="36" customFormat="false" ht="15" hidden="false" customHeight="true" outlineLevel="0" collapsed="false">
      <c r="B36" s="78" t="s">
        <v>1673</v>
      </c>
      <c r="C36" s="101" t="str">
        <f aca="false">"No goal"</f>
        <v>No goal</v>
      </c>
      <c r="E36" s="102" t="s">
        <v>4515</v>
      </c>
    </row>
    <row r="38" customFormat="false" ht="15" hidden="false" customHeight="true" outlineLevel="0" collapsed="false">
      <c r="B38" s="74" t="s">
        <v>4342</v>
      </c>
      <c r="C38" s="77"/>
      <c r="D38" s="77"/>
      <c r="E38" s="77"/>
      <c r="F38" s="77"/>
      <c r="G38" s="77"/>
    </row>
    <row r="39" customFormat="false" ht="15" hidden="false" customHeight="true" outlineLevel="0" collapsed="false">
      <c r="B39" s="105" t="s">
        <v>4983</v>
      </c>
      <c r="C39" s="105" t="str">
        <f aca="false">IF(Years="","Choose your years to see this",IF(NOT(ISNUMBER(Used_Amount)),IF(Used_Amount="",IF(Amount="","Choose your amount to see this",""),Used_Amount),IF(Inflation_Choice="","Choose your inflation rate to see this","")))</f>
        <v/>
      </c>
    </row>
    <row r="40" customFormat="false" ht="15" hidden="false" customHeight="true" outlineLevel="0" collapsed="false">
      <c r="B40" s="105" t="s">
        <v>4984</v>
      </c>
      <c r="C40" s="105" t="str">
        <f aca="false">IF(Years="","Choose your years to see this",IF(NOT(ISNUMBER(Used_Amount)),IF(Used_Amount="",IF(Amount="","Choose your amount to see this",""),Used_Amount),""))</f>
        <v/>
      </c>
    </row>
    <row r="41" customFormat="false" ht="15" hidden="false" customHeight="true" outlineLevel="0" collapsed="false">
      <c r="B41" s="105" t="s">
        <v>4985</v>
      </c>
      <c r="C41" s="105" t="str">
        <f aca="false">IF(Inflation_Choice="","Choose your inflation rate to see this","")</f>
        <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4986</v>
      </c>
      <c r="E1" s="70" t="s">
        <v>4987</v>
      </c>
    </row>
    <row r="2" customFormat="false" ht="15" hidden="false" customHeight="true" outlineLevel="0" collapsed="false">
      <c r="B2" s="71" t="s">
        <v>4988</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4989</v>
      </c>
    </row>
    <row r="5" customFormat="false" ht="15" hidden="false" customHeight="true" outlineLevel="0" collapsed="false">
      <c r="B5" s="74" t="s">
        <v>4601</v>
      </c>
      <c r="C5" s="75" t="s">
        <v>914</v>
      </c>
      <c r="D5" s="75" t="s">
        <v>915</v>
      </c>
      <c r="E5" s="75" t="s">
        <v>4277</v>
      </c>
      <c r="F5" s="76" t="s">
        <v>4278</v>
      </c>
      <c r="G5" s="77"/>
    </row>
    <row r="6" customFormat="false" ht="21.75" hidden="false" customHeight="true" outlineLevel="0" collapsed="false">
      <c r="B6" s="78" t="s">
        <v>4602</v>
      </c>
      <c r="C6" s="87"/>
      <c r="D6" s="80" t="s">
        <v>4287</v>
      </c>
      <c r="E6" s="88"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89" t="n">
        <v>0.02</v>
      </c>
      <c r="G6" s="90" t="n">
        <f aca="false">IF(ISBLANK(C6),IF(Fill_Example="Yes",F6,""),C6)</f>
        <v>0.02</v>
      </c>
    </row>
    <row r="7" customFormat="false" ht="27.75" hidden="false" customHeight="true" outlineLevel="0" collapsed="false">
      <c r="B7" s="10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06"/>
      <c r="D7" s="106"/>
      <c r="E7" s="106"/>
    </row>
    <row r="9" customFormat="false" ht="15" hidden="false" customHeight="true" outlineLevel="0" collapsed="false">
      <c r="B9" s="74" t="s">
        <v>4355</v>
      </c>
      <c r="C9" s="77"/>
      <c r="D9" s="77"/>
      <c r="E9" s="77"/>
      <c r="F9" s="77"/>
      <c r="G9" s="77"/>
    </row>
    <row r="10" customFormat="false" ht="27.75" hidden="false" customHeight="true" outlineLevel="0" collapsed="false">
      <c r="B10" s="106" t="s">
        <v>4671</v>
      </c>
      <c r="C10" s="106"/>
      <c r="D10" s="106"/>
      <c r="E10" s="106"/>
    </row>
    <row r="11" customFormat="false" ht="15" hidden="false" customHeight="true" outlineLevel="0" collapsed="false">
      <c r="B11" s="78" t="s">
        <v>4990</v>
      </c>
      <c r="C11" s="107"/>
      <c r="D11" s="80" t="s">
        <v>966</v>
      </c>
      <c r="E11" s="81" t="s">
        <v>4991</v>
      </c>
      <c r="G11" s="105" t="s">
        <v>4359</v>
      </c>
    </row>
    <row r="12" customFormat="false" ht="15" hidden="false" customHeight="true" outlineLevel="0" collapsed="false">
      <c r="B12" s="78" t="s">
        <v>4674</v>
      </c>
      <c r="C12" s="108"/>
      <c r="D12" s="80" t="s">
        <v>4287</v>
      </c>
      <c r="E12" s="81" t="s">
        <v>4675</v>
      </c>
      <c r="G12" s="105" t="s">
        <v>4359</v>
      </c>
    </row>
    <row r="13" customFormat="false" ht="15" hidden="false" customHeight="true" outlineLevel="0" collapsed="false">
      <c r="B13" s="78" t="s">
        <v>4364</v>
      </c>
      <c r="C13" s="110"/>
      <c r="D13" s="80" t="s">
        <v>924</v>
      </c>
      <c r="E13" s="81" t="s">
        <v>4365</v>
      </c>
      <c r="G13" s="105" t="s">
        <v>4359</v>
      </c>
    </row>
    <row r="15" customFormat="false" ht="15" hidden="false" customHeight="true" outlineLevel="0" collapsed="false">
      <c r="B15" s="74" t="s">
        <v>4366</v>
      </c>
      <c r="C15" s="75" t="s">
        <v>914</v>
      </c>
      <c r="D15" s="75" t="s">
        <v>915</v>
      </c>
      <c r="E15" s="75" t="s">
        <v>4277</v>
      </c>
      <c r="F15" s="76" t="s">
        <v>4278</v>
      </c>
      <c r="G15" s="77"/>
    </row>
    <row r="16" customFormat="false" ht="15" hidden="false" customHeight="true" outlineLevel="0" collapsed="false">
      <c r="B16" s="78" t="s">
        <v>4992</v>
      </c>
      <c r="C16" s="79"/>
      <c r="D16" s="80" t="s">
        <v>966</v>
      </c>
      <c r="E16" s="81" t="s">
        <v>4993</v>
      </c>
      <c r="F16" s="82" t="n">
        <v>300</v>
      </c>
      <c r="G16" s="83" t="n">
        <f aca="false">IF(ISBLANK(C16),IF(Fill_Example="Yes",F16,""),C16)</f>
        <v>300</v>
      </c>
    </row>
    <row r="17" customFormat="false" ht="15" hidden="false" customHeight="true" outlineLevel="0" collapsed="false">
      <c r="B17" s="78" t="s">
        <v>3924</v>
      </c>
      <c r="C17" s="91"/>
      <c r="D17" s="80" t="s">
        <v>1004</v>
      </c>
      <c r="E17" s="81" t="s">
        <v>4646</v>
      </c>
      <c r="F17" s="92" t="n">
        <v>15</v>
      </c>
      <c r="G17" s="93" t="n">
        <f aca="false">IF(ISBLANK(C17),IF(Fill_Example="Yes",F17,""),C17)</f>
        <v>15</v>
      </c>
    </row>
    <row r="18" customFormat="false" ht="21.75" hidden="false" customHeight="true" outlineLevel="0" collapsed="false">
      <c r="B18" s="78" t="s">
        <v>4994</v>
      </c>
      <c r="C18" s="87"/>
      <c r="D18" s="80" t="s">
        <v>4287</v>
      </c>
      <c r="E18" s="88" t="s">
        <v>4645</v>
      </c>
      <c r="F18" s="89" t="n">
        <f aca="false">Set_invGross</f>
        <v>0.05</v>
      </c>
      <c r="G18" s="90" t="n">
        <f aca="false">IF(ISBLANK(C18),F18,C18)</f>
        <v>0.05</v>
      </c>
    </row>
    <row r="19" customFormat="false" ht="21.75" hidden="false" customHeight="true" outlineLevel="0" collapsed="false">
      <c r="B19" s="78" t="s">
        <v>4679</v>
      </c>
      <c r="C19" s="87"/>
      <c r="D19" s="80" t="s">
        <v>4287</v>
      </c>
      <c r="E19" s="88"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89" t="n">
        <f aca="false">IF(ISNUMBER(Suggest_Fund_Charges),Suggest_Fund_Charges,"")</f>
        <v>0.01</v>
      </c>
      <c r="G19" s="90" t="n">
        <f aca="false">IF(ISBLANK(C19),IF(Fill_Example="Yes",F19,""),C19)</f>
        <v>0.01</v>
      </c>
    </row>
    <row r="20" customFormat="false" ht="15" hidden="false" customHeight="true" outlineLevel="0" collapsed="false">
      <c r="B20" s="78" t="s">
        <v>4682</v>
      </c>
      <c r="C20" s="84"/>
      <c r="D20" s="80" t="s">
        <v>4284</v>
      </c>
      <c r="E20" s="81" t="s">
        <v>4683</v>
      </c>
      <c r="F20" s="85" t="s">
        <v>452</v>
      </c>
      <c r="G20" s="86" t="str">
        <f aca="false">IF(ISBLANK(C20),F20,C20)</f>
        <v>No</v>
      </c>
    </row>
    <row r="22" customFormat="false" ht="15" hidden="false" customHeight="true" outlineLevel="0" collapsed="false">
      <c r="B22" s="74" t="s">
        <v>4375</v>
      </c>
      <c r="C22" s="77"/>
      <c r="D22" s="77"/>
      <c r="E22" s="77"/>
      <c r="F22" s="77"/>
      <c r="G22" s="77"/>
    </row>
    <row r="23" customFormat="false" ht="15" hidden="false" customHeight="true" outlineLevel="0" collapsed="false">
      <c r="B23" s="78" t="s">
        <v>4684</v>
      </c>
      <c r="C23" s="98" t="str">
        <f aca="false">IF(COUNTA(Stmt_Monthly_Invested,Stmt_Charges,Stmt_Statement_Date)&gt;0,"Yes","No")</f>
        <v>No</v>
      </c>
      <c r="D23" s="80"/>
      <c r="E23" s="95" t="s">
        <v>4995</v>
      </c>
    </row>
    <row r="24" customFormat="false" ht="15" hidden="false" customHeight="true" outlineLevel="0" collapsed="false">
      <c r="B24" s="78" t="s">
        <v>4992</v>
      </c>
      <c r="C24" s="111" t="n">
        <f aca="false">IF(ISBLANK(Stmt_Monthly_Invested),Monthly_Amount,Stmt_Monthly_Invested)</f>
        <v>300</v>
      </c>
      <c r="D24" s="112" t="str">
        <f aca="false">IF(ISBLANK(Stmt_Monthly_Invested),"Your figure","From your statement")</f>
        <v>Your figure</v>
      </c>
      <c r="E24" s="102" t="s">
        <v>4996</v>
      </c>
    </row>
    <row r="25" customFormat="false" ht="15" hidden="false" customHeight="true" outlineLevel="0" collapsed="false">
      <c r="B25" s="78" t="s">
        <v>4679</v>
      </c>
      <c r="C25" s="113" t="n">
        <f aca="false">IF(NOT(ISBLANK(Stmt_Charges)),Stmt_Charges,IF(Statement_Uploaded="Yes",0,Yearly_Fees))</f>
        <v>0.01</v>
      </c>
      <c r="D25" s="112" t="str">
        <f aca="false">IF(NOT(ISBLANK(Stmt_Charges)),"From your statement",IF(Statement_Uploaded="Yes","None shown on your statement","Your figure"))</f>
        <v>Your figure</v>
      </c>
      <c r="E25" s="102" t="s">
        <v>4687</v>
      </c>
    </row>
    <row r="26" customFormat="false" ht="21.75" hidden="false" customHeight="true" outlineLevel="0" collapsed="false">
      <c r="B26" s="78" t="s">
        <v>4382</v>
      </c>
      <c r="C26" s="98" t="str">
        <f aca="true">IF(ISBLANK(Stmt_Statement_Date),"",IF(TODAY()-Stmt_Statement_Date&gt;Statement_Max_Age_Days,"Needs a look: statement is more than 12 months old","Up to date"))</f>
        <v/>
      </c>
      <c r="D26" s="80"/>
      <c r="E26" s="95" t="s">
        <v>4383</v>
      </c>
    </row>
    <row r="28" customFormat="false" ht="15" hidden="false" customHeight="true" outlineLevel="0" collapsed="false">
      <c r="B28" s="74" t="s">
        <v>4099</v>
      </c>
      <c r="C28" s="75" t="s">
        <v>329</v>
      </c>
      <c r="D28" s="75" t="s">
        <v>4295</v>
      </c>
      <c r="E28" s="75" t="s">
        <v>4296</v>
      </c>
      <c r="F28" s="77"/>
      <c r="G28" s="77"/>
    </row>
    <row r="29" customFormat="false" ht="17.25" hidden="false" customHeight="true" outlineLevel="0" collapsed="false">
      <c r="B29" s="71" t="s">
        <v>4997</v>
      </c>
      <c r="C29" s="94" t="n">
        <f aca="false">IF(Need_1&lt;&gt;"",Need_1,IF(Adjust_For_Inflation="Yes",Value_Today,Value_After_Fees))</f>
        <v>73108.7854450597</v>
      </c>
      <c r="D29" s="80" t="s">
        <v>966</v>
      </c>
      <c r="E29" s="95" t="s">
        <v>4998</v>
      </c>
    </row>
    <row r="30" customFormat="false" ht="15" hidden="false" customHeight="true" outlineLevel="0" collapsed="false">
      <c r="B30" s="78" t="s">
        <v>4999</v>
      </c>
      <c r="C30" s="96" t="n">
        <f aca="false">IF(Need_1&lt;&gt;"",Need_1,FV((1+Growth_After_Fees)^(1/12)-1,Years*12,-Used_Monthly_Amount))</f>
        <v>73108.7854450597</v>
      </c>
      <c r="D30" s="80" t="s">
        <v>966</v>
      </c>
      <c r="E30" s="95" t="s">
        <v>5000</v>
      </c>
    </row>
    <row r="31" customFormat="false" ht="15" hidden="false" customHeight="true" outlineLevel="0" collapsed="false">
      <c r="B31" s="78" t="s">
        <v>5001</v>
      </c>
      <c r="C31" s="96" t="n">
        <f aca="false">IF(Need_2&lt;&gt;"",Need_2,FV((1+Growth_Rate)^(1/12)-1,Years*12,-Used_Monthly_Amount))</f>
        <v>79447.3783841599</v>
      </c>
      <c r="D31" s="80" t="s">
        <v>966</v>
      </c>
      <c r="E31" s="95" t="s">
        <v>5002</v>
      </c>
    </row>
    <row r="32" customFormat="false" ht="17.25" hidden="false" customHeight="true" outlineLevel="0" collapsed="false">
      <c r="B32" s="71" t="s">
        <v>4696</v>
      </c>
      <c r="C32" s="94" t="n">
        <f aca="false">IF(Need_1&lt;&gt;"",Need_1,Value_Before_Fees-Value_After_Fees)</f>
        <v>6338.59293910017</v>
      </c>
      <c r="D32" s="80" t="s">
        <v>966</v>
      </c>
      <c r="E32" s="95" t="s">
        <v>5003</v>
      </c>
    </row>
    <row r="33" customFormat="false" ht="15" hidden="false" customHeight="true" outlineLevel="0" collapsed="false">
      <c r="B33" s="78" t="s">
        <v>4651</v>
      </c>
      <c r="C33" s="96" t="n">
        <f aca="false">IF(Need_3&lt;&gt;"",Need_3,Used_Monthly_Amount*12*Years)</f>
        <v>54000</v>
      </c>
      <c r="D33" s="80" t="s">
        <v>966</v>
      </c>
      <c r="E33" s="95" t="s">
        <v>5004</v>
      </c>
    </row>
    <row r="34" customFormat="false" ht="15" hidden="false" customHeight="true" outlineLevel="0" collapsed="false">
      <c r="B34" s="78" t="s">
        <v>4649</v>
      </c>
      <c r="C34" s="96" t="n">
        <f aca="false">IF(Need_4&lt;&gt;"",Need_4,IF(Inflation_Choice="","Choose your inflation rate to see this",Value_After_Fees/(1+Inflation_Choice)^Years))</f>
        <v>54320.9044772496</v>
      </c>
      <c r="D34" s="80" t="s">
        <v>966</v>
      </c>
      <c r="E34" s="95" t="s">
        <v>5005</v>
      </c>
    </row>
    <row r="35" customFormat="false" ht="15" hidden="false" customHeight="true" outlineLevel="0" collapsed="false">
      <c r="B35" s="78" t="s">
        <v>4698</v>
      </c>
      <c r="C35" s="117" t="n">
        <f aca="false">IF(Need_5&lt;&gt;"",Need_5,(1+Growth_Rate)*(1-Used_Yearly_Fees)-1)</f>
        <v>0.0395000000000001</v>
      </c>
      <c r="D35" s="80"/>
      <c r="E35" s="95" t="s">
        <v>4699</v>
      </c>
    </row>
    <row r="36" customFormat="false" ht="15" hidden="false" customHeight="true" outlineLevel="0" collapsed="false">
      <c r="B36" s="78" t="s">
        <v>4700</v>
      </c>
      <c r="C36" s="117" t="n">
        <f aca="false">IF(Need_6&lt;&gt;"",Need_6,IF(Inflation_Choice="","Choose your inflation rate to see this",(1+Growth_After_Fees)/(1+Inflation_Choice)-1))</f>
        <v>0.0191176470588237</v>
      </c>
      <c r="D36" s="80"/>
      <c r="E36" s="95" t="s">
        <v>4701</v>
      </c>
    </row>
    <row r="37" customFormat="false" ht="15" hidden="false" customHeight="true" outlineLevel="0" collapsed="false">
      <c r="B37" s="12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121"/>
      <c r="D37" s="121"/>
      <c r="E37" s="121"/>
    </row>
    <row r="39" customFormat="false" ht="15" hidden="false" customHeight="true" outlineLevel="0" collapsed="false">
      <c r="B39" s="74" t="s">
        <v>4326</v>
      </c>
      <c r="C39" s="77"/>
      <c r="D39" s="77"/>
      <c r="E39" s="77"/>
      <c r="F39" s="77"/>
      <c r="G39" s="77"/>
    </row>
    <row r="40" customFormat="false" ht="27.75" hidden="false" customHeight="true" outlineLevel="0" collapsed="false">
      <c r="B40" s="99" t="s">
        <v>5006</v>
      </c>
      <c r="C40" s="99"/>
      <c r="D40" s="99"/>
      <c r="E40" s="99"/>
    </row>
    <row r="41" customFormat="false" ht="13.5" hidden="false" customHeight="true" outlineLevel="0" collapsed="false">
      <c r="B41" s="99" t="s">
        <v>5007</v>
      </c>
      <c r="C41" s="99"/>
      <c r="D41" s="99"/>
      <c r="E41" s="99"/>
    </row>
    <row r="42" customFormat="false" ht="13.5" hidden="false" customHeight="true" outlineLevel="0" collapsed="false">
      <c r="B42" s="100" t="s">
        <v>4329</v>
      </c>
      <c r="C42" s="100"/>
      <c r="D42" s="100"/>
      <c r="E42" s="100"/>
    </row>
    <row r="43" customFormat="false" ht="13.5" hidden="false" customHeight="true" outlineLevel="0" collapsed="false">
      <c r="B43" s="99" t="s">
        <v>5008</v>
      </c>
      <c r="C43" s="99"/>
      <c r="D43" s="99"/>
      <c r="E43" s="99"/>
    </row>
    <row r="45" customFormat="false" ht="15" hidden="false" customHeight="true" outlineLevel="0" collapsed="false">
      <c r="B45" s="74" t="s">
        <v>4334</v>
      </c>
      <c r="C45" s="77"/>
      <c r="D45" s="77"/>
      <c r="E45" s="77"/>
      <c r="F45" s="77"/>
      <c r="G45" s="77"/>
    </row>
    <row r="46" customFormat="false" ht="15" hidden="false" customHeight="true" outlineLevel="0" collapsed="false">
      <c r="B46" s="78" t="s">
        <v>1673</v>
      </c>
      <c r="C46" s="101" t="str">
        <f aca="false">"Grow my wealth (plan kind pot)"</f>
        <v>Grow my wealth (plan kind pot)</v>
      </c>
      <c r="E46" s="102" t="s">
        <v>4659</v>
      </c>
    </row>
    <row r="47" customFormat="false" ht="15" hidden="false" customHeight="true" outlineLevel="0" collapsed="false">
      <c r="B47" s="78" t="s">
        <v>4660</v>
      </c>
      <c r="C47" s="103" t="n">
        <f aca="false">IF(Need_1&lt;&gt;"",Need_1,IF(Inflation_Choice="","Choose an inflation rate first",ROUND(Value_Today,0)))</f>
        <v>54321</v>
      </c>
      <c r="E47" s="102" t="s">
        <v>4661</v>
      </c>
    </row>
    <row r="48" customFormat="false" ht="15" hidden="false" customHeight="true" outlineLevel="0" collapsed="false">
      <c r="B48" s="78" t="s">
        <v>4340</v>
      </c>
      <c r="C48" s="104" t="n">
        <f aca="false">IF(Need_7&lt;&gt;"",Need_7,Years)</f>
        <v>15</v>
      </c>
      <c r="E48" s="102" t="s">
        <v>4627</v>
      </c>
    </row>
    <row r="49" customFormat="false" ht="15" hidden="false" customHeight="true" outlineLevel="0" collapsed="false">
      <c r="B49" s="78" t="s">
        <v>4628</v>
      </c>
      <c r="C49" s="122" t="n">
        <f aca="false">IF(Inflation_Choice="","Choose an inflation rate first",Inflation_Choice)</f>
        <v>0.02</v>
      </c>
      <c r="E49" s="102" t="s">
        <v>4629</v>
      </c>
    </row>
    <row r="50" customFormat="false" ht="13.5" hidden="false" customHeight="true" outlineLevel="0" collapsed="false">
      <c r="B50" s="106" t="s">
        <v>5009</v>
      </c>
      <c r="C50" s="106"/>
      <c r="D50" s="106"/>
      <c r="E50" s="106"/>
    </row>
    <row r="52" customFormat="false" ht="15" hidden="false" customHeight="true" outlineLevel="0" collapsed="false">
      <c r="B52" s="74" t="s">
        <v>4342</v>
      </c>
      <c r="C52" s="77"/>
      <c r="D52" s="77"/>
      <c r="E52" s="77"/>
      <c r="F52" s="77"/>
      <c r="G52" s="77"/>
    </row>
    <row r="53" customFormat="false" ht="15" hidden="false" customHeight="true" outlineLevel="0" collapsed="false">
      <c r="B53" s="105" t="s">
        <v>5010</v>
      </c>
      <c r="C53" s="105"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
      </c>
    </row>
    <row r="54" customFormat="false" ht="15" hidden="false" customHeight="true" outlineLevel="0" collapsed="false">
      <c r="B54" s="105" t="s">
        <v>5011</v>
      </c>
      <c r="C54" s="105"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
      </c>
    </row>
    <row r="55" customFormat="false" ht="15" hidden="false" customHeight="true" outlineLevel="0" collapsed="false">
      <c r="B55" s="105" t="s">
        <v>5012</v>
      </c>
      <c r="C55" s="105"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
      </c>
    </row>
    <row r="56" customFormat="false" ht="15" hidden="false" customHeight="true" outlineLevel="0" collapsed="false">
      <c r="B56" s="105" t="s">
        <v>5013</v>
      </c>
      <c r="C56" s="105"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
      </c>
    </row>
    <row r="57" customFormat="false" ht="15" hidden="false" customHeight="true" outlineLevel="0" collapsed="false">
      <c r="B57" s="105" t="s">
        <v>4711</v>
      </c>
      <c r="C57" s="105" t="str">
        <f aca="false">IF(NOT(ISNUMBER(Used_Yearly_Fees)),IF(Used_Yearly_Fees="",IF(Yearly_Fees="","Choose your yearly fees to see this",""),Used_Yearly_Fees),"")</f>
        <v/>
      </c>
    </row>
    <row r="58" customFormat="false" ht="15" hidden="false" customHeight="true" outlineLevel="0" collapsed="false">
      <c r="B58" s="105" t="s">
        <v>4712</v>
      </c>
      <c r="C58" s="105" t="str">
        <f aca="false">IF(NOT(ISNUMBER(Used_Yearly_Fees)),IF(Used_Yearly_Fees="",IF(Yearly_Fees="","Choose your yearly fees to see this",""),Used_Yearly_Fees),IF(Inflation_Choice="","Choose your inflation rate to see this",""))</f>
        <v/>
      </c>
    </row>
    <row r="59" customFormat="false" ht="15" hidden="false" customHeight="true" outlineLevel="0" collapsed="false">
      <c r="B59" s="105" t="s">
        <v>4666</v>
      </c>
      <c r="C59" s="105" t="str">
        <f aca="false">IF(Years="","Choose your years to see this",IF(NOT(ISNUMBER(Used_Yearly_Fees)),IF(Used_Yearly_Fees="",IF(Yearly_Fees="","Choose your yearly fees to see this",""),Used_Yearly_Fees),""))</f>
        <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5014</v>
      </c>
      <c r="E1" s="70" t="s">
        <v>5015</v>
      </c>
    </row>
    <row r="2" customFormat="false" ht="15" hidden="false" customHeight="true" outlineLevel="0" collapsed="false">
      <c r="B2" s="71" t="s">
        <v>5016</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5017</v>
      </c>
    </row>
    <row r="5" customFormat="false" ht="15" hidden="false" customHeight="true" outlineLevel="0" collapsed="false">
      <c r="B5" s="74" t="s">
        <v>4355</v>
      </c>
      <c r="C5" s="77"/>
      <c r="D5" s="77"/>
      <c r="E5" s="77"/>
      <c r="F5" s="77"/>
      <c r="G5" s="77"/>
    </row>
    <row r="6" customFormat="false" ht="27.75" hidden="false" customHeight="true" outlineLevel="0" collapsed="false">
      <c r="B6" s="106" t="s">
        <v>4671</v>
      </c>
      <c r="C6" s="106"/>
      <c r="D6" s="106"/>
      <c r="E6" s="106"/>
    </row>
    <row r="7" customFormat="false" ht="15" hidden="false" customHeight="true" outlineLevel="0" collapsed="false">
      <c r="B7" s="78" t="s">
        <v>4672</v>
      </c>
      <c r="C7" s="107"/>
      <c r="D7" s="80" t="s">
        <v>966</v>
      </c>
      <c r="E7" s="81" t="s">
        <v>4673</v>
      </c>
      <c r="G7" s="105" t="s">
        <v>4359</v>
      </c>
    </row>
    <row r="8" customFormat="false" ht="15" hidden="false" customHeight="true" outlineLevel="0" collapsed="false">
      <c r="B8" s="78" t="s">
        <v>4674</v>
      </c>
      <c r="C8" s="108"/>
      <c r="D8" s="80" t="s">
        <v>4287</v>
      </c>
      <c r="E8" s="81" t="s">
        <v>4675</v>
      </c>
      <c r="G8" s="105" t="s">
        <v>4359</v>
      </c>
    </row>
    <row r="9" customFormat="false" ht="15" hidden="false" customHeight="true" outlineLevel="0" collapsed="false">
      <c r="B9" s="78" t="s">
        <v>4364</v>
      </c>
      <c r="C9" s="110"/>
      <c r="D9" s="80" t="s">
        <v>924</v>
      </c>
      <c r="E9" s="81" t="s">
        <v>4365</v>
      </c>
      <c r="G9" s="105" t="s">
        <v>4359</v>
      </c>
    </row>
    <row r="11" customFormat="false" ht="15" hidden="false" customHeight="true" outlineLevel="0" collapsed="false">
      <c r="B11" s="74" t="s">
        <v>4366</v>
      </c>
      <c r="C11" s="75" t="s">
        <v>914</v>
      </c>
      <c r="D11" s="75" t="s">
        <v>915</v>
      </c>
      <c r="E11" s="75" t="s">
        <v>4277</v>
      </c>
      <c r="F11" s="76" t="s">
        <v>4278</v>
      </c>
      <c r="G11" s="77"/>
    </row>
    <row r="12" customFormat="false" ht="21.75" hidden="false" customHeight="true" outlineLevel="0" collapsed="false">
      <c r="B12" s="78" t="s">
        <v>5018</v>
      </c>
      <c r="C12" s="79"/>
      <c r="D12" s="80" t="s">
        <v>966</v>
      </c>
      <c r="E12" s="81" t="s">
        <v>5019</v>
      </c>
      <c r="F12" s="82" t="n">
        <v>50000</v>
      </c>
      <c r="G12" s="83" t="n">
        <f aca="false">IF(ISBLANK(C12),IF(Has_invest=1,In_invest,IF(Fill_Example="Yes",F12,"")),C12)</f>
        <v>6200</v>
      </c>
    </row>
    <row r="13" customFormat="false" ht="15" hidden="false" customHeight="true" outlineLevel="0" collapsed="false">
      <c r="B13" s="78" t="s">
        <v>3924</v>
      </c>
      <c r="C13" s="91"/>
      <c r="D13" s="80" t="s">
        <v>1004</v>
      </c>
      <c r="E13" s="81" t="s">
        <v>4646</v>
      </c>
      <c r="F13" s="92" t="n">
        <v>20</v>
      </c>
      <c r="G13" s="93" t="n">
        <f aca="false">IF(ISBLANK(C13),IF(Fill_Example="Yes",F13,""),C13)</f>
        <v>20</v>
      </c>
    </row>
    <row r="14" customFormat="false" ht="21.75" hidden="false" customHeight="true" outlineLevel="0" collapsed="false">
      <c r="B14" s="78" t="s">
        <v>4994</v>
      </c>
      <c r="C14" s="87"/>
      <c r="D14" s="80" t="s">
        <v>4287</v>
      </c>
      <c r="E14" s="88" t="s">
        <v>4645</v>
      </c>
      <c r="F14" s="89" t="n">
        <f aca="false">Set_invGross</f>
        <v>0.05</v>
      </c>
      <c r="G14" s="90" t="n">
        <f aca="false">IF(ISBLANK(C14),F14,C14)</f>
        <v>0.05</v>
      </c>
    </row>
    <row r="15" customFormat="false" ht="21.75" hidden="false" customHeight="true" outlineLevel="0" collapsed="false">
      <c r="B15" s="78" t="s">
        <v>5020</v>
      </c>
      <c r="C15" s="87"/>
      <c r="D15" s="80" t="s">
        <v>4287</v>
      </c>
      <c r="E15" s="88"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89" t="n">
        <f aca="false">IF(ISNUMBER(Suggest_Fund_Charges),Suggest_Fund_Charges,"")</f>
        <v>0.01</v>
      </c>
      <c r="G15" s="90" t="n">
        <f aca="false">IF(ISBLANK(C15),IF(Fill_Example="Yes",F15,""),C15)</f>
        <v>0.01</v>
      </c>
    </row>
    <row r="16" customFormat="false" ht="21.75" hidden="false" customHeight="true" outlineLevel="0" collapsed="false">
      <c r="B16" s="78" t="s">
        <v>5021</v>
      </c>
      <c r="C16" s="87"/>
      <c r="D16" s="80" t="s">
        <v>4287</v>
      </c>
      <c r="E16" s="88"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89" t="n">
        <f aca="false">IF(ISNUMBER(Suggest_Fund_Charges),Suggest_Fund_Charges,"")</f>
        <v>0.01</v>
      </c>
      <c r="G16" s="90" t="n">
        <f aca="false">IF(ISBLANK(C16),IF(Fill_Example="Yes",F16,""),C16)</f>
        <v>0.01</v>
      </c>
    </row>
    <row r="18" customFormat="false" ht="15" hidden="false" customHeight="true" outlineLevel="0" collapsed="false">
      <c r="B18" s="74" t="s">
        <v>4375</v>
      </c>
      <c r="C18" s="77"/>
      <c r="D18" s="77"/>
      <c r="E18" s="77"/>
      <c r="F18" s="77"/>
      <c r="G18" s="77"/>
    </row>
    <row r="19" customFormat="false" ht="15" hidden="false" customHeight="true" outlineLevel="0" collapsed="false">
      <c r="B19" s="78" t="s">
        <v>4684</v>
      </c>
      <c r="C19" s="98" t="str">
        <f aca="false">IF(COUNTA(Stmt_Total_Value,Stmt_Charges,Stmt_Statement_Date)&gt;0,"Yes","No")</f>
        <v>No</v>
      </c>
      <c r="D19" s="80"/>
      <c r="E19" s="95" t="s">
        <v>4685</v>
      </c>
    </row>
    <row r="20" customFormat="false" ht="15" hidden="false" customHeight="true" outlineLevel="0" collapsed="false">
      <c r="B20" s="78" t="s">
        <v>5018</v>
      </c>
      <c r="C20" s="111" t="n">
        <f aca="false">IF(ISBLANK(Stmt_Total_Value),Amount_Invested,Stmt_Total_Value)</f>
        <v>6200</v>
      </c>
      <c r="D20" s="112" t="str">
        <f aca="false">IF(ISBLANK(Stmt_Total_Value),"Your figure","From your statement")</f>
        <v>Your figure</v>
      </c>
      <c r="E20" s="102" t="s">
        <v>5022</v>
      </c>
    </row>
    <row r="21" customFormat="false" ht="15" hidden="false" customHeight="true" outlineLevel="0" collapsed="false">
      <c r="B21" s="78" t="s">
        <v>5023</v>
      </c>
      <c r="C21" s="113" t="n">
        <f aca="false">IF(NOT(ISBLANK(Stmt_Charges)),Stmt_Charges,IF(Statement_Uploaded="Yes",0,Fee_A))</f>
        <v>0.01</v>
      </c>
      <c r="D21" s="112" t="str">
        <f aca="false">IF(NOT(ISBLANK(Stmt_Charges)),"From your statement",IF(Statement_Uploaded="Yes","None shown on your statement","Your figure"))</f>
        <v>Your figure</v>
      </c>
      <c r="E21" s="102" t="s">
        <v>5024</v>
      </c>
    </row>
    <row r="22" customFormat="false" ht="21.75" hidden="false" customHeight="true" outlineLevel="0" collapsed="false">
      <c r="B22" s="78" t="s">
        <v>4382</v>
      </c>
      <c r="C22" s="98" t="str">
        <f aca="true">IF(ISBLANK(Stmt_Statement_Date),"",IF(TODAY()-Stmt_Statement_Date&gt;Statement_Max_Age_Days,"Needs a look: statement is more than 12 months old","Up to date"))</f>
        <v/>
      </c>
      <c r="D22" s="80"/>
      <c r="E22" s="95" t="s">
        <v>4383</v>
      </c>
    </row>
    <row r="24" customFormat="false" ht="15" hidden="false" customHeight="true" outlineLevel="0" collapsed="false">
      <c r="B24" s="74" t="s">
        <v>4099</v>
      </c>
      <c r="C24" s="75" t="s">
        <v>329</v>
      </c>
      <c r="D24" s="75" t="s">
        <v>4295</v>
      </c>
      <c r="E24" s="75" t="s">
        <v>4296</v>
      </c>
      <c r="F24" s="77"/>
      <c r="G24" s="77"/>
    </row>
    <row r="25" customFormat="false" ht="17.25" hidden="false" customHeight="true" outlineLevel="0" collapsed="false">
      <c r="B25" s="71" t="s">
        <v>5025</v>
      </c>
      <c r="C25" s="94" t="n">
        <f aca="false">IF(Need_1&lt;&gt;"",Need_1,ABS(Value_With_Fee_A-Value_With_Fee_B))</f>
        <v>0</v>
      </c>
      <c r="D25" s="80" t="s">
        <v>966</v>
      </c>
      <c r="E25" s="95" t="s">
        <v>5026</v>
      </c>
    </row>
    <row r="26" customFormat="false" ht="17.25" hidden="false" customHeight="true" outlineLevel="0" collapsed="false">
      <c r="B26" s="71" t="s">
        <v>5027</v>
      </c>
      <c r="C26" s="94" t="n">
        <f aca="false">IF(Need_2&lt;&gt;"",Need_2,Used_Amount_Invested*((1+Growth_Rate)*(1-Used_Fee_A))^Years)</f>
        <v>13454.9337234003</v>
      </c>
      <c r="D26" s="80" t="s">
        <v>966</v>
      </c>
      <c r="E26" s="95" t="s">
        <v>5028</v>
      </c>
    </row>
    <row r="27" customFormat="false" ht="17.25" hidden="false" customHeight="true" outlineLevel="0" collapsed="false">
      <c r="B27" s="71" t="s">
        <v>5029</v>
      </c>
      <c r="C27" s="94" t="n">
        <f aca="false">IF(Need_3&lt;&gt;"",Need_3,Used_Amount_Invested*((1+Growth_Rate)*(1-Fee_B))^Years)</f>
        <v>13454.9337234003</v>
      </c>
      <c r="D27" s="80" t="s">
        <v>966</v>
      </c>
      <c r="E27" s="95" t="s">
        <v>5030</v>
      </c>
    </row>
    <row r="28" customFormat="false" ht="15" hidden="false" customHeight="true" outlineLevel="0" collapsed="false">
      <c r="B28" s="78" t="s">
        <v>5031</v>
      </c>
      <c r="C28" s="118" t="n">
        <f aca="false">IF(Need_4&lt;&gt;"",Need_4,ABS(Fee_B-Used_Fee_A))</f>
        <v>0</v>
      </c>
      <c r="D28" s="80" t="s">
        <v>4287</v>
      </c>
      <c r="E28" s="95" t="s">
        <v>5032</v>
      </c>
    </row>
    <row r="30" customFormat="false" ht="15" hidden="false" customHeight="true" outlineLevel="0" collapsed="false">
      <c r="B30" s="74" t="s">
        <v>4326</v>
      </c>
      <c r="C30" s="77"/>
      <c r="D30" s="77"/>
      <c r="E30" s="77"/>
      <c r="F30" s="77"/>
      <c r="G30" s="77"/>
    </row>
    <row r="31" customFormat="false" ht="13.5" hidden="false" customHeight="true" outlineLevel="0" collapsed="false">
      <c r="B31" s="99" t="s">
        <v>5033</v>
      </c>
      <c r="C31" s="99"/>
      <c r="D31" s="99"/>
      <c r="E31" s="99"/>
    </row>
    <row r="32" customFormat="false" ht="13.5" hidden="false" customHeight="true" outlineLevel="0" collapsed="false">
      <c r="B32" s="100" t="s">
        <v>4329</v>
      </c>
      <c r="C32" s="100"/>
      <c r="D32" s="100"/>
      <c r="E32" s="100"/>
    </row>
    <row r="33" customFormat="false" ht="13.5" hidden="false" customHeight="true" outlineLevel="0" collapsed="false">
      <c r="B33" s="99" t="s">
        <v>5034</v>
      </c>
      <c r="C33" s="99"/>
      <c r="D33" s="99"/>
      <c r="E33" s="99"/>
    </row>
    <row r="35" customFormat="false" ht="15" hidden="false" customHeight="true" outlineLevel="0" collapsed="false">
      <c r="B35" s="74" t="s">
        <v>4334</v>
      </c>
      <c r="C35" s="77"/>
      <c r="D35" s="77"/>
      <c r="E35" s="77"/>
      <c r="F35" s="77"/>
      <c r="G35" s="77"/>
    </row>
    <row r="36" customFormat="false" ht="15" hidden="false" customHeight="true" outlineLevel="0" collapsed="false">
      <c r="B36" s="78" t="s">
        <v>1673</v>
      </c>
      <c r="C36" s="101" t="str">
        <f aca="false">"No goal"</f>
        <v>No goal</v>
      </c>
      <c r="E36" s="102" t="s">
        <v>4515</v>
      </c>
    </row>
    <row r="38" customFormat="false" ht="15" hidden="false" customHeight="true" outlineLevel="0" collapsed="false">
      <c r="B38" s="74" t="s">
        <v>4342</v>
      </c>
      <c r="C38" s="77"/>
      <c r="D38" s="77"/>
      <c r="E38" s="77"/>
      <c r="F38" s="77"/>
      <c r="G38" s="77"/>
    </row>
    <row r="39" customFormat="false" ht="15" hidden="false" customHeight="true" outlineLevel="0" collapsed="false">
      <c r="B39" s="105" t="s">
        <v>5035</v>
      </c>
      <c r="C39" s="105"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
      </c>
    </row>
    <row r="40" customFormat="false" ht="15" hidden="false" customHeight="true" outlineLevel="0" collapsed="false">
      <c r="B40" s="105" t="s">
        <v>5036</v>
      </c>
      <c r="C40" s="105"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
      </c>
    </row>
    <row r="41" customFormat="false" ht="15" hidden="false" customHeight="true" outlineLevel="0" collapsed="false">
      <c r="B41" s="105" t="s">
        <v>5037</v>
      </c>
      <c r="C41" s="105"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
      </c>
    </row>
    <row r="42" customFormat="false" ht="15" hidden="false" customHeight="true" outlineLevel="0" collapsed="false">
      <c r="B42" s="105" t="s">
        <v>5038</v>
      </c>
      <c r="C42" s="105" t="str">
        <f aca="false">IF(NOT(ISNUMBER(Used_Fee_A)),IF(Used_Fee_A="",IF(Fee_A="","Choose the first fee (fee A) to see this",""),Used_Fee_A),IF(Fee_B="","Choose the second fee (fee B) to see this",""))</f>
        <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5039</v>
      </c>
      <c r="E1" s="70" t="s">
        <v>5040</v>
      </c>
    </row>
    <row r="2" customFormat="false" ht="15" hidden="false" customHeight="true" outlineLevel="0" collapsed="false">
      <c r="B2" s="71" t="s">
        <v>5041</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5042</v>
      </c>
    </row>
    <row r="5" customFormat="false" ht="15" hidden="false" customHeight="true" outlineLevel="0" collapsed="false">
      <c r="B5" s="74" t="s">
        <v>4355</v>
      </c>
      <c r="C5" s="77"/>
      <c r="D5" s="77"/>
      <c r="E5" s="77"/>
      <c r="F5" s="77"/>
      <c r="G5" s="77"/>
    </row>
    <row r="6" customFormat="false" ht="27.75" hidden="false" customHeight="true" outlineLevel="0" collapsed="false">
      <c r="B6" s="106" t="s">
        <v>4671</v>
      </c>
      <c r="C6" s="106"/>
      <c r="D6" s="106"/>
      <c r="E6" s="106"/>
    </row>
    <row r="7" customFormat="false" ht="15" hidden="false" customHeight="true" outlineLevel="0" collapsed="false">
      <c r="B7" s="78" t="s">
        <v>4672</v>
      </c>
      <c r="C7" s="107"/>
      <c r="D7" s="80" t="s">
        <v>966</v>
      </c>
      <c r="E7" s="81" t="s">
        <v>4673</v>
      </c>
      <c r="G7" s="105" t="s">
        <v>4359</v>
      </c>
    </row>
    <row r="8" customFormat="false" ht="15" hidden="false" customHeight="true" outlineLevel="0" collapsed="false">
      <c r="B8" s="78" t="s">
        <v>5043</v>
      </c>
      <c r="C8" s="108"/>
      <c r="D8" s="80" t="s">
        <v>4287</v>
      </c>
      <c r="E8" s="81" t="s">
        <v>5044</v>
      </c>
      <c r="G8" s="105" t="s">
        <v>4359</v>
      </c>
    </row>
    <row r="9" customFormat="false" ht="15" hidden="false" customHeight="true" outlineLevel="0" collapsed="false">
      <c r="B9" s="78" t="s">
        <v>4364</v>
      </c>
      <c r="C9" s="110"/>
      <c r="D9" s="80" t="s">
        <v>924</v>
      </c>
      <c r="E9" s="81" t="s">
        <v>4365</v>
      </c>
      <c r="G9" s="105" t="s">
        <v>4359</v>
      </c>
    </row>
    <row r="11" customFormat="false" ht="15" hidden="false" customHeight="true" outlineLevel="0" collapsed="false">
      <c r="B11" s="74" t="s">
        <v>4366</v>
      </c>
      <c r="C11" s="75" t="s">
        <v>914</v>
      </c>
      <c r="D11" s="75" t="s">
        <v>915</v>
      </c>
      <c r="E11" s="75" t="s">
        <v>4277</v>
      </c>
      <c r="F11" s="76" t="s">
        <v>4278</v>
      </c>
      <c r="G11" s="77"/>
    </row>
    <row r="12" customFormat="false" ht="21.75" hidden="false" customHeight="true" outlineLevel="0" collapsed="false">
      <c r="B12" s="78" t="s">
        <v>4676</v>
      </c>
      <c r="C12" s="79"/>
      <c r="D12" s="80" t="s">
        <v>966</v>
      </c>
      <c r="E12" s="81" t="s">
        <v>5019</v>
      </c>
      <c r="F12" s="82" t="n">
        <v>20000</v>
      </c>
      <c r="G12" s="83" t="n">
        <f aca="false">IF(ISBLANK(C12),IF(Has_invest=1,In_invest,IF(Fill_Example="Yes",F12,"")),C12)</f>
        <v>6200</v>
      </c>
    </row>
    <row r="13" customFormat="false" ht="15" hidden="false" customHeight="true" outlineLevel="0" collapsed="false">
      <c r="B13" s="78" t="s">
        <v>3924</v>
      </c>
      <c r="C13" s="91"/>
      <c r="D13" s="80" t="s">
        <v>1004</v>
      </c>
      <c r="E13" s="81" t="s">
        <v>4553</v>
      </c>
      <c r="F13" s="92" t="n">
        <v>10</v>
      </c>
      <c r="G13" s="93" t="n">
        <f aca="false">IF(AND(ISNUMBER(C13),N(C13)&lt;1),"",IF(ISBLANK(C13),IF(Fill_Example="Yes",F13,""),C13))</f>
        <v>10</v>
      </c>
    </row>
    <row r="14" customFormat="false" ht="21.75" hidden="false" customHeight="true" outlineLevel="0" collapsed="false">
      <c r="B14" s="78" t="s">
        <v>5045</v>
      </c>
      <c r="C14" s="91"/>
      <c r="D14" s="80" t="s">
        <v>5046</v>
      </c>
      <c r="E14" s="88" t="s">
        <v>5047</v>
      </c>
      <c r="F14" s="92" t="n">
        <f aca="false">Set_style</f>
        <v>2</v>
      </c>
      <c r="G14" s="93" t="n">
        <f aca="false">IF(AND(ISNUMBER(C14),OR(N(C14)&lt;1,N(C14)&gt;3)),"",IF(ISBLANK(C14),F14,C14))</f>
        <v>2</v>
      </c>
    </row>
    <row r="15" customFormat="false" ht="21.75" hidden="false" customHeight="true" outlineLevel="0" collapsed="false">
      <c r="B15" s="78" t="s">
        <v>5048</v>
      </c>
      <c r="C15" s="87"/>
      <c r="D15" s="80" t="s">
        <v>4287</v>
      </c>
      <c r="E15" s="88" t="s">
        <v>5049</v>
      </c>
      <c r="F15" s="89" t="n">
        <f aca="false">Set_riskMu_1</f>
        <v>0.02</v>
      </c>
      <c r="G15" s="90" t="n">
        <f aca="false">IF(ISBLANK(C15),F15,C15)</f>
        <v>0.02</v>
      </c>
    </row>
    <row r="16" customFormat="false" ht="21.75" hidden="false" customHeight="true" outlineLevel="0" collapsed="false">
      <c r="B16" s="78" t="s">
        <v>5050</v>
      </c>
      <c r="C16" s="87"/>
      <c r="D16" s="80" t="s">
        <v>4287</v>
      </c>
      <c r="E16" s="88" t="s">
        <v>5051</v>
      </c>
      <c r="F16" s="89" t="n">
        <f aca="false">Set_riskMu_2</f>
        <v>0.04</v>
      </c>
      <c r="G16" s="90" t="n">
        <f aca="false">IF(ISBLANK(C16),F16,C16)</f>
        <v>0.04</v>
      </c>
    </row>
    <row r="17" customFormat="false" ht="21.75" hidden="false" customHeight="true" outlineLevel="0" collapsed="false">
      <c r="B17" s="78" t="s">
        <v>5052</v>
      </c>
      <c r="C17" s="87"/>
      <c r="D17" s="80" t="s">
        <v>4287</v>
      </c>
      <c r="E17" s="88" t="s">
        <v>5053</v>
      </c>
      <c r="F17" s="89" t="n">
        <f aca="false">Set_riskMu_3</f>
        <v>0.06</v>
      </c>
      <c r="G17" s="90" t="n">
        <f aca="false">IF(ISBLANK(C17),F17,C17)</f>
        <v>0.06</v>
      </c>
    </row>
    <row r="18" customFormat="false" ht="21.75" hidden="false" customHeight="true" outlineLevel="0" collapsed="false">
      <c r="B18" s="78" t="s">
        <v>5054</v>
      </c>
      <c r="C18" s="87"/>
      <c r="D18" s="80" t="s">
        <v>4287</v>
      </c>
      <c r="E18" s="88" t="s">
        <v>5055</v>
      </c>
      <c r="F18" s="89" t="n">
        <f aca="false">Set_riskVol_1</f>
        <v>0.05</v>
      </c>
      <c r="G18" s="90" t="n">
        <f aca="false">IF(ISBLANK(C18),F18,C18)</f>
        <v>0.05</v>
      </c>
    </row>
    <row r="19" customFormat="false" ht="21.75" hidden="false" customHeight="true" outlineLevel="0" collapsed="false">
      <c r="B19" s="78" t="s">
        <v>5056</v>
      </c>
      <c r="C19" s="87"/>
      <c r="D19" s="80" t="s">
        <v>4287</v>
      </c>
      <c r="E19" s="88" t="s">
        <v>5057</v>
      </c>
      <c r="F19" s="89" t="n">
        <f aca="false">Set_riskVol_2</f>
        <v>0.1</v>
      </c>
      <c r="G19" s="90" t="n">
        <f aca="false">IF(ISBLANK(C19),F19,C19)</f>
        <v>0.1</v>
      </c>
    </row>
    <row r="20" customFormat="false" ht="21.75" hidden="false" customHeight="true" outlineLevel="0" collapsed="false">
      <c r="B20" s="78" t="s">
        <v>5058</v>
      </c>
      <c r="C20" s="87"/>
      <c r="D20" s="80" t="s">
        <v>4287</v>
      </c>
      <c r="E20" s="88" t="s">
        <v>5059</v>
      </c>
      <c r="F20" s="89" t="n">
        <f aca="false">Set_riskVol_3</f>
        <v>0.16</v>
      </c>
      <c r="G20" s="90" t="n">
        <f aca="false">IF(ISBLANK(C20),F20,C20)</f>
        <v>0.16</v>
      </c>
    </row>
    <row r="22" customFormat="false" ht="15" hidden="false" customHeight="true" outlineLevel="0" collapsed="false">
      <c r="B22" s="74" t="s">
        <v>4375</v>
      </c>
      <c r="C22" s="77"/>
      <c r="D22" s="77"/>
      <c r="E22" s="77"/>
      <c r="F22" s="77"/>
      <c r="G22" s="77"/>
    </row>
    <row r="23" customFormat="false" ht="15" hidden="false" customHeight="true" outlineLevel="0" collapsed="false">
      <c r="B23" s="78" t="s">
        <v>4676</v>
      </c>
      <c r="C23" s="111" t="n">
        <f aca="false">IF(ISBLANK(Stmt_Total_Value),Amount,Stmt_Total_Value)</f>
        <v>6200</v>
      </c>
      <c r="D23" s="112" t="str">
        <f aca="false">IF(ISBLANK(Stmt_Total_Value),"Your figure","From your statement")</f>
        <v>Your figure</v>
      </c>
      <c r="E23" s="102" t="s">
        <v>4686</v>
      </c>
    </row>
    <row r="24" customFormat="false" ht="15" hidden="false" customHeight="true" outlineLevel="0" collapsed="false">
      <c r="B24" s="78" t="s">
        <v>5060</v>
      </c>
      <c r="C24" s="114" t="n">
        <f aca="false">IF(ISBLANK(Stmt_Shares_Pct),Style,IF(Stmt_Shares_Pct&gt;=Shares_For_Growth,3,IF(Stmt_Shares_Pct&gt;=Shares_For_Balanced,2,1)))</f>
        <v>2</v>
      </c>
      <c r="D24" s="112" t="str">
        <f aca="false">IF(ISBLANK(Stmt_Shares_Pct),"Your figure","From your statement (holdings in shares)")</f>
        <v>Your figure</v>
      </c>
      <c r="E24" s="102" t="s">
        <v>5061</v>
      </c>
    </row>
    <row r="25" customFormat="false" ht="21.75" hidden="false" customHeight="true" outlineLevel="0" collapsed="false">
      <c r="B25" s="78" t="s">
        <v>4382</v>
      </c>
      <c r="C25" s="98" t="str">
        <f aca="true">IF(ISBLANK(Stmt_Statement_Date),"",IF(TODAY()-Stmt_Statement_Date&gt;Statement_Max_Age_Days,"Needs a look: statement is more than 12 months old","Up to date"))</f>
        <v/>
      </c>
      <c r="D25" s="80"/>
      <c r="E25" s="95" t="s">
        <v>4383</v>
      </c>
    </row>
    <row r="27" customFormat="false" ht="15" hidden="false" customHeight="true" outlineLevel="0" collapsed="false">
      <c r="B27" s="74" t="s">
        <v>4099</v>
      </c>
      <c r="C27" s="75" t="s">
        <v>329</v>
      </c>
      <c r="D27" s="75" t="s">
        <v>4295</v>
      </c>
      <c r="E27" s="75" t="s">
        <v>4296</v>
      </c>
      <c r="F27" s="77"/>
      <c r="G27" s="77"/>
    </row>
    <row r="28" customFormat="false" ht="17.25" hidden="false" customHeight="true" outlineLevel="0" collapsed="false">
      <c r="B28" s="71" t="s">
        <v>5062</v>
      </c>
      <c r="C28" s="94" t="n">
        <f aca="false">IF(Need_1&lt;&gt;"",Need_1,Used_Amount*(1+Middle_Growth)^Years)</f>
        <v>9177.51456649374</v>
      </c>
      <c r="D28" s="116" t="str">
        <f aca="false">IF(Need_1&lt;&gt;"",Need_1,Style_Name&amp;" · middle outcome")</f>
        <v>Balanced · middle outcome</v>
      </c>
      <c r="E28" s="95" t="s">
        <v>5063</v>
      </c>
    </row>
    <row r="29" customFormat="false" ht="17.25" hidden="false" customHeight="true" outlineLevel="0" collapsed="false">
      <c r="B29" s="71" t="s">
        <v>5064</v>
      </c>
      <c r="C29" s="94" t="n">
        <f aca="false">IF(Need_2&lt;&gt;"",Need_2,Used_Amount*(1+Middle_Growth-Spread)^Years)</f>
        <v>6739.41134853063</v>
      </c>
      <c r="D29" s="80" t="s">
        <v>966</v>
      </c>
      <c r="E29" s="95" t="s">
        <v>5065</v>
      </c>
    </row>
    <row r="30" customFormat="false" ht="17.25" hidden="false" customHeight="true" outlineLevel="0" collapsed="false">
      <c r="B30" s="71" t="s">
        <v>5066</v>
      </c>
      <c r="C30" s="94" t="n">
        <f aca="false">IF(Need_2&lt;&gt;"",Need_2,Used_Amount*(1+Middle_Growth+Spread)^Years)</f>
        <v>12382.5772522224</v>
      </c>
      <c r="D30" s="80" t="s">
        <v>966</v>
      </c>
      <c r="E30" s="95" t="s">
        <v>5067</v>
      </c>
    </row>
    <row r="31" customFormat="false" ht="15" hidden="false" customHeight="true" outlineLevel="0" collapsed="false">
      <c r="B31" s="78" t="s">
        <v>5068</v>
      </c>
      <c r="C31" s="118" t="n">
        <f aca="false">IF(Need_3&lt;&gt;"",Need_3,ROUND((Volatility*One_In_20_Z-Middle_Growth)*100,0)/100)</f>
        <v>0.12</v>
      </c>
      <c r="D31" s="80" t="s">
        <v>4287</v>
      </c>
      <c r="E31" s="95" t="s">
        <v>5069</v>
      </c>
    </row>
    <row r="32" customFormat="false" ht="15" hidden="false" customHeight="true" outlineLevel="0" collapsed="false">
      <c r="B32" s="78" t="s">
        <v>5060</v>
      </c>
      <c r="C32" s="98" t="str">
        <f aca="false">IF(Need_4&lt;&gt;"",Need_4,IF(OR(Used_Style&lt;1,Used_Style&gt;3,Used_Style&lt;&gt;INT(Used_Style)),"Choose 1, 2 or 3",INDEX(Risk_Names,Used_Style)))</f>
        <v>Balanced</v>
      </c>
      <c r="D32" s="80"/>
      <c r="E32" s="95" t="s">
        <v>5070</v>
      </c>
    </row>
    <row r="33" customFormat="false" ht="15" hidden="false" customHeight="true" outlineLevel="0" collapsed="false">
      <c r="B33" s="78" t="s">
        <v>5071</v>
      </c>
      <c r="C33" s="118" t="n">
        <f aca="false">IF(Need_5&lt;&gt;"",Need_5,CHOOSE(Used_Style,Mu_Cautious,Mu_Balanced,Mu_Growth))</f>
        <v>0.04</v>
      </c>
      <c r="D33" s="80" t="s">
        <v>4287</v>
      </c>
      <c r="E33" s="95" t="s">
        <v>5072</v>
      </c>
    </row>
    <row r="34" customFormat="false" ht="15" hidden="false" customHeight="true" outlineLevel="0" collapsed="false">
      <c r="B34" s="78" t="s">
        <v>5073</v>
      </c>
      <c r="C34" s="118" t="n">
        <f aca="false">IF(Need_6&lt;&gt;"",Need_6,CHOOSE(Used_Style,Vol_Cautious,Vol_Balanced,Vol_Growth))</f>
        <v>0.1</v>
      </c>
      <c r="D34" s="80" t="s">
        <v>4287</v>
      </c>
      <c r="E34" s="95" t="s">
        <v>5074</v>
      </c>
    </row>
    <row r="35" customFormat="false" ht="15" hidden="false" customHeight="true" outlineLevel="0" collapsed="false">
      <c r="B35" s="78" t="s">
        <v>5075</v>
      </c>
      <c r="C35" s="117" t="n">
        <f aca="false">IF(Need_7&lt;&gt;"",Need_7,Volatility/SQRT(Years))</f>
        <v>0.0316227766016838</v>
      </c>
      <c r="D35" s="80"/>
      <c r="E35" s="95" t="s">
        <v>5076</v>
      </c>
    </row>
    <row r="37" customFormat="false" ht="15" hidden="false" customHeight="true" outlineLevel="0" collapsed="false">
      <c r="B37" s="74" t="s">
        <v>4326</v>
      </c>
      <c r="C37" s="77"/>
      <c r="D37" s="77"/>
      <c r="E37" s="77"/>
      <c r="F37" s="77"/>
      <c r="G37" s="77"/>
    </row>
    <row r="38" customFormat="false" ht="27.75" hidden="false" customHeight="true" outlineLevel="0" collapsed="false">
      <c r="B38" s="99" t="s">
        <v>5077</v>
      </c>
      <c r="C38" s="99"/>
      <c r="D38" s="99"/>
      <c r="E38" s="99"/>
    </row>
    <row r="39" customFormat="false" ht="13.5" hidden="false" customHeight="true" outlineLevel="0" collapsed="false">
      <c r="B39" s="99" t="s">
        <v>5078</v>
      </c>
      <c r="C39" s="99"/>
      <c r="D39" s="99"/>
      <c r="E39" s="99"/>
    </row>
    <row r="40" customFormat="false" ht="13.5" hidden="false" customHeight="true" outlineLevel="0" collapsed="false">
      <c r="B40" s="100" t="s">
        <v>4329</v>
      </c>
      <c r="C40" s="100"/>
      <c r="D40" s="100"/>
      <c r="E40" s="100"/>
    </row>
    <row r="41" customFormat="false" ht="13.5" hidden="false" customHeight="true" outlineLevel="0" collapsed="false">
      <c r="B41" s="99" t="s">
        <v>5079</v>
      </c>
      <c r="C41" s="99"/>
      <c r="D41" s="99"/>
      <c r="E41" s="99"/>
    </row>
    <row r="42" customFormat="false" ht="13.5" hidden="false" customHeight="true" outlineLevel="0" collapsed="false">
      <c r="B42" s="99" t="s">
        <v>5080</v>
      </c>
      <c r="C42" s="99"/>
      <c r="D42" s="99"/>
      <c r="E42" s="99"/>
    </row>
    <row r="44" customFormat="false" ht="15" hidden="false" customHeight="true" outlineLevel="0" collapsed="false">
      <c r="B44" s="74" t="s">
        <v>4334</v>
      </c>
      <c r="C44" s="77"/>
      <c r="D44" s="77"/>
      <c r="E44" s="77"/>
      <c r="F44" s="77"/>
      <c r="G44" s="77"/>
    </row>
    <row r="45" customFormat="false" ht="15" hidden="false" customHeight="true" outlineLevel="0" collapsed="false">
      <c r="B45" s="78" t="s">
        <v>1673</v>
      </c>
      <c r="C45" s="101" t="str">
        <f aca="false">"No goal"</f>
        <v>No goal</v>
      </c>
      <c r="E45" s="102" t="s">
        <v>4515</v>
      </c>
    </row>
    <row r="47" customFormat="false" ht="15" hidden="false" customHeight="true" outlineLevel="0" collapsed="false">
      <c r="B47" s="74" t="s">
        <v>4342</v>
      </c>
      <c r="C47" s="77"/>
      <c r="D47" s="77"/>
      <c r="E47" s="77"/>
      <c r="F47" s="77"/>
      <c r="G47" s="77"/>
    </row>
    <row r="48" customFormat="false" ht="15" hidden="false" customHeight="true" outlineLevel="0" collapsed="false">
      <c r="B48" s="105" t="s">
        <v>5081</v>
      </c>
      <c r="C48" s="105" t="str">
        <f aca="false">IF(Years="","Choose your years to see this",IF(NOT(ISNUMBER(Used_Amount)),IF(Used_Amount="",IF(Amount="","Choose your amount to see this",""),Used_Amount),""))</f>
        <v/>
      </c>
    </row>
    <row r="49" customFormat="false" ht="15" hidden="false" customHeight="true" outlineLevel="0" collapsed="false">
      <c r="B49" s="105" t="s">
        <v>5082</v>
      </c>
      <c r="C49" s="105" t="str">
        <f aca="false">IF(Years="","Choose your years to see this",IF(NOT(ISNUMBER(Used_Amount)),IF(Used_Amount="",IF(Amount="","Choose your amount to see this",""),Used_Amount),""))</f>
        <v/>
      </c>
    </row>
    <row r="50" customFormat="false" ht="15" hidden="false" customHeight="true" outlineLevel="0" collapsed="false">
      <c r="B50" s="105" t="s">
        <v>5083</v>
      </c>
      <c r="C50" s="105" t="str">
        <f aca="false">""</f>
        <v/>
      </c>
    </row>
    <row r="51" customFormat="false" ht="15" hidden="false" customHeight="true" outlineLevel="0" collapsed="false">
      <c r="B51" s="105" t="s">
        <v>5084</v>
      </c>
      <c r="C51" s="105" t="str">
        <f aca="false">""</f>
        <v/>
      </c>
    </row>
    <row r="52" customFormat="false" ht="15" hidden="false" customHeight="true" outlineLevel="0" collapsed="false">
      <c r="B52" s="105" t="s">
        <v>5085</v>
      </c>
      <c r="C52" s="105" t="str">
        <f aca="false">""</f>
        <v/>
      </c>
    </row>
    <row r="53" customFormat="false" ht="15" hidden="false" customHeight="true" outlineLevel="0" collapsed="false">
      <c r="B53" s="105" t="s">
        <v>5086</v>
      </c>
      <c r="C53" s="105" t="str">
        <f aca="false">""</f>
        <v/>
      </c>
    </row>
    <row r="54" customFormat="false" ht="15" hidden="false" customHeight="true" outlineLevel="0" collapsed="false">
      <c r="B54" s="105" t="s">
        <v>5087</v>
      </c>
      <c r="C54" s="105" t="str">
        <f aca="false">IF(Years="","Choose your years to see this","")</f>
        <v/>
      </c>
    </row>
    <row r="56" customFormat="false" ht="15" hidden="false" customHeight="true" outlineLevel="0" collapsed="false">
      <c r="B56" s="25" t="s">
        <v>5088</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5089</v>
      </c>
      <c r="E1" s="70" t="s">
        <v>5090</v>
      </c>
    </row>
    <row r="2" customFormat="false" ht="15" hidden="false" customHeight="true" outlineLevel="0" collapsed="false">
      <c r="B2" s="71" t="s">
        <v>5091</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5092</v>
      </c>
    </row>
    <row r="5" customFormat="false" ht="15" hidden="false" customHeight="true" outlineLevel="0" collapsed="false">
      <c r="B5" s="74" t="s">
        <v>4355</v>
      </c>
      <c r="C5" s="77"/>
      <c r="D5" s="77"/>
      <c r="E5" s="77"/>
      <c r="F5" s="77"/>
      <c r="G5" s="77"/>
    </row>
    <row r="6" customFormat="false" ht="27.75" hidden="false" customHeight="true" outlineLevel="0" collapsed="false">
      <c r="B6" s="106" t="s">
        <v>4356</v>
      </c>
      <c r="C6" s="106"/>
      <c r="D6" s="106"/>
      <c r="E6" s="106"/>
    </row>
    <row r="7" customFormat="false" ht="15" hidden="false" customHeight="true" outlineLevel="0" collapsed="false">
      <c r="B7" s="78" t="s">
        <v>4357</v>
      </c>
      <c r="C7" s="107"/>
      <c r="D7" s="80" t="s">
        <v>966</v>
      </c>
      <c r="E7" s="81" t="s">
        <v>4358</v>
      </c>
      <c r="G7" s="105" t="s">
        <v>4359</v>
      </c>
    </row>
    <row r="8" customFormat="false" ht="15" hidden="false" customHeight="true" outlineLevel="0" collapsed="false">
      <c r="B8" s="78" t="s">
        <v>4364</v>
      </c>
      <c r="C8" s="110"/>
      <c r="D8" s="80" t="s">
        <v>924</v>
      </c>
      <c r="E8" s="81" t="s">
        <v>4365</v>
      </c>
      <c r="G8" s="105" t="s">
        <v>4359</v>
      </c>
    </row>
    <row r="10" customFormat="false" ht="15" hidden="false" customHeight="true" outlineLevel="0" collapsed="false">
      <c r="B10" s="74" t="s">
        <v>4366</v>
      </c>
      <c r="C10" s="75" t="s">
        <v>914</v>
      </c>
      <c r="D10" s="75" t="s">
        <v>915</v>
      </c>
      <c r="E10" s="75" t="s">
        <v>4277</v>
      </c>
      <c r="F10" s="76" t="s">
        <v>4278</v>
      </c>
      <c r="G10" s="77"/>
    </row>
    <row r="11" customFormat="false" ht="21.75" hidden="false" customHeight="true" outlineLevel="0" collapsed="false">
      <c r="B11" s="78" t="s">
        <v>972</v>
      </c>
      <c r="C11" s="79"/>
      <c r="D11" s="80" t="s">
        <v>966</v>
      </c>
      <c r="E11" s="81" t="s">
        <v>5093</v>
      </c>
      <c r="F11" s="82" t="n">
        <v>60000</v>
      </c>
      <c r="G11" s="83" t="n">
        <f aca="false">IF(ISBLANK(C11),IF(Has_income=1,In_income,IF(Fill_Example="Yes",F11,"")),C11)</f>
        <v>58000</v>
      </c>
    </row>
    <row r="12" customFormat="false" ht="21.75" hidden="false" customHeight="true" outlineLevel="0" collapsed="false">
      <c r="B12" s="78" t="s">
        <v>5094</v>
      </c>
      <c r="C12" s="91"/>
      <c r="D12" s="80" t="s">
        <v>1004</v>
      </c>
      <c r="E12" s="88" t="s">
        <v>5095</v>
      </c>
      <c r="F12" s="92" t="n">
        <f aca="false">Set_lifeYears</f>
        <v>15</v>
      </c>
      <c r="G12" s="93" t="n">
        <f aca="false">IF(ISBLANK(C12),F12,C12)</f>
        <v>15</v>
      </c>
    </row>
    <row r="13" customFormat="false" ht="21.75" hidden="false" customHeight="true" outlineLevel="0" collapsed="false">
      <c r="B13" s="78" t="s">
        <v>5096</v>
      </c>
      <c r="C13" s="87"/>
      <c r="D13" s="80" t="s">
        <v>4287</v>
      </c>
      <c r="E13" s="88" t="s">
        <v>5097</v>
      </c>
      <c r="F13" s="89" t="n">
        <f aca="false">Set_lifeShare</f>
        <v>0.6</v>
      </c>
      <c r="G13" s="90" t="n">
        <f aca="false">IF(ISBLANK(C13),F13,C13)</f>
        <v>0.6</v>
      </c>
    </row>
    <row r="14" customFormat="false" ht="21.75" hidden="false" customHeight="true" outlineLevel="0" collapsed="false">
      <c r="B14" s="78" t="s">
        <v>4455</v>
      </c>
      <c r="C14" s="79"/>
      <c r="D14" s="80" t="s">
        <v>966</v>
      </c>
      <c r="E14" s="81" t="s">
        <v>5098</v>
      </c>
      <c r="F14" s="82" t="n">
        <v>250000</v>
      </c>
      <c r="G14" s="83" t="n">
        <f aca="false">IF(ISBLANK(C14),IF(Has_mortBal=1,In_mortBal,IF(Fill_Example="Yes",F14,"")),C14)</f>
        <v>203700</v>
      </c>
    </row>
    <row r="15" customFormat="false" ht="15" hidden="false" customHeight="true" outlineLevel="0" collapsed="false">
      <c r="B15" s="78" t="s">
        <v>5099</v>
      </c>
      <c r="C15" s="84"/>
      <c r="D15" s="80" t="s">
        <v>4284</v>
      </c>
      <c r="E15" s="81" t="s">
        <v>5100</v>
      </c>
      <c r="F15" s="85" t="s">
        <v>3</v>
      </c>
      <c r="G15" s="86" t="str">
        <f aca="false">IF(ISBLANK(C15),IF(Fill_Example="Yes",F15,""),C15)</f>
        <v>Yes</v>
      </c>
    </row>
    <row r="16" customFormat="false" ht="21.75" hidden="false" customHeight="true" outlineLevel="0" collapsed="false">
      <c r="B16" s="78" t="s">
        <v>5101</v>
      </c>
      <c r="C16" s="79"/>
      <c r="D16" s="80" t="s">
        <v>966</v>
      </c>
      <c r="E16" s="81" t="s">
        <v>5102</v>
      </c>
      <c r="F16" s="82" t="n">
        <v>10000</v>
      </c>
      <c r="G16" s="83" t="n">
        <f aca="false">IF(ISBLANK(C16),IF(Debts_Listed_Total&gt;0,Debts_Listed_Total,IF(OR(Has_cardBal=1,Has_loanBal=1,Has_debt=1),In_cardBal+In_loanBal+In_debt,IF(Fill_Example="Yes",F16,""))),C16)</f>
        <v>3900</v>
      </c>
    </row>
    <row r="17" customFormat="false" ht="21.75" hidden="false" customHeight="true" outlineLevel="0" collapsed="false">
      <c r="B17" s="78" t="s">
        <v>5103</v>
      </c>
      <c r="C17" s="79"/>
      <c r="D17" s="80" t="s">
        <v>966</v>
      </c>
      <c r="E17" s="81" t="s">
        <v>5104</v>
      </c>
      <c r="F17" s="82" t="n">
        <v>20000</v>
      </c>
      <c r="G17" s="83" t="n">
        <f aca="false">IF(ISBLANK(C17),IF(OR(Has_cash=1,Has_invest=1),In_cash+In_invest,IF(Fill_Example="Yes",F17,"")),C17)</f>
        <v>15200</v>
      </c>
    </row>
    <row r="18" customFormat="false" ht="15" hidden="false" customHeight="true" outlineLevel="0" collapsed="false">
      <c r="B18" s="78" t="s">
        <v>5105</v>
      </c>
      <c r="C18" s="79"/>
      <c r="D18" s="80" t="s">
        <v>966</v>
      </c>
      <c r="E18" s="81" t="s">
        <v>5106</v>
      </c>
      <c r="F18" s="82" t="n">
        <v>100000</v>
      </c>
      <c r="G18" s="83" t="n">
        <f aca="false">IF(ISBLANK(C18),IF(Cover_Existing_Total&gt;0,Cover_Existing_Total,IF(Fill_Example="Yes",F18,"")),C18)</f>
        <v>100000</v>
      </c>
    </row>
    <row r="19" customFormat="false" ht="33" hidden="false" customHeight="true" outlineLevel="0" collapsed="false">
      <c r="B19" s="78" t="s">
        <v>5107</v>
      </c>
      <c r="C19" s="135"/>
      <c r="D19" s="80" t="s">
        <v>1126</v>
      </c>
      <c r="E19" s="88"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136" t="n">
        <f aca="false">Survivor_Pension_Week</f>
        <v>259.5</v>
      </c>
      <c r="G19" s="137" t="n">
        <f aca="false">IF(ISBLANK(C19),IF(Fill_Example="Yes",F19,""),C19)</f>
        <v>259.5</v>
      </c>
    </row>
    <row r="21" customFormat="false" ht="15" hidden="false" customHeight="true" outlineLevel="0" collapsed="false">
      <c r="B21" s="74" t="s">
        <v>4375</v>
      </c>
      <c r="C21" s="77"/>
      <c r="D21" s="77"/>
      <c r="E21" s="77"/>
      <c r="F21" s="77"/>
      <c r="G21" s="77"/>
    </row>
    <row r="22" customFormat="false" ht="15" hidden="false" customHeight="true" outlineLevel="0" collapsed="false">
      <c r="B22" s="78" t="s">
        <v>4455</v>
      </c>
      <c r="C22" s="111" t="n">
        <f aca="false">IF(ISBLANK(Stmt_Balance),Mortgage_Balance,Stmt_Balance)</f>
        <v>203700</v>
      </c>
      <c r="D22" s="112" t="str">
        <f aca="false">IF(ISBLANK(Stmt_Balance),"Your figure","From your statement")</f>
        <v>Your figure</v>
      </c>
      <c r="E22" s="102" t="s">
        <v>4460</v>
      </c>
    </row>
    <row r="23" customFormat="false" ht="21.75" hidden="false" customHeight="true" outlineLevel="0" collapsed="false">
      <c r="B23" s="78" t="s">
        <v>4382</v>
      </c>
      <c r="C23" s="98" t="str">
        <f aca="true">IF(ISBLANK(Stmt_Statement_Date),"",IF(TODAY()-Stmt_Statement_Date&gt;Statement_Max_Age_Days,"Needs a look: statement is more than 12 months old","Up to date"))</f>
        <v/>
      </c>
      <c r="D23" s="80"/>
      <c r="E23" s="95" t="s">
        <v>4383</v>
      </c>
    </row>
    <row r="25" customFormat="false" ht="15" hidden="false" customHeight="true" outlineLevel="0" collapsed="false">
      <c r="B25" s="74" t="s">
        <v>4099</v>
      </c>
      <c r="C25" s="75" t="s">
        <v>329</v>
      </c>
      <c r="D25" s="75" t="s">
        <v>4295</v>
      </c>
      <c r="E25" s="75" t="s">
        <v>4296</v>
      </c>
      <c r="F25" s="77"/>
      <c r="G25" s="77"/>
    </row>
    <row r="26" customFormat="false" ht="17.25" hidden="false" customHeight="true" outlineLevel="0" collapsed="false">
      <c r="B26" s="71" t="s">
        <v>5108</v>
      </c>
      <c r="C26" s="94" t="n">
        <f aca="false">IF(Need_1&lt;&gt;"",Need_1,MAX(0,Income_Need+Debts_To_Clear-Already_Have))</f>
        <v>208290</v>
      </c>
      <c r="D26" s="80" t="s">
        <v>966</v>
      </c>
      <c r="E26" s="95" t="s">
        <v>5109</v>
      </c>
    </row>
    <row r="27" customFormat="false" ht="17.25" hidden="false" customHeight="true" outlineLevel="0" collapsed="false">
      <c r="B27" s="71" t="s">
        <v>5110</v>
      </c>
      <c r="C27" s="94" t="n">
        <f aca="false">IF(Need_2&lt;&gt;"",Need_2,MAX(0,Yearly_Income*Life_Replace-Survivor_Pension*Weeks_Per_Year)*Years_Support)</f>
        <v>319590</v>
      </c>
      <c r="D27" s="80" t="s">
        <v>966</v>
      </c>
      <c r="E27" s="95" t="s">
        <v>5111</v>
      </c>
    </row>
    <row r="28" customFormat="false" ht="17.25" hidden="false" customHeight="true" outlineLevel="0" collapsed="false">
      <c r="B28" s="71" t="s">
        <v>5112</v>
      </c>
      <c r="C28" s="94" t="n">
        <f aca="false">IF(Need_3&lt;&gt;"",Need_3,IF(Mortgage_Protected="Yes",0,Used_Mortgage_Balance)+Other_Debts)</f>
        <v>3900</v>
      </c>
      <c r="D28" s="80" t="s">
        <v>966</v>
      </c>
      <c r="E28" s="95" t="s">
        <v>5113</v>
      </c>
    </row>
    <row r="29" customFormat="false" ht="15" hidden="false" customHeight="true" outlineLevel="0" collapsed="false">
      <c r="B29" s="78" t="s">
        <v>5114</v>
      </c>
      <c r="C29" s="96" t="n">
        <f aca="false">IF(Need_4&lt;&gt;"",Need_4,Existing_Cover+Savings)</f>
        <v>115200</v>
      </c>
      <c r="D29" s="80" t="s">
        <v>966</v>
      </c>
      <c r="E29" s="95" t="s">
        <v>5115</v>
      </c>
    </row>
    <row r="30" customFormat="false" ht="15" hidden="false" customHeight="true" outlineLevel="0" collapsed="false">
      <c r="B30" s="78" t="s">
        <v>5116</v>
      </c>
      <c r="C30" s="96" t="n">
        <f aca="false">IF(Need_5&lt;&gt;"",Need_5,Yearly_Income*Life_Replace*Years_Support)</f>
        <v>522000</v>
      </c>
      <c r="D30" s="80" t="s">
        <v>966</v>
      </c>
      <c r="E30" s="95" t="s">
        <v>5117</v>
      </c>
    </row>
    <row r="32" customFormat="false" ht="15" hidden="false" customHeight="true" outlineLevel="0" collapsed="false">
      <c r="B32" s="74" t="s">
        <v>4326</v>
      </c>
      <c r="C32" s="77"/>
      <c r="D32" s="77"/>
      <c r="E32" s="77"/>
      <c r="F32" s="77"/>
      <c r="G32" s="77"/>
    </row>
    <row r="33" customFormat="false" ht="13.5" hidden="false" customHeight="true" outlineLevel="0" collapsed="false">
      <c r="B33" s="99" t="s">
        <v>5118</v>
      </c>
      <c r="C33" s="99"/>
      <c r="D33" s="99"/>
      <c r="E33" s="99"/>
    </row>
    <row r="34" customFormat="false" ht="27.75" hidden="false" customHeight="true" outlineLevel="0" collapsed="false">
      <c r="B34" s="99" t="s">
        <v>5119</v>
      </c>
      <c r="C34" s="99"/>
      <c r="D34" s="99"/>
      <c r="E34" s="99"/>
    </row>
    <row r="35" customFormat="false" ht="13.5" hidden="false" customHeight="true" outlineLevel="0" collapsed="false">
      <c r="B35" s="99" t="s">
        <v>5120</v>
      </c>
      <c r="C35" s="99"/>
      <c r="D35" s="99"/>
      <c r="E35" s="99"/>
    </row>
    <row r="36" customFormat="false" ht="13.5" hidden="false" customHeight="true" outlineLevel="0" collapsed="false">
      <c r="B36" s="100" t="s">
        <v>4329</v>
      </c>
      <c r="C36" s="100"/>
      <c r="D36" s="100"/>
      <c r="E36" s="100"/>
    </row>
    <row r="37" customFormat="false" ht="13.5" hidden="false" customHeight="true" outlineLevel="0" collapsed="false">
      <c r="B37" s="99" t="s">
        <v>5121</v>
      </c>
      <c r="C37" s="99"/>
      <c r="D37" s="99"/>
      <c r="E37" s="99"/>
    </row>
    <row r="38" customFormat="false" ht="13.5" hidden="false" customHeight="true" outlineLevel="0" collapsed="false">
      <c r="B38" s="99" t="str">
        <f aca="false">"• Survivor's pension defaults to the 2026 rate under 66 ("&amp;"€"&amp;TEXT(Survivor_Pension_Week,"0.00")&amp;" a week); enter 0 if it would not be paid."</f>
        <v>• Survivor's pension defaults to the 2026 rate under 66 (€259.50 a week); enter 0 if it would not be paid.</v>
      </c>
      <c r="C38" s="99"/>
      <c r="D38" s="99"/>
      <c r="E38" s="99"/>
    </row>
    <row r="40" customFormat="false" ht="15" hidden="false" customHeight="true" outlineLevel="0" collapsed="false">
      <c r="B40" s="74" t="s">
        <v>4334</v>
      </c>
      <c r="C40" s="77"/>
      <c r="D40" s="77"/>
      <c r="E40" s="77"/>
      <c r="F40" s="77"/>
      <c r="G40" s="77"/>
    </row>
    <row r="41" customFormat="false" ht="15" hidden="false" customHeight="true" outlineLevel="0" collapsed="false">
      <c r="B41" s="78" t="s">
        <v>1673</v>
      </c>
      <c r="C41" s="101" t="str">
        <f aca="false">"No goal: record a protection need for the adviser"</f>
        <v>No goal: record a protection need for the adviser</v>
      </c>
      <c r="E41" s="102" t="s">
        <v>5122</v>
      </c>
    </row>
    <row r="42" customFormat="false" ht="15" hidden="false" customHeight="true" outlineLevel="0" collapsed="false">
      <c r="B42" s="78" t="s">
        <v>5123</v>
      </c>
      <c r="C42" s="103" t="n">
        <f aca="false">IF(Need_1&lt;&gt;"",Need_1,Cover_Gap)</f>
        <v>208290</v>
      </c>
      <c r="E42" s="102" t="s">
        <v>5124</v>
      </c>
    </row>
    <row r="43" customFormat="false" ht="13.5" hidden="false" customHeight="true" outlineLevel="0" collapsed="false">
      <c r="B43" s="106" t="s">
        <v>5125</v>
      </c>
      <c r="C43" s="106"/>
      <c r="D43" s="106"/>
      <c r="E43" s="106"/>
    </row>
    <row r="45" customFormat="false" ht="15" hidden="false" customHeight="true" outlineLevel="0" collapsed="false">
      <c r="B45" s="74" t="s">
        <v>4342</v>
      </c>
      <c r="C45" s="77"/>
      <c r="D45" s="77"/>
      <c r="E45" s="77"/>
      <c r="F45" s="77"/>
      <c r="G45" s="77"/>
    </row>
    <row r="46" customFormat="false" ht="15" hidden="false" customHeight="true" outlineLevel="0" collapsed="false">
      <c r="B46" s="105" t="s">
        <v>5126</v>
      </c>
      <c r="C46" s="105"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
      </c>
    </row>
    <row r="47" customFormat="false" ht="15" hidden="false" customHeight="true" outlineLevel="0" collapsed="false">
      <c r="B47" s="105" t="s">
        <v>5127</v>
      </c>
      <c r="C47" s="105" t="str">
        <f aca="false">IF(Yearly_Income="","Choose your gross yearly income to see this",IF(Survivor_Pension="","Choose your survivor's pension to see this",""))</f>
        <v/>
      </c>
    </row>
    <row r="48" customFormat="false" ht="15" hidden="false" customHeight="true" outlineLevel="0" collapsed="false">
      <c r="B48" s="105" t="s">
        <v>5128</v>
      </c>
      <c r="C48" s="105"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
      </c>
    </row>
    <row r="49" customFormat="false" ht="15" hidden="false" customHeight="true" outlineLevel="0" collapsed="false">
      <c r="B49" s="105" t="s">
        <v>5129</v>
      </c>
      <c r="C49" s="105" t="str">
        <f aca="false">IF(Savings="","Choose your savings &amp; investments to see this",IF(Existing_Cover="","Choose your existing life cover to see this",IF(Survivor_Pension="","Choose your survivor's pension to see this","")))</f>
        <v/>
      </c>
    </row>
    <row r="50" customFormat="false" ht="15" hidden="false" customHeight="true" outlineLevel="0" collapsed="false">
      <c r="B50" s="105" t="s">
        <v>5130</v>
      </c>
      <c r="C50" s="105" t="str">
        <f aca="false">IF(Yearly_Income="","Choose your gross yearly income to see this",IF(Survivor_Pension="","Choose your survivor's pension to see this",""))</f>
        <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5131</v>
      </c>
      <c r="E1" s="70" t="s">
        <v>5132</v>
      </c>
    </row>
    <row r="2" customFormat="false" ht="15" hidden="false" customHeight="true" outlineLevel="0" collapsed="false">
      <c r="B2" s="71" t="s">
        <v>5133</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5134</v>
      </c>
    </row>
    <row r="5" customFormat="false" ht="15" hidden="false" customHeight="true" outlineLevel="0" collapsed="false">
      <c r="B5" s="74" t="s">
        <v>4276</v>
      </c>
      <c r="C5" s="75" t="s">
        <v>914</v>
      </c>
      <c r="D5" s="75" t="s">
        <v>915</v>
      </c>
      <c r="E5" s="75" t="s">
        <v>4277</v>
      </c>
      <c r="F5" s="76" t="s">
        <v>4278</v>
      </c>
      <c r="G5" s="77"/>
    </row>
    <row r="6" customFormat="false" ht="21.75" hidden="false" customHeight="true" outlineLevel="0" collapsed="false">
      <c r="B6" s="78" t="s">
        <v>4718</v>
      </c>
      <c r="C6" s="79"/>
      <c r="D6" s="80" t="s">
        <v>966</v>
      </c>
      <c r="E6" s="81" t="s">
        <v>4719</v>
      </c>
      <c r="F6" s="82" t="n">
        <v>2500</v>
      </c>
      <c r="G6" s="83" t="n">
        <f aca="false">IF(ISBLANK(C6),IF(Has_costsM=1,In_costsM+In_mortPayM+In_cardPayM+In_loanPayM,IF(Fill_Example="Yes",F6,"")),C6)</f>
        <v>4920</v>
      </c>
    </row>
    <row r="7" customFormat="false" ht="15" hidden="false" customHeight="true" outlineLevel="0" collapsed="false">
      <c r="B7" s="78" t="s">
        <v>5135</v>
      </c>
      <c r="C7" s="91"/>
      <c r="D7" s="80" t="s">
        <v>1104</v>
      </c>
      <c r="E7" s="81" t="s">
        <v>5136</v>
      </c>
      <c r="F7" s="92" t="n">
        <v>3</v>
      </c>
      <c r="G7" s="93" t="n">
        <f aca="false">IF(ISBLANK(C7),IF(Fill_Example="Yes",F7,""),C7)</f>
        <v>3</v>
      </c>
    </row>
    <row r="8" customFormat="false" ht="21.75" hidden="false" customHeight="true" outlineLevel="0" collapsed="false">
      <c r="B8" s="78" t="s">
        <v>4724</v>
      </c>
      <c r="C8" s="79"/>
      <c r="D8" s="80" t="s">
        <v>966</v>
      </c>
      <c r="E8" s="81" t="s">
        <v>5137</v>
      </c>
      <c r="F8" s="82" t="n">
        <v>8000</v>
      </c>
      <c r="G8" s="83" t="n">
        <f aca="false">IF(ISBLANK(C8),IF(Has_cash=1,In_cash,IF(Fill_Example="Yes",F8,"")),C8)</f>
        <v>9000</v>
      </c>
    </row>
    <row r="9" customFormat="false" ht="21.75" hidden="false" customHeight="true" outlineLevel="0" collapsed="false">
      <c r="B9" s="78" t="s">
        <v>972</v>
      </c>
      <c r="C9" s="79"/>
      <c r="D9" s="80" t="s">
        <v>966</v>
      </c>
      <c r="E9" s="81" t="s">
        <v>5093</v>
      </c>
      <c r="F9" s="82" t="n">
        <v>60000</v>
      </c>
      <c r="G9" s="83" t="n">
        <f aca="false">IF(ISBLANK(C9),IF(Has_income=1,In_income,IF(Fill_Example="Yes",F9,"")),C9)</f>
        <v>58000</v>
      </c>
    </row>
    <row r="10" customFormat="false" ht="21.75" hidden="false" customHeight="true" outlineLevel="0" collapsed="false">
      <c r="B10" s="78" t="s">
        <v>5138</v>
      </c>
      <c r="C10" s="135"/>
      <c r="D10" s="80" t="s">
        <v>1126</v>
      </c>
      <c r="E10" s="88"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136" t="n">
        <f aca="false">Illness_Benefit_Week</f>
        <v>254</v>
      </c>
      <c r="G10" s="137" t="n">
        <f aca="false">IF(ISBLANK(C10),IF(Fill_Example="Yes",F10,""),C10)</f>
        <v>254</v>
      </c>
    </row>
    <row r="12" customFormat="false" ht="15" hidden="false" customHeight="true" outlineLevel="0" collapsed="false">
      <c r="B12" s="74" t="s">
        <v>4099</v>
      </c>
      <c r="C12" s="75" t="s">
        <v>329</v>
      </c>
      <c r="D12" s="75" t="s">
        <v>4295</v>
      </c>
      <c r="E12" s="75" t="s">
        <v>4296</v>
      </c>
      <c r="F12" s="77"/>
      <c r="G12" s="77"/>
    </row>
    <row r="13" customFormat="false" ht="23.25" hidden="false" customHeight="true" outlineLevel="0" collapsed="false">
      <c r="B13" s="71" t="s">
        <v>5139</v>
      </c>
      <c r="C13" s="123" t="n">
        <f aca="false">IF(Need_1&lt;&gt;"",Need_1,IF(Monthly_Gap=0,24,MIN(24,Sick_Pay_Months+Savings/Monthly_Gap)))</f>
        <v>5.35643218711817</v>
      </c>
      <c r="D13" s="116" t="str">
        <f aca="false">IF(Need_1&lt;&gt;"",Need_1,IF(Monthly_Gap=0,"up to 2 years",IF(Sick_Pay_Months+Savings/Monthly_Gap&gt;=24,"up to 2 years",IF(ROUND(Months_Coping,1)=1,"1 month",FIXED(Months_Coping,1)&amp;" months"))))</f>
        <v>5.4 months</v>
      </c>
      <c r="E13" s="95" t="s">
        <v>5140</v>
      </c>
    </row>
    <row r="14" customFormat="false" ht="17.25" hidden="false" customHeight="true" outlineLevel="0" collapsed="false">
      <c r="B14" s="71" t="s">
        <v>5141</v>
      </c>
      <c r="C14" s="94" t="n">
        <f aca="false">IF(Need_2&lt;&gt;"",Need_2,MAX(0,Essential_Spending-Illness_Benefit_Month))</f>
        <v>3819.33333333333</v>
      </c>
      <c r="D14" s="80" t="s">
        <v>966</v>
      </c>
      <c r="E14" s="95" t="s">
        <v>5142</v>
      </c>
    </row>
    <row r="15" customFormat="false" ht="17.25" hidden="false" customHeight="true" outlineLevel="0" collapsed="false">
      <c r="B15" s="71" t="s">
        <v>5143</v>
      </c>
      <c r="C15" s="94" t="n">
        <f aca="false">IF(Need_3&lt;&gt;"",Need_3,MIN(Monthly_Gap,IP_Max))</f>
        <v>2524.33333333333</v>
      </c>
      <c r="D15" s="80" t="s">
        <v>966</v>
      </c>
      <c r="E15" s="95" t="s">
        <v>5144</v>
      </c>
    </row>
    <row r="16" customFormat="false" ht="15" hidden="false" customHeight="true" outlineLevel="0" collapsed="false">
      <c r="B16" s="78" t="s">
        <v>5145</v>
      </c>
      <c r="C16" s="96" t="n">
        <f aca="false">IF(Need_4&lt;&gt;"",Need_4,Illness_Benefit*Weeks_Per_Year/12)</f>
        <v>1100.66666666667</v>
      </c>
      <c r="D16" s="80" t="s">
        <v>966</v>
      </c>
      <c r="E16" s="95" t="s">
        <v>5146</v>
      </c>
    </row>
    <row r="17" customFormat="false" ht="23.25" hidden="false" customHeight="true" outlineLevel="0" collapsed="false">
      <c r="B17" s="78" t="s">
        <v>5147</v>
      </c>
      <c r="C17" s="138" t="n">
        <f aca="false">IF(Need_5&lt;&gt;"",Need_5,IF(Monthly_Gap=0,"Not needed",Savings/Monthly_Gap))</f>
        <v>2.35643218711817</v>
      </c>
      <c r="D17" s="120" t="str">
        <f aca="false">IF(Need_5&lt;&gt;"",Need_5,IF(Savings_Months="Not needed","Not needed while Illness Benefit covers your spending",IF(Savings_Months&gt;=24,"more than 2 years",IF(ROUND(Savings_Months,1)=1,"1 month",FIXED(Savings_Months,1)&amp;" months"))))</f>
        <v>2.4 months</v>
      </c>
      <c r="E17" s="95" t="s">
        <v>5148</v>
      </c>
    </row>
    <row r="18" customFormat="false" ht="15" hidden="false" customHeight="true" outlineLevel="0" collapsed="false">
      <c r="B18" s="78" t="s">
        <v>5149</v>
      </c>
      <c r="C18" s="96" t="n">
        <f aca="false">IF(Need_6&lt;&gt;"",Need_6,MAX(0,Gross_Income*IP_Max_Pct/12-Illness_Benefit_Month))</f>
        <v>2524.33333333333</v>
      </c>
      <c r="D18" s="80" t="s">
        <v>966</v>
      </c>
      <c r="E18" s="95" t="s">
        <v>5150</v>
      </c>
    </row>
    <row r="20" customFormat="false" ht="15" hidden="false" customHeight="true" outlineLevel="0" collapsed="false">
      <c r="B20" s="74" t="s">
        <v>4326</v>
      </c>
      <c r="C20" s="77"/>
      <c r="D20" s="77"/>
      <c r="E20" s="77"/>
      <c r="F20" s="77"/>
      <c r="G20" s="77"/>
    </row>
    <row r="21" customFormat="false" ht="27.75" hidden="false" customHeight="true" outlineLevel="0" collapsed="false">
      <c r="B21" s="99" t="s">
        <v>5151</v>
      </c>
      <c r="C21" s="99"/>
      <c r="D21" s="99"/>
      <c r="E21" s="99"/>
    </row>
    <row r="22" customFormat="false" ht="13.5" hidden="false" customHeight="true" outlineLevel="0" collapsed="false">
      <c r="B22" s="99" t="s">
        <v>5152</v>
      </c>
      <c r="C22" s="99"/>
      <c r="D22" s="99"/>
      <c r="E22" s="99"/>
    </row>
    <row r="23" customFormat="false" ht="13.5" hidden="false" customHeight="true" outlineLevel="0" collapsed="false">
      <c r="B23" s="99" t="s">
        <v>5153</v>
      </c>
      <c r="C23" s="99"/>
      <c r="D23" s="99"/>
      <c r="E23" s="99"/>
    </row>
    <row r="24" customFormat="false" ht="13.5" hidden="false" customHeight="true" outlineLevel="0" collapsed="false">
      <c r="B24" s="100" t="s">
        <v>4329</v>
      </c>
      <c r="C24" s="100"/>
      <c r="D24" s="100"/>
      <c r="E24" s="100"/>
    </row>
    <row r="25" customFormat="false" ht="13.5" hidden="false" customHeight="true" outlineLevel="0" collapsed="false">
      <c r="B25" s="99" t="s">
        <v>5154</v>
      </c>
      <c r="C25" s="99"/>
      <c r="D25" s="99"/>
      <c r="E25" s="99"/>
    </row>
    <row r="26" customFormat="false" ht="13.5" hidden="false" customHeight="true" outlineLevel="0" collapsed="false">
      <c r="B26" s="99" t="s">
        <v>5155</v>
      </c>
      <c r="C26" s="99"/>
      <c r="D26" s="99"/>
      <c r="E26" s="99"/>
    </row>
    <row r="28" customFormat="false" ht="15" hidden="false" customHeight="true" outlineLevel="0" collapsed="false">
      <c r="B28" s="74" t="s">
        <v>4334</v>
      </c>
      <c r="C28" s="77"/>
      <c r="D28" s="77"/>
      <c r="E28" s="77"/>
      <c r="F28" s="77"/>
      <c r="G28" s="77"/>
    </row>
    <row r="29" customFormat="false" ht="15" hidden="false" customHeight="true" outlineLevel="0" collapsed="false">
      <c r="B29" s="78" t="s">
        <v>1673</v>
      </c>
      <c r="C29" s="101" t="str">
        <f aca="false">"No goal: record an income protection need for the adviser"</f>
        <v>No goal: record an income protection need for the adviser</v>
      </c>
      <c r="E29" s="102" t="s">
        <v>5156</v>
      </c>
    </row>
    <row r="30" customFormat="false" ht="15" hidden="false" customHeight="true" outlineLevel="0" collapsed="false">
      <c r="B30" s="78" t="s">
        <v>5157</v>
      </c>
      <c r="C30" s="103" t="n">
        <f aca="false">IF(Need_3&lt;&gt;"",Need_3,IP_Needed)</f>
        <v>2524.33333333333</v>
      </c>
      <c r="E30" s="102" t="s">
        <v>5158</v>
      </c>
    </row>
    <row r="32" customFormat="false" ht="15" hidden="false" customHeight="true" outlineLevel="0" collapsed="false">
      <c r="B32" s="74" t="s">
        <v>4342</v>
      </c>
      <c r="C32" s="77"/>
      <c r="D32" s="77"/>
      <c r="E32" s="77"/>
      <c r="F32" s="77"/>
      <c r="G32" s="77"/>
    </row>
    <row r="33" customFormat="false" ht="15" hidden="false" customHeight="true" outlineLevel="0" collapsed="false">
      <c r="B33" s="105" t="s">
        <v>5159</v>
      </c>
      <c r="C33" s="105"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
      </c>
    </row>
    <row r="34" customFormat="false" ht="15" hidden="false" customHeight="true" outlineLevel="0" collapsed="false">
      <c r="B34" s="105" t="s">
        <v>5160</v>
      </c>
      <c r="C34" s="105" t="str">
        <f aca="false">IF(Essential_Spending="","Choose your essential monthly spending to see this",IF(Illness_Benefit="","Choose your Illness Benefit to see this",""))</f>
        <v/>
      </c>
    </row>
    <row r="35" customFormat="false" ht="15" hidden="false" customHeight="true" outlineLevel="0" collapsed="false">
      <c r="B35" s="105" t="s">
        <v>5161</v>
      </c>
      <c r="C35" s="105" t="str">
        <f aca="false">IF(Essential_Spending="","Choose your essential monthly spending to see this",IF(Gross_Income="","Choose your gross yearly income to see this",IF(Illness_Benefit="","Choose your Illness Benefit to see this","")))</f>
        <v/>
      </c>
    </row>
    <row r="36" customFormat="false" ht="15" hidden="false" customHeight="true" outlineLevel="0" collapsed="false">
      <c r="B36" s="105" t="s">
        <v>5162</v>
      </c>
      <c r="C36" s="105" t="str">
        <f aca="false">IF(Illness_Benefit="","Choose your Illness Benefit to see this","")</f>
        <v/>
      </c>
    </row>
    <row r="37" customFormat="false" ht="15" hidden="false" customHeight="true" outlineLevel="0" collapsed="false">
      <c r="B37" s="105" t="s">
        <v>5163</v>
      </c>
      <c r="C37" s="105" t="str">
        <f aca="false">IF(Essential_Spending="","Choose your essential monthly spending to see this",IF(Savings="","Choose your easy-access savings to see this",IF(Illness_Benefit="","Choose your Illness Benefit to see this","")))</f>
        <v/>
      </c>
    </row>
    <row r="38" customFormat="false" ht="15" hidden="false" customHeight="true" outlineLevel="0" collapsed="false">
      <c r="B38" s="105" t="s">
        <v>5164</v>
      </c>
      <c r="C38" s="105" t="str">
        <f aca="false">IF(Gross_Income="","Choose your gross yearly income to see this",IF(Illness_Benefit="","Choose your Illness Benefit to see this",""))</f>
        <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5165</v>
      </c>
      <c r="E1" s="70" t="s">
        <v>5166</v>
      </c>
    </row>
    <row r="2" customFormat="false" ht="15" hidden="false" customHeight="true" outlineLevel="0" collapsed="false">
      <c r="B2" s="71" t="s">
        <v>5167</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5168</v>
      </c>
    </row>
    <row r="5" customFormat="false" ht="15" hidden="false" customHeight="true" outlineLevel="0" collapsed="false">
      <c r="B5" s="74" t="s">
        <v>4355</v>
      </c>
      <c r="C5" s="77"/>
      <c r="D5" s="77"/>
      <c r="E5" s="77"/>
      <c r="F5" s="77"/>
      <c r="G5" s="77"/>
    </row>
    <row r="6" customFormat="false" ht="27.75" hidden="false" customHeight="true" outlineLevel="0" collapsed="false">
      <c r="B6" s="106" t="s">
        <v>4356</v>
      </c>
      <c r="C6" s="106"/>
      <c r="D6" s="106"/>
      <c r="E6" s="106"/>
    </row>
    <row r="7" customFormat="false" ht="15" hidden="false" customHeight="true" outlineLevel="0" collapsed="false">
      <c r="B7" s="78" t="s">
        <v>4357</v>
      </c>
      <c r="C7" s="107"/>
      <c r="D7" s="80" t="s">
        <v>966</v>
      </c>
      <c r="E7" s="81" t="s">
        <v>4358</v>
      </c>
      <c r="G7" s="105" t="s">
        <v>4359</v>
      </c>
    </row>
    <row r="8" customFormat="false" ht="15" hidden="false" customHeight="true" outlineLevel="0" collapsed="false">
      <c r="B8" s="78" t="s">
        <v>3829</v>
      </c>
      <c r="C8" s="108"/>
      <c r="D8" s="80" t="s">
        <v>4287</v>
      </c>
      <c r="E8" s="81" t="s">
        <v>4360</v>
      </c>
      <c r="G8" s="105" t="s">
        <v>4359</v>
      </c>
    </row>
    <row r="9" customFormat="false" ht="15" hidden="false" customHeight="true" outlineLevel="0" collapsed="false">
      <c r="B9" s="78" t="s">
        <v>4361</v>
      </c>
      <c r="C9" s="109"/>
      <c r="D9" s="80" t="s">
        <v>1004</v>
      </c>
      <c r="E9" s="81" t="s">
        <v>4362</v>
      </c>
      <c r="G9" s="105" t="s">
        <v>4359</v>
      </c>
    </row>
    <row r="10" customFormat="false" ht="15" hidden="false" customHeight="true" outlineLevel="0" collapsed="false">
      <c r="B10" s="78" t="s">
        <v>3825</v>
      </c>
      <c r="C10" s="107"/>
      <c r="D10" s="80" t="s">
        <v>966</v>
      </c>
      <c r="E10" s="81" t="s">
        <v>4363</v>
      </c>
      <c r="G10" s="105" t="s">
        <v>4359</v>
      </c>
    </row>
    <row r="11" customFormat="false" ht="15" hidden="false" customHeight="true" outlineLevel="0" collapsed="false">
      <c r="B11" s="78" t="s">
        <v>4364</v>
      </c>
      <c r="C11" s="110"/>
      <c r="D11" s="80" t="s">
        <v>924</v>
      </c>
      <c r="E11" s="81" t="s">
        <v>4365</v>
      </c>
      <c r="G11" s="105" t="s">
        <v>4359</v>
      </c>
    </row>
    <row r="13" customFormat="false" ht="15" hidden="false" customHeight="true" outlineLevel="0" collapsed="false">
      <c r="B13" s="74" t="s">
        <v>4366</v>
      </c>
      <c r="C13" s="75" t="s">
        <v>914</v>
      </c>
      <c r="D13" s="75" t="s">
        <v>915</v>
      </c>
      <c r="E13" s="75" t="s">
        <v>4277</v>
      </c>
      <c r="F13" s="76" t="s">
        <v>4278</v>
      </c>
      <c r="G13" s="77"/>
    </row>
    <row r="14" customFormat="false" ht="21.75" hidden="false" customHeight="true" outlineLevel="0" collapsed="false">
      <c r="B14" s="78" t="s">
        <v>4455</v>
      </c>
      <c r="C14" s="79"/>
      <c r="D14" s="80" t="s">
        <v>966</v>
      </c>
      <c r="E14" s="81" t="s">
        <v>5169</v>
      </c>
      <c r="F14" s="82" t="n">
        <v>250000</v>
      </c>
      <c r="G14" s="83" t="n">
        <f aca="false">IF(ISBLANK(C14),IF(Has_mortBal=1,In_mortBal,IF(Fill_Example="Yes",F14,"")),C14)</f>
        <v>203700</v>
      </c>
    </row>
    <row r="15" customFormat="false" ht="21.75" hidden="false" customHeight="true" outlineLevel="0" collapsed="false">
      <c r="B15" s="78" t="s">
        <v>3829</v>
      </c>
      <c r="C15" s="87"/>
      <c r="D15" s="80" t="s">
        <v>4287</v>
      </c>
      <c r="E15" s="81"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89" t="n">
        <f aca="false">IF(ISNUMBER(Suggest_Mortgage_Rate),Suggest_Mortgage_Rate,"")</f>
        <v>0.0348</v>
      </c>
      <c r="G15" s="90" t="n">
        <f aca="false">IF(ISBLANK(C15),IF(Has_mortRate=1,In_mortRate,IF(Fill_Example="Yes",F15,"")),C15)</f>
        <v>0.0385</v>
      </c>
    </row>
    <row r="16" customFormat="false" ht="21.75" hidden="false" customHeight="true" outlineLevel="0" collapsed="false">
      <c r="B16" s="78" t="s">
        <v>3827</v>
      </c>
      <c r="C16" s="91"/>
      <c r="D16" s="80" t="s">
        <v>1004</v>
      </c>
      <c r="E16" s="81" t="s">
        <v>4370</v>
      </c>
      <c r="F16" s="92" t="n">
        <v>25</v>
      </c>
      <c r="G16" s="93" t="n">
        <f aca="false">IF(AND(ISNUMBER(C16),N(C16)&lt;5),"",IF(ISBLANK(C16),IF(Has_mortYears=1,In_mortYears,IF(Fill_Example="Yes",F16,"")),C16))</f>
        <v>21</v>
      </c>
    </row>
    <row r="17" customFormat="false" ht="21.75" hidden="false" customHeight="true" outlineLevel="0" collapsed="false">
      <c r="B17" s="78" t="s">
        <v>4371</v>
      </c>
      <c r="C17" s="79"/>
      <c r="D17" s="80" t="s">
        <v>966</v>
      </c>
      <c r="E17" s="81" t="s">
        <v>5170</v>
      </c>
      <c r="F17" s="82" t="n">
        <v>0</v>
      </c>
      <c r="G17" s="83" t="n">
        <f aca="false">IF(ISBLANK(C17),IF(Has_mortPayM=1,In_mortPayM,F17),C17)</f>
        <v>1180</v>
      </c>
    </row>
    <row r="19" customFormat="false" ht="15" hidden="false" customHeight="true" outlineLevel="0" collapsed="false">
      <c r="B19" s="74" t="s">
        <v>4375</v>
      </c>
      <c r="C19" s="77"/>
      <c r="D19" s="77"/>
      <c r="E19" s="77"/>
      <c r="F19" s="77"/>
      <c r="G19" s="77"/>
    </row>
    <row r="20" customFormat="false" ht="15" hidden="false" customHeight="true" outlineLevel="0" collapsed="false">
      <c r="B20" s="78" t="s">
        <v>4455</v>
      </c>
      <c r="C20" s="111" t="n">
        <f aca="false">IF(ISBLANK(Stmt_Balance),Mortgage_Balance,Stmt_Balance)</f>
        <v>203700</v>
      </c>
      <c r="D20" s="112" t="str">
        <f aca="false">IF(ISBLANK(Stmt_Balance),"Your figure","From your statement")</f>
        <v>Your figure</v>
      </c>
      <c r="E20" s="102" t="s">
        <v>4460</v>
      </c>
    </row>
    <row r="21" customFormat="false" ht="15" hidden="false" customHeight="true" outlineLevel="0" collapsed="false">
      <c r="B21" s="78" t="s">
        <v>3829</v>
      </c>
      <c r="C21" s="113" t="n">
        <f aca="false">IF(ISBLANK(Stmt_Rate),Interest_Rate,Stmt_Rate)</f>
        <v>0.0385</v>
      </c>
      <c r="D21" s="112" t="str">
        <f aca="false">IF(ISBLANK(Stmt_Rate),"Your figure","From your statement")</f>
        <v>Your figure</v>
      </c>
      <c r="E21" s="102" t="s">
        <v>4377</v>
      </c>
    </row>
    <row r="22" customFormat="false" ht="15" hidden="false" customHeight="true" outlineLevel="0" collapsed="false">
      <c r="B22" s="78" t="s">
        <v>3827</v>
      </c>
      <c r="C22" s="114" t="n">
        <f aca="false">IF(ISBLANK(Stmt_Term),Years_Left,Stmt_Term)</f>
        <v>21</v>
      </c>
      <c r="D22" s="112" t="str">
        <f aca="false">IF(ISBLANK(Stmt_Term),"Your figure","From your statement")</f>
        <v>Your figure</v>
      </c>
      <c r="E22" s="102" t="s">
        <v>4461</v>
      </c>
    </row>
    <row r="23" customFormat="false" ht="15" hidden="false" customHeight="true" outlineLevel="0" collapsed="false">
      <c r="B23" s="78" t="s">
        <v>4380</v>
      </c>
      <c r="C23" s="111" t="n">
        <f aca="false">IF(ISBLANK(Stmt_Repayment),Actual_Repayment,Stmt_Repayment)</f>
        <v>1180</v>
      </c>
      <c r="D23" s="112" t="str">
        <f aca="false">IF(ISBLANK(Stmt_Repayment),"Your figure","From your statement")</f>
        <v>Your figure</v>
      </c>
      <c r="E23" s="102" t="s">
        <v>4381</v>
      </c>
    </row>
    <row r="24" customFormat="false" ht="21.75" hidden="false" customHeight="true" outlineLevel="0" collapsed="false">
      <c r="B24" s="78" t="s">
        <v>4382</v>
      </c>
      <c r="C24" s="98" t="str">
        <f aca="true">IF(ISBLANK(Stmt_Statement_Date),"",IF(TODAY()-Stmt_Statement_Date&gt;Statement_Max_Age_Days,"Needs a look: statement is more than 12 months old","Up to date"))</f>
        <v/>
      </c>
      <c r="D24" s="80"/>
      <c r="E24" s="95" t="s">
        <v>4383</v>
      </c>
    </row>
    <row r="26" customFormat="false" ht="15" hidden="false" customHeight="true" outlineLevel="0" collapsed="false">
      <c r="B26" s="74" t="s">
        <v>4099</v>
      </c>
      <c r="C26" s="75" t="s">
        <v>329</v>
      </c>
      <c r="D26" s="75" t="s">
        <v>4295</v>
      </c>
      <c r="E26" s="75" t="s">
        <v>4296</v>
      </c>
      <c r="F26" s="77"/>
      <c r="G26" s="77"/>
    </row>
    <row r="27" customFormat="false" ht="17.25" hidden="false" customHeight="true" outlineLevel="0" collapsed="false">
      <c r="B27" s="71" t="s">
        <v>5171</v>
      </c>
      <c r="C27" s="94" t="n">
        <f aca="false">IF(Need_1&lt;&gt;"",Need_1,Used_Mortgage_Balance)</f>
        <v>203700</v>
      </c>
      <c r="D27" s="80" t="s">
        <v>966</v>
      </c>
      <c r="E27" s="95" t="s">
        <v>5172</v>
      </c>
    </row>
    <row r="28" customFormat="false" ht="15" hidden="false" customHeight="true" outlineLevel="0" collapsed="false">
      <c r="B28" s="125" t="s">
        <v>4803</v>
      </c>
      <c r="C28" s="126" t="str">
        <f aca="false">IF(Need_2&lt;&gt;"","",IF(Repayment&lt;=Used_Mortgage_Balance*Monthly_Rate,"Your repayment doesn't cover the interest: please check the figures.",""))</f>
        <v/>
      </c>
      <c r="D28" s="126"/>
      <c r="E28" s="126"/>
    </row>
    <row r="29" customFormat="false" ht="17.25" hidden="false" customHeight="true" outlineLevel="0" collapsed="false">
      <c r="B29" s="71" t="s">
        <v>5173</v>
      </c>
      <c r="C29" s="94" t="n">
        <f aca="false">IF(Need_2&lt;&gt;"",Need_2,IF(Warning&lt;&gt;"","—",MAX(0,-FV(Monthly_Rate,MP_Year_1*12,-Repayment,Used_Mortgage_Balance))))</f>
        <v>168928.367821574</v>
      </c>
      <c r="D29" s="80" t="s">
        <v>966</v>
      </c>
      <c r="E29" s="95" t="s">
        <v>5174</v>
      </c>
    </row>
    <row r="30" customFormat="false" ht="17.25" hidden="false" customHeight="true" outlineLevel="0" collapsed="false">
      <c r="B30" s="71" t="s">
        <v>5175</v>
      </c>
      <c r="C30" s="94" t="n">
        <f aca="false">IF(Need_2&lt;&gt;"",Need_2,IF(Warning&lt;&gt;"","—",MAX(0,-FV(Monthly_Rate,MP_Year_2*12,-Repayment,Used_Mortgage_Balance))))</f>
        <v>126788.522242773</v>
      </c>
      <c r="D30" s="80" t="s">
        <v>966</v>
      </c>
      <c r="E30" s="95" t="s">
        <v>5176</v>
      </c>
    </row>
    <row r="31" customFormat="false" ht="17.25" hidden="false" customHeight="true" outlineLevel="0" collapsed="false">
      <c r="B31" s="71" t="s">
        <v>5177</v>
      </c>
      <c r="C31" s="94" t="n">
        <f aca="false">IF(Need_2&lt;&gt;"",Need_2,IF(Warning&lt;&gt;"","—",MAX(0,-FV(Monthly_Rate,MP_Year_3*12,-Repayment,Used_Mortgage_Balance))))</f>
        <v>75719.1166913415</v>
      </c>
      <c r="D31" s="80" t="s">
        <v>966</v>
      </c>
      <c r="E31" s="95" t="s">
        <v>5178</v>
      </c>
    </row>
    <row r="32" customFormat="false" ht="15" hidden="false" customHeight="true" outlineLevel="0" collapsed="false">
      <c r="B32" s="78" t="s">
        <v>4391</v>
      </c>
      <c r="C32" s="117" t="n">
        <f aca="false">IF(Need_3&lt;&gt;"",Need_3,Used_Interest_Rate/12)</f>
        <v>0.00320833333333333</v>
      </c>
      <c r="D32" s="80"/>
      <c r="E32" s="95" t="s">
        <v>4392</v>
      </c>
    </row>
    <row r="33" customFormat="false" ht="15" hidden="false" customHeight="true" outlineLevel="0" collapsed="false">
      <c r="B33" s="78" t="s">
        <v>5179</v>
      </c>
      <c r="C33" s="96" t="n">
        <f aca="false">IF(Need_2&lt;&gt;"",Need_2,IF(Used_Actual_Repayment&gt;0,Used_Actual_Repayment,PMT(Monthly_Rate,Used_Years_Left*12,-Used_Mortgage_Balance)))</f>
        <v>1180</v>
      </c>
      <c r="D33" s="80" t="s">
        <v>966</v>
      </c>
      <c r="E33" s="95" t="s">
        <v>4471</v>
      </c>
    </row>
    <row r="35" customFormat="false" ht="15" hidden="false" customHeight="true" outlineLevel="0" collapsed="false">
      <c r="B35" s="74" t="s">
        <v>4326</v>
      </c>
      <c r="C35" s="77"/>
      <c r="D35" s="77"/>
      <c r="E35" s="77"/>
      <c r="F35" s="77"/>
      <c r="G35" s="77"/>
    </row>
    <row r="36" customFormat="false" ht="13.5" hidden="false" customHeight="true" outlineLevel="0" collapsed="false">
      <c r="B36" s="99" t="s">
        <v>5180</v>
      </c>
      <c r="C36" s="99"/>
      <c r="D36" s="99"/>
      <c r="E36" s="99"/>
    </row>
    <row r="37" customFormat="false" ht="13.5" hidden="false" customHeight="true" outlineLevel="0" collapsed="false">
      <c r="B37" s="100" t="s">
        <v>4329</v>
      </c>
      <c r="C37" s="100"/>
      <c r="D37" s="100"/>
      <c r="E37" s="100"/>
    </row>
    <row r="38" customFormat="false" ht="13.5" hidden="false" customHeight="true" outlineLevel="0" collapsed="false">
      <c r="B38" s="99" t="s">
        <v>5181</v>
      </c>
      <c r="C38" s="99"/>
      <c r="D38" s="99"/>
      <c r="E38" s="99"/>
    </row>
    <row r="40" customFormat="false" ht="15" hidden="false" customHeight="true" outlineLevel="0" collapsed="false">
      <c r="B40" s="74" t="s">
        <v>4334</v>
      </c>
      <c r="C40" s="77"/>
      <c r="D40" s="77"/>
      <c r="E40" s="77"/>
      <c r="F40" s="77"/>
      <c r="G40" s="77"/>
    </row>
    <row r="41" customFormat="false" ht="15" hidden="false" customHeight="true" outlineLevel="0" collapsed="false">
      <c r="B41" s="78" t="s">
        <v>1673</v>
      </c>
      <c r="C41" s="101" t="str">
        <f aca="false">"No goal"</f>
        <v>No goal</v>
      </c>
      <c r="E41" s="102" t="s">
        <v>4515</v>
      </c>
    </row>
    <row r="43" customFormat="false" ht="15" hidden="false" customHeight="true" outlineLevel="0" collapsed="false">
      <c r="B43" s="74" t="s">
        <v>4342</v>
      </c>
      <c r="C43" s="77"/>
      <c r="D43" s="77"/>
      <c r="E43" s="77"/>
      <c r="F43" s="77"/>
      <c r="G43" s="77"/>
    </row>
    <row r="44" customFormat="false" ht="15" hidden="false" customHeight="true" outlineLevel="0" collapsed="false">
      <c r="B44" s="105" t="s">
        <v>5182</v>
      </c>
      <c r="C44" s="105" t="str">
        <f aca="false">IF(NOT(ISNUMBER(Used_Mortgage_Balance)),IF(Used_Mortgage_Balance="",IF(Mortgage_Balance="","Choose your mortgage balance to see this",""),Used_Mortgage_Balance),IF(NOT(ISNUMBER(Used_Interest_Rate)),IF(Used_Interest_Rate="",IF(Interest_Rate="","Choose your mortgage rate to see this",""),Used_Interest_Rate),""))</f>
        <v/>
      </c>
    </row>
    <row r="45" customFormat="false" ht="15" hidden="false" customHeight="true" outlineLevel="0" collapsed="false">
      <c r="B45" s="105" t="s">
        <v>4491</v>
      </c>
      <c r="C45" s="105"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
      </c>
    </row>
    <row r="46" customFormat="false" ht="15" hidden="false" customHeight="true" outlineLevel="0" collapsed="false">
      <c r="B46" s="105" t="s">
        <v>4412</v>
      </c>
      <c r="C46" s="105" t="str">
        <f aca="false">IF(NOT(ISNUMBER(Used_Interest_Rate)),IF(Used_Interest_Rate="",IF(Interest_Rate="","Choose your mortgage rate to see this",""),Used_Interest_Rate),"")</f>
        <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5183</v>
      </c>
      <c r="E1" s="70" t="s">
        <v>5184</v>
      </c>
    </row>
    <row r="2" customFormat="false" ht="15" hidden="false" customHeight="true" outlineLevel="0" collapsed="false">
      <c r="B2" s="71" t="s">
        <v>5185</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5186</v>
      </c>
    </row>
    <row r="5" customFormat="false" ht="15" hidden="false" customHeight="true" outlineLevel="0" collapsed="false">
      <c r="B5" s="74" t="s">
        <v>4355</v>
      </c>
      <c r="C5" s="77"/>
      <c r="D5" s="77"/>
      <c r="E5" s="77"/>
      <c r="F5" s="77"/>
      <c r="G5" s="77"/>
    </row>
    <row r="6" customFormat="false" ht="27.75" hidden="false" customHeight="true" outlineLevel="0" collapsed="false">
      <c r="B6" s="106" t="s">
        <v>5187</v>
      </c>
      <c r="C6" s="106"/>
      <c r="D6" s="106"/>
      <c r="E6" s="106"/>
    </row>
    <row r="7" customFormat="false" ht="15" hidden="false" customHeight="true" outlineLevel="0" collapsed="false">
      <c r="B7" s="78" t="s">
        <v>4357</v>
      </c>
      <c r="C7" s="107"/>
      <c r="D7" s="80" t="s">
        <v>966</v>
      </c>
      <c r="E7" s="81" t="s">
        <v>4358</v>
      </c>
      <c r="G7" s="105" t="s">
        <v>4359</v>
      </c>
    </row>
    <row r="8" customFormat="false" ht="15" hidden="false" customHeight="true" outlineLevel="0" collapsed="false">
      <c r="B8" s="78" t="s">
        <v>5188</v>
      </c>
      <c r="C8" s="107"/>
      <c r="D8" s="80" t="s">
        <v>966</v>
      </c>
      <c r="E8" s="81" t="s">
        <v>4673</v>
      </c>
      <c r="G8" s="105" t="s">
        <v>4359</v>
      </c>
    </row>
    <row r="9" customFormat="false" ht="15" hidden="false" customHeight="true" outlineLevel="0" collapsed="false">
      <c r="B9" s="78" t="s">
        <v>4748</v>
      </c>
      <c r="C9" s="107"/>
      <c r="D9" s="80" t="s">
        <v>966</v>
      </c>
      <c r="E9" s="81" t="s">
        <v>4749</v>
      </c>
      <c r="G9" s="105" t="s">
        <v>4359</v>
      </c>
    </row>
    <row r="10" customFormat="false" ht="15" hidden="false" customHeight="true" outlineLevel="0" collapsed="false">
      <c r="B10" s="78" t="s">
        <v>4672</v>
      </c>
      <c r="C10" s="107"/>
      <c r="D10" s="80" t="s">
        <v>966</v>
      </c>
      <c r="E10" s="81" t="s">
        <v>4673</v>
      </c>
      <c r="G10" s="105" t="s">
        <v>4359</v>
      </c>
    </row>
    <row r="12" customFormat="false" ht="15" hidden="false" customHeight="true" outlineLevel="0" collapsed="false">
      <c r="B12" s="74" t="s">
        <v>4366</v>
      </c>
      <c r="C12" s="75" t="s">
        <v>914</v>
      </c>
      <c r="D12" s="75" t="s">
        <v>915</v>
      </c>
      <c r="E12" s="75" t="s">
        <v>4277</v>
      </c>
      <c r="F12" s="76" t="s">
        <v>4278</v>
      </c>
      <c r="G12" s="77"/>
    </row>
    <row r="13" customFormat="false" ht="21.75" hidden="false" customHeight="true" outlineLevel="0" collapsed="false">
      <c r="B13" s="78" t="s">
        <v>5189</v>
      </c>
      <c r="C13" s="79"/>
      <c r="D13" s="80" t="s">
        <v>966</v>
      </c>
      <c r="E13" s="81" t="s">
        <v>5190</v>
      </c>
      <c r="F13" s="82" t="n">
        <v>15000</v>
      </c>
      <c r="G13" s="83" t="n">
        <f aca="false">IF(ISBLANK(C13),IF(Has_cash=1,In_cash,IF(Fill_Example="Yes",F13,"")),C13)</f>
        <v>9000</v>
      </c>
    </row>
    <row r="14" customFormat="false" ht="21.75" hidden="false" customHeight="true" outlineLevel="0" collapsed="false">
      <c r="B14" s="78" t="s">
        <v>995</v>
      </c>
      <c r="C14" s="79"/>
      <c r="D14" s="80" t="s">
        <v>966</v>
      </c>
      <c r="E14" s="81" t="s">
        <v>5191</v>
      </c>
      <c r="F14" s="82" t="n">
        <v>10000</v>
      </c>
      <c r="G14" s="83" t="n">
        <f aca="false">IF(ISBLANK(C14),IF(Has_invest=1,In_invest,IF(Fill_Example="Yes",F14,"")),C14)</f>
        <v>6200</v>
      </c>
    </row>
    <row r="15" customFormat="false" ht="21.75" hidden="false" customHeight="true" outlineLevel="0" collapsed="false">
      <c r="B15" s="78" t="s">
        <v>709</v>
      </c>
      <c r="C15" s="79"/>
      <c r="D15" s="80" t="s">
        <v>966</v>
      </c>
      <c r="E15" s="81" t="s">
        <v>5192</v>
      </c>
      <c r="F15" s="82" t="n">
        <v>60000</v>
      </c>
      <c r="G15" s="83" t="n">
        <f aca="false">IF(ISBLANK(C15),IF(Pens_Value_Total&gt;0,Pens_Value_Total,IF(Has_pension=1,In_pension,IF(Fill_Example="Yes",F15,""))),C15)</f>
        <v>72000</v>
      </c>
    </row>
    <row r="16" customFormat="false" ht="21.75" hidden="false" customHeight="true" outlineLevel="0" collapsed="false">
      <c r="B16" s="78" t="s">
        <v>5193</v>
      </c>
      <c r="C16" s="79"/>
      <c r="D16" s="80" t="s">
        <v>966</v>
      </c>
      <c r="E16" s="81" t="s">
        <v>5194</v>
      </c>
      <c r="F16" s="82" t="n">
        <v>350000</v>
      </c>
      <c r="G16" s="83" t="n">
        <f aca="false">IF(ISBLANK(C16),IF(OR(Has_homeValue=1,Has_propValue=1),In_homeValue+In_propValue,IF(Fill_Example="Yes",F16,"")),C16)</f>
        <v>420000</v>
      </c>
    </row>
    <row r="17" customFormat="false" ht="21.75" hidden="false" customHeight="true" outlineLevel="0" collapsed="false">
      <c r="B17" s="78" t="s">
        <v>4569</v>
      </c>
      <c r="C17" s="79"/>
      <c r="D17" s="80" t="s">
        <v>966</v>
      </c>
      <c r="E17" s="81" t="s">
        <v>5195</v>
      </c>
      <c r="F17" s="82" t="n">
        <v>250000</v>
      </c>
      <c r="G17" s="83" t="n">
        <f aca="false">IF(ISBLANK(C17),IF(Has_mortBal=1,In_mortBal,IF(Fill_Example="Yes",F17,"")),C17)</f>
        <v>203700</v>
      </c>
    </row>
    <row r="18" customFormat="false" ht="21.75" hidden="false" customHeight="true" outlineLevel="0" collapsed="false">
      <c r="B18" s="78" t="s">
        <v>5196</v>
      </c>
      <c r="C18" s="79"/>
      <c r="D18" s="80" t="s">
        <v>966</v>
      </c>
      <c r="E18" s="81" t="s">
        <v>5197</v>
      </c>
      <c r="F18" s="82" t="n">
        <v>8000</v>
      </c>
      <c r="G18" s="83" t="n">
        <f aca="false">IF(ISBLANK(C18),IF(Debts_Listed_Total&gt;0,Debts_Listed_Total,IF(OR(Has_cardBal=1,Has_loanBal=1,Has_debt=1),In_cardBal+In_loanBal+In_debt,IF(Fill_Example="Yes",F18,""))),C18)</f>
        <v>3900</v>
      </c>
    </row>
    <row r="20" customFormat="false" ht="15" hidden="false" customHeight="true" outlineLevel="0" collapsed="false">
      <c r="B20" s="74" t="s">
        <v>4375</v>
      </c>
      <c r="C20" s="77"/>
      <c r="D20" s="77"/>
      <c r="E20" s="77"/>
      <c r="F20" s="77"/>
      <c r="G20" s="77"/>
    </row>
    <row r="21" customFormat="false" ht="15" hidden="false" customHeight="true" outlineLevel="0" collapsed="false">
      <c r="B21" s="78" t="s">
        <v>4569</v>
      </c>
      <c r="C21" s="111" t="n">
        <f aca="false">IF(ISBLANK(Stmt_Mortgage_Balance),Mortgage,Stmt_Mortgage_Balance)</f>
        <v>203700</v>
      </c>
      <c r="D21" s="112" t="str">
        <f aca="false">IF(ISBLANK(Stmt_Mortgage_Balance),"Your figure","From your statement")</f>
        <v>Your figure</v>
      </c>
      <c r="E21" s="102" t="s">
        <v>5198</v>
      </c>
    </row>
    <row r="22" customFormat="false" ht="15" hidden="false" customHeight="true" outlineLevel="0" collapsed="false">
      <c r="B22" s="78" t="s">
        <v>5193</v>
      </c>
      <c r="C22" s="111" t="n">
        <f aca="false">IF(ISBLANK(Stmt_Property_Value),Property,Stmt_Property_Value)</f>
        <v>420000</v>
      </c>
      <c r="D22" s="112" t="str">
        <f aca="false">IF(ISBLANK(Stmt_Property_Value),"Your figure","From your statement")</f>
        <v>Your figure</v>
      </c>
      <c r="E22" s="102" t="s">
        <v>5199</v>
      </c>
    </row>
    <row r="23" customFormat="false" ht="15" hidden="false" customHeight="true" outlineLevel="0" collapsed="false">
      <c r="B23" s="78" t="s">
        <v>709</v>
      </c>
      <c r="C23" s="111" t="n">
        <f aca="false">IF(ISBLANK(Stmt_Pension_Value),Pensions,Stmt_Pension_Value)</f>
        <v>72000</v>
      </c>
      <c r="D23" s="112" t="str">
        <f aca="false">IF(ISBLANK(Stmt_Pension_Value),"Your figure","From your statement")</f>
        <v>Your figure</v>
      </c>
      <c r="E23" s="102" t="s">
        <v>5200</v>
      </c>
    </row>
    <row r="24" customFormat="false" ht="15" hidden="false" customHeight="true" outlineLevel="0" collapsed="false">
      <c r="B24" s="78" t="s">
        <v>995</v>
      </c>
      <c r="C24" s="111" t="n">
        <f aca="false">IF(ISBLANK(Stmt_Investment_Value),Investments,Stmt_Investment_Value)</f>
        <v>6200</v>
      </c>
      <c r="D24" s="112" t="str">
        <f aca="false">IF(ISBLANK(Stmt_Investment_Value),"Your figure","From your statement")</f>
        <v>Your figure</v>
      </c>
      <c r="E24" s="102" t="s">
        <v>5201</v>
      </c>
    </row>
    <row r="26" customFormat="false" ht="15" hidden="false" customHeight="true" outlineLevel="0" collapsed="false">
      <c r="B26" s="74" t="s">
        <v>4099</v>
      </c>
      <c r="C26" s="75" t="s">
        <v>329</v>
      </c>
      <c r="D26" s="75" t="s">
        <v>4295</v>
      </c>
      <c r="E26" s="75" t="s">
        <v>4296</v>
      </c>
      <c r="F26" s="77"/>
      <c r="G26" s="77"/>
    </row>
    <row r="27" customFormat="false" ht="17.25" hidden="false" customHeight="true" outlineLevel="0" collapsed="false">
      <c r="B27" s="71" t="s">
        <v>5202</v>
      </c>
      <c r="C27" s="94" t="n">
        <f aca="false">IF(Need_1&lt;&gt;"",Need_1,You_Own-You_Owe)</f>
        <v>299600</v>
      </c>
      <c r="D27" s="80" t="s">
        <v>966</v>
      </c>
      <c r="E27" s="95" t="s">
        <v>5203</v>
      </c>
    </row>
    <row r="28" customFormat="false" ht="17.25" hidden="false" customHeight="true" outlineLevel="0" collapsed="false">
      <c r="B28" s="71" t="s">
        <v>5204</v>
      </c>
      <c r="C28" s="94" t="n">
        <f aca="false">IF(Need_2&lt;&gt;"",Need_2,Savings+Used_Investments+Used_Pensions+Used_Property)</f>
        <v>507200</v>
      </c>
      <c r="D28" s="80" t="s">
        <v>966</v>
      </c>
      <c r="E28" s="95" t="s">
        <v>5205</v>
      </c>
    </row>
    <row r="29" customFormat="false" ht="17.25" hidden="false" customHeight="true" outlineLevel="0" collapsed="false">
      <c r="B29" s="71" t="s">
        <v>5206</v>
      </c>
      <c r="C29" s="94" t="n">
        <f aca="false">IF(Need_3&lt;&gt;"",Need_3,Used_Mortgage+Other_Loans)</f>
        <v>207600</v>
      </c>
      <c r="D29" s="80" t="s">
        <v>966</v>
      </c>
      <c r="E29" s="95" t="s">
        <v>5207</v>
      </c>
    </row>
    <row r="31" customFormat="false" ht="15" hidden="false" customHeight="true" outlineLevel="0" collapsed="false">
      <c r="B31" s="74" t="s">
        <v>4326</v>
      </c>
      <c r="C31" s="77"/>
      <c r="D31" s="77"/>
      <c r="E31" s="77"/>
      <c r="F31" s="77"/>
      <c r="G31" s="77"/>
    </row>
    <row r="32" customFormat="false" ht="13.5" hidden="false" customHeight="true" outlineLevel="0" collapsed="false">
      <c r="B32" s="99" t="s">
        <v>5208</v>
      </c>
      <c r="C32" s="99"/>
      <c r="D32" s="99"/>
      <c r="E32" s="99"/>
    </row>
    <row r="33" customFormat="false" ht="13.5" hidden="false" customHeight="true" outlineLevel="0" collapsed="false">
      <c r="B33" s="100" t="s">
        <v>4329</v>
      </c>
      <c r="C33" s="100"/>
      <c r="D33" s="100"/>
      <c r="E33" s="100"/>
    </row>
    <row r="34" customFormat="false" ht="13.5" hidden="false" customHeight="true" outlineLevel="0" collapsed="false">
      <c r="B34" s="99" t="s">
        <v>5209</v>
      </c>
      <c r="C34" s="99"/>
      <c r="D34" s="99"/>
      <c r="E34" s="99"/>
    </row>
    <row r="36" customFormat="false" ht="15" hidden="false" customHeight="true" outlineLevel="0" collapsed="false">
      <c r="B36" s="74" t="s">
        <v>4334</v>
      </c>
      <c r="C36" s="77"/>
      <c r="D36" s="77"/>
      <c r="E36" s="77"/>
      <c r="F36" s="77"/>
      <c r="G36" s="77"/>
    </row>
    <row r="37" customFormat="false" ht="15" hidden="false" customHeight="true" outlineLevel="0" collapsed="false">
      <c r="B37" s="78" t="s">
        <v>1673</v>
      </c>
      <c r="C37" s="101" t="str">
        <f aca="false">"No goal"</f>
        <v>No goal</v>
      </c>
      <c r="E37" s="102" t="s">
        <v>4515</v>
      </c>
    </row>
    <row r="39" customFormat="false" ht="15" hidden="false" customHeight="true" outlineLevel="0" collapsed="false">
      <c r="B39" s="74" t="s">
        <v>4342</v>
      </c>
      <c r="C39" s="77"/>
      <c r="D39" s="77"/>
      <c r="E39" s="77"/>
      <c r="F39" s="77"/>
      <c r="G39" s="77"/>
    </row>
    <row r="40" customFormat="false" ht="15" hidden="false" customHeight="true" outlineLevel="0" collapsed="false">
      <c r="B40" s="105" t="s">
        <v>5210</v>
      </c>
      <c r="C40" s="105"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
      </c>
    </row>
    <row r="41" customFormat="false" ht="15" hidden="false" customHeight="true" outlineLevel="0" collapsed="false">
      <c r="B41" s="105" t="s">
        <v>5211</v>
      </c>
      <c r="C41" s="105"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
      </c>
    </row>
    <row r="42" customFormat="false" ht="15" hidden="false" customHeight="true" outlineLevel="0" collapsed="false">
      <c r="B42" s="105" t="s">
        <v>5212</v>
      </c>
      <c r="C42" s="105" t="str">
        <f aca="false">IF(Other_Loans="","Choose your other loans to see this",IF(NOT(ISNUMBER(Used_Mortgage)),IF(Used_Mortgage="",IF(Mortgage="","Choose your mortgage to see this",""),Used_Mortgage),""))</f>
        <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5213</v>
      </c>
      <c r="E1" s="70" t="s">
        <v>5214</v>
      </c>
    </row>
    <row r="2" customFormat="false" ht="15" hidden="false" customHeight="true" outlineLevel="0" collapsed="false">
      <c r="B2" s="71" t="s">
        <v>5215</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5216</v>
      </c>
    </row>
    <row r="5" customFormat="false" ht="15" hidden="false" customHeight="true" outlineLevel="0" collapsed="false">
      <c r="B5" s="74" t="s">
        <v>4276</v>
      </c>
      <c r="C5" s="75" t="s">
        <v>914</v>
      </c>
      <c r="D5" s="75" t="s">
        <v>915</v>
      </c>
      <c r="E5" s="75" t="s">
        <v>4277</v>
      </c>
      <c r="F5" s="76" t="s">
        <v>4278</v>
      </c>
      <c r="G5" s="77"/>
    </row>
    <row r="6" customFormat="false" ht="15" hidden="false" customHeight="true" outlineLevel="0" collapsed="false">
      <c r="B6" s="78" t="s">
        <v>5217</v>
      </c>
      <c r="C6" s="79"/>
      <c r="D6" s="80" t="s">
        <v>966</v>
      </c>
      <c r="E6" s="81" t="str">
        <f aca="false">"Type 3 · optional · Optional: leave blank for none. Allowed: €500 to "&amp;TEXT(Max_Money_Input,"€#,##0")&amp;" · steps of €50"</f>
        <v>Type 3 · optional · Optional: leave blank for none. Allowed: €500 to €200,000 · steps of €50</v>
      </c>
      <c r="F6" s="82" t="n">
        <v>3500</v>
      </c>
      <c r="G6" s="83" t="n">
        <f aca="false">IF(ISBLANK(C6),IF(Fill_Example="Yes",F6,""),C6)</f>
        <v>3500</v>
      </c>
    </row>
    <row r="7" customFormat="false" ht="21.75" hidden="false" customHeight="true" outlineLevel="0" collapsed="false">
      <c r="B7" s="78" t="s">
        <v>5218</v>
      </c>
      <c r="C7" s="79"/>
      <c r="D7" s="80" t="s">
        <v>966</v>
      </c>
      <c r="E7" s="81" t="s">
        <v>5219</v>
      </c>
      <c r="F7" s="82" t="n">
        <v>2000</v>
      </c>
      <c r="G7" s="83" t="n">
        <f aca="false">IF(ISBLANK(C7),IF(Has_costsM=1,In_costsM+In_oneOffY/12+In_mortPayM,IF(Fill_Example="Yes",F7,"")),C7)</f>
        <v>4930</v>
      </c>
    </row>
    <row r="8" customFormat="false" ht="15" hidden="false" customHeight="true" outlineLevel="0" collapsed="false">
      <c r="B8" s="78" t="s">
        <v>5220</v>
      </c>
      <c r="C8" s="79"/>
      <c r="D8" s="80" t="s">
        <v>966</v>
      </c>
      <c r="E8" s="81" t="s">
        <v>5221</v>
      </c>
      <c r="F8" s="82" t="n">
        <v>800</v>
      </c>
      <c r="G8" s="83" t="n">
        <f aca="false">IF(ISBLANK(C8),IF(Fill_Example="Yes",F8,""),C8)</f>
        <v>800</v>
      </c>
    </row>
    <row r="9" customFormat="false" ht="21.75" hidden="false" customHeight="true" outlineLevel="0" collapsed="false">
      <c r="B9" s="78" t="s">
        <v>5222</v>
      </c>
      <c r="C9" s="79"/>
      <c r="D9" s="80" t="s">
        <v>966</v>
      </c>
      <c r="E9" s="81" t="s">
        <v>5223</v>
      </c>
      <c r="F9" s="82" t="n">
        <v>200</v>
      </c>
      <c r="G9" s="83" t="n">
        <f aca="false">IF(ISBLANK(C9),IF(Debts_Pay_Total&gt;0,Debts_Pay_Total,IF(OR(Has_cardPayM=1,Has_loanPayM=1),In_cardPayM+In_loanPayM,IF(Fill_Example="Yes",F9,""))),C9)</f>
        <v>140</v>
      </c>
    </row>
    <row r="11" customFormat="false" ht="15" hidden="false" customHeight="true" outlineLevel="0" collapsed="false">
      <c r="B11" s="74" t="s">
        <v>4375</v>
      </c>
      <c r="C11" s="77"/>
      <c r="D11" s="77"/>
      <c r="E11" s="77"/>
      <c r="F11" s="77"/>
      <c r="G11" s="77"/>
    </row>
    <row r="12" customFormat="false" ht="15" hidden="false" customHeight="true" outlineLevel="0" collapsed="false">
      <c r="B12" s="78" t="s">
        <v>5224</v>
      </c>
      <c r="C12" s="111" t="n">
        <f aca="false">IF(Take_Home="",TE_Take_Home_Month,Take_Home)</f>
        <v>3500</v>
      </c>
      <c r="D12" s="112" t="str">
        <f aca="false">IF(Take_Home="","From the Tax engine","Your figure")</f>
        <v>Your figure</v>
      </c>
      <c r="E12" s="102" t="s">
        <v>5225</v>
      </c>
    </row>
    <row r="14" customFormat="false" ht="15" hidden="false" customHeight="true" outlineLevel="0" collapsed="false">
      <c r="B14" s="74" t="s">
        <v>4099</v>
      </c>
      <c r="C14" s="75" t="s">
        <v>329</v>
      </c>
      <c r="D14" s="75" t="s">
        <v>4295</v>
      </c>
      <c r="E14" s="75" t="s">
        <v>4296</v>
      </c>
      <c r="F14" s="77"/>
      <c r="G14" s="77"/>
    </row>
    <row r="15" customFormat="false" ht="17.25" hidden="false" customHeight="true" outlineLevel="0" collapsed="false">
      <c r="B15" s="71" t="s">
        <v>5226</v>
      </c>
      <c r="C15" s="94" t="n">
        <f aca="false">IF(Need_1&lt;&gt;"",Need_1,Used_Take_Home-Essentials-Lifestyle-Debt_Repayments)</f>
        <v>-2370</v>
      </c>
      <c r="D15" s="116" t="str">
        <f aca="false">IF(Need_1&lt;&gt;"",Need_1,IF(Surplus&gt;0,"About "&amp;ROUND(Surplus/Used_Take_Home*100,0)&amp;"% of take-home is free for goals",IF(Surplus=0,"Nothing left over this month","Spending is above income")))</f>
        <v>Spending is above income</v>
      </c>
      <c r="E15" s="95" t="s">
        <v>5227</v>
      </c>
    </row>
    <row r="16" customFormat="false" ht="17.25" hidden="false" customHeight="true" outlineLevel="0" collapsed="false">
      <c r="B16" s="71" t="s">
        <v>5228</v>
      </c>
      <c r="C16" s="94" t="n">
        <f aca="false">IF(Need_2&lt;&gt;"",Need_2,Essentials+Lifestyle+Debt_Repayments)</f>
        <v>5870</v>
      </c>
      <c r="D16" s="80" t="s">
        <v>966</v>
      </c>
      <c r="E16" s="95" t="s">
        <v>5229</v>
      </c>
    </row>
    <row r="18" customFormat="false" ht="15" hidden="false" customHeight="true" outlineLevel="0" collapsed="false">
      <c r="B18" s="74" t="s">
        <v>4326</v>
      </c>
      <c r="C18" s="77"/>
      <c r="D18" s="77"/>
      <c r="E18" s="77"/>
      <c r="F18" s="77"/>
      <c r="G18" s="77"/>
    </row>
    <row r="19" customFormat="false" ht="13.5" hidden="false" customHeight="true" outlineLevel="0" collapsed="false">
      <c r="B19" s="99" t="s">
        <v>5230</v>
      </c>
      <c r="C19" s="99"/>
      <c r="D19" s="99"/>
      <c r="E19" s="99"/>
    </row>
    <row r="20" customFormat="false" ht="13.5" hidden="false" customHeight="true" outlineLevel="0" collapsed="false">
      <c r="B20" s="100" t="s">
        <v>4329</v>
      </c>
      <c r="C20" s="100"/>
      <c r="D20" s="100"/>
      <c r="E20" s="100"/>
    </row>
    <row r="21" customFormat="false" ht="13.5" hidden="false" customHeight="true" outlineLevel="0" collapsed="false">
      <c r="B21" s="99" t="s">
        <v>5231</v>
      </c>
      <c r="C21" s="99"/>
      <c r="D21" s="99"/>
      <c r="E21" s="99"/>
    </row>
    <row r="23" customFormat="false" ht="15" hidden="false" customHeight="true" outlineLevel="0" collapsed="false">
      <c r="B23" s="74" t="s">
        <v>4334</v>
      </c>
      <c r="C23" s="77"/>
      <c r="D23" s="77"/>
      <c r="E23" s="77"/>
      <c r="F23" s="77"/>
      <c r="G23" s="77"/>
    </row>
    <row r="24" customFormat="false" ht="15" hidden="false" customHeight="true" outlineLevel="0" collapsed="false">
      <c r="B24" s="78" t="s">
        <v>1673</v>
      </c>
      <c r="C24" s="101" t="str">
        <f aca="false">IF(Need_1&lt;&gt;"",Need_1,IF(Surplus&gt;0,"Save my surplus (plan kind pot)","No goal"))</f>
        <v>No goal</v>
      </c>
      <c r="E24" s="102" t="s">
        <v>5232</v>
      </c>
    </row>
    <row r="25" customFormat="false" ht="15" hidden="false" customHeight="true" outlineLevel="0" collapsed="false">
      <c r="B25" s="78" t="s">
        <v>5233</v>
      </c>
      <c r="C25" s="103" t="str">
        <f aca="false">IF(Need_1&lt;&gt;"",Need_1,IF(Surplus&gt;0,ROUND(Surplus*12,0),"—"))</f>
        <v>—</v>
      </c>
      <c r="E25" s="102" t="s">
        <v>5234</v>
      </c>
    </row>
    <row r="26" customFormat="false" ht="15" hidden="false" customHeight="true" outlineLevel="0" collapsed="false">
      <c r="B26" s="78" t="s">
        <v>4340</v>
      </c>
      <c r="C26" s="104" t="str">
        <f aca="false">IF(Need_1&lt;&gt;"",Need_1,IF(Surplus&gt;0,1,"—"))</f>
        <v>—</v>
      </c>
      <c r="E26" s="102" t="s">
        <v>5235</v>
      </c>
    </row>
    <row r="28" customFormat="false" ht="15" hidden="false" customHeight="true" outlineLevel="0" collapsed="false">
      <c r="B28" s="74" t="s">
        <v>4342</v>
      </c>
      <c r="C28" s="77"/>
      <c r="D28" s="77"/>
      <c r="E28" s="77"/>
      <c r="F28" s="77"/>
      <c r="G28" s="77"/>
    </row>
    <row r="29" customFormat="false" ht="15" hidden="false" customHeight="true" outlineLevel="0" collapsed="false">
      <c r="B29" s="105" t="s">
        <v>5236</v>
      </c>
      <c r="C29" s="105" t="str">
        <f aca="false">IF(Essentials="","Choose your essentials to see this",IF(Lifestyle="","Choose your lifestyle spending to see this",IF(Debt_Repayments="","Choose your debt repayments to see this",IF(NOT(ISNUMBER(Used_Take_Home)),IF(Used_Take_Home="","Choose your take-home pay per month to see this",Used_Take_Home),""))))</f>
        <v/>
      </c>
    </row>
    <row r="30" customFormat="false" ht="15" hidden="false" customHeight="true" outlineLevel="0" collapsed="false">
      <c r="B30" s="105" t="s">
        <v>5237</v>
      </c>
      <c r="C30" s="105" t="str">
        <f aca="false">IF(Essentials="","Choose your essentials to see this",IF(Lifestyle="","Choose your lifestyle spending to see this",IF(Debt_Repayments="","Choose your debt repayments to see this","")))</f>
        <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5238</v>
      </c>
      <c r="E1" s="70" t="s">
        <v>5239</v>
      </c>
    </row>
    <row r="2" customFormat="false" ht="15" hidden="false" customHeight="true" outlineLevel="0" collapsed="false">
      <c r="B2" s="71" t="s">
        <v>5240</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5241</v>
      </c>
    </row>
    <row r="5" customFormat="false" ht="15" hidden="false" customHeight="true" outlineLevel="0" collapsed="false">
      <c r="B5" s="74" t="s">
        <v>4276</v>
      </c>
      <c r="C5" s="75" t="s">
        <v>914</v>
      </c>
      <c r="D5" s="75" t="s">
        <v>915</v>
      </c>
      <c r="E5" s="75" t="s">
        <v>4277</v>
      </c>
      <c r="F5" s="76" t="s">
        <v>4278</v>
      </c>
      <c r="G5" s="77"/>
    </row>
    <row r="6" customFormat="false" ht="15" hidden="false" customHeight="true" outlineLevel="0" collapsed="false">
      <c r="B6" s="78" t="s">
        <v>5217</v>
      </c>
      <c r="C6" s="79"/>
      <c r="D6" s="80" t="s">
        <v>966</v>
      </c>
      <c r="E6" s="81" t="str">
        <f aca="false">"Type 3 · optional · Optional: leave blank for none. Allowed: €500 to "&amp;TEXT(Max_Money_Input,"€#,##0")&amp;" · steps of €50"</f>
        <v>Type 3 · optional · Optional: leave blank for none. Allowed: €500 to €200,000 · steps of €50</v>
      </c>
      <c r="F6" s="82" t="n">
        <v>3500</v>
      </c>
      <c r="G6" s="83" t="n">
        <f aca="false">IF(ISBLANK(C6),IF(Fill_Example="Yes",F6,""),C6)</f>
        <v>3500</v>
      </c>
    </row>
    <row r="7" customFormat="false" ht="21.75" hidden="false" customHeight="true" outlineLevel="0" collapsed="false">
      <c r="B7" s="78" t="s">
        <v>5242</v>
      </c>
      <c r="C7" s="87"/>
      <c r="D7" s="80" t="s">
        <v>4287</v>
      </c>
      <c r="E7" s="88" t="s">
        <v>5243</v>
      </c>
      <c r="F7" s="89" t="n">
        <f aca="false">Set_budget_1</f>
        <v>0.5</v>
      </c>
      <c r="G7" s="90" t="n">
        <f aca="false">IF(ISBLANK(C7),F7,C7)</f>
        <v>0.5</v>
      </c>
    </row>
    <row r="8" customFormat="false" ht="21.75" hidden="false" customHeight="true" outlineLevel="0" collapsed="false">
      <c r="B8" s="78" t="s">
        <v>5244</v>
      </c>
      <c r="C8" s="87"/>
      <c r="D8" s="80" t="s">
        <v>4287</v>
      </c>
      <c r="E8" s="88" t="s">
        <v>5245</v>
      </c>
      <c r="F8" s="89" t="n">
        <f aca="false">Set_budget_2</f>
        <v>0.3</v>
      </c>
      <c r="G8" s="90" t="n">
        <f aca="false">IF(ISBLANK(C8),F8,C8)</f>
        <v>0.3</v>
      </c>
    </row>
    <row r="9" customFormat="false" ht="21.75" hidden="false" customHeight="true" outlineLevel="0" collapsed="false">
      <c r="B9" s="78" t="s">
        <v>5246</v>
      </c>
      <c r="C9" s="87"/>
      <c r="D9" s="80" t="s">
        <v>4287</v>
      </c>
      <c r="E9" s="88" t="s">
        <v>5247</v>
      </c>
      <c r="F9" s="89" t="n">
        <f aca="false">Set_budget_3</f>
        <v>0.2</v>
      </c>
      <c r="G9" s="90" t="n">
        <f aca="false">IF(ISBLANK(C9),F9,C9)</f>
        <v>0.2</v>
      </c>
    </row>
    <row r="11" customFormat="false" ht="15" hidden="false" customHeight="true" outlineLevel="0" collapsed="false">
      <c r="B11" s="74" t="s">
        <v>4375</v>
      </c>
      <c r="C11" s="77"/>
      <c r="D11" s="77"/>
      <c r="E11" s="77"/>
      <c r="F11" s="77"/>
      <c r="G11" s="77"/>
    </row>
    <row r="12" customFormat="false" ht="15" hidden="false" customHeight="true" outlineLevel="0" collapsed="false">
      <c r="B12" s="78" t="s">
        <v>5224</v>
      </c>
      <c r="C12" s="111" t="n">
        <f aca="false">IF(Take_Home="",TE_Take_Home_Month,Take_Home)</f>
        <v>3500</v>
      </c>
      <c r="D12" s="112" t="str">
        <f aca="false">IF(Take_Home="","From the Tax engine","Your figure")</f>
        <v>Your figure</v>
      </c>
      <c r="E12" s="102" t="s">
        <v>5225</v>
      </c>
    </row>
    <row r="14" customFormat="false" ht="15" hidden="false" customHeight="true" outlineLevel="0" collapsed="false">
      <c r="B14" s="74" t="s">
        <v>4099</v>
      </c>
      <c r="C14" s="75" t="s">
        <v>329</v>
      </c>
      <c r="D14" s="75" t="s">
        <v>4295</v>
      </c>
      <c r="E14" s="75" t="s">
        <v>4296</v>
      </c>
      <c r="F14" s="77"/>
      <c r="G14" s="77"/>
    </row>
    <row r="15" customFormat="false" ht="15" hidden="false" customHeight="true" outlineLevel="0" collapsed="false">
      <c r="B15" s="125" t="s">
        <v>4803</v>
      </c>
      <c r="C15" s="126" t="str">
        <f aca="false">IF(Need_1&lt;&gt;"","",IF(ROUND(Budget_Needs+Budget_Wants+Budget_Save,6)&lt;&gt;1,"Your shares add up to "&amp;TEXT(Budget_Needs+Budget_Wants+Budget_Save,"0%")&amp;", not 100%.",""))</f>
        <v/>
      </c>
      <c r="D15" s="126"/>
      <c r="E15" s="126"/>
    </row>
    <row r="16" customFormat="false" ht="17.25" hidden="false" customHeight="true" outlineLevel="0" collapsed="false">
      <c r="B16" s="71" t="s">
        <v>5248</v>
      </c>
      <c r="C16" s="94" t="n">
        <f aca="false">IF(Need_2&lt;&gt;"",Need_2,Used_Take_Home*Budget_Save)</f>
        <v>700</v>
      </c>
      <c r="D16" s="80" t="s">
        <v>966</v>
      </c>
      <c r="E16" s="95" t="s">
        <v>5249</v>
      </c>
    </row>
    <row r="17" customFormat="false" ht="17.25" hidden="false" customHeight="true" outlineLevel="0" collapsed="false">
      <c r="B17" s="71" t="s">
        <v>5250</v>
      </c>
      <c r="C17" s="94" t="n">
        <f aca="false">IF(Need_3&lt;&gt;"",Need_3,Used_Take_Home*Budget_Needs)</f>
        <v>1750</v>
      </c>
      <c r="D17" s="80" t="s">
        <v>966</v>
      </c>
      <c r="E17" s="95" t="s">
        <v>5251</v>
      </c>
    </row>
    <row r="18" customFormat="false" ht="17.25" hidden="false" customHeight="true" outlineLevel="0" collapsed="false">
      <c r="B18" s="71" t="s">
        <v>5252</v>
      </c>
      <c r="C18" s="94" t="n">
        <f aca="false">IF(Need_4&lt;&gt;"",Need_4,Used_Take_Home*Budget_Wants)</f>
        <v>1050</v>
      </c>
      <c r="D18" s="80" t="s">
        <v>966</v>
      </c>
      <c r="E18" s="95" t="s">
        <v>5253</v>
      </c>
    </row>
    <row r="20" customFormat="false" ht="15" hidden="false" customHeight="true" outlineLevel="0" collapsed="false">
      <c r="B20" s="74" t="s">
        <v>4326</v>
      </c>
      <c r="C20" s="77"/>
      <c r="D20" s="77"/>
      <c r="E20" s="77"/>
      <c r="F20" s="77"/>
      <c r="G20" s="77"/>
    </row>
    <row r="21" customFormat="false" ht="13.5" hidden="false" customHeight="true" outlineLevel="0" collapsed="false">
      <c r="B21" s="99" t="s">
        <v>5254</v>
      </c>
      <c r="C21" s="99"/>
      <c r="D21" s="99"/>
      <c r="E21" s="99"/>
    </row>
    <row r="22" customFormat="false" ht="13.5" hidden="false" customHeight="true" outlineLevel="0" collapsed="false">
      <c r="B22" s="100" t="s">
        <v>4329</v>
      </c>
      <c r="C22" s="100"/>
      <c r="D22" s="100"/>
      <c r="E22" s="100"/>
    </row>
    <row r="23" customFormat="false" ht="13.5" hidden="false" customHeight="true" outlineLevel="0" collapsed="false">
      <c r="B23" s="99" t="s">
        <v>5255</v>
      </c>
      <c r="C23" s="99"/>
      <c r="D23" s="99"/>
      <c r="E23" s="99"/>
    </row>
    <row r="25" customFormat="false" ht="15" hidden="false" customHeight="true" outlineLevel="0" collapsed="false">
      <c r="B25" s="74" t="s">
        <v>4334</v>
      </c>
      <c r="C25" s="77"/>
      <c r="D25" s="77"/>
      <c r="E25" s="77"/>
      <c r="F25" s="77"/>
      <c r="G25" s="77"/>
    </row>
    <row r="26" customFormat="false" ht="15" hidden="false" customHeight="true" outlineLevel="0" collapsed="false">
      <c r="B26" s="78" t="s">
        <v>1673</v>
      </c>
      <c r="C26" s="101" t="str">
        <f aca="false">"No goal"</f>
        <v>No goal</v>
      </c>
      <c r="E26" s="102" t="s">
        <v>4515</v>
      </c>
    </row>
    <row r="28" customFormat="false" ht="15" hidden="false" customHeight="true" outlineLevel="0" collapsed="false">
      <c r="B28" s="74" t="s">
        <v>4342</v>
      </c>
      <c r="C28" s="77"/>
      <c r="D28" s="77"/>
      <c r="E28" s="77"/>
      <c r="F28" s="77"/>
      <c r="G28" s="77"/>
    </row>
    <row r="29" customFormat="false" ht="15" hidden="false" customHeight="true" outlineLevel="0" collapsed="false">
      <c r="B29" s="105" t="s">
        <v>5256</v>
      </c>
      <c r="C29" s="105" t="str">
        <f aca="false">""</f>
        <v/>
      </c>
    </row>
    <row r="30" customFormat="false" ht="15" hidden="false" customHeight="true" outlineLevel="0" collapsed="false">
      <c r="B30" s="105" t="s">
        <v>5257</v>
      </c>
      <c r="C30" s="105" t="str">
        <f aca="false">IF(NOT(ISNUMBER(Used_Take_Home)),IF(Used_Take_Home="","Choose your take-home pay per month to see this",Used_Take_Home),"")</f>
        <v/>
      </c>
    </row>
    <row r="31" customFormat="false" ht="15" hidden="false" customHeight="true" outlineLevel="0" collapsed="false">
      <c r="B31" s="105" t="s">
        <v>5258</v>
      </c>
      <c r="C31" s="105" t="str">
        <f aca="false">IF(NOT(ISNUMBER(Used_Take_Home)),IF(Used_Take_Home="","Choose your take-home pay per month to see this",Used_Take_Home),"")</f>
        <v/>
      </c>
    </row>
    <row r="32" customFormat="false" ht="15" hidden="false" customHeight="true" outlineLevel="0" collapsed="false">
      <c r="B32" s="105" t="s">
        <v>5259</v>
      </c>
      <c r="C32" s="105" t="str">
        <f aca="false">IF(NOT(ISNUMBER(Used_Take_Home)),IF(Used_Take_Home="","Choose your take-home pay per month to see this",Used_Take_Home),"")</f>
        <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5260</v>
      </c>
      <c r="E1" s="70" t="s">
        <v>5261</v>
      </c>
    </row>
    <row r="2" customFormat="false" ht="15" hidden="false" customHeight="true" outlineLevel="0" collapsed="false">
      <c r="B2" s="71" t="s">
        <v>5262</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5263</v>
      </c>
    </row>
    <row r="5" customFormat="false" ht="15" hidden="false" customHeight="true" outlineLevel="0" collapsed="false">
      <c r="B5" s="74" t="s">
        <v>4276</v>
      </c>
      <c r="C5" s="75" t="s">
        <v>914</v>
      </c>
      <c r="D5" s="75" t="s">
        <v>915</v>
      </c>
      <c r="E5" s="75" t="s">
        <v>4277</v>
      </c>
      <c r="F5" s="76" t="s">
        <v>4278</v>
      </c>
      <c r="G5" s="77"/>
    </row>
    <row r="6" customFormat="false" ht="21.75" hidden="false" customHeight="true" outlineLevel="0" collapsed="false">
      <c r="B6" s="78" t="s">
        <v>5264</v>
      </c>
      <c r="C6" s="79"/>
      <c r="D6" s="80" t="s">
        <v>966</v>
      </c>
      <c r="E6" s="81" t="s">
        <v>5265</v>
      </c>
      <c r="F6" s="82" t="n">
        <v>5000</v>
      </c>
      <c r="G6" s="83" t="n">
        <f aca="false">IF(ISBLANK(C6),IF(F_Debt&gt;0,IF(F_CardBal&gt;0,IF(F_LoanBal&gt;0,IF(IFERROR(NPER(D_iC,-F_CardPayM,F_CardBal),1000000000)&gt;=IFERROR(NPER(D_iL,-F_LoanPayM,F_LoanBal),1000000000),F_CardBal,F_LoanBal),F_CardBal),F_LoanBal),IF(Fill_Example="Yes",F6,"")),C6)</f>
        <v>3500</v>
      </c>
    </row>
    <row r="7" customFormat="false" ht="33" hidden="false" customHeight="true" outlineLevel="0" collapsed="false">
      <c r="B7" s="78" t="s">
        <v>5266</v>
      </c>
      <c r="C7" s="87"/>
      <c r="D7" s="80" t="s">
        <v>4287</v>
      </c>
      <c r="E7" s="88"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89" t="str">
        <f aca="false">IF(ISNUMBER(Suggest_Card_APR),Suggest_Card_APR,"")</f>
        <v/>
      </c>
      <c r="G7" s="90" t="str">
        <f aca="false">IF(ISBLANK(C7),IF(AND(F_Debt&gt;0,IF(F_CardBal&gt;0,IF(F_LoanBal&gt;0,IF(IFERROR(NPER(D_iC,-F_CardPayM,F_CardBal),1000000000)&gt;=IFERROR(NPER(D_iL,-F_LoanPayM,F_LoanBal),1000000000),In_cardRate&gt;0,In_loanRate&gt;0),In_cardRate&gt;0),In_loanRate&gt;0)),IF(F_CardBal&gt;0,IF(F_LoanBal&gt;0,IF(IFERROR(NPER(D_iC,-F_CardPayM,F_CardBal),1000000000)&gt;=IFERROR(NPER(D_iL,-F_LoanPayM,F_LoanBal),1000000000),In_cardRate,In_loanRate),In_cardRate),In_loanRate),IF(Fill_Example="Yes",F7,"")),C7)</f>
        <v/>
      </c>
    </row>
    <row r="8" customFormat="false" ht="21.75" hidden="false" customHeight="true" outlineLevel="0" collapsed="false">
      <c r="B8" s="78" t="s">
        <v>5267</v>
      </c>
      <c r="C8" s="79"/>
      <c r="D8" s="80" t="s">
        <v>966</v>
      </c>
      <c r="E8" s="81" t="s">
        <v>5268</v>
      </c>
      <c r="F8" s="82" t="n">
        <v>250</v>
      </c>
      <c r="G8" s="83" t="n">
        <f aca="false">IF(ISBLANK(C8),IF(F_Debt&gt;0,IF(F_CardBal&gt;0,IF(F_LoanBal&gt;0,IF(IFERROR(NPER(D_iC,-F_CardPayM,F_CardBal),1000000000)&gt;=IFERROR(NPER(D_iL,-F_LoanPayM,F_LoanBal),1000000000),F_CardPayM,F_LoanPayM),F_CardPayM),F_LoanPayM),IF(Fill_Example="Yes",F8,"")),C8)</f>
        <v>100</v>
      </c>
    </row>
    <row r="9" customFormat="false" ht="15" hidden="false" customHeight="true" outlineLevel="0" collapsed="false">
      <c r="B9" s="78" t="s">
        <v>5269</v>
      </c>
      <c r="C9" s="79"/>
      <c r="D9" s="80" t="s">
        <v>966</v>
      </c>
      <c r="E9" s="81" t="s">
        <v>5270</v>
      </c>
      <c r="F9" s="82" t="n">
        <v>0</v>
      </c>
      <c r="G9" s="83" t="n">
        <f aca="false">IF(ISBLANK(C9),F9,C9)</f>
        <v>0</v>
      </c>
    </row>
    <row r="11" customFormat="false" ht="15" hidden="false" customHeight="true" outlineLevel="0" collapsed="false">
      <c r="B11" s="74" t="s">
        <v>4099</v>
      </c>
      <c r="C11" s="75" t="s">
        <v>329</v>
      </c>
      <c r="D11" s="75" t="s">
        <v>4295</v>
      </c>
      <c r="E11" s="75" t="s">
        <v>4296</v>
      </c>
      <c r="F11" s="77"/>
      <c r="G11" s="77"/>
    </row>
    <row r="12" customFormat="false" ht="17.25" hidden="false" customHeight="true" outlineLevel="0" collapsed="false">
      <c r="B12" s="71" t="s">
        <v>5271</v>
      </c>
      <c r="C12" s="115" t="str">
        <f aca="false">IF(Need_1&lt;&gt;"",Need_1,IF(Payment&lt;=Balance*Monthly_Rate,"Never",ROUNDUP(ROUND(NPER(Monthly_Rate,-Payment,Balance),6),0)))</f>
        <v>Choose your credit-card rate to see this</v>
      </c>
      <c r="D12" s="116"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credit-card rate to see this</v>
      </c>
      <c r="E12" s="95" t="s">
        <v>5272</v>
      </c>
    </row>
    <row r="13" customFormat="false" ht="17.25" hidden="false" customHeight="true" outlineLevel="0" collapsed="false">
      <c r="B13" s="71" t="s">
        <v>4387</v>
      </c>
      <c r="C13" s="94" t="str">
        <f aca="false">IF(Need_1&lt;&gt;"",Need_1,IF(Months_To_Clear="Never","—",Payment*(Months_To_Clear-1)+Final_Payment-Balance))</f>
        <v>Choose your credit-card rate to see this</v>
      </c>
      <c r="D13" s="80" t="s">
        <v>966</v>
      </c>
      <c r="E13" s="95" t="s">
        <v>5273</v>
      </c>
    </row>
    <row r="14" customFormat="false" ht="15" hidden="false" customHeight="true" outlineLevel="0" collapsed="false">
      <c r="B14" s="78" t="s">
        <v>5274</v>
      </c>
      <c r="C14" s="117" t="str">
        <f aca="false">IF(Need_2&lt;&gt;"",Need_2,(1+APR)^(1/12)-1)</f>
        <v>Choose your credit-card rate to see this</v>
      </c>
      <c r="D14" s="80"/>
      <c r="E14" s="95" t="s">
        <v>5275</v>
      </c>
    </row>
    <row r="15" customFormat="false" ht="15" hidden="false" customHeight="true" outlineLevel="0" collapsed="false">
      <c r="B15" s="78" t="s">
        <v>5276</v>
      </c>
      <c r="C15" s="96" t="str">
        <f aca="false">IF(Need_3&lt;&gt;"",Need_3,Monthly_Payment+Extra_Payment)</f>
        <v>Choose your credit-card rate to see this</v>
      </c>
      <c r="D15" s="80" t="s">
        <v>966</v>
      </c>
      <c r="E15" s="95" t="s">
        <v>5277</v>
      </c>
    </row>
    <row r="16" customFormat="false" ht="15" hidden="false" customHeight="true" outlineLevel="0" collapsed="false">
      <c r="B16" s="78" t="s">
        <v>4395</v>
      </c>
      <c r="C16" s="96" t="str">
        <f aca="false">IF(Need_1&lt;&gt;"",Need_1,IF(Months_To_Clear="Never","—",-FV(Monthly_Rate,Months_To_Clear-1,-Payment,Balance)*(1+Monthly_Rate)))</f>
        <v>Choose your credit-card rate to see this</v>
      </c>
      <c r="D16" s="80" t="s">
        <v>966</v>
      </c>
      <c r="E16" s="95" t="s">
        <v>5278</v>
      </c>
    </row>
    <row r="18" customFormat="false" ht="15" hidden="false" customHeight="true" outlineLevel="0" collapsed="false">
      <c r="B18" s="74" t="s">
        <v>4326</v>
      </c>
      <c r="C18" s="77"/>
      <c r="D18" s="77"/>
      <c r="E18" s="77"/>
      <c r="F18" s="77"/>
      <c r="G18" s="77"/>
    </row>
    <row r="19" customFormat="false" ht="13.5" hidden="false" customHeight="true" outlineLevel="0" collapsed="false">
      <c r="B19" s="99" t="s">
        <v>5279</v>
      </c>
      <c r="C19" s="99"/>
      <c r="D19" s="99"/>
      <c r="E19" s="99"/>
    </row>
    <row r="20" customFormat="false" ht="13.5" hidden="false" customHeight="true" outlineLevel="0" collapsed="false">
      <c r="B20" s="99" t="s">
        <v>5280</v>
      </c>
      <c r="C20" s="99"/>
      <c r="D20" s="99"/>
      <c r="E20" s="99"/>
    </row>
    <row r="21" customFormat="false" ht="13.5" hidden="false" customHeight="true" outlineLevel="0" collapsed="false">
      <c r="B21" s="100" t="s">
        <v>4329</v>
      </c>
      <c r="C21" s="100"/>
      <c r="D21" s="100"/>
      <c r="E21" s="100"/>
    </row>
    <row r="22" customFormat="false" ht="27.75" hidden="false" customHeight="true" outlineLevel="0" collapsed="false">
      <c r="B22" s="99" t="s">
        <v>4406</v>
      </c>
      <c r="C22" s="99"/>
      <c r="D22" s="99"/>
      <c r="E22" s="99"/>
    </row>
    <row r="23" customFormat="false" ht="13.5" hidden="false" customHeight="true" outlineLevel="0" collapsed="false">
      <c r="B23" s="99" t="s">
        <v>5281</v>
      </c>
      <c r="C23" s="99"/>
      <c r="D23" s="99"/>
      <c r="E23" s="99"/>
    </row>
    <row r="24" customFormat="false" ht="27.75" hidden="false" customHeight="true" outlineLevel="0" collapsed="false">
      <c r="B24" s="99" t="s">
        <v>4408</v>
      </c>
      <c r="C24" s="99"/>
      <c r="D24" s="99"/>
      <c r="E24" s="99"/>
    </row>
    <row r="25" customFormat="false" ht="13.5" hidden="false" customHeight="true" outlineLevel="0" collapsed="false">
      <c r="B25" s="99" t="s">
        <v>4333</v>
      </c>
      <c r="C25" s="99"/>
      <c r="D25" s="99"/>
      <c r="E25" s="99"/>
    </row>
    <row r="27" customFormat="false" ht="15" hidden="false" customHeight="true" outlineLevel="0" collapsed="false">
      <c r="B27" s="74" t="s">
        <v>4334</v>
      </c>
      <c r="C27" s="77"/>
      <c r="D27" s="77"/>
      <c r="E27" s="77"/>
      <c r="F27" s="77"/>
      <c r="G27" s="77"/>
    </row>
    <row r="28" customFormat="false" ht="15" hidden="false" customHeight="true" outlineLevel="0" collapsed="false">
      <c r="B28" s="78" t="s">
        <v>1673</v>
      </c>
      <c r="C28" s="101" t="str">
        <f aca="false">"No goal (the plan already repays this debt)"</f>
        <v>No goal (the plan already repays this debt)</v>
      </c>
      <c r="E28" s="102" t="s">
        <v>5282</v>
      </c>
    </row>
    <row r="29" customFormat="false" ht="13.5" hidden="false" customHeight="true" outlineLevel="0" collapsed="false">
      <c r="B29" s="106" t="s">
        <v>5283</v>
      </c>
      <c r="C29" s="106"/>
      <c r="D29" s="106"/>
      <c r="E29" s="106"/>
    </row>
    <row r="31" customFormat="false" ht="15" hidden="false" customHeight="true" outlineLevel="0" collapsed="false">
      <c r="B31" s="74" t="s">
        <v>4342</v>
      </c>
      <c r="C31" s="77"/>
      <c r="D31" s="77"/>
      <c r="E31" s="77"/>
      <c r="F31" s="77"/>
      <c r="G31" s="77"/>
    </row>
    <row r="32" customFormat="false" ht="15" hidden="false" customHeight="true" outlineLevel="0" collapsed="false">
      <c r="B32" s="105" t="s">
        <v>5284</v>
      </c>
      <c r="C32" s="105" t="str">
        <f aca="false">IF(Balance="","Choose your balance to see this",IF(Monthly_Payment="","Choose your monthly payment to see this",IF(APR="","Choose your credit-card rate to see this","")))</f>
        <v>Choose your credit-card rate to see this</v>
      </c>
    </row>
    <row r="33" customFormat="false" ht="15" hidden="false" customHeight="true" outlineLevel="0" collapsed="false">
      <c r="B33" s="105" t="s">
        <v>5285</v>
      </c>
      <c r="C33" s="105" t="str">
        <f aca="false">IF(APR="","Choose your credit-card rate to see this","")</f>
        <v>Choose your credit-card rate to see this</v>
      </c>
    </row>
    <row r="34" customFormat="false" ht="15" hidden="false" customHeight="true" outlineLevel="0" collapsed="false">
      <c r="B34" s="105" t="s">
        <v>5286</v>
      </c>
      <c r="C34" s="105" t="str">
        <f aca="false">IF(Monthly_Payment="","Choose your monthly payment to see this",IF(APR="","Choose your credit-card rate to see this",""))</f>
        <v>Choose your credit-card rate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69" t="s">
        <v>5287</v>
      </c>
      <c r="E1" s="70" t="s">
        <v>5288</v>
      </c>
    </row>
    <row r="2" customFormat="false" ht="15" hidden="false" customHeight="true" outlineLevel="0" collapsed="false">
      <c r="B2" s="71" t="s">
        <v>5289</v>
      </c>
      <c r="E2" s="72"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73" t="s">
        <v>5290</v>
      </c>
    </row>
    <row r="5" customFormat="false" ht="15" hidden="false" customHeight="true" outlineLevel="0" collapsed="false">
      <c r="B5" s="74" t="s">
        <v>4276</v>
      </c>
      <c r="C5" s="75" t="s">
        <v>914</v>
      </c>
      <c r="D5" s="75" t="s">
        <v>915</v>
      </c>
      <c r="E5" s="75" t="s">
        <v>4277</v>
      </c>
      <c r="F5" s="76" t="s">
        <v>4278</v>
      </c>
      <c r="G5" s="77"/>
    </row>
    <row r="6" customFormat="false" ht="15" hidden="false" customHeight="true" outlineLevel="0" collapsed="false">
      <c r="B6" s="78" t="s">
        <v>5291</v>
      </c>
      <c r="C6" s="79"/>
      <c r="D6" s="80" t="s">
        <v>966</v>
      </c>
      <c r="E6" s="81" t="s">
        <v>5292</v>
      </c>
      <c r="F6" s="82" t="n">
        <v>15000</v>
      </c>
      <c r="G6" s="83" t="n">
        <f aca="false">IF(ISBLANK(C6),IF(Fill_Example="Yes",F6,""),C6)</f>
        <v>15000</v>
      </c>
    </row>
    <row r="7" customFormat="false" ht="21.75" hidden="false" customHeight="true" outlineLevel="0" collapsed="false">
      <c r="B7" s="78" t="s">
        <v>5266</v>
      </c>
      <c r="C7" s="87"/>
      <c r="D7" s="80" t="s">
        <v>4287</v>
      </c>
      <c r="E7" s="88"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89" t="n">
        <f aca="false">IF(ISNUMBER(Suggest_Loan_APR),Suggest_Loan_APR,"")</f>
        <v>0.0672</v>
      </c>
      <c r="G7" s="90" t="n">
        <f aca="false">IF(ISBLANK(C7),IF(Fill_Example="Yes",F7,""),C7)</f>
        <v>0.0672</v>
      </c>
    </row>
    <row r="8" customFormat="false" ht="15" hidden="false" customHeight="true" outlineLevel="0" collapsed="false">
      <c r="B8" s="78" t="s">
        <v>3924</v>
      </c>
      <c r="C8" s="91"/>
      <c r="D8" s="80" t="s">
        <v>1004</v>
      </c>
      <c r="E8" s="81" t="s">
        <v>4723</v>
      </c>
      <c r="F8" s="92" t="n">
        <v>5</v>
      </c>
      <c r="G8" s="93" t="n">
        <f aca="false">IF(AND(ISNUMBER(C8),N(C8)&lt;1),"",IF(ISBLANK(C8),IF(Fill_Example="Yes",F8,""),C8))</f>
        <v>5</v>
      </c>
    </row>
    <row r="10" customFormat="false" ht="15" hidden="false" customHeight="true" outlineLevel="0" collapsed="false">
      <c r="B10" s="74" t="s">
        <v>4099</v>
      </c>
      <c r="C10" s="75" t="s">
        <v>329</v>
      </c>
      <c r="D10" s="75" t="s">
        <v>4295</v>
      </c>
      <c r="E10" s="75" t="s">
        <v>4296</v>
      </c>
      <c r="F10" s="77"/>
      <c r="G10" s="77"/>
    </row>
    <row r="11" customFormat="false" ht="17.25" hidden="false" customHeight="true" outlineLevel="0" collapsed="false">
      <c r="B11" s="71" t="s">
        <v>3825</v>
      </c>
      <c r="C11" s="94" t="n">
        <f aca="false">IF(Need_1&lt;&gt;"",Need_1,PMT(Monthly_Rate,Years*12,-Loan_Amount))</f>
        <v>293.643280565239</v>
      </c>
      <c r="D11" s="80" t="s">
        <v>966</v>
      </c>
      <c r="E11" s="95" t="s">
        <v>5293</v>
      </c>
    </row>
    <row r="12" customFormat="false" ht="17.25" hidden="false" customHeight="true" outlineLevel="0" collapsed="false">
      <c r="B12" s="71" t="s">
        <v>4387</v>
      </c>
      <c r="C12" s="94" t="n">
        <f aca="false">IF(Need_1&lt;&gt;"",Need_1,Total_Repaid-Loan_Amount)</f>
        <v>2618.59683391432</v>
      </c>
      <c r="D12" s="80" t="s">
        <v>966</v>
      </c>
      <c r="E12" s="95" t="s">
        <v>5294</v>
      </c>
    </row>
    <row r="13" customFormat="false" ht="15" hidden="false" customHeight="true" outlineLevel="0" collapsed="false">
      <c r="B13" s="78" t="s">
        <v>4389</v>
      </c>
      <c r="C13" s="96" t="n">
        <f aca="false">IF(Need_1&lt;&gt;"",Need_1,Monthly_Repayment*Years*12)</f>
        <v>17618.5968339143</v>
      </c>
      <c r="D13" s="80" t="s">
        <v>966</v>
      </c>
      <c r="E13" s="95" t="s">
        <v>5295</v>
      </c>
    </row>
    <row r="14" customFormat="false" ht="15" hidden="false" customHeight="true" outlineLevel="0" collapsed="false">
      <c r="B14" s="78" t="s">
        <v>5274</v>
      </c>
      <c r="C14" s="117" t="n">
        <f aca="false">IF(Need_2&lt;&gt;"",Need_2,(1+APR)^(1/12)-1)</f>
        <v>0.0054345803945961</v>
      </c>
      <c r="D14" s="80"/>
      <c r="E14" s="95" t="s">
        <v>5275</v>
      </c>
    </row>
    <row r="16" customFormat="false" ht="15" hidden="false" customHeight="true" outlineLevel="0" collapsed="false">
      <c r="B16" s="74" t="s">
        <v>4326</v>
      </c>
      <c r="C16" s="77"/>
      <c r="D16" s="77"/>
      <c r="E16" s="77"/>
      <c r="F16" s="77"/>
      <c r="G16" s="77"/>
    </row>
    <row r="17" customFormat="false" ht="13.5" hidden="false" customHeight="true" outlineLevel="0" collapsed="false">
      <c r="B17" s="99" t="s">
        <v>5296</v>
      </c>
      <c r="C17" s="99"/>
      <c r="D17" s="99"/>
      <c r="E17" s="99"/>
    </row>
    <row r="18" customFormat="false" ht="13.5" hidden="false" customHeight="true" outlineLevel="0" collapsed="false">
      <c r="B18" s="99" t="s">
        <v>5297</v>
      </c>
      <c r="C18" s="99"/>
      <c r="D18" s="99"/>
      <c r="E18" s="99"/>
    </row>
    <row r="19" customFormat="false" ht="13.5" hidden="false" customHeight="true" outlineLevel="0" collapsed="false">
      <c r="B19" s="100" t="s">
        <v>4329</v>
      </c>
      <c r="C19" s="100"/>
      <c r="D19" s="100"/>
      <c r="E19" s="100"/>
    </row>
    <row r="20" customFormat="false" ht="13.5" hidden="false" customHeight="true" outlineLevel="0" collapsed="false">
      <c r="B20" s="99" t="s">
        <v>4333</v>
      </c>
      <c r="C20" s="99"/>
      <c r="D20" s="99"/>
      <c r="E20" s="99"/>
    </row>
    <row r="22" customFormat="false" ht="15" hidden="false" customHeight="true" outlineLevel="0" collapsed="false">
      <c r="B22" s="74" t="s">
        <v>4334</v>
      </c>
      <c r="C22" s="77"/>
      <c r="D22" s="77"/>
      <c r="E22" s="77"/>
      <c r="F22" s="77"/>
      <c r="G22" s="77"/>
    </row>
    <row r="23" customFormat="false" ht="15" hidden="false" customHeight="true" outlineLevel="0" collapsed="false">
      <c r="B23" s="78" t="s">
        <v>1673</v>
      </c>
      <c r="C23" s="101" t="str">
        <f aca="false">"No goal"</f>
        <v>No goal</v>
      </c>
      <c r="E23" s="102" t="s">
        <v>4515</v>
      </c>
    </row>
    <row r="25" customFormat="false" ht="15" hidden="false" customHeight="true" outlineLevel="0" collapsed="false">
      <c r="B25" s="74" t="s">
        <v>4342</v>
      </c>
      <c r="C25" s="77"/>
      <c r="D25" s="77"/>
      <c r="E25" s="77"/>
      <c r="F25" s="77"/>
      <c r="G25" s="77"/>
    </row>
    <row r="26" customFormat="false" ht="15" hidden="false" customHeight="true" outlineLevel="0" collapsed="false">
      <c r="B26" s="105" t="s">
        <v>5298</v>
      </c>
      <c r="C26" s="105" t="str">
        <f aca="false">IF(Loan_Amount="","Choose your loan amount to see this",IF(Years="","Choose your years to see this",IF(APR="","Choose your loan rate to see this","")))</f>
        <v/>
      </c>
    </row>
    <row r="27" customFormat="false" ht="15" hidden="false" customHeight="true" outlineLevel="0" collapsed="false">
      <c r="B27" s="105" t="s">
        <v>5285</v>
      </c>
      <c r="C27" s="105" t="str">
        <f aca="false">IF(APR="","Choose your loan rate to see this","")</f>
        <v/>
      </c>
    </row>
    <row r="29" customFormat="false" ht="15" hidden="false" customHeight="true" outlineLevel="0" collapsed="false">
      <c r="B29" s="25" t="s">
        <v>5299</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A1:M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20"/>
    <col collapsed="false" customWidth="true" hidden="false" outlineLevel="0" max="6" min="4" style="0" width="18"/>
    <col collapsed="false" customWidth="true" hidden="false" outlineLevel="0" max="9" min="7" style="0" width="16"/>
    <col collapsed="false" customWidth="true" hidden="false" outlineLevel="0" max="11" min="10" style="0" width="18"/>
    <col collapsed="false" customWidth="true" hidden="false" outlineLevel="0" max="12" min="12" style="0" width="16"/>
    <col collapsed="false" customWidth="true" hidden="false" outlineLevel="0" max="13" min="13" style="0" width="18"/>
  </cols>
  <sheetData>
    <row r="1" customFormat="false" ht="19.7" hidden="false" customHeight="false" outlineLevel="0" collapsed="false">
      <c r="A1" s="1" t="s">
        <v>5300</v>
      </c>
    </row>
    <row r="2" customFormat="false" ht="99.75" hidden="false" customHeight="true" outlineLevel="0" collapsed="false">
      <c r="A2" s="2" t="s">
        <v>5301</v>
      </c>
      <c r="B2" s="2"/>
      <c r="C2" s="2"/>
      <c r="D2" s="3" t="s">
        <v>5302</v>
      </c>
      <c r="E2" s="4" t="s">
        <v>5303</v>
      </c>
    </row>
    <row r="3" customFormat="false" ht="28.35" hidden="false" customHeight="false" outlineLevel="0" collapsed="false">
      <c r="A3" s="7" t="s">
        <v>5304</v>
      </c>
      <c r="B3" s="7" t="s">
        <v>5305</v>
      </c>
      <c r="C3" s="7" t="s">
        <v>374</v>
      </c>
      <c r="D3" s="7" t="s">
        <v>5303</v>
      </c>
      <c r="E3" s="7" t="s">
        <v>5306</v>
      </c>
    </row>
    <row r="4" customFormat="false" ht="95.5" hidden="false" customHeight="false" outlineLevel="0" collapsed="false">
      <c r="A4" s="9" t="s">
        <v>5307</v>
      </c>
      <c r="B4" s="139" t="n">
        <f aca="false">IF($E$2="Sample example",D4,E4)</f>
        <v>100000</v>
      </c>
      <c r="C4" s="6" t="s">
        <v>5308</v>
      </c>
      <c r="D4" s="140" t="n">
        <v>100000</v>
      </c>
      <c r="E4" s="141" t="n">
        <f aca="false">IF(Has_invest=1,In_invest,100000)</f>
        <v>6200</v>
      </c>
    </row>
    <row r="5" customFormat="false" ht="68.65" hidden="false" customHeight="false" outlineLevel="0" collapsed="false">
      <c r="A5" s="9" t="s">
        <v>5309</v>
      </c>
      <c r="B5" s="139" t="n">
        <f aca="false">IF($E$2="Sample example",D5,E5)</f>
        <v>100000</v>
      </c>
      <c r="C5" s="6" t="s">
        <v>5310</v>
      </c>
      <c r="D5" s="140" t="n">
        <v>100000</v>
      </c>
      <c r="E5" s="141" t="n">
        <f aca="false">E4</f>
        <v>6200</v>
      </c>
    </row>
    <row r="6" customFormat="false" ht="28.35" hidden="false" customHeight="false" outlineLevel="0" collapsed="false">
      <c r="A6" s="9" t="s">
        <v>5311</v>
      </c>
      <c r="B6" s="142" t="n">
        <f aca="false">IF($E$2="Sample example",D6,E6)</f>
        <v>0.05</v>
      </c>
      <c r="C6" s="6" t="s">
        <v>5312</v>
      </c>
      <c r="D6" s="143" t="n">
        <v>0.05</v>
      </c>
      <c r="E6" s="144" t="n">
        <v>0.05</v>
      </c>
    </row>
    <row r="7" customFormat="false" ht="28.35" hidden="false" customHeight="false" outlineLevel="0" collapsed="false">
      <c r="A7" s="9" t="s">
        <v>5313</v>
      </c>
      <c r="B7" s="142" t="n">
        <f aca="false">IF($E$2="Sample example",D7,E7)</f>
        <v>0.01</v>
      </c>
      <c r="C7" s="6" t="s">
        <v>5314</v>
      </c>
      <c r="D7" s="143" t="n">
        <v>0.01</v>
      </c>
      <c r="E7" s="144" t="n">
        <v>0.01</v>
      </c>
    </row>
    <row r="8" customFormat="false" ht="41.75" hidden="false" customHeight="false" outlineLevel="0" collapsed="false">
      <c r="A8" s="9" t="s">
        <v>5315</v>
      </c>
      <c r="B8" s="145" t="n">
        <f aca="false">IF($E$2="Sample example",D8,E8)</f>
        <v>0</v>
      </c>
      <c r="C8" s="6" t="s">
        <v>5316</v>
      </c>
      <c r="D8" s="146" t="n">
        <v>0</v>
      </c>
      <c r="E8" s="147" t="n">
        <v>0</v>
      </c>
    </row>
    <row r="9" customFormat="false" ht="41.75" hidden="false" customHeight="false" outlineLevel="0" collapsed="false">
      <c r="A9" s="9" t="s">
        <v>5317</v>
      </c>
      <c r="B9" s="148" t="str">
        <f aca="false">IF($E$2="Sample example",D9,E9)</f>
        <v>Fund or ETF</v>
      </c>
      <c r="C9" s="6" t="s">
        <v>5318</v>
      </c>
      <c r="D9" s="149" t="s">
        <v>5319</v>
      </c>
      <c r="E9" s="150" t="s">
        <v>5319</v>
      </c>
    </row>
    <row r="10" customFormat="false" ht="41.75" hidden="false" customHeight="false" outlineLevel="0" collapsed="false">
      <c r="A10" s="9" t="s">
        <v>5320</v>
      </c>
      <c r="B10" s="145" t="n">
        <f aca="false">IF($E$2="Sample example",D10,E10)</f>
        <v>20</v>
      </c>
      <c r="C10" s="6" t="s">
        <v>5321</v>
      </c>
      <c r="D10" s="146" t="n">
        <v>20</v>
      </c>
      <c r="E10" s="147" t="n">
        <v>20</v>
      </c>
    </row>
    <row r="11" customFormat="false" ht="55.2" hidden="false" customHeight="false" outlineLevel="0" collapsed="false">
      <c r="A11" s="9" t="s">
        <v>5322</v>
      </c>
      <c r="B11" s="151" t="n">
        <f aca="false">IF($E$2="Sample example",D11,E11)</f>
        <v>46316</v>
      </c>
      <c r="C11" s="6" t="s">
        <v>5323</v>
      </c>
      <c r="D11" s="152" t="n">
        <v>46316</v>
      </c>
      <c r="E11" s="153" t="n">
        <v>46316</v>
      </c>
    </row>
    <row r="12" customFormat="false" ht="41.75" hidden="false" customHeight="false" outlineLevel="0" collapsed="false">
      <c r="A12" s="9" t="s">
        <v>5324</v>
      </c>
      <c r="B12" s="145" t="n">
        <f aca="false">IF($E$2="Sample example",D12,E12)</f>
        <v>1</v>
      </c>
      <c r="C12" s="6" t="s">
        <v>5325</v>
      </c>
      <c r="D12" s="146" t="n">
        <v>1</v>
      </c>
      <c r="E12" s="147" t="n">
        <v>1</v>
      </c>
    </row>
    <row r="13" customFormat="false" ht="55.2" hidden="false" customHeight="false" outlineLevel="0" collapsed="false">
      <c r="A13" s="9" t="s">
        <v>5326</v>
      </c>
      <c r="B13" s="139" t="n">
        <f aca="false">IF($E$2="Sample example",D13,E13)</f>
        <v>0</v>
      </c>
      <c r="C13" s="6" t="s">
        <v>5327</v>
      </c>
      <c r="D13" s="140" t="n">
        <v>0</v>
      </c>
      <c r="E13" s="141" t="n">
        <v>0</v>
      </c>
    </row>
    <row r="15" customFormat="false" ht="15" hidden="false" customHeight="false" outlineLevel="0" collapsed="false">
      <c r="A15" s="7" t="s">
        <v>5328</v>
      </c>
      <c r="B15" s="7" t="s">
        <v>1226</v>
      </c>
      <c r="C15" s="7" t="s">
        <v>5329</v>
      </c>
    </row>
    <row r="16" customFormat="false" ht="15" hidden="false" customHeight="false" outlineLevel="0" collapsed="false">
      <c r="A16" s="9" t="s">
        <v>5330</v>
      </c>
      <c r="B16" s="143" t="n">
        <f aca="false">VLOOKUP("sav.exit",Tax!$A$55:$D$156,4,FALSE())</f>
        <v>0.38</v>
      </c>
      <c r="C16" s="6" t="s">
        <v>823</v>
      </c>
    </row>
    <row r="17" customFormat="false" ht="15" hidden="false" customHeight="false" outlineLevel="0" collapsed="false">
      <c r="A17" s="9" t="s">
        <v>827</v>
      </c>
      <c r="B17" s="146" t="n">
        <f aca="false">VLOOKUP("sav.deemed",Tax!$A$55:$D$156,4,FALSE())</f>
        <v>8</v>
      </c>
      <c r="C17" s="6" t="s">
        <v>826</v>
      </c>
    </row>
    <row r="18" customFormat="false" ht="15" hidden="false" customHeight="false" outlineLevel="0" collapsed="false">
      <c r="A18" s="9" t="s">
        <v>5331</v>
      </c>
      <c r="B18" s="143" t="n">
        <f aca="false">VLOOKUP("sav.cgtBefore",Tax!$A$55:$D$156,4,FALSE())</f>
        <v>0.33</v>
      </c>
      <c r="C18" s="6" t="s">
        <v>834</v>
      </c>
    </row>
    <row r="19" customFormat="false" ht="15" hidden="false" customHeight="false" outlineLevel="0" collapsed="false">
      <c r="A19" s="9" t="s">
        <v>5332</v>
      </c>
      <c r="B19" s="143" t="n">
        <f aca="false">VLOOKUP("sav.cgt",Tax!$A$55:$D$156,4,FALSE())</f>
        <v>0.31</v>
      </c>
      <c r="C19" s="6" t="s">
        <v>830</v>
      </c>
    </row>
    <row r="20" customFormat="false" ht="15" hidden="false" customHeight="false" outlineLevel="0" collapsed="false">
      <c r="A20" s="9" t="s">
        <v>5333</v>
      </c>
      <c r="B20" s="143" t="n">
        <f aca="false">IF(EDATE(B11,12*B10)&gt;=DATE(2026,10,7),B19,B18)</f>
        <v>0.31</v>
      </c>
      <c r="C20" s="6" t="s">
        <v>5334</v>
      </c>
    </row>
    <row r="21" customFormat="false" ht="28.35" hidden="false" customHeight="false" outlineLevel="0" collapsed="false">
      <c r="A21" s="9" t="s">
        <v>5335</v>
      </c>
      <c r="B21" s="140" t="n">
        <f aca="false">VLOOKUP("sav.cgtExempt",Tax!$A$55:$D$156,4,FALSE())</f>
        <v>1270</v>
      </c>
      <c r="C21" s="6" t="s">
        <v>5336</v>
      </c>
    </row>
    <row r="23" customFormat="false" ht="15" hidden="false" customHeight="false" outlineLevel="0" collapsed="false">
      <c r="A23" s="7" t="s">
        <v>5337</v>
      </c>
      <c r="B23" s="7" t="s">
        <v>1226</v>
      </c>
      <c r="C23" s="7" t="s">
        <v>1227</v>
      </c>
    </row>
    <row r="24" customFormat="false" ht="28.35" hidden="false" customHeight="false" outlineLevel="0" collapsed="false">
      <c r="A24" s="9" t="s">
        <v>5338</v>
      </c>
      <c r="B24" s="140" t="n">
        <f aca="false">B4*(1+B6-B7)^B10</f>
        <v>219112.314303342</v>
      </c>
      <c r="C24" s="6" t="s">
        <v>5339</v>
      </c>
    </row>
    <row r="25" customFormat="false" ht="28.35" hidden="false" customHeight="false" outlineLevel="0" collapsed="false">
      <c r="A25" s="9" t="s">
        <v>5340</v>
      </c>
      <c r="B25" s="140" t="n">
        <f aca="false">INDEX($J$36:$J$65,B10)</f>
        <v>176560.169363514</v>
      </c>
      <c r="C25" s="6" t="s">
        <v>5341</v>
      </c>
    </row>
    <row r="26" customFormat="false" ht="41.75" hidden="false" customHeight="false" outlineLevel="0" collapsed="false">
      <c r="A26" s="9" t="s">
        <v>5342</v>
      </c>
      <c r="B26" s="140" t="n">
        <f aca="false">INDEX($K$36:$K$65,B10)</f>
        <v>150924.37274085</v>
      </c>
      <c r="C26" s="6" t="s">
        <v>5343</v>
      </c>
    </row>
    <row r="27" customFormat="false" ht="28.35" hidden="false" customHeight="false" outlineLevel="0" collapsed="false">
      <c r="A27" s="9" t="s">
        <v>5344</v>
      </c>
      <c r="B27" s="140" t="n">
        <f aca="false">MAX(0,B25-B26)</f>
        <v>25635.796622664</v>
      </c>
      <c r="C27" s="6" t="s">
        <v>5345</v>
      </c>
    </row>
    <row r="28" customFormat="false" ht="28.35" hidden="false" customHeight="false" outlineLevel="0" collapsed="false">
      <c r="A28" s="9" t="s">
        <v>5346</v>
      </c>
      <c r="B28" s="140" t="n">
        <f aca="false">INDEX($M$36:$M$65,B10)</f>
        <v>31211.712325037</v>
      </c>
      <c r="C28" s="6" t="s">
        <v>5347</v>
      </c>
    </row>
    <row r="29" customFormat="false" ht="55.2" hidden="false" customHeight="false" outlineLevel="0" collapsed="false">
      <c r="A29" s="9" t="s">
        <v>5348</v>
      </c>
      <c r="B29" s="140" t="n">
        <f aca="false">IF(B9="Fund or ETF",B27*B16,B20*MAX(0,B27-B13-B21*B12))</f>
        <v>9741.60271661232</v>
      </c>
      <c r="C29" s="6" t="s">
        <v>5349</v>
      </c>
    </row>
    <row r="30" customFormat="false" ht="28.35" hidden="false" customHeight="false" outlineLevel="0" collapsed="false">
      <c r="A30" s="9" t="s">
        <v>5350</v>
      </c>
      <c r="B30" s="140" t="n">
        <f aca="false">B25-B29</f>
        <v>166818.566646901</v>
      </c>
      <c r="C30" s="6" t="s">
        <v>5351</v>
      </c>
    </row>
    <row r="31" customFormat="false" ht="28.35" hidden="false" customHeight="false" outlineLevel="0" collapsed="false">
      <c r="A31" s="9" t="s">
        <v>5352</v>
      </c>
      <c r="B31" s="140" t="n">
        <f aca="false">B28+B29</f>
        <v>40953.3150416493</v>
      </c>
      <c r="C31" s="6" t="s">
        <v>5353</v>
      </c>
    </row>
    <row r="32" customFormat="false" ht="15" hidden="false" customHeight="false" outlineLevel="0" collapsed="false">
      <c r="A32" s="9" t="s">
        <v>5354</v>
      </c>
      <c r="B32" s="154" t="n">
        <f aca="false">B6-B7</f>
        <v>0.04</v>
      </c>
      <c r="C32" s="6" t="s">
        <v>5355</v>
      </c>
    </row>
    <row r="33" customFormat="false" ht="41.75" hidden="false" customHeight="false" outlineLevel="0" collapsed="false">
      <c r="A33" s="9" t="s">
        <v>5356</v>
      </c>
      <c r="B33" s="154" t="n">
        <f aca="false">IF(B30&gt;0,(B30/B4)^(1/B10)-1,"n/a")</f>
        <v>0.0259169832145933</v>
      </c>
      <c r="C33" s="6" t="s">
        <v>5357</v>
      </c>
    </row>
    <row r="35" customFormat="false" ht="28.35" hidden="false" customHeight="false" outlineLevel="0" collapsed="false">
      <c r="A35" s="7" t="s">
        <v>1561</v>
      </c>
      <c r="B35" s="7" t="s">
        <v>5358</v>
      </c>
      <c r="C35" s="7" t="s">
        <v>5359</v>
      </c>
      <c r="D35" s="7" t="s">
        <v>5360</v>
      </c>
      <c r="E35" s="7" t="s">
        <v>5361</v>
      </c>
      <c r="F35" s="7" t="s">
        <v>5362</v>
      </c>
      <c r="G35" s="7" t="s">
        <v>5363</v>
      </c>
      <c r="H35" s="7" t="s">
        <v>5364</v>
      </c>
      <c r="I35" s="7" t="s">
        <v>5365</v>
      </c>
      <c r="J35" s="7" t="s">
        <v>5366</v>
      </c>
      <c r="K35" s="7" t="s">
        <v>5367</v>
      </c>
      <c r="L35" s="7" t="s">
        <v>5368</v>
      </c>
      <c r="M35" s="7" t="s">
        <v>5369</v>
      </c>
    </row>
    <row r="36" customFormat="false" ht="15" hidden="false" customHeight="false" outlineLevel="0" collapsed="false">
      <c r="A36" s="155" t="n">
        <v>1</v>
      </c>
      <c r="B36" s="140" t="n">
        <f aca="false">B4</f>
        <v>100000</v>
      </c>
      <c r="C36" s="140" t="n">
        <f aca="false">B5</f>
        <v>100000</v>
      </c>
      <c r="D36" s="155" t="n">
        <f aca="false">MOD(B8,$B$17)</f>
        <v>0</v>
      </c>
      <c r="E36" s="140" t="n">
        <f aca="false">B36*($B$6-$B$7)</f>
        <v>4000</v>
      </c>
      <c r="F36" s="140" t="n">
        <f aca="false">B36+E36</f>
        <v>104000</v>
      </c>
      <c r="G36" s="155" t="str">
        <f aca="false">IF(AND($B$9="Fund or ETF",D36+1&gt;=$B$17),"Yes","No")</f>
        <v>No</v>
      </c>
      <c r="H36" s="140" t="n">
        <f aca="false">IF(G36="Yes",MAX(0,F36-C36),0)</f>
        <v>0</v>
      </c>
      <c r="I36" s="140" t="n">
        <f aca="false">H36*$B$16</f>
        <v>0</v>
      </c>
      <c r="J36" s="140" t="n">
        <f aca="false">F36-I36</f>
        <v>104000</v>
      </c>
      <c r="K36" s="140" t="n">
        <f aca="false">IF(G36="Yes",J36,C36)</f>
        <v>100000</v>
      </c>
      <c r="L36" s="155" t="n">
        <f aca="false">IF(G36="Yes",0,D36+1)</f>
        <v>1</v>
      </c>
      <c r="M36" s="140" t="n">
        <f aca="false">I36</f>
        <v>0</v>
      </c>
    </row>
    <row r="37" customFormat="false" ht="15" hidden="false" customHeight="false" outlineLevel="0" collapsed="false">
      <c r="A37" s="155" t="n">
        <v>2</v>
      </c>
      <c r="B37" s="140" t="n">
        <f aca="false">J36</f>
        <v>104000</v>
      </c>
      <c r="C37" s="140" t="n">
        <f aca="false">K36</f>
        <v>100000</v>
      </c>
      <c r="D37" s="155" t="n">
        <f aca="false">L36</f>
        <v>1</v>
      </c>
      <c r="E37" s="140" t="n">
        <f aca="false">B37*($B$6-$B$7)</f>
        <v>4160</v>
      </c>
      <c r="F37" s="140" t="n">
        <f aca="false">B37+E37</f>
        <v>108160</v>
      </c>
      <c r="G37" s="155" t="str">
        <f aca="false">IF(AND($B$9="Fund or ETF",D37+1&gt;=$B$17),"Yes","No")</f>
        <v>No</v>
      </c>
      <c r="H37" s="140" t="n">
        <f aca="false">IF(G37="Yes",MAX(0,F37-C37),0)</f>
        <v>0</v>
      </c>
      <c r="I37" s="140" t="n">
        <f aca="false">H37*$B$16</f>
        <v>0</v>
      </c>
      <c r="J37" s="140" t="n">
        <f aca="false">F37-I37</f>
        <v>108160</v>
      </c>
      <c r="K37" s="140" t="n">
        <f aca="false">IF(G37="Yes",J37,C37)</f>
        <v>100000</v>
      </c>
      <c r="L37" s="155" t="n">
        <f aca="false">IF(G37="Yes",0,D37+1)</f>
        <v>2</v>
      </c>
      <c r="M37" s="140" t="n">
        <f aca="false">M36+I37</f>
        <v>0</v>
      </c>
    </row>
    <row r="38" customFormat="false" ht="15" hidden="false" customHeight="false" outlineLevel="0" collapsed="false">
      <c r="A38" s="155" t="n">
        <v>3</v>
      </c>
      <c r="B38" s="140" t="n">
        <f aca="false">J37</f>
        <v>108160</v>
      </c>
      <c r="C38" s="140" t="n">
        <f aca="false">K37</f>
        <v>100000</v>
      </c>
      <c r="D38" s="155" t="n">
        <f aca="false">L37</f>
        <v>2</v>
      </c>
      <c r="E38" s="140" t="n">
        <f aca="false">B38*($B$6-$B$7)</f>
        <v>4326.4</v>
      </c>
      <c r="F38" s="140" t="n">
        <f aca="false">B38+E38</f>
        <v>112486.4</v>
      </c>
      <c r="G38" s="155" t="str">
        <f aca="false">IF(AND($B$9="Fund or ETF",D38+1&gt;=$B$17),"Yes","No")</f>
        <v>No</v>
      </c>
      <c r="H38" s="140" t="n">
        <f aca="false">IF(G38="Yes",MAX(0,F38-C38),0)</f>
        <v>0</v>
      </c>
      <c r="I38" s="140" t="n">
        <f aca="false">H38*$B$16</f>
        <v>0</v>
      </c>
      <c r="J38" s="140" t="n">
        <f aca="false">F38-I38</f>
        <v>112486.4</v>
      </c>
      <c r="K38" s="140" t="n">
        <f aca="false">IF(G38="Yes",J38,C38)</f>
        <v>100000</v>
      </c>
      <c r="L38" s="155" t="n">
        <f aca="false">IF(G38="Yes",0,D38+1)</f>
        <v>3</v>
      </c>
      <c r="M38" s="140" t="n">
        <f aca="false">M37+I38</f>
        <v>0</v>
      </c>
    </row>
    <row r="39" customFormat="false" ht="15" hidden="false" customHeight="false" outlineLevel="0" collapsed="false">
      <c r="A39" s="155" t="n">
        <v>4</v>
      </c>
      <c r="B39" s="140" t="n">
        <f aca="false">J38</f>
        <v>112486.4</v>
      </c>
      <c r="C39" s="140" t="n">
        <f aca="false">K38</f>
        <v>100000</v>
      </c>
      <c r="D39" s="155" t="n">
        <f aca="false">L38</f>
        <v>3</v>
      </c>
      <c r="E39" s="140" t="n">
        <f aca="false">B39*($B$6-$B$7)</f>
        <v>4499.456</v>
      </c>
      <c r="F39" s="140" t="n">
        <f aca="false">B39+E39</f>
        <v>116985.856</v>
      </c>
      <c r="G39" s="155" t="str">
        <f aca="false">IF(AND($B$9="Fund or ETF",D39+1&gt;=$B$17),"Yes","No")</f>
        <v>No</v>
      </c>
      <c r="H39" s="140" t="n">
        <f aca="false">IF(G39="Yes",MAX(0,F39-C39),0)</f>
        <v>0</v>
      </c>
      <c r="I39" s="140" t="n">
        <f aca="false">H39*$B$16</f>
        <v>0</v>
      </c>
      <c r="J39" s="140" t="n">
        <f aca="false">F39-I39</f>
        <v>116985.856</v>
      </c>
      <c r="K39" s="140" t="n">
        <f aca="false">IF(G39="Yes",J39,C39)</f>
        <v>100000</v>
      </c>
      <c r="L39" s="155" t="n">
        <f aca="false">IF(G39="Yes",0,D39+1)</f>
        <v>4</v>
      </c>
      <c r="M39" s="140" t="n">
        <f aca="false">M38+I39</f>
        <v>0</v>
      </c>
    </row>
    <row r="40" customFormat="false" ht="15" hidden="false" customHeight="false" outlineLevel="0" collapsed="false">
      <c r="A40" s="155" t="n">
        <v>5</v>
      </c>
      <c r="B40" s="140" t="n">
        <f aca="false">J39</f>
        <v>116985.856</v>
      </c>
      <c r="C40" s="140" t="n">
        <f aca="false">K39</f>
        <v>100000</v>
      </c>
      <c r="D40" s="155" t="n">
        <f aca="false">L39</f>
        <v>4</v>
      </c>
      <c r="E40" s="140" t="n">
        <f aca="false">B40*($B$6-$B$7)</f>
        <v>4679.43424</v>
      </c>
      <c r="F40" s="140" t="n">
        <f aca="false">B40+E40</f>
        <v>121665.29024</v>
      </c>
      <c r="G40" s="155" t="str">
        <f aca="false">IF(AND($B$9="Fund or ETF",D40+1&gt;=$B$17),"Yes","No")</f>
        <v>No</v>
      </c>
      <c r="H40" s="140" t="n">
        <f aca="false">IF(G40="Yes",MAX(0,F40-C40),0)</f>
        <v>0</v>
      </c>
      <c r="I40" s="140" t="n">
        <f aca="false">H40*$B$16</f>
        <v>0</v>
      </c>
      <c r="J40" s="140" t="n">
        <f aca="false">F40-I40</f>
        <v>121665.29024</v>
      </c>
      <c r="K40" s="140" t="n">
        <f aca="false">IF(G40="Yes",J40,C40)</f>
        <v>100000</v>
      </c>
      <c r="L40" s="155" t="n">
        <f aca="false">IF(G40="Yes",0,D40+1)</f>
        <v>5</v>
      </c>
      <c r="M40" s="140" t="n">
        <f aca="false">M39+I40</f>
        <v>0</v>
      </c>
    </row>
    <row r="41" customFormat="false" ht="15" hidden="false" customHeight="false" outlineLevel="0" collapsed="false">
      <c r="A41" s="155" t="n">
        <v>6</v>
      </c>
      <c r="B41" s="140" t="n">
        <f aca="false">J40</f>
        <v>121665.29024</v>
      </c>
      <c r="C41" s="140" t="n">
        <f aca="false">K40</f>
        <v>100000</v>
      </c>
      <c r="D41" s="155" t="n">
        <f aca="false">L40</f>
        <v>5</v>
      </c>
      <c r="E41" s="140" t="n">
        <f aca="false">B41*($B$6-$B$7)</f>
        <v>4866.6116096</v>
      </c>
      <c r="F41" s="140" t="n">
        <f aca="false">B41+E41</f>
        <v>126531.9018496</v>
      </c>
      <c r="G41" s="155" t="str">
        <f aca="false">IF(AND($B$9="Fund or ETF",D41+1&gt;=$B$17),"Yes","No")</f>
        <v>No</v>
      </c>
      <c r="H41" s="140" t="n">
        <f aca="false">IF(G41="Yes",MAX(0,F41-C41),0)</f>
        <v>0</v>
      </c>
      <c r="I41" s="140" t="n">
        <f aca="false">H41*$B$16</f>
        <v>0</v>
      </c>
      <c r="J41" s="140" t="n">
        <f aca="false">F41-I41</f>
        <v>126531.9018496</v>
      </c>
      <c r="K41" s="140" t="n">
        <f aca="false">IF(G41="Yes",J41,C41)</f>
        <v>100000</v>
      </c>
      <c r="L41" s="155" t="n">
        <f aca="false">IF(G41="Yes",0,D41+1)</f>
        <v>6</v>
      </c>
      <c r="M41" s="140" t="n">
        <f aca="false">M40+I41</f>
        <v>0</v>
      </c>
    </row>
    <row r="42" customFormat="false" ht="15" hidden="false" customHeight="false" outlineLevel="0" collapsed="false">
      <c r="A42" s="155" t="n">
        <v>7</v>
      </c>
      <c r="B42" s="140" t="n">
        <f aca="false">J41</f>
        <v>126531.9018496</v>
      </c>
      <c r="C42" s="140" t="n">
        <f aca="false">K41</f>
        <v>100000</v>
      </c>
      <c r="D42" s="155" t="n">
        <f aca="false">L41</f>
        <v>6</v>
      </c>
      <c r="E42" s="140" t="n">
        <f aca="false">B42*($B$6-$B$7)</f>
        <v>5061.276073984</v>
      </c>
      <c r="F42" s="140" t="n">
        <f aca="false">B42+E42</f>
        <v>131593.177923584</v>
      </c>
      <c r="G42" s="155" t="str">
        <f aca="false">IF(AND($B$9="Fund or ETF",D42+1&gt;=$B$17),"Yes","No")</f>
        <v>No</v>
      </c>
      <c r="H42" s="140" t="n">
        <f aca="false">IF(G42="Yes",MAX(0,F42-C42),0)</f>
        <v>0</v>
      </c>
      <c r="I42" s="140" t="n">
        <f aca="false">H42*$B$16</f>
        <v>0</v>
      </c>
      <c r="J42" s="140" t="n">
        <f aca="false">F42-I42</f>
        <v>131593.177923584</v>
      </c>
      <c r="K42" s="140" t="n">
        <f aca="false">IF(G42="Yes",J42,C42)</f>
        <v>100000</v>
      </c>
      <c r="L42" s="155" t="n">
        <f aca="false">IF(G42="Yes",0,D42+1)</f>
        <v>7</v>
      </c>
      <c r="M42" s="140" t="n">
        <f aca="false">M41+I42</f>
        <v>0</v>
      </c>
    </row>
    <row r="43" customFormat="false" ht="15" hidden="false" customHeight="false" outlineLevel="0" collapsed="false">
      <c r="A43" s="155" t="n">
        <v>8</v>
      </c>
      <c r="B43" s="140" t="n">
        <f aca="false">J42</f>
        <v>131593.177923584</v>
      </c>
      <c r="C43" s="140" t="n">
        <f aca="false">K42</f>
        <v>100000</v>
      </c>
      <c r="D43" s="155" t="n">
        <f aca="false">L42</f>
        <v>7</v>
      </c>
      <c r="E43" s="140" t="n">
        <f aca="false">B43*($B$6-$B$7)</f>
        <v>5263.72711694336</v>
      </c>
      <c r="F43" s="140" t="n">
        <f aca="false">B43+E43</f>
        <v>136856.905040527</v>
      </c>
      <c r="G43" s="155" t="str">
        <f aca="false">IF(AND($B$9="Fund or ETF",D43+1&gt;=$B$17),"Yes","No")</f>
        <v>Yes</v>
      </c>
      <c r="H43" s="140" t="n">
        <f aca="false">IF(G43="Yes",MAX(0,F43-C43),0)</f>
        <v>36856.9050405274</v>
      </c>
      <c r="I43" s="140" t="n">
        <f aca="false">H43*$B$16</f>
        <v>14005.6239154004</v>
      </c>
      <c r="J43" s="140" t="n">
        <f aca="false">F43-I43</f>
        <v>122851.281125127</v>
      </c>
      <c r="K43" s="140" t="n">
        <f aca="false">IF(G43="Yes",J43,C43)</f>
        <v>122851.281125127</v>
      </c>
      <c r="L43" s="155" t="n">
        <f aca="false">IF(G43="Yes",0,D43+1)</f>
        <v>0</v>
      </c>
      <c r="M43" s="140" t="n">
        <f aca="false">M42+I43</f>
        <v>14005.6239154004</v>
      </c>
    </row>
    <row r="44" customFormat="false" ht="15" hidden="false" customHeight="false" outlineLevel="0" collapsed="false">
      <c r="A44" s="155" t="n">
        <v>9</v>
      </c>
      <c r="B44" s="140" t="n">
        <f aca="false">J43</f>
        <v>122851.281125127</v>
      </c>
      <c r="C44" s="140" t="n">
        <f aca="false">K43</f>
        <v>122851.281125127</v>
      </c>
      <c r="D44" s="155" t="n">
        <f aca="false">L43</f>
        <v>0</v>
      </c>
      <c r="E44" s="140" t="n">
        <f aca="false">B44*($B$6-$B$7)</f>
        <v>4914.05124500508</v>
      </c>
      <c r="F44" s="140" t="n">
        <f aca="false">B44+E44</f>
        <v>127765.332370132</v>
      </c>
      <c r="G44" s="155" t="str">
        <f aca="false">IF(AND($B$9="Fund or ETF",D44+1&gt;=$B$17),"Yes","No")</f>
        <v>No</v>
      </c>
      <c r="H44" s="140" t="n">
        <f aca="false">IF(G44="Yes",MAX(0,F44-C44),0)</f>
        <v>0</v>
      </c>
      <c r="I44" s="140" t="n">
        <f aca="false">H44*$B$16</f>
        <v>0</v>
      </c>
      <c r="J44" s="140" t="n">
        <f aca="false">F44-I44</f>
        <v>127765.332370132</v>
      </c>
      <c r="K44" s="140" t="n">
        <f aca="false">IF(G44="Yes",J44,C44)</f>
        <v>122851.281125127</v>
      </c>
      <c r="L44" s="155" t="n">
        <f aca="false">IF(G44="Yes",0,D44+1)</f>
        <v>1</v>
      </c>
      <c r="M44" s="140" t="n">
        <f aca="false">M43+I44</f>
        <v>14005.6239154004</v>
      </c>
    </row>
    <row r="45" customFormat="false" ht="15" hidden="false" customHeight="false" outlineLevel="0" collapsed="false">
      <c r="A45" s="155" t="n">
        <v>10</v>
      </c>
      <c r="B45" s="140" t="n">
        <f aca="false">J44</f>
        <v>127765.332370132</v>
      </c>
      <c r="C45" s="140" t="n">
        <f aca="false">K44</f>
        <v>122851.281125127</v>
      </c>
      <c r="D45" s="155" t="n">
        <f aca="false">L44</f>
        <v>1</v>
      </c>
      <c r="E45" s="140" t="n">
        <f aca="false">B45*($B$6-$B$7)</f>
        <v>5110.61329480528</v>
      </c>
      <c r="F45" s="140" t="n">
        <f aca="false">B45+E45</f>
        <v>132875.945664937</v>
      </c>
      <c r="G45" s="155" t="str">
        <f aca="false">IF(AND($B$9="Fund or ETF",D45+1&gt;=$B$17),"Yes","No")</f>
        <v>No</v>
      </c>
      <c r="H45" s="140" t="n">
        <f aca="false">IF(G45="Yes",MAX(0,F45-C45),0)</f>
        <v>0</v>
      </c>
      <c r="I45" s="140" t="n">
        <f aca="false">H45*$B$16</f>
        <v>0</v>
      </c>
      <c r="J45" s="140" t="n">
        <f aca="false">F45-I45</f>
        <v>132875.945664937</v>
      </c>
      <c r="K45" s="140" t="n">
        <f aca="false">IF(G45="Yes",J45,C45)</f>
        <v>122851.281125127</v>
      </c>
      <c r="L45" s="155" t="n">
        <f aca="false">IF(G45="Yes",0,D45+1)</f>
        <v>2</v>
      </c>
      <c r="M45" s="140" t="n">
        <f aca="false">M44+I45</f>
        <v>14005.6239154004</v>
      </c>
    </row>
    <row r="46" customFormat="false" ht="15" hidden="false" customHeight="false" outlineLevel="0" collapsed="false">
      <c r="A46" s="155" t="n">
        <v>11</v>
      </c>
      <c r="B46" s="140" t="n">
        <f aca="false">J45</f>
        <v>132875.945664937</v>
      </c>
      <c r="C46" s="140" t="n">
        <f aca="false">K45</f>
        <v>122851.281125127</v>
      </c>
      <c r="D46" s="155" t="n">
        <f aca="false">L45</f>
        <v>2</v>
      </c>
      <c r="E46" s="140" t="n">
        <f aca="false">B46*($B$6-$B$7)</f>
        <v>5315.03782659749</v>
      </c>
      <c r="F46" s="140" t="n">
        <f aca="false">B46+E46</f>
        <v>138190.983491535</v>
      </c>
      <c r="G46" s="155" t="str">
        <f aca="false">IF(AND($B$9="Fund or ETF",D46+1&gt;=$B$17),"Yes","No")</f>
        <v>No</v>
      </c>
      <c r="H46" s="140" t="n">
        <f aca="false">IF(G46="Yes",MAX(0,F46-C46),0)</f>
        <v>0</v>
      </c>
      <c r="I46" s="140" t="n">
        <f aca="false">H46*$B$16</f>
        <v>0</v>
      </c>
      <c r="J46" s="140" t="n">
        <f aca="false">F46-I46</f>
        <v>138190.983491535</v>
      </c>
      <c r="K46" s="140" t="n">
        <f aca="false">IF(G46="Yes",J46,C46)</f>
        <v>122851.281125127</v>
      </c>
      <c r="L46" s="155" t="n">
        <f aca="false">IF(G46="Yes",0,D46+1)</f>
        <v>3</v>
      </c>
      <c r="M46" s="140" t="n">
        <f aca="false">M45+I46</f>
        <v>14005.6239154004</v>
      </c>
    </row>
    <row r="47" customFormat="false" ht="15" hidden="false" customHeight="false" outlineLevel="0" collapsed="false">
      <c r="A47" s="155" t="n">
        <v>12</v>
      </c>
      <c r="B47" s="140" t="n">
        <f aca="false">J46</f>
        <v>138190.983491535</v>
      </c>
      <c r="C47" s="140" t="n">
        <f aca="false">K46</f>
        <v>122851.281125127</v>
      </c>
      <c r="D47" s="155" t="n">
        <f aca="false">L46</f>
        <v>3</v>
      </c>
      <c r="E47" s="140" t="n">
        <f aca="false">B47*($B$6-$B$7)</f>
        <v>5527.63933966139</v>
      </c>
      <c r="F47" s="140" t="n">
        <f aca="false">B47+E47</f>
        <v>143718.622831196</v>
      </c>
      <c r="G47" s="155" t="str">
        <f aca="false">IF(AND($B$9="Fund or ETF",D47+1&gt;=$B$17),"Yes","No")</f>
        <v>No</v>
      </c>
      <c r="H47" s="140" t="n">
        <f aca="false">IF(G47="Yes",MAX(0,F47-C47),0)</f>
        <v>0</v>
      </c>
      <c r="I47" s="140" t="n">
        <f aca="false">H47*$B$16</f>
        <v>0</v>
      </c>
      <c r="J47" s="140" t="n">
        <f aca="false">F47-I47</f>
        <v>143718.622831196</v>
      </c>
      <c r="K47" s="140" t="n">
        <f aca="false">IF(G47="Yes",J47,C47)</f>
        <v>122851.281125127</v>
      </c>
      <c r="L47" s="155" t="n">
        <f aca="false">IF(G47="Yes",0,D47+1)</f>
        <v>4</v>
      </c>
      <c r="M47" s="140" t="n">
        <f aca="false">M46+I47</f>
        <v>14005.6239154004</v>
      </c>
    </row>
    <row r="48" customFormat="false" ht="15" hidden="false" customHeight="false" outlineLevel="0" collapsed="false">
      <c r="A48" s="155" t="n">
        <v>13</v>
      </c>
      <c r="B48" s="140" t="n">
        <f aca="false">J47</f>
        <v>143718.622831196</v>
      </c>
      <c r="C48" s="140" t="n">
        <f aca="false">K47</f>
        <v>122851.281125127</v>
      </c>
      <c r="D48" s="155" t="n">
        <f aca="false">L47</f>
        <v>4</v>
      </c>
      <c r="E48" s="140" t="n">
        <f aca="false">B48*($B$6-$B$7)</f>
        <v>5748.74491324785</v>
      </c>
      <c r="F48" s="140" t="n">
        <f aca="false">B48+E48</f>
        <v>149467.367744444</v>
      </c>
      <c r="G48" s="155" t="str">
        <f aca="false">IF(AND($B$9="Fund or ETF",D48+1&gt;=$B$17),"Yes","No")</f>
        <v>No</v>
      </c>
      <c r="H48" s="140" t="n">
        <f aca="false">IF(G48="Yes",MAX(0,F48-C48),0)</f>
        <v>0</v>
      </c>
      <c r="I48" s="140" t="n">
        <f aca="false">H48*$B$16</f>
        <v>0</v>
      </c>
      <c r="J48" s="140" t="n">
        <f aca="false">F48-I48</f>
        <v>149467.367744444</v>
      </c>
      <c r="K48" s="140" t="n">
        <f aca="false">IF(G48="Yes",J48,C48)</f>
        <v>122851.281125127</v>
      </c>
      <c r="L48" s="155" t="n">
        <f aca="false">IF(G48="Yes",0,D48+1)</f>
        <v>5</v>
      </c>
      <c r="M48" s="140" t="n">
        <f aca="false">M47+I48</f>
        <v>14005.6239154004</v>
      </c>
    </row>
    <row r="49" customFormat="false" ht="15" hidden="false" customHeight="false" outlineLevel="0" collapsed="false">
      <c r="A49" s="155" t="n">
        <v>14</v>
      </c>
      <c r="B49" s="140" t="n">
        <f aca="false">J48</f>
        <v>149467.367744444</v>
      </c>
      <c r="C49" s="140" t="n">
        <f aca="false">K48</f>
        <v>122851.281125127</v>
      </c>
      <c r="D49" s="155" t="n">
        <f aca="false">L48</f>
        <v>5</v>
      </c>
      <c r="E49" s="140" t="n">
        <f aca="false">B49*($B$6-$B$7)</f>
        <v>5978.69470977776</v>
      </c>
      <c r="F49" s="140" t="n">
        <f aca="false">B49+E49</f>
        <v>155446.062454222</v>
      </c>
      <c r="G49" s="155" t="str">
        <f aca="false">IF(AND($B$9="Fund or ETF",D49+1&gt;=$B$17),"Yes","No")</f>
        <v>No</v>
      </c>
      <c r="H49" s="140" t="n">
        <f aca="false">IF(G49="Yes",MAX(0,F49-C49),0)</f>
        <v>0</v>
      </c>
      <c r="I49" s="140" t="n">
        <f aca="false">H49*$B$16</f>
        <v>0</v>
      </c>
      <c r="J49" s="140" t="n">
        <f aca="false">F49-I49</f>
        <v>155446.062454222</v>
      </c>
      <c r="K49" s="140" t="n">
        <f aca="false">IF(G49="Yes",J49,C49)</f>
        <v>122851.281125127</v>
      </c>
      <c r="L49" s="155" t="n">
        <f aca="false">IF(G49="Yes",0,D49+1)</f>
        <v>6</v>
      </c>
      <c r="M49" s="140" t="n">
        <f aca="false">M48+I49</f>
        <v>14005.6239154004</v>
      </c>
    </row>
    <row r="50" customFormat="false" ht="15" hidden="false" customHeight="false" outlineLevel="0" collapsed="false">
      <c r="A50" s="155" t="n">
        <v>15</v>
      </c>
      <c r="B50" s="140" t="n">
        <f aca="false">J49</f>
        <v>155446.062454222</v>
      </c>
      <c r="C50" s="140" t="n">
        <f aca="false">K49</f>
        <v>122851.281125127</v>
      </c>
      <c r="D50" s="155" t="n">
        <f aca="false">L49</f>
        <v>6</v>
      </c>
      <c r="E50" s="140" t="n">
        <f aca="false">B50*($B$6-$B$7)</f>
        <v>6217.84249816887</v>
      </c>
      <c r="F50" s="140" t="n">
        <f aca="false">B50+E50</f>
        <v>161663.904952391</v>
      </c>
      <c r="G50" s="155" t="str">
        <f aca="false">IF(AND($B$9="Fund or ETF",D50+1&gt;=$B$17),"Yes","No")</f>
        <v>No</v>
      </c>
      <c r="H50" s="140" t="n">
        <f aca="false">IF(G50="Yes",MAX(0,F50-C50),0)</f>
        <v>0</v>
      </c>
      <c r="I50" s="140" t="n">
        <f aca="false">H50*$B$16</f>
        <v>0</v>
      </c>
      <c r="J50" s="140" t="n">
        <f aca="false">F50-I50</f>
        <v>161663.904952391</v>
      </c>
      <c r="K50" s="140" t="n">
        <f aca="false">IF(G50="Yes",J50,C50)</f>
        <v>122851.281125127</v>
      </c>
      <c r="L50" s="155" t="n">
        <f aca="false">IF(G50="Yes",0,D50+1)</f>
        <v>7</v>
      </c>
      <c r="M50" s="140" t="n">
        <f aca="false">M49+I50</f>
        <v>14005.6239154004</v>
      </c>
    </row>
    <row r="51" customFormat="false" ht="15" hidden="false" customHeight="false" outlineLevel="0" collapsed="false">
      <c r="A51" s="155" t="n">
        <v>16</v>
      </c>
      <c r="B51" s="140" t="n">
        <f aca="false">J50</f>
        <v>161663.904952391</v>
      </c>
      <c r="C51" s="140" t="n">
        <f aca="false">K50</f>
        <v>122851.281125127</v>
      </c>
      <c r="D51" s="155" t="n">
        <f aca="false">L50</f>
        <v>7</v>
      </c>
      <c r="E51" s="140" t="n">
        <f aca="false">B51*($B$6-$B$7)</f>
        <v>6466.55619809563</v>
      </c>
      <c r="F51" s="140" t="n">
        <f aca="false">B51+E51</f>
        <v>168130.461150486</v>
      </c>
      <c r="G51" s="155" t="str">
        <f aca="false">IF(AND($B$9="Fund or ETF",D51+1&gt;=$B$17),"Yes","No")</f>
        <v>Yes</v>
      </c>
      <c r="H51" s="140" t="n">
        <f aca="false">IF(G51="Yes",MAX(0,F51-C51),0)</f>
        <v>45279.1800253594</v>
      </c>
      <c r="I51" s="140" t="n">
        <f aca="false">H51*$B$16</f>
        <v>17206.0884096366</v>
      </c>
      <c r="J51" s="140" t="n">
        <f aca="false">F51-I51</f>
        <v>150924.37274085</v>
      </c>
      <c r="K51" s="140" t="n">
        <f aca="false">IF(G51="Yes",J51,C51)</f>
        <v>150924.37274085</v>
      </c>
      <c r="L51" s="155" t="n">
        <f aca="false">IF(G51="Yes",0,D51+1)</f>
        <v>0</v>
      </c>
      <c r="M51" s="140" t="n">
        <f aca="false">M50+I51</f>
        <v>31211.712325037</v>
      </c>
    </row>
    <row r="52" customFormat="false" ht="15" hidden="false" customHeight="false" outlineLevel="0" collapsed="false">
      <c r="A52" s="155" t="n">
        <v>17</v>
      </c>
      <c r="B52" s="140" t="n">
        <f aca="false">J51</f>
        <v>150924.37274085</v>
      </c>
      <c r="C52" s="140" t="n">
        <f aca="false">K51</f>
        <v>150924.37274085</v>
      </c>
      <c r="D52" s="155" t="n">
        <f aca="false">L51</f>
        <v>0</v>
      </c>
      <c r="E52" s="140" t="n">
        <f aca="false">B52*($B$6-$B$7)</f>
        <v>6036.97490963399</v>
      </c>
      <c r="F52" s="140" t="n">
        <f aca="false">B52+E52</f>
        <v>156961.347650484</v>
      </c>
      <c r="G52" s="155" t="str">
        <f aca="false">IF(AND($B$9="Fund or ETF",D52+1&gt;=$B$17),"Yes","No")</f>
        <v>No</v>
      </c>
      <c r="H52" s="140" t="n">
        <f aca="false">IF(G52="Yes",MAX(0,F52-C52),0)</f>
        <v>0</v>
      </c>
      <c r="I52" s="140" t="n">
        <f aca="false">H52*$B$16</f>
        <v>0</v>
      </c>
      <c r="J52" s="140" t="n">
        <f aca="false">F52-I52</f>
        <v>156961.347650484</v>
      </c>
      <c r="K52" s="140" t="n">
        <f aca="false">IF(G52="Yes",J52,C52)</f>
        <v>150924.37274085</v>
      </c>
      <c r="L52" s="155" t="n">
        <f aca="false">IF(G52="Yes",0,D52+1)</f>
        <v>1</v>
      </c>
      <c r="M52" s="140" t="n">
        <f aca="false">M51+I52</f>
        <v>31211.712325037</v>
      </c>
    </row>
    <row r="53" customFormat="false" ht="15" hidden="false" customHeight="false" outlineLevel="0" collapsed="false">
      <c r="A53" s="155" t="n">
        <v>18</v>
      </c>
      <c r="B53" s="140" t="n">
        <f aca="false">J52</f>
        <v>156961.347650484</v>
      </c>
      <c r="C53" s="140" t="n">
        <f aca="false">K52</f>
        <v>150924.37274085</v>
      </c>
      <c r="D53" s="155" t="n">
        <f aca="false">L52</f>
        <v>1</v>
      </c>
      <c r="E53" s="140" t="n">
        <f aca="false">B53*($B$6-$B$7)</f>
        <v>6278.45390601935</v>
      </c>
      <c r="F53" s="140" t="n">
        <f aca="false">B53+E53</f>
        <v>163239.801556503</v>
      </c>
      <c r="G53" s="155" t="str">
        <f aca="false">IF(AND($B$9="Fund or ETF",D53+1&gt;=$B$17),"Yes","No")</f>
        <v>No</v>
      </c>
      <c r="H53" s="140" t="n">
        <f aca="false">IF(G53="Yes",MAX(0,F53-C53),0)</f>
        <v>0</v>
      </c>
      <c r="I53" s="140" t="n">
        <f aca="false">H53*$B$16</f>
        <v>0</v>
      </c>
      <c r="J53" s="140" t="n">
        <f aca="false">F53-I53</f>
        <v>163239.801556503</v>
      </c>
      <c r="K53" s="140" t="n">
        <f aca="false">IF(G53="Yes",J53,C53)</f>
        <v>150924.37274085</v>
      </c>
      <c r="L53" s="155" t="n">
        <f aca="false">IF(G53="Yes",0,D53+1)</f>
        <v>2</v>
      </c>
      <c r="M53" s="140" t="n">
        <f aca="false">M52+I53</f>
        <v>31211.712325037</v>
      </c>
    </row>
    <row r="54" customFormat="false" ht="15" hidden="false" customHeight="false" outlineLevel="0" collapsed="false">
      <c r="A54" s="155" t="n">
        <v>19</v>
      </c>
      <c r="B54" s="140" t="n">
        <f aca="false">J53</f>
        <v>163239.801556503</v>
      </c>
      <c r="C54" s="140" t="n">
        <f aca="false">K53</f>
        <v>150924.37274085</v>
      </c>
      <c r="D54" s="155" t="n">
        <f aca="false">L53</f>
        <v>2</v>
      </c>
      <c r="E54" s="140" t="n">
        <f aca="false">B54*($B$6-$B$7)</f>
        <v>6529.59206226013</v>
      </c>
      <c r="F54" s="140" t="n">
        <f aca="false">B54+E54</f>
        <v>169769.393618763</v>
      </c>
      <c r="G54" s="155" t="str">
        <f aca="false">IF(AND($B$9="Fund or ETF",D54+1&gt;=$B$17),"Yes","No")</f>
        <v>No</v>
      </c>
      <c r="H54" s="140" t="n">
        <f aca="false">IF(G54="Yes",MAX(0,F54-C54),0)</f>
        <v>0</v>
      </c>
      <c r="I54" s="140" t="n">
        <f aca="false">H54*$B$16</f>
        <v>0</v>
      </c>
      <c r="J54" s="140" t="n">
        <f aca="false">F54-I54</f>
        <v>169769.393618763</v>
      </c>
      <c r="K54" s="140" t="n">
        <f aca="false">IF(G54="Yes",J54,C54)</f>
        <v>150924.37274085</v>
      </c>
      <c r="L54" s="155" t="n">
        <f aca="false">IF(G54="Yes",0,D54+1)</f>
        <v>3</v>
      </c>
      <c r="M54" s="140" t="n">
        <f aca="false">M53+I54</f>
        <v>31211.712325037</v>
      </c>
    </row>
    <row r="55" customFormat="false" ht="15" hidden="false" customHeight="false" outlineLevel="0" collapsed="false">
      <c r="A55" s="155" t="n">
        <v>20</v>
      </c>
      <c r="B55" s="140" t="n">
        <f aca="false">J54</f>
        <v>169769.393618763</v>
      </c>
      <c r="C55" s="140" t="n">
        <f aca="false">K54</f>
        <v>150924.37274085</v>
      </c>
      <c r="D55" s="155" t="n">
        <f aca="false">L54</f>
        <v>3</v>
      </c>
      <c r="E55" s="140" t="n">
        <f aca="false">B55*($B$6-$B$7)</f>
        <v>6790.77574475053</v>
      </c>
      <c r="F55" s="140" t="n">
        <f aca="false">B55+E55</f>
        <v>176560.169363514</v>
      </c>
      <c r="G55" s="155" t="str">
        <f aca="false">IF(AND($B$9="Fund or ETF",D55+1&gt;=$B$17),"Yes","No")</f>
        <v>No</v>
      </c>
      <c r="H55" s="140" t="n">
        <f aca="false">IF(G55="Yes",MAX(0,F55-C55),0)</f>
        <v>0</v>
      </c>
      <c r="I55" s="140" t="n">
        <f aca="false">H55*$B$16</f>
        <v>0</v>
      </c>
      <c r="J55" s="140" t="n">
        <f aca="false">F55-I55</f>
        <v>176560.169363514</v>
      </c>
      <c r="K55" s="140" t="n">
        <f aca="false">IF(G55="Yes",J55,C55)</f>
        <v>150924.37274085</v>
      </c>
      <c r="L55" s="155" t="n">
        <f aca="false">IF(G55="Yes",0,D55+1)</f>
        <v>4</v>
      </c>
      <c r="M55" s="140" t="n">
        <f aca="false">M54+I55</f>
        <v>31211.712325037</v>
      </c>
    </row>
    <row r="56" customFormat="false" ht="15" hidden="false" customHeight="false" outlineLevel="0" collapsed="false">
      <c r="A56" s="155" t="n">
        <v>21</v>
      </c>
      <c r="B56" s="140" t="n">
        <f aca="false">J55</f>
        <v>176560.169363514</v>
      </c>
      <c r="C56" s="140" t="n">
        <f aca="false">K55</f>
        <v>150924.37274085</v>
      </c>
      <c r="D56" s="155" t="n">
        <f aca="false">L55</f>
        <v>4</v>
      </c>
      <c r="E56" s="140" t="n">
        <f aca="false">B56*($B$6-$B$7)</f>
        <v>7062.40677454055</v>
      </c>
      <c r="F56" s="140" t="n">
        <f aca="false">B56+E56</f>
        <v>183622.576138054</v>
      </c>
      <c r="G56" s="155" t="str">
        <f aca="false">IF(AND($B$9="Fund or ETF",D56+1&gt;=$B$17),"Yes","No")</f>
        <v>No</v>
      </c>
      <c r="H56" s="140" t="n">
        <f aca="false">IF(G56="Yes",MAX(0,F56-C56),0)</f>
        <v>0</v>
      </c>
      <c r="I56" s="140" t="n">
        <f aca="false">H56*$B$16</f>
        <v>0</v>
      </c>
      <c r="J56" s="140" t="n">
        <f aca="false">F56-I56</f>
        <v>183622.576138054</v>
      </c>
      <c r="K56" s="140" t="n">
        <f aca="false">IF(G56="Yes",J56,C56)</f>
        <v>150924.37274085</v>
      </c>
      <c r="L56" s="155" t="n">
        <f aca="false">IF(G56="Yes",0,D56+1)</f>
        <v>5</v>
      </c>
      <c r="M56" s="140" t="n">
        <f aca="false">M55+I56</f>
        <v>31211.712325037</v>
      </c>
    </row>
    <row r="57" customFormat="false" ht="15" hidden="false" customHeight="false" outlineLevel="0" collapsed="false">
      <c r="A57" s="155" t="n">
        <v>22</v>
      </c>
      <c r="B57" s="140" t="n">
        <f aca="false">J56</f>
        <v>183622.576138054</v>
      </c>
      <c r="C57" s="140" t="n">
        <f aca="false">K56</f>
        <v>150924.37274085</v>
      </c>
      <c r="D57" s="155" t="n">
        <f aca="false">L56</f>
        <v>5</v>
      </c>
      <c r="E57" s="140" t="n">
        <f aca="false">B57*($B$6-$B$7)</f>
        <v>7344.90304552217</v>
      </c>
      <c r="F57" s="140" t="n">
        <f aca="false">B57+E57</f>
        <v>190967.479183577</v>
      </c>
      <c r="G57" s="155" t="str">
        <f aca="false">IF(AND($B$9="Fund or ETF",D57+1&gt;=$B$17),"Yes","No")</f>
        <v>No</v>
      </c>
      <c r="H57" s="140" t="n">
        <f aca="false">IF(G57="Yes",MAX(0,F57-C57),0)</f>
        <v>0</v>
      </c>
      <c r="I57" s="140" t="n">
        <f aca="false">H57*$B$16</f>
        <v>0</v>
      </c>
      <c r="J57" s="140" t="n">
        <f aca="false">F57-I57</f>
        <v>190967.479183577</v>
      </c>
      <c r="K57" s="140" t="n">
        <f aca="false">IF(G57="Yes",J57,C57)</f>
        <v>150924.37274085</v>
      </c>
      <c r="L57" s="155" t="n">
        <f aca="false">IF(G57="Yes",0,D57+1)</f>
        <v>6</v>
      </c>
      <c r="M57" s="140" t="n">
        <f aca="false">M56+I57</f>
        <v>31211.712325037</v>
      </c>
    </row>
    <row r="58" customFormat="false" ht="15" hidden="false" customHeight="false" outlineLevel="0" collapsed="false">
      <c r="A58" s="155" t="n">
        <v>23</v>
      </c>
      <c r="B58" s="140" t="n">
        <f aca="false">J57</f>
        <v>190967.479183577</v>
      </c>
      <c r="C58" s="140" t="n">
        <f aca="false">K57</f>
        <v>150924.37274085</v>
      </c>
      <c r="D58" s="155" t="n">
        <f aca="false">L57</f>
        <v>6</v>
      </c>
      <c r="E58" s="140" t="n">
        <f aca="false">B58*($B$6-$B$7)</f>
        <v>7638.69916734306</v>
      </c>
      <c r="F58" s="140" t="n">
        <f aca="false">B58+E58</f>
        <v>198606.17835092</v>
      </c>
      <c r="G58" s="155" t="str">
        <f aca="false">IF(AND($B$9="Fund or ETF",D58+1&gt;=$B$17),"Yes","No")</f>
        <v>No</v>
      </c>
      <c r="H58" s="140" t="n">
        <f aca="false">IF(G58="Yes",MAX(0,F58-C58),0)</f>
        <v>0</v>
      </c>
      <c r="I58" s="140" t="n">
        <f aca="false">H58*$B$16</f>
        <v>0</v>
      </c>
      <c r="J58" s="140" t="n">
        <f aca="false">F58-I58</f>
        <v>198606.17835092</v>
      </c>
      <c r="K58" s="140" t="n">
        <f aca="false">IF(G58="Yes",J58,C58)</f>
        <v>150924.37274085</v>
      </c>
      <c r="L58" s="155" t="n">
        <f aca="false">IF(G58="Yes",0,D58+1)</f>
        <v>7</v>
      </c>
      <c r="M58" s="140" t="n">
        <f aca="false">M57+I58</f>
        <v>31211.712325037</v>
      </c>
    </row>
    <row r="59" customFormat="false" ht="15" hidden="false" customHeight="false" outlineLevel="0" collapsed="false">
      <c r="A59" s="155" t="n">
        <v>24</v>
      </c>
      <c r="B59" s="140" t="n">
        <f aca="false">J58</f>
        <v>198606.17835092</v>
      </c>
      <c r="C59" s="140" t="n">
        <f aca="false">K58</f>
        <v>150924.37274085</v>
      </c>
      <c r="D59" s="155" t="n">
        <f aca="false">L58</f>
        <v>7</v>
      </c>
      <c r="E59" s="140" t="n">
        <f aca="false">B59*($B$6-$B$7)</f>
        <v>7944.24713403678</v>
      </c>
      <c r="F59" s="140" t="n">
        <f aca="false">B59+E59</f>
        <v>206550.425484956</v>
      </c>
      <c r="G59" s="155" t="str">
        <f aca="false">IF(AND($B$9="Fund or ETF",D59+1&gt;=$B$17),"Yes","No")</f>
        <v>Yes</v>
      </c>
      <c r="H59" s="140" t="n">
        <f aca="false">IF(G59="Yes",MAX(0,F59-C59),0)</f>
        <v>55626.0527441066</v>
      </c>
      <c r="I59" s="140" t="n">
        <f aca="false">H59*$B$16</f>
        <v>21137.9000427605</v>
      </c>
      <c r="J59" s="140" t="n">
        <f aca="false">F59-I59</f>
        <v>185412.525442196</v>
      </c>
      <c r="K59" s="140" t="n">
        <f aca="false">IF(G59="Yes",J59,C59)</f>
        <v>185412.525442196</v>
      </c>
      <c r="L59" s="155" t="n">
        <f aca="false">IF(G59="Yes",0,D59+1)</f>
        <v>0</v>
      </c>
      <c r="M59" s="140" t="n">
        <f aca="false">M58+I59</f>
        <v>52349.6123677975</v>
      </c>
    </row>
    <row r="60" customFormat="false" ht="15" hidden="false" customHeight="false" outlineLevel="0" collapsed="false">
      <c r="A60" s="155" t="n">
        <v>25</v>
      </c>
      <c r="B60" s="140" t="n">
        <f aca="false">J59</f>
        <v>185412.525442196</v>
      </c>
      <c r="C60" s="140" t="n">
        <f aca="false">K59</f>
        <v>185412.525442196</v>
      </c>
      <c r="D60" s="155" t="n">
        <f aca="false">L59</f>
        <v>0</v>
      </c>
      <c r="E60" s="140" t="n">
        <f aca="false">B60*($B$6-$B$7)</f>
        <v>7416.50101768783</v>
      </c>
      <c r="F60" s="140" t="n">
        <f aca="false">B60+E60</f>
        <v>192829.026459884</v>
      </c>
      <c r="G60" s="155" t="str">
        <f aca="false">IF(AND($B$9="Fund or ETF",D60+1&gt;=$B$17),"Yes","No")</f>
        <v>No</v>
      </c>
      <c r="H60" s="140" t="n">
        <f aca="false">IF(G60="Yes",MAX(0,F60-C60),0)</f>
        <v>0</v>
      </c>
      <c r="I60" s="140" t="n">
        <f aca="false">H60*$B$16</f>
        <v>0</v>
      </c>
      <c r="J60" s="140" t="n">
        <f aca="false">F60-I60</f>
        <v>192829.026459884</v>
      </c>
      <c r="K60" s="140" t="n">
        <f aca="false">IF(G60="Yes",J60,C60)</f>
        <v>185412.525442196</v>
      </c>
      <c r="L60" s="155" t="n">
        <f aca="false">IF(G60="Yes",0,D60+1)</f>
        <v>1</v>
      </c>
      <c r="M60" s="140" t="n">
        <f aca="false">M59+I60</f>
        <v>52349.6123677975</v>
      </c>
    </row>
    <row r="61" customFormat="false" ht="15" hidden="false" customHeight="false" outlineLevel="0" collapsed="false">
      <c r="A61" s="155" t="n">
        <v>26</v>
      </c>
      <c r="B61" s="140" t="n">
        <f aca="false">J60</f>
        <v>192829.026459884</v>
      </c>
      <c r="C61" s="140" t="n">
        <f aca="false">K60</f>
        <v>185412.525442196</v>
      </c>
      <c r="D61" s="155" t="n">
        <f aca="false">L60</f>
        <v>1</v>
      </c>
      <c r="E61" s="140" t="n">
        <f aca="false">B61*($B$6-$B$7)</f>
        <v>7713.16105839535</v>
      </c>
      <c r="F61" s="140" t="n">
        <f aca="false">B61+E61</f>
        <v>200542.187518279</v>
      </c>
      <c r="G61" s="155" t="str">
        <f aca="false">IF(AND($B$9="Fund or ETF",D61+1&gt;=$B$17),"Yes","No")</f>
        <v>No</v>
      </c>
      <c r="H61" s="140" t="n">
        <f aca="false">IF(G61="Yes",MAX(0,F61-C61),0)</f>
        <v>0</v>
      </c>
      <c r="I61" s="140" t="n">
        <f aca="false">H61*$B$16</f>
        <v>0</v>
      </c>
      <c r="J61" s="140" t="n">
        <f aca="false">F61-I61</f>
        <v>200542.187518279</v>
      </c>
      <c r="K61" s="140" t="n">
        <f aca="false">IF(G61="Yes",J61,C61)</f>
        <v>185412.525442196</v>
      </c>
      <c r="L61" s="155" t="n">
        <f aca="false">IF(G61="Yes",0,D61+1)</f>
        <v>2</v>
      </c>
      <c r="M61" s="140" t="n">
        <f aca="false">M60+I61</f>
        <v>52349.6123677975</v>
      </c>
    </row>
    <row r="62" customFormat="false" ht="15" hidden="false" customHeight="false" outlineLevel="0" collapsed="false">
      <c r="A62" s="155" t="n">
        <v>27</v>
      </c>
      <c r="B62" s="140" t="n">
        <f aca="false">J61</f>
        <v>200542.187518279</v>
      </c>
      <c r="C62" s="140" t="n">
        <f aca="false">K61</f>
        <v>185412.525442196</v>
      </c>
      <c r="D62" s="155" t="n">
        <f aca="false">L61</f>
        <v>2</v>
      </c>
      <c r="E62" s="140" t="n">
        <f aca="false">B62*($B$6-$B$7)</f>
        <v>8021.68750073116</v>
      </c>
      <c r="F62" s="140" t="n">
        <f aca="false">B62+E62</f>
        <v>208563.87501901</v>
      </c>
      <c r="G62" s="155" t="str">
        <f aca="false">IF(AND($B$9="Fund or ETF",D62+1&gt;=$B$17),"Yes","No")</f>
        <v>No</v>
      </c>
      <c r="H62" s="140" t="n">
        <f aca="false">IF(G62="Yes",MAX(0,F62-C62),0)</f>
        <v>0</v>
      </c>
      <c r="I62" s="140" t="n">
        <f aca="false">H62*$B$16</f>
        <v>0</v>
      </c>
      <c r="J62" s="140" t="n">
        <f aca="false">F62-I62</f>
        <v>208563.87501901</v>
      </c>
      <c r="K62" s="140" t="n">
        <f aca="false">IF(G62="Yes",J62,C62)</f>
        <v>185412.525442196</v>
      </c>
      <c r="L62" s="155" t="n">
        <f aca="false">IF(G62="Yes",0,D62+1)</f>
        <v>3</v>
      </c>
      <c r="M62" s="140" t="n">
        <f aca="false">M61+I62</f>
        <v>52349.6123677975</v>
      </c>
    </row>
    <row r="63" customFormat="false" ht="15" hidden="false" customHeight="false" outlineLevel="0" collapsed="false">
      <c r="A63" s="155" t="n">
        <v>28</v>
      </c>
      <c r="B63" s="140" t="n">
        <f aca="false">J62</f>
        <v>208563.87501901</v>
      </c>
      <c r="C63" s="140" t="n">
        <f aca="false">K62</f>
        <v>185412.525442196</v>
      </c>
      <c r="D63" s="155" t="n">
        <f aca="false">L62</f>
        <v>3</v>
      </c>
      <c r="E63" s="140" t="n">
        <f aca="false">B63*($B$6-$B$7)</f>
        <v>8342.55500076041</v>
      </c>
      <c r="F63" s="140" t="n">
        <f aca="false">B63+E63</f>
        <v>216906.430019771</v>
      </c>
      <c r="G63" s="155" t="str">
        <f aca="false">IF(AND($B$9="Fund or ETF",D63+1&gt;=$B$17),"Yes","No")</f>
        <v>No</v>
      </c>
      <c r="H63" s="140" t="n">
        <f aca="false">IF(G63="Yes",MAX(0,F63-C63),0)</f>
        <v>0</v>
      </c>
      <c r="I63" s="140" t="n">
        <f aca="false">H63*$B$16</f>
        <v>0</v>
      </c>
      <c r="J63" s="140" t="n">
        <f aca="false">F63-I63</f>
        <v>216906.430019771</v>
      </c>
      <c r="K63" s="140" t="n">
        <f aca="false">IF(G63="Yes",J63,C63)</f>
        <v>185412.525442196</v>
      </c>
      <c r="L63" s="155" t="n">
        <f aca="false">IF(G63="Yes",0,D63+1)</f>
        <v>4</v>
      </c>
      <c r="M63" s="140" t="n">
        <f aca="false">M62+I63</f>
        <v>52349.6123677975</v>
      </c>
    </row>
    <row r="64" customFormat="false" ht="15" hidden="false" customHeight="false" outlineLevel="0" collapsed="false">
      <c r="A64" s="155" t="n">
        <v>29</v>
      </c>
      <c r="B64" s="140" t="n">
        <f aca="false">J63</f>
        <v>216906.430019771</v>
      </c>
      <c r="C64" s="140" t="n">
        <f aca="false">K63</f>
        <v>185412.525442196</v>
      </c>
      <c r="D64" s="155" t="n">
        <f aca="false">L63</f>
        <v>4</v>
      </c>
      <c r="E64" s="140" t="n">
        <f aca="false">B64*($B$6-$B$7)</f>
        <v>8676.25720079083</v>
      </c>
      <c r="F64" s="140" t="n">
        <f aca="false">B64+E64</f>
        <v>225582.687220561</v>
      </c>
      <c r="G64" s="155" t="str">
        <f aca="false">IF(AND($B$9="Fund or ETF",D64+1&gt;=$B$17),"Yes","No")</f>
        <v>No</v>
      </c>
      <c r="H64" s="140" t="n">
        <f aca="false">IF(G64="Yes",MAX(0,F64-C64),0)</f>
        <v>0</v>
      </c>
      <c r="I64" s="140" t="n">
        <f aca="false">H64*$B$16</f>
        <v>0</v>
      </c>
      <c r="J64" s="140" t="n">
        <f aca="false">F64-I64</f>
        <v>225582.687220561</v>
      </c>
      <c r="K64" s="140" t="n">
        <f aca="false">IF(G64="Yes",J64,C64)</f>
        <v>185412.525442196</v>
      </c>
      <c r="L64" s="155" t="n">
        <f aca="false">IF(G64="Yes",0,D64+1)</f>
        <v>5</v>
      </c>
      <c r="M64" s="140" t="n">
        <f aca="false">M63+I64</f>
        <v>52349.6123677975</v>
      </c>
    </row>
    <row r="65" customFormat="false" ht="15" hidden="false" customHeight="false" outlineLevel="0" collapsed="false">
      <c r="A65" s="155" t="n">
        <v>30</v>
      </c>
      <c r="B65" s="140" t="n">
        <f aca="false">J64</f>
        <v>225582.687220561</v>
      </c>
      <c r="C65" s="140" t="n">
        <f aca="false">K64</f>
        <v>185412.525442196</v>
      </c>
      <c r="D65" s="155" t="n">
        <f aca="false">L64</f>
        <v>5</v>
      </c>
      <c r="E65" s="140" t="n">
        <f aca="false">B65*($B$6-$B$7)</f>
        <v>9023.30748882246</v>
      </c>
      <c r="F65" s="140" t="n">
        <f aca="false">B65+E65</f>
        <v>234605.994709384</v>
      </c>
      <c r="G65" s="155" t="str">
        <f aca="false">IF(AND($B$9="Fund or ETF",D65+1&gt;=$B$17),"Yes","No")</f>
        <v>No</v>
      </c>
      <c r="H65" s="140" t="n">
        <f aca="false">IF(G65="Yes",MAX(0,F65-C65),0)</f>
        <v>0</v>
      </c>
      <c r="I65" s="140" t="n">
        <f aca="false">H65*$B$16</f>
        <v>0</v>
      </c>
      <c r="J65" s="140" t="n">
        <f aca="false">F65-I65</f>
        <v>234605.994709384</v>
      </c>
      <c r="K65" s="140" t="n">
        <f aca="false">IF(G65="Yes",J65,C65)</f>
        <v>185412.525442196</v>
      </c>
      <c r="L65" s="155" t="n">
        <f aca="false">IF(G65="Yes",0,D65+1)</f>
        <v>6</v>
      </c>
      <c r="M65" s="140" t="n">
        <f aca="false">M64+I65</f>
        <v>52349.6123677975</v>
      </c>
    </row>
    <row r="67" customFormat="false" ht="33.75" hidden="false" customHeight="true" outlineLevel="0" collapsed="false">
      <c r="A67" s="2" t="s">
        <v>5370</v>
      </c>
      <c r="B67" s="2"/>
      <c r="C67" s="2"/>
      <c r="D67" s="2"/>
      <c r="E67" s="2"/>
      <c r="F67" s="2"/>
      <c r="G67" s="2"/>
      <c r="H67" s="2"/>
      <c r="I67" s="2"/>
      <c r="J67" s="2"/>
      <c r="K67" s="2"/>
      <c r="L67" s="2"/>
      <c r="M67" s="2"/>
    </row>
    <row r="68" customFormat="false" ht="33.75" hidden="false" customHeight="true" outlineLevel="0" collapsed="false">
      <c r="A68" s="2" t="s">
        <v>5371</v>
      </c>
      <c r="B68" s="2"/>
      <c r="C68" s="2"/>
      <c r="D68" s="2"/>
      <c r="E68" s="2"/>
      <c r="F68" s="2"/>
      <c r="G68" s="2"/>
      <c r="H68" s="2"/>
      <c r="I68" s="2"/>
      <c r="J68" s="2"/>
      <c r="K68" s="2"/>
      <c r="L68" s="2"/>
      <c r="M68" s="2"/>
    </row>
    <row r="69" customFormat="false" ht="33.75" hidden="false" customHeight="true" outlineLevel="0" collapsed="false">
      <c r="A69" s="2" t="s">
        <v>5372</v>
      </c>
      <c r="B69" s="2"/>
      <c r="C69" s="2"/>
      <c r="D69" s="2"/>
      <c r="E69" s="2"/>
      <c r="F69" s="2"/>
      <c r="G69" s="2"/>
      <c r="H69" s="2"/>
      <c r="I69" s="2"/>
      <c r="J69" s="2"/>
      <c r="K69" s="2"/>
      <c r="L69" s="2"/>
      <c r="M69" s="2"/>
    </row>
    <row r="70" customFormat="false" ht="33.75" hidden="false" customHeight="true" outlineLevel="0" collapsed="false">
      <c r="A70" s="2" t="s">
        <v>5373</v>
      </c>
      <c r="B70" s="2"/>
      <c r="C70" s="2"/>
      <c r="D70" s="2"/>
      <c r="E70" s="2"/>
      <c r="F70" s="2"/>
      <c r="G70" s="2"/>
      <c r="H70" s="2"/>
      <c r="I70" s="2"/>
      <c r="J70" s="2"/>
      <c r="K70" s="2"/>
      <c r="L70" s="2"/>
      <c r="M70" s="2"/>
    </row>
  </sheetData>
  <mergeCells count="5">
    <mergeCell ref="A2:C2"/>
    <mergeCell ref="A67:M67"/>
    <mergeCell ref="A68:M68"/>
    <mergeCell ref="A69:M69"/>
    <mergeCell ref="A70:M70"/>
  </mergeCells>
  <dataValidations count="4">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9:E9" type="list">
      <formula1>"Fund or ETF,Shares held directly"</formula1>
      <formula2>0</formula2>
    </dataValidation>
    <dataValidation allowBlank="false" errorStyle="stop" operator="between" showDropDown="false" showErrorMessage="false" showInputMessage="false" sqref="D10:E10" type="whole">
      <formula1>1</formula1>
      <formula2>30</formula2>
    </dataValidation>
    <dataValidation allowBlank="false" errorStyle="stop" operator="between" showDropDown="false" showErrorMessage="false" showInputMessage="false" sqref="D12:E12" type="whole">
      <formula1>1</formula1>
      <formula2>2</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30"/>
    <col collapsed="false" customWidth="true" hidden="false" outlineLevel="0" max="3" min="3" style="0" width="60"/>
    <col collapsed="false" customWidth="true" hidden="false" outlineLevel="0" max="5" min="4" style="0" width="30"/>
  </cols>
  <sheetData>
    <row r="1" customFormat="false" ht="19.7" hidden="false" customHeight="false" outlineLevel="0" collapsed="false">
      <c r="A1" s="1" t="s">
        <v>5374</v>
      </c>
    </row>
    <row r="2" customFormat="false" ht="61.5" hidden="false" customHeight="true" outlineLevel="0" collapsed="false">
      <c r="A2" s="2" t="s">
        <v>5375</v>
      </c>
      <c r="B2" s="2"/>
      <c r="C2" s="2"/>
      <c r="D2" s="3" t="s">
        <v>5302</v>
      </c>
      <c r="E2" s="4" t="s">
        <v>5303</v>
      </c>
    </row>
    <row r="4" customFormat="false" ht="15" hidden="false" customHeight="false" outlineLevel="0" collapsed="false">
      <c r="A4" s="5" t="s">
        <v>5376</v>
      </c>
      <c r="B4" s="5" t="s">
        <v>5305</v>
      </c>
      <c r="C4" s="5" t="s">
        <v>374</v>
      </c>
      <c r="D4" s="5" t="s">
        <v>5303</v>
      </c>
      <c r="E4" s="5" t="s">
        <v>5306</v>
      </c>
    </row>
    <row r="5" customFormat="false" ht="15" hidden="false" customHeight="false" outlineLevel="0" collapsed="false">
      <c r="A5" s="9" t="s">
        <v>5377</v>
      </c>
      <c r="B5" s="148" t="str">
        <f aca="false">IF($E$2="Sample example",D5,E5)</f>
        <v>Other property or land</v>
      </c>
      <c r="C5" s="6" t="s">
        <v>5378</v>
      </c>
      <c r="D5" s="149" t="s">
        <v>5379</v>
      </c>
      <c r="E5" s="150" t="s">
        <v>5379</v>
      </c>
    </row>
    <row r="6" customFormat="false" ht="15" hidden="false" customHeight="false" outlineLevel="0" collapsed="false">
      <c r="A6" s="9" t="s">
        <v>5380</v>
      </c>
      <c r="B6" s="139" t="n">
        <f aca="false">IF($E$2="Sample example",D6,E6)</f>
        <v>400000</v>
      </c>
      <c r="C6" s="6" t="s">
        <v>5381</v>
      </c>
      <c r="D6" s="140" t="n">
        <v>400000</v>
      </c>
      <c r="E6" s="141" t="n">
        <v>400000</v>
      </c>
    </row>
    <row r="7" customFormat="false" ht="15" hidden="false" customHeight="false" outlineLevel="0" collapsed="false">
      <c r="A7" s="9" t="s">
        <v>5382</v>
      </c>
      <c r="B7" s="139" t="n">
        <f aca="false">IF($E$2="Sample example",D7,E7)</f>
        <v>250000</v>
      </c>
      <c r="C7" s="6" t="s">
        <v>5383</v>
      </c>
      <c r="D7" s="140" t="n">
        <v>250000</v>
      </c>
      <c r="E7" s="141" t="n">
        <v>250000</v>
      </c>
    </row>
    <row r="8" customFormat="false" ht="28.35" hidden="false" customHeight="false" outlineLevel="0" collapsed="false">
      <c r="A8" s="9" t="s">
        <v>5384</v>
      </c>
      <c r="B8" s="139" t="n">
        <f aca="false">IF($E$2="Sample example",D8,E8)</f>
        <v>15000</v>
      </c>
      <c r="C8" s="6" t="s">
        <v>5385</v>
      </c>
      <c r="D8" s="140" t="n">
        <v>15000</v>
      </c>
      <c r="E8" s="141" t="n">
        <v>15000</v>
      </c>
    </row>
    <row r="9" customFormat="false" ht="15" hidden="false" customHeight="false" outlineLevel="0" collapsed="false">
      <c r="A9" s="9" t="s">
        <v>5386</v>
      </c>
      <c r="B9" s="139" t="n">
        <f aca="false">IF($E$2="Sample example",D9,E9)</f>
        <v>0</v>
      </c>
      <c r="C9" s="6" t="s">
        <v>5387</v>
      </c>
      <c r="D9" s="140" t="n">
        <v>0</v>
      </c>
      <c r="E9" s="141" t="n">
        <v>0</v>
      </c>
    </row>
    <row r="10" customFormat="false" ht="15" hidden="false" customHeight="false" outlineLevel="0" collapsed="false">
      <c r="A10" s="9" t="s">
        <v>5388</v>
      </c>
      <c r="B10" s="145" t="n">
        <f aca="false">IF($E$2="Sample example",D10,E10)</f>
        <v>1</v>
      </c>
      <c r="C10" s="6" t="s">
        <v>5389</v>
      </c>
      <c r="D10" s="146" t="n">
        <v>1</v>
      </c>
      <c r="E10" s="147" t="n">
        <v>1</v>
      </c>
    </row>
    <row r="11" customFormat="false" ht="28.35" hidden="false" customHeight="false" outlineLevel="0" collapsed="false">
      <c r="A11" s="9" t="s">
        <v>5390</v>
      </c>
      <c r="B11" s="151" t="n">
        <f aca="false">IF($E$2="Sample example",D11,E11)</f>
        <v>46357</v>
      </c>
      <c r="C11" s="6" t="s">
        <v>5391</v>
      </c>
      <c r="D11" s="152" t="n">
        <v>46357</v>
      </c>
      <c r="E11" s="153" t="n">
        <v>46357</v>
      </c>
    </row>
    <row r="12" customFormat="false" ht="15" hidden="false" customHeight="false" outlineLevel="0" collapsed="false">
      <c r="A12" s="9" t="s">
        <v>5392</v>
      </c>
      <c r="B12" s="139" t="n">
        <f aca="false">B6-B7-B8</f>
        <v>135000</v>
      </c>
      <c r="C12" s="6" t="s">
        <v>479</v>
      </c>
    </row>
    <row r="13" customFormat="false" ht="28.35" hidden="false" customHeight="false" outlineLevel="0" collapsed="false">
      <c r="A13" s="9" t="s">
        <v>5393</v>
      </c>
      <c r="B13" s="142" t="n">
        <f aca="false">IF(B5="Main home (principal private residence)",0,IF(B5="Fund or ETF (exit tax)",VLOOKUP("sav.exit",Tax!$A$55:$D$156,4,FALSE()),IF(B5="Development land",0.33,IF(B11&gt;=DATE(2026,10,7),VLOOKUP("sav.cgt",Tax!$A$55:$D$156,4,FALSE()),VLOOKUP("sav.cgtBefore",Tax!$A$55:$D$156,4,FALSE())))))</f>
        <v>0.31</v>
      </c>
      <c r="C13" s="6" t="s">
        <v>5394</v>
      </c>
    </row>
    <row r="14" customFormat="false" ht="15" hidden="false" customHeight="false" outlineLevel="0" collapsed="false">
      <c r="A14" s="9" t="s">
        <v>5395</v>
      </c>
      <c r="B14" s="139" t="n">
        <f aca="false">IF(OR(B5="Main home (principal private residence)",B5="Fund or ETF (exit tax)"),0,VLOOKUP("sav.cgtExempt",Tax!$A$55:$D$156,4,FALSE())*B10)</f>
        <v>1270</v>
      </c>
      <c r="C14" s="6" t="s">
        <v>5396</v>
      </c>
    </row>
    <row r="15" customFormat="false" ht="28.35" hidden="false" customHeight="false" outlineLevel="0" collapsed="false">
      <c r="A15" s="9" t="s">
        <v>5397</v>
      </c>
      <c r="B15" s="139" t="n">
        <f aca="false">IF(B5="Main home (principal private residence)",0,IF(B5="Fund or ETF (exit tax)",MAX(0,B12)*B13,B13*MAX(0,B12-B9-B14)))</f>
        <v>41456.3</v>
      </c>
      <c r="C15" s="6" t="s">
        <v>5398</v>
      </c>
    </row>
    <row r="16" customFormat="false" ht="15" hidden="false" customHeight="false" outlineLevel="0" collapsed="false">
      <c r="A16" s="9" t="s">
        <v>5399</v>
      </c>
      <c r="B16" s="139" t="n">
        <f aca="false">B6-B15</f>
        <v>358543.7</v>
      </c>
      <c r="C16" s="6" t="s">
        <v>5400</v>
      </c>
    </row>
    <row r="19" customFormat="false" ht="15" hidden="false" customHeight="false" outlineLevel="0" collapsed="false">
      <c r="A19" s="5" t="s">
        <v>5401</v>
      </c>
      <c r="B19" s="5" t="s">
        <v>5305</v>
      </c>
      <c r="C19" s="5" t="s">
        <v>374</v>
      </c>
      <c r="D19" s="5" t="s">
        <v>5303</v>
      </c>
      <c r="E19" s="5" t="s">
        <v>5306</v>
      </c>
    </row>
    <row r="20" customFormat="false" ht="28.35" hidden="false" customHeight="false" outlineLevel="0" collapsed="false">
      <c r="A20" s="9" t="s">
        <v>5402</v>
      </c>
      <c r="B20" s="148" t="str">
        <f aca="false">IF($E$2="Sample example",D20,E20)</f>
        <v>No</v>
      </c>
      <c r="C20" s="6" t="s">
        <v>5403</v>
      </c>
      <c r="D20" s="149" t="s">
        <v>452</v>
      </c>
      <c r="E20" s="150" t="s">
        <v>452</v>
      </c>
    </row>
    <row r="21" customFormat="false" ht="15" hidden="false" customHeight="false" outlineLevel="0" collapsed="false">
      <c r="A21" s="9" t="s">
        <v>5404</v>
      </c>
      <c r="B21" s="139" t="n">
        <f aca="false">IF($E$2="Sample example",D21,E21)</f>
        <v>300000</v>
      </c>
      <c r="C21" s="6" t="s">
        <v>5405</v>
      </c>
      <c r="D21" s="140" t="n">
        <v>300000</v>
      </c>
      <c r="E21" s="141" t="n">
        <v>300000</v>
      </c>
    </row>
    <row r="22" customFormat="false" ht="15" hidden="false" customHeight="false" outlineLevel="0" collapsed="false">
      <c r="A22" s="9" t="s">
        <v>5382</v>
      </c>
      <c r="B22" s="139" t="n">
        <f aca="false">IF($E$2="Sample example",D22,E22)</f>
        <v>150000</v>
      </c>
      <c r="C22" s="6" t="s">
        <v>5383</v>
      </c>
      <c r="D22" s="140" t="n">
        <v>150000</v>
      </c>
      <c r="E22" s="141" t="n">
        <v>150000</v>
      </c>
    </row>
    <row r="23" customFormat="false" ht="15" hidden="false" customHeight="false" outlineLevel="0" collapsed="false">
      <c r="A23" s="9" t="s">
        <v>5384</v>
      </c>
      <c r="B23" s="139" t="n">
        <f aca="false">IF($E$2="Sample example",D23,E23)</f>
        <v>10000</v>
      </c>
      <c r="C23" s="6" t="s">
        <v>5406</v>
      </c>
      <c r="D23" s="140" t="n">
        <v>10000</v>
      </c>
      <c r="E23" s="141" t="n">
        <v>10000</v>
      </c>
    </row>
    <row r="24" customFormat="false" ht="15" hidden="false" customHeight="false" outlineLevel="0" collapsed="false">
      <c r="A24" s="9" t="s">
        <v>5386</v>
      </c>
      <c r="B24" s="139" t="n">
        <f aca="false">IF($E$2="Sample example",D24,E24)</f>
        <v>0</v>
      </c>
      <c r="C24" s="6"/>
      <c r="D24" s="140" t="n">
        <v>0</v>
      </c>
      <c r="E24" s="141" t="n">
        <v>0</v>
      </c>
    </row>
    <row r="25" customFormat="false" ht="15" hidden="false" customHeight="false" outlineLevel="0" collapsed="false">
      <c r="A25" s="9" t="s">
        <v>5407</v>
      </c>
      <c r="B25" s="151" t="n">
        <f aca="false">IF($E$2="Sample example",D25,E25)</f>
        <v>46357</v>
      </c>
      <c r="C25" s="6"/>
      <c r="D25" s="152" t="n">
        <v>46357</v>
      </c>
      <c r="E25" s="153" t="n">
        <v>46357</v>
      </c>
    </row>
    <row r="26" customFormat="false" ht="15" hidden="false" customHeight="false" outlineLevel="0" collapsed="false">
      <c r="A26" s="9" t="s">
        <v>5408</v>
      </c>
      <c r="B26" s="139" t="n">
        <f aca="false">B21-B22-B23</f>
        <v>140000</v>
      </c>
      <c r="C26" s="6" t="s">
        <v>5409</v>
      </c>
    </row>
    <row r="27" customFormat="false" ht="15" hidden="false" customHeight="false" outlineLevel="0" collapsed="false">
      <c r="A27" s="9" t="s">
        <v>5410</v>
      </c>
      <c r="B27" s="142" t="n">
        <f aca="false">IF(B20="Yes",0,IF(B25&gt;=DATE(2026,10,7),VLOOKUP("sav.cgt",Tax!$A$55:$D$156,4,FALSE()),VLOOKUP("sav.cgtBefore",Tax!$A$55:$D$156,4,FALSE())))</f>
        <v>0.31</v>
      </c>
      <c r="C27" s="6" t="s">
        <v>5411</v>
      </c>
    </row>
    <row r="28" customFormat="false" ht="15" hidden="false" customHeight="false" outlineLevel="0" collapsed="false">
      <c r="A28" s="9" t="s">
        <v>5412</v>
      </c>
      <c r="B28" s="139" t="n">
        <f aca="false">IF(B20="Yes",0,B27*MAX(0,B26-B24-VLOOKUP("sav.cgtExempt",Tax!$A$55:$D$156,4,FALSE())))</f>
        <v>43006.3</v>
      </c>
      <c r="C28" s="6" t="s">
        <v>5413</v>
      </c>
    </row>
    <row r="30" customFormat="false" ht="28.35" hidden="false" customHeight="false" outlineLevel="0" collapsed="false">
      <c r="A30" s="5" t="s">
        <v>5414</v>
      </c>
      <c r="B30" s="5" t="s">
        <v>5305</v>
      </c>
      <c r="C30" s="5" t="s">
        <v>374</v>
      </c>
      <c r="D30" s="5" t="s">
        <v>5303</v>
      </c>
      <c r="E30" s="5" t="s">
        <v>5306</v>
      </c>
    </row>
    <row r="31" customFormat="false" ht="41.75" hidden="false" customHeight="false" outlineLevel="0" collapsed="false">
      <c r="A31" s="9" t="s">
        <v>5415</v>
      </c>
      <c r="B31" s="148" t="str">
        <f aca="false">IF($E$2="Sample example",D31,E31)</f>
        <v>Group A: child receiving from a parent</v>
      </c>
      <c r="C31" s="6" t="s">
        <v>5416</v>
      </c>
      <c r="D31" s="149" t="s">
        <v>5417</v>
      </c>
      <c r="E31" s="150" t="s">
        <v>5417</v>
      </c>
    </row>
    <row r="32" customFormat="false" ht="15" hidden="false" customHeight="false" outlineLevel="0" collapsed="false">
      <c r="A32" s="9" t="s">
        <v>5418</v>
      </c>
      <c r="B32" s="139" t="n">
        <f aca="false">IF($E$2="Sample example",D32,E32)</f>
        <v>500000</v>
      </c>
      <c r="C32" s="6" t="s">
        <v>5419</v>
      </c>
      <c r="D32" s="140" t="n">
        <v>500000</v>
      </c>
      <c r="E32" s="141" t="n">
        <v>500000</v>
      </c>
    </row>
    <row r="33" customFormat="false" ht="28.35" hidden="false" customHeight="false" outlineLevel="0" collapsed="false">
      <c r="A33" s="9" t="s">
        <v>5420</v>
      </c>
      <c r="B33" s="148" t="str">
        <f aca="false">IF($E$2="Sample example",D33,E33)</f>
        <v>No</v>
      </c>
      <c r="C33" s="6" t="s">
        <v>5421</v>
      </c>
      <c r="D33" s="149" t="s">
        <v>452</v>
      </c>
      <c r="E33" s="150" t="s">
        <v>452</v>
      </c>
    </row>
    <row r="34" customFormat="false" ht="28.35" hidden="false" customHeight="false" outlineLevel="0" collapsed="false">
      <c r="A34" s="9" t="s">
        <v>5422</v>
      </c>
      <c r="B34" s="139" t="n">
        <f aca="false">IF($E$2="Sample example",D34,E34)</f>
        <v>0</v>
      </c>
      <c r="C34" s="6" t="s">
        <v>5423</v>
      </c>
      <c r="D34" s="140" t="n">
        <v>0</v>
      </c>
      <c r="E34" s="141" t="n">
        <v>0</v>
      </c>
    </row>
    <row r="35" customFormat="false" ht="15" hidden="false" customHeight="false" outlineLevel="0" collapsed="false">
      <c r="A35" s="9" t="s">
        <v>5424</v>
      </c>
      <c r="B35" s="151" t="n">
        <f aca="false">IF($E$2="Sample example",D35,E35)</f>
        <v>46357</v>
      </c>
      <c r="C35" s="6" t="s">
        <v>5425</v>
      </c>
      <c r="D35" s="152" t="n">
        <v>46357</v>
      </c>
      <c r="E35" s="153" t="n">
        <v>46357</v>
      </c>
    </row>
    <row r="36" customFormat="false" ht="15" hidden="false" customHeight="false" outlineLevel="0" collapsed="false">
      <c r="A36" s="9" t="s">
        <v>5426</v>
      </c>
      <c r="B36" s="139" t="n">
        <f aca="false">IF(LEFT(B31,7)="Spouse ",1E+099,IF(LEFT(B31,7)="Group A",IF(B35&gt;=DATE(2026,10,7),VLOOKUP("cat.a.after",Tax!$A$55:$D$156,4,FALSE()),VLOOKUP("cat.a.before",Tax!$A$55:$D$156,4,FALSE())),IF(LEFT(B31,7)="Group B",IF(B35&gt;=DATE(2026,10,7),VLOOKUP("cat.b.after",Tax!$A$55:$D$156,4,FALSE()),VLOOKUP("cat.b.before",Tax!$A$55:$D$156,4,FALSE())),IF(B35&gt;=DATE(2026,10,7),VLOOKUP("cat.c.after",Tax!$A$55:$D$156,4,FALSE()),VLOOKUP("cat.c.before",Tax!$A$55:$D$156,4,FALSE())))))</f>
        <v>420000</v>
      </c>
      <c r="C36" s="6" t="s">
        <v>5427</v>
      </c>
    </row>
    <row r="37" customFormat="false" ht="15" hidden="false" customHeight="false" outlineLevel="0" collapsed="false">
      <c r="A37" s="9" t="s">
        <v>5428</v>
      </c>
      <c r="B37" s="139" t="n">
        <f aca="false">MAX(0,B32-IF(B33="Yes",VLOOKUP("cat.small",Tax!$A$55:$D$156,4,FALSE()),0))</f>
        <v>500000</v>
      </c>
      <c r="C37" s="6"/>
    </row>
    <row r="38" customFormat="false" ht="15" hidden="false" customHeight="false" outlineLevel="0" collapsed="false">
      <c r="A38" s="9" t="s">
        <v>5429</v>
      </c>
      <c r="B38" s="139" t="n">
        <f aca="false">MAX(0,B36-B34)</f>
        <v>420000</v>
      </c>
      <c r="C38" s="6" t="s">
        <v>5430</v>
      </c>
    </row>
    <row r="39" customFormat="false" ht="15" hidden="false" customHeight="false" outlineLevel="0" collapsed="false">
      <c r="A39" s="9" t="s">
        <v>5431</v>
      </c>
      <c r="B39" s="139" t="n">
        <f aca="false">IF(LEFT(B31,7)="Spouse ",0,VLOOKUP("cat.rate",Tax!$A$55:$D$156,4,FALSE())*MAX(0,B37-B38))</f>
        <v>26400</v>
      </c>
      <c r="C39" s="6" t="s">
        <v>5432</v>
      </c>
    </row>
    <row r="40" customFormat="false" ht="15" hidden="false" customHeight="false" outlineLevel="0" collapsed="false">
      <c r="A40" s="9" t="s">
        <v>5433</v>
      </c>
      <c r="B40" s="139" t="n">
        <f aca="false">B32-B39</f>
        <v>473600</v>
      </c>
      <c r="C40" s="6" t="s">
        <v>5434</v>
      </c>
    </row>
    <row r="43" customFormat="false" ht="18" hidden="false" customHeight="true" outlineLevel="0" collapsed="false">
      <c r="A43" s="156" t="s">
        <v>5435</v>
      </c>
      <c r="B43" s="156"/>
      <c r="C43" s="156"/>
      <c r="D43" s="156"/>
      <c r="E43" s="156"/>
    </row>
    <row r="44" customFormat="false" ht="43.5" hidden="false" customHeight="true" outlineLevel="0" collapsed="false">
      <c r="A44" s="2" t="s">
        <v>5436</v>
      </c>
      <c r="B44" s="2"/>
      <c r="C44" s="2"/>
      <c r="D44" s="2"/>
      <c r="E44" s="2"/>
    </row>
    <row r="45" customFormat="false" ht="43.5" hidden="false" customHeight="true" outlineLevel="0" collapsed="false">
      <c r="A45" s="2" t="s">
        <v>5437</v>
      </c>
      <c r="B45" s="2"/>
      <c r="C45" s="2"/>
      <c r="D45" s="2"/>
      <c r="E45" s="2"/>
    </row>
    <row r="46" customFormat="false" ht="43.5" hidden="false" customHeight="true" outlineLevel="0" collapsed="false">
      <c r="A46" s="2" t="s">
        <v>5438</v>
      </c>
      <c r="B46" s="2"/>
      <c r="C46" s="2"/>
      <c r="D46" s="2"/>
      <c r="E46" s="2"/>
    </row>
    <row r="47" customFormat="false" ht="43.5" hidden="false" customHeight="true" outlineLevel="0" collapsed="false">
      <c r="A47" s="2" t="s">
        <v>5439</v>
      </c>
      <c r="B47" s="2"/>
      <c r="C47" s="2"/>
      <c r="D47" s="2"/>
      <c r="E47" s="2"/>
    </row>
    <row r="48" customFormat="false" ht="43.5" hidden="false" customHeight="true" outlineLevel="0" collapsed="false">
      <c r="A48" s="2" t="s">
        <v>5440</v>
      </c>
      <c r="B48" s="2"/>
      <c r="C48" s="2"/>
      <c r="D48" s="2"/>
      <c r="E48" s="2"/>
    </row>
  </sheetData>
  <mergeCells count="7">
    <mergeCell ref="A2:C2"/>
    <mergeCell ref="A43:E43"/>
    <mergeCell ref="A44:E44"/>
    <mergeCell ref="A45:E45"/>
    <mergeCell ref="A46:E46"/>
    <mergeCell ref="A47:E47"/>
    <mergeCell ref="A48:E48"/>
  </mergeCells>
  <dataValidations count="6">
    <dataValidation allowBlank="false" errorStyle="stop" operator="between" showDropDown="false" showErrorMessage="false" showInputMessage="false" sqref="D10:E10" type="whole">
      <formula1>1</formula1>
      <formula2>2</formula2>
    </dataValidation>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5:E5" type="list">
      <formula1>"Main home (principal private residence),Other property or land,Shares held directly,Crypto gold art or other assets,Fund or ETF (exit tax),Development land"</formula1>
      <formula2>0</formula2>
    </dataValidation>
    <dataValidation allowBlank="false" errorStyle="stop" operator="between" showDropDown="false" showErrorMessage="false" showInputMessage="false" sqref="D20:E20" type="list">
      <formula1>"Yes,No"</formula1>
      <formula2>0</formula2>
    </dataValidation>
    <dataValidation allowBlank="false" errorStyle="stop" operator="between" showDropDown="false" showErrorMessage="false" showInputMessage="false" sqref="D31:E31" type="list">
      <formula1>"Group A: child receiving from a parent,Group B: parent / sibling / niece / nephew / grandchild,Group C: everyone else,Spouse or civil partner (exempt)"</formula1>
      <formula2>0</formula2>
    </dataValidation>
    <dataValidation allowBlank="false" errorStyle="stop" operator="between" showDropDown="false" showErrorMessage="false" showInputMessage="false" sqref="D33:E3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2"/>
    <col collapsed="false" customWidth="true" hidden="false" outlineLevel="0" max="3" min="3" style="20" width="14"/>
    <col collapsed="false" customWidth="true" hidden="false" outlineLevel="0" max="5" min="4" style="20" width="10"/>
    <col collapsed="false" customWidth="true" hidden="false" outlineLevel="0" max="6" min="6" style="20" width="12"/>
    <col collapsed="false" customWidth="true" hidden="false" outlineLevel="0" max="7" min="7" style="20" width="50"/>
    <col collapsed="false" customWidth="true" hidden="false" outlineLevel="0" max="8" min="8" style="20" width="48"/>
    <col collapsed="false" customWidth="true" hidden="false" outlineLevel="0" max="9" min="9" style="20" width="16"/>
    <col collapsed="false" customWidth="true" hidden="false" outlineLevel="0" max="10" min="10" style="20" width="50"/>
    <col collapsed="false" customWidth="true" hidden="false" outlineLevel="0" max="11" min="11" style="20" width="24"/>
    <col collapsed="false" customWidth="true" hidden="false" outlineLevel="0" max="12" min="12" style="20" width="34"/>
    <col collapsed="false" customWidth="true" hidden="false" outlineLevel="0" max="13" min="13" style="20" width="26"/>
  </cols>
  <sheetData>
    <row r="1" customFormat="false" ht="17.25" hidden="false" customHeight="true" outlineLevel="0" collapsed="false">
      <c r="B1" s="21" t="s">
        <v>5441</v>
      </c>
    </row>
    <row r="2" customFormat="false" ht="75" hidden="false" customHeight="true" outlineLevel="0" collapsed="false">
      <c r="B2" s="2" t="s">
        <v>5442</v>
      </c>
      <c r="C2" s="2"/>
      <c r="D2" s="2"/>
      <c r="E2" s="2"/>
      <c r="F2" s="2"/>
      <c r="G2" s="2"/>
      <c r="H2" s="2"/>
      <c r="I2" s="2"/>
      <c r="J2" s="2"/>
      <c r="K2" s="2"/>
    </row>
    <row r="3" customFormat="false" ht="15" hidden="false" customHeight="true" outlineLevel="0" collapsed="false">
      <c r="B3" s="25" t="s">
        <v>5443</v>
      </c>
    </row>
    <row r="4" customFormat="false" ht="15" hidden="false" customHeight="true" outlineLevel="0" collapsed="false">
      <c r="B4" s="53" t="s">
        <v>5444</v>
      </c>
      <c r="C4" s="24"/>
    </row>
    <row r="6" customFormat="false" ht="81.75" hidden="false" customHeight="true" outlineLevel="0" collapsed="false">
      <c r="B6" s="33" t="s">
        <v>5445</v>
      </c>
      <c r="C6" s="33" t="s">
        <v>5446</v>
      </c>
      <c r="D6" s="33" t="s">
        <v>5447</v>
      </c>
      <c r="E6" s="33" t="s">
        <v>5448</v>
      </c>
      <c r="F6" s="33" t="s">
        <v>5449</v>
      </c>
      <c r="G6" s="33" t="s">
        <v>5450</v>
      </c>
      <c r="H6" s="33" t="s">
        <v>174</v>
      </c>
      <c r="I6" s="33" t="s">
        <v>173</v>
      </c>
      <c r="J6" s="33" t="s">
        <v>5451</v>
      </c>
      <c r="K6" s="33" t="s">
        <v>5452</v>
      </c>
      <c r="L6" s="23" t="s">
        <v>5453</v>
      </c>
      <c r="M6" s="23" t="s">
        <v>5454</v>
      </c>
    </row>
    <row r="7" customFormat="false" ht="15" hidden="false" customHeight="true" outlineLevel="0" collapsed="false">
      <c r="B7" s="157" t="s">
        <v>5455</v>
      </c>
    </row>
    <row r="8" customFormat="false" ht="15" hidden="false" customHeight="true" outlineLevel="0" collapsed="false">
      <c r="B8" s="20" t="s">
        <v>5456</v>
      </c>
      <c r="C8" s="158" t="n">
        <v>0.02</v>
      </c>
      <c r="G8" s="24" t="s">
        <v>5457</v>
      </c>
      <c r="H8" s="25" t="s">
        <v>178</v>
      </c>
      <c r="I8" s="25" t="s">
        <v>177</v>
      </c>
      <c r="J8" s="25"/>
      <c r="K8" s="25" t="s">
        <v>5458</v>
      </c>
    </row>
    <row r="9" customFormat="false" ht="15" hidden="false" customHeight="true" outlineLevel="0" collapsed="false">
      <c r="B9" s="20" t="s">
        <v>5459</v>
      </c>
      <c r="C9" s="158" t="n">
        <v>0.03</v>
      </c>
      <c r="F9" s="158" t="n">
        <v>0.025</v>
      </c>
      <c r="G9" s="24" t="s">
        <v>5460</v>
      </c>
      <c r="H9" s="25" t="s">
        <v>181</v>
      </c>
      <c r="I9" s="25" t="s">
        <v>121</v>
      </c>
      <c r="J9" s="25" t="s">
        <v>5461</v>
      </c>
      <c r="K9" s="25" t="s">
        <v>5458</v>
      </c>
    </row>
    <row r="10" customFormat="false" ht="15" hidden="false" customHeight="true" outlineLevel="0" collapsed="false">
      <c r="B10" s="20" t="s">
        <v>5462</v>
      </c>
      <c r="C10" s="158" t="n">
        <v>0.01</v>
      </c>
      <c r="F10" s="158" t="n">
        <v>0.007</v>
      </c>
      <c r="G10" s="24" t="s">
        <v>5463</v>
      </c>
      <c r="H10" s="25" t="s">
        <v>185</v>
      </c>
      <c r="I10" s="25" t="s">
        <v>184</v>
      </c>
      <c r="J10" s="25"/>
      <c r="K10" s="25" t="s">
        <v>5458</v>
      </c>
    </row>
    <row r="11" customFormat="false" ht="15" hidden="false" customHeight="true" outlineLevel="0" collapsed="false">
      <c r="B11" s="20" t="s">
        <v>5464</v>
      </c>
      <c r="C11" s="159" t="n">
        <f aca="false">IF(In_a_invWrapper="shares",ROUND(Set_invGross-IF(ISNUMBER(Suggest_Fund_Charges),Suggest_Fund_Charges,0.01),3),ROUND(((1+Set_invGross-IF(ISNUMBER(Suggest_Fund_Charges),Suggest_Fund_Charges,0.01))^Deemed_Disposal_Years-Exit_Tax*((1+Set_invGross-IF(ISNUMBER(Suggest_Fund_Charges),Suggest_Fund_Charges,0.01))^Deemed_Disposal_Years-1))^(1/Deemed_Disposal_Years)-1,3))</f>
        <v>0.026</v>
      </c>
      <c r="F11" s="159" t="n">
        <f aca="false">IF(In_a_invWrapper="shares",ROUND(Set_invGross-0.01-IF(ISNUMBER(Suggest_Fund_Charges),Suggest_Fund_Charges,0.01),3),ROUND(((1+Set_invGross-0.01-IF(ISNUMBER(Suggest_Fund_Charges),Suggest_Fund_Charges,0.01))^Deemed_Disposal_Years-Exit_Tax*((1+Set_invGross-0.01-IF(ISNUMBER(Suggest_Fund_Charges),Suggest_Fund_Charges,0.01))^Deemed_Disposal_Years-1))^(1/Deemed_Disposal_Years)-1,3))</f>
        <v>0.019</v>
      </c>
      <c r="G11" s="2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5" t="s">
        <v>188</v>
      </c>
      <c r="I11" s="25" t="s">
        <v>121</v>
      </c>
      <c r="J11" s="25" t="s">
        <v>5465</v>
      </c>
      <c r="K11" s="25" t="s">
        <v>5458</v>
      </c>
    </row>
    <row r="12" customFormat="false" ht="15" hidden="false" customHeight="true" outlineLevel="0" collapsed="false">
      <c r="B12" s="20" t="s">
        <v>5466</v>
      </c>
      <c r="C12" s="158" t="n">
        <v>0.05</v>
      </c>
      <c r="G12" s="24" t="s">
        <v>5467</v>
      </c>
      <c r="H12" s="25" t="s">
        <v>191</v>
      </c>
      <c r="I12" s="25" t="s">
        <v>121</v>
      </c>
      <c r="J12" s="25" t="s">
        <v>5468</v>
      </c>
      <c r="K12" s="25" t="s">
        <v>5458</v>
      </c>
    </row>
    <row r="13" customFormat="false" ht="15" hidden="false" customHeight="true" outlineLevel="0" collapsed="false">
      <c r="B13" s="20" t="s">
        <v>5469</v>
      </c>
      <c r="C13" s="158" t="n">
        <v>0.045</v>
      </c>
      <c r="F13" s="158" t="n">
        <v>0.04</v>
      </c>
      <c r="G13" s="24" t="s">
        <v>5470</v>
      </c>
      <c r="H13" s="25" t="s">
        <v>194</v>
      </c>
      <c r="I13" s="25" t="s">
        <v>121</v>
      </c>
      <c r="J13" s="25" t="s">
        <v>5471</v>
      </c>
      <c r="K13" s="25" t="s">
        <v>5458</v>
      </c>
    </row>
    <row r="14" customFormat="false" ht="15" hidden="false" customHeight="true" outlineLevel="0" collapsed="false">
      <c r="B14" s="20" t="s">
        <v>5472</v>
      </c>
      <c r="C14" s="158" t="n">
        <v>0.0315</v>
      </c>
      <c r="F14" s="158" t="n">
        <v>0.028</v>
      </c>
      <c r="G14" s="24" t="s">
        <v>5473</v>
      </c>
      <c r="H14" s="25" t="s">
        <v>194</v>
      </c>
      <c r="I14" s="25" t="s">
        <v>121</v>
      </c>
      <c r="J14" s="25" t="s">
        <v>5474</v>
      </c>
      <c r="K14" s="25" t="s">
        <v>5458</v>
      </c>
    </row>
    <row r="15" customFormat="false" ht="15" hidden="false" customHeight="true" outlineLevel="0" collapsed="false">
      <c r="B15" s="157" t="s">
        <v>852</v>
      </c>
    </row>
    <row r="16" customFormat="false" ht="15" hidden="false" customHeight="true" outlineLevel="0" collapsed="false">
      <c r="B16" s="20" t="s">
        <v>5475</v>
      </c>
      <c r="C16" s="158" t="n">
        <v>0.03</v>
      </c>
      <c r="G16" s="24" t="s">
        <v>5476</v>
      </c>
      <c r="H16" s="25" t="s">
        <v>199</v>
      </c>
      <c r="I16" s="25" t="s">
        <v>121</v>
      </c>
      <c r="J16" s="25" t="s">
        <v>5477</v>
      </c>
      <c r="K16" s="25" t="s">
        <v>5478</v>
      </c>
    </row>
    <row r="17" customFormat="false" ht="15" hidden="false" customHeight="true" outlineLevel="0" collapsed="false">
      <c r="B17" s="20" t="s">
        <v>5479</v>
      </c>
      <c r="C17" s="158" t="n">
        <v>0.02</v>
      </c>
      <c r="G17" s="24" t="s">
        <v>5480</v>
      </c>
      <c r="H17" s="25" t="s">
        <v>202</v>
      </c>
      <c r="I17" s="25" t="s">
        <v>121</v>
      </c>
      <c r="J17" s="25" t="s">
        <v>5481</v>
      </c>
      <c r="K17" s="25" t="s">
        <v>5478</v>
      </c>
    </row>
    <row r="18" customFormat="false" ht="15" hidden="false" customHeight="true" outlineLevel="0" collapsed="false">
      <c r="B18" s="20" t="s">
        <v>5482</v>
      </c>
      <c r="C18" s="158" t="n">
        <v>0.01</v>
      </c>
      <c r="G18" s="24" t="s">
        <v>5483</v>
      </c>
      <c r="H18" s="25" t="s">
        <v>205</v>
      </c>
      <c r="I18" s="25" t="s">
        <v>121</v>
      </c>
      <c r="J18" s="25"/>
      <c r="K18" s="25" t="s">
        <v>5478</v>
      </c>
    </row>
    <row r="19" customFormat="false" ht="15" hidden="false" customHeight="true" outlineLevel="0" collapsed="false">
      <c r="B19" s="157" t="s">
        <v>5484</v>
      </c>
    </row>
    <row r="20" customFormat="false" ht="15" hidden="false" customHeight="true" outlineLevel="0" collapsed="false">
      <c r="B20" s="20" t="s">
        <v>5485</v>
      </c>
      <c r="C20" s="158" t="n">
        <v>0.5</v>
      </c>
      <c r="G20" s="24" t="s">
        <v>5486</v>
      </c>
      <c r="H20" s="25" t="s">
        <v>208</v>
      </c>
      <c r="I20" s="25" t="s">
        <v>121</v>
      </c>
      <c r="J20" s="25" t="s">
        <v>5487</v>
      </c>
      <c r="K20" s="25" t="s">
        <v>5488</v>
      </c>
    </row>
    <row r="21" customFormat="false" ht="15" hidden="false" customHeight="true" outlineLevel="0" collapsed="false">
      <c r="B21" s="20" t="s">
        <v>5489</v>
      </c>
      <c r="C21" s="24" t="n">
        <v>25</v>
      </c>
      <c r="G21" s="24" t="s">
        <v>5490</v>
      </c>
      <c r="H21" s="25" t="s">
        <v>211</v>
      </c>
      <c r="I21" s="25" t="s">
        <v>121</v>
      </c>
      <c r="J21" s="25" t="s">
        <v>5491</v>
      </c>
      <c r="K21" s="25" t="s">
        <v>5492</v>
      </c>
    </row>
    <row r="22" customFormat="false" ht="15" hidden="false" customHeight="true" outlineLevel="0" collapsed="false">
      <c r="B22" s="20" t="s">
        <v>5493</v>
      </c>
      <c r="C22" s="158" t="n">
        <v>0.8</v>
      </c>
      <c r="G22" s="24" t="s">
        <v>5494</v>
      </c>
      <c r="H22" s="25" t="s">
        <v>214</v>
      </c>
      <c r="I22" s="25" t="s">
        <v>121</v>
      </c>
      <c r="J22" s="25"/>
      <c r="K22" s="25" t="s">
        <v>5488</v>
      </c>
    </row>
    <row r="23" customFormat="false" ht="15" hidden="false" customHeight="true" outlineLevel="0" collapsed="false">
      <c r="B23" s="20" t="s">
        <v>5495</v>
      </c>
      <c r="C23" s="158" t="n">
        <v>0.25</v>
      </c>
      <c r="G23" s="24" t="s">
        <v>5496</v>
      </c>
      <c r="H23" s="25" t="s">
        <v>221</v>
      </c>
      <c r="I23" s="25" t="s">
        <v>220</v>
      </c>
      <c r="J23" s="25"/>
      <c r="K23" s="25" t="s">
        <v>5488</v>
      </c>
    </row>
    <row r="24" customFormat="false" ht="15" hidden="false" customHeight="true" outlineLevel="0" collapsed="false">
      <c r="B24" s="157" t="s">
        <v>5497</v>
      </c>
    </row>
    <row r="25" customFormat="false" ht="15" hidden="false" customHeight="true" outlineLevel="0" collapsed="false">
      <c r="B25" s="20" t="s">
        <v>5498</v>
      </c>
      <c r="C25" s="24" t="n">
        <v>6</v>
      </c>
      <c r="G25" s="24" t="s">
        <v>5499</v>
      </c>
      <c r="H25" s="25" t="s">
        <v>224</v>
      </c>
      <c r="I25" s="25" t="s">
        <v>121</v>
      </c>
      <c r="J25" s="25" t="s">
        <v>5500</v>
      </c>
      <c r="K25" s="25" t="s">
        <v>5501</v>
      </c>
    </row>
    <row r="26" customFormat="false" ht="15" hidden="false" customHeight="true" outlineLevel="0" collapsed="false">
      <c r="B26" s="20" t="s">
        <v>5502</v>
      </c>
      <c r="C26" s="24" t="n">
        <v>3</v>
      </c>
      <c r="G26" s="24" t="s">
        <v>5503</v>
      </c>
      <c r="H26" s="25" t="s">
        <v>227</v>
      </c>
      <c r="I26" s="25" t="s">
        <v>121</v>
      </c>
      <c r="J26" s="25"/>
      <c r="K26" s="25" t="s">
        <v>5501</v>
      </c>
    </row>
    <row r="27" customFormat="false" ht="15" hidden="false" customHeight="true" outlineLevel="0" collapsed="false">
      <c r="B27" s="20" t="s">
        <v>5504</v>
      </c>
      <c r="C27" s="24" t="n">
        <v>5</v>
      </c>
      <c r="G27" s="24" t="s">
        <v>5505</v>
      </c>
      <c r="H27" s="25" t="s">
        <v>230</v>
      </c>
      <c r="I27" s="25" t="s">
        <v>121</v>
      </c>
      <c r="J27" s="25" t="s">
        <v>5506</v>
      </c>
      <c r="K27" s="25" t="s">
        <v>5507</v>
      </c>
    </row>
    <row r="28" customFormat="false" ht="15" hidden="false" customHeight="true" outlineLevel="0" collapsed="false">
      <c r="B28" s="20" t="s">
        <v>5508</v>
      </c>
      <c r="C28" s="158" t="n">
        <v>0.4</v>
      </c>
      <c r="G28" s="24" t="s">
        <v>5509</v>
      </c>
      <c r="H28" s="25" t="s">
        <v>233</v>
      </c>
      <c r="I28" s="25" t="s">
        <v>121</v>
      </c>
      <c r="J28" s="25"/>
      <c r="K28" s="25" t="s">
        <v>5510</v>
      </c>
    </row>
    <row r="29" customFormat="false" ht="15" hidden="false" customHeight="true" outlineLevel="0" collapsed="false">
      <c r="B29" s="20" t="s">
        <v>5511</v>
      </c>
      <c r="C29" s="158" t="n">
        <v>0.5</v>
      </c>
      <c r="G29" s="24" t="s">
        <v>5512</v>
      </c>
      <c r="H29" s="25" t="s">
        <v>242</v>
      </c>
      <c r="I29" s="25" t="s">
        <v>121</v>
      </c>
      <c r="J29" s="25" t="s">
        <v>5513</v>
      </c>
      <c r="K29" s="25" t="s">
        <v>5510</v>
      </c>
    </row>
    <row r="30" customFormat="false" ht="15" hidden="false" customHeight="true" outlineLevel="0" collapsed="false">
      <c r="B30" s="20" t="s">
        <v>5514</v>
      </c>
      <c r="C30" s="160" t="n">
        <v>300</v>
      </c>
      <c r="G30" s="24" t="s">
        <v>5515</v>
      </c>
      <c r="H30" s="25" t="s">
        <v>242</v>
      </c>
      <c r="I30" s="25" t="s">
        <v>121</v>
      </c>
      <c r="J30" s="25" t="s">
        <v>5516</v>
      </c>
      <c r="K30" s="25" t="s">
        <v>5517</v>
      </c>
    </row>
    <row r="31" customFormat="false" ht="15" hidden="false" customHeight="true" outlineLevel="0" collapsed="false">
      <c r="B31" s="157" t="s">
        <v>5518</v>
      </c>
    </row>
    <row r="32" customFormat="false" ht="15" hidden="false" customHeight="true" outlineLevel="0" collapsed="false">
      <c r="B32" s="20" t="s">
        <v>5519</v>
      </c>
      <c r="C32" s="158" t="n">
        <v>0.6</v>
      </c>
      <c r="G32" s="24" t="s">
        <v>5520</v>
      </c>
      <c r="H32" s="25" t="s">
        <v>247</v>
      </c>
      <c r="I32" s="25" t="s">
        <v>121</v>
      </c>
      <c r="J32" s="25"/>
      <c r="K32" s="25" t="s">
        <v>5521</v>
      </c>
    </row>
    <row r="33" customFormat="false" ht="15" hidden="false" customHeight="true" outlineLevel="0" collapsed="false">
      <c r="B33" s="20" t="s">
        <v>5522</v>
      </c>
      <c r="C33" s="24" t="n">
        <v>15</v>
      </c>
      <c r="G33" s="24" t="s">
        <v>5523</v>
      </c>
      <c r="H33" s="25" t="s">
        <v>247</v>
      </c>
      <c r="I33" s="25" t="s">
        <v>121</v>
      </c>
      <c r="J33" s="25"/>
      <c r="K33" s="25" t="s">
        <v>5524</v>
      </c>
    </row>
    <row r="34" customFormat="false" ht="15" hidden="false" customHeight="true" outlineLevel="0" collapsed="false">
      <c r="B34" s="157" t="s">
        <v>5525</v>
      </c>
    </row>
    <row r="35" customFormat="false" ht="15" hidden="false" customHeight="true" outlineLevel="0" collapsed="false">
      <c r="B35" s="20" t="s">
        <v>5526</v>
      </c>
      <c r="C35" s="161" t="n">
        <v>0.02</v>
      </c>
      <c r="D35" s="161" t="n">
        <v>0.04</v>
      </c>
      <c r="E35" s="161" t="n">
        <v>0.06</v>
      </c>
      <c r="G35" s="24" t="s">
        <v>5527</v>
      </c>
      <c r="H35" s="25" t="s">
        <v>252</v>
      </c>
      <c r="I35" s="25" t="s">
        <v>121</v>
      </c>
      <c r="J35" s="25" t="s">
        <v>5528</v>
      </c>
      <c r="K35" s="25" t="s">
        <v>5529</v>
      </c>
    </row>
    <row r="36" customFormat="false" ht="15" hidden="false" customHeight="true" outlineLevel="0" collapsed="false">
      <c r="B36" s="20" t="s">
        <v>5530</v>
      </c>
      <c r="C36" s="161" t="n">
        <v>0.05</v>
      </c>
      <c r="D36" s="161" t="n">
        <v>0.1</v>
      </c>
      <c r="E36" s="161" t="n">
        <v>0.16</v>
      </c>
      <c r="G36" s="24" t="s">
        <v>5527</v>
      </c>
      <c r="H36" s="25" t="s">
        <v>252</v>
      </c>
      <c r="I36" s="25" t="s">
        <v>121</v>
      </c>
      <c r="J36" s="25" t="s">
        <v>5531</v>
      </c>
      <c r="K36" s="25" t="s">
        <v>5529</v>
      </c>
    </row>
    <row r="37" customFormat="false" ht="15" hidden="false" customHeight="true" outlineLevel="0" collapsed="false">
      <c r="B37" s="20" t="s">
        <v>5532</v>
      </c>
      <c r="C37" s="161" t="n">
        <v>0.5</v>
      </c>
      <c r="D37" s="161" t="n">
        <v>0.3</v>
      </c>
      <c r="E37" s="161" t="n">
        <v>0.2</v>
      </c>
      <c r="G37" s="24" t="s">
        <v>5533</v>
      </c>
      <c r="H37" s="25" t="s">
        <v>257</v>
      </c>
      <c r="I37" s="25" t="s">
        <v>121</v>
      </c>
      <c r="J37" s="25"/>
      <c r="K37" s="25" t="s">
        <v>5529</v>
      </c>
    </row>
    <row r="38" customFormat="false" ht="15" hidden="false" customHeight="true" outlineLevel="0" collapsed="false">
      <c r="B38" s="157" t="s">
        <v>5534</v>
      </c>
    </row>
    <row r="39" customFormat="false" ht="15" hidden="false" customHeight="true" outlineLevel="0" collapsed="false">
      <c r="B39" s="20" t="s">
        <v>5535</v>
      </c>
      <c r="C39" s="24" t="s">
        <v>5536</v>
      </c>
      <c r="G39" s="24" t="s">
        <v>5537</v>
      </c>
      <c r="H39" s="25" t="s">
        <v>260</v>
      </c>
      <c r="I39" s="25" t="s">
        <v>121</v>
      </c>
      <c r="J39" s="25" t="s">
        <v>5538</v>
      </c>
      <c r="K39" s="25" t="s">
        <v>5539</v>
      </c>
    </row>
    <row r="40" customFormat="false" ht="15" hidden="false" customHeight="true" outlineLevel="0" collapsed="false">
      <c r="B40" s="20" t="s">
        <v>5540</v>
      </c>
      <c r="C40" s="24" t="s">
        <v>5536</v>
      </c>
      <c r="G40" s="24" t="s">
        <v>5541</v>
      </c>
      <c r="H40" s="25" t="s">
        <v>263</v>
      </c>
      <c r="I40" s="25" t="s">
        <v>121</v>
      </c>
      <c r="J40" s="25" t="s">
        <v>5542</v>
      </c>
      <c r="K40" s="25" t="s">
        <v>5539</v>
      </c>
    </row>
    <row r="41" customFormat="false" ht="15" hidden="false" customHeight="true" outlineLevel="0" collapsed="false">
      <c r="B41" s="20" t="s">
        <v>5543</v>
      </c>
      <c r="C41" s="24" t="s">
        <v>5544</v>
      </c>
      <c r="G41" s="24" t="s">
        <v>5545</v>
      </c>
      <c r="H41" s="25" t="s">
        <v>266</v>
      </c>
      <c r="I41" s="25" t="s">
        <v>121</v>
      </c>
      <c r="J41" s="25"/>
      <c r="K41" s="25" t="s">
        <v>5539</v>
      </c>
    </row>
    <row r="42" customFormat="false" ht="15" hidden="false" customHeight="true" outlineLevel="0" collapsed="false">
      <c r="B42" s="20" t="s">
        <v>5546</v>
      </c>
      <c r="C42" s="24" t="s">
        <v>1628</v>
      </c>
      <c r="G42" s="24" t="s">
        <v>5547</v>
      </c>
      <c r="H42" s="25" t="s">
        <v>269</v>
      </c>
      <c r="I42" s="25" t="s">
        <v>121</v>
      </c>
      <c r="J42" s="25"/>
      <c r="K42" s="25" t="s">
        <v>5539</v>
      </c>
    </row>
    <row r="43" customFormat="false" ht="15" hidden="false" customHeight="true" outlineLevel="0" collapsed="false">
      <c r="B43" s="20" t="s">
        <v>5548</v>
      </c>
      <c r="C43" s="24" t="n">
        <v>5</v>
      </c>
      <c r="G43" s="24" t="s">
        <v>5549</v>
      </c>
      <c r="H43" s="25" t="s">
        <v>272</v>
      </c>
      <c r="I43" s="25" t="s">
        <v>121</v>
      </c>
      <c r="J43" s="25"/>
      <c r="K43" s="25" t="s">
        <v>5550</v>
      </c>
    </row>
    <row r="44" customFormat="false" ht="15" hidden="false" customHeight="true" outlineLevel="0" collapsed="false">
      <c r="B44" s="20" t="s">
        <v>5551</v>
      </c>
      <c r="C44" s="24" t="n">
        <v>2</v>
      </c>
      <c r="G44" s="24" t="s">
        <v>5552</v>
      </c>
      <c r="H44" s="25" t="s">
        <v>275</v>
      </c>
      <c r="I44" s="25" t="s">
        <v>121</v>
      </c>
      <c r="J44" s="25"/>
      <c r="K44" s="25" t="s">
        <v>5553</v>
      </c>
    </row>
    <row r="45" customFormat="false" ht="15" hidden="false" customHeight="true" outlineLevel="0" collapsed="false">
      <c r="B45" s="157" t="s">
        <v>5554</v>
      </c>
    </row>
    <row r="46" customFormat="false" ht="15" hidden="false" customHeight="true" outlineLevel="0" collapsed="false">
      <c r="B46" s="20" t="s">
        <v>5555</v>
      </c>
      <c r="C46" s="158" t="n">
        <v>0.0348</v>
      </c>
      <c r="D46" s="158"/>
      <c r="G46" s="24" t="s">
        <v>5556</v>
      </c>
      <c r="H46" s="25" t="s">
        <v>279</v>
      </c>
      <c r="I46" s="25" t="s">
        <v>278</v>
      </c>
      <c r="J46" s="25" t="s">
        <v>5557</v>
      </c>
      <c r="K46" s="25" t="s">
        <v>5558</v>
      </c>
      <c r="L46" s="25" t="str">
        <f aca="false">IF(D46&lt;&gt;"","Suggested by "&amp;IF(Partner_Name="","your provider",Partner_Name),G46)</f>
        <v>Central Bank of Ireland: average rate on new mortgages, Jul 2026</v>
      </c>
      <c r="M46" s="29" t="n">
        <f aca="false">IF(D46&lt;&gt;"",D46,IF(C46&lt;&gt;"",C46,""))</f>
        <v>0.0348</v>
      </c>
    </row>
    <row r="47" customFormat="false" ht="15" hidden="false" customHeight="true" outlineLevel="0" collapsed="false">
      <c r="B47" s="20" t="s">
        <v>5559</v>
      </c>
      <c r="C47" s="158" t="n">
        <v>0.0672</v>
      </c>
      <c r="D47" s="158"/>
      <c r="G47" s="24" t="s">
        <v>5560</v>
      </c>
      <c r="H47" s="25" t="s">
        <v>279</v>
      </c>
      <c r="I47" s="25" t="s">
        <v>278</v>
      </c>
      <c r="J47" s="25" t="s">
        <v>5561</v>
      </c>
      <c r="K47" s="25" t="s">
        <v>5558</v>
      </c>
      <c r="L47" s="25" t="str">
        <f aca="false">IF(D47&lt;&gt;"","Suggested by "&amp;IF(Partner_Name="","your provider",Partner_Name),G47)</f>
        <v>Central Bank of Ireland: average rate on new consumer loans, Jul 2026</v>
      </c>
      <c r="M47" s="29" t="n">
        <f aca="false">IF(D47&lt;&gt;"",D47,IF(C47&lt;&gt;"",C47,""))</f>
        <v>0.0672</v>
      </c>
    </row>
    <row r="48" customFormat="false" ht="15" hidden="false" customHeight="true" outlineLevel="0" collapsed="false">
      <c r="B48" s="20" t="s">
        <v>5562</v>
      </c>
      <c r="C48" s="158"/>
      <c r="D48" s="158"/>
      <c r="G48" s="24" t="s">
        <v>5563</v>
      </c>
      <c r="H48" s="25" t="s">
        <v>279</v>
      </c>
      <c r="I48" s="25" t="s">
        <v>284</v>
      </c>
      <c r="J48" s="25" t="s">
        <v>5564</v>
      </c>
      <c r="K48" s="25" t="s">
        <v>5558</v>
      </c>
      <c r="L48" s="25" t="str">
        <f aca="false">IF(D48&lt;&gt;"","Suggested by "&amp;IF(Partner_Name="","your provider",Partner_Name),G48)</f>
        <v>No published average</v>
      </c>
      <c r="M48" s="29" t="str">
        <f aca="false">IF(D48&lt;&gt;"",D48,IF(C48&lt;&gt;"",C48,""))</f>
        <v/>
      </c>
    </row>
    <row r="49" customFormat="false" ht="15" hidden="false" customHeight="true" outlineLevel="0" collapsed="false">
      <c r="B49" s="20" t="s">
        <v>5565</v>
      </c>
      <c r="C49" s="158" t="n">
        <v>0.0192</v>
      </c>
      <c r="D49" s="158"/>
      <c r="G49" s="24" t="s">
        <v>5566</v>
      </c>
      <c r="H49" s="25" t="s">
        <v>279</v>
      </c>
      <c r="I49" s="25" t="s">
        <v>278</v>
      </c>
      <c r="J49" s="25" t="s">
        <v>5567</v>
      </c>
      <c r="K49" s="25" t="s">
        <v>5558</v>
      </c>
      <c r="L49" s="25" t="str">
        <f aca="false">IF(D49&lt;&gt;"","Suggested by "&amp;IF(Partner_Name="","your provider",Partner_Name),G49)</f>
        <v>Central Bank of Ireland: average rate on new fixed-term household deposits, Jul 2026</v>
      </c>
      <c r="M49" s="29" t="n">
        <f aca="false">IF(D49&lt;&gt;"",D49,IF(C49&lt;&gt;"",C49,""))</f>
        <v>0.0192</v>
      </c>
    </row>
    <row r="50" customFormat="false" ht="15" hidden="false" customHeight="true" outlineLevel="0" collapsed="false">
      <c r="B50" s="20" t="s">
        <v>5568</v>
      </c>
      <c r="C50" s="160"/>
      <c r="D50" s="160"/>
      <c r="G50" s="24" t="s">
        <v>289</v>
      </c>
      <c r="H50" s="25" t="s">
        <v>289</v>
      </c>
      <c r="I50" s="25" t="s">
        <v>284</v>
      </c>
      <c r="J50" s="25"/>
      <c r="K50" s="25" t="s">
        <v>5569</v>
      </c>
      <c r="L50" s="25" t="str">
        <f aca="false">IF(D50&lt;&gt;"","Suggested by "&amp;IF(Partner_Name="","your provider",Partner_Name),G50)</f>
        <v>No published figure</v>
      </c>
      <c r="M50" s="31" t="str">
        <f aca="false">IF(D50&lt;&gt;"",D50,IF(C50&lt;&gt;"",C50,""))</f>
        <v/>
      </c>
    </row>
    <row r="51" customFormat="false" ht="15" hidden="false" customHeight="true" outlineLevel="0" collapsed="false">
      <c r="B51" s="20" t="s">
        <v>5570</v>
      </c>
      <c r="C51" s="158" t="n">
        <v>0.01</v>
      </c>
      <c r="D51" s="158"/>
      <c r="G51" s="24" t="s">
        <v>5571</v>
      </c>
      <c r="H51" s="25" t="s">
        <v>292</v>
      </c>
      <c r="I51" s="25" t="s">
        <v>121</v>
      </c>
      <c r="J51" s="25" t="s">
        <v>5572</v>
      </c>
      <c r="K51" s="25" t="s">
        <v>5558</v>
      </c>
      <c r="L51" s="25" t="str">
        <f aca="false">IF(D51&lt;&gt;"","Suggested by "&amp;IF(Partner_Name="","your provider",Partner_Name),G51)</f>
        <v>Pensions Authority pension calculator assumption</v>
      </c>
      <c r="M51" s="29" t="n">
        <f aca="false">IF(D51&lt;&gt;"",D51,IF(C51&lt;&gt;"",C51,""))</f>
        <v>0.01</v>
      </c>
    </row>
    <row r="52" customFormat="false" ht="15" hidden="false" customHeight="true" outlineLevel="0" collapsed="false">
      <c r="B52" s="157" t="s">
        <v>5573</v>
      </c>
    </row>
    <row r="53" customFormat="false" ht="15" hidden="false" customHeight="true" outlineLevel="0" collapsed="false">
      <c r="B53" s="20" t="s">
        <v>5574</v>
      </c>
      <c r="C53" s="24" t="n">
        <v>83</v>
      </c>
      <c r="G53" s="24" t="s">
        <v>5575</v>
      </c>
      <c r="H53" s="25" t="s">
        <v>5576</v>
      </c>
      <c r="I53" s="25" t="s">
        <v>5577</v>
      </c>
      <c r="J53" s="25"/>
      <c r="K53" s="25" t="s">
        <v>5578</v>
      </c>
    </row>
    <row r="54" customFormat="false" ht="15" hidden="false" customHeight="true" outlineLevel="0" collapsed="false">
      <c r="B54" s="20" t="s">
        <v>5579</v>
      </c>
      <c r="C54" s="24" t="n">
        <v>86</v>
      </c>
      <c r="G54" s="24" t="s">
        <v>5575</v>
      </c>
      <c r="H54" s="25" t="s">
        <v>5576</v>
      </c>
      <c r="I54" s="25" t="s">
        <v>5580</v>
      </c>
      <c r="J54" s="25"/>
      <c r="K54" s="25" t="s">
        <v>5578</v>
      </c>
    </row>
    <row r="55" customFormat="false" ht="15" hidden="false" customHeight="true" outlineLevel="0" collapsed="false">
      <c r="B55" s="157" t="s">
        <v>5581</v>
      </c>
    </row>
    <row r="56" customFormat="false" ht="15" hidden="false" customHeight="true" outlineLevel="0" collapsed="false">
      <c r="B56" s="20" t="s">
        <v>5582</v>
      </c>
      <c r="C56" s="54" t="n">
        <v>0.039</v>
      </c>
      <c r="G56" s="20" t="s">
        <v>875</v>
      </c>
    </row>
    <row r="57" customFormat="false" ht="15" hidden="false" customHeight="true" outlineLevel="0" collapsed="false">
      <c r="B57" s="20" t="s">
        <v>5583</v>
      </c>
      <c r="C57" s="59" t="n">
        <v>0.23</v>
      </c>
      <c r="G57" s="20" t="s">
        <v>5584</v>
      </c>
      <c r="H57" s="20" t="s">
        <v>882</v>
      </c>
      <c r="I57" s="20" t="s">
        <v>5585</v>
      </c>
    </row>
    <row r="59" customFormat="false" ht="15" hidden="false" customHeight="true" outlineLevel="0" collapsed="false">
      <c r="B59" s="20" t="s">
        <v>5586</v>
      </c>
      <c r="C59" s="24" t="n">
        <v>60</v>
      </c>
      <c r="G59" s="24" t="s">
        <v>5587</v>
      </c>
      <c r="H59" s="25" t="s">
        <v>5588</v>
      </c>
      <c r="I59" s="25" t="s">
        <v>121</v>
      </c>
      <c r="J59" s="25" t="s">
        <v>5589</v>
      </c>
      <c r="K59" s="25" t="s">
        <v>5590</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6"/>
    <col collapsed="false" customWidth="true" hidden="false" outlineLevel="0" max="3" min="3" style="20" width="14"/>
    <col collapsed="false" customWidth="true" hidden="false" outlineLevel="0" max="4" min="4" style="20" width="26"/>
    <col collapsed="false" customWidth="true" hidden="false" outlineLevel="0" max="5" min="5" style="20" width="64"/>
    <col collapsed="false" customWidth="true" hidden="false" outlineLevel="0" max="6" min="6" style="20" width="16"/>
    <col collapsed="false" customWidth="true" hidden="false" outlineLevel="0" max="7" min="7" style="20" width="26"/>
    <col collapsed="false" customWidth="true" hidden="false" outlineLevel="0" max="8" min="8" style="20" width="8"/>
  </cols>
  <sheetData>
    <row r="1" customFormat="false" ht="19.5" hidden="false" customHeight="true" outlineLevel="0" collapsed="false">
      <c r="B1" s="69" t="s">
        <v>5591</v>
      </c>
    </row>
    <row r="2" customFormat="false" ht="15" hidden="false" customHeight="true" outlineLevel="0" collapsed="false">
      <c r="B2" s="162" t="s">
        <v>5592</v>
      </c>
    </row>
    <row r="3" customFormat="false" ht="39.75" hidden="false" customHeight="true" outlineLevel="0" collapsed="false">
      <c r="B3" s="163" t="s">
        <v>5593</v>
      </c>
      <c r="C3" s="163"/>
      <c r="D3" s="163"/>
      <c r="E3" s="163"/>
      <c r="F3" s="163"/>
      <c r="G3" s="163"/>
    </row>
    <row r="4" customFormat="false" ht="15" hidden="false" customHeight="true" outlineLevel="0" collapsed="false">
      <c r="B4" s="25" t="s">
        <v>5594</v>
      </c>
    </row>
    <row r="5" customFormat="false" ht="15" hidden="false" customHeight="true" outlineLevel="0" collapsed="false">
      <c r="B5" s="74" t="s">
        <v>5595</v>
      </c>
      <c r="C5" s="77"/>
      <c r="D5" s="77"/>
      <c r="E5" s="77"/>
      <c r="F5" s="77"/>
      <c r="G5" s="77"/>
      <c r="H5" s="77"/>
    </row>
    <row r="6" customFormat="false" ht="15" hidden="false" customHeight="true" outlineLevel="0" collapsed="false">
      <c r="B6" s="164" t="s">
        <v>5596</v>
      </c>
      <c r="C6" s="164" t="s">
        <v>1226</v>
      </c>
      <c r="D6" s="164" t="s">
        <v>5597</v>
      </c>
      <c r="E6" s="164" t="s">
        <v>5598</v>
      </c>
      <c r="F6" s="164" t="s">
        <v>590</v>
      </c>
      <c r="G6" s="164" t="s">
        <v>5599</v>
      </c>
      <c r="H6" s="164" t="s">
        <v>5600</v>
      </c>
    </row>
    <row r="7" customFormat="false" ht="39.75" hidden="false" customHeight="true" outlineLevel="0" collapsed="false">
      <c r="B7" s="165"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65"/>
      <c r="D7" s="165"/>
      <c r="E7" s="166" t="s">
        <v>5601</v>
      </c>
    </row>
    <row r="8" customFormat="false" ht="15" hidden="false" customHeight="true" outlineLevel="0" collapsed="false">
      <c r="B8" s="74" t="s">
        <v>5602</v>
      </c>
      <c r="C8" s="77"/>
      <c r="D8" s="77"/>
      <c r="E8" s="77"/>
      <c r="F8" s="77"/>
      <c r="G8" s="77"/>
      <c r="H8" s="77"/>
    </row>
    <row r="9" customFormat="false" ht="15" hidden="false" customHeight="true" outlineLevel="0" collapsed="false">
      <c r="B9" s="164" t="s">
        <v>5596</v>
      </c>
      <c r="C9" s="164" t="s">
        <v>1226</v>
      </c>
      <c r="D9" s="164" t="s">
        <v>5597</v>
      </c>
      <c r="E9" s="164" t="s">
        <v>5598</v>
      </c>
      <c r="F9" s="164" t="s">
        <v>590</v>
      </c>
      <c r="G9" s="164" t="s">
        <v>5599</v>
      </c>
      <c r="H9" s="164" t="s">
        <v>5600</v>
      </c>
    </row>
    <row r="10" customFormat="false" ht="24" hidden="false" customHeight="true" outlineLevel="0" collapsed="false">
      <c r="B10" s="78" t="s">
        <v>5603</v>
      </c>
      <c r="C10" s="167" t="n">
        <v>44000</v>
      </c>
      <c r="D10" s="168" t="s">
        <v>5604</v>
      </c>
      <c r="E10" s="166" t="s">
        <v>5605</v>
      </c>
      <c r="F10" s="168" t="s">
        <v>640</v>
      </c>
      <c r="G10" s="169" t="s">
        <v>5606</v>
      </c>
      <c r="H10" s="166" t="s">
        <v>5607</v>
      </c>
    </row>
    <row r="11" customFormat="false" ht="24" hidden="false" customHeight="true" outlineLevel="0" collapsed="false">
      <c r="B11" s="78" t="s">
        <v>5608</v>
      </c>
      <c r="C11" s="167" t="n">
        <v>48000</v>
      </c>
      <c r="D11" s="168" t="s">
        <v>5609</v>
      </c>
      <c r="E11" s="166" t="s">
        <v>5610</v>
      </c>
      <c r="F11" s="168" t="s">
        <v>640</v>
      </c>
      <c r="G11" s="169" t="s">
        <v>5611</v>
      </c>
      <c r="H11" s="166" t="s">
        <v>5612</v>
      </c>
    </row>
    <row r="12" customFormat="false" ht="24" hidden="false" customHeight="true" outlineLevel="0" collapsed="false">
      <c r="B12" s="78" t="s">
        <v>5613</v>
      </c>
      <c r="C12" s="167" t="n">
        <v>53000</v>
      </c>
      <c r="D12" s="168" t="s">
        <v>5609</v>
      </c>
      <c r="E12" s="166" t="s">
        <v>5605</v>
      </c>
      <c r="F12" s="168" t="s">
        <v>640</v>
      </c>
      <c r="G12" s="169" t="s">
        <v>5606</v>
      </c>
      <c r="H12" s="166" t="s">
        <v>5614</v>
      </c>
    </row>
    <row r="13" customFormat="false" ht="24" hidden="false" customHeight="true" outlineLevel="0" collapsed="false">
      <c r="B13" s="78" t="s">
        <v>5615</v>
      </c>
      <c r="C13" s="167" t="n">
        <v>35000</v>
      </c>
      <c r="D13" s="168" t="s">
        <v>5609</v>
      </c>
      <c r="E13" s="166" t="s">
        <v>5605</v>
      </c>
      <c r="F13" s="168" t="s">
        <v>640</v>
      </c>
      <c r="G13" s="169" t="s">
        <v>5606</v>
      </c>
      <c r="H13" s="166" t="s">
        <v>5616</v>
      </c>
    </row>
    <row r="14" customFormat="false" ht="24" hidden="false" customHeight="true" outlineLevel="0" collapsed="false">
      <c r="B14" s="78" t="s">
        <v>5617</v>
      </c>
      <c r="C14" s="170" t="n">
        <v>0.2</v>
      </c>
      <c r="D14" s="168" t="s">
        <v>5609</v>
      </c>
      <c r="E14" s="166" t="s">
        <v>5605</v>
      </c>
      <c r="F14" s="168" t="s">
        <v>121</v>
      </c>
      <c r="G14" s="169" t="s">
        <v>5606</v>
      </c>
      <c r="H14" s="166" t="s">
        <v>5618</v>
      </c>
    </row>
    <row r="15" customFormat="false" ht="24" hidden="false" customHeight="true" outlineLevel="0" collapsed="false">
      <c r="B15" s="78" t="s">
        <v>5619</v>
      </c>
      <c r="C15" s="170" t="n">
        <v>0.4</v>
      </c>
      <c r="D15" s="168" t="s">
        <v>5620</v>
      </c>
      <c r="E15" s="166" t="s">
        <v>5605</v>
      </c>
      <c r="F15" s="168" t="s">
        <v>121</v>
      </c>
      <c r="G15" s="169" t="s">
        <v>5606</v>
      </c>
      <c r="H15" s="166" t="s">
        <v>5618</v>
      </c>
    </row>
    <row r="16" customFormat="false" ht="24" hidden="false" customHeight="true" outlineLevel="0" collapsed="false">
      <c r="B16" s="78" t="s">
        <v>5621</v>
      </c>
      <c r="C16" s="167" t="n">
        <v>2000</v>
      </c>
      <c r="D16" s="168" t="s">
        <v>5609</v>
      </c>
      <c r="E16" s="166" t="s">
        <v>5605</v>
      </c>
      <c r="F16" s="168" t="s">
        <v>121</v>
      </c>
      <c r="G16" s="169" t="s">
        <v>5606</v>
      </c>
      <c r="H16" s="166" t="s">
        <v>5622</v>
      </c>
    </row>
    <row r="17" customFormat="false" ht="24" hidden="false" customHeight="true" outlineLevel="0" collapsed="false">
      <c r="B17" s="78" t="s">
        <v>5623</v>
      </c>
      <c r="C17" s="167" t="n">
        <v>4000</v>
      </c>
      <c r="D17" s="168" t="s">
        <v>5609</v>
      </c>
      <c r="E17" s="166" t="s">
        <v>5605</v>
      </c>
      <c r="F17" s="168" t="s">
        <v>121</v>
      </c>
      <c r="G17" s="169" t="s">
        <v>5606</v>
      </c>
      <c r="H17" s="166" t="s">
        <v>5622</v>
      </c>
    </row>
    <row r="18" customFormat="false" ht="24" hidden="false" customHeight="true" outlineLevel="0" collapsed="false">
      <c r="B18" s="78" t="s">
        <v>5624</v>
      </c>
      <c r="C18" s="167" t="n">
        <v>2000</v>
      </c>
      <c r="D18" s="168" t="s">
        <v>5609</v>
      </c>
      <c r="E18" s="166" t="s">
        <v>626</v>
      </c>
      <c r="F18" s="168" t="s">
        <v>121</v>
      </c>
      <c r="G18" s="169" t="s">
        <v>5606</v>
      </c>
      <c r="H18" s="166" t="s">
        <v>5625</v>
      </c>
    </row>
    <row r="19" customFormat="false" ht="24" hidden="false" customHeight="true" outlineLevel="0" collapsed="false">
      <c r="B19" s="78" t="s">
        <v>5626</v>
      </c>
      <c r="C19" s="170" t="n">
        <v>0.2</v>
      </c>
      <c r="D19" s="168" t="s">
        <v>5609</v>
      </c>
      <c r="E19" s="166" t="s">
        <v>5406</v>
      </c>
      <c r="F19" s="168" t="s">
        <v>121</v>
      </c>
      <c r="G19" s="169" t="s">
        <v>5606</v>
      </c>
      <c r="H19" s="166" t="s">
        <v>5625</v>
      </c>
    </row>
    <row r="20" customFormat="false" ht="24" hidden="false" customHeight="true" outlineLevel="0" collapsed="false">
      <c r="B20" s="78" t="s">
        <v>5627</v>
      </c>
      <c r="C20" s="167" t="n">
        <v>1900</v>
      </c>
      <c r="D20" s="168" t="s">
        <v>5609</v>
      </c>
      <c r="E20" s="166" t="s">
        <v>5610</v>
      </c>
      <c r="F20" s="168" t="s">
        <v>640</v>
      </c>
      <c r="G20" s="169" t="s">
        <v>5611</v>
      </c>
      <c r="H20" s="166" t="s">
        <v>5612</v>
      </c>
    </row>
    <row r="21" customFormat="false" ht="24" hidden="false" customHeight="true" outlineLevel="0" collapsed="false">
      <c r="B21" s="78" t="s">
        <v>5628</v>
      </c>
      <c r="C21" s="167" t="n">
        <v>1000</v>
      </c>
      <c r="D21" s="168" t="s">
        <v>5609</v>
      </c>
      <c r="E21" s="166" t="s">
        <v>5610</v>
      </c>
      <c r="F21" s="168" t="s">
        <v>5629</v>
      </c>
      <c r="G21" s="169" t="s">
        <v>5611</v>
      </c>
      <c r="H21" s="166" t="s">
        <v>5630</v>
      </c>
    </row>
    <row r="22" customFormat="false" ht="24" hidden="false" customHeight="true" outlineLevel="0" collapsed="false">
      <c r="B22" s="78" t="s">
        <v>5631</v>
      </c>
      <c r="C22" s="167" t="n">
        <v>2000</v>
      </c>
      <c r="D22" s="168" t="s">
        <v>5609</v>
      </c>
      <c r="E22" s="166" t="s">
        <v>5610</v>
      </c>
      <c r="F22" s="168" t="s">
        <v>5629</v>
      </c>
      <c r="G22" s="169" t="s">
        <v>5611</v>
      </c>
      <c r="H22" s="166" t="s">
        <v>5630</v>
      </c>
    </row>
    <row r="23" customFormat="false" ht="24" hidden="false" customHeight="true" outlineLevel="0" collapsed="false">
      <c r="B23" s="78" t="s">
        <v>5632</v>
      </c>
      <c r="C23" s="167" t="n">
        <v>1950</v>
      </c>
      <c r="D23" s="168" t="s">
        <v>5609</v>
      </c>
      <c r="E23" s="166" t="s">
        <v>5610</v>
      </c>
      <c r="F23" s="168" t="s">
        <v>121</v>
      </c>
      <c r="G23" s="169" t="s">
        <v>5633</v>
      </c>
      <c r="H23" s="166" t="s">
        <v>5634</v>
      </c>
    </row>
    <row r="24" customFormat="false" ht="15" hidden="false" customHeight="true" outlineLevel="0" collapsed="false">
      <c r="B24" s="74" t="s">
        <v>5635</v>
      </c>
      <c r="C24" s="77"/>
      <c r="D24" s="77"/>
      <c r="E24" s="77"/>
      <c r="F24" s="77"/>
      <c r="G24" s="77"/>
      <c r="H24" s="77"/>
    </row>
    <row r="25" customFormat="false" ht="15" hidden="false" customHeight="true" outlineLevel="0" collapsed="false">
      <c r="B25" s="164" t="s">
        <v>5596</v>
      </c>
      <c r="C25" s="164" t="s">
        <v>1226</v>
      </c>
      <c r="D25" s="164" t="s">
        <v>5597</v>
      </c>
      <c r="E25" s="164" t="s">
        <v>5598</v>
      </c>
      <c r="F25" s="164" t="s">
        <v>590</v>
      </c>
      <c r="G25" s="164" t="s">
        <v>5599</v>
      </c>
      <c r="H25" s="164" t="s">
        <v>5600</v>
      </c>
    </row>
    <row r="26" customFormat="false" ht="24" hidden="false" customHeight="true" outlineLevel="0" collapsed="false">
      <c r="B26" s="78" t="s">
        <v>5636</v>
      </c>
      <c r="C26" s="167" t="n">
        <v>13000</v>
      </c>
      <c r="D26" s="168" t="s">
        <v>5609</v>
      </c>
      <c r="E26" s="166" t="s">
        <v>5605</v>
      </c>
      <c r="F26" s="168" t="s">
        <v>121</v>
      </c>
      <c r="G26" s="169" t="s">
        <v>5606</v>
      </c>
      <c r="H26" s="166" t="s">
        <v>5637</v>
      </c>
    </row>
    <row r="27" customFormat="false" ht="24" hidden="false" customHeight="true" outlineLevel="0" collapsed="false">
      <c r="B27" s="78" t="s">
        <v>5638</v>
      </c>
      <c r="C27" s="167" t="n">
        <v>12012</v>
      </c>
      <c r="D27" s="168" t="s">
        <v>5609</v>
      </c>
      <c r="E27" s="166" t="s">
        <v>5605</v>
      </c>
      <c r="F27" s="168" t="s">
        <v>640</v>
      </c>
      <c r="G27" s="169" t="s">
        <v>5606</v>
      </c>
      <c r="H27" s="166" t="s">
        <v>5639</v>
      </c>
    </row>
    <row r="28" customFormat="false" ht="24" hidden="false" customHeight="true" outlineLevel="0" collapsed="false">
      <c r="B28" s="78" t="s">
        <v>5640</v>
      </c>
      <c r="C28" s="167" t="n">
        <v>28700</v>
      </c>
      <c r="D28" s="168" t="s">
        <v>5609</v>
      </c>
      <c r="E28" s="166" t="s">
        <v>5605</v>
      </c>
      <c r="F28" s="168" t="s">
        <v>640</v>
      </c>
      <c r="G28" s="169" t="s">
        <v>5606</v>
      </c>
      <c r="H28" s="166" t="s">
        <v>5639</v>
      </c>
    </row>
    <row r="29" customFormat="false" ht="24" hidden="false" customHeight="true" outlineLevel="0" collapsed="false">
      <c r="B29" s="78" t="s">
        <v>5641</v>
      </c>
      <c r="C29" s="167" t="n">
        <v>70044</v>
      </c>
      <c r="D29" s="168" t="s">
        <v>5609</v>
      </c>
      <c r="E29" s="166" t="s">
        <v>5605</v>
      </c>
      <c r="F29" s="168" t="s">
        <v>640</v>
      </c>
      <c r="G29" s="169" t="s">
        <v>5606</v>
      </c>
      <c r="H29" s="166" t="s">
        <v>5639</v>
      </c>
    </row>
    <row r="30" customFormat="false" ht="24" hidden="false" customHeight="true" outlineLevel="0" collapsed="false">
      <c r="B30" s="78" t="s">
        <v>5642</v>
      </c>
      <c r="C30" s="171" t="n">
        <v>0.005</v>
      </c>
      <c r="D30" s="168" t="s">
        <v>5609</v>
      </c>
      <c r="E30" s="166" t="s">
        <v>5605</v>
      </c>
      <c r="F30" s="168" t="s">
        <v>121</v>
      </c>
      <c r="G30" s="169" t="s">
        <v>5606</v>
      </c>
      <c r="H30" s="166" t="s">
        <v>5639</v>
      </c>
    </row>
    <row r="31" customFormat="false" ht="24" hidden="false" customHeight="true" outlineLevel="0" collapsed="false">
      <c r="B31" s="78" t="s">
        <v>5643</v>
      </c>
      <c r="C31" s="171" t="n">
        <v>0.02</v>
      </c>
      <c r="D31" s="168" t="s">
        <v>5609</v>
      </c>
      <c r="E31" s="166" t="s">
        <v>5605</v>
      </c>
      <c r="F31" s="168" t="s">
        <v>121</v>
      </c>
      <c r="G31" s="169" t="s">
        <v>5606</v>
      </c>
      <c r="H31" s="166" t="s">
        <v>5639</v>
      </c>
    </row>
    <row r="32" customFormat="false" ht="24" hidden="false" customHeight="true" outlineLevel="0" collapsed="false">
      <c r="B32" s="78" t="s">
        <v>5644</v>
      </c>
      <c r="C32" s="171" t="n">
        <v>0.03</v>
      </c>
      <c r="D32" s="168" t="s">
        <v>5609</v>
      </c>
      <c r="E32" s="166" t="s">
        <v>5605</v>
      </c>
      <c r="F32" s="168" t="s">
        <v>121</v>
      </c>
      <c r="G32" s="169" t="s">
        <v>5606</v>
      </c>
      <c r="H32" s="166" t="s">
        <v>5639</v>
      </c>
    </row>
    <row r="33" customFormat="false" ht="24" hidden="false" customHeight="true" outlineLevel="0" collapsed="false">
      <c r="B33" s="78" t="s">
        <v>5645</v>
      </c>
      <c r="C33" s="171" t="n">
        <v>0.08</v>
      </c>
      <c r="D33" s="168" t="s">
        <v>5609</v>
      </c>
      <c r="E33" s="166" t="s">
        <v>5605</v>
      </c>
      <c r="F33" s="168" t="s">
        <v>121</v>
      </c>
      <c r="G33" s="169" t="s">
        <v>5606</v>
      </c>
      <c r="H33" s="166" t="s">
        <v>5639</v>
      </c>
    </row>
    <row r="34" customFormat="false" ht="39.75" hidden="false" customHeight="true" outlineLevel="0" collapsed="false">
      <c r="B34" s="165" t="s">
        <v>5646</v>
      </c>
      <c r="C34" s="165"/>
      <c r="D34" s="165"/>
      <c r="E34" s="166" t="s">
        <v>5605</v>
      </c>
    </row>
    <row r="35" customFormat="false" ht="15" hidden="false" customHeight="true" outlineLevel="0" collapsed="false">
      <c r="B35" s="74" t="s">
        <v>5647</v>
      </c>
      <c r="C35" s="77"/>
      <c r="D35" s="77"/>
      <c r="E35" s="77"/>
      <c r="F35" s="77"/>
      <c r="G35" s="77"/>
      <c r="H35" s="77"/>
    </row>
    <row r="36" customFormat="false" ht="15" hidden="false" customHeight="true" outlineLevel="0" collapsed="false">
      <c r="B36" s="164" t="s">
        <v>5596</v>
      </c>
      <c r="C36" s="164" t="s">
        <v>1226</v>
      </c>
      <c r="D36" s="164" t="s">
        <v>5597</v>
      </c>
      <c r="E36" s="164" t="s">
        <v>5598</v>
      </c>
      <c r="F36" s="164" t="s">
        <v>590</v>
      </c>
      <c r="G36" s="164" t="s">
        <v>5599</v>
      </c>
      <c r="H36" s="164" t="s">
        <v>5600</v>
      </c>
    </row>
    <row r="37" customFormat="false" ht="24" hidden="false" customHeight="true" outlineLevel="0" collapsed="false">
      <c r="B37" s="78" t="s">
        <v>5648</v>
      </c>
      <c r="C37" s="172" t="n">
        <v>0.0435</v>
      </c>
      <c r="D37" s="168" t="s">
        <v>5609</v>
      </c>
      <c r="E37" s="166" t="s">
        <v>5649</v>
      </c>
      <c r="F37" s="168" t="s">
        <v>876</v>
      </c>
      <c r="G37" s="169" t="s">
        <v>5606</v>
      </c>
      <c r="H37" s="166" t="s">
        <v>5650</v>
      </c>
    </row>
    <row r="38" customFormat="false" ht="24" hidden="false" customHeight="true" outlineLevel="0" collapsed="false">
      <c r="B38" s="78" t="s">
        <v>5651</v>
      </c>
      <c r="C38" s="173" t="n">
        <v>0.042375</v>
      </c>
      <c r="D38" s="168" t="s">
        <v>5652</v>
      </c>
      <c r="E38" s="166" t="s">
        <v>5649</v>
      </c>
      <c r="F38" s="168" t="s">
        <v>121</v>
      </c>
      <c r="G38" s="169" t="s">
        <v>5606</v>
      </c>
      <c r="H38" s="166" t="s">
        <v>5653</v>
      </c>
    </row>
    <row r="39" customFormat="false" ht="24" hidden="false" customHeight="true" outlineLevel="0" collapsed="false">
      <c r="B39" s="78" t="s">
        <v>5654</v>
      </c>
      <c r="C39" s="167" t="n">
        <v>352</v>
      </c>
      <c r="D39" s="168" t="s">
        <v>5609</v>
      </c>
      <c r="E39" s="166" t="s">
        <v>5655</v>
      </c>
      <c r="F39" s="168" t="s">
        <v>121</v>
      </c>
      <c r="G39" s="169" t="s">
        <v>5606</v>
      </c>
      <c r="H39" s="166" t="s">
        <v>5656</v>
      </c>
    </row>
    <row r="40" customFormat="false" ht="24" hidden="false" customHeight="true" outlineLevel="0" collapsed="false">
      <c r="B40" s="78" t="s">
        <v>5657</v>
      </c>
      <c r="C40" s="167" t="n">
        <v>12</v>
      </c>
      <c r="D40" s="168" t="s">
        <v>5609</v>
      </c>
      <c r="E40" s="166" t="s">
        <v>5406</v>
      </c>
      <c r="F40" s="168" t="s">
        <v>121</v>
      </c>
      <c r="G40" s="169" t="s">
        <v>5606</v>
      </c>
      <c r="H40" s="166" t="s">
        <v>5656</v>
      </c>
    </row>
    <row r="41" customFormat="false" ht="24" hidden="false" customHeight="true" outlineLevel="0" collapsed="false">
      <c r="B41" s="78" t="s">
        <v>5658</v>
      </c>
      <c r="C41" s="167" t="n">
        <v>424</v>
      </c>
      <c r="D41" s="168" t="s">
        <v>5609</v>
      </c>
      <c r="E41" s="166" t="s">
        <v>5406</v>
      </c>
      <c r="F41" s="168" t="s">
        <v>121</v>
      </c>
      <c r="G41" s="169" t="s">
        <v>5606</v>
      </c>
      <c r="H41" s="166" t="s">
        <v>5656</v>
      </c>
    </row>
    <row r="42" customFormat="false" ht="24" hidden="false" customHeight="true" outlineLevel="0" collapsed="false">
      <c r="B42" s="78" t="s">
        <v>5659</v>
      </c>
      <c r="C42" s="174" t="n">
        <v>6</v>
      </c>
      <c r="D42" s="168" t="s">
        <v>5609</v>
      </c>
      <c r="E42" s="166" t="s">
        <v>5406</v>
      </c>
      <c r="F42" s="168" t="s">
        <v>121</v>
      </c>
      <c r="G42" s="169" t="s">
        <v>5606</v>
      </c>
      <c r="H42" s="166" t="s">
        <v>5656</v>
      </c>
    </row>
    <row r="43" customFormat="false" ht="39.75" hidden="false" customHeight="true" outlineLevel="0" collapsed="false">
      <c r="B43" s="165" t="s">
        <v>5660</v>
      </c>
      <c r="C43" s="165"/>
      <c r="D43" s="165"/>
      <c r="E43" s="166" t="s">
        <v>5661</v>
      </c>
    </row>
    <row r="44" customFormat="false" ht="15" hidden="false" customHeight="true" outlineLevel="0" collapsed="false">
      <c r="B44" s="74" t="s">
        <v>5662</v>
      </c>
      <c r="C44" s="77"/>
      <c r="D44" s="77"/>
      <c r="E44" s="77"/>
      <c r="F44" s="77"/>
      <c r="G44" s="77"/>
      <c r="H44" s="77"/>
    </row>
    <row r="45" customFormat="false" ht="15" hidden="false" customHeight="true" outlineLevel="0" collapsed="false">
      <c r="B45" s="164" t="s">
        <v>5596</v>
      </c>
      <c r="C45" s="164" t="s">
        <v>1226</v>
      </c>
      <c r="D45" s="164" t="s">
        <v>5597</v>
      </c>
      <c r="E45" s="164" t="s">
        <v>5598</v>
      </c>
      <c r="F45" s="164" t="s">
        <v>590</v>
      </c>
      <c r="G45" s="164" t="s">
        <v>5599</v>
      </c>
      <c r="H45" s="164" t="s">
        <v>5600</v>
      </c>
    </row>
    <row r="46" customFormat="false" ht="15" hidden="false" customHeight="true" outlineLevel="0" collapsed="false">
      <c r="B46" s="78" t="s">
        <v>5663</v>
      </c>
      <c r="C46" s="175" t="n">
        <v>0</v>
      </c>
      <c r="D46" s="170" t="n">
        <v>0.15</v>
      </c>
      <c r="E46" s="176" t="s">
        <v>5664</v>
      </c>
      <c r="F46" s="177" t="s">
        <v>712</v>
      </c>
      <c r="G46" s="178" t="s">
        <v>5611</v>
      </c>
      <c r="H46" s="176" t="s">
        <v>5665</v>
      </c>
    </row>
    <row r="47" customFormat="false" ht="15" hidden="false" customHeight="true" outlineLevel="0" collapsed="false">
      <c r="B47" s="78" t="s">
        <v>5666</v>
      </c>
      <c r="C47" s="175" t="n">
        <v>30</v>
      </c>
      <c r="D47" s="170" t="n">
        <v>0.2</v>
      </c>
      <c r="E47" s="176" t="s">
        <v>5664</v>
      </c>
      <c r="F47" s="177" t="s">
        <v>712</v>
      </c>
      <c r="G47" s="178" t="s">
        <v>5611</v>
      </c>
      <c r="H47" s="176" t="s">
        <v>5665</v>
      </c>
    </row>
    <row r="48" customFormat="false" ht="15" hidden="false" customHeight="true" outlineLevel="0" collapsed="false">
      <c r="B48" s="78" t="s">
        <v>5667</v>
      </c>
      <c r="C48" s="175" t="n">
        <v>40</v>
      </c>
      <c r="D48" s="170" t="n">
        <v>0.25</v>
      </c>
      <c r="E48" s="176" t="s">
        <v>5664</v>
      </c>
      <c r="F48" s="177" t="s">
        <v>712</v>
      </c>
      <c r="G48" s="178" t="s">
        <v>5611</v>
      </c>
      <c r="H48" s="176" t="s">
        <v>5665</v>
      </c>
    </row>
    <row r="49" customFormat="false" ht="15" hidden="false" customHeight="true" outlineLevel="0" collapsed="false">
      <c r="B49" s="78" t="s">
        <v>5668</v>
      </c>
      <c r="C49" s="175" t="n">
        <v>50</v>
      </c>
      <c r="D49" s="170" t="n">
        <v>0.3</v>
      </c>
      <c r="E49" s="176" t="s">
        <v>5664</v>
      </c>
      <c r="F49" s="177" t="s">
        <v>712</v>
      </c>
      <c r="G49" s="178" t="s">
        <v>5611</v>
      </c>
      <c r="H49" s="176" t="s">
        <v>5665</v>
      </c>
    </row>
    <row r="50" customFormat="false" ht="15" hidden="false" customHeight="true" outlineLevel="0" collapsed="false">
      <c r="B50" s="78" t="s">
        <v>5669</v>
      </c>
      <c r="C50" s="175" t="n">
        <v>55</v>
      </c>
      <c r="D50" s="170" t="n">
        <v>0.35</v>
      </c>
      <c r="E50" s="176" t="s">
        <v>5664</v>
      </c>
      <c r="F50" s="177" t="s">
        <v>712</v>
      </c>
      <c r="G50" s="178" t="s">
        <v>5611</v>
      </c>
      <c r="H50" s="176" t="s">
        <v>5665</v>
      </c>
    </row>
    <row r="51" customFormat="false" ht="15" hidden="false" customHeight="true" outlineLevel="0" collapsed="false">
      <c r="B51" s="78" t="s">
        <v>5670</v>
      </c>
      <c r="C51" s="175" t="n">
        <v>60</v>
      </c>
      <c r="D51" s="170" t="n">
        <v>0.4</v>
      </c>
      <c r="E51" s="176" t="s">
        <v>5664</v>
      </c>
      <c r="F51" s="177" t="s">
        <v>712</v>
      </c>
      <c r="G51" s="178" t="s">
        <v>5611</v>
      </c>
      <c r="H51" s="176" t="s">
        <v>5665</v>
      </c>
    </row>
    <row r="52" customFormat="false" ht="24" hidden="false" customHeight="true" outlineLevel="0" collapsed="false">
      <c r="B52" s="78" t="s">
        <v>5671</v>
      </c>
      <c r="C52" s="167" t="n">
        <v>115000</v>
      </c>
      <c r="D52" s="168" t="s">
        <v>5672</v>
      </c>
      <c r="E52" s="166" t="s">
        <v>5664</v>
      </c>
      <c r="F52" s="168" t="s">
        <v>712</v>
      </c>
      <c r="G52" s="169" t="s">
        <v>5611</v>
      </c>
      <c r="H52" s="166" t="s">
        <v>5673</v>
      </c>
    </row>
    <row r="53" customFormat="false" ht="24" hidden="false" customHeight="true" outlineLevel="0" collapsed="false">
      <c r="B53" s="78" t="s">
        <v>5674</v>
      </c>
      <c r="C53" s="170" t="n">
        <v>0.25</v>
      </c>
      <c r="D53" s="168" t="s">
        <v>305</v>
      </c>
      <c r="E53" s="166" t="s">
        <v>5675</v>
      </c>
      <c r="F53" s="168" t="s">
        <v>718</v>
      </c>
      <c r="G53" s="169" t="s">
        <v>5611</v>
      </c>
      <c r="H53" s="166" t="s">
        <v>5676</v>
      </c>
    </row>
    <row r="54" customFormat="false" ht="24" hidden="false" customHeight="true" outlineLevel="0" collapsed="false">
      <c r="B54" s="78" t="s">
        <v>5677</v>
      </c>
      <c r="C54" s="167" t="n">
        <v>200000</v>
      </c>
      <c r="D54" s="168" t="s">
        <v>305</v>
      </c>
      <c r="E54" s="166" t="s">
        <v>5675</v>
      </c>
      <c r="F54" s="168" t="s">
        <v>718</v>
      </c>
      <c r="G54" s="169" t="s">
        <v>5611</v>
      </c>
      <c r="H54" s="166" t="s">
        <v>5676</v>
      </c>
    </row>
    <row r="55" customFormat="false" ht="24" hidden="false" customHeight="true" outlineLevel="0" collapsed="false">
      <c r="B55" s="78" t="s">
        <v>5678</v>
      </c>
      <c r="C55" s="167" t="n">
        <v>500000</v>
      </c>
      <c r="D55" s="168" t="s">
        <v>305</v>
      </c>
      <c r="E55" s="166" t="s">
        <v>5675</v>
      </c>
      <c r="F55" s="168" t="s">
        <v>718</v>
      </c>
      <c r="G55" s="169" t="s">
        <v>5611</v>
      </c>
      <c r="H55" s="166" t="s">
        <v>5676</v>
      </c>
    </row>
    <row r="56" customFormat="false" ht="24" hidden="false" customHeight="true" outlineLevel="0" collapsed="false">
      <c r="B56" s="78" t="s">
        <v>5679</v>
      </c>
      <c r="C56" s="170" t="n">
        <v>0.2</v>
      </c>
      <c r="D56" s="168" t="s">
        <v>305</v>
      </c>
      <c r="E56" s="166" t="s">
        <v>5675</v>
      </c>
      <c r="F56" s="168" t="s">
        <v>718</v>
      </c>
      <c r="G56" s="169" t="s">
        <v>5611</v>
      </c>
      <c r="H56" s="166" t="s">
        <v>5676</v>
      </c>
    </row>
    <row r="57" customFormat="false" ht="24" hidden="false" customHeight="true" outlineLevel="0" collapsed="false">
      <c r="B57" s="78" t="s">
        <v>5680</v>
      </c>
      <c r="C57" s="167" t="n">
        <v>2200000</v>
      </c>
      <c r="D57" s="168" t="s">
        <v>5681</v>
      </c>
      <c r="E57" s="166" t="s">
        <v>5675</v>
      </c>
      <c r="F57" s="168" t="s">
        <v>640</v>
      </c>
      <c r="G57" s="169" t="s">
        <v>5611</v>
      </c>
      <c r="H57" s="166" t="s">
        <v>5682</v>
      </c>
    </row>
    <row r="58" customFormat="false" ht="24" hidden="false" customHeight="true" outlineLevel="0" collapsed="false">
      <c r="B58" s="78" t="s">
        <v>5683</v>
      </c>
      <c r="C58" s="170" t="n">
        <v>0.4</v>
      </c>
      <c r="D58" s="168" t="s">
        <v>5681</v>
      </c>
      <c r="E58" s="166" t="s">
        <v>5675</v>
      </c>
      <c r="F58" s="168" t="s">
        <v>659</v>
      </c>
      <c r="G58" s="169" t="s">
        <v>5611</v>
      </c>
      <c r="H58" s="166" t="s">
        <v>5682</v>
      </c>
    </row>
    <row r="59" customFormat="false" ht="24" hidden="false" customHeight="true" outlineLevel="0" collapsed="false">
      <c r="B59" s="78" t="s">
        <v>5684</v>
      </c>
      <c r="C59" s="174" t="n">
        <v>60</v>
      </c>
      <c r="D59" s="168" t="s">
        <v>5681</v>
      </c>
      <c r="E59" s="166" t="s">
        <v>5685</v>
      </c>
      <c r="F59" s="168" t="s">
        <v>659</v>
      </c>
      <c r="G59" s="169" t="s">
        <v>5686</v>
      </c>
      <c r="H59" s="166" t="s">
        <v>5687</v>
      </c>
    </row>
    <row r="60" customFormat="false" ht="39.75" hidden="false" customHeight="true" outlineLevel="0" collapsed="false">
      <c r="B60" s="165" t="s">
        <v>5688</v>
      </c>
      <c r="C60" s="165"/>
      <c r="D60" s="165"/>
      <c r="E60" s="166" t="s">
        <v>5689</v>
      </c>
    </row>
    <row r="61" customFormat="false" ht="15" hidden="false" customHeight="true" outlineLevel="0" collapsed="false">
      <c r="B61" s="74" t="s">
        <v>5690</v>
      </c>
      <c r="C61" s="77"/>
      <c r="D61" s="77"/>
      <c r="E61" s="77"/>
      <c r="F61" s="77"/>
      <c r="G61" s="77"/>
      <c r="H61" s="77"/>
    </row>
    <row r="62" customFormat="false" ht="15" hidden="false" customHeight="true" outlineLevel="0" collapsed="false">
      <c r="B62" s="164" t="s">
        <v>5596</v>
      </c>
      <c r="C62" s="164" t="s">
        <v>1226</v>
      </c>
      <c r="D62" s="164" t="s">
        <v>5597</v>
      </c>
      <c r="E62" s="164" t="s">
        <v>5598</v>
      </c>
      <c r="F62" s="164" t="s">
        <v>590</v>
      </c>
      <c r="G62" s="164" t="s">
        <v>5599</v>
      </c>
      <c r="H62" s="164" t="s">
        <v>5600</v>
      </c>
    </row>
    <row r="63" customFormat="false" ht="24" hidden="false" customHeight="true" outlineLevel="0" collapsed="false">
      <c r="B63" s="78" t="s">
        <v>5691</v>
      </c>
      <c r="C63" s="179" t="n">
        <v>299.3</v>
      </c>
      <c r="D63" s="168" t="s">
        <v>5692</v>
      </c>
      <c r="E63" s="166" t="s">
        <v>5693</v>
      </c>
      <c r="F63" s="168" t="s">
        <v>640</v>
      </c>
      <c r="G63" s="169" t="s">
        <v>5606</v>
      </c>
      <c r="H63" s="166" t="s">
        <v>5694</v>
      </c>
    </row>
    <row r="64" customFormat="false" ht="24" hidden="false" customHeight="true" outlineLevel="0" collapsed="false">
      <c r="B64" s="78" t="s">
        <v>5695</v>
      </c>
      <c r="C64" s="179" t="n">
        <f aca="false">State_Pension_Week*Weeks_Per_Year</f>
        <v>15563.6</v>
      </c>
      <c r="D64" s="168" t="s">
        <v>5696</v>
      </c>
      <c r="E64" s="166" t="s">
        <v>5693</v>
      </c>
      <c r="F64" s="168" t="s">
        <v>640</v>
      </c>
      <c r="G64" s="169" t="s">
        <v>5606</v>
      </c>
      <c r="H64" s="166" t="s">
        <v>5694</v>
      </c>
    </row>
    <row r="65" customFormat="false" ht="24" hidden="false" customHeight="true" outlineLevel="0" collapsed="false">
      <c r="B65" s="78" t="s">
        <v>5697</v>
      </c>
      <c r="C65" s="174" t="n">
        <v>66</v>
      </c>
      <c r="D65" s="168" t="s">
        <v>5698</v>
      </c>
      <c r="E65" s="166" t="s">
        <v>774</v>
      </c>
      <c r="F65" s="168" t="s">
        <v>659</v>
      </c>
      <c r="G65" s="169" t="s">
        <v>5606</v>
      </c>
      <c r="H65" s="166" t="s">
        <v>5699</v>
      </c>
    </row>
    <row r="66" customFormat="false" ht="24" hidden="false" customHeight="true" outlineLevel="0" collapsed="false">
      <c r="B66" s="78" t="s">
        <v>5700</v>
      </c>
      <c r="C66" s="179" t="n">
        <v>259.5</v>
      </c>
      <c r="D66" s="168" t="s">
        <v>314</v>
      </c>
      <c r="E66" s="166" t="s">
        <v>5701</v>
      </c>
      <c r="F66" s="168" t="s">
        <v>640</v>
      </c>
      <c r="G66" s="169" t="s">
        <v>5611</v>
      </c>
      <c r="H66" s="166" t="s">
        <v>5702</v>
      </c>
    </row>
    <row r="67" customFormat="false" ht="24" hidden="false" customHeight="true" outlineLevel="0" collapsed="false">
      <c r="B67" s="78" t="s">
        <v>5703</v>
      </c>
      <c r="C67" s="179" t="n">
        <v>299.3</v>
      </c>
      <c r="D67" s="168" t="s">
        <v>5704</v>
      </c>
      <c r="E67" s="166" t="s">
        <v>5406</v>
      </c>
      <c r="F67" s="168" t="s">
        <v>640</v>
      </c>
      <c r="G67" s="169" t="s">
        <v>5611</v>
      </c>
      <c r="H67" s="166" t="s">
        <v>5702</v>
      </c>
    </row>
    <row r="68" customFormat="false" ht="24" hidden="false" customHeight="true" outlineLevel="0" collapsed="false">
      <c r="B68" s="78" t="s">
        <v>5705</v>
      </c>
      <c r="C68" s="179" t="n">
        <v>254</v>
      </c>
      <c r="D68" s="168" t="s">
        <v>315</v>
      </c>
      <c r="E68" s="166" t="s">
        <v>783</v>
      </c>
      <c r="F68" s="168" t="s">
        <v>640</v>
      </c>
      <c r="G68" s="169" t="s">
        <v>5611</v>
      </c>
      <c r="H68" s="166" t="s">
        <v>5706</v>
      </c>
    </row>
    <row r="69" customFormat="false" ht="24" hidden="false" customHeight="true" outlineLevel="0" collapsed="false">
      <c r="B69" s="78" t="s">
        <v>5707</v>
      </c>
      <c r="C69" s="170" t="n">
        <v>0.75</v>
      </c>
      <c r="D69" s="168" t="s">
        <v>315</v>
      </c>
      <c r="E69" s="166" t="s">
        <v>5708</v>
      </c>
      <c r="F69" s="168" t="s">
        <v>5709</v>
      </c>
      <c r="G69" s="169" t="s">
        <v>5710</v>
      </c>
      <c r="H69" s="166" t="s">
        <v>5711</v>
      </c>
    </row>
    <row r="70" customFormat="false" ht="24" hidden="false" customHeight="true" outlineLevel="0" collapsed="false">
      <c r="B70" s="78" t="s">
        <v>5712</v>
      </c>
      <c r="C70" s="174" t="n">
        <v>52</v>
      </c>
      <c r="D70" s="168" t="s">
        <v>5713</v>
      </c>
      <c r="E70" s="166" t="s">
        <v>803</v>
      </c>
      <c r="F70" s="168" t="s">
        <v>284</v>
      </c>
      <c r="G70" s="166" t="s">
        <v>452</v>
      </c>
      <c r="H70" s="166" t="s">
        <v>284</v>
      </c>
    </row>
    <row r="71" customFormat="false" ht="15" hidden="false" customHeight="true" outlineLevel="0" collapsed="false">
      <c r="B71" s="74" t="s">
        <v>5714</v>
      </c>
      <c r="C71" s="77"/>
      <c r="D71" s="77"/>
      <c r="E71" s="77"/>
      <c r="F71" s="77"/>
      <c r="G71" s="77"/>
      <c r="H71" s="77"/>
    </row>
    <row r="72" customFormat="false" ht="15" hidden="false" customHeight="true" outlineLevel="0" collapsed="false">
      <c r="B72" s="164" t="s">
        <v>5596</v>
      </c>
      <c r="C72" s="164" t="s">
        <v>1226</v>
      </c>
      <c r="D72" s="164" t="s">
        <v>5597</v>
      </c>
      <c r="E72" s="164" t="s">
        <v>5598</v>
      </c>
      <c r="F72" s="164" t="s">
        <v>590</v>
      </c>
      <c r="G72" s="164" t="s">
        <v>5599</v>
      </c>
      <c r="H72" s="164" t="s">
        <v>5600</v>
      </c>
    </row>
    <row r="73" customFormat="false" ht="24" hidden="false" customHeight="true" outlineLevel="0" collapsed="false">
      <c r="B73" s="78" t="s">
        <v>5715</v>
      </c>
      <c r="C73" s="170" t="n">
        <v>0.33</v>
      </c>
      <c r="D73" s="168" t="s">
        <v>5716</v>
      </c>
      <c r="E73" s="166" t="s">
        <v>821</v>
      </c>
      <c r="F73" s="168" t="s">
        <v>121</v>
      </c>
      <c r="G73" s="169" t="s">
        <v>5611</v>
      </c>
      <c r="H73" s="166" t="s">
        <v>5717</v>
      </c>
    </row>
    <row r="74" customFormat="false" ht="24" hidden="false" customHeight="true" outlineLevel="0" collapsed="false">
      <c r="B74" s="78" t="s">
        <v>5718</v>
      </c>
      <c r="C74" s="170" t="n">
        <v>0.38</v>
      </c>
      <c r="D74" s="168" t="s">
        <v>5716</v>
      </c>
      <c r="E74" s="166" t="s">
        <v>5719</v>
      </c>
      <c r="F74" s="168" t="s">
        <v>640</v>
      </c>
      <c r="G74" s="169" t="s">
        <v>5606</v>
      </c>
      <c r="H74" s="166" t="s">
        <v>5720</v>
      </c>
    </row>
    <row r="75" customFormat="false" ht="24" hidden="false" customHeight="true" outlineLevel="0" collapsed="false">
      <c r="B75" s="78" t="s">
        <v>5721</v>
      </c>
      <c r="C75" s="174" t="n">
        <v>8</v>
      </c>
      <c r="D75" s="168" t="s">
        <v>5722</v>
      </c>
      <c r="E75" s="166" t="s">
        <v>828</v>
      </c>
      <c r="F75" s="168" t="s">
        <v>121</v>
      </c>
      <c r="G75" s="169" t="s">
        <v>5611</v>
      </c>
      <c r="H75" s="166" t="s">
        <v>5723</v>
      </c>
    </row>
    <row r="76" customFormat="false" ht="24" hidden="false" customHeight="true" outlineLevel="0" collapsed="false">
      <c r="B76" s="78" t="s">
        <v>5724</v>
      </c>
      <c r="C76" s="170" t="n">
        <v>0.01</v>
      </c>
      <c r="D76" s="168" t="s">
        <v>5725</v>
      </c>
      <c r="E76" s="166" t="s">
        <v>5726</v>
      </c>
      <c r="F76" s="168" t="s">
        <v>121</v>
      </c>
      <c r="G76" s="169" t="s">
        <v>5606</v>
      </c>
      <c r="H76" s="166" t="s">
        <v>5727</v>
      </c>
    </row>
    <row r="77" customFormat="false" ht="15" hidden="false" customHeight="true" outlineLevel="0" collapsed="false">
      <c r="B77" s="74" t="s">
        <v>5728</v>
      </c>
      <c r="C77" s="77"/>
      <c r="D77" s="77"/>
      <c r="E77" s="77"/>
      <c r="F77" s="77"/>
      <c r="G77" s="77"/>
      <c r="H77" s="77"/>
    </row>
    <row r="78" customFormat="false" ht="15" hidden="false" customHeight="true" outlineLevel="0" collapsed="false">
      <c r="B78" s="164" t="s">
        <v>5596</v>
      </c>
      <c r="C78" s="164" t="s">
        <v>1226</v>
      </c>
      <c r="D78" s="164" t="s">
        <v>5597</v>
      </c>
      <c r="E78" s="164" t="s">
        <v>5598</v>
      </c>
      <c r="F78" s="164" t="s">
        <v>590</v>
      </c>
      <c r="G78" s="164" t="s">
        <v>5599</v>
      </c>
      <c r="H78" s="164" t="s">
        <v>5600</v>
      </c>
    </row>
    <row r="79" customFormat="false" ht="24" hidden="false" customHeight="true" outlineLevel="0" collapsed="false">
      <c r="B79" s="78" t="s">
        <v>5729</v>
      </c>
      <c r="C79" s="180" t="n">
        <v>4</v>
      </c>
      <c r="D79" s="168" t="s">
        <v>294</v>
      </c>
      <c r="E79" s="166" t="s">
        <v>855</v>
      </c>
      <c r="F79" s="168" t="s">
        <v>854</v>
      </c>
      <c r="G79" s="169" t="s">
        <v>5606</v>
      </c>
      <c r="H79" s="166" t="s">
        <v>5730</v>
      </c>
    </row>
    <row r="80" customFormat="false" ht="24" hidden="false" customHeight="true" outlineLevel="0" collapsed="false">
      <c r="B80" s="78" t="s">
        <v>5731</v>
      </c>
      <c r="C80" s="180" t="n">
        <v>3.5</v>
      </c>
      <c r="D80" s="168" t="s">
        <v>294</v>
      </c>
      <c r="E80" s="166" t="s">
        <v>855</v>
      </c>
      <c r="F80" s="168" t="s">
        <v>854</v>
      </c>
      <c r="G80" s="169" t="s">
        <v>5606</v>
      </c>
      <c r="H80" s="166" t="s">
        <v>5730</v>
      </c>
    </row>
    <row r="81" customFormat="false" ht="24" hidden="false" customHeight="true" outlineLevel="0" collapsed="false">
      <c r="B81" s="78" t="s">
        <v>5732</v>
      </c>
      <c r="C81" s="170" t="n">
        <v>0.9</v>
      </c>
      <c r="D81" s="168" t="s">
        <v>5733</v>
      </c>
      <c r="E81" s="166" t="s">
        <v>855</v>
      </c>
      <c r="F81" s="168" t="s">
        <v>854</v>
      </c>
      <c r="G81" s="169" t="s">
        <v>5606</v>
      </c>
      <c r="H81" s="166" t="s">
        <v>5734</v>
      </c>
    </row>
    <row r="82" customFormat="false" ht="24" hidden="false" customHeight="true" outlineLevel="0" collapsed="false">
      <c r="B82" s="78" t="s">
        <v>5735</v>
      </c>
      <c r="C82" s="170" t="n">
        <f aca="false">1-LTV_Max</f>
        <v>0.1</v>
      </c>
      <c r="D82" s="168" t="s">
        <v>5736</v>
      </c>
      <c r="E82" s="166" t="s">
        <v>5737</v>
      </c>
      <c r="F82" s="168" t="s">
        <v>854</v>
      </c>
      <c r="G82" s="169" t="s">
        <v>5606</v>
      </c>
      <c r="H82" s="166" t="s">
        <v>5738</v>
      </c>
    </row>
    <row r="83" customFormat="false" ht="39.75" hidden="false" customHeight="true" outlineLevel="0" collapsed="false">
      <c r="B83" s="165" t="s">
        <v>5739</v>
      </c>
      <c r="C83" s="165"/>
      <c r="D83" s="165"/>
      <c r="E83" s="166" t="s">
        <v>5740</v>
      </c>
    </row>
    <row r="84" customFormat="false" ht="24" hidden="false" customHeight="true" outlineLevel="0" collapsed="false">
      <c r="B84" s="78" t="s">
        <v>5741</v>
      </c>
      <c r="C84" s="170" t="n">
        <v>0.01</v>
      </c>
      <c r="D84" s="168" t="s">
        <v>5742</v>
      </c>
      <c r="E84" s="166" t="s">
        <v>864</v>
      </c>
      <c r="F84" s="168" t="s">
        <v>863</v>
      </c>
      <c r="G84" s="169" t="s">
        <v>5611</v>
      </c>
      <c r="H84" s="166" t="s">
        <v>5743</v>
      </c>
    </row>
    <row r="85" customFormat="false" ht="24" hidden="false" customHeight="true" outlineLevel="0" collapsed="false">
      <c r="B85" s="78" t="s">
        <v>5744</v>
      </c>
      <c r="C85" s="167" t="n">
        <v>1000000</v>
      </c>
      <c r="D85" s="168" t="s">
        <v>5742</v>
      </c>
      <c r="E85" s="166" t="s">
        <v>864</v>
      </c>
      <c r="F85" s="168" t="s">
        <v>863</v>
      </c>
      <c r="G85" s="169" t="s">
        <v>5611</v>
      </c>
      <c r="H85" s="166" t="s">
        <v>5743</v>
      </c>
    </row>
    <row r="86" customFormat="false" ht="24" hidden="false" customHeight="true" outlineLevel="0" collapsed="false">
      <c r="B86" s="78" t="s">
        <v>5745</v>
      </c>
      <c r="C86" s="170" t="n">
        <v>0.02</v>
      </c>
      <c r="D86" s="168" t="s">
        <v>5742</v>
      </c>
      <c r="E86" s="166" t="s">
        <v>864</v>
      </c>
      <c r="F86" s="168" t="s">
        <v>863</v>
      </c>
      <c r="G86" s="169" t="s">
        <v>5611</v>
      </c>
      <c r="H86" s="166" t="s">
        <v>5743</v>
      </c>
    </row>
    <row r="87" customFormat="false" ht="24" hidden="false" customHeight="true" outlineLevel="0" collapsed="false">
      <c r="B87" s="78" t="s">
        <v>5746</v>
      </c>
      <c r="C87" s="167" t="n">
        <v>1500000</v>
      </c>
      <c r="D87" s="168" t="s">
        <v>5742</v>
      </c>
      <c r="E87" s="166" t="s">
        <v>864</v>
      </c>
      <c r="F87" s="168" t="s">
        <v>863</v>
      </c>
      <c r="G87" s="169" t="s">
        <v>5611</v>
      </c>
      <c r="H87" s="166" t="s">
        <v>5743</v>
      </c>
    </row>
    <row r="88" customFormat="false" ht="24" hidden="false" customHeight="true" outlineLevel="0" collapsed="false">
      <c r="B88" s="78" t="s">
        <v>5747</v>
      </c>
      <c r="C88" s="170" t="n">
        <v>0.06</v>
      </c>
      <c r="D88" s="168" t="s">
        <v>5742</v>
      </c>
      <c r="E88" s="166" t="s">
        <v>864</v>
      </c>
      <c r="F88" s="168" t="s">
        <v>863</v>
      </c>
      <c r="G88" s="169" t="s">
        <v>5611</v>
      </c>
      <c r="H88" s="166" t="s">
        <v>5743</v>
      </c>
    </row>
    <row r="89" customFormat="false" ht="39.75" hidden="false" customHeight="true" outlineLevel="0" collapsed="false">
      <c r="B89" s="165" t="s">
        <v>5748</v>
      </c>
      <c r="C89" s="165"/>
      <c r="D89" s="165"/>
      <c r="E89" s="166" t="s">
        <v>5749</v>
      </c>
    </row>
    <row r="90" customFormat="false" ht="15" hidden="false" customHeight="true" outlineLevel="0" collapsed="false">
      <c r="B90" s="74" t="s">
        <v>5750</v>
      </c>
      <c r="C90" s="77"/>
      <c r="D90" s="77"/>
      <c r="E90" s="77"/>
      <c r="F90" s="77"/>
      <c r="G90" s="77"/>
      <c r="H90" s="77"/>
    </row>
    <row r="91" customFormat="false" ht="15" hidden="false" customHeight="true" outlineLevel="0" collapsed="false">
      <c r="B91" s="164" t="s">
        <v>5596</v>
      </c>
      <c r="C91" s="164" t="s">
        <v>1226</v>
      </c>
      <c r="D91" s="164" t="s">
        <v>5597</v>
      </c>
      <c r="E91" s="164" t="s">
        <v>5598</v>
      </c>
      <c r="F91" s="164" t="s">
        <v>590</v>
      </c>
      <c r="G91" s="164" t="s">
        <v>5599</v>
      </c>
      <c r="H91" s="164" t="s">
        <v>5600</v>
      </c>
    </row>
    <row r="92" customFormat="false" ht="24" hidden="false" customHeight="true" outlineLevel="0" collapsed="false">
      <c r="B92" s="78" t="s">
        <v>5751</v>
      </c>
      <c r="C92" s="170" t="n">
        <v>0.7</v>
      </c>
      <c r="D92" s="168" t="s">
        <v>313</v>
      </c>
      <c r="E92" s="166" t="s">
        <v>5752</v>
      </c>
      <c r="F92" s="168" t="s">
        <v>284</v>
      </c>
      <c r="G92" s="166" t="s">
        <v>452</v>
      </c>
      <c r="H92" s="166" t="s">
        <v>284</v>
      </c>
    </row>
    <row r="93" customFormat="false" ht="24" hidden="false" customHeight="true" outlineLevel="0" collapsed="false">
      <c r="B93" s="78" t="s">
        <v>5753</v>
      </c>
      <c r="C93" s="170" t="n">
        <v>0.4</v>
      </c>
      <c r="D93" s="168" t="s">
        <v>313</v>
      </c>
      <c r="E93" s="166" t="s">
        <v>5754</v>
      </c>
      <c r="F93" s="168" t="s">
        <v>284</v>
      </c>
      <c r="G93" s="166" t="s">
        <v>452</v>
      </c>
      <c r="H93" s="166" t="s">
        <v>284</v>
      </c>
    </row>
    <row r="94" customFormat="false" ht="24" hidden="false" customHeight="true" outlineLevel="0" collapsed="false">
      <c r="B94" s="78" t="s">
        <v>5755</v>
      </c>
      <c r="C94" s="174" t="n">
        <v>365</v>
      </c>
      <c r="D94" s="168" t="s">
        <v>5756</v>
      </c>
      <c r="E94" s="166" t="s">
        <v>5757</v>
      </c>
      <c r="F94" s="168" t="s">
        <v>284</v>
      </c>
      <c r="G94" s="166" t="s">
        <v>452</v>
      </c>
      <c r="H94" s="166" t="s">
        <v>284</v>
      </c>
    </row>
    <row r="95" customFormat="false" ht="24" hidden="false" customHeight="true" outlineLevel="0" collapsed="false">
      <c r="B95" s="78" t="s">
        <v>5758</v>
      </c>
      <c r="C95" s="170" t="n">
        <v>0.8</v>
      </c>
      <c r="D95" s="168" t="s">
        <v>5759</v>
      </c>
      <c r="E95" s="166" t="s">
        <v>5757</v>
      </c>
      <c r="F95" s="168" t="s">
        <v>284</v>
      </c>
      <c r="G95" s="166" t="s">
        <v>452</v>
      </c>
      <c r="H95" s="166" t="s">
        <v>284</v>
      </c>
    </row>
    <row r="96" customFormat="false" ht="15" hidden="false" customHeight="true" outlineLevel="0" collapsed="false">
      <c r="B96" s="74" t="s">
        <v>5760</v>
      </c>
      <c r="C96" s="77"/>
      <c r="D96" s="77"/>
      <c r="E96" s="77"/>
      <c r="F96" s="77"/>
      <c r="G96" s="77"/>
      <c r="H96" s="77"/>
    </row>
    <row r="97" customFormat="false" ht="15" hidden="false" customHeight="true" outlineLevel="0" collapsed="false">
      <c r="B97" s="164" t="s">
        <v>5596</v>
      </c>
      <c r="C97" s="164" t="s">
        <v>1226</v>
      </c>
      <c r="D97" s="164" t="s">
        <v>5597</v>
      </c>
      <c r="E97" s="164" t="s">
        <v>5598</v>
      </c>
      <c r="F97" s="164" t="s">
        <v>590</v>
      </c>
      <c r="G97" s="164" t="s">
        <v>5599</v>
      </c>
      <c r="H97" s="164" t="s">
        <v>5600</v>
      </c>
    </row>
    <row r="98" customFormat="false" ht="24" hidden="false" customHeight="true" outlineLevel="0" collapsed="false">
      <c r="B98" s="78" t="s">
        <v>5761</v>
      </c>
      <c r="C98" s="174" t="n">
        <v>1200</v>
      </c>
      <c r="D98" s="168" t="s">
        <v>5762</v>
      </c>
      <c r="E98" s="166" t="s">
        <v>5763</v>
      </c>
      <c r="F98" s="168" t="s">
        <v>284</v>
      </c>
      <c r="G98" s="166" t="s">
        <v>452</v>
      </c>
      <c r="H98" s="166" t="s">
        <v>284</v>
      </c>
    </row>
    <row r="99" customFormat="false" ht="24" hidden="false" customHeight="true" outlineLevel="0" collapsed="false">
      <c r="B99" s="78" t="s">
        <v>5764</v>
      </c>
      <c r="C99" s="174" t="n">
        <v>60</v>
      </c>
      <c r="D99" s="168" t="s">
        <v>5765</v>
      </c>
      <c r="E99" s="166" t="s">
        <v>5763</v>
      </c>
      <c r="F99" s="168" t="s">
        <v>284</v>
      </c>
      <c r="G99" s="166" t="s">
        <v>452</v>
      </c>
      <c r="H99" s="166" t="s">
        <v>284</v>
      </c>
    </row>
    <row r="100" customFormat="false" ht="24" hidden="false" customHeight="true" outlineLevel="0" collapsed="false">
      <c r="B100" s="78" t="s">
        <v>5766</v>
      </c>
      <c r="C100" s="174" t="n">
        <v>5</v>
      </c>
      <c r="D100" s="168" t="s">
        <v>316</v>
      </c>
      <c r="E100" s="166" t="s">
        <v>5763</v>
      </c>
      <c r="F100" s="168" t="s">
        <v>284</v>
      </c>
      <c r="G100" s="166" t="s">
        <v>452</v>
      </c>
      <c r="H100" s="166" t="s">
        <v>284</v>
      </c>
    </row>
    <row r="101" customFormat="false" ht="24" hidden="false" customHeight="true" outlineLevel="0" collapsed="false">
      <c r="B101" s="78" t="s">
        <v>5767</v>
      </c>
      <c r="C101" s="174" t="n">
        <v>10</v>
      </c>
      <c r="D101" s="168" t="s">
        <v>316</v>
      </c>
      <c r="E101" s="166" t="s">
        <v>5763</v>
      </c>
      <c r="F101" s="168" t="s">
        <v>284</v>
      </c>
      <c r="G101" s="166" t="s">
        <v>452</v>
      </c>
      <c r="H101" s="166" t="s">
        <v>284</v>
      </c>
    </row>
    <row r="102" customFormat="false" ht="24" hidden="false" customHeight="true" outlineLevel="0" collapsed="false">
      <c r="B102" s="78" t="s">
        <v>5768</v>
      </c>
      <c r="C102" s="174" t="n">
        <v>15</v>
      </c>
      <c r="D102" s="168" t="s">
        <v>316</v>
      </c>
      <c r="E102" s="166" t="s">
        <v>5763</v>
      </c>
      <c r="F102" s="168" t="s">
        <v>284</v>
      </c>
      <c r="G102" s="166" t="s">
        <v>452</v>
      </c>
      <c r="H102" s="166" t="s">
        <v>284</v>
      </c>
    </row>
    <row r="103" customFormat="false" ht="24" hidden="false" customHeight="true" outlineLevel="0" collapsed="false">
      <c r="B103" s="78" t="s">
        <v>5769</v>
      </c>
      <c r="C103" s="181" t="n">
        <v>1.645</v>
      </c>
      <c r="D103" s="168" t="s">
        <v>313</v>
      </c>
      <c r="E103" s="166" t="s">
        <v>5770</v>
      </c>
      <c r="F103" s="168" t="s">
        <v>284</v>
      </c>
      <c r="G103" s="166" t="s">
        <v>452</v>
      </c>
      <c r="H103" s="166" t="s">
        <v>5771</v>
      </c>
    </row>
    <row r="104" customFormat="false" ht="15" hidden="false" customHeight="true" outlineLevel="0" collapsed="false">
      <c r="B104" s="78" t="s">
        <v>5772</v>
      </c>
      <c r="C104" s="175" t="s">
        <v>4052</v>
      </c>
      <c r="D104" s="177" t="s">
        <v>313</v>
      </c>
      <c r="E104" s="176" t="s">
        <v>5773</v>
      </c>
      <c r="G104" s="105" t="s">
        <v>452</v>
      </c>
    </row>
    <row r="105" customFormat="false" ht="15" hidden="false" customHeight="true" outlineLevel="0" collapsed="false">
      <c r="B105" s="78" t="s">
        <v>5774</v>
      </c>
      <c r="C105" s="175" t="s">
        <v>4054</v>
      </c>
      <c r="D105" s="177" t="s">
        <v>313</v>
      </c>
      <c r="E105" s="176" t="s">
        <v>5773</v>
      </c>
      <c r="G105" s="105" t="s">
        <v>452</v>
      </c>
    </row>
    <row r="106" customFormat="false" ht="15" hidden="false" customHeight="true" outlineLevel="0" collapsed="false">
      <c r="B106" s="78" t="s">
        <v>5775</v>
      </c>
      <c r="C106" s="175" t="s">
        <v>5776</v>
      </c>
      <c r="D106" s="177" t="s">
        <v>313</v>
      </c>
      <c r="E106" s="176" t="s">
        <v>5773</v>
      </c>
      <c r="G106" s="105" t="s">
        <v>452</v>
      </c>
    </row>
    <row r="108" customFormat="false" ht="15" hidden="false" customHeight="true" outlineLevel="0" collapsed="false">
      <c r="B108" s="74" t="s">
        <v>5777</v>
      </c>
      <c r="C108" s="77"/>
      <c r="D108" s="77"/>
      <c r="E108" s="77"/>
      <c r="F108" s="77"/>
      <c r="G108" s="77"/>
      <c r="H108" s="77"/>
    </row>
    <row r="109" customFormat="false" ht="42" hidden="false" customHeight="true" outlineLevel="0" collapsed="false">
      <c r="B109" s="165" t="s">
        <v>5778</v>
      </c>
      <c r="C109" s="165"/>
      <c r="D109" s="165"/>
      <c r="E109" s="165"/>
      <c r="F109" s="165"/>
      <c r="G109" s="165"/>
    </row>
    <row r="110" customFormat="false" ht="15" hidden="false" customHeight="true" outlineLevel="0" collapsed="false">
      <c r="B110" s="164" t="s">
        <v>5779</v>
      </c>
      <c r="D110" s="164" t="s">
        <v>5780</v>
      </c>
      <c r="E110" s="164" t="s">
        <v>385</v>
      </c>
    </row>
    <row r="111" customFormat="false" ht="25.5" hidden="false" customHeight="true" outlineLevel="0" collapsed="false">
      <c r="B111" s="168" t="s">
        <v>5781</v>
      </c>
      <c r="D111" s="168" t="s">
        <v>5782</v>
      </c>
      <c r="E111" s="168" t="s">
        <v>5783</v>
      </c>
    </row>
    <row r="112" customFormat="false" ht="25.5" hidden="false" customHeight="true" outlineLevel="0" collapsed="false">
      <c r="B112" s="168" t="s">
        <v>5784</v>
      </c>
      <c r="D112" s="168" t="s">
        <v>5785</v>
      </c>
      <c r="E112" s="168" t="s">
        <v>5783</v>
      </c>
    </row>
    <row r="113" customFormat="false" ht="25.5" hidden="false" customHeight="true" outlineLevel="0" collapsed="false">
      <c r="B113" s="168" t="s">
        <v>5786</v>
      </c>
      <c r="D113" s="168" t="s">
        <v>5787</v>
      </c>
      <c r="E113" s="168" t="s">
        <v>5783</v>
      </c>
    </row>
    <row r="114" customFormat="false" ht="25.5" hidden="false" customHeight="true" outlineLevel="0" collapsed="false">
      <c r="B114" s="168" t="s">
        <v>5788</v>
      </c>
      <c r="D114" s="168" t="s">
        <v>5789</v>
      </c>
      <c r="E114" s="168" t="s">
        <v>5783</v>
      </c>
    </row>
    <row r="115" customFormat="false" ht="25.5" hidden="false" customHeight="true" outlineLevel="0" collapsed="false">
      <c r="B115" s="168" t="s">
        <v>5790</v>
      </c>
      <c r="D115" s="168" t="s">
        <v>5791</v>
      </c>
      <c r="E115" s="168" t="s">
        <v>5783</v>
      </c>
    </row>
    <row r="116" customFormat="false" ht="25.5" hidden="false" customHeight="true" outlineLevel="0" collapsed="false">
      <c r="B116" s="168" t="s">
        <v>5792</v>
      </c>
      <c r="D116" s="168" t="s">
        <v>5793</v>
      </c>
      <c r="E116" s="168" t="s">
        <v>5783</v>
      </c>
    </row>
    <row r="117" customFormat="false" ht="25.5" hidden="false" customHeight="true" outlineLevel="0" collapsed="false">
      <c r="B117" s="168" t="s">
        <v>5794</v>
      </c>
      <c r="D117" s="168" t="s">
        <v>5795</v>
      </c>
      <c r="E117" s="168" t="s">
        <v>5783</v>
      </c>
    </row>
    <row r="118" customFormat="false" ht="25.5" hidden="false" customHeight="true" outlineLevel="0" collapsed="false">
      <c r="B118" s="168" t="s">
        <v>5796</v>
      </c>
      <c r="D118" s="168" t="s">
        <v>5797</v>
      </c>
      <c r="E118" s="168" t="s">
        <v>5783</v>
      </c>
    </row>
    <row r="119" customFormat="false" ht="25.5" hidden="false" customHeight="true" outlineLevel="0" collapsed="false">
      <c r="B119" s="168" t="s">
        <v>5798</v>
      </c>
      <c r="D119" s="168" t="s">
        <v>5799</v>
      </c>
      <c r="E119" s="168" t="s">
        <v>5783</v>
      </c>
    </row>
    <row r="120" customFormat="false" ht="25.5" hidden="false" customHeight="true" outlineLevel="0" collapsed="false">
      <c r="B120" s="168" t="s">
        <v>5800</v>
      </c>
      <c r="D120" s="168" t="s">
        <v>5801</v>
      </c>
      <c r="E120" s="168" t="s">
        <v>5783</v>
      </c>
    </row>
    <row r="121" customFormat="false" ht="25.5" hidden="false" customHeight="true" outlineLevel="0" collapsed="false">
      <c r="B121" s="168" t="s">
        <v>5802</v>
      </c>
      <c r="D121" s="168" t="s">
        <v>5803</v>
      </c>
      <c r="E121" s="168" t="s">
        <v>5804</v>
      </c>
    </row>
    <row r="123" customFormat="false" ht="15" hidden="false" customHeight="true" outlineLevel="0" collapsed="false">
      <c r="B123" s="74" t="s">
        <v>5805</v>
      </c>
    </row>
    <row r="124" customFormat="false" ht="81.75" hidden="false" customHeight="true" outlineLevel="0" collapsed="false">
      <c r="B124" s="182"/>
    </row>
    <row r="125" customFormat="false" ht="15" hidden="false" customHeight="true" outlineLevel="0" collapsed="false">
      <c r="B125" s="78" t="s">
        <v>5806</v>
      </c>
      <c r="C125" s="175" t="n">
        <v>2026</v>
      </c>
      <c r="D125" s="177" t="s">
        <v>37</v>
      </c>
      <c r="E125" s="176"/>
      <c r="G125" s="105"/>
    </row>
    <row r="126" customFormat="false" ht="15" hidden="false" customHeight="true" outlineLevel="0" collapsed="false">
      <c r="B126" s="78" t="s">
        <v>5807</v>
      </c>
      <c r="C126" s="175" t="n">
        <v>2027</v>
      </c>
      <c r="D126" s="177" t="s">
        <v>37</v>
      </c>
      <c r="E126" s="176"/>
      <c r="G126" s="105"/>
    </row>
    <row r="127" customFormat="false" ht="15" hidden="false" customHeight="true" outlineLevel="0" collapsed="false">
      <c r="B127" s="78" t="s">
        <v>5808</v>
      </c>
      <c r="C127" s="175" t="n">
        <v>50</v>
      </c>
      <c r="D127" s="177" t="s">
        <v>5809</v>
      </c>
      <c r="E127" s="176"/>
      <c r="G127" s="105"/>
    </row>
    <row r="128" customFormat="false" ht="15" hidden="false" customHeight="true" outlineLevel="0" collapsed="false">
      <c r="B128" s="78" t="s">
        <v>5810</v>
      </c>
      <c r="C128" s="183" t="n">
        <v>200000</v>
      </c>
      <c r="D128" s="177" t="s">
        <v>5811</v>
      </c>
      <c r="E128" s="176"/>
      <c r="G128" s="105"/>
    </row>
    <row r="129" customFormat="false" ht="15" hidden="false" customHeight="true" outlineLevel="0" collapsed="false">
      <c r="C129" s="184"/>
    </row>
    <row r="130" customFormat="false" ht="15" hidden="false" customHeight="true" outlineLevel="0" collapsed="false">
      <c r="C130" s="184"/>
    </row>
    <row r="131" customFormat="false" ht="15" hidden="false" customHeight="true" outlineLevel="0" collapsed="false">
      <c r="C131" s="185"/>
    </row>
    <row r="132" customFormat="false" ht="15" hidden="false" customHeight="true" outlineLevel="0" collapsed="false">
      <c r="C132" s="184"/>
    </row>
    <row r="133" customFormat="false" ht="15" hidden="false" customHeight="true" outlineLevel="0" collapsed="false">
      <c r="C133" s="59"/>
    </row>
    <row r="135" customFormat="false" ht="15" hidden="false" customHeight="false" outlineLevel="0" collapsed="false">
      <c r="B135" s="35" t="s">
        <v>5812</v>
      </c>
    </row>
    <row r="136" customFormat="false" ht="15" hidden="false" customHeight="false" outlineLevel="0" collapsed="false">
      <c r="B136" s="20" t="s">
        <v>5813</v>
      </c>
      <c r="C136" s="20" t="n">
        <v>1</v>
      </c>
      <c r="D136" s="20" t="s">
        <v>5814</v>
      </c>
      <c r="E136" s="20" t="s">
        <v>5815</v>
      </c>
      <c r="F136" s="20" t="s">
        <v>121</v>
      </c>
    </row>
    <row r="137" customFormat="false" ht="15" hidden="false" customHeight="false" outlineLevel="0" collapsed="false">
      <c r="B137" s="20" t="s">
        <v>5816</v>
      </c>
      <c r="C137" s="20" t="n">
        <v>70</v>
      </c>
      <c r="D137" s="20" t="s">
        <v>5814</v>
      </c>
      <c r="E137" s="20" t="s">
        <v>5817</v>
      </c>
      <c r="F137" s="20" t="s">
        <v>121</v>
      </c>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70"/>
    <col collapsed="false" customWidth="true" hidden="false" outlineLevel="0" max="3" min="3" style="20" width="22"/>
    <col collapsed="false" customWidth="true" hidden="false" outlineLevel="0" max="4" min="4" style="20" width="18"/>
    <col collapsed="false" customWidth="true" hidden="false" outlineLevel="0" max="5" min="5" style="20" width="24"/>
    <col collapsed="false" customWidth="true" hidden="false" outlineLevel="0" max="6" min="6" style="20" width="26"/>
    <col collapsed="false" customWidth="true" hidden="false" outlineLevel="0" max="7" min="7" style="20" width="22"/>
  </cols>
  <sheetData>
    <row r="1" customFormat="false" ht="17.25" hidden="false" customHeight="true" outlineLevel="0" collapsed="false">
      <c r="B1" s="21" t="s">
        <v>5818</v>
      </c>
    </row>
    <row r="2" customFormat="false" ht="48" hidden="false" customHeight="true" outlineLevel="0" collapsed="false">
      <c r="B2" s="2" t="s">
        <v>5819</v>
      </c>
      <c r="C2" s="2"/>
      <c r="D2" s="2"/>
      <c r="E2" s="2"/>
      <c r="F2" s="2"/>
      <c r="G2" s="2"/>
    </row>
    <row r="4" customFormat="false" ht="15" hidden="false" customHeight="true" outlineLevel="0" collapsed="false">
      <c r="B4" s="53" t="s">
        <v>5820</v>
      </c>
    </row>
    <row r="5" customFormat="false" ht="15" hidden="false" customHeight="true" outlineLevel="0" collapsed="false">
      <c r="B5" s="34" t="s">
        <v>5821</v>
      </c>
      <c r="C5" s="34" t="s">
        <v>5822</v>
      </c>
      <c r="D5" s="34" t="s">
        <v>5823</v>
      </c>
      <c r="E5" s="34" t="s">
        <v>5824</v>
      </c>
      <c r="F5" s="34" t="s">
        <v>5825</v>
      </c>
    </row>
    <row r="6" customFormat="false" ht="15" hidden="false" customHeight="true" outlineLevel="0" collapsed="false">
      <c r="B6" s="20" t="s">
        <v>5826</v>
      </c>
      <c r="C6" s="24"/>
      <c r="D6" s="160"/>
      <c r="E6" s="160"/>
      <c r="F6" s="158"/>
    </row>
    <row r="7" customFormat="false" ht="15" hidden="false" customHeight="true" outlineLevel="0" collapsed="false">
      <c r="B7" s="20" t="s">
        <v>5827</v>
      </c>
      <c r="C7" s="24"/>
      <c r="D7" s="160"/>
      <c r="E7" s="160"/>
      <c r="F7" s="158"/>
    </row>
    <row r="8" customFormat="false" ht="15" hidden="false" customHeight="true" outlineLevel="0" collapsed="false">
      <c r="B8" s="20" t="s">
        <v>5828</v>
      </c>
      <c r="C8" s="24"/>
      <c r="D8" s="160"/>
      <c r="E8" s="160"/>
      <c r="F8" s="158"/>
    </row>
    <row r="9" customFormat="false" ht="15" hidden="false" customHeight="true" outlineLevel="0" collapsed="false">
      <c r="B9" s="20" t="s">
        <v>5829</v>
      </c>
      <c r="C9" s="24"/>
      <c r="D9" s="160"/>
      <c r="E9" s="160"/>
      <c r="F9" s="158"/>
    </row>
    <row r="10" customFormat="false" ht="15" hidden="false" customHeight="true" outlineLevel="0" collapsed="false">
      <c r="B10" s="20" t="s">
        <v>5830</v>
      </c>
      <c r="C10" s="24"/>
      <c r="D10" s="160"/>
      <c r="E10" s="160"/>
      <c r="F10" s="158"/>
    </row>
    <row r="11" customFormat="false" ht="15" hidden="false" customHeight="true" outlineLevel="0" collapsed="false">
      <c r="B11" s="20" t="s">
        <v>5831</v>
      </c>
      <c r="C11" s="24"/>
      <c r="D11" s="160"/>
      <c r="E11" s="160"/>
      <c r="F11" s="158"/>
    </row>
    <row r="12" customFormat="false" ht="15" hidden="false" customHeight="true" outlineLevel="0" collapsed="false">
      <c r="B12" s="20" t="s">
        <v>5832</v>
      </c>
      <c r="C12" s="24"/>
      <c r="D12" s="160"/>
      <c r="E12" s="160"/>
      <c r="F12" s="158"/>
    </row>
    <row r="13" customFormat="false" ht="15" hidden="false" customHeight="true" outlineLevel="0" collapsed="false">
      <c r="B13" s="20" t="s">
        <v>5833</v>
      </c>
      <c r="C13" s="24"/>
      <c r="D13" s="160"/>
      <c r="E13" s="160"/>
      <c r="F13" s="158"/>
    </row>
    <row r="15" customFormat="false" ht="15" hidden="false" customHeight="true" outlineLevel="0" collapsed="false">
      <c r="B15" s="53" t="s">
        <v>5834</v>
      </c>
      <c r="D15" s="32" t="n">
        <f aca="false">SUM(D6:D13)</f>
        <v>0</v>
      </c>
    </row>
    <row r="16" customFormat="false" ht="15" hidden="false" customHeight="true" outlineLevel="0" collapsed="false">
      <c r="B16" s="20" t="s">
        <v>5835</v>
      </c>
      <c r="D16" s="32" t="n">
        <f aca="false">SUM(E6:E13)</f>
        <v>0</v>
      </c>
    </row>
    <row r="17" customFormat="false" ht="15" hidden="false" customHeight="true" outlineLevel="0" collapsed="false">
      <c r="B17" s="20" t="s">
        <v>5836</v>
      </c>
      <c r="D17" s="30" t="str">
        <f aca="false">IF(COUNT(F6:F13)=0,"",SUMPRODUCT(F6:F13,(D6:D13&gt;0)*D6:D13+(1-(D6:D13&gt;0)))/SUMPRODUCT((F6:F13&lt;&gt;"")*((D6:D13&gt;0)*D6:D13+(1-(D6:D13&gt;0)))))</f>
        <v/>
      </c>
    </row>
    <row r="19" customFormat="false" ht="15" hidden="false" customHeight="true" outlineLevel="0" collapsed="false">
      <c r="B19" s="53" t="s">
        <v>5837</v>
      </c>
    </row>
    <row r="20" customFormat="false" ht="15" hidden="false" customHeight="true" outlineLevel="0" collapsed="false">
      <c r="B20" s="34" t="s">
        <v>5838</v>
      </c>
      <c r="C20" s="34" t="s">
        <v>5822</v>
      </c>
      <c r="D20" s="34" t="s">
        <v>5823</v>
      </c>
      <c r="E20" s="34" t="s">
        <v>5824</v>
      </c>
      <c r="F20" s="34" t="s">
        <v>5825</v>
      </c>
    </row>
    <row r="21" customFormat="false" ht="15" hidden="false" customHeight="true" outlineLevel="0" collapsed="false">
      <c r="B21" s="20" t="s">
        <v>5839</v>
      </c>
      <c r="C21" s="24"/>
      <c r="D21" s="160"/>
      <c r="E21" s="160"/>
      <c r="F21" s="158"/>
    </row>
    <row r="22" customFormat="false" ht="15" hidden="false" customHeight="true" outlineLevel="0" collapsed="false">
      <c r="B22" s="20" t="s">
        <v>5840</v>
      </c>
      <c r="C22" s="24"/>
      <c r="D22" s="160"/>
      <c r="E22" s="160"/>
      <c r="F22" s="158"/>
    </row>
    <row r="23" customFormat="false" ht="15" hidden="false" customHeight="true" outlineLevel="0" collapsed="false">
      <c r="B23" s="20" t="s">
        <v>5841</v>
      </c>
      <c r="C23" s="24"/>
      <c r="D23" s="160"/>
      <c r="E23" s="160"/>
      <c r="F23" s="158"/>
    </row>
    <row r="24" customFormat="false" ht="15" hidden="false" customHeight="true" outlineLevel="0" collapsed="false">
      <c r="B24" s="20" t="s">
        <v>5842</v>
      </c>
      <c r="C24" s="24"/>
      <c r="D24" s="160"/>
      <c r="E24" s="160"/>
      <c r="F24" s="158"/>
    </row>
    <row r="25" customFormat="false" ht="15" hidden="false" customHeight="true" outlineLevel="0" collapsed="false">
      <c r="B25" s="20" t="s">
        <v>5843</v>
      </c>
      <c r="C25" s="24"/>
      <c r="D25" s="160"/>
      <c r="E25" s="160"/>
      <c r="F25" s="158"/>
    </row>
    <row r="26" customFormat="false" ht="15" hidden="false" customHeight="true" outlineLevel="0" collapsed="false">
      <c r="B26" s="20" t="s">
        <v>5844</v>
      </c>
      <c r="C26" s="24"/>
      <c r="D26" s="160"/>
      <c r="E26" s="160"/>
      <c r="F26" s="158"/>
    </row>
    <row r="27" customFormat="false" ht="15" hidden="false" customHeight="true" outlineLevel="0" collapsed="false">
      <c r="B27" s="20" t="s">
        <v>5845</v>
      </c>
      <c r="C27" s="24"/>
      <c r="D27" s="160"/>
      <c r="E27" s="160"/>
      <c r="F27" s="158"/>
    </row>
    <row r="28" customFormat="false" ht="15" hidden="false" customHeight="true" outlineLevel="0" collapsed="false">
      <c r="B28" s="20" t="s">
        <v>5846</v>
      </c>
      <c r="C28" s="24"/>
      <c r="D28" s="160"/>
      <c r="E28" s="160"/>
      <c r="F28" s="158"/>
    </row>
    <row r="30" customFormat="false" ht="15" hidden="false" customHeight="true" outlineLevel="0" collapsed="false">
      <c r="B30" s="20" t="s">
        <v>5847</v>
      </c>
      <c r="D30" s="32" t="n">
        <f aca="false">SUM(D21:D28)</f>
        <v>0</v>
      </c>
    </row>
    <row r="31" customFormat="false" ht="15" hidden="false" customHeight="true" outlineLevel="0" collapsed="false">
      <c r="B31" s="20" t="s">
        <v>5848</v>
      </c>
      <c r="D31" s="32" t="n">
        <f aca="false">SUM(E21:E28)</f>
        <v>0</v>
      </c>
    </row>
    <row r="32" customFormat="false" ht="15" hidden="false" customHeight="true" outlineLevel="0" collapsed="false">
      <c r="B32" s="20" t="s">
        <v>5849</v>
      </c>
      <c r="D32" s="32" t="n">
        <f aca="false">Cards_Owed_Total+Loans_Owed_Total</f>
        <v>0</v>
      </c>
    </row>
    <row r="33" customFormat="false" ht="15" hidden="false" customHeight="true" outlineLevel="0" collapsed="false">
      <c r="B33" s="20" t="s">
        <v>5850</v>
      </c>
      <c r="D33" s="32" t="n">
        <f aca="false">Cards_Pay_Total+Loans_Pay_Total</f>
        <v>0</v>
      </c>
    </row>
    <row r="34" customFormat="false" ht="15" hidden="false" customHeight="true" outlineLevel="0" collapsed="false">
      <c r="B34" s="20" t="s">
        <v>5851</v>
      </c>
      <c r="D34" s="30" t="str">
        <f aca="false">IF(COUNT(F21:F28)=0,"",SUMPRODUCT(F21:F28,(D21:D28&gt;0)*D21:D28+(1-(D21:D28&gt;0)))/SUMPRODUCT((F21:F28&lt;&gt;"")*((D21:D28&gt;0)*D21:D28+(1-(D21:D28&gt;0)))))</f>
        <v/>
      </c>
    </row>
    <row r="35" customFormat="false" ht="15" hidden="false" customHeight="true" outlineLevel="0" collapsed="false">
      <c r="B35" s="53" t="s">
        <v>709</v>
      </c>
    </row>
    <row r="36" customFormat="false" ht="27.75" hidden="false" customHeight="true" outlineLevel="0" collapsed="false">
      <c r="B36" s="34" t="s">
        <v>5852</v>
      </c>
      <c r="C36" s="34" t="s">
        <v>5853</v>
      </c>
      <c r="D36" s="34" t="s">
        <v>5854</v>
      </c>
      <c r="E36" s="34" t="s">
        <v>5855</v>
      </c>
      <c r="F36" s="34" t="s">
        <v>5856</v>
      </c>
      <c r="G36" s="34" t="s">
        <v>5857</v>
      </c>
    </row>
    <row r="37" customFormat="false" ht="15" hidden="false" customHeight="true" outlineLevel="0" collapsed="false">
      <c r="B37" s="20" t="s">
        <v>5858</v>
      </c>
      <c r="C37" s="24"/>
      <c r="D37" s="160"/>
      <c r="E37" s="160"/>
      <c r="F37" s="160"/>
      <c r="G37" s="56" t="str">
        <f aca="false">IF(E37="","",IF(E37&gt;0,IF(F37&lt;&gt;"",MIN(F37,E37),E37*AS_OwnShare),0))</f>
        <v/>
      </c>
    </row>
    <row r="38" customFormat="false" ht="15" hidden="false" customHeight="true" outlineLevel="0" collapsed="false">
      <c r="B38" s="20" t="s">
        <v>5859</v>
      </c>
      <c r="C38" s="24"/>
      <c r="D38" s="160"/>
      <c r="E38" s="160"/>
      <c r="F38" s="160"/>
      <c r="G38" s="56" t="str">
        <f aca="false">IF(E38="","",IF(E38&gt;0,IF(F38&lt;&gt;"",MIN(F38,E38),E38*AS_OwnShare),0))</f>
        <v/>
      </c>
    </row>
    <row r="39" customFormat="false" ht="15" hidden="false" customHeight="true" outlineLevel="0" collapsed="false">
      <c r="B39" s="20" t="s">
        <v>5860</v>
      </c>
      <c r="C39" s="24"/>
      <c r="D39" s="160"/>
      <c r="E39" s="160"/>
      <c r="F39" s="160"/>
      <c r="G39" s="56" t="str">
        <f aca="false">IF(E39="","",IF(E39&gt;0,IF(F39&lt;&gt;"",MIN(F39,E39),E39*AS_OwnShare),0))</f>
        <v/>
      </c>
    </row>
    <row r="40" customFormat="false" ht="15" hidden="false" customHeight="true" outlineLevel="0" collapsed="false">
      <c r="B40" s="20" t="s">
        <v>5861</v>
      </c>
      <c r="C40" s="24"/>
      <c r="D40" s="160"/>
      <c r="E40" s="160"/>
      <c r="F40" s="160"/>
      <c r="G40" s="56" t="str">
        <f aca="false">IF(E40="","",IF(E40&gt;0,IF(F40&lt;&gt;"",MIN(F40,E40),E40*AS_OwnShare),0))</f>
        <v/>
      </c>
    </row>
    <row r="41" customFormat="false" ht="15" hidden="false" customHeight="true" outlineLevel="0" collapsed="false">
      <c r="B41" s="20" t="s">
        <v>5862</v>
      </c>
      <c r="C41" s="24"/>
      <c r="D41" s="160"/>
      <c r="E41" s="160"/>
      <c r="F41" s="160"/>
      <c r="G41" s="56" t="str">
        <f aca="false">IF(E41="","",IF(E41&gt;0,IF(F41&lt;&gt;"",MIN(F41,E41),E41*AS_OwnShare),0))</f>
        <v/>
      </c>
    </row>
    <row r="42" customFormat="false" ht="15" hidden="false" customHeight="true" outlineLevel="0" collapsed="false">
      <c r="B42" s="20" t="s">
        <v>5863</v>
      </c>
      <c r="C42" s="24"/>
      <c r="D42" s="160"/>
      <c r="E42" s="160"/>
      <c r="F42" s="160"/>
      <c r="G42" s="56" t="str">
        <f aca="false">IF(E42="","",IF(E42&gt;0,IF(F42&lt;&gt;"",MIN(F42,E42),E42*AS_OwnShare),0))</f>
        <v/>
      </c>
    </row>
    <row r="43" customFormat="false" ht="15" hidden="false" customHeight="true" outlineLevel="0" collapsed="false">
      <c r="B43" s="20" t="s">
        <v>5864</v>
      </c>
      <c r="C43" s="24"/>
      <c r="D43" s="160"/>
      <c r="E43" s="160"/>
      <c r="F43" s="160"/>
      <c r="G43" s="56" t="str">
        <f aca="false">IF(E43="","",IF(E43&gt;0,IF(F43&lt;&gt;"",MIN(F43,E43),E43*AS_OwnShare),0))</f>
        <v/>
      </c>
    </row>
    <row r="44" customFormat="false" ht="15" hidden="false" customHeight="true" outlineLevel="0" collapsed="false">
      <c r="B44" s="20" t="s">
        <v>5865</v>
      </c>
      <c r="C44" s="24"/>
      <c r="D44" s="160"/>
      <c r="E44" s="160"/>
      <c r="F44" s="160"/>
      <c r="G44" s="56" t="str">
        <f aca="false">IF(E44="","",IF(E44&gt;0,IF(F44&lt;&gt;"",MIN(F44,E44),E44*AS_OwnShare),0))</f>
        <v/>
      </c>
    </row>
    <row r="46" customFormat="false" ht="15" hidden="false" customHeight="true" outlineLevel="0" collapsed="false">
      <c r="B46" s="20" t="s">
        <v>5866</v>
      </c>
      <c r="D46" s="32" t="n">
        <f aca="false">SUM(D37:D44)</f>
        <v>0</v>
      </c>
    </row>
    <row r="47" customFormat="false" ht="15" hidden="false" customHeight="true" outlineLevel="0" collapsed="false">
      <c r="B47" s="20" t="s">
        <v>5867</v>
      </c>
      <c r="D47" s="32" t="n">
        <f aca="false">SUM(E37:E44)</f>
        <v>0</v>
      </c>
    </row>
    <row r="48" customFormat="false" ht="15" hidden="false" customHeight="true" outlineLevel="0" collapsed="false">
      <c r="B48" s="20" t="s">
        <v>5868</v>
      </c>
      <c r="D48" s="32" t="n">
        <f aca="false">SUM(G37:G44)</f>
        <v>0</v>
      </c>
    </row>
    <row r="49" customFormat="false" ht="15" hidden="false" customHeight="true" outlineLevel="0" collapsed="false">
      <c r="B49" s="20" t="s">
        <v>5869</v>
      </c>
      <c r="D49" s="26" t="n">
        <f aca="false">IF(AND(SUMPRODUCT((E37:E44&gt;0)*ISNUMBER(F37:F44))&gt;0,OR(SUMPRODUCT(--(E37:E44&gt;0))=SUMPRODUCT((E37:E44&gt;0)*ISNUMBER(F37:F44)),Has_a_ownShare=1)),1,0)</f>
        <v>0</v>
      </c>
    </row>
    <row r="50" customFormat="false" ht="15" hidden="false" customHeight="true" outlineLevel="0" collapsed="false">
      <c r="B50" s="53" t="s">
        <v>5870</v>
      </c>
    </row>
    <row r="51" customFormat="false" ht="15" hidden="false" customHeight="true" outlineLevel="0" collapsed="false">
      <c r="B51" s="23" t="s">
        <v>5871</v>
      </c>
      <c r="C51" s="23" t="s">
        <v>5872</v>
      </c>
      <c r="D51" s="23" t="s">
        <v>5873</v>
      </c>
    </row>
    <row r="52" customFormat="false" ht="15" hidden="false" customHeight="true" outlineLevel="0" collapsed="false">
      <c r="B52" s="20" t="s">
        <v>5874</v>
      </c>
      <c r="C52" s="160"/>
      <c r="D52" s="24"/>
    </row>
    <row r="53" customFormat="false" ht="15" hidden="false" customHeight="true" outlineLevel="0" collapsed="false">
      <c r="B53" s="20" t="s">
        <v>5875</v>
      </c>
      <c r="C53" s="160"/>
      <c r="D53" s="24"/>
    </row>
    <row r="54" customFormat="false" ht="15" hidden="false" customHeight="true" outlineLevel="0" collapsed="false">
      <c r="B54" s="20" t="s">
        <v>5876</v>
      </c>
      <c r="C54" s="160"/>
      <c r="D54" s="24"/>
    </row>
    <row r="55" customFormat="false" ht="15" hidden="false" customHeight="true" outlineLevel="0" collapsed="false">
      <c r="B55" s="20" t="s">
        <v>5877</v>
      </c>
      <c r="C55" s="160"/>
      <c r="D55" s="24"/>
    </row>
    <row r="56" customFormat="false" ht="15" hidden="false" customHeight="true" outlineLevel="0" collapsed="false">
      <c r="B56" s="20" t="s">
        <v>5878</v>
      </c>
      <c r="D56" s="32" t="n">
        <f aca="false">SUM(C52:C55)</f>
        <v>0</v>
      </c>
    </row>
    <row r="57" customFormat="false" ht="15" hidden="false" customHeight="true" outlineLevel="0" collapsed="false">
      <c r="B57" s="23" t="s">
        <v>5871</v>
      </c>
      <c r="C57" s="23" t="s">
        <v>5879</v>
      </c>
      <c r="D57" s="23" t="s">
        <v>5880</v>
      </c>
    </row>
    <row r="58" customFormat="false" ht="15" hidden="false" customHeight="true" outlineLevel="0" collapsed="false">
      <c r="B58" s="20" t="s">
        <v>5881</v>
      </c>
      <c r="C58" s="160"/>
      <c r="D58" s="24"/>
    </row>
    <row r="59" customFormat="false" ht="15" hidden="false" customHeight="true" outlineLevel="0" collapsed="false">
      <c r="B59" s="20" t="s">
        <v>5882</v>
      </c>
      <c r="C59" s="160"/>
      <c r="D59" s="24"/>
    </row>
    <row r="60" customFormat="false" ht="15" hidden="false" customHeight="true" outlineLevel="0" collapsed="false">
      <c r="B60" s="20" t="s">
        <v>5883</v>
      </c>
      <c r="C60" s="160"/>
      <c r="D60" s="24"/>
    </row>
    <row r="61" customFormat="false" ht="15" hidden="false" customHeight="true" outlineLevel="0" collapsed="false">
      <c r="B61" s="20" t="s">
        <v>5884</v>
      </c>
      <c r="C61" s="160"/>
      <c r="D61" s="24"/>
    </row>
    <row r="62" customFormat="false" ht="15" hidden="false" customHeight="true" outlineLevel="0" collapsed="false">
      <c r="B62" s="20" t="s">
        <v>5885</v>
      </c>
      <c r="D62" s="32" t="n">
        <f aca="false">SUMPRODUCT((C58:C61&lt;&gt;"")*C58:C61)+IF(N('C21 Life cover'!$G$11)&gt;0,SUMPRODUCT((C58:C61="")*D58:D61)*N('C21 Life cover'!$G$11),0)</f>
        <v>0</v>
      </c>
    </row>
    <row r="63" customFormat="false" ht="15" hidden="false" customHeight="true" outlineLevel="0" collapsed="false">
      <c r="B63" s="20" t="s">
        <v>5886</v>
      </c>
      <c r="D63" s="32" t="n">
        <f aca="false">Cover_Life_Total+Cover_Work_Total</f>
        <v>0</v>
      </c>
    </row>
    <row r="64" customFormat="false" ht="15" hidden="false" customHeight="true" outlineLevel="0" collapsed="false">
      <c r="B64" s="23" t="s">
        <v>5871</v>
      </c>
      <c r="C64" s="23" t="s">
        <v>5887</v>
      </c>
      <c r="D64" s="23" t="s">
        <v>5873</v>
      </c>
    </row>
    <row r="65" customFormat="false" ht="15" hidden="false" customHeight="true" outlineLevel="0" collapsed="false">
      <c r="B65" s="20" t="s">
        <v>5888</v>
      </c>
      <c r="C65" s="160"/>
      <c r="D65" s="24"/>
    </row>
    <row r="66" customFormat="false" ht="15" hidden="false" customHeight="true" outlineLevel="0" collapsed="false">
      <c r="B66" s="20" t="s">
        <v>5889</v>
      </c>
      <c r="C66" s="160"/>
      <c r="D66" s="24"/>
    </row>
    <row r="67" customFormat="false" ht="15" hidden="false" customHeight="true" outlineLevel="0" collapsed="false">
      <c r="B67" s="20" t="s">
        <v>5890</v>
      </c>
      <c r="C67" s="160"/>
      <c r="D67" s="24"/>
    </row>
    <row r="68" customFormat="false" ht="15" hidden="false" customHeight="true" outlineLevel="0" collapsed="false">
      <c r="B68" s="20" t="s">
        <v>5891</v>
      </c>
      <c r="C68" s="160"/>
      <c r="D68" s="24"/>
    </row>
    <row r="69" customFormat="false" ht="15" hidden="false" customHeight="true" outlineLevel="0" collapsed="false">
      <c r="B69" s="20" t="s">
        <v>5892</v>
      </c>
      <c r="D69" s="32" t="n">
        <f aca="false">SUM(C65:C68)</f>
        <v>0</v>
      </c>
    </row>
    <row r="70" customFormat="false" ht="15" hidden="false" customHeight="true" outlineLevel="0" collapsed="false">
      <c r="B70" s="23" t="s">
        <v>5871</v>
      </c>
      <c r="C70" s="23" t="s">
        <v>5872</v>
      </c>
      <c r="D70" s="23" t="s">
        <v>5873</v>
      </c>
    </row>
    <row r="71" customFormat="false" ht="15" hidden="false" customHeight="true" outlineLevel="0" collapsed="false">
      <c r="B71" s="20" t="s">
        <v>5893</v>
      </c>
      <c r="C71" s="160"/>
      <c r="D71" s="24"/>
    </row>
    <row r="72" customFormat="false" ht="15" hidden="false" customHeight="true" outlineLevel="0" collapsed="false">
      <c r="B72" s="20" t="s">
        <v>5894</v>
      </c>
      <c r="C72" s="160"/>
      <c r="D72" s="24"/>
    </row>
    <row r="73" customFormat="false" ht="15" hidden="false" customHeight="true" outlineLevel="0" collapsed="false">
      <c r="B73" s="20" t="s">
        <v>5895</v>
      </c>
      <c r="C73" s="160"/>
      <c r="D73" s="24"/>
    </row>
    <row r="74" customFormat="false" ht="15" hidden="false" customHeight="true" outlineLevel="0" collapsed="false">
      <c r="B74" s="20" t="s">
        <v>5896</v>
      </c>
      <c r="C74" s="160"/>
      <c r="D74" s="24"/>
    </row>
    <row r="75" customFormat="false" ht="15" hidden="false" customHeight="true" outlineLevel="0" collapsed="false">
      <c r="B75" s="20" t="s">
        <v>5897</v>
      </c>
      <c r="D75" s="32" t="n">
        <f aca="false">SUM(C71:C74)</f>
        <v>0</v>
      </c>
    </row>
    <row r="76" customFormat="false" ht="15" hidden="false" customHeight="true" outlineLevel="0" collapsed="false">
      <c r="B76" s="23" t="s">
        <v>5898</v>
      </c>
      <c r="C76" s="23" t="s">
        <v>5899</v>
      </c>
    </row>
    <row r="77" customFormat="false" ht="15" hidden="false" customHeight="true" outlineLevel="0" collapsed="false">
      <c r="B77" s="20" t="s">
        <v>5900</v>
      </c>
      <c r="C77" s="160"/>
    </row>
    <row r="78" customFormat="false" ht="15" hidden="false" customHeight="true" outlineLevel="0" collapsed="false">
      <c r="B78" s="20" t="s">
        <v>5901</v>
      </c>
      <c r="C78" s="160"/>
    </row>
    <row r="79" customFormat="false" ht="15" hidden="false" customHeight="true" outlineLevel="0" collapsed="false">
      <c r="B79" s="20" t="s">
        <v>5902</v>
      </c>
      <c r="C79" s="160"/>
    </row>
    <row r="80" customFormat="false" ht="15" hidden="false" customHeight="true" outlineLevel="0" collapsed="false">
      <c r="B80" s="20" t="s">
        <v>5903</v>
      </c>
      <c r="C80" s="160"/>
    </row>
    <row r="81" customFormat="false" ht="15" hidden="false" customHeight="true" outlineLevel="0" collapsed="false">
      <c r="B81" s="20" t="s">
        <v>5904</v>
      </c>
      <c r="D81" s="32" t="n">
        <f aca="false">SUM(C77:C80)</f>
        <v>0</v>
      </c>
    </row>
    <row r="84" customFormat="false" ht="15" hidden="false" customHeight="true" outlineLevel="0" collapsed="false">
      <c r="B84" s="53" t="s">
        <v>5905</v>
      </c>
    </row>
    <row r="85" customFormat="false" ht="54.75" hidden="false" customHeight="true" outlineLevel="0" collapsed="false">
      <c r="B85" s="34" t="s">
        <v>4569</v>
      </c>
      <c r="C85" s="34" t="s">
        <v>5822</v>
      </c>
      <c r="D85" s="34" t="s">
        <v>5906</v>
      </c>
      <c r="E85" s="34" t="s">
        <v>5824</v>
      </c>
      <c r="F85" s="34" t="s">
        <v>3827</v>
      </c>
      <c r="G85" s="34" t="s">
        <v>5907</v>
      </c>
      <c r="H85" s="34" t="s">
        <v>5908</v>
      </c>
      <c r="I85" s="34" t="s">
        <v>5909</v>
      </c>
    </row>
    <row r="86" customFormat="false" ht="15" hidden="false" customHeight="true" outlineLevel="0" collapsed="false">
      <c r="B86" s="20" t="s">
        <v>5910</v>
      </c>
      <c r="C86" s="24"/>
      <c r="D86" s="160"/>
      <c r="E86" s="160"/>
      <c r="F86" s="24"/>
      <c r="G86" s="24"/>
      <c r="H86" s="186" t="n">
        <f aca="false">IF(N(G86)&gt;0,G86,AS_MortRate)</f>
        <v>0.0375</v>
      </c>
      <c r="I86" s="56" t="n">
        <f aca="false">IF(N(D86)&gt;0,IF(N(E86)&gt;0,E86,IF(H86/12&lt;&gt;0,D86*(H86/12)/(1-(1+H86/12)^-MAX(1,ROUND(IF(N(F86)&gt;0,F86,PR_FbMortYears)*12,0))),D86/MAX(1,ROUND(IF(N(F86)&gt;0,F86,PR_FbMortYears)*12,0)))),0)</f>
        <v>0</v>
      </c>
    </row>
    <row r="87" customFormat="false" ht="15" hidden="false" customHeight="true" outlineLevel="0" collapsed="false">
      <c r="B87" s="20" t="s">
        <v>5911</v>
      </c>
      <c r="C87" s="24"/>
      <c r="D87" s="160"/>
      <c r="E87" s="160"/>
      <c r="F87" s="24"/>
      <c r="G87" s="24"/>
      <c r="H87" s="186" t="n">
        <f aca="false">IF(N(G87)&gt;0,G87,AS_MortRate)</f>
        <v>0.0375</v>
      </c>
      <c r="I87" s="56" t="n">
        <f aca="false">IF(N(D87)&gt;0,IF(N(E87)&gt;0,E87,IF(H87/12&lt;&gt;0,D87*(H87/12)/(1-(1+H87/12)^-MAX(1,ROUND(IF(N(F87)&gt;0,F87,PR_FbMortYears)*12,0))),D87/MAX(1,ROUND(IF(N(F87)&gt;0,F87,PR_FbMortYears)*12,0)))),0)</f>
        <v>0</v>
      </c>
    </row>
    <row r="88" customFormat="false" ht="15" hidden="false" customHeight="true" outlineLevel="0" collapsed="false">
      <c r="B88" s="20" t="s">
        <v>5912</v>
      </c>
      <c r="C88" s="24"/>
      <c r="D88" s="160"/>
      <c r="E88" s="160"/>
      <c r="F88" s="24"/>
      <c r="G88" s="24"/>
      <c r="H88" s="186" t="n">
        <f aca="false">IF(N(G88)&gt;0,G88,AS_MortRate)</f>
        <v>0.0375</v>
      </c>
      <c r="I88" s="56" t="n">
        <f aca="false">IF(N(D88)&gt;0,IF(N(E88)&gt;0,E88,IF(H88/12&lt;&gt;0,D88*(H88/12)/(1-(1+H88/12)^-MAX(1,ROUND(IF(N(F88)&gt;0,F88,PR_FbMortYears)*12,0))),D88/MAX(1,ROUND(IF(N(F88)&gt;0,F88,PR_FbMortYears)*12,0)))),0)</f>
        <v>0</v>
      </c>
    </row>
    <row r="89" customFormat="false" ht="15" hidden="false" customHeight="true" outlineLevel="0" collapsed="false">
      <c r="B89" s="20" t="s">
        <v>5913</v>
      </c>
      <c r="C89" s="24"/>
      <c r="D89" s="160"/>
      <c r="E89" s="160"/>
      <c r="F89" s="24"/>
      <c r="G89" s="24"/>
      <c r="H89" s="186" t="n">
        <f aca="false">IF(N(G89)&gt;0,G89,AS_MortRate)</f>
        <v>0.0375</v>
      </c>
      <c r="I89" s="56" t="n">
        <f aca="false">IF(N(D89)&gt;0,IF(N(E89)&gt;0,E89,IF(H89/12&lt;&gt;0,D89*(H89/12)/(1-(1+H89/12)^-MAX(1,ROUND(IF(N(F89)&gt;0,F89,PR_FbMortYears)*12,0))),D89/MAX(1,ROUND(IF(N(F89)&gt;0,F89,PR_FbMortYears)*12,0)))),0)</f>
        <v>0</v>
      </c>
    </row>
    <row r="90" customFormat="false" ht="15" hidden="false" customHeight="true" outlineLevel="0" collapsed="false">
      <c r="B90" s="20" t="s">
        <v>5914</v>
      </c>
      <c r="D90" s="26" t="n">
        <f aca="false">SUMIF(D86:D89,"&gt;0")</f>
        <v>0</v>
      </c>
    </row>
    <row r="91" customFormat="false" ht="15" hidden="false" customHeight="true" outlineLevel="0" collapsed="false">
      <c r="B91" s="20" t="s">
        <v>5915</v>
      </c>
      <c r="D91" s="26" t="n">
        <f aca="false">SUM(I86:I89)</f>
        <v>0</v>
      </c>
    </row>
    <row r="92" customFormat="false" ht="15" hidden="false" customHeight="true" outlineLevel="0" collapsed="false">
      <c r="B92" s="20" t="s">
        <v>5916</v>
      </c>
      <c r="D92" s="187" t="n">
        <f aca="false">IF(D90&gt;0,SUMPRODUCT((D86:D89&gt;0)*D86:D89*H86:H89)/D90,0)</f>
        <v>0</v>
      </c>
    </row>
    <row r="93" customFormat="false" ht="15" hidden="false" customHeight="true" outlineLevel="0" collapsed="false">
      <c r="B93" s="20" t="s">
        <v>5917</v>
      </c>
      <c r="D93" s="26" t="n">
        <f aca="false">IF(SUMPRODUCT((N(+D86:D89)&gt;0)*(N(+E86:E89)&lt;=0)*(N(+F86:F89)&lt;=0))&gt;0,1,0)</f>
        <v>0</v>
      </c>
    </row>
    <row r="94" customFormat="false" ht="15" hidden="false" customHeight="true" outlineLevel="0" collapsed="false">
      <c r="B94" s="20" t="s">
        <v>5918</v>
      </c>
      <c r="D94" s="26"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44"/>
    <col collapsed="false" customWidth="true" hidden="false" outlineLevel="0" max="3" min="3" style="20" width="18"/>
    <col collapsed="false" customWidth="true" hidden="false" outlineLevel="0" max="4" min="4" style="20" width="20"/>
    <col collapsed="false" customWidth="true" hidden="false" outlineLevel="0" max="5" min="5" style="20" width="90"/>
    <col collapsed="false" customWidth="true" hidden="false" outlineLevel="0" max="7" min="6" style="20" width="18"/>
    <col collapsed="false" customWidth="true" hidden="false" outlineLevel="0" max="18" min="8" style="20" width="13"/>
  </cols>
  <sheetData>
    <row r="1" customFormat="false" ht="19.5" hidden="false" customHeight="true" outlineLevel="0" collapsed="false">
      <c r="B1" s="69" t="s">
        <v>5919</v>
      </c>
    </row>
    <row r="2" customFormat="false" ht="15" hidden="false" customHeight="true" outlineLevel="0" collapsed="false">
      <c r="B2" s="188" t="s">
        <v>5920</v>
      </c>
    </row>
    <row r="4" customFormat="false" ht="15" hidden="false" customHeight="true" outlineLevel="0" collapsed="false">
      <c r="B4" s="74" t="s">
        <v>4276</v>
      </c>
      <c r="C4" s="77"/>
      <c r="D4" s="77"/>
      <c r="E4" s="77"/>
      <c r="F4" s="75" t="s">
        <v>5921</v>
      </c>
      <c r="G4" s="75" t="s">
        <v>5922</v>
      </c>
    </row>
    <row r="5" customFormat="false" ht="15" hidden="false" customHeight="true" outlineLevel="0" collapsed="false">
      <c r="B5" s="78" t="s">
        <v>5923</v>
      </c>
      <c r="C5" s="84"/>
      <c r="E5" s="70" t="s">
        <v>5924</v>
      </c>
      <c r="F5" s="85" t="s">
        <v>5925</v>
      </c>
      <c r="G5" s="86" t="str">
        <f aca="false">IF(ISBLANK(C5),IF(Fill_Example="Yes",F5,""),C5)</f>
        <v>Single</v>
      </c>
    </row>
    <row r="6" customFormat="false" ht="15" hidden="false" customHeight="true" outlineLevel="0" collapsed="false">
      <c r="B6" s="78" t="s">
        <v>5926</v>
      </c>
      <c r="C6" s="79"/>
      <c r="E6" s="70" t="s">
        <v>5927</v>
      </c>
      <c r="F6" s="82" t="n">
        <v>60000</v>
      </c>
      <c r="G6" s="83" t="n">
        <f aca="false">IF(ISBLANK(C6),IF(Fill_Example="Yes",F6,""),C6)</f>
        <v>60000</v>
      </c>
    </row>
    <row r="7" customFormat="false" ht="15" hidden="false" customHeight="true" outlineLevel="0" collapsed="false">
      <c r="B7" s="78" t="s">
        <v>5928</v>
      </c>
      <c r="C7" s="79"/>
      <c r="E7" s="70" t="s">
        <v>5929</v>
      </c>
      <c r="F7" s="82" t="n">
        <v>0</v>
      </c>
      <c r="G7" s="83" t="n">
        <f aca="false">IF(ISBLANK(C7),F7,C7)</f>
        <v>0</v>
      </c>
    </row>
    <row r="8" customFormat="false" ht="15" hidden="false" customHeight="true" outlineLevel="0" collapsed="false">
      <c r="B8" s="78" t="s">
        <v>5930</v>
      </c>
      <c r="C8" s="84"/>
      <c r="E8" s="70" t="s">
        <v>5931</v>
      </c>
      <c r="F8" s="85" t="s">
        <v>452</v>
      </c>
      <c r="G8" s="86" t="str">
        <f aca="false">IF(ISBLANK(C8),IF(Fill_Example="Yes",F8,""),C8)</f>
        <v>No</v>
      </c>
    </row>
    <row r="9" customFormat="false" ht="15" hidden="false" customHeight="true" outlineLevel="0" collapsed="false">
      <c r="B9" s="78" t="s">
        <v>5932</v>
      </c>
      <c r="C9" s="84"/>
      <c r="E9" s="70" t="s">
        <v>5933</v>
      </c>
      <c r="F9" s="85" t="s">
        <v>452</v>
      </c>
      <c r="G9" s="86" t="str">
        <f aca="false">IF(ISBLANK(C9),IF(Fill_Example="Yes",F9,""),C9)</f>
        <v>No</v>
      </c>
    </row>
    <row r="10" customFormat="false" ht="15" hidden="false" customHeight="true" outlineLevel="0" collapsed="false">
      <c r="B10" s="78" t="s">
        <v>5934</v>
      </c>
      <c r="C10" s="84"/>
      <c r="E10" s="70"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85" t="s">
        <v>5935</v>
      </c>
      <c r="G10" s="86" t="str">
        <f aca="false">IF(ISBLANK(C10),F10,C10)</f>
        <v>From 1 Oct 2026</v>
      </c>
    </row>
    <row r="12" customFormat="false" ht="15" hidden="false" customHeight="true" outlineLevel="0" collapsed="false">
      <c r="B12" s="74" t="s">
        <v>5936</v>
      </c>
      <c r="C12" s="77"/>
      <c r="D12" s="77"/>
      <c r="E12" s="77"/>
    </row>
    <row r="13" customFormat="false" ht="15" hidden="false" customHeight="true" outlineLevel="0" collapsed="false">
      <c r="B13" s="78" t="s">
        <v>5937</v>
      </c>
      <c r="C13" s="189" t="n">
        <f aca="false">IF(TE_PRSI_Basis="Calendar 2026 blend",PRSI_Rate_2026_Blend,PRSI_Rate)</f>
        <v>0.0435</v>
      </c>
      <c r="E13" s="190" t="s">
        <v>5938</v>
      </c>
    </row>
    <row r="14" customFormat="false" ht="15" hidden="false" customHeight="true" outlineLevel="0" collapsed="false">
      <c r="B14" s="78" t="s">
        <v>5939</v>
      </c>
      <c r="C14" s="191" t="n">
        <f aca="false">IF(TE_Need&lt;&gt;"",TE_Need,IF(TE_Status="Married two earners",TE_Gross_2,0))</f>
        <v>0</v>
      </c>
      <c r="E14" s="190" t="s">
        <v>5940</v>
      </c>
    </row>
    <row r="15" customFormat="false" ht="30" hidden="false" customHeight="true" outlineLevel="0" collapsed="false">
      <c r="B15" s="78" t="s">
        <v>5941</v>
      </c>
      <c r="C15" s="191" t="n">
        <f aca="false">IF(TE_Need&lt;&gt;"",TE_Need,IF(TE_Status="Single",Band_Single,IF(TE_Status="Single parent",Band_Single_Parent,IF(TE_Status="Married one earner",Band_Married,Band_Married+MIN(MIN(TE_Gross_1,TE_Gross_2),Band_Second_Earner_Max)))))</f>
        <v>44000</v>
      </c>
      <c r="E15" s="190" t="s">
        <v>5942</v>
      </c>
    </row>
    <row r="16" customFormat="false" ht="15" hidden="false" customHeight="true" outlineLevel="0" collapsed="false">
      <c r="B16" s="78" t="s">
        <v>5943</v>
      </c>
      <c r="C16" s="191" t="n">
        <f aca="false">IF(TE_Need&lt;&gt;"",TE_Need,TE_Gross_1+TE_Earner_2)</f>
        <v>60000</v>
      </c>
      <c r="E16" s="190" t="s">
        <v>5944</v>
      </c>
    </row>
    <row r="17" customFormat="false" ht="15" hidden="false" customHeight="true" outlineLevel="0" collapsed="false">
      <c r="B17" s="78" t="s">
        <v>5945</v>
      </c>
      <c r="C17" s="192" t="n">
        <f aca="false">IF(TE_Need&lt;&gt;"",TE_Need,Rate_Standard*MIN(TE_Taxable,TE_Band)+Rate_Higher*MAX(0,TE_Taxable-TE_Band))</f>
        <v>15200</v>
      </c>
      <c r="E17" s="190" t="s">
        <v>5946</v>
      </c>
    </row>
    <row r="18" customFormat="false" ht="30" hidden="false" customHeight="true" outlineLevel="0" collapsed="false">
      <c r="B18" s="78" t="s">
        <v>5947</v>
      </c>
      <c r="C18" s="192" t="n">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4000</v>
      </c>
      <c r="E18" s="190" t="s">
        <v>5948</v>
      </c>
    </row>
    <row r="19" customFormat="false" ht="15" hidden="false" customHeight="true" outlineLevel="0" collapsed="false">
      <c r="B19" s="193" t="s">
        <v>56</v>
      </c>
      <c r="C19" s="194" t="n">
        <f aca="false">IF(TE_Need&lt;&gt;"",TE_Need,MAX(0,TE_Tax_Before_Credits-TE_Credits))</f>
        <v>11200</v>
      </c>
      <c r="E19" s="190" t="s">
        <v>5949</v>
      </c>
    </row>
    <row r="20" customFormat="false" ht="30" hidden="false" customHeight="true" outlineLevel="0" collapsed="false">
      <c r="B20" s="193" t="s">
        <v>5950</v>
      </c>
      <c r="C20" s="194" t="n">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1332.82</v>
      </c>
      <c r="E20" s="190" t="s">
        <v>5951</v>
      </c>
    </row>
    <row r="21" customFormat="false" ht="30" hidden="false" customHeight="true" outlineLevel="0" collapsed="false">
      <c r="B21" s="193" t="s">
        <v>5952</v>
      </c>
      <c r="C21" s="194" t="n">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2610</v>
      </c>
      <c r="E21" s="190" t="s">
        <v>5953</v>
      </c>
    </row>
    <row r="22" customFormat="false" ht="15" hidden="false" customHeight="true" outlineLevel="0" collapsed="false">
      <c r="B22" s="193" t="s">
        <v>5954</v>
      </c>
      <c r="C22" s="194" t="n">
        <f aca="false">IF(TE_Need&lt;&gt;"",TE_Need,TE_Taxable-TE_Income_Tax-TE_USC-TE_PRSI)</f>
        <v>44857.18</v>
      </c>
      <c r="E22" s="190" t="s">
        <v>5955</v>
      </c>
    </row>
    <row r="23" customFormat="false" ht="15" hidden="false" customHeight="true" outlineLevel="0" collapsed="false">
      <c r="B23" s="193" t="s">
        <v>5956</v>
      </c>
      <c r="C23" s="194" t="n">
        <f aca="false">IF(TE_Need&lt;&gt;"",TE_Need,TE_Take_Home/12)</f>
        <v>3738.09833333333</v>
      </c>
      <c r="E23" s="190" t="s">
        <v>5957</v>
      </c>
    </row>
    <row r="24" customFormat="false" ht="15" hidden="false" customHeight="true" outlineLevel="0" collapsed="false">
      <c r="B24" s="193" t="s">
        <v>5958</v>
      </c>
      <c r="C24" s="195" t="n">
        <f aca="false">IF(TE_Need&lt;&gt;"",TE_Need,IF(TE_Taxable&gt;TE_Band,Rate_Higher,Rate_Standard))</f>
        <v>0.4</v>
      </c>
      <c r="E24" s="190" t="s">
        <v>5959</v>
      </c>
    </row>
    <row r="25" customFormat="false" ht="15" hidden="false" customHeight="true" outlineLevel="0" collapsed="false">
      <c r="B25" s="105" t="s">
        <v>5960</v>
      </c>
      <c r="C25" s="105" t="str">
        <f aca="false">IF(TE_Status="","Choose your tax status to see this",IF(TE_Gross_1="","Choose your gross yearly pay to see this",IF(TE_Rent_Credit="","Choose your answer on the Rent Tax Credit to see this",IF(TE_Home_Carer="","Choose your answer on the Home Carer Tax Credit to see this",""))))</f>
        <v/>
      </c>
    </row>
    <row r="27" customFormat="false" ht="15" hidden="false" customHeight="true" outlineLevel="0" collapsed="false">
      <c r="B27" s="74" t="s">
        <v>4326</v>
      </c>
      <c r="C27" s="77"/>
      <c r="D27" s="77"/>
      <c r="E27" s="77"/>
    </row>
    <row r="28" customFormat="false" ht="15" hidden="false" customHeight="true" outlineLevel="0" collapsed="false">
      <c r="B28" s="196" t="s">
        <v>5961</v>
      </c>
      <c r="C28" s="196"/>
      <c r="D28" s="196"/>
      <c r="E28" s="196"/>
    </row>
    <row r="29" customFormat="false" ht="15" hidden="false" customHeight="true" outlineLevel="0" collapsed="false">
      <c r="B29" s="196" t="s">
        <v>5962</v>
      </c>
      <c r="C29" s="196"/>
      <c r="D29" s="196"/>
      <c r="E29" s="196"/>
    </row>
    <row r="30" customFormat="false" ht="15" hidden="false" customHeight="true" outlineLevel="0" collapsed="false">
      <c r="B30" s="196" t="s">
        <v>5963</v>
      </c>
      <c r="C30" s="196"/>
      <c r="D30" s="196"/>
      <c r="E30" s="196"/>
    </row>
    <row r="31" customFormat="false" ht="15" hidden="false" customHeight="true" outlineLevel="0" collapsed="false">
      <c r="B31" s="196" t="s">
        <v>5964</v>
      </c>
      <c r="C31" s="196"/>
      <c r="D31" s="196"/>
      <c r="E31" s="196"/>
    </row>
    <row r="33" customFormat="false" ht="15" hidden="false" customHeight="true" outlineLevel="0" collapsed="false">
      <c r="B33" s="74" t="s">
        <v>5965</v>
      </c>
      <c r="C33" s="77"/>
      <c r="D33" s="77"/>
      <c r="E33" s="77"/>
      <c r="F33" s="77"/>
      <c r="G33" s="77"/>
      <c r="H33" s="77"/>
      <c r="I33" s="77"/>
      <c r="J33" s="77"/>
      <c r="K33" s="77"/>
      <c r="L33" s="77"/>
      <c r="M33" s="77"/>
      <c r="N33" s="77"/>
      <c r="O33" s="77"/>
      <c r="P33" s="77"/>
      <c r="Q33" s="77"/>
      <c r="R33" s="77"/>
    </row>
    <row r="34" customFormat="false" ht="30" hidden="false" customHeight="true" outlineLevel="0" collapsed="false">
      <c r="B34" s="197" t="s">
        <v>5966</v>
      </c>
      <c r="C34" s="197" t="s">
        <v>5967</v>
      </c>
      <c r="D34" s="197" t="s">
        <v>385</v>
      </c>
      <c r="E34" s="197" t="s">
        <v>5968</v>
      </c>
      <c r="F34" s="197" t="s">
        <v>56</v>
      </c>
      <c r="G34" s="197" t="s">
        <v>58</v>
      </c>
      <c r="H34" s="197" t="str">
        <f aca="false">"PRSI "&amp;TEXT(PRSI_Rate,"0.00%")</f>
        <v>PRSI 4.35%</v>
      </c>
      <c r="I34" s="197" t="s">
        <v>5969</v>
      </c>
      <c r="J34" s="197" t="str">
        <f aca="false">"Take-home "&amp;TEXT(PRSI_Rate,"0.00%")</f>
        <v>Take-home 4.35%</v>
      </c>
      <c r="K34" s="197" t="s">
        <v>5970</v>
      </c>
      <c r="L34" s="197" t="s">
        <v>5971</v>
      </c>
      <c r="M34" s="197" t="s">
        <v>5972</v>
      </c>
      <c r="N34" s="197" t="str">
        <f aca="false">"Expected take-home "&amp;TEXT(PRSI_Rate,"0.00%")</f>
        <v>Expected take-home 4.35%</v>
      </c>
      <c r="O34" s="197" t="s">
        <v>5973</v>
      </c>
      <c r="P34" s="197" t="s">
        <v>5974</v>
      </c>
      <c r="Q34" s="197" t="s">
        <v>329</v>
      </c>
      <c r="R34" s="197"/>
    </row>
    <row r="35" customFormat="false" ht="15" hidden="false" customHeight="true" outlineLevel="0" collapsed="false">
      <c r="B35" s="177" t="s">
        <v>5975</v>
      </c>
      <c r="C35" s="133" t="n">
        <v>25000</v>
      </c>
      <c r="D35" s="177" t="s">
        <v>5925</v>
      </c>
      <c r="E35" s="177" t="s">
        <v>5976</v>
      </c>
      <c r="F35" s="198"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98" t="n">
        <f aca="false">IF(C35&lt;=USC_Exempt,0,USC_Rate_1*MIN(C35,USC_Band_1)+USC_Rate_2*MAX(0,MIN(C35,USC_Band_2)-USC_Band_1)+USC_Rate_3*MAX(0,MIN(C35,USC_Band_3)-USC_Band_2)+USC_Rate_4*MAX(0,C35-USC_Band_3))</f>
        <v>319.82</v>
      </c>
      <c r="H35" s="198" t="n">
        <f aca="false">IF(C35/Weeks_Per_Year&lt;=PRSI_Free_Week,0,MAX(0,C35/Weeks_Per_Year*PRSI_Rate-IF(C35/Weeks_Per_Year&lt;=PRSI_Credit_Top,MAX(0,PRSI_Credit_Max-(C35/Weeks_Per_Year-(PRSI_Free_Week+0.01))/PRSI_Credit_Taper),0))*Weeks_Per_Year)</f>
        <v>1087.5</v>
      </c>
      <c r="I35" s="198" t="n">
        <f aca="false">IF(C35/Weeks_Per_Year&lt;=PRSI_Free_Week,0,MAX(0,C35/Weeks_Per_Year*PRSI_Rate_2026_Blend-IF(C35/Weeks_Per_Year&lt;=PRSI_Credit_Top,MAX(0,PRSI_Credit_Max-(C35/Weeks_Per_Year-(PRSI_Free_Week+0.01))/PRSI_Credit_Taper),0))*Weeks_Per_Year)</f>
        <v>1059.375</v>
      </c>
      <c r="J35" s="198" t="n">
        <f aca="false">C35-F35-G35-H35</f>
        <v>22592.68</v>
      </c>
      <c r="K35" s="198" t="n">
        <f aca="false">C35-F35-G35-I35</f>
        <v>22620.805</v>
      </c>
      <c r="L35" s="198" t="n">
        <v>1000</v>
      </c>
      <c r="M35" s="198" t="n">
        <v>319.82</v>
      </c>
      <c r="N35" s="198" t="n">
        <v>22592.68</v>
      </c>
      <c r="O35" s="198" t="n">
        <v>22620.81</v>
      </c>
      <c r="P35" s="198" t="n">
        <f aca="false">MAX(ABS(ROUND(F35,2)-L35),ABS(ROUND(G35,2)-M35),ABS(ROUND(J35,2)-N35),ABS(ROUND(K35,2)-O35))</f>
        <v>0</v>
      </c>
      <c r="Q35" s="199" t="str">
        <f aca="false">IF(P35&lt;0.005,"PASS","FAIL")</f>
        <v>PASS</v>
      </c>
    </row>
    <row r="36" customFormat="false" ht="15" hidden="false" customHeight="true" outlineLevel="0" collapsed="false">
      <c r="B36" s="177" t="s">
        <v>5977</v>
      </c>
      <c r="C36" s="133" t="n">
        <v>25000</v>
      </c>
      <c r="D36" s="177" t="s">
        <v>5978</v>
      </c>
      <c r="E36" s="177" t="s">
        <v>5976</v>
      </c>
      <c r="F36" s="198"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98" t="n">
        <f aca="false">IF(C36&lt;=USC_Exempt,0,USC_Rate_1*MIN(C36,USC_Band_1)+USC_Rate_2*MAX(0,MIN(C36,USC_Band_2)-USC_Band_1)+USC_Rate_3*MAX(0,MIN(C36,USC_Band_3)-USC_Band_2)+USC_Rate_4*MAX(0,C36-USC_Band_3))</f>
        <v>319.82</v>
      </c>
      <c r="H36" s="198" t="n">
        <f aca="false">IF(C36/Weeks_Per_Year&lt;=PRSI_Free_Week,0,MAX(0,C36/Weeks_Per_Year*PRSI_Rate-IF(C36/Weeks_Per_Year&lt;=PRSI_Credit_Top,MAX(0,PRSI_Credit_Max-(C36/Weeks_Per_Year-(PRSI_Free_Week+0.01))/PRSI_Credit_Taper),0))*Weeks_Per_Year)</f>
        <v>1087.5</v>
      </c>
      <c r="I36" s="198" t="n">
        <f aca="false">IF(C36/Weeks_Per_Year&lt;=PRSI_Free_Week,0,MAX(0,C36/Weeks_Per_Year*PRSI_Rate_2026_Blend-IF(C36/Weeks_Per_Year&lt;=PRSI_Credit_Top,MAX(0,PRSI_Credit_Max-(C36/Weeks_Per_Year-(PRSI_Free_Week+0.01))/PRSI_Credit_Taper),0))*Weeks_Per_Year)</f>
        <v>1059.375</v>
      </c>
      <c r="J36" s="198" t="n">
        <f aca="false">C36-F36-G36-H36</f>
        <v>23592.68</v>
      </c>
      <c r="K36" s="198" t="n">
        <f aca="false">C36-F36-G36-I36</f>
        <v>23620.805</v>
      </c>
      <c r="L36" s="198" t="n">
        <v>0</v>
      </c>
      <c r="M36" s="198" t="n">
        <v>319.82</v>
      </c>
      <c r="N36" s="198" t="n">
        <v>23592.68</v>
      </c>
      <c r="O36" s="198" t="n">
        <v>23620.81</v>
      </c>
      <c r="P36" s="198" t="n">
        <f aca="false">MAX(ABS(ROUND(F36,2)-L36),ABS(ROUND(G36,2)-M36),ABS(ROUND(J36,2)-N36),ABS(ROUND(K36,2)-O36))</f>
        <v>0</v>
      </c>
      <c r="Q36" s="199" t="str">
        <f aca="false">IF(P36&lt;0.005,"PASS","FAIL")</f>
        <v>PASS</v>
      </c>
    </row>
    <row r="37" customFormat="false" ht="15" hidden="false" customHeight="true" outlineLevel="0" collapsed="false">
      <c r="B37" s="177" t="s">
        <v>5979</v>
      </c>
      <c r="C37" s="133" t="n">
        <v>45000</v>
      </c>
      <c r="D37" s="177" t="s">
        <v>5925</v>
      </c>
      <c r="E37" s="177" t="s">
        <v>5976</v>
      </c>
      <c r="F37" s="198"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98" t="n">
        <f aca="false">IF(C37&lt;=USC_Exempt,0,USC_Rate_1*MIN(C37,USC_Band_1)+USC_Rate_2*MAX(0,MIN(C37,USC_Band_2)-USC_Band_1)+USC_Rate_3*MAX(0,MIN(C37,USC_Band_3)-USC_Band_2)+USC_Rate_4*MAX(0,C37-USC_Band_3))</f>
        <v>882.82</v>
      </c>
      <c r="H37" s="198" t="n">
        <f aca="false">IF(C37/Weeks_Per_Year&lt;=PRSI_Free_Week,0,MAX(0,C37/Weeks_Per_Year*PRSI_Rate-IF(C37/Weeks_Per_Year&lt;=PRSI_Credit_Top,MAX(0,PRSI_Credit_Max-(C37/Weeks_Per_Year-(PRSI_Free_Week+0.01))/PRSI_Credit_Taper),0))*Weeks_Per_Year)</f>
        <v>1957.5</v>
      </c>
      <c r="I37" s="198" t="n">
        <f aca="false">IF(C37/Weeks_Per_Year&lt;=PRSI_Free_Week,0,MAX(0,C37/Weeks_Per_Year*PRSI_Rate_2026_Blend-IF(C37/Weeks_Per_Year&lt;=PRSI_Credit_Top,MAX(0,PRSI_Credit_Max-(C37/Weeks_Per_Year-(PRSI_Free_Week+0.01))/PRSI_Credit_Taper),0))*Weeks_Per_Year)</f>
        <v>1906.875</v>
      </c>
      <c r="J37" s="198" t="n">
        <f aca="false">C37-F37-G37-H37</f>
        <v>36959.68</v>
      </c>
      <c r="K37" s="198" t="n">
        <f aca="false">C37-F37-G37-I37</f>
        <v>37010.305</v>
      </c>
      <c r="L37" s="198" t="n">
        <v>5200</v>
      </c>
      <c r="M37" s="198" t="n">
        <v>882.82</v>
      </c>
      <c r="N37" s="198" t="n">
        <v>36959.68</v>
      </c>
      <c r="O37" s="198" t="n">
        <v>37010.31</v>
      </c>
      <c r="P37" s="198" t="n">
        <f aca="false">MAX(ABS(ROUND(F37,2)-L37),ABS(ROUND(G37,2)-M37),ABS(ROUND(J37,2)-N37),ABS(ROUND(K37,2)-O37))</f>
        <v>0</v>
      </c>
      <c r="Q37" s="199" t="str">
        <f aca="false">IF(P37&lt;0.005,"PASS","FAIL")</f>
        <v>PASS</v>
      </c>
    </row>
    <row r="38" customFormat="false" ht="15" hidden="false" customHeight="true" outlineLevel="0" collapsed="false">
      <c r="B38" s="177" t="s">
        <v>5980</v>
      </c>
      <c r="C38" s="133" t="n">
        <v>45000</v>
      </c>
      <c r="D38" s="177" t="s">
        <v>5978</v>
      </c>
      <c r="E38" s="177" t="s">
        <v>5976</v>
      </c>
      <c r="F38" s="198"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98" t="n">
        <f aca="false">IF(C38&lt;=USC_Exempt,0,USC_Rate_1*MIN(C38,USC_Band_1)+USC_Rate_2*MAX(0,MIN(C38,USC_Band_2)-USC_Band_1)+USC_Rate_3*MAX(0,MIN(C38,USC_Band_3)-USC_Band_2)+USC_Rate_4*MAX(0,C38-USC_Band_3))</f>
        <v>882.82</v>
      </c>
      <c r="H38" s="198" t="n">
        <f aca="false">IF(C38/Weeks_Per_Year&lt;=PRSI_Free_Week,0,MAX(0,C38/Weeks_Per_Year*PRSI_Rate-IF(C38/Weeks_Per_Year&lt;=PRSI_Credit_Top,MAX(0,PRSI_Credit_Max-(C38/Weeks_Per_Year-(PRSI_Free_Week+0.01))/PRSI_Credit_Taper),0))*Weeks_Per_Year)</f>
        <v>1957.5</v>
      </c>
      <c r="I38" s="198" t="n">
        <f aca="false">IF(C38/Weeks_Per_Year&lt;=PRSI_Free_Week,0,MAX(0,C38/Weeks_Per_Year*PRSI_Rate_2026_Blend-IF(C38/Weeks_Per_Year&lt;=PRSI_Credit_Top,MAX(0,PRSI_Credit_Max-(C38/Weeks_Per_Year-(PRSI_Free_Week+0.01))/PRSI_Credit_Taper),0))*Weeks_Per_Year)</f>
        <v>1906.875</v>
      </c>
      <c r="J38" s="198" t="n">
        <f aca="false">C38-F38-G38-H38</f>
        <v>39159.68</v>
      </c>
      <c r="K38" s="198" t="n">
        <f aca="false">C38-F38-G38-I38</f>
        <v>39210.305</v>
      </c>
      <c r="L38" s="198" t="n">
        <v>3000</v>
      </c>
      <c r="M38" s="198" t="n">
        <v>882.82</v>
      </c>
      <c r="N38" s="198" t="n">
        <v>39159.68</v>
      </c>
      <c r="O38" s="198" t="n">
        <v>39210.31</v>
      </c>
      <c r="P38" s="198" t="n">
        <f aca="false">MAX(ABS(ROUND(F38,2)-L38),ABS(ROUND(G38,2)-M38),ABS(ROUND(J38,2)-N38),ABS(ROUND(K38,2)-O38))</f>
        <v>0</v>
      </c>
      <c r="Q38" s="199" t="str">
        <f aca="false">IF(P38&lt;0.005,"PASS","FAIL")</f>
        <v>PASS</v>
      </c>
    </row>
    <row r="39" customFormat="false" ht="15" hidden="false" customHeight="true" outlineLevel="0" collapsed="false">
      <c r="B39" s="177" t="s">
        <v>5981</v>
      </c>
      <c r="C39" s="133" t="n">
        <v>80000</v>
      </c>
      <c r="D39" s="177" t="s">
        <v>5925</v>
      </c>
      <c r="E39" s="177" t="s">
        <v>5976</v>
      </c>
      <c r="F39" s="198"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98" t="n">
        <f aca="false">IF(C39&lt;=USC_Exempt,0,USC_Rate_1*MIN(C39,USC_Band_1)+USC_Rate_2*MAX(0,MIN(C39,USC_Band_2)-USC_Band_1)+USC_Rate_3*MAX(0,MIN(C39,USC_Band_3)-USC_Band_2)+USC_Rate_4*MAX(0,C39-USC_Band_3))</f>
        <v>2430.62</v>
      </c>
      <c r="H39" s="198" t="n">
        <f aca="false">IF(C39/Weeks_Per_Year&lt;=PRSI_Free_Week,0,MAX(0,C39/Weeks_Per_Year*PRSI_Rate-IF(C39/Weeks_Per_Year&lt;=PRSI_Credit_Top,MAX(0,PRSI_Credit_Max-(C39/Weeks_Per_Year-(PRSI_Free_Week+0.01))/PRSI_Credit_Taper),0))*Weeks_Per_Year)</f>
        <v>3480</v>
      </c>
      <c r="I39" s="198" t="n">
        <f aca="false">IF(C39/Weeks_Per_Year&lt;=PRSI_Free_Week,0,MAX(0,C39/Weeks_Per_Year*PRSI_Rate_2026_Blend-IF(C39/Weeks_Per_Year&lt;=PRSI_Credit_Top,MAX(0,PRSI_Credit_Max-(C39/Weeks_Per_Year-(PRSI_Free_Week+0.01))/PRSI_Credit_Taper),0))*Weeks_Per_Year)</f>
        <v>3390</v>
      </c>
      <c r="J39" s="198" t="n">
        <f aca="false">C39-F39-G39-H39</f>
        <v>54889.38</v>
      </c>
      <c r="K39" s="198" t="n">
        <f aca="false">C39-F39-G39-I39</f>
        <v>54979.38</v>
      </c>
      <c r="L39" s="198" t="n">
        <v>19200</v>
      </c>
      <c r="M39" s="198" t="n">
        <v>2430.62</v>
      </c>
      <c r="N39" s="198" t="n">
        <v>54889.38</v>
      </c>
      <c r="O39" s="198" t="n">
        <v>54979.38</v>
      </c>
      <c r="P39" s="198" t="n">
        <f aca="false">MAX(ABS(ROUND(F39,2)-L39),ABS(ROUND(G39,2)-M39),ABS(ROUND(J39,2)-N39),ABS(ROUND(K39,2)-O39))</f>
        <v>0</v>
      </c>
      <c r="Q39" s="199" t="str">
        <f aca="false">IF(P39&lt;0.005,"PASS","FAIL")</f>
        <v>PASS</v>
      </c>
    </row>
    <row r="40" customFormat="false" ht="15" hidden="false" customHeight="true" outlineLevel="0" collapsed="false">
      <c r="B40" s="177" t="s">
        <v>5982</v>
      </c>
      <c r="C40" s="133" t="n">
        <v>80000</v>
      </c>
      <c r="D40" s="177" t="s">
        <v>5978</v>
      </c>
      <c r="E40" s="177" t="s">
        <v>5976</v>
      </c>
      <c r="F40" s="198"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98" t="n">
        <f aca="false">IF(C40&lt;=USC_Exempt,0,USC_Rate_1*MIN(C40,USC_Band_1)+USC_Rate_2*MAX(0,MIN(C40,USC_Band_2)-USC_Band_1)+USC_Rate_3*MAX(0,MIN(C40,USC_Band_3)-USC_Band_2)+USC_Rate_4*MAX(0,C40-USC_Band_3))</f>
        <v>2430.62</v>
      </c>
      <c r="H40" s="198" t="n">
        <f aca="false">IF(C40/Weeks_Per_Year&lt;=PRSI_Free_Week,0,MAX(0,C40/Weeks_Per_Year*PRSI_Rate-IF(C40/Weeks_Per_Year&lt;=PRSI_Credit_Top,MAX(0,PRSI_Credit_Max-(C40/Weeks_Per_Year-(PRSI_Free_Week+0.01))/PRSI_Credit_Taper),0))*Weeks_Per_Year)</f>
        <v>3480</v>
      </c>
      <c r="I40" s="198" t="n">
        <f aca="false">IF(C40/Weeks_Per_Year&lt;=PRSI_Free_Week,0,MAX(0,C40/Weeks_Per_Year*PRSI_Rate_2026_Blend-IF(C40/Weeks_Per_Year&lt;=PRSI_Credit_Top,MAX(0,PRSI_Credit_Max-(C40/Weeks_Per_Year-(PRSI_Free_Week+0.01))/PRSI_Credit_Taper),0))*Weeks_Per_Year)</f>
        <v>3390</v>
      </c>
      <c r="J40" s="198" t="n">
        <f aca="false">C40-F40-G40-H40</f>
        <v>58689.38</v>
      </c>
      <c r="K40" s="198" t="n">
        <f aca="false">C40-F40-G40-I40</f>
        <v>58779.38</v>
      </c>
      <c r="L40" s="198" t="n">
        <v>15400</v>
      </c>
      <c r="M40" s="198" t="n">
        <v>2430.62</v>
      </c>
      <c r="N40" s="198" t="n">
        <v>58689.38</v>
      </c>
      <c r="O40" s="198" t="n">
        <v>58779.38</v>
      </c>
      <c r="P40" s="198" t="n">
        <f aca="false">MAX(ABS(ROUND(F40,2)-L40),ABS(ROUND(G40,2)-M40),ABS(ROUND(J40,2)-N40),ABS(ROUND(K40,2)-O40))</f>
        <v>0</v>
      </c>
      <c r="Q40" s="199" t="str">
        <f aca="false">IF(P40&lt;0.005,"PASS","FAIL")</f>
        <v>PASS</v>
      </c>
    </row>
    <row r="41" customFormat="false" ht="15" hidden="false" customHeight="true" outlineLevel="0" collapsed="false">
      <c r="B41" s="177" t="s">
        <v>5983</v>
      </c>
      <c r="C41" s="133" t="n">
        <v>150000</v>
      </c>
      <c r="D41" s="177" t="s">
        <v>5925</v>
      </c>
      <c r="E41" s="177" t="s">
        <v>5976</v>
      </c>
      <c r="F41" s="198"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98" t="n">
        <f aca="false">IF(C41&lt;=USC_Exempt,0,USC_Rate_1*MIN(C41,USC_Band_1)+USC_Rate_2*MAX(0,MIN(C41,USC_Band_2)-USC_Band_1)+USC_Rate_3*MAX(0,MIN(C41,USC_Band_3)-USC_Band_2)+USC_Rate_4*MAX(0,C41-USC_Band_3))</f>
        <v>8030.62</v>
      </c>
      <c r="H41" s="198" t="n">
        <f aca="false">IF(C41/Weeks_Per_Year&lt;=PRSI_Free_Week,0,MAX(0,C41/Weeks_Per_Year*PRSI_Rate-IF(C41/Weeks_Per_Year&lt;=PRSI_Credit_Top,MAX(0,PRSI_Credit_Max-(C41/Weeks_Per_Year-(PRSI_Free_Week+0.01))/PRSI_Credit_Taper),0))*Weeks_Per_Year)</f>
        <v>6525</v>
      </c>
      <c r="I41" s="198" t="n">
        <f aca="false">IF(C41/Weeks_Per_Year&lt;=PRSI_Free_Week,0,MAX(0,C41/Weeks_Per_Year*PRSI_Rate_2026_Blend-IF(C41/Weeks_Per_Year&lt;=PRSI_Credit_Top,MAX(0,PRSI_Credit_Max-(C41/Weeks_Per_Year-(PRSI_Free_Week+0.01))/PRSI_Credit_Taper),0))*Weeks_Per_Year)</f>
        <v>6356.25</v>
      </c>
      <c r="J41" s="198" t="n">
        <f aca="false">C41-F41-G41-H41</f>
        <v>88244.38</v>
      </c>
      <c r="K41" s="198" t="n">
        <f aca="false">C41-F41-G41-I41</f>
        <v>88413.13</v>
      </c>
      <c r="L41" s="198" t="n">
        <v>47200</v>
      </c>
      <c r="M41" s="198" t="n">
        <v>8030.62</v>
      </c>
      <c r="N41" s="198" t="n">
        <v>88244.38</v>
      </c>
      <c r="O41" s="198" t="n">
        <v>88413.13</v>
      </c>
      <c r="P41" s="198" t="n">
        <f aca="false">MAX(ABS(ROUND(F41,2)-L41),ABS(ROUND(G41,2)-M41),ABS(ROUND(J41,2)-N41),ABS(ROUND(K41,2)-O41))</f>
        <v>0</v>
      </c>
      <c r="Q41" s="199" t="str">
        <f aca="false">IF(P41&lt;0.005,"PASS","FAIL")</f>
        <v>PASS</v>
      </c>
    </row>
    <row r="42" customFormat="false" ht="15" hidden="false" customHeight="true" outlineLevel="0" collapsed="false">
      <c r="B42" s="177" t="s">
        <v>5984</v>
      </c>
      <c r="C42" s="133" t="n">
        <v>150000</v>
      </c>
      <c r="D42" s="177" t="s">
        <v>5978</v>
      </c>
      <c r="E42" s="177" t="s">
        <v>5976</v>
      </c>
      <c r="F42" s="198"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98" t="n">
        <f aca="false">IF(C42&lt;=USC_Exempt,0,USC_Rate_1*MIN(C42,USC_Band_1)+USC_Rate_2*MAX(0,MIN(C42,USC_Band_2)-USC_Band_1)+USC_Rate_3*MAX(0,MIN(C42,USC_Band_3)-USC_Band_2)+USC_Rate_4*MAX(0,C42-USC_Band_3))</f>
        <v>8030.62</v>
      </c>
      <c r="H42" s="198" t="n">
        <f aca="false">IF(C42/Weeks_Per_Year&lt;=PRSI_Free_Week,0,MAX(0,C42/Weeks_Per_Year*PRSI_Rate-IF(C42/Weeks_Per_Year&lt;=PRSI_Credit_Top,MAX(0,PRSI_Credit_Max-(C42/Weeks_Per_Year-(PRSI_Free_Week+0.01))/PRSI_Credit_Taper),0))*Weeks_Per_Year)</f>
        <v>6525</v>
      </c>
      <c r="I42" s="198" t="n">
        <f aca="false">IF(C42/Weeks_Per_Year&lt;=PRSI_Free_Week,0,MAX(0,C42/Weeks_Per_Year*PRSI_Rate_2026_Blend-IF(C42/Weeks_Per_Year&lt;=PRSI_Credit_Top,MAX(0,PRSI_Credit_Max-(C42/Weeks_Per_Year-(PRSI_Free_Week+0.01))/PRSI_Credit_Taper),0))*Weeks_Per_Year)</f>
        <v>6356.25</v>
      </c>
      <c r="J42" s="198" t="n">
        <f aca="false">C42-F42-G42-H42</f>
        <v>92044.38</v>
      </c>
      <c r="K42" s="198" t="n">
        <f aca="false">C42-F42-G42-I42</f>
        <v>92213.13</v>
      </c>
      <c r="L42" s="198" t="n">
        <v>43400</v>
      </c>
      <c r="M42" s="198" t="n">
        <v>8030.62</v>
      </c>
      <c r="N42" s="198" t="n">
        <v>92044.38</v>
      </c>
      <c r="O42" s="198" t="n">
        <v>92213.13</v>
      </c>
      <c r="P42" s="198" t="n">
        <f aca="false">MAX(ABS(ROUND(F42,2)-L42),ABS(ROUND(G42,2)-M42),ABS(ROUND(J42,2)-N42),ABS(ROUND(K42,2)-O42))</f>
        <v>0</v>
      </c>
      <c r="Q42" s="199" t="str">
        <f aca="false">IF(P42&lt;0.005,"PASS","FAIL")</f>
        <v>PASS</v>
      </c>
    </row>
    <row r="43" customFormat="false" ht="15" hidden="false" customHeight="true" outlineLevel="0" collapsed="false">
      <c r="B43" s="177" t="s">
        <v>5985</v>
      </c>
      <c r="C43" s="133" t="n">
        <v>60000</v>
      </c>
      <c r="D43" s="177" t="s">
        <v>5986</v>
      </c>
      <c r="E43" s="177" t="s">
        <v>5987</v>
      </c>
      <c r="F43" s="198"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77"/>
      <c r="H43" s="177"/>
      <c r="I43" s="177"/>
      <c r="J43" s="177"/>
      <c r="K43" s="177"/>
      <c r="L43" s="198" t="n">
        <v>11400</v>
      </c>
      <c r="M43" s="177"/>
      <c r="N43" s="177"/>
      <c r="O43" s="177"/>
      <c r="P43" s="198" t="n">
        <f aca="false">ABS(ROUND(F43,2)-L43)</f>
        <v>0</v>
      </c>
      <c r="Q43" s="199" t="str">
        <f aca="false">IF(P43&lt;0.005,"PASS","FAIL")</f>
        <v>PASS</v>
      </c>
      <c r="R43" s="133" t="n">
        <v>30000</v>
      </c>
    </row>
    <row r="44" customFormat="false" ht="15" hidden="false" customHeight="true" outlineLevel="0" collapsed="false">
      <c r="B44" s="177" t="s">
        <v>5988</v>
      </c>
      <c r="C44" s="133" t="n">
        <v>80000</v>
      </c>
      <c r="D44" s="177" t="s">
        <v>5986</v>
      </c>
      <c r="E44" s="177" t="s">
        <v>5989</v>
      </c>
      <c r="F44" s="198"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77"/>
      <c r="H44" s="177"/>
      <c r="I44" s="177"/>
      <c r="J44" s="177"/>
      <c r="K44" s="177"/>
      <c r="L44" s="198" t="n">
        <v>26400</v>
      </c>
      <c r="M44" s="177"/>
      <c r="N44" s="177"/>
      <c r="O44" s="177"/>
      <c r="P44" s="198" t="n">
        <f aca="false">ABS(ROUND(F44,2)-L44)</f>
        <v>0</v>
      </c>
      <c r="Q44" s="199" t="str">
        <f aca="false">IF(P44&lt;0.005,"PASS","FAIL")</f>
        <v>PASS</v>
      </c>
      <c r="R44" s="133" t="n">
        <v>50000</v>
      </c>
    </row>
    <row r="45" customFormat="false" ht="15" hidden="false" customHeight="true" outlineLevel="0" collapsed="false">
      <c r="B45" s="177" t="s">
        <v>5990</v>
      </c>
      <c r="C45" s="133" t="n">
        <v>45000</v>
      </c>
      <c r="D45" s="177" t="s">
        <v>5986</v>
      </c>
      <c r="E45" s="177" t="s">
        <v>5991</v>
      </c>
      <c r="F45" s="198"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77"/>
      <c r="H45" s="177"/>
      <c r="I45" s="177"/>
      <c r="J45" s="177"/>
      <c r="K45" s="177"/>
      <c r="L45" s="198" t="n">
        <v>10400</v>
      </c>
      <c r="M45" s="177"/>
      <c r="N45" s="177"/>
      <c r="O45" s="177"/>
      <c r="P45" s="198" t="n">
        <f aca="false">ABS(ROUND(F45,2)-L45)</f>
        <v>0</v>
      </c>
      <c r="Q45" s="199" t="str">
        <f aca="false">IF(P45&lt;0.005,"PASS","FAIL")</f>
        <v>PASS</v>
      </c>
      <c r="R45" s="133" t="n">
        <v>45000</v>
      </c>
    </row>
    <row r="46" customFormat="false" ht="15" hidden="false" customHeight="true" outlineLevel="0" collapsed="false">
      <c r="B46" s="193" t="s">
        <v>5992</v>
      </c>
      <c r="Q46" s="200"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18"/>
    <col collapsed="false" customWidth="true" hidden="false" outlineLevel="0" max="3" min="3" style="20" width="36"/>
    <col collapsed="false" customWidth="true" hidden="false" outlineLevel="0" max="4" min="4" style="20" width="30"/>
    <col collapsed="false" customWidth="true" hidden="false" outlineLevel="0" max="5" min="5" style="20" width="70"/>
    <col collapsed="false" customWidth="true" hidden="false" outlineLevel="0" max="6" min="6" style="20" width="44"/>
    <col collapsed="false" customWidth="true" hidden="false" outlineLevel="0" max="7" min="7" style="20" width="26"/>
    <col collapsed="false" customWidth="true" hidden="false" outlineLevel="0" max="8" min="8" style="20" width="30"/>
  </cols>
  <sheetData>
    <row r="1" customFormat="false" ht="17.25" hidden="false" customHeight="true" outlineLevel="0" collapsed="false">
      <c r="B1" s="21" t="s">
        <v>5993</v>
      </c>
    </row>
    <row r="2" customFormat="false" ht="63.75" hidden="false" customHeight="true" outlineLevel="0" collapsed="false">
      <c r="B2" s="2" t="s">
        <v>5994</v>
      </c>
      <c r="C2" s="2"/>
      <c r="D2" s="2"/>
      <c r="E2" s="2"/>
      <c r="F2" s="2"/>
      <c r="G2" s="2"/>
      <c r="H2" s="2"/>
    </row>
    <row r="4" customFormat="false" ht="15" hidden="false" customHeight="true" outlineLevel="0" collapsed="false">
      <c r="B4" s="33" t="s">
        <v>5995</v>
      </c>
      <c r="C4" s="33" t="s">
        <v>5996</v>
      </c>
      <c r="D4" s="33" t="s">
        <v>5997</v>
      </c>
      <c r="E4" s="33" t="s">
        <v>1227</v>
      </c>
      <c r="F4" s="33" t="s">
        <v>5998</v>
      </c>
      <c r="G4" s="33" t="s">
        <v>5999</v>
      </c>
      <c r="H4" s="33" t="s">
        <v>6000</v>
      </c>
    </row>
    <row r="5" customFormat="false" ht="27.75" hidden="false" customHeight="true" outlineLevel="0" collapsed="false">
      <c r="B5" s="182" t="s">
        <v>6001</v>
      </c>
      <c r="C5" s="182" t="s">
        <v>6002</v>
      </c>
      <c r="D5" s="182" t="s">
        <v>6003</v>
      </c>
      <c r="E5" s="182" t="s">
        <v>6004</v>
      </c>
      <c r="F5" s="182" t="s">
        <v>6005</v>
      </c>
      <c r="G5" s="182" t="s">
        <v>6006</v>
      </c>
      <c r="H5" s="182" t="s">
        <v>6007</v>
      </c>
    </row>
    <row r="6" customFormat="false" ht="27.75" hidden="false" customHeight="true" outlineLevel="0" collapsed="false">
      <c r="B6" s="182" t="s">
        <v>6001</v>
      </c>
      <c r="C6" s="182" t="s">
        <v>6008</v>
      </c>
      <c r="D6" s="182" t="s">
        <v>6009</v>
      </c>
      <c r="E6" s="182" t="s">
        <v>6010</v>
      </c>
      <c r="F6" s="182" t="s">
        <v>6011</v>
      </c>
      <c r="G6" s="182" t="s">
        <v>6012</v>
      </c>
      <c r="H6" s="182" t="s">
        <v>6007</v>
      </c>
    </row>
    <row r="7" customFormat="false" ht="27.75" hidden="false" customHeight="true" outlineLevel="0" collapsed="false">
      <c r="B7" s="182" t="s">
        <v>6013</v>
      </c>
      <c r="C7" s="182" t="s">
        <v>6014</v>
      </c>
      <c r="D7" s="182" t="s">
        <v>6015</v>
      </c>
      <c r="E7" s="182" t="s">
        <v>6016</v>
      </c>
      <c r="F7" s="182" t="s">
        <v>6017</v>
      </c>
      <c r="G7" s="182" t="s">
        <v>6012</v>
      </c>
      <c r="H7" s="182" t="s">
        <v>6007</v>
      </c>
    </row>
    <row r="8" customFormat="false" ht="27.75" hidden="false" customHeight="true" outlineLevel="0" collapsed="false">
      <c r="B8" s="182" t="s">
        <v>6013</v>
      </c>
      <c r="C8" s="182" t="s">
        <v>6018</v>
      </c>
      <c r="D8" s="182" t="s">
        <v>6019</v>
      </c>
      <c r="E8" s="182" t="s">
        <v>6020</v>
      </c>
      <c r="F8" s="182" t="s">
        <v>6021</v>
      </c>
      <c r="G8" s="182" t="s">
        <v>6012</v>
      </c>
      <c r="H8" s="182" t="s">
        <v>6007</v>
      </c>
    </row>
    <row r="9" customFormat="false" ht="54.75" hidden="false" customHeight="true" outlineLevel="0" collapsed="false">
      <c r="B9" s="182" t="s">
        <v>6013</v>
      </c>
      <c r="C9" s="182" t="s">
        <v>6022</v>
      </c>
      <c r="D9" s="182" t="s">
        <v>6023</v>
      </c>
      <c r="E9" s="182" t="s">
        <v>6024</v>
      </c>
      <c r="F9" s="182" t="s">
        <v>6025</v>
      </c>
      <c r="G9" s="182" t="s">
        <v>6026</v>
      </c>
      <c r="H9" s="182" t="s">
        <v>6007</v>
      </c>
    </row>
    <row r="10" customFormat="false" ht="41.25" hidden="false" customHeight="true" outlineLevel="0" collapsed="false">
      <c r="B10" s="182" t="s">
        <v>6027</v>
      </c>
      <c r="C10" s="182" t="s">
        <v>6028</v>
      </c>
      <c r="D10" s="182" t="s">
        <v>6029</v>
      </c>
      <c r="E10" s="182" t="s">
        <v>6030</v>
      </c>
      <c r="F10" s="182" t="s">
        <v>6031</v>
      </c>
      <c r="G10" s="182" t="s">
        <v>6012</v>
      </c>
      <c r="H10" s="182" t="s">
        <v>6007</v>
      </c>
    </row>
    <row r="11" customFormat="false" ht="41.25" hidden="false" customHeight="true" outlineLevel="0" collapsed="false">
      <c r="B11" s="182" t="s">
        <v>6027</v>
      </c>
      <c r="C11" s="182" t="s">
        <v>6032</v>
      </c>
      <c r="D11" s="182" t="s">
        <v>6033</v>
      </c>
      <c r="E11" s="182" t="s">
        <v>6034</v>
      </c>
      <c r="F11" s="182" t="s">
        <v>6035</v>
      </c>
      <c r="G11" s="182" t="s">
        <v>6026</v>
      </c>
      <c r="H11" s="182" t="s">
        <v>6007</v>
      </c>
    </row>
    <row r="12" customFormat="false" ht="41.25" hidden="false" customHeight="true" outlineLevel="0" collapsed="false">
      <c r="B12" s="182" t="s">
        <v>6027</v>
      </c>
      <c r="C12" s="182" t="s">
        <v>6036</v>
      </c>
      <c r="D12" s="182" t="s">
        <v>6037</v>
      </c>
      <c r="E12" s="182" t="s">
        <v>6038</v>
      </c>
      <c r="F12" s="182" t="s">
        <v>6005</v>
      </c>
      <c r="G12" s="182" t="s">
        <v>6006</v>
      </c>
      <c r="H12" s="182" t="s">
        <v>6007</v>
      </c>
    </row>
    <row r="13" customFormat="false" ht="41.25" hidden="false" customHeight="true" outlineLevel="0" collapsed="false">
      <c r="B13" s="182" t="s">
        <v>6039</v>
      </c>
      <c r="C13" s="182" t="s">
        <v>6040</v>
      </c>
      <c r="D13" s="182" t="s">
        <v>6041</v>
      </c>
      <c r="E13" s="182" t="s">
        <v>6042</v>
      </c>
      <c r="F13" s="182" t="s">
        <v>6043</v>
      </c>
      <c r="G13" s="182" t="s">
        <v>6026</v>
      </c>
      <c r="H13" s="182" t="s">
        <v>6007</v>
      </c>
    </row>
    <row r="14" customFormat="false" ht="41.25" hidden="false" customHeight="true" outlineLevel="0" collapsed="false">
      <c r="B14" s="182" t="s">
        <v>6039</v>
      </c>
      <c r="C14" s="182" t="s">
        <v>6044</v>
      </c>
      <c r="D14" s="182" t="s">
        <v>6045</v>
      </c>
      <c r="E14" s="182" t="s">
        <v>6046</v>
      </c>
      <c r="F14" s="182" t="s">
        <v>6047</v>
      </c>
      <c r="G14" s="182" t="s">
        <v>6026</v>
      </c>
      <c r="H14" s="182" t="s">
        <v>6007</v>
      </c>
    </row>
    <row r="15" customFormat="false" ht="41.25" hidden="false" customHeight="true" outlineLevel="0" collapsed="false">
      <c r="B15" s="182" t="s">
        <v>6039</v>
      </c>
      <c r="C15" s="182" t="s">
        <v>6048</v>
      </c>
      <c r="D15" s="182" t="s">
        <v>6049</v>
      </c>
      <c r="E15" s="182" t="s">
        <v>6050</v>
      </c>
      <c r="F15" s="182" t="s">
        <v>6051</v>
      </c>
      <c r="G15" s="182" t="s">
        <v>6026</v>
      </c>
      <c r="H15" s="182" t="s">
        <v>6007</v>
      </c>
    </row>
    <row r="16" customFormat="false" ht="27.75" hidden="false" customHeight="true" outlineLevel="0" collapsed="false">
      <c r="B16" s="182" t="s">
        <v>6039</v>
      </c>
      <c r="C16" s="182" t="s">
        <v>6052</v>
      </c>
      <c r="D16" s="182" t="s">
        <v>6053</v>
      </c>
      <c r="E16" s="182" t="s">
        <v>6054</v>
      </c>
      <c r="F16" s="182" t="s">
        <v>6055</v>
      </c>
      <c r="G16" s="182" t="s">
        <v>6012</v>
      </c>
      <c r="H16" s="182" t="s">
        <v>6007</v>
      </c>
    </row>
    <row r="17" customFormat="false" ht="41.25" hidden="false" customHeight="true" outlineLevel="0" collapsed="false">
      <c r="B17" s="182" t="s">
        <v>6056</v>
      </c>
      <c r="C17" s="182" t="s">
        <v>6057</v>
      </c>
      <c r="D17" s="182" t="s">
        <v>6058</v>
      </c>
      <c r="E17" s="182" t="s">
        <v>6059</v>
      </c>
      <c r="F17" s="182" t="s">
        <v>6060</v>
      </c>
      <c r="G17" s="182" t="s">
        <v>6026</v>
      </c>
      <c r="H17" s="182" t="s">
        <v>6007</v>
      </c>
    </row>
    <row r="18" customFormat="false" ht="27.75" hidden="false" customHeight="true" outlineLevel="0" collapsed="false">
      <c r="B18" s="182" t="s">
        <v>6061</v>
      </c>
      <c r="C18" s="182" t="s">
        <v>6062</v>
      </c>
      <c r="D18" s="182" t="s">
        <v>6063</v>
      </c>
      <c r="E18" s="182" t="s">
        <v>6064</v>
      </c>
      <c r="F18" s="182" t="s">
        <v>6065</v>
      </c>
      <c r="G18" s="182" t="s">
        <v>6012</v>
      </c>
      <c r="H18" s="182" t="s">
        <v>6007</v>
      </c>
    </row>
    <row r="19" customFormat="false" ht="27.75" hidden="false" customHeight="true" outlineLevel="0" collapsed="false">
      <c r="B19" s="182" t="s">
        <v>6061</v>
      </c>
      <c r="C19" s="182" t="s">
        <v>6066</v>
      </c>
      <c r="D19" s="182" t="s">
        <v>6067</v>
      </c>
      <c r="E19" s="182" t="s">
        <v>6068</v>
      </c>
      <c r="F19" s="182" t="s">
        <v>6069</v>
      </c>
      <c r="G19" s="182" t="s">
        <v>6026</v>
      </c>
      <c r="H19" s="182" t="s">
        <v>6007</v>
      </c>
    </row>
    <row r="20" customFormat="false" ht="41.25" hidden="false" customHeight="true" outlineLevel="0" collapsed="false">
      <c r="B20" s="182" t="s">
        <v>6061</v>
      </c>
      <c r="C20" s="182" t="s">
        <v>6070</v>
      </c>
      <c r="D20" s="182" t="s">
        <v>6071</v>
      </c>
      <c r="E20" s="182" t="s">
        <v>6072</v>
      </c>
      <c r="F20" s="182" t="s">
        <v>6073</v>
      </c>
      <c r="G20" s="182" t="s">
        <v>6026</v>
      </c>
      <c r="H20" s="182" t="s">
        <v>6007</v>
      </c>
    </row>
    <row r="21" customFormat="false" ht="27.75" hidden="false" customHeight="true" outlineLevel="0" collapsed="false">
      <c r="B21" s="182" t="s">
        <v>6061</v>
      </c>
      <c r="C21" s="182" t="s">
        <v>6074</v>
      </c>
      <c r="D21" s="182" t="s">
        <v>6075</v>
      </c>
      <c r="E21" s="182" t="s">
        <v>6076</v>
      </c>
      <c r="F21" s="182" t="s">
        <v>6077</v>
      </c>
      <c r="G21" s="182" t="s">
        <v>6026</v>
      </c>
      <c r="H21" s="182" t="s">
        <v>6007</v>
      </c>
    </row>
    <row r="22" customFormat="false" ht="27.75" hidden="false" customHeight="true" outlineLevel="0" collapsed="false">
      <c r="B22" s="182" t="s">
        <v>6078</v>
      </c>
      <c r="C22" s="182" t="s">
        <v>6079</v>
      </c>
      <c r="D22" s="182" t="s">
        <v>6080</v>
      </c>
      <c r="E22" s="182" t="s">
        <v>6081</v>
      </c>
      <c r="F22" s="182" t="s">
        <v>6082</v>
      </c>
      <c r="G22" s="182" t="s">
        <v>6026</v>
      </c>
      <c r="H22" s="182" t="s">
        <v>6007</v>
      </c>
    </row>
    <row r="23" customFormat="false" ht="27.75" hidden="false" customHeight="true" outlineLevel="0" collapsed="false">
      <c r="B23" s="182" t="s">
        <v>6078</v>
      </c>
      <c r="C23" s="182" t="s">
        <v>6083</v>
      </c>
      <c r="D23" s="182" t="s">
        <v>6084</v>
      </c>
      <c r="E23" s="182" t="s">
        <v>6085</v>
      </c>
      <c r="F23" s="182" t="s">
        <v>6086</v>
      </c>
      <c r="G23" s="182" t="s">
        <v>6026</v>
      </c>
      <c r="H23" s="182" t="s">
        <v>6007</v>
      </c>
    </row>
    <row r="24" customFormat="false" ht="27.75" hidden="false" customHeight="true" outlineLevel="0" collapsed="false">
      <c r="B24" s="182" t="s">
        <v>6087</v>
      </c>
      <c r="C24" s="182" t="s">
        <v>6088</v>
      </c>
      <c r="D24" s="182" t="s">
        <v>6089</v>
      </c>
      <c r="E24" s="182" t="s">
        <v>6090</v>
      </c>
      <c r="F24" s="182" t="s">
        <v>6091</v>
      </c>
      <c r="G24" s="182" t="s">
        <v>6026</v>
      </c>
      <c r="H24" s="182" t="s">
        <v>6007</v>
      </c>
    </row>
    <row r="25" customFormat="false" ht="27.75" hidden="false" customHeight="true" outlineLevel="0" collapsed="false">
      <c r="B25" s="182" t="s">
        <v>6087</v>
      </c>
      <c r="C25" s="182" t="s">
        <v>6092</v>
      </c>
      <c r="D25" s="182" t="s">
        <v>6093</v>
      </c>
      <c r="E25" s="182" t="s">
        <v>6094</v>
      </c>
      <c r="F25" s="182" t="s">
        <v>6005</v>
      </c>
      <c r="G25" s="182" t="s">
        <v>6006</v>
      </c>
      <c r="H25" s="182" t="s">
        <v>6007</v>
      </c>
    </row>
    <row r="26" customFormat="false" ht="41.25" hidden="false" customHeight="true" outlineLevel="0" collapsed="false">
      <c r="B26" s="182" t="s">
        <v>6087</v>
      </c>
      <c r="C26" s="182" t="s">
        <v>6095</v>
      </c>
      <c r="D26" s="182" t="s">
        <v>6096</v>
      </c>
      <c r="E26" s="182" t="s">
        <v>6097</v>
      </c>
      <c r="F26" s="182" t="s">
        <v>6098</v>
      </c>
      <c r="G26" s="182" t="s">
        <v>6026</v>
      </c>
      <c r="H26" s="182" t="s">
        <v>6007</v>
      </c>
    </row>
    <row r="27" customFormat="false" ht="54.75" hidden="false" customHeight="true" outlineLevel="0" collapsed="false">
      <c r="B27" s="182" t="s">
        <v>6087</v>
      </c>
      <c r="C27" s="182" t="s">
        <v>6099</v>
      </c>
      <c r="D27" s="182" t="s">
        <v>6100</v>
      </c>
      <c r="E27" s="182" t="s">
        <v>6101</v>
      </c>
      <c r="F27" s="182" t="s">
        <v>6102</v>
      </c>
      <c r="G27" s="182" t="s">
        <v>6026</v>
      </c>
      <c r="H27" s="182" t="s">
        <v>6007</v>
      </c>
    </row>
    <row r="28" customFormat="false" ht="27.75" hidden="false" customHeight="true" outlineLevel="0" collapsed="false">
      <c r="B28" s="182" t="s">
        <v>6087</v>
      </c>
      <c r="C28" s="182" t="s">
        <v>6103</v>
      </c>
      <c r="D28" s="182" t="s">
        <v>6104</v>
      </c>
      <c r="E28" s="182" t="s">
        <v>6105</v>
      </c>
      <c r="F28" s="182" t="s">
        <v>6106</v>
      </c>
      <c r="G28" s="182" t="s">
        <v>6006</v>
      </c>
      <c r="H28" s="182" t="s">
        <v>6007</v>
      </c>
    </row>
    <row r="29" customFormat="false" ht="27.75" hidden="false" customHeight="true" outlineLevel="0" collapsed="false">
      <c r="B29" s="182" t="s">
        <v>6087</v>
      </c>
      <c r="C29" s="182" t="s">
        <v>6107</v>
      </c>
      <c r="D29" s="182" t="s">
        <v>6108</v>
      </c>
      <c r="E29" s="182" t="s">
        <v>6109</v>
      </c>
      <c r="F29" s="182" t="s">
        <v>6110</v>
      </c>
      <c r="G29" s="182" t="s">
        <v>6026</v>
      </c>
      <c r="H29" s="182" t="s">
        <v>6007</v>
      </c>
    </row>
    <row r="30" customFormat="false" ht="41.25" hidden="false" customHeight="true" outlineLevel="0" collapsed="false">
      <c r="B30" s="182" t="s">
        <v>6087</v>
      </c>
      <c r="C30" s="182" t="s">
        <v>6111</v>
      </c>
      <c r="D30" s="182" t="s">
        <v>6112</v>
      </c>
      <c r="E30" s="182" t="s">
        <v>6113</v>
      </c>
      <c r="F30" s="182" t="s">
        <v>6114</v>
      </c>
      <c r="G30" s="182" t="s">
        <v>6026</v>
      </c>
      <c r="H30" s="182" t="s">
        <v>6007</v>
      </c>
    </row>
    <row r="31" customFormat="false" ht="27.75" hidden="false" customHeight="true" outlineLevel="0" collapsed="false">
      <c r="B31" s="182" t="s">
        <v>6087</v>
      </c>
      <c r="C31" s="182" t="s">
        <v>6115</v>
      </c>
      <c r="D31" s="182" t="s">
        <v>6116</v>
      </c>
      <c r="E31" s="182" t="s">
        <v>6117</v>
      </c>
      <c r="F31" s="182" t="s">
        <v>6005</v>
      </c>
      <c r="G31" s="182" t="s">
        <v>6006</v>
      </c>
      <c r="H31" s="182" t="s">
        <v>6007</v>
      </c>
    </row>
    <row r="32" customFormat="false" ht="27.75" hidden="false" customHeight="true" outlineLevel="0" collapsed="false">
      <c r="B32" s="182" t="s">
        <v>6118</v>
      </c>
      <c r="C32" s="182" t="s">
        <v>6119</v>
      </c>
      <c r="D32" s="182" t="s">
        <v>6120</v>
      </c>
      <c r="E32" s="182" t="s">
        <v>6121</v>
      </c>
      <c r="F32" s="182" t="s">
        <v>6122</v>
      </c>
      <c r="G32" s="182" t="s">
        <v>6012</v>
      </c>
      <c r="H32" s="182" t="s">
        <v>6007</v>
      </c>
    </row>
    <row r="33" customFormat="false" ht="27.75" hidden="false" customHeight="true" outlineLevel="0" collapsed="false">
      <c r="B33" s="182" t="s">
        <v>6118</v>
      </c>
      <c r="C33" s="182" t="s">
        <v>6123</v>
      </c>
      <c r="D33" s="182" t="s">
        <v>6124</v>
      </c>
      <c r="E33" s="182" t="s">
        <v>6125</v>
      </c>
      <c r="F33" s="182" t="s">
        <v>6126</v>
      </c>
      <c r="G33" s="182" t="s">
        <v>6026</v>
      </c>
      <c r="H33" s="182" t="s">
        <v>6007</v>
      </c>
    </row>
    <row r="34" customFormat="false" ht="41.25" hidden="false" customHeight="true" outlineLevel="0" collapsed="false">
      <c r="B34" s="182" t="s">
        <v>6127</v>
      </c>
      <c r="C34" s="182" t="s">
        <v>6128</v>
      </c>
      <c r="D34" s="182" t="s">
        <v>6129</v>
      </c>
      <c r="E34" s="182" t="s">
        <v>6130</v>
      </c>
      <c r="F34" s="182" t="s">
        <v>6131</v>
      </c>
      <c r="G34" s="182" t="s">
        <v>6026</v>
      </c>
      <c r="H34" s="182" t="s">
        <v>6007</v>
      </c>
    </row>
    <row r="35" customFormat="false" ht="41.25" hidden="false" customHeight="true" outlineLevel="0" collapsed="false">
      <c r="B35" s="182" t="s">
        <v>6132</v>
      </c>
      <c r="C35" s="182" t="s">
        <v>6133</v>
      </c>
      <c r="D35" s="182" t="s">
        <v>6134</v>
      </c>
      <c r="E35" s="182" t="s">
        <v>6135</v>
      </c>
      <c r="F35" s="182" t="s">
        <v>6136</v>
      </c>
      <c r="G35" s="182" t="s">
        <v>6012</v>
      </c>
      <c r="H35" s="182" t="s">
        <v>6007</v>
      </c>
    </row>
    <row r="36" customFormat="false" ht="27.75" hidden="false" customHeight="true" outlineLevel="0" collapsed="false">
      <c r="B36" s="182" t="s">
        <v>6137</v>
      </c>
      <c r="C36" s="182" t="s">
        <v>6138</v>
      </c>
      <c r="D36" s="182" t="s">
        <v>6139</v>
      </c>
      <c r="E36" s="182" t="s">
        <v>6140</v>
      </c>
      <c r="F36" s="182" t="s">
        <v>6077</v>
      </c>
      <c r="G36" s="182" t="s">
        <v>6026</v>
      </c>
      <c r="H36" s="182" t="s">
        <v>6007</v>
      </c>
    </row>
    <row r="37" customFormat="false" ht="27.75" hidden="false" customHeight="true" outlineLevel="0" collapsed="false">
      <c r="B37" s="182" t="s">
        <v>6137</v>
      </c>
      <c r="C37" s="182" t="s">
        <v>6141</v>
      </c>
      <c r="D37" s="182" t="s">
        <v>6142</v>
      </c>
      <c r="E37" s="182" t="s">
        <v>6143</v>
      </c>
      <c r="F37" s="182" t="s">
        <v>6144</v>
      </c>
      <c r="G37" s="182" t="s">
        <v>6026</v>
      </c>
      <c r="H37" s="182" t="s">
        <v>6007</v>
      </c>
    </row>
    <row r="38" customFormat="false" ht="27.75" hidden="false" customHeight="true" outlineLevel="0" collapsed="false">
      <c r="B38" s="182" t="s">
        <v>6145</v>
      </c>
      <c r="C38" s="182" t="s">
        <v>6146</v>
      </c>
      <c r="D38" s="182" t="s">
        <v>6147</v>
      </c>
      <c r="E38" s="182" t="s">
        <v>6148</v>
      </c>
      <c r="F38" s="182" t="s">
        <v>6149</v>
      </c>
      <c r="G38" s="182" t="s">
        <v>6012</v>
      </c>
      <c r="H38" s="182" t="s">
        <v>6007</v>
      </c>
    </row>
    <row r="40" customFormat="false" ht="15" hidden="false" customHeight="true" outlineLevel="0" collapsed="false">
      <c r="B40" s="53" t="s">
        <v>6150</v>
      </c>
    </row>
    <row r="41" customFormat="false" ht="15" hidden="false" customHeight="true" outlineLevel="0" collapsed="false">
      <c r="B41" s="20" t="s">
        <v>6151</v>
      </c>
      <c r="D41" s="41" t="n">
        <v>0.18</v>
      </c>
    </row>
    <row r="42" customFormat="false" ht="15" hidden="false" customHeight="true" outlineLevel="0" collapsed="false">
      <c r="B42" s="20" t="s">
        <v>6152</v>
      </c>
      <c r="D42" s="42" t="n">
        <v>50</v>
      </c>
    </row>
    <row r="43" customFormat="false" ht="15" hidden="false" customHeight="true" outlineLevel="0" collapsed="false">
      <c r="B43" s="20" t="s">
        <v>6153</v>
      </c>
      <c r="D43" s="47" t="n">
        <f aca="false">'Plan cashflow'!$H$8/12</f>
        <v>5201.12055555556</v>
      </c>
    </row>
    <row r="44" customFormat="false" ht="15" hidden="false" customHeight="true" outlineLevel="0" collapsed="false">
      <c r="B44" s="20" t="s">
        <v>6154</v>
      </c>
      <c r="D44" s="47" t="n">
        <f aca="false">MAX(Rep_Step,ROUND(Rep_SharePct*Rep_TakeHomeM/Rep_Step,0)*Rep_Step)</f>
        <v>950</v>
      </c>
    </row>
    <row r="45" customFormat="false" ht="15" hidden="false" customHeight="true" outlineLevel="0" collapsed="false">
      <c r="B45" s="20" t="s">
        <v>6155</v>
      </c>
      <c r="D45" s="47" t="n">
        <f aca="false">ROUND(Rep_MoreM/2,0)</f>
        <v>475</v>
      </c>
    </row>
    <row r="46" customFormat="false" ht="15" hidden="false" customHeight="true" outlineLevel="0" collapsed="false">
      <c r="B46" s="20" t="s">
        <v>6156</v>
      </c>
      <c r="D46" s="41" t="n">
        <f aca="false">IF(F_Income&gt;IF(F_Married=1,Band_Married+MIN(In_pIncome,Band_Second_Earner_Max),IF(F_Spccc=1,Band_Single_Parent,Band_Single)),Rate_Higher,Rate_Standard)</f>
        <v>0.4</v>
      </c>
    </row>
    <row r="47" customFormat="false" ht="15" hidden="false" customHeight="true" outlineLevel="0" collapsed="false">
      <c r="B47" s="20" t="s">
        <v>6157</v>
      </c>
      <c r="D47" s="47" t="n">
        <f aca="false">MAX(0,INT((LOOKUP(F_Age,Relief_Age_From,Relief_Age_Pct)*MIN(F_Income,Relief_Earnings_Cap)-12*F_Own)/12))</f>
        <v>706</v>
      </c>
    </row>
    <row r="48" customFormat="false" ht="15" hidden="false" customHeight="true" outlineLevel="0" collapsed="false">
      <c r="B48" s="20" t="s">
        <v>6158</v>
      </c>
      <c r="D48" s="47" t="n">
        <f aca="false">ROUND(Rep_LimitM*(1-Rep_TaxRate),0)</f>
        <v>424</v>
      </c>
    </row>
    <row r="49" customFormat="false" ht="15" hidden="false" customHeight="true" outlineLevel="0" collapsed="false">
      <c r="B49" s="20" t="s">
        <v>6159</v>
      </c>
      <c r="D49" s="47" t="n">
        <f aca="false">ROUND(Rep_MoreM/(1-Rep_TaxRate),0)</f>
        <v>1583</v>
      </c>
    </row>
    <row r="50" customFormat="false" ht="15" hidden="false" customHeight="true" outlineLevel="0" collapsed="false">
      <c r="B50" s="20" t="s">
        <v>6160</v>
      </c>
      <c r="D50" s="47" t="n">
        <f aca="false">ROUND(Rep_MoreM2/(1-Rep_TaxRate),0)</f>
        <v>792</v>
      </c>
    </row>
    <row r="52" customFormat="false" ht="15" hidden="false" customHeight="true" outlineLevel="0" collapsed="false">
      <c r="B52" s="53" t="s">
        <v>6161</v>
      </c>
    </row>
    <row r="53" customFormat="false" ht="15" hidden="false" customHeight="true" outlineLevel="0" collapsed="false">
      <c r="B53" s="23" t="s">
        <v>6162</v>
      </c>
      <c r="C53" s="23" t="s">
        <v>6163</v>
      </c>
      <c r="D53" s="23" t="s">
        <v>6164</v>
      </c>
      <c r="E53" s="23" t="s">
        <v>6165</v>
      </c>
    </row>
    <row r="54" customFormat="false" ht="15" hidden="false" customHeight="true" outlineLevel="0" collapsed="false">
      <c r="B54" s="182" t="s">
        <v>6166</v>
      </c>
      <c r="C54" s="182" t="s">
        <v>6167</v>
      </c>
      <c r="D54" s="182" t="s">
        <v>6168</v>
      </c>
      <c r="E54" s="182" t="s">
        <v>6169</v>
      </c>
    </row>
    <row r="55" customFormat="false" ht="54.75" hidden="false" customHeight="true" outlineLevel="0" collapsed="false">
      <c r="B55" s="182" t="s">
        <v>6170</v>
      </c>
      <c r="C55" s="182" t="s">
        <v>6095</v>
      </c>
      <c r="D55" s="182" t="s">
        <v>6171</v>
      </c>
      <c r="E55" s="182" t="s">
        <v>6172</v>
      </c>
    </row>
    <row r="56" customFormat="false" ht="15" hidden="false" customHeight="true" outlineLevel="0" collapsed="false">
      <c r="B56" s="182" t="s">
        <v>6173</v>
      </c>
      <c r="C56" s="182" t="s">
        <v>6174</v>
      </c>
      <c r="D56" s="182" t="s">
        <v>6175</v>
      </c>
      <c r="E56" s="182" t="s">
        <v>6172</v>
      </c>
    </row>
    <row r="57" customFormat="false" ht="41.25" hidden="false" customHeight="true" outlineLevel="0" collapsed="false">
      <c r="B57" s="182" t="s">
        <v>1073</v>
      </c>
      <c r="C57" s="182" t="s">
        <v>6099</v>
      </c>
      <c r="D57" s="182" t="s">
        <v>6176</v>
      </c>
      <c r="E57" s="182" t="s">
        <v>6172</v>
      </c>
    </row>
    <row r="58" customFormat="false" ht="41.25" hidden="false" customHeight="true" outlineLevel="0" collapsed="false">
      <c r="B58" s="182" t="s">
        <v>6177</v>
      </c>
      <c r="C58" s="182" t="s">
        <v>6103</v>
      </c>
      <c r="D58" s="182" t="s">
        <v>6178</v>
      </c>
      <c r="E58" s="182" t="s">
        <v>6172</v>
      </c>
    </row>
    <row r="59" customFormat="false" ht="41.25" hidden="false" customHeight="true" outlineLevel="0" collapsed="false">
      <c r="B59" s="182" t="s">
        <v>6179</v>
      </c>
      <c r="C59" s="182" t="s">
        <v>6180</v>
      </c>
      <c r="D59" s="182" t="s">
        <v>6181</v>
      </c>
      <c r="E59" s="182" t="s">
        <v>6172</v>
      </c>
    </row>
    <row r="60" customFormat="false" ht="41.25" hidden="false" customHeight="true" outlineLevel="0" collapsed="false">
      <c r="B60" s="182" t="s">
        <v>6182</v>
      </c>
      <c r="C60" s="182" t="s">
        <v>6183</v>
      </c>
      <c r="D60" s="182" t="s">
        <v>6184</v>
      </c>
      <c r="E60" s="182" t="s">
        <v>6172</v>
      </c>
    </row>
    <row r="61" customFormat="false" ht="27.75" hidden="false" customHeight="true" outlineLevel="0" collapsed="false">
      <c r="B61" s="182" t="s">
        <v>6185</v>
      </c>
      <c r="C61" s="182" t="s">
        <v>6186</v>
      </c>
      <c r="D61" s="182" t="s">
        <v>6187</v>
      </c>
      <c r="E61" s="182" t="s">
        <v>6172</v>
      </c>
    </row>
    <row r="62" customFormat="false" ht="41.25" hidden="false" customHeight="true" outlineLevel="0" collapsed="false">
      <c r="B62" s="182" t="s">
        <v>6188</v>
      </c>
      <c r="C62" s="182" t="s">
        <v>6189</v>
      </c>
      <c r="D62" s="182" t="s">
        <v>6190</v>
      </c>
      <c r="E62" s="182" t="s">
        <v>6172</v>
      </c>
    </row>
    <row r="64" customFormat="false" ht="33.75" hidden="false" customHeight="true" outlineLevel="0" collapsed="false">
      <c r="B64" s="201" t="s">
        <v>6191</v>
      </c>
      <c r="C64" s="201"/>
      <c r="D64" s="201"/>
      <c r="E64" s="201"/>
      <c r="F64" s="201"/>
      <c r="G64" s="201"/>
      <c r="H64" s="201"/>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22"/>
    <col collapsed="false" customWidth="true" hidden="false" outlineLevel="0" max="3" min="3" style="20" width="40"/>
    <col collapsed="false" customWidth="true" hidden="false" outlineLevel="0" max="4" min="4" style="20" width="70"/>
    <col collapsed="false" customWidth="true" hidden="false" outlineLevel="0" max="5" min="5" style="20" width="30"/>
  </cols>
  <sheetData>
    <row r="1" customFormat="false" ht="21.75" hidden="false" customHeight="true" outlineLevel="0" collapsed="false">
      <c r="B1" s="202" t="s">
        <v>6192</v>
      </c>
    </row>
    <row r="2" customFormat="false" ht="15" hidden="false" customHeight="true" outlineLevel="0" collapsed="false">
      <c r="B2" s="70" t="s">
        <v>6193</v>
      </c>
    </row>
    <row r="3" customFormat="false" ht="15" hidden="false" customHeight="true" outlineLevel="0" collapsed="false">
      <c r="B3" s="203" t="s">
        <v>6194</v>
      </c>
      <c r="C3" s="204" t="s">
        <v>452</v>
      </c>
      <c r="D3" s="205" t="s">
        <v>6195</v>
      </c>
    </row>
    <row r="4" customFormat="false" ht="15" hidden="false" customHeight="true" outlineLevel="0" collapsed="false">
      <c r="B4" s="206" t="s">
        <v>6196</v>
      </c>
    </row>
    <row r="5" customFormat="false" ht="15" hidden="false" customHeight="true" outlineLevel="0" collapsed="false">
      <c r="B5" s="207" t="s">
        <v>6197</v>
      </c>
      <c r="C5" s="207"/>
      <c r="D5" s="207"/>
      <c r="E5" s="207"/>
    </row>
    <row r="6" customFormat="false" ht="15" hidden="false" customHeight="true" outlineLevel="0" collapsed="false">
      <c r="B6" s="207" t="s">
        <v>6198</v>
      </c>
      <c r="C6" s="207"/>
      <c r="D6" s="207"/>
      <c r="E6" s="207"/>
    </row>
    <row r="7" customFormat="false" ht="15" hidden="false" customHeight="true" outlineLevel="0" collapsed="false">
      <c r="B7" s="207" t="s">
        <v>6199</v>
      </c>
      <c r="C7" s="207"/>
      <c r="D7" s="207"/>
      <c r="E7" s="207"/>
    </row>
    <row r="8" customFormat="false" ht="15" hidden="false" customHeight="true" outlineLevel="0" collapsed="false">
      <c r="B8" s="207" t="s">
        <v>6200</v>
      </c>
      <c r="C8" s="207"/>
      <c r="D8" s="207"/>
      <c r="E8" s="207"/>
    </row>
    <row r="9" customFormat="false" ht="15" hidden="false" customHeight="true" outlineLevel="0" collapsed="false">
      <c r="B9" s="207" t="s">
        <v>6201</v>
      </c>
      <c r="C9" s="207"/>
      <c r="D9" s="207"/>
      <c r="E9" s="207"/>
    </row>
    <row r="10" customFormat="false" ht="15" hidden="false" customHeight="true" outlineLevel="0" collapsed="false">
      <c r="B10" s="207" t="s">
        <v>6202</v>
      </c>
      <c r="C10" s="207"/>
      <c r="D10" s="207"/>
      <c r="E10" s="207"/>
    </row>
    <row r="11" customFormat="false" ht="15" hidden="false" customHeight="true" outlineLevel="0" collapsed="false">
      <c r="B11" s="207" t="s">
        <v>6203</v>
      </c>
      <c r="C11" s="207"/>
      <c r="D11" s="207"/>
      <c r="E11" s="207"/>
    </row>
    <row r="12" customFormat="false" ht="15" hidden="false" customHeight="true" outlineLevel="0" collapsed="false">
      <c r="B12" s="207" t="s">
        <v>6204</v>
      </c>
      <c r="C12" s="207"/>
      <c r="D12" s="207"/>
      <c r="E12" s="207"/>
    </row>
    <row r="13" customFormat="false" ht="15" hidden="false" customHeight="true" outlineLevel="0" collapsed="false">
      <c r="B13" s="207" t="s">
        <v>6205</v>
      </c>
      <c r="C13" s="207"/>
      <c r="D13" s="207"/>
      <c r="E13" s="207"/>
    </row>
    <row r="14" customFormat="false" ht="15" hidden="false" customHeight="true" outlineLevel="0" collapsed="false">
      <c r="B14" s="207" t="s">
        <v>6206</v>
      </c>
      <c r="C14" s="207"/>
      <c r="D14" s="207"/>
      <c r="E14" s="207"/>
    </row>
    <row r="15" customFormat="false" ht="15" hidden="false" customHeight="true" outlineLevel="0" collapsed="false">
      <c r="B15" s="20" t="s">
        <v>6207</v>
      </c>
    </row>
    <row r="16" customFormat="false" ht="15" hidden="false" customHeight="true" outlineLevel="0" collapsed="false">
      <c r="B16" s="206" t="s">
        <v>6208</v>
      </c>
    </row>
    <row r="17" customFormat="false" ht="15" hidden="false" customHeight="true" outlineLevel="0" collapsed="false">
      <c r="B17" s="207" t="s">
        <v>6209</v>
      </c>
      <c r="C17" s="207"/>
      <c r="D17" s="207"/>
      <c r="E17" s="207"/>
    </row>
    <row r="18" customFormat="false" ht="15" hidden="false" customHeight="true" outlineLevel="0" collapsed="false">
      <c r="B18" s="207" t="s">
        <v>6210</v>
      </c>
      <c r="C18" s="207"/>
      <c r="D18" s="207"/>
      <c r="E18" s="207"/>
    </row>
    <row r="19" customFormat="false" ht="15" hidden="false" customHeight="true" outlineLevel="0" collapsed="false">
      <c r="B19" s="207" t="s">
        <v>6211</v>
      </c>
      <c r="C19" s="207"/>
      <c r="D19" s="207"/>
      <c r="E19" s="207"/>
    </row>
    <row r="20" customFormat="false" ht="15" hidden="false" customHeight="true" outlineLevel="0" collapsed="false">
      <c r="B20" s="207" t="s">
        <v>6212</v>
      </c>
      <c r="C20" s="207"/>
      <c r="D20" s="207"/>
      <c r="E20" s="207"/>
    </row>
    <row r="21" customFormat="false" ht="15" hidden="false" customHeight="true" outlineLevel="0" collapsed="false">
      <c r="B21" s="207" t="s">
        <v>6213</v>
      </c>
      <c r="C21" s="207"/>
      <c r="D21" s="207"/>
      <c r="E21" s="207"/>
    </row>
    <row r="22" customFormat="false" ht="15" hidden="false" customHeight="true" outlineLevel="0" collapsed="false">
      <c r="B22" s="207" t="s">
        <v>6214</v>
      </c>
      <c r="C22" s="207"/>
      <c r="D22" s="207"/>
      <c r="E22" s="207"/>
    </row>
    <row r="23" customFormat="false" ht="15" hidden="false" customHeight="true" outlineLevel="0" collapsed="false">
      <c r="B23" s="78" t="s">
        <v>6215</v>
      </c>
    </row>
    <row r="24" customFormat="false" ht="15" hidden="false" customHeight="true" outlineLevel="0" collapsed="false">
      <c r="B24" s="206" t="s">
        <v>6216</v>
      </c>
    </row>
    <row r="25" customFormat="false" ht="15" hidden="false" customHeight="true" outlineLevel="0" collapsed="false">
      <c r="B25" s="207" t="s">
        <v>6217</v>
      </c>
      <c r="C25" s="207"/>
      <c r="D25" s="207"/>
      <c r="E25" s="207"/>
    </row>
    <row r="27" customFormat="false" ht="15" hidden="false" customHeight="true" outlineLevel="0" collapsed="false">
      <c r="B27" s="206" t="s">
        <v>6218</v>
      </c>
    </row>
    <row r="28" customFormat="false" ht="48" hidden="false" customHeight="true" outlineLevel="0" collapsed="false">
      <c r="B28" s="208" t="s">
        <v>6219</v>
      </c>
      <c r="C28" s="208"/>
      <c r="D28" s="208"/>
      <c r="E28" s="208"/>
    </row>
    <row r="30" customFormat="false" ht="15" hidden="false" customHeight="true" outlineLevel="0" collapsed="false">
      <c r="B30" s="206" t="s">
        <v>6220</v>
      </c>
    </row>
    <row r="31" customFormat="false" ht="15" hidden="false" customHeight="true" outlineLevel="0" collapsed="false">
      <c r="B31" s="209" t="s">
        <v>6221</v>
      </c>
      <c r="C31" s="209" t="s">
        <v>6222</v>
      </c>
      <c r="D31" s="209" t="s">
        <v>6223</v>
      </c>
      <c r="E31" s="209" t="s">
        <v>587</v>
      </c>
    </row>
    <row r="32" customFormat="false" ht="15" hidden="false" customHeight="true" outlineLevel="0" collapsed="false">
      <c r="B32" s="193" t="s">
        <v>294</v>
      </c>
      <c r="C32" s="210" t="str">
        <f aca="false">HYPERLINK("#'C01 Borrowing'!A1","How much could I borrow?")</f>
        <v>How much could I borrow?</v>
      </c>
      <c r="D32" s="177" t="s">
        <v>6224</v>
      </c>
      <c r="E32" s="177" t="s">
        <v>6225</v>
      </c>
    </row>
    <row r="33" customFormat="false" ht="15" hidden="false" customHeight="true" outlineLevel="0" collapsed="false">
      <c r="B33" s="193" t="s">
        <v>295</v>
      </c>
      <c r="C33" s="210" t="str">
        <f aca="false">HYPERLINK("#'C02 Mortgage repayment'!A1","Monthly mortgage repayment")</f>
        <v>Monthly mortgage repayment</v>
      </c>
      <c r="D33" s="177" t="s">
        <v>6226</v>
      </c>
      <c r="E33" s="177" t="s">
        <v>6225</v>
      </c>
    </row>
    <row r="34" customFormat="false" ht="15" hidden="false" customHeight="true" outlineLevel="0" collapsed="false">
      <c r="B34" s="193" t="s">
        <v>296</v>
      </c>
      <c r="C34" s="210" t="str">
        <f aca="false">HYPERLINK("#'C03 Deposit'!A1","Deposit calculator")</f>
        <v>Deposit calculator</v>
      </c>
      <c r="D34" s="177" t="s">
        <v>6227</v>
      </c>
      <c r="E34" s="177" t="s">
        <v>6225</v>
      </c>
    </row>
    <row r="35" customFormat="false" ht="15" hidden="false" customHeight="true" outlineLevel="0" collapsed="false">
      <c r="B35" s="193" t="s">
        <v>297</v>
      </c>
      <c r="C35" s="210" t="str">
        <f aca="false">HYPERLINK("#'C04 Mortgage overpayment'!A1","Mortgage overpayment")</f>
        <v>Mortgage overpayment</v>
      </c>
      <c r="D35" s="177" t="s">
        <v>6228</v>
      </c>
      <c r="E35" s="177" t="s">
        <v>6225</v>
      </c>
    </row>
    <row r="36" customFormat="false" ht="15" hidden="false" customHeight="true" outlineLevel="0" collapsed="false">
      <c r="B36" s="193" t="s">
        <v>298</v>
      </c>
      <c r="C36" s="210" t="str">
        <f aca="false">HYPERLINK("#'C05 Interest rate impact'!A1","Interest-rate impact")</f>
        <v>Interest-rate impact</v>
      </c>
      <c r="D36" s="177" t="s">
        <v>6229</v>
      </c>
      <c r="E36" s="177" t="s">
        <v>6225</v>
      </c>
    </row>
    <row r="37" customFormat="false" ht="15" hidden="false" customHeight="true" outlineLevel="0" collapsed="false">
      <c r="B37" s="193" t="s">
        <v>299</v>
      </c>
      <c r="C37" s="210" t="str">
        <f aca="false">HYPERLINK("#'C06 Term comparison'!A1","Mortgage term comparison")</f>
        <v>Mortgage term comparison</v>
      </c>
      <c r="D37" s="177" t="s">
        <v>6230</v>
      </c>
      <c r="E37" s="177" t="s">
        <v>6225</v>
      </c>
    </row>
    <row r="38" customFormat="false" ht="15" hidden="false" customHeight="true" outlineLevel="0" collapsed="false">
      <c r="B38" s="193" t="s">
        <v>300</v>
      </c>
      <c r="C38" s="210" t="str">
        <f aca="false">HYPERLINK("#'C07 Rent vs buy'!A1","Rent vs buy")</f>
        <v>Rent vs buy</v>
      </c>
      <c r="D38" s="177" t="s">
        <v>6231</v>
      </c>
      <c r="E38" s="177" t="s">
        <v>6225</v>
      </c>
    </row>
    <row r="39" customFormat="false" ht="15" hidden="false" customHeight="true" outlineLevel="0" collapsed="false">
      <c r="B39" s="193" t="s">
        <v>301</v>
      </c>
      <c r="C39" s="210" t="str">
        <f aca="false">HYPERLINK("#'C08 Goal planner'!A1","Goal planner")</f>
        <v>Goal planner</v>
      </c>
      <c r="D39" s="177" t="s">
        <v>6232</v>
      </c>
      <c r="E39" s="177" t="s">
        <v>6233</v>
      </c>
    </row>
    <row r="40" customFormat="false" ht="15" hidden="false" customHeight="true" outlineLevel="0" collapsed="false">
      <c r="B40" s="193" t="s">
        <v>302</v>
      </c>
      <c r="C40" s="210" t="str">
        <f aca="false">HYPERLINK("#'C09 Compound growth'!A1","Compound growth")</f>
        <v>Compound growth</v>
      </c>
      <c r="D40" s="177" t="s">
        <v>6234</v>
      </c>
      <c r="E40" s="177" t="s">
        <v>6233</v>
      </c>
    </row>
    <row r="41" customFormat="false" ht="15" hidden="false" customHeight="true" outlineLevel="0" collapsed="false">
      <c r="B41" s="193" t="s">
        <v>303</v>
      </c>
      <c r="C41" s="210" t="str">
        <f aca="false">HYPERLINK("#'C10 Lump sum growth'!A1","Lump-sum growth")</f>
        <v>Lump-sum growth</v>
      </c>
      <c r="D41" s="177" t="s">
        <v>6235</v>
      </c>
      <c r="E41" s="177" t="s">
        <v>995</v>
      </c>
    </row>
    <row r="42" customFormat="false" ht="15" hidden="false" customHeight="true" outlineLevel="0" collapsed="false">
      <c r="B42" s="193" t="s">
        <v>304</v>
      </c>
      <c r="C42" s="210" t="str">
        <f aca="false">HYPERLINK("#'C11 Emergency fund'!A1","Emergency fund")</f>
        <v>Emergency fund</v>
      </c>
      <c r="D42" s="177" t="s">
        <v>6236</v>
      </c>
      <c r="E42" s="177" t="s">
        <v>6233</v>
      </c>
    </row>
    <row r="43" customFormat="false" ht="15" hidden="false" customHeight="true" outlineLevel="0" collapsed="false">
      <c r="B43" s="193" t="s">
        <v>305</v>
      </c>
      <c r="C43" s="210" t="str">
        <f aca="false">HYPERLINK("#'C12 Retirement projection'!A1","Retirement projection")</f>
        <v>Retirement projection</v>
      </c>
      <c r="D43" s="177" t="s">
        <v>6237</v>
      </c>
      <c r="E43" s="177" t="s">
        <v>6238</v>
      </c>
    </row>
    <row r="44" customFormat="false" ht="15" hidden="false" customHeight="true" outlineLevel="0" collapsed="false">
      <c r="B44" s="193" t="s">
        <v>306</v>
      </c>
      <c r="C44" s="210" t="str">
        <f aca="false">HYPERLINK("#'C13 Contribution impact'!A1","Contribution impact")</f>
        <v>Contribution impact</v>
      </c>
      <c r="D44" s="177" t="s">
        <v>6239</v>
      </c>
      <c r="E44" s="177" t="s">
        <v>6238</v>
      </c>
    </row>
    <row r="45" customFormat="false" ht="15" hidden="false" customHeight="true" outlineLevel="0" collapsed="false">
      <c r="B45" s="193" t="s">
        <v>307</v>
      </c>
      <c r="C45" s="210" t="str">
        <f aca="false">HYPERLINK("#'C14 AVC impact'!A1","AVC impact")</f>
        <v>AVC impact</v>
      </c>
      <c r="D45" s="177" t="s">
        <v>6240</v>
      </c>
      <c r="E45" s="177" t="s">
        <v>6238</v>
      </c>
    </row>
    <row r="46" customFormat="false" ht="15" hidden="false" customHeight="true" outlineLevel="0" collapsed="false">
      <c r="B46" s="193" t="s">
        <v>308</v>
      </c>
      <c r="C46" s="210" t="str">
        <f aca="false">HYPERLINK("#'C15 Will my money last'!A1","Will my money last?")</f>
        <v>Will my money last?</v>
      </c>
      <c r="D46" s="177" t="s">
        <v>6241</v>
      </c>
      <c r="E46" s="177" t="s">
        <v>6238</v>
      </c>
    </row>
    <row r="47" customFormat="false" ht="15" hidden="false" customHeight="true" outlineLevel="0" collapsed="false">
      <c r="B47" s="193" t="s">
        <v>309</v>
      </c>
      <c r="C47" s="210" t="str">
        <f aca="false">HYPERLINK("#'C16 Drawdown scenarios'!A1","Retirement drawdown scenarios")</f>
        <v>Retirement drawdown scenarios</v>
      </c>
      <c r="D47" s="177" t="s">
        <v>6242</v>
      </c>
      <c r="E47" s="177" t="s">
        <v>6238</v>
      </c>
    </row>
    <row r="48" customFormat="false" ht="15" hidden="false" customHeight="true" outlineLevel="0" collapsed="false">
      <c r="B48" s="193" t="s">
        <v>310</v>
      </c>
      <c r="C48" s="210" t="str">
        <f aca="false">HYPERLINK("#'C17 Inflation adjusted return'!A1","Inflation-adjusted return")</f>
        <v>Inflation-adjusted return</v>
      </c>
      <c r="D48" s="177" t="s">
        <v>6243</v>
      </c>
      <c r="E48" s="177" t="s">
        <v>995</v>
      </c>
    </row>
    <row r="49" customFormat="false" ht="15" hidden="false" customHeight="true" outlineLevel="0" collapsed="false">
      <c r="B49" s="193" t="s">
        <v>311</v>
      </c>
      <c r="C49" s="210" t="str">
        <f aca="false">HYPERLINK("#'C18 Regular investing'!A1","Regular investing")</f>
        <v>Regular investing</v>
      </c>
      <c r="D49" s="177" t="s">
        <v>6244</v>
      </c>
      <c r="E49" s="177" t="s">
        <v>995</v>
      </c>
    </row>
    <row r="50" customFormat="false" ht="15" hidden="false" customHeight="true" outlineLevel="0" collapsed="false">
      <c r="B50" s="193" t="s">
        <v>312</v>
      </c>
      <c r="C50" s="210" t="str">
        <f aca="false">HYPERLINK("#'C19 Fees impact'!A1","Fees impact")</f>
        <v>Fees impact</v>
      </c>
      <c r="D50" s="177" t="s">
        <v>6245</v>
      </c>
      <c r="E50" s="177" t="s">
        <v>995</v>
      </c>
    </row>
    <row r="51" customFormat="false" ht="15" hidden="false" customHeight="true" outlineLevel="0" collapsed="false">
      <c r="B51" s="193" t="s">
        <v>313</v>
      </c>
      <c r="C51" s="210" t="str">
        <f aca="false">HYPERLINK("#'C20 Risk and return'!A1","Risk &amp; return simulator")</f>
        <v>Risk &amp; return simulator</v>
      </c>
      <c r="D51" s="177" t="s">
        <v>6246</v>
      </c>
      <c r="E51" s="177" t="s">
        <v>995</v>
      </c>
    </row>
    <row r="52" customFormat="false" ht="15" hidden="false" customHeight="true" outlineLevel="0" collapsed="false">
      <c r="B52" s="193" t="s">
        <v>314</v>
      </c>
      <c r="C52" s="210" t="str">
        <f aca="false">HYPERLINK("#'C21 Life cover'!A1","Life cover estimator")</f>
        <v>Life cover estimator</v>
      </c>
      <c r="D52" s="177" t="s">
        <v>6247</v>
      </c>
      <c r="E52" s="177" t="s">
        <v>5518</v>
      </c>
    </row>
    <row r="53" customFormat="false" ht="15" hidden="false" customHeight="true" outlineLevel="0" collapsed="false">
      <c r="B53" s="193" t="s">
        <v>315</v>
      </c>
      <c r="C53" s="210" t="str">
        <f aca="false">HYPERLINK("#'C22 Income protection gap'!A1","Income protection gap")</f>
        <v>Income protection gap</v>
      </c>
      <c r="D53" s="177" t="s">
        <v>6248</v>
      </c>
      <c r="E53" s="177" t="s">
        <v>5518</v>
      </c>
    </row>
    <row r="54" customFormat="false" ht="15" hidden="false" customHeight="true" outlineLevel="0" collapsed="false">
      <c r="B54" s="193" t="s">
        <v>316</v>
      </c>
      <c r="C54" s="210" t="str">
        <f aca="false">HYPERLINK("#'C23 Mortgage protection'!A1","Mortgage protection")</f>
        <v>Mortgage protection</v>
      </c>
      <c r="D54" s="177" t="s">
        <v>6249</v>
      </c>
      <c r="E54" s="177" t="s">
        <v>5518</v>
      </c>
    </row>
    <row r="55" customFormat="false" ht="15" hidden="false" customHeight="true" outlineLevel="0" collapsed="false">
      <c r="B55" s="193" t="s">
        <v>317</v>
      </c>
      <c r="C55" s="210" t="str">
        <f aca="false">HYPERLINK("#'C24 Net worth'!A1","Net worth")</f>
        <v>Net worth</v>
      </c>
      <c r="D55" s="177" t="s">
        <v>6250</v>
      </c>
      <c r="E55" s="177" t="s">
        <v>6251</v>
      </c>
    </row>
    <row r="56" customFormat="false" ht="15" hidden="false" customHeight="true" outlineLevel="0" collapsed="false">
      <c r="B56" s="193" t="s">
        <v>318</v>
      </c>
      <c r="C56" s="210" t="str">
        <f aca="false">HYPERLINK("#'C25 Monthly surplus'!A1","Monthly surplus")</f>
        <v>Monthly surplus</v>
      </c>
      <c r="D56" s="177" t="s">
        <v>6252</v>
      </c>
      <c r="E56" s="177" t="s">
        <v>6251</v>
      </c>
    </row>
    <row r="57" customFormat="false" ht="15" hidden="false" customHeight="true" outlineLevel="0" collapsed="false">
      <c r="B57" s="193" t="s">
        <v>319</v>
      </c>
      <c r="C57" s="210" t="str">
        <f aca="false">HYPERLINK("#'C26 Budget 50 30 20'!A1","Budget (50/30/20)")</f>
        <v>Budget (50/30/20)</v>
      </c>
      <c r="D57" s="177" t="s">
        <v>6253</v>
      </c>
      <c r="E57" s="177" t="s">
        <v>6251</v>
      </c>
    </row>
    <row r="58" customFormat="false" ht="15" hidden="false" customHeight="true" outlineLevel="0" collapsed="false">
      <c r="B58" s="193" t="s">
        <v>320</v>
      </c>
      <c r="C58" s="210" t="str">
        <f aca="false">HYPERLINK("#'C27 Debt repayment'!A1","Debt repayment")</f>
        <v>Debt repayment</v>
      </c>
      <c r="D58" s="177" t="s">
        <v>6254</v>
      </c>
      <c r="E58" s="177" t="s">
        <v>6251</v>
      </c>
    </row>
    <row r="59" customFormat="false" ht="15" hidden="false" customHeight="true" outlineLevel="0" collapsed="false">
      <c r="B59" s="193" t="s">
        <v>321</v>
      </c>
      <c r="C59" s="210" t="str">
        <f aca="false">HYPERLINK("#'C28 Loan repayment'!A1","Loan repayment")</f>
        <v>Loan repayment</v>
      </c>
      <c r="D59" s="177" t="s">
        <v>6255</v>
      </c>
      <c r="E59" s="177" t="s">
        <v>6251</v>
      </c>
    </row>
    <row r="60" customFormat="false" ht="15" hidden="false" customHeight="true" outlineLevel="0" collapsed="false">
      <c r="C60" s="210" t="str">
        <f aca="false">HYPERLINK("#'Assumptions'!A1","Assumptions")</f>
        <v>Assumptions</v>
      </c>
    </row>
    <row r="61" customFormat="false" ht="15" hidden="false" customHeight="true" outlineLevel="0" collapsed="false">
      <c r="C61" s="210" t="str">
        <f aca="false">HYPERLINK("#'Tax engine'!A1","Tax engine")</f>
        <v>Tax engine</v>
      </c>
    </row>
    <row r="62" customFormat="false" ht="15" hidden="false" customHeight="true" outlineLevel="0" collapsed="false">
      <c r="C62" s="210" t="s">
        <v>6256</v>
      </c>
    </row>
    <row r="64" customFormat="false" ht="15" hidden="false" customHeight="true" outlineLevel="0" collapsed="false">
      <c r="B64" s="74" t="s">
        <v>5777</v>
      </c>
      <c r="C64" s="77"/>
      <c r="D64" s="77"/>
      <c r="E64" s="77"/>
      <c r="F64" s="77"/>
      <c r="G64" s="77"/>
      <c r="H64" s="77"/>
    </row>
    <row r="65" customFormat="false" ht="42" hidden="false" customHeight="true" outlineLevel="0" collapsed="false">
      <c r="B65" s="165" t="s">
        <v>5778</v>
      </c>
      <c r="C65" s="165"/>
      <c r="D65" s="165"/>
      <c r="E65" s="165"/>
      <c r="F65" s="165"/>
      <c r="G65" s="165"/>
    </row>
    <row r="66" customFormat="false" ht="15" hidden="false" customHeight="true" outlineLevel="0" collapsed="false">
      <c r="B66" s="164" t="s">
        <v>5779</v>
      </c>
      <c r="C66" s="164" t="s">
        <v>5780</v>
      </c>
      <c r="D66" s="164" t="s">
        <v>385</v>
      </c>
    </row>
    <row r="67" customFormat="false" ht="25.5" hidden="false" customHeight="true" outlineLevel="0" collapsed="false">
      <c r="B67" s="168" t="s">
        <v>5781</v>
      </c>
      <c r="C67" s="168" t="s">
        <v>5782</v>
      </c>
      <c r="D67" s="168" t="s">
        <v>5783</v>
      </c>
    </row>
    <row r="68" customFormat="false" ht="25.5" hidden="false" customHeight="true" outlineLevel="0" collapsed="false">
      <c r="B68" s="168" t="s">
        <v>5784</v>
      </c>
      <c r="C68" s="168" t="s">
        <v>5785</v>
      </c>
      <c r="D68" s="168" t="s">
        <v>5783</v>
      </c>
    </row>
    <row r="69" customFormat="false" ht="25.5" hidden="false" customHeight="true" outlineLevel="0" collapsed="false">
      <c r="B69" s="168" t="s">
        <v>5786</v>
      </c>
      <c r="C69" s="168" t="s">
        <v>5787</v>
      </c>
      <c r="D69" s="168" t="s">
        <v>5783</v>
      </c>
    </row>
    <row r="70" customFormat="false" ht="25.5" hidden="false" customHeight="true" outlineLevel="0" collapsed="false">
      <c r="B70" s="168" t="s">
        <v>5788</v>
      </c>
      <c r="C70" s="168" t="s">
        <v>5789</v>
      </c>
      <c r="D70" s="168" t="s">
        <v>5783</v>
      </c>
    </row>
    <row r="71" customFormat="false" ht="25.5" hidden="false" customHeight="true" outlineLevel="0" collapsed="false">
      <c r="B71" s="168" t="s">
        <v>5790</v>
      </c>
      <c r="C71" s="168" t="s">
        <v>5791</v>
      </c>
      <c r="D71" s="168" t="s">
        <v>5783</v>
      </c>
    </row>
    <row r="72" customFormat="false" ht="25.5" hidden="false" customHeight="true" outlineLevel="0" collapsed="false">
      <c r="B72" s="168" t="s">
        <v>5792</v>
      </c>
      <c r="C72" s="168" t="s">
        <v>5793</v>
      </c>
      <c r="D72" s="168" t="s">
        <v>5783</v>
      </c>
    </row>
    <row r="73" customFormat="false" ht="25.5" hidden="false" customHeight="true" outlineLevel="0" collapsed="false">
      <c r="B73" s="168" t="s">
        <v>5794</v>
      </c>
      <c r="C73" s="168" t="s">
        <v>5795</v>
      </c>
      <c r="D73" s="168" t="s">
        <v>5783</v>
      </c>
    </row>
    <row r="74" customFormat="false" ht="25.5" hidden="false" customHeight="true" outlineLevel="0" collapsed="false">
      <c r="B74" s="168" t="s">
        <v>5796</v>
      </c>
      <c r="C74" s="168" t="s">
        <v>5797</v>
      </c>
      <c r="D74" s="168" t="s">
        <v>5783</v>
      </c>
    </row>
    <row r="75" customFormat="false" ht="25.5" hidden="false" customHeight="true" outlineLevel="0" collapsed="false">
      <c r="B75" s="168" t="s">
        <v>5798</v>
      </c>
      <c r="C75" s="168" t="s">
        <v>5799</v>
      </c>
      <c r="D75" s="168" t="s">
        <v>5783</v>
      </c>
    </row>
    <row r="76" customFormat="false" ht="25.5" hidden="false" customHeight="true" outlineLevel="0" collapsed="false">
      <c r="B76" s="168" t="s">
        <v>5800</v>
      </c>
      <c r="C76" s="168" t="s">
        <v>5801</v>
      </c>
      <c r="D76" s="168" t="s">
        <v>5783</v>
      </c>
    </row>
    <row r="77" customFormat="false" ht="25.5" hidden="false" customHeight="true" outlineLevel="0" collapsed="false">
      <c r="B77" s="168" t="str">
        <f aca="false">"Inflation ""Ireland now"" "&amp;TEXT(Set_inflNow,"0.0%")&amp;" (CSO HICP flash Sep 2026)"</f>
        <v>Inflation "Ireland now" 3.9% (CSO HICP flash Sep 2026)</v>
      </c>
      <c r="C77" s="168" t="s">
        <v>5803</v>
      </c>
      <c r="D77" s="168" t="s">
        <v>5804</v>
      </c>
    </row>
    <row r="79" customFormat="false" ht="15" hidden="false" customHeight="true" outlineLevel="0" collapsed="false">
      <c r="B79" s="206" t="s">
        <v>6257</v>
      </c>
    </row>
    <row r="80" customFormat="false" ht="15" hidden="false" customHeight="true" outlineLevel="0" collapsed="false">
      <c r="B80" s="209" t="s">
        <v>6258</v>
      </c>
      <c r="C80" s="209" t="s">
        <v>6259</v>
      </c>
      <c r="D80" s="209" t="s">
        <v>49</v>
      </c>
    </row>
    <row r="81" customFormat="false" ht="12.75" hidden="false" customHeight="true" outlineLevel="0" collapsed="false">
      <c r="B81" s="177" t="s">
        <v>305</v>
      </c>
      <c r="C81" s="199" t="s">
        <v>6260</v>
      </c>
      <c r="D81" s="211" t="s">
        <v>6261</v>
      </c>
      <c r="E81" s="211"/>
    </row>
    <row r="82" customFormat="false" ht="12.75" hidden="false" customHeight="true" outlineLevel="0" collapsed="false">
      <c r="B82" s="177" t="s">
        <v>305</v>
      </c>
      <c r="C82" s="199" t="s">
        <v>6260</v>
      </c>
      <c r="D82" s="211" t="s">
        <v>6262</v>
      </c>
      <c r="E82" s="211"/>
    </row>
    <row r="83" customFormat="false" ht="12.75" hidden="false" customHeight="true" outlineLevel="0" collapsed="false">
      <c r="B83" s="177" t="s">
        <v>295</v>
      </c>
      <c r="C83" s="199" t="s">
        <v>6260</v>
      </c>
      <c r="D83" s="211" t="s">
        <v>6263</v>
      </c>
      <c r="E83" s="211"/>
    </row>
    <row r="84" customFormat="false" ht="25.5" hidden="false" customHeight="true" outlineLevel="0" collapsed="false">
      <c r="B84" s="177" t="s">
        <v>297</v>
      </c>
      <c r="C84" s="199" t="s">
        <v>6260</v>
      </c>
      <c r="D84" s="211" t="s">
        <v>6264</v>
      </c>
      <c r="E84" s="211"/>
    </row>
    <row r="85" customFormat="false" ht="12.75" hidden="false" customHeight="true" outlineLevel="0" collapsed="false">
      <c r="B85" s="177" t="s">
        <v>297</v>
      </c>
      <c r="C85" s="199" t="s">
        <v>6260</v>
      </c>
      <c r="D85" s="211" t="s">
        <v>6265</v>
      </c>
      <c r="E85" s="211"/>
    </row>
    <row r="86" customFormat="false" ht="25.5" hidden="false" customHeight="true" outlineLevel="0" collapsed="false">
      <c r="B86" s="177" t="s">
        <v>6266</v>
      </c>
      <c r="C86" s="199" t="s">
        <v>6260</v>
      </c>
      <c r="D86" s="211" t="s">
        <v>6267</v>
      </c>
      <c r="E86" s="211"/>
    </row>
    <row r="87" customFormat="false" ht="12.75" hidden="false" customHeight="true" outlineLevel="0" collapsed="false">
      <c r="B87" s="177" t="s">
        <v>6268</v>
      </c>
      <c r="C87" s="199" t="s">
        <v>6260</v>
      </c>
      <c r="D87" s="211" t="s">
        <v>6269</v>
      </c>
      <c r="E87" s="211"/>
    </row>
    <row r="88" customFormat="false" ht="12.75" hidden="false" customHeight="true" outlineLevel="0" collapsed="false">
      <c r="B88" s="177" t="s">
        <v>5672</v>
      </c>
      <c r="C88" s="199" t="s">
        <v>6260</v>
      </c>
      <c r="D88" s="211" t="s">
        <v>6270</v>
      </c>
      <c r="E88" s="211"/>
    </row>
    <row r="89" customFormat="false" ht="12.75" hidden="false" customHeight="true" outlineLevel="0" collapsed="false">
      <c r="B89" s="177" t="s">
        <v>311</v>
      </c>
      <c r="C89" s="199" t="s">
        <v>6260</v>
      </c>
      <c r="D89" s="211" t="s">
        <v>6271</v>
      </c>
      <c r="E89" s="211"/>
    </row>
    <row r="90" customFormat="false" ht="12.75" hidden="false" customHeight="true" outlineLevel="0" collapsed="false">
      <c r="B90" s="177" t="s">
        <v>313</v>
      </c>
      <c r="C90" s="199" t="s">
        <v>6260</v>
      </c>
      <c r="D90" s="211" t="s">
        <v>6272</v>
      </c>
      <c r="E90" s="211"/>
    </row>
    <row r="91" customFormat="false" ht="12.75" hidden="false" customHeight="true" outlineLevel="0" collapsed="false">
      <c r="B91" s="177" t="s">
        <v>314</v>
      </c>
      <c r="C91" s="199" t="s">
        <v>6260</v>
      </c>
      <c r="D91" s="211" t="s">
        <v>6273</v>
      </c>
      <c r="E91" s="211"/>
    </row>
    <row r="92" customFormat="false" ht="12.75" hidden="false" customHeight="true" outlineLevel="0" collapsed="false">
      <c r="B92" s="177" t="s">
        <v>320</v>
      </c>
      <c r="C92" s="199" t="s">
        <v>6260</v>
      </c>
      <c r="D92" s="211" t="s">
        <v>6274</v>
      </c>
      <c r="E92" s="211"/>
    </row>
    <row r="93" customFormat="false" ht="12.75" hidden="false" customHeight="true" outlineLevel="0" collapsed="false">
      <c r="B93" s="177" t="s">
        <v>6275</v>
      </c>
      <c r="C93" s="177" t="s">
        <v>6276</v>
      </c>
      <c r="D93" s="211" t="s">
        <v>6277</v>
      </c>
      <c r="E93" s="211"/>
    </row>
    <row r="94" customFormat="false" ht="12.75" hidden="false" customHeight="true" outlineLevel="0" collapsed="false">
      <c r="B94" s="177" t="s">
        <v>300</v>
      </c>
      <c r="C94" s="177" t="s">
        <v>6276</v>
      </c>
      <c r="D94" s="211" t="s">
        <v>6278</v>
      </c>
      <c r="E94" s="211"/>
    </row>
    <row r="95" customFormat="false" ht="12.75" hidden="false" customHeight="true" outlineLevel="0" collapsed="false">
      <c r="B95" s="177" t="s">
        <v>6279</v>
      </c>
      <c r="C95" s="177" t="s">
        <v>6276</v>
      </c>
      <c r="D95" s="211" t="s">
        <v>6280</v>
      </c>
      <c r="E95" s="211"/>
    </row>
    <row r="96" customFormat="false" ht="12.75" hidden="false" customHeight="true" outlineLevel="0" collapsed="false">
      <c r="B96" s="177" t="s">
        <v>5765</v>
      </c>
      <c r="C96" s="177" t="s">
        <v>6276</v>
      </c>
      <c r="D96" s="211" t="s">
        <v>6281</v>
      </c>
      <c r="E96" s="211"/>
    </row>
    <row r="97" customFormat="false" ht="25.5" hidden="false" customHeight="true" outlineLevel="0" collapsed="false">
      <c r="B97" s="177" t="s">
        <v>314</v>
      </c>
      <c r="C97" s="177" t="s">
        <v>6276</v>
      </c>
      <c r="D97" s="211" t="s">
        <v>6282</v>
      </c>
      <c r="E97" s="211"/>
    </row>
    <row r="98" customFormat="false" ht="25.5" hidden="false" customHeight="true" outlineLevel="0" collapsed="false">
      <c r="B98" s="177" t="s">
        <v>315</v>
      </c>
      <c r="C98" s="177" t="s">
        <v>6276</v>
      </c>
      <c r="D98" s="211" t="s">
        <v>6283</v>
      </c>
      <c r="E98" s="211"/>
    </row>
    <row r="99" customFormat="false" ht="12.75" hidden="false" customHeight="true" outlineLevel="0" collapsed="false">
      <c r="B99" s="177" t="s">
        <v>316</v>
      </c>
      <c r="C99" s="177" t="s">
        <v>6276</v>
      </c>
      <c r="D99" s="211" t="s">
        <v>6284</v>
      </c>
      <c r="E99" s="211"/>
    </row>
    <row r="100" customFormat="false" ht="12.75" hidden="false" customHeight="true" outlineLevel="0" collapsed="false">
      <c r="B100" s="177" t="s">
        <v>6285</v>
      </c>
      <c r="C100" s="177" t="s">
        <v>6276</v>
      </c>
      <c r="D100" s="211" t="s">
        <v>6286</v>
      </c>
      <c r="E100" s="211"/>
    </row>
    <row r="101" customFormat="false" ht="12.75" hidden="false" customHeight="true" outlineLevel="0" collapsed="false">
      <c r="B101" s="177" t="s">
        <v>6287</v>
      </c>
      <c r="C101" s="177" t="s">
        <v>6276</v>
      </c>
      <c r="D101" s="211" t="s">
        <v>6288</v>
      </c>
      <c r="E101" s="211"/>
    </row>
    <row r="102" customFormat="false" ht="12.75" hidden="false" customHeight="true" outlineLevel="0" collapsed="false">
      <c r="B102" s="177" t="s">
        <v>294</v>
      </c>
      <c r="C102" s="177" t="s">
        <v>6289</v>
      </c>
      <c r="D102" s="211" t="s">
        <v>6290</v>
      </c>
      <c r="E102" s="211"/>
    </row>
    <row r="103" customFormat="false" ht="12.75" hidden="false" customHeight="true" outlineLevel="0" collapsed="false">
      <c r="B103" s="177" t="s">
        <v>6291</v>
      </c>
      <c r="C103" s="177" t="s">
        <v>6289</v>
      </c>
      <c r="D103" s="211" t="s">
        <v>6292</v>
      </c>
      <c r="E103" s="211"/>
    </row>
    <row r="104" customFormat="false" ht="12.75" hidden="false" customHeight="true" outlineLevel="0" collapsed="false">
      <c r="B104" s="177" t="s">
        <v>297</v>
      </c>
      <c r="C104" s="177" t="s">
        <v>6289</v>
      </c>
      <c r="D104" s="211" t="s">
        <v>6293</v>
      </c>
      <c r="E104" s="211"/>
    </row>
    <row r="105" customFormat="false" ht="12.75" hidden="false" customHeight="true" outlineLevel="0" collapsed="false">
      <c r="B105" s="177" t="s">
        <v>299</v>
      </c>
      <c r="C105" s="177" t="s">
        <v>6289</v>
      </c>
      <c r="D105" s="211" t="s">
        <v>6294</v>
      </c>
      <c r="E105" s="211"/>
    </row>
    <row r="106" customFormat="false" ht="12.75" hidden="false" customHeight="true" outlineLevel="0" collapsed="false">
      <c r="B106" s="177" t="s">
        <v>6295</v>
      </c>
      <c r="C106" s="177" t="s">
        <v>6289</v>
      </c>
      <c r="D106" s="211" t="s">
        <v>6296</v>
      </c>
      <c r="E106" s="211"/>
    </row>
    <row r="107" customFormat="false" ht="12.75" hidden="false" customHeight="true" outlineLevel="0" collapsed="false">
      <c r="B107" s="177" t="s">
        <v>5672</v>
      </c>
      <c r="C107" s="177" t="s">
        <v>6289</v>
      </c>
      <c r="D107" s="211" t="s">
        <v>6297</v>
      </c>
      <c r="E107" s="211"/>
    </row>
    <row r="108" customFormat="false" ht="12.75" hidden="false" customHeight="true" outlineLevel="0" collapsed="false">
      <c r="B108" s="177" t="s">
        <v>309</v>
      </c>
      <c r="C108" s="177" t="s">
        <v>6289</v>
      </c>
      <c r="D108" s="211" t="s">
        <v>6298</v>
      </c>
      <c r="E108" s="211"/>
    </row>
    <row r="109" customFormat="false" ht="12.75" hidden="false" customHeight="true" outlineLevel="0" collapsed="false">
      <c r="B109" s="177" t="s">
        <v>318</v>
      </c>
      <c r="C109" s="177" t="s">
        <v>6289</v>
      </c>
      <c r="D109" s="211" t="s">
        <v>6299</v>
      </c>
      <c r="E109" s="211"/>
    </row>
    <row r="110" customFormat="false" ht="25.5" hidden="false" customHeight="true" outlineLevel="0" collapsed="false">
      <c r="B110" s="177" t="s">
        <v>6300</v>
      </c>
      <c r="C110" s="177" t="s">
        <v>6289</v>
      </c>
      <c r="D110" s="211" t="s">
        <v>6301</v>
      </c>
      <c r="E110" s="211"/>
    </row>
    <row r="112" customFormat="false" ht="15" hidden="false" customHeight="true" outlineLevel="0" collapsed="false">
      <c r="B112" s="206" t="s">
        <v>6302</v>
      </c>
    </row>
    <row r="113" customFormat="false" ht="15" hidden="false" customHeight="true" outlineLevel="0" collapsed="false">
      <c r="B113" s="209" t="s">
        <v>6258</v>
      </c>
      <c r="C113" s="209" t="s">
        <v>6259</v>
      </c>
      <c r="D113" s="209" t="s">
        <v>49</v>
      </c>
    </row>
    <row r="114" customFormat="false" ht="51.75" hidden="false" customHeight="true" outlineLevel="0" collapsed="false">
      <c r="B114" s="177" t="s">
        <v>6303</v>
      </c>
      <c r="C114" s="177" t="s">
        <v>6304</v>
      </c>
      <c r="D114" s="211" t="s">
        <v>6305</v>
      </c>
      <c r="E114" s="211"/>
    </row>
    <row r="115" customFormat="false" ht="39" hidden="false" customHeight="true" outlineLevel="0" collapsed="false">
      <c r="B115" s="177" t="s">
        <v>6306</v>
      </c>
      <c r="C115" s="177" t="s">
        <v>6307</v>
      </c>
      <c r="D115" s="211" t="s">
        <v>6308</v>
      </c>
      <c r="E115" s="211"/>
    </row>
    <row r="116" customFormat="false" ht="25.5" hidden="false" customHeight="true" outlineLevel="0" collapsed="false">
      <c r="B116" s="177" t="s">
        <v>294</v>
      </c>
      <c r="C116" s="177" t="s">
        <v>6276</v>
      </c>
      <c r="D116" s="211" t="s">
        <v>6309</v>
      </c>
      <c r="E116" s="211"/>
    </row>
    <row r="117" customFormat="false" ht="12.75" hidden="false" customHeight="true" outlineLevel="0" collapsed="false">
      <c r="B117" s="177" t="s">
        <v>6310</v>
      </c>
      <c r="C117" s="177" t="s">
        <v>6289</v>
      </c>
      <c r="D117" s="211" t="s">
        <v>6311</v>
      </c>
      <c r="E117" s="211"/>
    </row>
    <row r="118" customFormat="false" ht="12.75" hidden="false" customHeight="true" outlineLevel="0" collapsed="false">
      <c r="B118" s="177" t="s">
        <v>295</v>
      </c>
      <c r="C118" s="177" t="s">
        <v>6289</v>
      </c>
      <c r="D118" s="211" t="s">
        <v>6312</v>
      </c>
      <c r="E118" s="211"/>
    </row>
    <row r="119" customFormat="false" ht="12.75" hidden="false" customHeight="true" outlineLevel="0" collapsed="false">
      <c r="B119" s="177" t="s">
        <v>296</v>
      </c>
      <c r="C119" s="177" t="s">
        <v>6276</v>
      </c>
      <c r="D119" s="211" t="s">
        <v>6313</v>
      </c>
      <c r="E119" s="211"/>
    </row>
    <row r="120" customFormat="false" ht="12.75" hidden="false" customHeight="true" outlineLevel="0" collapsed="false">
      <c r="B120" s="177" t="s">
        <v>300</v>
      </c>
      <c r="C120" s="177" t="s">
        <v>6289</v>
      </c>
      <c r="D120" s="211" t="s">
        <v>6314</v>
      </c>
      <c r="E120" s="211"/>
    </row>
    <row r="121" customFormat="false" ht="25.5" hidden="false" customHeight="true" outlineLevel="0" collapsed="false">
      <c r="B121" s="177" t="s">
        <v>6315</v>
      </c>
      <c r="C121" s="177" t="s">
        <v>6276</v>
      </c>
      <c r="D121" s="211" t="s">
        <v>6316</v>
      </c>
      <c r="E121" s="211"/>
    </row>
    <row r="122" customFormat="false" ht="12.75" hidden="false" customHeight="true" outlineLevel="0" collapsed="false">
      <c r="B122" s="177" t="s">
        <v>303</v>
      </c>
      <c r="C122" s="177" t="s">
        <v>6289</v>
      </c>
      <c r="D122" s="211" t="s">
        <v>6317</v>
      </c>
      <c r="E122" s="211"/>
    </row>
    <row r="123" customFormat="false" ht="12.75" hidden="false" customHeight="true" outlineLevel="0" collapsed="false">
      <c r="B123" s="177" t="s">
        <v>304</v>
      </c>
      <c r="C123" s="177" t="s">
        <v>6289</v>
      </c>
      <c r="D123" s="211" t="s">
        <v>6318</v>
      </c>
      <c r="E123" s="211"/>
    </row>
    <row r="124" customFormat="false" ht="12.75" hidden="false" customHeight="true" outlineLevel="0" collapsed="false">
      <c r="B124" s="177" t="s">
        <v>305</v>
      </c>
      <c r="C124" s="177" t="s">
        <v>6276</v>
      </c>
      <c r="D124" s="211" t="s">
        <v>6319</v>
      </c>
      <c r="E124" s="211"/>
    </row>
    <row r="125" customFormat="false" ht="12.75" hidden="false" customHeight="true" outlineLevel="0" collapsed="false">
      <c r="B125" s="177" t="s">
        <v>306</v>
      </c>
      <c r="C125" s="177" t="s">
        <v>6276</v>
      </c>
      <c r="D125" s="211" t="s">
        <v>6320</v>
      </c>
      <c r="E125" s="211"/>
    </row>
    <row r="126" customFormat="false" ht="12.75" hidden="false" customHeight="true" outlineLevel="0" collapsed="false">
      <c r="B126" s="177" t="s">
        <v>308</v>
      </c>
      <c r="C126" s="177" t="s">
        <v>6289</v>
      </c>
      <c r="D126" s="211" t="s">
        <v>6321</v>
      </c>
      <c r="E126" s="211"/>
    </row>
    <row r="127" customFormat="false" ht="12.75" hidden="false" customHeight="true" outlineLevel="0" collapsed="false">
      <c r="B127" s="177" t="s">
        <v>313</v>
      </c>
      <c r="C127" s="177" t="s">
        <v>6276</v>
      </c>
      <c r="D127" s="211" t="s">
        <v>6322</v>
      </c>
      <c r="E127" s="211"/>
    </row>
    <row r="128" customFormat="false" ht="25.5" hidden="false" customHeight="true" outlineLevel="0" collapsed="false">
      <c r="B128" s="177" t="s">
        <v>314</v>
      </c>
      <c r="C128" s="177" t="s">
        <v>6289</v>
      </c>
      <c r="D128" s="211" t="s">
        <v>6323</v>
      </c>
      <c r="E128" s="211"/>
    </row>
    <row r="129" customFormat="false" ht="25.5" hidden="false" customHeight="true" outlineLevel="0" collapsed="false">
      <c r="B129" s="177" t="s">
        <v>315</v>
      </c>
      <c r="C129" s="177" t="s">
        <v>6289</v>
      </c>
      <c r="D129" s="211" t="s">
        <v>6324</v>
      </c>
      <c r="E129" s="211"/>
    </row>
    <row r="130" customFormat="false" ht="12.75" hidden="false" customHeight="true" outlineLevel="0" collapsed="false">
      <c r="B130" s="177" t="s">
        <v>316</v>
      </c>
      <c r="C130" s="177" t="s">
        <v>6289</v>
      </c>
      <c r="D130" s="211" t="s">
        <v>6325</v>
      </c>
      <c r="E130" s="211"/>
    </row>
    <row r="131" customFormat="false" ht="12.75" hidden="false" customHeight="true" outlineLevel="0" collapsed="false">
      <c r="B131" s="177" t="s">
        <v>6326</v>
      </c>
      <c r="C131" s="177" t="s">
        <v>6289</v>
      </c>
      <c r="D131" s="211" t="s">
        <v>6327</v>
      </c>
      <c r="E131" s="211"/>
    </row>
    <row r="132" customFormat="false" ht="64.5" hidden="false" customHeight="true" outlineLevel="0" collapsed="false">
      <c r="B132" s="177" t="s">
        <v>6328</v>
      </c>
      <c r="C132" s="177" t="s">
        <v>6289</v>
      </c>
      <c r="D132" s="211" t="s">
        <v>6329</v>
      </c>
      <c r="E132" s="211"/>
    </row>
    <row r="133" customFormat="false" ht="12.75" hidden="false" customHeight="true" outlineLevel="0" collapsed="false">
      <c r="B133" s="177"/>
      <c r="C133" s="177"/>
      <c r="D133" s="212"/>
    </row>
    <row r="135" customFormat="false" ht="15" hidden="false" customHeight="true" outlineLevel="0" collapsed="false">
      <c r="B135" s="206" t="s">
        <v>6330</v>
      </c>
    </row>
    <row r="136" customFormat="false" ht="15" hidden="false" customHeight="true" outlineLevel="0" collapsed="false">
      <c r="C136" s="210" t="str">
        <f aca="false">HYPERLINK("#'Plan inputs'!A1","Plan inputs")</f>
        <v>Plan inputs</v>
      </c>
      <c r="D136" s="20" t="s">
        <v>6331</v>
      </c>
    </row>
    <row r="137" customFormat="false" ht="15" hidden="false" customHeight="true" outlineLevel="0" collapsed="false">
      <c r="C137" s="210" t="str">
        <f aca="false">HYPERLINK("#'Plan pay &amp; tax'!A1","Plan pay &amp; tax")</f>
        <v>Plan pay &amp; tax</v>
      </c>
      <c r="D137" s="20" t="s">
        <v>6332</v>
      </c>
    </row>
    <row r="138" customFormat="false" ht="15" hidden="false" customHeight="true" outlineLevel="0" collapsed="false">
      <c r="C138" s="210" t="str">
        <f aca="false">HYPERLINK("#'Plan debt months'!A1","Plan debt months")</f>
        <v>Plan debt months</v>
      </c>
      <c r="D138" s="20" t="s">
        <v>6333</v>
      </c>
    </row>
    <row r="139" customFormat="false" ht="15" hidden="false" customHeight="true" outlineLevel="0" collapsed="false">
      <c r="C139" s="210" t="str">
        <f aca="false">HYPERLINK("#'Plan cashflow'!A1","Plan cashflow")</f>
        <v>Plan cashflow</v>
      </c>
      <c r="D139" s="20" t="s">
        <v>6334</v>
      </c>
    </row>
    <row r="140" customFormat="false" ht="15" hidden="false" customHeight="true" outlineLevel="0" collapsed="false">
      <c r="C140" s="210" t="str">
        <f aca="false">HYPERLINK("#'Plan goals'!A1","Plan goals")</f>
        <v>Plan goals</v>
      </c>
      <c r="D140" s="20" t="s">
        <v>6335</v>
      </c>
    </row>
    <row r="141" customFormat="false" ht="15" hidden="false" customHeight="true" outlineLevel="0" collapsed="false">
      <c r="C141" s="210" t="str">
        <f aca="false">HYPERLINK("#'Plan results'!A1","Plan results")</f>
        <v>Plan results</v>
      </c>
      <c r="D141" s="20" t="s">
        <v>6336</v>
      </c>
    </row>
    <row r="142" customFormat="false" ht="15" hidden="false" customHeight="true" outlineLevel="0" collapsed="false">
      <c r="C142" s="210" t="str">
        <f aca="false">HYPERLINK("#'Plan profile'!A1","Plan profile")</f>
        <v>Plan profile</v>
      </c>
      <c r="D142" s="20" t="s">
        <v>6337</v>
      </c>
    </row>
    <row r="143" customFormat="false" ht="15" hidden="false" customHeight="true" outlineLevel="0" collapsed="false">
      <c r="C143" s="210" t="s">
        <v>6338</v>
      </c>
      <c r="D143" s="20" t="s">
        <v>6339</v>
      </c>
    </row>
    <row r="144" customFormat="false" ht="15" hidden="false" customHeight="true" outlineLevel="0" collapsed="false">
      <c r="C144" s="210" t="s">
        <v>6340</v>
      </c>
      <c r="D144" s="20" t="s">
        <v>6341</v>
      </c>
    </row>
    <row r="145" customFormat="false" ht="15" hidden="false" customHeight="true" outlineLevel="0" collapsed="false">
      <c r="B145" s="25" t="s">
        <v>6342</v>
      </c>
    </row>
    <row r="147" customFormat="false" ht="15" hidden="false" customHeight="true" outlineLevel="0" collapsed="false">
      <c r="B147" s="206" t="s">
        <v>6343</v>
      </c>
    </row>
    <row r="148" customFormat="false" ht="15" hidden="false" customHeight="true" outlineLevel="0" collapsed="false">
      <c r="C148" s="210" t="str">
        <f aca="false">HYPERLINK("#'Settings'!A1","Settings")</f>
        <v>Settings</v>
      </c>
      <c r="D148" s="20" t="s">
        <v>6344</v>
      </c>
    </row>
    <row r="149" customFormat="false" ht="15" hidden="false" customHeight="true" outlineLevel="0" collapsed="false">
      <c r="C149" s="210" t="str">
        <f aca="false">HYPERLINK("#'Your lists'!A1","Your lists")</f>
        <v>Your lists</v>
      </c>
      <c r="D149" s="20" t="s">
        <v>6345</v>
      </c>
    </row>
    <row r="150" customFormat="false" ht="15" hidden="false" customHeight="true" outlineLevel="0" collapsed="false">
      <c r="C150" s="210" t="s">
        <v>6346</v>
      </c>
      <c r="D150" s="20" t="s">
        <v>6347</v>
      </c>
    </row>
    <row r="151" customFormat="false" ht="15" hidden="false" customHeight="true" outlineLevel="0" collapsed="false">
      <c r="C151" s="210" t="s">
        <v>6348</v>
      </c>
      <c r="D151" s="20" t="s">
        <v>6349</v>
      </c>
    </row>
    <row r="152" customFormat="false" ht="15" hidden="false" customHeight="true" outlineLevel="0" collapsed="false">
      <c r="C152" s="210" t="s">
        <v>6350</v>
      </c>
      <c r="D152" s="20" t="s">
        <v>6351</v>
      </c>
    </row>
    <row r="153" customFormat="false" ht="15" hidden="false" customHeight="true" outlineLevel="0" collapsed="false">
      <c r="C153" s="210" t="s">
        <v>6352</v>
      </c>
      <c r="D153" s="20" t="s">
        <v>6353</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2026-10-21T17:22:13Z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